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ables/table4.xml" ContentType="application/vnd.openxmlformats-officedocument.spreadsheetml.table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1"/>
  <bookViews>
    <workbookView xWindow="0" yWindow="0" windowWidth="28800" windowHeight="17000" tabRatio="850" activeTab="0"/>
  </bookViews>
  <sheets>
    <sheet name="Executive Summary" sheetId="1" r:id="rId1"/>
    <sheet name="Sources &amp; QA" sheetId="2" r:id="rId2"/>
    <sheet name="Rent Roll" sheetId="3" r:id="rId3"/>
    <sheet name="Historical Operating" sheetId="4" r:id="rId4"/>
    <sheet name="Assumptions" sheetId="5" r:id="rId5"/>
    <sheet name="Lease Rollover" sheetId="6" r:id="rId6"/>
    <sheet name="Cash Flow" sheetId="7" r:id="rId7"/>
    <sheet name="Debt" sheetId="8" r:id="rId8"/>
    <sheet name="Returns" sheetId="9" r:id="rId9"/>
    <sheet name="Sensitivities" sheetId="10" r:id="rId10"/>
    <sheet name="Model Checks" sheetId="11" r:id="rId11"/>
    <sheet name="Leasing Engine" sheetId="12" state="hidden" r:id="rId12"/>
    <sheet name="Lease Cycles" sheetId="13" state="hidden" r:id="rId13"/>
    <sheet name="Model Calc" sheetId="14" state="hidden" r:id="rId14"/>
    <sheet name="Sensitivity Engine" sheetId="15" state="hidden" r:id="rId15"/>
    <sheet name="_cm" sheetId="16" state="veryHidden" r:id="rId16"/>
  </sheets>
  <definedNames>
    <definedName name="in_AnalysisStart">'Assumptions'!$C$8</definedName>
    <definedName name="in_HoldYears">'Assumptions'!$C$9</definedName>
    <definedName name="in_PurchasePrice">'Assumptions'!$C$10</definedName>
    <definedName name="a_GLA">'Assumptions'!$C$11</definedName>
    <definedName name="in_ClosingCostPct">'Assumptions'!$C$12</definedName>
    <definedName name="a_ClosingOther">'Assumptions'!$C$13</definedName>
    <definedName name="out_ClosingCosts">'Assumptions'!$C$14</definedName>
    <definedName name="a_UpfrontOther">'Assumptions'!$C$15</definedName>
    <definedName name="a_LeaseUpReserve">'Assumptions'!$C$16</definedName>
    <definedName name="out_TotalCost">'Assumptions'!$C$17</definedName>
    <definedName name="in_RentGrowth">'Assumptions'!$C$20</definedName>
    <definedName name="in_ExpenseGrowth">'Assumptions'!$C$21</definedName>
    <definedName name="a_TaxGrowth">'Assumptions'!$C$22</definedName>
    <definedName name="a_Inflation">'Assumptions'!$C$23</definedName>
    <definedName name="a_SalesGrowth">'Assumptions'!$C$24</definedName>
    <definedName name="in_GeneralVacancy">'Assumptions'!$C$25</definedName>
    <definedName name="in_CreditLoss">'Assumptions'!$C$26</definedName>
    <definedName name="a_VacStart">'Assumptions'!$C$27</definedName>
    <definedName name="a_AnchorInVac">'Assumptions'!$C$28</definedName>
    <definedName name="a_LeaseUpLC">'Assumptions'!$C$29</definedName>
    <definedName name="a_MarketRecovery">'Assumptions'!$C$30</definedName>
    <definedName name="a_CamPsf">'Assumptions'!$C$42</definedName>
    <definedName name="a_TaxPsf">'Assumptions'!$C$43</definedName>
    <definedName name="a_InsPsf">'Assumptions'!$C$44</definedName>
    <definedName name="a_NonRecPsf">'Assumptions'!$C$45</definedName>
    <definedName name="a_MgmtPct">'Assumptions'!$C$46</definedName>
    <definedName name="a_GroundRent">'Assumptions'!$C$47</definedName>
    <definedName name="a_Adj1From">'Assumptions'!$C$49</definedName>
    <definedName name="a_Adj1Pct">'Assumptions'!$D$49</definedName>
    <definedName name="a_Adj1Set">'Assumptions'!$E$49</definedName>
    <definedName name="a_Adj2From">'Assumptions'!$C$50</definedName>
    <definedName name="a_Adj2Pct">'Assumptions'!$D$50</definedName>
    <definedName name="a_Adj2Set">'Assumptions'!$E$50</definedName>
    <definedName name="a_Adj3From">'Assumptions'!$C$51</definedName>
    <definedName name="a_Adj3Pct">'Assumptions'!$D$51</definedName>
    <definedName name="a_Adj3Set">'Assumptions'!$E$51</definedName>
    <definedName name="a_PName">'Assumptions'!$B$61:$B$66</definedName>
    <definedName name="a_PRent">'Assumptions'!$C$61:$C$66</definedName>
    <definedName name="a_PDown">'Assumptions'!$D$61:$D$66</definedName>
    <definedName name="a_PTerm">'Assumptions'!$E$61:$E$66</definedName>
    <definedName name="a_PRenew">'Assumptions'!$F$61:$F$66</definedName>
    <definedName name="a_PTiNew">'Assumptions'!$G$61:$G$66</definedName>
    <definedName name="a_PTiRen">'Assumptions'!$H$61:$H$66</definedName>
    <definedName name="a_PLcNew">'Assumptions'!$I$61:$I$66</definedName>
    <definedName name="a_PLcRen">'Assumptions'!$J$61:$J$66</definedName>
    <definedName name="a_PBump">'Assumptions'!$K$61:$K$66</definedName>
    <definedName name="a_PEvery">'Assumptions'!$L$61:$L$66</definedName>
    <definedName name="a_PGrow">'Assumptions'!$M$61:$M$66</definedName>
    <definedName name="a_PFreeNew">'Assumptions'!$N$61:$N$66</definedName>
    <definedName name="a_PFreeRen">'Assumptions'!$O$61:$O$66</definedName>
    <definedName name="a_PRenPct">'Assumptions'!$P$61:$P$66</definedName>
    <definedName name="a_PAF">'Assumptions'!$Q$61:$Q$66</definedName>
    <definedName name="a_ReservePsf">'Assumptions'!$C$75</definedName>
    <definedName name="a_LoanMode">'Assumptions'!$C$83</definedName>
    <definedName name="a_LTVTarget">'Assumptions'!$C$84</definedName>
    <definedName name="a_LTCTarget">'Assumptions'!$C$85</definedName>
    <definedName name="a_MinDSCR">'Assumptions'!$C$86</definedName>
    <definedName name="a_MinDY">'Assumptions'!$C$87</definedName>
    <definedName name="a_FixedLoan">'Assumptions'!$C$88</definedName>
    <definedName name="in_InterestRate">'Assumptions'!$C$89</definedName>
    <definedName name="a_DayCount">'Assumptions'!$C$90</definedName>
    <definedName name="in_IOYears">'Assumptions'!$C$91</definedName>
    <definedName name="in_AmortYears">'Assumptions'!$C$92</definedName>
    <definedName name="a_LoanTerm">'Assumptions'!$C$93</definedName>
    <definedName name="a_LoanFeePct">'Assumptions'!$C$94</definedName>
    <definedName name="a_Prepay">'Assumptions'!$C$95</definedName>
    <definedName name="a_IndexRate">'Assumptions'!$C$96</definedName>
    <definedName name="a_RateType">'Assumptions'!$C$97</definedName>
    <definedName name="a_FloatIndex">'Assumptions'!$C$98</definedName>
    <definedName name="a_FloatSpread">'Assumptions'!$C$99</definedName>
    <definedName name="a_FloatDrift">'Assumptions'!$C$100</definedName>
    <definedName name="a_FloatFloor">'Assumptions'!$C$101</definedName>
    <definedName name="a_FloatStrike">'Assumptions'!$C$102</definedName>
    <definedName name="a_ExtN">'Assumptions'!$C$103</definedName>
    <definedName name="a_ExtFeeBps">'Assumptions'!$C$104</definedName>
    <definedName name="a_ExitFeePct">'Assumptions'!$C$105</definedName>
    <definedName name="a_DayFactor">'Assumptions'!$C$106</definedName>
    <definedName name="a_MonthlyRate">'Assumptions'!$C$107</definedName>
    <definedName name="a_Pmt">'Assumptions'!$C$108</definedName>
    <definedName name="a_Y1PayPerDollar">'Assumptions'!$C$109</definedName>
    <definedName name="a_LoanByValue">'Assumptions'!$C$110</definedName>
    <definedName name="a_LoanByCost">'Assumptions'!$C$111</definedName>
    <definedName name="a_LoanByCoverage">'Assumptions'!$C$112</definedName>
    <definedName name="a_LoanByYield">'Assumptions'!$C$113</definedName>
    <definedName name="out_LoanAmount">'Assumptions'!$C$114</definedName>
    <definedName name="a_LoanAmountRef">'Assumptions'!$C$114</definedName>
    <definedName name="out_LTV">'Assumptions'!$C$115</definedName>
    <definedName name="a_LoanFee">'Assumptions'!$C$116</definedName>
    <definedName name="a_IntReserve">'Assumptions'!$C$117</definedName>
    <definedName name="out_Equity">'Assumptions'!$C$118</definedName>
    <definedName name="in_ExitCap">'Assumptions'!$C$121</definedName>
    <definedName name="a_ResExitCap">'Assumptions'!$C$122</definedName>
    <definedName name="a_SaleCostMode">'Assumptions'!$C$123</definedName>
    <definedName name="a_SaleCostEntered">'Assumptions'!$C$124</definedName>
    <definedName name="a_Tier1Pct">'Assumptions'!$C$125</definedName>
    <definedName name="a_Tier2Over">'Assumptions'!$C$126</definedName>
    <definedName name="a_Tier2Pct">'Assumptions'!$C$127</definedName>
    <definedName name="a_Tier3Over">'Assumptions'!$C$128</definedName>
    <definedName name="a_Tier3Pct">'Assumptions'!$C$129</definedName>
    <definedName name="a_EngineIRR">'Assumptions'!$C$132</definedName>
    <definedName name="a_EngineEM">'Assumptions'!$C$133</definedName>
    <definedName name="a_EngineNOI1">'Assumptions'!$C$134</definedName>
    <definedName name="c_CAMy">'Model Calc'!$E$11:$O$11</definedName>
    <definedName name="c_TAXy">'Model Calc'!$E$22:$O$22</definedName>
    <definedName name="c_INSy">'Model Calc'!$E$12:$O$12</definedName>
    <definedName name="rng_CF">'Cash Flow'!$B$6:$O$71</definedName>
    <definedName name="rng_Debt">'Debt'!$B$20:$O$28</definedName>
    <definedName name="out_ExitNOI">'Returns'!$D$7</definedName>
    <definedName name="out_ExitValue">'Returns'!$D$9</definedName>
    <definedName name="r_SaleCostPct">'Returns'!$D$10</definedName>
    <definedName name="out_SellingCosts">'Returns'!$D$11</definedName>
    <definedName name="r_LeasingAfterSale">'Returns'!$D$12</definedName>
    <definedName name="out_LoanPayoff">'Returns'!$D$13</definedName>
    <definedName name="r_Penalty">'Returns'!$D$14</definedName>
    <definedName name="r_LoanFees">'Returns'!$D$15</definedName>
    <definedName name="out_NetSaleProceeds">'Returns'!$D$16</definedName>
    <definedName name="out_LeveredIRR">'Returns'!$D$19</definedName>
    <definedName name="out_UnleveredIRR">'Returns'!$D$20</definedName>
    <definedName name="out_LeveredXIRR">'Returns'!$D$21</definedName>
    <definedName name="out_EquityMultiple">'Returns'!$D$22</definedName>
    <definedName name="out_TotalProfit">'Returns'!$D$23</definedName>
    <definedName name="out_CoC_Y1">'Returns'!$D$24</definedName>
    <definedName name="out_CoC_Avg">'Returns'!$D$25</definedName>
    <definedName name="out_NOI_Y1">'Returns'!$D$26</definedName>
    <definedName name="out_GoingInCap">'Returns'!$D$27</definedName>
    <definedName name="out_DSCR_Y1">'Returns'!$D$28</definedName>
    <definedName name="out_DSCR_Min">'Returns'!$D$29</definedName>
    <definedName name="out_DebtYield">'Returns'!$D$30</definedName>
    <definedName name="out_AnnualDebtService_Y1">'Returns'!$D$31</definedName>
    <definedName name="s_PriceStep">'Sensitivities'!$C$6</definedName>
    <definedName name="s_CapStep">'Sensitivities'!$C$7</definedName>
    <definedName name="s_RateStep">'Sensitivities'!$C$8</definedName>
    <definedName name="rng_Sens1">'Sensitivities'!$B$13:$G$18</definedName>
    <definedName name="rng_Sens1EM">'Sensitivities'!$B$21:$G$26</definedName>
    <definedName name="rng_Sens2">'Sensitivities'!$B$32:$G$37</definedName>
    <definedName name="rng_Sens2EM">'Sensitivities'!$B$40:$G$45</definedName>
    <definedName name="rng_Expiry">'Lease Rollover'!$B$37:$F$47</definedName>
    <definedName name="rng_Hist">'Historical Operating'!$B$7:$G$14</definedName>
    <definedName name="out_ChecksPass">'Model Checks'!$D$27</definedName>
    <definedName name="out_ChecksReview">'Model Checks'!$D$28</definedName>
    <definedName name="out_ChecksFail">'Model Checks'!$D$29</definedName>
    <definedName name="rng_KeyAssumptions">'Sources &amp; QA'!$B$8:$G$45</definedName>
    <definedName name="out_PropertyName">'Executive Summary'!$L$40</definedName>
    <definedName name="out_Address">'Executive Summary'!$L$41</definedName>
    <definedName name="out_AssetType">'Executive Summary'!$L$42</definedName>
    <definedName name="out_Strategy">'Executive Summary'!$L$43</definedName>
    <definedName name="out_GLA">'Executive Summary'!$L$44</definedName>
    <definedName name="out_Units">'Executive Summary'!$L$45</definedName>
    <definedName name="out_Occupancy">'Executive Summary'!$L$46</definedName>
    <definedName name="out_YearBuilt">'Executive Summary'!$L$47</definedName>
    <definedName name="out_WALT">'Executive Summary'!$L$48</definedName>
    <definedName name="out_AskingPrice">'Executive Summary'!$L$49</definedName>
    <definedName name="out_PricePerSF">'Executive Summary'!$L$50</definedName>
    <definedName name="out_PricePerUnit">'Executive Summary'!$L$51</definedName>
    <definedName name="_xlnm.Print_Area" localSheetId="0">'Executive Summary'!$A$1:$I$28</definedName>
    <definedName name="_xlnm.Print_Area" localSheetId="1">'Sources &amp; QA'!$A$1:$H$130</definedName>
    <definedName name="_xlnm.Print_Area" localSheetId="2">'Rent Roll'!$A$1:$AZ$35</definedName>
    <definedName name="_xlnm.Print_Titles" localSheetId="2">'Rent Roll'!$7:$7</definedName>
    <definedName name="_xlnm.Print_Area" localSheetId="3">'Historical Operating'!$A$1:$J$19</definedName>
    <definedName name="_xlnm.Print_Area" localSheetId="4">Assumptions!$A$1:$Q$135</definedName>
    <definedName name="_xlnm.Print_Titles" localSheetId="4">Assumptions!$1:$4</definedName>
    <definedName name="_xlnm.Print_Area" localSheetId="5">'Lease Rollover'!$A$1:$R$55</definedName>
    <definedName name="_xlnm.Print_Titles" localSheetId="5">'Lease Rollover'!$7:$7</definedName>
    <definedName name="_xlnm.Print_Area" localSheetId="6">'Cash Flow'!$A$1:$O$73</definedName>
    <definedName name="_xlnm.Print_Titles" localSheetId="6">'Cash Flow'!$5:$6</definedName>
    <definedName name="_xlnm.Print_Area" localSheetId="7">Debt!$A$1:$O$172</definedName>
    <definedName name="_xlnm.Print_Titles" localSheetId="7">Debt!$1:$4</definedName>
    <definedName name="_xlnm.Print_Area" localSheetId="8">Returns!$A$1:$O$40</definedName>
    <definedName name="_xlnm.Print_Area" localSheetId="9">Sensitivities!$A$1:$I$49</definedName>
    <definedName name="_xlnm.Print_Area" localSheetId="10">'Model Checks'!$A$1:$E$29</definedName>
    <definedName name="_xlnm.Print_Titles" localSheetId="10">'Model Checks'!$6:$6</definedName>
  </definedNames>
  <calcPr calcId="191029" fullCalcOnLoad="1"/>
</workbook>
</file>

<file path=xl/sharedStrings.xml><?xml version="1.0" encoding="utf-8"?>
<sst xmlns="http://schemas.openxmlformats.org/spreadsheetml/2006/main" count="5844" uniqueCount="2809">
  <si>
    <t>CREMODEL</t>
  </si>
  <si>
    <t>Executive Summary</t>
  </si>
  <si>
    <t>Sunfield Crossing  ·  100 Sunfield Road, Anytown, USA</t>
  </si>
  <si>
    <t>Generated by CREMODEL</t>
  </si>
  <si>
    <t>PROPERTY</t>
  </si>
  <si>
    <t>ACQUISITION AND DEBT</t>
  </si>
  <si>
    <t>RETURNS</t>
  </si>
  <si>
    <t>Property</t>
  </si>
  <si>
    <t>Purchase price</t>
  </si>
  <si>
    <t>Levered IRR</t>
  </si>
  <si>
    <t>Address</t>
  </si>
  <si>
    <t>Price per SF</t>
  </si>
  <si>
    <t>Unlevered IRR</t>
  </si>
  <si>
    <t>Asset type</t>
  </si>
  <si>
    <t>NOI, Year 1</t>
  </si>
  <si>
    <t>Equity multiple</t>
  </si>
  <si>
    <t>Strategy</t>
  </si>
  <si>
    <t>Going-in cap rate</t>
  </si>
  <si>
    <t>Cash-on-cash, Year 1</t>
  </si>
  <si>
    <t>GLA (SF)</t>
  </si>
  <si>
    <t>Loan amount</t>
  </si>
  <si>
    <t>Cash-on-cash, average</t>
  </si>
  <si>
    <t>Occupancy (leased SF at closing)</t>
  </si>
  <si>
    <t>Loan to value</t>
  </si>
  <si>
    <t>Exit cap rate</t>
  </si>
  <si>
    <t>Year built</t>
  </si>
  <si>
    <t>Interest rate</t>
  </si>
  <si>
    <t>Exit value</t>
  </si>
  <si>
    <t>WALT (by rent)</t>
  </si>
  <si>
    <t>Debt yield, Year 1</t>
  </si>
  <si>
    <t>Net sale proceeds</t>
  </si>
  <si>
    <t>Analysis start</t>
  </si>
  <si>
    <t>DSCR, Year 1</t>
  </si>
  <si>
    <t>Total profit</t>
  </si>
  <si>
    <t>Hold period (years)</t>
  </si>
  <si>
    <t>Equity requirement</t>
  </si>
  <si>
    <t>Model checks: pass / review / fail</t>
  </si>
  <si>
    <t>Analysis horizon</t>
  </si>
  <si>
    <t>Asking price (OM)</t>
  </si>
  <si>
    <t>CONTENTS</t>
  </si>
  <si>
    <t>1. Executive Summary</t>
  </si>
  <si>
    <t>7. Cash Flow</t>
  </si>
  <si>
    <t>2. Sources &amp; QA</t>
  </si>
  <si>
    <t>8. Debt</t>
  </si>
  <si>
    <t>3. Rent Roll</t>
  </si>
  <si>
    <t>9. Returns</t>
  </si>
  <si>
    <t>4. Historical Operating</t>
  </si>
  <si>
    <t>10. Sensitivities</t>
  </si>
  <si>
    <t>5. Assumptions</t>
  </si>
  <si>
    <t>11. Model Checks</t>
  </si>
  <si>
    <t>6. Lease Rollover</t>
  </si>
  <si>
    <t>Teal cells on Assumptions and the Rent Roll are inputs; every other figure is a formula. Hidden sheets (Leasing Engine, Lease Cycles, Model Calc, Sensitivity Engine) hold the monthly computation and can be unhidden for audit.</t>
  </si>
  <si>
    <t>Template cmx-template/1.0  ·  calc cmx-calc/1.0  ·  schema cremodel.deal/1.0  ·  deal tpl-sunfield-crossing  ·  engine z451  ·  generated 2026-10-14</t>
  </si>
  <si>
    <t>Report fields (read by the Investment Report)</t>
  </si>
  <si>
    <t>Sunfield Crossing</t>
  </si>
  <si>
    <t>100 Sunfield Road, Anytown, USA</t>
  </si>
  <si>
    <t>Retail</t>
  </si>
  <si>
    <t>Core+</t>
  </si>
  <si>
    <t>GLA</t>
  </si>
  <si>
    <t>Units</t>
  </si>
  <si>
    <t>Occupancy</t>
  </si>
  <si>
    <t>WALT (years, one decimal)</t>
  </si>
  <si>
    <t>Asking price</t>
  </si>
  <si>
    <t>Price per unit</t>
  </si>
  <si>
    <t>Sources &amp; QA</t>
  </si>
  <si>
    <t>Back to summary</t>
  </si>
  <si>
    <t>Every major input with its value, the OM page, the confidence, where it came from (OM / AI / USER), conflicts and notes.</t>
  </si>
  <si>
    <t>KEY ASSUMPTIONS</t>
  </si>
  <si>
    <t>Assumption</t>
  </si>
  <si>
    <t>Value</t>
  </si>
  <si>
    <t>Format</t>
  </si>
  <si>
    <t>Origin</t>
  </si>
  <si>
    <t>Page</t>
  </si>
  <si>
    <t>Flag</t>
  </si>
  <si>
    <t>Acquisition</t>
  </si>
  <si>
    <t>date</t>
  </si>
  <si>
    <t>AI</t>
  </si>
  <si>
    <t>REVIEW</t>
  </si>
  <si>
    <t>int</t>
  </si>
  <si>
    <t>usd</t>
  </si>
  <si>
    <t>Rentable area (SF)</t>
  </si>
  <si>
    <t>num</t>
  </si>
  <si>
    <t>OM</t>
  </si>
  <si>
    <t>Closing costs (% of price)</t>
  </si>
  <si>
    <t>pct</t>
  </si>
  <si>
    <t>Market</t>
  </si>
  <si>
    <t>Market rent growth</t>
  </si>
  <si>
    <t>Expense growth</t>
  </si>
  <si>
    <t>Real estate tax growth</t>
  </si>
  <si>
    <t>General vacancy</t>
  </si>
  <si>
    <t>Credit loss</t>
  </si>
  <si>
    <t>CAM ($/SF)</t>
  </si>
  <si>
    <t>psf</t>
  </si>
  <si>
    <t>CALC</t>
  </si>
  <si>
    <t>Real estate taxes ($/SF)</t>
  </si>
  <si>
    <t>Insurance ($/SF)</t>
  </si>
  <si>
    <t>Management fee (% of EGR)</t>
  </si>
  <si>
    <t>Leasing</t>
  </si>
  <si>
    <t>Fieldstone Grocery: base rent ($/SF)</t>
  </si>
  <si>
    <t>Fieldstone Grocery: lease expiration</t>
  </si>
  <si>
    <t>Market rent, Market tier A, $16.13 ($/SF)</t>
  </si>
  <si>
    <t>Renewal probability, Market tier A, $16.13</t>
  </si>
  <si>
    <t>pct1</t>
  </si>
  <si>
    <t>Downtime at expiry, Market tier A, $16.13 (months)</t>
  </si>
  <si>
    <t>Market rent, Market tier B,  $18.50 ($/SF)</t>
  </si>
  <si>
    <t>Renewal probability, Market tier B,  $18.50</t>
  </si>
  <si>
    <t>Downtime at expiry, Market tier B,  $18.50 (months)</t>
  </si>
  <si>
    <t>Capital</t>
  </si>
  <si>
    <t>Capital funded at closing</t>
  </si>
  <si>
    <t>Replacement reserve ($/SF a year)</t>
  </si>
  <si>
    <t>Debt</t>
  </si>
  <si>
    <t>Loan to value (sizing)</t>
  </si>
  <si>
    <t>Interest-only (years)</t>
  </si>
  <si>
    <t>Amortization (years)</t>
  </si>
  <si>
    <t>Equity</t>
  </si>
  <si>
    <t>Exit</t>
  </si>
  <si>
    <t>Exit value (forward NOI at the exit cap)</t>
  </si>
  <si>
    <t>SOURCES</t>
  </si>
  <si>
    <t>Field</t>
  </si>
  <si>
    <t>Confidence</t>
  </si>
  <si>
    <t>Conflict</t>
  </si>
  <si>
    <t>Notes</t>
  </si>
  <si>
    <t>medium</t>
  </si>
  <si>
    <t>Assumed by CREMODEL (model)</t>
  </si>
  <si>
    <t>Fieldstone Grocery, base rent ($/SF)</t>
  </si>
  <si>
    <t>high</t>
  </si>
  <si>
    <t>Fieldstone Grocery, area (SF)</t>
  </si>
  <si>
    <t>Fieldstone Grocery, lease expiration</t>
  </si>
  <si>
    <t>2033-12</t>
  </si>
  <si>
    <t>Fieldstone Grocery, base case renewal decision</t>
  </si>
  <si>
    <t>Renew</t>
  </si>
  <si>
    <t>major tenant: 45% of base rent; Core+ base case renews unless the book shows a departure</t>
  </si>
  <si>
    <t>Sunfield Pharmacy, base rent ($/SF)</t>
  </si>
  <si>
    <t>Sunfield Pharmacy, area (SF)</t>
  </si>
  <si>
    <t>Sunfield Pharmacy, lease expiration</t>
  </si>
  <si>
    <t>2031-06</t>
  </si>
  <si>
    <t>Sunfield Pharmacy, base case renewal decision</t>
  </si>
  <si>
    <t>Probability</t>
  </si>
  <si>
    <t>probability-weighted at the roll’s odds</t>
  </si>
  <si>
    <t>Sunfield Fitness, base rent ($/SF)</t>
  </si>
  <si>
    <t>Sunfield Fitness, area (SF)</t>
  </si>
  <si>
    <t>Sunfield Fitness, lease expiration</t>
  </si>
  <si>
    <t>2031-12</t>
  </si>
  <si>
    <t>Sunfield Fitness, base case renewal decision</t>
  </si>
  <si>
    <t>Sunfield Dental, base rent ($/SF)</t>
  </si>
  <si>
    <t>Sunfield Dental, area (SF)</t>
  </si>
  <si>
    <t>Sunfield Dental, lease expiration</t>
  </si>
  <si>
    <t>2032-02</t>
  </si>
  <si>
    <t>Sunfield Dental, base case renewal decision</t>
  </si>
  <si>
    <t>Sunfield Pizza, base rent ($/SF)</t>
  </si>
  <si>
    <t>Sunfield Pizza, area (SF)</t>
  </si>
  <si>
    <t>Sunfield Pizza, lease expiration</t>
  </si>
  <si>
    <t>2028-10</t>
  </si>
  <si>
    <t>Sunfield Pizza, base case renewal decision</t>
  </si>
  <si>
    <t>Sunfield Cleaners, base rent ($/SF)</t>
  </si>
  <si>
    <t>Sunfield Cleaners, area (SF)</t>
  </si>
  <si>
    <t>Sunfield Cleaners, lease expiration</t>
  </si>
  <si>
    <t>2030-08</t>
  </si>
  <si>
    <t>Sunfield Cleaners, base case renewal decision</t>
  </si>
  <si>
    <t>Sunfield Nails, base rent ($/SF)</t>
  </si>
  <si>
    <t>Sunfield Nails, area (SF)</t>
  </si>
  <si>
    <t>Sunfield Nails, lease expiration</t>
  </si>
  <si>
    <t>2029-03</t>
  </si>
  <si>
    <t>Sunfield Nails, base case renewal decision</t>
  </si>
  <si>
    <t>Sunfield Bagels, base rent ($/SF)</t>
  </si>
  <si>
    <t>Sunfield Bagels, area (SF)</t>
  </si>
  <si>
    <t>Sunfield Bagels, lease expiration</t>
  </si>
  <si>
    <t>2030-05</t>
  </si>
  <si>
    <t>Sunfield Bagels, base case renewal decision</t>
  </si>
  <si>
    <t>Sunfield Office Suite, base rent ($/SF)</t>
  </si>
  <si>
    <t>Sunfield Office Suite, area (SF)</t>
  </si>
  <si>
    <t>Sunfield Office Suite, lease expiration</t>
  </si>
  <si>
    <t>2031-09</t>
  </si>
  <si>
    <t>Sunfield Office Suite, base case renewal decision</t>
  </si>
  <si>
    <t>Available B-9, base rent ($/SF)</t>
  </si>
  <si>
    <t>Available B-9, area (SF)</t>
  </si>
  <si>
    <t>Available B-9, base case renewal decision</t>
  </si>
  <si>
    <t>Landscaping and grounds ($/SF)</t>
  </si>
  <si>
    <t>Year 1 figure from the expense changes table</t>
  </si>
  <si>
    <t>Sweeping and cleaning ($/SF)</t>
  </si>
  <si>
    <t>Parking lot and lighting ($/SF)</t>
  </si>
  <si>
    <t>Trash removal ($/SF)</t>
  </si>
  <si>
    <t>Repairs and maintenance ($/SF)</t>
  </si>
  <si>
    <t>Fire, life safety and security ($/SF)</t>
  </si>
  <si>
    <t>Common area utilities ($/SF)</t>
  </si>
  <si>
    <t>Miscellaneous ($/SF)</t>
  </si>
  <si>
    <t>Snow removal and de-icing ($/SF)</t>
  </si>
  <si>
    <t>Assumed by CREMODEL (house)</t>
  </si>
  <si>
    <t>Non-recoverable expenses ($/SF)</t>
  </si>
  <si>
    <t>Capital reserve ($/SF/yr)</t>
  </si>
  <si>
    <t>Assumed by CREMODEL (strategy)</t>
  </si>
  <si>
    <t>Interest-only years</t>
  </si>
  <si>
    <t>Loan fee</t>
  </si>
  <si>
    <t>The purchase price was struck by CREMODEL (target return); the asking price is the OM’s</t>
  </si>
  <si>
    <t>Historical base rental revenue (2024, 2025, T12 Sep 2026)</t>
  </si>
  <si>
    <t>Historical expense recoveries (2024, 2025, T12 Sep 2026)</t>
  </si>
  <si>
    <t>Historical other income (2024, 2025, T12 Sep 2026)</t>
  </si>
  <si>
    <t>Historical operating expenses (2024, 2025, T12 Sep 2026)</t>
  </si>
  <si>
    <t>Historical net operating income (2024, 2025, T12 Sep 2026)</t>
  </si>
  <si>
    <t>DEAL NOTES AND WARNINGS</t>
  </si>
  <si>
    <t>Note: Forced renewal, CREMODEL house assumption: Fieldstone Grocery renews in the base case (renewal odds 100%). Reason: major tenant: 45% of base rent; strategy Core+. An underwriting assumption, not a fact; type the odds on the roll to override, or show the downside if it leaves.</t>
  </si>
  <si>
    <t>Rent Roll</t>
  </si>
  <si>
    <t>Teal cells are inputs. Every other figure is calculated. Add a tenant in a blank row: it flows through the Leasing Engine to the Cash Flow.</t>
  </si>
  <si>
    <t>#</t>
  </si>
  <si>
    <t>Tenant</t>
  </si>
  <si>
    <t>Suite</t>
  </si>
  <si>
    <t>SF</t>
  </si>
  <si>
    <t>% GLA</t>
  </si>
  <si>
    <t>Lease start (rent start)</t>
  </si>
  <si>
    <t>Lease expiration</t>
  </si>
  <si>
    <t>Base rent $/SF</t>
  </si>
  <si>
    <t>Annual rent</t>
  </si>
  <si>
    <t>Monthly rent</t>
  </si>
  <si>
    <t>Escalation %</t>
  </si>
  <si>
    <t>Escalates every, yrs</t>
  </si>
  <si>
    <t>Free rent at start, mo</t>
  </si>
  <si>
    <t>Lease type</t>
  </si>
  <si>
    <t>Reimbursement</t>
  </si>
  <si>
    <t>Admin fee %</t>
  </si>
  <si>
    <t>Market profile</t>
  </si>
  <si>
    <t>Market rent override $/SF</t>
  </si>
  <si>
    <t>Market rent $/SF</t>
  </si>
  <si>
    <t>Mark-to-market</t>
  </si>
  <si>
    <t>Renewal probability (blank = profile)</t>
  </si>
  <si>
    <t>Base case decision</t>
  </si>
  <si>
    <t>Decision basis</t>
  </si>
  <si>
    <t>Option term, yrs</t>
  </si>
  <si>
    <t>Option rent $/SF</t>
  </si>
  <si>
    <t>Option odds (blank = renewal)</t>
  </si>
  <si>
    <t>Downtime at expiry, mo</t>
  </si>
  <si>
    <t>TI at expiry $/SF</t>
  </si>
  <si>
    <t>LC at expiry %</t>
  </si>
  <si>
    <t>Free rent at expiry, mo</t>
  </si>
  <si>
    <t>New lease term, yrs</t>
  </si>
  <si>
    <t>New lease start</t>
  </si>
  <si>
    <t>Anchor</t>
  </si>
  <si>
    <t>Credit</t>
  </si>
  <si>
    <t>Lease-up TI $/SF</t>
  </si>
  <si>
    <t>Lease-up LC % (blank = sheet)</t>
  </si>
  <si>
    <t>Sales $/SF</t>
  </si>
  <si>
    <t>Percentage rent %</t>
  </si>
  <si>
    <t>Probability at expiry (effective)</t>
  </si>
  <si>
    <t>Status</t>
  </si>
  <si>
    <t>Remaining term, yrs</t>
  </si>
  <si>
    <t>% of base rent</t>
  </si>
  <si>
    <t>Step 1 date</t>
  </si>
  <si>
    <t>Step 1 $/SF</t>
  </si>
  <si>
    <t>Step 2 date</t>
  </si>
  <si>
    <t>Step 2 $/SF</t>
  </si>
  <si>
    <t>Step 3 date</t>
  </si>
  <si>
    <t>Step 3 $/SF</t>
  </si>
  <si>
    <t>Step 4 date</t>
  </si>
  <si>
    <t>Step 4 $/SF</t>
  </si>
  <si>
    <t>Speculative lease-up (market bumps, rent grown to start)</t>
  </si>
  <si>
    <t>Fieldstone Grocery</t>
  </si>
  <si>
    <t>A-1</t>
  </si>
  <si>
    <t>NNN</t>
  </si>
  <si>
    <t>Market tier A, $16.13</t>
  </si>
  <si>
    <t>Yes</t>
  </si>
  <si>
    <t>National / rated</t>
  </si>
  <si>
    <t>No</t>
  </si>
  <si>
    <t>Sunfield Pharmacy</t>
  </si>
  <si>
    <t>A-2</t>
  </si>
  <si>
    <t>Sunfield Fitness</t>
  </si>
  <si>
    <t>B-1</t>
  </si>
  <si>
    <t>Local</t>
  </si>
  <si>
    <t>Sunfield Dental</t>
  </si>
  <si>
    <t>B-2</t>
  </si>
  <si>
    <t>Market tier B,  $18.50</t>
  </si>
  <si>
    <t>Sunfield Pizza</t>
  </si>
  <si>
    <t>B-3</t>
  </si>
  <si>
    <t>Sunfield Cleaners</t>
  </si>
  <si>
    <t>B-4</t>
  </si>
  <si>
    <t>Sunfield Nails</t>
  </si>
  <si>
    <t>B-5</t>
  </si>
  <si>
    <t>Sunfield Bagels</t>
  </si>
  <si>
    <t>B-6</t>
  </si>
  <si>
    <t>Sunfield Office Suite</t>
  </si>
  <si>
    <t>C-1</t>
  </si>
  <si>
    <t>Modified gross</t>
  </si>
  <si>
    <t>Base year</t>
  </si>
  <si>
    <t>Available B-9</t>
  </si>
  <si>
    <t>B-9</t>
  </si>
  <si>
    <t>Total</t>
  </si>
  <si>
    <t>Base case decision: Probability weights the expiry by the renewal probability (expected path); Renew and Vacate fix the first expiry (and the written option); later rolls use the renewal probability. Downtime, TI, LC and free rent at expiry are the profile’s, blended by the probability at expiry.</t>
  </si>
  <si>
    <t>Historical Operating</t>
  </si>
  <si>
    <t>Periods as read from the Offering Memorandum, beside the Year 1 underwriting (formulas on the Cash Flow).</t>
  </si>
  <si>
    <t>id</t>
  </si>
  <si>
    <t>Line</t>
  </si>
  <si>
    <t>2024</t>
  </si>
  <si>
    <t>2025</t>
  </si>
  <si>
    <t>T12 Sep 2026</t>
  </si>
  <si>
    <t>Year 1 underwriting</t>
  </si>
  <si>
    <t>Change vs last period</t>
  </si>
  <si>
    <t>SBR</t>
  </si>
  <si>
    <t>Base rental revenue</t>
  </si>
  <si>
    <t>REC</t>
  </si>
  <si>
    <t>Expense recoveries</t>
  </si>
  <si>
    <t>OTH</t>
  </si>
  <si>
    <t>Other income</t>
  </si>
  <si>
    <t>VAC</t>
  </si>
  <si>
    <t>Vacancy and credit loss</t>
  </si>
  <si>
    <t>EGR</t>
  </si>
  <si>
    <t>Effective gross income</t>
  </si>
  <si>
    <t>OPEX</t>
  </si>
  <si>
    <t>Operating expenses</t>
  </si>
  <si>
    <t>NOI</t>
  </si>
  <si>
    <t>Net operating income</t>
  </si>
  <si>
    <t>Reconciliation: stated NOI (OM)</t>
  </si>
  <si>
    <t>Underwritten Year 1 NOI</t>
  </si>
  <si>
    <t>Difference</t>
  </si>
  <si>
    <t>Assumptions</t>
  </si>
  <si>
    <t>Teal cells are inputs. Every other figure is calculated. Origin: OM = read from the Offering Memorandum, AI = CREMODEL base case assumption, USER = typed.</t>
  </si>
  <si>
    <t>ACQUISITION AND TIMING</t>
  </si>
  <si>
    <t>Analysis start (closing)</t>
  </si>
  <si>
    <t>Hold period</t>
  </si>
  <si>
    <t>years (1-10)</t>
  </si>
  <si>
    <t>$</t>
  </si>
  <si>
    <t>Rentable area (GLA, the expense basis)</t>
  </si>
  <si>
    <t>Closing costs</t>
  </si>
  <si>
    <t>% of price</t>
  </si>
  <si>
    <t>Closing costs, fixed amounts</t>
  </si>
  <si>
    <t>Capital funded at closing (work, capital items, building)</t>
  </si>
  <si>
    <t>Lease-up reserve (TI and first commission of leases starting after closing)</t>
  </si>
  <si>
    <t>Total project cost (before financing fees)</t>
  </si>
  <si>
    <t>MARKET</t>
  </si>
  <si>
    <t>Market rent growth (profiles with no growth of their own)</t>
  </si>
  <si>
    <t>% a year</t>
  </si>
  <si>
    <t>Expense growth (CAM, insurance, non-recoverable, TI)</t>
  </si>
  <si>
    <t>General inflation (reserves, other income)</t>
  </si>
  <si>
    <t>Tenant sales growth (percentage rent)</t>
  </si>
  <si>
    <t>General vacancy (net of the downtime in the leases)</t>
  </si>
  <si>
    <t>% of PGR</t>
  </si>
  <si>
    <t>% of rent + recoveries</t>
  </si>
  <si>
    <t>Vacancy and credit loss apply from year</t>
  </si>
  <si>
    <t>year</t>
  </si>
  <si>
    <t>General vacancy includes the anchor</t>
  </si>
  <si>
    <t>Leasing commission, lease-up (when the suite has none)</t>
  </si>
  <si>
    <t>% of rent over term</t>
  </si>
  <si>
    <t>Recovery structure of a new lease (the market for the property)</t>
  </si>
  <si>
    <t>OPERATING EXPENSES (YEAR 1, $/SF OF GLA)</t>
  </si>
  <si>
    <t>CAM: Landscaping and grounds</t>
  </si>
  <si>
    <t>$/SF/yr</t>
  </si>
  <si>
    <t>CAM: Sweeping and cleaning</t>
  </si>
  <si>
    <t>CAM: Parking lot and lighting</t>
  </si>
  <si>
    <t>CAM: Trash removal</t>
  </si>
  <si>
    <t>CAM: Repairs and maintenance</t>
  </si>
  <si>
    <t>CAM: Fire, life safety and security</t>
  </si>
  <si>
    <t>CAM: Common area utilities</t>
  </si>
  <si>
    <t>CAM: Miscellaneous</t>
  </si>
  <si>
    <t>CAM: Snow removal and de-icing</t>
  </si>
  <si>
    <t>CAM, total (recoverable)</t>
  </si>
  <si>
    <t>Real estate taxes (recoverable)</t>
  </si>
  <si>
    <t>Insurance (recoverable)</t>
  </si>
  <si>
    <t>Non-recoverable expenses</t>
  </si>
  <si>
    <t>Management fee</t>
  </si>
  <si>
    <t>% of EGR</t>
  </si>
  <si>
    <t>Ground rent paid</t>
  </si>
  <si>
    <t>$ a year</t>
  </si>
  <si>
    <t>Real estate tax changes (applied in order)</t>
  </si>
  <si>
    <t>From year</t>
  </si>
  <si>
    <t>Change %</t>
  </si>
  <si>
    <t>Set to $/SF</t>
  </si>
  <si>
    <t>Tax change 1</t>
  </si>
  <si>
    <t>Tax change 2</t>
  </si>
  <si>
    <t>Tax change 3</t>
  </si>
  <si>
    <t>OTHER INCOME</t>
  </si>
  <si>
    <t>Source</t>
  </si>
  <si>
    <t>Amount $</t>
  </si>
  <si>
    <t>Starts, month</t>
  </si>
  <si>
    <t>Growth %</t>
  </si>
  <si>
    <t>Ends, month</t>
  </si>
  <si>
    <t>Basis</t>
  </si>
  <si>
    <t>blank growth = inflation</t>
  </si>
  <si>
    <t>A year</t>
  </si>
  <si>
    <t>LEASING: MARKET LEASING PROFILES</t>
  </si>
  <si>
    <t>Profile</t>
  </si>
  <si>
    <t>Downtime, months</t>
  </si>
  <si>
    <t>Renewal probability</t>
  </si>
  <si>
    <t>TI new $/SF</t>
  </si>
  <si>
    <t>TI renewal $/SF</t>
  </si>
  <si>
    <t>LC new %</t>
  </si>
  <si>
    <t>LC renewal %</t>
  </si>
  <si>
    <t>Rent bump %</t>
  </si>
  <si>
    <t>Bump every, yrs</t>
  </si>
  <si>
    <t>Market growth % (blank = market)</t>
  </si>
  <si>
    <t>Free rent new, mo</t>
  </si>
  <si>
    <t>Free rent renewal, mo</t>
  </si>
  <si>
    <t>Renewal rent % of market</t>
  </si>
  <si>
    <t>Rent factor over the term (calc)</t>
  </si>
  <si>
    <t>Each tenant on the Rent Roll picks a profile. The renewal probability, the base case decision and the market rent can be overridden tenant by tenant there. A profile market growth of 0 holds market rent flat; blank uses the market rent growth above.</t>
  </si>
  <si>
    <t>CAPITAL</t>
  </si>
  <si>
    <t>Capital item</t>
  </si>
  <si>
    <t>Cost each $</t>
  </si>
  <si>
    <t>In year</t>
  </si>
  <si>
    <t>Repeat every, yrs</t>
  </si>
  <si>
    <t>Replacement reserve (below NOI, grows with inflation)</t>
  </si>
  <si>
    <t>MISCELLANEOUS INCOME AND EXPENSES (BELOW NOI)</t>
  </si>
  <si>
    <t>Item</t>
  </si>
  <si>
    <t>Amount $ (minus if out)</t>
  </si>
  <si>
    <t>DEBT</t>
  </si>
  <si>
    <t>Loan amount mode</t>
  </si>
  <si>
    <t>Lender tests</t>
  </si>
  <si>
    <t>Loan to cost (sizing, LTC mode)</t>
  </si>
  <si>
    <t>% of cost</t>
  </si>
  <si>
    <t>Minimum DSCR (Lender tests mode)</t>
  </si>
  <si>
    <t>x</t>
  </si>
  <si>
    <t>Minimum debt yield (Lender tests mode)</t>
  </si>
  <si>
    <t>% of loan</t>
  </si>
  <si>
    <t>Loan amount (Fixed amount mode)</t>
  </si>
  <si>
    <t>Interest day count</t>
  </si>
  <si>
    <t>Actual/360</t>
  </si>
  <si>
    <t>Interest-only period</t>
  </si>
  <si>
    <t>years</t>
  </si>
  <si>
    <t>Amortization</t>
  </si>
  <si>
    <t>Loan term</t>
  </si>
  <si>
    <t>Prepayment</t>
  </si>
  <si>
    <t>None</t>
  </si>
  <si>
    <t>Treasury index (yield maintenance)</t>
  </si>
  <si>
    <t>Interest rate type (Floating: the monthly rate path below)</t>
  </si>
  <si>
    <t>Fixed</t>
  </si>
  <si>
    <t>Floating: benchmark index at closing</t>
  </si>
  <si>
    <t>Floating: spread</t>
  </si>
  <si>
    <t>Floating: index drift a year</t>
  </si>
  <si>
    <t>Floating: index floor (0 = none)</t>
  </si>
  <si>
    <t>%</t>
  </si>
  <si>
    <t>Floating: index cap, the rate cap strike (0 = none)</t>
  </si>
  <si>
    <t>Loan extensions (fee charged at the sale)</t>
  </si>
  <si>
    <t>number</t>
  </si>
  <si>
    <t>Extension fee, each</t>
  </si>
  <si>
    <t>bps of the loan</t>
  </si>
  <si>
    <t>Exit fee</t>
  </si>
  <si>
    <t>% of the balance</t>
  </si>
  <si>
    <t>Day-count factor</t>
  </si>
  <si>
    <t>factor</t>
  </si>
  <si>
    <t>Monthly rate</t>
  </si>
  <si>
    <t>% a month</t>
  </si>
  <si>
    <t>Monthly amortizing payment</t>
  </si>
  <si>
    <t>$ a month</t>
  </si>
  <si>
    <t>Year 1 debt service per $ of loan</t>
  </si>
  <si>
    <t>Loan by value</t>
  </si>
  <si>
    <t>Loan by cost</t>
  </si>
  <si>
    <t>Loan by coverage (Year 1 NOI / min DSCR)</t>
  </si>
  <si>
    <t>Loan by debt yield</t>
  </si>
  <si>
    <t>Senior loan</t>
  </si>
  <si>
    <t>Interest reserve funded at closing by the equity (static, from the CREMODEL engine)</t>
  </si>
  <si>
    <t>Equity required</t>
  </si>
  <si>
    <t>EXIT</t>
  </si>
  <si>
    <t>Exit cap rate (on the forward year NOI)</t>
  </si>
  <si>
    <t>Residential exit cap (mixed use; 0 = the exit cap)</t>
  </si>
  <si>
    <t>Selling costs</t>
  </si>
  <si>
    <t>Market tiers</t>
  </si>
  <si>
    <t>Selling costs, entered</t>
  </si>
  <si>
    <t>% of sale</t>
  </si>
  <si>
    <t>Market tier: selling costs up to the first break</t>
  </si>
  <si>
    <t>Market tier: first break (sale above)</t>
  </si>
  <si>
    <t>Market tier: selling costs above the first break</t>
  </si>
  <si>
    <t>Market tier: second break (sale above)</t>
  </si>
  <si>
    <t>Market tier: selling costs above the second break</t>
  </si>
  <si>
    <t>CREMODEL ENGINE BASE CASE (REFERENCE FOR MODEL CHECKS)</t>
  </si>
  <si>
    <t>Levered IRR, CREMODEL engine (OMAI Scan base case)</t>
  </si>
  <si>
    <t>Equity multiple, CREMODEL engine</t>
  </si>
  <si>
    <t>Year 1 NOI, CREMODEL engine</t>
  </si>
  <si>
    <t>Engine z451, calculation cmx-calc/1.0, template cmx-template/1.0. These reference figures are static: the checks compare the workbook with them while the base case inputs are unchanged.</t>
  </si>
  <si>
    <t>Lease Rollover</t>
  </si>
  <si>
    <t>Tenant by tenant at the first expiry: the base case decision, the expected downtime, TI, LC, free rent and the new lease. The figures follow the Rent Roll and the profiles.</t>
  </si>
  <si>
    <t>Expiration</t>
  </si>
  <si>
    <t>Current rent $/SF</t>
  </si>
  <si>
    <t>Current annual rent</t>
  </si>
  <si>
    <t>Renew / vacate</t>
  </si>
  <si>
    <t>Downtime, mo</t>
  </si>
  <si>
    <t>TI $/SF</t>
  </si>
  <si>
    <t>LC %</t>
  </si>
  <si>
    <t>Free rent, mo</t>
  </si>
  <si>
    <t>New lease rent $/SF</t>
  </si>
  <si>
    <t>LEASE EXPIRATION BY YEAR</t>
  </si>
  <si>
    <t>Year</t>
  </si>
  <si>
    <t>Expiring SF</t>
  </si>
  <si>
    <t>Expiring rent</t>
  </si>
  <si>
    <t>Cumulative % GLA</t>
  </si>
  <si>
    <t>TENANT CONCENTRATION</t>
  </si>
  <si>
    <t>Largest tenant by base rent</t>
  </si>
  <si>
    <t>Its share of base rent</t>
  </si>
  <si>
    <t>Tenants with 10% or more of base rent</t>
  </si>
  <si>
    <t>Base rent expiring within the hold</t>
  </si>
  <si>
    <t>Cash Flow</t>
  </si>
  <si>
    <t>Annual, Years 1-11 from the analysis start. Year (hold + 1) is the forward year that prices the exit. Every figure is a formula on the Leasing Engine, the Assumptions and the Debt schedule.</t>
  </si>
  <si>
    <t>Year ending</t>
  </si>
  <si>
    <t>RENTAL REVENUE</t>
  </si>
  <si>
    <t>PBR</t>
  </si>
  <si>
    <t>Potential base rent</t>
  </si>
  <si>
    <t>ATV</t>
  </si>
  <si>
    <t>Absorption and turnover vacancy</t>
  </si>
  <si>
    <t>FREE</t>
  </si>
  <si>
    <t>Free rent</t>
  </si>
  <si>
    <t>Scheduled base rent</t>
  </si>
  <si>
    <t>RTR</t>
  </si>
  <si>
    <t>Total rental revenue</t>
  </si>
  <si>
    <t>OTHER TENANT REVENUE</t>
  </si>
  <si>
    <t>PCT</t>
  </si>
  <si>
    <t>Percentage rent</t>
  </si>
  <si>
    <t>OTH_1</t>
  </si>
  <si>
    <t>OTH_2</t>
  </si>
  <si>
    <t>OTH_3</t>
  </si>
  <si>
    <t>TOR</t>
  </si>
  <si>
    <t>Total other tenant revenue</t>
  </si>
  <si>
    <t>TTR</t>
  </si>
  <si>
    <t>Total tenant revenue</t>
  </si>
  <si>
    <t>PGR</t>
  </si>
  <si>
    <t>Potential gross revenue</t>
  </si>
  <si>
    <t>VACANCY AND CREDIT LOSS</t>
  </si>
  <si>
    <t>GVAC</t>
  </si>
  <si>
    <t>CRED</t>
  </si>
  <si>
    <t>TVC</t>
  </si>
  <si>
    <t>Total vacancy and credit loss</t>
  </si>
  <si>
    <t>Effective gross revenue</t>
  </si>
  <si>
    <t>OPERATING EXPENSES</t>
  </si>
  <si>
    <t>OPX_CAM</t>
  </si>
  <si>
    <t>Common area maintenance</t>
  </si>
  <si>
    <t>OPX_TAX</t>
  </si>
  <si>
    <t>Real estate taxes</t>
  </si>
  <si>
    <t>OPX_INS</t>
  </si>
  <si>
    <t>Insurance</t>
  </si>
  <si>
    <t>OPX_NONREC</t>
  </si>
  <si>
    <t>OPX_MGMT</t>
  </si>
  <si>
    <t>OPX_GROUND</t>
  </si>
  <si>
    <t>Ground rent</t>
  </si>
  <si>
    <t>TOPX</t>
  </si>
  <si>
    <t>Total operating expenses</t>
  </si>
  <si>
    <t>LEASING AND CAPITAL COSTS</t>
  </si>
  <si>
    <t>TI</t>
  </si>
  <si>
    <t>Tenant improvements</t>
  </si>
  <si>
    <t>LC</t>
  </si>
  <si>
    <t>Leasing commissions</t>
  </si>
  <si>
    <t>LCOTH</t>
  </si>
  <si>
    <t>Lease-up costs funded from the closing reserve</t>
  </si>
  <si>
    <t>TLC</t>
  </si>
  <si>
    <t>Total leasing costs</t>
  </si>
  <si>
    <t>CAPX_1</t>
  </si>
  <si>
    <t>CAPX_2</t>
  </si>
  <si>
    <t>CAPX_3</t>
  </si>
  <si>
    <t>CAPX_4</t>
  </si>
  <si>
    <t>CAPEX</t>
  </si>
  <si>
    <t>Capital expenditures</t>
  </si>
  <si>
    <t>RESV</t>
  </si>
  <si>
    <t>Replacement reserve</t>
  </si>
  <si>
    <t>TCAP</t>
  </si>
  <si>
    <t>Total capital costs</t>
  </si>
  <si>
    <t>TLCC</t>
  </si>
  <si>
    <t>Total leasing and capital costs</t>
  </si>
  <si>
    <t>MISC_1</t>
  </si>
  <si>
    <t>MISC_2</t>
  </si>
  <si>
    <t>MISC</t>
  </si>
  <si>
    <t>Miscellaneous income and expenses</t>
  </si>
  <si>
    <t>CFBDS</t>
  </si>
  <si>
    <t>Cash flow before debt service</t>
  </si>
  <si>
    <t>DEBT SERVICE</t>
  </si>
  <si>
    <t>INT</t>
  </si>
  <si>
    <t>Interest</t>
  </si>
  <si>
    <t>PRIN</t>
  </si>
  <si>
    <t>Principal</t>
  </si>
  <si>
    <t>TDS</t>
  </si>
  <si>
    <t>Total debt service</t>
  </si>
  <si>
    <t>CFADS</t>
  </si>
  <si>
    <t>Cash flow after debt service</t>
  </si>
  <si>
    <t>CAPITAL EVENTS</t>
  </si>
  <si>
    <t>CAPEV</t>
  </si>
  <si>
    <t>Capital events (none in this deal)</t>
  </si>
  <si>
    <t>SALE</t>
  </si>
  <si>
    <t>Gross sale price (forward NOI / exit cap)</t>
  </si>
  <si>
    <t>SCOST</t>
  </si>
  <si>
    <t>SLC</t>
  </si>
  <si>
    <t>Leasing costs due in the year after the sale</t>
  </si>
  <si>
    <t>PAYOFF</t>
  </si>
  <si>
    <t>Loan payoff</t>
  </si>
  <si>
    <t>PPEN</t>
  </si>
  <si>
    <t>Prepayment penalty and loan exit fees</t>
  </si>
  <si>
    <t>NSP</t>
  </si>
  <si>
    <t>EQUITY CASH FLOWS</t>
  </si>
  <si>
    <t>LEV</t>
  </si>
  <si>
    <t>Levered equity cash flow</t>
  </si>
  <si>
    <t>UNLEV</t>
  </si>
  <si>
    <t>Unlevered cash flow</t>
  </si>
  <si>
    <t>Years after the hold show the operating forecast only: the forward year prices the exit; its leasing costs are charged to the sale.</t>
  </si>
  <si>
    <t>Senior loan: interest-only months then level amortization, monthly, as CREMODEL accrues it. Change the loan on the Assumptions sheet.</t>
  </si>
  <si>
    <t>Balance at sale</t>
  </si>
  <si>
    <t>Prepayment penalty</t>
  </si>
  <si>
    <t>Matures before the sale</t>
  </si>
  <si>
    <t>Day count</t>
  </si>
  <si>
    <t>Balloon at maturity</t>
  </si>
  <si>
    <t>Interest-only, years</t>
  </si>
  <si>
    <t>Maturity date</t>
  </si>
  <si>
    <t>Amortization, years</t>
  </si>
  <si>
    <t>Total interest over the hold</t>
  </si>
  <si>
    <t>Loan term, years</t>
  </si>
  <si>
    <t>Monthly payment after interest-only</t>
  </si>
  <si>
    <t>DSCR, minimum over the hold</t>
  </si>
  <si>
    <t>begin</t>
  </si>
  <si>
    <t>Beginning balance</t>
  </si>
  <si>
    <t>interest</t>
  </si>
  <si>
    <t>principal</t>
  </si>
  <si>
    <t>payment</t>
  </si>
  <si>
    <t>Debt service</t>
  </si>
  <si>
    <t>end</t>
  </si>
  <si>
    <t>Ending balance</t>
  </si>
  <si>
    <t>dscr</t>
  </si>
  <si>
    <t>DSCR (NOI / debt service)</t>
  </si>
  <si>
    <t>debtyield</t>
  </si>
  <si>
    <t>Debt yield (NOI / beginning balance)</t>
  </si>
  <si>
    <t>MONTHLY SCHEDULE</t>
  </si>
  <si>
    <t>Month</t>
  </si>
  <si>
    <t>Payment date</t>
  </si>
  <si>
    <t>Payment</t>
  </si>
  <si>
    <t>Returns</t>
  </si>
  <si>
    <t>Levered and unlevered returns on the annual series (IRR), with the dated XIRR as the reference.</t>
  </si>
  <si>
    <t>Forward NOI (the year after the sale)</t>
  </si>
  <si>
    <t>Gross sale price</t>
  </si>
  <si>
    <t>Selling costs, rate</t>
  </si>
  <si>
    <t>Leasing costs falling due in the year after the sale</t>
  </si>
  <si>
    <t>Loan payoff (balance at sale)</t>
  </si>
  <si>
    <t>Loan exit and extension fees</t>
  </si>
  <si>
    <t>Levered XIRR (dated reference)</t>
  </si>
  <si>
    <t>Cash-on-cash, average over the hold</t>
  </si>
  <si>
    <t>Going-in cap rate (Year 1 NOI / price)</t>
  </si>
  <si>
    <t>Debt service, Year 1</t>
  </si>
  <si>
    <t>Cash flow date (year end)</t>
  </si>
  <si>
    <t>Equity invested</t>
  </si>
  <si>
    <t>Sensitivities</t>
  </si>
  <si>
    <t>Every cell is its own levered cash flow (hidden Sensitivity Engine sheet): change the steps below and the grids follow.</t>
  </si>
  <si>
    <t>Purchase price step</t>
  </si>
  <si>
    <t>Exit cap step</t>
  </si>
  <si>
    <t>Interest rate step</t>
  </si>
  <si>
    <t>Purchase price x exit cap</t>
  </si>
  <si>
    <t>Purchase price ↓  /  Exit cap →</t>
  </si>
  <si>
    <t>Equity multiple: Purchase price x exit cap</t>
  </si>
  <si>
    <t>Exit cap x interest rate</t>
  </si>
  <si>
    <t>Exit cap ↓  /  Interest rate →</t>
  </si>
  <si>
    <t>Equity multiple: Exit cap x interest rate</t>
  </si>
  <si>
    <t>Model Checks</t>
  </si>
  <si>
    <t>PASS: the figures tie. REVIEW: look at the detail. FAIL: a tie-out is broken.</t>
  </si>
  <si>
    <t>Check</t>
  </si>
  <si>
    <t>Detail</t>
  </si>
  <si>
    <t>Rent roll SF ties to GLA</t>
  </si>
  <si>
    <t>Scheduled rent ties to the rent roll (month 1 rent of the leases in place)</t>
  </si>
  <si>
    <t>Sources = uses (equity + loan = price + closing + capital + lease-up and interest reserves + loan fee)</t>
  </si>
  <si>
    <t>Debt schedule ties (loan less principal paid = payoff)</t>
  </si>
  <si>
    <t>Sale proceeds reconcile (Returns = Cash Flow sale year)</t>
  </si>
  <si>
    <t>Cash flow bridge: EGR = potential gross revenue + vacancy and credit loss</t>
  </si>
  <si>
    <t>Cash flow bridge: NOI = EGR + operating expenses</t>
  </si>
  <si>
    <t>Cash flow bridge: CFBDS = NOI + leasing and capital costs + miscellaneous</t>
  </si>
  <si>
    <t>Cash flow bridge: CFADS = CFBDS + debt service (in the hold)</t>
  </si>
  <si>
    <t>Levered cash flow equals the equity series (Year 0 = -equity; CFADS + capital events + net sale)</t>
  </si>
  <si>
    <t>Rent roll: every tenant with area has a market leasing profile on Assumptions</t>
  </si>
  <si>
    <t>Sensitivity base cells equal the model (price x cap, cap x rate; a floating rate is priced as fixed in the grids)</t>
  </si>
  <si>
    <t>Workbook levered IRR agrees with the CREMODEL engine (OMAI Scan base case)</t>
  </si>
  <si>
    <t>Workbook equity multiple agrees with the CREMODEL engine</t>
  </si>
  <si>
    <t>Hold period within the 10-year window of the model</t>
  </si>
  <si>
    <t>Loan matures after the sale</t>
  </si>
  <si>
    <t>Expense check: Year 1 operating expenses against the OM (T12 Sep 2026)</t>
  </si>
  <si>
    <t>NOI check: Year 1 NOI against the OM (T12 Sep 2026)</t>
  </si>
  <si>
    <t>Recoveries within the recoverable expenses (Year 1)</t>
  </si>
  <si>
    <t>Checks passing</t>
  </si>
  <si>
    <t>Checks to review</t>
  </si>
  <si>
    <t>Checks failing</t>
  </si>
  <si>
    <t>Leasing Engine</t>
  </si>
  <si>
    <t>Hidden, auditable: each tenant slot of the Rent Roll, month by month (132 months, Years 1-11), from its lease cycles on the Lease Cycles sheet. The Cash Flow adds these rows by code.</t>
  </si>
  <si>
    <t>Annual (Years 1-11)</t>
  </si>
  <si>
    <t>Month index</t>
  </si>
  <si>
    <t>Code</t>
  </si>
  <si>
    <t>Measure</t>
  </si>
  <si>
    <t>Month starting</t>
  </si>
  <si>
    <t>CYC</t>
  </si>
  <si>
    <t>Cycle in force (1-7; 0 before the lease)</t>
  </si>
  <si>
    <t>K</t>
  </si>
  <si>
    <t>Months into the cycle</t>
  </si>
  <si>
    <t>INL</t>
  </si>
  <si>
    <t>Under lease (1) or vacant (0)</t>
  </si>
  <si>
    <t>RENT</t>
  </si>
  <si>
    <t>Rent at full occupancy ($)</t>
  </si>
  <si>
    <t>MKT</t>
  </si>
  <si>
    <t>Option: market share rent ($)</t>
  </si>
  <si>
    <t>POT</t>
  </si>
  <si>
    <t>SCH</t>
  </si>
  <si>
    <t>OCC</t>
  </si>
  <si>
    <t>Recovery occupancy share (NNN)</t>
  </si>
  <si>
    <t>ADM</t>
  </si>
  <si>
    <t>Admin fee share</t>
  </si>
  <si>
    <t>BYW</t>
  </si>
  <si>
    <t>Base-year recovery share</t>
  </si>
  <si>
    <t>BYR</t>
  </si>
  <si>
    <t>Base-year recoveries ($)</t>
  </si>
  <si>
    <t>LU</t>
  </si>
  <si>
    <t>Lease-up cost funded at closing</t>
  </si>
  <si>
    <t>Lease Cycles</t>
  </si>
  <si>
    <t>Hidden helper: one row per Rent Roll slot (same row number); the seven lease cycles of each tenant, cycle by cycle. The codes are explained in row 5.</t>
  </si>
  <si>
    <t>Codes: S start month, T term months, E end month (exclusive), PSF rent $/SF, B bump, EV bump every, F free months, C carried downtime fraction, FI/FX whole and fractional unpaid months, FF first cycle, TY type (0 lease, 1 option, 2 pass-through), V option odds, MK market $/SF in the option, DF option downtime, ADM admin share, A/AO base-year renewing share, BASE base year index, GS/GB/GEV the vacant months’ rent schedule, TIM month of TI and LC, TIA TI $, LCA LC $, P renewal probability of the cycle, DOWN expected downtime.</t>
  </si>
  <si>
    <t>Slot</t>
  </si>
  <si>
    <t>NAME</t>
  </si>
  <si>
    <t>SHARE</t>
  </si>
  <si>
    <t>PSF0</t>
  </si>
  <si>
    <t>STARTM</t>
  </si>
  <si>
    <t>TERMM0</t>
  </si>
  <si>
    <t>FREE0</t>
  </si>
  <si>
    <t>BUMPT</t>
  </si>
  <si>
    <t>EVERYT</t>
  </si>
  <si>
    <t>TIT</t>
  </si>
  <si>
    <t>LCUP</t>
  </si>
  <si>
    <t>PIDX</t>
  </si>
  <si>
    <t>HASP</t>
  </si>
  <si>
    <t>PMKT</t>
  </si>
  <si>
    <t>PDOWN</t>
  </si>
  <si>
    <t>PTERM</t>
  </si>
  <si>
    <t>PTINEW</t>
  </si>
  <si>
    <t>PTIREN</t>
  </si>
  <si>
    <t>PLCNEW</t>
  </si>
  <si>
    <t>PLCREN</t>
  </si>
  <si>
    <t>PBUMP</t>
  </si>
  <si>
    <t>PEVERY</t>
  </si>
  <si>
    <t>PGROW</t>
  </si>
  <si>
    <t>PFREENEW</t>
  </si>
  <si>
    <t>PFREEREN</t>
  </si>
  <si>
    <t>PRENPCT</t>
  </si>
  <si>
    <t>PAF</t>
  </si>
  <si>
    <t>PROB</t>
  </si>
  <si>
    <t>DEC</t>
  </si>
  <si>
    <t>P1</t>
  </si>
  <si>
    <t>OPTV</t>
  </si>
  <si>
    <t>OPTON</t>
  </si>
  <si>
    <t>OPTM</t>
  </si>
  <si>
    <t>OPTRENT</t>
  </si>
  <si>
    <t>ISBY</t>
  </si>
  <si>
    <t>ADMIN</t>
  </si>
  <si>
    <t>ANCH</t>
  </si>
  <si>
    <t>SALES</t>
  </si>
  <si>
    <t>PCTR</t>
  </si>
  <si>
    <t>B0</t>
  </si>
  <si>
    <t>EV0</t>
  </si>
  <si>
    <t>AF0</t>
  </si>
  <si>
    <t>EXPY</t>
  </si>
  <si>
    <t>ROLLS</t>
  </si>
  <si>
    <t>SM1</t>
  </si>
  <si>
    <t>SV1</t>
  </si>
  <si>
    <t>SM2</t>
  </si>
  <si>
    <t>SV2</t>
  </si>
  <si>
    <t>SM3</t>
  </si>
  <si>
    <t>SV3</t>
  </si>
  <si>
    <t>SM4</t>
  </si>
  <si>
    <t>SV4</t>
  </si>
  <si>
    <t>MKOPT</t>
  </si>
  <si>
    <t>SPEC</t>
  </si>
  <si>
    <t>PSFREAD</t>
  </si>
  <si>
    <t>MKTBY</t>
  </si>
  <si>
    <t>S0</t>
  </si>
  <si>
    <t>S1</t>
  </si>
  <si>
    <t>S2</t>
  </si>
  <si>
    <t>S3</t>
  </si>
  <si>
    <t>S4</t>
  </si>
  <si>
    <t>S5</t>
  </si>
  <si>
    <t>S6</t>
  </si>
  <si>
    <t>T0</t>
  </si>
  <si>
    <t>T1</t>
  </si>
  <si>
    <t>T2</t>
  </si>
  <si>
    <t>T3</t>
  </si>
  <si>
    <t>T4</t>
  </si>
  <si>
    <t>T5</t>
  </si>
  <si>
    <t>T6</t>
  </si>
  <si>
    <t>E0</t>
  </si>
  <si>
    <t>E1</t>
  </si>
  <si>
    <t>E2</t>
  </si>
  <si>
    <t>E3</t>
  </si>
  <si>
    <t>E4</t>
  </si>
  <si>
    <t>E5</t>
  </si>
  <si>
    <t>E6</t>
  </si>
  <si>
    <t>PSF1</t>
  </si>
  <si>
    <t>PSF2</t>
  </si>
  <si>
    <t>PSF3</t>
  </si>
  <si>
    <t>PSF4</t>
  </si>
  <si>
    <t>PSF5</t>
  </si>
  <si>
    <t>PSF6</t>
  </si>
  <si>
    <t>B1</t>
  </si>
  <si>
    <t>B2</t>
  </si>
  <si>
    <t>B3</t>
  </si>
  <si>
    <t>B4</t>
  </si>
  <si>
    <t>B5</t>
  </si>
  <si>
    <t>B6</t>
  </si>
  <si>
    <t>EV1</t>
  </si>
  <si>
    <t>EV2</t>
  </si>
  <si>
    <t>EV3</t>
  </si>
  <si>
    <t>EV4</t>
  </si>
  <si>
    <t>EV5</t>
  </si>
  <si>
    <t>EV6</t>
  </si>
  <si>
    <t>F0</t>
  </si>
  <si>
    <t>F1</t>
  </si>
  <si>
    <t>F2</t>
  </si>
  <si>
    <t>F3</t>
  </si>
  <si>
    <t>F4</t>
  </si>
  <si>
    <t>F5</t>
  </si>
  <si>
    <t>F6</t>
  </si>
  <si>
    <t>C0</t>
  </si>
  <si>
    <t>C1</t>
  </si>
  <si>
    <t>C2</t>
  </si>
  <si>
    <t>C3</t>
  </si>
  <si>
    <t>C4</t>
  </si>
  <si>
    <t>C5</t>
  </si>
  <si>
    <t>C6</t>
  </si>
  <si>
    <t>FI0</t>
  </si>
  <si>
    <t>FI1</t>
  </si>
  <si>
    <t>FI2</t>
  </si>
  <si>
    <t>FI3</t>
  </si>
  <si>
    <t>FI4</t>
  </si>
  <si>
    <t>FI5</t>
  </si>
  <si>
    <t>FI6</t>
  </si>
  <si>
    <t>FX0</t>
  </si>
  <si>
    <t>FX1</t>
  </si>
  <si>
    <t>FX2</t>
  </si>
  <si>
    <t>FX3</t>
  </si>
  <si>
    <t>FX4</t>
  </si>
  <si>
    <t>FX5</t>
  </si>
  <si>
    <t>FX6</t>
  </si>
  <si>
    <t>FF0</t>
  </si>
  <si>
    <t>FF1</t>
  </si>
  <si>
    <t>FF2</t>
  </si>
  <si>
    <t>FF3</t>
  </si>
  <si>
    <t>FF4</t>
  </si>
  <si>
    <t>FF5</t>
  </si>
  <si>
    <t>FF6</t>
  </si>
  <si>
    <t>TY0</t>
  </si>
  <si>
    <t>TY1</t>
  </si>
  <si>
    <t>TY2</t>
  </si>
  <si>
    <t>TY3</t>
  </si>
  <si>
    <t>TY4</t>
  </si>
  <si>
    <t>TY5</t>
  </si>
  <si>
    <t>TY6</t>
  </si>
  <si>
    <t>V0</t>
  </si>
  <si>
    <t>V1</t>
  </si>
  <si>
    <t>V2</t>
  </si>
  <si>
    <t>V3</t>
  </si>
  <si>
    <t>V4</t>
  </si>
  <si>
    <t>V5</t>
  </si>
  <si>
    <t>V6</t>
  </si>
  <si>
    <t>MK0</t>
  </si>
  <si>
    <t>MK1</t>
  </si>
  <si>
    <t>MK2</t>
  </si>
  <si>
    <t>MK3</t>
  </si>
  <si>
    <t>MK4</t>
  </si>
  <si>
    <t>MK5</t>
  </si>
  <si>
    <t>MK6</t>
  </si>
  <si>
    <t>DF0</t>
  </si>
  <si>
    <t>DF1</t>
  </si>
  <si>
    <t>DF2</t>
  </si>
  <si>
    <t>DF3</t>
  </si>
  <si>
    <t>DF4</t>
  </si>
  <si>
    <t>DF5</t>
  </si>
  <si>
    <t>DF6</t>
  </si>
  <si>
    <t>ADM0</t>
  </si>
  <si>
    <t>ADM1</t>
  </si>
  <si>
    <t>ADM2</t>
  </si>
  <si>
    <t>ADM3</t>
  </si>
  <si>
    <t>ADM4</t>
  </si>
  <si>
    <t>ADM5</t>
  </si>
  <si>
    <t>ADM6</t>
  </si>
  <si>
    <t>A0</t>
  </si>
  <si>
    <t>A1</t>
  </si>
  <si>
    <t>A2</t>
  </si>
  <si>
    <t>A3</t>
  </si>
  <si>
    <t>A4</t>
  </si>
  <si>
    <t>A5</t>
  </si>
  <si>
    <t>A6</t>
  </si>
  <si>
    <t>AO0</t>
  </si>
  <si>
    <t>AO1</t>
  </si>
  <si>
    <t>AO2</t>
  </si>
  <si>
    <t>AO3</t>
  </si>
  <si>
    <t>AO4</t>
  </si>
  <si>
    <t>AO5</t>
  </si>
  <si>
    <t>AO6</t>
  </si>
  <si>
    <t>BASE0</t>
  </si>
  <si>
    <t>BASE1</t>
  </si>
  <si>
    <t>BASE2</t>
  </si>
  <si>
    <t>BASE3</t>
  </si>
  <si>
    <t>BASE4</t>
  </si>
  <si>
    <t>BASE5</t>
  </si>
  <si>
    <t>BASE6</t>
  </si>
  <si>
    <t>GS0</t>
  </si>
  <si>
    <t>GS1</t>
  </si>
  <si>
    <t>GS2</t>
  </si>
  <si>
    <t>GS3</t>
  </si>
  <si>
    <t>GS4</t>
  </si>
  <si>
    <t>GS5</t>
  </si>
  <si>
    <t>GS6</t>
  </si>
  <si>
    <t>GB0</t>
  </si>
  <si>
    <t>GB1</t>
  </si>
  <si>
    <t>GB2</t>
  </si>
  <si>
    <t>GB3</t>
  </si>
  <si>
    <t>GB4</t>
  </si>
  <si>
    <t>GB5</t>
  </si>
  <si>
    <t>GB6</t>
  </si>
  <si>
    <t>GEV0</t>
  </si>
  <si>
    <t>GEV1</t>
  </si>
  <si>
    <t>GEV2</t>
  </si>
  <si>
    <t>GEV3</t>
  </si>
  <si>
    <t>GEV4</t>
  </si>
  <si>
    <t>GEV5</t>
  </si>
  <si>
    <t>GEV6</t>
  </si>
  <si>
    <t>GG0</t>
  </si>
  <si>
    <t>GG1</t>
  </si>
  <si>
    <t>GG2</t>
  </si>
  <si>
    <t>GG3</t>
  </si>
  <si>
    <t>GG4</t>
  </si>
  <si>
    <t>GG5</t>
  </si>
  <si>
    <t>GG6</t>
  </si>
  <si>
    <t>TIM0</t>
  </si>
  <si>
    <t>TIM1</t>
  </si>
  <si>
    <t>TIM2</t>
  </si>
  <si>
    <t>TIM3</t>
  </si>
  <si>
    <t>TIM4</t>
  </si>
  <si>
    <t>TIM5</t>
  </si>
  <si>
    <t>TIM6</t>
  </si>
  <si>
    <t>TIA0</t>
  </si>
  <si>
    <t>TIA1</t>
  </si>
  <si>
    <t>TIA2</t>
  </si>
  <si>
    <t>TIA3</t>
  </si>
  <si>
    <t>TIA4</t>
  </si>
  <si>
    <t>TIA5</t>
  </si>
  <si>
    <t>TIA6</t>
  </si>
  <si>
    <t>LCA0</t>
  </si>
  <si>
    <t>LCA1</t>
  </si>
  <si>
    <t>LCA2</t>
  </si>
  <si>
    <t>LCA3</t>
  </si>
  <si>
    <t>LCA4</t>
  </si>
  <si>
    <t>LCA5</t>
  </si>
  <si>
    <t>LCA6</t>
  </si>
  <si>
    <t>P0</t>
  </si>
  <si>
    <t>P2</t>
  </si>
  <si>
    <t>P3</t>
  </si>
  <si>
    <t>P4</t>
  </si>
  <si>
    <t>P5</t>
  </si>
  <si>
    <t>P6</t>
  </si>
  <si>
    <t>DOWN0</t>
  </si>
  <si>
    <t>DOWN1</t>
  </si>
  <si>
    <t>DOWN2</t>
  </si>
  <si>
    <t>DOWN3</t>
  </si>
  <si>
    <t>DOWN4</t>
  </si>
  <si>
    <t>DOWN5</t>
  </si>
  <si>
    <t>DOWN6</t>
  </si>
  <si>
    <t>Model Calc</t>
  </si>
  <si>
    <t>Hidden, auditable: operating expenses, the tenant totals from the Leasing Engine, recoveries, general vacancy and the annual debt figures. Columns E-O are Years 1-11, as on the Cash Flow.</t>
  </si>
  <si>
    <t>YEAR</t>
  </si>
  <si>
    <t>In the hold (1)</t>
  </si>
  <si>
    <t>INHOLD</t>
  </si>
  <si>
    <t>Sale year (1)</t>
  </si>
  <si>
    <t>SALEY</t>
  </si>
  <si>
    <t>Forward year priced at the exit (1)</t>
  </si>
  <si>
    <t>FWDY</t>
  </si>
  <si>
    <t>Expense growth index</t>
  </si>
  <si>
    <t>GIDX</t>
  </si>
  <si>
    <t>CAM pool ($)</t>
  </si>
  <si>
    <t>CAM</t>
  </si>
  <si>
    <t>Insurance ($)</t>
  </si>
  <si>
    <t>INS</t>
  </si>
  <si>
    <t>Non-recoverable ($)</t>
  </si>
  <si>
    <t>NONREC</t>
  </si>
  <si>
    <t>Taxes before changes ($)</t>
  </si>
  <si>
    <t>TB0</t>
  </si>
  <si>
    <t xml:space="preserve">  grows from year index</t>
  </si>
  <si>
    <t>TG0</t>
  </si>
  <si>
    <t>Taxes after change 1 ($)</t>
  </si>
  <si>
    <t>TB1</t>
  </si>
  <si>
    <t>TG1</t>
  </si>
  <si>
    <t>Taxes after change 2 ($)</t>
  </si>
  <si>
    <t>TB2</t>
  </si>
  <si>
    <t>TG2</t>
  </si>
  <si>
    <t>Taxes after change 3 ($)</t>
  </si>
  <si>
    <t>TB3</t>
  </si>
  <si>
    <t>TG3</t>
  </si>
  <si>
    <t>Real estate taxes ($)</t>
  </si>
  <si>
    <t>TAX</t>
  </si>
  <si>
    <t>Ground rent ($)</t>
  </si>
  <si>
    <t>GROUND</t>
  </si>
  <si>
    <t>Potential base rent, all tenants</t>
  </si>
  <si>
    <t>Scheduled base rent, all tenants</t>
  </si>
  <si>
    <t>Free rent, all tenants</t>
  </si>
  <si>
    <t>Recovery occupancy (share-months)</t>
  </si>
  <si>
    <t>Admin fee (share-months)</t>
  </si>
  <si>
    <t>Lease-up costs funded at closing</t>
  </si>
  <si>
    <t>Anchor potential rent</t>
  </si>
  <si>
    <t>POTA</t>
  </si>
  <si>
    <t>Anchor scheduled rent</t>
  </si>
  <si>
    <t>SCHA</t>
  </si>
  <si>
    <t>Anchor free rent</t>
  </si>
  <si>
    <t>FREEA</t>
  </si>
  <si>
    <t>Absorption and turnover vacancy incl. free rent</t>
  </si>
  <si>
    <t>ABS</t>
  </si>
  <si>
    <t>Potential rent excluding the anchor</t>
  </si>
  <si>
    <t>POTX</t>
  </si>
  <si>
    <t>Downtime already taken excluding the anchor</t>
  </si>
  <si>
    <t>DOWNX</t>
  </si>
  <si>
    <t>GV</t>
  </si>
  <si>
    <t>Loan balance, year end</t>
  </si>
  <si>
    <t>BAL</t>
  </si>
  <si>
    <t>DS</t>
  </si>
  <si>
    <t>Lease-up reserve funded at closing (years to the forward year)</t>
  </si>
  <si>
    <t>LURES</t>
  </si>
  <si>
    <t>Sensitivity Engine</t>
  </si>
  <si>
    <t>Hidden, auditable: one row per grid cell, a full levered cash flow with that cell’s price, exit cap and interest rate. Operating cash flow before debt service is the base case’s.</t>
  </si>
  <si>
    <t>Grid</t>
  </si>
  <si>
    <t>Row</t>
  </si>
  <si>
    <t>Col</t>
  </si>
  <si>
    <t>Price</t>
  </si>
  <si>
    <t>Exit cap</t>
  </si>
  <si>
    <t>Rate</t>
  </si>
  <si>
    <t>Total cost</t>
  </si>
  <si>
    <t>Payment per $</t>
  </si>
  <si>
    <t>Y1 debt service per $</t>
  </si>
  <si>
    <t>Loan</t>
  </si>
  <si>
    <t>Amort months</t>
  </si>
  <si>
    <t>Penalty</t>
  </si>
  <si>
    <t>Gross sale</t>
  </si>
  <si>
    <t>IRR</t>
  </si>
  <si>
    <t>Multiple</t>
  </si>
  <si>
    <t>{"v":1,"product":"CREMODEL Excel","did":"deal_sample_sunfield","order":"sample","schema":"cremodel.deal/1.0","template":"cmx-template/1.0","calc":"cmx-calc/1.0","engine":"z451","generated":"2026-10-14T12:00:00.000Z","layout":{"capacity":25,"years":11,"months":132,"tenants":10,"cycles":7,"rentRollFirstRow":8,"leasingEngineFirstRow":10,"blockRows":17,"cfRows":{"PBR":9,"ATV":10,"FREE":11,"SBR":12,"RTR":13,"REC":15,"PCT":16,"OTH_1":17,"OTH_2":18,"OTH_3":19,"OTH":20,"TOR":21,"TTR":22,"PGR":23,"GVAC":25,"CRED":26,"TVC":27,"EGR":28,"OPX_CAM":30,"OPX_TAX":31,"OPX_INS":32,"OPX_NONREC":33,"OPX_MGMT":34,"OPX_GROUND":35,"TOPX":36,"NOI":37,"TI":39,"LC":40,"LCOTH":41,"TLC":42,"CAPX_1":43,"CAPX_2":44,"CAPX_3":45,"CAPX_4":46,"CAPEX":47,"RESV":48,"TCAP":49,"TLCC":50,"MISC_1":51,"MISC_2":52,"MISC":53,"CFBDS":54,"INT":56,"PRIN":57,"TDS":58,"CFADS":59,"CAPEV":61,"SALE":63,"SCOST":64,"SLC":65,"PAYOFF":66,"PPEN":67,"NSP":68,"LEV":70,"UNLEV":71}},"fp":{"all":"514fa1d0b39997a6b02c6837a502db445d959e9126ea63e61e26848dba6d6b5c","sheets":{"Executive Summary":"778b10e4b36f5f89aae707fa0a7b14254421dc5ba1b91b2f7e99217009917223","Sources &amp; QA":"0604af028e71e069768439ff419bfde5f0aa18637769c980beeb53d97e9bde76","Rent Roll":"f482031ddcdbea3d9453f8f72669c753c1bf464e5dd82b5cc41258b0498b4363","Historical Operating":"fdef9020585882292b996222dee27973fb0321f05be26468d03e6b9e526b6c95","Assumptions":"76959e76d04a1051d8da0c194427c8b24ea1bff0ae666353a708df35357449a4","Lease Rollover":"f6b6ae8bcb61ee53d1bfbe227afe69259fa44c375eb4e1b4743e08d08570064b","Cash Flow":"855ee751e3f367245a87c178aaf46c74528b8c5ddedb37b9f7dd0bb14a4a1092","Debt":"cb392920c6dc10f90353285adfef5e383cf07bd5f579536e1c72c4e70c9f9eff","Returns":"de9064de44c15bdf44093b2ebb6debfcc3f6c2e1197cf8110004144fe73834b7","Sensitivities":"09b4f83e94c8efd5ac982c8aa50622a3986ff48affa76cf90d31b0647778cc78","Model Checks":"db44ed3da8b232571b4c97d3786cd50d5c39730968e026e110d85ad9e8aae01f","Leasing Engine":"0131333bf44f7c63f7c52751076f41b6e9a20f11a699f2aa5767038f815f22ed","Lease Cycles":"65dd42427c8166ff470c6f0423b4bd196c1935b5021f619cafcf154063fbcd3c","Model Calc":"2a9da08049f92efa573dbc9c2953a712e6eb4d0309c44d7b7beb09cecedbf19c","Sensitivity Engine":"e5187e435bd2db9e4c2f3f465a2746f23c9093049cc40643672d9b62cd38f838"},"names":"eb63fb6f554024b95bbeb2ceb24760b67abec8f9cd21e4304b12f575401fe313","diag":"427f36ee07b3a5e5563080c8811b553f83a04507b56b66ff3d9d5510c7feffba"},"req":{"sheets":["Executive Summary","Sources &amp; QA","Rent Roll","Historical Operating","Assumptions","Lease Rollover","Cash Flow","Debt","Returns","Sensitivities","Model Checks","Leasing Engine","Lease Cycles","Model Calc","Sensitivity Engine"],"names":["A_ADJ1FROM","A_ADJ1PCT","A_ADJ1SET","A_ADJ2FROM","A_ADJ2PCT","A_ADJ2SET","A_ADJ3FROM","A_ADJ3PCT","A_ADJ3SET","A_ANCHORINVAC","A_CAMPSF","A_CLOSINGOTHER","A_DAYCOUNT","A_DAYFACTOR","A_ENGINEEM","A_ENGINEIRR","A_ENGINENOI1","A_EXITFEEPCT","A_EXTFEEBPS","A_EXTN","A_FIXEDLOAN","A_FLOATDRIFT","A_FLOATFLOOR","A_FLOATINDEX","A_FLOATSPREAD","A_FLOATSTRIKE","A_GLA","A_GROUNDRENT","A_INDEXRATE","A_INFLATION","A_INSPSF","A_INTRESERVE","A_LEASEUPLC","A_LEASEUPRESERVE","A_LOANAMOUNTREF","A_LOANBYCOST","A_LOANBYCOVERAGE","A_LOANBYVALUE","A_LOANBYYIELD","A_LOANFEE","A_LOANFEEPCT","A_LOANMODE","A_LOANTERM","A_LTCTARGET","A_LTVTARGET","A_MARKETRECOVERY","A_MGMTPCT","A_MINDSCR","A_MINDY","A_MONTHLYRATE","A_NONRECPSF","A_PAF","A_PBUMP","A_PDOWN","A_PEVERY","A_PFREENEW","A_PFREEREN","A_PGROW","A_PLCNEW","A_PLCREN","A_PMT","A_PNAME","A_PRENEW","A_PRENPCT","A_PRENT","A_PREPAY","A_PTERM","A_PTINEW","A_PTIREN","A_RATETYPE","A_RESERVEPSF","A_RESEXITCAP","A_SALECOSTENTERED","A_SALECOSTMODE","A_SALESGROWTH","A_TAXGROWTH","A_TAXPSF","A_TIER1PCT","A_TIER2OVER","A_TIER2PCT","A_TIER3OVER","A_TIER3PCT","A_UPFRONTOTHER","A_VACSTART","A_Y1PAYPERDOLLAR","C_CAMY","C_INSY","C_TAXY","IN_AMORTYEARS","IN_ANALYSISSTART","IN_CLOSINGCOSTPCT","IN_CREDITLOSS","IN_EXITCAP","IN_EXPENSEGROWTH","IN_GENERALVACANCY","IN_HOLDYEARS","IN_INTERESTRATE","IN_IOYEARS","IN_PURCHASEPRICE","IN_RENTGROWTH","OUT_ADDRESS","OUT_ANNUALDEBTSERVICE_Y1","OUT_ASKINGPRICE","OUT_ASSETTYPE","OUT_CHECKSFAIL","OUT_CHECKSPASS","OUT_CHECKSREVIEW","OUT_CLOSINGCOSTS","OUT_COC_AVG","OUT_COC_Y1","OUT_DEBTYIELD","OUT_DSCR_MIN","OUT_DSCR_Y1","OUT_EQUITY","OUT_EQUITYMULTIPLE","OUT_EXITNOI","OUT_EXITVALUE","OUT_GLA","OUT_GOINGINCAP","OUT_LEVEREDIRR","OUT_LEVEREDXIRR","OUT_LOANAMOUNT","OUT_LOANPAYOFF","OUT_LTV","OUT_NETSALEPROCEEDS","OUT_NOI_Y1","OUT_OCCUPANCY","OUT_PRICEPERSF","OUT_PRICEPERUNIT","OUT_PROPERTYNAME","OUT_SELLINGCOSTS","OUT_STRATEGY","OUT_TOTALCOST","OUT_TOTALPROFIT","OUT_UNITS","OUT_UNLEVEREDIRR","OUT_WALT","OUT_YEARBUILT","RNG_CF","RNG_DEBT","RNG_EXPIRY","RNG_HIST","RNG_KEYASSUMPTIONS","RNG_SENS1","RNG_SENS1EM","RNG_SENS2","RNG_SENS2EM","R_LEASINGAFTERSALE","R_LOANFEES","R_PENALTY","R_SALECOSTPCT","S_CAPSTEP","S_PRICESTEP","S_RATESTEP"]}}</t>
  </si>
  <si>
    <t>cmx-diag/1</t>
  </si>
  <si>
    <t>row</t>
  </si>
  <si>
    <t>row hash</t>
  </si>
  <si>
    <t>column groups (R1C1 formula hash)</t>
  </si>
  <si>
    <t>formulas</t>
  </si>
  <si>
    <t>42f54a5b</t>
  </si>
  <si>
    <t>C:3673daa2;F:77bc99d1;I:8a4a2f90</t>
  </si>
  <si>
    <t>09a42f9e</t>
  </si>
  <si>
    <t>C:bdc9c060;F:7a47b2e1;I:481bd1d7</t>
  </si>
  <si>
    <t>edf363ad</t>
  </si>
  <si>
    <t>C:e97724d8;F:5da2bbb1;I:d6d5798f</t>
  </si>
  <si>
    <t>378f6ef5</t>
  </si>
  <si>
    <t>C:cd882265;F:ce298023;I:27bb66e2</t>
  </si>
  <si>
    <t>5a1de8c8</t>
  </si>
  <si>
    <t>C:37494fbe;F:a4bab796;I:0bf3f9c4</t>
  </si>
  <si>
    <t>d156a52b</t>
  </si>
  <si>
    <t>C:146803e5;F:98de9552;I:5b9e6d39</t>
  </si>
  <si>
    <t>89768219</t>
  </si>
  <si>
    <t>C:2c7867a9;F:fc9d2b3f;I:da66d841</t>
  </si>
  <si>
    <t>65cb1ae9</t>
  </si>
  <si>
    <t>C:d0e9ebee;F:ec450736;I:b1df73ef</t>
  </si>
  <si>
    <t>41eb6831</t>
  </si>
  <si>
    <t>C:22edc1cf;F:2c010d8f;I:1d83b620</t>
  </si>
  <si>
    <t>fcd3a758</t>
  </si>
  <si>
    <t>C:5d082804;F:fdc50863;I:b4cdbfb2</t>
  </si>
  <si>
    <t>285f8f92</t>
  </si>
  <si>
    <t>C:4ad89ec6;F:9189e8af</t>
  </si>
  <si>
    <t>fd6e978b</t>
  </si>
  <si>
    <t>L:70e95369</t>
  </si>
  <si>
    <t>83407622</t>
  </si>
  <si>
    <t>L:7293598f</t>
  </si>
  <si>
    <t>231b3a63</t>
  </si>
  <si>
    <t>L:012950c8</t>
  </si>
  <si>
    <t>e2397b8d</t>
  </si>
  <si>
    <t>L:b3fd09b2</t>
  </si>
  <si>
    <t>699d6ff0</t>
  </si>
  <si>
    <t>L:8648c5a8</t>
  </si>
  <si>
    <t>e392f11e</t>
  </si>
  <si>
    <t>C:ac008802</t>
  </si>
  <si>
    <t>51d0ee53</t>
  </si>
  <si>
    <t>C:a8d7c8dd</t>
  </si>
  <si>
    <t>566883f4</t>
  </si>
  <si>
    <t>C:f67ed5eb</t>
  </si>
  <si>
    <t>3e839136</t>
  </si>
  <si>
    <t>C:89935d08</t>
  </si>
  <si>
    <t>dc9f177a</t>
  </si>
  <si>
    <t>C:236abc3d</t>
  </si>
  <si>
    <t>63c6e68c</t>
  </si>
  <si>
    <t>C:f1162004</t>
  </si>
  <si>
    <t>2b6cd080</t>
  </si>
  <si>
    <t>C:5e0198e7</t>
  </si>
  <si>
    <t>54b18e74</t>
  </si>
  <si>
    <t>C:108fddde</t>
  </si>
  <si>
    <t>f3a5f062</t>
  </si>
  <si>
    <t>C:7ad9ccf3</t>
  </si>
  <si>
    <t>e0a33d83</t>
  </si>
  <si>
    <t>C:caed11ca</t>
  </si>
  <si>
    <t>df8fe078</t>
  </si>
  <si>
    <t>C:d24109b4</t>
  </si>
  <si>
    <t>8b6c53d0</t>
  </si>
  <si>
    <t>C:3f2c8297</t>
  </si>
  <si>
    <t>3b202500</t>
  </si>
  <si>
    <t>C:ac17fb7a</t>
  </si>
  <si>
    <t>938e7d37</t>
  </si>
  <si>
    <t>C:6c9e0b40</t>
  </si>
  <si>
    <t>35c6e25f</t>
  </si>
  <si>
    <t>C:7e603486</t>
  </si>
  <si>
    <t>436c3c14</t>
  </si>
  <si>
    <t>C:7f603619</t>
  </si>
  <si>
    <t>fdc69e83</t>
  </si>
  <si>
    <t>C:fb643a83</t>
  </si>
  <si>
    <t>02a18e34</t>
  </si>
  <si>
    <t>C:fe643f3c</t>
  </si>
  <si>
    <t>3e54d7d8</t>
  </si>
  <si>
    <t>C:00644262</t>
  </si>
  <si>
    <t>966cf501</t>
  </si>
  <si>
    <t>C:cb7848da</t>
  </si>
  <si>
    <t>1b9ab401</t>
  </si>
  <si>
    <t>C:c8784421</t>
  </si>
  <si>
    <t>69c2112e</t>
  </si>
  <si>
    <t>C:c67840fb</t>
  </si>
  <si>
    <t>138f831f</t>
  </si>
  <si>
    <t>C:cdf8f49c</t>
  </si>
  <si>
    <t>66d9f6df</t>
  </si>
  <si>
    <t>C:794f9f02</t>
  </si>
  <si>
    <t>56c919d9</t>
  </si>
  <si>
    <t>C:2f64f42e</t>
  </si>
  <si>
    <t>6dce18cf</t>
  </si>
  <si>
    <t>C:bf0d986d</t>
  </si>
  <si>
    <t>4dca1caa</t>
  </si>
  <si>
    <t>C:04a28d10</t>
  </si>
  <si>
    <t>02c38a36</t>
  </si>
  <si>
    <t>C:1e7922c5</t>
  </si>
  <si>
    <t>54f1223a</t>
  </si>
  <si>
    <t>C:20dd0978</t>
  </si>
  <si>
    <t>54f7f353</t>
  </si>
  <si>
    <t>C:0e0c6f94</t>
  </si>
  <si>
    <t>ce3ab6d4</t>
  </si>
  <si>
    <t>C:dfabdb70</t>
  </si>
  <si>
    <t>a3437d2c</t>
  </si>
  <si>
    <t>C:da66d841</t>
  </si>
  <si>
    <t>e946665a</t>
  </si>
  <si>
    <t>F:e994f044;J:d87412a9;K:5acfedce;T:ef4cf3b6;U:7799739e;AB:9e80162b;AC:e26b6fc0;AD:e804c62e;AE:ccf6af6a;AF:01853857;AG:5c082467;AN:977139a8;AO:90f0ae44;AP:be34c962;AQ:3c37593c</t>
  </si>
  <si>
    <t>249f7bb3</t>
  </si>
  <si>
    <t>E-F:ceeb2231;I:12d1a13d;J-K:ceeb2231;AQ:ceeb2231</t>
  </si>
  <si>
    <t>f185a77f</t>
  </si>
  <si>
    <t>G:21904b35;H:3acc55df</t>
  </si>
  <si>
    <t>01a701a6</t>
  </si>
  <si>
    <t>G:8dd5da47;H:3acc55df</t>
  </si>
  <si>
    <t>0db7070b</t>
  </si>
  <si>
    <t>G:18137e23;H:3acc55df</t>
  </si>
  <si>
    <t>e52ff997</t>
  </si>
  <si>
    <t>G:6ec2fee2;H:3acc55df</t>
  </si>
  <si>
    <t>6c246db5</t>
  </si>
  <si>
    <t>G:b398cbf3;H:3acc55df</t>
  </si>
  <si>
    <t>a2f2ed15</t>
  </si>
  <si>
    <t>G:206ae132;H:3acc55df</t>
  </si>
  <si>
    <t>4ed080c0</t>
  </si>
  <si>
    <t>D:5da2bbb1</t>
  </si>
  <si>
    <t>91f177d1</t>
  </si>
  <si>
    <t>D:1b047cef</t>
  </si>
  <si>
    <t>9f277795</t>
  </si>
  <si>
    <t>C:bc0614a8</t>
  </si>
  <si>
    <t>bc23d120</t>
  </si>
  <si>
    <t>C:76f3e9ff</t>
  </si>
  <si>
    <t>776a7afe</t>
  </si>
  <si>
    <t>C:969a5f35</t>
  </si>
  <si>
    <t>3e47509c</t>
  </si>
  <si>
    <t>C:215c7e36</t>
  </si>
  <si>
    <t>655e2b0b</t>
  </si>
  <si>
    <t>Q:bba71637</t>
  </si>
  <si>
    <t>9987d7e8</t>
  </si>
  <si>
    <t>C:79f72b8a</t>
  </si>
  <si>
    <t>12bd89fc</t>
  </si>
  <si>
    <t>C:d9d078b6</t>
  </si>
  <si>
    <t>4a8abc23</t>
  </si>
  <si>
    <t>C:d673be19</t>
  </si>
  <si>
    <t>54b24b60</t>
  </si>
  <si>
    <t>C:8175878f</t>
  </si>
  <si>
    <t>4ab665b1</t>
  </si>
  <si>
    <t>C:53042c7c</t>
  </si>
  <si>
    <t>0307a136</t>
  </si>
  <si>
    <t>C:35496d89</t>
  </si>
  <si>
    <t>09b414b8</t>
  </si>
  <si>
    <t>C:a98782be</t>
  </si>
  <si>
    <t>de471f00</t>
  </si>
  <si>
    <t>C:f7ae2fd7</t>
  </si>
  <si>
    <t>dc09f80b</t>
  </si>
  <si>
    <t>C:27f576e7</t>
  </si>
  <si>
    <t>349980f5</t>
  </si>
  <si>
    <t>C:5b16829f</t>
  </si>
  <si>
    <t>c19118dd</t>
  </si>
  <si>
    <t>C:4ce67e41</t>
  </si>
  <si>
    <t>afc4bb1e</t>
  </si>
  <si>
    <t>C:c050b998</t>
  </si>
  <si>
    <t>af36709d</t>
  </si>
  <si>
    <t>B:9e5164fe;C:dba46761;D:53ce345a;E:d4a2caae;F-G:10a7a650;H:44106b8f;I-J:6eec6b8d;K:ce47a70f;L:1945be3b;M-P:aee242f1;Q:29179aa6;R:aee242f1</t>
  </si>
  <si>
    <t>e433642e</t>
  </si>
  <si>
    <t>C:e3528915;D:46f5a4e9;E:e06b11c8;F:752e95f7</t>
  </si>
  <si>
    <t>f377b1ea</t>
  </si>
  <si>
    <t>C:e3528915;D:46f5a4e9;E:e06b11c8;F:6574f343</t>
  </si>
  <si>
    <t>e5dc6939</t>
  </si>
  <si>
    <t>C:889925c3</t>
  </si>
  <si>
    <t>70f0dbb9</t>
  </si>
  <si>
    <t>C:ca431fde</t>
  </si>
  <si>
    <t>457232b5</t>
  </si>
  <si>
    <t>C:464ce8e2</t>
  </si>
  <si>
    <t>7b567731</t>
  </si>
  <si>
    <t>C:388db9a2</t>
  </si>
  <si>
    <t>43ba2ffc</t>
  </si>
  <si>
    <t>D:22edc1cf;E-O:346b7d30</t>
  </si>
  <si>
    <t>83f6dff3</t>
  </si>
  <si>
    <t>E-O:677ec9cc</t>
  </si>
  <si>
    <t>f7235aee</t>
  </si>
  <si>
    <t>E-O:047b29ac</t>
  </si>
  <si>
    <t>aefc0191</t>
  </si>
  <si>
    <t>E-O:e3d66c8b</t>
  </si>
  <si>
    <t>807850c3</t>
  </si>
  <si>
    <t>E-O:8fc947bd</t>
  </si>
  <si>
    <t>fdc72d71</t>
  </si>
  <si>
    <t>E-O:33b11b70</t>
  </si>
  <si>
    <t>bc2b4c45</t>
  </si>
  <si>
    <t>E-O:ef508c5c</t>
  </si>
  <si>
    <t>17782c15</t>
  </si>
  <si>
    <t>E-O:7bf4f7a2</t>
  </si>
  <si>
    <t>27cfbd53</t>
  </si>
  <si>
    <t>C:503d1db2;E-O:7adaf0b1</t>
  </si>
  <si>
    <t>49891974</t>
  </si>
  <si>
    <t>C:71a61770;E-O:dd6a605d</t>
  </si>
  <si>
    <t>c9045a5c</t>
  </si>
  <si>
    <t>C:1cb046ba;E-O:38106f85</t>
  </si>
  <si>
    <t>67ef41ab</t>
  </si>
  <si>
    <t>E-O:98e333bd</t>
  </si>
  <si>
    <t>7db7a649</t>
  </si>
  <si>
    <t>E-O:5dc2f779</t>
  </si>
  <si>
    <t>89e2012f</t>
  </si>
  <si>
    <t>E-O:87257514</t>
  </si>
  <si>
    <t>9b684dd7</t>
  </si>
  <si>
    <t>E-O:2f44c18c</t>
  </si>
  <si>
    <t>9ae97a1d</t>
  </si>
  <si>
    <t>E-O:b9d7f61b</t>
  </si>
  <si>
    <t>dcca81a0</t>
  </si>
  <si>
    <t>E-O:964d7b00</t>
  </si>
  <si>
    <t>5525fcf1</t>
  </si>
  <si>
    <t>E-O:8eef6919</t>
  </si>
  <si>
    <t>cd0a15b0</t>
  </si>
  <si>
    <t>E-O:78bee37e</t>
  </si>
  <si>
    <t>31e0a27e</t>
  </si>
  <si>
    <t>E-O:d5e0662d</t>
  </si>
  <si>
    <t>b111ef0b</t>
  </si>
  <si>
    <t>E-O:179de9aa</t>
  </si>
  <si>
    <t>12810e29</t>
  </si>
  <si>
    <t>E-O:e29721e0</t>
  </si>
  <si>
    <t>1a993ab5</t>
  </si>
  <si>
    <t>E-O:ac9e0b0a</t>
  </si>
  <si>
    <t>f581fa01</t>
  </si>
  <si>
    <t>E-O:fc9eea75</t>
  </si>
  <si>
    <t>8488d984</t>
  </si>
  <si>
    <t>E-O:ab9dea24</t>
  </si>
  <si>
    <t>a4169d08</t>
  </si>
  <si>
    <t>C:b9567edc;E-O:ba0cd4e6</t>
  </si>
  <si>
    <t>71460485</t>
  </si>
  <si>
    <t>C:c8acec02;E-O:c17da8d2</t>
  </si>
  <si>
    <t>7461aa1a</t>
  </si>
  <si>
    <t>C:b71bcb30;E-O:882cee52</t>
  </si>
  <si>
    <t>7969b1ed</t>
  </si>
  <si>
    <t>C:397730a2;E-O:3d903026</t>
  </si>
  <si>
    <t>d8cd0c9d</t>
  </si>
  <si>
    <t>E-O:b55a6f04</t>
  </si>
  <si>
    <t>24027153</t>
  </si>
  <si>
    <t>E-O:daeb04e4</t>
  </si>
  <si>
    <t>2cec999f</t>
  </si>
  <si>
    <t>E-O:b18ce53d</t>
  </si>
  <si>
    <t>602ceda0</t>
  </si>
  <si>
    <t>C:0398f15f;E-O:06acc0b5</t>
  </si>
  <si>
    <t>91b6a20b</t>
  </si>
  <si>
    <t>C:e3e45ea7;E-O:0f98601d</t>
  </si>
  <si>
    <t>6ada38f0</t>
  </si>
  <si>
    <t>E-O:48525c6e</t>
  </si>
  <si>
    <t>1220000a</t>
  </si>
  <si>
    <t>E-O:2fbb7258</t>
  </si>
  <si>
    <t>4882f91a</t>
  </si>
  <si>
    <t>E-O:38318bf1</t>
  </si>
  <si>
    <t>49e8fa58</t>
  </si>
  <si>
    <t>E-O:e4724b8d</t>
  </si>
  <si>
    <t>9def55d0</t>
  </si>
  <si>
    <t>E-O:ce096140</t>
  </si>
  <si>
    <t>80f8c8bd</t>
  </si>
  <si>
    <t>E-O:7a93f573</t>
  </si>
  <si>
    <t>72e70df5</t>
  </si>
  <si>
    <t>E-O:a0f5a482</t>
  </si>
  <si>
    <t>e80beb43</t>
  </si>
  <si>
    <t>E-O:6e2186c0</t>
  </si>
  <si>
    <t>987a194e</t>
  </si>
  <si>
    <t>E-O:cc224b93</t>
  </si>
  <si>
    <t>92a23bdc</t>
  </si>
  <si>
    <t>E-O:d1d180c3</t>
  </si>
  <si>
    <t>da04849d</t>
  </si>
  <si>
    <t>D:31e1313e;E-O:9358ec2e</t>
  </si>
  <si>
    <t>36cd7ad1</t>
  </si>
  <si>
    <t>D:e2594cdc;E-O:83241500</t>
  </si>
  <si>
    <t>6b52951b</t>
  </si>
  <si>
    <t>D:a4bab796;H:859b8d21</t>
  </si>
  <si>
    <t>5a10a40c</t>
  </si>
  <si>
    <t>D:98de9552;H:fecc0453</t>
  </si>
  <si>
    <t>d622b17e</t>
  </si>
  <si>
    <t>D:fc9d2b3f;H:e5962fd4</t>
  </si>
  <si>
    <t>e5dcad66</t>
  </si>
  <si>
    <t>D:6c11f178;H:45c494c1</t>
  </si>
  <si>
    <t>38ec0f6e</t>
  </si>
  <si>
    <t>D:8f18c29f;H:0b6848f3</t>
  </si>
  <si>
    <t>c1c17933</t>
  </si>
  <si>
    <t>D:839a0422;H:21034552</t>
  </si>
  <si>
    <t>b0280971</t>
  </si>
  <si>
    <t>D:f2c44a2d</t>
  </si>
  <si>
    <t>b222f2ae</t>
  </si>
  <si>
    <t>D:130ddfa2</t>
  </si>
  <si>
    <t>ee0ea008</t>
  </si>
  <si>
    <t>D:a89792f5</t>
  </si>
  <si>
    <t>8bec85c0</t>
  </si>
  <si>
    <t>D:fc454eec</t>
  </si>
  <si>
    <t>2e3436a4</t>
  </si>
  <si>
    <t>D:ec450736</t>
  </si>
  <si>
    <t>3038be09</t>
  </si>
  <si>
    <t>D:2c010d8f</t>
  </si>
  <si>
    <t>7f0dda9b</t>
  </si>
  <si>
    <t>D:422ad827</t>
  </si>
  <si>
    <t>c1033a66</t>
  </si>
  <si>
    <t>E-O:73a4f2c4</t>
  </si>
  <si>
    <t>b6ae6784</t>
  </si>
  <si>
    <t>E-O:88e1f22b</t>
  </si>
  <si>
    <t>ff7f34b7</t>
  </si>
  <si>
    <t>E-O:2482649b</t>
  </si>
  <si>
    <t>5decc75b</t>
  </si>
  <si>
    <t>E-O:51de266b</t>
  </si>
  <si>
    <t>126ca021</t>
  </si>
  <si>
    <t>E-O:66be4e21</t>
  </si>
  <si>
    <t>842b78ee</t>
  </si>
  <si>
    <t>E-O:05ddc707</t>
  </si>
  <si>
    <t>3e6af808</t>
  </si>
  <si>
    <t>C:80c76963;D:8a1911a8;E:a4bab796;F:6c0bb66b;G:740b8ffe;H:4e348195;I:306972fa;J:69300c50</t>
  </si>
  <si>
    <t>cc210369</t>
  </si>
  <si>
    <t>C:80c76963;D:8a1911a8;E:e8166a26;F:6c0bb66b;G:740b8ffe;H:4e348195;I:306972fa;J:69300c50</t>
  </si>
  <si>
    <t>3725e136</t>
  </si>
  <si>
    <t>D:e52824e6</t>
  </si>
  <si>
    <t>3eba0e58</t>
  </si>
  <si>
    <t>D:5b9e6d39</t>
  </si>
  <si>
    <t>beb89fcd</t>
  </si>
  <si>
    <t>D:651f5649</t>
  </si>
  <si>
    <t>ac091ebe</t>
  </si>
  <si>
    <t>D:07059ef1</t>
  </si>
  <si>
    <t>e6bd9da1</t>
  </si>
  <si>
    <t>D:2b57839b</t>
  </si>
  <si>
    <t>93a73bfe</t>
  </si>
  <si>
    <t>D:0c30a468</t>
  </si>
  <si>
    <t>05ab4582</t>
  </si>
  <si>
    <t>D:35e6ce8b</t>
  </si>
  <si>
    <t>a787f389</t>
  </si>
  <si>
    <t>D:3ac4bd5f</t>
  </si>
  <si>
    <t>6c1eef0f</t>
  </si>
  <si>
    <t>D:f867dd3f</t>
  </si>
  <si>
    <t>c22d69c5</t>
  </si>
  <si>
    <t>D:647010ae</t>
  </si>
  <si>
    <t>b5d802ed</t>
  </si>
  <si>
    <t>D:bd069809</t>
  </si>
  <si>
    <t>8c8597e3</t>
  </si>
  <si>
    <t>D:9ed4bc1d</t>
  </si>
  <si>
    <t>3bbfcb8b</t>
  </si>
  <si>
    <t>D:65c3d4eb</t>
  </si>
  <si>
    <t>25d236f1</t>
  </si>
  <si>
    <t>D:7e1927fc</t>
  </si>
  <si>
    <t>9daf1c90</t>
  </si>
  <si>
    <t>D:2851db21</t>
  </si>
  <si>
    <t>c1601a6b</t>
  </si>
  <si>
    <t>D:fdac38e4</t>
  </si>
  <si>
    <t>109dfa2f</t>
  </si>
  <si>
    <t>D:24bd2fe3</t>
  </si>
  <si>
    <t>471b48bd</t>
  </si>
  <si>
    <t>D:adabbe65</t>
  </si>
  <si>
    <t>61967311</t>
  </si>
  <si>
    <t>D:b6092870</t>
  </si>
  <si>
    <t>49b5ce96</t>
  </si>
  <si>
    <t>D:6ba671f8</t>
  </si>
  <si>
    <t>aefb7df9</t>
  </si>
  <si>
    <t>D:caa6b8e6</t>
  </si>
  <si>
    <t>148ec85b</t>
  </si>
  <si>
    <t>D:fe6867d0</t>
  </si>
  <si>
    <t>d4b5abe2</t>
  </si>
  <si>
    <t>D:ef2fdf7a</t>
  </si>
  <si>
    <t>52a6859e</t>
  </si>
  <si>
    <t>D:22edc1cf;E:33e54437;F:d3ecfbdc;G:afea8499;H:afddb8a6;I:cbdba623;J:4be32b68;K:d7e03635;L:57d433c2;M:33d1bc7f;N:cbfb7e0f;O:2ffe5a12</t>
  </si>
  <si>
    <t>ebad92be</t>
  </si>
  <si>
    <t>D:31e1313e;E-O:350ca8af</t>
  </si>
  <si>
    <t>2aec7e12</t>
  </si>
  <si>
    <t>D:350ca8af;E-O:5ff05d57</t>
  </si>
  <si>
    <t>54c13321</t>
  </si>
  <si>
    <t>D:350ca8af;E-O:b039417c</t>
  </si>
  <si>
    <t>731d5765</t>
  </si>
  <si>
    <t>D-O:084e148d</t>
  </si>
  <si>
    <t>4165a0b1</t>
  </si>
  <si>
    <t>C:6e00505e;D:5808cb0d;E:d48cd1d7;F:3f9ec45a;G:fe941629</t>
  </si>
  <si>
    <t>eedf37af</t>
  </si>
  <si>
    <t>B:5d81a419;C:3dc3c8a0;D:b72ddd16;E:113fbf78;F:8ce36cca;G:0bc10688</t>
  </si>
  <si>
    <t>f5b58aed</t>
  </si>
  <si>
    <t>B:d90fa4ec;C:0bca00e4;D:54b7a3fa;E:1e9cc424;F:19740d4b;G:57ade39f</t>
  </si>
  <si>
    <t>c237192b</t>
  </si>
  <si>
    <t>B:6b51fba0;C:57a35643;D:a8133b1f;E:4b39f8b7;F:571fa093;G:0990393b</t>
  </si>
  <si>
    <t>f33204d8</t>
  </si>
  <si>
    <t>B:ce6e5277;C:c9735267;D:393172d3;E:1d9970e3;F:d662f5df;G:382496e7</t>
  </si>
  <si>
    <t>b946cfcd</t>
  </si>
  <si>
    <t>B:fb9f73be;C:78417dbb;D:6c151640;E:f44edcf8;F:964bfed4;G:e0b46c4c</t>
  </si>
  <si>
    <t>740478db</t>
  </si>
  <si>
    <t>B:5d81a419;C:7a2cc6d9;D:6171d122;E:2b52a2aa;F:1a88cd96;G:abd9f626</t>
  </si>
  <si>
    <t>529e11a1</t>
  </si>
  <si>
    <t>B:d90fa4ec;C:19a9f74d;D:5b163e56;E:54ac131b;F:51f2f8db;G:3d9ef7c7</t>
  </si>
  <si>
    <t>ce19017d</t>
  </si>
  <si>
    <t>B:6b51fba0;C:911653bc;D:f32a69f3;E:d1432c4f;F:88e127e7;G:0bb8b7c3</t>
  </si>
  <si>
    <t>bf64abf4</t>
  </si>
  <si>
    <t>B:ce6e5277;C:df6b7460;D:90b430d7;E:1e8b7b03;F:dd75ed6e;G:57b49f64</t>
  </si>
  <si>
    <t>8660c779</t>
  </si>
  <si>
    <t>B:fb9f73be;C:11f33f13;D:ec15e4c2;E:8b5f2e50;F:9b224a36;G:c9982340</t>
  </si>
  <si>
    <t>e0439e66</t>
  </si>
  <si>
    <t>C:2bd06e16;D:51988dd7;E:002ae989;F:48a7ba62;G:13d67273</t>
  </si>
  <si>
    <t>2241ac78</t>
  </si>
  <si>
    <t>B:6e00505e;C:228dbfe6;D:1d5a7bb1;E:9bb2cbd9;F:ec0d95fd;G:8f3ee0f1</t>
  </si>
  <si>
    <t>8ca68a10</t>
  </si>
  <si>
    <t>B:5808cb0d;C:4f5c9145;D:5b2eb169;E:cd95eaf5;F:3d4083a9;G:e19d8f9d</t>
  </si>
  <si>
    <t>4951c2ac</t>
  </si>
  <si>
    <t>B:d48cd1d7;C:e1a81cf9;D:1a5ee3bd;E:7c297f21;F:6ff28a4a;G:b84a0156</t>
  </si>
  <si>
    <t>e210ae2f</t>
  </si>
  <si>
    <t>B:3f9ec45a;C:b8548eb2;D:9a3cfa96;E:24b05a2a;F:ebffde36;G:45a63c82</t>
  </si>
  <si>
    <t>5251a574</t>
  </si>
  <si>
    <t>B:fe941629;C:059cdd66;D:37c6c17a;E:f2ca1a26;F:322af932;G:e21e4ede</t>
  </si>
  <si>
    <t>2cf4472d</t>
  </si>
  <si>
    <t>B:6e00505e;C:9f9ba3ae;D:55dafa41;E:41c19055;F:f7397ac9;G:153d872d</t>
  </si>
  <si>
    <t>7f11ac86</t>
  </si>
  <si>
    <t>B:5808cb0d;C:1c32bce2;D:8d03c075;E:4fc82d59;F:94d6c965;G:62995d99</t>
  </si>
  <si>
    <t>4e42055e</t>
  </si>
  <si>
    <t>B:d48cd1d7;C:69526926;D:d95de23c;E:5ba59b26;F:a810fc88;G:8f3ca25a</t>
  </si>
  <si>
    <t>8ded0b98</t>
  </si>
  <si>
    <t>B:3f9ec45a;C:bbe291f9;D:97314e74;E:cd75974a;F:794320b4;G:219bb5c6</t>
  </si>
  <si>
    <t>9e3ff0d3</t>
  </si>
  <si>
    <t>B:fe941629;C:8e2e826d;D:d660b748;E:7c43c29e;F:6bf04567;G:f84ca4ad</t>
  </si>
  <si>
    <t>adfbf698</t>
  </si>
  <si>
    <t>B:b59c0a39;D:e3cc42ff;E:71de00c0</t>
  </si>
  <si>
    <t>8d289da8</t>
  </si>
  <si>
    <t>B:5b1f7fe3;D:f40692a8;E:3ded2c62</t>
  </si>
  <si>
    <t>ec55ba01</t>
  </si>
  <si>
    <t>B:5b1f7fe3;D:d545457c;E:dae24cca</t>
  </si>
  <si>
    <t>0ea637f0</t>
  </si>
  <si>
    <t>B:5b1f7fe3;D:f6bbe978;E:812d10c5</t>
  </si>
  <si>
    <t>dcacd1fb</t>
  </si>
  <si>
    <t>B:5b1f7fe3;D:6f88f489;E:ba7cdc7b</t>
  </si>
  <si>
    <t>4a11fb54</t>
  </si>
  <si>
    <t>B:5b1f7fe3;D:20c1116f;E:8b75d735</t>
  </si>
  <si>
    <t>5cb03094</t>
  </si>
  <si>
    <t>B:5b1f7fe3;D:20c1116f;E:1d4d0f2b</t>
  </si>
  <si>
    <t>616dd80f</t>
  </si>
  <si>
    <t>B:5b1f7fe3;D:20c1116f;E:6002d7a0</t>
  </si>
  <si>
    <t>c26fb702</t>
  </si>
  <si>
    <t>B:5b1f7fe3;D:20c1116f;E:f14256d7</t>
  </si>
  <si>
    <t>5e76ef81</t>
  </si>
  <si>
    <t>B:5b1f7fe3;D:c752ad4f;E:1dbaa559</t>
  </si>
  <si>
    <t>4bd201a8</t>
  </si>
  <si>
    <t>B:e11fdb0e;D:fe634136;E:c5b12c31</t>
  </si>
  <si>
    <t>d4575cce</t>
  </si>
  <si>
    <t>B:dfb7fef5;D:187d0207;E:96d3d9b7</t>
  </si>
  <si>
    <t>89899a69</t>
  </si>
  <si>
    <t>B:99e7cf15;D:3c6b6527;E:fdeb8939</t>
  </si>
  <si>
    <t>4fdb33eb</t>
  </si>
  <si>
    <t>B:0a077c65;D:4087dbc6;E:d2a4b654</t>
  </si>
  <si>
    <t>95df4306</t>
  </si>
  <si>
    <t>B:e11fdb0e;D:d647331f;E:1b4b7448</t>
  </si>
  <si>
    <t>e23e7e4b</t>
  </si>
  <si>
    <t>B:e11fdb0e;D:de75c569;E:6048d9d6</t>
  </si>
  <si>
    <t>56bff6fd</t>
  </si>
  <si>
    <t>B:e11fdb0e;D:f9039a80;E:b2298350</t>
  </si>
  <si>
    <t>b6b8fccf</t>
  </si>
  <si>
    <t>B:e11fdb0e;D:7d2d931e;E:5a507978</t>
  </si>
  <si>
    <t>f1a7c82b</t>
  </si>
  <si>
    <t>B:e11fdb0e;D:a553bff2;E:b07d3a55</t>
  </si>
  <si>
    <t>6973775a</t>
  </si>
  <si>
    <t>D:c8ee47ed</t>
  </si>
  <si>
    <t>6dfec288</t>
  </si>
  <si>
    <t>D:d3ddea48</t>
  </si>
  <si>
    <t>04661ebd</t>
  </si>
  <si>
    <t>D:47c21904</t>
  </si>
  <si>
    <t>4471d5b7</t>
  </si>
  <si>
    <t>S-ET:ba79a5aa</t>
  </si>
  <si>
    <t>7d42a5d5</t>
  </si>
  <si>
    <t>S-ET:717fb185</t>
  </si>
  <si>
    <t>628b80d1</t>
  </si>
  <si>
    <t>B:0d86e800;E:5aef2f21;S-ET:552cd3eb</t>
  </si>
  <si>
    <t>ac27f8b6</t>
  </si>
  <si>
    <t>B:0d86e800;E:5aef2f21;S-ET:730c7e89</t>
  </si>
  <si>
    <t>63aba748</t>
  </si>
  <si>
    <t>B:0d86e800;E:5aef2f21;S-ET:16373c87</t>
  </si>
  <si>
    <t>76e63e23</t>
  </si>
  <si>
    <t>B:0d86e800;E:5aef2f21;S-ET:c9d31f05</t>
  </si>
  <si>
    <t>e6210236</t>
  </si>
  <si>
    <t>B:0d86e800;E:5aef2f21;S-ET:af7e9fac</t>
  </si>
  <si>
    <t>b867e562</t>
  </si>
  <si>
    <t>B:0d86e800;E:5aef2f21;G:3e34c4c5;H:55199ea9;I:637bd47d;J:de4f4381;K:493ca65d;L:86287be9;M:49688f55;N:18e04449;O:5b8d2bdb;P:d5d64333;Q:8ee7c51f;S-ET:f2136de3</t>
  </si>
  <si>
    <t>866a619f</t>
  </si>
  <si>
    <t>B:0d86e800;E:5aef2f21;G:3e34c4c5;H:55199ea9;I:637bd47d;J:de4f4381;K:493ca65d;L:86287be9;M:49688f55;N:18e04449;O:5b8d2bdb;P:d5d64333;Q:8ee7c51f;S-ET:95df1eed</t>
  </si>
  <si>
    <t>626ab0cb</t>
  </si>
  <si>
    <t>B:0d86e800;E:5aef2f21;G:3e34c4c5;H:55199ea9;I:637bd47d;J:de4f4381;K:493ca65d;L:86287be9;M:49688f55;N:18e04449;O:5b8d2bdb;P:d5d64333;Q:8ee7c51f;S-ET:6a42d85c</t>
  </si>
  <si>
    <t>9b245eae</t>
  </si>
  <si>
    <t>B:0d86e800;E:5aef2f21;G:3e34c4c5;H:55199ea9;I:637bd47d;J:de4f4381;K:493ca65d;L:86287be9;M:49688f55;N:18e04449;O:5b8d2bdb;P:d5d64333;Q:8ee7c51f;S-ET:9474f543</t>
  </si>
  <si>
    <t>1b968e2e</t>
  </si>
  <si>
    <t>B:0d86e800;E:5aef2f21;G:3e34c4c5;H:55199ea9;I:637bd47d;J:de4f4381;K:493ca65d;L:86287be9;M:49688f55;N:18e04449;O:5b8d2bdb;P:d5d64333;Q:8ee7c51f;S-ET:ad0f13d3</t>
  </si>
  <si>
    <t>b16bf80a</t>
  </si>
  <si>
    <t>B:0d86e800;E:5aef2f21;G:3e34c4c5;H:55199ea9;I:637bd47d;J:de4f4381;K:493ca65d;L:86287be9;M:49688f55;N:18e04449;O:5b8d2bdb;P:d5d64333;Q:8ee7c51f;S-ET:c9362c88</t>
  </si>
  <si>
    <t>173ecb77</t>
  </si>
  <si>
    <t>B:0d86e800;E:5aef2f21;G:3e34c4c5;H:55199ea9;I:637bd47d;J:de4f4381;K:493ca65d;L:86287be9;M:49688f55;N:18e04449;O:5b8d2bdb;P:d5d64333;Q:8ee7c51f;S-ET:84f9b69e</t>
  </si>
  <si>
    <t>f717e5e4</t>
  </si>
  <si>
    <t>B:0d86e800;E:5aef2f21;G:3e34c4c5;H:55199ea9;I:637bd47d;J:de4f4381;K:493ca65d;L:86287be9;M:49688f55;N:18e04449;O:5b8d2bdb;P:d5d64333;Q:8ee7c51f;S-ET:6265afb8</t>
  </si>
  <si>
    <t>7800a2af</t>
  </si>
  <si>
    <t>B:0d86e800;E:5aef2f21;G:3e34c4c5;H:55199ea9;I:637bd47d;J:de4f4381;K:493ca65d;L:86287be9;M:49688f55;N:18e04449;O:5b8d2bdb;P:d5d64333;Q:8ee7c51f;S-ET:b67d388e</t>
  </si>
  <si>
    <t>c56a25dd</t>
  </si>
  <si>
    <t>B:0d86e800;E:5aef2f21;G:3e34c4c5;H:55199ea9;I:637bd47d;J:de4f4381;K:493ca65d;L:86287be9;M:49688f55;N:18e04449;O:5b8d2bdb;P:d5d64333;Q:8ee7c51f;S-ET:33028087</t>
  </si>
  <si>
    <t>6af0d1b5</t>
  </si>
  <si>
    <t>B:0d86e800;E:5aef2f21;G-Q:273b321c</t>
  </si>
  <si>
    <t>f19e411a</t>
  </si>
  <si>
    <t>B:925e63d0;E:c13f7d08;S-ET:43e4f544</t>
  </si>
  <si>
    <t>74fb2dcb</t>
  </si>
  <si>
    <t>B:925e63d0;E:c13f7d08;S-ET:8c122369</t>
  </si>
  <si>
    <t>f2d6917f</t>
  </si>
  <si>
    <t>B:925e63d0;E:c13f7d08;S-ET:9aac927f</t>
  </si>
  <si>
    <t>9b3205f8</t>
  </si>
  <si>
    <t>B:925e63d0;E:c13f7d08;S-ET:f335e577</t>
  </si>
  <si>
    <t>530a9bb1</t>
  </si>
  <si>
    <t>B:925e63d0;E:c13f7d08;S-ET:83d4eef1</t>
  </si>
  <si>
    <t>1f0de3fe</t>
  </si>
  <si>
    <t>B:925e63d0;E:c13f7d08;G:3e34c4c5;H:55199ea9;I:637bd47d;J:de4f4381;K:493ca65d;L:86287be9;M:49688f55;N:18e04449;O:5b8d2bdb;P:d5d64333;Q:8ee7c51f;S-ET:f008d2f5</t>
  </si>
  <si>
    <t>6e307bab</t>
  </si>
  <si>
    <t>B:925e63d0;E:c13f7d08;G:3e34c4c5;H:55199ea9;I:637bd47d;J:de4f4381;K:493ca65d;L:86287be9;M:49688f55;N:18e04449;O:5b8d2bdb;P:d5d64333;Q:8ee7c51f;S-ET:5e16f2cf</t>
  </si>
  <si>
    <t>834b264f</t>
  </si>
  <si>
    <t>B:925e63d0;E:c13f7d08;G:3e34c4c5;H:55199ea9;I:637bd47d;J:de4f4381;K:493ca65d;L:86287be9;M:49688f55;N:18e04449;O:5b8d2bdb;P:d5d64333;Q:8ee7c51f;S-ET:272d30ea</t>
  </si>
  <si>
    <t>74c22bd8</t>
  </si>
  <si>
    <t>B:925e63d0;E:c13f7d08;G:3e34c4c5;H:55199ea9;I:637bd47d;J:de4f4381;K:493ca65d;L:86287be9;M:49688f55;N:18e04449;O:5b8d2bdb;P:d5d64333;Q:8ee7c51f;S-ET:2c98ee52</t>
  </si>
  <si>
    <t>a4784319</t>
  </si>
  <si>
    <t>B:925e63d0;E:c13f7d08;G:3e34c4c5;H:55199ea9;I:637bd47d;J:de4f4381;K:493ca65d;L:86287be9;M:49688f55;N:18e04449;O:5b8d2bdb;P:d5d64333;Q:8ee7c51f;S-ET:89b6d919</t>
  </si>
  <si>
    <t>713ba411</t>
  </si>
  <si>
    <t>B:925e63d0;E:c13f7d08;G:3e34c4c5;H:55199ea9;I:637bd47d;J:de4f4381;K:493ca65d;L:86287be9;M:49688f55;N:18e04449;O:5b8d2bdb;P:d5d64333;Q:8ee7c51f;S-ET:c1d02b37</t>
  </si>
  <si>
    <t>97db50fa</t>
  </si>
  <si>
    <t>B:925e63d0;E:c13f7d08;G:3e34c4c5;H:55199ea9;I:637bd47d;J:de4f4381;K:493ca65d;L:86287be9;M:49688f55;N:18e04449;O:5b8d2bdb;P:d5d64333;Q:8ee7c51f;S-ET:3f686219</t>
  </si>
  <si>
    <t>dcb1e38e</t>
  </si>
  <si>
    <t>B:925e63d0;E:c13f7d08;G:3e34c4c5;H:55199ea9;I:637bd47d;J:de4f4381;K:493ca65d;L:86287be9;M:49688f55;N:18e04449;O:5b8d2bdb;P:d5d64333;Q:8ee7c51f;S-ET:e2af44a8</t>
  </si>
  <si>
    <t>cd43a75f</t>
  </si>
  <si>
    <t>B:925e63d0;E:c13f7d08;G:3e34c4c5;H:55199ea9;I:637bd47d;J:de4f4381;K:493ca65d;L:86287be9;M:49688f55;N:18e04449;O:5b8d2bdb;P:d5d64333;Q:8ee7c51f;S-ET:ad7f80f6</t>
  </si>
  <si>
    <t>d3a7a53d</t>
  </si>
  <si>
    <t>B:925e63d0;E:c13f7d08;G:3e34c4c5;H:55199ea9;I:637bd47d;J:de4f4381;K:493ca65d;L:86287be9;M:49688f55;N:18e04449;O:5b8d2bdb;P:d5d64333;Q:8ee7c51f;S-ET:b257cf0e</t>
  </si>
  <si>
    <t>bfad222e</t>
  </si>
  <si>
    <t>B:925e63d0;E:c13f7d08;G-Q:1d556095</t>
  </si>
  <si>
    <t>500e2684</t>
  </si>
  <si>
    <t>B:56faafaa;E:cdc5ca8c;S-ET:ef2d7532</t>
  </si>
  <si>
    <t>e69beb67</t>
  </si>
  <si>
    <t>B:56faafaa;E:cdc5ca8c;S-ET:ff27b161</t>
  </si>
  <si>
    <t>6f7b9d9c</t>
  </si>
  <si>
    <t>B:56faafaa;E:cdc5ca8c;S-ET:cfe35237</t>
  </si>
  <si>
    <t>81655d26</t>
  </si>
  <si>
    <t>B:56faafaa;E:cdc5ca8c;S-ET:c4f33d69</t>
  </si>
  <si>
    <t>09ebfe27</t>
  </si>
  <si>
    <t>B:56faafaa;E:cdc5ca8c;S-ET:cf21a39b</t>
  </si>
  <si>
    <t>2cafae18</t>
  </si>
  <si>
    <t>B:56faafaa;E:cdc5ca8c;G:3e34c4c5;H:55199ea9;I:637bd47d;J:de4f4381;K:493ca65d;L:86287be9;M:49688f55;N:18e04449;O:5b8d2bdb;P:d5d64333;Q:8ee7c51f;S-ET:de96bc69</t>
  </si>
  <si>
    <t>ad99e122</t>
  </si>
  <si>
    <t>B:56faafaa;E:cdc5ca8c;G:3e34c4c5;H:55199ea9;I:637bd47d;J:de4f4381;K:493ca65d;L:86287be9;M:49688f55;N:18e04449;O:5b8d2bdb;P:d5d64333;Q:8ee7c51f;S-ET:abfafe63</t>
  </si>
  <si>
    <t>ac5a71ba</t>
  </si>
  <si>
    <t>B:56faafaa;E:cdc5ca8c;G:3e34c4c5;H:55199ea9;I:637bd47d;J:de4f4381;K:493ca65d;L:86287be9;M:49688f55;N:18e04449;O:5b8d2bdb;P:d5d64333;Q:8ee7c51f;S-ET:35b43506</t>
  </si>
  <si>
    <t>97230500</t>
  </si>
  <si>
    <t>B:56faafaa;E:cdc5ca8c;G:3e34c4c5;H:55199ea9;I:637bd47d;J:de4f4381;K:493ca65d;L:86287be9;M:49688f55;N:18e04449;O:5b8d2bdb;P:d5d64333;Q:8ee7c51f;S-ET:05aef9b4</t>
  </si>
  <si>
    <t>09585ea9</t>
  </si>
  <si>
    <t>B:56faafaa;E:cdc5ca8c;G:3e34c4c5;H:55199ea9;I:637bd47d;J:de4f4381;K:493ca65d;L:86287be9;M:49688f55;N:18e04449;O:5b8d2bdb;P:d5d64333;Q:8ee7c51f;S-ET:d38191eb</t>
  </si>
  <si>
    <t>6ec5f5ea</t>
  </si>
  <si>
    <t>B:56faafaa;E:cdc5ca8c;G:3e34c4c5;H:55199ea9;I:637bd47d;J:de4f4381;K:493ca65d;L:86287be9;M:49688f55;N:18e04449;O:5b8d2bdb;P:d5d64333;Q:8ee7c51f;S-ET:b230b4ed</t>
  </si>
  <si>
    <t>5461fb0a</t>
  </si>
  <si>
    <t>B:56faafaa;E:cdc5ca8c;G:3e34c4c5;H:55199ea9;I:637bd47d;J:de4f4381;K:493ca65d;L:86287be9;M:49688f55;N:18e04449;O:5b8d2bdb;P:d5d64333;Q:8ee7c51f;S-ET:2b4deb5b</t>
  </si>
  <si>
    <t>7f7d0d0d</t>
  </si>
  <si>
    <t>B:56faafaa;E:cdc5ca8c;G:3e34c4c5;H:55199ea9;I:637bd47d;J:de4f4381;K:493ca65d;L:86287be9;M:49688f55;N:18e04449;O:5b8d2bdb;P:d5d64333;Q:8ee7c51f;S-ET:d9c3debe</t>
  </si>
  <si>
    <t>5b686b79</t>
  </si>
  <si>
    <t>B:56faafaa;E:cdc5ca8c;G:3e34c4c5;H:55199ea9;I:637bd47d;J:de4f4381;K:493ca65d;L:86287be9;M:49688f55;N:18e04449;O:5b8d2bdb;P:d5d64333;Q:8ee7c51f;S-ET:1cf0e710</t>
  </si>
  <si>
    <t>fc298372</t>
  </si>
  <si>
    <t>B:56faafaa;E:cdc5ca8c;G:3e34c4c5;H:55199ea9;I:637bd47d;J:de4f4381;K:493ca65d;L:86287be9;M:49688f55;N:18e04449;O:5b8d2bdb;P:d5d64333;Q:8ee7c51f;S-ET:0f6f4864</t>
  </si>
  <si>
    <t>533a18d9</t>
  </si>
  <si>
    <t>B:56faafaa;E:cdc5ca8c;G-Q:e436aa27</t>
  </si>
  <si>
    <t>ffce1038</t>
  </si>
  <si>
    <t>B:a80cfa94;E:67757ca5;S-ET:71b3d12f</t>
  </si>
  <si>
    <t>822a0d55</t>
  </si>
  <si>
    <t>B:a80cfa94;E:67757ca5;S-ET:8d28045f</t>
  </si>
  <si>
    <t>f3be4971</t>
  </si>
  <si>
    <t>B:a80cfa94;E:67757ca5;S-ET:33d4205d</t>
  </si>
  <si>
    <t>6c818c5b</t>
  </si>
  <si>
    <t>B:a80cfa94;E:67757ca5;S-ET:8740a5c1</t>
  </si>
  <si>
    <t>ab8aace8</t>
  </si>
  <si>
    <t>B:a80cfa94;E:67757ca5;S-ET:4cba8abc</t>
  </si>
  <si>
    <t>29331704</t>
  </si>
  <si>
    <t>B:a80cfa94;E:67757ca5;G:3e34c4c5;H:55199ea9;I:637bd47d;J:de4f4381;K:493ca65d;L:86287be9;M:49688f55;N:18e04449;O:5b8d2bdb;P:d5d64333;Q:8ee7c51f;S-ET:e02a0b71</t>
  </si>
  <si>
    <t>d9d8ed33</t>
  </si>
  <si>
    <t>B:a80cfa94;E:67757ca5;G:3e34c4c5;H:55199ea9;I:637bd47d;J:de4f4381;K:493ca65d;L:86287be9;M:49688f55;N:18e04449;O:5b8d2bdb;P:d5d64333;Q:8ee7c51f;S-ET:c496955b</t>
  </si>
  <si>
    <t>cdb0db3d</t>
  </si>
  <si>
    <t>B:a80cfa94;E:67757ca5;G:3e34c4c5;H:55199ea9;I:637bd47d;J:de4f4381;K:493ca65d;L:86287be9;M:49688f55;N:18e04449;O:5b8d2bdb;P:d5d64333;Q:8ee7c51f;S-ET:12c46d2a</t>
  </si>
  <si>
    <t>c062d2b4</t>
  </si>
  <si>
    <t>B:a80cfa94;E:67757ca5;G:3e34c4c5;H:55199ea9;I:637bd47d;J:de4f4381;K:493ca65d;L:86287be9;M:49688f55;N:18e04449;O:5b8d2bdb;P:d5d64333;Q:8ee7c51f;S-ET:70241271</t>
  </si>
  <si>
    <t>f01753f3</t>
  </si>
  <si>
    <t>B:a80cfa94;E:67757ca5;G:3e34c4c5;H:55199ea9;I:637bd47d;J:de4f4381;K:493ca65d;L:86287be9;M:49688f55;N:18e04449;O:5b8d2bdb;P:d5d64333;Q:8ee7c51f;S-ET:cc5bcc8b</t>
  </si>
  <si>
    <t>ef55343b</t>
  </si>
  <si>
    <t>B:a80cfa94;E:67757ca5;G:3e34c4c5;H:55199ea9;I:637bd47d;J:de4f4381;K:493ca65d;L:86287be9;M:49688f55;N:18e04449;O:5b8d2bdb;P:d5d64333;Q:8ee7c51f;S-ET:e7c93240</t>
  </si>
  <si>
    <t>bedad9b0</t>
  </si>
  <si>
    <t>B:a80cfa94;E:67757ca5;G:3e34c4c5;H:55199ea9;I:637bd47d;J:de4f4381;K:493ca65d;L:86287be9;M:49688f55;N:18e04449;O:5b8d2bdb;P:d5d64333;Q:8ee7c51f;S-ET:5a6168e6</t>
  </si>
  <si>
    <t>dbe6e52e</t>
  </si>
  <si>
    <t>B:a80cfa94;E:67757ca5;G:3e34c4c5;H:55199ea9;I:637bd47d;J:de4f4381;K:493ca65d;L:86287be9;M:49688f55;N:18e04449;O:5b8d2bdb;P:d5d64333;Q:8ee7c51f;S-ET:10ab306e</t>
  </si>
  <si>
    <t>24af54c5</t>
  </si>
  <si>
    <t>B:a80cfa94;E:67757ca5;G:3e34c4c5;H:55199ea9;I:637bd47d;J:de4f4381;K:493ca65d;L:86287be9;M:49688f55;N:18e04449;O:5b8d2bdb;P:d5d64333;Q:8ee7c51f;S-ET:4afdb01c</t>
  </si>
  <si>
    <t>7903d6cb</t>
  </si>
  <si>
    <t>B:a80cfa94;E:67757ca5;G:3e34c4c5;H:55199ea9;I:637bd47d;J:de4f4381;K:493ca65d;L:86287be9;M:49688f55;N:18e04449;O:5b8d2bdb;P:d5d64333;Q:8ee7c51f;S-ET:e1a7625b</t>
  </si>
  <si>
    <t>5f4d5569</t>
  </si>
  <si>
    <t>B:a80cfa94;E:67757ca5;G-Q:f60ffbc8</t>
  </si>
  <si>
    <t>057f8c46</t>
  </si>
  <si>
    <t>B:51ac0c32;E:846c26aa;S-ET:8f6c491c</t>
  </si>
  <si>
    <t>9f4f8b7f</t>
  </si>
  <si>
    <t>B:51ac0c32;E:846c26aa;S-ET:51d6e2c9</t>
  </si>
  <si>
    <t>d8afda46</t>
  </si>
  <si>
    <t>B:51ac0c32;E:846c26aa;S-ET:c1773117</t>
  </si>
  <si>
    <t>26b7ab26</t>
  </si>
  <si>
    <t>B:51ac0c32;E:846c26aa;S-ET:e310de4d</t>
  </si>
  <si>
    <t>36823194</t>
  </si>
  <si>
    <t>B:51ac0c32;E:846c26aa;S-ET:40aa6871</t>
  </si>
  <si>
    <t>c31f5a78</t>
  </si>
  <si>
    <t>B:51ac0c32;E:846c26aa;G:3e34c4c5;H:55199ea9;I:637bd47d;J:de4f4381;K:493ca65d;L:86287be9;M:49688f55;N:18e04449;O:5b8d2bdb;P:d5d64333;Q:8ee7c51f;S-ET:0b364c75</t>
  </si>
  <si>
    <t>0c2e09a0</t>
  </si>
  <si>
    <t>B:51ac0c32;E:846c26aa;G:3e34c4c5;H:55199ea9;I:637bd47d;J:de4f4381;K:493ca65d;L:86287be9;M:49688f55;N:18e04449;O:5b8d2bdb;P:d5d64333;Q:8ee7c51f;S-ET:be7ee97b</t>
  </si>
  <si>
    <t>93663ab9</t>
  </si>
  <si>
    <t>B:51ac0c32;E:846c26aa;G:3e34c4c5;H:55199ea9;I:637bd47d;J:de4f4381;K:493ca65d;L:86287be9;M:49688f55;N:18e04449;O:5b8d2bdb;P:d5d64333;Q:8ee7c51f;S-ET:93f5b282</t>
  </si>
  <si>
    <t>6fde5a48</t>
  </si>
  <si>
    <t>B:51ac0c32;E:846c26aa;G:3e34c4c5;H:55199ea9;I:637bd47d;J:de4f4381;K:493ca65d;L:86287be9;M:49688f55;N:18e04449;O:5b8d2bdb;P:d5d64333;Q:8ee7c51f;S-ET:5e15fae2</t>
  </si>
  <si>
    <t>3397d29c</t>
  </si>
  <si>
    <t>B:51ac0c32;E:846c26aa;G:3e34c4c5;H:55199ea9;I:637bd47d;J:de4f4381;K:493ca65d;L:86287be9;M:49688f55;N:18e04449;O:5b8d2bdb;P:d5d64333;Q:8ee7c51f;S-ET:10e92aa3</t>
  </si>
  <si>
    <t>1de92a5f</t>
  </si>
  <si>
    <t>B:51ac0c32;E:846c26aa;G:3e34c4c5;H:55199ea9;I:637bd47d;J:de4f4381;K:493ca65d;L:86287be9;M:49688f55;N:18e04449;O:5b8d2bdb;P:d5d64333;Q:8ee7c51f;S-ET:19c51ba3</t>
  </si>
  <si>
    <t>b74a806f</t>
  </si>
  <si>
    <t>B:51ac0c32;E:846c26aa;G:3e34c4c5;H:55199ea9;I:637bd47d;J:de4f4381;K:493ca65d;L:86287be9;M:49688f55;N:18e04449;O:5b8d2bdb;P:d5d64333;Q:8ee7c51f;S-ET:8a19dcad</t>
  </si>
  <si>
    <t>82f65c1f</t>
  </si>
  <si>
    <t>B:51ac0c32;E:846c26aa;G:3e34c4c5;H:55199ea9;I:637bd47d;J:de4f4381;K:493ca65d;L:86287be9;M:49688f55;N:18e04449;O:5b8d2bdb;P:d5d64333;Q:8ee7c51f;S-ET:7070b66e</t>
  </si>
  <si>
    <t>c85ce99e</t>
  </si>
  <si>
    <t>B:51ac0c32;E:846c26aa;G:3e34c4c5;H:55199ea9;I:637bd47d;J:de4f4381;K:493ca65d;L:86287be9;M:49688f55;N:18e04449;O:5b8d2bdb;P:d5d64333;Q:8ee7c51f;S-ET:e4641514</t>
  </si>
  <si>
    <t>07c28ebd</t>
  </si>
  <si>
    <t>B:51ac0c32;E:846c26aa;G:3e34c4c5;H:55199ea9;I:637bd47d;J:de4f4381;K:493ca65d;L:86287be9;M:49688f55;N:18e04449;O:5b8d2bdb;P:d5d64333;Q:8ee7c51f;S-ET:e82bf14e</t>
  </si>
  <si>
    <t>fe3b9363</t>
  </si>
  <si>
    <t>B:51ac0c32;E:846c26aa;G-Q:2ac78299</t>
  </si>
  <si>
    <t>febf6bea</t>
  </si>
  <si>
    <t>B:24673e00;E:b42a69ab;S-ET:113c47a1</t>
  </si>
  <si>
    <t>66470042</t>
  </si>
  <si>
    <t>B:24673e00;E:b42a69ab;S-ET:a6a60423</t>
  </si>
  <si>
    <t>108eb3b8</t>
  </si>
  <si>
    <t>B:24673e00;E:b42a69ab;S-ET:d4577891</t>
  </si>
  <si>
    <t>d5feced0</t>
  </si>
  <si>
    <t>B:24673e00;E:b42a69ab;S-ET:8bf36165</t>
  </si>
  <si>
    <t>7c971644</t>
  </si>
  <si>
    <t>B:24673e00;E:b42a69ab;S-ET:21a70c32</t>
  </si>
  <si>
    <t>81dfa51c</t>
  </si>
  <si>
    <t>B:24673e00;E:b42a69ab;G:3e34c4c5;H:55199ea9;I:637bd47d;J:de4f4381;K:493ca65d;L:86287be9;M:49688f55;N:18e04449;O:5b8d2bdb;P:d5d64333;Q:8ee7c51f;S-ET:1371bb65</t>
  </si>
  <si>
    <t>3b6e7338</t>
  </si>
  <si>
    <t>B:24673e00;E:b42a69ab;G:3e34c4c5;H:55199ea9;I:637bd47d;J:de4f4381;K:493ca65d;L:86287be9;M:49688f55;N:18e04449;O:5b8d2bdb;P:d5d64333;Q:8ee7c51f;S-ET:6291553b</t>
  </si>
  <si>
    <t>843226cb</t>
  </si>
  <si>
    <t>B:24673e00;E:b42a69ab;G:3e34c4c5;H:55199ea9;I:637bd47d;J:de4f4381;K:493ca65d;L:86287be9;M:49688f55;N:18e04449;O:5b8d2bdb;P:d5d64333;Q:8ee7c51f;S-ET:066a6c86</t>
  </si>
  <si>
    <t>e3712463</t>
  </si>
  <si>
    <t>B:24673e00;E:b42a69ab;G:3e34c4c5;H:55199ea9;I:637bd47d;J:de4f4381;K:493ca65d;L:86287be9;M:49688f55;N:18e04449;O:5b8d2bdb;P:d5d64333;Q:8ee7c51f;S-ET:23a83daf</t>
  </si>
  <si>
    <t>3f70e132</t>
  </si>
  <si>
    <t>B:24673e00;E:b42a69ab;G:3e34c4c5;H:55199ea9;I:637bd47d;J:de4f4381;K:493ca65d;L:86287be9;M:49688f55;N:18e04449;O:5b8d2bdb;P:d5d64333;Q:8ee7c51f;S-ET:ee31b96b</t>
  </si>
  <si>
    <t>6d49da15</t>
  </si>
  <si>
    <t>B:24673e00;E:b42a69ab;G:3e34c4c5;H:55199ea9;I:637bd47d;J:de4f4381;K:493ca65d;L:86287be9;M:49688f55;N:18e04449;O:5b8d2bdb;P:d5d64333;Q:8ee7c51f;S-ET:d45b710e</t>
  </si>
  <si>
    <t>6974cade</t>
  </si>
  <si>
    <t>B:24673e00;E:b42a69ab;G:3e34c4c5;H:55199ea9;I:637bd47d;J:de4f4381;K:493ca65d;L:86287be9;M:49688f55;N:18e04449;O:5b8d2bdb;P:d5d64333;Q:8ee7c51f;S-ET:575364e0</t>
  </si>
  <si>
    <t>4b7fb2ca</t>
  </si>
  <si>
    <t>B:24673e00;E:b42a69ab;G:3e34c4c5;H:55199ea9;I:637bd47d;J:de4f4381;K:493ca65d;L:86287be9;M:49688f55;N:18e04449;O:5b8d2bdb;P:d5d64333;Q:8ee7c51f;S-ET:09b8b1de</t>
  </si>
  <si>
    <t>0c395967</t>
  </si>
  <si>
    <t>B:24673e00;E:b42a69ab;G:3e34c4c5;H:55199ea9;I:637bd47d;J:de4f4381;K:493ca65d;L:86287be9;M:49688f55;N:18e04449;O:5b8d2bdb;P:d5d64333;Q:8ee7c51f;S-ET:1f382dd0</t>
  </si>
  <si>
    <t>eb4d4935</t>
  </si>
  <si>
    <t>B:24673e00;E:b42a69ab;G:3e34c4c5;H:55199ea9;I:637bd47d;J:de4f4381;K:493ca65d;L:86287be9;M:49688f55;N:18e04449;O:5b8d2bdb;P:d5d64333;Q:8ee7c51f;S-ET:c61dc83d</t>
  </si>
  <si>
    <t>e6de4912</t>
  </si>
  <si>
    <t>B:24673e00;E:b42a69ab;G-Q:d19a5472</t>
  </si>
  <si>
    <t>45a250b6</t>
  </si>
  <si>
    <t>B:ae515a92;E:226f38f0;S-ET:6cc75b76</t>
  </si>
  <si>
    <t>0b2b5e64</t>
  </si>
  <si>
    <t>B:ae515a92;E:226f38f0;S-ET:37b0ef19</t>
  </si>
  <si>
    <t>d7f3d80f</t>
  </si>
  <si>
    <t>B:ae515a92;E:226f38f0;S-ET:bd1d5bdf</t>
  </si>
  <si>
    <t>1961dc52</t>
  </si>
  <si>
    <t>B:ae515a92;E:226f38f0;S-ET:8e895491</t>
  </si>
  <si>
    <t>86115b34</t>
  </si>
  <si>
    <t>B:ae515a92;E:226f38f0;S-ET:68db58bf</t>
  </si>
  <si>
    <t>ae0083f0</t>
  </si>
  <si>
    <t>B:ae515a92;E:226f38f0;G:3e34c4c5;H:55199ea9;I:637bd47d;J:de4f4381;K:493ca65d;L:86287be9;M:49688f55;N:18e04449;O:5b8d2bdb;P:d5d64333;Q:8ee7c51f;S-ET:3454ad11</t>
  </si>
  <si>
    <t>72aded89</t>
  </si>
  <si>
    <t>B:ae515a92;E:226f38f0;G:3e34c4c5;H:55199ea9;I:637bd47d;J:de4f4381;K:493ca65d;L:86287be9;M:49688f55;N:18e04449;O:5b8d2bdb;P:d5d64333;Q:8ee7c51f;S-ET:6382ce3b</t>
  </si>
  <si>
    <t>eb226a69</t>
  </si>
  <si>
    <t>B:ae515a92;E:226f38f0;G:3e34c4c5;H:55199ea9;I:637bd47d;J:de4f4381;K:493ca65d;L:86287be9;M:49688f55;N:18e04449;O:5b8d2bdb;P:d5d64333;Q:8ee7c51f;S-ET:80d6f336</t>
  </si>
  <si>
    <t>9a7f764a</t>
  </si>
  <si>
    <t>B:ae515a92;E:226f38f0;G:3e34c4c5;H:55199ea9;I:637bd47d;J:de4f4381;K:493ca65d;L:86287be9;M:49688f55;N:18e04449;O:5b8d2bdb;P:d5d64333;Q:8ee7c51f;S-ET:b81b3fc0</t>
  </si>
  <si>
    <t>2f886b7c</t>
  </si>
  <si>
    <t>B:ae515a92;E:226f38f0;G:3e34c4c5;H:55199ea9;I:637bd47d;J:de4f4381;K:493ca65d;L:86287be9;M:49688f55;N:18e04449;O:5b8d2bdb;P:d5d64333;Q:8ee7c51f;S-ET:f8bca72b</t>
  </si>
  <si>
    <t>a8bc5006</t>
  </si>
  <si>
    <t>B:ae515a92;E:226f38f0;G:3e34c4c5;H:55199ea9;I:637bd47d;J:de4f4381;K:493ca65d;L:86287be9;M:49688f55;N:18e04449;O:5b8d2bdb;P:d5d64333;Q:8ee7c51f;S-ET:65168339</t>
  </si>
  <si>
    <t>d264fad7</t>
  </si>
  <si>
    <t>B:ae515a92;E:226f38f0;G:3e34c4c5;H:55199ea9;I:637bd47d;J:de4f4381;K:493ca65d;L:86287be9;M:49688f55;N:18e04449;O:5b8d2bdb;P:d5d64333;Q:8ee7c51f;S-ET:a8f58b6f</t>
  </si>
  <si>
    <t>54672190</t>
  </si>
  <si>
    <t>B:ae515a92;E:226f38f0;G:3e34c4c5;H:55199ea9;I:637bd47d;J:de4f4381;K:493ca65d;L:86287be9;M:49688f55;N:18e04449;O:5b8d2bdb;P:d5d64333;Q:8ee7c51f;S-ET:8f37248e</t>
  </si>
  <si>
    <t>abe35728</t>
  </si>
  <si>
    <t>B:ae515a92;E:226f38f0;G:3e34c4c5;H:55199ea9;I:637bd47d;J:de4f4381;K:493ca65d;L:86287be9;M:49688f55;N:18e04449;O:5b8d2bdb;P:d5d64333;Q:8ee7c51f;S-ET:e75a15e0</t>
  </si>
  <si>
    <t>95c04e52</t>
  </si>
  <si>
    <t>B:ae515a92;E:226f38f0;G:3e34c4c5;H:55199ea9;I:637bd47d;J:de4f4381;K:493ca65d;L:86287be9;M:49688f55;N:18e04449;O:5b8d2bdb;P:d5d64333;Q:8ee7c51f;S-ET:d9784478</t>
  </si>
  <si>
    <t>d550dbd5</t>
  </si>
  <si>
    <t>B:ae515a92;E:226f38f0;G-Q:f2683373</t>
  </si>
  <si>
    <t>722fadd9</t>
  </si>
  <si>
    <t>B:6514b2d4;E:bc1eeb09;S-ET:72c4a3cb</t>
  </si>
  <si>
    <t>ea0ab3db</t>
  </si>
  <si>
    <t>B:6514b2d4;E:bc1eeb09;S-ET:da65fadf</t>
  </si>
  <si>
    <t>fa7b6c35</t>
  </si>
  <si>
    <t>B:6514b2d4;E:bc1eeb09;S-ET:e148b03d</t>
  </si>
  <si>
    <t>f3a838c6</t>
  </si>
  <si>
    <t>B:6514b2d4;E:bc1eeb09;S-ET:95353371</t>
  </si>
  <si>
    <t>d1d524a8</t>
  </si>
  <si>
    <t>B:6514b2d4;E:bc1eeb09;S-ET:fdb7ae90</t>
  </si>
  <si>
    <t>ef8bbda3</t>
  </si>
  <si>
    <t>B:6514b2d4;E:bc1eeb09;G:3e34c4c5;H:55199ea9;I:637bd47d;J:de4f4381;K:493ca65d;L:86287be9;M:49688f55;N:18e04449;O:5b8d2bdb;P:d5d64333;Q:8ee7c51f;S-ET:6d34a8d9</t>
  </si>
  <si>
    <t>973516b9</t>
  </si>
  <si>
    <t>B:6514b2d4;E:bc1eeb09;G:3e34c4c5;H:55199ea9;I:637bd47d;J:de4f4381;K:493ca65d;L:86287be9;M:49688f55;N:18e04449;O:5b8d2bdb;P:d5d64333;Q:8ee7c51f;S-ET:2ac78d33</t>
  </si>
  <si>
    <t>2e50a53f</t>
  </si>
  <si>
    <t>B:6514b2d4;E:bc1eeb09;G:3e34c4c5;H:55199ea9;I:637bd47d;J:de4f4381;K:493ca65d;L:86287be9;M:49688f55;N:18e04449;O:5b8d2bdb;P:d5d64333;Q:8ee7c51f;S-ET:a784bf52</t>
  </si>
  <si>
    <t>fb3c0dfc</t>
  </si>
  <si>
    <t>B:6514b2d4;E:bc1eeb09;G:3e34c4c5;H:55199ea9;I:637bd47d;J:de4f4381;K:493ca65d;L:86287be9;M:49688f55;N:18e04449;O:5b8d2bdb;P:d5d64333;Q:8ee7c51f;S-ET:c7ca4f35</t>
  </si>
  <si>
    <t>b6179240</t>
  </si>
  <si>
    <t>B:6514b2d4;E:bc1eeb09;G:3e34c4c5;H:55199ea9;I:637bd47d;J:de4f4381;K:493ca65d;L:86287be9;M:49688f55;N:18e04449;O:5b8d2bdb;P:d5d64333;Q:8ee7c51f;S-ET:584cbacb</t>
  </si>
  <si>
    <t>9f0bf8fb</t>
  </si>
  <si>
    <t>B:6514b2d4;E:bc1eeb09;G:3e34c4c5;H:55199ea9;I:637bd47d;J:de4f4381;K:493ca65d;L:86287be9;M:49688f55;N:18e04449;O:5b8d2bdb;P:d5d64333;Q:8ee7c51f;S-ET:563757cc</t>
  </si>
  <si>
    <t>5b059572</t>
  </si>
  <si>
    <t>B:6514b2d4;E:bc1eeb09;G:3e34c4c5;H:55199ea9;I:637bd47d;J:de4f4381;K:493ca65d;L:86287be9;M:49688f55;N:18e04449;O:5b8d2bdb;P:d5d64333;Q:8ee7c51f;S-ET:1684929a</t>
  </si>
  <si>
    <t>f1aa8d9e</t>
  </si>
  <si>
    <t>B:6514b2d4;E:bc1eeb09;G:3e34c4c5;H:55199ea9;I:637bd47d;J:de4f4381;K:493ca65d;L:86287be9;M:49688f55;N:18e04449;O:5b8d2bdb;P:d5d64333;Q:8ee7c51f;S-ET:278e04ee</t>
  </si>
  <si>
    <t>43c2d201</t>
  </si>
  <si>
    <t>B:6514b2d4;E:bc1eeb09;G:3e34c4c5;H:55199ea9;I:637bd47d;J:de4f4381;K:493ca65d;L:86287be9;M:49688f55;N:18e04449;O:5b8d2bdb;P:d5d64333;Q:8ee7c51f;S-ET:0716e1e4</t>
  </si>
  <si>
    <t>19de77f9</t>
  </si>
  <si>
    <t>B:6514b2d4;E:bc1eeb09;G:3e34c4c5;H:55199ea9;I:637bd47d;J:de4f4381;K:493ca65d;L:86287be9;M:49688f55;N:18e04449;O:5b8d2bdb;P:d5d64333;Q:8ee7c51f;S-ET:b06556cf</t>
  </si>
  <si>
    <t>60c1226e</t>
  </si>
  <si>
    <t>B:6514b2d4;E:bc1eeb09;G-Q:626c7404</t>
  </si>
  <si>
    <t>409202a6</t>
  </si>
  <si>
    <t>B:228f07da;E:65bbef8e;S-ET:67a9dfc0</t>
  </si>
  <si>
    <t>18bfe630</t>
  </si>
  <si>
    <t>B:228f07da;E:65bbef8e;S-ET:13676621</t>
  </si>
  <si>
    <t>f4bd4104</t>
  </si>
  <si>
    <t>B:228f07da;E:65bbef8e;S-ET:aeaa07af</t>
  </si>
  <si>
    <t>0514be75</t>
  </si>
  <si>
    <t>B:228f07da;E:65bbef8e;S-ET:2b0e1a2d</t>
  </si>
  <si>
    <t>040e008c</t>
  </si>
  <si>
    <t>B:228f07da;E:65bbef8e;S-ET:752f56b5</t>
  </si>
  <si>
    <t>f7b41826</t>
  </si>
  <si>
    <t>B:228f07da;E:65bbef8e;G:3e34c4c5;H:55199ea9;I:637bd47d;J:de4f4381;K:493ca65d;L:86287be9;M:49688f55;N:18e04449;O:5b8d2bdb;P:d5d64333;Q:8ee7c51f;S-ET:623e3775</t>
  </si>
  <si>
    <t>1860b0cf</t>
  </si>
  <si>
    <t>B:228f07da;E:65bbef8e;G:3e34c4c5;H:55199ea9;I:637bd47d;J:de4f4381;K:493ca65d;L:86287be9;M:49688f55;N:18e04449;O:5b8d2bdb;P:d5d64333;Q:8ee7c51f;S-ET:cd8da2b3</t>
  </si>
  <si>
    <t>873013c1</t>
  </si>
  <si>
    <t>B:228f07da;E:65bbef8e;G:3e34c4c5;H:55199ea9;I:637bd47d;J:de4f4381;K:493ca65d;L:86287be9;M:49688f55;N:18e04449;O:5b8d2bdb;P:d5d64333;Q:8ee7c51f;S-ET:5335882a</t>
  </si>
  <si>
    <t>0863305a</t>
  </si>
  <si>
    <t>B:228f07da;E:65bbef8e;G:3e34c4c5;H:55199ea9;I:637bd47d;J:de4f4381;K:493ca65d;L:86287be9;M:49688f55;N:18e04449;O:5b8d2bdb;P:d5d64333;Q:8ee7c51f;S-ET:4ea45f0e</t>
  </si>
  <si>
    <t>dae7dcfa</t>
  </si>
  <si>
    <t>B:228f07da;E:65bbef8e;G:3e34c4c5;H:55199ea9;I:637bd47d;J:de4f4381;K:493ca65d;L:86287be9;M:49688f55;N:18e04449;O:5b8d2bdb;P:d5d64333;Q:8ee7c51f;S-ET:df8c5743</t>
  </si>
  <si>
    <t>e473d0d8</t>
  </si>
  <si>
    <t>B:228f07da;E:65bbef8e;G:3e34c4c5;H:55199ea9;I:637bd47d;J:de4f4381;K:493ca65d;L:86287be9;M:49688f55;N:18e04449;O:5b8d2bdb;P:d5d64333;Q:8ee7c51f;S-ET:568a05af</t>
  </si>
  <si>
    <t>e5c12ee7</t>
  </si>
  <si>
    <t>B:228f07da;E:65bbef8e;G:3e34c4c5;H:55199ea9;I:637bd47d;J:de4f4381;K:493ca65d;L:86287be9;M:49688f55;N:18e04449;O:5b8d2bdb;P:d5d64333;Q:8ee7c51f;S-ET:79167bb1</t>
  </si>
  <si>
    <t>37db26f4</t>
  </si>
  <si>
    <t>B:228f07da;E:65bbef8e;G:3e34c4c5;H:55199ea9;I:637bd47d;J:de4f4381;K:493ca65d;L:86287be9;M:49688f55;N:18e04449;O:5b8d2bdb;P:d5d64333;Q:8ee7c51f;S-ET:ca7191ee</t>
  </si>
  <si>
    <t>6b6e65cb</t>
  </si>
  <si>
    <t>B:228f07da;E:65bbef8e;G:3e34c4c5;H:55199ea9;I:637bd47d;J:de4f4381;K:493ca65d;L:86287be9;M:49688f55;N:18e04449;O:5b8d2bdb;P:d5d64333;Q:8ee7c51f;S-ET:8f0716bc</t>
  </si>
  <si>
    <t>fbd7de8e</t>
  </si>
  <si>
    <t>B:228f07da;E:65bbef8e;G:3e34c4c5;H:55199ea9;I:637bd47d;J:de4f4381;K:493ca65d;L:86287be9;M:49688f55;N:18e04449;O:5b8d2bdb;P:d5d64333;Q:8ee7c51f;S-ET:70641082</t>
  </si>
  <si>
    <t>6be8eda6</t>
  </si>
  <si>
    <t>B:228f07da;E:65bbef8e;G-Q:ff613e25</t>
  </si>
  <si>
    <t>b5cd90e1</t>
  </si>
  <si>
    <t>B:885e26e8;E:1796bcbf;S-ET:62587bcd</t>
  </si>
  <si>
    <t>2f3e60ff</t>
  </si>
  <si>
    <t>B:885e26e8;E:1796bcbf;S-ET:93c3addb</t>
  </si>
  <si>
    <t>5c327c80</t>
  </si>
  <si>
    <t>B:885e26e8;E:1796bcbf;S-ET:8c1f8949</t>
  </si>
  <si>
    <t>47300659</t>
  </si>
  <si>
    <t>B:885e26e8;E:1796bcbf;S-ET:fcc1c6ed</t>
  </si>
  <si>
    <t>69afb791</t>
  </si>
  <si>
    <t>B:885e26e8;E:1796bcbf;S-ET:d9eb39a6</t>
  </si>
  <si>
    <t>f282bcc2</t>
  </si>
  <si>
    <t>B:885e26e8;E:1796bcbf;G:3e34c4c5;H:55199ea9;I:637bd47d;J:de4f4381;K:493ca65d;L:86287be9;M:49688f55;N:18e04449;O:5b8d2bdb;P:d5d64333;Q:8ee7c51f;S-ET:cae87f15</t>
  </si>
  <si>
    <t>21e247b9</t>
  </si>
  <si>
    <t>B:885e26e8;E:1796bcbf;G:3e34c4c5;H:55199ea9;I:637bd47d;J:de4f4381;K:493ca65d;L:86287be9;M:49688f55;N:18e04449;O:5b8d2bdb;P:d5d64333;Q:8ee7c51f;S-ET:2015e7d3</t>
  </si>
  <si>
    <t>8d41041c</t>
  </si>
  <si>
    <t>B:885e26e8;E:1796bcbf;G:3e34c4c5;H:55199ea9;I:637bd47d;J:de4f4381;K:493ca65d;L:86287be9;M:49688f55;N:18e04449;O:5b8d2bdb;P:d5d64333;Q:8ee7c51f;S-ET:d1e6b846</t>
  </si>
  <si>
    <t>4d95ea14</t>
  </si>
  <si>
    <t>B:885e26e8;E:1796bcbf;G:3e34c4c5;H:55199ea9;I:637bd47d;J:de4f4381;K:493ca65d;L:86287be9;M:49688f55;N:18e04449;O:5b8d2bdb;P:d5d64333;Q:8ee7c51f;S-ET:1f5cd333</t>
  </si>
  <si>
    <t>68b3bde4</t>
  </si>
  <si>
    <t>B:885e26e8;E:1796bcbf;G:3e34c4c5;H:55199ea9;I:637bd47d;J:de4f4381;K:493ca65d;L:86287be9;M:49688f55;N:18e04449;O:5b8d2bdb;P:d5d64333;Q:8ee7c51f;S-ET:e6af04fb</t>
  </si>
  <si>
    <t>ace38643</t>
  </si>
  <si>
    <t>B:885e26e8;E:1796bcbf;G:3e34c4c5;H:55199ea9;I:637bd47d;J:de4f4381;K:493ca65d;L:86287be9;M:49688f55;N:18e04449;O:5b8d2bdb;P:d5d64333;Q:8ee7c51f;S-ET:ff7d0dca</t>
  </si>
  <si>
    <t>da3622e1</t>
  </si>
  <si>
    <t>B:885e26e8;E:1796bcbf;G:3e34c4c5;H:55199ea9;I:637bd47d;J:de4f4381;K:493ca65d;L:86287be9;M:49688f55;N:18e04449;O:5b8d2bdb;P:d5d64333;Q:8ee7c51f;S-ET:3e7f17d4</t>
  </si>
  <si>
    <t>1ee264ce</t>
  </si>
  <si>
    <t>B:885e26e8;E:1796bcbf;G:3e34c4c5;H:55199ea9;I:637bd47d;J:de4f4381;K:493ca65d;L:86287be9;M:49688f55;N:18e04449;O:5b8d2bdb;P:d5d64333;Q:8ee7c51f;S-ET:bbf7932e</t>
  </si>
  <si>
    <t>c6e5b9ab</t>
  </si>
  <si>
    <t>B:885e26e8;E:1796bcbf;G:3e34c4c5;H:55199ea9;I:637bd47d;J:de4f4381;K:493ca65d;L:86287be9;M:49688f55;N:18e04449;O:5b8d2bdb;P:d5d64333;Q:8ee7c51f;S-ET:27faeca0</t>
  </si>
  <si>
    <t>cd2f9c4f</t>
  </si>
  <si>
    <t>B:885e26e8;E:1796bcbf;G:3e34c4c5;H:55199ea9;I:637bd47d;J:de4f4381;K:493ca65d;L:86287be9;M:49688f55;N:18e04449;O:5b8d2bdb;P:d5d64333;Q:8ee7c51f;S-ET:c598f3b1</t>
  </si>
  <si>
    <t>414024a9</t>
  </si>
  <si>
    <t>B:885e26e8;E:1796bcbf;G-Q:7bb80f5e</t>
  </si>
  <si>
    <t>236defcb</t>
  </si>
  <si>
    <t>B:1ed91d0a;E:7cb3cf74;S-ET:7b2b72aa</t>
  </si>
  <si>
    <t>d1879d92</t>
  </si>
  <si>
    <t>B:1ed91d0a;E:7cb3cf74;S-ET:62ea9fe1</t>
  </si>
  <si>
    <t>c1384885</t>
  </si>
  <si>
    <t>B:1ed91d0a;E:7cb3cf74;S-ET:d8914fe7</t>
  </si>
  <si>
    <t>c38ea0da</t>
  </si>
  <si>
    <t>B:1ed91d0a;E:7cb3cf74;S-ET:c681a6e9</t>
  </si>
  <si>
    <t>806e4715</t>
  </si>
  <si>
    <t>B:1ed91d0a;E:7cb3cf74;S-ET:642a1293</t>
  </si>
  <si>
    <t>6c3e3b2a</t>
  </si>
  <si>
    <t>B:1ed91d0a;E:7cb3cf74;G:3e34c4c5;H:55199ea9;I:637bd47d;J:de4f4381;K:493ca65d;L:86287be9;M:49688f55;N:18e04449;O:5b8d2bdb;P:d5d64333;Q:8ee7c51f;S-ET:bd995e69</t>
  </si>
  <si>
    <t>a148d7f1</t>
  </si>
  <si>
    <t>B:1ed91d0a;E:7cb3cf74;G:3e34c4c5;H:55199ea9;I:637bd47d;J:de4f4381;K:493ca65d;L:86287be9;M:49688f55;N:18e04449;O:5b8d2bdb;P:d5d64333;Q:8ee7c51f;S-ET:be888ec3</t>
  </si>
  <si>
    <t>c15374cf</t>
  </si>
  <si>
    <t>B:1ed91d0a;E:7cb3cf74;G:3e34c4c5;H:55199ea9;I:637bd47d;J:de4f4381;K:493ca65d;L:86287be9;M:49688f55;N:18e04449;O:5b8d2bdb;P:d5d64333;Q:8ee7c51f;S-ET:a15451e6</t>
  </si>
  <si>
    <t>8554ef4e</t>
  </si>
  <si>
    <t>B:1ed91d0a;E:7cb3cf74;G:3e34c4c5;H:55199ea9;I:637bd47d;J:de4f4381;K:493ca65d;L:86287be9;M:49688f55;N:18e04449;O:5b8d2bdb;P:d5d64333;Q:8ee7c51f;S-ET:25ab9e6c</t>
  </si>
  <si>
    <t>077536f9</t>
  </si>
  <si>
    <t>B:1ed91d0a;E:7cb3cf74;G:3e34c4c5;H:55199ea9;I:637bd47d;J:de4f4381;K:493ca65d;L:86287be9;M:49688f55;N:18e04449;O:5b8d2bdb;P:d5d64333;Q:8ee7c51f;S-ET:4b397e4b</t>
  </si>
  <si>
    <t>6a2033a6</t>
  </si>
  <si>
    <t>B:1ed91d0a;E:7cb3cf74;G:3e34c4c5;H:55199ea9;I:637bd47d;J:de4f4381;K:493ca65d;L:86287be9;M:49688f55;N:18e04449;O:5b8d2bdb;P:d5d64333;Q:8ee7c51f;S-ET:ad288725</t>
  </si>
  <si>
    <t>bd46c879</t>
  </si>
  <si>
    <t>B:1ed91d0a;E:7cb3cf74;G:3e34c4c5;H:55199ea9;I:637bd47d;J:de4f4381;K:493ca65d;L:86287be9;M:49688f55;N:18e04449;O:5b8d2bdb;P:d5d64333;Q:8ee7c51f;S-ET:ffa012c3</t>
  </si>
  <si>
    <t>9f67459e</t>
  </si>
  <si>
    <t>B:1ed91d0a;E:7cb3cf74;G:3e34c4c5;H:55199ea9;I:637bd47d;J:de4f4381;K:493ca65d;L:86287be9;M:49688f55;N:18e04449;O:5b8d2bdb;P:d5d64333;Q:8ee7c51f;S-ET:4df31cce</t>
  </si>
  <si>
    <t>165a59ad</t>
  </si>
  <si>
    <t>B:1ed91d0a;E:7cb3cf74;G:3e34c4c5;H:55199ea9;I:637bd47d;J:de4f4381;K:493ca65d;L:86287be9;M:49688f55;N:18e04449;O:5b8d2bdb;P:d5d64333;Q:8ee7c51f;S-ET:acd35260</t>
  </si>
  <si>
    <t>dfb1cd13</t>
  </si>
  <si>
    <t>B:1ed91d0a;E:7cb3cf74;G:3e34c4c5;H:55199ea9;I:637bd47d;J:de4f4381;K:493ca65d;L:86287be9;M:49688f55;N:18e04449;O:5b8d2bdb;P:d5d64333;Q:8ee7c51f;S-ET:b2a737ac</t>
  </si>
  <si>
    <t>92fa5512</t>
  </si>
  <si>
    <t>B:1ed91d0a;E:7cb3cf74;G-Q:6bcd3e0f</t>
  </si>
  <si>
    <t>a9dcb949</t>
  </si>
  <si>
    <t>B:f5fc1964;E:9662b80d;S-ET:96e98fc7</t>
  </si>
  <si>
    <t>f1d8f7f4</t>
  </si>
  <si>
    <t>B:f5fc1964;E:9662b80d;S-ET:ea51b8df</t>
  </si>
  <si>
    <t>f3102aa4</t>
  </si>
  <si>
    <t>B:f5fc1964;E:9662b80d;S-ET:a6e93c7d</t>
  </si>
  <si>
    <t>391cde8b</t>
  </si>
  <si>
    <t>B:f5fc1964;E:9662b80d;S-ET:c7b70d51</t>
  </si>
  <si>
    <t>0441c45e</t>
  </si>
  <si>
    <t>B:f5fc1964;E:9662b80d;S-ET:5391ced4</t>
  </si>
  <si>
    <t>221dfeae</t>
  </si>
  <si>
    <t>B:f5fc1964;E:9662b80d;G:3e34c4c5;H:55199ea9;I:637bd47d;J:de4f4381;K:493ca65d;L:86287be9;M:49688f55;N:18e04449;O:5b8d2bdb;P:d5d64333;Q:8ee7c51f;S-ET:403423c1</t>
  </si>
  <si>
    <t>8b9fb985</t>
  </si>
  <si>
    <t>B:f5fc1964;E:9662b80d;G:3e34c4c5;H:55199ea9;I:637bd47d;J:de4f4381;K:493ca65d;L:86287be9;M:49688f55;N:18e04449;O:5b8d2bdb;P:d5d64333;Q:8ee7c51f;S-ET:ba28587b</t>
  </si>
  <si>
    <t>c1278904</t>
  </si>
  <si>
    <t>B:f5fc1964;E:9662b80d;G:3e34c4c5;H:55199ea9;I:637bd47d;J:de4f4381;K:493ca65d;L:86287be9;M:49688f55;N:18e04449;O:5b8d2bdb;P:d5d64333;Q:8ee7c51f;S-ET:830ba4ca</t>
  </si>
  <si>
    <t>dcbb44a9</t>
  </si>
  <si>
    <t>B:f5fc1964;E:9662b80d;G:3e34c4c5;H:55199ea9;I:637bd47d;J:de4f4381;K:493ca65d;L:86287be9;M:49688f55;N:18e04449;O:5b8d2bdb;P:d5d64333;Q:8ee7c51f;S-ET:8665a8f9</t>
  </si>
  <si>
    <t>3171e76c</t>
  </si>
  <si>
    <t>B:f5fc1964;E:9662b80d;G:3e34c4c5;H:55199ea9;I:637bd47d;J:de4f4381;K:493ca65d;L:86287be9;M:49688f55;N:18e04449;O:5b8d2bdb;P:d5d64333;Q:8ee7c51f;S-ET:605ae74b</t>
  </si>
  <si>
    <t>6947582c</t>
  </si>
  <si>
    <t>B:f5fc1964;E:9662b80d;G:3e34c4c5;H:55199ea9;I:637bd47d;J:de4f4381;K:493ca65d;L:86287be9;M:49688f55;N:18e04449;O:5b8d2bdb;P:d5d64333;Q:8ee7c51f;S-ET:0e3b82b8</t>
  </si>
  <si>
    <t>c91ed9cd</t>
  </si>
  <si>
    <t>B:f5fc1964;E:9662b80d;G:3e34c4c5;H:55199ea9;I:637bd47d;J:de4f4381;K:493ca65d;L:86287be9;M:49688f55;N:18e04449;O:5b8d2bdb;P:d5d64333;Q:8ee7c51f;S-ET:386dabfe</t>
  </si>
  <si>
    <t>35350d2f</t>
  </si>
  <si>
    <t>B:f5fc1964;E:9662b80d;G:3e34c4c5;H:55199ea9;I:637bd47d;J:de4f4381;K:493ca65d;L:86287be9;M:49688f55;N:18e04449;O:5b8d2bdb;P:d5d64333;Q:8ee7c51f;S-ET:62700d5e</t>
  </si>
  <si>
    <t>85e9dbe2</t>
  </si>
  <si>
    <t>B:f5fc1964;E:9662b80d;G:3e34c4c5;H:55199ea9;I:637bd47d;J:de4f4381;K:493ca65d;L:86287be9;M:49688f55;N:18e04449;O:5b8d2bdb;P:d5d64333;Q:8ee7c51f;S-ET:e9eb585c</t>
  </si>
  <si>
    <t>b84ef0d7</t>
  </si>
  <si>
    <t>B:f5fc1964;E:9662b80d;G:3e34c4c5;H:55199ea9;I:637bd47d;J:de4f4381;K:493ca65d;L:86287be9;M:49688f55;N:18e04449;O:5b8d2bdb;P:d5d64333;Q:8ee7c51f;S-ET:ef11ece3</t>
  </si>
  <si>
    <t>ca6a72f5</t>
  </si>
  <si>
    <t>B:f5fc1964;E:9662b80d;G-Q:b9a0fcf0</t>
  </si>
  <si>
    <t>5700b081</t>
  </si>
  <si>
    <t>B:07d5e008;E:c67970a1;S-ET:5e538447</t>
  </si>
  <si>
    <t>2de5f14c</t>
  </si>
  <si>
    <t>B:07d5e008;E:c67970a1;S-ET:f7026dcb</t>
  </si>
  <si>
    <t>cc62dea9</t>
  </si>
  <si>
    <t>B:07d5e008;E:c67970a1;S-ET:705969d1</t>
  </si>
  <si>
    <t>5f448dbd</t>
  </si>
  <si>
    <t>B:07d5e008;E:c67970a1;S-ET:eff07375</t>
  </si>
  <si>
    <t>22b7fb59</t>
  </si>
  <si>
    <t>B:07d5e008;E:c67970a1;S-ET:81db7708</t>
  </si>
  <si>
    <t>b3e6bccc</t>
  </si>
  <si>
    <t>B:07d5e008;E:c67970a1;G:3e34c4c5;H:55199ea9;I:637bd47d;J:de4f4381;K:493ca65d;L:86287be9;M:49688f55;N:18e04449;O:5b8d2bdb;P:d5d64333;Q:8ee7c51f;S-ET:8085b5a1</t>
  </si>
  <si>
    <t>2b904bc3</t>
  </si>
  <si>
    <t>B:07d5e008;E:c67970a1;G:3e34c4c5;H:55199ea9;I:637bd47d;J:de4f4381;K:493ca65d;L:86287be9;M:49688f55;N:18e04449;O:5b8d2bdb;P:d5d64333;Q:8ee7c51f;S-ET:6ce831cb</t>
  </si>
  <si>
    <t>dcfb58ec</t>
  </si>
  <si>
    <t>B:07d5e008;E:c67970a1;G:3e34c4c5;H:55199ea9;I:637bd47d;J:de4f4381;K:493ca65d;L:86287be9;M:49688f55;N:18e04449;O:5b8d2bdb;P:d5d64333;Q:8ee7c51f;S-ET:06adc10a</t>
  </si>
  <si>
    <t>f3feeaf5</t>
  </si>
  <si>
    <t>B:07d5e008;E:c67970a1;G:3e34c4c5;H:55199ea9;I:637bd47d;J:de4f4381;K:493ca65d;L:86287be9;M:49688f55;N:18e04449;O:5b8d2bdb;P:d5d64333;Q:8ee7c51f;S-ET:065d8011</t>
  </si>
  <si>
    <t>a1048955</t>
  </si>
  <si>
    <t>B:07d5e008;E:c67970a1;G:3e34c4c5;H:55199ea9;I:637bd47d;J:de4f4381;K:493ca65d;L:86287be9;M:49688f55;N:18e04449;O:5b8d2bdb;P:d5d64333;Q:8ee7c51f;S-ET:03ea6853</t>
  </si>
  <si>
    <t>82dcd494</t>
  </si>
  <si>
    <t>B:07d5e008;E:c67970a1;G:3e34c4c5;H:55199ea9;I:637bd47d;J:de4f4381;K:493ca65d;L:86287be9;M:49688f55;N:18e04449;O:5b8d2bdb;P:d5d64333;Q:8ee7c51f;S-ET:f02f4200</t>
  </si>
  <si>
    <t>8c2af8c6</t>
  </si>
  <si>
    <t>B:07d5e008;E:c67970a1;G:3e34c4c5;H:55199ea9;I:637bd47d;J:de4f4381;K:493ca65d;L:86287be9;M:49688f55;N:18e04449;O:5b8d2bdb;P:d5d64333;Q:8ee7c51f;S-ET:199ef736</t>
  </si>
  <si>
    <t>625a2046</t>
  </si>
  <si>
    <t>B:07d5e008;E:c67970a1;G:3e34c4c5;H:55199ea9;I:637bd47d;J:de4f4381;K:493ca65d;L:86287be9;M:49688f55;N:18e04449;O:5b8d2bdb;P:d5d64333;Q:8ee7c51f;S-ET:28d4245a</t>
  </si>
  <si>
    <t>098468d3</t>
  </si>
  <si>
    <t>B:07d5e008;E:c67970a1;G:3e34c4c5;H:55199ea9;I:637bd47d;J:de4f4381;K:493ca65d;L:86287be9;M:49688f55;N:18e04449;O:5b8d2bdb;P:d5d64333;Q:8ee7c51f;S-ET:46785290</t>
  </si>
  <si>
    <t>68c52cf9</t>
  </si>
  <si>
    <t>B:07d5e008;E:c67970a1;G:3e34c4c5;H:55199ea9;I:637bd47d;J:de4f4381;K:493ca65d;L:86287be9;M:49688f55;N:18e04449;O:5b8d2bdb;P:d5d64333;Q:8ee7c51f;S-ET:0a6d5cfb</t>
  </si>
  <si>
    <t>9482b8d8</t>
  </si>
  <si>
    <t>B:07d5e008;E:c67970a1;G-Q:a02e9fa8</t>
  </si>
  <si>
    <t>02cab745</t>
  </si>
  <si>
    <t>B:cb8d7792;E:2cc9be88;S-ET:e4fe3522</t>
  </si>
  <si>
    <t>860f34cc</t>
  </si>
  <si>
    <t>B:cb8d7792;E:2cc9be88;S-ET:43943121</t>
  </si>
  <si>
    <t>58a02181</t>
  </si>
  <si>
    <t>B:cb8d7792;E:2cc9be88;S-ET:32de5337</t>
  </si>
  <si>
    <t>f5c89ed9</t>
  </si>
  <si>
    <t>B:cb8d7792;E:2cc9be88;S-ET:992d5c35</t>
  </si>
  <si>
    <t>87668c1a</t>
  </si>
  <si>
    <t>B:cb8d7792;E:2cc9be88;S-ET:5ba3518f</t>
  </si>
  <si>
    <t>3b98c690</t>
  </si>
  <si>
    <t>B:cb8d7792;E:2cc9be88;G:3e34c4c5;H:55199ea9;I:637bd47d;J:de4f4381;K:493ca65d;L:86287be9;M:49688f55;N:18e04449;O:5b8d2bdb;P:d5d64333;Q:8ee7c51f;S-ET:4fa57c09</t>
  </si>
  <si>
    <t>d6c1e201</t>
  </si>
  <si>
    <t>B:cb8d7792;E:2cc9be88;G:3e34c4c5;H:55199ea9;I:637bd47d;J:de4f4381;K:493ca65d;L:86287be9;M:49688f55;N:18e04449;O:5b8d2bdb;P:d5d64333;Q:8ee7c51f;S-ET:fc6aebd3</t>
  </si>
  <si>
    <t>e9d6fe7c</t>
  </si>
  <si>
    <t>B:cb8d7792;E:2cc9be88;G:3e34c4c5;H:55199ea9;I:637bd47d;J:de4f4381;K:493ca65d;L:86287be9;M:49688f55;N:18e04449;O:5b8d2bdb;P:d5d64333;Q:8ee7c51f;S-ET:eee43186</t>
  </si>
  <si>
    <t>329b9d04</t>
  </si>
  <si>
    <t>B:cb8d7792;E:2cc9be88;G:3e34c4c5;H:55199ea9;I:637bd47d;J:de4f4381;K:493ca65d;L:86287be9;M:49688f55;N:18e04449;O:5b8d2bdb;P:d5d64333;Q:8ee7c51f;S-ET:f454acf4</t>
  </si>
  <si>
    <t>09ec847f</t>
  </si>
  <si>
    <t>B:cb8d7792;E:2cc9be88;G:3e34c4c5;H:55199ea9;I:637bd47d;J:de4f4381;K:493ca65d;L:86287be9;M:49688f55;N:18e04449;O:5b8d2bdb;P:d5d64333;Q:8ee7c51f;S-ET:1e7b0d83</t>
  </si>
  <si>
    <t>51d9af36</t>
  </si>
  <si>
    <t>B:cb8d7792;E:2cc9be88;G:3e34c4c5;H:55199ea9;I:637bd47d;J:de4f4381;K:493ca65d;L:86287be9;M:49688f55;N:18e04449;O:5b8d2bdb;P:d5d64333;Q:8ee7c51f;S-ET:e1f819f5</t>
  </si>
  <si>
    <t>07878bb4</t>
  </si>
  <si>
    <t>B:cb8d7792;E:2cc9be88;G:3e34c4c5;H:55199ea9;I:637bd47d;J:de4f4381;K:493ca65d;L:86287be9;M:49688f55;N:18e04449;O:5b8d2bdb;P:d5d64333;Q:8ee7c51f;S-ET:0210d943</t>
  </si>
  <si>
    <t>fda55805</t>
  </si>
  <si>
    <t>B:cb8d7792;E:2cc9be88;G:3e34c4c5;H:55199ea9;I:637bd47d;J:de4f4381;K:493ca65d;L:86287be9;M:49688f55;N:18e04449;O:5b8d2bdb;P:d5d64333;Q:8ee7c51f;S-ET:89177ada</t>
  </si>
  <si>
    <t>331f4ceb</t>
  </si>
  <si>
    <t>B:cb8d7792;E:2cc9be88;G:3e34c4c5;H:55199ea9;I:637bd47d;J:de4f4381;K:493ca65d;L:86287be9;M:49688f55;N:18e04449;O:5b8d2bdb;P:d5d64333;Q:8ee7c51f;S-ET:9c4b0a34</t>
  </si>
  <si>
    <t>ad320449</t>
  </si>
  <si>
    <t>B:cb8d7792;E:2cc9be88;G:3e34c4c5;H:55199ea9;I:637bd47d;J:de4f4381;K:493ca65d;L:86287be9;M:49688f55;N:18e04449;O:5b8d2bdb;P:d5d64333;Q:8ee7c51f;S-ET:0c5a918c</t>
  </si>
  <si>
    <t>181db7d7</t>
  </si>
  <si>
    <t>B:cb8d7792;E:2cc9be88;G-Q:19ca8c5f</t>
  </si>
  <si>
    <t>8b1b4c5a</t>
  </si>
  <si>
    <t>B:ea398040;E:96881c57;S-ET:fb69bbb5</t>
  </si>
  <si>
    <t>ff5e19bb</t>
  </si>
  <si>
    <t>B:ea398040;E:96881c57;S-ET:0a371c93</t>
  </si>
  <si>
    <t>b219b372</t>
  </si>
  <si>
    <t>B:ea398040;E:96881c57;S-ET:dfbe83e9</t>
  </si>
  <si>
    <t>ed9e3d6e</t>
  </si>
  <si>
    <t>B:ea398040;E:96881c57;S-ET:a7cd60ed</t>
  </si>
  <si>
    <t>3e18e19d</t>
  </si>
  <si>
    <t>B:ea398040;E:96881c57;S-ET:97261c8a</t>
  </si>
  <si>
    <t>62fec39b</t>
  </si>
  <si>
    <t>B:ea398040;E:96881c57;G:3e34c4c5;H:55199ea9;I:637bd47d;J:de4f4381;K:493ca65d;L:86287be9;M:49688f55;N:18e04449;O:5b8d2bdb;P:d5d64333;Q:8ee7c51f;S-ET:16e63dc1</t>
  </si>
  <si>
    <t>f69b3be2</t>
  </si>
  <si>
    <t>B:ea398040;E:96881c57;G:3e34c4c5;H:55199ea9;I:637bd47d;J:de4f4381;K:493ca65d;L:86287be9;M:49688f55;N:18e04449;O:5b8d2bdb;P:d5d64333;Q:8ee7c51f;S-ET:9fa105ff</t>
  </si>
  <si>
    <t>6a0471a6</t>
  </si>
  <si>
    <t>B:ea398040;E:96881c57;G:3e34c4c5;H:55199ea9;I:637bd47d;J:de4f4381;K:493ca65d;L:86287be9;M:49688f55;N:18e04449;O:5b8d2bdb;P:d5d64333;Q:8ee7c51f;S-ET:4022e5ca</t>
  </si>
  <si>
    <t>fb1c4217</t>
  </si>
  <si>
    <t>B:ea398040;E:96881c57;G:3e34c4c5;H:55199ea9;I:637bd47d;J:de4f4381;K:493ca65d;L:86287be9;M:49688f55;N:18e04449;O:5b8d2bdb;P:d5d64333;Q:8ee7c51f;S-ET:c7294aaf</t>
  </si>
  <si>
    <t>d70b0b09</t>
  </si>
  <si>
    <t>B:ea398040;E:96881c57;G:3e34c4c5;H:55199ea9;I:637bd47d;J:de4f4381;K:493ca65d;L:86287be9;M:49688f55;N:18e04449;O:5b8d2bdb;P:d5d64333;Q:8ee7c51f;S-ET:ef9dee47</t>
  </si>
  <si>
    <t>5f120aab</t>
  </si>
  <si>
    <t>B:ea398040;E:96881c57;G:3e34c4c5;H:55199ea9;I:637bd47d;J:de4f4381;K:493ca65d;L:86287be9;M:49688f55;N:18e04449;O:5b8d2bdb;P:d5d64333;Q:8ee7c51f;S-ET:e13c79a2</t>
  </si>
  <si>
    <t>bd106174</t>
  </si>
  <si>
    <t>B:ea398040;E:96881c57;G:3e34c4c5;H:55199ea9;I:637bd47d;J:de4f4381;K:493ca65d;L:86287be9;M:49688f55;N:18e04449;O:5b8d2bdb;P:d5d64333;Q:8ee7c51f;S-ET:7c64b424</t>
  </si>
  <si>
    <t>6bff594d</t>
  </si>
  <si>
    <t>B:ea398040;E:96881c57;G:3e34c4c5;H:55199ea9;I:637bd47d;J:de4f4381;K:493ca65d;L:86287be9;M:49688f55;N:18e04449;O:5b8d2bdb;P:d5d64333;Q:8ee7c51f;S-ET:a694c69a</t>
  </si>
  <si>
    <t>257e2333</t>
  </si>
  <si>
    <t>B:ea398040;E:96881c57;G:3e34c4c5;H:55199ea9;I:637bd47d;J:de4f4381;K:493ca65d;L:86287be9;M:49688f55;N:18e04449;O:5b8d2bdb;P:d5d64333;Q:8ee7c51f;S-ET:c07632d4</t>
  </si>
  <si>
    <t>e21ec52c</t>
  </si>
  <si>
    <t>B:ea398040;E:96881c57;G:3e34c4c5;H:55199ea9;I:637bd47d;J:de4f4381;K:493ca65d;L:86287be9;M:49688f55;N:18e04449;O:5b8d2bdb;P:d5d64333;Q:8ee7c51f;S-ET:57bc8409</t>
  </si>
  <si>
    <t>274c0039</t>
  </si>
  <si>
    <t>B:ea398040;E:96881c57;G-Q:9f825676</t>
  </si>
  <si>
    <t>df0f6dae</t>
  </si>
  <si>
    <t>B:13e2de56;E:63bf0306;S-ET:f09221d8</t>
  </si>
  <si>
    <t>fa3f2596</t>
  </si>
  <si>
    <t>B:13e2de56;E:63bf0306;S-ET:dc58de3d</t>
  </si>
  <si>
    <t>bedb5f9d</t>
  </si>
  <si>
    <t>B:13e2de56;E:63bf0306;S-ET:7946a20b</t>
  </si>
  <si>
    <t>d7480ae7</t>
  </si>
  <si>
    <t>B:13e2de56;E:63bf0306;S-ET:2bd75b3d</t>
  </si>
  <si>
    <t>ab591abb</t>
  </si>
  <si>
    <t>B:13e2de56;E:63bf0306;S-ET:b1981b19</t>
  </si>
  <si>
    <t>c5b86dad</t>
  </si>
  <si>
    <t>B:13e2de56;E:63bf0306;G:3e34c4c5;H:55199ea9;I:637bd47d;J:de4f4381;K:493ca65d;L:86287be9;M:49688f55;N:18e04449;O:5b8d2bdb;P:d5d64333;Q:8ee7c51f;S-ET:af2cb6f9</t>
  </si>
  <si>
    <t>93beb4b7</t>
  </si>
  <si>
    <t>B:13e2de56;E:63bf0306;G:3e34c4c5;H:55199ea9;I:637bd47d;J:de4f4381;K:493ca65d;L:86287be9;M:49688f55;N:18e04449;O:5b8d2bdb;P:d5d64333;Q:8ee7c51f;S-ET:1d495857</t>
  </si>
  <si>
    <t>53d952fa</t>
  </si>
  <si>
    <t>B:13e2de56;E:63bf0306;G:3e34c4c5;H:55199ea9;I:637bd47d;J:de4f4381;K:493ca65d;L:86287be9;M:49688f55;N:18e04449;O:5b8d2bdb;P:d5d64333;Q:8ee7c51f;S-ET:162f9fae</t>
  </si>
  <si>
    <t>0fd3ea30</t>
  </si>
  <si>
    <t>B:13e2de56;E:63bf0306;G:3e34c4c5;H:55199ea9;I:637bd47d;J:de4f4381;K:493ca65d;L:86287be9;M:49688f55;N:18e04449;O:5b8d2bdb;P:d5d64333;Q:8ee7c51f;S-ET:f46c02da</t>
  </si>
  <si>
    <t>cfaf5dd2</t>
  </si>
  <si>
    <t>B:13e2de56;E:63bf0306;G:3e34c4c5;H:55199ea9;I:637bd47d;J:de4f4381;K:493ca65d;L:86287be9;M:49688f55;N:18e04449;O:5b8d2bdb;P:d5d64333;Q:8ee7c51f;S-ET:5e03c767</t>
  </si>
  <si>
    <t>1eb12f0d</t>
  </si>
  <si>
    <t>B:13e2de56;E:63bf0306;G:3e34c4c5;H:55199ea9;I:637bd47d;J:de4f4381;K:493ca65d;L:86287be9;M:49688f55;N:18e04449;O:5b8d2bdb;P:d5d64333;Q:8ee7c51f;S-ET:5afb4117</t>
  </si>
  <si>
    <t>a81440b1</t>
  </si>
  <si>
    <t>B:13e2de56;E:63bf0306;G:3e34c4c5;H:55199ea9;I:637bd47d;J:de4f4381;K:493ca65d;L:86287be9;M:49688f55;N:18e04449;O:5b8d2bdb;P:d5d64333;Q:8ee7c51f;S-ET:6b34e9c1</t>
  </si>
  <si>
    <t>8e823724</t>
  </si>
  <si>
    <t>B:13e2de56;E:63bf0306;G:3e34c4c5;H:55199ea9;I:637bd47d;J:de4f4381;K:493ca65d;L:86287be9;M:49688f55;N:18e04449;O:5b8d2bdb;P:d5d64333;Q:8ee7c51f;S-ET:ed61ac3a</t>
  </si>
  <si>
    <t>054dd415</t>
  </si>
  <si>
    <t>B:13e2de56;E:63bf0306;G:3e34c4c5;H:55199ea9;I:637bd47d;J:de4f4381;K:493ca65d;L:86287be9;M:49688f55;N:18e04449;O:5b8d2bdb;P:d5d64333;Q:8ee7c51f;S-ET:2cbdb3c8</t>
  </si>
  <si>
    <t>48cb5bdc</t>
  </si>
  <si>
    <t>B:13e2de56;E:63bf0306;G:3e34c4c5;H:55199ea9;I:637bd47d;J:de4f4381;K:493ca65d;L:86287be9;M:49688f55;N:18e04449;O:5b8d2bdb;P:d5d64333;Q:8ee7c51f;S-ET:a4f176c2</t>
  </si>
  <si>
    <t>213f7be3</t>
  </si>
  <si>
    <t>B:13e2de56;E:63bf0306;G-Q:d57f5d2d</t>
  </si>
  <si>
    <t>5579d066</t>
  </si>
  <si>
    <t>B:3a83f0c8;E:d8d2359d;S-ET:bb323aab</t>
  </si>
  <si>
    <t>d45b434b</t>
  </si>
  <si>
    <t>B:3a83f0c8;E:d8d2359d;S-ET:11237393</t>
  </si>
  <si>
    <t>4a8aac61</t>
  </si>
  <si>
    <t>B:3a83f0c8;E:d8d2359d;S-ET:dc87b751</t>
  </si>
  <si>
    <t>31cfe205</t>
  </si>
  <si>
    <t>B:3a83f0c8;E:d8d2359d;S-ET:6e34850d</t>
  </si>
  <si>
    <t>56189ca4</t>
  </si>
  <si>
    <t>B:3a83f0c8;E:d8d2359d;S-ET:8170760c</t>
  </si>
  <si>
    <t>d0ffe65b</t>
  </si>
  <si>
    <t>B:3a83f0c8;E:d8d2359d;G:3e34c4c5;H:55199ea9;I:637bd47d;J:de4f4381;K:493ca65d;L:86287be9;M:49688f55;N:18e04449;O:5b8d2bdb;P:d5d64333;Q:8ee7c51f;S-ET:63db5ee9</t>
  </si>
  <si>
    <t>ed247437</t>
  </si>
  <si>
    <t>B:3a83f0c8;E:d8d2359d;G:3e34c4c5;H:55199ea9;I:637bd47d;J:de4f4381;K:493ca65d;L:86287be9;M:49688f55;N:18e04449;O:5b8d2bdb;P:d5d64333;Q:8ee7c51f;S-ET:b83b56d3</t>
  </si>
  <si>
    <t>5883a496</t>
  </si>
  <si>
    <t>B:3a83f0c8;E:d8d2359d;G:3e34c4c5;H:55199ea9;I:637bd47d;J:de4f4381;K:493ca65d;L:86287be9;M:49688f55;N:18e04449;O:5b8d2bdb;P:d5d64333;Q:8ee7c51f;S-ET:bf6af7d2</t>
  </si>
  <si>
    <t>65b6a39e</t>
  </si>
  <si>
    <t>B:3a83f0c8;E:d8d2359d;G:3e34c4c5;H:55199ea9;I:637bd47d;J:de4f4381;K:493ca65d;L:86287be9;M:49688f55;N:18e04449;O:5b8d2bdb;P:d5d64333;Q:8ee7c51f;S-ET:df5b0bd5</t>
  </si>
  <si>
    <t>2a26289d</t>
  </si>
  <si>
    <t>B:3a83f0c8;E:d8d2359d;G:3e34c4c5;H:55199ea9;I:637bd47d;J:de4f4381;K:493ca65d;L:86287be9;M:49688f55;N:18e04449;O:5b8d2bdb;P:d5d64333;Q:8ee7c51f;S-ET:1c65d3b3</t>
  </si>
  <si>
    <t>29dd2f2e</t>
  </si>
  <si>
    <t>B:3a83f0c8;E:d8d2359d;G:3e34c4c5;H:55199ea9;I:637bd47d;J:de4f4381;K:493ca65d;L:86287be9;M:49688f55;N:18e04449;O:5b8d2bdb;P:d5d64333;Q:8ee7c51f;S-ET:b5324224</t>
  </si>
  <si>
    <t>4451a3c2</t>
  </si>
  <si>
    <t>B:3a83f0c8;E:d8d2359d;G:3e34c4c5;H:55199ea9;I:637bd47d;J:de4f4381;K:493ca65d;L:86287be9;M:49688f55;N:18e04449;O:5b8d2bdb;P:d5d64333;Q:8ee7c51f;S-ET:686023e2</t>
  </si>
  <si>
    <t>57e739e6</t>
  </si>
  <si>
    <t>B:3a83f0c8;E:d8d2359d;G:3e34c4c5;H:55199ea9;I:637bd47d;J:de4f4381;K:493ca65d;L:86287be9;M:49688f55;N:18e04449;O:5b8d2bdb;P:d5d64333;Q:8ee7c51f;S-ET:2e093e1a</t>
  </si>
  <si>
    <t>2a48b403</t>
  </si>
  <si>
    <t>B:3a83f0c8;E:d8d2359d;G:3e34c4c5;H:55199ea9;I:637bd47d;J:de4f4381;K:493ca65d;L:86287be9;M:49688f55;N:18e04449;O:5b8d2bdb;P:d5d64333;Q:8ee7c51f;S-ET:93640728</t>
  </si>
  <si>
    <t>aaf00b18</t>
  </si>
  <si>
    <t>B:3a83f0c8;E:d8d2359d;G:3e34c4c5;H:55199ea9;I:637bd47d;J:de4f4381;K:493ca65d;L:86287be9;M:49688f55;N:18e04449;O:5b8d2bdb;P:d5d64333;Q:8ee7c51f;S-ET:3223e69f</t>
  </si>
  <si>
    <t>e352e2e0</t>
  </si>
  <si>
    <t>B:3a83f0c8;E:d8d2359d;G-Q:b337d71c</t>
  </si>
  <si>
    <t>1d3324cc</t>
  </si>
  <si>
    <t>B:8670dbd2;E:4bc9a784;S-ET:8f264bd6</t>
  </si>
  <si>
    <t>cd77bc4d</t>
  </si>
  <si>
    <t>B:8670dbd2;E:4bc9a784;S-ET:f80f6a19</t>
  </si>
  <si>
    <t>1de7260a</t>
  </si>
  <si>
    <t>B:8670dbd2;E:4bc9a784;S-ET:91e166e7</t>
  </si>
  <si>
    <t>775cb267</t>
  </si>
  <si>
    <t>B:8670dbd2;E:4bc9a784;S-ET:33b0b6ad</t>
  </si>
  <si>
    <t>a737bd7e</t>
  </si>
  <si>
    <t>B:8670dbd2;E:4bc9a784;S-ET:207ded13</t>
  </si>
  <si>
    <t>298203e6</t>
  </si>
  <si>
    <t>B:8670dbd2;E:4bc9a784;G:3e34c4c5;H:55199ea9;I:637bd47d;J:de4f4381;K:493ca65d;L:86287be9;M:49688f55;N:18e04449;O:5b8d2bdb;P:d5d64333;Q:8ee7c51f;S-ET:4c2f4791</t>
  </si>
  <si>
    <t>8b4368d9</t>
  </si>
  <si>
    <t>B:8670dbd2;E:4bc9a784;G:3e34c4c5;H:55199ea9;I:637bd47d;J:de4f4381;K:493ca65d;L:86287be9;M:49688f55;N:18e04449;O:5b8d2bdb;P:d5d64333;Q:8ee7c51f;S-ET:5fbb220b</t>
  </si>
  <si>
    <t>d9f319c8</t>
  </si>
  <si>
    <t>B:8670dbd2;E:4bc9a784;G:3e34c4c5;H:55199ea9;I:637bd47d;J:de4f4381;K:493ca65d;L:86287be9;M:49688f55;N:18e04449;O:5b8d2bdb;P:d5d64333;Q:8ee7c51f;S-ET:d20e4726</t>
  </si>
  <si>
    <t>9ef0a1c0</t>
  </si>
  <si>
    <t>B:8670dbd2;E:4bc9a784;G:3e34c4c5;H:55199ea9;I:637bd47d;J:de4f4381;K:493ca65d;L:86287be9;M:49688f55;N:18e04449;O:5b8d2bdb;P:d5d64333;Q:8ee7c51f;S-ET:cc895b28</t>
  </si>
  <si>
    <t>df6b213f</t>
  </si>
  <si>
    <t>B:8670dbd2;E:4bc9a784;G:3e34c4c5;H:55199ea9;I:637bd47d;J:de4f4381;K:493ca65d;L:86287be9;M:49688f55;N:18e04449;O:5b8d2bdb;P:d5d64333;Q:8ee7c51f;S-ET:cdc0e1d3</t>
  </si>
  <si>
    <t>7a4cee20</t>
  </si>
  <si>
    <t>B:8670dbd2;E:4bc9a784;G:3e34c4c5;H:55199ea9;I:637bd47d;J:de4f4381;K:493ca65d;L:86287be9;M:49688f55;N:18e04449;O:5b8d2bdb;P:d5d64333;Q:8ee7c51f;S-ET:b9b2a509</t>
  </si>
  <si>
    <t>dc4a83dd</t>
  </si>
  <si>
    <t>B:8670dbd2;E:4bc9a784;G:3e34c4c5;H:55199ea9;I:637bd47d;J:de4f4381;K:493ca65d;L:86287be9;M:49688f55;N:18e04449;O:5b8d2bdb;P:d5d64333;Q:8ee7c51f;S-ET:b4baef3f</t>
  </si>
  <si>
    <t>52718878</t>
  </si>
  <si>
    <t>B:8670dbd2;E:4bc9a784;G:3e34c4c5;H:55199ea9;I:637bd47d;J:de4f4381;K:493ca65d;L:86287be9;M:49688f55;N:18e04449;O:5b8d2bdb;P:d5d64333;Q:8ee7c51f;S-ET:6e53266a</t>
  </si>
  <si>
    <t>796d343d</t>
  </si>
  <si>
    <t>B:8670dbd2;E:4bc9a784;G:3e34c4c5;H:55199ea9;I:637bd47d;J:de4f4381;K:493ca65d;L:86287be9;M:49688f55;N:18e04449;O:5b8d2bdb;P:d5d64333;Q:8ee7c51f;S-ET:72287304</t>
  </si>
  <si>
    <t>a14b9907</t>
  </si>
  <si>
    <t>B:8670dbd2;E:4bc9a784;G:3e34c4c5;H:55199ea9;I:637bd47d;J:de4f4381;K:493ca65d;L:86287be9;M:49688f55;N:18e04449;O:5b8d2bdb;P:d5d64333;Q:8ee7c51f;S-ET:41f679d8</t>
  </si>
  <si>
    <t>42447f64</t>
  </si>
  <si>
    <t>B:8670dbd2;E:4bc9a784;G-Q:b9d13f83</t>
  </si>
  <si>
    <t>d12f2ca7</t>
  </si>
  <si>
    <t>B:9a31b120;E:31de94c3;S-ET:bc5c0be9</t>
  </si>
  <si>
    <t>2a524272</t>
  </si>
  <si>
    <t>B:9a31b120;E:31de94c3;S-ET:fb96e7cb</t>
  </si>
  <si>
    <t>f7f73b7e</t>
  </si>
  <si>
    <t>B:9a31b120;E:31de94c3;S-ET:e5ae26e9</t>
  </si>
  <si>
    <t>599a6edf</t>
  </si>
  <si>
    <t>B:9a31b120;E:31de94c3;S-ET:abb2b5f5</t>
  </si>
  <si>
    <t>874563e5</t>
  </si>
  <si>
    <t>B:9a31b120;E:31de94c3;S-ET:6dd94f9e</t>
  </si>
  <si>
    <t>d657dfe8</t>
  </si>
  <si>
    <t>B:9a31b120;E:31de94c3;G:3e34c4c5;H:55199ea9;I:637bd47d;J:de4f4381;K:493ca65d;L:86287be9;M:49688f55;N:18e04449;O:5b8d2bdb;P:d5d64333;Q:8ee7c51f;S-ET:0bf5cda9</t>
  </si>
  <si>
    <t>58669dfb</t>
  </si>
  <si>
    <t>B:9a31b120;E:31de94c3;G:3e34c4c5;H:55199ea9;I:637bd47d;J:de4f4381;K:493ca65d;L:86287be9;M:49688f55;N:18e04449;O:5b8d2bdb;P:d5d64333;Q:8ee7c51f;S-ET:e262404f</t>
  </si>
  <si>
    <t>2ad310ae</t>
  </si>
  <si>
    <t>B:9a31b120;E:31de94c3;G:3e34c4c5;H:55199ea9;I:637bd47d;J:de4f4381;K:493ca65d;L:86287be9;M:49688f55;N:18e04449;O:5b8d2bdb;P:d5d64333;Q:8ee7c51f;S-ET:14f79d52</t>
  </si>
  <si>
    <t>8f6fb58f</t>
  </si>
  <si>
    <t>B:9a31b120;E:31de94c3;G:3e34c4c5;H:55199ea9;I:637bd47d;J:de4f4381;K:493ca65d;L:86287be9;M:49688f55;N:18e04449;O:5b8d2bdb;P:d5d64333;Q:8ee7c51f;S-ET:17ba16f3</t>
  </si>
  <si>
    <t>66ac3c89</t>
  </si>
  <si>
    <t>B:9a31b120;E:31de94c3;G:3e34c4c5;H:55199ea9;I:637bd47d;J:de4f4381;K:493ca65d;L:86287be9;M:49688f55;N:18e04449;O:5b8d2bdb;P:d5d64333;Q:8ee7c51f;S-ET:2c60e81f</t>
  </si>
  <si>
    <t>e5aa84ef</t>
  </si>
  <si>
    <t>B:9a31b120;E:31de94c3;G:3e34c4c5;H:55199ea9;I:637bd47d;J:de4f4381;K:493ca65d;L:86287be9;M:49688f55;N:18e04449;O:5b8d2bdb;P:d5d64333;Q:8ee7c51f;S-ET:36964526</t>
  </si>
  <si>
    <t>da76cd0d</t>
  </si>
  <si>
    <t>B:9a31b120;E:31de94c3;G:3e34c4c5;H:55199ea9;I:637bd47d;J:de4f4381;K:493ca65d;L:86287be9;M:49688f55;N:18e04449;O:5b8d2bdb;P:d5d64333;Q:8ee7c51f;S-ET:cfe2dc80</t>
  </si>
  <si>
    <t>8a80372a</t>
  </si>
  <si>
    <t>B:9a31b120;E:31de94c3;G:3e34c4c5;H:55199ea9;I:637bd47d;J:de4f4381;K:493ca65d;L:86287be9;M:49688f55;N:18e04449;O:5b8d2bdb;P:d5d64333;Q:8ee7c51f;S-ET:a2c7c0aa</t>
  </si>
  <si>
    <t>84035f4a</t>
  </si>
  <si>
    <t>B:9a31b120;E:31de94c3;G:3e34c4c5;H:55199ea9;I:637bd47d;J:de4f4381;K:493ca65d;L:86287be9;M:49688f55;N:18e04449;O:5b8d2bdb;P:d5d64333;Q:8ee7c51f;S-ET:6db93224</t>
  </si>
  <si>
    <t>d246e1ed</t>
  </si>
  <si>
    <t>B:9a31b120;E:31de94c3;G:3e34c4c5;H:55199ea9;I:637bd47d;J:de4f4381;K:493ca65d;L:86287be9;M:49688f55;N:18e04449;O:5b8d2bdb;P:d5d64333;Q:8ee7c51f;S-ET:3513465d</t>
  </si>
  <si>
    <t>a6c9e0d1</t>
  </si>
  <si>
    <t>B:9a31b120;E:31de94c3;G-Q:310cb92a</t>
  </si>
  <si>
    <t>0264f99e</t>
  </si>
  <si>
    <t>B:4f8388ae;E:0f1594a2;S-ET:1b8c0bec</t>
  </si>
  <si>
    <t>b9c20c01</t>
  </si>
  <si>
    <t>B:4f8388ae;E:0f1594a2;S-ET:46d4c1ad</t>
  </si>
  <si>
    <t>46cff779</t>
  </si>
  <si>
    <t>B:4f8388ae;E:0f1594a2;S-ET:d9b511b3</t>
  </si>
  <si>
    <t>d82bed0f</t>
  </si>
  <si>
    <t>B:4f8388ae;E:0f1594a2;S-ET:16a63565</t>
  </si>
  <si>
    <t>1ee65b6b</t>
  </si>
  <si>
    <t>B:4f8388ae;E:0f1594a2;S-ET:2c6c023d</t>
  </si>
  <si>
    <t>660b89b5</t>
  </si>
  <si>
    <t>B:4f8388ae;E:0f1594a2;G:3e34c4c5;H:55199ea9;I:637bd47d;J:de4f4381;K:493ca65d;L:86287be9;M:49688f55;N:18e04449;O:5b8d2bdb;P:d5d64333;Q:8ee7c51f;S-ET:47084ed1</t>
  </si>
  <si>
    <t>eb9a424b</t>
  </si>
  <si>
    <t>B:4f8388ae;E:0f1594a2;G:3e34c4c5;H:55199ea9;I:637bd47d;J:de4f4381;K:493ca65d;L:86287be9;M:49688f55;N:18e04449;O:5b8d2bdb;P:d5d64333;Q:8ee7c51f;S-ET:8d072d57</t>
  </si>
  <si>
    <t>e35ee161</t>
  </si>
  <si>
    <t>B:4f8388ae;E:0f1594a2;G:3e34c4c5;H:55199ea9;I:637bd47d;J:de4f4381;K:493ca65d;L:86287be9;M:49688f55;N:18e04449;O:5b8d2bdb;P:d5d64333;Q:8ee7c51f;S-ET:cddad95e</t>
  </si>
  <si>
    <t>9b5b3187</t>
  </si>
  <si>
    <t>B:4f8388ae;E:0f1594a2;G:3e34c4c5;H:55199ea9;I:637bd47d;J:de4f4381;K:493ca65d;L:86287be9;M:49688f55;N:18e04449;O:5b8d2bdb;P:d5d64333;Q:8ee7c51f;S-ET:a9ff983e</t>
  </si>
  <si>
    <t>5df33e8a</t>
  </si>
  <si>
    <t>B:4f8388ae;E:0f1594a2;G:3e34c4c5;H:55199ea9;I:637bd47d;J:de4f4381;K:493ca65d;L:86287be9;M:49688f55;N:18e04449;O:5b8d2bdb;P:d5d64333;Q:8ee7c51f;S-ET:b93e36df</t>
  </si>
  <si>
    <t>c119e81f</t>
  </si>
  <si>
    <t>B:4f8388ae;E:0f1594a2;G:3e34c4c5;H:55199ea9;I:637bd47d;J:de4f4381;K:493ca65d;L:86287be9;M:49688f55;N:18e04449;O:5b8d2bdb;P:d5d64333;Q:8ee7c51f;S-ET:94ab537b</t>
  </si>
  <si>
    <t>c2c511a4</t>
  </si>
  <si>
    <t>B:4f8388ae;E:0f1594a2;G:3e34c4c5;H:55199ea9;I:637bd47d;J:de4f4381;K:493ca65d;L:86287be9;M:49688f55;N:18e04449;O:5b8d2bdb;P:d5d64333;Q:8ee7c51f;S-ET:7105dbed</t>
  </si>
  <si>
    <t>5c364113</t>
  </si>
  <si>
    <t>B:4f8388ae;E:0f1594a2;G:3e34c4c5;H:55199ea9;I:637bd47d;J:de4f4381;K:493ca65d;L:86287be9;M:49688f55;N:18e04449;O:5b8d2bdb;P:d5d64333;Q:8ee7c51f;S-ET:ef17533a</t>
  </si>
  <si>
    <t>7957c12e</t>
  </si>
  <si>
    <t>B:4f8388ae;E:0f1594a2;G:3e34c4c5;H:55199ea9;I:637bd47d;J:de4f4381;K:493ca65d;L:86287be9;M:49688f55;N:18e04449;O:5b8d2bdb;P:d5d64333;Q:8ee7c51f;S-ET:b967bb00</t>
  </si>
  <si>
    <t>65c0ff51</t>
  </si>
  <si>
    <t>B:4f8388ae;E:0f1594a2;G:3e34c4c5;H:55199ea9;I:637bd47d;J:de4f4381;K:493ca65d;L:86287be9;M:49688f55;N:18e04449;O:5b8d2bdb;P:d5d64333;Q:8ee7c51f;S-ET:3c27eeae</t>
  </si>
  <si>
    <t>7de11bbe</t>
  </si>
  <si>
    <t>B:4f8388ae;E:0f1594a2;G-Q:ab9ebb21</t>
  </si>
  <si>
    <t>b7082410</t>
  </si>
  <si>
    <t>B:ca106828;E:17db1d99;S-ET:770f6a2f</t>
  </si>
  <si>
    <t>100756e4</t>
  </si>
  <si>
    <t>B:ca106828;E:17db1d99;S-ET:f0f5c5db</t>
  </si>
  <si>
    <t>c05b696b</t>
  </si>
  <si>
    <t>B:ca106828;E:17db1d99;S-ET:9e886da1</t>
  </si>
  <si>
    <t>1d8e5445</t>
  </si>
  <si>
    <t>B:ca106828;E:17db1d99;S-ET:82300195</t>
  </si>
  <si>
    <t>80797e9a</t>
  </si>
  <si>
    <t>B:ca106828;E:17db1d99;S-ET:57bb6890</t>
  </si>
  <si>
    <t>77304347</t>
  </si>
  <si>
    <t>B:ca106828;E:17db1d99;G:3e34c4c5;H:55199ea9;I:637bd47d;J:de4f4381;K:493ca65d;L:86287be9;M:49688f55;N:18e04449;O:5b8d2bdb;P:d5d64333;Q:8ee7c51f;S-ET:947c6391</t>
  </si>
  <si>
    <t>447e2a3e</t>
  </si>
  <si>
    <t>B:ca106828;E:17db1d99;G:3e34c4c5;H:55199ea9;I:637bd47d;J:de4f4381;K:493ca65d;L:86287be9;M:49688f55;N:18e04449;O:5b8d2bdb;P:d5d64333;Q:8ee7c51f;S-ET:2beca7eb</t>
  </si>
  <si>
    <t>86fd4ba5</t>
  </si>
  <si>
    <t>B:ca106828;E:17db1d99;G:3e34c4c5;H:55199ea9;I:637bd47d;J:de4f4381;K:493ca65d;L:86287be9;M:49688f55;N:18e04449;O:5b8d2bdb;P:d5d64333;Q:8ee7c51f;S-ET:c927c6ea</t>
  </si>
  <si>
    <t>95b9767e</t>
  </si>
  <si>
    <t>B:ca106828;E:17db1d99;G:3e34c4c5;H:55199ea9;I:637bd47d;J:de4f4381;K:493ca65d;L:86287be9;M:49688f55;N:18e04449;O:5b8d2bdb;P:d5d64333;Q:8ee7c51f;S-ET:3687c619</t>
  </si>
  <si>
    <t>f59b0a17</t>
  </si>
  <si>
    <t>B:ca106828;E:17db1d99;G:3e34c4c5;H:55199ea9;I:637bd47d;J:de4f4381;K:493ca65d;L:86287be9;M:49688f55;N:18e04449;O:5b8d2bdb;P:d5d64333;Q:8ee7c51f;S-ET:b0db3f23</t>
  </si>
  <si>
    <t>08bc8672</t>
  </si>
  <si>
    <t>B:ca106828;E:17db1d99;G:3e34c4c5;H:55199ea9;I:637bd47d;J:de4f4381;K:493ca65d;L:86287be9;M:49688f55;N:18e04449;O:5b8d2bdb;P:d5d64333;Q:8ee7c51f;S-ET:7303f1e8</t>
  </si>
  <si>
    <t>d4c350c3</t>
  </si>
  <si>
    <t>B:ca106828;E:17db1d99;G:3e34c4c5;H:55199ea9;I:637bd47d;J:de4f4381;K:493ca65d;L:86287be9;M:49688f55;N:18e04449;O:5b8d2bdb;P:d5d64333;Q:8ee7c51f;S-ET:0c137a4e</t>
  </si>
  <si>
    <t>b3a55218</t>
  </si>
  <si>
    <t>B:ca106828;E:17db1d99;G:3e34c4c5;H:55199ea9;I:637bd47d;J:de4f4381;K:493ca65d;L:86287be9;M:49688f55;N:18e04449;O:5b8d2bdb;P:d5d64333;Q:8ee7c51f;S-ET:fd80fb0a</t>
  </si>
  <si>
    <t>48c46af2</t>
  </si>
  <si>
    <t>B:ca106828;E:17db1d99;G:3e34c4c5;H:55199ea9;I:637bd47d;J:de4f4381;K:493ca65d;L:86287be9;M:49688f55;N:18e04449;O:5b8d2bdb;P:d5d64333;Q:8ee7c51f;S-ET:040369c0</t>
  </si>
  <si>
    <t>50a6291c</t>
  </si>
  <si>
    <t>B:ca106828;E:17db1d99;G:3e34c4c5;H:55199ea9;I:637bd47d;J:de4f4381;K:493ca65d;L:86287be9;M:49688f55;N:18e04449;O:5b8d2bdb;P:d5d64333;Q:8ee7c51f;S-ET:ca5e3963</t>
  </si>
  <si>
    <t>ac1abf56</t>
  </si>
  <si>
    <t>B:ca106828;E:17db1d99;G-Q:72514200</t>
  </si>
  <si>
    <t>b511dae7</t>
  </si>
  <si>
    <t>B:79bc0902;E:7e2b6b80;S-ET:24a0569a</t>
  </si>
  <si>
    <t>0fd30b15</t>
  </si>
  <si>
    <t>B:79bc0902;E:7e2b6b80;S-ET:ccb2d1b1</t>
  </si>
  <si>
    <t>445c30e6</t>
  </si>
  <si>
    <t>B:79bc0902;E:7e2b6b80;S-ET:d96d03f7</t>
  </si>
  <si>
    <t>d1cdf85b</t>
  </si>
  <si>
    <t>B:79bc0902;E:7e2b6b80;S-ET:2f6dd3b5</t>
  </si>
  <si>
    <t>d10b5716</t>
  </si>
  <si>
    <t>B:79bc0902;E:7e2b6b80;S-ET:34a9d147</t>
  </si>
  <si>
    <t>03bca3c8</t>
  </si>
  <si>
    <t>B:79bc0902;E:7e2b6b80;G:3e34c4c5;H:55199ea9;I:637bd47d;J:de4f4381;K:493ca65d;L:86287be9;M:49688f55;N:18e04449;O:5b8d2bdb;P:d5d64333;Q:8ee7c51f;S-ET:727b81a9</t>
  </si>
  <si>
    <t>23431d78</t>
  </si>
  <si>
    <t>B:79bc0902;E:7e2b6b80;G:3e34c4c5;H:55199ea9;I:637bd47d;J:de4f4381;K:493ca65d;L:86287be9;M:49688f55;N:18e04449;O:5b8d2bdb;P:d5d64333;Q:8ee7c51f;S-ET:98758563</t>
  </si>
  <si>
    <t>82297be0</t>
  </si>
  <si>
    <t>B:79bc0902;E:7e2b6b80;G:3e34c4c5;H:55199ea9;I:637bd47d;J:de4f4381;K:493ca65d;L:86287be9;M:49688f55;N:18e04449;O:5b8d2bdb;P:d5d64333;Q:8ee7c51f;S-ET:3ed87716</t>
  </si>
  <si>
    <t>b9aaae05</t>
  </si>
  <si>
    <t>B:79bc0902;E:7e2b6b80;G:3e34c4c5;H:55199ea9;I:637bd47d;J:de4f4381;K:493ca65d;L:86287be9;M:49688f55;N:18e04449;O:5b8d2bdb;P:d5d64333;Q:8ee7c51f;S-ET:4e17684c</t>
  </si>
  <si>
    <t>88881f44</t>
  </si>
  <si>
    <t>B:79bc0902;E:7e2b6b80;G:3e34c4c5;H:55199ea9;I:637bd47d;J:de4f4381;K:493ca65d;L:86287be9;M:49688f55;N:18e04449;O:5b8d2bdb;P:d5d64333;Q:8ee7c51f;S-ET:2f00cfa3</t>
  </si>
  <si>
    <t>77ef2da1</t>
  </si>
  <si>
    <t>B:79bc0902;E:7e2b6b80;G:3e34c4c5;H:55199ea9;I:637bd47d;J:de4f4381;K:493ca65d;L:86287be9;M:49688f55;N:18e04449;O:5b8d2bdb;P:d5d64333;Q:8ee7c51f;S-ET:2ab7525d</t>
  </si>
  <si>
    <t>296d30af</t>
  </si>
  <si>
    <t>B:79bc0902;E:7e2b6b80;G:3e34c4c5;H:55199ea9;I:637bd47d;J:de4f4381;K:493ca65d;L:86287be9;M:49688f55;N:18e04449;O:5b8d2bdb;P:d5d64333;Q:8ee7c51f;S-ET:cff1a3db</t>
  </si>
  <si>
    <t>08eab740</t>
  </si>
  <si>
    <t>B:79bc0902;E:7e2b6b80;G:3e34c4c5;H:55199ea9;I:637bd47d;J:de4f4381;K:493ca65d;L:86287be9;M:49688f55;N:18e04449;O:5b8d2bdb;P:d5d64333;Q:8ee7c51f;S-ET:25b9cfca</t>
  </si>
  <si>
    <t>0cec152f</t>
  </si>
  <si>
    <t>B:79bc0902;E:7e2b6b80;G:3e34c4c5;H:55199ea9;I:637bd47d;J:de4f4381;K:493ca65d;L:86287be9;M:49688f55;N:18e04449;O:5b8d2bdb;P:d5d64333;Q:8ee7c51f;S-ET:079be164</t>
  </si>
  <si>
    <t>22a1137e</t>
  </si>
  <si>
    <t>B:79bc0902;E:7e2b6b80;G:3e34c4c5;H:55199ea9;I:637bd47d;J:de4f4381;K:493ca65d;L:86287be9;M:49688f55;N:18e04449;O:5b8d2bdb;P:d5d64333;Q:8ee7c51f;S-ET:b1a7df04</t>
  </si>
  <si>
    <t>61c467d4</t>
  </si>
  <si>
    <t>B:79bc0902;E:7e2b6b80;G-Q:7eee1b77</t>
  </si>
  <si>
    <t>527ebd53</t>
  </si>
  <si>
    <t>B:04444c9e;E:a95bad16;S-ET:55e750dc</t>
  </si>
  <si>
    <t>8da974a7</t>
  </si>
  <si>
    <t>B:04444c9e;E:a95bad16;S-ET:09bebf39</t>
  </si>
  <si>
    <t>248eec9a</t>
  </si>
  <si>
    <t>B:04444c9e;E:a95bad16;S-ET:74477b6f</t>
  </si>
  <si>
    <t>9af37faa</t>
  </si>
  <si>
    <t>B:04444c9e;E:a95bad16;S-ET:6d8174f1</t>
  </si>
  <si>
    <t>7d53e3b9</t>
  </si>
  <si>
    <t>B:04444c9e;E:a95bad16;S-ET:301408a1</t>
  </si>
  <si>
    <t>3d5d4078</t>
  </si>
  <si>
    <t>B:04444c9e;E:a95bad16;G:3e34c4c5;H:55199ea9;I:637bd47d;J:de4f4381;K:493ca65d;L:86287be9;M:49688f55;N:18e04449;O:5b8d2bdb;P:d5d64333;Q:8ee7c51f;S-ET:8ca081bd</t>
  </si>
  <si>
    <t>828b62bc</t>
  </si>
  <si>
    <t>B:04444c9e;E:a95bad16;G:3e34c4c5;H:55199ea9;I:637bd47d;J:de4f4381;K:493ca65d;L:86287be9;M:49688f55;N:18e04449;O:5b8d2bdb;P:d5d64333;Q:8ee7c51f;S-ET:c572002b</t>
  </si>
  <si>
    <t>f995623d</t>
  </si>
  <si>
    <t>B:04444c9e;E:a95bad16;G:3e34c4c5;H:55199ea9;I:637bd47d;J:de4f4381;K:493ca65d;L:86287be9;M:49688f55;N:18e04449;O:5b8d2bdb;P:d5d64333;Q:8ee7c51f;S-ET:b3c753c2</t>
  </si>
  <si>
    <t>de027dde</t>
  </si>
  <si>
    <t>B:04444c9e;E:a95bad16;G:3e34c4c5;H:55199ea9;I:637bd47d;J:de4f4381;K:493ca65d;L:86287be9;M:49688f55;N:18e04449;O:5b8d2bdb;P:d5d64333;Q:8ee7c51f;S-ET:cd2dc6e2</t>
  </si>
  <si>
    <t>26888908</t>
  </si>
  <si>
    <t>B:04444c9e;E:a95bad16;G:3e34c4c5;H:55199ea9;I:637bd47d;J:de4f4381;K:493ca65d;L:86287be9;M:49688f55;N:18e04449;O:5b8d2bdb;P:d5d64333;Q:8ee7c51f;S-ET:9e0892e7</t>
  </si>
  <si>
    <t>7bd9f502</t>
  </si>
  <si>
    <t>B:04444c9e;E:a95bad16;G:3e34c4c5;H:55199ea9;I:637bd47d;J:de4f4381;K:493ca65d;L:86287be9;M:49688f55;N:18e04449;O:5b8d2bdb;P:d5d64333;Q:8ee7c51f;S-ET:7193b14b</t>
  </si>
  <si>
    <t>733717be</t>
  </si>
  <si>
    <t>B:04444c9e;E:a95bad16;G:3e34c4c5;H:55199ea9;I:637bd47d;J:de4f4381;K:493ca65d;L:86287be9;M:49688f55;N:18e04449;O:5b8d2bdb;P:d5d64333;Q:8ee7c51f;S-ET:b4474b55</t>
  </si>
  <si>
    <t>34d41d2b</t>
  </si>
  <si>
    <t>B:04444c9e;E:a95bad16;G:3e34c4c5;H:55199ea9;I:637bd47d;J:de4f4381;K:493ca65d;L:86287be9;M:49688f55;N:18e04449;O:5b8d2bdb;P:d5d64333;Q:8ee7c51f;S-ET:71b5b99a</t>
  </si>
  <si>
    <t>38c84347</t>
  </si>
  <si>
    <t>B:04444c9e;E:a95bad16;G:3e34c4c5;H:55199ea9;I:637bd47d;J:de4f4381;K:493ca65d;L:86287be9;M:49688f55;N:18e04449;O:5b8d2bdb;P:d5d64333;Q:8ee7c51f;S-ET:3bc9cb28</t>
  </si>
  <si>
    <t>dc3ee623</t>
  </si>
  <si>
    <t>B:04444c9e;E:a95bad16;G:3e34c4c5;H:55199ea9;I:637bd47d;J:de4f4381;K:493ca65d;L:86287be9;M:49688f55;N:18e04449;O:5b8d2bdb;P:d5d64333;Q:8ee7c51f;S-ET:a904e5d6</t>
  </si>
  <si>
    <t>879a5edc</t>
  </si>
  <si>
    <t>B:04444c9e;E:a95bad16;G-Q:28e06c49</t>
  </si>
  <si>
    <t>e602a32d</t>
  </si>
  <si>
    <t>B:2889a960;E:dc24c667;S-ET:b259e2ed</t>
  </si>
  <si>
    <t>b0184217</t>
  </si>
  <si>
    <t>B:2889a960;E:dc24c667;S-ET:7ed6a7a7</t>
  </si>
  <si>
    <t>4781cc08</t>
  </si>
  <si>
    <t>B:2889a960;E:dc24c667;S-ET:e7b7d705</t>
  </si>
  <si>
    <t>7b838e26</t>
  </si>
  <si>
    <t>B:2889a960;E:dc24c667;S-ET:592e2745</t>
  </si>
  <si>
    <t>45db052c</t>
  </si>
  <si>
    <t>B:2889a960;E:dc24c667;S-ET:7cbe405e</t>
  </si>
  <si>
    <t>189245c1</t>
  </si>
  <si>
    <t>B:2889a960;E:dc24c667;G:3e34c4c5;H:55199ea9;I:637bd47d;J:de4f4381;K:493ca65d;L:86287be9;M:49688f55;N:18e04449;O:5b8d2bdb;P:d5d64333;Q:8ee7c51f;S-ET:c33bbe99</t>
  </si>
  <si>
    <t>d1156f33</t>
  </si>
  <si>
    <t>B:2889a960;E:dc24c667;G:3e34c4c5;H:55199ea9;I:637bd47d;J:de4f4381;K:493ca65d;L:86287be9;M:49688f55;N:18e04449;O:5b8d2bdb;P:d5d64333;Q:8ee7c51f;S-ET:9fc0a5bf</t>
  </si>
  <si>
    <t>6f3a854a</t>
  </si>
  <si>
    <t>B:2889a960;E:dc24c667;G:3e34c4c5;H:55199ea9;I:637bd47d;J:de4f4381;K:493ca65d;L:86287be9;M:49688f55;N:18e04449;O:5b8d2bdb;P:d5d64333;Q:8ee7c51f;S-ET:814a372a</t>
  </si>
  <si>
    <t>0002173e</t>
  </si>
  <si>
    <t>B:2889a960;E:dc24c667;G:3e34c4c5;H:55199ea9;I:637bd47d;J:de4f4381;K:493ca65d;L:86287be9;M:49688f55;N:18e04449;O:5b8d2bdb;P:d5d64333;Q:8ee7c51f;S-ET:4370cfe7</t>
  </si>
  <si>
    <t>275c2b27</t>
  </si>
  <si>
    <t>B:2889a960;E:dc24c667;G:3e34c4c5;H:55199ea9;I:637bd47d;J:de4f4381;K:493ca65d;L:86287be9;M:49688f55;N:18e04449;O:5b8d2bdb;P:d5d64333;Q:8ee7c51f;S-ET:b710ef63</t>
  </si>
  <si>
    <t>6bff26a0</t>
  </si>
  <si>
    <t>B:2889a960;E:dc24c667;G:3e34c4c5;H:55199ea9;I:637bd47d;J:de4f4381;K:493ca65d;L:86287be9;M:49688f55;N:18e04449;O:5b8d2bdb;P:d5d64333;Q:8ee7c51f;S-ET:7394c6e2</t>
  </si>
  <si>
    <t>b9e916fe</t>
  </si>
  <si>
    <t>B:2889a960;E:dc24c667;G:3e34c4c5;H:55199ea9;I:637bd47d;J:de4f4381;K:493ca65d;L:86287be9;M:49688f55;N:18e04449;O:5b8d2bdb;P:d5d64333;Q:8ee7c51f;S-ET:a243c9dc</t>
  </si>
  <si>
    <t>f2d99f23</t>
  </si>
  <si>
    <t>B:2889a960;E:dc24c667;G:3e34c4c5;H:55199ea9;I:637bd47d;J:de4f4381;K:493ca65d;L:86287be9;M:49688f55;N:18e04449;O:5b8d2bdb;P:d5d64333;Q:8ee7c51f;S-ET:e90dbf7a</t>
  </si>
  <si>
    <t>26cd9e76</t>
  </si>
  <si>
    <t>B:2889a960;E:dc24c667;G:3e34c4c5;H:55199ea9;I:637bd47d;J:de4f4381;K:493ca65d;L:86287be9;M:49688f55;N:18e04449;O:5b8d2bdb;P:d5d64333;Q:8ee7c51f;S-ET:cc746174</t>
  </si>
  <si>
    <t>d0ea5748</t>
  </si>
  <si>
    <t>B:2889a960;E:dc24c667;G:3e34c4c5;H:55199ea9;I:637bd47d;J:de4f4381;K:493ca65d;L:86287be9;M:49688f55;N:18e04449;O:5b8d2bdb;P:d5d64333;Q:8ee7c51f;S-ET:43ef0621</t>
  </si>
  <si>
    <t>5d38c9dc</t>
  </si>
  <si>
    <t>B:2889a960;E:dc24c667;G-Q:5d4972b6</t>
  </si>
  <si>
    <t>c4966653</t>
  </si>
  <si>
    <t>B:cc2b29fe;E:e5c00e18;S-ET:e34446da</t>
  </si>
  <si>
    <t>e4ee60e2</t>
  </si>
  <si>
    <t>B:cc2b29fe;E:e5c00e18;S-ET:74ee78a1</t>
  </si>
  <si>
    <t>514b43b2</t>
  </si>
  <si>
    <t>B:cc2b29fe;E:e5c00e18;S-ET:b2507d37</t>
  </si>
  <si>
    <t>3eb80e92</t>
  </si>
  <si>
    <t>B:cc2b29fe;E:e5c00e18;S-ET:8fa55865</t>
  </si>
  <si>
    <t>fc106992</t>
  </si>
  <si>
    <t>B:cc2b29fe;E:e5c00e18;S-ET:e6d83d53</t>
  </si>
  <si>
    <t>5b491732</t>
  </si>
  <si>
    <t>B:cc2b29fe;E:e5c00e18;G:3e34c4c5;H:55199ea9;I:637bd47d;J:de4f4381;K:493ca65d;L:86287be9;M:49688f55;N:18e04449;O:5b8d2bdb;P:d5d64333;Q:8ee7c51f;S-ET:336f4039</t>
  </si>
  <si>
    <t>084c0a4e</t>
  </si>
  <si>
    <t>B:cc2b29fe;E:e5c00e18;G:3e34c4c5;H:55199ea9;I:637bd47d;J:de4f4381;K:493ca65d;L:86287be9;M:49688f55;N:18e04449;O:5b8d2bdb;P:d5d64333;Q:8ee7c51f;S-ET:82d05adb</t>
  </si>
  <si>
    <t>02f39cfa</t>
  </si>
  <si>
    <t>B:cc2b29fe;E:e5c00e18;G:3e34c4c5;H:55199ea9;I:637bd47d;J:de4f4381;K:493ca65d;L:86287be9;M:49688f55;N:18e04449;O:5b8d2bdb;P:d5d64333;Q:8ee7c51f;S-ET:dbb19fae</t>
  </si>
  <si>
    <t>9bd3d36c</t>
  </si>
  <si>
    <t>B:cc2b29fe;E:e5c00e18;G:3e34c4c5;H:55199ea9;I:637bd47d;J:de4f4381;K:493ca65d;L:86287be9;M:49688f55;N:18e04449;O:5b8d2bdb;P:d5d64333;Q:8ee7c51f;S-ET:a73005ec</t>
  </si>
  <si>
    <t>afd5ac12</t>
  </si>
  <si>
    <t>B:cc2b29fe;E:e5c00e18;G:3e34c4c5;H:55199ea9;I:637bd47d;J:de4f4381;K:493ca65d;L:86287be9;M:49688f55;N:18e04449;O:5b8d2bdb;P:d5d64333;Q:8ee7c51f;S-ET:89cf39ff</t>
  </si>
  <si>
    <t>77f2355b</t>
  </si>
  <si>
    <t>B:cc2b29fe;E:e5c00e18;G:3e34c4c5;H:55199ea9;I:637bd47d;J:de4f4381;K:493ca65d;L:86287be9;M:49688f55;N:18e04449;O:5b8d2bdb;P:d5d64333;Q:8ee7c51f;S-ET:1efe394d</t>
  </si>
  <si>
    <t>bbc85d84</t>
  </si>
  <si>
    <t>B:cc2b29fe;E:e5c00e18;G:3e34c4c5;H:55199ea9;I:637bd47d;J:de4f4381;K:493ca65d;L:86287be9;M:49688f55;N:18e04449;O:5b8d2bdb;P:d5d64333;Q:8ee7c51f;S-ET:6e95360b</t>
  </si>
  <si>
    <t>338b5b80</t>
  </si>
  <si>
    <t>B:cc2b29fe;E:e5c00e18;G:3e34c4c5;H:55199ea9;I:637bd47d;J:de4f4381;K:493ca65d;L:86287be9;M:49688f55;N:18e04449;O:5b8d2bdb;P:d5d64333;Q:8ee7c51f;S-ET:e1a5807a</t>
  </si>
  <si>
    <t>dd275538</t>
  </si>
  <si>
    <t>B:cc2b29fe;E:e5c00e18;G:3e34c4c5;H:55199ea9;I:637bd47d;J:de4f4381;K:493ca65d;L:86287be9;M:49688f55;N:18e04449;O:5b8d2bdb;P:d5d64333;Q:8ee7c51f;S-ET:7c32c794</t>
  </si>
  <si>
    <t>1c9322b7</t>
  </si>
  <si>
    <t>B:cc2b29fe;E:e5c00e18;G:3e34c4c5;H:55199ea9;I:637bd47d;J:de4f4381;K:493ca65d;L:86287be9;M:49688f55;N:18e04449;O:5b8d2bdb;P:d5d64333;Q:8ee7c51f;S-ET:2100ae1c</t>
  </si>
  <si>
    <t>f96f105d</t>
  </si>
  <si>
    <t>B:cc2b29fe;E:e5c00e18;G-Q:2582d0ff</t>
  </si>
  <si>
    <t>fdc12297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</si>
  <si>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acd5ea1d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</si>
  <si>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025df4d2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</si>
  <si>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0f86e73d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</si>
  <si>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09b23ed0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</si>
  <si>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717fe739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</si>
  <si>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e517d682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</si>
  <si>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854c2733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</si>
  <si>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acbf8374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</si>
  <si>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f37480ad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</si>
  <si>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97b3fce1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</si>
  <si>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32c28c9b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</si>
  <si>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c5d27759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</si>
  <si>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4009f131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</si>
  <si>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61ef6c47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</si>
  <si>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a7515c4b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</si>
  <si>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6af1fc04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</si>
  <si>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09df754d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</si>
  <si>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942a8e62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</si>
  <si>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136ab233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</si>
  <si>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e95196ad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</si>
  <si>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7778f159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</si>
  <si>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28d0e053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</si>
  <si>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106b33b3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</si>
  <si>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4e31d7ee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</si>
  <si>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96a331e3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</si>
  <si>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0b62492e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</si>
  <si>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aa5b312d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</si>
  <si>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703d380a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</si>
  <si>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fff4065f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</si>
  <si>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47cf01bd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</si>
  <si>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68e70295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</si>
  <si>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a33d4d0c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</si>
  <si>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f7db7513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</si>
  <si>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b6aa7f5f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</si>
  <si>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d897ae95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</si>
  <si>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2348f0e0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</si>
  <si>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bb5b9d27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</si>
  <si>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d9952d8c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</si>
  <si>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490c542d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</si>
  <si>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b46f93a6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</si>
  <si>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6f8d96a3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</si>
  <si>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fa9d1ea5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</si>
  <si>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6e39124d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</si>
  <si>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55693bd7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</si>
  <si>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9f7e6155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</si>
  <si>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8d312d49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</si>
  <si>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18dcdfbf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</si>
  <si>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24d9dd09</t>
  </si>
  <si>
    <t>B:9e5164fe;C:a3de51ee;D:46f5a4e9;E:6355af73;F:3bcc1f82;G:506fb91f;H:53c64775;I:357596cb;J:3507b0f4;K:933059bb;L:7b66a8da;M:b631856b;N:9ea1d67d;O:191c3453;P:5f8e0ccc;Q:ff9ab7de;R:6e211dd4;S:e5d38489;T:a99b18d2;U:1648ecc7;V:34365266;W:28b3f87a;X:d015f61f;Y:b30d8aa4;Z:bde250f3;AA:5d08d64e;AB:195d489f;AC:badde66a;AD:e411f0af;AE:4ed33a15;AF:26c88ccf;AG:bc867771;AH:c7af4b2f;AI:5286c907;AJ:b9c20b24;AK:003ea6f3;AL:ed2338cc;AM-AN:11db02c7;AO:eb511c5f;AP:ad4e0a7b;AQ:2a883959;AR:5cfc5691;AS:8e8be709;AT:dce4fc85;AU:89b5bb5f;AV:dce4fc85;AW:89b5bb5f;AX:dce4fc85;AY:89b5bb5f;AZ:dce4fc85;BA:89b5bb5f;BB:b0e46a97;BC:27bf08a5;BD:6f67e8a5;BE:9c2e76f0;BG:f5b8550e;BH:5e12157e;BI:6792db07;BJ:66b156cf;BK:3d57ae66;BL:9d36f180;BM:d8e683e9;BN:d984899b;BO:3b093a22;BP:e73fb58f;BQ:3a081474;BR:4c63331d;BS:ba0d4de2;BT:95fcee23;BU-BV:8fb00d80;BW-CA:8a43b91a;CB:43493649;CC:6ce073d3;CD:e16b1045;CE:d5151a8f;CF:dbe3af30;CG:798ebe23;CH:2f85641e;CI:6ce073d3;CJ:43403bed;CK:d2bc7384;CL:d2ab2a63;CM:d6ad6f46;CN:ff559730;CO:4353c3a5;CP:19782268;CQ:606e6874;CR:ff4edb6b;CS:ff4c9cd4;CT:43493649;CU:034692f2;CV:ff444e0f;CW:90c02f51;CY:f69e2b06;CZ:fd204288;DA:0cf9df4d;DB:c80928a4;DC:c58056ae;DF:d08b14a1;DG-DJ:84b32311;DK:e5f00b96;DM-DQ:e5f00b96;DR:24b935d4;DT-DX:24b935d4;EG:6bbf806b;EN:37a877e5;EU:d0cb216d;FB:fb087db5;FH:045a6d2d;FI:e33a45ea;FJ-FN:9d015de3;FP:877822fe;FQ-FU:a1f8c136;FW:506d2ef2;FX-GB:b93bccf6;GD:7536e4bc;GE-GI:247c7c7c;GJ:580365ee;GK:f1e019aa;GL-GP:580365ee;GQ:bd9ebe49;GR:1bf442f3;GS:0740920c;GT:bf4aebdc;GU:83484ed1;GV:8346103a;GW:bf443017;GX:bd9ebe49;GY:f29da729;GZ:c35340ed;HA:83509d96;HB:bf4d2a73;HC:7f5fa1d4;HD:c35c3b49;HE:cfad873d;HF:f1d0d198;HG:d8cefbfa;HH:04346765;HI:39ec9804;HJ:9f50faff;HK:010c8dde;HL:d58f49d3;HM:1c3b5443;HN:99dd32c8;HO-HR:1fee7290;HS:155f9ceb;HT:40d83907;HU:6ee8f2cc;HV:4de2a043;HW:be70029a;HX:59c2ae01;HY:7192c975;HZ:03cee8e8;IA:32276a87;IB:1240c357;IC:4afa2b2e;ID:cd894aef;IE:aea2c195;IF:7f45b11c;IH:012d57da;II:6c80713c;IJ:cbc41efd;IK:8bc17ba6;IL:87bf36c3;IM:87d07fe4;IO:662b0539;IP:fa9b8be8;IQ:dcd78af3;IR:c91df20a;IS:a1116f0d;IT:39fde51c</t>
  </si>
  <si>
    <t>bc6a0509</t>
  </si>
  <si>
    <t>E-O:04d98e49</t>
  </si>
  <si>
    <t>ead0865c</t>
  </si>
  <si>
    <t>E-O:8e9e1b93</t>
  </si>
  <si>
    <t>74c5a060</t>
  </si>
  <si>
    <t>E-O:dd7f265b</t>
  </si>
  <si>
    <t>3feac1bf</t>
  </si>
  <si>
    <t>E-O:2e7fca7b</t>
  </si>
  <si>
    <t>14ea0289</t>
  </si>
  <si>
    <t>E-O:18c655a4</t>
  </si>
  <si>
    <t>0f1351f9</t>
  </si>
  <si>
    <t>E-O:52cd181a</t>
  </si>
  <si>
    <t>7d24c9cd</t>
  </si>
  <si>
    <t>E-O:6b50b6b0</t>
  </si>
  <si>
    <t>e367d409</t>
  </si>
  <si>
    <t>E-O:f34b38d3</t>
  </si>
  <si>
    <t>0d49f173</t>
  </si>
  <si>
    <t>E-O:84750d18</t>
  </si>
  <si>
    <t>a99171b4</t>
  </si>
  <si>
    <t>E-O:dab8fe59</t>
  </si>
  <si>
    <t>3e9cedd1</t>
  </si>
  <si>
    <t>E-O:cbc520dd</t>
  </si>
  <si>
    <t>4da9c5e0</t>
  </si>
  <si>
    <t>E-O:d0477c36</t>
  </si>
  <si>
    <t>b6e9af8a</t>
  </si>
  <si>
    <t>E-O:fc36f336</t>
  </si>
  <si>
    <t>3c7bbea1</t>
  </si>
  <si>
    <t>E-O:df3fa65b</t>
  </si>
  <si>
    <t>55aa0b0c</t>
  </si>
  <si>
    <t>E-O:14465512</t>
  </si>
  <si>
    <t>ce5d9df0</t>
  </si>
  <si>
    <t>E-O:17b5c48d</t>
  </si>
  <si>
    <t>7f3ba303</t>
  </si>
  <si>
    <t>E-O:bcf17b4b</t>
  </si>
  <si>
    <t>ac6fd6cd</t>
  </si>
  <si>
    <t>E-O:25e46876</t>
  </si>
  <si>
    <t>645f7974</t>
  </si>
  <si>
    <t>E-O:14982538</t>
  </si>
  <si>
    <t>6600cab0</t>
  </si>
  <si>
    <t>E-O:5b8a0b93</t>
  </si>
  <si>
    <t>c8313f20</t>
  </si>
  <si>
    <t>E-O:36140640</t>
  </si>
  <si>
    <t>bedcf52e</t>
  </si>
  <si>
    <t>E-O:952bcc39</t>
  </si>
  <si>
    <t>4bbed121</t>
  </si>
  <si>
    <t>E-O:eb2e5cf9</t>
  </si>
  <si>
    <t>cd2a7875</t>
  </si>
  <si>
    <t>E-O:71f10583</t>
  </si>
  <si>
    <t>7929d120</t>
  </si>
  <si>
    <t>E-O:1a1519c5</t>
  </si>
  <si>
    <t>d69f48e7</t>
  </si>
  <si>
    <t>E-O:d9544def</t>
  </si>
  <si>
    <t>0d2ce18b</t>
  </si>
  <si>
    <t>E-O:011aea55</t>
  </si>
  <si>
    <t>874a5b50</t>
  </si>
  <si>
    <t>E-O:b9ac460c</t>
  </si>
  <si>
    <t>4b7cd1ad</t>
  </si>
  <si>
    <t>E-O:e2b777e0</t>
  </si>
  <si>
    <t>6c560015</t>
  </si>
  <si>
    <t>E-O:8a734257</t>
  </si>
  <si>
    <t>abf6ee1d</t>
  </si>
  <si>
    <t>E-O:f7e09e5b</t>
  </si>
  <si>
    <t>17e4d0da</t>
  </si>
  <si>
    <t>E-O:3c70adac</t>
  </si>
  <si>
    <t>0c7b4e5c</t>
  </si>
  <si>
    <t>E-O:945a11e6</t>
  </si>
  <si>
    <t>ee023951</t>
  </si>
  <si>
    <t>E-O:b29a14ca</t>
  </si>
  <si>
    <t>849ea2db</t>
  </si>
  <si>
    <t>E-O:ae132267</t>
  </si>
  <si>
    <t>60677bd9</t>
  </si>
  <si>
    <t>E-O:a042f2f2</t>
  </si>
  <si>
    <t>42b69367</t>
  </si>
  <si>
    <t>E-O:877fbd5f</t>
  </si>
  <si>
    <t>9dfe6f00</t>
  </si>
  <si>
    <t>E-O:6f493899</t>
  </si>
  <si>
    <t>9861eaea</t>
  </si>
  <si>
    <t>E-O:d8873f17</t>
  </si>
  <si>
    <t>4aafab3c</t>
  </si>
  <si>
    <t>E-O:bf9af635</t>
  </si>
  <si>
    <t>577bb4cf</t>
  </si>
  <si>
    <t>E:5d81a419;F:6e00505e;G:fc9d2b3f;H:9c60f4d9;I:cb8801ee;J:bd4dc311;K:78688a05;L:e4b4439c;M:8a4a8263;N:0cee6403;O:73f309f3;P:d4ff0f9b;Q:d5166fa9;R:3a27a514;S:44e3812d;T:4b2ed3f8;U:32c142bc;V:273debfd;W:4d09b5b3;X:e49673d5;Y:cc3cbb91;Z:232563af;AA:ef116df5;AB:4e255ecf;AC:38805301;AD:ee51d8a4;AE:b92dbc85;AF:db7776dd;AG:7db5f70c;AH:0ea4e8aa;AI:fd4bbdad</t>
  </si>
  <si>
    <t>1d2c45b7</t>
  </si>
  <si>
    <t>E:5d81a419;F:5808cb0d;G:fc9d2b3f;H:9c60f4d9;I:cb8801ee;J:bd4dc311;K:78688a05;L:e4b4439c;M:8a4a8263;N:0cee6403;O:73f309f3;P:d4ff0f9b;Q:d5166fa9;R:3a27a514;S:44e3812d;T:4b2ed3f8;U:32c142bc;V:273debfd;W:4d09b5b3;X:e49673d5;Y:d8cd68bd;Z:5ea81687;AA:2b215179;AB:c97377ff;AC:c02f856d;AD:ac0ea688;AE:01a7e5bd;AF:6cffa1f9;AG:3a80ce08;AH:4a5070a6;AI:366f1479</t>
  </si>
  <si>
    <t>01ed1ab6</t>
  </si>
  <si>
    <t>E:5d81a419;F:d48cd1d7;G:fc9d2b3f;H:9c60f4d9;I:cb8801ee;J:bd4dc311;K:78688a05;L:e4b4439c;M:8a4a8263;N:0cee6403;O:73f309f3;P:d4ff0f9b;Q:d5166fa9;R:3a27a514;S:44e3812d;T:4b2ed3f8;U:32c142bc;V:273debfd;W:4d09b5b3;X:e49673d5;Y:870f5e95;Z:1f3340ab;AA:64f5e8f1;AB:a10d574b;AC:1dc02115;AD:2730fad8;AE:ebfd9201;AF:94716cd9;AG:33c109c8;AH:f25091b2;AI:3932b655</t>
  </si>
  <si>
    <t>915ee8bb</t>
  </si>
  <si>
    <t>E:5d81a419;F:3f9ec45a;G:fc9d2b3f;H:9c60f4d9;I:cb8801ee;J:bd4dc311;K:78688a05;L:e4b4439c;M:8a4a8263;N:0cee6403;O:73f309f3;P:d4ff0f9b;Q:d5166fa9;R:3a27a514;S:44e3812d;T:4b2ed3f8;U:32c142bc;V:273debfd;W:4d09b5b3;X:e49673d5;Y:295f1169;Z:db7a54d3;AA:10d2b0e5;AB:e120bb8b;AC:74f6bc69;AD:2b42807c;AE:91500061;AF:662ea80d;AG:0bda8a5c;AH:1da20be6;AI:c8e21aa9</t>
  </si>
  <si>
    <t>1551abe2</t>
  </si>
  <si>
    <t>E:5d81a419;F:fe941629;G:fc9d2b3f;H:9c60f4d9;I:cb8801ee;J:bd4dc311;K:78688a05;L:e4b4439c;M:8a4a8263;N:0cee6403;O:73f309f3;P:d4ff0f9b;Q:d5166fa9;R:3a27a514;S:44e3812d;T:4b2ed3f8;U:32c142bc;V:273debfd;W:4d09b5b3;X:e49673d5;Y:97c3b9d1;Z:66fd31c7;AA:f3efdcb5;AB:2a2dc3e7;AC:dc375ff1;AD:5a908094;AE:c9f97185;AF:abed8ecd;AG:97684904;AH:cb7f17e2;AI:f8747ded</t>
  </si>
  <si>
    <t>8ff4df84</t>
  </si>
  <si>
    <t>E:d90fa4ec;F:6e00505e;G:fc9d2b3f;H:9c60f4d9;I:cb8801ee;J:bd4dc311;K:78688a05;L:e4b4439c;M:8a4a8263;N:0cee6403;O:73f309f3;P:d4ff0f9b;Q:d5166fa9;R:3a27a514;S:44e3812d;T:4b2ed3f8;U:32c142bc;V:273debfd;W:4d09b5b3;X:e49673d5;Y:c55572ea;Z:f39afd5c;AA:f1810a3a;AB:64a2ad60;AC:c1d822a2;AD:2f9c4b8f;AE:907cdf38;AF:92702080;AG:e74cadd9;AH:69c90295;AI:b0bf306e</t>
  </si>
  <si>
    <t>93b6de19</t>
  </si>
  <si>
    <t>E:d90fa4ec;F:5808cb0d;G:fc9d2b3f;H:9c60f4d9;I:cb8801ee;J:bd4dc311;K:78688a05;L:e4b4439c;M:8a4a8263;N:0cee6403;O:73f309f3;P:d4ff0f9b;Q:d5166fa9;R:3a27a514;S:44e3812d;T:4b2ed3f8;U:32c142bc;V:273debfd;W:4d09b5b3;X:e49673d5;Y:43804fee;Z:07a03a4c;AA:c5c6731e;AB:730dc340;AC:5f049f06;AD:8fc409f3;AE:2dd9ba78;AF:081f8714;AG:c8b68025;AH:745696fd;AI:4d33af96</t>
  </si>
  <si>
    <t>af560acd</t>
  </si>
  <si>
    <t>E:d90fa4ec;F:d48cd1d7;G:fc9d2b3f;H:9c60f4d9;I:cb8801ee;J:bd4dc311;K:78688a05;L:e4b4439c;M:8a4a8263;N:0cee6403;O:73f309f3;P:d4ff0f9b;Q:d5166fa9;R:3a27a514;S:44e3812d;T:4b2ed3f8;U:32c142bc;V:273debfd;W:4d09b5b3;X:e49673d5;Y:0b30e776;Z:0ea0d050;AA:14ad007e;AB:19f18444;AC:2be2765e;AD:283dbe73;AE:bdff76b4;AF:599ce75c;AG:5b0d48dd;AH:5e9a90bd;AI:074eaade</t>
  </si>
  <si>
    <t>01063342</t>
  </si>
  <si>
    <t>E:d90fa4ec;F:3f9ec45a;G:fc9d2b3f;H:9c60f4d9;I:cb8801ee;J:bd4dc311;K:78688a05;L:e4b4439c;M:8a4a8263;N:0cee6403;O:73f309f3;P:d4ff0f9b;Q:d5166fa9;R:3a27a514;S:44e3812d;T:4b2ed3f8;U:32c142bc;V:273debfd;W:4d09b5b3;X:e49673d5;Y:d60c2a75;Z:592c6a83;AA:1084f265;AB:eadc6b77;AC:514a1ee5;AD:d6c6be30;AE:31d46c4d;AF:cc7487dd;AG:359cfd68;AH:e496ad26;AI:b0d86125</t>
  </si>
  <si>
    <t>70df2028</t>
  </si>
  <si>
    <t>E:d90fa4ec;F:fe941629;G:fc9d2b3f;H:9c60f4d9;I:cb8801ee;J:bd4dc311;K:78688a05;L:e4b4439c;M:8a4a8263;N:0cee6403;O:73f309f3;P:d4ff0f9b;Q:d5166fa9;R:3a27a514;S:44e3812d;T:4b2ed3f8;U:32c142bc;V:273debfd;W:4d09b5b3;X:e49673d5;Y:fa6d1d39;Z:238858f3;AA:a5e19249;AB:ce12081f;AC:6316d5a9;AD:57014f74;AE:22b61015;AF:e09efe71;AG:6cce6dcc;AH:ce7dd35a;AI:d77e4209</t>
  </si>
  <si>
    <t>6e0ace6c</t>
  </si>
  <si>
    <t>E:6b51fba0;F:6e00505e;G:fc9d2b3f;H:9c60f4d9;I:cb8801ee;J:bd4dc311;K:78688a05;L:e4b4439c;M:8a4a8263;N:0cee6403;O:73f309f3;P:d4ff0f9b;Q:d5166fa9;R:3a27a514;S:44e3812d;T:4b2ed3f8;U:32c142bc;V:273debfd;W:4d09b5b3;X:e49673d5;Y:0f58f5b9;Z:e478bed7;AA:bcde68c9;AB:a9cba853;AC:6d7d9f49;AD:da96368c;AE:dacf5199;AF:4b404ca9;AG:2988c5cc;AH:ce885c2e;AI:83bbf535</t>
  </si>
  <si>
    <t>329130ff</t>
  </si>
  <si>
    <t>E:6b51fba0;F:5808cb0d;G:fc9d2b3f;H:9c60f4d9;I:cb8801ee;J:bd4dc311;K:78688a05;L:e4b4439c;M:8a4a8263;N:0cee6403;O:73f309f3;P:d4ff0f9b;Q:d5166fa9;R:3a27a514;S:44e3812d;T:4b2ed3f8;U:32c142bc;V:273debfd;W:4d09b5b3;X:e49673d5;Y:e1dd4ccd;Z:7f262a57;AA:95b7f25d;AB:40ff5063;AC:3c26f75d;AD:cb0d24b8;AE:d7fb3ae1;AF:a7e6d095;AG:7923e380;AH:48fb823a;AI:35943299</t>
  </si>
  <si>
    <t>bb2f08f3</t>
  </si>
  <si>
    <t>E:6b51fba0;F:d48cd1d7;G:fc9d2b3f;H:9c60f4d9;I:cb8801ee;J:bd4dc311;K:78688a05;L:e4b4439c;M:8a4a8263;N:0cee6403;O:73f309f3;P:d4ff0f9b;Q:d5166fa9;R:3a27a514;S:44e3812d;T:4b2ed3f8;U:32c142bc;V:273debfd;W:4d09b5b3;X:e49673d5;Y:bc0d58b5;Z:d38a99cb;AA:aae09175;AB:03b9716f;AC:ee693015;AD:5126c690;AE:153c48dd;AF:eb037bbd;AG:2cd63ce0;AH:ce0dbfd6;AI:de1da20d</t>
  </si>
  <si>
    <t>1625744f</t>
  </si>
  <si>
    <t>E:6b51fba0;F:3f9ec45a;G:fc9d2b3f;H:9c60f4d9;I:cb8801ee;J:bd4dc311;K:78688a05;L:e4b4439c;M:8a4a8263;N:0cee6403;O:73f309f3;P:d4ff0f9b;Q:d5166fa9;R:3a27a514;S:44e3812d;T:4b2ed3f8;U:32c142bc;V:273debfd;W:4d09b5b3;X:e49673d5;Y:6a095711;Z:8ce79c9b;AA:cb884321;AB:021bf4c7;AC:a4dd4f91;AD:1706ab0c;AE:7226aa15;AF:d58394a9;AG:efa59c2c;AH:c56c8e42;AI:7c8eb189</t>
  </si>
  <si>
    <t>6e6f3497</t>
  </si>
  <si>
    <t>E:6b51fba0;F:fe941629;G:fc9d2b3f;H:9c60f4d9;I:cb8801ee;J:bd4dc311;K:78688a05;L:e4b4439c;M:8a4a8263;N:0cee6403;O:73f309f3;P:d4ff0f9b;Q:d5166fa9;R:3a27a514;S:44e3812d;T:4b2ed3f8;U:32c142bc;V:273debfd;W:4d09b5b3;X:e49673d5;Y:be854701;Z:665e5fb7;AA:dc820ea1;AB:9fed7c03;AC:6df12521;AD:9c357144;AE:ad139bb1;AF:89cd3981;AG:6af0e9cc;AH:5cf4d29e;AI:bbae77cd</t>
  </si>
  <si>
    <t>85a3565c</t>
  </si>
  <si>
    <t>E:ce6e5277;F:6e00505e;G:fc9d2b3f;H:9c60f4d9;I:cb8801ee;J:bd4dc311;K:78688a05;L:e4b4439c;M:8a4a8263;N:0cee6403;O:73f309f3;P:d4ff0f9b;Q:d5166fa9;R:3a27a514;S:44e3812d;T:4b2ed3f8;U:32c142bc;V:273debfd;W:4d09b5b3;X:e49673d5;Y:a4255830;Z:f627ab8a;AA:0f4011a4;AB:0c42d0fa;AC:e5cf8010;AD:d8e06561;AE:f6ae1ff6;AF:a76265e6;AG:0399781f;AH:2530f76b;AI:8c7148fc</t>
  </si>
  <si>
    <t>8c822ff3</t>
  </si>
  <si>
    <t>E:ce6e5277;F:5808cb0d;G:fc9d2b3f;H:9c60f4d9;I:cb8801ee;J:bd4dc311;K:78688a05;L:e4b4439c;M:8a4a8263;N:0cee6403;O:73f309f3;P:d4ff0f9b;Q:d5166fa9;R:3a27a514;S:44e3812d;T:4b2ed3f8;U:32c142bc;V:273debfd;W:4d09b5b3;X:e49673d5;Y:78afda98;Z:671cd606;AA:db6cc2ac;AB:9506a41e;AC:c6275788;AD:250ed279;AE:a59a7b7a;AF:1204c91e;AG:9fbc4c8f;AH:3378849f;AI:b32fece8</t>
  </si>
  <si>
    <t>c405f317</t>
  </si>
  <si>
    <t>E:ce6e5277;F:d48cd1d7;G:fc9d2b3f;H:9c60f4d9;I:cb8801ee;J:bd4dc311;K:78688a05;L:e4b4439c;M:8a4a8263;N:0cee6403;O:73f309f3;P:d4ff0f9b;Q:d5166fa9;R:3a27a514;S:44e3812d;T:4b2ed3f8;U:32c142bc;V:273debfd;W:4d09b5b3;X:e49673d5;Y:0eb975bc;Z:ca29729e;AA:27ebc370;AB:9ad36116;AC:48cca64c;AD:2af54e95;AE:58e7358a;AF:cafc6e8a;AG:b4bc2a53;AH:e118f7db;AI:bba5824c</t>
  </si>
  <si>
    <t>eeb7f51d</t>
  </si>
  <si>
    <t>E:ce6e5277;F:3f9ec45a;G:fc9d2b3f;H:9c60f4d9;I:cb8801ee;J:bd4dc311;K:78688a05;L:e4b4439c;M:8a4a8263;N:0cee6403;O:73f309f3;P:d4ff0f9b;Q:d5166fa9;R:3a27a514;S:44e3812d;T:4b2ed3f8;U:32c142bc;V:273debfd;W:4d09b5b3;X:e49673d5;Y:ad804349;Z:8b9c652b;AA:8e2c691d;AB:36a97f13;AC:88cf35a1;AD:2647221c;AE:4d6018d1;AF:a824d13d;AG:b828a1dc;AH:4bc7f326;AI:f6ed5e61</t>
  </si>
  <si>
    <t>8820b626</t>
  </si>
  <si>
    <t>E:ce6e5277;F:fe941629;G:fc9d2b3f;H:9c60f4d9;I:cb8801ee;J:bd4dc311;K:78688a05;L:e4b4439c;M:8a4a8263;N:0cee6403;O:73f309f3;P:d4ff0f9b;Q:d5166fa9;R:3a27a514;S:44e3812d;T:4b2ed3f8;U:32c142bc;V:273debfd;W:4d09b5b3;X:e49673d5;Y:988d5625;Z:4c1519b3;AA:e918aa89;AB:a94e6553;AC:1c71926d;AD:ba35e570;AE:23632d29;AF:8a000fa1;AG:932e2af8;AH:f29ae5f2;AI:4eef1d85</t>
  </si>
  <si>
    <t>a6764fd5</t>
  </si>
  <si>
    <t>E:fb9f73be;F:6e00505e;G:fc9d2b3f;H:9c60f4d9;I:cb8801ee;J:bd4dc311;K:78688a05;L:e4b4439c;M:8a4a8263;N:0cee6403;O:73f309f3;P:d4ff0f9b;Q:d5166fa9;R:3a27a514;S:44e3812d;T:4b2ed3f8;U:32c142bc;V:273debfd;W:4d09b5b3;X:e49673d5;Y:f3345825;Z:b0535d8f;AA:bbb3ef91;AB:84b83db7;AC:6084179d;AD:92744ce0;AE:3baf2245;AF:77ad5639;AG:ea086c58;AH:6188b43e;AI:d2862bd9</t>
  </si>
  <si>
    <t>d2e8a159</t>
  </si>
  <si>
    <t>E:fb9f73be;F:5808cb0d;G:fc9d2b3f;H:9c60f4d9;I:cb8801ee;J:bd4dc311;K:78688a05;L:e4b4439c;M:8a4a8263;N:0cee6403;O:73f309f3;P:d4ff0f9b;Q:d5166fa9;R:3a27a514;S:44e3812d;T:4b2ed3f8;U:32c142bc;V:273debfd;W:4d09b5b3;X:e49673d5;Y:f1696be9;Z:34622887;AA:1437094d;AB:5fe2f697;AC:a6854261;AD:cf18bc74;AE:886f9ab5;AF:05f645f5;AG:fe4cc19c;AH:a590a4c2;AI:765f0625</t>
  </si>
  <si>
    <t>0a895ad3</t>
  </si>
  <si>
    <t>E:fb9f73be;F:d48cd1d7;G:fc9d2b3f;H:9c60f4d9;I:cb8801ee;J:bd4dc311;K:78688a05;L:e4b4439c;M:8a4a8263;N:0cee6403;O:73f309f3;P:d4ff0f9b;Q:d5166fa9;R:3a27a514;S:44e3812d;T:4b2ed3f8;U:32c142bc;V:273debfd;W:4d09b5b3;X:e49673d5;Y:578453f1;Z:b17b707b;AA:d5150725;AB:ca301433;AC:b8e7b979;AD:b9ddb2ac;AE:cd67ad71;AF:d41b1f2d;AG:ae2943ac;AH:3aaa12ae;AI:64c6b649</t>
  </si>
  <si>
    <t>34005f47</t>
  </si>
  <si>
    <t>E:fb9f73be;F:3f9ec45a;G:fc9d2b3f;H:9c60f4d9;I:cb8801ee;J:bd4dc311;K:78688a05;L:e4b4439c;M:8a4a8263;N:0cee6403;O:73f309f3;P:d4ff0f9b;Q:d5166fa9;R:3a27a514;S:44e3812d;T:4b2ed3f8;U:32c142bc;V:273debfd;W:4d09b5b3;X:e49673d5;Y:ec3822d5;Z:32d7b003;AA:4c912bf9;AB:547276a3;AC:528aef6d;AD:5ffbb788;AE:61dd1dd9;AF:cd5c8089;AG:01da8bc0;AH:cf6a8f52;AI:cd6c3cf5</t>
  </si>
  <si>
    <t>710bcd0f</t>
  </si>
  <si>
    <t>E:fb9f73be;F:fe941629;G:fc9d2b3f;H:9c60f4d9;I:cb8801ee;J:bd4dc311;K:78688a05;L:e4b4439c;M:8a4a8263;N:0cee6403;O:73f309f3;P:d4ff0f9b;Q:d5166fa9;R:3a27a514;S:44e3812d;T:4b2ed3f8;U:32c142bc;V:273debfd;W:4d09b5b3;X:e49673d5;Y:8df075f5;Z:a0d11257;AA:d4d416e1;AB:db17311f;AC:d5d0daed;AD:443cad08;AE:cf6cddad;AF:735a3781;AG:4a6e7a70;AH:37ff0686;AI:980a68a1</t>
  </si>
  <si>
    <t>d9c44e4f</t>
  </si>
  <si>
    <t>E:77bc99d1;F:6e00505e;G:2bd06e16;H:9c60f4d9;I:cb8801ee;J:bd4dc311;K:78688a05;L:e4b4439c;M:8a4a8263;N:0cee6403;O:73f309f3;P:d4ff0f9b;Q:d5166fa9;R:3a27a514;S:44e3812d;T:4b2ed3f8;U:32c142bc;V:273debfd;W:4d09b5b3;X:e49673d5;Y:ae57866e;Z:0bbccc4c;AA:ba6815b6;AB:0aad3778;AC:f7f9191e;AD:b95d5a5b;AE:7c5c6198;AF:72da1d7c;AG:58adacd5;AH:594c2489;AI:66417e4a</t>
  </si>
  <si>
    <t>d47daa11</t>
  </si>
  <si>
    <t>E:77bc99d1;F:6e00505e;G:51988dd7;H:9c60f4d9;I:cb8801ee;J:bd4dc311;K:78688a05;L:e4b4439c;M:8a4a8263;N:0cee6403;O:73f309f3;P:d4ff0f9b;Q:d5166fa9;R:3a27a514;S:44e3812d;T:4b2ed3f8;U:32c142bc;V:273debfd;W:4d09b5b3;X:e49673d5;Y:11595512;Z:ee77680c;AA:c3f87bea;AB:2c29fce8;AC:e08b9312;AD:9cac9e87;AE:e8b57070;AF:f525da98;AG:f8d9be01;AH:b51e6ac1;AI:d889b7da</t>
  </si>
  <si>
    <t>a81bceed</t>
  </si>
  <si>
    <t>E:77bc99d1;F:6e00505e;G:002ae989;H:9c60f4d9;I:cb8801ee;J:bd4dc311;K:78688a05;L:e4b4439c;M:8a4a8263;N:0cee6403;O:73f309f3;P:d4ff0f9b;Q:d5166fa9;R:3a27a514;S:44e3812d;T:4b2ed3f8;U:32c142bc;V:273debfd;W:4d09b5b3;X:e49673d5;Y:10097272;Z:dea63530;AA:7d6ee302;AB:9284eeec;AC:96506ce2;AD:76ad8087;AE:0e7cb4e4;AF:e7a82510;AG:6591f0f1;AH:12f381b9;AI:32465ce2</t>
  </si>
  <si>
    <t>57769a3f</t>
  </si>
  <si>
    <t>E:77bc99d1;F:6e00505e;G:48a7ba62;H:9c60f4d9;I:cb8801ee;J:bd4dc311;K:78688a05;L:e4b4439c;M:8a4a8263;N:0cee6403;O:73f309f3;P:d4ff0f9b;Q:d5166fa9;R:3a27a514;S:44e3812d;T:4b2ed3f8;U:32c142bc;V:273debfd;W:4d09b5b3;X:e49673d5;Y:b0c26b81;Z:462d0ac3;AA:fa0643f1;AB:47aacd9f;AC:b3991851;AD:4bf31ddc;AE:a3006ecd;AF:062aa3e9;AG:b8ed6f3c;AH:88c090ea;AI:f7d91ab9</t>
  </si>
  <si>
    <t>86224ef3</t>
  </si>
  <si>
    <t>E:77bc99d1;F:6e00505e;G:13d67273;H:9c60f4d9;I:cb8801ee;J:bd4dc311;K:78688a05;L:e4b4439c;M:8a4a8263;N:0cee6403;O:73f309f3;P:d4ff0f9b;Q:d5166fa9;R:3a27a514;S:44e3812d;T:4b2ed3f8;U:32c142bc;V:273debfd;W:4d09b5b3;X:e49673d5;Y:f1d7e265;Z:7d8c7893;AA:831d0685;AB:61037657;AC:e53d9005;AD:e1082778;AE:8774e5cd;AF:ee0e99c5;AG:c5677230;AH:c01fb3fe;AI:1c0b5195</t>
  </si>
  <si>
    <t>f35939d8</t>
  </si>
  <si>
    <t>E:77bc99d1;F:5808cb0d;G:2bd06e16;H:9c60f4d9;I:cb8801ee;J:bd4dc311;K:78688a05;L:e4b4439c;M:8a4a8263;N:0cee6403;O:73f309f3;P:d4ff0f9b;Q:d5166fa9;R:3a27a514;S:44e3812d;T:4b2ed3f8;U:32c142bc;V:273debfd;W:4d09b5b3;X:e49673d5;Y:0e22df3d;Z:2d2f16d7;AA:7ba849ad;AB:249707eb;AC:130ecdfd;AD:8127c3b8;AE:12891971;AF:5fe72105;AG:9394f258;AH:9302402a;AI:4c82d349</t>
  </si>
  <si>
    <t>9de32d1f</t>
  </si>
  <si>
    <t>E:77bc99d1;F:5808cb0d;G:51988dd7;H:9c60f4d9;I:cb8801ee;J:bd4dc311;K:78688a05;L:e4b4439c;M:8a4a8263;N:0cee6403;O:73f309f3;P:d4ff0f9b;Q:d5166fa9;R:3a27a514;S:44e3812d;T:4b2ed3f8;U:32c142bc;V:273debfd;W:4d09b5b3;X:e49673d5;Y:cf79f509;Z:db638937;AA:cd201809;AB:1d453cab;AC:2e5b2f29;AD:9db235a4;AE:24a03d81;AF:25d683d1;AG:ac7b1454;AH:ac5f290e;AI:dead349d</t>
  </si>
  <si>
    <t>932e7c06</t>
  </si>
  <si>
    <t>E:77bc99d1;F:5808cb0d;G:002ae989;H:9c60f4d9;I:cb8801ee;J:bd4dc311;K:78688a05;L:e4b4439c;M:8a4a8263;N:0cee6403;O:73f309f3;P:d4ff0f9b;Q:d5166fa9;R:3a27a514;S:44e3812d;T:4b2ed3f8;U:32c142bc;V:273debfd;W:4d09b5b3;X:e49673d5;Y:1b7fb791;Z:163ade3b;AA:5e9df291;AB:988a2067;AC:cb1531a1;AD:1bba8ba4;AE:eba9edb5;AF:c6a0c3a1;AG:d35df094;AH:43ce40da;AI:eb5ed7b9</t>
  </si>
  <si>
    <t>2c0183df</t>
  </si>
  <si>
    <t>E:77bc99d1;F:5808cb0d;G:48a7ba62;H:9c60f4d9;I:cb8801ee;J:bd4dc311;K:78688a05;L:e4b4439c;M:8a4a8263;N:0cee6403;O:73f309f3;P:d4ff0f9b;Q:d5166fa9;R:3a27a514;S:44e3812d;T:4b2ed3f8;U:32c142bc;V:273debfd;W:4d09b5b3;X:e49673d5;Y:77910e5d;Z:64399b6b;AA:0906b8bd;AB:30de81cf;AC:15c952fd;AD:0588a4e8;AE:dfb7b6e5;AF:bd2eaae5;AG:60920f20;AH:514da676;AI:3de875fd</t>
  </si>
  <si>
    <t>2c86981d</t>
  </si>
  <si>
    <t>E:77bc99d1;F:5808cb0d;G:13d67273;H:9c60f4d9;I:cb8801ee;J:bd4dc311;K:78688a05;L:e4b4439c;M:8a4a8263;N:0cee6403;O:73f309f3;P:d4ff0f9b;Q:d5166fa9;R:3a27a514;S:44e3812d;T:4b2ed3f8;U:32c142bc;V:273debfd;W:4d09b5b3;X:e49673d5;Y:3da26de5;Z:8f2e8947;AA:8b538665;AB:de70adeb;AC:89f07505;AD:2b319508;AE:aae19551;AF:494a24a5;AG:d7beb7c8;AH:98b42c3a;AI:5e9ccbe9</t>
  </si>
  <si>
    <t>a2fcaeb6</t>
  </si>
  <si>
    <t>E:77bc99d1;F:d48cd1d7;G:2bd06e16;H:9c60f4d9;I:cb8801ee;J:bd4dc311;K:78688a05;L:e4b4439c;M:8a4a8263;N:0cee6403;O:73f309f3;P:d4ff0f9b;Q:d5166fa9;R:3a27a514;S:44e3812d;T:4b2ed3f8;U:32c142bc;V:273debfd;W:4d09b5b3;X:e49673d5;Y:6e55f470;Z:6001a786;AA:c11df8d4;AB:a6969b2e;AC:b1123200;AD:c3970ed9;AE:f22d53d2;AF:863a4afe;AG:d0ce5b77;AH:33f762e3;AI:72eb1b64</t>
  </si>
  <si>
    <t>a8a28958</t>
  </si>
  <si>
    <t>E:77bc99d1;F:d48cd1d7;G:51988dd7;H:9c60f4d9;I:cb8801ee;J:bd4dc311;K:78688a05;L:e4b4439c;M:8a4a8263;N:0cee6403;O:73f309f3;P:d4ff0f9b;Q:d5166fa9;R:3a27a514;S:44e3812d;T:4b2ed3f8;U:32c142bc;V:273debfd;W:4d09b5b3;X:e49673d5;Y:6c99b430;Z:fc2709ba;AA:ba70d344;AB:20c911ca;AC:977df500;AD:1321abb9;AE:7952f41e;AF:c2ce1b1e;AG:249c1fff;AH:0fc6e8df;AI:126f4418</t>
  </si>
  <si>
    <t>2648e0f5</t>
  </si>
  <si>
    <t>E:77bc99d1;F:d48cd1d7;G:002ae989;H:9c60f4d9;I:cb8801ee;J:bd4dc311;K:78688a05;L:e4b4439c;M:8a4a8263;N:0cee6403;O:73f309f3;P:d4ff0f9b;Q:d5166fa9;R:3a27a514;S:44e3812d;T:4b2ed3f8;U:32c142bc;V:273debfd;W:4d09b5b3;X:e49673d5;Y:33fa8cec;Z:94a36f92;AA:68d9bab0;AB:aff6f242;AC:6a6c3f4c;AD:aa2eba25;AE:b4304f86;AF:8db7fc6a;AG:a7985b1b;AH:2a5f25a3;AI:e2e4a9fc</t>
  </si>
  <si>
    <t>e9994ba7</t>
  </si>
  <si>
    <t>E:77bc99d1;F:d48cd1d7;G:48a7ba62;H:9c60f4d9;I:cb8801ee;J:bd4dc311;K:78688a05;L:e4b4439c;M:8a4a8263;N:0cee6403;O:73f309f3;P:d4ff0f9b;Q:d5166fa9;R:3a27a514;S:44e3812d;T:4b2ed3f8;U:32c142bc;V:273debfd;W:4d09b5b3;X:e49673d5;Y:a3e200f5;Z:00822b75;AA:94973e55;AB:475e50fd;AC:16e54f4d;AD:6d1c21fa;AE:988b33d5;AF:86f586eb;AG:b2b54658;AH:b5618e36;AI:cb42409b</t>
  </si>
  <si>
    <t>6998c5b6</t>
  </si>
  <si>
    <t>E:77bc99d1;F:d48cd1d7;G:13d67273;H:9c60f4d9;I:cb8801ee;J:bd4dc311;K:78688a05;L:e4b4439c;M:8a4a8263;N:0cee6403;O:73f309f3;P:d4ff0f9b;Q:d5166fa9;R:3a27a514;S:44e3812d;T:4b2ed3f8;U:32c142bc;V:273debfd;W:4d09b5b3;X:e49673d5;Y:57a42af9;Z:2f365d19;AA:707b2579;AB:acb43ff1;AC:e5872ad1;AD:fa784b1a;AE:fec1b7dd;AF:008170cb;AG:691a773c;AH:9a3c478a;AI:d3e4adb3</t>
  </si>
  <si>
    <t>5c0e07bd</t>
  </si>
  <si>
    <t>E:77bc99d1;F:3f9ec45a;G:2bd06e16;H:9c60f4d9;I:cb8801ee;J:bd4dc311;K:78688a05;L:e4b4439c;M:8a4a8263;N:0cee6403;O:73f309f3;P:d4ff0f9b;Q:d5166fa9;R:3a27a514;S:44e3812d;T:4b2ed3f8;U:32c142bc;V:273debfd;W:4d09b5b3;X:e49673d5;Y:c91cc939;Z:63b713d9;AA:3818bad9;AB:6ea80151;AC:5ef351f1;AD:d0a010e6;AE:cabeff91;AF:9be6a3af;AG:96fe767c;AH:cd95613e;AI:9231e303</t>
  </si>
  <si>
    <t>44109cd4</t>
  </si>
  <si>
    <t>E:77bc99d1;F:3f9ec45a;G:51988dd7;H:9c60f4d9;I:cb8801ee;J:bd4dc311;K:78688a05;L:e4b4439c;M:8a4a8263;N:0cee6403;O:73f309f3;P:d4ff0f9b;Q:d5166fa9;R:3a27a514;S:44e3812d;T:4b2ed3f8;U:32c142bc;V:273debfd;W:4d09b5b3;X:e49673d5;Y:bb52db8d;Z:9c316b2d;AA:e4a881ed;AB:23eab835;AC:03b864e5;AD:e88cb8ee;AE:8444c159;AF:fd0125af;AG:c68cb030;AH:ccf64d2a;AI:304d4b93</t>
  </si>
  <si>
    <t>c1129c95</t>
  </si>
  <si>
    <t>E:77bc99d1;F:3f9ec45a;G:002ae989;H:9c60f4d9;I:cb8801ee;J:bd4dc311;K:78688a05;L:e4b4439c;M:8a4a8263;N:0cee6403;O:73f309f3;P:d4ff0f9b;Q:d5166fa9;R:3a27a514;S:44e3812d;T:4b2ed3f8;U:32c142bc;V:273debfd;W:4d09b5b3;X:e49673d5;Y:c6cf767d;Z:434dfb45;AA:d970ad5d;AB:8094f3ed;AC:6b31a635;AD:f3090cf2;AE:b363b47d;AF:b8eb8d53;AG:3a5e82a8;AH:508fa2ce;AI:49c7fb23</t>
  </si>
  <si>
    <t>53003ebd</t>
  </si>
  <si>
    <t>E:77bc99d1;F:3f9ec45a;G:48a7ba62;H:9c60f4d9;I:cb8801ee;J:bd4dc311;K:78688a05;L:e4b4439c;M:8a4a8263;N:0cee6403;O:73f309f3;P:d4ff0f9b;Q:d5166fa9;R:3a27a514;S:44e3812d;T:4b2ed3f8;U:32c142bc;V:273debfd;W:4d09b5b3;X:e49673d5;Y:3cd143c9;Z:77803d51;AA:276e7c99;AB:ada19819;AC:89cc5421;AD:48cdbda2;AE:8cb4fda5;AF:0782c4b3;AG:cb4e9d44;AH:8a5db56a;AI:b55d484b</t>
  </si>
  <si>
    <t>74c66a45</t>
  </si>
  <si>
    <t>E:77bc99d1;F:3f9ec45a;G:13d67273;H:9c60f4d9;I:cb8801ee;J:bd4dc311;K:78688a05;L:e4b4439c;M:8a4a8263;N:0cee6403;O:73f309f3;P:d4ff0f9b;Q:d5166fa9;R:3a27a514;S:44e3812d;T:4b2ed3f8;U:32c142bc;V:273debfd;W:4d09b5b3;X:e49673d5;Y:65071109;Z:567ff4c1;AA:5b15e1a9;AB:d940c159;AC:ecc25631;AD:19f9af56;AE:38e14161;AF:89534cdf;AG:14c22cb4;AH:d2d42296;AI:9d3c6c6b</t>
  </si>
  <si>
    <t>8df0965e</t>
  </si>
  <si>
    <t>E:77bc99d1;F:fe941629;G:2bd06e16;H:9c60f4d9;I:cb8801ee;J:bd4dc311;K:78688a05;L:e4b4439c;M:8a4a8263;N:0cee6403;O:73f309f3;P:d4ff0f9b;Q:d5166fa9;R:3a27a514;S:44e3812d;T:4b2ed3f8;U:32c142bc;V:273debfd;W:4d09b5b3;X:e49673d5;Y:9dc6ae7c;Z:0d44e644;AA:b60755d0;AB:22224148;AC:f844afc4;AD:7f60b519;AE:06a40a14;AF:a86054ba;AG:928e8cfb;AH:15db0125;AI:392b897a</t>
  </si>
  <si>
    <t>56720ddc</t>
  </si>
  <si>
    <t>E:77bc99d1;F:fe941629;G:51988dd7;H:9c60f4d9;I:cb8801ee;J:bd4dc311;K:78688a05;L:e4b4439c;M:8a4a8263;N:0cee6403;O:73f309f3;P:d4ff0f9b;Q:d5166fa9;R:3a27a514;S:44e3812d;T:4b2ed3f8;U:32c142bc;V:273debfd;W:4d09b5b3;X:e49673d5;Y:c731f2b6;Z:6a4435c2;AA:9febaf32;AB:ac34e3ae;AC:4977d536;AD:02c352bf;AE:36549aae;AF:eedcc7e0;AG:60393535;AH:6cbec8a3;AI:61d62f44</t>
  </si>
  <si>
    <t>32a03fc3</t>
  </si>
  <si>
    <t>E:77bc99d1;F:fe941629;G:002ae989;H:9c60f4d9;I:cb8801ee;J:bd4dc311;K:78688a05;L:e4b4439c;M:8a4a8263;N:0cee6403;O:73f309f3;P:d4ff0f9b;Q:d5166fa9;R:3a27a514;S:44e3812d;T:4b2ed3f8;U:32c142bc;V:273debfd;W:4d09b5b3;X:e49673d5;Y:2090ceb4;Z:35d8d242;AA:d256c988;AB:a9e0855a;AC:7e3e1714;AD:3998302b;AE:bc0f4ae8;AF:367d6bb8;AG:825b2803;AH:e5b74d45;AI:a8677c80</t>
  </si>
  <si>
    <t>8a5b608c</t>
  </si>
  <si>
    <t>E:77bc99d1;F:fe941629;G:48a7ba62;H:9c60f4d9;I:cb8801ee;J:bd4dc311;K:78688a05;L:e4b4439c;M:8a4a8263;N:0cee6403;O:73f309f3;P:d4ff0f9b;Q:d5166fa9;R:3a27a514;S:44e3812d;T:4b2ed3f8;U:32c142bc;V:273debfd;W:4d09b5b3;X:e49673d5;Y:4a7593f5;Z:c2b5538f;AA:0ab6ddc5;AB:be29335b;AC:97dbf915;AD:b53ca6da;AE:0bd36edf;AF:4ee89857;AG:fe98fff8;AH:32b1c6c0;AI:545f8a95</t>
  </si>
  <si>
    <t>4436cd42</t>
  </si>
  <si>
    <t>E:77bc99d1;F:fe941629;G:13d67273;H:9c60f4d9;I:cb8801ee;J:bd4dc311;K:78688a05;L:e4b4439c;M:8a4a8263;N:0cee6403;O:73f309f3;P:d4ff0f9b;Q:d5166fa9;R:3a27a514;S:44e3812d;T:4b2ed3f8;U:32c142bc;V:273debfd;W:4d09b5b3;X:e49673d5;Y:be661629;Z:c1683513;AA:dbd80659;AB:cc301627;AC:1ca8cd69;AD:a177a022;AE:33fb6fa7;AF:b9bb4a7f;AG:c0bb2464;AH:c5ac719c;AI:0ee8b0e5</t>
  </si>
  <si>
    <t>#name</t>
  </si>
  <si>
    <t>A_ADJ1FROM</t>
  </si>
  <si>
    <t>9b0cd54a</t>
  </si>
  <si>
    <t>A_ADJ1PCT</t>
  </si>
  <si>
    <t>6c742ec5</t>
  </si>
  <si>
    <t>A_ADJ1SET</t>
  </si>
  <si>
    <t>bb8355b8</t>
  </si>
  <si>
    <t>A_ADJ2FROM</t>
  </si>
  <si>
    <t>8e0a823c</t>
  </si>
  <si>
    <t>A_ADJ2PCT</t>
  </si>
  <si>
    <t>d97718f3</t>
  </si>
  <si>
    <t>A_ADJ2SET</t>
  </si>
  <si>
    <t>4e806b8a</t>
  </si>
  <si>
    <t>A_ADJ3FROM</t>
  </si>
  <si>
    <t>8f0a83cf</t>
  </si>
  <si>
    <t>A_ADJ3PCT</t>
  </si>
  <si>
    <t>d8771760</t>
  </si>
  <si>
    <t>A_ADJ3SET</t>
  </si>
  <si>
    <t>4f806d1d</t>
  </si>
  <si>
    <t>A_ANCHORINVAC</t>
  </si>
  <si>
    <t>900846cb</t>
  </si>
  <si>
    <t>A_CAMPSF</t>
  </si>
  <si>
    <t>920cc71f</t>
  </si>
  <si>
    <t>A_CLOSINGOTHER</t>
  </si>
  <si>
    <t>1900cfb1</t>
  </si>
  <si>
    <t>A_DAYCOUNT</t>
  </si>
  <si>
    <t>05ed2a10</t>
  </si>
  <si>
    <t>A_DAYFACTOR</t>
  </si>
  <si>
    <t>713f424a</t>
  </si>
  <si>
    <t>A_ENGINEEM</t>
  </si>
  <si>
    <t>de46a9a6</t>
  </si>
  <si>
    <t>A_ENGINEIRR</t>
  </si>
  <si>
    <t>df46ab39</t>
  </si>
  <si>
    <t>A_ENGINENOI1</t>
  </si>
  <si>
    <t>e146ae5f</t>
  </si>
  <si>
    <t>A_EXITFEEPCT</t>
  </si>
  <si>
    <t>703f40b7</t>
  </si>
  <si>
    <t>A_EXTFEEBPS</t>
  </si>
  <si>
    <t>6f3f3f24</t>
  </si>
  <si>
    <t>A_EXTN</t>
  </si>
  <si>
    <t>6e3f3d91</t>
  </si>
  <si>
    <t>A_FIXEDLOAN</t>
  </si>
  <si>
    <t>13ef7eb1</t>
  </si>
  <si>
    <t>A_FLOATDRIFT</t>
  </si>
  <si>
    <t>6b3f38d8</t>
  </si>
  <si>
    <t>A_FLOATFLOOR</t>
  </si>
  <si>
    <t>6c3f3a6b</t>
  </si>
  <si>
    <t>A_FLOATINDEX</t>
  </si>
  <si>
    <t>0ded36a8</t>
  </si>
  <si>
    <t>A_FLOATSPREAD</t>
  </si>
  <si>
    <t>0eed383b</t>
  </si>
  <si>
    <t>A_FLOATSTRIKE</t>
  </si>
  <si>
    <t>6d3f3bfe</t>
  </si>
  <si>
    <t>A_GLA</t>
  </si>
  <si>
    <t>1700cc8b</t>
  </si>
  <si>
    <t>A_GROUNDRENT</t>
  </si>
  <si>
    <t>8d0cbf40</t>
  </si>
  <si>
    <t>A_INDEXRATE</t>
  </si>
  <si>
    <t>0bed3382</t>
  </si>
  <si>
    <t>A_INFLATION</t>
  </si>
  <si>
    <t>89083bc6</t>
  </si>
  <si>
    <t>A_INSPSF</t>
  </si>
  <si>
    <t>900cc3f9</t>
  </si>
  <si>
    <t>A_INTRESERVE</t>
  </si>
  <si>
    <t>f2424bf4</t>
  </si>
  <si>
    <t>A_LEASEUPLC</t>
  </si>
  <si>
    <t>8f084538</t>
  </si>
  <si>
    <t>A_LEASEUPRESERVE</t>
  </si>
  <si>
    <t>1c00d46a</t>
  </si>
  <si>
    <t>A_LOANAMOUNTREF</t>
  </si>
  <si>
    <t>f54250ad</t>
  </si>
  <si>
    <t>A_LOANBYCOST</t>
  </si>
  <si>
    <t>f04248ce</t>
  </si>
  <si>
    <t>A_LOANBYCOVERAGE</t>
  </si>
  <si>
    <t>ef42473b</t>
  </si>
  <si>
    <t>A_LOANBYVALUE</t>
  </si>
  <si>
    <t>f1424a61</t>
  </si>
  <si>
    <t>A_LOANBYYIELD</t>
  </si>
  <si>
    <t>ee4245a8</t>
  </si>
  <si>
    <t>A_LOANFEE</t>
  </si>
  <si>
    <t>f3424d87</t>
  </si>
  <si>
    <t>A_LOANFEEPCT</t>
  </si>
  <si>
    <t>09ed305c</t>
  </si>
  <si>
    <t>A_LOANMODE</t>
  </si>
  <si>
    <t>08ef6d60</t>
  </si>
  <si>
    <t>A_LOANTERM</t>
  </si>
  <si>
    <t>08ed2ec9</t>
  </si>
  <si>
    <t>A_LTCTARGET</t>
  </si>
  <si>
    <t>0eef76d2</t>
  </si>
  <si>
    <t>A_LTVTARGET</t>
  </si>
  <si>
    <t>0fef7865</t>
  </si>
  <si>
    <t>A_MARKETRECOVERY</t>
  </si>
  <si>
    <t>22055b0a</t>
  </si>
  <si>
    <t>A_MGMTPCT</t>
  </si>
  <si>
    <t>8e0cc0d3</t>
  </si>
  <si>
    <t>A_MINDSCR</t>
  </si>
  <si>
    <t>0def753f</t>
  </si>
  <si>
    <t>A_MINDY</t>
  </si>
  <si>
    <t>0cef73ac</t>
  </si>
  <si>
    <t>A_MONTHLYRATE</t>
  </si>
  <si>
    <t>723f43dd</t>
  </si>
  <si>
    <t>A_NONRECPSF</t>
  </si>
  <si>
    <t>8f0cc266</t>
  </si>
  <si>
    <t>A_PAF</t>
  </si>
  <si>
    <t>fe06aa19</t>
  </si>
  <si>
    <t>A_PBUMP</t>
  </si>
  <si>
    <t>30f2f045</t>
  </si>
  <si>
    <t>A_PDOWN</t>
  </si>
  <si>
    <t>781438fd</t>
  </si>
  <si>
    <t>A_PEVERY</t>
  </si>
  <si>
    <t>04d7511d</t>
  </si>
  <si>
    <t>A_PFREENEW</t>
  </si>
  <si>
    <t>0db76a71</t>
  </si>
  <si>
    <t>A_PFREEREN</t>
  </si>
  <si>
    <t>33241255</t>
  </si>
  <si>
    <t>A_PGROW</t>
  </si>
  <si>
    <t>81ec8a11</t>
  </si>
  <si>
    <t>A_PLCNEW</t>
  </si>
  <si>
    <t>d165aed9</t>
  </si>
  <si>
    <t>A_PLCREN</t>
  </si>
  <si>
    <t>f6dceb59</t>
  </si>
  <si>
    <t>A_PMT</t>
  </si>
  <si>
    <t>633f2c40</t>
  </si>
  <si>
    <t>A_PNAME</t>
  </si>
  <si>
    <t>158dfab9</t>
  </si>
  <si>
    <t>A_PRENEW</t>
  </si>
  <si>
    <t>d20055c1</t>
  </si>
  <si>
    <t>A_PRENPCT</t>
  </si>
  <si>
    <t>83d6bb6d</t>
  </si>
  <si>
    <t>A_PRENT</t>
  </si>
  <si>
    <t>2a5022d5</t>
  </si>
  <si>
    <t>A_PREPAY</t>
  </si>
  <si>
    <t>0aed31ef</t>
  </si>
  <si>
    <t>A_PTERM</t>
  </si>
  <si>
    <t>97741ca1</t>
  </si>
  <si>
    <t>A_PTINEW</t>
  </si>
  <si>
    <t>2c8b29c5</t>
  </si>
  <si>
    <t>A_PTIREN</t>
  </si>
  <si>
    <t>c5081dcd</t>
  </si>
  <si>
    <t>A_RATETYPE</t>
  </si>
  <si>
    <t>0ced3515</t>
  </si>
  <si>
    <t>A_RESERVEPSF</t>
  </si>
  <si>
    <t>1f0fe3ad</t>
  </si>
  <si>
    <t>A_RESEXITCAP</t>
  </si>
  <si>
    <t>f5448f44</t>
  </si>
  <si>
    <t>A_SALECOSTENTERED</t>
  </si>
  <si>
    <t>f3448c1e</t>
  </si>
  <si>
    <t>A_SALECOSTMODE</t>
  </si>
  <si>
    <t>f64490d7</t>
  </si>
  <si>
    <t>A_SALESGROWTH</t>
  </si>
  <si>
    <t>8c08407f</t>
  </si>
  <si>
    <t>A_TAXGROWTH</t>
  </si>
  <si>
    <t>8a083d59</t>
  </si>
  <si>
    <t>A_TAXPSF</t>
  </si>
  <si>
    <t>910cc58c</t>
  </si>
  <si>
    <t>A_TIER1PCT</t>
  </si>
  <si>
    <t>f4448db1</t>
  </si>
  <si>
    <t>A_TIER2OVER</t>
  </si>
  <si>
    <t>f14488f8</t>
  </si>
  <si>
    <t>A_TIER2PCT</t>
  </si>
  <si>
    <t>f2448a8b</t>
  </si>
  <si>
    <t>A_TIER3OVER</t>
  </si>
  <si>
    <t>ef4485d2</t>
  </si>
  <si>
    <t>A_TIER3PCT</t>
  </si>
  <si>
    <t>f0448765</t>
  </si>
  <si>
    <t>A_UPFRONTOTHER</t>
  </si>
  <si>
    <t>1b00d2d7</t>
  </si>
  <si>
    <t>A_VACSTART</t>
  </si>
  <si>
    <t>8d084212</t>
  </si>
  <si>
    <t>A_Y1PAYPERDOLLAR</t>
  </si>
  <si>
    <t>643f2dd3</t>
  </si>
  <si>
    <t>C_CAMY</t>
  </si>
  <si>
    <t>2db298c4</t>
  </si>
  <si>
    <t>C_INSY</t>
  </si>
  <si>
    <t>3f9b10dc</t>
  </si>
  <si>
    <t>C_TAXY</t>
  </si>
  <si>
    <t>01e2f3d0</t>
  </si>
  <si>
    <t>IN_AMORTYEARS</t>
  </si>
  <si>
    <t>07ed2d36</t>
  </si>
  <si>
    <t>IN_ANALYSISSTART</t>
  </si>
  <si>
    <t>8884b913</t>
  </si>
  <si>
    <t>IN_CLOSINGCOSTPCT</t>
  </si>
  <si>
    <t>1800ce1e</t>
  </si>
  <si>
    <t>IN_CREDITLOSS</t>
  </si>
  <si>
    <t>8e0843a5</t>
  </si>
  <si>
    <t>IN_EXITCAP</t>
  </si>
  <si>
    <t>f84493fd</t>
  </si>
  <si>
    <t>IN_EXPENSEGROWTH</t>
  </si>
  <si>
    <t>870838a0</t>
  </si>
  <si>
    <t>IN_GENERALVACANCY</t>
  </si>
  <si>
    <t>8b083eec</t>
  </si>
  <si>
    <t>IN_HOLDYEARS</t>
  </si>
  <si>
    <t>8784b780</t>
  </si>
  <si>
    <t>IN_INTERESTRATE</t>
  </si>
  <si>
    <t>12ef7d1e</t>
  </si>
  <si>
    <t>IN_IOYEARS</t>
  </si>
  <si>
    <t>06ed2ba3</t>
  </si>
  <si>
    <t>IN_PURCHASEPRICE</t>
  </si>
  <si>
    <t>1600caf8</t>
  </si>
  <si>
    <t>IN_RENTGROWTH</t>
  </si>
  <si>
    <t>88083a33</t>
  </si>
  <si>
    <t>OUT_ADDRESS</t>
  </si>
  <si>
    <t>a7f921c7</t>
  </si>
  <si>
    <t>OUT_ANNUALDEBTSERVICE_Y1</t>
  </si>
  <si>
    <t>e5e91dcf</t>
  </si>
  <si>
    <t>OUT_ASKINGPRICE</t>
  </si>
  <si>
    <t>9ff9152f</t>
  </si>
  <si>
    <t>OUT_ASSETTYPE</t>
  </si>
  <si>
    <t>a8f9235a</t>
  </si>
  <si>
    <t>OUT_CHECKSFAIL</t>
  </si>
  <si>
    <t>ff80c845</t>
  </si>
  <si>
    <t>OUT_CHECKSPASS</t>
  </si>
  <si>
    <t>0180cb6b</t>
  </si>
  <si>
    <t>OUT_CHECKSREVIEW</t>
  </si>
  <si>
    <t>fe80c6b2</t>
  </si>
  <si>
    <t>OUT_CLOSINGCOSTS</t>
  </si>
  <si>
    <t>1a00d144</t>
  </si>
  <si>
    <t>OUT_COC_AVG</t>
  </si>
  <si>
    <t>e5eb5c66</t>
  </si>
  <si>
    <t>OUT_COC_Y1</t>
  </si>
  <si>
    <t>e6eb5df9</t>
  </si>
  <si>
    <t>OUT_DEBTYIELD</t>
  </si>
  <si>
    <t>e4e91c3c</t>
  </si>
  <si>
    <t>OUT_DSCR_MIN</t>
  </si>
  <si>
    <t>f1eb6f4a</t>
  </si>
  <si>
    <t>OUT_DSCR_Y1</t>
  </si>
  <si>
    <t>f2eb70dd</t>
  </si>
  <si>
    <t>OUT_EQUITY</t>
  </si>
  <si>
    <t>e9423dc9</t>
  </si>
  <si>
    <t>OUT_EQUITYMULTIPLE</t>
  </si>
  <si>
    <t>e8eb611f</t>
  </si>
  <si>
    <t>OUT_EXITNOI</t>
  </si>
  <si>
    <t>21340218</t>
  </si>
  <si>
    <t>OUT_EXITVALUE</t>
  </si>
  <si>
    <t>1f33fef2</t>
  </si>
  <si>
    <t>OUT_GLA</t>
  </si>
  <si>
    <t>a2f919e8</t>
  </si>
  <si>
    <t>OUT_GOINGINCAP</t>
  </si>
  <si>
    <t>e3eb5940</t>
  </si>
  <si>
    <t>OUT_LEVEREDIRR</t>
  </si>
  <si>
    <t>69ee6ac9</t>
  </si>
  <si>
    <t>OUT_LEVEREDXIRR</t>
  </si>
  <si>
    <t>e9eb62b2</t>
  </si>
  <si>
    <t>OUT_LOANAMOUNT</t>
  </si>
  <si>
    <t>OUT_LOANPAYOFF</t>
  </si>
  <si>
    <t>6fee743b</t>
  </si>
  <si>
    <t>OUT_LTV</t>
  </si>
  <si>
    <t>f4424f1a</t>
  </si>
  <si>
    <t>OUT_NETSALEPROCEEDS</t>
  </si>
  <si>
    <t>72ee78f4</t>
  </si>
  <si>
    <t>OUT_NOI_Y1</t>
  </si>
  <si>
    <t>e4eb5ad3</t>
  </si>
  <si>
    <t>OUT_OCCUPANCY</t>
  </si>
  <si>
    <t>a4f91d0e</t>
  </si>
  <si>
    <t>OUT_PRICEPERSF</t>
  </si>
  <si>
    <t>acfb683d</t>
  </si>
  <si>
    <t>OUT_PRICEPERUNIT</t>
  </si>
  <si>
    <t>abfb66aa</t>
  </si>
  <si>
    <t>OUT_PROPERTYNAME</t>
  </si>
  <si>
    <t>a6f92034</t>
  </si>
  <si>
    <t>OUT_SELLINGCOSTS</t>
  </si>
  <si>
    <t>71ee7761</t>
  </si>
  <si>
    <t>OUT_STRATEGY</t>
  </si>
  <si>
    <t>a9f924ed</t>
  </si>
  <si>
    <t>OUT_TOTALCOST</t>
  </si>
  <si>
    <t>1d00d5fd</t>
  </si>
  <si>
    <t>OUT_TOTALPROFIT</t>
  </si>
  <si>
    <t>e7eb5f8c</t>
  </si>
  <si>
    <t>OUT_UNITS</t>
  </si>
  <si>
    <t>a3f91b7b</t>
  </si>
  <si>
    <t>OUT_UNLEVEREDIRR</t>
  </si>
  <si>
    <t>eaeb6445</t>
  </si>
  <si>
    <t>OUT_WALT</t>
  </si>
  <si>
    <t>9ef9139c</t>
  </si>
  <si>
    <t>OUT_YEARBUILT</t>
  </si>
  <si>
    <t>a5f91ea1</t>
  </si>
  <si>
    <t>RNG_CF</t>
  </si>
  <si>
    <t>934f0ac2</t>
  </si>
  <si>
    <t>RNG_DEBT</t>
  </si>
  <si>
    <t>d4ecd936</t>
  </si>
  <si>
    <t>RNG_EXPIRY</t>
  </si>
  <si>
    <t>77389276</t>
  </si>
  <si>
    <t>RNG_HIST</t>
  </si>
  <si>
    <t>7bf23862</t>
  </si>
  <si>
    <t>RNG_KEYASSUMPTIONS</t>
  </si>
  <si>
    <t>92f55598</t>
  </si>
  <si>
    <t>RNG_SENS1</t>
  </si>
  <si>
    <t>1fce31ad</t>
  </si>
  <si>
    <t>RNG_SENS1EM</t>
  </si>
  <si>
    <t>07d34c79</t>
  </si>
  <si>
    <t>RNG_SENS2</t>
  </si>
  <si>
    <t>d231d7a3</t>
  </si>
  <si>
    <t>RNG_SENS2EM</t>
  </si>
  <si>
    <t>8b4e60c3</t>
  </si>
  <si>
    <t>R_LEASINGAFTERSALE</t>
  </si>
  <si>
    <t>6eee72a8</t>
  </si>
  <si>
    <t>R_LOANFEES</t>
  </si>
  <si>
    <t>75ee7dad</t>
  </si>
  <si>
    <t>R_PENALTY</t>
  </si>
  <si>
    <t>74ee7c1a</t>
  </si>
  <si>
    <t>R_SALECOSTPCT</t>
  </si>
  <si>
    <t>70ee75ce</t>
  </si>
  <si>
    <t>S_CAPSTEP</t>
  </si>
  <si>
    <t>3bd795dd</t>
  </si>
  <si>
    <t>S_PRICESTEP</t>
  </si>
  <si>
    <t>3ad7944a</t>
  </si>
  <si>
    <t>S_RATESTEP</t>
  </si>
  <si>
    <t>2cd77e40</t>
  </si>
</sst>
</file>

<file path=xl/styles.xml><?xml version="1.0" encoding="utf-8"?>
<styleSheet xmlns="http://schemas.openxmlformats.org/spreadsheetml/2006/main">
  <numFmts count="8">
    <numFmt numFmtId="164" formatCode="$#,##0;($#,##0);&quot;–&quot;"/>
    <numFmt numFmtId="165" formatCode="0.00%;-0.00%"/>
    <numFmt numFmtId="166" formatCode="$#,##0.00;-$#,##0.00"/>
    <numFmt numFmtId="167" formatCode="0.00&quot;x&quot;"/>
    <numFmt numFmtId="168" formatCode="#,##0;(#,##0);&quot;–&quot;"/>
    <numFmt numFmtId="169" formatCode="0.0%"/>
    <numFmt numFmtId="170" formatCode="d mmm yyyy"/>
    <numFmt numFmtId="171" formatCode="mmm yyyy"/>
  </numFmts>
  <fonts count="14">
    <font>
      <sz val="10"/>
      <color rgb="FF374151"/>
      <name val="Arial"/>
      <family val="2"/>
    </font>
    <font>
      <b/>
      <sz val="8"/>
      <color rgb="FF19A7A5"/>
      <name val="Arial"/>
      <family val="2"/>
    </font>
    <font>
      <sz val="14"/>
      <color rgb="FF0F2740"/>
      <name val="Georgia"/>
      <family val="1"/>
    </font>
    <font>
      <sz val="12"/>
      <color rgb="FF5B7C93"/>
      <name val="Georgia"/>
      <family val="1"/>
    </font>
    <font>
      <b/>
      <sz val="9"/>
      <color rgb="FF5B7C93"/>
      <name val="Arial"/>
      <family val="2"/>
    </font>
    <font>
      <b/>
      <sz val="10"/>
      <color rgb="FF0F2740"/>
      <name val="Arial"/>
      <family val="2"/>
    </font>
    <font>
      <sz val="9"/>
      <color rgb="FF5B7C93"/>
      <name val="Arial"/>
      <family val="2"/>
    </font>
    <font>
      <b/>
      <sz val="10"/>
      <color rgb="FF374151"/>
      <name val="Arial"/>
      <family val="2"/>
    </font>
    <font>
      <u/>
      <sz val="10"/>
      <color rgb="FF137F7D"/>
      <name val="Arial"/>
      <family val="2"/>
    </font>
    <font>
      <i/>
      <sz val="9"/>
      <color rgb="FF5B7C93"/>
      <name val="Arial"/>
      <family val="2"/>
    </font>
    <font>
      <b/>
      <sz val="9"/>
      <color rgb="FF0F2740"/>
      <name val="Arial"/>
      <family val="2"/>
    </font>
    <font>
      <b/>
      <sz val="8"/>
      <color rgb="FF5B7C93"/>
      <name val="Arial"/>
      <family val="2"/>
    </font>
    <font>
      <b/>
      <sz val="10"/>
      <color rgb="FF8A5A12"/>
      <name val="Arial"/>
      <family val="2"/>
    </font>
    <font>
      <sz val="10"/>
      <color rgb="FF0E6E6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1F4F8"/>
        <bgColor indexed="64"/>
      </patternFill>
    </fill>
    <fill>
      <patternFill patternType="solid">
        <fgColor rgb="FFFBF1DE"/>
        <bgColor indexed="64"/>
      </patternFill>
    </fill>
    <fill>
      <patternFill patternType="solid">
        <fgColor rgb="FFEEF8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F2740"/>
      </bottom>
      <diagonal/>
    </border>
    <border>
      <left style="hair">
        <color rgb="FF8FD0CB"/>
      </left>
      <right style="hair">
        <color rgb="FF8FD0CB"/>
      </right>
      <top style="hair">
        <color rgb="FF8FD0CB"/>
      </top>
      <bottom style="hair">
        <color rgb="FF8FD0CB"/>
      </bottom>
      <diagonal/>
    </border>
    <border>
      <left/>
      <right/>
      <top style="thin">
        <color rgb="FF0F2740"/>
      </top>
      <bottom/>
      <diagonal/>
    </border>
    <border>
      <left/>
      <right/>
      <top style="thin">
        <color rgb="FF0F2740"/>
      </top>
      <bottom style="double">
        <color rgb="FF0F2740"/>
      </bottom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9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166" fontId="7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10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  <xf numFmtId="169" fontId="7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70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49" fontId="0" fillId="0" borderId="0" xfId="0" applyNumberFormat="1"/>
    <xf numFmtId="168" fontId="0" fillId="0" borderId="0" xfId="0" applyNumberFormat="1"/>
    <xf numFmtId="3" fontId="0" fillId="0" borderId="0" xfId="0" applyNumberFormat="1"/>
    <xf numFmtId="169" fontId="0" fillId="0" borderId="0" xfId="0" applyNumberFormat="1"/>
    <xf numFmtId="1" fontId="0" fillId="0" borderId="0" xfId="0" applyNumberFormat="1"/>
    <xf numFmtId="164" fontId="0" fillId="0" borderId="0" xfId="0" applyNumberFormat="1"/>
    <xf numFmtId="166" fontId="0" fillId="0" borderId="0" xfId="0" applyNumberFormat="1"/>
    <xf numFmtId="0" fontId="8" fillId="0" borderId="0" xfId="0" applyFont="1" applyAlignment="1">
      <alignment horizontal="right"/>
    </xf>
    <xf numFmtId="0" fontId="10" fillId="2" borderId="1" xfId="0" applyFont="1" applyFill="1" applyBorder="1" applyAlignment="1">
      <alignment vertical="center"/>
    </xf>
    <xf numFmtId="0" fontId="0" fillId="0" borderId="0" xfId="0" applyAlignment="1">
      <alignment horizontal="left" indent="1"/>
    </xf>
    <xf numFmtId="170" fontId="0" fillId="0" borderId="0" xfId="0" applyNumberFormat="1" applyAlignment="1">
      <alignment horizontal="right"/>
    </xf>
    <xf numFmtId="0" fontId="6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10" fillId="2" borderId="1" xfId="0" applyFont="1" applyFill="1" applyBorder="1" applyAlignment="1">
      <alignment horizontal="center" vertical="center" wrapText="1"/>
    </xf>
    <xf numFmtId="3" fontId="6" fillId="0" borderId="0" xfId="0" applyNumberFormat="1" applyFont="1" applyAlignment="1">
      <alignment horizontal="center"/>
    </xf>
    <xf numFmtId="49" fontId="13" fillId="4" borderId="2" xfId="0" applyNumberFormat="1" applyFont="1" applyFill="1" applyBorder="1" applyProtection="1">
      <protection locked="0"/>
    </xf>
    <xf numFmtId="49" fontId="13" fillId="4" borderId="2" xfId="0" applyNumberFormat="1" applyFont="1" applyFill="1" applyBorder="1" applyAlignment="1" applyProtection="1">
      <alignment horizontal="center"/>
      <protection locked="0"/>
    </xf>
    <xf numFmtId="168" fontId="13" fillId="4" borderId="2" xfId="0" applyNumberFormat="1" applyFont="1" applyFill="1" applyBorder="1" applyProtection="1">
      <protection locked="0"/>
    </xf>
    <xf numFmtId="170" fontId="13" fillId="4" borderId="2" xfId="0" applyNumberFormat="1" applyFont="1" applyFill="1" applyBorder="1" applyAlignment="1" applyProtection="1">
      <alignment horizontal="center"/>
      <protection locked="0"/>
    </xf>
    <xf numFmtId="166" fontId="13" fillId="4" borderId="2" xfId="0" applyNumberFormat="1" applyFont="1" applyFill="1" applyBorder="1" applyProtection="1">
      <protection locked="0"/>
    </xf>
    <xf numFmtId="10" fontId="13" fillId="4" borderId="2" xfId="0" applyNumberFormat="1" applyFont="1" applyFill="1" applyBorder="1" applyProtection="1">
      <protection locked="0"/>
    </xf>
    <xf numFmtId="3" fontId="13" fillId="4" borderId="2" xfId="0" applyNumberFormat="1" applyFont="1" applyFill="1" applyBorder="1" applyAlignment="1" applyProtection="1">
      <alignment horizontal="center"/>
      <protection locked="0"/>
    </xf>
    <xf numFmtId="169" fontId="13" fillId="4" borderId="2" xfId="0" applyNumberFormat="1" applyFont="1" applyFill="1" applyBorder="1" applyProtection="1">
      <protection locked="0"/>
    </xf>
    <xf numFmtId="49" fontId="13" fillId="4" borderId="2" xfId="0" applyNumberFormat="1" applyFont="1" applyFill="1" applyBorder="1" applyAlignment="1" applyProtection="1">
      <alignment wrapText="1"/>
      <protection locked="0"/>
    </xf>
    <xf numFmtId="17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5" fillId="0" borderId="3" xfId="0" applyFont="1" applyBorder="1"/>
    <xf numFmtId="168" fontId="5" fillId="0" borderId="3" xfId="0" applyNumberFormat="1" applyFont="1" applyBorder="1"/>
    <xf numFmtId="169" fontId="5" fillId="0" borderId="3" xfId="0" applyNumberFormat="1" applyFont="1" applyBorder="1"/>
    <xf numFmtId="166" fontId="5" fillId="0" borderId="3" xfId="0" applyNumberFormat="1" applyFont="1" applyBorder="1"/>
    <xf numFmtId="164" fontId="5" fillId="0" borderId="3" xfId="0" applyNumberFormat="1" applyFont="1" applyBorder="1"/>
    <xf numFmtId="0" fontId="10" fillId="2" borderId="1" xfId="0" applyFont="1" applyFill="1" applyBorder="1" applyAlignment="1">
      <alignment horizontal="center" vertical="center"/>
    </xf>
    <xf numFmtId="0" fontId="7" fillId="0" borderId="0" xfId="0" applyFont="1"/>
    <xf numFmtId="170" fontId="13" fillId="4" borderId="2" xfId="0" applyNumberFormat="1" applyFont="1" applyFill="1" applyBorder="1" applyAlignment="1" applyProtection="1">
      <alignment horizontal="right"/>
      <protection locked="0"/>
    </xf>
    <xf numFmtId="3" fontId="13" fillId="4" borderId="2" xfId="0" applyNumberFormat="1" applyFont="1" applyFill="1" applyBorder="1" applyAlignment="1" applyProtection="1">
      <alignment horizontal="right"/>
      <protection locked="0"/>
    </xf>
    <xf numFmtId="164" fontId="13" fillId="4" borderId="2" xfId="0" applyNumberFormat="1" applyFont="1" applyFill="1" applyBorder="1" applyAlignment="1" applyProtection="1">
      <alignment horizontal="right"/>
      <protection locked="0"/>
    </xf>
    <xf numFmtId="168" fontId="13" fillId="4" borderId="2" xfId="0" applyNumberFormat="1" applyFont="1" applyFill="1" applyBorder="1" applyAlignment="1" applyProtection="1">
      <alignment horizontal="right"/>
      <protection locked="0"/>
    </xf>
    <xf numFmtId="10" fontId="13" fillId="4" borderId="2" xfId="0" applyNumberFormat="1" applyFont="1" applyFill="1" applyBorder="1" applyAlignment="1" applyProtection="1">
      <alignment horizontal="right"/>
      <protection locked="0"/>
    </xf>
    <xf numFmtId="0" fontId="4" fillId="2" borderId="0" xfId="0" applyFont="1" applyFill="1" applyAlignment="1">
      <alignment horizontal="center"/>
    </xf>
    <xf numFmtId="166" fontId="13" fillId="4" borderId="2" xfId="0" applyNumberFormat="1" applyFont="1" applyFill="1" applyBorder="1" applyAlignment="1" applyProtection="1">
      <alignment horizontal="right"/>
      <protection locked="0"/>
    </xf>
    <xf numFmtId="10" fontId="13" fillId="4" borderId="2" xfId="0" applyNumberFormat="1" applyFont="1" applyFill="1" applyBorder="1" applyAlignment="1" applyProtection="1">
      <alignment horizontal="center"/>
      <protection locked="0"/>
    </xf>
    <xf numFmtId="166" fontId="13" fillId="4" borderId="2" xfId="0" applyNumberFormat="1" applyFont="1" applyFill="1" applyBorder="1" applyAlignment="1" applyProtection="1">
      <alignment horizontal="center"/>
      <protection locked="0"/>
    </xf>
    <xf numFmtId="164" fontId="13" fillId="4" borderId="2" xfId="0" applyNumberFormat="1" applyFont="1" applyFill="1" applyBorder="1" applyProtection="1">
      <protection locked="0"/>
    </xf>
    <xf numFmtId="3" fontId="13" fillId="4" borderId="2" xfId="0" applyNumberFormat="1" applyFont="1" applyFill="1" applyBorder="1" applyProtection="1">
      <protection locked="0"/>
    </xf>
    <xf numFmtId="167" fontId="13" fillId="4" borderId="2" xfId="0" applyNumberFormat="1" applyFont="1" applyFill="1" applyBorder="1" applyAlignment="1" applyProtection="1">
      <alignment horizontal="right"/>
      <protection locked="0"/>
    </xf>
    <xf numFmtId="165" fontId="13" fillId="4" borderId="2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 applyAlignment="1">
      <alignment horizontal="center"/>
    </xf>
    <xf numFmtId="171" fontId="6" fillId="0" borderId="0" xfId="0" applyNumberFormat="1" applyFont="1" applyAlignment="1">
      <alignment horizontal="center"/>
    </xf>
    <xf numFmtId="1" fontId="10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indent="2"/>
    </xf>
    <xf numFmtId="0" fontId="5" fillId="2" borderId="4" xfId="0" applyFont="1" applyFill="1" applyBorder="1"/>
    <xf numFmtId="164" fontId="5" fillId="2" borderId="4" xfId="0" applyNumberFormat="1" applyFont="1" applyFill="1" applyBorder="1"/>
    <xf numFmtId="170" fontId="0" fillId="0" borderId="0" xfId="0" applyNumberFormat="1"/>
    <xf numFmtId="167" fontId="0" fillId="0" borderId="0" xfId="0" applyNumberFormat="1" applyAlignment="1">
      <alignment horizontal="right"/>
    </xf>
    <xf numFmtId="167" fontId="0" fillId="0" borderId="0" xfId="0" applyNumberFormat="1"/>
    <xf numFmtId="10" fontId="0" fillId="0" borderId="0" xfId="0" applyNumberFormat="1"/>
    <xf numFmtId="3" fontId="0" fillId="0" borderId="0" xfId="0" applyNumberFormat="1" applyAlignment="1">
      <alignment horizontal="center"/>
    </xf>
    <xf numFmtId="170" fontId="10" fillId="2" borderId="1" xfId="0" applyNumberFormat="1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right" vertical="center"/>
    </xf>
    <xf numFmtId="165" fontId="0" fillId="0" borderId="0" xfId="0" applyNumberFormat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167" fontId="0" fillId="0" borderId="0" xfId="0" applyNumberFormat="1" applyAlignment="1">
      <alignment horizontal="center"/>
    </xf>
    <xf numFmtId="167" fontId="7" fillId="0" borderId="5" xfId="0" applyNumberFormat="1" applyFont="1" applyBorder="1" applyAlignment="1">
      <alignment horizontal="center"/>
    </xf>
    <xf numFmtId="165" fontId="10" fillId="2" borderId="1" xfId="0" applyNumberFormat="1" applyFont="1" applyFill="1" applyBorder="1" applyAlignment="1">
      <alignment horizontal="right" vertical="center"/>
    </xf>
    <xf numFmtId="49" fontId="7" fillId="0" borderId="0" xfId="0" applyNumberFormat="1" applyFont="1" applyAlignment="1">
      <alignment horizontal="center"/>
    </xf>
    <xf numFmtId="49" fontId="6" fillId="0" borderId="0" xfId="0" applyNumberFormat="1" applyFont="1" applyAlignment="1">
      <alignment wrapText="1"/>
    </xf>
    <xf numFmtId="0" fontId="7" fillId="0" borderId="0" xfId="0" applyFont="1" applyAlignment="1">
      <alignment horizontal="left" indent="1"/>
    </xf>
    <xf numFmtId="3" fontId="10" fillId="2" borderId="1" xfId="0" applyNumberFormat="1" applyFont="1" applyFill="1" applyBorder="1" applyAlignment="1">
      <alignment vertical="center"/>
    </xf>
    <xf numFmtId="171" fontId="0" fillId="0" borderId="0" xfId="0" applyNumberFormat="1"/>
    <xf numFmtId="3" fontId="6" fillId="0" borderId="0" xfId="0" applyNumberFormat="1" applyFont="1"/>
    <xf numFmtId="49" fontId="6" fillId="0" borderId="0" xfId="0" applyNumberFormat="1" applyFont="1"/>
    <xf numFmtId="1" fontId="10" fillId="2" borderId="1" xfId="0" applyNumberFormat="1" applyFont="1" applyFill="1" applyBorder="1" applyAlignment="1">
      <alignment vertical="center"/>
    </xf>
    <xf numFmtId="165" fontId="0" fillId="0" borderId="0" xfId="0" applyNumberFormat="1"/>
  </cellXfs>
  <cellStyles count="1">
    <cellStyle name="Normal" xfId="0" builtinId="0"/>
  </cellStyles>
  <dxfs count="3">
    <dxf>
      <font>
        <b/>
        <color rgb="FF0E6E6D"/>
      </font>
      <fill>
        <patternFill patternType="solid">
          <fgColor rgb="FFDDF5F3"/>
          <bgColor rgb="FFDDF5F3"/>
        </patternFill>
      </fill>
    </dxf>
    <dxf>
      <font>
        <b/>
        <color rgb="FF8A5A12"/>
      </font>
      <fill>
        <patternFill patternType="solid">
          <fgColor rgb="FFFBF1DE"/>
          <bgColor rgb="FFFBF1DE"/>
        </patternFill>
      </fill>
    </dxf>
    <dxf>
      <font>
        <b/>
        <color rgb="FFB4231A"/>
      </font>
      <fill>
        <patternFill patternType="solid">
          <fgColor rgb="FFFBE8E6"/>
          <bgColor rgb="FFFBE8E6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Relationship Id="rId19" Type="http://schemas.openxmlformats.org/officeDocument/2006/relationships/customXml" Target="../customXml/item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1</xdr:row>
      <xdr:rowOff>0</xdr:rowOff>
    </xdr:from>
    <xdr:ext cx="1838325" cy="476250"/>
    <xdr:pic>
      <xdr:nvPicPr>
        <xdr:cNvPr id="2" name="CREMODEL" descr="CREMODEL, powered by OMAI Scan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838325" cy="47625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1" name="tblSources" displayName="tblSources" ref="B48:H125" totalsRowShown="0">
  <autoFilter ref="B48:H125"/>
  <tableColumns count="7">
    <tableColumn id="1" name="Field"/>
    <tableColumn id="2" name="Value"/>
    <tableColumn id="3" name="Page"/>
    <tableColumn id="4" name="Confidence"/>
    <tableColumn id="5" name="Origin"/>
    <tableColumn id="6" name="Conflict"/>
    <tableColumn id="7" name="Notes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blRentRoll" displayName="tblRentRoll" ref="B7:AZ32" totalsRowShown="0">
  <autoFilter ref="B7:AZ32"/>
  <tableColumns count="51">
    <tableColumn id="1" name="#"/>
    <tableColumn id="2" name="Tenant"/>
    <tableColumn id="3" name="Suite"/>
    <tableColumn id="4" name="SF"/>
    <tableColumn id="5" name="% GLA"/>
    <tableColumn id="6" name="Lease start (rent start)"/>
    <tableColumn id="7" name="Lease expiration"/>
    <tableColumn id="8" name="Base rent $/SF"/>
    <tableColumn id="9" name="Annual rent"/>
    <tableColumn id="10" name="Monthly rent"/>
    <tableColumn id="11" name="Escalation %"/>
    <tableColumn id="12" name="Escalates every, yrs"/>
    <tableColumn id="13" name="Free rent at start, mo"/>
    <tableColumn id="14" name="Lease type"/>
    <tableColumn id="15" name="Reimbursement"/>
    <tableColumn id="16" name="Admin fee %"/>
    <tableColumn id="17" name="Market profile"/>
    <tableColumn id="18" name="Market rent override $/SF"/>
    <tableColumn id="19" name="Market rent $/SF"/>
    <tableColumn id="20" name="Mark-to-market"/>
    <tableColumn id="21" name="Renewal probability (blank = profile)"/>
    <tableColumn id="22" name="Base case decision"/>
    <tableColumn id="23" name="Decision basis"/>
    <tableColumn id="24" name="Option term, yrs"/>
    <tableColumn id="25" name="Option rent $/SF"/>
    <tableColumn id="26" name="Option odds (blank = renewal)"/>
    <tableColumn id="27" name="Downtime at expiry, mo"/>
    <tableColumn id="28" name="TI at expiry $/SF"/>
    <tableColumn id="29" name="LC at expiry %"/>
    <tableColumn id="30" name="Free rent at expiry, mo"/>
    <tableColumn id="31" name="New lease term, yrs"/>
    <tableColumn id="32" name="New lease start"/>
    <tableColumn id="33" name="Anchor"/>
    <tableColumn id="34" name="Credit"/>
    <tableColumn id="35" name="Lease-up TI $/SF"/>
    <tableColumn id="36" name="Lease-up LC % (blank = sheet)"/>
    <tableColumn id="37" name="Sales $/SF"/>
    <tableColumn id="38" name="Percentage rent %"/>
    <tableColumn id="39" name="Probability at expiry (effective)"/>
    <tableColumn id="40" name="Status"/>
    <tableColumn id="41" name="Remaining term, yrs"/>
    <tableColumn id="42" name="% of base rent"/>
    <tableColumn id="43" name="Step 1 date"/>
    <tableColumn id="44" name="Step 1 $/SF"/>
    <tableColumn id="45" name="Step 2 date"/>
    <tableColumn id="46" name="Step 2 $/SF"/>
    <tableColumn id="47" name="Step 3 date"/>
    <tableColumn id="48" name="Step 3 $/SF"/>
    <tableColumn id="49" name="Step 4 date"/>
    <tableColumn id="50" name="Step 4 $/SF"/>
    <tableColumn id="51" name="Speculative lease-up (market bumps, rent grown to start)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tblRollover" displayName="tblRollover" ref="B7:R32" totalsRowShown="0">
  <autoFilter ref="B7:R32"/>
  <tableColumns count="17">
    <tableColumn id="1" name="Tenant"/>
    <tableColumn id="2" name="Expiration"/>
    <tableColumn id="3" name="SF"/>
    <tableColumn id="4" name="% GLA"/>
    <tableColumn id="5" name="Current rent $/SF"/>
    <tableColumn id="6" name="Current annual rent"/>
    <tableColumn id="7" name="% of base rent"/>
    <tableColumn id="8" name="Market rent $/SF"/>
    <tableColumn id="9" name="Mark-to-market"/>
    <tableColumn id="10" name="Renewal probability"/>
    <tableColumn id="11" name="Renew / vacate"/>
    <tableColumn id="12" name="Downtime, mo"/>
    <tableColumn id="13" name="TI $/SF"/>
    <tableColumn id="14" name="LC %"/>
    <tableColumn id="15" name="Free rent, mo"/>
    <tableColumn id="16" name="New lease rent $/SF"/>
    <tableColumn id="17" name="New lease start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tblChecks" displayName="tblChecks" ref="B6:E25" totalsRowShown="0">
  <autoFilter ref="B6:E25"/>
  <tableColumns count="4">
    <tableColumn id="1" name="Status"/>
    <tableColumn id="2" name="Check"/>
    <tableColumn id="3" name="Detail"/>
    <tableColumn id="4" name="Difference"/>
  </tableColumns>
  <tableStyleInfo name="TableStyleLight1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F2740"/>
    <pageSetUpPr fitToPage="1"/>
  </sheetPr>
  <dimension ref="B1:L51"/>
  <sheetViews>
    <sheetView workbookViewId="0" showGridLines="0" zoomScale="100" zoomScaleNormal="100" tabSelected="1"/>
  </sheetViews>
  <sheetFormatPr defaultRowHeight="15"/>
  <cols>
    <col min="1" max="1" width="2.5" customWidth="1"/>
    <col min="2" max="3" width="30" customWidth="1"/>
    <col min="4" max="4" width="3" customWidth="1"/>
    <col min="5" max="5" width="30" customWidth="1"/>
    <col min="6" max="6" width="18" customWidth="1"/>
    <col min="7" max="7" width="3" customWidth="1"/>
    <col min="8" max="8" width="30" customWidth="1"/>
    <col min="9" max="9" width="18" customWidth="1"/>
    <col min="11" max="12" width="18" customWidth="1" hidden="1"/>
  </cols>
  <sheetData>
    <row r="1" ht="20" customHeight="1">
      <c r="B1" s="1" t="s">
        <v>0</v>
      </c>
      <c r="C1" s="2"/>
      <c r="D1" s="2"/>
      <c r="E1" s="2"/>
      <c r="F1" s="2"/>
      <c r="G1" s="2"/>
      <c r="H1" s="2"/>
      <c r="I1" s="2"/>
    </row>
    <row r="2" ht="40" customHeight="1">
      <c r="B2"/>
      <c r="D2" s="3" t="s">
        <v>1</v>
      </c>
    </row>
    <row r="3">
      <c r="B3" s="4" t="s">
        <v>2</v>
      </c>
    </row>
    <row r="4">
      <c r="B4" s="5" t="s">
        <v>3</v>
      </c>
    </row>
    <row r="6">
      <c r="B6" s="6" t="s">
        <v>4</v>
      </c>
      <c r="C6" s="6"/>
      <c r="E6" s="6" t="s">
        <v>5</v>
      </c>
      <c r="F6" s="6"/>
      <c r="H6" s="6" t="s">
        <v>6</v>
      </c>
      <c r="I6" s="6"/>
    </row>
    <row r="7">
      <c r="B7" s="7" t="s">
        <v>7</v>
      </c>
      <c r="C7" s="8" t="str">
        <f>out_PropertyName</f>
        <v>Sunfield Crossing</v>
      </c>
      <c r="E7" s="7" t="s">
        <v>8</v>
      </c>
      <c r="F7" s="9">
        <f>in_PurchasePrice</f>
        <v>9369000</v>
      </c>
      <c r="H7" s="7" t="s">
        <v>9</v>
      </c>
      <c r="I7" s="10">
        <f>out_LeveredIRR</f>
        <v>0.11002229787561152</v>
      </c>
    </row>
    <row r="8">
      <c r="B8" s="7" t="s">
        <v>10</v>
      </c>
      <c r="C8" s="11" t="str">
        <f>out_Address</f>
        <v>100 Sunfield Road, Anytown, USA</v>
      </c>
      <c r="E8" s="7" t="s">
        <v>11</v>
      </c>
      <c r="F8" s="12">
        <f>out_PricePerSF</f>
        <v>156.93467336683418</v>
      </c>
      <c r="H8" s="7" t="s">
        <v>12</v>
      </c>
      <c r="I8" s="10">
        <f>out_UnleveredIRR</f>
        <v>0.08648748259250828</v>
      </c>
    </row>
    <row r="9">
      <c r="B9" s="7" t="s">
        <v>13</v>
      </c>
      <c r="C9" s="11" t="str">
        <f>out_AssetType</f>
        <v>Retail</v>
      </c>
      <c r="E9" s="7" t="s">
        <v>14</v>
      </c>
      <c r="F9" s="9">
        <f>out_NOI_Y1</f>
        <v>951327.6737762624</v>
      </c>
      <c r="H9" s="7" t="s">
        <v>15</v>
      </c>
      <c r="I9" s="13">
        <f>out_EquityMultiple</f>
        <v>1.7547114744500205</v>
      </c>
    </row>
    <row r="10">
      <c r="B10" s="7" t="s">
        <v>16</v>
      </c>
      <c r="C10" s="11" t="str">
        <f>out_Strategy</f>
        <v>Core+</v>
      </c>
      <c r="E10" s="7" t="s">
        <v>17</v>
      </c>
      <c r="F10" s="14">
        <f>out_GoingInCap</f>
        <v>0.10153993742942283</v>
      </c>
      <c r="H10" s="7" t="s">
        <v>18</v>
      </c>
      <c r="I10" s="14">
        <f>out_CoC_Y1</f>
        <v>0.12510991212866132</v>
      </c>
    </row>
    <row r="11">
      <c r="B11" s="7" t="s">
        <v>19</v>
      </c>
      <c r="C11" s="15">
        <f>out_GLA</f>
        <v>59700</v>
      </c>
      <c r="E11" s="7" t="s">
        <v>20</v>
      </c>
      <c r="F11" s="9">
        <f>out_LoanAmount</f>
        <v>5621400</v>
      </c>
      <c r="H11" s="7" t="s">
        <v>21</v>
      </c>
      <c r="I11" s="14">
        <f>out_CoC_Avg</f>
        <v>0.10932025016647748</v>
      </c>
    </row>
    <row r="12">
      <c r="B12" s="7" t="s">
        <v>22</v>
      </c>
      <c r="C12" s="16">
        <f>out_Occupancy</f>
        <v>0.9731993299832495</v>
      </c>
      <c r="E12" s="7" t="s">
        <v>23</v>
      </c>
      <c r="F12" s="16">
        <f>out_LTV</f>
        <v>0.6</v>
      </c>
      <c r="H12" s="7" t="s">
        <v>24</v>
      </c>
      <c r="I12" s="14">
        <f>in_ExitCap</f>
        <v>0.1039</v>
      </c>
    </row>
    <row r="13">
      <c r="B13" s="7" t="s">
        <v>25</v>
      </c>
      <c r="C13" s="17">
        <f>IF(out_YearBuilt&gt;0,out_YearBuilt,"n/a")</f>
        <v>1998</v>
      </c>
      <c r="E13" s="7" t="s">
        <v>26</v>
      </c>
      <c r="F13" s="14">
        <f>in_InterestRate</f>
        <v>0.067</v>
      </c>
      <c r="H13" s="7" t="s">
        <v>27</v>
      </c>
      <c r="I13" s="9">
        <f>out_ExitValue</f>
        <v>9315318.904213157</v>
      </c>
    </row>
    <row r="14">
      <c r="B14" s="7" t="s">
        <v>28</v>
      </c>
      <c r="C14" s="8" t="str">
        <f>ROUND(out_WALT,1)&amp;" years"</f>
        <v>5.4 years</v>
      </c>
      <c r="E14" s="7" t="s">
        <v>29</v>
      </c>
      <c r="F14" s="14">
        <f>out_DebtYield</f>
        <v>0.16923322904903804</v>
      </c>
      <c r="H14" s="7" t="s">
        <v>30</v>
      </c>
      <c r="I14" s="9">
        <f>out_NetSaleProceeds</f>
        <v>3953862.410711671</v>
      </c>
    </row>
    <row r="15">
      <c r="B15" s="7" t="s">
        <v>31</v>
      </c>
      <c r="C15" s="18">
        <f>in_AnalysisStart</f>
        <v>46388</v>
      </c>
      <c r="E15" s="7" t="s">
        <v>32</v>
      </c>
      <c r="F15" s="13">
        <f>out_DSCR_Y1</f>
        <v>2.164785427348354</v>
      </c>
      <c r="H15" s="7" t="s">
        <v>33</v>
      </c>
      <c r="I15" s="9">
        <f>out_TotalProfit</f>
        <v>3015782.3524451503</v>
      </c>
    </row>
    <row r="16">
      <c r="B16" s="7" t="s">
        <v>34</v>
      </c>
      <c r="C16" s="19">
        <f>in_HoldYears</f>
        <v>7</v>
      </c>
      <c r="E16" s="7" t="s">
        <v>35</v>
      </c>
      <c r="F16" s="9">
        <f>out_Equity</f>
        <v>3995940.7727871574</v>
      </c>
      <c r="H16" s="7" t="s">
        <v>36</v>
      </c>
      <c r="I16" s="8" t="str">
        <f>out_ChecksPass&amp;" / "&amp;out_ChecksReview&amp;" / "&amp;out_ChecksFail</f>
        <v>17 / 2 / 0</v>
      </c>
    </row>
    <row r="17">
      <c r="B17" s="7" t="s">
        <v>37</v>
      </c>
      <c r="C17" s="8" t="str">
        <f>"Years 1-11, monthly"</f>
        <v>Years 1-11, monthly</v>
      </c>
      <c r="E17" s="7" t="s">
        <v>38</v>
      </c>
      <c r="F17" s="9">
        <f>IF(ISNUMBER(out_AskingPrice),out_AskingPrice,"")</f>
        <v>14500000</v>
      </c>
    </row>
    <row r="18">
      <c r="B18" s="6" t="s">
        <v>39</v>
      </c>
      <c r="C18" s="6"/>
    </row>
    <row r="19">
      <c r="B19" s="20" t="s">
        <v>40</v>
      </c>
      <c r="E19" s="20" t="s">
        <v>41</v>
      </c>
    </row>
    <row r="20">
      <c r="B20" s="20" t="s">
        <v>42</v>
      </c>
      <c r="E20" s="20" t="s">
        <v>43</v>
      </c>
    </row>
    <row r="21">
      <c r="B21" s="20" t="s">
        <v>44</v>
      </c>
      <c r="E21" s="20" t="s">
        <v>45</v>
      </c>
    </row>
    <row r="22">
      <c r="B22" s="20" t="s">
        <v>46</v>
      </c>
      <c r="E22" s="20" t="s">
        <v>47</v>
      </c>
    </row>
    <row r="23">
      <c r="B23" s="20" t="s">
        <v>48</v>
      </c>
      <c r="E23" s="20" t="s">
        <v>49</v>
      </c>
    </row>
    <row r="24">
      <c r="B24" s="20" t="s">
        <v>50</v>
      </c>
    </row>
    <row r="26" ht="30" customHeight="1">
      <c r="B26" s="21" t="s">
        <v>51</v>
      </c>
    </row>
    <row r="28">
      <c r="B28" s="22" t="s">
        <v>52</v>
      </c>
    </row>
    <row r="39">
      <c r="K39" s="7" t="s">
        <v>53</v>
      </c>
    </row>
    <row r="40">
      <c r="K40" s="7" t="s">
        <v>7</v>
      </c>
      <c r="L40" s="23" t="s">
        <v>54</v>
      </c>
    </row>
    <row r="41">
      <c r="K41" s="7" t="s">
        <v>10</v>
      </c>
      <c r="L41" s="23" t="s">
        <v>55</v>
      </c>
    </row>
    <row r="42">
      <c r="K42" s="7" t="s">
        <v>13</v>
      </c>
      <c r="L42" s="23" t="s">
        <v>56</v>
      </c>
    </row>
    <row r="43">
      <c r="K43" s="7" t="s">
        <v>16</v>
      </c>
      <c r="L43" s="23" t="s">
        <v>57</v>
      </c>
    </row>
    <row r="44">
      <c r="K44" s="7" t="s">
        <v>58</v>
      </c>
      <c r="L44" s="24">
        <f>a_GLA</f>
        <v>59700</v>
      </c>
    </row>
    <row r="45">
      <c r="K45" s="7" t="s">
        <v>59</v>
      </c>
      <c r="L45" s="25"/>
    </row>
    <row r="46">
      <c r="K46" s="7" t="s">
        <v>60</v>
      </c>
      <c r="L46" s="26">
        <f>IF(a_GLA&gt;0,SUMPRODUCT(('Lease Cycles'!$E$8:$E$32&gt;0)*('Lease Cycles'!$F$8:$F$32=0)*'Lease Cycles'!$C$8:$C$32)/a_GLA,0)</f>
        <v>0.9731993299832495</v>
      </c>
    </row>
    <row r="47">
      <c r="K47" s="7" t="s">
        <v>25</v>
      </c>
      <c r="L47" s="27">
        <v>1998</v>
      </c>
    </row>
    <row r="48">
      <c r="K48" s="7" t="s">
        <v>61</v>
      </c>
      <c r="L48">
        <f>IF(SUMIFS('Rent Roll'!$J$8:$J$32,'Lease Cycles'!$F$8:$F$32,0)&gt;0,ROUND(SUMPRODUCT('Rent Roll'!$J$8:$J$32,'Lease Cycles'!$BU$8:$BU$32,('Lease Cycles'!$F$8:$F$32=0)*1)/12/SUMIFS('Rent Roll'!$J$8:$J$32,'Lease Cycles'!$F$8:$F$32,0),1),0)</f>
        <v>5.4</v>
      </c>
    </row>
    <row r="49">
      <c r="K49" s="7" t="s">
        <v>62</v>
      </c>
      <c r="L49" s="28">
        <v>14500000</v>
      </c>
    </row>
    <row r="50">
      <c r="K50" s="7" t="s">
        <v>11</v>
      </c>
      <c r="L50" s="29">
        <f>IF(a_GLA&gt;0,in_PurchasePrice/a_GLA,0)</f>
        <v>156.93467336683418</v>
      </c>
    </row>
    <row r="51">
      <c r="K51" s="7" t="s">
        <v>63</v>
      </c>
      <c r="L51" s="28">
        <f>IF(ISNUMBER(out_Units),IF(out_Units&gt;0,in_PurchasePrice/out_Units,0),0)</f>
        <v>0</v>
      </c>
    </row>
  </sheetData>
  <sheetProtection sheet="1" objects="1" scenarios="1" formatColumns="0" formatRows="0" autoFilter="0"/>
  <mergeCells count="2">
    <mergeCell ref="B26:I26"/>
    <mergeCell ref="B28:I28"/>
  </mergeCells>
  <hyperlinks>
    <hyperlink ref="B19" location="'Executive Summary'!A1" display="1. Executive Summary"/>
    <hyperlink ref="B20" location="'Sources &amp; QA'!A1" display="2. Sources &amp; QA"/>
    <hyperlink ref="B21" location="'Rent Roll'!A1" display="3. Rent Roll"/>
    <hyperlink ref="B22" location="'Historical Operating'!A1" display="4. Historical Operating"/>
    <hyperlink ref="B23" location="'Assumptions'!A1" display="5. Assumptions"/>
    <hyperlink ref="B24" location="'Lease Rollover'!A1" display="6. Lease Rollover"/>
    <hyperlink ref="E19" location="'Cash Flow'!A1" display="7. Cash Flow"/>
    <hyperlink ref="E20" location="'Debt'!A1" display="8. Debt"/>
    <hyperlink ref="E21" location="'Returns'!A1" display="9. Returns"/>
    <hyperlink ref="E22" location="'Sensitivities'!A1" display="10. Sensitivities"/>
    <hyperlink ref="E23" location="'Model Checks'!A1" display="11. Model Checks"/>
  </hyperlinks>
  <pageMargins left="0.5" right="0.5" top="0.6" bottom="0.6" header="0.3" footer="0.3"/>
  <pageSetup paperSize="1" orientation="landscape" fitToWidth="1" fitToHeight="1"/>
  <headerFooter>
    <oddFooter>&amp;L&amp;"Arial,Regular"&amp;8CREMODEL  &amp;P / &amp;N</oddFooter>
  </headerFooter>
  <ignoredErrors>
    <ignoredError sqref="A1:L51" numberStoredAsText="1" formula="1" formulaRange="1" unlockedFormula="1" emptyCellReference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9A7A5"/>
    <pageSetUpPr fitToPage="1"/>
  </sheetPr>
  <dimension ref="B1:H128"/>
  <sheetViews>
    <sheetView workbookViewId="0" showGridLines="0" zoomScale="90" zoomScaleNormal="9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defaultRowHeight="15"/>
  <cols>
    <col min="1" max="1" width="2.5" customWidth="1"/>
    <col min="2" max="2" width="46" customWidth="1"/>
    <col min="3" max="3" width="16" customWidth="1"/>
    <col min="4" max="4" width="8" customWidth="1"/>
    <col min="5" max="5" width="11" customWidth="1"/>
    <col min="6" max="6" width="9" customWidth="1"/>
    <col min="7" max="7" width="14" customWidth="1"/>
    <col min="8" max="8" width="60" customWidth="1"/>
  </cols>
  <sheetData>
    <row r="1" ht="20" customHeight="1">
      <c r="B1" s="1" t="s">
        <v>0</v>
      </c>
      <c r="C1" s="2"/>
      <c r="D1" s="2"/>
      <c r="E1" s="2"/>
      <c r="F1" s="2"/>
      <c r="G1" s="2"/>
      <c r="H1" s="2"/>
    </row>
    <row r="2" ht="26" customHeight="1">
      <c r="B2" s="3" t="s">
        <v>64</v>
      </c>
      <c r="H2" s="30" t="s">
        <v>65</v>
      </c>
    </row>
    <row r="3">
      <c r="B3" s="4" t="s">
        <v>2</v>
      </c>
    </row>
    <row r="4">
      <c r="B4" s="22" t="s">
        <v>66</v>
      </c>
    </row>
    <row r="6">
      <c r="B6" s="6" t="s">
        <v>67</v>
      </c>
    </row>
    <row r="7">
      <c r="B7" s="31" t="s">
        <v>68</v>
      </c>
      <c r="C7" s="31" t="s">
        <v>69</v>
      </c>
      <c r="D7" s="31" t="s">
        <v>70</v>
      </c>
      <c r="E7" s="31" t="s">
        <v>71</v>
      </c>
      <c r="F7" s="31" t="s">
        <v>72</v>
      </c>
      <c r="G7" s="31" t="s">
        <v>73</v>
      </c>
    </row>
    <row r="8">
      <c r="B8" s="6" t="s">
        <v>74</v>
      </c>
      <c r="C8" s="6"/>
      <c r="D8" s="6"/>
      <c r="E8" s="6"/>
      <c r="F8" s="6"/>
      <c r="G8" s="6"/>
    </row>
    <row r="9">
      <c r="B9" s="32" t="s">
        <v>31</v>
      </c>
      <c r="C9" s="33">
        <f>'Assumptions'!$C$8</f>
        <v>46388</v>
      </c>
      <c r="D9" s="34" t="s">
        <v>75</v>
      </c>
      <c r="E9" s="35" t="s">
        <v>76</v>
      </c>
      <c r="F9" s="34"/>
      <c r="G9" s="36" t="s">
        <v>77</v>
      </c>
    </row>
    <row r="10">
      <c r="B10" s="32" t="s">
        <v>34</v>
      </c>
      <c r="C10" s="37">
        <f>'Assumptions'!$C$9</f>
        <v>7</v>
      </c>
      <c r="D10" s="34" t="s">
        <v>78</v>
      </c>
      <c r="E10" s="35" t="s">
        <v>76</v>
      </c>
      <c r="F10" s="34"/>
      <c r="G10" s="36" t="s">
        <v>77</v>
      </c>
    </row>
    <row r="11">
      <c r="B11" s="32" t="s">
        <v>8</v>
      </c>
      <c r="C11" s="38">
        <f>'Assumptions'!$C$10</f>
        <v>9369000</v>
      </c>
      <c r="D11" s="34" t="s">
        <v>79</v>
      </c>
      <c r="E11" s="35" t="s">
        <v>76</v>
      </c>
      <c r="F11" s="34"/>
      <c r="G11" s="36" t="s">
        <v>77</v>
      </c>
    </row>
    <row r="12">
      <c r="B12" s="32" t="s">
        <v>80</v>
      </c>
      <c r="C12" s="39">
        <f>'Assumptions'!$C$11</f>
        <v>59700</v>
      </c>
      <c r="D12" s="34" t="s">
        <v>81</v>
      </c>
      <c r="E12" s="35" t="s">
        <v>82</v>
      </c>
      <c r="F12" s="34">
        <v>4</v>
      </c>
      <c r="G12" s="36"/>
    </row>
    <row r="13">
      <c r="B13" s="32" t="s">
        <v>83</v>
      </c>
      <c r="C13" s="40">
        <f>'Assumptions'!$C$12</f>
        <v>0.015</v>
      </c>
      <c r="D13" s="34" t="s">
        <v>84</v>
      </c>
      <c r="E13" s="35" t="s">
        <v>76</v>
      </c>
      <c r="F13" s="34"/>
      <c r="G13" s="36" t="s">
        <v>77</v>
      </c>
    </row>
    <row r="14">
      <c r="B14" s="6" t="s">
        <v>85</v>
      </c>
      <c r="C14" s="6"/>
      <c r="D14" s="6"/>
      <c r="E14" s="6"/>
      <c r="F14" s="6"/>
      <c r="G14" s="6"/>
    </row>
    <row r="15">
      <c r="B15" s="32" t="s">
        <v>86</v>
      </c>
      <c r="C15" s="40">
        <f>'Assumptions'!$C$20</f>
        <v>0.03</v>
      </c>
      <c r="D15" s="34" t="s">
        <v>84</v>
      </c>
      <c r="E15" s="35" t="s">
        <v>82</v>
      </c>
      <c r="F15" s="34"/>
      <c r="G15" s="36"/>
    </row>
    <row r="16">
      <c r="B16" s="32" t="s">
        <v>87</v>
      </c>
      <c r="C16" s="40">
        <f>'Assumptions'!$C$21</f>
        <v>0.02</v>
      </c>
      <c r="D16" s="34" t="s">
        <v>84</v>
      </c>
      <c r="E16" s="35" t="s">
        <v>76</v>
      </c>
      <c r="F16" s="34"/>
      <c r="G16" s="36" t="s">
        <v>77</v>
      </c>
    </row>
    <row r="17">
      <c r="B17" s="32" t="s">
        <v>88</v>
      </c>
      <c r="C17" s="40">
        <f>'Assumptions'!$C$22</f>
        <v>0.025</v>
      </c>
      <c r="D17" s="34" t="s">
        <v>84</v>
      </c>
      <c r="E17" s="35" t="s">
        <v>82</v>
      </c>
      <c r="F17" s="34"/>
      <c r="G17" s="36"/>
    </row>
    <row r="18">
      <c r="B18" s="32" t="s">
        <v>89</v>
      </c>
      <c r="C18" s="40">
        <f>'Assumptions'!$C$25</f>
        <v>0.04</v>
      </c>
      <c r="D18" s="34" t="s">
        <v>84</v>
      </c>
      <c r="E18" s="35" t="s">
        <v>76</v>
      </c>
      <c r="F18" s="34"/>
      <c r="G18" s="36" t="s">
        <v>77</v>
      </c>
    </row>
    <row r="19">
      <c r="B19" s="32" t="s">
        <v>90</v>
      </c>
      <c r="C19" s="40">
        <f>'Assumptions'!$C$26</f>
        <v>0.01</v>
      </c>
      <c r="D19" s="34" t="s">
        <v>84</v>
      </c>
      <c r="E19" s="35" t="s">
        <v>76</v>
      </c>
      <c r="F19" s="34"/>
      <c r="G19" s="36" t="s">
        <v>77</v>
      </c>
    </row>
    <row r="20">
      <c r="B20" s="32" t="s">
        <v>91</v>
      </c>
      <c r="C20" s="41">
        <f>'Assumptions'!$C$42</f>
        <v>1.45</v>
      </c>
      <c r="D20" s="34" t="s">
        <v>92</v>
      </c>
      <c r="E20" s="35" t="s">
        <v>93</v>
      </c>
      <c r="F20" s="34"/>
      <c r="G20" s="36"/>
    </row>
    <row r="21">
      <c r="B21" s="32" t="s">
        <v>94</v>
      </c>
      <c r="C21" s="41">
        <f>'Assumptions'!$C$43</f>
        <v>3</v>
      </c>
      <c r="D21" s="34" t="s">
        <v>92</v>
      </c>
      <c r="E21" s="35" t="s">
        <v>76</v>
      </c>
      <c r="F21" s="34"/>
      <c r="G21" s="36" t="s">
        <v>77</v>
      </c>
    </row>
    <row r="22">
      <c r="B22" s="32" t="s">
        <v>95</v>
      </c>
      <c r="C22" s="41">
        <f>'Assumptions'!$C$44</f>
        <v>0.45</v>
      </c>
      <c r="D22" s="34" t="s">
        <v>92</v>
      </c>
      <c r="E22" s="35" t="s">
        <v>82</v>
      </c>
      <c r="F22" s="34">
        <v>21</v>
      </c>
      <c r="G22" s="36"/>
    </row>
    <row r="23">
      <c r="B23" s="32" t="s">
        <v>96</v>
      </c>
      <c r="C23" s="40">
        <f>'Assumptions'!$C$46</f>
        <v>0.03</v>
      </c>
      <c r="D23" s="34" t="s">
        <v>84</v>
      </c>
      <c r="E23" s="35" t="s">
        <v>82</v>
      </c>
      <c r="F23" s="34">
        <v>21</v>
      </c>
      <c r="G23" s="36"/>
    </row>
    <row r="24">
      <c r="B24" s="6" t="s">
        <v>97</v>
      </c>
      <c r="C24" s="6"/>
      <c r="D24" s="6"/>
      <c r="E24" s="6"/>
      <c r="F24" s="6"/>
      <c r="G24" s="6"/>
    </row>
    <row r="25">
      <c r="B25" s="32" t="s">
        <v>98</v>
      </c>
      <c r="C25" s="41">
        <f>'Rent Roll'!$I$8</f>
        <v>14.5</v>
      </c>
      <c r="D25" s="34" t="s">
        <v>92</v>
      </c>
      <c r="E25" s="35" t="s">
        <v>82</v>
      </c>
      <c r="F25" s="34">
        <v>14</v>
      </c>
      <c r="G25" s="36"/>
    </row>
    <row r="26">
      <c r="B26" s="32" t="s">
        <v>99</v>
      </c>
      <c r="C26" s="33">
        <f>'Rent Roll'!$H$8</f>
        <v>48944</v>
      </c>
      <c r="D26" s="34" t="s">
        <v>75</v>
      </c>
      <c r="E26" s="35" t="s">
        <v>82</v>
      </c>
      <c r="F26" s="34">
        <v>14</v>
      </c>
      <c r="G26" s="36"/>
    </row>
    <row r="27">
      <c r="B27" s="32" t="s">
        <v>100</v>
      </c>
      <c r="C27" s="41">
        <f>'Assumptions'!$C$61</f>
        <v>16.13</v>
      </c>
      <c r="D27" s="34" t="s">
        <v>92</v>
      </c>
      <c r="E27" s="35" t="s">
        <v>76</v>
      </c>
      <c r="F27" s="34"/>
      <c r="G27" s="36" t="s">
        <v>77</v>
      </c>
    </row>
    <row r="28">
      <c r="B28" s="32" t="s">
        <v>101</v>
      </c>
      <c r="C28" s="42">
        <f>'Assumptions'!$F$61</f>
        <v>0.8</v>
      </c>
      <c r="D28" s="34" t="s">
        <v>102</v>
      </c>
      <c r="E28" s="35" t="s">
        <v>76</v>
      </c>
      <c r="F28" s="34"/>
      <c r="G28" s="36" t="s">
        <v>77</v>
      </c>
    </row>
    <row r="29">
      <c r="B29" s="32" t="s">
        <v>103</v>
      </c>
      <c r="C29" s="39">
        <f>'Assumptions'!$D$61</f>
        <v>6</v>
      </c>
      <c r="D29" s="34" t="s">
        <v>81</v>
      </c>
      <c r="E29" s="35" t="s">
        <v>76</v>
      </c>
      <c r="F29" s="34"/>
      <c r="G29" s="36" t="s">
        <v>77</v>
      </c>
    </row>
    <row r="30">
      <c r="B30" s="32" t="s">
        <v>104</v>
      </c>
      <c r="C30" s="41">
        <f>'Assumptions'!$C$62</f>
        <v>18.5</v>
      </c>
      <c r="D30" s="34" t="s">
        <v>92</v>
      </c>
      <c r="E30" s="35" t="s">
        <v>76</v>
      </c>
      <c r="F30" s="34"/>
      <c r="G30" s="36" t="s">
        <v>77</v>
      </c>
    </row>
    <row r="31">
      <c r="B31" s="32" t="s">
        <v>105</v>
      </c>
      <c r="C31" s="42">
        <f>'Assumptions'!$F$62</f>
        <v>0.8</v>
      </c>
      <c r="D31" s="34" t="s">
        <v>102</v>
      </c>
      <c r="E31" s="35" t="s">
        <v>76</v>
      </c>
      <c r="F31" s="34"/>
      <c r="G31" s="36" t="s">
        <v>77</v>
      </c>
    </row>
    <row r="32">
      <c r="B32" s="32" t="s">
        <v>106</v>
      </c>
      <c r="C32" s="39">
        <f>'Assumptions'!$D$62</f>
        <v>6</v>
      </c>
      <c r="D32" s="34" t="s">
        <v>81</v>
      </c>
      <c r="E32" s="35" t="s">
        <v>76</v>
      </c>
      <c r="F32" s="34"/>
      <c r="G32" s="36" t="s">
        <v>77</v>
      </c>
    </row>
    <row r="33">
      <c r="B33" s="6" t="s">
        <v>107</v>
      </c>
      <c r="C33" s="6"/>
      <c r="D33" s="6"/>
      <c r="E33" s="6"/>
      <c r="F33" s="6"/>
      <c r="G33" s="6"/>
    </row>
    <row r="34">
      <c r="B34" s="32" t="s">
        <v>108</v>
      </c>
      <c r="C34" s="38">
        <f>'Assumptions'!$C$15</f>
        <v>16000</v>
      </c>
      <c r="D34" s="34" t="s">
        <v>79</v>
      </c>
      <c r="E34" s="35" t="s">
        <v>76</v>
      </c>
      <c r="F34" s="34"/>
      <c r="G34" s="36" t="s">
        <v>77</v>
      </c>
    </row>
    <row r="35">
      <c r="B35" s="32" t="s">
        <v>109</v>
      </c>
      <c r="C35" s="41">
        <f>'Assumptions'!$C$75</f>
        <v>0.2</v>
      </c>
      <c r="D35" s="34" t="s">
        <v>92</v>
      </c>
      <c r="E35" s="35" t="s">
        <v>76</v>
      </c>
      <c r="F35" s="34"/>
      <c r="G35" s="36" t="s">
        <v>77</v>
      </c>
    </row>
    <row r="36">
      <c r="B36" s="6" t="s">
        <v>110</v>
      </c>
      <c r="C36" s="6"/>
      <c r="D36" s="6"/>
      <c r="E36" s="6"/>
      <c r="F36" s="6"/>
      <c r="G36" s="6"/>
    </row>
    <row r="37">
      <c r="B37" s="32" t="s">
        <v>111</v>
      </c>
      <c r="C37" s="40">
        <f>'Assumptions'!$C$84</f>
        <v>0.6</v>
      </c>
      <c r="D37" s="34" t="s">
        <v>84</v>
      </c>
      <c r="E37" s="35" t="s">
        <v>76</v>
      </c>
      <c r="F37" s="34"/>
      <c r="G37" s="36" t="s">
        <v>77</v>
      </c>
    </row>
    <row r="38">
      <c r="B38" s="32" t="s">
        <v>26</v>
      </c>
      <c r="C38" s="40">
        <f>'Assumptions'!$C$89</f>
        <v>0.067</v>
      </c>
      <c r="D38" s="34" t="s">
        <v>84</v>
      </c>
      <c r="E38" s="35" t="s">
        <v>76</v>
      </c>
      <c r="F38" s="34"/>
      <c r="G38" s="36" t="s">
        <v>77</v>
      </c>
    </row>
    <row r="39">
      <c r="B39" s="32" t="s">
        <v>112</v>
      </c>
      <c r="C39" s="39">
        <f>'Assumptions'!$C$91</f>
        <v>0</v>
      </c>
      <c r="D39" s="34" t="s">
        <v>81</v>
      </c>
      <c r="E39" s="35" t="s">
        <v>76</v>
      </c>
      <c r="F39" s="34"/>
      <c r="G39" s="36" t="s">
        <v>77</v>
      </c>
    </row>
    <row r="40">
      <c r="B40" s="32" t="s">
        <v>113</v>
      </c>
      <c r="C40" s="37">
        <f>'Assumptions'!$C$92</f>
        <v>30</v>
      </c>
      <c r="D40" s="34" t="s">
        <v>78</v>
      </c>
      <c r="E40" s="35" t="s">
        <v>76</v>
      </c>
      <c r="F40" s="34"/>
      <c r="G40" s="36" t="s">
        <v>77</v>
      </c>
    </row>
    <row r="41">
      <c r="B41" s="32" t="s">
        <v>20</v>
      </c>
      <c r="C41" s="38">
        <f>'Assumptions'!$C$114</f>
        <v>5621400</v>
      </c>
      <c r="D41" s="34" t="s">
        <v>79</v>
      </c>
      <c r="E41" s="35" t="s">
        <v>93</v>
      </c>
      <c r="F41" s="34"/>
      <c r="G41" s="36"/>
    </row>
    <row r="42">
      <c r="B42" s="32" t="s">
        <v>114</v>
      </c>
      <c r="C42" s="38">
        <f>'Assumptions'!$C$118</f>
        <v>3995940.7727871574</v>
      </c>
      <c r="D42" s="34" t="s">
        <v>79</v>
      </c>
      <c r="E42" s="35" t="s">
        <v>93</v>
      </c>
      <c r="F42" s="34"/>
      <c r="G42" s="36"/>
    </row>
    <row r="43">
      <c r="B43" s="6" t="s">
        <v>115</v>
      </c>
      <c r="C43" s="6"/>
      <c r="D43" s="6"/>
      <c r="E43" s="6"/>
      <c r="F43" s="6"/>
      <c r="G43" s="6"/>
    </row>
    <row r="44">
      <c r="B44" s="32" t="s">
        <v>24</v>
      </c>
      <c r="C44" s="40">
        <f>'Assumptions'!$C$121</f>
        <v>0.1039</v>
      </c>
      <c r="D44" s="34" t="s">
        <v>84</v>
      </c>
      <c r="E44" s="35" t="s">
        <v>76</v>
      </c>
      <c r="F44" s="34"/>
      <c r="G44" s="36" t="s">
        <v>77</v>
      </c>
    </row>
    <row r="45">
      <c r="B45" s="32" t="s">
        <v>116</v>
      </c>
      <c r="C45" s="38">
        <f>out_ExitValue</f>
        <v>9315318.904213157</v>
      </c>
      <c r="D45" s="34" t="s">
        <v>79</v>
      </c>
      <c r="E45" s="35" t="s">
        <v>93</v>
      </c>
      <c r="F45" s="34"/>
      <c r="G45" s="36"/>
    </row>
    <row r="47">
      <c r="B47" s="6" t="s">
        <v>117</v>
      </c>
    </row>
    <row r="48">
      <c r="B48" s="31" t="s">
        <v>118</v>
      </c>
      <c r="C48" s="31" t="s">
        <v>69</v>
      </c>
      <c r="D48" s="31" t="s">
        <v>72</v>
      </c>
      <c r="E48" s="31" t="s">
        <v>119</v>
      </c>
      <c r="F48" s="31" t="s">
        <v>71</v>
      </c>
      <c r="G48" s="31" t="s">
        <v>120</v>
      </c>
      <c r="H48" s="31" t="s">
        <v>121</v>
      </c>
    </row>
    <row r="49">
      <c r="B49" s="23" t="s">
        <v>100</v>
      </c>
      <c r="C49" s="41">
        <v>16.13</v>
      </c>
      <c r="D49" s="43"/>
      <c r="E49" s="43" t="s">
        <v>122</v>
      </c>
      <c r="F49" s="35" t="s">
        <v>76</v>
      </c>
      <c r="G49" s="36"/>
      <c r="H49" s="21" t="s">
        <v>123</v>
      </c>
    </row>
    <row r="50">
      <c r="B50" s="23" t="s">
        <v>104</v>
      </c>
      <c r="C50" s="41">
        <v>18.5</v>
      </c>
      <c r="D50" s="43"/>
      <c r="E50" s="43" t="s">
        <v>122</v>
      </c>
      <c r="F50" s="35" t="s">
        <v>76</v>
      </c>
      <c r="G50" s="36"/>
      <c r="H50" s="21" t="s">
        <v>123</v>
      </c>
    </row>
    <row r="51">
      <c r="B51" s="23" t="s">
        <v>124</v>
      </c>
      <c r="C51" s="41">
        <v>14.5</v>
      </c>
      <c r="D51" s="43">
        <v>14</v>
      </c>
      <c r="E51" s="43" t="s">
        <v>125</v>
      </c>
      <c r="F51" s="35" t="s">
        <v>82</v>
      </c>
      <c r="G51" s="36"/>
      <c r="H51" s="21"/>
    </row>
    <row r="52">
      <c r="B52" s="23" t="s">
        <v>126</v>
      </c>
      <c r="C52" s="37">
        <v>32000</v>
      </c>
      <c r="D52" s="43">
        <v>14</v>
      </c>
      <c r="E52" s="43" t="s">
        <v>125</v>
      </c>
      <c r="F52" s="35" t="s">
        <v>82</v>
      </c>
      <c r="G52" s="36"/>
      <c r="H52" s="21"/>
    </row>
    <row r="53">
      <c r="B53" s="23" t="s">
        <v>127</v>
      </c>
      <c r="C53" s="11" t="s">
        <v>128</v>
      </c>
      <c r="D53" s="43">
        <v>14</v>
      </c>
      <c r="E53" s="43" t="s">
        <v>122</v>
      </c>
      <c r="F53" s="35" t="s">
        <v>82</v>
      </c>
      <c r="G53" s="36"/>
      <c r="H53" s="21"/>
    </row>
    <row r="54">
      <c r="B54" s="23" t="s">
        <v>129</v>
      </c>
      <c r="C54" s="11" t="s">
        <v>130</v>
      </c>
      <c r="D54" s="43"/>
      <c r="E54" s="43" t="s">
        <v>122</v>
      </c>
      <c r="F54" s="35" t="s">
        <v>76</v>
      </c>
      <c r="G54" s="36"/>
      <c r="H54" s="21" t="s">
        <v>131</v>
      </c>
    </row>
    <row r="55">
      <c r="B55" s="23" t="s">
        <v>132</v>
      </c>
      <c r="C55" s="41">
        <v>18</v>
      </c>
      <c r="D55" s="43">
        <v>14</v>
      </c>
      <c r="E55" s="43" t="s">
        <v>125</v>
      </c>
      <c r="F55" s="35" t="s">
        <v>82</v>
      </c>
      <c r="G55" s="36"/>
      <c r="H55" s="21"/>
    </row>
    <row r="56">
      <c r="B56" s="23" t="s">
        <v>133</v>
      </c>
      <c r="C56" s="37">
        <v>9000</v>
      </c>
      <c r="D56" s="43">
        <v>14</v>
      </c>
      <c r="E56" s="43" t="s">
        <v>125</v>
      </c>
      <c r="F56" s="35" t="s">
        <v>82</v>
      </c>
      <c r="G56" s="36"/>
      <c r="H56" s="21"/>
    </row>
    <row r="57">
      <c r="B57" s="23" t="s">
        <v>134</v>
      </c>
      <c r="C57" s="11" t="s">
        <v>135</v>
      </c>
      <c r="D57" s="43">
        <v>14</v>
      </c>
      <c r="E57" s="43" t="s">
        <v>122</v>
      </c>
      <c r="F57" s="35" t="s">
        <v>82</v>
      </c>
      <c r="G57" s="36"/>
      <c r="H57" s="21"/>
    </row>
    <row r="58">
      <c r="B58" s="23" t="s">
        <v>136</v>
      </c>
      <c r="C58" s="11" t="s">
        <v>137</v>
      </c>
      <c r="D58" s="43"/>
      <c r="E58" s="43" t="s">
        <v>122</v>
      </c>
      <c r="F58" s="35" t="s">
        <v>76</v>
      </c>
      <c r="G58" s="36"/>
      <c r="H58" s="21" t="s">
        <v>138</v>
      </c>
    </row>
    <row r="59">
      <c r="B59" s="23" t="s">
        <v>139</v>
      </c>
      <c r="C59" s="41">
        <v>16</v>
      </c>
      <c r="D59" s="43">
        <v>14</v>
      </c>
      <c r="E59" s="43" t="s">
        <v>125</v>
      </c>
      <c r="F59" s="35" t="s">
        <v>82</v>
      </c>
      <c r="G59" s="36"/>
      <c r="H59" s="21"/>
    </row>
    <row r="60">
      <c r="B60" s="23" t="s">
        <v>140</v>
      </c>
      <c r="C60" s="37">
        <v>6000</v>
      </c>
      <c r="D60" s="43">
        <v>14</v>
      </c>
      <c r="E60" s="43" t="s">
        <v>125</v>
      </c>
      <c r="F60" s="35" t="s">
        <v>82</v>
      </c>
      <c r="G60" s="36"/>
      <c r="H60" s="21"/>
    </row>
    <row r="61">
      <c r="B61" s="23" t="s">
        <v>141</v>
      </c>
      <c r="C61" s="11" t="s">
        <v>142</v>
      </c>
      <c r="D61" s="43">
        <v>14</v>
      </c>
      <c r="E61" s="43" t="s">
        <v>122</v>
      </c>
      <c r="F61" s="35" t="s">
        <v>82</v>
      </c>
      <c r="G61" s="36"/>
      <c r="H61" s="21"/>
    </row>
    <row r="62">
      <c r="B62" s="23" t="s">
        <v>143</v>
      </c>
      <c r="C62" s="11" t="s">
        <v>137</v>
      </c>
      <c r="D62" s="43"/>
      <c r="E62" s="43" t="s">
        <v>122</v>
      </c>
      <c r="F62" s="35" t="s">
        <v>76</v>
      </c>
      <c r="G62" s="36"/>
      <c r="H62" s="21" t="s">
        <v>138</v>
      </c>
    </row>
    <row r="63">
      <c r="B63" s="23" t="s">
        <v>144</v>
      </c>
      <c r="C63" s="41">
        <v>27</v>
      </c>
      <c r="D63" s="43">
        <v>15</v>
      </c>
      <c r="E63" s="43" t="s">
        <v>125</v>
      </c>
      <c r="F63" s="35" t="s">
        <v>82</v>
      </c>
      <c r="G63" s="36"/>
      <c r="H63" s="21"/>
    </row>
    <row r="64">
      <c r="B64" s="23" t="s">
        <v>145</v>
      </c>
      <c r="C64" s="37">
        <v>2500</v>
      </c>
      <c r="D64" s="43">
        <v>15</v>
      </c>
      <c r="E64" s="43" t="s">
        <v>125</v>
      </c>
      <c r="F64" s="35" t="s">
        <v>82</v>
      </c>
      <c r="G64" s="36"/>
      <c r="H64" s="21"/>
    </row>
    <row r="65">
      <c r="B65" s="23" t="s">
        <v>146</v>
      </c>
      <c r="C65" s="11" t="s">
        <v>147</v>
      </c>
      <c r="D65" s="43">
        <v>15</v>
      </c>
      <c r="E65" s="43" t="s">
        <v>122</v>
      </c>
      <c r="F65" s="35" t="s">
        <v>82</v>
      </c>
      <c r="G65" s="36"/>
      <c r="H65" s="21"/>
    </row>
    <row r="66">
      <c r="B66" s="23" t="s">
        <v>148</v>
      </c>
      <c r="C66" s="11" t="s">
        <v>137</v>
      </c>
      <c r="D66" s="43"/>
      <c r="E66" s="43" t="s">
        <v>122</v>
      </c>
      <c r="F66" s="35" t="s">
        <v>76</v>
      </c>
      <c r="G66" s="36"/>
      <c r="H66" s="21" t="s">
        <v>138</v>
      </c>
    </row>
    <row r="67">
      <c r="B67" s="23" t="s">
        <v>149</v>
      </c>
      <c r="C67" s="41">
        <v>30</v>
      </c>
      <c r="D67" s="43">
        <v>15</v>
      </c>
      <c r="E67" s="43" t="s">
        <v>125</v>
      </c>
      <c r="F67" s="35" t="s">
        <v>82</v>
      </c>
      <c r="G67" s="36"/>
      <c r="H67" s="21"/>
    </row>
    <row r="68">
      <c r="B68" s="23" t="s">
        <v>150</v>
      </c>
      <c r="C68" s="37">
        <v>2000</v>
      </c>
      <c r="D68" s="43">
        <v>15</v>
      </c>
      <c r="E68" s="43" t="s">
        <v>125</v>
      </c>
      <c r="F68" s="35" t="s">
        <v>82</v>
      </c>
      <c r="G68" s="36"/>
      <c r="H68" s="21"/>
    </row>
    <row r="69">
      <c r="B69" s="23" t="s">
        <v>151</v>
      </c>
      <c r="C69" s="11" t="s">
        <v>152</v>
      </c>
      <c r="D69" s="43">
        <v>15</v>
      </c>
      <c r="E69" s="43" t="s">
        <v>122</v>
      </c>
      <c r="F69" s="35" t="s">
        <v>82</v>
      </c>
      <c r="G69" s="36"/>
      <c r="H69" s="21"/>
    </row>
    <row r="70">
      <c r="B70" s="23" t="s">
        <v>153</v>
      </c>
      <c r="C70" s="11" t="s">
        <v>137</v>
      </c>
      <c r="D70" s="43"/>
      <c r="E70" s="43" t="s">
        <v>122</v>
      </c>
      <c r="F70" s="35" t="s">
        <v>76</v>
      </c>
      <c r="G70" s="36"/>
      <c r="H70" s="21" t="s">
        <v>138</v>
      </c>
    </row>
    <row r="71">
      <c r="B71" s="23" t="s">
        <v>154</v>
      </c>
      <c r="C71" s="41">
        <v>26</v>
      </c>
      <c r="D71" s="43">
        <v>15</v>
      </c>
      <c r="E71" s="43" t="s">
        <v>125</v>
      </c>
      <c r="F71" s="35" t="s">
        <v>82</v>
      </c>
      <c r="G71" s="36"/>
      <c r="H71" s="21"/>
    </row>
    <row r="72">
      <c r="B72" s="23" t="s">
        <v>155</v>
      </c>
      <c r="C72" s="37">
        <v>1800</v>
      </c>
      <c r="D72" s="43">
        <v>15</v>
      </c>
      <c r="E72" s="43" t="s">
        <v>125</v>
      </c>
      <c r="F72" s="35" t="s">
        <v>82</v>
      </c>
      <c r="G72" s="36"/>
      <c r="H72" s="21"/>
    </row>
    <row r="73">
      <c r="B73" s="23" t="s">
        <v>156</v>
      </c>
      <c r="C73" s="11" t="s">
        <v>157</v>
      </c>
      <c r="D73" s="43">
        <v>15</v>
      </c>
      <c r="E73" s="43" t="s">
        <v>122</v>
      </c>
      <c r="F73" s="35" t="s">
        <v>82</v>
      </c>
      <c r="G73" s="36"/>
      <c r="H73" s="21"/>
    </row>
    <row r="74">
      <c r="B74" s="23" t="s">
        <v>158</v>
      </c>
      <c r="C74" s="11" t="s">
        <v>137</v>
      </c>
      <c r="D74" s="43"/>
      <c r="E74" s="43" t="s">
        <v>122</v>
      </c>
      <c r="F74" s="35" t="s">
        <v>76</v>
      </c>
      <c r="G74" s="36"/>
      <c r="H74" s="21" t="s">
        <v>138</v>
      </c>
    </row>
    <row r="75">
      <c r="B75" s="23" t="s">
        <v>159</v>
      </c>
      <c r="C75" s="41">
        <v>28</v>
      </c>
      <c r="D75" s="43">
        <v>15</v>
      </c>
      <c r="E75" s="43" t="s">
        <v>125</v>
      </c>
      <c r="F75" s="35" t="s">
        <v>82</v>
      </c>
      <c r="G75" s="36"/>
      <c r="H75" s="21"/>
    </row>
    <row r="76">
      <c r="B76" s="23" t="s">
        <v>160</v>
      </c>
      <c r="C76" s="37">
        <v>1400</v>
      </c>
      <c r="D76" s="43">
        <v>15</v>
      </c>
      <c r="E76" s="43" t="s">
        <v>125</v>
      </c>
      <c r="F76" s="35" t="s">
        <v>82</v>
      </c>
      <c r="G76" s="36"/>
      <c r="H76" s="21"/>
    </row>
    <row r="77">
      <c r="B77" s="23" t="s">
        <v>161</v>
      </c>
      <c r="C77" s="11" t="s">
        <v>162</v>
      </c>
      <c r="D77" s="43">
        <v>15</v>
      </c>
      <c r="E77" s="43" t="s">
        <v>122</v>
      </c>
      <c r="F77" s="35" t="s">
        <v>82</v>
      </c>
      <c r="G77" s="36"/>
      <c r="H77" s="21"/>
    </row>
    <row r="78">
      <c r="B78" s="23" t="s">
        <v>163</v>
      </c>
      <c r="C78" s="11" t="s">
        <v>137</v>
      </c>
      <c r="D78" s="43"/>
      <c r="E78" s="43" t="s">
        <v>122</v>
      </c>
      <c r="F78" s="35" t="s">
        <v>76</v>
      </c>
      <c r="G78" s="36"/>
      <c r="H78" s="21" t="s">
        <v>138</v>
      </c>
    </row>
    <row r="79">
      <c r="B79" s="23" t="s">
        <v>164</v>
      </c>
      <c r="C79" s="41">
        <v>32</v>
      </c>
      <c r="D79" s="43">
        <v>15</v>
      </c>
      <c r="E79" s="43" t="s">
        <v>125</v>
      </c>
      <c r="F79" s="35" t="s">
        <v>82</v>
      </c>
      <c r="G79" s="36"/>
      <c r="H79" s="21"/>
    </row>
    <row r="80">
      <c r="B80" s="23" t="s">
        <v>165</v>
      </c>
      <c r="C80" s="37">
        <v>1200</v>
      </c>
      <c r="D80" s="43">
        <v>15</v>
      </c>
      <c r="E80" s="43" t="s">
        <v>125</v>
      </c>
      <c r="F80" s="35" t="s">
        <v>82</v>
      </c>
      <c r="G80" s="36"/>
      <c r="H80" s="21"/>
    </row>
    <row r="81">
      <c r="B81" s="23" t="s">
        <v>166</v>
      </c>
      <c r="C81" s="11" t="s">
        <v>167</v>
      </c>
      <c r="D81" s="43">
        <v>15</v>
      </c>
      <c r="E81" s="43" t="s">
        <v>122</v>
      </c>
      <c r="F81" s="35" t="s">
        <v>82</v>
      </c>
      <c r="G81" s="36"/>
      <c r="H81" s="21"/>
    </row>
    <row r="82">
      <c r="B82" s="23" t="s">
        <v>168</v>
      </c>
      <c r="C82" s="11" t="s">
        <v>137</v>
      </c>
      <c r="D82" s="43"/>
      <c r="E82" s="43" t="s">
        <v>122</v>
      </c>
      <c r="F82" s="35" t="s">
        <v>76</v>
      </c>
      <c r="G82" s="36"/>
      <c r="H82" s="21" t="s">
        <v>138</v>
      </c>
    </row>
    <row r="83">
      <c r="B83" s="23" t="s">
        <v>169</v>
      </c>
      <c r="C83" s="41">
        <v>24</v>
      </c>
      <c r="D83" s="43">
        <v>16</v>
      </c>
      <c r="E83" s="43" t="s">
        <v>125</v>
      </c>
      <c r="F83" s="35" t="s">
        <v>82</v>
      </c>
      <c r="G83" s="36"/>
      <c r="H83" s="21"/>
    </row>
    <row r="84">
      <c r="B84" s="23" t="s">
        <v>170</v>
      </c>
      <c r="C84" s="37">
        <v>2200</v>
      </c>
      <c r="D84" s="43">
        <v>16</v>
      </c>
      <c r="E84" s="43" t="s">
        <v>125</v>
      </c>
      <c r="F84" s="35" t="s">
        <v>82</v>
      </c>
      <c r="G84" s="36"/>
      <c r="H84" s="21"/>
    </row>
    <row r="85">
      <c r="B85" s="23" t="s">
        <v>171</v>
      </c>
      <c r="C85" s="11" t="s">
        <v>172</v>
      </c>
      <c r="D85" s="43">
        <v>16</v>
      </c>
      <c r="E85" s="43" t="s">
        <v>122</v>
      </c>
      <c r="F85" s="35" t="s">
        <v>82</v>
      </c>
      <c r="G85" s="36"/>
      <c r="H85" s="21"/>
    </row>
    <row r="86">
      <c r="B86" s="23" t="s">
        <v>173</v>
      </c>
      <c r="C86" s="11" t="s">
        <v>137</v>
      </c>
      <c r="D86" s="43"/>
      <c r="E86" s="43" t="s">
        <v>122</v>
      </c>
      <c r="F86" s="35" t="s">
        <v>76</v>
      </c>
      <c r="G86" s="36"/>
      <c r="H86" s="21" t="s">
        <v>138</v>
      </c>
    </row>
    <row r="87">
      <c r="B87" s="23" t="s">
        <v>174</v>
      </c>
      <c r="C87" s="41">
        <v>18.5</v>
      </c>
      <c r="D87" s="43">
        <v>16</v>
      </c>
      <c r="E87" s="43" t="s">
        <v>122</v>
      </c>
      <c r="F87" s="35" t="s">
        <v>82</v>
      </c>
      <c r="G87" s="36"/>
      <c r="H87" s="21"/>
    </row>
    <row r="88">
      <c r="B88" s="23" t="s">
        <v>175</v>
      </c>
      <c r="C88" s="37">
        <v>1600</v>
      </c>
      <c r="D88" s="43">
        <v>16</v>
      </c>
      <c r="E88" s="43" t="s">
        <v>122</v>
      </c>
      <c r="F88" s="35" t="s">
        <v>82</v>
      </c>
      <c r="G88" s="36"/>
      <c r="H88" s="21"/>
    </row>
    <row r="89">
      <c r="B89" s="23" t="s">
        <v>176</v>
      </c>
      <c r="C89" s="11" t="s">
        <v>137</v>
      </c>
      <c r="D89" s="43"/>
      <c r="E89" s="43" t="s">
        <v>122</v>
      </c>
      <c r="F89" s="35" t="s">
        <v>76</v>
      </c>
      <c r="G89" s="36"/>
      <c r="H89" s="21" t="s">
        <v>138</v>
      </c>
    </row>
    <row r="90">
      <c r="B90" s="23" t="s">
        <v>177</v>
      </c>
      <c r="C90" s="41">
        <v>0.15</v>
      </c>
      <c r="D90" s="43">
        <v>21</v>
      </c>
      <c r="E90" s="43" t="s">
        <v>122</v>
      </c>
      <c r="F90" s="35" t="s">
        <v>82</v>
      </c>
      <c r="G90" s="36"/>
      <c r="H90" s="21" t="s">
        <v>178</v>
      </c>
    </row>
    <row r="91">
      <c r="B91" s="23" t="s">
        <v>179</v>
      </c>
      <c r="C91" s="41">
        <v>0.1</v>
      </c>
      <c r="D91" s="43">
        <v>21</v>
      </c>
      <c r="E91" s="43" t="s">
        <v>122</v>
      </c>
      <c r="F91" s="35" t="s">
        <v>82</v>
      </c>
      <c r="G91" s="36"/>
      <c r="H91" s="21" t="s">
        <v>178</v>
      </c>
    </row>
    <row r="92">
      <c r="B92" s="23" t="s">
        <v>180</v>
      </c>
      <c r="C92" s="41">
        <v>0.2</v>
      </c>
      <c r="D92" s="43">
        <v>21</v>
      </c>
      <c r="E92" s="43" t="s">
        <v>122</v>
      </c>
      <c r="F92" s="35" t="s">
        <v>82</v>
      </c>
      <c r="G92" s="36"/>
      <c r="H92" s="21" t="s">
        <v>178</v>
      </c>
    </row>
    <row r="93">
      <c r="B93" s="23" t="s">
        <v>181</v>
      </c>
      <c r="C93" s="41">
        <v>0.1</v>
      </c>
      <c r="D93" s="43">
        <v>21</v>
      </c>
      <c r="E93" s="43" t="s">
        <v>122</v>
      </c>
      <c r="F93" s="35" t="s">
        <v>82</v>
      </c>
      <c r="G93" s="36"/>
      <c r="H93" s="21" t="s">
        <v>178</v>
      </c>
    </row>
    <row r="94">
      <c r="B94" s="23" t="s">
        <v>182</v>
      </c>
      <c r="C94" s="41">
        <v>0.65</v>
      </c>
      <c r="D94" s="43">
        <v>21</v>
      </c>
      <c r="E94" s="43" t="s">
        <v>122</v>
      </c>
      <c r="F94" s="35" t="s">
        <v>82</v>
      </c>
      <c r="G94" s="36"/>
      <c r="H94" s="21" t="s">
        <v>178</v>
      </c>
    </row>
    <row r="95">
      <c r="B95" s="23" t="s">
        <v>183</v>
      </c>
      <c r="C95" s="41">
        <v>0</v>
      </c>
      <c r="D95" s="43">
        <v>21</v>
      </c>
      <c r="E95" s="43" t="s">
        <v>122</v>
      </c>
      <c r="F95" s="35" t="s">
        <v>82</v>
      </c>
      <c r="G95" s="36"/>
      <c r="H95" s="21"/>
    </row>
    <row r="96">
      <c r="B96" s="23" t="s">
        <v>184</v>
      </c>
      <c r="C96" s="41">
        <v>0.25</v>
      </c>
      <c r="D96" s="43">
        <v>21</v>
      </c>
      <c r="E96" s="43" t="s">
        <v>122</v>
      </c>
      <c r="F96" s="35" t="s">
        <v>82</v>
      </c>
      <c r="G96" s="36"/>
      <c r="H96" s="21" t="s">
        <v>178</v>
      </c>
    </row>
    <row r="97">
      <c r="B97" s="23" t="s">
        <v>185</v>
      </c>
      <c r="C97" s="41">
        <v>0</v>
      </c>
      <c r="D97" s="43">
        <v>21</v>
      </c>
      <c r="E97" s="43" t="s">
        <v>122</v>
      </c>
      <c r="F97" s="35" t="s">
        <v>82</v>
      </c>
      <c r="G97" s="36"/>
      <c r="H97" s="21"/>
    </row>
    <row r="98">
      <c r="B98" s="23" t="s">
        <v>186</v>
      </c>
      <c r="C98" s="41">
        <v>0</v>
      </c>
      <c r="D98" s="43">
        <v>21</v>
      </c>
      <c r="E98" s="43" t="s">
        <v>122</v>
      </c>
      <c r="F98" s="35" t="s">
        <v>82</v>
      </c>
      <c r="G98" s="36"/>
      <c r="H98" s="21"/>
    </row>
    <row r="99">
      <c r="B99" s="23" t="s">
        <v>94</v>
      </c>
      <c r="C99" s="41">
        <v>3</v>
      </c>
      <c r="D99" s="43"/>
      <c r="E99" s="43" t="s">
        <v>122</v>
      </c>
      <c r="F99" s="35" t="s">
        <v>76</v>
      </c>
      <c r="G99" s="36"/>
      <c r="H99" s="21" t="s">
        <v>187</v>
      </c>
    </row>
    <row r="100">
      <c r="B100" s="23" t="s">
        <v>95</v>
      </c>
      <c r="C100" s="41">
        <v>0.45</v>
      </c>
      <c r="D100" s="43">
        <v>21</v>
      </c>
      <c r="E100" s="43" t="s">
        <v>122</v>
      </c>
      <c r="F100" s="35" t="s">
        <v>82</v>
      </c>
      <c r="G100" s="36"/>
      <c r="H100" s="21" t="s">
        <v>178</v>
      </c>
    </row>
    <row r="101">
      <c r="B101" s="23" t="s">
        <v>188</v>
      </c>
      <c r="C101" s="41">
        <v>0</v>
      </c>
      <c r="D101" s="43">
        <v>21</v>
      </c>
      <c r="E101" s="43" t="s">
        <v>122</v>
      </c>
      <c r="F101" s="35" t="s">
        <v>82</v>
      </c>
      <c r="G101" s="36"/>
      <c r="H101" s="21"/>
    </row>
    <row r="102">
      <c r="B102" s="23" t="s">
        <v>96</v>
      </c>
      <c r="C102" s="44">
        <v>0.03</v>
      </c>
      <c r="D102" s="43">
        <v>21</v>
      </c>
      <c r="E102" s="43" t="s">
        <v>122</v>
      </c>
      <c r="F102" s="35" t="s">
        <v>82</v>
      </c>
      <c r="G102" s="36"/>
      <c r="H102" s="21"/>
    </row>
    <row r="103">
      <c r="B103" s="23" t="s">
        <v>189</v>
      </c>
      <c r="C103" s="41">
        <v>0.2</v>
      </c>
      <c r="D103" s="43"/>
      <c r="E103" s="43" t="s">
        <v>122</v>
      </c>
      <c r="F103" s="35" t="s">
        <v>76</v>
      </c>
      <c r="G103" s="36"/>
      <c r="H103" s="21" t="s">
        <v>187</v>
      </c>
    </row>
    <row r="104">
      <c r="B104" s="23" t="s">
        <v>23</v>
      </c>
      <c r="C104" s="44">
        <v>0.6</v>
      </c>
      <c r="D104" s="43"/>
      <c r="E104" s="43" t="s">
        <v>122</v>
      </c>
      <c r="F104" s="35" t="s">
        <v>76</v>
      </c>
      <c r="G104" s="36"/>
      <c r="H104" s="21" t="s">
        <v>190</v>
      </c>
    </row>
    <row r="105">
      <c r="B105" s="23" t="s">
        <v>26</v>
      </c>
      <c r="C105" s="44">
        <v>0.067</v>
      </c>
      <c r="D105" s="43"/>
      <c r="E105" s="43" t="s">
        <v>122</v>
      </c>
      <c r="F105" s="35" t="s">
        <v>76</v>
      </c>
      <c r="G105" s="36"/>
      <c r="H105" s="21" t="s">
        <v>187</v>
      </c>
    </row>
    <row r="106">
      <c r="B106" s="23" t="s">
        <v>191</v>
      </c>
      <c r="C106" s="39">
        <v>0</v>
      </c>
      <c r="D106" s="43"/>
      <c r="E106" s="43" t="s">
        <v>122</v>
      </c>
      <c r="F106" s="35" t="s">
        <v>76</v>
      </c>
      <c r="G106" s="36"/>
      <c r="H106" s="21" t="s">
        <v>190</v>
      </c>
    </row>
    <row r="107">
      <c r="B107" s="23" t="s">
        <v>113</v>
      </c>
      <c r="C107" s="37">
        <v>30</v>
      </c>
      <c r="D107" s="43"/>
      <c r="E107" s="43" t="s">
        <v>122</v>
      </c>
      <c r="F107" s="35" t="s">
        <v>76</v>
      </c>
      <c r="G107" s="36"/>
      <c r="H107" s="21" t="s">
        <v>190</v>
      </c>
    </row>
    <row r="108">
      <c r="B108" s="23" t="s">
        <v>192</v>
      </c>
      <c r="C108" s="44">
        <v>0.01</v>
      </c>
      <c r="D108" s="43"/>
      <c r="E108" s="43" t="s">
        <v>122</v>
      </c>
      <c r="F108" s="35" t="s">
        <v>76</v>
      </c>
      <c r="G108" s="36"/>
      <c r="H108" s="21" t="s">
        <v>190</v>
      </c>
    </row>
    <row r="109">
      <c r="B109" s="23" t="s">
        <v>24</v>
      </c>
      <c r="C109" s="44">
        <v>0.1039</v>
      </c>
      <c r="D109" s="43"/>
      <c r="E109" s="43" t="s">
        <v>122</v>
      </c>
      <c r="F109" s="35" t="s">
        <v>76</v>
      </c>
      <c r="G109" s="36"/>
      <c r="H109" s="21" t="s">
        <v>187</v>
      </c>
    </row>
    <row r="110">
      <c r="B110" s="23" t="s">
        <v>34</v>
      </c>
      <c r="C110" s="37">
        <v>7</v>
      </c>
      <c r="D110" s="43"/>
      <c r="E110" s="43" t="s">
        <v>122</v>
      </c>
      <c r="F110" s="35" t="s">
        <v>76</v>
      </c>
      <c r="G110" s="36"/>
      <c r="H110" s="21" t="s">
        <v>190</v>
      </c>
    </row>
    <row r="111">
      <c r="B111" s="23" t="s">
        <v>8</v>
      </c>
      <c r="C111" s="38">
        <v>9369000</v>
      </c>
      <c r="D111" s="43"/>
      <c r="E111" s="43" t="s">
        <v>122</v>
      </c>
      <c r="F111" s="35" t="s">
        <v>76</v>
      </c>
      <c r="G111" s="36"/>
      <c r="H111" s="21" t="s">
        <v>123</v>
      </c>
    </row>
    <row r="112">
      <c r="B112" s="23" t="s">
        <v>83</v>
      </c>
      <c r="C112" s="44">
        <v>0.015</v>
      </c>
      <c r="D112" s="43"/>
      <c r="E112" s="43" t="s">
        <v>122</v>
      </c>
      <c r="F112" s="35" t="s">
        <v>76</v>
      </c>
      <c r="G112" s="36"/>
      <c r="H112" s="21" t="s">
        <v>190</v>
      </c>
    </row>
    <row r="113">
      <c r="B113" s="23" t="s">
        <v>86</v>
      </c>
      <c r="C113" s="44">
        <v>0.03</v>
      </c>
      <c r="D113" s="43"/>
      <c r="E113" s="43" t="s">
        <v>122</v>
      </c>
      <c r="F113" s="35" t="s">
        <v>82</v>
      </c>
      <c r="G113" s="36"/>
      <c r="H113" s="21"/>
    </row>
    <row r="114">
      <c r="B114" s="23" t="s">
        <v>87</v>
      </c>
      <c r="C114" s="44">
        <v>0.02</v>
      </c>
      <c r="D114" s="43"/>
      <c r="E114" s="43" t="s">
        <v>122</v>
      </c>
      <c r="F114" s="35" t="s">
        <v>76</v>
      </c>
      <c r="G114" s="36"/>
      <c r="H114" s="21" t="s">
        <v>187</v>
      </c>
    </row>
    <row r="115">
      <c r="B115" s="23" t="s">
        <v>88</v>
      </c>
      <c r="C115" s="44">
        <v>0.025</v>
      </c>
      <c r="D115" s="43"/>
      <c r="E115" s="43" t="s">
        <v>122</v>
      </c>
      <c r="F115" s="35" t="s">
        <v>82</v>
      </c>
      <c r="G115" s="36"/>
      <c r="H115" s="21"/>
    </row>
    <row r="116">
      <c r="B116" s="23" t="s">
        <v>89</v>
      </c>
      <c r="C116" s="44">
        <v>0.04</v>
      </c>
      <c r="D116" s="43"/>
      <c r="E116" s="43" t="s">
        <v>122</v>
      </c>
      <c r="F116" s="35" t="s">
        <v>76</v>
      </c>
      <c r="G116" s="36"/>
      <c r="H116" s="21" t="s">
        <v>190</v>
      </c>
    </row>
    <row r="117">
      <c r="B117" s="23" t="s">
        <v>90</v>
      </c>
      <c r="C117" s="44">
        <v>0.01</v>
      </c>
      <c r="D117" s="43"/>
      <c r="E117" s="43" t="s">
        <v>122</v>
      </c>
      <c r="F117" s="35" t="s">
        <v>76</v>
      </c>
      <c r="G117" s="36"/>
      <c r="H117" s="21" t="s">
        <v>187</v>
      </c>
    </row>
    <row r="118">
      <c r="B118" s="23" t="s">
        <v>80</v>
      </c>
      <c r="C118" s="37">
        <v>59700</v>
      </c>
      <c r="D118" s="43">
        <v>4</v>
      </c>
      <c r="E118" s="43" t="s">
        <v>122</v>
      </c>
      <c r="F118" s="35" t="s">
        <v>82</v>
      </c>
      <c r="G118" s="36"/>
      <c r="H118" s="21"/>
    </row>
    <row r="119">
      <c r="B119" s="23" t="s">
        <v>25</v>
      </c>
      <c r="C119" s="45">
        <v>1998</v>
      </c>
      <c r="D119" s="43">
        <v>4</v>
      </c>
      <c r="E119" s="43" t="s">
        <v>125</v>
      </c>
      <c r="F119" s="35" t="s">
        <v>82</v>
      </c>
      <c r="G119" s="36"/>
      <c r="H119" s="21"/>
    </row>
    <row r="120">
      <c r="B120" s="23" t="s">
        <v>38</v>
      </c>
      <c r="C120" s="38">
        <v>14500000</v>
      </c>
      <c r="D120" s="43">
        <v>3</v>
      </c>
      <c r="E120" s="43" t="s">
        <v>125</v>
      </c>
      <c r="F120" s="35" t="s">
        <v>82</v>
      </c>
      <c r="G120" s="36"/>
      <c r="H120" s="21" t="s">
        <v>193</v>
      </c>
    </row>
    <row r="121">
      <c r="B121" s="23" t="s">
        <v>194</v>
      </c>
      <c r="C121" s="38">
        <v>1019000</v>
      </c>
      <c r="D121" s="43">
        <v>20</v>
      </c>
      <c r="E121" s="43" t="s">
        <v>122</v>
      </c>
      <c r="F121" s="35" t="s">
        <v>82</v>
      </c>
      <c r="G121" s="36"/>
      <c r="H121" s="21"/>
    </row>
    <row r="122">
      <c r="B122" s="23" t="s">
        <v>195</v>
      </c>
      <c r="C122" s="38">
        <v>371000</v>
      </c>
      <c r="D122" s="43">
        <v>20</v>
      </c>
      <c r="E122" s="43" t="s">
        <v>122</v>
      </c>
      <c r="F122" s="35" t="s">
        <v>82</v>
      </c>
      <c r="G122" s="36"/>
      <c r="H122" s="21"/>
    </row>
    <row r="123">
      <c r="B123" s="23" t="s">
        <v>196</v>
      </c>
      <c r="C123" s="38">
        <v>9800</v>
      </c>
      <c r="D123" s="43">
        <v>20</v>
      </c>
      <c r="E123" s="43" t="s">
        <v>122</v>
      </c>
      <c r="F123" s="35" t="s">
        <v>82</v>
      </c>
      <c r="G123" s="36"/>
      <c r="H123" s="21"/>
    </row>
    <row r="124">
      <c r="B124" s="23" t="s">
        <v>197</v>
      </c>
      <c r="C124" s="38">
        <v>420000</v>
      </c>
      <c r="D124" s="43">
        <v>20</v>
      </c>
      <c r="E124" s="43" t="s">
        <v>122</v>
      </c>
      <c r="F124" s="35" t="s">
        <v>82</v>
      </c>
      <c r="G124" s="36"/>
      <c r="H124" s="21"/>
    </row>
    <row r="125">
      <c r="B125" s="23" t="s">
        <v>198</v>
      </c>
      <c r="C125" s="38">
        <v>979800</v>
      </c>
      <c r="D125" s="43">
        <v>20</v>
      </c>
      <c r="E125" s="43" t="s">
        <v>122</v>
      </c>
      <c r="F125" s="35" t="s">
        <v>82</v>
      </c>
      <c r="G125" s="36"/>
      <c r="H125" s="21"/>
    </row>
    <row r="127">
      <c r="B127" s="6" t="s">
        <v>199</v>
      </c>
    </row>
    <row r="128">
      <c r="B128" s="21" t="s">
        <v>200</v>
      </c>
    </row>
  </sheetData>
  <sheetProtection sheet="1" objects="1" scenarios="1" formatColumns="0" formatRows="0" autoFilter="0"/>
  <mergeCells count="1">
    <mergeCell ref="B128:H128"/>
  </mergeCells>
  <hyperlinks>
    <hyperlink ref="H2" location="'Executive Summary'!A1" display="Back to summary"/>
  </hyperlinks>
  <pageMargins left="0.5" right="0.5" top="0.6" bottom="0.6" header="0.3" footer="0.3"/>
  <pageSetup paperSize="1" orientation="landscape" fitToWidth="1" fitToHeight="0"/>
  <headerFooter>
    <oddFooter>&amp;L&amp;"Arial,Regular"&amp;8CREMODEL  &amp;P / &amp;N</oddFooter>
  </headerFooter>
  <ignoredErrors>
    <ignoredError sqref="A1:H128" numberStoredAsText="1" formula="1" formulaRange="1" unlockedFormula="1" emptyCellReference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F2740"/>
    <pageSetUpPr fitToPage="1"/>
  </sheetPr>
  <dimension ref="B1:AZ35"/>
  <sheetViews>
    <sheetView workbookViewId="0" showGridLines="0" zoomScale="90" zoomScaleNormal="9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5"/>
  <cols>
    <col min="1" max="1" width="2.5" customWidth="1"/>
    <col min="2" max="2" width="4" customWidth="1"/>
    <col min="3" max="3" width="30" customWidth="1"/>
    <col min="4" max="4" width="8" customWidth="1"/>
    <col min="5" max="5" width="10" customWidth="1"/>
    <col min="6" max="6" width="8" customWidth="1"/>
    <col min="7" max="8" width="12" customWidth="1"/>
    <col min="9" max="11" width="11" customWidth="1"/>
    <col min="12" max="17" width="10" customWidth="1"/>
    <col min="18" max="18" width="16" customWidth="1"/>
    <col min="19" max="23" width="12" customWidth="1"/>
    <col min="24" max="24" width="34" customWidth="1"/>
    <col min="25" max="52" width="11" customWidth="1"/>
  </cols>
  <sheetData>
    <row r="1" ht="20" customHeight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ht="26" customHeight="1">
      <c r="B2" s="3" t="s">
        <v>201</v>
      </c>
      <c r="I2" s="30" t="s">
        <v>65</v>
      </c>
    </row>
    <row r="3">
      <c r="B3" s="4" t="s">
        <v>2</v>
      </c>
    </row>
    <row r="4">
      <c r="B4" s="22" t="s">
        <v>202</v>
      </c>
    </row>
    <row r="7" ht="44" customHeight="1">
      <c r="B7" s="46" t="s">
        <v>203</v>
      </c>
      <c r="C7" s="46" t="s">
        <v>204</v>
      </c>
      <c r="D7" s="46" t="s">
        <v>205</v>
      </c>
      <c r="E7" s="46" t="s">
        <v>206</v>
      </c>
      <c r="F7" s="46" t="s">
        <v>207</v>
      </c>
      <c r="G7" s="46" t="s">
        <v>208</v>
      </c>
      <c r="H7" s="46" t="s">
        <v>209</v>
      </c>
      <c r="I7" s="46" t="s">
        <v>210</v>
      </c>
      <c r="J7" s="46" t="s">
        <v>211</v>
      </c>
      <c r="K7" s="46" t="s">
        <v>212</v>
      </c>
      <c r="L7" s="46" t="s">
        <v>213</v>
      </c>
      <c r="M7" s="46" t="s">
        <v>214</v>
      </c>
      <c r="N7" s="46" t="s">
        <v>215</v>
      </c>
      <c r="O7" s="46" t="s">
        <v>216</v>
      </c>
      <c r="P7" s="46" t="s">
        <v>217</v>
      </c>
      <c r="Q7" s="46" t="s">
        <v>218</v>
      </c>
      <c r="R7" s="46" t="s">
        <v>219</v>
      </c>
      <c r="S7" s="46" t="s">
        <v>220</v>
      </c>
      <c r="T7" s="46" t="s">
        <v>221</v>
      </c>
      <c r="U7" s="46" t="s">
        <v>222</v>
      </c>
      <c r="V7" s="46" t="s">
        <v>223</v>
      </c>
      <c r="W7" s="46" t="s">
        <v>224</v>
      </c>
      <c r="X7" s="46" t="s">
        <v>225</v>
      </c>
      <c r="Y7" s="46" t="s">
        <v>226</v>
      </c>
      <c r="Z7" s="46" t="s">
        <v>227</v>
      </c>
      <c r="AA7" s="46" t="s">
        <v>228</v>
      </c>
      <c r="AB7" s="46" t="s">
        <v>229</v>
      </c>
      <c r="AC7" s="46" t="s">
        <v>230</v>
      </c>
      <c r="AD7" s="46" t="s">
        <v>231</v>
      </c>
      <c r="AE7" s="46" t="s">
        <v>232</v>
      </c>
      <c r="AF7" s="46" t="s">
        <v>233</v>
      </c>
      <c r="AG7" s="46" t="s">
        <v>234</v>
      </c>
      <c r="AH7" s="46" t="s">
        <v>235</v>
      </c>
      <c r="AI7" s="46" t="s">
        <v>236</v>
      </c>
      <c r="AJ7" s="46" t="s">
        <v>237</v>
      </c>
      <c r="AK7" s="46" t="s">
        <v>238</v>
      </c>
      <c r="AL7" s="46" t="s">
        <v>239</v>
      </c>
      <c r="AM7" s="46" t="s">
        <v>240</v>
      </c>
      <c r="AN7" s="46" t="s">
        <v>241</v>
      </c>
      <c r="AO7" s="46" t="s">
        <v>242</v>
      </c>
      <c r="AP7" s="46" t="s">
        <v>243</v>
      </c>
      <c r="AQ7" s="46" t="s">
        <v>244</v>
      </c>
      <c r="AR7" s="46" t="s">
        <v>245</v>
      </c>
      <c r="AS7" s="46" t="s">
        <v>246</v>
      </c>
      <c r="AT7" s="46" t="s">
        <v>247</v>
      </c>
      <c r="AU7" s="46" t="s">
        <v>248</v>
      </c>
      <c r="AV7" s="46" t="s">
        <v>249</v>
      </c>
      <c r="AW7" s="46" t="s">
        <v>250</v>
      </c>
      <c r="AX7" s="46" t="s">
        <v>251</v>
      </c>
      <c r="AY7" s="46" t="s">
        <v>252</v>
      </c>
      <c r="AZ7" s="46" t="s">
        <v>253</v>
      </c>
    </row>
    <row r="8">
      <c r="B8" s="47">
        <v>1</v>
      </c>
      <c r="C8" s="48" t="s">
        <v>254</v>
      </c>
      <c r="D8" s="49" t="s">
        <v>255</v>
      </c>
      <c r="E8" s="50">
        <v>32000</v>
      </c>
      <c r="F8" s="26">
        <f>IF(AND(ISNUMBER(E8),a_GLA&gt;0),E8/a_GLA,0)</f>
        <v>0.5360134003350083</v>
      </c>
      <c r="G8" s="51">
        <v>46388</v>
      </c>
      <c r="H8" s="51">
        <v>48944</v>
      </c>
      <c r="I8" s="52">
        <v>14.5</v>
      </c>
      <c r="J8" s="28">
        <f>IF(ISNUMBER(E8),E8,0)*IF(ISNUMBER(I8),I8,0)</f>
        <v>464000</v>
      </c>
      <c r="K8" s="28">
        <f>J8/12</f>
        <v>38666.666666666664</v>
      </c>
      <c r="L8" s="53">
        <v>0</v>
      </c>
      <c r="M8" s="54">
        <v>1</v>
      </c>
      <c r="N8" s="50">
        <v>0</v>
      </c>
      <c r="O8" s="49" t="s">
        <v>256</v>
      </c>
      <c r="P8" s="49" t="s">
        <v>256</v>
      </c>
      <c r="Q8" s="53">
        <v>0</v>
      </c>
      <c r="R8" s="48" t="s">
        <v>257</v>
      </c>
      <c r="S8" s="52"/>
      <c r="T8" s="29">
        <f>IF('Lease Cycles'!C8&gt;0,'Lease Cycles'!O8,0)</f>
        <v>16.13</v>
      </c>
      <c r="U8" s="26">
        <f>IF(IF(ISNUMBER(I8),I8,0)&gt;0,T8/I8-1,0)</f>
        <v>0.11241379310344812</v>
      </c>
      <c r="V8" s="55">
        <v>1</v>
      </c>
      <c r="W8" s="49" t="s">
        <v>130</v>
      </c>
      <c r="X8" s="56" t="s">
        <v>131</v>
      </c>
      <c r="Y8" s="50">
        <v>5</v>
      </c>
      <c r="Z8" s="52">
        <v>15.5</v>
      </c>
      <c r="AA8" s="55">
        <v>1</v>
      </c>
      <c r="AB8" s="24">
        <f>IF('Lease Cycles'!C8&gt;0,IF('Lease Cycles'!AG8=1,'Lease Cycles'!P8*(1-'Lease Cycles'!AF8),'Lease Cycles'!P8*(1-'Lease Cycles'!AE8)),0)</f>
        <v>0</v>
      </c>
      <c r="AC8" s="29">
        <f>IF('Lease Cycles'!C8&gt;0,'Lease Cycles'!S8*'Lease Cycles'!AE8+'Lease Cycles'!R8*(1-'Lease Cycles'!AE8),0)</f>
        <v>4</v>
      </c>
      <c r="AD8" s="26">
        <f>IF('Lease Cycles'!C8&gt;0,'Lease Cycles'!U8*'Lease Cycles'!AE8+'Lease Cycles'!T8*(1-'Lease Cycles'!AE8),0)</f>
        <v>0.02</v>
      </c>
      <c r="AE8" s="24">
        <f>IF('Lease Cycles'!C8&gt;0,'Lease Cycles'!Z8*'Lease Cycles'!AE8+'Lease Cycles'!Y8*(1-'Lease Cycles'!AE8),0)</f>
        <v>0</v>
      </c>
      <c r="AF8" s="24">
        <f>IF(AND('Lease Cycles'!C8&gt;0,'Lease Cycles'!N8=1),'Lease Cycles'!Q8,0)</f>
        <v>7.25</v>
      </c>
      <c r="AG8" s="57" t="str">
        <f>IF(AND('Lease Cycles'!C8&gt;0,'Lease Cycles'!BI8&lt;132),EDATE(in_AnalysisStart,IF('Lease Cycles'!AG8=1,'Lease Cycles'!BH8,'Lease Cycles'!BI8)),"")</f>
        <v/>
      </c>
      <c r="AH8" s="49" t="s">
        <v>258</v>
      </c>
      <c r="AI8" s="48" t="s">
        <v>259</v>
      </c>
      <c r="AJ8" s="52">
        <v>12</v>
      </c>
      <c r="AK8" s="53">
        <v>0.05</v>
      </c>
      <c r="AL8" s="52"/>
      <c r="AM8" s="53"/>
      <c r="AN8" s="26">
        <f>IF('Lease Cycles'!C8&gt;0,'Lease Cycles'!AE8,0)</f>
        <v>1</v>
      </c>
      <c r="AO8" s="58" t="str">
        <f>IF('Lease Cycles'!C8=0,"",IF('Lease Cycles'!E8=0,"Vacant",IF('Lease Cycles'!F8&gt;0,"Lease-up","In place")))</f>
        <v>In place</v>
      </c>
      <c r="AP8">
        <f>IF(AND('Lease Cycles'!C8&gt;0,'Lease Cycles'!E8&gt;0),ROUND('Lease Cycles'!BU8/12,1),0)</f>
        <v>7</v>
      </c>
      <c r="AQ8" s="26">
        <f>IF($J$33&gt;0,J8/$J$33,0)</f>
        <v>0.43926914702262615</v>
      </c>
      <c r="AR8" s="51"/>
      <c r="AS8" s="52"/>
      <c r="AT8" s="51"/>
      <c r="AU8" s="52"/>
      <c r="AV8" s="51"/>
      <c r="AW8" s="52"/>
      <c r="AX8" s="51"/>
      <c r="AY8" s="52"/>
      <c r="AZ8" s="49" t="s">
        <v>260</v>
      </c>
    </row>
    <row r="9">
      <c r="B9" s="47">
        <v>2</v>
      </c>
      <c r="C9" s="48" t="s">
        <v>261</v>
      </c>
      <c r="D9" s="49" t="s">
        <v>262</v>
      </c>
      <c r="E9" s="50">
        <v>9000</v>
      </c>
      <c r="F9" s="26">
        <f>IF(AND(ISNUMBER(E9),a_GLA&gt;0),E9/a_GLA,0)</f>
        <v>0.1507537688442211</v>
      </c>
      <c r="G9" s="51">
        <v>46388</v>
      </c>
      <c r="H9" s="51">
        <v>48029</v>
      </c>
      <c r="I9" s="52">
        <v>18</v>
      </c>
      <c r="J9" s="28">
        <f>IF(ISNUMBER(E9),E9,0)*IF(ISNUMBER(I9),I9,0)</f>
        <v>162000</v>
      </c>
      <c r="K9" s="28">
        <f>J9/12</f>
        <v>13500</v>
      </c>
      <c r="L9" s="53">
        <v>0</v>
      </c>
      <c r="M9" s="54">
        <v>1</v>
      </c>
      <c r="N9" s="50">
        <v>0</v>
      </c>
      <c r="O9" s="49" t="s">
        <v>256</v>
      </c>
      <c r="P9" s="49" t="s">
        <v>256</v>
      </c>
      <c r="Q9" s="53">
        <v>0</v>
      </c>
      <c r="R9" s="48" t="s">
        <v>257</v>
      </c>
      <c r="S9" s="52"/>
      <c r="T9" s="29">
        <f>IF('Lease Cycles'!C9&gt;0,'Lease Cycles'!O9,0)</f>
        <v>16.13</v>
      </c>
      <c r="U9" s="26">
        <f>IF(IF(ISNUMBER(I9),I9,0)&gt;0,T9/I9-1,0)</f>
        <v>-0.10388888888888892</v>
      </c>
      <c r="V9" s="55">
        <v>0.8</v>
      </c>
      <c r="W9" s="49" t="s">
        <v>137</v>
      </c>
      <c r="X9" s="56" t="s">
        <v>138</v>
      </c>
      <c r="Y9" s="50"/>
      <c r="Z9" s="52"/>
      <c r="AA9" s="55"/>
      <c r="AB9" s="24">
        <f>IF('Lease Cycles'!C9&gt;0,IF('Lease Cycles'!AG9=1,'Lease Cycles'!P9*(1-'Lease Cycles'!AF9),'Lease Cycles'!P9*(1-'Lease Cycles'!AE9)),0)</f>
        <v>1.1999999999999997</v>
      </c>
      <c r="AC9" s="29">
        <f>IF('Lease Cycles'!C9&gt;0,'Lease Cycles'!S9*'Lease Cycles'!AE9+'Lease Cycles'!R9*(1-'Lease Cycles'!AE9),0)</f>
        <v>6.3999999999999995</v>
      </c>
      <c r="AD9" s="26">
        <f>IF('Lease Cycles'!C9&gt;0,'Lease Cycles'!U9*'Lease Cycles'!AE9+'Lease Cycles'!T9*(1-'Lease Cycles'!AE9),0)</f>
        <v>0.026</v>
      </c>
      <c r="AE9" s="24">
        <f>IF('Lease Cycles'!C9&gt;0,'Lease Cycles'!Z9*'Lease Cycles'!AE9+'Lease Cycles'!Y9*(1-'Lease Cycles'!AE9),0)</f>
        <v>0.5999999999999999</v>
      </c>
      <c r="AF9" s="24">
        <f>IF(AND('Lease Cycles'!C9&gt;0,'Lease Cycles'!N9=1),'Lease Cycles'!Q9,0)</f>
        <v>7.25</v>
      </c>
      <c r="AG9" s="57">
        <f>IF(AND('Lease Cycles'!C9&gt;0,'Lease Cycles'!BI9&lt;132),EDATE(in_AnalysisStart,IF('Lease Cycles'!AG9=1,'Lease Cycles'!BH9,'Lease Cycles'!BI9)),"")</f>
        <v>48061</v>
      </c>
      <c r="AH9" s="49" t="s">
        <v>260</v>
      </c>
      <c r="AI9" s="48" t="s">
        <v>259</v>
      </c>
      <c r="AJ9" s="52">
        <v>12</v>
      </c>
      <c r="AK9" s="53">
        <v>0.05</v>
      </c>
      <c r="AL9" s="52"/>
      <c r="AM9" s="53"/>
      <c r="AN9" s="26">
        <f>IF('Lease Cycles'!C9&gt;0,'Lease Cycles'!AE9,0)</f>
        <v>0.8</v>
      </c>
      <c r="AO9" s="58" t="str">
        <f>IF('Lease Cycles'!C9=0,"",IF('Lease Cycles'!E9=0,"Vacant",IF('Lease Cycles'!F9&gt;0,"Lease-up","In place")))</f>
        <v>In place</v>
      </c>
      <c r="AP9">
        <f>IF(AND('Lease Cycles'!C9&gt;0,'Lease Cycles'!E9&gt;0),ROUND('Lease Cycles'!BU9/12,1),0)</f>
        <v>4.5</v>
      </c>
      <c r="AQ9" s="26">
        <f>IF($J$33&gt;0,J9/$J$33,0)</f>
        <v>0.1533655211587617</v>
      </c>
      <c r="AR9" s="51"/>
      <c r="AS9" s="52"/>
      <c r="AT9" s="51"/>
      <c r="AU9" s="52"/>
      <c r="AV9" s="51"/>
      <c r="AW9" s="52"/>
      <c r="AX9" s="51"/>
      <c r="AY9" s="52"/>
      <c r="AZ9" s="49" t="s">
        <v>260</v>
      </c>
    </row>
    <row r="10">
      <c r="B10" s="47">
        <v>3</v>
      </c>
      <c r="C10" s="48" t="s">
        <v>263</v>
      </c>
      <c r="D10" s="49" t="s">
        <v>264</v>
      </c>
      <c r="E10" s="50">
        <v>6000</v>
      </c>
      <c r="F10" s="26">
        <f>IF(AND(ISNUMBER(E10),a_GLA&gt;0),E10/a_GLA,0)</f>
        <v>0.10050251256281408</v>
      </c>
      <c r="G10" s="51">
        <v>46388</v>
      </c>
      <c r="H10" s="51">
        <v>48213</v>
      </c>
      <c r="I10" s="52">
        <v>16</v>
      </c>
      <c r="J10" s="28">
        <f>IF(ISNUMBER(E10),E10,0)*IF(ISNUMBER(I10),I10,0)</f>
        <v>96000</v>
      </c>
      <c r="K10" s="28">
        <f>J10/12</f>
        <v>8000</v>
      </c>
      <c r="L10" s="53">
        <v>0</v>
      </c>
      <c r="M10" s="54">
        <v>1</v>
      </c>
      <c r="N10" s="50">
        <v>0</v>
      </c>
      <c r="O10" s="49" t="s">
        <v>256</v>
      </c>
      <c r="P10" s="49" t="s">
        <v>256</v>
      </c>
      <c r="Q10" s="53">
        <v>0</v>
      </c>
      <c r="R10" s="48" t="s">
        <v>257</v>
      </c>
      <c r="S10" s="52"/>
      <c r="T10" s="29">
        <f>IF('Lease Cycles'!C10&gt;0,'Lease Cycles'!O10,0)</f>
        <v>16.13</v>
      </c>
      <c r="U10" s="26">
        <f>IF(IF(ISNUMBER(I10),I10,0)&gt;0,T10/I10-1,0)</f>
        <v>0.008124999999999938</v>
      </c>
      <c r="V10" s="55">
        <v>0.8</v>
      </c>
      <c r="W10" s="49" t="s">
        <v>137</v>
      </c>
      <c r="X10" s="56" t="s">
        <v>138</v>
      </c>
      <c r="Y10" s="50"/>
      <c r="Z10" s="52"/>
      <c r="AA10" s="55"/>
      <c r="AB10" s="24">
        <f>IF('Lease Cycles'!C10&gt;0,IF('Lease Cycles'!AG10=1,'Lease Cycles'!P10*(1-'Lease Cycles'!AF10),'Lease Cycles'!P10*(1-'Lease Cycles'!AE10)),0)</f>
        <v>1.1999999999999997</v>
      </c>
      <c r="AC10" s="29">
        <f>IF('Lease Cycles'!C10&gt;0,'Lease Cycles'!S10*'Lease Cycles'!AE10+'Lease Cycles'!R10*(1-'Lease Cycles'!AE10),0)</f>
        <v>6.3999999999999995</v>
      </c>
      <c r="AD10" s="26">
        <f>IF('Lease Cycles'!C10&gt;0,'Lease Cycles'!U10*'Lease Cycles'!AE10+'Lease Cycles'!T10*(1-'Lease Cycles'!AE10),0)</f>
        <v>0.026</v>
      </c>
      <c r="AE10" s="24">
        <f>IF('Lease Cycles'!C10&gt;0,'Lease Cycles'!Z10*'Lease Cycles'!AE10+'Lease Cycles'!Y10*(1-'Lease Cycles'!AE10),0)</f>
        <v>0.5999999999999999</v>
      </c>
      <c r="AF10" s="24">
        <f>IF(AND('Lease Cycles'!C10&gt;0,'Lease Cycles'!N10=1),'Lease Cycles'!Q10,0)</f>
        <v>7.25</v>
      </c>
      <c r="AG10" s="57">
        <f>IF(AND('Lease Cycles'!C10&gt;0,'Lease Cycles'!BI10&lt;132),EDATE(in_AnalysisStart,IF('Lease Cycles'!AG10=1,'Lease Cycles'!BH10,'Lease Cycles'!BI10)),"")</f>
        <v>48245</v>
      </c>
      <c r="AH10" s="49" t="s">
        <v>260</v>
      </c>
      <c r="AI10" s="48" t="s">
        <v>265</v>
      </c>
      <c r="AJ10" s="52">
        <v>12</v>
      </c>
      <c r="AK10" s="53">
        <v>0.05</v>
      </c>
      <c r="AL10" s="52"/>
      <c r="AM10" s="53"/>
      <c r="AN10" s="26">
        <f>IF('Lease Cycles'!C10&gt;0,'Lease Cycles'!AE10,0)</f>
        <v>0.8</v>
      </c>
      <c r="AO10" s="58" t="str">
        <f>IF('Lease Cycles'!C10=0,"",IF('Lease Cycles'!E10=0,"Vacant",IF('Lease Cycles'!F10&gt;0,"Lease-up","In place")))</f>
        <v>In place</v>
      </c>
      <c r="AP10">
        <f>IF(AND('Lease Cycles'!C10&gt;0,'Lease Cycles'!E10&gt;0),ROUND('Lease Cycles'!BU10/12,1),0)</f>
        <v>5</v>
      </c>
      <c r="AQ10" s="26">
        <f>IF($J$33&gt;0,J10/$J$33,0)</f>
        <v>0.09088327179778471</v>
      </c>
      <c r="AR10" s="51"/>
      <c r="AS10" s="52"/>
      <c r="AT10" s="51"/>
      <c r="AU10" s="52"/>
      <c r="AV10" s="51"/>
      <c r="AW10" s="52"/>
      <c r="AX10" s="51"/>
      <c r="AY10" s="52"/>
      <c r="AZ10" s="49" t="s">
        <v>260</v>
      </c>
    </row>
    <row r="11">
      <c r="B11" s="47">
        <v>4</v>
      </c>
      <c r="C11" s="48" t="s">
        <v>266</v>
      </c>
      <c r="D11" s="49" t="s">
        <v>267</v>
      </c>
      <c r="E11" s="50">
        <v>2500</v>
      </c>
      <c r="F11" s="26">
        <f>IF(AND(ISNUMBER(E11),a_GLA&gt;0),E11/a_GLA,0)</f>
        <v>0.04187604690117253</v>
      </c>
      <c r="G11" s="51">
        <v>46388</v>
      </c>
      <c r="H11" s="51">
        <v>48273</v>
      </c>
      <c r="I11" s="52">
        <v>27</v>
      </c>
      <c r="J11" s="28">
        <f>IF(ISNUMBER(E11),E11,0)*IF(ISNUMBER(I11),I11,0)</f>
        <v>67500</v>
      </c>
      <c r="K11" s="28">
        <f>J11/12</f>
        <v>5625</v>
      </c>
      <c r="L11" s="53">
        <v>0</v>
      </c>
      <c r="M11" s="54">
        <v>1</v>
      </c>
      <c r="N11" s="50">
        <v>0</v>
      </c>
      <c r="O11" s="49" t="s">
        <v>256</v>
      </c>
      <c r="P11" s="49" t="s">
        <v>256</v>
      </c>
      <c r="Q11" s="53">
        <v>0</v>
      </c>
      <c r="R11" s="48" t="s">
        <v>268</v>
      </c>
      <c r="S11" s="52"/>
      <c r="T11" s="29">
        <f>IF('Lease Cycles'!C11&gt;0,'Lease Cycles'!O11,0)</f>
        <v>18.5</v>
      </c>
      <c r="U11" s="26">
        <f>IF(IF(ISNUMBER(I11),I11,0)&gt;0,T11/I11-1,0)</f>
        <v>-0.31481481481481477</v>
      </c>
      <c r="V11" s="55">
        <v>0.8</v>
      </c>
      <c r="W11" s="49" t="s">
        <v>137</v>
      </c>
      <c r="X11" s="56" t="s">
        <v>138</v>
      </c>
      <c r="Y11" s="50"/>
      <c r="Z11" s="52"/>
      <c r="AA11" s="55"/>
      <c r="AB11" s="24">
        <f>IF('Lease Cycles'!C11&gt;0,IF('Lease Cycles'!AG11=1,'Lease Cycles'!P11*(1-'Lease Cycles'!AF11),'Lease Cycles'!P11*(1-'Lease Cycles'!AE11)),0)</f>
        <v>1.1999999999999997</v>
      </c>
      <c r="AC11" s="29">
        <f>IF('Lease Cycles'!C11&gt;0,'Lease Cycles'!S11*'Lease Cycles'!AE11+'Lease Cycles'!R11*(1-'Lease Cycles'!AE11),0)</f>
        <v>6.999999999999999</v>
      </c>
      <c r="AD11" s="26">
        <f>IF('Lease Cycles'!C11&gt;0,'Lease Cycles'!U11*'Lease Cycles'!AE11+'Lease Cycles'!T11*(1-'Lease Cycles'!AE11),0)</f>
        <v>0.026</v>
      </c>
      <c r="AE11" s="24">
        <f>IF('Lease Cycles'!C11&gt;0,'Lease Cycles'!Z11*'Lease Cycles'!AE11+'Lease Cycles'!Y11*(1-'Lease Cycles'!AE11),0)</f>
        <v>0.5999999999999999</v>
      </c>
      <c r="AF11" s="24">
        <f>IF(AND('Lease Cycles'!C11&gt;0,'Lease Cycles'!N11=1),'Lease Cycles'!Q11,0)</f>
        <v>7.25</v>
      </c>
      <c r="AG11" s="57">
        <f>IF(AND('Lease Cycles'!C11&gt;0,'Lease Cycles'!BI11&lt;132),EDATE(in_AnalysisStart,IF('Lease Cycles'!AG11=1,'Lease Cycles'!BH11,'Lease Cycles'!BI11)),"")</f>
        <v>48305</v>
      </c>
      <c r="AH11" s="49" t="s">
        <v>260</v>
      </c>
      <c r="AI11" s="48" t="s">
        <v>265</v>
      </c>
      <c r="AJ11" s="52">
        <v>12</v>
      </c>
      <c r="AK11" s="53">
        <v>0.05</v>
      </c>
      <c r="AL11" s="52"/>
      <c r="AM11" s="53"/>
      <c r="AN11" s="26">
        <f>IF('Lease Cycles'!C11&gt;0,'Lease Cycles'!AE11,0)</f>
        <v>0.8</v>
      </c>
      <c r="AO11" s="58" t="str">
        <f>IF('Lease Cycles'!C11=0,"",IF('Lease Cycles'!E11=0,"Vacant",IF('Lease Cycles'!F11&gt;0,"Lease-up","In place")))</f>
        <v>In place</v>
      </c>
      <c r="AP11">
        <f>IF(AND('Lease Cycles'!C11&gt;0,'Lease Cycles'!E11&gt;0),ROUND('Lease Cycles'!BU11/12,1),0)</f>
        <v>5.2</v>
      </c>
      <c r="AQ11" s="26">
        <f>IF($J$33&gt;0,J11/$J$33,0)</f>
        <v>0.06390230048281738</v>
      </c>
      <c r="AR11" s="51"/>
      <c r="AS11" s="52"/>
      <c r="AT11" s="51"/>
      <c r="AU11" s="52"/>
      <c r="AV11" s="51"/>
      <c r="AW11" s="52"/>
      <c r="AX11" s="51"/>
      <c r="AY11" s="52"/>
      <c r="AZ11" s="49" t="s">
        <v>260</v>
      </c>
    </row>
    <row r="12">
      <c r="B12" s="47">
        <v>5</v>
      </c>
      <c r="C12" s="48" t="s">
        <v>269</v>
      </c>
      <c r="D12" s="49" t="s">
        <v>270</v>
      </c>
      <c r="E12" s="50">
        <v>2000</v>
      </c>
      <c r="F12" s="26">
        <f>IF(AND(ISNUMBER(E12),a_GLA&gt;0),E12/a_GLA,0)</f>
        <v>0.03350083752093802</v>
      </c>
      <c r="G12" s="51">
        <v>46388</v>
      </c>
      <c r="H12" s="51">
        <v>47057</v>
      </c>
      <c r="I12" s="52">
        <v>30</v>
      </c>
      <c r="J12" s="28">
        <f>IF(ISNUMBER(E12),E12,0)*IF(ISNUMBER(I12),I12,0)</f>
        <v>60000</v>
      </c>
      <c r="K12" s="28">
        <f>J12/12</f>
        <v>5000</v>
      </c>
      <c r="L12" s="53">
        <v>0</v>
      </c>
      <c r="M12" s="54">
        <v>1</v>
      </c>
      <c r="N12" s="50">
        <v>0</v>
      </c>
      <c r="O12" s="49" t="s">
        <v>256</v>
      </c>
      <c r="P12" s="49" t="s">
        <v>256</v>
      </c>
      <c r="Q12" s="53">
        <v>0</v>
      </c>
      <c r="R12" s="48" t="s">
        <v>268</v>
      </c>
      <c r="S12" s="52"/>
      <c r="T12" s="29">
        <f>IF('Lease Cycles'!C12&gt;0,'Lease Cycles'!O12,0)</f>
        <v>18.5</v>
      </c>
      <c r="U12" s="26">
        <f>IF(IF(ISNUMBER(I12),I12,0)&gt;0,T12/I12-1,0)</f>
        <v>-0.3833333333333333</v>
      </c>
      <c r="V12" s="55">
        <v>0.8</v>
      </c>
      <c r="W12" s="49" t="s">
        <v>137</v>
      </c>
      <c r="X12" s="56" t="s">
        <v>138</v>
      </c>
      <c r="Y12" s="50"/>
      <c r="Z12" s="52"/>
      <c r="AA12" s="55"/>
      <c r="AB12" s="24">
        <f>IF('Lease Cycles'!C12&gt;0,IF('Lease Cycles'!AG12=1,'Lease Cycles'!P12*(1-'Lease Cycles'!AF12),'Lease Cycles'!P12*(1-'Lease Cycles'!AE12)),0)</f>
        <v>1.1999999999999997</v>
      </c>
      <c r="AC12" s="29">
        <f>IF('Lease Cycles'!C12&gt;0,'Lease Cycles'!S12*'Lease Cycles'!AE12+'Lease Cycles'!R12*(1-'Lease Cycles'!AE12),0)</f>
        <v>6.999999999999999</v>
      </c>
      <c r="AD12" s="26">
        <f>IF('Lease Cycles'!C12&gt;0,'Lease Cycles'!U12*'Lease Cycles'!AE12+'Lease Cycles'!T12*(1-'Lease Cycles'!AE12),0)</f>
        <v>0.026</v>
      </c>
      <c r="AE12" s="24">
        <f>IF('Lease Cycles'!C12&gt;0,'Lease Cycles'!Z12*'Lease Cycles'!AE12+'Lease Cycles'!Y12*(1-'Lease Cycles'!AE12),0)</f>
        <v>0.5999999999999999</v>
      </c>
      <c r="AF12" s="24">
        <f>IF(AND('Lease Cycles'!C12&gt;0,'Lease Cycles'!N12=1),'Lease Cycles'!Q12,0)</f>
        <v>7.25</v>
      </c>
      <c r="AG12" s="57">
        <f>IF(AND('Lease Cycles'!C12&gt;0,'Lease Cycles'!BI12&lt;132),EDATE(in_AnalysisStart,IF('Lease Cycles'!AG12=1,'Lease Cycles'!BH12,'Lease Cycles'!BI12)),"")</f>
        <v>47088</v>
      </c>
      <c r="AH12" s="49" t="s">
        <v>260</v>
      </c>
      <c r="AI12" s="48" t="s">
        <v>265</v>
      </c>
      <c r="AJ12" s="52">
        <v>12</v>
      </c>
      <c r="AK12" s="53">
        <v>0.05</v>
      </c>
      <c r="AL12" s="52"/>
      <c r="AM12" s="53"/>
      <c r="AN12" s="26">
        <f>IF('Lease Cycles'!C12&gt;0,'Lease Cycles'!AE12,0)</f>
        <v>0.8</v>
      </c>
      <c r="AO12" s="58" t="str">
        <f>IF('Lease Cycles'!C12=0,"",IF('Lease Cycles'!E12=0,"Vacant",IF('Lease Cycles'!F12&gt;0,"Lease-up","In place")))</f>
        <v>In place</v>
      </c>
      <c r="AP12">
        <f>IF(AND('Lease Cycles'!C12&gt;0,'Lease Cycles'!E12&gt;0),ROUND('Lease Cycles'!BU12/12,1),0)</f>
        <v>1.8</v>
      </c>
      <c r="AQ12" s="26">
        <f>IF($J$33&gt;0,J12/$J$33,0)</f>
        <v>0.05680204487361545</v>
      </c>
      <c r="AR12" s="51"/>
      <c r="AS12" s="52"/>
      <c r="AT12" s="51"/>
      <c r="AU12" s="52"/>
      <c r="AV12" s="51"/>
      <c r="AW12" s="52"/>
      <c r="AX12" s="51"/>
      <c r="AY12" s="52"/>
      <c r="AZ12" s="49" t="s">
        <v>260</v>
      </c>
    </row>
    <row r="13">
      <c r="B13" s="47">
        <v>6</v>
      </c>
      <c r="C13" s="48" t="s">
        <v>271</v>
      </c>
      <c r="D13" s="49" t="s">
        <v>272</v>
      </c>
      <c r="E13" s="50">
        <v>1800</v>
      </c>
      <c r="F13" s="26">
        <f>IF(AND(ISNUMBER(E13),a_GLA&gt;0),E13/a_GLA,0)</f>
        <v>0.03015075376884422</v>
      </c>
      <c r="G13" s="51">
        <v>46388</v>
      </c>
      <c r="H13" s="51">
        <v>47726</v>
      </c>
      <c r="I13" s="52">
        <v>26</v>
      </c>
      <c r="J13" s="28">
        <f>IF(ISNUMBER(E13),E13,0)*IF(ISNUMBER(I13),I13,0)</f>
        <v>46800</v>
      </c>
      <c r="K13" s="28">
        <f>J13/12</f>
        <v>3900</v>
      </c>
      <c r="L13" s="53">
        <v>0</v>
      </c>
      <c r="M13" s="54">
        <v>1</v>
      </c>
      <c r="N13" s="50">
        <v>0</v>
      </c>
      <c r="O13" s="49" t="s">
        <v>256</v>
      </c>
      <c r="P13" s="49" t="s">
        <v>256</v>
      </c>
      <c r="Q13" s="53">
        <v>0</v>
      </c>
      <c r="R13" s="48" t="s">
        <v>268</v>
      </c>
      <c r="S13" s="52"/>
      <c r="T13" s="29">
        <f>IF('Lease Cycles'!C13&gt;0,'Lease Cycles'!O13,0)</f>
        <v>18.5</v>
      </c>
      <c r="U13" s="26">
        <f>IF(IF(ISNUMBER(I13),I13,0)&gt;0,T13/I13-1,0)</f>
        <v>-0.28846153846153844</v>
      </c>
      <c r="V13" s="55">
        <v>0.8</v>
      </c>
      <c r="W13" s="49" t="s">
        <v>137</v>
      </c>
      <c r="X13" s="56" t="s">
        <v>138</v>
      </c>
      <c r="Y13" s="50"/>
      <c r="Z13" s="52"/>
      <c r="AA13" s="55"/>
      <c r="AB13" s="24">
        <f>IF('Lease Cycles'!C13&gt;0,IF('Lease Cycles'!AG13=1,'Lease Cycles'!P13*(1-'Lease Cycles'!AF13),'Lease Cycles'!P13*(1-'Lease Cycles'!AE13)),0)</f>
        <v>1.1999999999999997</v>
      </c>
      <c r="AC13" s="29">
        <f>IF('Lease Cycles'!C13&gt;0,'Lease Cycles'!S13*'Lease Cycles'!AE13+'Lease Cycles'!R13*(1-'Lease Cycles'!AE13),0)</f>
        <v>6.999999999999999</v>
      </c>
      <c r="AD13" s="26">
        <f>IF('Lease Cycles'!C13&gt;0,'Lease Cycles'!U13*'Lease Cycles'!AE13+'Lease Cycles'!T13*(1-'Lease Cycles'!AE13),0)</f>
        <v>0.026</v>
      </c>
      <c r="AE13" s="24">
        <f>IF('Lease Cycles'!C13&gt;0,'Lease Cycles'!Z13*'Lease Cycles'!AE13+'Lease Cycles'!Y13*(1-'Lease Cycles'!AE13),0)</f>
        <v>0.5999999999999999</v>
      </c>
      <c r="AF13" s="24">
        <f>IF(AND('Lease Cycles'!C13&gt;0,'Lease Cycles'!N13=1),'Lease Cycles'!Q13,0)</f>
        <v>7.25</v>
      </c>
      <c r="AG13" s="57">
        <f>IF(AND('Lease Cycles'!C13&gt;0,'Lease Cycles'!BI13&lt;132),EDATE(in_AnalysisStart,IF('Lease Cycles'!AG13=1,'Lease Cycles'!BH13,'Lease Cycles'!BI13)),"")</f>
        <v>47757</v>
      </c>
      <c r="AH13" s="49" t="s">
        <v>260</v>
      </c>
      <c r="AI13" s="48" t="s">
        <v>265</v>
      </c>
      <c r="AJ13" s="52">
        <v>12</v>
      </c>
      <c r="AK13" s="53">
        <v>0.05</v>
      </c>
      <c r="AL13" s="52"/>
      <c r="AM13" s="53"/>
      <c r="AN13" s="26">
        <f>IF('Lease Cycles'!C13&gt;0,'Lease Cycles'!AE13,0)</f>
        <v>0.8</v>
      </c>
      <c r="AO13" s="58" t="str">
        <f>IF('Lease Cycles'!C13=0,"",IF('Lease Cycles'!E13=0,"Vacant",IF('Lease Cycles'!F13&gt;0,"Lease-up","In place")))</f>
        <v>In place</v>
      </c>
      <c r="AP13">
        <f>IF(AND('Lease Cycles'!C13&gt;0,'Lease Cycles'!E13&gt;0),ROUND('Lease Cycles'!BU13/12,1),0)</f>
        <v>3.7</v>
      </c>
      <c r="AQ13" s="26">
        <f>IF($J$33&gt;0,J13/$J$33,0)</f>
        <v>0.04430559500142005</v>
      </c>
      <c r="AR13" s="51"/>
      <c r="AS13" s="52"/>
      <c r="AT13" s="51"/>
      <c r="AU13" s="52"/>
      <c r="AV13" s="51"/>
      <c r="AW13" s="52"/>
      <c r="AX13" s="51"/>
      <c r="AY13" s="52"/>
      <c r="AZ13" s="49" t="s">
        <v>260</v>
      </c>
    </row>
    <row r="14">
      <c r="B14" s="47">
        <v>7</v>
      </c>
      <c r="C14" s="48" t="s">
        <v>273</v>
      </c>
      <c r="D14" s="49" t="s">
        <v>274</v>
      </c>
      <c r="E14" s="50">
        <v>1400</v>
      </c>
      <c r="F14" s="26">
        <f>IF(AND(ISNUMBER(E14),a_GLA&gt;0),E14/a_GLA,0)</f>
        <v>0.023450586264656615</v>
      </c>
      <c r="G14" s="51">
        <v>46388</v>
      </c>
      <c r="H14" s="51">
        <v>47208</v>
      </c>
      <c r="I14" s="52">
        <v>28</v>
      </c>
      <c r="J14" s="28">
        <f>IF(ISNUMBER(E14),E14,0)*IF(ISNUMBER(I14),I14,0)</f>
        <v>39200</v>
      </c>
      <c r="K14" s="28">
        <f>J14/12</f>
        <v>3266.6666666666665</v>
      </c>
      <c r="L14" s="53">
        <v>0</v>
      </c>
      <c r="M14" s="54">
        <v>1</v>
      </c>
      <c r="N14" s="50">
        <v>0</v>
      </c>
      <c r="O14" s="49" t="s">
        <v>256</v>
      </c>
      <c r="P14" s="49" t="s">
        <v>256</v>
      </c>
      <c r="Q14" s="53">
        <v>0</v>
      </c>
      <c r="R14" s="48" t="s">
        <v>268</v>
      </c>
      <c r="S14" s="52"/>
      <c r="T14" s="29">
        <f>IF('Lease Cycles'!C14&gt;0,'Lease Cycles'!O14,0)</f>
        <v>18.5</v>
      </c>
      <c r="U14" s="26">
        <f>IF(IF(ISNUMBER(I14),I14,0)&gt;0,T14/I14-1,0)</f>
        <v>-0.3392857142857143</v>
      </c>
      <c r="V14" s="55">
        <v>0.8</v>
      </c>
      <c r="W14" s="49" t="s">
        <v>137</v>
      </c>
      <c r="X14" s="56" t="s">
        <v>138</v>
      </c>
      <c r="Y14" s="50"/>
      <c r="Z14" s="52"/>
      <c r="AA14" s="55"/>
      <c r="AB14" s="24">
        <f>IF('Lease Cycles'!C14&gt;0,IF('Lease Cycles'!AG14=1,'Lease Cycles'!P14*(1-'Lease Cycles'!AF14),'Lease Cycles'!P14*(1-'Lease Cycles'!AE14)),0)</f>
        <v>1.1999999999999997</v>
      </c>
      <c r="AC14" s="29">
        <f>IF('Lease Cycles'!C14&gt;0,'Lease Cycles'!S14*'Lease Cycles'!AE14+'Lease Cycles'!R14*(1-'Lease Cycles'!AE14),0)</f>
        <v>6.999999999999999</v>
      </c>
      <c r="AD14" s="26">
        <f>IF('Lease Cycles'!C14&gt;0,'Lease Cycles'!U14*'Lease Cycles'!AE14+'Lease Cycles'!T14*(1-'Lease Cycles'!AE14),0)</f>
        <v>0.026</v>
      </c>
      <c r="AE14" s="24">
        <f>IF('Lease Cycles'!C14&gt;0,'Lease Cycles'!Z14*'Lease Cycles'!AE14+'Lease Cycles'!Y14*(1-'Lease Cycles'!AE14),0)</f>
        <v>0.5999999999999999</v>
      </c>
      <c r="AF14" s="24">
        <f>IF(AND('Lease Cycles'!C14&gt;0,'Lease Cycles'!N14=1),'Lease Cycles'!Q14,0)</f>
        <v>7.25</v>
      </c>
      <c r="AG14" s="57">
        <f>IF(AND('Lease Cycles'!C14&gt;0,'Lease Cycles'!BI14&lt;132),EDATE(in_AnalysisStart,IF('Lease Cycles'!AG14=1,'Lease Cycles'!BH14,'Lease Cycles'!BI14)),"")</f>
        <v>47239</v>
      </c>
      <c r="AH14" s="49" t="s">
        <v>260</v>
      </c>
      <c r="AI14" s="48" t="s">
        <v>265</v>
      </c>
      <c r="AJ14" s="52">
        <v>12</v>
      </c>
      <c r="AK14" s="53">
        <v>0.05</v>
      </c>
      <c r="AL14" s="52"/>
      <c r="AM14" s="53"/>
      <c r="AN14" s="26">
        <f>IF('Lease Cycles'!C14&gt;0,'Lease Cycles'!AE14,0)</f>
        <v>0.8</v>
      </c>
      <c r="AO14" s="58" t="str">
        <f>IF('Lease Cycles'!C14=0,"",IF('Lease Cycles'!E14=0,"Vacant",IF('Lease Cycles'!F14&gt;0,"Lease-up","In place")))</f>
        <v>In place</v>
      </c>
      <c r="AP14">
        <f>IF(AND('Lease Cycles'!C14&gt;0,'Lease Cycles'!E14&gt;0),ROUND('Lease Cycles'!BU14/12,1),0)</f>
        <v>2.3</v>
      </c>
      <c r="AQ14" s="26">
        <f>IF($J$33&gt;0,J14/$J$33,0)</f>
        <v>0.03711066931742876</v>
      </c>
      <c r="AR14" s="51"/>
      <c r="AS14" s="52"/>
      <c r="AT14" s="51"/>
      <c r="AU14" s="52"/>
      <c r="AV14" s="51"/>
      <c r="AW14" s="52"/>
      <c r="AX14" s="51"/>
      <c r="AY14" s="52"/>
      <c r="AZ14" s="49" t="s">
        <v>260</v>
      </c>
    </row>
    <row r="15">
      <c r="B15" s="47">
        <v>8</v>
      </c>
      <c r="C15" s="48" t="s">
        <v>275</v>
      </c>
      <c r="D15" s="49" t="s">
        <v>276</v>
      </c>
      <c r="E15" s="50">
        <v>1200</v>
      </c>
      <c r="F15" s="26">
        <f>IF(AND(ISNUMBER(E15),a_GLA&gt;0),E15/a_GLA,0)</f>
        <v>0.020100502512562814</v>
      </c>
      <c r="G15" s="51">
        <v>46388</v>
      </c>
      <c r="H15" s="51">
        <v>47634</v>
      </c>
      <c r="I15" s="52">
        <v>32</v>
      </c>
      <c r="J15" s="28">
        <f>IF(ISNUMBER(E15),E15,0)*IF(ISNUMBER(I15),I15,0)</f>
        <v>38400</v>
      </c>
      <c r="K15" s="28">
        <f>J15/12</f>
        <v>3200</v>
      </c>
      <c r="L15" s="53">
        <v>0</v>
      </c>
      <c r="M15" s="54">
        <v>1</v>
      </c>
      <c r="N15" s="50">
        <v>0</v>
      </c>
      <c r="O15" s="49" t="s">
        <v>256</v>
      </c>
      <c r="P15" s="49" t="s">
        <v>256</v>
      </c>
      <c r="Q15" s="53">
        <v>0</v>
      </c>
      <c r="R15" s="48" t="s">
        <v>268</v>
      </c>
      <c r="S15" s="52"/>
      <c r="T15" s="29">
        <f>IF('Lease Cycles'!C15&gt;0,'Lease Cycles'!O15,0)</f>
        <v>18.5</v>
      </c>
      <c r="U15" s="26">
        <f>IF(IF(ISNUMBER(I15),I15,0)&gt;0,T15/I15-1,0)</f>
        <v>-0.421875</v>
      </c>
      <c r="V15" s="55">
        <v>0.8</v>
      </c>
      <c r="W15" s="49" t="s">
        <v>137</v>
      </c>
      <c r="X15" s="56" t="s">
        <v>138</v>
      </c>
      <c r="Y15" s="50"/>
      <c r="Z15" s="52"/>
      <c r="AA15" s="55"/>
      <c r="AB15" s="24">
        <f>IF('Lease Cycles'!C15&gt;0,IF('Lease Cycles'!AG15=1,'Lease Cycles'!P15*(1-'Lease Cycles'!AF15),'Lease Cycles'!P15*(1-'Lease Cycles'!AE15)),0)</f>
        <v>1.1999999999999997</v>
      </c>
      <c r="AC15" s="29">
        <f>IF('Lease Cycles'!C15&gt;0,'Lease Cycles'!S15*'Lease Cycles'!AE15+'Lease Cycles'!R15*(1-'Lease Cycles'!AE15),0)</f>
        <v>6.999999999999999</v>
      </c>
      <c r="AD15" s="26">
        <f>IF('Lease Cycles'!C15&gt;0,'Lease Cycles'!U15*'Lease Cycles'!AE15+'Lease Cycles'!T15*(1-'Lease Cycles'!AE15),0)</f>
        <v>0.026</v>
      </c>
      <c r="AE15" s="24">
        <f>IF('Lease Cycles'!C15&gt;0,'Lease Cycles'!Z15*'Lease Cycles'!AE15+'Lease Cycles'!Y15*(1-'Lease Cycles'!AE15),0)</f>
        <v>0.5999999999999999</v>
      </c>
      <c r="AF15" s="24">
        <f>IF(AND('Lease Cycles'!C15&gt;0,'Lease Cycles'!N15=1),'Lease Cycles'!Q15,0)</f>
        <v>7.25</v>
      </c>
      <c r="AG15" s="57">
        <f>IF(AND('Lease Cycles'!C15&gt;0,'Lease Cycles'!BI15&lt;132),EDATE(in_AnalysisStart,IF('Lease Cycles'!AG15=1,'Lease Cycles'!BH15,'Lease Cycles'!BI15)),"")</f>
        <v>47665</v>
      </c>
      <c r="AH15" s="49" t="s">
        <v>260</v>
      </c>
      <c r="AI15" s="48" t="s">
        <v>265</v>
      </c>
      <c r="AJ15" s="52">
        <v>12</v>
      </c>
      <c r="AK15" s="53">
        <v>0.05</v>
      </c>
      <c r="AL15" s="52"/>
      <c r="AM15" s="53"/>
      <c r="AN15" s="26">
        <f>IF('Lease Cycles'!C15&gt;0,'Lease Cycles'!AE15,0)</f>
        <v>0.8</v>
      </c>
      <c r="AO15" s="58" t="str">
        <f>IF('Lease Cycles'!C15=0,"",IF('Lease Cycles'!E15=0,"Vacant",IF('Lease Cycles'!F15&gt;0,"Lease-up","In place")))</f>
        <v>In place</v>
      </c>
      <c r="AP15">
        <f>IF(AND('Lease Cycles'!C15&gt;0,'Lease Cycles'!E15&gt;0),ROUND('Lease Cycles'!BU15/12,1),0)</f>
        <v>3.4</v>
      </c>
      <c r="AQ15" s="26">
        <f>IF($J$33&gt;0,J15/$J$33,0)</f>
        <v>0.03635330871911389</v>
      </c>
      <c r="AR15" s="51"/>
      <c r="AS15" s="52"/>
      <c r="AT15" s="51"/>
      <c r="AU15" s="52"/>
      <c r="AV15" s="51"/>
      <c r="AW15" s="52"/>
      <c r="AX15" s="51"/>
      <c r="AY15" s="52"/>
      <c r="AZ15" s="49" t="s">
        <v>260</v>
      </c>
    </row>
    <row r="16">
      <c r="B16" s="47">
        <v>9</v>
      </c>
      <c r="C16" s="48" t="s">
        <v>277</v>
      </c>
      <c r="D16" s="49" t="s">
        <v>278</v>
      </c>
      <c r="E16" s="50">
        <v>2200</v>
      </c>
      <c r="F16" s="26">
        <f>IF(AND(ISNUMBER(E16),a_GLA&gt;0),E16/a_GLA,0)</f>
        <v>0.03685092127303183</v>
      </c>
      <c r="G16" s="51">
        <v>46388</v>
      </c>
      <c r="H16" s="51">
        <v>48121</v>
      </c>
      <c r="I16" s="52">
        <v>24</v>
      </c>
      <c r="J16" s="28">
        <f>IF(ISNUMBER(E16),E16,0)*IF(ISNUMBER(I16),I16,0)</f>
        <v>52800</v>
      </c>
      <c r="K16" s="28">
        <f>J16/12</f>
        <v>4400</v>
      </c>
      <c r="L16" s="53">
        <v>0</v>
      </c>
      <c r="M16" s="54">
        <v>1</v>
      </c>
      <c r="N16" s="50">
        <v>0</v>
      </c>
      <c r="O16" s="49" t="s">
        <v>279</v>
      </c>
      <c r="P16" s="49" t="s">
        <v>280</v>
      </c>
      <c r="Q16" s="53">
        <v>0</v>
      </c>
      <c r="R16" s="48" t="s">
        <v>268</v>
      </c>
      <c r="S16" s="52"/>
      <c r="T16" s="29">
        <f>IF('Lease Cycles'!C16&gt;0,'Lease Cycles'!O16,0)</f>
        <v>18.5</v>
      </c>
      <c r="U16" s="26">
        <f>IF(IF(ISNUMBER(I16),I16,0)&gt;0,T16/I16-1,0)</f>
        <v>-0.22916666666666663</v>
      </c>
      <c r="V16" s="55">
        <v>0.8</v>
      </c>
      <c r="W16" s="49" t="s">
        <v>137</v>
      </c>
      <c r="X16" s="56" t="s">
        <v>138</v>
      </c>
      <c r="Y16" s="50"/>
      <c r="Z16" s="52"/>
      <c r="AA16" s="55"/>
      <c r="AB16" s="24">
        <f>IF('Lease Cycles'!C16&gt;0,IF('Lease Cycles'!AG16=1,'Lease Cycles'!P16*(1-'Lease Cycles'!AF16),'Lease Cycles'!P16*(1-'Lease Cycles'!AE16)),0)</f>
        <v>1.1999999999999997</v>
      </c>
      <c r="AC16" s="29">
        <f>IF('Lease Cycles'!C16&gt;0,'Lease Cycles'!S16*'Lease Cycles'!AE16+'Lease Cycles'!R16*(1-'Lease Cycles'!AE16),0)</f>
        <v>6.999999999999999</v>
      </c>
      <c r="AD16" s="26">
        <f>IF('Lease Cycles'!C16&gt;0,'Lease Cycles'!U16*'Lease Cycles'!AE16+'Lease Cycles'!T16*(1-'Lease Cycles'!AE16),0)</f>
        <v>0.026</v>
      </c>
      <c r="AE16" s="24">
        <f>IF('Lease Cycles'!C16&gt;0,'Lease Cycles'!Z16*'Lease Cycles'!AE16+'Lease Cycles'!Y16*(1-'Lease Cycles'!AE16),0)</f>
        <v>0.5999999999999999</v>
      </c>
      <c r="AF16" s="24">
        <f>IF(AND('Lease Cycles'!C16&gt;0,'Lease Cycles'!N16=1),'Lease Cycles'!Q16,0)</f>
        <v>7.25</v>
      </c>
      <c r="AG16" s="57">
        <f>IF(AND('Lease Cycles'!C16&gt;0,'Lease Cycles'!BI16&lt;132),EDATE(in_AnalysisStart,IF('Lease Cycles'!AG16=1,'Lease Cycles'!BH16,'Lease Cycles'!BI16)),"")</f>
        <v>48153</v>
      </c>
      <c r="AH16" s="49" t="s">
        <v>260</v>
      </c>
      <c r="AI16" s="48" t="s">
        <v>265</v>
      </c>
      <c r="AJ16" s="52">
        <v>12</v>
      </c>
      <c r="AK16" s="53">
        <v>0.05</v>
      </c>
      <c r="AL16" s="52"/>
      <c r="AM16" s="53"/>
      <c r="AN16" s="26">
        <f>IF('Lease Cycles'!C16&gt;0,'Lease Cycles'!AE16,0)</f>
        <v>0.8</v>
      </c>
      <c r="AO16" s="58" t="str">
        <f>IF('Lease Cycles'!C16=0,"",IF('Lease Cycles'!E16=0,"Vacant",IF('Lease Cycles'!F16&gt;0,"Lease-up","In place")))</f>
        <v>In place</v>
      </c>
      <c r="AP16">
        <f>IF(AND('Lease Cycles'!C16&gt;0,'Lease Cycles'!E16&gt;0),ROUND('Lease Cycles'!BU16/12,1),0)</f>
        <v>4.8</v>
      </c>
      <c r="AQ16" s="26">
        <f>IF($J$33&gt;0,J16/$J$33,0)</f>
        <v>0.049985799488781596</v>
      </c>
      <c r="AR16" s="51"/>
      <c r="AS16" s="52"/>
      <c r="AT16" s="51"/>
      <c r="AU16" s="52"/>
      <c r="AV16" s="51"/>
      <c r="AW16" s="52"/>
      <c r="AX16" s="51"/>
      <c r="AY16" s="52"/>
      <c r="AZ16" s="49" t="s">
        <v>260</v>
      </c>
    </row>
    <row r="17">
      <c r="B17" s="47">
        <v>10</v>
      </c>
      <c r="C17" s="48" t="s">
        <v>281</v>
      </c>
      <c r="D17" s="49" t="s">
        <v>282</v>
      </c>
      <c r="E17" s="50">
        <v>1600</v>
      </c>
      <c r="F17" s="26">
        <f>IF(AND(ISNUMBER(E17),a_GLA&gt;0),E17/a_GLA,0)</f>
        <v>0.02680067001675042</v>
      </c>
      <c r="G17" s="51">
        <v>46661</v>
      </c>
      <c r="H17" s="51">
        <v>49217</v>
      </c>
      <c r="I17" s="52">
        <v>18.5</v>
      </c>
      <c r="J17" s="28">
        <f>IF(ISNUMBER(E17),E17,0)*IF(ISNUMBER(I17),I17,0)</f>
        <v>29600</v>
      </c>
      <c r="K17" s="28">
        <f>J17/12</f>
        <v>2466.6666666666665</v>
      </c>
      <c r="L17" s="53">
        <v>0.02</v>
      </c>
      <c r="M17" s="54">
        <v>1</v>
      </c>
      <c r="N17" s="50">
        <v>3</v>
      </c>
      <c r="O17" s="49" t="s">
        <v>256</v>
      </c>
      <c r="P17" s="49" t="s">
        <v>256</v>
      </c>
      <c r="Q17" s="53">
        <v>0</v>
      </c>
      <c r="R17" s="48" t="s">
        <v>268</v>
      </c>
      <c r="S17" s="52"/>
      <c r="T17" s="29">
        <f>IF('Lease Cycles'!C17&gt;0,'Lease Cycles'!O17,0)</f>
        <v>18.5</v>
      </c>
      <c r="U17" s="26">
        <f>IF(IF(ISNUMBER(I17),I17,0)&gt;0,T17/I17-1,0)</f>
        <v>0</v>
      </c>
      <c r="V17" s="55">
        <v>0.8</v>
      </c>
      <c r="W17" s="49" t="s">
        <v>137</v>
      </c>
      <c r="X17" s="56" t="s">
        <v>138</v>
      </c>
      <c r="Y17" s="50"/>
      <c r="Z17" s="52"/>
      <c r="AA17" s="55"/>
      <c r="AB17" s="24">
        <f>IF('Lease Cycles'!C17&gt;0,IF('Lease Cycles'!AG17=1,'Lease Cycles'!P17*(1-'Lease Cycles'!AF17),'Lease Cycles'!P17*(1-'Lease Cycles'!AE17)),0)</f>
        <v>1.1999999999999997</v>
      </c>
      <c r="AC17" s="29">
        <f>IF('Lease Cycles'!C17&gt;0,'Lease Cycles'!S17*'Lease Cycles'!AE17+'Lease Cycles'!R17*(1-'Lease Cycles'!AE17),0)</f>
        <v>6.999999999999999</v>
      </c>
      <c r="AD17" s="26">
        <f>IF('Lease Cycles'!C17&gt;0,'Lease Cycles'!U17*'Lease Cycles'!AE17+'Lease Cycles'!T17*(1-'Lease Cycles'!AE17),0)</f>
        <v>0.026</v>
      </c>
      <c r="AE17" s="24">
        <f>IF('Lease Cycles'!C17&gt;0,'Lease Cycles'!Z17*'Lease Cycles'!AE17+'Lease Cycles'!Y17*(1-'Lease Cycles'!AE17),0)</f>
        <v>0.5999999999999999</v>
      </c>
      <c r="AF17" s="24">
        <f>IF(AND('Lease Cycles'!C17&gt;0,'Lease Cycles'!N17=1),'Lease Cycles'!Q17,0)</f>
        <v>7.25</v>
      </c>
      <c r="AG17" s="57">
        <f>IF(AND('Lease Cycles'!C17&gt;0,'Lease Cycles'!BI17&lt;132),EDATE(in_AnalysisStart,IF('Lease Cycles'!AG17=1,'Lease Cycles'!BH17,'Lease Cycles'!BI17)),"")</f>
        <v>49249</v>
      </c>
      <c r="AH17" s="49" t="s">
        <v>260</v>
      </c>
      <c r="AI17" s="48" t="s">
        <v>265</v>
      </c>
      <c r="AJ17" s="52">
        <v>15</v>
      </c>
      <c r="AK17" s="53">
        <v>0.05</v>
      </c>
      <c r="AL17" s="52"/>
      <c r="AM17" s="53"/>
      <c r="AN17" s="26">
        <f>IF('Lease Cycles'!C17&gt;0,'Lease Cycles'!AE17,0)</f>
        <v>0.8</v>
      </c>
      <c r="AO17" s="58" t="str">
        <f>IF('Lease Cycles'!C17=0,"",IF('Lease Cycles'!E17=0,"Vacant",IF('Lease Cycles'!F17&gt;0,"Lease-up","In place")))</f>
        <v>Lease-up</v>
      </c>
      <c r="AP17">
        <f>IF(AND('Lease Cycles'!C17&gt;0,'Lease Cycles'!E17&gt;0),ROUND('Lease Cycles'!BU17/12,1),0)</f>
        <v>7.8</v>
      </c>
      <c r="AQ17" s="26">
        <f>IF($J$33&gt;0,J17/$J$33,0)</f>
        <v>0.02802234213765029</v>
      </c>
      <c r="AR17" s="51"/>
      <c r="AS17" s="52"/>
      <c r="AT17" s="51"/>
      <c r="AU17" s="52"/>
      <c r="AV17" s="51"/>
      <c r="AW17" s="52"/>
      <c r="AX17" s="51"/>
      <c r="AY17" s="52"/>
      <c r="AZ17" s="49" t="s">
        <v>258</v>
      </c>
    </row>
    <row r="18">
      <c r="B18" s="47">
        <v>11</v>
      </c>
      <c r="C18" s="48"/>
      <c r="D18" s="48"/>
      <c r="E18" s="50"/>
      <c r="F18" s="26">
        <f>IF(AND(ISNUMBER(E18),a_GLA&gt;0),E18/a_GLA,0)</f>
        <v>0</v>
      </c>
      <c r="G18" s="51"/>
      <c r="H18" s="51"/>
      <c r="I18" s="52"/>
      <c r="J18" s="28">
        <f>IF(ISNUMBER(E18),E18,0)*IF(ISNUMBER(I18),I18,0)</f>
        <v>0</v>
      </c>
      <c r="K18" s="28">
        <f>J18/12</f>
        <v>0</v>
      </c>
      <c r="L18" s="53"/>
      <c r="M18" s="54"/>
      <c r="N18" s="50"/>
      <c r="O18" s="48"/>
      <c r="P18" s="49" t="s">
        <v>256</v>
      </c>
      <c r="Q18" s="53"/>
      <c r="R18" s="48"/>
      <c r="S18" s="52"/>
      <c r="T18" s="29">
        <f>IF('Lease Cycles'!C18&gt;0,'Lease Cycles'!O18,0)</f>
        <v>0</v>
      </c>
      <c r="U18" s="26">
        <f>IF(IF(ISNUMBER(I18),I18,0)&gt;0,T18/I18-1,0)</f>
        <v>0</v>
      </c>
      <c r="V18" s="55"/>
      <c r="W18" s="49" t="s">
        <v>137</v>
      </c>
      <c r="X18" s="48"/>
      <c r="Y18" s="50"/>
      <c r="Z18" s="52"/>
      <c r="AA18" s="55"/>
      <c r="AB18" s="24">
        <f>IF('Lease Cycles'!C18&gt;0,IF('Lease Cycles'!AG18=1,'Lease Cycles'!P18*(1-'Lease Cycles'!AF18),'Lease Cycles'!P18*(1-'Lease Cycles'!AE18)),0)</f>
        <v>0</v>
      </c>
      <c r="AC18" s="29">
        <f>IF('Lease Cycles'!C18&gt;0,'Lease Cycles'!S18*'Lease Cycles'!AE18+'Lease Cycles'!R18*(1-'Lease Cycles'!AE18),0)</f>
        <v>0</v>
      </c>
      <c r="AD18" s="26">
        <f>IF('Lease Cycles'!C18&gt;0,'Lease Cycles'!U18*'Lease Cycles'!AE18+'Lease Cycles'!T18*(1-'Lease Cycles'!AE18),0)</f>
        <v>0</v>
      </c>
      <c r="AE18" s="24">
        <f>IF('Lease Cycles'!C18&gt;0,'Lease Cycles'!Z18*'Lease Cycles'!AE18+'Lease Cycles'!Y18*(1-'Lease Cycles'!AE18),0)</f>
        <v>0</v>
      </c>
      <c r="AF18" s="24">
        <f>IF(AND('Lease Cycles'!C18&gt;0,'Lease Cycles'!N18=1),'Lease Cycles'!Q18,0)</f>
        <v>0</v>
      </c>
      <c r="AG18" s="57" t="str">
        <f>IF(AND('Lease Cycles'!C18&gt;0,'Lease Cycles'!BI18&lt;132),EDATE(in_AnalysisStart,IF('Lease Cycles'!AG18=1,'Lease Cycles'!BH18,'Lease Cycles'!BI18)),"")</f>
        <v/>
      </c>
      <c r="AH18" s="49" t="s">
        <v>260</v>
      </c>
      <c r="AI18" s="48"/>
      <c r="AJ18" s="52"/>
      <c r="AK18" s="53"/>
      <c r="AL18" s="52"/>
      <c r="AM18" s="53"/>
      <c r="AN18" s="26">
        <f>IF('Lease Cycles'!C18&gt;0,'Lease Cycles'!AE18,0)</f>
        <v>0</v>
      </c>
      <c r="AO18" s="58" t="str">
        <f>IF('Lease Cycles'!C18=0,"",IF('Lease Cycles'!E18=0,"Vacant",IF('Lease Cycles'!F18&gt;0,"Lease-up","In place")))</f>
        <v/>
      </c>
      <c r="AP18">
        <f>IF(AND('Lease Cycles'!C18&gt;0,'Lease Cycles'!E18&gt;0),ROUND('Lease Cycles'!BU18/12,1),0)</f>
        <v>0</v>
      </c>
      <c r="AQ18" s="26">
        <f>IF($J$33&gt;0,J18/$J$33,0)</f>
        <v>0</v>
      </c>
      <c r="AR18" s="51"/>
      <c r="AS18" s="52"/>
      <c r="AT18" s="51"/>
      <c r="AU18" s="52"/>
      <c r="AV18" s="51"/>
      <c r="AW18" s="52"/>
      <c r="AX18" s="51"/>
      <c r="AY18" s="52"/>
      <c r="AZ18" s="49" t="s">
        <v>260</v>
      </c>
    </row>
    <row r="19">
      <c r="B19" s="47">
        <v>12</v>
      </c>
      <c r="C19" s="48"/>
      <c r="D19" s="48"/>
      <c r="E19" s="50"/>
      <c r="F19" s="26">
        <f>IF(AND(ISNUMBER(E19),a_GLA&gt;0),E19/a_GLA,0)</f>
        <v>0</v>
      </c>
      <c r="G19" s="51"/>
      <c r="H19" s="51"/>
      <c r="I19" s="52"/>
      <c r="J19" s="28">
        <f>IF(ISNUMBER(E19),E19,0)*IF(ISNUMBER(I19),I19,0)</f>
        <v>0</v>
      </c>
      <c r="K19" s="28">
        <f>J19/12</f>
        <v>0</v>
      </c>
      <c r="L19" s="53"/>
      <c r="M19" s="54"/>
      <c r="N19" s="50"/>
      <c r="O19" s="48"/>
      <c r="P19" s="49" t="s">
        <v>256</v>
      </c>
      <c r="Q19" s="53"/>
      <c r="R19" s="48"/>
      <c r="S19" s="52"/>
      <c r="T19" s="29">
        <f>IF('Lease Cycles'!C19&gt;0,'Lease Cycles'!O19,0)</f>
        <v>0</v>
      </c>
      <c r="U19" s="26">
        <f>IF(IF(ISNUMBER(I19),I19,0)&gt;0,T19/I19-1,0)</f>
        <v>0</v>
      </c>
      <c r="V19" s="55"/>
      <c r="W19" s="49" t="s">
        <v>137</v>
      </c>
      <c r="X19" s="48"/>
      <c r="Y19" s="50"/>
      <c r="Z19" s="52"/>
      <c r="AA19" s="55"/>
      <c r="AB19" s="24">
        <f>IF('Lease Cycles'!C19&gt;0,IF('Lease Cycles'!AG19=1,'Lease Cycles'!P19*(1-'Lease Cycles'!AF19),'Lease Cycles'!P19*(1-'Lease Cycles'!AE19)),0)</f>
        <v>0</v>
      </c>
      <c r="AC19" s="29">
        <f>IF('Lease Cycles'!C19&gt;0,'Lease Cycles'!S19*'Lease Cycles'!AE19+'Lease Cycles'!R19*(1-'Lease Cycles'!AE19),0)</f>
        <v>0</v>
      </c>
      <c r="AD19" s="26">
        <f>IF('Lease Cycles'!C19&gt;0,'Lease Cycles'!U19*'Lease Cycles'!AE19+'Lease Cycles'!T19*(1-'Lease Cycles'!AE19),0)</f>
        <v>0</v>
      </c>
      <c r="AE19" s="24">
        <f>IF('Lease Cycles'!C19&gt;0,'Lease Cycles'!Z19*'Lease Cycles'!AE19+'Lease Cycles'!Y19*(1-'Lease Cycles'!AE19),0)</f>
        <v>0</v>
      </c>
      <c r="AF19" s="24">
        <f>IF(AND('Lease Cycles'!C19&gt;0,'Lease Cycles'!N19=1),'Lease Cycles'!Q19,0)</f>
        <v>0</v>
      </c>
      <c r="AG19" s="57" t="str">
        <f>IF(AND('Lease Cycles'!C19&gt;0,'Lease Cycles'!BI19&lt;132),EDATE(in_AnalysisStart,IF('Lease Cycles'!AG19=1,'Lease Cycles'!BH19,'Lease Cycles'!BI19)),"")</f>
        <v/>
      </c>
      <c r="AH19" s="49" t="s">
        <v>260</v>
      </c>
      <c r="AI19" s="48"/>
      <c r="AJ19" s="52"/>
      <c r="AK19" s="53"/>
      <c r="AL19" s="52"/>
      <c r="AM19" s="53"/>
      <c r="AN19" s="26">
        <f>IF('Lease Cycles'!C19&gt;0,'Lease Cycles'!AE19,0)</f>
        <v>0</v>
      </c>
      <c r="AO19" s="58" t="str">
        <f>IF('Lease Cycles'!C19=0,"",IF('Lease Cycles'!E19=0,"Vacant",IF('Lease Cycles'!F19&gt;0,"Lease-up","In place")))</f>
        <v/>
      </c>
      <c r="AP19">
        <f>IF(AND('Lease Cycles'!C19&gt;0,'Lease Cycles'!E19&gt;0),ROUND('Lease Cycles'!BU19/12,1),0)</f>
        <v>0</v>
      </c>
      <c r="AQ19" s="26">
        <f>IF($J$33&gt;0,J19/$J$33,0)</f>
        <v>0</v>
      </c>
      <c r="AR19" s="51"/>
      <c r="AS19" s="52"/>
      <c r="AT19" s="51"/>
      <c r="AU19" s="52"/>
      <c r="AV19" s="51"/>
      <c r="AW19" s="52"/>
      <c r="AX19" s="51"/>
      <c r="AY19" s="52"/>
      <c r="AZ19" s="49" t="s">
        <v>260</v>
      </c>
    </row>
    <row r="20">
      <c r="B20" s="47">
        <v>13</v>
      </c>
      <c r="C20" s="48"/>
      <c r="D20" s="48"/>
      <c r="E20" s="50"/>
      <c r="F20" s="26">
        <f>IF(AND(ISNUMBER(E20),a_GLA&gt;0),E20/a_GLA,0)</f>
        <v>0</v>
      </c>
      <c r="G20" s="51"/>
      <c r="H20" s="51"/>
      <c r="I20" s="52"/>
      <c r="J20" s="28">
        <f>IF(ISNUMBER(E20),E20,0)*IF(ISNUMBER(I20),I20,0)</f>
        <v>0</v>
      </c>
      <c r="K20" s="28">
        <f>J20/12</f>
        <v>0</v>
      </c>
      <c r="L20" s="53"/>
      <c r="M20" s="54"/>
      <c r="N20" s="50"/>
      <c r="O20" s="48"/>
      <c r="P20" s="49" t="s">
        <v>256</v>
      </c>
      <c r="Q20" s="53"/>
      <c r="R20" s="48"/>
      <c r="S20" s="52"/>
      <c r="T20" s="29">
        <f>IF('Lease Cycles'!C20&gt;0,'Lease Cycles'!O20,0)</f>
        <v>0</v>
      </c>
      <c r="U20" s="26">
        <f>IF(IF(ISNUMBER(I20),I20,0)&gt;0,T20/I20-1,0)</f>
        <v>0</v>
      </c>
      <c r="V20" s="55"/>
      <c r="W20" s="49" t="s">
        <v>137</v>
      </c>
      <c r="X20" s="48"/>
      <c r="Y20" s="50"/>
      <c r="Z20" s="52"/>
      <c r="AA20" s="55"/>
      <c r="AB20" s="24">
        <f>IF('Lease Cycles'!C20&gt;0,IF('Lease Cycles'!AG20=1,'Lease Cycles'!P20*(1-'Lease Cycles'!AF20),'Lease Cycles'!P20*(1-'Lease Cycles'!AE20)),0)</f>
        <v>0</v>
      </c>
      <c r="AC20" s="29">
        <f>IF('Lease Cycles'!C20&gt;0,'Lease Cycles'!S20*'Lease Cycles'!AE20+'Lease Cycles'!R20*(1-'Lease Cycles'!AE20),0)</f>
        <v>0</v>
      </c>
      <c r="AD20" s="26">
        <f>IF('Lease Cycles'!C20&gt;0,'Lease Cycles'!U20*'Lease Cycles'!AE20+'Lease Cycles'!T20*(1-'Lease Cycles'!AE20),0)</f>
        <v>0</v>
      </c>
      <c r="AE20" s="24">
        <f>IF('Lease Cycles'!C20&gt;0,'Lease Cycles'!Z20*'Lease Cycles'!AE20+'Lease Cycles'!Y20*(1-'Lease Cycles'!AE20),0)</f>
        <v>0</v>
      </c>
      <c r="AF20" s="24">
        <f>IF(AND('Lease Cycles'!C20&gt;0,'Lease Cycles'!N20=1),'Lease Cycles'!Q20,0)</f>
        <v>0</v>
      </c>
      <c r="AG20" s="57" t="str">
        <f>IF(AND('Lease Cycles'!C20&gt;0,'Lease Cycles'!BI20&lt;132),EDATE(in_AnalysisStart,IF('Lease Cycles'!AG20=1,'Lease Cycles'!BH20,'Lease Cycles'!BI20)),"")</f>
        <v/>
      </c>
      <c r="AH20" s="49" t="s">
        <v>260</v>
      </c>
      <c r="AI20" s="48"/>
      <c r="AJ20" s="52"/>
      <c r="AK20" s="53"/>
      <c r="AL20" s="52"/>
      <c r="AM20" s="53"/>
      <c r="AN20" s="26">
        <f>IF('Lease Cycles'!C20&gt;0,'Lease Cycles'!AE20,0)</f>
        <v>0</v>
      </c>
      <c r="AO20" s="58" t="str">
        <f>IF('Lease Cycles'!C20=0,"",IF('Lease Cycles'!E20=0,"Vacant",IF('Lease Cycles'!F20&gt;0,"Lease-up","In place")))</f>
        <v/>
      </c>
      <c r="AP20">
        <f>IF(AND('Lease Cycles'!C20&gt;0,'Lease Cycles'!E20&gt;0),ROUND('Lease Cycles'!BU20/12,1),0)</f>
        <v>0</v>
      </c>
      <c r="AQ20" s="26">
        <f>IF($J$33&gt;0,J20/$J$33,0)</f>
        <v>0</v>
      </c>
      <c r="AR20" s="51"/>
      <c r="AS20" s="52"/>
      <c r="AT20" s="51"/>
      <c r="AU20" s="52"/>
      <c r="AV20" s="51"/>
      <c r="AW20" s="52"/>
      <c r="AX20" s="51"/>
      <c r="AY20" s="52"/>
      <c r="AZ20" s="49" t="s">
        <v>260</v>
      </c>
    </row>
    <row r="21">
      <c r="B21" s="47">
        <v>14</v>
      </c>
      <c r="C21" s="48"/>
      <c r="D21" s="48"/>
      <c r="E21" s="50"/>
      <c r="F21" s="26">
        <f>IF(AND(ISNUMBER(E21),a_GLA&gt;0),E21/a_GLA,0)</f>
        <v>0</v>
      </c>
      <c r="G21" s="51"/>
      <c r="H21" s="51"/>
      <c r="I21" s="52"/>
      <c r="J21" s="28">
        <f>IF(ISNUMBER(E21),E21,0)*IF(ISNUMBER(I21),I21,0)</f>
        <v>0</v>
      </c>
      <c r="K21" s="28">
        <f>J21/12</f>
        <v>0</v>
      </c>
      <c r="L21" s="53"/>
      <c r="M21" s="54"/>
      <c r="N21" s="50"/>
      <c r="O21" s="48"/>
      <c r="P21" s="49" t="s">
        <v>256</v>
      </c>
      <c r="Q21" s="53"/>
      <c r="R21" s="48"/>
      <c r="S21" s="52"/>
      <c r="T21" s="29">
        <f>IF('Lease Cycles'!C21&gt;0,'Lease Cycles'!O21,0)</f>
        <v>0</v>
      </c>
      <c r="U21" s="26">
        <f>IF(IF(ISNUMBER(I21),I21,0)&gt;0,T21/I21-1,0)</f>
        <v>0</v>
      </c>
      <c r="V21" s="55"/>
      <c r="W21" s="49" t="s">
        <v>137</v>
      </c>
      <c r="X21" s="48"/>
      <c r="Y21" s="50"/>
      <c r="Z21" s="52"/>
      <c r="AA21" s="55"/>
      <c r="AB21" s="24">
        <f>IF('Lease Cycles'!C21&gt;0,IF('Lease Cycles'!AG21=1,'Lease Cycles'!P21*(1-'Lease Cycles'!AF21),'Lease Cycles'!P21*(1-'Lease Cycles'!AE21)),0)</f>
        <v>0</v>
      </c>
      <c r="AC21" s="29">
        <f>IF('Lease Cycles'!C21&gt;0,'Lease Cycles'!S21*'Lease Cycles'!AE21+'Lease Cycles'!R21*(1-'Lease Cycles'!AE21),0)</f>
        <v>0</v>
      </c>
      <c r="AD21" s="26">
        <f>IF('Lease Cycles'!C21&gt;0,'Lease Cycles'!U21*'Lease Cycles'!AE21+'Lease Cycles'!T21*(1-'Lease Cycles'!AE21),0)</f>
        <v>0</v>
      </c>
      <c r="AE21" s="24">
        <f>IF('Lease Cycles'!C21&gt;0,'Lease Cycles'!Z21*'Lease Cycles'!AE21+'Lease Cycles'!Y21*(1-'Lease Cycles'!AE21),0)</f>
        <v>0</v>
      </c>
      <c r="AF21" s="24">
        <f>IF(AND('Lease Cycles'!C21&gt;0,'Lease Cycles'!N21=1),'Lease Cycles'!Q21,0)</f>
        <v>0</v>
      </c>
      <c r="AG21" s="57" t="str">
        <f>IF(AND('Lease Cycles'!C21&gt;0,'Lease Cycles'!BI21&lt;132),EDATE(in_AnalysisStart,IF('Lease Cycles'!AG21=1,'Lease Cycles'!BH21,'Lease Cycles'!BI21)),"")</f>
        <v/>
      </c>
      <c r="AH21" s="49" t="s">
        <v>260</v>
      </c>
      <c r="AI21" s="48"/>
      <c r="AJ21" s="52"/>
      <c r="AK21" s="53"/>
      <c r="AL21" s="52"/>
      <c r="AM21" s="53"/>
      <c r="AN21" s="26">
        <f>IF('Lease Cycles'!C21&gt;0,'Lease Cycles'!AE21,0)</f>
        <v>0</v>
      </c>
      <c r="AO21" s="58" t="str">
        <f>IF('Lease Cycles'!C21=0,"",IF('Lease Cycles'!E21=0,"Vacant",IF('Lease Cycles'!F21&gt;0,"Lease-up","In place")))</f>
        <v/>
      </c>
      <c r="AP21">
        <f>IF(AND('Lease Cycles'!C21&gt;0,'Lease Cycles'!E21&gt;0),ROUND('Lease Cycles'!BU21/12,1),0)</f>
        <v>0</v>
      </c>
      <c r="AQ21" s="26">
        <f>IF($J$33&gt;0,J21/$J$33,0)</f>
        <v>0</v>
      </c>
      <c r="AR21" s="51"/>
      <c r="AS21" s="52"/>
      <c r="AT21" s="51"/>
      <c r="AU21" s="52"/>
      <c r="AV21" s="51"/>
      <c r="AW21" s="52"/>
      <c r="AX21" s="51"/>
      <c r="AY21" s="52"/>
      <c r="AZ21" s="49" t="s">
        <v>260</v>
      </c>
    </row>
    <row r="22">
      <c r="B22" s="47">
        <v>15</v>
      </c>
      <c r="C22" s="48"/>
      <c r="D22" s="48"/>
      <c r="E22" s="50"/>
      <c r="F22" s="26">
        <f>IF(AND(ISNUMBER(E22),a_GLA&gt;0),E22/a_GLA,0)</f>
        <v>0</v>
      </c>
      <c r="G22" s="51"/>
      <c r="H22" s="51"/>
      <c r="I22" s="52"/>
      <c r="J22" s="28">
        <f>IF(ISNUMBER(E22),E22,0)*IF(ISNUMBER(I22),I22,0)</f>
        <v>0</v>
      </c>
      <c r="K22" s="28">
        <f>J22/12</f>
        <v>0</v>
      </c>
      <c r="L22" s="53"/>
      <c r="M22" s="54"/>
      <c r="N22" s="50"/>
      <c r="O22" s="48"/>
      <c r="P22" s="49" t="s">
        <v>256</v>
      </c>
      <c r="Q22" s="53"/>
      <c r="R22" s="48"/>
      <c r="S22" s="52"/>
      <c r="T22" s="29">
        <f>IF('Lease Cycles'!C22&gt;0,'Lease Cycles'!O22,0)</f>
        <v>0</v>
      </c>
      <c r="U22" s="26">
        <f>IF(IF(ISNUMBER(I22),I22,0)&gt;0,T22/I22-1,0)</f>
        <v>0</v>
      </c>
      <c r="V22" s="55"/>
      <c r="W22" s="49" t="s">
        <v>137</v>
      </c>
      <c r="X22" s="48"/>
      <c r="Y22" s="50"/>
      <c r="Z22" s="52"/>
      <c r="AA22" s="55"/>
      <c r="AB22" s="24">
        <f>IF('Lease Cycles'!C22&gt;0,IF('Lease Cycles'!AG22=1,'Lease Cycles'!P22*(1-'Lease Cycles'!AF22),'Lease Cycles'!P22*(1-'Lease Cycles'!AE22)),0)</f>
        <v>0</v>
      </c>
      <c r="AC22" s="29">
        <f>IF('Lease Cycles'!C22&gt;0,'Lease Cycles'!S22*'Lease Cycles'!AE22+'Lease Cycles'!R22*(1-'Lease Cycles'!AE22),0)</f>
        <v>0</v>
      </c>
      <c r="AD22" s="26">
        <f>IF('Lease Cycles'!C22&gt;0,'Lease Cycles'!U22*'Lease Cycles'!AE22+'Lease Cycles'!T22*(1-'Lease Cycles'!AE22),0)</f>
        <v>0</v>
      </c>
      <c r="AE22" s="24">
        <f>IF('Lease Cycles'!C22&gt;0,'Lease Cycles'!Z22*'Lease Cycles'!AE22+'Lease Cycles'!Y22*(1-'Lease Cycles'!AE22),0)</f>
        <v>0</v>
      </c>
      <c r="AF22" s="24">
        <f>IF(AND('Lease Cycles'!C22&gt;0,'Lease Cycles'!N22=1),'Lease Cycles'!Q22,0)</f>
        <v>0</v>
      </c>
      <c r="AG22" s="57" t="str">
        <f>IF(AND('Lease Cycles'!C22&gt;0,'Lease Cycles'!BI22&lt;132),EDATE(in_AnalysisStart,IF('Lease Cycles'!AG22=1,'Lease Cycles'!BH22,'Lease Cycles'!BI22)),"")</f>
        <v/>
      </c>
      <c r="AH22" s="49" t="s">
        <v>260</v>
      </c>
      <c r="AI22" s="48"/>
      <c r="AJ22" s="52"/>
      <c r="AK22" s="53"/>
      <c r="AL22" s="52"/>
      <c r="AM22" s="53"/>
      <c r="AN22" s="26">
        <f>IF('Lease Cycles'!C22&gt;0,'Lease Cycles'!AE22,0)</f>
        <v>0</v>
      </c>
      <c r="AO22" s="58" t="str">
        <f>IF('Lease Cycles'!C22=0,"",IF('Lease Cycles'!E22=0,"Vacant",IF('Lease Cycles'!F22&gt;0,"Lease-up","In place")))</f>
        <v/>
      </c>
      <c r="AP22">
        <f>IF(AND('Lease Cycles'!C22&gt;0,'Lease Cycles'!E22&gt;0),ROUND('Lease Cycles'!BU22/12,1),0)</f>
        <v>0</v>
      </c>
      <c r="AQ22" s="26">
        <f>IF($J$33&gt;0,J22/$J$33,0)</f>
        <v>0</v>
      </c>
      <c r="AR22" s="51"/>
      <c r="AS22" s="52"/>
      <c r="AT22" s="51"/>
      <c r="AU22" s="52"/>
      <c r="AV22" s="51"/>
      <c r="AW22" s="52"/>
      <c r="AX22" s="51"/>
      <c r="AY22" s="52"/>
      <c r="AZ22" s="49" t="s">
        <v>260</v>
      </c>
    </row>
    <row r="23">
      <c r="B23" s="47">
        <v>16</v>
      </c>
      <c r="C23" s="48"/>
      <c r="D23" s="48"/>
      <c r="E23" s="50"/>
      <c r="F23" s="26">
        <f>IF(AND(ISNUMBER(E23),a_GLA&gt;0),E23/a_GLA,0)</f>
        <v>0</v>
      </c>
      <c r="G23" s="51"/>
      <c r="H23" s="51"/>
      <c r="I23" s="52"/>
      <c r="J23" s="28">
        <f>IF(ISNUMBER(E23),E23,0)*IF(ISNUMBER(I23),I23,0)</f>
        <v>0</v>
      </c>
      <c r="K23" s="28">
        <f>J23/12</f>
        <v>0</v>
      </c>
      <c r="L23" s="53"/>
      <c r="M23" s="54"/>
      <c r="N23" s="50"/>
      <c r="O23" s="48"/>
      <c r="P23" s="49" t="s">
        <v>256</v>
      </c>
      <c r="Q23" s="53"/>
      <c r="R23" s="48"/>
      <c r="S23" s="52"/>
      <c r="T23" s="29">
        <f>IF('Lease Cycles'!C23&gt;0,'Lease Cycles'!O23,0)</f>
        <v>0</v>
      </c>
      <c r="U23" s="26">
        <f>IF(IF(ISNUMBER(I23),I23,0)&gt;0,T23/I23-1,0)</f>
        <v>0</v>
      </c>
      <c r="V23" s="55"/>
      <c r="W23" s="49" t="s">
        <v>137</v>
      </c>
      <c r="X23" s="48"/>
      <c r="Y23" s="50"/>
      <c r="Z23" s="52"/>
      <c r="AA23" s="55"/>
      <c r="AB23" s="24">
        <f>IF('Lease Cycles'!C23&gt;0,IF('Lease Cycles'!AG23=1,'Lease Cycles'!P23*(1-'Lease Cycles'!AF23),'Lease Cycles'!P23*(1-'Lease Cycles'!AE23)),0)</f>
        <v>0</v>
      </c>
      <c r="AC23" s="29">
        <f>IF('Lease Cycles'!C23&gt;0,'Lease Cycles'!S23*'Lease Cycles'!AE23+'Lease Cycles'!R23*(1-'Lease Cycles'!AE23),0)</f>
        <v>0</v>
      </c>
      <c r="AD23" s="26">
        <f>IF('Lease Cycles'!C23&gt;0,'Lease Cycles'!U23*'Lease Cycles'!AE23+'Lease Cycles'!T23*(1-'Lease Cycles'!AE23),0)</f>
        <v>0</v>
      </c>
      <c r="AE23" s="24">
        <f>IF('Lease Cycles'!C23&gt;0,'Lease Cycles'!Z23*'Lease Cycles'!AE23+'Lease Cycles'!Y23*(1-'Lease Cycles'!AE23),0)</f>
        <v>0</v>
      </c>
      <c r="AF23" s="24">
        <f>IF(AND('Lease Cycles'!C23&gt;0,'Lease Cycles'!N23=1),'Lease Cycles'!Q23,0)</f>
        <v>0</v>
      </c>
      <c r="AG23" s="57" t="str">
        <f>IF(AND('Lease Cycles'!C23&gt;0,'Lease Cycles'!BI23&lt;132),EDATE(in_AnalysisStart,IF('Lease Cycles'!AG23=1,'Lease Cycles'!BH23,'Lease Cycles'!BI23)),"")</f>
        <v/>
      </c>
      <c r="AH23" s="49" t="s">
        <v>260</v>
      </c>
      <c r="AI23" s="48"/>
      <c r="AJ23" s="52"/>
      <c r="AK23" s="53"/>
      <c r="AL23" s="52"/>
      <c r="AM23" s="53"/>
      <c r="AN23" s="26">
        <f>IF('Lease Cycles'!C23&gt;0,'Lease Cycles'!AE23,0)</f>
        <v>0</v>
      </c>
      <c r="AO23" s="58" t="str">
        <f>IF('Lease Cycles'!C23=0,"",IF('Lease Cycles'!E23=0,"Vacant",IF('Lease Cycles'!F23&gt;0,"Lease-up","In place")))</f>
        <v/>
      </c>
      <c r="AP23">
        <f>IF(AND('Lease Cycles'!C23&gt;0,'Lease Cycles'!E23&gt;0),ROUND('Lease Cycles'!BU23/12,1),0)</f>
        <v>0</v>
      </c>
      <c r="AQ23" s="26">
        <f>IF($J$33&gt;0,J23/$J$33,0)</f>
        <v>0</v>
      </c>
      <c r="AR23" s="51"/>
      <c r="AS23" s="52"/>
      <c r="AT23" s="51"/>
      <c r="AU23" s="52"/>
      <c r="AV23" s="51"/>
      <c r="AW23" s="52"/>
      <c r="AX23" s="51"/>
      <c r="AY23" s="52"/>
      <c r="AZ23" s="49" t="s">
        <v>260</v>
      </c>
    </row>
    <row r="24">
      <c r="B24" s="47">
        <v>17</v>
      </c>
      <c r="C24" s="48"/>
      <c r="D24" s="48"/>
      <c r="E24" s="50"/>
      <c r="F24" s="26">
        <f>IF(AND(ISNUMBER(E24),a_GLA&gt;0),E24/a_GLA,0)</f>
        <v>0</v>
      </c>
      <c r="G24" s="51"/>
      <c r="H24" s="51"/>
      <c r="I24" s="52"/>
      <c r="J24" s="28">
        <f>IF(ISNUMBER(E24),E24,0)*IF(ISNUMBER(I24),I24,0)</f>
        <v>0</v>
      </c>
      <c r="K24" s="28">
        <f>J24/12</f>
        <v>0</v>
      </c>
      <c r="L24" s="53"/>
      <c r="M24" s="54"/>
      <c r="N24" s="50"/>
      <c r="O24" s="48"/>
      <c r="P24" s="49" t="s">
        <v>256</v>
      </c>
      <c r="Q24" s="53"/>
      <c r="R24" s="48"/>
      <c r="S24" s="52"/>
      <c r="T24" s="29">
        <f>IF('Lease Cycles'!C24&gt;0,'Lease Cycles'!O24,0)</f>
        <v>0</v>
      </c>
      <c r="U24" s="26">
        <f>IF(IF(ISNUMBER(I24),I24,0)&gt;0,T24/I24-1,0)</f>
        <v>0</v>
      </c>
      <c r="V24" s="55"/>
      <c r="W24" s="49" t="s">
        <v>137</v>
      </c>
      <c r="X24" s="48"/>
      <c r="Y24" s="50"/>
      <c r="Z24" s="52"/>
      <c r="AA24" s="55"/>
      <c r="AB24" s="24">
        <f>IF('Lease Cycles'!C24&gt;0,IF('Lease Cycles'!AG24=1,'Lease Cycles'!P24*(1-'Lease Cycles'!AF24),'Lease Cycles'!P24*(1-'Lease Cycles'!AE24)),0)</f>
        <v>0</v>
      </c>
      <c r="AC24" s="29">
        <f>IF('Lease Cycles'!C24&gt;0,'Lease Cycles'!S24*'Lease Cycles'!AE24+'Lease Cycles'!R24*(1-'Lease Cycles'!AE24),0)</f>
        <v>0</v>
      </c>
      <c r="AD24" s="26">
        <f>IF('Lease Cycles'!C24&gt;0,'Lease Cycles'!U24*'Lease Cycles'!AE24+'Lease Cycles'!T24*(1-'Lease Cycles'!AE24),0)</f>
        <v>0</v>
      </c>
      <c r="AE24" s="24">
        <f>IF('Lease Cycles'!C24&gt;0,'Lease Cycles'!Z24*'Lease Cycles'!AE24+'Lease Cycles'!Y24*(1-'Lease Cycles'!AE24),0)</f>
        <v>0</v>
      </c>
      <c r="AF24" s="24">
        <f>IF(AND('Lease Cycles'!C24&gt;0,'Lease Cycles'!N24=1),'Lease Cycles'!Q24,0)</f>
        <v>0</v>
      </c>
      <c r="AG24" s="57" t="str">
        <f>IF(AND('Lease Cycles'!C24&gt;0,'Lease Cycles'!BI24&lt;132),EDATE(in_AnalysisStart,IF('Lease Cycles'!AG24=1,'Lease Cycles'!BH24,'Lease Cycles'!BI24)),"")</f>
        <v/>
      </c>
      <c r="AH24" s="49" t="s">
        <v>260</v>
      </c>
      <c r="AI24" s="48"/>
      <c r="AJ24" s="52"/>
      <c r="AK24" s="53"/>
      <c r="AL24" s="52"/>
      <c r="AM24" s="53"/>
      <c r="AN24" s="26">
        <f>IF('Lease Cycles'!C24&gt;0,'Lease Cycles'!AE24,0)</f>
        <v>0</v>
      </c>
      <c r="AO24" s="58" t="str">
        <f>IF('Lease Cycles'!C24=0,"",IF('Lease Cycles'!E24=0,"Vacant",IF('Lease Cycles'!F24&gt;0,"Lease-up","In place")))</f>
        <v/>
      </c>
      <c r="AP24">
        <f>IF(AND('Lease Cycles'!C24&gt;0,'Lease Cycles'!E24&gt;0),ROUND('Lease Cycles'!BU24/12,1),0)</f>
        <v>0</v>
      </c>
      <c r="AQ24" s="26">
        <f>IF($J$33&gt;0,J24/$J$33,0)</f>
        <v>0</v>
      </c>
      <c r="AR24" s="51"/>
      <c r="AS24" s="52"/>
      <c r="AT24" s="51"/>
      <c r="AU24" s="52"/>
      <c r="AV24" s="51"/>
      <c r="AW24" s="52"/>
      <c r="AX24" s="51"/>
      <c r="AY24" s="52"/>
      <c r="AZ24" s="49" t="s">
        <v>260</v>
      </c>
    </row>
    <row r="25">
      <c r="B25" s="47">
        <v>18</v>
      </c>
      <c r="C25" s="48"/>
      <c r="D25" s="48"/>
      <c r="E25" s="50"/>
      <c r="F25" s="26">
        <f>IF(AND(ISNUMBER(E25),a_GLA&gt;0),E25/a_GLA,0)</f>
        <v>0</v>
      </c>
      <c r="G25" s="51"/>
      <c r="H25" s="51"/>
      <c r="I25" s="52"/>
      <c r="J25" s="28">
        <f>IF(ISNUMBER(E25),E25,0)*IF(ISNUMBER(I25),I25,0)</f>
        <v>0</v>
      </c>
      <c r="K25" s="28">
        <f>J25/12</f>
        <v>0</v>
      </c>
      <c r="L25" s="53"/>
      <c r="M25" s="54"/>
      <c r="N25" s="50"/>
      <c r="O25" s="48"/>
      <c r="P25" s="49" t="s">
        <v>256</v>
      </c>
      <c r="Q25" s="53"/>
      <c r="R25" s="48"/>
      <c r="S25" s="52"/>
      <c r="T25" s="29">
        <f>IF('Lease Cycles'!C25&gt;0,'Lease Cycles'!O25,0)</f>
        <v>0</v>
      </c>
      <c r="U25" s="26">
        <f>IF(IF(ISNUMBER(I25),I25,0)&gt;0,T25/I25-1,0)</f>
        <v>0</v>
      </c>
      <c r="V25" s="55"/>
      <c r="W25" s="49" t="s">
        <v>137</v>
      </c>
      <c r="X25" s="48"/>
      <c r="Y25" s="50"/>
      <c r="Z25" s="52"/>
      <c r="AA25" s="55"/>
      <c r="AB25" s="24">
        <f>IF('Lease Cycles'!C25&gt;0,IF('Lease Cycles'!AG25=1,'Lease Cycles'!P25*(1-'Lease Cycles'!AF25),'Lease Cycles'!P25*(1-'Lease Cycles'!AE25)),0)</f>
        <v>0</v>
      </c>
      <c r="AC25" s="29">
        <f>IF('Lease Cycles'!C25&gt;0,'Lease Cycles'!S25*'Lease Cycles'!AE25+'Lease Cycles'!R25*(1-'Lease Cycles'!AE25),0)</f>
        <v>0</v>
      </c>
      <c r="AD25" s="26">
        <f>IF('Lease Cycles'!C25&gt;0,'Lease Cycles'!U25*'Lease Cycles'!AE25+'Lease Cycles'!T25*(1-'Lease Cycles'!AE25),0)</f>
        <v>0</v>
      </c>
      <c r="AE25" s="24">
        <f>IF('Lease Cycles'!C25&gt;0,'Lease Cycles'!Z25*'Lease Cycles'!AE25+'Lease Cycles'!Y25*(1-'Lease Cycles'!AE25),0)</f>
        <v>0</v>
      </c>
      <c r="AF25" s="24">
        <f>IF(AND('Lease Cycles'!C25&gt;0,'Lease Cycles'!N25=1),'Lease Cycles'!Q25,0)</f>
        <v>0</v>
      </c>
      <c r="AG25" s="57" t="str">
        <f>IF(AND('Lease Cycles'!C25&gt;0,'Lease Cycles'!BI25&lt;132),EDATE(in_AnalysisStart,IF('Lease Cycles'!AG25=1,'Lease Cycles'!BH25,'Lease Cycles'!BI25)),"")</f>
        <v/>
      </c>
      <c r="AH25" s="49" t="s">
        <v>260</v>
      </c>
      <c r="AI25" s="48"/>
      <c r="AJ25" s="52"/>
      <c r="AK25" s="53"/>
      <c r="AL25" s="52"/>
      <c r="AM25" s="53"/>
      <c r="AN25" s="26">
        <f>IF('Lease Cycles'!C25&gt;0,'Lease Cycles'!AE25,0)</f>
        <v>0</v>
      </c>
      <c r="AO25" s="58" t="str">
        <f>IF('Lease Cycles'!C25=0,"",IF('Lease Cycles'!E25=0,"Vacant",IF('Lease Cycles'!F25&gt;0,"Lease-up","In place")))</f>
        <v/>
      </c>
      <c r="AP25">
        <f>IF(AND('Lease Cycles'!C25&gt;0,'Lease Cycles'!E25&gt;0),ROUND('Lease Cycles'!BU25/12,1),0)</f>
        <v>0</v>
      </c>
      <c r="AQ25" s="26">
        <f>IF($J$33&gt;0,J25/$J$33,0)</f>
        <v>0</v>
      </c>
      <c r="AR25" s="51"/>
      <c r="AS25" s="52"/>
      <c r="AT25" s="51"/>
      <c r="AU25" s="52"/>
      <c r="AV25" s="51"/>
      <c r="AW25" s="52"/>
      <c r="AX25" s="51"/>
      <c r="AY25" s="52"/>
      <c r="AZ25" s="49" t="s">
        <v>260</v>
      </c>
    </row>
    <row r="26">
      <c r="B26" s="47">
        <v>19</v>
      </c>
      <c r="C26" s="48"/>
      <c r="D26" s="48"/>
      <c r="E26" s="50"/>
      <c r="F26" s="26">
        <f>IF(AND(ISNUMBER(E26),a_GLA&gt;0),E26/a_GLA,0)</f>
        <v>0</v>
      </c>
      <c r="G26" s="51"/>
      <c r="H26" s="51"/>
      <c r="I26" s="52"/>
      <c r="J26" s="28">
        <f>IF(ISNUMBER(E26),E26,0)*IF(ISNUMBER(I26),I26,0)</f>
        <v>0</v>
      </c>
      <c r="K26" s="28">
        <f>J26/12</f>
        <v>0</v>
      </c>
      <c r="L26" s="53"/>
      <c r="M26" s="54"/>
      <c r="N26" s="50"/>
      <c r="O26" s="48"/>
      <c r="P26" s="49" t="s">
        <v>256</v>
      </c>
      <c r="Q26" s="53"/>
      <c r="R26" s="48"/>
      <c r="S26" s="52"/>
      <c r="T26" s="29">
        <f>IF('Lease Cycles'!C26&gt;0,'Lease Cycles'!O26,0)</f>
        <v>0</v>
      </c>
      <c r="U26" s="26">
        <f>IF(IF(ISNUMBER(I26),I26,0)&gt;0,T26/I26-1,0)</f>
        <v>0</v>
      </c>
      <c r="V26" s="55"/>
      <c r="W26" s="49" t="s">
        <v>137</v>
      </c>
      <c r="X26" s="48"/>
      <c r="Y26" s="50"/>
      <c r="Z26" s="52"/>
      <c r="AA26" s="55"/>
      <c r="AB26" s="24">
        <f>IF('Lease Cycles'!C26&gt;0,IF('Lease Cycles'!AG26=1,'Lease Cycles'!P26*(1-'Lease Cycles'!AF26),'Lease Cycles'!P26*(1-'Lease Cycles'!AE26)),0)</f>
        <v>0</v>
      </c>
      <c r="AC26" s="29">
        <f>IF('Lease Cycles'!C26&gt;0,'Lease Cycles'!S26*'Lease Cycles'!AE26+'Lease Cycles'!R26*(1-'Lease Cycles'!AE26),0)</f>
        <v>0</v>
      </c>
      <c r="AD26" s="26">
        <f>IF('Lease Cycles'!C26&gt;0,'Lease Cycles'!U26*'Lease Cycles'!AE26+'Lease Cycles'!T26*(1-'Lease Cycles'!AE26),0)</f>
        <v>0</v>
      </c>
      <c r="AE26" s="24">
        <f>IF('Lease Cycles'!C26&gt;0,'Lease Cycles'!Z26*'Lease Cycles'!AE26+'Lease Cycles'!Y26*(1-'Lease Cycles'!AE26),0)</f>
        <v>0</v>
      </c>
      <c r="AF26" s="24">
        <f>IF(AND('Lease Cycles'!C26&gt;0,'Lease Cycles'!N26=1),'Lease Cycles'!Q26,0)</f>
        <v>0</v>
      </c>
      <c r="AG26" s="57" t="str">
        <f>IF(AND('Lease Cycles'!C26&gt;0,'Lease Cycles'!BI26&lt;132),EDATE(in_AnalysisStart,IF('Lease Cycles'!AG26=1,'Lease Cycles'!BH26,'Lease Cycles'!BI26)),"")</f>
        <v/>
      </c>
      <c r="AH26" s="49" t="s">
        <v>260</v>
      </c>
      <c r="AI26" s="48"/>
      <c r="AJ26" s="52"/>
      <c r="AK26" s="53"/>
      <c r="AL26" s="52"/>
      <c r="AM26" s="53"/>
      <c r="AN26" s="26">
        <f>IF('Lease Cycles'!C26&gt;0,'Lease Cycles'!AE26,0)</f>
        <v>0</v>
      </c>
      <c r="AO26" s="58" t="str">
        <f>IF('Lease Cycles'!C26=0,"",IF('Lease Cycles'!E26=0,"Vacant",IF('Lease Cycles'!F26&gt;0,"Lease-up","In place")))</f>
        <v/>
      </c>
      <c r="AP26">
        <f>IF(AND('Lease Cycles'!C26&gt;0,'Lease Cycles'!E26&gt;0),ROUND('Lease Cycles'!BU26/12,1),0)</f>
        <v>0</v>
      </c>
      <c r="AQ26" s="26">
        <f>IF($J$33&gt;0,J26/$J$33,0)</f>
        <v>0</v>
      </c>
      <c r="AR26" s="51"/>
      <c r="AS26" s="52"/>
      <c r="AT26" s="51"/>
      <c r="AU26" s="52"/>
      <c r="AV26" s="51"/>
      <c r="AW26" s="52"/>
      <c r="AX26" s="51"/>
      <c r="AY26" s="52"/>
      <c r="AZ26" s="49" t="s">
        <v>260</v>
      </c>
    </row>
    <row r="27">
      <c r="B27" s="47">
        <v>20</v>
      </c>
      <c r="C27" s="48"/>
      <c r="D27" s="48"/>
      <c r="E27" s="50"/>
      <c r="F27" s="26">
        <f>IF(AND(ISNUMBER(E27),a_GLA&gt;0),E27/a_GLA,0)</f>
        <v>0</v>
      </c>
      <c r="G27" s="51"/>
      <c r="H27" s="51"/>
      <c r="I27" s="52"/>
      <c r="J27" s="28">
        <f>IF(ISNUMBER(E27),E27,0)*IF(ISNUMBER(I27),I27,0)</f>
        <v>0</v>
      </c>
      <c r="K27" s="28">
        <f>J27/12</f>
        <v>0</v>
      </c>
      <c r="L27" s="53"/>
      <c r="M27" s="54"/>
      <c r="N27" s="50"/>
      <c r="O27" s="48"/>
      <c r="P27" s="49" t="s">
        <v>256</v>
      </c>
      <c r="Q27" s="53"/>
      <c r="R27" s="48"/>
      <c r="S27" s="52"/>
      <c r="T27" s="29">
        <f>IF('Lease Cycles'!C27&gt;0,'Lease Cycles'!O27,0)</f>
        <v>0</v>
      </c>
      <c r="U27" s="26">
        <f>IF(IF(ISNUMBER(I27),I27,0)&gt;0,T27/I27-1,0)</f>
        <v>0</v>
      </c>
      <c r="V27" s="55"/>
      <c r="W27" s="49" t="s">
        <v>137</v>
      </c>
      <c r="X27" s="48"/>
      <c r="Y27" s="50"/>
      <c r="Z27" s="52"/>
      <c r="AA27" s="55"/>
      <c r="AB27" s="24">
        <f>IF('Lease Cycles'!C27&gt;0,IF('Lease Cycles'!AG27=1,'Lease Cycles'!P27*(1-'Lease Cycles'!AF27),'Lease Cycles'!P27*(1-'Lease Cycles'!AE27)),0)</f>
        <v>0</v>
      </c>
      <c r="AC27" s="29">
        <f>IF('Lease Cycles'!C27&gt;0,'Lease Cycles'!S27*'Lease Cycles'!AE27+'Lease Cycles'!R27*(1-'Lease Cycles'!AE27),0)</f>
        <v>0</v>
      </c>
      <c r="AD27" s="26">
        <f>IF('Lease Cycles'!C27&gt;0,'Lease Cycles'!U27*'Lease Cycles'!AE27+'Lease Cycles'!T27*(1-'Lease Cycles'!AE27),0)</f>
        <v>0</v>
      </c>
      <c r="AE27" s="24">
        <f>IF('Lease Cycles'!C27&gt;0,'Lease Cycles'!Z27*'Lease Cycles'!AE27+'Lease Cycles'!Y27*(1-'Lease Cycles'!AE27),0)</f>
        <v>0</v>
      </c>
      <c r="AF27" s="24">
        <f>IF(AND('Lease Cycles'!C27&gt;0,'Lease Cycles'!N27=1),'Lease Cycles'!Q27,0)</f>
        <v>0</v>
      </c>
      <c r="AG27" s="57" t="str">
        <f>IF(AND('Lease Cycles'!C27&gt;0,'Lease Cycles'!BI27&lt;132),EDATE(in_AnalysisStart,IF('Lease Cycles'!AG27=1,'Lease Cycles'!BH27,'Lease Cycles'!BI27)),"")</f>
        <v/>
      </c>
      <c r="AH27" s="49" t="s">
        <v>260</v>
      </c>
      <c r="AI27" s="48"/>
      <c r="AJ27" s="52"/>
      <c r="AK27" s="53"/>
      <c r="AL27" s="52"/>
      <c r="AM27" s="53"/>
      <c r="AN27" s="26">
        <f>IF('Lease Cycles'!C27&gt;0,'Lease Cycles'!AE27,0)</f>
        <v>0</v>
      </c>
      <c r="AO27" s="58" t="str">
        <f>IF('Lease Cycles'!C27=0,"",IF('Lease Cycles'!E27=0,"Vacant",IF('Lease Cycles'!F27&gt;0,"Lease-up","In place")))</f>
        <v/>
      </c>
      <c r="AP27">
        <f>IF(AND('Lease Cycles'!C27&gt;0,'Lease Cycles'!E27&gt;0),ROUND('Lease Cycles'!BU27/12,1),0)</f>
        <v>0</v>
      </c>
      <c r="AQ27" s="26">
        <f>IF($J$33&gt;0,J27/$J$33,0)</f>
        <v>0</v>
      </c>
      <c r="AR27" s="51"/>
      <c r="AS27" s="52"/>
      <c r="AT27" s="51"/>
      <c r="AU27" s="52"/>
      <c r="AV27" s="51"/>
      <c r="AW27" s="52"/>
      <c r="AX27" s="51"/>
      <c r="AY27" s="52"/>
      <c r="AZ27" s="49" t="s">
        <v>260</v>
      </c>
    </row>
    <row r="28">
      <c r="B28" s="47">
        <v>21</v>
      </c>
      <c r="C28" s="48"/>
      <c r="D28" s="48"/>
      <c r="E28" s="50"/>
      <c r="F28" s="26">
        <f>IF(AND(ISNUMBER(E28),a_GLA&gt;0),E28/a_GLA,0)</f>
        <v>0</v>
      </c>
      <c r="G28" s="51"/>
      <c r="H28" s="51"/>
      <c r="I28" s="52"/>
      <c r="J28" s="28">
        <f>IF(ISNUMBER(E28),E28,0)*IF(ISNUMBER(I28),I28,0)</f>
        <v>0</v>
      </c>
      <c r="K28" s="28">
        <f>J28/12</f>
        <v>0</v>
      </c>
      <c r="L28" s="53"/>
      <c r="M28" s="54"/>
      <c r="N28" s="50"/>
      <c r="O28" s="48"/>
      <c r="P28" s="49" t="s">
        <v>256</v>
      </c>
      <c r="Q28" s="53"/>
      <c r="R28" s="48"/>
      <c r="S28" s="52"/>
      <c r="T28" s="29">
        <f>IF('Lease Cycles'!C28&gt;0,'Lease Cycles'!O28,0)</f>
        <v>0</v>
      </c>
      <c r="U28" s="26">
        <f>IF(IF(ISNUMBER(I28),I28,0)&gt;0,T28/I28-1,0)</f>
        <v>0</v>
      </c>
      <c r="V28" s="55"/>
      <c r="W28" s="49" t="s">
        <v>137</v>
      </c>
      <c r="X28" s="48"/>
      <c r="Y28" s="50"/>
      <c r="Z28" s="52"/>
      <c r="AA28" s="55"/>
      <c r="AB28" s="24">
        <f>IF('Lease Cycles'!C28&gt;0,IF('Lease Cycles'!AG28=1,'Lease Cycles'!P28*(1-'Lease Cycles'!AF28),'Lease Cycles'!P28*(1-'Lease Cycles'!AE28)),0)</f>
        <v>0</v>
      </c>
      <c r="AC28" s="29">
        <f>IF('Lease Cycles'!C28&gt;0,'Lease Cycles'!S28*'Lease Cycles'!AE28+'Lease Cycles'!R28*(1-'Lease Cycles'!AE28),0)</f>
        <v>0</v>
      </c>
      <c r="AD28" s="26">
        <f>IF('Lease Cycles'!C28&gt;0,'Lease Cycles'!U28*'Lease Cycles'!AE28+'Lease Cycles'!T28*(1-'Lease Cycles'!AE28),0)</f>
        <v>0</v>
      </c>
      <c r="AE28" s="24">
        <f>IF('Lease Cycles'!C28&gt;0,'Lease Cycles'!Z28*'Lease Cycles'!AE28+'Lease Cycles'!Y28*(1-'Lease Cycles'!AE28),0)</f>
        <v>0</v>
      </c>
      <c r="AF28" s="24">
        <f>IF(AND('Lease Cycles'!C28&gt;0,'Lease Cycles'!N28=1),'Lease Cycles'!Q28,0)</f>
        <v>0</v>
      </c>
      <c r="AG28" s="57" t="str">
        <f>IF(AND('Lease Cycles'!C28&gt;0,'Lease Cycles'!BI28&lt;132),EDATE(in_AnalysisStart,IF('Lease Cycles'!AG28=1,'Lease Cycles'!BH28,'Lease Cycles'!BI28)),"")</f>
        <v/>
      </c>
      <c r="AH28" s="49" t="s">
        <v>260</v>
      </c>
      <c r="AI28" s="48"/>
      <c r="AJ28" s="52"/>
      <c r="AK28" s="53"/>
      <c r="AL28" s="52"/>
      <c r="AM28" s="53"/>
      <c r="AN28" s="26">
        <f>IF('Lease Cycles'!C28&gt;0,'Lease Cycles'!AE28,0)</f>
        <v>0</v>
      </c>
      <c r="AO28" s="58" t="str">
        <f>IF('Lease Cycles'!C28=0,"",IF('Lease Cycles'!E28=0,"Vacant",IF('Lease Cycles'!F28&gt;0,"Lease-up","In place")))</f>
        <v/>
      </c>
      <c r="AP28">
        <f>IF(AND('Lease Cycles'!C28&gt;0,'Lease Cycles'!E28&gt;0),ROUND('Lease Cycles'!BU28/12,1),0)</f>
        <v>0</v>
      </c>
      <c r="AQ28" s="26">
        <f>IF($J$33&gt;0,J28/$J$33,0)</f>
        <v>0</v>
      </c>
      <c r="AR28" s="51"/>
      <c r="AS28" s="52"/>
      <c r="AT28" s="51"/>
      <c r="AU28" s="52"/>
      <c r="AV28" s="51"/>
      <c r="AW28" s="52"/>
      <c r="AX28" s="51"/>
      <c r="AY28" s="52"/>
      <c r="AZ28" s="49" t="s">
        <v>260</v>
      </c>
    </row>
    <row r="29">
      <c r="B29" s="47">
        <v>22</v>
      </c>
      <c r="C29" s="48"/>
      <c r="D29" s="48"/>
      <c r="E29" s="50"/>
      <c r="F29" s="26">
        <f>IF(AND(ISNUMBER(E29),a_GLA&gt;0),E29/a_GLA,0)</f>
        <v>0</v>
      </c>
      <c r="G29" s="51"/>
      <c r="H29" s="51"/>
      <c r="I29" s="52"/>
      <c r="J29" s="28">
        <f>IF(ISNUMBER(E29),E29,0)*IF(ISNUMBER(I29),I29,0)</f>
        <v>0</v>
      </c>
      <c r="K29" s="28">
        <f>J29/12</f>
        <v>0</v>
      </c>
      <c r="L29" s="53"/>
      <c r="M29" s="54"/>
      <c r="N29" s="50"/>
      <c r="O29" s="48"/>
      <c r="P29" s="49" t="s">
        <v>256</v>
      </c>
      <c r="Q29" s="53"/>
      <c r="R29" s="48"/>
      <c r="S29" s="52"/>
      <c r="T29" s="29">
        <f>IF('Lease Cycles'!C29&gt;0,'Lease Cycles'!O29,0)</f>
        <v>0</v>
      </c>
      <c r="U29" s="26">
        <f>IF(IF(ISNUMBER(I29),I29,0)&gt;0,T29/I29-1,0)</f>
        <v>0</v>
      </c>
      <c r="V29" s="55"/>
      <c r="W29" s="49" t="s">
        <v>137</v>
      </c>
      <c r="X29" s="48"/>
      <c r="Y29" s="50"/>
      <c r="Z29" s="52"/>
      <c r="AA29" s="55"/>
      <c r="AB29" s="24">
        <f>IF('Lease Cycles'!C29&gt;0,IF('Lease Cycles'!AG29=1,'Lease Cycles'!P29*(1-'Lease Cycles'!AF29),'Lease Cycles'!P29*(1-'Lease Cycles'!AE29)),0)</f>
        <v>0</v>
      </c>
      <c r="AC29" s="29">
        <f>IF('Lease Cycles'!C29&gt;0,'Lease Cycles'!S29*'Lease Cycles'!AE29+'Lease Cycles'!R29*(1-'Lease Cycles'!AE29),0)</f>
        <v>0</v>
      </c>
      <c r="AD29" s="26">
        <f>IF('Lease Cycles'!C29&gt;0,'Lease Cycles'!U29*'Lease Cycles'!AE29+'Lease Cycles'!T29*(1-'Lease Cycles'!AE29),0)</f>
        <v>0</v>
      </c>
      <c r="AE29" s="24">
        <f>IF('Lease Cycles'!C29&gt;0,'Lease Cycles'!Z29*'Lease Cycles'!AE29+'Lease Cycles'!Y29*(1-'Lease Cycles'!AE29),0)</f>
        <v>0</v>
      </c>
      <c r="AF29" s="24">
        <f>IF(AND('Lease Cycles'!C29&gt;0,'Lease Cycles'!N29=1),'Lease Cycles'!Q29,0)</f>
        <v>0</v>
      </c>
      <c r="AG29" s="57" t="str">
        <f>IF(AND('Lease Cycles'!C29&gt;0,'Lease Cycles'!BI29&lt;132),EDATE(in_AnalysisStart,IF('Lease Cycles'!AG29=1,'Lease Cycles'!BH29,'Lease Cycles'!BI29)),"")</f>
        <v/>
      </c>
      <c r="AH29" s="49" t="s">
        <v>260</v>
      </c>
      <c r="AI29" s="48"/>
      <c r="AJ29" s="52"/>
      <c r="AK29" s="53"/>
      <c r="AL29" s="52"/>
      <c r="AM29" s="53"/>
      <c r="AN29" s="26">
        <f>IF('Lease Cycles'!C29&gt;0,'Lease Cycles'!AE29,0)</f>
        <v>0</v>
      </c>
      <c r="AO29" s="58" t="str">
        <f>IF('Lease Cycles'!C29=0,"",IF('Lease Cycles'!E29=0,"Vacant",IF('Lease Cycles'!F29&gt;0,"Lease-up","In place")))</f>
        <v/>
      </c>
      <c r="AP29">
        <f>IF(AND('Lease Cycles'!C29&gt;0,'Lease Cycles'!E29&gt;0),ROUND('Lease Cycles'!BU29/12,1),0)</f>
        <v>0</v>
      </c>
      <c r="AQ29" s="26">
        <f>IF($J$33&gt;0,J29/$J$33,0)</f>
        <v>0</v>
      </c>
      <c r="AR29" s="51"/>
      <c r="AS29" s="52"/>
      <c r="AT29" s="51"/>
      <c r="AU29" s="52"/>
      <c r="AV29" s="51"/>
      <c r="AW29" s="52"/>
      <c r="AX29" s="51"/>
      <c r="AY29" s="52"/>
      <c r="AZ29" s="49" t="s">
        <v>260</v>
      </c>
    </row>
    <row r="30">
      <c r="B30" s="47">
        <v>23</v>
      </c>
      <c r="C30" s="48"/>
      <c r="D30" s="48"/>
      <c r="E30" s="50"/>
      <c r="F30" s="26">
        <f>IF(AND(ISNUMBER(E30),a_GLA&gt;0),E30/a_GLA,0)</f>
        <v>0</v>
      </c>
      <c r="G30" s="51"/>
      <c r="H30" s="51"/>
      <c r="I30" s="52"/>
      <c r="J30" s="28">
        <f>IF(ISNUMBER(E30),E30,0)*IF(ISNUMBER(I30),I30,0)</f>
        <v>0</v>
      </c>
      <c r="K30" s="28">
        <f>J30/12</f>
        <v>0</v>
      </c>
      <c r="L30" s="53"/>
      <c r="M30" s="54"/>
      <c r="N30" s="50"/>
      <c r="O30" s="48"/>
      <c r="P30" s="49" t="s">
        <v>256</v>
      </c>
      <c r="Q30" s="53"/>
      <c r="R30" s="48"/>
      <c r="S30" s="52"/>
      <c r="T30" s="29">
        <f>IF('Lease Cycles'!C30&gt;0,'Lease Cycles'!O30,0)</f>
        <v>0</v>
      </c>
      <c r="U30" s="26">
        <f>IF(IF(ISNUMBER(I30),I30,0)&gt;0,T30/I30-1,0)</f>
        <v>0</v>
      </c>
      <c r="V30" s="55"/>
      <c r="W30" s="49" t="s">
        <v>137</v>
      </c>
      <c r="X30" s="48"/>
      <c r="Y30" s="50"/>
      <c r="Z30" s="52"/>
      <c r="AA30" s="55"/>
      <c r="AB30" s="24">
        <f>IF('Lease Cycles'!C30&gt;0,IF('Lease Cycles'!AG30=1,'Lease Cycles'!P30*(1-'Lease Cycles'!AF30),'Lease Cycles'!P30*(1-'Lease Cycles'!AE30)),0)</f>
        <v>0</v>
      </c>
      <c r="AC30" s="29">
        <f>IF('Lease Cycles'!C30&gt;0,'Lease Cycles'!S30*'Lease Cycles'!AE30+'Lease Cycles'!R30*(1-'Lease Cycles'!AE30),0)</f>
        <v>0</v>
      </c>
      <c r="AD30" s="26">
        <f>IF('Lease Cycles'!C30&gt;0,'Lease Cycles'!U30*'Lease Cycles'!AE30+'Lease Cycles'!T30*(1-'Lease Cycles'!AE30),0)</f>
        <v>0</v>
      </c>
      <c r="AE30" s="24">
        <f>IF('Lease Cycles'!C30&gt;0,'Lease Cycles'!Z30*'Lease Cycles'!AE30+'Lease Cycles'!Y30*(1-'Lease Cycles'!AE30),0)</f>
        <v>0</v>
      </c>
      <c r="AF30" s="24">
        <f>IF(AND('Lease Cycles'!C30&gt;0,'Lease Cycles'!N30=1),'Lease Cycles'!Q30,0)</f>
        <v>0</v>
      </c>
      <c r="AG30" s="57" t="str">
        <f>IF(AND('Lease Cycles'!C30&gt;0,'Lease Cycles'!BI30&lt;132),EDATE(in_AnalysisStart,IF('Lease Cycles'!AG30=1,'Lease Cycles'!BH30,'Lease Cycles'!BI30)),"")</f>
        <v/>
      </c>
      <c r="AH30" s="49" t="s">
        <v>260</v>
      </c>
      <c r="AI30" s="48"/>
      <c r="AJ30" s="52"/>
      <c r="AK30" s="53"/>
      <c r="AL30" s="52"/>
      <c r="AM30" s="53"/>
      <c r="AN30" s="26">
        <f>IF('Lease Cycles'!C30&gt;0,'Lease Cycles'!AE30,0)</f>
        <v>0</v>
      </c>
      <c r="AO30" s="58" t="str">
        <f>IF('Lease Cycles'!C30=0,"",IF('Lease Cycles'!E30=0,"Vacant",IF('Lease Cycles'!F30&gt;0,"Lease-up","In place")))</f>
        <v/>
      </c>
      <c r="AP30">
        <f>IF(AND('Lease Cycles'!C30&gt;0,'Lease Cycles'!E30&gt;0),ROUND('Lease Cycles'!BU30/12,1),0)</f>
        <v>0</v>
      </c>
      <c r="AQ30" s="26">
        <f>IF($J$33&gt;0,J30/$J$33,0)</f>
        <v>0</v>
      </c>
      <c r="AR30" s="51"/>
      <c r="AS30" s="52"/>
      <c r="AT30" s="51"/>
      <c r="AU30" s="52"/>
      <c r="AV30" s="51"/>
      <c r="AW30" s="52"/>
      <c r="AX30" s="51"/>
      <c r="AY30" s="52"/>
      <c r="AZ30" s="49" t="s">
        <v>260</v>
      </c>
    </row>
    <row r="31">
      <c r="B31" s="47">
        <v>24</v>
      </c>
      <c r="C31" s="48"/>
      <c r="D31" s="48"/>
      <c r="E31" s="50"/>
      <c r="F31" s="26">
        <f>IF(AND(ISNUMBER(E31),a_GLA&gt;0),E31/a_GLA,0)</f>
        <v>0</v>
      </c>
      <c r="G31" s="51"/>
      <c r="H31" s="51"/>
      <c r="I31" s="52"/>
      <c r="J31" s="28">
        <f>IF(ISNUMBER(E31),E31,0)*IF(ISNUMBER(I31),I31,0)</f>
        <v>0</v>
      </c>
      <c r="K31" s="28">
        <f>J31/12</f>
        <v>0</v>
      </c>
      <c r="L31" s="53"/>
      <c r="M31" s="54"/>
      <c r="N31" s="50"/>
      <c r="O31" s="48"/>
      <c r="P31" s="49" t="s">
        <v>256</v>
      </c>
      <c r="Q31" s="53"/>
      <c r="R31" s="48"/>
      <c r="S31" s="52"/>
      <c r="T31" s="29">
        <f>IF('Lease Cycles'!C31&gt;0,'Lease Cycles'!O31,0)</f>
        <v>0</v>
      </c>
      <c r="U31" s="26">
        <f>IF(IF(ISNUMBER(I31),I31,0)&gt;0,T31/I31-1,0)</f>
        <v>0</v>
      </c>
      <c r="V31" s="55"/>
      <c r="W31" s="49" t="s">
        <v>137</v>
      </c>
      <c r="X31" s="48"/>
      <c r="Y31" s="50"/>
      <c r="Z31" s="52"/>
      <c r="AA31" s="55"/>
      <c r="AB31" s="24">
        <f>IF('Lease Cycles'!C31&gt;0,IF('Lease Cycles'!AG31=1,'Lease Cycles'!P31*(1-'Lease Cycles'!AF31),'Lease Cycles'!P31*(1-'Lease Cycles'!AE31)),0)</f>
        <v>0</v>
      </c>
      <c r="AC31" s="29">
        <f>IF('Lease Cycles'!C31&gt;0,'Lease Cycles'!S31*'Lease Cycles'!AE31+'Lease Cycles'!R31*(1-'Lease Cycles'!AE31),0)</f>
        <v>0</v>
      </c>
      <c r="AD31" s="26">
        <f>IF('Lease Cycles'!C31&gt;0,'Lease Cycles'!U31*'Lease Cycles'!AE31+'Lease Cycles'!T31*(1-'Lease Cycles'!AE31),0)</f>
        <v>0</v>
      </c>
      <c r="AE31" s="24">
        <f>IF('Lease Cycles'!C31&gt;0,'Lease Cycles'!Z31*'Lease Cycles'!AE31+'Lease Cycles'!Y31*(1-'Lease Cycles'!AE31),0)</f>
        <v>0</v>
      </c>
      <c r="AF31" s="24">
        <f>IF(AND('Lease Cycles'!C31&gt;0,'Lease Cycles'!N31=1),'Lease Cycles'!Q31,0)</f>
        <v>0</v>
      </c>
      <c r="AG31" s="57" t="str">
        <f>IF(AND('Lease Cycles'!C31&gt;0,'Lease Cycles'!BI31&lt;132),EDATE(in_AnalysisStart,IF('Lease Cycles'!AG31=1,'Lease Cycles'!BH31,'Lease Cycles'!BI31)),"")</f>
        <v/>
      </c>
      <c r="AH31" s="49" t="s">
        <v>260</v>
      </c>
      <c r="AI31" s="48"/>
      <c r="AJ31" s="52"/>
      <c r="AK31" s="53"/>
      <c r="AL31" s="52"/>
      <c r="AM31" s="53"/>
      <c r="AN31" s="26">
        <f>IF('Lease Cycles'!C31&gt;0,'Lease Cycles'!AE31,0)</f>
        <v>0</v>
      </c>
      <c r="AO31" s="58" t="str">
        <f>IF('Lease Cycles'!C31=0,"",IF('Lease Cycles'!E31=0,"Vacant",IF('Lease Cycles'!F31&gt;0,"Lease-up","In place")))</f>
        <v/>
      </c>
      <c r="AP31">
        <f>IF(AND('Lease Cycles'!C31&gt;0,'Lease Cycles'!E31&gt;0),ROUND('Lease Cycles'!BU31/12,1),0)</f>
        <v>0</v>
      </c>
      <c r="AQ31" s="26">
        <f>IF($J$33&gt;0,J31/$J$33,0)</f>
        <v>0</v>
      </c>
      <c r="AR31" s="51"/>
      <c r="AS31" s="52"/>
      <c r="AT31" s="51"/>
      <c r="AU31" s="52"/>
      <c r="AV31" s="51"/>
      <c r="AW31" s="52"/>
      <c r="AX31" s="51"/>
      <c r="AY31" s="52"/>
      <c r="AZ31" s="49" t="s">
        <v>260</v>
      </c>
    </row>
    <row r="32">
      <c r="B32" s="47">
        <v>25</v>
      </c>
      <c r="C32" s="48"/>
      <c r="D32" s="48"/>
      <c r="E32" s="50"/>
      <c r="F32" s="26">
        <f>IF(AND(ISNUMBER(E32),a_GLA&gt;0),E32/a_GLA,0)</f>
        <v>0</v>
      </c>
      <c r="G32" s="51"/>
      <c r="H32" s="51"/>
      <c r="I32" s="52"/>
      <c r="J32" s="28">
        <f>IF(ISNUMBER(E32),E32,0)*IF(ISNUMBER(I32),I32,0)</f>
        <v>0</v>
      </c>
      <c r="K32" s="28">
        <f>J32/12</f>
        <v>0</v>
      </c>
      <c r="L32" s="53"/>
      <c r="M32" s="54"/>
      <c r="N32" s="50"/>
      <c r="O32" s="48"/>
      <c r="P32" s="49" t="s">
        <v>256</v>
      </c>
      <c r="Q32" s="53"/>
      <c r="R32" s="48"/>
      <c r="S32" s="52"/>
      <c r="T32" s="29">
        <f>IF('Lease Cycles'!C32&gt;0,'Lease Cycles'!O32,0)</f>
        <v>0</v>
      </c>
      <c r="U32" s="26">
        <f>IF(IF(ISNUMBER(I32),I32,0)&gt;0,T32/I32-1,0)</f>
        <v>0</v>
      </c>
      <c r="V32" s="55"/>
      <c r="W32" s="49" t="s">
        <v>137</v>
      </c>
      <c r="X32" s="48"/>
      <c r="Y32" s="50"/>
      <c r="Z32" s="52"/>
      <c r="AA32" s="55"/>
      <c r="AB32" s="24">
        <f>IF('Lease Cycles'!C32&gt;0,IF('Lease Cycles'!AG32=1,'Lease Cycles'!P32*(1-'Lease Cycles'!AF32),'Lease Cycles'!P32*(1-'Lease Cycles'!AE32)),0)</f>
        <v>0</v>
      </c>
      <c r="AC32" s="29">
        <f>IF('Lease Cycles'!C32&gt;0,'Lease Cycles'!S32*'Lease Cycles'!AE32+'Lease Cycles'!R32*(1-'Lease Cycles'!AE32),0)</f>
        <v>0</v>
      </c>
      <c r="AD32" s="26">
        <f>IF('Lease Cycles'!C32&gt;0,'Lease Cycles'!U32*'Lease Cycles'!AE32+'Lease Cycles'!T32*(1-'Lease Cycles'!AE32),0)</f>
        <v>0</v>
      </c>
      <c r="AE32" s="24">
        <f>IF('Lease Cycles'!C32&gt;0,'Lease Cycles'!Z32*'Lease Cycles'!AE32+'Lease Cycles'!Y32*(1-'Lease Cycles'!AE32),0)</f>
        <v>0</v>
      </c>
      <c r="AF32" s="24">
        <f>IF(AND('Lease Cycles'!C32&gt;0,'Lease Cycles'!N32=1),'Lease Cycles'!Q32,0)</f>
        <v>0</v>
      </c>
      <c r="AG32" s="57" t="str">
        <f>IF(AND('Lease Cycles'!C32&gt;0,'Lease Cycles'!BI32&lt;132),EDATE(in_AnalysisStart,IF('Lease Cycles'!AG32=1,'Lease Cycles'!BH32,'Lease Cycles'!BI32)),"")</f>
        <v/>
      </c>
      <c r="AH32" s="49" t="s">
        <v>260</v>
      </c>
      <c r="AI32" s="48"/>
      <c r="AJ32" s="52"/>
      <c r="AK32" s="53"/>
      <c r="AL32" s="52"/>
      <c r="AM32" s="53"/>
      <c r="AN32" s="26">
        <f>IF('Lease Cycles'!C32&gt;0,'Lease Cycles'!AE32,0)</f>
        <v>0</v>
      </c>
      <c r="AO32" s="58" t="str">
        <f>IF('Lease Cycles'!C32=0,"",IF('Lease Cycles'!E32=0,"Vacant",IF('Lease Cycles'!F32&gt;0,"Lease-up","In place")))</f>
        <v/>
      </c>
      <c r="AP32">
        <f>IF(AND('Lease Cycles'!C32&gt;0,'Lease Cycles'!E32&gt;0),ROUND('Lease Cycles'!BU32/12,1),0)</f>
        <v>0</v>
      </c>
      <c r="AQ32" s="26">
        <f>IF($J$33&gt;0,J32/$J$33,0)</f>
        <v>0</v>
      </c>
      <c r="AR32" s="51"/>
      <c r="AS32" s="52"/>
      <c r="AT32" s="51"/>
      <c r="AU32" s="52"/>
      <c r="AV32" s="51"/>
      <c r="AW32" s="52"/>
      <c r="AX32" s="51"/>
      <c r="AY32" s="52"/>
      <c r="AZ32" s="49" t="s">
        <v>260</v>
      </c>
    </row>
    <row r="33">
      <c r="C33" s="59" t="s">
        <v>283</v>
      </c>
      <c r="E33" s="60">
        <f>SUM(E8:E32)</f>
        <v>59700</v>
      </c>
      <c r="F33" s="61">
        <f>SUM(F8:F32)</f>
        <v>1</v>
      </c>
      <c r="I33" s="62">
        <f>IF(E33&gt;0,J33/SUMIF(I8:I32,"&gt;0",E8:E32),0)</f>
        <v>17.693467336683415</v>
      </c>
      <c r="J33" s="63">
        <f>SUM(J8:J32)</f>
        <v>1056300</v>
      </c>
      <c r="K33" s="63">
        <f>SUM(K8:K32)</f>
        <v>88025</v>
      </c>
      <c r="AQ33" s="61">
        <f>SUM(AQ8:AQ32)</f>
        <v>1</v>
      </c>
    </row>
    <row r="35" ht="30" customHeight="1">
      <c r="B35" s="21" t="s">
        <v>284</v>
      </c>
    </row>
  </sheetData>
  <sheetProtection sheet="1" objects="1" scenarios="1" formatColumns="0" formatRows="0" autoFilter="0"/>
  <mergeCells count="1">
    <mergeCell ref="B35:X35"/>
  </mergeCells>
  <dataValidations count="6">
    <dataValidation type="list" allowBlank="1" showInputMessage="1" showErrorMessage="1" sqref="W8:W32">
      <formula1>"Probability,Renew,Vacate"</formula1>
    </dataValidation>
    <dataValidation type="list" allowBlank="1" showInputMessage="1" showErrorMessage="1" sqref="P8:P32">
      <formula1>"NNN,Base year"</formula1>
    </dataValidation>
    <dataValidation type="list" allowBlank="1" showInputMessage="1" showErrorMessage="1" sqref="AH8:AH32">
      <formula1>"Yes,No"</formula1>
    </dataValidation>
    <dataValidation type="list" allowBlank="1" showInputMessage="1" showErrorMessage="1" sqref="AZ8:AZ32">
      <formula1>"Yes,No"</formula1>
    </dataValidation>
    <dataValidation type="list" allowBlank="1" showInputMessage="1" showErrorMessage="1" sqref="R8:R32">
      <formula1>"Market tier A, $16.13,Market tier B,  $18.50"</formula1>
    </dataValidation>
    <dataValidation type="decimal" allowBlank="1" showInputMessage="1" showErrorMessage="1" operator="between" sqref="V8:V32">
      <formula1>0</formula1>
      <formula2>1</formula2>
    </dataValidation>
  </dataValidations>
  <hyperlinks>
    <hyperlink ref="I2" location="'Executive Summary'!A1" display="Back to summary"/>
  </hyperlinks>
  <pageMargins left="0.5" right="0.5" top="0.6" bottom="0.6" header="0.3" footer="0.3"/>
  <pageSetup paperSize="1" orientation="landscape" fitToWidth="1" fitToHeight="0"/>
  <headerFooter>
    <oddFooter>&amp;L&amp;"Arial,Regular"&amp;8CREMODEL  &amp;P / &amp;N</oddFooter>
  </headerFooter>
  <ignoredErrors>
    <ignoredError sqref="A1:AZ35" numberStoredAsText="1" formula="1" formulaRange="1" unlockedFormula="1" emptyCellReference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F2740"/>
    <pageSetUpPr fitToPage="1"/>
  </sheetPr>
  <dimension ref="B1:J18"/>
  <sheetViews>
    <sheetView workbookViewId="0" showGridLines="0" zoomScale="90" zoomScaleNormal="9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5"/>
  <cols>
    <col min="1" max="1" width="2.5" customWidth="1"/>
    <col min="2" max="2" width="10" customWidth="1" hidden="1"/>
    <col min="3" max="3" width="36" customWidth="1"/>
    <col min="4" max="10" width="15" customWidth="1"/>
  </cols>
  <sheetData>
    <row r="1" ht="20" customHeight="1">
      <c r="C1" s="1" t="s">
        <v>0</v>
      </c>
      <c r="D1" s="2"/>
      <c r="E1" s="2"/>
      <c r="F1" s="2"/>
      <c r="G1" s="2"/>
      <c r="H1" s="2"/>
      <c r="I1" s="2"/>
      <c r="J1" s="2"/>
    </row>
    <row r="2" ht="26" customHeight="1">
      <c r="C2" s="3" t="s">
        <v>285</v>
      </c>
      <c r="I2" s="30" t="s">
        <v>65</v>
      </c>
    </row>
    <row r="3">
      <c r="C3" s="4" t="s">
        <v>2</v>
      </c>
    </row>
    <row r="4">
      <c r="C4" s="22" t="s">
        <v>286</v>
      </c>
    </row>
    <row r="7">
      <c r="B7" s="31" t="s">
        <v>287</v>
      </c>
      <c r="C7" s="31" t="s">
        <v>288</v>
      </c>
      <c r="D7" s="64" t="s">
        <v>289</v>
      </c>
      <c r="E7" s="64" t="s">
        <v>290</v>
      </c>
      <c r="F7" s="64" t="s">
        <v>291</v>
      </c>
      <c r="G7" s="64" t="s">
        <v>292</v>
      </c>
      <c r="H7" s="64" t="s">
        <v>293</v>
      </c>
    </row>
    <row r="8">
      <c r="B8" s="7" t="s">
        <v>294</v>
      </c>
      <c r="C8" s="32" t="s">
        <v>295</v>
      </c>
      <c r="D8" s="28">
        <v>991000</v>
      </c>
      <c r="E8" s="28">
        <v>1008000</v>
      </c>
      <c r="F8" s="28">
        <v>1019000</v>
      </c>
      <c r="G8" s="28">
        <f>'Cash Flow'!E12</f>
        <v>1026700</v>
      </c>
      <c r="H8" s="26">
        <f>IF(ISNUMBER(F8),IF(F8&lt;&gt;0,G8/F8-1,""),"")</f>
        <v>0.00755642787046118</v>
      </c>
    </row>
    <row r="9">
      <c r="B9" s="7" t="s">
        <v>296</v>
      </c>
      <c r="C9" s="32" t="s">
        <v>297</v>
      </c>
      <c r="D9" s="28">
        <v>352000</v>
      </c>
      <c r="E9" s="28">
        <v>366000</v>
      </c>
      <c r="F9" s="28">
        <v>371000</v>
      </c>
      <c r="G9" s="28">
        <f>'Cash Flow'!E15</f>
        <v>275870</v>
      </c>
      <c r="H9" s="26">
        <f>IF(ISNUMBER(F9),IF(F9&lt;&gt;0,G9/F9-1,""),"")</f>
        <v>-0.2564150943396226</v>
      </c>
    </row>
    <row r="10">
      <c r="B10" s="7" t="s">
        <v>298</v>
      </c>
      <c r="C10" s="32" t="s">
        <v>299</v>
      </c>
      <c r="D10" s="28">
        <v>9000</v>
      </c>
      <c r="E10" s="28">
        <v>9500</v>
      </c>
      <c r="F10" s="28">
        <v>9800</v>
      </c>
      <c r="G10" s="28">
        <f>'Cash Flow'!E20+'Cash Flow'!E16</f>
        <v>0</v>
      </c>
      <c r="H10" s="26">
        <f>IF(ISNUMBER(F10),IF(F10&lt;&gt;0,G10/F10-1,""),"")</f>
        <v>-1</v>
      </c>
    </row>
    <row r="11">
      <c r="B11" s="7" t="s">
        <v>300</v>
      </c>
      <c r="C11" s="32" t="s">
        <v>301</v>
      </c>
      <c r="D11" s="28"/>
      <c r="E11" s="28"/>
      <c r="F11" s="28"/>
      <c r="G11" s="28">
        <f>'Cash Flow'!E27</f>
        <v>-20242.501261585156</v>
      </c>
      <c r="H11" s="26" t="str">
        <f>IF(ISNUMBER(F11),IF(F11&lt;&gt;0,G11/F11-1,""),"")</f>
        <v/>
      </c>
    </row>
    <row r="12">
      <c r="B12" s="7" t="s">
        <v>302</v>
      </c>
      <c r="C12" s="65" t="s">
        <v>303</v>
      </c>
      <c r="D12" s="28"/>
      <c r="E12" s="28"/>
      <c r="F12" s="28"/>
      <c r="G12" s="28">
        <f>'Cash Flow'!E28</f>
        <v>1282327.4987384148</v>
      </c>
      <c r="H12" s="26" t="str">
        <f>IF(ISNUMBER(F12),IF(F12&lt;&gt;0,G12/F12-1,""),"")</f>
        <v/>
      </c>
    </row>
    <row r="13">
      <c r="B13" s="7" t="s">
        <v>304</v>
      </c>
      <c r="C13" s="32" t="s">
        <v>305</v>
      </c>
      <c r="D13" s="28">
        <v>405000</v>
      </c>
      <c r="E13" s="28">
        <v>414000</v>
      </c>
      <c r="F13" s="28">
        <v>420000</v>
      </c>
      <c r="G13" s="28">
        <f>-'Cash Flow'!E36</f>
        <v>330999.82496215246</v>
      </c>
      <c r="H13" s="26">
        <f>IF(ISNUMBER(F13),IF(F13&lt;&gt;0,G13/F13-1,""),"")</f>
        <v>-0.2119051786615418</v>
      </c>
    </row>
    <row r="14">
      <c r="B14" s="7" t="s">
        <v>306</v>
      </c>
      <c r="C14" s="65" t="s">
        <v>307</v>
      </c>
      <c r="D14" s="28">
        <v>947000</v>
      </c>
      <c r="E14" s="28">
        <v>969500</v>
      </c>
      <c r="F14" s="28">
        <v>979800</v>
      </c>
      <c r="G14" s="28">
        <f>'Cash Flow'!E37</f>
        <v>951327.6737762624</v>
      </c>
      <c r="H14" s="26">
        <f>IF(ISNUMBER(F14),IF(F14&lt;&gt;0,G14/F14-1,""),"")</f>
        <v>-0.02905932458025884</v>
      </c>
    </row>
    <row r="16">
      <c r="C16" s="32" t="s">
        <v>308</v>
      </c>
      <c r="D16" s="28"/>
    </row>
    <row r="17">
      <c r="C17" s="32" t="s">
        <v>309</v>
      </c>
      <c r="D17" s="28">
        <f>out_NOI_Y1</f>
        <v>951327.6737762624</v>
      </c>
    </row>
    <row r="18">
      <c r="C18" s="32" t="s">
        <v>310</v>
      </c>
      <c r="D18" s="28" t="str">
        <f>IF(ISNUMBER(D16),D17-D16,"")</f>
        <v/>
      </c>
    </row>
  </sheetData>
  <sheetProtection sheet="1" objects="1" scenarios="1" formatColumns="0" formatRows="0" autoFilter="0"/>
  <hyperlinks>
    <hyperlink ref="I2" location="'Executive Summary'!A1" display="Back to summary"/>
  </hyperlinks>
  <pageMargins left="0.5" right="0.5" top="0.6" bottom="0.6" header="0.3" footer="0.3"/>
  <pageSetup paperSize="1" orientation="landscape" fitToWidth="1" fitToHeight="0"/>
  <headerFooter>
    <oddFooter>&amp;L&amp;"Arial,Regular"&amp;8CREMODEL  &amp;P / &amp;N</oddFooter>
  </headerFooter>
  <ignoredErrors>
    <ignoredError sqref="A1:J18" numberStoredAsText="1" formula="1" formulaRange="1" unlockedFormula="1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19A7A5"/>
    <pageSetUpPr fitToPage="1"/>
  </sheetPr>
  <dimension ref="B1:Q135"/>
  <sheetViews>
    <sheetView workbookViewId="0" showGridLines="0" zoomScale="90" zoomScaleNormal="9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defaultRowHeight="15"/>
  <cols>
    <col min="1" max="1" width="2.5" customWidth="1"/>
    <col min="2" max="2" width="44" customWidth="1"/>
    <col min="3" max="3" width="15" customWidth="1"/>
    <col min="4" max="4" width="13" customWidth="1"/>
    <col min="5" max="5" width="9" customWidth="1"/>
    <col min="6" max="6" width="7" customWidth="1"/>
    <col min="7" max="17" width="11" customWidth="1"/>
  </cols>
  <sheetData>
    <row r="1" ht="20" customHeight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6" customHeight="1">
      <c r="B2" s="3" t="s">
        <v>311</v>
      </c>
      <c r="I2" s="30" t="s">
        <v>65</v>
      </c>
    </row>
    <row r="3">
      <c r="B3" s="4" t="s">
        <v>2</v>
      </c>
    </row>
    <row r="4">
      <c r="B4" s="22" t="s">
        <v>312</v>
      </c>
    </row>
    <row r="7">
      <c r="B7" s="6" t="s">
        <v>313</v>
      </c>
      <c r="C7" s="6"/>
      <c r="D7" s="6"/>
      <c r="E7" s="6"/>
      <c r="F7" s="6"/>
      <c r="G7" s="6"/>
    </row>
    <row r="8">
      <c r="B8" s="32" t="s">
        <v>314</v>
      </c>
      <c r="C8" s="66">
        <v>46388</v>
      </c>
      <c r="D8" s="7" t="s">
        <v>75</v>
      </c>
      <c r="E8" s="35" t="s">
        <v>76</v>
      </c>
      <c r="F8" s="34"/>
      <c r="G8" s="22"/>
    </row>
    <row r="9">
      <c r="B9" s="32" t="s">
        <v>315</v>
      </c>
      <c r="C9" s="67">
        <v>7</v>
      </c>
      <c r="D9" s="7" t="s">
        <v>316</v>
      </c>
      <c r="E9" s="35" t="s">
        <v>76</v>
      </c>
      <c r="F9" s="34"/>
      <c r="G9" s="22"/>
    </row>
    <row r="10">
      <c r="B10" s="32" t="s">
        <v>8</v>
      </c>
      <c r="C10" s="68">
        <v>9369000</v>
      </c>
      <c r="D10" s="7" t="s">
        <v>317</v>
      </c>
      <c r="E10" s="35" t="s">
        <v>76</v>
      </c>
      <c r="F10" s="34"/>
      <c r="G10" s="22"/>
    </row>
    <row r="11">
      <c r="B11" s="32" t="s">
        <v>318</v>
      </c>
      <c r="C11" s="69">
        <v>59700</v>
      </c>
      <c r="D11" s="7" t="s">
        <v>206</v>
      </c>
      <c r="E11" s="35" t="s">
        <v>82</v>
      </c>
      <c r="F11" s="34">
        <v>4</v>
      </c>
      <c r="G11" s="22"/>
    </row>
    <row r="12">
      <c r="B12" s="32" t="s">
        <v>319</v>
      </c>
      <c r="C12" s="70">
        <v>0.015</v>
      </c>
      <c r="D12" s="7" t="s">
        <v>320</v>
      </c>
      <c r="E12" s="35" t="s">
        <v>76</v>
      </c>
      <c r="F12" s="34"/>
      <c r="G12" s="22"/>
    </row>
    <row r="13">
      <c r="B13" s="32" t="s">
        <v>321</v>
      </c>
      <c r="C13" s="68">
        <v>0</v>
      </c>
      <c r="D13" s="7" t="s">
        <v>317</v>
      </c>
      <c r="E13" s="35" t="s">
        <v>76</v>
      </c>
      <c r="F13" s="34"/>
      <c r="G13" s="22"/>
    </row>
    <row r="14">
      <c r="B14" s="32" t="s">
        <v>319</v>
      </c>
      <c r="C14" s="38">
        <f>in_PurchasePrice*in_ClosingCostPct+a_ClosingOther</f>
        <v>140535</v>
      </c>
      <c r="D14" s="7" t="s">
        <v>317</v>
      </c>
      <c r="E14" s="71" t="s">
        <v>93</v>
      </c>
    </row>
    <row r="15">
      <c r="B15" s="32" t="s">
        <v>322</v>
      </c>
      <c r="C15" s="68">
        <v>16000</v>
      </c>
      <c r="D15" s="7" t="s">
        <v>317</v>
      </c>
      <c r="E15" s="35" t="s">
        <v>76</v>
      </c>
      <c r="F15" s="34"/>
      <c r="G15" s="22"/>
    </row>
    <row r="16">
      <c r="B16" s="32" t="s">
        <v>323</v>
      </c>
      <c r="C16" s="38">
        <f>SUM('Model Calc'!E50:O50)</f>
        <v>35591.77278715812</v>
      </c>
      <c r="D16" s="7" t="s">
        <v>317</v>
      </c>
      <c r="E16" s="71" t="s">
        <v>93</v>
      </c>
    </row>
    <row r="17">
      <c r="B17" s="32" t="s">
        <v>324</v>
      </c>
      <c r="C17" s="38">
        <f>in_PurchasePrice+out_ClosingCosts+a_UpfrontOther+a_LeaseUpReserve</f>
        <v>9561126.772787157</v>
      </c>
      <c r="D17" s="7" t="s">
        <v>317</v>
      </c>
      <c r="E17" s="71" t="s">
        <v>93</v>
      </c>
    </row>
    <row r="19">
      <c r="B19" s="6" t="s">
        <v>325</v>
      </c>
      <c r="C19" s="6"/>
      <c r="D19" s="6"/>
      <c r="E19" s="6"/>
      <c r="F19" s="6"/>
      <c r="G19" s="6"/>
    </row>
    <row r="20">
      <c r="B20" s="32" t="s">
        <v>326</v>
      </c>
      <c r="C20" s="70">
        <v>0.03</v>
      </c>
      <c r="D20" s="7" t="s">
        <v>327</v>
      </c>
      <c r="E20" s="35" t="s">
        <v>82</v>
      </c>
      <c r="F20" s="34"/>
      <c r="G20" s="22"/>
    </row>
    <row r="21">
      <c r="B21" s="32" t="s">
        <v>328</v>
      </c>
      <c r="C21" s="70">
        <v>0.02</v>
      </c>
      <c r="D21" s="7" t="s">
        <v>327</v>
      </c>
      <c r="E21" s="35" t="s">
        <v>76</v>
      </c>
      <c r="F21" s="34"/>
      <c r="G21" s="22"/>
    </row>
    <row r="22">
      <c r="B22" s="32" t="s">
        <v>88</v>
      </c>
      <c r="C22" s="70">
        <v>0.025</v>
      </c>
      <c r="D22" s="7" t="s">
        <v>327</v>
      </c>
      <c r="E22" s="35" t="s">
        <v>82</v>
      </c>
      <c r="F22" s="34"/>
      <c r="G22" s="22"/>
    </row>
    <row r="23">
      <c r="B23" s="32" t="s">
        <v>329</v>
      </c>
      <c r="C23" s="70">
        <v>0.025</v>
      </c>
      <c r="D23" s="7" t="s">
        <v>327</v>
      </c>
      <c r="E23" s="35" t="s">
        <v>76</v>
      </c>
      <c r="F23" s="34"/>
      <c r="G23" s="22"/>
    </row>
    <row r="24">
      <c r="B24" s="32" t="s">
        <v>330</v>
      </c>
      <c r="C24" s="70">
        <v>0.025</v>
      </c>
      <c r="D24" s="7" t="s">
        <v>327</v>
      </c>
      <c r="E24" s="35" t="s">
        <v>76</v>
      </c>
      <c r="F24" s="34"/>
      <c r="G24" s="22"/>
    </row>
    <row r="25">
      <c r="B25" s="32" t="s">
        <v>331</v>
      </c>
      <c r="C25" s="70">
        <v>0.04</v>
      </c>
      <c r="D25" s="7" t="s">
        <v>332</v>
      </c>
      <c r="E25" s="35" t="s">
        <v>76</v>
      </c>
      <c r="F25" s="34"/>
      <c r="G25" s="22"/>
    </row>
    <row r="26">
      <c r="B26" s="32" t="s">
        <v>90</v>
      </c>
      <c r="C26" s="70">
        <v>0.01</v>
      </c>
      <c r="D26" s="7" t="s">
        <v>333</v>
      </c>
      <c r="E26" s="35" t="s">
        <v>76</v>
      </c>
      <c r="F26" s="34"/>
      <c r="G26" s="22"/>
    </row>
    <row r="27">
      <c r="B27" s="32" t="s">
        <v>334</v>
      </c>
      <c r="C27" s="67">
        <v>1</v>
      </c>
      <c r="D27" s="7" t="s">
        <v>335</v>
      </c>
      <c r="E27" s="35" t="s">
        <v>76</v>
      </c>
      <c r="F27" s="34"/>
      <c r="G27" s="22"/>
    </row>
    <row r="28">
      <c r="B28" s="32" t="s">
        <v>336</v>
      </c>
      <c r="C28" s="49" t="s">
        <v>260</v>
      </c>
      <c r="E28" s="35" t="s">
        <v>76</v>
      </c>
    </row>
    <row r="29">
      <c r="B29" s="32" t="s">
        <v>337</v>
      </c>
      <c r="C29" s="70">
        <v>0.06</v>
      </c>
      <c r="D29" s="7" t="s">
        <v>338</v>
      </c>
      <c r="E29" s="35" t="s">
        <v>76</v>
      </c>
      <c r="F29" s="34"/>
      <c r="G29" s="22"/>
    </row>
    <row r="30">
      <c r="B30" s="32" t="s">
        <v>339</v>
      </c>
      <c r="C30" s="49" t="s">
        <v>256</v>
      </c>
      <c r="E30" s="35" t="s">
        <v>76</v>
      </c>
    </row>
    <row r="32">
      <c r="B32" s="6" t="s">
        <v>340</v>
      </c>
      <c r="C32" s="6"/>
      <c r="D32" s="6"/>
      <c r="E32" s="6"/>
      <c r="F32" s="6"/>
      <c r="G32" s="6"/>
    </row>
    <row r="33">
      <c r="B33" s="32" t="s">
        <v>341</v>
      </c>
      <c r="C33" s="72">
        <v>0.15</v>
      </c>
      <c r="D33" s="7" t="s">
        <v>342</v>
      </c>
      <c r="E33" s="35" t="s">
        <v>82</v>
      </c>
      <c r="F33" s="34">
        <v>21</v>
      </c>
      <c r="G33" s="22" t="s">
        <v>178</v>
      </c>
    </row>
    <row r="34">
      <c r="B34" s="32" t="s">
        <v>343</v>
      </c>
      <c r="C34" s="72">
        <v>0.1</v>
      </c>
      <c r="D34" s="7" t="s">
        <v>342</v>
      </c>
      <c r="E34" s="35" t="s">
        <v>82</v>
      </c>
      <c r="F34" s="34">
        <v>21</v>
      </c>
      <c r="G34" s="22" t="s">
        <v>178</v>
      </c>
    </row>
    <row r="35">
      <c r="B35" s="32" t="s">
        <v>344</v>
      </c>
      <c r="C35" s="72">
        <v>0.2</v>
      </c>
      <c r="D35" s="7" t="s">
        <v>342</v>
      </c>
      <c r="E35" s="35" t="s">
        <v>82</v>
      </c>
      <c r="F35" s="34">
        <v>21</v>
      </c>
      <c r="G35" s="22" t="s">
        <v>178</v>
      </c>
    </row>
    <row r="36">
      <c r="B36" s="32" t="s">
        <v>345</v>
      </c>
      <c r="C36" s="72">
        <v>0.1</v>
      </c>
      <c r="D36" s="7" t="s">
        <v>342</v>
      </c>
      <c r="E36" s="35" t="s">
        <v>82</v>
      </c>
      <c r="F36" s="34">
        <v>21</v>
      </c>
      <c r="G36" s="22" t="s">
        <v>178</v>
      </c>
    </row>
    <row r="37">
      <c r="B37" s="32" t="s">
        <v>346</v>
      </c>
      <c r="C37" s="72">
        <v>0.65</v>
      </c>
      <c r="D37" s="7" t="s">
        <v>342</v>
      </c>
      <c r="E37" s="35" t="s">
        <v>82</v>
      </c>
      <c r="F37" s="34">
        <v>21</v>
      </c>
      <c r="G37" s="22" t="s">
        <v>178</v>
      </c>
    </row>
    <row r="38">
      <c r="B38" s="32" t="s">
        <v>347</v>
      </c>
      <c r="C38" s="72">
        <v>0</v>
      </c>
      <c r="D38" s="7" t="s">
        <v>342</v>
      </c>
      <c r="E38" s="35" t="s">
        <v>82</v>
      </c>
      <c r="F38" s="34">
        <v>21</v>
      </c>
      <c r="G38" s="22"/>
    </row>
    <row r="39">
      <c r="B39" s="32" t="s">
        <v>348</v>
      </c>
      <c r="C39" s="72">
        <v>0.25</v>
      </c>
      <c r="D39" s="7" t="s">
        <v>342</v>
      </c>
      <c r="E39" s="35" t="s">
        <v>82</v>
      </c>
      <c r="F39" s="34">
        <v>21</v>
      </c>
      <c r="G39" s="22" t="s">
        <v>178</v>
      </c>
    </row>
    <row r="40">
      <c r="B40" s="32" t="s">
        <v>349</v>
      </c>
      <c r="C40" s="72">
        <v>0</v>
      </c>
      <c r="D40" s="7" t="s">
        <v>342</v>
      </c>
      <c r="E40" s="35" t="s">
        <v>82</v>
      </c>
      <c r="F40" s="34">
        <v>21</v>
      </c>
      <c r="G40" s="22"/>
    </row>
    <row r="41">
      <c r="B41" s="32" t="s">
        <v>350</v>
      </c>
      <c r="C41" s="72">
        <v>0</v>
      </c>
      <c r="D41" s="7" t="s">
        <v>342</v>
      </c>
      <c r="E41" s="35" t="s">
        <v>82</v>
      </c>
      <c r="F41" s="34">
        <v>21</v>
      </c>
      <c r="G41" s="22"/>
    </row>
    <row r="42">
      <c r="B42" s="32" t="s">
        <v>351</v>
      </c>
      <c r="C42" s="41">
        <f>SUM($C$33:$C$41)</f>
        <v>1.45</v>
      </c>
      <c r="D42" s="7" t="s">
        <v>342</v>
      </c>
      <c r="E42" s="71" t="s">
        <v>93</v>
      </c>
    </row>
    <row r="43">
      <c r="B43" s="32" t="s">
        <v>352</v>
      </c>
      <c r="C43" s="72">
        <v>3</v>
      </c>
      <c r="D43" s="7" t="s">
        <v>342</v>
      </c>
      <c r="E43" s="35" t="s">
        <v>76</v>
      </c>
      <c r="F43" s="34"/>
      <c r="G43" s="22"/>
    </row>
    <row r="44">
      <c r="B44" s="32" t="s">
        <v>353</v>
      </c>
      <c r="C44" s="72">
        <v>0.45</v>
      </c>
      <c r="D44" s="7" t="s">
        <v>342</v>
      </c>
      <c r="E44" s="35" t="s">
        <v>82</v>
      </c>
      <c r="F44" s="34">
        <v>21</v>
      </c>
      <c r="G44" s="22" t="s">
        <v>178</v>
      </c>
    </row>
    <row r="45">
      <c r="B45" s="32" t="s">
        <v>354</v>
      </c>
      <c r="C45" s="72">
        <v>0</v>
      </c>
      <c r="D45" s="7" t="s">
        <v>342</v>
      </c>
      <c r="E45" s="35" t="s">
        <v>82</v>
      </c>
      <c r="F45" s="34">
        <v>21</v>
      </c>
      <c r="G45" s="22"/>
    </row>
    <row r="46">
      <c r="B46" s="32" t="s">
        <v>355</v>
      </c>
      <c r="C46" s="70">
        <v>0.03</v>
      </c>
      <c r="D46" s="7" t="s">
        <v>356</v>
      </c>
      <c r="E46" s="35" t="s">
        <v>82</v>
      </c>
      <c r="F46" s="34">
        <v>21</v>
      </c>
      <c r="G46" s="22"/>
    </row>
    <row r="47">
      <c r="B47" s="32" t="s">
        <v>357</v>
      </c>
      <c r="C47" s="68">
        <v>0</v>
      </c>
      <c r="D47" s="7" t="s">
        <v>358</v>
      </c>
      <c r="E47" s="35" t="s">
        <v>76</v>
      </c>
      <c r="F47" s="34"/>
      <c r="G47" s="22"/>
    </row>
    <row r="48">
      <c r="B48" s="31" t="s">
        <v>359</v>
      </c>
      <c r="C48" s="64" t="s">
        <v>360</v>
      </c>
      <c r="D48" s="64" t="s">
        <v>361</v>
      </c>
      <c r="E48" s="64" t="s">
        <v>362</v>
      </c>
    </row>
    <row r="49">
      <c r="B49" s="32" t="s">
        <v>363</v>
      </c>
      <c r="C49" s="54"/>
      <c r="D49" s="73"/>
      <c r="E49" s="74"/>
    </row>
    <row r="50">
      <c r="B50" s="32" t="s">
        <v>364</v>
      </c>
      <c r="C50" s="54"/>
      <c r="D50" s="73"/>
      <c r="E50" s="74"/>
    </row>
    <row r="51">
      <c r="B51" s="32" t="s">
        <v>365</v>
      </c>
      <c r="C51" s="54"/>
      <c r="D51" s="73"/>
      <c r="E51" s="74"/>
    </row>
    <row r="53">
      <c r="B53" s="6" t="s">
        <v>366</v>
      </c>
      <c r="C53" s="6"/>
      <c r="D53" s="6"/>
      <c r="E53" s="6"/>
      <c r="F53" s="6"/>
      <c r="G53" s="6"/>
    </row>
    <row r="54">
      <c r="B54" s="31" t="s">
        <v>367</v>
      </c>
      <c r="C54" s="64" t="s">
        <v>368</v>
      </c>
      <c r="D54" s="64" t="s">
        <v>369</v>
      </c>
      <c r="E54" s="64" t="s">
        <v>370</v>
      </c>
      <c r="F54" s="64" t="s">
        <v>371</v>
      </c>
      <c r="G54" s="64" t="s">
        <v>372</v>
      </c>
      <c r="H54" s="22" t="s">
        <v>373</v>
      </c>
    </row>
    <row r="55">
      <c r="B55" s="48"/>
      <c r="C55" s="75"/>
      <c r="D55" s="54"/>
      <c r="E55" s="73"/>
      <c r="F55" s="54"/>
      <c r="G55" s="49" t="s">
        <v>374</v>
      </c>
    </row>
    <row r="56">
      <c r="B56" s="48"/>
      <c r="C56" s="75"/>
      <c r="D56" s="54"/>
      <c r="E56" s="73"/>
      <c r="F56" s="54"/>
      <c r="G56" s="49" t="s">
        <v>374</v>
      </c>
    </row>
    <row r="57">
      <c r="B57" s="48"/>
      <c r="C57" s="75"/>
      <c r="D57" s="54"/>
      <c r="E57" s="73"/>
      <c r="F57" s="54"/>
      <c r="G57" s="49" t="s">
        <v>374</v>
      </c>
    </row>
    <row r="59">
      <c r="B59" s="6" t="s">
        <v>375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ht="42" customHeight="1">
      <c r="B60" s="46" t="s">
        <v>376</v>
      </c>
      <c r="C60" s="46" t="s">
        <v>221</v>
      </c>
      <c r="D60" s="46" t="s">
        <v>377</v>
      </c>
      <c r="E60" s="46" t="s">
        <v>233</v>
      </c>
      <c r="F60" s="46" t="s">
        <v>378</v>
      </c>
      <c r="G60" s="46" t="s">
        <v>379</v>
      </c>
      <c r="H60" s="46" t="s">
        <v>380</v>
      </c>
      <c r="I60" s="46" t="s">
        <v>381</v>
      </c>
      <c r="J60" s="46" t="s">
        <v>382</v>
      </c>
      <c r="K60" s="46" t="s">
        <v>383</v>
      </c>
      <c r="L60" s="46" t="s">
        <v>384</v>
      </c>
      <c r="M60" s="46" t="s">
        <v>385</v>
      </c>
      <c r="N60" s="46" t="s">
        <v>386</v>
      </c>
      <c r="O60" s="46" t="s">
        <v>387</v>
      </c>
      <c r="P60" s="46" t="s">
        <v>388</v>
      </c>
      <c r="Q60" s="46" t="s">
        <v>389</v>
      </c>
    </row>
    <row r="61">
      <c r="B61" s="48" t="s">
        <v>257</v>
      </c>
      <c r="C61" s="52">
        <v>16.13</v>
      </c>
      <c r="D61" s="50">
        <v>6</v>
      </c>
      <c r="E61" s="50">
        <v>7.25</v>
      </c>
      <c r="F61" s="55">
        <v>0.8</v>
      </c>
      <c r="G61" s="52">
        <v>16</v>
      </c>
      <c r="H61" s="52">
        <v>4</v>
      </c>
      <c r="I61" s="55">
        <v>0.05</v>
      </c>
      <c r="J61" s="55">
        <v>0.02</v>
      </c>
      <c r="K61" s="55">
        <v>0.1</v>
      </c>
      <c r="L61" s="76">
        <v>5</v>
      </c>
      <c r="M61" s="55"/>
      <c r="N61" s="50">
        <v>3</v>
      </c>
      <c r="O61" s="50">
        <v>0</v>
      </c>
      <c r="P61" s="53">
        <v>1</v>
      </c>
      <c r="Q61" s="24">
        <f>IF(B61="",0,IF(K61=0,ROUNDUP(MAX(12,ROUND(12*E61,0))/12,0),MAX(1,L61)*((1+K61)^INT(ROUNDUP(MAX(12,ROUND(12*E61,0))/12,0)/MAX(1,L61))-1)/K61+(ROUNDUP(MAX(12,ROUND(12*E61,0))/12,0)-INT(ROUNDUP(MAX(12,ROUND(12*E61,0))/12,0)/MAX(1,L61))*MAX(1,L61))*(1+K61)^INT(ROUNDUP(MAX(12,ROUND(12*E61,0))/12,0)/MAX(1,L61))))</f>
        <v>8.300000000000004</v>
      </c>
    </row>
    <row r="62">
      <c r="B62" s="48" t="s">
        <v>268</v>
      </c>
      <c r="C62" s="52">
        <v>18.5</v>
      </c>
      <c r="D62" s="50">
        <v>6</v>
      </c>
      <c r="E62" s="50">
        <v>7.25</v>
      </c>
      <c r="F62" s="55">
        <v>0.8</v>
      </c>
      <c r="G62" s="52">
        <v>15</v>
      </c>
      <c r="H62" s="52">
        <v>5</v>
      </c>
      <c r="I62" s="55">
        <v>0.05</v>
      </c>
      <c r="J62" s="55">
        <v>0.02</v>
      </c>
      <c r="K62" s="55">
        <v>0.03</v>
      </c>
      <c r="L62" s="76">
        <v>1</v>
      </c>
      <c r="M62" s="55"/>
      <c r="N62" s="50">
        <v>3</v>
      </c>
      <c r="O62" s="50">
        <v>0</v>
      </c>
      <c r="P62" s="53">
        <v>1</v>
      </c>
      <c r="Q62" s="24">
        <f>IF(B62="",0,IF(K62=0,ROUNDUP(MAX(12,ROUND(12*E62,0))/12,0),MAX(1,L62)*((1+K62)^INT(ROUNDUP(MAX(12,ROUND(12*E62,0))/12,0)/MAX(1,L62))-1)/K62+(ROUNDUP(MAX(12,ROUND(12*E62,0))/12,0)-INT(ROUNDUP(MAX(12,ROUND(12*E62,0))/12,0)/MAX(1,L62))*MAX(1,L62))*(1+K62)^INT(ROUNDUP(MAX(12,ROUND(12*E62,0))/12,0)/MAX(1,L62))))</f>
        <v>8.89233604625388</v>
      </c>
    </row>
    <row r="63">
      <c r="B63" s="48"/>
      <c r="C63" s="52"/>
      <c r="D63" s="50"/>
      <c r="E63" s="50"/>
      <c r="F63" s="55"/>
      <c r="G63" s="52"/>
      <c r="H63" s="52"/>
      <c r="I63" s="55"/>
      <c r="J63" s="55"/>
      <c r="K63" s="55"/>
      <c r="L63" s="76"/>
      <c r="M63" s="55"/>
      <c r="N63" s="50"/>
      <c r="O63" s="50"/>
      <c r="P63" s="53"/>
      <c r="Q63" s="24">
        <f>IF(B63="",0,IF(K63=0,ROUNDUP(MAX(12,ROUND(12*E63,0))/12,0),MAX(1,L63)*((1+K63)^INT(ROUNDUP(MAX(12,ROUND(12*E63,0))/12,0)/MAX(1,L63))-1)/K63+(ROUNDUP(MAX(12,ROUND(12*E63,0))/12,0)-INT(ROUNDUP(MAX(12,ROUND(12*E63,0))/12,0)/MAX(1,L63))*MAX(1,L63))*(1+K63)^INT(ROUNDUP(MAX(12,ROUND(12*E63,0))/12,0)/MAX(1,L63))))</f>
        <v>0</v>
      </c>
    </row>
    <row r="64">
      <c r="B64" s="48"/>
      <c r="C64" s="52"/>
      <c r="D64" s="50"/>
      <c r="E64" s="50"/>
      <c r="F64" s="55"/>
      <c r="G64" s="52"/>
      <c r="H64" s="52"/>
      <c r="I64" s="55"/>
      <c r="J64" s="55"/>
      <c r="K64" s="55"/>
      <c r="L64" s="76"/>
      <c r="M64" s="55"/>
      <c r="N64" s="50"/>
      <c r="O64" s="50"/>
      <c r="P64" s="53"/>
      <c r="Q64" s="24">
        <f>IF(B64="",0,IF(K64=0,ROUNDUP(MAX(12,ROUND(12*E64,0))/12,0),MAX(1,L64)*((1+K64)^INT(ROUNDUP(MAX(12,ROUND(12*E64,0))/12,0)/MAX(1,L64))-1)/K64+(ROUNDUP(MAX(12,ROUND(12*E64,0))/12,0)-INT(ROUNDUP(MAX(12,ROUND(12*E64,0))/12,0)/MAX(1,L64))*MAX(1,L64))*(1+K64)^INT(ROUNDUP(MAX(12,ROUND(12*E64,0))/12,0)/MAX(1,L64))))</f>
        <v>0</v>
      </c>
    </row>
    <row r="65">
      <c r="B65" s="48"/>
      <c r="C65" s="52"/>
      <c r="D65" s="50"/>
      <c r="E65" s="50"/>
      <c r="F65" s="55"/>
      <c r="G65" s="52"/>
      <c r="H65" s="52"/>
      <c r="I65" s="55"/>
      <c r="J65" s="55"/>
      <c r="K65" s="55"/>
      <c r="L65" s="76"/>
      <c r="M65" s="55"/>
      <c r="N65" s="50"/>
      <c r="O65" s="50"/>
      <c r="P65" s="53"/>
      <c r="Q65" s="24">
        <f>IF(B65="",0,IF(K65=0,ROUNDUP(MAX(12,ROUND(12*E65,0))/12,0),MAX(1,L65)*((1+K65)^INT(ROUNDUP(MAX(12,ROUND(12*E65,0))/12,0)/MAX(1,L65))-1)/K65+(ROUNDUP(MAX(12,ROUND(12*E65,0))/12,0)-INT(ROUNDUP(MAX(12,ROUND(12*E65,0))/12,0)/MAX(1,L65))*MAX(1,L65))*(1+K65)^INT(ROUNDUP(MAX(12,ROUND(12*E65,0))/12,0)/MAX(1,L65))))</f>
        <v>0</v>
      </c>
    </row>
    <row r="66">
      <c r="B66" s="48"/>
      <c r="C66" s="52"/>
      <c r="D66" s="50"/>
      <c r="E66" s="50"/>
      <c r="F66" s="55"/>
      <c r="G66" s="52"/>
      <c r="H66" s="52"/>
      <c r="I66" s="55"/>
      <c r="J66" s="55"/>
      <c r="K66" s="55"/>
      <c r="L66" s="76"/>
      <c r="M66" s="55"/>
      <c r="N66" s="50"/>
      <c r="O66" s="50"/>
      <c r="P66" s="53"/>
      <c r="Q66" s="24">
        <f>IF(B66="",0,IF(K66=0,ROUNDUP(MAX(12,ROUND(12*E66,0))/12,0),MAX(1,L66)*((1+K66)^INT(ROUNDUP(MAX(12,ROUND(12*E66,0))/12,0)/MAX(1,L66))-1)/K66+(ROUNDUP(MAX(12,ROUND(12*E66,0))/12,0)-INT(ROUNDUP(MAX(12,ROUND(12*E66,0))/12,0)/MAX(1,L66))*MAX(1,L66))*(1+K66)^INT(ROUNDUP(MAX(12,ROUND(12*E66,0))/12,0)/MAX(1,L66))))</f>
        <v>0</v>
      </c>
    </row>
    <row r="67" ht="30" customHeight="1">
      <c r="B67" s="21" t="s">
        <v>390</v>
      </c>
    </row>
    <row r="69">
      <c r="B69" s="6" t="s">
        <v>391</v>
      </c>
      <c r="C69" s="6"/>
      <c r="D69" s="6"/>
      <c r="E69" s="6"/>
      <c r="F69" s="6"/>
      <c r="G69" s="6"/>
    </row>
    <row r="70">
      <c r="B70" s="31" t="s">
        <v>392</v>
      </c>
      <c r="C70" s="64" t="s">
        <v>59</v>
      </c>
      <c r="D70" s="64" t="s">
        <v>393</v>
      </c>
      <c r="E70" s="64" t="s">
        <v>394</v>
      </c>
      <c r="F70" s="46" t="s">
        <v>395</v>
      </c>
    </row>
    <row r="71">
      <c r="B71" s="48"/>
      <c r="C71" s="50"/>
      <c r="D71" s="75"/>
      <c r="E71" s="54"/>
      <c r="F71" s="54"/>
    </row>
    <row r="72">
      <c r="B72" s="48"/>
      <c r="C72" s="50"/>
      <c r="D72" s="75"/>
      <c r="E72" s="54"/>
      <c r="F72" s="54"/>
    </row>
    <row r="73">
      <c r="B73" s="48"/>
      <c r="C73" s="50"/>
      <c r="D73" s="75"/>
      <c r="E73" s="54"/>
      <c r="F73" s="54"/>
    </row>
    <row r="74">
      <c r="B74" s="48"/>
      <c r="C74" s="50"/>
      <c r="D74" s="75"/>
      <c r="E74" s="54"/>
      <c r="F74" s="54"/>
    </row>
    <row r="75">
      <c r="B75" s="32" t="s">
        <v>396</v>
      </c>
      <c r="C75" s="72">
        <v>0.2</v>
      </c>
      <c r="D75" s="7" t="s">
        <v>342</v>
      </c>
      <c r="E75" s="35" t="s">
        <v>76</v>
      </c>
      <c r="F75" s="34"/>
      <c r="G75" s="22"/>
    </row>
    <row r="77">
      <c r="B77" s="6" t="s">
        <v>397</v>
      </c>
      <c r="C77" s="6"/>
      <c r="D77" s="6"/>
      <c r="E77" s="6"/>
      <c r="F77" s="6"/>
      <c r="G77" s="6"/>
    </row>
    <row r="78">
      <c r="B78" s="31" t="s">
        <v>398</v>
      </c>
      <c r="C78" s="46" t="s">
        <v>399</v>
      </c>
      <c r="D78" s="64" t="s">
        <v>394</v>
      </c>
      <c r="E78" s="46" t="s">
        <v>395</v>
      </c>
    </row>
    <row r="79">
      <c r="B79" s="48"/>
      <c r="C79" s="75"/>
      <c r="D79" s="54"/>
      <c r="E79" s="54"/>
    </row>
    <row r="80">
      <c r="B80" s="48"/>
      <c r="C80" s="75"/>
      <c r="D80" s="54"/>
      <c r="E80" s="54"/>
    </row>
    <row r="82">
      <c r="B82" s="6" t="s">
        <v>400</v>
      </c>
      <c r="C82" s="6"/>
      <c r="D82" s="6"/>
      <c r="E82" s="6"/>
      <c r="F82" s="6"/>
      <c r="G82" s="6"/>
    </row>
    <row r="83">
      <c r="B83" s="32" t="s">
        <v>401</v>
      </c>
      <c r="C83" s="49" t="s">
        <v>402</v>
      </c>
      <c r="E83" s="35" t="s">
        <v>76</v>
      </c>
    </row>
    <row r="84">
      <c r="B84" s="32" t="s">
        <v>111</v>
      </c>
      <c r="C84" s="70">
        <v>0.6</v>
      </c>
      <c r="D84" s="7" t="s">
        <v>320</v>
      </c>
      <c r="E84" s="35" t="s">
        <v>76</v>
      </c>
      <c r="F84" s="34"/>
      <c r="G84" s="22"/>
    </row>
    <row r="85">
      <c r="B85" s="32" t="s">
        <v>403</v>
      </c>
      <c r="C85" s="70">
        <v>0.6</v>
      </c>
      <c r="D85" s="7" t="s">
        <v>404</v>
      </c>
      <c r="E85" s="35" t="s">
        <v>76</v>
      </c>
      <c r="F85" s="34"/>
      <c r="G85" s="22"/>
    </row>
    <row r="86">
      <c r="B86" s="32" t="s">
        <v>405</v>
      </c>
      <c r="C86" s="77">
        <v>1.4</v>
      </c>
      <c r="D86" s="7" t="s">
        <v>406</v>
      </c>
      <c r="E86" s="35" t="s">
        <v>76</v>
      </c>
      <c r="F86" s="34"/>
      <c r="G86" s="22"/>
    </row>
    <row r="87">
      <c r="B87" s="32" t="s">
        <v>407</v>
      </c>
      <c r="C87" s="70">
        <v>0.095</v>
      </c>
      <c r="D87" s="7" t="s">
        <v>408</v>
      </c>
      <c r="E87" s="35" t="s">
        <v>76</v>
      </c>
      <c r="F87" s="34"/>
      <c r="G87" s="22"/>
    </row>
    <row r="88">
      <c r="B88" s="32" t="s">
        <v>409</v>
      </c>
      <c r="C88" s="68">
        <v>5621400</v>
      </c>
      <c r="D88" s="7" t="s">
        <v>317</v>
      </c>
      <c r="E88" s="35" t="s">
        <v>76</v>
      </c>
      <c r="F88" s="34"/>
      <c r="G88" s="22"/>
    </row>
    <row r="89">
      <c r="B89" s="32" t="s">
        <v>26</v>
      </c>
      <c r="C89" s="70">
        <v>0.067</v>
      </c>
      <c r="D89" s="7" t="s">
        <v>327</v>
      </c>
      <c r="E89" s="35" t="s">
        <v>76</v>
      </c>
      <c r="F89" s="34"/>
      <c r="G89" s="22"/>
    </row>
    <row r="90">
      <c r="B90" s="32" t="s">
        <v>410</v>
      </c>
      <c r="C90" s="49" t="s">
        <v>411</v>
      </c>
      <c r="E90" s="35" t="s">
        <v>76</v>
      </c>
    </row>
    <row r="91">
      <c r="B91" s="32" t="s">
        <v>412</v>
      </c>
      <c r="C91" s="69">
        <v>0</v>
      </c>
      <c r="D91" s="7" t="s">
        <v>413</v>
      </c>
      <c r="E91" s="35" t="s">
        <v>76</v>
      </c>
      <c r="F91" s="34"/>
      <c r="G91" s="22"/>
    </row>
    <row r="92">
      <c r="B92" s="32" t="s">
        <v>414</v>
      </c>
      <c r="C92" s="67">
        <v>30</v>
      </c>
      <c r="D92" s="7" t="s">
        <v>413</v>
      </c>
      <c r="E92" s="35" t="s">
        <v>76</v>
      </c>
      <c r="F92" s="34"/>
      <c r="G92" s="22"/>
    </row>
    <row r="93">
      <c r="B93" s="32" t="s">
        <v>415</v>
      </c>
      <c r="C93" s="67">
        <v>7</v>
      </c>
      <c r="D93" s="7" t="s">
        <v>413</v>
      </c>
      <c r="E93" s="35" t="s">
        <v>76</v>
      </c>
      <c r="F93" s="34"/>
      <c r="G93" s="22"/>
    </row>
    <row r="94">
      <c r="B94" s="32" t="s">
        <v>192</v>
      </c>
      <c r="C94" s="70">
        <v>0.01</v>
      </c>
      <c r="D94" s="7" t="s">
        <v>408</v>
      </c>
      <c r="E94" s="35" t="s">
        <v>76</v>
      </c>
      <c r="F94" s="34"/>
      <c r="G94" s="22"/>
    </row>
    <row r="95">
      <c r="B95" s="32" t="s">
        <v>416</v>
      </c>
      <c r="C95" s="49" t="s">
        <v>417</v>
      </c>
      <c r="E95" s="35" t="s">
        <v>76</v>
      </c>
    </row>
    <row r="96">
      <c r="B96" s="32" t="s">
        <v>418</v>
      </c>
      <c r="C96" s="70">
        <v>0.050499999999999996</v>
      </c>
      <c r="D96" s="7" t="s">
        <v>327</v>
      </c>
      <c r="E96" s="35" t="s">
        <v>76</v>
      </c>
      <c r="F96" s="34"/>
      <c r="G96" s="22"/>
    </row>
    <row r="97">
      <c r="B97" s="32" t="s">
        <v>419</v>
      </c>
      <c r="C97" s="49" t="s">
        <v>420</v>
      </c>
      <c r="E97" s="35" t="s">
        <v>76</v>
      </c>
    </row>
    <row r="98">
      <c r="B98" s="32" t="s">
        <v>421</v>
      </c>
      <c r="C98" s="70">
        <v>0.050499999999999996</v>
      </c>
      <c r="D98" s="7" t="s">
        <v>327</v>
      </c>
      <c r="E98" s="35" t="s">
        <v>76</v>
      </c>
      <c r="F98" s="34"/>
      <c r="G98" s="22"/>
    </row>
    <row r="99">
      <c r="B99" s="32" t="s">
        <v>422</v>
      </c>
      <c r="C99" s="70">
        <v>0.0165</v>
      </c>
      <c r="D99" s="7" t="s">
        <v>327</v>
      </c>
      <c r="E99" s="35" t="s">
        <v>76</v>
      </c>
      <c r="F99" s="34"/>
      <c r="G99" s="22"/>
    </row>
    <row r="100">
      <c r="B100" s="32" t="s">
        <v>423</v>
      </c>
      <c r="C100" s="70">
        <v>-0.005</v>
      </c>
      <c r="D100" s="7" t="s">
        <v>327</v>
      </c>
      <c r="E100" s="35" t="s">
        <v>76</v>
      </c>
      <c r="F100" s="34"/>
      <c r="G100" s="22"/>
    </row>
    <row r="101">
      <c r="B101" s="32" t="s">
        <v>424</v>
      </c>
      <c r="C101" s="70">
        <v>0</v>
      </c>
      <c r="D101" s="7" t="s">
        <v>425</v>
      </c>
      <c r="E101" s="35" t="s">
        <v>76</v>
      </c>
      <c r="F101" s="34"/>
      <c r="G101" s="22"/>
    </row>
    <row r="102">
      <c r="B102" s="32" t="s">
        <v>426</v>
      </c>
      <c r="C102" s="70">
        <v>0.04</v>
      </c>
      <c r="D102" s="7" t="s">
        <v>425</v>
      </c>
      <c r="E102" s="35" t="s">
        <v>76</v>
      </c>
      <c r="F102" s="34"/>
      <c r="G102" s="22"/>
    </row>
    <row r="103">
      <c r="B103" s="32" t="s">
        <v>427</v>
      </c>
      <c r="C103" s="67">
        <v>0</v>
      </c>
      <c r="D103" s="7" t="s">
        <v>428</v>
      </c>
      <c r="E103" s="35" t="s">
        <v>76</v>
      </c>
      <c r="F103" s="34"/>
      <c r="G103" s="22"/>
    </row>
    <row r="104">
      <c r="B104" s="32" t="s">
        <v>429</v>
      </c>
      <c r="C104" s="69">
        <v>25</v>
      </c>
      <c r="D104" s="7" t="s">
        <v>430</v>
      </c>
      <c r="E104" s="35" t="s">
        <v>76</v>
      </c>
      <c r="F104" s="34"/>
      <c r="G104" s="22"/>
    </row>
    <row r="105">
      <c r="B105" s="32" t="s">
        <v>431</v>
      </c>
      <c r="C105" s="70">
        <v>0</v>
      </c>
      <c r="D105" s="7" t="s">
        <v>432</v>
      </c>
      <c r="E105" s="35" t="s">
        <v>76</v>
      </c>
      <c r="F105" s="34"/>
      <c r="G105" s="22"/>
    </row>
    <row r="106">
      <c r="B106" s="32" t="s">
        <v>433</v>
      </c>
      <c r="C106" s="39">
        <f>IF(a_DayCount="Actual/360",365/360,1)</f>
        <v>1.0138888888888888</v>
      </c>
      <c r="D106" s="7" t="s">
        <v>434</v>
      </c>
      <c r="E106" s="71" t="s">
        <v>93</v>
      </c>
    </row>
    <row r="107">
      <c r="B107" s="32" t="s">
        <v>435</v>
      </c>
      <c r="C107" s="40">
        <f>in_InterestRate*a_DayFactor/12</f>
        <v>0.005660879629629629</v>
      </c>
      <c r="D107" s="7" t="s">
        <v>436</v>
      </c>
      <c r="E107" s="71" t="s">
        <v>93</v>
      </c>
    </row>
    <row r="108">
      <c r="B108" s="32" t="s">
        <v>437</v>
      </c>
      <c r="C108" s="38">
        <f>IF(a_MonthlyRate=0,a_LoanAmountRef/(in_AmortYears*12),PMT(a_MonthlyRate,in_AmortYears*12,-a_LoanAmountRef))</f>
        <v>36621.32290179385</v>
      </c>
      <c r="D108" s="7" t="s">
        <v>438</v>
      </c>
      <c r="E108" s="71" t="s">
        <v>93</v>
      </c>
    </row>
    <row r="109">
      <c r="B109" s="32" t="s">
        <v>439</v>
      </c>
      <c r="C109" s="39">
        <f>IF(a_MonthlyRate=0,(12-MIN(12,in_IOYears*12))/(12*in_AmortYears),MIN(12,in_IOYears*12)*a_MonthlyRate+(12-MIN(12,in_IOYears*12))*a_MonthlyRate/(1-(1+a_MonthlyRate)^(-12*in_AmortYears)))</f>
        <v>0.07817552119072227</v>
      </c>
      <c r="D109" s="7" t="s">
        <v>434</v>
      </c>
      <c r="E109" s="71" t="s">
        <v>93</v>
      </c>
    </row>
    <row r="110">
      <c r="B110" s="32" t="s">
        <v>440</v>
      </c>
      <c r="C110" s="38">
        <f>in_PurchasePrice*a_LTVTarget</f>
        <v>5621400</v>
      </c>
      <c r="D110" s="7" t="s">
        <v>317</v>
      </c>
      <c r="E110" s="71" t="s">
        <v>93</v>
      </c>
    </row>
    <row r="111">
      <c r="B111" s="32" t="s">
        <v>441</v>
      </c>
      <c r="C111" s="38">
        <f>out_TotalCost*a_LTCTarget</f>
        <v>5736676.063672294</v>
      </c>
      <c r="D111" s="7" t="s">
        <v>317</v>
      </c>
      <c r="E111" s="71" t="s">
        <v>93</v>
      </c>
    </row>
    <row r="112">
      <c r="B112" s="32" t="s">
        <v>442</v>
      </c>
      <c r="C112" s="38">
        <f>IF(AND(a_MinDSCR&gt;0,a_Y1PayPerDollar&gt;0),out_NOI_Y1/a_MinDSCR/a_Y1PayPerDollar,9E+99)</f>
        <v>8692232.000925744</v>
      </c>
      <c r="D112" s="7" t="s">
        <v>317</v>
      </c>
      <c r="E112" s="71" t="s">
        <v>93</v>
      </c>
    </row>
    <row r="113">
      <c r="B113" s="32" t="s">
        <v>443</v>
      </c>
      <c r="C113" s="38">
        <f>IF(a_MinDY&gt;0,out_NOI_Y1/a_MinDY,9E+99)</f>
        <v>10013975.513434341</v>
      </c>
      <c r="D113" s="7" t="s">
        <v>317</v>
      </c>
      <c r="E113" s="71" t="s">
        <v>93</v>
      </c>
    </row>
    <row r="114">
      <c r="B114" s="32" t="s">
        <v>444</v>
      </c>
      <c r="C114" s="38">
        <f>MAX(0,MIN(out_TotalCost,IF(a_LoanMode="Fixed amount",a_FixedLoan,IF(a_LoanMode="LTC",a_LoanByCost,IF(a_LoanMode="Lender tests",MIN(a_LoanByValue,a_LoanByCoverage,a_LoanByYield),a_LoanByValue)))))</f>
        <v>5621400</v>
      </c>
      <c r="D114" s="7" t="s">
        <v>317</v>
      </c>
      <c r="E114" s="71" t="s">
        <v>93</v>
      </c>
    </row>
    <row r="115">
      <c r="B115" s="32" t="s">
        <v>23</v>
      </c>
      <c r="C115" s="40">
        <f>IF(in_PurchasePrice&gt;0,out_LoanAmount/in_PurchasePrice,0)</f>
        <v>0.6</v>
      </c>
      <c r="D115" s="7" t="s">
        <v>320</v>
      </c>
      <c r="E115" s="71" t="s">
        <v>93</v>
      </c>
    </row>
    <row r="116">
      <c r="B116" s="32" t="s">
        <v>192</v>
      </c>
      <c r="C116" s="38">
        <f>out_LoanAmount*a_LoanFeePct</f>
        <v>56214</v>
      </c>
      <c r="D116" s="7" t="s">
        <v>317</v>
      </c>
      <c r="E116" s="71" t="s">
        <v>93</v>
      </c>
    </row>
    <row r="117">
      <c r="B117" s="32" t="s">
        <v>445</v>
      </c>
      <c r="C117" s="68">
        <v>0</v>
      </c>
      <c r="D117" s="7" t="s">
        <v>317</v>
      </c>
      <c r="E117" s="35" t="s">
        <v>76</v>
      </c>
      <c r="F117" s="34"/>
      <c r="G117" s="22"/>
    </row>
    <row r="118">
      <c r="B118" s="32" t="s">
        <v>446</v>
      </c>
      <c r="C118" s="38">
        <f>out_TotalCost+a_LoanFee+a_IntReserve-out_LoanAmount</f>
        <v>3995940.7727871574</v>
      </c>
      <c r="D118" s="7" t="s">
        <v>317</v>
      </c>
      <c r="E118" s="71" t="s">
        <v>93</v>
      </c>
    </row>
    <row r="120">
      <c r="B120" s="6" t="s">
        <v>447</v>
      </c>
      <c r="C120" s="6"/>
      <c r="D120" s="6"/>
      <c r="E120" s="6"/>
      <c r="F120" s="6"/>
      <c r="G120" s="6"/>
    </row>
    <row r="121">
      <c r="B121" s="32" t="s">
        <v>448</v>
      </c>
      <c r="C121" s="70">
        <v>0.1039</v>
      </c>
      <c r="D121" s="7" t="s">
        <v>425</v>
      </c>
      <c r="E121" s="35" t="s">
        <v>76</v>
      </c>
      <c r="F121" s="34"/>
      <c r="G121" s="22"/>
    </row>
    <row r="122">
      <c r="B122" s="32" t="s">
        <v>449</v>
      </c>
      <c r="C122" s="70">
        <v>0</v>
      </c>
      <c r="D122" s="7" t="s">
        <v>425</v>
      </c>
      <c r="E122" s="35" t="s">
        <v>76</v>
      </c>
      <c r="F122" s="34"/>
      <c r="G122" s="22"/>
    </row>
    <row r="123">
      <c r="B123" s="32" t="s">
        <v>450</v>
      </c>
      <c r="C123" s="49" t="s">
        <v>451</v>
      </c>
      <c r="E123" s="35" t="s">
        <v>76</v>
      </c>
    </row>
    <row r="124">
      <c r="B124" s="32" t="s">
        <v>452</v>
      </c>
      <c r="C124" s="70">
        <v>0.025</v>
      </c>
      <c r="D124" s="7" t="s">
        <v>453</v>
      </c>
      <c r="E124" s="35" t="s">
        <v>76</v>
      </c>
      <c r="F124" s="34"/>
      <c r="G124" s="22"/>
    </row>
    <row r="125">
      <c r="B125" s="32" t="s">
        <v>454</v>
      </c>
      <c r="C125" s="70">
        <v>0.025</v>
      </c>
      <c r="D125" s="7" t="s">
        <v>453</v>
      </c>
      <c r="E125" s="35" t="s">
        <v>76</v>
      </c>
      <c r="F125" s="34"/>
      <c r="G125" s="22"/>
    </row>
    <row r="126">
      <c r="B126" s="32" t="s">
        <v>455</v>
      </c>
      <c r="C126" s="68">
        <v>10000000</v>
      </c>
      <c r="D126" s="7" t="s">
        <v>317</v>
      </c>
      <c r="E126" s="35" t="s">
        <v>76</v>
      </c>
      <c r="F126" s="34"/>
      <c r="G126" s="22"/>
    </row>
    <row r="127">
      <c r="B127" s="32" t="s">
        <v>456</v>
      </c>
      <c r="C127" s="70">
        <v>0.02</v>
      </c>
      <c r="D127" s="7" t="s">
        <v>453</v>
      </c>
      <c r="E127" s="35" t="s">
        <v>76</v>
      </c>
      <c r="F127" s="34"/>
      <c r="G127" s="22"/>
    </row>
    <row r="128">
      <c r="B128" s="32" t="s">
        <v>457</v>
      </c>
      <c r="C128" s="68">
        <v>25000000</v>
      </c>
      <c r="D128" s="7" t="s">
        <v>317</v>
      </c>
      <c r="E128" s="35" t="s">
        <v>76</v>
      </c>
      <c r="F128" s="34"/>
      <c r="G128" s="22"/>
    </row>
    <row r="129">
      <c r="B129" s="32" t="s">
        <v>458</v>
      </c>
      <c r="C129" s="70">
        <v>0.0175</v>
      </c>
      <c r="D129" s="7" t="s">
        <v>453</v>
      </c>
      <c r="E129" s="35" t="s">
        <v>76</v>
      </c>
      <c r="F129" s="34"/>
      <c r="G129" s="22"/>
    </row>
    <row r="131">
      <c r="B131" s="6" t="s">
        <v>459</v>
      </c>
      <c r="C131" s="6"/>
      <c r="D131" s="6"/>
      <c r="E131" s="6"/>
      <c r="F131" s="6"/>
      <c r="G131" s="6"/>
    </row>
    <row r="132">
      <c r="B132" s="32" t="s">
        <v>460</v>
      </c>
      <c r="C132" s="78">
        <v>0.11002229787561146</v>
      </c>
      <c r="D132" s="7"/>
      <c r="E132" s="35" t="s">
        <v>76</v>
      </c>
      <c r="F132" s="34"/>
      <c r="G132" s="22"/>
    </row>
    <row r="133">
      <c r="B133" s="32" t="s">
        <v>461</v>
      </c>
      <c r="C133" s="77">
        <v>1.7547114744500205</v>
      </c>
      <c r="D133" s="7"/>
      <c r="E133" s="35" t="s">
        <v>76</v>
      </c>
      <c r="F133" s="34"/>
      <c r="G133" s="22"/>
    </row>
    <row r="134">
      <c r="B134" s="32" t="s">
        <v>462</v>
      </c>
      <c r="C134" s="68">
        <v>951327.6737762624</v>
      </c>
      <c r="D134" s="7"/>
      <c r="E134" s="35" t="s">
        <v>76</v>
      </c>
      <c r="F134" s="34"/>
      <c r="G134" s="22"/>
    </row>
    <row r="135" ht="30" customHeight="1">
      <c r="B135" s="21" t="s">
        <v>463</v>
      </c>
    </row>
  </sheetData>
  <sheetProtection sheet="1" objects="1" scenarios="1" formatColumns="0" formatRows="0" autoFilter="0"/>
  <mergeCells count="2">
    <mergeCell ref="B67:Q67"/>
    <mergeCell ref="B135:G135"/>
  </mergeCells>
  <dataValidations count="13">
    <dataValidation type="whole" allowBlank="1" showInputMessage="1" showErrorMessage="1" operator="between" sqref="C9">
      <formula1>1</formula1>
      <formula2>10</formula2>
    </dataValidation>
    <dataValidation type="decimal" allowBlank="1" showInputMessage="1" showErrorMessage="1" operator="greaterThanOrEqual" sqref="C10">
      <formula1>0</formula1>
    </dataValidation>
    <dataValidation type="list" allowBlank="1" showInputMessage="1" showErrorMessage="1" sqref="C28">
      <formula1>"Yes,No"</formula1>
    </dataValidation>
    <dataValidation type="list" allowBlank="1" showInputMessage="1" showErrorMessage="1" sqref="C30">
      <formula1>"NNN,Base year"</formula1>
    </dataValidation>
    <dataValidation type="list" allowBlank="1" showInputMessage="1" showErrorMessage="1" sqref="G55">
      <formula1>"A year,A month,One-time"</formula1>
    </dataValidation>
    <dataValidation type="list" allowBlank="1" showInputMessage="1" showErrorMessage="1" sqref="G56">
      <formula1>"A year,A month,One-time"</formula1>
    </dataValidation>
    <dataValidation type="list" allowBlank="1" showInputMessage="1" showErrorMessage="1" sqref="G57">
      <formula1>"A year,A month,One-time"</formula1>
    </dataValidation>
    <dataValidation type="list" allowBlank="1" showInputMessage="1" showErrorMessage="1" sqref="C83">
      <formula1>"LTV,LTC,Lender tests,Fixed amount"</formula1>
    </dataValidation>
    <dataValidation type="list" allowBlank="1" showInputMessage="1" showErrorMessage="1" sqref="C90">
      <formula1>"Actual/360,30/360"</formula1>
    </dataValidation>
    <dataValidation type="list" allowBlank="1" showInputMessage="1" showErrorMessage="1" sqref="C95">
      <formula1>"None,Step-down 5-4-3-2-1,Step-down 3-2-1,Yield maintenance,Yield maintenance (1% floor)"</formula1>
    </dataValidation>
    <dataValidation type="list" allowBlank="1" showInputMessage="1" showErrorMessage="1" sqref="C97">
      <formula1>"Fixed,Floating"</formula1>
    </dataValidation>
    <dataValidation type="decimal" allowBlank="1" showInputMessage="1" showErrorMessage="1" operator="between" sqref="C121">
      <formula1>0.0001</formula1>
      <formula2>0.5</formula2>
    </dataValidation>
    <dataValidation type="list" allowBlank="1" showInputMessage="1" showErrorMessage="1" sqref="C123">
      <formula1>"Market tiers,Entered"</formula1>
    </dataValidation>
  </dataValidations>
  <hyperlinks>
    <hyperlink ref="I2" location="'Executive Summary'!A1" display="Back to summary"/>
  </hyperlinks>
  <pageMargins left="0.5" right="0.5" top="0.6" bottom="0.6" header="0.3" footer="0.3"/>
  <pageSetup paperSize="1" orientation="landscape" fitToWidth="1" fitToHeight="0"/>
  <headerFooter>
    <oddFooter>&amp;L&amp;"Arial,Regular"&amp;8CREMODEL  &amp;P / &amp;N</oddFooter>
  </headerFooter>
  <ignoredErrors>
    <ignoredError sqref="A1:Q135" numberStoredAsText="1" formula="1" formulaRange="1" unlockedFormula="1" emptyCellReference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F2740"/>
    <pageSetUpPr fitToPage="1"/>
  </sheetPr>
  <dimension ref="B1:R54"/>
  <sheetViews>
    <sheetView workbookViewId="0" showGridLines="0" zoomScale="90" zoomScaleNormal="9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defaultRowHeight="15"/>
  <cols>
    <col min="1" max="1" width="2.5" customWidth="1"/>
    <col min="2" max="2" width="30" customWidth="1"/>
    <col min="3" max="18" width="12" customWidth="1"/>
  </cols>
  <sheetData>
    <row r="1" ht="20" customHeight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6" customHeight="1">
      <c r="B2" s="3" t="s">
        <v>464</v>
      </c>
      <c r="I2" s="30" t="s">
        <v>65</v>
      </c>
    </row>
    <row r="3">
      <c r="B3" s="4" t="s">
        <v>2</v>
      </c>
    </row>
    <row r="4">
      <c r="B4" s="22" t="s">
        <v>465</v>
      </c>
    </row>
    <row r="7" ht="32" customHeight="1">
      <c r="B7" s="46" t="s">
        <v>204</v>
      </c>
      <c r="C7" s="46" t="s">
        <v>466</v>
      </c>
      <c r="D7" s="46" t="s">
        <v>206</v>
      </c>
      <c r="E7" s="46" t="s">
        <v>207</v>
      </c>
      <c r="F7" s="46" t="s">
        <v>467</v>
      </c>
      <c r="G7" s="46" t="s">
        <v>468</v>
      </c>
      <c r="H7" s="46" t="s">
        <v>244</v>
      </c>
      <c r="I7" s="46" t="s">
        <v>221</v>
      </c>
      <c r="J7" s="46" t="s">
        <v>222</v>
      </c>
      <c r="K7" s="46" t="s">
        <v>378</v>
      </c>
      <c r="L7" s="46" t="s">
        <v>469</v>
      </c>
      <c r="M7" s="46" t="s">
        <v>470</v>
      </c>
      <c r="N7" s="46" t="s">
        <v>471</v>
      </c>
      <c r="O7" s="46" t="s">
        <v>472</v>
      </c>
      <c r="P7" s="46" t="s">
        <v>473</v>
      </c>
      <c r="Q7" s="46" t="s">
        <v>474</v>
      </c>
      <c r="R7" s="46" t="s">
        <v>234</v>
      </c>
    </row>
    <row r="8">
      <c r="B8" s="23" t="str">
        <f>IF('Rent Roll'!C8="","",'Rent Roll'!C8)</f>
        <v>Fieldstone Grocery</v>
      </c>
      <c r="C8" s="57">
        <f>IF('Lease Cycles'!C8&gt;0,'Rent Roll'!H8,"")</f>
        <v>48944</v>
      </c>
      <c r="D8" s="24">
        <f>'Lease Cycles'!C8</f>
        <v>32000</v>
      </c>
      <c r="E8" s="26">
        <f>'Rent Roll'!F8</f>
        <v>0.5360134003350083</v>
      </c>
      <c r="F8" s="29">
        <f>'Rent Roll'!I8</f>
        <v>14.5</v>
      </c>
      <c r="G8" s="28">
        <f>'Rent Roll'!J8</f>
        <v>464000</v>
      </c>
      <c r="H8" s="26">
        <f>'Rent Roll'!AQ8</f>
        <v>0.43926914702262615</v>
      </c>
      <c r="I8" s="29">
        <f>'Rent Roll'!T8</f>
        <v>16.13</v>
      </c>
      <c r="J8" s="26">
        <f>'Rent Roll'!U8</f>
        <v>0.11241379310344812</v>
      </c>
      <c r="K8" s="26">
        <f>IF('Lease Cycles'!C8&gt;0,'Lease Cycles'!AC8,"")</f>
        <v>1</v>
      </c>
      <c r="L8" s="58" t="str">
        <f>IF('Lease Cycles'!C8&gt;0,IF('Lease Cycles'!AG8=1,"Option",'Lease Cycles'!AD8),"")</f>
        <v>Option</v>
      </c>
      <c r="M8" s="24">
        <f>'Rent Roll'!AB8</f>
        <v>0</v>
      </c>
      <c r="N8" s="29">
        <f>'Rent Roll'!AC8</f>
        <v>4</v>
      </c>
      <c r="O8" s="26">
        <f>'Rent Roll'!AD8</f>
        <v>0.02</v>
      </c>
      <c r="P8" s="24">
        <f>'Rent Roll'!AE8</f>
        <v>0</v>
      </c>
      <c r="Q8" s="29" t="str">
        <f>IF(AND('Lease Cycles'!C8&gt;0,'Lease Cycles'!BI8&lt;132),IF('Lease Cycles'!AG8=1,'Lease Cycles'!CC8*'Lease Cycles'!AF8+'Lease Cycles'!O8*(1-'Lease Cycles'!AF8),'Lease Cycles'!CD8),"")</f>
        <v/>
      </c>
      <c r="R8" s="57" t="str">
        <f>'Rent Roll'!AG8</f>
        <v/>
      </c>
    </row>
    <row r="9">
      <c r="B9" s="23" t="str">
        <f>IF('Rent Roll'!C9="","",'Rent Roll'!C9)</f>
        <v>Sunfield Pharmacy</v>
      </c>
      <c r="C9" s="57">
        <f>IF('Lease Cycles'!C9&gt;0,'Rent Roll'!H9,"")</f>
        <v>48029</v>
      </c>
      <c r="D9" s="24">
        <f>'Lease Cycles'!C9</f>
        <v>9000</v>
      </c>
      <c r="E9" s="26">
        <f>'Rent Roll'!F9</f>
        <v>0.1507537688442211</v>
      </c>
      <c r="F9" s="29">
        <f>'Rent Roll'!I9</f>
        <v>18</v>
      </c>
      <c r="G9" s="28">
        <f>'Rent Roll'!J9</f>
        <v>162000</v>
      </c>
      <c r="H9" s="26">
        <f>'Rent Roll'!AQ9</f>
        <v>0.1533655211587617</v>
      </c>
      <c r="I9" s="29">
        <f>'Rent Roll'!T9</f>
        <v>16.13</v>
      </c>
      <c r="J9" s="26">
        <f>'Rent Roll'!U9</f>
        <v>-0.10388888888888892</v>
      </c>
      <c r="K9" s="26">
        <f>IF('Lease Cycles'!C9&gt;0,'Lease Cycles'!AC9,"")</f>
        <v>0.8</v>
      </c>
      <c r="L9" s="58" t="str">
        <f>IF('Lease Cycles'!C9&gt;0,IF('Lease Cycles'!AG9=1,"Option",'Lease Cycles'!AD9),"")</f>
        <v>Probability</v>
      </c>
      <c r="M9" s="24">
        <f>'Rent Roll'!AB9</f>
        <v>1.1999999999999997</v>
      </c>
      <c r="N9" s="29">
        <f>'Rent Roll'!AC9</f>
        <v>6.3999999999999995</v>
      </c>
      <c r="O9" s="26">
        <f>'Rent Roll'!AD9</f>
        <v>0.026</v>
      </c>
      <c r="P9" s="24">
        <f>'Rent Roll'!AE9</f>
        <v>0.5999999999999999</v>
      </c>
      <c r="Q9" s="29">
        <f>IF(AND('Lease Cycles'!C9&gt;0,'Lease Cycles'!BI9&lt;132),IF('Lease Cycles'!AG9=1,'Lease Cycles'!CC9*'Lease Cycles'!AF9+'Lease Cycles'!O9*(1-'Lease Cycles'!AF9),'Lease Cycles'!CD9),"")</f>
        <v>18.47020209122098</v>
      </c>
      <c r="R9" s="57">
        <f>'Rent Roll'!AG9</f>
        <v>48061</v>
      </c>
    </row>
    <row r="10">
      <c r="B10" s="23" t="str">
        <f>IF('Rent Roll'!C10="","",'Rent Roll'!C10)</f>
        <v>Sunfield Fitness</v>
      </c>
      <c r="C10" s="57">
        <f>IF('Lease Cycles'!C10&gt;0,'Rent Roll'!H10,"")</f>
        <v>48213</v>
      </c>
      <c r="D10" s="24">
        <f>'Lease Cycles'!C10</f>
        <v>6000</v>
      </c>
      <c r="E10" s="26">
        <f>'Rent Roll'!F10</f>
        <v>0.10050251256281408</v>
      </c>
      <c r="F10" s="29">
        <f>'Rent Roll'!I10</f>
        <v>16</v>
      </c>
      <c r="G10" s="28">
        <f>'Rent Roll'!J10</f>
        <v>96000</v>
      </c>
      <c r="H10" s="26">
        <f>'Rent Roll'!AQ10</f>
        <v>0.09088327179778471</v>
      </c>
      <c r="I10" s="29">
        <f>'Rent Roll'!T10</f>
        <v>16.13</v>
      </c>
      <c r="J10" s="26">
        <f>'Rent Roll'!U10</f>
        <v>0.008124999999999938</v>
      </c>
      <c r="K10" s="26">
        <f>IF('Lease Cycles'!C10&gt;0,'Lease Cycles'!AC10,"")</f>
        <v>0.8</v>
      </c>
      <c r="L10" s="58" t="str">
        <f>IF('Lease Cycles'!C10&gt;0,IF('Lease Cycles'!AG10=1,"Option",'Lease Cycles'!AD10),"")</f>
        <v>Probability</v>
      </c>
      <c r="M10" s="24">
        <f>'Rent Roll'!AB10</f>
        <v>1.1999999999999997</v>
      </c>
      <c r="N10" s="29">
        <f>'Rent Roll'!AC10</f>
        <v>6.3999999999999995</v>
      </c>
      <c r="O10" s="26">
        <f>'Rent Roll'!AD10</f>
        <v>0.026</v>
      </c>
      <c r="P10" s="24">
        <f>'Rent Roll'!AE10</f>
        <v>0.5999999999999999</v>
      </c>
      <c r="Q10" s="29">
        <f>IF(AND('Lease Cycles'!C10&gt;0,'Lease Cycles'!BI10&lt;132),IF('Lease Cycles'!AG10=1,'Lease Cycles'!CC10*'Lease Cycles'!AF10+'Lease Cycles'!O10*(1-'Lease Cycles'!AF10),'Lease Cycles'!CD10),"")</f>
        <v>18.74520782091413</v>
      </c>
      <c r="R10" s="57">
        <f>'Rent Roll'!AG10</f>
        <v>48245</v>
      </c>
    </row>
    <row r="11">
      <c r="B11" s="23" t="str">
        <f>IF('Rent Roll'!C11="","",'Rent Roll'!C11)</f>
        <v>Sunfield Dental</v>
      </c>
      <c r="C11" s="57">
        <f>IF('Lease Cycles'!C11&gt;0,'Rent Roll'!H11,"")</f>
        <v>48273</v>
      </c>
      <c r="D11" s="24">
        <f>'Lease Cycles'!C11</f>
        <v>2500</v>
      </c>
      <c r="E11" s="26">
        <f>'Rent Roll'!F11</f>
        <v>0.04187604690117253</v>
      </c>
      <c r="F11" s="29">
        <f>'Rent Roll'!I11</f>
        <v>27</v>
      </c>
      <c r="G11" s="28">
        <f>'Rent Roll'!J11</f>
        <v>67500</v>
      </c>
      <c r="H11" s="26">
        <f>'Rent Roll'!AQ11</f>
        <v>0.06390230048281738</v>
      </c>
      <c r="I11" s="29">
        <f>'Rent Roll'!T11</f>
        <v>18.5</v>
      </c>
      <c r="J11" s="26">
        <f>'Rent Roll'!U11</f>
        <v>-0.31481481481481477</v>
      </c>
      <c r="K11" s="26">
        <f>IF('Lease Cycles'!C11&gt;0,'Lease Cycles'!AC11,"")</f>
        <v>0.8</v>
      </c>
      <c r="L11" s="58" t="str">
        <f>IF('Lease Cycles'!C11&gt;0,IF('Lease Cycles'!AG11=1,"Option",'Lease Cycles'!AD11),"")</f>
        <v>Probability</v>
      </c>
      <c r="M11" s="24">
        <f>'Rent Roll'!AB11</f>
        <v>1.1999999999999997</v>
      </c>
      <c r="N11" s="29">
        <f>'Rent Roll'!AC11</f>
        <v>6.999999999999999</v>
      </c>
      <c r="O11" s="26">
        <f>'Rent Roll'!AD11</f>
        <v>0.026</v>
      </c>
      <c r="P11" s="24">
        <f>'Rent Roll'!AE11</f>
        <v>0.5999999999999999</v>
      </c>
      <c r="Q11" s="29">
        <f>IF(AND('Lease Cycles'!C11&gt;0,'Lease Cycles'!BI11&lt;132),IF('Lease Cycles'!AG11=1,'Lease Cycles'!CC11*'Lease Cycles'!AF11+'Lease Cycles'!O11*(1-'Lease Cycles'!AF11),'Lease Cycles'!CD11),"")</f>
        <v>21.605641126404244</v>
      </c>
      <c r="R11" s="57">
        <f>'Rent Roll'!AG11</f>
        <v>48305</v>
      </c>
    </row>
    <row r="12">
      <c r="B12" s="23" t="str">
        <f>IF('Rent Roll'!C12="","",'Rent Roll'!C12)</f>
        <v>Sunfield Pizza</v>
      </c>
      <c r="C12" s="57">
        <f>IF('Lease Cycles'!C12&gt;0,'Rent Roll'!H12,"")</f>
        <v>47057</v>
      </c>
      <c r="D12" s="24">
        <f>'Lease Cycles'!C12</f>
        <v>2000</v>
      </c>
      <c r="E12" s="26">
        <f>'Rent Roll'!F12</f>
        <v>0.03350083752093802</v>
      </c>
      <c r="F12" s="29">
        <f>'Rent Roll'!I12</f>
        <v>30</v>
      </c>
      <c r="G12" s="28">
        <f>'Rent Roll'!J12</f>
        <v>60000</v>
      </c>
      <c r="H12" s="26">
        <f>'Rent Roll'!AQ12</f>
        <v>0.05680204487361545</v>
      </c>
      <c r="I12" s="29">
        <f>'Rent Roll'!T12</f>
        <v>18.5</v>
      </c>
      <c r="J12" s="26">
        <f>'Rent Roll'!U12</f>
        <v>-0.3833333333333333</v>
      </c>
      <c r="K12" s="26">
        <f>IF('Lease Cycles'!C12&gt;0,'Lease Cycles'!AC12,"")</f>
        <v>0.8</v>
      </c>
      <c r="L12" s="58" t="str">
        <f>IF('Lease Cycles'!C12&gt;0,IF('Lease Cycles'!AG12=1,"Option",'Lease Cycles'!AD12),"")</f>
        <v>Probability</v>
      </c>
      <c r="M12" s="24">
        <f>'Rent Roll'!AB12</f>
        <v>1.1999999999999997</v>
      </c>
      <c r="N12" s="29">
        <f>'Rent Roll'!AC12</f>
        <v>6.999999999999999</v>
      </c>
      <c r="O12" s="26">
        <f>'Rent Roll'!AD12</f>
        <v>0.026</v>
      </c>
      <c r="P12" s="24">
        <f>'Rent Roll'!AE12</f>
        <v>0.5999999999999999</v>
      </c>
      <c r="Q12" s="29">
        <f>IF(AND('Lease Cycles'!C12&gt;0,'Lease Cycles'!BI12&lt;132),IF('Lease Cycles'!AG12=1,'Lease Cycles'!CC12*'Lease Cycles'!AF12+'Lease Cycles'!O12*(1-'Lease Cycles'!AF12),'Lease Cycles'!CD12),"")</f>
        <v>19.578364471512764</v>
      </c>
      <c r="R12" s="57">
        <f>'Rent Roll'!AG12</f>
        <v>47088</v>
      </c>
    </row>
    <row r="13">
      <c r="B13" s="23" t="str">
        <f>IF('Rent Roll'!C13="","",'Rent Roll'!C13)</f>
        <v>Sunfield Cleaners</v>
      </c>
      <c r="C13" s="57">
        <f>IF('Lease Cycles'!C13&gt;0,'Rent Roll'!H13,"")</f>
        <v>47726</v>
      </c>
      <c r="D13" s="24">
        <f>'Lease Cycles'!C13</f>
        <v>1800</v>
      </c>
      <c r="E13" s="26">
        <f>'Rent Roll'!F13</f>
        <v>0.03015075376884422</v>
      </c>
      <c r="F13" s="29">
        <f>'Rent Roll'!I13</f>
        <v>26</v>
      </c>
      <c r="G13" s="28">
        <f>'Rent Roll'!J13</f>
        <v>46800</v>
      </c>
      <c r="H13" s="26">
        <f>'Rent Roll'!AQ13</f>
        <v>0.04430559500142005</v>
      </c>
      <c r="I13" s="29">
        <f>'Rent Roll'!T13</f>
        <v>18.5</v>
      </c>
      <c r="J13" s="26">
        <f>'Rent Roll'!U13</f>
        <v>-0.28846153846153844</v>
      </c>
      <c r="K13" s="26">
        <f>IF('Lease Cycles'!C13&gt;0,'Lease Cycles'!AC13,"")</f>
        <v>0.8</v>
      </c>
      <c r="L13" s="58" t="str">
        <f>IF('Lease Cycles'!C13&gt;0,IF('Lease Cycles'!AG13=1,"Option",'Lease Cycles'!AD13),"")</f>
        <v>Probability</v>
      </c>
      <c r="M13" s="24">
        <f>'Rent Roll'!AB13</f>
        <v>1.1999999999999997</v>
      </c>
      <c r="N13" s="29">
        <f>'Rent Roll'!AC13</f>
        <v>6.999999999999999</v>
      </c>
      <c r="O13" s="26">
        <f>'Rent Roll'!AD13</f>
        <v>0.026</v>
      </c>
      <c r="P13" s="24">
        <f>'Rent Roll'!AE13</f>
        <v>0.5999999999999999</v>
      </c>
      <c r="Q13" s="29">
        <f>IF(AND('Lease Cycles'!C13&gt;0,'Lease Cycles'!BI13&lt;132),IF('Lease Cycles'!AG13=1,'Lease Cycles'!CC13*'Lease Cycles'!AF13+'Lease Cycles'!O13*(1-'Lease Cycles'!AF13),'Lease Cycles'!CD13),"")</f>
        <v>20.66861240325889</v>
      </c>
      <c r="R13" s="57">
        <f>'Rent Roll'!AG13</f>
        <v>47757</v>
      </c>
    </row>
    <row r="14">
      <c r="B14" s="23" t="str">
        <f>IF('Rent Roll'!C14="","",'Rent Roll'!C14)</f>
        <v>Sunfield Nails</v>
      </c>
      <c r="C14" s="57">
        <f>IF('Lease Cycles'!C14&gt;0,'Rent Roll'!H14,"")</f>
        <v>47208</v>
      </c>
      <c r="D14" s="24">
        <f>'Lease Cycles'!C14</f>
        <v>1400</v>
      </c>
      <c r="E14" s="26">
        <f>'Rent Roll'!F14</f>
        <v>0.023450586264656615</v>
      </c>
      <c r="F14" s="29">
        <f>'Rent Roll'!I14</f>
        <v>28</v>
      </c>
      <c r="G14" s="28">
        <f>'Rent Roll'!J14</f>
        <v>39200</v>
      </c>
      <c r="H14" s="26">
        <f>'Rent Roll'!AQ14</f>
        <v>0.03711066931742876</v>
      </c>
      <c r="I14" s="29">
        <f>'Rent Roll'!T14</f>
        <v>18.5</v>
      </c>
      <c r="J14" s="26">
        <f>'Rent Roll'!U14</f>
        <v>-0.3392857142857143</v>
      </c>
      <c r="K14" s="26">
        <f>IF('Lease Cycles'!C14&gt;0,'Lease Cycles'!AC14,"")</f>
        <v>0.8</v>
      </c>
      <c r="L14" s="58" t="str">
        <f>IF('Lease Cycles'!C14&gt;0,IF('Lease Cycles'!AG14=1,"Option",'Lease Cycles'!AD14),"")</f>
        <v>Probability</v>
      </c>
      <c r="M14" s="24">
        <f>'Rent Roll'!AB14</f>
        <v>1.1999999999999997</v>
      </c>
      <c r="N14" s="29">
        <f>'Rent Roll'!AC14</f>
        <v>6.999999999999999</v>
      </c>
      <c r="O14" s="26">
        <f>'Rent Roll'!AD14</f>
        <v>0.026</v>
      </c>
      <c r="P14" s="24">
        <f>'Rent Roll'!AE14</f>
        <v>0.5999999999999999</v>
      </c>
      <c r="Q14" s="29">
        <f>IF(AND('Lease Cycles'!C14&gt;0,'Lease Cycles'!BI14&lt;132),IF('Lease Cycles'!AG14=1,'Lease Cycles'!CC14*'Lease Cycles'!AF14+'Lease Cycles'!O14*(1-'Lease Cycles'!AF14),'Lease Cycles'!CD14),"")</f>
        <v>19.82098590592667</v>
      </c>
      <c r="R14" s="57">
        <f>'Rent Roll'!AG14</f>
        <v>47239</v>
      </c>
    </row>
    <row r="15">
      <c r="B15" s="23" t="str">
        <f>IF('Rent Roll'!C15="","",'Rent Roll'!C15)</f>
        <v>Sunfield Bagels</v>
      </c>
      <c r="C15" s="57">
        <f>IF('Lease Cycles'!C15&gt;0,'Rent Roll'!H15,"")</f>
        <v>47634</v>
      </c>
      <c r="D15" s="24">
        <f>'Lease Cycles'!C15</f>
        <v>1200</v>
      </c>
      <c r="E15" s="26">
        <f>'Rent Roll'!F15</f>
        <v>0.020100502512562814</v>
      </c>
      <c r="F15" s="29">
        <f>'Rent Roll'!I15</f>
        <v>32</v>
      </c>
      <c r="G15" s="28">
        <f>'Rent Roll'!J15</f>
        <v>38400</v>
      </c>
      <c r="H15" s="26">
        <f>'Rent Roll'!AQ15</f>
        <v>0.03635330871911389</v>
      </c>
      <c r="I15" s="29">
        <f>'Rent Roll'!T15</f>
        <v>18.5</v>
      </c>
      <c r="J15" s="26">
        <f>'Rent Roll'!U15</f>
        <v>-0.421875</v>
      </c>
      <c r="K15" s="26">
        <f>IF('Lease Cycles'!C15&gt;0,'Lease Cycles'!AC15,"")</f>
        <v>0.8</v>
      </c>
      <c r="L15" s="58" t="str">
        <f>IF('Lease Cycles'!C15&gt;0,IF('Lease Cycles'!AG15=1,"Option",'Lease Cycles'!AD15),"")</f>
        <v>Probability</v>
      </c>
      <c r="M15" s="24">
        <f>'Rent Roll'!AB15</f>
        <v>1.1999999999999997</v>
      </c>
      <c r="N15" s="29">
        <f>'Rent Roll'!AC15</f>
        <v>6.999999999999999</v>
      </c>
      <c r="O15" s="26">
        <f>'Rent Roll'!AD15</f>
        <v>0.026</v>
      </c>
      <c r="P15" s="24">
        <f>'Rent Roll'!AE15</f>
        <v>0.5999999999999999</v>
      </c>
      <c r="Q15" s="29">
        <f>IF(AND('Lease Cycles'!C15&gt;0,'Lease Cycles'!BI15&lt;132),IF('Lease Cycles'!AG15=1,'Lease Cycles'!CC15*'Lease Cycles'!AF15+'Lease Cycles'!O15*(1-'Lease Cycles'!AF15),'Lease Cycles'!CD15),"")</f>
        <v>20.516440491509773</v>
      </c>
      <c r="R15" s="57">
        <f>'Rent Roll'!AG15</f>
        <v>47665</v>
      </c>
    </row>
    <row r="16">
      <c r="B16" s="23" t="str">
        <f>IF('Rent Roll'!C16="","",'Rent Roll'!C16)</f>
        <v>Sunfield Office Suite</v>
      </c>
      <c r="C16" s="57">
        <f>IF('Lease Cycles'!C16&gt;0,'Rent Roll'!H16,"")</f>
        <v>48121</v>
      </c>
      <c r="D16" s="24">
        <f>'Lease Cycles'!C16</f>
        <v>2200</v>
      </c>
      <c r="E16" s="26">
        <f>'Rent Roll'!F16</f>
        <v>0.03685092127303183</v>
      </c>
      <c r="F16" s="29">
        <f>'Rent Roll'!I16</f>
        <v>24</v>
      </c>
      <c r="G16" s="28">
        <f>'Rent Roll'!J16</f>
        <v>52800</v>
      </c>
      <c r="H16" s="26">
        <f>'Rent Roll'!AQ16</f>
        <v>0.049985799488781596</v>
      </c>
      <c r="I16" s="29">
        <f>'Rent Roll'!T16</f>
        <v>18.5</v>
      </c>
      <c r="J16" s="26">
        <f>'Rent Roll'!U16</f>
        <v>-0.22916666666666663</v>
      </c>
      <c r="K16" s="26">
        <f>IF('Lease Cycles'!C16&gt;0,'Lease Cycles'!AC16,"")</f>
        <v>0.8</v>
      </c>
      <c r="L16" s="58" t="str">
        <f>IF('Lease Cycles'!C16&gt;0,IF('Lease Cycles'!AG16=1,"Option",'Lease Cycles'!AD16),"")</f>
        <v>Probability</v>
      </c>
      <c r="M16" s="24">
        <f>'Rent Roll'!AB16</f>
        <v>1.1999999999999997</v>
      </c>
      <c r="N16" s="29">
        <f>'Rent Roll'!AC16</f>
        <v>6.999999999999999</v>
      </c>
      <c r="O16" s="26">
        <f>'Rent Roll'!AD16</f>
        <v>0.026</v>
      </c>
      <c r="P16" s="24">
        <f>'Rent Roll'!AE16</f>
        <v>0.5999999999999999</v>
      </c>
      <c r="Q16" s="29">
        <f>IF(AND('Lease Cycles'!C16&gt;0,'Lease Cycles'!BI16&lt;132),IF('Lease Cycles'!AG16=1,'Lease Cycles'!CC16*'Lease Cycles'!AF16+'Lease Cycles'!O16*(1-'Lease Cycles'!AF16),'Lease Cycles'!CD16),"")</f>
        <v>21.34117438058244</v>
      </c>
      <c r="R16" s="57">
        <f>'Rent Roll'!AG16</f>
        <v>48153</v>
      </c>
    </row>
    <row r="17">
      <c r="B17" s="23" t="str">
        <f>IF('Rent Roll'!C17="","",'Rent Roll'!C17)</f>
        <v>Available B-9</v>
      </c>
      <c r="C17" s="57">
        <f>IF('Lease Cycles'!C17&gt;0,'Rent Roll'!H17,"")</f>
        <v>49217</v>
      </c>
      <c r="D17" s="24">
        <f>'Lease Cycles'!C17</f>
        <v>1600</v>
      </c>
      <c r="E17" s="26">
        <f>'Rent Roll'!F17</f>
        <v>0.02680067001675042</v>
      </c>
      <c r="F17" s="29">
        <f>'Rent Roll'!I17</f>
        <v>18.5</v>
      </c>
      <c r="G17" s="28">
        <f>'Rent Roll'!J17</f>
        <v>29600</v>
      </c>
      <c r="H17" s="26">
        <f>'Rent Roll'!AQ17</f>
        <v>0.02802234213765029</v>
      </c>
      <c r="I17" s="29">
        <f>'Rent Roll'!T17</f>
        <v>18.5</v>
      </c>
      <c r="J17" s="26">
        <f>'Rent Roll'!U17</f>
        <v>0</v>
      </c>
      <c r="K17" s="26">
        <f>IF('Lease Cycles'!C17&gt;0,'Lease Cycles'!AC17,"")</f>
        <v>0.8</v>
      </c>
      <c r="L17" s="58" t="str">
        <f>IF('Lease Cycles'!C17&gt;0,IF('Lease Cycles'!AG17=1,"Option",'Lease Cycles'!AD17),"")</f>
        <v>Probability</v>
      </c>
      <c r="M17" s="24">
        <f>'Rent Roll'!AB17</f>
        <v>1.1999999999999997</v>
      </c>
      <c r="N17" s="29">
        <f>'Rent Roll'!AC17</f>
        <v>6.999999999999999</v>
      </c>
      <c r="O17" s="26">
        <f>'Rent Roll'!AD17</f>
        <v>0.026</v>
      </c>
      <c r="P17" s="24">
        <f>'Rent Roll'!AE17</f>
        <v>0.5999999999999999</v>
      </c>
      <c r="Q17" s="29">
        <f>IF(AND('Lease Cycles'!C17&gt;0,'Lease Cycles'!BI17&lt;132),IF('Lease Cycles'!AG17=1,'Lease Cycles'!CC17*'Lease Cycles'!AF17+'Lease Cycles'!O17*(1-'Lease Cycles'!AF17),'Lease Cycles'!CD17),"")</f>
        <v>22.808780724013904</v>
      </c>
      <c r="R17" s="57">
        <f>'Rent Roll'!AG17</f>
        <v>49249</v>
      </c>
    </row>
    <row r="18">
      <c r="B18" s="23" t="str">
        <f>IF('Rent Roll'!C18="","",'Rent Roll'!C18)</f>
        <v/>
      </c>
      <c r="C18" s="57" t="str">
        <f>IF('Lease Cycles'!C18&gt;0,'Rent Roll'!H18,"")</f>
        <v/>
      </c>
      <c r="D18" s="24">
        <f>'Lease Cycles'!C18</f>
        <v>0</v>
      </c>
      <c r="E18" s="26">
        <f>'Rent Roll'!F18</f>
        <v>0</v>
      </c>
      <c r="F18" s="29">
        <f>'Rent Roll'!I18</f>
        <v>0</v>
      </c>
      <c r="G18" s="28">
        <f>'Rent Roll'!J18</f>
        <v>0</v>
      </c>
      <c r="H18" s="26">
        <f>'Rent Roll'!AQ18</f>
        <v>0</v>
      </c>
      <c r="I18" s="29">
        <f>'Rent Roll'!T18</f>
        <v>0</v>
      </c>
      <c r="J18" s="26">
        <f>'Rent Roll'!U18</f>
        <v>0</v>
      </c>
      <c r="K18" s="26" t="str">
        <f>IF('Lease Cycles'!C18&gt;0,'Lease Cycles'!AC18,"")</f>
        <v/>
      </c>
      <c r="L18" s="58" t="str">
        <f>IF('Lease Cycles'!C18&gt;0,IF('Lease Cycles'!AG18=1,"Option",'Lease Cycles'!AD18),"")</f>
        <v/>
      </c>
      <c r="M18" s="24">
        <f>'Rent Roll'!AB18</f>
        <v>0</v>
      </c>
      <c r="N18" s="29">
        <f>'Rent Roll'!AC18</f>
        <v>0</v>
      </c>
      <c r="O18" s="26">
        <f>'Rent Roll'!AD18</f>
        <v>0</v>
      </c>
      <c r="P18" s="24">
        <f>'Rent Roll'!AE18</f>
        <v>0</v>
      </c>
      <c r="Q18" s="29" t="str">
        <f>IF(AND('Lease Cycles'!C18&gt;0,'Lease Cycles'!BI18&lt;132),IF('Lease Cycles'!AG18=1,'Lease Cycles'!CC18*'Lease Cycles'!AF18+'Lease Cycles'!O18*(1-'Lease Cycles'!AF18),'Lease Cycles'!CD18),"")</f>
        <v/>
      </c>
      <c r="R18" s="57" t="str">
        <f>'Rent Roll'!AG18</f>
        <v/>
      </c>
    </row>
    <row r="19">
      <c r="B19" s="23" t="str">
        <f>IF('Rent Roll'!C19="","",'Rent Roll'!C19)</f>
        <v/>
      </c>
      <c r="C19" s="57" t="str">
        <f>IF('Lease Cycles'!C19&gt;0,'Rent Roll'!H19,"")</f>
        <v/>
      </c>
      <c r="D19" s="24">
        <f>'Lease Cycles'!C19</f>
        <v>0</v>
      </c>
      <c r="E19" s="26">
        <f>'Rent Roll'!F19</f>
        <v>0</v>
      </c>
      <c r="F19" s="29">
        <f>'Rent Roll'!I19</f>
        <v>0</v>
      </c>
      <c r="G19" s="28">
        <f>'Rent Roll'!J19</f>
        <v>0</v>
      </c>
      <c r="H19" s="26">
        <f>'Rent Roll'!AQ19</f>
        <v>0</v>
      </c>
      <c r="I19" s="29">
        <f>'Rent Roll'!T19</f>
        <v>0</v>
      </c>
      <c r="J19" s="26">
        <f>'Rent Roll'!U19</f>
        <v>0</v>
      </c>
      <c r="K19" s="26" t="str">
        <f>IF('Lease Cycles'!C19&gt;0,'Lease Cycles'!AC19,"")</f>
        <v/>
      </c>
      <c r="L19" s="58" t="str">
        <f>IF('Lease Cycles'!C19&gt;0,IF('Lease Cycles'!AG19=1,"Option",'Lease Cycles'!AD19),"")</f>
        <v/>
      </c>
      <c r="M19" s="24">
        <f>'Rent Roll'!AB19</f>
        <v>0</v>
      </c>
      <c r="N19" s="29">
        <f>'Rent Roll'!AC19</f>
        <v>0</v>
      </c>
      <c r="O19" s="26">
        <f>'Rent Roll'!AD19</f>
        <v>0</v>
      </c>
      <c r="P19" s="24">
        <f>'Rent Roll'!AE19</f>
        <v>0</v>
      </c>
      <c r="Q19" s="29" t="str">
        <f>IF(AND('Lease Cycles'!C19&gt;0,'Lease Cycles'!BI19&lt;132),IF('Lease Cycles'!AG19=1,'Lease Cycles'!CC19*'Lease Cycles'!AF19+'Lease Cycles'!O19*(1-'Lease Cycles'!AF19),'Lease Cycles'!CD19),"")</f>
        <v/>
      </c>
      <c r="R19" s="57" t="str">
        <f>'Rent Roll'!AG19</f>
        <v/>
      </c>
    </row>
    <row r="20">
      <c r="B20" s="23" t="str">
        <f>IF('Rent Roll'!C20="","",'Rent Roll'!C20)</f>
        <v/>
      </c>
      <c r="C20" s="57" t="str">
        <f>IF('Lease Cycles'!C20&gt;0,'Rent Roll'!H20,"")</f>
        <v/>
      </c>
      <c r="D20" s="24">
        <f>'Lease Cycles'!C20</f>
        <v>0</v>
      </c>
      <c r="E20" s="26">
        <f>'Rent Roll'!F20</f>
        <v>0</v>
      </c>
      <c r="F20" s="29">
        <f>'Rent Roll'!I20</f>
        <v>0</v>
      </c>
      <c r="G20" s="28">
        <f>'Rent Roll'!J20</f>
        <v>0</v>
      </c>
      <c r="H20" s="26">
        <f>'Rent Roll'!AQ20</f>
        <v>0</v>
      </c>
      <c r="I20" s="29">
        <f>'Rent Roll'!T20</f>
        <v>0</v>
      </c>
      <c r="J20" s="26">
        <f>'Rent Roll'!U20</f>
        <v>0</v>
      </c>
      <c r="K20" s="26" t="str">
        <f>IF('Lease Cycles'!C20&gt;0,'Lease Cycles'!AC20,"")</f>
        <v/>
      </c>
      <c r="L20" s="58" t="str">
        <f>IF('Lease Cycles'!C20&gt;0,IF('Lease Cycles'!AG20=1,"Option",'Lease Cycles'!AD20),"")</f>
        <v/>
      </c>
      <c r="M20" s="24">
        <f>'Rent Roll'!AB20</f>
        <v>0</v>
      </c>
      <c r="N20" s="29">
        <f>'Rent Roll'!AC20</f>
        <v>0</v>
      </c>
      <c r="O20" s="26">
        <f>'Rent Roll'!AD20</f>
        <v>0</v>
      </c>
      <c r="P20" s="24">
        <f>'Rent Roll'!AE20</f>
        <v>0</v>
      </c>
      <c r="Q20" s="29" t="str">
        <f>IF(AND('Lease Cycles'!C20&gt;0,'Lease Cycles'!BI20&lt;132),IF('Lease Cycles'!AG20=1,'Lease Cycles'!CC20*'Lease Cycles'!AF20+'Lease Cycles'!O20*(1-'Lease Cycles'!AF20),'Lease Cycles'!CD20),"")</f>
        <v/>
      </c>
      <c r="R20" s="57" t="str">
        <f>'Rent Roll'!AG20</f>
        <v/>
      </c>
    </row>
    <row r="21">
      <c r="B21" s="23" t="str">
        <f>IF('Rent Roll'!C21="","",'Rent Roll'!C21)</f>
        <v/>
      </c>
      <c r="C21" s="57" t="str">
        <f>IF('Lease Cycles'!C21&gt;0,'Rent Roll'!H21,"")</f>
        <v/>
      </c>
      <c r="D21" s="24">
        <f>'Lease Cycles'!C21</f>
        <v>0</v>
      </c>
      <c r="E21" s="26">
        <f>'Rent Roll'!F21</f>
        <v>0</v>
      </c>
      <c r="F21" s="29">
        <f>'Rent Roll'!I21</f>
        <v>0</v>
      </c>
      <c r="G21" s="28">
        <f>'Rent Roll'!J21</f>
        <v>0</v>
      </c>
      <c r="H21" s="26">
        <f>'Rent Roll'!AQ21</f>
        <v>0</v>
      </c>
      <c r="I21" s="29">
        <f>'Rent Roll'!T21</f>
        <v>0</v>
      </c>
      <c r="J21" s="26">
        <f>'Rent Roll'!U21</f>
        <v>0</v>
      </c>
      <c r="K21" s="26" t="str">
        <f>IF('Lease Cycles'!C21&gt;0,'Lease Cycles'!AC21,"")</f>
        <v/>
      </c>
      <c r="L21" s="58" t="str">
        <f>IF('Lease Cycles'!C21&gt;0,IF('Lease Cycles'!AG21=1,"Option",'Lease Cycles'!AD21),"")</f>
        <v/>
      </c>
      <c r="M21" s="24">
        <f>'Rent Roll'!AB21</f>
        <v>0</v>
      </c>
      <c r="N21" s="29">
        <f>'Rent Roll'!AC21</f>
        <v>0</v>
      </c>
      <c r="O21" s="26">
        <f>'Rent Roll'!AD21</f>
        <v>0</v>
      </c>
      <c r="P21" s="24">
        <f>'Rent Roll'!AE21</f>
        <v>0</v>
      </c>
      <c r="Q21" s="29" t="str">
        <f>IF(AND('Lease Cycles'!C21&gt;0,'Lease Cycles'!BI21&lt;132),IF('Lease Cycles'!AG21=1,'Lease Cycles'!CC21*'Lease Cycles'!AF21+'Lease Cycles'!O21*(1-'Lease Cycles'!AF21),'Lease Cycles'!CD21),"")</f>
        <v/>
      </c>
      <c r="R21" s="57" t="str">
        <f>'Rent Roll'!AG21</f>
        <v/>
      </c>
    </row>
    <row r="22">
      <c r="B22" s="23" t="str">
        <f>IF('Rent Roll'!C22="","",'Rent Roll'!C22)</f>
        <v/>
      </c>
      <c r="C22" s="57" t="str">
        <f>IF('Lease Cycles'!C22&gt;0,'Rent Roll'!H22,"")</f>
        <v/>
      </c>
      <c r="D22" s="24">
        <f>'Lease Cycles'!C22</f>
        <v>0</v>
      </c>
      <c r="E22" s="26">
        <f>'Rent Roll'!F22</f>
        <v>0</v>
      </c>
      <c r="F22" s="29">
        <f>'Rent Roll'!I22</f>
        <v>0</v>
      </c>
      <c r="G22" s="28">
        <f>'Rent Roll'!J22</f>
        <v>0</v>
      </c>
      <c r="H22" s="26">
        <f>'Rent Roll'!AQ22</f>
        <v>0</v>
      </c>
      <c r="I22" s="29">
        <f>'Rent Roll'!T22</f>
        <v>0</v>
      </c>
      <c r="J22" s="26">
        <f>'Rent Roll'!U22</f>
        <v>0</v>
      </c>
      <c r="K22" s="26" t="str">
        <f>IF('Lease Cycles'!C22&gt;0,'Lease Cycles'!AC22,"")</f>
        <v/>
      </c>
      <c r="L22" s="58" t="str">
        <f>IF('Lease Cycles'!C22&gt;0,IF('Lease Cycles'!AG22=1,"Option",'Lease Cycles'!AD22),"")</f>
        <v/>
      </c>
      <c r="M22" s="24">
        <f>'Rent Roll'!AB22</f>
        <v>0</v>
      </c>
      <c r="N22" s="29">
        <f>'Rent Roll'!AC22</f>
        <v>0</v>
      </c>
      <c r="O22" s="26">
        <f>'Rent Roll'!AD22</f>
        <v>0</v>
      </c>
      <c r="P22" s="24">
        <f>'Rent Roll'!AE22</f>
        <v>0</v>
      </c>
      <c r="Q22" s="29" t="str">
        <f>IF(AND('Lease Cycles'!C22&gt;0,'Lease Cycles'!BI22&lt;132),IF('Lease Cycles'!AG22=1,'Lease Cycles'!CC22*'Lease Cycles'!AF22+'Lease Cycles'!O22*(1-'Lease Cycles'!AF22),'Lease Cycles'!CD22),"")</f>
        <v/>
      </c>
      <c r="R22" s="57" t="str">
        <f>'Rent Roll'!AG22</f>
        <v/>
      </c>
    </row>
    <row r="23">
      <c r="B23" s="23" t="str">
        <f>IF('Rent Roll'!C23="","",'Rent Roll'!C23)</f>
        <v/>
      </c>
      <c r="C23" s="57" t="str">
        <f>IF('Lease Cycles'!C23&gt;0,'Rent Roll'!H23,"")</f>
        <v/>
      </c>
      <c r="D23" s="24">
        <f>'Lease Cycles'!C23</f>
        <v>0</v>
      </c>
      <c r="E23" s="26">
        <f>'Rent Roll'!F23</f>
        <v>0</v>
      </c>
      <c r="F23" s="29">
        <f>'Rent Roll'!I23</f>
        <v>0</v>
      </c>
      <c r="G23" s="28">
        <f>'Rent Roll'!J23</f>
        <v>0</v>
      </c>
      <c r="H23" s="26">
        <f>'Rent Roll'!AQ23</f>
        <v>0</v>
      </c>
      <c r="I23" s="29">
        <f>'Rent Roll'!T23</f>
        <v>0</v>
      </c>
      <c r="J23" s="26">
        <f>'Rent Roll'!U23</f>
        <v>0</v>
      </c>
      <c r="K23" s="26" t="str">
        <f>IF('Lease Cycles'!C23&gt;0,'Lease Cycles'!AC23,"")</f>
        <v/>
      </c>
      <c r="L23" s="58" t="str">
        <f>IF('Lease Cycles'!C23&gt;0,IF('Lease Cycles'!AG23=1,"Option",'Lease Cycles'!AD23),"")</f>
        <v/>
      </c>
      <c r="M23" s="24">
        <f>'Rent Roll'!AB23</f>
        <v>0</v>
      </c>
      <c r="N23" s="29">
        <f>'Rent Roll'!AC23</f>
        <v>0</v>
      </c>
      <c r="O23" s="26">
        <f>'Rent Roll'!AD23</f>
        <v>0</v>
      </c>
      <c r="P23" s="24">
        <f>'Rent Roll'!AE23</f>
        <v>0</v>
      </c>
      <c r="Q23" s="29" t="str">
        <f>IF(AND('Lease Cycles'!C23&gt;0,'Lease Cycles'!BI23&lt;132),IF('Lease Cycles'!AG23=1,'Lease Cycles'!CC23*'Lease Cycles'!AF23+'Lease Cycles'!O23*(1-'Lease Cycles'!AF23),'Lease Cycles'!CD23),"")</f>
        <v/>
      </c>
      <c r="R23" s="57" t="str">
        <f>'Rent Roll'!AG23</f>
        <v/>
      </c>
    </row>
    <row r="24">
      <c r="B24" s="23" t="str">
        <f>IF('Rent Roll'!C24="","",'Rent Roll'!C24)</f>
        <v/>
      </c>
      <c r="C24" s="57" t="str">
        <f>IF('Lease Cycles'!C24&gt;0,'Rent Roll'!H24,"")</f>
        <v/>
      </c>
      <c r="D24" s="24">
        <f>'Lease Cycles'!C24</f>
        <v>0</v>
      </c>
      <c r="E24" s="26">
        <f>'Rent Roll'!F24</f>
        <v>0</v>
      </c>
      <c r="F24" s="29">
        <f>'Rent Roll'!I24</f>
        <v>0</v>
      </c>
      <c r="G24" s="28">
        <f>'Rent Roll'!J24</f>
        <v>0</v>
      </c>
      <c r="H24" s="26">
        <f>'Rent Roll'!AQ24</f>
        <v>0</v>
      </c>
      <c r="I24" s="29">
        <f>'Rent Roll'!T24</f>
        <v>0</v>
      </c>
      <c r="J24" s="26">
        <f>'Rent Roll'!U24</f>
        <v>0</v>
      </c>
      <c r="K24" s="26" t="str">
        <f>IF('Lease Cycles'!C24&gt;0,'Lease Cycles'!AC24,"")</f>
        <v/>
      </c>
      <c r="L24" s="58" t="str">
        <f>IF('Lease Cycles'!C24&gt;0,IF('Lease Cycles'!AG24=1,"Option",'Lease Cycles'!AD24),"")</f>
        <v/>
      </c>
      <c r="M24" s="24">
        <f>'Rent Roll'!AB24</f>
        <v>0</v>
      </c>
      <c r="N24" s="29">
        <f>'Rent Roll'!AC24</f>
        <v>0</v>
      </c>
      <c r="O24" s="26">
        <f>'Rent Roll'!AD24</f>
        <v>0</v>
      </c>
      <c r="P24" s="24">
        <f>'Rent Roll'!AE24</f>
        <v>0</v>
      </c>
      <c r="Q24" s="29" t="str">
        <f>IF(AND('Lease Cycles'!C24&gt;0,'Lease Cycles'!BI24&lt;132),IF('Lease Cycles'!AG24=1,'Lease Cycles'!CC24*'Lease Cycles'!AF24+'Lease Cycles'!O24*(1-'Lease Cycles'!AF24),'Lease Cycles'!CD24),"")</f>
        <v/>
      </c>
      <c r="R24" s="57" t="str">
        <f>'Rent Roll'!AG24</f>
        <v/>
      </c>
    </row>
    <row r="25">
      <c r="B25" s="23" t="str">
        <f>IF('Rent Roll'!C25="","",'Rent Roll'!C25)</f>
        <v/>
      </c>
      <c r="C25" s="57" t="str">
        <f>IF('Lease Cycles'!C25&gt;0,'Rent Roll'!H25,"")</f>
        <v/>
      </c>
      <c r="D25" s="24">
        <f>'Lease Cycles'!C25</f>
        <v>0</v>
      </c>
      <c r="E25" s="26">
        <f>'Rent Roll'!F25</f>
        <v>0</v>
      </c>
      <c r="F25" s="29">
        <f>'Rent Roll'!I25</f>
        <v>0</v>
      </c>
      <c r="G25" s="28">
        <f>'Rent Roll'!J25</f>
        <v>0</v>
      </c>
      <c r="H25" s="26">
        <f>'Rent Roll'!AQ25</f>
        <v>0</v>
      </c>
      <c r="I25" s="29">
        <f>'Rent Roll'!T25</f>
        <v>0</v>
      </c>
      <c r="J25" s="26">
        <f>'Rent Roll'!U25</f>
        <v>0</v>
      </c>
      <c r="K25" s="26" t="str">
        <f>IF('Lease Cycles'!C25&gt;0,'Lease Cycles'!AC25,"")</f>
        <v/>
      </c>
      <c r="L25" s="58" t="str">
        <f>IF('Lease Cycles'!C25&gt;0,IF('Lease Cycles'!AG25=1,"Option",'Lease Cycles'!AD25),"")</f>
        <v/>
      </c>
      <c r="M25" s="24">
        <f>'Rent Roll'!AB25</f>
        <v>0</v>
      </c>
      <c r="N25" s="29">
        <f>'Rent Roll'!AC25</f>
        <v>0</v>
      </c>
      <c r="O25" s="26">
        <f>'Rent Roll'!AD25</f>
        <v>0</v>
      </c>
      <c r="P25" s="24">
        <f>'Rent Roll'!AE25</f>
        <v>0</v>
      </c>
      <c r="Q25" s="29" t="str">
        <f>IF(AND('Lease Cycles'!C25&gt;0,'Lease Cycles'!BI25&lt;132),IF('Lease Cycles'!AG25=1,'Lease Cycles'!CC25*'Lease Cycles'!AF25+'Lease Cycles'!O25*(1-'Lease Cycles'!AF25),'Lease Cycles'!CD25),"")</f>
        <v/>
      </c>
      <c r="R25" s="57" t="str">
        <f>'Rent Roll'!AG25</f>
        <v/>
      </c>
    </row>
    <row r="26">
      <c r="B26" s="23" t="str">
        <f>IF('Rent Roll'!C26="","",'Rent Roll'!C26)</f>
        <v/>
      </c>
      <c r="C26" s="57" t="str">
        <f>IF('Lease Cycles'!C26&gt;0,'Rent Roll'!H26,"")</f>
        <v/>
      </c>
      <c r="D26" s="24">
        <f>'Lease Cycles'!C26</f>
        <v>0</v>
      </c>
      <c r="E26" s="26">
        <f>'Rent Roll'!F26</f>
        <v>0</v>
      </c>
      <c r="F26" s="29">
        <f>'Rent Roll'!I26</f>
        <v>0</v>
      </c>
      <c r="G26" s="28">
        <f>'Rent Roll'!J26</f>
        <v>0</v>
      </c>
      <c r="H26" s="26">
        <f>'Rent Roll'!AQ26</f>
        <v>0</v>
      </c>
      <c r="I26" s="29">
        <f>'Rent Roll'!T26</f>
        <v>0</v>
      </c>
      <c r="J26" s="26">
        <f>'Rent Roll'!U26</f>
        <v>0</v>
      </c>
      <c r="K26" s="26" t="str">
        <f>IF('Lease Cycles'!C26&gt;0,'Lease Cycles'!AC26,"")</f>
        <v/>
      </c>
      <c r="L26" s="58" t="str">
        <f>IF('Lease Cycles'!C26&gt;0,IF('Lease Cycles'!AG26=1,"Option",'Lease Cycles'!AD26),"")</f>
        <v/>
      </c>
      <c r="M26" s="24">
        <f>'Rent Roll'!AB26</f>
        <v>0</v>
      </c>
      <c r="N26" s="29">
        <f>'Rent Roll'!AC26</f>
        <v>0</v>
      </c>
      <c r="O26" s="26">
        <f>'Rent Roll'!AD26</f>
        <v>0</v>
      </c>
      <c r="P26" s="24">
        <f>'Rent Roll'!AE26</f>
        <v>0</v>
      </c>
      <c r="Q26" s="29" t="str">
        <f>IF(AND('Lease Cycles'!C26&gt;0,'Lease Cycles'!BI26&lt;132),IF('Lease Cycles'!AG26=1,'Lease Cycles'!CC26*'Lease Cycles'!AF26+'Lease Cycles'!O26*(1-'Lease Cycles'!AF26),'Lease Cycles'!CD26),"")</f>
        <v/>
      </c>
      <c r="R26" s="57" t="str">
        <f>'Rent Roll'!AG26</f>
        <v/>
      </c>
    </row>
    <row r="27">
      <c r="B27" s="23" t="str">
        <f>IF('Rent Roll'!C27="","",'Rent Roll'!C27)</f>
        <v/>
      </c>
      <c r="C27" s="57" t="str">
        <f>IF('Lease Cycles'!C27&gt;0,'Rent Roll'!H27,"")</f>
        <v/>
      </c>
      <c r="D27" s="24">
        <f>'Lease Cycles'!C27</f>
        <v>0</v>
      </c>
      <c r="E27" s="26">
        <f>'Rent Roll'!F27</f>
        <v>0</v>
      </c>
      <c r="F27" s="29">
        <f>'Rent Roll'!I27</f>
        <v>0</v>
      </c>
      <c r="G27" s="28">
        <f>'Rent Roll'!J27</f>
        <v>0</v>
      </c>
      <c r="H27" s="26">
        <f>'Rent Roll'!AQ27</f>
        <v>0</v>
      </c>
      <c r="I27" s="29">
        <f>'Rent Roll'!T27</f>
        <v>0</v>
      </c>
      <c r="J27" s="26">
        <f>'Rent Roll'!U27</f>
        <v>0</v>
      </c>
      <c r="K27" s="26" t="str">
        <f>IF('Lease Cycles'!C27&gt;0,'Lease Cycles'!AC27,"")</f>
        <v/>
      </c>
      <c r="L27" s="58" t="str">
        <f>IF('Lease Cycles'!C27&gt;0,IF('Lease Cycles'!AG27=1,"Option",'Lease Cycles'!AD27),"")</f>
        <v/>
      </c>
      <c r="M27" s="24">
        <f>'Rent Roll'!AB27</f>
        <v>0</v>
      </c>
      <c r="N27" s="29">
        <f>'Rent Roll'!AC27</f>
        <v>0</v>
      </c>
      <c r="O27" s="26">
        <f>'Rent Roll'!AD27</f>
        <v>0</v>
      </c>
      <c r="P27" s="24">
        <f>'Rent Roll'!AE27</f>
        <v>0</v>
      </c>
      <c r="Q27" s="29" t="str">
        <f>IF(AND('Lease Cycles'!C27&gt;0,'Lease Cycles'!BI27&lt;132),IF('Lease Cycles'!AG27=1,'Lease Cycles'!CC27*'Lease Cycles'!AF27+'Lease Cycles'!O27*(1-'Lease Cycles'!AF27),'Lease Cycles'!CD27),"")</f>
        <v/>
      </c>
      <c r="R27" s="57" t="str">
        <f>'Rent Roll'!AG27</f>
        <v/>
      </c>
    </row>
    <row r="28">
      <c r="B28" s="23" t="str">
        <f>IF('Rent Roll'!C28="","",'Rent Roll'!C28)</f>
        <v/>
      </c>
      <c r="C28" s="57" t="str">
        <f>IF('Lease Cycles'!C28&gt;0,'Rent Roll'!H28,"")</f>
        <v/>
      </c>
      <c r="D28" s="24">
        <f>'Lease Cycles'!C28</f>
        <v>0</v>
      </c>
      <c r="E28" s="26">
        <f>'Rent Roll'!F28</f>
        <v>0</v>
      </c>
      <c r="F28" s="29">
        <f>'Rent Roll'!I28</f>
        <v>0</v>
      </c>
      <c r="G28" s="28">
        <f>'Rent Roll'!J28</f>
        <v>0</v>
      </c>
      <c r="H28" s="26">
        <f>'Rent Roll'!AQ28</f>
        <v>0</v>
      </c>
      <c r="I28" s="29">
        <f>'Rent Roll'!T28</f>
        <v>0</v>
      </c>
      <c r="J28" s="26">
        <f>'Rent Roll'!U28</f>
        <v>0</v>
      </c>
      <c r="K28" s="26" t="str">
        <f>IF('Lease Cycles'!C28&gt;0,'Lease Cycles'!AC28,"")</f>
        <v/>
      </c>
      <c r="L28" s="58" t="str">
        <f>IF('Lease Cycles'!C28&gt;0,IF('Lease Cycles'!AG28=1,"Option",'Lease Cycles'!AD28),"")</f>
        <v/>
      </c>
      <c r="M28" s="24">
        <f>'Rent Roll'!AB28</f>
        <v>0</v>
      </c>
      <c r="N28" s="29">
        <f>'Rent Roll'!AC28</f>
        <v>0</v>
      </c>
      <c r="O28" s="26">
        <f>'Rent Roll'!AD28</f>
        <v>0</v>
      </c>
      <c r="P28" s="24">
        <f>'Rent Roll'!AE28</f>
        <v>0</v>
      </c>
      <c r="Q28" s="29" t="str">
        <f>IF(AND('Lease Cycles'!C28&gt;0,'Lease Cycles'!BI28&lt;132),IF('Lease Cycles'!AG28=1,'Lease Cycles'!CC28*'Lease Cycles'!AF28+'Lease Cycles'!O28*(1-'Lease Cycles'!AF28),'Lease Cycles'!CD28),"")</f>
        <v/>
      </c>
      <c r="R28" s="57" t="str">
        <f>'Rent Roll'!AG28</f>
        <v/>
      </c>
    </row>
    <row r="29">
      <c r="B29" s="23" t="str">
        <f>IF('Rent Roll'!C29="","",'Rent Roll'!C29)</f>
        <v/>
      </c>
      <c r="C29" s="57" t="str">
        <f>IF('Lease Cycles'!C29&gt;0,'Rent Roll'!H29,"")</f>
        <v/>
      </c>
      <c r="D29" s="24">
        <f>'Lease Cycles'!C29</f>
        <v>0</v>
      </c>
      <c r="E29" s="26">
        <f>'Rent Roll'!F29</f>
        <v>0</v>
      </c>
      <c r="F29" s="29">
        <f>'Rent Roll'!I29</f>
        <v>0</v>
      </c>
      <c r="G29" s="28">
        <f>'Rent Roll'!J29</f>
        <v>0</v>
      </c>
      <c r="H29" s="26">
        <f>'Rent Roll'!AQ29</f>
        <v>0</v>
      </c>
      <c r="I29" s="29">
        <f>'Rent Roll'!T29</f>
        <v>0</v>
      </c>
      <c r="J29" s="26">
        <f>'Rent Roll'!U29</f>
        <v>0</v>
      </c>
      <c r="K29" s="26" t="str">
        <f>IF('Lease Cycles'!C29&gt;0,'Lease Cycles'!AC29,"")</f>
        <v/>
      </c>
      <c r="L29" s="58" t="str">
        <f>IF('Lease Cycles'!C29&gt;0,IF('Lease Cycles'!AG29=1,"Option",'Lease Cycles'!AD29),"")</f>
        <v/>
      </c>
      <c r="M29" s="24">
        <f>'Rent Roll'!AB29</f>
        <v>0</v>
      </c>
      <c r="N29" s="29">
        <f>'Rent Roll'!AC29</f>
        <v>0</v>
      </c>
      <c r="O29" s="26">
        <f>'Rent Roll'!AD29</f>
        <v>0</v>
      </c>
      <c r="P29" s="24">
        <f>'Rent Roll'!AE29</f>
        <v>0</v>
      </c>
      <c r="Q29" s="29" t="str">
        <f>IF(AND('Lease Cycles'!C29&gt;0,'Lease Cycles'!BI29&lt;132),IF('Lease Cycles'!AG29=1,'Lease Cycles'!CC29*'Lease Cycles'!AF29+'Lease Cycles'!O29*(1-'Lease Cycles'!AF29),'Lease Cycles'!CD29),"")</f>
        <v/>
      </c>
      <c r="R29" s="57" t="str">
        <f>'Rent Roll'!AG29</f>
        <v/>
      </c>
    </row>
    <row r="30">
      <c r="B30" s="23" t="str">
        <f>IF('Rent Roll'!C30="","",'Rent Roll'!C30)</f>
        <v/>
      </c>
      <c r="C30" s="57" t="str">
        <f>IF('Lease Cycles'!C30&gt;0,'Rent Roll'!H30,"")</f>
        <v/>
      </c>
      <c r="D30" s="24">
        <f>'Lease Cycles'!C30</f>
        <v>0</v>
      </c>
      <c r="E30" s="26">
        <f>'Rent Roll'!F30</f>
        <v>0</v>
      </c>
      <c r="F30" s="29">
        <f>'Rent Roll'!I30</f>
        <v>0</v>
      </c>
      <c r="G30" s="28">
        <f>'Rent Roll'!J30</f>
        <v>0</v>
      </c>
      <c r="H30" s="26">
        <f>'Rent Roll'!AQ30</f>
        <v>0</v>
      </c>
      <c r="I30" s="29">
        <f>'Rent Roll'!T30</f>
        <v>0</v>
      </c>
      <c r="J30" s="26">
        <f>'Rent Roll'!U30</f>
        <v>0</v>
      </c>
      <c r="K30" s="26" t="str">
        <f>IF('Lease Cycles'!C30&gt;0,'Lease Cycles'!AC30,"")</f>
        <v/>
      </c>
      <c r="L30" s="58" t="str">
        <f>IF('Lease Cycles'!C30&gt;0,IF('Lease Cycles'!AG30=1,"Option",'Lease Cycles'!AD30),"")</f>
        <v/>
      </c>
      <c r="M30" s="24">
        <f>'Rent Roll'!AB30</f>
        <v>0</v>
      </c>
      <c r="N30" s="29">
        <f>'Rent Roll'!AC30</f>
        <v>0</v>
      </c>
      <c r="O30" s="26">
        <f>'Rent Roll'!AD30</f>
        <v>0</v>
      </c>
      <c r="P30" s="24">
        <f>'Rent Roll'!AE30</f>
        <v>0</v>
      </c>
      <c r="Q30" s="29" t="str">
        <f>IF(AND('Lease Cycles'!C30&gt;0,'Lease Cycles'!BI30&lt;132),IF('Lease Cycles'!AG30=1,'Lease Cycles'!CC30*'Lease Cycles'!AF30+'Lease Cycles'!O30*(1-'Lease Cycles'!AF30),'Lease Cycles'!CD30),"")</f>
        <v/>
      </c>
      <c r="R30" s="57" t="str">
        <f>'Rent Roll'!AG30</f>
        <v/>
      </c>
    </row>
    <row r="31">
      <c r="B31" s="23" t="str">
        <f>IF('Rent Roll'!C31="","",'Rent Roll'!C31)</f>
        <v/>
      </c>
      <c r="C31" s="57" t="str">
        <f>IF('Lease Cycles'!C31&gt;0,'Rent Roll'!H31,"")</f>
        <v/>
      </c>
      <c r="D31" s="24">
        <f>'Lease Cycles'!C31</f>
        <v>0</v>
      </c>
      <c r="E31" s="26">
        <f>'Rent Roll'!F31</f>
        <v>0</v>
      </c>
      <c r="F31" s="29">
        <f>'Rent Roll'!I31</f>
        <v>0</v>
      </c>
      <c r="G31" s="28">
        <f>'Rent Roll'!J31</f>
        <v>0</v>
      </c>
      <c r="H31" s="26">
        <f>'Rent Roll'!AQ31</f>
        <v>0</v>
      </c>
      <c r="I31" s="29">
        <f>'Rent Roll'!T31</f>
        <v>0</v>
      </c>
      <c r="J31" s="26">
        <f>'Rent Roll'!U31</f>
        <v>0</v>
      </c>
      <c r="K31" s="26" t="str">
        <f>IF('Lease Cycles'!C31&gt;0,'Lease Cycles'!AC31,"")</f>
        <v/>
      </c>
      <c r="L31" s="58" t="str">
        <f>IF('Lease Cycles'!C31&gt;0,IF('Lease Cycles'!AG31=1,"Option",'Lease Cycles'!AD31),"")</f>
        <v/>
      </c>
      <c r="M31" s="24">
        <f>'Rent Roll'!AB31</f>
        <v>0</v>
      </c>
      <c r="N31" s="29">
        <f>'Rent Roll'!AC31</f>
        <v>0</v>
      </c>
      <c r="O31" s="26">
        <f>'Rent Roll'!AD31</f>
        <v>0</v>
      </c>
      <c r="P31" s="24">
        <f>'Rent Roll'!AE31</f>
        <v>0</v>
      </c>
      <c r="Q31" s="29" t="str">
        <f>IF(AND('Lease Cycles'!C31&gt;0,'Lease Cycles'!BI31&lt;132),IF('Lease Cycles'!AG31=1,'Lease Cycles'!CC31*'Lease Cycles'!AF31+'Lease Cycles'!O31*(1-'Lease Cycles'!AF31),'Lease Cycles'!CD31),"")</f>
        <v/>
      </c>
      <c r="R31" s="57" t="str">
        <f>'Rent Roll'!AG31</f>
        <v/>
      </c>
    </row>
    <row r="32">
      <c r="B32" s="23" t="str">
        <f>IF('Rent Roll'!C32="","",'Rent Roll'!C32)</f>
        <v/>
      </c>
      <c r="C32" s="57" t="str">
        <f>IF('Lease Cycles'!C32&gt;0,'Rent Roll'!H32,"")</f>
        <v/>
      </c>
      <c r="D32" s="24">
        <f>'Lease Cycles'!C32</f>
        <v>0</v>
      </c>
      <c r="E32" s="26">
        <f>'Rent Roll'!F32</f>
        <v>0</v>
      </c>
      <c r="F32" s="29">
        <f>'Rent Roll'!I32</f>
        <v>0</v>
      </c>
      <c r="G32" s="28">
        <f>'Rent Roll'!J32</f>
        <v>0</v>
      </c>
      <c r="H32" s="26">
        <f>'Rent Roll'!AQ32</f>
        <v>0</v>
      </c>
      <c r="I32" s="29">
        <f>'Rent Roll'!T32</f>
        <v>0</v>
      </c>
      <c r="J32" s="26">
        <f>'Rent Roll'!U32</f>
        <v>0</v>
      </c>
      <c r="K32" s="26" t="str">
        <f>IF('Lease Cycles'!C32&gt;0,'Lease Cycles'!AC32,"")</f>
        <v/>
      </c>
      <c r="L32" s="58" t="str">
        <f>IF('Lease Cycles'!C32&gt;0,IF('Lease Cycles'!AG32=1,"Option",'Lease Cycles'!AD32),"")</f>
        <v/>
      </c>
      <c r="M32" s="24">
        <f>'Rent Roll'!AB32</f>
        <v>0</v>
      </c>
      <c r="N32" s="29">
        <f>'Rent Roll'!AC32</f>
        <v>0</v>
      </c>
      <c r="O32" s="26">
        <f>'Rent Roll'!AD32</f>
        <v>0</v>
      </c>
      <c r="P32" s="24">
        <f>'Rent Roll'!AE32</f>
        <v>0</v>
      </c>
      <c r="Q32" s="29" t="str">
        <f>IF(AND('Lease Cycles'!C32&gt;0,'Lease Cycles'!BI32&lt;132),IF('Lease Cycles'!AG32=1,'Lease Cycles'!CC32*'Lease Cycles'!AF32+'Lease Cycles'!O32*(1-'Lease Cycles'!AF32),'Lease Cycles'!CD32),"")</f>
        <v/>
      </c>
      <c r="R32" s="57" t="str">
        <f>'Rent Roll'!AG32</f>
        <v/>
      </c>
    </row>
    <row r="35">
      <c r="B35" s="6" t="s">
        <v>475</v>
      </c>
      <c r="C35" s="6"/>
      <c r="D35" s="6"/>
      <c r="E35" s="6"/>
      <c r="F35" s="6"/>
      <c r="G35" s="6"/>
    </row>
    <row r="36">
      <c r="B36" s="64" t="s">
        <v>476</v>
      </c>
      <c r="C36" s="64" t="s">
        <v>477</v>
      </c>
      <c r="D36" s="64" t="s">
        <v>207</v>
      </c>
      <c r="E36" s="64" t="s">
        <v>478</v>
      </c>
      <c r="F36" s="64" t="s">
        <v>479</v>
      </c>
    </row>
    <row r="37">
      <c r="B37" s="79">
        <v>1</v>
      </c>
      <c r="C37" s="24">
        <f>SUMIF('Lease Cycles'!$AR$8:$AR$32,B37,'Lease Cycles'!$C$8:$C$32)</f>
        <v>0</v>
      </c>
      <c r="D37" s="26">
        <f>IF(a_GLA&gt;0,C37/a_GLA,0)</f>
        <v>0</v>
      </c>
      <c r="E37" s="28">
        <f>SUMIF('Lease Cycles'!$AR$8:$AR$32,B37,'Rent Roll'!$J$8:$J$32)</f>
        <v>0</v>
      </c>
      <c r="F37" s="26">
        <f>D37</f>
        <v>0</v>
      </c>
    </row>
    <row r="38">
      <c r="B38" s="79">
        <v>2</v>
      </c>
      <c r="C38" s="24">
        <f>SUMIF('Lease Cycles'!$AR$8:$AR$32,B38,'Lease Cycles'!$C$8:$C$32)</f>
        <v>2000</v>
      </c>
      <c r="D38" s="26">
        <f>IF(a_GLA&gt;0,C38/a_GLA,0)</f>
        <v>0.03350083752093802</v>
      </c>
      <c r="E38" s="28">
        <f>SUMIF('Lease Cycles'!$AR$8:$AR$32,B38,'Rent Roll'!$J$8:$J$32)</f>
        <v>60000</v>
      </c>
      <c r="F38" s="26">
        <f>F37+D38</f>
        <v>0.03350083752093802</v>
      </c>
    </row>
    <row r="39">
      <c r="B39" s="79">
        <v>3</v>
      </c>
      <c r="C39" s="24">
        <f>SUMIF('Lease Cycles'!$AR$8:$AR$32,B39,'Lease Cycles'!$C$8:$C$32)</f>
        <v>1400</v>
      </c>
      <c r="D39" s="26">
        <f>IF(a_GLA&gt;0,C39/a_GLA,0)</f>
        <v>0.023450586264656615</v>
      </c>
      <c r="E39" s="28">
        <f>SUMIF('Lease Cycles'!$AR$8:$AR$32,B39,'Rent Roll'!$J$8:$J$32)</f>
        <v>39200</v>
      </c>
      <c r="F39" s="26">
        <f>F38+D39</f>
        <v>0.05695142378559463</v>
      </c>
    </row>
    <row r="40">
      <c r="B40" s="79">
        <v>4</v>
      </c>
      <c r="C40" s="24">
        <f>SUMIF('Lease Cycles'!$AR$8:$AR$32,B40,'Lease Cycles'!$C$8:$C$32)</f>
        <v>3000</v>
      </c>
      <c r="D40" s="26">
        <f>IF(a_GLA&gt;0,C40/a_GLA,0)</f>
        <v>0.05025125628140704</v>
      </c>
      <c r="E40" s="28">
        <f>SUMIF('Lease Cycles'!$AR$8:$AR$32,B40,'Rent Roll'!$J$8:$J$32)</f>
        <v>85200</v>
      </c>
      <c r="F40" s="26">
        <f>F39+D40</f>
        <v>0.10720268006700168</v>
      </c>
    </row>
    <row r="41">
      <c r="B41" s="79">
        <v>5</v>
      </c>
      <c r="C41" s="24">
        <f>SUMIF('Lease Cycles'!$AR$8:$AR$32,B41,'Lease Cycles'!$C$8:$C$32)</f>
        <v>17200</v>
      </c>
      <c r="D41" s="26">
        <f>IF(a_GLA&gt;0,C41/a_GLA,0)</f>
        <v>0.288107202680067</v>
      </c>
      <c r="E41" s="28">
        <f>SUMIF('Lease Cycles'!$AR$8:$AR$32,B41,'Rent Roll'!$J$8:$J$32)</f>
        <v>310800</v>
      </c>
      <c r="F41" s="26">
        <f>F40+D41</f>
        <v>0.3953098827470687</v>
      </c>
    </row>
    <row r="42">
      <c r="B42" s="79">
        <v>6</v>
      </c>
      <c r="C42" s="24">
        <f>SUMIF('Lease Cycles'!$AR$8:$AR$32,B42,'Lease Cycles'!$C$8:$C$32)</f>
        <v>2500</v>
      </c>
      <c r="D42" s="26">
        <f>IF(a_GLA&gt;0,C42/a_GLA,0)</f>
        <v>0.04187604690117253</v>
      </c>
      <c r="E42" s="28">
        <f>SUMIF('Lease Cycles'!$AR$8:$AR$32,B42,'Rent Roll'!$J$8:$J$32)</f>
        <v>67500</v>
      </c>
      <c r="F42" s="26">
        <f>F41+D42</f>
        <v>0.4371859296482412</v>
      </c>
    </row>
    <row r="43">
      <c r="B43" s="79">
        <v>7</v>
      </c>
      <c r="C43" s="24">
        <f>SUMIF('Lease Cycles'!$AR$8:$AR$32,B43,'Lease Cycles'!$C$8:$C$32)</f>
        <v>32000</v>
      </c>
      <c r="D43" s="26">
        <f>IF(a_GLA&gt;0,C43/a_GLA,0)</f>
        <v>0.5360134003350083</v>
      </c>
      <c r="E43" s="28">
        <f>SUMIF('Lease Cycles'!$AR$8:$AR$32,B43,'Rent Roll'!$J$8:$J$32)</f>
        <v>464000</v>
      </c>
      <c r="F43" s="26">
        <f>F42+D43</f>
        <v>0.9731993299832495</v>
      </c>
    </row>
    <row r="44">
      <c r="B44" s="79">
        <v>8</v>
      </c>
      <c r="C44" s="24">
        <f>SUMIF('Lease Cycles'!$AR$8:$AR$32,B44,'Lease Cycles'!$C$8:$C$32)</f>
        <v>1600</v>
      </c>
      <c r="D44" s="26">
        <f>IF(a_GLA&gt;0,C44/a_GLA,0)</f>
        <v>0.02680067001675042</v>
      </c>
      <c r="E44" s="28">
        <f>SUMIF('Lease Cycles'!$AR$8:$AR$32,B44,'Rent Roll'!$J$8:$J$32)</f>
        <v>29600</v>
      </c>
      <c r="F44" s="26">
        <f>F43+D44</f>
        <v>1</v>
      </c>
    </row>
    <row r="45">
      <c r="B45" s="79">
        <v>9</v>
      </c>
      <c r="C45" s="24">
        <f>SUMIF('Lease Cycles'!$AR$8:$AR$32,B45,'Lease Cycles'!$C$8:$C$32)</f>
        <v>0</v>
      </c>
      <c r="D45" s="26">
        <f>IF(a_GLA&gt;0,C45/a_GLA,0)</f>
        <v>0</v>
      </c>
      <c r="E45" s="28">
        <f>SUMIF('Lease Cycles'!$AR$8:$AR$32,B45,'Rent Roll'!$J$8:$J$32)</f>
        <v>0</v>
      </c>
      <c r="F45" s="26">
        <f>F44+D45</f>
        <v>1</v>
      </c>
    </row>
    <row r="46">
      <c r="B46" s="79">
        <v>10</v>
      </c>
      <c r="C46" s="24">
        <f>SUMIF('Lease Cycles'!$AR$8:$AR$32,B46,'Lease Cycles'!$C$8:$C$32)</f>
        <v>0</v>
      </c>
      <c r="D46" s="26">
        <f>IF(a_GLA&gt;0,C46/a_GLA,0)</f>
        <v>0</v>
      </c>
      <c r="E46" s="28">
        <f>SUMIF('Lease Cycles'!$AR$8:$AR$32,B46,'Rent Roll'!$J$8:$J$32)</f>
        <v>0</v>
      </c>
      <c r="F46" s="26">
        <f>F45+D46</f>
        <v>1</v>
      </c>
    </row>
    <row r="47">
      <c r="B47" s="79">
        <v>11</v>
      </c>
      <c r="C47" s="24">
        <f>SUMIF('Lease Cycles'!$AR$8:$AR$32,B47,'Lease Cycles'!$C$8:$C$32)</f>
        <v>0</v>
      </c>
      <c r="D47" s="26">
        <f>IF(a_GLA&gt;0,C47/a_GLA,0)</f>
        <v>0</v>
      </c>
      <c r="E47" s="28">
        <f>SUMIF('Lease Cycles'!$AR$8:$AR$32,B47,'Rent Roll'!$J$8:$J$32)</f>
        <v>0</v>
      </c>
      <c r="F47" s="26">
        <f>F46+D47</f>
        <v>1</v>
      </c>
    </row>
    <row r="50">
      <c r="B50" s="6" t="s">
        <v>480</v>
      </c>
      <c r="C50" s="6"/>
      <c r="D50" s="6"/>
      <c r="E50" s="6"/>
      <c r="F50" s="6"/>
      <c r="G50" s="6"/>
    </row>
    <row r="51">
      <c r="B51" s="32" t="s">
        <v>481</v>
      </c>
      <c r="C51" s="23" t="str">
        <f>IFERROR(INDEX('Rent Roll'!$C$8:$C$32,MATCH(MAX('Rent Roll'!$AQ$8:$AQ$32),'Rent Roll'!$AQ$8:$AQ$32,0)),"")</f>
        <v>Fieldstone Grocery</v>
      </c>
    </row>
    <row r="52">
      <c r="B52" s="32" t="s">
        <v>482</v>
      </c>
      <c r="C52" s="26">
        <f>MAX('Rent Roll'!$AQ$8:$AQ$32)</f>
        <v>0.43926914702262615</v>
      </c>
    </row>
    <row r="53">
      <c r="B53" s="32" t="s">
        <v>483</v>
      </c>
      <c r="C53" s="25">
        <f>COUNTIF('Rent Roll'!$AQ$8:$AQ$32,"&gt;=0.1")</f>
        <v>2</v>
      </c>
    </row>
    <row r="54">
      <c r="B54" s="32" t="s">
        <v>484</v>
      </c>
      <c r="C54" s="26">
        <f>IF('Rent Roll'!J33&gt;0,SUMIF('Lease Cycles'!$AR$8:$AR$32,"&lt;="&amp;in_HoldYears,'Rent Roll'!$J$8:$J$32)/'Rent Roll'!J33,0)</f>
        <v>0.9719776578623497</v>
      </c>
    </row>
  </sheetData>
  <sheetProtection sheet="1" objects="1" scenarios="1" formatColumns="0" formatRows="0" autoFilter="0"/>
  <hyperlinks>
    <hyperlink ref="I2" location="'Executive Summary'!A1" display="Back to summary"/>
  </hyperlinks>
  <pageMargins left="0.5" right="0.5" top="0.6" bottom="0.6" header="0.3" footer="0.3"/>
  <pageSetup paperSize="1" orientation="landscape" fitToWidth="1" fitToHeight="0"/>
  <headerFooter>
    <oddFooter>&amp;L&amp;"Arial,Regular"&amp;8CREMODEL  &amp;P / &amp;N</oddFooter>
  </headerFooter>
  <ignoredErrors>
    <ignoredError sqref="A1:R54" numberStoredAsText="1" formula="1" formulaRange="1" unlockedFormula="1" emptyCellReference="1"/>
  </ignoredErrors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F2740"/>
    <pageSetUpPr fitToPage="1"/>
  </sheetPr>
  <dimension ref="B1:O73"/>
  <sheetViews>
    <sheetView workbookViewId="0" showGridLines="0" zoomScale="90" zoomScaleNormal="90">
      <pane xSplit="3" ySplit="6" topLeftCell="D7" activePane="bottomRight" state="frozen"/>
      <selection pane="topRight"/>
      <selection pane="bottomLeft"/>
      <selection pane="bottomRight" activeCell="D7" sqref="D7"/>
    </sheetView>
  </sheetViews>
  <sheetFormatPr defaultRowHeight="15"/>
  <cols>
    <col min="1" max="1" width="2.5" customWidth="1"/>
    <col min="2" max="2" width="10" customWidth="1" hidden="1"/>
    <col min="3" max="3" width="46" customWidth="1"/>
    <col min="4" max="15" width="13.5" customWidth="1"/>
  </cols>
  <sheetData>
    <row r="1" ht="20" customHeight="1"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6" customHeight="1">
      <c r="C2" s="3" t="s">
        <v>485</v>
      </c>
      <c r="I2" s="30" t="s">
        <v>65</v>
      </c>
    </row>
    <row r="3">
      <c r="C3" s="4" t="s">
        <v>2</v>
      </c>
    </row>
    <row r="4">
      <c r="C4" s="22" t="s">
        <v>486</v>
      </c>
    </row>
    <row r="5">
      <c r="C5" s="7" t="s">
        <v>487</v>
      </c>
      <c r="D5" s="80">
        <f>in_AnalysisStart</f>
        <v>46388</v>
      </c>
      <c r="E5" s="80">
        <f>EOMONTH(in_AnalysisStart,12*E$6-1)</f>
        <v>46752</v>
      </c>
      <c r="F5" s="80">
        <f>EOMONTH(in_AnalysisStart,12*F$6-1)</f>
        <v>47118</v>
      </c>
      <c r="G5" s="80">
        <f>EOMONTH(in_AnalysisStart,12*G$6-1)</f>
        <v>47483</v>
      </c>
      <c r="H5" s="80">
        <f>EOMONTH(in_AnalysisStart,12*H$6-1)</f>
        <v>47848</v>
      </c>
      <c r="I5" s="80">
        <f>EOMONTH(in_AnalysisStart,12*I$6-1)</f>
        <v>48213</v>
      </c>
      <c r="J5" s="80">
        <f>EOMONTH(in_AnalysisStart,12*J$6-1)</f>
        <v>48579</v>
      </c>
      <c r="K5" s="80">
        <f>EOMONTH(in_AnalysisStart,12*K$6-1)</f>
        <v>48944</v>
      </c>
      <c r="L5" s="80">
        <f>EOMONTH(in_AnalysisStart,12*L$6-1)</f>
        <v>49309</v>
      </c>
      <c r="M5" s="80">
        <f>EOMONTH(in_AnalysisStart,12*M$6-1)</f>
        <v>49674</v>
      </c>
      <c r="N5" s="80">
        <f>EOMONTH(in_AnalysisStart,12*N$6-1)</f>
        <v>50040</v>
      </c>
      <c r="O5" s="80">
        <f>EOMONTH(in_AnalysisStart,12*O$6-1)</f>
        <v>50405</v>
      </c>
    </row>
    <row r="6">
      <c r="B6" s="31" t="s">
        <v>287</v>
      </c>
      <c r="C6" s="31" t="s">
        <v>476</v>
      </c>
      <c r="D6" s="81">
        <v>0</v>
      </c>
      <c r="E6" s="81">
        <v>1</v>
      </c>
      <c r="F6" s="81">
        <v>2</v>
      </c>
      <c r="G6" s="81">
        <v>3</v>
      </c>
      <c r="H6" s="81">
        <v>4</v>
      </c>
      <c r="I6" s="81">
        <v>5</v>
      </c>
      <c r="J6" s="81">
        <v>6</v>
      </c>
      <c r="K6" s="81">
        <v>7</v>
      </c>
      <c r="L6" s="81">
        <v>8</v>
      </c>
      <c r="M6" s="81">
        <v>9</v>
      </c>
      <c r="N6" s="81">
        <v>10</v>
      </c>
      <c r="O6" s="81">
        <v>11</v>
      </c>
    </row>
    <row r="8">
      <c r="C8" s="6" t="s">
        <v>488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>
      <c r="B9" s="7" t="s">
        <v>489</v>
      </c>
      <c r="C9" s="32" t="s">
        <v>490</v>
      </c>
      <c r="D9"/>
      <c r="E9" s="28">
        <f>'Model Calc'!E25</f>
        <v>1056956</v>
      </c>
      <c r="F9" s="28">
        <f>'Model Calc'!F25</f>
        <v>1055724.412565574</v>
      </c>
      <c r="G9" s="28">
        <f>'Model Calc'!G25</f>
        <v>1029942.9265309813</v>
      </c>
      <c r="H9" s="28">
        <f>'Model Calc'!H25</f>
        <v>1020073.203359758</v>
      </c>
      <c r="I9" s="28">
        <f>'Model Calc'!I25</f>
        <v>1012251.9957294203</v>
      </c>
      <c r="J9" s="28">
        <f>'Model Calc'!J25</f>
        <v>1019680.871690667</v>
      </c>
      <c r="K9" s="28">
        <f>'Model Calc'!K25</f>
        <v>1023257.8805875571</v>
      </c>
      <c r="L9" s="28">
        <f>'Model Calc'!L25</f>
        <v>1064353.3349203153</v>
      </c>
      <c r="M9" s="28">
        <f>'Model Calc'!M25</f>
        <v>1071530.0415657563</v>
      </c>
      <c r="N9" s="28">
        <f>'Model Calc'!N25</f>
        <v>1094250.25060804</v>
      </c>
      <c r="O9" s="28">
        <f>'Model Calc'!O25</f>
        <v>1119476.634907359</v>
      </c>
    </row>
    <row r="10">
      <c r="B10" s="7" t="s">
        <v>491</v>
      </c>
      <c r="C10" s="32" t="s">
        <v>492</v>
      </c>
      <c r="D10"/>
      <c r="E10" s="28">
        <f>-('Model Calc'!E25-'Model Calc'!E26-'Model Calc'!E27)</f>
        <v>-22692</v>
      </c>
      <c r="F10" s="28">
        <f>-('Model Calc'!F25-'Model Calc'!F26-'Model Calc'!F27)</f>
        <v>-5931.043969372389</v>
      </c>
      <c r="G10" s="28">
        <f>-('Model Calc'!G25-'Model Calc'!G26-'Model Calc'!G27)</f>
        <v>-3953.8009912049774</v>
      </c>
      <c r="H10" s="28">
        <f>-('Model Calc'!H25-'Model Calc'!H26-'Model Calc'!H27)</f>
        <v>-8916.893575305796</v>
      </c>
      <c r="I10" s="28">
        <f>-('Model Calc'!I25-'Model Calc'!I26-'Model Calc'!I27)</f>
        <v>-24036.89174075564</v>
      </c>
      <c r="J10" s="28">
        <f>-('Model Calc'!J25-'Model Calc'!J26-'Model Calc'!J27)</f>
        <v>-18602.069434082434</v>
      </c>
      <c r="K10" s="28">
        <f>-('Model Calc'!K25-'Model Calc'!K26-'Model Calc'!K27)</f>
        <v>0</v>
      </c>
      <c r="L10" s="28">
        <f>-('Model Calc'!L25-'Model Calc'!L26-'Model Calc'!L27)</f>
        <v>-4507.468431836229</v>
      </c>
      <c r="M10" s="28">
        <f>-('Model Calc'!M25-'Model Calc'!M26-'Model Calc'!M27)</f>
        <v>0</v>
      </c>
      <c r="N10" s="28">
        <f>-('Model Calc'!N25-'Model Calc'!N26-'Model Calc'!N27)</f>
        <v>-14781.382800114037</v>
      </c>
      <c r="O10" s="28">
        <f>-('Model Calc'!O25-'Model Calc'!O26-'Model Calc'!O27)</f>
        <v>-5917.3262355511415</v>
      </c>
    </row>
    <row r="11">
      <c r="B11" s="7" t="s">
        <v>493</v>
      </c>
      <c r="C11" s="32" t="s">
        <v>494</v>
      </c>
      <c r="D11"/>
      <c r="E11" s="28">
        <f>-'Model Calc'!E27</f>
        <v>-7564</v>
      </c>
      <c r="F11" s="28">
        <f>-'Model Calc'!F27</f>
        <v>-1957.836447151276</v>
      </c>
      <c r="G11" s="28">
        <f>-'Model Calc'!G27</f>
        <v>-1387.4690134148666</v>
      </c>
      <c r="H11" s="28">
        <f>-'Model Calc'!H27</f>
        <v>-3091.1615457838852</v>
      </c>
      <c r="I11" s="28">
        <f>-'Model Calc'!I27</f>
        <v>-10659.120122913508</v>
      </c>
      <c r="J11" s="28">
        <f>-'Model Calc'!J27</f>
        <v>-8324.267487074767</v>
      </c>
      <c r="K11" s="28">
        <f>-'Model Calc'!K27</f>
        <v>0</v>
      </c>
      <c r="L11" s="28">
        <f>-'Model Calc'!L27</f>
        <v>-1824.7024579211118</v>
      </c>
      <c r="M11" s="28">
        <f>-'Model Calc'!M27</f>
        <v>0</v>
      </c>
      <c r="N11" s="28">
        <f>-'Model Calc'!N27</f>
        <v>-4155.0420879936555</v>
      </c>
      <c r="O11" s="28">
        <f>-'Model Calc'!O27</f>
        <v>-1528.9486967856194</v>
      </c>
    </row>
    <row r="12">
      <c r="B12" s="7" t="s">
        <v>294</v>
      </c>
      <c r="C12" s="65" t="s">
        <v>495</v>
      </c>
      <c r="D12" s="59"/>
      <c r="E12" s="63">
        <f>E9+E10+E11</f>
        <v>1026700</v>
      </c>
      <c r="F12" s="63">
        <f>F9+F10+F11</f>
        <v>1047835.5321490505</v>
      </c>
      <c r="G12" s="63">
        <f>G9+G10+G11</f>
        <v>1024601.6565263615</v>
      </c>
      <c r="H12" s="63">
        <f>H9+H10+H11</f>
        <v>1008065.1482386683</v>
      </c>
      <c r="I12" s="63">
        <f>I9+I10+I11</f>
        <v>977555.9838657512</v>
      </c>
      <c r="J12" s="63">
        <f>J9+J10+J11</f>
        <v>992754.5347695098</v>
      </c>
      <c r="K12" s="63">
        <f>K9+K10+K11</f>
        <v>1023257.8805875571</v>
      </c>
      <c r="L12" s="63">
        <f>L9+L10+L11</f>
        <v>1058021.164030558</v>
      </c>
      <c r="M12" s="63">
        <f>M9+M10+M11</f>
        <v>1071530.0415657563</v>
      </c>
      <c r="N12" s="63">
        <f>N9+N10+N11</f>
        <v>1075313.8257199323</v>
      </c>
      <c r="O12" s="63">
        <f>O9+O10+O11</f>
        <v>1112030.3599750223</v>
      </c>
    </row>
    <row r="13">
      <c r="B13" s="7" t="s">
        <v>496</v>
      </c>
      <c r="C13" s="65" t="s">
        <v>497</v>
      </c>
      <c r="D13" s="59"/>
      <c r="E13" s="63">
        <f>E12</f>
        <v>1026700</v>
      </c>
      <c r="F13" s="63">
        <f>F12</f>
        <v>1047835.5321490505</v>
      </c>
      <c r="G13" s="63">
        <f>G12</f>
        <v>1024601.6565263615</v>
      </c>
      <c r="H13" s="63">
        <f>H12</f>
        <v>1008065.1482386683</v>
      </c>
      <c r="I13" s="63">
        <f>I12</f>
        <v>977555.9838657512</v>
      </c>
      <c r="J13" s="63">
        <f>J12</f>
        <v>992754.5347695098</v>
      </c>
      <c r="K13" s="63">
        <f>K12</f>
        <v>1023257.8805875571</v>
      </c>
      <c r="L13" s="63">
        <f>L12</f>
        <v>1058021.164030558</v>
      </c>
      <c r="M13" s="63">
        <f>M12</f>
        <v>1071530.0415657563</v>
      </c>
      <c r="N13" s="63">
        <f>N12</f>
        <v>1075313.8257199323</v>
      </c>
      <c r="O13" s="63">
        <f>O12</f>
        <v>1112030.3599750223</v>
      </c>
    </row>
    <row r="14">
      <c r="C14" s="6" t="s">
        <v>498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>
      <c r="B15" s="7" t="s">
        <v>296</v>
      </c>
      <c r="C15" s="32" t="s">
        <v>297</v>
      </c>
      <c r="D15"/>
      <c r="E15" s="28">
        <f>'Model Calc'!E38</f>
        <v>275870</v>
      </c>
      <c r="F15" s="28">
        <f>'Model Calc'!F38</f>
        <v>287493.49999999994</v>
      </c>
      <c r="G15" s="28">
        <f>'Model Calc'!G38</f>
        <v>294681.5006</v>
      </c>
      <c r="H15" s="28">
        <f>'Model Calc'!H38</f>
        <v>300889.84425499995</v>
      </c>
      <c r="I15" s="28">
        <f>'Model Calc'!I38</f>
        <v>304958.7738899264</v>
      </c>
      <c r="J15" s="28">
        <f>'Model Calc'!J38</f>
        <v>313755.12979010766</v>
      </c>
      <c r="K15" s="28">
        <f>'Model Calc'!K38</f>
        <v>325993.9092135041</v>
      </c>
      <c r="L15" s="28">
        <f>'Model Calc'!L38</f>
        <v>332821.4789531685</v>
      </c>
      <c r="M15" s="28">
        <f>'Model Calc'!M38</f>
        <v>341669.4973255732</v>
      </c>
      <c r="N15" s="28">
        <f>'Model Calc'!N38</f>
        <v>347737.05274223885</v>
      </c>
      <c r="O15" s="28">
        <f>'Model Calc'!O38</f>
        <v>357347.13255636336</v>
      </c>
    </row>
    <row r="16">
      <c r="B16" s="7" t="s">
        <v>499</v>
      </c>
      <c r="C16" s="32" t="s">
        <v>500</v>
      </c>
      <c r="D16"/>
      <c r="E16" s="28">
        <f>'Model Calc'!E34</f>
        <v>0</v>
      </c>
      <c r="F16" s="28">
        <f>'Model Calc'!F34</f>
        <v>0</v>
      </c>
      <c r="G16" s="28">
        <f>'Model Calc'!G34</f>
        <v>0</v>
      </c>
      <c r="H16" s="28">
        <f>'Model Calc'!H34</f>
        <v>0</v>
      </c>
      <c r="I16" s="28">
        <f>'Model Calc'!I34</f>
        <v>0</v>
      </c>
      <c r="J16" s="28">
        <f>'Model Calc'!J34</f>
        <v>0</v>
      </c>
      <c r="K16" s="28">
        <f>'Model Calc'!K34</f>
        <v>0</v>
      </c>
      <c r="L16" s="28">
        <f>'Model Calc'!L34</f>
        <v>0</v>
      </c>
      <c r="M16" s="28">
        <f>'Model Calc'!M34</f>
        <v>0</v>
      </c>
      <c r="N16" s="28">
        <f>'Model Calc'!N34</f>
        <v>0</v>
      </c>
      <c r="O16" s="28">
        <f>'Model Calc'!O34</f>
        <v>0</v>
      </c>
    </row>
    <row r="17">
      <c r="B17" s="7" t="s">
        <v>501</v>
      </c>
      <c r="C17" s="82" t="str">
        <f>IF('Assumptions'!$B$55="","  Other income (blank row)","  "&amp;'Assumptions'!$B$55)</f>
        <v>  Other income (blank row)</v>
      </c>
      <c r="D17"/>
      <c r="E17" s="28">
        <f>IF('Assumptions'!$B$55="",0,IF('Assumptions'!$G$55="One-time",IF(INT(IF(ISNUMBER('Assumptions'!$D$55),'Assumptions'!$D$55,0)/12)+1=E$6,IF(ISNUMBER('Assumptions'!$C$55),'Assumptions'!$C$55,0),0),IF(ISNUMBER('Assumptions'!$C$55),'Assumptions'!$C$55,0)*IF('Assumptions'!$G$55="A month",12,1)*(1+IF(ISNUMBER('Assumptions'!$E$55),'Assumptions'!$E$55,a_Inflation))^(E$6-1)*MAX(0,MIN(12*E$6,IF(IF(ISNUMBER('Assumptions'!$F$55),'Assumptions'!$F$55,0)&gt;0,'Assumptions'!$F$55,9999))-MAX(12*(E$6-1),IF(ISNUMBER('Assumptions'!$D$55),'Assumptions'!$D$55,0)))/12))</f>
        <v>0</v>
      </c>
      <c r="F17" s="28">
        <f>IF('Assumptions'!$B$55="",0,IF('Assumptions'!$G$55="One-time",IF(INT(IF(ISNUMBER('Assumptions'!$D$55),'Assumptions'!$D$55,0)/12)+1=F$6,IF(ISNUMBER('Assumptions'!$C$55),'Assumptions'!$C$55,0),0),IF(ISNUMBER('Assumptions'!$C$55),'Assumptions'!$C$55,0)*IF('Assumptions'!$G$55="A month",12,1)*(1+IF(ISNUMBER('Assumptions'!$E$55),'Assumptions'!$E$55,a_Inflation))^(F$6-1)*MAX(0,MIN(12*F$6,IF(IF(ISNUMBER('Assumptions'!$F$55),'Assumptions'!$F$55,0)&gt;0,'Assumptions'!$F$55,9999))-MAX(12*(F$6-1),IF(ISNUMBER('Assumptions'!$D$55),'Assumptions'!$D$55,0)))/12))</f>
        <v>0</v>
      </c>
      <c r="G17" s="28">
        <f>IF('Assumptions'!$B$55="",0,IF('Assumptions'!$G$55="One-time",IF(INT(IF(ISNUMBER('Assumptions'!$D$55),'Assumptions'!$D$55,0)/12)+1=G$6,IF(ISNUMBER('Assumptions'!$C$55),'Assumptions'!$C$55,0),0),IF(ISNUMBER('Assumptions'!$C$55),'Assumptions'!$C$55,0)*IF('Assumptions'!$G$55="A month",12,1)*(1+IF(ISNUMBER('Assumptions'!$E$55),'Assumptions'!$E$55,a_Inflation))^(G$6-1)*MAX(0,MIN(12*G$6,IF(IF(ISNUMBER('Assumptions'!$F$55),'Assumptions'!$F$55,0)&gt;0,'Assumptions'!$F$55,9999))-MAX(12*(G$6-1),IF(ISNUMBER('Assumptions'!$D$55),'Assumptions'!$D$55,0)))/12))</f>
        <v>0</v>
      </c>
      <c r="H17" s="28">
        <f>IF('Assumptions'!$B$55="",0,IF('Assumptions'!$G$55="One-time",IF(INT(IF(ISNUMBER('Assumptions'!$D$55),'Assumptions'!$D$55,0)/12)+1=H$6,IF(ISNUMBER('Assumptions'!$C$55),'Assumptions'!$C$55,0),0),IF(ISNUMBER('Assumptions'!$C$55),'Assumptions'!$C$55,0)*IF('Assumptions'!$G$55="A month",12,1)*(1+IF(ISNUMBER('Assumptions'!$E$55),'Assumptions'!$E$55,a_Inflation))^(H$6-1)*MAX(0,MIN(12*H$6,IF(IF(ISNUMBER('Assumptions'!$F$55),'Assumptions'!$F$55,0)&gt;0,'Assumptions'!$F$55,9999))-MAX(12*(H$6-1),IF(ISNUMBER('Assumptions'!$D$55),'Assumptions'!$D$55,0)))/12))</f>
        <v>0</v>
      </c>
      <c r="I17" s="28">
        <f>IF('Assumptions'!$B$55="",0,IF('Assumptions'!$G$55="One-time",IF(INT(IF(ISNUMBER('Assumptions'!$D$55),'Assumptions'!$D$55,0)/12)+1=I$6,IF(ISNUMBER('Assumptions'!$C$55),'Assumptions'!$C$55,0),0),IF(ISNUMBER('Assumptions'!$C$55),'Assumptions'!$C$55,0)*IF('Assumptions'!$G$55="A month",12,1)*(1+IF(ISNUMBER('Assumptions'!$E$55),'Assumptions'!$E$55,a_Inflation))^(I$6-1)*MAX(0,MIN(12*I$6,IF(IF(ISNUMBER('Assumptions'!$F$55),'Assumptions'!$F$55,0)&gt;0,'Assumptions'!$F$55,9999))-MAX(12*(I$6-1),IF(ISNUMBER('Assumptions'!$D$55),'Assumptions'!$D$55,0)))/12))</f>
        <v>0</v>
      </c>
      <c r="J17" s="28">
        <f>IF('Assumptions'!$B$55="",0,IF('Assumptions'!$G$55="One-time",IF(INT(IF(ISNUMBER('Assumptions'!$D$55),'Assumptions'!$D$55,0)/12)+1=J$6,IF(ISNUMBER('Assumptions'!$C$55),'Assumptions'!$C$55,0),0),IF(ISNUMBER('Assumptions'!$C$55),'Assumptions'!$C$55,0)*IF('Assumptions'!$G$55="A month",12,1)*(1+IF(ISNUMBER('Assumptions'!$E$55),'Assumptions'!$E$55,a_Inflation))^(J$6-1)*MAX(0,MIN(12*J$6,IF(IF(ISNUMBER('Assumptions'!$F$55),'Assumptions'!$F$55,0)&gt;0,'Assumptions'!$F$55,9999))-MAX(12*(J$6-1),IF(ISNUMBER('Assumptions'!$D$55),'Assumptions'!$D$55,0)))/12))</f>
        <v>0</v>
      </c>
      <c r="K17" s="28">
        <f>IF('Assumptions'!$B$55="",0,IF('Assumptions'!$G$55="One-time",IF(INT(IF(ISNUMBER('Assumptions'!$D$55),'Assumptions'!$D$55,0)/12)+1=K$6,IF(ISNUMBER('Assumptions'!$C$55),'Assumptions'!$C$55,0),0),IF(ISNUMBER('Assumptions'!$C$55),'Assumptions'!$C$55,0)*IF('Assumptions'!$G$55="A month",12,1)*(1+IF(ISNUMBER('Assumptions'!$E$55),'Assumptions'!$E$55,a_Inflation))^(K$6-1)*MAX(0,MIN(12*K$6,IF(IF(ISNUMBER('Assumptions'!$F$55),'Assumptions'!$F$55,0)&gt;0,'Assumptions'!$F$55,9999))-MAX(12*(K$6-1),IF(ISNUMBER('Assumptions'!$D$55),'Assumptions'!$D$55,0)))/12))</f>
        <v>0</v>
      </c>
      <c r="L17" s="28">
        <f>IF('Assumptions'!$B$55="",0,IF('Assumptions'!$G$55="One-time",IF(INT(IF(ISNUMBER('Assumptions'!$D$55),'Assumptions'!$D$55,0)/12)+1=L$6,IF(ISNUMBER('Assumptions'!$C$55),'Assumptions'!$C$55,0),0),IF(ISNUMBER('Assumptions'!$C$55),'Assumptions'!$C$55,0)*IF('Assumptions'!$G$55="A month",12,1)*(1+IF(ISNUMBER('Assumptions'!$E$55),'Assumptions'!$E$55,a_Inflation))^(L$6-1)*MAX(0,MIN(12*L$6,IF(IF(ISNUMBER('Assumptions'!$F$55),'Assumptions'!$F$55,0)&gt;0,'Assumptions'!$F$55,9999))-MAX(12*(L$6-1),IF(ISNUMBER('Assumptions'!$D$55),'Assumptions'!$D$55,0)))/12))</f>
        <v>0</v>
      </c>
      <c r="M17" s="28">
        <f>IF('Assumptions'!$B$55="",0,IF('Assumptions'!$G$55="One-time",IF(INT(IF(ISNUMBER('Assumptions'!$D$55),'Assumptions'!$D$55,0)/12)+1=M$6,IF(ISNUMBER('Assumptions'!$C$55),'Assumptions'!$C$55,0),0),IF(ISNUMBER('Assumptions'!$C$55),'Assumptions'!$C$55,0)*IF('Assumptions'!$G$55="A month",12,1)*(1+IF(ISNUMBER('Assumptions'!$E$55),'Assumptions'!$E$55,a_Inflation))^(M$6-1)*MAX(0,MIN(12*M$6,IF(IF(ISNUMBER('Assumptions'!$F$55),'Assumptions'!$F$55,0)&gt;0,'Assumptions'!$F$55,9999))-MAX(12*(M$6-1),IF(ISNUMBER('Assumptions'!$D$55),'Assumptions'!$D$55,0)))/12))</f>
        <v>0</v>
      </c>
      <c r="N17" s="28">
        <f>IF('Assumptions'!$B$55="",0,IF('Assumptions'!$G$55="One-time",IF(INT(IF(ISNUMBER('Assumptions'!$D$55),'Assumptions'!$D$55,0)/12)+1=N$6,IF(ISNUMBER('Assumptions'!$C$55),'Assumptions'!$C$55,0),0),IF(ISNUMBER('Assumptions'!$C$55),'Assumptions'!$C$55,0)*IF('Assumptions'!$G$55="A month",12,1)*(1+IF(ISNUMBER('Assumptions'!$E$55),'Assumptions'!$E$55,a_Inflation))^(N$6-1)*MAX(0,MIN(12*N$6,IF(IF(ISNUMBER('Assumptions'!$F$55),'Assumptions'!$F$55,0)&gt;0,'Assumptions'!$F$55,9999))-MAX(12*(N$6-1),IF(ISNUMBER('Assumptions'!$D$55),'Assumptions'!$D$55,0)))/12))</f>
        <v>0</v>
      </c>
      <c r="O17" s="28">
        <f>IF('Assumptions'!$B$55="",0,IF('Assumptions'!$G$55="One-time",IF(INT(IF(ISNUMBER('Assumptions'!$D$55),'Assumptions'!$D$55,0)/12)+1=O$6,IF(ISNUMBER('Assumptions'!$C$55),'Assumptions'!$C$55,0),0),IF(ISNUMBER('Assumptions'!$C$55),'Assumptions'!$C$55,0)*IF('Assumptions'!$G$55="A month",12,1)*(1+IF(ISNUMBER('Assumptions'!$E$55),'Assumptions'!$E$55,a_Inflation))^(O$6-1)*MAX(0,MIN(12*O$6,IF(IF(ISNUMBER('Assumptions'!$F$55),'Assumptions'!$F$55,0)&gt;0,'Assumptions'!$F$55,9999))-MAX(12*(O$6-1),IF(ISNUMBER('Assumptions'!$D$55),'Assumptions'!$D$55,0)))/12))</f>
        <v>0</v>
      </c>
    </row>
    <row r="18">
      <c r="B18" s="7" t="s">
        <v>502</v>
      </c>
      <c r="C18" s="82" t="str">
        <f>IF('Assumptions'!$B$56="","  Other income (blank row)","  "&amp;'Assumptions'!$B$56)</f>
        <v>  Other income (blank row)</v>
      </c>
      <c r="D18"/>
      <c r="E18" s="28">
        <f>IF('Assumptions'!$B$56="",0,IF('Assumptions'!$G$56="One-time",IF(INT(IF(ISNUMBER('Assumptions'!$D$56),'Assumptions'!$D$56,0)/12)+1=E$6,IF(ISNUMBER('Assumptions'!$C$56),'Assumptions'!$C$56,0),0),IF(ISNUMBER('Assumptions'!$C$56),'Assumptions'!$C$56,0)*IF('Assumptions'!$G$56="A month",12,1)*(1+IF(ISNUMBER('Assumptions'!$E$56),'Assumptions'!$E$56,a_Inflation))^(E$6-1)*MAX(0,MIN(12*E$6,IF(IF(ISNUMBER('Assumptions'!$F$56),'Assumptions'!$F$56,0)&gt;0,'Assumptions'!$F$56,9999))-MAX(12*(E$6-1),IF(ISNUMBER('Assumptions'!$D$56),'Assumptions'!$D$56,0)))/12))</f>
        <v>0</v>
      </c>
      <c r="F18" s="28">
        <f>IF('Assumptions'!$B$56="",0,IF('Assumptions'!$G$56="One-time",IF(INT(IF(ISNUMBER('Assumptions'!$D$56),'Assumptions'!$D$56,0)/12)+1=F$6,IF(ISNUMBER('Assumptions'!$C$56),'Assumptions'!$C$56,0),0),IF(ISNUMBER('Assumptions'!$C$56),'Assumptions'!$C$56,0)*IF('Assumptions'!$G$56="A month",12,1)*(1+IF(ISNUMBER('Assumptions'!$E$56),'Assumptions'!$E$56,a_Inflation))^(F$6-1)*MAX(0,MIN(12*F$6,IF(IF(ISNUMBER('Assumptions'!$F$56),'Assumptions'!$F$56,0)&gt;0,'Assumptions'!$F$56,9999))-MAX(12*(F$6-1),IF(ISNUMBER('Assumptions'!$D$56),'Assumptions'!$D$56,0)))/12))</f>
        <v>0</v>
      </c>
      <c r="G18" s="28">
        <f>IF('Assumptions'!$B$56="",0,IF('Assumptions'!$G$56="One-time",IF(INT(IF(ISNUMBER('Assumptions'!$D$56),'Assumptions'!$D$56,0)/12)+1=G$6,IF(ISNUMBER('Assumptions'!$C$56),'Assumptions'!$C$56,0),0),IF(ISNUMBER('Assumptions'!$C$56),'Assumptions'!$C$56,0)*IF('Assumptions'!$G$56="A month",12,1)*(1+IF(ISNUMBER('Assumptions'!$E$56),'Assumptions'!$E$56,a_Inflation))^(G$6-1)*MAX(0,MIN(12*G$6,IF(IF(ISNUMBER('Assumptions'!$F$56),'Assumptions'!$F$56,0)&gt;0,'Assumptions'!$F$56,9999))-MAX(12*(G$6-1),IF(ISNUMBER('Assumptions'!$D$56),'Assumptions'!$D$56,0)))/12))</f>
        <v>0</v>
      </c>
      <c r="H18" s="28">
        <f>IF('Assumptions'!$B$56="",0,IF('Assumptions'!$G$56="One-time",IF(INT(IF(ISNUMBER('Assumptions'!$D$56),'Assumptions'!$D$56,0)/12)+1=H$6,IF(ISNUMBER('Assumptions'!$C$56),'Assumptions'!$C$56,0),0),IF(ISNUMBER('Assumptions'!$C$56),'Assumptions'!$C$56,0)*IF('Assumptions'!$G$56="A month",12,1)*(1+IF(ISNUMBER('Assumptions'!$E$56),'Assumptions'!$E$56,a_Inflation))^(H$6-1)*MAX(0,MIN(12*H$6,IF(IF(ISNUMBER('Assumptions'!$F$56),'Assumptions'!$F$56,0)&gt;0,'Assumptions'!$F$56,9999))-MAX(12*(H$6-1),IF(ISNUMBER('Assumptions'!$D$56),'Assumptions'!$D$56,0)))/12))</f>
        <v>0</v>
      </c>
      <c r="I18" s="28">
        <f>IF('Assumptions'!$B$56="",0,IF('Assumptions'!$G$56="One-time",IF(INT(IF(ISNUMBER('Assumptions'!$D$56),'Assumptions'!$D$56,0)/12)+1=I$6,IF(ISNUMBER('Assumptions'!$C$56),'Assumptions'!$C$56,0),0),IF(ISNUMBER('Assumptions'!$C$56),'Assumptions'!$C$56,0)*IF('Assumptions'!$G$56="A month",12,1)*(1+IF(ISNUMBER('Assumptions'!$E$56),'Assumptions'!$E$56,a_Inflation))^(I$6-1)*MAX(0,MIN(12*I$6,IF(IF(ISNUMBER('Assumptions'!$F$56),'Assumptions'!$F$56,0)&gt;0,'Assumptions'!$F$56,9999))-MAX(12*(I$6-1),IF(ISNUMBER('Assumptions'!$D$56),'Assumptions'!$D$56,0)))/12))</f>
        <v>0</v>
      </c>
      <c r="J18" s="28">
        <f>IF('Assumptions'!$B$56="",0,IF('Assumptions'!$G$56="One-time",IF(INT(IF(ISNUMBER('Assumptions'!$D$56),'Assumptions'!$D$56,0)/12)+1=J$6,IF(ISNUMBER('Assumptions'!$C$56),'Assumptions'!$C$56,0),0),IF(ISNUMBER('Assumptions'!$C$56),'Assumptions'!$C$56,0)*IF('Assumptions'!$G$56="A month",12,1)*(1+IF(ISNUMBER('Assumptions'!$E$56),'Assumptions'!$E$56,a_Inflation))^(J$6-1)*MAX(0,MIN(12*J$6,IF(IF(ISNUMBER('Assumptions'!$F$56),'Assumptions'!$F$56,0)&gt;0,'Assumptions'!$F$56,9999))-MAX(12*(J$6-1),IF(ISNUMBER('Assumptions'!$D$56),'Assumptions'!$D$56,0)))/12))</f>
        <v>0</v>
      </c>
      <c r="K18" s="28">
        <f>IF('Assumptions'!$B$56="",0,IF('Assumptions'!$G$56="One-time",IF(INT(IF(ISNUMBER('Assumptions'!$D$56),'Assumptions'!$D$56,0)/12)+1=K$6,IF(ISNUMBER('Assumptions'!$C$56),'Assumptions'!$C$56,0),0),IF(ISNUMBER('Assumptions'!$C$56),'Assumptions'!$C$56,0)*IF('Assumptions'!$G$56="A month",12,1)*(1+IF(ISNUMBER('Assumptions'!$E$56),'Assumptions'!$E$56,a_Inflation))^(K$6-1)*MAX(0,MIN(12*K$6,IF(IF(ISNUMBER('Assumptions'!$F$56),'Assumptions'!$F$56,0)&gt;0,'Assumptions'!$F$56,9999))-MAX(12*(K$6-1),IF(ISNUMBER('Assumptions'!$D$56),'Assumptions'!$D$56,0)))/12))</f>
        <v>0</v>
      </c>
      <c r="L18" s="28">
        <f>IF('Assumptions'!$B$56="",0,IF('Assumptions'!$G$56="One-time",IF(INT(IF(ISNUMBER('Assumptions'!$D$56),'Assumptions'!$D$56,0)/12)+1=L$6,IF(ISNUMBER('Assumptions'!$C$56),'Assumptions'!$C$56,0),0),IF(ISNUMBER('Assumptions'!$C$56),'Assumptions'!$C$56,0)*IF('Assumptions'!$G$56="A month",12,1)*(1+IF(ISNUMBER('Assumptions'!$E$56),'Assumptions'!$E$56,a_Inflation))^(L$6-1)*MAX(0,MIN(12*L$6,IF(IF(ISNUMBER('Assumptions'!$F$56),'Assumptions'!$F$56,0)&gt;0,'Assumptions'!$F$56,9999))-MAX(12*(L$6-1),IF(ISNUMBER('Assumptions'!$D$56),'Assumptions'!$D$56,0)))/12))</f>
        <v>0</v>
      </c>
      <c r="M18" s="28">
        <f>IF('Assumptions'!$B$56="",0,IF('Assumptions'!$G$56="One-time",IF(INT(IF(ISNUMBER('Assumptions'!$D$56),'Assumptions'!$D$56,0)/12)+1=M$6,IF(ISNUMBER('Assumptions'!$C$56),'Assumptions'!$C$56,0),0),IF(ISNUMBER('Assumptions'!$C$56),'Assumptions'!$C$56,0)*IF('Assumptions'!$G$56="A month",12,1)*(1+IF(ISNUMBER('Assumptions'!$E$56),'Assumptions'!$E$56,a_Inflation))^(M$6-1)*MAX(0,MIN(12*M$6,IF(IF(ISNUMBER('Assumptions'!$F$56),'Assumptions'!$F$56,0)&gt;0,'Assumptions'!$F$56,9999))-MAX(12*(M$6-1),IF(ISNUMBER('Assumptions'!$D$56),'Assumptions'!$D$56,0)))/12))</f>
        <v>0</v>
      </c>
      <c r="N18" s="28">
        <f>IF('Assumptions'!$B$56="",0,IF('Assumptions'!$G$56="One-time",IF(INT(IF(ISNUMBER('Assumptions'!$D$56),'Assumptions'!$D$56,0)/12)+1=N$6,IF(ISNUMBER('Assumptions'!$C$56),'Assumptions'!$C$56,0),0),IF(ISNUMBER('Assumptions'!$C$56),'Assumptions'!$C$56,0)*IF('Assumptions'!$G$56="A month",12,1)*(1+IF(ISNUMBER('Assumptions'!$E$56),'Assumptions'!$E$56,a_Inflation))^(N$6-1)*MAX(0,MIN(12*N$6,IF(IF(ISNUMBER('Assumptions'!$F$56),'Assumptions'!$F$56,0)&gt;0,'Assumptions'!$F$56,9999))-MAX(12*(N$6-1),IF(ISNUMBER('Assumptions'!$D$56),'Assumptions'!$D$56,0)))/12))</f>
        <v>0</v>
      </c>
      <c r="O18" s="28">
        <f>IF('Assumptions'!$B$56="",0,IF('Assumptions'!$G$56="One-time",IF(INT(IF(ISNUMBER('Assumptions'!$D$56),'Assumptions'!$D$56,0)/12)+1=O$6,IF(ISNUMBER('Assumptions'!$C$56),'Assumptions'!$C$56,0),0),IF(ISNUMBER('Assumptions'!$C$56),'Assumptions'!$C$56,0)*IF('Assumptions'!$G$56="A month",12,1)*(1+IF(ISNUMBER('Assumptions'!$E$56),'Assumptions'!$E$56,a_Inflation))^(O$6-1)*MAX(0,MIN(12*O$6,IF(IF(ISNUMBER('Assumptions'!$F$56),'Assumptions'!$F$56,0)&gt;0,'Assumptions'!$F$56,9999))-MAX(12*(O$6-1),IF(ISNUMBER('Assumptions'!$D$56),'Assumptions'!$D$56,0)))/12))</f>
        <v>0</v>
      </c>
    </row>
    <row r="19">
      <c r="B19" s="7" t="s">
        <v>503</v>
      </c>
      <c r="C19" s="82" t="str">
        <f>IF('Assumptions'!$B$57="","  Other income (blank row)","  "&amp;'Assumptions'!$B$57)</f>
        <v>  Other income (blank row)</v>
      </c>
      <c r="D19"/>
      <c r="E19" s="28">
        <f>IF('Assumptions'!$B$57="",0,IF('Assumptions'!$G$57="One-time",IF(INT(IF(ISNUMBER('Assumptions'!$D$57),'Assumptions'!$D$57,0)/12)+1=E$6,IF(ISNUMBER('Assumptions'!$C$57),'Assumptions'!$C$57,0),0),IF(ISNUMBER('Assumptions'!$C$57),'Assumptions'!$C$57,0)*IF('Assumptions'!$G$57="A month",12,1)*(1+IF(ISNUMBER('Assumptions'!$E$57),'Assumptions'!$E$57,a_Inflation))^(E$6-1)*MAX(0,MIN(12*E$6,IF(IF(ISNUMBER('Assumptions'!$F$57),'Assumptions'!$F$57,0)&gt;0,'Assumptions'!$F$57,9999))-MAX(12*(E$6-1),IF(ISNUMBER('Assumptions'!$D$57),'Assumptions'!$D$57,0)))/12))</f>
        <v>0</v>
      </c>
      <c r="F19" s="28">
        <f>IF('Assumptions'!$B$57="",0,IF('Assumptions'!$G$57="One-time",IF(INT(IF(ISNUMBER('Assumptions'!$D$57),'Assumptions'!$D$57,0)/12)+1=F$6,IF(ISNUMBER('Assumptions'!$C$57),'Assumptions'!$C$57,0),0),IF(ISNUMBER('Assumptions'!$C$57),'Assumptions'!$C$57,0)*IF('Assumptions'!$G$57="A month",12,1)*(1+IF(ISNUMBER('Assumptions'!$E$57),'Assumptions'!$E$57,a_Inflation))^(F$6-1)*MAX(0,MIN(12*F$6,IF(IF(ISNUMBER('Assumptions'!$F$57),'Assumptions'!$F$57,0)&gt;0,'Assumptions'!$F$57,9999))-MAX(12*(F$6-1),IF(ISNUMBER('Assumptions'!$D$57),'Assumptions'!$D$57,0)))/12))</f>
        <v>0</v>
      </c>
      <c r="G19" s="28">
        <f>IF('Assumptions'!$B$57="",0,IF('Assumptions'!$G$57="One-time",IF(INT(IF(ISNUMBER('Assumptions'!$D$57),'Assumptions'!$D$57,0)/12)+1=G$6,IF(ISNUMBER('Assumptions'!$C$57),'Assumptions'!$C$57,0),0),IF(ISNUMBER('Assumptions'!$C$57),'Assumptions'!$C$57,0)*IF('Assumptions'!$G$57="A month",12,1)*(1+IF(ISNUMBER('Assumptions'!$E$57),'Assumptions'!$E$57,a_Inflation))^(G$6-1)*MAX(0,MIN(12*G$6,IF(IF(ISNUMBER('Assumptions'!$F$57),'Assumptions'!$F$57,0)&gt;0,'Assumptions'!$F$57,9999))-MAX(12*(G$6-1),IF(ISNUMBER('Assumptions'!$D$57),'Assumptions'!$D$57,0)))/12))</f>
        <v>0</v>
      </c>
      <c r="H19" s="28">
        <f>IF('Assumptions'!$B$57="",0,IF('Assumptions'!$G$57="One-time",IF(INT(IF(ISNUMBER('Assumptions'!$D$57),'Assumptions'!$D$57,0)/12)+1=H$6,IF(ISNUMBER('Assumptions'!$C$57),'Assumptions'!$C$57,0),0),IF(ISNUMBER('Assumptions'!$C$57),'Assumptions'!$C$57,0)*IF('Assumptions'!$G$57="A month",12,1)*(1+IF(ISNUMBER('Assumptions'!$E$57),'Assumptions'!$E$57,a_Inflation))^(H$6-1)*MAX(0,MIN(12*H$6,IF(IF(ISNUMBER('Assumptions'!$F$57),'Assumptions'!$F$57,0)&gt;0,'Assumptions'!$F$57,9999))-MAX(12*(H$6-1),IF(ISNUMBER('Assumptions'!$D$57),'Assumptions'!$D$57,0)))/12))</f>
        <v>0</v>
      </c>
      <c r="I19" s="28">
        <f>IF('Assumptions'!$B$57="",0,IF('Assumptions'!$G$57="One-time",IF(INT(IF(ISNUMBER('Assumptions'!$D$57),'Assumptions'!$D$57,0)/12)+1=I$6,IF(ISNUMBER('Assumptions'!$C$57),'Assumptions'!$C$57,0),0),IF(ISNUMBER('Assumptions'!$C$57),'Assumptions'!$C$57,0)*IF('Assumptions'!$G$57="A month",12,1)*(1+IF(ISNUMBER('Assumptions'!$E$57),'Assumptions'!$E$57,a_Inflation))^(I$6-1)*MAX(0,MIN(12*I$6,IF(IF(ISNUMBER('Assumptions'!$F$57),'Assumptions'!$F$57,0)&gt;0,'Assumptions'!$F$57,9999))-MAX(12*(I$6-1),IF(ISNUMBER('Assumptions'!$D$57),'Assumptions'!$D$57,0)))/12))</f>
        <v>0</v>
      </c>
      <c r="J19" s="28">
        <f>IF('Assumptions'!$B$57="",0,IF('Assumptions'!$G$57="One-time",IF(INT(IF(ISNUMBER('Assumptions'!$D$57),'Assumptions'!$D$57,0)/12)+1=J$6,IF(ISNUMBER('Assumptions'!$C$57),'Assumptions'!$C$57,0),0),IF(ISNUMBER('Assumptions'!$C$57),'Assumptions'!$C$57,0)*IF('Assumptions'!$G$57="A month",12,1)*(1+IF(ISNUMBER('Assumptions'!$E$57),'Assumptions'!$E$57,a_Inflation))^(J$6-1)*MAX(0,MIN(12*J$6,IF(IF(ISNUMBER('Assumptions'!$F$57),'Assumptions'!$F$57,0)&gt;0,'Assumptions'!$F$57,9999))-MAX(12*(J$6-1),IF(ISNUMBER('Assumptions'!$D$57),'Assumptions'!$D$57,0)))/12))</f>
        <v>0</v>
      </c>
      <c r="K19" s="28">
        <f>IF('Assumptions'!$B$57="",0,IF('Assumptions'!$G$57="One-time",IF(INT(IF(ISNUMBER('Assumptions'!$D$57),'Assumptions'!$D$57,0)/12)+1=K$6,IF(ISNUMBER('Assumptions'!$C$57),'Assumptions'!$C$57,0),0),IF(ISNUMBER('Assumptions'!$C$57),'Assumptions'!$C$57,0)*IF('Assumptions'!$G$57="A month",12,1)*(1+IF(ISNUMBER('Assumptions'!$E$57),'Assumptions'!$E$57,a_Inflation))^(K$6-1)*MAX(0,MIN(12*K$6,IF(IF(ISNUMBER('Assumptions'!$F$57),'Assumptions'!$F$57,0)&gt;0,'Assumptions'!$F$57,9999))-MAX(12*(K$6-1),IF(ISNUMBER('Assumptions'!$D$57),'Assumptions'!$D$57,0)))/12))</f>
        <v>0</v>
      </c>
      <c r="L19" s="28">
        <f>IF('Assumptions'!$B$57="",0,IF('Assumptions'!$G$57="One-time",IF(INT(IF(ISNUMBER('Assumptions'!$D$57),'Assumptions'!$D$57,0)/12)+1=L$6,IF(ISNUMBER('Assumptions'!$C$57),'Assumptions'!$C$57,0),0),IF(ISNUMBER('Assumptions'!$C$57),'Assumptions'!$C$57,0)*IF('Assumptions'!$G$57="A month",12,1)*(1+IF(ISNUMBER('Assumptions'!$E$57),'Assumptions'!$E$57,a_Inflation))^(L$6-1)*MAX(0,MIN(12*L$6,IF(IF(ISNUMBER('Assumptions'!$F$57),'Assumptions'!$F$57,0)&gt;0,'Assumptions'!$F$57,9999))-MAX(12*(L$6-1),IF(ISNUMBER('Assumptions'!$D$57),'Assumptions'!$D$57,0)))/12))</f>
        <v>0</v>
      </c>
      <c r="M19" s="28">
        <f>IF('Assumptions'!$B$57="",0,IF('Assumptions'!$G$57="One-time",IF(INT(IF(ISNUMBER('Assumptions'!$D$57),'Assumptions'!$D$57,0)/12)+1=M$6,IF(ISNUMBER('Assumptions'!$C$57),'Assumptions'!$C$57,0),0),IF(ISNUMBER('Assumptions'!$C$57),'Assumptions'!$C$57,0)*IF('Assumptions'!$G$57="A month",12,1)*(1+IF(ISNUMBER('Assumptions'!$E$57),'Assumptions'!$E$57,a_Inflation))^(M$6-1)*MAX(0,MIN(12*M$6,IF(IF(ISNUMBER('Assumptions'!$F$57),'Assumptions'!$F$57,0)&gt;0,'Assumptions'!$F$57,9999))-MAX(12*(M$6-1),IF(ISNUMBER('Assumptions'!$D$57),'Assumptions'!$D$57,0)))/12))</f>
        <v>0</v>
      </c>
      <c r="N19" s="28">
        <f>IF('Assumptions'!$B$57="",0,IF('Assumptions'!$G$57="One-time",IF(INT(IF(ISNUMBER('Assumptions'!$D$57),'Assumptions'!$D$57,0)/12)+1=N$6,IF(ISNUMBER('Assumptions'!$C$57),'Assumptions'!$C$57,0),0),IF(ISNUMBER('Assumptions'!$C$57),'Assumptions'!$C$57,0)*IF('Assumptions'!$G$57="A month",12,1)*(1+IF(ISNUMBER('Assumptions'!$E$57),'Assumptions'!$E$57,a_Inflation))^(N$6-1)*MAX(0,MIN(12*N$6,IF(IF(ISNUMBER('Assumptions'!$F$57),'Assumptions'!$F$57,0)&gt;0,'Assumptions'!$F$57,9999))-MAX(12*(N$6-1),IF(ISNUMBER('Assumptions'!$D$57),'Assumptions'!$D$57,0)))/12))</f>
        <v>0</v>
      </c>
      <c r="O19" s="28">
        <f>IF('Assumptions'!$B$57="",0,IF('Assumptions'!$G$57="One-time",IF(INT(IF(ISNUMBER('Assumptions'!$D$57),'Assumptions'!$D$57,0)/12)+1=O$6,IF(ISNUMBER('Assumptions'!$C$57),'Assumptions'!$C$57,0),0),IF(ISNUMBER('Assumptions'!$C$57),'Assumptions'!$C$57,0)*IF('Assumptions'!$G$57="A month",12,1)*(1+IF(ISNUMBER('Assumptions'!$E$57),'Assumptions'!$E$57,a_Inflation))^(O$6-1)*MAX(0,MIN(12*O$6,IF(IF(ISNUMBER('Assumptions'!$F$57),'Assumptions'!$F$57,0)&gt;0,'Assumptions'!$F$57,9999))-MAX(12*(O$6-1),IF(ISNUMBER('Assumptions'!$D$57),'Assumptions'!$D$57,0)))/12))</f>
        <v>0</v>
      </c>
    </row>
    <row r="20">
      <c r="B20" s="7" t="s">
        <v>298</v>
      </c>
      <c r="C20" s="32" t="s">
        <v>299</v>
      </c>
      <c r="D20"/>
      <c r="E20" s="28">
        <f>SUM(E17:E19)</f>
        <v>0</v>
      </c>
      <c r="F20" s="28">
        <f>SUM(F17:F19)</f>
        <v>0</v>
      </c>
      <c r="G20" s="28">
        <f>SUM(G17:G19)</f>
        <v>0</v>
      </c>
      <c r="H20" s="28">
        <f>SUM(H17:H19)</f>
        <v>0</v>
      </c>
      <c r="I20" s="28">
        <f>SUM(I17:I19)</f>
        <v>0</v>
      </c>
      <c r="J20" s="28">
        <f>SUM(J17:J19)</f>
        <v>0</v>
      </c>
      <c r="K20" s="28">
        <f>SUM(K17:K19)</f>
        <v>0</v>
      </c>
      <c r="L20" s="28">
        <f>SUM(L17:L19)</f>
        <v>0</v>
      </c>
      <c r="M20" s="28">
        <f>SUM(M17:M19)</f>
        <v>0</v>
      </c>
      <c r="N20" s="28">
        <f>SUM(N17:N19)</f>
        <v>0</v>
      </c>
      <c r="O20" s="28">
        <f>SUM(O17:O19)</f>
        <v>0</v>
      </c>
    </row>
    <row r="21">
      <c r="B21" s="7" t="s">
        <v>504</v>
      </c>
      <c r="C21" s="65" t="s">
        <v>505</v>
      </c>
      <c r="D21" s="59"/>
      <c r="E21" s="63">
        <f>E15+E16+E20</f>
        <v>275870</v>
      </c>
      <c r="F21" s="63">
        <f>F15+F16+F20</f>
        <v>287493.49999999994</v>
      </c>
      <c r="G21" s="63">
        <f>G15+G16+G20</f>
        <v>294681.5006</v>
      </c>
      <c r="H21" s="63">
        <f>H15+H16+H20</f>
        <v>300889.84425499995</v>
      </c>
      <c r="I21" s="63">
        <f>I15+I16+I20</f>
        <v>304958.7738899264</v>
      </c>
      <c r="J21" s="63">
        <f>J15+J16+J20</f>
        <v>313755.12979010766</v>
      </c>
      <c r="K21" s="63">
        <f>K15+K16+K20</f>
        <v>325993.9092135041</v>
      </c>
      <c r="L21" s="63">
        <f>L15+L16+L20</f>
        <v>332821.4789531685</v>
      </c>
      <c r="M21" s="63">
        <f>M15+M16+M20</f>
        <v>341669.4973255732</v>
      </c>
      <c r="N21" s="63">
        <f>N15+N16+N20</f>
        <v>347737.05274223885</v>
      </c>
      <c r="O21" s="63">
        <f>O15+O16+O20</f>
        <v>357347.13255636336</v>
      </c>
    </row>
    <row r="22">
      <c r="B22" s="7" t="s">
        <v>506</v>
      </c>
      <c r="C22" s="65" t="s">
        <v>507</v>
      </c>
      <c r="D22" s="59"/>
      <c r="E22" s="63">
        <f>E13+E21</f>
        <v>1302570</v>
      </c>
      <c r="F22" s="63">
        <f>F13+F21</f>
        <v>1335329.0321490504</v>
      </c>
      <c r="G22" s="63">
        <f>G13+G21</f>
        <v>1319283.1571263615</v>
      </c>
      <c r="H22" s="63">
        <f>H13+H21</f>
        <v>1308954.9924936683</v>
      </c>
      <c r="I22" s="63">
        <f>I13+I21</f>
        <v>1282514.7577556777</v>
      </c>
      <c r="J22" s="63">
        <f>J13+J21</f>
        <v>1306509.6645596174</v>
      </c>
      <c r="K22" s="63">
        <f>K13+K21</f>
        <v>1349251.7898010612</v>
      </c>
      <c r="L22" s="63">
        <f>L13+L21</f>
        <v>1390842.6429837265</v>
      </c>
      <c r="M22" s="63">
        <f>M13+M21</f>
        <v>1413199.5388913294</v>
      </c>
      <c r="N22" s="63">
        <f>N13+N21</f>
        <v>1423050.8784621712</v>
      </c>
      <c r="O22" s="63">
        <f>O13+O21</f>
        <v>1469377.4925313857</v>
      </c>
    </row>
    <row r="23">
      <c r="B23" s="7" t="s">
        <v>508</v>
      </c>
      <c r="C23" s="65" t="s">
        <v>509</v>
      </c>
      <c r="D23" s="59"/>
      <c r="E23" s="63">
        <f>E22</f>
        <v>1302570</v>
      </c>
      <c r="F23" s="63">
        <f>F22</f>
        <v>1335329.0321490504</v>
      </c>
      <c r="G23" s="63">
        <f>G22</f>
        <v>1319283.1571263615</v>
      </c>
      <c r="H23" s="63">
        <f>H22</f>
        <v>1308954.9924936683</v>
      </c>
      <c r="I23" s="63">
        <f>I22</f>
        <v>1282514.7577556777</v>
      </c>
      <c r="J23" s="63">
        <f>J22</f>
        <v>1306509.6645596174</v>
      </c>
      <c r="K23" s="63">
        <f>K22</f>
        <v>1349251.7898010612</v>
      </c>
      <c r="L23" s="63">
        <f>L22</f>
        <v>1390842.6429837265</v>
      </c>
      <c r="M23" s="63">
        <f>M22</f>
        <v>1413199.5388913294</v>
      </c>
      <c r="N23" s="63">
        <f>N22</f>
        <v>1423050.8784621712</v>
      </c>
      <c r="O23" s="63">
        <f>O22</f>
        <v>1469377.4925313857</v>
      </c>
    </row>
    <row r="24">
      <c r="C24" s="6" t="s">
        <v>510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>
      <c r="B25" s="7" t="s">
        <v>511</v>
      </c>
      <c r="C25" s="32" t="s">
        <v>89</v>
      </c>
      <c r="D25"/>
      <c r="E25" s="28">
        <f>-'Model Calc'!E42</f>
        <v>-7216.801261585155</v>
      </c>
      <c r="F25" s="28">
        <f>-'Model Calc'!F42</f>
        <v>-24183.437454009592</v>
      </c>
      <c r="G25" s="28">
        <f>-'Model Calc'!G42</f>
        <v>-25160.892863528024</v>
      </c>
      <c r="H25" s="28">
        <f>-'Model Calc'!H42</f>
        <v>-19887.006026709187</v>
      </c>
      <c r="I25" s="28">
        <f>-'Model Calc'!I42</f>
        <v>-4500.011571337418</v>
      </c>
      <c r="J25" s="28">
        <f>-'Model Calc'!J42</f>
        <v>-10464.47090095429</v>
      </c>
      <c r="K25" s="28">
        <f>-'Model Calc'!K42</f>
        <v>-29497.146737236097</v>
      </c>
      <c r="L25" s="28">
        <f>-'Model Calc'!L42</f>
        <v>-25335.58984133078</v>
      </c>
      <c r="M25" s="28">
        <f>-'Model Calc'!M42</f>
        <v>-30361.77271037053</v>
      </c>
      <c r="N25" s="28">
        <f>-'Model Calc'!N42</f>
        <v>-16753.241573919542</v>
      </c>
      <c r="O25" s="28">
        <f>-'Model Calc'!O42</f>
        <v>-26982.515857738697</v>
      </c>
    </row>
    <row r="26">
      <c r="B26" s="7" t="s">
        <v>512</v>
      </c>
      <c r="C26" s="32" t="s">
        <v>90</v>
      </c>
      <c r="D26"/>
      <c r="E26" s="28">
        <f>-'Model Calc'!E43</f>
        <v>-13025.7</v>
      </c>
      <c r="F26" s="28">
        <f>-'Model Calc'!F43</f>
        <v>-13353.290321490504</v>
      </c>
      <c r="G26" s="28">
        <f>-'Model Calc'!G43</f>
        <v>-13192.831571263616</v>
      </c>
      <c r="H26" s="28">
        <f>-'Model Calc'!H43</f>
        <v>-13089.549924936684</v>
      </c>
      <c r="I26" s="28">
        <f>-'Model Calc'!I43</f>
        <v>-12825.147577556778</v>
      </c>
      <c r="J26" s="28">
        <f>-'Model Calc'!J43</f>
        <v>-13065.096645596175</v>
      </c>
      <c r="K26" s="28">
        <f>-'Model Calc'!K43</f>
        <v>-13492.517898010612</v>
      </c>
      <c r="L26" s="28">
        <f>-'Model Calc'!L43</f>
        <v>-13908.426429837265</v>
      </c>
      <c r="M26" s="28">
        <f>-'Model Calc'!M43</f>
        <v>-14131.995388913294</v>
      </c>
      <c r="N26" s="28">
        <f>-'Model Calc'!N43</f>
        <v>-14230.508784621712</v>
      </c>
      <c r="O26" s="28">
        <f>-'Model Calc'!O43</f>
        <v>-14693.774925313857</v>
      </c>
    </row>
    <row r="27">
      <c r="B27" s="7" t="s">
        <v>513</v>
      </c>
      <c r="C27" s="65" t="s">
        <v>514</v>
      </c>
      <c r="D27" s="59"/>
      <c r="E27" s="63">
        <f>E25+E26</f>
        <v>-20242.501261585156</v>
      </c>
      <c r="F27" s="63">
        <f>F25+F26</f>
        <v>-37536.7277755001</v>
      </c>
      <c r="G27" s="63">
        <f>G25+G26</f>
        <v>-38353.72443479164</v>
      </c>
      <c r="H27" s="63">
        <f>H25+H26</f>
        <v>-32976.555951645874</v>
      </c>
      <c r="I27" s="63">
        <f>I25+I26</f>
        <v>-17325.159148894196</v>
      </c>
      <c r="J27" s="63">
        <f>J25+J26</f>
        <v>-23529.567546550465</v>
      </c>
      <c r="K27" s="63">
        <f>K25+K26</f>
        <v>-42989.66463524671</v>
      </c>
      <c r="L27" s="63">
        <f>L25+L26</f>
        <v>-39244.016271168046</v>
      </c>
      <c r="M27" s="63">
        <f>M25+M26</f>
        <v>-44493.76809928382</v>
      </c>
      <c r="N27" s="63">
        <f>N25+N26</f>
        <v>-30983.750358541256</v>
      </c>
      <c r="O27" s="63">
        <f>O25+O26</f>
        <v>-41676.29078305255</v>
      </c>
    </row>
    <row r="28">
      <c r="B28" s="7" t="s">
        <v>302</v>
      </c>
      <c r="C28" s="65" t="s">
        <v>515</v>
      </c>
      <c r="D28" s="83"/>
      <c r="E28" s="84">
        <f>E23+E27</f>
        <v>1282327.4987384148</v>
      </c>
      <c r="F28" s="84">
        <f>F23+F27</f>
        <v>1297792.3043735502</v>
      </c>
      <c r="G28" s="84">
        <f>G23+G27</f>
        <v>1280929.43269157</v>
      </c>
      <c r="H28" s="84">
        <f>H23+H27</f>
        <v>1275978.4365420225</v>
      </c>
      <c r="I28" s="84">
        <f>I23+I27</f>
        <v>1265189.5986067834</v>
      </c>
      <c r="J28" s="84">
        <f>J23+J27</f>
        <v>1282980.097013067</v>
      </c>
      <c r="K28" s="84">
        <f>K23+K27</f>
        <v>1306262.1251658145</v>
      </c>
      <c r="L28" s="84">
        <f>L23+L27</f>
        <v>1351598.6267125583</v>
      </c>
      <c r="M28" s="84">
        <f>M23+M27</f>
        <v>1368705.7707920456</v>
      </c>
      <c r="N28" s="84">
        <f>N23+N27</f>
        <v>1392067.12810363</v>
      </c>
      <c r="O28" s="84">
        <f>O23+O27</f>
        <v>1427701.2017483332</v>
      </c>
    </row>
    <row r="29">
      <c r="C29" s="6" t="s">
        <v>516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>
      <c r="B30" s="7" t="s">
        <v>517</v>
      </c>
      <c r="C30" s="32" t="s">
        <v>518</v>
      </c>
      <c r="D30"/>
      <c r="E30" s="28">
        <f>-'Model Calc'!E11</f>
        <v>-86565</v>
      </c>
      <c r="F30" s="28">
        <f>-'Model Calc'!F11</f>
        <v>-88296.3</v>
      </c>
      <c r="G30" s="28">
        <f>-'Model Calc'!G11</f>
        <v>-90062.226</v>
      </c>
      <c r="H30" s="28">
        <f>-'Model Calc'!H11</f>
        <v>-91863.47052000002</v>
      </c>
      <c r="I30" s="28">
        <f>-'Model Calc'!I11</f>
        <v>-93700.7399304</v>
      </c>
      <c r="J30" s="28">
        <f>-'Model Calc'!J11</f>
        <v>-95574.754729008</v>
      </c>
      <c r="K30" s="28">
        <f>-'Model Calc'!K11</f>
        <v>-97486.24982358816</v>
      </c>
      <c r="L30" s="28">
        <f>-'Model Calc'!L11</f>
        <v>-99435.97482005993</v>
      </c>
      <c r="M30" s="28">
        <f>-'Model Calc'!M11</f>
        <v>-101424.69431646113</v>
      </c>
      <c r="N30" s="28">
        <f>-'Model Calc'!N11</f>
        <v>-103453.18820279036</v>
      </c>
      <c r="O30" s="28">
        <f>-'Model Calc'!O11</f>
        <v>-105522.25196684616</v>
      </c>
    </row>
    <row r="31">
      <c r="B31" s="7" t="s">
        <v>519</v>
      </c>
      <c r="C31" s="32" t="s">
        <v>520</v>
      </c>
      <c r="D31"/>
      <c r="E31" s="28">
        <f>-'Model Calc'!E22</f>
        <v>-179100</v>
      </c>
      <c r="F31" s="28">
        <f>-'Model Calc'!F22</f>
        <v>-183577.49999999997</v>
      </c>
      <c r="G31" s="28">
        <f>-'Model Calc'!G22</f>
        <v>-188166.9375</v>
      </c>
      <c r="H31" s="28">
        <f>-'Model Calc'!H22</f>
        <v>-192871.11093749994</v>
      </c>
      <c r="I31" s="28">
        <f>-'Model Calc'!I22</f>
        <v>-197692.8887109374</v>
      </c>
      <c r="J31" s="28">
        <f>-'Model Calc'!J22</f>
        <v>-202635.21092871085</v>
      </c>
      <c r="K31" s="28">
        <f>-'Model Calc'!K22</f>
        <v>-207701.0912019286</v>
      </c>
      <c r="L31" s="28">
        <f>-'Model Calc'!L22</f>
        <v>-212893.61848197682</v>
      </c>
      <c r="M31" s="28">
        <f>-'Model Calc'!M22</f>
        <v>-218215.95894402618</v>
      </c>
      <c r="N31" s="28">
        <f>-'Model Calc'!N22</f>
        <v>-223671.35791762685</v>
      </c>
      <c r="O31" s="28">
        <f>-'Model Calc'!O22</f>
        <v>-229263.14186556748</v>
      </c>
    </row>
    <row r="32">
      <c r="B32" s="7" t="s">
        <v>521</v>
      </c>
      <c r="C32" s="32" t="s">
        <v>522</v>
      </c>
      <c r="D32"/>
      <c r="E32" s="28">
        <f>-'Model Calc'!E12</f>
        <v>-26865</v>
      </c>
      <c r="F32" s="28">
        <f>-'Model Calc'!F12</f>
        <v>-27402.3</v>
      </c>
      <c r="G32" s="28">
        <f>-'Model Calc'!G12</f>
        <v>-27950.346</v>
      </c>
      <c r="H32" s="28">
        <f>-'Model Calc'!H12</f>
        <v>-28509.352920000005</v>
      </c>
      <c r="I32" s="28">
        <f>-'Model Calc'!I12</f>
        <v>-29079.5399784</v>
      </c>
      <c r="J32" s="28">
        <f>-'Model Calc'!J12</f>
        <v>-29661.130777968</v>
      </c>
      <c r="K32" s="28">
        <f>-'Model Calc'!K12</f>
        <v>-30254.353393527363</v>
      </c>
      <c r="L32" s="28">
        <f>-'Model Calc'!L12</f>
        <v>-30859.44046139791</v>
      </c>
      <c r="M32" s="28">
        <f>-'Model Calc'!M12</f>
        <v>-31476.62927062587</v>
      </c>
      <c r="N32" s="28">
        <f>-'Model Calc'!N12</f>
        <v>-32106.161856038387</v>
      </c>
      <c r="O32" s="28">
        <f>-'Model Calc'!O12</f>
        <v>-32748.285093159157</v>
      </c>
    </row>
    <row r="33">
      <c r="B33" s="7" t="s">
        <v>523</v>
      </c>
      <c r="C33" s="32" t="s">
        <v>354</v>
      </c>
      <c r="D33"/>
      <c r="E33" s="28">
        <f>-'Model Calc'!E13</f>
        <v>0</v>
      </c>
      <c r="F33" s="28">
        <f>-'Model Calc'!F13</f>
        <v>0</v>
      </c>
      <c r="G33" s="28">
        <f>-'Model Calc'!G13</f>
        <v>0</v>
      </c>
      <c r="H33" s="28">
        <f>-'Model Calc'!H13</f>
        <v>0</v>
      </c>
      <c r="I33" s="28">
        <f>-'Model Calc'!I13</f>
        <v>0</v>
      </c>
      <c r="J33" s="28">
        <f>-'Model Calc'!J13</f>
        <v>0</v>
      </c>
      <c r="K33" s="28">
        <f>-'Model Calc'!K13</f>
        <v>0</v>
      </c>
      <c r="L33" s="28">
        <f>-'Model Calc'!L13</f>
        <v>0</v>
      </c>
      <c r="M33" s="28">
        <f>-'Model Calc'!M13</f>
        <v>0</v>
      </c>
      <c r="N33" s="28">
        <f>-'Model Calc'!N13</f>
        <v>0</v>
      </c>
      <c r="O33" s="28">
        <f>-'Model Calc'!O13</f>
        <v>0</v>
      </c>
    </row>
    <row r="34">
      <c r="B34" s="7" t="s">
        <v>524</v>
      </c>
      <c r="C34" s="32" t="s">
        <v>355</v>
      </c>
      <c r="D34"/>
      <c r="E34" s="28">
        <f>-a_MgmtPct*E28</f>
        <v>-38469.824962152445</v>
      </c>
      <c r="F34" s="28">
        <f>-a_MgmtPct*F28</f>
        <v>-38933.76913120651</v>
      </c>
      <c r="G34" s="28">
        <f>-a_MgmtPct*G28</f>
        <v>-38427.8829807471</v>
      </c>
      <c r="H34" s="28">
        <f>-a_MgmtPct*H28</f>
        <v>-38279.353096260675</v>
      </c>
      <c r="I34" s="28">
        <f>-a_MgmtPct*I28</f>
        <v>-37955.6879582035</v>
      </c>
      <c r="J34" s="28">
        <f>-a_MgmtPct*J28</f>
        <v>-38489.40291039201</v>
      </c>
      <c r="K34" s="28">
        <f>-a_MgmtPct*K28</f>
        <v>-39187.86375497444</v>
      </c>
      <c r="L34" s="28">
        <f>-a_MgmtPct*L28</f>
        <v>-40547.95880137675</v>
      </c>
      <c r="M34" s="28">
        <f>-a_MgmtPct*M28</f>
        <v>-41061.173123761364</v>
      </c>
      <c r="N34" s="28">
        <f>-a_MgmtPct*N28</f>
        <v>-41762.01384310889</v>
      </c>
      <c r="O34" s="28">
        <f>-a_MgmtPct*O28</f>
        <v>-42831.03605244999</v>
      </c>
    </row>
    <row r="35">
      <c r="B35" s="7" t="s">
        <v>525</v>
      </c>
      <c r="C35" s="32" t="s">
        <v>526</v>
      </c>
      <c r="D35"/>
      <c r="E35" s="28">
        <f>-'Model Calc'!E23</f>
        <v>0</v>
      </c>
      <c r="F35" s="28">
        <f>-'Model Calc'!F23</f>
        <v>0</v>
      </c>
      <c r="G35" s="28">
        <f>-'Model Calc'!G23</f>
        <v>0</v>
      </c>
      <c r="H35" s="28">
        <f>-'Model Calc'!H23</f>
        <v>0</v>
      </c>
      <c r="I35" s="28">
        <f>-'Model Calc'!I23</f>
        <v>0</v>
      </c>
      <c r="J35" s="28">
        <f>-'Model Calc'!J23</f>
        <v>0</v>
      </c>
      <c r="K35" s="28">
        <f>-'Model Calc'!K23</f>
        <v>0</v>
      </c>
      <c r="L35" s="28">
        <f>-'Model Calc'!L23</f>
        <v>0</v>
      </c>
      <c r="M35" s="28">
        <f>-'Model Calc'!M23</f>
        <v>0</v>
      </c>
      <c r="N35" s="28">
        <f>-'Model Calc'!N23</f>
        <v>0</v>
      </c>
      <c r="O35" s="28">
        <f>-'Model Calc'!O23</f>
        <v>0</v>
      </c>
    </row>
    <row r="36">
      <c r="B36" s="7" t="s">
        <v>527</v>
      </c>
      <c r="C36" s="65" t="s">
        <v>528</v>
      </c>
      <c r="D36" s="59"/>
      <c r="E36" s="63">
        <f>SUM(E30:E35)</f>
        <v>-330999.82496215246</v>
      </c>
      <c r="F36" s="63">
        <f>SUM(F30:F35)</f>
        <v>-338209.8691312065</v>
      </c>
      <c r="G36" s="63">
        <f>SUM(G30:G35)</f>
        <v>-344607.3924807471</v>
      </c>
      <c r="H36" s="63">
        <f>SUM(H30:H35)</f>
        <v>-351523.28747376066</v>
      </c>
      <c r="I36" s="63">
        <f>SUM(I30:I35)</f>
        <v>-358428.8565779409</v>
      </c>
      <c r="J36" s="63">
        <f>SUM(J30:J35)</f>
        <v>-366360.49934607884</v>
      </c>
      <c r="K36" s="63">
        <f>SUM(K30:K35)</f>
        <v>-374629.5581740186</v>
      </c>
      <c r="L36" s="63">
        <f>SUM(L30:L35)</f>
        <v>-383736.99256481143</v>
      </c>
      <c r="M36" s="63">
        <f>SUM(M30:M35)</f>
        <v>-392178.45565487456</v>
      </c>
      <c r="N36" s="63">
        <f>SUM(N30:N35)</f>
        <v>-400992.72181956447</v>
      </c>
      <c r="O36" s="63">
        <f>SUM(O30:O35)</f>
        <v>-410364.7149780228</v>
      </c>
    </row>
    <row r="37">
      <c r="B37" s="7" t="s">
        <v>306</v>
      </c>
      <c r="C37" s="65" t="s">
        <v>307</v>
      </c>
      <c r="D37" s="83"/>
      <c r="E37" s="84">
        <f>E28+E36</f>
        <v>951327.6737762624</v>
      </c>
      <c r="F37" s="84">
        <f>F28+F36</f>
        <v>959582.4352423437</v>
      </c>
      <c r="G37" s="84">
        <f>G28+G36</f>
        <v>936322.0402108228</v>
      </c>
      <c r="H37" s="84">
        <f>H28+H36</f>
        <v>924455.1490682618</v>
      </c>
      <c r="I37" s="84">
        <f>I28+I36</f>
        <v>906760.7420288424</v>
      </c>
      <c r="J37" s="84">
        <f>J28+J36</f>
        <v>916619.5976669881</v>
      </c>
      <c r="K37" s="84">
        <f>K28+K36</f>
        <v>931632.566991796</v>
      </c>
      <c r="L37" s="84">
        <f>L28+L36</f>
        <v>967861.634147747</v>
      </c>
      <c r="M37" s="84">
        <f>M28+M36</f>
        <v>976527.3151371711</v>
      </c>
      <c r="N37" s="84">
        <f>N28+N36</f>
        <v>991074.4062840655</v>
      </c>
      <c r="O37" s="84">
        <f>O28+O36</f>
        <v>1017336.4867703104</v>
      </c>
    </row>
    <row r="38">
      <c r="C38" s="6" t="s">
        <v>529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>
      <c r="B39" s="7" t="s">
        <v>530</v>
      </c>
      <c r="C39" s="32" t="s">
        <v>531</v>
      </c>
      <c r="D39"/>
      <c r="E39" s="28">
        <f>-'Model Calc'!E31</f>
        <v>-24000</v>
      </c>
      <c r="F39" s="28">
        <f>-'Model Calc'!F31</f>
        <v>-14541.58339276819</v>
      </c>
      <c r="G39" s="28">
        <f>-'Model Calc'!G31</f>
        <v>-10263.444616858145</v>
      </c>
      <c r="H39" s="28">
        <f>-'Model Calc'!H31</f>
        <v>-22574.139190089525</v>
      </c>
      <c r="I39" s="28">
        <f>-'Model Calc'!I31</f>
        <v>-80019.3043414439</v>
      </c>
      <c r="J39" s="28">
        <f>-'Model Calc'!J31</f>
        <v>-61884.029356415835</v>
      </c>
      <c r="K39" s="28">
        <f>-'Model Calc'!K31</f>
        <v>0</v>
      </c>
      <c r="L39" s="28">
        <f>-'Model Calc'!L31</f>
        <v>-13079.346183225669</v>
      </c>
      <c r="M39" s="28">
        <f>-'Model Calc'!M31</f>
        <v>0</v>
      </c>
      <c r="N39" s="28">
        <f>-'Model Calc'!N31</f>
        <v>-28681.882216942337</v>
      </c>
      <c r="O39" s="28">
        <f>-'Model Calc'!O31</f>
        <v>-10409.93010330641</v>
      </c>
    </row>
    <row r="40">
      <c r="B40" s="7" t="s">
        <v>532</v>
      </c>
      <c r="C40" s="32" t="s">
        <v>533</v>
      </c>
      <c r="D40"/>
      <c r="E40" s="28">
        <f>-'Model Calc'!E32</f>
        <v>-11591.772787158123</v>
      </c>
      <c r="F40" s="28">
        <f>-'Model Calc'!F32</f>
        <v>-9053.064598069921</v>
      </c>
      <c r="G40" s="28">
        <f>-'Model Calc'!G32</f>
        <v>-6415.67717494565</v>
      </c>
      <c r="H40" s="28">
        <f>-'Model Calc'!H32</f>
        <v>-14293.576563951316</v>
      </c>
      <c r="I40" s="28">
        <f>-'Model Calc'!I32</f>
        <v>-46727.83605060122</v>
      </c>
      <c r="J40" s="28">
        <f>-'Model Calc'!J32</f>
        <v>-36759.395476918355</v>
      </c>
      <c r="K40" s="28">
        <f>-'Model Calc'!K32</f>
        <v>0</v>
      </c>
      <c r="L40" s="28">
        <f>-'Model Calc'!L32</f>
        <v>-8437.45106893518</v>
      </c>
      <c r="M40" s="28">
        <f>-'Model Calc'!M32</f>
        <v>0</v>
      </c>
      <c r="N40" s="28">
        <f>-'Model Calc'!N32</f>
        <v>-19212.975877039346</v>
      </c>
      <c r="O40" s="28">
        <f>-'Model Calc'!O32</f>
        <v>-7069.881316835821</v>
      </c>
    </row>
    <row r="41">
      <c r="B41" s="7" t="s">
        <v>534</v>
      </c>
      <c r="C41" s="32" t="s">
        <v>535</v>
      </c>
      <c r="D41"/>
      <c r="E41" s="28">
        <f>'Model Calc'!E33*'Model Calc'!E7</f>
        <v>35591.77278715812</v>
      </c>
      <c r="F41" s="28">
        <f>'Model Calc'!F33*'Model Calc'!F7</f>
        <v>0</v>
      </c>
      <c r="G41" s="28">
        <f>'Model Calc'!G33*'Model Calc'!G7</f>
        <v>0</v>
      </c>
      <c r="H41" s="28">
        <f>'Model Calc'!H33*'Model Calc'!H7</f>
        <v>0</v>
      </c>
      <c r="I41" s="28">
        <f>'Model Calc'!I33*'Model Calc'!I7</f>
        <v>0</v>
      </c>
      <c r="J41" s="28">
        <f>'Model Calc'!J33*'Model Calc'!J7</f>
        <v>0</v>
      </c>
      <c r="K41" s="28">
        <f>'Model Calc'!K33*'Model Calc'!K7</f>
        <v>0</v>
      </c>
      <c r="L41" s="28">
        <f>'Model Calc'!L33*'Model Calc'!L7</f>
        <v>0</v>
      </c>
      <c r="M41" s="28">
        <f>'Model Calc'!M33*'Model Calc'!M7</f>
        <v>0</v>
      </c>
      <c r="N41" s="28">
        <f>'Model Calc'!N33*'Model Calc'!N7</f>
        <v>0</v>
      </c>
      <c r="O41" s="28">
        <f>'Model Calc'!O33*'Model Calc'!O7</f>
        <v>0</v>
      </c>
    </row>
    <row r="42">
      <c r="B42" s="7" t="s">
        <v>536</v>
      </c>
      <c r="C42" s="65" t="s">
        <v>537</v>
      </c>
      <c r="D42" s="59"/>
      <c r="E42" s="63">
        <f>E39+E40+E41</f>
        <v>0</v>
      </c>
      <c r="F42" s="63">
        <f>F39+F40+F41</f>
        <v>-23594.64799083811</v>
      </c>
      <c r="G42" s="63">
        <f>G39+G40+G41</f>
        <v>-16679.121791803795</v>
      </c>
      <c r="H42" s="63">
        <f>H39+H40+H41</f>
        <v>-36867.71575404084</v>
      </c>
      <c r="I42" s="63">
        <f>I39+I40+I41</f>
        <v>-126747.14039204511</v>
      </c>
      <c r="J42" s="63">
        <f>J39+J40+J41</f>
        <v>-98643.4248333342</v>
      </c>
      <c r="K42" s="63">
        <f>K39+K40+K41</f>
        <v>0</v>
      </c>
      <c r="L42" s="63">
        <f>L39+L40+L41</f>
        <v>-21516.797252160846</v>
      </c>
      <c r="M42" s="63">
        <f>M39+M40+M41</f>
        <v>0</v>
      </c>
      <c r="N42" s="63">
        <f>N39+N40+N41</f>
        <v>-47894.85809398168</v>
      </c>
      <c r="O42" s="63">
        <f>O39+O40+O41</f>
        <v>-17479.81142014223</v>
      </c>
    </row>
    <row r="43">
      <c r="B43" s="7" t="s">
        <v>538</v>
      </c>
      <c r="C43" s="82" t="str">
        <f>IF('Assumptions'!$B$71="","  Capital item (blank row)","  "&amp;'Assumptions'!$B$71)</f>
        <v>  Capital item (blank row)</v>
      </c>
      <c r="D43"/>
      <c r="E43" s="28">
        <f>-IF(ISNUMBER('Assumptions'!$C$71),'Assumptions'!$C$71,0)*IF(ISNUMBER('Assumptions'!$D$71),'Assumptions'!$D$71,0)*IF(AND(IF(ISNUMBER('Assumptions'!$E$71),'Assumptions'!$E$71,0)&gt;0,E$6&gt;=IF(ISNUMBER('Assumptions'!$E$71),'Assumptions'!$E$71,0),E$6&lt;=in_HoldYears,OR(E$6=IF(ISNUMBER('Assumptions'!$E$71),'Assumptions'!$E$71,0),AND(IF(ISNUMBER('Assumptions'!$F$71),'Assumptions'!$F$71,0)&gt;0,MOD(E$6-IF(ISNUMBER('Assumptions'!$E$71),'Assumptions'!$E$71,0),MAX(1,IF(ISNUMBER('Assumptions'!$F$71),'Assumptions'!$F$71,0)))=0))),1,0)</f>
        <v>0</v>
      </c>
      <c r="F43" s="28">
        <f>-IF(ISNUMBER('Assumptions'!$C$71),'Assumptions'!$C$71,0)*IF(ISNUMBER('Assumptions'!$D$71),'Assumptions'!$D$71,0)*IF(AND(IF(ISNUMBER('Assumptions'!$E$71),'Assumptions'!$E$71,0)&gt;0,F$6&gt;=IF(ISNUMBER('Assumptions'!$E$71),'Assumptions'!$E$71,0),F$6&lt;=in_HoldYears,OR(F$6=IF(ISNUMBER('Assumptions'!$E$71),'Assumptions'!$E$71,0),AND(IF(ISNUMBER('Assumptions'!$F$71),'Assumptions'!$F$71,0)&gt;0,MOD(F$6-IF(ISNUMBER('Assumptions'!$E$71),'Assumptions'!$E$71,0),MAX(1,IF(ISNUMBER('Assumptions'!$F$71),'Assumptions'!$F$71,0)))=0))),1,0)</f>
        <v>0</v>
      </c>
      <c r="G43" s="28">
        <f>-IF(ISNUMBER('Assumptions'!$C$71),'Assumptions'!$C$71,0)*IF(ISNUMBER('Assumptions'!$D$71),'Assumptions'!$D$71,0)*IF(AND(IF(ISNUMBER('Assumptions'!$E$71),'Assumptions'!$E$71,0)&gt;0,G$6&gt;=IF(ISNUMBER('Assumptions'!$E$71),'Assumptions'!$E$71,0),G$6&lt;=in_HoldYears,OR(G$6=IF(ISNUMBER('Assumptions'!$E$71),'Assumptions'!$E$71,0),AND(IF(ISNUMBER('Assumptions'!$F$71),'Assumptions'!$F$71,0)&gt;0,MOD(G$6-IF(ISNUMBER('Assumptions'!$E$71),'Assumptions'!$E$71,0),MAX(1,IF(ISNUMBER('Assumptions'!$F$71),'Assumptions'!$F$71,0)))=0))),1,0)</f>
        <v>0</v>
      </c>
      <c r="H43" s="28">
        <f>-IF(ISNUMBER('Assumptions'!$C$71),'Assumptions'!$C$71,0)*IF(ISNUMBER('Assumptions'!$D$71),'Assumptions'!$D$71,0)*IF(AND(IF(ISNUMBER('Assumptions'!$E$71),'Assumptions'!$E$71,0)&gt;0,H$6&gt;=IF(ISNUMBER('Assumptions'!$E$71),'Assumptions'!$E$71,0),H$6&lt;=in_HoldYears,OR(H$6=IF(ISNUMBER('Assumptions'!$E$71),'Assumptions'!$E$71,0),AND(IF(ISNUMBER('Assumptions'!$F$71),'Assumptions'!$F$71,0)&gt;0,MOD(H$6-IF(ISNUMBER('Assumptions'!$E$71),'Assumptions'!$E$71,0),MAX(1,IF(ISNUMBER('Assumptions'!$F$71),'Assumptions'!$F$71,0)))=0))),1,0)</f>
        <v>0</v>
      </c>
      <c r="I43" s="28">
        <f>-IF(ISNUMBER('Assumptions'!$C$71),'Assumptions'!$C$71,0)*IF(ISNUMBER('Assumptions'!$D$71),'Assumptions'!$D$71,0)*IF(AND(IF(ISNUMBER('Assumptions'!$E$71),'Assumptions'!$E$71,0)&gt;0,I$6&gt;=IF(ISNUMBER('Assumptions'!$E$71),'Assumptions'!$E$71,0),I$6&lt;=in_HoldYears,OR(I$6=IF(ISNUMBER('Assumptions'!$E$71),'Assumptions'!$E$71,0),AND(IF(ISNUMBER('Assumptions'!$F$71),'Assumptions'!$F$71,0)&gt;0,MOD(I$6-IF(ISNUMBER('Assumptions'!$E$71),'Assumptions'!$E$71,0),MAX(1,IF(ISNUMBER('Assumptions'!$F$71),'Assumptions'!$F$71,0)))=0))),1,0)</f>
        <v>0</v>
      </c>
      <c r="J43" s="28">
        <f>-IF(ISNUMBER('Assumptions'!$C$71),'Assumptions'!$C$71,0)*IF(ISNUMBER('Assumptions'!$D$71),'Assumptions'!$D$71,0)*IF(AND(IF(ISNUMBER('Assumptions'!$E$71),'Assumptions'!$E$71,0)&gt;0,J$6&gt;=IF(ISNUMBER('Assumptions'!$E$71),'Assumptions'!$E$71,0),J$6&lt;=in_HoldYears,OR(J$6=IF(ISNUMBER('Assumptions'!$E$71),'Assumptions'!$E$71,0),AND(IF(ISNUMBER('Assumptions'!$F$71),'Assumptions'!$F$71,0)&gt;0,MOD(J$6-IF(ISNUMBER('Assumptions'!$E$71),'Assumptions'!$E$71,0),MAX(1,IF(ISNUMBER('Assumptions'!$F$71),'Assumptions'!$F$71,0)))=0))),1,0)</f>
        <v>0</v>
      </c>
      <c r="K43" s="28">
        <f>-IF(ISNUMBER('Assumptions'!$C$71),'Assumptions'!$C$71,0)*IF(ISNUMBER('Assumptions'!$D$71),'Assumptions'!$D$71,0)*IF(AND(IF(ISNUMBER('Assumptions'!$E$71),'Assumptions'!$E$71,0)&gt;0,K$6&gt;=IF(ISNUMBER('Assumptions'!$E$71),'Assumptions'!$E$71,0),K$6&lt;=in_HoldYears,OR(K$6=IF(ISNUMBER('Assumptions'!$E$71),'Assumptions'!$E$71,0),AND(IF(ISNUMBER('Assumptions'!$F$71),'Assumptions'!$F$71,0)&gt;0,MOD(K$6-IF(ISNUMBER('Assumptions'!$E$71),'Assumptions'!$E$71,0),MAX(1,IF(ISNUMBER('Assumptions'!$F$71),'Assumptions'!$F$71,0)))=0))),1,0)</f>
        <v>0</v>
      </c>
      <c r="L43" s="28">
        <f>-IF(ISNUMBER('Assumptions'!$C$71),'Assumptions'!$C$71,0)*IF(ISNUMBER('Assumptions'!$D$71),'Assumptions'!$D$71,0)*IF(AND(IF(ISNUMBER('Assumptions'!$E$71),'Assumptions'!$E$71,0)&gt;0,L$6&gt;=IF(ISNUMBER('Assumptions'!$E$71),'Assumptions'!$E$71,0),L$6&lt;=in_HoldYears,OR(L$6=IF(ISNUMBER('Assumptions'!$E$71),'Assumptions'!$E$71,0),AND(IF(ISNUMBER('Assumptions'!$F$71),'Assumptions'!$F$71,0)&gt;0,MOD(L$6-IF(ISNUMBER('Assumptions'!$E$71),'Assumptions'!$E$71,0),MAX(1,IF(ISNUMBER('Assumptions'!$F$71),'Assumptions'!$F$71,0)))=0))),1,0)</f>
        <v>0</v>
      </c>
      <c r="M43" s="28">
        <f>-IF(ISNUMBER('Assumptions'!$C$71),'Assumptions'!$C$71,0)*IF(ISNUMBER('Assumptions'!$D$71),'Assumptions'!$D$71,0)*IF(AND(IF(ISNUMBER('Assumptions'!$E$71),'Assumptions'!$E$71,0)&gt;0,M$6&gt;=IF(ISNUMBER('Assumptions'!$E$71),'Assumptions'!$E$71,0),M$6&lt;=in_HoldYears,OR(M$6=IF(ISNUMBER('Assumptions'!$E$71),'Assumptions'!$E$71,0),AND(IF(ISNUMBER('Assumptions'!$F$71),'Assumptions'!$F$71,0)&gt;0,MOD(M$6-IF(ISNUMBER('Assumptions'!$E$71),'Assumptions'!$E$71,0),MAX(1,IF(ISNUMBER('Assumptions'!$F$71),'Assumptions'!$F$71,0)))=0))),1,0)</f>
        <v>0</v>
      </c>
      <c r="N43" s="28">
        <f>-IF(ISNUMBER('Assumptions'!$C$71),'Assumptions'!$C$71,0)*IF(ISNUMBER('Assumptions'!$D$71),'Assumptions'!$D$71,0)*IF(AND(IF(ISNUMBER('Assumptions'!$E$71),'Assumptions'!$E$71,0)&gt;0,N$6&gt;=IF(ISNUMBER('Assumptions'!$E$71),'Assumptions'!$E$71,0),N$6&lt;=in_HoldYears,OR(N$6=IF(ISNUMBER('Assumptions'!$E$71),'Assumptions'!$E$71,0),AND(IF(ISNUMBER('Assumptions'!$F$71),'Assumptions'!$F$71,0)&gt;0,MOD(N$6-IF(ISNUMBER('Assumptions'!$E$71),'Assumptions'!$E$71,0),MAX(1,IF(ISNUMBER('Assumptions'!$F$71),'Assumptions'!$F$71,0)))=0))),1,0)</f>
        <v>0</v>
      </c>
      <c r="O43" s="28">
        <f>-IF(ISNUMBER('Assumptions'!$C$71),'Assumptions'!$C$71,0)*IF(ISNUMBER('Assumptions'!$D$71),'Assumptions'!$D$71,0)*IF(AND(IF(ISNUMBER('Assumptions'!$E$71),'Assumptions'!$E$71,0)&gt;0,O$6&gt;=IF(ISNUMBER('Assumptions'!$E$71),'Assumptions'!$E$71,0),O$6&lt;=in_HoldYears,OR(O$6=IF(ISNUMBER('Assumptions'!$E$71),'Assumptions'!$E$71,0),AND(IF(ISNUMBER('Assumptions'!$F$71),'Assumptions'!$F$71,0)&gt;0,MOD(O$6-IF(ISNUMBER('Assumptions'!$E$71),'Assumptions'!$E$71,0),MAX(1,IF(ISNUMBER('Assumptions'!$F$71),'Assumptions'!$F$71,0)))=0))),1,0)</f>
        <v>0</v>
      </c>
    </row>
    <row r="44">
      <c r="B44" s="7" t="s">
        <v>539</v>
      </c>
      <c r="C44" s="82" t="str">
        <f>IF('Assumptions'!$B$72="","  Capital item (blank row)","  "&amp;'Assumptions'!$B$72)</f>
        <v>  Capital item (blank row)</v>
      </c>
      <c r="D44"/>
      <c r="E44" s="28">
        <f>-IF(ISNUMBER('Assumptions'!$C$72),'Assumptions'!$C$72,0)*IF(ISNUMBER('Assumptions'!$D$72),'Assumptions'!$D$72,0)*IF(AND(IF(ISNUMBER('Assumptions'!$E$72),'Assumptions'!$E$72,0)&gt;0,E$6&gt;=IF(ISNUMBER('Assumptions'!$E$72),'Assumptions'!$E$72,0),E$6&lt;=in_HoldYears,OR(E$6=IF(ISNUMBER('Assumptions'!$E$72),'Assumptions'!$E$72,0),AND(IF(ISNUMBER('Assumptions'!$F$72),'Assumptions'!$F$72,0)&gt;0,MOD(E$6-IF(ISNUMBER('Assumptions'!$E$72),'Assumptions'!$E$72,0),MAX(1,IF(ISNUMBER('Assumptions'!$F$72),'Assumptions'!$F$72,0)))=0))),1,0)</f>
        <v>0</v>
      </c>
      <c r="F44" s="28">
        <f>-IF(ISNUMBER('Assumptions'!$C$72),'Assumptions'!$C$72,0)*IF(ISNUMBER('Assumptions'!$D$72),'Assumptions'!$D$72,0)*IF(AND(IF(ISNUMBER('Assumptions'!$E$72),'Assumptions'!$E$72,0)&gt;0,F$6&gt;=IF(ISNUMBER('Assumptions'!$E$72),'Assumptions'!$E$72,0),F$6&lt;=in_HoldYears,OR(F$6=IF(ISNUMBER('Assumptions'!$E$72),'Assumptions'!$E$72,0),AND(IF(ISNUMBER('Assumptions'!$F$72),'Assumptions'!$F$72,0)&gt;0,MOD(F$6-IF(ISNUMBER('Assumptions'!$E$72),'Assumptions'!$E$72,0),MAX(1,IF(ISNUMBER('Assumptions'!$F$72),'Assumptions'!$F$72,0)))=0))),1,0)</f>
        <v>0</v>
      </c>
      <c r="G44" s="28">
        <f>-IF(ISNUMBER('Assumptions'!$C$72),'Assumptions'!$C$72,0)*IF(ISNUMBER('Assumptions'!$D$72),'Assumptions'!$D$72,0)*IF(AND(IF(ISNUMBER('Assumptions'!$E$72),'Assumptions'!$E$72,0)&gt;0,G$6&gt;=IF(ISNUMBER('Assumptions'!$E$72),'Assumptions'!$E$72,0),G$6&lt;=in_HoldYears,OR(G$6=IF(ISNUMBER('Assumptions'!$E$72),'Assumptions'!$E$72,0),AND(IF(ISNUMBER('Assumptions'!$F$72),'Assumptions'!$F$72,0)&gt;0,MOD(G$6-IF(ISNUMBER('Assumptions'!$E$72),'Assumptions'!$E$72,0),MAX(1,IF(ISNUMBER('Assumptions'!$F$72),'Assumptions'!$F$72,0)))=0))),1,0)</f>
        <v>0</v>
      </c>
      <c r="H44" s="28">
        <f>-IF(ISNUMBER('Assumptions'!$C$72),'Assumptions'!$C$72,0)*IF(ISNUMBER('Assumptions'!$D$72),'Assumptions'!$D$72,0)*IF(AND(IF(ISNUMBER('Assumptions'!$E$72),'Assumptions'!$E$72,0)&gt;0,H$6&gt;=IF(ISNUMBER('Assumptions'!$E$72),'Assumptions'!$E$72,0),H$6&lt;=in_HoldYears,OR(H$6=IF(ISNUMBER('Assumptions'!$E$72),'Assumptions'!$E$72,0),AND(IF(ISNUMBER('Assumptions'!$F$72),'Assumptions'!$F$72,0)&gt;0,MOD(H$6-IF(ISNUMBER('Assumptions'!$E$72),'Assumptions'!$E$72,0),MAX(1,IF(ISNUMBER('Assumptions'!$F$72),'Assumptions'!$F$72,0)))=0))),1,0)</f>
        <v>0</v>
      </c>
      <c r="I44" s="28">
        <f>-IF(ISNUMBER('Assumptions'!$C$72),'Assumptions'!$C$72,0)*IF(ISNUMBER('Assumptions'!$D$72),'Assumptions'!$D$72,0)*IF(AND(IF(ISNUMBER('Assumptions'!$E$72),'Assumptions'!$E$72,0)&gt;0,I$6&gt;=IF(ISNUMBER('Assumptions'!$E$72),'Assumptions'!$E$72,0),I$6&lt;=in_HoldYears,OR(I$6=IF(ISNUMBER('Assumptions'!$E$72),'Assumptions'!$E$72,0),AND(IF(ISNUMBER('Assumptions'!$F$72),'Assumptions'!$F$72,0)&gt;0,MOD(I$6-IF(ISNUMBER('Assumptions'!$E$72),'Assumptions'!$E$72,0),MAX(1,IF(ISNUMBER('Assumptions'!$F$72),'Assumptions'!$F$72,0)))=0))),1,0)</f>
        <v>0</v>
      </c>
      <c r="J44" s="28">
        <f>-IF(ISNUMBER('Assumptions'!$C$72),'Assumptions'!$C$72,0)*IF(ISNUMBER('Assumptions'!$D$72),'Assumptions'!$D$72,0)*IF(AND(IF(ISNUMBER('Assumptions'!$E$72),'Assumptions'!$E$72,0)&gt;0,J$6&gt;=IF(ISNUMBER('Assumptions'!$E$72),'Assumptions'!$E$72,0),J$6&lt;=in_HoldYears,OR(J$6=IF(ISNUMBER('Assumptions'!$E$72),'Assumptions'!$E$72,0),AND(IF(ISNUMBER('Assumptions'!$F$72),'Assumptions'!$F$72,0)&gt;0,MOD(J$6-IF(ISNUMBER('Assumptions'!$E$72),'Assumptions'!$E$72,0),MAX(1,IF(ISNUMBER('Assumptions'!$F$72),'Assumptions'!$F$72,0)))=0))),1,0)</f>
        <v>0</v>
      </c>
      <c r="K44" s="28">
        <f>-IF(ISNUMBER('Assumptions'!$C$72),'Assumptions'!$C$72,0)*IF(ISNUMBER('Assumptions'!$D$72),'Assumptions'!$D$72,0)*IF(AND(IF(ISNUMBER('Assumptions'!$E$72),'Assumptions'!$E$72,0)&gt;0,K$6&gt;=IF(ISNUMBER('Assumptions'!$E$72),'Assumptions'!$E$72,0),K$6&lt;=in_HoldYears,OR(K$6=IF(ISNUMBER('Assumptions'!$E$72),'Assumptions'!$E$72,0),AND(IF(ISNUMBER('Assumptions'!$F$72),'Assumptions'!$F$72,0)&gt;0,MOD(K$6-IF(ISNUMBER('Assumptions'!$E$72),'Assumptions'!$E$72,0),MAX(1,IF(ISNUMBER('Assumptions'!$F$72),'Assumptions'!$F$72,0)))=0))),1,0)</f>
        <v>0</v>
      </c>
      <c r="L44" s="28">
        <f>-IF(ISNUMBER('Assumptions'!$C$72),'Assumptions'!$C$72,0)*IF(ISNUMBER('Assumptions'!$D$72),'Assumptions'!$D$72,0)*IF(AND(IF(ISNUMBER('Assumptions'!$E$72),'Assumptions'!$E$72,0)&gt;0,L$6&gt;=IF(ISNUMBER('Assumptions'!$E$72),'Assumptions'!$E$72,0),L$6&lt;=in_HoldYears,OR(L$6=IF(ISNUMBER('Assumptions'!$E$72),'Assumptions'!$E$72,0),AND(IF(ISNUMBER('Assumptions'!$F$72),'Assumptions'!$F$72,0)&gt;0,MOD(L$6-IF(ISNUMBER('Assumptions'!$E$72),'Assumptions'!$E$72,0),MAX(1,IF(ISNUMBER('Assumptions'!$F$72),'Assumptions'!$F$72,0)))=0))),1,0)</f>
        <v>0</v>
      </c>
      <c r="M44" s="28">
        <f>-IF(ISNUMBER('Assumptions'!$C$72),'Assumptions'!$C$72,0)*IF(ISNUMBER('Assumptions'!$D$72),'Assumptions'!$D$72,0)*IF(AND(IF(ISNUMBER('Assumptions'!$E$72),'Assumptions'!$E$72,0)&gt;0,M$6&gt;=IF(ISNUMBER('Assumptions'!$E$72),'Assumptions'!$E$72,0),M$6&lt;=in_HoldYears,OR(M$6=IF(ISNUMBER('Assumptions'!$E$72),'Assumptions'!$E$72,0),AND(IF(ISNUMBER('Assumptions'!$F$72),'Assumptions'!$F$72,0)&gt;0,MOD(M$6-IF(ISNUMBER('Assumptions'!$E$72),'Assumptions'!$E$72,0),MAX(1,IF(ISNUMBER('Assumptions'!$F$72),'Assumptions'!$F$72,0)))=0))),1,0)</f>
        <v>0</v>
      </c>
      <c r="N44" s="28">
        <f>-IF(ISNUMBER('Assumptions'!$C$72),'Assumptions'!$C$72,0)*IF(ISNUMBER('Assumptions'!$D$72),'Assumptions'!$D$72,0)*IF(AND(IF(ISNUMBER('Assumptions'!$E$72),'Assumptions'!$E$72,0)&gt;0,N$6&gt;=IF(ISNUMBER('Assumptions'!$E$72),'Assumptions'!$E$72,0),N$6&lt;=in_HoldYears,OR(N$6=IF(ISNUMBER('Assumptions'!$E$72),'Assumptions'!$E$72,0),AND(IF(ISNUMBER('Assumptions'!$F$72),'Assumptions'!$F$72,0)&gt;0,MOD(N$6-IF(ISNUMBER('Assumptions'!$E$72),'Assumptions'!$E$72,0),MAX(1,IF(ISNUMBER('Assumptions'!$F$72),'Assumptions'!$F$72,0)))=0))),1,0)</f>
        <v>0</v>
      </c>
      <c r="O44" s="28">
        <f>-IF(ISNUMBER('Assumptions'!$C$72),'Assumptions'!$C$72,0)*IF(ISNUMBER('Assumptions'!$D$72),'Assumptions'!$D$72,0)*IF(AND(IF(ISNUMBER('Assumptions'!$E$72),'Assumptions'!$E$72,0)&gt;0,O$6&gt;=IF(ISNUMBER('Assumptions'!$E$72),'Assumptions'!$E$72,0),O$6&lt;=in_HoldYears,OR(O$6=IF(ISNUMBER('Assumptions'!$E$72),'Assumptions'!$E$72,0),AND(IF(ISNUMBER('Assumptions'!$F$72),'Assumptions'!$F$72,0)&gt;0,MOD(O$6-IF(ISNUMBER('Assumptions'!$E$72),'Assumptions'!$E$72,0),MAX(1,IF(ISNUMBER('Assumptions'!$F$72),'Assumptions'!$F$72,0)))=0))),1,0)</f>
        <v>0</v>
      </c>
    </row>
    <row r="45">
      <c r="B45" s="7" t="s">
        <v>540</v>
      </c>
      <c r="C45" s="82" t="str">
        <f>IF('Assumptions'!$B$73="","  Capital item (blank row)","  "&amp;'Assumptions'!$B$73)</f>
        <v>  Capital item (blank row)</v>
      </c>
      <c r="D45"/>
      <c r="E45" s="28">
        <f>-IF(ISNUMBER('Assumptions'!$C$73),'Assumptions'!$C$73,0)*IF(ISNUMBER('Assumptions'!$D$73),'Assumptions'!$D$73,0)*IF(AND(IF(ISNUMBER('Assumptions'!$E$73),'Assumptions'!$E$73,0)&gt;0,E$6&gt;=IF(ISNUMBER('Assumptions'!$E$73),'Assumptions'!$E$73,0),E$6&lt;=in_HoldYears,OR(E$6=IF(ISNUMBER('Assumptions'!$E$73),'Assumptions'!$E$73,0),AND(IF(ISNUMBER('Assumptions'!$F$73),'Assumptions'!$F$73,0)&gt;0,MOD(E$6-IF(ISNUMBER('Assumptions'!$E$73),'Assumptions'!$E$73,0),MAX(1,IF(ISNUMBER('Assumptions'!$F$73),'Assumptions'!$F$73,0)))=0))),1,0)</f>
        <v>0</v>
      </c>
      <c r="F45" s="28">
        <f>-IF(ISNUMBER('Assumptions'!$C$73),'Assumptions'!$C$73,0)*IF(ISNUMBER('Assumptions'!$D$73),'Assumptions'!$D$73,0)*IF(AND(IF(ISNUMBER('Assumptions'!$E$73),'Assumptions'!$E$73,0)&gt;0,F$6&gt;=IF(ISNUMBER('Assumptions'!$E$73),'Assumptions'!$E$73,0),F$6&lt;=in_HoldYears,OR(F$6=IF(ISNUMBER('Assumptions'!$E$73),'Assumptions'!$E$73,0),AND(IF(ISNUMBER('Assumptions'!$F$73),'Assumptions'!$F$73,0)&gt;0,MOD(F$6-IF(ISNUMBER('Assumptions'!$E$73),'Assumptions'!$E$73,0),MAX(1,IF(ISNUMBER('Assumptions'!$F$73),'Assumptions'!$F$73,0)))=0))),1,0)</f>
        <v>0</v>
      </c>
      <c r="G45" s="28">
        <f>-IF(ISNUMBER('Assumptions'!$C$73),'Assumptions'!$C$73,0)*IF(ISNUMBER('Assumptions'!$D$73),'Assumptions'!$D$73,0)*IF(AND(IF(ISNUMBER('Assumptions'!$E$73),'Assumptions'!$E$73,0)&gt;0,G$6&gt;=IF(ISNUMBER('Assumptions'!$E$73),'Assumptions'!$E$73,0),G$6&lt;=in_HoldYears,OR(G$6=IF(ISNUMBER('Assumptions'!$E$73),'Assumptions'!$E$73,0),AND(IF(ISNUMBER('Assumptions'!$F$73),'Assumptions'!$F$73,0)&gt;0,MOD(G$6-IF(ISNUMBER('Assumptions'!$E$73),'Assumptions'!$E$73,0),MAX(1,IF(ISNUMBER('Assumptions'!$F$73),'Assumptions'!$F$73,0)))=0))),1,0)</f>
        <v>0</v>
      </c>
      <c r="H45" s="28">
        <f>-IF(ISNUMBER('Assumptions'!$C$73),'Assumptions'!$C$73,0)*IF(ISNUMBER('Assumptions'!$D$73),'Assumptions'!$D$73,0)*IF(AND(IF(ISNUMBER('Assumptions'!$E$73),'Assumptions'!$E$73,0)&gt;0,H$6&gt;=IF(ISNUMBER('Assumptions'!$E$73),'Assumptions'!$E$73,0),H$6&lt;=in_HoldYears,OR(H$6=IF(ISNUMBER('Assumptions'!$E$73),'Assumptions'!$E$73,0),AND(IF(ISNUMBER('Assumptions'!$F$73),'Assumptions'!$F$73,0)&gt;0,MOD(H$6-IF(ISNUMBER('Assumptions'!$E$73),'Assumptions'!$E$73,0),MAX(1,IF(ISNUMBER('Assumptions'!$F$73),'Assumptions'!$F$73,0)))=0))),1,0)</f>
        <v>0</v>
      </c>
      <c r="I45" s="28">
        <f>-IF(ISNUMBER('Assumptions'!$C$73),'Assumptions'!$C$73,0)*IF(ISNUMBER('Assumptions'!$D$73),'Assumptions'!$D$73,0)*IF(AND(IF(ISNUMBER('Assumptions'!$E$73),'Assumptions'!$E$73,0)&gt;0,I$6&gt;=IF(ISNUMBER('Assumptions'!$E$73),'Assumptions'!$E$73,0),I$6&lt;=in_HoldYears,OR(I$6=IF(ISNUMBER('Assumptions'!$E$73),'Assumptions'!$E$73,0),AND(IF(ISNUMBER('Assumptions'!$F$73),'Assumptions'!$F$73,0)&gt;0,MOD(I$6-IF(ISNUMBER('Assumptions'!$E$73),'Assumptions'!$E$73,0),MAX(1,IF(ISNUMBER('Assumptions'!$F$73),'Assumptions'!$F$73,0)))=0))),1,0)</f>
        <v>0</v>
      </c>
      <c r="J45" s="28">
        <f>-IF(ISNUMBER('Assumptions'!$C$73),'Assumptions'!$C$73,0)*IF(ISNUMBER('Assumptions'!$D$73),'Assumptions'!$D$73,0)*IF(AND(IF(ISNUMBER('Assumptions'!$E$73),'Assumptions'!$E$73,0)&gt;0,J$6&gt;=IF(ISNUMBER('Assumptions'!$E$73),'Assumptions'!$E$73,0),J$6&lt;=in_HoldYears,OR(J$6=IF(ISNUMBER('Assumptions'!$E$73),'Assumptions'!$E$73,0),AND(IF(ISNUMBER('Assumptions'!$F$73),'Assumptions'!$F$73,0)&gt;0,MOD(J$6-IF(ISNUMBER('Assumptions'!$E$73),'Assumptions'!$E$73,0),MAX(1,IF(ISNUMBER('Assumptions'!$F$73),'Assumptions'!$F$73,0)))=0))),1,0)</f>
        <v>0</v>
      </c>
      <c r="K45" s="28">
        <f>-IF(ISNUMBER('Assumptions'!$C$73),'Assumptions'!$C$73,0)*IF(ISNUMBER('Assumptions'!$D$73),'Assumptions'!$D$73,0)*IF(AND(IF(ISNUMBER('Assumptions'!$E$73),'Assumptions'!$E$73,0)&gt;0,K$6&gt;=IF(ISNUMBER('Assumptions'!$E$73),'Assumptions'!$E$73,0),K$6&lt;=in_HoldYears,OR(K$6=IF(ISNUMBER('Assumptions'!$E$73),'Assumptions'!$E$73,0),AND(IF(ISNUMBER('Assumptions'!$F$73),'Assumptions'!$F$73,0)&gt;0,MOD(K$6-IF(ISNUMBER('Assumptions'!$E$73),'Assumptions'!$E$73,0),MAX(1,IF(ISNUMBER('Assumptions'!$F$73),'Assumptions'!$F$73,0)))=0))),1,0)</f>
        <v>0</v>
      </c>
      <c r="L45" s="28">
        <f>-IF(ISNUMBER('Assumptions'!$C$73),'Assumptions'!$C$73,0)*IF(ISNUMBER('Assumptions'!$D$73),'Assumptions'!$D$73,0)*IF(AND(IF(ISNUMBER('Assumptions'!$E$73),'Assumptions'!$E$73,0)&gt;0,L$6&gt;=IF(ISNUMBER('Assumptions'!$E$73),'Assumptions'!$E$73,0),L$6&lt;=in_HoldYears,OR(L$6=IF(ISNUMBER('Assumptions'!$E$73),'Assumptions'!$E$73,0),AND(IF(ISNUMBER('Assumptions'!$F$73),'Assumptions'!$F$73,0)&gt;0,MOD(L$6-IF(ISNUMBER('Assumptions'!$E$73),'Assumptions'!$E$73,0),MAX(1,IF(ISNUMBER('Assumptions'!$F$73),'Assumptions'!$F$73,0)))=0))),1,0)</f>
        <v>0</v>
      </c>
      <c r="M45" s="28">
        <f>-IF(ISNUMBER('Assumptions'!$C$73),'Assumptions'!$C$73,0)*IF(ISNUMBER('Assumptions'!$D$73),'Assumptions'!$D$73,0)*IF(AND(IF(ISNUMBER('Assumptions'!$E$73),'Assumptions'!$E$73,0)&gt;0,M$6&gt;=IF(ISNUMBER('Assumptions'!$E$73),'Assumptions'!$E$73,0),M$6&lt;=in_HoldYears,OR(M$6=IF(ISNUMBER('Assumptions'!$E$73),'Assumptions'!$E$73,0),AND(IF(ISNUMBER('Assumptions'!$F$73),'Assumptions'!$F$73,0)&gt;0,MOD(M$6-IF(ISNUMBER('Assumptions'!$E$73),'Assumptions'!$E$73,0),MAX(1,IF(ISNUMBER('Assumptions'!$F$73),'Assumptions'!$F$73,0)))=0))),1,0)</f>
        <v>0</v>
      </c>
      <c r="N45" s="28">
        <f>-IF(ISNUMBER('Assumptions'!$C$73),'Assumptions'!$C$73,0)*IF(ISNUMBER('Assumptions'!$D$73),'Assumptions'!$D$73,0)*IF(AND(IF(ISNUMBER('Assumptions'!$E$73),'Assumptions'!$E$73,0)&gt;0,N$6&gt;=IF(ISNUMBER('Assumptions'!$E$73),'Assumptions'!$E$73,0),N$6&lt;=in_HoldYears,OR(N$6=IF(ISNUMBER('Assumptions'!$E$73),'Assumptions'!$E$73,0),AND(IF(ISNUMBER('Assumptions'!$F$73),'Assumptions'!$F$73,0)&gt;0,MOD(N$6-IF(ISNUMBER('Assumptions'!$E$73),'Assumptions'!$E$73,0),MAX(1,IF(ISNUMBER('Assumptions'!$F$73),'Assumptions'!$F$73,0)))=0))),1,0)</f>
        <v>0</v>
      </c>
      <c r="O45" s="28">
        <f>-IF(ISNUMBER('Assumptions'!$C$73),'Assumptions'!$C$73,0)*IF(ISNUMBER('Assumptions'!$D$73),'Assumptions'!$D$73,0)*IF(AND(IF(ISNUMBER('Assumptions'!$E$73),'Assumptions'!$E$73,0)&gt;0,O$6&gt;=IF(ISNUMBER('Assumptions'!$E$73),'Assumptions'!$E$73,0),O$6&lt;=in_HoldYears,OR(O$6=IF(ISNUMBER('Assumptions'!$E$73),'Assumptions'!$E$73,0),AND(IF(ISNUMBER('Assumptions'!$F$73),'Assumptions'!$F$73,0)&gt;0,MOD(O$6-IF(ISNUMBER('Assumptions'!$E$73),'Assumptions'!$E$73,0),MAX(1,IF(ISNUMBER('Assumptions'!$F$73),'Assumptions'!$F$73,0)))=0))),1,0)</f>
        <v>0</v>
      </c>
    </row>
    <row r="46">
      <c r="B46" s="7" t="s">
        <v>541</v>
      </c>
      <c r="C46" s="82" t="str">
        <f>IF('Assumptions'!$B$74="","  Capital item (blank row)","  "&amp;'Assumptions'!$B$74)</f>
        <v>  Capital item (blank row)</v>
      </c>
      <c r="D46"/>
      <c r="E46" s="28">
        <f>-IF(ISNUMBER('Assumptions'!$C$74),'Assumptions'!$C$74,0)*IF(ISNUMBER('Assumptions'!$D$74),'Assumptions'!$D$74,0)*IF(AND(IF(ISNUMBER('Assumptions'!$E$74),'Assumptions'!$E$74,0)&gt;0,E$6&gt;=IF(ISNUMBER('Assumptions'!$E$74),'Assumptions'!$E$74,0),E$6&lt;=in_HoldYears,OR(E$6=IF(ISNUMBER('Assumptions'!$E$74),'Assumptions'!$E$74,0),AND(IF(ISNUMBER('Assumptions'!$F$74),'Assumptions'!$F$74,0)&gt;0,MOD(E$6-IF(ISNUMBER('Assumptions'!$E$74),'Assumptions'!$E$74,0),MAX(1,IF(ISNUMBER('Assumptions'!$F$74),'Assumptions'!$F$74,0)))=0))),1,0)</f>
        <v>0</v>
      </c>
      <c r="F46" s="28">
        <f>-IF(ISNUMBER('Assumptions'!$C$74),'Assumptions'!$C$74,0)*IF(ISNUMBER('Assumptions'!$D$74),'Assumptions'!$D$74,0)*IF(AND(IF(ISNUMBER('Assumptions'!$E$74),'Assumptions'!$E$74,0)&gt;0,F$6&gt;=IF(ISNUMBER('Assumptions'!$E$74),'Assumptions'!$E$74,0),F$6&lt;=in_HoldYears,OR(F$6=IF(ISNUMBER('Assumptions'!$E$74),'Assumptions'!$E$74,0),AND(IF(ISNUMBER('Assumptions'!$F$74),'Assumptions'!$F$74,0)&gt;0,MOD(F$6-IF(ISNUMBER('Assumptions'!$E$74),'Assumptions'!$E$74,0),MAX(1,IF(ISNUMBER('Assumptions'!$F$74),'Assumptions'!$F$74,0)))=0))),1,0)</f>
        <v>0</v>
      </c>
      <c r="G46" s="28">
        <f>-IF(ISNUMBER('Assumptions'!$C$74),'Assumptions'!$C$74,0)*IF(ISNUMBER('Assumptions'!$D$74),'Assumptions'!$D$74,0)*IF(AND(IF(ISNUMBER('Assumptions'!$E$74),'Assumptions'!$E$74,0)&gt;0,G$6&gt;=IF(ISNUMBER('Assumptions'!$E$74),'Assumptions'!$E$74,0),G$6&lt;=in_HoldYears,OR(G$6=IF(ISNUMBER('Assumptions'!$E$74),'Assumptions'!$E$74,0),AND(IF(ISNUMBER('Assumptions'!$F$74),'Assumptions'!$F$74,0)&gt;0,MOD(G$6-IF(ISNUMBER('Assumptions'!$E$74),'Assumptions'!$E$74,0),MAX(1,IF(ISNUMBER('Assumptions'!$F$74),'Assumptions'!$F$74,0)))=0))),1,0)</f>
        <v>0</v>
      </c>
      <c r="H46" s="28">
        <f>-IF(ISNUMBER('Assumptions'!$C$74),'Assumptions'!$C$74,0)*IF(ISNUMBER('Assumptions'!$D$74),'Assumptions'!$D$74,0)*IF(AND(IF(ISNUMBER('Assumptions'!$E$74),'Assumptions'!$E$74,0)&gt;0,H$6&gt;=IF(ISNUMBER('Assumptions'!$E$74),'Assumptions'!$E$74,0),H$6&lt;=in_HoldYears,OR(H$6=IF(ISNUMBER('Assumptions'!$E$74),'Assumptions'!$E$74,0),AND(IF(ISNUMBER('Assumptions'!$F$74),'Assumptions'!$F$74,0)&gt;0,MOD(H$6-IF(ISNUMBER('Assumptions'!$E$74),'Assumptions'!$E$74,0),MAX(1,IF(ISNUMBER('Assumptions'!$F$74),'Assumptions'!$F$74,0)))=0))),1,0)</f>
        <v>0</v>
      </c>
      <c r="I46" s="28">
        <f>-IF(ISNUMBER('Assumptions'!$C$74),'Assumptions'!$C$74,0)*IF(ISNUMBER('Assumptions'!$D$74),'Assumptions'!$D$74,0)*IF(AND(IF(ISNUMBER('Assumptions'!$E$74),'Assumptions'!$E$74,0)&gt;0,I$6&gt;=IF(ISNUMBER('Assumptions'!$E$74),'Assumptions'!$E$74,0),I$6&lt;=in_HoldYears,OR(I$6=IF(ISNUMBER('Assumptions'!$E$74),'Assumptions'!$E$74,0),AND(IF(ISNUMBER('Assumptions'!$F$74),'Assumptions'!$F$74,0)&gt;0,MOD(I$6-IF(ISNUMBER('Assumptions'!$E$74),'Assumptions'!$E$74,0),MAX(1,IF(ISNUMBER('Assumptions'!$F$74),'Assumptions'!$F$74,0)))=0))),1,0)</f>
        <v>0</v>
      </c>
      <c r="J46" s="28">
        <f>-IF(ISNUMBER('Assumptions'!$C$74),'Assumptions'!$C$74,0)*IF(ISNUMBER('Assumptions'!$D$74),'Assumptions'!$D$74,0)*IF(AND(IF(ISNUMBER('Assumptions'!$E$74),'Assumptions'!$E$74,0)&gt;0,J$6&gt;=IF(ISNUMBER('Assumptions'!$E$74),'Assumptions'!$E$74,0),J$6&lt;=in_HoldYears,OR(J$6=IF(ISNUMBER('Assumptions'!$E$74),'Assumptions'!$E$74,0),AND(IF(ISNUMBER('Assumptions'!$F$74),'Assumptions'!$F$74,0)&gt;0,MOD(J$6-IF(ISNUMBER('Assumptions'!$E$74),'Assumptions'!$E$74,0),MAX(1,IF(ISNUMBER('Assumptions'!$F$74),'Assumptions'!$F$74,0)))=0))),1,0)</f>
        <v>0</v>
      </c>
      <c r="K46" s="28">
        <f>-IF(ISNUMBER('Assumptions'!$C$74),'Assumptions'!$C$74,0)*IF(ISNUMBER('Assumptions'!$D$74),'Assumptions'!$D$74,0)*IF(AND(IF(ISNUMBER('Assumptions'!$E$74),'Assumptions'!$E$74,0)&gt;0,K$6&gt;=IF(ISNUMBER('Assumptions'!$E$74),'Assumptions'!$E$74,0),K$6&lt;=in_HoldYears,OR(K$6=IF(ISNUMBER('Assumptions'!$E$74),'Assumptions'!$E$74,0),AND(IF(ISNUMBER('Assumptions'!$F$74),'Assumptions'!$F$74,0)&gt;0,MOD(K$6-IF(ISNUMBER('Assumptions'!$E$74),'Assumptions'!$E$74,0),MAX(1,IF(ISNUMBER('Assumptions'!$F$74),'Assumptions'!$F$74,0)))=0))),1,0)</f>
        <v>0</v>
      </c>
      <c r="L46" s="28">
        <f>-IF(ISNUMBER('Assumptions'!$C$74),'Assumptions'!$C$74,0)*IF(ISNUMBER('Assumptions'!$D$74),'Assumptions'!$D$74,0)*IF(AND(IF(ISNUMBER('Assumptions'!$E$74),'Assumptions'!$E$74,0)&gt;0,L$6&gt;=IF(ISNUMBER('Assumptions'!$E$74),'Assumptions'!$E$74,0),L$6&lt;=in_HoldYears,OR(L$6=IF(ISNUMBER('Assumptions'!$E$74),'Assumptions'!$E$74,0),AND(IF(ISNUMBER('Assumptions'!$F$74),'Assumptions'!$F$74,0)&gt;0,MOD(L$6-IF(ISNUMBER('Assumptions'!$E$74),'Assumptions'!$E$74,0),MAX(1,IF(ISNUMBER('Assumptions'!$F$74),'Assumptions'!$F$74,0)))=0))),1,0)</f>
        <v>0</v>
      </c>
      <c r="M46" s="28">
        <f>-IF(ISNUMBER('Assumptions'!$C$74),'Assumptions'!$C$74,0)*IF(ISNUMBER('Assumptions'!$D$74),'Assumptions'!$D$74,0)*IF(AND(IF(ISNUMBER('Assumptions'!$E$74),'Assumptions'!$E$74,0)&gt;0,M$6&gt;=IF(ISNUMBER('Assumptions'!$E$74),'Assumptions'!$E$74,0),M$6&lt;=in_HoldYears,OR(M$6=IF(ISNUMBER('Assumptions'!$E$74),'Assumptions'!$E$74,0),AND(IF(ISNUMBER('Assumptions'!$F$74),'Assumptions'!$F$74,0)&gt;0,MOD(M$6-IF(ISNUMBER('Assumptions'!$E$74),'Assumptions'!$E$74,0),MAX(1,IF(ISNUMBER('Assumptions'!$F$74),'Assumptions'!$F$74,0)))=0))),1,0)</f>
        <v>0</v>
      </c>
      <c r="N46" s="28">
        <f>-IF(ISNUMBER('Assumptions'!$C$74),'Assumptions'!$C$74,0)*IF(ISNUMBER('Assumptions'!$D$74),'Assumptions'!$D$74,0)*IF(AND(IF(ISNUMBER('Assumptions'!$E$74),'Assumptions'!$E$74,0)&gt;0,N$6&gt;=IF(ISNUMBER('Assumptions'!$E$74),'Assumptions'!$E$74,0),N$6&lt;=in_HoldYears,OR(N$6=IF(ISNUMBER('Assumptions'!$E$74),'Assumptions'!$E$74,0),AND(IF(ISNUMBER('Assumptions'!$F$74),'Assumptions'!$F$74,0)&gt;0,MOD(N$6-IF(ISNUMBER('Assumptions'!$E$74),'Assumptions'!$E$74,0),MAX(1,IF(ISNUMBER('Assumptions'!$F$74),'Assumptions'!$F$74,0)))=0))),1,0)</f>
        <v>0</v>
      </c>
      <c r="O46" s="28">
        <f>-IF(ISNUMBER('Assumptions'!$C$74),'Assumptions'!$C$74,0)*IF(ISNUMBER('Assumptions'!$D$74),'Assumptions'!$D$74,0)*IF(AND(IF(ISNUMBER('Assumptions'!$E$74),'Assumptions'!$E$74,0)&gt;0,O$6&gt;=IF(ISNUMBER('Assumptions'!$E$74),'Assumptions'!$E$74,0),O$6&lt;=in_HoldYears,OR(O$6=IF(ISNUMBER('Assumptions'!$E$74),'Assumptions'!$E$74,0),AND(IF(ISNUMBER('Assumptions'!$F$74),'Assumptions'!$F$74,0)&gt;0,MOD(O$6-IF(ISNUMBER('Assumptions'!$E$74),'Assumptions'!$E$74,0),MAX(1,IF(ISNUMBER('Assumptions'!$F$74),'Assumptions'!$F$74,0)))=0))),1,0)</f>
        <v>0</v>
      </c>
    </row>
    <row r="47">
      <c r="B47" s="7" t="s">
        <v>542</v>
      </c>
      <c r="C47" s="32" t="s">
        <v>543</v>
      </c>
      <c r="D47"/>
      <c r="E47" s="28">
        <f>SUM(E43:E46)</f>
        <v>0</v>
      </c>
      <c r="F47" s="28">
        <f>SUM(F43:F46)</f>
        <v>0</v>
      </c>
      <c r="G47" s="28">
        <f>SUM(G43:G46)</f>
        <v>0</v>
      </c>
      <c r="H47" s="28">
        <f>SUM(H43:H46)</f>
        <v>0</v>
      </c>
      <c r="I47" s="28">
        <f>SUM(I43:I46)</f>
        <v>0</v>
      </c>
      <c r="J47" s="28">
        <f>SUM(J43:J46)</f>
        <v>0</v>
      </c>
      <c r="K47" s="28">
        <f>SUM(K43:K46)</f>
        <v>0</v>
      </c>
      <c r="L47" s="28">
        <f>SUM(L43:L46)</f>
        <v>0</v>
      </c>
      <c r="M47" s="28">
        <f>SUM(M43:M46)</f>
        <v>0</v>
      </c>
      <c r="N47" s="28">
        <f>SUM(N43:N46)</f>
        <v>0</v>
      </c>
      <c r="O47" s="28">
        <f>SUM(O43:O46)</f>
        <v>0</v>
      </c>
    </row>
    <row r="48">
      <c r="B48" s="7" t="s">
        <v>544</v>
      </c>
      <c r="C48" s="32" t="s">
        <v>545</v>
      </c>
      <c r="D48"/>
      <c r="E48" s="28">
        <f>-a_GLA*a_ReservePsf*(1+a_Inflation)^(E$6-1)*'Model Calc'!E7</f>
        <v>-11940</v>
      </c>
      <c r="F48" s="28">
        <f>-a_GLA*a_ReservePsf*(1+a_Inflation)^(F$6-1)*'Model Calc'!F7</f>
        <v>-12238.499999999998</v>
      </c>
      <c r="G48" s="28">
        <f>-a_GLA*a_ReservePsf*(1+a_Inflation)^(G$6-1)*'Model Calc'!G7</f>
        <v>-12544.4625</v>
      </c>
      <c r="H48" s="28">
        <f>-a_GLA*a_ReservePsf*(1+a_Inflation)^(H$6-1)*'Model Calc'!H7</f>
        <v>-12858.074062499996</v>
      </c>
      <c r="I48" s="28">
        <f>-a_GLA*a_ReservePsf*(1+a_Inflation)^(I$6-1)*'Model Calc'!I7</f>
        <v>-13179.525914062495</v>
      </c>
      <c r="J48" s="28">
        <f>-a_GLA*a_ReservePsf*(1+a_Inflation)^(J$6-1)*'Model Calc'!J7</f>
        <v>-13509.014061914057</v>
      </c>
      <c r="K48" s="28">
        <f>-a_GLA*a_ReservePsf*(1+a_Inflation)^(K$6-1)*'Model Calc'!K7</f>
        <v>-13846.739413461906</v>
      </c>
      <c r="L48" s="28">
        <f>-a_GLA*a_ReservePsf*(1+a_Inflation)^(L$6-1)*'Model Calc'!L7</f>
        <v>0</v>
      </c>
      <c r="M48" s="28">
        <f>-a_GLA*a_ReservePsf*(1+a_Inflation)^(M$6-1)*'Model Calc'!M7</f>
        <v>0</v>
      </c>
      <c r="N48" s="28">
        <f>-a_GLA*a_ReservePsf*(1+a_Inflation)^(N$6-1)*'Model Calc'!N7</f>
        <v>0</v>
      </c>
      <c r="O48" s="28">
        <f>-a_GLA*a_ReservePsf*(1+a_Inflation)^(O$6-1)*'Model Calc'!O7</f>
        <v>0</v>
      </c>
    </row>
    <row r="49">
      <c r="B49" s="7" t="s">
        <v>546</v>
      </c>
      <c r="C49" s="65" t="s">
        <v>547</v>
      </c>
      <c r="D49" s="59"/>
      <c r="E49" s="63">
        <f>E47+E48</f>
        <v>-11940</v>
      </c>
      <c r="F49" s="63">
        <f>F47+F48</f>
        <v>-12238.499999999998</v>
      </c>
      <c r="G49" s="63">
        <f>G47+G48</f>
        <v>-12544.4625</v>
      </c>
      <c r="H49" s="63">
        <f>H47+H48</f>
        <v>-12858.074062499996</v>
      </c>
      <c r="I49" s="63">
        <f>I47+I48</f>
        <v>-13179.525914062495</v>
      </c>
      <c r="J49" s="63">
        <f>J47+J48</f>
        <v>-13509.014061914057</v>
      </c>
      <c r="K49" s="63">
        <f>K47+K48</f>
        <v>-13846.739413461906</v>
      </c>
      <c r="L49" s="63">
        <f>L47+L48</f>
        <v>0</v>
      </c>
      <c r="M49" s="63">
        <f>M47+M48</f>
        <v>0</v>
      </c>
      <c r="N49" s="63">
        <f>N47+N48</f>
        <v>0</v>
      </c>
      <c r="O49" s="63">
        <f>O47+O48</f>
        <v>0</v>
      </c>
    </row>
    <row r="50">
      <c r="B50" s="7" t="s">
        <v>548</v>
      </c>
      <c r="C50" s="65" t="s">
        <v>549</v>
      </c>
      <c r="D50" s="59"/>
      <c r="E50" s="63">
        <f>E42+E49</f>
        <v>-11940</v>
      </c>
      <c r="F50" s="63">
        <f>F42+F49</f>
        <v>-35833.14799083811</v>
      </c>
      <c r="G50" s="63">
        <f>G42+G49</f>
        <v>-29223.584291803796</v>
      </c>
      <c r="H50" s="63">
        <f>H42+H49</f>
        <v>-49725.78981654083</v>
      </c>
      <c r="I50" s="63">
        <f>I42+I49</f>
        <v>-139926.6663061076</v>
      </c>
      <c r="J50" s="63">
        <f>J42+J49</f>
        <v>-112152.43889524825</v>
      </c>
      <c r="K50" s="63">
        <f>K42+K49</f>
        <v>-13846.739413461906</v>
      </c>
      <c r="L50" s="63">
        <f>L42+L49</f>
        <v>-21516.797252160846</v>
      </c>
      <c r="M50" s="63">
        <f>M42+M49</f>
        <v>0</v>
      </c>
      <c r="N50" s="63">
        <f>N42+N49</f>
        <v>-47894.85809398168</v>
      </c>
      <c r="O50" s="63">
        <f>O42+O49</f>
        <v>-17479.81142014223</v>
      </c>
    </row>
    <row r="51">
      <c r="B51" s="7" t="s">
        <v>550</v>
      </c>
      <c r="C51" s="82" t="str">
        <f>IF('Assumptions'!$B$79="","  Miscellaneous (blank row)","  "&amp;'Assumptions'!$B$79)</f>
        <v>  Miscellaneous (blank row)</v>
      </c>
      <c r="D51"/>
      <c r="E51" s="28">
        <f>IF('Assumptions'!$B$79="",0,IF(ISNUMBER('Assumptions'!$C$79),'Assumptions'!$C$79,0)*IF(OR(E$6=MAX(1,ROUND(IF(ISNUMBER('Assumptions'!$D$79),'Assumptions'!$D$79,0),0)),AND(MAX(0,ROUND(IF(ISNUMBER('Assumptions'!$E$79),'Assumptions'!$E$79,0),0))&gt;0,E$6&gt;MAX(1,ROUND(IF(ISNUMBER('Assumptions'!$D$79),'Assumptions'!$D$79,0),0)),MOD(E$6-MAX(1,ROUND(IF(ISNUMBER('Assumptions'!$D$79),'Assumptions'!$D$79,0),0)),MAX(1,MAX(0,ROUND(IF(ISNUMBER('Assumptions'!$E$79),'Assumptions'!$E$79,0),0))))=0)),1,0))</f>
        <v>0</v>
      </c>
      <c r="F51" s="28">
        <f>IF('Assumptions'!$B$79="",0,IF(ISNUMBER('Assumptions'!$C$79),'Assumptions'!$C$79,0)*IF(OR(F$6=MAX(1,ROUND(IF(ISNUMBER('Assumptions'!$D$79),'Assumptions'!$D$79,0),0)),AND(MAX(0,ROUND(IF(ISNUMBER('Assumptions'!$E$79),'Assumptions'!$E$79,0),0))&gt;0,F$6&gt;MAX(1,ROUND(IF(ISNUMBER('Assumptions'!$D$79),'Assumptions'!$D$79,0),0)),MOD(F$6-MAX(1,ROUND(IF(ISNUMBER('Assumptions'!$D$79),'Assumptions'!$D$79,0),0)),MAX(1,MAX(0,ROUND(IF(ISNUMBER('Assumptions'!$E$79),'Assumptions'!$E$79,0),0))))=0)),1,0))</f>
        <v>0</v>
      </c>
      <c r="G51" s="28">
        <f>IF('Assumptions'!$B$79="",0,IF(ISNUMBER('Assumptions'!$C$79),'Assumptions'!$C$79,0)*IF(OR(G$6=MAX(1,ROUND(IF(ISNUMBER('Assumptions'!$D$79),'Assumptions'!$D$79,0),0)),AND(MAX(0,ROUND(IF(ISNUMBER('Assumptions'!$E$79),'Assumptions'!$E$79,0),0))&gt;0,G$6&gt;MAX(1,ROUND(IF(ISNUMBER('Assumptions'!$D$79),'Assumptions'!$D$79,0),0)),MOD(G$6-MAX(1,ROUND(IF(ISNUMBER('Assumptions'!$D$79),'Assumptions'!$D$79,0),0)),MAX(1,MAX(0,ROUND(IF(ISNUMBER('Assumptions'!$E$79),'Assumptions'!$E$79,0),0))))=0)),1,0))</f>
        <v>0</v>
      </c>
      <c r="H51" s="28">
        <f>IF('Assumptions'!$B$79="",0,IF(ISNUMBER('Assumptions'!$C$79),'Assumptions'!$C$79,0)*IF(OR(H$6=MAX(1,ROUND(IF(ISNUMBER('Assumptions'!$D$79),'Assumptions'!$D$79,0),0)),AND(MAX(0,ROUND(IF(ISNUMBER('Assumptions'!$E$79),'Assumptions'!$E$79,0),0))&gt;0,H$6&gt;MAX(1,ROUND(IF(ISNUMBER('Assumptions'!$D$79),'Assumptions'!$D$79,0),0)),MOD(H$6-MAX(1,ROUND(IF(ISNUMBER('Assumptions'!$D$79),'Assumptions'!$D$79,0),0)),MAX(1,MAX(0,ROUND(IF(ISNUMBER('Assumptions'!$E$79),'Assumptions'!$E$79,0),0))))=0)),1,0))</f>
        <v>0</v>
      </c>
      <c r="I51" s="28">
        <f>IF('Assumptions'!$B$79="",0,IF(ISNUMBER('Assumptions'!$C$79),'Assumptions'!$C$79,0)*IF(OR(I$6=MAX(1,ROUND(IF(ISNUMBER('Assumptions'!$D$79),'Assumptions'!$D$79,0),0)),AND(MAX(0,ROUND(IF(ISNUMBER('Assumptions'!$E$79),'Assumptions'!$E$79,0),0))&gt;0,I$6&gt;MAX(1,ROUND(IF(ISNUMBER('Assumptions'!$D$79),'Assumptions'!$D$79,0),0)),MOD(I$6-MAX(1,ROUND(IF(ISNUMBER('Assumptions'!$D$79),'Assumptions'!$D$79,0),0)),MAX(1,MAX(0,ROUND(IF(ISNUMBER('Assumptions'!$E$79),'Assumptions'!$E$79,0),0))))=0)),1,0))</f>
        <v>0</v>
      </c>
      <c r="J51" s="28">
        <f>IF('Assumptions'!$B$79="",0,IF(ISNUMBER('Assumptions'!$C$79),'Assumptions'!$C$79,0)*IF(OR(J$6=MAX(1,ROUND(IF(ISNUMBER('Assumptions'!$D$79),'Assumptions'!$D$79,0),0)),AND(MAX(0,ROUND(IF(ISNUMBER('Assumptions'!$E$79),'Assumptions'!$E$79,0),0))&gt;0,J$6&gt;MAX(1,ROUND(IF(ISNUMBER('Assumptions'!$D$79),'Assumptions'!$D$79,0),0)),MOD(J$6-MAX(1,ROUND(IF(ISNUMBER('Assumptions'!$D$79),'Assumptions'!$D$79,0),0)),MAX(1,MAX(0,ROUND(IF(ISNUMBER('Assumptions'!$E$79),'Assumptions'!$E$79,0),0))))=0)),1,0))</f>
        <v>0</v>
      </c>
      <c r="K51" s="28">
        <f>IF('Assumptions'!$B$79="",0,IF(ISNUMBER('Assumptions'!$C$79),'Assumptions'!$C$79,0)*IF(OR(K$6=MAX(1,ROUND(IF(ISNUMBER('Assumptions'!$D$79),'Assumptions'!$D$79,0),0)),AND(MAX(0,ROUND(IF(ISNUMBER('Assumptions'!$E$79),'Assumptions'!$E$79,0),0))&gt;0,K$6&gt;MAX(1,ROUND(IF(ISNUMBER('Assumptions'!$D$79),'Assumptions'!$D$79,0),0)),MOD(K$6-MAX(1,ROUND(IF(ISNUMBER('Assumptions'!$D$79),'Assumptions'!$D$79,0),0)),MAX(1,MAX(0,ROUND(IF(ISNUMBER('Assumptions'!$E$79),'Assumptions'!$E$79,0),0))))=0)),1,0))</f>
        <v>0</v>
      </c>
      <c r="L51" s="28">
        <f>IF('Assumptions'!$B$79="",0,IF(ISNUMBER('Assumptions'!$C$79),'Assumptions'!$C$79,0)*IF(OR(L$6=MAX(1,ROUND(IF(ISNUMBER('Assumptions'!$D$79),'Assumptions'!$D$79,0),0)),AND(MAX(0,ROUND(IF(ISNUMBER('Assumptions'!$E$79),'Assumptions'!$E$79,0),0))&gt;0,L$6&gt;MAX(1,ROUND(IF(ISNUMBER('Assumptions'!$D$79),'Assumptions'!$D$79,0),0)),MOD(L$6-MAX(1,ROUND(IF(ISNUMBER('Assumptions'!$D$79),'Assumptions'!$D$79,0),0)),MAX(1,MAX(0,ROUND(IF(ISNUMBER('Assumptions'!$E$79),'Assumptions'!$E$79,0),0))))=0)),1,0))</f>
        <v>0</v>
      </c>
      <c r="M51" s="28">
        <f>IF('Assumptions'!$B$79="",0,IF(ISNUMBER('Assumptions'!$C$79),'Assumptions'!$C$79,0)*IF(OR(M$6=MAX(1,ROUND(IF(ISNUMBER('Assumptions'!$D$79),'Assumptions'!$D$79,0),0)),AND(MAX(0,ROUND(IF(ISNUMBER('Assumptions'!$E$79),'Assumptions'!$E$79,0),0))&gt;0,M$6&gt;MAX(1,ROUND(IF(ISNUMBER('Assumptions'!$D$79),'Assumptions'!$D$79,0),0)),MOD(M$6-MAX(1,ROUND(IF(ISNUMBER('Assumptions'!$D$79),'Assumptions'!$D$79,0),0)),MAX(1,MAX(0,ROUND(IF(ISNUMBER('Assumptions'!$E$79),'Assumptions'!$E$79,0),0))))=0)),1,0))</f>
        <v>0</v>
      </c>
      <c r="N51" s="28">
        <f>IF('Assumptions'!$B$79="",0,IF(ISNUMBER('Assumptions'!$C$79),'Assumptions'!$C$79,0)*IF(OR(N$6=MAX(1,ROUND(IF(ISNUMBER('Assumptions'!$D$79),'Assumptions'!$D$79,0),0)),AND(MAX(0,ROUND(IF(ISNUMBER('Assumptions'!$E$79),'Assumptions'!$E$79,0),0))&gt;0,N$6&gt;MAX(1,ROUND(IF(ISNUMBER('Assumptions'!$D$79),'Assumptions'!$D$79,0),0)),MOD(N$6-MAX(1,ROUND(IF(ISNUMBER('Assumptions'!$D$79),'Assumptions'!$D$79,0),0)),MAX(1,MAX(0,ROUND(IF(ISNUMBER('Assumptions'!$E$79),'Assumptions'!$E$79,0),0))))=0)),1,0))</f>
        <v>0</v>
      </c>
      <c r="O51" s="28">
        <f>IF('Assumptions'!$B$79="",0,IF(ISNUMBER('Assumptions'!$C$79),'Assumptions'!$C$79,0)*IF(OR(O$6=MAX(1,ROUND(IF(ISNUMBER('Assumptions'!$D$79),'Assumptions'!$D$79,0),0)),AND(MAX(0,ROUND(IF(ISNUMBER('Assumptions'!$E$79),'Assumptions'!$E$79,0),0))&gt;0,O$6&gt;MAX(1,ROUND(IF(ISNUMBER('Assumptions'!$D$79),'Assumptions'!$D$79,0),0)),MOD(O$6-MAX(1,ROUND(IF(ISNUMBER('Assumptions'!$D$79),'Assumptions'!$D$79,0),0)),MAX(1,MAX(0,ROUND(IF(ISNUMBER('Assumptions'!$E$79),'Assumptions'!$E$79,0),0))))=0)),1,0))</f>
        <v>0</v>
      </c>
    </row>
    <row r="52">
      <c r="B52" s="7" t="s">
        <v>551</v>
      </c>
      <c r="C52" s="82" t="str">
        <f>IF('Assumptions'!$B$80="","  Miscellaneous (blank row)","  "&amp;'Assumptions'!$B$80)</f>
        <v>  Miscellaneous (blank row)</v>
      </c>
      <c r="D52"/>
      <c r="E52" s="28">
        <f>IF('Assumptions'!$B$80="",0,IF(ISNUMBER('Assumptions'!$C$80),'Assumptions'!$C$80,0)*IF(OR(E$6=MAX(1,ROUND(IF(ISNUMBER('Assumptions'!$D$80),'Assumptions'!$D$80,0),0)),AND(MAX(0,ROUND(IF(ISNUMBER('Assumptions'!$E$80),'Assumptions'!$E$80,0),0))&gt;0,E$6&gt;MAX(1,ROUND(IF(ISNUMBER('Assumptions'!$D$80),'Assumptions'!$D$80,0),0)),MOD(E$6-MAX(1,ROUND(IF(ISNUMBER('Assumptions'!$D$80),'Assumptions'!$D$80,0),0)),MAX(1,MAX(0,ROUND(IF(ISNUMBER('Assumptions'!$E$80),'Assumptions'!$E$80,0),0))))=0)),1,0))</f>
        <v>0</v>
      </c>
      <c r="F52" s="28">
        <f>IF('Assumptions'!$B$80="",0,IF(ISNUMBER('Assumptions'!$C$80),'Assumptions'!$C$80,0)*IF(OR(F$6=MAX(1,ROUND(IF(ISNUMBER('Assumptions'!$D$80),'Assumptions'!$D$80,0),0)),AND(MAX(0,ROUND(IF(ISNUMBER('Assumptions'!$E$80),'Assumptions'!$E$80,0),0))&gt;0,F$6&gt;MAX(1,ROUND(IF(ISNUMBER('Assumptions'!$D$80),'Assumptions'!$D$80,0),0)),MOD(F$6-MAX(1,ROUND(IF(ISNUMBER('Assumptions'!$D$80),'Assumptions'!$D$80,0),0)),MAX(1,MAX(0,ROUND(IF(ISNUMBER('Assumptions'!$E$80),'Assumptions'!$E$80,0),0))))=0)),1,0))</f>
        <v>0</v>
      </c>
      <c r="G52" s="28">
        <f>IF('Assumptions'!$B$80="",0,IF(ISNUMBER('Assumptions'!$C$80),'Assumptions'!$C$80,0)*IF(OR(G$6=MAX(1,ROUND(IF(ISNUMBER('Assumptions'!$D$80),'Assumptions'!$D$80,0),0)),AND(MAX(0,ROUND(IF(ISNUMBER('Assumptions'!$E$80),'Assumptions'!$E$80,0),0))&gt;0,G$6&gt;MAX(1,ROUND(IF(ISNUMBER('Assumptions'!$D$80),'Assumptions'!$D$80,0),0)),MOD(G$6-MAX(1,ROUND(IF(ISNUMBER('Assumptions'!$D$80),'Assumptions'!$D$80,0),0)),MAX(1,MAX(0,ROUND(IF(ISNUMBER('Assumptions'!$E$80),'Assumptions'!$E$80,0),0))))=0)),1,0))</f>
        <v>0</v>
      </c>
      <c r="H52" s="28">
        <f>IF('Assumptions'!$B$80="",0,IF(ISNUMBER('Assumptions'!$C$80),'Assumptions'!$C$80,0)*IF(OR(H$6=MAX(1,ROUND(IF(ISNUMBER('Assumptions'!$D$80),'Assumptions'!$D$80,0),0)),AND(MAX(0,ROUND(IF(ISNUMBER('Assumptions'!$E$80),'Assumptions'!$E$80,0),0))&gt;0,H$6&gt;MAX(1,ROUND(IF(ISNUMBER('Assumptions'!$D$80),'Assumptions'!$D$80,0),0)),MOD(H$6-MAX(1,ROUND(IF(ISNUMBER('Assumptions'!$D$80),'Assumptions'!$D$80,0),0)),MAX(1,MAX(0,ROUND(IF(ISNUMBER('Assumptions'!$E$80),'Assumptions'!$E$80,0),0))))=0)),1,0))</f>
        <v>0</v>
      </c>
      <c r="I52" s="28">
        <f>IF('Assumptions'!$B$80="",0,IF(ISNUMBER('Assumptions'!$C$80),'Assumptions'!$C$80,0)*IF(OR(I$6=MAX(1,ROUND(IF(ISNUMBER('Assumptions'!$D$80),'Assumptions'!$D$80,0),0)),AND(MAX(0,ROUND(IF(ISNUMBER('Assumptions'!$E$80),'Assumptions'!$E$80,0),0))&gt;0,I$6&gt;MAX(1,ROUND(IF(ISNUMBER('Assumptions'!$D$80),'Assumptions'!$D$80,0),0)),MOD(I$6-MAX(1,ROUND(IF(ISNUMBER('Assumptions'!$D$80),'Assumptions'!$D$80,0),0)),MAX(1,MAX(0,ROUND(IF(ISNUMBER('Assumptions'!$E$80),'Assumptions'!$E$80,0),0))))=0)),1,0))</f>
        <v>0</v>
      </c>
      <c r="J52" s="28">
        <f>IF('Assumptions'!$B$80="",0,IF(ISNUMBER('Assumptions'!$C$80),'Assumptions'!$C$80,0)*IF(OR(J$6=MAX(1,ROUND(IF(ISNUMBER('Assumptions'!$D$80),'Assumptions'!$D$80,0),0)),AND(MAX(0,ROUND(IF(ISNUMBER('Assumptions'!$E$80),'Assumptions'!$E$80,0),0))&gt;0,J$6&gt;MAX(1,ROUND(IF(ISNUMBER('Assumptions'!$D$80),'Assumptions'!$D$80,0),0)),MOD(J$6-MAX(1,ROUND(IF(ISNUMBER('Assumptions'!$D$80),'Assumptions'!$D$80,0),0)),MAX(1,MAX(0,ROUND(IF(ISNUMBER('Assumptions'!$E$80),'Assumptions'!$E$80,0),0))))=0)),1,0))</f>
        <v>0</v>
      </c>
      <c r="K52" s="28">
        <f>IF('Assumptions'!$B$80="",0,IF(ISNUMBER('Assumptions'!$C$80),'Assumptions'!$C$80,0)*IF(OR(K$6=MAX(1,ROUND(IF(ISNUMBER('Assumptions'!$D$80),'Assumptions'!$D$80,0),0)),AND(MAX(0,ROUND(IF(ISNUMBER('Assumptions'!$E$80),'Assumptions'!$E$80,0),0))&gt;0,K$6&gt;MAX(1,ROUND(IF(ISNUMBER('Assumptions'!$D$80),'Assumptions'!$D$80,0),0)),MOD(K$6-MAX(1,ROUND(IF(ISNUMBER('Assumptions'!$D$80),'Assumptions'!$D$80,0),0)),MAX(1,MAX(0,ROUND(IF(ISNUMBER('Assumptions'!$E$80),'Assumptions'!$E$80,0),0))))=0)),1,0))</f>
        <v>0</v>
      </c>
      <c r="L52" s="28">
        <f>IF('Assumptions'!$B$80="",0,IF(ISNUMBER('Assumptions'!$C$80),'Assumptions'!$C$80,0)*IF(OR(L$6=MAX(1,ROUND(IF(ISNUMBER('Assumptions'!$D$80),'Assumptions'!$D$80,0),0)),AND(MAX(0,ROUND(IF(ISNUMBER('Assumptions'!$E$80),'Assumptions'!$E$80,0),0))&gt;0,L$6&gt;MAX(1,ROUND(IF(ISNUMBER('Assumptions'!$D$80),'Assumptions'!$D$80,0),0)),MOD(L$6-MAX(1,ROUND(IF(ISNUMBER('Assumptions'!$D$80),'Assumptions'!$D$80,0),0)),MAX(1,MAX(0,ROUND(IF(ISNUMBER('Assumptions'!$E$80),'Assumptions'!$E$80,0),0))))=0)),1,0))</f>
        <v>0</v>
      </c>
      <c r="M52" s="28">
        <f>IF('Assumptions'!$B$80="",0,IF(ISNUMBER('Assumptions'!$C$80),'Assumptions'!$C$80,0)*IF(OR(M$6=MAX(1,ROUND(IF(ISNUMBER('Assumptions'!$D$80),'Assumptions'!$D$80,0),0)),AND(MAX(0,ROUND(IF(ISNUMBER('Assumptions'!$E$80),'Assumptions'!$E$80,0),0))&gt;0,M$6&gt;MAX(1,ROUND(IF(ISNUMBER('Assumptions'!$D$80),'Assumptions'!$D$80,0),0)),MOD(M$6-MAX(1,ROUND(IF(ISNUMBER('Assumptions'!$D$80),'Assumptions'!$D$80,0),0)),MAX(1,MAX(0,ROUND(IF(ISNUMBER('Assumptions'!$E$80),'Assumptions'!$E$80,0),0))))=0)),1,0))</f>
        <v>0</v>
      </c>
      <c r="N52" s="28">
        <f>IF('Assumptions'!$B$80="",0,IF(ISNUMBER('Assumptions'!$C$80),'Assumptions'!$C$80,0)*IF(OR(N$6=MAX(1,ROUND(IF(ISNUMBER('Assumptions'!$D$80),'Assumptions'!$D$80,0),0)),AND(MAX(0,ROUND(IF(ISNUMBER('Assumptions'!$E$80),'Assumptions'!$E$80,0),0))&gt;0,N$6&gt;MAX(1,ROUND(IF(ISNUMBER('Assumptions'!$D$80),'Assumptions'!$D$80,0),0)),MOD(N$6-MAX(1,ROUND(IF(ISNUMBER('Assumptions'!$D$80),'Assumptions'!$D$80,0),0)),MAX(1,MAX(0,ROUND(IF(ISNUMBER('Assumptions'!$E$80),'Assumptions'!$E$80,0),0))))=0)),1,0))</f>
        <v>0</v>
      </c>
      <c r="O52" s="28">
        <f>IF('Assumptions'!$B$80="",0,IF(ISNUMBER('Assumptions'!$C$80),'Assumptions'!$C$80,0)*IF(OR(O$6=MAX(1,ROUND(IF(ISNUMBER('Assumptions'!$D$80),'Assumptions'!$D$80,0),0)),AND(MAX(0,ROUND(IF(ISNUMBER('Assumptions'!$E$80),'Assumptions'!$E$80,0),0))&gt;0,O$6&gt;MAX(1,ROUND(IF(ISNUMBER('Assumptions'!$D$80),'Assumptions'!$D$80,0),0)),MOD(O$6-MAX(1,ROUND(IF(ISNUMBER('Assumptions'!$D$80),'Assumptions'!$D$80,0),0)),MAX(1,MAX(0,ROUND(IF(ISNUMBER('Assumptions'!$E$80),'Assumptions'!$E$80,0),0))))=0)),1,0))</f>
        <v>0</v>
      </c>
    </row>
    <row r="53">
      <c r="B53" s="7" t="s">
        <v>552</v>
      </c>
      <c r="C53" s="65" t="s">
        <v>553</v>
      </c>
      <c r="D53" s="59"/>
      <c r="E53" s="63">
        <f>SUM(E51:E52)</f>
        <v>0</v>
      </c>
      <c r="F53" s="63">
        <f>SUM(F51:F52)</f>
        <v>0</v>
      </c>
      <c r="G53" s="63">
        <f>SUM(G51:G52)</f>
        <v>0</v>
      </c>
      <c r="H53" s="63">
        <f>SUM(H51:H52)</f>
        <v>0</v>
      </c>
      <c r="I53" s="63">
        <f>SUM(I51:I52)</f>
        <v>0</v>
      </c>
      <c r="J53" s="63">
        <f>SUM(J51:J52)</f>
        <v>0</v>
      </c>
      <c r="K53" s="63">
        <f>SUM(K51:K52)</f>
        <v>0</v>
      </c>
      <c r="L53" s="63">
        <f>SUM(L51:L52)</f>
        <v>0</v>
      </c>
      <c r="M53" s="63">
        <f>SUM(M51:M52)</f>
        <v>0</v>
      </c>
      <c r="N53" s="63">
        <f>SUM(N51:N52)</f>
        <v>0</v>
      </c>
      <c r="O53" s="63">
        <f>SUM(O51:O52)</f>
        <v>0</v>
      </c>
    </row>
    <row r="54">
      <c r="B54" s="7" t="s">
        <v>554</v>
      </c>
      <c r="C54" s="65" t="s">
        <v>555</v>
      </c>
      <c r="D54" s="83"/>
      <c r="E54" s="84">
        <f>E37+E50+E53</f>
        <v>939387.6737762624</v>
      </c>
      <c r="F54" s="84">
        <f>F37+F50+F53</f>
        <v>923749.2872515055</v>
      </c>
      <c r="G54" s="84">
        <f>G37+G50+G53</f>
        <v>907098.4559190191</v>
      </c>
      <c r="H54" s="84">
        <f>H37+H50+H53</f>
        <v>874729.3592517211</v>
      </c>
      <c r="I54" s="84">
        <f>I37+I50+I53</f>
        <v>766834.0757227349</v>
      </c>
      <c r="J54" s="84">
        <f>J37+J50+J53</f>
        <v>804467.1587717399</v>
      </c>
      <c r="K54" s="84">
        <f>K37+K50+K53</f>
        <v>917785.8275783341</v>
      </c>
      <c r="L54" s="84">
        <f>L37+L50+L53</f>
        <v>946344.8368955861</v>
      </c>
      <c r="M54" s="84">
        <f>M37+M50+M53</f>
        <v>976527.3151371711</v>
      </c>
      <c r="N54" s="84">
        <f>N37+N50+N53</f>
        <v>943179.5481900838</v>
      </c>
      <c r="O54" s="84">
        <f>O37+O50+O53</f>
        <v>999856.6753501683</v>
      </c>
    </row>
    <row r="55">
      <c r="C55" s="6" t="s">
        <v>556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>
      <c r="B56" s="7" t="s">
        <v>557</v>
      </c>
      <c r="C56" s="32" t="s">
        <v>558</v>
      </c>
      <c r="D56"/>
      <c r="E56" s="28">
        <f>-'Model Calc'!E45</f>
        <v>-380037.46726147406</v>
      </c>
      <c r="F56" s="28">
        <f>-'Model Calc'!F45</f>
        <v>-375873.069659217</v>
      </c>
      <c r="G56" s="28">
        <f>-'Model Calc'!G45</f>
        <v>-371416.8061503862</v>
      </c>
      <c r="H56" s="28">
        <f>-'Model Calc'!H45</f>
        <v>-366648.22102552355</v>
      </c>
      <c r="I56" s="28">
        <f>-'Model Calc'!I45</f>
        <v>-361545.4249166309</v>
      </c>
      <c r="J56" s="28">
        <f>-'Model Calc'!J45</f>
        <v>-356084.99431780016</v>
      </c>
      <c r="K56" s="28">
        <f>-'Model Calc'!K45</f>
        <v>-350241.8640636466</v>
      </c>
      <c r="L56" s="28">
        <f>-'Model Calc'!L45</f>
        <v>0</v>
      </c>
      <c r="M56" s="28">
        <f>-'Model Calc'!M45</f>
        <v>0</v>
      </c>
      <c r="N56" s="28">
        <f>-'Model Calc'!N45</f>
        <v>0</v>
      </c>
      <c r="O56" s="28">
        <f>-'Model Calc'!O45</f>
        <v>0</v>
      </c>
    </row>
    <row r="57">
      <c r="B57" s="7" t="s">
        <v>559</v>
      </c>
      <c r="C57" s="32" t="s">
        <v>560</v>
      </c>
      <c r="D57"/>
      <c r="E57" s="28">
        <f>-'Model Calc'!E46</f>
        <v>-59418.40756005212</v>
      </c>
      <c r="F57" s="28">
        <f>-'Model Calc'!F46</f>
        <v>-63582.80516230906</v>
      </c>
      <c r="G57" s="28">
        <f>-'Model Calc'!G46</f>
        <v>-68039.06867113973</v>
      </c>
      <c r="H57" s="28">
        <f>-'Model Calc'!H46</f>
        <v>-72807.65379600236</v>
      </c>
      <c r="I57" s="28">
        <f>-'Model Calc'!I46</f>
        <v>-77910.4499048949</v>
      </c>
      <c r="J57" s="28">
        <f>-'Model Calc'!J46</f>
        <v>-83370.88050372562</v>
      </c>
      <c r="K57" s="28">
        <f>-'Model Calc'!K46</f>
        <v>-89214.01075787915</v>
      </c>
      <c r="L57" s="28">
        <f>-'Model Calc'!L46</f>
        <v>0</v>
      </c>
      <c r="M57" s="28">
        <f>-'Model Calc'!M46</f>
        <v>0</v>
      </c>
      <c r="N57" s="28">
        <f>-'Model Calc'!N46</f>
        <v>0</v>
      </c>
      <c r="O57" s="28">
        <f>-'Model Calc'!O46</f>
        <v>0</v>
      </c>
    </row>
    <row r="58">
      <c r="B58" s="7" t="s">
        <v>561</v>
      </c>
      <c r="C58" s="65" t="s">
        <v>562</v>
      </c>
      <c r="D58" s="59"/>
      <c r="E58" s="63">
        <f>E56+E57</f>
        <v>-439455.8748215262</v>
      </c>
      <c r="F58" s="63">
        <f>F56+F57</f>
        <v>-439455.8748215261</v>
      </c>
      <c r="G58" s="63">
        <f>G56+G57</f>
        <v>-439455.87482152594</v>
      </c>
      <c r="H58" s="63">
        <f>H56+H57</f>
        <v>-439455.8748215259</v>
      </c>
      <c r="I58" s="63">
        <f>I56+I57</f>
        <v>-439455.87482152577</v>
      </c>
      <c r="J58" s="63">
        <f>J56+J57</f>
        <v>-439455.87482152577</v>
      </c>
      <c r="K58" s="63">
        <f>K56+K57</f>
        <v>-439455.87482152577</v>
      </c>
      <c r="L58" s="63">
        <f>L56+L57</f>
        <v>0</v>
      </c>
      <c r="M58" s="63">
        <f>M56+M57</f>
        <v>0</v>
      </c>
      <c r="N58" s="63">
        <f>N56+N57</f>
        <v>0</v>
      </c>
      <c r="O58" s="63">
        <f>O56+O57</f>
        <v>0</v>
      </c>
    </row>
    <row r="59">
      <c r="B59" s="7" t="s">
        <v>563</v>
      </c>
      <c r="C59" s="65" t="s">
        <v>564</v>
      </c>
      <c r="D59" s="83"/>
      <c r="E59" s="84">
        <f>(E54+E58)*'Model Calc'!E7</f>
        <v>499931.79895473627</v>
      </c>
      <c r="F59" s="84">
        <f>(F54+F58)*'Model Calc'!F7</f>
        <v>484293.4124299794</v>
      </c>
      <c r="G59" s="84">
        <f>(G54+G58)*'Model Calc'!G7</f>
        <v>467642.5810974931</v>
      </c>
      <c r="H59" s="84">
        <f>(H54+H58)*'Model Calc'!H7</f>
        <v>435273.4844301952</v>
      </c>
      <c r="I59" s="84">
        <f>(I54+I58)*'Model Calc'!I7</f>
        <v>327378.20090120914</v>
      </c>
      <c r="J59" s="84">
        <f>(J54+J58)*'Model Calc'!J7</f>
        <v>365011.28395021416</v>
      </c>
      <c r="K59" s="84">
        <f>(K54+K58)*'Model Calc'!K7</f>
        <v>478329.9527568084</v>
      </c>
      <c r="L59" s="84">
        <f>(L54+L58)*'Model Calc'!L7</f>
        <v>0</v>
      </c>
      <c r="M59" s="84">
        <f>(M54+M58)*'Model Calc'!M7</f>
        <v>0</v>
      </c>
      <c r="N59" s="84">
        <f>(N54+N58)*'Model Calc'!N7</f>
        <v>0</v>
      </c>
      <c r="O59" s="84">
        <f>(O54+O58)*'Model Calc'!O7</f>
        <v>0</v>
      </c>
    </row>
    <row r="60">
      <c r="C60" s="6" t="s">
        <v>565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>
      <c r="B61" s="7" t="s">
        <v>566</v>
      </c>
      <c r="C61" s="32" t="s">
        <v>567</v>
      </c>
      <c r="D61"/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</row>
    <row r="62">
      <c r="C62" s="6" t="s">
        <v>568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>
      <c r="B63" s="7" t="s">
        <v>568</v>
      </c>
      <c r="C63" s="32" t="s">
        <v>569</v>
      </c>
      <c r="D63"/>
      <c r="E63" s="28">
        <f>out_ExitValue*'Model Calc'!E8</f>
        <v>0</v>
      </c>
      <c r="F63" s="28">
        <f>out_ExitValue*'Model Calc'!F8</f>
        <v>0</v>
      </c>
      <c r="G63" s="28">
        <f>out_ExitValue*'Model Calc'!G8</f>
        <v>0</v>
      </c>
      <c r="H63" s="28">
        <f>out_ExitValue*'Model Calc'!H8</f>
        <v>0</v>
      </c>
      <c r="I63" s="28">
        <f>out_ExitValue*'Model Calc'!I8</f>
        <v>0</v>
      </c>
      <c r="J63" s="28">
        <f>out_ExitValue*'Model Calc'!J8</f>
        <v>0</v>
      </c>
      <c r="K63" s="28">
        <f>out_ExitValue*'Model Calc'!K8</f>
        <v>9315318.904213157</v>
      </c>
      <c r="L63" s="28">
        <f>out_ExitValue*'Model Calc'!L8</f>
        <v>0</v>
      </c>
      <c r="M63" s="28">
        <f>out_ExitValue*'Model Calc'!M8</f>
        <v>0</v>
      </c>
      <c r="N63" s="28">
        <f>out_ExitValue*'Model Calc'!N8</f>
        <v>0</v>
      </c>
      <c r="O63" s="28">
        <f>out_ExitValue*'Model Calc'!O8</f>
        <v>0</v>
      </c>
    </row>
    <row r="64">
      <c r="B64" s="7" t="s">
        <v>570</v>
      </c>
      <c r="C64" s="32" t="s">
        <v>450</v>
      </c>
      <c r="D64"/>
      <c r="E64" s="28">
        <f>-out_SellingCosts*'Model Calc'!E8</f>
        <v>0</v>
      </c>
      <c r="F64" s="28">
        <f>-out_SellingCosts*'Model Calc'!F8</f>
        <v>0</v>
      </c>
      <c r="G64" s="28">
        <f>-out_SellingCosts*'Model Calc'!G8</f>
        <v>0</v>
      </c>
      <c r="H64" s="28">
        <f>-out_SellingCosts*'Model Calc'!H8</f>
        <v>0</v>
      </c>
      <c r="I64" s="28">
        <f>-out_SellingCosts*'Model Calc'!I8</f>
        <v>0</v>
      </c>
      <c r="J64" s="28">
        <f>-out_SellingCosts*'Model Calc'!J8</f>
        <v>0</v>
      </c>
      <c r="K64" s="28">
        <f>-out_SellingCosts*'Model Calc'!K8</f>
        <v>-232882.97260532892</v>
      </c>
      <c r="L64" s="28">
        <f>-out_SellingCosts*'Model Calc'!L8</f>
        <v>0</v>
      </c>
      <c r="M64" s="28">
        <f>-out_SellingCosts*'Model Calc'!M8</f>
        <v>0</v>
      </c>
      <c r="N64" s="28">
        <f>-out_SellingCosts*'Model Calc'!N8</f>
        <v>0</v>
      </c>
      <c r="O64" s="28">
        <f>-out_SellingCosts*'Model Calc'!O8</f>
        <v>0</v>
      </c>
    </row>
    <row r="65">
      <c r="B65" s="7" t="s">
        <v>571</v>
      </c>
      <c r="C65" s="32" t="s">
        <v>572</v>
      </c>
      <c r="D65"/>
      <c r="E65" s="28">
        <f>-r_LeasingAfterSale*'Model Calc'!E8</f>
        <v>0</v>
      </c>
      <c r="F65" s="28">
        <f>-r_LeasingAfterSale*'Model Calc'!F8</f>
        <v>0</v>
      </c>
      <c r="G65" s="28">
        <f>-r_LeasingAfterSale*'Model Calc'!G8</f>
        <v>0</v>
      </c>
      <c r="H65" s="28">
        <f>-r_LeasingAfterSale*'Model Calc'!H8</f>
        <v>0</v>
      </c>
      <c r="I65" s="28">
        <f>-r_LeasingAfterSale*'Model Calc'!I8</f>
        <v>0</v>
      </c>
      <c r="J65" s="28">
        <f>-r_LeasingAfterSale*'Model Calc'!J8</f>
        <v>0</v>
      </c>
      <c r="K65" s="28">
        <f>-r_LeasingAfterSale*'Model Calc'!K8</f>
        <v>-21516.797252160846</v>
      </c>
      <c r="L65" s="28">
        <f>-r_LeasingAfterSale*'Model Calc'!L8</f>
        <v>0</v>
      </c>
      <c r="M65" s="28">
        <f>-r_LeasingAfterSale*'Model Calc'!M8</f>
        <v>0</v>
      </c>
      <c r="N65" s="28">
        <f>-r_LeasingAfterSale*'Model Calc'!N8</f>
        <v>0</v>
      </c>
      <c r="O65" s="28">
        <f>-r_LeasingAfterSale*'Model Calc'!O8</f>
        <v>0</v>
      </c>
    </row>
    <row r="66">
      <c r="B66" s="7" t="s">
        <v>573</v>
      </c>
      <c r="C66" s="32" t="s">
        <v>574</v>
      </c>
      <c r="D66"/>
      <c r="E66" s="28">
        <f>-out_LoanPayoff*'Model Calc'!E8</f>
        <v>0</v>
      </c>
      <c r="F66" s="28">
        <f>-out_LoanPayoff*'Model Calc'!F8</f>
        <v>0</v>
      </c>
      <c r="G66" s="28">
        <f>-out_LoanPayoff*'Model Calc'!G8</f>
        <v>0</v>
      </c>
      <c r="H66" s="28">
        <f>-out_LoanPayoff*'Model Calc'!H8</f>
        <v>0</v>
      </c>
      <c r="I66" s="28">
        <f>-out_LoanPayoff*'Model Calc'!I8</f>
        <v>0</v>
      </c>
      <c r="J66" s="28">
        <f>-out_LoanPayoff*'Model Calc'!J8</f>
        <v>0</v>
      </c>
      <c r="K66" s="28">
        <f>-out_LoanPayoff*'Model Calc'!K8</f>
        <v>-5107056.723643995</v>
      </c>
      <c r="L66" s="28">
        <f>-out_LoanPayoff*'Model Calc'!L8</f>
        <v>0</v>
      </c>
      <c r="M66" s="28">
        <f>-out_LoanPayoff*'Model Calc'!M8</f>
        <v>0</v>
      </c>
      <c r="N66" s="28">
        <f>-out_LoanPayoff*'Model Calc'!N8</f>
        <v>0</v>
      </c>
      <c r="O66" s="28">
        <f>-out_LoanPayoff*'Model Calc'!O8</f>
        <v>0</v>
      </c>
    </row>
    <row r="67">
      <c r="B67" s="7" t="s">
        <v>575</v>
      </c>
      <c r="C67" s="32" t="s">
        <v>576</v>
      </c>
      <c r="D67"/>
      <c r="E67" s="28">
        <f>-(r_Penalty+r_LoanFees)*'Model Calc'!E8</f>
        <v>0</v>
      </c>
      <c r="F67" s="28">
        <f>-(r_Penalty+r_LoanFees)*'Model Calc'!F8</f>
        <v>0</v>
      </c>
      <c r="G67" s="28">
        <f>-(r_Penalty+r_LoanFees)*'Model Calc'!G8</f>
        <v>0</v>
      </c>
      <c r="H67" s="28">
        <f>-(r_Penalty+r_LoanFees)*'Model Calc'!H8</f>
        <v>0</v>
      </c>
      <c r="I67" s="28">
        <f>-(r_Penalty+r_LoanFees)*'Model Calc'!I8</f>
        <v>0</v>
      </c>
      <c r="J67" s="28">
        <f>-(r_Penalty+r_LoanFees)*'Model Calc'!J8</f>
        <v>0</v>
      </c>
      <c r="K67" s="28">
        <f>-(r_Penalty+r_LoanFees)*'Model Calc'!K8</f>
        <v>0</v>
      </c>
      <c r="L67" s="28">
        <f>-(r_Penalty+r_LoanFees)*'Model Calc'!L8</f>
        <v>0</v>
      </c>
      <c r="M67" s="28">
        <f>-(r_Penalty+r_LoanFees)*'Model Calc'!M8</f>
        <v>0</v>
      </c>
      <c r="N67" s="28">
        <f>-(r_Penalty+r_LoanFees)*'Model Calc'!N8</f>
        <v>0</v>
      </c>
      <c r="O67" s="28">
        <f>-(r_Penalty+r_LoanFees)*'Model Calc'!O8</f>
        <v>0</v>
      </c>
    </row>
    <row r="68">
      <c r="B68" s="7" t="s">
        <v>577</v>
      </c>
      <c r="C68" s="65" t="s">
        <v>30</v>
      </c>
      <c r="D68" s="59"/>
      <c r="E68" s="63">
        <f>SUM(E63:E67)</f>
        <v>0</v>
      </c>
      <c r="F68" s="63">
        <f>SUM(F63:F67)</f>
        <v>0</v>
      </c>
      <c r="G68" s="63">
        <f>SUM(G63:G67)</f>
        <v>0</v>
      </c>
      <c r="H68" s="63">
        <f>SUM(H63:H67)</f>
        <v>0</v>
      </c>
      <c r="I68" s="63">
        <f>SUM(I63:I67)</f>
        <v>0</v>
      </c>
      <c r="J68" s="63">
        <f>SUM(J63:J67)</f>
        <v>0</v>
      </c>
      <c r="K68" s="63">
        <f>SUM(K63:K67)</f>
        <v>3953862.4107116717</v>
      </c>
      <c r="L68" s="63">
        <f>SUM(L63:L67)</f>
        <v>0</v>
      </c>
      <c r="M68" s="63">
        <f>SUM(M63:M67)</f>
        <v>0</v>
      </c>
      <c r="N68" s="63">
        <f>SUM(N63:N67)</f>
        <v>0</v>
      </c>
      <c r="O68" s="63">
        <f>SUM(O63:O67)</f>
        <v>0</v>
      </c>
    </row>
    <row r="69">
      <c r="C69" s="6" t="s">
        <v>578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>
      <c r="B70" s="7" t="s">
        <v>579</v>
      </c>
      <c r="C70" s="65" t="s">
        <v>580</v>
      </c>
      <c r="D70" s="84">
        <f>-out_Equity</f>
        <v>-3995940.7727871574</v>
      </c>
      <c r="E70" s="84">
        <f>E59+E61*'Model Calc'!E7+E68</f>
        <v>499931.79895473627</v>
      </c>
      <c r="F70" s="84">
        <f>F59+F61*'Model Calc'!F7+F68</f>
        <v>484293.4124299794</v>
      </c>
      <c r="G70" s="84">
        <f>G59+G61*'Model Calc'!G7+G68</f>
        <v>467642.5810974931</v>
      </c>
      <c r="H70" s="84">
        <f>H59+H61*'Model Calc'!H7+H68</f>
        <v>435273.4844301952</v>
      </c>
      <c r="I70" s="84">
        <f>I59+I61*'Model Calc'!I7+I68</f>
        <v>327378.20090120914</v>
      </c>
      <c r="J70" s="84">
        <f>J59+J61*'Model Calc'!J7+J68</f>
        <v>365011.28395021416</v>
      </c>
      <c r="K70" s="84">
        <f>K59+K61*'Model Calc'!K7+K68</f>
        <v>4432192.36346848</v>
      </c>
      <c r="L70" s="84">
        <f>L59+L61*'Model Calc'!L7+L68</f>
        <v>0</v>
      </c>
      <c r="M70" s="84">
        <f>M59+M61*'Model Calc'!M7+M68</f>
        <v>0</v>
      </c>
      <c r="N70" s="84">
        <f>N59+N61*'Model Calc'!N7+N68</f>
        <v>0</v>
      </c>
      <c r="O70" s="84">
        <f>O59+O61*'Model Calc'!O7+O68</f>
        <v>0</v>
      </c>
    </row>
    <row r="71">
      <c r="B71" s="7" t="s">
        <v>581</v>
      </c>
      <c r="C71" s="65" t="s">
        <v>582</v>
      </c>
      <c r="D71" s="84">
        <f>-out_TotalCost</f>
        <v>-9561126.772787157</v>
      </c>
      <c r="E71" s="84">
        <f>E54*'Model Calc'!E7+E63+E64+E65</f>
        <v>939387.6737762624</v>
      </c>
      <c r="F71" s="84">
        <f>F54*'Model Calc'!F7+F63+F64+F65</f>
        <v>923749.2872515055</v>
      </c>
      <c r="G71" s="84">
        <f>G54*'Model Calc'!G7+G63+G64+G65</f>
        <v>907098.4559190191</v>
      </c>
      <c r="H71" s="84">
        <f>H54*'Model Calc'!H7+H63+H64+H65</f>
        <v>874729.3592517211</v>
      </c>
      <c r="I71" s="84">
        <f>I54*'Model Calc'!I7+I63+I64+I65</f>
        <v>766834.0757227349</v>
      </c>
      <c r="J71" s="84">
        <f>J54*'Model Calc'!J7+J63+J64+J65</f>
        <v>804467.1587717399</v>
      </c>
      <c r="K71" s="84">
        <f>K54*'Model Calc'!K7+K63+K64+K65</f>
        <v>9978704.961934</v>
      </c>
      <c r="L71" s="84">
        <f>L54*'Model Calc'!L7+L63+L64+L65</f>
        <v>0</v>
      </c>
      <c r="M71" s="84">
        <f>M54*'Model Calc'!M7+M63+M64+M65</f>
        <v>0</v>
      </c>
      <c r="N71" s="84">
        <f>N54*'Model Calc'!N7+N63+N64+N65</f>
        <v>0</v>
      </c>
      <c r="O71" s="84">
        <f>O54*'Model Calc'!O7+O63+O64+O65</f>
        <v>0</v>
      </c>
    </row>
    <row r="73">
      <c r="C73" s="22" t="s">
        <v>583</v>
      </c>
    </row>
  </sheetData>
  <sheetProtection sheet="1" objects="1" scenarios="1" formatColumns="0" formatRows="0" autoFilter="0"/>
  <hyperlinks>
    <hyperlink ref="I2" location="'Executive Summary'!A1" display="Back to summary"/>
  </hyperlinks>
  <pageMargins left="0.5" right="0.5" top="0.6" bottom="0.6" header="0.3" footer="0.3"/>
  <pageSetup paperSize="1" orientation="landscape" fitToWidth="1" fitToHeight="0"/>
  <headerFooter>
    <oddFooter>&amp;L&amp;"Arial,Regular"&amp;8CREMODEL  &amp;P / &amp;N</oddFooter>
  </headerFooter>
  <ignoredErrors>
    <ignoredError sqref="A1:O73" numberStoredAsText="1" formula="1" formulaRange="1" unlockedFormula="1" emptyCellReference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F2740"/>
    <pageSetUpPr fitToPage="1"/>
  </sheetPr>
  <dimension ref="B1:O171"/>
  <sheetViews>
    <sheetView workbookViewId="0" showGridLines="0" zoomScale="90" zoomScaleNormal="90">
      <pane xSplit="3" ySplit="20" topLeftCell="D21" activePane="bottomRight" state="frozen"/>
      <selection pane="topRight"/>
      <selection pane="bottomLeft"/>
      <selection pane="bottomRight" activeCell="D21" sqref="D21"/>
    </sheetView>
  </sheetViews>
  <sheetFormatPr defaultRowHeight="15"/>
  <cols>
    <col min="1" max="1" width="2.5" customWidth="1"/>
    <col min="2" max="2" width="10" customWidth="1" hidden="1"/>
    <col min="3" max="3" width="36" customWidth="1"/>
    <col min="4" max="15" width="13" customWidth="1"/>
  </cols>
  <sheetData>
    <row r="1" ht="20" customHeight="1"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6" customHeight="1">
      <c r="C2" s="3" t="s">
        <v>110</v>
      </c>
      <c r="I2" s="30" t="s">
        <v>65</v>
      </c>
    </row>
    <row r="3">
      <c r="C3" s="4" t="s">
        <v>2</v>
      </c>
    </row>
    <row r="4">
      <c r="C4" s="22" t="s">
        <v>584</v>
      </c>
    </row>
    <row r="6">
      <c r="C6" s="32" t="s">
        <v>20</v>
      </c>
      <c r="D6" s="38">
        <f>out_LoanAmount</f>
        <v>5621400</v>
      </c>
      <c r="F6" s="32" t="s">
        <v>585</v>
      </c>
      <c r="H6" s="28">
        <f>out_LoanPayoff</f>
        <v>5107056.723643995</v>
      </c>
    </row>
    <row r="7">
      <c r="C7" s="32" t="s">
        <v>23</v>
      </c>
      <c r="D7" s="40">
        <f>out_LTV</f>
        <v>0.6</v>
      </c>
      <c r="F7" s="32" t="s">
        <v>586</v>
      </c>
      <c r="H7" s="28">
        <f>r_Penalty</f>
        <v>0</v>
      </c>
    </row>
    <row r="8">
      <c r="C8" s="32" t="s">
        <v>26</v>
      </c>
      <c r="D8" s="40">
        <f>in_InterestRate</f>
        <v>0.067</v>
      </c>
      <c r="F8" s="32" t="s">
        <v>587</v>
      </c>
      <c r="H8" s="23" t="str">
        <f>IF(a_LoanTerm&lt;in_HoldYears,"Yes: review","No")</f>
        <v>No</v>
      </c>
    </row>
    <row r="9">
      <c r="C9" s="32" t="s">
        <v>588</v>
      </c>
      <c r="D9" s="11" t="str">
        <f>a_DayCount</f>
        <v>Actual/360</v>
      </c>
      <c r="F9" s="32" t="s">
        <v>589</v>
      </c>
      <c r="H9" s="28">
        <f>IF(AND(a_LoanTerm&gt;=1,a_LoanTerm&lt;=11),INDEX('Debt'!$I$40:$I$171,12*a_LoanTerm),"beyond Year 11")</f>
        <v>5107056.723643995</v>
      </c>
    </row>
    <row r="10">
      <c r="C10" s="32" t="s">
        <v>590</v>
      </c>
      <c r="D10" s="39">
        <f>in_IOYears</f>
        <v>0</v>
      </c>
      <c r="F10" s="32" t="s">
        <v>591</v>
      </c>
      <c r="H10" s="85">
        <f>EOMONTH(in_AnalysisStart,12*a_LoanTerm-1)</f>
        <v>48944</v>
      </c>
    </row>
    <row r="11">
      <c r="C11" s="32" t="s">
        <v>592</v>
      </c>
      <c r="D11" s="37">
        <f>in_AmortYears</f>
        <v>30</v>
      </c>
      <c r="F11" s="32" t="s">
        <v>593</v>
      </c>
      <c r="H11" s="28">
        <f>SUMIF('Debt'!$D$40:$D$171,"&lt;="&amp;in_HoldYears,'Debt'!$F$40:$F$171)</f>
        <v>2561847.8473946787</v>
      </c>
    </row>
    <row r="12">
      <c r="C12" s="32" t="s">
        <v>594</v>
      </c>
      <c r="D12" s="37">
        <f>a_LoanTerm</f>
        <v>7</v>
      </c>
    </row>
    <row r="13">
      <c r="C13" s="32" t="s">
        <v>595</v>
      </c>
      <c r="D13" s="38">
        <f>a_Pmt</f>
        <v>36621.32290179385</v>
      </c>
    </row>
    <row r="14">
      <c r="C14" s="32" t="s">
        <v>192</v>
      </c>
      <c r="D14" s="38">
        <f>a_LoanFee</f>
        <v>56214</v>
      </c>
    </row>
    <row r="15">
      <c r="C15" s="32" t="s">
        <v>416</v>
      </c>
      <c r="D15" s="11" t="str">
        <f>a_Prepay</f>
        <v>None</v>
      </c>
    </row>
    <row r="16">
      <c r="C16" s="32" t="s">
        <v>29</v>
      </c>
      <c r="D16" s="40">
        <f>out_DebtYield</f>
        <v>0.16923322904903804</v>
      </c>
    </row>
    <row r="17">
      <c r="C17" s="32" t="s">
        <v>32</v>
      </c>
      <c r="D17" s="86">
        <f>out_DSCR_Y1</f>
        <v>2.164785427348354</v>
      </c>
    </row>
    <row r="18">
      <c r="C18" s="32" t="s">
        <v>596</v>
      </c>
      <c r="D18" s="86">
        <f>out_DSCR_Min</f>
        <v>2.063371532800878</v>
      </c>
    </row>
    <row r="20">
      <c r="B20" s="31" t="s">
        <v>287</v>
      </c>
      <c r="C20" s="31" t="s">
        <v>476</v>
      </c>
      <c r="E20" s="81">
        <v>1</v>
      </c>
      <c r="F20" s="81">
        <v>2</v>
      </c>
      <c r="G20" s="81">
        <v>3</v>
      </c>
      <c r="H20" s="81">
        <v>4</v>
      </c>
      <c r="I20" s="81">
        <v>5</v>
      </c>
      <c r="J20" s="81">
        <v>6</v>
      </c>
      <c r="K20" s="81">
        <v>7</v>
      </c>
      <c r="L20" s="81">
        <v>8</v>
      </c>
      <c r="M20" s="81">
        <v>9</v>
      </c>
      <c r="N20" s="81">
        <v>10</v>
      </c>
      <c r="O20" s="81">
        <v>11</v>
      </c>
    </row>
    <row r="21">
      <c r="B21" s="7" t="s">
        <v>335</v>
      </c>
      <c r="C21" s="32" t="s">
        <v>476</v>
      </c>
      <c r="E21" s="27">
        <f>E$20</f>
        <v>1</v>
      </c>
      <c r="F21" s="27">
        <f>F$20</f>
        <v>2</v>
      </c>
      <c r="G21" s="27">
        <f>G$20</f>
        <v>3</v>
      </c>
      <c r="H21" s="27">
        <f>H$20</f>
        <v>4</v>
      </c>
      <c r="I21" s="27">
        <f>I$20</f>
        <v>5</v>
      </c>
      <c r="J21" s="27">
        <f>J$20</f>
        <v>6</v>
      </c>
      <c r="K21" s="27">
        <f>K$20</f>
        <v>7</v>
      </c>
      <c r="L21" s="27">
        <f>L$20</f>
        <v>8</v>
      </c>
      <c r="M21" s="27">
        <f>M$20</f>
        <v>9</v>
      </c>
      <c r="N21" s="27">
        <f>N$20</f>
        <v>10</v>
      </c>
      <c r="O21" s="27">
        <f>O$20</f>
        <v>11</v>
      </c>
    </row>
    <row r="22">
      <c r="B22" s="7" t="s">
        <v>597</v>
      </c>
      <c r="C22" s="32" t="s">
        <v>598</v>
      </c>
      <c r="E22" s="28">
        <f>IF(E$20&lt;=in_HoldYears,INDEX('Debt'!$E$40:$E$171,12*(E$20-1)+1),0)</f>
        <v>5621400</v>
      </c>
      <c r="F22" s="28">
        <f>IF(F$20&lt;=in_HoldYears,INDEX('Debt'!$E$40:$E$171,12*(F$20-1)+1),0)</f>
        <v>5561981.592439948</v>
      </c>
      <c r="G22" s="28">
        <f>IF(G$20&lt;=in_HoldYears,INDEX('Debt'!$E$40:$E$171,12*(G$20-1)+1),0)</f>
        <v>5498398.787277638</v>
      </c>
      <c r="H22" s="28">
        <f>IF(H$20&lt;=in_HoldYears,INDEX('Debt'!$E$40:$E$171,12*(H$20-1)+1),0)</f>
        <v>5430359.718606497</v>
      </c>
      <c r="I22" s="28">
        <f>IF(I$20&lt;=in_HoldYears,INDEX('Debt'!$E$40:$E$171,12*(I$20-1)+1),0)</f>
        <v>5357552.064810495</v>
      </c>
      <c r="J22" s="28">
        <f>IF(J$20&lt;=in_HoldYears,INDEX('Debt'!$E$40:$E$171,12*(J$20-1)+1),0)</f>
        <v>5279641.6149055995</v>
      </c>
      <c r="K22" s="28">
        <f>IF(K$20&lt;=in_HoldYears,INDEX('Debt'!$E$40:$E$171,12*(K$20-1)+1),0)</f>
        <v>5196270.734401874</v>
      </c>
      <c r="L22" s="28">
        <f>IF(L$20&lt;=in_HoldYears,INDEX('Debt'!$E$40:$E$171,12*(L$20-1)+1),0)</f>
        <v>0</v>
      </c>
      <c r="M22" s="28">
        <f>IF(M$20&lt;=in_HoldYears,INDEX('Debt'!$E$40:$E$171,12*(M$20-1)+1),0)</f>
        <v>0</v>
      </c>
      <c r="N22" s="28">
        <f>IF(N$20&lt;=in_HoldYears,INDEX('Debt'!$E$40:$E$171,12*(N$20-1)+1),0)</f>
        <v>0</v>
      </c>
      <c r="O22" s="28">
        <f>IF(O$20&lt;=in_HoldYears,INDEX('Debt'!$E$40:$E$171,12*(O$20-1)+1),0)</f>
        <v>0</v>
      </c>
    </row>
    <row r="23">
      <c r="B23" s="7" t="s">
        <v>599</v>
      </c>
      <c r="C23" s="32" t="s">
        <v>558</v>
      </c>
      <c r="E23" s="28">
        <f>'Model Calc'!E45</f>
        <v>380037.46726147406</v>
      </c>
      <c r="F23" s="28">
        <f>'Model Calc'!F45</f>
        <v>375873.069659217</v>
      </c>
      <c r="G23" s="28">
        <f>'Model Calc'!G45</f>
        <v>371416.8061503862</v>
      </c>
      <c r="H23" s="28">
        <f>'Model Calc'!H45</f>
        <v>366648.22102552355</v>
      </c>
      <c r="I23" s="28">
        <f>'Model Calc'!I45</f>
        <v>361545.4249166309</v>
      </c>
      <c r="J23" s="28">
        <f>'Model Calc'!J45</f>
        <v>356084.99431780016</v>
      </c>
      <c r="K23" s="28">
        <f>'Model Calc'!K45</f>
        <v>350241.8640636466</v>
      </c>
      <c r="L23" s="28">
        <f>'Model Calc'!L45</f>
        <v>0</v>
      </c>
      <c r="M23" s="28">
        <f>'Model Calc'!M45</f>
        <v>0</v>
      </c>
      <c r="N23" s="28">
        <f>'Model Calc'!N45</f>
        <v>0</v>
      </c>
      <c r="O23" s="28">
        <f>'Model Calc'!O45</f>
        <v>0</v>
      </c>
    </row>
    <row r="24">
      <c r="B24" s="7" t="s">
        <v>600</v>
      </c>
      <c r="C24" s="32" t="s">
        <v>560</v>
      </c>
      <c r="E24" s="28">
        <f>'Model Calc'!E46</f>
        <v>59418.40756005212</v>
      </c>
      <c r="F24" s="28">
        <f>'Model Calc'!F46</f>
        <v>63582.80516230906</v>
      </c>
      <c r="G24" s="28">
        <f>'Model Calc'!G46</f>
        <v>68039.06867113973</v>
      </c>
      <c r="H24" s="28">
        <f>'Model Calc'!H46</f>
        <v>72807.65379600236</v>
      </c>
      <c r="I24" s="28">
        <f>'Model Calc'!I46</f>
        <v>77910.4499048949</v>
      </c>
      <c r="J24" s="28">
        <f>'Model Calc'!J46</f>
        <v>83370.88050372562</v>
      </c>
      <c r="K24" s="28">
        <f>'Model Calc'!K46</f>
        <v>89214.01075787915</v>
      </c>
      <c r="L24" s="28">
        <f>'Model Calc'!L46</f>
        <v>0</v>
      </c>
      <c r="M24" s="28">
        <f>'Model Calc'!M46</f>
        <v>0</v>
      </c>
      <c r="N24" s="28">
        <f>'Model Calc'!N46</f>
        <v>0</v>
      </c>
      <c r="O24" s="28">
        <f>'Model Calc'!O46</f>
        <v>0</v>
      </c>
    </row>
    <row r="25">
      <c r="B25" s="7" t="s">
        <v>601</v>
      </c>
      <c r="C25" s="32" t="s">
        <v>602</v>
      </c>
      <c r="E25" s="28">
        <f>E23+E24</f>
        <v>439455.8748215262</v>
      </c>
      <c r="F25" s="28">
        <f>F23+F24</f>
        <v>439455.8748215261</v>
      </c>
      <c r="G25" s="28">
        <f>G23+G24</f>
        <v>439455.87482152594</v>
      </c>
      <c r="H25" s="28">
        <f>H23+H24</f>
        <v>439455.8748215259</v>
      </c>
      <c r="I25" s="28">
        <f>I23+I24</f>
        <v>439455.87482152577</v>
      </c>
      <c r="J25" s="28">
        <f>J23+J24</f>
        <v>439455.87482152577</v>
      </c>
      <c r="K25" s="28">
        <f>K23+K24</f>
        <v>439455.87482152577</v>
      </c>
      <c r="L25" s="28">
        <f>L23+L24</f>
        <v>0</v>
      </c>
      <c r="M25" s="28">
        <f>M23+M24</f>
        <v>0</v>
      </c>
      <c r="N25" s="28">
        <f>N23+N24</f>
        <v>0</v>
      </c>
      <c r="O25" s="28">
        <f>O23+O24</f>
        <v>0</v>
      </c>
    </row>
    <row r="26">
      <c r="B26" s="7" t="s">
        <v>603</v>
      </c>
      <c r="C26" s="32" t="s">
        <v>604</v>
      </c>
      <c r="E26" s="28">
        <f>IF(E$20&lt;=in_HoldYears,'Model Calc'!E47,0)</f>
        <v>5561981.592439948</v>
      </c>
      <c r="F26" s="28">
        <f>IF(F$20&lt;=in_HoldYears,'Model Calc'!F47,0)</f>
        <v>5498398.787277638</v>
      </c>
      <c r="G26" s="28">
        <f>IF(G$20&lt;=in_HoldYears,'Model Calc'!G47,0)</f>
        <v>5430359.718606497</v>
      </c>
      <c r="H26" s="28">
        <f>IF(H$20&lt;=in_HoldYears,'Model Calc'!H47,0)</f>
        <v>5357552.064810495</v>
      </c>
      <c r="I26" s="28">
        <f>IF(I$20&lt;=in_HoldYears,'Model Calc'!I47,0)</f>
        <v>5279641.6149055995</v>
      </c>
      <c r="J26" s="28">
        <f>IF(J$20&lt;=in_HoldYears,'Model Calc'!J47,0)</f>
        <v>5196270.734401874</v>
      </c>
      <c r="K26" s="28">
        <f>IF(K$20&lt;=in_HoldYears,'Model Calc'!K47,0)</f>
        <v>5107056.723643995</v>
      </c>
      <c r="L26" s="28">
        <f>IF(L$20&lt;=in_HoldYears,'Model Calc'!L47,0)</f>
        <v>0</v>
      </c>
      <c r="M26" s="28">
        <f>IF(M$20&lt;=in_HoldYears,'Model Calc'!M47,0)</f>
        <v>0</v>
      </c>
      <c r="N26" s="28">
        <f>IF(N$20&lt;=in_HoldYears,'Model Calc'!N47,0)</f>
        <v>0</v>
      </c>
      <c r="O26" s="28">
        <f>IF(O$20&lt;=in_HoldYears,'Model Calc'!O47,0)</f>
        <v>0</v>
      </c>
    </row>
    <row r="27">
      <c r="B27" s="7" t="s">
        <v>605</v>
      </c>
      <c r="C27" s="32" t="s">
        <v>606</v>
      </c>
      <c r="E27" s="87">
        <f>IF(AND(E$20&lt;=in_HoldYears,E25&gt;0),'Cash Flow'!E37/E25,"")</f>
        <v>2.164785427348354</v>
      </c>
      <c r="F27" s="87">
        <f>IF(AND(F$20&lt;=in_HoldYears,F25&gt;0),'Cash Flow'!F37/F25,"")</f>
        <v>2.183569478123495</v>
      </c>
      <c r="G27" s="87">
        <f>IF(AND(G$20&lt;=in_HoldYears,G25&gt;0),'Cash Flow'!G37/G25,"")</f>
        <v>2.13063948818772</v>
      </c>
      <c r="H27" s="87">
        <f>IF(AND(H$20&lt;=in_HoldYears,H25&gt;0),'Cash Flow'!H37/H25,"")</f>
        <v>2.103635887092661</v>
      </c>
      <c r="I27" s="87">
        <f>IF(AND(I$20&lt;=in_HoldYears,I25&gt;0),'Cash Flow'!I37/I25,"")</f>
        <v>2.063371532800878</v>
      </c>
      <c r="J27" s="87">
        <f>IF(AND(J$20&lt;=in_HoldYears,J25&gt;0),'Cash Flow'!J37/J25,"")</f>
        <v>2.085805766140345</v>
      </c>
      <c r="K27" s="87">
        <f>IF(AND(K$20&lt;=in_HoldYears,K25&gt;0),'Cash Flow'!K37/K25,"")</f>
        <v>2.119968398124512</v>
      </c>
      <c r="L27" s="87" t="str">
        <f>IF(AND(L$20&lt;=in_HoldYears,L25&gt;0),'Cash Flow'!L37/L25,"")</f>
        <v/>
      </c>
      <c r="M27" s="87" t="str">
        <f>IF(AND(M$20&lt;=in_HoldYears,M25&gt;0),'Cash Flow'!M37/M25,"")</f>
        <v/>
      </c>
      <c r="N27" s="87" t="str">
        <f>IF(AND(N$20&lt;=in_HoldYears,N25&gt;0),'Cash Flow'!N37/N25,"")</f>
        <v/>
      </c>
      <c r="O27" s="87" t="str">
        <f>IF(AND(O$20&lt;=in_HoldYears,O25&gt;0),'Cash Flow'!O37/O25,"")</f>
        <v/>
      </c>
    </row>
    <row r="28">
      <c r="B28" s="7" t="s">
        <v>607</v>
      </c>
      <c r="C28" s="32" t="s">
        <v>608</v>
      </c>
      <c r="E28" s="88">
        <f>IF(AND(E$20&lt;=in_HoldYears,E22&gt;0),'Cash Flow'!E37/E22,"")</f>
        <v>0.16923322904903804</v>
      </c>
      <c r="F28" s="88">
        <f>IF(AND(F$20&lt;=in_HoldYears,F22&gt;0),'Cash Flow'!F37/F22,"")</f>
        <v>0.1725252806565638</v>
      </c>
      <c r="G28" s="88">
        <f>IF(AND(G$20&lt;=in_HoldYears,G22&gt;0),'Cash Flow'!G37/G22,"")</f>
        <v>0.170289947389286</v>
      </c>
      <c r="H28" s="88">
        <f>IF(AND(H$20&lt;=in_HoldYears,H22&gt;0),'Cash Flow'!H37/H22,"")</f>
        <v>0.1702382893532308</v>
      </c>
      <c r="I28" s="88">
        <f>IF(AND(I$20&lt;=in_HoldYears,I22&gt;0),'Cash Flow'!I37/I22,"")</f>
        <v>0.16924907701497363</v>
      </c>
      <c r="J28" s="88">
        <f>IF(AND(J$20&lt;=in_HoldYears,J22&gt;0),'Cash Flow'!J37/J22,"")</f>
        <v>0.17361398074429288</v>
      </c>
      <c r="K28" s="88">
        <f>IF(AND(K$20&lt;=in_HoldYears,K22&gt;0),'Cash Flow'!K37/K22,"")</f>
        <v>0.179288688871411</v>
      </c>
      <c r="L28" s="88" t="str">
        <f>IF(AND(L$20&lt;=in_HoldYears,L22&gt;0),'Cash Flow'!L37/L22,"")</f>
        <v/>
      </c>
      <c r="M28" s="88" t="str">
        <f>IF(AND(M$20&lt;=in_HoldYears,M22&gt;0),'Cash Flow'!M37/M22,"")</f>
        <v/>
      </c>
      <c r="N28" s="88" t="str">
        <f>IF(AND(N$20&lt;=in_HoldYears,N22&gt;0),'Cash Flow'!N37/N22,"")</f>
        <v/>
      </c>
      <c r="O28" s="88" t="str">
        <f>IF(AND(O$20&lt;=in_HoldYears,O22&gt;0),'Cash Flow'!O37/O22,"")</f>
        <v/>
      </c>
    </row>
    <row r="38">
      <c r="C38" s="6" t="s">
        <v>609</v>
      </c>
    </row>
    <row r="39">
      <c r="B39" s="64" t="s">
        <v>610</v>
      </c>
      <c r="C39" s="64" t="s">
        <v>611</v>
      </c>
      <c r="D39" s="64" t="s">
        <v>476</v>
      </c>
      <c r="E39" s="64" t="s">
        <v>598</v>
      </c>
      <c r="F39" s="64" t="s">
        <v>558</v>
      </c>
      <c r="G39" s="64" t="s">
        <v>560</v>
      </c>
      <c r="H39" s="64" t="s">
        <v>612</v>
      </c>
      <c r="I39" s="64" t="s">
        <v>604</v>
      </c>
      <c r="J39" s="64" t="s">
        <v>26</v>
      </c>
    </row>
    <row r="40">
      <c r="B40" s="25">
        <v>1</v>
      </c>
      <c r="C40" s="57">
        <f>EOMONTH(in_AnalysisStart,B40-1)</f>
        <v>46418</v>
      </c>
      <c r="D40" s="89">
        <f>INT((B40-1)/12)+1</f>
        <v>1</v>
      </c>
      <c r="E40" s="28">
        <f>out_LoanAmount</f>
        <v>5621400</v>
      </c>
      <c r="F40" s="28">
        <f>E40*(J40*a_DayFactor/12)</f>
        <v>31822.06875</v>
      </c>
      <c r="G40" s="28">
        <f>IF(OR(B40&lt;=ROUND(in_IOYears*12,0),E40&lt;=0,(in_AmortYears*12-MAX(0,B40-1-ROUND(in_IOYears*12,0)))&lt;=0),0,MIN(E40,IF((J40*a_DayFactor/12)=0,E40/(in_AmortYears*12-MAX(0,B40-1-ROUND(in_IOYears*12,0))),E40*(J40*a_DayFactor/12)/(1-(1+(J40*a_DayFactor/12))^(-(in_AmortYears*12-MAX(0,B40-1-ROUND(in_IOYears*12,0))))))-F40))</f>
        <v>4799.254151793852</v>
      </c>
      <c r="H40" s="28">
        <f>F40+G40</f>
        <v>36621.32290179385</v>
      </c>
      <c r="I40" s="28">
        <f>E40-G40</f>
        <v>5616600.745848206</v>
      </c>
      <c r="J40" s="88">
        <f>IF(a_RateType="Floating",MAX(0,IF(a_FloatStrike&gt;0,MIN(a_FloatStrike,IF(a_FloatFloor&gt;0,MAX(a_FloatFloor,(a_FloatIndex+a_FloatDrift*(B40-1)/12)),(a_FloatIndex+a_FloatDrift*(B40-1)/12))),IF(a_FloatFloor&gt;0,MAX(a_FloatFloor,(a_FloatIndex+a_FloatDrift*(B40-1)/12)),(a_FloatIndex+a_FloatDrift*(B40-1)/12)))+a_FloatSpread),in_InterestRate)</f>
        <v>0.067</v>
      </c>
    </row>
    <row r="41">
      <c r="B41" s="25">
        <v>2</v>
      </c>
      <c r="C41" s="57">
        <f>EOMONTH(in_AnalysisStart,B41-1)</f>
        <v>46446</v>
      </c>
      <c r="D41" s="89">
        <f>INT((B41-1)/12)+1</f>
        <v>1</v>
      </c>
      <c r="E41" s="28">
        <f>I40</f>
        <v>5616600.745848206</v>
      </c>
      <c r="F41" s="28">
        <f>E41*(J41*a_DayFactor/12)</f>
        <v>31794.90074993469</v>
      </c>
      <c r="G41" s="28">
        <f>IF(OR(B41&lt;=ROUND(in_IOYears*12,0),E41&lt;=0,(in_AmortYears*12-MAX(0,B41-1-ROUND(in_IOYears*12,0)))&lt;=0),0,MIN(E41,IF((J41*a_DayFactor/12)=0,E41/(in_AmortYears*12-MAX(0,B41-1-ROUND(in_IOYears*12,0))),E41*(J41*a_DayFactor/12)/(1-(1+(J41*a_DayFactor/12))^(-(in_AmortYears*12-MAX(0,B41-1-ROUND(in_IOYears*12,0))))))-F41))</f>
        <v>4826.4221518591585</v>
      </c>
      <c r="H41" s="28">
        <f>F41+G41</f>
        <v>36621.32290179385</v>
      </c>
      <c r="I41" s="28">
        <f>E41-G41</f>
        <v>5611774.323696347</v>
      </c>
      <c r="J41" s="88">
        <f>IF(a_RateType="Floating",MAX(0,IF(a_FloatStrike&gt;0,MIN(a_FloatStrike,IF(a_FloatFloor&gt;0,MAX(a_FloatFloor,(a_FloatIndex+a_FloatDrift*(B41-1)/12)),(a_FloatIndex+a_FloatDrift*(B41-1)/12))),IF(a_FloatFloor&gt;0,MAX(a_FloatFloor,(a_FloatIndex+a_FloatDrift*(B41-1)/12)),(a_FloatIndex+a_FloatDrift*(B41-1)/12)))+a_FloatSpread),in_InterestRate)</f>
        <v>0.067</v>
      </c>
    </row>
    <row r="42">
      <c r="B42" s="25">
        <v>3</v>
      </c>
      <c r="C42" s="57">
        <f>EOMONTH(in_AnalysisStart,B42-1)</f>
        <v>46477</v>
      </c>
      <c r="D42" s="89">
        <f>INT((B42-1)/12)+1</f>
        <v>1</v>
      </c>
      <c r="E42" s="28">
        <f>I41</f>
        <v>5611774.323696347</v>
      </c>
      <c r="F42" s="28">
        <f>E42*(J42*a_DayFactor/12)</f>
        <v>31767.57895509124</v>
      </c>
      <c r="G42" s="28">
        <f>IF(OR(B42&lt;=ROUND(in_IOYears*12,0),E42&lt;=0,(in_AmortYears*12-MAX(0,B42-1-ROUND(in_IOYears*12,0)))&lt;=0),0,MIN(E42,IF((J42*a_DayFactor/12)=0,E42/(in_AmortYears*12-MAX(0,B42-1-ROUND(in_IOYears*12,0))),E42*(J42*a_DayFactor/12)/(1-(1+(J42*a_DayFactor/12))^(-(in_AmortYears*12-MAX(0,B42-1-ROUND(in_IOYears*12,0))))))-F42))</f>
        <v>4853.743946702609</v>
      </c>
      <c r="H42" s="28">
        <f>F42+G42</f>
        <v>36621.32290179385</v>
      </c>
      <c r="I42" s="28">
        <f>E42-G42</f>
        <v>5606920.579749645</v>
      </c>
      <c r="J42" s="88">
        <f>IF(a_RateType="Floating",MAX(0,IF(a_FloatStrike&gt;0,MIN(a_FloatStrike,IF(a_FloatFloor&gt;0,MAX(a_FloatFloor,(a_FloatIndex+a_FloatDrift*(B42-1)/12)),(a_FloatIndex+a_FloatDrift*(B42-1)/12))),IF(a_FloatFloor&gt;0,MAX(a_FloatFloor,(a_FloatIndex+a_FloatDrift*(B42-1)/12)),(a_FloatIndex+a_FloatDrift*(B42-1)/12)))+a_FloatSpread),in_InterestRate)</f>
        <v>0.067</v>
      </c>
    </row>
    <row r="43">
      <c r="B43" s="25">
        <v>4</v>
      </c>
      <c r="C43" s="57">
        <f>EOMONTH(in_AnalysisStart,B43-1)</f>
        <v>46507</v>
      </c>
      <c r="D43" s="89">
        <f>INT((B43-1)/12)+1</f>
        <v>1</v>
      </c>
      <c r="E43" s="28">
        <f>I42</f>
        <v>5606920.579749645</v>
      </c>
      <c r="F43" s="28">
        <f>E43*(J43*a_DayFactor/12)</f>
        <v>31740.102494855917</v>
      </c>
      <c r="G43" s="28">
        <f>IF(OR(B43&lt;=ROUND(in_IOYears*12,0),E43&lt;=0,(in_AmortYears*12-MAX(0,B43-1-ROUND(in_IOYears*12,0)))&lt;=0),0,MIN(E43,IF((J43*a_DayFactor/12)=0,E43/(in_AmortYears*12-MAX(0,B43-1-ROUND(in_IOYears*12,0))),E43*(J43*a_DayFactor/12)/(1-(1+(J43*a_DayFactor/12))^(-(in_AmortYears*12-MAX(0,B43-1-ROUND(in_IOYears*12,0))))))-F43))</f>
        <v>4881.220406937933</v>
      </c>
      <c r="H43" s="28">
        <f>F43+G43</f>
        <v>36621.32290179385</v>
      </c>
      <c r="I43" s="28">
        <f>E43-G43</f>
        <v>5602039.359342706</v>
      </c>
      <c r="J43" s="88">
        <f>IF(a_RateType="Floating",MAX(0,IF(a_FloatStrike&gt;0,MIN(a_FloatStrike,IF(a_FloatFloor&gt;0,MAX(a_FloatFloor,(a_FloatIndex+a_FloatDrift*(B43-1)/12)),(a_FloatIndex+a_FloatDrift*(B43-1)/12))),IF(a_FloatFloor&gt;0,MAX(a_FloatFloor,(a_FloatIndex+a_FloatDrift*(B43-1)/12)),(a_FloatIndex+a_FloatDrift*(B43-1)/12)))+a_FloatSpread),in_InterestRate)</f>
        <v>0.067</v>
      </c>
    </row>
    <row r="44">
      <c r="B44" s="25">
        <v>5</v>
      </c>
      <c r="C44" s="57">
        <f>EOMONTH(in_AnalysisStart,B44-1)</f>
        <v>46538</v>
      </c>
      <c r="D44" s="89">
        <f>INT((B44-1)/12)+1</f>
        <v>1</v>
      </c>
      <c r="E44" s="28">
        <f>I43</f>
        <v>5602039.359342706</v>
      </c>
      <c r="F44" s="28">
        <f>E44*(J44*a_DayFactor/12)</f>
        <v>31712.470493686546</v>
      </c>
      <c r="G44" s="28">
        <f>IF(OR(B44&lt;=ROUND(in_IOYears*12,0),E44&lt;=0,(in_AmortYears*12-MAX(0,B44-1-ROUND(in_IOYears*12,0)))&lt;=0),0,MIN(E44,IF((J44*a_DayFactor/12)=0,E44/(in_AmortYears*12-MAX(0,B44-1-ROUND(in_IOYears*12,0))),E44*(J44*a_DayFactor/12)/(1-(1+(J44*a_DayFactor/12))^(-(in_AmortYears*12-MAX(0,B44-1-ROUND(in_IOYears*12,0))))))-F44))</f>
        <v>4908.852408107305</v>
      </c>
      <c r="H44" s="28">
        <f>F44+G44</f>
        <v>36621.32290179385</v>
      </c>
      <c r="I44" s="28">
        <f>E44-G44</f>
        <v>5597130.506934599</v>
      </c>
      <c r="J44" s="88">
        <f>IF(a_RateType="Floating",MAX(0,IF(a_FloatStrike&gt;0,MIN(a_FloatStrike,IF(a_FloatFloor&gt;0,MAX(a_FloatFloor,(a_FloatIndex+a_FloatDrift*(B44-1)/12)),(a_FloatIndex+a_FloatDrift*(B44-1)/12))),IF(a_FloatFloor&gt;0,MAX(a_FloatFloor,(a_FloatIndex+a_FloatDrift*(B44-1)/12)),(a_FloatIndex+a_FloatDrift*(B44-1)/12)))+a_FloatSpread),in_InterestRate)</f>
        <v>0.067</v>
      </c>
    </row>
    <row r="45">
      <c r="B45" s="25">
        <v>6</v>
      </c>
      <c r="C45" s="57">
        <f>EOMONTH(in_AnalysisStart,B45-1)</f>
        <v>46568</v>
      </c>
      <c r="D45" s="89">
        <f>INT((B45-1)/12)+1</f>
        <v>1</v>
      </c>
      <c r="E45" s="28">
        <f>I44</f>
        <v>5597130.506934599</v>
      </c>
      <c r="F45" s="28">
        <f>E45*(J45*a_DayFactor/12)</f>
        <v>31684.682071084633</v>
      </c>
      <c r="G45" s="28">
        <f>IF(OR(B45&lt;=ROUND(in_IOYears*12,0),E45&lt;=0,(in_AmortYears*12-MAX(0,B45-1-ROUND(in_IOYears*12,0)))&lt;=0),0,MIN(E45,IF((J45*a_DayFactor/12)=0,E45/(in_AmortYears*12-MAX(0,B45-1-ROUND(in_IOYears*12,0))),E45*(J45*a_DayFactor/12)/(1-(1+(J45*a_DayFactor/12))^(-(in_AmortYears*12-MAX(0,B45-1-ROUND(in_IOYears*12,0))))))-F45))</f>
        <v>4936.640830709217</v>
      </c>
      <c r="H45" s="28">
        <f>F45+G45</f>
        <v>36621.32290179385</v>
      </c>
      <c r="I45" s="28">
        <f>E45-G45</f>
        <v>5592193.866103889</v>
      </c>
      <c r="J45" s="88">
        <f>IF(a_RateType="Floating",MAX(0,IF(a_FloatStrike&gt;0,MIN(a_FloatStrike,IF(a_FloatFloor&gt;0,MAX(a_FloatFloor,(a_FloatIndex+a_FloatDrift*(B45-1)/12)),(a_FloatIndex+a_FloatDrift*(B45-1)/12))),IF(a_FloatFloor&gt;0,MAX(a_FloatFloor,(a_FloatIndex+a_FloatDrift*(B45-1)/12)),(a_FloatIndex+a_FloatDrift*(B45-1)/12)))+a_FloatSpread),in_InterestRate)</f>
        <v>0.067</v>
      </c>
    </row>
    <row r="46">
      <c r="B46" s="25">
        <v>7</v>
      </c>
      <c r="C46" s="57">
        <f>EOMONTH(in_AnalysisStart,B46-1)</f>
        <v>46599</v>
      </c>
      <c r="D46" s="89">
        <f>INT((B46-1)/12)+1</f>
        <v>1</v>
      </c>
      <c r="E46" s="28">
        <f>I45</f>
        <v>5592193.866103889</v>
      </c>
      <c r="F46" s="28">
        <f>E46*(J46*a_DayFactor/12)</f>
        <v>31656.73634156727</v>
      </c>
      <c r="G46" s="28">
        <f>IF(OR(B46&lt;=ROUND(in_IOYears*12,0),E46&lt;=0,(in_AmortYears*12-MAX(0,B46-1-ROUND(in_IOYears*12,0)))&lt;=0),0,MIN(E46,IF((J46*a_DayFactor/12)=0,E46/(in_AmortYears*12-MAX(0,B46-1-ROUND(in_IOYears*12,0))),E46*(J46*a_DayFactor/12)/(1-(1+(J46*a_DayFactor/12))^(-(in_AmortYears*12-MAX(0,B46-1-ROUND(in_IOYears*12,0))))))-F46))</f>
        <v>4964.586560226573</v>
      </c>
      <c r="H46" s="28">
        <f>F46+G46</f>
        <v>36621.32290179384</v>
      </c>
      <c r="I46" s="28">
        <f>E46-G46</f>
        <v>5587229.279543662</v>
      </c>
      <c r="J46" s="88">
        <f>IF(a_RateType="Floating",MAX(0,IF(a_FloatStrike&gt;0,MIN(a_FloatStrike,IF(a_FloatFloor&gt;0,MAX(a_FloatFloor,(a_FloatIndex+a_FloatDrift*(B46-1)/12)),(a_FloatIndex+a_FloatDrift*(B46-1)/12))),IF(a_FloatFloor&gt;0,MAX(a_FloatFloor,(a_FloatIndex+a_FloatDrift*(B46-1)/12)),(a_FloatIndex+a_FloatDrift*(B46-1)/12)))+a_FloatSpread),in_InterestRate)</f>
        <v>0.067</v>
      </c>
    </row>
    <row r="47">
      <c r="B47" s="25">
        <v>8</v>
      </c>
      <c r="C47" s="57">
        <f>EOMONTH(in_AnalysisStart,B47-1)</f>
        <v>46630</v>
      </c>
      <c r="D47" s="89">
        <f>INT((B47-1)/12)+1</f>
        <v>1</v>
      </c>
      <c r="E47" s="28">
        <f>I46</f>
        <v>5587229.279543662</v>
      </c>
      <c r="F47" s="28">
        <f>E47*(J47*a_DayFactor/12)</f>
        <v>31628.63241463895</v>
      </c>
      <c r="G47" s="28">
        <f>IF(OR(B47&lt;=ROUND(in_IOYears*12,0),E47&lt;=0,(in_AmortYears*12-MAX(0,B47-1-ROUND(in_IOYears*12,0)))&lt;=0),0,MIN(E47,IF((J47*a_DayFactor/12)=0,E47/(in_AmortYears*12-MAX(0,B47-1-ROUND(in_IOYears*12,0))),E47*(J47*a_DayFactor/12)/(1-(1+(J47*a_DayFactor/12))^(-(in_AmortYears*12-MAX(0,B47-1-ROUND(in_IOYears*12,0))))))-F47))</f>
        <v>4992.690487154894</v>
      </c>
      <c r="H47" s="28">
        <f>F47+G47</f>
        <v>36621.32290179384</v>
      </c>
      <c r="I47" s="28">
        <f>E47-G47</f>
        <v>5582236.589056508</v>
      </c>
      <c r="J47" s="88">
        <f>IF(a_RateType="Floating",MAX(0,IF(a_FloatStrike&gt;0,MIN(a_FloatStrike,IF(a_FloatFloor&gt;0,MAX(a_FloatFloor,(a_FloatIndex+a_FloatDrift*(B47-1)/12)),(a_FloatIndex+a_FloatDrift*(B47-1)/12))),IF(a_FloatFloor&gt;0,MAX(a_FloatFloor,(a_FloatIndex+a_FloatDrift*(B47-1)/12)),(a_FloatIndex+a_FloatDrift*(B47-1)/12)))+a_FloatSpread),in_InterestRate)</f>
        <v>0.067</v>
      </c>
    </row>
    <row r="48">
      <c r="B48" s="25">
        <v>9</v>
      </c>
      <c r="C48" s="57">
        <f>EOMONTH(in_AnalysisStart,B48-1)</f>
        <v>46660</v>
      </c>
      <c r="D48" s="89">
        <f>INT((B48-1)/12)+1</f>
        <v>1</v>
      </c>
      <c r="E48" s="28">
        <f>I47</f>
        <v>5582236.589056508</v>
      </c>
      <c r="F48" s="28">
        <f>E48*(J48*a_DayFactor/12)</f>
        <v>31600.36939476317</v>
      </c>
      <c r="G48" s="28">
        <f>IF(OR(B48&lt;=ROUND(in_IOYears*12,0),E48&lt;=0,(in_AmortYears*12-MAX(0,B48-1-ROUND(in_IOYears*12,0)))&lt;=0),0,MIN(E48,IF((J48*a_DayFactor/12)=0,E48/(in_AmortYears*12-MAX(0,B48-1-ROUND(in_IOYears*12,0))),E48*(J48*a_DayFactor/12)/(1-(1+(J48*a_DayFactor/12))^(-(in_AmortYears*12-MAX(0,B48-1-ROUND(in_IOYears*12,0))))))-F48))</f>
        <v>5020.953507030674</v>
      </c>
      <c r="H48" s="28">
        <f>F48+G48</f>
        <v>36621.32290179384</v>
      </c>
      <c r="I48" s="28">
        <f>E48-G48</f>
        <v>5577215.635549477</v>
      </c>
      <c r="J48" s="88">
        <f>IF(a_RateType="Floating",MAX(0,IF(a_FloatStrike&gt;0,MIN(a_FloatStrike,IF(a_FloatFloor&gt;0,MAX(a_FloatFloor,(a_FloatIndex+a_FloatDrift*(B48-1)/12)),(a_FloatIndex+a_FloatDrift*(B48-1)/12))),IF(a_FloatFloor&gt;0,MAX(a_FloatFloor,(a_FloatIndex+a_FloatDrift*(B48-1)/12)),(a_FloatIndex+a_FloatDrift*(B48-1)/12)))+a_FloatSpread),in_InterestRate)</f>
        <v>0.067</v>
      </c>
    </row>
    <row r="49">
      <c r="B49" s="25">
        <v>10</v>
      </c>
      <c r="C49" s="57">
        <f>EOMONTH(in_AnalysisStart,B49-1)</f>
        <v>46691</v>
      </c>
      <c r="D49" s="89">
        <f>INT((B49-1)/12)+1</f>
        <v>1</v>
      </c>
      <c r="E49" s="28">
        <f>I48</f>
        <v>5577215.635549477</v>
      </c>
      <c r="F49" s="28">
        <f>E49*(J49*a_DayFactor/12)</f>
        <v>31571.946381333903</v>
      </c>
      <c r="G49" s="28">
        <f>IF(OR(B49&lt;=ROUND(in_IOYears*12,0),E49&lt;=0,(in_AmortYears*12-MAX(0,B49-1-ROUND(in_IOYears*12,0)))&lt;=0),0,MIN(E49,IF((J49*a_DayFactor/12)=0,E49/(in_AmortYears*12-MAX(0,B49-1-ROUND(in_IOYears*12,0))),E49*(J49*a_DayFactor/12)/(1-(1+(J49*a_DayFactor/12))^(-(in_AmortYears*12-MAX(0,B49-1-ROUND(in_IOYears*12,0))))))-F49))</f>
        <v>5049.376520459948</v>
      </c>
      <c r="H49" s="28">
        <f>F49+G49</f>
        <v>36621.32290179385</v>
      </c>
      <c r="I49" s="28">
        <f>E49-G49</f>
        <v>5572166.259029018</v>
      </c>
      <c r="J49" s="88">
        <f>IF(a_RateType="Floating",MAX(0,IF(a_FloatStrike&gt;0,MIN(a_FloatStrike,IF(a_FloatFloor&gt;0,MAX(a_FloatFloor,(a_FloatIndex+a_FloatDrift*(B49-1)/12)),(a_FloatIndex+a_FloatDrift*(B49-1)/12))),IF(a_FloatFloor&gt;0,MAX(a_FloatFloor,(a_FloatIndex+a_FloatDrift*(B49-1)/12)),(a_FloatIndex+a_FloatDrift*(B49-1)/12)))+a_FloatSpread),in_InterestRate)</f>
        <v>0.067</v>
      </c>
    </row>
    <row r="50">
      <c r="B50" s="25">
        <v>11</v>
      </c>
      <c r="C50" s="57">
        <f>EOMONTH(in_AnalysisStart,B50-1)</f>
        <v>46721</v>
      </c>
      <c r="D50" s="89">
        <f>INT((B50-1)/12)+1</f>
        <v>1</v>
      </c>
      <c r="E50" s="28">
        <f>I49</f>
        <v>5572166.259029018</v>
      </c>
      <c r="F50" s="28">
        <f>E50*(J50*a_DayFactor/12)</f>
        <v>31543.362468646905</v>
      </c>
      <c r="G50" s="28">
        <f>IF(OR(B50&lt;=ROUND(in_IOYears*12,0),E50&lt;=0,(in_AmortYears*12-MAX(0,B50-1-ROUND(in_IOYears*12,0)))&lt;=0),0,MIN(E50,IF((J50*a_DayFactor/12)=0,E50/(in_AmortYears*12-MAX(0,B50-1-ROUND(in_IOYears*12,0))),E50*(J50*a_DayFactor/12)/(1-(1+(J50*a_DayFactor/12))^(-(in_AmortYears*12-MAX(0,B50-1-ROUND(in_IOYears*12,0))))))-F50))</f>
        <v>5077.960433146945</v>
      </c>
      <c r="H50" s="28">
        <f>F50+G50</f>
        <v>36621.32290179385</v>
      </c>
      <c r="I50" s="28">
        <f>E50-G50</f>
        <v>5567088.298595871</v>
      </c>
      <c r="J50" s="88">
        <f>IF(a_RateType="Floating",MAX(0,IF(a_FloatStrike&gt;0,MIN(a_FloatStrike,IF(a_FloatFloor&gt;0,MAX(a_FloatFloor,(a_FloatIndex+a_FloatDrift*(B50-1)/12)),(a_FloatIndex+a_FloatDrift*(B50-1)/12))),IF(a_FloatFloor&gt;0,MAX(a_FloatFloor,(a_FloatIndex+a_FloatDrift*(B50-1)/12)),(a_FloatIndex+a_FloatDrift*(B50-1)/12)))+a_FloatSpread),in_InterestRate)</f>
        <v>0.067</v>
      </c>
    </row>
    <row r="51">
      <c r="B51" s="25">
        <v>12</v>
      </c>
      <c r="C51" s="57">
        <f>EOMONTH(in_AnalysisStart,B51-1)</f>
        <v>46752</v>
      </c>
      <c r="D51" s="89">
        <f>INT((B51-1)/12)+1</f>
        <v>1</v>
      </c>
      <c r="E51" s="28">
        <f>I50</f>
        <v>5567088.298595871</v>
      </c>
      <c r="F51" s="28">
        <f>E51*(J51*a_DayFactor/12)</f>
        <v>31514.616745870837</v>
      </c>
      <c r="G51" s="28">
        <f>IF(OR(B51&lt;=ROUND(in_IOYears*12,0),E51&lt;=0,(in_AmortYears*12-MAX(0,B51-1-ROUND(in_IOYears*12,0)))&lt;=0),0,MIN(E51,IF((J51*a_DayFactor/12)=0,E51/(in_AmortYears*12-MAX(0,B51-1-ROUND(in_IOYears*12,0))),E51*(J51*a_DayFactor/12)/(1-(1+(J51*a_DayFactor/12))^(-(in_AmortYears*12-MAX(0,B51-1-ROUND(in_IOYears*12,0))))))-F51))</f>
        <v>5106.706155923006</v>
      </c>
      <c r="H51" s="28">
        <f>F51+G51</f>
        <v>36621.32290179384</v>
      </c>
      <c r="I51" s="28">
        <f>E51-G51</f>
        <v>5561981.592439948</v>
      </c>
      <c r="J51" s="88">
        <f>IF(a_RateType="Floating",MAX(0,IF(a_FloatStrike&gt;0,MIN(a_FloatStrike,IF(a_FloatFloor&gt;0,MAX(a_FloatFloor,(a_FloatIndex+a_FloatDrift*(B51-1)/12)),(a_FloatIndex+a_FloatDrift*(B51-1)/12))),IF(a_FloatFloor&gt;0,MAX(a_FloatFloor,(a_FloatIndex+a_FloatDrift*(B51-1)/12)),(a_FloatIndex+a_FloatDrift*(B51-1)/12)))+a_FloatSpread),in_InterestRate)</f>
        <v>0.067</v>
      </c>
    </row>
    <row r="52">
      <c r="B52" s="25">
        <v>13</v>
      </c>
      <c r="C52" s="57">
        <f>EOMONTH(in_AnalysisStart,B52-1)</f>
        <v>46783</v>
      </c>
      <c r="D52" s="89">
        <f>INT((B52-1)/12)+1</f>
        <v>2</v>
      </c>
      <c r="E52" s="28">
        <f>I51</f>
        <v>5561981.592439948</v>
      </c>
      <c r="F52" s="28">
        <f>E52*(J52*a_DayFactor/12)</f>
        <v>31485.708297018267</v>
      </c>
      <c r="G52" s="28">
        <f>IF(OR(B52&lt;=ROUND(in_IOYears*12,0),E52&lt;=0,(in_AmortYears*12-MAX(0,B52-1-ROUND(in_IOYears*12,0)))&lt;=0),0,MIN(E52,IF((J52*a_DayFactor/12)=0,E52/(in_AmortYears*12-MAX(0,B52-1-ROUND(in_IOYears*12,0))),E52*(J52*a_DayFactor/12)/(1-(1+(J52*a_DayFactor/12))^(-(in_AmortYears*12-MAX(0,B52-1-ROUND(in_IOYears*12,0))))))-F52))</f>
        <v>5135.614604775583</v>
      </c>
      <c r="H52" s="28">
        <f>F52+G52</f>
        <v>36621.32290179385</v>
      </c>
      <c r="I52" s="28">
        <f>E52-G52</f>
        <v>5556845.977835172</v>
      </c>
      <c r="J52" s="88">
        <f>IF(a_RateType="Floating",MAX(0,IF(a_FloatStrike&gt;0,MIN(a_FloatStrike,IF(a_FloatFloor&gt;0,MAX(a_FloatFloor,(a_FloatIndex+a_FloatDrift*(B52-1)/12)),(a_FloatIndex+a_FloatDrift*(B52-1)/12))),IF(a_FloatFloor&gt;0,MAX(a_FloatFloor,(a_FloatIndex+a_FloatDrift*(B52-1)/12)),(a_FloatIndex+a_FloatDrift*(B52-1)/12)))+a_FloatSpread),in_InterestRate)</f>
        <v>0.067</v>
      </c>
    </row>
    <row r="53">
      <c r="B53" s="25">
        <v>14</v>
      </c>
      <c r="C53" s="57">
        <f>EOMONTH(in_AnalysisStart,B53-1)</f>
        <v>46812</v>
      </c>
      <c r="D53" s="89">
        <f>INT((B53-1)/12)+1</f>
        <v>2</v>
      </c>
      <c r="E53" s="28">
        <f>I52</f>
        <v>5556845.977835172</v>
      </c>
      <c r="F53" s="28">
        <f>E53*(J53*a_DayFactor/12)</f>
        <v>31456.636200916462</v>
      </c>
      <c r="G53" s="28">
        <f>IF(OR(B53&lt;=ROUND(in_IOYears*12,0),E53&lt;=0,(in_AmortYears*12-MAX(0,B53-1-ROUND(in_IOYears*12,0)))&lt;=0),0,MIN(E53,IF((J53*a_DayFactor/12)=0,E53/(in_AmortYears*12-MAX(0,B53-1-ROUND(in_IOYears*12,0))),E53*(J53*a_DayFactor/12)/(1-(1+(J53*a_DayFactor/12))^(-(in_AmortYears*12-MAX(0,B53-1-ROUND(in_IOYears*12,0))))))-F53))</f>
        <v>5164.686700877381</v>
      </c>
      <c r="H53" s="28">
        <f>F53+G53</f>
        <v>36621.32290179384</v>
      </c>
      <c r="I53" s="28">
        <f>E53-G53</f>
        <v>5551681.291134294</v>
      </c>
      <c r="J53" s="88">
        <f>IF(a_RateType="Floating",MAX(0,IF(a_FloatStrike&gt;0,MIN(a_FloatStrike,IF(a_FloatFloor&gt;0,MAX(a_FloatFloor,(a_FloatIndex+a_FloatDrift*(B53-1)/12)),(a_FloatIndex+a_FloatDrift*(B53-1)/12))),IF(a_FloatFloor&gt;0,MAX(a_FloatFloor,(a_FloatIndex+a_FloatDrift*(B53-1)/12)),(a_FloatIndex+a_FloatDrift*(B53-1)/12)))+a_FloatSpread),in_InterestRate)</f>
        <v>0.067</v>
      </c>
    </row>
    <row r="54">
      <c r="B54" s="25">
        <v>15</v>
      </c>
      <c r="C54" s="57">
        <f>EOMONTH(in_AnalysisStart,B54-1)</f>
        <v>46843</v>
      </c>
      <c r="D54" s="89">
        <f>INT((B54-1)/12)+1</f>
        <v>2</v>
      </c>
      <c r="E54" s="28">
        <f>I53</f>
        <v>5551681.291134294</v>
      </c>
      <c r="F54" s="28">
        <f>E54*(J54*a_DayFactor/12)</f>
        <v>31427.399531178045</v>
      </c>
      <c r="G54" s="28">
        <f>IF(OR(B54&lt;=ROUND(in_IOYears*12,0),E54&lt;=0,(in_AmortYears*12-MAX(0,B54-1-ROUND(in_IOYears*12,0)))&lt;=0),0,MIN(E54,IF((J54*a_DayFactor/12)=0,E54/(in_AmortYears*12-MAX(0,B54-1-ROUND(in_IOYears*12,0))),E54*(J54*a_DayFactor/12)/(1-(1+(J54*a_DayFactor/12))^(-(in_AmortYears*12-MAX(0,B54-1-ROUND(in_IOYears*12,0))))))-F54))</f>
        <v>5193.9233706157975</v>
      </c>
      <c r="H54" s="28">
        <f>F54+G54</f>
        <v>36621.32290179384</v>
      </c>
      <c r="I54" s="28">
        <f>E54-G54</f>
        <v>5546487.367763679</v>
      </c>
      <c r="J54" s="88">
        <f>IF(a_RateType="Floating",MAX(0,IF(a_FloatStrike&gt;0,MIN(a_FloatStrike,IF(a_FloatFloor&gt;0,MAX(a_FloatFloor,(a_FloatIndex+a_FloatDrift*(B54-1)/12)),(a_FloatIndex+a_FloatDrift*(B54-1)/12))),IF(a_FloatFloor&gt;0,MAX(a_FloatFloor,(a_FloatIndex+a_FloatDrift*(B54-1)/12)),(a_FloatIndex+a_FloatDrift*(B54-1)/12)))+a_FloatSpread),in_InterestRate)</f>
        <v>0.067</v>
      </c>
    </row>
    <row r="55">
      <c r="B55" s="25">
        <v>16</v>
      </c>
      <c r="C55" s="57">
        <f>EOMONTH(in_AnalysisStart,B55-1)</f>
        <v>46873</v>
      </c>
      <c r="D55" s="89">
        <f>INT((B55-1)/12)+1</f>
        <v>2</v>
      </c>
      <c r="E55" s="28">
        <f>I54</f>
        <v>5546487.367763679</v>
      </c>
      <c r="F55" s="28">
        <f>E55*(J55*a_DayFactor/12)</f>
        <v>31397.997356171472</v>
      </c>
      <c r="G55" s="28">
        <f>IF(OR(B55&lt;=ROUND(in_IOYears*12,0),E55&lt;=0,(in_AmortYears*12-MAX(0,B55-1-ROUND(in_IOYears*12,0)))&lt;=0),0,MIN(E55,IF((J55*a_DayFactor/12)=0,E55/(in_AmortYears*12-MAX(0,B55-1-ROUND(in_IOYears*12,0))),E55*(J55*a_DayFactor/12)/(1-(1+(J55*a_DayFactor/12))^(-(in_AmortYears*12-MAX(0,B55-1-ROUND(in_IOYears*12,0))))))-F55))</f>
        <v>5223.325545622371</v>
      </c>
      <c r="H55" s="28">
        <f>F55+G55</f>
        <v>36621.32290179384</v>
      </c>
      <c r="I55" s="28">
        <f>E55-G55</f>
        <v>5541264.0422180565</v>
      </c>
      <c r="J55" s="88">
        <f>IF(a_RateType="Floating",MAX(0,IF(a_FloatStrike&gt;0,MIN(a_FloatStrike,IF(a_FloatFloor&gt;0,MAX(a_FloatFloor,(a_FloatIndex+a_FloatDrift*(B55-1)/12)),(a_FloatIndex+a_FloatDrift*(B55-1)/12))),IF(a_FloatFloor&gt;0,MAX(a_FloatFloor,(a_FloatIndex+a_FloatDrift*(B55-1)/12)),(a_FloatIndex+a_FloatDrift*(B55-1)/12)))+a_FloatSpread),in_InterestRate)</f>
        <v>0.067</v>
      </c>
    </row>
    <row r="56">
      <c r="B56" s="25">
        <v>17</v>
      </c>
      <c r="C56" s="57">
        <f>EOMONTH(in_AnalysisStart,B56-1)</f>
        <v>46904</v>
      </c>
      <c r="D56" s="89">
        <f>INT((B56-1)/12)+1</f>
        <v>2</v>
      </c>
      <c r="E56" s="28">
        <f>I55</f>
        <v>5541264.0422180565</v>
      </c>
      <c r="F56" s="28">
        <f>E56*(J56*a_DayFactor/12)</f>
        <v>31368.428738991333</v>
      </c>
      <c r="G56" s="28">
        <f>IF(OR(B56&lt;=ROUND(in_IOYears*12,0),E56&lt;=0,(in_AmortYears*12-MAX(0,B56-1-ROUND(in_IOYears*12,0)))&lt;=0),0,MIN(E56,IF((J56*a_DayFactor/12)=0,E56/(in_AmortYears*12-MAX(0,B56-1-ROUND(in_IOYears*12,0))),E56*(J56*a_DayFactor/12)/(1-(1+(J56*a_DayFactor/12))^(-(in_AmortYears*12-MAX(0,B56-1-ROUND(in_IOYears*12,0))))))-F56))</f>
        <v>5252.8941628025095</v>
      </c>
      <c r="H56" s="28">
        <f>F56+G56</f>
        <v>36621.32290179384</v>
      </c>
      <c r="I56" s="28">
        <f>E56-G56</f>
        <v>5536011.148055254</v>
      </c>
      <c r="J56" s="88">
        <f>IF(a_RateType="Floating",MAX(0,IF(a_FloatStrike&gt;0,MIN(a_FloatStrike,IF(a_FloatFloor&gt;0,MAX(a_FloatFloor,(a_FloatIndex+a_FloatDrift*(B56-1)/12)),(a_FloatIndex+a_FloatDrift*(B56-1)/12))),IF(a_FloatFloor&gt;0,MAX(a_FloatFloor,(a_FloatIndex+a_FloatDrift*(B56-1)/12)),(a_FloatIndex+a_FloatDrift*(B56-1)/12)))+a_FloatSpread),in_InterestRate)</f>
        <v>0.067</v>
      </c>
    </row>
    <row r="57">
      <c r="B57" s="25">
        <v>18</v>
      </c>
      <c r="C57" s="57">
        <f>EOMONTH(in_AnalysisStart,B57-1)</f>
        <v>46934</v>
      </c>
      <c r="D57" s="89">
        <f>INT((B57-1)/12)+1</f>
        <v>2</v>
      </c>
      <c r="E57" s="28">
        <f>I56</f>
        <v>5536011.148055254</v>
      </c>
      <c r="F57" s="28">
        <f>E57*(J57*a_DayFactor/12)</f>
        <v>31338.692737428522</v>
      </c>
      <c r="G57" s="28">
        <f>IF(OR(B57&lt;=ROUND(in_IOYears*12,0),E57&lt;=0,(in_AmortYears*12-MAX(0,B57-1-ROUND(in_IOYears*12,0)))&lt;=0),0,MIN(E57,IF((J57*a_DayFactor/12)=0,E57/(in_AmortYears*12-MAX(0,B57-1-ROUND(in_IOYears*12,0))),E57*(J57*a_DayFactor/12)/(1-(1+(J57*a_DayFactor/12))^(-(in_AmortYears*12-MAX(0,B57-1-ROUND(in_IOYears*12,0))))))-F57))</f>
        <v>5282.6301643653205</v>
      </c>
      <c r="H57" s="28">
        <f>F57+G57</f>
        <v>36621.32290179384</v>
      </c>
      <c r="I57" s="28">
        <f>E57-G57</f>
        <v>5530728.517890888</v>
      </c>
      <c r="J57" s="88">
        <f>IF(a_RateType="Floating",MAX(0,IF(a_FloatStrike&gt;0,MIN(a_FloatStrike,IF(a_FloatFloor&gt;0,MAX(a_FloatFloor,(a_FloatIndex+a_FloatDrift*(B57-1)/12)),(a_FloatIndex+a_FloatDrift*(B57-1)/12))),IF(a_FloatFloor&gt;0,MAX(a_FloatFloor,(a_FloatIndex+a_FloatDrift*(B57-1)/12)),(a_FloatIndex+a_FloatDrift*(B57-1)/12)))+a_FloatSpread),in_InterestRate)</f>
        <v>0.067</v>
      </c>
    </row>
    <row r="58">
      <c r="B58" s="25">
        <v>19</v>
      </c>
      <c r="C58" s="57">
        <f>EOMONTH(in_AnalysisStart,B58-1)</f>
        <v>46965</v>
      </c>
      <c r="D58" s="89">
        <f>INT((B58-1)/12)+1</f>
        <v>2</v>
      </c>
      <c r="E58" s="28">
        <f>I57</f>
        <v>5530728.517890888</v>
      </c>
      <c r="F58" s="28">
        <f>E58*(J58*a_DayFactor/12)</f>
        <v>31308.7884039402</v>
      </c>
      <c r="G58" s="28">
        <f>IF(OR(B58&lt;=ROUND(in_IOYears*12,0),E58&lt;=0,(in_AmortYears*12-MAX(0,B58-1-ROUND(in_IOYears*12,0)))&lt;=0),0,MIN(E58,IF((J58*a_DayFactor/12)=0,E58/(in_AmortYears*12-MAX(0,B58-1-ROUND(in_IOYears*12,0))),E58*(J58*a_DayFactor/12)/(1-(1+(J58*a_DayFactor/12))^(-(in_AmortYears*12-MAX(0,B58-1-ROUND(in_IOYears*12,0))))))-F58))</f>
        <v>5312.534497853641</v>
      </c>
      <c r="H58" s="28">
        <f>F58+G58</f>
        <v>36621.32290179384</v>
      </c>
      <c r="I58" s="28">
        <f>E58-G58</f>
        <v>5525415.983393035</v>
      </c>
      <c r="J58" s="88">
        <f>IF(a_RateType="Floating",MAX(0,IF(a_FloatStrike&gt;0,MIN(a_FloatStrike,IF(a_FloatFloor&gt;0,MAX(a_FloatFloor,(a_FloatIndex+a_FloatDrift*(B58-1)/12)),(a_FloatIndex+a_FloatDrift*(B58-1)/12))),IF(a_FloatFloor&gt;0,MAX(a_FloatFloor,(a_FloatIndex+a_FloatDrift*(B58-1)/12)),(a_FloatIndex+a_FloatDrift*(B58-1)/12)))+a_FloatSpread),in_InterestRate)</f>
        <v>0.067</v>
      </c>
    </row>
    <row r="59">
      <c r="B59" s="25">
        <v>20</v>
      </c>
      <c r="C59" s="57">
        <f>EOMONTH(in_AnalysisStart,B59-1)</f>
        <v>46996</v>
      </c>
      <c r="D59" s="89">
        <f>INT((B59-1)/12)+1</f>
        <v>2</v>
      </c>
      <c r="E59" s="28">
        <f>I58</f>
        <v>5525415.983393035</v>
      </c>
      <c r="F59" s="28">
        <f>E59*(J59*a_DayFactor/12)</f>
        <v>31278.7147856196</v>
      </c>
      <c r="G59" s="28">
        <f>IF(OR(B59&lt;=ROUND(in_IOYears*12,0),E59&lt;=0,(in_AmortYears*12-MAX(0,B59-1-ROUND(in_IOYears*12,0)))&lt;=0),0,MIN(E59,IF((J59*a_DayFactor/12)=0,E59/(in_AmortYears*12-MAX(0,B59-1-ROUND(in_IOYears*12,0))),E59*(J59*a_DayFactor/12)/(1-(1+(J59*a_DayFactor/12))^(-(in_AmortYears*12-MAX(0,B59-1-ROUND(in_IOYears*12,0))))))-F59))</f>
        <v>5342.608116174244</v>
      </c>
      <c r="H59" s="28">
        <f>F59+G59</f>
        <v>36621.32290179384</v>
      </c>
      <c r="I59" s="28">
        <f>E59-G59</f>
        <v>5520073.375276861</v>
      </c>
      <c r="J59" s="88">
        <f>IF(a_RateType="Floating",MAX(0,IF(a_FloatStrike&gt;0,MIN(a_FloatStrike,IF(a_FloatFloor&gt;0,MAX(a_FloatFloor,(a_FloatIndex+a_FloatDrift*(B59-1)/12)),(a_FloatIndex+a_FloatDrift*(B59-1)/12))),IF(a_FloatFloor&gt;0,MAX(a_FloatFloor,(a_FloatIndex+a_FloatDrift*(B59-1)/12)),(a_FloatIndex+a_FloatDrift*(B59-1)/12)))+a_FloatSpread),in_InterestRate)</f>
        <v>0.067</v>
      </c>
    </row>
    <row r="60">
      <c r="B60" s="25">
        <v>21</v>
      </c>
      <c r="C60" s="57">
        <f>EOMONTH(in_AnalysisStart,B60-1)</f>
        <v>47026</v>
      </c>
      <c r="D60" s="89">
        <f>INT((B60-1)/12)+1</f>
        <v>2</v>
      </c>
      <c r="E60" s="28">
        <f>I59</f>
        <v>5520073.375276861</v>
      </c>
      <c r="F60" s="28">
        <f>E60*(J60*a_DayFactor/12)</f>
        <v>31248.470924165653</v>
      </c>
      <c r="G60" s="28">
        <f>IF(OR(B60&lt;=ROUND(in_IOYears*12,0),E60&lt;=0,(in_AmortYears*12-MAX(0,B60-1-ROUND(in_IOYears*12,0)))&lt;=0),0,MIN(E60,IF((J60*a_DayFactor/12)=0,E60/(in_AmortYears*12-MAX(0,B60-1-ROUND(in_IOYears*12,0))),E60*(J60*a_DayFactor/12)/(1-(1+(J60*a_DayFactor/12))^(-(in_AmortYears*12-MAX(0,B60-1-ROUND(in_IOYears*12,0))))))-F60))</f>
        <v>5372.85197762819</v>
      </c>
      <c r="H60" s="28">
        <f>F60+G60</f>
        <v>36621.32290179384</v>
      </c>
      <c r="I60" s="28">
        <f>E60-G60</f>
        <v>5514700.523299232</v>
      </c>
      <c r="J60" s="88">
        <f>IF(a_RateType="Floating",MAX(0,IF(a_FloatStrike&gt;0,MIN(a_FloatStrike,IF(a_FloatFloor&gt;0,MAX(a_FloatFloor,(a_FloatIndex+a_FloatDrift*(B60-1)/12)),(a_FloatIndex+a_FloatDrift*(B60-1)/12))),IF(a_FloatFloor&gt;0,MAX(a_FloatFloor,(a_FloatIndex+a_FloatDrift*(B60-1)/12)),(a_FloatIndex+a_FloatDrift*(B60-1)/12)))+a_FloatSpread),in_InterestRate)</f>
        <v>0.067</v>
      </c>
    </row>
    <row r="61">
      <c r="B61" s="25">
        <v>22</v>
      </c>
      <c r="C61" s="57">
        <f>EOMONTH(in_AnalysisStart,B61-1)</f>
        <v>47057</v>
      </c>
      <c r="D61" s="89">
        <f>INT((B61-1)/12)+1</f>
        <v>2</v>
      </c>
      <c r="E61" s="28">
        <f>I60</f>
        <v>5514700.523299232</v>
      </c>
      <c r="F61" s="28">
        <f>E61*(J61*a_DayFactor/12)</f>
        <v>31218.05585585248</v>
      </c>
      <c r="G61" s="28">
        <f>IF(OR(B61&lt;=ROUND(in_IOYears*12,0),E61&lt;=0,(in_AmortYears*12-MAX(0,B61-1-ROUND(in_IOYears*12,0)))&lt;=0),0,MIN(E61,IF((J61*a_DayFactor/12)=0,E61/(in_AmortYears*12-MAX(0,B61-1-ROUND(in_IOYears*12,0))),E61*(J61*a_DayFactor/12)/(1-(1+(J61*a_DayFactor/12))^(-(in_AmortYears*12-MAX(0,B61-1-ROUND(in_IOYears*12,0))))))-F61))</f>
        <v>5403.267045941357</v>
      </c>
      <c r="H61" s="28">
        <f>F61+G61</f>
        <v>36621.322901793836</v>
      </c>
      <c r="I61" s="28">
        <f>E61-G61</f>
        <v>5509297.256253291</v>
      </c>
      <c r="J61" s="88">
        <f>IF(a_RateType="Floating",MAX(0,IF(a_FloatStrike&gt;0,MIN(a_FloatStrike,IF(a_FloatFloor&gt;0,MAX(a_FloatFloor,(a_FloatIndex+a_FloatDrift*(B61-1)/12)),(a_FloatIndex+a_FloatDrift*(B61-1)/12))),IF(a_FloatFloor&gt;0,MAX(a_FloatFloor,(a_FloatIndex+a_FloatDrift*(B61-1)/12)),(a_FloatIndex+a_FloatDrift*(B61-1)/12)))+a_FloatSpread),in_InterestRate)</f>
        <v>0.067</v>
      </c>
    </row>
    <row r="62">
      <c r="B62" s="25">
        <v>23</v>
      </c>
      <c r="C62" s="57">
        <f>EOMONTH(in_AnalysisStart,B62-1)</f>
        <v>47087</v>
      </c>
      <c r="D62" s="89">
        <f>INT((B62-1)/12)+1</f>
        <v>2</v>
      </c>
      <c r="E62" s="28">
        <f>I61</f>
        <v>5509297.256253291</v>
      </c>
      <c r="F62" s="28">
        <f>E62*(J62*a_DayFactor/12)</f>
        <v>31187.46861149866</v>
      </c>
      <c r="G62" s="28">
        <f>IF(OR(B62&lt;=ROUND(in_IOYears*12,0),E62&lt;=0,(in_AmortYears*12-MAX(0,B62-1-ROUND(in_IOYears*12,0)))&lt;=0),0,MIN(E62,IF((J62*a_DayFactor/12)=0,E62/(in_AmortYears*12-MAX(0,B62-1-ROUND(in_IOYears*12,0))),E62*(J62*a_DayFactor/12)/(1-(1+(J62*a_DayFactor/12))^(-(in_AmortYears*12-MAX(0,B62-1-ROUND(in_IOYears*12,0))))))-F62))</f>
        <v>5433.854290295181</v>
      </c>
      <c r="H62" s="28">
        <f>F62+G62</f>
        <v>36621.32290179384</v>
      </c>
      <c r="I62" s="28">
        <f>E62-G62</f>
        <v>5503863.4019629955</v>
      </c>
      <c r="J62" s="88">
        <f>IF(a_RateType="Floating",MAX(0,IF(a_FloatStrike&gt;0,MIN(a_FloatStrike,IF(a_FloatFloor&gt;0,MAX(a_FloatFloor,(a_FloatIndex+a_FloatDrift*(B62-1)/12)),(a_FloatIndex+a_FloatDrift*(B62-1)/12))),IF(a_FloatFloor&gt;0,MAX(a_FloatFloor,(a_FloatIndex+a_FloatDrift*(B62-1)/12)),(a_FloatIndex+a_FloatDrift*(B62-1)/12)))+a_FloatSpread),in_InterestRate)</f>
        <v>0.067</v>
      </c>
    </row>
    <row r="63">
      <c r="B63" s="25">
        <v>24</v>
      </c>
      <c r="C63" s="57">
        <f>EOMONTH(in_AnalysisStart,B63-1)</f>
        <v>47118</v>
      </c>
      <c r="D63" s="89">
        <f>INT((B63-1)/12)+1</f>
        <v>2</v>
      </c>
      <c r="E63" s="28">
        <f>I62</f>
        <v>5503863.4019629955</v>
      </c>
      <c r="F63" s="28">
        <f>E63*(J63*a_DayFactor/12)</f>
        <v>31156.708216436353</v>
      </c>
      <c r="G63" s="28">
        <f>IF(OR(B63&lt;=ROUND(in_IOYears*12,0),E63&lt;=0,(in_AmortYears*12-MAX(0,B63-1-ROUND(in_IOYears*12,0)))&lt;=0),0,MIN(E63,IF((J63*a_DayFactor/12)=0,E63/(in_AmortYears*12-MAX(0,B63-1-ROUND(in_IOYears*12,0))),E63*(J63*a_DayFactor/12)/(1-(1+(J63*a_DayFactor/12))^(-(in_AmortYears*12-MAX(0,B63-1-ROUND(in_IOYears*12,0))))))-F63))</f>
        <v>5464.614685357483</v>
      </c>
      <c r="H63" s="28">
        <f>F63+G63</f>
        <v>36621.322901793836</v>
      </c>
      <c r="I63" s="28">
        <f>E63-G63</f>
        <v>5498398.787277638</v>
      </c>
      <c r="J63" s="88">
        <f>IF(a_RateType="Floating",MAX(0,IF(a_FloatStrike&gt;0,MIN(a_FloatStrike,IF(a_FloatFloor&gt;0,MAX(a_FloatFloor,(a_FloatIndex+a_FloatDrift*(B63-1)/12)),(a_FloatIndex+a_FloatDrift*(B63-1)/12))),IF(a_FloatFloor&gt;0,MAX(a_FloatFloor,(a_FloatIndex+a_FloatDrift*(B63-1)/12)),(a_FloatIndex+a_FloatDrift*(B63-1)/12)))+a_FloatSpread),in_InterestRate)</f>
        <v>0.067</v>
      </c>
    </row>
    <row r="64">
      <c r="B64" s="25">
        <v>25</v>
      </c>
      <c r="C64" s="57">
        <f>EOMONTH(in_AnalysisStart,B64-1)</f>
        <v>47149</v>
      </c>
      <c r="D64" s="89">
        <f>INT((B64-1)/12)+1</f>
        <v>3</v>
      </c>
      <c r="E64" s="28">
        <f>I63</f>
        <v>5498398.787277638</v>
      </c>
      <c r="F64" s="28">
        <f>E64*(J64*a_DayFactor/12)</f>
        <v>31125.77369048024</v>
      </c>
      <c r="G64" s="28">
        <f>IF(OR(B64&lt;=ROUND(in_IOYears*12,0),E64&lt;=0,(in_AmortYears*12-MAX(0,B64-1-ROUND(in_IOYears*12,0)))&lt;=0),0,MIN(E64,IF((J64*a_DayFactor/12)=0,E64/(in_AmortYears*12-MAX(0,B64-1-ROUND(in_IOYears*12,0))),E64*(J64*a_DayFactor/12)/(1-(1+(J64*a_DayFactor/12))^(-(in_AmortYears*12-MAX(0,B64-1-ROUND(in_IOYears*12,0))))))-F64))</f>
        <v>5495.549211313602</v>
      </c>
      <c r="H64" s="28">
        <f>F64+G64</f>
        <v>36621.32290179384</v>
      </c>
      <c r="I64" s="28">
        <f>E64-G64</f>
        <v>5492903.238066324</v>
      </c>
      <c r="J64" s="88">
        <f>IF(a_RateType="Floating",MAX(0,IF(a_FloatStrike&gt;0,MIN(a_FloatStrike,IF(a_FloatFloor&gt;0,MAX(a_FloatFloor,(a_FloatIndex+a_FloatDrift*(B64-1)/12)),(a_FloatIndex+a_FloatDrift*(B64-1)/12))),IF(a_FloatFloor&gt;0,MAX(a_FloatFloor,(a_FloatIndex+a_FloatDrift*(B64-1)/12)),(a_FloatIndex+a_FloatDrift*(B64-1)/12)))+a_FloatSpread),in_InterestRate)</f>
        <v>0.067</v>
      </c>
    </row>
    <row r="65">
      <c r="B65" s="25">
        <v>26</v>
      </c>
      <c r="C65" s="57">
        <f>EOMONTH(in_AnalysisStart,B65-1)</f>
        <v>47177</v>
      </c>
      <c r="D65" s="89">
        <f>INT((B65-1)/12)+1</f>
        <v>3</v>
      </c>
      <c r="E65" s="28">
        <f>I64</f>
        <v>5492903.238066324</v>
      </c>
      <c r="F65" s="28">
        <f>E65*(J65*a_DayFactor/12)</f>
        <v>31094.664047896284</v>
      </c>
      <c r="G65" s="28">
        <f>IF(OR(B65&lt;=ROUND(in_IOYears*12,0),E65&lt;=0,(in_AmortYears*12-MAX(0,B65-1-ROUND(in_IOYears*12,0)))&lt;=0),0,MIN(E65,IF((J65*a_DayFactor/12)=0,E65/(in_AmortYears*12-MAX(0,B65-1-ROUND(in_IOYears*12,0))),E65*(J65*a_DayFactor/12)/(1-(1+(J65*a_DayFactor/12))^(-(in_AmortYears*12-MAX(0,B65-1-ROUND(in_IOYears*12,0))))))-F65))</f>
        <v>5526.658853897552</v>
      </c>
      <c r="H65" s="28">
        <f>F65+G65</f>
        <v>36621.322901793836</v>
      </c>
      <c r="I65" s="28">
        <f>E65-G65</f>
        <v>5487376.579212426</v>
      </c>
      <c r="J65" s="88">
        <f>IF(a_RateType="Floating",MAX(0,IF(a_FloatStrike&gt;0,MIN(a_FloatStrike,IF(a_FloatFloor&gt;0,MAX(a_FloatFloor,(a_FloatIndex+a_FloatDrift*(B65-1)/12)),(a_FloatIndex+a_FloatDrift*(B65-1)/12))),IF(a_FloatFloor&gt;0,MAX(a_FloatFloor,(a_FloatIndex+a_FloatDrift*(B65-1)/12)),(a_FloatIndex+a_FloatDrift*(B65-1)/12)))+a_FloatSpread),in_InterestRate)</f>
        <v>0.067</v>
      </c>
    </row>
    <row r="66">
      <c r="B66" s="25">
        <v>27</v>
      </c>
      <c r="C66" s="57">
        <f>EOMONTH(in_AnalysisStart,B66-1)</f>
        <v>47208</v>
      </c>
      <c r="D66" s="89">
        <f>INT((B66-1)/12)+1</f>
        <v>3</v>
      </c>
      <c r="E66" s="28">
        <f>I65</f>
        <v>5487376.579212426</v>
      </c>
      <c r="F66" s="28">
        <f>E66*(J66*a_DayFactor/12)</f>
        <v>31063.378297370342</v>
      </c>
      <c r="G66" s="28">
        <f>IF(OR(B66&lt;=ROUND(in_IOYears*12,0),E66&lt;=0,(in_AmortYears*12-MAX(0,B66-1-ROUND(in_IOYears*12,0)))&lt;=0),0,MIN(E66,IF((J66*a_DayFactor/12)=0,E66/(in_AmortYears*12-MAX(0,B66-1-ROUND(in_IOYears*12,0))),E66*(J66*a_DayFactor/12)/(1-(1+(J66*a_DayFactor/12))^(-(in_AmortYears*12-MAX(0,B66-1-ROUND(in_IOYears*12,0))))))-F66))</f>
        <v>5557.944604423494</v>
      </c>
      <c r="H66" s="28">
        <f>F66+G66</f>
        <v>36621.322901793836</v>
      </c>
      <c r="I66" s="28">
        <f>E66-G66</f>
        <v>5481818.634608002</v>
      </c>
      <c r="J66" s="88">
        <f>IF(a_RateType="Floating",MAX(0,IF(a_FloatStrike&gt;0,MIN(a_FloatStrike,IF(a_FloatFloor&gt;0,MAX(a_FloatFloor,(a_FloatIndex+a_FloatDrift*(B66-1)/12)),(a_FloatIndex+a_FloatDrift*(B66-1)/12))),IF(a_FloatFloor&gt;0,MAX(a_FloatFloor,(a_FloatIndex+a_FloatDrift*(B66-1)/12)),(a_FloatIndex+a_FloatDrift*(B66-1)/12)))+a_FloatSpread),in_InterestRate)</f>
        <v>0.067</v>
      </c>
    </row>
    <row r="67">
      <c r="B67" s="25">
        <v>28</v>
      </c>
      <c r="C67" s="57">
        <f>EOMONTH(in_AnalysisStart,B67-1)</f>
        <v>47238</v>
      </c>
      <c r="D67" s="89">
        <f>INT((B67-1)/12)+1</f>
        <v>3</v>
      </c>
      <c r="E67" s="28">
        <f>I66</f>
        <v>5481818.634608002</v>
      </c>
      <c r="F67" s="28">
        <f>E67*(J67*a_DayFactor/12)</f>
        <v>31031.91544197655</v>
      </c>
      <c r="G67" s="28">
        <f>IF(OR(B67&lt;=ROUND(in_IOYears*12,0),E67&lt;=0,(in_AmortYears*12-MAX(0,B67-1-ROUND(in_IOYears*12,0)))&lt;=0),0,MIN(E67,IF((J67*a_DayFactor/12)=0,E67/(in_AmortYears*12-MAX(0,B67-1-ROUND(in_IOYears*12,0))),E67*(J67*a_DayFactor/12)/(1-(1+(J67*a_DayFactor/12))^(-(in_AmortYears*12-MAX(0,B67-1-ROUND(in_IOYears*12,0))))))-F67))</f>
        <v>5589.407459817277</v>
      </c>
      <c r="H67" s="28">
        <f>F67+G67</f>
        <v>36621.32290179383</v>
      </c>
      <c r="I67" s="28">
        <f>E67-G67</f>
        <v>5476229.2271481855</v>
      </c>
      <c r="J67" s="88">
        <f>IF(a_RateType="Floating",MAX(0,IF(a_FloatStrike&gt;0,MIN(a_FloatStrike,IF(a_FloatFloor&gt;0,MAX(a_FloatFloor,(a_FloatIndex+a_FloatDrift*(B67-1)/12)),(a_FloatIndex+a_FloatDrift*(B67-1)/12))),IF(a_FloatFloor&gt;0,MAX(a_FloatFloor,(a_FloatIndex+a_FloatDrift*(B67-1)/12)),(a_FloatIndex+a_FloatDrift*(B67-1)/12)))+a_FloatSpread),in_InterestRate)</f>
        <v>0.067</v>
      </c>
    </row>
    <row r="68">
      <c r="B68" s="25">
        <v>29</v>
      </c>
      <c r="C68" s="57">
        <f>EOMONTH(in_AnalysisStart,B68-1)</f>
        <v>47269</v>
      </c>
      <c r="D68" s="89">
        <f>INT((B68-1)/12)+1</f>
        <v>3</v>
      </c>
      <c r="E68" s="28">
        <f>I67</f>
        <v>5476229.2271481855</v>
      </c>
      <c r="F68" s="28">
        <f>E68*(J68*a_DayFactor/12)</f>
        <v>31000.274479145573</v>
      </c>
      <c r="G68" s="28">
        <f>IF(OR(B68&lt;=ROUND(in_IOYears*12,0),E68&lt;=0,(in_AmortYears*12-MAX(0,B68-1-ROUND(in_IOYears*12,0)))&lt;=0),0,MIN(E68,IF((J68*a_DayFactor/12)=0,E68/(in_AmortYears*12-MAX(0,B68-1-ROUND(in_IOYears*12,0))),E68*(J68*a_DayFactor/12)/(1-(1+(J68*a_DayFactor/12))^(-(in_AmortYears*12-MAX(0,B68-1-ROUND(in_IOYears*12,0))))))-F68))</f>
        <v>5621.048422648262</v>
      </c>
      <c r="H68" s="28">
        <f>F68+G68</f>
        <v>36621.322901793836</v>
      </c>
      <c r="I68" s="28">
        <f>E68-G68</f>
        <v>5470608.178725537</v>
      </c>
      <c r="J68" s="88">
        <f>IF(a_RateType="Floating",MAX(0,IF(a_FloatStrike&gt;0,MIN(a_FloatStrike,IF(a_FloatFloor&gt;0,MAX(a_FloatFloor,(a_FloatIndex+a_FloatDrift*(B68-1)/12)),(a_FloatIndex+a_FloatDrift*(B68-1)/12))),IF(a_FloatFloor&gt;0,MAX(a_FloatFloor,(a_FloatIndex+a_FloatDrift*(B68-1)/12)),(a_FloatIndex+a_FloatDrift*(B68-1)/12)))+a_FloatSpread),in_InterestRate)</f>
        <v>0.067</v>
      </c>
    </row>
    <row r="69">
      <c r="B69" s="25">
        <v>30</v>
      </c>
      <c r="C69" s="57">
        <f>EOMONTH(in_AnalysisStart,B69-1)</f>
        <v>47299</v>
      </c>
      <c r="D69" s="89">
        <f>INT((B69-1)/12)+1</f>
        <v>3</v>
      </c>
      <c r="E69" s="28">
        <f>I68</f>
        <v>5470608.178725537</v>
      </c>
      <c r="F69" s="28">
        <f>E69*(J69*a_DayFactor/12)</f>
        <v>30968.45440063264</v>
      </c>
      <c r="G69" s="28">
        <f>IF(OR(B69&lt;=ROUND(in_IOYears*12,0),E69&lt;=0,(in_AmortYears*12-MAX(0,B69-1-ROUND(in_IOYears*12,0)))&lt;=0),0,MIN(E69,IF((J69*a_DayFactor/12)=0,E69/(in_AmortYears*12-MAX(0,B69-1-ROUND(in_IOYears*12,0))),E69*(J69*a_DayFactor/12)/(1-(1+(J69*a_DayFactor/12))^(-(in_AmortYears*12-MAX(0,B69-1-ROUND(in_IOYears*12,0))))))-F69))</f>
        <v>5652.868501161189</v>
      </c>
      <c r="H69" s="28">
        <f>F69+G69</f>
        <v>36621.32290179383</v>
      </c>
      <c r="I69" s="28">
        <f>E69-G69</f>
        <v>5464955.310224376</v>
      </c>
      <c r="J69" s="88">
        <f>IF(a_RateType="Floating",MAX(0,IF(a_FloatStrike&gt;0,MIN(a_FloatStrike,IF(a_FloatFloor&gt;0,MAX(a_FloatFloor,(a_FloatIndex+a_FloatDrift*(B69-1)/12)),(a_FloatIndex+a_FloatDrift*(B69-1)/12))),IF(a_FloatFloor&gt;0,MAX(a_FloatFloor,(a_FloatIndex+a_FloatDrift*(B69-1)/12)),(a_FloatIndex+a_FloatDrift*(B69-1)/12)))+a_FloatSpread),in_InterestRate)</f>
        <v>0.067</v>
      </c>
    </row>
    <row r="70">
      <c r="B70" s="25">
        <v>31</v>
      </c>
      <c r="C70" s="57">
        <f>EOMONTH(in_AnalysisStart,B70-1)</f>
        <v>47330</v>
      </c>
      <c r="D70" s="89">
        <f>INT((B70-1)/12)+1</f>
        <v>3</v>
      </c>
      <c r="E70" s="28">
        <f>I69</f>
        <v>5464955.310224376</v>
      </c>
      <c r="F70" s="28">
        <f>E70*(J70*a_DayFactor/12)</f>
        <v>30936.454192485442</v>
      </c>
      <c r="G70" s="28">
        <f>IF(OR(B70&lt;=ROUND(in_IOYears*12,0),E70&lt;=0,(in_AmortYears*12-MAX(0,B70-1-ROUND(in_IOYears*12,0)))&lt;=0),0,MIN(E70,IF((J70*a_DayFactor/12)=0,E70/(in_AmortYears*12-MAX(0,B70-1-ROUND(in_IOYears*12,0))),E70*(J70*a_DayFactor/12)/(1-(1+(J70*a_DayFactor/12))^(-(in_AmortYears*12-MAX(0,B70-1-ROUND(in_IOYears*12,0))))))-F70))</f>
        <v>5684.868709308386</v>
      </c>
      <c r="H70" s="28">
        <f>F70+G70</f>
        <v>36621.32290179383</v>
      </c>
      <c r="I70" s="28">
        <f>E70-G70</f>
        <v>5459270.441515068</v>
      </c>
      <c r="J70" s="88">
        <f>IF(a_RateType="Floating",MAX(0,IF(a_FloatStrike&gt;0,MIN(a_FloatStrike,IF(a_FloatFloor&gt;0,MAX(a_FloatFloor,(a_FloatIndex+a_FloatDrift*(B70-1)/12)),(a_FloatIndex+a_FloatDrift*(B70-1)/12))),IF(a_FloatFloor&gt;0,MAX(a_FloatFloor,(a_FloatIndex+a_FloatDrift*(B70-1)/12)),(a_FloatIndex+a_FloatDrift*(B70-1)/12)))+a_FloatSpread),in_InterestRate)</f>
        <v>0.067</v>
      </c>
    </row>
    <row r="71">
      <c r="B71" s="25">
        <v>32</v>
      </c>
      <c r="C71" s="57">
        <f>EOMONTH(in_AnalysisStart,B71-1)</f>
        <v>47361</v>
      </c>
      <c r="D71" s="89">
        <f>INT((B71-1)/12)+1</f>
        <v>3</v>
      </c>
      <c r="E71" s="28">
        <f>I70</f>
        <v>5459270.441515068</v>
      </c>
      <c r="F71" s="28">
        <f>E71*(J71*a_DayFactor/12)</f>
        <v>30904.272835011798</v>
      </c>
      <c r="G71" s="28">
        <f>IF(OR(B71&lt;=ROUND(in_IOYears*12,0),E71&lt;=0,(in_AmortYears*12-MAX(0,B71-1-ROUND(in_IOYears*12,0)))&lt;=0),0,MIN(E71,IF((J71*a_DayFactor/12)=0,E71/(in_AmortYears*12-MAX(0,B71-1-ROUND(in_IOYears*12,0))),E71*(J71*a_DayFactor/12)/(1-(1+(J71*a_DayFactor/12))^(-(in_AmortYears*12-MAX(0,B71-1-ROUND(in_IOYears*12,0))))))-F71))</f>
        <v>5717.050066782031</v>
      </c>
      <c r="H71" s="28">
        <f>F71+G71</f>
        <v>36621.32290179383</v>
      </c>
      <c r="I71" s="28">
        <f>E71-G71</f>
        <v>5453553.391448285</v>
      </c>
      <c r="J71" s="88">
        <f>IF(a_RateType="Floating",MAX(0,IF(a_FloatStrike&gt;0,MIN(a_FloatStrike,IF(a_FloatFloor&gt;0,MAX(a_FloatFloor,(a_FloatIndex+a_FloatDrift*(B71-1)/12)),(a_FloatIndex+a_FloatDrift*(B71-1)/12))),IF(a_FloatFloor&gt;0,MAX(a_FloatFloor,(a_FloatIndex+a_FloatDrift*(B71-1)/12)),(a_FloatIndex+a_FloatDrift*(B71-1)/12)))+a_FloatSpread),in_InterestRate)</f>
        <v>0.067</v>
      </c>
    </row>
    <row r="72">
      <c r="B72" s="25">
        <v>33</v>
      </c>
      <c r="C72" s="57">
        <f>EOMONTH(in_AnalysisStart,B72-1)</f>
        <v>47391</v>
      </c>
      <c r="D72" s="89">
        <f>INT((B72-1)/12)+1</f>
        <v>3</v>
      </c>
      <c r="E72" s="28">
        <f>I71</f>
        <v>5453553.391448285</v>
      </c>
      <c r="F72" s="28">
        <f>E72*(J72*a_DayFactor/12)</f>
        <v>30871.90930274718</v>
      </c>
      <c r="G72" s="28">
        <f>IF(OR(B72&lt;=ROUND(in_IOYears*12,0),E72&lt;=0,(in_AmortYears*12-MAX(0,B72-1-ROUND(in_IOYears*12,0)))&lt;=0),0,MIN(E72,IF((J72*a_DayFactor/12)=0,E72/(in_AmortYears*12-MAX(0,B72-1-ROUND(in_IOYears*12,0))),E72*(J72*a_DayFactor/12)/(1-(1+(J72*a_DayFactor/12))^(-(in_AmortYears*12-MAX(0,B72-1-ROUND(in_IOYears*12,0))))))-F72))</f>
        <v>5749.413599046649</v>
      </c>
      <c r="H72" s="28">
        <f>F72+G72</f>
        <v>36621.32290179383</v>
      </c>
      <c r="I72" s="28">
        <f>E72-G72</f>
        <v>5447803.977849239</v>
      </c>
      <c r="J72" s="88">
        <f>IF(a_RateType="Floating",MAX(0,IF(a_FloatStrike&gt;0,MIN(a_FloatStrike,IF(a_FloatFloor&gt;0,MAX(a_FloatFloor,(a_FloatIndex+a_FloatDrift*(B72-1)/12)),(a_FloatIndex+a_FloatDrift*(B72-1)/12))),IF(a_FloatFloor&gt;0,MAX(a_FloatFloor,(a_FloatIndex+a_FloatDrift*(B72-1)/12)),(a_FloatIndex+a_FloatDrift*(B72-1)/12)))+a_FloatSpread),in_InterestRate)</f>
        <v>0.067</v>
      </c>
    </row>
    <row r="73">
      <c r="B73" s="25">
        <v>34</v>
      </c>
      <c r="C73" s="57">
        <f>EOMONTH(in_AnalysisStart,B73-1)</f>
        <v>47422</v>
      </c>
      <c r="D73" s="89">
        <f>INT((B73-1)/12)+1</f>
        <v>3</v>
      </c>
      <c r="E73" s="28">
        <f>I72</f>
        <v>5447803.977849239</v>
      </c>
      <c r="F73" s="28">
        <f>E73*(J73*a_DayFactor/12)</f>
        <v>30839.36256442202</v>
      </c>
      <c r="G73" s="28">
        <f>IF(OR(B73&lt;=ROUND(in_IOYears*12,0),E73&lt;=0,(in_AmortYears*12-MAX(0,B73-1-ROUND(in_IOYears*12,0)))&lt;=0),0,MIN(E73,IF((J73*a_DayFactor/12)=0,E73/(in_AmortYears*12-MAX(0,B73-1-ROUND(in_IOYears*12,0))),E73*(J73*a_DayFactor/12)/(1-(1+(J73*a_DayFactor/12))^(-(in_AmortYears*12-MAX(0,B73-1-ROUND(in_IOYears*12,0))))))-F73))</f>
        <v>5781.960337371809</v>
      </c>
      <c r="H73" s="28">
        <f>F73+G73</f>
        <v>36621.32290179383</v>
      </c>
      <c r="I73" s="28">
        <f>E73-G73</f>
        <v>5442022.017511867</v>
      </c>
      <c r="J73" s="88">
        <f>IF(a_RateType="Floating",MAX(0,IF(a_FloatStrike&gt;0,MIN(a_FloatStrike,IF(a_FloatFloor&gt;0,MAX(a_FloatFloor,(a_FloatIndex+a_FloatDrift*(B73-1)/12)),(a_FloatIndex+a_FloatDrift*(B73-1)/12))),IF(a_FloatFloor&gt;0,MAX(a_FloatFloor,(a_FloatIndex+a_FloatDrift*(B73-1)/12)),(a_FloatIndex+a_FloatDrift*(B73-1)/12)))+a_FloatSpread),in_InterestRate)</f>
        <v>0.067</v>
      </c>
    </row>
    <row r="74">
      <c r="B74" s="25">
        <v>35</v>
      </c>
      <c r="C74" s="57">
        <f>EOMONTH(in_AnalysisStart,B74-1)</f>
        <v>47452</v>
      </c>
      <c r="D74" s="89">
        <f>INT((B74-1)/12)+1</f>
        <v>3</v>
      </c>
      <c r="E74" s="28">
        <f>I73</f>
        <v>5442022.017511867</v>
      </c>
      <c r="F74" s="28">
        <f>E74*(J74*a_DayFactor/12)</f>
        <v>30806.631582928865</v>
      </c>
      <c r="G74" s="28">
        <f>IF(OR(B74&lt;=ROUND(in_IOYears*12,0),E74&lt;=0,(in_AmortYears*12-MAX(0,B74-1-ROUND(in_IOYears*12,0)))&lt;=0),0,MIN(E74,IF((J74*a_DayFactor/12)=0,E74/(in_AmortYears*12-MAX(0,B74-1-ROUND(in_IOYears*12,0))),E74*(J74*a_DayFactor/12)/(1-(1+(J74*a_DayFactor/12))^(-(in_AmortYears*12-MAX(0,B74-1-ROUND(in_IOYears*12,0))))))-F74))</f>
        <v>5814.691318864963</v>
      </c>
      <c r="H74" s="28">
        <f>F74+G74</f>
        <v>36621.32290179383</v>
      </c>
      <c r="I74" s="28">
        <f>E74-G74</f>
        <v>5436207.326193002</v>
      </c>
      <c r="J74" s="88">
        <f>IF(a_RateType="Floating",MAX(0,IF(a_FloatStrike&gt;0,MIN(a_FloatStrike,IF(a_FloatFloor&gt;0,MAX(a_FloatFloor,(a_FloatIndex+a_FloatDrift*(B74-1)/12)),(a_FloatIndex+a_FloatDrift*(B74-1)/12))),IF(a_FloatFloor&gt;0,MAX(a_FloatFloor,(a_FloatIndex+a_FloatDrift*(B74-1)/12)),(a_FloatIndex+a_FloatDrift*(B74-1)/12)))+a_FloatSpread),in_InterestRate)</f>
        <v>0.067</v>
      </c>
    </row>
    <row r="75">
      <c r="B75" s="25">
        <v>36</v>
      </c>
      <c r="C75" s="57">
        <f>EOMONTH(in_AnalysisStart,B75-1)</f>
        <v>47483</v>
      </c>
      <c r="D75" s="89">
        <f>INT((B75-1)/12)+1</f>
        <v>3</v>
      </c>
      <c r="E75" s="28">
        <f>I74</f>
        <v>5436207.326193002</v>
      </c>
      <c r="F75" s="28">
        <f>E75*(J75*a_DayFactor/12)</f>
        <v>30773.71531528932</v>
      </c>
      <c r="G75" s="28">
        <f>IF(OR(B75&lt;=ROUND(in_IOYears*12,0),E75&lt;=0,(in_AmortYears*12-MAX(0,B75-1-ROUND(in_IOYears*12,0)))&lt;=0),0,MIN(E75,IF((J75*a_DayFactor/12)=0,E75/(in_AmortYears*12-MAX(0,B75-1-ROUND(in_IOYears*12,0))),E75*(J75*a_DayFactor/12)/(1-(1+(J75*a_DayFactor/12))^(-(in_AmortYears*12-MAX(0,B75-1-ROUND(in_IOYears*12,0))))))-F75))</f>
        <v>5847.6075865045095</v>
      </c>
      <c r="H75" s="28">
        <f>F75+G75</f>
        <v>36621.32290179383</v>
      </c>
      <c r="I75" s="28">
        <f>E75-G75</f>
        <v>5430359.718606497</v>
      </c>
      <c r="J75" s="88">
        <f>IF(a_RateType="Floating",MAX(0,IF(a_FloatStrike&gt;0,MIN(a_FloatStrike,IF(a_FloatFloor&gt;0,MAX(a_FloatFloor,(a_FloatIndex+a_FloatDrift*(B75-1)/12)),(a_FloatIndex+a_FloatDrift*(B75-1)/12))),IF(a_FloatFloor&gt;0,MAX(a_FloatFloor,(a_FloatIndex+a_FloatDrift*(B75-1)/12)),(a_FloatIndex+a_FloatDrift*(B75-1)/12)))+a_FloatSpread),in_InterestRate)</f>
        <v>0.067</v>
      </c>
    </row>
    <row r="76">
      <c r="B76" s="25">
        <v>37</v>
      </c>
      <c r="C76" s="57">
        <f>EOMONTH(in_AnalysisStart,B76-1)</f>
        <v>47514</v>
      </c>
      <c r="D76" s="89">
        <f>INT((B76-1)/12)+1</f>
        <v>4</v>
      </c>
      <c r="E76" s="28">
        <f>I75</f>
        <v>5430359.718606497</v>
      </c>
      <c r="F76" s="28">
        <f>E76*(J76*a_DayFactor/12)</f>
        <v>30740.612712620805</v>
      </c>
      <c r="G76" s="28">
        <f>IF(OR(B76&lt;=ROUND(in_IOYears*12,0),E76&lt;=0,(in_AmortYears*12-MAX(0,B76-1-ROUND(in_IOYears*12,0)))&lt;=0),0,MIN(E76,IF((J76*a_DayFactor/12)=0,E76/(in_AmortYears*12-MAX(0,B76-1-ROUND(in_IOYears*12,0))),E76*(J76*a_DayFactor/12)/(1-(1+(J76*a_DayFactor/12))^(-(in_AmortYears*12-MAX(0,B76-1-ROUND(in_IOYears*12,0))))))-F76))</f>
        <v>5880.7101891730235</v>
      </c>
      <c r="H76" s="28">
        <f>F76+G76</f>
        <v>36621.32290179383</v>
      </c>
      <c r="I76" s="28">
        <f>E76-G76</f>
        <v>5424479.008417324</v>
      </c>
      <c r="J76" s="88">
        <f>IF(a_RateType="Floating",MAX(0,IF(a_FloatStrike&gt;0,MIN(a_FloatStrike,IF(a_FloatFloor&gt;0,MAX(a_FloatFloor,(a_FloatIndex+a_FloatDrift*(B76-1)/12)),(a_FloatIndex+a_FloatDrift*(B76-1)/12))),IF(a_FloatFloor&gt;0,MAX(a_FloatFloor,(a_FloatIndex+a_FloatDrift*(B76-1)/12)),(a_FloatIndex+a_FloatDrift*(B76-1)/12)))+a_FloatSpread),in_InterestRate)</f>
        <v>0.067</v>
      </c>
    </row>
    <row r="77">
      <c r="B77" s="25">
        <v>38</v>
      </c>
      <c r="C77" s="57">
        <f>EOMONTH(in_AnalysisStart,B77-1)</f>
        <v>47542</v>
      </c>
      <c r="D77" s="89">
        <f>INT((B77-1)/12)+1</f>
        <v>4</v>
      </c>
      <c r="E77" s="28">
        <f>I76</f>
        <v>5424479.008417324</v>
      </c>
      <c r="F77" s="28">
        <f>E77*(J77*a_DayFactor/12)</f>
        <v>30707.322720103162</v>
      </c>
      <c r="G77" s="28">
        <f>IF(OR(B77&lt;=ROUND(in_IOYears*12,0),E77&lt;=0,(in_AmortYears*12-MAX(0,B77-1-ROUND(in_IOYears*12,0)))&lt;=0),0,MIN(E77,IF((J77*a_DayFactor/12)=0,E77/(in_AmortYears*12-MAX(0,B77-1-ROUND(in_IOYears*12,0))),E77*(J77*a_DayFactor/12)/(1-(1+(J77*a_DayFactor/12))^(-(in_AmortYears*12-MAX(0,B77-1-ROUND(in_IOYears*12,0))))))-F77))</f>
        <v>5914.000181690666</v>
      </c>
      <c r="H77" s="28">
        <f>F77+G77</f>
        <v>36621.32290179383</v>
      </c>
      <c r="I77" s="28">
        <f>E77-G77</f>
        <v>5418565.008235633</v>
      </c>
      <c r="J77" s="88">
        <f>IF(a_RateType="Floating",MAX(0,IF(a_FloatStrike&gt;0,MIN(a_FloatStrike,IF(a_FloatFloor&gt;0,MAX(a_FloatFloor,(a_FloatIndex+a_FloatDrift*(B77-1)/12)),(a_FloatIndex+a_FloatDrift*(B77-1)/12))),IF(a_FloatFloor&gt;0,MAX(a_FloatFloor,(a_FloatIndex+a_FloatDrift*(B77-1)/12)),(a_FloatIndex+a_FloatDrift*(B77-1)/12)))+a_FloatSpread),in_InterestRate)</f>
        <v>0.067</v>
      </c>
    </row>
    <row r="78">
      <c r="B78" s="25">
        <v>39</v>
      </c>
      <c r="C78" s="57">
        <f>EOMONTH(in_AnalysisStart,B78-1)</f>
        <v>47573</v>
      </c>
      <c r="D78" s="89">
        <f>INT((B78-1)/12)+1</f>
        <v>4</v>
      </c>
      <c r="E78" s="28">
        <f>I77</f>
        <v>5418565.008235633</v>
      </c>
      <c r="F78" s="28">
        <f>E78*(J78*a_DayFactor/12)</f>
        <v>30673.844276945</v>
      </c>
      <c r="G78" s="28">
        <f>IF(OR(B78&lt;=ROUND(in_IOYears*12,0),E78&lt;=0,(in_AmortYears*12-MAX(0,B78-1-ROUND(in_IOYears*12,0)))&lt;=0),0,MIN(E78,IF((J78*a_DayFactor/12)=0,E78/(in_AmortYears*12-MAX(0,B78-1-ROUND(in_IOYears*12,0))),E78*(J78*a_DayFactor/12)/(1-(1+(J78*a_DayFactor/12))^(-(in_AmortYears*12-MAX(0,B78-1-ROUND(in_IOYears*12,0))))))-F78))</f>
        <v>5947.47862484882</v>
      </c>
      <c r="H78" s="28">
        <f>F78+G78</f>
        <v>36621.32290179382</v>
      </c>
      <c r="I78" s="28">
        <f>E78-G78</f>
        <v>5412617.529610785</v>
      </c>
      <c r="J78" s="88">
        <f>IF(a_RateType="Floating",MAX(0,IF(a_FloatStrike&gt;0,MIN(a_FloatStrike,IF(a_FloatFloor&gt;0,MAX(a_FloatFloor,(a_FloatIndex+a_FloatDrift*(B78-1)/12)),(a_FloatIndex+a_FloatDrift*(B78-1)/12))),IF(a_FloatFloor&gt;0,MAX(a_FloatFloor,(a_FloatIndex+a_FloatDrift*(B78-1)/12)),(a_FloatIndex+a_FloatDrift*(B78-1)/12)))+a_FloatSpread),in_InterestRate)</f>
        <v>0.067</v>
      </c>
    </row>
    <row r="79">
      <c r="B79" s="25">
        <v>40</v>
      </c>
      <c r="C79" s="57">
        <f>EOMONTH(in_AnalysisStart,B79-1)</f>
        <v>47603</v>
      </c>
      <c r="D79" s="89">
        <f>INT((B79-1)/12)+1</f>
        <v>4</v>
      </c>
      <c r="E79" s="28">
        <f>I78</f>
        <v>5412617.529610785</v>
      </c>
      <c r="F79" s="28">
        <f>E79*(J79*a_DayFactor/12)</f>
        <v>30640.176316349938</v>
      </c>
      <c r="G79" s="28">
        <f>IF(OR(B79&lt;=ROUND(in_IOYears*12,0),E79&lt;=0,(in_AmortYears*12-MAX(0,B79-1-ROUND(in_IOYears*12,0)))&lt;=0),0,MIN(E79,IF((J79*a_DayFactor/12)=0,E79/(in_AmortYears*12-MAX(0,B79-1-ROUND(in_IOYears*12,0))),E79*(J79*a_DayFactor/12)/(1-(1+(J79*a_DayFactor/12))^(-(in_AmortYears*12-MAX(0,B79-1-ROUND(in_IOYears*12,0))))))-F79))</f>
        <v>5981.146585443883</v>
      </c>
      <c r="H79" s="28">
        <f>F79+G79</f>
        <v>36621.32290179382</v>
      </c>
      <c r="I79" s="28">
        <f>E79-G79</f>
        <v>5406636.383025341</v>
      </c>
      <c r="J79" s="88">
        <f>IF(a_RateType="Floating",MAX(0,IF(a_FloatStrike&gt;0,MIN(a_FloatStrike,IF(a_FloatFloor&gt;0,MAX(a_FloatFloor,(a_FloatIndex+a_FloatDrift*(B79-1)/12)),(a_FloatIndex+a_FloatDrift*(B79-1)/12))),IF(a_FloatFloor&gt;0,MAX(a_FloatFloor,(a_FloatIndex+a_FloatDrift*(B79-1)/12)),(a_FloatIndex+a_FloatDrift*(B79-1)/12)))+a_FloatSpread),in_InterestRate)</f>
        <v>0.067</v>
      </c>
    </row>
    <row r="80">
      <c r="B80" s="25">
        <v>41</v>
      </c>
      <c r="C80" s="57">
        <f>EOMONTH(in_AnalysisStart,B80-1)</f>
        <v>47634</v>
      </c>
      <c r="D80" s="89">
        <f>INT((B80-1)/12)+1</f>
        <v>4</v>
      </c>
      <c r="E80" s="28">
        <f>I79</f>
        <v>5406636.383025341</v>
      </c>
      <c r="F80" s="28">
        <f>E80*(J80*a_DayFactor/12)</f>
        <v>30606.31776548257</v>
      </c>
      <c r="G80" s="28">
        <f>IF(OR(B80&lt;=ROUND(in_IOYears*12,0),E80&lt;=0,(in_AmortYears*12-MAX(0,B80-1-ROUND(in_IOYears*12,0)))&lt;=0),0,MIN(E80,IF((J80*a_DayFactor/12)=0,E80/(in_AmortYears*12-MAX(0,B80-1-ROUND(in_IOYears*12,0))),E80*(J80*a_DayFactor/12)/(1-(1+(J80*a_DayFactor/12))^(-(in_AmortYears*12-MAX(0,B80-1-ROUND(in_IOYears*12,0))))))-F80))</f>
        <v>6015.005136311258</v>
      </c>
      <c r="H80" s="28">
        <f>F80+G80</f>
        <v>36621.32290179383</v>
      </c>
      <c r="I80" s="28">
        <f>E80-G80</f>
        <v>5400621.37788903</v>
      </c>
      <c r="J80" s="88">
        <f>IF(a_RateType="Floating",MAX(0,IF(a_FloatStrike&gt;0,MIN(a_FloatStrike,IF(a_FloatFloor&gt;0,MAX(a_FloatFloor,(a_FloatIndex+a_FloatDrift*(B80-1)/12)),(a_FloatIndex+a_FloatDrift*(B80-1)/12))),IF(a_FloatFloor&gt;0,MAX(a_FloatFloor,(a_FloatIndex+a_FloatDrift*(B80-1)/12)),(a_FloatIndex+a_FloatDrift*(B80-1)/12)))+a_FloatSpread),in_InterestRate)</f>
        <v>0.067</v>
      </c>
    </row>
    <row r="81">
      <c r="B81" s="25">
        <v>42</v>
      </c>
      <c r="C81" s="57">
        <f>EOMONTH(in_AnalysisStart,B81-1)</f>
        <v>47664</v>
      </c>
      <c r="D81" s="89">
        <f>INT((B81-1)/12)+1</f>
        <v>4</v>
      </c>
      <c r="E81" s="28">
        <f>I80</f>
        <v>5400621.37788903</v>
      </c>
      <c r="F81" s="28">
        <f>E81*(J81*a_DayFactor/12)</f>
        <v>30572.267545434308</v>
      </c>
      <c r="G81" s="28">
        <f>IF(OR(B81&lt;=ROUND(in_IOYears*12,0),E81&lt;=0,(in_AmortYears*12-MAX(0,B81-1-ROUND(in_IOYears*12,0)))&lt;=0),0,MIN(E81,IF((J81*a_DayFactor/12)=0,E81/(in_AmortYears*12-MAX(0,B81-1-ROUND(in_IOYears*12,0))),E81*(J81*a_DayFactor/12)/(1-(1+(J81*a_DayFactor/12))^(-(in_AmortYears*12-MAX(0,B81-1-ROUND(in_IOYears*12,0))))))-F81))</f>
        <v>6049.055356359513</v>
      </c>
      <c r="H81" s="28">
        <f>F81+G81</f>
        <v>36621.32290179382</v>
      </c>
      <c r="I81" s="28">
        <f>E81-G81</f>
        <v>5394572.322532671</v>
      </c>
      <c r="J81" s="88">
        <f>IF(a_RateType="Floating",MAX(0,IF(a_FloatStrike&gt;0,MIN(a_FloatStrike,IF(a_FloatFloor&gt;0,MAX(a_FloatFloor,(a_FloatIndex+a_FloatDrift*(B81-1)/12)),(a_FloatIndex+a_FloatDrift*(B81-1)/12))),IF(a_FloatFloor&gt;0,MAX(a_FloatFloor,(a_FloatIndex+a_FloatDrift*(B81-1)/12)),(a_FloatIndex+a_FloatDrift*(B81-1)/12)))+a_FloatSpread),in_InterestRate)</f>
        <v>0.067</v>
      </c>
    </row>
    <row r="82">
      <c r="B82" s="25">
        <v>43</v>
      </c>
      <c r="C82" s="57">
        <f>EOMONTH(in_AnalysisStart,B82-1)</f>
        <v>47695</v>
      </c>
      <c r="D82" s="89">
        <f>INT((B82-1)/12)+1</f>
        <v>4</v>
      </c>
      <c r="E82" s="28">
        <f>I81</f>
        <v>5394572.322532671</v>
      </c>
      <c r="F82" s="28">
        <f>E82*(J82*a_DayFactor/12)</f>
        <v>30538.024571188995</v>
      </c>
      <c r="G82" s="28">
        <f>IF(OR(B82&lt;=ROUND(in_IOYears*12,0),E82&lt;=0,(in_AmortYears*12-MAX(0,B82-1-ROUND(in_IOYears*12,0)))&lt;=0),0,MIN(E82,IF((J82*a_DayFactor/12)=0,E82/(in_AmortYears*12-MAX(0,B82-1-ROUND(in_IOYears*12,0))),E82*(J82*a_DayFactor/12)/(1-(1+(J82*a_DayFactor/12))^(-(in_AmortYears*12-MAX(0,B82-1-ROUND(in_IOYears*12,0))))))-F82))</f>
        <v>6083.298330604834</v>
      </c>
      <c r="H82" s="28">
        <f>F82+G82</f>
        <v>36621.32290179383</v>
      </c>
      <c r="I82" s="28">
        <f>E82-G82</f>
        <v>5388489.024202066</v>
      </c>
      <c r="J82" s="88">
        <f>IF(a_RateType="Floating",MAX(0,IF(a_FloatStrike&gt;0,MIN(a_FloatStrike,IF(a_FloatFloor&gt;0,MAX(a_FloatFloor,(a_FloatIndex+a_FloatDrift*(B82-1)/12)),(a_FloatIndex+a_FloatDrift*(B82-1)/12))),IF(a_FloatFloor&gt;0,MAX(a_FloatFloor,(a_FloatIndex+a_FloatDrift*(B82-1)/12)),(a_FloatIndex+a_FloatDrift*(B82-1)/12)))+a_FloatSpread),in_InterestRate)</f>
        <v>0.067</v>
      </c>
    </row>
    <row r="83">
      <c r="B83" s="25">
        <v>44</v>
      </c>
      <c r="C83" s="57">
        <f>EOMONTH(in_AnalysisStart,B83-1)</f>
        <v>47726</v>
      </c>
      <c r="D83" s="89">
        <f>INT((B83-1)/12)+1</f>
        <v>4</v>
      </c>
      <c r="E83" s="28">
        <f>I82</f>
        <v>5388489.024202066</v>
      </c>
      <c r="F83" s="28">
        <f>E83*(J83*a_DayFactor/12)</f>
        <v>30503.58775158831</v>
      </c>
      <c r="G83" s="28">
        <f>IF(OR(B83&lt;=ROUND(in_IOYears*12,0),E83&lt;=0,(in_AmortYears*12-MAX(0,B83-1-ROUND(in_IOYears*12,0)))&lt;=0),0,MIN(E83,IF((J83*a_DayFactor/12)=0,E83/(in_AmortYears*12-MAX(0,B83-1-ROUND(in_IOYears*12,0))),E83*(J83*a_DayFactor/12)/(1-(1+(J83*a_DayFactor/12))^(-(in_AmortYears*12-MAX(0,B83-1-ROUND(in_IOYears*12,0))))))-F83))</f>
        <v>6117.735150205517</v>
      </c>
      <c r="H83" s="28">
        <f>F83+G83</f>
        <v>36621.32290179383</v>
      </c>
      <c r="I83" s="28">
        <f>E83-G83</f>
        <v>5382371.28905186</v>
      </c>
      <c r="J83" s="88">
        <f>IF(a_RateType="Floating",MAX(0,IF(a_FloatStrike&gt;0,MIN(a_FloatStrike,IF(a_FloatFloor&gt;0,MAX(a_FloatFloor,(a_FloatIndex+a_FloatDrift*(B83-1)/12)),(a_FloatIndex+a_FloatDrift*(B83-1)/12))),IF(a_FloatFloor&gt;0,MAX(a_FloatFloor,(a_FloatIndex+a_FloatDrift*(B83-1)/12)),(a_FloatIndex+a_FloatDrift*(B83-1)/12)))+a_FloatSpread),in_InterestRate)</f>
        <v>0.067</v>
      </c>
    </row>
    <row r="84">
      <c r="B84" s="25">
        <v>45</v>
      </c>
      <c r="C84" s="57">
        <f>EOMONTH(in_AnalysisStart,B84-1)</f>
        <v>47756</v>
      </c>
      <c r="D84" s="89">
        <f>INT((B84-1)/12)+1</f>
        <v>4</v>
      </c>
      <c r="E84" s="28">
        <f>I83</f>
        <v>5382371.28905186</v>
      </c>
      <c r="F84" s="28">
        <f>E84*(J84*a_DayFactor/12)</f>
        <v>30468.955989297043</v>
      </c>
      <c r="G84" s="28">
        <f>IF(OR(B84&lt;=ROUND(in_IOYears*12,0),E84&lt;=0,(in_AmortYears*12-MAX(0,B84-1-ROUND(in_IOYears*12,0)))&lt;=0),0,MIN(E84,IF((J84*a_DayFactor/12)=0,E84/(in_AmortYears*12-MAX(0,B84-1-ROUND(in_IOYears*12,0))),E84*(J84*a_DayFactor/12)/(1-(1+(J84*a_DayFactor/12))^(-(in_AmortYears*12-MAX(0,B84-1-ROUND(in_IOYears*12,0))))))-F84))</f>
        <v>6152.3669124967855</v>
      </c>
      <c r="H84" s="28">
        <f>F84+G84</f>
        <v>36621.32290179383</v>
      </c>
      <c r="I84" s="28">
        <f>E84-G84</f>
        <v>5376218.922139362</v>
      </c>
      <c r="J84" s="88">
        <f>IF(a_RateType="Floating",MAX(0,IF(a_FloatStrike&gt;0,MIN(a_FloatStrike,IF(a_FloatFloor&gt;0,MAX(a_FloatFloor,(a_FloatIndex+a_FloatDrift*(B84-1)/12)),(a_FloatIndex+a_FloatDrift*(B84-1)/12))),IF(a_FloatFloor&gt;0,MAX(a_FloatFloor,(a_FloatIndex+a_FloatDrift*(B84-1)/12)),(a_FloatIndex+a_FloatDrift*(B84-1)/12)))+a_FloatSpread),in_InterestRate)</f>
        <v>0.067</v>
      </c>
    </row>
    <row r="85">
      <c r="B85" s="25">
        <v>46</v>
      </c>
      <c r="C85" s="57">
        <f>EOMONTH(in_AnalysisStart,B85-1)</f>
        <v>47787</v>
      </c>
      <c r="D85" s="89">
        <f>INT((B85-1)/12)+1</f>
        <v>4</v>
      </c>
      <c r="E85" s="28">
        <f>I84</f>
        <v>5376218.922139362</v>
      </c>
      <c r="F85" s="28">
        <f>E85*(J85*a_DayFactor/12)</f>
        <v>30434.12818076808</v>
      </c>
      <c r="G85" s="28">
        <f>IF(OR(B85&lt;=ROUND(in_IOYears*12,0),E85&lt;=0,(in_AmortYears*12-MAX(0,B85-1-ROUND(in_IOYears*12,0)))&lt;=0),0,MIN(E85,IF((J85*a_DayFactor/12)=0,E85/(in_AmortYears*12-MAX(0,B85-1-ROUND(in_IOYears*12,0))),E85*(J85*a_DayFactor/12)/(1-(1+(J85*a_DayFactor/12))^(-(in_AmortYears*12-MAX(0,B85-1-ROUND(in_IOYears*12,0))))))-F85))</f>
        <v>6187.194721025742</v>
      </c>
      <c r="H85" s="28">
        <f>F85+G85</f>
        <v>36621.32290179382</v>
      </c>
      <c r="I85" s="28">
        <f>E85-G85</f>
        <v>5370031.727418337</v>
      </c>
      <c r="J85" s="88">
        <f>IF(a_RateType="Floating",MAX(0,IF(a_FloatStrike&gt;0,MIN(a_FloatStrike,IF(a_FloatFloor&gt;0,MAX(a_FloatFloor,(a_FloatIndex+a_FloatDrift*(B85-1)/12)),(a_FloatIndex+a_FloatDrift*(B85-1)/12))),IF(a_FloatFloor&gt;0,MAX(a_FloatFloor,(a_FloatIndex+a_FloatDrift*(B85-1)/12)),(a_FloatIndex+a_FloatDrift*(B85-1)/12)))+a_FloatSpread),in_InterestRate)</f>
        <v>0.067</v>
      </c>
    </row>
    <row r="86">
      <c r="B86" s="25">
        <v>47</v>
      </c>
      <c r="C86" s="57">
        <f>EOMONTH(in_AnalysisStart,B86-1)</f>
        <v>47817</v>
      </c>
      <c r="D86" s="89">
        <f>INT((B86-1)/12)+1</f>
        <v>4</v>
      </c>
      <c r="E86" s="28">
        <f>I85</f>
        <v>5370031.727418337</v>
      </c>
      <c r="F86" s="28">
        <f>E86*(J86*a_DayFactor/12)</f>
        <v>30399.103216207273</v>
      </c>
      <c r="G86" s="28">
        <f>IF(OR(B86&lt;=ROUND(in_IOYears*12,0),E86&lt;=0,(in_AmortYears*12-MAX(0,B86-1-ROUND(in_IOYears*12,0)))&lt;=0),0,MIN(E86,IF((J86*a_DayFactor/12)=0,E86/(in_AmortYears*12-MAX(0,B86-1-ROUND(in_IOYears*12,0))),E86*(J86*a_DayFactor/12)/(1-(1+(J86*a_DayFactor/12))^(-(in_AmortYears*12-MAX(0,B86-1-ROUND(in_IOYears*12,0))))))-F86))</f>
        <v>6222.219685586548</v>
      </c>
      <c r="H86" s="28">
        <f>F86+G86</f>
        <v>36621.32290179382</v>
      </c>
      <c r="I86" s="28">
        <f>E86-G86</f>
        <v>5363809.507732751</v>
      </c>
      <c r="J86" s="88">
        <f>IF(a_RateType="Floating",MAX(0,IF(a_FloatStrike&gt;0,MIN(a_FloatStrike,IF(a_FloatFloor&gt;0,MAX(a_FloatFloor,(a_FloatIndex+a_FloatDrift*(B86-1)/12)),(a_FloatIndex+a_FloatDrift*(B86-1)/12))),IF(a_FloatFloor&gt;0,MAX(a_FloatFloor,(a_FloatIndex+a_FloatDrift*(B86-1)/12)),(a_FloatIndex+a_FloatDrift*(B86-1)/12)))+a_FloatSpread),in_InterestRate)</f>
        <v>0.067</v>
      </c>
    </row>
    <row r="87">
      <c r="B87" s="25">
        <v>48</v>
      </c>
      <c r="C87" s="57">
        <f>EOMONTH(in_AnalysisStart,B87-1)</f>
        <v>47848</v>
      </c>
      <c r="D87" s="89">
        <f>INT((B87-1)/12)+1</f>
        <v>4</v>
      </c>
      <c r="E87" s="28">
        <f>I86</f>
        <v>5363809.507732751</v>
      </c>
      <c r="F87" s="28">
        <f>E87*(J87*a_DayFactor/12)</f>
        <v>30363.87997953806</v>
      </c>
      <c r="G87" s="28">
        <f>IF(OR(B87&lt;=ROUND(in_IOYears*12,0),E87&lt;=0,(in_AmortYears*12-MAX(0,B87-1-ROUND(in_IOYears*12,0)))&lt;=0),0,MIN(E87,IF((J87*a_DayFactor/12)=0,E87/(in_AmortYears*12-MAX(0,B87-1-ROUND(in_IOYears*12,0))),E87*(J87*a_DayFactor/12)/(1-(1+(J87*a_DayFactor/12))^(-(in_AmortYears*12-MAX(0,B87-1-ROUND(in_IOYears*12,0))))))-F87))</f>
        <v>6257.44292225577</v>
      </c>
      <c r="H87" s="28">
        <f>F87+G87</f>
        <v>36621.32290179383</v>
      </c>
      <c r="I87" s="28">
        <f>E87-G87</f>
        <v>5357552.064810495</v>
      </c>
      <c r="J87" s="88">
        <f>IF(a_RateType="Floating",MAX(0,IF(a_FloatStrike&gt;0,MIN(a_FloatStrike,IF(a_FloatFloor&gt;0,MAX(a_FloatFloor,(a_FloatIndex+a_FloatDrift*(B87-1)/12)),(a_FloatIndex+a_FloatDrift*(B87-1)/12))),IF(a_FloatFloor&gt;0,MAX(a_FloatFloor,(a_FloatIndex+a_FloatDrift*(B87-1)/12)),(a_FloatIndex+a_FloatDrift*(B87-1)/12)))+a_FloatSpread),in_InterestRate)</f>
        <v>0.067</v>
      </c>
    </row>
    <row r="88">
      <c r="B88" s="25">
        <v>49</v>
      </c>
      <c r="C88" s="57">
        <f>EOMONTH(in_AnalysisStart,B88-1)</f>
        <v>47879</v>
      </c>
      <c r="D88" s="89">
        <f>INT((B88-1)/12)+1</f>
        <v>5</v>
      </c>
      <c r="E88" s="28">
        <f>I87</f>
        <v>5357552.064810495</v>
      </c>
      <c r="F88" s="28">
        <f>E88*(J88*a_DayFactor/12)</f>
        <v>30328.45734836589</v>
      </c>
      <c r="G88" s="28">
        <f>IF(OR(B88&lt;=ROUND(in_IOYears*12,0),E88&lt;=0,(in_AmortYears*12-MAX(0,B88-1-ROUND(in_IOYears*12,0)))&lt;=0),0,MIN(E88,IF((J88*a_DayFactor/12)=0,E88/(in_AmortYears*12-MAX(0,B88-1-ROUND(in_IOYears*12,0))),E88*(J88*a_DayFactor/12)/(1-(1+(J88*a_DayFactor/12))^(-(in_AmortYears*12-MAX(0,B88-1-ROUND(in_IOYears*12,0))))))-F88))</f>
        <v>6292.865553427931</v>
      </c>
      <c r="H88" s="28">
        <f>F88+G88</f>
        <v>36621.32290179382</v>
      </c>
      <c r="I88" s="28">
        <f>E88-G88</f>
        <v>5351259.199257067</v>
      </c>
      <c r="J88" s="88">
        <f>IF(a_RateType="Floating",MAX(0,IF(a_FloatStrike&gt;0,MIN(a_FloatStrike,IF(a_FloatFloor&gt;0,MAX(a_FloatFloor,(a_FloatIndex+a_FloatDrift*(B88-1)/12)),(a_FloatIndex+a_FloatDrift*(B88-1)/12))),IF(a_FloatFloor&gt;0,MAX(a_FloatFloor,(a_FloatIndex+a_FloatDrift*(B88-1)/12)),(a_FloatIndex+a_FloatDrift*(B88-1)/12)))+a_FloatSpread),in_InterestRate)</f>
        <v>0.067</v>
      </c>
    </row>
    <row r="89">
      <c r="B89" s="25">
        <v>50</v>
      </c>
      <c r="C89" s="57">
        <f>EOMONTH(in_AnalysisStart,B89-1)</f>
        <v>47907</v>
      </c>
      <c r="D89" s="89">
        <f>INT((B89-1)/12)+1</f>
        <v>5</v>
      </c>
      <c r="E89" s="28">
        <f>I88</f>
        <v>5351259.199257067</v>
      </c>
      <c r="F89" s="28">
        <f>E89*(J89*a_DayFactor/12)</f>
        <v>30292.834193942494</v>
      </c>
      <c r="G89" s="28">
        <f>IF(OR(B89&lt;=ROUND(in_IOYears*12,0),E89&lt;=0,(in_AmortYears*12-MAX(0,B89-1-ROUND(in_IOYears*12,0)))&lt;=0),0,MIN(E89,IF((J89*a_DayFactor/12)=0,E89/(in_AmortYears*12-MAX(0,B89-1-ROUND(in_IOYears*12,0))),E89*(J89*a_DayFactor/12)/(1-(1+(J89*a_DayFactor/12))^(-(in_AmortYears*12-MAX(0,B89-1-ROUND(in_IOYears*12,0))))))-F89))</f>
        <v>6328.488707851335</v>
      </c>
      <c r="H89" s="28">
        <f>F89+G89</f>
        <v>36621.32290179383</v>
      </c>
      <c r="I89" s="28">
        <f>E89-G89</f>
        <v>5344930.710549216</v>
      </c>
      <c r="J89" s="88">
        <f>IF(a_RateType="Floating",MAX(0,IF(a_FloatStrike&gt;0,MIN(a_FloatStrike,IF(a_FloatFloor&gt;0,MAX(a_FloatFloor,(a_FloatIndex+a_FloatDrift*(B89-1)/12)),(a_FloatIndex+a_FloatDrift*(B89-1)/12))),IF(a_FloatFloor&gt;0,MAX(a_FloatFloor,(a_FloatIndex+a_FloatDrift*(B89-1)/12)),(a_FloatIndex+a_FloatDrift*(B89-1)/12)))+a_FloatSpread),in_InterestRate)</f>
        <v>0.067</v>
      </c>
    </row>
    <row r="90">
      <c r="B90" s="25">
        <v>51</v>
      </c>
      <c r="C90" s="57">
        <f>EOMONTH(in_AnalysisStart,B90-1)</f>
        <v>47938</v>
      </c>
      <c r="D90" s="89">
        <f>INT((B90-1)/12)+1</f>
        <v>5</v>
      </c>
      <c r="E90" s="28">
        <f>I89</f>
        <v>5344930.710549216</v>
      </c>
      <c r="F90" s="28">
        <f>E90*(J90*a_DayFactor/12)</f>
        <v>30257.009381129876</v>
      </c>
      <c r="G90" s="28">
        <f>IF(OR(B90&lt;=ROUND(in_IOYears*12,0),E90&lt;=0,(in_AmortYears*12-MAX(0,B90-1-ROUND(in_IOYears*12,0)))&lt;=0),0,MIN(E90,IF((J90*a_DayFactor/12)=0,E90/(in_AmortYears*12-MAX(0,B90-1-ROUND(in_IOYears*12,0))),E90*(J90*a_DayFactor/12)/(1-(1+(J90*a_DayFactor/12))^(-(in_AmortYears*12-MAX(0,B90-1-ROUND(in_IOYears*12,0))))))-F90))</f>
        <v>6364.313520663945</v>
      </c>
      <c r="H90" s="28">
        <f>F90+G90</f>
        <v>36621.32290179382</v>
      </c>
      <c r="I90" s="28">
        <f>E90-G90</f>
        <v>5338566.397028551</v>
      </c>
      <c r="J90" s="88">
        <f>IF(a_RateType="Floating",MAX(0,IF(a_FloatStrike&gt;0,MIN(a_FloatStrike,IF(a_FloatFloor&gt;0,MAX(a_FloatFloor,(a_FloatIndex+a_FloatDrift*(B90-1)/12)),(a_FloatIndex+a_FloatDrift*(B90-1)/12))),IF(a_FloatFloor&gt;0,MAX(a_FloatFloor,(a_FloatIndex+a_FloatDrift*(B90-1)/12)),(a_FloatIndex+a_FloatDrift*(B90-1)/12)))+a_FloatSpread),in_InterestRate)</f>
        <v>0.067</v>
      </c>
    </row>
    <row r="91">
      <c r="B91" s="25">
        <v>52</v>
      </c>
      <c r="C91" s="57">
        <f>EOMONTH(in_AnalysisStart,B91-1)</f>
        <v>47968</v>
      </c>
      <c r="D91" s="89">
        <f>INT((B91-1)/12)+1</f>
        <v>5</v>
      </c>
      <c r="E91" s="28">
        <f>I90</f>
        <v>5338566.397028551</v>
      </c>
      <c r="F91" s="28">
        <f>E91*(J91*a_DayFactor/12)</f>
        <v>30220.98176836417</v>
      </c>
      <c r="G91" s="28">
        <f>IF(OR(B91&lt;=ROUND(in_IOYears*12,0),E91&lt;=0,(in_AmortYears*12-MAX(0,B91-1-ROUND(in_IOYears*12,0)))&lt;=0),0,MIN(E91,IF((J91*a_DayFactor/12)=0,E91/(in_AmortYears*12-MAX(0,B91-1-ROUND(in_IOYears*12,0))),E91*(J91*a_DayFactor/12)/(1-(1+(J91*a_DayFactor/12))^(-(in_AmortYears*12-MAX(0,B91-1-ROUND(in_IOYears*12,0))))))-F91))</f>
        <v>6400.341133429651</v>
      </c>
      <c r="H91" s="28">
        <f>F91+G91</f>
        <v>36621.32290179382</v>
      </c>
      <c r="I91" s="28">
        <f>E91-G91</f>
        <v>5332166.055895122</v>
      </c>
      <c r="J91" s="88">
        <f>IF(a_RateType="Floating",MAX(0,IF(a_FloatStrike&gt;0,MIN(a_FloatStrike,IF(a_FloatFloor&gt;0,MAX(a_FloatFloor,(a_FloatIndex+a_FloatDrift*(B91-1)/12)),(a_FloatIndex+a_FloatDrift*(B91-1)/12))),IF(a_FloatFloor&gt;0,MAX(a_FloatFloor,(a_FloatIndex+a_FloatDrift*(B91-1)/12)),(a_FloatIndex+a_FloatDrift*(B91-1)/12)))+a_FloatSpread),in_InterestRate)</f>
        <v>0.067</v>
      </c>
    </row>
    <row r="92">
      <c r="B92" s="25">
        <v>53</v>
      </c>
      <c r="C92" s="57">
        <f>EOMONTH(in_AnalysisStart,B92-1)</f>
        <v>47999</v>
      </c>
      <c r="D92" s="89">
        <f>INT((B92-1)/12)+1</f>
        <v>5</v>
      </c>
      <c r="E92" s="28">
        <f>I91</f>
        <v>5332166.055895122</v>
      </c>
      <c r="F92" s="28">
        <f>E92*(J92*a_DayFactor/12)</f>
        <v>30184.750207619258</v>
      </c>
      <c r="G92" s="28">
        <f>IF(OR(B92&lt;=ROUND(in_IOYears*12,0),E92&lt;=0,(in_AmortYears*12-MAX(0,B92-1-ROUND(in_IOYears*12,0)))&lt;=0),0,MIN(E92,IF((J92*a_DayFactor/12)=0,E92/(in_AmortYears*12-MAX(0,B92-1-ROUND(in_IOYears*12,0))),E92*(J92*a_DayFactor/12)/(1-(1+(J92*a_DayFactor/12))^(-(in_AmortYears*12-MAX(0,B92-1-ROUND(in_IOYears*12,0))))))-F92))</f>
        <v>6436.572694174563</v>
      </c>
      <c r="H92" s="28">
        <f>F92+G92</f>
        <v>36621.32290179382</v>
      </c>
      <c r="I92" s="28">
        <f>E92-G92</f>
        <v>5325729.483200947</v>
      </c>
      <c r="J92" s="88">
        <f>IF(a_RateType="Floating",MAX(0,IF(a_FloatStrike&gt;0,MIN(a_FloatStrike,IF(a_FloatFloor&gt;0,MAX(a_FloatFloor,(a_FloatIndex+a_FloatDrift*(B92-1)/12)),(a_FloatIndex+a_FloatDrift*(B92-1)/12))),IF(a_FloatFloor&gt;0,MAX(a_FloatFloor,(a_FloatIndex+a_FloatDrift*(B92-1)/12)),(a_FloatIndex+a_FloatDrift*(B92-1)/12)))+a_FloatSpread),in_InterestRate)</f>
        <v>0.067</v>
      </c>
    </row>
    <row r="93">
      <c r="B93" s="25">
        <v>54</v>
      </c>
      <c r="C93" s="57">
        <f>EOMONTH(in_AnalysisStart,B93-1)</f>
        <v>48029</v>
      </c>
      <c r="D93" s="89">
        <f>INT((B93-1)/12)+1</f>
        <v>5</v>
      </c>
      <c r="E93" s="28">
        <f>I92</f>
        <v>5325729.483200947</v>
      </c>
      <c r="F93" s="28">
        <f>E93*(J93*a_DayFactor/12)</f>
        <v>30148.313544370172</v>
      </c>
      <c r="G93" s="28">
        <f>IF(OR(B93&lt;=ROUND(in_IOYears*12,0),E93&lt;=0,(in_AmortYears*12-MAX(0,B93-1-ROUND(in_IOYears*12,0)))&lt;=0),0,MIN(E93,IF((J93*a_DayFactor/12)=0,E93/(in_AmortYears*12-MAX(0,B93-1-ROUND(in_IOYears*12,0))),E93*(J93*a_DayFactor/12)/(1-(1+(J93*a_DayFactor/12))^(-(in_AmortYears*12-MAX(0,B93-1-ROUND(in_IOYears*12,0))))))-F93))</f>
        <v>6473.009357423642</v>
      </c>
      <c r="H93" s="28">
        <f>F93+G93</f>
        <v>36621.322901793814</v>
      </c>
      <c r="I93" s="28">
        <f>E93-G93</f>
        <v>5319256.473843523</v>
      </c>
      <c r="J93" s="88">
        <f>IF(a_RateType="Floating",MAX(0,IF(a_FloatStrike&gt;0,MIN(a_FloatStrike,IF(a_FloatFloor&gt;0,MAX(a_FloatFloor,(a_FloatIndex+a_FloatDrift*(B93-1)/12)),(a_FloatIndex+a_FloatDrift*(B93-1)/12))),IF(a_FloatFloor&gt;0,MAX(a_FloatFloor,(a_FloatIndex+a_FloatDrift*(B93-1)/12)),(a_FloatIndex+a_FloatDrift*(B93-1)/12)))+a_FloatSpread),in_InterestRate)</f>
        <v>0.067</v>
      </c>
    </row>
    <row r="94">
      <c r="B94" s="25">
        <v>55</v>
      </c>
      <c r="C94" s="57">
        <f>EOMONTH(in_AnalysisStart,B94-1)</f>
        <v>48060</v>
      </c>
      <c r="D94" s="89">
        <f>INT((B94-1)/12)+1</f>
        <v>5</v>
      </c>
      <c r="E94" s="28">
        <f>I93</f>
        <v>5319256.473843523</v>
      </c>
      <c r="F94" s="28">
        <f>E94*(J94*a_DayFactor/12)</f>
        <v>30111.670617556334</v>
      </c>
      <c r="G94" s="28">
        <f>IF(OR(B94&lt;=ROUND(in_IOYears*12,0),E94&lt;=0,(in_AmortYears*12-MAX(0,B94-1-ROUND(in_IOYears*12,0)))&lt;=0),0,MIN(E94,IF((J94*a_DayFactor/12)=0,E94/(in_AmortYears*12-MAX(0,B94-1-ROUND(in_IOYears*12,0))),E94*(J94*a_DayFactor/12)/(1-(1+(J94*a_DayFactor/12))^(-(in_AmortYears*12-MAX(0,B94-1-ROUND(in_IOYears*12,0))))))-F94))</f>
        <v>6509.65228423748</v>
      </c>
      <c r="H94" s="28">
        <f>F94+G94</f>
        <v>36621.322901793814</v>
      </c>
      <c r="I94" s="28">
        <f>E94-G94</f>
        <v>5312746.821559286</v>
      </c>
      <c r="J94" s="88">
        <f>IF(a_RateType="Floating",MAX(0,IF(a_FloatStrike&gt;0,MIN(a_FloatStrike,IF(a_FloatFloor&gt;0,MAX(a_FloatFloor,(a_FloatIndex+a_FloatDrift*(B94-1)/12)),(a_FloatIndex+a_FloatDrift*(B94-1)/12))),IF(a_FloatFloor&gt;0,MAX(a_FloatFloor,(a_FloatIndex+a_FloatDrift*(B94-1)/12)),(a_FloatIndex+a_FloatDrift*(B94-1)/12)))+a_FloatSpread),in_InterestRate)</f>
        <v>0.067</v>
      </c>
    </row>
    <row r="95">
      <c r="B95" s="25">
        <v>56</v>
      </c>
      <c r="C95" s="57">
        <f>EOMONTH(in_AnalysisStart,B95-1)</f>
        <v>48091</v>
      </c>
      <c r="D95" s="89">
        <f>INT((B95-1)/12)+1</f>
        <v>5</v>
      </c>
      <c r="E95" s="28">
        <f>I94</f>
        <v>5312746.821559286</v>
      </c>
      <c r="F95" s="28">
        <f>E95*(J95*a_DayFactor/12)</f>
        <v>30074.820259544522</v>
      </c>
      <c r="G95" s="28">
        <f>IF(OR(B95&lt;=ROUND(in_IOYears*12,0),E95&lt;=0,(in_AmortYears*12-MAX(0,B95-1-ROUND(in_IOYears*12,0)))&lt;=0),0,MIN(E95,IF((J95*a_DayFactor/12)=0,E95/(in_AmortYears*12-MAX(0,B95-1-ROUND(in_IOYears*12,0))),E95*(J95*a_DayFactor/12)/(1-(1+(J95*a_DayFactor/12))^(-(in_AmortYears*12-MAX(0,B95-1-ROUND(in_IOYears*12,0))))))-F95))</f>
        <v>6546.502642249292</v>
      </c>
      <c r="H95" s="28">
        <f>F95+G95</f>
        <v>36621.322901793814</v>
      </c>
      <c r="I95" s="28">
        <f>E95-G95</f>
        <v>5306200.318917036</v>
      </c>
      <c r="J95" s="88">
        <f>IF(a_RateType="Floating",MAX(0,IF(a_FloatStrike&gt;0,MIN(a_FloatStrike,IF(a_FloatFloor&gt;0,MAX(a_FloatFloor,(a_FloatIndex+a_FloatDrift*(B95-1)/12)),(a_FloatIndex+a_FloatDrift*(B95-1)/12))),IF(a_FloatFloor&gt;0,MAX(a_FloatFloor,(a_FloatIndex+a_FloatDrift*(B95-1)/12)),(a_FloatIndex+a_FloatDrift*(B95-1)/12)))+a_FloatSpread),in_InterestRate)</f>
        <v>0.067</v>
      </c>
    </row>
    <row r="96">
      <c r="B96" s="25">
        <v>57</v>
      </c>
      <c r="C96" s="57">
        <f>EOMONTH(in_AnalysisStart,B96-1)</f>
        <v>48121</v>
      </c>
      <c r="D96" s="89">
        <f>INT((B96-1)/12)+1</f>
        <v>5</v>
      </c>
      <c r="E96" s="28">
        <f>I95</f>
        <v>5306200.318917036</v>
      </c>
      <c r="F96" s="28">
        <f>E96*(J96*a_DayFactor/12)</f>
        <v>30037.761296091692</v>
      </c>
      <c r="G96" s="28">
        <f>IF(OR(B96&lt;=ROUND(in_IOYears*12,0),E96&lt;=0,(in_AmortYears*12-MAX(0,B96-1-ROUND(in_IOYears*12,0)))&lt;=0),0,MIN(E96,IF((J96*a_DayFactor/12)=0,E96/(in_AmortYears*12-MAX(0,B96-1-ROUND(in_IOYears*12,0))),E96*(J96*a_DayFactor/12)/(1-(1+(J96*a_DayFactor/12))^(-(in_AmortYears*12-MAX(0,B96-1-ROUND(in_IOYears*12,0))))))-F96))</f>
        <v>6583.561605702122</v>
      </c>
      <c r="H96" s="28">
        <f>F96+G96</f>
        <v>36621.322901793814</v>
      </c>
      <c r="I96" s="28">
        <f>E96-G96</f>
        <v>5299616.757311334</v>
      </c>
      <c r="J96" s="88">
        <f>IF(a_RateType="Floating",MAX(0,IF(a_FloatStrike&gt;0,MIN(a_FloatStrike,IF(a_FloatFloor&gt;0,MAX(a_FloatFloor,(a_FloatIndex+a_FloatDrift*(B96-1)/12)),(a_FloatIndex+a_FloatDrift*(B96-1)/12))),IF(a_FloatFloor&gt;0,MAX(a_FloatFloor,(a_FloatIndex+a_FloatDrift*(B96-1)/12)),(a_FloatIndex+a_FloatDrift*(B96-1)/12)))+a_FloatSpread),in_InterestRate)</f>
        <v>0.067</v>
      </c>
    </row>
    <row r="97">
      <c r="B97" s="25">
        <v>58</v>
      </c>
      <c r="C97" s="57">
        <f>EOMONTH(in_AnalysisStart,B97-1)</f>
        <v>48152</v>
      </c>
      <c r="D97" s="89">
        <f>INT((B97-1)/12)+1</f>
        <v>5</v>
      </c>
      <c r="E97" s="28">
        <f>I96</f>
        <v>5299616.757311334</v>
      </c>
      <c r="F97" s="28">
        <f>E97*(J97*a_DayFactor/12)</f>
        <v>30000.492546307563</v>
      </c>
      <c r="G97" s="28">
        <f>IF(OR(B97&lt;=ROUND(in_IOYears*12,0),E97&lt;=0,(in_AmortYears*12-MAX(0,B97-1-ROUND(in_IOYears*12,0)))&lt;=0),0,MIN(E97,IF((J97*a_DayFactor/12)=0,E97/(in_AmortYears*12-MAX(0,B97-1-ROUND(in_IOYears*12,0))),E97*(J97*a_DayFactor/12)/(1-(1+(J97*a_DayFactor/12))^(-(in_AmortYears*12-MAX(0,B97-1-ROUND(in_IOYears*12,0))))))-F97))</f>
        <v>6620.8303554862505</v>
      </c>
      <c r="H97" s="28">
        <f>F97+G97</f>
        <v>36621.322901793814</v>
      </c>
      <c r="I97" s="28">
        <f>E97-G97</f>
        <v>5292995.926955848</v>
      </c>
      <c r="J97" s="88">
        <f>IF(a_RateType="Floating",MAX(0,IF(a_FloatStrike&gt;0,MIN(a_FloatStrike,IF(a_FloatFloor&gt;0,MAX(a_FloatFloor,(a_FloatIndex+a_FloatDrift*(B97-1)/12)),(a_FloatIndex+a_FloatDrift*(B97-1)/12))),IF(a_FloatFloor&gt;0,MAX(a_FloatFloor,(a_FloatIndex+a_FloatDrift*(B97-1)/12)),(a_FloatIndex+a_FloatDrift*(B97-1)/12)))+a_FloatSpread),in_InterestRate)</f>
        <v>0.067</v>
      </c>
    </row>
    <row r="98">
      <c r="B98" s="25">
        <v>59</v>
      </c>
      <c r="C98" s="57">
        <f>EOMONTH(in_AnalysisStart,B98-1)</f>
        <v>48182</v>
      </c>
      <c r="D98" s="89">
        <f>INT((B98-1)/12)+1</f>
        <v>5</v>
      </c>
      <c r="E98" s="28">
        <f>I97</f>
        <v>5292995.926955848</v>
      </c>
      <c r="F98" s="28">
        <f>E98*(J98*a_DayFactor/12)</f>
        <v>29963.012822616958</v>
      </c>
      <c r="G98" s="28">
        <f>IF(OR(B98&lt;=ROUND(in_IOYears*12,0),E98&lt;=0,(in_AmortYears*12-MAX(0,B98-1-ROUND(in_IOYears*12,0)))&lt;=0),0,MIN(E98,IF((J98*a_DayFactor/12)=0,E98/(in_AmortYears*12-MAX(0,B98-1-ROUND(in_IOYears*12,0))),E98*(J98*a_DayFactor/12)/(1-(1+(J98*a_DayFactor/12))^(-(in_AmortYears*12-MAX(0,B98-1-ROUND(in_IOYears*12,0))))))-F98))</f>
        <v>6658.310079176856</v>
      </c>
      <c r="H98" s="28">
        <f>F98+G98</f>
        <v>36621.322901793814</v>
      </c>
      <c r="I98" s="28">
        <f>E98-G98</f>
        <v>5286337.616876671</v>
      </c>
      <c r="J98" s="88">
        <f>IF(a_RateType="Floating",MAX(0,IF(a_FloatStrike&gt;0,MIN(a_FloatStrike,IF(a_FloatFloor&gt;0,MAX(a_FloatFloor,(a_FloatIndex+a_FloatDrift*(B98-1)/12)),(a_FloatIndex+a_FloatDrift*(B98-1)/12))),IF(a_FloatFloor&gt;0,MAX(a_FloatFloor,(a_FloatIndex+a_FloatDrift*(B98-1)/12)),(a_FloatIndex+a_FloatDrift*(B98-1)/12)))+a_FloatSpread),in_InterestRate)</f>
        <v>0.067</v>
      </c>
    </row>
    <row r="99">
      <c r="B99" s="25">
        <v>60</v>
      </c>
      <c r="C99" s="57">
        <f>EOMONTH(in_AnalysisStart,B99-1)</f>
        <v>48213</v>
      </c>
      <c r="D99" s="89">
        <f>INT((B99-1)/12)+1</f>
        <v>5</v>
      </c>
      <c r="E99" s="28">
        <f>I98</f>
        <v>5286337.616876671</v>
      </c>
      <c r="F99" s="28">
        <f>E99*(J99*a_DayFactor/12)</f>
        <v>29925.320930721988</v>
      </c>
      <c r="G99" s="28">
        <f>IF(OR(B99&lt;=ROUND(in_IOYears*12,0),E99&lt;=0,(in_AmortYears*12-MAX(0,B99-1-ROUND(in_IOYears*12,0)))&lt;=0),0,MIN(E99,IF((J99*a_DayFactor/12)=0,E99/(in_AmortYears*12-MAX(0,B99-1-ROUND(in_IOYears*12,0))),E99*(J99*a_DayFactor/12)/(1-(1+(J99*a_DayFactor/12))^(-(in_AmortYears*12-MAX(0,B99-1-ROUND(in_IOYears*12,0))))))-F99))</f>
        <v>6696.001971071826</v>
      </c>
      <c r="H99" s="28">
        <f>F99+G99</f>
        <v>36621.322901793814</v>
      </c>
      <c r="I99" s="28">
        <f>E99-G99</f>
        <v>5279641.6149055995</v>
      </c>
      <c r="J99" s="88">
        <f>IF(a_RateType="Floating",MAX(0,IF(a_FloatStrike&gt;0,MIN(a_FloatStrike,IF(a_FloatFloor&gt;0,MAX(a_FloatFloor,(a_FloatIndex+a_FloatDrift*(B99-1)/12)),(a_FloatIndex+a_FloatDrift*(B99-1)/12))),IF(a_FloatFloor&gt;0,MAX(a_FloatFloor,(a_FloatIndex+a_FloatDrift*(B99-1)/12)),(a_FloatIndex+a_FloatDrift*(B99-1)/12)))+a_FloatSpread),in_InterestRate)</f>
        <v>0.067</v>
      </c>
    </row>
    <row r="100">
      <c r="B100" s="25">
        <v>61</v>
      </c>
      <c r="C100" s="57">
        <f>EOMONTH(in_AnalysisStart,B100-1)</f>
        <v>48244</v>
      </c>
      <c r="D100" s="89">
        <f>INT((B100-1)/12)+1</f>
        <v>6</v>
      </c>
      <c r="E100" s="28">
        <f>I99</f>
        <v>5279641.6149055995</v>
      </c>
      <c r="F100" s="28">
        <f>E100*(J100*a_DayFactor/12)</f>
        <v>29887.41566956399</v>
      </c>
      <c r="G100" s="28">
        <f>IF(OR(B100&lt;=ROUND(in_IOYears*12,0),E100&lt;=0,(in_AmortYears*12-MAX(0,B100-1-ROUND(in_IOYears*12,0)))&lt;=0),0,MIN(E100,IF((J100*a_DayFactor/12)=0,E100/(in_AmortYears*12-MAX(0,B100-1-ROUND(in_IOYears*12,0))),E100*(J100*a_DayFactor/12)/(1-(1+(J100*a_DayFactor/12))^(-(in_AmortYears*12-MAX(0,B100-1-ROUND(in_IOYears*12,0))))))-F100))</f>
        <v>6733.907232229823</v>
      </c>
      <c r="H100" s="28">
        <f>F100+G100</f>
        <v>36621.322901793814</v>
      </c>
      <c r="I100" s="28">
        <f>E100-G100</f>
        <v>5272907.70767337</v>
      </c>
      <c r="J100" s="88">
        <f>IF(a_RateType="Floating",MAX(0,IF(a_FloatStrike&gt;0,MIN(a_FloatStrike,IF(a_FloatFloor&gt;0,MAX(a_FloatFloor,(a_FloatIndex+a_FloatDrift*(B100-1)/12)),(a_FloatIndex+a_FloatDrift*(B100-1)/12))),IF(a_FloatFloor&gt;0,MAX(a_FloatFloor,(a_FloatIndex+a_FloatDrift*(B100-1)/12)),(a_FloatIndex+a_FloatDrift*(B100-1)/12)))+a_FloatSpread),in_InterestRate)</f>
        <v>0.067</v>
      </c>
    </row>
    <row r="101">
      <c r="B101" s="25">
        <v>62</v>
      </c>
      <c r="C101" s="57">
        <f>EOMONTH(in_AnalysisStart,B101-1)</f>
        <v>48273</v>
      </c>
      <c r="D101" s="89">
        <f>INT((B101-1)/12)+1</f>
        <v>6</v>
      </c>
      <c r="E101" s="28">
        <f>I100</f>
        <v>5272907.70767337</v>
      </c>
      <c r="F101" s="28">
        <f>E101*(J101*a_DayFactor/12)</f>
        <v>29849.295831285246</v>
      </c>
      <c r="G101" s="28">
        <f>IF(OR(B101&lt;=ROUND(in_IOYears*12,0),E101&lt;=0,(in_AmortYears*12-MAX(0,B101-1-ROUND(in_IOYears*12,0)))&lt;=0),0,MIN(E101,IF((J101*a_DayFactor/12)=0,E101/(in_AmortYears*12-MAX(0,B101-1-ROUND(in_IOYears*12,0))),E101*(J101*a_DayFactor/12)/(1-(1+(J101*a_DayFactor/12))^(-(in_AmortYears*12-MAX(0,B101-1-ROUND(in_IOYears*12,0))))))-F101))</f>
        <v>6772.027070508575</v>
      </c>
      <c r="H101" s="28">
        <f>F101+G101</f>
        <v>36621.32290179382</v>
      </c>
      <c r="I101" s="28">
        <f>E101-G101</f>
        <v>5266135.680602862</v>
      </c>
      <c r="J101" s="88">
        <f>IF(a_RateType="Floating",MAX(0,IF(a_FloatStrike&gt;0,MIN(a_FloatStrike,IF(a_FloatFloor&gt;0,MAX(a_FloatFloor,(a_FloatIndex+a_FloatDrift*(B101-1)/12)),(a_FloatIndex+a_FloatDrift*(B101-1)/12))),IF(a_FloatFloor&gt;0,MAX(a_FloatFloor,(a_FloatIndex+a_FloatDrift*(B101-1)/12)),(a_FloatIndex+a_FloatDrift*(B101-1)/12)))+a_FloatSpread),in_InterestRate)</f>
        <v>0.067</v>
      </c>
    </row>
    <row r="102">
      <c r="B102" s="25">
        <v>63</v>
      </c>
      <c r="C102" s="57">
        <f>EOMONTH(in_AnalysisStart,B102-1)</f>
        <v>48304</v>
      </c>
      <c r="D102" s="89">
        <f>INT((B102-1)/12)+1</f>
        <v>6</v>
      </c>
      <c r="E102" s="28">
        <f>I101</f>
        <v>5266135.680602862</v>
      </c>
      <c r="F102" s="28">
        <f>E102*(J102*a_DayFactor/12)</f>
        <v>29810.960201190504</v>
      </c>
      <c r="G102" s="28">
        <f>IF(OR(B102&lt;=ROUND(in_IOYears*12,0),E102&lt;=0,(in_AmortYears*12-MAX(0,B102-1-ROUND(in_IOYears*12,0)))&lt;=0),0,MIN(E102,IF((J102*a_DayFactor/12)=0,E102/(in_AmortYears*12-MAX(0,B102-1-ROUND(in_IOYears*12,0))),E102*(J102*a_DayFactor/12)/(1-(1+(J102*a_DayFactor/12))^(-(in_AmortYears*12-MAX(0,B102-1-ROUND(in_IOYears*12,0))))))-F102))</f>
        <v>6810.362700603309</v>
      </c>
      <c r="H102" s="28">
        <f>F102+G102</f>
        <v>36621.322901793814</v>
      </c>
      <c r="I102" s="28">
        <f>E102-G102</f>
        <v>5259325.317902259</v>
      </c>
      <c r="J102" s="88">
        <f>IF(a_RateType="Floating",MAX(0,IF(a_FloatStrike&gt;0,MIN(a_FloatStrike,IF(a_FloatFloor&gt;0,MAX(a_FloatFloor,(a_FloatIndex+a_FloatDrift*(B102-1)/12)),(a_FloatIndex+a_FloatDrift*(B102-1)/12))),IF(a_FloatFloor&gt;0,MAX(a_FloatFloor,(a_FloatIndex+a_FloatDrift*(B102-1)/12)),(a_FloatIndex+a_FloatDrift*(B102-1)/12)))+a_FloatSpread),in_InterestRate)</f>
        <v>0.067</v>
      </c>
    </row>
    <row r="103">
      <c r="B103" s="25">
        <v>64</v>
      </c>
      <c r="C103" s="57">
        <f>EOMONTH(in_AnalysisStart,B103-1)</f>
        <v>48334</v>
      </c>
      <c r="D103" s="89">
        <f>INT((B103-1)/12)+1</f>
        <v>6</v>
      </c>
      <c r="E103" s="28">
        <f>I102</f>
        <v>5259325.317902259</v>
      </c>
      <c r="F103" s="28">
        <f>E103*(J103*a_DayFactor/12)</f>
        <v>29772.40755770827</v>
      </c>
      <c r="G103" s="28">
        <f>IF(OR(B103&lt;=ROUND(in_IOYears*12,0),E103&lt;=0,(in_AmortYears*12-MAX(0,B103-1-ROUND(in_IOYears*12,0)))&lt;=0),0,MIN(E103,IF((J103*a_DayFactor/12)=0,E103/(in_AmortYears*12-MAX(0,B103-1-ROUND(in_IOYears*12,0))),E103*(J103*a_DayFactor/12)/(1-(1+(J103*a_DayFactor/12))^(-(in_AmortYears*12-MAX(0,B103-1-ROUND(in_IOYears*12,0))))))-F103))</f>
        <v>6848.915344085552</v>
      </c>
      <c r="H103" s="28">
        <f>F103+G103</f>
        <v>36621.32290179382</v>
      </c>
      <c r="I103" s="28">
        <f>E103-G103</f>
        <v>5252476.402558173</v>
      </c>
      <c r="J103" s="88">
        <f>IF(a_RateType="Floating",MAX(0,IF(a_FloatStrike&gt;0,MIN(a_FloatStrike,IF(a_FloatFloor&gt;0,MAX(a_FloatFloor,(a_FloatIndex+a_FloatDrift*(B103-1)/12)),(a_FloatIndex+a_FloatDrift*(B103-1)/12))),IF(a_FloatFloor&gt;0,MAX(a_FloatFloor,(a_FloatIndex+a_FloatDrift*(B103-1)/12)),(a_FloatIndex+a_FloatDrift*(B103-1)/12)))+a_FloatSpread),in_InterestRate)</f>
        <v>0.067</v>
      </c>
    </row>
    <row r="104">
      <c r="B104" s="25">
        <v>65</v>
      </c>
      <c r="C104" s="57">
        <f>EOMONTH(in_AnalysisStart,B104-1)</f>
        <v>48365</v>
      </c>
      <c r="D104" s="89">
        <f>INT((B104-1)/12)+1</f>
        <v>6</v>
      </c>
      <c r="E104" s="28">
        <f>I103</f>
        <v>5252476.402558173</v>
      </c>
      <c r="F104" s="28">
        <f>E104*(J104*a_DayFactor/12)</f>
        <v>29733.63667235188</v>
      </c>
      <c r="G104" s="28">
        <f>IF(OR(B104&lt;=ROUND(in_IOYears*12,0),E104&lt;=0,(in_AmortYears*12-MAX(0,B104-1-ROUND(in_IOYears*12,0)))&lt;=0),0,MIN(E104,IF((J104*a_DayFactor/12)=0,E104/(in_AmortYears*12-MAX(0,B104-1-ROUND(in_IOYears*12,0))),E104*(J104*a_DayFactor/12)/(1-(1+(J104*a_DayFactor/12))^(-(in_AmortYears*12-MAX(0,B104-1-ROUND(in_IOYears*12,0))))))-F104))</f>
        <v>6887.686229441941</v>
      </c>
      <c r="H104" s="28">
        <f>F104+G104</f>
        <v>36621.32290179382</v>
      </c>
      <c r="I104" s="28">
        <f>E104-G104</f>
        <v>5245588.716328731</v>
      </c>
      <c r="J104" s="88">
        <f>IF(a_RateType="Floating",MAX(0,IF(a_FloatStrike&gt;0,MIN(a_FloatStrike,IF(a_FloatFloor&gt;0,MAX(a_FloatFloor,(a_FloatIndex+a_FloatDrift*(B104-1)/12)),(a_FloatIndex+a_FloatDrift*(B104-1)/12))),IF(a_FloatFloor&gt;0,MAX(a_FloatFloor,(a_FloatIndex+a_FloatDrift*(B104-1)/12)),(a_FloatIndex+a_FloatDrift*(B104-1)/12)))+a_FloatSpread),in_InterestRate)</f>
        <v>0.067</v>
      </c>
    </row>
    <row r="105">
      <c r="B105" s="25">
        <v>66</v>
      </c>
      <c r="C105" s="57">
        <f>EOMONTH(in_AnalysisStart,B105-1)</f>
        <v>48395</v>
      </c>
      <c r="D105" s="89">
        <f>INT((B105-1)/12)+1</f>
        <v>6</v>
      </c>
      <c r="E105" s="28">
        <f>I104</f>
        <v>5245588.716328731</v>
      </c>
      <c r="F105" s="28">
        <f>E105*(J105*a_DayFactor/12)</f>
        <v>29694.64630968035</v>
      </c>
      <c r="G105" s="28">
        <f>IF(OR(B105&lt;=ROUND(in_IOYears*12,0),E105&lt;=0,(in_AmortYears*12-MAX(0,B105-1-ROUND(in_IOYears*12,0)))&lt;=0),0,MIN(E105,IF((J105*a_DayFactor/12)=0,E105/(in_AmortYears*12-MAX(0,B105-1-ROUND(in_IOYears*12,0))),E105*(J105*a_DayFactor/12)/(1-(1+(J105*a_DayFactor/12))^(-(in_AmortYears*12-MAX(0,B105-1-ROUND(in_IOYears*12,0))))))-F105))</f>
        <v>6926.676592113465</v>
      </c>
      <c r="H105" s="28">
        <f>F105+G105</f>
        <v>36621.322901793814</v>
      </c>
      <c r="I105" s="28">
        <f>E105-G105</f>
        <v>5238662.039736617</v>
      </c>
      <c r="J105" s="88">
        <f>IF(a_RateType="Floating",MAX(0,IF(a_FloatStrike&gt;0,MIN(a_FloatStrike,IF(a_FloatFloor&gt;0,MAX(a_FloatFloor,(a_FloatIndex+a_FloatDrift*(B105-1)/12)),(a_FloatIndex+a_FloatDrift*(B105-1)/12))),IF(a_FloatFloor&gt;0,MAX(a_FloatFloor,(a_FloatIndex+a_FloatDrift*(B105-1)/12)),(a_FloatIndex+a_FloatDrift*(B105-1)/12)))+a_FloatSpread),in_InterestRate)</f>
        <v>0.067</v>
      </c>
    </row>
    <row r="106">
      <c r="B106" s="25">
        <v>67</v>
      </c>
      <c r="C106" s="57">
        <f>EOMONTH(in_AnalysisStart,B106-1)</f>
        <v>48426</v>
      </c>
      <c r="D106" s="89">
        <f>INT((B106-1)/12)+1</f>
        <v>6</v>
      </c>
      <c r="E106" s="28">
        <f>I105</f>
        <v>5238662.039736617</v>
      </c>
      <c r="F106" s="28">
        <f>E106*(J106*a_DayFactor/12)</f>
        <v>29655.435227259022</v>
      </c>
      <c r="G106" s="28">
        <f>IF(OR(B106&lt;=ROUND(in_IOYears*12,0),E106&lt;=0,(in_AmortYears*12-MAX(0,B106-1-ROUND(in_IOYears*12,0)))&lt;=0),0,MIN(E106,IF((J106*a_DayFactor/12)=0,E106/(in_AmortYears*12-MAX(0,B106-1-ROUND(in_IOYears*12,0))),E106*(J106*a_DayFactor/12)/(1-(1+(J106*a_DayFactor/12))^(-(in_AmortYears*12-MAX(0,B106-1-ROUND(in_IOYears*12,0))))))-F106))</f>
        <v>6965.887674534792</v>
      </c>
      <c r="H106" s="28">
        <f>F106+G106</f>
        <v>36621.322901793814</v>
      </c>
      <c r="I106" s="28">
        <f>E106-G106</f>
        <v>5231696.152062083</v>
      </c>
      <c r="J106" s="88">
        <f>IF(a_RateType="Floating",MAX(0,IF(a_FloatStrike&gt;0,MIN(a_FloatStrike,IF(a_FloatFloor&gt;0,MAX(a_FloatFloor,(a_FloatIndex+a_FloatDrift*(B106-1)/12)),(a_FloatIndex+a_FloatDrift*(B106-1)/12))),IF(a_FloatFloor&gt;0,MAX(a_FloatFloor,(a_FloatIndex+a_FloatDrift*(B106-1)/12)),(a_FloatIndex+a_FloatDrift*(B106-1)/12)))+a_FloatSpread),in_InterestRate)</f>
        <v>0.067</v>
      </c>
    </row>
    <row r="107">
      <c r="B107" s="25">
        <v>68</v>
      </c>
      <c r="C107" s="57">
        <f>EOMONTH(in_AnalysisStart,B107-1)</f>
        <v>48457</v>
      </c>
      <c r="D107" s="89">
        <f>INT((B107-1)/12)+1</f>
        <v>6</v>
      </c>
      <c r="E107" s="28">
        <f>I106</f>
        <v>5231696.152062083</v>
      </c>
      <c r="F107" s="28">
        <f>E107*(J107*a_DayFactor/12)</f>
        <v>29616.00217561996</v>
      </c>
      <c r="G107" s="28">
        <f>IF(OR(B107&lt;=ROUND(in_IOYears*12,0),E107&lt;=0,(in_AmortYears*12-MAX(0,B107-1-ROUND(in_IOYears*12,0)))&lt;=0),0,MIN(E107,IF((J107*a_DayFactor/12)=0,E107/(in_AmortYears*12-MAX(0,B107-1-ROUND(in_IOYears*12,0))),E107*(J107*a_DayFactor/12)/(1-(1+(J107*a_DayFactor/12))^(-(in_AmortYears*12-MAX(0,B107-1-ROUND(in_IOYears*12,0))))))-F107))</f>
        <v>7005.3207261738535</v>
      </c>
      <c r="H107" s="28">
        <f>F107+G107</f>
        <v>36621.322901793814</v>
      </c>
      <c r="I107" s="28">
        <f>E107-G107</f>
        <v>5224690.831335909</v>
      </c>
      <c r="J107" s="88">
        <f>IF(a_RateType="Floating",MAX(0,IF(a_FloatStrike&gt;0,MIN(a_FloatStrike,IF(a_FloatFloor&gt;0,MAX(a_FloatFloor,(a_FloatIndex+a_FloatDrift*(B107-1)/12)),(a_FloatIndex+a_FloatDrift*(B107-1)/12))),IF(a_FloatFloor&gt;0,MAX(a_FloatFloor,(a_FloatIndex+a_FloatDrift*(B107-1)/12)),(a_FloatIndex+a_FloatDrift*(B107-1)/12)))+a_FloatSpread),in_InterestRate)</f>
        <v>0.067</v>
      </c>
    </row>
    <row r="108">
      <c r="B108" s="25">
        <v>69</v>
      </c>
      <c r="C108" s="57">
        <f>EOMONTH(in_AnalysisStart,B108-1)</f>
        <v>48487</v>
      </c>
      <c r="D108" s="89">
        <f>INT((B108-1)/12)+1</f>
        <v>6</v>
      </c>
      <c r="E108" s="28">
        <f>I107</f>
        <v>5224690.831335909</v>
      </c>
      <c r="F108" s="28">
        <f>E108*(J108*a_DayFactor/12)</f>
        <v>29576.34589822214</v>
      </c>
      <c r="G108" s="28">
        <f>IF(OR(B108&lt;=ROUND(in_IOYears*12,0),E108&lt;=0,(in_AmortYears*12-MAX(0,B108-1-ROUND(in_IOYears*12,0)))&lt;=0),0,MIN(E108,IF((J108*a_DayFactor/12)=0,E108/(in_AmortYears*12-MAX(0,B108-1-ROUND(in_IOYears*12,0))),E108*(J108*a_DayFactor/12)/(1-(1+(J108*a_DayFactor/12))^(-(in_AmortYears*12-MAX(0,B108-1-ROUND(in_IOYears*12,0))))))-F108))</f>
        <v>7044.977003571676</v>
      </c>
      <c r="H108" s="28">
        <f>F108+G108</f>
        <v>36621.322901793814</v>
      </c>
      <c r="I108" s="28">
        <f>E108-G108</f>
        <v>5217645.854332337</v>
      </c>
      <c r="J108" s="88">
        <f>IF(a_RateType="Floating",MAX(0,IF(a_FloatStrike&gt;0,MIN(a_FloatStrike,IF(a_FloatFloor&gt;0,MAX(a_FloatFloor,(a_FloatIndex+a_FloatDrift*(B108-1)/12)),(a_FloatIndex+a_FloatDrift*(B108-1)/12))),IF(a_FloatFloor&gt;0,MAX(a_FloatFloor,(a_FloatIndex+a_FloatDrift*(B108-1)/12)),(a_FloatIndex+a_FloatDrift*(B108-1)/12)))+a_FloatSpread),in_InterestRate)</f>
        <v>0.067</v>
      </c>
    </row>
    <row r="109">
      <c r="B109" s="25">
        <v>70</v>
      </c>
      <c r="C109" s="57">
        <f>EOMONTH(in_AnalysisStart,B109-1)</f>
        <v>48518</v>
      </c>
      <c r="D109" s="89">
        <f>INT((B109-1)/12)+1</f>
        <v>6</v>
      </c>
      <c r="E109" s="28">
        <f>I108</f>
        <v>5217645.854332337</v>
      </c>
      <c r="F109" s="28">
        <f>E109*(J109*a_DayFactor/12)</f>
        <v>29536.465131411413</v>
      </c>
      <c r="G109" s="28">
        <f>IF(OR(B109&lt;=ROUND(in_IOYears*12,0),E109&lt;=0,(in_AmortYears*12-MAX(0,B109-1-ROUND(in_IOYears*12,0)))&lt;=0),0,MIN(E109,IF((J109*a_DayFactor/12)=0,E109/(in_AmortYears*12-MAX(0,B109-1-ROUND(in_IOYears*12,0))),E109*(J109*a_DayFactor/12)/(1-(1+(J109*a_DayFactor/12))^(-(in_AmortYears*12-MAX(0,B109-1-ROUND(in_IOYears*12,0))))))-F109))</f>
        <v>7084.857770382401</v>
      </c>
      <c r="H109" s="28">
        <f>F109+G109</f>
        <v>36621.322901793814</v>
      </c>
      <c r="I109" s="28">
        <f>E109-G109</f>
        <v>5210560.996561955</v>
      </c>
      <c r="J109" s="88">
        <f>IF(a_RateType="Floating",MAX(0,IF(a_FloatStrike&gt;0,MIN(a_FloatStrike,IF(a_FloatFloor&gt;0,MAX(a_FloatFloor,(a_FloatIndex+a_FloatDrift*(B109-1)/12)),(a_FloatIndex+a_FloatDrift*(B109-1)/12))),IF(a_FloatFloor&gt;0,MAX(a_FloatFloor,(a_FloatIndex+a_FloatDrift*(B109-1)/12)),(a_FloatIndex+a_FloatDrift*(B109-1)/12)))+a_FloatSpread),in_InterestRate)</f>
        <v>0.067</v>
      </c>
    </row>
    <row r="110">
      <c r="B110" s="25">
        <v>71</v>
      </c>
      <c r="C110" s="57">
        <f>EOMONTH(in_AnalysisStart,B110-1)</f>
        <v>48548</v>
      </c>
      <c r="D110" s="89">
        <f>INT((B110-1)/12)+1</f>
        <v>6</v>
      </c>
      <c r="E110" s="28">
        <f>I109</f>
        <v>5210560.996561955</v>
      </c>
      <c r="F110" s="28">
        <f>E110*(J110*a_DayFactor/12)</f>
        <v>29496.35860438023</v>
      </c>
      <c r="G110" s="28">
        <f>IF(OR(B110&lt;=ROUND(in_IOYears*12,0),E110&lt;=0,(in_AmortYears*12-MAX(0,B110-1-ROUND(in_IOYears*12,0)))&lt;=0),0,MIN(E110,IF((J110*a_DayFactor/12)=0,E110/(in_AmortYears*12-MAX(0,B110-1-ROUND(in_IOYears*12,0))),E110*(J110*a_DayFactor/12)/(1-(1+(J110*a_DayFactor/12))^(-(in_AmortYears*12-MAX(0,B110-1-ROUND(in_IOYears*12,0))))))-F110))</f>
        <v>7124.964297413582</v>
      </c>
      <c r="H110" s="28">
        <f>F110+G110</f>
        <v>36621.322901793814</v>
      </c>
      <c r="I110" s="28">
        <f>E110-G110</f>
        <v>5203436.032264541</v>
      </c>
      <c r="J110" s="88">
        <f>IF(a_RateType="Floating",MAX(0,IF(a_FloatStrike&gt;0,MIN(a_FloatStrike,IF(a_FloatFloor&gt;0,MAX(a_FloatFloor,(a_FloatIndex+a_FloatDrift*(B110-1)/12)),(a_FloatIndex+a_FloatDrift*(B110-1)/12))),IF(a_FloatFloor&gt;0,MAX(a_FloatFloor,(a_FloatIndex+a_FloatDrift*(B110-1)/12)),(a_FloatIndex+a_FloatDrift*(B110-1)/12)))+a_FloatSpread),in_InterestRate)</f>
        <v>0.067</v>
      </c>
    </row>
    <row r="111">
      <c r="B111" s="25">
        <v>72</v>
      </c>
      <c r="C111" s="57">
        <f>EOMONTH(in_AnalysisStart,B111-1)</f>
        <v>48579</v>
      </c>
      <c r="D111" s="89">
        <f>INT((B111-1)/12)+1</f>
        <v>6</v>
      </c>
      <c r="E111" s="28">
        <f>I110</f>
        <v>5203436.032264541</v>
      </c>
      <c r="F111" s="28">
        <f>E111*(J111*a_DayFactor/12)</f>
        <v>29456.025039127162</v>
      </c>
      <c r="G111" s="28">
        <f>IF(OR(B111&lt;=ROUND(in_IOYears*12,0),E111&lt;=0,(in_AmortYears*12-MAX(0,B111-1-ROUND(in_IOYears*12,0)))&lt;=0),0,MIN(E111,IF((J111*a_DayFactor/12)=0,E111/(in_AmortYears*12-MAX(0,B111-1-ROUND(in_IOYears*12,0))),E111*(J111*a_DayFactor/12)/(1-(1+(J111*a_DayFactor/12))^(-(in_AmortYears*12-MAX(0,B111-1-ROUND(in_IOYears*12,0))))))-F111))</f>
        <v>7165.297862666652</v>
      </c>
      <c r="H111" s="28">
        <f>F111+G111</f>
        <v>36621.322901793814</v>
      </c>
      <c r="I111" s="28">
        <f>E111-G111</f>
        <v>5196270.734401874</v>
      </c>
      <c r="J111" s="88">
        <f>IF(a_RateType="Floating",MAX(0,IF(a_FloatStrike&gt;0,MIN(a_FloatStrike,IF(a_FloatFloor&gt;0,MAX(a_FloatFloor,(a_FloatIndex+a_FloatDrift*(B111-1)/12)),(a_FloatIndex+a_FloatDrift*(B111-1)/12))),IF(a_FloatFloor&gt;0,MAX(a_FloatFloor,(a_FloatIndex+a_FloatDrift*(B111-1)/12)),(a_FloatIndex+a_FloatDrift*(B111-1)/12)))+a_FloatSpread),in_InterestRate)</f>
        <v>0.067</v>
      </c>
    </row>
    <row r="112">
      <c r="B112" s="25">
        <v>73</v>
      </c>
      <c r="C112" s="57">
        <f>EOMONTH(in_AnalysisStart,B112-1)</f>
        <v>48610</v>
      </c>
      <c r="D112" s="89">
        <f>INT((B112-1)/12)+1</f>
        <v>7</v>
      </c>
      <c r="E112" s="28">
        <f>I111</f>
        <v>5196270.734401874</v>
      </c>
      <c r="F112" s="28">
        <f>E112*(J112*a_DayFactor/12)</f>
        <v>29415.463150416163</v>
      </c>
      <c r="G112" s="28">
        <f>IF(OR(B112&lt;=ROUND(in_IOYears*12,0),E112&lt;=0,(in_AmortYears*12-MAX(0,B112-1-ROUND(in_IOYears*12,0)))&lt;=0),0,MIN(E112,IF((J112*a_DayFactor/12)=0,E112/(in_AmortYears*12-MAX(0,B112-1-ROUND(in_IOYears*12,0))),E112*(J112*a_DayFactor/12)/(1-(1+(J112*a_DayFactor/12))^(-(in_AmortYears*12-MAX(0,B112-1-ROUND(in_IOYears*12,0))))))-F112))</f>
        <v>7205.859751377651</v>
      </c>
      <c r="H112" s="28">
        <f>F112+G112</f>
        <v>36621.322901793814</v>
      </c>
      <c r="I112" s="28">
        <f>E112-G112</f>
        <v>5189064.874650497</v>
      </c>
      <c r="J112" s="88">
        <f>IF(a_RateType="Floating",MAX(0,IF(a_FloatStrike&gt;0,MIN(a_FloatStrike,IF(a_FloatFloor&gt;0,MAX(a_FloatFloor,(a_FloatIndex+a_FloatDrift*(B112-1)/12)),(a_FloatIndex+a_FloatDrift*(B112-1)/12))),IF(a_FloatFloor&gt;0,MAX(a_FloatFloor,(a_FloatIndex+a_FloatDrift*(B112-1)/12)),(a_FloatIndex+a_FloatDrift*(B112-1)/12)))+a_FloatSpread),in_InterestRate)</f>
        <v>0.067</v>
      </c>
    </row>
    <row r="113">
      <c r="B113" s="25">
        <v>74</v>
      </c>
      <c r="C113" s="57">
        <f>EOMONTH(in_AnalysisStart,B113-1)</f>
        <v>48638</v>
      </c>
      <c r="D113" s="89">
        <f>INT((B113-1)/12)+1</f>
        <v>7</v>
      </c>
      <c r="E113" s="28">
        <f>I112</f>
        <v>5189064.874650497</v>
      </c>
      <c r="F113" s="28">
        <f>E113*(J113*a_DayFactor/12)</f>
        <v>29374.671645735623</v>
      </c>
      <c r="G113" s="28">
        <f>IF(OR(B113&lt;=ROUND(in_IOYears*12,0),E113&lt;=0,(in_AmortYears*12-MAX(0,B113-1-ROUND(in_IOYears*12,0)))&lt;=0),0,MIN(E113,IF((J113*a_DayFactor/12)=0,E113/(in_AmortYears*12-MAX(0,B113-1-ROUND(in_IOYears*12,0))),E113*(J113*a_DayFactor/12)/(1-(1+(J113*a_DayFactor/12))^(-(in_AmortYears*12-MAX(0,B113-1-ROUND(in_IOYears*12,0))))))-F113))</f>
        <v>7246.6512560581905</v>
      </c>
      <c r="H113" s="28">
        <f>F113+G113</f>
        <v>36621.322901793814</v>
      </c>
      <c r="I113" s="28">
        <f>E113-G113</f>
        <v>5181818.223394439</v>
      </c>
      <c r="J113" s="88">
        <f>IF(a_RateType="Floating",MAX(0,IF(a_FloatStrike&gt;0,MIN(a_FloatStrike,IF(a_FloatFloor&gt;0,MAX(a_FloatFloor,(a_FloatIndex+a_FloatDrift*(B113-1)/12)),(a_FloatIndex+a_FloatDrift*(B113-1)/12))),IF(a_FloatFloor&gt;0,MAX(a_FloatFloor,(a_FloatIndex+a_FloatDrift*(B113-1)/12)),(a_FloatIndex+a_FloatDrift*(B113-1)/12)))+a_FloatSpread),in_InterestRate)</f>
        <v>0.067</v>
      </c>
    </row>
    <row r="114">
      <c r="B114" s="25">
        <v>75</v>
      </c>
      <c r="C114" s="57">
        <f>EOMONTH(in_AnalysisStart,B114-1)</f>
        <v>48669</v>
      </c>
      <c r="D114" s="89">
        <f>INT((B114-1)/12)+1</f>
        <v>7</v>
      </c>
      <c r="E114" s="28">
        <f>I113</f>
        <v>5181818.223394439</v>
      </c>
      <c r="F114" s="28">
        <f>E114*(J114*a_DayFactor/12)</f>
        <v>29333.649225257173</v>
      </c>
      <c r="G114" s="28">
        <f>IF(OR(B114&lt;=ROUND(in_IOYears*12,0),E114&lt;=0,(in_AmortYears*12-MAX(0,B114-1-ROUND(in_IOYears*12,0)))&lt;=0),0,MIN(E114,IF((J114*a_DayFactor/12)=0,E114/(in_AmortYears*12-MAX(0,B114-1-ROUND(in_IOYears*12,0))),E114*(J114*a_DayFactor/12)/(1-(1+(J114*a_DayFactor/12))^(-(in_AmortYears*12-MAX(0,B114-1-ROUND(in_IOYears*12,0))))))-F114))</f>
        <v>7287.673676536633</v>
      </c>
      <c r="H114" s="28">
        <f>F114+G114</f>
        <v>36621.32290179381</v>
      </c>
      <c r="I114" s="28">
        <f>E114-G114</f>
        <v>5174530.549717902</v>
      </c>
      <c r="J114" s="88">
        <f>IF(a_RateType="Floating",MAX(0,IF(a_FloatStrike&gt;0,MIN(a_FloatStrike,IF(a_FloatFloor&gt;0,MAX(a_FloatFloor,(a_FloatIndex+a_FloatDrift*(B114-1)/12)),(a_FloatIndex+a_FloatDrift*(B114-1)/12))),IF(a_FloatFloor&gt;0,MAX(a_FloatFloor,(a_FloatIndex+a_FloatDrift*(B114-1)/12)),(a_FloatIndex+a_FloatDrift*(B114-1)/12)))+a_FloatSpread),in_InterestRate)</f>
        <v>0.067</v>
      </c>
    </row>
    <row r="115">
      <c r="B115" s="25">
        <v>76</v>
      </c>
      <c r="C115" s="57">
        <f>EOMONTH(in_AnalysisStart,B115-1)</f>
        <v>48699</v>
      </c>
      <c r="D115" s="89">
        <f>INT((B115-1)/12)+1</f>
        <v>7</v>
      </c>
      <c r="E115" s="28">
        <f>I114</f>
        <v>5174530.549717902</v>
      </c>
      <c r="F115" s="28">
        <f>E115*(J115*a_DayFactor/12)</f>
        <v>29292.39458179428</v>
      </c>
      <c r="G115" s="28">
        <f>IF(OR(B115&lt;=ROUND(in_IOYears*12,0),E115&lt;=0,(in_AmortYears*12-MAX(0,B115-1-ROUND(in_IOYears*12,0)))&lt;=0),0,MIN(E115,IF((J115*a_DayFactor/12)=0,E115/(in_AmortYears*12-MAX(0,B115-1-ROUND(in_IOYears*12,0))),E115*(J115*a_DayFactor/12)/(1-(1+(J115*a_DayFactor/12))^(-(in_AmortYears*12-MAX(0,B115-1-ROUND(in_IOYears*12,0))))))-F115))</f>
        <v>7328.928319999533</v>
      </c>
      <c r="H115" s="28">
        <f>F115+G115</f>
        <v>36621.322901793814</v>
      </c>
      <c r="I115" s="28">
        <f>E115-G115</f>
        <v>5167201.621397902</v>
      </c>
      <c r="J115" s="88">
        <f>IF(a_RateType="Floating",MAX(0,IF(a_FloatStrike&gt;0,MIN(a_FloatStrike,IF(a_FloatFloor&gt;0,MAX(a_FloatFloor,(a_FloatIndex+a_FloatDrift*(B115-1)/12)),(a_FloatIndex+a_FloatDrift*(B115-1)/12))),IF(a_FloatFloor&gt;0,MAX(a_FloatFloor,(a_FloatIndex+a_FloatDrift*(B115-1)/12)),(a_FloatIndex+a_FloatDrift*(B115-1)/12)))+a_FloatSpread),in_InterestRate)</f>
        <v>0.067</v>
      </c>
    </row>
    <row r="116">
      <c r="B116" s="25">
        <v>77</v>
      </c>
      <c r="C116" s="57">
        <f>EOMONTH(in_AnalysisStart,B116-1)</f>
        <v>48730</v>
      </c>
      <c r="D116" s="89">
        <f>INT((B116-1)/12)+1</f>
        <v>7</v>
      </c>
      <c r="E116" s="28">
        <f>I115</f>
        <v>5167201.621397902</v>
      </c>
      <c r="F116" s="28">
        <f>E116*(J116*a_DayFactor/12)</f>
        <v>29250.906400760578</v>
      </c>
      <c r="G116" s="28">
        <f>IF(OR(B116&lt;=ROUND(in_IOYears*12,0),E116&lt;=0,(in_AmortYears*12-MAX(0,B116-1-ROUND(in_IOYears*12,0)))&lt;=0),0,MIN(E116,IF((J116*a_DayFactor/12)=0,E116/(in_AmortYears*12-MAX(0,B116-1-ROUND(in_IOYears*12,0))),E116*(J116*a_DayFactor/12)/(1-(1+(J116*a_DayFactor/12))^(-(in_AmortYears*12-MAX(0,B116-1-ROUND(in_IOYears*12,0))))))-F116))</f>
        <v>7370.416501033229</v>
      </c>
      <c r="H116" s="28">
        <f>F116+G116</f>
        <v>36621.32290179381</v>
      </c>
      <c r="I116" s="28">
        <f>E116-G116</f>
        <v>5159831.204896869</v>
      </c>
      <c r="J116" s="88">
        <f>IF(a_RateType="Floating",MAX(0,IF(a_FloatStrike&gt;0,MIN(a_FloatStrike,IF(a_FloatFloor&gt;0,MAX(a_FloatFloor,(a_FloatIndex+a_FloatDrift*(B116-1)/12)),(a_FloatIndex+a_FloatDrift*(B116-1)/12))),IF(a_FloatFloor&gt;0,MAX(a_FloatFloor,(a_FloatIndex+a_FloatDrift*(B116-1)/12)),(a_FloatIndex+a_FloatDrift*(B116-1)/12)))+a_FloatSpread),in_InterestRate)</f>
        <v>0.067</v>
      </c>
    </row>
    <row r="117">
      <c r="B117" s="25">
        <v>78</v>
      </c>
      <c r="C117" s="57">
        <f>EOMONTH(in_AnalysisStart,B117-1)</f>
        <v>48760</v>
      </c>
      <c r="D117" s="89">
        <f>INT((B117-1)/12)+1</f>
        <v>7</v>
      </c>
      <c r="E117" s="28">
        <f>I116</f>
        <v>5159831.204896869</v>
      </c>
      <c r="F117" s="28">
        <f>E117*(J117*a_DayFactor/12)</f>
        <v>29209.183360127994</v>
      </c>
      <c r="G117" s="28">
        <f>IF(OR(B117&lt;=ROUND(in_IOYears*12,0),E117&lt;=0,(in_AmortYears*12-MAX(0,B117-1-ROUND(in_IOYears*12,0)))&lt;=0),0,MIN(E117,IF((J117*a_DayFactor/12)=0,E117/(in_AmortYears*12-MAX(0,B117-1-ROUND(in_IOYears*12,0))),E117*(J117*a_DayFactor/12)/(1-(1+(J117*a_DayFactor/12))^(-(in_AmortYears*12-MAX(0,B117-1-ROUND(in_IOYears*12,0))))))-F117))</f>
        <v>7412.13954166582</v>
      </c>
      <c r="H117" s="28">
        <f>F117+G117</f>
        <v>36621.322901793814</v>
      </c>
      <c r="I117" s="28">
        <f>E117-G117</f>
        <v>5152419.065355203</v>
      </c>
      <c r="J117" s="88">
        <f>IF(a_RateType="Floating",MAX(0,IF(a_FloatStrike&gt;0,MIN(a_FloatStrike,IF(a_FloatFloor&gt;0,MAX(a_FloatFloor,(a_FloatIndex+a_FloatDrift*(B117-1)/12)),(a_FloatIndex+a_FloatDrift*(B117-1)/12))),IF(a_FloatFloor&gt;0,MAX(a_FloatFloor,(a_FloatIndex+a_FloatDrift*(B117-1)/12)),(a_FloatIndex+a_FloatDrift*(B117-1)/12)))+a_FloatSpread),in_InterestRate)</f>
        <v>0.067</v>
      </c>
    </row>
    <row r="118">
      <c r="B118" s="25">
        <v>79</v>
      </c>
      <c r="C118" s="57">
        <f>EOMONTH(in_AnalysisStart,B118-1)</f>
        <v>48791</v>
      </c>
      <c r="D118" s="89">
        <f>INT((B118-1)/12)+1</f>
        <v>7</v>
      </c>
      <c r="E118" s="28">
        <f>I117</f>
        <v>5152419.065355203</v>
      </c>
      <c r="F118" s="28">
        <f>E118*(J118*a_DayFactor/12)</f>
        <v>29167.224130384602</v>
      </c>
      <c r="G118" s="28">
        <f>IF(OR(B118&lt;=ROUND(in_IOYears*12,0),E118&lt;=0,(in_AmortYears*12-MAX(0,B118-1-ROUND(in_IOYears*12,0)))&lt;=0),0,MIN(E118,IF((J118*a_DayFactor/12)=0,E118/(in_AmortYears*12-MAX(0,B118-1-ROUND(in_IOYears*12,0))),E118*(J118*a_DayFactor/12)/(1-(1+(J118*a_DayFactor/12))^(-(in_AmortYears*12-MAX(0,B118-1-ROUND(in_IOYears*12,0))))))-F118))</f>
        <v>7454.098771409204</v>
      </c>
      <c r="H118" s="28">
        <f>F118+G118</f>
        <v>36621.32290179381</v>
      </c>
      <c r="I118" s="28">
        <f>E118-G118</f>
        <v>5144964.966583794</v>
      </c>
      <c r="J118" s="88">
        <f>IF(a_RateType="Floating",MAX(0,IF(a_FloatStrike&gt;0,MIN(a_FloatStrike,IF(a_FloatFloor&gt;0,MAX(a_FloatFloor,(a_FloatIndex+a_FloatDrift*(B118-1)/12)),(a_FloatIndex+a_FloatDrift*(B118-1)/12))),IF(a_FloatFloor&gt;0,MAX(a_FloatFloor,(a_FloatIndex+a_FloatDrift*(B118-1)/12)),(a_FloatIndex+a_FloatDrift*(B118-1)/12)))+a_FloatSpread),in_InterestRate)</f>
        <v>0.067</v>
      </c>
    </row>
    <row r="119">
      <c r="B119" s="25">
        <v>80</v>
      </c>
      <c r="C119" s="57">
        <f>EOMONTH(in_AnalysisStart,B119-1)</f>
        <v>48822</v>
      </c>
      <c r="D119" s="89">
        <f>INT((B119-1)/12)+1</f>
        <v>7</v>
      </c>
      <c r="E119" s="28">
        <f>I118</f>
        <v>5144964.966583794</v>
      </c>
      <c r="F119" s="28">
        <f>E119*(J119*a_DayFactor/12)</f>
        <v>29125.027374492285</v>
      </c>
      <c r="G119" s="28">
        <f>IF(OR(B119&lt;=ROUND(in_IOYears*12,0),E119&lt;=0,(in_AmortYears*12-MAX(0,B119-1-ROUND(in_IOYears*12,0)))&lt;=0),0,MIN(E119,IF((J119*a_DayFactor/12)=0,E119/(in_AmortYears*12-MAX(0,B119-1-ROUND(in_IOYears*12,0))),E119*(J119*a_DayFactor/12)/(1-(1+(J119*a_DayFactor/12))^(-(in_AmortYears*12-MAX(0,B119-1-ROUND(in_IOYears*12,0))))))-F119))</f>
        <v>7496.295527301521</v>
      </c>
      <c r="H119" s="28">
        <f>F119+G119</f>
        <v>36621.32290179381</v>
      </c>
      <c r="I119" s="28">
        <f>E119-G119</f>
        <v>5137468.671056492</v>
      </c>
      <c r="J119" s="88">
        <f>IF(a_RateType="Floating",MAX(0,IF(a_FloatStrike&gt;0,MIN(a_FloatStrike,IF(a_FloatFloor&gt;0,MAX(a_FloatFloor,(a_FloatIndex+a_FloatDrift*(B119-1)/12)),(a_FloatIndex+a_FloatDrift*(B119-1)/12))),IF(a_FloatFloor&gt;0,MAX(a_FloatFloor,(a_FloatIndex+a_FloatDrift*(B119-1)/12)),(a_FloatIndex+a_FloatDrift*(B119-1)/12)))+a_FloatSpread),in_InterestRate)</f>
        <v>0.067</v>
      </c>
    </row>
    <row r="120">
      <c r="B120" s="25">
        <v>81</v>
      </c>
      <c r="C120" s="57">
        <f>EOMONTH(in_AnalysisStart,B120-1)</f>
        <v>48852</v>
      </c>
      <c r="D120" s="89">
        <f>INT((B120-1)/12)+1</f>
        <v>7</v>
      </c>
      <c r="E120" s="28">
        <f>I119</f>
        <v>5137468.671056492</v>
      </c>
      <c r="F120" s="28">
        <f>E120*(J120*a_DayFactor/12)</f>
        <v>29082.5917478441</v>
      </c>
      <c r="G120" s="28">
        <f>IF(OR(B120&lt;=ROUND(in_IOYears*12,0),E120&lt;=0,(in_AmortYears*12-MAX(0,B120-1-ROUND(in_IOYears*12,0)))&lt;=0),0,MIN(E120,IF((J120*a_DayFactor/12)=0,E120/(in_AmortYears*12-MAX(0,B120-1-ROUND(in_IOYears*12,0))),E120*(J120*a_DayFactor/12)/(1-(1+(J120*a_DayFactor/12))^(-(in_AmortYears*12-MAX(0,B120-1-ROUND(in_IOYears*12,0))))))-F120))</f>
        <v>7538.731153949706</v>
      </c>
      <c r="H120" s="28">
        <f>F120+G120</f>
        <v>36621.32290179381</v>
      </c>
      <c r="I120" s="28">
        <f>E120-G120</f>
        <v>5129929.939902542</v>
      </c>
      <c r="J120" s="88">
        <f>IF(a_RateType="Floating",MAX(0,IF(a_FloatStrike&gt;0,MIN(a_FloatStrike,IF(a_FloatFloor&gt;0,MAX(a_FloatFloor,(a_FloatIndex+a_FloatDrift*(B120-1)/12)),(a_FloatIndex+a_FloatDrift*(B120-1)/12))),IF(a_FloatFloor&gt;0,MAX(a_FloatFloor,(a_FloatIndex+a_FloatDrift*(B120-1)/12)),(a_FloatIndex+a_FloatDrift*(B120-1)/12)))+a_FloatSpread),in_InterestRate)</f>
        <v>0.067</v>
      </c>
    </row>
    <row r="121">
      <c r="B121" s="25">
        <v>82</v>
      </c>
      <c r="C121" s="57">
        <f>EOMONTH(in_AnalysisStart,B121-1)</f>
        <v>48883</v>
      </c>
      <c r="D121" s="89">
        <f>INT((B121-1)/12)+1</f>
        <v>7</v>
      </c>
      <c r="E121" s="28">
        <f>I120</f>
        <v>5129929.939902542</v>
      </c>
      <c r="F121" s="28">
        <f>E121*(J121*a_DayFactor/12)</f>
        <v>29039.91589822145</v>
      </c>
      <c r="G121" s="28">
        <f>IF(OR(B121&lt;=ROUND(in_IOYears*12,0),E121&lt;=0,(in_AmortYears*12-MAX(0,B121-1-ROUND(in_IOYears*12,0)))&lt;=0),0,MIN(E121,IF((J121*a_DayFactor/12)=0,E121/(in_AmortYears*12-MAX(0,B121-1-ROUND(in_IOYears*12,0))),E121*(J121*a_DayFactor/12)/(1-(1+(J121*a_DayFactor/12))^(-(in_AmortYears*12-MAX(0,B121-1-ROUND(in_IOYears*12,0))))))-F121))</f>
        <v>7581.407003572356</v>
      </c>
      <c r="H121" s="28">
        <f>F121+G121</f>
        <v>36621.32290179381</v>
      </c>
      <c r="I121" s="28">
        <f>E121-G121</f>
        <v>5122348.53289897</v>
      </c>
      <c r="J121" s="88">
        <f>IF(a_RateType="Floating",MAX(0,IF(a_FloatStrike&gt;0,MIN(a_FloatStrike,IF(a_FloatFloor&gt;0,MAX(a_FloatFloor,(a_FloatIndex+a_FloatDrift*(B121-1)/12)),(a_FloatIndex+a_FloatDrift*(B121-1)/12))),IF(a_FloatFloor&gt;0,MAX(a_FloatFloor,(a_FloatIndex+a_FloatDrift*(B121-1)/12)),(a_FloatIndex+a_FloatDrift*(B121-1)/12)))+a_FloatSpread),in_InterestRate)</f>
        <v>0.067</v>
      </c>
    </row>
    <row r="122">
      <c r="B122" s="25">
        <v>83</v>
      </c>
      <c r="C122" s="57">
        <f>EOMONTH(in_AnalysisStart,B122-1)</f>
        <v>48913</v>
      </c>
      <c r="D122" s="89">
        <f>INT((B122-1)/12)+1</f>
        <v>7</v>
      </c>
      <c r="E122" s="28">
        <f>I121</f>
        <v>5122348.53289897</v>
      </c>
      <c r="F122" s="28">
        <f>E122*(J122*a_DayFactor/12)</f>
        <v>28996.998465750996</v>
      </c>
      <c r="G122" s="28">
        <f>IF(OR(B122&lt;=ROUND(in_IOYears*12,0),E122&lt;=0,(in_AmortYears*12-MAX(0,B122-1-ROUND(in_IOYears*12,0)))&lt;=0),0,MIN(E122,IF((J122*a_DayFactor/12)=0,E122/(in_AmortYears*12-MAX(0,B122-1-ROUND(in_IOYears*12,0))),E122*(J122*a_DayFactor/12)/(1-(1+(J122*a_DayFactor/12))^(-(in_AmortYears*12-MAX(0,B122-1-ROUND(in_IOYears*12,0))))))-F122))</f>
        <v>7624.324436042811</v>
      </c>
      <c r="H122" s="28">
        <f>F122+G122</f>
        <v>36621.32290179381</v>
      </c>
      <c r="I122" s="28">
        <f>E122-G122</f>
        <v>5114724.2084629275</v>
      </c>
      <c r="J122" s="88">
        <f>IF(a_RateType="Floating",MAX(0,IF(a_FloatStrike&gt;0,MIN(a_FloatStrike,IF(a_FloatFloor&gt;0,MAX(a_FloatFloor,(a_FloatIndex+a_FloatDrift*(B122-1)/12)),(a_FloatIndex+a_FloatDrift*(B122-1)/12))),IF(a_FloatFloor&gt;0,MAX(a_FloatFloor,(a_FloatIndex+a_FloatDrift*(B122-1)/12)),(a_FloatIndex+a_FloatDrift*(B122-1)/12)))+a_FloatSpread),in_InterestRate)</f>
        <v>0.067</v>
      </c>
    </row>
    <row r="123">
      <c r="B123" s="25">
        <v>84</v>
      </c>
      <c r="C123" s="57">
        <f>EOMONTH(in_AnalysisStart,B123-1)</f>
        <v>48944</v>
      </c>
      <c r="D123" s="89">
        <f>INT((B123-1)/12)+1</f>
        <v>7</v>
      </c>
      <c r="E123" s="28">
        <f>I122</f>
        <v>5114724.2084629275</v>
      </c>
      <c r="F123" s="28">
        <f>E123*(J123*a_DayFactor/12)</f>
        <v>28953.838082861315</v>
      </c>
      <c r="G123" s="28">
        <f>IF(OR(B123&lt;=ROUND(in_IOYears*12,0),E123&lt;=0,(in_AmortYears*12-MAX(0,B123-1-ROUND(in_IOYears*12,0)))&lt;=0),0,MIN(E123,IF((J123*a_DayFactor/12)=0,E123/(in_AmortYears*12-MAX(0,B123-1-ROUND(in_IOYears*12,0))),E123*(J123*a_DayFactor/12)/(1-(1+(J123*a_DayFactor/12))^(-(in_AmortYears*12-MAX(0,B123-1-ROUND(in_IOYears*12,0))))))-F123))</f>
        <v>7667.484818932491</v>
      </c>
      <c r="H123" s="28">
        <f>F123+G123</f>
        <v>36621.32290179381</v>
      </c>
      <c r="I123" s="28">
        <f>E123-G123</f>
        <v>5107056.723643995</v>
      </c>
      <c r="J123" s="88">
        <f>IF(a_RateType="Floating",MAX(0,IF(a_FloatStrike&gt;0,MIN(a_FloatStrike,IF(a_FloatFloor&gt;0,MAX(a_FloatFloor,(a_FloatIndex+a_FloatDrift*(B123-1)/12)),(a_FloatIndex+a_FloatDrift*(B123-1)/12))),IF(a_FloatFloor&gt;0,MAX(a_FloatFloor,(a_FloatIndex+a_FloatDrift*(B123-1)/12)),(a_FloatIndex+a_FloatDrift*(B123-1)/12)))+a_FloatSpread),in_InterestRate)</f>
        <v>0.067</v>
      </c>
    </row>
    <row r="124">
      <c r="B124" s="25">
        <v>85</v>
      </c>
      <c r="C124" s="57">
        <f>EOMONTH(in_AnalysisStart,B124-1)</f>
        <v>48975</v>
      </c>
      <c r="D124" s="89">
        <f>INT((B124-1)/12)+1</f>
        <v>8</v>
      </c>
      <c r="E124" s="28">
        <f>I123</f>
        <v>5107056.723643995</v>
      </c>
      <c r="F124" s="28">
        <f>E124*(J124*a_DayFactor/12)</f>
        <v>28910.43337423933</v>
      </c>
      <c r="G124" s="28">
        <f>IF(OR(B124&lt;=ROUND(in_IOYears*12,0),E124&lt;=0,(in_AmortYears*12-MAX(0,B124-1-ROUND(in_IOYears*12,0)))&lt;=0),0,MIN(E124,IF((J124*a_DayFactor/12)=0,E124/(in_AmortYears*12-MAX(0,B124-1-ROUND(in_IOYears*12,0))),E124*(J124*a_DayFactor/12)/(1-(1+(J124*a_DayFactor/12))^(-(in_AmortYears*12-MAX(0,B124-1-ROUND(in_IOYears*12,0))))))-F124))</f>
        <v>7710.889527554478</v>
      </c>
      <c r="H124" s="28">
        <f>F124+G124</f>
        <v>36621.32290179381</v>
      </c>
      <c r="I124" s="28">
        <f>E124-G124</f>
        <v>5099345.83411644</v>
      </c>
      <c r="J124" s="88">
        <f>IF(a_RateType="Floating",MAX(0,IF(a_FloatStrike&gt;0,MIN(a_FloatStrike,IF(a_FloatFloor&gt;0,MAX(a_FloatFloor,(a_FloatIndex+a_FloatDrift*(B124-1)/12)),(a_FloatIndex+a_FloatDrift*(B124-1)/12))),IF(a_FloatFloor&gt;0,MAX(a_FloatFloor,(a_FloatIndex+a_FloatDrift*(B124-1)/12)),(a_FloatIndex+a_FloatDrift*(B124-1)/12)))+a_FloatSpread),in_InterestRate)</f>
        <v>0.067</v>
      </c>
    </row>
    <row r="125">
      <c r="B125" s="25">
        <v>86</v>
      </c>
      <c r="C125" s="57">
        <f>EOMONTH(in_AnalysisStart,B125-1)</f>
        <v>49003</v>
      </c>
      <c r="D125" s="89">
        <f>INT((B125-1)/12)+1</f>
        <v>8</v>
      </c>
      <c r="E125" s="28">
        <f>I124</f>
        <v>5099345.83411644</v>
      </c>
      <c r="F125" s="28">
        <f>E125*(J125*a_DayFactor/12)</f>
        <v>28866.78295678647</v>
      </c>
      <c r="G125" s="28">
        <f>IF(OR(B125&lt;=ROUND(in_IOYears*12,0),E125&lt;=0,(in_AmortYears*12-MAX(0,B125-1-ROUND(in_IOYears*12,0)))&lt;=0),0,MIN(E125,IF((J125*a_DayFactor/12)=0,E125/(in_AmortYears*12-MAX(0,B125-1-ROUND(in_IOYears*12,0))),E125*(J125*a_DayFactor/12)/(1-(1+(J125*a_DayFactor/12))^(-(in_AmortYears*12-MAX(0,B125-1-ROUND(in_IOYears*12,0))))))-F125))</f>
        <v>7754.539945007331</v>
      </c>
      <c r="H125" s="28">
        <f>F125+G125</f>
        <v>36621.3229017938</v>
      </c>
      <c r="I125" s="28">
        <f>E125-G125</f>
        <v>5091591.294171433</v>
      </c>
      <c r="J125" s="88">
        <f>IF(a_RateType="Floating",MAX(0,IF(a_FloatStrike&gt;0,MIN(a_FloatStrike,IF(a_FloatFloor&gt;0,MAX(a_FloatFloor,(a_FloatIndex+a_FloatDrift*(B125-1)/12)),(a_FloatIndex+a_FloatDrift*(B125-1)/12))),IF(a_FloatFloor&gt;0,MAX(a_FloatFloor,(a_FloatIndex+a_FloatDrift*(B125-1)/12)),(a_FloatIndex+a_FloatDrift*(B125-1)/12)))+a_FloatSpread),in_InterestRate)</f>
        <v>0.067</v>
      </c>
    </row>
    <row r="126">
      <c r="B126" s="25">
        <v>87</v>
      </c>
      <c r="C126" s="57">
        <f>EOMONTH(in_AnalysisStart,B126-1)</f>
        <v>49034</v>
      </c>
      <c r="D126" s="89">
        <f>INT((B126-1)/12)+1</f>
        <v>8</v>
      </c>
      <c r="E126" s="28">
        <f>I125</f>
        <v>5091591.294171433</v>
      </c>
      <c r="F126" s="28">
        <f>E126*(J126*a_DayFactor/12)</f>
        <v>28822.885439574628</v>
      </c>
      <c r="G126" s="28">
        <f>IF(OR(B126&lt;=ROUND(in_IOYears*12,0),E126&lt;=0,(in_AmortYears*12-MAX(0,B126-1-ROUND(in_IOYears*12,0)))&lt;=0),0,MIN(E126,IF((J126*a_DayFactor/12)=0,E126/(in_AmortYears*12-MAX(0,B126-1-ROUND(in_IOYears*12,0))),E126*(J126*a_DayFactor/12)/(1-(1+(J126*a_DayFactor/12))^(-(in_AmortYears*12-MAX(0,B126-1-ROUND(in_IOYears*12,0))))))-F126))</f>
        <v>7798.437462219179</v>
      </c>
      <c r="H126" s="28">
        <f>F126+G126</f>
        <v>36621.32290179381</v>
      </c>
      <c r="I126" s="28">
        <f>E126-G126</f>
        <v>5083792.856709214</v>
      </c>
      <c r="J126" s="88">
        <f>IF(a_RateType="Floating",MAX(0,IF(a_FloatStrike&gt;0,MIN(a_FloatStrike,IF(a_FloatFloor&gt;0,MAX(a_FloatFloor,(a_FloatIndex+a_FloatDrift*(B126-1)/12)),(a_FloatIndex+a_FloatDrift*(B126-1)/12))),IF(a_FloatFloor&gt;0,MAX(a_FloatFloor,(a_FloatIndex+a_FloatDrift*(B126-1)/12)),(a_FloatIndex+a_FloatDrift*(B126-1)/12)))+a_FloatSpread),in_InterestRate)</f>
        <v>0.067</v>
      </c>
    </row>
    <row r="127">
      <c r="B127" s="25">
        <v>88</v>
      </c>
      <c r="C127" s="57">
        <f>EOMONTH(in_AnalysisStart,B127-1)</f>
        <v>49064</v>
      </c>
      <c r="D127" s="89">
        <f>INT((B127-1)/12)+1</f>
        <v>8</v>
      </c>
      <c r="E127" s="28">
        <f>I126</f>
        <v>5083792.856709214</v>
      </c>
      <c r="F127" s="28">
        <f>E127*(J127*a_DayFactor/12)</f>
        <v>28778.73942380181</v>
      </c>
      <c r="G127" s="28">
        <f>IF(OR(B127&lt;=ROUND(in_IOYears*12,0),E127&lt;=0,(in_AmortYears*12-MAX(0,B127-1-ROUND(in_IOYears*12,0)))&lt;=0),0,MIN(E127,IF((J127*a_DayFactor/12)=0,E127/(in_AmortYears*12-MAX(0,B127-1-ROUND(in_IOYears*12,0))),E127*(J127*a_DayFactor/12)/(1-(1+(J127*a_DayFactor/12))^(-(in_AmortYears*12-MAX(0,B127-1-ROUND(in_IOYears*12,0))))))-F127))</f>
        <v>7842.583477991997</v>
      </c>
      <c r="H127" s="28">
        <f>F127+G127</f>
        <v>36621.32290179381</v>
      </c>
      <c r="I127" s="28">
        <f>E127-G127</f>
        <v>5075950.273231222</v>
      </c>
      <c r="J127" s="88">
        <f>IF(a_RateType="Floating",MAX(0,IF(a_FloatStrike&gt;0,MIN(a_FloatStrike,IF(a_FloatFloor&gt;0,MAX(a_FloatFloor,(a_FloatIndex+a_FloatDrift*(B127-1)/12)),(a_FloatIndex+a_FloatDrift*(B127-1)/12))),IF(a_FloatFloor&gt;0,MAX(a_FloatFloor,(a_FloatIndex+a_FloatDrift*(B127-1)/12)),(a_FloatIndex+a_FloatDrift*(B127-1)/12)))+a_FloatSpread),in_InterestRate)</f>
        <v>0.067</v>
      </c>
    </row>
    <row r="128">
      <c r="B128" s="25">
        <v>89</v>
      </c>
      <c r="C128" s="57">
        <f>EOMONTH(in_AnalysisStart,B128-1)</f>
        <v>49095</v>
      </c>
      <c r="D128" s="89">
        <f>INT((B128-1)/12)+1</f>
        <v>8</v>
      </c>
      <c r="E128" s="28">
        <f>I127</f>
        <v>5075950.273231222</v>
      </c>
      <c r="F128" s="28">
        <f>E128*(J128*a_DayFactor/12)</f>
        <v>28734.34350274758</v>
      </c>
      <c r="G128" s="28">
        <f>IF(OR(B128&lt;=ROUND(in_IOYears*12,0),E128&lt;=0,(in_AmortYears*12-MAX(0,B128-1-ROUND(in_IOYears*12,0)))&lt;=0),0,MIN(E128,IF((J128*a_DayFactor/12)=0,E128/(in_AmortYears*12-MAX(0,B128-1-ROUND(in_IOYears*12,0))),E128*(J128*a_DayFactor/12)/(1-(1+(J128*a_DayFactor/12))^(-(in_AmortYears*12-MAX(0,B128-1-ROUND(in_IOYears*12,0))))))-F128))</f>
        <v>7886.979399046228</v>
      </c>
      <c r="H128" s="28">
        <f>F128+G128</f>
        <v>36621.32290179381</v>
      </c>
      <c r="I128" s="28">
        <f>E128-G128</f>
        <v>5068063.293832176</v>
      </c>
      <c r="J128" s="88">
        <f>IF(a_RateType="Floating",MAX(0,IF(a_FloatStrike&gt;0,MIN(a_FloatStrike,IF(a_FloatFloor&gt;0,MAX(a_FloatFloor,(a_FloatIndex+a_FloatDrift*(B128-1)/12)),(a_FloatIndex+a_FloatDrift*(B128-1)/12))),IF(a_FloatFloor&gt;0,MAX(a_FloatFloor,(a_FloatIndex+a_FloatDrift*(B128-1)/12)),(a_FloatIndex+a_FloatDrift*(B128-1)/12)))+a_FloatSpread),in_InterestRate)</f>
        <v>0.067</v>
      </c>
    </row>
    <row r="129">
      <c r="B129" s="25">
        <v>90</v>
      </c>
      <c r="C129" s="57">
        <f>EOMONTH(in_AnalysisStart,B129-1)</f>
        <v>49125</v>
      </c>
      <c r="D129" s="89">
        <f>INT((B129-1)/12)+1</f>
        <v>8</v>
      </c>
      <c r="E129" s="28">
        <f>I128</f>
        <v>5068063.293832176</v>
      </c>
      <c r="F129" s="28">
        <f>E129*(J129*a_DayFactor/12)</f>
        <v>28689.69626172821</v>
      </c>
      <c r="G129" s="28">
        <f>IF(OR(B129&lt;=ROUND(in_IOYears*12,0),E129&lt;=0,(in_AmortYears*12-MAX(0,B129-1-ROUND(in_IOYears*12,0)))&lt;=0),0,MIN(E129,IF((J129*a_DayFactor/12)=0,E129/(in_AmortYears*12-MAX(0,B129-1-ROUND(in_IOYears*12,0))),E129*(J129*a_DayFactor/12)/(1-(1+(J129*a_DayFactor/12))^(-(in_AmortYears*12-MAX(0,B129-1-ROUND(in_IOYears*12,0))))))-F129))</f>
        <v>7931.626640065595</v>
      </c>
      <c r="H129" s="28">
        <f>F129+G129</f>
        <v>36621.32290179381</v>
      </c>
      <c r="I129" s="28">
        <f>E129-G129</f>
        <v>5060131.667192111</v>
      </c>
      <c r="J129" s="88">
        <f>IF(a_RateType="Floating",MAX(0,IF(a_FloatStrike&gt;0,MIN(a_FloatStrike,IF(a_FloatFloor&gt;0,MAX(a_FloatFloor,(a_FloatIndex+a_FloatDrift*(B129-1)/12)),(a_FloatIndex+a_FloatDrift*(B129-1)/12))),IF(a_FloatFloor&gt;0,MAX(a_FloatFloor,(a_FloatIndex+a_FloatDrift*(B129-1)/12)),(a_FloatIndex+a_FloatDrift*(B129-1)/12)))+a_FloatSpread),in_InterestRate)</f>
        <v>0.067</v>
      </c>
    </row>
    <row r="130">
      <c r="B130" s="25">
        <v>91</v>
      </c>
      <c r="C130" s="57">
        <f>EOMONTH(in_AnalysisStart,B130-1)</f>
        <v>49156</v>
      </c>
      <c r="D130" s="89">
        <f>INT((B130-1)/12)+1</f>
        <v>8</v>
      </c>
      <c r="E130" s="28">
        <f>I129</f>
        <v>5060131.667192111</v>
      </c>
      <c r="F130" s="28">
        <f>E130*(J130*a_DayFactor/12)</f>
        <v>28644.796278051635</v>
      </c>
      <c r="G130" s="28">
        <f>IF(OR(B130&lt;=ROUND(in_IOYears*12,0),E130&lt;=0,(in_AmortYears*12-MAX(0,B130-1-ROUND(in_IOYears*12,0)))&lt;=0),0,MIN(E130,IF((J130*a_DayFactor/12)=0,E130/(in_AmortYears*12-MAX(0,B130-1-ROUND(in_IOYears*12,0))),E130*(J130*a_DayFactor/12)/(1-(1+(J130*a_DayFactor/12))^(-(in_AmortYears*12-MAX(0,B130-1-ROUND(in_IOYears*12,0))))))-F130))</f>
        <v>7976.526623742171</v>
      </c>
      <c r="H130" s="28">
        <f>F130+G130</f>
        <v>36621.32290179381</v>
      </c>
      <c r="I130" s="28">
        <f>E130-G130</f>
        <v>5052155.140568369</v>
      </c>
      <c r="J130" s="88">
        <f>IF(a_RateType="Floating",MAX(0,IF(a_FloatStrike&gt;0,MIN(a_FloatStrike,IF(a_FloatFloor&gt;0,MAX(a_FloatFloor,(a_FloatIndex+a_FloatDrift*(B130-1)/12)),(a_FloatIndex+a_FloatDrift*(B130-1)/12))),IF(a_FloatFloor&gt;0,MAX(a_FloatFloor,(a_FloatIndex+a_FloatDrift*(B130-1)/12)),(a_FloatIndex+a_FloatDrift*(B130-1)/12)))+a_FloatSpread),in_InterestRate)</f>
        <v>0.067</v>
      </c>
    </row>
    <row r="131">
      <c r="B131" s="25">
        <v>92</v>
      </c>
      <c r="C131" s="57">
        <f>EOMONTH(in_AnalysisStart,B131-1)</f>
        <v>49187</v>
      </c>
      <c r="D131" s="89">
        <f>INT((B131-1)/12)+1</f>
        <v>8</v>
      </c>
      <c r="E131" s="28">
        <f>I130</f>
        <v>5052155.140568369</v>
      </c>
      <c r="F131" s="28">
        <f>E131*(J131*a_DayFactor/12)</f>
        <v>28599.642120972097</v>
      </c>
      <c r="G131" s="28">
        <f>IF(OR(B131&lt;=ROUND(in_IOYears*12,0),E131&lt;=0,(in_AmortYears*12-MAX(0,B131-1-ROUND(in_IOYears*12,0)))&lt;=0),0,MIN(E131,IF((J131*a_DayFactor/12)=0,E131/(in_AmortYears*12-MAX(0,B131-1-ROUND(in_IOYears*12,0))),E131*(J131*a_DayFactor/12)/(1-(1+(J131*a_DayFactor/12))^(-(in_AmortYears*12-MAX(0,B131-1-ROUND(in_IOYears*12,0))))))-F131))</f>
        <v>8021.680780821709</v>
      </c>
      <c r="H131" s="28">
        <f>F131+G131</f>
        <v>36621.32290179381</v>
      </c>
      <c r="I131" s="28">
        <f>E131-G131</f>
        <v>5044133.459787548</v>
      </c>
      <c r="J131" s="88">
        <f>IF(a_RateType="Floating",MAX(0,IF(a_FloatStrike&gt;0,MIN(a_FloatStrike,IF(a_FloatFloor&gt;0,MAX(a_FloatFloor,(a_FloatIndex+a_FloatDrift*(B131-1)/12)),(a_FloatIndex+a_FloatDrift*(B131-1)/12))),IF(a_FloatFloor&gt;0,MAX(a_FloatFloor,(a_FloatIndex+a_FloatDrift*(B131-1)/12)),(a_FloatIndex+a_FloatDrift*(B131-1)/12)))+a_FloatSpread),in_InterestRate)</f>
        <v>0.067</v>
      </c>
    </row>
    <row r="132">
      <c r="B132" s="25">
        <v>93</v>
      </c>
      <c r="C132" s="57">
        <f>EOMONTH(in_AnalysisStart,B132-1)</f>
        <v>49217</v>
      </c>
      <c r="D132" s="89">
        <f>INT((B132-1)/12)+1</f>
        <v>8</v>
      </c>
      <c r="E132" s="28">
        <f>I131</f>
        <v>5044133.459787548</v>
      </c>
      <c r="F132" s="28">
        <f>E132*(J132*a_DayFactor/12)</f>
        <v>28554.232351644554</v>
      </c>
      <c r="G132" s="28">
        <f>IF(OR(B132&lt;=ROUND(in_IOYears*12,0),E132&lt;=0,(in_AmortYears*12-MAX(0,B132-1-ROUND(in_IOYears*12,0)))&lt;=0),0,MIN(E132,IF((J132*a_DayFactor/12)=0,E132/(in_AmortYears*12-MAX(0,B132-1-ROUND(in_IOYears*12,0))),E132*(J132*a_DayFactor/12)/(1-(1+(J132*a_DayFactor/12))^(-(in_AmortYears*12-MAX(0,B132-1-ROUND(in_IOYears*12,0))))))-F132))</f>
        <v>8067.09055014926</v>
      </c>
      <c r="H132" s="28">
        <f>F132+G132</f>
        <v>36621.322901793814</v>
      </c>
      <c r="I132" s="28">
        <f>E132-G132</f>
        <v>5036066.369237399</v>
      </c>
      <c r="J132" s="88">
        <f>IF(a_RateType="Floating",MAX(0,IF(a_FloatStrike&gt;0,MIN(a_FloatStrike,IF(a_FloatFloor&gt;0,MAX(a_FloatFloor,(a_FloatIndex+a_FloatDrift*(B132-1)/12)),(a_FloatIndex+a_FloatDrift*(B132-1)/12))),IF(a_FloatFloor&gt;0,MAX(a_FloatFloor,(a_FloatIndex+a_FloatDrift*(B132-1)/12)),(a_FloatIndex+a_FloatDrift*(B132-1)/12)))+a_FloatSpread),in_InterestRate)</f>
        <v>0.067</v>
      </c>
    </row>
    <row r="133">
      <c r="B133" s="25">
        <v>94</v>
      </c>
      <c r="C133" s="57">
        <f>EOMONTH(in_AnalysisStart,B133-1)</f>
        <v>49248</v>
      </c>
      <c r="D133" s="89">
        <f>INT((B133-1)/12)+1</f>
        <v>8</v>
      </c>
      <c r="E133" s="28">
        <f>I132</f>
        <v>5036066.369237399</v>
      </c>
      <c r="F133" s="28">
        <f>E133*(J133*a_DayFactor/12)</f>
        <v>28508.56552307884</v>
      </c>
      <c r="G133" s="28">
        <f>IF(OR(B133&lt;=ROUND(in_IOYears*12,0),E133&lt;=0,(in_AmortYears*12-MAX(0,B133-1-ROUND(in_IOYears*12,0)))&lt;=0),0,MIN(E133,IF((J133*a_DayFactor/12)=0,E133/(in_AmortYears*12-MAX(0,B133-1-ROUND(in_IOYears*12,0))),E133*(J133*a_DayFactor/12)/(1-(1+(J133*a_DayFactor/12))^(-(in_AmortYears*12-MAX(0,B133-1-ROUND(in_IOYears*12,0))))))-F133))</f>
        <v>8112.757378714974</v>
      </c>
      <c r="H133" s="28">
        <f>F133+G133</f>
        <v>36621.322901793814</v>
      </c>
      <c r="I133" s="28">
        <f>E133-G133</f>
        <v>5027953.611858684</v>
      </c>
      <c r="J133" s="88">
        <f>IF(a_RateType="Floating",MAX(0,IF(a_FloatStrike&gt;0,MIN(a_FloatStrike,IF(a_FloatFloor&gt;0,MAX(a_FloatFloor,(a_FloatIndex+a_FloatDrift*(B133-1)/12)),(a_FloatIndex+a_FloatDrift*(B133-1)/12))),IF(a_FloatFloor&gt;0,MAX(a_FloatFloor,(a_FloatIndex+a_FloatDrift*(B133-1)/12)),(a_FloatIndex+a_FloatDrift*(B133-1)/12)))+a_FloatSpread),in_InterestRate)</f>
        <v>0.067</v>
      </c>
    </row>
    <row r="134">
      <c r="B134" s="25">
        <v>95</v>
      </c>
      <c r="C134" s="57">
        <f>EOMONTH(in_AnalysisStart,B134-1)</f>
        <v>49278</v>
      </c>
      <c r="D134" s="89">
        <f>INT((B134-1)/12)+1</f>
        <v>8</v>
      </c>
      <c r="E134" s="28">
        <f>I133</f>
        <v>5027953.611858684</v>
      </c>
      <c r="F134" s="28">
        <f>E134*(J134*a_DayFactor/12)</f>
        <v>28462.640180093542</v>
      </c>
      <c r="G134" s="28">
        <f>IF(OR(B134&lt;=ROUND(in_IOYears*12,0),E134&lt;=0,(in_AmortYears*12-MAX(0,B134-1-ROUND(in_IOYears*12,0)))&lt;=0),0,MIN(E134,IF((J134*a_DayFactor/12)=0,E134/(in_AmortYears*12-MAX(0,B134-1-ROUND(in_IOYears*12,0))),E134*(J134*a_DayFactor/12)/(1-(1+(J134*a_DayFactor/12))^(-(in_AmortYears*12-MAX(0,B134-1-ROUND(in_IOYears*12,0))))))-F134))</f>
        <v>8158.682721700265</v>
      </c>
      <c r="H134" s="28">
        <f>F134+G134</f>
        <v>36621.32290179381</v>
      </c>
      <c r="I134" s="28">
        <f>E134-G134</f>
        <v>5019794.929136983</v>
      </c>
      <c r="J134" s="88">
        <f>IF(a_RateType="Floating",MAX(0,IF(a_FloatStrike&gt;0,MIN(a_FloatStrike,IF(a_FloatFloor&gt;0,MAX(a_FloatFloor,(a_FloatIndex+a_FloatDrift*(B134-1)/12)),(a_FloatIndex+a_FloatDrift*(B134-1)/12))),IF(a_FloatFloor&gt;0,MAX(a_FloatFloor,(a_FloatIndex+a_FloatDrift*(B134-1)/12)),(a_FloatIndex+a_FloatDrift*(B134-1)/12)))+a_FloatSpread),in_InterestRate)</f>
        <v>0.067</v>
      </c>
    </row>
    <row r="135">
      <c r="B135" s="25">
        <v>96</v>
      </c>
      <c r="C135" s="57">
        <f>EOMONTH(in_AnalysisStart,B135-1)</f>
        <v>49309</v>
      </c>
      <c r="D135" s="89">
        <f>INT((B135-1)/12)+1</f>
        <v>8</v>
      </c>
      <c r="E135" s="28">
        <f>I134</f>
        <v>5019794.929136983</v>
      </c>
      <c r="F135" s="28">
        <f>E135*(J135*a_DayFactor/12)</f>
        <v>28416.454859269656</v>
      </c>
      <c r="G135" s="28">
        <f>IF(OR(B135&lt;=ROUND(in_IOYears*12,0),E135&lt;=0,(in_AmortYears*12-MAX(0,B135-1-ROUND(in_IOYears*12,0)))&lt;=0),0,MIN(E135,IF((J135*a_DayFactor/12)=0,E135/(in_AmortYears*12-MAX(0,B135-1-ROUND(in_IOYears*12,0))),E135*(J135*a_DayFactor/12)/(1-(1+(J135*a_DayFactor/12))^(-(in_AmortYears*12-MAX(0,B135-1-ROUND(in_IOYears*12,0))))))-F135))</f>
        <v>8204.868042524151</v>
      </c>
      <c r="H135" s="28">
        <f>F135+G135</f>
        <v>36621.32290179381</v>
      </c>
      <c r="I135" s="28">
        <f>E135-G135</f>
        <v>5011590.061094459</v>
      </c>
      <c r="J135" s="88">
        <f>IF(a_RateType="Floating",MAX(0,IF(a_FloatStrike&gt;0,MIN(a_FloatStrike,IF(a_FloatFloor&gt;0,MAX(a_FloatFloor,(a_FloatIndex+a_FloatDrift*(B135-1)/12)),(a_FloatIndex+a_FloatDrift*(B135-1)/12))),IF(a_FloatFloor&gt;0,MAX(a_FloatFloor,(a_FloatIndex+a_FloatDrift*(B135-1)/12)),(a_FloatIndex+a_FloatDrift*(B135-1)/12)))+a_FloatSpread),in_InterestRate)</f>
        <v>0.067</v>
      </c>
    </row>
    <row r="136">
      <c r="B136" s="25">
        <v>97</v>
      </c>
      <c r="C136" s="57">
        <f>EOMONTH(in_AnalysisStart,B136-1)</f>
        <v>49340</v>
      </c>
      <c r="D136" s="89">
        <f>INT((B136-1)/12)+1</f>
        <v>9</v>
      </c>
      <c r="E136" s="28">
        <f>I135</f>
        <v>5011590.061094459</v>
      </c>
      <c r="F136" s="28">
        <f>E136*(J136*a_DayFactor/12)</f>
        <v>28370.008088903935</v>
      </c>
      <c r="G136" s="28">
        <f>IF(OR(B136&lt;=ROUND(in_IOYears*12,0),E136&lt;=0,(in_AmortYears*12-MAX(0,B136-1-ROUND(in_IOYears*12,0)))&lt;=0),0,MIN(E136,IF((J136*a_DayFactor/12)=0,E136/(in_AmortYears*12-MAX(0,B136-1-ROUND(in_IOYears*12,0))),E136*(J136*a_DayFactor/12)/(1-(1+(J136*a_DayFactor/12))^(-(in_AmortYears*12-MAX(0,B136-1-ROUND(in_IOYears*12,0))))))-F136))</f>
        <v>8251.314812889872</v>
      </c>
      <c r="H136" s="28">
        <f>F136+G136</f>
        <v>36621.32290179381</v>
      </c>
      <c r="I136" s="28">
        <f>E136-G136</f>
        <v>5003338.746281569</v>
      </c>
      <c r="J136" s="88">
        <f>IF(a_RateType="Floating",MAX(0,IF(a_FloatStrike&gt;0,MIN(a_FloatStrike,IF(a_FloatFloor&gt;0,MAX(a_FloatFloor,(a_FloatIndex+a_FloatDrift*(B136-1)/12)),(a_FloatIndex+a_FloatDrift*(B136-1)/12))),IF(a_FloatFloor&gt;0,MAX(a_FloatFloor,(a_FloatIndex+a_FloatDrift*(B136-1)/12)),(a_FloatIndex+a_FloatDrift*(B136-1)/12)))+a_FloatSpread),in_InterestRate)</f>
        <v>0.067</v>
      </c>
    </row>
    <row r="137">
      <c r="B137" s="25">
        <v>98</v>
      </c>
      <c r="C137" s="57">
        <f>EOMONTH(in_AnalysisStart,B137-1)</f>
        <v>49368</v>
      </c>
      <c r="D137" s="89">
        <f>INT((B137-1)/12)+1</f>
        <v>9</v>
      </c>
      <c r="E137" s="28">
        <f>I136</f>
        <v>5003338.746281569</v>
      </c>
      <c r="F137" s="28">
        <f>E137*(J137*a_DayFactor/12)</f>
        <v>28323.298388961983</v>
      </c>
      <c r="G137" s="28">
        <f>IF(OR(B137&lt;=ROUND(in_IOYears*12,0),E137&lt;=0,(in_AmortYears*12-MAX(0,B137-1-ROUND(in_IOYears*12,0)))&lt;=0),0,MIN(E137,IF((J137*a_DayFactor/12)=0,E137/(in_AmortYears*12-MAX(0,B137-1-ROUND(in_IOYears*12,0))),E137*(J137*a_DayFactor/12)/(1-(1+(J137*a_DayFactor/12))^(-(in_AmortYears*12-MAX(0,B137-1-ROUND(in_IOYears*12,0))))))-F137))</f>
        <v>8298.024512831824</v>
      </c>
      <c r="H137" s="28">
        <f>F137+G137</f>
        <v>36621.32290179381</v>
      </c>
      <c r="I137" s="28">
        <f>E137-G137</f>
        <v>4995040.721768737</v>
      </c>
      <c r="J137" s="88">
        <f>IF(a_RateType="Floating",MAX(0,IF(a_FloatStrike&gt;0,MIN(a_FloatStrike,IF(a_FloatFloor&gt;0,MAX(a_FloatFloor,(a_FloatIndex+a_FloatDrift*(B137-1)/12)),(a_FloatIndex+a_FloatDrift*(B137-1)/12))),IF(a_FloatFloor&gt;0,MAX(a_FloatFloor,(a_FloatIndex+a_FloatDrift*(B137-1)/12)),(a_FloatIndex+a_FloatDrift*(B137-1)/12)))+a_FloatSpread),in_InterestRate)</f>
        <v>0.067</v>
      </c>
    </row>
    <row r="138">
      <c r="B138" s="25">
        <v>99</v>
      </c>
      <c r="C138" s="57">
        <f>EOMONTH(in_AnalysisStart,B138-1)</f>
        <v>49399</v>
      </c>
      <c r="D138" s="89">
        <f>INT((B138-1)/12)+1</f>
        <v>9</v>
      </c>
      <c r="E138" s="28">
        <f>I137</f>
        <v>4995040.721768737</v>
      </c>
      <c r="F138" s="28">
        <f>E138*(J138*a_DayFactor/12)</f>
        <v>28276.324271031124</v>
      </c>
      <c r="G138" s="28">
        <f>IF(OR(B138&lt;=ROUND(in_IOYears*12,0),E138&lt;=0,(in_AmortYears*12-MAX(0,B138-1-ROUND(in_IOYears*12,0)))&lt;=0),0,MIN(E138,IF((J138*a_DayFactor/12)=0,E138/(in_AmortYears*12-MAX(0,B138-1-ROUND(in_IOYears*12,0))),E138*(J138*a_DayFactor/12)/(1-(1+(J138*a_DayFactor/12))^(-(in_AmortYears*12-MAX(0,B138-1-ROUND(in_IOYears*12,0))))))-F138))</f>
        <v>8344.998630762682</v>
      </c>
      <c r="H138" s="28">
        <f>F138+G138</f>
        <v>36621.32290179381</v>
      </c>
      <c r="I138" s="28">
        <f>E138-G138</f>
        <v>4986695.723137974</v>
      </c>
      <c r="J138" s="88">
        <f>IF(a_RateType="Floating",MAX(0,IF(a_FloatStrike&gt;0,MIN(a_FloatStrike,IF(a_FloatFloor&gt;0,MAX(a_FloatFloor,(a_FloatIndex+a_FloatDrift*(B138-1)/12)),(a_FloatIndex+a_FloatDrift*(B138-1)/12))),IF(a_FloatFloor&gt;0,MAX(a_FloatFloor,(a_FloatIndex+a_FloatDrift*(B138-1)/12)),(a_FloatIndex+a_FloatDrift*(B138-1)/12)))+a_FloatSpread),in_InterestRate)</f>
        <v>0.067</v>
      </c>
    </row>
    <row r="139">
      <c r="B139" s="25">
        <v>100</v>
      </c>
      <c r="C139" s="57">
        <f>EOMONTH(in_AnalysisStart,B139-1)</f>
        <v>49429</v>
      </c>
      <c r="D139" s="89">
        <f>INT((B139-1)/12)+1</f>
        <v>9</v>
      </c>
      <c r="E139" s="28">
        <f>I138</f>
        <v>4986695.723137974</v>
      </c>
      <c r="F139" s="28">
        <f>E139*(J139*a_DayFactor/12)</f>
        <v>28229.08423827295</v>
      </c>
      <c r="G139" s="28">
        <f>IF(OR(B139&lt;=ROUND(in_IOYears*12,0),E139&lt;=0,(in_AmortYears*12-MAX(0,B139-1-ROUND(in_IOYears*12,0)))&lt;=0),0,MIN(E139,IF((J139*a_DayFactor/12)=0,E139/(in_AmortYears*12-MAX(0,B139-1-ROUND(in_IOYears*12,0))),E139*(J139*a_DayFactor/12)/(1-(1+(J139*a_DayFactor/12))^(-(in_AmortYears*12-MAX(0,B139-1-ROUND(in_IOYears*12,0))))))-F139))</f>
        <v>8392.23866352085</v>
      </c>
      <c r="H139" s="28">
        <f>F139+G139</f>
        <v>36621.3229017938</v>
      </c>
      <c r="I139" s="28">
        <f>E139-G139</f>
        <v>4978303.484474453</v>
      </c>
      <c r="J139" s="88">
        <f>IF(a_RateType="Floating",MAX(0,IF(a_FloatStrike&gt;0,MIN(a_FloatStrike,IF(a_FloatFloor&gt;0,MAX(a_FloatFloor,(a_FloatIndex+a_FloatDrift*(B139-1)/12)),(a_FloatIndex+a_FloatDrift*(B139-1)/12))),IF(a_FloatFloor&gt;0,MAX(a_FloatFloor,(a_FloatIndex+a_FloatDrift*(B139-1)/12)),(a_FloatIndex+a_FloatDrift*(B139-1)/12)))+a_FloatSpread),in_InterestRate)</f>
        <v>0.067</v>
      </c>
    </row>
    <row r="140">
      <c r="B140" s="25">
        <v>101</v>
      </c>
      <c r="C140" s="57">
        <f>EOMONTH(in_AnalysisStart,B140-1)</f>
        <v>49460</v>
      </c>
      <c r="D140" s="89">
        <f>INT((B140-1)/12)+1</f>
        <v>9</v>
      </c>
      <c r="E140" s="28">
        <f>I139</f>
        <v>4978303.484474453</v>
      </c>
      <c r="F140" s="28">
        <f>E140*(J140*a_DayFactor/12)</f>
        <v>28181.576785375637</v>
      </c>
      <c r="G140" s="28">
        <f>IF(OR(B140&lt;=ROUND(in_IOYears*12,0),E140&lt;=0,(in_AmortYears*12-MAX(0,B140-1-ROUND(in_IOYears*12,0)))&lt;=0),0,MIN(E140,IF((J140*a_DayFactor/12)=0,E140/(in_AmortYears*12-MAX(0,B140-1-ROUND(in_IOYears*12,0))),E140*(J140*a_DayFactor/12)/(1-(1+(J140*a_DayFactor/12))^(-(in_AmortYears*12-MAX(0,B140-1-ROUND(in_IOYears*12,0))))))-F140))</f>
        <v>8439.74611641817</v>
      </c>
      <c r="H140" s="28">
        <f>F140+G140</f>
        <v>36621.32290179381</v>
      </c>
      <c r="I140" s="28">
        <f>E140-G140</f>
        <v>4969863.738358035</v>
      </c>
      <c r="J140" s="88">
        <f>IF(a_RateType="Floating",MAX(0,IF(a_FloatStrike&gt;0,MIN(a_FloatStrike,IF(a_FloatFloor&gt;0,MAX(a_FloatFloor,(a_FloatIndex+a_FloatDrift*(B140-1)/12)),(a_FloatIndex+a_FloatDrift*(B140-1)/12))),IF(a_FloatFloor&gt;0,MAX(a_FloatFloor,(a_FloatIndex+a_FloatDrift*(B140-1)/12)),(a_FloatIndex+a_FloatDrift*(B140-1)/12)))+a_FloatSpread),in_InterestRate)</f>
        <v>0.067</v>
      </c>
    </row>
    <row r="141">
      <c r="B141" s="25">
        <v>102</v>
      </c>
      <c r="C141" s="57">
        <f>EOMONTH(in_AnalysisStart,B141-1)</f>
        <v>49490</v>
      </c>
      <c r="D141" s="89">
        <f>INT((B141-1)/12)+1</f>
        <v>9</v>
      </c>
      <c r="E141" s="28">
        <f>I140</f>
        <v>4969863.738358035</v>
      </c>
      <c r="F141" s="28">
        <f>E141*(J141*a_DayFactor/12)</f>
        <v>28133.80039850596</v>
      </c>
      <c r="G141" s="28">
        <f>IF(OR(B141&lt;=ROUND(in_IOYears*12,0),E141&lt;=0,(in_AmortYears*12-MAX(0,B141-1-ROUND(in_IOYears*12,0)))&lt;=0),0,MIN(E141,IF((J141*a_DayFactor/12)=0,E141/(in_AmortYears*12-MAX(0,B141-1-ROUND(in_IOYears*12,0))),E141*(J141*a_DayFactor/12)/(1-(1+(J141*a_DayFactor/12))^(-(in_AmortYears*12-MAX(0,B141-1-ROUND(in_IOYears*12,0))))))-F141))</f>
        <v>8487.52250328784</v>
      </c>
      <c r="H141" s="28">
        <f>F141+G141</f>
        <v>36621.3229017938</v>
      </c>
      <c r="I141" s="28">
        <f>E141-G141</f>
        <v>4961376.215854747</v>
      </c>
      <c r="J141" s="88">
        <f>IF(a_RateType="Floating",MAX(0,IF(a_FloatStrike&gt;0,MIN(a_FloatStrike,IF(a_FloatFloor&gt;0,MAX(a_FloatFloor,(a_FloatIndex+a_FloatDrift*(B141-1)/12)),(a_FloatIndex+a_FloatDrift*(B141-1)/12))),IF(a_FloatFloor&gt;0,MAX(a_FloatFloor,(a_FloatIndex+a_FloatDrift*(B141-1)/12)),(a_FloatIndex+a_FloatDrift*(B141-1)/12)))+a_FloatSpread),in_InterestRate)</f>
        <v>0.067</v>
      </c>
    </row>
    <row r="142">
      <c r="B142" s="25">
        <v>103</v>
      </c>
      <c r="C142" s="57">
        <f>EOMONTH(in_AnalysisStart,B142-1)</f>
        <v>49521</v>
      </c>
      <c r="D142" s="89">
        <f>INT((B142-1)/12)+1</f>
        <v>9</v>
      </c>
      <c r="E142" s="28">
        <f>I141</f>
        <v>4961376.215854747</v>
      </c>
      <c r="F142" s="28">
        <f>E142*(J142*a_DayFactor/12)</f>
        <v>28085.753555261075</v>
      </c>
      <c r="G142" s="28">
        <f>IF(OR(B142&lt;=ROUND(in_IOYears*12,0),E142&lt;=0,(in_AmortYears*12-MAX(0,B142-1-ROUND(in_IOYears*12,0)))&lt;=0),0,MIN(E142,IF((J142*a_DayFactor/12)=0,E142/(in_AmortYears*12-MAX(0,B142-1-ROUND(in_IOYears*12,0))),E142*(J142*a_DayFactor/12)/(1-(1+(J142*a_DayFactor/12))^(-(in_AmortYears*12-MAX(0,B142-1-ROUND(in_IOYears*12,0))))))-F142))</f>
        <v>8535.569346532731</v>
      </c>
      <c r="H142" s="28">
        <f>F142+G142</f>
        <v>36621.32290179381</v>
      </c>
      <c r="I142" s="28">
        <f>E142-G142</f>
        <v>4952840.646508214</v>
      </c>
      <c r="J142" s="88">
        <f>IF(a_RateType="Floating",MAX(0,IF(a_FloatStrike&gt;0,MIN(a_FloatStrike,IF(a_FloatFloor&gt;0,MAX(a_FloatFloor,(a_FloatIndex+a_FloatDrift*(B142-1)/12)),(a_FloatIndex+a_FloatDrift*(B142-1)/12))),IF(a_FloatFloor&gt;0,MAX(a_FloatFloor,(a_FloatIndex+a_FloatDrift*(B142-1)/12)),(a_FloatIndex+a_FloatDrift*(B142-1)/12)))+a_FloatSpread),in_InterestRate)</f>
        <v>0.067</v>
      </c>
    </row>
    <row r="143">
      <c r="B143" s="25">
        <v>104</v>
      </c>
      <c r="C143" s="57">
        <f>EOMONTH(in_AnalysisStart,B143-1)</f>
        <v>49552</v>
      </c>
      <c r="D143" s="89">
        <f>INT((B143-1)/12)+1</f>
        <v>9</v>
      </c>
      <c r="E143" s="28">
        <f>I142</f>
        <v>4952840.646508214</v>
      </c>
      <c r="F143" s="28">
        <f>E143*(J143*a_DayFactor/12)</f>
        <v>28037.434724619994</v>
      </c>
      <c r="G143" s="28">
        <f>IF(OR(B143&lt;=ROUND(in_IOYears*12,0),E143&lt;=0,(in_AmortYears*12-MAX(0,B143-1-ROUND(in_IOYears*12,0)))&lt;=0),0,MIN(E143,IF((J143*a_DayFactor/12)=0,E143/(in_AmortYears*12-MAX(0,B143-1-ROUND(in_IOYears*12,0))),E143*(J143*a_DayFactor/12)/(1-(1+(J143*a_DayFactor/12))^(-(in_AmortYears*12-MAX(0,B143-1-ROUND(in_IOYears*12,0))))))-F143))</f>
        <v>8583.888177173805</v>
      </c>
      <c r="H143" s="28">
        <f>F143+G143</f>
        <v>36621.3229017938</v>
      </c>
      <c r="I143" s="28">
        <f>E143-G143</f>
        <v>4944256.75833104</v>
      </c>
      <c r="J143" s="88">
        <f>IF(a_RateType="Floating",MAX(0,IF(a_FloatStrike&gt;0,MIN(a_FloatStrike,IF(a_FloatFloor&gt;0,MAX(a_FloatFloor,(a_FloatIndex+a_FloatDrift*(B143-1)/12)),(a_FloatIndex+a_FloatDrift*(B143-1)/12))),IF(a_FloatFloor&gt;0,MAX(a_FloatFloor,(a_FloatIndex+a_FloatDrift*(B143-1)/12)),(a_FloatIndex+a_FloatDrift*(B143-1)/12)))+a_FloatSpread),in_InterestRate)</f>
        <v>0.067</v>
      </c>
    </row>
    <row r="144">
      <c r="B144" s="25">
        <v>105</v>
      </c>
      <c r="C144" s="57">
        <f>EOMONTH(in_AnalysisStart,B144-1)</f>
        <v>49582</v>
      </c>
      <c r="D144" s="89">
        <f>INT((B144-1)/12)+1</f>
        <v>9</v>
      </c>
      <c r="E144" s="28">
        <f>I143</f>
        <v>4944256.75833104</v>
      </c>
      <c r="F144" s="28">
        <f>E144*(J144*a_DayFactor/12)</f>
        <v>27988.84236689481</v>
      </c>
      <c r="G144" s="28">
        <f>IF(OR(B144&lt;=ROUND(in_IOYears*12,0),E144&lt;=0,(in_AmortYears*12-MAX(0,B144-1-ROUND(in_IOYears*12,0)))&lt;=0),0,MIN(E144,IF((J144*a_DayFactor/12)=0,E144/(in_AmortYears*12-MAX(0,B144-1-ROUND(in_IOYears*12,0))),E144*(J144*a_DayFactor/12)/(1-(1+(J144*a_DayFactor/12))^(-(in_AmortYears*12-MAX(0,B144-1-ROUND(in_IOYears*12,0))))))-F144))</f>
        <v>8632.48053489899</v>
      </c>
      <c r="H144" s="28">
        <f>F144+G144</f>
        <v>36621.3229017938</v>
      </c>
      <c r="I144" s="28">
        <f>E144-G144</f>
        <v>4935624.277796141</v>
      </c>
      <c r="J144" s="88">
        <f>IF(a_RateType="Floating",MAX(0,IF(a_FloatStrike&gt;0,MIN(a_FloatStrike,IF(a_FloatFloor&gt;0,MAX(a_FloatFloor,(a_FloatIndex+a_FloatDrift*(B144-1)/12)),(a_FloatIndex+a_FloatDrift*(B144-1)/12))),IF(a_FloatFloor&gt;0,MAX(a_FloatFloor,(a_FloatIndex+a_FloatDrift*(B144-1)/12)),(a_FloatIndex+a_FloatDrift*(B144-1)/12)))+a_FloatSpread),in_InterestRate)</f>
        <v>0.067</v>
      </c>
    </row>
    <row r="145">
      <c r="B145" s="25">
        <v>106</v>
      </c>
      <c r="C145" s="57">
        <f>EOMONTH(in_AnalysisStart,B145-1)</f>
        <v>49613</v>
      </c>
      <c r="D145" s="89">
        <f>INT((B145-1)/12)+1</f>
        <v>9</v>
      </c>
      <c r="E145" s="28">
        <f>I144</f>
        <v>4935624.277796141</v>
      </c>
      <c r="F145" s="28">
        <f>E145*(J145*a_DayFactor/12)</f>
        <v>27939.974933681624</v>
      </c>
      <c r="G145" s="28">
        <f>IF(OR(B145&lt;=ROUND(in_IOYears*12,0),E145&lt;=0,(in_AmortYears*12-MAX(0,B145-1-ROUND(in_IOYears*12,0)))&lt;=0),0,MIN(E145,IF((J145*a_DayFactor/12)=0,E145/(in_AmortYears*12-MAX(0,B145-1-ROUND(in_IOYears*12,0))),E145*(J145*a_DayFactor/12)/(1-(1+(J145*a_DayFactor/12))^(-(in_AmortYears*12-MAX(0,B145-1-ROUND(in_IOYears*12,0))))))-F145))</f>
        <v>8681.347968112168</v>
      </c>
      <c r="H145" s="28">
        <f>F145+G145</f>
        <v>36621.32290179379</v>
      </c>
      <c r="I145" s="28">
        <f>E145-G145</f>
        <v>4926942.929828029</v>
      </c>
      <c r="J145" s="88">
        <f>IF(a_RateType="Floating",MAX(0,IF(a_FloatStrike&gt;0,MIN(a_FloatStrike,IF(a_FloatFloor&gt;0,MAX(a_FloatFloor,(a_FloatIndex+a_FloatDrift*(B145-1)/12)),(a_FloatIndex+a_FloatDrift*(B145-1)/12))),IF(a_FloatFloor&gt;0,MAX(a_FloatFloor,(a_FloatIndex+a_FloatDrift*(B145-1)/12)),(a_FloatIndex+a_FloatDrift*(B145-1)/12)))+a_FloatSpread),in_InterestRate)</f>
        <v>0.067</v>
      </c>
    </row>
    <row r="146">
      <c r="B146" s="25">
        <v>107</v>
      </c>
      <c r="C146" s="57">
        <f>EOMONTH(in_AnalysisStart,B146-1)</f>
        <v>49643</v>
      </c>
      <c r="D146" s="89">
        <f>INT((B146-1)/12)+1</f>
        <v>9</v>
      </c>
      <c r="E146" s="28">
        <f>I145</f>
        <v>4926942.929828029</v>
      </c>
      <c r="F146" s="28">
        <f>E146*(J146*a_DayFactor/12)</f>
        <v>27890.830867811215</v>
      </c>
      <c r="G146" s="28">
        <f>IF(OR(B146&lt;=ROUND(in_IOYears*12,0),E146&lt;=0,(in_AmortYears*12-MAX(0,B146-1-ROUND(in_IOYears*12,0)))&lt;=0),0,MIN(E146,IF((J146*a_DayFactor/12)=0,E146/(in_AmortYears*12-MAX(0,B146-1-ROUND(in_IOYears*12,0))),E146*(J146*a_DayFactor/12)/(1-(1+(J146*a_DayFactor/12))^(-(in_AmortYears*12-MAX(0,B146-1-ROUND(in_IOYears*12,0))))))-F146))</f>
        <v>8730.492033982584</v>
      </c>
      <c r="H146" s="28">
        <f>F146+G146</f>
        <v>36621.3229017938</v>
      </c>
      <c r="I146" s="28">
        <f>E146-G146</f>
        <v>4918212.4377940465</v>
      </c>
      <c r="J146" s="88">
        <f>IF(a_RateType="Floating",MAX(0,IF(a_FloatStrike&gt;0,MIN(a_FloatStrike,IF(a_FloatFloor&gt;0,MAX(a_FloatFloor,(a_FloatIndex+a_FloatDrift*(B146-1)/12)),(a_FloatIndex+a_FloatDrift*(B146-1)/12))),IF(a_FloatFloor&gt;0,MAX(a_FloatFloor,(a_FloatIndex+a_FloatDrift*(B146-1)/12)),(a_FloatIndex+a_FloatDrift*(B146-1)/12)))+a_FloatSpread),in_InterestRate)</f>
        <v>0.067</v>
      </c>
    </row>
    <row r="147">
      <c r="B147" s="25">
        <v>108</v>
      </c>
      <c r="C147" s="57">
        <f>EOMONTH(in_AnalysisStart,B147-1)</f>
        <v>49674</v>
      </c>
      <c r="D147" s="89">
        <f>INT((B147-1)/12)+1</f>
        <v>9</v>
      </c>
      <c r="E147" s="28">
        <f>I146</f>
        <v>4918212.4377940465</v>
      </c>
      <c r="F147" s="28">
        <f>E147*(J147*a_DayFactor/12)</f>
        <v>27841.4086032994</v>
      </c>
      <c r="G147" s="28">
        <f>IF(OR(B147&lt;=ROUND(in_IOYears*12,0),E147&lt;=0,(in_AmortYears*12-MAX(0,B147-1-ROUND(in_IOYears*12,0)))&lt;=0),0,MIN(E147,IF((J147*a_DayFactor/12)=0,E147/(in_AmortYears*12-MAX(0,B147-1-ROUND(in_IOYears*12,0))),E147*(J147*a_DayFactor/12)/(1-(1+(J147*a_DayFactor/12))^(-(in_AmortYears*12-MAX(0,B147-1-ROUND(in_IOYears*12,0))))))-F147))</f>
        <v>8779.914298494394</v>
      </c>
      <c r="H147" s="28">
        <f>F147+G147</f>
        <v>36621.32290179379</v>
      </c>
      <c r="I147" s="28">
        <f>E147-G147</f>
        <v>4909432.523495552</v>
      </c>
      <c r="J147" s="88">
        <f>IF(a_RateType="Floating",MAX(0,IF(a_FloatStrike&gt;0,MIN(a_FloatStrike,IF(a_FloatFloor&gt;0,MAX(a_FloatFloor,(a_FloatIndex+a_FloatDrift*(B147-1)/12)),(a_FloatIndex+a_FloatDrift*(B147-1)/12))),IF(a_FloatFloor&gt;0,MAX(a_FloatFloor,(a_FloatIndex+a_FloatDrift*(B147-1)/12)),(a_FloatIndex+a_FloatDrift*(B147-1)/12)))+a_FloatSpread),in_InterestRate)</f>
        <v>0.067</v>
      </c>
    </row>
    <row r="148">
      <c r="B148" s="25">
        <v>109</v>
      </c>
      <c r="C148" s="57">
        <f>EOMONTH(in_AnalysisStart,B148-1)</f>
        <v>49705</v>
      </c>
      <c r="D148" s="89">
        <f>INT((B148-1)/12)+1</f>
        <v>10</v>
      </c>
      <c r="E148" s="28">
        <f>I147</f>
        <v>4909432.523495552</v>
      </c>
      <c r="F148" s="28">
        <f>E148*(J148*a_DayFactor/12)</f>
        <v>27791.706565297158</v>
      </c>
      <c r="G148" s="28">
        <f>IF(OR(B148&lt;=ROUND(in_IOYears*12,0),E148&lt;=0,(in_AmortYears*12-MAX(0,B148-1-ROUND(in_IOYears*12,0)))&lt;=0),0,MIN(E148,IF((J148*a_DayFactor/12)=0,E148/(in_AmortYears*12-MAX(0,B148-1-ROUND(in_IOYears*12,0))),E148*(J148*a_DayFactor/12)/(1-(1+(J148*a_DayFactor/12))^(-(in_AmortYears*12-MAX(0,B148-1-ROUND(in_IOYears*12,0))))))-F148))</f>
        <v>8829.616336496634</v>
      </c>
      <c r="H148" s="28">
        <f>F148+G148</f>
        <v>36621.32290179379</v>
      </c>
      <c r="I148" s="28">
        <f>E148-G148</f>
        <v>4900602.907159056</v>
      </c>
      <c r="J148" s="88">
        <f>IF(a_RateType="Floating",MAX(0,IF(a_FloatStrike&gt;0,MIN(a_FloatStrike,IF(a_FloatFloor&gt;0,MAX(a_FloatFloor,(a_FloatIndex+a_FloatDrift*(B148-1)/12)),(a_FloatIndex+a_FloatDrift*(B148-1)/12))),IF(a_FloatFloor&gt;0,MAX(a_FloatFloor,(a_FloatIndex+a_FloatDrift*(B148-1)/12)),(a_FloatIndex+a_FloatDrift*(B148-1)/12)))+a_FloatSpread),in_InterestRate)</f>
        <v>0.067</v>
      </c>
    </row>
    <row r="149">
      <c r="B149" s="25">
        <v>110</v>
      </c>
      <c r="C149" s="57">
        <f>EOMONTH(in_AnalysisStart,B149-1)</f>
        <v>49734</v>
      </c>
      <c r="D149" s="89">
        <f>INT((B149-1)/12)+1</f>
        <v>10</v>
      </c>
      <c r="E149" s="28">
        <f>I148</f>
        <v>4900602.907159056</v>
      </c>
      <c r="F149" s="28">
        <f>E149*(J149*a_DayFactor/12)</f>
        <v>27741.72317004044</v>
      </c>
      <c r="G149" s="28">
        <f>IF(OR(B149&lt;=ROUND(in_IOYears*12,0),E149&lt;=0,(in_AmortYears*12-MAX(0,B149-1-ROUND(in_IOYears*12,0)))&lt;=0),0,MIN(E149,IF((J149*a_DayFactor/12)=0,E149/(in_AmortYears*12-MAX(0,B149-1-ROUND(in_IOYears*12,0))),E149*(J149*a_DayFactor/12)/(1-(1+(J149*a_DayFactor/12))^(-(in_AmortYears*12-MAX(0,B149-1-ROUND(in_IOYears*12,0))))))-F149))</f>
        <v>8879.599731753351</v>
      </c>
      <c r="H149" s="28">
        <f>F149+G149</f>
        <v>36621.32290179379</v>
      </c>
      <c r="I149" s="28">
        <f>E149-G149</f>
        <v>4891723.307427302</v>
      </c>
      <c r="J149" s="88">
        <f>IF(a_RateType="Floating",MAX(0,IF(a_FloatStrike&gt;0,MIN(a_FloatStrike,IF(a_FloatFloor&gt;0,MAX(a_FloatFloor,(a_FloatIndex+a_FloatDrift*(B149-1)/12)),(a_FloatIndex+a_FloatDrift*(B149-1)/12))),IF(a_FloatFloor&gt;0,MAX(a_FloatFloor,(a_FloatIndex+a_FloatDrift*(B149-1)/12)),(a_FloatIndex+a_FloatDrift*(B149-1)/12)))+a_FloatSpread),in_InterestRate)</f>
        <v>0.067</v>
      </c>
    </row>
    <row r="150">
      <c r="B150" s="25">
        <v>111</v>
      </c>
      <c r="C150" s="57">
        <f>EOMONTH(in_AnalysisStart,B150-1)</f>
        <v>49765</v>
      </c>
      <c r="D150" s="89">
        <f>INT((B150-1)/12)+1</f>
        <v>10</v>
      </c>
      <c r="E150" s="28">
        <f>I149</f>
        <v>4891723.307427302</v>
      </c>
      <c r="F150" s="28">
        <f>E150*(J150*a_DayFactor/12)</f>
        <v>27691.45682479969</v>
      </c>
      <c r="G150" s="28">
        <f>IF(OR(B150&lt;=ROUND(in_IOYears*12,0),E150&lt;=0,(in_AmortYears*12-MAX(0,B150-1-ROUND(in_IOYears*12,0)))&lt;=0),0,MIN(E150,IF((J150*a_DayFactor/12)=0,E150/(in_AmortYears*12-MAX(0,B150-1-ROUND(in_IOYears*12,0))),E150*(J150*a_DayFactor/12)/(1-(1+(J150*a_DayFactor/12))^(-(in_AmortYears*12-MAX(0,B150-1-ROUND(in_IOYears*12,0))))))-F150))</f>
        <v>8929.866076994102</v>
      </c>
      <c r="H150" s="28">
        <f>F150+G150</f>
        <v>36621.32290179379</v>
      </c>
      <c r="I150" s="28">
        <f>E150-G150</f>
        <v>4882793.441350308</v>
      </c>
      <c r="J150" s="88">
        <f>IF(a_RateType="Floating",MAX(0,IF(a_FloatStrike&gt;0,MIN(a_FloatStrike,IF(a_FloatFloor&gt;0,MAX(a_FloatFloor,(a_FloatIndex+a_FloatDrift*(B150-1)/12)),(a_FloatIndex+a_FloatDrift*(B150-1)/12))),IF(a_FloatFloor&gt;0,MAX(a_FloatFloor,(a_FloatIndex+a_FloatDrift*(B150-1)/12)),(a_FloatIndex+a_FloatDrift*(B150-1)/12)))+a_FloatSpread),in_InterestRate)</f>
        <v>0.067</v>
      </c>
    </row>
    <row r="151">
      <c r="B151" s="25">
        <v>112</v>
      </c>
      <c r="C151" s="57">
        <f>EOMONTH(in_AnalysisStart,B151-1)</f>
        <v>49795</v>
      </c>
      <c r="D151" s="89">
        <f>INT((B151-1)/12)+1</f>
        <v>10</v>
      </c>
      <c r="E151" s="28">
        <f>I150</f>
        <v>4882793.441350308</v>
      </c>
      <c r="F151" s="28">
        <f>E151*(J151*a_DayFactor/12)</f>
        <v>27640.905927829117</v>
      </c>
      <c r="G151" s="28">
        <f>IF(OR(B151&lt;=ROUND(in_IOYears*12,0),E151&lt;=0,(in_AmortYears*12-MAX(0,B151-1-ROUND(in_IOYears*12,0)))&lt;=0),0,MIN(E151,IF((J151*a_DayFactor/12)=0,E151/(in_AmortYears*12-MAX(0,B151-1-ROUND(in_IOYears*12,0))),E151*(J151*a_DayFactor/12)/(1-(1+(J151*a_DayFactor/12))^(-(in_AmortYears*12-MAX(0,B151-1-ROUND(in_IOYears*12,0))))))-F151))</f>
        <v>8980.416973964682</v>
      </c>
      <c r="H151" s="28">
        <f>F151+G151</f>
        <v>36621.3229017938</v>
      </c>
      <c r="I151" s="28">
        <f>E151-G151</f>
        <v>4873813.024376344</v>
      </c>
      <c r="J151" s="88">
        <f>IF(a_RateType="Floating",MAX(0,IF(a_FloatStrike&gt;0,MIN(a_FloatStrike,IF(a_FloatFloor&gt;0,MAX(a_FloatFloor,(a_FloatIndex+a_FloatDrift*(B151-1)/12)),(a_FloatIndex+a_FloatDrift*(B151-1)/12))),IF(a_FloatFloor&gt;0,MAX(a_FloatFloor,(a_FloatIndex+a_FloatDrift*(B151-1)/12)),(a_FloatIndex+a_FloatDrift*(B151-1)/12)))+a_FloatSpread),in_InterestRate)</f>
        <v>0.067</v>
      </c>
    </row>
    <row r="152">
      <c r="B152" s="25">
        <v>113</v>
      </c>
      <c r="C152" s="57">
        <f>EOMONTH(in_AnalysisStart,B152-1)</f>
        <v>49826</v>
      </c>
      <c r="D152" s="89">
        <f>INT((B152-1)/12)+1</f>
        <v>10</v>
      </c>
      <c r="E152" s="28">
        <f>I151</f>
        <v>4873813.024376344</v>
      </c>
      <c r="F152" s="28">
        <f>E152*(J152*a_DayFactor/12)</f>
        <v>27590.068868315622</v>
      </c>
      <c r="G152" s="28">
        <f>IF(OR(B152&lt;=ROUND(in_IOYears*12,0),E152&lt;=0,(in_AmortYears*12-MAX(0,B152-1-ROUND(in_IOYears*12,0)))&lt;=0),0,MIN(E152,IF((J152*a_DayFactor/12)=0,E152/(in_AmortYears*12-MAX(0,B152-1-ROUND(in_IOYears*12,0))),E152*(J152*a_DayFactor/12)/(1-(1+(J152*a_DayFactor/12))^(-(in_AmortYears*12-MAX(0,B152-1-ROUND(in_IOYears*12,0))))))-F152))</f>
        <v>9031.254033478177</v>
      </c>
      <c r="H152" s="28">
        <f>F152+G152</f>
        <v>36621.3229017938</v>
      </c>
      <c r="I152" s="28">
        <f>E152-G152</f>
        <v>4864781.770342866</v>
      </c>
      <c r="J152" s="88">
        <f>IF(a_RateType="Floating",MAX(0,IF(a_FloatStrike&gt;0,MIN(a_FloatStrike,IF(a_FloatFloor&gt;0,MAX(a_FloatFloor,(a_FloatIndex+a_FloatDrift*(B152-1)/12)),(a_FloatIndex+a_FloatDrift*(B152-1)/12))),IF(a_FloatFloor&gt;0,MAX(a_FloatFloor,(a_FloatIndex+a_FloatDrift*(B152-1)/12)),(a_FloatIndex+a_FloatDrift*(B152-1)/12)))+a_FloatSpread),in_InterestRate)</f>
        <v>0.067</v>
      </c>
    </row>
    <row r="153">
      <c r="B153" s="25">
        <v>114</v>
      </c>
      <c r="C153" s="57">
        <f>EOMONTH(in_AnalysisStart,B153-1)</f>
        <v>49856</v>
      </c>
      <c r="D153" s="89">
        <f>INT((B153-1)/12)+1</f>
        <v>10</v>
      </c>
      <c r="E153" s="28">
        <f>I152</f>
        <v>4864781.770342866</v>
      </c>
      <c r="F153" s="28">
        <f>E153*(J153*a_DayFactor/12)</f>
        <v>27538.944026327496</v>
      </c>
      <c r="G153" s="28">
        <f>IF(OR(B153&lt;=ROUND(in_IOYears*12,0),E153&lt;=0,(in_AmortYears*12-MAX(0,B153-1-ROUND(in_IOYears*12,0)))&lt;=0),0,MIN(E153,IF((J153*a_DayFactor/12)=0,E153/(in_AmortYears*12-MAX(0,B153-1-ROUND(in_IOYears*12,0))),E153*(J153*a_DayFactor/12)/(1-(1+(J153*a_DayFactor/12))^(-(in_AmortYears*12-MAX(0,B153-1-ROUND(in_IOYears*12,0))))))-F153))</f>
        <v>9082.378875466304</v>
      </c>
      <c r="H153" s="28">
        <f>F153+G153</f>
        <v>36621.3229017938</v>
      </c>
      <c r="I153" s="28">
        <f>E153-G153</f>
        <v>4855699.3914674</v>
      </c>
      <c r="J153" s="88">
        <f>IF(a_RateType="Floating",MAX(0,IF(a_FloatStrike&gt;0,MIN(a_FloatStrike,IF(a_FloatFloor&gt;0,MAX(a_FloatFloor,(a_FloatIndex+a_FloatDrift*(B153-1)/12)),(a_FloatIndex+a_FloatDrift*(B153-1)/12))),IF(a_FloatFloor&gt;0,MAX(a_FloatFloor,(a_FloatIndex+a_FloatDrift*(B153-1)/12)),(a_FloatIndex+a_FloatDrift*(B153-1)/12)))+a_FloatSpread),in_InterestRate)</f>
        <v>0.067</v>
      </c>
    </row>
    <row r="154">
      <c r="B154" s="25">
        <v>115</v>
      </c>
      <c r="C154" s="57">
        <f>EOMONTH(in_AnalysisStart,B154-1)</f>
        <v>49887</v>
      </c>
      <c r="D154" s="89">
        <f>INT((B154-1)/12)+1</f>
        <v>10</v>
      </c>
      <c r="E154" s="28">
        <f>I153</f>
        <v>4855699.3914674</v>
      </c>
      <c r="F154" s="28">
        <f>E154*(J154*a_DayFactor/12)</f>
        <v>27487.52977276279</v>
      </c>
      <c r="G154" s="28">
        <f>IF(OR(B154&lt;=ROUND(in_IOYears*12,0),E154&lt;=0,(in_AmortYears*12-MAX(0,B154-1-ROUND(in_IOYears*12,0)))&lt;=0),0,MIN(E154,IF((J154*a_DayFactor/12)=0,E154/(in_AmortYears*12-MAX(0,B154-1-ROUND(in_IOYears*12,0))),E154*(J154*a_DayFactor/12)/(1-(1+(J154*a_DayFactor/12))^(-(in_AmortYears*12-MAX(0,B154-1-ROUND(in_IOYears*12,0))))))-F154))</f>
        <v>9133.793129031008</v>
      </c>
      <c r="H154" s="28">
        <f>F154+G154</f>
        <v>36621.3229017938</v>
      </c>
      <c r="I154" s="28">
        <f>E154-G154</f>
        <v>4846565.598338369</v>
      </c>
      <c r="J154" s="88">
        <f>IF(a_RateType="Floating",MAX(0,IF(a_FloatStrike&gt;0,MIN(a_FloatStrike,IF(a_FloatFloor&gt;0,MAX(a_FloatFloor,(a_FloatIndex+a_FloatDrift*(B154-1)/12)),(a_FloatIndex+a_FloatDrift*(B154-1)/12))),IF(a_FloatFloor&gt;0,MAX(a_FloatFloor,(a_FloatIndex+a_FloatDrift*(B154-1)/12)),(a_FloatIndex+a_FloatDrift*(B154-1)/12)))+a_FloatSpread),in_InterestRate)</f>
        <v>0.067</v>
      </c>
    </row>
    <row r="155">
      <c r="B155" s="25">
        <v>116</v>
      </c>
      <c r="C155" s="57">
        <f>EOMONTH(in_AnalysisStart,B155-1)</f>
        <v>49918</v>
      </c>
      <c r="D155" s="89">
        <f>INT((B155-1)/12)+1</f>
        <v>10</v>
      </c>
      <c r="E155" s="28">
        <f>I154</f>
        <v>4846565.598338369</v>
      </c>
      <c r="F155" s="28">
        <f>E155*(J155*a_DayFactor/12)</f>
        <v>27435.82446929741</v>
      </c>
      <c r="G155" s="28">
        <f>IF(OR(B155&lt;=ROUND(in_IOYears*12,0),E155&lt;=0,(in_AmortYears*12-MAX(0,B155-1-ROUND(in_IOYears*12,0)))&lt;=0),0,MIN(E155,IF((J155*a_DayFactor/12)=0,E155/(in_AmortYears*12-MAX(0,B155-1-ROUND(in_IOYears*12,0))),E155*(J155*a_DayFactor/12)/(1-(1+(J155*a_DayFactor/12))^(-(in_AmortYears*12-MAX(0,B155-1-ROUND(in_IOYears*12,0))))))-F155))</f>
        <v>9185.498432496388</v>
      </c>
      <c r="H155" s="28">
        <f>F155+G155</f>
        <v>36621.3229017938</v>
      </c>
      <c r="I155" s="28">
        <f>E155-G155</f>
        <v>4837380.099905873</v>
      </c>
      <c r="J155" s="88">
        <f>IF(a_RateType="Floating",MAX(0,IF(a_FloatStrike&gt;0,MIN(a_FloatStrike,IF(a_FloatFloor&gt;0,MAX(a_FloatFloor,(a_FloatIndex+a_FloatDrift*(B155-1)/12)),(a_FloatIndex+a_FloatDrift*(B155-1)/12))),IF(a_FloatFloor&gt;0,MAX(a_FloatFloor,(a_FloatIndex+a_FloatDrift*(B155-1)/12)),(a_FloatIndex+a_FloatDrift*(B155-1)/12)))+a_FloatSpread),in_InterestRate)</f>
        <v>0.067</v>
      </c>
    </row>
    <row r="156">
      <c r="B156" s="25">
        <v>117</v>
      </c>
      <c r="C156" s="57">
        <f>EOMONTH(in_AnalysisStart,B156-1)</f>
        <v>49948</v>
      </c>
      <c r="D156" s="89">
        <f>INT((B156-1)/12)+1</f>
        <v>10</v>
      </c>
      <c r="E156" s="28">
        <f>I155</f>
        <v>4837380.099905873</v>
      </c>
      <c r="F156" s="28">
        <f>E156*(J156*a_DayFactor/12)</f>
        <v>27383.826468332896</v>
      </c>
      <c r="G156" s="28">
        <f>IF(OR(B156&lt;=ROUND(in_IOYears*12,0),E156&lt;=0,(in_AmortYears*12-MAX(0,B156-1-ROUND(in_IOYears*12,0)))&lt;=0),0,MIN(E156,IF((J156*a_DayFactor/12)=0,E156/(in_AmortYears*12-MAX(0,B156-1-ROUND(in_IOYears*12,0))),E156*(J156*a_DayFactor/12)/(1-(1+(J156*a_DayFactor/12))^(-(in_AmortYears*12-MAX(0,B156-1-ROUND(in_IOYears*12,0))))))-F156))</f>
        <v>9237.496433460896</v>
      </c>
      <c r="H156" s="28">
        <f>F156+G156</f>
        <v>36621.32290179379</v>
      </c>
      <c r="I156" s="28">
        <f>E156-G156</f>
        <v>4828142.603472412</v>
      </c>
      <c r="J156" s="88">
        <f>IF(a_RateType="Floating",MAX(0,IF(a_FloatStrike&gt;0,MIN(a_FloatStrike,IF(a_FloatFloor&gt;0,MAX(a_FloatFloor,(a_FloatIndex+a_FloatDrift*(B156-1)/12)),(a_FloatIndex+a_FloatDrift*(B156-1)/12))),IF(a_FloatFloor&gt;0,MAX(a_FloatFloor,(a_FloatIndex+a_FloatDrift*(B156-1)/12)),(a_FloatIndex+a_FloatDrift*(B156-1)/12)))+a_FloatSpread),in_InterestRate)</f>
        <v>0.067</v>
      </c>
    </row>
    <row r="157">
      <c r="B157" s="25">
        <v>118</v>
      </c>
      <c r="C157" s="57">
        <f>EOMONTH(in_AnalysisStart,B157-1)</f>
        <v>49979</v>
      </c>
      <c r="D157" s="89">
        <f>INT((B157-1)/12)+1</f>
        <v>10</v>
      </c>
      <c r="E157" s="28">
        <f>I156</f>
        <v>4828142.603472412</v>
      </c>
      <c r="F157" s="28">
        <f>E157*(J157*a_DayFactor/12)</f>
        <v>27331.53411294394</v>
      </c>
      <c r="G157" s="28">
        <f>IF(OR(B157&lt;=ROUND(in_IOYears*12,0),E157&lt;=0,(in_AmortYears*12-MAX(0,B157-1-ROUND(in_IOYears*12,0)))&lt;=0),0,MIN(E157,IF((J157*a_DayFactor/12)=0,E157/(in_AmortYears*12-MAX(0,B157-1-ROUND(in_IOYears*12,0))),E157*(J157*a_DayFactor/12)/(1-(1+(J157*a_DayFactor/12))^(-(in_AmortYears*12-MAX(0,B157-1-ROUND(in_IOYears*12,0))))))-F157))</f>
        <v>9289.788788849859</v>
      </c>
      <c r="H157" s="28">
        <f>F157+G157</f>
        <v>36621.3229017938</v>
      </c>
      <c r="I157" s="28">
        <f>E157-G157</f>
        <v>4818852.814683562</v>
      </c>
      <c r="J157" s="88">
        <f>IF(a_RateType="Floating",MAX(0,IF(a_FloatStrike&gt;0,MIN(a_FloatStrike,IF(a_FloatFloor&gt;0,MAX(a_FloatFloor,(a_FloatIndex+a_FloatDrift*(B157-1)/12)),(a_FloatIndex+a_FloatDrift*(B157-1)/12))),IF(a_FloatFloor&gt;0,MAX(a_FloatFloor,(a_FloatIndex+a_FloatDrift*(B157-1)/12)),(a_FloatIndex+a_FloatDrift*(B157-1)/12)))+a_FloatSpread),in_InterestRate)</f>
        <v>0.067</v>
      </c>
    </row>
    <row r="158">
      <c r="B158" s="25">
        <v>119</v>
      </c>
      <c r="C158" s="57">
        <f>EOMONTH(in_AnalysisStart,B158-1)</f>
        <v>50009</v>
      </c>
      <c r="D158" s="89">
        <f>INT((B158-1)/12)+1</f>
        <v>10</v>
      </c>
      <c r="E158" s="28">
        <f>I157</f>
        <v>4818852.814683562</v>
      </c>
      <c r="F158" s="28">
        <f>E158*(J158*a_DayFactor/12)</f>
        <v>27278.94573682558</v>
      </c>
      <c r="G158" s="28">
        <f>IF(OR(B158&lt;=ROUND(in_IOYears*12,0),E158&lt;=0,(in_AmortYears*12-MAX(0,B158-1-ROUND(in_IOYears*12,0)))&lt;=0),0,MIN(E158,IF((J158*a_DayFactor/12)=0,E158/(in_AmortYears*12-MAX(0,B158-1-ROUND(in_IOYears*12,0))),E158*(J158*a_DayFactor/12)/(1-(1+(J158*a_DayFactor/12))^(-(in_AmortYears*12-MAX(0,B158-1-ROUND(in_IOYears*12,0))))))-F158))</f>
        <v>9342.37716496822</v>
      </c>
      <c r="H158" s="28">
        <f>F158+G158</f>
        <v>36621.3229017938</v>
      </c>
      <c r="I158" s="28">
        <f>E158-G158</f>
        <v>4809510.437518594</v>
      </c>
      <c r="J158" s="88">
        <f>IF(a_RateType="Floating",MAX(0,IF(a_FloatStrike&gt;0,MIN(a_FloatStrike,IF(a_FloatFloor&gt;0,MAX(a_FloatFloor,(a_FloatIndex+a_FloatDrift*(B158-1)/12)),(a_FloatIndex+a_FloatDrift*(B158-1)/12))),IF(a_FloatFloor&gt;0,MAX(a_FloatFloor,(a_FloatIndex+a_FloatDrift*(B158-1)/12)),(a_FloatIndex+a_FloatDrift*(B158-1)/12)))+a_FloatSpread),in_InterestRate)</f>
        <v>0.067</v>
      </c>
    </row>
    <row r="159">
      <c r="B159" s="25">
        <v>120</v>
      </c>
      <c r="C159" s="57">
        <f>EOMONTH(in_AnalysisStart,B159-1)</f>
        <v>50040</v>
      </c>
      <c r="D159" s="89">
        <f>INT((B159-1)/12)+1</f>
        <v>10</v>
      </c>
      <c r="E159" s="28">
        <f>I158</f>
        <v>4809510.437518594</v>
      </c>
      <c r="F159" s="28">
        <f>E159*(J159*a_DayFactor/12)</f>
        <v>27226.059664240096</v>
      </c>
      <c r="G159" s="28">
        <f>IF(OR(B159&lt;=ROUND(in_IOYears*12,0),E159&lt;=0,(in_AmortYears*12-MAX(0,B159-1-ROUND(in_IOYears*12,0)))&lt;=0),0,MIN(E159,IF((J159*a_DayFactor/12)=0,E159/(in_AmortYears*12-MAX(0,B159-1-ROUND(in_IOYears*12,0))),E159*(J159*a_DayFactor/12)/(1-(1+(J159*a_DayFactor/12))^(-(in_AmortYears*12-MAX(0,B159-1-ROUND(in_IOYears*12,0))))))-F159))</f>
        <v>9395.263237553703</v>
      </c>
      <c r="H159" s="28">
        <f>F159+G159</f>
        <v>36621.3229017938</v>
      </c>
      <c r="I159" s="28">
        <f>E159-G159</f>
        <v>4800115.17428104</v>
      </c>
      <c r="J159" s="88">
        <f>IF(a_RateType="Floating",MAX(0,IF(a_FloatStrike&gt;0,MIN(a_FloatStrike,IF(a_FloatFloor&gt;0,MAX(a_FloatFloor,(a_FloatIndex+a_FloatDrift*(B159-1)/12)),(a_FloatIndex+a_FloatDrift*(B159-1)/12))),IF(a_FloatFloor&gt;0,MAX(a_FloatFloor,(a_FloatIndex+a_FloatDrift*(B159-1)/12)),(a_FloatIndex+a_FloatDrift*(B159-1)/12)))+a_FloatSpread),in_InterestRate)</f>
        <v>0.067</v>
      </c>
    </row>
    <row r="160">
      <c r="B160" s="25">
        <v>121</v>
      </c>
      <c r="C160" s="57">
        <f>EOMONTH(in_AnalysisStart,B160-1)</f>
        <v>50071</v>
      </c>
      <c r="D160" s="89">
        <f>INT((B160-1)/12)+1</f>
        <v>11</v>
      </c>
      <c r="E160" s="28">
        <f>I159</f>
        <v>4800115.17428104</v>
      </c>
      <c r="F160" s="28">
        <f>E160*(J160*a_DayFactor/12)</f>
        <v>27172.87420996362</v>
      </c>
      <c r="G160" s="28">
        <f>IF(OR(B160&lt;=ROUND(in_IOYears*12,0),E160&lt;=0,(in_AmortYears*12-MAX(0,B160-1-ROUND(in_IOYears*12,0)))&lt;=0),0,MIN(E160,IF((J160*a_DayFactor/12)=0,E160/(in_AmortYears*12-MAX(0,B160-1-ROUND(in_IOYears*12,0))),E160*(J160*a_DayFactor/12)/(1-(1+(J160*a_DayFactor/12))^(-(in_AmortYears*12-MAX(0,B160-1-ROUND(in_IOYears*12,0))))))-F160))</f>
        <v>9448.44869183018</v>
      </c>
      <c r="H160" s="28">
        <f>F160+G160</f>
        <v>36621.3229017938</v>
      </c>
      <c r="I160" s="28">
        <f>E160-G160</f>
        <v>4790666.72558921</v>
      </c>
      <c r="J160" s="88">
        <f>IF(a_RateType="Floating",MAX(0,IF(a_FloatStrike&gt;0,MIN(a_FloatStrike,IF(a_FloatFloor&gt;0,MAX(a_FloatFloor,(a_FloatIndex+a_FloatDrift*(B160-1)/12)),(a_FloatIndex+a_FloatDrift*(B160-1)/12))),IF(a_FloatFloor&gt;0,MAX(a_FloatFloor,(a_FloatIndex+a_FloatDrift*(B160-1)/12)),(a_FloatIndex+a_FloatDrift*(B160-1)/12)))+a_FloatSpread),in_InterestRate)</f>
        <v>0.067</v>
      </c>
    </row>
    <row r="161">
      <c r="B161" s="25">
        <v>122</v>
      </c>
      <c r="C161" s="57">
        <f>EOMONTH(in_AnalysisStart,B161-1)</f>
        <v>50099</v>
      </c>
      <c r="D161" s="89">
        <f>INT((B161-1)/12)+1</f>
        <v>11</v>
      </c>
      <c r="E161" s="28">
        <f>I160</f>
        <v>4790666.72558921</v>
      </c>
      <c r="F161" s="28">
        <f>E161*(J161*a_DayFactor/12)</f>
        <v>27119.387679232437</v>
      </c>
      <c r="G161" s="28">
        <f>IF(OR(B161&lt;=ROUND(in_IOYears*12,0),E161&lt;=0,(in_AmortYears*12-MAX(0,B161-1-ROUND(in_IOYears*12,0)))&lt;=0),0,MIN(E161,IF((J161*a_DayFactor/12)=0,E161/(in_AmortYears*12-MAX(0,B161-1-ROUND(in_IOYears*12,0))),E161*(J161*a_DayFactor/12)/(1-(1+(J161*a_DayFactor/12))^(-(in_AmortYears*12-MAX(0,B161-1-ROUND(in_IOYears*12,0))))))-F161))</f>
        <v>9501.935222561362</v>
      </c>
      <c r="H161" s="28">
        <f>F161+G161</f>
        <v>36621.3229017938</v>
      </c>
      <c r="I161" s="28">
        <f>E161-G161</f>
        <v>4781164.790366649</v>
      </c>
      <c r="J161" s="88">
        <f>IF(a_RateType="Floating",MAX(0,IF(a_FloatStrike&gt;0,MIN(a_FloatStrike,IF(a_FloatFloor&gt;0,MAX(a_FloatFloor,(a_FloatIndex+a_FloatDrift*(B161-1)/12)),(a_FloatIndex+a_FloatDrift*(B161-1)/12))),IF(a_FloatFloor&gt;0,MAX(a_FloatFloor,(a_FloatIndex+a_FloatDrift*(B161-1)/12)),(a_FloatIndex+a_FloatDrift*(B161-1)/12)))+a_FloatSpread),in_InterestRate)</f>
        <v>0.067</v>
      </c>
    </row>
    <row r="162">
      <c r="B162" s="25">
        <v>123</v>
      </c>
      <c r="C162" s="57">
        <f>EOMONTH(in_AnalysisStart,B162-1)</f>
        <v>50130</v>
      </c>
      <c r="D162" s="89">
        <f>INT((B162-1)/12)+1</f>
        <v>11</v>
      </c>
      <c r="E162" s="28">
        <f>I161</f>
        <v>4781164.790366649</v>
      </c>
      <c r="F162" s="28">
        <f>E162*(J162*a_DayFactor/12)</f>
        <v>27065.598367688977</v>
      </c>
      <c r="G162" s="28">
        <f>IF(OR(B162&lt;=ROUND(in_IOYears*12,0),E162&lt;=0,(in_AmortYears*12-MAX(0,B162-1-ROUND(in_IOYears*12,0)))&lt;=0),0,MIN(E162,IF((J162*a_DayFactor/12)=0,E162/(in_AmortYears*12-MAX(0,B162-1-ROUND(in_IOYears*12,0))),E162*(J162*a_DayFactor/12)/(1-(1+(J162*a_DayFactor/12))^(-(in_AmortYears*12-MAX(0,B162-1-ROUND(in_IOYears*12,0))))))-F162))</f>
        <v>9555.724534104815</v>
      </c>
      <c r="H162" s="28">
        <f>F162+G162</f>
        <v>36621.32290179379</v>
      </c>
      <c r="I162" s="28">
        <f>E162-G162</f>
        <v>4771609.065832544</v>
      </c>
      <c r="J162" s="88">
        <f>IF(a_RateType="Floating",MAX(0,IF(a_FloatStrike&gt;0,MIN(a_FloatStrike,IF(a_FloatFloor&gt;0,MAX(a_FloatFloor,(a_FloatIndex+a_FloatDrift*(B162-1)/12)),(a_FloatIndex+a_FloatDrift*(B162-1)/12))),IF(a_FloatFloor&gt;0,MAX(a_FloatFloor,(a_FloatIndex+a_FloatDrift*(B162-1)/12)),(a_FloatIndex+a_FloatDrift*(B162-1)/12)))+a_FloatSpread),in_InterestRate)</f>
        <v>0.067</v>
      </c>
    </row>
    <row r="163">
      <c r="B163" s="25">
        <v>124</v>
      </c>
      <c r="C163" s="57">
        <f>EOMONTH(in_AnalysisStart,B163-1)</f>
        <v>50160</v>
      </c>
      <c r="D163" s="89">
        <f>INT((B163-1)/12)+1</f>
        <v>11</v>
      </c>
      <c r="E163" s="28">
        <f>I162</f>
        <v>4771609.065832544</v>
      </c>
      <c r="F163" s="28">
        <f>E163*(J163*a_DayFactor/12)</f>
        <v>27011.504561327514</v>
      </c>
      <c r="G163" s="28">
        <f>IF(OR(B163&lt;=ROUND(in_IOYears*12,0),E163&lt;=0,(in_AmortYears*12-MAX(0,B163-1-ROUND(in_IOYears*12,0)))&lt;=0),0,MIN(E163,IF((J163*a_DayFactor/12)=0,E163/(in_AmortYears*12-MAX(0,B163-1-ROUND(in_IOYears*12,0))),E163*(J163*a_DayFactor/12)/(1-(1+(J163*a_DayFactor/12))^(-(in_AmortYears*12-MAX(0,B163-1-ROUND(in_IOYears*12,0))))))-F163))</f>
        <v>9609.818340466285</v>
      </c>
      <c r="H163" s="28">
        <f>F163+G163</f>
        <v>36621.3229017938</v>
      </c>
      <c r="I163" s="28">
        <f>E163-G163</f>
        <v>4761999.247492078</v>
      </c>
      <c r="J163" s="88">
        <f>IF(a_RateType="Floating",MAX(0,IF(a_FloatStrike&gt;0,MIN(a_FloatStrike,IF(a_FloatFloor&gt;0,MAX(a_FloatFloor,(a_FloatIndex+a_FloatDrift*(B163-1)/12)),(a_FloatIndex+a_FloatDrift*(B163-1)/12))),IF(a_FloatFloor&gt;0,MAX(a_FloatFloor,(a_FloatIndex+a_FloatDrift*(B163-1)/12)),(a_FloatIndex+a_FloatDrift*(B163-1)/12)))+a_FloatSpread),in_InterestRate)</f>
        <v>0.067</v>
      </c>
    </row>
    <row r="164">
      <c r="B164" s="25">
        <v>125</v>
      </c>
      <c r="C164" s="57">
        <f>EOMONTH(in_AnalysisStart,B164-1)</f>
        <v>50191</v>
      </c>
      <c r="D164" s="89">
        <f>INT((B164-1)/12)+1</f>
        <v>11</v>
      </c>
      <c r="E164" s="28">
        <f>I163</f>
        <v>4761999.247492078</v>
      </c>
      <c r="F164" s="28">
        <f>E164*(J164*a_DayFactor/12)</f>
        <v>26957.10453643953</v>
      </c>
      <c r="G164" s="28">
        <f>IF(OR(B164&lt;=ROUND(in_IOYears*12,0),E164&lt;=0,(in_AmortYears*12-MAX(0,B164-1-ROUND(in_IOYears*12,0)))&lt;=0),0,MIN(E164,IF((J164*a_DayFactor/12)=0,E164/(in_AmortYears*12-MAX(0,B164-1-ROUND(in_IOYears*12,0))),E164*(J164*a_DayFactor/12)/(1-(1+(J164*a_DayFactor/12))^(-(in_AmortYears*12-MAX(0,B164-1-ROUND(in_IOYears*12,0))))))-F164))</f>
        <v>9664.21836535427</v>
      </c>
      <c r="H164" s="28">
        <f>F164+G164</f>
        <v>36621.3229017938</v>
      </c>
      <c r="I164" s="28">
        <f>E164-G164</f>
        <v>4752335.029126723</v>
      </c>
      <c r="J164" s="88">
        <f>IF(a_RateType="Floating",MAX(0,IF(a_FloatStrike&gt;0,MIN(a_FloatStrike,IF(a_FloatFloor&gt;0,MAX(a_FloatFloor,(a_FloatIndex+a_FloatDrift*(B164-1)/12)),(a_FloatIndex+a_FloatDrift*(B164-1)/12))),IF(a_FloatFloor&gt;0,MAX(a_FloatFloor,(a_FloatIndex+a_FloatDrift*(B164-1)/12)),(a_FloatIndex+a_FloatDrift*(B164-1)/12)))+a_FloatSpread),in_InterestRate)</f>
        <v>0.067</v>
      </c>
    </row>
    <row r="165">
      <c r="B165" s="25">
        <v>126</v>
      </c>
      <c r="C165" s="57">
        <f>EOMONTH(in_AnalysisStart,B165-1)</f>
        <v>50221</v>
      </c>
      <c r="D165" s="89">
        <f>INT((B165-1)/12)+1</f>
        <v>11</v>
      </c>
      <c r="E165" s="28">
        <f>I164</f>
        <v>4752335.029126723</v>
      </c>
      <c r="F165" s="28">
        <f>E165*(J165*a_DayFactor/12)</f>
        <v>26902.396559558798</v>
      </c>
      <c r="G165" s="28">
        <f>IF(OR(B165&lt;=ROUND(in_IOYears*12,0),E165&lt;=0,(in_AmortYears*12-MAX(0,B165-1-ROUND(in_IOYears*12,0)))&lt;=0),0,MIN(E165,IF((J165*a_DayFactor/12)=0,E165/(in_AmortYears*12-MAX(0,B165-1-ROUND(in_IOYears*12,0))),E165*(J165*a_DayFactor/12)/(1-(1+(J165*a_DayFactor/12))^(-(in_AmortYears*12-MAX(0,B165-1-ROUND(in_IOYears*12,0))))))-F165))</f>
        <v>9718.926342234994</v>
      </c>
      <c r="H165" s="28">
        <f>F165+G165</f>
        <v>36621.32290179379</v>
      </c>
      <c r="I165" s="28">
        <f>E165-G165</f>
        <v>4742616.102784488</v>
      </c>
      <c r="J165" s="88">
        <f>IF(a_RateType="Floating",MAX(0,IF(a_FloatStrike&gt;0,MIN(a_FloatStrike,IF(a_FloatFloor&gt;0,MAX(a_FloatFloor,(a_FloatIndex+a_FloatDrift*(B165-1)/12)),(a_FloatIndex+a_FloatDrift*(B165-1)/12))),IF(a_FloatFloor&gt;0,MAX(a_FloatFloor,(a_FloatIndex+a_FloatDrift*(B165-1)/12)),(a_FloatIndex+a_FloatDrift*(B165-1)/12)))+a_FloatSpread),in_InterestRate)</f>
        <v>0.067</v>
      </c>
    </row>
    <row r="166">
      <c r="B166" s="25">
        <v>127</v>
      </c>
      <c r="C166" s="57">
        <f>EOMONTH(in_AnalysisStart,B166-1)</f>
        <v>50252</v>
      </c>
      <c r="D166" s="89">
        <f>INT((B166-1)/12)+1</f>
        <v>11</v>
      </c>
      <c r="E166" s="28">
        <f>I165</f>
        <v>4742616.102784488</v>
      </c>
      <c r="F166" s="28">
        <f>E166*(J166*a_DayFactor/12)</f>
        <v>26847.378887406172</v>
      </c>
      <c r="G166" s="28">
        <f>IF(OR(B166&lt;=ROUND(in_IOYears*12,0),E166&lt;=0,(in_AmortYears*12-MAX(0,B166-1-ROUND(in_IOYears*12,0)))&lt;=0),0,MIN(E166,IF((J166*a_DayFactor/12)=0,E166/(in_AmortYears*12-MAX(0,B166-1-ROUND(in_IOYears*12,0))),E166*(J166*a_DayFactor/12)/(1-(1+(J166*a_DayFactor/12))^(-(in_AmortYears*12-MAX(0,B166-1-ROUND(in_IOYears*12,0))))))-F166))</f>
        <v>9773.94401438762</v>
      </c>
      <c r="H166" s="28">
        <f>F166+G166</f>
        <v>36621.32290179379</v>
      </c>
      <c r="I166" s="28">
        <f>E166-G166</f>
        <v>4732842.158770101</v>
      </c>
      <c r="J166" s="88">
        <f>IF(a_RateType="Floating",MAX(0,IF(a_FloatStrike&gt;0,MIN(a_FloatStrike,IF(a_FloatFloor&gt;0,MAX(a_FloatFloor,(a_FloatIndex+a_FloatDrift*(B166-1)/12)),(a_FloatIndex+a_FloatDrift*(B166-1)/12))),IF(a_FloatFloor&gt;0,MAX(a_FloatFloor,(a_FloatIndex+a_FloatDrift*(B166-1)/12)),(a_FloatIndex+a_FloatDrift*(B166-1)/12)))+a_FloatSpread),in_InterestRate)</f>
        <v>0.067</v>
      </c>
    </row>
    <row r="167">
      <c r="B167" s="25">
        <v>128</v>
      </c>
      <c r="C167" s="57">
        <f>EOMONTH(in_AnalysisStart,B167-1)</f>
        <v>50283</v>
      </c>
      <c r="D167" s="89">
        <f>INT((B167-1)/12)+1</f>
        <v>11</v>
      </c>
      <c r="E167" s="28">
        <f>I166</f>
        <v>4732842.158770101</v>
      </c>
      <c r="F167" s="28">
        <f>E167*(J167*a_DayFactor/12)</f>
        <v>26792.049766833985</v>
      </c>
      <c r="G167" s="28">
        <f>IF(OR(B167&lt;=ROUND(in_IOYears*12,0),E167&lt;=0,(in_AmortYears*12-MAX(0,B167-1-ROUND(in_IOYears*12,0)))&lt;=0),0,MIN(E167,IF((J167*a_DayFactor/12)=0,E167/(in_AmortYears*12-MAX(0,B167-1-ROUND(in_IOYears*12,0))),E167*(J167*a_DayFactor/12)/(1-(1+(J167*a_DayFactor/12))^(-(in_AmortYears*12-MAX(0,B167-1-ROUND(in_IOYears*12,0))))))-F167))</f>
        <v>9829.273134959814</v>
      </c>
      <c r="H167" s="28">
        <f>F167+G167</f>
        <v>36621.3229017938</v>
      </c>
      <c r="I167" s="28">
        <f>E167-G167</f>
        <v>4723012.885635141</v>
      </c>
      <c r="J167" s="88">
        <f>IF(a_RateType="Floating",MAX(0,IF(a_FloatStrike&gt;0,MIN(a_FloatStrike,IF(a_FloatFloor&gt;0,MAX(a_FloatFloor,(a_FloatIndex+a_FloatDrift*(B167-1)/12)),(a_FloatIndex+a_FloatDrift*(B167-1)/12))),IF(a_FloatFloor&gt;0,MAX(a_FloatFloor,(a_FloatIndex+a_FloatDrift*(B167-1)/12)),(a_FloatIndex+a_FloatDrift*(B167-1)/12)))+a_FloatSpread),in_InterestRate)</f>
        <v>0.067</v>
      </c>
    </row>
    <row r="168">
      <c r="B168" s="25">
        <v>129</v>
      </c>
      <c r="C168" s="57">
        <f>EOMONTH(in_AnalysisStart,B168-1)</f>
        <v>50313</v>
      </c>
      <c r="D168" s="89">
        <f>INT((B168-1)/12)+1</f>
        <v>11</v>
      </c>
      <c r="E168" s="28">
        <f>I167</f>
        <v>4723012.885635141</v>
      </c>
      <c r="F168" s="28">
        <f>E168*(J168*a_DayFactor/12)</f>
        <v>26736.407434770226</v>
      </c>
      <c r="G168" s="28">
        <f>IF(OR(B168&lt;=ROUND(in_IOYears*12,0),E168&lt;=0,(in_AmortYears*12-MAX(0,B168-1-ROUND(in_IOYears*12,0)))&lt;=0),0,MIN(E168,IF((J168*a_DayFactor/12)=0,E168/(in_AmortYears*12-MAX(0,B168-1-ROUND(in_IOYears*12,0))),E168*(J168*a_DayFactor/12)/(1-(1+(J168*a_DayFactor/12))^(-(in_AmortYears*12-MAX(0,B168-1-ROUND(in_IOYears*12,0))))))-F168))</f>
        <v>9884.915467023566</v>
      </c>
      <c r="H168" s="28">
        <f>F168+G168</f>
        <v>36621.32290179379</v>
      </c>
      <c r="I168" s="28">
        <f>E168-G168</f>
        <v>4713127.970168117</v>
      </c>
      <c r="J168" s="88">
        <f>IF(a_RateType="Floating",MAX(0,IF(a_FloatStrike&gt;0,MIN(a_FloatStrike,IF(a_FloatFloor&gt;0,MAX(a_FloatFloor,(a_FloatIndex+a_FloatDrift*(B168-1)/12)),(a_FloatIndex+a_FloatDrift*(B168-1)/12))),IF(a_FloatFloor&gt;0,MAX(a_FloatFloor,(a_FloatIndex+a_FloatDrift*(B168-1)/12)),(a_FloatIndex+a_FloatDrift*(B168-1)/12)))+a_FloatSpread),in_InterestRate)</f>
        <v>0.067</v>
      </c>
    </row>
    <row r="169">
      <c r="B169" s="25">
        <v>130</v>
      </c>
      <c r="C169" s="57">
        <f>EOMONTH(in_AnalysisStart,B169-1)</f>
        <v>50344</v>
      </c>
      <c r="D169" s="89">
        <f>INT((B169-1)/12)+1</f>
        <v>11</v>
      </c>
      <c r="E169" s="28">
        <f>I168</f>
        <v>4713127.970168117</v>
      </c>
      <c r="F169" s="28">
        <f>E169*(J169*a_DayFactor/12)</f>
        <v>26680.45011816234</v>
      </c>
      <c r="G169" s="28">
        <f>IF(OR(B169&lt;=ROUND(in_IOYears*12,0),E169&lt;=0,(in_AmortYears*12-MAX(0,B169-1-ROUND(in_IOYears*12,0)))&lt;=0),0,MIN(E169,IF((J169*a_DayFactor/12)=0,E169/(in_AmortYears*12-MAX(0,B169-1-ROUND(in_IOYears*12,0))),E169*(J169*a_DayFactor/12)/(1-(1+(J169*a_DayFactor/12))^(-(in_AmortYears*12-MAX(0,B169-1-ROUND(in_IOYears*12,0))))))-F169))</f>
        <v>9940.872783631447</v>
      </c>
      <c r="H169" s="28">
        <f>F169+G169</f>
        <v>36621.322901793785</v>
      </c>
      <c r="I169" s="28">
        <f>E169-G169</f>
        <v>4703187.097384486</v>
      </c>
      <c r="J169" s="88">
        <f>IF(a_RateType="Floating",MAX(0,IF(a_FloatStrike&gt;0,MIN(a_FloatStrike,IF(a_FloatFloor&gt;0,MAX(a_FloatFloor,(a_FloatIndex+a_FloatDrift*(B169-1)/12)),(a_FloatIndex+a_FloatDrift*(B169-1)/12))),IF(a_FloatFloor&gt;0,MAX(a_FloatFloor,(a_FloatIndex+a_FloatDrift*(B169-1)/12)),(a_FloatIndex+a_FloatDrift*(B169-1)/12)))+a_FloatSpread),in_InterestRate)</f>
        <v>0.067</v>
      </c>
    </row>
    <row r="170">
      <c r="B170" s="25">
        <v>131</v>
      </c>
      <c r="C170" s="57">
        <f>EOMONTH(in_AnalysisStart,B170-1)</f>
        <v>50374</v>
      </c>
      <c r="D170" s="89">
        <f>INT((B170-1)/12)+1</f>
        <v>11</v>
      </c>
      <c r="E170" s="28">
        <f>I169</f>
        <v>4703187.097384486</v>
      </c>
      <c r="F170" s="28">
        <f>E170*(J170*a_DayFactor/12)</f>
        <v>26624.176033920743</v>
      </c>
      <c r="G170" s="28">
        <f>IF(OR(B170&lt;=ROUND(in_IOYears*12,0),E170&lt;=0,(in_AmortYears*12-MAX(0,B170-1-ROUND(in_IOYears*12,0)))&lt;=0),0,MIN(E170,IF((J170*a_DayFactor/12)=0,E170/(in_AmortYears*12-MAX(0,B170-1-ROUND(in_IOYears*12,0))),E170*(J170*a_DayFactor/12)/(1-(1+(J170*a_DayFactor/12))^(-(in_AmortYears*12-MAX(0,B170-1-ROUND(in_IOYears*12,0))))))-F170))</f>
        <v>9997.146867873056</v>
      </c>
      <c r="H170" s="28">
        <f>F170+G170</f>
        <v>36621.3229017938</v>
      </c>
      <c r="I170" s="28">
        <f>E170-G170</f>
        <v>4693189.950516613</v>
      </c>
      <c r="J170" s="88">
        <f>IF(a_RateType="Floating",MAX(0,IF(a_FloatStrike&gt;0,MIN(a_FloatStrike,IF(a_FloatFloor&gt;0,MAX(a_FloatFloor,(a_FloatIndex+a_FloatDrift*(B170-1)/12)),(a_FloatIndex+a_FloatDrift*(B170-1)/12))),IF(a_FloatFloor&gt;0,MAX(a_FloatFloor,(a_FloatIndex+a_FloatDrift*(B170-1)/12)),(a_FloatIndex+a_FloatDrift*(B170-1)/12)))+a_FloatSpread),in_InterestRate)</f>
        <v>0.067</v>
      </c>
    </row>
    <row r="171">
      <c r="B171" s="25">
        <v>132</v>
      </c>
      <c r="C171" s="57">
        <f>EOMONTH(in_AnalysisStart,B171-1)</f>
        <v>50405</v>
      </c>
      <c r="D171" s="89">
        <f>INT((B171-1)/12)+1</f>
        <v>11</v>
      </c>
      <c r="E171" s="28">
        <f>I170</f>
        <v>4693189.950516613</v>
      </c>
      <c r="F171" s="28">
        <f>E171*(J171*a_DayFactor/12)</f>
        <v>26567.583388861985</v>
      </c>
      <c r="G171" s="28">
        <f>IF(OR(B171&lt;=ROUND(in_IOYears*12,0),E171&lt;=0,(in_AmortYears*12-MAX(0,B171-1-ROUND(in_IOYears*12,0)))&lt;=0),0,MIN(E171,IF((J171*a_DayFactor/12)=0,E171/(in_AmortYears*12-MAX(0,B171-1-ROUND(in_IOYears*12,0))),E171*(J171*a_DayFactor/12)/(1-(1+(J171*a_DayFactor/12))^(-(in_AmortYears*12-MAX(0,B171-1-ROUND(in_IOYears*12,0))))))-F171))</f>
        <v>10053.739512931814</v>
      </c>
      <c r="H171" s="28">
        <f>F171+G171</f>
        <v>36621.3229017938</v>
      </c>
      <c r="I171" s="28">
        <f>E171-G171</f>
        <v>4683136.211003682</v>
      </c>
      <c r="J171" s="88">
        <f>IF(a_RateType="Floating",MAX(0,IF(a_FloatStrike&gt;0,MIN(a_FloatStrike,IF(a_FloatFloor&gt;0,MAX(a_FloatFloor,(a_FloatIndex+a_FloatDrift*(B171-1)/12)),(a_FloatIndex+a_FloatDrift*(B171-1)/12))),IF(a_FloatFloor&gt;0,MAX(a_FloatFloor,(a_FloatIndex+a_FloatDrift*(B171-1)/12)),(a_FloatIndex+a_FloatDrift*(B171-1)/12)))+a_FloatSpread),in_InterestRate)</f>
        <v>0.067</v>
      </c>
    </row>
  </sheetData>
  <sheetProtection sheet="1" objects="1" scenarios="1" formatColumns="0" formatRows="0" autoFilter="0"/>
  <hyperlinks>
    <hyperlink ref="I2" location="'Executive Summary'!A1" display="Back to summary"/>
  </hyperlinks>
  <pageMargins left="0.5" right="0.5" top="0.6" bottom="0.6" header="0.3" footer="0.3"/>
  <pageSetup paperSize="1" orientation="landscape" fitToWidth="1" fitToHeight="0"/>
  <headerFooter>
    <oddFooter>&amp;L&amp;"Arial,Regular"&amp;8CREMODEL  &amp;P / &amp;N</oddFooter>
  </headerFooter>
  <ignoredErrors>
    <ignoredError sqref="A1:O171" numberStoredAsText="1" formula="1" formulaRange="1" unlockedFormula="1" emptyCellReference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F2740"/>
    <pageSetUpPr fitToPage="1"/>
  </sheetPr>
  <dimension ref="C1:O39"/>
  <sheetViews>
    <sheetView workbookViewId="0" showGridLines="0" zoomScale="90" zoomScaleNormal="90">
      <pane ySplit="4" topLeftCell="A5" activePane="bottomLeft" state="frozen"/>
      <selection pane="bottomLeft" activeCell="A5" sqref="A5"/>
    </sheetView>
  </sheetViews>
  <sheetFormatPr defaultRowHeight="15"/>
  <cols>
    <col min="1" max="1" width="2.5" customWidth="1"/>
    <col min="2" max="2" width="2" customWidth="1"/>
    <col min="3" max="3" width="44" customWidth="1"/>
    <col min="4" max="15" width="13" customWidth="1"/>
  </cols>
  <sheetData>
    <row r="1" ht="20" customHeight="1"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6" customHeight="1">
      <c r="C2" s="3" t="s">
        <v>613</v>
      </c>
      <c r="I2" s="30" t="s">
        <v>65</v>
      </c>
    </row>
    <row r="3">
      <c r="C3" s="4" t="s">
        <v>2</v>
      </c>
    </row>
    <row r="4">
      <c r="C4" s="22" t="s">
        <v>614</v>
      </c>
    </row>
    <row r="6">
      <c r="C6" s="6" t="s">
        <v>568</v>
      </c>
    </row>
    <row r="7">
      <c r="C7" s="32" t="s">
        <v>615</v>
      </c>
      <c r="D7" s="38">
        <f>INDEX('Cash Flow'!$E$37:$O$37,in_HoldYears+1)</f>
        <v>967861.634147747</v>
      </c>
    </row>
    <row r="8">
      <c r="C8" s="32" t="s">
        <v>24</v>
      </c>
      <c r="D8" s="40">
        <f>in_ExitCap</f>
        <v>0.1039</v>
      </c>
    </row>
    <row r="9">
      <c r="C9" s="32" t="s">
        <v>616</v>
      </c>
      <c r="D9" s="38">
        <f>IF(in_ExitCap&gt;0,out_ExitNOI/in_ExitCap,0)</f>
        <v>9315318.904213157</v>
      </c>
    </row>
    <row r="10">
      <c r="C10" s="32" t="s">
        <v>617</v>
      </c>
      <c r="D10" s="40">
        <f>IF(a_SaleCostMode="Market tiers",IF(out_ExitValue&gt;a_Tier3Over,a_Tier3Pct,IF(out_ExitValue&gt;a_Tier2Over,a_Tier2Pct,a_Tier1Pct)),a_SaleCostEntered)</f>
        <v>0.025</v>
      </c>
    </row>
    <row r="11">
      <c r="C11" s="32" t="s">
        <v>450</v>
      </c>
      <c r="D11" s="38">
        <f>out_ExitValue*r_SaleCostPct</f>
        <v>232882.97260532892</v>
      </c>
    </row>
    <row r="12">
      <c r="C12" s="32" t="s">
        <v>618</v>
      </c>
      <c r="D12" s="38">
        <f>INDEX('Model Calc'!$E$31:$O$31,in_HoldYears+1)+INDEX('Model Calc'!$E$32:$O$32,in_HoldYears+1)</f>
        <v>21516.797252160846</v>
      </c>
    </row>
    <row r="13">
      <c r="C13" s="32" t="s">
        <v>619</v>
      </c>
      <c r="D13" s="38">
        <f>INDEX('Debt'!$I$40:$I$171,12*in_HoldYears)</f>
        <v>5107056.723643995</v>
      </c>
    </row>
    <row r="14">
      <c r="C14" s="32" t="s">
        <v>586</v>
      </c>
      <c r="D14" s="38">
        <f>IF(out_LoanPayoff&lt;=0,0,IF(a_Prepay="Step-down 5-4-3-2-1",out_LoanPayoff*IF(in_HoldYears&lt;5,CHOOSE(in_HoldYears+1,5,4,3,2,1),0)/100,IF(a_Prepay="Step-down 3-2-1",out_LoanPayoff*IF(in_HoldYears&lt;3,CHOOSE(in_HoldYears+1,3,2,1),0)/100,IF(AND(OR(a_Prepay="Yield maintenance",a_Prepay="Yield maintenance (1% floor)"),a_LoanTerm&gt;in_HoldYears,in_InterestRate&gt;0,a_IndexRate&gt;0),out_LoanPayoff*MAX(IF(a_Prepay="Yield maintenance",0.5,1),(a_Pmt*(1-(1+(a_IndexRate/12))^(-(a_LoanTerm*12-in_HoldYears*12)))/(a_IndexRate/12)+MAX(0,out_LoanPayoff*(1+(in_InterestRate/12))^(a_LoanTerm*12-in_HoldYears*12)-a_Pmt*((1+(in_InterestRate/12))^(a_LoanTerm*12-in_HoldYears*12)-1)/(in_InterestRate/12))/(1+(a_IndexRate/12))^(a_LoanTerm*12-in_HoldYears*12)-out_LoanPayoff)/out_LoanPayoff*100+IF(a_Prepay="Yield maintenance",0,1))/100,0))))</f>
        <v>0</v>
      </c>
    </row>
    <row r="15">
      <c r="C15" s="32" t="s">
        <v>620</v>
      </c>
      <c r="D15" s="38">
        <f>out_LoanAmount*a_ExtN*a_ExtFeeBps/10000+out_LoanPayoff*a_ExitFeePct</f>
        <v>0</v>
      </c>
    </row>
    <row r="16">
      <c r="C16" s="32" t="s">
        <v>30</v>
      </c>
      <c r="D16" s="38">
        <f>out_ExitValue-out_SellingCosts-r_LeasingAfterSale-out_LoanPayoff-r_Penalty-r_LoanFees</f>
        <v>3953862.410711671</v>
      </c>
    </row>
    <row r="18">
      <c r="C18" s="6" t="s">
        <v>6</v>
      </c>
    </row>
    <row r="19">
      <c r="C19" s="32" t="s">
        <v>9</v>
      </c>
      <c r="D19" s="44">
        <f>IRR('Cash Flow'!$D$70:$O$70)</f>
        <v>0.11002229787561152</v>
      </c>
    </row>
    <row r="20">
      <c r="C20" s="32" t="s">
        <v>12</v>
      </c>
      <c r="D20" s="44">
        <f>IRR('Cash Flow'!$D$71:$O$71)</f>
        <v>0.08648748259250828</v>
      </c>
    </row>
    <row r="21">
      <c r="C21" s="32" t="s">
        <v>621</v>
      </c>
      <c r="D21" s="44">
        <f>XIRR('Cash Flow'!$D$70:$O$70,$D$33:$O$33)</f>
        <v>0.10993136519039236</v>
      </c>
    </row>
    <row r="22">
      <c r="C22" s="32" t="s">
        <v>15</v>
      </c>
      <c r="D22" s="86">
        <f>SUMIF('Cash Flow'!$E$70:$O$70,"&gt;0")/(out_Equity-SUMIF('Cash Flow'!$E$70:$O$70,"&lt;0"))</f>
        <v>1.7547114744500205</v>
      </c>
    </row>
    <row r="23">
      <c r="C23" s="32" t="s">
        <v>33</v>
      </c>
      <c r="D23" s="38">
        <f>SUM('Cash Flow'!$D$70:$O$70)</f>
        <v>3015782.3524451503</v>
      </c>
    </row>
    <row r="24">
      <c r="C24" s="32" t="s">
        <v>18</v>
      </c>
      <c r="D24" s="40">
        <f>IF(out_Equity&gt;0,'Cash Flow'!E59/out_Equity,0)</f>
        <v>0.12510991212866132</v>
      </c>
    </row>
    <row r="25">
      <c r="C25" s="32" t="s">
        <v>622</v>
      </c>
      <c r="D25" s="40">
        <f>IF(out_Equity&gt;0,SUM('Cash Flow'!$E$59:$O$59)/in_HoldYears/out_Equity,0)</f>
        <v>0.10932025016647748</v>
      </c>
    </row>
    <row r="26">
      <c r="C26" s="32" t="s">
        <v>14</v>
      </c>
      <c r="D26" s="38">
        <f>'Cash Flow'!E37</f>
        <v>951327.6737762624</v>
      </c>
    </row>
    <row r="27">
      <c r="C27" s="32" t="s">
        <v>623</v>
      </c>
      <c r="D27" s="40">
        <f>IF(in_PurchasePrice&gt;0,out_NOI_Y1/in_PurchasePrice,0)</f>
        <v>0.10153993742942283</v>
      </c>
    </row>
    <row r="28">
      <c r="C28" s="32" t="s">
        <v>32</v>
      </c>
      <c r="D28" s="86">
        <f>IF('Debt'!E25&gt;0,out_NOI_Y1/'Debt'!E25,0)</f>
        <v>2.164785427348354</v>
      </c>
    </row>
    <row r="29">
      <c r="C29" s="32" t="s">
        <v>596</v>
      </c>
      <c r="D29" s="86">
        <f>IF(COUNT('Debt'!$E$27:$O$27)&gt;0,MIN('Debt'!$E$27:$O$27),0)</f>
        <v>2.063371532800878</v>
      </c>
    </row>
    <row r="30">
      <c r="C30" s="32" t="s">
        <v>29</v>
      </c>
      <c r="D30" s="40">
        <f>IF(out_LoanAmount&gt;0,out_NOI_Y1/out_LoanAmount,0)</f>
        <v>0.16923322904903804</v>
      </c>
    </row>
    <row r="31">
      <c r="C31" s="32" t="s">
        <v>624</v>
      </c>
      <c r="D31" s="38">
        <f>'Debt'!E25</f>
        <v>439455.8748215262</v>
      </c>
    </row>
    <row r="33">
      <c r="C33" s="31" t="s">
        <v>625</v>
      </c>
      <c r="D33" s="90">
        <f>in_AnalysisStart</f>
        <v>46388</v>
      </c>
      <c r="E33" s="90">
        <f>EDATE(in_AnalysisStart,12*1)</f>
        <v>46753</v>
      </c>
      <c r="F33" s="90">
        <f>EDATE(in_AnalysisStart,12*2)</f>
        <v>47119</v>
      </c>
      <c r="G33" s="90">
        <f>EDATE(in_AnalysisStart,12*3)</f>
        <v>47484</v>
      </c>
      <c r="H33" s="90">
        <f>EDATE(in_AnalysisStart,12*4)</f>
        <v>47849</v>
      </c>
      <c r="I33" s="90">
        <f>EDATE(in_AnalysisStart,12*5)</f>
        <v>48214</v>
      </c>
      <c r="J33" s="90">
        <f>EDATE(in_AnalysisStart,12*6)</f>
        <v>48580</v>
      </c>
      <c r="K33" s="90">
        <f>EDATE(in_AnalysisStart,12*7)</f>
        <v>48945</v>
      </c>
      <c r="L33" s="90">
        <f>EDATE(in_AnalysisStart,12*8)</f>
        <v>49310</v>
      </c>
      <c r="M33" s="90">
        <f>EDATE(in_AnalysisStart,12*9)</f>
        <v>49675</v>
      </c>
      <c r="N33" s="90">
        <f>EDATE(in_AnalysisStart,12*10)</f>
        <v>50041</v>
      </c>
      <c r="O33" s="90">
        <f>EDATE(in_AnalysisStart,12*11)</f>
        <v>50406</v>
      </c>
    </row>
    <row r="34">
      <c r="C34" s="31" t="s">
        <v>476</v>
      </c>
      <c r="D34" s="81">
        <v>0</v>
      </c>
      <c r="E34" s="81">
        <v>1</v>
      </c>
      <c r="F34" s="81">
        <v>2</v>
      </c>
      <c r="G34" s="81">
        <v>3</v>
      </c>
      <c r="H34" s="81">
        <v>4</v>
      </c>
      <c r="I34" s="81">
        <v>5</v>
      </c>
      <c r="J34" s="81">
        <v>6</v>
      </c>
      <c r="K34" s="81">
        <v>7</v>
      </c>
      <c r="L34" s="81">
        <v>8</v>
      </c>
      <c r="M34" s="81">
        <v>9</v>
      </c>
      <c r="N34" s="81">
        <v>10</v>
      </c>
      <c r="O34" s="81">
        <v>11</v>
      </c>
    </row>
    <row r="35">
      <c r="C35" s="32" t="s">
        <v>626</v>
      </c>
      <c r="D35" s="28">
        <f>-out_Equity</f>
        <v>-3995940.7727871574</v>
      </c>
      <c r="E35" s="28">
        <f>0</f>
        <v>0</v>
      </c>
      <c r="F35" s="28">
        <f>0</f>
        <v>0</v>
      </c>
      <c r="G35" s="28">
        <f>0</f>
        <v>0</v>
      </c>
      <c r="H35" s="28">
        <f>0</f>
        <v>0</v>
      </c>
      <c r="I35" s="28">
        <f>0</f>
        <v>0</v>
      </c>
      <c r="J35" s="28">
        <f>0</f>
        <v>0</v>
      </c>
      <c r="K35" s="28">
        <f>0</f>
        <v>0</v>
      </c>
      <c r="L35" s="28">
        <f>0</f>
        <v>0</v>
      </c>
      <c r="M35" s="28">
        <f>0</f>
        <v>0</v>
      </c>
      <c r="N35" s="28">
        <f>0</f>
        <v>0</v>
      </c>
      <c r="O35" s="28">
        <f>0</f>
        <v>0</v>
      </c>
    </row>
    <row r="36">
      <c r="C36" s="32" t="s">
        <v>564</v>
      </c>
      <c r="D36" s="28">
        <f>0</f>
        <v>0</v>
      </c>
      <c r="E36" s="28">
        <f>'Cash Flow'!E59</f>
        <v>499931.79895473627</v>
      </c>
      <c r="F36" s="28">
        <f>'Cash Flow'!F59</f>
        <v>484293.4124299794</v>
      </c>
      <c r="G36" s="28">
        <f>'Cash Flow'!G59</f>
        <v>467642.5810974931</v>
      </c>
      <c r="H36" s="28">
        <f>'Cash Flow'!H59</f>
        <v>435273.4844301952</v>
      </c>
      <c r="I36" s="28">
        <f>'Cash Flow'!I59</f>
        <v>327378.20090120914</v>
      </c>
      <c r="J36" s="28">
        <f>'Cash Flow'!J59</f>
        <v>365011.28395021416</v>
      </c>
      <c r="K36" s="28">
        <f>'Cash Flow'!K59</f>
        <v>478329.9527568084</v>
      </c>
      <c r="L36" s="28">
        <f>'Cash Flow'!L59</f>
        <v>0</v>
      </c>
      <c r="M36" s="28">
        <f>'Cash Flow'!M59</f>
        <v>0</v>
      </c>
      <c r="N36" s="28">
        <f>'Cash Flow'!N59</f>
        <v>0</v>
      </c>
      <c r="O36" s="28">
        <f>'Cash Flow'!O59</f>
        <v>0</v>
      </c>
    </row>
    <row r="37">
      <c r="C37" s="32" t="s">
        <v>30</v>
      </c>
      <c r="D37" s="28">
        <f>0</f>
        <v>0</v>
      </c>
      <c r="E37" s="28">
        <f>'Cash Flow'!E68</f>
        <v>0</v>
      </c>
      <c r="F37" s="28">
        <f>'Cash Flow'!F68</f>
        <v>0</v>
      </c>
      <c r="G37" s="28">
        <f>'Cash Flow'!G68</f>
        <v>0</v>
      </c>
      <c r="H37" s="28">
        <f>'Cash Flow'!H68</f>
        <v>0</v>
      </c>
      <c r="I37" s="28">
        <f>'Cash Flow'!I68</f>
        <v>0</v>
      </c>
      <c r="J37" s="28">
        <f>'Cash Flow'!J68</f>
        <v>0</v>
      </c>
      <c r="K37" s="28">
        <f>'Cash Flow'!K68</f>
        <v>3953862.4107116717</v>
      </c>
      <c r="L37" s="28">
        <f>'Cash Flow'!L68</f>
        <v>0</v>
      </c>
      <c r="M37" s="28">
        <f>'Cash Flow'!M68</f>
        <v>0</v>
      </c>
      <c r="N37" s="28">
        <f>'Cash Flow'!N68</f>
        <v>0</v>
      </c>
      <c r="O37" s="28">
        <f>'Cash Flow'!O68</f>
        <v>0</v>
      </c>
    </row>
    <row r="38">
      <c r="C38" s="65" t="s">
        <v>580</v>
      </c>
      <c r="D38" s="63">
        <f>'Cash Flow'!D70</f>
        <v>-3995940.7727871574</v>
      </c>
      <c r="E38" s="63">
        <f>'Cash Flow'!E70</f>
        <v>499931.79895473627</v>
      </c>
      <c r="F38" s="63">
        <f>'Cash Flow'!F70</f>
        <v>484293.4124299794</v>
      </c>
      <c r="G38" s="63">
        <f>'Cash Flow'!G70</f>
        <v>467642.5810974931</v>
      </c>
      <c r="H38" s="63">
        <f>'Cash Flow'!H70</f>
        <v>435273.4844301952</v>
      </c>
      <c r="I38" s="63">
        <f>'Cash Flow'!I70</f>
        <v>327378.20090120914</v>
      </c>
      <c r="J38" s="63">
        <f>'Cash Flow'!J70</f>
        <v>365011.28395021416</v>
      </c>
      <c r="K38" s="63">
        <f>'Cash Flow'!K70</f>
        <v>4432192.36346848</v>
      </c>
      <c r="L38" s="63">
        <f>'Cash Flow'!L70</f>
        <v>0</v>
      </c>
      <c r="M38" s="63">
        <f>'Cash Flow'!M70</f>
        <v>0</v>
      </c>
      <c r="N38" s="63">
        <f>'Cash Flow'!N70</f>
        <v>0</v>
      </c>
      <c r="O38" s="63">
        <f>'Cash Flow'!O70</f>
        <v>0</v>
      </c>
    </row>
    <row r="39">
      <c r="C39" s="65" t="s">
        <v>582</v>
      </c>
      <c r="D39" s="63">
        <f>'Cash Flow'!D71</f>
        <v>-9561126.772787157</v>
      </c>
      <c r="E39" s="63">
        <f>'Cash Flow'!E71</f>
        <v>939387.6737762624</v>
      </c>
      <c r="F39" s="63">
        <f>'Cash Flow'!F71</f>
        <v>923749.2872515055</v>
      </c>
      <c r="G39" s="63">
        <f>'Cash Flow'!G71</f>
        <v>907098.4559190191</v>
      </c>
      <c r="H39" s="63">
        <f>'Cash Flow'!H71</f>
        <v>874729.3592517211</v>
      </c>
      <c r="I39" s="63">
        <f>'Cash Flow'!I71</f>
        <v>766834.0757227349</v>
      </c>
      <c r="J39" s="63">
        <f>'Cash Flow'!J71</f>
        <v>804467.1587717399</v>
      </c>
      <c r="K39" s="63">
        <f>'Cash Flow'!K71</f>
        <v>9978704.961934</v>
      </c>
      <c r="L39" s="63">
        <f>'Cash Flow'!L71</f>
        <v>0</v>
      </c>
      <c r="M39" s="63">
        <f>'Cash Flow'!M71</f>
        <v>0</v>
      </c>
      <c r="N39" s="63">
        <f>'Cash Flow'!N71</f>
        <v>0</v>
      </c>
      <c r="O39" s="63">
        <f>'Cash Flow'!O71</f>
        <v>0</v>
      </c>
    </row>
  </sheetData>
  <sheetProtection sheet="1" objects="1" scenarios="1" formatColumns="0" formatRows="0" autoFilter="0"/>
  <hyperlinks>
    <hyperlink ref="I2" location="'Executive Summary'!A1" display="Back to summary"/>
  </hyperlinks>
  <pageMargins left="0.5" right="0.5" top="0.6" bottom="0.6" header="0.3" footer="0.3"/>
  <pageSetup paperSize="1" orientation="landscape" fitToWidth="1" fitToHeight="0"/>
  <headerFooter>
    <oddFooter>&amp;L&amp;"Arial,Regular"&amp;8CREMODEL  &amp;P / &amp;N</oddFooter>
  </headerFooter>
  <ignoredErrors>
    <ignoredError sqref="A1:O39" numberStoredAsText="1" formula="1" formulaRange="1" unlockedFormula="1" emptyCellReference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F2740"/>
    <pageSetUpPr fitToPage="1"/>
  </sheetPr>
  <dimension ref="B1:I45"/>
  <sheetViews>
    <sheetView workbookViewId="0" showGridLines="0" zoomScale="90" zoomScaleNormal="90">
      <pane ySplit="9" topLeftCell="A10" activePane="bottomLeft" state="frozen"/>
      <selection pane="bottomLeft" activeCell="A10" sqref="A10"/>
    </sheetView>
  </sheetViews>
  <sheetFormatPr defaultRowHeight="15"/>
  <cols>
    <col min="1" max="1" width="2.5" customWidth="1"/>
    <col min="2" max="2" width="26" customWidth="1"/>
    <col min="3" max="9" width="13" customWidth="1"/>
  </cols>
  <sheetData>
    <row r="1" ht="20" customHeight="1">
      <c r="B1" s="1" t="s">
        <v>0</v>
      </c>
      <c r="C1" s="2"/>
      <c r="D1" s="2"/>
      <c r="E1" s="2"/>
      <c r="F1" s="2"/>
      <c r="G1" s="2"/>
      <c r="H1" s="2"/>
      <c r="I1" s="2"/>
    </row>
    <row r="2" ht="26" customHeight="1">
      <c r="B2" s="3" t="s">
        <v>627</v>
      </c>
      <c r="I2" s="30" t="s">
        <v>65</v>
      </c>
    </row>
    <row r="3">
      <c r="B3" s="4" t="s">
        <v>2</v>
      </c>
    </row>
    <row r="4">
      <c r="B4" s="22" t="s">
        <v>628</v>
      </c>
    </row>
    <row r="6">
      <c r="B6" s="32" t="s">
        <v>629</v>
      </c>
      <c r="C6" s="53">
        <v>0.05</v>
      </c>
    </row>
    <row r="7">
      <c r="B7" s="32" t="s">
        <v>630</v>
      </c>
      <c r="C7" s="53">
        <v>0.0025</v>
      </c>
    </row>
    <row r="8">
      <c r="B8" s="32" t="s">
        <v>631</v>
      </c>
      <c r="C8" s="53">
        <v>0.005</v>
      </c>
    </row>
    <row r="11">
      <c r="B11" s="6" t="s">
        <v>632</v>
      </c>
      <c r="C11" s="6"/>
      <c r="D11" s="6"/>
      <c r="E11" s="6"/>
      <c r="F11" s="6"/>
      <c r="G11" s="6"/>
      <c r="H11" s="6"/>
      <c r="I11" s="6"/>
    </row>
    <row r="12">
      <c r="B12" s="7" t="s">
        <v>633</v>
      </c>
    </row>
    <row r="13">
      <c r="B13" s="31" t="s">
        <v>632</v>
      </c>
      <c r="C13" s="91">
        <f>in_ExitCap+(-2)*s_CapStep</f>
        <v>0.0989</v>
      </c>
      <c r="D13" s="91">
        <f>in_ExitCap+(-1)*s_CapStep</f>
        <v>0.1014</v>
      </c>
      <c r="E13" s="91">
        <f>in_ExitCap+(0)*s_CapStep</f>
        <v>0.1039</v>
      </c>
      <c r="F13" s="91">
        <f>in_ExitCap+(1)*s_CapStep</f>
        <v>0.10640000000000001</v>
      </c>
      <c r="G13" s="91">
        <f>in_ExitCap+(2)*s_CapStep</f>
        <v>0.10890000000000001</v>
      </c>
    </row>
    <row r="14">
      <c r="B14" s="92">
        <f>in_PurchasePrice*(1+(-2)*s_PriceStep)</f>
        <v>8432100</v>
      </c>
      <c r="C14" s="93">
        <f>'Sensitivity Engine'!V7</f>
        <v>0.16788580396375818</v>
      </c>
      <c r="D14" s="93">
        <f>'Sensitivity Engine'!V8</f>
        <v>0.16263118078109112</v>
      </c>
      <c r="E14" s="93">
        <f>'Sensitivity Engine'!V9</f>
        <v>0.15747186662449972</v>
      </c>
      <c r="F14" s="93">
        <f>'Sensitivity Engine'!V10</f>
        <v>0.1524018478225652</v>
      </c>
      <c r="G14" s="93">
        <f>'Sensitivity Engine'!V11</f>
        <v>0.1474155038855443</v>
      </c>
    </row>
    <row r="15">
      <c r="B15" s="92">
        <f>in_PurchasePrice*(1+(-1)*s_PriceStep)</f>
        <v>8900550</v>
      </c>
      <c r="C15" s="93">
        <f>'Sensitivity Engine'!V12</f>
        <v>0.14428498790289263</v>
      </c>
      <c r="D15" s="93">
        <f>'Sensitivity Engine'!V13</f>
        <v>0.13876074679074724</v>
      </c>
      <c r="E15" s="93">
        <f>'Sensitivity Engine'!V14</f>
        <v>0.13332550592076944</v>
      </c>
      <c r="F15" s="93">
        <f>'Sensitivity Engine'!V15</f>
        <v>0.1279729953229413</v>
      </c>
      <c r="G15" s="93">
        <f>'Sensitivity Engine'!V16</f>
        <v>0.12269732105318855</v>
      </c>
    </row>
    <row r="16">
      <c r="B16" s="92">
        <f>in_PurchasePrice*(1+(0)*s_PriceStep)</f>
        <v>9369000</v>
      </c>
      <c r="C16" s="93">
        <f>'Sensitivity Engine'!V17</f>
        <v>0.12158081080436604</v>
      </c>
      <c r="D16" s="93">
        <f>'Sensitivity Engine'!V18</f>
        <v>0.11576121814484477</v>
      </c>
      <c r="E16" s="94">
        <f>'Sensitivity Engine'!V19</f>
        <v>0.11002229787561121</v>
      </c>
      <c r="F16" s="93">
        <f>'Sensitivity Engine'!V20</f>
        <v>0.10435737711430243</v>
      </c>
      <c r="G16" s="93">
        <f>'Sensitivity Engine'!V21</f>
        <v>0.09876012863788831</v>
      </c>
    </row>
    <row r="17">
      <c r="B17" s="92">
        <f>in_PurchasePrice*(1+(1)*s_PriceStep)</f>
        <v>9837450</v>
      </c>
      <c r="C17" s="93">
        <f>'Sensitivity Engine'!V22</f>
        <v>0.0995790068808974</v>
      </c>
      <c r="D17" s="93">
        <f>'Sensitivity Engine'!V23</f>
        <v>0.09343304557566691</v>
      </c>
      <c r="E17" s="93">
        <f>'Sensitivity Engine'!V24</f>
        <v>0.08735680805138532</v>
      </c>
      <c r="F17" s="93">
        <f>'Sensitivity Engine'!V25</f>
        <v>0.08134299606349932</v>
      </c>
      <c r="G17" s="93">
        <f>'Sensitivity Engine'!V26</f>
        <v>0.0753846032317558</v>
      </c>
    </row>
    <row r="18">
      <c r="B18" s="92">
        <f>in_PurchasePrice*(1+(2)*s_PriceStep)</f>
        <v>10305900</v>
      </c>
      <c r="C18" s="93">
        <f>'Sensitivity Engine'!V27</f>
        <v>0.07810580989307628</v>
      </c>
      <c r="D18" s="93">
        <f>'Sensitivity Engine'!V28</f>
        <v>0.07159599566479294</v>
      </c>
      <c r="E18" s="93">
        <f>'Sensitivity Engine'!V29</f>
        <v>0.0651415038337425</v>
      </c>
      <c r="F18" s="93">
        <f>'Sensitivity Engine'!V30</f>
        <v>0.058734070582672736</v>
      </c>
      <c r="G18" s="93">
        <f>'Sensitivity Engine'!V31</f>
        <v>0.05236562839721707</v>
      </c>
    </row>
    <row r="21">
      <c r="B21" s="31" t="s">
        <v>634</v>
      </c>
      <c r="C21" s="91">
        <f>in_ExitCap+(-2)*s_CapStep</f>
        <v>0.0989</v>
      </c>
      <c r="D21" s="91">
        <f>in_ExitCap+(-1)*s_CapStep</f>
        <v>0.1014</v>
      </c>
      <c r="E21" s="91">
        <f>in_ExitCap+(0)*s_CapStep</f>
        <v>0.1039</v>
      </c>
      <c r="F21" s="91">
        <f>in_ExitCap+(1)*s_CapStep</f>
        <v>0.10640000000000001</v>
      </c>
      <c r="G21" s="91">
        <f>in_ExitCap+(2)*s_CapStep</f>
        <v>0.10890000000000001</v>
      </c>
    </row>
    <row r="22">
      <c r="B22" s="92">
        <f>in_PurchasePrice*(1+(-2)*s_PriceStep)</f>
        <v>8432100</v>
      </c>
      <c r="C22" s="95">
        <f>'Sensitivity Engine'!W7</f>
        <v>2.301598525451208</v>
      </c>
      <c r="D22" s="95">
        <f>'Sensitivity Engine'!W8</f>
        <v>2.2362795257463612</v>
      </c>
      <c r="E22" s="95">
        <f>'Sensitivity Engine'!W9</f>
        <v>2.174103885026348</v>
      </c>
      <c r="F22" s="95">
        <f>'Sensitivity Engine'!W10</f>
        <v>2.1148500319341546</v>
      </c>
      <c r="G22" s="95">
        <f>'Sensitivity Engine'!W11</f>
        <v>2.0583167414265433</v>
      </c>
    </row>
    <row r="23">
      <c r="B23" s="92">
        <f>in_PurchasePrice*(1+(-1)*s_PriceStep)</f>
        <v>8900550</v>
      </c>
      <c r="C23" s="95">
        <f>'Sensitivity Engine'!W12</f>
        <v>2.07439646014003</v>
      </c>
      <c r="D23" s="95">
        <f>'Sensitivity Engine'!W13</f>
        <v>2.0124686120047293</v>
      </c>
      <c r="E23" s="95">
        <f>'Sensitivity Engine'!W14</f>
        <v>1.953520929804717</v>
      </c>
      <c r="F23" s="95">
        <f>'Sensitivity Engine'!W15</f>
        <v>1.8973433454524493</v>
      </c>
      <c r="G23" s="95">
        <f>'Sensitivity Engine'!W16</f>
        <v>1.8437450808592393</v>
      </c>
    </row>
    <row r="24">
      <c r="B24" s="92">
        <f>in_PurchasePrice*(1+(0)*s_PriceStep)</f>
        <v>9369000</v>
      </c>
      <c r="C24" s="95">
        <f>'Sensitivity Engine'!W17</f>
        <v>1.8696212597416426</v>
      </c>
      <c r="D24" s="95">
        <f>'Sensitivity Engine'!W18</f>
        <v>1.810749826350125</v>
      </c>
      <c r="E24" s="96">
        <f>'Sensitivity Engine'!W19</f>
        <v>1.754711474450018</v>
      </c>
      <c r="F24" s="95">
        <f>'Sensitivity Engine'!W20</f>
        <v>1.7013065037482242</v>
      </c>
      <c r="G24" s="95">
        <f>'Sensitivity Engine'!W21</f>
        <v>1.6503535519032622</v>
      </c>
    </row>
    <row r="25">
      <c r="B25" s="92">
        <f>in_PurchasePrice*(1+(1)*s_PriceStep)</f>
        <v>9837450</v>
      </c>
      <c r="C25" s="95">
        <f>'Sensitivity Engine'!W22</f>
        <v>1.6841085057858158</v>
      </c>
      <c r="D25" s="95">
        <f>'Sensitivity Engine'!W23</f>
        <v>1.6280059814968033</v>
      </c>
      <c r="E25" s="95">
        <f>'Sensitivity Engine'!W24</f>
        <v>1.5746032899454718</v>
      </c>
      <c r="F25" s="95">
        <f>'Sensitivity Engine'!W25</f>
        <v>1.5237101233730561</v>
      </c>
      <c r="G25" s="95">
        <f>'Sensitivity Engine'!W26</f>
        <v>1.475153649480733</v>
      </c>
    </row>
    <row r="26">
      <c r="B26" s="92">
        <f>in_PurchasePrice*(1+(2)*s_PriceStep)</f>
        <v>10305900</v>
      </c>
      <c r="C26" s="95">
        <f>'Sensitivity Engine'!W27</f>
        <v>1.5152623676298242</v>
      </c>
      <c r="D26" s="95">
        <f>'Sensitivity Engine'!W28</f>
        <v>1.461679991410924</v>
      </c>
      <c r="E26" s="95">
        <f>'Sensitivity Engine'!W29</f>
        <v>1.4106761703517396</v>
      </c>
      <c r="F26" s="95">
        <f>'Sensitivity Engine'!W30</f>
        <v>1.3620691453949605</v>
      </c>
      <c r="G26" s="95">
        <f>'Sensitivity Engine'!W31</f>
        <v>1.3156938479384928</v>
      </c>
    </row>
    <row r="30">
      <c r="B30" s="6" t="s">
        <v>635</v>
      </c>
      <c r="C30" s="6"/>
      <c r="D30" s="6"/>
      <c r="E30" s="6"/>
      <c r="F30" s="6"/>
      <c r="G30" s="6"/>
      <c r="H30" s="6"/>
      <c r="I30" s="6"/>
    </row>
    <row r="31">
      <c r="B31" s="7" t="s">
        <v>636</v>
      </c>
    </row>
    <row r="32">
      <c r="B32" s="31" t="s">
        <v>635</v>
      </c>
      <c r="C32" s="91">
        <f>in_InterestRate+(-2)*s_RateStep</f>
        <v>0.057</v>
      </c>
      <c r="D32" s="91">
        <f>in_InterestRate+(-1)*s_RateStep</f>
        <v>0.062000000000000006</v>
      </c>
      <c r="E32" s="91">
        <f>in_InterestRate+(0)*s_RateStep</f>
        <v>0.067</v>
      </c>
      <c r="F32" s="91">
        <f>in_InterestRate+(1)*s_RateStep</f>
        <v>0.07200000000000001</v>
      </c>
      <c r="G32" s="91">
        <f>in_InterestRate+(2)*s_RateStep</f>
        <v>0.077</v>
      </c>
    </row>
    <row r="33">
      <c r="B33" s="97">
        <f>in_ExitCap+(-2)*s_CapStep</f>
        <v>0.0989</v>
      </c>
      <c r="C33" s="93">
        <f>'Sensitivity Engine'!V32</f>
        <v>0.1346236390261639</v>
      </c>
      <c r="D33" s="93">
        <f>'Sensitivity Engine'!V33</f>
        <v>0.12815213438223497</v>
      </c>
      <c r="E33" s="93">
        <f>'Sensitivity Engine'!V34</f>
        <v>0.12158081080436604</v>
      </c>
      <c r="F33" s="93">
        <f>'Sensitivity Engine'!V35</f>
        <v>0.11491693899653807</v>
      </c>
      <c r="G33" s="93">
        <f>'Sensitivity Engine'!V36</f>
        <v>0.1081676852263194</v>
      </c>
    </row>
    <row r="34">
      <c r="B34" s="97">
        <f>in_ExitCap+(-1)*s_CapStep</f>
        <v>0.1014</v>
      </c>
      <c r="C34" s="93">
        <f>'Sensitivity Engine'!V37</f>
        <v>0.1290669808799104</v>
      </c>
      <c r="D34" s="93">
        <f>'Sensitivity Engine'!V38</f>
        <v>0.12246615312316243</v>
      </c>
      <c r="E34" s="93">
        <f>'Sensitivity Engine'!V39</f>
        <v>0.11576121814484477</v>
      </c>
      <c r="F34" s="93">
        <f>'Sensitivity Engine'!V40</f>
        <v>0.10895944527842215</v>
      </c>
      <c r="G34" s="93">
        <f>'Sensitivity Engine'!V41</f>
        <v>0.10206800378837277</v>
      </c>
    </row>
    <row r="35">
      <c r="B35" s="97">
        <f>in_ExitCap+(0)*s_CapStep</f>
        <v>0.1039</v>
      </c>
      <c r="C35" s="93">
        <f>'Sensitivity Engine'!V42</f>
        <v>0.1235964894425021</v>
      </c>
      <c r="D35" s="93">
        <f>'Sensitivity Engine'!V43</f>
        <v>0.11686373641435173</v>
      </c>
      <c r="E35" s="94">
        <f>'Sensitivity Engine'!V44</f>
        <v>0.11002229787561121</v>
      </c>
      <c r="F35" s="93">
        <f>'Sensitivity Engine'!V45</f>
        <v>0.10307942343347551</v>
      </c>
      <c r="G35" s="93">
        <f>'Sensitivity Engine'!V46</f>
        <v>0.09604226680632819</v>
      </c>
    </row>
    <row r="36">
      <c r="B36" s="97">
        <f>in_ExitCap+(1)*s_CapStep</f>
        <v>0.10640000000000001</v>
      </c>
      <c r="C36" s="93">
        <f>'Sensitivity Engine'!V47</f>
        <v>0.11820583705177325</v>
      </c>
      <c r="D36" s="93">
        <f>'Sensitivity Engine'!V48</f>
        <v>0.11133839536981978</v>
      </c>
      <c r="E36" s="93">
        <f>'Sensitivity Engine'!V49</f>
        <v>0.10435737711430243</v>
      </c>
      <c r="F36" s="93">
        <f>'Sensitivity Engine'!V50</f>
        <v>0.09726999111995134</v>
      </c>
      <c r="G36" s="93">
        <f>'Sensitivity Engine'!V51</f>
        <v>0.0900833541208354</v>
      </c>
    </row>
    <row r="37">
      <c r="B37" s="97">
        <f>in_ExitCap+(2)*s_CapStep</f>
        <v>0.10890000000000001</v>
      </c>
      <c r="C37" s="93">
        <f>'Sensitivity Engine'!V52</f>
        <v>0.11288906210596665</v>
      </c>
      <c r="D37" s="93">
        <f>'Sensitivity Engine'!V53</f>
        <v>0.10588399806354025</v>
      </c>
      <c r="E37" s="93">
        <f>'Sensitivity Engine'!V54</f>
        <v>0.09876012863788831</v>
      </c>
      <c r="F37" s="93">
        <f>'Sensitivity Engine'!V55</f>
        <v>0.09152459775511385</v>
      </c>
      <c r="G37" s="93">
        <f>'Sensitivity Engine'!V56</f>
        <v>0.08418446037756767</v>
      </c>
    </row>
    <row r="40">
      <c r="B40" s="31" t="s">
        <v>637</v>
      </c>
      <c r="C40" s="91">
        <f>in_InterestRate+(-2)*s_RateStep</f>
        <v>0.057</v>
      </c>
      <c r="D40" s="91">
        <f>in_InterestRate+(-1)*s_RateStep</f>
        <v>0.062000000000000006</v>
      </c>
      <c r="E40" s="91">
        <f>in_InterestRate+(0)*s_RateStep</f>
        <v>0.067</v>
      </c>
      <c r="F40" s="91">
        <f>in_InterestRate+(1)*s_RateStep</f>
        <v>0.07200000000000001</v>
      </c>
      <c r="G40" s="91">
        <f>in_InterestRate+(2)*s_RateStep</f>
        <v>0.077</v>
      </c>
    </row>
    <row r="41">
      <c r="B41" s="97">
        <f>in_ExitCap+(-2)*s_CapStep</f>
        <v>0.0989</v>
      </c>
      <c r="C41" s="95">
        <f>'Sensitivity Engine'!W32</f>
        <v>1.9697245379280715</v>
      </c>
      <c r="D41" s="95">
        <f>'Sensitivity Engine'!W33</f>
        <v>1.9197850622414776</v>
      </c>
      <c r="E41" s="95">
        <f>'Sensitivity Engine'!W34</f>
        <v>1.8696212597416426</v>
      </c>
      <c r="F41" s="95">
        <f>'Sensitivity Engine'!W35</f>
        <v>1.8192658929637404</v>
      </c>
      <c r="G41" s="95">
        <f>'Sensitivity Engine'!W36</f>
        <v>1.7687493272643928</v>
      </c>
    </row>
    <row r="42">
      <c r="B42" s="97">
        <f>in_ExitCap+(-1)*s_CapStep</f>
        <v>0.1014</v>
      </c>
      <c r="C42" s="95">
        <f>'Sensitivity Engine'!W37</f>
        <v>1.9108531045365538</v>
      </c>
      <c r="D42" s="95">
        <f>'Sensitivity Engine'!W38</f>
        <v>1.86091362884996</v>
      </c>
      <c r="E42" s="95">
        <f>'Sensitivity Engine'!W39</f>
        <v>1.810749826350125</v>
      </c>
      <c r="F42" s="95">
        <f>'Sensitivity Engine'!W40</f>
        <v>1.7603944595722227</v>
      </c>
      <c r="G42" s="95">
        <f>'Sensitivity Engine'!W41</f>
        <v>1.7098778938728751</v>
      </c>
    </row>
    <row r="43">
      <c r="B43" s="97">
        <f>in_ExitCap+(0)*s_CapStep</f>
        <v>0.1039</v>
      </c>
      <c r="C43" s="95">
        <f>'Sensitivity Engine'!W42</f>
        <v>1.854814752636447</v>
      </c>
      <c r="D43" s="95">
        <f>'Sensitivity Engine'!W43</f>
        <v>1.804875276949853</v>
      </c>
      <c r="E43" s="96">
        <f>'Sensitivity Engine'!W44</f>
        <v>1.754711474450018</v>
      </c>
      <c r="F43" s="95">
        <f>'Sensitivity Engine'!W45</f>
        <v>1.7043561076721159</v>
      </c>
      <c r="G43" s="95">
        <f>'Sensitivity Engine'!W46</f>
        <v>1.6538395419727683</v>
      </c>
    </row>
    <row r="44">
      <c r="B44" s="97">
        <f>in_ExitCap+(1)*s_CapStep</f>
        <v>0.10640000000000001</v>
      </c>
      <c r="C44" s="95">
        <f>'Sensitivity Engine'!W47</f>
        <v>1.801409781934653</v>
      </c>
      <c r="D44" s="95">
        <f>'Sensitivity Engine'!W48</f>
        <v>1.7514703062480592</v>
      </c>
      <c r="E44" s="95">
        <f>'Sensitivity Engine'!W49</f>
        <v>1.7013065037482242</v>
      </c>
      <c r="F44" s="95">
        <f>'Sensitivity Engine'!W50</f>
        <v>1.650951136970322</v>
      </c>
      <c r="G44" s="95">
        <f>'Sensitivity Engine'!W51</f>
        <v>1.6004345712709744</v>
      </c>
    </row>
    <row r="45">
      <c r="B45" s="97">
        <f>in_ExitCap+(2)*s_CapStep</f>
        <v>0.10890000000000001</v>
      </c>
      <c r="C45" s="95">
        <f>'Sensitivity Engine'!W52</f>
        <v>1.750456830089691</v>
      </c>
      <c r="D45" s="95">
        <f>'Sensitivity Engine'!W53</f>
        <v>1.7005173544030971</v>
      </c>
      <c r="E45" s="95">
        <f>'Sensitivity Engine'!W54</f>
        <v>1.6503535519032622</v>
      </c>
      <c r="F45" s="95">
        <f>'Sensitivity Engine'!W55</f>
        <v>1.59999818512536</v>
      </c>
      <c r="G45" s="95">
        <f>'Sensitivity Engine'!W56</f>
        <v>1.5494816194260124</v>
      </c>
    </row>
  </sheetData>
  <sheetProtection sheet="1" objects="1" scenarios="1" formatColumns="0" formatRows="0" autoFilter="0"/>
  <hyperlinks>
    <hyperlink ref="I2" location="'Executive Summary'!A1" display="Back to summary"/>
  </hyperlinks>
  <pageMargins left="0.5" right="0.5" top="0.6" bottom="0.6" header="0.3" footer="0.3"/>
  <pageSetup paperSize="1" orientation="portrait" fitToWidth="1" fitToHeight="0"/>
  <headerFooter>
    <oddFooter>&amp;L&amp;"Arial,Regular"&amp;8CREMODEL  &amp;P / &amp;N</oddFooter>
  </headerFooter>
  <ignoredErrors>
    <ignoredError sqref="A1:I45" numberStoredAsText="1" formula="1" formulaRange="1" unlockedFormula="1" emptyCellReference="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19A7A5"/>
    <pageSetUpPr fitToPage="1"/>
  </sheetPr>
  <dimension ref="B1:E29"/>
  <sheetViews>
    <sheetView workbookViewId="0" showGridLines="0" zoomScale="90" zoomScaleNormal="9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defaultRowHeight="15"/>
  <cols>
    <col min="1" max="1" width="2.5" customWidth="1"/>
    <col min="2" max="2" width="10" customWidth="1"/>
    <col min="3" max="3" width="64" customWidth="1"/>
    <col min="4" max="4" width="70" customWidth="1"/>
    <col min="5" max="5" width="14" customWidth="1"/>
  </cols>
  <sheetData>
    <row r="1" ht="20" customHeight="1">
      <c r="B1" s="1" t="s">
        <v>0</v>
      </c>
      <c r="C1" s="2"/>
      <c r="D1" s="2"/>
      <c r="E1" s="2"/>
    </row>
    <row r="2" ht="26" customHeight="1">
      <c r="B2" s="3" t="s">
        <v>638</v>
      </c>
      <c r="E2" s="30" t="s">
        <v>65</v>
      </c>
    </row>
    <row r="3">
      <c r="B3" s="4" t="s">
        <v>2</v>
      </c>
    </row>
    <row r="4">
      <c r="B4" s="22" t="s">
        <v>639</v>
      </c>
    </row>
    <row r="6">
      <c r="B6" s="64" t="s">
        <v>242</v>
      </c>
      <c r="C6" s="31" t="s">
        <v>640</v>
      </c>
      <c r="D6" s="31" t="s">
        <v>641</v>
      </c>
      <c r="E6" s="64" t="s">
        <v>310</v>
      </c>
    </row>
    <row r="7">
      <c r="B7" s="98" t="str">
        <f>IF(ABS(E7)&lt;=0.5,"PASS","REVIEW")</f>
        <v>PASS</v>
      </c>
      <c r="C7" s="23" t="s">
        <v>642</v>
      </c>
      <c r="D7" s="99" t="str">
        <f>"Rent roll "&amp;ROUND('Rent Roll'!E33,0)&amp;" SF against GLA "&amp;ROUND(a_GLA,0)&amp;" SF"</f>
        <v>Rent roll 59700 SF against GLA 59700 SF</v>
      </c>
      <c r="E7" s="24">
        <f>'Rent Roll'!E33-a_GLA</f>
        <v>0</v>
      </c>
    </row>
    <row r="8">
      <c r="B8" s="98" t="str">
        <f>IF(ABS(E8)&lt;=1,"PASS","REVIEW")</f>
        <v>REVIEW</v>
      </c>
      <c r="C8" s="23" t="s">
        <v>643</v>
      </c>
      <c r="D8" s="99" t="str">
        <f>"Leasing Engine month 1 rent x 12 against the Rent Roll annual rent of the leases in place"</f>
        <v>Leasing Engine month 1 rent x 12 against the Rent Roll annual rent of the leases in place</v>
      </c>
      <c r="E8" s="24">
        <f>SUMIF('Leasing Engine'!$C$10:$C$434,"RENT",'Leasing Engine'!$S$10:$S$434)*12-SUMIFS('Rent Roll'!$J$8:$J$32,'Lease Cycles'!$F$8:$F$32,0)</f>
        <v>30256</v>
      </c>
    </row>
    <row r="9">
      <c r="B9" s="98" t="str">
        <f>IF(ABS(E9)&lt;=1,"PASS","REVIEW")</f>
        <v>PASS</v>
      </c>
      <c r="C9" s="23" t="s">
        <v>644</v>
      </c>
      <c r="D9" s="99" t="str">
        <f>"Sources "&amp;ROUND(out_Equity+out_LoanAmount,0)&amp;", uses "&amp;ROUND(out_TotalCost+a_LoanFee,0)</f>
        <v>Sources 9617341, uses 9617341</v>
      </c>
      <c r="E9" s="24">
        <f>out_Equity+out_LoanAmount-(in_PurchasePrice+out_ClosingCosts+a_UpfrontOther+a_LeaseUpReserve+a_IntReserve+a_LoanFee)</f>
        <v>0</v>
      </c>
    </row>
    <row r="10">
      <c r="B10" s="98" t="str">
        <f>IF(ABS(E10)&lt;=1,"PASS","REVIEW")</f>
        <v>PASS</v>
      </c>
      <c r="C10" s="23" t="s">
        <v>645</v>
      </c>
      <c r="D10" s="99" t="str">
        <f>"Ending balance at month "&amp;12*in_HoldYears&amp;" = payoff "&amp;ROUND(out_LoanPayoff,0)</f>
        <v>Ending balance at month 84 = payoff 5107057</v>
      </c>
      <c r="E10" s="24">
        <f>out_LoanAmount-SUMIF('Debt'!$B$40:$B$171,"&lt;="&amp;(12*in_HoldYears),'Debt'!$G$40:$G$171)-out_LoanPayoff</f>
        <v>0</v>
      </c>
    </row>
    <row r="11">
      <c r="B11" s="98" t="str">
        <f>IF(ABS(E11)&lt;=1,"PASS","REVIEW")</f>
        <v>PASS</v>
      </c>
      <c r="C11" s="23" t="s">
        <v>646</v>
      </c>
      <c r="D11" s="99" t="str">
        <f>"Net sale proceeds "&amp;ROUND(out_NetSaleProceeds,0)</f>
        <v>Net sale proceeds 3953862</v>
      </c>
      <c r="E11" s="24">
        <f>out_NetSaleProceeds-SUM('Cash Flow'!$E$68:$O$68)</f>
        <v>0</v>
      </c>
    </row>
    <row r="12">
      <c r="B12" s="98" t="str">
        <f>IF(ABS(E12)&lt;=1,"PASS","REVIEW")</f>
        <v>PASS</v>
      </c>
      <c r="C12" s="23" t="s">
        <v>647</v>
      </c>
      <c r="D12" s="99" t="str">
        <f>"Sum over Years 1-11 of the absolute differences"</f>
        <v>Sum over Years 1-11 of the absolute differences</v>
      </c>
      <c r="E12" s="24">
        <f>ABS('Cash Flow'!E28-('Cash Flow'!E23+'Cash Flow'!E27))+ABS('Cash Flow'!F28-('Cash Flow'!F23+'Cash Flow'!F27))+ABS('Cash Flow'!G28-('Cash Flow'!G23+'Cash Flow'!G27))+ABS('Cash Flow'!H28-('Cash Flow'!H23+'Cash Flow'!H27))+ABS('Cash Flow'!I28-('Cash Flow'!I23+'Cash Flow'!I27))+ABS('Cash Flow'!J28-('Cash Flow'!J23+'Cash Flow'!J27))+ABS('Cash Flow'!K28-('Cash Flow'!K23+'Cash Flow'!K27))+ABS('Cash Flow'!L28-('Cash Flow'!L23+'Cash Flow'!L27))+ABS('Cash Flow'!M28-('Cash Flow'!M23+'Cash Flow'!M27))+ABS('Cash Flow'!N28-('Cash Flow'!N23+'Cash Flow'!N27))+ABS('Cash Flow'!O28-('Cash Flow'!O23+'Cash Flow'!O27))</f>
        <v>0</v>
      </c>
    </row>
    <row r="13">
      <c r="B13" s="98" t="str">
        <f>IF(ABS(E13)&lt;=1,"PASS","REVIEW")</f>
        <v>PASS</v>
      </c>
      <c r="C13" s="23" t="s">
        <v>648</v>
      </c>
      <c r="D13" s="99" t="str">
        <f>"Sum over Years 1-11 of the absolute differences"</f>
        <v>Sum over Years 1-11 of the absolute differences</v>
      </c>
      <c r="E13" s="24">
        <f>ABS('Cash Flow'!E37-('Cash Flow'!E28+'Cash Flow'!E36))+ABS('Cash Flow'!F37-('Cash Flow'!F28+'Cash Flow'!F36))+ABS('Cash Flow'!G37-('Cash Flow'!G28+'Cash Flow'!G36))+ABS('Cash Flow'!H37-('Cash Flow'!H28+'Cash Flow'!H36))+ABS('Cash Flow'!I37-('Cash Flow'!I28+'Cash Flow'!I36))+ABS('Cash Flow'!J37-('Cash Flow'!J28+'Cash Flow'!J36))+ABS('Cash Flow'!K37-('Cash Flow'!K28+'Cash Flow'!K36))+ABS('Cash Flow'!L37-('Cash Flow'!L28+'Cash Flow'!L36))+ABS('Cash Flow'!M37-('Cash Flow'!M28+'Cash Flow'!M36))+ABS('Cash Flow'!N37-('Cash Flow'!N28+'Cash Flow'!N36))+ABS('Cash Flow'!O37-('Cash Flow'!O28+'Cash Flow'!O36))</f>
        <v>0</v>
      </c>
    </row>
    <row r="14">
      <c r="B14" s="98" t="str">
        <f>IF(ABS(E14)&lt;=1,"PASS","REVIEW")</f>
        <v>PASS</v>
      </c>
      <c r="C14" s="23" t="s">
        <v>649</v>
      </c>
      <c r="D14" s="99" t="str">
        <f>"Sum over Years 1-11 of the absolute differences"</f>
        <v>Sum over Years 1-11 of the absolute differences</v>
      </c>
      <c r="E14" s="24">
        <f>ABS('Cash Flow'!E54-('Cash Flow'!E37+'Cash Flow'!E50+'Cash Flow'!E53))+ABS('Cash Flow'!F54-('Cash Flow'!F37+'Cash Flow'!F50+'Cash Flow'!F53))+ABS('Cash Flow'!G54-('Cash Flow'!G37+'Cash Flow'!G50+'Cash Flow'!G53))+ABS('Cash Flow'!H54-('Cash Flow'!H37+'Cash Flow'!H50+'Cash Flow'!H53))+ABS('Cash Flow'!I54-('Cash Flow'!I37+'Cash Flow'!I50+'Cash Flow'!I53))+ABS('Cash Flow'!J54-('Cash Flow'!J37+'Cash Flow'!J50+'Cash Flow'!J53))+ABS('Cash Flow'!K54-('Cash Flow'!K37+'Cash Flow'!K50+'Cash Flow'!K53))+ABS('Cash Flow'!L54-('Cash Flow'!L37+'Cash Flow'!L50+'Cash Flow'!L53))+ABS('Cash Flow'!M54-('Cash Flow'!M37+'Cash Flow'!M50+'Cash Flow'!M53))+ABS('Cash Flow'!N54-('Cash Flow'!N37+'Cash Flow'!N50+'Cash Flow'!N53))+ABS('Cash Flow'!O54-('Cash Flow'!O37+'Cash Flow'!O50+'Cash Flow'!O53))</f>
        <v>0</v>
      </c>
    </row>
    <row r="15">
      <c r="B15" s="98" t="str">
        <f>IF(ABS(E15)&lt;=1,"PASS","REVIEW")</f>
        <v>PASS</v>
      </c>
      <c r="C15" s="23" t="s">
        <v>650</v>
      </c>
      <c r="D15" s="99" t="str">
        <f>"Sum over Years 1-11 of the absolute differences"</f>
        <v>Sum over Years 1-11 of the absolute differences</v>
      </c>
      <c r="E15" s="24">
        <f>ABS('Cash Flow'!E59-(('Cash Flow'!E54+'Cash Flow'!E58)*'Model Calc'!E7))+ABS('Cash Flow'!F59-(('Cash Flow'!F54+'Cash Flow'!F58)*'Model Calc'!F7))+ABS('Cash Flow'!G59-(('Cash Flow'!G54+'Cash Flow'!G58)*'Model Calc'!G7))+ABS('Cash Flow'!H59-(('Cash Flow'!H54+'Cash Flow'!H58)*'Model Calc'!H7))+ABS('Cash Flow'!I59-(('Cash Flow'!I54+'Cash Flow'!I58)*'Model Calc'!I7))+ABS('Cash Flow'!J59-(('Cash Flow'!J54+'Cash Flow'!J58)*'Model Calc'!J7))+ABS('Cash Flow'!K59-(('Cash Flow'!K54+'Cash Flow'!K58)*'Model Calc'!K7))+ABS('Cash Flow'!L59-(('Cash Flow'!L54+'Cash Flow'!L58)*'Model Calc'!L7))+ABS('Cash Flow'!M59-(('Cash Flow'!M54+'Cash Flow'!M58)*'Model Calc'!M7))+ABS('Cash Flow'!N59-(('Cash Flow'!N54+'Cash Flow'!N58)*'Model Calc'!N7))+ABS('Cash Flow'!O59-(('Cash Flow'!O54+'Cash Flow'!O58)*'Model Calc'!O7))</f>
        <v>0</v>
      </c>
    </row>
    <row r="16">
      <c r="B16" s="98" t="str">
        <f>IF(ABS(E16)&lt;=1,"PASS","REVIEW")</f>
        <v>PASS</v>
      </c>
      <c r="C16" s="23" t="s">
        <v>651</v>
      </c>
      <c r="D16" s="99" t="str">
        <f>"Equity "&amp;ROUND(out_Equity,0)</f>
        <v>Equity 3995941</v>
      </c>
      <c r="E16" s="24">
        <f>ABS('Cash Flow'!D70+out_Equity)+ABS('Cash Flow'!E70-('Cash Flow'!E59+'Cash Flow'!E61*'Model Calc'!E7+'Cash Flow'!E68))+ABS('Cash Flow'!F70-('Cash Flow'!F59+'Cash Flow'!F61*'Model Calc'!F7+'Cash Flow'!F68))+ABS('Cash Flow'!G70-('Cash Flow'!G59+'Cash Flow'!G61*'Model Calc'!G7+'Cash Flow'!G68))+ABS('Cash Flow'!H70-('Cash Flow'!H59+'Cash Flow'!H61*'Model Calc'!H7+'Cash Flow'!H68))+ABS('Cash Flow'!I70-('Cash Flow'!I59+'Cash Flow'!I61*'Model Calc'!I7+'Cash Flow'!I68))+ABS('Cash Flow'!J70-('Cash Flow'!J59+'Cash Flow'!J61*'Model Calc'!J7+'Cash Flow'!J68))+ABS('Cash Flow'!K70-('Cash Flow'!K59+'Cash Flow'!K61*'Model Calc'!K7+'Cash Flow'!K68))+ABS('Cash Flow'!L70-('Cash Flow'!L59+'Cash Flow'!L61*'Model Calc'!L7+'Cash Flow'!L68))+ABS('Cash Flow'!M70-('Cash Flow'!M59+'Cash Flow'!M61*'Model Calc'!M7+'Cash Flow'!M68))+ABS('Cash Flow'!N70-('Cash Flow'!N59+'Cash Flow'!N61*'Model Calc'!N7+'Cash Flow'!N68))+ABS('Cash Flow'!O70-('Cash Flow'!O59+'Cash Flow'!O61*'Model Calc'!O7+'Cash Flow'!O68))</f>
        <v>0</v>
      </c>
    </row>
    <row r="17">
      <c r="B17" s="98" t="str">
        <f>IF(ABS(E17)&lt;=0,"PASS","REVIEW")</f>
        <v>PASS</v>
      </c>
      <c r="C17" s="23" t="s">
        <v>652</v>
      </c>
      <c r="D17" s="99" t="str">
        <f>"Tenants with no profile do not roll after expiry"</f>
        <v>Tenants with no profile do not roll after expiry</v>
      </c>
      <c r="E17" s="24">
        <f>SUMPRODUCT(('Lease Cycles'!$C$8:$C$32&gt;0)*('Lease Cycles'!$N$8:$N$32=0))</f>
        <v>0</v>
      </c>
    </row>
    <row r="18">
      <c r="B18" s="98" t="str">
        <f>IF(ABS(E18)&lt;=0.000001,"PASS","REVIEW")</f>
        <v>PASS</v>
      </c>
      <c r="C18" s="23" t="s">
        <v>653</v>
      </c>
      <c r="D18" s="99" t="str">
        <f>"Centre cells of the two IRR grids"</f>
        <v>Centre cells of the two IRR grids</v>
      </c>
      <c r="E18" s="24">
        <f>ABS('Sensitivities'!E16-out_LeveredIRR)+ABS('Sensitivities'!E35-out_LeveredIRR)</f>
        <v>0</v>
      </c>
    </row>
    <row r="19">
      <c r="B19" s="98" t="str">
        <f>IF(ABS(E19)&lt;=0.0001,"PASS","REVIEW")</f>
        <v>PASS</v>
      </c>
      <c r="C19" s="23" t="s">
        <v>654</v>
      </c>
      <c r="D19" s="99" t="str">
        <f>"Workbook "&amp;ROUND(out_LeveredIRR*100,2)&amp;"% against the engine "&amp;IF(ISNUMBER(a_EngineIRR),ROUND(a_EngineIRR*100,2)&amp;"%","(not available)")&amp;"; REVIEW is expected once base case inputs are changed"</f>
        <v>Workbook 11% against the engine 11%; REVIEW is expected once base case inputs are changed</v>
      </c>
      <c r="E19" s="24">
        <f>IF(ISNUMBER(a_EngineIRR),out_LeveredIRR-a_EngineIRR,0)</f>
        <v>0</v>
      </c>
    </row>
    <row r="20">
      <c r="B20" s="98" t="str">
        <f>IF(ABS(E20)&lt;=0.001,"PASS","REVIEW")</f>
        <v>PASS</v>
      </c>
      <c r="C20" s="23" t="s">
        <v>655</v>
      </c>
      <c r="D20" s="99" t="str">
        <f>"Workbook "&amp;ROUND(out_EquityMultiple,3)&amp;"x against the engine "&amp;IF(ISNUMBER(a_EngineEM),ROUND(a_EngineEM,3)&amp;"x","(not available)")</f>
        <v>Workbook 1.755x against the engine 1.755x</v>
      </c>
      <c r="E20" s="24">
        <f>IF(ISNUMBER(a_EngineEM),out_EquityMultiple-a_EngineEM,0)</f>
        <v>0</v>
      </c>
    </row>
    <row r="21">
      <c r="B21" s="98" t="str">
        <f>IF(ABS(E21)&lt;=0,"PASS","REVIEW")</f>
        <v>PASS</v>
      </c>
      <c r="C21" s="23" t="s">
        <v>656</v>
      </c>
      <c r="D21" s="99" t="str">
        <f>"Hold "&amp;in_HoldYears&amp;" years"</f>
        <v>Hold 7 years</v>
      </c>
      <c r="E21" s="24">
        <f>IF(AND(in_HoldYears&gt;=1,in_HoldYears&lt;=10),0,1)</f>
        <v>0</v>
      </c>
    </row>
    <row r="22">
      <c r="B22" s="98" t="str">
        <f>IF(ABS(E22)&lt;=0,"PASS","REVIEW")</f>
        <v>PASS</v>
      </c>
      <c r="C22" s="23" t="s">
        <v>657</v>
      </c>
      <c r="D22" s="99" t="str">
        <f>"Loan term "&amp;a_LoanTerm&amp;" years, hold "&amp;in_HoldYears&amp;" years"</f>
        <v>Loan term 7 years, hold 7 years</v>
      </c>
      <c r="E22" s="24">
        <f>IF(OR(out_LoanAmount=0,a_LoanTerm&gt;=in_HoldYears),0,1)</f>
        <v>0</v>
      </c>
    </row>
    <row r="23">
      <c r="B23" s="98" t="str">
        <f>IF(ABS(E23)&lt;=0,"PASS","REVIEW")</f>
        <v>REVIEW</v>
      </c>
      <c r="C23" s="23" t="s">
        <v>658</v>
      </c>
      <c r="D23" s="99" t="str">
        <f>"Underwritten "&amp;ROUND(-'Cash Flow'!E36,0)&amp;" against the OM’s 420000 (" &amp; ROUND(100*(-'Cash Flow'!E36/420000-1),1) &amp; "%)"</f>
        <v>Underwritten 331000 against the OM’s 420000 (-21.2%)</v>
      </c>
      <c r="E23" s="26">
        <f>IF(ABS(-'Cash Flow'!E36/420000-1)&lt;=0.05,0,-'Cash Flow'!E36/420000-1)</f>
        <v>-0.2119051786615418</v>
      </c>
    </row>
    <row r="24">
      <c r="B24" s="98" t="str">
        <f>IF(ABS(E24)&lt;=0,"PASS","REVIEW")</f>
        <v>PASS</v>
      </c>
      <c r="C24" s="23" t="s">
        <v>659</v>
      </c>
      <c r="D24" s="99" t="str">
        <f>"Underwritten "&amp;ROUND('Cash Flow'!E37,0)&amp;" against the OM’s 979800 (" &amp; ROUND(100*('Cash Flow'!E37/979800-1),1) &amp; "%)"</f>
        <v>Underwritten 951328 against the OM’s 979800 (-2.9%)</v>
      </c>
      <c r="E24" s="26">
        <f>IF(ABS('Cash Flow'!E37/979800-1)&lt;=0.05,0,'Cash Flow'!E37/979800-1)</f>
        <v>0</v>
      </c>
    </row>
    <row r="25">
      <c r="B25" s="98" t="str">
        <f>IF(ABS(E25)&lt;=0,"PASS","REVIEW")</f>
        <v>PASS</v>
      </c>
      <c r="C25" s="23" t="s">
        <v>660</v>
      </c>
      <c r="D25" s="99" t="str">
        <f>"Recoveries "&amp;ROUND('Cash Flow'!E15,0)&amp;" against CAM, taxes and insurance "&amp;ROUND(-('Cash Flow'!E30+'Cash Flow'!E31+'Cash Flow'!E32),0)</f>
        <v>Recoveries 275870 against CAM, taxes and insurance 292530</v>
      </c>
      <c r="E25" s="24">
        <f>IF('Cash Flow'!E15&lt;=-('Cash Flow'!E30+'Cash Flow'!E31+'Cash Flow'!E32)*(1+MAX(0.15,0))+1,0,1)</f>
        <v>0</v>
      </c>
    </row>
    <row r="27">
      <c r="C27" s="100" t="s">
        <v>661</v>
      </c>
      <c r="D27" s="25">
        <f>COUNTIF($B$7:$B$25,"PASS")</f>
        <v>17</v>
      </c>
    </row>
    <row r="28">
      <c r="C28" s="100" t="s">
        <v>662</v>
      </c>
      <c r="D28" s="25">
        <f>COUNTIF($B$7:$B$25,"REVIEW")</f>
        <v>2</v>
      </c>
    </row>
    <row r="29">
      <c r="C29" s="100" t="s">
        <v>663</v>
      </c>
      <c r="D29" s="25">
        <f>COUNTIF($B$7:$B$25,"FAIL")</f>
        <v>0</v>
      </c>
    </row>
  </sheetData>
  <sheetProtection sheet="1" objects="1" scenarios="1" formatColumns="0" formatRows="0" autoFilter="0"/>
  <conditionalFormatting sqref="B7:B25">
    <cfRule type="cellIs" dxfId="0" priority="1" operator="equal">
      <formula>"PASS"</formula>
    </cfRule>
  </conditionalFormatting>
  <conditionalFormatting sqref="B7:B25">
    <cfRule type="cellIs" dxfId="1" priority="2" operator="equal">
      <formula>"REVIEW"</formula>
    </cfRule>
  </conditionalFormatting>
  <conditionalFormatting sqref="B7:B25">
    <cfRule type="cellIs" dxfId="2" priority="3" operator="equal">
      <formula>"FAIL"</formula>
    </cfRule>
  </conditionalFormatting>
  <hyperlinks>
    <hyperlink ref="E2" location="'Executive Summary'!A1" display="Back to summary"/>
  </hyperlinks>
  <pageMargins left="0.5" right="0.5" top="0.6" bottom="0.6" header="0.3" footer="0.3"/>
  <pageSetup paperSize="1" orientation="landscape" fitToWidth="1" fitToHeight="0"/>
  <headerFooter>
    <oddFooter>&amp;L&amp;"Arial,Regular"&amp;8CREMODEL  &amp;P / &amp;N</oddFooter>
  </headerFooter>
  <ignoredErrors>
    <ignoredError sqref="A1:E29" numberStoredAsText="1" formula="1" formulaRange="1" unlockedFormula="1" emptyCellReference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5B7C93"/>
  </sheetPr>
  <dimension ref="A1:ET433"/>
  <sheetViews>
    <sheetView workbookViewId="0" showGridLines="0" zoomScale="90" zoomScaleNormal="90">
      <pane xSplit="6" ySplit="8" topLeftCell="G9" activePane="bottomRight" state="frozen"/>
      <selection pane="topRight"/>
      <selection pane="bottomLeft"/>
      <selection pane="bottomRight" activeCell="G9" sqref="G9"/>
    </sheetView>
  </sheetViews>
  <sheetFormatPr defaultRowHeight="15"/>
  <cols>
    <col min="1" max="1" width="5" customWidth="1"/>
    <col min="2" max="2" width="28" customWidth="1"/>
    <col min="3" max="3" width="7" customWidth="1"/>
    <col min="4" max="4" width="30" customWidth="1"/>
    <col min="5" max="5" width="7" customWidth="1"/>
    <col min="6" max="6" width="2" customWidth="1"/>
    <col min="7" max="17" width="12" customWidth="1"/>
    <col min="18" max="18" width="2" customWidth="1"/>
    <col min="19" max="150" width="10" customWidth="1"/>
  </cols>
  <sheetData>
    <row r="1" ht="20" customHeight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6" customHeight="1">
      <c r="B2" s="3" t="s">
        <v>664</v>
      </c>
      <c r="I2" s="30" t="s">
        <v>65</v>
      </c>
    </row>
    <row r="3">
      <c r="B3" s="4" t="s">
        <v>2</v>
      </c>
    </row>
    <row r="4">
      <c r="B4" s="22" t="s">
        <v>665</v>
      </c>
    </row>
    <row r="5">
      <c r="G5" s="31" t="s">
        <v>666</v>
      </c>
    </row>
    <row r="6">
      <c r="B6" s="31" t="s">
        <v>667</v>
      </c>
      <c r="C6" s="31" t="s">
        <v>668</v>
      </c>
      <c r="D6" s="31" t="s">
        <v>669</v>
      </c>
      <c r="E6" s="31" t="s">
        <v>235</v>
      </c>
      <c r="G6" s="81">
        <v>1</v>
      </c>
      <c r="H6" s="81">
        <v>2</v>
      </c>
      <c r="I6" s="81">
        <v>3</v>
      </c>
      <c r="J6" s="81">
        <v>4</v>
      </c>
      <c r="K6" s="81">
        <v>5</v>
      </c>
      <c r="L6" s="81">
        <v>6</v>
      </c>
      <c r="M6" s="81">
        <v>7</v>
      </c>
      <c r="N6" s="81">
        <v>8</v>
      </c>
      <c r="O6" s="81">
        <v>9</v>
      </c>
      <c r="P6" s="81">
        <v>10</v>
      </c>
      <c r="Q6" s="81">
        <v>11</v>
      </c>
      <c r="S6" s="101">
        <v>0</v>
      </c>
      <c r="T6" s="101">
        <v>1</v>
      </c>
      <c r="U6" s="101">
        <v>2</v>
      </c>
      <c r="V6" s="101">
        <v>3</v>
      </c>
      <c r="W6" s="101">
        <v>4</v>
      </c>
      <c r="X6" s="101">
        <v>5</v>
      </c>
      <c r="Y6" s="101">
        <v>6</v>
      </c>
      <c r="Z6" s="101">
        <v>7</v>
      </c>
      <c r="AA6" s="101">
        <v>8</v>
      </c>
      <c r="AB6" s="101">
        <v>9</v>
      </c>
      <c r="AC6" s="101">
        <v>10</v>
      </c>
      <c r="AD6" s="101">
        <v>11</v>
      </c>
      <c r="AE6" s="101">
        <v>12</v>
      </c>
      <c r="AF6" s="101">
        <v>13</v>
      </c>
      <c r="AG6" s="101">
        <v>14</v>
      </c>
      <c r="AH6" s="101">
        <v>15</v>
      </c>
      <c r="AI6" s="101">
        <v>16</v>
      </c>
      <c r="AJ6" s="101">
        <v>17</v>
      </c>
      <c r="AK6" s="101">
        <v>18</v>
      </c>
      <c r="AL6" s="101">
        <v>19</v>
      </c>
      <c r="AM6" s="101">
        <v>20</v>
      </c>
      <c r="AN6" s="101">
        <v>21</v>
      </c>
      <c r="AO6" s="101">
        <v>22</v>
      </c>
      <c r="AP6" s="101">
        <v>23</v>
      </c>
      <c r="AQ6" s="101">
        <v>24</v>
      </c>
      <c r="AR6" s="101">
        <v>25</v>
      </c>
      <c r="AS6" s="101">
        <v>26</v>
      </c>
      <c r="AT6" s="101">
        <v>27</v>
      </c>
      <c r="AU6" s="101">
        <v>28</v>
      </c>
      <c r="AV6" s="101">
        <v>29</v>
      </c>
      <c r="AW6" s="101">
        <v>30</v>
      </c>
      <c r="AX6" s="101">
        <v>31</v>
      </c>
      <c r="AY6" s="101">
        <v>32</v>
      </c>
      <c r="AZ6" s="101">
        <v>33</v>
      </c>
      <c r="BA6" s="101">
        <v>34</v>
      </c>
      <c r="BB6" s="101">
        <v>35</v>
      </c>
      <c r="BC6" s="101">
        <v>36</v>
      </c>
      <c r="BD6" s="101">
        <v>37</v>
      </c>
      <c r="BE6" s="101">
        <v>38</v>
      </c>
      <c r="BF6" s="101">
        <v>39</v>
      </c>
      <c r="BG6" s="101">
        <v>40</v>
      </c>
      <c r="BH6" s="101">
        <v>41</v>
      </c>
      <c r="BI6" s="101">
        <v>42</v>
      </c>
      <c r="BJ6" s="101">
        <v>43</v>
      </c>
      <c r="BK6" s="101">
        <v>44</v>
      </c>
      <c r="BL6" s="101">
        <v>45</v>
      </c>
      <c r="BM6" s="101">
        <v>46</v>
      </c>
      <c r="BN6" s="101">
        <v>47</v>
      </c>
      <c r="BO6" s="101">
        <v>48</v>
      </c>
      <c r="BP6" s="101">
        <v>49</v>
      </c>
      <c r="BQ6" s="101">
        <v>50</v>
      </c>
      <c r="BR6" s="101">
        <v>51</v>
      </c>
      <c r="BS6" s="101">
        <v>52</v>
      </c>
      <c r="BT6" s="101">
        <v>53</v>
      </c>
      <c r="BU6" s="101">
        <v>54</v>
      </c>
      <c r="BV6" s="101">
        <v>55</v>
      </c>
      <c r="BW6" s="101">
        <v>56</v>
      </c>
      <c r="BX6" s="101">
        <v>57</v>
      </c>
      <c r="BY6" s="101">
        <v>58</v>
      </c>
      <c r="BZ6" s="101">
        <v>59</v>
      </c>
      <c r="CA6" s="101">
        <v>60</v>
      </c>
      <c r="CB6" s="101">
        <v>61</v>
      </c>
      <c r="CC6" s="101">
        <v>62</v>
      </c>
      <c r="CD6" s="101">
        <v>63</v>
      </c>
      <c r="CE6" s="101">
        <v>64</v>
      </c>
      <c r="CF6" s="101">
        <v>65</v>
      </c>
      <c r="CG6" s="101">
        <v>66</v>
      </c>
      <c r="CH6" s="101">
        <v>67</v>
      </c>
      <c r="CI6" s="101">
        <v>68</v>
      </c>
      <c r="CJ6" s="101">
        <v>69</v>
      </c>
      <c r="CK6" s="101">
        <v>70</v>
      </c>
      <c r="CL6" s="101">
        <v>71</v>
      </c>
      <c r="CM6" s="101">
        <v>72</v>
      </c>
      <c r="CN6" s="101">
        <v>73</v>
      </c>
      <c r="CO6" s="101">
        <v>74</v>
      </c>
      <c r="CP6" s="101">
        <v>75</v>
      </c>
      <c r="CQ6" s="101">
        <v>76</v>
      </c>
      <c r="CR6" s="101">
        <v>77</v>
      </c>
      <c r="CS6" s="101">
        <v>78</v>
      </c>
      <c r="CT6" s="101">
        <v>79</v>
      </c>
      <c r="CU6" s="101">
        <v>80</v>
      </c>
      <c r="CV6" s="101">
        <v>81</v>
      </c>
      <c r="CW6" s="101">
        <v>82</v>
      </c>
      <c r="CX6" s="101">
        <v>83</v>
      </c>
      <c r="CY6" s="101">
        <v>84</v>
      </c>
      <c r="CZ6" s="101">
        <v>85</v>
      </c>
      <c r="DA6" s="101">
        <v>86</v>
      </c>
      <c r="DB6" s="101">
        <v>87</v>
      </c>
      <c r="DC6" s="101">
        <v>88</v>
      </c>
      <c r="DD6" s="101">
        <v>89</v>
      </c>
      <c r="DE6" s="101">
        <v>90</v>
      </c>
      <c r="DF6" s="101">
        <v>91</v>
      </c>
      <c r="DG6" s="101">
        <v>92</v>
      </c>
      <c r="DH6" s="101">
        <v>93</v>
      </c>
      <c r="DI6" s="101">
        <v>94</v>
      </c>
      <c r="DJ6" s="101">
        <v>95</v>
      </c>
      <c r="DK6" s="101">
        <v>96</v>
      </c>
      <c r="DL6" s="101">
        <v>97</v>
      </c>
      <c r="DM6" s="101">
        <v>98</v>
      </c>
      <c r="DN6" s="101">
        <v>99</v>
      </c>
      <c r="DO6" s="101">
        <v>100</v>
      </c>
      <c r="DP6" s="101">
        <v>101</v>
      </c>
      <c r="DQ6" s="101">
        <v>102</v>
      </c>
      <c r="DR6" s="101">
        <v>103</v>
      </c>
      <c r="DS6" s="101">
        <v>104</v>
      </c>
      <c r="DT6" s="101">
        <v>105</v>
      </c>
      <c r="DU6" s="101">
        <v>106</v>
      </c>
      <c r="DV6" s="101">
        <v>107</v>
      </c>
      <c r="DW6" s="101">
        <v>108</v>
      </c>
      <c r="DX6" s="101">
        <v>109</v>
      </c>
      <c r="DY6" s="101">
        <v>110</v>
      </c>
      <c r="DZ6" s="101">
        <v>111</v>
      </c>
      <c r="EA6" s="101">
        <v>112</v>
      </c>
      <c r="EB6" s="101">
        <v>113</v>
      </c>
      <c r="EC6" s="101">
        <v>114</v>
      </c>
      <c r="ED6" s="101">
        <v>115</v>
      </c>
      <c r="EE6" s="101">
        <v>116</v>
      </c>
      <c r="EF6" s="101">
        <v>117</v>
      </c>
      <c r="EG6" s="101">
        <v>118</v>
      </c>
      <c r="EH6" s="101">
        <v>119</v>
      </c>
      <c r="EI6" s="101">
        <v>120</v>
      </c>
      <c r="EJ6" s="101">
        <v>121</v>
      </c>
      <c r="EK6" s="101">
        <v>122</v>
      </c>
      <c r="EL6" s="101">
        <v>123</v>
      </c>
      <c r="EM6" s="101">
        <v>124</v>
      </c>
      <c r="EN6" s="101">
        <v>125</v>
      </c>
      <c r="EO6" s="101">
        <v>126</v>
      </c>
      <c r="EP6" s="101">
        <v>127</v>
      </c>
      <c r="EQ6" s="101">
        <v>128</v>
      </c>
      <c r="ER6" s="101">
        <v>129</v>
      </c>
      <c r="ES6" s="101">
        <v>130</v>
      </c>
      <c r="ET6" s="101">
        <v>131</v>
      </c>
    </row>
    <row r="7">
      <c r="B7" s="31" t="s">
        <v>476</v>
      </c>
      <c r="S7" s="25">
        <f>INT(S6/12)+1</f>
        <v>1</v>
      </c>
      <c r="T7" s="25">
        <f>INT(T6/12)+1</f>
        <v>1</v>
      </c>
      <c r="U7" s="25">
        <f>INT(U6/12)+1</f>
        <v>1</v>
      </c>
      <c r="V7" s="25">
        <f>INT(V6/12)+1</f>
        <v>1</v>
      </c>
      <c r="W7" s="25">
        <f>INT(W6/12)+1</f>
        <v>1</v>
      </c>
      <c r="X7" s="25">
        <f>INT(X6/12)+1</f>
        <v>1</v>
      </c>
      <c r="Y7" s="25">
        <f>INT(Y6/12)+1</f>
        <v>1</v>
      </c>
      <c r="Z7" s="25">
        <f>INT(Z6/12)+1</f>
        <v>1</v>
      </c>
      <c r="AA7" s="25">
        <f>INT(AA6/12)+1</f>
        <v>1</v>
      </c>
      <c r="AB7" s="25">
        <f>INT(AB6/12)+1</f>
        <v>1</v>
      </c>
      <c r="AC7" s="25">
        <f>INT(AC6/12)+1</f>
        <v>1</v>
      </c>
      <c r="AD7" s="25">
        <f>INT(AD6/12)+1</f>
        <v>1</v>
      </c>
      <c r="AE7" s="25">
        <f>INT(AE6/12)+1</f>
        <v>2</v>
      </c>
      <c r="AF7" s="25">
        <f>INT(AF6/12)+1</f>
        <v>2</v>
      </c>
      <c r="AG7" s="25">
        <f>INT(AG6/12)+1</f>
        <v>2</v>
      </c>
      <c r="AH7" s="25">
        <f>INT(AH6/12)+1</f>
        <v>2</v>
      </c>
      <c r="AI7" s="25">
        <f>INT(AI6/12)+1</f>
        <v>2</v>
      </c>
      <c r="AJ7" s="25">
        <f>INT(AJ6/12)+1</f>
        <v>2</v>
      </c>
      <c r="AK7" s="25">
        <f>INT(AK6/12)+1</f>
        <v>2</v>
      </c>
      <c r="AL7" s="25">
        <f>INT(AL6/12)+1</f>
        <v>2</v>
      </c>
      <c r="AM7" s="25">
        <f>INT(AM6/12)+1</f>
        <v>2</v>
      </c>
      <c r="AN7" s="25">
        <f>INT(AN6/12)+1</f>
        <v>2</v>
      </c>
      <c r="AO7" s="25">
        <f>INT(AO6/12)+1</f>
        <v>2</v>
      </c>
      <c r="AP7" s="25">
        <f>INT(AP6/12)+1</f>
        <v>2</v>
      </c>
      <c r="AQ7" s="25">
        <f>INT(AQ6/12)+1</f>
        <v>3</v>
      </c>
      <c r="AR7" s="25">
        <f>INT(AR6/12)+1</f>
        <v>3</v>
      </c>
      <c r="AS7" s="25">
        <f>INT(AS6/12)+1</f>
        <v>3</v>
      </c>
      <c r="AT7" s="25">
        <f>INT(AT6/12)+1</f>
        <v>3</v>
      </c>
      <c r="AU7" s="25">
        <f>INT(AU6/12)+1</f>
        <v>3</v>
      </c>
      <c r="AV7" s="25">
        <f>INT(AV6/12)+1</f>
        <v>3</v>
      </c>
      <c r="AW7" s="25">
        <f>INT(AW6/12)+1</f>
        <v>3</v>
      </c>
      <c r="AX7" s="25">
        <f>INT(AX6/12)+1</f>
        <v>3</v>
      </c>
      <c r="AY7" s="25">
        <f>INT(AY6/12)+1</f>
        <v>3</v>
      </c>
      <c r="AZ7" s="25">
        <f>INT(AZ6/12)+1</f>
        <v>3</v>
      </c>
      <c r="BA7" s="25">
        <f>INT(BA6/12)+1</f>
        <v>3</v>
      </c>
      <c r="BB7" s="25">
        <f>INT(BB6/12)+1</f>
        <v>3</v>
      </c>
      <c r="BC7" s="25">
        <f>INT(BC6/12)+1</f>
        <v>4</v>
      </c>
      <c r="BD7" s="25">
        <f>INT(BD6/12)+1</f>
        <v>4</v>
      </c>
      <c r="BE7" s="25">
        <f>INT(BE6/12)+1</f>
        <v>4</v>
      </c>
      <c r="BF7" s="25">
        <f>INT(BF6/12)+1</f>
        <v>4</v>
      </c>
      <c r="BG7" s="25">
        <f>INT(BG6/12)+1</f>
        <v>4</v>
      </c>
      <c r="BH7" s="25">
        <f>INT(BH6/12)+1</f>
        <v>4</v>
      </c>
      <c r="BI7" s="25">
        <f>INT(BI6/12)+1</f>
        <v>4</v>
      </c>
      <c r="BJ7" s="25">
        <f>INT(BJ6/12)+1</f>
        <v>4</v>
      </c>
      <c r="BK7" s="25">
        <f>INT(BK6/12)+1</f>
        <v>4</v>
      </c>
      <c r="BL7" s="25">
        <f>INT(BL6/12)+1</f>
        <v>4</v>
      </c>
      <c r="BM7" s="25">
        <f>INT(BM6/12)+1</f>
        <v>4</v>
      </c>
      <c r="BN7" s="25">
        <f>INT(BN6/12)+1</f>
        <v>4</v>
      </c>
      <c r="BO7" s="25">
        <f>INT(BO6/12)+1</f>
        <v>5</v>
      </c>
      <c r="BP7" s="25">
        <f>INT(BP6/12)+1</f>
        <v>5</v>
      </c>
      <c r="BQ7" s="25">
        <f>INT(BQ6/12)+1</f>
        <v>5</v>
      </c>
      <c r="BR7" s="25">
        <f>INT(BR6/12)+1</f>
        <v>5</v>
      </c>
      <c r="BS7" s="25">
        <f>INT(BS6/12)+1</f>
        <v>5</v>
      </c>
      <c r="BT7" s="25">
        <f>INT(BT6/12)+1</f>
        <v>5</v>
      </c>
      <c r="BU7" s="25">
        <f>INT(BU6/12)+1</f>
        <v>5</v>
      </c>
      <c r="BV7" s="25">
        <f>INT(BV6/12)+1</f>
        <v>5</v>
      </c>
      <c r="BW7" s="25">
        <f>INT(BW6/12)+1</f>
        <v>5</v>
      </c>
      <c r="BX7" s="25">
        <f>INT(BX6/12)+1</f>
        <v>5</v>
      </c>
      <c r="BY7" s="25">
        <f>INT(BY6/12)+1</f>
        <v>5</v>
      </c>
      <c r="BZ7" s="25">
        <f>INT(BZ6/12)+1</f>
        <v>5</v>
      </c>
      <c r="CA7" s="25">
        <f>INT(CA6/12)+1</f>
        <v>6</v>
      </c>
      <c r="CB7" s="25">
        <f>INT(CB6/12)+1</f>
        <v>6</v>
      </c>
      <c r="CC7" s="25">
        <f>INT(CC6/12)+1</f>
        <v>6</v>
      </c>
      <c r="CD7" s="25">
        <f>INT(CD6/12)+1</f>
        <v>6</v>
      </c>
      <c r="CE7" s="25">
        <f>INT(CE6/12)+1</f>
        <v>6</v>
      </c>
      <c r="CF7" s="25">
        <f>INT(CF6/12)+1</f>
        <v>6</v>
      </c>
      <c r="CG7" s="25">
        <f>INT(CG6/12)+1</f>
        <v>6</v>
      </c>
      <c r="CH7" s="25">
        <f>INT(CH6/12)+1</f>
        <v>6</v>
      </c>
      <c r="CI7" s="25">
        <f>INT(CI6/12)+1</f>
        <v>6</v>
      </c>
      <c r="CJ7" s="25">
        <f>INT(CJ6/12)+1</f>
        <v>6</v>
      </c>
      <c r="CK7" s="25">
        <f>INT(CK6/12)+1</f>
        <v>6</v>
      </c>
      <c r="CL7" s="25">
        <f>INT(CL6/12)+1</f>
        <v>6</v>
      </c>
      <c r="CM7" s="25">
        <f>INT(CM6/12)+1</f>
        <v>7</v>
      </c>
      <c r="CN7" s="25">
        <f>INT(CN6/12)+1</f>
        <v>7</v>
      </c>
      <c r="CO7" s="25">
        <f>INT(CO6/12)+1</f>
        <v>7</v>
      </c>
      <c r="CP7" s="25">
        <f>INT(CP6/12)+1</f>
        <v>7</v>
      </c>
      <c r="CQ7" s="25">
        <f>INT(CQ6/12)+1</f>
        <v>7</v>
      </c>
      <c r="CR7" s="25">
        <f>INT(CR6/12)+1</f>
        <v>7</v>
      </c>
      <c r="CS7" s="25">
        <f>INT(CS6/12)+1</f>
        <v>7</v>
      </c>
      <c r="CT7" s="25">
        <f>INT(CT6/12)+1</f>
        <v>7</v>
      </c>
      <c r="CU7" s="25">
        <f>INT(CU6/12)+1</f>
        <v>7</v>
      </c>
      <c r="CV7" s="25">
        <f>INT(CV6/12)+1</f>
        <v>7</v>
      </c>
      <c r="CW7" s="25">
        <f>INT(CW6/12)+1</f>
        <v>7</v>
      </c>
      <c r="CX7" s="25">
        <f>INT(CX6/12)+1</f>
        <v>7</v>
      </c>
      <c r="CY7" s="25">
        <f>INT(CY6/12)+1</f>
        <v>8</v>
      </c>
      <c r="CZ7" s="25">
        <f>INT(CZ6/12)+1</f>
        <v>8</v>
      </c>
      <c r="DA7" s="25">
        <f>INT(DA6/12)+1</f>
        <v>8</v>
      </c>
      <c r="DB7" s="25">
        <f>INT(DB6/12)+1</f>
        <v>8</v>
      </c>
      <c r="DC7" s="25">
        <f>INT(DC6/12)+1</f>
        <v>8</v>
      </c>
      <c r="DD7" s="25">
        <f>INT(DD6/12)+1</f>
        <v>8</v>
      </c>
      <c r="DE7" s="25">
        <f>INT(DE6/12)+1</f>
        <v>8</v>
      </c>
      <c r="DF7" s="25">
        <f>INT(DF6/12)+1</f>
        <v>8</v>
      </c>
      <c r="DG7" s="25">
        <f>INT(DG6/12)+1</f>
        <v>8</v>
      </c>
      <c r="DH7" s="25">
        <f>INT(DH6/12)+1</f>
        <v>8</v>
      </c>
      <c r="DI7" s="25">
        <f>INT(DI6/12)+1</f>
        <v>8</v>
      </c>
      <c r="DJ7" s="25">
        <f>INT(DJ6/12)+1</f>
        <v>8</v>
      </c>
      <c r="DK7" s="25">
        <f>INT(DK6/12)+1</f>
        <v>9</v>
      </c>
      <c r="DL7" s="25">
        <f>INT(DL6/12)+1</f>
        <v>9</v>
      </c>
      <c r="DM7" s="25">
        <f>INT(DM6/12)+1</f>
        <v>9</v>
      </c>
      <c r="DN7" s="25">
        <f>INT(DN6/12)+1</f>
        <v>9</v>
      </c>
      <c r="DO7" s="25">
        <f>INT(DO6/12)+1</f>
        <v>9</v>
      </c>
      <c r="DP7" s="25">
        <f>INT(DP6/12)+1</f>
        <v>9</v>
      </c>
      <c r="DQ7" s="25">
        <f>INT(DQ6/12)+1</f>
        <v>9</v>
      </c>
      <c r="DR7" s="25">
        <f>INT(DR6/12)+1</f>
        <v>9</v>
      </c>
      <c r="DS7" s="25">
        <f>INT(DS6/12)+1</f>
        <v>9</v>
      </c>
      <c r="DT7" s="25">
        <f>INT(DT6/12)+1</f>
        <v>9</v>
      </c>
      <c r="DU7" s="25">
        <f>INT(DU6/12)+1</f>
        <v>9</v>
      </c>
      <c r="DV7" s="25">
        <f>INT(DV6/12)+1</f>
        <v>9</v>
      </c>
      <c r="DW7" s="25">
        <f>INT(DW6/12)+1</f>
        <v>10</v>
      </c>
      <c r="DX7" s="25">
        <f>INT(DX6/12)+1</f>
        <v>10</v>
      </c>
      <c r="DY7" s="25">
        <f>INT(DY6/12)+1</f>
        <v>10</v>
      </c>
      <c r="DZ7" s="25">
        <f>INT(DZ6/12)+1</f>
        <v>10</v>
      </c>
      <c r="EA7" s="25">
        <f>INT(EA6/12)+1</f>
        <v>10</v>
      </c>
      <c r="EB7" s="25">
        <f>INT(EB6/12)+1</f>
        <v>10</v>
      </c>
      <c r="EC7" s="25">
        <f>INT(EC6/12)+1</f>
        <v>10</v>
      </c>
      <c r="ED7" s="25">
        <f>INT(ED6/12)+1</f>
        <v>10</v>
      </c>
      <c r="EE7" s="25">
        <f>INT(EE6/12)+1</f>
        <v>10</v>
      </c>
      <c r="EF7" s="25">
        <f>INT(EF6/12)+1</f>
        <v>10</v>
      </c>
      <c r="EG7" s="25">
        <f>INT(EG6/12)+1</f>
        <v>10</v>
      </c>
      <c r="EH7" s="25">
        <f>INT(EH6/12)+1</f>
        <v>10</v>
      </c>
      <c r="EI7" s="25">
        <f>INT(EI6/12)+1</f>
        <v>11</v>
      </c>
      <c r="EJ7" s="25">
        <f>INT(EJ6/12)+1</f>
        <v>11</v>
      </c>
      <c r="EK7" s="25">
        <f>INT(EK6/12)+1</f>
        <v>11</v>
      </c>
      <c r="EL7" s="25">
        <f>INT(EL6/12)+1</f>
        <v>11</v>
      </c>
      <c r="EM7" s="25">
        <f>INT(EM6/12)+1</f>
        <v>11</v>
      </c>
      <c r="EN7" s="25">
        <f>INT(EN6/12)+1</f>
        <v>11</v>
      </c>
      <c r="EO7" s="25">
        <f>INT(EO6/12)+1</f>
        <v>11</v>
      </c>
      <c r="EP7" s="25">
        <f>INT(EP6/12)+1</f>
        <v>11</v>
      </c>
      <c r="EQ7" s="25">
        <f>INT(EQ6/12)+1</f>
        <v>11</v>
      </c>
      <c r="ER7" s="25">
        <f>INT(ER6/12)+1</f>
        <v>11</v>
      </c>
      <c r="ES7" s="25">
        <f>INT(ES6/12)+1</f>
        <v>11</v>
      </c>
      <c r="ET7" s="25">
        <f>INT(ET6/12)+1</f>
        <v>11</v>
      </c>
    </row>
    <row r="8">
      <c r="B8" s="31" t="s">
        <v>670</v>
      </c>
      <c r="S8" s="102">
        <f>EDATE(in_AnalysisStart,S6)</f>
        <v>46388</v>
      </c>
      <c r="T8" s="102">
        <f>EDATE(in_AnalysisStart,T6)</f>
        <v>46419</v>
      </c>
      <c r="U8" s="102">
        <f>EDATE(in_AnalysisStart,U6)</f>
        <v>46447</v>
      </c>
      <c r="V8" s="102">
        <f>EDATE(in_AnalysisStart,V6)</f>
        <v>46478</v>
      </c>
      <c r="W8" s="102">
        <f>EDATE(in_AnalysisStart,W6)</f>
        <v>46508</v>
      </c>
      <c r="X8" s="102">
        <f>EDATE(in_AnalysisStart,X6)</f>
        <v>46539</v>
      </c>
      <c r="Y8" s="102">
        <f>EDATE(in_AnalysisStart,Y6)</f>
        <v>46569</v>
      </c>
      <c r="Z8" s="102">
        <f>EDATE(in_AnalysisStart,Z6)</f>
        <v>46600</v>
      </c>
      <c r="AA8" s="102">
        <f>EDATE(in_AnalysisStart,AA6)</f>
        <v>46631</v>
      </c>
      <c r="AB8" s="102">
        <f>EDATE(in_AnalysisStart,AB6)</f>
        <v>46661</v>
      </c>
      <c r="AC8" s="102">
        <f>EDATE(in_AnalysisStart,AC6)</f>
        <v>46692</v>
      </c>
      <c r="AD8" s="102">
        <f>EDATE(in_AnalysisStart,AD6)</f>
        <v>46722</v>
      </c>
      <c r="AE8" s="102">
        <f>EDATE(in_AnalysisStart,AE6)</f>
        <v>46753</v>
      </c>
      <c r="AF8" s="102">
        <f>EDATE(in_AnalysisStart,AF6)</f>
        <v>46784</v>
      </c>
      <c r="AG8" s="102">
        <f>EDATE(in_AnalysisStart,AG6)</f>
        <v>46813</v>
      </c>
      <c r="AH8" s="102">
        <f>EDATE(in_AnalysisStart,AH6)</f>
        <v>46844</v>
      </c>
      <c r="AI8" s="102">
        <f>EDATE(in_AnalysisStart,AI6)</f>
        <v>46874</v>
      </c>
      <c r="AJ8" s="102">
        <f>EDATE(in_AnalysisStart,AJ6)</f>
        <v>46905</v>
      </c>
      <c r="AK8" s="102">
        <f>EDATE(in_AnalysisStart,AK6)</f>
        <v>46935</v>
      </c>
      <c r="AL8" s="102">
        <f>EDATE(in_AnalysisStart,AL6)</f>
        <v>46966</v>
      </c>
      <c r="AM8" s="102">
        <f>EDATE(in_AnalysisStart,AM6)</f>
        <v>46997</v>
      </c>
      <c r="AN8" s="102">
        <f>EDATE(in_AnalysisStart,AN6)</f>
        <v>47027</v>
      </c>
      <c r="AO8" s="102">
        <f>EDATE(in_AnalysisStart,AO6)</f>
        <v>47058</v>
      </c>
      <c r="AP8" s="102">
        <f>EDATE(in_AnalysisStart,AP6)</f>
        <v>47088</v>
      </c>
      <c r="AQ8" s="102">
        <f>EDATE(in_AnalysisStart,AQ6)</f>
        <v>47119</v>
      </c>
      <c r="AR8" s="102">
        <f>EDATE(in_AnalysisStart,AR6)</f>
        <v>47150</v>
      </c>
      <c r="AS8" s="102">
        <f>EDATE(in_AnalysisStart,AS6)</f>
        <v>47178</v>
      </c>
      <c r="AT8" s="102">
        <f>EDATE(in_AnalysisStart,AT6)</f>
        <v>47209</v>
      </c>
      <c r="AU8" s="102">
        <f>EDATE(in_AnalysisStart,AU6)</f>
        <v>47239</v>
      </c>
      <c r="AV8" s="102">
        <f>EDATE(in_AnalysisStart,AV6)</f>
        <v>47270</v>
      </c>
      <c r="AW8" s="102">
        <f>EDATE(in_AnalysisStart,AW6)</f>
        <v>47300</v>
      </c>
      <c r="AX8" s="102">
        <f>EDATE(in_AnalysisStart,AX6)</f>
        <v>47331</v>
      </c>
      <c r="AY8" s="102">
        <f>EDATE(in_AnalysisStart,AY6)</f>
        <v>47362</v>
      </c>
      <c r="AZ8" s="102">
        <f>EDATE(in_AnalysisStart,AZ6)</f>
        <v>47392</v>
      </c>
      <c r="BA8" s="102">
        <f>EDATE(in_AnalysisStart,BA6)</f>
        <v>47423</v>
      </c>
      <c r="BB8" s="102">
        <f>EDATE(in_AnalysisStart,BB6)</f>
        <v>47453</v>
      </c>
      <c r="BC8" s="102">
        <f>EDATE(in_AnalysisStart,BC6)</f>
        <v>47484</v>
      </c>
      <c r="BD8" s="102">
        <f>EDATE(in_AnalysisStart,BD6)</f>
        <v>47515</v>
      </c>
      <c r="BE8" s="102">
        <f>EDATE(in_AnalysisStart,BE6)</f>
        <v>47543</v>
      </c>
      <c r="BF8" s="102">
        <f>EDATE(in_AnalysisStart,BF6)</f>
        <v>47574</v>
      </c>
      <c r="BG8" s="102">
        <f>EDATE(in_AnalysisStart,BG6)</f>
        <v>47604</v>
      </c>
      <c r="BH8" s="102">
        <f>EDATE(in_AnalysisStart,BH6)</f>
        <v>47635</v>
      </c>
      <c r="BI8" s="102">
        <f>EDATE(in_AnalysisStart,BI6)</f>
        <v>47665</v>
      </c>
      <c r="BJ8" s="102">
        <f>EDATE(in_AnalysisStart,BJ6)</f>
        <v>47696</v>
      </c>
      <c r="BK8" s="102">
        <f>EDATE(in_AnalysisStart,BK6)</f>
        <v>47727</v>
      </c>
      <c r="BL8" s="102">
        <f>EDATE(in_AnalysisStart,BL6)</f>
        <v>47757</v>
      </c>
      <c r="BM8" s="102">
        <f>EDATE(in_AnalysisStart,BM6)</f>
        <v>47788</v>
      </c>
      <c r="BN8" s="102">
        <f>EDATE(in_AnalysisStart,BN6)</f>
        <v>47818</v>
      </c>
      <c r="BO8" s="102">
        <f>EDATE(in_AnalysisStart,BO6)</f>
        <v>47849</v>
      </c>
      <c r="BP8" s="102">
        <f>EDATE(in_AnalysisStart,BP6)</f>
        <v>47880</v>
      </c>
      <c r="BQ8" s="102">
        <f>EDATE(in_AnalysisStart,BQ6)</f>
        <v>47908</v>
      </c>
      <c r="BR8" s="102">
        <f>EDATE(in_AnalysisStart,BR6)</f>
        <v>47939</v>
      </c>
      <c r="BS8" s="102">
        <f>EDATE(in_AnalysisStart,BS6)</f>
        <v>47969</v>
      </c>
      <c r="BT8" s="102">
        <f>EDATE(in_AnalysisStart,BT6)</f>
        <v>48000</v>
      </c>
      <c r="BU8" s="102">
        <f>EDATE(in_AnalysisStart,BU6)</f>
        <v>48030</v>
      </c>
      <c r="BV8" s="102">
        <f>EDATE(in_AnalysisStart,BV6)</f>
        <v>48061</v>
      </c>
      <c r="BW8" s="102">
        <f>EDATE(in_AnalysisStart,BW6)</f>
        <v>48092</v>
      </c>
      <c r="BX8" s="102">
        <f>EDATE(in_AnalysisStart,BX6)</f>
        <v>48122</v>
      </c>
      <c r="BY8" s="102">
        <f>EDATE(in_AnalysisStart,BY6)</f>
        <v>48153</v>
      </c>
      <c r="BZ8" s="102">
        <f>EDATE(in_AnalysisStart,BZ6)</f>
        <v>48183</v>
      </c>
      <c r="CA8" s="102">
        <f>EDATE(in_AnalysisStart,CA6)</f>
        <v>48214</v>
      </c>
      <c r="CB8" s="102">
        <f>EDATE(in_AnalysisStart,CB6)</f>
        <v>48245</v>
      </c>
      <c r="CC8" s="102">
        <f>EDATE(in_AnalysisStart,CC6)</f>
        <v>48274</v>
      </c>
      <c r="CD8" s="102">
        <f>EDATE(in_AnalysisStart,CD6)</f>
        <v>48305</v>
      </c>
      <c r="CE8" s="102">
        <f>EDATE(in_AnalysisStart,CE6)</f>
        <v>48335</v>
      </c>
      <c r="CF8" s="102">
        <f>EDATE(in_AnalysisStart,CF6)</f>
        <v>48366</v>
      </c>
      <c r="CG8" s="102">
        <f>EDATE(in_AnalysisStart,CG6)</f>
        <v>48396</v>
      </c>
      <c r="CH8" s="102">
        <f>EDATE(in_AnalysisStart,CH6)</f>
        <v>48427</v>
      </c>
      <c r="CI8" s="102">
        <f>EDATE(in_AnalysisStart,CI6)</f>
        <v>48458</v>
      </c>
      <c r="CJ8" s="102">
        <f>EDATE(in_AnalysisStart,CJ6)</f>
        <v>48488</v>
      </c>
      <c r="CK8" s="102">
        <f>EDATE(in_AnalysisStart,CK6)</f>
        <v>48519</v>
      </c>
      <c r="CL8" s="102">
        <f>EDATE(in_AnalysisStart,CL6)</f>
        <v>48549</v>
      </c>
      <c r="CM8" s="102">
        <f>EDATE(in_AnalysisStart,CM6)</f>
        <v>48580</v>
      </c>
      <c r="CN8" s="102">
        <f>EDATE(in_AnalysisStart,CN6)</f>
        <v>48611</v>
      </c>
      <c r="CO8" s="102">
        <f>EDATE(in_AnalysisStart,CO6)</f>
        <v>48639</v>
      </c>
      <c r="CP8" s="102">
        <f>EDATE(in_AnalysisStart,CP6)</f>
        <v>48670</v>
      </c>
      <c r="CQ8" s="102">
        <f>EDATE(in_AnalysisStart,CQ6)</f>
        <v>48700</v>
      </c>
      <c r="CR8" s="102">
        <f>EDATE(in_AnalysisStart,CR6)</f>
        <v>48731</v>
      </c>
      <c r="CS8" s="102">
        <f>EDATE(in_AnalysisStart,CS6)</f>
        <v>48761</v>
      </c>
      <c r="CT8" s="102">
        <f>EDATE(in_AnalysisStart,CT6)</f>
        <v>48792</v>
      </c>
      <c r="CU8" s="102">
        <f>EDATE(in_AnalysisStart,CU6)</f>
        <v>48823</v>
      </c>
      <c r="CV8" s="102">
        <f>EDATE(in_AnalysisStart,CV6)</f>
        <v>48853</v>
      </c>
      <c r="CW8" s="102">
        <f>EDATE(in_AnalysisStart,CW6)</f>
        <v>48884</v>
      </c>
      <c r="CX8" s="102">
        <f>EDATE(in_AnalysisStart,CX6)</f>
        <v>48914</v>
      </c>
      <c r="CY8" s="102">
        <f>EDATE(in_AnalysisStart,CY6)</f>
        <v>48945</v>
      </c>
      <c r="CZ8" s="102">
        <f>EDATE(in_AnalysisStart,CZ6)</f>
        <v>48976</v>
      </c>
      <c r="DA8" s="102">
        <f>EDATE(in_AnalysisStart,DA6)</f>
        <v>49004</v>
      </c>
      <c r="DB8" s="102">
        <f>EDATE(in_AnalysisStart,DB6)</f>
        <v>49035</v>
      </c>
      <c r="DC8" s="102">
        <f>EDATE(in_AnalysisStart,DC6)</f>
        <v>49065</v>
      </c>
      <c r="DD8" s="102">
        <f>EDATE(in_AnalysisStart,DD6)</f>
        <v>49096</v>
      </c>
      <c r="DE8" s="102">
        <f>EDATE(in_AnalysisStart,DE6)</f>
        <v>49126</v>
      </c>
      <c r="DF8" s="102">
        <f>EDATE(in_AnalysisStart,DF6)</f>
        <v>49157</v>
      </c>
      <c r="DG8" s="102">
        <f>EDATE(in_AnalysisStart,DG6)</f>
        <v>49188</v>
      </c>
      <c r="DH8" s="102">
        <f>EDATE(in_AnalysisStart,DH6)</f>
        <v>49218</v>
      </c>
      <c r="DI8" s="102">
        <f>EDATE(in_AnalysisStart,DI6)</f>
        <v>49249</v>
      </c>
      <c r="DJ8" s="102">
        <f>EDATE(in_AnalysisStart,DJ6)</f>
        <v>49279</v>
      </c>
      <c r="DK8" s="102">
        <f>EDATE(in_AnalysisStart,DK6)</f>
        <v>49310</v>
      </c>
      <c r="DL8" s="102">
        <f>EDATE(in_AnalysisStart,DL6)</f>
        <v>49341</v>
      </c>
      <c r="DM8" s="102">
        <f>EDATE(in_AnalysisStart,DM6)</f>
        <v>49369</v>
      </c>
      <c r="DN8" s="102">
        <f>EDATE(in_AnalysisStart,DN6)</f>
        <v>49400</v>
      </c>
      <c r="DO8" s="102">
        <f>EDATE(in_AnalysisStart,DO6)</f>
        <v>49430</v>
      </c>
      <c r="DP8" s="102">
        <f>EDATE(in_AnalysisStart,DP6)</f>
        <v>49461</v>
      </c>
      <c r="DQ8" s="102">
        <f>EDATE(in_AnalysisStart,DQ6)</f>
        <v>49491</v>
      </c>
      <c r="DR8" s="102">
        <f>EDATE(in_AnalysisStart,DR6)</f>
        <v>49522</v>
      </c>
      <c r="DS8" s="102">
        <f>EDATE(in_AnalysisStart,DS6)</f>
        <v>49553</v>
      </c>
      <c r="DT8" s="102">
        <f>EDATE(in_AnalysisStart,DT6)</f>
        <v>49583</v>
      </c>
      <c r="DU8" s="102">
        <f>EDATE(in_AnalysisStart,DU6)</f>
        <v>49614</v>
      </c>
      <c r="DV8" s="102">
        <f>EDATE(in_AnalysisStart,DV6)</f>
        <v>49644</v>
      </c>
      <c r="DW8" s="102">
        <f>EDATE(in_AnalysisStart,DW6)</f>
        <v>49675</v>
      </c>
      <c r="DX8" s="102">
        <f>EDATE(in_AnalysisStart,DX6)</f>
        <v>49706</v>
      </c>
      <c r="DY8" s="102">
        <f>EDATE(in_AnalysisStart,DY6)</f>
        <v>49735</v>
      </c>
      <c r="DZ8" s="102">
        <f>EDATE(in_AnalysisStart,DZ6)</f>
        <v>49766</v>
      </c>
      <c r="EA8" s="102">
        <f>EDATE(in_AnalysisStart,EA6)</f>
        <v>49796</v>
      </c>
      <c r="EB8" s="102">
        <f>EDATE(in_AnalysisStart,EB6)</f>
        <v>49827</v>
      </c>
      <c r="EC8" s="102">
        <f>EDATE(in_AnalysisStart,EC6)</f>
        <v>49857</v>
      </c>
      <c r="ED8" s="102">
        <f>EDATE(in_AnalysisStart,ED6)</f>
        <v>49888</v>
      </c>
      <c r="EE8" s="102">
        <f>EDATE(in_AnalysisStart,EE6)</f>
        <v>49919</v>
      </c>
      <c r="EF8" s="102">
        <f>EDATE(in_AnalysisStart,EF6)</f>
        <v>49949</v>
      </c>
      <c r="EG8" s="102">
        <f>EDATE(in_AnalysisStart,EG6)</f>
        <v>49980</v>
      </c>
      <c r="EH8" s="102">
        <f>EDATE(in_AnalysisStart,EH6)</f>
        <v>50010</v>
      </c>
      <c r="EI8" s="102">
        <f>EDATE(in_AnalysisStart,EI6)</f>
        <v>50041</v>
      </c>
      <c r="EJ8" s="102">
        <f>EDATE(in_AnalysisStart,EJ6)</f>
        <v>50072</v>
      </c>
      <c r="EK8" s="102">
        <f>EDATE(in_AnalysisStart,EK6)</f>
        <v>50100</v>
      </c>
      <c r="EL8" s="102">
        <f>EDATE(in_AnalysisStart,EL6)</f>
        <v>50131</v>
      </c>
      <c r="EM8" s="102">
        <f>EDATE(in_AnalysisStart,EM6)</f>
        <v>50161</v>
      </c>
      <c r="EN8" s="102">
        <f>EDATE(in_AnalysisStart,EN6)</f>
        <v>50192</v>
      </c>
      <c r="EO8" s="102">
        <f>EDATE(in_AnalysisStart,EO6)</f>
        <v>50222</v>
      </c>
      <c r="EP8" s="102">
        <f>EDATE(in_AnalysisStart,EP6)</f>
        <v>50253</v>
      </c>
      <c r="EQ8" s="102">
        <f>EDATE(in_AnalysisStart,EQ6)</f>
        <v>50284</v>
      </c>
      <c r="ER8" s="102">
        <f>EDATE(in_AnalysisStart,ER6)</f>
        <v>50314</v>
      </c>
      <c r="ES8" s="102">
        <f>EDATE(in_AnalysisStart,ES6)</f>
        <v>50345</v>
      </c>
      <c r="ET8" s="102">
        <f>EDATE(in_AnalysisStart,ET6)</f>
        <v>50375</v>
      </c>
    </row>
    <row r="10">
      <c r="A10" s="103">
        <v>1</v>
      </c>
      <c r="B10" s="23" t="str">
        <f>IF('Lease Cycles'!$B$8="","(empty slot)",'Lease Cycles'!$B$8)</f>
        <v>Fieldstone Grocery</v>
      </c>
      <c r="C10" s="23" t="s">
        <v>671</v>
      </c>
      <c r="D10" s="104" t="s">
        <v>672</v>
      </c>
      <c r="E10" s="25">
        <f>'Lease Cycles'!$AL$8</f>
        <v>1</v>
      </c>
      <c r="S10" s="25">
        <f>IF('Lease Cycles'!$C$8&gt;0,COUNTIF('Lease Cycles'!$BG$8:$BM$8,"&lt;="&amp;S$6),0)</f>
        <v>1</v>
      </c>
      <c r="T10" s="25">
        <f>IF('Lease Cycles'!$C$8&gt;0,COUNTIF('Lease Cycles'!$BG$8:$BM$8,"&lt;="&amp;T$6),0)</f>
        <v>1</v>
      </c>
      <c r="U10" s="25">
        <f>IF('Lease Cycles'!$C$8&gt;0,COUNTIF('Lease Cycles'!$BG$8:$BM$8,"&lt;="&amp;U$6),0)</f>
        <v>1</v>
      </c>
      <c r="V10" s="25">
        <f>IF('Lease Cycles'!$C$8&gt;0,COUNTIF('Lease Cycles'!$BG$8:$BM$8,"&lt;="&amp;V$6),0)</f>
        <v>1</v>
      </c>
      <c r="W10" s="25">
        <f>IF('Lease Cycles'!$C$8&gt;0,COUNTIF('Lease Cycles'!$BG$8:$BM$8,"&lt;="&amp;W$6),0)</f>
        <v>1</v>
      </c>
      <c r="X10" s="25">
        <f>IF('Lease Cycles'!$C$8&gt;0,COUNTIF('Lease Cycles'!$BG$8:$BM$8,"&lt;="&amp;X$6),0)</f>
        <v>1</v>
      </c>
      <c r="Y10" s="25">
        <f>IF('Lease Cycles'!$C$8&gt;0,COUNTIF('Lease Cycles'!$BG$8:$BM$8,"&lt;="&amp;Y$6),0)</f>
        <v>1</v>
      </c>
      <c r="Z10" s="25">
        <f>IF('Lease Cycles'!$C$8&gt;0,COUNTIF('Lease Cycles'!$BG$8:$BM$8,"&lt;="&amp;Z$6),0)</f>
        <v>1</v>
      </c>
      <c r="AA10" s="25">
        <f>IF('Lease Cycles'!$C$8&gt;0,COUNTIF('Lease Cycles'!$BG$8:$BM$8,"&lt;="&amp;AA$6),0)</f>
        <v>1</v>
      </c>
      <c r="AB10" s="25">
        <f>IF('Lease Cycles'!$C$8&gt;0,COUNTIF('Lease Cycles'!$BG$8:$BM$8,"&lt;="&amp;AB$6),0)</f>
        <v>1</v>
      </c>
      <c r="AC10" s="25">
        <f>IF('Lease Cycles'!$C$8&gt;0,COUNTIF('Lease Cycles'!$BG$8:$BM$8,"&lt;="&amp;AC$6),0)</f>
        <v>1</v>
      </c>
      <c r="AD10" s="25">
        <f>IF('Lease Cycles'!$C$8&gt;0,COUNTIF('Lease Cycles'!$BG$8:$BM$8,"&lt;="&amp;AD$6),0)</f>
        <v>1</v>
      </c>
      <c r="AE10" s="25">
        <f>IF('Lease Cycles'!$C$8&gt;0,COUNTIF('Lease Cycles'!$BG$8:$BM$8,"&lt;="&amp;AE$6),0)</f>
        <v>1</v>
      </c>
      <c r="AF10" s="25">
        <f>IF('Lease Cycles'!$C$8&gt;0,COUNTIF('Lease Cycles'!$BG$8:$BM$8,"&lt;="&amp;AF$6),0)</f>
        <v>1</v>
      </c>
      <c r="AG10" s="25">
        <f>IF('Lease Cycles'!$C$8&gt;0,COUNTIF('Lease Cycles'!$BG$8:$BM$8,"&lt;="&amp;AG$6),0)</f>
        <v>1</v>
      </c>
      <c r="AH10" s="25">
        <f>IF('Lease Cycles'!$C$8&gt;0,COUNTIF('Lease Cycles'!$BG$8:$BM$8,"&lt;="&amp;AH$6),0)</f>
        <v>1</v>
      </c>
      <c r="AI10" s="25">
        <f>IF('Lease Cycles'!$C$8&gt;0,COUNTIF('Lease Cycles'!$BG$8:$BM$8,"&lt;="&amp;AI$6),0)</f>
        <v>1</v>
      </c>
      <c r="AJ10" s="25">
        <f>IF('Lease Cycles'!$C$8&gt;0,COUNTIF('Lease Cycles'!$BG$8:$BM$8,"&lt;="&amp;AJ$6),0)</f>
        <v>1</v>
      </c>
      <c r="AK10" s="25">
        <f>IF('Lease Cycles'!$C$8&gt;0,COUNTIF('Lease Cycles'!$BG$8:$BM$8,"&lt;="&amp;AK$6),0)</f>
        <v>1</v>
      </c>
      <c r="AL10" s="25">
        <f>IF('Lease Cycles'!$C$8&gt;0,COUNTIF('Lease Cycles'!$BG$8:$BM$8,"&lt;="&amp;AL$6),0)</f>
        <v>1</v>
      </c>
      <c r="AM10" s="25">
        <f>IF('Lease Cycles'!$C$8&gt;0,COUNTIF('Lease Cycles'!$BG$8:$BM$8,"&lt;="&amp;AM$6),0)</f>
        <v>1</v>
      </c>
      <c r="AN10" s="25">
        <f>IF('Lease Cycles'!$C$8&gt;0,COUNTIF('Lease Cycles'!$BG$8:$BM$8,"&lt;="&amp;AN$6),0)</f>
        <v>1</v>
      </c>
      <c r="AO10" s="25">
        <f>IF('Lease Cycles'!$C$8&gt;0,COUNTIF('Lease Cycles'!$BG$8:$BM$8,"&lt;="&amp;AO$6),0)</f>
        <v>1</v>
      </c>
      <c r="AP10" s="25">
        <f>IF('Lease Cycles'!$C$8&gt;0,COUNTIF('Lease Cycles'!$BG$8:$BM$8,"&lt;="&amp;AP$6),0)</f>
        <v>1</v>
      </c>
      <c r="AQ10" s="25">
        <f>IF('Lease Cycles'!$C$8&gt;0,COUNTIF('Lease Cycles'!$BG$8:$BM$8,"&lt;="&amp;AQ$6),0)</f>
        <v>1</v>
      </c>
      <c r="AR10" s="25">
        <f>IF('Lease Cycles'!$C$8&gt;0,COUNTIF('Lease Cycles'!$BG$8:$BM$8,"&lt;="&amp;AR$6),0)</f>
        <v>1</v>
      </c>
      <c r="AS10" s="25">
        <f>IF('Lease Cycles'!$C$8&gt;0,COUNTIF('Lease Cycles'!$BG$8:$BM$8,"&lt;="&amp;AS$6),0)</f>
        <v>1</v>
      </c>
      <c r="AT10" s="25">
        <f>IF('Lease Cycles'!$C$8&gt;0,COUNTIF('Lease Cycles'!$BG$8:$BM$8,"&lt;="&amp;AT$6),0)</f>
        <v>1</v>
      </c>
      <c r="AU10" s="25">
        <f>IF('Lease Cycles'!$C$8&gt;0,COUNTIF('Lease Cycles'!$BG$8:$BM$8,"&lt;="&amp;AU$6),0)</f>
        <v>1</v>
      </c>
      <c r="AV10" s="25">
        <f>IF('Lease Cycles'!$C$8&gt;0,COUNTIF('Lease Cycles'!$BG$8:$BM$8,"&lt;="&amp;AV$6),0)</f>
        <v>1</v>
      </c>
      <c r="AW10" s="25">
        <f>IF('Lease Cycles'!$C$8&gt;0,COUNTIF('Lease Cycles'!$BG$8:$BM$8,"&lt;="&amp;AW$6),0)</f>
        <v>1</v>
      </c>
      <c r="AX10" s="25">
        <f>IF('Lease Cycles'!$C$8&gt;0,COUNTIF('Lease Cycles'!$BG$8:$BM$8,"&lt;="&amp;AX$6),0)</f>
        <v>1</v>
      </c>
      <c r="AY10" s="25">
        <f>IF('Lease Cycles'!$C$8&gt;0,COUNTIF('Lease Cycles'!$BG$8:$BM$8,"&lt;="&amp;AY$6),0)</f>
        <v>1</v>
      </c>
      <c r="AZ10" s="25">
        <f>IF('Lease Cycles'!$C$8&gt;0,COUNTIF('Lease Cycles'!$BG$8:$BM$8,"&lt;="&amp;AZ$6),0)</f>
        <v>1</v>
      </c>
      <c r="BA10" s="25">
        <f>IF('Lease Cycles'!$C$8&gt;0,COUNTIF('Lease Cycles'!$BG$8:$BM$8,"&lt;="&amp;BA$6),0)</f>
        <v>1</v>
      </c>
      <c r="BB10" s="25">
        <f>IF('Lease Cycles'!$C$8&gt;0,COUNTIF('Lease Cycles'!$BG$8:$BM$8,"&lt;="&amp;BB$6),0)</f>
        <v>1</v>
      </c>
      <c r="BC10" s="25">
        <f>IF('Lease Cycles'!$C$8&gt;0,COUNTIF('Lease Cycles'!$BG$8:$BM$8,"&lt;="&amp;BC$6),0)</f>
        <v>1</v>
      </c>
      <c r="BD10" s="25">
        <f>IF('Lease Cycles'!$C$8&gt;0,COUNTIF('Lease Cycles'!$BG$8:$BM$8,"&lt;="&amp;BD$6),0)</f>
        <v>1</v>
      </c>
      <c r="BE10" s="25">
        <f>IF('Lease Cycles'!$C$8&gt;0,COUNTIF('Lease Cycles'!$BG$8:$BM$8,"&lt;="&amp;BE$6),0)</f>
        <v>1</v>
      </c>
      <c r="BF10" s="25">
        <f>IF('Lease Cycles'!$C$8&gt;0,COUNTIF('Lease Cycles'!$BG$8:$BM$8,"&lt;="&amp;BF$6),0)</f>
        <v>1</v>
      </c>
      <c r="BG10" s="25">
        <f>IF('Lease Cycles'!$C$8&gt;0,COUNTIF('Lease Cycles'!$BG$8:$BM$8,"&lt;="&amp;BG$6),0)</f>
        <v>1</v>
      </c>
      <c r="BH10" s="25">
        <f>IF('Lease Cycles'!$C$8&gt;0,COUNTIF('Lease Cycles'!$BG$8:$BM$8,"&lt;="&amp;BH$6),0)</f>
        <v>1</v>
      </c>
      <c r="BI10" s="25">
        <f>IF('Lease Cycles'!$C$8&gt;0,COUNTIF('Lease Cycles'!$BG$8:$BM$8,"&lt;="&amp;BI$6),0)</f>
        <v>1</v>
      </c>
      <c r="BJ10" s="25">
        <f>IF('Lease Cycles'!$C$8&gt;0,COUNTIF('Lease Cycles'!$BG$8:$BM$8,"&lt;="&amp;BJ$6),0)</f>
        <v>1</v>
      </c>
      <c r="BK10" s="25">
        <f>IF('Lease Cycles'!$C$8&gt;0,COUNTIF('Lease Cycles'!$BG$8:$BM$8,"&lt;="&amp;BK$6),0)</f>
        <v>1</v>
      </c>
      <c r="BL10" s="25">
        <f>IF('Lease Cycles'!$C$8&gt;0,COUNTIF('Lease Cycles'!$BG$8:$BM$8,"&lt;="&amp;BL$6),0)</f>
        <v>1</v>
      </c>
      <c r="BM10" s="25">
        <f>IF('Lease Cycles'!$C$8&gt;0,COUNTIF('Lease Cycles'!$BG$8:$BM$8,"&lt;="&amp;BM$6),0)</f>
        <v>1</v>
      </c>
      <c r="BN10" s="25">
        <f>IF('Lease Cycles'!$C$8&gt;0,COUNTIF('Lease Cycles'!$BG$8:$BM$8,"&lt;="&amp;BN$6),0)</f>
        <v>1</v>
      </c>
      <c r="BO10" s="25">
        <f>IF('Lease Cycles'!$C$8&gt;0,COUNTIF('Lease Cycles'!$BG$8:$BM$8,"&lt;="&amp;BO$6),0)</f>
        <v>1</v>
      </c>
      <c r="BP10" s="25">
        <f>IF('Lease Cycles'!$C$8&gt;0,COUNTIF('Lease Cycles'!$BG$8:$BM$8,"&lt;="&amp;BP$6),0)</f>
        <v>1</v>
      </c>
      <c r="BQ10" s="25">
        <f>IF('Lease Cycles'!$C$8&gt;0,COUNTIF('Lease Cycles'!$BG$8:$BM$8,"&lt;="&amp;BQ$6),0)</f>
        <v>1</v>
      </c>
      <c r="BR10" s="25">
        <f>IF('Lease Cycles'!$C$8&gt;0,COUNTIF('Lease Cycles'!$BG$8:$BM$8,"&lt;="&amp;BR$6),0)</f>
        <v>1</v>
      </c>
      <c r="BS10" s="25">
        <f>IF('Lease Cycles'!$C$8&gt;0,COUNTIF('Lease Cycles'!$BG$8:$BM$8,"&lt;="&amp;BS$6),0)</f>
        <v>1</v>
      </c>
      <c r="BT10" s="25">
        <f>IF('Lease Cycles'!$C$8&gt;0,COUNTIF('Lease Cycles'!$BG$8:$BM$8,"&lt;="&amp;BT$6),0)</f>
        <v>1</v>
      </c>
      <c r="BU10" s="25">
        <f>IF('Lease Cycles'!$C$8&gt;0,COUNTIF('Lease Cycles'!$BG$8:$BM$8,"&lt;="&amp;BU$6),0)</f>
        <v>1</v>
      </c>
      <c r="BV10" s="25">
        <f>IF('Lease Cycles'!$C$8&gt;0,COUNTIF('Lease Cycles'!$BG$8:$BM$8,"&lt;="&amp;BV$6),0)</f>
        <v>1</v>
      </c>
      <c r="BW10" s="25">
        <f>IF('Lease Cycles'!$C$8&gt;0,COUNTIF('Lease Cycles'!$BG$8:$BM$8,"&lt;="&amp;BW$6),0)</f>
        <v>1</v>
      </c>
      <c r="BX10" s="25">
        <f>IF('Lease Cycles'!$C$8&gt;0,COUNTIF('Lease Cycles'!$BG$8:$BM$8,"&lt;="&amp;BX$6),0)</f>
        <v>1</v>
      </c>
      <c r="BY10" s="25">
        <f>IF('Lease Cycles'!$C$8&gt;0,COUNTIF('Lease Cycles'!$BG$8:$BM$8,"&lt;="&amp;BY$6),0)</f>
        <v>1</v>
      </c>
      <c r="BZ10" s="25">
        <f>IF('Lease Cycles'!$C$8&gt;0,COUNTIF('Lease Cycles'!$BG$8:$BM$8,"&lt;="&amp;BZ$6),0)</f>
        <v>1</v>
      </c>
      <c r="CA10" s="25">
        <f>IF('Lease Cycles'!$C$8&gt;0,COUNTIF('Lease Cycles'!$BG$8:$BM$8,"&lt;="&amp;CA$6),0)</f>
        <v>1</v>
      </c>
      <c r="CB10" s="25">
        <f>IF('Lease Cycles'!$C$8&gt;0,COUNTIF('Lease Cycles'!$BG$8:$BM$8,"&lt;="&amp;CB$6),0)</f>
        <v>1</v>
      </c>
      <c r="CC10" s="25">
        <f>IF('Lease Cycles'!$C$8&gt;0,COUNTIF('Lease Cycles'!$BG$8:$BM$8,"&lt;="&amp;CC$6),0)</f>
        <v>1</v>
      </c>
      <c r="CD10" s="25">
        <f>IF('Lease Cycles'!$C$8&gt;0,COUNTIF('Lease Cycles'!$BG$8:$BM$8,"&lt;="&amp;CD$6),0)</f>
        <v>1</v>
      </c>
      <c r="CE10" s="25">
        <f>IF('Lease Cycles'!$C$8&gt;0,COUNTIF('Lease Cycles'!$BG$8:$BM$8,"&lt;="&amp;CE$6),0)</f>
        <v>1</v>
      </c>
      <c r="CF10" s="25">
        <f>IF('Lease Cycles'!$C$8&gt;0,COUNTIF('Lease Cycles'!$BG$8:$BM$8,"&lt;="&amp;CF$6),0)</f>
        <v>1</v>
      </c>
      <c r="CG10" s="25">
        <f>IF('Lease Cycles'!$C$8&gt;0,COUNTIF('Lease Cycles'!$BG$8:$BM$8,"&lt;="&amp;CG$6),0)</f>
        <v>1</v>
      </c>
      <c r="CH10" s="25">
        <f>IF('Lease Cycles'!$C$8&gt;0,COUNTIF('Lease Cycles'!$BG$8:$BM$8,"&lt;="&amp;CH$6),0)</f>
        <v>1</v>
      </c>
      <c r="CI10" s="25">
        <f>IF('Lease Cycles'!$C$8&gt;0,COUNTIF('Lease Cycles'!$BG$8:$BM$8,"&lt;="&amp;CI$6),0)</f>
        <v>1</v>
      </c>
      <c r="CJ10" s="25">
        <f>IF('Lease Cycles'!$C$8&gt;0,COUNTIF('Lease Cycles'!$BG$8:$BM$8,"&lt;="&amp;CJ$6),0)</f>
        <v>1</v>
      </c>
      <c r="CK10" s="25">
        <f>IF('Lease Cycles'!$C$8&gt;0,COUNTIF('Lease Cycles'!$BG$8:$BM$8,"&lt;="&amp;CK$6),0)</f>
        <v>1</v>
      </c>
      <c r="CL10" s="25">
        <f>IF('Lease Cycles'!$C$8&gt;0,COUNTIF('Lease Cycles'!$BG$8:$BM$8,"&lt;="&amp;CL$6),0)</f>
        <v>1</v>
      </c>
      <c r="CM10" s="25">
        <f>IF('Lease Cycles'!$C$8&gt;0,COUNTIF('Lease Cycles'!$BG$8:$BM$8,"&lt;="&amp;CM$6),0)</f>
        <v>1</v>
      </c>
      <c r="CN10" s="25">
        <f>IF('Lease Cycles'!$C$8&gt;0,COUNTIF('Lease Cycles'!$BG$8:$BM$8,"&lt;="&amp;CN$6),0)</f>
        <v>1</v>
      </c>
      <c r="CO10" s="25">
        <f>IF('Lease Cycles'!$C$8&gt;0,COUNTIF('Lease Cycles'!$BG$8:$BM$8,"&lt;="&amp;CO$6),0)</f>
        <v>1</v>
      </c>
      <c r="CP10" s="25">
        <f>IF('Lease Cycles'!$C$8&gt;0,COUNTIF('Lease Cycles'!$BG$8:$BM$8,"&lt;="&amp;CP$6),0)</f>
        <v>1</v>
      </c>
      <c r="CQ10" s="25">
        <f>IF('Lease Cycles'!$C$8&gt;0,COUNTIF('Lease Cycles'!$BG$8:$BM$8,"&lt;="&amp;CQ$6),0)</f>
        <v>1</v>
      </c>
      <c r="CR10" s="25">
        <f>IF('Lease Cycles'!$C$8&gt;0,COUNTIF('Lease Cycles'!$BG$8:$BM$8,"&lt;="&amp;CR$6),0)</f>
        <v>1</v>
      </c>
      <c r="CS10" s="25">
        <f>IF('Lease Cycles'!$C$8&gt;0,COUNTIF('Lease Cycles'!$BG$8:$BM$8,"&lt;="&amp;CS$6),0)</f>
        <v>1</v>
      </c>
      <c r="CT10" s="25">
        <f>IF('Lease Cycles'!$C$8&gt;0,COUNTIF('Lease Cycles'!$BG$8:$BM$8,"&lt;="&amp;CT$6),0)</f>
        <v>1</v>
      </c>
      <c r="CU10" s="25">
        <f>IF('Lease Cycles'!$C$8&gt;0,COUNTIF('Lease Cycles'!$BG$8:$BM$8,"&lt;="&amp;CU$6),0)</f>
        <v>1</v>
      </c>
      <c r="CV10" s="25">
        <f>IF('Lease Cycles'!$C$8&gt;0,COUNTIF('Lease Cycles'!$BG$8:$BM$8,"&lt;="&amp;CV$6),0)</f>
        <v>1</v>
      </c>
      <c r="CW10" s="25">
        <f>IF('Lease Cycles'!$C$8&gt;0,COUNTIF('Lease Cycles'!$BG$8:$BM$8,"&lt;="&amp;CW$6),0)</f>
        <v>1</v>
      </c>
      <c r="CX10" s="25">
        <f>IF('Lease Cycles'!$C$8&gt;0,COUNTIF('Lease Cycles'!$BG$8:$BM$8,"&lt;="&amp;CX$6),0)</f>
        <v>1</v>
      </c>
      <c r="CY10" s="25">
        <f>IF('Lease Cycles'!$C$8&gt;0,COUNTIF('Lease Cycles'!$BG$8:$BM$8,"&lt;="&amp;CY$6),0)</f>
        <v>2</v>
      </c>
      <c r="CZ10" s="25">
        <f>IF('Lease Cycles'!$C$8&gt;0,COUNTIF('Lease Cycles'!$BG$8:$BM$8,"&lt;="&amp;CZ$6),0)</f>
        <v>2</v>
      </c>
      <c r="DA10" s="25">
        <f>IF('Lease Cycles'!$C$8&gt;0,COUNTIF('Lease Cycles'!$BG$8:$BM$8,"&lt;="&amp;DA$6),0)</f>
        <v>2</v>
      </c>
      <c r="DB10" s="25">
        <f>IF('Lease Cycles'!$C$8&gt;0,COUNTIF('Lease Cycles'!$BG$8:$BM$8,"&lt;="&amp;DB$6),0)</f>
        <v>2</v>
      </c>
      <c r="DC10" s="25">
        <f>IF('Lease Cycles'!$C$8&gt;0,COUNTIF('Lease Cycles'!$BG$8:$BM$8,"&lt;="&amp;DC$6),0)</f>
        <v>2</v>
      </c>
      <c r="DD10" s="25">
        <f>IF('Lease Cycles'!$C$8&gt;0,COUNTIF('Lease Cycles'!$BG$8:$BM$8,"&lt;="&amp;DD$6),0)</f>
        <v>2</v>
      </c>
      <c r="DE10" s="25">
        <f>IF('Lease Cycles'!$C$8&gt;0,COUNTIF('Lease Cycles'!$BG$8:$BM$8,"&lt;="&amp;DE$6),0)</f>
        <v>2</v>
      </c>
      <c r="DF10" s="25">
        <f>IF('Lease Cycles'!$C$8&gt;0,COUNTIF('Lease Cycles'!$BG$8:$BM$8,"&lt;="&amp;DF$6),0)</f>
        <v>2</v>
      </c>
      <c r="DG10" s="25">
        <f>IF('Lease Cycles'!$C$8&gt;0,COUNTIF('Lease Cycles'!$BG$8:$BM$8,"&lt;="&amp;DG$6),0)</f>
        <v>2</v>
      </c>
      <c r="DH10" s="25">
        <f>IF('Lease Cycles'!$C$8&gt;0,COUNTIF('Lease Cycles'!$BG$8:$BM$8,"&lt;="&amp;DH$6),0)</f>
        <v>2</v>
      </c>
      <c r="DI10" s="25">
        <f>IF('Lease Cycles'!$C$8&gt;0,COUNTIF('Lease Cycles'!$BG$8:$BM$8,"&lt;="&amp;DI$6),0)</f>
        <v>2</v>
      </c>
      <c r="DJ10" s="25">
        <f>IF('Lease Cycles'!$C$8&gt;0,COUNTIF('Lease Cycles'!$BG$8:$BM$8,"&lt;="&amp;DJ$6),0)</f>
        <v>2</v>
      </c>
      <c r="DK10" s="25">
        <f>IF('Lease Cycles'!$C$8&gt;0,COUNTIF('Lease Cycles'!$BG$8:$BM$8,"&lt;="&amp;DK$6),0)</f>
        <v>2</v>
      </c>
      <c r="DL10" s="25">
        <f>IF('Lease Cycles'!$C$8&gt;0,COUNTIF('Lease Cycles'!$BG$8:$BM$8,"&lt;="&amp;DL$6),0)</f>
        <v>2</v>
      </c>
      <c r="DM10" s="25">
        <f>IF('Lease Cycles'!$C$8&gt;0,COUNTIF('Lease Cycles'!$BG$8:$BM$8,"&lt;="&amp;DM$6),0)</f>
        <v>2</v>
      </c>
      <c r="DN10" s="25">
        <f>IF('Lease Cycles'!$C$8&gt;0,COUNTIF('Lease Cycles'!$BG$8:$BM$8,"&lt;="&amp;DN$6),0)</f>
        <v>2</v>
      </c>
      <c r="DO10" s="25">
        <f>IF('Lease Cycles'!$C$8&gt;0,COUNTIF('Lease Cycles'!$BG$8:$BM$8,"&lt;="&amp;DO$6),0)</f>
        <v>2</v>
      </c>
      <c r="DP10" s="25">
        <f>IF('Lease Cycles'!$C$8&gt;0,COUNTIF('Lease Cycles'!$BG$8:$BM$8,"&lt;="&amp;DP$6),0)</f>
        <v>2</v>
      </c>
      <c r="DQ10" s="25">
        <f>IF('Lease Cycles'!$C$8&gt;0,COUNTIF('Lease Cycles'!$BG$8:$BM$8,"&lt;="&amp;DQ$6),0)</f>
        <v>2</v>
      </c>
      <c r="DR10" s="25">
        <f>IF('Lease Cycles'!$C$8&gt;0,COUNTIF('Lease Cycles'!$BG$8:$BM$8,"&lt;="&amp;DR$6),0)</f>
        <v>2</v>
      </c>
      <c r="DS10" s="25">
        <f>IF('Lease Cycles'!$C$8&gt;0,COUNTIF('Lease Cycles'!$BG$8:$BM$8,"&lt;="&amp;DS$6),0)</f>
        <v>2</v>
      </c>
      <c r="DT10" s="25">
        <f>IF('Lease Cycles'!$C$8&gt;0,COUNTIF('Lease Cycles'!$BG$8:$BM$8,"&lt;="&amp;DT$6),0)</f>
        <v>2</v>
      </c>
      <c r="DU10" s="25">
        <f>IF('Lease Cycles'!$C$8&gt;0,COUNTIF('Lease Cycles'!$BG$8:$BM$8,"&lt;="&amp;DU$6),0)</f>
        <v>2</v>
      </c>
      <c r="DV10" s="25">
        <f>IF('Lease Cycles'!$C$8&gt;0,COUNTIF('Lease Cycles'!$BG$8:$BM$8,"&lt;="&amp;DV$6),0)</f>
        <v>2</v>
      </c>
      <c r="DW10" s="25">
        <f>IF('Lease Cycles'!$C$8&gt;0,COUNTIF('Lease Cycles'!$BG$8:$BM$8,"&lt;="&amp;DW$6),0)</f>
        <v>2</v>
      </c>
      <c r="DX10" s="25">
        <f>IF('Lease Cycles'!$C$8&gt;0,COUNTIF('Lease Cycles'!$BG$8:$BM$8,"&lt;="&amp;DX$6),0)</f>
        <v>2</v>
      </c>
      <c r="DY10" s="25">
        <f>IF('Lease Cycles'!$C$8&gt;0,COUNTIF('Lease Cycles'!$BG$8:$BM$8,"&lt;="&amp;DY$6),0)</f>
        <v>2</v>
      </c>
      <c r="DZ10" s="25">
        <f>IF('Lease Cycles'!$C$8&gt;0,COUNTIF('Lease Cycles'!$BG$8:$BM$8,"&lt;="&amp;DZ$6),0)</f>
        <v>2</v>
      </c>
      <c r="EA10" s="25">
        <f>IF('Lease Cycles'!$C$8&gt;0,COUNTIF('Lease Cycles'!$BG$8:$BM$8,"&lt;="&amp;EA$6),0)</f>
        <v>2</v>
      </c>
      <c r="EB10" s="25">
        <f>IF('Lease Cycles'!$C$8&gt;0,COUNTIF('Lease Cycles'!$BG$8:$BM$8,"&lt;="&amp;EB$6),0)</f>
        <v>2</v>
      </c>
      <c r="EC10" s="25">
        <f>IF('Lease Cycles'!$C$8&gt;0,COUNTIF('Lease Cycles'!$BG$8:$BM$8,"&lt;="&amp;EC$6),0)</f>
        <v>2</v>
      </c>
      <c r="ED10" s="25">
        <f>IF('Lease Cycles'!$C$8&gt;0,COUNTIF('Lease Cycles'!$BG$8:$BM$8,"&lt;="&amp;ED$6),0)</f>
        <v>2</v>
      </c>
      <c r="EE10" s="25">
        <f>IF('Lease Cycles'!$C$8&gt;0,COUNTIF('Lease Cycles'!$BG$8:$BM$8,"&lt;="&amp;EE$6),0)</f>
        <v>2</v>
      </c>
      <c r="EF10" s="25">
        <f>IF('Lease Cycles'!$C$8&gt;0,COUNTIF('Lease Cycles'!$BG$8:$BM$8,"&lt;="&amp;EF$6),0)</f>
        <v>2</v>
      </c>
      <c r="EG10" s="25">
        <f>IF('Lease Cycles'!$C$8&gt;0,COUNTIF('Lease Cycles'!$BG$8:$BM$8,"&lt;="&amp;EG$6),0)</f>
        <v>2</v>
      </c>
      <c r="EH10" s="25">
        <f>IF('Lease Cycles'!$C$8&gt;0,COUNTIF('Lease Cycles'!$BG$8:$BM$8,"&lt;="&amp;EH$6),0)</f>
        <v>2</v>
      </c>
      <c r="EI10" s="25">
        <f>IF('Lease Cycles'!$C$8&gt;0,COUNTIF('Lease Cycles'!$BG$8:$BM$8,"&lt;="&amp;EI$6),0)</f>
        <v>2</v>
      </c>
      <c r="EJ10" s="25">
        <f>IF('Lease Cycles'!$C$8&gt;0,COUNTIF('Lease Cycles'!$BG$8:$BM$8,"&lt;="&amp;EJ$6),0)</f>
        <v>2</v>
      </c>
      <c r="EK10" s="25">
        <f>IF('Lease Cycles'!$C$8&gt;0,COUNTIF('Lease Cycles'!$BG$8:$BM$8,"&lt;="&amp;EK$6),0)</f>
        <v>2</v>
      </c>
      <c r="EL10" s="25">
        <f>IF('Lease Cycles'!$C$8&gt;0,COUNTIF('Lease Cycles'!$BG$8:$BM$8,"&lt;="&amp;EL$6),0)</f>
        <v>2</v>
      </c>
      <c r="EM10" s="25">
        <f>IF('Lease Cycles'!$C$8&gt;0,COUNTIF('Lease Cycles'!$BG$8:$BM$8,"&lt;="&amp;EM$6),0)</f>
        <v>2</v>
      </c>
      <c r="EN10" s="25">
        <f>IF('Lease Cycles'!$C$8&gt;0,COUNTIF('Lease Cycles'!$BG$8:$BM$8,"&lt;="&amp;EN$6),0)</f>
        <v>2</v>
      </c>
      <c r="EO10" s="25">
        <f>IF('Lease Cycles'!$C$8&gt;0,COUNTIF('Lease Cycles'!$BG$8:$BM$8,"&lt;="&amp;EO$6),0)</f>
        <v>2</v>
      </c>
      <c r="EP10" s="25">
        <f>IF('Lease Cycles'!$C$8&gt;0,COUNTIF('Lease Cycles'!$BG$8:$BM$8,"&lt;="&amp;EP$6),0)</f>
        <v>2</v>
      </c>
      <c r="EQ10" s="25">
        <f>IF('Lease Cycles'!$C$8&gt;0,COUNTIF('Lease Cycles'!$BG$8:$BM$8,"&lt;="&amp;EQ$6),0)</f>
        <v>2</v>
      </c>
      <c r="ER10" s="25">
        <f>IF('Lease Cycles'!$C$8&gt;0,COUNTIF('Lease Cycles'!$BG$8:$BM$8,"&lt;="&amp;ER$6),0)</f>
        <v>2</v>
      </c>
      <c r="ES10" s="25">
        <f>IF('Lease Cycles'!$C$8&gt;0,COUNTIF('Lease Cycles'!$BG$8:$BM$8,"&lt;="&amp;ES$6),0)</f>
        <v>2</v>
      </c>
      <c r="ET10" s="25">
        <f>IF('Lease Cycles'!$C$8&gt;0,COUNTIF('Lease Cycles'!$BG$8:$BM$8,"&lt;="&amp;ET$6),0)</f>
        <v>2</v>
      </c>
    </row>
    <row r="11">
      <c r="A11" s="103">
        <v>1</v>
      </c>
      <c r="B11" s="23" t="str">
        <f>IF('Lease Cycles'!$B$8="","(empty slot)",'Lease Cycles'!$B$8)</f>
        <v>Fieldstone Grocery</v>
      </c>
      <c r="C11" s="23" t="s">
        <v>673</v>
      </c>
      <c r="D11" s="104" t="s">
        <v>674</v>
      </c>
      <c r="E11" s="25">
        <f>'Lease Cycles'!$AL$8</f>
        <v>1</v>
      </c>
      <c r="S11" s="25">
        <f>IF(S10=0,-1,S$6-INDEX('Lease Cycles'!$BG$8:$BM$8,1,S10))</f>
        <v>0</v>
      </c>
      <c r="T11" s="25">
        <f>IF(T10=0,-1,T$6-INDEX('Lease Cycles'!$BG$8:$BM$8,1,T10))</f>
        <v>1</v>
      </c>
      <c r="U11" s="25">
        <f>IF(U10=0,-1,U$6-INDEX('Lease Cycles'!$BG$8:$BM$8,1,U10))</f>
        <v>2</v>
      </c>
      <c r="V11" s="25">
        <f>IF(V10=0,-1,V$6-INDEX('Lease Cycles'!$BG$8:$BM$8,1,V10))</f>
        <v>3</v>
      </c>
      <c r="W11" s="25">
        <f>IF(W10=0,-1,W$6-INDEX('Lease Cycles'!$BG$8:$BM$8,1,W10))</f>
        <v>4</v>
      </c>
      <c r="X11" s="25">
        <f>IF(X10=0,-1,X$6-INDEX('Lease Cycles'!$BG$8:$BM$8,1,X10))</f>
        <v>5</v>
      </c>
      <c r="Y11" s="25">
        <f>IF(Y10=0,-1,Y$6-INDEX('Lease Cycles'!$BG$8:$BM$8,1,Y10))</f>
        <v>6</v>
      </c>
      <c r="Z11" s="25">
        <f>IF(Z10=0,-1,Z$6-INDEX('Lease Cycles'!$BG$8:$BM$8,1,Z10))</f>
        <v>7</v>
      </c>
      <c r="AA11" s="25">
        <f>IF(AA10=0,-1,AA$6-INDEX('Lease Cycles'!$BG$8:$BM$8,1,AA10))</f>
        <v>8</v>
      </c>
      <c r="AB11" s="25">
        <f>IF(AB10=0,-1,AB$6-INDEX('Lease Cycles'!$BG$8:$BM$8,1,AB10))</f>
        <v>9</v>
      </c>
      <c r="AC11" s="25">
        <f>IF(AC10=0,-1,AC$6-INDEX('Lease Cycles'!$BG$8:$BM$8,1,AC10))</f>
        <v>10</v>
      </c>
      <c r="AD11" s="25">
        <f>IF(AD10=0,-1,AD$6-INDEX('Lease Cycles'!$BG$8:$BM$8,1,AD10))</f>
        <v>11</v>
      </c>
      <c r="AE11" s="25">
        <f>IF(AE10=0,-1,AE$6-INDEX('Lease Cycles'!$BG$8:$BM$8,1,AE10))</f>
        <v>12</v>
      </c>
      <c r="AF11" s="25">
        <f>IF(AF10=0,-1,AF$6-INDEX('Lease Cycles'!$BG$8:$BM$8,1,AF10))</f>
        <v>13</v>
      </c>
      <c r="AG11" s="25">
        <f>IF(AG10=0,-1,AG$6-INDEX('Lease Cycles'!$BG$8:$BM$8,1,AG10))</f>
        <v>14</v>
      </c>
      <c r="AH11" s="25">
        <f>IF(AH10=0,-1,AH$6-INDEX('Lease Cycles'!$BG$8:$BM$8,1,AH10))</f>
        <v>15</v>
      </c>
      <c r="AI11" s="25">
        <f>IF(AI10=0,-1,AI$6-INDEX('Lease Cycles'!$BG$8:$BM$8,1,AI10))</f>
        <v>16</v>
      </c>
      <c r="AJ11" s="25">
        <f>IF(AJ10=0,-1,AJ$6-INDEX('Lease Cycles'!$BG$8:$BM$8,1,AJ10))</f>
        <v>17</v>
      </c>
      <c r="AK11" s="25">
        <f>IF(AK10=0,-1,AK$6-INDEX('Lease Cycles'!$BG$8:$BM$8,1,AK10))</f>
        <v>18</v>
      </c>
      <c r="AL11" s="25">
        <f>IF(AL10=0,-1,AL$6-INDEX('Lease Cycles'!$BG$8:$BM$8,1,AL10))</f>
        <v>19</v>
      </c>
      <c r="AM11" s="25">
        <f>IF(AM10=0,-1,AM$6-INDEX('Lease Cycles'!$BG$8:$BM$8,1,AM10))</f>
        <v>20</v>
      </c>
      <c r="AN11" s="25">
        <f>IF(AN10=0,-1,AN$6-INDEX('Lease Cycles'!$BG$8:$BM$8,1,AN10))</f>
        <v>21</v>
      </c>
      <c r="AO11" s="25">
        <f>IF(AO10=0,-1,AO$6-INDEX('Lease Cycles'!$BG$8:$BM$8,1,AO10))</f>
        <v>22</v>
      </c>
      <c r="AP11" s="25">
        <f>IF(AP10=0,-1,AP$6-INDEX('Lease Cycles'!$BG$8:$BM$8,1,AP10))</f>
        <v>23</v>
      </c>
      <c r="AQ11" s="25">
        <f>IF(AQ10=0,-1,AQ$6-INDEX('Lease Cycles'!$BG$8:$BM$8,1,AQ10))</f>
        <v>24</v>
      </c>
      <c r="AR11" s="25">
        <f>IF(AR10=0,-1,AR$6-INDEX('Lease Cycles'!$BG$8:$BM$8,1,AR10))</f>
        <v>25</v>
      </c>
      <c r="AS11" s="25">
        <f>IF(AS10=0,-1,AS$6-INDEX('Lease Cycles'!$BG$8:$BM$8,1,AS10))</f>
        <v>26</v>
      </c>
      <c r="AT11" s="25">
        <f>IF(AT10=0,-1,AT$6-INDEX('Lease Cycles'!$BG$8:$BM$8,1,AT10))</f>
        <v>27</v>
      </c>
      <c r="AU11" s="25">
        <f>IF(AU10=0,-1,AU$6-INDEX('Lease Cycles'!$BG$8:$BM$8,1,AU10))</f>
        <v>28</v>
      </c>
      <c r="AV11" s="25">
        <f>IF(AV10=0,-1,AV$6-INDEX('Lease Cycles'!$BG$8:$BM$8,1,AV10))</f>
        <v>29</v>
      </c>
      <c r="AW11" s="25">
        <f>IF(AW10=0,-1,AW$6-INDEX('Lease Cycles'!$BG$8:$BM$8,1,AW10))</f>
        <v>30</v>
      </c>
      <c r="AX11" s="25">
        <f>IF(AX10=0,-1,AX$6-INDEX('Lease Cycles'!$BG$8:$BM$8,1,AX10))</f>
        <v>31</v>
      </c>
      <c r="AY11" s="25">
        <f>IF(AY10=0,-1,AY$6-INDEX('Lease Cycles'!$BG$8:$BM$8,1,AY10))</f>
        <v>32</v>
      </c>
      <c r="AZ11" s="25">
        <f>IF(AZ10=0,-1,AZ$6-INDEX('Lease Cycles'!$BG$8:$BM$8,1,AZ10))</f>
        <v>33</v>
      </c>
      <c r="BA11" s="25">
        <f>IF(BA10=0,-1,BA$6-INDEX('Lease Cycles'!$BG$8:$BM$8,1,BA10))</f>
        <v>34</v>
      </c>
      <c r="BB11" s="25">
        <f>IF(BB10=0,-1,BB$6-INDEX('Lease Cycles'!$BG$8:$BM$8,1,BB10))</f>
        <v>35</v>
      </c>
      <c r="BC11" s="25">
        <f>IF(BC10=0,-1,BC$6-INDEX('Lease Cycles'!$BG$8:$BM$8,1,BC10))</f>
        <v>36</v>
      </c>
      <c r="BD11" s="25">
        <f>IF(BD10=0,-1,BD$6-INDEX('Lease Cycles'!$BG$8:$BM$8,1,BD10))</f>
        <v>37</v>
      </c>
      <c r="BE11" s="25">
        <f>IF(BE10=0,-1,BE$6-INDEX('Lease Cycles'!$BG$8:$BM$8,1,BE10))</f>
        <v>38</v>
      </c>
      <c r="BF11" s="25">
        <f>IF(BF10=0,-1,BF$6-INDEX('Lease Cycles'!$BG$8:$BM$8,1,BF10))</f>
        <v>39</v>
      </c>
      <c r="BG11" s="25">
        <f>IF(BG10=0,-1,BG$6-INDEX('Lease Cycles'!$BG$8:$BM$8,1,BG10))</f>
        <v>40</v>
      </c>
      <c r="BH11" s="25">
        <f>IF(BH10=0,-1,BH$6-INDEX('Lease Cycles'!$BG$8:$BM$8,1,BH10))</f>
        <v>41</v>
      </c>
      <c r="BI11" s="25">
        <f>IF(BI10=0,-1,BI$6-INDEX('Lease Cycles'!$BG$8:$BM$8,1,BI10))</f>
        <v>42</v>
      </c>
      <c r="BJ11" s="25">
        <f>IF(BJ10=0,-1,BJ$6-INDEX('Lease Cycles'!$BG$8:$BM$8,1,BJ10))</f>
        <v>43</v>
      </c>
      <c r="BK11" s="25">
        <f>IF(BK10=0,-1,BK$6-INDEX('Lease Cycles'!$BG$8:$BM$8,1,BK10))</f>
        <v>44</v>
      </c>
      <c r="BL11" s="25">
        <f>IF(BL10=0,-1,BL$6-INDEX('Lease Cycles'!$BG$8:$BM$8,1,BL10))</f>
        <v>45</v>
      </c>
      <c r="BM11" s="25">
        <f>IF(BM10=0,-1,BM$6-INDEX('Lease Cycles'!$BG$8:$BM$8,1,BM10))</f>
        <v>46</v>
      </c>
      <c r="BN11" s="25">
        <f>IF(BN10=0,-1,BN$6-INDEX('Lease Cycles'!$BG$8:$BM$8,1,BN10))</f>
        <v>47</v>
      </c>
      <c r="BO11" s="25">
        <f>IF(BO10=0,-1,BO$6-INDEX('Lease Cycles'!$BG$8:$BM$8,1,BO10))</f>
        <v>48</v>
      </c>
      <c r="BP11" s="25">
        <f>IF(BP10=0,-1,BP$6-INDEX('Lease Cycles'!$BG$8:$BM$8,1,BP10))</f>
        <v>49</v>
      </c>
      <c r="BQ11" s="25">
        <f>IF(BQ10=0,-1,BQ$6-INDEX('Lease Cycles'!$BG$8:$BM$8,1,BQ10))</f>
        <v>50</v>
      </c>
      <c r="BR11" s="25">
        <f>IF(BR10=0,-1,BR$6-INDEX('Lease Cycles'!$BG$8:$BM$8,1,BR10))</f>
        <v>51</v>
      </c>
      <c r="BS11" s="25">
        <f>IF(BS10=0,-1,BS$6-INDEX('Lease Cycles'!$BG$8:$BM$8,1,BS10))</f>
        <v>52</v>
      </c>
      <c r="BT11" s="25">
        <f>IF(BT10=0,-1,BT$6-INDEX('Lease Cycles'!$BG$8:$BM$8,1,BT10))</f>
        <v>53</v>
      </c>
      <c r="BU11" s="25">
        <f>IF(BU10=0,-1,BU$6-INDEX('Lease Cycles'!$BG$8:$BM$8,1,BU10))</f>
        <v>54</v>
      </c>
      <c r="BV11" s="25">
        <f>IF(BV10=0,-1,BV$6-INDEX('Lease Cycles'!$BG$8:$BM$8,1,BV10))</f>
        <v>55</v>
      </c>
      <c r="BW11" s="25">
        <f>IF(BW10=0,-1,BW$6-INDEX('Lease Cycles'!$BG$8:$BM$8,1,BW10))</f>
        <v>56</v>
      </c>
      <c r="BX11" s="25">
        <f>IF(BX10=0,-1,BX$6-INDEX('Lease Cycles'!$BG$8:$BM$8,1,BX10))</f>
        <v>57</v>
      </c>
      <c r="BY11" s="25">
        <f>IF(BY10=0,-1,BY$6-INDEX('Lease Cycles'!$BG$8:$BM$8,1,BY10))</f>
        <v>58</v>
      </c>
      <c r="BZ11" s="25">
        <f>IF(BZ10=0,-1,BZ$6-INDEX('Lease Cycles'!$BG$8:$BM$8,1,BZ10))</f>
        <v>59</v>
      </c>
      <c r="CA11" s="25">
        <f>IF(CA10=0,-1,CA$6-INDEX('Lease Cycles'!$BG$8:$BM$8,1,CA10))</f>
        <v>60</v>
      </c>
      <c r="CB11" s="25">
        <f>IF(CB10=0,-1,CB$6-INDEX('Lease Cycles'!$BG$8:$BM$8,1,CB10))</f>
        <v>61</v>
      </c>
      <c r="CC11" s="25">
        <f>IF(CC10=0,-1,CC$6-INDEX('Lease Cycles'!$BG$8:$BM$8,1,CC10))</f>
        <v>62</v>
      </c>
      <c r="CD11" s="25">
        <f>IF(CD10=0,-1,CD$6-INDEX('Lease Cycles'!$BG$8:$BM$8,1,CD10))</f>
        <v>63</v>
      </c>
      <c r="CE11" s="25">
        <f>IF(CE10=0,-1,CE$6-INDEX('Lease Cycles'!$BG$8:$BM$8,1,CE10))</f>
        <v>64</v>
      </c>
      <c r="CF11" s="25">
        <f>IF(CF10=0,-1,CF$6-INDEX('Lease Cycles'!$BG$8:$BM$8,1,CF10))</f>
        <v>65</v>
      </c>
      <c r="CG11" s="25">
        <f>IF(CG10=0,-1,CG$6-INDEX('Lease Cycles'!$BG$8:$BM$8,1,CG10))</f>
        <v>66</v>
      </c>
      <c r="CH11" s="25">
        <f>IF(CH10=0,-1,CH$6-INDEX('Lease Cycles'!$BG$8:$BM$8,1,CH10))</f>
        <v>67</v>
      </c>
      <c r="CI11" s="25">
        <f>IF(CI10=0,-1,CI$6-INDEX('Lease Cycles'!$BG$8:$BM$8,1,CI10))</f>
        <v>68</v>
      </c>
      <c r="CJ11" s="25">
        <f>IF(CJ10=0,-1,CJ$6-INDEX('Lease Cycles'!$BG$8:$BM$8,1,CJ10))</f>
        <v>69</v>
      </c>
      <c r="CK11" s="25">
        <f>IF(CK10=0,-1,CK$6-INDEX('Lease Cycles'!$BG$8:$BM$8,1,CK10))</f>
        <v>70</v>
      </c>
      <c r="CL11" s="25">
        <f>IF(CL10=0,-1,CL$6-INDEX('Lease Cycles'!$BG$8:$BM$8,1,CL10))</f>
        <v>71</v>
      </c>
      <c r="CM11" s="25">
        <f>IF(CM10=0,-1,CM$6-INDEX('Lease Cycles'!$BG$8:$BM$8,1,CM10))</f>
        <v>72</v>
      </c>
      <c r="CN11" s="25">
        <f>IF(CN10=0,-1,CN$6-INDEX('Lease Cycles'!$BG$8:$BM$8,1,CN10))</f>
        <v>73</v>
      </c>
      <c r="CO11" s="25">
        <f>IF(CO10=0,-1,CO$6-INDEX('Lease Cycles'!$BG$8:$BM$8,1,CO10))</f>
        <v>74</v>
      </c>
      <c r="CP11" s="25">
        <f>IF(CP10=0,-1,CP$6-INDEX('Lease Cycles'!$BG$8:$BM$8,1,CP10))</f>
        <v>75</v>
      </c>
      <c r="CQ11" s="25">
        <f>IF(CQ10=0,-1,CQ$6-INDEX('Lease Cycles'!$BG$8:$BM$8,1,CQ10))</f>
        <v>76</v>
      </c>
      <c r="CR11" s="25">
        <f>IF(CR10=0,-1,CR$6-INDEX('Lease Cycles'!$BG$8:$BM$8,1,CR10))</f>
        <v>77</v>
      </c>
      <c r="CS11" s="25">
        <f>IF(CS10=0,-1,CS$6-INDEX('Lease Cycles'!$BG$8:$BM$8,1,CS10))</f>
        <v>78</v>
      </c>
      <c r="CT11" s="25">
        <f>IF(CT10=0,-1,CT$6-INDEX('Lease Cycles'!$BG$8:$BM$8,1,CT10))</f>
        <v>79</v>
      </c>
      <c r="CU11" s="25">
        <f>IF(CU10=0,-1,CU$6-INDEX('Lease Cycles'!$BG$8:$BM$8,1,CU10))</f>
        <v>80</v>
      </c>
      <c r="CV11" s="25">
        <f>IF(CV10=0,-1,CV$6-INDEX('Lease Cycles'!$BG$8:$BM$8,1,CV10))</f>
        <v>81</v>
      </c>
      <c r="CW11" s="25">
        <f>IF(CW10=0,-1,CW$6-INDEX('Lease Cycles'!$BG$8:$BM$8,1,CW10))</f>
        <v>82</v>
      </c>
      <c r="CX11" s="25">
        <f>IF(CX10=0,-1,CX$6-INDEX('Lease Cycles'!$BG$8:$BM$8,1,CX10))</f>
        <v>83</v>
      </c>
      <c r="CY11" s="25">
        <f>IF(CY10=0,-1,CY$6-INDEX('Lease Cycles'!$BG$8:$BM$8,1,CY10))</f>
        <v>0</v>
      </c>
      <c r="CZ11" s="25">
        <f>IF(CZ10=0,-1,CZ$6-INDEX('Lease Cycles'!$BG$8:$BM$8,1,CZ10))</f>
        <v>1</v>
      </c>
      <c r="DA11" s="25">
        <f>IF(DA10=0,-1,DA$6-INDEX('Lease Cycles'!$BG$8:$BM$8,1,DA10))</f>
        <v>2</v>
      </c>
      <c r="DB11" s="25">
        <f>IF(DB10=0,-1,DB$6-INDEX('Lease Cycles'!$BG$8:$BM$8,1,DB10))</f>
        <v>3</v>
      </c>
      <c r="DC11" s="25">
        <f>IF(DC10=0,-1,DC$6-INDEX('Lease Cycles'!$BG$8:$BM$8,1,DC10))</f>
        <v>4</v>
      </c>
      <c r="DD11" s="25">
        <f>IF(DD10=0,-1,DD$6-INDEX('Lease Cycles'!$BG$8:$BM$8,1,DD10))</f>
        <v>5</v>
      </c>
      <c r="DE11" s="25">
        <f>IF(DE10=0,-1,DE$6-INDEX('Lease Cycles'!$BG$8:$BM$8,1,DE10))</f>
        <v>6</v>
      </c>
      <c r="DF11" s="25">
        <f>IF(DF10=0,-1,DF$6-INDEX('Lease Cycles'!$BG$8:$BM$8,1,DF10))</f>
        <v>7</v>
      </c>
      <c r="DG11" s="25">
        <f>IF(DG10=0,-1,DG$6-INDEX('Lease Cycles'!$BG$8:$BM$8,1,DG10))</f>
        <v>8</v>
      </c>
      <c r="DH11" s="25">
        <f>IF(DH10=0,-1,DH$6-INDEX('Lease Cycles'!$BG$8:$BM$8,1,DH10))</f>
        <v>9</v>
      </c>
      <c r="DI11" s="25">
        <f>IF(DI10=0,-1,DI$6-INDEX('Lease Cycles'!$BG$8:$BM$8,1,DI10))</f>
        <v>10</v>
      </c>
      <c r="DJ11" s="25">
        <f>IF(DJ10=0,-1,DJ$6-INDEX('Lease Cycles'!$BG$8:$BM$8,1,DJ10))</f>
        <v>11</v>
      </c>
      <c r="DK11" s="25">
        <f>IF(DK10=0,-1,DK$6-INDEX('Lease Cycles'!$BG$8:$BM$8,1,DK10))</f>
        <v>12</v>
      </c>
      <c r="DL11" s="25">
        <f>IF(DL10=0,-1,DL$6-INDEX('Lease Cycles'!$BG$8:$BM$8,1,DL10))</f>
        <v>13</v>
      </c>
      <c r="DM11" s="25">
        <f>IF(DM10=0,-1,DM$6-INDEX('Lease Cycles'!$BG$8:$BM$8,1,DM10))</f>
        <v>14</v>
      </c>
      <c r="DN11" s="25">
        <f>IF(DN10=0,-1,DN$6-INDEX('Lease Cycles'!$BG$8:$BM$8,1,DN10))</f>
        <v>15</v>
      </c>
      <c r="DO11" s="25">
        <f>IF(DO10=0,-1,DO$6-INDEX('Lease Cycles'!$BG$8:$BM$8,1,DO10))</f>
        <v>16</v>
      </c>
      <c r="DP11" s="25">
        <f>IF(DP10=0,-1,DP$6-INDEX('Lease Cycles'!$BG$8:$BM$8,1,DP10))</f>
        <v>17</v>
      </c>
      <c r="DQ11" s="25">
        <f>IF(DQ10=0,-1,DQ$6-INDEX('Lease Cycles'!$BG$8:$BM$8,1,DQ10))</f>
        <v>18</v>
      </c>
      <c r="DR11" s="25">
        <f>IF(DR10=0,-1,DR$6-INDEX('Lease Cycles'!$BG$8:$BM$8,1,DR10))</f>
        <v>19</v>
      </c>
      <c r="DS11" s="25">
        <f>IF(DS10=0,-1,DS$6-INDEX('Lease Cycles'!$BG$8:$BM$8,1,DS10))</f>
        <v>20</v>
      </c>
      <c r="DT11" s="25">
        <f>IF(DT10=0,-1,DT$6-INDEX('Lease Cycles'!$BG$8:$BM$8,1,DT10))</f>
        <v>21</v>
      </c>
      <c r="DU11" s="25">
        <f>IF(DU10=0,-1,DU$6-INDEX('Lease Cycles'!$BG$8:$BM$8,1,DU10))</f>
        <v>22</v>
      </c>
      <c r="DV11" s="25">
        <f>IF(DV10=0,-1,DV$6-INDEX('Lease Cycles'!$BG$8:$BM$8,1,DV10))</f>
        <v>23</v>
      </c>
      <c r="DW11" s="25">
        <f>IF(DW10=0,-1,DW$6-INDEX('Lease Cycles'!$BG$8:$BM$8,1,DW10))</f>
        <v>24</v>
      </c>
      <c r="DX11" s="25">
        <f>IF(DX10=0,-1,DX$6-INDEX('Lease Cycles'!$BG$8:$BM$8,1,DX10))</f>
        <v>25</v>
      </c>
      <c r="DY11" s="25">
        <f>IF(DY10=0,-1,DY$6-INDEX('Lease Cycles'!$BG$8:$BM$8,1,DY10))</f>
        <v>26</v>
      </c>
      <c r="DZ11" s="25">
        <f>IF(DZ10=0,-1,DZ$6-INDEX('Lease Cycles'!$BG$8:$BM$8,1,DZ10))</f>
        <v>27</v>
      </c>
      <c r="EA11" s="25">
        <f>IF(EA10=0,-1,EA$6-INDEX('Lease Cycles'!$BG$8:$BM$8,1,EA10))</f>
        <v>28</v>
      </c>
      <c r="EB11" s="25">
        <f>IF(EB10=0,-1,EB$6-INDEX('Lease Cycles'!$BG$8:$BM$8,1,EB10))</f>
        <v>29</v>
      </c>
      <c r="EC11" s="25">
        <f>IF(EC10=0,-1,EC$6-INDEX('Lease Cycles'!$BG$8:$BM$8,1,EC10))</f>
        <v>30</v>
      </c>
      <c r="ED11" s="25">
        <f>IF(ED10=0,-1,ED$6-INDEX('Lease Cycles'!$BG$8:$BM$8,1,ED10))</f>
        <v>31</v>
      </c>
      <c r="EE11" s="25">
        <f>IF(EE10=0,-1,EE$6-INDEX('Lease Cycles'!$BG$8:$BM$8,1,EE10))</f>
        <v>32</v>
      </c>
      <c r="EF11" s="25">
        <f>IF(EF10=0,-1,EF$6-INDEX('Lease Cycles'!$BG$8:$BM$8,1,EF10))</f>
        <v>33</v>
      </c>
      <c r="EG11" s="25">
        <f>IF(EG10=0,-1,EG$6-INDEX('Lease Cycles'!$BG$8:$BM$8,1,EG10))</f>
        <v>34</v>
      </c>
      <c r="EH11" s="25">
        <f>IF(EH10=0,-1,EH$6-INDEX('Lease Cycles'!$BG$8:$BM$8,1,EH10))</f>
        <v>35</v>
      </c>
      <c r="EI11" s="25">
        <f>IF(EI10=0,-1,EI$6-INDEX('Lease Cycles'!$BG$8:$BM$8,1,EI10))</f>
        <v>36</v>
      </c>
      <c r="EJ11" s="25">
        <f>IF(EJ10=0,-1,EJ$6-INDEX('Lease Cycles'!$BG$8:$BM$8,1,EJ10))</f>
        <v>37</v>
      </c>
      <c r="EK11" s="25">
        <f>IF(EK10=0,-1,EK$6-INDEX('Lease Cycles'!$BG$8:$BM$8,1,EK10))</f>
        <v>38</v>
      </c>
      <c r="EL11" s="25">
        <f>IF(EL10=0,-1,EL$6-INDEX('Lease Cycles'!$BG$8:$BM$8,1,EL10))</f>
        <v>39</v>
      </c>
      <c r="EM11" s="25">
        <f>IF(EM10=0,-1,EM$6-INDEX('Lease Cycles'!$BG$8:$BM$8,1,EM10))</f>
        <v>40</v>
      </c>
      <c r="EN11" s="25">
        <f>IF(EN10=0,-1,EN$6-INDEX('Lease Cycles'!$BG$8:$BM$8,1,EN10))</f>
        <v>41</v>
      </c>
      <c r="EO11" s="25">
        <f>IF(EO10=0,-1,EO$6-INDEX('Lease Cycles'!$BG$8:$BM$8,1,EO10))</f>
        <v>42</v>
      </c>
      <c r="EP11" s="25">
        <f>IF(EP10=0,-1,EP$6-INDEX('Lease Cycles'!$BG$8:$BM$8,1,EP10))</f>
        <v>43</v>
      </c>
      <c r="EQ11" s="25">
        <f>IF(EQ10=0,-1,EQ$6-INDEX('Lease Cycles'!$BG$8:$BM$8,1,EQ10))</f>
        <v>44</v>
      </c>
      <c r="ER11" s="25">
        <f>IF(ER10=0,-1,ER$6-INDEX('Lease Cycles'!$BG$8:$BM$8,1,ER10))</f>
        <v>45</v>
      </c>
      <c r="ES11" s="25">
        <f>IF(ES10=0,-1,ES$6-INDEX('Lease Cycles'!$BG$8:$BM$8,1,ES10))</f>
        <v>46</v>
      </c>
      <c r="ET11" s="25">
        <f>IF(ET10=0,-1,ET$6-INDEX('Lease Cycles'!$BG$8:$BM$8,1,ET10))</f>
        <v>47</v>
      </c>
    </row>
    <row r="12">
      <c r="A12" s="103">
        <v>1</v>
      </c>
      <c r="B12" s="23" t="str">
        <f>IF('Lease Cycles'!$B$8="","(empty slot)",'Lease Cycles'!$B$8)</f>
        <v>Fieldstone Grocery</v>
      </c>
      <c r="C12" s="23" t="s">
        <v>675</v>
      </c>
      <c r="D12" s="104" t="s">
        <v>676</v>
      </c>
      <c r="E12" s="25">
        <f>'Lease Cycles'!$AL$8</f>
        <v>1</v>
      </c>
      <c r="S12" s="25">
        <f>IF(S10=0,0,IF(S11&lt;INDEX('Lease Cycles'!$BN$8:$BT$8,1,S10),1,0))</f>
        <v>1</v>
      </c>
      <c r="T12" s="25">
        <f>IF(T10=0,0,IF(T11&lt;INDEX('Lease Cycles'!$BN$8:$BT$8,1,T10),1,0))</f>
        <v>1</v>
      </c>
      <c r="U12" s="25">
        <f>IF(U10=0,0,IF(U11&lt;INDEX('Lease Cycles'!$BN$8:$BT$8,1,U10),1,0))</f>
        <v>1</v>
      </c>
      <c r="V12" s="25">
        <f>IF(V10=0,0,IF(V11&lt;INDEX('Lease Cycles'!$BN$8:$BT$8,1,V10),1,0))</f>
        <v>1</v>
      </c>
      <c r="W12" s="25">
        <f>IF(W10=0,0,IF(W11&lt;INDEX('Lease Cycles'!$BN$8:$BT$8,1,W10),1,0))</f>
        <v>1</v>
      </c>
      <c r="X12" s="25">
        <f>IF(X10=0,0,IF(X11&lt;INDEX('Lease Cycles'!$BN$8:$BT$8,1,X10),1,0))</f>
        <v>1</v>
      </c>
      <c r="Y12" s="25">
        <f>IF(Y10=0,0,IF(Y11&lt;INDEX('Lease Cycles'!$BN$8:$BT$8,1,Y10),1,0))</f>
        <v>1</v>
      </c>
      <c r="Z12" s="25">
        <f>IF(Z10=0,0,IF(Z11&lt;INDEX('Lease Cycles'!$BN$8:$BT$8,1,Z10),1,0))</f>
        <v>1</v>
      </c>
      <c r="AA12" s="25">
        <f>IF(AA10=0,0,IF(AA11&lt;INDEX('Lease Cycles'!$BN$8:$BT$8,1,AA10),1,0))</f>
        <v>1</v>
      </c>
      <c r="AB12" s="25">
        <f>IF(AB10=0,0,IF(AB11&lt;INDEX('Lease Cycles'!$BN$8:$BT$8,1,AB10),1,0))</f>
        <v>1</v>
      </c>
      <c r="AC12" s="25">
        <f>IF(AC10=0,0,IF(AC11&lt;INDEX('Lease Cycles'!$BN$8:$BT$8,1,AC10),1,0))</f>
        <v>1</v>
      </c>
      <c r="AD12" s="25">
        <f>IF(AD10=0,0,IF(AD11&lt;INDEX('Lease Cycles'!$BN$8:$BT$8,1,AD10),1,0))</f>
        <v>1</v>
      </c>
      <c r="AE12" s="25">
        <f>IF(AE10=0,0,IF(AE11&lt;INDEX('Lease Cycles'!$BN$8:$BT$8,1,AE10),1,0))</f>
        <v>1</v>
      </c>
      <c r="AF12" s="25">
        <f>IF(AF10=0,0,IF(AF11&lt;INDEX('Lease Cycles'!$BN$8:$BT$8,1,AF10),1,0))</f>
        <v>1</v>
      </c>
      <c r="AG12" s="25">
        <f>IF(AG10=0,0,IF(AG11&lt;INDEX('Lease Cycles'!$BN$8:$BT$8,1,AG10),1,0))</f>
        <v>1</v>
      </c>
      <c r="AH12" s="25">
        <f>IF(AH10=0,0,IF(AH11&lt;INDEX('Lease Cycles'!$BN$8:$BT$8,1,AH10),1,0))</f>
        <v>1</v>
      </c>
      <c r="AI12" s="25">
        <f>IF(AI10=0,0,IF(AI11&lt;INDEX('Lease Cycles'!$BN$8:$BT$8,1,AI10),1,0))</f>
        <v>1</v>
      </c>
      <c r="AJ12" s="25">
        <f>IF(AJ10=0,0,IF(AJ11&lt;INDEX('Lease Cycles'!$BN$8:$BT$8,1,AJ10),1,0))</f>
        <v>1</v>
      </c>
      <c r="AK12" s="25">
        <f>IF(AK10=0,0,IF(AK11&lt;INDEX('Lease Cycles'!$BN$8:$BT$8,1,AK10),1,0))</f>
        <v>1</v>
      </c>
      <c r="AL12" s="25">
        <f>IF(AL10=0,0,IF(AL11&lt;INDEX('Lease Cycles'!$BN$8:$BT$8,1,AL10),1,0))</f>
        <v>1</v>
      </c>
      <c r="AM12" s="25">
        <f>IF(AM10=0,0,IF(AM11&lt;INDEX('Lease Cycles'!$BN$8:$BT$8,1,AM10),1,0))</f>
        <v>1</v>
      </c>
      <c r="AN12" s="25">
        <f>IF(AN10=0,0,IF(AN11&lt;INDEX('Lease Cycles'!$BN$8:$BT$8,1,AN10),1,0))</f>
        <v>1</v>
      </c>
      <c r="AO12" s="25">
        <f>IF(AO10=0,0,IF(AO11&lt;INDEX('Lease Cycles'!$BN$8:$BT$8,1,AO10),1,0))</f>
        <v>1</v>
      </c>
      <c r="AP12" s="25">
        <f>IF(AP10=0,0,IF(AP11&lt;INDEX('Lease Cycles'!$BN$8:$BT$8,1,AP10),1,0))</f>
        <v>1</v>
      </c>
      <c r="AQ12" s="25">
        <f>IF(AQ10=0,0,IF(AQ11&lt;INDEX('Lease Cycles'!$BN$8:$BT$8,1,AQ10),1,0))</f>
        <v>1</v>
      </c>
      <c r="AR12" s="25">
        <f>IF(AR10=0,0,IF(AR11&lt;INDEX('Lease Cycles'!$BN$8:$BT$8,1,AR10),1,0))</f>
        <v>1</v>
      </c>
      <c r="AS12" s="25">
        <f>IF(AS10=0,0,IF(AS11&lt;INDEX('Lease Cycles'!$BN$8:$BT$8,1,AS10),1,0))</f>
        <v>1</v>
      </c>
      <c r="AT12" s="25">
        <f>IF(AT10=0,0,IF(AT11&lt;INDEX('Lease Cycles'!$BN$8:$BT$8,1,AT10),1,0))</f>
        <v>1</v>
      </c>
      <c r="AU12" s="25">
        <f>IF(AU10=0,0,IF(AU11&lt;INDEX('Lease Cycles'!$BN$8:$BT$8,1,AU10),1,0))</f>
        <v>1</v>
      </c>
      <c r="AV12" s="25">
        <f>IF(AV10=0,0,IF(AV11&lt;INDEX('Lease Cycles'!$BN$8:$BT$8,1,AV10),1,0))</f>
        <v>1</v>
      </c>
      <c r="AW12" s="25">
        <f>IF(AW10=0,0,IF(AW11&lt;INDEX('Lease Cycles'!$BN$8:$BT$8,1,AW10),1,0))</f>
        <v>1</v>
      </c>
      <c r="AX12" s="25">
        <f>IF(AX10=0,0,IF(AX11&lt;INDEX('Lease Cycles'!$BN$8:$BT$8,1,AX10),1,0))</f>
        <v>1</v>
      </c>
      <c r="AY12" s="25">
        <f>IF(AY10=0,0,IF(AY11&lt;INDEX('Lease Cycles'!$BN$8:$BT$8,1,AY10),1,0))</f>
        <v>1</v>
      </c>
      <c r="AZ12" s="25">
        <f>IF(AZ10=0,0,IF(AZ11&lt;INDEX('Lease Cycles'!$BN$8:$BT$8,1,AZ10),1,0))</f>
        <v>1</v>
      </c>
      <c r="BA12" s="25">
        <f>IF(BA10=0,0,IF(BA11&lt;INDEX('Lease Cycles'!$BN$8:$BT$8,1,BA10),1,0))</f>
        <v>1</v>
      </c>
      <c r="BB12" s="25">
        <f>IF(BB10=0,0,IF(BB11&lt;INDEX('Lease Cycles'!$BN$8:$BT$8,1,BB10),1,0))</f>
        <v>1</v>
      </c>
      <c r="BC12" s="25">
        <f>IF(BC10=0,0,IF(BC11&lt;INDEX('Lease Cycles'!$BN$8:$BT$8,1,BC10),1,0))</f>
        <v>1</v>
      </c>
      <c r="BD12" s="25">
        <f>IF(BD10=0,0,IF(BD11&lt;INDEX('Lease Cycles'!$BN$8:$BT$8,1,BD10),1,0))</f>
        <v>1</v>
      </c>
      <c r="BE12" s="25">
        <f>IF(BE10=0,0,IF(BE11&lt;INDEX('Lease Cycles'!$BN$8:$BT$8,1,BE10),1,0))</f>
        <v>1</v>
      </c>
      <c r="BF12" s="25">
        <f>IF(BF10=0,0,IF(BF11&lt;INDEX('Lease Cycles'!$BN$8:$BT$8,1,BF10),1,0))</f>
        <v>1</v>
      </c>
      <c r="BG12" s="25">
        <f>IF(BG10=0,0,IF(BG11&lt;INDEX('Lease Cycles'!$BN$8:$BT$8,1,BG10),1,0))</f>
        <v>1</v>
      </c>
      <c r="BH12" s="25">
        <f>IF(BH10=0,0,IF(BH11&lt;INDEX('Lease Cycles'!$BN$8:$BT$8,1,BH10),1,0))</f>
        <v>1</v>
      </c>
      <c r="BI12" s="25">
        <f>IF(BI10=0,0,IF(BI11&lt;INDEX('Lease Cycles'!$BN$8:$BT$8,1,BI10),1,0))</f>
        <v>1</v>
      </c>
      <c r="BJ12" s="25">
        <f>IF(BJ10=0,0,IF(BJ11&lt;INDEX('Lease Cycles'!$BN$8:$BT$8,1,BJ10),1,0))</f>
        <v>1</v>
      </c>
      <c r="BK12" s="25">
        <f>IF(BK10=0,0,IF(BK11&lt;INDEX('Lease Cycles'!$BN$8:$BT$8,1,BK10),1,0))</f>
        <v>1</v>
      </c>
      <c r="BL12" s="25">
        <f>IF(BL10=0,0,IF(BL11&lt;INDEX('Lease Cycles'!$BN$8:$BT$8,1,BL10),1,0))</f>
        <v>1</v>
      </c>
      <c r="BM12" s="25">
        <f>IF(BM10=0,0,IF(BM11&lt;INDEX('Lease Cycles'!$BN$8:$BT$8,1,BM10),1,0))</f>
        <v>1</v>
      </c>
      <c r="BN12" s="25">
        <f>IF(BN10=0,0,IF(BN11&lt;INDEX('Lease Cycles'!$BN$8:$BT$8,1,BN10),1,0))</f>
        <v>1</v>
      </c>
      <c r="BO12" s="25">
        <f>IF(BO10=0,0,IF(BO11&lt;INDEX('Lease Cycles'!$BN$8:$BT$8,1,BO10),1,0))</f>
        <v>1</v>
      </c>
      <c r="BP12" s="25">
        <f>IF(BP10=0,0,IF(BP11&lt;INDEX('Lease Cycles'!$BN$8:$BT$8,1,BP10),1,0))</f>
        <v>1</v>
      </c>
      <c r="BQ12" s="25">
        <f>IF(BQ10=0,0,IF(BQ11&lt;INDEX('Lease Cycles'!$BN$8:$BT$8,1,BQ10),1,0))</f>
        <v>1</v>
      </c>
      <c r="BR12" s="25">
        <f>IF(BR10=0,0,IF(BR11&lt;INDEX('Lease Cycles'!$BN$8:$BT$8,1,BR10),1,0))</f>
        <v>1</v>
      </c>
      <c r="BS12" s="25">
        <f>IF(BS10=0,0,IF(BS11&lt;INDEX('Lease Cycles'!$BN$8:$BT$8,1,BS10),1,0))</f>
        <v>1</v>
      </c>
      <c r="BT12" s="25">
        <f>IF(BT10=0,0,IF(BT11&lt;INDEX('Lease Cycles'!$BN$8:$BT$8,1,BT10),1,0))</f>
        <v>1</v>
      </c>
      <c r="BU12" s="25">
        <f>IF(BU10=0,0,IF(BU11&lt;INDEX('Lease Cycles'!$BN$8:$BT$8,1,BU10),1,0))</f>
        <v>1</v>
      </c>
      <c r="BV12" s="25">
        <f>IF(BV10=0,0,IF(BV11&lt;INDEX('Lease Cycles'!$BN$8:$BT$8,1,BV10),1,0))</f>
        <v>1</v>
      </c>
      <c r="BW12" s="25">
        <f>IF(BW10=0,0,IF(BW11&lt;INDEX('Lease Cycles'!$BN$8:$BT$8,1,BW10),1,0))</f>
        <v>1</v>
      </c>
      <c r="BX12" s="25">
        <f>IF(BX10=0,0,IF(BX11&lt;INDEX('Lease Cycles'!$BN$8:$BT$8,1,BX10),1,0))</f>
        <v>1</v>
      </c>
      <c r="BY12" s="25">
        <f>IF(BY10=0,0,IF(BY11&lt;INDEX('Lease Cycles'!$BN$8:$BT$8,1,BY10),1,0))</f>
        <v>1</v>
      </c>
      <c r="BZ12" s="25">
        <f>IF(BZ10=0,0,IF(BZ11&lt;INDEX('Lease Cycles'!$BN$8:$BT$8,1,BZ10),1,0))</f>
        <v>1</v>
      </c>
      <c r="CA12" s="25">
        <f>IF(CA10=0,0,IF(CA11&lt;INDEX('Lease Cycles'!$BN$8:$BT$8,1,CA10),1,0))</f>
        <v>1</v>
      </c>
      <c r="CB12" s="25">
        <f>IF(CB10=0,0,IF(CB11&lt;INDEX('Lease Cycles'!$BN$8:$BT$8,1,CB10),1,0))</f>
        <v>1</v>
      </c>
      <c r="CC12" s="25">
        <f>IF(CC10=0,0,IF(CC11&lt;INDEX('Lease Cycles'!$BN$8:$BT$8,1,CC10),1,0))</f>
        <v>1</v>
      </c>
      <c r="CD12" s="25">
        <f>IF(CD10=0,0,IF(CD11&lt;INDEX('Lease Cycles'!$BN$8:$BT$8,1,CD10),1,0))</f>
        <v>1</v>
      </c>
      <c r="CE12" s="25">
        <f>IF(CE10=0,0,IF(CE11&lt;INDEX('Lease Cycles'!$BN$8:$BT$8,1,CE10),1,0))</f>
        <v>1</v>
      </c>
      <c r="CF12" s="25">
        <f>IF(CF10=0,0,IF(CF11&lt;INDEX('Lease Cycles'!$BN$8:$BT$8,1,CF10),1,0))</f>
        <v>1</v>
      </c>
      <c r="CG12" s="25">
        <f>IF(CG10=0,0,IF(CG11&lt;INDEX('Lease Cycles'!$BN$8:$BT$8,1,CG10),1,0))</f>
        <v>1</v>
      </c>
      <c r="CH12" s="25">
        <f>IF(CH10=0,0,IF(CH11&lt;INDEX('Lease Cycles'!$BN$8:$BT$8,1,CH10),1,0))</f>
        <v>1</v>
      </c>
      <c r="CI12" s="25">
        <f>IF(CI10=0,0,IF(CI11&lt;INDEX('Lease Cycles'!$BN$8:$BT$8,1,CI10),1,0))</f>
        <v>1</v>
      </c>
      <c r="CJ12" s="25">
        <f>IF(CJ10=0,0,IF(CJ11&lt;INDEX('Lease Cycles'!$BN$8:$BT$8,1,CJ10),1,0))</f>
        <v>1</v>
      </c>
      <c r="CK12" s="25">
        <f>IF(CK10=0,0,IF(CK11&lt;INDEX('Lease Cycles'!$BN$8:$BT$8,1,CK10),1,0))</f>
        <v>1</v>
      </c>
      <c r="CL12" s="25">
        <f>IF(CL10=0,0,IF(CL11&lt;INDEX('Lease Cycles'!$BN$8:$BT$8,1,CL10),1,0))</f>
        <v>1</v>
      </c>
      <c r="CM12" s="25">
        <f>IF(CM10=0,0,IF(CM11&lt;INDEX('Lease Cycles'!$BN$8:$BT$8,1,CM10),1,0))</f>
        <v>1</v>
      </c>
      <c r="CN12" s="25">
        <f>IF(CN10=0,0,IF(CN11&lt;INDEX('Lease Cycles'!$BN$8:$BT$8,1,CN10),1,0))</f>
        <v>1</v>
      </c>
      <c r="CO12" s="25">
        <f>IF(CO10=0,0,IF(CO11&lt;INDEX('Lease Cycles'!$BN$8:$BT$8,1,CO10),1,0))</f>
        <v>1</v>
      </c>
      <c r="CP12" s="25">
        <f>IF(CP10=0,0,IF(CP11&lt;INDEX('Lease Cycles'!$BN$8:$BT$8,1,CP10),1,0))</f>
        <v>1</v>
      </c>
      <c r="CQ12" s="25">
        <f>IF(CQ10=0,0,IF(CQ11&lt;INDEX('Lease Cycles'!$BN$8:$BT$8,1,CQ10),1,0))</f>
        <v>1</v>
      </c>
      <c r="CR12" s="25">
        <f>IF(CR10=0,0,IF(CR11&lt;INDEX('Lease Cycles'!$BN$8:$BT$8,1,CR10),1,0))</f>
        <v>1</v>
      </c>
      <c r="CS12" s="25">
        <f>IF(CS10=0,0,IF(CS11&lt;INDEX('Lease Cycles'!$BN$8:$BT$8,1,CS10),1,0))</f>
        <v>1</v>
      </c>
      <c r="CT12" s="25">
        <f>IF(CT10=0,0,IF(CT11&lt;INDEX('Lease Cycles'!$BN$8:$BT$8,1,CT10),1,0))</f>
        <v>1</v>
      </c>
      <c r="CU12" s="25">
        <f>IF(CU10=0,0,IF(CU11&lt;INDEX('Lease Cycles'!$BN$8:$BT$8,1,CU10),1,0))</f>
        <v>1</v>
      </c>
      <c r="CV12" s="25">
        <f>IF(CV10=0,0,IF(CV11&lt;INDEX('Lease Cycles'!$BN$8:$BT$8,1,CV10),1,0))</f>
        <v>1</v>
      </c>
      <c r="CW12" s="25">
        <f>IF(CW10=0,0,IF(CW11&lt;INDEX('Lease Cycles'!$BN$8:$BT$8,1,CW10),1,0))</f>
        <v>1</v>
      </c>
      <c r="CX12" s="25">
        <f>IF(CX10=0,0,IF(CX11&lt;INDEX('Lease Cycles'!$BN$8:$BT$8,1,CX10),1,0))</f>
        <v>1</v>
      </c>
      <c r="CY12" s="25">
        <f>IF(CY10=0,0,IF(CY11&lt;INDEX('Lease Cycles'!$BN$8:$BT$8,1,CY10),1,0))</f>
        <v>1</v>
      </c>
      <c r="CZ12" s="25">
        <f>IF(CZ10=0,0,IF(CZ11&lt;INDEX('Lease Cycles'!$BN$8:$BT$8,1,CZ10),1,0))</f>
        <v>1</v>
      </c>
      <c r="DA12" s="25">
        <f>IF(DA10=0,0,IF(DA11&lt;INDEX('Lease Cycles'!$BN$8:$BT$8,1,DA10),1,0))</f>
        <v>1</v>
      </c>
      <c r="DB12" s="25">
        <f>IF(DB10=0,0,IF(DB11&lt;INDEX('Lease Cycles'!$BN$8:$BT$8,1,DB10),1,0))</f>
        <v>1</v>
      </c>
      <c r="DC12" s="25">
        <f>IF(DC10=0,0,IF(DC11&lt;INDEX('Lease Cycles'!$BN$8:$BT$8,1,DC10),1,0))</f>
        <v>1</v>
      </c>
      <c r="DD12" s="25">
        <f>IF(DD10=0,0,IF(DD11&lt;INDEX('Lease Cycles'!$BN$8:$BT$8,1,DD10),1,0))</f>
        <v>1</v>
      </c>
      <c r="DE12" s="25">
        <f>IF(DE10=0,0,IF(DE11&lt;INDEX('Lease Cycles'!$BN$8:$BT$8,1,DE10),1,0))</f>
        <v>1</v>
      </c>
      <c r="DF12" s="25">
        <f>IF(DF10=0,0,IF(DF11&lt;INDEX('Lease Cycles'!$BN$8:$BT$8,1,DF10),1,0))</f>
        <v>1</v>
      </c>
      <c r="DG12" s="25">
        <f>IF(DG10=0,0,IF(DG11&lt;INDEX('Lease Cycles'!$BN$8:$BT$8,1,DG10),1,0))</f>
        <v>1</v>
      </c>
      <c r="DH12" s="25">
        <f>IF(DH10=0,0,IF(DH11&lt;INDEX('Lease Cycles'!$BN$8:$BT$8,1,DH10),1,0))</f>
        <v>1</v>
      </c>
      <c r="DI12" s="25">
        <f>IF(DI10=0,0,IF(DI11&lt;INDEX('Lease Cycles'!$BN$8:$BT$8,1,DI10),1,0))</f>
        <v>1</v>
      </c>
      <c r="DJ12" s="25">
        <f>IF(DJ10=0,0,IF(DJ11&lt;INDEX('Lease Cycles'!$BN$8:$BT$8,1,DJ10),1,0))</f>
        <v>1</v>
      </c>
      <c r="DK12" s="25">
        <f>IF(DK10=0,0,IF(DK11&lt;INDEX('Lease Cycles'!$BN$8:$BT$8,1,DK10),1,0))</f>
        <v>1</v>
      </c>
      <c r="DL12" s="25">
        <f>IF(DL10=0,0,IF(DL11&lt;INDEX('Lease Cycles'!$BN$8:$BT$8,1,DL10),1,0))</f>
        <v>1</v>
      </c>
      <c r="DM12" s="25">
        <f>IF(DM10=0,0,IF(DM11&lt;INDEX('Lease Cycles'!$BN$8:$BT$8,1,DM10),1,0))</f>
        <v>1</v>
      </c>
      <c r="DN12" s="25">
        <f>IF(DN10=0,0,IF(DN11&lt;INDEX('Lease Cycles'!$BN$8:$BT$8,1,DN10),1,0))</f>
        <v>1</v>
      </c>
      <c r="DO12" s="25">
        <f>IF(DO10=0,0,IF(DO11&lt;INDEX('Lease Cycles'!$BN$8:$BT$8,1,DO10),1,0))</f>
        <v>1</v>
      </c>
      <c r="DP12" s="25">
        <f>IF(DP10=0,0,IF(DP11&lt;INDEX('Lease Cycles'!$BN$8:$BT$8,1,DP10),1,0))</f>
        <v>1</v>
      </c>
      <c r="DQ12" s="25">
        <f>IF(DQ10=0,0,IF(DQ11&lt;INDEX('Lease Cycles'!$BN$8:$BT$8,1,DQ10),1,0))</f>
        <v>1</v>
      </c>
      <c r="DR12" s="25">
        <f>IF(DR10=0,0,IF(DR11&lt;INDEX('Lease Cycles'!$BN$8:$BT$8,1,DR10),1,0))</f>
        <v>1</v>
      </c>
      <c r="DS12" s="25">
        <f>IF(DS10=0,0,IF(DS11&lt;INDEX('Lease Cycles'!$BN$8:$BT$8,1,DS10),1,0))</f>
        <v>1</v>
      </c>
      <c r="DT12" s="25">
        <f>IF(DT10=0,0,IF(DT11&lt;INDEX('Lease Cycles'!$BN$8:$BT$8,1,DT10),1,0))</f>
        <v>1</v>
      </c>
      <c r="DU12" s="25">
        <f>IF(DU10=0,0,IF(DU11&lt;INDEX('Lease Cycles'!$BN$8:$BT$8,1,DU10),1,0))</f>
        <v>1</v>
      </c>
      <c r="DV12" s="25">
        <f>IF(DV10=0,0,IF(DV11&lt;INDEX('Lease Cycles'!$BN$8:$BT$8,1,DV10),1,0))</f>
        <v>1</v>
      </c>
      <c r="DW12" s="25">
        <f>IF(DW10=0,0,IF(DW11&lt;INDEX('Lease Cycles'!$BN$8:$BT$8,1,DW10),1,0))</f>
        <v>1</v>
      </c>
      <c r="DX12" s="25">
        <f>IF(DX10=0,0,IF(DX11&lt;INDEX('Lease Cycles'!$BN$8:$BT$8,1,DX10),1,0))</f>
        <v>1</v>
      </c>
      <c r="DY12" s="25">
        <f>IF(DY10=0,0,IF(DY11&lt;INDEX('Lease Cycles'!$BN$8:$BT$8,1,DY10),1,0))</f>
        <v>1</v>
      </c>
      <c r="DZ12" s="25">
        <f>IF(DZ10=0,0,IF(DZ11&lt;INDEX('Lease Cycles'!$BN$8:$BT$8,1,DZ10),1,0))</f>
        <v>1</v>
      </c>
      <c r="EA12" s="25">
        <f>IF(EA10=0,0,IF(EA11&lt;INDEX('Lease Cycles'!$BN$8:$BT$8,1,EA10),1,0))</f>
        <v>1</v>
      </c>
      <c r="EB12" s="25">
        <f>IF(EB10=0,0,IF(EB11&lt;INDEX('Lease Cycles'!$BN$8:$BT$8,1,EB10),1,0))</f>
        <v>1</v>
      </c>
      <c r="EC12" s="25">
        <f>IF(EC10=0,0,IF(EC11&lt;INDEX('Lease Cycles'!$BN$8:$BT$8,1,EC10),1,0))</f>
        <v>1</v>
      </c>
      <c r="ED12" s="25">
        <f>IF(ED10=0,0,IF(ED11&lt;INDEX('Lease Cycles'!$BN$8:$BT$8,1,ED10),1,0))</f>
        <v>1</v>
      </c>
      <c r="EE12" s="25">
        <f>IF(EE10=0,0,IF(EE11&lt;INDEX('Lease Cycles'!$BN$8:$BT$8,1,EE10),1,0))</f>
        <v>1</v>
      </c>
      <c r="EF12" s="25">
        <f>IF(EF10=0,0,IF(EF11&lt;INDEX('Lease Cycles'!$BN$8:$BT$8,1,EF10),1,0))</f>
        <v>1</v>
      </c>
      <c r="EG12" s="25">
        <f>IF(EG10=0,0,IF(EG11&lt;INDEX('Lease Cycles'!$BN$8:$BT$8,1,EG10),1,0))</f>
        <v>1</v>
      </c>
      <c r="EH12" s="25">
        <f>IF(EH10=0,0,IF(EH11&lt;INDEX('Lease Cycles'!$BN$8:$BT$8,1,EH10),1,0))</f>
        <v>1</v>
      </c>
      <c r="EI12" s="25">
        <f>IF(EI10=0,0,IF(EI11&lt;INDEX('Lease Cycles'!$BN$8:$BT$8,1,EI10),1,0))</f>
        <v>1</v>
      </c>
      <c r="EJ12" s="25">
        <f>IF(EJ10=0,0,IF(EJ11&lt;INDEX('Lease Cycles'!$BN$8:$BT$8,1,EJ10),1,0))</f>
        <v>1</v>
      </c>
      <c r="EK12" s="25">
        <f>IF(EK10=0,0,IF(EK11&lt;INDEX('Lease Cycles'!$BN$8:$BT$8,1,EK10),1,0))</f>
        <v>1</v>
      </c>
      <c r="EL12" s="25">
        <f>IF(EL10=0,0,IF(EL11&lt;INDEX('Lease Cycles'!$BN$8:$BT$8,1,EL10),1,0))</f>
        <v>1</v>
      </c>
      <c r="EM12" s="25">
        <f>IF(EM10=0,0,IF(EM11&lt;INDEX('Lease Cycles'!$BN$8:$BT$8,1,EM10),1,0))</f>
        <v>1</v>
      </c>
      <c r="EN12" s="25">
        <f>IF(EN10=0,0,IF(EN11&lt;INDEX('Lease Cycles'!$BN$8:$BT$8,1,EN10),1,0))</f>
        <v>1</v>
      </c>
      <c r="EO12" s="25">
        <f>IF(EO10=0,0,IF(EO11&lt;INDEX('Lease Cycles'!$BN$8:$BT$8,1,EO10),1,0))</f>
        <v>1</v>
      </c>
      <c r="EP12" s="25">
        <f>IF(EP10=0,0,IF(EP11&lt;INDEX('Lease Cycles'!$BN$8:$BT$8,1,EP10),1,0))</f>
        <v>1</v>
      </c>
      <c r="EQ12" s="25">
        <f>IF(EQ10=0,0,IF(EQ11&lt;INDEX('Lease Cycles'!$BN$8:$BT$8,1,EQ10),1,0))</f>
        <v>1</v>
      </c>
      <c r="ER12" s="25">
        <f>IF(ER10=0,0,IF(ER11&lt;INDEX('Lease Cycles'!$BN$8:$BT$8,1,ER10),1,0))</f>
        <v>1</v>
      </c>
      <c r="ES12" s="25">
        <f>IF(ES10=0,0,IF(ES11&lt;INDEX('Lease Cycles'!$BN$8:$BT$8,1,ES10),1,0))</f>
        <v>1</v>
      </c>
      <c r="ET12" s="25">
        <f>IF(ET10=0,0,IF(ET11&lt;INDEX('Lease Cycles'!$BN$8:$BT$8,1,ET10),1,0))</f>
        <v>1</v>
      </c>
    </row>
    <row r="13">
      <c r="A13" s="103">
        <v>1</v>
      </c>
      <c r="B13" s="23" t="str">
        <f>IF('Lease Cycles'!$B$8="","(empty slot)",'Lease Cycles'!$B$8)</f>
        <v>Fieldstone Grocery</v>
      </c>
      <c r="C13" s="23" t="s">
        <v>677</v>
      </c>
      <c r="D13" s="104" t="s">
        <v>678</v>
      </c>
      <c r="E13" s="25">
        <f>'Lease Cycles'!$AL$8</f>
        <v>1</v>
      </c>
      <c r="S13" s="28">
        <f>IF(S10=0,IF('Lease Cycles'!$F$8&gt;0,'Lease Cycles'!$C$8*'Lease Cycles'!$E$8/12,0),IF(S12=1,IF('Lease Cycles'!$AT$8&gt;=9999,'Lease Cycles'!$C$8*INDEX('Lease Cycles'!$CB$8:$CH$8,1,S10)*(1+INDEX('Lease Cycles'!$CI$8:$CO$8,1,S10))^INT(INT(S11/12)/INDEX('Lease Cycles'!$CP$8:$CV$8,1,S10))/12,IF(S10=1,IF(S11&gt;=INDEX('Lease Cycles'!$DK$8:$DQ$8,1,S10),IF(S$6&gt;='Lease Cycles'!$AZ$8,'Lease Cycles'!$C$8*'Lease Cycles'!$BA$8/12,IF(S$6&gt;='Lease Cycles'!$AX$8,'Lease Cycles'!$C$8*'Lease Cycles'!$AY$8/12,IF(S$6&gt;='Lease Cycles'!$AV$8,'Lease Cycles'!$C$8*'Lease Cycles'!$AW$8/12,IF(S$6&gt;='Lease Cycles'!$AT$8,'Lease Cycles'!$C$8*'Lease Cycles'!$AU$8/12,'Lease Cycles'!$C$8*INDEX('Lease Cycles'!$CB$8:$CH$8,1,S10)*(1+INDEX('Lease Cycles'!$CI$8:$CO$8,1,S10))^INT(INT(S11/12)/INDEX('Lease Cycles'!$CP$8:$CV$8,1,S10))/12)))),'Lease Cycles'!$C$8*INDEX('Lease Cycles'!$CB$8:$CH$8,1,S10)*(1+INDEX('Lease Cycles'!$CI$8:$CO$8,1,S10))^INT(INT(S11/12)/INDEX('Lease Cycles'!$CP$8:$CV$8,1,S10))/12),IF(INDEX('Lease Cycles'!$EF$8:$EL$8,1,S10)=1,IF(AND('Lease Cycles'!$AZ$8&gt;=INDEX('Lease Cycles'!$BG$8:$BM$8,1,S10),'Lease Cycles'!$AZ$8&lt;=S$6),'Lease Cycles'!$C$8*'Lease Cycles'!$BA$8/12,IF(AND('Lease Cycles'!$AX$8&gt;=INDEX('Lease Cycles'!$BG$8:$BM$8,1,S10),'Lease Cycles'!$AX$8&lt;=S$6),'Lease Cycles'!$C$8*'Lease Cycles'!$AY$8/12,IF(AND('Lease Cycles'!$AV$8&gt;=INDEX('Lease Cycles'!$BG$8:$BM$8,1,S10),'Lease Cycles'!$AV$8&lt;=S$6),'Lease Cycles'!$C$8*'Lease Cycles'!$AW$8/12,IF(AND('Lease Cycles'!$AT$8&gt;=INDEX('Lease Cycles'!$BG$8:$BM$8,1,S10),'Lease Cycles'!$AT$8&lt;=S$6),'Lease Cycles'!$C$8*'Lease Cycles'!$AU$8/12,'Lease Cycles'!$C$8*INDEX('Lease Cycles'!$CB$8:$CH$8,1,S10)*(1+INDEX('Lease Cycles'!$CI$8:$CO$8,1,S10))^INT(INT(S11/12)/INDEX('Lease Cycles'!$CP$8:$CV$8,1,S10))/12)))),'Lease Cycles'!$C$8*INDEX('Lease Cycles'!$CB$8:$CH$8,1,S10)*(1+INDEX('Lease Cycles'!$CI$8:$CO$8,1,S10))^INT(INT(S11/12)/INDEX('Lease Cycles'!$CP$8:$CV$8,1,S10))/12))),IF('Lease Cycles'!$N$8=1,'Lease Cycles'!$C$8*'Lease Cycles'!$E$8*INDEX('Lease Cycles'!$HE$8:$HK$8,1,S10)*(1+INDEX('Lease Cycles'!$GQ$8:$GW$8,1,S10))^INT(INT((S$6-INDEX('Lease Cycles'!$GJ$8:$GP$8,1,S10))/12)/INDEX('Lease Cycles'!$GX$8:$HD$8,1,S10))/12,0)))</f>
        <v>38666.666666666664</v>
      </c>
      <c r="T13" s="28">
        <f>IF(T10=0,IF('Lease Cycles'!$F$8&gt;0,'Lease Cycles'!$C$8*'Lease Cycles'!$E$8/12,0),IF(T12=1,IF('Lease Cycles'!$AT$8&gt;=9999,'Lease Cycles'!$C$8*INDEX('Lease Cycles'!$CB$8:$CH$8,1,T10)*(1+INDEX('Lease Cycles'!$CI$8:$CO$8,1,T10))^INT(INT(T11/12)/INDEX('Lease Cycles'!$CP$8:$CV$8,1,T10))/12,IF(T10=1,IF(T11&gt;=INDEX('Lease Cycles'!$DK$8:$DQ$8,1,T10),IF(T$6&gt;='Lease Cycles'!$AZ$8,'Lease Cycles'!$C$8*'Lease Cycles'!$BA$8/12,IF(T$6&gt;='Lease Cycles'!$AX$8,'Lease Cycles'!$C$8*'Lease Cycles'!$AY$8/12,IF(T$6&gt;='Lease Cycles'!$AV$8,'Lease Cycles'!$C$8*'Lease Cycles'!$AW$8/12,IF(T$6&gt;='Lease Cycles'!$AT$8,'Lease Cycles'!$C$8*'Lease Cycles'!$AU$8/12,'Lease Cycles'!$C$8*INDEX('Lease Cycles'!$CB$8:$CH$8,1,T10)*(1+INDEX('Lease Cycles'!$CI$8:$CO$8,1,T10))^INT(INT(T11/12)/INDEX('Lease Cycles'!$CP$8:$CV$8,1,T10))/12)))),'Lease Cycles'!$C$8*INDEX('Lease Cycles'!$CB$8:$CH$8,1,T10)*(1+INDEX('Lease Cycles'!$CI$8:$CO$8,1,T10))^INT(INT(T11/12)/INDEX('Lease Cycles'!$CP$8:$CV$8,1,T10))/12),IF(INDEX('Lease Cycles'!$EF$8:$EL$8,1,T10)=1,IF(AND('Lease Cycles'!$AZ$8&gt;=INDEX('Lease Cycles'!$BG$8:$BM$8,1,T10),'Lease Cycles'!$AZ$8&lt;=T$6),'Lease Cycles'!$C$8*'Lease Cycles'!$BA$8/12,IF(AND('Lease Cycles'!$AX$8&gt;=INDEX('Lease Cycles'!$BG$8:$BM$8,1,T10),'Lease Cycles'!$AX$8&lt;=T$6),'Lease Cycles'!$C$8*'Lease Cycles'!$AY$8/12,IF(AND('Lease Cycles'!$AV$8&gt;=INDEX('Lease Cycles'!$BG$8:$BM$8,1,T10),'Lease Cycles'!$AV$8&lt;=T$6),'Lease Cycles'!$C$8*'Lease Cycles'!$AW$8/12,IF(AND('Lease Cycles'!$AT$8&gt;=INDEX('Lease Cycles'!$BG$8:$BM$8,1,T10),'Lease Cycles'!$AT$8&lt;=T$6),'Lease Cycles'!$C$8*'Lease Cycles'!$AU$8/12,'Lease Cycles'!$C$8*INDEX('Lease Cycles'!$CB$8:$CH$8,1,T10)*(1+INDEX('Lease Cycles'!$CI$8:$CO$8,1,T10))^INT(INT(T11/12)/INDEX('Lease Cycles'!$CP$8:$CV$8,1,T10))/12)))),'Lease Cycles'!$C$8*INDEX('Lease Cycles'!$CB$8:$CH$8,1,T10)*(1+INDEX('Lease Cycles'!$CI$8:$CO$8,1,T10))^INT(INT(T11/12)/INDEX('Lease Cycles'!$CP$8:$CV$8,1,T10))/12))),IF('Lease Cycles'!$N$8=1,'Lease Cycles'!$C$8*'Lease Cycles'!$E$8*INDEX('Lease Cycles'!$HE$8:$HK$8,1,T10)*(1+INDEX('Lease Cycles'!$GQ$8:$GW$8,1,T10))^INT(INT((T$6-INDEX('Lease Cycles'!$GJ$8:$GP$8,1,T10))/12)/INDEX('Lease Cycles'!$GX$8:$HD$8,1,T10))/12,0)))</f>
        <v>38666.666666666664</v>
      </c>
      <c r="U13" s="28">
        <f>IF(U10=0,IF('Lease Cycles'!$F$8&gt;0,'Lease Cycles'!$C$8*'Lease Cycles'!$E$8/12,0),IF(U12=1,IF('Lease Cycles'!$AT$8&gt;=9999,'Lease Cycles'!$C$8*INDEX('Lease Cycles'!$CB$8:$CH$8,1,U10)*(1+INDEX('Lease Cycles'!$CI$8:$CO$8,1,U10))^INT(INT(U11/12)/INDEX('Lease Cycles'!$CP$8:$CV$8,1,U10))/12,IF(U10=1,IF(U11&gt;=INDEX('Lease Cycles'!$DK$8:$DQ$8,1,U10),IF(U$6&gt;='Lease Cycles'!$AZ$8,'Lease Cycles'!$C$8*'Lease Cycles'!$BA$8/12,IF(U$6&gt;='Lease Cycles'!$AX$8,'Lease Cycles'!$C$8*'Lease Cycles'!$AY$8/12,IF(U$6&gt;='Lease Cycles'!$AV$8,'Lease Cycles'!$C$8*'Lease Cycles'!$AW$8/12,IF(U$6&gt;='Lease Cycles'!$AT$8,'Lease Cycles'!$C$8*'Lease Cycles'!$AU$8/12,'Lease Cycles'!$C$8*INDEX('Lease Cycles'!$CB$8:$CH$8,1,U10)*(1+INDEX('Lease Cycles'!$CI$8:$CO$8,1,U10))^INT(INT(U11/12)/INDEX('Lease Cycles'!$CP$8:$CV$8,1,U10))/12)))),'Lease Cycles'!$C$8*INDEX('Lease Cycles'!$CB$8:$CH$8,1,U10)*(1+INDEX('Lease Cycles'!$CI$8:$CO$8,1,U10))^INT(INT(U11/12)/INDEX('Lease Cycles'!$CP$8:$CV$8,1,U10))/12),IF(INDEX('Lease Cycles'!$EF$8:$EL$8,1,U10)=1,IF(AND('Lease Cycles'!$AZ$8&gt;=INDEX('Lease Cycles'!$BG$8:$BM$8,1,U10),'Lease Cycles'!$AZ$8&lt;=U$6),'Lease Cycles'!$C$8*'Lease Cycles'!$BA$8/12,IF(AND('Lease Cycles'!$AX$8&gt;=INDEX('Lease Cycles'!$BG$8:$BM$8,1,U10),'Lease Cycles'!$AX$8&lt;=U$6),'Lease Cycles'!$C$8*'Lease Cycles'!$AY$8/12,IF(AND('Lease Cycles'!$AV$8&gt;=INDEX('Lease Cycles'!$BG$8:$BM$8,1,U10),'Lease Cycles'!$AV$8&lt;=U$6),'Lease Cycles'!$C$8*'Lease Cycles'!$AW$8/12,IF(AND('Lease Cycles'!$AT$8&gt;=INDEX('Lease Cycles'!$BG$8:$BM$8,1,U10),'Lease Cycles'!$AT$8&lt;=U$6),'Lease Cycles'!$C$8*'Lease Cycles'!$AU$8/12,'Lease Cycles'!$C$8*INDEX('Lease Cycles'!$CB$8:$CH$8,1,U10)*(1+INDEX('Lease Cycles'!$CI$8:$CO$8,1,U10))^INT(INT(U11/12)/INDEX('Lease Cycles'!$CP$8:$CV$8,1,U10))/12)))),'Lease Cycles'!$C$8*INDEX('Lease Cycles'!$CB$8:$CH$8,1,U10)*(1+INDEX('Lease Cycles'!$CI$8:$CO$8,1,U10))^INT(INT(U11/12)/INDEX('Lease Cycles'!$CP$8:$CV$8,1,U10))/12))),IF('Lease Cycles'!$N$8=1,'Lease Cycles'!$C$8*'Lease Cycles'!$E$8*INDEX('Lease Cycles'!$HE$8:$HK$8,1,U10)*(1+INDEX('Lease Cycles'!$GQ$8:$GW$8,1,U10))^INT(INT((U$6-INDEX('Lease Cycles'!$GJ$8:$GP$8,1,U10))/12)/INDEX('Lease Cycles'!$GX$8:$HD$8,1,U10))/12,0)))</f>
        <v>38666.666666666664</v>
      </c>
      <c r="V13" s="28">
        <f>IF(V10=0,IF('Lease Cycles'!$F$8&gt;0,'Lease Cycles'!$C$8*'Lease Cycles'!$E$8/12,0),IF(V12=1,IF('Lease Cycles'!$AT$8&gt;=9999,'Lease Cycles'!$C$8*INDEX('Lease Cycles'!$CB$8:$CH$8,1,V10)*(1+INDEX('Lease Cycles'!$CI$8:$CO$8,1,V10))^INT(INT(V11/12)/INDEX('Lease Cycles'!$CP$8:$CV$8,1,V10))/12,IF(V10=1,IF(V11&gt;=INDEX('Lease Cycles'!$DK$8:$DQ$8,1,V10),IF(V$6&gt;='Lease Cycles'!$AZ$8,'Lease Cycles'!$C$8*'Lease Cycles'!$BA$8/12,IF(V$6&gt;='Lease Cycles'!$AX$8,'Lease Cycles'!$C$8*'Lease Cycles'!$AY$8/12,IF(V$6&gt;='Lease Cycles'!$AV$8,'Lease Cycles'!$C$8*'Lease Cycles'!$AW$8/12,IF(V$6&gt;='Lease Cycles'!$AT$8,'Lease Cycles'!$C$8*'Lease Cycles'!$AU$8/12,'Lease Cycles'!$C$8*INDEX('Lease Cycles'!$CB$8:$CH$8,1,V10)*(1+INDEX('Lease Cycles'!$CI$8:$CO$8,1,V10))^INT(INT(V11/12)/INDEX('Lease Cycles'!$CP$8:$CV$8,1,V10))/12)))),'Lease Cycles'!$C$8*INDEX('Lease Cycles'!$CB$8:$CH$8,1,V10)*(1+INDEX('Lease Cycles'!$CI$8:$CO$8,1,V10))^INT(INT(V11/12)/INDEX('Lease Cycles'!$CP$8:$CV$8,1,V10))/12),IF(INDEX('Lease Cycles'!$EF$8:$EL$8,1,V10)=1,IF(AND('Lease Cycles'!$AZ$8&gt;=INDEX('Lease Cycles'!$BG$8:$BM$8,1,V10),'Lease Cycles'!$AZ$8&lt;=V$6),'Lease Cycles'!$C$8*'Lease Cycles'!$BA$8/12,IF(AND('Lease Cycles'!$AX$8&gt;=INDEX('Lease Cycles'!$BG$8:$BM$8,1,V10),'Lease Cycles'!$AX$8&lt;=V$6),'Lease Cycles'!$C$8*'Lease Cycles'!$AY$8/12,IF(AND('Lease Cycles'!$AV$8&gt;=INDEX('Lease Cycles'!$BG$8:$BM$8,1,V10),'Lease Cycles'!$AV$8&lt;=V$6),'Lease Cycles'!$C$8*'Lease Cycles'!$AW$8/12,IF(AND('Lease Cycles'!$AT$8&gt;=INDEX('Lease Cycles'!$BG$8:$BM$8,1,V10),'Lease Cycles'!$AT$8&lt;=V$6),'Lease Cycles'!$C$8*'Lease Cycles'!$AU$8/12,'Lease Cycles'!$C$8*INDEX('Lease Cycles'!$CB$8:$CH$8,1,V10)*(1+INDEX('Lease Cycles'!$CI$8:$CO$8,1,V10))^INT(INT(V11/12)/INDEX('Lease Cycles'!$CP$8:$CV$8,1,V10))/12)))),'Lease Cycles'!$C$8*INDEX('Lease Cycles'!$CB$8:$CH$8,1,V10)*(1+INDEX('Lease Cycles'!$CI$8:$CO$8,1,V10))^INT(INT(V11/12)/INDEX('Lease Cycles'!$CP$8:$CV$8,1,V10))/12))),IF('Lease Cycles'!$N$8=1,'Lease Cycles'!$C$8*'Lease Cycles'!$E$8*INDEX('Lease Cycles'!$HE$8:$HK$8,1,V10)*(1+INDEX('Lease Cycles'!$GQ$8:$GW$8,1,V10))^INT(INT((V$6-INDEX('Lease Cycles'!$GJ$8:$GP$8,1,V10))/12)/INDEX('Lease Cycles'!$GX$8:$HD$8,1,V10))/12,0)))</f>
        <v>38666.666666666664</v>
      </c>
      <c r="W13" s="28">
        <f>IF(W10=0,IF('Lease Cycles'!$F$8&gt;0,'Lease Cycles'!$C$8*'Lease Cycles'!$E$8/12,0),IF(W12=1,IF('Lease Cycles'!$AT$8&gt;=9999,'Lease Cycles'!$C$8*INDEX('Lease Cycles'!$CB$8:$CH$8,1,W10)*(1+INDEX('Lease Cycles'!$CI$8:$CO$8,1,W10))^INT(INT(W11/12)/INDEX('Lease Cycles'!$CP$8:$CV$8,1,W10))/12,IF(W10=1,IF(W11&gt;=INDEX('Lease Cycles'!$DK$8:$DQ$8,1,W10),IF(W$6&gt;='Lease Cycles'!$AZ$8,'Lease Cycles'!$C$8*'Lease Cycles'!$BA$8/12,IF(W$6&gt;='Lease Cycles'!$AX$8,'Lease Cycles'!$C$8*'Lease Cycles'!$AY$8/12,IF(W$6&gt;='Lease Cycles'!$AV$8,'Lease Cycles'!$C$8*'Lease Cycles'!$AW$8/12,IF(W$6&gt;='Lease Cycles'!$AT$8,'Lease Cycles'!$C$8*'Lease Cycles'!$AU$8/12,'Lease Cycles'!$C$8*INDEX('Lease Cycles'!$CB$8:$CH$8,1,W10)*(1+INDEX('Lease Cycles'!$CI$8:$CO$8,1,W10))^INT(INT(W11/12)/INDEX('Lease Cycles'!$CP$8:$CV$8,1,W10))/12)))),'Lease Cycles'!$C$8*INDEX('Lease Cycles'!$CB$8:$CH$8,1,W10)*(1+INDEX('Lease Cycles'!$CI$8:$CO$8,1,W10))^INT(INT(W11/12)/INDEX('Lease Cycles'!$CP$8:$CV$8,1,W10))/12),IF(INDEX('Lease Cycles'!$EF$8:$EL$8,1,W10)=1,IF(AND('Lease Cycles'!$AZ$8&gt;=INDEX('Lease Cycles'!$BG$8:$BM$8,1,W10),'Lease Cycles'!$AZ$8&lt;=W$6),'Lease Cycles'!$C$8*'Lease Cycles'!$BA$8/12,IF(AND('Lease Cycles'!$AX$8&gt;=INDEX('Lease Cycles'!$BG$8:$BM$8,1,W10),'Lease Cycles'!$AX$8&lt;=W$6),'Lease Cycles'!$C$8*'Lease Cycles'!$AY$8/12,IF(AND('Lease Cycles'!$AV$8&gt;=INDEX('Lease Cycles'!$BG$8:$BM$8,1,W10),'Lease Cycles'!$AV$8&lt;=W$6),'Lease Cycles'!$C$8*'Lease Cycles'!$AW$8/12,IF(AND('Lease Cycles'!$AT$8&gt;=INDEX('Lease Cycles'!$BG$8:$BM$8,1,W10),'Lease Cycles'!$AT$8&lt;=W$6),'Lease Cycles'!$C$8*'Lease Cycles'!$AU$8/12,'Lease Cycles'!$C$8*INDEX('Lease Cycles'!$CB$8:$CH$8,1,W10)*(1+INDEX('Lease Cycles'!$CI$8:$CO$8,1,W10))^INT(INT(W11/12)/INDEX('Lease Cycles'!$CP$8:$CV$8,1,W10))/12)))),'Lease Cycles'!$C$8*INDEX('Lease Cycles'!$CB$8:$CH$8,1,W10)*(1+INDEX('Lease Cycles'!$CI$8:$CO$8,1,W10))^INT(INT(W11/12)/INDEX('Lease Cycles'!$CP$8:$CV$8,1,W10))/12))),IF('Lease Cycles'!$N$8=1,'Lease Cycles'!$C$8*'Lease Cycles'!$E$8*INDEX('Lease Cycles'!$HE$8:$HK$8,1,W10)*(1+INDEX('Lease Cycles'!$GQ$8:$GW$8,1,W10))^INT(INT((W$6-INDEX('Lease Cycles'!$GJ$8:$GP$8,1,W10))/12)/INDEX('Lease Cycles'!$GX$8:$HD$8,1,W10))/12,0)))</f>
        <v>38666.666666666664</v>
      </c>
      <c r="X13" s="28">
        <f>IF(X10=0,IF('Lease Cycles'!$F$8&gt;0,'Lease Cycles'!$C$8*'Lease Cycles'!$E$8/12,0),IF(X12=1,IF('Lease Cycles'!$AT$8&gt;=9999,'Lease Cycles'!$C$8*INDEX('Lease Cycles'!$CB$8:$CH$8,1,X10)*(1+INDEX('Lease Cycles'!$CI$8:$CO$8,1,X10))^INT(INT(X11/12)/INDEX('Lease Cycles'!$CP$8:$CV$8,1,X10))/12,IF(X10=1,IF(X11&gt;=INDEX('Lease Cycles'!$DK$8:$DQ$8,1,X10),IF(X$6&gt;='Lease Cycles'!$AZ$8,'Lease Cycles'!$C$8*'Lease Cycles'!$BA$8/12,IF(X$6&gt;='Lease Cycles'!$AX$8,'Lease Cycles'!$C$8*'Lease Cycles'!$AY$8/12,IF(X$6&gt;='Lease Cycles'!$AV$8,'Lease Cycles'!$C$8*'Lease Cycles'!$AW$8/12,IF(X$6&gt;='Lease Cycles'!$AT$8,'Lease Cycles'!$C$8*'Lease Cycles'!$AU$8/12,'Lease Cycles'!$C$8*INDEX('Lease Cycles'!$CB$8:$CH$8,1,X10)*(1+INDEX('Lease Cycles'!$CI$8:$CO$8,1,X10))^INT(INT(X11/12)/INDEX('Lease Cycles'!$CP$8:$CV$8,1,X10))/12)))),'Lease Cycles'!$C$8*INDEX('Lease Cycles'!$CB$8:$CH$8,1,X10)*(1+INDEX('Lease Cycles'!$CI$8:$CO$8,1,X10))^INT(INT(X11/12)/INDEX('Lease Cycles'!$CP$8:$CV$8,1,X10))/12),IF(INDEX('Lease Cycles'!$EF$8:$EL$8,1,X10)=1,IF(AND('Lease Cycles'!$AZ$8&gt;=INDEX('Lease Cycles'!$BG$8:$BM$8,1,X10),'Lease Cycles'!$AZ$8&lt;=X$6),'Lease Cycles'!$C$8*'Lease Cycles'!$BA$8/12,IF(AND('Lease Cycles'!$AX$8&gt;=INDEX('Lease Cycles'!$BG$8:$BM$8,1,X10),'Lease Cycles'!$AX$8&lt;=X$6),'Lease Cycles'!$C$8*'Lease Cycles'!$AY$8/12,IF(AND('Lease Cycles'!$AV$8&gt;=INDEX('Lease Cycles'!$BG$8:$BM$8,1,X10),'Lease Cycles'!$AV$8&lt;=X$6),'Lease Cycles'!$C$8*'Lease Cycles'!$AW$8/12,IF(AND('Lease Cycles'!$AT$8&gt;=INDEX('Lease Cycles'!$BG$8:$BM$8,1,X10),'Lease Cycles'!$AT$8&lt;=X$6),'Lease Cycles'!$C$8*'Lease Cycles'!$AU$8/12,'Lease Cycles'!$C$8*INDEX('Lease Cycles'!$CB$8:$CH$8,1,X10)*(1+INDEX('Lease Cycles'!$CI$8:$CO$8,1,X10))^INT(INT(X11/12)/INDEX('Lease Cycles'!$CP$8:$CV$8,1,X10))/12)))),'Lease Cycles'!$C$8*INDEX('Lease Cycles'!$CB$8:$CH$8,1,X10)*(1+INDEX('Lease Cycles'!$CI$8:$CO$8,1,X10))^INT(INT(X11/12)/INDEX('Lease Cycles'!$CP$8:$CV$8,1,X10))/12))),IF('Lease Cycles'!$N$8=1,'Lease Cycles'!$C$8*'Lease Cycles'!$E$8*INDEX('Lease Cycles'!$HE$8:$HK$8,1,X10)*(1+INDEX('Lease Cycles'!$GQ$8:$GW$8,1,X10))^INT(INT((X$6-INDEX('Lease Cycles'!$GJ$8:$GP$8,1,X10))/12)/INDEX('Lease Cycles'!$GX$8:$HD$8,1,X10))/12,0)))</f>
        <v>38666.666666666664</v>
      </c>
      <c r="Y13" s="28">
        <f>IF(Y10=0,IF('Lease Cycles'!$F$8&gt;0,'Lease Cycles'!$C$8*'Lease Cycles'!$E$8/12,0),IF(Y12=1,IF('Lease Cycles'!$AT$8&gt;=9999,'Lease Cycles'!$C$8*INDEX('Lease Cycles'!$CB$8:$CH$8,1,Y10)*(1+INDEX('Lease Cycles'!$CI$8:$CO$8,1,Y10))^INT(INT(Y11/12)/INDEX('Lease Cycles'!$CP$8:$CV$8,1,Y10))/12,IF(Y10=1,IF(Y11&gt;=INDEX('Lease Cycles'!$DK$8:$DQ$8,1,Y10),IF(Y$6&gt;='Lease Cycles'!$AZ$8,'Lease Cycles'!$C$8*'Lease Cycles'!$BA$8/12,IF(Y$6&gt;='Lease Cycles'!$AX$8,'Lease Cycles'!$C$8*'Lease Cycles'!$AY$8/12,IF(Y$6&gt;='Lease Cycles'!$AV$8,'Lease Cycles'!$C$8*'Lease Cycles'!$AW$8/12,IF(Y$6&gt;='Lease Cycles'!$AT$8,'Lease Cycles'!$C$8*'Lease Cycles'!$AU$8/12,'Lease Cycles'!$C$8*INDEX('Lease Cycles'!$CB$8:$CH$8,1,Y10)*(1+INDEX('Lease Cycles'!$CI$8:$CO$8,1,Y10))^INT(INT(Y11/12)/INDEX('Lease Cycles'!$CP$8:$CV$8,1,Y10))/12)))),'Lease Cycles'!$C$8*INDEX('Lease Cycles'!$CB$8:$CH$8,1,Y10)*(1+INDEX('Lease Cycles'!$CI$8:$CO$8,1,Y10))^INT(INT(Y11/12)/INDEX('Lease Cycles'!$CP$8:$CV$8,1,Y10))/12),IF(INDEX('Lease Cycles'!$EF$8:$EL$8,1,Y10)=1,IF(AND('Lease Cycles'!$AZ$8&gt;=INDEX('Lease Cycles'!$BG$8:$BM$8,1,Y10),'Lease Cycles'!$AZ$8&lt;=Y$6),'Lease Cycles'!$C$8*'Lease Cycles'!$BA$8/12,IF(AND('Lease Cycles'!$AX$8&gt;=INDEX('Lease Cycles'!$BG$8:$BM$8,1,Y10),'Lease Cycles'!$AX$8&lt;=Y$6),'Lease Cycles'!$C$8*'Lease Cycles'!$AY$8/12,IF(AND('Lease Cycles'!$AV$8&gt;=INDEX('Lease Cycles'!$BG$8:$BM$8,1,Y10),'Lease Cycles'!$AV$8&lt;=Y$6),'Lease Cycles'!$C$8*'Lease Cycles'!$AW$8/12,IF(AND('Lease Cycles'!$AT$8&gt;=INDEX('Lease Cycles'!$BG$8:$BM$8,1,Y10),'Lease Cycles'!$AT$8&lt;=Y$6),'Lease Cycles'!$C$8*'Lease Cycles'!$AU$8/12,'Lease Cycles'!$C$8*INDEX('Lease Cycles'!$CB$8:$CH$8,1,Y10)*(1+INDEX('Lease Cycles'!$CI$8:$CO$8,1,Y10))^INT(INT(Y11/12)/INDEX('Lease Cycles'!$CP$8:$CV$8,1,Y10))/12)))),'Lease Cycles'!$C$8*INDEX('Lease Cycles'!$CB$8:$CH$8,1,Y10)*(1+INDEX('Lease Cycles'!$CI$8:$CO$8,1,Y10))^INT(INT(Y11/12)/INDEX('Lease Cycles'!$CP$8:$CV$8,1,Y10))/12))),IF('Lease Cycles'!$N$8=1,'Lease Cycles'!$C$8*'Lease Cycles'!$E$8*INDEX('Lease Cycles'!$HE$8:$HK$8,1,Y10)*(1+INDEX('Lease Cycles'!$GQ$8:$GW$8,1,Y10))^INT(INT((Y$6-INDEX('Lease Cycles'!$GJ$8:$GP$8,1,Y10))/12)/INDEX('Lease Cycles'!$GX$8:$HD$8,1,Y10))/12,0)))</f>
        <v>38666.666666666664</v>
      </c>
      <c r="Z13" s="28">
        <f>IF(Z10=0,IF('Lease Cycles'!$F$8&gt;0,'Lease Cycles'!$C$8*'Lease Cycles'!$E$8/12,0),IF(Z12=1,IF('Lease Cycles'!$AT$8&gt;=9999,'Lease Cycles'!$C$8*INDEX('Lease Cycles'!$CB$8:$CH$8,1,Z10)*(1+INDEX('Lease Cycles'!$CI$8:$CO$8,1,Z10))^INT(INT(Z11/12)/INDEX('Lease Cycles'!$CP$8:$CV$8,1,Z10))/12,IF(Z10=1,IF(Z11&gt;=INDEX('Lease Cycles'!$DK$8:$DQ$8,1,Z10),IF(Z$6&gt;='Lease Cycles'!$AZ$8,'Lease Cycles'!$C$8*'Lease Cycles'!$BA$8/12,IF(Z$6&gt;='Lease Cycles'!$AX$8,'Lease Cycles'!$C$8*'Lease Cycles'!$AY$8/12,IF(Z$6&gt;='Lease Cycles'!$AV$8,'Lease Cycles'!$C$8*'Lease Cycles'!$AW$8/12,IF(Z$6&gt;='Lease Cycles'!$AT$8,'Lease Cycles'!$C$8*'Lease Cycles'!$AU$8/12,'Lease Cycles'!$C$8*INDEX('Lease Cycles'!$CB$8:$CH$8,1,Z10)*(1+INDEX('Lease Cycles'!$CI$8:$CO$8,1,Z10))^INT(INT(Z11/12)/INDEX('Lease Cycles'!$CP$8:$CV$8,1,Z10))/12)))),'Lease Cycles'!$C$8*INDEX('Lease Cycles'!$CB$8:$CH$8,1,Z10)*(1+INDEX('Lease Cycles'!$CI$8:$CO$8,1,Z10))^INT(INT(Z11/12)/INDEX('Lease Cycles'!$CP$8:$CV$8,1,Z10))/12),IF(INDEX('Lease Cycles'!$EF$8:$EL$8,1,Z10)=1,IF(AND('Lease Cycles'!$AZ$8&gt;=INDEX('Lease Cycles'!$BG$8:$BM$8,1,Z10),'Lease Cycles'!$AZ$8&lt;=Z$6),'Lease Cycles'!$C$8*'Lease Cycles'!$BA$8/12,IF(AND('Lease Cycles'!$AX$8&gt;=INDEX('Lease Cycles'!$BG$8:$BM$8,1,Z10),'Lease Cycles'!$AX$8&lt;=Z$6),'Lease Cycles'!$C$8*'Lease Cycles'!$AY$8/12,IF(AND('Lease Cycles'!$AV$8&gt;=INDEX('Lease Cycles'!$BG$8:$BM$8,1,Z10),'Lease Cycles'!$AV$8&lt;=Z$6),'Lease Cycles'!$C$8*'Lease Cycles'!$AW$8/12,IF(AND('Lease Cycles'!$AT$8&gt;=INDEX('Lease Cycles'!$BG$8:$BM$8,1,Z10),'Lease Cycles'!$AT$8&lt;=Z$6),'Lease Cycles'!$C$8*'Lease Cycles'!$AU$8/12,'Lease Cycles'!$C$8*INDEX('Lease Cycles'!$CB$8:$CH$8,1,Z10)*(1+INDEX('Lease Cycles'!$CI$8:$CO$8,1,Z10))^INT(INT(Z11/12)/INDEX('Lease Cycles'!$CP$8:$CV$8,1,Z10))/12)))),'Lease Cycles'!$C$8*INDEX('Lease Cycles'!$CB$8:$CH$8,1,Z10)*(1+INDEX('Lease Cycles'!$CI$8:$CO$8,1,Z10))^INT(INT(Z11/12)/INDEX('Lease Cycles'!$CP$8:$CV$8,1,Z10))/12))),IF('Lease Cycles'!$N$8=1,'Lease Cycles'!$C$8*'Lease Cycles'!$E$8*INDEX('Lease Cycles'!$HE$8:$HK$8,1,Z10)*(1+INDEX('Lease Cycles'!$GQ$8:$GW$8,1,Z10))^INT(INT((Z$6-INDEX('Lease Cycles'!$GJ$8:$GP$8,1,Z10))/12)/INDEX('Lease Cycles'!$GX$8:$HD$8,1,Z10))/12,0)))</f>
        <v>38666.666666666664</v>
      </c>
      <c r="AA13" s="28">
        <f>IF(AA10=0,IF('Lease Cycles'!$F$8&gt;0,'Lease Cycles'!$C$8*'Lease Cycles'!$E$8/12,0),IF(AA12=1,IF('Lease Cycles'!$AT$8&gt;=9999,'Lease Cycles'!$C$8*INDEX('Lease Cycles'!$CB$8:$CH$8,1,AA10)*(1+INDEX('Lease Cycles'!$CI$8:$CO$8,1,AA10))^INT(INT(AA11/12)/INDEX('Lease Cycles'!$CP$8:$CV$8,1,AA10))/12,IF(AA10=1,IF(AA11&gt;=INDEX('Lease Cycles'!$DK$8:$DQ$8,1,AA10),IF(AA$6&gt;='Lease Cycles'!$AZ$8,'Lease Cycles'!$C$8*'Lease Cycles'!$BA$8/12,IF(AA$6&gt;='Lease Cycles'!$AX$8,'Lease Cycles'!$C$8*'Lease Cycles'!$AY$8/12,IF(AA$6&gt;='Lease Cycles'!$AV$8,'Lease Cycles'!$C$8*'Lease Cycles'!$AW$8/12,IF(AA$6&gt;='Lease Cycles'!$AT$8,'Lease Cycles'!$C$8*'Lease Cycles'!$AU$8/12,'Lease Cycles'!$C$8*INDEX('Lease Cycles'!$CB$8:$CH$8,1,AA10)*(1+INDEX('Lease Cycles'!$CI$8:$CO$8,1,AA10))^INT(INT(AA11/12)/INDEX('Lease Cycles'!$CP$8:$CV$8,1,AA10))/12)))),'Lease Cycles'!$C$8*INDEX('Lease Cycles'!$CB$8:$CH$8,1,AA10)*(1+INDEX('Lease Cycles'!$CI$8:$CO$8,1,AA10))^INT(INT(AA11/12)/INDEX('Lease Cycles'!$CP$8:$CV$8,1,AA10))/12),IF(INDEX('Lease Cycles'!$EF$8:$EL$8,1,AA10)=1,IF(AND('Lease Cycles'!$AZ$8&gt;=INDEX('Lease Cycles'!$BG$8:$BM$8,1,AA10),'Lease Cycles'!$AZ$8&lt;=AA$6),'Lease Cycles'!$C$8*'Lease Cycles'!$BA$8/12,IF(AND('Lease Cycles'!$AX$8&gt;=INDEX('Lease Cycles'!$BG$8:$BM$8,1,AA10),'Lease Cycles'!$AX$8&lt;=AA$6),'Lease Cycles'!$C$8*'Lease Cycles'!$AY$8/12,IF(AND('Lease Cycles'!$AV$8&gt;=INDEX('Lease Cycles'!$BG$8:$BM$8,1,AA10),'Lease Cycles'!$AV$8&lt;=AA$6),'Lease Cycles'!$C$8*'Lease Cycles'!$AW$8/12,IF(AND('Lease Cycles'!$AT$8&gt;=INDEX('Lease Cycles'!$BG$8:$BM$8,1,AA10),'Lease Cycles'!$AT$8&lt;=AA$6),'Lease Cycles'!$C$8*'Lease Cycles'!$AU$8/12,'Lease Cycles'!$C$8*INDEX('Lease Cycles'!$CB$8:$CH$8,1,AA10)*(1+INDEX('Lease Cycles'!$CI$8:$CO$8,1,AA10))^INT(INT(AA11/12)/INDEX('Lease Cycles'!$CP$8:$CV$8,1,AA10))/12)))),'Lease Cycles'!$C$8*INDEX('Lease Cycles'!$CB$8:$CH$8,1,AA10)*(1+INDEX('Lease Cycles'!$CI$8:$CO$8,1,AA10))^INT(INT(AA11/12)/INDEX('Lease Cycles'!$CP$8:$CV$8,1,AA10))/12))),IF('Lease Cycles'!$N$8=1,'Lease Cycles'!$C$8*'Lease Cycles'!$E$8*INDEX('Lease Cycles'!$HE$8:$HK$8,1,AA10)*(1+INDEX('Lease Cycles'!$GQ$8:$GW$8,1,AA10))^INT(INT((AA$6-INDEX('Lease Cycles'!$GJ$8:$GP$8,1,AA10))/12)/INDEX('Lease Cycles'!$GX$8:$HD$8,1,AA10))/12,0)))</f>
        <v>38666.666666666664</v>
      </c>
      <c r="AB13" s="28">
        <f>IF(AB10=0,IF('Lease Cycles'!$F$8&gt;0,'Lease Cycles'!$C$8*'Lease Cycles'!$E$8/12,0),IF(AB12=1,IF('Lease Cycles'!$AT$8&gt;=9999,'Lease Cycles'!$C$8*INDEX('Lease Cycles'!$CB$8:$CH$8,1,AB10)*(1+INDEX('Lease Cycles'!$CI$8:$CO$8,1,AB10))^INT(INT(AB11/12)/INDEX('Lease Cycles'!$CP$8:$CV$8,1,AB10))/12,IF(AB10=1,IF(AB11&gt;=INDEX('Lease Cycles'!$DK$8:$DQ$8,1,AB10),IF(AB$6&gt;='Lease Cycles'!$AZ$8,'Lease Cycles'!$C$8*'Lease Cycles'!$BA$8/12,IF(AB$6&gt;='Lease Cycles'!$AX$8,'Lease Cycles'!$C$8*'Lease Cycles'!$AY$8/12,IF(AB$6&gt;='Lease Cycles'!$AV$8,'Lease Cycles'!$C$8*'Lease Cycles'!$AW$8/12,IF(AB$6&gt;='Lease Cycles'!$AT$8,'Lease Cycles'!$C$8*'Lease Cycles'!$AU$8/12,'Lease Cycles'!$C$8*INDEX('Lease Cycles'!$CB$8:$CH$8,1,AB10)*(1+INDEX('Lease Cycles'!$CI$8:$CO$8,1,AB10))^INT(INT(AB11/12)/INDEX('Lease Cycles'!$CP$8:$CV$8,1,AB10))/12)))),'Lease Cycles'!$C$8*INDEX('Lease Cycles'!$CB$8:$CH$8,1,AB10)*(1+INDEX('Lease Cycles'!$CI$8:$CO$8,1,AB10))^INT(INT(AB11/12)/INDEX('Lease Cycles'!$CP$8:$CV$8,1,AB10))/12),IF(INDEX('Lease Cycles'!$EF$8:$EL$8,1,AB10)=1,IF(AND('Lease Cycles'!$AZ$8&gt;=INDEX('Lease Cycles'!$BG$8:$BM$8,1,AB10),'Lease Cycles'!$AZ$8&lt;=AB$6),'Lease Cycles'!$C$8*'Lease Cycles'!$BA$8/12,IF(AND('Lease Cycles'!$AX$8&gt;=INDEX('Lease Cycles'!$BG$8:$BM$8,1,AB10),'Lease Cycles'!$AX$8&lt;=AB$6),'Lease Cycles'!$C$8*'Lease Cycles'!$AY$8/12,IF(AND('Lease Cycles'!$AV$8&gt;=INDEX('Lease Cycles'!$BG$8:$BM$8,1,AB10),'Lease Cycles'!$AV$8&lt;=AB$6),'Lease Cycles'!$C$8*'Lease Cycles'!$AW$8/12,IF(AND('Lease Cycles'!$AT$8&gt;=INDEX('Lease Cycles'!$BG$8:$BM$8,1,AB10),'Lease Cycles'!$AT$8&lt;=AB$6),'Lease Cycles'!$C$8*'Lease Cycles'!$AU$8/12,'Lease Cycles'!$C$8*INDEX('Lease Cycles'!$CB$8:$CH$8,1,AB10)*(1+INDEX('Lease Cycles'!$CI$8:$CO$8,1,AB10))^INT(INT(AB11/12)/INDEX('Lease Cycles'!$CP$8:$CV$8,1,AB10))/12)))),'Lease Cycles'!$C$8*INDEX('Lease Cycles'!$CB$8:$CH$8,1,AB10)*(1+INDEX('Lease Cycles'!$CI$8:$CO$8,1,AB10))^INT(INT(AB11/12)/INDEX('Lease Cycles'!$CP$8:$CV$8,1,AB10))/12))),IF('Lease Cycles'!$N$8=1,'Lease Cycles'!$C$8*'Lease Cycles'!$E$8*INDEX('Lease Cycles'!$HE$8:$HK$8,1,AB10)*(1+INDEX('Lease Cycles'!$GQ$8:$GW$8,1,AB10))^INT(INT((AB$6-INDEX('Lease Cycles'!$GJ$8:$GP$8,1,AB10))/12)/INDEX('Lease Cycles'!$GX$8:$HD$8,1,AB10))/12,0)))</f>
        <v>38666.666666666664</v>
      </c>
      <c r="AC13" s="28">
        <f>IF(AC10=0,IF('Lease Cycles'!$F$8&gt;0,'Lease Cycles'!$C$8*'Lease Cycles'!$E$8/12,0),IF(AC12=1,IF('Lease Cycles'!$AT$8&gt;=9999,'Lease Cycles'!$C$8*INDEX('Lease Cycles'!$CB$8:$CH$8,1,AC10)*(1+INDEX('Lease Cycles'!$CI$8:$CO$8,1,AC10))^INT(INT(AC11/12)/INDEX('Lease Cycles'!$CP$8:$CV$8,1,AC10))/12,IF(AC10=1,IF(AC11&gt;=INDEX('Lease Cycles'!$DK$8:$DQ$8,1,AC10),IF(AC$6&gt;='Lease Cycles'!$AZ$8,'Lease Cycles'!$C$8*'Lease Cycles'!$BA$8/12,IF(AC$6&gt;='Lease Cycles'!$AX$8,'Lease Cycles'!$C$8*'Lease Cycles'!$AY$8/12,IF(AC$6&gt;='Lease Cycles'!$AV$8,'Lease Cycles'!$C$8*'Lease Cycles'!$AW$8/12,IF(AC$6&gt;='Lease Cycles'!$AT$8,'Lease Cycles'!$C$8*'Lease Cycles'!$AU$8/12,'Lease Cycles'!$C$8*INDEX('Lease Cycles'!$CB$8:$CH$8,1,AC10)*(1+INDEX('Lease Cycles'!$CI$8:$CO$8,1,AC10))^INT(INT(AC11/12)/INDEX('Lease Cycles'!$CP$8:$CV$8,1,AC10))/12)))),'Lease Cycles'!$C$8*INDEX('Lease Cycles'!$CB$8:$CH$8,1,AC10)*(1+INDEX('Lease Cycles'!$CI$8:$CO$8,1,AC10))^INT(INT(AC11/12)/INDEX('Lease Cycles'!$CP$8:$CV$8,1,AC10))/12),IF(INDEX('Lease Cycles'!$EF$8:$EL$8,1,AC10)=1,IF(AND('Lease Cycles'!$AZ$8&gt;=INDEX('Lease Cycles'!$BG$8:$BM$8,1,AC10),'Lease Cycles'!$AZ$8&lt;=AC$6),'Lease Cycles'!$C$8*'Lease Cycles'!$BA$8/12,IF(AND('Lease Cycles'!$AX$8&gt;=INDEX('Lease Cycles'!$BG$8:$BM$8,1,AC10),'Lease Cycles'!$AX$8&lt;=AC$6),'Lease Cycles'!$C$8*'Lease Cycles'!$AY$8/12,IF(AND('Lease Cycles'!$AV$8&gt;=INDEX('Lease Cycles'!$BG$8:$BM$8,1,AC10),'Lease Cycles'!$AV$8&lt;=AC$6),'Lease Cycles'!$C$8*'Lease Cycles'!$AW$8/12,IF(AND('Lease Cycles'!$AT$8&gt;=INDEX('Lease Cycles'!$BG$8:$BM$8,1,AC10),'Lease Cycles'!$AT$8&lt;=AC$6),'Lease Cycles'!$C$8*'Lease Cycles'!$AU$8/12,'Lease Cycles'!$C$8*INDEX('Lease Cycles'!$CB$8:$CH$8,1,AC10)*(1+INDEX('Lease Cycles'!$CI$8:$CO$8,1,AC10))^INT(INT(AC11/12)/INDEX('Lease Cycles'!$CP$8:$CV$8,1,AC10))/12)))),'Lease Cycles'!$C$8*INDEX('Lease Cycles'!$CB$8:$CH$8,1,AC10)*(1+INDEX('Lease Cycles'!$CI$8:$CO$8,1,AC10))^INT(INT(AC11/12)/INDEX('Lease Cycles'!$CP$8:$CV$8,1,AC10))/12))),IF('Lease Cycles'!$N$8=1,'Lease Cycles'!$C$8*'Lease Cycles'!$E$8*INDEX('Lease Cycles'!$HE$8:$HK$8,1,AC10)*(1+INDEX('Lease Cycles'!$GQ$8:$GW$8,1,AC10))^INT(INT((AC$6-INDEX('Lease Cycles'!$GJ$8:$GP$8,1,AC10))/12)/INDEX('Lease Cycles'!$GX$8:$HD$8,1,AC10))/12,0)))</f>
        <v>38666.666666666664</v>
      </c>
      <c r="AD13" s="28">
        <f>IF(AD10=0,IF('Lease Cycles'!$F$8&gt;0,'Lease Cycles'!$C$8*'Lease Cycles'!$E$8/12,0),IF(AD12=1,IF('Lease Cycles'!$AT$8&gt;=9999,'Lease Cycles'!$C$8*INDEX('Lease Cycles'!$CB$8:$CH$8,1,AD10)*(1+INDEX('Lease Cycles'!$CI$8:$CO$8,1,AD10))^INT(INT(AD11/12)/INDEX('Lease Cycles'!$CP$8:$CV$8,1,AD10))/12,IF(AD10=1,IF(AD11&gt;=INDEX('Lease Cycles'!$DK$8:$DQ$8,1,AD10),IF(AD$6&gt;='Lease Cycles'!$AZ$8,'Lease Cycles'!$C$8*'Lease Cycles'!$BA$8/12,IF(AD$6&gt;='Lease Cycles'!$AX$8,'Lease Cycles'!$C$8*'Lease Cycles'!$AY$8/12,IF(AD$6&gt;='Lease Cycles'!$AV$8,'Lease Cycles'!$C$8*'Lease Cycles'!$AW$8/12,IF(AD$6&gt;='Lease Cycles'!$AT$8,'Lease Cycles'!$C$8*'Lease Cycles'!$AU$8/12,'Lease Cycles'!$C$8*INDEX('Lease Cycles'!$CB$8:$CH$8,1,AD10)*(1+INDEX('Lease Cycles'!$CI$8:$CO$8,1,AD10))^INT(INT(AD11/12)/INDEX('Lease Cycles'!$CP$8:$CV$8,1,AD10))/12)))),'Lease Cycles'!$C$8*INDEX('Lease Cycles'!$CB$8:$CH$8,1,AD10)*(1+INDEX('Lease Cycles'!$CI$8:$CO$8,1,AD10))^INT(INT(AD11/12)/INDEX('Lease Cycles'!$CP$8:$CV$8,1,AD10))/12),IF(INDEX('Lease Cycles'!$EF$8:$EL$8,1,AD10)=1,IF(AND('Lease Cycles'!$AZ$8&gt;=INDEX('Lease Cycles'!$BG$8:$BM$8,1,AD10),'Lease Cycles'!$AZ$8&lt;=AD$6),'Lease Cycles'!$C$8*'Lease Cycles'!$BA$8/12,IF(AND('Lease Cycles'!$AX$8&gt;=INDEX('Lease Cycles'!$BG$8:$BM$8,1,AD10),'Lease Cycles'!$AX$8&lt;=AD$6),'Lease Cycles'!$C$8*'Lease Cycles'!$AY$8/12,IF(AND('Lease Cycles'!$AV$8&gt;=INDEX('Lease Cycles'!$BG$8:$BM$8,1,AD10),'Lease Cycles'!$AV$8&lt;=AD$6),'Lease Cycles'!$C$8*'Lease Cycles'!$AW$8/12,IF(AND('Lease Cycles'!$AT$8&gt;=INDEX('Lease Cycles'!$BG$8:$BM$8,1,AD10),'Lease Cycles'!$AT$8&lt;=AD$6),'Lease Cycles'!$C$8*'Lease Cycles'!$AU$8/12,'Lease Cycles'!$C$8*INDEX('Lease Cycles'!$CB$8:$CH$8,1,AD10)*(1+INDEX('Lease Cycles'!$CI$8:$CO$8,1,AD10))^INT(INT(AD11/12)/INDEX('Lease Cycles'!$CP$8:$CV$8,1,AD10))/12)))),'Lease Cycles'!$C$8*INDEX('Lease Cycles'!$CB$8:$CH$8,1,AD10)*(1+INDEX('Lease Cycles'!$CI$8:$CO$8,1,AD10))^INT(INT(AD11/12)/INDEX('Lease Cycles'!$CP$8:$CV$8,1,AD10))/12))),IF('Lease Cycles'!$N$8=1,'Lease Cycles'!$C$8*'Lease Cycles'!$E$8*INDEX('Lease Cycles'!$HE$8:$HK$8,1,AD10)*(1+INDEX('Lease Cycles'!$GQ$8:$GW$8,1,AD10))^INT(INT((AD$6-INDEX('Lease Cycles'!$GJ$8:$GP$8,1,AD10))/12)/INDEX('Lease Cycles'!$GX$8:$HD$8,1,AD10))/12,0)))</f>
        <v>38666.666666666664</v>
      </c>
      <c r="AE13" s="28">
        <f>IF(AE10=0,IF('Lease Cycles'!$F$8&gt;0,'Lease Cycles'!$C$8*'Lease Cycles'!$E$8/12,0),IF(AE12=1,IF('Lease Cycles'!$AT$8&gt;=9999,'Lease Cycles'!$C$8*INDEX('Lease Cycles'!$CB$8:$CH$8,1,AE10)*(1+INDEX('Lease Cycles'!$CI$8:$CO$8,1,AE10))^INT(INT(AE11/12)/INDEX('Lease Cycles'!$CP$8:$CV$8,1,AE10))/12,IF(AE10=1,IF(AE11&gt;=INDEX('Lease Cycles'!$DK$8:$DQ$8,1,AE10),IF(AE$6&gt;='Lease Cycles'!$AZ$8,'Lease Cycles'!$C$8*'Lease Cycles'!$BA$8/12,IF(AE$6&gt;='Lease Cycles'!$AX$8,'Lease Cycles'!$C$8*'Lease Cycles'!$AY$8/12,IF(AE$6&gt;='Lease Cycles'!$AV$8,'Lease Cycles'!$C$8*'Lease Cycles'!$AW$8/12,IF(AE$6&gt;='Lease Cycles'!$AT$8,'Lease Cycles'!$C$8*'Lease Cycles'!$AU$8/12,'Lease Cycles'!$C$8*INDEX('Lease Cycles'!$CB$8:$CH$8,1,AE10)*(1+INDEX('Lease Cycles'!$CI$8:$CO$8,1,AE10))^INT(INT(AE11/12)/INDEX('Lease Cycles'!$CP$8:$CV$8,1,AE10))/12)))),'Lease Cycles'!$C$8*INDEX('Lease Cycles'!$CB$8:$CH$8,1,AE10)*(1+INDEX('Lease Cycles'!$CI$8:$CO$8,1,AE10))^INT(INT(AE11/12)/INDEX('Lease Cycles'!$CP$8:$CV$8,1,AE10))/12),IF(INDEX('Lease Cycles'!$EF$8:$EL$8,1,AE10)=1,IF(AND('Lease Cycles'!$AZ$8&gt;=INDEX('Lease Cycles'!$BG$8:$BM$8,1,AE10),'Lease Cycles'!$AZ$8&lt;=AE$6),'Lease Cycles'!$C$8*'Lease Cycles'!$BA$8/12,IF(AND('Lease Cycles'!$AX$8&gt;=INDEX('Lease Cycles'!$BG$8:$BM$8,1,AE10),'Lease Cycles'!$AX$8&lt;=AE$6),'Lease Cycles'!$C$8*'Lease Cycles'!$AY$8/12,IF(AND('Lease Cycles'!$AV$8&gt;=INDEX('Lease Cycles'!$BG$8:$BM$8,1,AE10),'Lease Cycles'!$AV$8&lt;=AE$6),'Lease Cycles'!$C$8*'Lease Cycles'!$AW$8/12,IF(AND('Lease Cycles'!$AT$8&gt;=INDEX('Lease Cycles'!$BG$8:$BM$8,1,AE10),'Lease Cycles'!$AT$8&lt;=AE$6),'Lease Cycles'!$C$8*'Lease Cycles'!$AU$8/12,'Lease Cycles'!$C$8*INDEX('Lease Cycles'!$CB$8:$CH$8,1,AE10)*(1+INDEX('Lease Cycles'!$CI$8:$CO$8,1,AE10))^INT(INT(AE11/12)/INDEX('Lease Cycles'!$CP$8:$CV$8,1,AE10))/12)))),'Lease Cycles'!$C$8*INDEX('Lease Cycles'!$CB$8:$CH$8,1,AE10)*(1+INDEX('Lease Cycles'!$CI$8:$CO$8,1,AE10))^INT(INT(AE11/12)/INDEX('Lease Cycles'!$CP$8:$CV$8,1,AE10))/12))),IF('Lease Cycles'!$N$8=1,'Lease Cycles'!$C$8*'Lease Cycles'!$E$8*INDEX('Lease Cycles'!$HE$8:$HK$8,1,AE10)*(1+INDEX('Lease Cycles'!$GQ$8:$GW$8,1,AE10))^INT(INT((AE$6-INDEX('Lease Cycles'!$GJ$8:$GP$8,1,AE10))/12)/INDEX('Lease Cycles'!$GX$8:$HD$8,1,AE10))/12,0)))</f>
        <v>38666.666666666664</v>
      </c>
      <c r="AF13" s="28">
        <f>IF(AF10=0,IF('Lease Cycles'!$F$8&gt;0,'Lease Cycles'!$C$8*'Lease Cycles'!$E$8/12,0),IF(AF12=1,IF('Lease Cycles'!$AT$8&gt;=9999,'Lease Cycles'!$C$8*INDEX('Lease Cycles'!$CB$8:$CH$8,1,AF10)*(1+INDEX('Lease Cycles'!$CI$8:$CO$8,1,AF10))^INT(INT(AF11/12)/INDEX('Lease Cycles'!$CP$8:$CV$8,1,AF10))/12,IF(AF10=1,IF(AF11&gt;=INDEX('Lease Cycles'!$DK$8:$DQ$8,1,AF10),IF(AF$6&gt;='Lease Cycles'!$AZ$8,'Lease Cycles'!$C$8*'Lease Cycles'!$BA$8/12,IF(AF$6&gt;='Lease Cycles'!$AX$8,'Lease Cycles'!$C$8*'Lease Cycles'!$AY$8/12,IF(AF$6&gt;='Lease Cycles'!$AV$8,'Lease Cycles'!$C$8*'Lease Cycles'!$AW$8/12,IF(AF$6&gt;='Lease Cycles'!$AT$8,'Lease Cycles'!$C$8*'Lease Cycles'!$AU$8/12,'Lease Cycles'!$C$8*INDEX('Lease Cycles'!$CB$8:$CH$8,1,AF10)*(1+INDEX('Lease Cycles'!$CI$8:$CO$8,1,AF10))^INT(INT(AF11/12)/INDEX('Lease Cycles'!$CP$8:$CV$8,1,AF10))/12)))),'Lease Cycles'!$C$8*INDEX('Lease Cycles'!$CB$8:$CH$8,1,AF10)*(1+INDEX('Lease Cycles'!$CI$8:$CO$8,1,AF10))^INT(INT(AF11/12)/INDEX('Lease Cycles'!$CP$8:$CV$8,1,AF10))/12),IF(INDEX('Lease Cycles'!$EF$8:$EL$8,1,AF10)=1,IF(AND('Lease Cycles'!$AZ$8&gt;=INDEX('Lease Cycles'!$BG$8:$BM$8,1,AF10),'Lease Cycles'!$AZ$8&lt;=AF$6),'Lease Cycles'!$C$8*'Lease Cycles'!$BA$8/12,IF(AND('Lease Cycles'!$AX$8&gt;=INDEX('Lease Cycles'!$BG$8:$BM$8,1,AF10),'Lease Cycles'!$AX$8&lt;=AF$6),'Lease Cycles'!$C$8*'Lease Cycles'!$AY$8/12,IF(AND('Lease Cycles'!$AV$8&gt;=INDEX('Lease Cycles'!$BG$8:$BM$8,1,AF10),'Lease Cycles'!$AV$8&lt;=AF$6),'Lease Cycles'!$C$8*'Lease Cycles'!$AW$8/12,IF(AND('Lease Cycles'!$AT$8&gt;=INDEX('Lease Cycles'!$BG$8:$BM$8,1,AF10),'Lease Cycles'!$AT$8&lt;=AF$6),'Lease Cycles'!$C$8*'Lease Cycles'!$AU$8/12,'Lease Cycles'!$C$8*INDEX('Lease Cycles'!$CB$8:$CH$8,1,AF10)*(1+INDEX('Lease Cycles'!$CI$8:$CO$8,1,AF10))^INT(INT(AF11/12)/INDEX('Lease Cycles'!$CP$8:$CV$8,1,AF10))/12)))),'Lease Cycles'!$C$8*INDEX('Lease Cycles'!$CB$8:$CH$8,1,AF10)*(1+INDEX('Lease Cycles'!$CI$8:$CO$8,1,AF10))^INT(INT(AF11/12)/INDEX('Lease Cycles'!$CP$8:$CV$8,1,AF10))/12))),IF('Lease Cycles'!$N$8=1,'Lease Cycles'!$C$8*'Lease Cycles'!$E$8*INDEX('Lease Cycles'!$HE$8:$HK$8,1,AF10)*(1+INDEX('Lease Cycles'!$GQ$8:$GW$8,1,AF10))^INT(INT((AF$6-INDEX('Lease Cycles'!$GJ$8:$GP$8,1,AF10))/12)/INDEX('Lease Cycles'!$GX$8:$HD$8,1,AF10))/12,0)))</f>
        <v>38666.666666666664</v>
      </c>
      <c r="AG13" s="28">
        <f>IF(AG10=0,IF('Lease Cycles'!$F$8&gt;0,'Lease Cycles'!$C$8*'Lease Cycles'!$E$8/12,0),IF(AG12=1,IF('Lease Cycles'!$AT$8&gt;=9999,'Lease Cycles'!$C$8*INDEX('Lease Cycles'!$CB$8:$CH$8,1,AG10)*(1+INDEX('Lease Cycles'!$CI$8:$CO$8,1,AG10))^INT(INT(AG11/12)/INDEX('Lease Cycles'!$CP$8:$CV$8,1,AG10))/12,IF(AG10=1,IF(AG11&gt;=INDEX('Lease Cycles'!$DK$8:$DQ$8,1,AG10),IF(AG$6&gt;='Lease Cycles'!$AZ$8,'Lease Cycles'!$C$8*'Lease Cycles'!$BA$8/12,IF(AG$6&gt;='Lease Cycles'!$AX$8,'Lease Cycles'!$C$8*'Lease Cycles'!$AY$8/12,IF(AG$6&gt;='Lease Cycles'!$AV$8,'Lease Cycles'!$C$8*'Lease Cycles'!$AW$8/12,IF(AG$6&gt;='Lease Cycles'!$AT$8,'Lease Cycles'!$C$8*'Lease Cycles'!$AU$8/12,'Lease Cycles'!$C$8*INDEX('Lease Cycles'!$CB$8:$CH$8,1,AG10)*(1+INDEX('Lease Cycles'!$CI$8:$CO$8,1,AG10))^INT(INT(AG11/12)/INDEX('Lease Cycles'!$CP$8:$CV$8,1,AG10))/12)))),'Lease Cycles'!$C$8*INDEX('Lease Cycles'!$CB$8:$CH$8,1,AG10)*(1+INDEX('Lease Cycles'!$CI$8:$CO$8,1,AG10))^INT(INT(AG11/12)/INDEX('Lease Cycles'!$CP$8:$CV$8,1,AG10))/12),IF(INDEX('Lease Cycles'!$EF$8:$EL$8,1,AG10)=1,IF(AND('Lease Cycles'!$AZ$8&gt;=INDEX('Lease Cycles'!$BG$8:$BM$8,1,AG10),'Lease Cycles'!$AZ$8&lt;=AG$6),'Lease Cycles'!$C$8*'Lease Cycles'!$BA$8/12,IF(AND('Lease Cycles'!$AX$8&gt;=INDEX('Lease Cycles'!$BG$8:$BM$8,1,AG10),'Lease Cycles'!$AX$8&lt;=AG$6),'Lease Cycles'!$C$8*'Lease Cycles'!$AY$8/12,IF(AND('Lease Cycles'!$AV$8&gt;=INDEX('Lease Cycles'!$BG$8:$BM$8,1,AG10),'Lease Cycles'!$AV$8&lt;=AG$6),'Lease Cycles'!$C$8*'Lease Cycles'!$AW$8/12,IF(AND('Lease Cycles'!$AT$8&gt;=INDEX('Lease Cycles'!$BG$8:$BM$8,1,AG10),'Lease Cycles'!$AT$8&lt;=AG$6),'Lease Cycles'!$C$8*'Lease Cycles'!$AU$8/12,'Lease Cycles'!$C$8*INDEX('Lease Cycles'!$CB$8:$CH$8,1,AG10)*(1+INDEX('Lease Cycles'!$CI$8:$CO$8,1,AG10))^INT(INT(AG11/12)/INDEX('Lease Cycles'!$CP$8:$CV$8,1,AG10))/12)))),'Lease Cycles'!$C$8*INDEX('Lease Cycles'!$CB$8:$CH$8,1,AG10)*(1+INDEX('Lease Cycles'!$CI$8:$CO$8,1,AG10))^INT(INT(AG11/12)/INDEX('Lease Cycles'!$CP$8:$CV$8,1,AG10))/12))),IF('Lease Cycles'!$N$8=1,'Lease Cycles'!$C$8*'Lease Cycles'!$E$8*INDEX('Lease Cycles'!$HE$8:$HK$8,1,AG10)*(1+INDEX('Lease Cycles'!$GQ$8:$GW$8,1,AG10))^INT(INT((AG$6-INDEX('Lease Cycles'!$GJ$8:$GP$8,1,AG10))/12)/INDEX('Lease Cycles'!$GX$8:$HD$8,1,AG10))/12,0)))</f>
        <v>38666.666666666664</v>
      </c>
      <c r="AH13" s="28">
        <f>IF(AH10=0,IF('Lease Cycles'!$F$8&gt;0,'Lease Cycles'!$C$8*'Lease Cycles'!$E$8/12,0),IF(AH12=1,IF('Lease Cycles'!$AT$8&gt;=9999,'Lease Cycles'!$C$8*INDEX('Lease Cycles'!$CB$8:$CH$8,1,AH10)*(1+INDEX('Lease Cycles'!$CI$8:$CO$8,1,AH10))^INT(INT(AH11/12)/INDEX('Lease Cycles'!$CP$8:$CV$8,1,AH10))/12,IF(AH10=1,IF(AH11&gt;=INDEX('Lease Cycles'!$DK$8:$DQ$8,1,AH10),IF(AH$6&gt;='Lease Cycles'!$AZ$8,'Lease Cycles'!$C$8*'Lease Cycles'!$BA$8/12,IF(AH$6&gt;='Lease Cycles'!$AX$8,'Lease Cycles'!$C$8*'Lease Cycles'!$AY$8/12,IF(AH$6&gt;='Lease Cycles'!$AV$8,'Lease Cycles'!$C$8*'Lease Cycles'!$AW$8/12,IF(AH$6&gt;='Lease Cycles'!$AT$8,'Lease Cycles'!$C$8*'Lease Cycles'!$AU$8/12,'Lease Cycles'!$C$8*INDEX('Lease Cycles'!$CB$8:$CH$8,1,AH10)*(1+INDEX('Lease Cycles'!$CI$8:$CO$8,1,AH10))^INT(INT(AH11/12)/INDEX('Lease Cycles'!$CP$8:$CV$8,1,AH10))/12)))),'Lease Cycles'!$C$8*INDEX('Lease Cycles'!$CB$8:$CH$8,1,AH10)*(1+INDEX('Lease Cycles'!$CI$8:$CO$8,1,AH10))^INT(INT(AH11/12)/INDEX('Lease Cycles'!$CP$8:$CV$8,1,AH10))/12),IF(INDEX('Lease Cycles'!$EF$8:$EL$8,1,AH10)=1,IF(AND('Lease Cycles'!$AZ$8&gt;=INDEX('Lease Cycles'!$BG$8:$BM$8,1,AH10),'Lease Cycles'!$AZ$8&lt;=AH$6),'Lease Cycles'!$C$8*'Lease Cycles'!$BA$8/12,IF(AND('Lease Cycles'!$AX$8&gt;=INDEX('Lease Cycles'!$BG$8:$BM$8,1,AH10),'Lease Cycles'!$AX$8&lt;=AH$6),'Lease Cycles'!$C$8*'Lease Cycles'!$AY$8/12,IF(AND('Lease Cycles'!$AV$8&gt;=INDEX('Lease Cycles'!$BG$8:$BM$8,1,AH10),'Lease Cycles'!$AV$8&lt;=AH$6),'Lease Cycles'!$C$8*'Lease Cycles'!$AW$8/12,IF(AND('Lease Cycles'!$AT$8&gt;=INDEX('Lease Cycles'!$BG$8:$BM$8,1,AH10),'Lease Cycles'!$AT$8&lt;=AH$6),'Lease Cycles'!$C$8*'Lease Cycles'!$AU$8/12,'Lease Cycles'!$C$8*INDEX('Lease Cycles'!$CB$8:$CH$8,1,AH10)*(1+INDEX('Lease Cycles'!$CI$8:$CO$8,1,AH10))^INT(INT(AH11/12)/INDEX('Lease Cycles'!$CP$8:$CV$8,1,AH10))/12)))),'Lease Cycles'!$C$8*INDEX('Lease Cycles'!$CB$8:$CH$8,1,AH10)*(1+INDEX('Lease Cycles'!$CI$8:$CO$8,1,AH10))^INT(INT(AH11/12)/INDEX('Lease Cycles'!$CP$8:$CV$8,1,AH10))/12))),IF('Lease Cycles'!$N$8=1,'Lease Cycles'!$C$8*'Lease Cycles'!$E$8*INDEX('Lease Cycles'!$HE$8:$HK$8,1,AH10)*(1+INDEX('Lease Cycles'!$GQ$8:$GW$8,1,AH10))^INT(INT((AH$6-INDEX('Lease Cycles'!$GJ$8:$GP$8,1,AH10))/12)/INDEX('Lease Cycles'!$GX$8:$HD$8,1,AH10))/12,0)))</f>
        <v>38666.666666666664</v>
      </c>
      <c r="AI13" s="28">
        <f>IF(AI10=0,IF('Lease Cycles'!$F$8&gt;0,'Lease Cycles'!$C$8*'Lease Cycles'!$E$8/12,0),IF(AI12=1,IF('Lease Cycles'!$AT$8&gt;=9999,'Lease Cycles'!$C$8*INDEX('Lease Cycles'!$CB$8:$CH$8,1,AI10)*(1+INDEX('Lease Cycles'!$CI$8:$CO$8,1,AI10))^INT(INT(AI11/12)/INDEX('Lease Cycles'!$CP$8:$CV$8,1,AI10))/12,IF(AI10=1,IF(AI11&gt;=INDEX('Lease Cycles'!$DK$8:$DQ$8,1,AI10),IF(AI$6&gt;='Lease Cycles'!$AZ$8,'Lease Cycles'!$C$8*'Lease Cycles'!$BA$8/12,IF(AI$6&gt;='Lease Cycles'!$AX$8,'Lease Cycles'!$C$8*'Lease Cycles'!$AY$8/12,IF(AI$6&gt;='Lease Cycles'!$AV$8,'Lease Cycles'!$C$8*'Lease Cycles'!$AW$8/12,IF(AI$6&gt;='Lease Cycles'!$AT$8,'Lease Cycles'!$C$8*'Lease Cycles'!$AU$8/12,'Lease Cycles'!$C$8*INDEX('Lease Cycles'!$CB$8:$CH$8,1,AI10)*(1+INDEX('Lease Cycles'!$CI$8:$CO$8,1,AI10))^INT(INT(AI11/12)/INDEX('Lease Cycles'!$CP$8:$CV$8,1,AI10))/12)))),'Lease Cycles'!$C$8*INDEX('Lease Cycles'!$CB$8:$CH$8,1,AI10)*(1+INDEX('Lease Cycles'!$CI$8:$CO$8,1,AI10))^INT(INT(AI11/12)/INDEX('Lease Cycles'!$CP$8:$CV$8,1,AI10))/12),IF(INDEX('Lease Cycles'!$EF$8:$EL$8,1,AI10)=1,IF(AND('Lease Cycles'!$AZ$8&gt;=INDEX('Lease Cycles'!$BG$8:$BM$8,1,AI10),'Lease Cycles'!$AZ$8&lt;=AI$6),'Lease Cycles'!$C$8*'Lease Cycles'!$BA$8/12,IF(AND('Lease Cycles'!$AX$8&gt;=INDEX('Lease Cycles'!$BG$8:$BM$8,1,AI10),'Lease Cycles'!$AX$8&lt;=AI$6),'Lease Cycles'!$C$8*'Lease Cycles'!$AY$8/12,IF(AND('Lease Cycles'!$AV$8&gt;=INDEX('Lease Cycles'!$BG$8:$BM$8,1,AI10),'Lease Cycles'!$AV$8&lt;=AI$6),'Lease Cycles'!$C$8*'Lease Cycles'!$AW$8/12,IF(AND('Lease Cycles'!$AT$8&gt;=INDEX('Lease Cycles'!$BG$8:$BM$8,1,AI10),'Lease Cycles'!$AT$8&lt;=AI$6),'Lease Cycles'!$C$8*'Lease Cycles'!$AU$8/12,'Lease Cycles'!$C$8*INDEX('Lease Cycles'!$CB$8:$CH$8,1,AI10)*(1+INDEX('Lease Cycles'!$CI$8:$CO$8,1,AI10))^INT(INT(AI11/12)/INDEX('Lease Cycles'!$CP$8:$CV$8,1,AI10))/12)))),'Lease Cycles'!$C$8*INDEX('Lease Cycles'!$CB$8:$CH$8,1,AI10)*(1+INDEX('Lease Cycles'!$CI$8:$CO$8,1,AI10))^INT(INT(AI11/12)/INDEX('Lease Cycles'!$CP$8:$CV$8,1,AI10))/12))),IF('Lease Cycles'!$N$8=1,'Lease Cycles'!$C$8*'Lease Cycles'!$E$8*INDEX('Lease Cycles'!$HE$8:$HK$8,1,AI10)*(1+INDEX('Lease Cycles'!$GQ$8:$GW$8,1,AI10))^INT(INT((AI$6-INDEX('Lease Cycles'!$GJ$8:$GP$8,1,AI10))/12)/INDEX('Lease Cycles'!$GX$8:$HD$8,1,AI10))/12,0)))</f>
        <v>38666.666666666664</v>
      </c>
      <c r="AJ13" s="28">
        <f>IF(AJ10=0,IF('Lease Cycles'!$F$8&gt;0,'Lease Cycles'!$C$8*'Lease Cycles'!$E$8/12,0),IF(AJ12=1,IF('Lease Cycles'!$AT$8&gt;=9999,'Lease Cycles'!$C$8*INDEX('Lease Cycles'!$CB$8:$CH$8,1,AJ10)*(1+INDEX('Lease Cycles'!$CI$8:$CO$8,1,AJ10))^INT(INT(AJ11/12)/INDEX('Lease Cycles'!$CP$8:$CV$8,1,AJ10))/12,IF(AJ10=1,IF(AJ11&gt;=INDEX('Lease Cycles'!$DK$8:$DQ$8,1,AJ10),IF(AJ$6&gt;='Lease Cycles'!$AZ$8,'Lease Cycles'!$C$8*'Lease Cycles'!$BA$8/12,IF(AJ$6&gt;='Lease Cycles'!$AX$8,'Lease Cycles'!$C$8*'Lease Cycles'!$AY$8/12,IF(AJ$6&gt;='Lease Cycles'!$AV$8,'Lease Cycles'!$C$8*'Lease Cycles'!$AW$8/12,IF(AJ$6&gt;='Lease Cycles'!$AT$8,'Lease Cycles'!$C$8*'Lease Cycles'!$AU$8/12,'Lease Cycles'!$C$8*INDEX('Lease Cycles'!$CB$8:$CH$8,1,AJ10)*(1+INDEX('Lease Cycles'!$CI$8:$CO$8,1,AJ10))^INT(INT(AJ11/12)/INDEX('Lease Cycles'!$CP$8:$CV$8,1,AJ10))/12)))),'Lease Cycles'!$C$8*INDEX('Lease Cycles'!$CB$8:$CH$8,1,AJ10)*(1+INDEX('Lease Cycles'!$CI$8:$CO$8,1,AJ10))^INT(INT(AJ11/12)/INDEX('Lease Cycles'!$CP$8:$CV$8,1,AJ10))/12),IF(INDEX('Lease Cycles'!$EF$8:$EL$8,1,AJ10)=1,IF(AND('Lease Cycles'!$AZ$8&gt;=INDEX('Lease Cycles'!$BG$8:$BM$8,1,AJ10),'Lease Cycles'!$AZ$8&lt;=AJ$6),'Lease Cycles'!$C$8*'Lease Cycles'!$BA$8/12,IF(AND('Lease Cycles'!$AX$8&gt;=INDEX('Lease Cycles'!$BG$8:$BM$8,1,AJ10),'Lease Cycles'!$AX$8&lt;=AJ$6),'Lease Cycles'!$C$8*'Lease Cycles'!$AY$8/12,IF(AND('Lease Cycles'!$AV$8&gt;=INDEX('Lease Cycles'!$BG$8:$BM$8,1,AJ10),'Lease Cycles'!$AV$8&lt;=AJ$6),'Lease Cycles'!$C$8*'Lease Cycles'!$AW$8/12,IF(AND('Lease Cycles'!$AT$8&gt;=INDEX('Lease Cycles'!$BG$8:$BM$8,1,AJ10),'Lease Cycles'!$AT$8&lt;=AJ$6),'Lease Cycles'!$C$8*'Lease Cycles'!$AU$8/12,'Lease Cycles'!$C$8*INDEX('Lease Cycles'!$CB$8:$CH$8,1,AJ10)*(1+INDEX('Lease Cycles'!$CI$8:$CO$8,1,AJ10))^INT(INT(AJ11/12)/INDEX('Lease Cycles'!$CP$8:$CV$8,1,AJ10))/12)))),'Lease Cycles'!$C$8*INDEX('Lease Cycles'!$CB$8:$CH$8,1,AJ10)*(1+INDEX('Lease Cycles'!$CI$8:$CO$8,1,AJ10))^INT(INT(AJ11/12)/INDEX('Lease Cycles'!$CP$8:$CV$8,1,AJ10))/12))),IF('Lease Cycles'!$N$8=1,'Lease Cycles'!$C$8*'Lease Cycles'!$E$8*INDEX('Lease Cycles'!$HE$8:$HK$8,1,AJ10)*(1+INDEX('Lease Cycles'!$GQ$8:$GW$8,1,AJ10))^INT(INT((AJ$6-INDEX('Lease Cycles'!$GJ$8:$GP$8,1,AJ10))/12)/INDEX('Lease Cycles'!$GX$8:$HD$8,1,AJ10))/12,0)))</f>
        <v>38666.666666666664</v>
      </c>
      <c r="AK13" s="28">
        <f>IF(AK10=0,IF('Lease Cycles'!$F$8&gt;0,'Lease Cycles'!$C$8*'Lease Cycles'!$E$8/12,0),IF(AK12=1,IF('Lease Cycles'!$AT$8&gt;=9999,'Lease Cycles'!$C$8*INDEX('Lease Cycles'!$CB$8:$CH$8,1,AK10)*(1+INDEX('Lease Cycles'!$CI$8:$CO$8,1,AK10))^INT(INT(AK11/12)/INDEX('Lease Cycles'!$CP$8:$CV$8,1,AK10))/12,IF(AK10=1,IF(AK11&gt;=INDEX('Lease Cycles'!$DK$8:$DQ$8,1,AK10),IF(AK$6&gt;='Lease Cycles'!$AZ$8,'Lease Cycles'!$C$8*'Lease Cycles'!$BA$8/12,IF(AK$6&gt;='Lease Cycles'!$AX$8,'Lease Cycles'!$C$8*'Lease Cycles'!$AY$8/12,IF(AK$6&gt;='Lease Cycles'!$AV$8,'Lease Cycles'!$C$8*'Lease Cycles'!$AW$8/12,IF(AK$6&gt;='Lease Cycles'!$AT$8,'Lease Cycles'!$C$8*'Lease Cycles'!$AU$8/12,'Lease Cycles'!$C$8*INDEX('Lease Cycles'!$CB$8:$CH$8,1,AK10)*(1+INDEX('Lease Cycles'!$CI$8:$CO$8,1,AK10))^INT(INT(AK11/12)/INDEX('Lease Cycles'!$CP$8:$CV$8,1,AK10))/12)))),'Lease Cycles'!$C$8*INDEX('Lease Cycles'!$CB$8:$CH$8,1,AK10)*(1+INDEX('Lease Cycles'!$CI$8:$CO$8,1,AK10))^INT(INT(AK11/12)/INDEX('Lease Cycles'!$CP$8:$CV$8,1,AK10))/12),IF(INDEX('Lease Cycles'!$EF$8:$EL$8,1,AK10)=1,IF(AND('Lease Cycles'!$AZ$8&gt;=INDEX('Lease Cycles'!$BG$8:$BM$8,1,AK10),'Lease Cycles'!$AZ$8&lt;=AK$6),'Lease Cycles'!$C$8*'Lease Cycles'!$BA$8/12,IF(AND('Lease Cycles'!$AX$8&gt;=INDEX('Lease Cycles'!$BG$8:$BM$8,1,AK10),'Lease Cycles'!$AX$8&lt;=AK$6),'Lease Cycles'!$C$8*'Lease Cycles'!$AY$8/12,IF(AND('Lease Cycles'!$AV$8&gt;=INDEX('Lease Cycles'!$BG$8:$BM$8,1,AK10),'Lease Cycles'!$AV$8&lt;=AK$6),'Lease Cycles'!$C$8*'Lease Cycles'!$AW$8/12,IF(AND('Lease Cycles'!$AT$8&gt;=INDEX('Lease Cycles'!$BG$8:$BM$8,1,AK10),'Lease Cycles'!$AT$8&lt;=AK$6),'Lease Cycles'!$C$8*'Lease Cycles'!$AU$8/12,'Lease Cycles'!$C$8*INDEX('Lease Cycles'!$CB$8:$CH$8,1,AK10)*(1+INDEX('Lease Cycles'!$CI$8:$CO$8,1,AK10))^INT(INT(AK11/12)/INDEX('Lease Cycles'!$CP$8:$CV$8,1,AK10))/12)))),'Lease Cycles'!$C$8*INDEX('Lease Cycles'!$CB$8:$CH$8,1,AK10)*(1+INDEX('Lease Cycles'!$CI$8:$CO$8,1,AK10))^INT(INT(AK11/12)/INDEX('Lease Cycles'!$CP$8:$CV$8,1,AK10))/12))),IF('Lease Cycles'!$N$8=1,'Lease Cycles'!$C$8*'Lease Cycles'!$E$8*INDEX('Lease Cycles'!$HE$8:$HK$8,1,AK10)*(1+INDEX('Lease Cycles'!$GQ$8:$GW$8,1,AK10))^INT(INT((AK$6-INDEX('Lease Cycles'!$GJ$8:$GP$8,1,AK10))/12)/INDEX('Lease Cycles'!$GX$8:$HD$8,1,AK10))/12,0)))</f>
        <v>38666.666666666664</v>
      </c>
      <c r="AL13" s="28">
        <f>IF(AL10=0,IF('Lease Cycles'!$F$8&gt;0,'Lease Cycles'!$C$8*'Lease Cycles'!$E$8/12,0),IF(AL12=1,IF('Lease Cycles'!$AT$8&gt;=9999,'Lease Cycles'!$C$8*INDEX('Lease Cycles'!$CB$8:$CH$8,1,AL10)*(1+INDEX('Lease Cycles'!$CI$8:$CO$8,1,AL10))^INT(INT(AL11/12)/INDEX('Lease Cycles'!$CP$8:$CV$8,1,AL10))/12,IF(AL10=1,IF(AL11&gt;=INDEX('Lease Cycles'!$DK$8:$DQ$8,1,AL10),IF(AL$6&gt;='Lease Cycles'!$AZ$8,'Lease Cycles'!$C$8*'Lease Cycles'!$BA$8/12,IF(AL$6&gt;='Lease Cycles'!$AX$8,'Lease Cycles'!$C$8*'Lease Cycles'!$AY$8/12,IF(AL$6&gt;='Lease Cycles'!$AV$8,'Lease Cycles'!$C$8*'Lease Cycles'!$AW$8/12,IF(AL$6&gt;='Lease Cycles'!$AT$8,'Lease Cycles'!$C$8*'Lease Cycles'!$AU$8/12,'Lease Cycles'!$C$8*INDEX('Lease Cycles'!$CB$8:$CH$8,1,AL10)*(1+INDEX('Lease Cycles'!$CI$8:$CO$8,1,AL10))^INT(INT(AL11/12)/INDEX('Lease Cycles'!$CP$8:$CV$8,1,AL10))/12)))),'Lease Cycles'!$C$8*INDEX('Lease Cycles'!$CB$8:$CH$8,1,AL10)*(1+INDEX('Lease Cycles'!$CI$8:$CO$8,1,AL10))^INT(INT(AL11/12)/INDEX('Lease Cycles'!$CP$8:$CV$8,1,AL10))/12),IF(INDEX('Lease Cycles'!$EF$8:$EL$8,1,AL10)=1,IF(AND('Lease Cycles'!$AZ$8&gt;=INDEX('Lease Cycles'!$BG$8:$BM$8,1,AL10),'Lease Cycles'!$AZ$8&lt;=AL$6),'Lease Cycles'!$C$8*'Lease Cycles'!$BA$8/12,IF(AND('Lease Cycles'!$AX$8&gt;=INDEX('Lease Cycles'!$BG$8:$BM$8,1,AL10),'Lease Cycles'!$AX$8&lt;=AL$6),'Lease Cycles'!$C$8*'Lease Cycles'!$AY$8/12,IF(AND('Lease Cycles'!$AV$8&gt;=INDEX('Lease Cycles'!$BG$8:$BM$8,1,AL10),'Lease Cycles'!$AV$8&lt;=AL$6),'Lease Cycles'!$C$8*'Lease Cycles'!$AW$8/12,IF(AND('Lease Cycles'!$AT$8&gt;=INDEX('Lease Cycles'!$BG$8:$BM$8,1,AL10),'Lease Cycles'!$AT$8&lt;=AL$6),'Lease Cycles'!$C$8*'Lease Cycles'!$AU$8/12,'Lease Cycles'!$C$8*INDEX('Lease Cycles'!$CB$8:$CH$8,1,AL10)*(1+INDEX('Lease Cycles'!$CI$8:$CO$8,1,AL10))^INT(INT(AL11/12)/INDEX('Lease Cycles'!$CP$8:$CV$8,1,AL10))/12)))),'Lease Cycles'!$C$8*INDEX('Lease Cycles'!$CB$8:$CH$8,1,AL10)*(1+INDEX('Lease Cycles'!$CI$8:$CO$8,1,AL10))^INT(INT(AL11/12)/INDEX('Lease Cycles'!$CP$8:$CV$8,1,AL10))/12))),IF('Lease Cycles'!$N$8=1,'Lease Cycles'!$C$8*'Lease Cycles'!$E$8*INDEX('Lease Cycles'!$HE$8:$HK$8,1,AL10)*(1+INDEX('Lease Cycles'!$GQ$8:$GW$8,1,AL10))^INT(INT((AL$6-INDEX('Lease Cycles'!$GJ$8:$GP$8,1,AL10))/12)/INDEX('Lease Cycles'!$GX$8:$HD$8,1,AL10))/12,0)))</f>
        <v>38666.666666666664</v>
      </c>
      <c r="AM13" s="28">
        <f>IF(AM10=0,IF('Lease Cycles'!$F$8&gt;0,'Lease Cycles'!$C$8*'Lease Cycles'!$E$8/12,0),IF(AM12=1,IF('Lease Cycles'!$AT$8&gt;=9999,'Lease Cycles'!$C$8*INDEX('Lease Cycles'!$CB$8:$CH$8,1,AM10)*(1+INDEX('Lease Cycles'!$CI$8:$CO$8,1,AM10))^INT(INT(AM11/12)/INDEX('Lease Cycles'!$CP$8:$CV$8,1,AM10))/12,IF(AM10=1,IF(AM11&gt;=INDEX('Lease Cycles'!$DK$8:$DQ$8,1,AM10),IF(AM$6&gt;='Lease Cycles'!$AZ$8,'Lease Cycles'!$C$8*'Lease Cycles'!$BA$8/12,IF(AM$6&gt;='Lease Cycles'!$AX$8,'Lease Cycles'!$C$8*'Lease Cycles'!$AY$8/12,IF(AM$6&gt;='Lease Cycles'!$AV$8,'Lease Cycles'!$C$8*'Lease Cycles'!$AW$8/12,IF(AM$6&gt;='Lease Cycles'!$AT$8,'Lease Cycles'!$C$8*'Lease Cycles'!$AU$8/12,'Lease Cycles'!$C$8*INDEX('Lease Cycles'!$CB$8:$CH$8,1,AM10)*(1+INDEX('Lease Cycles'!$CI$8:$CO$8,1,AM10))^INT(INT(AM11/12)/INDEX('Lease Cycles'!$CP$8:$CV$8,1,AM10))/12)))),'Lease Cycles'!$C$8*INDEX('Lease Cycles'!$CB$8:$CH$8,1,AM10)*(1+INDEX('Lease Cycles'!$CI$8:$CO$8,1,AM10))^INT(INT(AM11/12)/INDEX('Lease Cycles'!$CP$8:$CV$8,1,AM10))/12),IF(INDEX('Lease Cycles'!$EF$8:$EL$8,1,AM10)=1,IF(AND('Lease Cycles'!$AZ$8&gt;=INDEX('Lease Cycles'!$BG$8:$BM$8,1,AM10),'Lease Cycles'!$AZ$8&lt;=AM$6),'Lease Cycles'!$C$8*'Lease Cycles'!$BA$8/12,IF(AND('Lease Cycles'!$AX$8&gt;=INDEX('Lease Cycles'!$BG$8:$BM$8,1,AM10),'Lease Cycles'!$AX$8&lt;=AM$6),'Lease Cycles'!$C$8*'Lease Cycles'!$AY$8/12,IF(AND('Lease Cycles'!$AV$8&gt;=INDEX('Lease Cycles'!$BG$8:$BM$8,1,AM10),'Lease Cycles'!$AV$8&lt;=AM$6),'Lease Cycles'!$C$8*'Lease Cycles'!$AW$8/12,IF(AND('Lease Cycles'!$AT$8&gt;=INDEX('Lease Cycles'!$BG$8:$BM$8,1,AM10),'Lease Cycles'!$AT$8&lt;=AM$6),'Lease Cycles'!$C$8*'Lease Cycles'!$AU$8/12,'Lease Cycles'!$C$8*INDEX('Lease Cycles'!$CB$8:$CH$8,1,AM10)*(1+INDEX('Lease Cycles'!$CI$8:$CO$8,1,AM10))^INT(INT(AM11/12)/INDEX('Lease Cycles'!$CP$8:$CV$8,1,AM10))/12)))),'Lease Cycles'!$C$8*INDEX('Lease Cycles'!$CB$8:$CH$8,1,AM10)*(1+INDEX('Lease Cycles'!$CI$8:$CO$8,1,AM10))^INT(INT(AM11/12)/INDEX('Lease Cycles'!$CP$8:$CV$8,1,AM10))/12))),IF('Lease Cycles'!$N$8=1,'Lease Cycles'!$C$8*'Lease Cycles'!$E$8*INDEX('Lease Cycles'!$HE$8:$HK$8,1,AM10)*(1+INDEX('Lease Cycles'!$GQ$8:$GW$8,1,AM10))^INT(INT((AM$6-INDEX('Lease Cycles'!$GJ$8:$GP$8,1,AM10))/12)/INDEX('Lease Cycles'!$GX$8:$HD$8,1,AM10))/12,0)))</f>
        <v>38666.666666666664</v>
      </c>
      <c r="AN13" s="28">
        <f>IF(AN10=0,IF('Lease Cycles'!$F$8&gt;0,'Lease Cycles'!$C$8*'Lease Cycles'!$E$8/12,0),IF(AN12=1,IF('Lease Cycles'!$AT$8&gt;=9999,'Lease Cycles'!$C$8*INDEX('Lease Cycles'!$CB$8:$CH$8,1,AN10)*(1+INDEX('Lease Cycles'!$CI$8:$CO$8,1,AN10))^INT(INT(AN11/12)/INDEX('Lease Cycles'!$CP$8:$CV$8,1,AN10))/12,IF(AN10=1,IF(AN11&gt;=INDEX('Lease Cycles'!$DK$8:$DQ$8,1,AN10),IF(AN$6&gt;='Lease Cycles'!$AZ$8,'Lease Cycles'!$C$8*'Lease Cycles'!$BA$8/12,IF(AN$6&gt;='Lease Cycles'!$AX$8,'Lease Cycles'!$C$8*'Lease Cycles'!$AY$8/12,IF(AN$6&gt;='Lease Cycles'!$AV$8,'Lease Cycles'!$C$8*'Lease Cycles'!$AW$8/12,IF(AN$6&gt;='Lease Cycles'!$AT$8,'Lease Cycles'!$C$8*'Lease Cycles'!$AU$8/12,'Lease Cycles'!$C$8*INDEX('Lease Cycles'!$CB$8:$CH$8,1,AN10)*(1+INDEX('Lease Cycles'!$CI$8:$CO$8,1,AN10))^INT(INT(AN11/12)/INDEX('Lease Cycles'!$CP$8:$CV$8,1,AN10))/12)))),'Lease Cycles'!$C$8*INDEX('Lease Cycles'!$CB$8:$CH$8,1,AN10)*(1+INDEX('Lease Cycles'!$CI$8:$CO$8,1,AN10))^INT(INT(AN11/12)/INDEX('Lease Cycles'!$CP$8:$CV$8,1,AN10))/12),IF(INDEX('Lease Cycles'!$EF$8:$EL$8,1,AN10)=1,IF(AND('Lease Cycles'!$AZ$8&gt;=INDEX('Lease Cycles'!$BG$8:$BM$8,1,AN10),'Lease Cycles'!$AZ$8&lt;=AN$6),'Lease Cycles'!$C$8*'Lease Cycles'!$BA$8/12,IF(AND('Lease Cycles'!$AX$8&gt;=INDEX('Lease Cycles'!$BG$8:$BM$8,1,AN10),'Lease Cycles'!$AX$8&lt;=AN$6),'Lease Cycles'!$C$8*'Lease Cycles'!$AY$8/12,IF(AND('Lease Cycles'!$AV$8&gt;=INDEX('Lease Cycles'!$BG$8:$BM$8,1,AN10),'Lease Cycles'!$AV$8&lt;=AN$6),'Lease Cycles'!$C$8*'Lease Cycles'!$AW$8/12,IF(AND('Lease Cycles'!$AT$8&gt;=INDEX('Lease Cycles'!$BG$8:$BM$8,1,AN10),'Lease Cycles'!$AT$8&lt;=AN$6),'Lease Cycles'!$C$8*'Lease Cycles'!$AU$8/12,'Lease Cycles'!$C$8*INDEX('Lease Cycles'!$CB$8:$CH$8,1,AN10)*(1+INDEX('Lease Cycles'!$CI$8:$CO$8,1,AN10))^INT(INT(AN11/12)/INDEX('Lease Cycles'!$CP$8:$CV$8,1,AN10))/12)))),'Lease Cycles'!$C$8*INDEX('Lease Cycles'!$CB$8:$CH$8,1,AN10)*(1+INDEX('Lease Cycles'!$CI$8:$CO$8,1,AN10))^INT(INT(AN11/12)/INDEX('Lease Cycles'!$CP$8:$CV$8,1,AN10))/12))),IF('Lease Cycles'!$N$8=1,'Lease Cycles'!$C$8*'Lease Cycles'!$E$8*INDEX('Lease Cycles'!$HE$8:$HK$8,1,AN10)*(1+INDEX('Lease Cycles'!$GQ$8:$GW$8,1,AN10))^INT(INT((AN$6-INDEX('Lease Cycles'!$GJ$8:$GP$8,1,AN10))/12)/INDEX('Lease Cycles'!$GX$8:$HD$8,1,AN10))/12,0)))</f>
        <v>38666.666666666664</v>
      </c>
      <c r="AO13" s="28">
        <f>IF(AO10=0,IF('Lease Cycles'!$F$8&gt;0,'Lease Cycles'!$C$8*'Lease Cycles'!$E$8/12,0),IF(AO12=1,IF('Lease Cycles'!$AT$8&gt;=9999,'Lease Cycles'!$C$8*INDEX('Lease Cycles'!$CB$8:$CH$8,1,AO10)*(1+INDEX('Lease Cycles'!$CI$8:$CO$8,1,AO10))^INT(INT(AO11/12)/INDEX('Lease Cycles'!$CP$8:$CV$8,1,AO10))/12,IF(AO10=1,IF(AO11&gt;=INDEX('Lease Cycles'!$DK$8:$DQ$8,1,AO10),IF(AO$6&gt;='Lease Cycles'!$AZ$8,'Lease Cycles'!$C$8*'Lease Cycles'!$BA$8/12,IF(AO$6&gt;='Lease Cycles'!$AX$8,'Lease Cycles'!$C$8*'Lease Cycles'!$AY$8/12,IF(AO$6&gt;='Lease Cycles'!$AV$8,'Lease Cycles'!$C$8*'Lease Cycles'!$AW$8/12,IF(AO$6&gt;='Lease Cycles'!$AT$8,'Lease Cycles'!$C$8*'Lease Cycles'!$AU$8/12,'Lease Cycles'!$C$8*INDEX('Lease Cycles'!$CB$8:$CH$8,1,AO10)*(1+INDEX('Lease Cycles'!$CI$8:$CO$8,1,AO10))^INT(INT(AO11/12)/INDEX('Lease Cycles'!$CP$8:$CV$8,1,AO10))/12)))),'Lease Cycles'!$C$8*INDEX('Lease Cycles'!$CB$8:$CH$8,1,AO10)*(1+INDEX('Lease Cycles'!$CI$8:$CO$8,1,AO10))^INT(INT(AO11/12)/INDEX('Lease Cycles'!$CP$8:$CV$8,1,AO10))/12),IF(INDEX('Lease Cycles'!$EF$8:$EL$8,1,AO10)=1,IF(AND('Lease Cycles'!$AZ$8&gt;=INDEX('Lease Cycles'!$BG$8:$BM$8,1,AO10),'Lease Cycles'!$AZ$8&lt;=AO$6),'Lease Cycles'!$C$8*'Lease Cycles'!$BA$8/12,IF(AND('Lease Cycles'!$AX$8&gt;=INDEX('Lease Cycles'!$BG$8:$BM$8,1,AO10),'Lease Cycles'!$AX$8&lt;=AO$6),'Lease Cycles'!$C$8*'Lease Cycles'!$AY$8/12,IF(AND('Lease Cycles'!$AV$8&gt;=INDEX('Lease Cycles'!$BG$8:$BM$8,1,AO10),'Lease Cycles'!$AV$8&lt;=AO$6),'Lease Cycles'!$C$8*'Lease Cycles'!$AW$8/12,IF(AND('Lease Cycles'!$AT$8&gt;=INDEX('Lease Cycles'!$BG$8:$BM$8,1,AO10),'Lease Cycles'!$AT$8&lt;=AO$6),'Lease Cycles'!$C$8*'Lease Cycles'!$AU$8/12,'Lease Cycles'!$C$8*INDEX('Lease Cycles'!$CB$8:$CH$8,1,AO10)*(1+INDEX('Lease Cycles'!$CI$8:$CO$8,1,AO10))^INT(INT(AO11/12)/INDEX('Lease Cycles'!$CP$8:$CV$8,1,AO10))/12)))),'Lease Cycles'!$C$8*INDEX('Lease Cycles'!$CB$8:$CH$8,1,AO10)*(1+INDEX('Lease Cycles'!$CI$8:$CO$8,1,AO10))^INT(INT(AO11/12)/INDEX('Lease Cycles'!$CP$8:$CV$8,1,AO10))/12))),IF('Lease Cycles'!$N$8=1,'Lease Cycles'!$C$8*'Lease Cycles'!$E$8*INDEX('Lease Cycles'!$HE$8:$HK$8,1,AO10)*(1+INDEX('Lease Cycles'!$GQ$8:$GW$8,1,AO10))^INT(INT((AO$6-INDEX('Lease Cycles'!$GJ$8:$GP$8,1,AO10))/12)/INDEX('Lease Cycles'!$GX$8:$HD$8,1,AO10))/12,0)))</f>
        <v>38666.666666666664</v>
      </c>
      <c r="AP13" s="28">
        <f>IF(AP10=0,IF('Lease Cycles'!$F$8&gt;0,'Lease Cycles'!$C$8*'Lease Cycles'!$E$8/12,0),IF(AP12=1,IF('Lease Cycles'!$AT$8&gt;=9999,'Lease Cycles'!$C$8*INDEX('Lease Cycles'!$CB$8:$CH$8,1,AP10)*(1+INDEX('Lease Cycles'!$CI$8:$CO$8,1,AP10))^INT(INT(AP11/12)/INDEX('Lease Cycles'!$CP$8:$CV$8,1,AP10))/12,IF(AP10=1,IF(AP11&gt;=INDEX('Lease Cycles'!$DK$8:$DQ$8,1,AP10),IF(AP$6&gt;='Lease Cycles'!$AZ$8,'Lease Cycles'!$C$8*'Lease Cycles'!$BA$8/12,IF(AP$6&gt;='Lease Cycles'!$AX$8,'Lease Cycles'!$C$8*'Lease Cycles'!$AY$8/12,IF(AP$6&gt;='Lease Cycles'!$AV$8,'Lease Cycles'!$C$8*'Lease Cycles'!$AW$8/12,IF(AP$6&gt;='Lease Cycles'!$AT$8,'Lease Cycles'!$C$8*'Lease Cycles'!$AU$8/12,'Lease Cycles'!$C$8*INDEX('Lease Cycles'!$CB$8:$CH$8,1,AP10)*(1+INDEX('Lease Cycles'!$CI$8:$CO$8,1,AP10))^INT(INT(AP11/12)/INDEX('Lease Cycles'!$CP$8:$CV$8,1,AP10))/12)))),'Lease Cycles'!$C$8*INDEX('Lease Cycles'!$CB$8:$CH$8,1,AP10)*(1+INDEX('Lease Cycles'!$CI$8:$CO$8,1,AP10))^INT(INT(AP11/12)/INDEX('Lease Cycles'!$CP$8:$CV$8,1,AP10))/12),IF(INDEX('Lease Cycles'!$EF$8:$EL$8,1,AP10)=1,IF(AND('Lease Cycles'!$AZ$8&gt;=INDEX('Lease Cycles'!$BG$8:$BM$8,1,AP10),'Lease Cycles'!$AZ$8&lt;=AP$6),'Lease Cycles'!$C$8*'Lease Cycles'!$BA$8/12,IF(AND('Lease Cycles'!$AX$8&gt;=INDEX('Lease Cycles'!$BG$8:$BM$8,1,AP10),'Lease Cycles'!$AX$8&lt;=AP$6),'Lease Cycles'!$C$8*'Lease Cycles'!$AY$8/12,IF(AND('Lease Cycles'!$AV$8&gt;=INDEX('Lease Cycles'!$BG$8:$BM$8,1,AP10),'Lease Cycles'!$AV$8&lt;=AP$6),'Lease Cycles'!$C$8*'Lease Cycles'!$AW$8/12,IF(AND('Lease Cycles'!$AT$8&gt;=INDEX('Lease Cycles'!$BG$8:$BM$8,1,AP10),'Lease Cycles'!$AT$8&lt;=AP$6),'Lease Cycles'!$C$8*'Lease Cycles'!$AU$8/12,'Lease Cycles'!$C$8*INDEX('Lease Cycles'!$CB$8:$CH$8,1,AP10)*(1+INDEX('Lease Cycles'!$CI$8:$CO$8,1,AP10))^INT(INT(AP11/12)/INDEX('Lease Cycles'!$CP$8:$CV$8,1,AP10))/12)))),'Lease Cycles'!$C$8*INDEX('Lease Cycles'!$CB$8:$CH$8,1,AP10)*(1+INDEX('Lease Cycles'!$CI$8:$CO$8,1,AP10))^INT(INT(AP11/12)/INDEX('Lease Cycles'!$CP$8:$CV$8,1,AP10))/12))),IF('Lease Cycles'!$N$8=1,'Lease Cycles'!$C$8*'Lease Cycles'!$E$8*INDEX('Lease Cycles'!$HE$8:$HK$8,1,AP10)*(1+INDEX('Lease Cycles'!$GQ$8:$GW$8,1,AP10))^INT(INT((AP$6-INDEX('Lease Cycles'!$GJ$8:$GP$8,1,AP10))/12)/INDEX('Lease Cycles'!$GX$8:$HD$8,1,AP10))/12,0)))</f>
        <v>38666.666666666664</v>
      </c>
      <c r="AQ13" s="28">
        <f>IF(AQ10=0,IF('Lease Cycles'!$F$8&gt;0,'Lease Cycles'!$C$8*'Lease Cycles'!$E$8/12,0),IF(AQ12=1,IF('Lease Cycles'!$AT$8&gt;=9999,'Lease Cycles'!$C$8*INDEX('Lease Cycles'!$CB$8:$CH$8,1,AQ10)*(1+INDEX('Lease Cycles'!$CI$8:$CO$8,1,AQ10))^INT(INT(AQ11/12)/INDEX('Lease Cycles'!$CP$8:$CV$8,1,AQ10))/12,IF(AQ10=1,IF(AQ11&gt;=INDEX('Lease Cycles'!$DK$8:$DQ$8,1,AQ10),IF(AQ$6&gt;='Lease Cycles'!$AZ$8,'Lease Cycles'!$C$8*'Lease Cycles'!$BA$8/12,IF(AQ$6&gt;='Lease Cycles'!$AX$8,'Lease Cycles'!$C$8*'Lease Cycles'!$AY$8/12,IF(AQ$6&gt;='Lease Cycles'!$AV$8,'Lease Cycles'!$C$8*'Lease Cycles'!$AW$8/12,IF(AQ$6&gt;='Lease Cycles'!$AT$8,'Lease Cycles'!$C$8*'Lease Cycles'!$AU$8/12,'Lease Cycles'!$C$8*INDEX('Lease Cycles'!$CB$8:$CH$8,1,AQ10)*(1+INDEX('Lease Cycles'!$CI$8:$CO$8,1,AQ10))^INT(INT(AQ11/12)/INDEX('Lease Cycles'!$CP$8:$CV$8,1,AQ10))/12)))),'Lease Cycles'!$C$8*INDEX('Lease Cycles'!$CB$8:$CH$8,1,AQ10)*(1+INDEX('Lease Cycles'!$CI$8:$CO$8,1,AQ10))^INT(INT(AQ11/12)/INDEX('Lease Cycles'!$CP$8:$CV$8,1,AQ10))/12),IF(INDEX('Lease Cycles'!$EF$8:$EL$8,1,AQ10)=1,IF(AND('Lease Cycles'!$AZ$8&gt;=INDEX('Lease Cycles'!$BG$8:$BM$8,1,AQ10),'Lease Cycles'!$AZ$8&lt;=AQ$6),'Lease Cycles'!$C$8*'Lease Cycles'!$BA$8/12,IF(AND('Lease Cycles'!$AX$8&gt;=INDEX('Lease Cycles'!$BG$8:$BM$8,1,AQ10),'Lease Cycles'!$AX$8&lt;=AQ$6),'Lease Cycles'!$C$8*'Lease Cycles'!$AY$8/12,IF(AND('Lease Cycles'!$AV$8&gt;=INDEX('Lease Cycles'!$BG$8:$BM$8,1,AQ10),'Lease Cycles'!$AV$8&lt;=AQ$6),'Lease Cycles'!$C$8*'Lease Cycles'!$AW$8/12,IF(AND('Lease Cycles'!$AT$8&gt;=INDEX('Lease Cycles'!$BG$8:$BM$8,1,AQ10),'Lease Cycles'!$AT$8&lt;=AQ$6),'Lease Cycles'!$C$8*'Lease Cycles'!$AU$8/12,'Lease Cycles'!$C$8*INDEX('Lease Cycles'!$CB$8:$CH$8,1,AQ10)*(1+INDEX('Lease Cycles'!$CI$8:$CO$8,1,AQ10))^INT(INT(AQ11/12)/INDEX('Lease Cycles'!$CP$8:$CV$8,1,AQ10))/12)))),'Lease Cycles'!$C$8*INDEX('Lease Cycles'!$CB$8:$CH$8,1,AQ10)*(1+INDEX('Lease Cycles'!$CI$8:$CO$8,1,AQ10))^INT(INT(AQ11/12)/INDEX('Lease Cycles'!$CP$8:$CV$8,1,AQ10))/12))),IF('Lease Cycles'!$N$8=1,'Lease Cycles'!$C$8*'Lease Cycles'!$E$8*INDEX('Lease Cycles'!$HE$8:$HK$8,1,AQ10)*(1+INDEX('Lease Cycles'!$GQ$8:$GW$8,1,AQ10))^INT(INT((AQ$6-INDEX('Lease Cycles'!$GJ$8:$GP$8,1,AQ10))/12)/INDEX('Lease Cycles'!$GX$8:$HD$8,1,AQ10))/12,0)))</f>
        <v>38666.666666666664</v>
      </c>
      <c r="AR13" s="28">
        <f>IF(AR10=0,IF('Lease Cycles'!$F$8&gt;0,'Lease Cycles'!$C$8*'Lease Cycles'!$E$8/12,0),IF(AR12=1,IF('Lease Cycles'!$AT$8&gt;=9999,'Lease Cycles'!$C$8*INDEX('Lease Cycles'!$CB$8:$CH$8,1,AR10)*(1+INDEX('Lease Cycles'!$CI$8:$CO$8,1,AR10))^INT(INT(AR11/12)/INDEX('Lease Cycles'!$CP$8:$CV$8,1,AR10))/12,IF(AR10=1,IF(AR11&gt;=INDEX('Lease Cycles'!$DK$8:$DQ$8,1,AR10),IF(AR$6&gt;='Lease Cycles'!$AZ$8,'Lease Cycles'!$C$8*'Lease Cycles'!$BA$8/12,IF(AR$6&gt;='Lease Cycles'!$AX$8,'Lease Cycles'!$C$8*'Lease Cycles'!$AY$8/12,IF(AR$6&gt;='Lease Cycles'!$AV$8,'Lease Cycles'!$C$8*'Lease Cycles'!$AW$8/12,IF(AR$6&gt;='Lease Cycles'!$AT$8,'Lease Cycles'!$C$8*'Lease Cycles'!$AU$8/12,'Lease Cycles'!$C$8*INDEX('Lease Cycles'!$CB$8:$CH$8,1,AR10)*(1+INDEX('Lease Cycles'!$CI$8:$CO$8,1,AR10))^INT(INT(AR11/12)/INDEX('Lease Cycles'!$CP$8:$CV$8,1,AR10))/12)))),'Lease Cycles'!$C$8*INDEX('Lease Cycles'!$CB$8:$CH$8,1,AR10)*(1+INDEX('Lease Cycles'!$CI$8:$CO$8,1,AR10))^INT(INT(AR11/12)/INDEX('Lease Cycles'!$CP$8:$CV$8,1,AR10))/12),IF(INDEX('Lease Cycles'!$EF$8:$EL$8,1,AR10)=1,IF(AND('Lease Cycles'!$AZ$8&gt;=INDEX('Lease Cycles'!$BG$8:$BM$8,1,AR10),'Lease Cycles'!$AZ$8&lt;=AR$6),'Lease Cycles'!$C$8*'Lease Cycles'!$BA$8/12,IF(AND('Lease Cycles'!$AX$8&gt;=INDEX('Lease Cycles'!$BG$8:$BM$8,1,AR10),'Lease Cycles'!$AX$8&lt;=AR$6),'Lease Cycles'!$C$8*'Lease Cycles'!$AY$8/12,IF(AND('Lease Cycles'!$AV$8&gt;=INDEX('Lease Cycles'!$BG$8:$BM$8,1,AR10),'Lease Cycles'!$AV$8&lt;=AR$6),'Lease Cycles'!$C$8*'Lease Cycles'!$AW$8/12,IF(AND('Lease Cycles'!$AT$8&gt;=INDEX('Lease Cycles'!$BG$8:$BM$8,1,AR10),'Lease Cycles'!$AT$8&lt;=AR$6),'Lease Cycles'!$C$8*'Lease Cycles'!$AU$8/12,'Lease Cycles'!$C$8*INDEX('Lease Cycles'!$CB$8:$CH$8,1,AR10)*(1+INDEX('Lease Cycles'!$CI$8:$CO$8,1,AR10))^INT(INT(AR11/12)/INDEX('Lease Cycles'!$CP$8:$CV$8,1,AR10))/12)))),'Lease Cycles'!$C$8*INDEX('Lease Cycles'!$CB$8:$CH$8,1,AR10)*(1+INDEX('Lease Cycles'!$CI$8:$CO$8,1,AR10))^INT(INT(AR11/12)/INDEX('Lease Cycles'!$CP$8:$CV$8,1,AR10))/12))),IF('Lease Cycles'!$N$8=1,'Lease Cycles'!$C$8*'Lease Cycles'!$E$8*INDEX('Lease Cycles'!$HE$8:$HK$8,1,AR10)*(1+INDEX('Lease Cycles'!$GQ$8:$GW$8,1,AR10))^INT(INT((AR$6-INDEX('Lease Cycles'!$GJ$8:$GP$8,1,AR10))/12)/INDEX('Lease Cycles'!$GX$8:$HD$8,1,AR10))/12,0)))</f>
        <v>38666.666666666664</v>
      </c>
      <c r="AS13" s="28">
        <f>IF(AS10=0,IF('Lease Cycles'!$F$8&gt;0,'Lease Cycles'!$C$8*'Lease Cycles'!$E$8/12,0),IF(AS12=1,IF('Lease Cycles'!$AT$8&gt;=9999,'Lease Cycles'!$C$8*INDEX('Lease Cycles'!$CB$8:$CH$8,1,AS10)*(1+INDEX('Lease Cycles'!$CI$8:$CO$8,1,AS10))^INT(INT(AS11/12)/INDEX('Lease Cycles'!$CP$8:$CV$8,1,AS10))/12,IF(AS10=1,IF(AS11&gt;=INDEX('Lease Cycles'!$DK$8:$DQ$8,1,AS10),IF(AS$6&gt;='Lease Cycles'!$AZ$8,'Lease Cycles'!$C$8*'Lease Cycles'!$BA$8/12,IF(AS$6&gt;='Lease Cycles'!$AX$8,'Lease Cycles'!$C$8*'Lease Cycles'!$AY$8/12,IF(AS$6&gt;='Lease Cycles'!$AV$8,'Lease Cycles'!$C$8*'Lease Cycles'!$AW$8/12,IF(AS$6&gt;='Lease Cycles'!$AT$8,'Lease Cycles'!$C$8*'Lease Cycles'!$AU$8/12,'Lease Cycles'!$C$8*INDEX('Lease Cycles'!$CB$8:$CH$8,1,AS10)*(1+INDEX('Lease Cycles'!$CI$8:$CO$8,1,AS10))^INT(INT(AS11/12)/INDEX('Lease Cycles'!$CP$8:$CV$8,1,AS10))/12)))),'Lease Cycles'!$C$8*INDEX('Lease Cycles'!$CB$8:$CH$8,1,AS10)*(1+INDEX('Lease Cycles'!$CI$8:$CO$8,1,AS10))^INT(INT(AS11/12)/INDEX('Lease Cycles'!$CP$8:$CV$8,1,AS10))/12),IF(INDEX('Lease Cycles'!$EF$8:$EL$8,1,AS10)=1,IF(AND('Lease Cycles'!$AZ$8&gt;=INDEX('Lease Cycles'!$BG$8:$BM$8,1,AS10),'Lease Cycles'!$AZ$8&lt;=AS$6),'Lease Cycles'!$C$8*'Lease Cycles'!$BA$8/12,IF(AND('Lease Cycles'!$AX$8&gt;=INDEX('Lease Cycles'!$BG$8:$BM$8,1,AS10),'Lease Cycles'!$AX$8&lt;=AS$6),'Lease Cycles'!$C$8*'Lease Cycles'!$AY$8/12,IF(AND('Lease Cycles'!$AV$8&gt;=INDEX('Lease Cycles'!$BG$8:$BM$8,1,AS10),'Lease Cycles'!$AV$8&lt;=AS$6),'Lease Cycles'!$C$8*'Lease Cycles'!$AW$8/12,IF(AND('Lease Cycles'!$AT$8&gt;=INDEX('Lease Cycles'!$BG$8:$BM$8,1,AS10),'Lease Cycles'!$AT$8&lt;=AS$6),'Lease Cycles'!$C$8*'Lease Cycles'!$AU$8/12,'Lease Cycles'!$C$8*INDEX('Lease Cycles'!$CB$8:$CH$8,1,AS10)*(1+INDEX('Lease Cycles'!$CI$8:$CO$8,1,AS10))^INT(INT(AS11/12)/INDEX('Lease Cycles'!$CP$8:$CV$8,1,AS10))/12)))),'Lease Cycles'!$C$8*INDEX('Lease Cycles'!$CB$8:$CH$8,1,AS10)*(1+INDEX('Lease Cycles'!$CI$8:$CO$8,1,AS10))^INT(INT(AS11/12)/INDEX('Lease Cycles'!$CP$8:$CV$8,1,AS10))/12))),IF('Lease Cycles'!$N$8=1,'Lease Cycles'!$C$8*'Lease Cycles'!$E$8*INDEX('Lease Cycles'!$HE$8:$HK$8,1,AS10)*(1+INDEX('Lease Cycles'!$GQ$8:$GW$8,1,AS10))^INT(INT((AS$6-INDEX('Lease Cycles'!$GJ$8:$GP$8,1,AS10))/12)/INDEX('Lease Cycles'!$GX$8:$HD$8,1,AS10))/12,0)))</f>
        <v>38666.666666666664</v>
      </c>
      <c r="AT13" s="28">
        <f>IF(AT10=0,IF('Lease Cycles'!$F$8&gt;0,'Lease Cycles'!$C$8*'Lease Cycles'!$E$8/12,0),IF(AT12=1,IF('Lease Cycles'!$AT$8&gt;=9999,'Lease Cycles'!$C$8*INDEX('Lease Cycles'!$CB$8:$CH$8,1,AT10)*(1+INDEX('Lease Cycles'!$CI$8:$CO$8,1,AT10))^INT(INT(AT11/12)/INDEX('Lease Cycles'!$CP$8:$CV$8,1,AT10))/12,IF(AT10=1,IF(AT11&gt;=INDEX('Lease Cycles'!$DK$8:$DQ$8,1,AT10),IF(AT$6&gt;='Lease Cycles'!$AZ$8,'Lease Cycles'!$C$8*'Lease Cycles'!$BA$8/12,IF(AT$6&gt;='Lease Cycles'!$AX$8,'Lease Cycles'!$C$8*'Lease Cycles'!$AY$8/12,IF(AT$6&gt;='Lease Cycles'!$AV$8,'Lease Cycles'!$C$8*'Lease Cycles'!$AW$8/12,IF(AT$6&gt;='Lease Cycles'!$AT$8,'Lease Cycles'!$C$8*'Lease Cycles'!$AU$8/12,'Lease Cycles'!$C$8*INDEX('Lease Cycles'!$CB$8:$CH$8,1,AT10)*(1+INDEX('Lease Cycles'!$CI$8:$CO$8,1,AT10))^INT(INT(AT11/12)/INDEX('Lease Cycles'!$CP$8:$CV$8,1,AT10))/12)))),'Lease Cycles'!$C$8*INDEX('Lease Cycles'!$CB$8:$CH$8,1,AT10)*(1+INDEX('Lease Cycles'!$CI$8:$CO$8,1,AT10))^INT(INT(AT11/12)/INDEX('Lease Cycles'!$CP$8:$CV$8,1,AT10))/12),IF(INDEX('Lease Cycles'!$EF$8:$EL$8,1,AT10)=1,IF(AND('Lease Cycles'!$AZ$8&gt;=INDEX('Lease Cycles'!$BG$8:$BM$8,1,AT10),'Lease Cycles'!$AZ$8&lt;=AT$6),'Lease Cycles'!$C$8*'Lease Cycles'!$BA$8/12,IF(AND('Lease Cycles'!$AX$8&gt;=INDEX('Lease Cycles'!$BG$8:$BM$8,1,AT10),'Lease Cycles'!$AX$8&lt;=AT$6),'Lease Cycles'!$C$8*'Lease Cycles'!$AY$8/12,IF(AND('Lease Cycles'!$AV$8&gt;=INDEX('Lease Cycles'!$BG$8:$BM$8,1,AT10),'Lease Cycles'!$AV$8&lt;=AT$6),'Lease Cycles'!$C$8*'Lease Cycles'!$AW$8/12,IF(AND('Lease Cycles'!$AT$8&gt;=INDEX('Lease Cycles'!$BG$8:$BM$8,1,AT10),'Lease Cycles'!$AT$8&lt;=AT$6),'Lease Cycles'!$C$8*'Lease Cycles'!$AU$8/12,'Lease Cycles'!$C$8*INDEX('Lease Cycles'!$CB$8:$CH$8,1,AT10)*(1+INDEX('Lease Cycles'!$CI$8:$CO$8,1,AT10))^INT(INT(AT11/12)/INDEX('Lease Cycles'!$CP$8:$CV$8,1,AT10))/12)))),'Lease Cycles'!$C$8*INDEX('Lease Cycles'!$CB$8:$CH$8,1,AT10)*(1+INDEX('Lease Cycles'!$CI$8:$CO$8,1,AT10))^INT(INT(AT11/12)/INDEX('Lease Cycles'!$CP$8:$CV$8,1,AT10))/12))),IF('Lease Cycles'!$N$8=1,'Lease Cycles'!$C$8*'Lease Cycles'!$E$8*INDEX('Lease Cycles'!$HE$8:$HK$8,1,AT10)*(1+INDEX('Lease Cycles'!$GQ$8:$GW$8,1,AT10))^INT(INT((AT$6-INDEX('Lease Cycles'!$GJ$8:$GP$8,1,AT10))/12)/INDEX('Lease Cycles'!$GX$8:$HD$8,1,AT10))/12,0)))</f>
        <v>38666.666666666664</v>
      </c>
      <c r="AU13" s="28">
        <f>IF(AU10=0,IF('Lease Cycles'!$F$8&gt;0,'Lease Cycles'!$C$8*'Lease Cycles'!$E$8/12,0),IF(AU12=1,IF('Lease Cycles'!$AT$8&gt;=9999,'Lease Cycles'!$C$8*INDEX('Lease Cycles'!$CB$8:$CH$8,1,AU10)*(1+INDEX('Lease Cycles'!$CI$8:$CO$8,1,AU10))^INT(INT(AU11/12)/INDEX('Lease Cycles'!$CP$8:$CV$8,1,AU10))/12,IF(AU10=1,IF(AU11&gt;=INDEX('Lease Cycles'!$DK$8:$DQ$8,1,AU10),IF(AU$6&gt;='Lease Cycles'!$AZ$8,'Lease Cycles'!$C$8*'Lease Cycles'!$BA$8/12,IF(AU$6&gt;='Lease Cycles'!$AX$8,'Lease Cycles'!$C$8*'Lease Cycles'!$AY$8/12,IF(AU$6&gt;='Lease Cycles'!$AV$8,'Lease Cycles'!$C$8*'Lease Cycles'!$AW$8/12,IF(AU$6&gt;='Lease Cycles'!$AT$8,'Lease Cycles'!$C$8*'Lease Cycles'!$AU$8/12,'Lease Cycles'!$C$8*INDEX('Lease Cycles'!$CB$8:$CH$8,1,AU10)*(1+INDEX('Lease Cycles'!$CI$8:$CO$8,1,AU10))^INT(INT(AU11/12)/INDEX('Lease Cycles'!$CP$8:$CV$8,1,AU10))/12)))),'Lease Cycles'!$C$8*INDEX('Lease Cycles'!$CB$8:$CH$8,1,AU10)*(1+INDEX('Lease Cycles'!$CI$8:$CO$8,1,AU10))^INT(INT(AU11/12)/INDEX('Lease Cycles'!$CP$8:$CV$8,1,AU10))/12),IF(INDEX('Lease Cycles'!$EF$8:$EL$8,1,AU10)=1,IF(AND('Lease Cycles'!$AZ$8&gt;=INDEX('Lease Cycles'!$BG$8:$BM$8,1,AU10),'Lease Cycles'!$AZ$8&lt;=AU$6),'Lease Cycles'!$C$8*'Lease Cycles'!$BA$8/12,IF(AND('Lease Cycles'!$AX$8&gt;=INDEX('Lease Cycles'!$BG$8:$BM$8,1,AU10),'Lease Cycles'!$AX$8&lt;=AU$6),'Lease Cycles'!$C$8*'Lease Cycles'!$AY$8/12,IF(AND('Lease Cycles'!$AV$8&gt;=INDEX('Lease Cycles'!$BG$8:$BM$8,1,AU10),'Lease Cycles'!$AV$8&lt;=AU$6),'Lease Cycles'!$C$8*'Lease Cycles'!$AW$8/12,IF(AND('Lease Cycles'!$AT$8&gt;=INDEX('Lease Cycles'!$BG$8:$BM$8,1,AU10),'Lease Cycles'!$AT$8&lt;=AU$6),'Lease Cycles'!$C$8*'Lease Cycles'!$AU$8/12,'Lease Cycles'!$C$8*INDEX('Lease Cycles'!$CB$8:$CH$8,1,AU10)*(1+INDEX('Lease Cycles'!$CI$8:$CO$8,1,AU10))^INT(INT(AU11/12)/INDEX('Lease Cycles'!$CP$8:$CV$8,1,AU10))/12)))),'Lease Cycles'!$C$8*INDEX('Lease Cycles'!$CB$8:$CH$8,1,AU10)*(1+INDEX('Lease Cycles'!$CI$8:$CO$8,1,AU10))^INT(INT(AU11/12)/INDEX('Lease Cycles'!$CP$8:$CV$8,1,AU10))/12))),IF('Lease Cycles'!$N$8=1,'Lease Cycles'!$C$8*'Lease Cycles'!$E$8*INDEX('Lease Cycles'!$HE$8:$HK$8,1,AU10)*(1+INDEX('Lease Cycles'!$GQ$8:$GW$8,1,AU10))^INT(INT((AU$6-INDEX('Lease Cycles'!$GJ$8:$GP$8,1,AU10))/12)/INDEX('Lease Cycles'!$GX$8:$HD$8,1,AU10))/12,0)))</f>
        <v>38666.666666666664</v>
      </c>
      <c r="AV13" s="28">
        <f>IF(AV10=0,IF('Lease Cycles'!$F$8&gt;0,'Lease Cycles'!$C$8*'Lease Cycles'!$E$8/12,0),IF(AV12=1,IF('Lease Cycles'!$AT$8&gt;=9999,'Lease Cycles'!$C$8*INDEX('Lease Cycles'!$CB$8:$CH$8,1,AV10)*(1+INDEX('Lease Cycles'!$CI$8:$CO$8,1,AV10))^INT(INT(AV11/12)/INDEX('Lease Cycles'!$CP$8:$CV$8,1,AV10))/12,IF(AV10=1,IF(AV11&gt;=INDEX('Lease Cycles'!$DK$8:$DQ$8,1,AV10),IF(AV$6&gt;='Lease Cycles'!$AZ$8,'Lease Cycles'!$C$8*'Lease Cycles'!$BA$8/12,IF(AV$6&gt;='Lease Cycles'!$AX$8,'Lease Cycles'!$C$8*'Lease Cycles'!$AY$8/12,IF(AV$6&gt;='Lease Cycles'!$AV$8,'Lease Cycles'!$C$8*'Lease Cycles'!$AW$8/12,IF(AV$6&gt;='Lease Cycles'!$AT$8,'Lease Cycles'!$C$8*'Lease Cycles'!$AU$8/12,'Lease Cycles'!$C$8*INDEX('Lease Cycles'!$CB$8:$CH$8,1,AV10)*(1+INDEX('Lease Cycles'!$CI$8:$CO$8,1,AV10))^INT(INT(AV11/12)/INDEX('Lease Cycles'!$CP$8:$CV$8,1,AV10))/12)))),'Lease Cycles'!$C$8*INDEX('Lease Cycles'!$CB$8:$CH$8,1,AV10)*(1+INDEX('Lease Cycles'!$CI$8:$CO$8,1,AV10))^INT(INT(AV11/12)/INDEX('Lease Cycles'!$CP$8:$CV$8,1,AV10))/12),IF(INDEX('Lease Cycles'!$EF$8:$EL$8,1,AV10)=1,IF(AND('Lease Cycles'!$AZ$8&gt;=INDEX('Lease Cycles'!$BG$8:$BM$8,1,AV10),'Lease Cycles'!$AZ$8&lt;=AV$6),'Lease Cycles'!$C$8*'Lease Cycles'!$BA$8/12,IF(AND('Lease Cycles'!$AX$8&gt;=INDEX('Lease Cycles'!$BG$8:$BM$8,1,AV10),'Lease Cycles'!$AX$8&lt;=AV$6),'Lease Cycles'!$C$8*'Lease Cycles'!$AY$8/12,IF(AND('Lease Cycles'!$AV$8&gt;=INDEX('Lease Cycles'!$BG$8:$BM$8,1,AV10),'Lease Cycles'!$AV$8&lt;=AV$6),'Lease Cycles'!$C$8*'Lease Cycles'!$AW$8/12,IF(AND('Lease Cycles'!$AT$8&gt;=INDEX('Lease Cycles'!$BG$8:$BM$8,1,AV10),'Lease Cycles'!$AT$8&lt;=AV$6),'Lease Cycles'!$C$8*'Lease Cycles'!$AU$8/12,'Lease Cycles'!$C$8*INDEX('Lease Cycles'!$CB$8:$CH$8,1,AV10)*(1+INDEX('Lease Cycles'!$CI$8:$CO$8,1,AV10))^INT(INT(AV11/12)/INDEX('Lease Cycles'!$CP$8:$CV$8,1,AV10))/12)))),'Lease Cycles'!$C$8*INDEX('Lease Cycles'!$CB$8:$CH$8,1,AV10)*(1+INDEX('Lease Cycles'!$CI$8:$CO$8,1,AV10))^INT(INT(AV11/12)/INDEX('Lease Cycles'!$CP$8:$CV$8,1,AV10))/12))),IF('Lease Cycles'!$N$8=1,'Lease Cycles'!$C$8*'Lease Cycles'!$E$8*INDEX('Lease Cycles'!$HE$8:$HK$8,1,AV10)*(1+INDEX('Lease Cycles'!$GQ$8:$GW$8,1,AV10))^INT(INT((AV$6-INDEX('Lease Cycles'!$GJ$8:$GP$8,1,AV10))/12)/INDEX('Lease Cycles'!$GX$8:$HD$8,1,AV10))/12,0)))</f>
        <v>38666.666666666664</v>
      </c>
      <c r="AW13" s="28">
        <f>IF(AW10=0,IF('Lease Cycles'!$F$8&gt;0,'Lease Cycles'!$C$8*'Lease Cycles'!$E$8/12,0),IF(AW12=1,IF('Lease Cycles'!$AT$8&gt;=9999,'Lease Cycles'!$C$8*INDEX('Lease Cycles'!$CB$8:$CH$8,1,AW10)*(1+INDEX('Lease Cycles'!$CI$8:$CO$8,1,AW10))^INT(INT(AW11/12)/INDEX('Lease Cycles'!$CP$8:$CV$8,1,AW10))/12,IF(AW10=1,IF(AW11&gt;=INDEX('Lease Cycles'!$DK$8:$DQ$8,1,AW10),IF(AW$6&gt;='Lease Cycles'!$AZ$8,'Lease Cycles'!$C$8*'Lease Cycles'!$BA$8/12,IF(AW$6&gt;='Lease Cycles'!$AX$8,'Lease Cycles'!$C$8*'Lease Cycles'!$AY$8/12,IF(AW$6&gt;='Lease Cycles'!$AV$8,'Lease Cycles'!$C$8*'Lease Cycles'!$AW$8/12,IF(AW$6&gt;='Lease Cycles'!$AT$8,'Lease Cycles'!$C$8*'Lease Cycles'!$AU$8/12,'Lease Cycles'!$C$8*INDEX('Lease Cycles'!$CB$8:$CH$8,1,AW10)*(1+INDEX('Lease Cycles'!$CI$8:$CO$8,1,AW10))^INT(INT(AW11/12)/INDEX('Lease Cycles'!$CP$8:$CV$8,1,AW10))/12)))),'Lease Cycles'!$C$8*INDEX('Lease Cycles'!$CB$8:$CH$8,1,AW10)*(1+INDEX('Lease Cycles'!$CI$8:$CO$8,1,AW10))^INT(INT(AW11/12)/INDEX('Lease Cycles'!$CP$8:$CV$8,1,AW10))/12),IF(INDEX('Lease Cycles'!$EF$8:$EL$8,1,AW10)=1,IF(AND('Lease Cycles'!$AZ$8&gt;=INDEX('Lease Cycles'!$BG$8:$BM$8,1,AW10),'Lease Cycles'!$AZ$8&lt;=AW$6),'Lease Cycles'!$C$8*'Lease Cycles'!$BA$8/12,IF(AND('Lease Cycles'!$AX$8&gt;=INDEX('Lease Cycles'!$BG$8:$BM$8,1,AW10),'Lease Cycles'!$AX$8&lt;=AW$6),'Lease Cycles'!$C$8*'Lease Cycles'!$AY$8/12,IF(AND('Lease Cycles'!$AV$8&gt;=INDEX('Lease Cycles'!$BG$8:$BM$8,1,AW10),'Lease Cycles'!$AV$8&lt;=AW$6),'Lease Cycles'!$C$8*'Lease Cycles'!$AW$8/12,IF(AND('Lease Cycles'!$AT$8&gt;=INDEX('Lease Cycles'!$BG$8:$BM$8,1,AW10),'Lease Cycles'!$AT$8&lt;=AW$6),'Lease Cycles'!$C$8*'Lease Cycles'!$AU$8/12,'Lease Cycles'!$C$8*INDEX('Lease Cycles'!$CB$8:$CH$8,1,AW10)*(1+INDEX('Lease Cycles'!$CI$8:$CO$8,1,AW10))^INT(INT(AW11/12)/INDEX('Lease Cycles'!$CP$8:$CV$8,1,AW10))/12)))),'Lease Cycles'!$C$8*INDEX('Lease Cycles'!$CB$8:$CH$8,1,AW10)*(1+INDEX('Lease Cycles'!$CI$8:$CO$8,1,AW10))^INT(INT(AW11/12)/INDEX('Lease Cycles'!$CP$8:$CV$8,1,AW10))/12))),IF('Lease Cycles'!$N$8=1,'Lease Cycles'!$C$8*'Lease Cycles'!$E$8*INDEX('Lease Cycles'!$HE$8:$HK$8,1,AW10)*(1+INDEX('Lease Cycles'!$GQ$8:$GW$8,1,AW10))^INT(INT((AW$6-INDEX('Lease Cycles'!$GJ$8:$GP$8,1,AW10))/12)/INDEX('Lease Cycles'!$GX$8:$HD$8,1,AW10))/12,0)))</f>
        <v>38666.666666666664</v>
      </c>
      <c r="AX13" s="28">
        <f>IF(AX10=0,IF('Lease Cycles'!$F$8&gt;0,'Lease Cycles'!$C$8*'Lease Cycles'!$E$8/12,0),IF(AX12=1,IF('Lease Cycles'!$AT$8&gt;=9999,'Lease Cycles'!$C$8*INDEX('Lease Cycles'!$CB$8:$CH$8,1,AX10)*(1+INDEX('Lease Cycles'!$CI$8:$CO$8,1,AX10))^INT(INT(AX11/12)/INDEX('Lease Cycles'!$CP$8:$CV$8,1,AX10))/12,IF(AX10=1,IF(AX11&gt;=INDEX('Lease Cycles'!$DK$8:$DQ$8,1,AX10),IF(AX$6&gt;='Lease Cycles'!$AZ$8,'Lease Cycles'!$C$8*'Lease Cycles'!$BA$8/12,IF(AX$6&gt;='Lease Cycles'!$AX$8,'Lease Cycles'!$C$8*'Lease Cycles'!$AY$8/12,IF(AX$6&gt;='Lease Cycles'!$AV$8,'Lease Cycles'!$C$8*'Lease Cycles'!$AW$8/12,IF(AX$6&gt;='Lease Cycles'!$AT$8,'Lease Cycles'!$C$8*'Lease Cycles'!$AU$8/12,'Lease Cycles'!$C$8*INDEX('Lease Cycles'!$CB$8:$CH$8,1,AX10)*(1+INDEX('Lease Cycles'!$CI$8:$CO$8,1,AX10))^INT(INT(AX11/12)/INDEX('Lease Cycles'!$CP$8:$CV$8,1,AX10))/12)))),'Lease Cycles'!$C$8*INDEX('Lease Cycles'!$CB$8:$CH$8,1,AX10)*(1+INDEX('Lease Cycles'!$CI$8:$CO$8,1,AX10))^INT(INT(AX11/12)/INDEX('Lease Cycles'!$CP$8:$CV$8,1,AX10))/12),IF(INDEX('Lease Cycles'!$EF$8:$EL$8,1,AX10)=1,IF(AND('Lease Cycles'!$AZ$8&gt;=INDEX('Lease Cycles'!$BG$8:$BM$8,1,AX10),'Lease Cycles'!$AZ$8&lt;=AX$6),'Lease Cycles'!$C$8*'Lease Cycles'!$BA$8/12,IF(AND('Lease Cycles'!$AX$8&gt;=INDEX('Lease Cycles'!$BG$8:$BM$8,1,AX10),'Lease Cycles'!$AX$8&lt;=AX$6),'Lease Cycles'!$C$8*'Lease Cycles'!$AY$8/12,IF(AND('Lease Cycles'!$AV$8&gt;=INDEX('Lease Cycles'!$BG$8:$BM$8,1,AX10),'Lease Cycles'!$AV$8&lt;=AX$6),'Lease Cycles'!$C$8*'Lease Cycles'!$AW$8/12,IF(AND('Lease Cycles'!$AT$8&gt;=INDEX('Lease Cycles'!$BG$8:$BM$8,1,AX10),'Lease Cycles'!$AT$8&lt;=AX$6),'Lease Cycles'!$C$8*'Lease Cycles'!$AU$8/12,'Lease Cycles'!$C$8*INDEX('Lease Cycles'!$CB$8:$CH$8,1,AX10)*(1+INDEX('Lease Cycles'!$CI$8:$CO$8,1,AX10))^INT(INT(AX11/12)/INDEX('Lease Cycles'!$CP$8:$CV$8,1,AX10))/12)))),'Lease Cycles'!$C$8*INDEX('Lease Cycles'!$CB$8:$CH$8,1,AX10)*(1+INDEX('Lease Cycles'!$CI$8:$CO$8,1,AX10))^INT(INT(AX11/12)/INDEX('Lease Cycles'!$CP$8:$CV$8,1,AX10))/12))),IF('Lease Cycles'!$N$8=1,'Lease Cycles'!$C$8*'Lease Cycles'!$E$8*INDEX('Lease Cycles'!$HE$8:$HK$8,1,AX10)*(1+INDEX('Lease Cycles'!$GQ$8:$GW$8,1,AX10))^INT(INT((AX$6-INDEX('Lease Cycles'!$GJ$8:$GP$8,1,AX10))/12)/INDEX('Lease Cycles'!$GX$8:$HD$8,1,AX10))/12,0)))</f>
        <v>38666.666666666664</v>
      </c>
      <c r="AY13" s="28">
        <f>IF(AY10=0,IF('Lease Cycles'!$F$8&gt;0,'Lease Cycles'!$C$8*'Lease Cycles'!$E$8/12,0),IF(AY12=1,IF('Lease Cycles'!$AT$8&gt;=9999,'Lease Cycles'!$C$8*INDEX('Lease Cycles'!$CB$8:$CH$8,1,AY10)*(1+INDEX('Lease Cycles'!$CI$8:$CO$8,1,AY10))^INT(INT(AY11/12)/INDEX('Lease Cycles'!$CP$8:$CV$8,1,AY10))/12,IF(AY10=1,IF(AY11&gt;=INDEX('Lease Cycles'!$DK$8:$DQ$8,1,AY10),IF(AY$6&gt;='Lease Cycles'!$AZ$8,'Lease Cycles'!$C$8*'Lease Cycles'!$BA$8/12,IF(AY$6&gt;='Lease Cycles'!$AX$8,'Lease Cycles'!$C$8*'Lease Cycles'!$AY$8/12,IF(AY$6&gt;='Lease Cycles'!$AV$8,'Lease Cycles'!$C$8*'Lease Cycles'!$AW$8/12,IF(AY$6&gt;='Lease Cycles'!$AT$8,'Lease Cycles'!$C$8*'Lease Cycles'!$AU$8/12,'Lease Cycles'!$C$8*INDEX('Lease Cycles'!$CB$8:$CH$8,1,AY10)*(1+INDEX('Lease Cycles'!$CI$8:$CO$8,1,AY10))^INT(INT(AY11/12)/INDEX('Lease Cycles'!$CP$8:$CV$8,1,AY10))/12)))),'Lease Cycles'!$C$8*INDEX('Lease Cycles'!$CB$8:$CH$8,1,AY10)*(1+INDEX('Lease Cycles'!$CI$8:$CO$8,1,AY10))^INT(INT(AY11/12)/INDEX('Lease Cycles'!$CP$8:$CV$8,1,AY10))/12),IF(INDEX('Lease Cycles'!$EF$8:$EL$8,1,AY10)=1,IF(AND('Lease Cycles'!$AZ$8&gt;=INDEX('Lease Cycles'!$BG$8:$BM$8,1,AY10),'Lease Cycles'!$AZ$8&lt;=AY$6),'Lease Cycles'!$C$8*'Lease Cycles'!$BA$8/12,IF(AND('Lease Cycles'!$AX$8&gt;=INDEX('Lease Cycles'!$BG$8:$BM$8,1,AY10),'Lease Cycles'!$AX$8&lt;=AY$6),'Lease Cycles'!$C$8*'Lease Cycles'!$AY$8/12,IF(AND('Lease Cycles'!$AV$8&gt;=INDEX('Lease Cycles'!$BG$8:$BM$8,1,AY10),'Lease Cycles'!$AV$8&lt;=AY$6),'Lease Cycles'!$C$8*'Lease Cycles'!$AW$8/12,IF(AND('Lease Cycles'!$AT$8&gt;=INDEX('Lease Cycles'!$BG$8:$BM$8,1,AY10),'Lease Cycles'!$AT$8&lt;=AY$6),'Lease Cycles'!$C$8*'Lease Cycles'!$AU$8/12,'Lease Cycles'!$C$8*INDEX('Lease Cycles'!$CB$8:$CH$8,1,AY10)*(1+INDEX('Lease Cycles'!$CI$8:$CO$8,1,AY10))^INT(INT(AY11/12)/INDEX('Lease Cycles'!$CP$8:$CV$8,1,AY10))/12)))),'Lease Cycles'!$C$8*INDEX('Lease Cycles'!$CB$8:$CH$8,1,AY10)*(1+INDEX('Lease Cycles'!$CI$8:$CO$8,1,AY10))^INT(INT(AY11/12)/INDEX('Lease Cycles'!$CP$8:$CV$8,1,AY10))/12))),IF('Lease Cycles'!$N$8=1,'Lease Cycles'!$C$8*'Lease Cycles'!$E$8*INDEX('Lease Cycles'!$HE$8:$HK$8,1,AY10)*(1+INDEX('Lease Cycles'!$GQ$8:$GW$8,1,AY10))^INT(INT((AY$6-INDEX('Lease Cycles'!$GJ$8:$GP$8,1,AY10))/12)/INDEX('Lease Cycles'!$GX$8:$HD$8,1,AY10))/12,0)))</f>
        <v>38666.666666666664</v>
      </c>
      <c r="AZ13" s="28">
        <f>IF(AZ10=0,IF('Lease Cycles'!$F$8&gt;0,'Lease Cycles'!$C$8*'Lease Cycles'!$E$8/12,0),IF(AZ12=1,IF('Lease Cycles'!$AT$8&gt;=9999,'Lease Cycles'!$C$8*INDEX('Lease Cycles'!$CB$8:$CH$8,1,AZ10)*(1+INDEX('Lease Cycles'!$CI$8:$CO$8,1,AZ10))^INT(INT(AZ11/12)/INDEX('Lease Cycles'!$CP$8:$CV$8,1,AZ10))/12,IF(AZ10=1,IF(AZ11&gt;=INDEX('Lease Cycles'!$DK$8:$DQ$8,1,AZ10),IF(AZ$6&gt;='Lease Cycles'!$AZ$8,'Lease Cycles'!$C$8*'Lease Cycles'!$BA$8/12,IF(AZ$6&gt;='Lease Cycles'!$AX$8,'Lease Cycles'!$C$8*'Lease Cycles'!$AY$8/12,IF(AZ$6&gt;='Lease Cycles'!$AV$8,'Lease Cycles'!$C$8*'Lease Cycles'!$AW$8/12,IF(AZ$6&gt;='Lease Cycles'!$AT$8,'Lease Cycles'!$C$8*'Lease Cycles'!$AU$8/12,'Lease Cycles'!$C$8*INDEX('Lease Cycles'!$CB$8:$CH$8,1,AZ10)*(1+INDEX('Lease Cycles'!$CI$8:$CO$8,1,AZ10))^INT(INT(AZ11/12)/INDEX('Lease Cycles'!$CP$8:$CV$8,1,AZ10))/12)))),'Lease Cycles'!$C$8*INDEX('Lease Cycles'!$CB$8:$CH$8,1,AZ10)*(1+INDEX('Lease Cycles'!$CI$8:$CO$8,1,AZ10))^INT(INT(AZ11/12)/INDEX('Lease Cycles'!$CP$8:$CV$8,1,AZ10))/12),IF(INDEX('Lease Cycles'!$EF$8:$EL$8,1,AZ10)=1,IF(AND('Lease Cycles'!$AZ$8&gt;=INDEX('Lease Cycles'!$BG$8:$BM$8,1,AZ10),'Lease Cycles'!$AZ$8&lt;=AZ$6),'Lease Cycles'!$C$8*'Lease Cycles'!$BA$8/12,IF(AND('Lease Cycles'!$AX$8&gt;=INDEX('Lease Cycles'!$BG$8:$BM$8,1,AZ10),'Lease Cycles'!$AX$8&lt;=AZ$6),'Lease Cycles'!$C$8*'Lease Cycles'!$AY$8/12,IF(AND('Lease Cycles'!$AV$8&gt;=INDEX('Lease Cycles'!$BG$8:$BM$8,1,AZ10),'Lease Cycles'!$AV$8&lt;=AZ$6),'Lease Cycles'!$C$8*'Lease Cycles'!$AW$8/12,IF(AND('Lease Cycles'!$AT$8&gt;=INDEX('Lease Cycles'!$BG$8:$BM$8,1,AZ10),'Lease Cycles'!$AT$8&lt;=AZ$6),'Lease Cycles'!$C$8*'Lease Cycles'!$AU$8/12,'Lease Cycles'!$C$8*INDEX('Lease Cycles'!$CB$8:$CH$8,1,AZ10)*(1+INDEX('Lease Cycles'!$CI$8:$CO$8,1,AZ10))^INT(INT(AZ11/12)/INDEX('Lease Cycles'!$CP$8:$CV$8,1,AZ10))/12)))),'Lease Cycles'!$C$8*INDEX('Lease Cycles'!$CB$8:$CH$8,1,AZ10)*(1+INDEX('Lease Cycles'!$CI$8:$CO$8,1,AZ10))^INT(INT(AZ11/12)/INDEX('Lease Cycles'!$CP$8:$CV$8,1,AZ10))/12))),IF('Lease Cycles'!$N$8=1,'Lease Cycles'!$C$8*'Lease Cycles'!$E$8*INDEX('Lease Cycles'!$HE$8:$HK$8,1,AZ10)*(1+INDEX('Lease Cycles'!$GQ$8:$GW$8,1,AZ10))^INT(INT((AZ$6-INDEX('Lease Cycles'!$GJ$8:$GP$8,1,AZ10))/12)/INDEX('Lease Cycles'!$GX$8:$HD$8,1,AZ10))/12,0)))</f>
        <v>38666.666666666664</v>
      </c>
      <c r="BA13" s="28">
        <f>IF(BA10=0,IF('Lease Cycles'!$F$8&gt;0,'Lease Cycles'!$C$8*'Lease Cycles'!$E$8/12,0),IF(BA12=1,IF('Lease Cycles'!$AT$8&gt;=9999,'Lease Cycles'!$C$8*INDEX('Lease Cycles'!$CB$8:$CH$8,1,BA10)*(1+INDEX('Lease Cycles'!$CI$8:$CO$8,1,BA10))^INT(INT(BA11/12)/INDEX('Lease Cycles'!$CP$8:$CV$8,1,BA10))/12,IF(BA10=1,IF(BA11&gt;=INDEX('Lease Cycles'!$DK$8:$DQ$8,1,BA10),IF(BA$6&gt;='Lease Cycles'!$AZ$8,'Lease Cycles'!$C$8*'Lease Cycles'!$BA$8/12,IF(BA$6&gt;='Lease Cycles'!$AX$8,'Lease Cycles'!$C$8*'Lease Cycles'!$AY$8/12,IF(BA$6&gt;='Lease Cycles'!$AV$8,'Lease Cycles'!$C$8*'Lease Cycles'!$AW$8/12,IF(BA$6&gt;='Lease Cycles'!$AT$8,'Lease Cycles'!$C$8*'Lease Cycles'!$AU$8/12,'Lease Cycles'!$C$8*INDEX('Lease Cycles'!$CB$8:$CH$8,1,BA10)*(1+INDEX('Lease Cycles'!$CI$8:$CO$8,1,BA10))^INT(INT(BA11/12)/INDEX('Lease Cycles'!$CP$8:$CV$8,1,BA10))/12)))),'Lease Cycles'!$C$8*INDEX('Lease Cycles'!$CB$8:$CH$8,1,BA10)*(1+INDEX('Lease Cycles'!$CI$8:$CO$8,1,BA10))^INT(INT(BA11/12)/INDEX('Lease Cycles'!$CP$8:$CV$8,1,BA10))/12),IF(INDEX('Lease Cycles'!$EF$8:$EL$8,1,BA10)=1,IF(AND('Lease Cycles'!$AZ$8&gt;=INDEX('Lease Cycles'!$BG$8:$BM$8,1,BA10),'Lease Cycles'!$AZ$8&lt;=BA$6),'Lease Cycles'!$C$8*'Lease Cycles'!$BA$8/12,IF(AND('Lease Cycles'!$AX$8&gt;=INDEX('Lease Cycles'!$BG$8:$BM$8,1,BA10),'Lease Cycles'!$AX$8&lt;=BA$6),'Lease Cycles'!$C$8*'Lease Cycles'!$AY$8/12,IF(AND('Lease Cycles'!$AV$8&gt;=INDEX('Lease Cycles'!$BG$8:$BM$8,1,BA10),'Lease Cycles'!$AV$8&lt;=BA$6),'Lease Cycles'!$C$8*'Lease Cycles'!$AW$8/12,IF(AND('Lease Cycles'!$AT$8&gt;=INDEX('Lease Cycles'!$BG$8:$BM$8,1,BA10),'Lease Cycles'!$AT$8&lt;=BA$6),'Lease Cycles'!$C$8*'Lease Cycles'!$AU$8/12,'Lease Cycles'!$C$8*INDEX('Lease Cycles'!$CB$8:$CH$8,1,BA10)*(1+INDEX('Lease Cycles'!$CI$8:$CO$8,1,BA10))^INT(INT(BA11/12)/INDEX('Lease Cycles'!$CP$8:$CV$8,1,BA10))/12)))),'Lease Cycles'!$C$8*INDEX('Lease Cycles'!$CB$8:$CH$8,1,BA10)*(1+INDEX('Lease Cycles'!$CI$8:$CO$8,1,BA10))^INT(INT(BA11/12)/INDEX('Lease Cycles'!$CP$8:$CV$8,1,BA10))/12))),IF('Lease Cycles'!$N$8=1,'Lease Cycles'!$C$8*'Lease Cycles'!$E$8*INDEX('Lease Cycles'!$HE$8:$HK$8,1,BA10)*(1+INDEX('Lease Cycles'!$GQ$8:$GW$8,1,BA10))^INT(INT((BA$6-INDEX('Lease Cycles'!$GJ$8:$GP$8,1,BA10))/12)/INDEX('Lease Cycles'!$GX$8:$HD$8,1,BA10))/12,0)))</f>
        <v>38666.666666666664</v>
      </c>
      <c r="BB13" s="28">
        <f>IF(BB10=0,IF('Lease Cycles'!$F$8&gt;0,'Lease Cycles'!$C$8*'Lease Cycles'!$E$8/12,0),IF(BB12=1,IF('Lease Cycles'!$AT$8&gt;=9999,'Lease Cycles'!$C$8*INDEX('Lease Cycles'!$CB$8:$CH$8,1,BB10)*(1+INDEX('Lease Cycles'!$CI$8:$CO$8,1,BB10))^INT(INT(BB11/12)/INDEX('Lease Cycles'!$CP$8:$CV$8,1,BB10))/12,IF(BB10=1,IF(BB11&gt;=INDEX('Lease Cycles'!$DK$8:$DQ$8,1,BB10),IF(BB$6&gt;='Lease Cycles'!$AZ$8,'Lease Cycles'!$C$8*'Lease Cycles'!$BA$8/12,IF(BB$6&gt;='Lease Cycles'!$AX$8,'Lease Cycles'!$C$8*'Lease Cycles'!$AY$8/12,IF(BB$6&gt;='Lease Cycles'!$AV$8,'Lease Cycles'!$C$8*'Lease Cycles'!$AW$8/12,IF(BB$6&gt;='Lease Cycles'!$AT$8,'Lease Cycles'!$C$8*'Lease Cycles'!$AU$8/12,'Lease Cycles'!$C$8*INDEX('Lease Cycles'!$CB$8:$CH$8,1,BB10)*(1+INDEX('Lease Cycles'!$CI$8:$CO$8,1,BB10))^INT(INT(BB11/12)/INDEX('Lease Cycles'!$CP$8:$CV$8,1,BB10))/12)))),'Lease Cycles'!$C$8*INDEX('Lease Cycles'!$CB$8:$CH$8,1,BB10)*(1+INDEX('Lease Cycles'!$CI$8:$CO$8,1,BB10))^INT(INT(BB11/12)/INDEX('Lease Cycles'!$CP$8:$CV$8,1,BB10))/12),IF(INDEX('Lease Cycles'!$EF$8:$EL$8,1,BB10)=1,IF(AND('Lease Cycles'!$AZ$8&gt;=INDEX('Lease Cycles'!$BG$8:$BM$8,1,BB10),'Lease Cycles'!$AZ$8&lt;=BB$6),'Lease Cycles'!$C$8*'Lease Cycles'!$BA$8/12,IF(AND('Lease Cycles'!$AX$8&gt;=INDEX('Lease Cycles'!$BG$8:$BM$8,1,BB10),'Lease Cycles'!$AX$8&lt;=BB$6),'Lease Cycles'!$C$8*'Lease Cycles'!$AY$8/12,IF(AND('Lease Cycles'!$AV$8&gt;=INDEX('Lease Cycles'!$BG$8:$BM$8,1,BB10),'Lease Cycles'!$AV$8&lt;=BB$6),'Lease Cycles'!$C$8*'Lease Cycles'!$AW$8/12,IF(AND('Lease Cycles'!$AT$8&gt;=INDEX('Lease Cycles'!$BG$8:$BM$8,1,BB10),'Lease Cycles'!$AT$8&lt;=BB$6),'Lease Cycles'!$C$8*'Lease Cycles'!$AU$8/12,'Lease Cycles'!$C$8*INDEX('Lease Cycles'!$CB$8:$CH$8,1,BB10)*(1+INDEX('Lease Cycles'!$CI$8:$CO$8,1,BB10))^INT(INT(BB11/12)/INDEX('Lease Cycles'!$CP$8:$CV$8,1,BB10))/12)))),'Lease Cycles'!$C$8*INDEX('Lease Cycles'!$CB$8:$CH$8,1,BB10)*(1+INDEX('Lease Cycles'!$CI$8:$CO$8,1,BB10))^INT(INT(BB11/12)/INDEX('Lease Cycles'!$CP$8:$CV$8,1,BB10))/12))),IF('Lease Cycles'!$N$8=1,'Lease Cycles'!$C$8*'Lease Cycles'!$E$8*INDEX('Lease Cycles'!$HE$8:$HK$8,1,BB10)*(1+INDEX('Lease Cycles'!$GQ$8:$GW$8,1,BB10))^INT(INT((BB$6-INDEX('Lease Cycles'!$GJ$8:$GP$8,1,BB10))/12)/INDEX('Lease Cycles'!$GX$8:$HD$8,1,BB10))/12,0)))</f>
        <v>38666.666666666664</v>
      </c>
      <c r="BC13" s="28">
        <f>IF(BC10=0,IF('Lease Cycles'!$F$8&gt;0,'Lease Cycles'!$C$8*'Lease Cycles'!$E$8/12,0),IF(BC12=1,IF('Lease Cycles'!$AT$8&gt;=9999,'Lease Cycles'!$C$8*INDEX('Lease Cycles'!$CB$8:$CH$8,1,BC10)*(1+INDEX('Lease Cycles'!$CI$8:$CO$8,1,BC10))^INT(INT(BC11/12)/INDEX('Lease Cycles'!$CP$8:$CV$8,1,BC10))/12,IF(BC10=1,IF(BC11&gt;=INDEX('Lease Cycles'!$DK$8:$DQ$8,1,BC10),IF(BC$6&gt;='Lease Cycles'!$AZ$8,'Lease Cycles'!$C$8*'Lease Cycles'!$BA$8/12,IF(BC$6&gt;='Lease Cycles'!$AX$8,'Lease Cycles'!$C$8*'Lease Cycles'!$AY$8/12,IF(BC$6&gt;='Lease Cycles'!$AV$8,'Lease Cycles'!$C$8*'Lease Cycles'!$AW$8/12,IF(BC$6&gt;='Lease Cycles'!$AT$8,'Lease Cycles'!$C$8*'Lease Cycles'!$AU$8/12,'Lease Cycles'!$C$8*INDEX('Lease Cycles'!$CB$8:$CH$8,1,BC10)*(1+INDEX('Lease Cycles'!$CI$8:$CO$8,1,BC10))^INT(INT(BC11/12)/INDEX('Lease Cycles'!$CP$8:$CV$8,1,BC10))/12)))),'Lease Cycles'!$C$8*INDEX('Lease Cycles'!$CB$8:$CH$8,1,BC10)*(1+INDEX('Lease Cycles'!$CI$8:$CO$8,1,BC10))^INT(INT(BC11/12)/INDEX('Lease Cycles'!$CP$8:$CV$8,1,BC10))/12),IF(INDEX('Lease Cycles'!$EF$8:$EL$8,1,BC10)=1,IF(AND('Lease Cycles'!$AZ$8&gt;=INDEX('Lease Cycles'!$BG$8:$BM$8,1,BC10),'Lease Cycles'!$AZ$8&lt;=BC$6),'Lease Cycles'!$C$8*'Lease Cycles'!$BA$8/12,IF(AND('Lease Cycles'!$AX$8&gt;=INDEX('Lease Cycles'!$BG$8:$BM$8,1,BC10),'Lease Cycles'!$AX$8&lt;=BC$6),'Lease Cycles'!$C$8*'Lease Cycles'!$AY$8/12,IF(AND('Lease Cycles'!$AV$8&gt;=INDEX('Lease Cycles'!$BG$8:$BM$8,1,BC10),'Lease Cycles'!$AV$8&lt;=BC$6),'Lease Cycles'!$C$8*'Lease Cycles'!$AW$8/12,IF(AND('Lease Cycles'!$AT$8&gt;=INDEX('Lease Cycles'!$BG$8:$BM$8,1,BC10),'Lease Cycles'!$AT$8&lt;=BC$6),'Lease Cycles'!$C$8*'Lease Cycles'!$AU$8/12,'Lease Cycles'!$C$8*INDEX('Lease Cycles'!$CB$8:$CH$8,1,BC10)*(1+INDEX('Lease Cycles'!$CI$8:$CO$8,1,BC10))^INT(INT(BC11/12)/INDEX('Lease Cycles'!$CP$8:$CV$8,1,BC10))/12)))),'Lease Cycles'!$C$8*INDEX('Lease Cycles'!$CB$8:$CH$8,1,BC10)*(1+INDEX('Lease Cycles'!$CI$8:$CO$8,1,BC10))^INT(INT(BC11/12)/INDEX('Lease Cycles'!$CP$8:$CV$8,1,BC10))/12))),IF('Lease Cycles'!$N$8=1,'Lease Cycles'!$C$8*'Lease Cycles'!$E$8*INDEX('Lease Cycles'!$HE$8:$HK$8,1,BC10)*(1+INDEX('Lease Cycles'!$GQ$8:$GW$8,1,BC10))^INT(INT((BC$6-INDEX('Lease Cycles'!$GJ$8:$GP$8,1,BC10))/12)/INDEX('Lease Cycles'!$GX$8:$HD$8,1,BC10))/12,0)))</f>
        <v>38666.666666666664</v>
      </c>
      <c r="BD13" s="28">
        <f>IF(BD10=0,IF('Lease Cycles'!$F$8&gt;0,'Lease Cycles'!$C$8*'Lease Cycles'!$E$8/12,0),IF(BD12=1,IF('Lease Cycles'!$AT$8&gt;=9999,'Lease Cycles'!$C$8*INDEX('Lease Cycles'!$CB$8:$CH$8,1,BD10)*(1+INDEX('Lease Cycles'!$CI$8:$CO$8,1,BD10))^INT(INT(BD11/12)/INDEX('Lease Cycles'!$CP$8:$CV$8,1,BD10))/12,IF(BD10=1,IF(BD11&gt;=INDEX('Lease Cycles'!$DK$8:$DQ$8,1,BD10),IF(BD$6&gt;='Lease Cycles'!$AZ$8,'Lease Cycles'!$C$8*'Lease Cycles'!$BA$8/12,IF(BD$6&gt;='Lease Cycles'!$AX$8,'Lease Cycles'!$C$8*'Lease Cycles'!$AY$8/12,IF(BD$6&gt;='Lease Cycles'!$AV$8,'Lease Cycles'!$C$8*'Lease Cycles'!$AW$8/12,IF(BD$6&gt;='Lease Cycles'!$AT$8,'Lease Cycles'!$C$8*'Lease Cycles'!$AU$8/12,'Lease Cycles'!$C$8*INDEX('Lease Cycles'!$CB$8:$CH$8,1,BD10)*(1+INDEX('Lease Cycles'!$CI$8:$CO$8,1,BD10))^INT(INT(BD11/12)/INDEX('Lease Cycles'!$CP$8:$CV$8,1,BD10))/12)))),'Lease Cycles'!$C$8*INDEX('Lease Cycles'!$CB$8:$CH$8,1,BD10)*(1+INDEX('Lease Cycles'!$CI$8:$CO$8,1,BD10))^INT(INT(BD11/12)/INDEX('Lease Cycles'!$CP$8:$CV$8,1,BD10))/12),IF(INDEX('Lease Cycles'!$EF$8:$EL$8,1,BD10)=1,IF(AND('Lease Cycles'!$AZ$8&gt;=INDEX('Lease Cycles'!$BG$8:$BM$8,1,BD10),'Lease Cycles'!$AZ$8&lt;=BD$6),'Lease Cycles'!$C$8*'Lease Cycles'!$BA$8/12,IF(AND('Lease Cycles'!$AX$8&gt;=INDEX('Lease Cycles'!$BG$8:$BM$8,1,BD10),'Lease Cycles'!$AX$8&lt;=BD$6),'Lease Cycles'!$C$8*'Lease Cycles'!$AY$8/12,IF(AND('Lease Cycles'!$AV$8&gt;=INDEX('Lease Cycles'!$BG$8:$BM$8,1,BD10),'Lease Cycles'!$AV$8&lt;=BD$6),'Lease Cycles'!$C$8*'Lease Cycles'!$AW$8/12,IF(AND('Lease Cycles'!$AT$8&gt;=INDEX('Lease Cycles'!$BG$8:$BM$8,1,BD10),'Lease Cycles'!$AT$8&lt;=BD$6),'Lease Cycles'!$C$8*'Lease Cycles'!$AU$8/12,'Lease Cycles'!$C$8*INDEX('Lease Cycles'!$CB$8:$CH$8,1,BD10)*(1+INDEX('Lease Cycles'!$CI$8:$CO$8,1,BD10))^INT(INT(BD11/12)/INDEX('Lease Cycles'!$CP$8:$CV$8,1,BD10))/12)))),'Lease Cycles'!$C$8*INDEX('Lease Cycles'!$CB$8:$CH$8,1,BD10)*(1+INDEX('Lease Cycles'!$CI$8:$CO$8,1,BD10))^INT(INT(BD11/12)/INDEX('Lease Cycles'!$CP$8:$CV$8,1,BD10))/12))),IF('Lease Cycles'!$N$8=1,'Lease Cycles'!$C$8*'Lease Cycles'!$E$8*INDEX('Lease Cycles'!$HE$8:$HK$8,1,BD10)*(1+INDEX('Lease Cycles'!$GQ$8:$GW$8,1,BD10))^INT(INT((BD$6-INDEX('Lease Cycles'!$GJ$8:$GP$8,1,BD10))/12)/INDEX('Lease Cycles'!$GX$8:$HD$8,1,BD10))/12,0)))</f>
        <v>38666.666666666664</v>
      </c>
      <c r="BE13" s="28">
        <f>IF(BE10=0,IF('Lease Cycles'!$F$8&gt;0,'Lease Cycles'!$C$8*'Lease Cycles'!$E$8/12,0),IF(BE12=1,IF('Lease Cycles'!$AT$8&gt;=9999,'Lease Cycles'!$C$8*INDEX('Lease Cycles'!$CB$8:$CH$8,1,BE10)*(1+INDEX('Lease Cycles'!$CI$8:$CO$8,1,BE10))^INT(INT(BE11/12)/INDEX('Lease Cycles'!$CP$8:$CV$8,1,BE10))/12,IF(BE10=1,IF(BE11&gt;=INDEX('Lease Cycles'!$DK$8:$DQ$8,1,BE10),IF(BE$6&gt;='Lease Cycles'!$AZ$8,'Lease Cycles'!$C$8*'Lease Cycles'!$BA$8/12,IF(BE$6&gt;='Lease Cycles'!$AX$8,'Lease Cycles'!$C$8*'Lease Cycles'!$AY$8/12,IF(BE$6&gt;='Lease Cycles'!$AV$8,'Lease Cycles'!$C$8*'Lease Cycles'!$AW$8/12,IF(BE$6&gt;='Lease Cycles'!$AT$8,'Lease Cycles'!$C$8*'Lease Cycles'!$AU$8/12,'Lease Cycles'!$C$8*INDEX('Lease Cycles'!$CB$8:$CH$8,1,BE10)*(1+INDEX('Lease Cycles'!$CI$8:$CO$8,1,BE10))^INT(INT(BE11/12)/INDEX('Lease Cycles'!$CP$8:$CV$8,1,BE10))/12)))),'Lease Cycles'!$C$8*INDEX('Lease Cycles'!$CB$8:$CH$8,1,BE10)*(1+INDEX('Lease Cycles'!$CI$8:$CO$8,1,BE10))^INT(INT(BE11/12)/INDEX('Lease Cycles'!$CP$8:$CV$8,1,BE10))/12),IF(INDEX('Lease Cycles'!$EF$8:$EL$8,1,BE10)=1,IF(AND('Lease Cycles'!$AZ$8&gt;=INDEX('Lease Cycles'!$BG$8:$BM$8,1,BE10),'Lease Cycles'!$AZ$8&lt;=BE$6),'Lease Cycles'!$C$8*'Lease Cycles'!$BA$8/12,IF(AND('Lease Cycles'!$AX$8&gt;=INDEX('Lease Cycles'!$BG$8:$BM$8,1,BE10),'Lease Cycles'!$AX$8&lt;=BE$6),'Lease Cycles'!$C$8*'Lease Cycles'!$AY$8/12,IF(AND('Lease Cycles'!$AV$8&gt;=INDEX('Lease Cycles'!$BG$8:$BM$8,1,BE10),'Lease Cycles'!$AV$8&lt;=BE$6),'Lease Cycles'!$C$8*'Lease Cycles'!$AW$8/12,IF(AND('Lease Cycles'!$AT$8&gt;=INDEX('Lease Cycles'!$BG$8:$BM$8,1,BE10),'Lease Cycles'!$AT$8&lt;=BE$6),'Lease Cycles'!$C$8*'Lease Cycles'!$AU$8/12,'Lease Cycles'!$C$8*INDEX('Lease Cycles'!$CB$8:$CH$8,1,BE10)*(1+INDEX('Lease Cycles'!$CI$8:$CO$8,1,BE10))^INT(INT(BE11/12)/INDEX('Lease Cycles'!$CP$8:$CV$8,1,BE10))/12)))),'Lease Cycles'!$C$8*INDEX('Lease Cycles'!$CB$8:$CH$8,1,BE10)*(1+INDEX('Lease Cycles'!$CI$8:$CO$8,1,BE10))^INT(INT(BE11/12)/INDEX('Lease Cycles'!$CP$8:$CV$8,1,BE10))/12))),IF('Lease Cycles'!$N$8=1,'Lease Cycles'!$C$8*'Lease Cycles'!$E$8*INDEX('Lease Cycles'!$HE$8:$HK$8,1,BE10)*(1+INDEX('Lease Cycles'!$GQ$8:$GW$8,1,BE10))^INT(INT((BE$6-INDEX('Lease Cycles'!$GJ$8:$GP$8,1,BE10))/12)/INDEX('Lease Cycles'!$GX$8:$HD$8,1,BE10))/12,0)))</f>
        <v>38666.666666666664</v>
      </c>
      <c r="BF13" s="28">
        <f>IF(BF10=0,IF('Lease Cycles'!$F$8&gt;0,'Lease Cycles'!$C$8*'Lease Cycles'!$E$8/12,0),IF(BF12=1,IF('Lease Cycles'!$AT$8&gt;=9999,'Lease Cycles'!$C$8*INDEX('Lease Cycles'!$CB$8:$CH$8,1,BF10)*(1+INDEX('Lease Cycles'!$CI$8:$CO$8,1,BF10))^INT(INT(BF11/12)/INDEX('Lease Cycles'!$CP$8:$CV$8,1,BF10))/12,IF(BF10=1,IF(BF11&gt;=INDEX('Lease Cycles'!$DK$8:$DQ$8,1,BF10),IF(BF$6&gt;='Lease Cycles'!$AZ$8,'Lease Cycles'!$C$8*'Lease Cycles'!$BA$8/12,IF(BF$6&gt;='Lease Cycles'!$AX$8,'Lease Cycles'!$C$8*'Lease Cycles'!$AY$8/12,IF(BF$6&gt;='Lease Cycles'!$AV$8,'Lease Cycles'!$C$8*'Lease Cycles'!$AW$8/12,IF(BF$6&gt;='Lease Cycles'!$AT$8,'Lease Cycles'!$C$8*'Lease Cycles'!$AU$8/12,'Lease Cycles'!$C$8*INDEX('Lease Cycles'!$CB$8:$CH$8,1,BF10)*(1+INDEX('Lease Cycles'!$CI$8:$CO$8,1,BF10))^INT(INT(BF11/12)/INDEX('Lease Cycles'!$CP$8:$CV$8,1,BF10))/12)))),'Lease Cycles'!$C$8*INDEX('Lease Cycles'!$CB$8:$CH$8,1,BF10)*(1+INDEX('Lease Cycles'!$CI$8:$CO$8,1,BF10))^INT(INT(BF11/12)/INDEX('Lease Cycles'!$CP$8:$CV$8,1,BF10))/12),IF(INDEX('Lease Cycles'!$EF$8:$EL$8,1,BF10)=1,IF(AND('Lease Cycles'!$AZ$8&gt;=INDEX('Lease Cycles'!$BG$8:$BM$8,1,BF10),'Lease Cycles'!$AZ$8&lt;=BF$6),'Lease Cycles'!$C$8*'Lease Cycles'!$BA$8/12,IF(AND('Lease Cycles'!$AX$8&gt;=INDEX('Lease Cycles'!$BG$8:$BM$8,1,BF10),'Lease Cycles'!$AX$8&lt;=BF$6),'Lease Cycles'!$C$8*'Lease Cycles'!$AY$8/12,IF(AND('Lease Cycles'!$AV$8&gt;=INDEX('Lease Cycles'!$BG$8:$BM$8,1,BF10),'Lease Cycles'!$AV$8&lt;=BF$6),'Lease Cycles'!$C$8*'Lease Cycles'!$AW$8/12,IF(AND('Lease Cycles'!$AT$8&gt;=INDEX('Lease Cycles'!$BG$8:$BM$8,1,BF10),'Lease Cycles'!$AT$8&lt;=BF$6),'Lease Cycles'!$C$8*'Lease Cycles'!$AU$8/12,'Lease Cycles'!$C$8*INDEX('Lease Cycles'!$CB$8:$CH$8,1,BF10)*(1+INDEX('Lease Cycles'!$CI$8:$CO$8,1,BF10))^INT(INT(BF11/12)/INDEX('Lease Cycles'!$CP$8:$CV$8,1,BF10))/12)))),'Lease Cycles'!$C$8*INDEX('Lease Cycles'!$CB$8:$CH$8,1,BF10)*(1+INDEX('Lease Cycles'!$CI$8:$CO$8,1,BF10))^INT(INT(BF11/12)/INDEX('Lease Cycles'!$CP$8:$CV$8,1,BF10))/12))),IF('Lease Cycles'!$N$8=1,'Lease Cycles'!$C$8*'Lease Cycles'!$E$8*INDEX('Lease Cycles'!$HE$8:$HK$8,1,BF10)*(1+INDEX('Lease Cycles'!$GQ$8:$GW$8,1,BF10))^INT(INT((BF$6-INDEX('Lease Cycles'!$GJ$8:$GP$8,1,BF10))/12)/INDEX('Lease Cycles'!$GX$8:$HD$8,1,BF10))/12,0)))</f>
        <v>38666.666666666664</v>
      </c>
      <c r="BG13" s="28">
        <f>IF(BG10=0,IF('Lease Cycles'!$F$8&gt;0,'Lease Cycles'!$C$8*'Lease Cycles'!$E$8/12,0),IF(BG12=1,IF('Lease Cycles'!$AT$8&gt;=9999,'Lease Cycles'!$C$8*INDEX('Lease Cycles'!$CB$8:$CH$8,1,BG10)*(1+INDEX('Lease Cycles'!$CI$8:$CO$8,1,BG10))^INT(INT(BG11/12)/INDEX('Lease Cycles'!$CP$8:$CV$8,1,BG10))/12,IF(BG10=1,IF(BG11&gt;=INDEX('Lease Cycles'!$DK$8:$DQ$8,1,BG10),IF(BG$6&gt;='Lease Cycles'!$AZ$8,'Lease Cycles'!$C$8*'Lease Cycles'!$BA$8/12,IF(BG$6&gt;='Lease Cycles'!$AX$8,'Lease Cycles'!$C$8*'Lease Cycles'!$AY$8/12,IF(BG$6&gt;='Lease Cycles'!$AV$8,'Lease Cycles'!$C$8*'Lease Cycles'!$AW$8/12,IF(BG$6&gt;='Lease Cycles'!$AT$8,'Lease Cycles'!$C$8*'Lease Cycles'!$AU$8/12,'Lease Cycles'!$C$8*INDEX('Lease Cycles'!$CB$8:$CH$8,1,BG10)*(1+INDEX('Lease Cycles'!$CI$8:$CO$8,1,BG10))^INT(INT(BG11/12)/INDEX('Lease Cycles'!$CP$8:$CV$8,1,BG10))/12)))),'Lease Cycles'!$C$8*INDEX('Lease Cycles'!$CB$8:$CH$8,1,BG10)*(1+INDEX('Lease Cycles'!$CI$8:$CO$8,1,BG10))^INT(INT(BG11/12)/INDEX('Lease Cycles'!$CP$8:$CV$8,1,BG10))/12),IF(INDEX('Lease Cycles'!$EF$8:$EL$8,1,BG10)=1,IF(AND('Lease Cycles'!$AZ$8&gt;=INDEX('Lease Cycles'!$BG$8:$BM$8,1,BG10),'Lease Cycles'!$AZ$8&lt;=BG$6),'Lease Cycles'!$C$8*'Lease Cycles'!$BA$8/12,IF(AND('Lease Cycles'!$AX$8&gt;=INDEX('Lease Cycles'!$BG$8:$BM$8,1,BG10),'Lease Cycles'!$AX$8&lt;=BG$6),'Lease Cycles'!$C$8*'Lease Cycles'!$AY$8/12,IF(AND('Lease Cycles'!$AV$8&gt;=INDEX('Lease Cycles'!$BG$8:$BM$8,1,BG10),'Lease Cycles'!$AV$8&lt;=BG$6),'Lease Cycles'!$C$8*'Lease Cycles'!$AW$8/12,IF(AND('Lease Cycles'!$AT$8&gt;=INDEX('Lease Cycles'!$BG$8:$BM$8,1,BG10),'Lease Cycles'!$AT$8&lt;=BG$6),'Lease Cycles'!$C$8*'Lease Cycles'!$AU$8/12,'Lease Cycles'!$C$8*INDEX('Lease Cycles'!$CB$8:$CH$8,1,BG10)*(1+INDEX('Lease Cycles'!$CI$8:$CO$8,1,BG10))^INT(INT(BG11/12)/INDEX('Lease Cycles'!$CP$8:$CV$8,1,BG10))/12)))),'Lease Cycles'!$C$8*INDEX('Lease Cycles'!$CB$8:$CH$8,1,BG10)*(1+INDEX('Lease Cycles'!$CI$8:$CO$8,1,BG10))^INT(INT(BG11/12)/INDEX('Lease Cycles'!$CP$8:$CV$8,1,BG10))/12))),IF('Lease Cycles'!$N$8=1,'Lease Cycles'!$C$8*'Lease Cycles'!$E$8*INDEX('Lease Cycles'!$HE$8:$HK$8,1,BG10)*(1+INDEX('Lease Cycles'!$GQ$8:$GW$8,1,BG10))^INT(INT((BG$6-INDEX('Lease Cycles'!$GJ$8:$GP$8,1,BG10))/12)/INDEX('Lease Cycles'!$GX$8:$HD$8,1,BG10))/12,0)))</f>
        <v>38666.666666666664</v>
      </c>
      <c r="BH13" s="28">
        <f>IF(BH10=0,IF('Lease Cycles'!$F$8&gt;0,'Lease Cycles'!$C$8*'Lease Cycles'!$E$8/12,0),IF(BH12=1,IF('Lease Cycles'!$AT$8&gt;=9999,'Lease Cycles'!$C$8*INDEX('Lease Cycles'!$CB$8:$CH$8,1,BH10)*(1+INDEX('Lease Cycles'!$CI$8:$CO$8,1,BH10))^INT(INT(BH11/12)/INDEX('Lease Cycles'!$CP$8:$CV$8,1,BH10))/12,IF(BH10=1,IF(BH11&gt;=INDEX('Lease Cycles'!$DK$8:$DQ$8,1,BH10),IF(BH$6&gt;='Lease Cycles'!$AZ$8,'Lease Cycles'!$C$8*'Lease Cycles'!$BA$8/12,IF(BH$6&gt;='Lease Cycles'!$AX$8,'Lease Cycles'!$C$8*'Lease Cycles'!$AY$8/12,IF(BH$6&gt;='Lease Cycles'!$AV$8,'Lease Cycles'!$C$8*'Lease Cycles'!$AW$8/12,IF(BH$6&gt;='Lease Cycles'!$AT$8,'Lease Cycles'!$C$8*'Lease Cycles'!$AU$8/12,'Lease Cycles'!$C$8*INDEX('Lease Cycles'!$CB$8:$CH$8,1,BH10)*(1+INDEX('Lease Cycles'!$CI$8:$CO$8,1,BH10))^INT(INT(BH11/12)/INDEX('Lease Cycles'!$CP$8:$CV$8,1,BH10))/12)))),'Lease Cycles'!$C$8*INDEX('Lease Cycles'!$CB$8:$CH$8,1,BH10)*(1+INDEX('Lease Cycles'!$CI$8:$CO$8,1,BH10))^INT(INT(BH11/12)/INDEX('Lease Cycles'!$CP$8:$CV$8,1,BH10))/12),IF(INDEX('Lease Cycles'!$EF$8:$EL$8,1,BH10)=1,IF(AND('Lease Cycles'!$AZ$8&gt;=INDEX('Lease Cycles'!$BG$8:$BM$8,1,BH10),'Lease Cycles'!$AZ$8&lt;=BH$6),'Lease Cycles'!$C$8*'Lease Cycles'!$BA$8/12,IF(AND('Lease Cycles'!$AX$8&gt;=INDEX('Lease Cycles'!$BG$8:$BM$8,1,BH10),'Lease Cycles'!$AX$8&lt;=BH$6),'Lease Cycles'!$C$8*'Lease Cycles'!$AY$8/12,IF(AND('Lease Cycles'!$AV$8&gt;=INDEX('Lease Cycles'!$BG$8:$BM$8,1,BH10),'Lease Cycles'!$AV$8&lt;=BH$6),'Lease Cycles'!$C$8*'Lease Cycles'!$AW$8/12,IF(AND('Lease Cycles'!$AT$8&gt;=INDEX('Lease Cycles'!$BG$8:$BM$8,1,BH10),'Lease Cycles'!$AT$8&lt;=BH$6),'Lease Cycles'!$C$8*'Lease Cycles'!$AU$8/12,'Lease Cycles'!$C$8*INDEX('Lease Cycles'!$CB$8:$CH$8,1,BH10)*(1+INDEX('Lease Cycles'!$CI$8:$CO$8,1,BH10))^INT(INT(BH11/12)/INDEX('Lease Cycles'!$CP$8:$CV$8,1,BH10))/12)))),'Lease Cycles'!$C$8*INDEX('Lease Cycles'!$CB$8:$CH$8,1,BH10)*(1+INDEX('Lease Cycles'!$CI$8:$CO$8,1,BH10))^INT(INT(BH11/12)/INDEX('Lease Cycles'!$CP$8:$CV$8,1,BH10))/12))),IF('Lease Cycles'!$N$8=1,'Lease Cycles'!$C$8*'Lease Cycles'!$E$8*INDEX('Lease Cycles'!$HE$8:$HK$8,1,BH10)*(1+INDEX('Lease Cycles'!$GQ$8:$GW$8,1,BH10))^INT(INT((BH$6-INDEX('Lease Cycles'!$GJ$8:$GP$8,1,BH10))/12)/INDEX('Lease Cycles'!$GX$8:$HD$8,1,BH10))/12,0)))</f>
        <v>38666.666666666664</v>
      </c>
      <c r="BI13" s="28">
        <f>IF(BI10=0,IF('Lease Cycles'!$F$8&gt;0,'Lease Cycles'!$C$8*'Lease Cycles'!$E$8/12,0),IF(BI12=1,IF('Lease Cycles'!$AT$8&gt;=9999,'Lease Cycles'!$C$8*INDEX('Lease Cycles'!$CB$8:$CH$8,1,BI10)*(1+INDEX('Lease Cycles'!$CI$8:$CO$8,1,BI10))^INT(INT(BI11/12)/INDEX('Lease Cycles'!$CP$8:$CV$8,1,BI10))/12,IF(BI10=1,IF(BI11&gt;=INDEX('Lease Cycles'!$DK$8:$DQ$8,1,BI10),IF(BI$6&gt;='Lease Cycles'!$AZ$8,'Lease Cycles'!$C$8*'Lease Cycles'!$BA$8/12,IF(BI$6&gt;='Lease Cycles'!$AX$8,'Lease Cycles'!$C$8*'Lease Cycles'!$AY$8/12,IF(BI$6&gt;='Lease Cycles'!$AV$8,'Lease Cycles'!$C$8*'Lease Cycles'!$AW$8/12,IF(BI$6&gt;='Lease Cycles'!$AT$8,'Lease Cycles'!$C$8*'Lease Cycles'!$AU$8/12,'Lease Cycles'!$C$8*INDEX('Lease Cycles'!$CB$8:$CH$8,1,BI10)*(1+INDEX('Lease Cycles'!$CI$8:$CO$8,1,BI10))^INT(INT(BI11/12)/INDEX('Lease Cycles'!$CP$8:$CV$8,1,BI10))/12)))),'Lease Cycles'!$C$8*INDEX('Lease Cycles'!$CB$8:$CH$8,1,BI10)*(1+INDEX('Lease Cycles'!$CI$8:$CO$8,1,BI10))^INT(INT(BI11/12)/INDEX('Lease Cycles'!$CP$8:$CV$8,1,BI10))/12),IF(INDEX('Lease Cycles'!$EF$8:$EL$8,1,BI10)=1,IF(AND('Lease Cycles'!$AZ$8&gt;=INDEX('Lease Cycles'!$BG$8:$BM$8,1,BI10),'Lease Cycles'!$AZ$8&lt;=BI$6),'Lease Cycles'!$C$8*'Lease Cycles'!$BA$8/12,IF(AND('Lease Cycles'!$AX$8&gt;=INDEX('Lease Cycles'!$BG$8:$BM$8,1,BI10),'Lease Cycles'!$AX$8&lt;=BI$6),'Lease Cycles'!$C$8*'Lease Cycles'!$AY$8/12,IF(AND('Lease Cycles'!$AV$8&gt;=INDEX('Lease Cycles'!$BG$8:$BM$8,1,BI10),'Lease Cycles'!$AV$8&lt;=BI$6),'Lease Cycles'!$C$8*'Lease Cycles'!$AW$8/12,IF(AND('Lease Cycles'!$AT$8&gt;=INDEX('Lease Cycles'!$BG$8:$BM$8,1,BI10),'Lease Cycles'!$AT$8&lt;=BI$6),'Lease Cycles'!$C$8*'Lease Cycles'!$AU$8/12,'Lease Cycles'!$C$8*INDEX('Lease Cycles'!$CB$8:$CH$8,1,BI10)*(1+INDEX('Lease Cycles'!$CI$8:$CO$8,1,BI10))^INT(INT(BI11/12)/INDEX('Lease Cycles'!$CP$8:$CV$8,1,BI10))/12)))),'Lease Cycles'!$C$8*INDEX('Lease Cycles'!$CB$8:$CH$8,1,BI10)*(1+INDEX('Lease Cycles'!$CI$8:$CO$8,1,BI10))^INT(INT(BI11/12)/INDEX('Lease Cycles'!$CP$8:$CV$8,1,BI10))/12))),IF('Lease Cycles'!$N$8=1,'Lease Cycles'!$C$8*'Lease Cycles'!$E$8*INDEX('Lease Cycles'!$HE$8:$HK$8,1,BI10)*(1+INDEX('Lease Cycles'!$GQ$8:$GW$8,1,BI10))^INT(INT((BI$6-INDEX('Lease Cycles'!$GJ$8:$GP$8,1,BI10))/12)/INDEX('Lease Cycles'!$GX$8:$HD$8,1,BI10))/12,0)))</f>
        <v>38666.666666666664</v>
      </c>
      <c r="BJ13" s="28">
        <f>IF(BJ10=0,IF('Lease Cycles'!$F$8&gt;0,'Lease Cycles'!$C$8*'Lease Cycles'!$E$8/12,0),IF(BJ12=1,IF('Lease Cycles'!$AT$8&gt;=9999,'Lease Cycles'!$C$8*INDEX('Lease Cycles'!$CB$8:$CH$8,1,BJ10)*(1+INDEX('Lease Cycles'!$CI$8:$CO$8,1,BJ10))^INT(INT(BJ11/12)/INDEX('Lease Cycles'!$CP$8:$CV$8,1,BJ10))/12,IF(BJ10=1,IF(BJ11&gt;=INDEX('Lease Cycles'!$DK$8:$DQ$8,1,BJ10),IF(BJ$6&gt;='Lease Cycles'!$AZ$8,'Lease Cycles'!$C$8*'Lease Cycles'!$BA$8/12,IF(BJ$6&gt;='Lease Cycles'!$AX$8,'Lease Cycles'!$C$8*'Lease Cycles'!$AY$8/12,IF(BJ$6&gt;='Lease Cycles'!$AV$8,'Lease Cycles'!$C$8*'Lease Cycles'!$AW$8/12,IF(BJ$6&gt;='Lease Cycles'!$AT$8,'Lease Cycles'!$C$8*'Lease Cycles'!$AU$8/12,'Lease Cycles'!$C$8*INDEX('Lease Cycles'!$CB$8:$CH$8,1,BJ10)*(1+INDEX('Lease Cycles'!$CI$8:$CO$8,1,BJ10))^INT(INT(BJ11/12)/INDEX('Lease Cycles'!$CP$8:$CV$8,1,BJ10))/12)))),'Lease Cycles'!$C$8*INDEX('Lease Cycles'!$CB$8:$CH$8,1,BJ10)*(1+INDEX('Lease Cycles'!$CI$8:$CO$8,1,BJ10))^INT(INT(BJ11/12)/INDEX('Lease Cycles'!$CP$8:$CV$8,1,BJ10))/12),IF(INDEX('Lease Cycles'!$EF$8:$EL$8,1,BJ10)=1,IF(AND('Lease Cycles'!$AZ$8&gt;=INDEX('Lease Cycles'!$BG$8:$BM$8,1,BJ10),'Lease Cycles'!$AZ$8&lt;=BJ$6),'Lease Cycles'!$C$8*'Lease Cycles'!$BA$8/12,IF(AND('Lease Cycles'!$AX$8&gt;=INDEX('Lease Cycles'!$BG$8:$BM$8,1,BJ10),'Lease Cycles'!$AX$8&lt;=BJ$6),'Lease Cycles'!$C$8*'Lease Cycles'!$AY$8/12,IF(AND('Lease Cycles'!$AV$8&gt;=INDEX('Lease Cycles'!$BG$8:$BM$8,1,BJ10),'Lease Cycles'!$AV$8&lt;=BJ$6),'Lease Cycles'!$C$8*'Lease Cycles'!$AW$8/12,IF(AND('Lease Cycles'!$AT$8&gt;=INDEX('Lease Cycles'!$BG$8:$BM$8,1,BJ10),'Lease Cycles'!$AT$8&lt;=BJ$6),'Lease Cycles'!$C$8*'Lease Cycles'!$AU$8/12,'Lease Cycles'!$C$8*INDEX('Lease Cycles'!$CB$8:$CH$8,1,BJ10)*(1+INDEX('Lease Cycles'!$CI$8:$CO$8,1,BJ10))^INT(INT(BJ11/12)/INDEX('Lease Cycles'!$CP$8:$CV$8,1,BJ10))/12)))),'Lease Cycles'!$C$8*INDEX('Lease Cycles'!$CB$8:$CH$8,1,BJ10)*(1+INDEX('Lease Cycles'!$CI$8:$CO$8,1,BJ10))^INT(INT(BJ11/12)/INDEX('Lease Cycles'!$CP$8:$CV$8,1,BJ10))/12))),IF('Lease Cycles'!$N$8=1,'Lease Cycles'!$C$8*'Lease Cycles'!$E$8*INDEX('Lease Cycles'!$HE$8:$HK$8,1,BJ10)*(1+INDEX('Lease Cycles'!$GQ$8:$GW$8,1,BJ10))^INT(INT((BJ$6-INDEX('Lease Cycles'!$GJ$8:$GP$8,1,BJ10))/12)/INDEX('Lease Cycles'!$GX$8:$HD$8,1,BJ10))/12,0)))</f>
        <v>38666.666666666664</v>
      </c>
      <c r="BK13" s="28">
        <f>IF(BK10=0,IF('Lease Cycles'!$F$8&gt;0,'Lease Cycles'!$C$8*'Lease Cycles'!$E$8/12,0),IF(BK12=1,IF('Lease Cycles'!$AT$8&gt;=9999,'Lease Cycles'!$C$8*INDEX('Lease Cycles'!$CB$8:$CH$8,1,BK10)*(1+INDEX('Lease Cycles'!$CI$8:$CO$8,1,BK10))^INT(INT(BK11/12)/INDEX('Lease Cycles'!$CP$8:$CV$8,1,BK10))/12,IF(BK10=1,IF(BK11&gt;=INDEX('Lease Cycles'!$DK$8:$DQ$8,1,BK10),IF(BK$6&gt;='Lease Cycles'!$AZ$8,'Lease Cycles'!$C$8*'Lease Cycles'!$BA$8/12,IF(BK$6&gt;='Lease Cycles'!$AX$8,'Lease Cycles'!$C$8*'Lease Cycles'!$AY$8/12,IF(BK$6&gt;='Lease Cycles'!$AV$8,'Lease Cycles'!$C$8*'Lease Cycles'!$AW$8/12,IF(BK$6&gt;='Lease Cycles'!$AT$8,'Lease Cycles'!$C$8*'Lease Cycles'!$AU$8/12,'Lease Cycles'!$C$8*INDEX('Lease Cycles'!$CB$8:$CH$8,1,BK10)*(1+INDEX('Lease Cycles'!$CI$8:$CO$8,1,BK10))^INT(INT(BK11/12)/INDEX('Lease Cycles'!$CP$8:$CV$8,1,BK10))/12)))),'Lease Cycles'!$C$8*INDEX('Lease Cycles'!$CB$8:$CH$8,1,BK10)*(1+INDEX('Lease Cycles'!$CI$8:$CO$8,1,BK10))^INT(INT(BK11/12)/INDEX('Lease Cycles'!$CP$8:$CV$8,1,BK10))/12),IF(INDEX('Lease Cycles'!$EF$8:$EL$8,1,BK10)=1,IF(AND('Lease Cycles'!$AZ$8&gt;=INDEX('Lease Cycles'!$BG$8:$BM$8,1,BK10),'Lease Cycles'!$AZ$8&lt;=BK$6),'Lease Cycles'!$C$8*'Lease Cycles'!$BA$8/12,IF(AND('Lease Cycles'!$AX$8&gt;=INDEX('Lease Cycles'!$BG$8:$BM$8,1,BK10),'Lease Cycles'!$AX$8&lt;=BK$6),'Lease Cycles'!$C$8*'Lease Cycles'!$AY$8/12,IF(AND('Lease Cycles'!$AV$8&gt;=INDEX('Lease Cycles'!$BG$8:$BM$8,1,BK10),'Lease Cycles'!$AV$8&lt;=BK$6),'Lease Cycles'!$C$8*'Lease Cycles'!$AW$8/12,IF(AND('Lease Cycles'!$AT$8&gt;=INDEX('Lease Cycles'!$BG$8:$BM$8,1,BK10),'Lease Cycles'!$AT$8&lt;=BK$6),'Lease Cycles'!$C$8*'Lease Cycles'!$AU$8/12,'Lease Cycles'!$C$8*INDEX('Lease Cycles'!$CB$8:$CH$8,1,BK10)*(1+INDEX('Lease Cycles'!$CI$8:$CO$8,1,BK10))^INT(INT(BK11/12)/INDEX('Lease Cycles'!$CP$8:$CV$8,1,BK10))/12)))),'Lease Cycles'!$C$8*INDEX('Lease Cycles'!$CB$8:$CH$8,1,BK10)*(1+INDEX('Lease Cycles'!$CI$8:$CO$8,1,BK10))^INT(INT(BK11/12)/INDEX('Lease Cycles'!$CP$8:$CV$8,1,BK10))/12))),IF('Lease Cycles'!$N$8=1,'Lease Cycles'!$C$8*'Lease Cycles'!$E$8*INDEX('Lease Cycles'!$HE$8:$HK$8,1,BK10)*(1+INDEX('Lease Cycles'!$GQ$8:$GW$8,1,BK10))^INT(INT((BK$6-INDEX('Lease Cycles'!$GJ$8:$GP$8,1,BK10))/12)/INDEX('Lease Cycles'!$GX$8:$HD$8,1,BK10))/12,0)))</f>
        <v>38666.666666666664</v>
      </c>
      <c r="BL13" s="28">
        <f>IF(BL10=0,IF('Lease Cycles'!$F$8&gt;0,'Lease Cycles'!$C$8*'Lease Cycles'!$E$8/12,0),IF(BL12=1,IF('Lease Cycles'!$AT$8&gt;=9999,'Lease Cycles'!$C$8*INDEX('Lease Cycles'!$CB$8:$CH$8,1,BL10)*(1+INDEX('Lease Cycles'!$CI$8:$CO$8,1,BL10))^INT(INT(BL11/12)/INDEX('Lease Cycles'!$CP$8:$CV$8,1,BL10))/12,IF(BL10=1,IF(BL11&gt;=INDEX('Lease Cycles'!$DK$8:$DQ$8,1,BL10),IF(BL$6&gt;='Lease Cycles'!$AZ$8,'Lease Cycles'!$C$8*'Lease Cycles'!$BA$8/12,IF(BL$6&gt;='Lease Cycles'!$AX$8,'Lease Cycles'!$C$8*'Lease Cycles'!$AY$8/12,IF(BL$6&gt;='Lease Cycles'!$AV$8,'Lease Cycles'!$C$8*'Lease Cycles'!$AW$8/12,IF(BL$6&gt;='Lease Cycles'!$AT$8,'Lease Cycles'!$C$8*'Lease Cycles'!$AU$8/12,'Lease Cycles'!$C$8*INDEX('Lease Cycles'!$CB$8:$CH$8,1,BL10)*(1+INDEX('Lease Cycles'!$CI$8:$CO$8,1,BL10))^INT(INT(BL11/12)/INDEX('Lease Cycles'!$CP$8:$CV$8,1,BL10))/12)))),'Lease Cycles'!$C$8*INDEX('Lease Cycles'!$CB$8:$CH$8,1,BL10)*(1+INDEX('Lease Cycles'!$CI$8:$CO$8,1,BL10))^INT(INT(BL11/12)/INDEX('Lease Cycles'!$CP$8:$CV$8,1,BL10))/12),IF(INDEX('Lease Cycles'!$EF$8:$EL$8,1,BL10)=1,IF(AND('Lease Cycles'!$AZ$8&gt;=INDEX('Lease Cycles'!$BG$8:$BM$8,1,BL10),'Lease Cycles'!$AZ$8&lt;=BL$6),'Lease Cycles'!$C$8*'Lease Cycles'!$BA$8/12,IF(AND('Lease Cycles'!$AX$8&gt;=INDEX('Lease Cycles'!$BG$8:$BM$8,1,BL10),'Lease Cycles'!$AX$8&lt;=BL$6),'Lease Cycles'!$C$8*'Lease Cycles'!$AY$8/12,IF(AND('Lease Cycles'!$AV$8&gt;=INDEX('Lease Cycles'!$BG$8:$BM$8,1,BL10),'Lease Cycles'!$AV$8&lt;=BL$6),'Lease Cycles'!$C$8*'Lease Cycles'!$AW$8/12,IF(AND('Lease Cycles'!$AT$8&gt;=INDEX('Lease Cycles'!$BG$8:$BM$8,1,BL10),'Lease Cycles'!$AT$8&lt;=BL$6),'Lease Cycles'!$C$8*'Lease Cycles'!$AU$8/12,'Lease Cycles'!$C$8*INDEX('Lease Cycles'!$CB$8:$CH$8,1,BL10)*(1+INDEX('Lease Cycles'!$CI$8:$CO$8,1,BL10))^INT(INT(BL11/12)/INDEX('Lease Cycles'!$CP$8:$CV$8,1,BL10))/12)))),'Lease Cycles'!$C$8*INDEX('Lease Cycles'!$CB$8:$CH$8,1,BL10)*(1+INDEX('Lease Cycles'!$CI$8:$CO$8,1,BL10))^INT(INT(BL11/12)/INDEX('Lease Cycles'!$CP$8:$CV$8,1,BL10))/12))),IF('Lease Cycles'!$N$8=1,'Lease Cycles'!$C$8*'Lease Cycles'!$E$8*INDEX('Lease Cycles'!$HE$8:$HK$8,1,BL10)*(1+INDEX('Lease Cycles'!$GQ$8:$GW$8,1,BL10))^INT(INT((BL$6-INDEX('Lease Cycles'!$GJ$8:$GP$8,1,BL10))/12)/INDEX('Lease Cycles'!$GX$8:$HD$8,1,BL10))/12,0)))</f>
        <v>38666.666666666664</v>
      </c>
      <c r="BM13" s="28">
        <f>IF(BM10=0,IF('Lease Cycles'!$F$8&gt;0,'Lease Cycles'!$C$8*'Lease Cycles'!$E$8/12,0),IF(BM12=1,IF('Lease Cycles'!$AT$8&gt;=9999,'Lease Cycles'!$C$8*INDEX('Lease Cycles'!$CB$8:$CH$8,1,BM10)*(1+INDEX('Lease Cycles'!$CI$8:$CO$8,1,BM10))^INT(INT(BM11/12)/INDEX('Lease Cycles'!$CP$8:$CV$8,1,BM10))/12,IF(BM10=1,IF(BM11&gt;=INDEX('Lease Cycles'!$DK$8:$DQ$8,1,BM10),IF(BM$6&gt;='Lease Cycles'!$AZ$8,'Lease Cycles'!$C$8*'Lease Cycles'!$BA$8/12,IF(BM$6&gt;='Lease Cycles'!$AX$8,'Lease Cycles'!$C$8*'Lease Cycles'!$AY$8/12,IF(BM$6&gt;='Lease Cycles'!$AV$8,'Lease Cycles'!$C$8*'Lease Cycles'!$AW$8/12,IF(BM$6&gt;='Lease Cycles'!$AT$8,'Lease Cycles'!$C$8*'Lease Cycles'!$AU$8/12,'Lease Cycles'!$C$8*INDEX('Lease Cycles'!$CB$8:$CH$8,1,BM10)*(1+INDEX('Lease Cycles'!$CI$8:$CO$8,1,BM10))^INT(INT(BM11/12)/INDEX('Lease Cycles'!$CP$8:$CV$8,1,BM10))/12)))),'Lease Cycles'!$C$8*INDEX('Lease Cycles'!$CB$8:$CH$8,1,BM10)*(1+INDEX('Lease Cycles'!$CI$8:$CO$8,1,BM10))^INT(INT(BM11/12)/INDEX('Lease Cycles'!$CP$8:$CV$8,1,BM10))/12),IF(INDEX('Lease Cycles'!$EF$8:$EL$8,1,BM10)=1,IF(AND('Lease Cycles'!$AZ$8&gt;=INDEX('Lease Cycles'!$BG$8:$BM$8,1,BM10),'Lease Cycles'!$AZ$8&lt;=BM$6),'Lease Cycles'!$C$8*'Lease Cycles'!$BA$8/12,IF(AND('Lease Cycles'!$AX$8&gt;=INDEX('Lease Cycles'!$BG$8:$BM$8,1,BM10),'Lease Cycles'!$AX$8&lt;=BM$6),'Lease Cycles'!$C$8*'Lease Cycles'!$AY$8/12,IF(AND('Lease Cycles'!$AV$8&gt;=INDEX('Lease Cycles'!$BG$8:$BM$8,1,BM10),'Lease Cycles'!$AV$8&lt;=BM$6),'Lease Cycles'!$C$8*'Lease Cycles'!$AW$8/12,IF(AND('Lease Cycles'!$AT$8&gt;=INDEX('Lease Cycles'!$BG$8:$BM$8,1,BM10),'Lease Cycles'!$AT$8&lt;=BM$6),'Lease Cycles'!$C$8*'Lease Cycles'!$AU$8/12,'Lease Cycles'!$C$8*INDEX('Lease Cycles'!$CB$8:$CH$8,1,BM10)*(1+INDEX('Lease Cycles'!$CI$8:$CO$8,1,BM10))^INT(INT(BM11/12)/INDEX('Lease Cycles'!$CP$8:$CV$8,1,BM10))/12)))),'Lease Cycles'!$C$8*INDEX('Lease Cycles'!$CB$8:$CH$8,1,BM10)*(1+INDEX('Lease Cycles'!$CI$8:$CO$8,1,BM10))^INT(INT(BM11/12)/INDEX('Lease Cycles'!$CP$8:$CV$8,1,BM10))/12))),IF('Lease Cycles'!$N$8=1,'Lease Cycles'!$C$8*'Lease Cycles'!$E$8*INDEX('Lease Cycles'!$HE$8:$HK$8,1,BM10)*(1+INDEX('Lease Cycles'!$GQ$8:$GW$8,1,BM10))^INT(INT((BM$6-INDEX('Lease Cycles'!$GJ$8:$GP$8,1,BM10))/12)/INDEX('Lease Cycles'!$GX$8:$HD$8,1,BM10))/12,0)))</f>
        <v>38666.666666666664</v>
      </c>
      <c r="BN13" s="28">
        <f>IF(BN10=0,IF('Lease Cycles'!$F$8&gt;0,'Lease Cycles'!$C$8*'Lease Cycles'!$E$8/12,0),IF(BN12=1,IF('Lease Cycles'!$AT$8&gt;=9999,'Lease Cycles'!$C$8*INDEX('Lease Cycles'!$CB$8:$CH$8,1,BN10)*(1+INDEX('Lease Cycles'!$CI$8:$CO$8,1,BN10))^INT(INT(BN11/12)/INDEX('Lease Cycles'!$CP$8:$CV$8,1,BN10))/12,IF(BN10=1,IF(BN11&gt;=INDEX('Lease Cycles'!$DK$8:$DQ$8,1,BN10),IF(BN$6&gt;='Lease Cycles'!$AZ$8,'Lease Cycles'!$C$8*'Lease Cycles'!$BA$8/12,IF(BN$6&gt;='Lease Cycles'!$AX$8,'Lease Cycles'!$C$8*'Lease Cycles'!$AY$8/12,IF(BN$6&gt;='Lease Cycles'!$AV$8,'Lease Cycles'!$C$8*'Lease Cycles'!$AW$8/12,IF(BN$6&gt;='Lease Cycles'!$AT$8,'Lease Cycles'!$C$8*'Lease Cycles'!$AU$8/12,'Lease Cycles'!$C$8*INDEX('Lease Cycles'!$CB$8:$CH$8,1,BN10)*(1+INDEX('Lease Cycles'!$CI$8:$CO$8,1,BN10))^INT(INT(BN11/12)/INDEX('Lease Cycles'!$CP$8:$CV$8,1,BN10))/12)))),'Lease Cycles'!$C$8*INDEX('Lease Cycles'!$CB$8:$CH$8,1,BN10)*(1+INDEX('Lease Cycles'!$CI$8:$CO$8,1,BN10))^INT(INT(BN11/12)/INDEX('Lease Cycles'!$CP$8:$CV$8,1,BN10))/12),IF(INDEX('Lease Cycles'!$EF$8:$EL$8,1,BN10)=1,IF(AND('Lease Cycles'!$AZ$8&gt;=INDEX('Lease Cycles'!$BG$8:$BM$8,1,BN10),'Lease Cycles'!$AZ$8&lt;=BN$6),'Lease Cycles'!$C$8*'Lease Cycles'!$BA$8/12,IF(AND('Lease Cycles'!$AX$8&gt;=INDEX('Lease Cycles'!$BG$8:$BM$8,1,BN10),'Lease Cycles'!$AX$8&lt;=BN$6),'Lease Cycles'!$C$8*'Lease Cycles'!$AY$8/12,IF(AND('Lease Cycles'!$AV$8&gt;=INDEX('Lease Cycles'!$BG$8:$BM$8,1,BN10),'Lease Cycles'!$AV$8&lt;=BN$6),'Lease Cycles'!$C$8*'Lease Cycles'!$AW$8/12,IF(AND('Lease Cycles'!$AT$8&gt;=INDEX('Lease Cycles'!$BG$8:$BM$8,1,BN10),'Lease Cycles'!$AT$8&lt;=BN$6),'Lease Cycles'!$C$8*'Lease Cycles'!$AU$8/12,'Lease Cycles'!$C$8*INDEX('Lease Cycles'!$CB$8:$CH$8,1,BN10)*(1+INDEX('Lease Cycles'!$CI$8:$CO$8,1,BN10))^INT(INT(BN11/12)/INDEX('Lease Cycles'!$CP$8:$CV$8,1,BN10))/12)))),'Lease Cycles'!$C$8*INDEX('Lease Cycles'!$CB$8:$CH$8,1,BN10)*(1+INDEX('Lease Cycles'!$CI$8:$CO$8,1,BN10))^INT(INT(BN11/12)/INDEX('Lease Cycles'!$CP$8:$CV$8,1,BN10))/12))),IF('Lease Cycles'!$N$8=1,'Lease Cycles'!$C$8*'Lease Cycles'!$E$8*INDEX('Lease Cycles'!$HE$8:$HK$8,1,BN10)*(1+INDEX('Lease Cycles'!$GQ$8:$GW$8,1,BN10))^INT(INT((BN$6-INDEX('Lease Cycles'!$GJ$8:$GP$8,1,BN10))/12)/INDEX('Lease Cycles'!$GX$8:$HD$8,1,BN10))/12,0)))</f>
        <v>38666.666666666664</v>
      </c>
      <c r="BO13" s="28">
        <f>IF(BO10=0,IF('Lease Cycles'!$F$8&gt;0,'Lease Cycles'!$C$8*'Lease Cycles'!$E$8/12,0),IF(BO12=1,IF('Lease Cycles'!$AT$8&gt;=9999,'Lease Cycles'!$C$8*INDEX('Lease Cycles'!$CB$8:$CH$8,1,BO10)*(1+INDEX('Lease Cycles'!$CI$8:$CO$8,1,BO10))^INT(INT(BO11/12)/INDEX('Lease Cycles'!$CP$8:$CV$8,1,BO10))/12,IF(BO10=1,IF(BO11&gt;=INDEX('Lease Cycles'!$DK$8:$DQ$8,1,BO10),IF(BO$6&gt;='Lease Cycles'!$AZ$8,'Lease Cycles'!$C$8*'Lease Cycles'!$BA$8/12,IF(BO$6&gt;='Lease Cycles'!$AX$8,'Lease Cycles'!$C$8*'Lease Cycles'!$AY$8/12,IF(BO$6&gt;='Lease Cycles'!$AV$8,'Lease Cycles'!$C$8*'Lease Cycles'!$AW$8/12,IF(BO$6&gt;='Lease Cycles'!$AT$8,'Lease Cycles'!$C$8*'Lease Cycles'!$AU$8/12,'Lease Cycles'!$C$8*INDEX('Lease Cycles'!$CB$8:$CH$8,1,BO10)*(1+INDEX('Lease Cycles'!$CI$8:$CO$8,1,BO10))^INT(INT(BO11/12)/INDEX('Lease Cycles'!$CP$8:$CV$8,1,BO10))/12)))),'Lease Cycles'!$C$8*INDEX('Lease Cycles'!$CB$8:$CH$8,1,BO10)*(1+INDEX('Lease Cycles'!$CI$8:$CO$8,1,BO10))^INT(INT(BO11/12)/INDEX('Lease Cycles'!$CP$8:$CV$8,1,BO10))/12),IF(INDEX('Lease Cycles'!$EF$8:$EL$8,1,BO10)=1,IF(AND('Lease Cycles'!$AZ$8&gt;=INDEX('Lease Cycles'!$BG$8:$BM$8,1,BO10),'Lease Cycles'!$AZ$8&lt;=BO$6),'Lease Cycles'!$C$8*'Lease Cycles'!$BA$8/12,IF(AND('Lease Cycles'!$AX$8&gt;=INDEX('Lease Cycles'!$BG$8:$BM$8,1,BO10),'Lease Cycles'!$AX$8&lt;=BO$6),'Lease Cycles'!$C$8*'Lease Cycles'!$AY$8/12,IF(AND('Lease Cycles'!$AV$8&gt;=INDEX('Lease Cycles'!$BG$8:$BM$8,1,BO10),'Lease Cycles'!$AV$8&lt;=BO$6),'Lease Cycles'!$C$8*'Lease Cycles'!$AW$8/12,IF(AND('Lease Cycles'!$AT$8&gt;=INDEX('Lease Cycles'!$BG$8:$BM$8,1,BO10),'Lease Cycles'!$AT$8&lt;=BO$6),'Lease Cycles'!$C$8*'Lease Cycles'!$AU$8/12,'Lease Cycles'!$C$8*INDEX('Lease Cycles'!$CB$8:$CH$8,1,BO10)*(1+INDEX('Lease Cycles'!$CI$8:$CO$8,1,BO10))^INT(INT(BO11/12)/INDEX('Lease Cycles'!$CP$8:$CV$8,1,BO10))/12)))),'Lease Cycles'!$C$8*INDEX('Lease Cycles'!$CB$8:$CH$8,1,BO10)*(1+INDEX('Lease Cycles'!$CI$8:$CO$8,1,BO10))^INT(INT(BO11/12)/INDEX('Lease Cycles'!$CP$8:$CV$8,1,BO10))/12))),IF('Lease Cycles'!$N$8=1,'Lease Cycles'!$C$8*'Lease Cycles'!$E$8*INDEX('Lease Cycles'!$HE$8:$HK$8,1,BO10)*(1+INDEX('Lease Cycles'!$GQ$8:$GW$8,1,BO10))^INT(INT((BO$6-INDEX('Lease Cycles'!$GJ$8:$GP$8,1,BO10))/12)/INDEX('Lease Cycles'!$GX$8:$HD$8,1,BO10))/12,0)))</f>
        <v>38666.666666666664</v>
      </c>
      <c r="BP13" s="28">
        <f>IF(BP10=0,IF('Lease Cycles'!$F$8&gt;0,'Lease Cycles'!$C$8*'Lease Cycles'!$E$8/12,0),IF(BP12=1,IF('Lease Cycles'!$AT$8&gt;=9999,'Lease Cycles'!$C$8*INDEX('Lease Cycles'!$CB$8:$CH$8,1,BP10)*(1+INDEX('Lease Cycles'!$CI$8:$CO$8,1,BP10))^INT(INT(BP11/12)/INDEX('Lease Cycles'!$CP$8:$CV$8,1,BP10))/12,IF(BP10=1,IF(BP11&gt;=INDEX('Lease Cycles'!$DK$8:$DQ$8,1,BP10),IF(BP$6&gt;='Lease Cycles'!$AZ$8,'Lease Cycles'!$C$8*'Lease Cycles'!$BA$8/12,IF(BP$6&gt;='Lease Cycles'!$AX$8,'Lease Cycles'!$C$8*'Lease Cycles'!$AY$8/12,IF(BP$6&gt;='Lease Cycles'!$AV$8,'Lease Cycles'!$C$8*'Lease Cycles'!$AW$8/12,IF(BP$6&gt;='Lease Cycles'!$AT$8,'Lease Cycles'!$C$8*'Lease Cycles'!$AU$8/12,'Lease Cycles'!$C$8*INDEX('Lease Cycles'!$CB$8:$CH$8,1,BP10)*(1+INDEX('Lease Cycles'!$CI$8:$CO$8,1,BP10))^INT(INT(BP11/12)/INDEX('Lease Cycles'!$CP$8:$CV$8,1,BP10))/12)))),'Lease Cycles'!$C$8*INDEX('Lease Cycles'!$CB$8:$CH$8,1,BP10)*(1+INDEX('Lease Cycles'!$CI$8:$CO$8,1,BP10))^INT(INT(BP11/12)/INDEX('Lease Cycles'!$CP$8:$CV$8,1,BP10))/12),IF(INDEX('Lease Cycles'!$EF$8:$EL$8,1,BP10)=1,IF(AND('Lease Cycles'!$AZ$8&gt;=INDEX('Lease Cycles'!$BG$8:$BM$8,1,BP10),'Lease Cycles'!$AZ$8&lt;=BP$6),'Lease Cycles'!$C$8*'Lease Cycles'!$BA$8/12,IF(AND('Lease Cycles'!$AX$8&gt;=INDEX('Lease Cycles'!$BG$8:$BM$8,1,BP10),'Lease Cycles'!$AX$8&lt;=BP$6),'Lease Cycles'!$C$8*'Lease Cycles'!$AY$8/12,IF(AND('Lease Cycles'!$AV$8&gt;=INDEX('Lease Cycles'!$BG$8:$BM$8,1,BP10),'Lease Cycles'!$AV$8&lt;=BP$6),'Lease Cycles'!$C$8*'Lease Cycles'!$AW$8/12,IF(AND('Lease Cycles'!$AT$8&gt;=INDEX('Lease Cycles'!$BG$8:$BM$8,1,BP10),'Lease Cycles'!$AT$8&lt;=BP$6),'Lease Cycles'!$C$8*'Lease Cycles'!$AU$8/12,'Lease Cycles'!$C$8*INDEX('Lease Cycles'!$CB$8:$CH$8,1,BP10)*(1+INDEX('Lease Cycles'!$CI$8:$CO$8,1,BP10))^INT(INT(BP11/12)/INDEX('Lease Cycles'!$CP$8:$CV$8,1,BP10))/12)))),'Lease Cycles'!$C$8*INDEX('Lease Cycles'!$CB$8:$CH$8,1,BP10)*(1+INDEX('Lease Cycles'!$CI$8:$CO$8,1,BP10))^INT(INT(BP11/12)/INDEX('Lease Cycles'!$CP$8:$CV$8,1,BP10))/12))),IF('Lease Cycles'!$N$8=1,'Lease Cycles'!$C$8*'Lease Cycles'!$E$8*INDEX('Lease Cycles'!$HE$8:$HK$8,1,BP10)*(1+INDEX('Lease Cycles'!$GQ$8:$GW$8,1,BP10))^INT(INT((BP$6-INDEX('Lease Cycles'!$GJ$8:$GP$8,1,BP10))/12)/INDEX('Lease Cycles'!$GX$8:$HD$8,1,BP10))/12,0)))</f>
        <v>38666.666666666664</v>
      </c>
      <c r="BQ13" s="28">
        <f>IF(BQ10=0,IF('Lease Cycles'!$F$8&gt;0,'Lease Cycles'!$C$8*'Lease Cycles'!$E$8/12,0),IF(BQ12=1,IF('Lease Cycles'!$AT$8&gt;=9999,'Lease Cycles'!$C$8*INDEX('Lease Cycles'!$CB$8:$CH$8,1,BQ10)*(1+INDEX('Lease Cycles'!$CI$8:$CO$8,1,BQ10))^INT(INT(BQ11/12)/INDEX('Lease Cycles'!$CP$8:$CV$8,1,BQ10))/12,IF(BQ10=1,IF(BQ11&gt;=INDEX('Lease Cycles'!$DK$8:$DQ$8,1,BQ10),IF(BQ$6&gt;='Lease Cycles'!$AZ$8,'Lease Cycles'!$C$8*'Lease Cycles'!$BA$8/12,IF(BQ$6&gt;='Lease Cycles'!$AX$8,'Lease Cycles'!$C$8*'Lease Cycles'!$AY$8/12,IF(BQ$6&gt;='Lease Cycles'!$AV$8,'Lease Cycles'!$C$8*'Lease Cycles'!$AW$8/12,IF(BQ$6&gt;='Lease Cycles'!$AT$8,'Lease Cycles'!$C$8*'Lease Cycles'!$AU$8/12,'Lease Cycles'!$C$8*INDEX('Lease Cycles'!$CB$8:$CH$8,1,BQ10)*(1+INDEX('Lease Cycles'!$CI$8:$CO$8,1,BQ10))^INT(INT(BQ11/12)/INDEX('Lease Cycles'!$CP$8:$CV$8,1,BQ10))/12)))),'Lease Cycles'!$C$8*INDEX('Lease Cycles'!$CB$8:$CH$8,1,BQ10)*(1+INDEX('Lease Cycles'!$CI$8:$CO$8,1,BQ10))^INT(INT(BQ11/12)/INDEX('Lease Cycles'!$CP$8:$CV$8,1,BQ10))/12),IF(INDEX('Lease Cycles'!$EF$8:$EL$8,1,BQ10)=1,IF(AND('Lease Cycles'!$AZ$8&gt;=INDEX('Lease Cycles'!$BG$8:$BM$8,1,BQ10),'Lease Cycles'!$AZ$8&lt;=BQ$6),'Lease Cycles'!$C$8*'Lease Cycles'!$BA$8/12,IF(AND('Lease Cycles'!$AX$8&gt;=INDEX('Lease Cycles'!$BG$8:$BM$8,1,BQ10),'Lease Cycles'!$AX$8&lt;=BQ$6),'Lease Cycles'!$C$8*'Lease Cycles'!$AY$8/12,IF(AND('Lease Cycles'!$AV$8&gt;=INDEX('Lease Cycles'!$BG$8:$BM$8,1,BQ10),'Lease Cycles'!$AV$8&lt;=BQ$6),'Lease Cycles'!$C$8*'Lease Cycles'!$AW$8/12,IF(AND('Lease Cycles'!$AT$8&gt;=INDEX('Lease Cycles'!$BG$8:$BM$8,1,BQ10),'Lease Cycles'!$AT$8&lt;=BQ$6),'Lease Cycles'!$C$8*'Lease Cycles'!$AU$8/12,'Lease Cycles'!$C$8*INDEX('Lease Cycles'!$CB$8:$CH$8,1,BQ10)*(1+INDEX('Lease Cycles'!$CI$8:$CO$8,1,BQ10))^INT(INT(BQ11/12)/INDEX('Lease Cycles'!$CP$8:$CV$8,1,BQ10))/12)))),'Lease Cycles'!$C$8*INDEX('Lease Cycles'!$CB$8:$CH$8,1,BQ10)*(1+INDEX('Lease Cycles'!$CI$8:$CO$8,1,BQ10))^INT(INT(BQ11/12)/INDEX('Lease Cycles'!$CP$8:$CV$8,1,BQ10))/12))),IF('Lease Cycles'!$N$8=1,'Lease Cycles'!$C$8*'Lease Cycles'!$E$8*INDEX('Lease Cycles'!$HE$8:$HK$8,1,BQ10)*(1+INDEX('Lease Cycles'!$GQ$8:$GW$8,1,BQ10))^INT(INT((BQ$6-INDEX('Lease Cycles'!$GJ$8:$GP$8,1,BQ10))/12)/INDEX('Lease Cycles'!$GX$8:$HD$8,1,BQ10))/12,0)))</f>
        <v>38666.666666666664</v>
      </c>
      <c r="BR13" s="28">
        <f>IF(BR10=0,IF('Lease Cycles'!$F$8&gt;0,'Lease Cycles'!$C$8*'Lease Cycles'!$E$8/12,0),IF(BR12=1,IF('Lease Cycles'!$AT$8&gt;=9999,'Lease Cycles'!$C$8*INDEX('Lease Cycles'!$CB$8:$CH$8,1,BR10)*(1+INDEX('Lease Cycles'!$CI$8:$CO$8,1,BR10))^INT(INT(BR11/12)/INDEX('Lease Cycles'!$CP$8:$CV$8,1,BR10))/12,IF(BR10=1,IF(BR11&gt;=INDEX('Lease Cycles'!$DK$8:$DQ$8,1,BR10),IF(BR$6&gt;='Lease Cycles'!$AZ$8,'Lease Cycles'!$C$8*'Lease Cycles'!$BA$8/12,IF(BR$6&gt;='Lease Cycles'!$AX$8,'Lease Cycles'!$C$8*'Lease Cycles'!$AY$8/12,IF(BR$6&gt;='Lease Cycles'!$AV$8,'Lease Cycles'!$C$8*'Lease Cycles'!$AW$8/12,IF(BR$6&gt;='Lease Cycles'!$AT$8,'Lease Cycles'!$C$8*'Lease Cycles'!$AU$8/12,'Lease Cycles'!$C$8*INDEX('Lease Cycles'!$CB$8:$CH$8,1,BR10)*(1+INDEX('Lease Cycles'!$CI$8:$CO$8,1,BR10))^INT(INT(BR11/12)/INDEX('Lease Cycles'!$CP$8:$CV$8,1,BR10))/12)))),'Lease Cycles'!$C$8*INDEX('Lease Cycles'!$CB$8:$CH$8,1,BR10)*(1+INDEX('Lease Cycles'!$CI$8:$CO$8,1,BR10))^INT(INT(BR11/12)/INDEX('Lease Cycles'!$CP$8:$CV$8,1,BR10))/12),IF(INDEX('Lease Cycles'!$EF$8:$EL$8,1,BR10)=1,IF(AND('Lease Cycles'!$AZ$8&gt;=INDEX('Lease Cycles'!$BG$8:$BM$8,1,BR10),'Lease Cycles'!$AZ$8&lt;=BR$6),'Lease Cycles'!$C$8*'Lease Cycles'!$BA$8/12,IF(AND('Lease Cycles'!$AX$8&gt;=INDEX('Lease Cycles'!$BG$8:$BM$8,1,BR10),'Lease Cycles'!$AX$8&lt;=BR$6),'Lease Cycles'!$C$8*'Lease Cycles'!$AY$8/12,IF(AND('Lease Cycles'!$AV$8&gt;=INDEX('Lease Cycles'!$BG$8:$BM$8,1,BR10),'Lease Cycles'!$AV$8&lt;=BR$6),'Lease Cycles'!$C$8*'Lease Cycles'!$AW$8/12,IF(AND('Lease Cycles'!$AT$8&gt;=INDEX('Lease Cycles'!$BG$8:$BM$8,1,BR10),'Lease Cycles'!$AT$8&lt;=BR$6),'Lease Cycles'!$C$8*'Lease Cycles'!$AU$8/12,'Lease Cycles'!$C$8*INDEX('Lease Cycles'!$CB$8:$CH$8,1,BR10)*(1+INDEX('Lease Cycles'!$CI$8:$CO$8,1,BR10))^INT(INT(BR11/12)/INDEX('Lease Cycles'!$CP$8:$CV$8,1,BR10))/12)))),'Lease Cycles'!$C$8*INDEX('Lease Cycles'!$CB$8:$CH$8,1,BR10)*(1+INDEX('Lease Cycles'!$CI$8:$CO$8,1,BR10))^INT(INT(BR11/12)/INDEX('Lease Cycles'!$CP$8:$CV$8,1,BR10))/12))),IF('Lease Cycles'!$N$8=1,'Lease Cycles'!$C$8*'Lease Cycles'!$E$8*INDEX('Lease Cycles'!$HE$8:$HK$8,1,BR10)*(1+INDEX('Lease Cycles'!$GQ$8:$GW$8,1,BR10))^INT(INT((BR$6-INDEX('Lease Cycles'!$GJ$8:$GP$8,1,BR10))/12)/INDEX('Lease Cycles'!$GX$8:$HD$8,1,BR10))/12,0)))</f>
        <v>38666.666666666664</v>
      </c>
      <c r="BS13" s="28">
        <f>IF(BS10=0,IF('Lease Cycles'!$F$8&gt;0,'Lease Cycles'!$C$8*'Lease Cycles'!$E$8/12,0),IF(BS12=1,IF('Lease Cycles'!$AT$8&gt;=9999,'Lease Cycles'!$C$8*INDEX('Lease Cycles'!$CB$8:$CH$8,1,BS10)*(1+INDEX('Lease Cycles'!$CI$8:$CO$8,1,BS10))^INT(INT(BS11/12)/INDEX('Lease Cycles'!$CP$8:$CV$8,1,BS10))/12,IF(BS10=1,IF(BS11&gt;=INDEX('Lease Cycles'!$DK$8:$DQ$8,1,BS10),IF(BS$6&gt;='Lease Cycles'!$AZ$8,'Lease Cycles'!$C$8*'Lease Cycles'!$BA$8/12,IF(BS$6&gt;='Lease Cycles'!$AX$8,'Lease Cycles'!$C$8*'Lease Cycles'!$AY$8/12,IF(BS$6&gt;='Lease Cycles'!$AV$8,'Lease Cycles'!$C$8*'Lease Cycles'!$AW$8/12,IF(BS$6&gt;='Lease Cycles'!$AT$8,'Lease Cycles'!$C$8*'Lease Cycles'!$AU$8/12,'Lease Cycles'!$C$8*INDEX('Lease Cycles'!$CB$8:$CH$8,1,BS10)*(1+INDEX('Lease Cycles'!$CI$8:$CO$8,1,BS10))^INT(INT(BS11/12)/INDEX('Lease Cycles'!$CP$8:$CV$8,1,BS10))/12)))),'Lease Cycles'!$C$8*INDEX('Lease Cycles'!$CB$8:$CH$8,1,BS10)*(1+INDEX('Lease Cycles'!$CI$8:$CO$8,1,BS10))^INT(INT(BS11/12)/INDEX('Lease Cycles'!$CP$8:$CV$8,1,BS10))/12),IF(INDEX('Lease Cycles'!$EF$8:$EL$8,1,BS10)=1,IF(AND('Lease Cycles'!$AZ$8&gt;=INDEX('Lease Cycles'!$BG$8:$BM$8,1,BS10),'Lease Cycles'!$AZ$8&lt;=BS$6),'Lease Cycles'!$C$8*'Lease Cycles'!$BA$8/12,IF(AND('Lease Cycles'!$AX$8&gt;=INDEX('Lease Cycles'!$BG$8:$BM$8,1,BS10),'Lease Cycles'!$AX$8&lt;=BS$6),'Lease Cycles'!$C$8*'Lease Cycles'!$AY$8/12,IF(AND('Lease Cycles'!$AV$8&gt;=INDEX('Lease Cycles'!$BG$8:$BM$8,1,BS10),'Lease Cycles'!$AV$8&lt;=BS$6),'Lease Cycles'!$C$8*'Lease Cycles'!$AW$8/12,IF(AND('Lease Cycles'!$AT$8&gt;=INDEX('Lease Cycles'!$BG$8:$BM$8,1,BS10),'Lease Cycles'!$AT$8&lt;=BS$6),'Lease Cycles'!$C$8*'Lease Cycles'!$AU$8/12,'Lease Cycles'!$C$8*INDEX('Lease Cycles'!$CB$8:$CH$8,1,BS10)*(1+INDEX('Lease Cycles'!$CI$8:$CO$8,1,BS10))^INT(INT(BS11/12)/INDEX('Lease Cycles'!$CP$8:$CV$8,1,BS10))/12)))),'Lease Cycles'!$C$8*INDEX('Lease Cycles'!$CB$8:$CH$8,1,BS10)*(1+INDEX('Lease Cycles'!$CI$8:$CO$8,1,BS10))^INT(INT(BS11/12)/INDEX('Lease Cycles'!$CP$8:$CV$8,1,BS10))/12))),IF('Lease Cycles'!$N$8=1,'Lease Cycles'!$C$8*'Lease Cycles'!$E$8*INDEX('Lease Cycles'!$HE$8:$HK$8,1,BS10)*(1+INDEX('Lease Cycles'!$GQ$8:$GW$8,1,BS10))^INT(INT((BS$6-INDEX('Lease Cycles'!$GJ$8:$GP$8,1,BS10))/12)/INDEX('Lease Cycles'!$GX$8:$HD$8,1,BS10))/12,0)))</f>
        <v>38666.666666666664</v>
      </c>
      <c r="BT13" s="28">
        <f>IF(BT10=0,IF('Lease Cycles'!$F$8&gt;0,'Lease Cycles'!$C$8*'Lease Cycles'!$E$8/12,0),IF(BT12=1,IF('Lease Cycles'!$AT$8&gt;=9999,'Lease Cycles'!$C$8*INDEX('Lease Cycles'!$CB$8:$CH$8,1,BT10)*(1+INDEX('Lease Cycles'!$CI$8:$CO$8,1,BT10))^INT(INT(BT11/12)/INDEX('Lease Cycles'!$CP$8:$CV$8,1,BT10))/12,IF(BT10=1,IF(BT11&gt;=INDEX('Lease Cycles'!$DK$8:$DQ$8,1,BT10),IF(BT$6&gt;='Lease Cycles'!$AZ$8,'Lease Cycles'!$C$8*'Lease Cycles'!$BA$8/12,IF(BT$6&gt;='Lease Cycles'!$AX$8,'Lease Cycles'!$C$8*'Lease Cycles'!$AY$8/12,IF(BT$6&gt;='Lease Cycles'!$AV$8,'Lease Cycles'!$C$8*'Lease Cycles'!$AW$8/12,IF(BT$6&gt;='Lease Cycles'!$AT$8,'Lease Cycles'!$C$8*'Lease Cycles'!$AU$8/12,'Lease Cycles'!$C$8*INDEX('Lease Cycles'!$CB$8:$CH$8,1,BT10)*(1+INDEX('Lease Cycles'!$CI$8:$CO$8,1,BT10))^INT(INT(BT11/12)/INDEX('Lease Cycles'!$CP$8:$CV$8,1,BT10))/12)))),'Lease Cycles'!$C$8*INDEX('Lease Cycles'!$CB$8:$CH$8,1,BT10)*(1+INDEX('Lease Cycles'!$CI$8:$CO$8,1,BT10))^INT(INT(BT11/12)/INDEX('Lease Cycles'!$CP$8:$CV$8,1,BT10))/12),IF(INDEX('Lease Cycles'!$EF$8:$EL$8,1,BT10)=1,IF(AND('Lease Cycles'!$AZ$8&gt;=INDEX('Lease Cycles'!$BG$8:$BM$8,1,BT10),'Lease Cycles'!$AZ$8&lt;=BT$6),'Lease Cycles'!$C$8*'Lease Cycles'!$BA$8/12,IF(AND('Lease Cycles'!$AX$8&gt;=INDEX('Lease Cycles'!$BG$8:$BM$8,1,BT10),'Lease Cycles'!$AX$8&lt;=BT$6),'Lease Cycles'!$C$8*'Lease Cycles'!$AY$8/12,IF(AND('Lease Cycles'!$AV$8&gt;=INDEX('Lease Cycles'!$BG$8:$BM$8,1,BT10),'Lease Cycles'!$AV$8&lt;=BT$6),'Lease Cycles'!$C$8*'Lease Cycles'!$AW$8/12,IF(AND('Lease Cycles'!$AT$8&gt;=INDEX('Lease Cycles'!$BG$8:$BM$8,1,BT10),'Lease Cycles'!$AT$8&lt;=BT$6),'Lease Cycles'!$C$8*'Lease Cycles'!$AU$8/12,'Lease Cycles'!$C$8*INDEX('Lease Cycles'!$CB$8:$CH$8,1,BT10)*(1+INDEX('Lease Cycles'!$CI$8:$CO$8,1,BT10))^INT(INT(BT11/12)/INDEX('Lease Cycles'!$CP$8:$CV$8,1,BT10))/12)))),'Lease Cycles'!$C$8*INDEX('Lease Cycles'!$CB$8:$CH$8,1,BT10)*(1+INDEX('Lease Cycles'!$CI$8:$CO$8,1,BT10))^INT(INT(BT11/12)/INDEX('Lease Cycles'!$CP$8:$CV$8,1,BT10))/12))),IF('Lease Cycles'!$N$8=1,'Lease Cycles'!$C$8*'Lease Cycles'!$E$8*INDEX('Lease Cycles'!$HE$8:$HK$8,1,BT10)*(1+INDEX('Lease Cycles'!$GQ$8:$GW$8,1,BT10))^INT(INT((BT$6-INDEX('Lease Cycles'!$GJ$8:$GP$8,1,BT10))/12)/INDEX('Lease Cycles'!$GX$8:$HD$8,1,BT10))/12,0)))</f>
        <v>38666.666666666664</v>
      </c>
      <c r="BU13" s="28">
        <f>IF(BU10=0,IF('Lease Cycles'!$F$8&gt;0,'Lease Cycles'!$C$8*'Lease Cycles'!$E$8/12,0),IF(BU12=1,IF('Lease Cycles'!$AT$8&gt;=9999,'Lease Cycles'!$C$8*INDEX('Lease Cycles'!$CB$8:$CH$8,1,BU10)*(1+INDEX('Lease Cycles'!$CI$8:$CO$8,1,BU10))^INT(INT(BU11/12)/INDEX('Lease Cycles'!$CP$8:$CV$8,1,BU10))/12,IF(BU10=1,IF(BU11&gt;=INDEX('Lease Cycles'!$DK$8:$DQ$8,1,BU10),IF(BU$6&gt;='Lease Cycles'!$AZ$8,'Lease Cycles'!$C$8*'Lease Cycles'!$BA$8/12,IF(BU$6&gt;='Lease Cycles'!$AX$8,'Lease Cycles'!$C$8*'Lease Cycles'!$AY$8/12,IF(BU$6&gt;='Lease Cycles'!$AV$8,'Lease Cycles'!$C$8*'Lease Cycles'!$AW$8/12,IF(BU$6&gt;='Lease Cycles'!$AT$8,'Lease Cycles'!$C$8*'Lease Cycles'!$AU$8/12,'Lease Cycles'!$C$8*INDEX('Lease Cycles'!$CB$8:$CH$8,1,BU10)*(1+INDEX('Lease Cycles'!$CI$8:$CO$8,1,BU10))^INT(INT(BU11/12)/INDEX('Lease Cycles'!$CP$8:$CV$8,1,BU10))/12)))),'Lease Cycles'!$C$8*INDEX('Lease Cycles'!$CB$8:$CH$8,1,BU10)*(1+INDEX('Lease Cycles'!$CI$8:$CO$8,1,BU10))^INT(INT(BU11/12)/INDEX('Lease Cycles'!$CP$8:$CV$8,1,BU10))/12),IF(INDEX('Lease Cycles'!$EF$8:$EL$8,1,BU10)=1,IF(AND('Lease Cycles'!$AZ$8&gt;=INDEX('Lease Cycles'!$BG$8:$BM$8,1,BU10),'Lease Cycles'!$AZ$8&lt;=BU$6),'Lease Cycles'!$C$8*'Lease Cycles'!$BA$8/12,IF(AND('Lease Cycles'!$AX$8&gt;=INDEX('Lease Cycles'!$BG$8:$BM$8,1,BU10),'Lease Cycles'!$AX$8&lt;=BU$6),'Lease Cycles'!$C$8*'Lease Cycles'!$AY$8/12,IF(AND('Lease Cycles'!$AV$8&gt;=INDEX('Lease Cycles'!$BG$8:$BM$8,1,BU10),'Lease Cycles'!$AV$8&lt;=BU$6),'Lease Cycles'!$C$8*'Lease Cycles'!$AW$8/12,IF(AND('Lease Cycles'!$AT$8&gt;=INDEX('Lease Cycles'!$BG$8:$BM$8,1,BU10),'Lease Cycles'!$AT$8&lt;=BU$6),'Lease Cycles'!$C$8*'Lease Cycles'!$AU$8/12,'Lease Cycles'!$C$8*INDEX('Lease Cycles'!$CB$8:$CH$8,1,BU10)*(1+INDEX('Lease Cycles'!$CI$8:$CO$8,1,BU10))^INT(INT(BU11/12)/INDEX('Lease Cycles'!$CP$8:$CV$8,1,BU10))/12)))),'Lease Cycles'!$C$8*INDEX('Lease Cycles'!$CB$8:$CH$8,1,BU10)*(1+INDEX('Lease Cycles'!$CI$8:$CO$8,1,BU10))^INT(INT(BU11/12)/INDEX('Lease Cycles'!$CP$8:$CV$8,1,BU10))/12))),IF('Lease Cycles'!$N$8=1,'Lease Cycles'!$C$8*'Lease Cycles'!$E$8*INDEX('Lease Cycles'!$HE$8:$HK$8,1,BU10)*(1+INDEX('Lease Cycles'!$GQ$8:$GW$8,1,BU10))^INT(INT((BU$6-INDEX('Lease Cycles'!$GJ$8:$GP$8,1,BU10))/12)/INDEX('Lease Cycles'!$GX$8:$HD$8,1,BU10))/12,0)))</f>
        <v>38666.666666666664</v>
      </c>
      <c r="BV13" s="28">
        <f>IF(BV10=0,IF('Lease Cycles'!$F$8&gt;0,'Lease Cycles'!$C$8*'Lease Cycles'!$E$8/12,0),IF(BV12=1,IF('Lease Cycles'!$AT$8&gt;=9999,'Lease Cycles'!$C$8*INDEX('Lease Cycles'!$CB$8:$CH$8,1,BV10)*(1+INDEX('Lease Cycles'!$CI$8:$CO$8,1,BV10))^INT(INT(BV11/12)/INDEX('Lease Cycles'!$CP$8:$CV$8,1,BV10))/12,IF(BV10=1,IF(BV11&gt;=INDEX('Lease Cycles'!$DK$8:$DQ$8,1,BV10),IF(BV$6&gt;='Lease Cycles'!$AZ$8,'Lease Cycles'!$C$8*'Lease Cycles'!$BA$8/12,IF(BV$6&gt;='Lease Cycles'!$AX$8,'Lease Cycles'!$C$8*'Lease Cycles'!$AY$8/12,IF(BV$6&gt;='Lease Cycles'!$AV$8,'Lease Cycles'!$C$8*'Lease Cycles'!$AW$8/12,IF(BV$6&gt;='Lease Cycles'!$AT$8,'Lease Cycles'!$C$8*'Lease Cycles'!$AU$8/12,'Lease Cycles'!$C$8*INDEX('Lease Cycles'!$CB$8:$CH$8,1,BV10)*(1+INDEX('Lease Cycles'!$CI$8:$CO$8,1,BV10))^INT(INT(BV11/12)/INDEX('Lease Cycles'!$CP$8:$CV$8,1,BV10))/12)))),'Lease Cycles'!$C$8*INDEX('Lease Cycles'!$CB$8:$CH$8,1,BV10)*(1+INDEX('Lease Cycles'!$CI$8:$CO$8,1,BV10))^INT(INT(BV11/12)/INDEX('Lease Cycles'!$CP$8:$CV$8,1,BV10))/12),IF(INDEX('Lease Cycles'!$EF$8:$EL$8,1,BV10)=1,IF(AND('Lease Cycles'!$AZ$8&gt;=INDEX('Lease Cycles'!$BG$8:$BM$8,1,BV10),'Lease Cycles'!$AZ$8&lt;=BV$6),'Lease Cycles'!$C$8*'Lease Cycles'!$BA$8/12,IF(AND('Lease Cycles'!$AX$8&gt;=INDEX('Lease Cycles'!$BG$8:$BM$8,1,BV10),'Lease Cycles'!$AX$8&lt;=BV$6),'Lease Cycles'!$C$8*'Lease Cycles'!$AY$8/12,IF(AND('Lease Cycles'!$AV$8&gt;=INDEX('Lease Cycles'!$BG$8:$BM$8,1,BV10),'Lease Cycles'!$AV$8&lt;=BV$6),'Lease Cycles'!$C$8*'Lease Cycles'!$AW$8/12,IF(AND('Lease Cycles'!$AT$8&gt;=INDEX('Lease Cycles'!$BG$8:$BM$8,1,BV10),'Lease Cycles'!$AT$8&lt;=BV$6),'Lease Cycles'!$C$8*'Lease Cycles'!$AU$8/12,'Lease Cycles'!$C$8*INDEX('Lease Cycles'!$CB$8:$CH$8,1,BV10)*(1+INDEX('Lease Cycles'!$CI$8:$CO$8,1,BV10))^INT(INT(BV11/12)/INDEX('Lease Cycles'!$CP$8:$CV$8,1,BV10))/12)))),'Lease Cycles'!$C$8*INDEX('Lease Cycles'!$CB$8:$CH$8,1,BV10)*(1+INDEX('Lease Cycles'!$CI$8:$CO$8,1,BV10))^INT(INT(BV11/12)/INDEX('Lease Cycles'!$CP$8:$CV$8,1,BV10))/12))),IF('Lease Cycles'!$N$8=1,'Lease Cycles'!$C$8*'Lease Cycles'!$E$8*INDEX('Lease Cycles'!$HE$8:$HK$8,1,BV10)*(1+INDEX('Lease Cycles'!$GQ$8:$GW$8,1,BV10))^INT(INT((BV$6-INDEX('Lease Cycles'!$GJ$8:$GP$8,1,BV10))/12)/INDEX('Lease Cycles'!$GX$8:$HD$8,1,BV10))/12,0)))</f>
        <v>38666.666666666664</v>
      </c>
      <c r="BW13" s="28">
        <f>IF(BW10=0,IF('Lease Cycles'!$F$8&gt;0,'Lease Cycles'!$C$8*'Lease Cycles'!$E$8/12,0),IF(BW12=1,IF('Lease Cycles'!$AT$8&gt;=9999,'Lease Cycles'!$C$8*INDEX('Lease Cycles'!$CB$8:$CH$8,1,BW10)*(1+INDEX('Lease Cycles'!$CI$8:$CO$8,1,BW10))^INT(INT(BW11/12)/INDEX('Lease Cycles'!$CP$8:$CV$8,1,BW10))/12,IF(BW10=1,IF(BW11&gt;=INDEX('Lease Cycles'!$DK$8:$DQ$8,1,BW10),IF(BW$6&gt;='Lease Cycles'!$AZ$8,'Lease Cycles'!$C$8*'Lease Cycles'!$BA$8/12,IF(BW$6&gt;='Lease Cycles'!$AX$8,'Lease Cycles'!$C$8*'Lease Cycles'!$AY$8/12,IF(BW$6&gt;='Lease Cycles'!$AV$8,'Lease Cycles'!$C$8*'Lease Cycles'!$AW$8/12,IF(BW$6&gt;='Lease Cycles'!$AT$8,'Lease Cycles'!$C$8*'Lease Cycles'!$AU$8/12,'Lease Cycles'!$C$8*INDEX('Lease Cycles'!$CB$8:$CH$8,1,BW10)*(1+INDEX('Lease Cycles'!$CI$8:$CO$8,1,BW10))^INT(INT(BW11/12)/INDEX('Lease Cycles'!$CP$8:$CV$8,1,BW10))/12)))),'Lease Cycles'!$C$8*INDEX('Lease Cycles'!$CB$8:$CH$8,1,BW10)*(1+INDEX('Lease Cycles'!$CI$8:$CO$8,1,BW10))^INT(INT(BW11/12)/INDEX('Lease Cycles'!$CP$8:$CV$8,1,BW10))/12),IF(INDEX('Lease Cycles'!$EF$8:$EL$8,1,BW10)=1,IF(AND('Lease Cycles'!$AZ$8&gt;=INDEX('Lease Cycles'!$BG$8:$BM$8,1,BW10),'Lease Cycles'!$AZ$8&lt;=BW$6),'Lease Cycles'!$C$8*'Lease Cycles'!$BA$8/12,IF(AND('Lease Cycles'!$AX$8&gt;=INDEX('Lease Cycles'!$BG$8:$BM$8,1,BW10),'Lease Cycles'!$AX$8&lt;=BW$6),'Lease Cycles'!$C$8*'Lease Cycles'!$AY$8/12,IF(AND('Lease Cycles'!$AV$8&gt;=INDEX('Lease Cycles'!$BG$8:$BM$8,1,BW10),'Lease Cycles'!$AV$8&lt;=BW$6),'Lease Cycles'!$C$8*'Lease Cycles'!$AW$8/12,IF(AND('Lease Cycles'!$AT$8&gt;=INDEX('Lease Cycles'!$BG$8:$BM$8,1,BW10),'Lease Cycles'!$AT$8&lt;=BW$6),'Lease Cycles'!$C$8*'Lease Cycles'!$AU$8/12,'Lease Cycles'!$C$8*INDEX('Lease Cycles'!$CB$8:$CH$8,1,BW10)*(1+INDEX('Lease Cycles'!$CI$8:$CO$8,1,BW10))^INT(INT(BW11/12)/INDEX('Lease Cycles'!$CP$8:$CV$8,1,BW10))/12)))),'Lease Cycles'!$C$8*INDEX('Lease Cycles'!$CB$8:$CH$8,1,BW10)*(1+INDEX('Lease Cycles'!$CI$8:$CO$8,1,BW10))^INT(INT(BW11/12)/INDEX('Lease Cycles'!$CP$8:$CV$8,1,BW10))/12))),IF('Lease Cycles'!$N$8=1,'Lease Cycles'!$C$8*'Lease Cycles'!$E$8*INDEX('Lease Cycles'!$HE$8:$HK$8,1,BW10)*(1+INDEX('Lease Cycles'!$GQ$8:$GW$8,1,BW10))^INT(INT((BW$6-INDEX('Lease Cycles'!$GJ$8:$GP$8,1,BW10))/12)/INDEX('Lease Cycles'!$GX$8:$HD$8,1,BW10))/12,0)))</f>
        <v>38666.666666666664</v>
      </c>
      <c r="BX13" s="28">
        <f>IF(BX10=0,IF('Lease Cycles'!$F$8&gt;0,'Lease Cycles'!$C$8*'Lease Cycles'!$E$8/12,0),IF(BX12=1,IF('Lease Cycles'!$AT$8&gt;=9999,'Lease Cycles'!$C$8*INDEX('Lease Cycles'!$CB$8:$CH$8,1,BX10)*(1+INDEX('Lease Cycles'!$CI$8:$CO$8,1,BX10))^INT(INT(BX11/12)/INDEX('Lease Cycles'!$CP$8:$CV$8,1,BX10))/12,IF(BX10=1,IF(BX11&gt;=INDEX('Lease Cycles'!$DK$8:$DQ$8,1,BX10),IF(BX$6&gt;='Lease Cycles'!$AZ$8,'Lease Cycles'!$C$8*'Lease Cycles'!$BA$8/12,IF(BX$6&gt;='Lease Cycles'!$AX$8,'Lease Cycles'!$C$8*'Lease Cycles'!$AY$8/12,IF(BX$6&gt;='Lease Cycles'!$AV$8,'Lease Cycles'!$C$8*'Lease Cycles'!$AW$8/12,IF(BX$6&gt;='Lease Cycles'!$AT$8,'Lease Cycles'!$C$8*'Lease Cycles'!$AU$8/12,'Lease Cycles'!$C$8*INDEX('Lease Cycles'!$CB$8:$CH$8,1,BX10)*(1+INDEX('Lease Cycles'!$CI$8:$CO$8,1,BX10))^INT(INT(BX11/12)/INDEX('Lease Cycles'!$CP$8:$CV$8,1,BX10))/12)))),'Lease Cycles'!$C$8*INDEX('Lease Cycles'!$CB$8:$CH$8,1,BX10)*(1+INDEX('Lease Cycles'!$CI$8:$CO$8,1,BX10))^INT(INT(BX11/12)/INDEX('Lease Cycles'!$CP$8:$CV$8,1,BX10))/12),IF(INDEX('Lease Cycles'!$EF$8:$EL$8,1,BX10)=1,IF(AND('Lease Cycles'!$AZ$8&gt;=INDEX('Lease Cycles'!$BG$8:$BM$8,1,BX10),'Lease Cycles'!$AZ$8&lt;=BX$6),'Lease Cycles'!$C$8*'Lease Cycles'!$BA$8/12,IF(AND('Lease Cycles'!$AX$8&gt;=INDEX('Lease Cycles'!$BG$8:$BM$8,1,BX10),'Lease Cycles'!$AX$8&lt;=BX$6),'Lease Cycles'!$C$8*'Lease Cycles'!$AY$8/12,IF(AND('Lease Cycles'!$AV$8&gt;=INDEX('Lease Cycles'!$BG$8:$BM$8,1,BX10),'Lease Cycles'!$AV$8&lt;=BX$6),'Lease Cycles'!$C$8*'Lease Cycles'!$AW$8/12,IF(AND('Lease Cycles'!$AT$8&gt;=INDEX('Lease Cycles'!$BG$8:$BM$8,1,BX10),'Lease Cycles'!$AT$8&lt;=BX$6),'Lease Cycles'!$C$8*'Lease Cycles'!$AU$8/12,'Lease Cycles'!$C$8*INDEX('Lease Cycles'!$CB$8:$CH$8,1,BX10)*(1+INDEX('Lease Cycles'!$CI$8:$CO$8,1,BX10))^INT(INT(BX11/12)/INDEX('Lease Cycles'!$CP$8:$CV$8,1,BX10))/12)))),'Lease Cycles'!$C$8*INDEX('Lease Cycles'!$CB$8:$CH$8,1,BX10)*(1+INDEX('Lease Cycles'!$CI$8:$CO$8,1,BX10))^INT(INT(BX11/12)/INDEX('Lease Cycles'!$CP$8:$CV$8,1,BX10))/12))),IF('Lease Cycles'!$N$8=1,'Lease Cycles'!$C$8*'Lease Cycles'!$E$8*INDEX('Lease Cycles'!$HE$8:$HK$8,1,BX10)*(1+INDEX('Lease Cycles'!$GQ$8:$GW$8,1,BX10))^INT(INT((BX$6-INDEX('Lease Cycles'!$GJ$8:$GP$8,1,BX10))/12)/INDEX('Lease Cycles'!$GX$8:$HD$8,1,BX10))/12,0)))</f>
        <v>38666.666666666664</v>
      </c>
      <c r="BY13" s="28">
        <f>IF(BY10=0,IF('Lease Cycles'!$F$8&gt;0,'Lease Cycles'!$C$8*'Lease Cycles'!$E$8/12,0),IF(BY12=1,IF('Lease Cycles'!$AT$8&gt;=9999,'Lease Cycles'!$C$8*INDEX('Lease Cycles'!$CB$8:$CH$8,1,BY10)*(1+INDEX('Lease Cycles'!$CI$8:$CO$8,1,BY10))^INT(INT(BY11/12)/INDEX('Lease Cycles'!$CP$8:$CV$8,1,BY10))/12,IF(BY10=1,IF(BY11&gt;=INDEX('Lease Cycles'!$DK$8:$DQ$8,1,BY10),IF(BY$6&gt;='Lease Cycles'!$AZ$8,'Lease Cycles'!$C$8*'Lease Cycles'!$BA$8/12,IF(BY$6&gt;='Lease Cycles'!$AX$8,'Lease Cycles'!$C$8*'Lease Cycles'!$AY$8/12,IF(BY$6&gt;='Lease Cycles'!$AV$8,'Lease Cycles'!$C$8*'Lease Cycles'!$AW$8/12,IF(BY$6&gt;='Lease Cycles'!$AT$8,'Lease Cycles'!$C$8*'Lease Cycles'!$AU$8/12,'Lease Cycles'!$C$8*INDEX('Lease Cycles'!$CB$8:$CH$8,1,BY10)*(1+INDEX('Lease Cycles'!$CI$8:$CO$8,1,BY10))^INT(INT(BY11/12)/INDEX('Lease Cycles'!$CP$8:$CV$8,1,BY10))/12)))),'Lease Cycles'!$C$8*INDEX('Lease Cycles'!$CB$8:$CH$8,1,BY10)*(1+INDEX('Lease Cycles'!$CI$8:$CO$8,1,BY10))^INT(INT(BY11/12)/INDEX('Lease Cycles'!$CP$8:$CV$8,1,BY10))/12),IF(INDEX('Lease Cycles'!$EF$8:$EL$8,1,BY10)=1,IF(AND('Lease Cycles'!$AZ$8&gt;=INDEX('Lease Cycles'!$BG$8:$BM$8,1,BY10),'Lease Cycles'!$AZ$8&lt;=BY$6),'Lease Cycles'!$C$8*'Lease Cycles'!$BA$8/12,IF(AND('Lease Cycles'!$AX$8&gt;=INDEX('Lease Cycles'!$BG$8:$BM$8,1,BY10),'Lease Cycles'!$AX$8&lt;=BY$6),'Lease Cycles'!$C$8*'Lease Cycles'!$AY$8/12,IF(AND('Lease Cycles'!$AV$8&gt;=INDEX('Lease Cycles'!$BG$8:$BM$8,1,BY10),'Lease Cycles'!$AV$8&lt;=BY$6),'Lease Cycles'!$C$8*'Lease Cycles'!$AW$8/12,IF(AND('Lease Cycles'!$AT$8&gt;=INDEX('Lease Cycles'!$BG$8:$BM$8,1,BY10),'Lease Cycles'!$AT$8&lt;=BY$6),'Lease Cycles'!$C$8*'Lease Cycles'!$AU$8/12,'Lease Cycles'!$C$8*INDEX('Lease Cycles'!$CB$8:$CH$8,1,BY10)*(1+INDEX('Lease Cycles'!$CI$8:$CO$8,1,BY10))^INT(INT(BY11/12)/INDEX('Lease Cycles'!$CP$8:$CV$8,1,BY10))/12)))),'Lease Cycles'!$C$8*INDEX('Lease Cycles'!$CB$8:$CH$8,1,BY10)*(1+INDEX('Lease Cycles'!$CI$8:$CO$8,1,BY10))^INT(INT(BY11/12)/INDEX('Lease Cycles'!$CP$8:$CV$8,1,BY10))/12))),IF('Lease Cycles'!$N$8=1,'Lease Cycles'!$C$8*'Lease Cycles'!$E$8*INDEX('Lease Cycles'!$HE$8:$HK$8,1,BY10)*(1+INDEX('Lease Cycles'!$GQ$8:$GW$8,1,BY10))^INT(INT((BY$6-INDEX('Lease Cycles'!$GJ$8:$GP$8,1,BY10))/12)/INDEX('Lease Cycles'!$GX$8:$HD$8,1,BY10))/12,0)))</f>
        <v>38666.666666666664</v>
      </c>
      <c r="BZ13" s="28">
        <f>IF(BZ10=0,IF('Lease Cycles'!$F$8&gt;0,'Lease Cycles'!$C$8*'Lease Cycles'!$E$8/12,0),IF(BZ12=1,IF('Lease Cycles'!$AT$8&gt;=9999,'Lease Cycles'!$C$8*INDEX('Lease Cycles'!$CB$8:$CH$8,1,BZ10)*(1+INDEX('Lease Cycles'!$CI$8:$CO$8,1,BZ10))^INT(INT(BZ11/12)/INDEX('Lease Cycles'!$CP$8:$CV$8,1,BZ10))/12,IF(BZ10=1,IF(BZ11&gt;=INDEX('Lease Cycles'!$DK$8:$DQ$8,1,BZ10),IF(BZ$6&gt;='Lease Cycles'!$AZ$8,'Lease Cycles'!$C$8*'Lease Cycles'!$BA$8/12,IF(BZ$6&gt;='Lease Cycles'!$AX$8,'Lease Cycles'!$C$8*'Lease Cycles'!$AY$8/12,IF(BZ$6&gt;='Lease Cycles'!$AV$8,'Lease Cycles'!$C$8*'Lease Cycles'!$AW$8/12,IF(BZ$6&gt;='Lease Cycles'!$AT$8,'Lease Cycles'!$C$8*'Lease Cycles'!$AU$8/12,'Lease Cycles'!$C$8*INDEX('Lease Cycles'!$CB$8:$CH$8,1,BZ10)*(1+INDEX('Lease Cycles'!$CI$8:$CO$8,1,BZ10))^INT(INT(BZ11/12)/INDEX('Lease Cycles'!$CP$8:$CV$8,1,BZ10))/12)))),'Lease Cycles'!$C$8*INDEX('Lease Cycles'!$CB$8:$CH$8,1,BZ10)*(1+INDEX('Lease Cycles'!$CI$8:$CO$8,1,BZ10))^INT(INT(BZ11/12)/INDEX('Lease Cycles'!$CP$8:$CV$8,1,BZ10))/12),IF(INDEX('Lease Cycles'!$EF$8:$EL$8,1,BZ10)=1,IF(AND('Lease Cycles'!$AZ$8&gt;=INDEX('Lease Cycles'!$BG$8:$BM$8,1,BZ10),'Lease Cycles'!$AZ$8&lt;=BZ$6),'Lease Cycles'!$C$8*'Lease Cycles'!$BA$8/12,IF(AND('Lease Cycles'!$AX$8&gt;=INDEX('Lease Cycles'!$BG$8:$BM$8,1,BZ10),'Lease Cycles'!$AX$8&lt;=BZ$6),'Lease Cycles'!$C$8*'Lease Cycles'!$AY$8/12,IF(AND('Lease Cycles'!$AV$8&gt;=INDEX('Lease Cycles'!$BG$8:$BM$8,1,BZ10),'Lease Cycles'!$AV$8&lt;=BZ$6),'Lease Cycles'!$C$8*'Lease Cycles'!$AW$8/12,IF(AND('Lease Cycles'!$AT$8&gt;=INDEX('Lease Cycles'!$BG$8:$BM$8,1,BZ10),'Lease Cycles'!$AT$8&lt;=BZ$6),'Lease Cycles'!$C$8*'Lease Cycles'!$AU$8/12,'Lease Cycles'!$C$8*INDEX('Lease Cycles'!$CB$8:$CH$8,1,BZ10)*(1+INDEX('Lease Cycles'!$CI$8:$CO$8,1,BZ10))^INT(INT(BZ11/12)/INDEX('Lease Cycles'!$CP$8:$CV$8,1,BZ10))/12)))),'Lease Cycles'!$C$8*INDEX('Lease Cycles'!$CB$8:$CH$8,1,BZ10)*(1+INDEX('Lease Cycles'!$CI$8:$CO$8,1,BZ10))^INT(INT(BZ11/12)/INDEX('Lease Cycles'!$CP$8:$CV$8,1,BZ10))/12))),IF('Lease Cycles'!$N$8=1,'Lease Cycles'!$C$8*'Lease Cycles'!$E$8*INDEX('Lease Cycles'!$HE$8:$HK$8,1,BZ10)*(1+INDEX('Lease Cycles'!$GQ$8:$GW$8,1,BZ10))^INT(INT((BZ$6-INDEX('Lease Cycles'!$GJ$8:$GP$8,1,BZ10))/12)/INDEX('Lease Cycles'!$GX$8:$HD$8,1,BZ10))/12,0)))</f>
        <v>38666.666666666664</v>
      </c>
      <c r="CA13" s="28">
        <f>IF(CA10=0,IF('Lease Cycles'!$F$8&gt;0,'Lease Cycles'!$C$8*'Lease Cycles'!$E$8/12,0),IF(CA12=1,IF('Lease Cycles'!$AT$8&gt;=9999,'Lease Cycles'!$C$8*INDEX('Lease Cycles'!$CB$8:$CH$8,1,CA10)*(1+INDEX('Lease Cycles'!$CI$8:$CO$8,1,CA10))^INT(INT(CA11/12)/INDEX('Lease Cycles'!$CP$8:$CV$8,1,CA10))/12,IF(CA10=1,IF(CA11&gt;=INDEX('Lease Cycles'!$DK$8:$DQ$8,1,CA10),IF(CA$6&gt;='Lease Cycles'!$AZ$8,'Lease Cycles'!$C$8*'Lease Cycles'!$BA$8/12,IF(CA$6&gt;='Lease Cycles'!$AX$8,'Lease Cycles'!$C$8*'Lease Cycles'!$AY$8/12,IF(CA$6&gt;='Lease Cycles'!$AV$8,'Lease Cycles'!$C$8*'Lease Cycles'!$AW$8/12,IF(CA$6&gt;='Lease Cycles'!$AT$8,'Lease Cycles'!$C$8*'Lease Cycles'!$AU$8/12,'Lease Cycles'!$C$8*INDEX('Lease Cycles'!$CB$8:$CH$8,1,CA10)*(1+INDEX('Lease Cycles'!$CI$8:$CO$8,1,CA10))^INT(INT(CA11/12)/INDEX('Lease Cycles'!$CP$8:$CV$8,1,CA10))/12)))),'Lease Cycles'!$C$8*INDEX('Lease Cycles'!$CB$8:$CH$8,1,CA10)*(1+INDEX('Lease Cycles'!$CI$8:$CO$8,1,CA10))^INT(INT(CA11/12)/INDEX('Lease Cycles'!$CP$8:$CV$8,1,CA10))/12),IF(INDEX('Lease Cycles'!$EF$8:$EL$8,1,CA10)=1,IF(AND('Lease Cycles'!$AZ$8&gt;=INDEX('Lease Cycles'!$BG$8:$BM$8,1,CA10),'Lease Cycles'!$AZ$8&lt;=CA$6),'Lease Cycles'!$C$8*'Lease Cycles'!$BA$8/12,IF(AND('Lease Cycles'!$AX$8&gt;=INDEX('Lease Cycles'!$BG$8:$BM$8,1,CA10),'Lease Cycles'!$AX$8&lt;=CA$6),'Lease Cycles'!$C$8*'Lease Cycles'!$AY$8/12,IF(AND('Lease Cycles'!$AV$8&gt;=INDEX('Lease Cycles'!$BG$8:$BM$8,1,CA10),'Lease Cycles'!$AV$8&lt;=CA$6),'Lease Cycles'!$C$8*'Lease Cycles'!$AW$8/12,IF(AND('Lease Cycles'!$AT$8&gt;=INDEX('Lease Cycles'!$BG$8:$BM$8,1,CA10),'Lease Cycles'!$AT$8&lt;=CA$6),'Lease Cycles'!$C$8*'Lease Cycles'!$AU$8/12,'Lease Cycles'!$C$8*INDEX('Lease Cycles'!$CB$8:$CH$8,1,CA10)*(1+INDEX('Lease Cycles'!$CI$8:$CO$8,1,CA10))^INT(INT(CA11/12)/INDEX('Lease Cycles'!$CP$8:$CV$8,1,CA10))/12)))),'Lease Cycles'!$C$8*INDEX('Lease Cycles'!$CB$8:$CH$8,1,CA10)*(1+INDEX('Lease Cycles'!$CI$8:$CO$8,1,CA10))^INT(INT(CA11/12)/INDEX('Lease Cycles'!$CP$8:$CV$8,1,CA10))/12))),IF('Lease Cycles'!$N$8=1,'Lease Cycles'!$C$8*'Lease Cycles'!$E$8*INDEX('Lease Cycles'!$HE$8:$HK$8,1,CA10)*(1+INDEX('Lease Cycles'!$GQ$8:$GW$8,1,CA10))^INT(INT((CA$6-INDEX('Lease Cycles'!$GJ$8:$GP$8,1,CA10))/12)/INDEX('Lease Cycles'!$GX$8:$HD$8,1,CA10))/12,0)))</f>
        <v>38666.666666666664</v>
      </c>
      <c r="CB13" s="28">
        <f>IF(CB10=0,IF('Lease Cycles'!$F$8&gt;0,'Lease Cycles'!$C$8*'Lease Cycles'!$E$8/12,0),IF(CB12=1,IF('Lease Cycles'!$AT$8&gt;=9999,'Lease Cycles'!$C$8*INDEX('Lease Cycles'!$CB$8:$CH$8,1,CB10)*(1+INDEX('Lease Cycles'!$CI$8:$CO$8,1,CB10))^INT(INT(CB11/12)/INDEX('Lease Cycles'!$CP$8:$CV$8,1,CB10))/12,IF(CB10=1,IF(CB11&gt;=INDEX('Lease Cycles'!$DK$8:$DQ$8,1,CB10),IF(CB$6&gt;='Lease Cycles'!$AZ$8,'Lease Cycles'!$C$8*'Lease Cycles'!$BA$8/12,IF(CB$6&gt;='Lease Cycles'!$AX$8,'Lease Cycles'!$C$8*'Lease Cycles'!$AY$8/12,IF(CB$6&gt;='Lease Cycles'!$AV$8,'Lease Cycles'!$C$8*'Lease Cycles'!$AW$8/12,IF(CB$6&gt;='Lease Cycles'!$AT$8,'Lease Cycles'!$C$8*'Lease Cycles'!$AU$8/12,'Lease Cycles'!$C$8*INDEX('Lease Cycles'!$CB$8:$CH$8,1,CB10)*(1+INDEX('Lease Cycles'!$CI$8:$CO$8,1,CB10))^INT(INT(CB11/12)/INDEX('Lease Cycles'!$CP$8:$CV$8,1,CB10))/12)))),'Lease Cycles'!$C$8*INDEX('Lease Cycles'!$CB$8:$CH$8,1,CB10)*(1+INDEX('Lease Cycles'!$CI$8:$CO$8,1,CB10))^INT(INT(CB11/12)/INDEX('Lease Cycles'!$CP$8:$CV$8,1,CB10))/12),IF(INDEX('Lease Cycles'!$EF$8:$EL$8,1,CB10)=1,IF(AND('Lease Cycles'!$AZ$8&gt;=INDEX('Lease Cycles'!$BG$8:$BM$8,1,CB10),'Lease Cycles'!$AZ$8&lt;=CB$6),'Lease Cycles'!$C$8*'Lease Cycles'!$BA$8/12,IF(AND('Lease Cycles'!$AX$8&gt;=INDEX('Lease Cycles'!$BG$8:$BM$8,1,CB10),'Lease Cycles'!$AX$8&lt;=CB$6),'Lease Cycles'!$C$8*'Lease Cycles'!$AY$8/12,IF(AND('Lease Cycles'!$AV$8&gt;=INDEX('Lease Cycles'!$BG$8:$BM$8,1,CB10),'Lease Cycles'!$AV$8&lt;=CB$6),'Lease Cycles'!$C$8*'Lease Cycles'!$AW$8/12,IF(AND('Lease Cycles'!$AT$8&gt;=INDEX('Lease Cycles'!$BG$8:$BM$8,1,CB10),'Lease Cycles'!$AT$8&lt;=CB$6),'Lease Cycles'!$C$8*'Lease Cycles'!$AU$8/12,'Lease Cycles'!$C$8*INDEX('Lease Cycles'!$CB$8:$CH$8,1,CB10)*(1+INDEX('Lease Cycles'!$CI$8:$CO$8,1,CB10))^INT(INT(CB11/12)/INDEX('Lease Cycles'!$CP$8:$CV$8,1,CB10))/12)))),'Lease Cycles'!$C$8*INDEX('Lease Cycles'!$CB$8:$CH$8,1,CB10)*(1+INDEX('Lease Cycles'!$CI$8:$CO$8,1,CB10))^INT(INT(CB11/12)/INDEX('Lease Cycles'!$CP$8:$CV$8,1,CB10))/12))),IF('Lease Cycles'!$N$8=1,'Lease Cycles'!$C$8*'Lease Cycles'!$E$8*INDEX('Lease Cycles'!$HE$8:$HK$8,1,CB10)*(1+INDEX('Lease Cycles'!$GQ$8:$GW$8,1,CB10))^INT(INT((CB$6-INDEX('Lease Cycles'!$GJ$8:$GP$8,1,CB10))/12)/INDEX('Lease Cycles'!$GX$8:$HD$8,1,CB10))/12,0)))</f>
        <v>38666.666666666664</v>
      </c>
      <c r="CC13" s="28">
        <f>IF(CC10=0,IF('Lease Cycles'!$F$8&gt;0,'Lease Cycles'!$C$8*'Lease Cycles'!$E$8/12,0),IF(CC12=1,IF('Lease Cycles'!$AT$8&gt;=9999,'Lease Cycles'!$C$8*INDEX('Lease Cycles'!$CB$8:$CH$8,1,CC10)*(1+INDEX('Lease Cycles'!$CI$8:$CO$8,1,CC10))^INT(INT(CC11/12)/INDEX('Lease Cycles'!$CP$8:$CV$8,1,CC10))/12,IF(CC10=1,IF(CC11&gt;=INDEX('Lease Cycles'!$DK$8:$DQ$8,1,CC10),IF(CC$6&gt;='Lease Cycles'!$AZ$8,'Lease Cycles'!$C$8*'Lease Cycles'!$BA$8/12,IF(CC$6&gt;='Lease Cycles'!$AX$8,'Lease Cycles'!$C$8*'Lease Cycles'!$AY$8/12,IF(CC$6&gt;='Lease Cycles'!$AV$8,'Lease Cycles'!$C$8*'Lease Cycles'!$AW$8/12,IF(CC$6&gt;='Lease Cycles'!$AT$8,'Lease Cycles'!$C$8*'Lease Cycles'!$AU$8/12,'Lease Cycles'!$C$8*INDEX('Lease Cycles'!$CB$8:$CH$8,1,CC10)*(1+INDEX('Lease Cycles'!$CI$8:$CO$8,1,CC10))^INT(INT(CC11/12)/INDEX('Lease Cycles'!$CP$8:$CV$8,1,CC10))/12)))),'Lease Cycles'!$C$8*INDEX('Lease Cycles'!$CB$8:$CH$8,1,CC10)*(1+INDEX('Lease Cycles'!$CI$8:$CO$8,1,CC10))^INT(INT(CC11/12)/INDEX('Lease Cycles'!$CP$8:$CV$8,1,CC10))/12),IF(INDEX('Lease Cycles'!$EF$8:$EL$8,1,CC10)=1,IF(AND('Lease Cycles'!$AZ$8&gt;=INDEX('Lease Cycles'!$BG$8:$BM$8,1,CC10),'Lease Cycles'!$AZ$8&lt;=CC$6),'Lease Cycles'!$C$8*'Lease Cycles'!$BA$8/12,IF(AND('Lease Cycles'!$AX$8&gt;=INDEX('Lease Cycles'!$BG$8:$BM$8,1,CC10),'Lease Cycles'!$AX$8&lt;=CC$6),'Lease Cycles'!$C$8*'Lease Cycles'!$AY$8/12,IF(AND('Lease Cycles'!$AV$8&gt;=INDEX('Lease Cycles'!$BG$8:$BM$8,1,CC10),'Lease Cycles'!$AV$8&lt;=CC$6),'Lease Cycles'!$C$8*'Lease Cycles'!$AW$8/12,IF(AND('Lease Cycles'!$AT$8&gt;=INDEX('Lease Cycles'!$BG$8:$BM$8,1,CC10),'Lease Cycles'!$AT$8&lt;=CC$6),'Lease Cycles'!$C$8*'Lease Cycles'!$AU$8/12,'Lease Cycles'!$C$8*INDEX('Lease Cycles'!$CB$8:$CH$8,1,CC10)*(1+INDEX('Lease Cycles'!$CI$8:$CO$8,1,CC10))^INT(INT(CC11/12)/INDEX('Lease Cycles'!$CP$8:$CV$8,1,CC10))/12)))),'Lease Cycles'!$C$8*INDEX('Lease Cycles'!$CB$8:$CH$8,1,CC10)*(1+INDEX('Lease Cycles'!$CI$8:$CO$8,1,CC10))^INT(INT(CC11/12)/INDEX('Lease Cycles'!$CP$8:$CV$8,1,CC10))/12))),IF('Lease Cycles'!$N$8=1,'Lease Cycles'!$C$8*'Lease Cycles'!$E$8*INDEX('Lease Cycles'!$HE$8:$HK$8,1,CC10)*(1+INDEX('Lease Cycles'!$GQ$8:$GW$8,1,CC10))^INT(INT((CC$6-INDEX('Lease Cycles'!$GJ$8:$GP$8,1,CC10))/12)/INDEX('Lease Cycles'!$GX$8:$HD$8,1,CC10))/12,0)))</f>
        <v>38666.666666666664</v>
      </c>
      <c r="CD13" s="28">
        <f>IF(CD10=0,IF('Lease Cycles'!$F$8&gt;0,'Lease Cycles'!$C$8*'Lease Cycles'!$E$8/12,0),IF(CD12=1,IF('Lease Cycles'!$AT$8&gt;=9999,'Lease Cycles'!$C$8*INDEX('Lease Cycles'!$CB$8:$CH$8,1,CD10)*(1+INDEX('Lease Cycles'!$CI$8:$CO$8,1,CD10))^INT(INT(CD11/12)/INDEX('Lease Cycles'!$CP$8:$CV$8,1,CD10))/12,IF(CD10=1,IF(CD11&gt;=INDEX('Lease Cycles'!$DK$8:$DQ$8,1,CD10),IF(CD$6&gt;='Lease Cycles'!$AZ$8,'Lease Cycles'!$C$8*'Lease Cycles'!$BA$8/12,IF(CD$6&gt;='Lease Cycles'!$AX$8,'Lease Cycles'!$C$8*'Lease Cycles'!$AY$8/12,IF(CD$6&gt;='Lease Cycles'!$AV$8,'Lease Cycles'!$C$8*'Lease Cycles'!$AW$8/12,IF(CD$6&gt;='Lease Cycles'!$AT$8,'Lease Cycles'!$C$8*'Lease Cycles'!$AU$8/12,'Lease Cycles'!$C$8*INDEX('Lease Cycles'!$CB$8:$CH$8,1,CD10)*(1+INDEX('Lease Cycles'!$CI$8:$CO$8,1,CD10))^INT(INT(CD11/12)/INDEX('Lease Cycles'!$CP$8:$CV$8,1,CD10))/12)))),'Lease Cycles'!$C$8*INDEX('Lease Cycles'!$CB$8:$CH$8,1,CD10)*(1+INDEX('Lease Cycles'!$CI$8:$CO$8,1,CD10))^INT(INT(CD11/12)/INDEX('Lease Cycles'!$CP$8:$CV$8,1,CD10))/12),IF(INDEX('Lease Cycles'!$EF$8:$EL$8,1,CD10)=1,IF(AND('Lease Cycles'!$AZ$8&gt;=INDEX('Lease Cycles'!$BG$8:$BM$8,1,CD10),'Lease Cycles'!$AZ$8&lt;=CD$6),'Lease Cycles'!$C$8*'Lease Cycles'!$BA$8/12,IF(AND('Lease Cycles'!$AX$8&gt;=INDEX('Lease Cycles'!$BG$8:$BM$8,1,CD10),'Lease Cycles'!$AX$8&lt;=CD$6),'Lease Cycles'!$C$8*'Lease Cycles'!$AY$8/12,IF(AND('Lease Cycles'!$AV$8&gt;=INDEX('Lease Cycles'!$BG$8:$BM$8,1,CD10),'Lease Cycles'!$AV$8&lt;=CD$6),'Lease Cycles'!$C$8*'Lease Cycles'!$AW$8/12,IF(AND('Lease Cycles'!$AT$8&gt;=INDEX('Lease Cycles'!$BG$8:$BM$8,1,CD10),'Lease Cycles'!$AT$8&lt;=CD$6),'Lease Cycles'!$C$8*'Lease Cycles'!$AU$8/12,'Lease Cycles'!$C$8*INDEX('Lease Cycles'!$CB$8:$CH$8,1,CD10)*(1+INDEX('Lease Cycles'!$CI$8:$CO$8,1,CD10))^INT(INT(CD11/12)/INDEX('Lease Cycles'!$CP$8:$CV$8,1,CD10))/12)))),'Lease Cycles'!$C$8*INDEX('Lease Cycles'!$CB$8:$CH$8,1,CD10)*(1+INDEX('Lease Cycles'!$CI$8:$CO$8,1,CD10))^INT(INT(CD11/12)/INDEX('Lease Cycles'!$CP$8:$CV$8,1,CD10))/12))),IF('Lease Cycles'!$N$8=1,'Lease Cycles'!$C$8*'Lease Cycles'!$E$8*INDEX('Lease Cycles'!$HE$8:$HK$8,1,CD10)*(1+INDEX('Lease Cycles'!$GQ$8:$GW$8,1,CD10))^INT(INT((CD$6-INDEX('Lease Cycles'!$GJ$8:$GP$8,1,CD10))/12)/INDEX('Lease Cycles'!$GX$8:$HD$8,1,CD10))/12,0)))</f>
        <v>38666.666666666664</v>
      </c>
      <c r="CE13" s="28">
        <f>IF(CE10=0,IF('Lease Cycles'!$F$8&gt;0,'Lease Cycles'!$C$8*'Lease Cycles'!$E$8/12,0),IF(CE12=1,IF('Lease Cycles'!$AT$8&gt;=9999,'Lease Cycles'!$C$8*INDEX('Lease Cycles'!$CB$8:$CH$8,1,CE10)*(1+INDEX('Lease Cycles'!$CI$8:$CO$8,1,CE10))^INT(INT(CE11/12)/INDEX('Lease Cycles'!$CP$8:$CV$8,1,CE10))/12,IF(CE10=1,IF(CE11&gt;=INDEX('Lease Cycles'!$DK$8:$DQ$8,1,CE10),IF(CE$6&gt;='Lease Cycles'!$AZ$8,'Lease Cycles'!$C$8*'Lease Cycles'!$BA$8/12,IF(CE$6&gt;='Lease Cycles'!$AX$8,'Lease Cycles'!$C$8*'Lease Cycles'!$AY$8/12,IF(CE$6&gt;='Lease Cycles'!$AV$8,'Lease Cycles'!$C$8*'Lease Cycles'!$AW$8/12,IF(CE$6&gt;='Lease Cycles'!$AT$8,'Lease Cycles'!$C$8*'Lease Cycles'!$AU$8/12,'Lease Cycles'!$C$8*INDEX('Lease Cycles'!$CB$8:$CH$8,1,CE10)*(1+INDEX('Lease Cycles'!$CI$8:$CO$8,1,CE10))^INT(INT(CE11/12)/INDEX('Lease Cycles'!$CP$8:$CV$8,1,CE10))/12)))),'Lease Cycles'!$C$8*INDEX('Lease Cycles'!$CB$8:$CH$8,1,CE10)*(1+INDEX('Lease Cycles'!$CI$8:$CO$8,1,CE10))^INT(INT(CE11/12)/INDEX('Lease Cycles'!$CP$8:$CV$8,1,CE10))/12),IF(INDEX('Lease Cycles'!$EF$8:$EL$8,1,CE10)=1,IF(AND('Lease Cycles'!$AZ$8&gt;=INDEX('Lease Cycles'!$BG$8:$BM$8,1,CE10),'Lease Cycles'!$AZ$8&lt;=CE$6),'Lease Cycles'!$C$8*'Lease Cycles'!$BA$8/12,IF(AND('Lease Cycles'!$AX$8&gt;=INDEX('Lease Cycles'!$BG$8:$BM$8,1,CE10),'Lease Cycles'!$AX$8&lt;=CE$6),'Lease Cycles'!$C$8*'Lease Cycles'!$AY$8/12,IF(AND('Lease Cycles'!$AV$8&gt;=INDEX('Lease Cycles'!$BG$8:$BM$8,1,CE10),'Lease Cycles'!$AV$8&lt;=CE$6),'Lease Cycles'!$C$8*'Lease Cycles'!$AW$8/12,IF(AND('Lease Cycles'!$AT$8&gt;=INDEX('Lease Cycles'!$BG$8:$BM$8,1,CE10),'Lease Cycles'!$AT$8&lt;=CE$6),'Lease Cycles'!$C$8*'Lease Cycles'!$AU$8/12,'Lease Cycles'!$C$8*INDEX('Lease Cycles'!$CB$8:$CH$8,1,CE10)*(1+INDEX('Lease Cycles'!$CI$8:$CO$8,1,CE10))^INT(INT(CE11/12)/INDEX('Lease Cycles'!$CP$8:$CV$8,1,CE10))/12)))),'Lease Cycles'!$C$8*INDEX('Lease Cycles'!$CB$8:$CH$8,1,CE10)*(1+INDEX('Lease Cycles'!$CI$8:$CO$8,1,CE10))^INT(INT(CE11/12)/INDEX('Lease Cycles'!$CP$8:$CV$8,1,CE10))/12))),IF('Lease Cycles'!$N$8=1,'Lease Cycles'!$C$8*'Lease Cycles'!$E$8*INDEX('Lease Cycles'!$HE$8:$HK$8,1,CE10)*(1+INDEX('Lease Cycles'!$GQ$8:$GW$8,1,CE10))^INT(INT((CE$6-INDEX('Lease Cycles'!$GJ$8:$GP$8,1,CE10))/12)/INDEX('Lease Cycles'!$GX$8:$HD$8,1,CE10))/12,0)))</f>
        <v>38666.666666666664</v>
      </c>
      <c r="CF13" s="28">
        <f>IF(CF10=0,IF('Lease Cycles'!$F$8&gt;0,'Lease Cycles'!$C$8*'Lease Cycles'!$E$8/12,0),IF(CF12=1,IF('Lease Cycles'!$AT$8&gt;=9999,'Lease Cycles'!$C$8*INDEX('Lease Cycles'!$CB$8:$CH$8,1,CF10)*(1+INDEX('Lease Cycles'!$CI$8:$CO$8,1,CF10))^INT(INT(CF11/12)/INDEX('Lease Cycles'!$CP$8:$CV$8,1,CF10))/12,IF(CF10=1,IF(CF11&gt;=INDEX('Lease Cycles'!$DK$8:$DQ$8,1,CF10),IF(CF$6&gt;='Lease Cycles'!$AZ$8,'Lease Cycles'!$C$8*'Lease Cycles'!$BA$8/12,IF(CF$6&gt;='Lease Cycles'!$AX$8,'Lease Cycles'!$C$8*'Lease Cycles'!$AY$8/12,IF(CF$6&gt;='Lease Cycles'!$AV$8,'Lease Cycles'!$C$8*'Lease Cycles'!$AW$8/12,IF(CF$6&gt;='Lease Cycles'!$AT$8,'Lease Cycles'!$C$8*'Lease Cycles'!$AU$8/12,'Lease Cycles'!$C$8*INDEX('Lease Cycles'!$CB$8:$CH$8,1,CF10)*(1+INDEX('Lease Cycles'!$CI$8:$CO$8,1,CF10))^INT(INT(CF11/12)/INDEX('Lease Cycles'!$CP$8:$CV$8,1,CF10))/12)))),'Lease Cycles'!$C$8*INDEX('Lease Cycles'!$CB$8:$CH$8,1,CF10)*(1+INDEX('Lease Cycles'!$CI$8:$CO$8,1,CF10))^INT(INT(CF11/12)/INDEX('Lease Cycles'!$CP$8:$CV$8,1,CF10))/12),IF(INDEX('Lease Cycles'!$EF$8:$EL$8,1,CF10)=1,IF(AND('Lease Cycles'!$AZ$8&gt;=INDEX('Lease Cycles'!$BG$8:$BM$8,1,CF10),'Lease Cycles'!$AZ$8&lt;=CF$6),'Lease Cycles'!$C$8*'Lease Cycles'!$BA$8/12,IF(AND('Lease Cycles'!$AX$8&gt;=INDEX('Lease Cycles'!$BG$8:$BM$8,1,CF10),'Lease Cycles'!$AX$8&lt;=CF$6),'Lease Cycles'!$C$8*'Lease Cycles'!$AY$8/12,IF(AND('Lease Cycles'!$AV$8&gt;=INDEX('Lease Cycles'!$BG$8:$BM$8,1,CF10),'Lease Cycles'!$AV$8&lt;=CF$6),'Lease Cycles'!$C$8*'Lease Cycles'!$AW$8/12,IF(AND('Lease Cycles'!$AT$8&gt;=INDEX('Lease Cycles'!$BG$8:$BM$8,1,CF10),'Lease Cycles'!$AT$8&lt;=CF$6),'Lease Cycles'!$C$8*'Lease Cycles'!$AU$8/12,'Lease Cycles'!$C$8*INDEX('Lease Cycles'!$CB$8:$CH$8,1,CF10)*(1+INDEX('Lease Cycles'!$CI$8:$CO$8,1,CF10))^INT(INT(CF11/12)/INDEX('Lease Cycles'!$CP$8:$CV$8,1,CF10))/12)))),'Lease Cycles'!$C$8*INDEX('Lease Cycles'!$CB$8:$CH$8,1,CF10)*(1+INDEX('Lease Cycles'!$CI$8:$CO$8,1,CF10))^INT(INT(CF11/12)/INDEX('Lease Cycles'!$CP$8:$CV$8,1,CF10))/12))),IF('Lease Cycles'!$N$8=1,'Lease Cycles'!$C$8*'Lease Cycles'!$E$8*INDEX('Lease Cycles'!$HE$8:$HK$8,1,CF10)*(1+INDEX('Lease Cycles'!$GQ$8:$GW$8,1,CF10))^INT(INT((CF$6-INDEX('Lease Cycles'!$GJ$8:$GP$8,1,CF10))/12)/INDEX('Lease Cycles'!$GX$8:$HD$8,1,CF10))/12,0)))</f>
        <v>38666.666666666664</v>
      </c>
      <c r="CG13" s="28">
        <f>IF(CG10=0,IF('Lease Cycles'!$F$8&gt;0,'Lease Cycles'!$C$8*'Lease Cycles'!$E$8/12,0),IF(CG12=1,IF('Lease Cycles'!$AT$8&gt;=9999,'Lease Cycles'!$C$8*INDEX('Lease Cycles'!$CB$8:$CH$8,1,CG10)*(1+INDEX('Lease Cycles'!$CI$8:$CO$8,1,CG10))^INT(INT(CG11/12)/INDEX('Lease Cycles'!$CP$8:$CV$8,1,CG10))/12,IF(CG10=1,IF(CG11&gt;=INDEX('Lease Cycles'!$DK$8:$DQ$8,1,CG10),IF(CG$6&gt;='Lease Cycles'!$AZ$8,'Lease Cycles'!$C$8*'Lease Cycles'!$BA$8/12,IF(CG$6&gt;='Lease Cycles'!$AX$8,'Lease Cycles'!$C$8*'Lease Cycles'!$AY$8/12,IF(CG$6&gt;='Lease Cycles'!$AV$8,'Lease Cycles'!$C$8*'Lease Cycles'!$AW$8/12,IF(CG$6&gt;='Lease Cycles'!$AT$8,'Lease Cycles'!$C$8*'Lease Cycles'!$AU$8/12,'Lease Cycles'!$C$8*INDEX('Lease Cycles'!$CB$8:$CH$8,1,CG10)*(1+INDEX('Lease Cycles'!$CI$8:$CO$8,1,CG10))^INT(INT(CG11/12)/INDEX('Lease Cycles'!$CP$8:$CV$8,1,CG10))/12)))),'Lease Cycles'!$C$8*INDEX('Lease Cycles'!$CB$8:$CH$8,1,CG10)*(1+INDEX('Lease Cycles'!$CI$8:$CO$8,1,CG10))^INT(INT(CG11/12)/INDEX('Lease Cycles'!$CP$8:$CV$8,1,CG10))/12),IF(INDEX('Lease Cycles'!$EF$8:$EL$8,1,CG10)=1,IF(AND('Lease Cycles'!$AZ$8&gt;=INDEX('Lease Cycles'!$BG$8:$BM$8,1,CG10),'Lease Cycles'!$AZ$8&lt;=CG$6),'Lease Cycles'!$C$8*'Lease Cycles'!$BA$8/12,IF(AND('Lease Cycles'!$AX$8&gt;=INDEX('Lease Cycles'!$BG$8:$BM$8,1,CG10),'Lease Cycles'!$AX$8&lt;=CG$6),'Lease Cycles'!$C$8*'Lease Cycles'!$AY$8/12,IF(AND('Lease Cycles'!$AV$8&gt;=INDEX('Lease Cycles'!$BG$8:$BM$8,1,CG10),'Lease Cycles'!$AV$8&lt;=CG$6),'Lease Cycles'!$C$8*'Lease Cycles'!$AW$8/12,IF(AND('Lease Cycles'!$AT$8&gt;=INDEX('Lease Cycles'!$BG$8:$BM$8,1,CG10),'Lease Cycles'!$AT$8&lt;=CG$6),'Lease Cycles'!$C$8*'Lease Cycles'!$AU$8/12,'Lease Cycles'!$C$8*INDEX('Lease Cycles'!$CB$8:$CH$8,1,CG10)*(1+INDEX('Lease Cycles'!$CI$8:$CO$8,1,CG10))^INT(INT(CG11/12)/INDEX('Lease Cycles'!$CP$8:$CV$8,1,CG10))/12)))),'Lease Cycles'!$C$8*INDEX('Lease Cycles'!$CB$8:$CH$8,1,CG10)*(1+INDEX('Lease Cycles'!$CI$8:$CO$8,1,CG10))^INT(INT(CG11/12)/INDEX('Lease Cycles'!$CP$8:$CV$8,1,CG10))/12))),IF('Lease Cycles'!$N$8=1,'Lease Cycles'!$C$8*'Lease Cycles'!$E$8*INDEX('Lease Cycles'!$HE$8:$HK$8,1,CG10)*(1+INDEX('Lease Cycles'!$GQ$8:$GW$8,1,CG10))^INT(INT((CG$6-INDEX('Lease Cycles'!$GJ$8:$GP$8,1,CG10))/12)/INDEX('Lease Cycles'!$GX$8:$HD$8,1,CG10))/12,0)))</f>
        <v>38666.666666666664</v>
      </c>
      <c r="CH13" s="28">
        <f>IF(CH10=0,IF('Lease Cycles'!$F$8&gt;0,'Lease Cycles'!$C$8*'Lease Cycles'!$E$8/12,0),IF(CH12=1,IF('Lease Cycles'!$AT$8&gt;=9999,'Lease Cycles'!$C$8*INDEX('Lease Cycles'!$CB$8:$CH$8,1,CH10)*(1+INDEX('Lease Cycles'!$CI$8:$CO$8,1,CH10))^INT(INT(CH11/12)/INDEX('Lease Cycles'!$CP$8:$CV$8,1,CH10))/12,IF(CH10=1,IF(CH11&gt;=INDEX('Lease Cycles'!$DK$8:$DQ$8,1,CH10),IF(CH$6&gt;='Lease Cycles'!$AZ$8,'Lease Cycles'!$C$8*'Lease Cycles'!$BA$8/12,IF(CH$6&gt;='Lease Cycles'!$AX$8,'Lease Cycles'!$C$8*'Lease Cycles'!$AY$8/12,IF(CH$6&gt;='Lease Cycles'!$AV$8,'Lease Cycles'!$C$8*'Lease Cycles'!$AW$8/12,IF(CH$6&gt;='Lease Cycles'!$AT$8,'Lease Cycles'!$C$8*'Lease Cycles'!$AU$8/12,'Lease Cycles'!$C$8*INDEX('Lease Cycles'!$CB$8:$CH$8,1,CH10)*(1+INDEX('Lease Cycles'!$CI$8:$CO$8,1,CH10))^INT(INT(CH11/12)/INDEX('Lease Cycles'!$CP$8:$CV$8,1,CH10))/12)))),'Lease Cycles'!$C$8*INDEX('Lease Cycles'!$CB$8:$CH$8,1,CH10)*(1+INDEX('Lease Cycles'!$CI$8:$CO$8,1,CH10))^INT(INT(CH11/12)/INDEX('Lease Cycles'!$CP$8:$CV$8,1,CH10))/12),IF(INDEX('Lease Cycles'!$EF$8:$EL$8,1,CH10)=1,IF(AND('Lease Cycles'!$AZ$8&gt;=INDEX('Lease Cycles'!$BG$8:$BM$8,1,CH10),'Lease Cycles'!$AZ$8&lt;=CH$6),'Lease Cycles'!$C$8*'Lease Cycles'!$BA$8/12,IF(AND('Lease Cycles'!$AX$8&gt;=INDEX('Lease Cycles'!$BG$8:$BM$8,1,CH10),'Lease Cycles'!$AX$8&lt;=CH$6),'Lease Cycles'!$C$8*'Lease Cycles'!$AY$8/12,IF(AND('Lease Cycles'!$AV$8&gt;=INDEX('Lease Cycles'!$BG$8:$BM$8,1,CH10),'Lease Cycles'!$AV$8&lt;=CH$6),'Lease Cycles'!$C$8*'Lease Cycles'!$AW$8/12,IF(AND('Lease Cycles'!$AT$8&gt;=INDEX('Lease Cycles'!$BG$8:$BM$8,1,CH10),'Lease Cycles'!$AT$8&lt;=CH$6),'Lease Cycles'!$C$8*'Lease Cycles'!$AU$8/12,'Lease Cycles'!$C$8*INDEX('Lease Cycles'!$CB$8:$CH$8,1,CH10)*(1+INDEX('Lease Cycles'!$CI$8:$CO$8,1,CH10))^INT(INT(CH11/12)/INDEX('Lease Cycles'!$CP$8:$CV$8,1,CH10))/12)))),'Lease Cycles'!$C$8*INDEX('Lease Cycles'!$CB$8:$CH$8,1,CH10)*(1+INDEX('Lease Cycles'!$CI$8:$CO$8,1,CH10))^INT(INT(CH11/12)/INDEX('Lease Cycles'!$CP$8:$CV$8,1,CH10))/12))),IF('Lease Cycles'!$N$8=1,'Lease Cycles'!$C$8*'Lease Cycles'!$E$8*INDEX('Lease Cycles'!$HE$8:$HK$8,1,CH10)*(1+INDEX('Lease Cycles'!$GQ$8:$GW$8,1,CH10))^INT(INT((CH$6-INDEX('Lease Cycles'!$GJ$8:$GP$8,1,CH10))/12)/INDEX('Lease Cycles'!$GX$8:$HD$8,1,CH10))/12,0)))</f>
        <v>38666.666666666664</v>
      </c>
      <c r="CI13" s="28">
        <f>IF(CI10=0,IF('Lease Cycles'!$F$8&gt;0,'Lease Cycles'!$C$8*'Lease Cycles'!$E$8/12,0),IF(CI12=1,IF('Lease Cycles'!$AT$8&gt;=9999,'Lease Cycles'!$C$8*INDEX('Lease Cycles'!$CB$8:$CH$8,1,CI10)*(1+INDEX('Lease Cycles'!$CI$8:$CO$8,1,CI10))^INT(INT(CI11/12)/INDEX('Lease Cycles'!$CP$8:$CV$8,1,CI10))/12,IF(CI10=1,IF(CI11&gt;=INDEX('Lease Cycles'!$DK$8:$DQ$8,1,CI10),IF(CI$6&gt;='Lease Cycles'!$AZ$8,'Lease Cycles'!$C$8*'Lease Cycles'!$BA$8/12,IF(CI$6&gt;='Lease Cycles'!$AX$8,'Lease Cycles'!$C$8*'Lease Cycles'!$AY$8/12,IF(CI$6&gt;='Lease Cycles'!$AV$8,'Lease Cycles'!$C$8*'Lease Cycles'!$AW$8/12,IF(CI$6&gt;='Lease Cycles'!$AT$8,'Lease Cycles'!$C$8*'Lease Cycles'!$AU$8/12,'Lease Cycles'!$C$8*INDEX('Lease Cycles'!$CB$8:$CH$8,1,CI10)*(1+INDEX('Lease Cycles'!$CI$8:$CO$8,1,CI10))^INT(INT(CI11/12)/INDEX('Lease Cycles'!$CP$8:$CV$8,1,CI10))/12)))),'Lease Cycles'!$C$8*INDEX('Lease Cycles'!$CB$8:$CH$8,1,CI10)*(1+INDEX('Lease Cycles'!$CI$8:$CO$8,1,CI10))^INT(INT(CI11/12)/INDEX('Lease Cycles'!$CP$8:$CV$8,1,CI10))/12),IF(INDEX('Lease Cycles'!$EF$8:$EL$8,1,CI10)=1,IF(AND('Lease Cycles'!$AZ$8&gt;=INDEX('Lease Cycles'!$BG$8:$BM$8,1,CI10),'Lease Cycles'!$AZ$8&lt;=CI$6),'Lease Cycles'!$C$8*'Lease Cycles'!$BA$8/12,IF(AND('Lease Cycles'!$AX$8&gt;=INDEX('Lease Cycles'!$BG$8:$BM$8,1,CI10),'Lease Cycles'!$AX$8&lt;=CI$6),'Lease Cycles'!$C$8*'Lease Cycles'!$AY$8/12,IF(AND('Lease Cycles'!$AV$8&gt;=INDEX('Lease Cycles'!$BG$8:$BM$8,1,CI10),'Lease Cycles'!$AV$8&lt;=CI$6),'Lease Cycles'!$C$8*'Lease Cycles'!$AW$8/12,IF(AND('Lease Cycles'!$AT$8&gt;=INDEX('Lease Cycles'!$BG$8:$BM$8,1,CI10),'Lease Cycles'!$AT$8&lt;=CI$6),'Lease Cycles'!$C$8*'Lease Cycles'!$AU$8/12,'Lease Cycles'!$C$8*INDEX('Lease Cycles'!$CB$8:$CH$8,1,CI10)*(1+INDEX('Lease Cycles'!$CI$8:$CO$8,1,CI10))^INT(INT(CI11/12)/INDEX('Lease Cycles'!$CP$8:$CV$8,1,CI10))/12)))),'Lease Cycles'!$C$8*INDEX('Lease Cycles'!$CB$8:$CH$8,1,CI10)*(1+INDEX('Lease Cycles'!$CI$8:$CO$8,1,CI10))^INT(INT(CI11/12)/INDEX('Lease Cycles'!$CP$8:$CV$8,1,CI10))/12))),IF('Lease Cycles'!$N$8=1,'Lease Cycles'!$C$8*'Lease Cycles'!$E$8*INDEX('Lease Cycles'!$HE$8:$HK$8,1,CI10)*(1+INDEX('Lease Cycles'!$GQ$8:$GW$8,1,CI10))^INT(INT((CI$6-INDEX('Lease Cycles'!$GJ$8:$GP$8,1,CI10))/12)/INDEX('Lease Cycles'!$GX$8:$HD$8,1,CI10))/12,0)))</f>
        <v>38666.666666666664</v>
      </c>
      <c r="CJ13" s="28">
        <f>IF(CJ10=0,IF('Lease Cycles'!$F$8&gt;0,'Lease Cycles'!$C$8*'Lease Cycles'!$E$8/12,0),IF(CJ12=1,IF('Lease Cycles'!$AT$8&gt;=9999,'Lease Cycles'!$C$8*INDEX('Lease Cycles'!$CB$8:$CH$8,1,CJ10)*(1+INDEX('Lease Cycles'!$CI$8:$CO$8,1,CJ10))^INT(INT(CJ11/12)/INDEX('Lease Cycles'!$CP$8:$CV$8,1,CJ10))/12,IF(CJ10=1,IF(CJ11&gt;=INDEX('Lease Cycles'!$DK$8:$DQ$8,1,CJ10),IF(CJ$6&gt;='Lease Cycles'!$AZ$8,'Lease Cycles'!$C$8*'Lease Cycles'!$BA$8/12,IF(CJ$6&gt;='Lease Cycles'!$AX$8,'Lease Cycles'!$C$8*'Lease Cycles'!$AY$8/12,IF(CJ$6&gt;='Lease Cycles'!$AV$8,'Lease Cycles'!$C$8*'Lease Cycles'!$AW$8/12,IF(CJ$6&gt;='Lease Cycles'!$AT$8,'Lease Cycles'!$C$8*'Lease Cycles'!$AU$8/12,'Lease Cycles'!$C$8*INDEX('Lease Cycles'!$CB$8:$CH$8,1,CJ10)*(1+INDEX('Lease Cycles'!$CI$8:$CO$8,1,CJ10))^INT(INT(CJ11/12)/INDEX('Lease Cycles'!$CP$8:$CV$8,1,CJ10))/12)))),'Lease Cycles'!$C$8*INDEX('Lease Cycles'!$CB$8:$CH$8,1,CJ10)*(1+INDEX('Lease Cycles'!$CI$8:$CO$8,1,CJ10))^INT(INT(CJ11/12)/INDEX('Lease Cycles'!$CP$8:$CV$8,1,CJ10))/12),IF(INDEX('Lease Cycles'!$EF$8:$EL$8,1,CJ10)=1,IF(AND('Lease Cycles'!$AZ$8&gt;=INDEX('Lease Cycles'!$BG$8:$BM$8,1,CJ10),'Lease Cycles'!$AZ$8&lt;=CJ$6),'Lease Cycles'!$C$8*'Lease Cycles'!$BA$8/12,IF(AND('Lease Cycles'!$AX$8&gt;=INDEX('Lease Cycles'!$BG$8:$BM$8,1,CJ10),'Lease Cycles'!$AX$8&lt;=CJ$6),'Lease Cycles'!$C$8*'Lease Cycles'!$AY$8/12,IF(AND('Lease Cycles'!$AV$8&gt;=INDEX('Lease Cycles'!$BG$8:$BM$8,1,CJ10),'Lease Cycles'!$AV$8&lt;=CJ$6),'Lease Cycles'!$C$8*'Lease Cycles'!$AW$8/12,IF(AND('Lease Cycles'!$AT$8&gt;=INDEX('Lease Cycles'!$BG$8:$BM$8,1,CJ10),'Lease Cycles'!$AT$8&lt;=CJ$6),'Lease Cycles'!$C$8*'Lease Cycles'!$AU$8/12,'Lease Cycles'!$C$8*INDEX('Lease Cycles'!$CB$8:$CH$8,1,CJ10)*(1+INDEX('Lease Cycles'!$CI$8:$CO$8,1,CJ10))^INT(INT(CJ11/12)/INDEX('Lease Cycles'!$CP$8:$CV$8,1,CJ10))/12)))),'Lease Cycles'!$C$8*INDEX('Lease Cycles'!$CB$8:$CH$8,1,CJ10)*(1+INDEX('Lease Cycles'!$CI$8:$CO$8,1,CJ10))^INT(INT(CJ11/12)/INDEX('Lease Cycles'!$CP$8:$CV$8,1,CJ10))/12))),IF('Lease Cycles'!$N$8=1,'Lease Cycles'!$C$8*'Lease Cycles'!$E$8*INDEX('Lease Cycles'!$HE$8:$HK$8,1,CJ10)*(1+INDEX('Lease Cycles'!$GQ$8:$GW$8,1,CJ10))^INT(INT((CJ$6-INDEX('Lease Cycles'!$GJ$8:$GP$8,1,CJ10))/12)/INDEX('Lease Cycles'!$GX$8:$HD$8,1,CJ10))/12,0)))</f>
        <v>38666.666666666664</v>
      </c>
      <c r="CK13" s="28">
        <f>IF(CK10=0,IF('Lease Cycles'!$F$8&gt;0,'Lease Cycles'!$C$8*'Lease Cycles'!$E$8/12,0),IF(CK12=1,IF('Lease Cycles'!$AT$8&gt;=9999,'Lease Cycles'!$C$8*INDEX('Lease Cycles'!$CB$8:$CH$8,1,CK10)*(1+INDEX('Lease Cycles'!$CI$8:$CO$8,1,CK10))^INT(INT(CK11/12)/INDEX('Lease Cycles'!$CP$8:$CV$8,1,CK10))/12,IF(CK10=1,IF(CK11&gt;=INDEX('Lease Cycles'!$DK$8:$DQ$8,1,CK10),IF(CK$6&gt;='Lease Cycles'!$AZ$8,'Lease Cycles'!$C$8*'Lease Cycles'!$BA$8/12,IF(CK$6&gt;='Lease Cycles'!$AX$8,'Lease Cycles'!$C$8*'Lease Cycles'!$AY$8/12,IF(CK$6&gt;='Lease Cycles'!$AV$8,'Lease Cycles'!$C$8*'Lease Cycles'!$AW$8/12,IF(CK$6&gt;='Lease Cycles'!$AT$8,'Lease Cycles'!$C$8*'Lease Cycles'!$AU$8/12,'Lease Cycles'!$C$8*INDEX('Lease Cycles'!$CB$8:$CH$8,1,CK10)*(1+INDEX('Lease Cycles'!$CI$8:$CO$8,1,CK10))^INT(INT(CK11/12)/INDEX('Lease Cycles'!$CP$8:$CV$8,1,CK10))/12)))),'Lease Cycles'!$C$8*INDEX('Lease Cycles'!$CB$8:$CH$8,1,CK10)*(1+INDEX('Lease Cycles'!$CI$8:$CO$8,1,CK10))^INT(INT(CK11/12)/INDEX('Lease Cycles'!$CP$8:$CV$8,1,CK10))/12),IF(INDEX('Lease Cycles'!$EF$8:$EL$8,1,CK10)=1,IF(AND('Lease Cycles'!$AZ$8&gt;=INDEX('Lease Cycles'!$BG$8:$BM$8,1,CK10),'Lease Cycles'!$AZ$8&lt;=CK$6),'Lease Cycles'!$C$8*'Lease Cycles'!$BA$8/12,IF(AND('Lease Cycles'!$AX$8&gt;=INDEX('Lease Cycles'!$BG$8:$BM$8,1,CK10),'Lease Cycles'!$AX$8&lt;=CK$6),'Lease Cycles'!$C$8*'Lease Cycles'!$AY$8/12,IF(AND('Lease Cycles'!$AV$8&gt;=INDEX('Lease Cycles'!$BG$8:$BM$8,1,CK10),'Lease Cycles'!$AV$8&lt;=CK$6),'Lease Cycles'!$C$8*'Lease Cycles'!$AW$8/12,IF(AND('Lease Cycles'!$AT$8&gt;=INDEX('Lease Cycles'!$BG$8:$BM$8,1,CK10),'Lease Cycles'!$AT$8&lt;=CK$6),'Lease Cycles'!$C$8*'Lease Cycles'!$AU$8/12,'Lease Cycles'!$C$8*INDEX('Lease Cycles'!$CB$8:$CH$8,1,CK10)*(1+INDEX('Lease Cycles'!$CI$8:$CO$8,1,CK10))^INT(INT(CK11/12)/INDEX('Lease Cycles'!$CP$8:$CV$8,1,CK10))/12)))),'Lease Cycles'!$C$8*INDEX('Lease Cycles'!$CB$8:$CH$8,1,CK10)*(1+INDEX('Lease Cycles'!$CI$8:$CO$8,1,CK10))^INT(INT(CK11/12)/INDEX('Lease Cycles'!$CP$8:$CV$8,1,CK10))/12))),IF('Lease Cycles'!$N$8=1,'Lease Cycles'!$C$8*'Lease Cycles'!$E$8*INDEX('Lease Cycles'!$HE$8:$HK$8,1,CK10)*(1+INDEX('Lease Cycles'!$GQ$8:$GW$8,1,CK10))^INT(INT((CK$6-INDEX('Lease Cycles'!$GJ$8:$GP$8,1,CK10))/12)/INDEX('Lease Cycles'!$GX$8:$HD$8,1,CK10))/12,0)))</f>
        <v>38666.666666666664</v>
      </c>
      <c r="CL13" s="28">
        <f>IF(CL10=0,IF('Lease Cycles'!$F$8&gt;0,'Lease Cycles'!$C$8*'Lease Cycles'!$E$8/12,0),IF(CL12=1,IF('Lease Cycles'!$AT$8&gt;=9999,'Lease Cycles'!$C$8*INDEX('Lease Cycles'!$CB$8:$CH$8,1,CL10)*(1+INDEX('Lease Cycles'!$CI$8:$CO$8,1,CL10))^INT(INT(CL11/12)/INDEX('Lease Cycles'!$CP$8:$CV$8,1,CL10))/12,IF(CL10=1,IF(CL11&gt;=INDEX('Lease Cycles'!$DK$8:$DQ$8,1,CL10),IF(CL$6&gt;='Lease Cycles'!$AZ$8,'Lease Cycles'!$C$8*'Lease Cycles'!$BA$8/12,IF(CL$6&gt;='Lease Cycles'!$AX$8,'Lease Cycles'!$C$8*'Lease Cycles'!$AY$8/12,IF(CL$6&gt;='Lease Cycles'!$AV$8,'Lease Cycles'!$C$8*'Lease Cycles'!$AW$8/12,IF(CL$6&gt;='Lease Cycles'!$AT$8,'Lease Cycles'!$C$8*'Lease Cycles'!$AU$8/12,'Lease Cycles'!$C$8*INDEX('Lease Cycles'!$CB$8:$CH$8,1,CL10)*(1+INDEX('Lease Cycles'!$CI$8:$CO$8,1,CL10))^INT(INT(CL11/12)/INDEX('Lease Cycles'!$CP$8:$CV$8,1,CL10))/12)))),'Lease Cycles'!$C$8*INDEX('Lease Cycles'!$CB$8:$CH$8,1,CL10)*(1+INDEX('Lease Cycles'!$CI$8:$CO$8,1,CL10))^INT(INT(CL11/12)/INDEX('Lease Cycles'!$CP$8:$CV$8,1,CL10))/12),IF(INDEX('Lease Cycles'!$EF$8:$EL$8,1,CL10)=1,IF(AND('Lease Cycles'!$AZ$8&gt;=INDEX('Lease Cycles'!$BG$8:$BM$8,1,CL10),'Lease Cycles'!$AZ$8&lt;=CL$6),'Lease Cycles'!$C$8*'Lease Cycles'!$BA$8/12,IF(AND('Lease Cycles'!$AX$8&gt;=INDEX('Lease Cycles'!$BG$8:$BM$8,1,CL10),'Lease Cycles'!$AX$8&lt;=CL$6),'Lease Cycles'!$C$8*'Lease Cycles'!$AY$8/12,IF(AND('Lease Cycles'!$AV$8&gt;=INDEX('Lease Cycles'!$BG$8:$BM$8,1,CL10),'Lease Cycles'!$AV$8&lt;=CL$6),'Lease Cycles'!$C$8*'Lease Cycles'!$AW$8/12,IF(AND('Lease Cycles'!$AT$8&gt;=INDEX('Lease Cycles'!$BG$8:$BM$8,1,CL10),'Lease Cycles'!$AT$8&lt;=CL$6),'Lease Cycles'!$C$8*'Lease Cycles'!$AU$8/12,'Lease Cycles'!$C$8*INDEX('Lease Cycles'!$CB$8:$CH$8,1,CL10)*(1+INDEX('Lease Cycles'!$CI$8:$CO$8,1,CL10))^INT(INT(CL11/12)/INDEX('Lease Cycles'!$CP$8:$CV$8,1,CL10))/12)))),'Lease Cycles'!$C$8*INDEX('Lease Cycles'!$CB$8:$CH$8,1,CL10)*(1+INDEX('Lease Cycles'!$CI$8:$CO$8,1,CL10))^INT(INT(CL11/12)/INDEX('Lease Cycles'!$CP$8:$CV$8,1,CL10))/12))),IF('Lease Cycles'!$N$8=1,'Lease Cycles'!$C$8*'Lease Cycles'!$E$8*INDEX('Lease Cycles'!$HE$8:$HK$8,1,CL10)*(1+INDEX('Lease Cycles'!$GQ$8:$GW$8,1,CL10))^INT(INT((CL$6-INDEX('Lease Cycles'!$GJ$8:$GP$8,1,CL10))/12)/INDEX('Lease Cycles'!$GX$8:$HD$8,1,CL10))/12,0)))</f>
        <v>38666.666666666664</v>
      </c>
      <c r="CM13" s="28">
        <f>IF(CM10=0,IF('Lease Cycles'!$F$8&gt;0,'Lease Cycles'!$C$8*'Lease Cycles'!$E$8/12,0),IF(CM12=1,IF('Lease Cycles'!$AT$8&gt;=9999,'Lease Cycles'!$C$8*INDEX('Lease Cycles'!$CB$8:$CH$8,1,CM10)*(1+INDEX('Lease Cycles'!$CI$8:$CO$8,1,CM10))^INT(INT(CM11/12)/INDEX('Lease Cycles'!$CP$8:$CV$8,1,CM10))/12,IF(CM10=1,IF(CM11&gt;=INDEX('Lease Cycles'!$DK$8:$DQ$8,1,CM10),IF(CM$6&gt;='Lease Cycles'!$AZ$8,'Lease Cycles'!$C$8*'Lease Cycles'!$BA$8/12,IF(CM$6&gt;='Lease Cycles'!$AX$8,'Lease Cycles'!$C$8*'Lease Cycles'!$AY$8/12,IF(CM$6&gt;='Lease Cycles'!$AV$8,'Lease Cycles'!$C$8*'Lease Cycles'!$AW$8/12,IF(CM$6&gt;='Lease Cycles'!$AT$8,'Lease Cycles'!$C$8*'Lease Cycles'!$AU$8/12,'Lease Cycles'!$C$8*INDEX('Lease Cycles'!$CB$8:$CH$8,1,CM10)*(1+INDEX('Lease Cycles'!$CI$8:$CO$8,1,CM10))^INT(INT(CM11/12)/INDEX('Lease Cycles'!$CP$8:$CV$8,1,CM10))/12)))),'Lease Cycles'!$C$8*INDEX('Lease Cycles'!$CB$8:$CH$8,1,CM10)*(1+INDEX('Lease Cycles'!$CI$8:$CO$8,1,CM10))^INT(INT(CM11/12)/INDEX('Lease Cycles'!$CP$8:$CV$8,1,CM10))/12),IF(INDEX('Lease Cycles'!$EF$8:$EL$8,1,CM10)=1,IF(AND('Lease Cycles'!$AZ$8&gt;=INDEX('Lease Cycles'!$BG$8:$BM$8,1,CM10),'Lease Cycles'!$AZ$8&lt;=CM$6),'Lease Cycles'!$C$8*'Lease Cycles'!$BA$8/12,IF(AND('Lease Cycles'!$AX$8&gt;=INDEX('Lease Cycles'!$BG$8:$BM$8,1,CM10),'Lease Cycles'!$AX$8&lt;=CM$6),'Lease Cycles'!$C$8*'Lease Cycles'!$AY$8/12,IF(AND('Lease Cycles'!$AV$8&gt;=INDEX('Lease Cycles'!$BG$8:$BM$8,1,CM10),'Lease Cycles'!$AV$8&lt;=CM$6),'Lease Cycles'!$C$8*'Lease Cycles'!$AW$8/12,IF(AND('Lease Cycles'!$AT$8&gt;=INDEX('Lease Cycles'!$BG$8:$BM$8,1,CM10),'Lease Cycles'!$AT$8&lt;=CM$6),'Lease Cycles'!$C$8*'Lease Cycles'!$AU$8/12,'Lease Cycles'!$C$8*INDEX('Lease Cycles'!$CB$8:$CH$8,1,CM10)*(1+INDEX('Lease Cycles'!$CI$8:$CO$8,1,CM10))^INT(INT(CM11/12)/INDEX('Lease Cycles'!$CP$8:$CV$8,1,CM10))/12)))),'Lease Cycles'!$C$8*INDEX('Lease Cycles'!$CB$8:$CH$8,1,CM10)*(1+INDEX('Lease Cycles'!$CI$8:$CO$8,1,CM10))^INT(INT(CM11/12)/INDEX('Lease Cycles'!$CP$8:$CV$8,1,CM10))/12))),IF('Lease Cycles'!$N$8=1,'Lease Cycles'!$C$8*'Lease Cycles'!$E$8*INDEX('Lease Cycles'!$HE$8:$HK$8,1,CM10)*(1+INDEX('Lease Cycles'!$GQ$8:$GW$8,1,CM10))^INT(INT((CM$6-INDEX('Lease Cycles'!$GJ$8:$GP$8,1,CM10))/12)/INDEX('Lease Cycles'!$GX$8:$HD$8,1,CM10))/12,0)))</f>
        <v>38666.666666666664</v>
      </c>
      <c r="CN13" s="28">
        <f>IF(CN10=0,IF('Lease Cycles'!$F$8&gt;0,'Lease Cycles'!$C$8*'Lease Cycles'!$E$8/12,0),IF(CN12=1,IF('Lease Cycles'!$AT$8&gt;=9999,'Lease Cycles'!$C$8*INDEX('Lease Cycles'!$CB$8:$CH$8,1,CN10)*(1+INDEX('Lease Cycles'!$CI$8:$CO$8,1,CN10))^INT(INT(CN11/12)/INDEX('Lease Cycles'!$CP$8:$CV$8,1,CN10))/12,IF(CN10=1,IF(CN11&gt;=INDEX('Lease Cycles'!$DK$8:$DQ$8,1,CN10),IF(CN$6&gt;='Lease Cycles'!$AZ$8,'Lease Cycles'!$C$8*'Lease Cycles'!$BA$8/12,IF(CN$6&gt;='Lease Cycles'!$AX$8,'Lease Cycles'!$C$8*'Lease Cycles'!$AY$8/12,IF(CN$6&gt;='Lease Cycles'!$AV$8,'Lease Cycles'!$C$8*'Lease Cycles'!$AW$8/12,IF(CN$6&gt;='Lease Cycles'!$AT$8,'Lease Cycles'!$C$8*'Lease Cycles'!$AU$8/12,'Lease Cycles'!$C$8*INDEX('Lease Cycles'!$CB$8:$CH$8,1,CN10)*(1+INDEX('Lease Cycles'!$CI$8:$CO$8,1,CN10))^INT(INT(CN11/12)/INDEX('Lease Cycles'!$CP$8:$CV$8,1,CN10))/12)))),'Lease Cycles'!$C$8*INDEX('Lease Cycles'!$CB$8:$CH$8,1,CN10)*(1+INDEX('Lease Cycles'!$CI$8:$CO$8,1,CN10))^INT(INT(CN11/12)/INDEX('Lease Cycles'!$CP$8:$CV$8,1,CN10))/12),IF(INDEX('Lease Cycles'!$EF$8:$EL$8,1,CN10)=1,IF(AND('Lease Cycles'!$AZ$8&gt;=INDEX('Lease Cycles'!$BG$8:$BM$8,1,CN10),'Lease Cycles'!$AZ$8&lt;=CN$6),'Lease Cycles'!$C$8*'Lease Cycles'!$BA$8/12,IF(AND('Lease Cycles'!$AX$8&gt;=INDEX('Lease Cycles'!$BG$8:$BM$8,1,CN10),'Lease Cycles'!$AX$8&lt;=CN$6),'Lease Cycles'!$C$8*'Lease Cycles'!$AY$8/12,IF(AND('Lease Cycles'!$AV$8&gt;=INDEX('Lease Cycles'!$BG$8:$BM$8,1,CN10),'Lease Cycles'!$AV$8&lt;=CN$6),'Lease Cycles'!$C$8*'Lease Cycles'!$AW$8/12,IF(AND('Lease Cycles'!$AT$8&gt;=INDEX('Lease Cycles'!$BG$8:$BM$8,1,CN10),'Lease Cycles'!$AT$8&lt;=CN$6),'Lease Cycles'!$C$8*'Lease Cycles'!$AU$8/12,'Lease Cycles'!$C$8*INDEX('Lease Cycles'!$CB$8:$CH$8,1,CN10)*(1+INDEX('Lease Cycles'!$CI$8:$CO$8,1,CN10))^INT(INT(CN11/12)/INDEX('Lease Cycles'!$CP$8:$CV$8,1,CN10))/12)))),'Lease Cycles'!$C$8*INDEX('Lease Cycles'!$CB$8:$CH$8,1,CN10)*(1+INDEX('Lease Cycles'!$CI$8:$CO$8,1,CN10))^INT(INT(CN11/12)/INDEX('Lease Cycles'!$CP$8:$CV$8,1,CN10))/12))),IF('Lease Cycles'!$N$8=1,'Lease Cycles'!$C$8*'Lease Cycles'!$E$8*INDEX('Lease Cycles'!$HE$8:$HK$8,1,CN10)*(1+INDEX('Lease Cycles'!$GQ$8:$GW$8,1,CN10))^INT(INT((CN$6-INDEX('Lease Cycles'!$GJ$8:$GP$8,1,CN10))/12)/INDEX('Lease Cycles'!$GX$8:$HD$8,1,CN10))/12,0)))</f>
        <v>38666.666666666664</v>
      </c>
      <c r="CO13" s="28">
        <f>IF(CO10=0,IF('Lease Cycles'!$F$8&gt;0,'Lease Cycles'!$C$8*'Lease Cycles'!$E$8/12,0),IF(CO12=1,IF('Lease Cycles'!$AT$8&gt;=9999,'Lease Cycles'!$C$8*INDEX('Lease Cycles'!$CB$8:$CH$8,1,CO10)*(1+INDEX('Lease Cycles'!$CI$8:$CO$8,1,CO10))^INT(INT(CO11/12)/INDEX('Lease Cycles'!$CP$8:$CV$8,1,CO10))/12,IF(CO10=1,IF(CO11&gt;=INDEX('Lease Cycles'!$DK$8:$DQ$8,1,CO10),IF(CO$6&gt;='Lease Cycles'!$AZ$8,'Lease Cycles'!$C$8*'Lease Cycles'!$BA$8/12,IF(CO$6&gt;='Lease Cycles'!$AX$8,'Lease Cycles'!$C$8*'Lease Cycles'!$AY$8/12,IF(CO$6&gt;='Lease Cycles'!$AV$8,'Lease Cycles'!$C$8*'Lease Cycles'!$AW$8/12,IF(CO$6&gt;='Lease Cycles'!$AT$8,'Lease Cycles'!$C$8*'Lease Cycles'!$AU$8/12,'Lease Cycles'!$C$8*INDEX('Lease Cycles'!$CB$8:$CH$8,1,CO10)*(1+INDEX('Lease Cycles'!$CI$8:$CO$8,1,CO10))^INT(INT(CO11/12)/INDEX('Lease Cycles'!$CP$8:$CV$8,1,CO10))/12)))),'Lease Cycles'!$C$8*INDEX('Lease Cycles'!$CB$8:$CH$8,1,CO10)*(1+INDEX('Lease Cycles'!$CI$8:$CO$8,1,CO10))^INT(INT(CO11/12)/INDEX('Lease Cycles'!$CP$8:$CV$8,1,CO10))/12),IF(INDEX('Lease Cycles'!$EF$8:$EL$8,1,CO10)=1,IF(AND('Lease Cycles'!$AZ$8&gt;=INDEX('Lease Cycles'!$BG$8:$BM$8,1,CO10),'Lease Cycles'!$AZ$8&lt;=CO$6),'Lease Cycles'!$C$8*'Lease Cycles'!$BA$8/12,IF(AND('Lease Cycles'!$AX$8&gt;=INDEX('Lease Cycles'!$BG$8:$BM$8,1,CO10),'Lease Cycles'!$AX$8&lt;=CO$6),'Lease Cycles'!$C$8*'Lease Cycles'!$AY$8/12,IF(AND('Lease Cycles'!$AV$8&gt;=INDEX('Lease Cycles'!$BG$8:$BM$8,1,CO10),'Lease Cycles'!$AV$8&lt;=CO$6),'Lease Cycles'!$C$8*'Lease Cycles'!$AW$8/12,IF(AND('Lease Cycles'!$AT$8&gt;=INDEX('Lease Cycles'!$BG$8:$BM$8,1,CO10),'Lease Cycles'!$AT$8&lt;=CO$6),'Lease Cycles'!$C$8*'Lease Cycles'!$AU$8/12,'Lease Cycles'!$C$8*INDEX('Lease Cycles'!$CB$8:$CH$8,1,CO10)*(1+INDEX('Lease Cycles'!$CI$8:$CO$8,1,CO10))^INT(INT(CO11/12)/INDEX('Lease Cycles'!$CP$8:$CV$8,1,CO10))/12)))),'Lease Cycles'!$C$8*INDEX('Lease Cycles'!$CB$8:$CH$8,1,CO10)*(1+INDEX('Lease Cycles'!$CI$8:$CO$8,1,CO10))^INT(INT(CO11/12)/INDEX('Lease Cycles'!$CP$8:$CV$8,1,CO10))/12))),IF('Lease Cycles'!$N$8=1,'Lease Cycles'!$C$8*'Lease Cycles'!$E$8*INDEX('Lease Cycles'!$HE$8:$HK$8,1,CO10)*(1+INDEX('Lease Cycles'!$GQ$8:$GW$8,1,CO10))^INT(INT((CO$6-INDEX('Lease Cycles'!$GJ$8:$GP$8,1,CO10))/12)/INDEX('Lease Cycles'!$GX$8:$HD$8,1,CO10))/12,0)))</f>
        <v>38666.666666666664</v>
      </c>
      <c r="CP13" s="28">
        <f>IF(CP10=0,IF('Lease Cycles'!$F$8&gt;0,'Lease Cycles'!$C$8*'Lease Cycles'!$E$8/12,0),IF(CP12=1,IF('Lease Cycles'!$AT$8&gt;=9999,'Lease Cycles'!$C$8*INDEX('Lease Cycles'!$CB$8:$CH$8,1,CP10)*(1+INDEX('Lease Cycles'!$CI$8:$CO$8,1,CP10))^INT(INT(CP11/12)/INDEX('Lease Cycles'!$CP$8:$CV$8,1,CP10))/12,IF(CP10=1,IF(CP11&gt;=INDEX('Lease Cycles'!$DK$8:$DQ$8,1,CP10),IF(CP$6&gt;='Lease Cycles'!$AZ$8,'Lease Cycles'!$C$8*'Lease Cycles'!$BA$8/12,IF(CP$6&gt;='Lease Cycles'!$AX$8,'Lease Cycles'!$C$8*'Lease Cycles'!$AY$8/12,IF(CP$6&gt;='Lease Cycles'!$AV$8,'Lease Cycles'!$C$8*'Lease Cycles'!$AW$8/12,IF(CP$6&gt;='Lease Cycles'!$AT$8,'Lease Cycles'!$C$8*'Lease Cycles'!$AU$8/12,'Lease Cycles'!$C$8*INDEX('Lease Cycles'!$CB$8:$CH$8,1,CP10)*(1+INDEX('Lease Cycles'!$CI$8:$CO$8,1,CP10))^INT(INT(CP11/12)/INDEX('Lease Cycles'!$CP$8:$CV$8,1,CP10))/12)))),'Lease Cycles'!$C$8*INDEX('Lease Cycles'!$CB$8:$CH$8,1,CP10)*(1+INDEX('Lease Cycles'!$CI$8:$CO$8,1,CP10))^INT(INT(CP11/12)/INDEX('Lease Cycles'!$CP$8:$CV$8,1,CP10))/12),IF(INDEX('Lease Cycles'!$EF$8:$EL$8,1,CP10)=1,IF(AND('Lease Cycles'!$AZ$8&gt;=INDEX('Lease Cycles'!$BG$8:$BM$8,1,CP10),'Lease Cycles'!$AZ$8&lt;=CP$6),'Lease Cycles'!$C$8*'Lease Cycles'!$BA$8/12,IF(AND('Lease Cycles'!$AX$8&gt;=INDEX('Lease Cycles'!$BG$8:$BM$8,1,CP10),'Lease Cycles'!$AX$8&lt;=CP$6),'Lease Cycles'!$C$8*'Lease Cycles'!$AY$8/12,IF(AND('Lease Cycles'!$AV$8&gt;=INDEX('Lease Cycles'!$BG$8:$BM$8,1,CP10),'Lease Cycles'!$AV$8&lt;=CP$6),'Lease Cycles'!$C$8*'Lease Cycles'!$AW$8/12,IF(AND('Lease Cycles'!$AT$8&gt;=INDEX('Lease Cycles'!$BG$8:$BM$8,1,CP10),'Lease Cycles'!$AT$8&lt;=CP$6),'Lease Cycles'!$C$8*'Lease Cycles'!$AU$8/12,'Lease Cycles'!$C$8*INDEX('Lease Cycles'!$CB$8:$CH$8,1,CP10)*(1+INDEX('Lease Cycles'!$CI$8:$CO$8,1,CP10))^INT(INT(CP11/12)/INDEX('Lease Cycles'!$CP$8:$CV$8,1,CP10))/12)))),'Lease Cycles'!$C$8*INDEX('Lease Cycles'!$CB$8:$CH$8,1,CP10)*(1+INDEX('Lease Cycles'!$CI$8:$CO$8,1,CP10))^INT(INT(CP11/12)/INDEX('Lease Cycles'!$CP$8:$CV$8,1,CP10))/12))),IF('Lease Cycles'!$N$8=1,'Lease Cycles'!$C$8*'Lease Cycles'!$E$8*INDEX('Lease Cycles'!$HE$8:$HK$8,1,CP10)*(1+INDEX('Lease Cycles'!$GQ$8:$GW$8,1,CP10))^INT(INT((CP$6-INDEX('Lease Cycles'!$GJ$8:$GP$8,1,CP10))/12)/INDEX('Lease Cycles'!$GX$8:$HD$8,1,CP10))/12,0)))</f>
        <v>38666.666666666664</v>
      </c>
      <c r="CQ13" s="28">
        <f>IF(CQ10=0,IF('Lease Cycles'!$F$8&gt;0,'Lease Cycles'!$C$8*'Lease Cycles'!$E$8/12,0),IF(CQ12=1,IF('Lease Cycles'!$AT$8&gt;=9999,'Lease Cycles'!$C$8*INDEX('Lease Cycles'!$CB$8:$CH$8,1,CQ10)*(1+INDEX('Lease Cycles'!$CI$8:$CO$8,1,CQ10))^INT(INT(CQ11/12)/INDEX('Lease Cycles'!$CP$8:$CV$8,1,CQ10))/12,IF(CQ10=1,IF(CQ11&gt;=INDEX('Lease Cycles'!$DK$8:$DQ$8,1,CQ10),IF(CQ$6&gt;='Lease Cycles'!$AZ$8,'Lease Cycles'!$C$8*'Lease Cycles'!$BA$8/12,IF(CQ$6&gt;='Lease Cycles'!$AX$8,'Lease Cycles'!$C$8*'Lease Cycles'!$AY$8/12,IF(CQ$6&gt;='Lease Cycles'!$AV$8,'Lease Cycles'!$C$8*'Lease Cycles'!$AW$8/12,IF(CQ$6&gt;='Lease Cycles'!$AT$8,'Lease Cycles'!$C$8*'Lease Cycles'!$AU$8/12,'Lease Cycles'!$C$8*INDEX('Lease Cycles'!$CB$8:$CH$8,1,CQ10)*(1+INDEX('Lease Cycles'!$CI$8:$CO$8,1,CQ10))^INT(INT(CQ11/12)/INDEX('Lease Cycles'!$CP$8:$CV$8,1,CQ10))/12)))),'Lease Cycles'!$C$8*INDEX('Lease Cycles'!$CB$8:$CH$8,1,CQ10)*(1+INDEX('Lease Cycles'!$CI$8:$CO$8,1,CQ10))^INT(INT(CQ11/12)/INDEX('Lease Cycles'!$CP$8:$CV$8,1,CQ10))/12),IF(INDEX('Lease Cycles'!$EF$8:$EL$8,1,CQ10)=1,IF(AND('Lease Cycles'!$AZ$8&gt;=INDEX('Lease Cycles'!$BG$8:$BM$8,1,CQ10),'Lease Cycles'!$AZ$8&lt;=CQ$6),'Lease Cycles'!$C$8*'Lease Cycles'!$BA$8/12,IF(AND('Lease Cycles'!$AX$8&gt;=INDEX('Lease Cycles'!$BG$8:$BM$8,1,CQ10),'Lease Cycles'!$AX$8&lt;=CQ$6),'Lease Cycles'!$C$8*'Lease Cycles'!$AY$8/12,IF(AND('Lease Cycles'!$AV$8&gt;=INDEX('Lease Cycles'!$BG$8:$BM$8,1,CQ10),'Lease Cycles'!$AV$8&lt;=CQ$6),'Lease Cycles'!$C$8*'Lease Cycles'!$AW$8/12,IF(AND('Lease Cycles'!$AT$8&gt;=INDEX('Lease Cycles'!$BG$8:$BM$8,1,CQ10),'Lease Cycles'!$AT$8&lt;=CQ$6),'Lease Cycles'!$C$8*'Lease Cycles'!$AU$8/12,'Lease Cycles'!$C$8*INDEX('Lease Cycles'!$CB$8:$CH$8,1,CQ10)*(1+INDEX('Lease Cycles'!$CI$8:$CO$8,1,CQ10))^INT(INT(CQ11/12)/INDEX('Lease Cycles'!$CP$8:$CV$8,1,CQ10))/12)))),'Lease Cycles'!$C$8*INDEX('Lease Cycles'!$CB$8:$CH$8,1,CQ10)*(1+INDEX('Lease Cycles'!$CI$8:$CO$8,1,CQ10))^INT(INT(CQ11/12)/INDEX('Lease Cycles'!$CP$8:$CV$8,1,CQ10))/12))),IF('Lease Cycles'!$N$8=1,'Lease Cycles'!$C$8*'Lease Cycles'!$E$8*INDEX('Lease Cycles'!$HE$8:$HK$8,1,CQ10)*(1+INDEX('Lease Cycles'!$GQ$8:$GW$8,1,CQ10))^INT(INT((CQ$6-INDEX('Lease Cycles'!$GJ$8:$GP$8,1,CQ10))/12)/INDEX('Lease Cycles'!$GX$8:$HD$8,1,CQ10))/12,0)))</f>
        <v>38666.666666666664</v>
      </c>
      <c r="CR13" s="28">
        <f>IF(CR10=0,IF('Lease Cycles'!$F$8&gt;0,'Lease Cycles'!$C$8*'Lease Cycles'!$E$8/12,0),IF(CR12=1,IF('Lease Cycles'!$AT$8&gt;=9999,'Lease Cycles'!$C$8*INDEX('Lease Cycles'!$CB$8:$CH$8,1,CR10)*(1+INDEX('Lease Cycles'!$CI$8:$CO$8,1,CR10))^INT(INT(CR11/12)/INDEX('Lease Cycles'!$CP$8:$CV$8,1,CR10))/12,IF(CR10=1,IF(CR11&gt;=INDEX('Lease Cycles'!$DK$8:$DQ$8,1,CR10),IF(CR$6&gt;='Lease Cycles'!$AZ$8,'Lease Cycles'!$C$8*'Lease Cycles'!$BA$8/12,IF(CR$6&gt;='Lease Cycles'!$AX$8,'Lease Cycles'!$C$8*'Lease Cycles'!$AY$8/12,IF(CR$6&gt;='Lease Cycles'!$AV$8,'Lease Cycles'!$C$8*'Lease Cycles'!$AW$8/12,IF(CR$6&gt;='Lease Cycles'!$AT$8,'Lease Cycles'!$C$8*'Lease Cycles'!$AU$8/12,'Lease Cycles'!$C$8*INDEX('Lease Cycles'!$CB$8:$CH$8,1,CR10)*(1+INDEX('Lease Cycles'!$CI$8:$CO$8,1,CR10))^INT(INT(CR11/12)/INDEX('Lease Cycles'!$CP$8:$CV$8,1,CR10))/12)))),'Lease Cycles'!$C$8*INDEX('Lease Cycles'!$CB$8:$CH$8,1,CR10)*(1+INDEX('Lease Cycles'!$CI$8:$CO$8,1,CR10))^INT(INT(CR11/12)/INDEX('Lease Cycles'!$CP$8:$CV$8,1,CR10))/12),IF(INDEX('Lease Cycles'!$EF$8:$EL$8,1,CR10)=1,IF(AND('Lease Cycles'!$AZ$8&gt;=INDEX('Lease Cycles'!$BG$8:$BM$8,1,CR10),'Lease Cycles'!$AZ$8&lt;=CR$6),'Lease Cycles'!$C$8*'Lease Cycles'!$BA$8/12,IF(AND('Lease Cycles'!$AX$8&gt;=INDEX('Lease Cycles'!$BG$8:$BM$8,1,CR10),'Lease Cycles'!$AX$8&lt;=CR$6),'Lease Cycles'!$C$8*'Lease Cycles'!$AY$8/12,IF(AND('Lease Cycles'!$AV$8&gt;=INDEX('Lease Cycles'!$BG$8:$BM$8,1,CR10),'Lease Cycles'!$AV$8&lt;=CR$6),'Lease Cycles'!$C$8*'Lease Cycles'!$AW$8/12,IF(AND('Lease Cycles'!$AT$8&gt;=INDEX('Lease Cycles'!$BG$8:$BM$8,1,CR10),'Lease Cycles'!$AT$8&lt;=CR$6),'Lease Cycles'!$C$8*'Lease Cycles'!$AU$8/12,'Lease Cycles'!$C$8*INDEX('Lease Cycles'!$CB$8:$CH$8,1,CR10)*(1+INDEX('Lease Cycles'!$CI$8:$CO$8,1,CR10))^INT(INT(CR11/12)/INDEX('Lease Cycles'!$CP$8:$CV$8,1,CR10))/12)))),'Lease Cycles'!$C$8*INDEX('Lease Cycles'!$CB$8:$CH$8,1,CR10)*(1+INDEX('Lease Cycles'!$CI$8:$CO$8,1,CR10))^INT(INT(CR11/12)/INDEX('Lease Cycles'!$CP$8:$CV$8,1,CR10))/12))),IF('Lease Cycles'!$N$8=1,'Lease Cycles'!$C$8*'Lease Cycles'!$E$8*INDEX('Lease Cycles'!$HE$8:$HK$8,1,CR10)*(1+INDEX('Lease Cycles'!$GQ$8:$GW$8,1,CR10))^INT(INT((CR$6-INDEX('Lease Cycles'!$GJ$8:$GP$8,1,CR10))/12)/INDEX('Lease Cycles'!$GX$8:$HD$8,1,CR10))/12,0)))</f>
        <v>38666.666666666664</v>
      </c>
      <c r="CS13" s="28">
        <f>IF(CS10=0,IF('Lease Cycles'!$F$8&gt;0,'Lease Cycles'!$C$8*'Lease Cycles'!$E$8/12,0),IF(CS12=1,IF('Lease Cycles'!$AT$8&gt;=9999,'Lease Cycles'!$C$8*INDEX('Lease Cycles'!$CB$8:$CH$8,1,CS10)*(1+INDEX('Lease Cycles'!$CI$8:$CO$8,1,CS10))^INT(INT(CS11/12)/INDEX('Lease Cycles'!$CP$8:$CV$8,1,CS10))/12,IF(CS10=1,IF(CS11&gt;=INDEX('Lease Cycles'!$DK$8:$DQ$8,1,CS10),IF(CS$6&gt;='Lease Cycles'!$AZ$8,'Lease Cycles'!$C$8*'Lease Cycles'!$BA$8/12,IF(CS$6&gt;='Lease Cycles'!$AX$8,'Lease Cycles'!$C$8*'Lease Cycles'!$AY$8/12,IF(CS$6&gt;='Lease Cycles'!$AV$8,'Lease Cycles'!$C$8*'Lease Cycles'!$AW$8/12,IF(CS$6&gt;='Lease Cycles'!$AT$8,'Lease Cycles'!$C$8*'Lease Cycles'!$AU$8/12,'Lease Cycles'!$C$8*INDEX('Lease Cycles'!$CB$8:$CH$8,1,CS10)*(1+INDEX('Lease Cycles'!$CI$8:$CO$8,1,CS10))^INT(INT(CS11/12)/INDEX('Lease Cycles'!$CP$8:$CV$8,1,CS10))/12)))),'Lease Cycles'!$C$8*INDEX('Lease Cycles'!$CB$8:$CH$8,1,CS10)*(1+INDEX('Lease Cycles'!$CI$8:$CO$8,1,CS10))^INT(INT(CS11/12)/INDEX('Lease Cycles'!$CP$8:$CV$8,1,CS10))/12),IF(INDEX('Lease Cycles'!$EF$8:$EL$8,1,CS10)=1,IF(AND('Lease Cycles'!$AZ$8&gt;=INDEX('Lease Cycles'!$BG$8:$BM$8,1,CS10),'Lease Cycles'!$AZ$8&lt;=CS$6),'Lease Cycles'!$C$8*'Lease Cycles'!$BA$8/12,IF(AND('Lease Cycles'!$AX$8&gt;=INDEX('Lease Cycles'!$BG$8:$BM$8,1,CS10),'Lease Cycles'!$AX$8&lt;=CS$6),'Lease Cycles'!$C$8*'Lease Cycles'!$AY$8/12,IF(AND('Lease Cycles'!$AV$8&gt;=INDEX('Lease Cycles'!$BG$8:$BM$8,1,CS10),'Lease Cycles'!$AV$8&lt;=CS$6),'Lease Cycles'!$C$8*'Lease Cycles'!$AW$8/12,IF(AND('Lease Cycles'!$AT$8&gt;=INDEX('Lease Cycles'!$BG$8:$BM$8,1,CS10),'Lease Cycles'!$AT$8&lt;=CS$6),'Lease Cycles'!$C$8*'Lease Cycles'!$AU$8/12,'Lease Cycles'!$C$8*INDEX('Lease Cycles'!$CB$8:$CH$8,1,CS10)*(1+INDEX('Lease Cycles'!$CI$8:$CO$8,1,CS10))^INT(INT(CS11/12)/INDEX('Lease Cycles'!$CP$8:$CV$8,1,CS10))/12)))),'Lease Cycles'!$C$8*INDEX('Lease Cycles'!$CB$8:$CH$8,1,CS10)*(1+INDEX('Lease Cycles'!$CI$8:$CO$8,1,CS10))^INT(INT(CS11/12)/INDEX('Lease Cycles'!$CP$8:$CV$8,1,CS10))/12))),IF('Lease Cycles'!$N$8=1,'Lease Cycles'!$C$8*'Lease Cycles'!$E$8*INDEX('Lease Cycles'!$HE$8:$HK$8,1,CS10)*(1+INDEX('Lease Cycles'!$GQ$8:$GW$8,1,CS10))^INT(INT((CS$6-INDEX('Lease Cycles'!$GJ$8:$GP$8,1,CS10))/12)/INDEX('Lease Cycles'!$GX$8:$HD$8,1,CS10))/12,0)))</f>
        <v>38666.666666666664</v>
      </c>
      <c r="CT13" s="28">
        <f>IF(CT10=0,IF('Lease Cycles'!$F$8&gt;0,'Lease Cycles'!$C$8*'Lease Cycles'!$E$8/12,0),IF(CT12=1,IF('Lease Cycles'!$AT$8&gt;=9999,'Lease Cycles'!$C$8*INDEX('Lease Cycles'!$CB$8:$CH$8,1,CT10)*(1+INDEX('Lease Cycles'!$CI$8:$CO$8,1,CT10))^INT(INT(CT11/12)/INDEX('Lease Cycles'!$CP$8:$CV$8,1,CT10))/12,IF(CT10=1,IF(CT11&gt;=INDEX('Lease Cycles'!$DK$8:$DQ$8,1,CT10),IF(CT$6&gt;='Lease Cycles'!$AZ$8,'Lease Cycles'!$C$8*'Lease Cycles'!$BA$8/12,IF(CT$6&gt;='Lease Cycles'!$AX$8,'Lease Cycles'!$C$8*'Lease Cycles'!$AY$8/12,IF(CT$6&gt;='Lease Cycles'!$AV$8,'Lease Cycles'!$C$8*'Lease Cycles'!$AW$8/12,IF(CT$6&gt;='Lease Cycles'!$AT$8,'Lease Cycles'!$C$8*'Lease Cycles'!$AU$8/12,'Lease Cycles'!$C$8*INDEX('Lease Cycles'!$CB$8:$CH$8,1,CT10)*(1+INDEX('Lease Cycles'!$CI$8:$CO$8,1,CT10))^INT(INT(CT11/12)/INDEX('Lease Cycles'!$CP$8:$CV$8,1,CT10))/12)))),'Lease Cycles'!$C$8*INDEX('Lease Cycles'!$CB$8:$CH$8,1,CT10)*(1+INDEX('Lease Cycles'!$CI$8:$CO$8,1,CT10))^INT(INT(CT11/12)/INDEX('Lease Cycles'!$CP$8:$CV$8,1,CT10))/12),IF(INDEX('Lease Cycles'!$EF$8:$EL$8,1,CT10)=1,IF(AND('Lease Cycles'!$AZ$8&gt;=INDEX('Lease Cycles'!$BG$8:$BM$8,1,CT10),'Lease Cycles'!$AZ$8&lt;=CT$6),'Lease Cycles'!$C$8*'Lease Cycles'!$BA$8/12,IF(AND('Lease Cycles'!$AX$8&gt;=INDEX('Lease Cycles'!$BG$8:$BM$8,1,CT10),'Lease Cycles'!$AX$8&lt;=CT$6),'Lease Cycles'!$C$8*'Lease Cycles'!$AY$8/12,IF(AND('Lease Cycles'!$AV$8&gt;=INDEX('Lease Cycles'!$BG$8:$BM$8,1,CT10),'Lease Cycles'!$AV$8&lt;=CT$6),'Lease Cycles'!$C$8*'Lease Cycles'!$AW$8/12,IF(AND('Lease Cycles'!$AT$8&gt;=INDEX('Lease Cycles'!$BG$8:$BM$8,1,CT10),'Lease Cycles'!$AT$8&lt;=CT$6),'Lease Cycles'!$C$8*'Lease Cycles'!$AU$8/12,'Lease Cycles'!$C$8*INDEX('Lease Cycles'!$CB$8:$CH$8,1,CT10)*(1+INDEX('Lease Cycles'!$CI$8:$CO$8,1,CT10))^INT(INT(CT11/12)/INDEX('Lease Cycles'!$CP$8:$CV$8,1,CT10))/12)))),'Lease Cycles'!$C$8*INDEX('Lease Cycles'!$CB$8:$CH$8,1,CT10)*(1+INDEX('Lease Cycles'!$CI$8:$CO$8,1,CT10))^INT(INT(CT11/12)/INDEX('Lease Cycles'!$CP$8:$CV$8,1,CT10))/12))),IF('Lease Cycles'!$N$8=1,'Lease Cycles'!$C$8*'Lease Cycles'!$E$8*INDEX('Lease Cycles'!$HE$8:$HK$8,1,CT10)*(1+INDEX('Lease Cycles'!$GQ$8:$GW$8,1,CT10))^INT(INT((CT$6-INDEX('Lease Cycles'!$GJ$8:$GP$8,1,CT10))/12)/INDEX('Lease Cycles'!$GX$8:$HD$8,1,CT10))/12,0)))</f>
        <v>38666.666666666664</v>
      </c>
      <c r="CU13" s="28">
        <f>IF(CU10=0,IF('Lease Cycles'!$F$8&gt;0,'Lease Cycles'!$C$8*'Lease Cycles'!$E$8/12,0),IF(CU12=1,IF('Lease Cycles'!$AT$8&gt;=9999,'Lease Cycles'!$C$8*INDEX('Lease Cycles'!$CB$8:$CH$8,1,CU10)*(1+INDEX('Lease Cycles'!$CI$8:$CO$8,1,CU10))^INT(INT(CU11/12)/INDEX('Lease Cycles'!$CP$8:$CV$8,1,CU10))/12,IF(CU10=1,IF(CU11&gt;=INDEX('Lease Cycles'!$DK$8:$DQ$8,1,CU10),IF(CU$6&gt;='Lease Cycles'!$AZ$8,'Lease Cycles'!$C$8*'Lease Cycles'!$BA$8/12,IF(CU$6&gt;='Lease Cycles'!$AX$8,'Lease Cycles'!$C$8*'Lease Cycles'!$AY$8/12,IF(CU$6&gt;='Lease Cycles'!$AV$8,'Lease Cycles'!$C$8*'Lease Cycles'!$AW$8/12,IF(CU$6&gt;='Lease Cycles'!$AT$8,'Lease Cycles'!$C$8*'Lease Cycles'!$AU$8/12,'Lease Cycles'!$C$8*INDEX('Lease Cycles'!$CB$8:$CH$8,1,CU10)*(1+INDEX('Lease Cycles'!$CI$8:$CO$8,1,CU10))^INT(INT(CU11/12)/INDEX('Lease Cycles'!$CP$8:$CV$8,1,CU10))/12)))),'Lease Cycles'!$C$8*INDEX('Lease Cycles'!$CB$8:$CH$8,1,CU10)*(1+INDEX('Lease Cycles'!$CI$8:$CO$8,1,CU10))^INT(INT(CU11/12)/INDEX('Lease Cycles'!$CP$8:$CV$8,1,CU10))/12),IF(INDEX('Lease Cycles'!$EF$8:$EL$8,1,CU10)=1,IF(AND('Lease Cycles'!$AZ$8&gt;=INDEX('Lease Cycles'!$BG$8:$BM$8,1,CU10),'Lease Cycles'!$AZ$8&lt;=CU$6),'Lease Cycles'!$C$8*'Lease Cycles'!$BA$8/12,IF(AND('Lease Cycles'!$AX$8&gt;=INDEX('Lease Cycles'!$BG$8:$BM$8,1,CU10),'Lease Cycles'!$AX$8&lt;=CU$6),'Lease Cycles'!$C$8*'Lease Cycles'!$AY$8/12,IF(AND('Lease Cycles'!$AV$8&gt;=INDEX('Lease Cycles'!$BG$8:$BM$8,1,CU10),'Lease Cycles'!$AV$8&lt;=CU$6),'Lease Cycles'!$C$8*'Lease Cycles'!$AW$8/12,IF(AND('Lease Cycles'!$AT$8&gt;=INDEX('Lease Cycles'!$BG$8:$BM$8,1,CU10),'Lease Cycles'!$AT$8&lt;=CU$6),'Lease Cycles'!$C$8*'Lease Cycles'!$AU$8/12,'Lease Cycles'!$C$8*INDEX('Lease Cycles'!$CB$8:$CH$8,1,CU10)*(1+INDEX('Lease Cycles'!$CI$8:$CO$8,1,CU10))^INT(INT(CU11/12)/INDEX('Lease Cycles'!$CP$8:$CV$8,1,CU10))/12)))),'Lease Cycles'!$C$8*INDEX('Lease Cycles'!$CB$8:$CH$8,1,CU10)*(1+INDEX('Lease Cycles'!$CI$8:$CO$8,1,CU10))^INT(INT(CU11/12)/INDEX('Lease Cycles'!$CP$8:$CV$8,1,CU10))/12))),IF('Lease Cycles'!$N$8=1,'Lease Cycles'!$C$8*'Lease Cycles'!$E$8*INDEX('Lease Cycles'!$HE$8:$HK$8,1,CU10)*(1+INDEX('Lease Cycles'!$GQ$8:$GW$8,1,CU10))^INT(INT((CU$6-INDEX('Lease Cycles'!$GJ$8:$GP$8,1,CU10))/12)/INDEX('Lease Cycles'!$GX$8:$HD$8,1,CU10))/12,0)))</f>
        <v>38666.666666666664</v>
      </c>
      <c r="CV13" s="28">
        <f>IF(CV10=0,IF('Lease Cycles'!$F$8&gt;0,'Lease Cycles'!$C$8*'Lease Cycles'!$E$8/12,0),IF(CV12=1,IF('Lease Cycles'!$AT$8&gt;=9999,'Lease Cycles'!$C$8*INDEX('Lease Cycles'!$CB$8:$CH$8,1,CV10)*(1+INDEX('Lease Cycles'!$CI$8:$CO$8,1,CV10))^INT(INT(CV11/12)/INDEX('Lease Cycles'!$CP$8:$CV$8,1,CV10))/12,IF(CV10=1,IF(CV11&gt;=INDEX('Lease Cycles'!$DK$8:$DQ$8,1,CV10),IF(CV$6&gt;='Lease Cycles'!$AZ$8,'Lease Cycles'!$C$8*'Lease Cycles'!$BA$8/12,IF(CV$6&gt;='Lease Cycles'!$AX$8,'Lease Cycles'!$C$8*'Lease Cycles'!$AY$8/12,IF(CV$6&gt;='Lease Cycles'!$AV$8,'Lease Cycles'!$C$8*'Lease Cycles'!$AW$8/12,IF(CV$6&gt;='Lease Cycles'!$AT$8,'Lease Cycles'!$C$8*'Lease Cycles'!$AU$8/12,'Lease Cycles'!$C$8*INDEX('Lease Cycles'!$CB$8:$CH$8,1,CV10)*(1+INDEX('Lease Cycles'!$CI$8:$CO$8,1,CV10))^INT(INT(CV11/12)/INDEX('Lease Cycles'!$CP$8:$CV$8,1,CV10))/12)))),'Lease Cycles'!$C$8*INDEX('Lease Cycles'!$CB$8:$CH$8,1,CV10)*(1+INDEX('Lease Cycles'!$CI$8:$CO$8,1,CV10))^INT(INT(CV11/12)/INDEX('Lease Cycles'!$CP$8:$CV$8,1,CV10))/12),IF(INDEX('Lease Cycles'!$EF$8:$EL$8,1,CV10)=1,IF(AND('Lease Cycles'!$AZ$8&gt;=INDEX('Lease Cycles'!$BG$8:$BM$8,1,CV10),'Lease Cycles'!$AZ$8&lt;=CV$6),'Lease Cycles'!$C$8*'Lease Cycles'!$BA$8/12,IF(AND('Lease Cycles'!$AX$8&gt;=INDEX('Lease Cycles'!$BG$8:$BM$8,1,CV10),'Lease Cycles'!$AX$8&lt;=CV$6),'Lease Cycles'!$C$8*'Lease Cycles'!$AY$8/12,IF(AND('Lease Cycles'!$AV$8&gt;=INDEX('Lease Cycles'!$BG$8:$BM$8,1,CV10),'Lease Cycles'!$AV$8&lt;=CV$6),'Lease Cycles'!$C$8*'Lease Cycles'!$AW$8/12,IF(AND('Lease Cycles'!$AT$8&gt;=INDEX('Lease Cycles'!$BG$8:$BM$8,1,CV10),'Lease Cycles'!$AT$8&lt;=CV$6),'Lease Cycles'!$C$8*'Lease Cycles'!$AU$8/12,'Lease Cycles'!$C$8*INDEX('Lease Cycles'!$CB$8:$CH$8,1,CV10)*(1+INDEX('Lease Cycles'!$CI$8:$CO$8,1,CV10))^INT(INT(CV11/12)/INDEX('Lease Cycles'!$CP$8:$CV$8,1,CV10))/12)))),'Lease Cycles'!$C$8*INDEX('Lease Cycles'!$CB$8:$CH$8,1,CV10)*(1+INDEX('Lease Cycles'!$CI$8:$CO$8,1,CV10))^INT(INT(CV11/12)/INDEX('Lease Cycles'!$CP$8:$CV$8,1,CV10))/12))),IF('Lease Cycles'!$N$8=1,'Lease Cycles'!$C$8*'Lease Cycles'!$E$8*INDEX('Lease Cycles'!$HE$8:$HK$8,1,CV10)*(1+INDEX('Lease Cycles'!$GQ$8:$GW$8,1,CV10))^INT(INT((CV$6-INDEX('Lease Cycles'!$GJ$8:$GP$8,1,CV10))/12)/INDEX('Lease Cycles'!$GX$8:$HD$8,1,CV10))/12,0)))</f>
        <v>38666.666666666664</v>
      </c>
      <c r="CW13" s="28">
        <f>IF(CW10=0,IF('Lease Cycles'!$F$8&gt;0,'Lease Cycles'!$C$8*'Lease Cycles'!$E$8/12,0),IF(CW12=1,IF('Lease Cycles'!$AT$8&gt;=9999,'Lease Cycles'!$C$8*INDEX('Lease Cycles'!$CB$8:$CH$8,1,CW10)*(1+INDEX('Lease Cycles'!$CI$8:$CO$8,1,CW10))^INT(INT(CW11/12)/INDEX('Lease Cycles'!$CP$8:$CV$8,1,CW10))/12,IF(CW10=1,IF(CW11&gt;=INDEX('Lease Cycles'!$DK$8:$DQ$8,1,CW10),IF(CW$6&gt;='Lease Cycles'!$AZ$8,'Lease Cycles'!$C$8*'Lease Cycles'!$BA$8/12,IF(CW$6&gt;='Lease Cycles'!$AX$8,'Lease Cycles'!$C$8*'Lease Cycles'!$AY$8/12,IF(CW$6&gt;='Lease Cycles'!$AV$8,'Lease Cycles'!$C$8*'Lease Cycles'!$AW$8/12,IF(CW$6&gt;='Lease Cycles'!$AT$8,'Lease Cycles'!$C$8*'Lease Cycles'!$AU$8/12,'Lease Cycles'!$C$8*INDEX('Lease Cycles'!$CB$8:$CH$8,1,CW10)*(1+INDEX('Lease Cycles'!$CI$8:$CO$8,1,CW10))^INT(INT(CW11/12)/INDEX('Lease Cycles'!$CP$8:$CV$8,1,CW10))/12)))),'Lease Cycles'!$C$8*INDEX('Lease Cycles'!$CB$8:$CH$8,1,CW10)*(1+INDEX('Lease Cycles'!$CI$8:$CO$8,1,CW10))^INT(INT(CW11/12)/INDEX('Lease Cycles'!$CP$8:$CV$8,1,CW10))/12),IF(INDEX('Lease Cycles'!$EF$8:$EL$8,1,CW10)=1,IF(AND('Lease Cycles'!$AZ$8&gt;=INDEX('Lease Cycles'!$BG$8:$BM$8,1,CW10),'Lease Cycles'!$AZ$8&lt;=CW$6),'Lease Cycles'!$C$8*'Lease Cycles'!$BA$8/12,IF(AND('Lease Cycles'!$AX$8&gt;=INDEX('Lease Cycles'!$BG$8:$BM$8,1,CW10),'Lease Cycles'!$AX$8&lt;=CW$6),'Lease Cycles'!$C$8*'Lease Cycles'!$AY$8/12,IF(AND('Lease Cycles'!$AV$8&gt;=INDEX('Lease Cycles'!$BG$8:$BM$8,1,CW10),'Lease Cycles'!$AV$8&lt;=CW$6),'Lease Cycles'!$C$8*'Lease Cycles'!$AW$8/12,IF(AND('Lease Cycles'!$AT$8&gt;=INDEX('Lease Cycles'!$BG$8:$BM$8,1,CW10),'Lease Cycles'!$AT$8&lt;=CW$6),'Lease Cycles'!$C$8*'Lease Cycles'!$AU$8/12,'Lease Cycles'!$C$8*INDEX('Lease Cycles'!$CB$8:$CH$8,1,CW10)*(1+INDEX('Lease Cycles'!$CI$8:$CO$8,1,CW10))^INT(INT(CW11/12)/INDEX('Lease Cycles'!$CP$8:$CV$8,1,CW10))/12)))),'Lease Cycles'!$C$8*INDEX('Lease Cycles'!$CB$8:$CH$8,1,CW10)*(1+INDEX('Lease Cycles'!$CI$8:$CO$8,1,CW10))^INT(INT(CW11/12)/INDEX('Lease Cycles'!$CP$8:$CV$8,1,CW10))/12))),IF('Lease Cycles'!$N$8=1,'Lease Cycles'!$C$8*'Lease Cycles'!$E$8*INDEX('Lease Cycles'!$HE$8:$HK$8,1,CW10)*(1+INDEX('Lease Cycles'!$GQ$8:$GW$8,1,CW10))^INT(INT((CW$6-INDEX('Lease Cycles'!$GJ$8:$GP$8,1,CW10))/12)/INDEX('Lease Cycles'!$GX$8:$HD$8,1,CW10))/12,0)))</f>
        <v>38666.666666666664</v>
      </c>
      <c r="CX13" s="28">
        <f>IF(CX10=0,IF('Lease Cycles'!$F$8&gt;0,'Lease Cycles'!$C$8*'Lease Cycles'!$E$8/12,0),IF(CX12=1,IF('Lease Cycles'!$AT$8&gt;=9999,'Lease Cycles'!$C$8*INDEX('Lease Cycles'!$CB$8:$CH$8,1,CX10)*(1+INDEX('Lease Cycles'!$CI$8:$CO$8,1,CX10))^INT(INT(CX11/12)/INDEX('Lease Cycles'!$CP$8:$CV$8,1,CX10))/12,IF(CX10=1,IF(CX11&gt;=INDEX('Lease Cycles'!$DK$8:$DQ$8,1,CX10),IF(CX$6&gt;='Lease Cycles'!$AZ$8,'Lease Cycles'!$C$8*'Lease Cycles'!$BA$8/12,IF(CX$6&gt;='Lease Cycles'!$AX$8,'Lease Cycles'!$C$8*'Lease Cycles'!$AY$8/12,IF(CX$6&gt;='Lease Cycles'!$AV$8,'Lease Cycles'!$C$8*'Lease Cycles'!$AW$8/12,IF(CX$6&gt;='Lease Cycles'!$AT$8,'Lease Cycles'!$C$8*'Lease Cycles'!$AU$8/12,'Lease Cycles'!$C$8*INDEX('Lease Cycles'!$CB$8:$CH$8,1,CX10)*(1+INDEX('Lease Cycles'!$CI$8:$CO$8,1,CX10))^INT(INT(CX11/12)/INDEX('Lease Cycles'!$CP$8:$CV$8,1,CX10))/12)))),'Lease Cycles'!$C$8*INDEX('Lease Cycles'!$CB$8:$CH$8,1,CX10)*(1+INDEX('Lease Cycles'!$CI$8:$CO$8,1,CX10))^INT(INT(CX11/12)/INDEX('Lease Cycles'!$CP$8:$CV$8,1,CX10))/12),IF(INDEX('Lease Cycles'!$EF$8:$EL$8,1,CX10)=1,IF(AND('Lease Cycles'!$AZ$8&gt;=INDEX('Lease Cycles'!$BG$8:$BM$8,1,CX10),'Lease Cycles'!$AZ$8&lt;=CX$6),'Lease Cycles'!$C$8*'Lease Cycles'!$BA$8/12,IF(AND('Lease Cycles'!$AX$8&gt;=INDEX('Lease Cycles'!$BG$8:$BM$8,1,CX10),'Lease Cycles'!$AX$8&lt;=CX$6),'Lease Cycles'!$C$8*'Lease Cycles'!$AY$8/12,IF(AND('Lease Cycles'!$AV$8&gt;=INDEX('Lease Cycles'!$BG$8:$BM$8,1,CX10),'Lease Cycles'!$AV$8&lt;=CX$6),'Lease Cycles'!$C$8*'Lease Cycles'!$AW$8/12,IF(AND('Lease Cycles'!$AT$8&gt;=INDEX('Lease Cycles'!$BG$8:$BM$8,1,CX10),'Lease Cycles'!$AT$8&lt;=CX$6),'Lease Cycles'!$C$8*'Lease Cycles'!$AU$8/12,'Lease Cycles'!$C$8*INDEX('Lease Cycles'!$CB$8:$CH$8,1,CX10)*(1+INDEX('Lease Cycles'!$CI$8:$CO$8,1,CX10))^INT(INT(CX11/12)/INDEX('Lease Cycles'!$CP$8:$CV$8,1,CX10))/12)))),'Lease Cycles'!$C$8*INDEX('Lease Cycles'!$CB$8:$CH$8,1,CX10)*(1+INDEX('Lease Cycles'!$CI$8:$CO$8,1,CX10))^INT(INT(CX11/12)/INDEX('Lease Cycles'!$CP$8:$CV$8,1,CX10))/12))),IF('Lease Cycles'!$N$8=1,'Lease Cycles'!$C$8*'Lease Cycles'!$E$8*INDEX('Lease Cycles'!$HE$8:$HK$8,1,CX10)*(1+INDEX('Lease Cycles'!$GQ$8:$GW$8,1,CX10))^INT(INT((CX$6-INDEX('Lease Cycles'!$GJ$8:$GP$8,1,CX10))/12)/INDEX('Lease Cycles'!$GX$8:$HD$8,1,CX10))/12,0)))</f>
        <v>38666.666666666664</v>
      </c>
      <c r="CY13" s="28">
        <f>IF(CY10=0,IF('Lease Cycles'!$F$8&gt;0,'Lease Cycles'!$C$8*'Lease Cycles'!$E$8/12,0),IF(CY12=1,IF('Lease Cycles'!$AT$8&gt;=9999,'Lease Cycles'!$C$8*INDEX('Lease Cycles'!$CB$8:$CH$8,1,CY10)*(1+INDEX('Lease Cycles'!$CI$8:$CO$8,1,CY10))^INT(INT(CY11/12)/INDEX('Lease Cycles'!$CP$8:$CV$8,1,CY10))/12,IF(CY10=1,IF(CY11&gt;=INDEX('Lease Cycles'!$DK$8:$DQ$8,1,CY10),IF(CY$6&gt;='Lease Cycles'!$AZ$8,'Lease Cycles'!$C$8*'Lease Cycles'!$BA$8/12,IF(CY$6&gt;='Lease Cycles'!$AX$8,'Lease Cycles'!$C$8*'Lease Cycles'!$AY$8/12,IF(CY$6&gt;='Lease Cycles'!$AV$8,'Lease Cycles'!$C$8*'Lease Cycles'!$AW$8/12,IF(CY$6&gt;='Lease Cycles'!$AT$8,'Lease Cycles'!$C$8*'Lease Cycles'!$AU$8/12,'Lease Cycles'!$C$8*INDEX('Lease Cycles'!$CB$8:$CH$8,1,CY10)*(1+INDEX('Lease Cycles'!$CI$8:$CO$8,1,CY10))^INT(INT(CY11/12)/INDEX('Lease Cycles'!$CP$8:$CV$8,1,CY10))/12)))),'Lease Cycles'!$C$8*INDEX('Lease Cycles'!$CB$8:$CH$8,1,CY10)*(1+INDEX('Lease Cycles'!$CI$8:$CO$8,1,CY10))^INT(INT(CY11/12)/INDEX('Lease Cycles'!$CP$8:$CV$8,1,CY10))/12),IF(INDEX('Lease Cycles'!$EF$8:$EL$8,1,CY10)=1,IF(AND('Lease Cycles'!$AZ$8&gt;=INDEX('Lease Cycles'!$BG$8:$BM$8,1,CY10),'Lease Cycles'!$AZ$8&lt;=CY$6),'Lease Cycles'!$C$8*'Lease Cycles'!$BA$8/12,IF(AND('Lease Cycles'!$AX$8&gt;=INDEX('Lease Cycles'!$BG$8:$BM$8,1,CY10),'Lease Cycles'!$AX$8&lt;=CY$6),'Lease Cycles'!$C$8*'Lease Cycles'!$AY$8/12,IF(AND('Lease Cycles'!$AV$8&gt;=INDEX('Lease Cycles'!$BG$8:$BM$8,1,CY10),'Lease Cycles'!$AV$8&lt;=CY$6),'Lease Cycles'!$C$8*'Lease Cycles'!$AW$8/12,IF(AND('Lease Cycles'!$AT$8&gt;=INDEX('Lease Cycles'!$BG$8:$BM$8,1,CY10),'Lease Cycles'!$AT$8&lt;=CY$6),'Lease Cycles'!$C$8*'Lease Cycles'!$AU$8/12,'Lease Cycles'!$C$8*INDEX('Lease Cycles'!$CB$8:$CH$8,1,CY10)*(1+INDEX('Lease Cycles'!$CI$8:$CO$8,1,CY10))^INT(INT(CY11/12)/INDEX('Lease Cycles'!$CP$8:$CV$8,1,CY10))/12)))),'Lease Cycles'!$C$8*INDEX('Lease Cycles'!$CB$8:$CH$8,1,CY10)*(1+INDEX('Lease Cycles'!$CI$8:$CO$8,1,CY10))^INT(INT(CY11/12)/INDEX('Lease Cycles'!$CP$8:$CV$8,1,CY10))/12))),IF('Lease Cycles'!$N$8=1,'Lease Cycles'!$C$8*'Lease Cycles'!$E$8*INDEX('Lease Cycles'!$HE$8:$HK$8,1,CY10)*(1+INDEX('Lease Cycles'!$GQ$8:$GW$8,1,CY10))^INT(INT((CY$6-INDEX('Lease Cycles'!$GJ$8:$GP$8,1,CY10))/12)/INDEX('Lease Cycles'!$GX$8:$HD$8,1,CY10))/12,0)))</f>
        <v>41333.333333333336</v>
      </c>
      <c r="CZ13" s="28">
        <f>IF(CZ10=0,IF('Lease Cycles'!$F$8&gt;0,'Lease Cycles'!$C$8*'Lease Cycles'!$E$8/12,0),IF(CZ12=1,IF('Lease Cycles'!$AT$8&gt;=9999,'Lease Cycles'!$C$8*INDEX('Lease Cycles'!$CB$8:$CH$8,1,CZ10)*(1+INDEX('Lease Cycles'!$CI$8:$CO$8,1,CZ10))^INT(INT(CZ11/12)/INDEX('Lease Cycles'!$CP$8:$CV$8,1,CZ10))/12,IF(CZ10=1,IF(CZ11&gt;=INDEX('Lease Cycles'!$DK$8:$DQ$8,1,CZ10),IF(CZ$6&gt;='Lease Cycles'!$AZ$8,'Lease Cycles'!$C$8*'Lease Cycles'!$BA$8/12,IF(CZ$6&gt;='Lease Cycles'!$AX$8,'Lease Cycles'!$C$8*'Lease Cycles'!$AY$8/12,IF(CZ$6&gt;='Lease Cycles'!$AV$8,'Lease Cycles'!$C$8*'Lease Cycles'!$AW$8/12,IF(CZ$6&gt;='Lease Cycles'!$AT$8,'Lease Cycles'!$C$8*'Lease Cycles'!$AU$8/12,'Lease Cycles'!$C$8*INDEX('Lease Cycles'!$CB$8:$CH$8,1,CZ10)*(1+INDEX('Lease Cycles'!$CI$8:$CO$8,1,CZ10))^INT(INT(CZ11/12)/INDEX('Lease Cycles'!$CP$8:$CV$8,1,CZ10))/12)))),'Lease Cycles'!$C$8*INDEX('Lease Cycles'!$CB$8:$CH$8,1,CZ10)*(1+INDEX('Lease Cycles'!$CI$8:$CO$8,1,CZ10))^INT(INT(CZ11/12)/INDEX('Lease Cycles'!$CP$8:$CV$8,1,CZ10))/12),IF(INDEX('Lease Cycles'!$EF$8:$EL$8,1,CZ10)=1,IF(AND('Lease Cycles'!$AZ$8&gt;=INDEX('Lease Cycles'!$BG$8:$BM$8,1,CZ10),'Lease Cycles'!$AZ$8&lt;=CZ$6),'Lease Cycles'!$C$8*'Lease Cycles'!$BA$8/12,IF(AND('Lease Cycles'!$AX$8&gt;=INDEX('Lease Cycles'!$BG$8:$BM$8,1,CZ10),'Lease Cycles'!$AX$8&lt;=CZ$6),'Lease Cycles'!$C$8*'Lease Cycles'!$AY$8/12,IF(AND('Lease Cycles'!$AV$8&gt;=INDEX('Lease Cycles'!$BG$8:$BM$8,1,CZ10),'Lease Cycles'!$AV$8&lt;=CZ$6),'Lease Cycles'!$C$8*'Lease Cycles'!$AW$8/12,IF(AND('Lease Cycles'!$AT$8&gt;=INDEX('Lease Cycles'!$BG$8:$BM$8,1,CZ10),'Lease Cycles'!$AT$8&lt;=CZ$6),'Lease Cycles'!$C$8*'Lease Cycles'!$AU$8/12,'Lease Cycles'!$C$8*INDEX('Lease Cycles'!$CB$8:$CH$8,1,CZ10)*(1+INDEX('Lease Cycles'!$CI$8:$CO$8,1,CZ10))^INT(INT(CZ11/12)/INDEX('Lease Cycles'!$CP$8:$CV$8,1,CZ10))/12)))),'Lease Cycles'!$C$8*INDEX('Lease Cycles'!$CB$8:$CH$8,1,CZ10)*(1+INDEX('Lease Cycles'!$CI$8:$CO$8,1,CZ10))^INT(INT(CZ11/12)/INDEX('Lease Cycles'!$CP$8:$CV$8,1,CZ10))/12))),IF('Lease Cycles'!$N$8=1,'Lease Cycles'!$C$8*'Lease Cycles'!$E$8*INDEX('Lease Cycles'!$HE$8:$HK$8,1,CZ10)*(1+INDEX('Lease Cycles'!$GQ$8:$GW$8,1,CZ10))^INT(INT((CZ$6-INDEX('Lease Cycles'!$GJ$8:$GP$8,1,CZ10))/12)/INDEX('Lease Cycles'!$GX$8:$HD$8,1,CZ10))/12,0)))</f>
        <v>41333.333333333336</v>
      </c>
      <c r="DA13" s="28">
        <f>IF(DA10=0,IF('Lease Cycles'!$F$8&gt;0,'Lease Cycles'!$C$8*'Lease Cycles'!$E$8/12,0),IF(DA12=1,IF('Lease Cycles'!$AT$8&gt;=9999,'Lease Cycles'!$C$8*INDEX('Lease Cycles'!$CB$8:$CH$8,1,DA10)*(1+INDEX('Lease Cycles'!$CI$8:$CO$8,1,DA10))^INT(INT(DA11/12)/INDEX('Lease Cycles'!$CP$8:$CV$8,1,DA10))/12,IF(DA10=1,IF(DA11&gt;=INDEX('Lease Cycles'!$DK$8:$DQ$8,1,DA10),IF(DA$6&gt;='Lease Cycles'!$AZ$8,'Lease Cycles'!$C$8*'Lease Cycles'!$BA$8/12,IF(DA$6&gt;='Lease Cycles'!$AX$8,'Lease Cycles'!$C$8*'Lease Cycles'!$AY$8/12,IF(DA$6&gt;='Lease Cycles'!$AV$8,'Lease Cycles'!$C$8*'Lease Cycles'!$AW$8/12,IF(DA$6&gt;='Lease Cycles'!$AT$8,'Lease Cycles'!$C$8*'Lease Cycles'!$AU$8/12,'Lease Cycles'!$C$8*INDEX('Lease Cycles'!$CB$8:$CH$8,1,DA10)*(1+INDEX('Lease Cycles'!$CI$8:$CO$8,1,DA10))^INT(INT(DA11/12)/INDEX('Lease Cycles'!$CP$8:$CV$8,1,DA10))/12)))),'Lease Cycles'!$C$8*INDEX('Lease Cycles'!$CB$8:$CH$8,1,DA10)*(1+INDEX('Lease Cycles'!$CI$8:$CO$8,1,DA10))^INT(INT(DA11/12)/INDEX('Lease Cycles'!$CP$8:$CV$8,1,DA10))/12),IF(INDEX('Lease Cycles'!$EF$8:$EL$8,1,DA10)=1,IF(AND('Lease Cycles'!$AZ$8&gt;=INDEX('Lease Cycles'!$BG$8:$BM$8,1,DA10),'Lease Cycles'!$AZ$8&lt;=DA$6),'Lease Cycles'!$C$8*'Lease Cycles'!$BA$8/12,IF(AND('Lease Cycles'!$AX$8&gt;=INDEX('Lease Cycles'!$BG$8:$BM$8,1,DA10),'Lease Cycles'!$AX$8&lt;=DA$6),'Lease Cycles'!$C$8*'Lease Cycles'!$AY$8/12,IF(AND('Lease Cycles'!$AV$8&gt;=INDEX('Lease Cycles'!$BG$8:$BM$8,1,DA10),'Lease Cycles'!$AV$8&lt;=DA$6),'Lease Cycles'!$C$8*'Lease Cycles'!$AW$8/12,IF(AND('Lease Cycles'!$AT$8&gt;=INDEX('Lease Cycles'!$BG$8:$BM$8,1,DA10),'Lease Cycles'!$AT$8&lt;=DA$6),'Lease Cycles'!$C$8*'Lease Cycles'!$AU$8/12,'Lease Cycles'!$C$8*INDEX('Lease Cycles'!$CB$8:$CH$8,1,DA10)*(1+INDEX('Lease Cycles'!$CI$8:$CO$8,1,DA10))^INT(INT(DA11/12)/INDEX('Lease Cycles'!$CP$8:$CV$8,1,DA10))/12)))),'Lease Cycles'!$C$8*INDEX('Lease Cycles'!$CB$8:$CH$8,1,DA10)*(1+INDEX('Lease Cycles'!$CI$8:$CO$8,1,DA10))^INT(INT(DA11/12)/INDEX('Lease Cycles'!$CP$8:$CV$8,1,DA10))/12))),IF('Lease Cycles'!$N$8=1,'Lease Cycles'!$C$8*'Lease Cycles'!$E$8*INDEX('Lease Cycles'!$HE$8:$HK$8,1,DA10)*(1+INDEX('Lease Cycles'!$GQ$8:$GW$8,1,DA10))^INT(INT((DA$6-INDEX('Lease Cycles'!$GJ$8:$GP$8,1,DA10))/12)/INDEX('Lease Cycles'!$GX$8:$HD$8,1,DA10))/12,0)))</f>
        <v>41333.333333333336</v>
      </c>
      <c r="DB13" s="28">
        <f>IF(DB10=0,IF('Lease Cycles'!$F$8&gt;0,'Lease Cycles'!$C$8*'Lease Cycles'!$E$8/12,0),IF(DB12=1,IF('Lease Cycles'!$AT$8&gt;=9999,'Lease Cycles'!$C$8*INDEX('Lease Cycles'!$CB$8:$CH$8,1,DB10)*(1+INDEX('Lease Cycles'!$CI$8:$CO$8,1,DB10))^INT(INT(DB11/12)/INDEX('Lease Cycles'!$CP$8:$CV$8,1,DB10))/12,IF(DB10=1,IF(DB11&gt;=INDEX('Lease Cycles'!$DK$8:$DQ$8,1,DB10),IF(DB$6&gt;='Lease Cycles'!$AZ$8,'Lease Cycles'!$C$8*'Lease Cycles'!$BA$8/12,IF(DB$6&gt;='Lease Cycles'!$AX$8,'Lease Cycles'!$C$8*'Lease Cycles'!$AY$8/12,IF(DB$6&gt;='Lease Cycles'!$AV$8,'Lease Cycles'!$C$8*'Lease Cycles'!$AW$8/12,IF(DB$6&gt;='Lease Cycles'!$AT$8,'Lease Cycles'!$C$8*'Lease Cycles'!$AU$8/12,'Lease Cycles'!$C$8*INDEX('Lease Cycles'!$CB$8:$CH$8,1,DB10)*(1+INDEX('Lease Cycles'!$CI$8:$CO$8,1,DB10))^INT(INT(DB11/12)/INDEX('Lease Cycles'!$CP$8:$CV$8,1,DB10))/12)))),'Lease Cycles'!$C$8*INDEX('Lease Cycles'!$CB$8:$CH$8,1,DB10)*(1+INDEX('Lease Cycles'!$CI$8:$CO$8,1,DB10))^INT(INT(DB11/12)/INDEX('Lease Cycles'!$CP$8:$CV$8,1,DB10))/12),IF(INDEX('Lease Cycles'!$EF$8:$EL$8,1,DB10)=1,IF(AND('Lease Cycles'!$AZ$8&gt;=INDEX('Lease Cycles'!$BG$8:$BM$8,1,DB10),'Lease Cycles'!$AZ$8&lt;=DB$6),'Lease Cycles'!$C$8*'Lease Cycles'!$BA$8/12,IF(AND('Lease Cycles'!$AX$8&gt;=INDEX('Lease Cycles'!$BG$8:$BM$8,1,DB10),'Lease Cycles'!$AX$8&lt;=DB$6),'Lease Cycles'!$C$8*'Lease Cycles'!$AY$8/12,IF(AND('Lease Cycles'!$AV$8&gt;=INDEX('Lease Cycles'!$BG$8:$BM$8,1,DB10),'Lease Cycles'!$AV$8&lt;=DB$6),'Lease Cycles'!$C$8*'Lease Cycles'!$AW$8/12,IF(AND('Lease Cycles'!$AT$8&gt;=INDEX('Lease Cycles'!$BG$8:$BM$8,1,DB10),'Lease Cycles'!$AT$8&lt;=DB$6),'Lease Cycles'!$C$8*'Lease Cycles'!$AU$8/12,'Lease Cycles'!$C$8*INDEX('Lease Cycles'!$CB$8:$CH$8,1,DB10)*(1+INDEX('Lease Cycles'!$CI$8:$CO$8,1,DB10))^INT(INT(DB11/12)/INDEX('Lease Cycles'!$CP$8:$CV$8,1,DB10))/12)))),'Lease Cycles'!$C$8*INDEX('Lease Cycles'!$CB$8:$CH$8,1,DB10)*(1+INDEX('Lease Cycles'!$CI$8:$CO$8,1,DB10))^INT(INT(DB11/12)/INDEX('Lease Cycles'!$CP$8:$CV$8,1,DB10))/12))),IF('Lease Cycles'!$N$8=1,'Lease Cycles'!$C$8*'Lease Cycles'!$E$8*INDEX('Lease Cycles'!$HE$8:$HK$8,1,DB10)*(1+INDEX('Lease Cycles'!$GQ$8:$GW$8,1,DB10))^INT(INT((DB$6-INDEX('Lease Cycles'!$GJ$8:$GP$8,1,DB10))/12)/INDEX('Lease Cycles'!$GX$8:$HD$8,1,DB10))/12,0)))</f>
        <v>41333.333333333336</v>
      </c>
      <c r="DC13" s="28">
        <f>IF(DC10=0,IF('Lease Cycles'!$F$8&gt;0,'Lease Cycles'!$C$8*'Lease Cycles'!$E$8/12,0),IF(DC12=1,IF('Lease Cycles'!$AT$8&gt;=9999,'Lease Cycles'!$C$8*INDEX('Lease Cycles'!$CB$8:$CH$8,1,DC10)*(1+INDEX('Lease Cycles'!$CI$8:$CO$8,1,DC10))^INT(INT(DC11/12)/INDEX('Lease Cycles'!$CP$8:$CV$8,1,DC10))/12,IF(DC10=1,IF(DC11&gt;=INDEX('Lease Cycles'!$DK$8:$DQ$8,1,DC10),IF(DC$6&gt;='Lease Cycles'!$AZ$8,'Lease Cycles'!$C$8*'Lease Cycles'!$BA$8/12,IF(DC$6&gt;='Lease Cycles'!$AX$8,'Lease Cycles'!$C$8*'Lease Cycles'!$AY$8/12,IF(DC$6&gt;='Lease Cycles'!$AV$8,'Lease Cycles'!$C$8*'Lease Cycles'!$AW$8/12,IF(DC$6&gt;='Lease Cycles'!$AT$8,'Lease Cycles'!$C$8*'Lease Cycles'!$AU$8/12,'Lease Cycles'!$C$8*INDEX('Lease Cycles'!$CB$8:$CH$8,1,DC10)*(1+INDEX('Lease Cycles'!$CI$8:$CO$8,1,DC10))^INT(INT(DC11/12)/INDEX('Lease Cycles'!$CP$8:$CV$8,1,DC10))/12)))),'Lease Cycles'!$C$8*INDEX('Lease Cycles'!$CB$8:$CH$8,1,DC10)*(1+INDEX('Lease Cycles'!$CI$8:$CO$8,1,DC10))^INT(INT(DC11/12)/INDEX('Lease Cycles'!$CP$8:$CV$8,1,DC10))/12),IF(INDEX('Lease Cycles'!$EF$8:$EL$8,1,DC10)=1,IF(AND('Lease Cycles'!$AZ$8&gt;=INDEX('Lease Cycles'!$BG$8:$BM$8,1,DC10),'Lease Cycles'!$AZ$8&lt;=DC$6),'Lease Cycles'!$C$8*'Lease Cycles'!$BA$8/12,IF(AND('Lease Cycles'!$AX$8&gt;=INDEX('Lease Cycles'!$BG$8:$BM$8,1,DC10),'Lease Cycles'!$AX$8&lt;=DC$6),'Lease Cycles'!$C$8*'Lease Cycles'!$AY$8/12,IF(AND('Lease Cycles'!$AV$8&gt;=INDEX('Lease Cycles'!$BG$8:$BM$8,1,DC10),'Lease Cycles'!$AV$8&lt;=DC$6),'Lease Cycles'!$C$8*'Lease Cycles'!$AW$8/12,IF(AND('Lease Cycles'!$AT$8&gt;=INDEX('Lease Cycles'!$BG$8:$BM$8,1,DC10),'Lease Cycles'!$AT$8&lt;=DC$6),'Lease Cycles'!$C$8*'Lease Cycles'!$AU$8/12,'Lease Cycles'!$C$8*INDEX('Lease Cycles'!$CB$8:$CH$8,1,DC10)*(1+INDEX('Lease Cycles'!$CI$8:$CO$8,1,DC10))^INT(INT(DC11/12)/INDEX('Lease Cycles'!$CP$8:$CV$8,1,DC10))/12)))),'Lease Cycles'!$C$8*INDEX('Lease Cycles'!$CB$8:$CH$8,1,DC10)*(1+INDEX('Lease Cycles'!$CI$8:$CO$8,1,DC10))^INT(INT(DC11/12)/INDEX('Lease Cycles'!$CP$8:$CV$8,1,DC10))/12))),IF('Lease Cycles'!$N$8=1,'Lease Cycles'!$C$8*'Lease Cycles'!$E$8*INDEX('Lease Cycles'!$HE$8:$HK$8,1,DC10)*(1+INDEX('Lease Cycles'!$GQ$8:$GW$8,1,DC10))^INT(INT((DC$6-INDEX('Lease Cycles'!$GJ$8:$GP$8,1,DC10))/12)/INDEX('Lease Cycles'!$GX$8:$HD$8,1,DC10))/12,0)))</f>
        <v>41333.333333333336</v>
      </c>
      <c r="DD13" s="28">
        <f>IF(DD10=0,IF('Lease Cycles'!$F$8&gt;0,'Lease Cycles'!$C$8*'Lease Cycles'!$E$8/12,0),IF(DD12=1,IF('Lease Cycles'!$AT$8&gt;=9999,'Lease Cycles'!$C$8*INDEX('Lease Cycles'!$CB$8:$CH$8,1,DD10)*(1+INDEX('Lease Cycles'!$CI$8:$CO$8,1,DD10))^INT(INT(DD11/12)/INDEX('Lease Cycles'!$CP$8:$CV$8,1,DD10))/12,IF(DD10=1,IF(DD11&gt;=INDEX('Lease Cycles'!$DK$8:$DQ$8,1,DD10),IF(DD$6&gt;='Lease Cycles'!$AZ$8,'Lease Cycles'!$C$8*'Lease Cycles'!$BA$8/12,IF(DD$6&gt;='Lease Cycles'!$AX$8,'Lease Cycles'!$C$8*'Lease Cycles'!$AY$8/12,IF(DD$6&gt;='Lease Cycles'!$AV$8,'Lease Cycles'!$C$8*'Lease Cycles'!$AW$8/12,IF(DD$6&gt;='Lease Cycles'!$AT$8,'Lease Cycles'!$C$8*'Lease Cycles'!$AU$8/12,'Lease Cycles'!$C$8*INDEX('Lease Cycles'!$CB$8:$CH$8,1,DD10)*(1+INDEX('Lease Cycles'!$CI$8:$CO$8,1,DD10))^INT(INT(DD11/12)/INDEX('Lease Cycles'!$CP$8:$CV$8,1,DD10))/12)))),'Lease Cycles'!$C$8*INDEX('Lease Cycles'!$CB$8:$CH$8,1,DD10)*(1+INDEX('Lease Cycles'!$CI$8:$CO$8,1,DD10))^INT(INT(DD11/12)/INDEX('Lease Cycles'!$CP$8:$CV$8,1,DD10))/12),IF(INDEX('Lease Cycles'!$EF$8:$EL$8,1,DD10)=1,IF(AND('Lease Cycles'!$AZ$8&gt;=INDEX('Lease Cycles'!$BG$8:$BM$8,1,DD10),'Lease Cycles'!$AZ$8&lt;=DD$6),'Lease Cycles'!$C$8*'Lease Cycles'!$BA$8/12,IF(AND('Lease Cycles'!$AX$8&gt;=INDEX('Lease Cycles'!$BG$8:$BM$8,1,DD10),'Lease Cycles'!$AX$8&lt;=DD$6),'Lease Cycles'!$C$8*'Lease Cycles'!$AY$8/12,IF(AND('Lease Cycles'!$AV$8&gt;=INDEX('Lease Cycles'!$BG$8:$BM$8,1,DD10),'Lease Cycles'!$AV$8&lt;=DD$6),'Lease Cycles'!$C$8*'Lease Cycles'!$AW$8/12,IF(AND('Lease Cycles'!$AT$8&gt;=INDEX('Lease Cycles'!$BG$8:$BM$8,1,DD10),'Lease Cycles'!$AT$8&lt;=DD$6),'Lease Cycles'!$C$8*'Lease Cycles'!$AU$8/12,'Lease Cycles'!$C$8*INDEX('Lease Cycles'!$CB$8:$CH$8,1,DD10)*(1+INDEX('Lease Cycles'!$CI$8:$CO$8,1,DD10))^INT(INT(DD11/12)/INDEX('Lease Cycles'!$CP$8:$CV$8,1,DD10))/12)))),'Lease Cycles'!$C$8*INDEX('Lease Cycles'!$CB$8:$CH$8,1,DD10)*(1+INDEX('Lease Cycles'!$CI$8:$CO$8,1,DD10))^INT(INT(DD11/12)/INDEX('Lease Cycles'!$CP$8:$CV$8,1,DD10))/12))),IF('Lease Cycles'!$N$8=1,'Lease Cycles'!$C$8*'Lease Cycles'!$E$8*INDEX('Lease Cycles'!$HE$8:$HK$8,1,DD10)*(1+INDEX('Lease Cycles'!$GQ$8:$GW$8,1,DD10))^INT(INT((DD$6-INDEX('Lease Cycles'!$GJ$8:$GP$8,1,DD10))/12)/INDEX('Lease Cycles'!$GX$8:$HD$8,1,DD10))/12,0)))</f>
        <v>41333.333333333336</v>
      </c>
      <c r="DE13" s="28">
        <f>IF(DE10=0,IF('Lease Cycles'!$F$8&gt;0,'Lease Cycles'!$C$8*'Lease Cycles'!$E$8/12,0),IF(DE12=1,IF('Lease Cycles'!$AT$8&gt;=9999,'Lease Cycles'!$C$8*INDEX('Lease Cycles'!$CB$8:$CH$8,1,DE10)*(1+INDEX('Lease Cycles'!$CI$8:$CO$8,1,DE10))^INT(INT(DE11/12)/INDEX('Lease Cycles'!$CP$8:$CV$8,1,DE10))/12,IF(DE10=1,IF(DE11&gt;=INDEX('Lease Cycles'!$DK$8:$DQ$8,1,DE10),IF(DE$6&gt;='Lease Cycles'!$AZ$8,'Lease Cycles'!$C$8*'Lease Cycles'!$BA$8/12,IF(DE$6&gt;='Lease Cycles'!$AX$8,'Lease Cycles'!$C$8*'Lease Cycles'!$AY$8/12,IF(DE$6&gt;='Lease Cycles'!$AV$8,'Lease Cycles'!$C$8*'Lease Cycles'!$AW$8/12,IF(DE$6&gt;='Lease Cycles'!$AT$8,'Lease Cycles'!$C$8*'Lease Cycles'!$AU$8/12,'Lease Cycles'!$C$8*INDEX('Lease Cycles'!$CB$8:$CH$8,1,DE10)*(1+INDEX('Lease Cycles'!$CI$8:$CO$8,1,DE10))^INT(INT(DE11/12)/INDEX('Lease Cycles'!$CP$8:$CV$8,1,DE10))/12)))),'Lease Cycles'!$C$8*INDEX('Lease Cycles'!$CB$8:$CH$8,1,DE10)*(1+INDEX('Lease Cycles'!$CI$8:$CO$8,1,DE10))^INT(INT(DE11/12)/INDEX('Lease Cycles'!$CP$8:$CV$8,1,DE10))/12),IF(INDEX('Lease Cycles'!$EF$8:$EL$8,1,DE10)=1,IF(AND('Lease Cycles'!$AZ$8&gt;=INDEX('Lease Cycles'!$BG$8:$BM$8,1,DE10),'Lease Cycles'!$AZ$8&lt;=DE$6),'Lease Cycles'!$C$8*'Lease Cycles'!$BA$8/12,IF(AND('Lease Cycles'!$AX$8&gt;=INDEX('Lease Cycles'!$BG$8:$BM$8,1,DE10),'Lease Cycles'!$AX$8&lt;=DE$6),'Lease Cycles'!$C$8*'Lease Cycles'!$AY$8/12,IF(AND('Lease Cycles'!$AV$8&gt;=INDEX('Lease Cycles'!$BG$8:$BM$8,1,DE10),'Lease Cycles'!$AV$8&lt;=DE$6),'Lease Cycles'!$C$8*'Lease Cycles'!$AW$8/12,IF(AND('Lease Cycles'!$AT$8&gt;=INDEX('Lease Cycles'!$BG$8:$BM$8,1,DE10),'Lease Cycles'!$AT$8&lt;=DE$6),'Lease Cycles'!$C$8*'Lease Cycles'!$AU$8/12,'Lease Cycles'!$C$8*INDEX('Lease Cycles'!$CB$8:$CH$8,1,DE10)*(1+INDEX('Lease Cycles'!$CI$8:$CO$8,1,DE10))^INT(INT(DE11/12)/INDEX('Lease Cycles'!$CP$8:$CV$8,1,DE10))/12)))),'Lease Cycles'!$C$8*INDEX('Lease Cycles'!$CB$8:$CH$8,1,DE10)*(1+INDEX('Lease Cycles'!$CI$8:$CO$8,1,DE10))^INT(INT(DE11/12)/INDEX('Lease Cycles'!$CP$8:$CV$8,1,DE10))/12))),IF('Lease Cycles'!$N$8=1,'Lease Cycles'!$C$8*'Lease Cycles'!$E$8*INDEX('Lease Cycles'!$HE$8:$HK$8,1,DE10)*(1+INDEX('Lease Cycles'!$GQ$8:$GW$8,1,DE10))^INT(INT((DE$6-INDEX('Lease Cycles'!$GJ$8:$GP$8,1,DE10))/12)/INDEX('Lease Cycles'!$GX$8:$HD$8,1,DE10))/12,0)))</f>
        <v>41333.333333333336</v>
      </c>
      <c r="DF13" s="28">
        <f>IF(DF10=0,IF('Lease Cycles'!$F$8&gt;0,'Lease Cycles'!$C$8*'Lease Cycles'!$E$8/12,0),IF(DF12=1,IF('Lease Cycles'!$AT$8&gt;=9999,'Lease Cycles'!$C$8*INDEX('Lease Cycles'!$CB$8:$CH$8,1,DF10)*(1+INDEX('Lease Cycles'!$CI$8:$CO$8,1,DF10))^INT(INT(DF11/12)/INDEX('Lease Cycles'!$CP$8:$CV$8,1,DF10))/12,IF(DF10=1,IF(DF11&gt;=INDEX('Lease Cycles'!$DK$8:$DQ$8,1,DF10),IF(DF$6&gt;='Lease Cycles'!$AZ$8,'Lease Cycles'!$C$8*'Lease Cycles'!$BA$8/12,IF(DF$6&gt;='Lease Cycles'!$AX$8,'Lease Cycles'!$C$8*'Lease Cycles'!$AY$8/12,IF(DF$6&gt;='Lease Cycles'!$AV$8,'Lease Cycles'!$C$8*'Lease Cycles'!$AW$8/12,IF(DF$6&gt;='Lease Cycles'!$AT$8,'Lease Cycles'!$C$8*'Lease Cycles'!$AU$8/12,'Lease Cycles'!$C$8*INDEX('Lease Cycles'!$CB$8:$CH$8,1,DF10)*(1+INDEX('Lease Cycles'!$CI$8:$CO$8,1,DF10))^INT(INT(DF11/12)/INDEX('Lease Cycles'!$CP$8:$CV$8,1,DF10))/12)))),'Lease Cycles'!$C$8*INDEX('Lease Cycles'!$CB$8:$CH$8,1,DF10)*(1+INDEX('Lease Cycles'!$CI$8:$CO$8,1,DF10))^INT(INT(DF11/12)/INDEX('Lease Cycles'!$CP$8:$CV$8,1,DF10))/12),IF(INDEX('Lease Cycles'!$EF$8:$EL$8,1,DF10)=1,IF(AND('Lease Cycles'!$AZ$8&gt;=INDEX('Lease Cycles'!$BG$8:$BM$8,1,DF10),'Lease Cycles'!$AZ$8&lt;=DF$6),'Lease Cycles'!$C$8*'Lease Cycles'!$BA$8/12,IF(AND('Lease Cycles'!$AX$8&gt;=INDEX('Lease Cycles'!$BG$8:$BM$8,1,DF10),'Lease Cycles'!$AX$8&lt;=DF$6),'Lease Cycles'!$C$8*'Lease Cycles'!$AY$8/12,IF(AND('Lease Cycles'!$AV$8&gt;=INDEX('Lease Cycles'!$BG$8:$BM$8,1,DF10),'Lease Cycles'!$AV$8&lt;=DF$6),'Lease Cycles'!$C$8*'Lease Cycles'!$AW$8/12,IF(AND('Lease Cycles'!$AT$8&gt;=INDEX('Lease Cycles'!$BG$8:$BM$8,1,DF10),'Lease Cycles'!$AT$8&lt;=DF$6),'Lease Cycles'!$C$8*'Lease Cycles'!$AU$8/12,'Lease Cycles'!$C$8*INDEX('Lease Cycles'!$CB$8:$CH$8,1,DF10)*(1+INDEX('Lease Cycles'!$CI$8:$CO$8,1,DF10))^INT(INT(DF11/12)/INDEX('Lease Cycles'!$CP$8:$CV$8,1,DF10))/12)))),'Lease Cycles'!$C$8*INDEX('Lease Cycles'!$CB$8:$CH$8,1,DF10)*(1+INDEX('Lease Cycles'!$CI$8:$CO$8,1,DF10))^INT(INT(DF11/12)/INDEX('Lease Cycles'!$CP$8:$CV$8,1,DF10))/12))),IF('Lease Cycles'!$N$8=1,'Lease Cycles'!$C$8*'Lease Cycles'!$E$8*INDEX('Lease Cycles'!$HE$8:$HK$8,1,DF10)*(1+INDEX('Lease Cycles'!$GQ$8:$GW$8,1,DF10))^INT(INT((DF$6-INDEX('Lease Cycles'!$GJ$8:$GP$8,1,DF10))/12)/INDEX('Lease Cycles'!$GX$8:$HD$8,1,DF10))/12,0)))</f>
        <v>41333.333333333336</v>
      </c>
      <c r="DG13" s="28">
        <f>IF(DG10=0,IF('Lease Cycles'!$F$8&gt;0,'Lease Cycles'!$C$8*'Lease Cycles'!$E$8/12,0),IF(DG12=1,IF('Lease Cycles'!$AT$8&gt;=9999,'Lease Cycles'!$C$8*INDEX('Lease Cycles'!$CB$8:$CH$8,1,DG10)*(1+INDEX('Lease Cycles'!$CI$8:$CO$8,1,DG10))^INT(INT(DG11/12)/INDEX('Lease Cycles'!$CP$8:$CV$8,1,DG10))/12,IF(DG10=1,IF(DG11&gt;=INDEX('Lease Cycles'!$DK$8:$DQ$8,1,DG10),IF(DG$6&gt;='Lease Cycles'!$AZ$8,'Lease Cycles'!$C$8*'Lease Cycles'!$BA$8/12,IF(DG$6&gt;='Lease Cycles'!$AX$8,'Lease Cycles'!$C$8*'Lease Cycles'!$AY$8/12,IF(DG$6&gt;='Lease Cycles'!$AV$8,'Lease Cycles'!$C$8*'Lease Cycles'!$AW$8/12,IF(DG$6&gt;='Lease Cycles'!$AT$8,'Lease Cycles'!$C$8*'Lease Cycles'!$AU$8/12,'Lease Cycles'!$C$8*INDEX('Lease Cycles'!$CB$8:$CH$8,1,DG10)*(1+INDEX('Lease Cycles'!$CI$8:$CO$8,1,DG10))^INT(INT(DG11/12)/INDEX('Lease Cycles'!$CP$8:$CV$8,1,DG10))/12)))),'Lease Cycles'!$C$8*INDEX('Lease Cycles'!$CB$8:$CH$8,1,DG10)*(1+INDEX('Lease Cycles'!$CI$8:$CO$8,1,DG10))^INT(INT(DG11/12)/INDEX('Lease Cycles'!$CP$8:$CV$8,1,DG10))/12),IF(INDEX('Lease Cycles'!$EF$8:$EL$8,1,DG10)=1,IF(AND('Lease Cycles'!$AZ$8&gt;=INDEX('Lease Cycles'!$BG$8:$BM$8,1,DG10),'Lease Cycles'!$AZ$8&lt;=DG$6),'Lease Cycles'!$C$8*'Lease Cycles'!$BA$8/12,IF(AND('Lease Cycles'!$AX$8&gt;=INDEX('Lease Cycles'!$BG$8:$BM$8,1,DG10),'Lease Cycles'!$AX$8&lt;=DG$6),'Lease Cycles'!$C$8*'Lease Cycles'!$AY$8/12,IF(AND('Lease Cycles'!$AV$8&gt;=INDEX('Lease Cycles'!$BG$8:$BM$8,1,DG10),'Lease Cycles'!$AV$8&lt;=DG$6),'Lease Cycles'!$C$8*'Lease Cycles'!$AW$8/12,IF(AND('Lease Cycles'!$AT$8&gt;=INDEX('Lease Cycles'!$BG$8:$BM$8,1,DG10),'Lease Cycles'!$AT$8&lt;=DG$6),'Lease Cycles'!$C$8*'Lease Cycles'!$AU$8/12,'Lease Cycles'!$C$8*INDEX('Lease Cycles'!$CB$8:$CH$8,1,DG10)*(1+INDEX('Lease Cycles'!$CI$8:$CO$8,1,DG10))^INT(INT(DG11/12)/INDEX('Lease Cycles'!$CP$8:$CV$8,1,DG10))/12)))),'Lease Cycles'!$C$8*INDEX('Lease Cycles'!$CB$8:$CH$8,1,DG10)*(1+INDEX('Lease Cycles'!$CI$8:$CO$8,1,DG10))^INT(INT(DG11/12)/INDEX('Lease Cycles'!$CP$8:$CV$8,1,DG10))/12))),IF('Lease Cycles'!$N$8=1,'Lease Cycles'!$C$8*'Lease Cycles'!$E$8*INDEX('Lease Cycles'!$HE$8:$HK$8,1,DG10)*(1+INDEX('Lease Cycles'!$GQ$8:$GW$8,1,DG10))^INT(INT((DG$6-INDEX('Lease Cycles'!$GJ$8:$GP$8,1,DG10))/12)/INDEX('Lease Cycles'!$GX$8:$HD$8,1,DG10))/12,0)))</f>
        <v>41333.333333333336</v>
      </c>
      <c r="DH13" s="28">
        <f>IF(DH10=0,IF('Lease Cycles'!$F$8&gt;0,'Lease Cycles'!$C$8*'Lease Cycles'!$E$8/12,0),IF(DH12=1,IF('Lease Cycles'!$AT$8&gt;=9999,'Lease Cycles'!$C$8*INDEX('Lease Cycles'!$CB$8:$CH$8,1,DH10)*(1+INDEX('Lease Cycles'!$CI$8:$CO$8,1,DH10))^INT(INT(DH11/12)/INDEX('Lease Cycles'!$CP$8:$CV$8,1,DH10))/12,IF(DH10=1,IF(DH11&gt;=INDEX('Lease Cycles'!$DK$8:$DQ$8,1,DH10),IF(DH$6&gt;='Lease Cycles'!$AZ$8,'Lease Cycles'!$C$8*'Lease Cycles'!$BA$8/12,IF(DH$6&gt;='Lease Cycles'!$AX$8,'Lease Cycles'!$C$8*'Lease Cycles'!$AY$8/12,IF(DH$6&gt;='Lease Cycles'!$AV$8,'Lease Cycles'!$C$8*'Lease Cycles'!$AW$8/12,IF(DH$6&gt;='Lease Cycles'!$AT$8,'Lease Cycles'!$C$8*'Lease Cycles'!$AU$8/12,'Lease Cycles'!$C$8*INDEX('Lease Cycles'!$CB$8:$CH$8,1,DH10)*(1+INDEX('Lease Cycles'!$CI$8:$CO$8,1,DH10))^INT(INT(DH11/12)/INDEX('Lease Cycles'!$CP$8:$CV$8,1,DH10))/12)))),'Lease Cycles'!$C$8*INDEX('Lease Cycles'!$CB$8:$CH$8,1,DH10)*(1+INDEX('Lease Cycles'!$CI$8:$CO$8,1,DH10))^INT(INT(DH11/12)/INDEX('Lease Cycles'!$CP$8:$CV$8,1,DH10))/12),IF(INDEX('Lease Cycles'!$EF$8:$EL$8,1,DH10)=1,IF(AND('Lease Cycles'!$AZ$8&gt;=INDEX('Lease Cycles'!$BG$8:$BM$8,1,DH10),'Lease Cycles'!$AZ$8&lt;=DH$6),'Lease Cycles'!$C$8*'Lease Cycles'!$BA$8/12,IF(AND('Lease Cycles'!$AX$8&gt;=INDEX('Lease Cycles'!$BG$8:$BM$8,1,DH10),'Lease Cycles'!$AX$8&lt;=DH$6),'Lease Cycles'!$C$8*'Lease Cycles'!$AY$8/12,IF(AND('Lease Cycles'!$AV$8&gt;=INDEX('Lease Cycles'!$BG$8:$BM$8,1,DH10),'Lease Cycles'!$AV$8&lt;=DH$6),'Lease Cycles'!$C$8*'Lease Cycles'!$AW$8/12,IF(AND('Lease Cycles'!$AT$8&gt;=INDEX('Lease Cycles'!$BG$8:$BM$8,1,DH10),'Lease Cycles'!$AT$8&lt;=DH$6),'Lease Cycles'!$C$8*'Lease Cycles'!$AU$8/12,'Lease Cycles'!$C$8*INDEX('Lease Cycles'!$CB$8:$CH$8,1,DH10)*(1+INDEX('Lease Cycles'!$CI$8:$CO$8,1,DH10))^INT(INT(DH11/12)/INDEX('Lease Cycles'!$CP$8:$CV$8,1,DH10))/12)))),'Lease Cycles'!$C$8*INDEX('Lease Cycles'!$CB$8:$CH$8,1,DH10)*(1+INDEX('Lease Cycles'!$CI$8:$CO$8,1,DH10))^INT(INT(DH11/12)/INDEX('Lease Cycles'!$CP$8:$CV$8,1,DH10))/12))),IF('Lease Cycles'!$N$8=1,'Lease Cycles'!$C$8*'Lease Cycles'!$E$8*INDEX('Lease Cycles'!$HE$8:$HK$8,1,DH10)*(1+INDEX('Lease Cycles'!$GQ$8:$GW$8,1,DH10))^INT(INT((DH$6-INDEX('Lease Cycles'!$GJ$8:$GP$8,1,DH10))/12)/INDEX('Lease Cycles'!$GX$8:$HD$8,1,DH10))/12,0)))</f>
        <v>41333.333333333336</v>
      </c>
      <c r="DI13" s="28">
        <f>IF(DI10=0,IF('Lease Cycles'!$F$8&gt;0,'Lease Cycles'!$C$8*'Lease Cycles'!$E$8/12,0),IF(DI12=1,IF('Lease Cycles'!$AT$8&gt;=9999,'Lease Cycles'!$C$8*INDEX('Lease Cycles'!$CB$8:$CH$8,1,DI10)*(1+INDEX('Lease Cycles'!$CI$8:$CO$8,1,DI10))^INT(INT(DI11/12)/INDEX('Lease Cycles'!$CP$8:$CV$8,1,DI10))/12,IF(DI10=1,IF(DI11&gt;=INDEX('Lease Cycles'!$DK$8:$DQ$8,1,DI10),IF(DI$6&gt;='Lease Cycles'!$AZ$8,'Lease Cycles'!$C$8*'Lease Cycles'!$BA$8/12,IF(DI$6&gt;='Lease Cycles'!$AX$8,'Lease Cycles'!$C$8*'Lease Cycles'!$AY$8/12,IF(DI$6&gt;='Lease Cycles'!$AV$8,'Lease Cycles'!$C$8*'Lease Cycles'!$AW$8/12,IF(DI$6&gt;='Lease Cycles'!$AT$8,'Lease Cycles'!$C$8*'Lease Cycles'!$AU$8/12,'Lease Cycles'!$C$8*INDEX('Lease Cycles'!$CB$8:$CH$8,1,DI10)*(1+INDEX('Lease Cycles'!$CI$8:$CO$8,1,DI10))^INT(INT(DI11/12)/INDEX('Lease Cycles'!$CP$8:$CV$8,1,DI10))/12)))),'Lease Cycles'!$C$8*INDEX('Lease Cycles'!$CB$8:$CH$8,1,DI10)*(1+INDEX('Lease Cycles'!$CI$8:$CO$8,1,DI10))^INT(INT(DI11/12)/INDEX('Lease Cycles'!$CP$8:$CV$8,1,DI10))/12),IF(INDEX('Lease Cycles'!$EF$8:$EL$8,1,DI10)=1,IF(AND('Lease Cycles'!$AZ$8&gt;=INDEX('Lease Cycles'!$BG$8:$BM$8,1,DI10),'Lease Cycles'!$AZ$8&lt;=DI$6),'Lease Cycles'!$C$8*'Lease Cycles'!$BA$8/12,IF(AND('Lease Cycles'!$AX$8&gt;=INDEX('Lease Cycles'!$BG$8:$BM$8,1,DI10),'Lease Cycles'!$AX$8&lt;=DI$6),'Lease Cycles'!$C$8*'Lease Cycles'!$AY$8/12,IF(AND('Lease Cycles'!$AV$8&gt;=INDEX('Lease Cycles'!$BG$8:$BM$8,1,DI10),'Lease Cycles'!$AV$8&lt;=DI$6),'Lease Cycles'!$C$8*'Lease Cycles'!$AW$8/12,IF(AND('Lease Cycles'!$AT$8&gt;=INDEX('Lease Cycles'!$BG$8:$BM$8,1,DI10),'Lease Cycles'!$AT$8&lt;=DI$6),'Lease Cycles'!$C$8*'Lease Cycles'!$AU$8/12,'Lease Cycles'!$C$8*INDEX('Lease Cycles'!$CB$8:$CH$8,1,DI10)*(1+INDEX('Lease Cycles'!$CI$8:$CO$8,1,DI10))^INT(INT(DI11/12)/INDEX('Lease Cycles'!$CP$8:$CV$8,1,DI10))/12)))),'Lease Cycles'!$C$8*INDEX('Lease Cycles'!$CB$8:$CH$8,1,DI10)*(1+INDEX('Lease Cycles'!$CI$8:$CO$8,1,DI10))^INT(INT(DI11/12)/INDEX('Lease Cycles'!$CP$8:$CV$8,1,DI10))/12))),IF('Lease Cycles'!$N$8=1,'Lease Cycles'!$C$8*'Lease Cycles'!$E$8*INDEX('Lease Cycles'!$HE$8:$HK$8,1,DI10)*(1+INDEX('Lease Cycles'!$GQ$8:$GW$8,1,DI10))^INT(INT((DI$6-INDEX('Lease Cycles'!$GJ$8:$GP$8,1,DI10))/12)/INDEX('Lease Cycles'!$GX$8:$HD$8,1,DI10))/12,0)))</f>
        <v>41333.333333333336</v>
      </c>
      <c r="DJ13" s="28">
        <f>IF(DJ10=0,IF('Lease Cycles'!$F$8&gt;0,'Lease Cycles'!$C$8*'Lease Cycles'!$E$8/12,0),IF(DJ12=1,IF('Lease Cycles'!$AT$8&gt;=9999,'Lease Cycles'!$C$8*INDEX('Lease Cycles'!$CB$8:$CH$8,1,DJ10)*(1+INDEX('Lease Cycles'!$CI$8:$CO$8,1,DJ10))^INT(INT(DJ11/12)/INDEX('Lease Cycles'!$CP$8:$CV$8,1,DJ10))/12,IF(DJ10=1,IF(DJ11&gt;=INDEX('Lease Cycles'!$DK$8:$DQ$8,1,DJ10),IF(DJ$6&gt;='Lease Cycles'!$AZ$8,'Lease Cycles'!$C$8*'Lease Cycles'!$BA$8/12,IF(DJ$6&gt;='Lease Cycles'!$AX$8,'Lease Cycles'!$C$8*'Lease Cycles'!$AY$8/12,IF(DJ$6&gt;='Lease Cycles'!$AV$8,'Lease Cycles'!$C$8*'Lease Cycles'!$AW$8/12,IF(DJ$6&gt;='Lease Cycles'!$AT$8,'Lease Cycles'!$C$8*'Lease Cycles'!$AU$8/12,'Lease Cycles'!$C$8*INDEX('Lease Cycles'!$CB$8:$CH$8,1,DJ10)*(1+INDEX('Lease Cycles'!$CI$8:$CO$8,1,DJ10))^INT(INT(DJ11/12)/INDEX('Lease Cycles'!$CP$8:$CV$8,1,DJ10))/12)))),'Lease Cycles'!$C$8*INDEX('Lease Cycles'!$CB$8:$CH$8,1,DJ10)*(1+INDEX('Lease Cycles'!$CI$8:$CO$8,1,DJ10))^INT(INT(DJ11/12)/INDEX('Lease Cycles'!$CP$8:$CV$8,1,DJ10))/12),IF(INDEX('Lease Cycles'!$EF$8:$EL$8,1,DJ10)=1,IF(AND('Lease Cycles'!$AZ$8&gt;=INDEX('Lease Cycles'!$BG$8:$BM$8,1,DJ10),'Lease Cycles'!$AZ$8&lt;=DJ$6),'Lease Cycles'!$C$8*'Lease Cycles'!$BA$8/12,IF(AND('Lease Cycles'!$AX$8&gt;=INDEX('Lease Cycles'!$BG$8:$BM$8,1,DJ10),'Lease Cycles'!$AX$8&lt;=DJ$6),'Lease Cycles'!$C$8*'Lease Cycles'!$AY$8/12,IF(AND('Lease Cycles'!$AV$8&gt;=INDEX('Lease Cycles'!$BG$8:$BM$8,1,DJ10),'Lease Cycles'!$AV$8&lt;=DJ$6),'Lease Cycles'!$C$8*'Lease Cycles'!$AW$8/12,IF(AND('Lease Cycles'!$AT$8&gt;=INDEX('Lease Cycles'!$BG$8:$BM$8,1,DJ10),'Lease Cycles'!$AT$8&lt;=DJ$6),'Lease Cycles'!$C$8*'Lease Cycles'!$AU$8/12,'Lease Cycles'!$C$8*INDEX('Lease Cycles'!$CB$8:$CH$8,1,DJ10)*(1+INDEX('Lease Cycles'!$CI$8:$CO$8,1,DJ10))^INT(INT(DJ11/12)/INDEX('Lease Cycles'!$CP$8:$CV$8,1,DJ10))/12)))),'Lease Cycles'!$C$8*INDEX('Lease Cycles'!$CB$8:$CH$8,1,DJ10)*(1+INDEX('Lease Cycles'!$CI$8:$CO$8,1,DJ10))^INT(INT(DJ11/12)/INDEX('Lease Cycles'!$CP$8:$CV$8,1,DJ10))/12))),IF('Lease Cycles'!$N$8=1,'Lease Cycles'!$C$8*'Lease Cycles'!$E$8*INDEX('Lease Cycles'!$HE$8:$HK$8,1,DJ10)*(1+INDEX('Lease Cycles'!$GQ$8:$GW$8,1,DJ10))^INT(INT((DJ$6-INDEX('Lease Cycles'!$GJ$8:$GP$8,1,DJ10))/12)/INDEX('Lease Cycles'!$GX$8:$HD$8,1,DJ10))/12,0)))</f>
        <v>41333.333333333336</v>
      </c>
      <c r="DK13" s="28">
        <f>IF(DK10=0,IF('Lease Cycles'!$F$8&gt;0,'Lease Cycles'!$C$8*'Lease Cycles'!$E$8/12,0),IF(DK12=1,IF('Lease Cycles'!$AT$8&gt;=9999,'Lease Cycles'!$C$8*INDEX('Lease Cycles'!$CB$8:$CH$8,1,DK10)*(1+INDEX('Lease Cycles'!$CI$8:$CO$8,1,DK10))^INT(INT(DK11/12)/INDEX('Lease Cycles'!$CP$8:$CV$8,1,DK10))/12,IF(DK10=1,IF(DK11&gt;=INDEX('Lease Cycles'!$DK$8:$DQ$8,1,DK10),IF(DK$6&gt;='Lease Cycles'!$AZ$8,'Lease Cycles'!$C$8*'Lease Cycles'!$BA$8/12,IF(DK$6&gt;='Lease Cycles'!$AX$8,'Lease Cycles'!$C$8*'Lease Cycles'!$AY$8/12,IF(DK$6&gt;='Lease Cycles'!$AV$8,'Lease Cycles'!$C$8*'Lease Cycles'!$AW$8/12,IF(DK$6&gt;='Lease Cycles'!$AT$8,'Lease Cycles'!$C$8*'Lease Cycles'!$AU$8/12,'Lease Cycles'!$C$8*INDEX('Lease Cycles'!$CB$8:$CH$8,1,DK10)*(1+INDEX('Lease Cycles'!$CI$8:$CO$8,1,DK10))^INT(INT(DK11/12)/INDEX('Lease Cycles'!$CP$8:$CV$8,1,DK10))/12)))),'Lease Cycles'!$C$8*INDEX('Lease Cycles'!$CB$8:$CH$8,1,DK10)*(1+INDEX('Lease Cycles'!$CI$8:$CO$8,1,DK10))^INT(INT(DK11/12)/INDEX('Lease Cycles'!$CP$8:$CV$8,1,DK10))/12),IF(INDEX('Lease Cycles'!$EF$8:$EL$8,1,DK10)=1,IF(AND('Lease Cycles'!$AZ$8&gt;=INDEX('Lease Cycles'!$BG$8:$BM$8,1,DK10),'Lease Cycles'!$AZ$8&lt;=DK$6),'Lease Cycles'!$C$8*'Lease Cycles'!$BA$8/12,IF(AND('Lease Cycles'!$AX$8&gt;=INDEX('Lease Cycles'!$BG$8:$BM$8,1,DK10),'Lease Cycles'!$AX$8&lt;=DK$6),'Lease Cycles'!$C$8*'Lease Cycles'!$AY$8/12,IF(AND('Lease Cycles'!$AV$8&gt;=INDEX('Lease Cycles'!$BG$8:$BM$8,1,DK10),'Lease Cycles'!$AV$8&lt;=DK$6),'Lease Cycles'!$C$8*'Lease Cycles'!$AW$8/12,IF(AND('Lease Cycles'!$AT$8&gt;=INDEX('Lease Cycles'!$BG$8:$BM$8,1,DK10),'Lease Cycles'!$AT$8&lt;=DK$6),'Lease Cycles'!$C$8*'Lease Cycles'!$AU$8/12,'Lease Cycles'!$C$8*INDEX('Lease Cycles'!$CB$8:$CH$8,1,DK10)*(1+INDEX('Lease Cycles'!$CI$8:$CO$8,1,DK10))^INT(INT(DK11/12)/INDEX('Lease Cycles'!$CP$8:$CV$8,1,DK10))/12)))),'Lease Cycles'!$C$8*INDEX('Lease Cycles'!$CB$8:$CH$8,1,DK10)*(1+INDEX('Lease Cycles'!$CI$8:$CO$8,1,DK10))^INT(INT(DK11/12)/INDEX('Lease Cycles'!$CP$8:$CV$8,1,DK10))/12))),IF('Lease Cycles'!$N$8=1,'Lease Cycles'!$C$8*'Lease Cycles'!$E$8*INDEX('Lease Cycles'!$HE$8:$HK$8,1,DK10)*(1+INDEX('Lease Cycles'!$GQ$8:$GW$8,1,DK10))^INT(INT((DK$6-INDEX('Lease Cycles'!$GJ$8:$GP$8,1,DK10))/12)/INDEX('Lease Cycles'!$GX$8:$HD$8,1,DK10))/12,0)))</f>
        <v>41333.333333333336</v>
      </c>
      <c r="DL13" s="28">
        <f>IF(DL10=0,IF('Lease Cycles'!$F$8&gt;0,'Lease Cycles'!$C$8*'Lease Cycles'!$E$8/12,0),IF(DL12=1,IF('Lease Cycles'!$AT$8&gt;=9999,'Lease Cycles'!$C$8*INDEX('Lease Cycles'!$CB$8:$CH$8,1,DL10)*(1+INDEX('Lease Cycles'!$CI$8:$CO$8,1,DL10))^INT(INT(DL11/12)/INDEX('Lease Cycles'!$CP$8:$CV$8,1,DL10))/12,IF(DL10=1,IF(DL11&gt;=INDEX('Lease Cycles'!$DK$8:$DQ$8,1,DL10),IF(DL$6&gt;='Lease Cycles'!$AZ$8,'Lease Cycles'!$C$8*'Lease Cycles'!$BA$8/12,IF(DL$6&gt;='Lease Cycles'!$AX$8,'Lease Cycles'!$C$8*'Lease Cycles'!$AY$8/12,IF(DL$6&gt;='Lease Cycles'!$AV$8,'Lease Cycles'!$C$8*'Lease Cycles'!$AW$8/12,IF(DL$6&gt;='Lease Cycles'!$AT$8,'Lease Cycles'!$C$8*'Lease Cycles'!$AU$8/12,'Lease Cycles'!$C$8*INDEX('Lease Cycles'!$CB$8:$CH$8,1,DL10)*(1+INDEX('Lease Cycles'!$CI$8:$CO$8,1,DL10))^INT(INT(DL11/12)/INDEX('Lease Cycles'!$CP$8:$CV$8,1,DL10))/12)))),'Lease Cycles'!$C$8*INDEX('Lease Cycles'!$CB$8:$CH$8,1,DL10)*(1+INDEX('Lease Cycles'!$CI$8:$CO$8,1,DL10))^INT(INT(DL11/12)/INDEX('Lease Cycles'!$CP$8:$CV$8,1,DL10))/12),IF(INDEX('Lease Cycles'!$EF$8:$EL$8,1,DL10)=1,IF(AND('Lease Cycles'!$AZ$8&gt;=INDEX('Lease Cycles'!$BG$8:$BM$8,1,DL10),'Lease Cycles'!$AZ$8&lt;=DL$6),'Lease Cycles'!$C$8*'Lease Cycles'!$BA$8/12,IF(AND('Lease Cycles'!$AX$8&gt;=INDEX('Lease Cycles'!$BG$8:$BM$8,1,DL10),'Lease Cycles'!$AX$8&lt;=DL$6),'Lease Cycles'!$C$8*'Lease Cycles'!$AY$8/12,IF(AND('Lease Cycles'!$AV$8&gt;=INDEX('Lease Cycles'!$BG$8:$BM$8,1,DL10),'Lease Cycles'!$AV$8&lt;=DL$6),'Lease Cycles'!$C$8*'Lease Cycles'!$AW$8/12,IF(AND('Lease Cycles'!$AT$8&gt;=INDEX('Lease Cycles'!$BG$8:$BM$8,1,DL10),'Lease Cycles'!$AT$8&lt;=DL$6),'Lease Cycles'!$C$8*'Lease Cycles'!$AU$8/12,'Lease Cycles'!$C$8*INDEX('Lease Cycles'!$CB$8:$CH$8,1,DL10)*(1+INDEX('Lease Cycles'!$CI$8:$CO$8,1,DL10))^INT(INT(DL11/12)/INDEX('Lease Cycles'!$CP$8:$CV$8,1,DL10))/12)))),'Lease Cycles'!$C$8*INDEX('Lease Cycles'!$CB$8:$CH$8,1,DL10)*(1+INDEX('Lease Cycles'!$CI$8:$CO$8,1,DL10))^INT(INT(DL11/12)/INDEX('Lease Cycles'!$CP$8:$CV$8,1,DL10))/12))),IF('Lease Cycles'!$N$8=1,'Lease Cycles'!$C$8*'Lease Cycles'!$E$8*INDEX('Lease Cycles'!$HE$8:$HK$8,1,DL10)*(1+INDEX('Lease Cycles'!$GQ$8:$GW$8,1,DL10))^INT(INT((DL$6-INDEX('Lease Cycles'!$GJ$8:$GP$8,1,DL10))/12)/INDEX('Lease Cycles'!$GX$8:$HD$8,1,DL10))/12,0)))</f>
        <v>41333.333333333336</v>
      </c>
      <c r="DM13" s="28">
        <f>IF(DM10=0,IF('Lease Cycles'!$F$8&gt;0,'Lease Cycles'!$C$8*'Lease Cycles'!$E$8/12,0),IF(DM12=1,IF('Lease Cycles'!$AT$8&gt;=9999,'Lease Cycles'!$C$8*INDEX('Lease Cycles'!$CB$8:$CH$8,1,DM10)*(1+INDEX('Lease Cycles'!$CI$8:$CO$8,1,DM10))^INT(INT(DM11/12)/INDEX('Lease Cycles'!$CP$8:$CV$8,1,DM10))/12,IF(DM10=1,IF(DM11&gt;=INDEX('Lease Cycles'!$DK$8:$DQ$8,1,DM10),IF(DM$6&gt;='Lease Cycles'!$AZ$8,'Lease Cycles'!$C$8*'Lease Cycles'!$BA$8/12,IF(DM$6&gt;='Lease Cycles'!$AX$8,'Lease Cycles'!$C$8*'Lease Cycles'!$AY$8/12,IF(DM$6&gt;='Lease Cycles'!$AV$8,'Lease Cycles'!$C$8*'Lease Cycles'!$AW$8/12,IF(DM$6&gt;='Lease Cycles'!$AT$8,'Lease Cycles'!$C$8*'Lease Cycles'!$AU$8/12,'Lease Cycles'!$C$8*INDEX('Lease Cycles'!$CB$8:$CH$8,1,DM10)*(1+INDEX('Lease Cycles'!$CI$8:$CO$8,1,DM10))^INT(INT(DM11/12)/INDEX('Lease Cycles'!$CP$8:$CV$8,1,DM10))/12)))),'Lease Cycles'!$C$8*INDEX('Lease Cycles'!$CB$8:$CH$8,1,DM10)*(1+INDEX('Lease Cycles'!$CI$8:$CO$8,1,DM10))^INT(INT(DM11/12)/INDEX('Lease Cycles'!$CP$8:$CV$8,1,DM10))/12),IF(INDEX('Lease Cycles'!$EF$8:$EL$8,1,DM10)=1,IF(AND('Lease Cycles'!$AZ$8&gt;=INDEX('Lease Cycles'!$BG$8:$BM$8,1,DM10),'Lease Cycles'!$AZ$8&lt;=DM$6),'Lease Cycles'!$C$8*'Lease Cycles'!$BA$8/12,IF(AND('Lease Cycles'!$AX$8&gt;=INDEX('Lease Cycles'!$BG$8:$BM$8,1,DM10),'Lease Cycles'!$AX$8&lt;=DM$6),'Lease Cycles'!$C$8*'Lease Cycles'!$AY$8/12,IF(AND('Lease Cycles'!$AV$8&gt;=INDEX('Lease Cycles'!$BG$8:$BM$8,1,DM10),'Lease Cycles'!$AV$8&lt;=DM$6),'Lease Cycles'!$C$8*'Lease Cycles'!$AW$8/12,IF(AND('Lease Cycles'!$AT$8&gt;=INDEX('Lease Cycles'!$BG$8:$BM$8,1,DM10),'Lease Cycles'!$AT$8&lt;=DM$6),'Lease Cycles'!$C$8*'Lease Cycles'!$AU$8/12,'Lease Cycles'!$C$8*INDEX('Lease Cycles'!$CB$8:$CH$8,1,DM10)*(1+INDEX('Lease Cycles'!$CI$8:$CO$8,1,DM10))^INT(INT(DM11/12)/INDEX('Lease Cycles'!$CP$8:$CV$8,1,DM10))/12)))),'Lease Cycles'!$C$8*INDEX('Lease Cycles'!$CB$8:$CH$8,1,DM10)*(1+INDEX('Lease Cycles'!$CI$8:$CO$8,1,DM10))^INT(INT(DM11/12)/INDEX('Lease Cycles'!$CP$8:$CV$8,1,DM10))/12))),IF('Lease Cycles'!$N$8=1,'Lease Cycles'!$C$8*'Lease Cycles'!$E$8*INDEX('Lease Cycles'!$HE$8:$HK$8,1,DM10)*(1+INDEX('Lease Cycles'!$GQ$8:$GW$8,1,DM10))^INT(INT((DM$6-INDEX('Lease Cycles'!$GJ$8:$GP$8,1,DM10))/12)/INDEX('Lease Cycles'!$GX$8:$HD$8,1,DM10))/12,0)))</f>
        <v>41333.333333333336</v>
      </c>
      <c r="DN13" s="28">
        <f>IF(DN10=0,IF('Lease Cycles'!$F$8&gt;0,'Lease Cycles'!$C$8*'Lease Cycles'!$E$8/12,0),IF(DN12=1,IF('Lease Cycles'!$AT$8&gt;=9999,'Lease Cycles'!$C$8*INDEX('Lease Cycles'!$CB$8:$CH$8,1,DN10)*(1+INDEX('Lease Cycles'!$CI$8:$CO$8,1,DN10))^INT(INT(DN11/12)/INDEX('Lease Cycles'!$CP$8:$CV$8,1,DN10))/12,IF(DN10=1,IF(DN11&gt;=INDEX('Lease Cycles'!$DK$8:$DQ$8,1,DN10),IF(DN$6&gt;='Lease Cycles'!$AZ$8,'Lease Cycles'!$C$8*'Lease Cycles'!$BA$8/12,IF(DN$6&gt;='Lease Cycles'!$AX$8,'Lease Cycles'!$C$8*'Lease Cycles'!$AY$8/12,IF(DN$6&gt;='Lease Cycles'!$AV$8,'Lease Cycles'!$C$8*'Lease Cycles'!$AW$8/12,IF(DN$6&gt;='Lease Cycles'!$AT$8,'Lease Cycles'!$C$8*'Lease Cycles'!$AU$8/12,'Lease Cycles'!$C$8*INDEX('Lease Cycles'!$CB$8:$CH$8,1,DN10)*(1+INDEX('Lease Cycles'!$CI$8:$CO$8,1,DN10))^INT(INT(DN11/12)/INDEX('Lease Cycles'!$CP$8:$CV$8,1,DN10))/12)))),'Lease Cycles'!$C$8*INDEX('Lease Cycles'!$CB$8:$CH$8,1,DN10)*(1+INDEX('Lease Cycles'!$CI$8:$CO$8,1,DN10))^INT(INT(DN11/12)/INDEX('Lease Cycles'!$CP$8:$CV$8,1,DN10))/12),IF(INDEX('Lease Cycles'!$EF$8:$EL$8,1,DN10)=1,IF(AND('Lease Cycles'!$AZ$8&gt;=INDEX('Lease Cycles'!$BG$8:$BM$8,1,DN10),'Lease Cycles'!$AZ$8&lt;=DN$6),'Lease Cycles'!$C$8*'Lease Cycles'!$BA$8/12,IF(AND('Lease Cycles'!$AX$8&gt;=INDEX('Lease Cycles'!$BG$8:$BM$8,1,DN10),'Lease Cycles'!$AX$8&lt;=DN$6),'Lease Cycles'!$C$8*'Lease Cycles'!$AY$8/12,IF(AND('Lease Cycles'!$AV$8&gt;=INDEX('Lease Cycles'!$BG$8:$BM$8,1,DN10),'Lease Cycles'!$AV$8&lt;=DN$6),'Lease Cycles'!$C$8*'Lease Cycles'!$AW$8/12,IF(AND('Lease Cycles'!$AT$8&gt;=INDEX('Lease Cycles'!$BG$8:$BM$8,1,DN10),'Lease Cycles'!$AT$8&lt;=DN$6),'Lease Cycles'!$C$8*'Lease Cycles'!$AU$8/12,'Lease Cycles'!$C$8*INDEX('Lease Cycles'!$CB$8:$CH$8,1,DN10)*(1+INDEX('Lease Cycles'!$CI$8:$CO$8,1,DN10))^INT(INT(DN11/12)/INDEX('Lease Cycles'!$CP$8:$CV$8,1,DN10))/12)))),'Lease Cycles'!$C$8*INDEX('Lease Cycles'!$CB$8:$CH$8,1,DN10)*(1+INDEX('Lease Cycles'!$CI$8:$CO$8,1,DN10))^INT(INT(DN11/12)/INDEX('Lease Cycles'!$CP$8:$CV$8,1,DN10))/12))),IF('Lease Cycles'!$N$8=1,'Lease Cycles'!$C$8*'Lease Cycles'!$E$8*INDEX('Lease Cycles'!$HE$8:$HK$8,1,DN10)*(1+INDEX('Lease Cycles'!$GQ$8:$GW$8,1,DN10))^INT(INT((DN$6-INDEX('Lease Cycles'!$GJ$8:$GP$8,1,DN10))/12)/INDEX('Lease Cycles'!$GX$8:$HD$8,1,DN10))/12,0)))</f>
        <v>41333.333333333336</v>
      </c>
      <c r="DO13" s="28">
        <f>IF(DO10=0,IF('Lease Cycles'!$F$8&gt;0,'Lease Cycles'!$C$8*'Lease Cycles'!$E$8/12,0),IF(DO12=1,IF('Lease Cycles'!$AT$8&gt;=9999,'Lease Cycles'!$C$8*INDEX('Lease Cycles'!$CB$8:$CH$8,1,DO10)*(1+INDEX('Lease Cycles'!$CI$8:$CO$8,1,DO10))^INT(INT(DO11/12)/INDEX('Lease Cycles'!$CP$8:$CV$8,1,DO10))/12,IF(DO10=1,IF(DO11&gt;=INDEX('Lease Cycles'!$DK$8:$DQ$8,1,DO10),IF(DO$6&gt;='Lease Cycles'!$AZ$8,'Lease Cycles'!$C$8*'Lease Cycles'!$BA$8/12,IF(DO$6&gt;='Lease Cycles'!$AX$8,'Lease Cycles'!$C$8*'Lease Cycles'!$AY$8/12,IF(DO$6&gt;='Lease Cycles'!$AV$8,'Lease Cycles'!$C$8*'Lease Cycles'!$AW$8/12,IF(DO$6&gt;='Lease Cycles'!$AT$8,'Lease Cycles'!$C$8*'Lease Cycles'!$AU$8/12,'Lease Cycles'!$C$8*INDEX('Lease Cycles'!$CB$8:$CH$8,1,DO10)*(1+INDEX('Lease Cycles'!$CI$8:$CO$8,1,DO10))^INT(INT(DO11/12)/INDEX('Lease Cycles'!$CP$8:$CV$8,1,DO10))/12)))),'Lease Cycles'!$C$8*INDEX('Lease Cycles'!$CB$8:$CH$8,1,DO10)*(1+INDEX('Lease Cycles'!$CI$8:$CO$8,1,DO10))^INT(INT(DO11/12)/INDEX('Lease Cycles'!$CP$8:$CV$8,1,DO10))/12),IF(INDEX('Lease Cycles'!$EF$8:$EL$8,1,DO10)=1,IF(AND('Lease Cycles'!$AZ$8&gt;=INDEX('Lease Cycles'!$BG$8:$BM$8,1,DO10),'Lease Cycles'!$AZ$8&lt;=DO$6),'Lease Cycles'!$C$8*'Lease Cycles'!$BA$8/12,IF(AND('Lease Cycles'!$AX$8&gt;=INDEX('Lease Cycles'!$BG$8:$BM$8,1,DO10),'Lease Cycles'!$AX$8&lt;=DO$6),'Lease Cycles'!$C$8*'Lease Cycles'!$AY$8/12,IF(AND('Lease Cycles'!$AV$8&gt;=INDEX('Lease Cycles'!$BG$8:$BM$8,1,DO10),'Lease Cycles'!$AV$8&lt;=DO$6),'Lease Cycles'!$C$8*'Lease Cycles'!$AW$8/12,IF(AND('Lease Cycles'!$AT$8&gt;=INDEX('Lease Cycles'!$BG$8:$BM$8,1,DO10),'Lease Cycles'!$AT$8&lt;=DO$6),'Lease Cycles'!$C$8*'Lease Cycles'!$AU$8/12,'Lease Cycles'!$C$8*INDEX('Lease Cycles'!$CB$8:$CH$8,1,DO10)*(1+INDEX('Lease Cycles'!$CI$8:$CO$8,1,DO10))^INT(INT(DO11/12)/INDEX('Lease Cycles'!$CP$8:$CV$8,1,DO10))/12)))),'Lease Cycles'!$C$8*INDEX('Lease Cycles'!$CB$8:$CH$8,1,DO10)*(1+INDEX('Lease Cycles'!$CI$8:$CO$8,1,DO10))^INT(INT(DO11/12)/INDEX('Lease Cycles'!$CP$8:$CV$8,1,DO10))/12))),IF('Lease Cycles'!$N$8=1,'Lease Cycles'!$C$8*'Lease Cycles'!$E$8*INDEX('Lease Cycles'!$HE$8:$HK$8,1,DO10)*(1+INDEX('Lease Cycles'!$GQ$8:$GW$8,1,DO10))^INT(INT((DO$6-INDEX('Lease Cycles'!$GJ$8:$GP$8,1,DO10))/12)/INDEX('Lease Cycles'!$GX$8:$HD$8,1,DO10))/12,0)))</f>
        <v>41333.333333333336</v>
      </c>
      <c r="DP13" s="28">
        <f>IF(DP10=0,IF('Lease Cycles'!$F$8&gt;0,'Lease Cycles'!$C$8*'Lease Cycles'!$E$8/12,0),IF(DP12=1,IF('Lease Cycles'!$AT$8&gt;=9999,'Lease Cycles'!$C$8*INDEX('Lease Cycles'!$CB$8:$CH$8,1,DP10)*(1+INDEX('Lease Cycles'!$CI$8:$CO$8,1,DP10))^INT(INT(DP11/12)/INDEX('Lease Cycles'!$CP$8:$CV$8,1,DP10))/12,IF(DP10=1,IF(DP11&gt;=INDEX('Lease Cycles'!$DK$8:$DQ$8,1,DP10),IF(DP$6&gt;='Lease Cycles'!$AZ$8,'Lease Cycles'!$C$8*'Lease Cycles'!$BA$8/12,IF(DP$6&gt;='Lease Cycles'!$AX$8,'Lease Cycles'!$C$8*'Lease Cycles'!$AY$8/12,IF(DP$6&gt;='Lease Cycles'!$AV$8,'Lease Cycles'!$C$8*'Lease Cycles'!$AW$8/12,IF(DP$6&gt;='Lease Cycles'!$AT$8,'Lease Cycles'!$C$8*'Lease Cycles'!$AU$8/12,'Lease Cycles'!$C$8*INDEX('Lease Cycles'!$CB$8:$CH$8,1,DP10)*(1+INDEX('Lease Cycles'!$CI$8:$CO$8,1,DP10))^INT(INT(DP11/12)/INDEX('Lease Cycles'!$CP$8:$CV$8,1,DP10))/12)))),'Lease Cycles'!$C$8*INDEX('Lease Cycles'!$CB$8:$CH$8,1,DP10)*(1+INDEX('Lease Cycles'!$CI$8:$CO$8,1,DP10))^INT(INT(DP11/12)/INDEX('Lease Cycles'!$CP$8:$CV$8,1,DP10))/12),IF(INDEX('Lease Cycles'!$EF$8:$EL$8,1,DP10)=1,IF(AND('Lease Cycles'!$AZ$8&gt;=INDEX('Lease Cycles'!$BG$8:$BM$8,1,DP10),'Lease Cycles'!$AZ$8&lt;=DP$6),'Lease Cycles'!$C$8*'Lease Cycles'!$BA$8/12,IF(AND('Lease Cycles'!$AX$8&gt;=INDEX('Lease Cycles'!$BG$8:$BM$8,1,DP10),'Lease Cycles'!$AX$8&lt;=DP$6),'Lease Cycles'!$C$8*'Lease Cycles'!$AY$8/12,IF(AND('Lease Cycles'!$AV$8&gt;=INDEX('Lease Cycles'!$BG$8:$BM$8,1,DP10),'Lease Cycles'!$AV$8&lt;=DP$6),'Lease Cycles'!$C$8*'Lease Cycles'!$AW$8/12,IF(AND('Lease Cycles'!$AT$8&gt;=INDEX('Lease Cycles'!$BG$8:$BM$8,1,DP10),'Lease Cycles'!$AT$8&lt;=DP$6),'Lease Cycles'!$C$8*'Lease Cycles'!$AU$8/12,'Lease Cycles'!$C$8*INDEX('Lease Cycles'!$CB$8:$CH$8,1,DP10)*(1+INDEX('Lease Cycles'!$CI$8:$CO$8,1,DP10))^INT(INT(DP11/12)/INDEX('Lease Cycles'!$CP$8:$CV$8,1,DP10))/12)))),'Lease Cycles'!$C$8*INDEX('Lease Cycles'!$CB$8:$CH$8,1,DP10)*(1+INDEX('Lease Cycles'!$CI$8:$CO$8,1,DP10))^INT(INT(DP11/12)/INDEX('Lease Cycles'!$CP$8:$CV$8,1,DP10))/12))),IF('Lease Cycles'!$N$8=1,'Lease Cycles'!$C$8*'Lease Cycles'!$E$8*INDEX('Lease Cycles'!$HE$8:$HK$8,1,DP10)*(1+INDEX('Lease Cycles'!$GQ$8:$GW$8,1,DP10))^INT(INT((DP$6-INDEX('Lease Cycles'!$GJ$8:$GP$8,1,DP10))/12)/INDEX('Lease Cycles'!$GX$8:$HD$8,1,DP10))/12,0)))</f>
        <v>41333.333333333336</v>
      </c>
      <c r="DQ13" s="28">
        <f>IF(DQ10=0,IF('Lease Cycles'!$F$8&gt;0,'Lease Cycles'!$C$8*'Lease Cycles'!$E$8/12,0),IF(DQ12=1,IF('Lease Cycles'!$AT$8&gt;=9999,'Lease Cycles'!$C$8*INDEX('Lease Cycles'!$CB$8:$CH$8,1,DQ10)*(1+INDEX('Lease Cycles'!$CI$8:$CO$8,1,DQ10))^INT(INT(DQ11/12)/INDEX('Lease Cycles'!$CP$8:$CV$8,1,DQ10))/12,IF(DQ10=1,IF(DQ11&gt;=INDEX('Lease Cycles'!$DK$8:$DQ$8,1,DQ10),IF(DQ$6&gt;='Lease Cycles'!$AZ$8,'Lease Cycles'!$C$8*'Lease Cycles'!$BA$8/12,IF(DQ$6&gt;='Lease Cycles'!$AX$8,'Lease Cycles'!$C$8*'Lease Cycles'!$AY$8/12,IF(DQ$6&gt;='Lease Cycles'!$AV$8,'Lease Cycles'!$C$8*'Lease Cycles'!$AW$8/12,IF(DQ$6&gt;='Lease Cycles'!$AT$8,'Lease Cycles'!$C$8*'Lease Cycles'!$AU$8/12,'Lease Cycles'!$C$8*INDEX('Lease Cycles'!$CB$8:$CH$8,1,DQ10)*(1+INDEX('Lease Cycles'!$CI$8:$CO$8,1,DQ10))^INT(INT(DQ11/12)/INDEX('Lease Cycles'!$CP$8:$CV$8,1,DQ10))/12)))),'Lease Cycles'!$C$8*INDEX('Lease Cycles'!$CB$8:$CH$8,1,DQ10)*(1+INDEX('Lease Cycles'!$CI$8:$CO$8,1,DQ10))^INT(INT(DQ11/12)/INDEX('Lease Cycles'!$CP$8:$CV$8,1,DQ10))/12),IF(INDEX('Lease Cycles'!$EF$8:$EL$8,1,DQ10)=1,IF(AND('Lease Cycles'!$AZ$8&gt;=INDEX('Lease Cycles'!$BG$8:$BM$8,1,DQ10),'Lease Cycles'!$AZ$8&lt;=DQ$6),'Lease Cycles'!$C$8*'Lease Cycles'!$BA$8/12,IF(AND('Lease Cycles'!$AX$8&gt;=INDEX('Lease Cycles'!$BG$8:$BM$8,1,DQ10),'Lease Cycles'!$AX$8&lt;=DQ$6),'Lease Cycles'!$C$8*'Lease Cycles'!$AY$8/12,IF(AND('Lease Cycles'!$AV$8&gt;=INDEX('Lease Cycles'!$BG$8:$BM$8,1,DQ10),'Lease Cycles'!$AV$8&lt;=DQ$6),'Lease Cycles'!$C$8*'Lease Cycles'!$AW$8/12,IF(AND('Lease Cycles'!$AT$8&gt;=INDEX('Lease Cycles'!$BG$8:$BM$8,1,DQ10),'Lease Cycles'!$AT$8&lt;=DQ$6),'Lease Cycles'!$C$8*'Lease Cycles'!$AU$8/12,'Lease Cycles'!$C$8*INDEX('Lease Cycles'!$CB$8:$CH$8,1,DQ10)*(1+INDEX('Lease Cycles'!$CI$8:$CO$8,1,DQ10))^INT(INT(DQ11/12)/INDEX('Lease Cycles'!$CP$8:$CV$8,1,DQ10))/12)))),'Lease Cycles'!$C$8*INDEX('Lease Cycles'!$CB$8:$CH$8,1,DQ10)*(1+INDEX('Lease Cycles'!$CI$8:$CO$8,1,DQ10))^INT(INT(DQ11/12)/INDEX('Lease Cycles'!$CP$8:$CV$8,1,DQ10))/12))),IF('Lease Cycles'!$N$8=1,'Lease Cycles'!$C$8*'Lease Cycles'!$E$8*INDEX('Lease Cycles'!$HE$8:$HK$8,1,DQ10)*(1+INDEX('Lease Cycles'!$GQ$8:$GW$8,1,DQ10))^INT(INT((DQ$6-INDEX('Lease Cycles'!$GJ$8:$GP$8,1,DQ10))/12)/INDEX('Lease Cycles'!$GX$8:$HD$8,1,DQ10))/12,0)))</f>
        <v>41333.333333333336</v>
      </c>
      <c r="DR13" s="28">
        <f>IF(DR10=0,IF('Lease Cycles'!$F$8&gt;0,'Lease Cycles'!$C$8*'Lease Cycles'!$E$8/12,0),IF(DR12=1,IF('Lease Cycles'!$AT$8&gt;=9999,'Lease Cycles'!$C$8*INDEX('Lease Cycles'!$CB$8:$CH$8,1,DR10)*(1+INDEX('Lease Cycles'!$CI$8:$CO$8,1,DR10))^INT(INT(DR11/12)/INDEX('Lease Cycles'!$CP$8:$CV$8,1,DR10))/12,IF(DR10=1,IF(DR11&gt;=INDEX('Lease Cycles'!$DK$8:$DQ$8,1,DR10),IF(DR$6&gt;='Lease Cycles'!$AZ$8,'Lease Cycles'!$C$8*'Lease Cycles'!$BA$8/12,IF(DR$6&gt;='Lease Cycles'!$AX$8,'Lease Cycles'!$C$8*'Lease Cycles'!$AY$8/12,IF(DR$6&gt;='Lease Cycles'!$AV$8,'Lease Cycles'!$C$8*'Lease Cycles'!$AW$8/12,IF(DR$6&gt;='Lease Cycles'!$AT$8,'Lease Cycles'!$C$8*'Lease Cycles'!$AU$8/12,'Lease Cycles'!$C$8*INDEX('Lease Cycles'!$CB$8:$CH$8,1,DR10)*(1+INDEX('Lease Cycles'!$CI$8:$CO$8,1,DR10))^INT(INT(DR11/12)/INDEX('Lease Cycles'!$CP$8:$CV$8,1,DR10))/12)))),'Lease Cycles'!$C$8*INDEX('Lease Cycles'!$CB$8:$CH$8,1,DR10)*(1+INDEX('Lease Cycles'!$CI$8:$CO$8,1,DR10))^INT(INT(DR11/12)/INDEX('Lease Cycles'!$CP$8:$CV$8,1,DR10))/12),IF(INDEX('Lease Cycles'!$EF$8:$EL$8,1,DR10)=1,IF(AND('Lease Cycles'!$AZ$8&gt;=INDEX('Lease Cycles'!$BG$8:$BM$8,1,DR10),'Lease Cycles'!$AZ$8&lt;=DR$6),'Lease Cycles'!$C$8*'Lease Cycles'!$BA$8/12,IF(AND('Lease Cycles'!$AX$8&gt;=INDEX('Lease Cycles'!$BG$8:$BM$8,1,DR10),'Lease Cycles'!$AX$8&lt;=DR$6),'Lease Cycles'!$C$8*'Lease Cycles'!$AY$8/12,IF(AND('Lease Cycles'!$AV$8&gt;=INDEX('Lease Cycles'!$BG$8:$BM$8,1,DR10),'Lease Cycles'!$AV$8&lt;=DR$6),'Lease Cycles'!$C$8*'Lease Cycles'!$AW$8/12,IF(AND('Lease Cycles'!$AT$8&gt;=INDEX('Lease Cycles'!$BG$8:$BM$8,1,DR10),'Lease Cycles'!$AT$8&lt;=DR$6),'Lease Cycles'!$C$8*'Lease Cycles'!$AU$8/12,'Lease Cycles'!$C$8*INDEX('Lease Cycles'!$CB$8:$CH$8,1,DR10)*(1+INDEX('Lease Cycles'!$CI$8:$CO$8,1,DR10))^INT(INT(DR11/12)/INDEX('Lease Cycles'!$CP$8:$CV$8,1,DR10))/12)))),'Lease Cycles'!$C$8*INDEX('Lease Cycles'!$CB$8:$CH$8,1,DR10)*(1+INDEX('Lease Cycles'!$CI$8:$CO$8,1,DR10))^INT(INT(DR11/12)/INDEX('Lease Cycles'!$CP$8:$CV$8,1,DR10))/12))),IF('Lease Cycles'!$N$8=1,'Lease Cycles'!$C$8*'Lease Cycles'!$E$8*INDEX('Lease Cycles'!$HE$8:$HK$8,1,DR10)*(1+INDEX('Lease Cycles'!$GQ$8:$GW$8,1,DR10))^INT(INT((DR$6-INDEX('Lease Cycles'!$GJ$8:$GP$8,1,DR10))/12)/INDEX('Lease Cycles'!$GX$8:$HD$8,1,DR10))/12,0)))</f>
        <v>41333.333333333336</v>
      </c>
      <c r="DS13" s="28">
        <f>IF(DS10=0,IF('Lease Cycles'!$F$8&gt;0,'Lease Cycles'!$C$8*'Lease Cycles'!$E$8/12,0),IF(DS12=1,IF('Lease Cycles'!$AT$8&gt;=9999,'Lease Cycles'!$C$8*INDEX('Lease Cycles'!$CB$8:$CH$8,1,DS10)*(1+INDEX('Lease Cycles'!$CI$8:$CO$8,1,DS10))^INT(INT(DS11/12)/INDEX('Lease Cycles'!$CP$8:$CV$8,1,DS10))/12,IF(DS10=1,IF(DS11&gt;=INDEX('Lease Cycles'!$DK$8:$DQ$8,1,DS10),IF(DS$6&gt;='Lease Cycles'!$AZ$8,'Lease Cycles'!$C$8*'Lease Cycles'!$BA$8/12,IF(DS$6&gt;='Lease Cycles'!$AX$8,'Lease Cycles'!$C$8*'Lease Cycles'!$AY$8/12,IF(DS$6&gt;='Lease Cycles'!$AV$8,'Lease Cycles'!$C$8*'Lease Cycles'!$AW$8/12,IF(DS$6&gt;='Lease Cycles'!$AT$8,'Lease Cycles'!$C$8*'Lease Cycles'!$AU$8/12,'Lease Cycles'!$C$8*INDEX('Lease Cycles'!$CB$8:$CH$8,1,DS10)*(1+INDEX('Lease Cycles'!$CI$8:$CO$8,1,DS10))^INT(INT(DS11/12)/INDEX('Lease Cycles'!$CP$8:$CV$8,1,DS10))/12)))),'Lease Cycles'!$C$8*INDEX('Lease Cycles'!$CB$8:$CH$8,1,DS10)*(1+INDEX('Lease Cycles'!$CI$8:$CO$8,1,DS10))^INT(INT(DS11/12)/INDEX('Lease Cycles'!$CP$8:$CV$8,1,DS10))/12),IF(INDEX('Lease Cycles'!$EF$8:$EL$8,1,DS10)=1,IF(AND('Lease Cycles'!$AZ$8&gt;=INDEX('Lease Cycles'!$BG$8:$BM$8,1,DS10),'Lease Cycles'!$AZ$8&lt;=DS$6),'Lease Cycles'!$C$8*'Lease Cycles'!$BA$8/12,IF(AND('Lease Cycles'!$AX$8&gt;=INDEX('Lease Cycles'!$BG$8:$BM$8,1,DS10),'Lease Cycles'!$AX$8&lt;=DS$6),'Lease Cycles'!$C$8*'Lease Cycles'!$AY$8/12,IF(AND('Lease Cycles'!$AV$8&gt;=INDEX('Lease Cycles'!$BG$8:$BM$8,1,DS10),'Lease Cycles'!$AV$8&lt;=DS$6),'Lease Cycles'!$C$8*'Lease Cycles'!$AW$8/12,IF(AND('Lease Cycles'!$AT$8&gt;=INDEX('Lease Cycles'!$BG$8:$BM$8,1,DS10),'Lease Cycles'!$AT$8&lt;=DS$6),'Lease Cycles'!$C$8*'Lease Cycles'!$AU$8/12,'Lease Cycles'!$C$8*INDEX('Lease Cycles'!$CB$8:$CH$8,1,DS10)*(1+INDEX('Lease Cycles'!$CI$8:$CO$8,1,DS10))^INT(INT(DS11/12)/INDEX('Lease Cycles'!$CP$8:$CV$8,1,DS10))/12)))),'Lease Cycles'!$C$8*INDEX('Lease Cycles'!$CB$8:$CH$8,1,DS10)*(1+INDEX('Lease Cycles'!$CI$8:$CO$8,1,DS10))^INT(INT(DS11/12)/INDEX('Lease Cycles'!$CP$8:$CV$8,1,DS10))/12))),IF('Lease Cycles'!$N$8=1,'Lease Cycles'!$C$8*'Lease Cycles'!$E$8*INDEX('Lease Cycles'!$HE$8:$HK$8,1,DS10)*(1+INDEX('Lease Cycles'!$GQ$8:$GW$8,1,DS10))^INT(INT((DS$6-INDEX('Lease Cycles'!$GJ$8:$GP$8,1,DS10))/12)/INDEX('Lease Cycles'!$GX$8:$HD$8,1,DS10))/12,0)))</f>
        <v>41333.333333333336</v>
      </c>
      <c r="DT13" s="28">
        <f>IF(DT10=0,IF('Lease Cycles'!$F$8&gt;0,'Lease Cycles'!$C$8*'Lease Cycles'!$E$8/12,0),IF(DT12=1,IF('Lease Cycles'!$AT$8&gt;=9999,'Lease Cycles'!$C$8*INDEX('Lease Cycles'!$CB$8:$CH$8,1,DT10)*(1+INDEX('Lease Cycles'!$CI$8:$CO$8,1,DT10))^INT(INT(DT11/12)/INDEX('Lease Cycles'!$CP$8:$CV$8,1,DT10))/12,IF(DT10=1,IF(DT11&gt;=INDEX('Lease Cycles'!$DK$8:$DQ$8,1,DT10),IF(DT$6&gt;='Lease Cycles'!$AZ$8,'Lease Cycles'!$C$8*'Lease Cycles'!$BA$8/12,IF(DT$6&gt;='Lease Cycles'!$AX$8,'Lease Cycles'!$C$8*'Lease Cycles'!$AY$8/12,IF(DT$6&gt;='Lease Cycles'!$AV$8,'Lease Cycles'!$C$8*'Lease Cycles'!$AW$8/12,IF(DT$6&gt;='Lease Cycles'!$AT$8,'Lease Cycles'!$C$8*'Lease Cycles'!$AU$8/12,'Lease Cycles'!$C$8*INDEX('Lease Cycles'!$CB$8:$CH$8,1,DT10)*(1+INDEX('Lease Cycles'!$CI$8:$CO$8,1,DT10))^INT(INT(DT11/12)/INDEX('Lease Cycles'!$CP$8:$CV$8,1,DT10))/12)))),'Lease Cycles'!$C$8*INDEX('Lease Cycles'!$CB$8:$CH$8,1,DT10)*(1+INDEX('Lease Cycles'!$CI$8:$CO$8,1,DT10))^INT(INT(DT11/12)/INDEX('Lease Cycles'!$CP$8:$CV$8,1,DT10))/12),IF(INDEX('Lease Cycles'!$EF$8:$EL$8,1,DT10)=1,IF(AND('Lease Cycles'!$AZ$8&gt;=INDEX('Lease Cycles'!$BG$8:$BM$8,1,DT10),'Lease Cycles'!$AZ$8&lt;=DT$6),'Lease Cycles'!$C$8*'Lease Cycles'!$BA$8/12,IF(AND('Lease Cycles'!$AX$8&gt;=INDEX('Lease Cycles'!$BG$8:$BM$8,1,DT10),'Lease Cycles'!$AX$8&lt;=DT$6),'Lease Cycles'!$C$8*'Lease Cycles'!$AY$8/12,IF(AND('Lease Cycles'!$AV$8&gt;=INDEX('Lease Cycles'!$BG$8:$BM$8,1,DT10),'Lease Cycles'!$AV$8&lt;=DT$6),'Lease Cycles'!$C$8*'Lease Cycles'!$AW$8/12,IF(AND('Lease Cycles'!$AT$8&gt;=INDEX('Lease Cycles'!$BG$8:$BM$8,1,DT10),'Lease Cycles'!$AT$8&lt;=DT$6),'Lease Cycles'!$C$8*'Lease Cycles'!$AU$8/12,'Lease Cycles'!$C$8*INDEX('Lease Cycles'!$CB$8:$CH$8,1,DT10)*(1+INDEX('Lease Cycles'!$CI$8:$CO$8,1,DT10))^INT(INT(DT11/12)/INDEX('Lease Cycles'!$CP$8:$CV$8,1,DT10))/12)))),'Lease Cycles'!$C$8*INDEX('Lease Cycles'!$CB$8:$CH$8,1,DT10)*(1+INDEX('Lease Cycles'!$CI$8:$CO$8,1,DT10))^INT(INT(DT11/12)/INDEX('Lease Cycles'!$CP$8:$CV$8,1,DT10))/12))),IF('Lease Cycles'!$N$8=1,'Lease Cycles'!$C$8*'Lease Cycles'!$E$8*INDEX('Lease Cycles'!$HE$8:$HK$8,1,DT10)*(1+INDEX('Lease Cycles'!$GQ$8:$GW$8,1,DT10))^INT(INT((DT$6-INDEX('Lease Cycles'!$GJ$8:$GP$8,1,DT10))/12)/INDEX('Lease Cycles'!$GX$8:$HD$8,1,DT10))/12,0)))</f>
        <v>41333.333333333336</v>
      </c>
      <c r="DU13" s="28">
        <f>IF(DU10=0,IF('Lease Cycles'!$F$8&gt;0,'Lease Cycles'!$C$8*'Lease Cycles'!$E$8/12,0),IF(DU12=1,IF('Lease Cycles'!$AT$8&gt;=9999,'Lease Cycles'!$C$8*INDEX('Lease Cycles'!$CB$8:$CH$8,1,DU10)*(1+INDEX('Lease Cycles'!$CI$8:$CO$8,1,DU10))^INT(INT(DU11/12)/INDEX('Lease Cycles'!$CP$8:$CV$8,1,DU10))/12,IF(DU10=1,IF(DU11&gt;=INDEX('Lease Cycles'!$DK$8:$DQ$8,1,DU10),IF(DU$6&gt;='Lease Cycles'!$AZ$8,'Lease Cycles'!$C$8*'Lease Cycles'!$BA$8/12,IF(DU$6&gt;='Lease Cycles'!$AX$8,'Lease Cycles'!$C$8*'Lease Cycles'!$AY$8/12,IF(DU$6&gt;='Lease Cycles'!$AV$8,'Lease Cycles'!$C$8*'Lease Cycles'!$AW$8/12,IF(DU$6&gt;='Lease Cycles'!$AT$8,'Lease Cycles'!$C$8*'Lease Cycles'!$AU$8/12,'Lease Cycles'!$C$8*INDEX('Lease Cycles'!$CB$8:$CH$8,1,DU10)*(1+INDEX('Lease Cycles'!$CI$8:$CO$8,1,DU10))^INT(INT(DU11/12)/INDEX('Lease Cycles'!$CP$8:$CV$8,1,DU10))/12)))),'Lease Cycles'!$C$8*INDEX('Lease Cycles'!$CB$8:$CH$8,1,DU10)*(1+INDEX('Lease Cycles'!$CI$8:$CO$8,1,DU10))^INT(INT(DU11/12)/INDEX('Lease Cycles'!$CP$8:$CV$8,1,DU10))/12),IF(INDEX('Lease Cycles'!$EF$8:$EL$8,1,DU10)=1,IF(AND('Lease Cycles'!$AZ$8&gt;=INDEX('Lease Cycles'!$BG$8:$BM$8,1,DU10),'Lease Cycles'!$AZ$8&lt;=DU$6),'Lease Cycles'!$C$8*'Lease Cycles'!$BA$8/12,IF(AND('Lease Cycles'!$AX$8&gt;=INDEX('Lease Cycles'!$BG$8:$BM$8,1,DU10),'Lease Cycles'!$AX$8&lt;=DU$6),'Lease Cycles'!$C$8*'Lease Cycles'!$AY$8/12,IF(AND('Lease Cycles'!$AV$8&gt;=INDEX('Lease Cycles'!$BG$8:$BM$8,1,DU10),'Lease Cycles'!$AV$8&lt;=DU$6),'Lease Cycles'!$C$8*'Lease Cycles'!$AW$8/12,IF(AND('Lease Cycles'!$AT$8&gt;=INDEX('Lease Cycles'!$BG$8:$BM$8,1,DU10),'Lease Cycles'!$AT$8&lt;=DU$6),'Lease Cycles'!$C$8*'Lease Cycles'!$AU$8/12,'Lease Cycles'!$C$8*INDEX('Lease Cycles'!$CB$8:$CH$8,1,DU10)*(1+INDEX('Lease Cycles'!$CI$8:$CO$8,1,DU10))^INT(INT(DU11/12)/INDEX('Lease Cycles'!$CP$8:$CV$8,1,DU10))/12)))),'Lease Cycles'!$C$8*INDEX('Lease Cycles'!$CB$8:$CH$8,1,DU10)*(1+INDEX('Lease Cycles'!$CI$8:$CO$8,1,DU10))^INT(INT(DU11/12)/INDEX('Lease Cycles'!$CP$8:$CV$8,1,DU10))/12))),IF('Lease Cycles'!$N$8=1,'Lease Cycles'!$C$8*'Lease Cycles'!$E$8*INDEX('Lease Cycles'!$HE$8:$HK$8,1,DU10)*(1+INDEX('Lease Cycles'!$GQ$8:$GW$8,1,DU10))^INT(INT((DU$6-INDEX('Lease Cycles'!$GJ$8:$GP$8,1,DU10))/12)/INDEX('Lease Cycles'!$GX$8:$HD$8,1,DU10))/12,0)))</f>
        <v>41333.333333333336</v>
      </c>
      <c r="DV13" s="28">
        <f>IF(DV10=0,IF('Lease Cycles'!$F$8&gt;0,'Lease Cycles'!$C$8*'Lease Cycles'!$E$8/12,0),IF(DV12=1,IF('Lease Cycles'!$AT$8&gt;=9999,'Lease Cycles'!$C$8*INDEX('Lease Cycles'!$CB$8:$CH$8,1,DV10)*(1+INDEX('Lease Cycles'!$CI$8:$CO$8,1,DV10))^INT(INT(DV11/12)/INDEX('Lease Cycles'!$CP$8:$CV$8,1,DV10))/12,IF(DV10=1,IF(DV11&gt;=INDEX('Lease Cycles'!$DK$8:$DQ$8,1,DV10),IF(DV$6&gt;='Lease Cycles'!$AZ$8,'Lease Cycles'!$C$8*'Lease Cycles'!$BA$8/12,IF(DV$6&gt;='Lease Cycles'!$AX$8,'Lease Cycles'!$C$8*'Lease Cycles'!$AY$8/12,IF(DV$6&gt;='Lease Cycles'!$AV$8,'Lease Cycles'!$C$8*'Lease Cycles'!$AW$8/12,IF(DV$6&gt;='Lease Cycles'!$AT$8,'Lease Cycles'!$C$8*'Lease Cycles'!$AU$8/12,'Lease Cycles'!$C$8*INDEX('Lease Cycles'!$CB$8:$CH$8,1,DV10)*(1+INDEX('Lease Cycles'!$CI$8:$CO$8,1,DV10))^INT(INT(DV11/12)/INDEX('Lease Cycles'!$CP$8:$CV$8,1,DV10))/12)))),'Lease Cycles'!$C$8*INDEX('Lease Cycles'!$CB$8:$CH$8,1,DV10)*(1+INDEX('Lease Cycles'!$CI$8:$CO$8,1,DV10))^INT(INT(DV11/12)/INDEX('Lease Cycles'!$CP$8:$CV$8,1,DV10))/12),IF(INDEX('Lease Cycles'!$EF$8:$EL$8,1,DV10)=1,IF(AND('Lease Cycles'!$AZ$8&gt;=INDEX('Lease Cycles'!$BG$8:$BM$8,1,DV10),'Lease Cycles'!$AZ$8&lt;=DV$6),'Lease Cycles'!$C$8*'Lease Cycles'!$BA$8/12,IF(AND('Lease Cycles'!$AX$8&gt;=INDEX('Lease Cycles'!$BG$8:$BM$8,1,DV10),'Lease Cycles'!$AX$8&lt;=DV$6),'Lease Cycles'!$C$8*'Lease Cycles'!$AY$8/12,IF(AND('Lease Cycles'!$AV$8&gt;=INDEX('Lease Cycles'!$BG$8:$BM$8,1,DV10),'Lease Cycles'!$AV$8&lt;=DV$6),'Lease Cycles'!$C$8*'Lease Cycles'!$AW$8/12,IF(AND('Lease Cycles'!$AT$8&gt;=INDEX('Lease Cycles'!$BG$8:$BM$8,1,DV10),'Lease Cycles'!$AT$8&lt;=DV$6),'Lease Cycles'!$C$8*'Lease Cycles'!$AU$8/12,'Lease Cycles'!$C$8*INDEX('Lease Cycles'!$CB$8:$CH$8,1,DV10)*(1+INDEX('Lease Cycles'!$CI$8:$CO$8,1,DV10))^INT(INT(DV11/12)/INDEX('Lease Cycles'!$CP$8:$CV$8,1,DV10))/12)))),'Lease Cycles'!$C$8*INDEX('Lease Cycles'!$CB$8:$CH$8,1,DV10)*(1+INDEX('Lease Cycles'!$CI$8:$CO$8,1,DV10))^INT(INT(DV11/12)/INDEX('Lease Cycles'!$CP$8:$CV$8,1,DV10))/12))),IF('Lease Cycles'!$N$8=1,'Lease Cycles'!$C$8*'Lease Cycles'!$E$8*INDEX('Lease Cycles'!$HE$8:$HK$8,1,DV10)*(1+INDEX('Lease Cycles'!$GQ$8:$GW$8,1,DV10))^INT(INT((DV$6-INDEX('Lease Cycles'!$GJ$8:$GP$8,1,DV10))/12)/INDEX('Lease Cycles'!$GX$8:$HD$8,1,DV10))/12,0)))</f>
        <v>41333.333333333336</v>
      </c>
      <c r="DW13" s="28">
        <f>IF(DW10=0,IF('Lease Cycles'!$F$8&gt;0,'Lease Cycles'!$C$8*'Lease Cycles'!$E$8/12,0),IF(DW12=1,IF('Lease Cycles'!$AT$8&gt;=9999,'Lease Cycles'!$C$8*INDEX('Lease Cycles'!$CB$8:$CH$8,1,DW10)*(1+INDEX('Lease Cycles'!$CI$8:$CO$8,1,DW10))^INT(INT(DW11/12)/INDEX('Lease Cycles'!$CP$8:$CV$8,1,DW10))/12,IF(DW10=1,IF(DW11&gt;=INDEX('Lease Cycles'!$DK$8:$DQ$8,1,DW10),IF(DW$6&gt;='Lease Cycles'!$AZ$8,'Lease Cycles'!$C$8*'Lease Cycles'!$BA$8/12,IF(DW$6&gt;='Lease Cycles'!$AX$8,'Lease Cycles'!$C$8*'Lease Cycles'!$AY$8/12,IF(DW$6&gt;='Lease Cycles'!$AV$8,'Lease Cycles'!$C$8*'Lease Cycles'!$AW$8/12,IF(DW$6&gt;='Lease Cycles'!$AT$8,'Lease Cycles'!$C$8*'Lease Cycles'!$AU$8/12,'Lease Cycles'!$C$8*INDEX('Lease Cycles'!$CB$8:$CH$8,1,DW10)*(1+INDEX('Lease Cycles'!$CI$8:$CO$8,1,DW10))^INT(INT(DW11/12)/INDEX('Lease Cycles'!$CP$8:$CV$8,1,DW10))/12)))),'Lease Cycles'!$C$8*INDEX('Lease Cycles'!$CB$8:$CH$8,1,DW10)*(1+INDEX('Lease Cycles'!$CI$8:$CO$8,1,DW10))^INT(INT(DW11/12)/INDEX('Lease Cycles'!$CP$8:$CV$8,1,DW10))/12),IF(INDEX('Lease Cycles'!$EF$8:$EL$8,1,DW10)=1,IF(AND('Lease Cycles'!$AZ$8&gt;=INDEX('Lease Cycles'!$BG$8:$BM$8,1,DW10),'Lease Cycles'!$AZ$8&lt;=DW$6),'Lease Cycles'!$C$8*'Lease Cycles'!$BA$8/12,IF(AND('Lease Cycles'!$AX$8&gt;=INDEX('Lease Cycles'!$BG$8:$BM$8,1,DW10),'Lease Cycles'!$AX$8&lt;=DW$6),'Lease Cycles'!$C$8*'Lease Cycles'!$AY$8/12,IF(AND('Lease Cycles'!$AV$8&gt;=INDEX('Lease Cycles'!$BG$8:$BM$8,1,DW10),'Lease Cycles'!$AV$8&lt;=DW$6),'Lease Cycles'!$C$8*'Lease Cycles'!$AW$8/12,IF(AND('Lease Cycles'!$AT$8&gt;=INDEX('Lease Cycles'!$BG$8:$BM$8,1,DW10),'Lease Cycles'!$AT$8&lt;=DW$6),'Lease Cycles'!$C$8*'Lease Cycles'!$AU$8/12,'Lease Cycles'!$C$8*INDEX('Lease Cycles'!$CB$8:$CH$8,1,DW10)*(1+INDEX('Lease Cycles'!$CI$8:$CO$8,1,DW10))^INT(INT(DW11/12)/INDEX('Lease Cycles'!$CP$8:$CV$8,1,DW10))/12)))),'Lease Cycles'!$C$8*INDEX('Lease Cycles'!$CB$8:$CH$8,1,DW10)*(1+INDEX('Lease Cycles'!$CI$8:$CO$8,1,DW10))^INT(INT(DW11/12)/INDEX('Lease Cycles'!$CP$8:$CV$8,1,DW10))/12))),IF('Lease Cycles'!$N$8=1,'Lease Cycles'!$C$8*'Lease Cycles'!$E$8*INDEX('Lease Cycles'!$HE$8:$HK$8,1,DW10)*(1+INDEX('Lease Cycles'!$GQ$8:$GW$8,1,DW10))^INT(INT((DW$6-INDEX('Lease Cycles'!$GJ$8:$GP$8,1,DW10))/12)/INDEX('Lease Cycles'!$GX$8:$HD$8,1,DW10))/12,0)))</f>
        <v>41333.333333333336</v>
      </c>
      <c r="DX13" s="28">
        <f>IF(DX10=0,IF('Lease Cycles'!$F$8&gt;0,'Lease Cycles'!$C$8*'Lease Cycles'!$E$8/12,0),IF(DX12=1,IF('Lease Cycles'!$AT$8&gt;=9999,'Lease Cycles'!$C$8*INDEX('Lease Cycles'!$CB$8:$CH$8,1,DX10)*(1+INDEX('Lease Cycles'!$CI$8:$CO$8,1,DX10))^INT(INT(DX11/12)/INDEX('Lease Cycles'!$CP$8:$CV$8,1,DX10))/12,IF(DX10=1,IF(DX11&gt;=INDEX('Lease Cycles'!$DK$8:$DQ$8,1,DX10),IF(DX$6&gt;='Lease Cycles'!$AZ$8,'Lease Cycles'!$C$8*'Lease Cycles'!$BA$8/12,IF(DX$6&gt;='Lease Cycles'!$AX$8,'Lease Cycles'!$C$8*'Lease Cycles'!$AY$8/12,IF(DX$6&gt;='Lease Cycles'!$AV$8,'Lease Cycles'!$C$8*'Lease Cycles'!$AW$8/12,IF(DX$6&gt;='Lease Cycles'!$AT$8,'Lease Cycles'!$C$8*'Lease Cycles'!$AU$8/12,'Lease Cycles'!$C$8*INDEX('Lease Cycles'!$CB$8:$CH$8,1,DX10)*(1+INDEX('Lease Cycles'!$CI$8:$CO$8,1,DX10))^INT(INT(DX11/12)/INDEX('Lease Cycles'!$CP$8:$CV$8,1,DX10))/12)))),'Lease Cycles'!$C$8*INDEX('Lease Cycles'!$CB$8:$CH$8,1,DX10)*(1+INDEX('Lease Cycles'!$CI$8:$CO$8,1,DX10))^INT(INT(DX11/12)/INDEX('Lease Cycles'!$CP$8:$CV$8,1,DX10))/12),IF(INDEX('Lease Cycles'!$EF$8:$EL$8,1,DX10)=1,IF(AND('Lease Cycles'!$AZ$8&gt;=INDEX('Lease Cycles'!$BG$8:$BM$8,1,DX10),'Lease Cycles'!$AZ$8&lt;=DX$6),'Lease Cycles'!$C$8*'Lease Cycles'!$BA$8/12,IF(AND('Lease Cycles'!$AX$8&gt;=INDEX('Lease Cycles'!$BG$8:$BM$8,1,DX10),'Lease Cycles'!$AX$8&lt;=DX$6),'Lease Cycles'!$C$8*'Lease Cycles'!$AY$8/12,IF(AND('Lease Cycles'!$AV$8&gt;=INDEX('Lease Cycles'!$BG$8:$BM$8,1,DX10),'Lease Cycles'!$AV$8&lt;=DX$6),'Lease Cycles'!$C$8*'Lease Cycles'!$AW$8/12,IF(AND('Lease Cycles'!$AT$8&gt;=INDEX('Lease Cycles'!$BG$8:$BM$8,1,DX10),'Lease Cycles'!$AT$8&lt;=DX$6),'Lease Cycles'!$C$8*'Lease Cycles'!$AU$8/12,'Lease Cycles'!$C$8*INDEX('Lease Cycles'!$CB$8:$CH$8,1,DX10)*(1+INDEX('Lease Cycles'!$CI$8:$CO$8,1,DX10))^INT(INT(DX11/12)/INDEX('Lease Cycles'!$CP$8:$CV$8,1,DX10))/12)))),'Lease Cycles'!$C$8*INDEX('Lease Cycles'!$CB$8:$CH$8,1,DX10)*(1+INDEX('Lease Cycles'!$CI$8:$CO$8,1,DX10))^INT(INT(DX11/12)/INDEX('Lease Cycles'!$CP$8:$CV$8,1,DX10))/12))),IF('Lease Cycles'!$N$8=1,'Lease Cycles'!$C$8*'Lease Cycles'!$E$8*INDEX('Lease Cycles'!$HE$8:$HK$8,1,DX10)*(1+INDEX('Lease Cycles'!$GQ$8:$GW$8,1,DX10))^INT(INT((DX$6-INDEX('Lease Cycles'!$GJ$8:$GP$8,1,DX10))/12)/INDEX('Lease Cycles'!$GX$8:$HD$8,1,DX10))/12,0)))</f>
        <v>41333.333333333336</v>
      </c>
      <c r="DY13" s="28">
        <f>IF(DY10=0,IF('Lease Cycles'!$F$8&gt;0,'Lease Cycles'!$C$8*'Lease Cycles'!$E$8/12,0),IF(DY12=1,IF('Lease Cycles'!$AT$8&gt;=9999,'Lease Cycles'!$C$8*INDEX('Lease Cycles'!$CB$8:$CH$8,1,DY10)*(1+INDEX('Lease Cycles'!$CI$8:$CO$8,1,DY10))^INT(INT(DY11/12)/INDEX('Lease Cycles'!$CP$8:$CV$8,1,DY10))/12,IF(DY10=1,IF(DY11&gt;=INDEX('Lease Cycles'!$DK$8:$DQ$8,1,DY10),IF(DY$6&gt;='Lease Cycles'!$AZ$8,'Lease Cycles'!$C$8*'Lease Cycles'!$BA$8/12,IF(DY$6&gt;='Lease Cycles'!$AX$8,'Lease Cycles'!$C$8*'Lease Cycles'!$AY$8/12,IF(DY$6&gt;='Lease Cycles'!$AV$8,'Lease Cycles'!$C$8*'Lease Cycles'!$AW$8/12,IF(DY$6&gt;='Lease Cycles'!$AT$8,'Lease Cycles'!$C$8*'Lease Cycles'!$AU$8/12,'Lease Cycles'!$C$8*INDEX('Lease Cycles'!$CB$8:$CH$8,1,DY10)*(1+INDEX('Lease Cycles'!$CI$8:$CO$8,1,DY10))^INT(INT(DY11/12)/INDEX('Lease Cycles'!$CP$8:$CV$8,1,DY10))/12)))),'Lease Cycles'!$C$8*INDEX('Lease Cycles'!$CB$8:$CH$8,1,DY10)*(1+INDEX('Lease Cycles'!$CI$8:$CO$8,1,DY10))^INT(INT(DY11/12)/INDEX('Lease Cycles'!$CP$8:$CV$8,1,DY10))/12),IF(INDEX('Lease Cycles'!$EF$8:$EL$8,1,DY10)=1,IF(AND('Lease Cycles'!$AZ$8&gt;=INDEX('Lease Cycles'!$BG$8:$BM$8,1,DY10),'Lease Cycles'!$AZ$8&lt;=DY$6),'Lease Cycles'!$C$8*'Lease Cycles'!$BA$8/12,IF(AND('Lease Cycles'!$AX$8&gt;=INDEX('Lease Cycles'!$BG$8:$BM$8,1,DY10),'Lease Cycles'!$AX$8&lt;=DY$6),'Lease Cycles'!$C$8*'Lease Cycles'!$AY$8/12,IF(AND('Lease Cycles'!$AV$8&gt;=INDEX('Lease Cycles'!$BG$8:$BM$8,1,DY10),'Lease Cycles'!$AV$8&lt;=DY$6),'Lease Cycles'!$C$8*'Lease Cycles'!$AW$8/12,IF(AND('Lease Cycles'!$AT$8&gt;=INDEX('Lease Cycles'!$BG$8:$BM$8,1,DY10),'Lease Cycles'!$AT$8&lt;=DY$6),'Lease Cycles'!$C$8*'Lease Cycles'!$AU$8/12,'Lease Cycles'!$C$8*INDEX('Lease Cycles'!$CB$8:$CH$8,1,DY10)*(1+INDEX('Lease Cycles'!$CI$8:$CO$8,1,DY10))^INT(INT(DY11/12)/INDEX('Lease Cycles'!$CP$8:$CV$8,1,DY10))/12)))),'Lease Cycles'!$C$8*INDEX('Lease Cycles'!$CB$8:$CH$8,1,DY10)*(1+INDEX('Lease Cycles'!$CI$8:$CO$8,1,DY10))^INT(INT(DY11/12)/INDEX('Lease Cycles'!$CP$8:$CV$8,1,DY10))/12))),IF('Lease Cycles'!$N$8=1,'Lease Cycles'!$C$8*'Lease Cycles'!$E$8*INDEX('Lease Cycles'!$HE$8:$HK$8,1,DY10)*(1+INDEX('Lease Cycles'!$GQ$8:$GW$8,1,DY10))^INT(INT((DY$6-INDEX('Lease Cycles'!$GJ$8:$GP$8,1,DY10))/12)/INDEX('Lease Cycles'!$GX$8:$HD$8,1,DY10))/12,0)))</f>
        <v>41333.333333333336</v>
      </c>
      <c r="DZ13" s="28">
        <f>IF(DZ10=0,IF('Lease Cycles'!$F$8&gt;0,'Lease Cycles'!$C$8*'Lease Cycles'!$E$8/12,0),IF(DZ12=1,IF('Lease Cycles'!$AT$8&gt;=9999,'Lease Cycles'!$C$8*INDEX('Lease Cycles'!$CB$8:$CH$8,1,DZ10)*(1+INDEX('Lease Cycles'!$CI$8:$CO$8,1,DZ10))^INT(INT(DZ11/12)/INDEX('Lease Cycles'!$CP$8:$CV$8,1,DZ10))/12,IF(DZ10=1,IF(DZ11&gt;=INDEX('Lease Cycles'!$DK$8:$DQ$8,1,DZ10),IF(DZ$6&gt;='Lease Cycles'!$AZ$8,'Lease Cycles'!$C$8*'Lease Cycles'!$BA$8/12,IF(DZ$6&gt;='Lease Cycles'!$AX$8,'Lease Cycles'!$C$8*'Lease Cycles'!$AY$8/12,IF(DZ$6&gt;='Lease Cycles'!$AV$8,'Lease Cycles'!$C$8*'Lease Cycles'!$AW$8/12,IF(DZ$6&gt;='Lease Cycles'!$AT$8,'Lease Cycles'!$C$8*'Lease Cycles'!$AU$8/12,'Lease Cycles'!$C$8*INDEX('Lease Cycles'!$CB$8:$CH$8,1,DZ10)*(1+INDEX('Lease Cycles'!$CI$8:$CO$8,1,DZ10))^INT(INT(DZ11/12)/INDEX('Lease Cycles'!$CP$8:$CV$8,1,DZ10))/12)))),'Lease Cycles'!$C$8*INDEX('Lease Cycles'!$CB$8:$CH$8,1,DZ10)*(1+INDEX('Lease Cycles'!$CI$8:$CO$8,1,DZ10))^INT(INT(DZ11/12)/INDEX('Lease Cycles'!$CP$8:$CV$8,1,DZ10))/12),IF(INDEX('Lease Cycles'!$EF$8:$EL$8,1,DZ10)=1,IF(AND('Lease Cycles'!$AZ$8&gt;=INDEX('Lease Cycles'!$BG$8:$BM$8,1,DZ10),'Lease Cycles'!$AZ$8&lt;=DZ$6),'Lease Cycles'!$C$8*'Lease Cycles'!$BA$8/12,IF(AND('Lease Cycles'!$AX$8&gt;=INDEX('Lease Cycles'!$BG$8:$BM$8,1,DZ10),'Lease Cycles'!$AX$8&lt;=DZ$6),'Lease Cycles'!$C$8*'Lease Cycles'!$AY$8/12,IF(AND('Lease Cycles'!$AV$8&gt;=INDEX('Lease Cycles'!$BG$8:$BM$8,1,DZ10),'Lease Cycles'!$AV$8&lt;=DZ$6),'Lease Cycles'!$C$8*'Lease Cycles'!$AW$8/12,IF(AND('Lease Cycles'!$AT$8&gt;=INDEX('Lease Cycles'!$BG$8:$BM$8,1,DZ10),'Lease Cycles'!$AT$8&lt;=DZ$6),'Lease Cycles'!$C$8*'Lease Cycles'!$AU$8/12,'Lease Cycles'!$C$8*INDEX('Lease Cycles'!$CB$8:$CH$8,1,DZ10)*(1+INDEX('Lease Cycles'!$CI$8:$CO$8,1,DZ10))^INT(INT(DZ11/12)/INDEX('Lease Cycles'!$CP$8:$CV$8,1,DZ10))/12)))),'Lease Cycles'!$C$8*INDEX('Lease Cycles'!$CB$8:$CH$8,1,DZ10)*(1+INDEX('Lease Cycles'!$CI$8:$CO$8,1,DZ10))^INT(INT(DZ11/12)/INDEX('Lease Cycles'!$CP$8:$CV$8,1,DZ10))/12))),IF('Lease Cycles'!$N$8=1,'Lease Cycles'!$C$8*'Lease Cycles'!$E$8*INDEX('Lease Cycles'!$HE$8:$HK$8,1,DZ10)*(1+INDEX('Lease Cycles'!$GQ$8:$GW$8,1,DZ10))^INT(INT((DZ$6-INDEX('Lease Cycles'!$GJ$8:$GP$8,1,DZ10))/12)/INDEX('Lease Cycles'!$GX$8:$HD$8,1,DZ10))/12,0)))</f>
        <v>41333.333333333336</v>
      </c>
      <c r="EA13" s="28">
        <f>IF(EA10=0,IF('Lease Cycles'!$F$8&gt;0,'Lease Cycles'!$C$8*'Lease Cycles'!$E$8/12,0),IF(EA12=1,IF('Lease Cycles'!$AT$8&gt;=9999,'Lease Cycles'!$C$8*INDEX('Lease Cycles'!$CB$8:$CH$8,1,EA10)*(1+INDEX('Lease Cycles'!$CI$8:$CO$8,1,EA10))^INT(INT(EA11/12)/INDEX('Lease Cycles'!$CP$8:$CV$8,1,EA10))/12,IF(EA10=1,IF(EA11&gt;=INDEX('Lease Cycles'!$DK$8:$DQ$8,1,EA10),IF(EA$6&gt;='Lease Cycles'!$AZ$8,'Lease Cycles'!$C$8*'Lease Cycles'!$BA$8/12,IF(EA$6&gt;='Lease Cycles'!$AX$8,'Lease Cycles'!$C$8*'Lease Cycles'!$AY$8/12,IF(EA$6&gt;='Lease Cycles'!$AV$8,'Lease Cycles'!$C$8*'Lease Cycles'!$AW$8/12,IF(EA$6&gt;='Lease Cycles'!$AT$8,'Lease Cycles'!$C$8*'Lease Cycles'!$AU$8/12,'Lease Cycles'!$C$8*INDEX('Lease Cycles'!$CB$8:$CH$8,1,EA10)*(1+INDEX('Lease Cycles'!$CI$8:$CO$8,1,EA10))^INT(INT(EA11/12)/INDEX('Lease Cycles'!$CP$8:$CV$8,1,EA10))/12)))),'Lease Cycles'!$C$8*INDEX('Lease Cycles'!$CB$8:$CH$8,1,EA10)*(1+INDEX('Lease Cycles'!$CI$8:$CO$8,1,EA10))^INT(INT(EA11/12)/INDEX('Lease Cycles'!$CP$8:$CV$8,1,EA10))/12),IF(INDEX('Lease Cycles'!$EF$8:$EL$8,1,EA10)=1,IF(AND('Lease Cycles'!$AZ$8&gt;=INDEX('Lease Cycles'!$BG$8:$BM$8,1,EA10),'Lease Cycles'!$AZ$8&lt;=EA$6),'Lease Cycles'!$C$8*'Lease Cycles'!$BA$8/12,IF(AND('Lease Cycles'!$AX$8&gt;=INDEX('Lease Cycles'!$BG$8:$BM$8,1,EA10),'Lease Cycles'!$AX$8&lt;=EA$6),'Lease Cycles'!$C$8*'Lease Cycles'!$AY$8/12,IF(AND('Lease Cycles'!$AV$8&gt;=INDEX('Lease Cycles'!$BG$8:$BM$8,1,EA10),'Lease Cycles'!$AV$8&lt;=EA$6),'Lease Cycles'!$C$8*'Lease Cycles'!$AW$8/12,IF(AND('Lease Cycles'!$AT$8&gt;=INDEX('Lease Cycles'!$BG$8:$BM$8,1,EA10),'Lease Cycles'!$AT$8&lt;=EA$6),'Lease Cycles'!$C$8*'Lease Cycles'!$AU$8/12,'Lease Cycles'!$C$8*INDEX('Lease Cycles'!$CB$8:$CH$8,1,EA10)*(1+INDEX('Lease Cycles'!$CI$8:$CO$8,1,EA10))^INT(INT(EA11/12)/INDEX('Lease Cycles'!$CP$8:$CV$8,1,EA10))/12)))),'Lease Cycles'!$C$8*INDEX('Lease Cycles'!$CB$8:$CH$8,1,EA10)*(1+INDEX('Lease Cycles'!$CI$8:$CO$8,1,EA10))^INT(INT(EA11/12)/INDEX('Lease Cycles'!$CP$8:$CV$8,1,EA10))/12))),IF('Lease Cycles'!$N$8=1,'Lease Cycles'!$C$8*'Lease Cycles'!$E$8*INDEX('Lease Cycles'!$HE$8:$HK$8,1,EA10)*(1+INDEX('Lease Cycles'!$GQ$8:$GW$8,1,EA10))^INT(INT((EA$6-INDEX('Lease Cycles'!$GJ$8:$GP$8,1,EA10))/12)/INDEX('Lease Cycles'!$GX$8:$HD$8,1,EA10))/12,0)))</f>
        <v>41333.333333333336</v>
      </c>
      <c r="EB13" s="28">
        <f>IF(EB10=0,IF('Lease Cycles'!$F$8&gt;0,'Lease Cycles'!$C$8*'Lease Cycles'!$E$8/12,0),IF(EB12=1,IF('Lease Cycles'!$AT$8&gt;=9999,'Lease Cycles'!$C$8*INDEX('Lease Cycles'!$CB$8:$CH$8,1,EB10)*(1+INDEX('Lease Cycles'!$CI$8:$CO$8,1,EB10))^INT(INT(EB11/12)/INDEX('Lease Cycles'!$CP$8:$CV$8,1,EB10))/12,IF(EB10=1,IF(EB11&gt;=INDEX('Lease Cycles'!$DK$8:$DQ$8,1,EB10),IF(EB$6&gt;='Lease Cycles'!$AZ$8,'Lease Cycles'!$C$8*'Lease Cycles'!$BA$8/12,IF(EB$6&gt;='Lease Cycles'!$AX$8,'Lease Cycles'!$C$8*'Lease Cycles'!$AY$8/12,IF(EB$6&gt;='Lease Cycles'!$AV$8,'Lease Cycles'!$C$8*'Lease Cycles'!$AW$8/12,IF(EB$6&gt;='Lease Cycles'!$AT$8,'Lease Cycles'!$C$8*'Lease Cycles'!$AU$8/12,'Lease Cycles'!$C$8*INDEX('Lease Cycles'!$CB$8:$CH$8,1,EB10)*(1+INDEX('Lease Cycles'!$CI$8:$CO$8,1,EB10))^INT(INT(EB11/12)/INDEX('Lease Cycles'!$CP$8:$CV$8,1,EB10))/12)))),'Lease Cycles'!$C$8*INDEX('Lease Cycles'!$CB$8:$CH$8,1,EB10)*(1+INDEX('Lease Cycles'!$CI$8:$CO$8,1,EB10))^INT(INT(EB11/12)/INDEX('Lease Cycles'!$CP$8:$CV$8,1,EB10))/12),IF(INDEX('Lease Cycles'!$EF$8:$EL$8,1,EB10)=1,IF(AND('Lease Cycles'!$AZ$8&gt;=INDEX('Lease Cycles'!$BG$8:$BM$8,1,EB10),'Lease Cycles'!$AZ$8&lt;=EB$6),'Lease Cycles'!$C$8*'Lease Cycles'!$BA$8/12,IF(AND('Lease Cycles'!$AX$8&gt;=INDEX('Lease Cycles'!$BG$8:$BM$8,1,EB10),'Lease Cycles'!$AX$8&lt;=EB$6),'Lease Cycles'!$C$8*'Lease Cycles'!$AY$8/12,IF(AND('Lease Cycles'!$AV$8&gt;=INDEX('Lease Cycles'!$BG$8:$BM$8,1,EB10),'Lease Cycles'!$AV$8&lt;=EB$6),'Lease Cycles'!$C$8*'Lease Cycles'!$AW$8/12,IF(AND('Lease Cycles'!$AT$8&gt;=INDEX('Lease Cycles'!$BG$8:$BM$8,1,EB10),'Lease Cycles'!$AT$8&lt;=EB$6),'Lease Cycles'!$C$8*'Lease Cycles'!$AU$8/12,'Lease Cycles'!$C$8*INDEX('Lease Cycles'!$CB$8:$CH$8,1,EB10)*(1+INDEX('Lease Cycles'!$CI$8:$CO$8,1,EB10))^INT(INT(EB11/12)/INDEX('Lease Cycles'!$CP$8:$CV$8,1,EB10))/12)))),'Lease Cycles'!$C$8*INDEX('Lease Cycles'!$CB$8:$CH$8,1,EB10)*(1+INDEX('Lease Cycles'!$CI$8:$CO$8,1,EB10))^INT(INT(EB11/12)/INDEX('Lease Cycles'!$CP$8:$CV$8,1,EB10))/12))),IF('Lease Cycles'!$N$8=1,'Lease Cycles'!$C$8*'Lease Cycles'!$E$8*INDEX('Lease Cycles'!$HE$8:$HK$8,1,EB10)*(1+INDEX('Lease Cycles'!$GQ$8:$GW$8,1,EB10))^INT(INT((EB$6-INDEX('Lease Cycles'!$GJ$8:$GP$8,1,EB10))/12)/INDEX('Lease Cycles'!$GX$8:$HD$8,1,EB10))/12,0)))</f>
        <v>41333.333333333336</v>
      </c>
      <c r="EC13" s="28">
        <f>IF(EC10=0,IF('Lease Cycles'!$F$8&gt;0,'Lease Cycles'!$C$8*'Lease Cycles'!$E$8/12,0),IF(EC12=1,IF('Lease Cycles'!$AT$8&gt;=9999,'Lease Cycles'!$C$8*INDEX('Lease Cycles'!$CB$8:$CH$8,1,EC10)*(1+INDEX('Lease Cycles'!$CI$8:$CO$8,1,EC10))^INT(INT(EC11/12)/INDEX('Lease Cycles'!$CP$8:$CV$8,1,EC10))/12,IF(EC10=1,IF(EC11&gt;=INDEX('Lease Cycles'!$DK$8:$DQ$8,1,EC10),IF(EC$6&gt;='Lease Cycles'!$AZ$8,'Lease Cycles'!$C$8*'Lease Cycles'!$BA$8/12,IF(EC$6&gt;='Lease Cycles'!$AX$8,'Lease Cycles'!$C$8*'Lease Cycles'!$AY$8/12,IF(EC$6&gt;='Lease Cycles'!$AV$8,'Lease Cycles'!$C$8*'Lease Cycles'!$AW$8/12,IF(EC$6&gt;='Lease Cycles'!$AT$8,'Lease Cycles'!$C$8*'Lease Cycles'!$AU$8/12,'Lease Cycles'!$C$8*INDEX('Lease Cycles'!$CB$8:$CH$8,1,EC10)*(1+INDEX('Lease Cycles'!$CI$8:$CO$8,1,EC10))^INT(INT(EC11/12)/INDEX('Lease Cycles'!$CP$8:$CV$8,1,EC10))/12)))),'Lease Cycles'!$C$8*INDEX('Lease Cycles'!$CB$8:$CH$8,1,EC10)*(1+INDEX('Lease Cycles'!$CI$8:$CO$8,1,EC10))^INT(INT(EC11/12)/INDEX('Lease Cycles'!$CP$8:$CV$8,1,EC10))/12),IF(INDEX('Lease Cycles'!$EF$8:$EL$8,1,EC10)=1,IF(AND('Lease Cycles'!$AZ$8&gt;=INDEX('Lease Cycles'!$BG$8:$BM$8,1,EC10),'Lease Cycles'!$AZ$8&lt;=EC$6),'Lease Cycles'!$C$8*'Lease Cycles'!$BA$8/12,IF(AND('Lease Cycles'!$AX$8&gt;=INDEX('Lease Cycles'!$BG$8:$BM$8,1,EC10),'Lease Cycles'!$AX$8&lt;=EC$6),'Lease Cycles'!$C$8*'Lease Cycles'!$AY$8/12,IF(AND('Lease Cycles'!$AV$8&gt;=INDEX('Lease Cycles'!$BG$8:$BM$8,1,EC10),'Lease Cycles'!$AV$8&lt;=EC$6),'Lease Cycles'!$C$8*'Lease Cycles'!$AW$8/12,IF(AND('Lease Cycles'!$AT$8&gt;=INDEX('Lease Cycles'!$BG$8:$BM$8,1,EC10),'Lease Cycles'!$AT$8&lt;=EC$6),'Lease Cycles'!$C$8*'Lease Cycles'!$AU$8/12,'Lease Cycles'!$C$8*INDEX('Lease Cycles'!$CB$8:$CH$8,1,EC10)*(1+INDEX('Lease Cycles'!$CI$8:$CO$8,1,EC10))^INT(INT(EC11/12)/INDEX('Lease Cycles'!$CP$8:$CV$8,1,EC10))/12)))),'Lease Cycles'!$C$8*INDEX('Lease Cycles'!$CB$8:$CH$8,1,EC10)*(1+INDEX('Lease Cycles'!$CI$8:$CO$8,1,EC10))^INT(INT(EC11/12)/INDEX('Lease Cycles'!$CP$8:$CV$8,1,EC10))/12))),IF('Lease Cycles'!$N$8=1,'Lease Cycles'!$C$8*'Lease Cycles'!$E$8*INDEX('Lease Cycles'!$HE$8:$HK$8,1,EC10)*(1+INDEX('Lease Cycles'!$GQ$8:$GW$8,1,EC10))^INT(INT((EC$6-INDEX('Lease Cycles'!$GJ$8:$GP$8,1,EC10))/12)/INDEX('Lease Cycles'!$GX$8:$HD$8,1,EC10))/12,0)))</f>
        <v>41333.333333333336</v>
      </c>
      <c r="ED13" s="28">
        <f>IF(ED10=0,IF('Lease Cycles'!$F$8&gt;0,'Lease Cycles'!$C$8*'Lease Cycles'!$E$8/12,0),IF(ED12=1,IF('Lease Cycles'!$AT$8&gt;=9999,'Lease Cycles'!$C$8*INDEX('Lease Cycles'!$CB$8:$CH$8,1,ED10)*(1+INDEX('Lease Cycles'!$CI$8:$CO$8,1,ED10))^INT(INT(ED11/12)/INDEX('Lease Cycles'!$CP$8:$CV$8,1,ED10))/12,IF(ED10=1,IF(ED11&gt;=INDEX('Lease Cycles'!$DK$8:$DQ$8,1,ED10),IF(ED$6&gt;='Lease Cycles'!$AZ$8,'Lease Cycles'!$C$8*'Lease Cycles'!$BA$8/12,IF(ED$6&gt;='Lease Cycles'!$AX$8,'Lease Cycles'!$C$8*'Lease Cycles'!$AY$8/12,IF(ED$6&gt;='Lease Cycles'!$AV$8,'Lease Cycles'!$C$8*'Lease Cycles'!$AW$8/12,IF(ED$6&gt;='Lease Cycles'!$AT$8,'Lease Cycles'!$C$8*'Lease Cycles'!$AU$8/12,'Lease Cycles'!$C$8*INDEX('Lease Cycles'!$CB$8:$CH$8,1,ED10)*(1+INDEX('Lease Cycles'!$CI$8:$CO$8,1,ED10))^INT(INT(ED11/12)/INDEX('Lease Cycles'!$CP$8:$CV$8,1,ED10))/12)))),'Lease Cycles'!$C$8*INDEX('Lease Cycles'!$CB$8:$CH$8,1,ED10)*(1+INDEX('Lease Cycles'!$CI$8:$CO$8,1,ED10))^INT(INT(ED11/12)/INDEX('Lease Cycles'!$CP$8:$CV$8,1,ED10))/12),IF(INDEX('Lease Cycles'!$EF$8:$EL$8,1,ED10)=1,IF(AND('Lease Cycles'!$AZ$8&gt;=INDEX('Lease Cycles'!$BG$8:$BM$8,1,ED10),'Lease Cycles'!$AZ$8&lt;=ED$6),'Lease Cycles'!$C$8*'Lease Cycles'!$BA$8/12,IF(AND('Lease Cycles'!$AX$8&gt;=INDEX('Lease Cycles'!$BG$8:$BM$8,1,ED10),'Lease Cycles'!$AX$8&lt;=ED$6),'Lease Cycles'!$C$8*'Lease Cycles'!$AY$8/12,IF(AND('Lease Cycles'!$AV$8&gt;=INDEX('Lease Cycles'!$BG$8:$BM$8,1,ED10),'Lease Cycles'!$AV$8&lt;=ED$6),'Lease Cycles'!$C$8*'Lease Cycles'!$AW$8/12,IF(AND('Lease Cycles'!$AT$8&gt;=INDEX('Lease Cycles'!$BG$8:$BM$8,1,ED10),'Lease Cycles'!$AT$8&lt;=ED$6),'Lease Cycles'!$C$8*'Lease Cycles'!$AU$8/12,'Lease Cycles'!$C$8*INDEX('Lease Cycles'!$CB$8:$CH$8,1,ED10)*(1+INDEX('Lease Cycles'!$CI$8:$CO$8,1,ED10))^INT(INT(ED11/12)/INDEX('Lease Cycles'!$CP$8:$CV$8,1,ED10))/12)))),'Lease Cycles'!$C$8*INDEX('Lease Cycles'!$CB$8:$CH$8,1,ED10)*(1+INDEX('Lease Cycles'!$CI$8:$CO$8,1,ED10))^INT(INT(ED11/12)/INDEX('Lease Cycles'!$CP$8:$CV$8,1,ED10))/12))),IF('Lease Cycles'!$N$8=1,'Lease Cycles'!$C$8*'Lease Cycles'!$E$8*INDEX('Lease Cycles'!$HE$8:$HK$8,1,ED10)*(1+INDEX('Lease Cycles'!$GQ$8:$GW$8,1,ED10))^INT(INT((ED$6-INDEX('Lease Cycles'!$GJ$8:$GP$8,1,ED10))/12)/INDEX('Lease Cycles'!$GX$8:$HD$8,1,ED10))/12,0)))</f>
        <v>41333.333333333336</v>
      </c>
      <c r="EE13" s="28">
        <f>IF(EE10=0,IF('Lease Cycles'!$F$8&gt;0,'Lease Cycles'!$C$8*'Lease Cycles'!$E$8/12,0),IF(EE12=1,IF('Lease Cycles'!$AT$8&gt;=9999,'Lease Cycles'!$C$8*INDEX('Lease Cycles'!$CB$8:$CH$8,1,EE10)*(1+INDEX('Lease Cycles'!$CI$8:$CO$8,1,EE10))^INT(INT(EE11/12)/INDEX('Lease Cycles'!$CP$8:$CV$8,1,EE10))/12,IF(EE10=1,IF(EE11&gt;=INDEX('Lease Cycles'!$DK$8:$DQ$8,1,EE10),IF(EE$6&gt;='Lease Cycles'!$AZ$8,'Lease Cycles'!$C$8*'Lease Cycles'!$BA$8/12,IF(EE$6&gt;='Lease Cycles'!$AX$8,'Lease Cycles'!$C$8*'Lease Cycles'!$AY$8/12,IF(EE$6&gt;='Lease Cycles'!$AV$8,'Lease Cycles'!$C$8*'Lease Cycles'!$AW$8/12,IF(EE$6&gt;='Lease Cycles'!$AT$8,'Lease Cycles'!$C$8*'Lease Cycles'!$AU$8/12,'Lease Cycles'!$C$8*INDEX('Lease Cycles'!$CB$8:$CH$8,1,EE10)*(1+INDEX('Lease Cycles'!$CI$8:$CO$8,1,EE10))^INT(INT(EE11/12)/INDEX('Lease Cycles'!$CP$8:$CV$8,1,EE10))/12)))),'Lease Cycles'!$C$8*INDEX('Lease Cycles'!$CB$8:$CH$8,1,EE10)*(1+INDEX('Lease Cycles'!$CI$8:$CO$8,1,EE10))^INT(INT(EE11/12)/INDEX('Lease Cycles'!$CP$8:$CV$8,1,EE10))/12),IF(INDEX('Lease Cycles'!$EF$8:$EL$8,1,EE10)=1,IF(AND('Lease Cycles'!$AZ$8&gt;=INDEX('Lease Cycles'!$BG$8:$BM$8,1,EE10),'Lease Cycles'!$AZ$8&lt;=EE$6),'Lease Cycles'!$C$8*'Lease Cycles'!$BA$8/12,IF(AND('Lease Cycles'!$AX$8&gt;=INDEX('Lease Cycles'!$BG$8:$BM$8,1,EE10),'Lease Cycles'!$AX$8&lt;=EE$6),'Lease Cycles'!$C$8*'Lease Cycles'!$AY$8/12,IF(AND('Lease Cycles'!$AV$8&gt;=INDEX('Lease Cycles'!$BG$8:$BM$8,1,EE10),'Lease Cycles'!$AV$8&lt;=EE$6),'Lease Cycles'!$C$8*'Lease Cycles'!$AW$8/12,IF(AND('Lease Cycles'!$AT$8&gt;=INDEX('Lease Cycles'!$BG$8:$BM$8,1,EE10),'Lease Cycles'!$AT$8&lt;=EE$6),'Lease Cycles'!$C$8*'Lease Cycles'!$AU$8/12,'Lease Cycles'!$C$8*INDEX('Lease Cycles'!$CB$8:$CH$8,1,EE10)*(1+INDEX('Lease Cycles'!$CI$8:$CO$8,1,EE10))^INT(INT(EE11/12)/INDEX('Lease Cycles'!$CP$8:$CV$8,1,EE10))/12)))),'Lease Cycles'!$C$8*INDEX('Lease Cycles'!$CB$8:$CH$8,1,EE10)*(1+INDEX('Lease Cycles'!$CI$8:$CO$8,1,EE10))^INT(INT(EE11/12)/INDEX('Lease Cycles'!$CP$8:$CV$8,1,EE10))/12))),IF('Lease Cycles'!$N$8=1,'Lease Cycles'!$C$8*'Lease Cycles'!$E$8*INDEX('Lease Cycles'!$HE$8:$HK$8,1,EE10)*(1+INDEX('Lease Cycles'!$GQ$8:$GW$8,1,EE10))^INT(INT((EE$6-INDEX('Lease Cycles'!$GJ$8:$GP$8,1,EE10))/12)/INDEX('Lease Cycles'!$GX$8:$HD$8,1,EE10))/12,0)))</f>
        <v>41333.333333333336</v>
      </c>
      <c r="EF13" s="28">
        <f>IF(EF10=0,IF('Lease Cycles'!$F$8&gt;0,'Lease Cycles'!$C$8*'Lease Cycles'!$E$8/12,0),IF(EF12=1,IF('Lease Cycles'!$AT$8&gt;=9999,'Lease Cycles'!$C$8*INDEX('Lease Cycles'!$CB$8:$CH$8,1,EF10)*(1+INDEX('Lease Cycles'!$CI$8:$CO$8,1,EF10))^INT(INT(EF11/12)/INDEX('Lease Cycles'!$CP$8:$CV$8,1,EF10))/12,IF(EF10=1,IF(EF11&gt;=INDEX('Lease Cycles'!$DK$8:$DQ$8,1,EF10),IF(EF$6&gt;='Lease Cycles'!$AZ$8,'Lease Cycles'!$C$8*'Lease Cycles'!$BA$8/12,IF(EF$6&gt;='Lease Cycles'!$AX$8,'Lease Cycles'!$C$8*'Lease Cycles'!$AY$8/12,IF(EF$6&gt;='Lease Cycles'!$AV$8,'Lease Cycles'!$C$8*'Lease Cycles'!$AW$8/12,IF(EF$6&gt;='Lease Cycles'!$AT$8,'Lease Cycles'!$C$8*'Lease Cycles'!$AU$8/12,'Lease Cycles'!$C$8*INDEX('Lease Cycles'!$CB$8:$CH$8,1,EF10)*(1+INDEX('Lease Cycles'!$CI$8:$CO$8,1,EF10))^INT(INT(EF11/12)/INDEX('Lease Cycles'!$CP$8:$CV$8,1,EF10))/12)))),'Lease Cycles'!$C$8*INDEX('Lease Cycles'!$CB$8:$CH$8,1,EF10)*(1+INDEX('Lease Cycles'!$CI$8:$CO$8,1,EF10))^INT(INT(EF11/12)/INDEX('Lease Cycles'!$CP$8:$CV$8,1,EF10))/12),IF(INDEX('Lease Cycles'!$EF$8:$EL$8,1,EF10)=1,IF(AND('Lease Cycles'!$AZ$8&gt;=INDEX('Lease Cycles'!$BG$8:$BM$8,1,EF10),'Lease Cycles'!$AZ$8&lt;=EF$6),'Lease Cycles'!$C$8*'Lease Cycles'!$BA$8/12,IF(AND('Lease Cycles'!$AX$8&gt;=INDEX('Lease Cycles'!$BG$8:$BM$8,1,EF10),'Lease Cycles'!$AX$8&lt;=EF$6),'Lease Cycles'!$C$8*'Lease Cycles'!$AY$8/12,IF(AND('Lease Cycles'!$AV$8&gt;=INDEX('Lease Cycles'!$BG$8:$BM$8,1,EF10),'Lease Cycles'!$AV$8&lt;=EF$6),'Lease Cycles'!$C$8*'Lease Cycles'!$AW$8/12,IF(AND('Lease Cycles'!$AT$8&gt;=INDEX('Lease Cycles'!$BG$8:$BM$8,1,EF10),'Lease Cycles'!$AT$8&lt;=EF$6),'Lease Cycles'!$C$8*'Lease Cycles'!$AU$8/12,'Lease Cycles'!$C$8*INDEX('Lease Cycles'!$CB$8:$CH$8,1,EF10)*(1+INDEX('Lease Cycles'!$CI$8:$CO$8,1,EF10))^INT(INT(EF11/12)/INDEX('Lease Cycles'!$CP$8:$CV$8,1,EF10))/12)))),'Lease Cycles'!$C$8*INDEX('Lease Cycles'!$CB$8:$CH$8,1,EF10)*(1+INDEX('Lease Cycles'!$CI$8:$CO$8,1,EF10))^INT(INT(EF11/12)/INDEX('Lease Cycles'!$CP$8:$CV$8,1,EF10))/12))),IF('Lease Cycles'!$N$8=1,'Lease Cycles'!$C$8*'Lease Cycles'!$E$8*INDEX('Lease Cycles'!$HE$8:$HK$8,1,EF10)*(1+INDEX('Lease Cycles'!$GQ$8:$GW$8,1,EF10))^INT(INT((EF$6-INDEX('Lease Cycles'!$GJ$8:$GP$8,1,EF10))/12)/INDEX('Lease Cycles'!$GX$8:$HD$8,1,EF10))/12,0)))</f>
        <v>41333.333333333336</v>
      </c>
      <c r="EG13" s="28">
        <f>IF(EG10=0,IF('Lease Cycles'!$F$8&gt;0,'Lease Cycles'!$C$8*'Lease Cycles'!$E$8/12,0),IF(EG12=1,IF('Lease Cycles'!$AT$8&gt;=9999,'Lease Cycles'!$C$8*INDEX('Lease Cycles'!$CB$8:$CH$8,1,EG10)*(1+INDEX('Lease Cycles'!$CI$8:$CO$8,1,EG10))^INT(INT(EG11/12)/INDEX('Lease Cycles'!$CP$8:$CV$8,1,EG10))/12,IF(EG10=1,IF(EG11&gt;=INDEX('Lease Cycles'!$DK$8:$DQ$8,1,EG10),IF(EG$6&gt;='Lease Cycles'!$AZ$8,'Lease Cycles'!$C$8*'Lease Cycles'!$BA$8/12,IF(EG$6&gt;='Lease Cycles'!$AX$8,'Lease Cycles'!$C$8*'Lease Cycles'!$AY$8/12,IF(EG$6&gt;='Lease Cycles'!$AV$8,'Lease Cycles'!$C$8*'Lease Cycles'!$AW$8/12,IF(EG$6&gt;='Lease Cycles'!$AT$8,'Lease Cycles'!$C$8*'Lease Cycles'!$AU$8/12,'Lease Cycles'!$C$8*INDEX('Lease Cycles'!$CB$8:$CH$8,1,EG10)*(1+INDEX('Lease Cycles'!$CI$8:$CO$8,1,EG10))^INT(INT(EG11/12)/INDEX('Lease Cycles'!$CP$8:$CV$8,1,EG10))/12)))),'Lease Cycles'!$C$8*INDEX('Lease Cycles'!$CB$8:$CH$8,1,EG10)*(1+INDEX('Lease Cycles'!$CI$8:$CO$8,1,EG10))^INT(INT(EG11/12)/INDEX('Lease Cycles'!$CP$8:$CV$8,1,EG10))/12),IF(INDEX('Lease Cycles'!$EF$8:$EL$8,1,EG10)=1,IF(AND('Lease Cycles'!$AZ$8&gt;=INDEX('Lease Cycles'!$BG$8:$BM$8,1,EG10),'Lease Cycles'!$AZ$8&lt;=EG$6),'Lease Cycles'!$C$8*'Lease Cycles'!$BA$8/12,IF(AND('Lease Cycles'!$AX$8&gt;=INDEX('Lease Cycles'!$BG$8:$BM$8,1,EG10),'Lease Cycles'!$AX$8&lt;=EG$6),'Lease Cycles'!$C$8*'Lease Cycles'!$AY$8/12,IF(AND('Lease Cycles'!$AV$8&gt;=INDEX('Lease Cycles'!$BG$8:$BM$8,1,EG10),'Lease Cycles'!$AV$8&lt;=EG$6),'Lease Cycles'!$C$8*'Lease Cycles'!$AW$8/12,IF(AND('Lease Cycles'!$AT$8&gt;=INDEX('Lease Cycles'!$BG$8:$BM$8,1,EG10),'Lease Cycles'!$AT$8&lt;=EG$6),'Lease Cycles'!$C$8*'Lease Cycles'!$AU$8/12,'Lease Cycles'!$C$8*INDEX('Lease Cycles'!$CB$8:$CH$8,1,EG10)*(1+INDEX('Lease Cycles'!$CI$8:$CO$8,1,EG10))^INT(INT(EG11/12)/INDEX('Lease Cycles'!$CP$8:$CV$8,1,EG10))/12)))),'Lease Cycles'!$C$8*INDEX('Lease Cycles'!$CB$8:$CH$8,1,EG10)*(1+INDEX('Lease Cycles'!$CI$8:$CO$8,1,EG10))^INT(INT(EG11/12)/INDEX('Lease Cycles'!$CP$8:$CV$8,1,EG10))/12))),IF('Lease Cycles'!$N$8=1,'Lease Cycles'!$C$8*'Lease Cycles'!$E$8*INDEX('Lease Cycles'!$HE$8:$HK$8,1,EG10)*(1+INDEX('Lease Cycles'!$GQ$8:$GW$8,1,EG10))^INT(INT((EG$6-INDEX('Lease Cycles'!$GJ$8:$GP$8,1,EG10))/12)/INDEX('Lease Cycles'!$GX$8:$HD$8,1,EG10))/12,0)))</f>
        <v>41333.333333333336</v>
      </c>
      <c r="EH13" s="28">
        <f>IF(EH10=0,IF('Lease Cycles'!$F$8&gt;0,'Lease Cycles'!$C$8*'Lease Cycles'!$E$8/12,0),IF(EH12=1,IF('Lease Cycles'!$AT$8&gt;=9999,'Lease Cycles'!$C$8*INDEX('Lease Cycles'!$CB$8:$CH$8,1,EH10)*(1+INDEX('Lease Cycles'!$CI$8:$CO$8,1,EH10))^INT(INT(EH11/12)/INDEX('Lease Cycles'!$CP$8:$CV$8,1,EH10))/12,IF(EH10=1,IF(EH11&gt;=INDEX('Lease Cycles'!$DK$8:$DQ$8,1,EH10),IF(EH$6&gt;='Lease Cycles'!$AZ$8,'Lease Cycles'!$C$8*'Lease Cycles'!$BA$8/12,IF(EH$6&gt;='Lease Cycles'!$AX$8,'Lease Cycles'!$C$8*'Lease Cycles'!$AY$8/12,IF(EH$6&gt;='Lease Cycles'!$AV$8,'Lease Cycles'!$C$8*'Lease Cycles'!$AW$8/12,IF(EH$6&gt;='Lease Cycles'!$AT$8,'Lease Cycles'!$C$8*'Lease Cycles'!$AU$8/12,'Lease Cycles'!$C$8*INDEX('Lease Cycles'!$CB$8:$CH$8,1,EH10)*(1+INDEX('Lease Cycles'!$CI$8:$CO$8,1,EH10))^INT(INT(EH11/12)/INDEX('Lease Cycles'!$CP$8:$CV$8,1,EH10))/12)))),'Lease Cycles'!$C$8*INDEX('Lease Cycles'!$CB$8:$CH$8,1,EH10)*(1+INDEX('Lease Cycles'!$CI$8:$CO$8,1,EH10))^INT(INT(EH11/12)/INDEX('Lease Cycles'!$CP$8:$CV$8,1,EH10))/12),IF(INDEX('Lease Cycles'!$EF$8:$EL$8,1,EH10)=1,IF(AND('Lease Cycles'!$AZ$8&gt;=INDEX('Lease Cycles'!$BG$8:$BM$8,1,EH10),'Lease Cycles'!$AZ$8&lt;=EH$6),'Lease Cycles'!$C$8*'Lease Cycles'!$BA$8/12,IF(AND('Lease Cycles'!$AX$8&gt;=INDEX('Lease Cycles'!$BG$8:$BM$8,1,EH10),'Lease Cycles'!$AX$8&lt;=EH$6),'Lease Cycles'!$C$8*'Lease Cycles'!$AY$8/12,IF(AND('Lease Cycles'!$AV$8&gt;=INDEX('Lease Cycles'!$BG$8:$BM$8,1,EH10),'Lease Cycles'!$AV$8&lt;=EH$6),'Lease Cycles'!$C$8*'Lease Cycles'!$AW$8/12,IF(AND('Lease Cycles'!$AT$8&gt;=INDEX('Lease Cycles'!$BG$8:$BM$8,1,EH10),'Lease Cycles'!$AT$8&lt;=EH$6),'Lease Cycles'!$C$8*'Lease Cycles'!$AU$8/12,'Lease Cycles'!$C$8*INDEX('Lease Cycles'!$CB$8:$CH$8,1,EH10)*(1+INDEX('Lease Cycles'!$CI$8:$CO$8,1,EH10))^INT(INT(EH11/12)/INDEX('Lease Cycles'!$CP$8:$CV$8,1,EH10))/12)))),'Lease Cycles'!$C$8*INDEX('Lease Cycles'!$CB$8:$CH$8,1,EH10)*(1+INDEX('Lease Cycles'!$CI$8:$CO$8,1,EH10))^INT(INT(EH11/12)/INDEX('Lease Cycles'!$CP$8:$CV$8,1,EH10))/12))),IF('Lease Cycles'!$N$8=1,'Lease Cycles'!$C$8*'Lease Cycles'!$E$8*INDEX('Lease Cycles'!$HE$8:$HK$8,1,EH10)*(1+INDEX('Lease Cycles'!$GQ$8:$GW$8,1,EH10))^INT(INT((EH$6-INDEX('Lease Cycles'!$GJ$8:$GP$8,1,EH10))/12)/INDEX('Lease Cycles'!$GX$8:$HD$8,1,EH10))/12,0)))</f>
        <v>41333.333333333336</v>
      </c>
      <c r="EI13" s="28">
        <f>IF(EI10=0,IF('Lease Cycles'!$F$8&gt;0,'Lease Cycles'!$C$8*'Lease Cycles'!$E$8/12,0),IF(EI12=1,IF('Lease Cycles'!$AT$8&gt;=9999,'Lease Cycles'!$C$8*INDEX('Lease Cycles'!$CB$8:$CH$8,1,EI10)*(1+INDEX('Lease Cycles'!$CI$8:$CO$8,1,EI10))^INT(INT(EI11/12)/INDEX('Lease Cycles'!$CP$8:$CV$8,1,EI10))/12,IF(EI10=1,IF(EI11&gt;=INDEX('Lease Cycles'!$DK$8:$DQ$8,1,EI10),IF(EI$6&gt;='Lease Cycles'!$AZ$8,'Lease Cycles'!$C$8*'Lease Cycles'!$BA$8/12,IF(EI$6&gt;='Lease Cycles'!$AX$8,'Lease Cycles'!$C$8*'Lease Cycles'!$AY$8/12,IF(EI$6&gt;='Lease Cycles'!$AV$8,'Lease Cycles'!$C$8*'Lease Cycles'!$AW$8/12,IF(EI$6&gt;='Lease Cycles'!$AT$8,'Lease Cycles'!$C$8*'Lease Cycles'!$AU$8/12,'Lease Cycles'!$C$8*INDEX('Lease Cycles'!$CB$8:$CH$8,1,EI10)*(1+INDEX('Lease Cycles'!$CI$8:$CO$8,1,EI10))^INT(INT(EI11/12)/INDEX('Lease Cycles'!$CP$8:$CV$8,1,EI10))/12)))),'Lease Cycles'!$C$8*INDEX('Lease Cycles'!$CB$8:$CH$8,1,EI10)*(1+INDEX('Lease Cycles'!$CI$8:$CO$8,1,EI10))^INT(INT(EI11/12)/INDEX('Lease Cycles'!$CP$8:$CV$8,1,EI10))/12),IF(INDEX('Lease Cycles'!$EF$8:$EL$8,1,EI10)=1,IF(AND('Lease Cycles'!$AZ$8&gt;=INDEX('Lease Cycles'!$BG$8:$BM$8,1,EI10),'Lease Cycles'!$AZ$8&lt;=EI$6),'Lease Cycles'!$C$8*'Lease Cycles'!$BA$8/12,IF(AND('Lease Cycles'!$AX$8&gt;=INDEX('Lease Cycles'!$BG$8:$BM$8,1,EI10),'Lease Cycles'!$AX$8&lt;=EI$6),'Lease Cycles'!$C$8*'Lease Cycles'!$AY$8/12,IF(AND('Lease Cycles'!$AV$8&gt;=INDEX('Lease Cycles'!$BG$8:$BM$8,1,EI10),'Lease Cycles'!$AV$8&lt;=EI$6),'Lease Cycles'!$C$8*'Lease Cycles'!$AW$8/12,IF(AND('Lease Cycles'!$AT$8&gt;=INDEX('Lease Cycles'!$BG$8:$BM$8,1,EI10),'Lease Cycles'!$AT$8&lt;=EI$6),'Lease Cycles'!$C$8*'Lease Cycles'!$AU$8/12,'Lease Cycles'!$C$8*INDEX('Lease Cycles'!$CB$8:$CH$8,1,EI10)*(1+INDEX('Lease Cycles'!$CI$8:$CO$8,1,EI10))^INT(INT(EI11/12)/INDEX('Lease Cycles'!$CP$8:$CV$8,1,EI10))/12)))),'Lease Cycles'!$C$8*INDEX('Lease Cycles'!$CB$8:$CH$8,1,EI10)*(1+INDEX('Lease Cycles'!$CI$8:$CO$8,1,EI10))^INT(INT(EI11/12)/INDEX('Lease Cycles'!$CP$8:$CV$8,1,EI10))/12))),IF('Lease Cycles'!$N$8=1,'Lease Cycles'!$C$8*'Lease Cycles'!$E$8*INDEX('Lease Cycles'!$HE$8:$HK$8,1,EI10)*(1+INDEX('Lease Cycles'!$GQ$8:$GW$8,1,EI10))^INT(INT((EI$6-INDEX('Lease Cycles'!$GJ$8:$GP$8,1,EI10))/12)/INDEX('Lease Cycles'!$GX$8:$HD$8,1,EI10))/12,0)))</f>
        <v>41333.333333333336</v>
      </c>
      <c r="EJ13" s="28">
        <f>IF(EJ10=0,IF('Lease Cycles'!$F$8&gt;0,'Lease Cycles'!$C$8*'Lease Cycles'!$E$8/12,0),IF(EJ12=1,IF('Lease Cycles'!$AT$8&gt;=9999,'Lease Cycles'!$C$8*INDEX('Lease Cycles'!$CB$8:$CH$8,1,EJ10)*(1+INDEX('Lease Cycles'!$CI$8:$CO$8,1,EJ10))^INT(INT(EJ11/12)/INDEX('Lease Cycles'!$CP$8:$CV$8,1,EJ10))/12,IF(EJ10=1,IF(EJ11&gt;=INDEX('Lease Cycles'!$DK$8:$DQ$8,1,EJ10),IF(EJ$6&gt;='Lease Cycles'!$AZ$8,'Lease Cycles'!$C$8*'Lease Cycles'!$BA$8/12,IF(EJ$6&gt;='Lease Cycles'!$AX$8,'Lease Cycles'!$C$8*'Lease Cycles'!$AY$8/12,IF(EJ$6&gt;='Lease Cycles'!$AV$8,'Lease Cycles'!$C$8*'Lease Cycles'!$AW$8/12,IF(EJ$6&gt;='Lease Cycles'!$AT$8,'Lease Cycles'!$C$8*'Lease Cycles'!$AU$8/12,'Lease Cycles'!$C$8*INDEX('Lease Cycles'!$CB$8:$CH$8,1,EJ10)*(1+INDEX('Lease Cycles'!$CI$8:$CO$8,1,EJ10))^INT(INT(EJ11/12)/INDEX('Lease Cycles'!$CP$8:$CV$8,1,EJ10))/12)))),'Lease Cycles'!$C$8*INDEX('Lease Cycles'!$CB$8:$CH$8,1,EJ10)*(1+INDEX('Lease Cycles'!$CI$8:$CO$8,1,EJ10))^INT(INT(EJ11/12)/INDEX('Lease Cycles'!$CP$8:$CV$8,1,EJ10))/12),IF(INDEX('Lease Cycles'!$EF$8:$EL$8,1,EJ10)=1,IF(AND('Lease Cycles'!$AZ$8&gt;=INDEX('Lease Cycles'!$BG$8:$BM$8,1,EJ10),'Lease Cycles'!$AZ$8&lt;=EJ$6),'Lease Cycles'!$C$8*'Lease Cycles'!$BA$8/12,IF(AND('Lease Cycles'!$AX$8&gt;=INDEX('Lease Cycles'!$BG$8:$BM$8,1,EJ10),'Lease Cycles'!$AX$8&lt;=EJ$6),'Lease Cycles'!$C$8*'Lease Cycles'!$AY$8/12,IF(AND('Lease Cycles'!$AV$8&gt;=INDEX('Lease Cycles'!$BG$8:$BM$8,1,EJ10),'Lease Cycles'!$AV$8&lt;=EJ$6),'Lease Cycles'!$C$8*'Lease Cycles'!$AW$8/12,IF(AND('Lease Cycles'!$AT$8&gt;=INDEX('Lease Cycles'!$BG$8:$BM$8,1,EJ10),'Lease Cycles'!$AT$8&lt;=EJ$6),'Lease Cycles'!$C$8*'Lease Cycles'!$AU$8/12,'Lease Cycles'!$C$8*INDEX('Lease Cycles'!$CB$8:$CH$8,1,EJ10)*(1+INDEX('Lease Cycles'!$CI$8:$CO$8,1,EJ10))^INT(INT(EJ11/12)/INDEX('Lease Cycles'!$CP$8:$CV$8,1,EJ10))/12)))),'Lease Cycles'!$C$8*INDEX('Lease Cycles'!$CB$8:$CH$8,1,EJ10)*(1+INDEX('Lease Cycles'!$CI$8:$CO$8,1,EJ10))^INT(INT(EJ11/12)/INDEX('Lease Cycles'!$CP$8:$CV$8,1,EJ10))/12))),IF('Lease Cycles'!$N$8=1,'Lease Cycles'!$C$8*'Lease Cycles'!$E$8*INDEX('Lease Cycles'!$HE$8:$HK$8,1,EJ10)*(1+INDEX('Lease Cycles'!$GQ$8:$GW$8,1,EJ10))^INT(INT((EJ$6-INDEX('Lease Cycles'!$GJ$8:$GP$8,1,EJ10))/12)/INDEX('Lease Cycles'!$GX$8:$HD$8,1,EJ10))/12,0)))</f>
        <v>41333.333333333336</v>
      </c>
      <c r="EK13" s="28">
        <f>IF(EK10=0,IF('Lease Cycles'!$F$8&gt;0,'Lease Cycles'!$C$8*'Lease Cycles'!$E$8/12,0),IF(EK12=1,IF('Lease Cycles'!$AT$8&gt;=9999,'Lease Cycles'!$C$8*INDEX('Lease Cycles'!$CB$8:$CH$8,1,EK10)*(1+INDEX('Lease Cycles'!$CI$8:$CO$8,1,EK10))^INT(INT(EK11/12)/INDEX('Lease Cycles'!$CP$8:$CV$8,1,EK10))/12,IF(EK10=1,IF(EK11&gt;=INDEX('Lease Cycles'!$DK$8:$DQ$8,1,EK10),IF(EK$6&gt;='Lease Cycles'!$AZ$8,'Lease Cycles'!$C$8*'Lease Cycles'!$BA$8/12,IF(EK$6&gt;='Lease Cycles'!$AX$8,'Lease Cycles'!$C$8*'Lease Cycles'!$AY$8/12,IF(EK$6&gt;='Lease Cycles'!$AV$8,'Lease Cycles'!$C$8*'Lease Cycles'!$AW$8/12,IF(EK$6&gt;='Lease Cycles'!$AT$8,'Lease Cycles'!$C$8*'Lease Cycles'!$AU$8/12,'Lease Cycles'!$C$8*INDEX('Lease Cycles'!$CB$8:$CH$8,1,EK10)*(1+INDEX('Lease Cycles'!$CI$8:$CO$8,1,EK10))^INT(INT(EK11/12)/INDEX('Lease Cycles'!$CP$8:$CV$8,1,EK10))/12)))),'Lease Cycles'!$C$8*INDEX('Lease Cycles'!$CB$8:$CH$8,1,EK10)*(1+INDEX('Lease Cycles'!$CI$8:$CO$8,1,EK10))^INT(INT(EK11/12)/INDEX('Lease Cycles'!$CP$8:$CV$8,1,EK10))/12),IF(INDEX('Lease Cycles'!$EF$8:$EL$8,1,EK10)=1,IF(AND('Lease Cycles'!$AZ$8&gt;=INDEX('Lease Cycles'!$BG$8:$BM$8,1,EK10),'Lease Cycles'!$AZ$8&lt;=EK$6),'Lease Cycles'!$C$8*'Lease Cycles'!$BA$8/12,IF(AND('Lease Cycles'!$AX$8&gt;=INDEX('Lease Cycles'!$BG$8:$BM$8,1,EK10),'Lease Cycles'!$AX$8&lt;=EK$6),'Lease Cycles'!$C$8*'Lease Cycles'!$AY$8/12,IF(AND('Lease Cycles'!$AV$8&gt;=INDEX('Lease Cycles'!$BG$8:$BM$8,1,EK10),'Lease Cycles'!$AV$8&lt;=EK$6),'Lease Cycles'!$C$8*'Lease Cycles'!$AW$8/12,IF(AND('Lease Cycles'!$AT$8&gt;=INDEX('Lease Cycles'!$BG$8:$BM$8,1,EK10),'Lease Cycles'!$AT$8&lt;=EK$6),'Lease Cycles'!$C$8*'Lease Cycles'!$AU$8/12,'Lease Cycles'!$C$8*INDEX('Lease Cycles'!$CB$8:$CH$8,1,EK10)*(1+INDEX('Lease Cycles'!$CI$8:$CO$8,1,EK10))^INT(INT(EK11/12)/INDEX('Lease Cycles'!$CP$8:$CV$8,1,EK10))/12)))),'Lease Cycles'!$C$8*INDEX('Lease Cycles'!$CB$8:$CH$8,1,EK10)*(1+INDEX('Lease Cycles'!$CI$8:$CO$8,1,EK10))^INT(INT(EK11/12)/INDEX('Lease Cycles'!$CP$8:$CV$8,1,EK10))/12))),IF('Lease Cycles'!$N$8=1,'Lease Cycles'!$C$8*'Lease Cycles'!$E$8*INDEX('Lease Cycles'!$HE$8:$HK$8,1,EK10)*(1+INDEX('Lease Cycles'!$GQ$8:$GW$8,1,EK10))^INT(INT((EK$6-INDEX('Lease Cycles'!$GJ$8:$GP$8,1,EK10))/12)/INDEX('Lease Cycles'!$GX$8:$HD$8,1,EK10))/12,0)))</f>
        <v>41333.333333333336</v>
      </c>
      <c r="EL13" s="28">
        <f>IF(EL10=0,IF('Lease Cycles'!$F$8&gt;0,'Lease Cycles'!$C$8*'Lease Cycles'!$E$8/12,0),IF(EL12=1,IF('Lease Cycles'!$AT$8&gt;=9999,'Lease Cycles'!$C$8*INDEX('Lease Cycles'!$CB$8:$CH$8,1,EL10)*(1+INDEX('Lease Cycles'!$CI$8:$CO$8,1,EL10))^INT(INT(EL11/12)/INDEX('Lease Cycles'!$CP$8:$CV$8,1,EL10))/12,IF(EL10=1,IF(EL11&gt;=INDEX('Lease Cycles'!$DK$8:$DQ$8,1,EL10),IF(EL$6&gt;='Lease Cycles'!$AZ$8,'Lease Cycles'!$C$8*'Lease Cycles'!$BA$8/12,IF(EL$6&gt;='Lease Cycles'!$AX$8,'Lease Cycles'!$C$8*'Lease Cycles'!$AY$8/12,IF(EL$6&gt;='Lease Cycles'!$AV$8,'Lease Cycles'!$C$8*'Lease Cycles'!$AW$8/12,IF(EL$6&gt;='Lease Cycles'!$AT$8,'Lease Cycles'!$C$8*'Lease Cycles'!$AU$8/12,'Lease Cycles'!$C$8*INDEX('Lease Cycles'!$CB$8:$CH$8,1,EL10)*(1+INDEX('Lease Cycles'!$CI$8:$CO$8,1,EL10))^INT(INT(EL11/12)/INDEX('Lease Cycles'!$CP$8:$CV$8,1,EL10))/12)))),'Lease Cycles'!$C$8*INDEX('Lease Cycles'!$CB$8:$CH$8,1,EL10)*(1+INDEX('Lease Cycles'!$CI$8:$CO$8,1,EL10))^INT(INT(EL11/12)/INDEX('Lease Cycles'!$CP$8:$CV$8,1,EL10))/12),IF(INDEX('Lease Cycles'!$EF$8:$EL$8,1,EL10)=1,IF(AND('Lease Cycles'!$AZ$8&gt;=INDEX('Lease Cycles'!$BG$8:$BM$8,1,EL10),'Lease Cycles'!$AZ$8&lt;=EL$6),'Lease Cycles'!$C$8*'Lease Cycles'!$BA$8/12,IF(AND('Lease Cycles'!$AX$8&gt;=INDEX('Lease Cycles'!$BG$8:$BM$8,1,EL10),'Lease Cycles'!$AX$8&lt;=EL$6),'Lease Cycles'!$C$8*'Lease Cycles'!$AY$8/12,IF(AND('Lease Cycles'!$AV$8&gt;=INDEX('Lease Cycles'!$BG$8:$BM$8,1,EL10),'Lease Cycles'!$AV$8&lt;=EL$6),'Lease Cycles'!$C$8*'Lease Cycles'!$AW$8/12,IF(AND('Lease Cycles'!$AT$8&gt;=INDEX('Lease Cycles'!$BG$8:$BM$8,1,EL10),'Lease Cycles'!$AT$8&lt;=EL$6),'Lease Cycles'!$C$8*'Lease Cycles'!$AU$8/12,'Lease Cycles'!$C$8*INDEX('Lease Cycles'!$CB$8:$CH$8,1,EL10)*(1+INDEX('Lease Cycles'!$CI$8:$CO$8,1,EL10))^INT(INT(EL11/12)/INDEX('Lease Cycles'!$CP$8:$CV$8,1,EL10))/12)))),'Lease Cycles'!$C$8*INDEX('Lease Cycles'!$CB$8:$CH$8,1,EL10)*(1+INDEX('Lease Cycles'!$CI$8:$CO$8,1,EL10))^INT(INT(EL11/12)/INDEX('Lease Cycles'!$CP$8:$CV$8,1,EL10))/12))),IF('Lease Cycles'!$N$8=1,'Lease Cycles'!$C$8*'Lease Cycles'!$E$8*INDEX('Lease Cycles'!$HE$8:$HK$8,1,EL10)*(1+INDEX('Lease Cycles'!$GQ$8:$GW$8,1,EL10))^INT(INT((EL$6-INDEX('Lease Cycles'!$GJ$8:$GP$8,1,EL10))/12)/INDEX('Lease Cycles'!$GX$8:$HD$8,1,EL10))/12,0)))</f>
        <v>41333.333333333336</v>
      </c>
      <c r="EM13" s="28">
        <f>IF(EM10=0,IF('Lease Cycles'!$F$8&gt;0,'Lease Cycles'!$C$8*'Lease Cycles'!$E$8/12,0),IF(EM12=1,IF('Lease Cycles'!$AT$8&gt;=9999,'Lease Cycles'!$C$8*INDEX('Lease Cycles'!$CB$8:$CH$8,1,EM10)*(1+INDEX('Lease Cycles'!$CI$8:$CO$8,1,EM10))^INT(INT(EM11/12)/INDEX('Lease Cycles'!$CP$8:$CV$8,1,EM10))/12,IF(EM10=1,IF(EM11&gt;=INDEX('Lease Cycles'!$DK$8:$DQ$8,1,EM10),IF(EM$6&gt;='Lease Cycles'!$AZ$8,'Lease Cycles'!$C$8*'Lease Cycles'!$BA$8/12,IF(EM$6&gt;='Lease Cycles'!$AX$8,'Lease Cycles'!$C$8*'Lease Cycles'!$AY$8/12,IF(EM$6&gt;='Lease Cycles'!$AV$8,'Lease Cycles'!$C$8*'Lease Cycles'!$AW$8/12,IF(EM$6&gt;='Lease Cycles'!$AT$8,'Lease Cycles'!$C$8*'Lease Cycles'!$AU$8/12,'Lease Cycles'!$C$8*INDEX('Lease Cycles'!$CB$8:$CH$8,1,EM10)*(1+INDEX('Lease Cycles'!$CI$8:$CO$8,1,EM10))^INT(INT(EM11/12)/INDEX('Lease Cycles'!$CP$8:$CV$8,1,EM10))/12)))),'Lease Cycles'!$C$8*INDEX('Lease Cycles'!$CB$8:$CH$8,1,EM10)*(1+INDEX('Lease Cycles'!$CI$8:$CO$8,1,EM10))^INT(INT(EM11/12)/INDEX('Lease Cycles'!$CP$8:$CV$8,1,EM10))/12),IF(INDEX('Lease Cycles'!$EF$8:$EL$8,1,EM10)=1,IF(AND('Lease Cycles'!$AZ$8&gt;=INDEX('Lease Cycles'!$BG$8:$BM$8,1,EM10),'Lease Cycles'!$AZ$8&lt;=EM$6),'Lease Cycles'!$C$8*'Lease Cycles'!$BA$8/12,IF(AND('Lease Cycles'!$AX$8&gt;=INDEX('Lease Cycles'!$BG$8:$BM$8,1,EM10),'Lease Cycles'!$AX$8&lt;=EM$6),'Lease Cycles'!$C$8*'Lease Cycles'!$AY$8/12,IF(AND('Lease Cycles'!$AV$8&gt;=INDEX('Lease Cycles'!$BG$8:$BM$8,1,EM10),'Lease Cycles'!$AV$8&lt;=EM$6),'Lease Cycles'!$C$8*'Lease Cycles'!$AW$8/12,IF(AND('Lease Cycles'!$AT$8&gt;=INDEX('Lease Cycles'!$BG$8:$BM$8,1,EM10),'Lease Cycles'!$AT$8&lt;=EM$6),'Lease Cycles'!$C$8*'Lease Cycles'!$AU$8/12,'Lease Cycles'!$C$8*INDEX('Lease Cycles'!$CB$8:$CH$8,1,EM10)*(1+INDEX('Lease Cycles'!$CI$8:$CO$8,1,EM10))^INT(INT(EM11/12)/INDEX('Lease Cycles'!$CP$8:$CV$8,1,EM10))/12)))),'Lease Cycles'!$C$8*INDEX('Lease Cycles'!$CB$8:$CH$8,1,EM10)*(1+INDEX('Lease Cycles'!$CI$8:$CO$8,1,EM10))^INT(INT(EM11/12)/INDEX('Lease Cycles'!$CP$8:$CV$8,1,EM10))/12))),IF('Lease Cycles'!$N$8=1,'Lease Cycles'!$C$8*'Lease Cycles'!$E$8*INDEX('Lease Cycles'!$HE$8:$HK$8,1,EM10)*(1+INDEX('Lease Cycles'!$GQ$8:$GW$8,1,EM10))^INT(INT((EM$6-INDEX('Lease Cycles'!$GJ$8:$GP$8,1,EM10))/12)/INDEX('Lease Cycles'!$GX$8:$HD$8,1,EM10))/12,0)))</f>
        <v>41333.333333333336</v>
      </c>
      <c r="EN13" s="28">
        <f>IF(EN10=0,IF('Lease Cycles'!$F$8&gt;0,'Lease Cycles'!$C$8*'Lease Cycles'!$E$8/12,0),IF(EN12=1,IF('Lease Cycles'!$AT$8&gt;=9999,'Lease Cycles'!$C$8*INDEX('Lease Cycles'!$CB$8:$CH$8,1,EN10)*(1+INDEX('Lease Cycles'!$CI$8:$CO$8,1,EN10))^INT(INT(EN11/12)/INDEX('Lease Cycles'!$CP$8:$CV$8,1,EN10))/12,IF(EN10=1,IF(EN11&gt;=INDEX('Lease Cycles'!$DK$8:$DQ$8,1,EN10),IF(EN$6&gt;='Lease Cycles'!$AZ$8,'Lease Cycles'!$C$8*'Lease Cycles'!$BA$8/12,IF(EN$6&gt;='Lease Cycles'!$AX$8,'Lease Cycles'!$C$8*'Lease Cycles'!$AY$8/12,IF(EN$6&gt;='Lease Cycles'!$AV$8,'Lease Cycles'!$C$8*'Lease Cycles'!$AW$8/12,IF(EN$6&gt;='Lease Cycles'!$AT$8,'Lease Cycles'!$C$8*'Lease Cycles'!$AU$8/12,'Lease Cycles'!$C$8*INDEX('Lease Cycles'!$CB$8:$CH$8,1,EN10)*(1+INDEX('Lease Cycles'!$CI$8:$CO$8,1,EN10))^INT(INT(EN11/12)/INDEX('Lease Cycles'!$CP$8:$CV$8,1,EN10))/12)))),'Lease Cycles'!$C$8*INDEX('Lease Cycles'!$CB$8:$CH$8,1,EN10)*(1+INDEX('Lease Cycles'!$CI$8:$CO$8,1,EN10))^INT(INT(EN11/12)/INDEX('Lease Cycles'!$CP$8:$CV$8,1,EN10))/12),IF(INDEX('Lease Cycles'!$EF$8:$EL$8,1,EN10)=1,IF(AND('Lease Cycles'!$AZ$8&gt;=INDEX('Lease Cycles'!$BG$8:$BM$8,1,EN10),'Lease Cycles'!$AZ$8&lt;=EN$6),'Lease Cycles'!$C$8*'Lease Cycles'!$BA$8/12,IF(AND('Lease Cycles'!$AX$8&gt;=INDEX('Lease Cycles'!$BG$8:$BM$8,1,EN10),'Lease Cycles'!$AX$8&lt;=EN$6),'Lease Cycles'!$C$8*'Lease Cycles'!$AY$8/12,IF(AND('Lease Cycles'!$AV$8&gt;=INDEX('Lease Cycles'!$BG$8:$BM$8,1,EN10),'Lease Cycles'!$AV$8&lt;=EN$6),'Lease Cycles'!$C$8*'Lease Cycles'!$AW$8/12,IF(AND('Lease Cycles'!$AT$8&gt;=INDEX('Lease Cycles'!$BG$8:$BM$8,1,EN10),'Lease Cycles'!$AT$8&lt;=EN$6),'Lease Cycles'!$C$8*'Lease Cycles'!$AU$8/12,'Lease Cycles'!$C$8*INDEX('Lease Cycles'!$CB$8:$CH$8,1,EN10)*(1+INDEX('Lease Cycles'!$CI$8:$CO$8,1,EN10))^INT(INT(EN11/12)/INDEX('Lease Cycles'!$CP$8:$CV$8,1,EN10))/12)))),'Lease Cycles'!$C$8*INDEX('Lease Cycles'!$CB$8:$CH$8,1,EN10)*(1+INDEX('Lease Cycles'!$CI$8:$CO$8,1,EN10))^INT(INT(EN11/12)/INDEX('Lease Cycles'!$CP$8:$CV$8,1,EN10))/12))),IF('Lease Cycles'!$N$8=1,'Lease Cycles'!$C$8*'Lease Cycles'!$E$8*INDEX('Lease Cycles'!$HE$8:$HK$8,1,EN10)*(1+INDEX('Lease Cycles'!$GQ$8:$GW$8,1,EN10))^INT(INT((EN$6-INDEX('Lease Cycles'!$GJ$8:$GP$8,1,EN10))/12)/INDEX('Lease Cycles'!$GX$8:$HD$8,1,EN10))/12,0)))</f>
        <v>41333.333333333336</v>
      </c>
      <c r="EO13" s="28">
        <f>IF(EO10=0,IF('Lease Cycles'!$F$8&gt;0,'Lease Cycles'!$C$8*'Lease Cycles'!$E$8/12,0),IF(EO12=1,IF('Lease Cycles'!$AT$8&gt;=9999,'Lease Cycles'!$C$8*INDEX('Lease Cycles'!$CB$8:$CH$8,1,EO10)*(1+INDEX('Lease Cycles'!$CI$8:$CO$8,1,EO10))^INT(INT(EO11/12)/INDEX('Lease Cycles'!$CP$8:$CV$8,1,EO10))/12,IF(EO10=1,IF(EO11&gt;=INDEX('Lease Cycles'!$DK$8:$DQ$8,1,EO10),IF(EO$6&gt;='Lease Cycles'!$AZ$8,'Lease Cycles'!$C$8*'Lease Cycles'!$BA$8/12,IF(EO$6&gt;='Lease Cycles'!$AX$8,'Lease Cycles'!$C$8*'Lease Cycles'!$AY$8/12,IF(EO$6&gt;='Lease Cycles'!$AV$8,'Lease Cycles'!$C$8*'Lease Cycles'!$AW$8/12,IF(EO$6&gt;='Lease Cycles'!$AT$8,'Lease Cycles'!$C$8*'Lease Cycles'!$AU$8/12,'Lease Cycles'!$C$8*INDEX('Lease Cycles'!$CB$8:$CH$8,1,EO10)*(1+INDEX('Lease Cycles'!$CI$8:$CO$8,1,EO10))^INT(INT(EO11/12)/INDEX('Lease Cycles'!$CP$8:$CV$8,1,EO10))/12)))),'Lease Cycles'!$C$8*INDEX('Lease Cycles'!$CB$8:$CH$8,1,EO10)*(1+INDEX('Lease Cycles'!$CI$8:$CO$8,1,EO10))^INT(INT(EO11/12)/INDEX('Lease Cycles'!$CP$8:$CV$8,1,EO10))/12),IF(INDEX('Lease Cycles'!$EF$8:$EL$8,1,EO10)=1,IF(AND('Lease Cycles'!$AZ$8&gt;=INDEX('Lease Cycles'!$BG$8:$BM$8,1,EO10),'Lease Cycles'!$AZ$8&lt;=EO$6),'Lease Cycles'!$C$8*'Lease Cycles'!$BA$8/12,IF(AND('Lease Cycles'!$AX$8&gt;=INDEX('Lease Cycles'!$BG$8:$BM$8,1,EO10),'Lease Cycles'!$AX$8&lt;=EO$6),'Lease Cycles'!$C$8*'Lease Cycles'!$AY$8/12,IF(AND('Lease Cycles'!$AV$8&gt;=INDEX('Lease Cycles'!$BG$8:$BM$8,1,EO10),'Lease Cycles'!$AV$8&lt;=EO$6),'Lease Cycles'!$C$8*'Lease Cycles'!$AW$8/12,IF(AND('Lease Cycles'!$AT$8&gt;=INDEX('Lease Cycles'!$BG$8:$BM$8,1,EO10),'Lease Cycles'!$AT$8&lt;=EO$6),'Lease Cycles'!$C$8*'Lease Cycles'!$AU$8/12,'Lease Cycles'!$C$8*INDEX('Lease Cycles'!$CB$8:$CH$8,1,EO10)*(1+INDEX('Lease Cycles'!$CI$8:$CO$8,1,EO10))^INT(INT(EO11/12)/INDEX('Lease Cycles'!$CP$8:$CV$8,1,EO10))/12)))),'Lease Cycles'!$C$8*INDEX('Lease Cycles'!$CB$8:$CH$8,1,EO10)*(1+INDEX('Lease Cycles'!$CI$8:$CO$8,1,EO10))^INT(INT(EO11/12)/INDEX('Lease Cycles'!$CP$8:$CV$8,1,EO10))/12))),IF('Lease Cycles'!$N$8=1,'Lease Cycles'!$C$8*'Lease Cycles'!$E$8*INDEX('Lease Cycles'!$HE$8:$HK$8,1,EO10)*(1+INDEX('Lease Cycles'!$GQ$8:$GW$8,1,EO10))^INT(INT((EO$6-INDEX('Lease Cycles'!$GJ$8:$GP$8,1,EO10))/12)/INDEX('Lease Cycles'!$GX$8:$HD$8,1,EO10))/12,0)))</f>
        <v>41333.333333333336</v>
      </c>
      <c r="EP13" s="28">
        <f>IF(EP10=0,IF('Lease Cycles'!$F$8&gt;0,'Lease Cycles'!$C$8*'Lease Cycles'!$E$8/12,0),IF(EP12=1,IF('Lease Cycles'!$AT$8&gt;=9999,'Lease Cycles'!$C$8*INDEX('Lease Cycles'!$CB$8:$CH$8,1,EP10)*(1+INDEX('Lease Cycles'!$CI$8:$CO$8,1,EP10))^INT(INT(EP11/12)/INDEX('Lease Cycles'!$CP$8:$CV$8,1,EP10))/12,IF(EP10=1,IF(EP11&gt;=INDEX('Lease Cycles'!$DK$8:$DQ$8,1,EP10),IF(EP$6&gt;='Lease Cycles'!$AZ$8,'Lease Cycles'!$C$8*'Lease Cycles'!$BA$8/12,IF(EP$6&gt;='Lease Cycles'!$AX$8,'Lease Cycles'!$C$8*'Lease Cycles'!$AY$8/12,IF(EP$6&gt;='Lease Cycles'!$AV$8,'Lease Cycles'!$C$8*'Lease Cycles'!$AW$8/12,IF(EP$6&gt;='Lease Cycles'!$AT$8,'Lease Cycles'!$C$8*'Lease Cycles'!$AU$8/12,'Lease Cycles'!$C$8*INDEX('Lease Cycles'!$CB$8:$CH$8,1,EP10)*(1+INDEX('Lease Cycles'!$CI$8:$CO$8,1,EP10))^INT(INT(EP11/12)/INDEX('Lease Cycles'!$CP$8:$CV$8,1,EP10))/12)))),'Lease Cycles'!$C$8*INDEX('Lease Cycles'!$CB$8:$CH$8,1,EP10)*(1+INDEX('Lease Cycles'!$CI$8:$CO$8,1,EP10))^INT(INT(EP11/12)/INDEX('Lease Cycles'!$CP$8:$CV$8,1,EP10))/12),IF(INDEX('Lease Cycles'!$EF$8:$EL$8,1,EP10)=1,IF(AND('Lease Cycles'!$AZ$8&gt;=INDEX('Lease Cycles'!$BG$8:$BM$8,1,EP10),'Lease Cycles'!$AZ$8&lt;=EP$6),'Lease Cycles'!$C$8*'Lease Cycles'!$BA$8/12,IF(AND('Lease Cycles'!$AX$8&gt;=INDEX('Lease Cycles'!$BG$8:$BM$8,1,EP10),'Lease Cycles'!$AX$8&lt;=EP$6),'Lease Cycles'!$C$8*'Lease Cycles'!$AY$8/12,IF(AND('Lease Cycles'!$AV$8&gt;=INDEX('Lease Cycles'!$BG$8:$BM$8,1,EP10),'Lease Cycles'!$AV$8&lt;=EP$6),'Lease Cycles'!$C$8*'Lease Cycles'!$AW$8/12,IF(AND('Lease Cycles'!$AT$8&gt;=INDEX('Lease Cycles'!$BG$8:$BM$8,1,EP10),'Lease Cycles'!$AT$8&lt;=EP$6),'Lease Cycles'!$C$8*'Lease Cycles'!$AU$8/12,'Lease Cycles'!$C$8*INDEX('Lease Cycles'!$CB$8:$CH$8,1,EP10)*(1+INDEX('Lease Cycles'!$CI$8:$CO$8,1,EP10))^INT(INT(EP11/12)/INDEX('Lease Cycles'!$CP$8:$CV$8,1,EP10))/12)))),'Lease Cycles'!$C$8*INDEX('Lease Cycles'!$CB$8:$CH$8,1,EP10)*(1+INDEX('Lease Cycles'!$CI$8:$CO$8,1,EP10))^INT(INT(EP11/12)/INDEX('Lease Cycles'!$CP$8:$CV$8,1,EP10))/12))),IF('Lease Cycles'!$N$8=1,'Lease Cycles'!$C$8*'Lease Cycles'!$E$8*INDEX('Lease Cycles'!$HE$8:$HK$8,1,EP10)*(1+INDEX('Lease Cycles'!$GQ$8:$GW$8,1,EP10))^INT(INT((EP$6-INDEX('Lease Cycles'!$GJ$8:$GP$8,1,EP10))/12)/INDEX('Lease Cycles'!$GX$8:$HD$8,1,EP10))/12,0)))</f>
        <v>41333.333333333336</v>
      </c>
      <c r="EQ13" s="28">
        <f>IF(EQ10=0,IF('Lease Cycles'!$F$8&gt;0,'Lease Cycles'!$C$8*'Lease Cycles'!$E$8/12,0),IF(EQ12=1,IF('Lease Cycles'!$AT$8&gt;=9999,'Lease Cycles'!$C$8*INDEX('Lease Cycles'!$CB$8:$CH$8,1,EQ10)*(1+INDEX('Lease Cycles'!$CI$8:$CO$8,1,EQ10))^INT(INT(EQ11/12)/INDEX('Lease Cycles'!$CP$8:$CV$8,1,EQ10))/12,IF(EQ10=1,IF(EQ11&gt;=INDEX('Lease Cycles'!$DK$8:$DQ$8,1,EQ10),IF(EQ$6&gt;='Lease Cycles'!$AZ$8,'Lease Cycles'!$C$8*'Lease Cycles'!$BA$8/12,IF(EQ$6&gt;='Lease Cycles'!$AX$8,'Lease Cycles'!$C$8*'Lease Cycles'!$AY$8/12,IF(EQ$6&gt;='Lease Cycles'!$AV$8,'Lease Cycles'!$C$8*'Lease Cycles'!$AW$8/12,IF(EQ$6&gt;='Lease Cycles'!$AT$8,'Lease Cycles'!$C$8*'Lease Cycles'!$AU$8/12,'Lease Cycles'!$C$8*INDEX('Lease Cycles'!$CB$8:$CH$8,1,EQ10)*(1+INDEX('Lease Cycles'!$CI$8:$CO$8,1,EQ10))^INT(INT(EQ11/12)/INDEX('Lease Cycles'!$CP$8:$CV$8,1,EQ10))/12)))),'Lease Cycles'!$C$8*INDEX('Lease Cycles'!$CB$8:$CH$8,1,EQ10)*(1+INDEX('Lease Cycles'!$CI$8:$CO$8,1,EQ10))^INT(INT(EQ11/12)/INDEX('Lease Cycles'!$CP$8:$CV$8,1,EQ10))/12),IF(INDEX('Lease Cycles'!$EF$8:$EL$8,1,EQ10)=1,IF(AND('Lease Cycles'!$AZ$8&gt;=INDEX('Lease Cycles'!$BG$8:$BM$8,1,EQ10),'Lease Cycles'!$AZ$8&lt;=EQ$6),'Lease Cycles'!$C$8*'Lease Cycles'!$BA$8/12,IF(AND('Lease Cycles'!$AX$8&gt;=INDEX('Lease Cycles'!$BG$8:$BM$8,1,EQ10),'Lease Cycles'!$AX$8&lt;=EQ$6),'Lease Cycles'!$C$8*'Lease Cycles'!$AY$8/12,IF(AND('Lease Cycles'!$AV$8&gt;=INDEX('Lease Cycles'!$BG$8:$BM$8,1,EQ10),'Lease Cycles'!$AV$8&lt;=EQ$6),'Lease Cycles'!$C$8*'Lease Cycles'!$AW$8/12,IF(AND('Lease Cycles'!$AT$8&gt;=INDEX('Lease Cycles'!$BG$8:$BM$8,1,EQ10),'Lease Cycles'!$AT$8&lt;=EQ$6),'Lease Cycles'!$C$8*'Lease Cycles'!$AU$8/12,'Lease Cycles'!$C$8*INDEX('Lease Cycles'!$CB$8:$CH$8,1,EQ10)*(1+INDEX('Lease Cycles'!$CI$8:$CO$8,1,EQ10))^INT(INT(EQ11/12)/INDEX('Lease Cycles'!$CP$8:$CV$8,1,EQ10))/12)))),'Lease Cycles'!$C$8*INDEX('Lease Cycles'!$CB$8:$CH$8,1,EQ10)*(1+INDEX('Lease Cycles'!$CI$8:$CO$8,1,EQ10))^INT(INT(EQ11/12)/INDEX('Lease Cycles'!$CP$8:$CV$8,1,EQ10))/12))),IF('Lease Cycles'!$N$8=1,'Lease Cycles'!$C$8*'Lease Cycles'!$E$8*INDEX('Lease Cycles'!$HE$8:$HK$8,1,EQ10)*(1+INDEX('Lease Cycles'!$GQ$8:$GW$8,1,EQ10))^INT(INT((EQ$6-INDEX('Lease Cycles'!$GJ$8:$GP$8,1,EQ10))/12)/INDEX('Lease Cycles'!$GX$8:$HD$8,1,EQ10))/12,0)))</f>
        <v>41333.333333333336</v>
      </c>
      <c r="ER13" s="28">
        <f>IF(ER10=0,IF('Lease Cycles'!$F$8&gt;0,'Lease Cycles'!$C$8*'Lease Cycles'!$E$8/12,0),IF(ER12=1,IF('Lease Cycles'!$AT$8&gt;=9999,'Lease Cycles'!$C$8*INDEX('Lease Cycles'!$CB$8:$CH$8,1,ER10)*(1+INDEX('Lease Cycles'!$CI$8:$CO$8,1,ER10))^INT(INT(ER11/12)/INDEX('Lease Cycles'!$CP$8:$CV$8,1,ER10))/12,IF(ER10=1,IF(ER11&gt;=INDEX('Lease Cycles'!$DK$8:$DQ$8,1,ER10),IF(ER$6&gt;='Lease Cycles'!$AZ$8,'Lease Cycles'!$C$8*'Lease Cycles'!$BA$8/12,IF(ER$6&gt;='Lease Cycles'!$AX$8,'Lease Cycles'!$C$8*'Lease Cycles'!$AY$8/12,IF(ER$6&gt;='Lease Cycles'!$AV$8,'Lease Cycles'!$C$8*'Lease Cycles'!$AW$8/12,IF(ER$6&gt;='Lease Cycles'!$AT$8,'Lease Cycles'!$C$8*'Lease Cycles'!$AU$8/12,'Lease Cycles'!$C$8*INDEX('Lease Cycles'!$CB$8:$CH$8,1,ER10)*(1+INDEX('Lease Cycles'!$CI$8:$CO$8,1,ER10))^INT(INT(ER11/12)/INDEX('Lease Cycles'!$CP$8:$CV$8,1,ER10))/12)))),'Lease Cycles'!$C$8*INDEX('Lease Cycles'!$CB$8:$CH$8,1,ER10)*(1+INDEX('Lease Cycles'!$CI$8:$CO$8,1,ER10))^INT(INT(ER11/12)/INDEX('Lease Cycles'!$CP$8:$CV$8,1,ER10))/12),IF(INDEX('Lease Cycles'!$EF$8:$EL$8,1,ER10)=1,IF(AND('Lease Cycles'!$AZ$8&gt;=INDEX('Lease Cycles'!$BG$8:$BM$8,1,ER10),'Lease Cycles'!$AZ$8&lt;=ER$6),'Lease Cycles'!$C$8*'Lease Cycles'!$BA$8/12,IF(AND('Lease Cycles'!$AX$8&gt;=INDEX('Lease Cycles'!$BG$8:$BM$8,1,ER10),'Lease Cycles'!$AX$8&lt;=ER$6),'Lease Cycles'!$C$8*'Lease Cycles'!$AY$8/12,IF(AND('Lease Cycles'!$AV$8&gt;=INDEX('Lease Cycles'!$BG$8:$BM$8,1,ER10),'Lease Cycles'!$AV$8&lt;=ER$6),'Lease Cycles'!$C$8*'Lease Cycles'!$AW$8/12,IF(AND('Lease Cycles'!$AT$8&gt;=INDEX('Lease Cycles'!$BG$8:$BM$8,1,ER10),'Lease Cycles'!$AT$8&lt;=ER$6),'Lease Cycles'!$C$8*'Lease Cycles'!$AU$8/12,'Lease Cycles'!$C$8*INDEX('Lease Cycles'!$CB$8:$CH$8,1,ER10)*(1+INDEX('Lease Cycles'!$CI$8:$CO$8,1,ER10))^INT(INT(ER11/12)/INDEX('Lease Cycles'!$CP$8:$CV$8,1,ER10))/12)))),'Lease Cycles'!$C$8*INDEX('Lease Cycles'!$CB$8:$CH$8,1,ER10)*(1+INDEX('Lease Cycles'!$CI$8:$CO$8,1,ER10))^INT(INT(ER11/12)/INDEX('Lease Cycles'!$CP$8:$CV$8,1,ER10))/12))),IF('Lease Cycles'!$N$8=1,'Lease Cycles'!$C$8*'Lease Cycles'!$E$8*INDEX('Lease Cycles'!$HE$8:$HK$8,1,ER10)*(1+INDEX('Lease Cycles'!$GQ$8:$GW$8,1,ER10))^INT(INT((ER$6-INDEX('Lease Cycles'!$GJ$8:$GP$8,1,ER10))/12)/INDEX('Lease Cycles'!$GX$8:$HD$8,1,ER10))/12,0)))</f>
        <v>41333.333333333336</v>
      </c>
      <c r="ES13" s="28">
        <f>IF(ES10=0,IF('Lease Cycles'!$F$8&gt;0,'Lease Cycles'!$C$8*'Lease Cycles'!$E$8/12,0),IF(ES12=1,IF('Lease Cycles'!$AT$8&gt;=9999,'Lease Cycles'!$C$8*INDEX('Lease Cycles'!$CB$8:$CH$8,1,ES10)*(1+INDEX('Lease Cycles'!$CI$8:$CO$8,1,ES10))^INT(INT(ES11/12)/INDEX('Lease Cycles'!$CP$8:$CV$8,1,ES10))/12,IF(ES10=1,IF(ES11&gt;=INDEX('Lease Cycles'!$DK$8:$DQ$8,1,ES10),IF(ES$6&gt;='Lease Cycles'!$AZ$8,'Lease Cycles'!$C$8*'Lease Cycles'!$BA$8/12,IF(ES$6&gt;='Lease Cycles'!$AX$8,'Lease Cycles'!$C$8*'Lease Cycles'!$AY$8/12,IF(ES$6&gt;='Lease Cycles'!$AV$8,'Lease Cycles'!$C$8*'Lease Cycles'!$AW$8/12,IF(ES$6&gt;='Lease Cycles'!$AT$8,'Lease Cycles'!$C$8*'Lease Cycles'!$AU$8/12,'Lease Cycles'!$C$8*INDEX('Lease Cycles'!$CB$8:$CH$8,1,ES10)*(1+INDEX('Lease Cycles'!$CI$8:$CO$8,1,ES10))^INT(INT(ES11/12)/INDEX('Lease Cycles'!$CP$8:$CV$8,1,ES10))/12)))),'Lease Cycles'!$C$8*INDEX('Lease Cycles'!$CB$8:$CH$8,1,ES10)*(1+INDEX('Lease Cycles'!$CI$8:$CO$8,1,ES10))^INT(INT(ES11/12)/INDEX('Lease Cycles'!$CP$8:$CV$8,1,ES10))/12),IF(INDEX('Lease Cycles'!$EF$8:$EL$8,1,ES10)=1,IF(AND('Lease Cycles'!$AZ$8&gt;=INDEX('Lease Cycles'!$BG$8:$BM$8,1,ES10),'Lease Cycles'!$AZ$8&lt;=ES$6),'Lease Cycles'!$C$8*'Lease Cycles'!$BA$8/12,IF(AND('Lease Cycles'!$AX$8&gt;=INDEX('Lease Cycles'!$BG$8:$BM$8,1,ES10),'Lease Cycles'!$AX$8&lt;=ES$6),'Lease Cycles'!$C$8*'Lease Cycles'!$AY$8/12,IF(AND('Lease Cycles'!$AV$8&gt;=INDEX('Lease Cycles'!$BG$8:$BM$8,1,ES10),'Lease Cycles'!$AV$8&lt;=ES$6),'Lease Cycles'!$C$8*'Lease Cycles'!$AW$8/12,IF(AND('Lease Cycles'!$AT$8&gt;=INDEX('Lease Cycles'!$BG$8:$BM$8,1,ES10),'Lease Cycles'!$AT$8&lt;=ES$6),'Lease Cycles'!$C$8*'Lease Cycles'!$AU$8/12,'Lease Cycles'!$C$8*INDEX('Lease Cycles'!$CB$8:$CH$8,1,ES10)*(1+INDEX('Lease Cycles'!$CI$8:$CO$8,1,ES10))^INT(INT(ES11/12)/INDEX('Lease Cycles'!$CP$8:$CV$8,1,ES10))/12)))),'Lease Cycles'!$C$8*INDEX('Lease Cycles'!$CB$8:$CH$8,1,ES10)*(1+INDEX('Lease Cycles'!$CI$8:$CO$8,1,ES10))^INT(INT(ES11/12)/INDEX('Lease Cycles'!$CP$8:$CV$8,1,ES10))/12))),IF('Lease Cycles'!$N$8=1,'Lease Cycles'!$C$8*'Lease Cycles'!$E$8*INDEX('Lease Cycles'!$HE$8:$HK$8,1,ES10)*(1+INDEX('Lease Cycles'!$GQ$8:$GW$8,1,ES10))^INT(INT((ES$6-INDEX('Lease Cycles'!$GJ$8:$GP$8,1,ES10))/12)/INDEX('Lease Cycles'!$GX$8:$HD$8,1,ES10))/12,0)))</f>
        <v>41333.333333333336</v>
      </c>
      <c r="ET13" s="28">
        <f>IF(ET10=0,IF('Lease Cycles'!$F$8&gt;0,'Lease Cycles'!$C$8*'Lease Cycles'!$E$8/12,0),IF(ET12=1,IF('Lease Cycles'!$AT$8&gt;=9999,'Lease Cycles'!$C$8*INDEX('Lease Cycles'!$CB$8:$CH$8,1,ET10)*(1+INDEX('Lease Cycles'!$CI$8:$CO$8,1,ET10))^INT(INT(ET11/12)/INDEX('Lease Cycles'!$CP$8:$CV$8,1,ET10))/12,IF(ET10=1,IF(ET11&gt;=INDEX('Lease Cycles'!$DK$8:$DQ$8,1,ET10),IF(ET$6&gt;='Lease Cycles'!$AZ$8,'Lease Cycles'!$C$8*'Lease Cycles'!$BA$8/12,IF(ET$6&gt;='Lease Cycles'!$AX$8,'Lease Cycles'!$C$8*'Lease Cycles'!$AY$8/12,IF(ET$6&gt;='Lease Cycles'!$AV$8,'Lease Cycles'!$C$8*'Lease Cycles'!$AW$8/12,IF(ET$6&gt;='Lease Cycles'!$AT$8,'Lease Cycles'!$C$8*'Lease Cycles'!$AU$8/12,'Lease Cycles'!$C$8*INDEX('Lease Cycles'!$CB$8:$CH$8,1,ET10)*(1+INDEX('Lease Cycles'!$CI$8:$CO$8,1,ET10))^INT(INT(ET11/12)/INDEX('Lease Cycles'!$CP$8:$CV$8,1,ET10))/12)))),'Lease Cycles'!$C$8*INDEX('Lease Cycles'!$CB$8:$CH$8,1,ET10)*(1+INDEX('Lease Cycles'!$CI$8:$CO$8,1,ET10))^INT(INT(ET11/12)/INDEX('Lease Cycles'!$CP$8:$CV$8,1,ET10))/12),IF(INDEX('Lease Cycles'!$EF$8:$EL$8,1,ET10)=1,IF(AND('Lease Cycles'!$AZ$8&gt;=INDEX('Lease Cycles'!$BG$8:$BM$8,1,ET10),'Lease Cycles'!$AZ$8&lt;=ET$6),'Lease Cycles'!$C$8*'Lease Cycles'!$BA$8/12,IF(AND('Lease Cycles'!$AX$8&gt;=INDEX('Lease Cycles'!$BG$8:$BM$8,1,ET10),'Lease Cycles'!$AX$8&lt;=ET$6),'Lease Cycles'!$C$8*'Lease Cycles'!$AY$8/12,IF(AND('Lease Cycles'!$AV$8&gt;=INDEX('Lease Cycles'!$BG$8:$BM$8,1,ET10),'Lease Cycles'!$AV$8&lt;=ET$6),'Lease Cycles'!$C$8*'Lease Cycles'!$AW$8/12,IF(AND('Lease Cycles'!$AT$8&gt;=INDEX('Lease Cycles'!$BG$8:$BM$8,1,ET10),'Lease Cycles'!$AT$8&lt;=ET$6),'Lease Cycles'!$C$8*'Lease Cycles'!$AU$8/12,'Lease Cycles'!$C$8*INDEX('Lease Cycles'!$CB$8:$CH$8,1,ET10)*(1+INDEX('Lease Cycles'!$CI$8:$CO$8,1,ET10))^INT(INT(ET11/12)/INDEX('Lease Cycles'!$CP$8:$CV$8,1,ET10))/12)))),'Lease Cycles'!$C$8*INDEX('Lease Cycles'!$CB$8:$CH$8,1,ET10)*(1+INDEX('Lease Cycles'!$CI$8:$CO$8,1,ET10))^INT(INT(ET11/12)/INDEX('Lease Cycles'!$CP$8:$CV$8,1,ET10))/12))),IF('Lease Cycles'!$N$8=1,'Lease Cycles'!$C$8*'Lease Cycles'!$E$8*INDEX('Lease Cycles'!$HE$8:$HK$8,1,ET10)*(1+INDEX('Lease Cycles'!$GQ$8:$GW$8,1,ET10))^INT(INT((ET$6-INDEX('Lease Cycles'!$GJ$8:$GP$8,1,ET10))/12)/INDEX('Lease Cycles'!$GX$8:$HD$8,1,ET10))/12,0)))</f>
        <v>41333.333333333336</v>
      </c>
    </row>
    <row r="14">
      <c r="A14" s="103">
        <v>1</v>
      </c>
      <c r="B14" s="23" t="str">
        <f>IF('Lease Cycles'!$B$8="","(empty slot)",'Lease Cycles'!$B$8)</f>
        <v>Fieldstone Grocery</v>
      </c>
      <c r="C14" s="23" t="s">
        <v>679</v>
      </c>
      <c r="D14" s="104" t="s">
        <v>680</v>
      </c>
      <c r="E14" s="25">
        <f>'Lease Cycles'!$AL$8</f>
        <v>1</v>
      </c>
      <c r="S14" s="28">
        <f>IF(S12=1,IF(INDEX('Lease Cycles'!$EF$8:$EL$8,1,S10)=1,'Lease Cycles'!$C$8*INDEX('Lease Cycles'!$ET$8:$EZ$8,1,S10)*(1+'Lease Cycles'!$V$8)^INT(INT(S11/12)/'Lease Cycles'!$W$8)/12,0),0)</f>
        <v>0</v>
      </c>
      <c r="T14" s="28">
        <f>IF(T12=1,IF(INDEX('Lease Cycles'!$EF$8:$EL$8,1,T10)=1,'Lease Cycles'!$C$8*INDEX('Lease Cycles'!$ET$8:$EZ$8,1,T10)*(1+'Lease Cycles'!$V$8)^INT(INT(T11/12)/'Lease Cycles'!$W$8)/12,0),0)</f>
        <v>0</v>
      </c>
      <c r="U14" s="28">
        <f>IF(U12=1,IF(INDEX('Lease Cycles'!$EF$8:$EL$8,1,U10)=1,'Lease Cycles'!$C$8*INDEX('Lease Cycles'!$ET$8:$EZ$8,1,U10)*(1+'Lease Cycles'!$V$8)^INT(INT(U11/12)/'Lease Cycles'!$W$8)/12,0),0)</f>
        <v>0</v>
      </c>
      <c r="V14" s="28">
        <f>IF(V12=1,IF(INDEX('Lease Cycles'!$EF$8:$EL$8,1,V10)=1,'Lease Cycles'!$C$8*INDEX('Lease Cycles'!$ET$8:$EZ$8,1,V10)*(1+'Lease Cycles'!$V$8)^INT(INT(V11/12)/'Lease Cycles'!$W$8)/12,0),0)</f>
        <v>0</v>
      </c>
      <c r="W14" s="28">
        <f>IF(W12=1,IF(INDEX('Lease Cycles'!$EF$8:$EL$8,1,W10)=1,'Lease Cycles'!$C$8*INDEX('Lease Cycles'!$ET$8:$EZ$8,1,W10)*(1+'Lease Cycles'!$V$8)^INT(INT(W11/12)/'Lease Cycles'!$W$8)/12,0),0)</f>
        <v>0</v>
      </c>
      <c r="X14" s="28">
        <f>IF(X12=1,IF(INDEX('Lease Cycles'!$EF$8:$EL$8,1,X10)=1,'Lease Cycles'!$C$8*INDEX('Lease Cycles'!$ET$8:$EZ$8,1,X10)*(1+'Lease Cycles'!$V$8)^INT(INT(X11/12)/'Lease Cycles'!$W$8)/12,0),0)</f>
        <v>0</v>
      </c>
      <c r="Y14" s="28">
        <f>IF(Y12=1,IF(INDEX('Lease Cycles'!$EF$8:$EL$8,1,Y10)=1,'Lease Cycles'!$C$8*INDEX('Lease Cycles'!$ET$8:$EZ$8,1,Y10)*(1+'Lease Cycles'!$V$8)^INT(INT(Y11/12)/'Lease Cycles'!$W$8)/12,0),0)</f>
        <v>0</v>
      </c>
      <c r="Z14" s="28">
        <f>IF(Z12=1,IF(INDEX('Lease Cycles'!$EF$8:$EL$8,1,Z10)=1,'Lease Cycles'!$C$8*INDEX('Lease Cycles'!$ET$8:$EZ$8,1,Z10)*(1+'Lease Cycles'!$V$8)^INT(INT(Z11/12)/'Lease Cycles'!$W$8)/12,0),0)</f>
        <v>0</v>
      </c>
      <c r="AA14" s="28">
        <f>IF(AA12=1,IF(INDEX('Lease Cycles'!$EF$8:$EL$8,1,AA10)=1,'Lease Cycles'!$C$8*INDEX('Lease Cycles'!$ET$8:$EZ$8,1,AA10)*(1+'Lease Cycles'!$V$8)^INT(INT(AA11/12)/'Lease Cycles'!$W$8)/12,0),0)</f>
        <v>0</v>
      </c>
      <c r="AB14" s="28">
        <f>IF(AB12=1,IF(INDEX('Lease Cycles'!$EF$8:$EL$8,1,AB10)=1,'Lease Cycles'!$C$8*INDEX('Lease Cycles'!$ET$8:$EZ$8,1,AB10)*(1+'Lease Cycles'!$V$8)^INT(INT(AB11/12)/'Lease Cycles'!$W$8)/12,0),0)</f>
        <v>0</v>
      </c>
      <c r="AC14" s="28">
        <f>IF(AC12=1,IF(INDEX('Lease Cycles'!$EF$8:$EL$8,1,AC10)=1,'Lease Cycles'!$C$8*INDEX('Lease Cycles'!$ET$8:$EZ$8,1,AC10)*(1+'Lease Cycles'!$V$8)^INT(INT(AC11/12)/'Lease Cycles'!$W$8)/12,0),0)</f>
        <v>0</v>
      </c>
      <c r="AD14" s="28">
        <f>IF(AD12=1,IF(INDEX('Lease Cycles'!$EF$8:$EL$8,1,AD10)=1,'Lease Cycles'!$C$8*INDEX('Lease Cycles'!$ET$8:$EZ$8,1,AD10)*(1+'Lease Cycles'!$V$8)^INT(INT(AD11/12)/'Lease Cycles'!$W$8)/12,0),0)</f>
        <v>0</v>
      </c>
      <c r="AE14" s="28">
        <f>IF(AE12=1,IF(INDEX('Lease Cycles'!$EF$8:$EL$8,1,AE10)=1,'Lease Cycles'!$C$8*INDEX('Lease Cycles'!$ET$8:$EZ$8,1,AE10)*(1+'Lease Cycles'!$V$8)^INT(INT(AE11/12)/'Lease Cycles'!$W$8)/12,0),0)</f>
        <v>0</v>
      </c>
      <c r="AF14" s="28">
        <f>IF(AF12=1,IF(INDEX('Lease Cycles'!$EF$8:$EL$8,1,AF10)=1,'Lease Cycles'!$C$8*INDEX('Lease Cycles'!$ET$8:$EZ$8,1,AF10)*(1+'Lease Cycles'!$V$8)^INT(INT(AF11/12)/'Lease Cycles'!$W$8)/12,0),0)</f>
        <v>0</v>
      </c>
      <c r="AG14" s="28">
        <f>IF(AG12=1,IF(INDEX('Lease Cycles'!$EF$8:$EL$8,1,AG10)=1,'Lease Cycles'!$C$8*INDEX('Lease Cycles'!$ET$8:$EZ$8,1,AG10)*(1+'Lease Cycles'!$V$8)^INT(INT(AG11/12)/'Lease Cycles'!$W$8)/12,0),0)</f>
        <v>0</v>
      </c>
      <c r="AH14" s="28">
        <f>IF(AH12=1,IF(INDEX('Lease Cycles'!$EF$8:$EL$8,1,AH10)=1,'Lease Cycles'!$C$8*INDEX('Lease Cycles'!$ET$8:$EZ$8,1,AH10)*(1+'Lease Cycles'!$V$8)^INT(INT(AH11/12)/'Lease Cycles'!$W$8)/12,0),0)</f>
        <v>0</v>
      </c>
      <c r="AI14" s="28">
        <f>IF(AI12=1,IF(INDEX('Lease Cycles'!$EF$8:$EL$8,1,AI10)=1,'Lease Cycles'!$C$8*INDEX('Lease Cycles'!$ET$8:$EZ$8,1,AI10)*(1+'Lease Cycles'!$V$8)^INT(INT(AI11/12)/'Lease Cycles'!$W$8)/12,0),0)</f>
        <v>0</v>
      </c>
      <c r="AJ14" s="28">
        <f>IF(AJ12=1,IF(INDEX('Lease Cycles'!$EF$8:$EL$8,1,AJ10)=1,'Lease Cycles'!$C$8*INDEX('Lease Cycles'!$ET$8:$EZ$8,1,AJ10)*(1+'Lease Cycles'!$V$8)^INT(INT(AJ11/12)/'Lease Cycles'!$W$8)/12,0),0)</f>
        <v>0</v>
      </c>
      <c r="AK14" s="28">
        <f>IF(AK12=1,IF(INDEX('Lease Cycles'!$EF$8:$EL$8,1,AK10)=1,'Lease Cycles'!$C$8*INDEX('Lease Cycles'!$ET$8:$EZ$8,1,AK10)*(1+'Lease Cycles'!$V$8)^INT(INT(AK11/12)/'Lease Cycles'!$W$8)/12,0),0)</f>
        <v>0</v>
      </c>
      <c r="AL14" s="28">
        <f>IF(AL12=1,IF(INDEX('Lease Cycles'!$EF$8:$EL$8,1,AL10)=1,'Lease Cycles'!$C$8*INDEX('Lease Cycles'!$ET$8:$EZ$8,1,AL10)*(1+'Lease Cycles'!$V$8)^INT(INT(AL11/12)/'Lease Cycles'!$W$8)/12,0),0)</f>
        <v>0</v>
      </c>
      <c r="AM14" s="28">
        <f>IF(AM12=1,IF(INDEX('Lease Cycles'!$EF$8:$EL$8,1,AM10)=1,'Lease Cycles'!$C$8*INDEX('Lease Cycles'!$ET$8:$EZ$8,1,AM10)*(1+'Lease Cycles'!$V$8)^INT(INT(AM11/12)/'Lease Cycles'!$W$8)/12,0),0)</f>
        <v>0</v>
      </c>
      <c r="AN14" s="28">
        <f>IF(AN12=1,IF(INDEX('Lease Cycles'!$EF$8:$EL$8,1,AN10)=1,'Lease Cycles'!$C$8*INDEX('Lease Cycles'!$ET$8:$EZ$8,1,AN10)*(1+'Lease Cycles'!$V$8)^INT(INT(AN11/12)/'Lease Cycles'!$W$8)/12,0),0)</f>
        <v>0</v>
      </c>
      <c r="AO14" s="28">
        <f>IF(AO12=1,IF(INDEX('Lease Cycles'!$EF$8:$EL$8,1,AO10)=1,'Lease Cycles'!$C$8*INDEX('Lease Cycles'!$ET$8:$EZ$8,1,AO10)*(1+'Lease Cycles'!$V$8)^INT(INT(AO11/12)/'Lease Cycles'!$W$8)/12,0),0)</f>
        <v>0</v>
      </c>
      <c r="AP14" s="28">
        <f>IF(AP12=1,IF(INDEX('Lease Cycles'!$EF$8:$EL$8,1,AP10)=1,'Lease Cycles'!$C$8*INDEX('Lease Cycles'!$ET$8:$EZ$8,1,AP10)*(1+'Lease Cycles'!$V$8)^INT(INT(AP11/12)/'Lease Cycles'!$W$8)/12,0),0)</f>
        <v>0</v>
      </c>
      <c r="AQ14" s="28">
        <f>IF(AQ12=1,IF(INDEX('Lease Cycles'!$EF$8:$EL$8,1,AQ10)=1,'Lease Cycles'!$C$8*INDEX('Lease Cycles'!$ET$8:$EZ$8,1,AQ10)*(1+'Lease Cycles'!$V$8)^INT(INT(AQ11/12)/'Lease Cycles'!$W$8)/12,0),0)</f>
        <v>0</v>
      </c>
      <c r="AR14" s="28">
        <f>IF(AR12=1,IF(INDEX('Lease Cycles'!$EF$8:$EL$8,1,AR10)=1,'Lease Cycles'!$C$8*INDEX('Lease Cycles'!$ET$8:$EZ$8,1,AR10)*(1+'Lease Cycles'!$V$8)^INT(INT(AR11/12)/'Lease Cycles'!$W$8)/12,0),0)</f>
        <v>0</v>
      </c>
      <c r="AS14" s="28">
        <f>IF(AS12=1,IF(INDEX('Lease Cycles'!$EF$8:$EL$8,1,AS10)=1,'Lease Cycles'!$C$8*INDEX('Lease Cycles'!$ET$8:$EZ$8,1,AS10)*(1+'Lease Cycles'!$V$8)^INT(INT(AS11/12)/'Lease Cycles'!$W$8)/12,0),0)</f>
        <v>0</v>
      </c>
      <c r="AT14" s="28">
        <f>IF(AT12=1,IF(INDEX('Lease Cycles'!$EF$8:$EL$8,1,AT10)=1,'Lease Cycles'!$C$8*INDEX('Lease Cycles'!$ET$8:$EZ$8,1,AT10)*(1+'Lease Cycles'!$V$8)^INT(INT(AT11/12)/'Lease Cycles'!$W$8)/12,0),0)</f>
        <v>0</v>
      </c>
      <c r="AU14" s="28">
        <f>IF(AU12=1,IF(INDEX('Lease Cycles'!$EF$8:$EL$8,1,AU10)=1,'Lease Cycles'!$C$8*INDEX('Lease Cycles'!$ET$8:$EZ$8,1,AU10)*(1+'Lease Cycles'!$V$8)^INT(INT(AU11/12)/'Lease Cycles'!$W$8)/12,0),0)</f>
        <v>0</v>
      </c>
      <c r="AV14" s="28">
        <f>IF(AV12=1,IF(INDEX('Lease Cycles'!$EF$8:$EL$8,1,AV10)=1,'Lease Cycles'!$C$8*INDEX('Lease Cycles'!$ET$8:$EZ$8,1,AV10)*(1+'Lease Cycles'!$V$8)^INT(INT(AV11/12)/'Lease Cycles'!$W$8)/12,0),0)</f>
        <v>0</v>
      </c>
      <c r="AW14" s="28">
        <f>IF(AW12=1,IF(INDEX('Lease Cycles'!$EF$8:$EL$8,1,AW10)=1,'Lease Cycles'!$C$8*INDEX('Lease Cycles'!$ET$8:$EZ$8,1,AW10)*(1+'Lease Cycles'!$V$8)^INT(INT(AW11/12)/'Lease Cycles'!$W$8)/12,0),0)</f>
        <v>0</v>
      </c>
      <c r="AX14" s="28">
        <f>IF(AX12=1,IF(INDEX('Lease Cycles'!$EF$8:$EL$8,1,AX10)=1,'Lease Cycles'!$C$8*INDEX('Lease Cycles'!$ET$8:$EZ$8,1,AX10)*(1+'Lease Cycles'!$V$8)^INT(INT(AX11/12)/'Lease Cycles'!$W$8)/12,0),0)</f>
        <v>0</v>
      </c>
      <c r="AY14" s="28">
        <f>IF(AY12=1,IF(INDEX('Lease Cycles'!$EF$8:$EL$8,1,AY10)=1,'Lease Cycles'!$C$8*INDEX('Lease Cycles'!$ET$8:$EZ$8,1,AY10)*(1+'Lease Cycles'!$V$8)^INT(INT(AY11/12)/'Lease Cycles'!$W$8)/12,0),0)</f>
        <v>0</v>
      </c>
      <c r="AZ14" s="28">
        <f>IF(AZ12=1,IF(INDEX('Lease Cycles'!$EF$8:$EL$8,1,AZ10)=1,'Lease Cycles'!$C$8*INDEX('Lease Cycles'!$ET$8:$EZ$8,1,AZ10)*(1+'Lease Cycles'!$V$8)^INT(INT(AZ11/12)/'Lease Cycles'!$W$8)/12,0),0)</f>
        <v>0</v>
      </c>
      <c r="BA14" s="28">
        <f>IF(BA12=1,IF(INDEX('Lease Cycles'!$EF$8:$EL$8,1,BA10)=1,'Lease Cycles'!$C$8*INDEX('Lease Cycles'!$ET$8:$EZ$8,1,BA10)*(1+'Lease Cycles'!$V$8)^INT(INT(BA11/12)/'Lease Cycles'!$W$8)/12,0),0)</f>
        <v>0</v>
      </c>
      <c r="BB14" s="28">
        <f>IF(BB12=1,IF(INDEX('Lease Cycles'!$EF$8:$EL$8,1,BB10)=1,'Lease Cycles'!$C$8*INDEX('Lease Cycles'!$ET$8:$EZ$8,1,BB10)*(1+'Lease Cycles'!$V$8)^INT(INT(BB11/12)/'Lease Cycles'!$W$8)/12,0),0)</f>
        <v>0</v>
      </c>
      <c r="BC14" s="28">
        <f>IF(BC12=1,IF(INDEX('Lease Cycles'!$EF$8:$EL$8,1,BC10)=1,'Lease Cycles'!$C$8*INDEX('Lease Cycles'!$ET$8:$EZ$8,1,BC10)*(1+'Lease Cycles'!$V$8)^INT(INT(BC11/12)/'Lease Cycles'!$W$8)/12,0),0)</f>
        <v>0</v>
      </c>
      <c r="BD14" s="28">
        <f>IF(BD12=1,IF(INDEX('Lease Cycles'!$EF$8:$EL$8,1,BD10)=1,'Lease Cycles'!$C$8*INDEX('Lease Cycles'!$ET$8:$EZ$8,1,BD10)*(1+'Lease Cycles'!$V$8)^INT(INT(BD11/12)/'Lease Cycles'!$W$8)/12,0),0)</f>
        <v>0</v>
      </c>
      <c r="BE14" s="28">
        <f>IF(BE12=1,IF(INDEX('Lease Cycles'!$EF$8:$EL$8,1,BE10)=1,'Lease Cycles'!$C$8*INDEX('Lease Cycles'!$ET$8:$EZ$8,1,BE10)*(1+'Lease Cycles'!$V$8)^INT(INT(BE11/12)/'Lease Cycles'!$W$8)/12,0),0)</f>
        <v>0</v>
      </c>
      <c r="BF14" s="28">
        <f>IF(BF12=1,IF(INDEX('Lease Cycles'!$EF$8:$EL$8,1,BF10)=1,'Lease Cycles'!$C$8*INDEX('Lease Cycles'!$ET$8:$EZ$8,1,BF10)*(1+'Lease Cycles'!$V$8)^INT(INT(BF11/12)/'Lease Cycles'!$W$8)/12,0),0)</f>
        <v>0</v>
      </c>
      <c r="BG14" s="28">
        <f>IF(BG12=1,IF(INDEX('Lease Cycles'!$EF$8:$EL$8,1,BG10)=1,'Lease Cycles'!$C$8*INDEX('Lease Cycles'!$ET$8:$EZ$8,1,BG10)*(1+'Lease Cycles'!$V$8)^INT(INT(BG11/12)/'Lease Cycles'!$W$8)/12,0),0)</f>
        <v>0</v>
      </c>
      <c r="BH14" s="28">
        <f>IF(BH12=1,IF(INDEX('Lease Cycles'!$EF$8:$EL$8,1,BH10)=1,'Lease Cycles'!$C$8*INDEX('Lease Cycles'!$ET$8:$EZ$8,1,BH10)*(1+'Lease Cycles'!$V$8)^INT(INT(BH11/12)/'Lease Cycles'!$W$8)/12,0),0)</f>
        <v>0</v>
      </c>
      <c r="BI14" s="28">
        <f>IF(BI12=1,IF(INDEX('Lease Cycles'!$EF$8:$EL$8,1,BI10)=1,'Lease Cycles'!$C$8*INDEX('Lease Cycles'!$ET$8:$EZ$8,1,BI10)*(1+'Lease Cycles'!$V$8)^INT(INT(BI11/12)/'Lease Cycles'!$W$8)/12,0),0)</f>
        <v>0</v>
      </c>
      <c r="BJ14" s="28">
        <f>IF(BJ12=1,IF(INDEX('Lease Cycles'!$EF$8:$EL$8,1,BJ10)=1,'Lease Cycles'!$C$8*INDEX('Lease Cycles'!$ET$8:$EZ$8,1,BJ10)*(1+'Lease Cycles'!$V$8)^INT(INT(BJ11/12)/'Lease Cycles'!$W$8)/12,0),0)</f>
        <v>0</v>
      </c>
      <c r="BK14" s="28">
        <f>IF(BK12=1,IF(INDEX('Lease Cycles'!$EF$8:$EL$8,1,BK10)=1,'Lease Cycles'!$C$8*INDEX('Lease Cycles'!$ET$8:$EZ$8,1,BK10)*(1+'Lease Cycles'!$V$8)^INT(INT(BK11/12)/'Lease Cycles'!$W$8)/12,0),0)</f>
        <v>0</v>
      </c>
      <c r="BL14" s="28">
        <f>IF(BL12=1,IF(INDEX('Lease Cycles'!$EF$8:$EL$8,1,BL10)=1,'Lease Cycles'!$C$8*INDEX('Lease Cycles'!$ET$8:$EZ$8,1,BL10)*(1+'Lease Cycles'!$V$8)^INT(INT(BL11/12)/'Lease Cycles'!$W$8)/12,0),0)</f>
        <v>0</v>
      </c>
      <c r="BM14" s="28">
        <f>IF(BM12=1,IF(INDEX('Lease Cycles'!$EF$8:$EL$8,1,BM10)=1,'Lease Cycles'!$C$8*INDEX('Lease Cycles'!$ET$8:$EZ$8,1,BM10)*(1+'Lease Cycles'!$V$8)^INT(INT(BM11/12)/'Lease Cycles'!$W$8)/12,0),0)</f>
        <v>0</v>
      </c>
      <c r="BN14" s="28">
        <f>IF(BN12=1,IF(INDEX('Lease Cycles'!$EF$8:$EL$8,1,BN10)=1,'Lease Cycles'!$C$8*INDEX('Lease Cycles'!$ET$8:$EZ$8,1,BN10)*(1+'Lease Cycles'!$V$8)^INT(INT(BN11/12)/'Lease Cycles'!$W$8)/12,0),0)</f>
        <v>0</v>
      </c>
      <c r="BO14" s="28">
        <f>IF(BO12=1,IF(INDEX('Lease Cycles'!$EF$8:$EL$8,1,BO10)=1,'Lease Cycles'!$C$8*INDEX('Lease Cycles'!$ET$8:$EZ$8,1,BO10)*(1+'Lease Cycles'!$V$8)^INT(INT(BO11/12)/'Lease Cycles'!$W$8)/12,0),0)</f>
        <v>0</v>
      </c>
      <c r="BP14" s="28">
        <f>IF(BP12=1,IF(INDEX('Lease Cycles'!$EF$8:$EL$8,1,BP10)=1,'Lease Cycles'!$C$8*INDEX('Lease Cycles'!$ET$8:$EZ$8,1,BP10)*(1+'Lease Cycles'!$V$8)^INT(INT(BP11/12)/'Lease Cycles'!$W$8)/12,0),0)</f>
        <v>0</v>
      </c>
      <c r="BQ14" s="28">
        <f>IF(BQ12=1,IF(INDEX('Lease Cycles'!$EF$8:$EL$8,1,BQ10)=1,'Lease Cycles'!$C$8*INDEX('Lease Cycles'!$ET$8:$EZ$8,1,BQ10)*(1+'Lease Cycles'!$V$8)^INT(INT(BQ11/12)/'Lease Cycles'!$W$8)/12,0),0)</f>
        <v>0</v>
      </c>
      <c r="BR14" s="28">
        <f>IF(BR12=1,IF(INDEX('Lease Cycles'!$EF$8:$EL$8,1,BR10)=1,'Lease Cycles'!$C$8*INDEX('Lease Cycles'!$ET$8:$EZ$8,1,BR10)*(1+'Lease Cycles'!$V$8)^INT(INT(BR11/12)/'Lease Cycles'!$W$8)/12,0),0)</f>
        <v>0</v>
      </c>
      <c r="BS14" s="28">
        <f>IF(BS12=1,IF(INDEX('Lease Cycles'!$EF$8:$EL$8,1,BS10)=1,'Lease Cycles'!$C$8*INDEX('Lease Cycles'!$ET$8:$EZ$8,1,BS10)*(1+'Lease Cycles'!$V$8)^INT(INT(BS11/12)/'Lease Cycles'!$W$8)/12,0),0)</f>
        <v>0</v>
      </c>
      <c r="BT14" s="28">
        <f>IF(BT12=1,IF(INDEX('Lease Cycles'!$EF$8:$EL$8,1,BT10)=1,'Lease Cycles'!$C$8*INDEX('Lease Cycles'!$ET$8:$EZ$8,1,BT10)*(1+'Lease Cycles'!$V$8)^INT(INT(BT11/12)/'Lease Cycles'!$W$8)/12,0),0)</f>
        <v>0</v>
      </c>
      <c r="BU14" s="28">
        <f>IF(BU12=1,IF(INDEX('Lease Cycles'!$EF$8:$EL$8,1,BU10)=1,'Lease Cycles'!$C$8*INDEX('Lease Cycles'!$ET$8:$EZ$8,1,BU10)*(1+'Lease Cycles'!$V$8)^INT(INT(BU11/12)/'Lease Cycles'!$W$8)/12,0),0)</f>
        <v>0</v>
      </c>
      <c r="BV14" s="28">
        <f>IF(BV12=1,IF(INDEX('Lease Cycles'!$EF$8:$EL$8,1,BV10)=1,'Lease Cycles'!$C$8*INDEX('Lease Cycles'!$ET$8:$EZ$8,1,BV10)*(1+'Lease Cycles'!$V$8)^INT(INT(BV11/12)/'Lease Cycles'!$W$8)/12,0),0)</f>
        <v>0</v>
      </c>
      <c r="BW14" s="28">
        <f>IF(BW12=1,IF(INDEX('Lease Cycles'!$EF$8:$EL$8,1,BW10)=1,'Lease Cycles'!$C$8*INDEX('Lease Cycles'!$ET$8:$EZ$8,1,BW10)*(1+'Lease Cycles'!$V$8)^INT(INT(BW11/12)/'Lease Cycles'!$W$8)/12,0),0)</f>
        <v>0</v>
      </c>
      <c r="BX14" s="28">
        <f>IF(BX12=1,IF(INDEX('Lease Cycles'!$EF$8:$EL$8,1,BX10)=1,'Lease Cycles'!$C$8*INDEX('Lease Cycles'!$ET$8:$EZ$8,1,BX10)*(1+'Lease Cycles'!$V$8)^INT(INT(BX11/12)/'Lease Cycles'!$W$8)/12,0),0)</f>
        <v>0</v>
      </c>
      <c r="BY14" s="28">
        <f>IF(BY12=1,IF(INDEX('Lease Cycles'!$EF$8:$EL$8,1,BY10)=1,'Lease Cycles'!$C$8*INDEX('Lease Cycles'!$ET$8:$EZ$8,1,BY10)*(1+'Lease Cycles'!$V$8)^INT(INT(BY11/12)/'Lease Cycles'!$W$8)/12,0),0)</f>
        <v>0</v>
      </c>
      <c r="BZ14" s="28">
        <f>IF(BZ12=1,IF(INDEX('Lease Cycles'!$EF$8:$EL$8,1,BZ10)=1,'Lease Cycles'!$C$8*INDEX('Lease Cycles'!$ET$8:$EZ$8,1,BZ10)*(1+'Lease Cycles'!$V$8)^INT(INT(BZ11/12)/'Lease Cycles'!$W$8)/12,0),0)</f>
        <v>0</v>
      </c>
      <c r="CA14" s="28">
        <f>IF(CA12=1,IF(INDEX('Lease Cycles'!$EF$8:$EL$8,1,CA10)=1,'Lease Cycles'!$C$8*INDEX('Lease Cycles'!$ET$8:$EZ$8,1,CA10)*(1+'Lease Cycles'!$V$8)^INT(INT(CA11/12)/'Lease Cycles'!$W$8)/12,0),0)</f>
        <v>0</v>
      </c>
      <c r="CB14" s="28">
        <f>IF(CB12=1,IF(INDEX('Lease Cycles'!$EF$8:$EL$8,1,CB10)=1,'Lease Cycles'!$C$8*INDEX('Lease Cycles'!$ET$8:$EZ$8,1,CB10)*(1+'Lease Cycles'!$V$8)^INT(INT(CB11/12)/'Lease Cycles'!$W$8)/12,0),0)</f>
        <v>0</v>
      </c>
      <c r="CC14" s="28">
        <f>IF(CC12=1,IF(INDEX('Lease Cycles'!$EF$8:$EL$8,1,CC10)=1,'Lease Cycles'!$C$8*INDEX('Lease Cycles'!$ET$8:$EZ$8,1,CC10)*(1+'Lease Cycles'!$V$8)^INT(INT(CC11/12)/'Lease Cycles'!$W$8)/12,0),0)</f>
        <v>0</v>
      </c>
      <c r="CD14" s="28">
        <f>IF(CD12=1,IF(INDEX('Lease Cycles'!$EF$8:$EL$8,1,CD10)=1,'Lease Cycles'!$C$8*INDEX('Lease Cycles'!$ET$8:$EZ$8,1,CD10)*(1+'Lease Cycles'!$V$8)^INT(INT(CD11/12)/'Lease Cycles'!$W$8)/12,0),0)</f>
        <v>0</v>
      </c>
      <c r="CE14" s="28">
        <f>IF(CE12=1,IF(INDEX('Lease Cycles'!$EF$8:$EL$8,1,CE10)=1,'Lease Cycles'!$C$8*INDEX('Lease Cycles'!$ET$8:$EZ$8,1,CE10)*(1+'Lease Cycles'!$V$8)^INT(INT(CE11/12)/'Lease Cycles'!$W$8)/12,0),0)</f>
        <v>0</v>
      </c>
      <c r="CF14" s="28">
        <f>IF(CF12=1,IF(INDEX('Lease Cycles'!$EF$8:$EL$8,1,CF10)=1,'Lease Cycles'!$C$8*INDEX('Lease Cycles'!$ET$8:$EZ$8,1,CF10)*(1+'Lease Cycles'!$V$8)^INT(INT(CF11/12)/'Lease Cycles'!$W$8)/12,0),0)</f>
        <v>0</v>
      </c>
      <c r="CG14" s="28">
        <f>IF(CG12=1,IF(INDEX('Lease Cycles'!$EF$8:$EL$8,1,CG10)=1,'Lease Cycles'!$C$8*INDEX('Lease Cycles'!$ET$8:$EZ$8,1,CG10)*(1+'Lease Cycles'!$V$8)^INT(INT(CG11/12)/'Lease Cycles'!$W$8)/12,0),0)</f>
        <v>0</v>
      </c>
      <c r="CH14" s="28">
        <f>IF(CH12=1,IF(INDEX('Lease Cycles'!$EF$8:$EL$8,1,CH10)=1,'Lease Cycles'!$C$8*INDEX('Lease Cycles'!$ET$8:$EZ$8,1,CH10)*(1+'Lease Cycles'!$V$8)^INT(INT(CH11/12)/'Lease Cycles'!$W$8)/12,0),0)</f>
        <v>0</v>
      </c>
      <c r="CI14" s="28">
        <f>IF(CI12=1,IF(INDEX('Lease Cycles'!$EF$8:$EL$8,1,CI10)=1,'Lease Cycles'!$C$8*INDEX('Lease Cycles'!$ET$8:$EZ$8,1,CI10)*(1+'Lease Cycles'!$V$8)^INT(INT(CI11/12)/'Lease Cycles'!$W$8)/12,0),0)</f>
        <v>0</v>
      </c>
      <c r="CJ14" s="28">
        <f>IF(CJ12=1,IF(INDEX('Lease Cycles'!$EF$8:$EL$8,1,CJ10)=1,'Lease Cycles'!$C$8*INDEX('Lease Cycles'!$ET$8:$EZ$8,1,CJ10)*(1+'Lease Cycles'!$V$8)^INT(INT(CJ11/12)/'Lease Cycles'!$W$8)/12,0),0)</f>
        <v>0</v>
      </c>
      <c r="CK14" s="28">
        <f>IF(CK12=1,IF(INDEX('Lease Cycles'!$EF$8:$EL$8,1,CK10)=1,'Lease Cycles'!$C$8*INDEX('Lease Cycles'!$ET$8:$EZ$8,1,CK10)*(1+'Lease Cycles'!$V$8)^INT(INT(CK11/12)/'Lease Cycles'!$W$8)/12,0),0)</f>
        <v>0</v>
      </c>
      <c r="CL14" s="28">
        <f>IF(CL12=1,IF(INDEX('Lease Cycles'!$EF$8:$EL$8,1,CL10)=1,'Lease Cycles'!$C$8*INDEX('Lease Cycles'!$ET$8:$EZ$8,1,CL10)*(1+'Lease Cycles'!$V$8)^INT(INT(CL11/12)/'Lease Cycles'!$W$8)/12,0),0)</f>
        <v>0</v>
      </c>
      <c r="CM14" s="28">
        <f>IF(CM12=1,IF(INDEX('Lease Cycles'!$EF$8:$EL$8,1,CM10)=1,'Lease Cycles'!$C$8*INDEX('Lease Cycles'!$ET$8:$EZ$8,1,CM10)*(1+'Lease Cycles'!$V$8)^INT(INT(CM11/12)/'Lease Cycles'!$W$8)/12,0),0)</f>
        <v>0</v>
      </c>
      <c r="CN14" s="28">
        <f>IF(CN12=1,IF(INDEX('Lease Cycles'!$EF$8:$EL$8,1,CN10)=1,'Lease Cycles'!$C$8*INDEX('Lease Cycles'!$ET$8:$EZ$8,1,CN10)*(1+'Lease Cycles'!$V$8)^INT(INT(CN11/12)/'Lease Cycles'!$W$8)/12,0),0)</f>
        <v>0</v>
      </c>
      <c r="CO14" s="28">
        <f>IF(CO12=1,IF(INDEX('Lease Cycles'!$EF$8:$EL$8,1,CO10)=1,'Lease Cycles'!$C$8*INDEX('Lease Cycles'!$ET$8:$EZ$8,1,CO10)*(1+'Lease Cycles'!$V$8)^INT(INT(CO11/12)/'Lease Cycles'!$W$8)/12,0),0)</f>
        <v>0</v>
      </c>
      <c r="CP14" s="28">
        <f>IF(CP12=1,IF(INDEX('Lease Cycles'!$EF$8:$EL$8,1,CP10)=1,'Lease Cycles'!$C$8*INDEX('Lease Cycles'!$ET$8:$EZ$8,1,CP10)*(1+'Lease Cycles'!$V$8)^INT(INT(CP11/12)/'Lease Cycles'!$W$8)/12,0),0)</f>
        <v>0</v>
      </c>
      <c r="CQ14" s="28">
        <f>IF(CQ12=1,IF(INDEX('Lease Cycles'!$EF$8:$EL$8,1,CQ10)=1,'Lease Cycles'!$C$8*INDEX('Lease Cycles'!$ET$8:$EZ$8,1,CQ10)*(1+'Lease Cycles'!$V$8)^INT(INT(CQ11/12)/'Lease Cycles'!$W$8)/12,0),0)</f>
        <v>0</v>
      </c>
      <c r="CR14" s="28">
        <f>IF(CR12=1,IF(INDEX('Lease Cycles'!$EF$8:$EL$8,1,CR10)=1,'Lease Cycles'!$C$8*INDEX('Lease Cycles'!$ET$8:$EZ$8,1,CR10)*(1+'Lease Cycles'!$V$8)^INT(INT(CR11/12)/'Lease Cycles'!$W$8)/12,0),0)</f>
        <v>0</v>
      </c>
      <c r="CS14" s="28">
        <f>IF(CS12=1,IF(INDEX('Lease Cycles'!$EF$8:$EL$8,1,CS10)=1,'Lease Cycles'!$C$8*INDEX('Lease Cycles'!$ET$8:$EZ$8,1,CS10)*(1+'Lease Cycles'!$V$8)^INT(INT(CS11/12)/'Lease Cycles'!$W$8)/12,0),0)</f>
        <v>0</v>
      </c>
      <c r="CT14" s="28">
        <f>IF(CT12=1,IF(INDEX('Lease Cycles'!$EF$8:$EL$8,1,CT10)=1,'Lease Cycles'!$C$8*INDEX('Lease Cycles'!$ET$8:$EZ$8,1,CT10)*(1+'Lease Cycles'!$V$8)^INT(INT(CT11/12)/'Lease Cycles'!$W$8)/12,0),0)</f>
        <v>0</v>
      </c>
      <c r="CU14" s="28">
        <f>IF(CU12=1,IF(INDEX('Lease Cycles'!$EF$8:$EL$8,1,CU10)=1,'Lease Cycles'!$C$8*INDEX('Lease Cycles'!$ET$8:$EZ$8,1,CU10)*(1+'Lease Cycles'!$V$8)^INT(INT(CU11/12)/'Lease Cycles'!$W$8)/12,0),0)</f>
        <v>0</v>
      </c>
      <c r="CV14" s="28">
        <f>IF(CV12=1,IF(INDEX('Lease Cycles'!$EF$8:$EL$8,1,CV10)=1,'Lease Cycles'!$C$8*INDEX('Lease Cycles'!$ET$8:$EZ$8,1,CV10)*(1+'Lease Cycles'!$V$8)^INT(INT(CV11/12)/'Lease Cycles'!$W$8)/12,0),0)</f>
        <v>0</v>
      </c>
      <c r="CW14" s="28">
        <f>IF(CW12=1,IF(INDEX('Lease Cycles'!$EF$8:$EL$8,1,CW10)=1,'Lease Cycles'!$C$8*INDEX('Lease Cycles'!$ET$8:$EZ$8,1,CW10)*(1+'Lease Cycles'!$V$8)^INT(INT(CW11/12)/'Lease Cycles'!$W$8)/12,0),0)</f>
        <v>0</v>
      </c>
      <c r="CX14" s="28">
        <f>IF(CX12=1,IF(INDEX('Lease Cycles'!$EF$8:$EL$8,1,CX10)=1,'Lease Cycles'!$C$8*INDEX('Lease Cycles'!$ET$8:$EZ$8,1,CX10)*(1+'Lease Cycles'!$V$8)^INT(INT(CX11/12)/'Lease Cycles'!$W$8)/12,0),0)</f>
        <v>0</v>
      </c>
      <c r="CY14" s="28">
        <f>IF(CY12=1,IF(INDEX('Lease Cycles'!$EF$8:$EL$8,1,CY10)=1,'Lease Cycles'!$C$8*INDEX('Lease Cycles'!$ET$8:$EZ$8,1,CY10)*(1+'Lease Cycles'!$V$8)^INT(INT(CY11/12)/'Lease Cycles'!$W$8)/12,0),0)</f>
        <v>52900.97453147508</v>
      </c>
      <c r="CZ14" s="28">
        <f>IF(CZ12=1,IF(INDEX('Lease Cycles'!$EF$8:$EL$8,1,CZ10)=1,'Lease Cycles'!$C$8*INDEX('Lease Cycles'!$ET$8:$EZ$8,1,CZ10)*(1+'Lease Cycles'!$V$8)^INT(INT(CZ11/12)/'Lease Cycles'!$W$8)/12,0),0)</f>
        <v>52900.97453147508</v>
      </c>
      <c r="DA14" s="28">
        <f>IF(DA12=1,IF(INDEX('Lease Cycles'!$EF$8:$EL$8,1,DA10)=1,'Lease Cycles'!$C$8*INDEX('Lease Cycles'!$ET$8:$EZ$8,1,DA10)*(1+'Lease Cycles'!$V$8)^INT(INT(DA11/12)/'Lease Cycles'!$W$8)/12,0),0)</f>
        <v>52900.97453147508</v>
      </c>
      <c r="DB14" s="28">
        <f>IF(DB12=1,IF(INDEX('Lease Cycles'!$EF$8:$EL$8,1,DB10)=1,'Lease Cycles'!$C$8*INDEX('Lease Cycles'!$ET$8:$EZ$8,1,DB10)*(1+'Lease Cycles'!$V$8)^INT(INT(DB11/12)/'Lease Cycles'!$W$8)/12,0),0)</f>
        <v>52900.97453147508</v>
      </c>
      <c r="DC14" s="28">
        <f>IF(DC12=1,IF(INDEX('Lease Cycles'!$EF$8:$EL$8,1,DC10)=1,'Lease Cycles'!$C$8*INDEX('Lease Cycles'!$ET$8:$EZ$8,1,DC10)*(1+'Lease Cycles'!$V$8)^INT(INT(DC11/12)/'Lease Cycles'!$W$8)/12,0),0)</f>
        <v>52900.97453147508</v>
      </c>
      <c r="DD14" s="28">
        <f>IF(DD12=1,IF(INDEX('Lease Cycles'!$EF$8:$EL$8,1,DD10)=1,'Lease Cycles'!$C$8*INDEX('Lease Cycles'!$ET$8:$EZ$8,1,DD10)*(1+'Lease Cycles'!$V$8)^INT(INT(DD11/12)/'Lease Cycles'!$W$8)/12,0),0)</f>
        <v>52900.97453147508</v>
      </c>
      <c r="DE14" s="28">
        <f>IF(DE12=1,IF(INDEX('Lease Cycles'!$EF$8:$EL$8,1,DE10)=1,'Lease Cycles'!$C$8*INDEX('Lease Cycles'!$ET$8:$EZ$8,1,DE10)*(1+'Lease Cycles'!$V$8)^INT(INT(DE11/12)/'Lease Cycles'!$W$8)/12,0),0)</f>
        <v>52900.97453147508</v>
      </c>
      <c r="DF14" s="28">
        <f>IF(DF12=1,IF(INDEX('Lease Cycles'!$EF$8:$EL$8,1,DF10)=1,'Lease Cycles'!$C$8*INDEX('Lease Cycles'!$ET$8:$EZ$8,1,DF10)*(1+'Lease Cycles'!$V$8)^INT(INT(DF11/12)/'Lease Cycles'!$W$8)/12,0),0)</f>
        <v>52900.97453147508</v>
      </c>
      <c r="DG14" s="28">
        <f>IF(DG12=1,IF(INDEX('Lease Cycles'!$EF$8:$EL$8,1,DG10)=1,'Lease Cycles'!$C$8*INDEX('Lease Cycles'!$ET$8:$EZ$8,1,DG10)*(1+'Lease Cycles'!$V$8)^INT(INT(DG11/12)/'Lease Cycles'!$W$8)/12,0),0)</f>
        <v>52900.97453147508</v>
      </c>
      <c r="DH14" s="28">
        <f>IF(DH12=1,IF(INDEX('Lease Cycles'!$EF$8:$EL$8,1,DH10)=1,'Lease Cycles'!$C$8*INDEX('Lease Cycles'!$ET$8:$EZ$8,1,DH10)*(1+'Lease Cycles'!$V$8)^INT(INT(DH11/12)/'Lease Cycles'!$W$8)/12,0),0)</f>
        <v>52900.97453147508</v>
      </c>
      <c r="DI14" s="28">
        <f>IF(DI12=1,IF(INDEX('Lease Cycles'!$EF$8:$EL$8,1,DI10)=1,'Lease Cycles'!$C$8*INDEX('Lease Cycles'!$ET$8:$EZ$8,1,DI10)*(1+'Lease Cycles'!$V$8)^INT(INT(DI11/12)/'Lease Cycles'!$W$8)/12,0),0)</f>
        <v>52900.97453147508</v>
      </c>
      <c r="DJ14" s="28">
        <f>IF(DJ12=1,IF(INDEX('Lease Cycles'!$EF$8:$EL$8,1,DJ10)=1,'Lease Cycles'!$C$8*INDEX('Lease Cycles'!$ET$8:$EZ$8,1,DJ10)*(1+'Lease Cycles'!$V$8)^INT(INT(DJ11/12)/'Lease Cycles'!$W$8)/12,0),0)</f>
        <v>52900.97453147508</v>
      </c>
      <c r="DK14" s="28">
        <f>IF(DK12=1,IF(INDEX('Lease Cycles'!$EF$8:$EL$8,1,DK10)=1,'Lease Cycles'!$C$8*INDEX('Lease Cycles'!$ET$8:$EZ$8,1,DK10)*(1+'Lease Cycles'!$V$8)^INT(INT(DK11/12)/'Lease Cycles'!$W$8)/12,0),0)</f>
        <v>52900.97453147508</v>
      </c>
      <c r="DL14" s="28">
        <f>IF(DL12=1,IF(INDEX('Lease Cycles'!$EF$8:$EL$8,1,DL10)=1,'Lease Cycles'!$C$8*INDEX('Lease Cycles'!$ET$8:$EZ$8,1,DL10)*(1+'Lease Cycles'!$V$8)^INT(INT(DL11/12)/'Lease Cycles'!$W$8)/12,0),0)</f>
        <v>52900.97453147508</v>
      </c>
      <c r="DM14" s="28">
        <f>IF(DM12=1,IF(INDEX('Lease Cycles'!$EF$8:$EL$8,1,DM10)=1,'Lease Cycles'!$C$8*INDEX('Lease Cycles'!$ET$8:$EZ$8,1,DM10)*(1+'Lease Cycles'!$V$8)^INT(INT(DM11/12)/'Lease Cycles'!$W$8)/12,0),0)</f>
        <v>52900.97453147508</v>
      </c>
      <c r="DN14" s="28">
        <f>IF(DN12=1,IF(INDEX('Lease Cycles'!$EF$8:$EL$8,1,DN10)=1,'Lease Cycles'!$C$8*INDEX('Lease Cycles'!$ET$8:$EZ$8,1,DN10)*(1+'Lease Cycles'!$V$8)^INT(INT(DN11/12)/'Lease Cycles'!$W$8)/12,0),0)</f>
        <v>52900.97453147508</v>
      </c>
      <c r="DO14" s="28">
        <f>IF(DO12=1,IF(INDEX('Lease Cycles'!$EF$8:$EL$8,1,DO10)=1,'Lease Cycles'!$C$8*INDEX('Lease Cycles'!$ET$8:$EZ$8,1,DO10)*(1+'Lease Cycles'!$V$8)^INT(INT(DO11/12)/'Lease Cycles'!$W$8)/12,0),0)</f>
        <v>52900.97453147508</v>
      </c>
      <c r="DP14" s="28">
        <f>IF(DP12=1,IF(INDEX('Lease Cycles'!$EF$8:$EL$8,1,DP10)=1,'Lease Cycles'!$C$8*INDEX('Lease Cycles'!$ET$8:$EZ$8,1,DP10)*(1+'Lease Cycles'!$V$8)^INT(INT(DP11/12)/'Lease Cycles'!$W$8)/12,0),0)</f>
        <v>52900.97453147508</v>
      </c>
      <c r="DQ14" s="28">
        <f>IF(DQ12=1,IF(INDEX('Lease Cycles'!$EF$8:$EL$8,1,DQ10)=1,'Lease Cycles'!$C$8*INDEX('Lease Cycles'!$ET$8:$EZ$8,1,DQ10)*(1+'Lease Cycles'!$V$8)^INT(INT(DQ11/12)/'Lease Cycles'!$W$8)/12,0),0)</f>
        <v>52900.97453147508</v>
      </c>
      <c r="DR14" s="28">
        <f>IF(DR12=1,IF(INDEX('Lease Cycles'!$EF$8:$EL$8,1,DR10)=1,'Lease Cycles'!$C$8*INDEX('Lease Cycles'!$ET$8:$EZ$8,1,DR10)*(1+'Lease Cycles'!$V$8)^INT(INT(DR11/12)/'Lease Cycles'!$W$8)/12,0),0)</f>
        <v>52900.97453147508</v>
      </c>
      <c r="DS14" s="28">
        <f>IF(DS12=1,IF(INDEX('Lease Cycles'!$EF$8:$EL$8,1,DS10)=1,'Lease Cycles'!$C$8*INDEX('Lease Cycles'!$ET$8:$EZ$8,1,DS10)*(1+'Lease Cycles'!$V$8)^INT(INT(DS11/12)/'Lease Cycles'!$W$8)/12,0),0)</f>
        <v>52900.97453147508</v>
      </c>
      <c r="DT14" s="28">
        <f>IF(DT12=1,IF(INDEX('Lease Cycles'!$EF$8:$EL$8,1,DT10)=1,'Lease Cycles'!$C$8*INDEX('Lease Cycles'!$ET$8:$EZ$8,1,DT10)*(1+'Lease Cycles'!$V$8)^INT(INT(DT11/12)/'Lease Cycles'!$W$8)/12,0),0)</f>
        <v>52900.97453147508</v>
      </c>
      <c r="DU14" s="28">
        <f>IF(DU12=1,IF(INDEX('Lease Cycles'!$EF$8:$EL$8,1,DU10)=1,'Lease Cycles'!$C$8*INDEX('Lease Cycles'!$ET$8:$EZ$8,1,DU10)*(1+'Lease Cycles'!$V$8)^INT(INT(DU11/12)/'Lease Cycles'!$W$8)/12,0),0)</f>
        <v>52900.97453147508</v>
      </c>
      <c r="DV14" s="28">
        <f>IF(DV12=1,IF(INDEX('Lease Cycles'!$EF$8:$EL$8,1,DV10)=1,'Lease Cycles'!$C$8*INDEX('Lease Cycles'!$ET$8:$EZ$8,1,DV10)*(1+'Lease Cycles'!$V$8)^INT(INT(DV11/12)/'Lease Cycles'!$W$8)/12,0),0)</f>
        <v>52900.97453147508</v>
      </c>
      <c r="DW14" s="28">
        <f>IF(DW12=1,IF(INDEX('Lease Cycles'!$EF$8:$EL$8,1,DW10)=1,'Lease Cycles'!$C$8*INDEX('Lease Cycles'!$ET$8:$EZ$8,1,DW10)*(1+'Lease Cycles'!$V$8)^INT(INT(DW11/12)/'Lease Cycles'!$W$8)/12,0),0)</f>
        <v>52900.97453147508</v>
      </c>
      <c r="DX14" s="28">
        <f>IF(DX12=1,IF(INDEX('Lease Cycles'!$EF$8:$EL$8,1,DX10)=1,'Lease Cycles'!$C$8*INDEX('Lease Cycles'!$ET$8:$EZ$8,1,DX10)*(1+'Lease Cycles'!$V$8)^INT(INT(DX11/12)/'Lease Cycles'!$W$8)/12,0),0)</f>
        <v>52900.97453147508</v>
      </c>
      <c r="DY14" s="28">
        <f>IF(DY12=1,IF(INDEX('Lease Cycles'!$EF$8:$EL$8,1,DY10)=1,'Lease Cycles'!$C$8*INDEX('Lease Cycles'!$ET$8:$EZ$8,1,DY10)*(1+'Lease Cycles'!$V$8)^INT(INT(DY11/12)/'Lease Cycles'!$W$8)/12,0),0)</f>
        <v>52900.97453147508</v>
      </c>
      <c r="DZ14" s="28">
        <f>IF(DZ12=1,IF(INDEX('Lease Cycles'!$EF$8:$EL$8,1,DZ10)=1,'Lease Cycles'!$C$8*INDEX('Lease Cycles'!$ET$8:$EZ$8,1,DZ10)*(1+'Lease Cycles'!$V$8)^INT(INT(DZ11/12)/'Lease Cycles'!$W$8)/12,0),0)</f>
        <v>52900.97453147508</v>
      </c>
      <c r="EA14" s="28">
        <f>IF(EA12=1,IF(INDEX('Lease Cycles'!$EF$8:$EL$8,1,EA10)=1,'Lease Cycles'!$C$8*INDEX('Lease Cycles'!$ET$8:$EZ$8,1,EA10)*(1+'Lease Cycles'!$V$8)^INT(INT(EA11/12)/'Lease Cycles'!$W$8)/12,0),0)</f>
        <v>52900.97453147508</v>
      </c>
      <c r="EB14" s="28">
        <f>IF(EB12=1,IF(INDEX('Lease Cycles'!$EF$8:$EL$8,1,EB10)=1,'Lease Cycles'!$C$8*INDEX('Lease Cycles'!$ET$8:$EZ$8,1,EB10)*(1+'Lease Cycles'!$V$8)^INT(INT(EB11/12)/'Lease Cycles'!$W$8)/12,0),0)</f>
        <v>52900.97453147508</v>
      </c>
      <c r="EC14" s="28">
        <f>IF(EC12=1,IF(INDEX('Lease Cycles'!$EF$8:$EL$8,1,EC10)=1,'Lease Cycles'!$C$8*INDEX('Lease Cycles'!$ET$8:$EZ$8,1,EC10)*(1+'Lease Cycles'!$V$8)^INT(INT(EC11/12)/'Lease Cycles'!$W$8)/12,0),0)</f>
        <v>52900.97453147508</v>
      </c>
      <c r="ED14" s="28">
        <f>IF(ED12=1,IF(INDEX('Lease Cycles'!$EF$8:$EL$8,1,ED10)=1,'Lease Cycles'!$C$8*INDEX('Lease Cycles'!$ET$8:$EZ$8,1,ED10)*(1+'Lease Cycles'!$V$8)^INT(INT(ED11/12)/'Lease Cycles'!$W$8)/12,0),0)</f>
        <v>52900.97453147508</v>
      </c>
      <c r="EE14" s="28">
        <f>IF(EE12=1,IF(INDEX('Lease Cycles'!$EF$8:$EL$8,1,EE10)=1,'Lease Cycles'!$C$8*INDEX('Lease Cycles'!$ET$8:$EZ$8,1,EE10)*(1+'Lease Cycles'!$V$8)^INT(INT(EE11/12)/'Lease Cycles'!$W$8)/12,0),0)</f>
        <v>52900.97453147508</v>
      </c>
      <c r="EF14" s="28">
        <f>IF(EF12=1,IF(INDEX('Lease Cycles'!$EF$8:$EL$8,1,EF10)=1,'Lease Cycles'!$C$8*INDEX('Lease Cycles'!$ET$8:$EZ$8,1,EF10)*(1+'Lease Cycles'!$V$8)^INT(INT(EF11/12)/'Lease Cycles'!$W$8)/12,0),0)</f>
        <v>52900.97453147508</v>
      </c>
      <c r="EG14" s="28">
        <f>IF(EG12=1,IF(INDEX('Lease Cycles'!$EF$8:$EL$8,1,EG10)=1,'Lease Cycles'!$C$8*INDEX('Lease Cycles'!$ET$8:$EZ$8,1,EG10)*(1+'Lease Cycles'!$V$8)^INT(INT(EG11/12)/'Lease Cycles'!$W$8)/12,0),0)</f>
        <v>52900.97453147508</v>
      </c>
      <c r="EH14" s="28">
        <f>IF(EH12=1,IF(INDEX('Lease Cycles'!$EF$8:$EL$8,1,EH10)=1,'Lease Cycles'!$C$8*INDEX('Lease Cycles'!$ET$8:$EZ$8,1,EH10)*(1+'Lease Cycles'!$V$8)^INT(INT(EH11/12)/'Lease Cycles'!$W$8)/12,0),0)</f>
        <v>52900.97453147508</v>
      </c>
      <c r="EI14" s="28">
        <f>IF(EI12=1,IF(INDEX('Lease Cycles'!$EF$8:$EL$8,1,EI10)=1,'Lease Cycles'!$C$8*INDEX('Lease Cycles'!$ET$8:$EZ$8,1,EI10)*(1+'Lease Cycles'!$V$8)^INT(INT(EI11/12)/'Lease Cycles'!$W$8)/12,0),0)</f>
        <v>52900.97453147508</v>
      </c>
      <c r="EJ14" s="28">
        <f>IF(EJ12=1,IF(INDEX('Lease Cycles'!$EF$8:$EL$8,1,EJ10)=1,'Lease Cycles'!$C$8*INDEX('Lease Cycles'!$ET$8:$EZ$8,1,EJ10)*(1+'Lease Cycles'!$V$8)^INT(INT(EJ11/12)/'Lease Cycles'!$W$8)/12,0),0)</f>
        <v>52900.97453147508</v>
      </c>
      <c r="EK14" s="28">
        <f>IF(EK12=1,IF(INDEX('Lease Cycles'!$EF$8:$EL$8,1,EK10)=1,'Lease Cycles'!$C$8*INDEX('Lease Cycles'!$ET$8:$EZ$8,1,EK10)*(1+'Lease Cycles'!$V$8)^INT(INT(EK11/12)/'Lease Cycles'!$W$8)/12,0),0)</f>
        <v>52900.97453147508</v>
      </c>
      <c r="EL14" s="28">
        <f>IF(EL12=1,IF(INDEX('Lease Cycles'!$EF$8:$EL$8,1,EL10)=1,'Lease Cycles'!$C$8*INDEX('Lease Cycles'!$ET$8:$EZ$8,1,EL10)*(1+'Lease Cycles'!$V$8)^INT(INT(EL11/12)/'Lease Cycles'!$W$8)/12,0),0)</f>
        <v>52900.97453147508</v>
      </c>
      <c r="EM14" s="28">
        <f>IF(EM12=1,IF(INDEX('Lease Cycles'!$EF$8:$EL$8,1,EM10)=1,'Lease Cycles'!$C$8*INDEX('Lease Cycles'!$ET$8:$EZ$8,1,EM10)*(1+'Lease Cycles'!$V$8)^INT(INT(EM11/12)/'Lease Cycles'!$W$8)/12,0),0)</f>
        <v>52900.97453147508</v>
      </c>
      <c r="EN14" s="28">
        <f>IF(EN12=1,IF(INDEX('Lease Cycles'!$EF$8:$EL$8,1,EN10)=1,'Lease Cycles'!$C$8*INDEX('Lease Cycles'!$ET$8:$EZ$8,1,EN10)*(1+'Lease Cycles'!$V$8)^INT(INT(EN11/12)/'Lease Cycles'!$W$8)/12,0),0)</f>
        <v>52900.97453147508</v>
      </c>
      <c r="EO14" s="28">
        <f>IF(EO12=1,IF(INDEX('Lease Cycles'!$EF$8:$EL$8,1,EO10)=1,'Lease Cycles'!$C$8*INDEX('Lease Cycles'!$ET$8:$EZ$8,1,EO10)*(1+'Lease Cycles'!$V$8)^INT(INT(EO11/12)/'Lease Cycles'!$W$8)/12,0),0)</f>
        <v>52900.97453147508</v>
      </c>
      <c r="EP14" s="28">
        <f>IF(EP12=1,IF(INDEX('Lease Cycles'!$EF$8:$EL$8,1,EP10)=1,'Lease Cycles'!$C$8*INDEX('Lease Cycles'!$ET$8:$EZ$8,1,EP10)*(1+'Lease Cycles'!$V$8)^INT(INT(EP11/12)/'Lease Cycles'!$W$8)/12,0),0)</f>
        <v>52900.97453147508</v>
      </c>
      <c r="EQ14" s="28">
        <f>IF(EQ12=1,IF(INDEX('Lease Cycles'!$EF$8:$EL$8,1,EQ10)=1,'Lease Cycles'!$C$8*INDEX('Lease Cycles'!$ET$8:$EZ$8,1,EQ10)*(1+'Lease Cycles'!$V$8)^INT(INT(EQ11/12)/'Lease Cycles'!$W$8)/12,0),0)</f>
        <v>52900.97453147508</v>
      </c>
      <c r="ER14" s="28">
        <f>IF(ER12=1,IF(INDEX('Lease Cycles'!$EF$8:$EL$8,1,ER10)=1,'Lease Cycles'!$C$8*INDEX('Lease Cycles'!$ET$8:$EZ$8,1,ER10)*(1+'Lease Cycles'!$V$8)^INT(INT(ER11/12)/'Lease Cycles'!$W$8)/12,0),0)</f>
        <v>52900.97453147508</v>
      </c>
      <c r="ES14" s="28">
        <f>IF(ES12=1,IF(INDEX('Lease Cycles'!$EF$8:$EL$8,1,ES10)=1,'Lease Cycles'!$C$8*INDEX('Lease Cycles'!$ET$8:$EZ$8,1,ES10)*(1+'Lease Cycles'!$V$8)^INT(INT(ES11/12)/'Lease Cycles'!$W$8)/12,0),0)</f>
        <v>52900.97453147508</v>
      </c>
      <c r="ET14" s="28">
        <f>IF(ET12=1,IF(INDEX('Lease Cycles'!$EF$8:$EL$8,1,ET10)=1,'Lease Cycles'!$C$8*INDEX('Lease Cycles'!$ET$8:$EZ$8,1,ET10)*(1+'Lease Cycles'!$V$8)^INT(INT(ET11/12)/'Lease Cycles'!$W$8)/12,0),0)</f>
        <v>52900.97453147508</v>
      </c>
    </row>
    <row r="15">
      <c r="A15" s="103">
        <v>1</v>
      </c>
      <c r="B15" s="23" t="str">
        <f>IF('Lease Cycles'!$B$8="","(empty slot)",'Lease Cycles'!$B$8)</f>
        <v>Fieldstone Grocery</v>
      </c>
      <c r="C15" s="23" t="s">
        <v>681</v>
      </c>
      <c r="D15" s="104" t="s">
        <v>490</v>
      </c>
      <c r="E15" s="25">
        <f>'Lease Cycles'!$AL$8</f>
        <v>1</v>
      </c>
      <c r="G15" s="28">
        <f>SUM(S15:AD15)</f>
        <v>464000</v>
      </c>
      <c r="H15" s="28">
        <f>SUM(AE15:AP15)</f>
        <v>464000</v>
      </c>
      <c r="I15" s="28">
        <f>SUM(AQ15:BB15)</f>
        <v>464000</v>
      </c>
      <c r="J15" s="28">
        <f>SUM(BC15:BN15)</f>
        <v>464000</v>
      </c>
      <c r="K15" s="28">
        <f>SUM(BO15:BZ15)</f>
        <v>464000</v>
      </c>
      <c r="L15" s="28">
        <f>SUM(CA15:CL15)</f>
        <v>464000</v>
      </c>
      <c r="M15" s="28">
        <f>SUM(CM15:CX15)</f>
        <v>464000</v>
      </c>
      <c r="N15" s="28">
        <f>SUM(CY15:DJ15)</f>
        <v>496000</v>
      </c>
      <c r="O15" s="28">
        <f>SUM(DK15:DV15)</f>
        <v>496000</v>
      </c>
      <c r="P15" s="28">
        <f>SUM(DW15:EH15)</f>
        <v>496000</v>
      </c>
      <c r="Q15" s="28">
        <f>SUM(EI15:ET15)</f>
        <v>496000</v>
      </c>
      <c r="S15" s="28">
        <f>IF(S12=1,IF(INDEX('Lease Cycles'!$EF$8:$EL$8,1,S10)=1,S13*INDEX('Lease Cycles'!$EM$8:$ES$8,1,S10)+S14*(1-INDEX('Lease Cycles'!$EM$8:$ES$8,1,S10)),S13),S13)</f>
        <v>38666.666666666664</v>
      </c>
      <c r="T15" s="28">
        <f>IF(T12=1,IF(INDEX('Lease Cycles'!$EF$8:$EL$8,1,T10)=1,T13*INDEX('Lease Cycles'!$EM$8:$ES$8,1,T10)+T14*(1-INDEX('Lease Cycles'!$EM$8:$ES$8,1,T10)),T13),T13)</f>
        <v>38666.666666666664</v>
      </c>
      <c r="U15" s="28">
        <f>IF(U12=1,IF(INDEX('Lease Cycles'!$EF$8:$EL$8,1,U10)=1,U13*INDEX('Lease Cycles'!$EM$8:$ES$8,1,U10)+U14*(1-INDEX('Lease Cycles'!$EM$8:$ES$8,1,U10)),U13),U13)</f>
        <v>38666.666666666664</v>
      </c>
      <c r="V15" s="28">
        <f>IF(V12=1,IF(INDEX('Lease Cycles'!$EF$8:$EL$8,1,V10)=1,V13*INDEX('Lease Cycles'!$EM$8:$ES$8,1,V10)+V14*(1-INDEX('Lease Cycles'!$EM$8:$ES$8,1,V10)),V13),V13)</f>
        <v>38666.666666666664</v>
      </c>
      <c r="W15" s="28">
        <f>IF(W12=1,IF(INDEX('Lease Cycles'!$EF$8:$EL$8,1,W10)=1,W13*INDEX('Lease Cycles'!$EM$8:$ES$8,1,W10)+W14*(1-INDEX('Lease Cycles'!$EM$8:$ES$8,1,W10)),W13),W13)</f>
        <v>38666.666666666664</v>
      </c>
      <c r="X15" s="28">
        <f>IF(X12=1,IF(INDEX('Lease Cycles'!$EF$8:$EL$8,1,X10)=1,X13*INDEX('Lease Cycles'!$EM$8:$ES$8,1,X10)+X14*(1-INDEX('Lease Cycles'!$EM$8:$ES$8,1,X10)),X13),X13)</f>
        <v>38666.666666666664</v>
      </c>
      <c r="Y15" s="28">
        <f>IF(Y12=1,IF(INDEX('Lease Cycles'!$EF$8:$EL$8,1,Y10)=1,Y13*INDEX('Lease Cycles'!$EM$8:$ES$8,1,Y10)+Y14*(1-INDEX('Lease Cycles'!$EM$8:$ES$8,1,Y10)),Y13),Y13)</f>
        <v>38666.666666666664</v>
      </c>
      <c r="Z15" s="28">
        <f>IF(Z12=1,IF(INDEX('Lease Cycles'!$EF$8:$EL$8,1,Z10)=1,Z13*INDEX('Lease Cycles'!$EM$8:$ES$8,1,Z10)+Z14*(1-INDEX('Lease Cycles'!$EM$8:$ES$8,1,Z10)),Z13),Z13)</f>
        <v>38666.666666666664</v>
      </c>
      <c r="AA15" s="28">
        <f>IF(AA12=1,IF(INDEX('Lease Cycles'!$EF$8:$EL$8,1,AA10)=1,AA13*INDEX('Lease Cycles'!$EM$8:$ES$8,1,AA10)+AA14*(1-INDEX('Lease Cycles'!$EM$8:$ES$8,1,AA10)),AA13),AA13)</f>
        <v>38666.666666666664</v>
      </c>
      <c r="AB15" s="28">
        <f>IF(AB12=1,IF(INDEX('Lease Cycles'!$EF$8:$EL$8,1,AB10)=1,AB13*INDEX('Lease Cycles'!$EM$8:$ES$8,1,AB10)+AB14*(1-INDEX('Lease Cycles'!$EM$8:$ES$8,1,AB10)),AB13),AB13)</f>
        <v>38666.666666666664</v>
      </c>
      <c r="AC15" s="28">
        <f>IF(AC12=1,IF(INDEX('Lease Cycles'!$EF$8:$EL$8,1,AC10)=1,AC13*INDEX('Lease Cycles'!$EM$8:$ES$8,1,AC10)+AC14*(1-INDEX('Lease Cycles'!$EM$8:$ES$8,1,AC10)),AC13),AC13)</f>
        <v>38666.666666666664</v>
      </c>
      <c r="AD15" s="28">
        <f>IF(AD12=1,IF(INDEX('Lease Cycles'!$EF$8:$EL$8,1,AD10)=1,AD13*INDEX('Lease Cycles'!$EM$8:$ES$8,1,AD10)+AD14*(1-INDEX('Lease Cycles'!$EM$8:$ES$8,1,AD10)),AD13),AD13)</f>
        <v>38666.666666666664</v>
      </c>
      <c r="AE15" s="28">
        <f>IF(AE12=1,IF(INDEX('Lease Cycles'!$EF$8:$EL$8,1,AE10)=1,AE13*INDEX('Lease Cycles'!$EM$8:$ES$8,1,AE10)+AE14*(1-INDEX('Lease Cycles'!$EM$8:$ES$8,1,AE10)),AE13),AE13)</f>
        <v>38666.666666666664</v>
      </c>
      <c r="AF15" s="28">
        <f>IF(AF12=1,IF(INDEX('Lease Cycles'!$EF$8:$EL$8,1,AF10)=1,AF13*INDEX('Lease Cycles'!$EM$8:$ES$8,1,AF10)+AF14*(1-INDEX('Lease Cycles'!$EM$8:$ES$8,1,AF10)),AF13),AF13)</f>
        <v>38666.666666666664</v>
      </c>
      <c r="AG15" s="28">
        <f>IF(AG12=1,IF(INDEX('Lease Cycles'!$EF$8:$EL$8,1,AG10)=1,AG13*INDEX('Lease Cycles'!$EM$8:$ES$8,1,AG10)+AG14*(1-INDEX('Lease Cycles'!$EM$8:$ES$8,1,AG10)),AG13),AG13)</f>
        <v>38666.666666666664</v>
      </c>
      <c r="AH15" s="28">
        <f>IF(AH12=1,IF(INDEX('Lease Cycles'!$EF$8:$EL$8,1,AH10)=1,AH13*INDEX('Lease Cycles'!$EM$8:$ES$8,1,AH10)+AH14*(1-INDEX('Lease Cycles'!$EM$8:$ES$8,1,AH10)),AH13),AH13)</f>
        <v>38666.666666666664</v>
      </c>
      <c r="AI15" s="28">
        <f>IF(AI12=1,IF(INDEX('Lease Cycles'!$EF$8:$EL$8,1,AI10)=1,AI13*INDEX('Lease Cycles'!$EM$8:$ES$8,1,AI10)+AI14*(1-INDEX('Lease Cycles'!$EM$8:$ES$8,1,AI10)),AI13),AI13)</f>
        <v>38666.666666666664</v>
      </c>
      <c r="AJ15" s="28">
        <f>IF(AJ12=1,IF(INDEX('Lease Cycles'!$EF$8:$EL$8,1,AJ10)=1,AJ13*INDEX('Lease Cycles'!$EM$8:$ES$8,1,AJ10)+AJ14*(1-INDEX('Lease Cycles'!$EM$8:$ES$8,1,AJ10)),AJ13),AJ13)</f>
        <v>38666.666666666664</v>
      </c>
      <c r="AK15" s="28">
        <f>IF(AK12=1,IF(INDEX('Lease Cycles'!$EF$8:$EL$8,1,AK10)=1,AK13*INDEX('Lease Cycles'!$EM$8:$ES$8,1,AK10)+AK14*(1-INDEX('Lease Cycles'!$EM$8:$ES$8,1,AK10)),AK13),AK13)</f>
        <v>38666.666666666664</v>
      </c>
      <c r="AL15" s="28">
        <f>IF(AL12=1,IF(INDEX('Lease Cycles'!$EF$8:$EL$8,1,AL10)=1,AL13*INDEX('Lease Cycles'!$EM$8:$ES$8,1,AL10)+AL14*(1-INDEX('Lease Cycles'!$EM$8:$ES$8,1,AL10)),AL13),AL13)</f>
        <v>38666.666666666664</v>
      </c>
      <c r="AM15" s="28">
        <f>IF(AM12=1,IF(INDEX('Lease Cycles'!$EF$8:$EL$8,1,AM10)=1,AM13*INDEX('Lease Cycles'!$EM$8:$ES$8,1,AM10)+AM14*(1-INDEX('Lease Cycles'!$EM$8:$ES$8,1,AM10)),AM13),AM13)</f>
        <v>38666.666666666664</v>
      </c>
      <c r="AN15" s="28">
        <f>IF(AN12=1,IF(INDEX('Lease Cycles'!$EF$8:$EL$8,1,AN10)=1,AN13*INDEX('Lease Cycles'!$EM$8:$ES$8,1,AN10)+AN14*(1-INDEX('Lease Cycles'!$EM$8:$ES$8,1,AN10)),AN13),AN13)</f>
        <v>38666.666666666664</v>
      </c>
      <c r="AO15" s="28">
        <f>IF(AO12=1,IF(INDEX('Lease Cycles'!$EF$8:$EL$8,1,AO10)=1,AO13*INDEX('Lease Cycles'!$EM$8:$ES$8,1,AO10)+AO14*(1-INDEX('Lease Cycles'!$EM$8:$ES$8,1,AO10)),AO13),AO13)</f>
        <v>38666.666666666664</v>
      </c>
      <c r="AP15" s="28">
        <f>IF(AP12=1,IF(INDEX('Lease Cycles'!$EF$8:$EL$8,1,AP10)=1,AP13*INDEX('Lease Cycles'!$EM$8:$ES$8,1,AP10)+AP14*(1-INDEX('Lease Cycles'!$EM$8:$ES$8,1,AP10)),AP13),AP13)</f>
        <v>38666.666666666664</v>
      </c>
      <c r="AQ15" s="28">
        <f>IF(AQ12=1,IF(INDEX('Lease Cycles'!$EF$8:$EL$8,1,AQ10)=1,AQ13*INDEX('Lease Cycles'!$EM$8:$ES$8,1,AQ10)+AQ14*(1-INDEX('Lease Cycles'!$EM$8:$ES$8,1,AQ10)),AQ13),AQ13)</f>
        <v>38666.666666666664</v>
      </c>
      <c r="AR15" s="28">
        <f>IF(AR12=1,IF(INDEX('Lease Cycles'!$EF$8:$EL$8,1,AR10)=1,AR13*INDEX('Lease Cycles'!$EM$8:$ES$8,1,AR10)+AR14*(1-INDEX('Lease Cycles'!$EM$8:$ES$8,1,AR10)),AR13),AR13)</f>
        <v>38666.666666666664</v>
      </c>
      <c r="AS15" s="28">
        <f>IF(AS12=1,IF(INDEX('Lease Cycles'!$EF$8:$EL$8,1,AS10)=1,AS13*INDEX('Lease Cycles'!$EM$8:$ES$8,1,AS10)+AS14*(1-INDEX('Lease Cycles'!$EM$8:$ES$8,1,AS10)),AS13),AS13)</f>
        <v>38666.666666666664</v>
      </c>
      <c r="AT15" s="28">
        <f>IF(AT12=1,IF(INDEX('Lease Cycles'!$EF$8:$EL$8,1,AT10)=1,AT13*INDEX('Lease Cycles'!$EM$8:$ES$8,1,AT10)+AT14*(1-INDEX('Lease Cycles'!$EM$8:$ES$8,1,AT10)),AT13),AT13)</f>
        <v>38666.666666666664</v>
      </c>
      <c r="AU15" s="28">
        <f>IF(AU12=1,IF(INDEX('Lease Cycles'!$EF$8:$EL$8,1,AU10)=1,AU13*INDEX('Lease Cycles'!$EM$8:$ES$8,1,AU10)+AU14*(1-INDEX('Lease Cycles'!$EM$8:$ES$8,1,AU10)),AU13),AU13)</f>
        <v>38666.666666666664</v>
      </c>
      <c r="AV15" s="28">
        <f>IF(AV12=1,IF(INDEX('Lease Cycles'!$EF$8:$EL$8,1,AV10)=1,AV13*INDEX('Lease Cycles'!$EM$8:$ES$8,1,AV10)+AV14*(1-INDEX('Lease Cycles'!$EM$8:$ES$8,1,AV10)),AV13),AV13)</f>
        <v>38666.666666666664</v>
      </c>
      <c r="AW15" s="28">
        <f>IF(AW12=1,IF(INDEX('Lease Cycles'!$EF$8:$EL$8,1,AW10)=1,AW13*INDEX('Lease Cycles'!$EM$8:$ES$8,1,AW10)+AW14*(1-INDEX('Lease Cycles'!$EM$8:$ES$8,1,AW10)),AW13),AW13)</f>
        <v>38666.666666666664</v>
      </c>
      <c r="AX15" s="28">
        <f>IF(AX12=1,IF(INDEX('Lease Cycles'!$EF$8:$EL$8,1,AX10)=1,AX13*INDEX('Lease Cycles'!$EM$8:$ES$8,1,AX10)+AX14*(1-INDEX('Lease Cycles'!$EM$8:$ES$8,1,AX10)),AX13),AX13)</f>
        <v>38666.666666666664</v>
      </c>
      <c r="AY15" s="28">
        <f>IF(AY12=1,IF(INDEX('Lease Cycles'!$EF$8:$EL$8,1,AY10)=1,AY13*INDEX('Lease Cycles'!$EM$8:$ES$8,1,AY10)+AY14*(1-INDEX('Lease Cycles'!$EM$8:$ES$8,1,AY10)),AY13),AY13)</f>
        <v>38666.666666666664</v>
      </c>
      <c r="AZ15" s="28">
        <f>IF(AZ12=1,IF(INDEX('Lease Cycles'!$EF$8:$EL$8,1,AZ10)=1,AZ13*INDEX('Lease Cycles'!$EM$8:$ES$8,1,AZ10)+AZ14*(1-INDEX('Lease Cycles'!$EM$8:$ES$8,1,AZ10)),AZ13),AZ13)</f>
        <v>38666.666666666664</v>
      </c>
      <c r="BA15" s="28">
        <f>IF(BA12=1,IF(INDEX('Lease Cycles'!$EF$8:$EL$8,1,BA10)=1,BA13*INDEX('Lease Cycles'!$EM$8:$ES$8,1,BA10)+BA14*(1-INDEX('Lease Cycles'!$EM$8:$ES$8,1,BA10)),BA13),BA13)</f>
        <v>38666.666666666664</v>
      </c>
      <c r="BB15" s="28">
        <f>IF(BB12=1,IF(INDEX('Lease Cycles'!$EF$8:$EL$8,1,BB10)=1,BB13*INDEX('Lease Cycles'!$EM$8:$ES$8,1,BB10)+BB14*(1-INDEX('Lease Cycles'!$EM$8:$ES$8,1,BB10)),BB13),BB13)</f>
        <v>38666.666666666664</v>
      </c>
      <c r="BC15" s="28">
        <f>IF(BC12=1,IF(INDEX('Lease Cycles'!$EF$8:$EL$8,1,BC10)=1,BC13*INDEX('Lease Cycles'!$EM$8:$ES$8,1,BC10)+BC14*(1-INDEX('Lease Cycles'!$EM$8:$ES$8,1,BC10)),BC13),BC13)</f>
        <v>38666.666666666664</v>
      </c>
      <c r="BD15" s="28">
        <f>IF(BD12=1,IF(INDEX('Lease Cycles'!$EF$8:$EL$8,1,BD10)=1,BD13*INDEX('Lease Cycles'!$EM$8:$ES$8,1,BD10)+BD14*(1-INDEX('Lease Cycles'!$EM$8:$ES$8,1,BD10)),BD13),BD13)</f>
        <v>38666.666666666664</v>
      </c>
      <c r="BE15" s="28">
        <f>IF(BE12=1,IF(INDEX('Lease Cycles'!$EF$8:$EL$8,1,BE10)=1,BE13*INDEX('Lease Cycles'!$EM$8:$ES$8,1,BE10)+BE14*(1-INDEX('Lease Cycles'!$EM$8:$ES$8,1,BE10)),BE13),BE13)</f>
        <v>38666.666666666664</v>
      </c>
      <c r="BF15" s="28">
        <f>IF(BF12=1,IF(INDEX('Lease Cycles'!$EF$8:$EL$8,1,BF10)=1,BF13*INDEX('Lease Cycles'!$EM$8:$ES$8,1,BF10)+BF14*(1-INDEX('Lease Cycles'!$EM$8:$ES$8,1,BF10)),BF13),BF13)</f>
        <v>38666.666666666664</v>
      </c>
      <c r="BG15" s="28">
        <f>IF(BG12=1,IF(INDEX('Lease Cycles'!$EF$8:$EL$8,1,BG10)=1,BG13*INDEX('Lease Cycles'!$EM$8:$ES$8,1,BG10)+BG14*(1-INDEX('Lease Cycles'!$EM$8:$ES$8,1,BG10)),BG13),BG13)</f>
        <v>38666.666666666664</v>
      </c>
      <c r="BH15" s="28">
        <f>IF(BH12=1,IF(INDEX('Lease Cycles'!$EF$8:$EL$8,1,BH10)=1,BH13*INDEX('Lease Cycles'!$EM$8:$ES$8,1,BH10)+BH14*(1-INDEX('Lease Cycles'!$EM$8:$ES$8,1,BH10)),BH13),BH13)</f>
        <v>38666.666666666664</v>
      </c>
      <c r="BI15" s="28">
        <f>IF(BI12=1,IF(INDEX('Lease Cycles'!$EF$8:$EL$8,1,BI10)=1,BI13*INDEX('Lease Cycles'!$EM$8:$ES$8,1,BI10)+BI14*(1-INDEX('Lease Cycles'!$EM$8:$ES$8,1,BI10)),BI13),BI13)</f>
        <v>38666.666666666664</v>
      </c>
      <c r="BJ15" s="28">
        <f>IF(BJ12=1,IF(INDEX('Lease Cycles'!$EF$8:$EL$8,1,BJ10)=1,BJ13*INDEX('Lease Cycles'!$EM$8:$ES$8,1,BJ10)+BJ14*(1-INDEX('Lease Cycles'!$EM$8:$ES$8,1,BJ10)),BJ13),BJ13)</f>
        <v>38666.666666666664</v>
      </c>
      <c r="BK15" s="28">
        <f>IF(BK12=1,IF(INDEX('Lease Cycles'!$EF$8:$EL$8,1,BK10)=1,BK13*INDEX('Lease Cycles'!$EM$8:$ES$8,1,BK10)+BK14*(1-INDEX('Lease Cycles'!$EM$8:$ES$8,1,BK10)),BK13),BK13)</f>
        <v>38666.666666666664</v>
      </c>
      <c r="BL15" s="28">
        <f>IF(BL12=1,IF(INDEX('Lease Cycles'!$EF$8:$EL$8,1,BL10)=1,BL13*INDEX('Lease Cycles'!$EM$8:$ES$8,1,BL10)+BL14*(1-INDEX('Lease Cycles'!$EM$8:$ES$8,1,BL10)),BL13),BL13)</f>
        <v>38666.666666666664</v>
      </c>
      <c r="BM15" s="28">
        <f>IF(BM12=1,IF(INDEX('Lease Cycles'!$EF$8:$EL$8,1,BM10)=1,BM13*INDEX('Lease Cycles'!$EM$8:$ES$8,1,BM10)+BM14*(1-INDEX('Lease Cycles'!$EM$8:$ES$8,1,BM10)),BM13),BM13)</f>
        <v>38666.666666666664</v>
      </c>
      <c r="BN15" s="28">
        <f>IF(BN12=1,IF(INDEX('Lease Cycles'!$EF$8:$EL$8,1,BN10)=1,BN13*INDEX('Lease Cycles'!$EM$8:$ES$8,1,BN10)+BN14*(1-INDEX('Lease Cycles'!$EM$8:$ES$8,1,BN10)),BN13),BN13)</f>
        <v>38666.666666666664</v>
      </c>
      <c r="BO15" s="28">
        <f>IF(BO12=1,IF(INDEX('Lease Cycles'!$EF$8:$EL$8,1,BO10)=1,BO13*INDEX('Lease Cycles'!$EM$8:$ES$8,1,BO10)+BO14*(1-INDEX('Lease Cycles'!$EM$8:$ES$8,1,BO10)),BO13),BO13)</f>
        <v>38666.666666666664</v>
      </c>
      <c r="BP15" s="28">
        <f>IF(BP12=1,IF(INDEX('Lease Cycles'!$EF$8:$EL$8,1,BP10)=1,BP13*INDEX('Lease Cycles'!$EM$8:$ES$8,1,BP10)+BP14*(1-INDEX('Lease Cycles'!$EM$8:$ES$8,1,BP10)),BP13),BP13)</f>
        <v>38666.666666666664</v>
      </c>
      <c r="BQ15" s="28">
        <f>IF(BQ12=1,IF(INDEX('Lease Cycles'!$EF$8:$EL$8,1,BQ10)=1,BQ13*INDEX('Lease Cycles'!$EM$8:$ES$8,1,BQ10)+BQ14*(1-INDEX('Lease Cycles'!$EM$8:$ES$8,1,BQ10)),BQ13),BQ13)</f>
        <v>38666.666666666664</v>
      </c>
      <c r="BR15" s="28">
        <f>IF(BR12=1,IF(INDEX('Lease Cycles'!$EF$8:$EL$8,1,BR10)=1,BR13*INDEX('Lease Cycles'!$EM$8:$ES$8,1,BR10)+BR14*(1-INDEX('Lease Cycles'!$EM$8:$ES$8,1,BR10)),BR13),BR13)</f>
        <v>38666.666666666664</v>
      </c>
      <c r="BS15" s="28">
        <f>IF(BS12=1,IF(INDEX('Lease Cycles'!$EF$8:$EL$8,1,BS10)=1,BS13*INDEX('Lease Cycles'!$EM$8:$ES$8,1,BS10)+BS14*(1-INDEX('Lease Cycles'!$EM$8:$ES$8,1,BS10)),BS13),BS13)</f>
        <v>38666.666666666664</v>
      </c>
      <c r="BT15" s="28">
        <f>IF(BT12=1,IF(INDEX('Lease Cycles'!$EF$8:$EL$8,1,BT10)=1,BT13*INDEX('Lease Cycles'!$EM$8:$ES$8,1,BT10)+BT14*(1-INDEX('Lease Cycles'!$EM$8:$ES$8,1,BT10)),BT13),BT13)</f>
        <v>38666.666666666664</v>
      </c>
      <c r="BU15" s="28">
        <f>IF(BU12=1,IF(INDEX('Lease Cycles'!$EF$8:$EL$8,1,BU10)=1,BU13*INDEX('Lease Cycles'!$EM$8:$ES$8,1,BU10)+BU14*(1-INDEX('Lease Cycles'!$EM$8:$ES$8,1,BU10)),BU13),BU13)</f>
        <v>38666.666666666664</v>
      </c>
      <c r="BV15" s="28">
        <f>IF(BV12=1,IF(INDEX('Lease Cycles'!$EF$8:$EL$8,1,BV10)=1,BV13*INDEX('Lease Cycles'!$EM$8:$ES$8,1,BV10)+BV14*(1-INDEX('Lease Cycles'!$EM$8:$ES$8,1,BV10)),BV13),BV13)</f>
        <v>38666.666666666664</v>
      </c>
      <c r="BW15" s="28">
        <f>IF(BW12=1,IF(INDEX('Lease Cycles'!$EF$8:$EL$8,1,BW10)=1,BW13*INDEX('Lease Cycles'!$EM$8:$ES$8,1,BW10)+BW14*(1-INDEX('Lease Cycles'!$EM$8:$ES$8,1,BW10)),BW13),BW13)</f>
        <v>38666.666666666664</v>
      </c>
      <c r="BX15" s="28">
        <f>IF(BX12=1,IF(INDEX('Lease Cycles'!$EF$8:$EL$8,1,BX10)=1,BX13*INDEX('Lease Cycles'!$EM$8:$ES$8,1,BX10)+BX14*(1-INDEX('Lease Cycles'!$EM$8:$ES$8,1,BX10)),BX13),BX13)</f>
        <v>38666.666666666664</v>
      </c>
      <c r="BY15" s="28">
        <f>IF(BY12=1,IF(INDEX('Lease Cycles'!$EF$8:$EL$8,1,BY10)=1,BY13*INDEX('Lease Cycles'!$EM$8:$ES$8,1,BY10)+BY14*(1-INDEX('Lease Cycles'!$EM$8:$ES$8,1,BY10)),BY13),BY13)</f>
        <v>38666.666666666664</v>
      </c>
      <c r="BZ15" s="28">
        <f>IF(BZ12=1,IF(INDEX('Lease Cycles'!$EF$8:$EL$8,1,BZ10)=1,BZ13*INDEX('Lease Cycles'!$EM$8:$ES$8,1,BZ10)+BZ14*(1-INDEX('Lease Cycles'!$EM$8:$ES$8,1,BZ10)),BZ13),BZ13)</f>
        <v>38666.666666666664</v>
      </c>
      <c r="CA15" s="28">
        <f>IF(CA12=1,IF(INDEX('Lease Cycles'!$EF$8:$EL$8,1,CA10)=1,CA13*INDEX('Lease Cycles'!$EM$8:$ES$8,1,CA10)+CA14*(1-INDEX('Lease Cycles'!$EM$8:$ES$8,1,CA10)),CA13),CA13)</f>
        <v>38666.666666666664</v>
      </c>
      <c r="CB15" s="28">
        <f>IF(CB12=1,IF(INDEX('Lease Cycles'!$EF$8:$EL$8,1,CB10)=1,CB13*INDEX('Lease Cycles'!$EM$8:$ES$8,1,CB10)+CB14*(1-INDEX('Lease Cycles'!$EM$8:$ES$8,1,CB10)),CB13),CB13)</f>
        <v>38666.666666666664</v>
      </c>
      <c r="CC15" s="28">
        <f>IF(CC12=1,IF(INDEX('Lease Cycles'!$EF$8:$EL$8,1,CC10)=1,CC13*INDEX('Lease Cycles'!$EM$8:$ES$8,1,CC10)+CC14*(1-INDEX('Lease Cycles'!$EM$8:$ES$8,1,CC10)),CC13),CC13)</f>
        <v>38666.666666666664</v>
      </c>
      <c r="CD15" s="28">
        <f>IF(CD12=1,IF(INDEX('Lease Cycles'!$EF$8:$EL$8,1,CD10)=1,CD13*INDEX('Lease Cycles'!$EM$8:$ES$8,1,CD10)+CD14*(1-INDEX('Lease Cycles'!$EM$8:$ES$8,1,CD10)),CD13),CD13)</f>
        <v>38666.666666666664</v>
      </c>
      <c r="CE15" s="28">
        <f>IF(CE12=1,IF(INDEX('Lease Cycles'!$EF$8:$EL$8,1,CE10)=1,CE13*INDEX('Lease Cycles'!$EM$8:$ES$8,1,CE10)+CE14*(1-INDEX('Lease Cycles'!$EM$8:$ES$8,1,CE10)),CE13),CE13)</f>
        <v>38666.666666666664</v>
      </c>
      <c r="CF15" s="28">
        <f>IF(CF12=1,IF(INDEX('Lease Cycles'!$EF$8:$EL$8,1,CF10)=1,CF13*INDEX('Lease Cycles'!$EM$8:$ES$8,1,CF10)+CF14*(1-INDEX('Lease Cycles'!$EM$8:$ES$8,1,CF10)),CF13),CF13)</f>
        <v>38666.666666666664</v>
      </c>
      <c r="CG15" s="28">
        <f>IF(CG12=1,IF(INDEX('Lease Cycles'!$EF$8:$EL$8,1,CG10)=1,CG13*INDEX('Lease Cycles'!$EM$8:$ES$8,1,CG10)+CG14*(1-INDEX('Lease Cycles'!$EM$8:$ES$8,1,CG10)),CG13),CG13)</f>
        <v>38666.666666666664</v>
      </c>
      <c r="CH15" s="28">
        <f>IF(CH12=1,IF(INDEX('Lease Cycles'!$EF$8:$EL$8,1,CH10)=1,CH13*INDEX('Lease Cycles'!$EM$8:$ES$8,1,CH10)+CH14*(1-INDEX('Lease Cycles'!$EM$8:$ES$8,1,CH10)),CH13),CH13)</f>
        <v>38666.666666666664</v>
      </c>
      <c r="CI15" s="28">
        <f>IF(CI12=1,IF(INDEX('Lease Cycles'!$EF$8:$EL$8,1,CI10)=1,CI13*INDEX('Lease Cycles'!$EM$8:$ES$8,1,CI10)+CI14*(1-INDEX('Lease Cycles'!$EM$8:$ES$8,1,CI10)),CI13),CI13)</f>
        <v>38666.666666666664</v>
      </c>
      <c r="CJ15" s="28">
        <f>IF(CJ12=1,IF(INDEX('Lease Cycles'!$EF$8:$EL$8,1,CJ10)=1,CJ13*INDEX('Lease Cycles'!$EM$8:$ES$8,1,CJ10)+CJ14*(1-INDEX('Lease Cycles'!$EM$8:$ES$8,1,CJ10)),CJ13),CJ13)</f>
        <v>38666.666666666664</v>
      </c>
      <c r="CK15" s="28">
        <f>IF(CK12=1,IF(INDEX('Lease Cycles'!$EF$8:$EL$8,1,CK10)=1,CK13*INDEX('Lease Cycles'!$EM$8:$ES$8,1,CK10)+CK14*(1-INDEX('Lease Cycles'!$EM$8:$ES$8,1,CK10)),CK13),CK13)</f>
        <v>38666.666666666664</v>
      </c>
      <c r="CL15" s="28">
        <f>IF(CL12=1,IF(INDEX('Lease Cycles'!$EF$8:$EL$8,1,CL10)=1,CL13*INDEX('Lease Cycles'!$EM$8:$ES$8,1,CL10)+CL14*(1-INDEX('Lease Cycles'!$EM$8:$ES$8,1,CL10)),CL13),CL13)</f>
        <v>38666.666666666664</v>
      </c>
      <c r="CM15" s="28">
        <f>IF(CM12=1,IF(INDEX('Lease Cycles'!$EF$8:$EL$8,1,CM10)=1,CM13*INDEX('Lease Cycles'!$EM$8:$ES$8,1,CM10)+CM14*(1-INDEX('Lease Cycles'!$EM$8:$ES$8,1,CM10)),CM13),CM13)</f>
        <v>38666.666666666664</v>
      </c>
      <c r="CN15" s="28">
        <f>IF(CN12=1,IF(INDEX('Lease Cycles'!$EF$8:$EL$8,1,CN10)=1,CN13*INDEX('Lease Cycles'!$EM$8:$ES$8,1,CN10)+CN14*(1-INDEX('Lease Cycles'!$EM$8:$ES$8,1,CN10)),CN13),CN13)</f>
        <v>38666.666666666664</v>
      </c>
      <c r="CO15" s="28">
        <f>IF(CO12=1,IF(INDEX('Lease Cycles'!$EF$8:$EL$8,1,CO10)=1,CO13*INDEX('Lease Cycles'!$EM$8:$ES$8,1,CO10)+CO14*(1-INDEX('Lease Cycles'!$EM$8:$ES$8,1,CO10)),CO13),CO13)</f>
        <v>38666.666666666664</v>
      </c>
      <c r="CP15" s="28">
        <f>IF(CP12=1,IF(INDEX('Lease Cycles'!$EF$8:$EL$8,1,CP10)=1,CP13*INDEX('Lease Cycles'!$EM$8:$ES$8,1,CP10)+CP14*(1-INDEX('Lease Cycles'!$EM$8:$ES$8,1,CP10)),CP13),CP13)</f>
        <v>38666.666666666664</v>
      </c>
      <c r="CQ15" s="28">
        <f>IF(CQ12=1,IF(INDEX('Lease Cycles'!$EF$8:$EL$8,1,CQ10)=1,CQ13*INDEX('Lease Cycles'!$EM$8:$ES$8,1,CQ10)+CQ14*(1-INDEX('Lease Cycles'!$EM$8:$ES$8,1,CQ10)),CQ13),CQ13)</f>
        <v>38666.666666666664</v>
      </c>
      <c r="CR15" s="28">
        <f>IF(CR12=1,IF(INDEX('Lease Cycles'!$EF$8:$EL$8,1,CR10)=1,CR13*INDEX('Lease Cycles'!$EM$8:$ES$8,1,CR10)+CR14*(1-INDEX('Lease Cycles'!$EM$8:$ES$8,1,CR10)),CR13),CR13)</f>
        <v>38666.666666666664</v>
      </c>
      <c r="CS15" s="28">
        <f>IF(CS12=1,IF(INDEX('Lease Cycles'!$EF$8:$EL$8,1,CS10)=1,CS13*INDEX('Lease Cycles'!$EM$8:$ES$8,1,CS10)+CS14*(1-INDEX('Lease Cycles'!$EM$8:$ES$8,1,CS10)),CS13),CS13)</f>
        <v>38666.666666666664</v>
      </c>
      <c r="CT15" s="28">
        <f>IF(CT12=1,IF(INDEX('Lease Cycles'!$EF$8:$EL$8,1,CT10)=1,CT13*INDEX('Lease Cycles'!$EM$8:$ES$8,1,CT10)+CT14*(1-INDEX('Lease Cycles'!$EM$8:$ES$8,1,CT10)),CT13),CT13)</f>
        <v>38666.666666666664</v>
      </c>
      <c r="CU15" s="28">
        <f>IF(CU12=1,IF(INDEX('Lease Cycles'!$EF$8:$EL$8,1,CU10)=1,CU13*INDEX('Lease Cycles'!$EM$8:$ES$8,1,CU10)+CU14*(1-INDEX('Lease Cycles'!$EM$8:$ES$8,1,CU10)),CU13),CU13)</f>
        <v>38666.666666666664</v>
      </c>
      <c r="CV15" s="28">
        <f>IF(CV12=1,IF(INDEX('Lease Cycles'!$EF$8:$EL$8,1,CV10)=1,CV13*INDEX('Lease Cycles'!$EM$8:$ES$8,1,CV10)+CV14*(1-INDEX('Lease Cycles'!$EM$8:$ES$8,1,CV10)),CV13),CV13)</f>
        <v>38666.666666666664</v>
      </c>
      <c r="CW15" s="28">
        <f>IF(CW12=1,IF(INDEX('Lease Cycles'!$EF$8:$EL$8,1,CW10)=1,CW13*INDEX('Lease Cycles'!$EM$8:$ES$8,1,CW10)+CW14*(1-INDEX('Lease Cycles'!$EM$8:$ES$8,1,CW10)),CW13),CW13)</f>
        <v>38666.666666666664</v>
      </c>
      <c r="CX15" s="28">
        <f>IF(CX12=1,IF(INDEX('Lease Cycles'!$EF$8:$EL$8,1,CX10)=1,CX13*INDEX('Lease Cycles'!$EM$8:$ES$8,1,CX10)+CX14*(1-INDEX('Lease Cycles'!$EM$8:$ES$8,1,CX10)),CX13),CX13)</f>
        <v>38666.666666666664</v>
      </c>
      <c r="CY15" s="28">
        <f>IF(CY12=1,IF(INDEX('Lease Cycles'!$EF$8:$EL$8,1,CY10)=1,CY13*INDEX('Lease Cycles'!$EM$8:$ES$8,1,CY10)+CY14*(1-INDEX('Lease Cycles'!$EM$8:$ES$8,1,CY10)),CY13),CY13)</f>
        <v>41333.333333333336</v>
      </c>
      <c r="CZ15" s="28">
        <f>IF(CZ12=1,IF(INDEX('Lease Cycles'!$EF$8:$EL$8,1,CZ10)=1,CZ13*INDEX('Lease Cycles'!$EM$8:$ES$8,1,CZ10)+CZ14*(1-INDEX('Lease Cycles'!$EM$8:$ES$8,1,CZ10)),CZ13),CZ13)</f>
        <v>41333.333333333336</v>
      </c>
      <c r="DA15" s="28">
        <f>IF(DA12=1,IF(INDEX('Lease Cycles'!$EF$8:$EL$8,1,DA10)=1,DA13*INDEX('Lease Cycles'!$EM$8:$ES$8,1,DA10)+DA14*(1-INDEX('Lease Cycles'!$EM$8:$ES$8,1,DA10)),DA13),DA13)</f>
        <v>41333.333333333336</v>
      </c>
      <c r="DB15" s="28">
        <f>IF(DB12=1,IF(INDEX('Lease Cycles'!$EF$8:$EL$8,1,DB10)=1,DB13*INDEX('Lease Cycles'!$EM$8:$ES$8,1,DB10)+DB14*(1-INDEX('Lease Cycles'!$EM$8:$ES$8,1,DB10)),DB13),DB13)</f>
        <v>41333.333333333336</v>
      </c>
      <c r="DC15" s="28">
        <f>IF(DC12=1,IF(INDEX('Lease Cycles'!$EF$8:$EL$8,1,DC10)=1,DC13*INDEX('Lease Cycles'!$EM$8:$ES$8,1,DC10)+DC14*(1-INDEX('Lease Cycles'!$EM$8:$ES$8,1,DC10)),DC13),DC13)</f>
        <v>41333.333333333336</v>
      </c>
      <c r="DD15" s="28">
        <f>IF(DD12=1,IF(INDEX('Lease Cycles'!$EF$8:$EL$8,1,DD10)=1,DD13*INDEX('Lease Cycles'!$EM$8:$ES$8,1,DD10)+DD14*(1-INDEX('Lease Cycles'!$EM$8:$ES$8,1,DD10)),DD13),DD13)</f>
        <v>41333.333333333336</v>
      </c>
      <c r="DE15" s="28">
        <f>IF(DE12=1,IF(INDEX('Lease Cycles'!$EF$8:$EL$8,1,DE10)=1,DE13*INDEX('Lease Cycles'!$EM$8:$ES$8,1,DE10)+DE14*(1-INDEX('Lease Cycles'!$EM$8:$ES$8,1,DE10)),DE13),DE13)</f>
        <v>41333.333333333336</v>
      </c>
      <c r="DF15" s="28">
        <f>IF(DF12=1,IF(INDEX('Lease Cycles'!$EF$8:$EL$8,1,DF10)=1,DF13*INDEX('Lease Cycles'!$EM$8:$ES$8,1,DF10)+DF14*(1-INDEX('Lease Cycles'!$EM$8:$ES$8,1,DF10)),DF13),DF13)</f>
        <v>41333.333333333336</v>
      </c>
      <c r="DG15" s="28">
        <f>IF(DG12=1,IF(INDEX('Lease Cycles'!$EF$8:$EL$8,1,DG10)=1,DG13*INDEX('Lease Cycles'!$EM$8:$ES$8,1,DG10)+DG14*(1-INDEX('Lease Cycles'!$EM$8:$ES$8,1,DG10)),DG13),DG13)</f>
        <v>41333.333333333336</v>
      </c>
      <c r="DH15" s="28">
        <f>IF(DH12=1,IF(INDEX('Lease Cycles'!$EF$8:$EL$8,1,DH10)=1,DH13*INDEX('Lease Cycles'!$EM$8:$ES$8,1,DH10)+DH14*(1-INDEX('Lease Cycles'!$EM$8:$ES$8,1,DH10)),DH13),DH13)</f>
        <v>41333.333333333336</v>
      </c>
      <c r="DI15" s="28">
        <f>IF(DI12=1,IF(INDEX('Lease Cycles'!$EF$8:$EL$8,1,DI10)=1,DI13*INDEX('Lease Cycles'!$EM$8:$ES$8,1,DI10)+DI14*(1-INDEX('Lease Cycles'!$EM$8:$ES$8,1,DI10)),DI13),DI13)</f>
        <v>41333.333333333336</v>
      </c>
      <c r="DJ15" s="28">
        <f>IF(DJ12=1,IF(INDEX('Lease Cycles'!$EF$8:$EL$8,1,DJ10)=1,DJ13*INDEX('Lease Cycles'!$EM$8:$ES$8,1,DJ10)+DJ14*(1-INDEX('Lease Cycles'!$EM$8:$ES$8,1,DJ10)),DJ13),DJ13)</f>
        <v>41333.333333333336</v>
      </c>
      <c r="DK15" s="28">
        <f>IF(DK12=1,IF(INDEX('Lease Cycles'!$EF$8:$EL$8,1,DK10)=1,DK13*INDEX('Lease Cycles'!$EM$8:$ES$8,1,DK10)+DK14*(1-INDEX('Lease Cycles'!$EM$8:$ES$8,1,DK10)),DK13),DK13)</f>
        <v>41333.333333333336</v>
      </c>
      <c r="DL15" s="28">
        <f>IF(DL12=1,IF(INDEX('Lease Cycles'!$EF$8:$EL$8,1,DL10)=1,DL13*INDEX('Lease Cycles'!$EM$8:$ES$8,1,DL10)+DL14*(1-INDEX('Lease Cycles'!$EM$8:$ES$8,1,DL10)),DL13),DL13)</f>
        <v>41333.333333333336</v>
      </c>
      <c r="DM15" s="28">
        <f>IF(DM12=1,IF(INDEX('Lease Cycles'!$EF$8:$EL$8,1,DM10)=1,DM13*INDEX('Lease Cycles'!$EM$8:$ES$8,1,DM10)+DM14*(1-INDEX('Lease Cycles'!$EM$8:$ES$8,1,DM10)),DM13),DM13)</f>
        <v>41333.333333333336</v>
      </c>
      <c r="DN15" s="28">
        <f>IF(DN12=1,IF(INDEX('Lease Cycles'!$EF$8:$EL$8,1,DN10)=1,DN13*INDEX('Lease Cycles'!$EM$8:$ES$8,1,DN10)+DN14*(1-INDEX('Lease Cycles'!$EM$8:$ES$8,1,DN10)),DN13),DN13)</f>
        <v>41333.333333333336</v>
      </c>
      <c r="DO15" s="28">
        <f>IF(DO12=1,IF(INDEX('Lease Cycles'!$EF$8:$EL$8,1,DO10)=1,DO13*INDEX('Lease Cycles'!$EM$8:$ES$8,1,DO10)+DO14*(1-INDEX('Lease Cycles'!$EM$8:$ES$8,1,DO10)),DO13),DO13)</f>
        <v>41333.333333333336</v>
      </c>
      <c r="DP15" s="28">
        <f>IF(DP12=1,IF(INDEX('Lease Cycles'!$EF$8:$EL$8,1,DP10)=1,DP13*INDEX('Lease Cycles'!$EM$8:$ES$8,1,DP10)+DP14*(1-INDEX('Lease Cycles'!$EM$8:$ES$8,1,DP10)),DP13),DP13)</f>
        <v>41333.333333333336</v>
      </c>
      <c r="DQ15" s="28">
        <f>IF(DQ12=1,IF(INDEX('Lease Cycles'!$EF$8:$EL$8,1,DQ10)=1,DQ13*INDEX('Lease Cycles'!$EM$8:$ES$8,1,DQ10)+DQ14*(1-INDEX('Lease Cycles'!$EM$8:$ES$8,1,DQ10)),DQ13),DQ13)</f>
        <v>41333.333333333336</v>
      </c>
      <c r="DR15" s="28">
        <f>IF(DR12=1,IF(INDEX('Lease Cycles'!$EF$8:$EL$8,1,DR10)=1,DR13*INDEX('Lease Cycles'!$EM$8:$ES$8,1,DR10)+DR14*(1-INDEX('Lease Cycles'!$EM$8:$ES$8,1,DR10)),DR13),DR13)</f>
        <v>41333.333333333336</v>
      </c>
      <c r="DS15" s="28">
        <f>IF(DS12=1,IF(INDEX('Lease Cycles'!$EF$8:$EL$8,1,DS10)=1,DS13*INDEX('Lease Cycles'!$EM$8:$ES$8,1,DS10)+DS14*(1-INDEX('Lease Cycles'!$EM$8:$ES$8,1,DS10)),DS13),DS13)</f>
        <v>41333.333333333336</v>
      </c>
      <c r="DT15" s="28">
        <f>IF(DT12=1,IF(INDEX('Lease Cycles'!$EF$8:$EL$8,1,DT10)=1,DT13*INDEX('Lease Cycles'!$EM$8:$ES$8,1,DT10)+DT14*(1-INDEX('Lease Cycles'!$EM$8:$ES$8,1,DT10)),DT13),DT13)</f>
        <v>41333.333333333336</v>
      </c>
      <c r="DU15" s="28">
        <f>IF(DU12=1,IF(INDEX('Lease Cycles'!$EF$8:$EL$8,1,DU10)=1,DU13*INDEX('Lease Cycles'!$EM$8:$ES$8,1,DU10)+DU14*(1-INDEX('Lease Cycles'!$EM$8:$ES$8,1,DU10)),DU13),DU13)</f>
        <v>41333.333333333336</v>
      </c>
      <c r="DV15" s="28">
        <f>IF(DV12=1,IF(INDEX('Lease Cycles'!$EF$8:$EL$8,1,DV10)=1,DV13*INDEX('Lease Cycles'!$EM$8:$ES$8,1,DV10)+DV14*(1-INDEX('Lease Cycles'!$EM$8:$ES$8,1,DV10)),DV13),DV13)</f>
        <v>41333.333333333336</v>
      </c>
      <c r="DW15" s="28">
        <f>IF(DW12=1,IF(INDEX('Lease Cycles'!$EF$8:$EL$8,1,DW10)=1,DW13*INDEX('Lease Cycles'!$EM$8:$ES$8,1,DW10)+DW14*(1-INDEX('Lease Cycles'!$EM$8:$ES$8,1,DW10)),DW13),DW13)</f>
        <v>41333.333333333336</v>
      </c>
      <c r="DX15" s="28">
        <f>IF(DX12=1,IF(INDEX('Lease Cycles'!$EF$8:$EL$8,1,DX10)=1,DX13*INDEX('Lease Cycles'!$EM$8:$ES$8,1,DX10)+DX14*(1-INDEX('Lease Cycles'!$EM$8:$ES$8,1,DX10)),DX13),DX13)</f>
        <v>41333.333333333336</v>
      </c>
      <c r="DY15" s="28">
        <f>IF(DY12=1,IF(INDEX('Lease Cycles'!$EF$8:$EL$8,1,DY10)=1,DY13*INDEX('Lease Cycles'!$EM$8:$ES$8,1,DY10)+DY14*(1-INDEX('Lease Cycles'!$EM$8:$ES$8,1,DY10)),DY13),DY13)</f>
        <v>41333.333333333336</v>
      </c>
      <c r="DZ15" s="28">
        <f>IF(DZ12=1,IF(INDEX('Lease Cycles'!$EF$8:$EL$8,1,DZ10)=1,DZ13*INDEX('Lease Cycles'!$EM$8:$ES$8,1,DZ10)+DZ14*(1-INDEX('Lease Cycles'!$EM$8:$ES$8,1,DZ10)),DZ13),DZ13)</f>
        <v>41333.333333333336</v>
      </c>
      <c r="EA15" s="28">
        <f>IF(EA12=1,IF(INDEX('Lease Cycles'!$EF$8:$EL$8,1,EA10)=1,EA13*INDEX('Lease Cycles'!$EM$8:$ES$8,1,EA10)+EA14*(1-INDEX('Lease Cycles'!$EM$8:$ES$8,1,EA10)),EA13),EA13)</f>
        <v>41333.333333333336</v>
      </c>
      <c r="EB15" s="28">
        <f>IF(EB12=1,IF(INDEX('Lease Cycles'!$EF$8:$EL$8,1,EB10)=1,EB13*INDEX('Lease Cycles'!$EM$8:$ES$8,1,EB10)+EB14*(1-INDEX('Lease Cycles'!$EM$8:$ES$8,1,EB10)),EB13),EB13)</f>
        <v>41333.333333333336</v>
      </c>
      <c r="EC15" s="28">
        <f>IF(EC12=1,IF(INDEX('Lease Cycles'!$EF$8:$EL$8,1,EC10)=1,EC13*INDEX('Lease Cycles'!$EM$8:$ES$8,1,EC10)+EC14*(1-INDEX('Lease Cycles'!$EM$8:$ES$8,1,EC10)),EC13),EC13)</f>
        <v>41333.333333333336</v>
      </c>
      <c r="ED15" s="28">
        <f>IF(ED12=1,IF(INDEX('Lease Cycles'!$EF$8:$EL$8,1,ED10)=1,ED13*INDEX('Lease Cycles'!$EM$8:$ES$8,1,ED10)+ED14*(1-INDEX('Lease Cycles'!$EM$8:$ES$8,1,ED10)),ED13),ED13)</f>
        <v>41333.333333333336</v>
      </c>
      <c r="EE15" s="28">
        <f>IF(EE12=1,IF(INDEX('Lease Cycles'!$EF$8:$EL$8,1,EE10)=1,EE13*INDEX('Lease Cycles'!$EM$8:$ES$8,1,EE10)+EE14*(1-INDEX('Lease Cycles'!$EM$8:$ES$8,1,EE10)),EE13),EE13)</f>
        <v>41333.333333333336</v>
      </c>
      <c r="EF15" s="28">
        <f>IF(EF12=1,IF(INDEX('Lease Cycles'!$EF$8:$EL$8,1,EF10)=1,EF13*INDEX('Lease Cycles'!$EM$8:$ES$8,1,EF10)+EF14*(1-INDEX('Lease Cycles'!$EM$8:$ES$8,1,EF10)),EF13),EF13)</f>
        <v>41333.333333333336</v>
      </c>
      <c r="EG15" s="28">
        <f>IF(EG12=1,IF(INDEX('Lease Cycles'!$EF$8:$EL$8,1,EG10)=1,EG13*INDEX('Lease Cycles'!$EM$8:$ES$8,1,EG10)+EG14*(1-INDEX('Lease Cycles'!$EM$8:$ES$8,1,EG10)),EG13),EG13)</f>
        <v>41333.333333333336</v>
      </c>
      <c r="EH15" s="28">
        <f>IF(EH12=1,IF(INDEX('Lease Cycles'!$EF$8:$EL$8,1,EH10)=1,EH13*INDEX('Lease Cycles'!$EM$8:$ES$8,1,EH10)+EH14*(1-INDEX('Lease Cycles'!$EM$8:$ES$8,1,EH10)),EH13),EH13)</f>
        <v>41333.333333333336</v>
      </c>
      <c r="EI15" s="28">
        <f>IF(EI12=1,IF(INDEX('Lease Cycles'!$EF$8:$EL$8,1,EI10)=1,EI13*INDEX('Lease Cycles'!$EM$8:$ES$8,1,EI10)+EI14*(1-INDEX('Lease Cycles'!$EM$8:$ES$8,1,EI10)),EI13),EI13)</f>
        <v>41333.333333333336</v>
      </c>
      <c r="EJ15" s="28">
        <f>IF(EJ12=1,IF(INDEX('Lease Cycles'!$EF$8:$EL$8,1,EJ10)=1,EJ13*INDEX('Lease Cycles'!$EM$8:$ES$8,1,EJ10)+EJ14*(1-INDEX('Lease Cycles'!$EM$8:$ES$8,1,EJ10)),EJ13),EJ13)</f>
        <v>41333.333333333336</v>
      </c>
      <c r="EK15" s="28">
        <f>IF(EK12=1,IF(INDEX('Lease Cycles'!$EF$8:$EL$8,1,EK10)=1,EK13*INDEX('Lease Cycles'!$EM$8:$ES$8,1,EK10)+EK14*(1-INDEX('Lease Cycles'!$EM$8:$ES$8,1,EK10)),EK13),EK13)</f>
        <v>41333.333333333336</v>
      </c>
      <c r="EL15" s="28">
        <f>IF(EL12=1,IF(INDEX('Lease Cycles'!$EF$8:$EL$8,1,EL10)=1,EL13*INDEX('Lease Cycles'!$EM$8:$ES$8,1,EL10)+EL14*(1-INDEX('Lease Cycles'!$EM$8:$ES$8,1,EL10)),EL13),EL13)</f>
        <v>41333.333333333336</v>
      </c>
      <c r="EM15" s="28">
        <f>IF(EM12=1,IF(INDEX('Lease Cycles'!$EF$8:$EL$8,1,EM10)=1,EM13*INDEX('Lease Cycles'!$EM$8:$ES$8,1,EM10)+EM14*(1-INDEX('Lease Cycles'!$EM$8:$ES$8,1,EM10)),EM13),EM13)</f>
        <v>41333.333333333336</v>
      </c>
      <c r="EN15" s="28">
        <f>IF(EN12=1,IF(INDEX('Lease Cycles'!$EF$8:$EL$8,1,EN10)=1,EN13*INDEX('Lease Cycles'!$EM$8:$ES$8,1,EN10)+EN14*(1-INDEX('Lease Cycles'!$EM$8:$ES$8,1,EN10)),EN13),EN13)</f>
        <v>41333.333333333336</v>
      </c>
      <c r="EO15" s="28">
        <f>IF(EO12=1,IF(INDEX('Lease Cycles'!$EF$8:$EL$8,1,EO10)=1,EO13*INDEX('Lease Cycles'!$EM$8:$ES$8,1,EO10)+EO14*(1-INDEX('Lease Cycles'!$EM$8:$ES$8,1,EO10)),EO13),EO13)</f>
        <v>41333.333333333336</v>
      </c>
      <c r="EP15" s="28">
        <f>IF(EP12=1,IF(INDEX('Lease Cycles'!$EF$8:$EL$8,1,EP10)=1,EP13*INDEX('Lease Cycles'!$EM$8:$ES$8,1,EP10)+EP14*(1-INDEX('Lease Cycles'!$EM$8:$ES$8,1,EP10)),EP13),EP13)</f>
        <v>41333.333333333336</v>
      </c>
      <c r="EQ15" s="28">
        <f>IF(EQ12=1,IF(INDEX('Lease Cycles'!$EF$8:$EL$8,1,EQ10)=1,EQ13*INDEX('Lease Cycles'!$EM$8:$ES$8,1,EQ10)+EQ14*(1-INDEX('Lease Cycles'!$EM$8:$ES$8,1,EQ10)),EQ13),EQ13)</f>
        <v>41333.333333333336</v>
      </c>
      <c r="ER15" s="28">
        <f>IF(ER12=1,IF(INDEX('Lease Cycles'!$EF$8:$EL$8,1,ER10)=1,ER13*INDEX('Lease Cycles'!$EM$8:$ES$8,1,ER10)+ER14*(1-INDEX('Lease Cycles'!$EM$8:$ES$8,1,ER10)),ER13),ER13)</f>
        <v>41333.333333333336</v>
      </c>
      <c r="ES15" s="28">
        <f>IF(ES12=1,IF(INDEX('Lease Cycles'!$EF$8:$EL$8,1,ES10)=1,ES13*INDEX('Lease Cycles'!$EM$8:$ES$8,1,ES10)+ES14*(1-INDEX('Lease Cycles'!$EM$8:$ES$8,1,ES10)),ES13),ES13)</f>
        <v>41333.333333333336</v>
      </c>
      <c r="ET15" s="28">
        <f>IF(ET12=1,IF(INDEX('Lease Cycles'!$EF$8:$EL$8,1,ET10)=1,ET13*INDEX('Lease Cycles'!$EM$8:$ES$8,1,ET10)+ET14*(1-INDEX('Lease Cycles'!$EM$8:$ES$8,1,ET10)),ET13),ET13)</f>
        <v>41333.333333333336</v>
      </c>
    </row>
    <row r="16">
      <c r="A16" s="103">
        <v>1</v>
      </c>
      <c r="B16" s="23" t="str">
        <f>IF('Lease Cycles'!$B$8="","(empty slot)",'Lease Cycles'!$B$8)</f>
        <v>Fieldstone Grocery</v>
      </c>
      <c r="C16" s="23" t="s">
        <v>682</v>
      </c>
      <c r="D16" s="104" t="s">
        <v>495</v>
      </c>
      <c r="E16" s="25">
        <f>'Lease Cycles'!$AL$8</f>
        <v>1</v>
      </c>
      <c r="G16" s="28">
        <f>SUM(S16:AD16)</f>
        <v>464000</v>
      </c>
      <c r="H16" s="28">
        <f>SUM(AE16:AP16)</f>
        <v>464000</v>
      </c>
      <c r="I16" s="28">
        <f>SUM(AQ16:BB16)</f>
        <v>464000</v>
      </c>
      <c r="J16" s="28">
        <f>SUM(BC16:BN16)</f>
        <v>464000</v>
      </c>
      <c r="K16" s="28">
        <f>SUM(BO16:BZ16)</f>
        <v>464000</v>
      </c>
      <c r="L16" s="28">
        <f>SUM(CA16:CL16)</f>
        <v>464000</v>
      </c>
      <c r="M16" s="28">
        <f>SUM(CM16:CX16)</f>
        <v>464000</v>
      </c>
      <c r="N16" s="28">
        <f>SUM(CY16:DJ16)</f>
        <v>496000</v>
      </c>
      <c r="O16" s="28">
        <f>SUM(DK16:DV16)</f>
        <v>496000</v>
      </c>
      <c r="P16" s="28">
        <f>SUM(DW16:EH16)</f>
        <v>496000</v>
      </c>
      <c r="Q16" s="28">
        <f>SUM(EI16:ET16)</f>
        <v>496000</v>
      </c>
      <c r="S16" s="28">
        <f>IF(S12=1,IF(INDEX('Lease Cycles'!$EF$8:$EL$8,1,S10)=1,S13*INDEX('Lease Cycles'!$EM$8:$ES$8,1,S10)+S14*IF(S11&lt;INDEX('Lease Cycles'!$FA$8:$FG$8,1,S10),0,1-INDEX('Lease Cycles'!$EM$8:$ES$8,1,S10)),S13*IF(S11&lt;INDEX('Lease Cycles'!$DK$8:$DQ$8,1,S10),0,IF(S11=INDEX('Lease Cycles'!$DK$8:$DQ$8,1,S10),1-INDEX('Lease Cycles'!$DR$8:$DX$8,1,S10),1))),0)</f>
        <v>38666.666666666664</v>
      </c>
      <c r="T16" s="28">
        <f>IF(T12=1,IF(INDEX('Lease Cycles'!$EF$8:$EL$8,1,T10)=1,T13*INDEX('Lease Cycles'!$EM$8:$ES$8,1,T10)+T14*IF(T11&lt;INDEX('Lease Cycles'!$FA$8:$FG$8,1,T10),0,1-INDEX('Lease Cycles'!$EM$8:$ES$8,1,T10)),T13*IF(T11&lt;INDEX('Lease Cycles'!$DK$8:$DQ$8,1,T10),0,IF(T11=INDEX('Lease Cycles'!$DK$8:$DQ$8,1,T10),1-INDEX('Lease Cycles'!$DR$8:$DX$8,1,T10),1))),0)</f>
        <v>38666.666666666664</v>
      </c>
      <c r="U16" s="28">
        <f>IF(U12=1,IF(INDEX('Lease Cycles'!$EF$8:$EL$8,1,U10)=1,U13*INDEX('Lease Cycles'!$EM$8:$ES$8,1,U10)+U14*IF(U11&lt;INDEX('Lease Cycles'!$FA$8:$FG$8,1,U10),0,1-INDEX('Lease Cycles'!$EM$8:$ES$8,1,U10)),U13*IF(U11&lt;INDEX('Lease Cycles'!$DK$8:$DQ$8,1,U10),0,IF(U11=INDEX('Lease Cycles'!$DK$8:$DQ$8,1,U10),1-INDEX('Lease Cycles'!$DR$8:$DX$8,1,U10),1))),0)</f>
        <v>38666.666666666664</v>
      </c>
      <c r="V16" s="28">
        <f>IF(V12=1,IF(INDEX('Lease Cycles'!$EF$8:$EL$8,1,V10)=1,V13*INDEX('Lease Cycles'!$EM$8:$ES$8,1,V10)+V14*IF(V11&lt;INDEX('Lease Cycles'!$FA$8:$FG$8,1,V10),0,1-INDEX('Lease Cycles'!$EM$8:$ES$8,1,V10)),V13*IF(V11&lt;INDEX('Lease Cycles'!$DK$8:$DQ$8,1,V10),0,IF(V11=INDEX('Lease Cycles'!$DK$8:$DQ$8,1,V10),1-INDEX('Lease Cycles'!$DR$8:$DX$8,1,V10),1))),0)</f>
        <v>38666.666666666664</v>
      </c>
      <c r="W16" s="28">
        <f>IF(W12=1,IF(INDEX('Lease Cycles'!$EF$8:$EL$8,1,W10)=1,W13*INDEX('Lease Cycles'!$EM$8:$ES$8,1,W10)+W14*IF(W11&lt;INDEX('Lease Cycles'!$FA$8:$FG$8,1,W10),0,1-INDEX('Lease Cycles'!$EM$8:$ES$8,1,W10)),W13*IF(W11&lt;INDEX('Lease Cycles'!$DK$8:$DQ$8,1,W10),0,IF(W11=INDEX('Lease Cycles'!$DK$8:$DQ$8,1,W10),1-INDEX('Lease Cycles'!$DR$8:$DX$8,1,W10),1))),0)</f>
        <v>38666.666666666664</v>
      </c>
      <c r="X16" s="28">
        <f>IF(X12=1,IF(INDEX('Lease Cycles'!$EF$8:$EL$8,1,X10)=1,X13*INDEX('Lease Cycles'!$EM$8:$ES$8,1,X10)+X14*IF(X11&lt;INDEX('Lease Cycles'!$FA$8:$FG$8,1,X10),0,1-INDEX('Lease Cycles'!$EM$8:$ES$8,1,X10)),X13*IF(X11&lt;INDEX('Lease Cycles'!$DK$8:$DQ$8,1,X10),0,IF(X11=INDEX('Lease Cycles'!$DK$8:$DQ$8,1,X10),1-INDEX('Lease Cycles'!$DR$8:$DX$8,1,X10),1))),0)</f>
        <v>38666.666666666664</v>
      </c>
      <c r="Y16" s="28">
        <f>IF(Y12=1,IF(INDEX('Lease Cycles'!$EF$8:$EL$8,1,Y10)=1,Y13*INDEX('Lease Cycles'!$EM$8:$ES$8,1,Y10)+Y14*IF(Y11&lt;INDEX('Lease Cycles'!$FA$8:$FG$8,1,Y10),0,1-INDEX('Lease Cycles'!$EM$8:$ES$8,1,Y10)),Y13*IF(Y11&lt;INDEX('Lease Cycles'!$DK$8:$DQ$8,1,Y10),0,IF(Y11=INDEX('Lease Cycles'!$DK$8:$DQ$8,1,Y10),1-INDEX('Lease Cycles'!$DR$8:$DX$8,1,Y10),1))),0)</f>
        <v>38666.666666666664</v>
      </c>
      <c r="Z16" s="28">
        <f>IF(Z12=1,IF(INDEX('Lease Cycles'!$EF$8:$EL$8,1,Z10)=1,Z13*INDEX('Lease Cycles'!$EM$8:$ES$8,1,Z10)+Z14*IF(Z11&lt;INDEX('Lease Cycles'!$FA$8:$FG$8,1,Z10),0,1-INDEX('Lease Cycles'!$EM$8:$ES$8,1,Z10)),Z13*IF(Z11&lt;INDEX('Lease Cycles'!$DK$8:$DQ$8,1,Z10),0,IF(Z11=INDEX('Lease Cycles'!$DK$8:$DQ$8,1,Z10),1-INDEX('Lease Cycles'!$DR$8:$DX$8,1,Z10),1))),0)</f>
        <v>38666.666666666664</v>
      </c>
      <c r="AA16" s="28">
        <f>IF(AA12=1,IF(INDEX('Lease Cycles'!$EF$8:$EL$8,1,AA10)=1,AA13*INDEX('Lease Cycles'!$EM$8:$ES$8,1,AA10)+AA14*IF(AA11&lt;INDEX('Lease Cycles'!$FA$8:$FG$8,1,AA10),0,1-INDEX('Lease Cycles'!$EM$8:$ES$8,1,AA10)),AA13*IF(AA11&lt;INDEX('Lease Cycles'!$DK$8:$DQ$8,1,AA10),0,IF(AA11=INDEX('Lease Cycles'!$DK$8:$DQ$8,1,AA10),1-INDEX('Lease Cycles'!$DR$8:$DX$8,1,AA10),1))),0)</f>
        <v>38666.666666666664</v>
      </c>
      <c r="AB16" s="28">
        <f>IF(AB12=1,IF(INDEX('Lease Cycles'!$EF$8:$EL$8,1,AB10)=1,AB13*INDEX('Lease Cycles'!$EM$8:$ES$8,1,AB10)+AB14*IF(AB11&lt;INDEX('Lease Cycles'!$FA$8:$FG$8,1,AB10),0,1-INDEX('Lease Cycles'!$EM$8:$ES$8,1,AB10)),AB13*IF(AB11&lt;INDEX('Lease Cycles'!$DK$8:$DQ$8,1,AB10),0,IF(AB11=INDEX('Lease Cycles'!$DK$8:$DQ$8,1,AB10),1-INDEX('Lease Cycles'!$DR$8:$DX$8,1,AB10),1))),0)</f>
        <v>38666.666666666664</v>
      </c>
      <c r="AC16" s="28">
        <f>IF(AC12=1,IF(INDEX('Lease Cycles'!$EF$8:$EL$8,1,AC10)=1,AC13*INDEX('Lease Cycles'!$EM$8:$ES$8,1,AC10)+AC14*IF(AC11&lt;INDEX('Lease Cycles'!$FA$8:$FG$8,1,AC10),0,1-INDEX('Lease Cycles'!$EM$8:$ES$8,1,AC10)),AC13*IF(AC11&lt;INDEX('Lease Cycles'!$DK$8:$DQ$8,1,AC10),0,IF(AC11=INDEX('Lease Cycles'!$DK$8:$DQ$8,1,AC10),1-INDEX('Lease Cycles'!$DR$8:$DX$8,1,AC10),1))),0)</f>
        <v>38666.666666666664</v>
      </c>
      <c r="AD16" s="28">
        <f>IF(AD12=1,IF(INDEX('Lease Cycles'!$EF$8:$EL$8,1,AD10)=1,AD13*INDEX('Lease Cycles'!$EM$8:$ES$8,1,AD10)+AD14*IF(AD11&lt;INDEX('Lease Cycles'!$FA$8:$FG$8,1,AD10),0,1-INDEX('Lease Cycles'!$EM$8:$ES$8,1,AD10)),AD13*IF(AD11&lt;INDEX('Lease Cycles'!$DK$8:$DQ$8,1,AD10),0,IF(AD11=INDEX('Lease Cycles'!$DK$8:$DQ$8,1,AD10),1-INDEX('Lease Cycles'!$DR$8:$DX$8,1,AD10),1))),0)</f>
        <v>38666.666666666664</v>
      </c>
      <c r="AE16" s="28">
        <f>IF(AE12=1,IF(INDEX('Lease Cycles'!$EF$8:$EL$8,1,AE10)=1,AE13*INDEX('Lease Cycles'!$EM$8:$ES$8,1,AE10)+AE14*IF(AE11&lt;INDEX('Lease Cycles'!$FA$8:$FG$8,1,AE10),0,1-INDEX('Lease Cycles'!$EM$8:$ES$8,1,AE10)),AE13*IF(AE11&lt;INDEX('Lease Cycles'!$DK$8:$DQ$8,1,AE10),0,IF(AE11=INDEX('Lease Cycles'!$DK$8:$DQ$8,1,AE10),1-INDEX('Lease Cycles'!$DR$8:$DX$8,1,AE10),1))),0)</f>
        <v>38666.666666666664</v>
      </c>
      <c r="AF16" s="28">
        <f>IF(AF12=1,IF(INDEX('Lease Cycles'!$EF$8:$EL$8,1,AF10)=1,AF13*INDEX('Lease Cycles'!$EM$8:$ES$8,1,AF10)+AF14*IF(AF11&lt;INDEX('Lease Cycles'!$FA$8:$FG$8,1,AF10),0,1-INDEX('Lease Cycles'!$EM$8:$ES$8,1,AF10)),AF13*IF(AF11&lt;INDEX('Lease Cycles'!$DK$8:$DQ$8,1,AF10),0,IF(AF11=INDEX('Lease Cycles'!$DK$8:$DQ$8,1,AF10),1-INDEX('Lease Cycles'!$DR$8:$DX$8,1,AF10),1))),0)</f>
        <v>38666.666666666664</v>
      </c>
      <c r="AG16" s="28">
        <f>IF(AG12=1,IF(INDEX('Lease Cycles'!$EF$8:$EL$8,1,AG10)=1,AG13*INDEX('Lease Cycles'!$EM$8:$ES$8,1,AG10)+AG14*IF(AG11&lt;INDEX('Lease Cycles'!$FA$8:$FG$8,1,AG10),0,1-INDEX('Lease Cycles'!$EM$8:$ES$8,1,AG10)),AG13*IF(AG11&lt;INDEX('Lease Cycles'!$DK$8:$DQ$8,1,AG10),0,IF(AG11=INDEX('Lease Cycles'!$DK$8:$DQ$8,1,AG10),1-INDEX('Lease Cycles'!$DR$8:$DX$8,1,AG10),1))),0)</f>
        <v>38666.666666666664</v>
      </c>
      <c r="AH16" s="28">
        <f>IF(AH12=1,IF(INDEX('Lease Cycles'!$EF$8:$EL$8,1,AH10)=1,AH13*INDEX('Lease Cycles'!$EM$8:$ES$8,1,AH10)+AH14*IF(AH11&lt;INDEX('Lease Cycles'!$FA$8:$FG$8,1,AH10),0,1-INDEX('Lease Cycles'!$EM$8:$ES$8,1,AH10)),AH13*IF(AH11&lt;INDEX('Lease Cycles'!$DK$8:$DQ$8,1,AH10),0,IF(AH11=INDEX('Lease Cycles'!$DK$8:$DQ$8,1,AH10),1-INDEX('Lease Cycles'!$DR$8:$DX$8,1,AH10),1))),0)</f>
        <v>38666.666666666664</v>
      </c>
      <c r="AI16" s="28">
        <f>IF(AI12=1,IF(INDEX('Lease Cycles'!$EF$8:$EL$8,1,AI10)=1,AI13*INDEX('Lease Cycles'!$EM$8:$ES$8,1,AI10)+AI14*IF(AI11&lt;INDEX('Lease Cycles'!$FA$8:$FG$8,1,AI10),0,1-INDEX('Lease Cycles'!$EM$8:$ES$8,1,AI10)),AI13*IF(AI11&lt;INDEX('Lease Cycles'!$DK$8:$DQ$8,1,AI10),0,IF(AI11=INDEX('Lease Cycles'!$DK$8:$DQ$8,1,AI10),1-INDEX('Lease Cycles'!$DR$8:$DX$8,1,AI10),1))),0)</f>
        <v>38666.666666666664</v>
      </c>
      <c r="AJ16" s="28">
        <f>IF(AJ12=1,IF(INDEX('Lease Cycles'!$EF$8:$EL$8,1,AJ10)=1,AJ13*INDEX('Lease Cycles'!$EM$8:$ES$8,1,AJ10)+AJ14*IF(AJ11&lt;INDEX('Lease Cycles'!$FA$8:$FG$8,1,AJ10),0,1-INDEX('Lease Cycles'!$EM$8:$ES$8,1,AJ10)),AJ13*IF(AJ11&lt;INDEX('Lease Cycles'!$DK$8:$DQ$8,1,AJ10),0,IF(AJ11=INDEX('Lease Cycles'!$DK$8:$DQ$8,1,AJ10),1-INDEX('Lease Cycles'!$DR$8:$DX$8,1,AJ10),1))),0)</f>
        <v>38666.666666666664</v>
      </c>
      <c r="AK16" s="28">
        <f>IF(AK12=1,IF(INDEX('Lease Cycles'!$EF$8:$EL$8,1,AK10)=1,AK13*INDEX('Lease Cycles'!$EM$8:$ES$8,1,AK10)+AK14*IF(AK11&lt;INDEX('Lease Cycles'!$FA$8:$FG$8,1,AK10),0,1-INDEX('Lease Cycles'!$EM$8:$ES$8,1,AK10)),AK13*IF(AK11&lt;INDEX('Lease Cycles'!$DK$8:$DQ$8,1,AK10),0,IF(AK11=INDEX('Lease Cycles'!$DK$8:$DQ$8,1,AK10),1-INDEX('Lease Cycles'!$DR$8:$DX$8,1,AK10),1))),0)</f>
        <v>38666.666666666664</v>
      </c>
      <c r="AL16" s="28">
        <f>IF(AL12=1,IF(INDEX('Lease Cycles'!$EF$8:$EL$8,1,AL10)=1,AL13*INDEX('Lease Cycles'!$EM$8:$ES$8,1,AL10)+AL14*IF(AL11&lt;INDEX('Lease Cycles'!$FA$8:$FG$8,1,AL10),0,1-INDEX('Lease Cycles'!$EM$8:$ES$8,1,AL10)),AL13*IF(AL11&lt;INDEX('Lease Cycles'!$DK$8:$DQ$8,1,AL10),0,IF(AL11=INDEX('Lease Cycles'!$DK$8:$DQ$8,1,AL10),1-INDEX('Lease Cycles'!$DR$8:$DX$8,1,AL10),1))),0)</f>
        <v>38666.666666666664</v>
      </c>
      <c r="AM16" s="28">
        <f>IF(AM12=1,IF(INDEX('Lease Cycles'!$EF$8:$EL$8,1,AM10)=1,AM13*INDEX('Lease Cycles'!$EM$8:$ES$8,1,AM10)+AM14*IF(AM11&lt;INDEX('Lease Cycles'!$FA$8:$FG$8,1,AM10),0,1-INDEX('Lease Cycles'!$EM$8:$ES$8,1,AM10)),AM13*IF(AM11&lt;INDEX('Lease Cycles'!$DK$8:$DQ$8,1,AM10),0,IF(AM11=INDEX('Lease Cycles'!$DK$8:$DQ$8,1,AM10),1-INDEX('Lease Cycles'!$DR$8:$DX$8,1,AM10),1))),0)</f>
        <v>38666.666666666664</v>
      </c>
      <c r="AN16" s="28">
        <f>IF(AN12=1,IF(INDEX('Lease Cycles'!$EF$8:$EL$8,1,AN10)=1,AN13*INDEX('Lease Cycles'!$EM$8:$ES$8,1,AN10)+AN14*IF(AN11&lt;INDEX('Lease Cycles'!$FA$8:$FG$8,1,AN10),0,1-INDEX('Lease Cycles'!$EM$8:$ES$8,1,AN10)),AN13*IF(AN11&lt;INDEX('Lease Cycles'!$DK$8:$DQ$8,1,AN10),0,IF(AN11=INDEX('Lease Cycles'!$DK$8:$DQ$8,1,AN10),1-INDEX('Lease Cycles'!$DR$8:$DX$8,1,AN10),1))),0)</f>
        <v>38666.666666666664</v>
      </c>
      <c r="AO16" s="28">
        <f>IF(AO12=1,IF(INDEX('Lease Cycles'!$EF$8:$EL$8,1,AO10)=1,AO13*INDEX('Lease Cycles'!$EM$8:$ES$8,1,AO10)+AO14*IF(AO11&lt;INDEX('Lease Cycles'!$FA$8:$FG$8,1,AO10),0,1-INDEX('Lease Cycles'!$EM$8:$ES$8,1,AO10)),AO13*IF(AO11&lt;INDEX('Lease Cycles'!$DK$8:$DQ$8,1,AO10),0,IF(AO11=INDEX('Lease Cycles'!$DK$8:$DQ$8,1,AO10),1-INDEX('Lease Cycles'!$DR$8:$DX$8,1,AO10),1))),0)</f>
        <v>38666.666666666664</v>
      </c>
      <c r="AP16" s="28">
        <f>IF(AP12=1,IF(INDEX('Lease Cycles'!$EF$8:$EL$8,1,AP10)=1,AP13*INDEX('Lease Cycles'!$EM$8:$ES$8,1,AP10)+AP14*IF(AP11&lt;INDEX('Lease Cycles'!$FA$8:$FG$8,1,AP10),0,1-INDEX('Lease Cycles'!$EM$8:$ES$8,1,AP10)),AP13*IF(AP11&lt;INDEX('Lease Cycles'!$DK$8:$DQ$8,1,AP10),0,IF(AP11=INDEX('Lease Cycles'!$DK$8:$DQ$8,1,AP10),1-INDEX('Lease Cycles'!$DR$8:$DX$8,1,AP10),1))),0)</f>
        <v>38666.666666666664</v>
      </c>
      <c r="AQ16" s="28">
        <f>IF(AQ12=1,IF(INDEX('Lease Cycles'!$EF$8:$EL$8,1,AQ10)=1,AQ13*INDEX('Lease Cycles'!$EM$8:$ES$8,1,AQ10)+AQ14*IF(AQ11&lt;INDEX('Lease Cycles'!$FA$8:$FG$8,1,AQ10),0,1-INDEX('Lease Cycles'!$EM$8:$ES$8,1,AQ10)),AQ13*IF(AQ11&lt;INDEX('Lease Cycles'!$DK$8:$DQ$8,1,AQ10),0,IF(AQ11=INDEX('Lease Cycles'!$DK$8:$DQ$8,1,AQ10),1-INDEX('Lease Cycles'!$DR$8:$DX$8,1,AQ10),1))),0)</f>
        <v>38666.666666666664</v>
      </c>
      <c r="AR16" s="28">
        <f>IF(AR12=1,IF(INDEX('Lease Cycles'!$EF$8:$EL$8,1,AR10)=1,AR13*INDEX('Lease Cycles'!$EM$8:$ES$8,1,AR10)+AR14*IF(AR11&lt;INDEX('Lease Cycles'!$FA$8:$FG$8,1,AR10),0,1-INDEX('Lease Cycles'!$EM$8:$ES$8,1,AR10)),AR13*IF(AR11&lt;INDEX('Lease Cycles'!$DK$8:$DQ$8,1,AR10),0,IF(AR11=INDEX('Lease Cycles'!$DK$8:$DQ$8,1,AR10),1-INDEX('Lease Cycles'!$DR$8:$DX$8,1,AR10),1))),0)</f>
        <v>38666.666666666664</v>
      </c>
      <c r="AS16" s="28">
        <f>IF(AS12=1,IF(INDEX('Lease Cycles'!$EF$8:$EL$8,1,AS10)=1,AS13*INDEX('Lease Cycles'!$EM$8:$ES$8,1,AS10)+AS14*IF(AS11&lt;INDEX('Lease Cycles'!$FA$8:$FG$8,1,AS10),0,1-INDEX('Lease Cycles'!$EM$8:$ES$8,1,AS10)),AS13*IF(AS11&lt;INDEX('Lease Cycles'!$DK$8:$DQ$8,1,AS10),0,IF(AS11=INDEX('Lease Cycles'!$DK$8:$DQ$8,1,AS10),1-INDEX('Lease Cycles'!$DR$8:$DX$8,1,AS10),1))),0)</f>
        <v>38666.666666666664</v>
      </c>
      <c r="AT16" s="28">
        <f>IF(AT12=1,IF(INDEX('Lease Cycles'!$EF$8:$EL$8,1,AT10)=1,AT13*INDEX('Lease Cycles'!$EM$8:$ES$8,1,AT10)+AT14*IF(AT11&lt;INDEX('Lease Cycles'!$FA$8:$FG$8,1,AT10),0,1-INDEX('Lease Cycles'!$EM$8:$ES$8,1,AT10)),AT13*IF(AT11&lt;INDEX('Lease Cycles'!$DK$8:$DQ$8,1,AT10),0,IF(AT11=INDEX('Lease Cycles'!$DK$8:$DQ$8,1,AT10),1-INDEX('Lease Cycles'!$DR$8:$DX$8,1,AT10),1))),0)</f>
        <v>38666.666666666664</v>
      </c>
      <c r="AU16" s="28">
        <f>IF(AU12=1,IF(INDEX('Lease Cycles'!$EF$8:$EL$8,1,AU10)=1,AU13*INDEX('Lease Cycles'!$EM$8:$ES$8,1,AU10)+AU14*IF(AU11&lt;INDEX('Lease Cycles'!$FA$8:$FG$8,1,AU10),0,1-INDEX('Lease Cycles'!$EM$8:$ES$8,1,AU10)),AU13*IF(AU11&lt;INDEX('Lease Cycles'!$DK$8:$DQ$8,1,AU10),0,IF(AU11=INDEX('Lease Cycles'!$DK$8:$DQ$8,1,AU10),1-INDEX('Lease Cycles'!$DR$8:$DX$8,1,AU10),1))),0)</f>
        <v>38666.666666666664</v>
      </c>
      <c r="AV16" s="28">
        <f>IF(AV12=1,IF(INDEX('Lease Cycles'!$EF$8:$EL$8,1,AV10)=1,AV13*INDEX('Lease Cycles'!$EM$8:$ES$8,1,AV10)+AV14*IF(AV11&lt;INDEX('Lease Cycles'!$FA$8:$FG$8,1,AV10),0,1-INDEX('Lease Cycles'!$EM$8:$ES$8,1,AV10)),AV13*IF(AV11&lt;INDEX('Lease Cycles'!$DK$8:$DQ$8,1,AV10),0,IF(AV11=INDEX('Lease Cycles'!$DK$8:$DQ$8,1,AV10),1-INDEX('Lease Cycles'!$DR$8:$DX$8,1,AV10),1))),0)</f>
        <v>38666.666666666664</v>
      </c>
      <c r="AW16" s="28">
        <f>IF(AW12=1,IF(INDEX('Lease Cycles'!$EF$8:$EL$8,1,AW10)=1,AW13*INDEX('Lease Cycles'!$EM$8:$ES$8,1,AW10)+AW14*IF(AW11&lt;INDEX('Lease Cycles'!$FA$8:$FG$8,1,AW10),0,1-INDEX('Lease Cycles'!$EM$8:$ES$8,1,AW10)),AW13*IF(AW11&lt;INDEX('Lease Cycles'!$DK$8:$DQ$8,1,AW10),0,IF(AW11=INDEX('Lease Cycles'!$DK$8:$DQ$8,1,AW10),1-INDEX('Lease Cycles'!$DR$8:$DX$8,1,AW10),1))),0)</f>
        <v>38666.666666666664</v>
      </c>
      <c r="AX16" s="28">
        <f>IF(AX12=1,IF(INDEX('Lease Cycles'!$EF$8:$EL$8,1,AX10)=1,AX13*INDEX('Lease Cycles'!$EM$8:$ES$8,1,AX10)+AX14*IF(AX11&lt;INDEX('Lease Cycles'!$FA$8:$FG$8,1,AX10),0,1-INDEX('Lease Cycles'!$EM$8:$ES$8,1,AX10)),AX13*IF(AX11&lt;INDEX('Lease Cycles'!$DK$8:$DQ$8,1,AX10),0,IF(AX11=INDEX('Lease Cycles'!$DK$8:$DQ$8,1,AX10),1-INDEX('Lease Cycles'!$DR$8:$DX$8,1,AX10),1))),0)</f>
        <v>38666.666666666664</v>
      </c>
      <c r="AY16" s="28">
        <f>IF(AY12=1,IF(INDEX('Lease Cycles'!$EF$8:$EL$8,1,AY10)=1,AY13*INDEX('Lease Cycles'!$EM$8:$ES$8,1,AY10)+AY14*IF(AY11&lt;INDEX('Lease Cycles'!$FA$8:$FG$8,1,AY10),0,1-INDEX('Lease Cycles'!$EM$8:$ES$8,1,AY10)),AY13*IF(AY11&lt;INDEX('Lease Cycles'!$DK$8:$DQ$8,1,AY10),0,IF(AY11=INDEX('Lease Cycles'!$DK$8:$DQ$8,1,AY10),1-INDEX('Lease Cycles'!$DR$8:$DX$8,1,AY10),1))),0)</f>
        <v>38666.666666666664</v>
      </c>
      <c r="AZ16" s="28">
        <f>IF(AZ12=1,IF(INDEX('Lease Cycles'!$EF$8:$EL$8,1,AZ10)=1,AZ13*INDEX('Lease Cycles'!$EM$8:$ES$8,1,AZ10)+AZ14*IF(AZ11&lt;INDEX('Lease Cycles'!$FA$8:$FG$8,1,AZ10),0,1-INDEX('Lease Cycles'!$EM$8:$ES$8,1,AZ10)),AZ13*IF(AZ11&lt;INDEX('Lease Cycles'!$DK$8:$DQ$8,1,AZ10),0,IF(AZ11=INDEX('Lease Cycles'!$DK$8:$DQ$8,1,AZ10),1-INDEX('Lease Cycles'!$DR$8:$DX$8,1,AZ10),1))),0)</f>
        <v>38666.666666666664</v>
      </c>
      <c r="BA16" s="28">
        <f>IF(BA12=1,IF(INDEX('Lease Cycles'!$EF$8:$EL$8,1,BA10)=1,BA13*INDEX('Lease Cycles'!$EM$8:$ES$8,1,BA10)+BA14*IF(BA11&lt;INDEX('Lease Cycles'!$FA$8:$FG$8,1,BA10),0,1-INDEX('Lease Cycles'!$EM$8:$ES$8,1,BA10)),BA13*IF(BA11&lt;INDEX('Lease Cycles'!$DK$8:$DQ$8,1,BA10),0,IF(BA11=INDEX('Lease Cycles'!$DK$8:$DQ$8,1,BA10),1-INDEX('Lease Cycles'!$DR$8:$DX$8,1,BA10),1))),0)</f>
        <v>38666.666666666664</v>
      </c>
      <c r="BB16" s="28">
        <f>IF(BB12=1,IF(INDEX('Lease Cycles'!$EF$8:$EL$8,1,BB10)=1,BB13*INDEX('Lease Cycles'!$EM$8:$ES$8,1,BB10)+BB14*IF(BB11&lt;INDEX('Lease Cycles'!$FA$8:$FG$8,1,BB10),0,1-INDEX('Lease Cycles'!$EM$8:$ES$8,1,BB10)),BB13*IF(BB11&lt;INDEX('Lease Cycles'!$DK$8:$DQ$8,1,BB10),0,IF(BB11=INDEX('Lease Cycles'!$DK$8:$DQ$8,1,BB10),1-INDEX('Lease Cycles'!$DR$8:$DX$8,1,BB10),1))),0)</f>
        <v>38666.666666666664</v>
      </c>
      <c r="BC16" s="28">
        <f>IF(BC12=1,IF(INDEX('Lease Cycles'!$EF$8:$EL$8,1,BC10)=1,BC13*INDEX('Lease Cycles'!$EM$8:$ES$8,1,BC10)+BC14*IF(BC11&lt;INDEX('Lease Cycles'!$FA$8:$FG$8,1,BC10),0,1-INDEX('Lease Cycles'!$EM$8:$ES$8,1,BC10)),BC13*IF(BC11&lt;INDEX('Lease Cycles'!$DK$8:$DQ$8,1,BC10),0,IF(BC11=INDEX('Lease Cycles'!$DK$8:$DQ$8,1,BC10),1-INDEX('Lease Cycles'!$DR$8:$DX$8,1,BC10),1))),0)</f>
        <v>38666.666666666664</v>
      </c>
      <c r="BD16" s="28">
        <f>IF(BD12=1,IF(INDEX('Lease Cycles'!$EF$8:$EL$8,1,BD10)=1,BD13*INDEX('Lease Cycles'!$EM$8:$ES$8,1,BD10)+BD14*IF(BD11&lt;INDEX('Lease Cycles'!$FA$8:$FG$8,1,BD10),0,1-INDEX('Lease Cycles'!$EM$8:$ES$8,1,BD10)),BD13*IF(BD11&lt;INDEX('Lease Cycles'!$DK$8:$DQ$8,1,BD10),0,IF(BD11=INDEX('Lease Cycles'!$DK$8:$DQ$8,1,BD10),1-INDEX('Lease Cycles'!$DR$8:$DX$8,1,BD10),1))),0)</f>
        <v>38666.666666666664</v>
      </c>
      <c r="BE16" s="28">
        <f>IF(BE12=1,IF(INDEX('Lease Cycles'!$EF$8:$EL$8,1,BE10)=1,BE13*INDEX('Lease Cycles'!$EM$8:$ES$8,1,BE10)+BE14*IF(BE11&lt;INDEX('Lease Cycles'!$FA$8:$FG$8,1,BE10),0,1-INDEX('Lease Cycles'!$EM$8:$ES$8,1,BE10)),BE13*IF(BE11&lt;INDEX('Lease Cycles'!$DK$8:$DQ$8,1,BE10),0,IF(BE11=INDEX('Lease Cycles'!$DK$8:$DQ$8,1,BE10),1-INDEX('Lease Cycles'!$DR$8:$DX$8,1,BE10),1))),0)</f>
        <v>38666.666666666664</v>
      </c>
      <c r="BF16" s="28">
        <f>IF(BF12=1,IF(INDEX('Lease Cycles'!$EF$8:$EL$8,1,BF10)=1,BF13*INDEX('Lease Cycles'!$EM$8:$ES$8,1,BF10)+BF14*IF(BF11&lt;INDEX('Lease Cycles'!$FA$8:$FG$8,1,BF10),0,1-INDEX('Lease Cycles'!$EM$8:$ES$8,1,BF10)),BF13*IF(BF11&lt;INDEX('Lease Cycles'!$DK$8:$DQ$8,1,BF10),0,IF(BF11=INDEX('Lease Cycles'!$DK$8:$DQ$8,1,BF10),1-INDEX('Lease Cycles'!$DR$8:$DX$8,1,BF10),1))),0)</f>
        <v>38666.666666666664</v>
      </c>
      <c r="BG16" s="28">
        <f>IF(BG12=1,IF(INDEX('Lease Cycles'!$EF$8:$EL$8,1,BG10)=1,BG13*INDEX('Lease Cycles'!$EM$8:$ES$8,1,BG10)+BG14*IF(BG11&lt;INDEX('Lease Cycles'!$FA$8:$FG$8,1,BG10),0,1-INDEX('Lease Cycles'!$EM$8:$ES$8,1,BG10)),BG13*IF(BG11&lt;INDEX('Lease Cycles'!$DK$8:$DQ$8,1,BG10),0,IF(BG11=INDEX('Lease Cycles'!$DK$8:$DQ$8,1,BG10),1-INDEX('Lease Cycles'!$DR$8:$DX$8,1,BG10),1))),0)</f>
        <v>38666.666666666664</v>
      </c>
      <c r="BH16" s="28">
        <f>IF(BH12=1,IF(INDEX('Lease Cycles'!$EF$8:$EL$8,1,BH10)=1,BH13*INDEX('Lease Cycles'!$EM$8:$ES$8,1,BH10)+BH14*IF(BH11&lt;INDEX('Lease Cycles'!$FA$8:$FG$8,1,BH10),0,1-INDEX('Lease Cycles'!$EM$8:$ES$8,1,BH10)),BH13*IF(BH11&lt;INDEX('Lease Cycles'!$DK$8:$DQ$8,1,BH10),0,IF(BH11=INDEX('Lease Cycles'!$DK$8:$DQ$8,1,BH10),1-INDEX('Lease Cycles'!$DR$8:$DX$8,1,BH10),1))),0)</f>
        <v>38666.666666666664</v>
      </c>
      <c r="BI16" s="28">
        <f>IF(BI12=1,IF(INDEX('Lease Cycles'!$EF$8:$EL$8,1,BI10)=1,BI13*INDEX('Lease Cycles'!$EM$8:$ES$8,1,BI10)+BI14*IF(BI11&lt;INDEX('Lease Cycles'!$FA$8:$FG$8,1,BI10),0,1-INDEX('Lease Cycles'!$EM$8:$ES$8,1,BI10)),BI13*IF(BI11&lt;INDEX('Lease Cycles'!$DK$8:$DQ$8,1,BI10),0,IF(BI11=INDEX('Lease Cycles'!$DK$8:$DQ$8,1,BI10),1-INDEX('Lease Cycles'!$DR$8:$DX$8,1,BI10),1))),0)</f>
        <v>38666.666666666664</v>
      </c>
      <c r="BJ16" s="28">
        <f>IF(BJ12=1,IF(INDEX('Lease Cycles'!$EF$8:$EL$8,1,BJ10)=1,BJ13*INDEX('Lease Cycles'!$EM$8:$ES$8,1,BJ10)+BJ14*IF(BJ11&lt;INDEX('Lease Cycles'!$FA$8:$FG$8,1,BJ10),0,1-INDEX('Lease Cycles'!$EM$8:$ES$8,1,BJ10)),BJ13*IF(BJ11&lt;INDEX('Lease Cycles'!$DK$8:$DQ$8,1,BJ10),0,IF(BJ11=INDEX('Lease Cycles'!$DK$8:$DQ$8,1,BJ10),1-INDEX('Lease Cycles'!$DR$8:$DX$8,1,BJ10),1))),0)</f>
        <v>38666.666666666664</v>
      </c>
      <c r="BK16" s="28">
        <f>IF(BK12=1,IF(INDEX('Lease Cycles'!$EF$8:$EL$8,1,BK10)=1,BK13*INDEX('Lease Cycles'!$EM$8:$ES$8,1,BK10)+BK14*IF(BK11&lt;INDEX('Lease Cycles'!$FA$8:$FG$8,1,BK10),0,1-INDEX('Lease Cycles'!$EM$8:$ES$8,1,BK10)),BK13*IF(BK11&lt;INDEX('Lease Cycles'!$DK$8:$DQ$8,1,BK10),0,IF(BK11=INDEX('Lease Cycles'!$DK$8:$DQ$8,1,BK10),1-INDEX('Lease Cycles'!$DR$8:$DX$8,1,BK10),1))),0)</f>
        <v>38666.666666666664</v>
      </c>
      <c r="BL16" s="28">
        <f>IF(BL12=1,IF(INDEX('Lease Cycles'!$EF$8:$EL$8,1,BL10)=1,BL13*INDEX('Lease Cycles'!$EM$8:$ES$8,1,BL10)+BL14*IF(BL11&lt;INDEX('Lease Cycles'!$FA$8:$FG$8,1,BL10),0,1-INDEX('Lease Cycles'!$EM$8:$ES$8,1,BL10)),BL13*IF(BL11&lt;INDEX('Lease Cycles'!$DK$8:$DQ$8,1,BL10),0,IF(BL11=INDEX('Lease Cycles'!$DK$8:$DQ$8,1,BL10),1-INDEX('Lease Cycles'!$DR$8:$DX$8,1,BL10),1))),0)</f>
        <v>38666.666666666664</v>
      </c>
      <c r="BM16" s="28">
        <f>IF(BM12=1,IF(INDEX('Lease Cycles'!$EF$8:$EL$8,1,BM10)=1,BM13*INDEX('Lease Cycles'!$EM$8:$ES$8,1,BM10)+BM14*IF(BM11&lt;INDEX('Lease Cycles'!$FA$8:$FG$8,1,BM10),0,1-INDEX('Lease Cycles'!$EM$8:$ES$8,1,BM10)),BM13*IF(BM11&lt;INDEX('Lease Cycles'!$DK$8:$DQ$8,1,BM10),0,IF(BM11=INDEX('Lease Cycles'!$DK$8:$DQ$8,1,BM10),1-INDEX('Lease Cycles'!$DR$8:$DX$8,1,BM10),1))),0)</f>
        <v>38666.666666666664</v>
      </c>
      <c r="BN16" s="28">
        <f>IF(BN12=1,IF(INDEX('Lease Cycles'!$EF$8:$EL$8,1,BN10)=1,BN13*INDEX('Lease Cycles'!$EM$8:$ES$8,1,BN10)+BN14*IF(BN11&lt;INDEX('Lease Cycles'!$FA$8:$FG$8,1,BN10),0,1-INDEX('Lease Cycles'!$EM$8:$ES$8,1,BN10)),BN13*IF(BN11&lt;INDEX('Lease Cycles'!$DK$8:$DQ$8,1,BN10),0,IF(BN11=INDEX('Lease Cycles'!$DK$8:$DQ$8,1,BN10),1-INDEX('Lease Cycles'!$DR$8:$DX$8,1,BN10),1))),0)</f>
        <v>38666.666666666664</v>
      </c>
      <c r="BO16" s="28">
        <f>IF(BO12=1,IF(INDEX('Lease Cycles'!$EF$8:$EL$8,1,BO10)=1,BO13*INDEX('Lease Cycles'!$EM$8:$ES$8,1,BO10)+BO14*IF(BO11&lt;INDEX('Lease Cycles'!$FA$8:$FG$8,1,BO10),0,1-INDEX('Lease Cycles'!$EM$8:$ES$8,1,BO10)),BO13*IF(BO11&lt;INDEX('Lease Cycles'!$DK$8:$DQ$8,1,BO10),0,IF(BO11=INDEX('Lease Cycles'!$DK$8:$DQ$8,1,BO10),1-INDEX('Lease Cycles'!$DR$8:$DX$8,1,BO10),1))),0)</f>
        <v>38666.666666666664</v>
      </c>
      <c r="BP16" s="28">
        <f>IF(BP12=1,IF(INDEX('Lease Cycles'!$EF$8:$EL$8,1,BP10)=1,BP13*INDEX('Lease Cycles'!$EM$8:$ES$8,1,BP10)+BP14*IF(BP11&lt;INDEX('Lease Cycles'!$FA$8:$FG$8,1,BP10),0,1-INDEX('Lease Cycles'!$EM$8:$ES$8,1,BP10)),BP13*IF(BP11&lt;INDEX('Lease Cycles'!$DK$8:$DQ$8,1,BP10),0,IF(BP11=INDEX('Lease Cycles'!$DK$8:$DQ$8,1,BP10),1-INDEX('Lease Cycles'!$DR$8:$DX$8,1,BP10),1))),0)</f>
        <v>38666.666666666664</v>
      </c>
      <c r="BQ16" s="28">
        <f>IF(BQ12=1,IF(INDEX('Lease Cycles'!$EF$8:$EL$8,1,BQ10)=1,BQ13*INDEX('Lease Cycles'!$EM$8:$ES$8,1,BQ10)+BQ14*IF(BQ11&lt;INDEX('Lease Cycles'!$FA$8:$FG$8,1,BQ10),0,1-INDEX('Lease Cycles'!$EM$8:$ES$8,1,BQ10)),BQ13*IF(BQ11&lt;INDEX('Lease Cycles'!$DK$8:$DQ$8,1,BQ10),0,IF(BQ11=INDEX('Lease Cycles'!$DK$8:$DQ$8,1,BQ10),1-INDEX('Lease Cycles'!$DR$8:$DX$8,1,BQ10),1))),0)</f>
        <v>38666.666666666664</v>
      </c>
      <c r="BR16" s="28">
        <f>IF(BR12=1,IF(INDEX('Lease Cycles'!$EF$8:$EL$8,1,BR10)=1,BR13*INDEX('Lease Cycles'!$EM$8:$ES$8,1,BR10)+BR14*IF(BR11&lt;INDEX('Lease Cycles'!$FA$8:$FG$8,1,BR10),0,1-INDEX('Lease Cycles'!$EM$8:$ES$8,1,BR10)),BR13*IF(BR11&lt;INDEX('Lease Cycles'!$DK$8:$DQ$8,1,BR10),0,IF(BR11=INDEX('Lease Cycles'!$DK$8:$DQ$8,1,BR10),1-INDEX('Lease Cycles'!$DR$8:$DX$8,1,BR10),1))),0)</f>
        <v>38666.666666666664</v>
      </c>
      <c r="BS16" s="28">
        <f>IF(BS12=1,IF(INDEX('Lease Cycles'!$EF$8:$EL$8,1,BS10)=1,BS13*INDEX('Lease Cycles'!$EM$8:$ES$8,1,BS10)+BS14*IF(BS11&lt;INDEX('Lease Cycles'!$FA$8:$FG$8,1,BS10),0,1-INDEX('Lease Cycles'!$EM$8:$ES$8,1,BS10)),BS13*IF(BS11&lt;INDEX('Lease Cycles'!$DK$8:$DQ$8,1,BS10),0,IF(BS11=INDEX('Lease Cycles'!$DK$8:$DQ$8,1,BS10),1-INDEX('Lease Cycles'!$DR$8:$DX$8,1,BS10),1))),0)</f>
        <v>38666.666666666664</v>
      </c>
      <c r="BT16" s="28">
        <f>IF(BT12=1,IF(INDEX('Lease Cycles'!$EF$8:$EL$8,1,BT10)=1,BT13*INDEX('Lease Cycles'!$EM$8:$ES$8,1,BT10)+BT14*IF(BT11&lt;INDEX('Lease Cycles'!$FA$8:$FG$8,1,BT10),0,1-INDEX('Lease Cycles'!$EM$8:$ES$8,1,BT10)),BT13*IF(BT11&lt;INDEX('Lease Cycles'!$DK$8:$DQ$8,1,BT10),0,IF(BT11=INDEX('Lease Cycles'!$DK$8:$DQ$8,1,BT10),1-INDEX('Lease Cycles'!$DR$8:$DX$8,1,BT10),1))),0)</f>
        <v>38666.666666666664</v>
      </c>
      <c r="BU16" s="28">
        <f>IF(BU12=1,IF(INDEX('Lease Cycles'!$EF$8:$EL$8,1,BU10)=1,BU13*INDEX('Lease Cycles'!$EM$8:$ES$8,1,BU10)+BU14*IF(BU11&lt;INDEX('Lease Cycles'!$FA$8:$FG$8,1,BU10),0,1-INDEX('Lease Cycles'!$EM$8:$ES$8,1,BU10)),BU13*IF(BU11&lt;INDEX('Lease Cycles'!$DK$8:$DQ$8,1,BU10),0,IF(BU11=INDEX('Lease Cycles'!$DK$8:$DQ$8,1,BU10),1-INDEX('Lease Cycles'!$DR$8:$DX$8,1,BU10),1))),0)</f>
        <v>38666.666666666664</v>
      </c>
      <c r="BV16" s="28">
        <f>IF(BV12=1,IF(INDEX('Lease Cycles'!$EF$8:$EL$8,1,BV10)=1,BV13*INDEX('Lease Cycles'!$EM$8:$ES$8,1,BV10)+BV14*IF(BV11&lt;INDEX('Lease Cycles'!$FA$8:$FG$8,1,BV10),0,1-INDEX('Lease Cycles'!$EM$8:$ES$8,1,BV10)),BV13*IF(BV11&lt;INDEX('Lease Cycles'!$DK$8:$DQ$8,1,BV10),0,IF(BV11=INDEX('Lease Cycles'!$DK$8:$DQ$8,1,BV10),1-INDEX('Lease Cycles'!$DR$8:$DX$8,1,BV10),1))),0)</f>
        <v>38666.666666666664</v>
      </c>
      <c r="BW16" s="28">
        <f>IF(BW12=1,IF(INDEX('Lease Cycles'!$EF$8:$EL$8,1,BW10)=1,BW13*INDEX('Lease Cycles'!$EM$8:$ES$8,1,BW10)+BW14*IF(BW11&lt;INDEX('Lease Cycles'!$FA$8:$FG$8,1,BW10),0,1-INDEX('Lease Cycles'!$EM$8:$ES$8,1,BW10)),BW13*IF(BW11&lt;INDEX('Lease Cycles'!$DK$8:$DQ$8,1,BW10),0,IF(BW11=INDEX('Lease Cycles'!$DK$8:$DQ$8,1,BW10),1-INDEX('Lease Cycles'!$DR$8:$DX$8,1,BW10),1))),0)</f>
        <v>38666.666666666664</v>
      </c>
      <c r="BX16" s="28">
        <f>IF(BX12=1,IF(INDEX('Lease Cycles'!$EF$8:$EL$8,1,BX10)=1,BX13*INDEX('Lease Cycles'!$EM$8:$ES$8,1,BX10)+BX14*IF(BX11&lt;INDEX('Lease Cycles'!$FA$8:$FG$8,1,BX10),0,1-INDEX('Lease Cycles'!$EM$8:$ES$8,1,BX10)),BX13*IF(BX11&lt;INDEX('Lease Cycles'!$DK$8:$DQ$8,1,BX10),0,IF(BX11=INDEX('Lease Cycles'!$DK$8:$DQ$8,1,BX10),1-INDEX('Lease Cycles'!$DR$8:$DX$8,1,BX10),1))),0)</f>
        <v>38666.666666666664</v>
      </c>
      <c r="BY16" s="28">
        <f>IF(BY12=1,IF(INDEX('Lease Cycles'!$EF$8:$EL$8,1,BY10)=1,BY13*INDEX('Lease Cycles'!$EM$8:$ES$8,1,BY10)+BY14*IF(BY11&lt;INDEX('Lease Cycles'!$FA$8:$FG$8,1,BY10),0,1-INDEX('Lease Cycles'!$EM$8:$ES$8,1,BY10)),BY13*IF(BY11&lt;INDEX('Lease Cycles'!$DK$8:$DQ$8,1,BY10),0,IF(BY11=INDEX('Lease Cycles'!$DK$8:$DQ$8,1,BY10),1-INDEX('Lease Cycles'!$DR$8:$DX$8,1,BY10),1))),0)</f>
        <v>38666.666666666664</v>
      </c>
      <c r="BZ16" s="28">
        <f>IF(BZ12=1,IF(INDEX('Lease Cycles'!$EF$8:$EL$8,1,BZ10)=1,BZ13*INDEX('Lease Cycles'!$EM$8:$ES$8,1,BZ10)+BZ14*IF(BZ11&lt;INDEX('Lease Cycles'!$FA$8:$FG$8,1,BZ10),0,1-INDEX('Lease Cycles'!$EM$8:$ES$8,1,BZ10)),BZ13*IF(BZ11&lt;INDEX('Lease Cycles'!$DK$8:$DQ$8,1,BZ10),0,IF(BZ11=INDEX('Lease Cycles'!$DK$8:$DQ$8,1,BZ10),1-INDEX('Lease Cycles'!$DR$8:$DX$8,1,BZ10),1))),0)</f>
        <v>38666.666666666664</v>
      </c>
      <c r="CA16" s="28">
        <f>IF(CA12=1,IF(INDEX('Lease Cycles'!$EF$8:$EL$8,1,CA10)=1,CA13*INDEX('Lease Cycles'!$EM$8:$ES$8,1,CA10)+CA14*IF(CA11&lt;INDEX('Lease Cycles'!$FA$8:$FG$8,1,CA10),0,1-INDEX('Lease Cycles'!$EM$8:$ES$8,1,CA10)),CA13*IF(CA11&lt;INDEX('Lease Cycles'!$DK$8:$DQ$8,1,CA10),0,IF(CA11=INDEX('Lease Cycles'!$DK$8:$DQ$8,1,CA10),1-INDEX('Lease Cycles'!$DR$8:$DX$8,1,CA10),1))),0)</f>
        <v>38666.666666666664</v>
      </c>
      <c r="CB16" s="28">
        <f>IF(CB12=1,IF(INDEX('Lease Cycles'!$EF$8:$EL$8,1,CB10)=1,CB13*INDEX('Lease Cycles'!$EM$8:$ES$8,1,CB10)+CB14*IF(CB11&lt;INDEX('Lease Cycles'!$FA$8:$FG$8,1,CB10),0,1-INDEX('Lease Cycles'!$EM$8:$ES$8,1,CB10)),CB13*IF(CB11&lt;INDEX('Lease Cycles'!$DK$8:$DQ$8,1,CB10),0,IF(CB11=INDEX('Lease Cycles'!$DK$8:$DQ$8,1,CB10),1-INDEX('Lease Cycles'!$DR$8:$DX$8,1,CB10),1))),0)</f>
        <v>38666.666666666664</v>
      </c>
      <c r="CC16" s="28">
        <f>IF(CC12=1,IF(INDEX('Lease Cycles'!$EF$8:$EL$8,1,CC10)=1,CC13*INDEX('Lease Cycles'!$EM$8:$ES$8,1,CC10)+CC14*IF(CC11&lt;INDEX('Lease Cycles'!$FA$8:$FG$8,1,CC10),0,1-INDEX('Lease Cycles'!$EM$8:$ES$8,1,CC10)),CC13*IF(CC11&lt;INDEX('Lease Cycles'!$DK$8:$DQ$8,1,CC10),0,IF(CC11=INDEX('Lease Cycles'!$DK$8:$DQ$8,1,CC10),1-INDEX('Lease Cycles'!$DR$8:$DX$8,1,CC10),1))),0)</f>
        <v>38666.666666666664</v>
      </c>
      <c r="CD16" s="28">
        <f>IF(CD12=1,IF(INDEX('Lease Cycles'!$EF$8:$EL$8,1,CD10)=1,CD13*INDEX('Lease Cycles'!$EM$8:$ES$8,1,CD10)+CD14*IF(CD11&lt;INDEX('Lease Cycles'!$FA$8:$FG$8,1,CD10),0,1-INDEX('Lease Cycles'!$EM$8:$ES$8,1,CD10)),CD13*IF(CD11&lt;INDEX('Lease Cycles'!$DK$8:$DQ$8,1,CD10),0,IF(CD11=INDEX('Lease Cycles'!$DK$8:$DQ$8,1,CD10),1-INDEX('Lease Cycles'!$DR$8:$DX$8,1,CD10),1))),0)</f>
        <v>38666.666666666664</v>
      </c>
      <c r="CE16" s="28">
        <f>IF(CE12=1,IF(INDEX('Lease Cycles'!$EF$8:$EL$8,1,CE10)=1,CE13*INDEX('Lease Cycles'!$EM$8:$ES$8,1,CE10)+CE14*IF(CE11&lt;INDEX('Lease Cycles'!$FA$8:$FG$8,1,CE10),0,1-INDEX('Lease Cycles'!$EM$8:$ES$8,1,CE10)),CE13*IF(CE11&lt;INDEX('Lease Cycles'!$DK$8:$DQ$8,1,CE10),0,IF(CE11=INDEX('Lease Cycles'!$DK$8:$DQ$8,1,CE10),1-INDEX('Lease Cycles'!$DR$8:$DX$8,1,CE10),1))),0)</f>
        <v>38666.666666666664</v>
      </c>
      <c r="CF16" s="28">
        <f>IF(CF12=1,IF(INDEX('Lease Cycles'!$EF$8:$EL$8,1,CF10)=1,CF13*INDEX('Lease Cycles'!$EM$8:$ES$8,1,CF10)+CF14*IF(CF11&lt;INDEX('Lease Cycles'!$FA$8:$FG$8,1,CF10),0,1-INDEX('Lease Cycles'!$EM$8:$ES$8,1,CF10)),CF13*IF(CF11&lt;INDEX('Lease Cycles'!$DK$8:$DQ$8,1,CF10),0,IF(CF11=INDEX('Lease Cycles'!$DK$8:$DQ$8,1,CF10),1-INDEX('Lease Cycles'!$DR$8:$DX$8,1,CF10),1))),0)</f>
        <v>38666.666666666664</v>
      </c>
      <c r="CG16" s="28">
        <f>IF(CG12=1,IF(INDEX('Lease Cycles'!$EF$8:$EL$8,1,CG10)=1,CG13*INDEX('Lease Cycles'!$EM$8:$ES$8,1,CG10)+CG14*IF(CG11&lt;INDEX('Lease Cycles'!$FA$8:$FG$8,1,CG10),0,1-INDEX('Lease Cycles'!$EM$8:$ES$8,1,CG10)),CG13*IF(CG11&lt;INDEX('Lease Cycles'!$DK$8:$DQ$8,1,CG10),0,IF(CG11=INDEX('Lease Cycles'!$DK$8:$DQ$8,1,CG10),1-INDEX('Lease Cycles'!$DR$8:$DX$8,1,CG10),1))),0)</f>
        <v>38666.666666666664</v>
      </c>
      <c r="CH16" s="28">
        <f>IF(CH12=1,IF(INDEX('Lease Cycles'!$EF$8:$EL$8,1,CH10)=1,CH13*INDEX('Lease Cycles'!$EM$8:$ES$8,1,CH10)+CH14*IF(CH11&lt;INDEX('Lease Cycles'!$FA$8:$FG$8,1,CH10),0,1-INDEX('Lease Cycles'!$EM$8:$ES$8,1,CH10)),CH13*IF(CH11&lt;INDEX('Lease Cycles'!$DK$8:$DQ$8,1,CH10),0,IF(CH11=INDEX('Lease Cycles'!$DK$8:$DQ$8,1,CH10),1-INDEX('Lease Cycles'!$DR$8:$DX$8,1,CH10),1))),0)</f>
        <v>38666.666666666664</v>
      </c>
      <c r="CI16" s="28">
        <f>IF(CI12=1,IF(INDEX('Lease Cycles'!$EF$8:$EL$8,1,CI10)=1,CI13*INDEX('Lease Cycles'!$EM$8:$ES$8,1,CI10)+CI14*IF(CI11&lt;INDEX('Lease Cycles'!$FA$8:$FG$8,1,CI10),0,1-INDEX('Lease Cycles'!$EM$8:$ES$8,1,CI10)),CI13*IF(CI11&lt;INDEX('Lease Cycles'!$DK$8:$DQ$8,1,CI10),0,IF(CI11=INDEX('Lease Cycles'!$DK$8:$DQ$8,1,CI10),1-INDEX('Lease Cycles'!$DR$8:$DX$8,1,CI10),1))),0)</f>
        <v>38666.666666666664</v>
      </c>
      <c r="CJ16" s="28">
        <f>IF(CJ12=1,IF(INDEX('Lease Cycles'!$EF$8:$EL$8,1,CJ10)=1,CJ13*INDEX('Lease Cycles'!$EM$8:$ES$8,1,CJ10)+CJ14*IF(CJ11&lt;INDEX('Lease Cycles'!$FA$8:$FG$8,1,CJ10),0,1-INDEX('Lease Cycles'!$EM$8:$ES$8,1,CJ10)),CJ13*IF(CJ11&lt;INDEX('Lease Cycles'!$DK$8:$DQ$8,1,CJ10),0,IF(CJ11=INDEX('Lease Cycles'!$DK$8:$DQ$8,1,CJ10),1-INDEX('Lease Cycles'!$DR$8:$DX$8,1,CJ10),1))),0)</f>
        <v>38666.666666666664</v>
      </c>
      <c r="CK16" s="28">
        <f>IF(CK12=1,IF(INDEX('Lease Cycles'!$EF$8:$EL$8,1,CK10)=1,CK13*INDEX('Lease Cycles'!$EM$8:$ES$8,1,CK10)+CK14*IF(CK11&lt;INDEX('Lease Cycles'!$FA$8:$FG$8,1,CK10),0,1-INDEX('Lease Cycles'!$EM$8:$ES$8,1,CK10)),CK13*IF(CK11&lt;INDEX('Lease Cycles'!$DK$8:$DQ$8,1,CK10),0,IF(CK11=INDEX('Lease Cycles'!$DK$8:$DQ$8,1,CK10),1-INDEX('Lease Cycles'!$DR$8:$DX$8,1,CK10),1))),0)</f>
        <v>38666.666666666664</v>
      </c>
      <c r="CL16" s="28">
        <f>IF(CL12=1,IF(INDEX('Lease Cycles'!$EF$8:$EL$8,1,CL10)=1,CL13*INDEX('Lease Cycles'!$EM$8:$ES$8,1,CL10)+CL14*IF(CL11&lt;INDEX('Lease Cycles'!$FA$8:$FG$8,1,CL10),0,1-INDEX('Lease Cycles'!$EM$8:$ES$8,1,CL10)),CL13*IF(CL11&lt;INDEX('Lease Cycles'!$DK$8:$DQ$8,1,CL10),0,IF(CL11=INDEX('Lease Cycles'!$DK$8:$DQ$8,1,CL10),1-INDEX('Lease Cycles'!$DR$8:$DX$8,1,CL10),1))),0)</f>
        <v>38666.666666666664</v>
      </c>
      <c r="CM16" s="28">
        <f>IF(CM12=1,IF(INDEX('Lease Cycles'!$EF$8:$EL$8,1,CM10)=1,CM13*INDEX('Lease Cycles'!$EM$8:$ES$8,1,CM10)+CM14*IF(CM11&lt;INDEX('Lease Cycles'!$FA$8:$FG$8,1,CM10),0,1-INDEX('Lease Cycles'!$EM$8:$ES$8,1,CM10)),CM13*IF(CM11&lt;INDEX('Lease Cycles'!$DK$8:$DQ$8,1,CM10),0,IF(CM11=INDEX('Lease Cycles'!$DK$8:$DQ$8,1,CM10),1-INDEX('Lease Cycles'!$DR$8:$DX$8,1,CM10),1))),0)</f>
        <v>38666.666666666664</v>
      </c>
      <c r="CN16" s="28">
        <f>IF(CN12=1,IF(INDEX('Lease Cycles'!$EF$8:$EL$8,1,CN10)=1,CN13*INDEX('Lease Cycles'!$EM$8:$ES$8,1,CN10)+CN14*IF(CN11&lt;INDEX('Lease Cycles'!$FA$8:$FG$8,1,CN10),0,1-INDEX('Lease Cycles'!$EM$8:$ES$8,1,CN10)),CN13*IF(CN11&lt;INDEX('Lease Cycles'!$DK$8:$DQ$8,1,CN10),0,IF(CN11=INDEX('Lease Cycles'!$DK$8:$DQ$8,1,CN10),1-INDEX('Lease Cycles'!$DR$8:$DX$8,1,CN10),1))),0)</f>
        <v>38666.666666666664</v>
      </c>
      <c r="CO16" s="28">
        <f>IF(CO12=1,IF(INDEX('Lease Cycles'!$EF$8:$EL$8,1,CO10)=1,CO13*INDEX('Lease Cycles'!$EM$8:$ES$8,1,CO10)+CO14*IF(CO11&lt;INDEX('Lease Cycles'!$FA$8:$FG$8,1,CO10),0,1-INDEX('Lease Cycles'!$EM$8:$ES$8,1,CO10)),CO13*IF(CO11&lt;INDEX('Lease Cycles'!$DK$8:$DQ$8,1,CO10),0,IF(CO11=INDEX('Lease Cycles'!$DK$8:$DQ$8,1,CO10),1-INDEX('Lease Cycles'!$DR$8:$DX$8,1,CO10),1))),0)</f>
        <v>38666.666666666664</v>
      </c>
      <c r="CP16" s="28">
        <f>IF(CP12=1,IF(INDEX('Lease Cycles'!$EF$8:$EL$8,1,CP10)=1,CP13*INDEX('Lease Cycles'!$EM$8:$ES$8,1,CP10)+CP14*IF(CP11&lt;INDEX('Lease Cycles'!$FA$8:$FG$8,1,CP10),0,1-INDEX('Lease Cycles'!$EM$8:$ES$8,1,CP10)),CP13*IF(CP11&lt;INDEX('Lease Cycles'!$DK$8:$DQ$8,1,CP10),0,IF(CP11=INDEX('Lease Cycles'!$DK$8:$DQ$8,1,CP10),1-INDEX('Lease Cycles'!$DR$8:$DX$8,1,CP10),1))),0)</f>
        <v>38666.666666666664</v>
      </c>
      <c r="CQ16" s="28">
        <f>IF(CQ12=1,IF(INDEX('Lease Cycles'!$EF$8:$EL$8,1,CQ10)=1,CQ13*INDEX('Lease Cycles'!$EM$8:$ES$8,1,CQ10)+CQ14*IF(CQ11&lt;INDEX('Lease Cycles'!$FA$8:$FG$8,1,CQ10),0,1-INDEX('Lease Cycles'!$EM$8:$ES$8,1,CQ10)),CQ13*IF(CQ11&lt;INDEX('Lease Cycles'!$DK$8:$DQ$8,1,CQ10),0,IF(CQ11=INDEX('Lease Cycles'!$DK$8:$DQ$8,1,CQ10),1-INDEX('Lease Cycles'!$DR$8:$DX$8,1,CQ10),1))),0)</f>
        <v>38666.666666666664</v>
      </c>
      <c r="CR16" s="28">
        <f>IF(CR12=1,IF(INDEX('Lease Cycles'!$EF$8:$EL$8,1,CR10)=1,CR13*INDEX('Lease Cycles'!$EM$8:$ES$8,1,CR10)+CR14*IF(CR11&lt;INDEX('Lease Cycles'!$FA$8:$FG$8,1,CR10),0,1-INDEX('Lease Cycles'!$EM$8:$ES$8,1,CR10)),CR13*IF(CR11&lt;INDEX('Lease Cycles'!$DK$8:$DQ$8,1,CR10),0,IF(CR11=INDEX('Lease Cycles'!$DK$8:$DQ$8,1,CR10),1-INDEX('Lease Cycles'!$DR$8:$DX$8,1,CR10),1))),0)</f>
        <v>38666.666666666664</v>
      </c>
      <c r="CS16" s="28">
        <f>IF(CS12=1,IF(INDEX('Lease Cycles'!$EF$8:$EL$8,1,CS10)=1,CS13*INDEX('Lease Cycles'!$EM$8:$ES$8,1,CS10)+CS14*IF(CS11&lt;INDEX('Lease Cycles'!$FA$8:$FG$8,1,CS10),0,1-INDEX('Lease Cycles'!$EM$8:$ES$8,1,CS10)),CS13*IF(CS11&lt;INDEX('Lease Cycles'!$DK$8:$DQ$8,1,CS10),0,IF(CS11=INDEX('Lease Cycles'!$DK$8:$DQ$8,1,CS10),1-INDEX('Lease Cycles'!$DR$8:$DX$8,1,CS10),1))),0)</f>
        <v>38666.666666666664</v>
      </c>
      <c r="CT16" s="28">
        <f>IF(CT12=1,IF(INDEX('Lease Cycles'!$EF$8:$EL$8,1,CT10)=1,CT13*INDEX('Lease Cycles'!$EM$8:$ES$8,1,CT10)+CT14*IF(CT11&lt;INDEX('Lease Cycles'!$FA$8:$FG$8,1,CT10),0,1-INDEX('Lease Cycles'!$EM$8:$ES$8,1,CT10)),CT13*IF(CT11&lt;INDEX('Lease Cycles'!$DK$8:$DQ$8,1,CT10),0,IF(CT11=INDEX('Lease Cycles'!$DK$8:$DQ$8,1,CT10),1-INDEX('Lease Cycles'!$DR$8:$DX$8,1,CT10),1))),0)</f>
        <v>38666.666666666664</v>
      </c>
      <c r="CU16" s="28">
        <f>IF(CU12=1,IF(INDEX('Lease Cycles'!$EF$8:$EL$8,1,CU10)=1,CU13*INDEX('Lease Cycles'!$EM$8:$ES$8,1,CU10)+CU14*IF(CU11&lt;INDEX('Lease Cycles'!$FA$8:$FG$8,1,CU10),0,1-INDEX('Lease Cycles'!$EM$8:$ES$8,1,CU10)),CU13*IF(CU11&lt;INDEX('Lease Cycles'!$DK$8:$DQ$8,1,CU10),0,IF(CU11=INDEX('Lease Cycles'!$DK$8:$DQ$8,1,CU10),1-INDEX('Lease Cycles'!$DR$8:$DX$8,1,CU10),1))),0)</f>
        <v>38666.666666666664</v>
      </c>
      <c r="CV16" s="28">
        <f>IF(CV12=1,IF(INDEX('Lease Cycles'!$EF$8:$EL$8,1,CV10)=1,CV13*INDEX('Lease Cycles'!$EM$8:$ES$8,1,CV10)+CV14*IF(CV11&lt;INDEX('Lease Cycles'!$FA$8:$FG$8,1,CV10),0,1-INDEX('Lease Cycles'!$EM$8:$ES$8,1,CV10)),CV13*IF(CV11&lt;INDEX('Lease Cycles'!$DK$8:$DQ$8,1,CV10),0,IF(CV11=INDEX('Lease Cycles'!$DK$8:$DQ$8,1,CV10),1-INDEX('Lease Cycles'!$DR$8:$DX$8,1,CV10),1))),0)</f>
        <v>38666.666666666664</v>
      </c>
      <c r="CW16" s="28">
        <f>IF(CW12=1,IF(INDEX('Lease Cycles'!$EF$8:$EL$8,1,CW10)=1,CW13*INDEX('Lease Cycles'!$EM$8:$ES$8,1,CW10)+CW14*IF(CW11&lt;INDEX('Lease Cycles'!$FA$8:$FG$8,1,CW10),0,1-INDEX('Lease Cycles'!$EM$8:$ES$8,1,CW10)),CW13*IF(CW11&lt;INDEX('Lease Cycles'!$DK$8:$DQ$8,1,CW10),0,IF(CW11=INDEX('Lease Cycles'!$DK$8:$DQ$8,1,CW10),1-INDEX('Lease Cycles'!$DR$8:$DX$8,1,CW10),1))),0)</f>
        <v>38666.666666666664</v>
      </c>
      <c r="CX16" s="28">
        <f>IF(CX12=1,IF(INDEX('Lease Cycles'!$EF$8:$EL$8,1,CX10)=1,CX13*INDEX('Lease Cycles'!$EM$8:$ES$8,1,CX10)+CX14*IF(CX11&lt;INDEX('Lease Cycles'!$FA$8:$FG$8,1,CX10),0,1-INDEX('Lease Cycles'!$EM$8:$ES$8,1,CX10)),CX13*IF(CX11&lt;INDEX('Lease Cycles'!$DK$8:$DQ$8,1,CX10),0,IF(CX11=INDEX('Lease Cycles'!$DK$8:$DQ$8,1,CX10),1-INDEX('Lease Cycles'!$DR$8:$DX$8,1,CX10),1))),0)</f>
        <v>38666.666666666664</v>
      </c>
      <c r="CY16" s="28">
        <f>IF(CY12=1,IF(INDEX('Lease Cycles'!$EF$8:$EL$8,1,CY10)=1,CY13*INDEX('Lease Cycles'!$EM$8:$ES$8,1,CY10)+CY14*IF(CY11&lt;INDEX('Lease Cycles'!$FA$8:$FG$8,1,CY10),0,1-INDEX('Lease Cycles'!$EM$8:$ES$8,1,CY10)),CY13*IF(CY11&lt;INDEX('Lease Cycles'!$DK$8:$DQ$8,1,CY10),0,IF(CY11=INDEX('Lease Cycles'!$DK$8:$DQ$8,1,CY10),1-INDEX('Lease Cycles'!$DR$8:$DX$8,1,CY10),1))),0)</f>
        <v>41333.333333333336</v>
      </c>
      <c r="CZ16" s="28">
        <f>IF(CZ12=1,IF(INDEX('Lease Cycles'!$EF$8:$EL$8,1,CZ10)=1,CZ13*INDEX('Lease Cycles'!$EM$8:$ES$8,1,CZ10)+CZ14*IF(CZ11&lt;INDEX('Lease Cycles'!$FA$8:$FG$8,1,CZ10),0,1-INDEX('Lease Cycles'!$EM$8:$ES$8,1,CZ10)),CZ13*IF(CZ11&lt;INDEX('Lease Cycles'!$DK$8:$DQ$8,1,CZ10),0,IF(CZ11=INDEX('Lease Cycles'!$DK$8:$DQ$8,1,CZ10),1-INDEX('Lease Cycles'!$DR$8:$DX$8,1,CZ10),1))),0)</f>
        <v>41333.333333333336</v>
      </c>
      <c r="DA16" s="28">
        <f>IF(DA12=1,IF(INDEX('Lease Cycles'!$EF$8:$EL$8,1,DA10)=1,DA13*INDEX('Lease Cycles'!$EM$8:$ES$8,1,DA10)+DA14*IF(DA11&lt;INDEX('Lease Cycles'!$FA$8:$FG$8,1,DA10),0,1-INDEX('Lease Cycles'!$EM$8:$ES$8,1,DA10)),DA13*IF(DA11&lt;INDEX('Lease Cycles'!$DK$8:$DQ$8,1,DA10),0,IF(DA11=INDEX('Lease Cycles'!$DK$8:$DQ$8,1,DA10),1-INDEX('Lease Cycles'!$DR$8:$DX$8,1,DA10),1))),0)</f>
        <v>41333.333333333336</v>
      </c>
      <c r="DB16" s="28">
        <f>IF(DB12=1,IF(INDEX('Lease Cycles'!$EF$8:$EL$8,1,DB10)=1,DB13*INDEX('Lease Cycles'!$EM$8:$ES$8,1,DB10)+DB14*IF(DB11&lt;INDEX('Lease Cycles'!$FA$8:$FG$8,1,DB10),0,1-INDEX('Lease Cycles'!$EM$8:$ES$8,1,DB10)),DB13*IF(DB11&lt;INDEX('Lease Cycles'!$DK$8:$DQ$8,1,DB10),0,IF(DB11=INDEX('Lease Cycles'!$DK$8:$DQ$8,1,DB10),1-INDEX('Lease Cycles'!$DR$8:$DX$8,1,DB10),1))),0)</f>
        <v>41333.333333333336</v>
      </c>
      <c r="DC16" s="28">
        <f>IF(DC12=1,IF(INDEX('Lease Cycles'!$EF$8:$EL$8,1,DC10)=1,DC13*INDEX('Lease Cycles'!$EM$8:$ES$8,1,DC10)+DC14*IF(DC11&lt;INDEX('Lease Cycles'!$FA$8:$FG$8,1,DC10),0,1-INDEX('Lease Cycles'!$EM$8:$ES$8,1,DC10)),DC13*IF(DC11&lt;INDEX('Lease Cycles'!$DK$8:$DQ$8,1,DC10),0,IF(DC11=INDEX('Lease Cycles'!$DK$8:$DQ$8,1,DC10),1-INDEX('Lease Cycles'!$DR$8:$DX$8,1,DC10),1))),0)</f>
        <v>41333.333333333336</v>
      </c>
      <c r="DD16" s="28">
        <f>IF(DD12=1,IF(INDEX('Lease Cycles'!$EF$8:$EL$8,1,DD10)=1,DD13*INDEX('Lease Cycles'!$EM$8:$ES$8,1,DD10)+DD14*IF(DD11&lt;INDEX('Lease Cycles'!$FA$8:$FG$8,1,DD10),0,1-INDEX('Lease Cycles'!$EM$8:$ES$8,1,DD10)),DD13*IF(DD11&lt;INDEX('Lease Cycles'!$DK$8:$DQ$8,1,DD10),0,IF(DD11=INDEX('Lease Cycles'!$DK$8:$DQ$8,1,DD10),1-INDEX('Lease Cycles'!$DR$8:$DX$8,1,DD10),1))),0)</f>
        <v>41333.333333333336</v>
      </c>
      <c r="DE16" s="28">
        <f>IF(DE12=1,IF(INDEX('Lease Cycles'!$EF$8:$EL$8,1,DE10)=1,DE13*INDEX('Lease Cycles'!$EM$8:$ES$8,1,DE10)+DE14*IF(DE11&lt;INDEX('Lease Cycles'!$FA$8:$FG$8,1,DE10),0,1-INDEX('Lease Cycles'!$EM$8:$ES$8,1,DE10)),DE13*IF(DE11&lt;INDEX('Lease Cycles'!$DK$8:$DQ$8,1,DE10),0,IF(DE11=INDEX('Lease Cycles'!$DK$8:$DQ$8,1,DE10),1-INDEX('Lease Cycles'!$DR$8:$DX$8,1,DE10),1))),0)</f>
        <v>41333.333333333336</v>
      </c>
      <c r="DF16" s="28">
        <f>IF(DF12=1,IF(INDEX('Lease Cycles'!$EF$8:$EL$8,1,DF10)=1,DF13*INDEX('Lease Cycles'!$EM$8:$ES$8,1,DF10)+DF14*IF(DF11&lt;INDEX('Lease Cycles'!$FA$8:$FG$8,1,DF10),0,1-INDEX('Lease Cycles'!$EM$8:$ES$8,1,DF10)),DF13*IF(DF11&lt;INDEX('Lease Cycles'!$DK$8:$DQ$8,1,DF10),0,IF(DF11=INDEX('Lease Cycles'!$DK$8:$DQ$8,1,DF10),1-INDEX('Lease Cycles'!$DR$8:$DX$8,1,DF10),1))),0)</f>
        <v>41333.333333333336</v>
      </c>
      <c r="DG16" s="28">
        <f>IF(DG12=1,IF(INDEX('Lease Cycles'!$EF$8:$EL$8,1,DG10)=1,DG13*INDEX('Lease Cycles'!$EM$8:$ES$8,1,DG10)+DG14*IF(DG11&lt;INDEX('Lease Cycles'!$FA$8:$FG$8,1,DG10),0,1-INDEX('Lease Cycles'!$EM$8:$ES$8,1,DG10)),DG13*IF(DG11&lt;INDEX('Lease Cycles'!$DK$8:$DQ$8,1,DG10),0,IF(DG11=INDEX('Lease Cycles'!$DK$8:$DQ$8,1,DG10),1-INDEX('Lease Cycles'!$DR$8:$DX$8,1,DG10),1))),0)</f>
        <v>41333.333333333336</v>
      </c>
      <c r="DH16" s="28">
        <f>IF(DH12=1,IF(INDEX('Lease Cycles'!$EF$8:$EL$8,1,DH10)=1,DH13*INDEX('Lease Cycles'!$EM$8:$ES$8,1,DH10)+DH14*IF(DH11&lt;INDEX('Lease Cycles'!$FA$8:$FG$8,1,DH10),0,1-INDEX('Lease Cycles'!$EM$8:$ES$8,1,DH10)),DH13*IF(DH11&lt;INDEX('Lease Cycles'!$DK$8:$DQ$8,1,DH10),0,IF(DH11=INDEX('Lease Cycles'!$DK$8:$DQ$8,1,DH10),1-INDEX('Lease Cycles'!$DR$8:$DX$8,1,DH10),1))),0)</f>
        <v>41333.333333333336</v>
      </c>
      <c r="DI16" s="28">
        <f>IF(DI12=1,IF(INDEX('Lease Cycles'!$EF$8:$EL$8,1,DI10)=1,DI13*INDEX('Lease Cycles'!$EM$8:$ES$8,1,DI10)+DI14*IF(DI11&lt;INDEX('Lease Cycles'!$FA$8:$FG$8,1,DI10),0,1-INDEX('Lease Cycles'!$EM$8:$ES$8,1,DI10)),DI13*IF(DI11&lt;INDEX('Lease Cycles'!$DK$8:$DQ$8,1,DI10),0,IF(DI11=INDEX('Lease Cycles'!$DK$8:$DQ$8,1,DI10),1-INDEX('Lease Cycles'!$DR$8:$DX$8,1,DI10),1))),0)</f>
        <v>41333.333333333336</v>
      </c>
      <c r="DJ16" s="28">
        <f>IF(DJ12=1,IF(INDEX('Lease Cycles'!$EF$8:$EL$8,1,DJ10)=1,DJ13*INDEX('Lease Cycles'!$EM$8:$ES$8,1,DJ10)+DJ14*IF(DJ11&lt;INDEX('Lease Cycles'!$FA$8:$FG$8,1,DJ10),0,1-INDEX('Lease Cycles'!$EM$8:$ES$8,1,DJ10)),DJ13*IF(DJ11&lt;INDEX('Lease Cycles'!$DK$8:$DQ$8,1,DJ10),0,IF(DJ11=INDEX('Lease Cycles'!$DK$8:$DQ$8,1,DJ10),1-INDEX('Lease Cycles'!$DR$8:$DX$8,1,DJ10),1))),0)</f>
        <v>41333.333333333336</v>
      </c>
      <c r="DK16" s="28">
        <f>IF(DK12=1,IF(INDEX('Lease Cycles'!$EF$8:$EL$8,1,DK10)=1,DK13*INDEX('Lease Cycles'!$EM$8:$ES$8,1,DK10)+DK14*IF(DK11&lt;INDEX('Lease Cycles'!$FA$8:$FG$8,1,DK10),0,1-INDEX('Lease Cycles'!$EM$8:$ES$8,1,DK10)),DK13*IF(DK11&lt;INDEX('Lease Cycles'!$DK$8:$DQ$8,1,DK10),0,IF(DK11=INDEX('Lease Cycles'!$DK$8:$DQ$8,1,DK10),1-INDEX('Lease Cycles'!$DR$8:$DX$8,1,DK10),1))),0)</f>
        <v>41333.333333333336</v>
      </c>
      <c r="DL16" s="28">
        <f>IF(DL12=1,IF(INDEX('Lease Cycles'!$EF$8:$EL$8,1,DL10)=1,DL13*INDEX('Lease Cycles'!$EM$8:$ES$8,1,DL10)+DL14*IF(DL11&lt;INDEX('Lease Cycles'!$FA$8:$FG$8,1,DL10),0,1-INDEX('Lease Cycles'!$EM$8:$ES$8,1,DL10)),DL13*IF(DL11&lt;INDEX('Lease Cycles'!$DK$8:$DQ$8,1,DL10),0,IF(DL11=INDEX('Lease Cycles'!$DK$8:$DQ$8,1,DL10),1-INDEX('Lease Cycles'!$DR$8:$DX$8,1,DL10),1))),0)</f>
        <v>41333.333333333336</v>
      </c>
      <c r="DM16" s="28">
        <f>IF(DM12=1,IF(INDEX('Lease Cycles'!$EF$8:$EL$8,1,DM10)=1,DM13*INDEX('Lease Cycles'!$EM$8:$ES$8,1,DM10)+DM14*IF(DM11&lt;INDEX('Lease Cycles'!$FA$8:$FG$8,1,DM10),0,1-INDEX('Lease Cycles'!$EM$8:$ES$8,1,DM10)),DM13*IF(DM11&lt;INDEX('Lease Cycles'!$DK$8:$DQ$8,1,DM10),0,IF(DM11=INDEX('Lease Cycles'!$DK$8:$DQ$8,1,DM10),1-INDEX('Lease Cycles'!$DR$8:$DX$8,1,DM10),1))),0)</f>
        <v>41333.333333333336</v>
      </c>
      <c r="DN16" s="28">
        <f>IF(DN12=1,IF(INDEX('Lease Cycles'!$EF$8:$EL$8,1,DN10)=1,DN13*INDEX('Lease Cycles'!$EM$8:$ES$8,1,DN10)+DN14*IF(DN11&lt;INDEX('Lease Cycles'!$FA$8:$FG$8,1,DN10),0,1-INDEX('Lease Cycles'!$EM$8:$ES$8,1,DN10)),DN13*IF(DN11&lt;INDEX('Lease Cycles'!$DK$8:$DQ$8,1,DN10),0,IF(DN11=INDEX('Lease Cycles'!$DK$8:$DQ$8,1,DN10),1-INDEX('Lease Cycles'!$DR$8:$DX$8,1,DN10),1))),0)</f>
        <v>41333.333333333336</v>
      </c>
      <c r="DO16" s="28">
        <f>IF(DO12=1,IF(INDEX('Lease Cycles'!$EF$8:$EL$8,1,DO10)=1,DO13*INDEX('Lease Cycles'!$EM$8:$ES$8,1,DO10)+DO14*IF(DO11&lt;INDEX('Lease Cycles'!$FA$8:$FG$8,1,DO10),0,1-INDEX('Lease Cycles'!$EM$8:$ES$8,1,DO10)),DO13*IF(DO11&lt;INDEX('Lease Cycles'!$DK$8:$DQ$8,1,DO10),0,IF(DO11=INDEX('Lease Cycles'!$DK$8:$DQ$8,1,DO10),1-INDEX('Lease Cycles'!$DR$8:$DX$8,1,DO10),1))),0)</f>
        <v>41333.333333333336</v>
      </c>
      <c r="DP16" s="28">
        <f>IF(DP12=1,IF(INDEX('Lease Cycles'!$EF$8:$EL$8,1,DP10)=1,DP13*INDEX('Lease Cycles'!$EM$8:$ES$8,1,DP10)+DP14*IF(DP11&lt;INDEX('Lease Cycles'!$FA$8:$FG$8,1,DP10),0,1-INDEX('Lease Cycles'!$EM$8:$ES$8,1,DP10)),DP13*IF(DP11&lt;INDEX('Lease Cycles'!$DK$8:$DQ$8,1,DP10),0,IF(DP11=INDEX('Lease Cycles'!$DK$8:$DQ$8,1,DP10),1-INDEX('Lease Cycles'!$DR$8:$DX$8,1,DP10),1))),0)</f>
        <v>41333.333333333336</v>
      </c>
      <c r="DQ16" s="28">
        <f>IF(DQ12=1,IF(INDEX('Lease Cycles'!$EF$8:$EL$8,1,DQ10)=1,DQ13*INDEX('Lease Cycles'!$EM$8:$ES$8,1,DQ10)+DQ14*IF(DQ11&lt;INDEX('Lease Cycles'!$FA$8:$FG$8,1,DQ10),0,1-INDEX('Lease Cycles'!$EM$8:$ES$8,1,DQ10)),DQ13*IF(DQ11&lt;INDEX('Lease Cycles'!$DK$8:$DQ$8,1,DQ10),0,IF(DQ11=INDEX('Lease Cycles'!$DK$8:$DQ$8,1,DQ10),1-INDEX('Lease Cycles'!$DR$8:$DX$8,1,DQ10),1))),0)</f>
        <v>41333.333333333336</v>
      </c>
      <c r="DR16" s="28">
        <f>IF(DR12=1,IF(INDEX('Lease Cycles'!$EF$8:$EL$8,1,DR10)=1,DR13*INDEX('Lease Cycles'!$EM$8:$ES$8,1,DR10)+DR14*IF(DR11&lt;INDEX('Lease Cycles'!$FA$8:$FG$8,1,DR10),0,1-INDEX('Lease Cycles'!$EM$8:$ES$8,1,DR10)),DR13*IF(DR11&lt;INDEX('Lease Cycles'!$DK$8:$DQ$8,1,DR10),0,IF(DR11=INDEX('Lease Cycles'!$DK$8:$DQ$8,1,DR10),1-INDEX('Lease Cycles'!$DR$8:$DX$8,1,DR10),1))),0)</f>
        <v>41333.333333333336</v>
      </c>
      <c r="DS16" s="28">
        <f>IF(DS12=1,IF(INDEX('Lease Cycles'!$EF$8:$EL$8,1,DS10)=1,DS13*INDEX('Lease Cycles'!$EM$8:$ES$8,1,DS10)+DS14*IF(DS11&lt;INDEX('Lease Cycles'!$FA$8:$FG$8,1,DS10),0,1-INDEX('Lease Cycles'!$EM$8:$ES$8,1,DS10)),DS13*IF(DS11&lt;INDEX('Lease Cycles'!$DK$8:$DQ$8,1,DS10),0,IF(DS11=INDEX('Lease Cycles'!$DK$8:$DQ$8,1,DS10),1-INDEX('Lease Cycles'!$DR$8:$DX$8,1,DS10),1))),0)</f>
        <v>41333.333333333336</v>
      </c>
      <c r="DT16" s="28">
        <f>IF(DT12=1,IF(INDEX('Lease Cycles'!$EF$8:$EL$8,1,DT10)=1,DT13*INDEX('Lease Cycles'!$EM$8:$ES$8,1,DT10)+DT14*IF(DT11&lt;INDEX('Lease Cycles'!$FA$8:$FG$8,1,DT10),0,1-INDEX('Lease Cycles'!$EM$8:$ES$8,1,DT10)),DT13*IF(DT11&lt;INDEX('Lease Cycles'!$DK$8:$DQ$8,1,DT10),0,IF(DT11=INDEX('Lease Cycles'!$DK$8:$DQ$8,1,DT10),1-INDEX('Lease Cycles'!$DR$8:$DX$8,1,DT10),1))),0)</f>
        <v>41333.333333333336</v>
      </c>
      <c r="DU16" s="28">
        <f>IF(DU12=1,IF(INDEX('Lease Cycles'!$EF$8:$EL$8,1,DU10)=1,DU13*INDEX('Lease Cycles'!$EM$8:$ES$8,1,DU10)+DU14*IF(DU11&lt;INDEX('Lease Cycles'!$FA$8:$FG$8,1,DU10),0,1-INDEX('Lease Cycles'!$EM$8:$ES$8,1,DU10)),DU13*IF(DU11&lt;INDEX('Lease Cycles'!$DK$8:$DQ$8,1,DU10),0,IF(DU11=INDEX('Lease Cycles'!$DK$8:$DQ$8,1,DU10),1-INDEX('Lease Cycles'!$DR$8:$DX$8,1,DU10),1))),0)</f>
        <v>41333.333333333336</v>
      </c>
      <c r="DV16" s="28">
        <f>IF(DV12=1,IF(INDEX('Lease Cycles'!$EF$8:$EL$8,1,DV10)=1,DV13*INDEX('Lease Cycles'!$EM$8:$ES$8,1,DV10)+DV14*IF(DV11&lt;INDEX('Lease Cycles'!$FA$8:$FG$8,1,DV10),0,1-INDEX('Lease Cycles'!$EM$8:$ES$8,1,DV10)),DV13*IF(DV11&lt;INDEX('Lease Cycles'!$DK$8:$DQ$8,1,DV10),0,IF(DV11=INDEX('Lease Cycles'!$DK$8:$DQ$8,1,DV10),1-INDEX('Lease Cycles'!$DR$8:$DX$8,1,DV10),1))),0)</f>
        <v>41333.333333333336</v>
      </c>
      <c r="DW16" s="28">
        <f>IF(DW12=1,IF(INDEX('Lease Cycles'!$EF$8:$EL$8,1,DW10)=1,DW13*INDEX('Lease Cycles'!$EM$8:$ES$8,1,DW10)+DW14*IF(DW11&lt;INDEX('Lease Cycles'!$FA$8:$FG$8,1,DW10),0,1-INDEX('Lease Cycles'!$EM$8:$ES$8,1,DW10)),DW13*IF(DW11&lt;INDEX('Lease Cycles'!$DK$8:$DQ$8,1,DW10),0,IF(DW11=INDEX('Lease Cycles'!$DK$8:$DQ$8,1,DW10),1-INDEX('Lease Cycles'!$DR$8:$DX$8,1,DW10),1))),0)</f>
        <v>41333.333333333336</v>
      </c>
      <c r="DX16" s="28">
        <f>IF(DX12=1,IF(INDEX('Lease Cycles'!$EF$8:$EL$8,1,DX10)=1,DX13*INDEX('Lease Cycles'!$EM$8:$ES$8,1,DX10)+DX14*IF(DX11&lt;INDEX('Lease Cycles'!$FA$8:$FG$8,1,DX10),0,1-INDEX('Lease Cycles'!$EM$8:$ES$8,1,DX10)),DX13*IF(DX11&lt;INDEX('Lease Cycles'!$DK$8:$DQ$8,1,DX10),0,IF(DX11=INDEX('Lease Cycles'!$DK$8:$DQ$8,1,DX10),1-INDEX('Lease Cycles'!$DR$8:$DX$8,1,DX10),1))),0)</f>
        <v>41333.333333333336</v>
      </c>
      <c r="DY16" s="28">
        <f>IF(DY12=1,IF(INDEX('Lease Cycles'!$EF$8:$EL$8,1,DY10)=1,DY13*INDEX('Lease Cycles'!$EM$8:$ES$8,1,DY10)+DY14*IF(DY11&lt;INDEX('Lease Cycles'!$FA$8:$FG$8,1,DY10),0,1-INDEX('Lease Cycles'!$EM$8:$ES$8,1,DY10)),DY13*IF(DY11&lt;INDEX('Lease Cycles'!$DK$8:$DQ$8,1,DY10),0,IF(DY11=INDEX('Lease Cycles'!$DK$8:$DQ$8,1,DY10),1-INDEX('Lease Cycles'!$DR$8:$DX$8,1,DY10),1))),0)</f>
        <v>41333.333333333336</v>
      </c>
      <c r="DZ16" s="28">
        <f>IF(DZ12=1,IF(INDEX('Lease Cycles'!$EF$8:$EL$8,1,DZ10)=1,DZ13*INDEX('Lease Cycles'!$EM$8:$ES$8,1,DZ10)+DZ14*IF(DZ11&lt;INDEX('Lease Cycles'!$FA$8:$FG$8,1,DZ10),0,1-INDEX('Lease Cycles'!$EM$8:$ES$8,1,DZ10)),DZ13*IF(DZ11&lt;INDEX('Lease Cycles'!$DK$8:$DQ$8,1,DZ10),0,IF(DZ11=INDEX('Lease Cycles'!$DK$8:$DQ$8,1,DZ10),1-INDEX('Lease Cycles'!$DR$8:$DX$8,1,DZ10),1))),0)</f>
        <v>41333.333333333336</v>
      </c>
      <c r="EA16" s="28">
        <f>IF(EA12=1,IF(INDEX('Lease Cycles'!$EF$8:$EL$8,1,EA10)=1,EA13*INDEX('Lease Cycles'!$EM$8:$ES$8,1,EA10)+EA14*IF(EA11&lt;INDEX('Lease Cycles'!$FA$8:$FG$8,1,EA10),0,1-INDEX('Lease Cycles'!$EM$8:$ES$8,1,EA10)),EA13*IF(EA11&lt;INDEX('Lease Cycles'!$DK$8:$DQ$8,1,EA10),0,IF(EA11=INDEX('Lease Cycles'!$DK$8:$DQ$8,1,EA10),1-INDEX('Lease Cycles'!$DR$8:$DX$8,1,EA10),1))),0)</f>
        <v>41333.333333333336</v>
      </c>
      <c r="EB16" s="28">
        <f>IF(EB12=1,IF(INDEX('Lease Cycles'!$EF$8:$EL$8,1,EB10)=1,EB13*INDEX('Lease Cycles'!$EM$8:$ES$8,1,EB10)+EB14*IF(EB11&lt;INDEX('Lease Cycles'!$FA$8:$FG$8,1,EB10),0,1-INDEX('Lease Cycles'!$EM$8:$ES$8,1,EB10)),EB13*IF(EB11&lt;INDEX('Lease Cycles'!$DK$8:$DQ$8,1,EB10),0,IF(EB11=INDEX('Lease Cycles'!$DK$8:$DQ$8,1,EB10),1-INDEX('Lease Cycles'!$DR$8:$DX$8,1,EB10),1))),0)</f>
        <v>41333.333333333336</v>
      </c>
      <c r="EC16" s="28">
        <f>IF(EC12=1,IF(INDEX('Lease Cycles'!$EF$8:$EL$8,1,EC10)=1,EC13*INDEX('Lease Cycles'!$EM$8:$ES$8,1,EC10)+EC14*IF(EC11&lt;INDEX('Lease Cycles'!$FA$8:$FG$8,1,EC10),0,1-INDEX('Lease Cycles'!$EM$8:$ES$8,1,EC10)),EC13*IF(EC11&lt;INDEX('Lease Cycles'!$DK$8:$DQ$8,1,EC10),0,IF(EC11=INDEX('Lease Cycles'!$DK$8:$DQ$8,1,EC10),1-INDEX('Lease Cycles'!$DR$8:$DX$8,1,EC10),1))),0)</f>
        <v>41333.333333333336</v>
      </c>
      <c r="ED16" s="28">
        <f>IF(ED12=1,IF(INDEX('Lease Cycles'!$EF$8:$EL$8,1,ED10)=1,ED13*INDEX('Lease Cycles'!$EM$8:$ES$8,1,ED10)+ED14*IF(ED11&lt;INDEX('Lease Cycles'!$FA$8:$FG$8,1,ED10),0,1-INDEX('Lease Cycles'!$EM$8:$ES$8,1,ED10)),ED13*IF(ED11&lt;INDEX('Lease Cycles'!$DK$8:$DQ$8,1,ED10),0,IF(ED11=INDEX('Lease Cycles'!$DK$8:$DQ$8,1,ED10),1-INDEX('Lease Cycles'!$DR$8:$DX$8,1,ED10),1))),0)</f>
        <v>41333.333333333336</v>
      </c>
      <c r="EE16" s="28">
        <f>IF(EE12=1,IF(INDEX('Lease Cycles'!$EF$8:$EL$8,1,EE10)=1,EE13*INDEX('Lease Cycles'!$EM$8:$ES$8,1,EE10)+EE14*IF(EE11&lt;INDEX('Lease Cycles'!$FA$8:$FG$8,1,EE10),0,1-INDEX('Lease Cycles'!$EM$8:$ES$8,1,EE10)),EE13*IF(EE11&lt;INDEX('Lease Cycles'!$DK$8:$DQ$8,1,EE10),0,IF(EE11=INDEX('Lease Cycles'!$DK$8:$DQ$8,1,EE10),1-INDEX('Lease Cycles'!$DR$8:$DX$8,1,EE10),1))),0)</f>
        <v>41333.333333333336</v>
      </c>
      <c r="EF16" s="28">
        <f>IF(EF12=1,IF(INDEX('Lease Cycles'!$EF$8:$EL$8,1,EF10)=1,EF13*INDEX('Lease Cycles'!$EM$8:$ES$8,1,EF10)+EF14*IF(EF11&lt;INDEX('Lease Cycles'!$FA$8:$FG$8,1,EF10),0,1-INDEX('Lease Cycles'!$EM$8:$ES$8,1,EF10)),EF13*IF(EF11&lt;INDEX('Lease Cycles'!$DK$8:$DQ$8,1,EF10),0,IF(EF11=INDEX('Lease Cycles'!$DK$8:$DQ$8,1,EF10),1-INDEX('Lease Cycles'!$DR$8:$DX$8,1,EF10),1))),0)</f>
        <v>41333.333333333336</v>
      </c>
      <c r="EG16" s="28">
        <f>IF(EG12=1,IF(INDEX('Lease Cycles'!$EF$8:$EL$8,1,EG10)=1,EG13*INDEX('Lease Cycles'!$EM$8:$ES$8,1,EG10)+EG14*IF(EG11&lt;INDEX('Lease Cycles'!$FA$8:$FG$8,1,EG10),0,1-INDEX('Lease Cycles'!$EM$8:$ES$8,1,EG10)),EG13*IF(EG11&lt;INDEX('Lease Cycles'!$DK$8:$DQ$8,1,EG10),0,IF(EG11=INDEX('Lease Cycles'!$DK$8:$DQ$8,1,EG10),1-INDEX('Lease Cycles'!$DR$8:$DX$8,1,EG10),1))),0)</f>
        <v>41333.333333333336</v>
      </c>
      <c r="EH16" s="28">
        <f>IF(EH12=1,IF(INDEX('Lease Cycles'!$EF$8:$EL$8,1,EH10)=1,EH13*INDEX('Lease Cycles'!$EM$8:$ES$8,1,EH10)+EH14*IF(EH11&lt;INDEX('Lease Cycles'!$FA$8:$FG$8,1,EH10),0,1-INDEX('Lease Cycles'!$EM$8:$ES$8,1,EH10)),EH13*IF(EH11&lt;INDEX('Lease Cycles'!$DK$8:$DQ$8,1,EH10),0,IF(EH11=INDEX('Lease Cycles'!$DK$8:$DQ$8,1,EH10),1-INDEX('Lease Cycles'!$DR$8:$DX$8,1,EH10),1))),0)</f>
        <v>41333.333333333336</v>
      </c>
      <c r="EI16" s="28">
        <f>IF(EI12=1,IF(INDEX('Lease Cycles'!$EF$8:$EL$8,1,EI10)=1,EI13*INDEX('Lease Cycles'!$EM$8:$ES$8,1,EI10)+EI14*IF(EI11&lt;INDEX('Lease Cycles'!$FA$8:$FG$8,1,EI10),0,1-INDEX('Lease Cycles'!$EM$8:$ES$8,1,EI10)),EI13*IF(EI11&lt;INDEX('Lease Cycles'!$DK$8:$DQ$8,1,EI10),0,IF(EI11=INDEX('Lease Cycles'!$DK$8:$DQ$8,1,EI10),1-INDEX('Lease Cycles'!$DR$8:$DX$8,1,EI10),1))),0)</f>
        <v>41333.333333333336</v>
      </c>
      <c r="EJ16" s="28">
        <f>IF(EJ12=1,IF(INDEX('Lease Cycles'!$EF$8:$EL$8,1,EJ10)=1,EJ13*INDEX('Lease Cycles'!$EM$8:$ES$8,1,EJ10)+EJ14*IF(EJ11&lt;INDEX('Lease Cycles'!$FA$8:$FG$8,1,EJ10),0,1-INDEX('Lease Cycles'!$EM$8:$ES$8,1,EJ10)),EJ13*IF(EJ11&lt;INDEX('Lease Cycles'!$DK$8:$DQ$8,1,EJ10),0,IF(EJ11=INDEX('Lease Cycles'!$DK$8:$DQ$8,1,EJ10),1-INDEX('Lease Cycles'!$DR$8:$DX$8,1,EJ10),1))),0)</f>
        <v>41333.333333333336</v>
      </c>
      <c r="EK16" s="28">
        <f>IF(EK12=1,IF(INDEX('Lease Cycles'!$EF$8:$EL$8,1,EK10)=1,EK13*INDEX('Lease Cycles'!$EM$8:$ES$8,1,EK10)+EK14*IF(EK11&lt;INDEX('Lease Cycles'!$FA$8:$FG$8,1,EK10),0,1-INDEX('Lease Cycles'!$EM$8:$ES$8,1,EK10)),EK13*IF(EK11&lt;INDEX('Lease Cycles'!$DK$8:$DQ$8,1,EK10),0,IF(EK11=INDEX('Lease Cycles'!$DK$8:$DQ$8,1,EK10),1-INDEX('Lease Cycles'!$DR$8:$DX$8,1,EK10),1))),0)</f>
        <v>41333.333333333336</v>
      </c>
      <c r="EL16" s="28">
        <f>IF(EL12=1,IF(INDEX('Lease Cycles'!$EF$8:$EL$8,1,EL10)=1,EL13*INDEX('Lease Cycles'!$EM$8:$ES$8,1,EL10)+EL14*IF(EL11&lt;INDEX('Lease Cycles'!$FA$8:$FG$8,1,EL10),0,1-INDEX('Lease Cycles'!$EM$8:$ES$8,1,EL10)),EL13*IF(EL11&lt;INDEX('Lease Cycles'!$DK$8:$DQ$8,1,EL10),0,IF(EL11=INDEX('Lease Cycles'!$DK$8:$DQ$8,1,EL10),1-INDEX('Lease Cycles'!$DR$8:$DX$8,1,EL10),1))),0)</f>
        <v>41333.333333333336</v>
      </c>
      <c r="EM16" s="28">
        <f>IF(EM12=1,IF(INDEX('Lease Cycles'!$EF$8:$EL$8,1,EM10)=1,EM13*INDEX('Lease Cycles'!$EM$8:$ES$8,1,EM10)+EM14*IF(EM11&lt;INDEX('Lease Cycles'!$FA$8:$FG$8,1,EM10),0,1-INDEX('Lease Cycles'!$EM$8:$ES$8,1,EM10)),EM13*IF(EM11&lt;INDEX('Lease Cycles'!$DK$8:$DQ$8,1,EM10),0,IF(EM11=INDEX('Lease Cycles'!$DK$8:$DQ$8,1,EM10),1-INDEX('Lease Cycles'!$DR$8:$DX$8,1,EM10),1))),0)</f>
        <v>41333.333333333336</v>
      </c>
      <c r="EN16" s="28">
        <f>IF(EN12=1,IF(INDEX('Lease Cycles'!$EF$8:$EL$8,1,EN10)=1,EN13*INDEX('Lease Cycles'!$EM$8:$ES$8,1,EN10)+EN14*IF(EN11&lt;INDEX('Lease Cycles'!$FA$8:$FG$8,1,EN10),0,1-INDEX('Lease Cycles'!$EM$8:$ES$8,1,EN10)),EN13*IF(EN11&lt;INDEX('Lease Cycles'!$DK$8:$DQ$8,1,EN10),0,IF(EN11=INDEX('Lease Cycles'!$DK$8:$DQ$8,1,EN10),1-INDEX('Lease Cycles'!$DR$8:$DX$8,1,EN10),1))),0)</f>
        <v>41333.333333333336</v>
      </c>
      <c r="EO16" s="28">
        <f>IF(EO12=1,IF(INDEX('Lease Cycles'!$EF$8:$EL$8,1,EO10)=1,EO13*INDEX('Lease Cycles'!$EM$8:$ES$8,1,EO10)+EO14*IF(EO11&lt;INDEX('Lease Cycles'!$FA$8:$FG$8,1,EO10),0,1-INDEX('Lease Cycles'!$EM$8:$ES$8,1,EO10)),EO13*IF(EO11&lt;INDEX('Lease Cycles'!$DK$8:$DQ$8,1,EO10),0,IF(EO11=INDEX('Lease Cycles'!$DK$8:$DQ$8,1,EO10),1-INDEX('Lease Cycles'!$DR$8:$DX$8,1,EO10),1))),0)</f>
        <v>41333.333333333336</v>
      </c>
      <c r="EP16" s="28">
        <f>IF(EP12=1,IF(INDEX('Lease Cycles'!$EF$8:$EL$8,1,EP10)=1,EP13*INDEX('Lease Cycles'!$EM$8:$ES$8,1,EP10)+EP14*IF(EP11&lt;INDEX('Lease Cycles'!$FA$8:$FG$8,1,EP10),0,1-INDEX('Lease Cycles'!$EM$8:$ES$8,1,EP10)),EP13*IF(EP11&lt;INDEX('Lease Cycles'!$DK$8:$DQ$8,1,EP10),0,IF(EP11=INDEX('Lease Cycles'!$DK$8:$DQ$8,1,EP10),1-INDEX('Lease Cycles'!$DR$8:$DX$8,1,EP10),1))),0)</f>
        <v>41333.333333333336</v>
      </c>
      <c r="EQ16" s="28">
        <f>IF(EQ12=1,IF(INDEX('Lease Cycles'!$EF$8:$EL$8,1,EQ10)=1,EQ13*INDEX('Lease Cycles'!$EM$8:$ES$8,1,EQ10)+EQ14*IF(EQ11&lt;INDEX('Lease Cycles'!$FA$8:$FG$8,1,EQ10),0,1-INDEX('Lease Cycles'!$EM$8:$ES$8,1,EQ10)),EQ13*IF(EQ11&lt;INDEX('Lease Cycles'!$DK$8:$DQ$8,1,EQ10),0,IF(EQ11=INDEX('Lease Cycles'!$DK$8:$DQ$8,1,EQ10),1-INDEX('Lease Cycles'!$DR$8:$DX$8,1,EQ10),1))),0)</f>
        <v>41333.333333333336</v>
      </c>
      <c r="ER16" s="28">
        <f>IF(ER12=1,IF(INDEX('Lease Cycles'!$EF$8:$EL$8,1,ER10)=1,ER13*INDEX('Lease Cycles'!$EM$8:$ES$8,1,ER10)+ER14*IF(ER11&lt;INDEX('Lease Cycles'!$FA$8:$FG$8,1,ER10),0,1-INDEX('Lease Cycles'!$EM$8:$ES$8,1,ER10)),ER13*IF(ER11&lt;INDEX('Lease Cycles'!$DK$8:$DQ$8,1,ER10),0,IF(ER11=INDEX('Lease Cycles'!$DK$8:$DQ$8,1,ER10),1-INDEX('Lease Cycles'!$DR$8:$DX$8,1,ER10),1))),0)</f>
        <v>41333.333333333336</v>
      </c>
      <c r="ES16" s="28">
        <f>IF(ES12=1,IF(INDEX('Lease Cycles'!$EF$8:$EL$8,1,ES10)=1,ES13*INDEX('Lease Cycles'!$EM$8:$ES$8,1,ES10)+ES14*IF(ES11&lt;INDEX('Lease Cycles'!$FA$8:$FG$8,1,ES10),0,1-INDEX('Lease Cycles'!$EM$8:$ES$8,1,ES10)),ES13*IF(ES11&lt;INDEX('Lease Cycles'!$DK$8:$DQ$8,1,ES10),0,IF(ES11=INDEX('Lease Cycles'!$DK$8:$DQ$8,1,ES10),1-INDEX('Lease Cycles'!$DR$8:$DX$8,1,ES10),1))),0)</f>
        <v>41333.333333333336</v>
      </c>
      <c r="ET16" s="28">
        <f>IF(ET12=1,IF(INDEX('Lease Cycles'!$EF$8:$EL$8,1,ET10)=1,ET13*INDEX('Lease Cycles'!$EM$8:$ES$8,1,ET10)+ET14*IF(ET11&lt;INDEX('Lease Cycles'!$FA$8:$FG$8,1,ET10),0,1-INDEX('Lease Cycles'!$EM$8:$ES$8,1,ET10)),ET13*IF(ET11&lt;INDEX('Lease Cycles'!$DK$8:$DQ$8,1,ET10),0,IF(ET11=INDEX('Lease Cycles'!$DK$8:$DQ$8,1,ET10),1-INDEX('Lease Cycles'!$DR$8:$DX$8,1,ET10),1))),0)</f>
        <v>41333.333333333336</v>
      </c>
    </row>
    <row r="17">
      <c r="A17" s="103">
        <v>1</v>
      </c>
      <c r="B17" s="23" t="str">
        <f>IF('Lease Cycles'!$B$8="","(empty slot)",'Lease Cycles'!$B$8)</f>
        <v>Fieldstone Grocery</v>
      </c>
      <c r="C17" s="23" t="s">
        <v>493</v>
      </c>
      <c r="D17" s="104" t="s">
        <v>494</v>
      </c>
      <c r="E17" s="25">
        <f>'Lease Cycles'!$AL$8</f>
        <v>1</v>
      </c>
      <c r="G17" s="28">
        <f>SUM(S17:AD17)</f>
        <v>0</v>
      </c>
      <c r="H17" s="28">
        <f>SUM(AE17:AP17)</f>
        <v>0</v>
      </c>
      <c r="I17" s="28">
        <f>SUM(AQ17:BB17)</f>
        <v>0</v>
      </c>
      <c r="J17" s="28">
        <f>SUM(BC17:BN17)</f>
        <v>0</v>
      </c>
      <c r="K17" s="28">
        <f>SUM(BO17:BZ17)</f>
        <v>0</v>
      </c>
      <c r="L17" s="28">
        <f>SUM(CA17:CL17)</f>
        <v>0</v>
      </c>
      <c r="M17" s="28">
        <f>SUM(CM17:CX17)</f>
        <v>0</v>
      </c>
      <c r="N17" s="28">
        <f>SUM(CY17:DJ17)</f>
        <v>0</v>
      </c>
      <c r="O17" s="28">
        <f>SUM(DK17:DV17)</f>
        <v>0</v>
      </c>
      <c r="P17" s="28">
        <f>SUM(DW17:EH17)</f>
        <v>0</v>
      </c>
      <c r="Q17" s="28">
        <f>SUM(EI17:ET17)</f>
        <v>0</v>
      </c>
      <c r="S17" s="28">
        <f>IF(S12=1,IF(INDEX('Lease Cycles'!$EF$8:$EL$8,1,S10)=1,0,S13*(1-IF(S11&lt;INDEX('Lease Cycles'!$DK$8:$DQ$8,1,S10),0,IF(S11=INDEX('Lease Cycles'!$DK$8:$DQ$8,1,S10),1-INDEX('Lease Cycles'!$DR$8:$DX$8,1,S10),1))-IF(S11=0,INDEX('Lease Cycles'!$DD$8:$DJ$8,1,S10),0))),0)</f>
        <v>0</v>
      </c>
      <c r="T17" s="28">
        <f>IF(T12=1,IF(INDEX('Lease Cycles'!$EF$8:$EL$8,1,T10)=1,0,T13*(1-IF(T11&lt;INDEX('Lease Cycles'!$DK$8:$DQ$8,1,T10),0,IF(T11=INDEX('Lease Cycles'!$DK$8:$DQ$8,1,T10),1-INDEX('Lease Cycles'!$DR$8:$DX$8,1,T10),1))-IF(T11=0,INDEX('Lease Cycles'!$DD$8:$DJ$8,1,T10),0))),0)</f>
        <v>0</v>
      </c>
      <c r="U17" s="28">
        <f>IF(U12=1,IF(INDEX('Lease Cycles'!$EF$8:$EL$8,1,U10)=1,0,U13*(1-IF(U11&lt;INDEX('Lease Cycles'!$DK$8:$DQ$8,1,U10),0,IF(U11=INDEX('Lease Cycles'!$DK$8:$DQ$8,1,U10),1-INDEX('Lease Cycles'!$DR$8:$DX$8,1,U10),1))-IF(U11=0,INDEX('Lease Cycles'!$DD$8:$DJ$8,1,U10),0))),0)</f>
        <v>0</v>
      </c>
      <c r="V17" s="28">
        <f>IF(V12=1,IF(INDEX('Lease Cycles'!$EF$8:$EL$8,1,V10)=1,0,V13*(1-IF(V11&lt;INDEX('Lease Cycles'!$DK$8:$DQ$8,1,V10),0,IF(V11=INDEX('Lease Cycles'!$DK$8:$DQ$8,1,V10),1-INDEX('Lease Cycles'!$DR$8:$DX$8,1,V10),1))-IF(V11=0,INDEX('Lease Cycles'!$DD$8:$DJ$8,1,V10),0))),0)</f>
        <v>0</v>
      </c>
      <c r="W17" s="28">
        <f>IF(W12=1,IF(INDEX('Lease Cycles'!$EF$8:$EL$8,1,W10)=1,0,W13*(1-IF(W11&lt;INDEX('Lease Cycles'!$DK$8:$DQ$8,1,W10),0,IF(W11=INDEX('Lease Cycles'!$DK$8:$DQ$8,1,W10),1-INDEX('Lease Cycles'!$DR$8:$DX$8,1,W10),1))-IF(W11=0,INDEX('Lease Cycles'!$DD$8:$DJ$8,1,W10),0))),0)</f>
        <v>0</v>
      </c>
      <c r="X17" s="28">
        <f>IF(X12=1,IF(INDEX('Lease Cycles'!$EF$8:$EL$8,1,X10)=1,0,X13*(1-IF(X11&lt;INDEX('Lease Cycles'!$DK$8:$DQ$8,1,X10),0,IF(X11=INDEX('Lease Cycles'!$DK$8:$DQ$8,1,X10),1-INDEX('Lease Cycles'!$DR$8:$DX$8,1,X10),1))-IF(X11=0,INDEX('Lease Cycles'!$DD$8:$DJ$8,1,X10),0))),0)</f>
        <v>0</v>
      </c>
      <c r="Y17" s="28">
        <f>IF(Y12=1,IF(INDEX('Lease Cycles'!$EF$8:$EL$8,1,Y10)=1,0,Y13*(1-IF(Y11&lt;INDEX('Lease Cycles'!$DK$8:$DQ$8,1,Y10),0,IF(Y11=INDEX('Lease Cycles'!$DK$8:$DQ$8,1,Y10),1-INDEX('Lease Cycles'!$DR$8:$DX$8,1,Y10),1))-IF(Y11=0,INDEX('Lease Cycles'!$DD$8:$DJ$8,1,Y10),0))),0)</f>
        <v>0</v>
      </c>
      <c r="Z17" s="28">
        <f>IF(Z12=1,IF(INDEX('Lease Cycles'!$EF$8:$EL$8,1,Z10)=1,0,Z13*(1-IF(Z11&lt;INDEX('Lease Cycles'!$DK$8:$DQ$8,1,Z10),0,IF(Z11=INDEX('Lease Cycles'!$DK$8:$DQ$8,1,Z10),1-INDEX('Lease Cycles'!$DR$8:$DX$8,1,Z10),1))-IF(Z11=0,INDEX('Lease Cycles'!$DD$8:$DJ$8,1,Z10),0))),0)</f>
        <v>0</v>
      </c>
      <c r="AA17" s="28">
        <f>IF(AA12=1,IF(INDEX('Lease Cycles'!$EF$8:$EL$8,1,AA10)=1,0,AA13*(1-IF(AA11&lt;INDEX('Lease Cycles'!$DK$8:$DQ$8,1,AA10),0,IF(AA11=INDEX('Lease Cycles'!$DK$8:$DQ$8,1,AA10),1-INDEX('Lease Cycles'!$DR$8:$DX$8,1,AA10),1))-IF(AA11=0,INDEX('Lease Cycles'!$DD$8:$DJ$8,1,AA10),0))),0)</f>
        <v>0</v>
      </c>
      <c r="AB17" s="28">
        <f>IF(AB12=1,IF(INDEX('Lease Cycles'!$EF$8:$EL$8,1,AB10)=1,0,AB13*(1-IF(AB11&lt;INDEX('Lease Cycles'!$DK$8:$DQ$8,1,AB10),0,IF(AB11=INDEX('Lease Cycles'!$DK$8:$DQ$8,1,AB10),1-INDEX('Lease Cycles'!$DR$8:$DX$8,1,AB10),1))-IF(AB11=0,INDEX('Lease Cycles'!$DD$8:$DJ$8,1,AB10),0))),0)</f>
        <v>0</v>
      </c>
      <c r="AC17" s="28">
        <f>IF(AC12=1,IF(INDEX('Lease Cycles'!$EF$8:$EL$8,1,AC10)=1,0,AC13*(1-IF(AC11&lt;INDEX('Lease Cycles'!$DK$8:$DQ$8,1,AC10),0,IF(AC11=INDEX('Lease Cycles'!$DK$8:$DQ$8,1,AC10),1-INDEX('Lease Cycles'!$DR$8:$DX$8,1,AC10),1))-IF(AC11=0,INDEX('Lease Cycles'!$DD$8:$DJ$8,1,AC10),0))),0)</f>
        <v>0</v>
      </c>
      <c r="AD17" s="28">
        <f>IF(AD12=1,IF(INDEX('Lease Cycles'!$EF$8:$EL$8,1,AD10)=1,0,AD13*(1-IF(AD11&lt;INDEX('Lease Cycles'!$DK$8:$DQ$8,1,AD10),0,IF(AD11=INDEX('Lease Cycles'!$DK$8:$DQ$8,1,AD10),1-INDEX('Lease Cycles'!$DR$8:$DX$8,1,AD10),1))-IF(AD11=0,INDEX('Lease Cycles'!$DD$8:$DJ$8,1,AD10),0))),0)</f>
        <v>0</v>
      </c>
      <c r="AE17" s="28">
        <f>IF(AE12=1,IF(INDEX('Lease Cycles'!$EF$8:$EL$8,1,AE10)=1,0,AE13*(1-IF(AE11&lt;INDEX('Lease Cycles'!$DK$8:$DQ$8,1,AE10),0,IF(AE11=INDEX('Lease Cycles'!$DK$8:$DQ$8,1,AE10),1-INDEX('Lease Cycles'!$DR$8:$DX$8,1,AE10),1))-IF(AE11=0,INDEX('Lease Cycles'!$DD$8:$DJ$8,1,AE10),0))),0)</f>
        <v>0</v>
      </c>
      <c r="AF17" s="28">
        <f>IF(AF12=1,IF(INDEX('Lease Cycles'!$EF$8:$EL$8,1,AF10)=1,0,AF13*(1-IF(AF11&lt;INDEX('Lease Cycles'!$DK$8:$DQ$8,1,AF10),0,IF(AF11=INDEX('Lease Cycles'!$DK$8:$DQ$8,1,AF10),1-INDEX('Lease Cycles'!$DR$8:$DX$8,1,AF10),1))-IF(AF11=0,INDEX('Lease Cycles'!$DD$8:$DJ$8,1,AF10),0))),0)</f>
        <v>0</v>
      </c>
      <c r="AG17" s="28">
        <f>IF(AG12=1,IF(INDEX('Lease Cycles'!$EF$8:$EL$8,1,AG10)=1,0,AG13*(1-IF(AG11&lt;INDEX('Lease Cycles'!$DK$8:$DQ$8,1,AG10),0,IF(AG11=INDEX('Lease Cycles'!$DK$8:$DQ$8,1,AG10),1-INDEX('Lease Cycles'!$DR$8:$DX$8,1,AG10),1))-IF(AG11=0,INDEX('Lease Cycles'!$DD$8:$DJ$8,1,AG10),0))),0)</f>
        <v>0</v>
      </c>
      <c r="AH17" s="28">
        <f>IF(AH12=1,IF(INDEX('Lease Cycles'!$EF$8:$EL$8,1,AH10)=1,0,AH13*(1-IF(AH11&lt;INDEX('Lease Cycles'!$DK$8:$DQ$8,1,AH10),0,IF(AH11=INDEX('Lease Cycles'!$DK$8:$DQ$8,1,AH10),1-INDEX('Lease Cycles'!$DR$8:$DX$8,1,AH10),1))-IF(AH11=0,INDEX('Lease Cycles'!$DD$8:$DJ$8,1,AH10),0))),0)</f>
        <v>0</v>
      </c>
      <c r="AI17" s="28">
        <f>IF(AI12=1,IF(INDEX('Lease Cycles'!$EF$8:$EL$8,1,AI10)=1,0,AI13*(1-IF(AI11&lt;INDEX('Lease Cycles'!$DK$8:$DQ$8,1,AI10),0,IF(AI11=INDEX('Lease Cycles'!$DK$8:$DQ$8,1,AI10),1-INDEX('Lease Cycles'!$DR$8:$DX$8,1,AI10),1))-IF(AI11=0,INDEX('Lease Cycles'!$DD$8:$DJ$8,1,AI10),0))),0)</f>
        <v>0</v>
      </c>
      <c r="AJ17" s="28">
        <f>IF(AJ12=1,IF(INDEX('Lease Cycles'!$EF$8:$EL$8,1,AJ10)=1,0,AJ13*(1-IF(AJ11&lt;INDEX('Lease Cycles'!$DK$8:$DQ$8,1,AJ10),0,IF(AJ11=INDEX('Lease Cycles'!$DK$8:$DQ$8,1,AJ10),1-INDEX('Lease Cycles'!$DR$8:$DX$8,1,AJ10),1))-IF(AJ11=0,INDEX('Lease Cycles'!$DD$8:$DJ$8,1,AJ10),0))),0)</f>
        <v>0</v>
      </c>
      <c r="AK17" s="28">
        <f>IF(AK12=1,IF(INDEX('Lease Cycles'!$EF$8:$EL$8,1,AK10)=1,0,AK13*(1-IF(AK11&lt;INDEX('Lease Cycles'!$DK$8:$DQ$8,1,AK10),0,IF(AK11=INDEX('Lease Cycles'!$DK$8:$DQ$8,1,AK10),1-INDEX('Lease Cycles'!$DR$8:$DX$8,1,AK10),1))-IF(AK11=0,INDEX('Lease Cycles'!$DD$8:$DJ$8,1,AK10),0))),0)</f>
        <v>0</v>
      </c>
      <c r="AL17" s="28">
        <f>IF(AL12=1,IF(INDEX('Lease Cycles'!$EF$8:$EL$8,1,AL10)=1,0,AL13*(1-IF(AL11&lt;INDEX('Lease Cycles'!$DK$8:$DQ$8,1,AL10),0,IF(AL11=INDEX('Lease Cycles'!$DK$8:$DQ$8,1,AL10),1-INDEX('Lease Cycles'!$DR$8:$DX$8,1,AL10),1))-IF(AL11=0,INDEX('Lease Cycles'!$DD$8:$DJ$8,1,AL10),0))),0)</f>
        <v>0</v>
      </c>
      <c r="AM17" s="28">
        <f>IF(AM12=1,IF(INDEX('Lease Cycles'!$EF$8:$EL$8,1,AM10)=1,0,AM13*(1-IF(AM11&lt;INDEX('Lease Cycles'!$DK$8:$DQ$8,1,AM10),0,IF(AM11=INDEX('Lease Cycles'!$DK$8:$DQ$8,1,AM10),1-INDEX('Lease Cycles'!$DR$8:$DX$8,1,AM10),1))-IF(AM11=0,INDEX('Lease Cycles'!$DD$8:$DJ$8,1,AM10),0))),0)</f>
        <v>0</v>
      </c>
      <c r="AN17" s="28">
        <f>IF(AN12=1,IF(INDEX('Lease Cycles'!$EF$8:$EL$8,1,AN10)=1,0,AN13*(1-IF(AN11&lt;INDEX('Lease Cycles'!$DK$8:$DQ$8,1,AN10),0,IF(AN11=INDEX('Lease Cycles'!$DK$8:$DQ$8,1,AN10),1-INDEX('Lease Cycles'!$DR$8:$DX$8,1,AN10),1))-IF(AN11=0,INDEX('Lease Cycles'!$DD$8:$DJ$8,1,AN10),0))),0)</f>
        <v>0</v>
      </c>
      <c r="AO17" s="28">
        <f>IF(AO12=1,IF(INDEX('Lease Cycles'!$EF$8:$EL$8,1,AO10)=1,0,AO13*(1-IF(AO11&lt;INDEX('Lease Cycles'!$DK$8:$DQ$8,1,AO10),0,IF(AO11=INDEX('Lease Cycles'!$DK$8:$DQ$8,1,AO10),1-INDEX('Lease Cycles'!$DR$8:$DX$8,1,AO10),1))-IF(AO11=0,INDEX('Lease Cycles'!$DD$8:$DJ$8,1,AO10),0))),0)</f>
        <v>0</v>
      </c>
      <c r="AP17" s="28">
        <f>IF(AP12=1,IF(INDEX('Lease Cycles'!$EF$8:$EL$8,1,AP10)=1,0,AP13*(1-IF(AP11&lt;INDEX('Lease Cycles'!$DK$8:$DQ$8,1,AP10),0,IF(AP11=INDEX('Lease Cycles'!$DK$8:$DQ$8,1,AP10),1-INDEX('Lease Cycles'!$DR$8:$DX$8,1,AP10),1))-IF(AP11=0,INDEX('Lease Cycles'!$DD$8:$DJ$8,1,AP10),0))),0)</f>
        <v>0</v>
      </c>
      <c r="AQ17" s="28">
        <f>IF(AQ12=1,IF(INDEX('Lease Cycles'!$EF$8:$EL$8,1,AQ10)=1,0,AQ13*(1-IF(AQ11&lt;INDEX('Lease Cycles'!$DK$8:$DQ$8,1,AQ10),0,IF(AQ11=INDEX('Lease Cycles'!$DK$8:$DQ$8,1,AQ10),1-INDEX('Lease Cycles'!$DR$8:$DX$8,1,AQ10),1))-IF(AQ11=0,INDEX('Lease Cycles'!$DD$8:$DJ$8,1,AQ10),0))),0)</f>
        <v>0</v>
      </c>
      <c r="AR17" s="28">
        <f>IF(AR12=1,IF(INDEX('Lease Cycles'!$EF$8:$EL$8,1,AR10)=1,0,AR13*(1-IF(AR11&lt;INDEX('Lease Cycles'!$DK$8:$DQ$8,1,AR10),0,IF(AR11=INDEX('Lease Cycles'!$DK$8:$DQ$8,1,AR10),1-INDEX('Lease Cycles'!$DR$8:$DX$8,1,AR10),1))-IF(AR11=0,INDEX('Lease Cycles'!$DD$8:$DJ$8,1,AR10),0))),0)</f>
        <v>0</v>
      </c>
      <c r="AS17" s="28">
        <f>IF(AS12=1,IF(INDEX('Lease Cycles'!$EF$8:$EL$8,1,AS10)=1,0,AS13*(1-IF(AS11&lt;INDEX('Lease Cycles'!$DK$8:$DQ$8,1,AS10),0,IF(AS11=INDEX('Lease Cycles'!$DK$8:$DQ$8,1,AS10),1-INDEX('Lease Cycles'!$DR$8:$DX$8,1,AS10),1))-IF(AS11=0,INDEX('Lease Cycles'!$DD$8:$DJ$8,1,AS10),0))),0)</f>
        <v>0</v>
      </c>
      <c r="AT17" s="28">
        <f>IF(AT12=1,IF(INDEX('Lease Cycles'!$EF$8:$EL$8,1,AT10)=1,0,AT13*(1-IF(AT11&lt;INDEX('Lease Cycles'!$DK$8:$DQ$8,1,AT10),0,IF(AT11=INDEX('Lease Cycles'!$DK$8:$DQ$8,1,AT10),1-INDEX('Lease Cycles'!$DR$8:$DX$8,1,AT10),1))-IF(AT11=0,INDEX('Lease Cycles'!$DD$8:$DJ$8,1,AT10),0))),0)</f>
        <v>0</v>
      </c>
      <c r="AU17" s="28">
        <f>IF(AU12=1,IF(INDEX('Lease Cycles'!$EF$8:$EL$8,1,AU10)=1,0,AU13*(1-IF(AU11&lt;INDEX('Lease Cycles'!$DK$8:$DQ$8,1,AU10),0,IF(AU11=INDEX('Lease Cycles'!$DK$8:$DQ$8,1,AU10),1-INDEX('Lease Cycles'!$DR$8:$DX$8,1,AU10),1))-IF(AU11=0,INDEX('Lease Cycles'!$DD$8:$DJ$8,1,AU10),0))),0)</f>
        <v>0</v>
      </c>
      <c r="AV17" s="28">
        <f>IF(AV12=1,IF(INDEX('Lease Cycles'!$EF$8:$EL$8,1,AV10)=1,0,AV13*(1-IF(AV11&lt;INDEX('Lease Cycles'!$DK$8:$DQ$8,1,AV10),0,IF(AV11=INDEX('Lease Cycles'!$DK$8:$DQ$8,1,AV10),1-INDEX('Lease Cycles'!$DR$8:$DX$8,1,AV10),1))-IF(AV11=0,INDEX('Lease Cycles'!$DD$8:$DJ$8,1,AV10),0))),0)</f>
        <v>0</v>
      </c>
      <c r="AW17" s="28">
        <f>IF(AW12=1,IF(INDEX('Lease Cycles'!$EF$8:$EL$8,1,AW10)=1,0,AW13*(1-IF(AW11&lt;INDEX('Lease Cycles'!$DK$8:$DQ$8,1,AW10),0,IF(AW11=INDEX('Lease Cycles'!$DK$8:$DQ$8,1,AW10),1-INDEX('Lease Cycles'!$DR$8:$DX$8,1,AW10),1))-IF(AW11=0,INDEX('Lease Cycles'!$DD$8:$DJ$8,1,AW10),0))),0)</f>
        <v>0</v>
      </c>
      <c r="AX17" s="28">
        <f>IF(AX12=1,IF(INDEX('Lease Cycles'!$EF$8:$EL$8,1,AX10)=1,0,AX13*(1-IF(AX11&lt;INDEX('Lease Cycles'!$DK$8:$DQ$8,1,AX10),0,IF(AX11=INDEX('Lease Cycles'!$DK$8:$DQ$8,1,AX10),1-INDEX('Lease Cycles'!$DR$8:$DX$8,1,AX10),1))-IF(AX11=0,INDEX('Lease Cycles'!$DD$8:$DJ$8,1,AX10),0))),0)</f>
        <v>0</v>
      </c>
      <c r="AY17" s="28">
        <f>IF(AY12=1,IF(INDEX('Lease Cycles'!$EF$8:$EL$8,1,AY10)=1,0,AY13*(1-IF(AY11&lt;INDEX('Lease Cycles'!$DK$8:$DQ$8,1,AY10),0,IF(AY11=INDEX('Lease Cycles'!$DK$8:$DQ$8,1,AY10),1-INDEX('Lease Cycles'!$DR$8:$DX$8,1,AY10),1))-IF(AY11=0,INDEX('Lease Cycles'!$DD$8:$DJ$8,1,AY10),0))),0)</f>
        <v>0</v>
      </c>
      <c r="AZ17" s="28">
        <f>IF(AZ12=1,IF(INDEX('Lease Cycles'!$EF$8:$EL$8,1,AZ10)=1,0,AZ13*(1-IF(AZ11&lt;INDEX('Lease Cycles'!$DK$8:$DQ$8,1,AZ10),0,IF(AZ11=INDEX('Lease Cycles'!$DK$8:$DQ$8,1,AZ10),1-INDEX('Lease Cycles'!$DR$8:$DX$8,1,AZ10),1))-IF(AZ11=0,INDEX('Lease Cycles'!$DD$8:$DJ$8,1,AZ10),0))),0)</f>
        <v>0</v>
      </c>
      <c r="BA17" s="28">
        <f>IF(BA12=1,IF(INDEX('Lease Cycles'!$EF$8:$EL$8,1,BA10)=1,0,BA13*(1-IF(BA11&lt;INDEX('Lease Cycles'!$DK$8:$DQ$8,1,BA10),0,IF(BA11=INDEX('Lease Cycles'!$DK$8:$DQ$8,1,BA10),1-INDEX('Lease Cycles'!$DR$8:$DX$8,1,BA10),1))-IF(BA11=0,INDEX('Lease Cycles'!$DD$8:$DJ$8,1,BA10),0))),0)</f>
        <v>0</v>
      </c>
      <c r="BB17" s="28">
        <f>IF(BB12=1,IF(INDEX('Lease Cycles'!$EF$8:$EL$8,1,BB10)=1,0,BB13*(1-IF(BB11&lt;INDEX('Lease Cycles'!$DK$8:$DQ$8,1,BB10),0,IF(BB11=INDEX('Lease Cycles'!$DK$8:$DQ$8,1,BB10),1-INDEX('Lease Cycles'!$DR$8:$DX$8,1,BB10),1))-IF(BB11=0,INDEX('Lease Cycles'!$DD$8:$DJ$8,1,BB10),0))),0)</f>
        <v>0</v>
      </c>
      <c r="BC17" s="28">
        <f>IF(BC12=1,IF(INDEX('Lease Cycles'!$EF$8:$EL$8,1,BC10)=1,0,BC13*(1-IF(BC11&lt;INDEX('Lease Cycles'!$DK$8:$DQ$8,1,BC10),0,IF(BC11=INDEX('Lease Cycles'!$DK$8:$DQ$8,1,BC10),1-INDEX('Lease Cycles'!$DR$8:$DX$8,1,BC10),1))-IF(BC11=0,INDEX('Lease Cycles'!$DD$8:$DJ$8,1,BC10),0))),0)</f>
        <v>0</v>
      </c>
      <c r="BD17" s="28">
        <f>IF(BD12=1,IF(INDEX('Lease Cycles'!$EF$8:$EL$8,1,BD10)=1,0,BD13*(1-IF(BD11&lt;INDEX('Lease Cycles'!$DK$8:$DQ$8,1,BD10),0,IF(BD11=INDEX('Lease Cycles'!$DK$8:$DQ$8,1,BD10),1-INDEX('Lease Cycles'!$DR$8:$DX$8,1,BD10),1))-IF(BD11=0,INDEX('Lease Cycles'!$DD$8:$DJ$8,1,BD10),0))),0)</f>
        <v>0</v>
      </c>
      <c r="BE17" s="28">
        <f>IF(BE12=1,IF(INDEX('Lease Cycles'!$EF$8:$EL$8,1,BE10)=1,0,BE13*(1-IF(BE11&lt;INDEX('Lease Cycles'!$DK$8:$DQ$8,1,BE10),0,IF(BE11=INDEX('Lease Cycles'!$DK$8:$DQ$8,1,BE10),1-INDEX('Lease Cycles'!$DR$8:$DX$8,1,BE10),1))-IF(BE11=0,INDEX('Lease Cycles'!$DD$8:$DJ$8,1,BE10),0))),0)</f>
        <v>0</v>
      </c>
      <c r="BF17" s="28">
        <f>IF(BF12=1,IF(INDEX('Lease Cycles'!$EF$8:$EL$8,1,BF10)=1,0,BF13*(1-IF(BF11&lt;INDEX('Lease Cycles'!$DK$8:$DQ$8,1,BF10),0,IF(BF11=INDEX('Lease Cycles'!$DK$8:$DQ$8,1,BF10),1-INDEX('Lease Cycles'!$DR$8:$DX$8,1,BF10),1))-IF(BF11=0,INDEX('Lease Cycles'!$DD$8:$DJ$8,1,BF10),0))),0)</f>
        <v>0</v>
      </c>
      <c r="BG17" s="28">
        <f>IF(BG12=1,IF(INDEX('Lease Cycles'!$EF$8:$EL$8,1,BG10)=1,0,BG13*(1-IF(BG11&lt;INDEX('Lease Cycles'!$DK$8:$DQ$8,1,BG10),0,IF(BG11=INDEX('Lease Cycles'!$DK$8:$DQ$8,1,BG10),1-INDEX('Lease Cycles'!$DR$8:$DX$8,1,BG10),1))-IF(BG11=0,INDEX('Lease Cycles'!$DD$8:$DJ$8,1,BG10),0))),0)</f>
        <v>0</v>
      </c>
      <c r="BH17" s="28">
        <f>IF(BH12=1,IF(INDEX('Lease Cycles'!$EF$8:$EL$8,1,BH10)=1,0,BH13*(1-IF(BH11&lt;INDEX('Lease Cycles'!$DK$8:$DQ$8,1,BH10),0,IF(BH11=INDEX('Lease Cycles'!$DK$8:$DQ$8,1,BH10),1-INDEX('Lease Cycles'!$DR$8:$DX$8,1,BH10),1))-IF(BH11=0,INDEX('Lease Cycles'!$DD$8:$DJ$8,1,BH10),0))),0)</f>
        <v>0</v>
      </c>
      <c r="BI17" s="28">
        <f>IF(BI12=1,IF(INDEX('Lease Cycles'!$EF$8:$EL$8,1,BI10)=1,0,BI13*(1-IF(BI11&lt;INDEX('Lease Cycles'!$DK$8:$DQ$8,1,BI10),0,IF(BI11=INDEX('Lease Cycles'!$DK$8:$DQ$8,1,BI10),1-INDEX('Lease Cycles'!$DR$8:$DX$8,1,BI10),1))-IF(BI11=0,INDEX('Lease Cycles'!$DD$8:$DJ$8,1,BI10),0))),0)</f>
        <v>0</v>
      </c>
      <c r="BJ17" s="28">
        <f>IF(BJ12=1,IF(INDEX('Lease Cycles'!$EF$8:$EL$8,1,BJ10)=1,0,BJ13*(1-IF(BJ11&lt;INDEX('Lease Cycles'!$DK$8:$DQ$8,1,BJ10),0,IF(BJ11=INDEX('Lease Cycles'!$DK$8:$DQ$8,1,BJ10),1-INDEX('Lease Cycles'!$DR$8:$DX$8,1,BJ10),1))-IF(BJ11=0,INDEX('Lease Cycles'!$DD$8:$DJ$8,1,BJ10),0))),0)</f>
        <v>0</v>
      </c>
      <c r="BK17" s="28">
        <f>IF(BK12=1,IF(INDEX('Lease Cycles'!$EF$8:$EL$8,1,BK10)=1,0,BK13*(1-IF(BK11&lt;INDEX('Lease Cycles'!$DK$8:$DQ$8,1,BK10),0,IF(BK11=INDEX('Lease Cycles'!$DK$8:$DQ$8,1,BK10),1-INDEX('Lease Cycles'!$DR$8:$DX$8,1,BK10),1))-IF(BK11=0,INDEX('Lease Cycles'!$DD$8:$DJ$8,1,BK10),0))),0)</f>
        <v>0</v>
      </c>
      <c r="BL17" s="28">
        <f>IF(BL12=1,IF(INDEX('Lease Cycles'!$EF$8:$EL$8,1,BL10)=1,0,BL13*(1-IF(BL11&lt;INDEX('Lease Cycles'!$DK$8:$DQ$8,1,BL10),0,IF(BL11=INDEX('Lease Cycles'!$DK$8:$DQ$8,1,BL10),1-INDEX('Lease Cycles'!$DR$8:$DX$8,1,BL10),1))-IF(BL11=0,INDEX('Lease Cycles'!$DD$8:$DJ$8,1,BL10),0))),0)</f>
        <v>0</v>
      </c>
      <c r="BM17" s="28">
        <f>IF(BM12=1,IF(INDEX('Lease Cycles'!$EF$8:$EL$8,1,BM10)=1,0,BM13*(1-IF(BM11&lt;INDEX('Lease Cycles'!$DK$8:$DQ$8,1,BM10),0,IF(BM11=INDEX('Lease Cycles'!$DK$8:$DQ$8,1,BM10),1-INDEX('Lease Cycles'!$DR$8:$DX$8,1,BM10),1))-IF(BM11=0,INDEX('Lease Cycles'!$DD$8:$DJ$8,1,BM10),0))),0)</f>
        <v>0</v>
      </c>
      <c r="BN17" s="28">
        <f>IF(BN12=1,IF(INDEX('Lease Cycles'!$EF$8:$EL$8,1,BN10)=1,0,BN13*(1-IF(BN11&lt;INDEX('Lease Cycles'!$DK$8:$DQ$8,1,BN10),0,IF(BN11=INDEX('Lease Cycles'!$DK$8:$DQ$8,1,BN10),1-INDEX('Lease Cycles'!$DR$8:$DX$8,1,BN10),1))-IF(BN11=0,INDEX('Lease Cycles'!$DD$8:$DJ$8,1,BN10),0))),0)</f>
        <v>0</v>
      </c>
      <c r="BO17" s="28">
        <f>IF(BO12=1,IF(INDEX('Lease Cycles'!$EF$8:$EL$8,1,BO10)=1,0,BO13*(1-IF(BO11&lt;INDEX('Lease Cycles'!$DK$8:$DQ$8,1,BO10),0,IF(BO11=INDEX('Lease Cycles'!$DK$8:$DQ$8,1,BO10),1-INDEX('Lease Cycles'!$DR$8:$DX$8,1,BO10),1))-IF(BO11=0,INDEX('Lease Cycles'!$DD$8:$DJ$8,1,BO10),0))),0)</f>
        <v>0</v>
      </c>
      <c r="BP17" s="28">
        <f>IF(BP12=1,IF(INDEX('Lease Cycles'!$EF$8:$EL$8,1,BP10)=1,0,BP13*(1-IF(BP11&lt;INDEX('Lease Cycles'!$DK$8:$DQ$8,1,BP10),0,IF(BP11=INDEX('Lease Cycles'!$DK$8:$DQ$8,1,BP10),1-INDEX('Lease Cycles'!$DR$8:$DX$8,1,BP10),1))-IF(BP11=0,INDEX('Lease Cycles'!$DD$8:$DJ$8,1,BP10),0))),0)</f>
        <v>0</v>
      </c>
      <c r="BQ17" s="28">
        <f>IF(BQ12=1,IF(INDEX('Lease Cycles'!$EF$8:$EL$8,1,BQ10)=1,0,BQ13*(1-IF(BQ11&lt;INDEX('Lease Cycles'!$DK$8:$DQ$8,1,BQ10),0,IF(BQ11=INDEX('Lease Cycles'!$DK$8:$DQ$8,1,BQ10),1-INDEX('Lease Cycles'!$DR$8:$DX$8,1,BQ10),1))-IF(BQ11=0,INDEX('Lease Cycles'!$DD$8:$DJ$8,1,BQ10),0))),0)</f>
        <v>0</v>
      </c>
      <c r="BR17" s="28">
        <f>IF(BR12=1,IF(INDEX('Lease Cycles'!$EF$8:$EL$8,1,BR10)=1,0,BR13*(1-IF(BR11&lt;INDEX('Lease Cycles'!$DK$8:$DQ$8,1,BR10),0,IF(BR11=INDEX('Lease Cycles'!$DK$8:$DQ$8,1,BR10),1-INDEX('Lease Cycles'!$DR$8:$DX$8,1,BR10),1))-IF(BR11=0,INDEX('Lease Cycles'!$DD$8:$DJ$8,1,BR10),0))),0)</f>
        <v>0</v>
      </c>
      <c r="BS17" s="28">
        <f>IF(BS12=1,IF(INDEX('Lease Cycles'!$EF$8:$EL$8,1,BS10)=1,0,BS13*(1-IF(BS11&lt;INDEX('Lease Cycles'!$DK$8:$DQ$8,1,BS10),0,IF(BS11=INDEX('Lease Cycles'!$DK$8:$DQ$8,1,BS10),1-INDEX('Lease Cycles'!$DR$8:$DX$8,1,BS10),1))-IF(BS11=0,INDEX('Lease Cycles'!$DD$8:$DJ$8,1,BS10),0))),0)</f>
        <v>0</v>
      </c>
      <c r="BT17" s="28">
        <f>IF(BT12=1,IF(INDEX('Lease Cycles'!$EF$8:$EL$8,1,BT10)=1,0,BT13*(1-IF(BT11&lt;INDEX('Lease Cycles'!$DK$8:$DQ$8,1,BT10),0,IF(BT11=INDEX('Lease Cycles'!$DK$8:$DQ$8,1,BT10),1-INDEX('Lease Cycles'!$DR$8:$DX$8,1,BT10),1))-IF(BT11=0,INDEX('Lease Cycles'!$DD$8:$DJ$8,1,BT10),0))),0)</f>
        <v>0</v>
      </c>
      <c r="BU17" s="28">
        <f>IF(BU12=1,IF(INDEX('Lease Cycles'!$EF$8:$EL$8,1,BU10)=1,0,BU13*(1-IF(BU11&lt;INDEX('Lease Cycles'!$DK$8:$DQ$8,1,BU10),0,IF(BU11=INDEX('Lease Cycles'!$DK$8:$DQ$8,1,BU10),1-INDEX('Lease Cycles'!$DR$8:$DX$8,1,BU10),1))-IF(BU11=0,INDEX('Lease Cycles'!$DD$8:$DJ$8,1,BU10),0))),0)</f>
        <v>0</v>
      </c>
      <c r="BV17" s="28">
        <f>IF(BV12=1,IF(INDEX('Lease Cycles'!$EF$8:$EL$8,1,BV10)=1,0,BV13*(1-IF(BV11&lt;INDEX('Lease Cycles'!$DK$8:$DQ$8,1,BV10),0,IF(BV11=INDEX('Lease Cycles'!$DK$8:$DQ$8,1,BV10),1-INDEX('Lease Cycles'!$DR$8:$DX$8,1,BV10),1))-IF(BV11=0,INDEX('Lease Cycles'!$DD$8:$DJ$8,1,BV10),0))),0)</f>
        <v>0</v>
      </c>
      <c r="BW17" s="28">
        <f>IF(BW12=1,IF(INDEX('Lease Cycles'!$EF$8:$EL$8,1,BW10)=1,0,BW13*(1-IF(BW11&lt;INDEX('Lease Cycles'!$DK$8:$DQ$8,1,BW10),0,IF(BW11=INDEX('Lease Cycles'!$DK$8:$DQ$8,1,BW10),1-INDEX('Lease Cycles'!$DR$8:$DX$8,1,BW10),1))-IF(BW11=0,INDEX('Lease Cycles'!$DD$8:$DJ$8,1,BW10),0))),0)</f>
        <v>0</v>
      </c>
      <c r="BX17" s="28">
        <f>IF(BX12=1,IF(INDEX('Lease Cycles'!$EF$8:$EL$8,1,BX10)=1,0,BX13*(1-IF(BX11&lt;INDEX('Lease Cycles'!$DK$8:$DQ$8,1,BX10),0,IF(BX11=INDEX('Lease Cycles'!$DK$8:$DQ$8,1,BX10),1-INDEX('Lease Cycles'!$DR$8:$DX$8,1,BX10),1))-IF(BX11=0,INDEX('Lease Cycles'!$DD$8:$DJ$8,1,BX10),0))),0)</f>
        <v>0</v>
      </c>
      <c r="BY17" s="28">
        <f>IF(BY12=1,IF(INDEX('Lease Cycles'!$EF$8:$EL$8,1,BY10)=1,0,BY13*(1-IF(BY11&lt;INDEX('Lease Cycles'!$DK$8:$DQ$8,1,BY10),0,IF(BY11=INDEX('Lease Cycles'!$DK$8:$DQ$8,1,BY10),1-INDEX('Lease Cycles'!$DR$8:$DX$8,1,BY10),1))-IF(BY11=0,INDEX('Lease Cycles'!$DD$8:$DJ$8,1,BY10),0))),0)</f>
        <v>0</v>
      </c>
      <c r="BZ17" s="28">
        <f>IF(BZ12=1,IF(INDEX('Lease Cycles'!$EF$8:$EL$8,1,BZ10)=1,0,BZ13*(1-IF(BZ11&lt;INDEX('Lease Cycles'!$DK$8:$DQ$8,1,BZ10),0,IF(BZ11=INDEX('Lease Cycles'!$DK$8:$DQ$8,1,BZ10),1-INDEX('Lease Cycles'!$DR$8:$DX$8,1,BZ10),1))-IF(BZ11=0,INDEX('Lease Cycles'!$DD$8:$DJ$8,1,BZ10),0))),0)</f>
        <v>0</v>
      </c>
      <c r="CA17" s="28">
        <f>IF(CA12=1,IF(INDEX('Lease Cycles'!$EF$8:$EL$8,1,CA10)=1,0,CA13*(1-IF(CA11&lt;INDEX('Lease Cycles'!$DK$8:$DQ$8,1,CA10),0,IF(CA11=INDEX('Lease Cycles'!$DK$8:$DQ$8,1,CA10),1-INDEX('Lease Cycles'!$DR$8:$DX$8,1,CA10),1))-IF(CA11=0,INDEX('Lease Cycles'!$DD$8:$DJ$8,1,CA10),0))),0)</f>
        <v>0</v>
      </c>
      <c r="CB17" s="28">
        <f>IF(CB12=1,IF(INDEX('Lease Cycles'!$EF$8:$EL$8,1,CB10)=1,0,CB13*(1-IF(CB11&lt;INDEX('Lease Cycles'!$DK$8:$DQ$8,1,CB10),0,IF(CB11=INDEX('Lease Cycles'!$DK$8:$DQ$8,1,CB10),1-INDEX('Lease Cycles'!$DR$8:$DX$8,1,CB10),1))-IF(CB11=0,INDEX('Lease Cycles'!$DD$8:$DJ$8,1,CB10),0))),0)</f>
        <v>0</v>
      </c>
      <c r="CC17" s="28">
        <f>IF(CC12=1,IF(INDEX('Lease Cycles'!$EF$8:$EL$8,1,CC10)=1,0,CC13*(1-IF(CC11&lt;INDEX('Lease Cycles'!$DK$8:$DQ$8,1,CC10),0,IF(CC11=INDEX('Lease Cycles'!$DK$8:$DQ$8,1,CC10),1-INDEX('Lease Cycles'!$DR$8:$DX$8,1,CC10),1))-IF(CC11=0,INDEX('Lease Cycles'!$DD$8:$DJ$8,1,CC10),0))),0)</f>
        <v>0</v>
      </c>
      <c r="CD17" s="28">
        <f>IF(CD12=1,IF(INDEX('Lease Cycles'!$EF$8:$EL$8,1,CD10)=1,0,CD13*(1-IF(CD11&lt;INDEX('Lease Cycles'!$DK$8:$DQ$8,1,CD10),0,IF(CD11=INDEX('Lease Cycles'!$DK$8:$DQ$8,1,CD10),1-INDEX('Lease Cycles'!$DR$8:$DX$8,1,CD10),1))-IF(CD11=0,INDEX('Lease Cycles'!$DD$8:$DJ$8,1,CD10),0))),0)</f>
        <v>0</v>
      </c>
      <c r="CE17" s="28">
        <f>IF(CE12=1,IF(INDEX('Lease Cycles'!$EF$8:$EL$8,1,CE10)=1,0,CE13*(1-IF(CE11&lt;INDEX('Lease Cycles'!$DK$8:$DQ$8,1,CE10),0,IF(CE11=INDEX('Lease Cycles'!$DK$8:$DQ$8,1,CE10),1-INDEX('Lease Cycles'!$DR$8:$DX$8,1,CE10),1))-IF(CE11=0,INDEX('Lease Cycles'!$DD$8:$DJ$8,1,CE10),0))),0)</f>
        <v>0</v>
      </c>
      <c r="CF17" s="28">
        <f>IF(CF12=1,IF(INDEX('Lease Cycles'!$EF$8:$EL$8,1,CF10)=1,0,CF13*(1-IF(CF11&lt;INDEX('Lease Cycles'!$DK$8:$DQ$8,1,CF10),0,IF(CF11=INDEX('Lease Cycles'!$DK$8:$DQ$8,1,CF10),1-INDEX('Lease Cycles'!$DR$8:$DX$8,1,CF10),1))-IF(CF11=0,INDEX('Lease Cycles'!$DD$8:$DJ$8,1,CF10),0))),0)</f>
        <v>0</v>
      </c>
      <c r="CG17" s="28">
        <f>IF(CG12=1,IF(INDEX('Lease Cycles'!$EF$8:$EL$8,1,CG10)=1,0,CG13*(1-IF(CG11&lt;INDEX('Lease Cycles'!$DK$8:$DQ$8,1,CG10),0,IF(CG11=INDEX('Lease Cycles'!$DK$8:$DQ$8,1,CG10),1-INDEX('Lease Cycles'!$DR$8:$DX$8,1,CG10),1))-IF(CG11=0,INDEX('Lease Cycles'!$DD$8:$DJ$8,1,CG10),0))),0)</f>
        <v>0</v>
      </c>
      <c r="CH17" s="28">
        <f>IF(CH12=1,IF(INDEX('Lease Cycles'!$EF$8:$EL$8,1,CH10)=1,0,CH13*(1-IF(CH11&lt;INDEX('Lease Cycles'!$DK$8:$DQ$8,1,CH10),0,IF(CH11=INDEX('Lease Cycles'!$DK$8:$DQ$8,1,CH10),1-INDEX('Lease Cycles'!$DR$8:$DX$8,1,CH10),1))-IF(CH11=0,INDEX('Lease Cycles'!$DD$8:$DJ$8,1,CH10),0))),0)</f>
        <v>0</v>
      </c>
      <c r="CI17" s="28">
        <f>IF(CI12=1,IF(INDEX('Lease Cycles'!$EF$8:$EL$8,1,CI10)=1,0,CI13*(1-IF(CI11&lt;INDEX('Lease Cycles'!$DK$8:$DQ$8,1,CI10),0,IF(CI11=INDEX('Lease Cycles'!$DK$8:$DQ$8,1,CI10),1-INDEX('Lease Cycles'!$DR$8:$DX$8,1,CI10),1))-IF(CI11=0,INDEX('Lease Cycles'!$DD$8:$DJ$8,1,CI10),0))),0)</f>
        <v>0</v>
      </c>
      <c r="CJ17" s="28">
        <f>IF(CJ12=1,IF(INDEX('Lease Cycles'!$EF$8:$EL$8,1,CJ10)=1,0,CJ13*(1-IF(CJ11&lt;INDEX('Lease Cycles'!$DK$8:$DQ$8,1,CJ10),0,IF(CJ11=INDEX('Lease Cycles'!$DK$8:$DQ$8,1,CJ10),1-INDEX('Lease Cycles'!$DR$8:$DX$8,1,CJ10),1))-IF(CJ11=0,INDEX('Lease Cycles'!$DD$8:$DJ$8,1,CJ10),0))),0)</f>
        <v>0</v>
      </c>
      <c r="CK17" s="28">
        <f>IF(CK12=1,IF(INDEX('Lease Cycles'!$EF$8:$EL$8,1,CK10)=1,0,CK13*(1-IF(CK11&lt;INDEX('Lease Cycles'!$DK$8:$DQ$8,1,CK10),0,IF(CK11=INDEX('Lease Cycles'!$DK$8:$DQ$8,1,CK10),1-INDEX('Lease Cycles'!$DR$8:$DX$8,1,CK10),1))-IF(CK11=0,INDEX('Lease Cycles'!$DD$8:$DJ$8,1,CK10),0))),0)</f>
        <v>0</v>
      </c>
      <c r="CL17" s="28">
        <f>IF(CL12=1,IF(INDEX('Lease Cycles'!$EF$8:$EL$8,1,CL10)=1,0,CL13*(1-IF(CL11&lt;INDEX('Lease Cycles'!$DK$8:$DQ$8,1,CL10),0,IF(CL11=INDEX('Lease Cycles'!$DK$8:$DQ$8,1,CL10),1-INDEX('Lease Cycles'!$DR$8:$DX$8,1,CL10),1))-IF(CL11=0,INDEX('Lease Cycles'!$DD$8:$DJ$8,1,CL10),0))),0)</f>
        <v>0</v>
      </c>
      <c r="CM17" s="28">
        <f>IF(CM12=1,IF(INDEX('Lease Cycles'!$EF$8:$EL$8,1,CM10)=1,0,CM13*(1-IF(CM11&lt;INDEX('Lease Cycles'!$DK$8:$DQ$8,1,CM10),0,IF(CM11=INDEX('Lease Cycles'!$DK$8:$DQ$8,1,CM10),1-INDEX('Lease Cycles'!$DR$8:$DX$8,1,CM10),1))-IF(CM11=0,INDEX('Lease Cycles'!$DD$8:$DJ$8,1,CM10),0))),0)</f>
        <v>0</v>
      </c>
      <c r="CN17" s="28">
        <f>IF(CN12=1,IF(INDEX('Lease Cycles'!$EF$8:$EL$8,1,CN10)=1,0,CN13*(1-IF(CN11&lt;INDEX('Lease Cycles'!$DK$8:$DQ$8,1,CN10),0,IF(CN11=INDEX('Lease Cycles'!$DK$8:$DQ$8,1,CN10),1-INDEX('Lease Cycles'!$DR$8:$DX$8,1,CN10),1))-IF(CN11=0,INDEX('Lease Cycles'!$DD$8:$DJ$8,1,CN10),0))),0)</f>
        <v>0</v>
      </c>
      <c r="CO17" s="28">
        <f>IF(CO12=1,IF(INDEX('Lease Cycles'!$EF$8:$EL$8,1,CO10)=1,0,CO13*(1-IF(CO11&lt;INDEX('Lease Cycles'!$DK$8:$DQ$8,1,CO10),0,IF(CO11=INDEX('Lease Cycles'!$DK$8:$DQ$8,1,CO10),1-INDEX('Lease Cycles'!$DR$8:$DX$8,1,CO10),1))-IF(CO11=0,INDEX('Lease Cycles'!$DD$8:$DJ$8,1,CO10),0))),0)</f>
        <v>0</v>
      </c>
      <c r="CP17" s="28">
        <f>IF(CP12=1,IF(INDEX('Lease Cycles'!$EF$8:$EL$8,1,CP10)=1,0,CP13*(1-IF(CP11&lt;INDEX('Lease Cycles'!$DK$8:$DQ$8,1,CP10),0,IF(CP11=INDEX('Lease Cycles'!$DK$8:$DQ$8,1,CP10),1-INDEX('Lease Cycles'!$DR$8:$DX$8,1,CP10),1))-IF(CP11=0,INDEX('Lease Cycles'!$DD$8:$DJ$8,1,CP10),0))),0)</f>
        <v>0</v>
      </c>
      <c r="CQ17" s="28">
        <f>IF(CQ12=1,IF(INDEX('Lease Cycles'!$EF$8:$EL$8,1,CQ10)=1,0,CQ13*(1-IF(CQ11&lt;INDEX('Lease Cycles'!$DK$8:$DQ$8,1,CQ10),0,IF(CQ11=INDEX('Lease Cycles'!$DK$8:$DQ$8,1,CQ10),1-INDEX('Lease Cycles'!$DR$8:$DX$8,1,CQ10),1))-IF(CQ11=0,INDEX('Lease Cycles'!$DD$8:$DJ$8,1,CQ10),0))),0)</f>
        <v>0</v>
      </c>
      <c r="CR17" s="28">
        <f>IF(CR12=1,IF(INDEX('Lease Cycles'!$EF$8:$EL$8,1,CR10)=1,0,CR13*(1-IF(CR11&lt;INDEX('Lease Cycles'!$DK$8:$DQ$8,1,CR10),0,IF(CR11=INDEX('Lease Cycles'!$DK$8:$DQ$8,1,CR10),1-INDEX('Lease Cycles'!$DR$8:$DX$8,1,CR10),1))-IF(CR11=0,INDEX('Lease Cycles'!$DD$8:$DJ$8,1,CR10),0))),0)</f>
        <v>0</v>
      </c>
      <c r="CS17" s="28">
        <f>IF(CS12=1,IF(INDEX('Lease Cycles'!$EF$8:$EL$8,1,CS10)=1,0,CS13*(1-IF(CS11&lt;INDEX('Lease Cycles'!$DK$8:$DQ$8,1,CS10),0,IF(CS11=INDEX('Lease Cycles'!$DK$8:$DQ$8,1,CS10),1-INDEX('Lease Cycles'!$DR$8:$DX$8,1,CS10),1))-IF(CS11=0,INDEX('Lease Cycles'!$DD$8:$DJ$8,1,CS10),0))),0)</f>
        <v>0</v>
      </c>
      <c r="CT17" s="28">
        <f>IF(CT12=1,IF(INDEX('Lease Cycles'!$EF$8:$EL$8,1,CT10)=1,0,CT13*(1-IF(CT11&lt;INDEX('Lease Cycles'!$DK$8:$DQ$8,1,CT10),0,IF(CT11=INDEX('Lease Cycles'!$DK$8:$DQ$8,1,CT10),1-INDEX('Lease Cycles'!$DR$8:$DX$8,1,CT10),1))-IF(CT11=0,INDEX('Lease Cycles'!$DD$8:$DJ$8,1,CT10),0))),0)</f>
        <v>0</v>
      </c>
      <c r="CU17" s="28">
        <f>IF(CU12=1,IF(INDEX('Lease Cycles'!$EF$8:$EL$8,1,CU10)=1,0,CU13*(1-IF(CU11&lt;INDEX('Lease Cycles'!$DK$8:$DQ$8,1,CU10),0,IF(CU11=INDEX('Lease Cycles'!$DK$8:$DQ$8,1,CU10),1-INDEX('Lease Cycles'!$DR$8:$DX$8,1,CU10),1))-IF(CU11=0,INDEX('Lease Cycles'!$DD$8:$DJ$8,1,CU10),0))),0)</f>
        <v>0</v>
      </c>
      <c r="CV17" s="28">
        <f>IF(CV12=1,IF(INDEX('Lease Cycles'!$EF$8:$EL$8,1,CV10)=1,0,CV13*(1-IF(CV11&lt;INDEX('Lease Cycles'!$DK$8:$DQ$8,1,CV10),0,IF(CV11=INDEX('Lease Cycles'!$DK$8:$DQ$8,1,CV10),1-INDEX('Lease Cycles'!$DR$8:$DX$8,1,CV10),1))-IF(CV11=0,INDEX('Lease Cycles'!$DD$8:$DJ$8,1,CV10),0))),0)</f>
        <v>0</v>
      </c>
      <c r="CW17" s="28">
        <f>IF(CW12=1,IF(INDEX('Lease Cycles'!$EF$8:$EL$8,1,CW10)=1,0,CW13*(1-IF(CW11&lt;INDEX('Lease Cycles'!$DK$8:$DQ$8,1,CW10),0,IF(CW11=INDEX('Lease Cycles'!$DK$8:$DQ$8,1,CW10),1-INDEX('Lease Cycles'!$DR$8:$DX$8,1,CW10),1))-IF(CW11=0,INDEX('Lease Cycles'!$DD$8:$DJ$8,1,CW10),0))),0)</f>
        <v>0</v>
      </c>
      <c r="CX17" s="28">
        <f>IF(CX12=1,IF(INDEX('Lease Cycles'!$EF$8:$EL$8,1,CX10)=1,0,CX13*(1-IF(CX11&lt;INDEX('Lease Cycles'!$DK$8:$DQ$8,1,CX10),0,IF(CX11=INDEX('Lease Cycles'!$DK$8:$DQ$8,1,CX10),1-INDEX('Lease Cycles'!$DR$8:$DX$8,1,CX10),1))-IF(CX11=0,INDEX('Lease Cycles'!$DD$8:$DJ$8,1,CX10),0))),0)</f>
        <v>0</v>
      </c>
      <c r="CY17" s="28">
        <f>IF(CY12=1,IF(INDEX('Lease Cycles'!$EF$8:$EL$8,1,CY10)=1,0,CY13*(1-IF(CY11&lt;INDEX('Lease Cycles'!$DK$8:$DQ$8,1,CY10),0,IF(CY11=INDEX('Lease Cycles'!$DK$8:$DQ$8,1,CY10),1-INDEX('Lease Cycles'!$DR$8:$DX$8,1,CY10),1))-IF(CY11=0,INDEX('Lease Cycles'!$DD$8:$DJ$8,1,CY10),0))),0)</f>
        <v>0</v>
      </c>
      <c r="CZ17" s="28">
        <f>IF(CZ12=1,IF(INDEX('Lease Cycles'!$EF$8:$EL$8,1,CZ10)=1,0,CZ13*(1-IF(CZ11&lt;INDEX('Lease Cycles'!$DK$8:$DQ$8,1,CZ10),0,IF(CZ11=INDEX('Lease Cycles'!$DK$8:$DQ$8,1,CZ10),1-INDEX('Lease Cycles'!$DR$8:$DX$8,1,CZ10),1))-IF(CZ11=0,INDEX('Lease Cycles'!$DD$8:$DJ$8,1,CZ10),0))),0)</f>
        <v>0</v>
      </c>
      <c r="DA17" s="28">
        <f>IF(DA12=1,IF(INDEX('Lease Cycles'!$EF$8:$EL$8,1,DA10)=1,0,DA13*(1-IF(DA11&lt;INDEX('Lease Cycles'!$DK$8:$DQ$8,1,DA10),0,IF(DA11=INDEX('Lease Cycles'!$DK$8:$DQ$8,1,DA10),1-INDEX('Lease Cycles'!$DR$8:$DX$8,1,DA10),1))-IF(DA11=0,INDEX('Lease Cycles'!$DD$8:$DJ$8,1,DA10),0))),0)</f>
        <v>0</v>
      </c>
      <c r="DB17" s="28">
        <f>IF(DB12=1,IF(INDEX('Lease Cycles'!$EF$8:$EL$8,1,DB10)=1,0,DB13*(1-IF(DB11&lt;INDEX('Lease Cycles'!$DK$8:$DQ$8,1,DB10),0,IF(DB11=INDEX('Lease Cycles'!$DK$8:$DQ$8,1,DB10),1-INDEX('Lease Cycles'!$DR$8:$DX$8,1,DB10),1))-IF(DB11=0,INDEX('Lease Cycles'!$DD$8:$DJ$8,1,DB10),0))),0)</f>
        <v>0</v>
      </c>
      <c r="DC17" s="28">
        <f>IF(DC12=1,IF(INDEX('Lease Cycles'!$EF$8:$EL$8,1,DC10)=1,0,DC13*(1-IF(DC11&lt;INDEX('Lease Cycles'!$DK$8:$DQ$8,1,DC10),0,IF(DC11=INDEX('Lease Cycles'!$DK$8:$DQ$8,1,DC10),1-INDEX('Lease Cycles'!$DR$8:$DX$8,1,DC10),1))-IF(DC11=0,INDEX('Lease Cycles'!$DD$8:$DJ$8,1,DC10),0))),0)</f>
        <v>0</v>
      </c>
      <c r="DD17" s="28">
        <f>IF(DD12=1,IF(INDEX('Lease Cycles'!$EF$8:$EL$8,1,DD10)=1,0,DD13*(1-IF(DD11&lt;INDEX('Lease Cycles'!$DK$8:$DQ$8,1,DD10),0,IF(DD11=INDEX('Lease Cycles'!$DK$8:$DQ$8,1,DD10),1-INDEX('Lease Cycles'!$DR$8:$DX$8,1,DD10),1))-IF(DD11=0,INDEX('Lease Cycles'!$DD$8:$DJ$8,1,DD10),0))),0)</f>
        <v>0</v>
      </c>
      <c r="DE17" s="28">
        <f>IF(DE12=1,IF(INDEX('Lease Cycles'!$EF$8:$EL$8,1,DE10)=1,0,DE13*(1-IF(DE11&lt;INDEX('Lease Cycles'!$DK$8:$DQ$8,1,DE10),0,IF(DE11=INDEX('Lease Cycles'!$DK$8:$DQ$8,1,DE10),1-INDEX('Lease Cycles'!$DR$8:$DX$8,1,DE10),1))-IF(DE11=0,INDEX('Lease Cycles'!$DD$8:$DJ$8,1,DE10),0))),0)</f>
        <v>0</v>
      </c>
      <c r="DF17" s="28">
        <f>IF(DF12=1,IF(INDEX('Lease Cycles'!$EF$8:$EL$8,1,DF10)=1,0,DF13*(1-IF(DF11&lt;INDEX('Lease Cycles'!$DK$8:$DQ$8,1,DF10),0,IF(DF11=INDEX('Lease Cycles'!$DK$8:$DQ$8,1,DF10),1-INDEX('Lease Cycles'!$DR$8:$DX$8,1,DF10),1))-IF(DF11=0,INDEX('Lease Cycles'!$DD$8:$DJ$8,1,DF10),0))),0)</f>
        <v>0</v>
      </c>
      <c r="DG17" s="28">
        <f>IF(DG12=1,IF(INDEX('Lease Cycles'!$EF$8:$EL$8,1,DG10)=1,0,DG13*(1-IF(DG11&lt;INDEX('Lease Cycles'!$DK$8:$DQ$8,1,DG10),0,IF(DG11=INDEX('Lease Cycles'!$DK$8:$DQ$8,1,DG10),1-INDEX('Lease Cycles'!$DR$8:$DX$8,1,DG10),1))-IF(DG11=0,INDEX('Lease Cycles'!$DD$8:$DJ$8,1,DG10),0))),0)</f>
        <v>0</v>
      </c>
      <c r="DH17" s="28">
        <f>IF(DH12=1,IF(INDEX('Lease Cycles'!$EF$8:$EL$8,1,DH10)=1,0,DH13*(1-IF(DH11&lt;INDEX('Lease Cycles'!$DK$8:$DQ$8,1,DH10),0,IF(DH11=INDEX('Lease Cycles'!$DK$8:$DQ$8,1,DH10),1-INDEX('Lease Cycles'!$DR$8:$DX$8,1,DH10),1))-IF(DH11=0,INDEX('Lease Cycles'!$DD$8:$DJ$8,1,DH10),0))),0)</f>
        <v>0</v>
      </c>
      <c r="DI17" s="28">
        <f>IF(DI12=1,IF(INDEX('Lease Cycles'!$EF$8:$EL$8,1,DI10)=1,0,DI13*(1-IF(DI11&lt;INDEX('Lease Cycles'!$DK$8:$DQ$8,1,DI10),0,IF(DI11=INDEX('Lease Cycles'!$DK$8:$DQ$8,1,DI10),1-INDEX('Lease Cycles'!$DR$8:$DX$8,1,DI10),1))-IF(DI11=0,INDEX('Lease Cycles'!$DD$8:$DJ$8,1,DI10),0))),0)</f>
        <v>0</v>
      </c>
      <c r="DJ17" s="28">
        <f>IF(DJ12=1,IF(INDEX('Lease Cycles'!$EF$8:$EL$8,1,DJ10)=1,0,DJ13*(1-IF(DJ11&lt;INDEX('Lease Cycles'!$DK$8:$DQ$8,1,DJ10),0,IF(DJ11=INDEX('Lease Cycles'!$DK$8:$DQ$8,1,DJ10),1-INDEX('Lease Cycles'!$DR$8:$DX$8,1,DJ10),1))-IF(DJ11=0,INDEX('Lease Cycles'!$DD$8:$DJ$8,1,DJ10),0))),0)</f>
        <v>0</v>
      </c>
      <c r="DK17" s="28">
        <f>IF(DK12=1,IF(INDEX('Lease Cycles'!$EF$8:$EL$8,1,DK10)=1,0,DK13*(1-IF(DK11&lt;INDEX('Lease Cycles'!$DK$8:$DQ$8,1,DK10),0,IF(DK11=INDEX('Lease Cycles'!$DK$8:$DQ$8,1,DK10),1-INDEX('Lease Cycles'!$DR$8:$DX$8,1,DK10),1))-IF(DK11=0,INDEX('Lease Cycles'!$DD$8:$DJ$8,1,DK10),0))),0)</f>
        <v>0</v>
      </c>
      <c r="DL17" s="28">
        <f>IF(DL12=1,IF(INDEX('Lease Cycles'!$EF$8:$EL$8,1,DL10)=1,0,DL13*(1-IF(DL11&lt;INDEX('Lease Cycles'!$DK$8:$DQ$8,1,DL10),0,IF(DL11=INDEX('Lease Cycles'!$DK$8:$DQ$8,1,DL10),1-INDEX('Lease Cycles'!$DR$8:$DX$8,1,DL10),1))-IF(DL11=0,INDEX('Lease Cycles'!$DD$8:$DJ$8,1,DL10),0))),0)</f>
        <v>0</v>
      </c>
      <c r="DM17" s="28">
        <f>IF(DM12=1,IF(INDEX('Lease Cycles'!$EF$8:$EL$8,1,DM10)=1,0,DM13*(1-IF(DM11&lt;INDEX('Lease Cycles'!$DK$8:$DQ$8,1,DM10),0,IF(DM11=INDEX('Lease Cycles'!$DK$8:$DQ$8,1,DM10),1-INDEX('Lease Cycles'!$DR$8:$DX$8,1,DM10),1))-IF(DM11=0,INDEX('Lease Cycles'!$DD$8:$DJ$8,1,DM10),0))),0)</f>
        <v>0</v>
      </c>
      <c r="DN17" s="28">
        <f>IF(DN12=1,IF(INDEX('Lease Cycles'!$EF$8:$EL$8,1,DN10)=1,0,DN13*(1-IF(DN11&lt;INDEX('Lease Cycles'!$DK$8:$DQ$8,1,DN10),0,IF(DN11=INDEX('Lease Cycles'!$DK$8:$DQ$8,1,DN10),1-INDEX('Lease Cycles'!$DR$8:$DX$8,1,DN10),1))-IF(DN11=0,INDEX('Lease Cycles'!$DD$8:$DJ$8,1,DN10),0))),0)</f>
        <v>0</v>
      </c>
      <c r="DO17" s="28">
        <f>IF(DO12=1,IF(INDEX('Lease Cycles'!$EF$8:$EL$8,1,DO10)=1,0,DO13*(1-IF(DO11&lt;INDEX('Lease Cycles'!$DK$8:$DQ$8,1,DO10),0,IF(DO11=INDEX('Lease Cycles'!$DK$8:$DQ$8,1,DO10),1-INDEX('Lease Cycles'!$DR$8:$DX$8,1,DO10),1))-IF(DO11=0,INDEX('Lease Cycles'!$DD$8:$DJ$8,1,DO10),0))),0)</f>
        <v>0</v>
      </c>
      <c r="DP17" s="28">
        <f>IF(DP12=1,IF(INDEX('Lease Cycles'!$EF$8:$EL$8,1,DP10)=1,0,DP13*(1-IF(DP11&lt;INDEX('Lease Cycles'!$DK$8:$DQ$8,1,DP10),0,IF(DP11=INDEX('Lease Cycles'!$DK$8:$DQ$8,1,DP10),1-INDEX('Lease Cycles'!$DR$8:$DX$8,1,DP10),1))-IF(DP11=0,INDEX('Lease Cycles'!$DD$8:$DJ$8,1,DP10),0))),0)</f>
        <v>0</v>
      </c>
      <c r="DQ17" s="28">
        <f>IF(DQ12=1,IF(INDEX('Lease Cycles'!$EF$8:$EL$8,1,DQ10)=1,0,DQ13*(1-IF(DQ11&lt;INDEX('Lease Cycles'!$DK$8:$DQ$8,1,DQ10),0,IF(DQ11=INDEX('Lease Cycles'!$DK$8:$DQ$8,1,DQ10),1-INDEX('Lease Cycles'!$DR$8:$DX$8,1,DQ10),1))-IF(DQ11=0,INDEX('Lease Cycles'!$DD$8:$DJ$8,1,DQ10),0))),0)</f>
        <v>0</v>
      </c>
      <c r="DR17" s="28">
        <f>IF(DR12=1,IF(INDEX('Lease Cycles'!$EF$8:$EL$8,1,DR10)=1,0,DR13*(1-IF(DR11&lt;INDEX('Lease Cycles'!$DK$8:$DQ$8,1,DR10),0,IF(DR11=INDEX('Lease Cycles'!$DK$8:$DQ$8,1,DR10),1-INDEX('Lease Cycles'!$DR$8:$DX$8,1,DR10),1))-IF(DR11=0,INDEX('Lease Cycles'!$DD$8:$DJ$8,1,DR10),0))),0)</f>
        <v>0</v>
      </c>
      <c r="DS17" s="28">
        <f>IF(DS12=1,IF(INDEX('Lease Cycles'!$EF$8:$EL$8,1,DS10)=1,0,DS13*(1-IF(DS11&lt;INDEX('Lease Cycles'!$DK$8:$DQ$8,1,DS10),0,IF(DS11=INDEX('Lease Cycles'!$DK$8:$DQ$8,1,DS10),1-INDEX('Lease Cycles'!$DR$8:$DX$8,1,DS10),1))-IF(DS11=0,INDEX('Lease Cycles'!$DD$8:$DJ$8,1,DS10),0))),0)</f>
        <v>0</v>
      </c>
      <c r="DT17" s="28">
        <f>IF(DT12=1,IF(INDEX('Lease Cycles'!$EF$8:$EL$8,1,DT10)=1,0,DT13*(1-IF(DT11&lt;INDEX('Lease Cycles'!$DK$8:$DQ$8,1,DT10),0,IF(DT11=INDEX('Lease Cycles'!$DK$8:$DQ$8,1,DT10),1-INDEX('Lease Cycles'!$DR$8:$DX$8,1,DT10),1))-IF(DT11=0,INDEX('Lease Cycles'!$DD$8:$DJ$8,1,DT10),0))),0)</f>
        <v>0</v>
      </c>
      <c r="DU17" s="28">
        <f>IF(DU12=1,IF(INDEX('Lease Cycles'!$EF$8:$EL$8,1,DU10)=1,0,DU13*(1-IF(DU11&lt;INDEX('Lease Cycles'!$DK$8:$DQ$8,1,DU10),0,IF(DU11=INDEX('Lease Cycles'!$DK$8:$DQ$8,1,DU10),1-INDEX('Lease Cycles'!$DR$8:$DX$8,1,DU10),1))-IF(DU11=0,INDEX('Lease Cycles'!$DD$8:$DJ$8,1,DU10),0))),0)</f>
        <v>0</v>
      </c>
      <c r="DV17" s="28">
        <f>IF(DV12=1,IF(INDEX('Lease Cycles'!$EF$8:$EL$8,1,DV10)=1,0,DV13*(1-IF(DV11&lt;INDEX('Lease Cycles'!$DK$8:$DQ$8,1,DV10),0,IF(DV11=INDEX('Lease Cycles'!$DK$8:$DQ$8,1,DV10),1-INDEX('Lease Cycles'!$DR$8:$DX$8,1,DV10),1))-IF(DV11=0,INDEX('Lease Cycles'!$DD$8:$DJ$8,1,DV10),0))),0)</f>
        <v>0</v>
      </c>
      <c r="DW17" s="28">
        <f>IF(DW12=1,IF(INDEX('Lease Cycles'!$EF$8:$EL$8,1,DW10)=1,0,DW13*(1-IF(DW11&lt;INDEX('Lease Cycles'!$DK$8:$DQ$8,1,DW10),0,IF(DW11=INDEX('Lease Cycles'!$DK$8:$DQ$8,1,DW10),1-INDEX('Lease Cycles'!$DR$8:$DX$8,1,DW10),1))-IF(DW11=0,INDEX('Lease Cycles'!$DD$8:$DJ$8,1,DW10),0))),0)</f>
        <v>0</v>
      </c>
      <c r="DX17" s="28">
        <f>IF(DX12=1,IF(INDEX('Lease Cycles'!$EF$8:$EL$8,1,DX10)=1,0,DX13*(1-IF(DX11&lt;INDEX('Lease Cycles'!$DK$8:$DQ$8,1,DX10),0,IF(DX11=INDEX('Lease Cycles'!$DK$8:$DQ$8,1,DX10),1-INDEX('Lease Cycles'!$DR$8:$DX$8,1,DX10),1))-IF(DX11=0,INDEX('Lease Cycles'!$DD$8:$DJ$8,1,DX10),0))),0)</f>
        <v>0</v>
      </c>
      <c r="DY17" s="28">
        <f>IF(DY12=1,IF(INDEX('Lease Cycles'!$EF$8:$EL$8,1,DY10)=1,0,DY13*(1-IF(DY11&lt;INDEX('Lease Cycles'!$DK$8:$DQ$8,1,DY10),0,IF(DY11=INDEX('Lease Cycles'!$DK$8:$DQ$8,1,DY10),1-INDEX('Lease Cycles'!$DR$8:$DX$8,1,DY10),1))-IF(DY11=0,INDEX('Lease Cycles'!$DD$8:$DJ$8,1,DY10),0))),0)</f>
        <v>0</v>
      </c>
      <c r="DZ17" s="28">
        <f>IF(DZ12=1,IF(INDEX('Lease Cycles'!$EF$8:$EL$8,1,DZ10)=1,0,DZ13*(1-IF(DZ11&lt;INDEX('Lease Cycles'!$DK$8:$DQ$8,1,DZ10),0,IF(DZ11=INDEX('Lease Cycles'!$DK$8:$DQ$8,1,DZ10),1-INDEX('Lease Cycles'!$DR$8:$DX$8,1,DZ10),1))-IF(DZ11=0,INDEX('Lease Cycles'!$DD$8:$DJ$8,1,DZ10),0))),0)</f>
        <v>0</v>
      </c>
      <c r="EA17" s="28">
        <f>IF(EA12=1,IF(INDEX('Lease Cycles'!$EF$8:$EL$8,1,EA10)=1,0,EA13*(1-IF(EA11&lt;INDEX('Lease Cycles'!$DK$8:$DQ$8,1,EA10),0,IF(EA11=INDEX('Lease Cycles'!$DK$8:$DQ$8,1,EA10),1-INDEX('Lease Cycles'!$DR$8:$DX$8,1,EA10),1))-IF(EA11=0,INDEX('Lease Cycles'!$DD$8:$DJ$8,1,EA10),0))),0)</f>
        <v>0</v>
      </c>
      <c r="EB17" s="28">
        <f>IF(EB12=1,IF(INDEX('Lease Cycles'!$EF$8:$EL$8,1,EB10)=1,0,EB13*(1-IF(EB11&lt;INDEX('Lease Cycles'!$DK$8:$DQ$8,1,EB10),0,IF(EB11=INDEX('Lease Cycles'!$DK$8:$DQ$8,1,EB10),1-INDEX('Lease Cycles'!$DR$8:$DX$8,1,EB10),1))-IF(EB11=0,INDEX('Lease Cycles'!$DD$8:$DJ$8,1,EB10),0))),0)</f>
        <v>0</v>
      </c>
      <c r="EC17" s="28">
        <f>IF(EC12=1,IF(INDEX('Lease Cycles'!$EF$8:$EL$8,1,EC10)=1,0,EC13*(1-IF(EC11&lt;INDEX('Lease Cycles'!$DK$8:$DQ$8,1,EC10),0,IF(EC11=INDEX('Lease Cycles'!$DK$8:$DQ$8,1,EC10),1-INDEX('Lease Cycles'!$DR$8:$DX$8,1,EC10),1))-IF(EC11=0,INDEX('Lease Cycles'!$DD$8:$DJ$8,1,EC10),0))),0)</f>
        <v>0</v>
      </c>
      <c r="ED17" s="28">
        <f>IF(ED12=1,IF(INDEX('Lease Cycles'!$EF$8:$EL$8,1,ED10)=1,0,ED13*(1-IF(ED11&lt;INDEX('Lease Cycles'!$DK$8:$DQ$8,1,ED10),0,IF(ED11=INDEX('Lease Cycles'!$DK$8:$DQ$8,1,ED10),1-INDEX('Lease Cycles'!$DR$8:$DX$8,1,ED10),1))-IF(ED11=0,INDEX('Lease Cycles'!$DD$8:$DJ$8,1,ED10),0))),0)</f>
        <v>0</v>
      </c>
      <c r="EE17" s="28">
        <f>IF(EE12=1,IF(INDEX('Lease Cycles'!$EF$8:$EL$8,1,EE10)=1,0,EE13*(1-IF(EE11&lt;INDEX('Lease Cycles'!$DK$8:$DQ$8,1,EE10),0,IF(EE11=INDEX('Lease Cycles'!$DK$8:$DQ$8,1,EE10),1-INDEX('Lease Cycles'!$DR$8:$DX$8,1,EE10),1))-IF(EE11=0,INDEX('Lease Cycles'!$DD$8:$DJ$8,1,EE10),0))),0)</f>
        <v>0</v>
      </c>
      <c r="EF17" s="28">
        <f>IF(EF12=1,IF(INDEX('Lease Cycles'!$EF$8:$EL$8,1,EF10)=1,0,EF13*(1-IF(EF11&lt;INDEX('Lease Cycles'!$DK$8:$DQ$8,1,EF10),0,IF(EF11=INDEX('Lease Cycles'!$DK$8:$DQ$8,1,EF10),1-INDEX('Lease Cycles'!$DR$8:$DX$8,1,EF10),1))-IF(EF11=0,INDEX('Lease Cycles'!$DD$8:$DJ$8,1,EF10),0))),0)</f>
        <v>0</v>
      </c>
      <c r="EG17" s="28">
        <f>IF(EG12=1,IF(INDEX('Lease Cycles'!$EF$8:$EL$8,1,EG10)=1,0,EG13*(1-IF(EG11&lt;INDEX('Lease Cycles'!$DK$8:$DQ$8,1,EG10),0,IF(EG11=INDEX('Lease Cycles'!$DK$8:$DQ$8,1,EG10),1-INDEX('Lease Cycles'!$DR$8:$DX$8,1,EG10),1))-IF(EG11=0,INDEX('Lease Cycles'!$DD$8:$DJ$8,1,EG10),0))),0)</f>
        <v>0</v>
      </c>
      <c r="EH17" s="28">
        <f>IF(EH12=1,IF(INDEX('Lease Cycles'!$EF$8:$EL$8,1,EH10)=1,0,EH13*(1-IF(EH11&lt;INDEX('Lease Cycles'!$DK$8:$DQ$8,1,EH10),0,IF(EH11=INDEX('Lease Cycles'!$DK$8:$DQ$8,1,EH10),1-INDEX('Lease Cycles'!$DR$8:$DX$8,1,EH10),1))-IF(EH11=0,INDEX('Lease Cycles'!$DD$8:$DJ$8,1,EH10),0))),0)</f>
        <v>0</v>
      </c>
      <c r="EI17" s="28">
        <f>IF(EI12=1,IF(INDEX('Lease Cycles'!$EF$8:$EL$8,1,EI10)=1,0,EI13*(1-IF(EI11&lt;INDEX('Lease Cycles'!$DK$8:$DQ$8,1,EI10),0,IF(EI11=INDEX('Lease Cycles'!$DK$8:$DQ$8,1,EI10),1-INDEX('Lease Cycles'!$DR$8:$DX$8,1,EI10),1))-IF(EI11=0,INDEX('Lease Cycles'!$DD$8:$DJ$8,1,EI10),0))),0)</f>
        <v>0</v>
      </c>
      <c r="EJ17" s="28">
        <f>IF(EJ12=1,IF(INDEX('Lease Cycles'!$EF$8:$EL$8,1,EJ10)=1,0,EJ13*(1-IF(EJ11&lt;INDEX('Lease Cycles'!$DK$8:$DQ$8,1,EJ10),0,IF(EJ11=INDEX('Lease Cycles'!$DK$8:$DQ$8,1,EJ10),1-INDEX('Lease Cycles'!$DR$8:$DX$8,1,EJ10),1))-IF(EJ11=0,INDEX('Lease Cycles'!$DD$8:$DJ$8,1,EJ10),0))),0)</f>
        <v>0</v>
      </c>
      <c r="EK17" s="28">
        <f>IF(EK12=1,IF(INDEX('Lease Cycles'!$EF$8:$EL$8,1,EK10)=1,0,EK13*(1-IF(EK11&lt;INDEX('Lease Cycles'!$DK$8:$DQ$8,1,EK10),0,IF(EK11=INDEX('Lease Cycles'!$DK$8:$DQ$8,1,EK10),1-INDEX('Lease Cycles'!$DR$8:$DX$8,1,EK10),1))-IF(EK11=0,INDEX('Lease Cycles'!$DD$8:$DJ$8,1,EK10),0))),0)</f>
        <v>0</v>
      </c>
      <c r="EL17" s="28">
        <f>IF(EL12=1,IF(INDEX('Lease Cycles'!$EF$8:$EL$8,1,EL10)=1,0,EL13*(1-IF(EL11&lt;INDEX('Lease Cycles'!$DK$8:$DQ$8,1,EL10),0,IF(EL11=INDEX('Lease Cycles'!$DK$8:$DQ$8,1,EL10),1-INDEX('Lease Cycles'!$DR$8:$DX$8,1,EL10),1))-IF(EL11=0,INDEX('Lease Cycles'!$DD$8:$DJ$8,1,EL10),0))),0)</f>
        <v>0</v>
      </c>
      <c r="EM17" s="28">
        <f>IF(EM12=1,IF(INDEX('Lease Cycles'!$EF$8:$EL$8,1,EM10)=1,0,EM13*(1-IF(EM11&lt;INDEX('Lease Cycles'!$DK$8:$DQ$8,1,EM10),0,IF(EM11=INDEX('Lease Cycles'!$DK$8:$DQ$8,1,EM10),1-INDEX('Lease Cycles'!$DR$8:$DX$8,1,EM10),1))-IF(EM11=0,INDEX('Lease Cycles'!$DD$8:$DJ$8,1,EM10),0))),0)</f>
        <v>0</v>
      </c>
      <c r="EN17" s="28">
        <f>IF(EN12=1,IF(INDEX('Lease Cycles'!$EF$8:$EL$8,1,EN10)=1,0,EN13*(1-IF(EN11&lt;INDEX('Lease Cycles'!$DK$8:$DQ$8,1,EN10),0,IF(EN11=INDEX('Lease Cycles'!$DK$8:$DQ$8,1,EN10),1-INDEX('Lease Cycles'!$DR$8:$DX$8,1,EN10),1))-IF(EN11=0,INDEX('Lease Cycles'!$DD$8:$DJ$8,1,EN10),0))),0)</f>
        <v>0</v>
      </c>
      <c r="EO17" s="28">
        <f>IF(EO12=1,IF(INDEX('Lease Cycles'!$EF$8:$EL$8,1,EO10)=1,0,EO13*(1-IF(EO11&lt;INDEX('Lease Cycles'!$DK$8:$DQ$8,1,EO10),0,IF(EO11=INDEX('Lease Cycles'!$DK$8:$DQ$8,1,EO10),1-INDEX('Lease Cycles'!$DR$8:$DX$8,1,EO10),1))-IF(EO11=0,INDEX('Lease Cycles'!$DD$8:$DJ$8,1,EO10),0))),0)</f>
        <v>0</v>
      </c>
      <c r="EP17" s="28">
        <f>IF(EP12=1,IF(INDEX('Lease Cycles'!$EF$8:$EL$8,1,EP10)=1,0,EP13*(1-IF(EP11&lt;INDEX('Lease Cycles'!$DK$8:$DQ$8,1,EP10),0,IF(EP11=INDEX('Lease Cycles'!$DK$8:$DQ$8,1,EP10),1-INDEX('Lease Cycles'!$DR$8:$DX$8,1,EP10),1))-IF(EP11=0,INDEX('Lease Cycles'!$DD$8:$DJ$8,1,EP10),0))),0)</f>
        <v>0</v>
      </c>
      <c r="EQ17" s="28">
        <f>IF(EQ12=1,IF(INDEX('Lease Cycles'!$EF$8:$EL$8,1,EQ10)=1,0,EQ13*(1-IF(EQ11&lt;INDEX('Lease Cycles'!$DK$8:$DQ$8,1,EQ10),0,IF(EQ11=INDEX('Lease Cycles'!$DK$8:$DQ$8,1,EQ10),1-INDEX('Lease Cycles'!$DR$8:$DX$8,1,EQ10),1))-IF(EQ11=0,INDEX('Lease Cycles'!$DD$8:$DJ$8,1,EQ10),0))),0)</f>
        <v>0</v>
      </c>
      <c r="ER17" s="28">
        <f>IF(ER12=1,IF(INDEX('Lease Cycles'!$EF$8:$EL$8,1,ER10)=1,0,ER13*(1-IF(ER11&lt;INDEX('Lease Cycles'!$DK$8:$DQ$8,1,ER10),0,IF(ER11=INDEX('Lease Cycles'!$DK$8:$DQ$8,1,ER10),1-INDEX('Lease Cycles'!$DR$8:$DX$8,1,ER10),1))-IF(ER11=0,INDEX('Lease Cycles'!$DD$8:$DJ$8,1,ER10),0))),0)</f>
        <v>0</v>
      </c>
      <c r="ES17" s="28">
        <f>IF(ES12=1,IF(INDEX('Lease Cycles'!$EF$8:$EL$8,1,ES10)=1,0,ES13*(1-IF(ES11&lt;INDEX('Lease Cycles'!$DK$8:$DQ$8,1,ES10),0,IF(ES11=INDEX('Lease Cycles'!$DK$8:$DQ$8,1,ES10),1-INDEX('Lease Cycles'!$DR$8:$DX$8,1,ES10),1))-IF(ES11=0,INDEX('Lease Cycles'!$DD$8:$DJ$8,1,ES10),0))),0)</f>
        <v>0</v>
      </c>
      <c r="ET17" s="28">
        <f>IF(ET12=1,IF(INDEX('Lease Cycles'!$EF$8:$EL$8,1,ET10)=1,0,ET13*(1-IF(ET11&lt;INDEX('Lease Cycles'!$DK$8:$DQ$8,1,ET10),0,IF(ET11=INDEX('Lease Cycles'!$DK$8:$DQ$8,1,ET10),1-INDEX('Lease Cycles'!$DR$8:$DX$8,1,ET10),1))-IF(ET11=0,INDEX('Lease Cycles'!$DD$8:$DJ$8,1,ET10),0))),0)</f>
        <v>0</v>
      </c>
    </row>
    <row r="18">
      <c r="A18" s="103">
        <v>1</v>
      </c>
      <c r="B18" s="23" t="str">
        <f>IF('Lease Cycles'!$B$8="","(empty slot)",'Lease Cycles'!$B$8)</f>
        <v>Fieldstone Grocery</v>
      </c>
      <c r="C18" s="23" t="s">
        <v>683</v>
      </c>
      <c r="D18" s="104" t="s">
        <v>684</v>
      </c>
      <c r="E18" s="25">
        <f>'Lease Cycles'!$AL$8</f>
        <v>1</v>
      </c>
      <c r="G18" s="24">
        <f>SUM(S18:AD18)</f>
        <v>6.4321608040201</v>
      </c>
      <c r="H18" s="24">
        <f>SUM(AE18:AP18)</f>
        <v>6.4321608040201</v>
      </c>
      <c r="I18" s="24">
        <f>SUM(AQ18:BB18)</f>
        <v>6.4321608040201</v>
      </c>
      <c r="J18" s="24">
        <f>SUM(BC18:BN18)</f>
        <v>6.4321608040201</v>
      </c>
      <c r="K18" s="24">
        <f>SUM(BO18:BZ18)</f>
        <v>6.4321608040201</v>
      </c>
      <c r="L18" s="24">
        <f>SUM(CA18:CL18)</f>
        <v>6.4321608040201</v>
      </c>
      <c r="M18" s="24">
        <f>SUM(CM18:CX18)</f>
        <v>6.4321608040201</v>
      </c>
      <c r="N18" s="24">
        <f>SUM(CY18:DJ18)</f>
        <v>6.4321608040201</v>
      </c>
      <c r="O18" s="24">
        <f>SUM(DK18:DV18)</f>
        <v>6.4321608040201</v>
      </c>
      <c r="P18" s="24">
        <f>SUM(DW18:EH18)</f>
        <v>6.4321608040201</v>
      </c>
      <c r="Q18" s="24">
        <f>SUM(EI18:ET18)</f>
        <v>6.4321608040201</v>
      </c>
      <c r="S18" s="24">
        <f>IF(S12=1,'Lease Cycles'!$D$8*IF(INDEX('Lease Cycles'!$EF$8:$EL$8,1,S10)=1,(1-'Lease Cycles'!$AJ$8)*INDEX('Lease Cycles'!$EM$8:$ES$8,1,S10)+(1-'Lease Cycles'!$BE$8)*IF(S11&lt;INDEX('Lease Cycles'!$FA$8:$FG$8,1,S10),0,1-INDEX('Lease Cycles'!$EM$8:$ES$8,1,S10)),IF(OR(INDEX('Lease Cycles'!$DY$8:$EE$8,1,S10)=1,S11&gt;0),1,1-INDEX('Lease Cycles'!$DD$8:$DJ$8,1,S10))*((1-'Lease Cycles'!$AJ$8)*INDEX('Lease Cycles'!$FO$8:$FU$8,1,S10)+(1-'Lease Cycles'!$BE$8)*(1-INDEX('Lease Cycles'!$FO$8:$FU$8,1,S10)))),0)</f>
        <v>0.5360134003350083</v>
      </c>
      <c r="T18" s="24">
        <f>IF(T12=1,'Lease Cycles'!$D$8*IF(INDEX('Lease Cycles'!$EF$8:$EL$8,1,T10)=1,(1-'Lease Cycles'!$AJ$8)*INDEX('Lease Cycles'!$EM$8:$ES$8,1,T10)+(1-'Lease Cycles'!$BE$8)*IF(T11&lt;INDEX('Lease Cycles'!$FA$8:$FG$8,1,T10),0,1-INDEX('Lease Cycles'!$EM$8:$ES$8,1,T10)),IF(OR(INDEX('Lease Cycles'!$DY$8:$EE$8,1,T10)=1,T11&gt;0),1,1-INDEX('Lease Cycles'!$DD$8:$DJ$8,1,T10))*((1-'Lease Cycles'!$AJ$8)*INDEX('Lease Cycles'!$FO$8:$FU$8,1,T10)+(1-'Lease Cycles'!$BE$8)*(1-INDEX('Lease Cycles'!$FO$8:$FU$8,1,T10)))),0)</f>
        <v>0.5360134003350083</v>
      </c>
      <c r="U18" s="24">
        <f>IF(U12=1,'Lease Cycles'!$D$8*IF(INDEX('Lease Cycles'!$EF$8:$EL$8,1,U10)=1,(1-'Lease Cycles'!$AJ$8)*INDEX('Lease Cycles'!$EM$8:$ES$8,1,U10)+(1-'Lease Cycles'!$BE$8)*IF(U11&lt;INDEX('Lease Cycles'!$FA$8:$FG$8,1,U10),0,1-INDEX('Lease Cycles'!$EM$8:$ES$8,1,U10)),IF(OR(INDEX('Lease Cycles'!$DY$8:$EE$8,1,U10)=1,U11&gt;0),1,1-INDEX('Lease Cycles'!$DD$8:$DJ$8,1,U10))*((1-'Lease Cycles'!$AJ$8)*INDEX('Lease Cycles'!$FO$8:$FU$8,1,U10)+(1-'Lease Cycles'!$BE$8)*(1-INDEX('Lease Cycles'!$FO$8:$FU$8,1,U10)))),0)</f>
        <v>0.5360134003350083</v>
      </c>
      <c r="V18" s="24">
        <f>IF(V12=1,'Lease Cycles'!$D$8*IF(INDEX('Lease Cycles'!$EF$8:$EL$8,1,V10)=1,(1-'Lease Cycles'!$AJ$8)*INDEX('Lease Cycles'!$EM$8:$ES$8,1,V10)+(1-'Lease Cycles'!$BE$8)*IF(V11&lt;INDEX('Lease Cycles'!$FA$8:$FG$8,1,V10),0,1-INDEX('Lease Cycles'!$EM$8:$ES$8,1,V10)),IF(OR(INDEX('Lease Cycles'!$DY$8:$EE$8,1,V10)=1,V11&gt;0),1,1-INDEX('Lease Cycles'!$DD$8:$DJ$8,1,V10))*((1-'Lease Cycles'!$AJ$8)*INDEX('Lease Cycles'!$FO$8:$FU$8,1,V10)+(1-'Lease Cycles'!$BE$8)*(1-INDEX('Lease Cycles'!$FO$8:$FU$8,1,V10)))),0)</f>
        <v>0.5360134003350083</v>
      </c>
      <c r="W18" s="24">
        <f>IF(W12=1,'Lease Cycles'!$D$8*IF(INDEX('Lease Cycles'!$EF$8:$EL$8,1,W10)=1,(1-'Lease Cycles'!$AJ$8)*INDEX('Lease Cycles'!$EM$8:$ES$8,1,W10)+(1-'Lease Cycles'!$BE$8)*IF(W11&lt;INDEX('Lease Cycles'!$FA$8:$FG$8,1,W10),0,1-INDEX('Lease Cycles'!$EM$8:$ES$8,1,W10)),IF(OR(INDEX('Lease Cycles'!$DY$8:$EE$8,1,W10)=1,W11&gt;0),1,1-INDEX('Lease Cycles'!$DD$8:$DJ$8,1,W10))*((1-'Lease Cycles'!$AJ$8)*INDEX('Lease Cycles'!$FO$8:$FU$8,1,W10)+(1-'Lease Cycles'!$BE$8)*(1-INDEX('Lease Cycles'!$FO$8:$FU$8,1,W10)))),0)</f>
        <v>0.5360134003350083</v>
      </c>
      <c r="X18" s="24">
        <f>IF(X12=1,'Lease Cycles'!$D$8*IF(INDEX('Lease Cycles'!$EF$8:$EL$8,1,X10)=1,(1-'Lease Cycles'!$AJ$8)*INDEX('Lease Cycles'!$EM$8:$ES$8,1,X10)+(1-'Lease Cycles'!$BE$8)*IF(X11&lt;INDEX('Lease Cycles'!$FA$8:$FG$8,1,X10),0,1-INDEX('Lease Cycles'!$EM$8:$ES$8,1,X10)),IF(OR(INDEX('Lease Cycles'!$DY$8:$EE$8,1,X10)=1,X11&gt;0),1,1-INDEX('Lease Cycles'!$DD$8:$DJ$8,1,X10))*((1-'Lease Cycles'!$AJ$8)*INDEX('Lease Cycles'!$FO$8:$FU$8,1,X10)+(1-'Lease Cycles'!$BE$8)*(1-INDEX('Lease Cycles'!$FO$8:$FU$8,1,X10)))),0)</f>
        <v>0.5360134003350083</v>
      </c>
      <c r="Y18" s="24">
        <f>IF(Y12=1,'Lease Cycles'!$D$8*IF(INDEX('Lease Cycles'!$EF$8:$EL$8,1,Y10)=1,(1-'Lease Cycles'!$AJ$8)*INDEX('Lease Cycles'!$EM$8:$ES$8,1,Y10)+(1-'Lease Cycles'!$BE$8)*IF(Y11&lt;INDEX('Lease Cycles'!$FA$8:$FG$8,1,Y10),0,1-INDEX('Lease Cycles'!$EM$8:$ES$8,1,Y10)),IF(OR(INDEX('Lease Cycles'!$DY$8:$EE$8,1,Y10)=1,Y11&gt;0),1,1-INDEX('Lease Cycles'!$DD$8:$DJ$8,1,Y10))*((1-'Lease Cycles'!$AJ$8)*INDEX('Lease Cycles'!$FO$8:$FU$8,1,Y10)+(1-'Lease Cycles'!$BE$8)*(1-INDEX('Lease Cycles'!$FO$8:$FU$8,1,Y10)))),0)</f>
        <v>0.5360134003350083</v>
      </c>
      <c r="Z18" s="24">
        <f>IF(Z12=1,'Lease Cycles'!$D$8*IF(INDEX('Lease Cycles'!$EF$8:$EL$8,1,Z10)=1,(1-'Lease Cycles'!$AJ$8)*INDEX('Lease Cycles'!$EM$8:$ES$8,1,Z10)+(1-'Lease Cycles'!$BE$8)*IF(Z11&lt;INDEX('Lease Cycles'!$FA$8:$FG$8,1,Z10),0,1-INDEX('Lease Cycles'!$EM$8:$ES$8,1,Z10)),IF(OR(INDEX('Lease Cycles'!$DY$8:$EE$8,1,Z10)=1,Z11&gt;0),1,1-INDEX('Lease Cycles'!$DD$8:$DJ$8,1,Z10))*((1-'Lease Cycles'!$AJ$8)*INDEX('Lease Cycles'!$FO$8:$FU$8,1,Z10)+(1-'Lease Cycles'!$BE$8)*(1-INDEX('Lease Cycles'!$FO$8:$FU$8,1,Z10)))),0)</f>
        <v>0.5360134003350083</v>
      </c>
      <c r="AA18" s="24">
        <f>IF(AA12=1,'Lease Cycles'!$D$8*IF(INDEX('Lease Cycles'!$EF$8:$EL$8,1,AA10)=1,(1-'Lease Cycles'!$AJ$8)*INDEX('Lease Cycles'!$EM$8:$ES$8,1,AA10)+(1-'Lease Cycles'!$BE$8)*IF(AA11&lt;INDEX('Lease Cycles'!$FA$8:$FG$8,1,AA10),0,1-INDEX('Lease Cycles'!$EM$8:$ES$8,1,AA10)),IF(OR(INDEX('Lease Cycles'!$DY$8:$EE$8,1,AA10)=1,AA11&gt;0),1,1-INDEX('Lease Cycles'!$DD$8:$DJ$8,1,AA10))*((1-'Lease Cycles'!$AJ$8)*INDEX('Lease Cycles'!$FO$8:$FU$8,1,AA10)+(1-'Lease Cycles'!$BE$8)*(1-INDEX('Lease Cycles'!$FO$8:$FU$8,1,AA10)))),0)</f>
        <v>0.5360134003350083</v>
      </c>
      <c r="AB18" s="24">
        <f>IF(AB12=1,'Lease Cycles'!$D$8*IF(INDEX('Lease Cycles'!$EF$8:$EL$8,1,AB10)=1,(1-'Lease Cycles'!$AJ$8)*INDEX('Lease Cycles'!$EM$8:$ES$8,1,AB10)+(1-'Lease Cycles'!$BE$8)*IF(AB11&lt;INDEX('Lease Cycles'!$FA$8:$FG$8,1,AB10),0,1-INDEX('Lease Cycles'!$EM$8:$ES$8,1,AB10)),IF(OR(INDEX('Lease Cycles'!$DY$8:$EE$8,1,AB10)=1,AB11&gt;0),1,1-INDEX('Lease Cycles'!$DD$8:$DJ$8,1,AB10))*((1-'Lease Cycles'!$AJ$8)*INDEX('Lease Cycles'!$FO$8:$FU$8,1,AB10)+(1-'Lease Cycles'!$BE$8)*(1-INDEX('Lease Cycles'!$FO$8:$FU$8,1,AB10)))),0)</f>
        <v>0.5360134003350083</v>
      </c>
      <c r="AC18" s="24">
        <f>IF(AC12=1,'Lease Cycles'!$D$8*IF(INDEX('Lease Cycles'!$EF$8:$EL$8,1,AC10)=1,(1-'Lease Cycles'!$AJ$8)*INDEX('Lease Cycles'!$EM$8:$ES$8,1,AC10)+(1-'Lease Cycles'!$BE$8)*IF(AC11&lt;INDEX('Lease Cycles'!$FA$8:$FG$8,1,AC10),0,1-INDEX('Lease Cycles'!$EM$8:$ES$8,1,AC10)),IF(OR(INDEX('Lease Cycles'!$DY$8:$EE$8,1,AC10)=1,AC11&gt;0),1,1-INDEX('Lease Cycles'!$DD$8:$DJ$8,1,AC10))*((1-'Lease Cycles'!$AJ$8)*INDEX('Lease Cycles'!$FO$8:$FU$8,1,AC10)+(1-'Lease Cycles'!$BE$8)*(1-INDEX('Lease Cycles'!$FO$8:$FU$8,1,AC10)))),0)</f>
        <v>0.5360134003350083</v>
      </c>
      <c r="AD18" s="24">
        <f>IF(AD12=1,'Lease Cycles'!$D$8*IF(INDEX('Lease Cycles'!$EF$8:$EL$8,1,AD10)=1,(1-'Lease Cycles'!$AJ$8)*INDEX('Lease Cycles'!$EM$8:$ES$8,1,AD10)+(1-'Lease Cycles'!$BE$8)*IF(AD11&lt;INDEX('Lease Cycles'!$FA$8:$FG$8,1,AD10),0,1-INDEX('Lease Cycles'!$EM$8:$ES$8,1,AD10)),IF(OR(INDEX('Lease Cycles'!$DY$8:$EE$8,1,AD10)=1,AD11&gt;0),1,1-INDEX('Lease Cycles'!$DD$8:$DJ$8,1,AD10))*((1-'Lease Cycles'!$AJ$8)*INDEX('Lease Cycles'!$FO$8:$FU$8,1,AD10)+(1-'Lease Cycles'!$BE$8)*(1-INDEX('Lease Cycles'!$FO$8:$FU$8,1,AD10)))),0)</f>
        <v>0.5360134003350083</v>
      </c>
      <c r="AE18" s="24">
        <f>IF(AE12=1,'Lease Cycles'!$D$8*IF(INDEX('Lease Cycles'!$EF$8:$EL$8,1,AE10)=1,(1-'Lease Cycles'!$AJ$8)*INDEX('Lease Cycles'!$EM$8:$ES$8,1,AE10)+(1-'Lease Cycles'!$BE$8)*IF(AE11&lt;INDEX('Lease Cycles'!$FA$8:$FG$8,1,AE10),0,1-INDEX('Lease Cycles'!$EM$8:$ES$8,1,AE10)),IF(OR(INDEX('Lease Cycles'!$DY$8:$EE$8,1,AE10)=1,AE11&gt;0),1,1-INDEX('Lease Cycles'!$DD$8:$DJ$8,1,AE10))*((1-'Lease Cycles'!$AJ$8)*INDEX('Lease Cycles'!$FO$8:$FU$8,1,AE10)+(1-'Lease Cycles'!$BE$8)*(1-INDEX('Lease Cycles'!$FO$8:$FU$8,1,AE10)))),0)</f>
        <v>0.5360134003350083</v>
      </c>
      <c r="AF18" s="24">
        <f>IF(AF12=1,'Lease Cycles'!$D$8*IF(INDEX('Lease Cycles'!$EF$8:$EL$8,1,AF10)=1,(1-'Lease Cycles'!$AJ$8)*INDEX('Lease Cycles'!$EM$8:$ES$8,1,AF10)+(1-'Lease Cycles'!$BE$8)*IF(AF11&lt;INDEX('Lease Cycles'!$FA$8:$FG$8,1,AF10),0,1-INDEX('Lease Cycles'!$EM$8:$ES$8,1,AF10)),IF(OR(INDEX('Lease Cycles'!$DY$8:$EE$8,1,AF10)=1,AF11&gt;0),1,1-INDEX('Lease Cycles'!$DD$8:$DJ$8,1,AF10))*((1-'Lease Cycles'!$AJ$8)*INDEX('Lease Cycles'!$FO$8:$FU$8,1,AF10)+(1-'Lease Cycles'!$BE$8)*(1-INDEX('Lease Cycles'!$FO$8:$FU$8,1,AF10)))),0)</f>
        <v>0.5360134003350083</v>
      </c>
      <c r="AG18" s="24">
        <f>IF(AG12=1,'Lease Cycles'!$D$8*IF(INDEX('Lease Cycles'!$EF$8:$EL$8,1,AG10)=1,(1-'Lease Cycles'!$AJ$8)*INDEX('Lease Cycles'!$EM$8:$ES$8,1,AG10)+(1-'Lease Cycles'!$BE$8)*IF(AG11&lt;INDEX('Lease Cycles'!$FA$8:$FG$8,1,AG10),0,1-INDEX('Lease Cycles'!$EM$8:$ES$8,1,AG10)),IF(OR(INDEX('Lease Cycles'!$DY$8:$EE$8,1,AG10)=1,AG11&gt;0),1,1-INDEX('Lease Cycles'!$DD$8:$DJ$8,1,AG10))*((1-'Lease Cycles'!$AJ$8)*INDEX('Lease Cycles'!$FO$8:$FU$8,1,AG10)+(1-'Lease Cycles'!$BE$8)*(1-INDEX('Lease Cycles'!$FO$8:$FU$8,1,AG10)))),0)</f>
        <v>0.5360134003350083</v>
      </c>
      <c r="AH18" s="24">
        <f>IF(AH12=1,'Lease Cycles'!$D$8*IF(INDEX('Lease Cycles'!$EF$8:$EL$8,1,AH10)=1,(1-'Lease Cycles'!$AJ$8)*INDEX('Lease Cycles'!$EM$8:$ES$8,1,AH10)+(1-'Lease Cycles'!$BE$8)*IF(AH11&lt;INDEX('Lease Cycles'!$FA$8:$FG$8,1,AH10),0,1-INDEX('Lease Cycles'!$EM$8:$ES$8,1,AH10)),IF(OR(INDEX('Lease Cycles'!$DY$8:$EE$8,1,AH10)=1,AH11&gt;0),1,1-INDEX('Lease Cycles'!$DD$8:$DJ$8,1,AH10))*((1-'Lease Cycles'!$AJ$8)*INDEX('Lease Cycles'!$FO$8:$FU$8,1,AH10)+(1-'Lease Cycles'!$BE$8)*(1-INDEX('Lease Cycles'!$FO$8:$FU$8,1,AH10)))),0)</f>
        <v>0.5360134003350083</v>
      </c>
      <c r="AI18" s="24">
        <f>IF(AI12=1,'Lease Cycles'!$D$8*IF(INDEX('Lease Cycles'!$EF$8:$EL$8,1,AI10)=1,(1-'Lease Cycles'!$AJ$8)*INDEX('Lease Cycles'!$EM$8:$ES$8,1,AI10)+(1-'Lease Cycles'!$BE$8)*IF(AI11&lt;INDEX('Lease Cycles'!$FA$8:$FG$8,1,AI10),0,1-INDEX('Lease Cycles'!$EM$8:$ES$8,1,AI10)),IF(OR(INDEX('Lease Cycles'!$DY$8:$EE$8,1,AI10)=1,AI11&gt;0),1,1-INDEX('Lease Cycles'!$DD$8:$DJ$8,1,AI10))*((1-'Lease Cycles'!$AJ$8)*INDEX('Lease Cycles'!$FO$8:$FU$8,1,AI10)+(1-'Lease Cycles'!$BE$8)*(1-INDEX('Lease Cycles'!$FO$8:$FU$8,1,AI10)))),0)</f>
        <v>0.5360134003350083</v>
      </c>
      <c r="AJ18" s="24">
        <f>IF(AJ12=1,'Lease Cycles'!$D$8*IF(INDEX('Lease Cycles'!$EF$8:$EL$8,1,AJ10)=1,(1-'Lease Cycles'!$AJ$8)*INDEX('Lease Cycles'!$EM$8:$ES$8,1,AJ10)+(1-'Lease Cycles'!$BE$8)*IF(AJ11&lt;INDEX('Lease Cycles'!$FA$8:$FG$8,1,AJ10),0,1-INDEX('Lease Cycles'!$EM$8:$ES$8,1,AJ10)),IF(OR(INDEX('Lease Cycles'!$DY$8:$EE$8,1,AJ10)=1,AJ11&gt;0),1,1-INDEX('Lease Cycles'!$DD$8:$DJ$8,1,AJ10))*((1-'Lease Cycles'!$AJ$8)*INDEX('Lease Cycles'!$FO$8:$FU$8,1,AJ10)+(1-'Lease Cycles'!$BE$8)*(1-INDEX('Lease Cycles'!$FO$8:$FU$8,1,AJ10)))),0)</f>
        <v>0.5360134003350083</v>
      </c>
      <c r="AK18" s="24">
        <f>IF(AK12=1,'Lease Cycles'!$D$8*IF(INDEX('Lease Cycles'!$EF$8:$EL$8,1,AK10)=1,(1-'Lease Cycles'!$AJ$8)*INDEX('Lease Cycles'!$EM$8:$ES$8,1,AK10)+(1-'Lease Cycles'!$BE$8)*IF(AK11&lt;INDEX('Lease Cycles'!$FA$8:$FG$8,1,AK10),0,1-INDEX('Lease Cycles'!$EM$8:$ES$8,1,AK10)),IF(OR(INDEX('Lease Cycles'!$DY$8:$EE$8,1,AK10)=1,AK11&gt;0),1,1-INDEX('Lease Cycles'!$DD$8:$DJ$8,1,AK10))*((1-'Lease Cycles'!$AJ$8)*INDEX('Lease Cycles'!$FO$8:$FU$8,1,AK10)+(1-'Lease Cycles'!$BE$8)*(1-INDEX('Lease Cycles'!$FO$8:$FU$8,1,AK10)))),0)</f>
        <v>0.5360134003350083</v>
      </c>
      <c r="AL18" s="24">
        <f>IF(AL12=1,'Lease Cycles'!$D$8*IF(INDEX('Lease Cycles'!$EF$8:$EL$8,1,AL10)=1,(1-'Lease Cycles'!$AJ$8)*INDEX('Lease Cycles'!$EM$8:$ES$8,1,AL10)+(1-'Lease Cycles'!$BE$8)*IF(AL11&lt;INDEX('Lease Cycles'!$FA$8:$FG$8,1,AL10),0,1-INDEX('Lease Cycles'!$EM$8:$ES$8,1,AL10)),IF(OR(INDEX('Lease Cycles'!$DY$8:$EE$8,1,AL10)=1,AL11&gt;0),1,1-INDEX('Lease Cycles'!$DD$8:$DJ$8,1,AL10))*((1-'Lease Cycles'!$AJ$8)*INDEX('Lease Cycles'!$FO$8:$FU$8,1,AL10)+(1-'Lease Cycles'!$BE$8)*(1-INDEX('Lease Cycles'!$FO$8:$FU$8,1,AL10)))),0)</f>
        <v>0.5360134003350083</v>
      </c>
      <c r="AM18" s="24">
        <f>IF(AM12=1,'Lease Cycles'!$D$8*IF(INDEX('Lease Cycles'!$EF$8:$EL$8,1,AM10)=1,(1-'Lease Cycles'!$AJ$8)*INDEX('Lease Cycles'!$EM$8:$ES$8,1,AM10)+(1-'Lease Cycles'!$BE$8)*IF(AM11&lt;INDEX('Lease Cycles'!$FA$8:$FG$8,1,AM10),0,1-INDEX('Lease Cycles'!$EM$8:$ES$8,1,AM10)),IF(OR(INDEX('Lease Cycles'!$DY$8:$EE$8,1,AM10)=1,AM11&gt;0),1,1-INDEX('Lease Cycles'!$DD$8:$DJ$8,1,AM10))*((1-'Lease Cycles'!$AJ$8)*INDEX('Lease Cycles'!$FO$8:$FU$8,1,AM10)+(1-'Lease Cycles'!$BE$8)*(1-INDEX('Lease Cycles'!$FO$8:$FU$8,1,AM10)))),0)</f>
        <v>0.5360134003350083</v>
      </c>
      <c r="AN18" s="24">
        <f>IF(AN12=1,'Lease Cycles'!$D$8*IF(INDEX('Lease Cycles'!$EF$8:$EL$8,1,AN10)=1,(1-'Lease Cycles'!$AJ$8)*INDEX('Lease Cycles'!$EM$8:$ES$8,1,AN10)+(1-'Lease Cycles'!$BE$8)*IF(AN11&lt;INDEX('Lease Cycles'!$FA$8:$FG$8,1,AN10),0,1-INDEX('Lease Cycles'!$EM$8:$ES$8,1,AN10)),IF(OR(INDEX('Lease Cycles'!$DY$8:$EE$8,1,AN10)=1,AN11&gt;0),1,1-INDEX('Lease Cycles'!$DD$8:$DJ$8,1,AN10))*((1-'Lease Cycles'!$AJ$8)*INDEX('Lease Cycles'!$FO$8:$FU$8,1,AN10)+(1-'Lease Cycles'!$BE$8)*(1-INDEX('Lease Cycles'!$FO$8:$FU$8,1,AN10)))),0)</f>
        <v>0.5360134003350083</v>
      </c>
      <c r="AO18" s="24">
        <f>IF(AO12=1,'Lease Cycles'!$D$8*IF(INDEX('Lease Cycles'!$EF$8:$EL$8,1,AO10)=1,(1-'Lease Cycles'!$AJ$8)*INDEX('Lease Cycles'!$EM$8:$ES$8,1,AO10)+(1-'Lease Cycles'!$BE$8)*IF(AO11&lt;INDEX('Lease Cycles'!$FA$8:$FG$8,1,AO10),0,1-INDEX('Lease Cycles'!$EM$8:$ES$8,1,AO10)),IF(OR(INDEX('Lease Cycles'!$DY$8:$EE$8,1,AO10)=1,AO11&gt;0),1,1-INDEX('Lease Cycles'!$DD$8:$DJ$8,1,AO10))*((1-'Lease Cycles'!$AJ$8)*INDEX('Lease Cycles'!$FO$8:$FU$8,1,AO10)+(1-'Lease Cycles'!$BE$8)*(1-INDEX('Lease Cycles'!$FO$8:$FU$8,1,AO10)))),0)</f>
        <v>0.5360134003350083</v>
      </c>
      <c r="AP18" s="24">
        <f>IF(AP12=1,'Lease Cycles'!$D$8*IF(INDEX('Lease Cycles'!$EF$8:$EL$8,1,AP10)=1,(1-'Lease Cycles'!$AJ$8)*INDEX('Lease Cycles'!$EM$8:$ES$8,1,AP10)+(1-'Lease Cycles'!$BE$8)*IF(AP11&lt;INDEX('Lease Cycles'!$FA$8:$FG$8,1,AP10),0,1-INDEX('Lease Cycles'!$EM$8:$ES$8,1,AP10)),IF(OR(INDEX('Lease Cycles'!$DY$8:$EE$8,1,AP10)=1,AP11&gt;0),1,1-INDEX('Lease Cycles'!$DD$8:$DJ$8,1,AP10))*((1-'Lease Cycles'!$AJ$8)*INDEX('Lease Cycles'!$FO$8:$FU$8,1,AP10)+(1-'Lease Cycles'!$BE$8)*(1-INDEX('Lease Cycles'!$FO$8:$FU$8,1,AP10)))),0)</f>
        <v>0.5360134003350083</v>
      </c>
      <c r="AQ18" s="24">
        <f>IF(AQ12=1,'Lease Cycles'!$D$8*IF(INDEX('Lease Cycles'!$EF$8:$EL$8,1,AQ10)=1,(1-'Lease Cycles'!$AJ$8)*INDEX('Lease Cycles'!$EM$8:$ES$8,1,AQ10)+(1-'Lease Cycles'!$BE$8)*IF(AQ11&lt;INDEX('Lease Cycles'!$FA$8:$FG$8,1,AQ10),0,1-INDEX('Lease Cycles'!$EM$8:$ES$8,1,AQ10)),IF(OR(INDEX('Lease Cycles'!$DY$8:$EE$8,1,AQ10)=1,AQ11&gt;0),1,1-INDEX('Lease Cycles'!$DD$8:$DJ$8,1,AQ10))*((1-'Lease Cycles'!$AJ$8)*INDEX('Lease Cycles'!$FO$8:$FU$8,1,AQ10)+(1-'Lease Cycles'!$BE$8)*(1-INDEX('Lease Cycles'!$FO$8:$FU$8,1,AQ10)))),0)</f>
        <v>0.5360134003350083</v>
      </c>
      <c r="AR18" s="24">
        <f>IF(AR12=1,'Lease Cycles'!$D$8*IF(INDEX('Lease Cycles'!$EF$8:$EL$8,1,AR10)=1,(1-'Lease Cycles'!$AJ$8)*INDEX('Lease Cycles'!$EM$8:$ES$8,1,AR10)+(1-'Lease Cycles'!$BE$8)*IF(AR11&lt;INDEX('Lease Cycles'!$FA$8:$FG$8,1,AR10),0,1-INDEX('Lease Cycles'!$EM$8:$ES$8,1,AR10)),IF(OR(INDEX('Lease Cycles'!$DY$8:$EE$8,1,AR10)=1,AR11&gt;0),1,1-INDEX('Lease Cycles'!$DD$8:$DJ$8,1,AR10))*((1-'Lease Cycles'!$AJ$8)*INDEX('Lease Cycles'!$FO$8:$FU$8,1,AR10)+(1-'Lease Cycles'!$BE$8)*(1-INDEX('Lease Cycles'!$FO$8:$FU$8,1,AR10)))),0)</f>
        <v>0.5360134003350083</v>
      </c>
      <c r="AS18" s="24">
        <f>IF(AS12=1,'Lease Cycles'!$D$8*IF(INDEX('Lease Cycles'!$EF$8:$EL$8,1,AS10)=1,(1-'Lease Cycles'!$AJ$8)*INDEX('Lease Cycles'!$EM$8:$ES$8,1,AS10)+(1-'Lease Cycles'!$BE$8)*IF(AS11&lt;INDEX('Lease Cycles'!$FA$8:$FG$8,1,AS10),0,1-INDEX('Lease Cycles'!$EM$8:$ES$8,1,AS10)),IF(OR(INDEX('Lease Cycles'!$DY$8:$EE$8,1,AS10)=1,AS11&gt;0),1,1-INDEX('Lease Cycles'!$DD$8:$DJ$8,1,AS10))*((1-'Lease Cycles'!$AJ$8)*INDEX('Lease Cycles'!$FO$8:$FU$8,1,AS10)+(1-'Lease Cycles'!$BE$8)*(1-INDEX('Lease Cycles'!$FO$8:$FU$8,1,AS10)))),0)</f>
        <v>0.5360134003350083</v>
      </c>
      <c r="AT18" s="24">
        <f>IF(AT12=1,'Lease Cycles'!$D$8*IF(INDEX('Lease Cycles'!$EF$8:$EL$8,1,AT10)=1,(1-'Lease Cycles'!$AJ$8)*INDEX('Lease Cycles'!$EM$8:$ES$8,1,AT10)+(1-'Lease Cycles'!$BE$8)*IF(AT11&lt;INDEX('Lease Cycles'!$FA$8:$FG$8,1,AT10),0,1-INDEX('Lease Cycles'!$EM$8:$ES$8,1,AT10)),IF(OR(INDEX('Lease Cycles'!$DY$8:$EE$8,1,AT10)=1,AT11&gt;0),1,1-INDEX('Lease Cycles'!$DD$8:$DJ$8,1,AT10))*((1-'Lease Cycles'!$AJ$8)*INDEX('Lease Cycles'!$FO$8:$FU$8,1,AT10)+(1-'Lease Cycles'!$BE$8)*(1-INDEX('Lease Cycles'!$FO$8:$FU$8,1,AT10)))),0)</f>
        <v>0.5360134003350083</v>
      </c>
      <c r="AU18" s="24">
        <f>IF(AU12=1,'Lease Cycles'!$D$8*IF(INDEX('Lease Cycles'!$EF$8:$EL$8,1,AU10)=1,(1-'Lease Cycles'!$AJ$8)*INDEX('Lease Cycles'!$EM$8:$ES$8,1,AU10)+(1-'Lease Cycles'!$BE$8)*IF(AU11&lt;INDEX('Lease Cycles'!$FA$8:$FG$8,1,AU10),0,1-INDEX('Lease Cycles'!$EM$8:$ES$8,1,AU10)),IF(OR(INDEX('Lease Cycles'!$DY$8:$EE$8,1,AU10)=1,AU11&gt;0),1,1-INDEX('Lease Cycles'!$DD$8:$DJ$8,1,AU10))*((1-'Lease Cycles'!$AJ$8)*INDEX('Lease Cycles'!$FO$8:$FU$8,1,AU10)+(1-'Lease Cycles'!$BE$8)*(1-INDEX('Lease Cycles'!$FO$8:$FU$8,1,AU10)))),0)</f>
        <v>0.5360134003350083</v>
      </c>
      <c r="AV18" s="24">
        <f>IF(AV12=1,'Lease Cycles'!$D$8*IF(INDEX('Lease Cycles'!$EF$8:$EL$8,1,AV10)=1,(1-'Lease Cycles'!$AJ$8)*INDEX('Lease Cycles'!$EM$8:$ES$8,1,AV10)+(1-'Lease Cycles'!$BE$8)*IF(AV11&lt;INDEX('Lease Cycles'!$FA$8:$FG$8,1,AV10),0,1-INDEX('Lease Cycles'!$EM$8:$ES$8,1,AV10)),IF(OR(INDEX('Lease Cycles'!$DY$8:$EE$8,1,AV10)=1,AV11&gt;0),1,1-INDEX('Lease Cycles'!$DD$8:$DJ$8,1,AV10))*((1-'Lease Cycles'!$AJ$8)*INDEX('Lease Cycles'!$FO$8:$FU$8,1,AV10)+(1-'Lease Cycles'!$BE$8)*(1-INDEX('Lease Cycles'!$FO$8:$FU$8,1,AV10)))),0)</f>
        <v>0.5360134003350083</v>
      </c>
      <c r="AW18" s="24">
        <f>IF(AW12=1,'Lease Cycles'!$D$8*IF(INDEX('Lease Cycles'!$EF$8:$EL$8,1,AW10)=1,(1-'Lease Cycles'!$AJ$8)*INDEX('Lease Cycles'!$EM$8:$ES$8,1,AW10)+(1-'Lease Cycles'!$BE$8)*IF(AW11&lt;INDEX('Lease Cycles'!$FA$8:$FG$8,1,AW10),0,1-INDEX('Lease Cycles'!$EM$8:$ES$8,1,AW10)),IF(OR(INDEX('Lease Cycles'!$DY$8:$EE$8,1,AW10)=1,AW11&gt;0),1,1-INDEX('Lease Cycles'!$DD$8:$DJ$8,1,AW10))*((1-'Lease Cycles'!$AJ$8)*INDEX('Lease Cycles'!$FO$8:$FU$8,1,AW10)+(1-'Lease Cycles'!$BE$8)*(1-INDEX('Lease Cycles'!$FO$8:$FU$8,1,AW10)))),0)</f>
        <v>0.5360134003350083</v>
      </c>
      <c r="AX18" s="24">
        <f>IF(AX12=1,'Lease Cycles'!$D$8*IF(INDEX('Lease Cycles'!$EF$8:$EL$8,1,AX10)=1,(1-'Lease Cycles'!$AJ$8)*INDEX('Lease Cycles'!$EM$8:$ES$8,1,AX10)+(1-'Lease Cycles'!$BE$8)*IF(AX11&lt;INDEX('Lease Cycles'!$FA$8:$FG$8,1,AX10),0,1-INDEX('Lease Cycles'!$EM$8:$ES$8,1,AX10)),IF(OR(INDEX('Lease Cycles'!$DY$8:$EE$8,1,AX10)=1,AX11&gt;0),1,1-INDEX('Lease Cycles'!$DD$8:$DJ$8,1,AX10))*((1-'Lease Cycles'!$AJ$8)*INDEX('Lease Cycles'!$FO$8:$FU$8,1,AX10)+(1-'Lease Cycles'!$BE$8)*(1-INDEX('Lease Cycles'!$FO$8:$FU$8,1,AX10)))),0)</f>
        <v>0.5360134003350083</v>
      </c>
      <c r="AY18" s="24">
        <f>IF(AY12=1,'Lease Cycles'!$D$8*IF(INDEX('Lease Cycles'!$EF$8:$EL$8,1,AY10)=1,(1-'Lease Cycles'!$AJ$8)*INDEX('Lease Cycles'!$EM$8:$ES$8,1,AY10)+(1-'Lease Cycles'!$BE$8)*IF(AY11&lt;INDEX('Lease Cycles'!$FA$8:$FG$8,1,AY10),0,1-INDEX('Lease Cycles'!$EM$8:$ES$8,1,AY10)),IF(OR(INDEX('Lease Cycles'!$DY$8:$EE$8,1,AY10)=1,AY11&gt;0),1,1-INDEX('Lease Cycles'!$DD$8:$DJ$8,1,AY10))*((1-'Lease Cycles'!$AJ$8)*INDEX('Lease Cycles'!$FO$8:$FU$8,1,AY10)+(1-'Lease Cycles'!$BE$8)*(1-INDEX('Lease Cycles'!$FO$8:$FU$8,1,AY10)))),0)</f>
        <v>0.5360134003350083</v>
      </c>
      <c r="AZ18" s="24">
        <f>IF(AZ12=1,'Lease Cycles'!$D$8*IF(INDEX('Lease Cycles'!$EF$8:$EL$8,1,AZ10)=1,(1-'Lease Cycles'!$AJ$8)*INDEX('Lease Cycles'!$EM$8:$ES$8,1,AZ10)+(1-'Lease Cycles'!$BE$8)*IF(AZ11&lt;INDEX('Lease Cycles'!$FA$8:$FG$8,1,AZ10),0,1-INDEX('Lease Cycles'!$EM$8:$ES$8,1,AZ10)),IF(OR(INDEX('Lease Cycles'!$DY$8:$EE$8,1,AZ10)=1,AZ11&gt;0),1,1-INDEX('Lease Cycles'!$DD$8:$DJ$8,1,AZ10))*((1-'Lease Cycles'!$AJ$8)*INDEX('Lease Cycles'!$FO$8:$FU$8,1,AZ10)+(1-'Lease Cycles'!$BE$8)*(1-INDEX('Lease Cycles'!$FO$8:$FU$8,1,AZ10)))),0)</f>
        <v>0.5360134003350083</v>
      </c>
      <c r="BA18" s="24">
        <f>IF(BA12=1,'Lease Cycles'!$D$8*IF(INDEX('Lease Cycles'!$EF$8:$EL$8,1,BA10)=1,(1-'Lease Cycles'!$AJ$8)*INDEX('Lease Cycles'!$EM$8:$ES$8,1,BA10)+(1-'Lease Cycles'!$BE$8)*IF(BA11&lt;INDEX('Lease Cycles'!$FA$8:$FG$8,1,BA10),0,1-INDEX('Lease Cycles'!$EM$8:$ES$8,1,BA10)),IF(OR(INDEX('Lease Cycles'!$DY$8:$EE$8,1,BA10)=1,BA11&gt;0),1,1-INDEX('Lease Cycles'!$DD$8:$DJ$8,1,BA10))*((1-'Lease Cycles'!$AJ$8)*INDEX('Lease Cycles'!$FO$8:$FU$8,1,BA10)+(1-'Lease Cycles'!$BE$8)*(1-INDEX('Lease Cycles'!$FO$8:$FU$8,1,BA10)))),0)</f>
        <v>0.5360134003350083</v>
      </c>
      <c r="BB18" s="24">
        <f>IF(BB12=1,'Lease Cycles'!$D$8*IF(INDEX('Lease Cycles'!$EF$8:$EL$8,1,BB10)=1,(1-'Lease Cycles'!$AJ$8)*INDEX('Lease Cycles'!$EM$8:$ES$8,1,BB10)+(1-'Lease Cycles'!$BE$8)*IF(BB11&lt;INDEX('Lease Cycles'!$FA$8:$FG$8,1,BB10),0,1-INDEX('Lease Cycles'!$EM$8:$ES$8,1,BB10)),IF(OR(INDEX('Lease Cycles'!$DY$8:$EE$8,1,BB10)=1,BB11&gt;0),1,1-INDEX('Lease Cycles'!$DD$8:$DJ$8,1,BB10))*((1-'Lease Cycles'!$AJ$8)*INDEX('Lease Cycles'!$FO$8:$FU$8,1,BB10)+(1-'Lease Cycles'!$BE$8)*(1-INDEX('Lease Cycles'!$FO$8:$FU$8,1,BB10)))),0)</f>
        <v>0.5360134003350083</v>
      </c>
      <c r="BC18" s="24">
        <f>IF(BC12=1,'Lease Cycles'!$D$8*IF(INDEX('Lease Cycles'!$EF$8:$EL$8,1,BC10)=1,(1-'Lease Cycles'!$AJ$8)*INDEX('Lease Cycles'!$EM$8:$ES$8,1,BC10)+(1-'Lease Cycles'!$BE$8)*IF(BC11&lt;INDEX('Lease Cycles'!$FA$8:$FG$8,1,BC10),0,1-INDEX('Lease Cycles'!$EM$8:$ES$8,1,BC10)),IF(OR(INDEX('Lease Cycles'!$DY$8:$EE$8,1,BC10)=1,BC11&gt;0),1,1-INDEX('Lease Cycles'!$DD$8:$DJ$8,1,BC10))*((1-'Lease Cycles'!$AJ$8)*INDEX('Lease Cycles'!$FO$8:$FU$8,1,BC10)+(1-'Lease Cycles'!$BE$8)*(1-INDEX('Lease Cycles'!$FO$8:$FU$8,1,BC10)))),0)</f>
        <v>0.5360134003350083</v>
      </c>
      <c r="BD18" s="24">
        <f>IF(BD12=1,'Lease Cycles'!$D$8*IF(INDEX('Lease Cycles'!$EF$8:$EL$8,1,BD10)=1,(1-'Lease Cycles'!$AJ$8)*INDEX('Lease Cycles'!$EM$8:$ES$8,1,BD10)+(1-'Lease Cycles'!$BE$8)*IF(BD11&lt;INDEX('Lease Cycles'!$FA$8:$FG$8,1,BD10),0,1-INDEX('Lease Cycles'!$EM$8:$ES$8,1,BD10)),IF(OR(INDEX('Lease Cycles'!$DY$8:$EE$8,1,BD10)=1,BD11&gt;0),1,1-INDEX('Lease Cycles'!$DD$8:$DJ$8,1,BD10))*((1-'Lease Cycles'!$AJ$8)*INDEX('Lease Cycles'!$FO$8:$FU$8,1,BD10)+(1-'Lease Cycles'!$BE$8)*(1-INDEX('Lease Cycles'!$FO$8:$FU$8,1,BD10)))),0)</f>
        <v>0.5360134003350083</v>
      </c>
      <c r="BE18" s="24">
        <f>IF(BE12=1,'Lease Cycles'!$D$8*IF(INDEX('Lease Cycles'!$EF$8:$EL$8,1,BE10)=1,(1-'Lease Cycles'!$AJ$8)*INDEX('Lease Cycles'!$EM$8:$ES$8,1,BE10)+(1-'Lease Cycles'!$BE$8)*IF(BE11&lt;INDEX('Lease Cycles'!$FA$8:$FG$8,1,BE10),0,1-INDEX('Lease Cycles'!$EM$8:$ES$8,1,BE10)),IF(OR(INDEX('Lease Cycles'!$DY$8:$EE$8,1,BE10)=1,BE11&gt;0),1,1-INDEX('Lease Cycles'!$DD$8:$DJ$8,1,BE10))*((1-'Lease Cycles'!$AJ$8)*INDEX('Lease Cycles'!$FO$8:$FU$8,1,BE10)+(1-'Lease Cycles'!$BE$8)*(1-INDEX('Lease Cycles'!$FO$8:$FU$8,1,BE10)))),0)</f>
        <v>0.5360134003350083</v>
      </c>
      <c r="BF18" s="24">
        <f>IF(BF12=1,'Lease Cycles'!$D$8*IF(INDEX('Lease Cycles'!$EF$8:$EL$8,1,BF10)=1,(1-'Lease Cycles'!$AJ$8)*INDEX('Lease Cycles'!$EM$8:$ES$8,1,BF10)+(1-'Lease Cycles'!$BE$8)*IF(BF11&lt;INDEX('Lease Cycles'!$FA$8:$FG$8,1,BF10),0,1-INDEX('Lease Cycles'!$EM$8:$ES$8,1,BF10)),IF(OR(INDEX('Lease Cycles'!$DY$8:$EE$8,1,BF10)=1,BF11&gt;0),1,1-INDEX('Lease Cycles'!$DD$8:$DJ$8,1,BF10))*((1-'Lease Cycles'!$AJ$8)*INDEX('Lease Cycles'!$FO$8:$FU$8,1,BF10)+(1-'Lease Cycles'!$BE$8)*(1-INDEX('Lease Cycles'!$FO$8:$FU$8,1,BF10)))),0)</f>
        <v>0.5360134003350083</v>
      </c>
      <c r="BG18" s="24">
        <f>IF(BG12=1,'Lease Cycles'!$D$8*IF(INDEX('Lease Cycles'!$EF$8:$EL$8,1,BG10)=1,(1-'Lease Cycles'!$AJ$8)*INDEX('Lease Cycles'!$EM$8:$ES$8,1,BG10)+(1-'Lease Cycles'!$BE$8)*IF(BG11&lt;INDEX('Lease Cycles'!$FA$8:$FG$8,1,BG10),0,1-INDEX('Lease Cycles'!$EM$8:$ES$8,1,BG10)),IF(OR(INDEX('Lease Cycles'!$DY$8:$EE$8,1,BG10)=1,BG11&gt;0),1,1-INDEX('Lease Cycles'!$DD$8:$DJ$8,1,BG10))*((1-'Lease Cycles'!$AJ$8)*INDEX('Lease Cycles'!$FO$8:$FU$8,1,BG10)+(1-'Lease Cycles'!$BE$8)*(1-INDEX('Lease Cycles'!$FO$8:$FU$8,1,BG10)))),0)</f>
        <v>0.5360134003350083</v>
      </c>
      <c r="BH18" s="24">
        <f>IF(BH12=1,'Lease Cycles'!$D$8*IF(INDEX('Lease Cycles'!$EF$8:$EL$8,1,BH10)=1,(1-'Lease Cycles'!$AJ$8)*INDEX('Lease Cycles'!$EM$8:$ES$8,1,BH10)+(1-'Lease Cycles'!$BE$8)*IF(BH11&lt;INDEX('Lease Cycles'!$FA$8:$FG$8,1,BH10),0,1-INDEX('Lease Cycles'!$EM$8:$ES$8,1,BH10)),IF(OR(INDEX('Lease Cycles'!$DY$8:$EE$8,1,BH10)=1,BH11&gt;0),1,1-INDEX('Lease Cycles'!$DD$8:$DJ$8,1,BH10))*((1-'Lease Cycles'!$AJ$8)*INDEX('Lease Cycles'!$FO$8:$FU$8,1,BH10)+(1-'Lease Cycles'!$BE$8)*(1-INDEX('Lease Cycles'!$FO$8:$FU$8,1,BH10)))),0)</f>
        <v>0.5360134003350083</v>
      </c>
      <c r="BI18" s="24">
        <f>IF(BI12=1,'Lease Cycles'!$D$8*IF(INDEX('Lease Cycles'!$EF$8:$EL$8,1,BI10)=1,(1-'Lease Cycles'!$AJ$8)*INDEX('Lease Cycles'!$EM$8:$ES$8,1,BI10)+(1-'Lease Cycles'!$BE$8)*IF(BI11&lt;INDEX('Lease Cycles'!$FA$8:$FG$8,1,BI10),0,1-INDEX('Lease Cycles'!$EM$8:$ES$8,1,BI10)),IF(OR(INDEX('Lease Cycles'!$DY$8:$EE$8,1,BI10)=1,BI11&gt;0),1,1-INDEX('Lease Cycles'!$DD$8:$DJ$8,1,BI10))*((1-'Lease Cycles'!$AJ$8)*INDEX('Lease Cycles'!$FO$8:$FU$8,1,BI10)+(1-'Lease Cycles'!$BE$8)*(1-INDEX('Lease Cycles'!$FO$8:$FU$8,1,BI10)))),0)</f>
        <v>0.5360134003350083</v>
      </c>
      <c r="BJ18" s="24">
        <f>IF(BJ12=1,'Lease Cycles'!$D$8*IF(INDEX('Lease Cycles'!$EF$8:$EL$8,1,BJ10)=1,(1-'Lease Cycles'!$AJ$8)*INDEX('Lease Cycles'!$EM$8:$ES$8,1,BJ10)+(1-'Lease Cycles'!$BE$8)*IF(BJ11&lt;INDEX('Lease Cycles'!$FA$8:$FG$8,1,BJ10),0,1-INDEX('Lease Cycles'!$EM$8:$ES$8,1,BJ10)),IF(OR(INDEX('Lease Cycles'!$DY$8:$EE$8,1,BJ10)=1,BJ11&gt;0),1,1-INDEX('Lease Cycles'!$DD$8:$DJ$8,1,BJ10))*((1-'Lease Cycles'!$AJ$8)*INDEX('Lease Cycles'!$FO$8:$FU$8,1,BJ10)+(1-'Lease Cycles'!$BE$8)*(1-INDEX('Lease Cycles'!$FO$8:$FU$8,1,BJ10)))),0)</f>
        <v>0.5360134003350083</v>
      </c>
      <c r="BK18" s="24">
        <f>IF(BK12=1,'Lease Cycles'!$D$8*IF(INDEX('Lease Cycles'!$EF$8:$EL$8,1,BK10)=1,(1-'Lease Cycles'!$AJ$8)*INDEX('Lease Cycles'!$EM$8:$ES$8,1,BK10)+(1-'Lease Cycles'!$BE$8)*IF(BK11&lt;INDEX('Lease Cycles'!$FA$8:$FG$8,1,BK10),0,1-INDEX('Lease Cycles'!$EM$8:$ES$8,1,BK10)),IF(OR(INDEX('Lease Cycles'!$DY$8:$EE$8,1,BK10)=1,BK11&gt;0),1,1-INDEX('Lease Cycles'!$DD$8:$DJ$8,1,BK10))*((1-'Lease Cycles'!$AJ$8)*INDEX('Lease Cycles'!$FO$8:$FU$8,1,BK10)+(1-'Lease Cycles'!$BE$8)*(1-INDEX('Lease Cycles'!$FO$8:$FU$8,1,BK10)))),0)</f>
        <v>0.5360134003350083</v>
      </c>
      <c r="BL18" s="24">
        <f>IF(BL12=1,'Lease Cycles'!$D$8*IF(INDEX('Lease Cycles'!$EF$8:$EL$8,1,BL10)=1,(1-'Lease Cycles'!$AJ$8)*INDEX('Lease Cycles'!$EM$8:$ES$8,1,BL10)+(1-'Lease Cycles'!$BE$8)*IF(BL11&lt;INDEX('Lease Cycles'!$FA$8:$FG$8,1,BL10),0,1-INDEX('Lease Cycles'!$EM$8:$ES$8,1,BL10)),IF(OR(INDEX('Lease Cycles'!$DY$8:$EE$8,1,BL10)=1,BL11&gt;0),1,1-INDEX('Lease Cycles'!$DD$8:$DJ$8,1,BL10))*((1-'Lease Cycles'!$AJ$8)*INDEX('Lease Cycles'!$FO$8:$FU$8,1,BL10)+(1-'Lease Cycles'!$BE$8)*(1-INDEX('Lease Cycles'!$FO$8:$FU$8,1,BL10)))),0)</f>
        <v>0.5360134003350083</v>
      </c>
      <c r="BM18" s="24">
        <f>IF(BM12=1,'Lease Cycles'!$D$8*IF(INDEX('Lease Cycles'!$EF$8:$EL$8,1,BM10)=1,(1-'Lease Cycles'!$AJ$8)*INDEX('Lease Cycles'!$EM$8:$ES$8,1,BM10)+(1-'Lease Cycles'!$BE$8)*IF(BM11&lt;INDEX('Lease Cycles'!$FA$8:$FG$8,1,BM10),0,1-INDEX('Lease Cycles'!$EM$8:$ES$8,1,BM10)),IF(OR(INDEX('Lease Cycles'!$DY$8:$EE$8,1,BM10)=1,BM11&gt;0),1,1-INDEX('Lease Cycles'!$DD$8:$DJ$8,1,BM10))*((1-'Lease Cycles'!$AJ$8)*INDEX('Lease Cycles'!$FO$8:$FU$8,1,BM10)+(1-'Lease Cycles'!$BE$8)*(1-INDEX('Lease Cycles'!$FO$8:$FU$8,1,BM10)))),0)</f>
        <v>0.5360134003350083</v>
      </c>
      <c r="BN18" s="24">
        <f>IF(BN12=1,'Lease Cycles'!$D$8*IF(INDEX('Lease Cycles'!$EF$8:$EL$8,1,BN10)=1,(1-'Lease Cycles'!$AJ$8)*INDEX('Lease Cycles'!$EM$8:$ES$8,1,BN10)+(1-'Lease Cycles'!$BE$8)*IF(BN11&lt;INDEX('Lease Cycles'!$FA$8:$FG$8,1,BN10),0,1-INDEX('Lease Cycles'!$EM$8:$ES$8,1,BN10)),IF(OR(INDEX('Lease Cycles'!$DY$8:$EE$8,1,BN10)=1,BN11&gt;0),1,1-INDEX('Lease Cycles'!$DD$8:$DJ$8,1,BN10))*((1-'Lease Cycles'!$AJ$8)*INDEX('Lease Cycles'!$FO$8:$FU$8,1,BN10)+(1-'Lease Cycles'!$BE$8)*(1-INDEX('Lease Cycles'!$FO$8:$FU$8,1,BN10)))),0)</f>
        <v>0.5360134003350083</v>
      </c>
      <c r="BO18" s="24">
        <f>IF(BO12=1,'Lease Cycles'!$D$8*IF(INDEX('Lease Cycles'!$EF$8:$EL$8,1,BO10)=1,(1-'Lease Cycles'!$AJ$8)*INDEX('Lease Cycles'!$EM$8:$ES$8,1,BO10)+(1-'Lease Cycles'!$BE$8)*IF(BO11&lt;INDEX('Lease Cycles'!$FA$8:$FG$8,1,BO10),0,1-INDEX('Lease Cycles'!$EM$8:$ES$8,1,BO10)),IF(OR(INDEX('Lease Cycles'!$DY$8:$EE$8,1,BO10)=1,BO11&gt;0),1,1-INDEX('Lease Cycles'!$DD$8:$DJ$8,1,BO10))*((1-'Lease Cycles'!$AJ$8)*INDEX('Lease Cycles'!$FO$8:$FU$8,1,BO10)+(1-'Lease Cycles'!$BE$8)*(1-INDEX('Lease Cycles'!$FO$8:$FU$8,1,BO10)))),0)</f>
        <v>0.5360134003350083</v>
      </c>
      <c r="BP18" s="24">
        <f>IF(BP12=1,'Lease Cycles'!$D$8*IF(INDEX('Lease Cycles'!$EF$8:$EL$8,1,BP10)=1,(1-'Lease Cycles'!$AJ$8)*INDEX('Lease Cycles'!$EM$8:$ES$8,1,BP10)+(1-'Lease Cycles'!$BE$8)*IF(BP11&lt;INDEX('Lease Cycles'!$FA$8:$FG$8,1,BP10),0,1-INDEX('Lease Cycles'!$EM$8:$ES$8,1,BP10)),IF(OR(INDEX('Lease Cycles'!$DY$8:$EE$8,1,BP10)=1,BP11&gt;0),1,1-INDEX('Lease Cycles'!$DD$8:$DJ$8,1,BP10))*((1-'Lease Cycles'!$AJ$8)*INDEX('Lease Cycles'!$FO$8:$FU$8,1,BP10)+(1-'Lease Cycles'!$BE$8)*(1-INDEX('Lease Cycles'!$FO$8:$FU$8,1,BP10)))),0)</f>
        <v>0.5360134003350083</v>
      </c>
      <c r="BQ18" s="24">
        <f>IF(BQ12=1,'Lease Cycles'!$D$8*IF(INDEX('Lease Cycles'!$EF$8:$EL$8,1,BQ10)=1,(1-'Lease Cycles'!$AJ$8)*INDEX('Lease Cycles'!$EM$8:$ES$8,1,BQ10)+(1-'Lease Cycles'!$BE$8)*IF(BQ11&lt;INDEX('Lease Cycles'!$FA$8:$FG$8,1,BQ10),0,1-INDEX('Lease Cycles'!$EM$8:$ES$8,1,BQ10)),IF(OR(INDEX('Lease Cycles'!$DY$8:$EE$8,1,BQ10)=1,BQ11&gt;0),1,1-INDEX('Lease Cycles'!$DD$8:$DJ$8,1,BQ10))*((1-'Lease Cycles'!$AJ$8)*INDEX('Lease Cycles'!$FO$8:$FU$8,1,BQ10)+(1-'Lease Cycles'!$BE$8)*(1-INDEX('Lease Cycles'!$FO$8:$FU$8,1,BQ10)))),0)</f>
        <v>0.5360134003350083</v>
      </c>
      <c r="BR18" s="24">
        <f>IF(BR12=1,'Lease Cycles'!$D$8*IF(INDEX('Lease Cycles'!$EF$8:$EL$8,1,BR10)=1,(1-'Lease Cycles'!$AJ$8)*INDEX('Lease Cycles'!$EM$8:$ES$8,1,BR10)+(1-'Lease Cycles'!$BE$8)*IF(BR11&lt;INDEX('Lease Cycles'!$FA$8:$FG$8,1,BR10),0,1-INDEX('Lease Cycles'!$EM$8:$ES$8,1,BR10)),IF(OR(INDEX('Lease Cycles'!$DY$8:$EE$8,1,BR10)=1,BR11&gt;0),1,1-INDEX('Lease Cycles'!$DD$8:$DJ$8,1,BR10))*((1-'Lease Cycles'!$AJ$8)*INDEX('Lease Cycles'!$FO$8:$FU$8,1,BR10)+(1-'Lease Cycles'!$BE$8)*(1-INDEX('Lease Cycles'!$FO$8:$FU$8,1,BR10)))),0)</f>
        <v>0.5360134003350083</v>
      </c>
      <c r="BS18" s="24">
        <f>IF(BS12=1,'Lease Cycles'!$D$8*IF(INDEX('Lease Cycles'!$EF$8:$EL$8,1,BS10)=1,(1-'Lease Cycles'!$AJ$8)*INDEX('Lease Cycles'!$EM$8:$ES$8,1,BS10)+(1-'Lease Cycles'!$BE$8)*IF(BS11&lt;INDEX('Lease Cycles'!$FA$8:$FG$8,1,BS10),0,1-INDEX('Lease Cycles'!$EM$8:$ES$8,1,BS10)),IF(OR(INDEX('Lease Cycles'!$DY$8:$EE$8,1,BS10)=1,BS11&gt;0),1,1-INDEX('Lease Cycles'!$DD$8:$DJ$8,1,BS10))*((1-'Lease Cycles'!$AJ$8)*INDEX('Lease Cycles'!$FO$8:$FU$8,1,BS10)+(1-'Lease Cycles'!$BE$8)*(1-INDEX('Lease Cycles'!$FO$8:$FU$8,1,BS10)))),0)</f>
        <v>0.5360134003350083</v>
      </c>
      <c r="BT18" s="24">
        <f>IF(BT12=1,'Lease Cycles'!$D$8*IF(INDEX('Lease Cycles'!$EF$8:$EL$8,1,BT10)=1,(1-'Lease Cycles'!$AJ$8)*INDEX('Lease Cycles'!$EM$8:$ES$8,1,BT10)+(1-'Lease Cycles'!$BE$8)*IF(BT11&lt;INDEX('Lease Cycles'!$FA$8:$FG$8,1,BT10),0,1-INDEX('Lease Cycles'!$EM$8:$ES$8,1,BT10)),IF(OR(INDEX('Lease Cycles'!$DY$8:$EE$8,1,BT10)=1,BT11&gt;0),1,1-INDEX('Lease Cycles'!$DD$8:$DJ$8,1,BT10))*((1-'Lease Cycles'!$AJ$8)*INDEX('Lease Cycles'!$FO$8:$FU$8,1,BT10)+(1-'Lease Cycles'!$BE$8)*(1-INDEX('Lease Cycles'!$FO$8:$FU$8,1,BT10)))),0)</f>
        <v>0.5360134003350083</v>
      </c>
      <c r="BU18" s="24">
        <f>IF(BU12=1,'Lease Cycles'!$D$8*IF(INDEX('Lease Cycles'!$EF$8:$EL$8,1,BU10)=1,(1-'Lease Cycles'!$AJ$8)*INDEX('Lease Cycles'!$EM$8:$ES$8,1,BU10)+(1-'Lease Cycles'!$BE$8)*IF(BU11&lt;INDEX('Lease Cycles'!$FA$8:$FG$8,1,BU10),0,1-INDEX('Lease Cycles'!$EM$8:$ES$8,1,BU10)),IF(OR(INDEX('Lease Cycles'!$DY$8:$EE$8,1,BU10)=1,BU11&gt;0),1,1-INDEX('Lease Cycles'!$DD$8:$DJ$8,1,BU10))*((1-'Lease Cycles'!$AJ$8)*INDEX('Lease Cycles'!$FO$8:$FU$8,1,BU10)+(1-'Lease Cycles'!$BE$8)*(1-INDEX('Lease Cycles'!$FO$8:$FU$8,1,BU10)))),0)</f>
        <v>0.5360134003350083</v>
      </c>
      <c r="BV18" s="24">
        <f>IF(BV12=1,'Lease Cycles'!$D$8*IF(INDEX('Lease Cycles'!$EF$8:$EL$8,1,BV10)=1,(1-'Lease Cycles'!$AJ$8)*INDEX('Lease Cycles'!$EM$8:$ES$8,1,BV10)+(1-'Lease Cycles'!$BE$8)*IF(BV11&lt;INDEX('Lease Cycles'!$FA$8:$FG$8,1,BV10),0,1-INDEX('Lease Cycles'!$EM$8:$ES$8,1,BV10)),IF(OR(INDEX('Lease Cycles'!$DY$8:$EE$8,1,BV10)=1,BV11&gt;0),1,1-INDEX('Lease Cycles'!$DD$8:$DJ$8,1,BV10))*((1-'Lease Cycles'!$AJ$8)*INDEX('Lease Cycles'!$FO$8:$FU$8,1,BV10)+(1-'Lease Cycles'!$BE$8)*(1-INDEX('Lease Cycles'!$FO$8:$FU$8,1,BV10)))),0)</f>
        <v>0.5360134003350083</v>
      </c>
      <c r="BW18" s="24">
        <f>IF(BW12=1,'Lease Cycles'!$D$8*IF(INDEX('Lease Cycles'!$EF$8:$EL$8,1,BW10)=1,(1-'Lease Cycles'!$AJ$8)*INDEX('Lease Cycles'!$EM$8:$ES$8,1,BW10)+(1-'Lease Cycles'!$BE$8)*IF(BW11&lt;INDEX('Lease Cycles'!$FA$8:$FG$8,1,BW10),0,1-INDEX('Lease Cycles'!$EM$8:$ES$8,1,BW10)),IF(OR(INDEX('Lease Cycles'!$DY$8:$EE$8,1,BW10)=1,BW11&gt;0),1,1-INDEX('Lease Cycles'!$DD$8:$DJ$8,1,BW10))*((1-'Lease Cycles'!$AJ$8)*INDEX('Lease Cycles'!$FO$8:$FU$8,1,BW10)+(1-'Lease Cycles'!$BE$8)*(1-INDEX('Lease Cycles'!$FO$8:$FU$8,1,BW10)))),0)</f>
        <v>0.5360134003350083</v>
      </c>
      <c r="BX18" s="24">
        <f>IF(BX12=1,'Lease Cycles'!$D$8*IF(INDEX('Lease Cycles'!$EF$8:$EL$8,1,BX10)=1,(1-'Lease Cycles'!$AJ$8)*INDEX('Lease Cycles'!$EM$8:$ES$8,1,BX10)+(1-'Lease Cycles'!$BE$8)*IF(BX11&lt;INDEX('Lease Cycles'!$FA$8:$FG$8,1,BX10),0,1-INDEX('Lease Cycles'!$EM$8:$ES$8,1,BX10)),IF(OR(INDEX('Lease Cycles'!$DY$8:$EE$8,1,BX10)=1,BX11&gt;0),1,1-INDEX('Lease Cycles'!$DD$8:$DJ$8,1,BX10))*((1-'Lease Cycles'!$AJ$8)*INDEX('Lease Cycles'!$FO$8:$FU$8,1,BX10)+(1-'Lease Cycles'!$BE$8)*(1-INDEX('Lease Cycles'!$FO$8:$FU$8,1,BX10)))),0)</f>
        <v>0.5360134003350083</v>
      </c>
      <c r="BY18" s="24">
        <f>IF(BY12=1,'Lease Cycles'!$D$8*IF(INDEX('Lease Cycles'!$EF$8:$EL$8,1,BY10)=1,(1-'Lease Cycles'!$AJ$8)*INDEX('Lease Cycles'!$EM$8:$ES$8,1,BY10)+(1-'Lease Cycles'!$BE$8)*IF(BY11&lt;INDEX('Lease Cycles'!$FA$8:$FG$8,1,BY10),0,1-INDEX('Lease Cycles'!$EM$8:$ES$8,1,BY10)),IF(OR(INDEX('Lease Cycles'!$DY$8:$EE$8,1,BY10)=1,BY11&gt;0),1,1-INDEX('Lease Cycles'!$DD$8:$DJ$8,1,BY10))*((1-'Lease Cycles'!$AJ$8)*INDEX('Lease Cycles'!$FO$8:$FU$8,1,BY10)+(1-'Lease Cycles'!$BE$8)*(1-INDEX('Lease Cycles'!$FO$8:$FU$8,1,BY10)))),0)</f>
        <v>0.5360134003350083</v>
      </c>
      <c r="BZ18" s="24">
        <f>IF(BZ12=1,'Lease Cycles'!$D$8*IF(INDEX('Lease Cycles'!$EF$8:$EL$8,1,BZ10)=1,(1-'Lease Cycles'!$AJ$8)*INDEX('Lease Cycles'!$EM$8:$ES$8,1,BZ10)+(1-'Lease Cycles'!$BE$8)*IF(BZ11&lt;INDEX('Lease Cycles'!$FA$8:$FG$8,1,BZ10),0,1-INDEX('Lease Cycles'!$EM$8:$ES$8,1,BZ10)),IF(OR(INDEX('Lease Cycles'!$DY$8:$EE$8,1,BZ10)=1,BZ11&gt;0),1,1-INDEX('Lease Cycles'!$DD$8:$DJ$8,1,BZ10))*((1-'Lease Cycles'!$AJ$8)*INDEX('Lease Cycles'!$FO$8:$FU$8,1,BZ10)+(1-'Lease Cycles'!$BE$8)*(1-INDEX('Lease Cycles'!$FO$8:$FU$8,1,BZ10)))),0)</f>
        <v>0.5360134003350083</v>
      </c>
      <c r="CA18" s="24">
        <f>IF(CA12=1,'Lease Cycles'!$D$8*IF(INDEX('Lease Cycles'!$EF$8:$EL$8,1,CA10)=1,(1-'Lease Cycles'!$AJ$8)*INDEX('Lease Cycles'!$EM$8:$ES$8,1,CA10)+(1-'Lease Cycles'!$BE$8)*IF(CA11&lt;INDEX('Lease Cycles'!$FA$8:$FG$8,1,CA10),0,1-INDEX('Lease Cycles'!$EM$8:$ES$8,1,CA10)),IF(OR(INDEX('Lease Cycles'!$DY$8:$EE$8,1,CA10)=1,CA11&gt;0),1,1-INDEX('Lease Cycles'!$DD$8:$DJ$8,1,CA10))*((1-'Lease Cycles'!$AJ$8)*INDEX('Lease Cycles'!$FO$8:$FU$8,1,CA10)+(1-'Lease Cycles'!$BE$8)*(1-INDEX('Lease Cycles'!$FO$8:$FU$8,1,CA10)))),0)</f>
        <v>0.5360134003350083</v>
      </c>
      <c r="CB18" s="24">
        <f>IF(CB12=1,'Lease Cycles'!$D$8*IF(INDEX('Lease Cycles'!$EF$8:$EL$8,1,CB10)=1,(1-'Lease Cycles'!$AJ$8)*INDEX('Lease Cycles'!$EM$8:$ES$8,1,CB10)+(1-'Lease Cycles'!$BE$8)*IF(CB11&lt;INDEX('Lease Cycles'!$FA$8:$FG$8,1,CB10),0,1-INDEX('Lease Cycles'!$EM$8:$ES$8,1,CB10)),IF(OR(INDEX('Lease Cycles'!$DY$8:$EE$8,1,CB10)=1,CB11&gt;0),1,1-INDEX('Lease Cycles'!$DD$8:$DJ$8,1,CB10))*((1-'Lease Cycles'!$AJ$8)*INDEX('Lease Cycles'!$FO$8:$FU$8,1,CB10)+(1-'Lease Cycles'!$BE$8)*(1-INDEX('Lease Cycles'!$FO$8:$FU$8,1,CB10)))),0)</f>
        <v>0.5360134003350083</v>
      </c>
      <c r="CC18" s="24">
        <f>IF(CC12=1,'Lease Cycles'!$D$8*IF(INDEX('Lease Cycles'!$EF$8:$EL$8,1,CC10)=1,(1-'Lease Cycles'!$AJ$8)*INDEX('Lease Cycles'!$EM$8:$ES$8,1,CC10)+(1-'Lease Cycles'!$BE$8)*IF(CC11&lt;INDEX('Lease Cycles'!$FA$8:$FG$8,1,CC10),0,1-INDEX('Lease Cycles'!$EM$8:$ES$8,1,CC10)),IF(OR(INDEX('Lease Cycles'!$DY$8:$EE$8,1,CC10)=1,CC11&gt;0),1,1-INDEX('Lease Cycles'!$DD$8:$DJ$8,1,CC10))*((1-'Lease Cycles'!$AJ$8)*INDEX('Lease Cycles'!$FO$8:$FU$8,1,CC10)+(1-'Lease Cycles'!$BE$8)*(1-INDEX('Lease Cycles'!$FO$8:$FU$8,1,CC10)))),0)</f>
        <v>0.5360134003350083</v>
      </c>
      <c r="CD18" s="24">
        <f>IF(CD12=1,'Lease Cycles'!$D$8*IF(INDEX('Lease Cycles'!$EF$8:$EL$8,1,CD10)=1,(1-'Lease Cycles'!$AJ$8)*INDEX('Lease Cycles'!$EM$8:$ES$8,1,CD10)+(1-'Lease Cycles'!$BE$8)*IF(CD11&lt;INDEX('Lease Cycles'!$FA$8:$FG$8,1,CD10),0,1-INDEX('Lease Cycles'!$EM$8:$ES$8,1,CD10)),IF(OR(INDEX('Lease Cycles'!$DY$8:$EE$8,1,CD10)=1,CD11&gt;0),1,1-INDEX('Lease Cycles'!$DD$8:$DJ$8,1,CD10))*((1-'Lease Cycles'!$AJ$8)*INDEX('Lease Cycles'!$FO$8:$FU$8,1,CD10)+(1-'Lease Cycles'!$BE$8)*(1-INDEX('Lease Cycles'!$FO$8:$FU$8,1,CD10)))),0)</f>
        <v>0.5360134003350083</v>
      </c>
      <c r="CE18" s="24">
        <f>IF(CE12=1,'Lease Cycles'!$D$8*IF(INDEX('Lease Cycles'!$EF$8:$EL$8,1,CE10)=1,(1-'Lease Cycles'!$AJ$8)*INDEX('Lease Cycles'!$EM$8:$ES$8,1,CE10)+(1-'Lease Cycles'!$BE$8)*IF(CE11&lt;INDEX('Lease Cycles'!$FA$8:$FG$8,1,CE10),0,1-INDEX('Lease Cycles'!$EM$8:$ES$8,1,CE10)),IF(OR(INDEX('Lease Cycles'!$DY$8:$EE$8,1,CE10)=1,CE11&gt;0),1,1-INDEX('Lease Cycles'!$DD$8:$DJ$8,1,CE10))*((1-'Lease Cycles'!$AJ$8)*INDEX('Lease Cycles'!$FO$8:$FU$8,1,CE10)+(1-'Lease Cycles'!$BE$8)*(1-INDEX('Lease Cycles'!$FO$8:$FU$8,1,CE10)))),0)</f>
        <v>0.5360134003350083</v>
      </c>
      <c r="CF18" s="24">
        <f>IF(CF12=1,'Lease Cycles'!$D$8*IF(INDEX('Lease Cycles'!$EF$8:$EL$8,1,CF10)=1,(1-'Lease Cycles'!$AJ$8)*INDEX('Lease Cycles'!$EM$8:$ES$8,1,CF10)+(1-'Lease Cycles'!$BE$8)*IF(CF11&lt;INDEX('Lease Cycles'!$FA$8:$FG$8,1,CF10),0,1-INDEX('Lease Cycles'!$EM$8:$ES$8,1,CF10)),IF(OR(INDEX('Lease Cycles'!$DY$8:$EE$8,1,CF10)=1,CF11&gt;0),1,1-INDEX('Lease Cycles'!$DD$8:$DJ$8,1,CF10))*((1-'Lease Cycles'!$AJ$8)*INDEX('Lease Cycles'!$FO$8:$FU$8,1,CF10)+(1-'Lease Cycles'!$BE$8)*(1-INDEX('Lease Cycles'!$FO$8:$FU$8,1,CF10)))),0)</f>
        <v>0.5360134003350083</v>
      </c>
      <c r="CG18" s="24">
        <f>IF(CG12=1,'Lease Cycles'!$D$8*IF(INDEX('Lease Cycles'!$EF$8:$EL$8,1,CG10)=1,(1-'Lease Cycles'!$AJ$8)*INDEX('Lease Cycles'!$EM$8:$ES$8,1,CG10)+(1-'Lease Cycles'!$BE$8)*IF(CG11&lt;INDEX('Lease Cycles'!$FA$8:$FG$8,1,CG10),0,1-INDEX('Lease Cycles'!$EM$8:$ES$8,1,CG10)),IF(OR(INDEX('Lease Cycles'!$DY$8:$EE$8,1,CG10)=1,CG11&gt;0),1,1-INDEX('Lease Cycles'!$DD$8:$DJ$8,1,CG10))*((1-'Lease Cycles'!$AJ$8)*INDEX('Lease Cycles'!$FO$8:$FU$8,1,CG10)+(1-'Lease Cycles'!$BE$8)*(1-INDEX('Lease Cycles'!$FO$8:$FU$8,1,CG10)))),0)</f>
        <v>0.5360134003350083</v>
      </c>
      <c r="CH18" s="24">
        <f>IF(CH12=1,'Lease Cycles'!$D$8*IF(INDEX('Lease Cycles'!$EF$8:$EL$8,1,CH10)=1,(1-'Lease Cycles'!$AJ$8)*INDEX('Lease Cycles'!$EM$8:$ES$8,1,CH10)+(1-'Lease Cycles'!$BE$8)*IF(CH11&lt;INDEX('Lease Cycles'!$FA$8:$FG$8,1,CH10),0,1-INDEX('Lease Cycles'!$EM$8:$ES$8,1,CH10)),IF(OR(INDEX('Lease Cycles'!$DY$8:$EE$8,1,CH10)=1,CH11&gt;0),1,1-INDEX('Lease Cycles'!$DD$8:$DJ$8,1,CH10))*((1-'Lease Cycles'!$AJ$8)*INDEX('Lease Cycles'!$FO$8:$FU$8,1,CH10)+(1-'Lease Cycles'!$BE$8)*(1-INDEX('Lease Cycles'!$FO$8:$FU$8,1,CH10)))),0)</f>
        <v>0.5360134003350083</v>
      </c>
      <c r="CI18" s="24">
        <f>IF(CI12=1,'Lease Cycles'!$D$8*IF(INDEX('Lease Cycles'!$EF$8:$EL$8,1,CI10)=1,(1-'Lease Cycles'!$AJ$8)*INDEX('Lease Cycles'!$EM$8:$ES$8,1,CI10)+(1-'Lease Cycles'!$BE$8)*IF(CI11&lt;INDEX('Lease Cycles'!$FA$8:$FG$8,1,CI10),0,1-INDEX('Lease Cycles'!$EM$8:$ES$8,1,CI10)),IF(OR(INDEX('Lease Cycles'!$DY$8:$EE$8,1,CI10)=1,CI11&gt;0),1,1-INDEX('Lease Cycles'!$DD$8:$DJ$8,1,CI10))*((1-'Lease Cycles'!$AJ$8)*INDEX('Lease Cycles'!$FO$8:$FU$8,1,CI10)+(1-'Lease Cycles'!$BE$8)*(1-INDEX('Lease Cycles'!$FO$8:$FU$8,1,CI10)))),0)</f>
        <v>0.5360134003350083</v>
      </c>
      <c r="CJ18" s="24">
        <f>IF(CJ12=1,'Lease Cycles'!$D$8*IF(INDEX('Lease Cycles'!$EF$8:$EL$8,1,CJ10)=1,(1-'Lease Cycles'!$AJ$8)*INDEX('Lease Cycles'!$EM$8:$ES$8,1,CJ10)+(1-'Lease Cycles'!$BE$8)*IF(CJ11&lt;INDEX('Lease Cycles'!$FA$8:$FG$8,1,CJ10),0,1-INDEX('Lease Cycles'!$EM$8:$ES$8,1,CJ10)),IF(OR(INDEX('Lease Cycles'!$DY$8:$EE$8,1,CJ10)=1,CJ11&gt;0),1,1-INDEX('Lease Cycles'!$DD$8:$DJ$8,1,CJ10))*((1-'Lease Cycles'!$AJ$8)*INDEX('Lease Cycles'!$FO$8:$FU$8,1,CJ10)+(1-'Lease Cycles'!$BE$8)*(1-INDEX('Lease Cycles'!$FO$8:$FU$8,1,CJ10)))),0)</f>
        <v>0.5360134003350083</v>
      </c>
      <c r="CK18" s="24">
        <f>IF(CK12=1,'Lease Cycles'!$D$8*IF(INDEX('Lease Cycles'!$EF$8:$EL$8,1,CK10)=1,(1-'Lease Cycles'!$AJ$8)*INDEX('Lease Cycles'!$EM$8:$ES$8,1,CK10)+(1-'Lease Cycles'!$BE$8)*IF(CK11&lt;INDEX('Lease Cycles'!$FA$8:$FG$8,1,CK10),0,1-INDEX('Lease Cycles'!$EM$8:$ES$8,1,CK10)),IF(OR(INDEX('Lease Cycles'!$DY$8:$EE$8,1,CK10)=1,CK11&gt;0),1,1-INDEX('Lease Cycles'!$DD$8:$DJ$8,1,CK10))*((1-'Lease Cycles'!$AJ$8)*INDEX('Lease Cycles'!$FO$8:$FU$8,1,CK10)+(1-'Lease Cycles'!$BE$8)*(1-INDEX('Lease Cycles'!$FO$8:$FU$8,1,CK10)))),0)</f>
        <v>0.5360134003350083</v>
      </c>
      <c r="CL18" s="24">
        <f>IF(CL12=1,'Lease Cycles'!$D$8*IF(INDEX('Lease Cycles'!$EF$8:$EL$8,1,CL10)=1,(1-'Lease Cycles'!$AJ$8)*INDEX('Lease Cycles'!$EM$8:$ES$8,1,CL10)+(1-'Lease Cycles'!$BE$8)*IF(CL11&lt;INDEX('Lease Cycles'!$FA$8:$FG$8,1,CL10),0,1-INDEX('Lease Cycles'!$EM$8:$ES$8,1,CL10)),IF(OR(INDEX('Lease Cycles'!$DY$8:$EE$8,1,CL10)=1,CL11&gt;0),1,1-INDEX('Lease Cycles'!$DD$8:$DJ$8,1,CL10))*((1-'Lease Cycles'!$AJ$8)*INDEX('Lease Cycles'!$FO$8:$FU$8,1,CL10)+(1-'Lease Cycles'!$BE$8)*(1-INDEX('Lease Cycles'!$FO$8:$FU$8,1,CL10)))),0)</f>
        <v>0.5360134003350083</v>
      </c>
      <c r="CM18" s="24">
        <f>IF(CM12=1,'Lease Cycles'!$D$8*IF(INDEX('Lease Cycles'!$EF$8:$EL$8,1,CM10)=1,(1-'Lease Cycles'!$AJ$8)*INDEX('Lease Cycles'!$EM$8:$ES$8,1,CM10)+(1-'Lease Cycles'!$BE$8)*IF(CM11&lt;INDEX('Lease Cycles'!$FA$8:$FG$8,1,CM10),0,1-INDEX('Lease Cycles'!$EM$8:$ES$8,1,CM10)),IF(OR(INDEX('Lease Cycles'!$DY$8:$EE$8,1,CM10)=1,CM11&gt;0),1,1-INDEX('Lease Cycles'!$DD$8:$DJ$8,1,CM10))*((1-'Lease Cycles'!$AJ$8)*INDEX('Lease Cycles'!$FO$8:$FU$8,1,CM10)+(1-'Lease Cycles'!$BE$8)*(1-INDEX('Lease Cycles'!$FO$8:$FU$8,1,CM10)))),0)</f>
        <v>0.5360134003350083</v>
      </c>
      <c r="CN18" s="24">
        <f>IF(CN12=1,'Lease Cycles'!$D$8*IF(INDEX('Lease Cycles'!$EF$8:$EL$8,1,CN10)=1,(1-'Lease Cycles'!$AJ$8)*INDEX('Lease Cycles'!$EM$8:$ES$8,1,CN10)+(1-'Lease Cycles'!$BE$8)*IF(CN11&lt;INDEX('Lease Cycles'!$FA$8:$FG$8,1,CN10),0,1-INDEX('Lease Cycles'!$EM$8:$ES$8,1,CN10)),IF(OR(INDEX('Lease Cycles'!$DY$8:$EE$8,1,CN10)=1,CN11&gt;0),1,1-INDEX('Lease Cycles'!$DD$8:$DJ$8,1,CN10))*((1-'Lease Cycles'!$AJ$8)*INDEX('Lease Cycles'!$FO$8:$FU$8,1,CN10)+(1-'Lease Cycles'!$BE$8)*(1-INDEX('Lease Cycles'!$FO$8:$FU$8,1,CN10)))),0)</f>
        <v>0.5360134003350083</v>
      </c>
      <c r="CO18" s="24">
        <f>IF(CO12=1,'Lease Cycles'!$D$8*IF(INDEX('Lease Cycles'!$EF$8:$EL$8,1,CO10)=1,(1-'Lease Cycles'!$AJ$8)*INDEX('Lease Cycles'!$EM$8:$ES$8,1,CO10)+(1-'Lease Cycles'!$BE$8)*IF(CO11&lt;INDEX('Lease Cycles'!$FA$8:$FG$8,1,CO10),0,1-INDEX('Lease Cycles'!$EM$8:$ES$8,1,CO10)),IF(OR(INDEX('Lease Cycles'!$DY$8:$EE$8,1,CO10)=1,CO11&gt;0),1,1-INDEX('Lease Cycles'!$DD$8:$DJ$8,1,CO10))*((1-'Lease Cycles'!$AJ$8)*INDEX('Lease Cycles'!$FO$8:$FU$8,1,CO10)+(1-'Lease Cycles'!$BE$8)*(1-INDEX('Lease Cycles'!$FO$8:$FU$8,1,CO10)))),0)</f>
        <v>0.5360134003350083</v>
      </c>
      <c r="CP18" s="24">
        <f>IF(CP12=1,'Lease Cycles'!$D$8*IF(INDEX('Lease Cycles'!$EF$8:$EL$8,1,CP10)=1,(1-'Lease Cycles'!$AJ$8)*INDEX('Lease Cycles'!$EM$8:$ES$8,1,CP10)+(1-'Lease Cycles'!$BE$8)*IF(CP11&lt;INDEX('Lease Cycles'!$FA$8:$FG$8,1,CP10),0,1-INDEX('Lease Cycles'!$EM$8:$ES$8,1,CP10)),IF(OR(INDEX('Lease Cycles'!$DY$8:$EE$8,1,CP10)=1,CP11&gt;0),1,1-INDEX('Lease Cycles'!$DD$8:$DJ$8,1,CP10))*((1-'Lease Cycles'!$AJ$8)*INDEX('Lease Cycles'!$FO$8:$FU$8,1,CP10)+(1-'Lease Cycles'!$BE$8)*(1-INDEX('Lease Cycles'!$FO$8:$FU$8,1,CP10)))),0)</f>
        <v>0.5360134003350083</v>
      </c>
      <c r="CQ18" s="24">
        <f>IF(CQ12=1,'Lease Cycles'!$D$8*IF(INDEX('Lease Cycles'!$EF$8:$EL$8,1,CQ10)=1,(1-'Lease Cycles'!$AJ$8)*INDEX('Lease Cycles'!$EM$8:$ES$8,1,CQ10)+(1-'Lease Cycles'!$BE$8)*IF(CQ11&lt;INDEX('Lease Cycles'!$FA$8:$FG$8,1,CQ10),0,1-INDEX('Lease Cycles'!$EM$8:$ES$8,1,CQ10)),IF(OR(INDEX('Lease Cycles'!$DY$8:$EE$8,1,CQ10)=1,CQ11&gt;0),1,1-INDEX('Lease Cycles'!$DD$8:$DJ$8,1,CQ10))*((1-'Lease Cycles'!$AJ$8)*INDEX('Lease Cycles'!$FO$8:$FU$8,1,CQ10)+(1-'Lease Cycles'!$BE$8)*(1-INDEX('Lease Cycles'!$FO$8:$FU$8,1,CQ10)))),0)</f>
        <v>0.5360134003350083</v>
      </c>
      <c r="CR18" s="24">
        <f>IF(CR12=1,'Lease Cycles'!$D$8*IF(INDEX('Lease Cycles'!$EF$8:$EL$8,1,CR10)=1,(1-'Lease Cycles'!$AJ$8)*INDEX('Lease Cycles'!$EM$8:$ES$8,1,CR10)+(1-'Lease Cycles'!$BE$8)*IF(CR11&lt;INDEX('Lease Cycles'!$FA$8:$FG$8,1,CR10),0,1-INDEX('Lease Cycles'!$EM$8:$ES$8,1,CR10)),IF(OR(INDEX('Lease Cycles'!$DY$8:$EE$8,1,CR10)=1,CR11&gt;0),1,1-INDEX('Lease Cycles'!$DD$8:$DJ$8,1,CR10))*((1-'Lease Cycles'!$AJ$8)*INDEX('Lease Cycles'!$FO$8:$FU$8,1,CR10)+(1-'Lease Cycles'!$BE$8)*(1-INDEX('Lease Cycles'!$FO$8:$FU$8,1,CR10)))),0)</f>
        <v>0.5360134003350083</v>
      </c>
      <c r="CS18" s="24">
        <f>IF(CS12=1,'Lease Cycles'!$D$8*IF(INDEX('Lease Cycles'!$EF$8:$EL$8,1,CS10)=1,(1-'Lease Cycles'!$AJ$8)*INDEX('Lease Cycles'!$EM$8:$ES$8,1,CS10)+(1-'Lease Cycles'!$BE$8)*IF(CS11&lt;INDEX('Lease Cycles'!$FA$8:$FG$8,1,CS10),0,1-INDEX('Lease Cycles'!$EM$8:$ES$8,1,CS10)),IF(OR(INDEX('Lease Cycles'!$DY$8:$EE$8,1,CS10)=1,CS11&gt;0),1,1-INDEX('Lease Cycles'!$DD$8:$DJ$8,1,CS10))*((1-'Lease Cycles'!$AJ$8)*INDEX('Lease Cycles'!$FO$8:$FU$8,1,CS10)+(1-'Lease Cycles'!$BE$8)*(1-INDEX('Lease Cycles'!$FO$8:$FU$8,1,CS10)))),0)</f>
        <v>0.5360134003350083</v>
      </c>
      <c r="CT18" s="24">
        <f>IF(CT12=1,'Lease Cycles'!$D$8*IF(INDEX('Lease Cycles'!$EF$8:$EL$8,1,CT10)=1,(1-'Lease Cycles'!$AJ$8)*INDEX('Lease Cycles'!$EM$8:$ES$8,1,CT10)+(1-'Lease Cycles'!$BE$8)*IF(CT11&lt;INDEX('Lease Cycles'!$FA$8:$FG$8,1,CT10),0,1-INDEX('Lease Cycles'!$EM$8:$ES$8,1,CT10)),IF(OR(INDEX('Lease Cycles'!$DY$8:$EE$8,1,CT10)=1,CT11&gt;0),1,1-INDEX('Lease Cycles'!$DD$8:$DJ$8,1,CT10))*((1-'Lease Cycles'!$AJ$8)*INDEX('Lease Cycles'!$FO$8:$FU$8,1,CT10)+(1-'Lease Cycles'!$BE$8)*(1-INDEX('Lease Cycles'!$FO$8:$FU$8,1,CT10)))),0)</f>
        <v>0.5360134003350083</v>
      </c>
      <c r="CU18" s="24">
        <f>IF(CU12=1,'Lease Cycles'!$D$8*IF(INDEX('Lease Cycles'!$EF$8:$EL$8,1,CU10)=1,(1-'Lease Cycles'!$AJ$8)*INDEX('Lease Cycles'!$EM$8:$ES$8,1,CU10)+(1-'Lease Cycles'!$BE$8)*IF(CU11&lt;INDEX('Lease Cycles'!$FA$8:$FG$8,1,CU10),0,1-INDEX('Lease Cycles'!$EM$8:$ES$8,1,CU10)),IF(OR(INDEX('Lease Cycles'!$DY$8:$EE$8,1,CU10)=1,CU11&gt;0),1,1-INDEX('Lease Cycles'!$DD$8:$DJ$8,1,CU10))*((1-'Lease Cycles'!$AJ$8)*INDEX('Lease Cycles'!$FO$8:$FU$8,1,CU10)+(1-'Lease Cycles'!$BE$8)*(1-INDEX('Lease Cycles'!$FO$8:$FU$8,1,CU10)))),0)</f>
        <v>0.5360134003350083</v>
      </c>
      <c r="CV18" s="24">
        <f>IF(CV12=1,'Lease Cycles'!$D$8*IF(INDEX('Lease Cycles'!$EF$8:$EL$8,1,CV10)=1,(1-'Lease Cycles'!$AJ$8)*INDEX('Lease Cycles'!$EM$8:$ES$8,1,CV10)+(1-'Lease Cycles'!$BE$8)*IF(CV11&lt;INDEX('Lease Cycles'!$FA$8:$FG$8,1,CV10),0,1-INDEX('Lease Cycles'!$EM$8:$ES$8,1,CV10)),IF(OR(INDEX('Lease Cycles'!$DY$8:$EE$8,1,CV10)=1,CV11&gt;0),1,1-INDEX('Lease Cycles'!$DD$8:$DJ$8,1,CV10))*((1-'Lease Cycles'!$AJ$8)*INDEX('Lease Cycles'!$FO$8:$FU$8,1,CV10)+(1-'Lease Cycles'!$BE$8)*(1-INDEX('Lease Cycles'!$FO$8:$FU$8,1,CV10)))),0)</f>
        <v>0.5360134003350083</v>
      </c>
      <c r="CW18" s="24">
        <f>IF(CW12=1,'Lease Cycles'!$D$8*IF(INDEX('Lease Cycles'!$EF$8:$EL$8,1,CW10)=1,(1-'Lease Cycles'!$AJ$8)*INDEX('Lease Cycles'!$EM$8:$ES$8,1,CW10)+(1-'Lease Cycles'!$BE$8)*IF(CW11&lt;INDEX('Lease Cycles'!$FA$8:$FG$8,1,CW10),0,1-INDEX('Lease Cycles'!$EM$8:$ES$8,1,CW10)),IF(OR(INDEX('Lease Cycles'!$DY$8:$EE$8,1,CW10)=1,CW11&gt;0),1,1-INDEX('Lease Cycles'!$DD$8:$DJ$8,1,CW10))*((1-'Lease Cycles'!$AJ$8)*INDEX('Lease Cycles'!$FO$8:$FU$8,1,CW10)+(1-'Lease Cycles'!$BE$8)*(1-INDEX('Lease Cycles'!$FO$8:$FU$8,1,CW10)))),0)</f>
        <v>0.5360134003350083</v>
      </c>
      <c r="CX18" s="24">
        <f>IF(CX12=1,'Lease Cycles'!$D$8*IF(INDEX('Lease Cycles'!$EF$8:$EL$8,1,CX10)=1,(1-'Lease Cycles'!$AJ$8)*INDEX('Lease Cycles'!$EM$8:$ES$8,1,CX10)+(1-'Lease Cycles'!$BE$8)*IF(CX11&lt;INDEX('Lease Cycles'!$FA$8:$FG$8,1,CX10),0,1-INDEX('Lease Cycles'!$EM$8:$ES$8,1,CX10)),IF(OR(INDEX('Lease Cycles'!$DY$8:$EE$8,1,CX10)=1,CX11&gt;0),1,1-INDEX('Lease Cycles'!$DD$8:$DJ$8,1,CX10))*((1-'Lease Cycles'!$AJ$8)*INDEX('Lease Cycles'!$FO$8:$FU$8,1,CX10)+(1-'Lease Cycles'!$BE$8)*(1-INDEX('Lease Cycles'!$FO$8:$FU$8,1,CX10)))),0)</f>
        <v>0.5360134003350083</v>
      </c>
      <c r="CY18" s="24">
        <f>IF(CY12=1,'Lease Cycles'!$D$8*IF(INDEX('Lease Cycles'!$EF$8:$EL$8,1,CY10)=1,(1-'Lease Cycles'!$AJ$8)*INDEX('Lease Cycles'!$EM$8:$ES$8,1,CY10)+(1-'Lease Cycles'!$BE$8)*IF(CY11&lt;INDEX('Lease Cycles'!$FA$8:$FG$8,1,CY10),0,1-INDEX('Lease Cycles'!$EM$8:$ES$8,1,CY10)),IF(OR(INDEX('Lease Cycles'!$DY$8:$EE$8,1,CY10)=1,CY11&gt;0),1,1-INDEX('Lease Cycles'!$DD$8:$DJ$8,1,CY10))*((1-'Lease Cycles'!$AJ$8)*INDEX('Lease Cycles'!$FO$8:$FU$8,1,CY10)+(1-'Lease Cycles'!$BE$8)*(1-INDEX('Lease Cycles'!$FO$8:$FU$8,1,CY10)))),0)</f>
        <v>0.5360134003350083</v>
      </c>
      <c r="CZ18" s="24">
        <f>IF(CZ12=1,'Lease Cycles'!$D$8*IF(INDEX('Lease Cycles'!$EF$8:$EL$8,1,CZ10)=1,(1-'Lease Cycles'!$AJ$8)*INDEX('Lease Cycles'!$EM$8:$ES$8,1,CZ10)+(1-'Lease Cycles'!$BE$8)*IF(CZ11&lt;INDEX('Lease Cycles'!$FA$8:$FG$8,1,CZ10),0,1-INDEX('Lease Cycles'!$EM$8:$ES$8,1,CZ10)),IF(OR(INDEX('Lease Cycles'!$DY$8:$EE$8,1,CZ10)=1,CZ11&gt;0),1,1-INDEX('Lease Cycles'!$DD$8:$DJ$8,1,CZ10))*((1-'Lease Cycles'!$AJ$8)*INDEX('Lease Cycles'!$FO$8:$FU$8,1,CZ10)+(1-'Lease Cycles'!$BE$8)*(1-INDEX('Lease Cycles'!$FO$8:$FU$8,1,CZ10)))),0)</f>
        <v>0.5360134003350083</v>
      </c>
      <c r="DA18" s="24">
        <f>IF(DA12=1,'Lease Cycles'!$D$8*IF(INDEX('Lease Cycles'!$EF$8:$EL$8,1,DA10)=1,(1-'Lease Cycles'!$AJ$8)*INDEX('Lease Cycles'!$EM$8:$ES$8,1,DA10)+(1-'Lease Cycles'!$BE$8)*IF(DA11&lt;INDEX('Lease Cycles'!$FA$8:$FG$8,1,DA10),0,1-INDEX('Lease Cycles'!$EM$8:$ES$8,1,DA10)),IF(OR(INDEX('Lease Cycles'!$DY$8:$EE$8,1,DA10)=1,DA11&gt;0),1,1-INDEX('Lease Cycles'!$DD$8:$DJ$8,1,DA10))*((1-'Lease Cycles'!$AJ$8)*INDEX('Lease Cycles'!$FO$8:$FU$8,1,DA10)+(1-'Lease Cycles'!$BE$8)*(1-INDEX('Lease Cycles'!$FO$8:$FU$8,1,DA10)))),0)</f>
        <v>0.5360134003350083</v>
      </c>
      <c r="DB18" s="24">
        <f>IF(DB12=1,'Lease Cycles'!$D$8*IF(INDEX('Lease Cycles'!$EF$8:$EL$8,1,DB10)=1,(1-'Lease Cycles'!$AJ$8)*INDEX('Lease Cycles'!$EM$8:$ES$8,1,DB10)+(1-'Lease Cycles'!$BE$8)*IF(DB11&lt;INDEX('Lease Cycles'!$FA$8:$FG$8,1,DB10),0,1-INDEX('Lease Cycles'!$EM$8:$ES$8,1,DB10)),IF(OR(INDEX('Lease Cycles'!$DY$8:$EE$8,1,DB10)=1,DB11&gt;0),1,1-INDEX('Lease Cycles'!$DD$8:$DJ$8,1,DB10))*((1-'Lease Cycles'!$AJ$8)*INDEX('Lease Cycles'!$FO$8:$FU$8,1,DB10)+(1-'Lease Cycles'!$BE$8)*(1-INDEX('Lease Cycles'!$FO$8:$FU$8,1,DB10)))),0)</f>
        <v>0.5360134003350083</v>
      </c>
      <c r="DC18" s="24">
        <f>IF(DC12=1,'Lease Cycles'!$D$8*IF(INDEX('Lease Cycles'!$EF$8:$EL$8,1,DC10)=1,(1-'Lease Cycles'!$AJ$8)*INDEX('Lease Cycles'!$EM$8:$ES$8,1,DC10)+(1-'Lease Cycles'!$BE$8)*IF(DC11&lt;INDEX('Lease Cycles'!$FA$8:$FG$8,1,DC10),0,1-INDEX('Lease Cycles'!$EM$8:$ES$8,1,DC10)),IF(OR(INDEX('Lease Cycles'!$DY$8:$EE$8,1,DC10)=1,DC11&gt;0),1,1-INDEX('Lease Cycles'!$DD$8:$DJ$8,1,DC10))*((1-'Lease Cycles'!$AJ$8)*INDEX('Lease Cycles'!$FO$8:$FU$8,1,DC10)+(1-'Lease Cycles'!$BE$8)*(1-INDEX('Lease Cycles'!$FO$8:$FU$8,1,DC10)))),0)</f>
        <v>0.5360134003350083</v>
      </c>
      <c r="DD18" s="24">
        <f>IF(DD12=1,'Lease Cycles'!$D$8*IF(INDEX('Lease Cycles'!$EF$8:$EL$8,1,DD10)=1,(1-'Lease Cycles'!$AJ$8)*INDEX('Lease Cycles'!$EM$8:$ES$8,1,DD10)+(1-'Lease Cycles'!$BE$8)*IF(DD11&lt;INDEX('Lease Cycles'!$FA$8:$FG$8,1,DD10),0,1-INDEX('Lease Cycles'!$EM$8:$ES$8,1,DD10)),IF(OR(INDEX('Lease Cycles'!$DY$8:$EE$8,1,DD10)=1,DD11&gt;0),1,1-INDEX('Lease Cycles'!$DD$8:$DJ$8,1,DD10))*((1-'Lease Cycles'!$AJ$8)*INDEX('Lease Cycles'!$FO$8:$FU$8,1,DD10)+(1-'Lease Cycles'!$BE$8)*(1-INDEX('Lease Cycles'!$FO$8:$FU$8,1,DD10)))),0)</f>
        <v>0.5360134003350083</v>
      </c>
      <c r="DE18" s="24">
        <f>IF(DE12=1,'Lease Cycles'!$D$8*IF(INDEX('Lease Cycles'!$EF$8:$EL$8,1,DE10)=1,(1-'Lease Cycles'!$AJ$8)*INDEX('Lease Cycles'!$EM$8:$ES$8,1,DE10)+(1-'Lease Cycles'!$BE$8)*IF(DE11&lt;INDEX('Lease Cycles'!$FA$8:$FG$8,1,DE10),0,1-INDEX('Lease Cycles'!$EM$8:$ES$8,1,DE10)),IF(OR(INDEX('Lease Cycles'!$DY$8:$EE$8,1,DE10)=1,DE11&gt;0),1,1-INDEX('Lease Cycles'!$DD$8:$DJ$8,1,DE10))*((1-'Lease Cycles'!$AJ$8)*INDEX('Lease Cycles'!$FO$8:$FU$8,1,DE10)+(1-'Lease Cycles'!$BE$8)*(1-INDEX('Lease Cycles'!$FO$8:$FU$8,1,DE10)))),0)</f>
        <v>0.5360134003350083</v>
      </c>
      <c r="DF18" s="24">
        <f>IF(DF12=1,'Lease Cycles'!$D$8*IF(INDEX('Lease Cycles'!$EF$8:$EL$8,1,DF10)=1,(1-'Lease Cycles'!$AJ$8)*INDEX('Lease Cycles'!$EM$8:$ES$8,1,DF10)+(1-'Lease Cycles'!$BE$8)*IF(DF11&lt;INDEX('Lease Cycles'!$FA$8:$FG$8,1,DF10),0,1-INDEX('Lease Cycles'!$EM$8:$ES$8,1,DF10)),IF(OR(INDEX('Lease Cycles'!$DY$8:$EE$8,1,DF10)=1,DF11&gt;0),1,1-INDEX('Lease Cycles'!$DD$8:$DJ$8,1,DF10))*((1-'Lease Cycles'!$AJ$8)*INDEX('Lease Cycles'!$FO$8:$FU$8,1,DF10)+(1-'Lease Cycles'!$BE$8)*(1-INDEX('Lease Cycles'!$FO$8:$FU$8,1,DF10)))),0)</f>
        <v>0.5360134003350083</v>
      </c>
      <c r="DG18" s="24">
        <f>IF(DG12=1,'Lease Cycles'!$D$8*IF(INDEX('Lease Cycles'!$EF$8:$EL$8,1,DG10)=1,(1-'Lease Cycles'!$AJ$8)*INDEX('Lease Cycles'!$EM$8:$ES$8,1,DG10)+(1-'Lease Cycles'!$BE$8)*IF(DG11&lt;INDEX('Lease Cycles'!$FA$8:$FG$8,1,DG10),0,1-INDEX('Lease Cycles'!$EM$8:$ES$8,1,DG10)),IF(OR(INDEX('Lease Cycles'!$DY$8:$EE$8,1,DG10)=1,DG11&gt;0),1,1-INDEX('Lease Cycles'!$DD$8:$DJ$8,1,DG10))*((1-'Lease Cycles'!$AJ$8)*INDEX('Lease Cycles'!$FO$8:$FU$8,1,DG10)+(1-'Lease Cycles'!$BE$8)*(1-INDEX('Lease Cycles'!$FO$8:$FU$8,1,DG10)))),0)</f>
        <v>0.5360134003350083</v>
      </c>
      <c r="DH18" s="24">
        <f>IF(DH12=1,'Lease Cycles'!$D$8*IF(INDEX('Lease Cycles'!$EF$8:$EL$8,1,DH10)=1,(1-'Lease Cycles'!$AJ$8)*INDEX('Lease Cycles'!$EM$8:$ES$8,1,DH10)+(1-'Lease Cycles'!$BE$8)*IF(DH11&lt;INDEX('Lease Cycles'!$FA$8:$FG$8,1,DH10),0,1-INDEX('Lease Cycles'!$EM$8:$ES$8,1,DH10)),IF(OR(INDEX('Lease Cycles'!$DY$8:$EE$8,1,DH10)=1,DH11&gt;0),1,1-INDEX('Lease Cycles'!$DD$8:$DJ$8,1,DH10))*((1-'Lease Cycles'!$AJ$8)*INDEX('Lease Cycles'!$FO$8:$FU$8,1,DH10)+(1-'Lease Cycles'!$BE$8)*(1-INDEX('Lease Cycles'!$FO$8:$FU$8,1,DH10)))),0)</f>
        <v>0.5360134003350083</v>
      </c>
      <c r="DI18" s="24">
        <f>IF(DI12=1,'Lease Cycles'!$D$8*IF(INDEX('Lease Cycles'!$EF$8:$EL$8,1,DI10)=1,(1-'Lease Cycles'!$AJ$8)*INDEX('Lease Cycles'!$EM$8:$ES$8,1,DI10)+(1-'Lease Cycles'!$BE$8)*IF(DI11&lt;INDEX('Lease Cycles'!$FA$8:$FG$8,1,DI10),0,1-INDEX('Lease Cycles'!$EM$8:$ES$8,1,DI10)),IF(OR(INDEX('Lease Cycles'!$DY$8:$EE$8,1,DI10)=1,DI11&gt;0),1,1-INDEX('Lease Cycles'!$DD$8:$DJ$8,1,DI10))*((1-'Lease Cycles'!$AJ$8)*INDEX('Lease Cycles'!$FO$8:$FU$8,1,DI10)+(1-'Lease Cycles'!$BE$8)*(1-INDEX('Lease Cycles'!$FO$8:$FU$8,1,DI10)))),0)</f>
        <v>0.5360134003350083</v>
      </c>
      <c r="DJ18" s="24">
        <f>IF(DJ12=1,'Lease Cycles'!$D$8*IF(INDEX('Lease Cycles'!$EF$8:$EL$8,1,DJ10)=1,(1-'Lease Cycles'!$AJ$8)*INDEX('Lease Cycles'!$EM$8:$ES$8,1,DJ10)+(1-'Lease Cycles'!$BE$8)*IF(DJ11&lt;INDEX('Lease Cycles'!$FA$8:$FG$8,1,DJ10),0,1-INDEX('Lease Cycles'!$EM$8:$ES$8,1,DJ10)),IF(OR(INDEX('Lease Cycles'!$DY$8:$EE$8,1,DJ10)=1,DJ11&gt;0),1,1-INDEX('Lease Cycles'!$DD$8:$DJ$8,1,DJ10))*((1-'Lease Cycles'!$AJ$8)*INDEX('Lease Cycles'!$FO$8:$FU$8,1,DJ10)+(1-'Lease Cycles'!$BE$8)*(1-INDEX('Lease Cycles'!$FO$8:$FU$8,1,DJ10)))),0)</f>
        <v>0.5360134003350083</v>
      </c>
      <c r="DK18" s="24">
        <f>IF(DK12=1,'Lease Cycles'!$D$8*IF(INDEX('Lease Cycles'!$EF$8:$EL$8,1,DK10)=1,(1-'Lease Cycles'!$AJ$8)*INDEX('Lease Cycles'!$EM$8:$ES$8,1,DK10)+(1-'Lease Cycles'!$BE$8)*IF(DK11&lt;INDEX('Lease Cycles'!$FA$8:$FG$8,1,DK10),0,1-INDEX('Lease Cycles'!$EM$8:$ES$8,1,DK10)),IF(OR(INDEX('Lease Cycles'!$DY$8:$EE$8,1,DK10)=1,DK11&gt;0),1,1-INDEX('Lease Cycles'!$DD$8:$DJ$8,1,DK10))*((1-'Lease Cycles'!$AJ$8)*INDEX('Lease Cycles'!$FO$8:$FU$8,1,DK10)+(1-'Lease Cycles'!$BE$8)*(1-INDEX('Lease Cycles'!$FO$8:$FU$8,1,DK10)))),0)</f>
        <v>0.5360134003350083</v>
      </c>
      <c r="DL18" s="24">
        <f>IF(DL12=1,'Lease Cycles'!$D$8*IF(INDEX('Lease Cycles'!$EF$8:$EL$8,1,DL10)=1,(1-'Lease Cycles'!$AJ$8)*INDEX('Lease Cycles'!$EM$8:$ES$8,1,DL10)+(1-'Lease Cycles'!$BE$8)*IF(DL11&lt;INDEX('Lease Cycles'!$FA$8:$FG$8,1,DL10),0,1-INDEX('Lease Cycles'!$EM$8:$ES$8,1,DL10)),IF(OR(INDEX('Lease Cycles'!$DY$8:$EE$8,1,DL10)=1,DL11&gt;0),1,1-INDEX('Lease Cycles'!$DD$8:$DJ$8,1,DL10))*((1-'Lease Cycles'!$AJ$8)*INDEX('Lease Cycles'!$FO$8:$FU$8,1,DL10)+(1-'Lease Cycles'!$BE$8)*(1-INDEX('Lease Cycles'!$FO$8:$FU$8,1,DL10)))),0)</f>
        <v>0.5360134003350083</v>
      </c>
      <c r="DM18" s="24">
        <f>IF(DM12=1,'Lease Cycles'!$D$8*IF(INDEX('Lease Cycles'!$EF$8:$EL$8,1,DM10)=1,(1-'Lease Cycles'!$AJ$8)*INDEX('Lease Cycles'!$EM$8:$ES$8,1,DM10)+(1-'Lease Cycles'!$BE$8)*IF(DM11&lt;INDEX('Lease Cycles'!$FA$8:$FG$8,1,DM10),0,1-INDEX('Lease Cycles'!$EM$8:$ES$8,1,DM10)),IF(OR(INDEX('Lease Cycles'!$DY$8:$EE$8,1,DM10)=1,DM11&gt;0),1,1-INDEX('Lease Cycles'!$DD$8:$DJ$8,1,DM10))*((1-'Lease Cycles'!$AJ$8)*INDEX('Lease Cycles'!$FO$8:$FU$8,1,DM10)+(1-'Lease Cycles'!$BE$8)*(1-INDEX('Lease Cycles'!$FO$8:$FU$8,1,DM10)))),0)</f>
        <v>0.5360134003350083</v>
      </c>
      <c r="DN18" s="24">
        <f>IF(DN12=1,'Lease Cycles'!$D$8*IF(INDEX('Lease Cycles'!$EF$8:$EL$8,1,DN10)=1,(1-'Lease Cycles'!$AJ$8)*INDEX('Lease Cycles'!$EM$8:$ES$8,1,DN10)+(1-'Lease Cycles'!$BE$8)*IF(DN11&lt;INDEX('Lease Cycles'!$FA$8:$FG$8,1,DN10),0,1-INDEX('Lease Cycles'!$EM$8:$ES$8,1,DN10)),IF(OR(INDEX('Lease Cycles'!$DY$8:$EE$8,1,DN10)=1,DN11&gt;0),1,1-INDEX('Lease Cycles'!$DD$8:$DJ$8,1,DN10))*((1-'Lease Cycles'!$AJ$8)*INDEX('Lease Cycles'!$FO$8:$FU$8,1,DN10)+(1-'Lease Cycles'!$BE$8)*(1-INDEX('Lease Cycles'!$FO$8:$FU$8,1,DN10)))),0)</f>
        <v>0.5360134003350083</v>
      </c>
      <c r="DO18" s="24">
        <f>IF(DO12=1,'Lease Cycles'!$D$8*IF(INDEX('Lease Cycles'!$EF$8:$EL$8,1,DO10)=1,(1-'Lease Cycles'!$AJ$8)*INDEX('Lease Cycles'!$EM$8:$ES$8,1,DO10)+(1-'Lease Cycles'!$BE$8)*IF(DO11&lt;INDEX('Lease Cycles'!$FA$8:$FG$8,1,DO10),0,1-INDEX('Lease Cycles'!$EM$8:$ES$8,1,DO10)),IF(OR(INDEX('Lease Cycles'!$DY$8:$EE$8,1,DO10)=1,DO11&gt;0),1,1-INDEX('Lease Cycles'!$DD$8:$DJ$8,1,DO10))*((1-'Lease Cycles'!$AJ$8)*INDEX('Lease Cycles'!$FO$8:$FU$8,1,DO10)+(1-'Lease Cycles'!$BE$8)*(1-INDEX('Lease Cycles'!$FO$8:$FU$8,1,DO10)))),0)</f>
        <v>0.5360134003350083</v>
      </c>
      <c r="DP18" s="24">
        <f>IF(DP12=1,'Lease Cycles'!$D$8*IF(INDEX('Lease Cycles'!$EF$8:$EL$8,1,DP10)=1,(1-'Lease Cycles'!$AJ$8)*INDEX('Lease Cycles'!$EM$8:$ES$8,1,DP10)+(1-'Lease Cycles'!$BE$8)*IF(DP11&lt;INDEX('Lease Cycles'!$FA$8:$FG$8,1,DP10),0,1-INDEX('Lease Cycles'!$EM$8:$ES$8,1,DP10)),IF(OR(INDEX('Lease Cycles'!$DY$8:$EE$8,1,DP10)=1,DP11&gt;0),1,1-INDEX('Lease Cycles'!$DD$8:$DJ$8,1,DP10))*((1-'Lease Cycles'!$AJ$8)*INDEX('Lease Cycles'!$FO$8:$FU$8,1,DP10)+(1-'Lease Cycles'!$BE$8)*(1-INDEX('Lease Cycles'!$FO$8:$FU$8,1,DP10)))),0)</f>
        <v>0.5360134003350083</v>
      </c>
      <c r="DQ18" s="24">
        <f>IF(DQ12=1,'Lease Cycles'!$D$8*IF(INDEX('Lease Cycles'!$EF$8:$EL$8,1,DQ10)=1,(1-'Lease Cycles'!$AJ$8)*INDEX('Lease Cycles'!$EM$8:$ES$8,1,DQ10)+(1-'Lease Cycles'!$BE$8)*IF(DQ11&lt;INDEX('Lease Cycles'!$FA$8:$FG$8,1,DQ10),0,1-INDEX('Lease Cycles'!$EM$8:$ES$8,1,DQ10)),IF(OR(INDEX('Lease Cycles'!$DY$8:$EE$8,1,DQ10)=1,DQ11&gt;0),1,1-INDEX('Lease Cycles'!$DD$8:$DJ$8,1,DQ10))*((1-'Lease Cycles'!$AJ$8)*INDEX('Lease Cycles'!$FO$8:$FU$8,1,DQ10)+(1-'Lease Cycles'!$BE$8)*(1-INDEX('Lease Cycles'!$FO$8:$FU$8,1,DQ10)))),0)</f>
        <v>0.5360134003350083</v>
      </c>
      <c r="DR18" s="24">
        <f>IF(DR12=1,'Lease Cycles'!$D$8*IF(INDEX('Lease Cycles'!$EF$8:$EL$8,1,DR10)=1,(1-'Lease Cycles'!$AJ$8)*INDEX('Lease Cycles'!$EM$8:$ES$8,1,DR10)+(1-'Lease Cycles'!$BE$8)*IF(DR11&lt;INDEX('Lease Cycles'!$FA$8:$FG$8,1,DR10),0,1-INDEX('Lease Cycles'!$EM$8:$ES$8,1,DR10)),IF(OR(INDEX('Lease Cycles'!$DY$8:$EE$8,1,DR10)=1,DR11&gt;0),1,1-INDEX('Lease Cycles'!$DD$8:$DJ$8,1,DR10))*((1-'Lease Cycles'!$AJ$8)*INDEX('Lease Cycles'!$FO$8:$FU$8,1,DR10)+(1-'Lease Cycles'!$BE$8)*(1-INDEX('Lease Cycles'!$FO$8:$FU$8,1,DR10)))),0)</f>
        <v>0.5360134003350083</v>
      </c>
      <c r="DS18" s="24">
        <f>IF(DS12=1,'Lease Cycles'!$D$8*IF(INDEX('Lease Cycles'!$EF$8:$EL$8,1,DS10)=1,(1-'Lease Cycles'!$AJ$8)*INDEX('Lease Cycles'!$EM$8:$ES$8,1,DS10)+(1-'Lease Cycles'!$BE$8)*IF(DS11&lt;INDEX('Lease Cycles'!$FA$8:$FG$8,1,DS10),0,1-INDEX('Lease Cycles'!$EM$8:$ES$8,1,DS10)),IF(OR(INDEX('Lease Cycles'!$DY$8:$EE$8,1,DS10)=1,DS11&gt;0),1,1-INDEX('Lease Cycles'!$DD$8:$DJ$8,1,DS10))*((1-'Lease Cycles'!$AJ$8)*INDEX('Lease Cycles'!$FO$8:$FU$8,1,DS10)+(1-'Lease Cycles'!$BE$8)*(1-INDEX('Lease Cycles'!$FO$8:$FU$8,1,DS10)))),0)</f>
        <v>0.5360134003350083</v>
      </c>
      <c r="DT18" s="24">
        <f>IF(DT12=1,'Lease Cycles'!$D$8*IF(INDEX('Lease Cycles'!$EF$8:$EL$8,1,DT10)=1,(1-'Lease Cycles'!$AJ$8)*INDEX('Lease Cycles'!$EM$8:$ES$8,1,DT10)+(1-'Lease Cycles'!$BE$8)*IF(DT11&lt;INDEX('Lease Cycles'!$FA$8:$FG$8,1,DT10),0,1-INDEX('Lease Cycles'!$EM$8:$ES$8,1,DT10)),IF(OR(INDEX('Lease Cycles'!$DY$8:$EE$8,1,DT10)=1,DT11&gt;0),1,1-INDEX('Lease Cycles'!$DD$8:$DJ$8,1,DT10))*((1-'Lease Cycles'!$AJ$8)*INDEX('Lease Cycles'!$FO$8:$FU$8,1,DT10)+(1-'Lease Cycles'!$BE$8)*(1-INDEX('Lease Cycles'!$FO$8:$FU$8,1,DT10)))),0)</f>
        <v>0.5360134003350083</v>
      </c>
      <c r="DU18" s="24">
        <f>IF(DU12=1,'Lease Cycles'!$D$8*IF(INDEX('Lease Cycles'!$EF$8:$EL$8,1,DU10)=1,(1-'Lease Cycles'!$AJ$8)*INDEX('Lease Cycles'!$EM$8:$ES$8,1,DU10)+(1-'Lease Cycles'!$BE$8)*IF(DU11&lt;INDEX('Lease Cycles'!$FA$8:$FG$8,1,DU10),0,1-INDEX('Lease Cycles'!$EM$8:$ES$8,1,DU10)),IF(OR(INDEX('Lease Cycles'!$DY$8:$EE$8,1,DU10)=1,DU11&gt;0),1,1-INDEX('Lease Cycles'!$DD$8:$DJ$8,1,DU10))*((1-'Lease Cycles'!$AJ$8)*INDEX('Lease Cycles'!$FO$8:$FU$8,1,DU10)+(1-'Lease Cycles'!$BE$8)*(1-INDEX('Lease Cycles'!$FO$8:$FU$8,1,DU10)))),0)</f>
        <v>0.5360134003350083</v>
      </c>
      <c r="DV18" s="24">
        <f>IF(DV12=1,'Lease Cycles'!$D$8*IF(INDEX('Lease Cycles'!$EF$8:$EL$8,1,DV10)=1,(1-'Lease Cycles'!$AJ$8)*INDEX('Lease Cycles'!$EM$8:$ES$8,1,DV10)+(1-'Lease Cycles'!$BE$8)*IF(DV11&lt;INDEX('Lease Cycles'!$FA$8:$FG$8,1,DV10),0,1-INDEX('Lease Cycles'!$EM$8:$ES$8,1,DV10)),IF(OR(INDEX('Lease Cycles'!$DY$8:$EE$8,1,DV10)=1,DV11&gt;0),1,1-INDEX('Lease Cycles'!$DD$8:$DJ$8,1,DV10))*((1-'Lease Cycles'!$AJ$8)*INDEX('Lease Cycles'!$FO$8:$FU$8,1,DV10)+(1-'Lease Cycles'!$BE$8)*(1-INDEX('Lease Cycles'!$FO$8:$FU$8,1,DV10)))),0)</f>
        <v>0.5360134003350083</v>
      </c>
      <c r="DW18" s="24">
        <f>IF(DW12=1,'Lease Cycles'!$D$8*IF(INDEX('Lease Cycles'!$EF$8:$EL$8,1,DW10)=1,(1-'Lease Cycles'!$AJ$8)*INDEX('Lease Cycles'!$EM$8:$ES$8,1,DW10)+(1-'Lease Cycles'!$BE$8)*IF(DW11&lt;INDEX('Lease Cycles'!$FA$8:$FG$8,1,DW10),0,1-INDEX('Lease Cycles'!$EM$8:$ES$8,1,DW10)),IF(OR(INDEX('Lease Cycles'!$DY$8:$EE$8,1,DW10)=1,DW11&gt;0),1,1-INDEX('Lease Cycles'!$DD$8:$DJ$8,1,DW10))*((1-'Lease Cycles'!$AJ$8)*INDEX('Lease Cycles'!$FO$8:$FU$8,1,DW10)+(1-'Lease Cycles'!$BE$8)*(1-INDEX('Lease Cycles'!$FO$8:$FU$8,1,DW10)))),0)</f>
        <v>0.5360134003350083</v>
      </c>
      <c r="DX18" s="24">
        <f>IF(DX12=1,'Lease Cycles'!$D$8*IF(INDEX('Lease Cycles'!$EF$8:$EL$8,1,DX10)=1,(1-'Lease Cycles'!$AJ$8)*INDEX('Lease Cycles'!$EM$8:$ES$8,1,DX10)+(1-'Lease Cycles'!$BE$8)*IF(DX11&lt;INDEX('Lease Cycles'!$FA$8:$FG$8,1,DX10),0,1-INDEX('Lease Cycles'!$EM$8:$ES$8,1,DX10)),IF(OR(INDEX('Lease Cycles'!$DY$8:$EE$8,1,DX10)=1,DX11&gt;0),1,1-INDEX('Lease Cycles'!$DD$8:$DJ$8,1,DX10))*((1-'Lease Cycles'!$AJ$8)*INDEX('Lease Cycles'!$FO$8:$FU$8,1,DX10)+(1-'Lease Cycles'!$BE$8)*(1-INDEX('Lease Cycles'!$FO$8:$FU$8,1,DX10)))),0)</f>
        <v>0.5360134003350083</v>
      </c>
      <c r="DY18" s="24">
        <f>IF(DY12=1,'Lease Cycles'!$D$8*IF(INDEX('Lease Cycles'!$EF$8:$EL$8,1,DY10)=1,(1-'Lease Cycles'!$AJ$8)*INDEX('Lease Cycles'!$EM$8:$ES$8,1,DY10)+(1-'Lease Cycles'!$BE$8)*IF(DY11&lt;INDEX('Lease Cycles'!$FA$8:$FG$8,1,DY10),0,1-INDEX('Lease Cycles'!$EM$8:$ES$8,1,DY10)),IF(OR(INDEX('Lease Cycles'!$DY$8:$EE$8,1,DY10)=1,DY11&gt;0),1,1-INDEX('Lease Cycles'!$DD$8:$DJ$8,1,DY10))*((1-'Lease Cycles'!$AJ$8)*INDEX('Lease Cycles'!$FO$8:$FU$8,1,DY10)+(1-'Lease Cycles'!$BE$8)*(1-INDEX('Lease Cycles'!$FO$8:$FU$8,1,DY10)))),0)</f>
        <v>0.5360134003350083</v>
      </c>
      <c r="DZ18" s="24">
        <f>IF(DZ12=1,'Lease Cycles'!$D$8*IF(INDEX('Lease Cycles'!$EF$8:$EL$8,1,DZ10)=1,(1-'Lease Cycles'!$AJ$8)*INDEX('Lease Cycles'!$EM$8:$ES$8,1,DZ10)+(1-'Lease Cycles'!$BE$8)*IF(DZ11&lt;INDEX('Lease Cycles'!$FA$8:$FG$8,1,DZ10),0,1-INDEX('Lease Cycles'!$EM$8:$ES$8,1,DZ10)),IF(OR(INDEX('Lease Cycles'!$DY$8:$EE$8,1,DZ10)=1,DZ11&gt;0),1,1-INDEX('Lease Cycles'!$DD$8:$DJ$8,1,DZ10))*((1-'Lease Cycles'!$AJ$8)*INDEX('Lease Cycles'!$FO$8:$FU$8,1,DZ10)+(1-'Lease Cycles'!$BE$8)*(1-INDEX('Lease Cycles'!$FO$8:$FU$8,1,DZ10)))),0)</f>
        <v>0.5360134003350083</v>
      </c>
      <c r="EA18" s="24">
        <f>IF(EA12=1,'Lease Cycles'!$D$8*IF(INDEX('Lease Cycles'!$EF$8:$EL$8,1,EA10)=1,(1-'Lease Cycles'!$AJ$8)*INDEX('Lease Cycles'!$EM$8:$ES$8,1,EA10)+(1-'Lease Cycles'!$BE$8)*IF(EA11&lt;INDEX('Lease Cycles'!$FA$8:$FG$8,1,EA10),0,1-INDEX('Lease Cycles'!$EM$8:$ES$8,1,EA10)),IF(OR(INDEX('Lease Cycles'!$DY$8:$EE$8,1,EA10)=1,EA11&gt;0),1,1-INDEX('Lease Cycles'!$DD$8:$DJ$8,1,EA10))*((1-'Lease Cycles'!$AJ$8)*INDEX('Lease Cycles'!$FO$8:$FU$8,1,EA10)+(1-'Lease Cycles'!$BE$8)*(1-INDEX('Lease Cycles'!$FO$8:$FU$8,1,EA10)))),0)</f>
        <v>0.5360134003350083</v>
      </c>
      <c r="EB18" s="24">
        <f>IF(EB12=1,'Lease Cycles'!$D$8*IF(INDEX('Lease Cycles'!$EF$8:$EL$8,1,EB10)=1,(1-'Lease Cycles'!$AJ$8)*INDEX('Lease Cycles'!$EM$8:$ES$8,1,EB10)+(1-'Lease Cycles'!$BE$8)*IF(EB11&lt;INDEX('Lease Cycles'!$FA$8:$FG$8,1,EB10),0,1-INDEX('Lease Cycles'!$EM$8:$ES$8,1,EB10)),IF(OR(INDEX('Lease Cycles'!$DY$8:$EE$8,1,EB10)=1,EB11&gt;0),1,1-INDEX('Lease Cycles'!$DD$8:$DJ$8,1,EB10))*((1-'Lease Cycles'!$AJ$8)*INDEX('Lease Cycles'!$FO$8:$FU$8,1,EB10)+(1-'Lease Cycles'!$BE$8)*(1-INDEX('Lease Cycles'!$FO$8:$FU$8,1,EB10)))),0)</f>
        <v>0.5360134003350083</v>
      </c>
      <c r="EC18" s="24">
        <f>IF(EC12=1,'Lease Cycles'!$D$8*IF(INDEX('Lease Cycles'!$EF$8:$EL$8,1,EC10)=1,(1-'Lease Cycles'!$AJ$8)*INDEX('Lease Cycles'!$EM$8:$ES$8,1,EC10)+(1-'Lease Cycles'!$BE$8)*IF(EC11&lt;INDEX('Lease Cycles'!$FA$8:$FG$8,1,EC10),0,1-INDEX('Lease Cycles'!$EM$8:$ES$8,1,EC10)),IF(OR(INDEX('Lease Cycles'!$DY$8:$EE$8,1,EC10)=1,EC11&gt;0),1,1-INDEX('Lease Cycles'!$DD$8:$DJ$8,1,EC10))*((1-'Lease Cycles'!$AJ$8)*INDEX('Lease Cycles'!$FO$8:$FU$8,1,EC10)+(1-'Lease Cycles'!$BE$8)*(1-INDEX('Lease Cycles'!$FO$8:$FU$8,1,EC10)))),0)</f>
        <v>0.5360134003350083</v>
      </c>
      <c r="ED18" s="24">
        <f>IF(ED12=1,'Lease Cycles'!$D$8*IF(INDEX('Lease Cycles'!$EF$8:$EL$8,1,ED10)=1,(1-'Lease Cycles'!$AJ$8)*INDEX('Lease Cycles'!$EM$8:$ES$8,1,ED10)+(1-'Lease Cycles'!$BE$8)*IF(ED11&lt;INDEX('Lease Cycles'!$FA$8:$FG$8,1,ED10),0,1-INDEX('Lease Cycles'!$EM$8:$ES$8,1,ED10)),IF(OR(INDEX('Lease Cycles'!$DY$8:$EE$8,1,ED10)=1,ED11&gt;0),1,1-INDEX('Lease Cycles'!$DD$8:$DJ$8,1,ED10))*((1-'Lease Cycles'!$AJ$8)*INDEX('Lease Cycles'!$FO$8:$FU$8,1,ED10)+(1-'Lease Cycles'!$BE$8)*(1-INDEX('Lease Cycles'!$FO$8:$FU$8,1,ED10)))),0)</f>
        <v>0.5360134003350083</v>
      </c>
      <c r="EE18" s="24">
        <f>IF(EE12=1,'Lease Cycles'!$D$8*IF(INDEX('Lease Cycles'!$EF$8:$EL$8,1,EE10)=1,(1-'Lease Cycles'!$AJ$8)*INDEX('Lease Cycles'!$EM$8:$ES$8,1,EE10)+(1-'Lease Cycles'!$BE$8)*IF(EE11&lt;INDEX('Lease Cycles'!$FA$8:$FG$8,1,EE10),0,1-INDEX('Lease Cycles'!$EM$8:$ES$8,1,EE10)),IF(OR(INDEX('Lease Cycles'!$DY$8:$EE$8,1,EE10)=1,EE11&gt;0),1,1-INDEX('Lease Cycles'!$DD$8:$DJ$8,1,EE10))*((1-'Lease Cycles'!$AJ$8)*INDEX('Lease Cycles'!$FO$8:$FU$8,1,EE10)+(1-'Lease Cycles'!$BE$8)*(1-INDEX('Lease Cycles'!$FO$8:$FU$8,1,EE10)))),0)</f>
        <v>0.5360134003350083</v>
      </c>
      <c r="EF18" s="24">
        <f>IF(EF12=1,'Lease Cycles'!$D$8*IF(INDEX('Lease Cycles'!$EF$8:$EL$8,1,EF10)=1,(1-'Lease Cycles'!$AJ$8)*INDEX('Lease Cycles'!$EM$8:$ES$8,1,EF10)+(1-'Lease Cycles'!$BE$8)*IF(EF11&lt;INDEX('Lease Cycles'!$FA$8:$FG$8,1,EF10),0,1-INDEX('Lease Cycles'!$EM$8:$ES$8,1,EF10)),IF(OR(INDEX('Lease Cycles'!$DY$8:$EE$8,1,EF10)=1,EF11&gt;0),1,1-INDEX('Lease Cycles'!$DD$8:$DJ$8,1,EF10))*((1-'Lease Cycles'!$AJ$8)*INDEX('Lease Cycles'!$FO$8:$FU$8,1,EF10)+(1-'Lease Cycles'!$BE$8)*(1-INDEX('Lease Cycles'!$FO$8:$FU$8,1,EF10)))),0)</f>
        <v>0.5360134003350083</v>
      </c>
      <c r="EG18" s="24">
        <f>IF(EG12=1,'Lease Cycles'!$D$8*IF(INDEX('Lease Cycles'!$EF$8:$EL$8,1,EG10)=1,(1-'Lease Cycles'!$AJ$8)*INDEX('Lease Cycles'!$EM$8:$ES$8,1,EG10)+(1-'Lease Cycles'!$BE$8)*IF(EG11&lt;INDEX('Lease Cycles'!$FA$8:$FG$8,1,EG10),0,1-INDEX('Lease Cycles'!$EM$8:$ES$8,1,EG10)),IF(OR(INDEX('Lease Cycles'!$DY$8:$EE$8,1,EG10)=1,EG11&gt;0),1,1-INDEX('Lease Cycles'!$DD$8:$DJ$8,1,EG10))*((1-'Lease Cycles'!$AJ$8)*INDEX('Lease Cycles'!$FO$8:$FU$8,1,EG10)+(1-'Lease Cycles'!$BE$8)*(1-INDEX('Lease Cycles'!$FO$8:$FU$8,1,EG10)))),0)</f>
        <v>0.5360134003350083</v>
      </c>
      <c r="EH18" s="24">
        <f>IF(EH12=1,'Lease Cycles'!$D$8*IF(INDEX('Lease Cycles'!$EF$8:$EL$8,1,EH10)=1,(1-'Lease Cycles'!$AJ$8)*INDEX('Lease Cycles'!$EM$8:$ES$8,1,EH10)+(1-'Lease Cycles'!$BE$8)*IF(EH11&lt;INDEX('Lease Cycles'!$FA$8:$FG$8,1,EH10),0,1-INDEX('Lease Cycles'!$EM$8:$ES$8,1,EH10)),IF(OR(INDEX('Lease Cycles'!$DY$8:$EE$8,1,EH10)=1,EH11&gt;0),1,1-INDEX('Lease Cycles'!$DD$8:$DJ$8,1,EH10))*((1-'Lease Cycles'!$AJ$8)*INDEX('Lease Cycles'!$FO$8:$FU$8,1,EH10)+(1-'Lease Cycles'!$BE$8)*(1-INDEX('Lease Cycles'!$FO$8:$FU$8,1,EH10)))),0)</f>
        <v>0.5360134003350083</v>
      </c>
      <c r="EI18" s="24">
        <f>IF(EI12=1,'Lease Cycles'!$D$8*IF(INDEX('Lease Cycles'!$EF$8:$EL$8,1,EI10)=1,(1-'Lease Cycles'!$AJ$8)*INDEX('Lease Cycles'!$EM$8:$ES$8,1,EI10)+(1-'Lease Cycles'!$BE$8)*IF(EI11&lt;INDEX('Lease Cycles'!$FA$8:$FG$8,1,EI10),0,1-INDEX('Lease Cycles'!$EM$8:$ES$8,1,EI10)),IF(OR(INDEX('Lease Cycles'!$DY$8:$EE$8,1,EI10)=1,EI11&gt;0),1,1-INDEX('Lease Cycles'!$DD$8:$DJ$8,1,EI10))*((1-'Lease Cycles'!$AJ$8)*INDEX('Lease Cycles'!$FO$8:$FU$8,1,EI10)+(1-'Lease Cycles'!$BE$8)*(1-INDEX('Lease Cycles'!$FO$8:$FU$8,1,EI10)))),0)</f>
        <v>0.5360134003350083</v>
      </c>
      <c r="EJ18" s="24">
        <f>IF(EJ12=1,'Lease Cycles'!$D$8*IF(INDEX('Lease Cycles'!$EF$8:$EL$8,1,EJ10)=1,(1-'Lease Cycles'!$AJ$8)*INDEX('Lease Cycles'!$EM$8:$ES$8,1,EJ10)+(1-'Lease Cycles'!$BE$8)*IF(EJ11&lt;INDEX('Lease Cycles'!$FA$8:$FG$8,1,EJ10),0,1-INDEX('Lease Cycles'!$EM$8:$ES$8,1,EJ10)),IF(OR(INDEX('Lease Cycles'!$DY$8:$EE$8,1,EJ10)=1,EJ11&gt;0),1,1-INDEX('Lease Cycles'!$DD$8:$DJ$8,1,EJ10))*((1-'Lease Cycles'!$AJ$8)*INDEX('Lease Cycles'!$FO$8:$FU$8,1,EJ10)+(1-'Lease Cycles'!$BE$8)*(1-INDEX('Lease Cycles'!$FO$8:$FU$8,1,EJ10)))),0)</f>
        <v>0.5360134003350083</v>
      </c>
      <c r="EK18" s="24">
        <f>IF(EK12=1,'Lease Cycles'!$D$8*IF(INDEX('Lease Cycles'!$EF$8:$EL$8,1,EK10)=1,(1-'Lease Cycles'!$AJ$8)*INDEX('Lease Cycles'!$EM$8:$ES$8,1,EK10)+(1-'Lease Cycles'!$BE$8)*IF(EK11&lt;INDEX('Lease Cycles'!$FA$8:$FG$8,1,EK10),0,1-INDEX('Lease Cycles'!$EM$8:$ES$8,1,EK10)),IF(OR(INDEX('Lease Cycles'!$DY$8:$EE$8,1,EK10)=1,EK11&gt;0),1,1-INDEX('Lease Cycles'!$DD$8:$DJ$8,1,EK10))*((1-'Lease Cycles'!$AJ$8)*INDEX('Lease Cycles'!$FO$8:$FU$8,1,EK10)+(1-'Lease Cycles'!$BE$8)*(1-INDEX('Lease Cycles'!$FO$8:$FU$8,1,EK10)))),0)</f>
        <v>0.5360134003350083</v>
      </c>
      <c r="EL18" s="24">
        <f>IF(EL12=1,'Lease Cycles'!$D$8*IF(INDEX('Lease Cycles'!$EF$8:$EL$8,1,EL10)=1,(1-'Lease Cycles'!$AJ$8)*INDEX('Lease Cycles'!$EM$8:$ES$8,1,EL10)+(1-'Lease Cycles'!$BE$8)*IF(EL11&lt;INDEX('Lease Cycles'!$FA$8:$FG$8,1,EL10),0,1-INDEX('Lease Cycles'!$EM$8:$ES$8,1,EL10)),IF(OR(INDEX('Lease Cycles'!$DY$8:$EE$8,1,EL10)=1,EL11&gt;0),1,1-INDEX('Lease Cycles'!$DD$8:$DJ$8,1,EL10))*((1-'Lease Cycles'!$AJ$8)*INDEX('Lease Cycles'!$FO$8:$FU$8,1,EL10)+(1-'Lease Cycles'!$BE$8)*(1-INDEX('Lease Cycles'!$FO$8:$FU$8,1,EL10)))),0)</f>
        <v>0.5360134003350083</v>
      </c>
      <c r="EM18" s="24">
        <f>IF(EM12=1,'Lease Cycles'!$D$8*IF(INDEX('Lease Cycles'!$EF$8:$EL$8,1,EM10)=1,(1-'Lease Cycles'!$AJ$8)*INDEX('Lease Cycles'!$EM$8:$ES$8,1,EM10)+(1-'Lease Cycles'!$BE$8)*IF(EM11&lt;INDEX('Lease Cycles'!$FA$8:$FG$8,1,EM10),0,1-INDEX('Lease Cycles'!$EM$8:$ES$8,1,EM10)),IF(OR(INDEX('Lease Cycles'!$DY$8:$EE$8,1,EM10)=1,EM11&gt;0),1,1-INDEX('Lease Cycles'!$DD$8:$DJ$8,1,EM10))*((1-'Lease Cycles'!$AJ$8)*INDEX('Lease Cycles'!$FO$8:$FU$8,1,EM10)+(1-'Lease Cycles'!$BE$8)*(1-INDEX('Lease Cycles'!$FO$8:$FU$8,1,EM10)))),0)</f>
        <v>0.5360134003350083</v>
      </c>
      <c r="EN18" s="24">
        <f>IF(EN12=1,'Lease Cycles'!$D$8*IF(INDEX('Lease Cycles'!$EF$8:$EL$8,1,EN10)=1,(1-'Lease Cycles'!$AJ$8)*INDEX('Lease Cycles'!$EM$8:$ES$8,1,EN10)+(1-'Lease Cycles'!$BE$8)*IF(EN11&lt;INDEX('Lease Cycles'!$FA$8:$FG$8,1,EN10),0,1-INDEX('Lease Cycles'!$EM$8:$ES$8,1,EN10)),IF(OR(INDEX('Lease Cycles'!$DY$8:$EE$8,1,EN10)=1,EN11&gt;0),1,1-INDEX('Lease Cycles'!$DD$8:$DJ$8,1,EN10))*((1-'Lease Cycles'!$AJ$8)*INDEX('Lease Cycles'!$FO$8:$FU$8,1,EN10)+(1-'Lease Cycles'!$BE$8)*(1-INDEX('Lease Cycles'!$FO$8:$FU$8,1,EN10)))),0)</f>
        <v>0.5360134003350083</v>
      </c>
      <c r="EO18" s="24">
        <f>IF(EO12=1,'Lease Cycles'!$D$8*IF(INDEX('Lease Cycles'!$EF$8:$EL$8,1,EO10)=1,(1-'Lease Cycles'!$AJ$8)*INDEX('Lease Cycles'!$EM$8:$ES$8,1,EO10)+(1-'Lease Cycles'!$BE$8)*IF(EO11&lt;INDEX('Lease Cycles'!$FA$8:$FG$8,1,EO10),0,1-INDEX('Lease Cycles'!$EM$8:$ES$8,1,EO10)),IF(OR(INDEX('Lease Cycles'!$DY$8:$EE$8,1,EO10)=1,EO11&gt;0),1,1-INDEX('Lease Cycles'!$DD$8:$DJ$8,1,EO10))*((1-'Lease Cycles'!$AJ$8)*INDEX('Lease Cycles'!$FO$8:$FU$8,1,EO10)+(1-'Lease Cycles'!$BE$8)*(1-INDEX('Lease Cycles'!$FO$8:$FU$8,1,EO10)))),0)</f>
        <v>0.5360134003350083</v>
      </c>
      <c r="EP18" s="24">
        <f>IF(EP12=1,'Lease Cycles'!$D$8*IF(INDEX('Lease Cycles'!$EF$8:$EL$8,1,EP10)=1,(1-'Lease Cycles'!$AJ$8)*INDEX('Lease Cycles'!$EM$8:$ES$8,1,EP10)+(1-'Lease Cycles'!$BE$8)*IF(EP11&lt;INDEX('Lease Cycles'!$FA$8:$FG$8,1,EP10),0,1-INDEX('Lease Cycles'!$EM$8:$ES$8,1,EP10)),IF(OR(INDEX('Lease Cycles'!$DY$8:$EE$8,1,EP10)=1,EP11&gt;0),1,1-INDEX('Lease Cycles'!$DD$8:$DJ$8,1,EP10))*((1-'Lease Cycles'!$AJ$8)*INDEX('Lease Cycles'!$FO$8:$FU$8,1,EP10)+(1-'Lease Cycles'!$BE$8)*(1-INDEX('Lease Cycles'!$FO$8:$FU$8,1,EP10)))),0)</f>
        <v>0.5360134003350083</v>
      </c>
      <c r="EQ18" s="24">
        <f>IF(EQ12=1,'Lease Cycles'!$D$8*IF(INDEX('Lease Cycles'!$EF$8:$EL$8,1,EQ10)=1,(1-'Lease Cycles'!$AJ$8)*INDEX('Lease Cycles'!$EM$8:$ES$8,1,EQ10)+(1-'Lease Cycles'!$BE$8)*IF(EQ11&lt;INDEX('Lease Cycles'!$FA$8:$FG$8,1,EQ10),0,1-INDEX('Lease Cycles'!$EM$8:$ES$8,1,EQ10)),IF(OR(INDEX('Lease Cycles'!$DY$8:$EE$8,1,EQ10)=1,EQ11&gt;0),1,1-INDEX('Lease Cycles'!$DD$8:$DJ$8,1,EQ10))*((1-'Lease Cycles'!$AJ$8)*INDEX('Lease Cycles'!$FO$8:$FU$8,1,EQ10)+(1-'Lease Cycles'!$BE$8)*(1-INDEX('Lease Cycles'!$FO$8:$FU$8,1,EQ10)))),0)</f>
        <v>0.5360134003350083</v>
      </c>
      <c r="ER18" s="24">
        <f>IF(ER12=1,'Lease Cycles'!$D$8*IF(INDEX('Lease Cycles'!$EF$8:$EL$8,1,ER10)=1,(1-'Lease Cycles'!$AJ$8)*INDEX('Lease Cycles'!$EM$8:$ES$8,1,ER10)+(1-'Lease Cycles'!$BE$8)*IF(ER11&lt;INDEX('Lease Cycles'!$FA$8:$FG$8,1,ER10),0,1-INDEX('Lease Cycles'!$EM$8:$ES$8,1,ER10)),IF(OR(INDEX('Lease Cycles'!$DY$8:$EE$8,1,ER10)=1,ER11&gt;0),1,1-INDEX('Lease Cycles'!$DD$8:$DJ$8,1,ER10))*((1-'Lease Cycles'!$AJ$8)*INDEX('Lease Cycles'!$FO$8:$FU$8,1,ER10)+(1-'Lease Cycles'!$BE$8)*(1-INDEX('Lease Cycles'!$FO$8:$FU$8,1,ER10)))),0)</f>
        <v>0.5360134003350083</v>
      </c>
      <c r="ES18" s="24">
        <f>IF(ES12=1,'Lease Cycles'!$D$8*IF(INDEX('Lease Cycles'!$EF$8:$EL$8,1,ES10)=1,(1-'Lease Cycles'!$AJ$8)*INDEX('Lease Cycles'!$EM$8:$ES$8,1,ES10)+(1-'Lease Cycles'!$BE$8)*IF(ES11&lt;INDEX('Lease Cycles'!$FA$8:$FG$8,1,ES10),0,1-INDEX('Lease Cycles'!$EM$8:$ES$8,1,ES10)),IF(OR(INDEX('Lease Cycles'!$DY$8:$EE$8,1,ES10)=1,ES11&gt;0),1,1-INDEX('Lease Cycles'!$DD$8:$DJ$8,1,ES10))*((1-'Lease Cycles'!$AJ$8)*INDEX('Lease Cycles'!$FO$8:$FU$8,1,ES10)+(1-'Lease Cycles'!$BE$8)*(1-INDEX('Lease Cycles'!$FO$8:$FU$8,1,ES10)))),0)</f>
        <v>0.5360134003350083</v>
      </c>
      <c r="ET18" s="24">
        <f>IF(ET12=1,'Lease Cycles'!$D$8*IF(INDEX('Lease Cycles'!$EF$8:$EL$8,1,ET10)=1,(1-'Lease Cycles'!$AJ$8)*INDEX('Lease Cycles'!$EM$8:$ES$8,1,ET10)+(1-'Lease Cycles'!$BE$8)*IF(ET11&lt;INDEX('Lease Cycles'!$FA$8:$FG$8,1,ET10),0,1-INDEX('Lease Cycles'!$EM$8:$ES$8,1,ET10)),IF(OR(INDEX('Lease Cycles'!$DY$8:$EE$8,1,ET10)=1,ET11&gt;0),1,1-INDEX('Lease Cycles'!$DD$8:$DJ$8,1,ET10))*((1-'Lease Cycles'!$AJ$8)*INDEX('Lease Cycles'!$FO$8:$FU$8,1,ET10)+(1-'Lease Cycles'!$BE$8)*(1-INDEX('Lease Cycles'!$FO$8:$FU$8,1,ET10)))),0)</f>
        <v>0.5360134003350083</v>
      </c>
    </row>
    <row r="19">
      <c r="A19" s="103">
        <v>1</v>
      </c>
      <c r="B19" s="23" t="str">
        <f>IF('Lease Cycles'!$B$8="","(empty slot)",'Lease Cycles'!$B$8)</f>
        <v>Fieldstone Grocery</v>
      </c>
      <c r="C19" s="23" t="s">
        <v>685</v>
      </c>
      <c r="D19" s="104" t="s">
        <v>686</v>
      </c>
      <c r="E19" s="25">
        <f>'Lease Cycles'!$AL$8</f>
        <v>1</v>
      </c>
      <c r="G19" s="24">
        <f>SUM(S19:AD19)</f>
        <v>0</v>
      </c>
      <c r="H19" s="24">
        <f>SUM(AE19:AP19)</f>
        <v>0</v>
      </c>
      <c r="I19" s="24">
        <f>SUM(AQ19:BB19)</f>
        <v>0</v>
      </c>
      <c r="J19" s="24">
        <f>SUM(BC19:BN19)</f>
        <v>0</v>
      </c>
      <c r="K19" s="24">
        <f>SUM(BO19:BZ19)</f>
        <v>0</v>
      </c>
      <c r="L19" s="24">
        <f>SUM(CA19:CL19)</f>
        <v>0</v>
      </c>
      <c r="M19" s="24">
        <f>SUM(CM19:CX19)</f>
        <v>0</v>
      </c>
      <c r="N19" s="24">
        <f>SUM(CY19:DJ19)</f>
        <v>0</v>
      </c>
      <c r="O19" s="24">
        <f>SUM(DK19:DV19)</f>
        <v>0</v>
      </c>
      <c r="P19" s="24">
        <f>SUM(DW19:EH19)</f>
        <v>0</v>
      </c>
      <c r="Q19" s="24">
        <f>SUM(EI19:ET19)</f>
        <v>0</v>
      </c>
      <c r="S19" s="24">
        <f>IF(S12=1,IF('Lease Cycles'!$AJ$8=1,0,'Lease Cycles'!$D$8*INDEX('Lease Cycles'!$FH$8:$FN$8,1,S10)*IF(INDEX('Lease Cycles'!$EF$8:$EL$8,1,S10)=1,1,IF(OR(INDEX('Lease Cycles'!$DY$8:$EE$8,1,S10)=1,S11&gt;0),1,1-INDEX('Lease Cycles'!$DD$8:$DJ$8,1,S10)))),0)</f>
        <v>0</v>
      </c>
      <c r="T19" s="24">
        <f>IF(T12=1,IF('Lease Cycles'!$AJ$8=1,0,'Lease Cycles'!$D$8*INDEX('Lease Cycles'!$FH$8:$FN$8,1,T10)*IF(INDEX('Lease Cycles'!$EF$8:$EL$8,1,T10)=1,1,IF(OR(INDEX('Lease Cycles'!$DY$8:$EE$8,1,T10)=1,T11&gt;0),1,1-INDEX('Lease Cycles'!$DD$8:$DJ$8,1,T10)))),0)</f>
        <v>0</v>
      </c>
      <c r="U19" s="24">
        <f>IF(U12=1,IF('Lease Cycles'!$AJ$8=1,0,'Lease Cycles'!$D$8*INDEX('Lease Cycles'!$FH$8:$FN$8,1,U10)*IF(INDEX('Lease Cycles'!$EF$8:$EL$8,1,U10)=1,1,IF(OR(INDEX('Lease Cycles'!$DY$8:$EE$8,1,U10)=1,U11&gt;0),1,1-INDEX('Lease Cycles'!$DD$8:$DJ$8,1,U10)))),0)</f>
        <v>0</v>
      </c>
      <c r="V19" s="24">
        <f>IF(V12=1,IF('Lease Cycles'!$AJ$8=1,0,'Lease Cycles'!$D$8*INDEX('Lease Cycles'!$FH$8:$FN$8,1,V10)*IF(INDEX('Lease Cycles'!$EF$8:$EL$8,1,V10)=1,1,IF(OR(INDEX('Lease Cycles'!$DY$8:$EE$8,1,V10)=1,V11&gt;0),1,1-INDEX('Lease Cycles'!$DD$8:$DJ$8,1,V10)))),0)</f>
        <v>0</v>
      </c>
      <c r="W19" s="24">
        <f>IF(W12=1,IF('Lease Cycles'!$AJ$8=1,0,'Lease Cycles'!$D$8*INDEX('Lease Cycles'!$FH$8:$FN$8,1,W10)*IF(INDEX('Lease Cycles'!$EF$8:$EL$8,1,W10)=1,1,IF(OR(INDEX('Lease Cycles'!$DY$8:$EE$8,1,W10)=1,W11&gt;0),1,1-INDEX('Lease Cycles'!$DD$8:$DJ$8,1,W10)))),0)</f>
        <v>0</v>
      </c>
      <c r="X19" s="24">
        <f>IF(X12=1,IF('Lease Cycles'!$AJ$8=1,0,'Lease Cycles'!$D$8*INDEX('Lease Cycles'!$FH$8:$FN$8,1,X10)*IF(INDEX('Lease Cycles'!$EF$8:$EL$8,1,X10)=1,1,IF(OR(INDEX('Lease Cycles'!$DY$8:$EE$8,1,X10)=1,X11&gt;0),1,1-INDEX('Lease Cycles'!$DD$8:$DJ$8,1,X10)))),0)</f>
        <v>0</v>
      </c>
      <c r="Y19" s="24">
        <f>IF(Y12=1,IF('Lease Cycles'!$AJ$8=1,0,'Lease Cycles'!$D$8*INDEX('Lease Cycles'!$FH$8:$FN$8,1,Y10)*IF(INDEX('Lease Cycles'!$EF$8:$EL$8,1,Y10)=1,1,IF(OR(INDEX('Lease Cycles'!$DY$8:$EE$8,1,Y10)=1,Y11&gt;0),1,1-INDEX('Lease Cycles'!$DD$8:$DJ$8,1,Y10)))),0)</f>
        <v>0</v>
      </c>
      <c r="Z19" s="24">
        <f>IF(Z12=1,IF('Lease Cycles'!$AJ$8=1,0,'Lease Cycles'!$D$8*INDEX('Lease Cycles'!$FH$8:$FN$8,1,Z10)*IF(INDEX('Lease Cycles'!$EF$8:$EL$8,1,Z10)=1,1,IF(OR(INDEX('Lease Cycles'!$DY$8:$EE$8,1,Z10)=1,Z11&gt;0),1,1-INDEX('Lease Cycles'!$DD$8:$DJ$8,1,Z10)))),0)</f>
        <v>0</v>
      </c>
      <c r="AA19" s="24">
        <f>IF(AA12=1,IF('Lease Cycles'!$AJ$8=1,0,'Lease Cycles'!$D$8*INDEX('Lease Cycles'!$FH$8:$FN$8,1,AA10)*IF(INDEX('Lease Cycles'!$EF$8:$EL$8,1,AA10)=1,1,IF(OR(INDEX('Lease Cycles'!$DY$8:$EE$8,1,AA10)=1,AA11&gt;0),1,1-INDEX('Lease Cycles'!$DD$8:$DJ$8,1,AA10)))),0)</f>
        <v>0</v>
      </c>
      <c r="AB19" s="24">
        <f>IF(AB12=1,IF('Lease Cycles'!$AJ$8=1,0,'Lease Cycles'!$D$8*INDEX('Lease Cycles'!$FH$8:$FN$8,1,AB10)*IF(INDEX('Lease Cycles'!$EF$8:$EL$8,1,AB10)=1,1,IF(OR(INDEX('Lease Cycles'!$DY$8:$EE$8,1,AB10)=1,AB11&gt;0),1,1-INDEX('Lease Cycles'!$DD$8:$DJ$8,1,AB10)))),0)</f>
        <v>0</v>
      </c>
      <c r="AC19" s="24">
        <f>IF(AC12=1,IF('Lease Cycles'!$AJ$8=1,0,'Lease Cycles'!$D$8*INDEX('Lease Cycles'!$FH$8:$FN$8,1,AC10)*IF(INDEX('Lease Cycles'!$EF$8:$EL$8,1,AC10)=1,1,IF(OR(INDEX('Lease Cycles'!$DY$8:$EE$8,1,AC10)=1,AC11&gt;0),1,1-INDEX('Lease Cycles'!$DD$8:$DJ$8,1,AC10)))),0)</f>
        <v>0</v>
      </c>
      <c r="AD19" s="24">
        <f>IF(AD12=1,IF('Lease Cycles'!$AJ$8=1,0,'Lease Cycles'!$D$8*INDEX('Lease Cycles'!$FH$8:$FN$8,1,AD10)*IF(INDEX('Lease Cycles'!$EF$8:$EL$8,1,AD10)=1,1,IF(OR(INDEX('Lease Cycles'!$DY$8:$EE$8,1,AD10)=1,AD11&gt;0),1,1-INDEX('Lease Cycles'!$DD$8:$DJ$8,1,AD10)))),0)</f>
        <v>0</v>
      </c>
      <c r="AE19" s="24">
        <f>IF(AE12=1,IF('Lease Cycles'!$AJ$8=1,0,'Lease Cycles'!$D$8*INDEX('Lease Cycles'!$FH$8:$FN$8,1,AE10)*IF(INDEX('Lease Cycles'!$EF$8:$EL$8,1,AE10)=1,1,IF(OR(INDEX('Lease Cycles'!$DY$8:$EE$8,1,AE10)=1,AE11&gt;0),1,1-INDEX('Lease Cycles'!$DD$8:$DJ$8,1,AE10)))),0)</f>
        <v>0</v>
      </c>
      <c r="AF19" s="24">
        <f>IF(AF12=1,IF('Lease Cycles'!$AJ$8=1,0,'Lease Cycles'!$D$8*INDEX('Lease Cycles'!$FH$8:$FN$8,1,AF10)*IF(INDEX('Lease Cycles'!$EF$8:$EL$8,1,AF10)=1,1,IF(OR(INDEX('Lease Cycles'!$DY$8:$EE$8,1,AF10)=1,AF11&gt;0),1,1-INDEX('Lease Cycles'!$DD$8:$DJ$8,1,AF10)))),0)</f>
        <v>0</v>
      </c>
      <c r="AG19" s="24">
        <f>IF(AG12=1,IF('Lease Cycles'!$AJ$8=1,0,'Lease Cycles'!$D$8*INDEX('Lease Cycles'!$FH$8:$FN$8,1,AG10)*IF(INDEX('Lease Cycles'!$EF$8:$EL$8,1,AG10)=1,1,IF(OR(INDEX('Lease Cycles'!$DY$8:$EE$8,1,AG10)=1,AG11&gt;0),1,1-INDEX('Lease Cycles'!$DD$8:$DJ$8,1,AG10)))),0)</f>
        <v>0</v>
      </c>
      <c r="AH19" s="24">
        <f>IF(AH12=1,IF('Lease Cycles'!$AJ$8=1,0,'Lease Cycles'!$D$8*INDEX('Lease Cycles'!$FH$8:$FN$8,1,AH10)*IF(INDEX('Lease Cycles'!$EF$8:$EL$8,1,AH10)=1,1,IF(OR(INDEX('Lease Cycles'!$DY$8:$EE$8,1,AH10)=1,AH11&gt;0),1,1-INDEX('Lease Cycles'!$DD$8:$DJ$8,1,AH10)))),0)</f>
        <v>0</v>
      </c>
      <c r="AI19" s="24">
        <f>IF(AI12=1,IF('Lease Cycles'!$AJ$8=1,0,'Lease Cycles'!$D$8*INDEX('Lease Cycles'!$FH$8:$FN$8,1,AI10)*IF(INDEX('Lease Cycles'!$EF$8:$EL$8,1,AI10)=1,1,IF(OR(INDEX('Lease Cycles'!$DY$8:$EE$8,1,AI10)=1,AI11&gt;0),1,1-INDEX('Lease Cycles'!$DD$8:$DJ$8,1,AI10)))),0)</f>
        <v>0</v>
      </c>
      <c r="AJ19" s="24">
        <f>IF(AJ12=1,IF('Lease Cycles'!$AJ$8=1,0,'Lease Cycles'!$D$8*INDEX('Lease Cycles'!$FH$8:$FN$8,1,AJ10)*IF(INDEX('Lease Cycles'!$EF$8:$EL$8,1,AJ10)=1,1,IF(OR(INDEX('Lease Cycles'!$DY$8:$EE$8,1,AJ10)=1,AJ11&gt;0),1,1-INDEX('Lease Cycles'!$DD$8:$DJ$8,1,AJ10)))),0)</f>
        <v>0</v>
      </c>
      <c r="AK19" s="24">
        <f>IF(AK12=1,IF('Lease Cycles'!$AJ$8=1,0,'Lease Cycles'!$D$8*INDEX('Lease Cycles'!$FH$8:$FN$8,1,AK10)*IF(INDEX('Lease Cycles'!$EF$8:$EL$8,1,AK10)=1,1,IF(OR(INDEX('Lease Cycles'!$DY$8:$EE$8,1,AK10)=1,AK11&gt;0),1,1-INDEX('Lease Cycles'!$DD$8:$DJ$8,1,AK10)))),0)</f>
        <v>0</v>
      </c>
      <c r="AL19" s="24">
        <f>IF(AL12=1,IF('Lease Cycles'!$AJ$8=1,0,'Lease Cycles'!$D$8*INDEX('Lease Cycles'!$FH$8:$FN$8,1,AL10)*IF(INDEX('Lease Cycles'!$EF$8:$EL$8,1,AL10)=1,1,IF(OR(INDEX('Lease Cycles'!$DY$8:$EE$8,1,AL10)=1,AL11&gt;0),1,1-INDEX('Lease Cycles'!$DD$8:$DJ$8,1,AL10)))),0)</f>
        <v>0</v>
      </c>
      <c r="AM19" s="24">
        <f>IF(AM12=1,IF('Lease Cycles'!$AJ$8=1,0,'Lease Cycles'!$D$8*INDEX('Lease Cycles'!$FH$8:$FN$8,1,AM10)*IF(INDEX('Lease Cycles'!$EF$8:$EL$8,1,AM10)=1,1,IF(OR(INDEX('Lease Cycles'!$DY$8:$EE$8,1,AM10)=1,AM11&gt;0),1,1-INDEX('Lease Cycles'!$DD$8:$DJ$8,1,AM10)))),0)</f>
        <v>0</v>
      </c>
      <c r="AN19" s="24">
        <f>IF(AN12=1,IF('Lease Cycles'!$AJ$8=1,0,'Lease Cycles'!$D$8*INDEX('Lease Cycles'!$FH$8:$FN$8,1,AN10)*IF(INDEX('Lease Cycles'!$EF$8:$EL$8,1,AN10)=1,1,IF(OR(INDEX('Lease Cycles'!$DY$8:$EE$8,1,AN10)=1,AN11&gt;0),1,1-INDEX('Lease Cycles'!$DD$8:$DJ$8,1,AN10)))),0)</f>
        <v>0</v>
      </c>
      <c r="AO19" s="24">
        <f>IF(AO12=1,IF('Lease Cycles'!$AJ$8=1,0,'Lease Cycles'!$D$8*INDEX('Lease Cycles'!$FH$8:$FN$8,1,AO10)*IF(INDEX('Lease Cycles'!$EF$8:$EL$8,1,AO10)=1,1,IF(OR(INDEX('Lease Cycles'!$DY$8:$EE$8,1,AO10)=1,AO11&gt;0),1,1-INDEX('Lease Cycles'!$DD$8:$DJ$8,1,AO10)))),0)</f>
        <v>0</v>
      </c>
      <c r="AP19" s="24">
        <f>IF(AP12=1,IF('Lease Cycles'!$AJ$8=1,0,'Lease Cycles'!$D$8*INDEX('Lease Cycles'!$FH$8:$FN$8,1,AP10)*IF(INDEX('Lease Cycles'!$EF$8:$EL$8,1,AP10)=1,1,IF(OR(INDEX('Lease Cycles'!$DY$8:$EE$8,1,AP10)=1,AP11&gt;0),1,1-INDEX('Lease Cycles'!$DD$8:$DJ$8,1,AP10)))),0)</f>
        <v>0</v>
      </c>
      <c r="AQ19" s="24">
        <f>IF(AQ12=1,IF('Lease Cycles'!$AJ$8=1,0,'Lease Cycles'!$D$8*INDEX('Lease Cycles'!$FH$8:$FN$8,1,AQ10)*IF(INDEX('Lease Cycles'!$EF$8:$EL$8,1,AQ10)=1,1,IF(OR(INDEX('Lease Cycles'!$DY$8:$EE$8,1,AQ10)=1,AQ11&gt;0),1,1-INDEX('Lease Cycles'!$DD$8:$DJ$8,1,AQ10)))),0)</f>
        <v>0</v>
      </c>
      <c r="AR19" s="24">
        <f>IF(AR12=1,IF('Lease Cycles'!$AJ$8=1,0,'Lease Cycles'!$D$8*INDEX('Lease Cycles'!$FH$8:$FN$8,1,AR10)*IF(INDEX('Lease Cycles'!$EF$8:$EL$8,1,AR10)=1,1,IF(OR(INDEX('Lease Cycles'!$DY$8:$EE$8,1,AR10)=1,AR11&gt;0),1,1-INDEX('Lease Cycles'!$DD$8:$DJ$8,1,AR10)))),0)</f>
        <v>0</v>
      </c>
      <c r="AS19" s="24">
        <f>IF(AS12=1,IF('Lease Cycles'!$AJ$8=1,0,'Lease Cycles'!$D$8*INDEX('Lease Cycles'!$FH$8:$FN$8,1,AS10)*IF(INDEX('Lease Cycles'!$EF$8:$EL$8,1,AS10)=1,1,IF(OR(INDEX('Lease Cycles'!$DY$8:$EE$8,1,AS10)=1,AS11&gt;0),1,1-INDEX('Lease Cycles'!$DD$8:$DJ$8,1,AS10)))),0)</f>
        <v>0</v>
      </c>
      <c r="AT19" s="24">
        <f>IF(AT12=1,IF('Lease Cycles'!$AJ$8=1,0,'Lease Cycles'!$D$8*INDEX('Lease Cycles'!$FH$8:$FN$8,1,AT10)*IF(INDEX('Lease Cycles'!$EF$8:$EL$8,1,AT10)=1,1,IF(OR(INDEX('Lease Cycles'!$DY$8:$EE$8,1,AT10)=1,AT11&gt;0),1,1-INDEX('Lease Cycles'!$DD$8:$DJ$8,1,AT10)))),0)</f>
        <v>0</v>
      </c>
      <c r="AU19" s="24">
        <f>IF(AU12=1,IF('Lease Cycles'!$AJ$8=1,0,'Lease Cycles'!$D$8*INDEX('Lease Cycles'!$FH$8:$FN$8,1,AU10)*IF(INDEX('Lease Cycles'!$EF$8:$EL$8,1,AU10)=1,1,IF(OR(INDEX('Lease Cycles'!$DY$8:$EE$8,1,AU10)=1,AU11&gt;0),1,1-INDEX('Lease Cycles'!$DD$8:$DJ$8,1,AU10)))),0)</f>
        <v>0</v>
      </c>
      <c r="AV19" s="24">
        <f>IF(AV12=1,IF('Lease Cycles'!$AJ$8=1,0,'Lease Cycles'!$D$8*INDEX('Lease Cycles'!$FH$8:$FN$8,1,AV10)*IF(INDEX('Lease Cycles'!$EF$8:$EL$8,1,AV10)=1,1,IF(OR(INDEX('Lease Cycles'!$DY$8:$EE$8,1,AV10)=1,AV11&gt;0),1,1-INDEX('Lease Cycles'!$DD$8:$DJ$8,1,AV10)))),0)</f>
        <v>0</v>
      </c>
      <c r="AW19" s="24">
        <f>IF(AW12=1,IF('Lease Cycles'!$AJ$8=1,0,'Lease Cycles'!$D$8*INDEX('Lease Cycles'!$FH$8:$FN$8,1,AW10)*IF(INDEX('Lease Cycles'!$EF$8:$EL$8,1,AW10)=1,1,IF(OR(INDEX('Lease Cycles'!$DY$8:$EE$8,1,AW10)=1,AW11&gt;0),1,1-INDEX('Lease Cycles'!$DD$8:$DJ$8,1,AW10)))),0)</f>
        <v>0</v>
      </c>
      <c r="AX19" s="24">
        <f>IF(AX12=1,IF('Lease Cycles'!$AJ$8=1,0,'Lease Cycles'!$D$8*INDEX('Lease Cycles'!$FH$8:$FN$8,1,AX10)*IF(INDEX('Lease Cycles'!$EF$8:$EL$8,1,AX10)=1,1,IF(OR(INDEX('Lease Cycles'!$DY$8:$EE$8,1,AX10)=1,AX11&gt;0),1,1-INDEX('Lease Cycles'!$DD$8:$DJ$8,1,AX10)))),0)</f>
        <v>0</v>
      </c>
      <c r="AY19" s="24">
        <f>IF(AY12=1,IF('Lease Cycles'!$AJ$8=1,0,'Lease Cycles'!$D$8*INDEX('Lease Cycles'!$FH$8:$FN$8,1,AY10)*IF(INDEX('Lease Cycles'!$EF$8:$EL$8,1,AY10)=1,1,IF(OR(INDEX('Lease Cycles'!$DY$8:$EE$8,1,AY10)=1,AY11&gt;0),1,1-INDEX('Lease Cycles'!$DD$8:$DJ$8,1,AY10)))),0)</f>
        <v>0</v>
      </c>
      <c r="AZ19" s="24">
        <f>IF(AZ12=1,IF('Lease Cycles'!$AJ$8=1,0,'Lease Cycles'!$D$8*INDEX('Lease Cycles'!$FH$8:$FN$8,1,AZ10)*IF(INDEX('Lease Cycles'!$EF$8:$EL$8,1,AZ10)=1,1,IF(OR(INDEX('Lease Cycles'!$DY$8:$EE$8,1,AZ10)=1,AZ11&gt;0),1,1-INDEX('Lease Cycles'!$DD$8:$DJ$8,1,AZ10)))),0)</f>
        <v>0</v>
      </c>
      <c r="BA19" s="24">
        <f>IF(BA12=1,IF('Lease Cycles'!$AJ$8=1,0,'Lease Cycles'!$D$8*INDEX('Lease Cycles'!$FH$8:$FN$8,1,BA10)*IF(INDEX('Lease Cycles'!$EF$8:$EL$8,1,BA10)=1,1,IF(OR(INDEX('Lease Cycles'!$DY$8:$EE$8,1,BA10)=1,BA11&gt;0),1,1-INDEX('Lease Cycles'!$DD$8:$DJ$8,1,BA10)))),0)</f>
        <v>0</v>
      </c>
      <c r="BB19" s="24">
        <f>IF(BB12=1,IF('Lease Cycles'!$AJ$8=1,0,'Lease Cycles'!$D$8*INDEX('Lease Cycles'!$FH$8:$FN$8,1,BB10)*IF(INDEX('Lease Cycles'!$EF$8:$EL$8,1,BB10)=1,1,IF(OR(INDEX('Lease Cycles'!$DY$8:$EE$8,1,BB10)=1,BB11&gt;0),1,1-INDEX('Lease Cycles'!$DD$8:$DJ$8,1,BB10)))),0)</f>
        <v>0</v>
      </c>
      <c r="BC19" s="24">
        <f>IF(BC12=1,IF('Lease Cycles'!$AJ$8=1,0,'Lease Cycles'!$D$8*INDEX('Lease Cycles'!$FH$8:$FN$8,1,BC10)*IF(INDEX('Lease Cycles'!$EF$8:$EL$8,1,BC10)=1,1,IF(OR(INDEX('Lease Cycles'!$DY$8:$EE$8,1,BC10)=1,BC11&gt;0),1,1-INDEX('Lease Cycles'!$DD$8:$DJ$8,1,BC10)))),0)</f>
        <v>0</v>
      </c>
      <c r="BD19" s="24">
        <f>IF(BD12=1,IF('Lease Cycles'!$AJ$8=1,0,'Lease Cycles'!$D$8*INDEX('Lease Cycles'!$FH$8:$FN$8,1,BD10)*IF(INDEX('Lease Cycles'!$EF$8:$EL$8,1,BD10)=1,1,IF(OR(INDEX('Lease Cycles'!$DY$8:$EE$8,1,BD10)=1,BD11&gt;0),1,1-INDEX('Lease Cycles'!$DD$8:$DJ$8,1,BD10)))),0)</f>
        <v>0</v>
      </c>
      <c r="BE19" s="24">
        <f>IF(BE12=1,IF('Lease Cycles'!$AJ$8=1,0,'Lease Cycles'!$D$8*INDEX('Lease Cycles'!$FH$8:$FN$8,1,BE10)*IF(INDEX('Lease Cycles'!$EF$8:$EL$8,1,BE10)=1,1,IF(OR(INDEX('Lease Cycles'!$DY$8:$EE$8,1,BE10)=1,BE11&gt;0),1,1-INDEX('Lease Cycles'!$DD$8:$DJ$8,1,BE10)))),0)</f>
        <v>0</v>
      </c>
      <c r="BF19" s="24">
        <f>IF(BF12=1,IF('Lease Cycles'!$AJ$8=1,0,'Lease Cycles'!$D$8*INDEX('Lease Cycles'!$FH$8:$FN$8,1,BF10)*IF(INDEX('Lease Cycles'!$EF$8:$EL$8,1,BF10)=1,1,IF(OR(INDEX('Lease Cycles'!$DY$8:$EE$8,1,BF10)=1,BF11&gt;0),1,1-INDEX('Lease Cycles'!$DD$8:$DJ$8,1,BF10)))),0)</f>
        <v>0</v>
      </c>
      <c r="BG19" s="24">
        <f>IF(BG12=1,IF('Lease Cycles'!$AJ$8=1,0,'Lease Cycles'!$D$8*INDEX('Lease Cycles'!$FH$8:$FN$8,1,BG10)*IF(INDEX('Lease Cycles'!$EF$8:$EL$8,1,BG10)=1,1,IF(OR(INDEX('Lease Cycles'!$DY$8:$EE$8,1,BG10)=1,BG11&gt;0),1,1-INDEX('Lease Cycles'!$DD$8:$DJ$8,1,BG10)))),0)</f>
        <v>0</v>
      </c>
      <c r="BH19" s="24">
        <f>IF(BH12=1,IF('Lease Cycles'!$AJ$8=1,0,'Lease Cycles'!$D$8*INDEX('Lease Cycles'!$FH$8:$FN$8,1,BH10)*IF(INDEX('Lease Cycles'!$EF$8:$EL$8,1,BH10)=1,1,IF(OR(INDEX('Lease Cycles'!$DY$8:$EE$8,1,BH10)=1,BH11&gt;0),1,1-INDEX('Lease Cycles'!$DD$8:$DJ$8,1,BH10)))),0)</f>
        <v>0</v>
      </c>
      <c r="BI19" s="24">
        <f>IF(BI12=1,IF('Lease Cycles'!$AJ$8=1,0,'Lease Cycles'!$D$8*INDEX('Lease Cycles'!$FH$8:$FN$8,1,BI10)*IF(INDEX('Lease Cycles'!$EF$8:$EL$8,1,BI10)=1,1,IF(OR(INDEX('Lease Cycles'!$DY$8:$EE$8,1,BI10)=1,BI11&gt;0),1,1-INDEX('Lease Cycles'!$DD$8:$DJ$8,1,BI10)))),0)</f>
        <v>0</v>
      </c>
      <c r="BJ19" s="24">
        <f>IF(BJ12=1,IF('Lease Cycles'!$AJ$8=1,0,'Lease Cycles'!$D$8*INDEX('Lease Cycles'!$FH$8:$FN$8,1,BJ10)*IF(INDEX('Lease Cycles'!$EF$8:$EL$8,1,BJ10)=1,1,IF(OR(INDEX('Lease Cycles'!$DY$8:$EE$8,1,BJ10)=1,BJ11&gt;0),1,1-INDEX('Lease Cycles'!$DD$8:$DJ$8,1,BJ10)))),0)</f>
        <v>0</v>
      </c>
      <c r="BK19" s="24">
        <f>IF(BK12=1,IF('Lease Cycles'!$AJ$8=1,0,'Lease Cycles'!$D$8*INDEX('Lease Cycles'!$FH$8:$FN$8,1,BK10)*IF(INDEX('Lease Cycles'!$EF$8:$EL$8,1,BK10)=1,1,IF(OR(INDEX('Lease Cycles'!$DY$8:$EE$8,1,BK10)=1,BK11&gt;0),1,1-INDEX('Lease Cycles'!$DD$8:$DJ$8,1,BK10)))),0)</f>
        <v>0</v>
      </c>
      <c r="BL19" s="24">
        <f>IF(BL12=1,IF('Lease Cycles'!$AJ$8=1,0,'Lease Cycles'!$D$8*INDEX('Lease Cycles'!$FH$8:$FN$8,1,BL10)*IF(INDEX('Lease Cycles'!$EF$8:$EL$8,1,BL10)=1,1,IF(OR(INDEX('Lease Cycles'!$DY$8:$EE$8,1,BL10)=1,BL11&gt;0),1,1-INDEX('Lease Cycles'!$DD$8:$DJ$8,1,BL10)))),0)</f>
        <v>0</v>
      </c>
      <c r="BM19" s="24">
        <f>IF(BM12=1,IF('Lease Cycles'!$AJ$8=1,0,'Lease Cycles'!$D$8*INDEX('Lease Cycles'!$FH$8:$FN$8,1,BM10)*IF(INDEX('Lease Cycles'!$EF$8:$EL$8,1,BM10)=1,1,IF(OR(INDEX('Lease Cycles'!$DY$8:$EE$8,1,BM10)=1,BM11&gt;0),1,1-INDEX('Lease Cycles'!$DD$8:$DJ$8,1,BM10)))),0)</f>
        <v>0</v>
      </c>
      <c r="BN19" s="24">
        <f>IF(BN12=1,IF('Lease Cycles'!$AJ$8=1,0,'Lease Cycles'!$D$8*INDEX('Lease Cycles'!$FH$8:$FN$8,1,BN10)*IF(INDEX('Lease Cycles'!$EF$8:$EL$8,1,BN10)=1,1,IF(OR(INDEX('Lease Cycles'!$DY$8:$EE$8,1,BN10)=1,BN11&gt;0),1,1-INDEX('Lease Cycles'!$DD$8:$DJ$8,1,BN10)))),0)</f>
        <v>0</v>
      </c>
      <c r="BO19" s="24">
        <f>IF(BO12=1,IF('Lease Cycles'!$AJ$8=1,0,'Lease Cycles'!$D$8*INDEX('Lease Cycles'!$FH$8:$FN$8,1,BO10)*IF(INDEX('Lease Cycles'!$EF$8:$EL$8,1,BO10)=1,1,IF(OR(INDEX('Lease Cycles'!$DY$8:$EE$8,1,BO10)=1,BO11&gt;0),1,1-INDEX('Lease Cycles'!$DD$8:$DJ$8,1,BO10)))),0)</f>
        <v>0</v>
      </c>
      <c r="BP19" s="24">
        <f>IF(BP12=1,IF('Lease Cycles'!$AJ$8=1,0,'Lease Cycles'!$D$8*INDEX('Lease Cycles'!$FH$8:$FN$8,1,BP10)*IF(INDEX('Lease Cycles'!$EF$8:$EL$8,1,BP10)=1,1,IF(OR(INDEX('Lease Cycles'!$DY$8:$EE$8,1,BP10)=1,BP11&gt;0),1,1-INDEX('Lease Cycles'!$DD$8:$DJ$8,1,BP10)))),0)</f>
        <v>0</v>
      </c>
      <c r="BQ19" s="24">
        <f>IF(BQ12=1,IF('Lease Cycles'!$AJ$8=1,0,'Lease Cycles'!$D$8*INDEX('Lease Cycles'!$FH$8:$FN$8,1,BQ10)*IF(INDEX('Lease Cycles'!$EF$8:$EL$8,1,BQ10)=1,1,IF(OR(INDEX('Lease Cycles'!$DY$8:$EE$8,1,BQ10)=1,BQ11&gt;0),1,1-INDEX('Lease Cycles'!$DD$8:$DJ$8,1,BQ10)))),0)</f>
        <v>0</v>
      </c>
      <c r="BR19" s="24">
        <f>IF(BR12=1,IF('Lease Cycles'!$AJ$8=1,0,'Lease Cycles'!$D$8*INDEX('Lease Cycles'!$FH$8:$FN$8,1,BR10)*IF(INDEX('Lease Cycles'!$EF$8:$EL$8,1,BR10)=1,1,IF(OR(INDEX('Lease Cycles'!$DY$8:$EE$8,1,BR10)=1,BR11&gt;0),1,1-INDEX('Lease Cycles'!$DD$8:$DJ$8,1,BR10)))),0)</f>
        <v>0</v>
      </c>
      <c r="BS19" s="24">
        <f>IF(BS12=1,IF('Lease Cycles'!$AJ$8=1,0,'Lease Cycles'!$D$8*INDEX('Lease Cycles'!$FH$8:$FN$8,1,BS10)*IF(INDEX('Lease Cycles'!$EF$8:$EL$8,1,BS10)=1,1,IF(OR(INDEX('Lease Cycles'!$DY$8:$EE$8,1,BS10)=1,BS11&gt;0),1,1-INDEX('Lease Cycles'!$DD$8:$DJ$8,1,BS10)))),0)</f>
        <v>0</v>
      </c>
      <c r="BT19" s="24">
        <f>IF(BT12=1,IF('Lease Cycles'!$AJ$8=1,0,'Lease Cycles'!$D$8*INDEX('Lease Cycles'!$FH$8:$FN$8,1,BT10)*IF(INDEX('Lease Cycles'!$EF$8:$EL$8,1,BT10)=1,1,IF(OR(INDEX('Lease Cycles'!$DY$8:$EE$8,1,BT10)=1,BT11&gt;0),1,1-INDEX('Lease Cycles'!$DD$8:$DJ$8,1,BT10)))),0)</f>
        <v>0</v>
      </c>
      <c r="BU19" s="24">
        <f>IF(BU12=1,IF('Lease Cycles'!$AJ$8=1,0,'Lease Cycles'!$D$8*INDEX('Lease Cycles'!$FH$8:$FN$8,1,BU10)*IF(INDEX('Lease Cycles'!$EF$8:$EL$8,1,BU10)=1,1,IF(OR(INDEX('Lease Cycles'!$DY$8:$EE$8,1,BU10)=1,BU11&gt;0),1,1-INDEX('Lease Cycles'!$DD$8:$DJ$8,1,BU10)))),0)</f>
        <v>0</v>
      </c>
      <c r="BV19" s="24">
        <f>IF(BV12=1,IF('Lease Cycles'!$AJ$8=1,0,'Lease Cycles'!$D$8*INDEX('Lease Cycles'!$FH$8:$FN$8,1,BV10)*IF(INDEX('Lease Cycles'!$EF$8:$EL$8,1,BV10)=1,1,IF(OR(INDEX('Lease Cycles'!$DY$8:$EE$8,1,BV10)=1,BV11&gt;0),1,1-INDEX('Lease Cycles'!$DD$8:$DJ$8,1,BV10)))),0)</f>
        <v>0</v>
      </c>
      <c r="BW19" s="24">
        <f>IF(BW12=1,IF('Lease Cycles'!$AJ$8=1,0,'Lease Cycles'!$D$8*INDEX('Lease Cycles'!$FH$8:$FN$8,1,BW10)*IF(INDEX('Lease Cycles'!$EF$8:$EL$8,1,BW10)=1,1,IF(OR(INDEX('Lease Cycles'!$DY$8:$EE$8,1,BW10)=1,BW11&gt;0),1,1-INDEX('Lease Cycles'!$DD$8:$DJ$8,1,BW10)))),0)</f>
        <v>0</v>
      </c>
      <c r="BX19" s="24">
        <f>IF(BX12=1,IF('Lease Cycles'!$AJ$8=1,0,'Lease Cycles'!$D$8*INDEX('Lease Cycles'!$FH$8:$FN$8,1,BX10)*IF(INDEX('Lease Cycles'!$EF$8:$EL$8,1,BX10)=1,1,IF(OR(INDEX('Lease Cycles'!$DY$8:$EE$8,1,BX10)=1,BX11&gt;0),1,1-INDEX('Lease Cycles'!$DD$8:$DJ$8,1,BX10)))),0)</f>
        <v>0</v>
      </c>
      <c r="BY19" s="24">
        <f>IF(BY12=1,IF('Lease Cycles'!$AJ$8=1,0,'Lease Cycles'!$D$8*INDEX('Lease Cycles'!$FH$8:$FN$8,1,BY10)*IF(INDEX('Lease Cycles'!$EF$8:$EL$8,1,BY10)=1,1,IF(OR(INDEX('Lease Cycles'!$DY$8:$EE$8,1,BY10)=1,BY11&gt;0),1,1-INDEX('Lease Cycles'!$DD$8:$DJ$8,1,BY10)))),0)</f>
        <v>0</v>
      </c>
      <c r="BZ19" s="24">
        <f>IF(BZ12=1,IF('Lease Cycles'!$AJ$8=1,0,'Lease Cycles'!$D$8*INDEX('Lease Cycles'!$FH$8:$FN$8,1,BZ10)*IF(INDEX('Lease Cycles'!$EF$8:$EL$8,1,BZ10)=1,1,IF(OR(INDEX('Lease Cycles'!$DY$8:$EE$8,1,BZ10)=1,BZ11&gt;0),1,1-INDEX('Lease Cycles'!$DD$8:$DJ$8,1,BZ10)))),0)</f>
        <v>0</v>
      </c>
      <c r="CA19" s="24">
        <f>IF(CA12=1,IF('Lease Cycles'!$AJ$8=1,0,'Lease Cycles'!$D$8*INDEX('Lease Cycles'!$FH$8:$FN$8,1,CA10)*IF(INDEX('Lease Cycles'!$EF$8:$EL$8,1,CA10)=1,1,IF(OR(INDEX('Lease Cycles'!$DY$8:$EE$8,1,CA10)=1,CA11&gt;0),1,1-INDEX('Lease Cycles'!$DD$8:$DJ$8,1,CA10)))),0)</f>
        <v>0</v>
      </c>
      <c r="CB19" s="24">
        <f>IF(CB12=1,IF('Lease Cycles'!$AJ$8=1,0,'Lease Cycles'!$D$8*INDEX('Lease Cycles'!$FH$8:$FN$8,1,CB10)*IF(INDEX('Lease Cycles'!$EF$8:$EL$8,1,CB10)=1,1,IF(OR(INDEX('Lease Cycles'!$DY$8:$EE$8,1,CB10)=1,CB11&gt;0),1,1-INDEX('Lease Cycles'!$DD$8:$DJ$8,1,CB10)))),0)</f>
        <v>0</v>
      </c>
      <c r="CC19" s="24">
        <f>IF(CC12=1,IF('Lease Cycles'!$AJ$8=1,0,'Lease Cycles'!$D$8*INDEX('Lease Cycles'!$FH$8:$FN$8,1,CC10)*IF(INDEX('Lease Cycles'!$EF$8:$EL$8,1,CC10)=1,1,IF(OR(INDEX('Lease Cycles'!$DY$8:$EE$8,1,CC10)=1,CC11&gt;0),1,1-INDEX('Lease Cycles'!$DD$8:$DJ$8,1,CC10)))),0)</f>
        <v>0</v>
      </c>
      <c r="CD19" s="24">
        <f>IF(CD12=1,IF('Lease Cycles'!$AJ$8=1,0,'Lease Cycles'!$D$8*INDEX('Lease Cycles'!$FH$8:$FN$8,1,CD10)*IF(INDEX('Lease Cycles'!$EF$8:$EL$8,1,CD10)=1,1,IF(OR(INDEX('Lease Cycles'!$DY$8:$EE$8,1,CD10)=1,CD11&gt;0),1,1-INDEX('Lease Cycles'!$DD$8:$DJ$8,1,CD10)))),0)</f>
        <v>0</v>
      </c>
      <c r="CE19" s="24">
        <f>IF(CE12=1,IF('Lease Cycles'!$AJ$8=1,0,'Lease Cycles'!$D$8*INDEX('Lease Cycles'!$FH$8:$FN$8,1,CE10)*IF(INDEX('Lease Cycles'!$EF$8:$EL$8,1,CE10)=1,1,IF(OR(INDEX('Lease Cycles'!$DY$8:$EE$8,1,CE10)=1,CE11&gt;0),1,1-INDEX('Lease Cycles'!$DD$8:$DJ$8,1,CE10)))),0)</f>
        <v>0</v>
      </c>
      <c r="CF19" s="24">
        <f>IF(CF12=1,IF('Lease Cycles'!$AJ$8=1,0,'Lease Cycles'!$D$8*INDEX('Lease Cycles'!$FH$8:$FN$8,1,CF10)*IF(INDEX('Lease Cycles'!$EF$8:$EL$8,1,CF10)=1,1,IF(OR(INDEX('Lease Cycles'!$DY$8:$EE$8,1,CF10)=1,CF11&gt;0),1,1-INDEX('Lease Cycles'!$DD$8:$DJ$8,1,CF10)))),0)</f>
        <v>0</v>
      </c>
      <c r="CG19" s="24">
        <f>IF(CG12=1,IF('Lease Cycles'!$AJ$8=1,0,'Lease Cycles'!$D$8*INDEX('Lease Cycles'!$FH$8:$FN$8,1,CG10)*IF(INDEX('Lease Cycles'!$EF$8:$EL$8,1,CG10)=1,1,IF(OR(INDEX('Lease Cycles'!$DY$8:$EE$8,1,CG10)=1,CG11&gt;0),1,1-INDEX('Lease Cycles'!$DD$8:$DJ$8,1,CG10)))),0)</f>
        <v>0</v>
      </c>
      <c r="CH19" s="24">
        <f>IF(CH12=1,IF('Lease Cycles'!$AJ$8=1,0,'Lease Cycles'!$D$8*INDEX('Lease Cycles'!$FH$8:$FN$8,1,CH10)*IF(INDEX('Lease Cycles'!$EF$8:$EL$8,1,CH10)=1,1,IF(OR(INDEX('Lease Cycles'!$DY$8:$EE$8,1,CH10)=1,CH11&gt;0),1,1-INDEX('Lease Cycles'!$DD$8:$DJ$8,1,CH10)))),0)</f>
        <v>0</v>
      </c>
      <c r="CI19" s="24">
        <f>IF(CI12=1,IF('Lease Cycles'!$AJ$8=1,0,'Lease Cycles'!$D$8*INDEX('Lease Cycles'!$FH$8:$FN$8,1,CI10)*IF(INDEX('Lease Cycles'!$EF$8:$EL$8,1,CI10)=1,1,IF(OR(INDEX('Lease Cycles'!$DY$8:$EE$8,1,CI10)=1,CI11&gt;0),1,1-INDEX('Lease Cycles'!$DD$8:$DJ$8,1,CI10)))),0)</f>
        <v>0</v>
      </c>
      <c r="CJ19" s="24">
        <f>IF(CJ12=1,IF('Lease Cycles'!$AJ$8=1,0,'Lease Cycles'!$D$8*INDEX('Lease Cycles'!$FH$8:$FN$8,1,CJ10)*IF(INDEX('Lease Cycles'!$EF$8:$EL$8,1,CJ10)=1,1,IF(OR(INDEX('Lease Cycles'!$DY$8:$EE$8,1,CJ10)=1,CJ11&gt;0),1,1-INDEX('Lease Cycles'!$DD$8:$DJ$8,1,CJ10)))),0)</f>
        <v>0</v>
      </c>
      <c r="CK19" s="24">
        <f>IF(CK12=1,IF('Lease Cycles'!$AJ$8=1,0,'Lease Cycles'!$D$8*INDEX('Lease Cycles'!$FH$8:$FN$8,1,CK10)*IF(INDEX('Lease Cycles'!$EF$8:$EL$8,1,CK10)=1,1,IF(OR(INDEX('Lease Cycles'!$DY$8:$EE$8,1,CK10)=1,CK11&gt;0),1,1-INDEX('Lease Cycles'!$DD$8:$DJ$8,1,CK10)))),0)</f>
        <v>0</v>
      </c>
      <c r="CL19" s="24">
        <f>IF(CL12=1,IF('Lease Cycles'!$AJ$8=1,0,'Lease Cycles'!$D$8*INDEX('Lease Cycles'!$FH$8:$FN$8,1,CL10)*IF(INDEX('Lease Cycles'!$EF$8:$EL$8,1,CL10)=1,1,IF(OR(INDEX('Lease Cycles'!$DY$8:$EE$8,1,CL10)=1,CL11&gt;0),1,1-INDEX('Lease Cycles'!$DD$8:$DJ$8,1,CL10)))),0)</f>
        <v>0</v>
      </c>
      <c r="CM19" s="24">
        <f>IF(CM12=1,IF('Lease Cycles'!$AJ$8=1,0,'Lease Cycles'!$D$8*INDEX('Lease Cycles'!$FH$8:$FN$8,1,CM10)*IF(INDEX('Lease Cycles'!$EF$8:$EL$8,1,CM10)=1,1,IF(OR(INDEX('Lease Cycles'!$DY$8:$EE$8,1,CM10)=1,CM11&gt;0),1,1-INDEX('Lease Cycles'!$DD$8:$DJ$8,1,CM10)))),0)</f>
        <v>0</v>
      </c>
      <c r="CN19" s="24">
        <f>IF(CN12=1,IF('Lease Cycles'!$AJ$8=1,0,'Lease Cycles'!$D$8*INDEX('Lease Cycles'!$FH$8:$FN$8,1,CN10)*IF(INDEX('Lease Cycles'!$EF$8:$EL$8,1,CN10)=1,1,IF(OR(INDEX('Lease Cycles'!$DY$8:$EE$8,1,CN10)=1,CN11&gt;0),1,1-INDEX('Lease Cycles'!$DD$8:$DJ$8,1,CN10)))),0)</f>
        <v>0</v>
      </c>
      <c r="CO19" s="24">
        <f>IF(CO12=1,IF('Lease Cycles'!$AJ$8=1,0,'Lease Cycles'!$D$8*INDEX('Lease Cycles'!$FH$8:$FN$8,1,CO10)*IF(INDEX('Lease Cycles'!$EF$8:$EL$8,1,CO10)=1,1,IF(OR(INDEX('Lease Cycles'!$DY$8:$EE$8,1,CO10)=1,CO11&gt;0),1,1-INDEX('Lease Cycles'!$DD$8:$DJ$8,1,CO10)))),0)</f>
        <v>0</v>
      </c>
      <c r="CP19" s="24">
        <f>IF(CP12=1,IF('Lease Cycles'!$AJ$8=1,0,'Lease Cycles'!$D$8*INDEX('Lease Cycles'!$FH$8:$FN$8,1,CP10)*IF(INDEX('Lease Cycles'!$EF$8:$EL$8,1,CP10)=1,1,IF(OR(INDEX('Lease Cycles'!$DY$8:$EE$8,1,CP10)=1,CP11&gt;0),1,1-INDEX('Lease Cycles'!$DD$8:$DJ$8,1,CP10)))),0)</f>
        <v>0</v>
      </c>
      <c r="CQ19" s="24">
        <f>IF(CQ12=1,IF('Lease Cycles'!$AJ$8=1,0,'Lease Cycles'!$D$8*INDEX('Lease Cycles'!$FH$8:$FN$8,1,CQ10)*IF(INDEX('Lease Cycles'!$EF$8:$EL$8,1,CQ10)=1,1,IF(OR(INDEX('Lease Cycles'!$DY$8:$EE$8,1,CQ10)=1,CQ11&gt;0),1,1-INDEX('Lease Cycles'!$DD$8:$DJ$8,1,CQ10)))),0)</f>
        <v>0</v>
      </c>
      <c r="CR19" s="24">
        <f>IF(CR12=1,IF('Lease Cycles'!$AJ$8=1,0,'Lease Cycles'!$D$8*INDEX('Lease Cycles'!$FH$8:$FN$8,1,CR10)*IF(INDEX('Lease Cycles'!$EF$8:$EL$8,1,CR10)=1,1,IF(OR(INDEX('Lease Cycles'!$DY$8:$EE$8,1,CR10)=1,CR11&gt;0),1,1-INDEX('Lease Cycles'!$DD$8:$DJ$8,1,CR10)))),0)</f>
        <v>0</v>
      </c>
      <c r="CS19" s="24">
        <f>IF(CS12=1,IF('Lease Cycles'!$AJ$8=1,0,'Lease Cycles'!$D$8*INDEX('Lease Cycles'!$FH$8:$FN$8,1,CS10)*IF(INDEX('Lease Cycles'!$EF$8:$EL$8,1,CS10)=1,1,IF(OR(INDEX('Lease Cycles'!$DY$8:$EE$8,1,CS10)=1,CS11&gt;0),1,1-INDEX('Lease Cycles'!$DD$8:$DJ$8,1,CS10)))),0)</f>
        <v>0</v>
      </c>
      <c r="CT19" s="24">
        <f>IF(CT12=1,IF('Lease Cycles'!$AJ$8=1,0,'Lease Cycles'!$D$8*INDEX('Lease Cycles'!$FH$8:$FN$8,1,CT10)*IF(INDEX('Lease Cycles'!$EF$8:$EL$8,1,CT10)=1,1,IF(OR(INDEX('Lease Cycles'!$DY$8:$EE$8,1,CT10)=1,CT11&gt;0),1,1-INDEX('Lease Cycles'!$DD$8:$DJ$8,1,CT10)))),0)</f>
        <v>0</v>
      </c>
      <c r="CU19" s="24">
        <f>IF(CU12=1,IF('Lease Cycles'!$AJ$8=1,0,'Lease Cycles'!$D$8*INDEX('Lease Cycles'!$FH$8:$FN$8,1,CU10)*IF(INDEX('Lease Cycles'!$EF$8:$EL$8,1,CU10)=1,1,IF(OR(INDEX('Lease Cycles'!$DY$8:$EE$8,1,CU10)=1,CU11&gt;0),1,1-INDEX('Lease Cycles'!$DD$8:$DJ$8,1,CU10)))),0)</f>
        <v>0</v>
      </c>
      <c r="CV19" s="24">
        <f>IF(CV12=1,IF('Lease Cycles'!$AJ$8=1,0,'Lease Cycles'!$D$8*INDEX('Lease Cycles'!$FH$8:$FN$8,1,CV10)*IF(INDEX('Lease Cycles'!$EF$8:$EL$8,1,CV10)=1,1,IF(OR(INDEX('Lease Cycles'!$DY$8:$EE$8,1,CV10)=1,CV11&gt;0),1,1-INDEX('Lease Cycles'!$DD$8:$DJ$8,1,CV10)))),0)</f>
        <v>0</v>
      </c>
      <c r="CW19" s="24">
        <f>IF(CW12=1,IF('Lease Cycles'!$AJ$8=1,0,'Lease Cycles'!$D$8*INDEX('Lease Cycles'!$FH$8:$FN$8,1,CW10)*IF(INDEX('Lease Cycles'!$EF$8:$EL$8,1,CW10)=1,1,IF(OR(INDEX('Lease Cycles'!$DY$8:$EE$8,1,CW10)=1,CW11&gt;0),1,1-INDEX('Lease Cycles'!$DD$8:$DJ$8,1,CW10)))),0)</f>
        <v>0</v>
      </c>
      <c r="CX19" s="24">
        <f>IF(CX12=1,IF('Lease Cycles'!$AJ$8=1,0,'Lease Cycles'!$D$8*INDEX('Lease Cycles'!$FH$8:$FN$8,1,CX10)*IF(INDEX('Lease Cycles'!$EF$8:$EL$8,1,CX10)=1,1,IF(OR(INDEX('Lease Cycles'!$DY$8:$EE$8,1,CX10)=1,CX11&gt;0),1,1-INDEX('Lease Cycles'!$DD$8:$DJ$8,1,CX10)))),0)</f>
        <v>0</v>
      </c>
      <c r="CY19" s="24">
        <f>IF(CY12=1,IF('Lease Cycles'!$AJ$8=1,0,'Lease Cycles'!$D$8*INDEX('Lease Cycles'!$FH$8:$FN$8,1,CY10)*IF(INDEX('Lease Cycles'!$EF$8:$EL$8,1,CY10)=1,1,IF(OR(INDEX('Lease Cycles'!$DY$8:$EE$8,1,CY10)=1,CY11&gt;0),1,1-INDEX('Lease Cycles'!$DD$8:$DJ$8,1,CY10)))),0)</f>
        <v>0</v>
      </c>
      <c r="CZ19" s="24">
        <f>IF(CZ12=1,IF('Lease Cycles'!$AJ$8=1,0,'Lease Cycles'!$D$8*INDEX('Lease Cycles'!$FH$8:$FN$8,1,CZ10)*IF(INDEX('Lease Cycles'!$EF$8:$EL$8,1,CZ10)=1,1,IF(OR(INDEX('Lease Cycles'!$DY$8:$EE$8,1,CZ10)=1,CZ11&gt;0),1,1-INDEX('Lease Cycles'!$DD$8:$DJ$8,1,CZ10)))),0)</f>
        <v>0</v>
      </c>
      <c r="DA19" s="24">
        <f>IF(DA12=1,IF('Lease Cycles'!$AJ$8=1,0,'Lease Cycles'!$D$8*INDEX('Lease Cycles'!$FH$8:$FN$8,1,DA10)*IF(INDEX('Lease Cycles'!$EF$8:$EL$8,1,DA10)=1,1,IF(OR(INDEX('Lease Cycles'!$DY$8:$EE$8,1,DA10)=1,DA11&gt;0),1,1-INDEX('Lease Cycles'!$DD$8:$DJ$8,1,DA10)))),0)</f>
        <v>0</v>
      </c>
      <c r="DB19" s="24">
        <f>IF(DB12=1,IF('Lease Cycles'!$AJ$8=1,0,'Lease Cycles'!$D$8*INDEX('Lease Cycles'!$FH$8:$FN$8,1,DB10)*IF(INDEX('Lease Cycles'!$EF$8:$EL$8,1,DB10)=1,1,IF(OR(INDEX('Lease Cycles'!$DY$8:$EE$8,1,DB10)=1,DB11&gt;0),1,1-INDEX('Lease Cycles'!$DD$8:$DJ$8,1,DB10)))),0)</f>
        <v>0</v>
      </c>
      <c r="DC19" s="24">
        <f>IF(DC12=1,IF('Lease Cycles'!$AJ$8=1,0,'Lease Cycles'!$D$8*INDEX('Lease Cycles'!$FH$8:$FN$8,1,DC10)*IF(INDEX('Lease Cycles'!$EF$8:$EL$8,1,DC10)=1,1,IF(OR(INDEX('Lease Cycles'!$DY$8:$EE$8,1,DC10)=1,DC11&gt;0),1,1-INDEX('Lease Cycles'!$DD$8:$DJ$8,1,DC10)))),0)</f>
        <v>0</v>
      </c>
      <c r="DD19" s="24">
        <f>IF(DD12=1,IF('Lease Cycles'!$AJ$8=1,0,'Lease Cycles'!$D$8*INDEX('Lease Cycles'!$FH$8:$FN$8,1,DD10)*IF(INDEX('Lease Cycles'!$EF$8:$EL$8,1,DD10)=1,1,IF(OR(INDEX('Lease Cycles'!$DY$8:$EE$8,1,DD10)=1,DD11&gt;0),1,1-INDEX('Lease Cycles'!$DD$8:$DJ$8,1,DD10)))),0)</f>
        <v>0</v>
      </c>
      <c r="DE19" s="24">
        <f>IF(DE12=1,IF('Lease Cycles'!$AJ$8=1,0,'Lease Cycles'!$D$8*INDEX('Lease Cycles'!$FH$8:$FN$8,1,DE10)*IF(INDEX('Lease Cycles'!$EF$8:$EL$8,1,DE10)=1,1,IF(OR(INDEX('Lease Cycles'!$DY$8:$EE$8,1,DE10)=1,DE11&gt;0),1,1-INDEX('Lease Cycles'!$DD$8:$DJ$8,1,DE10)))),0)</f>
        <v>0</v>
      </c>
      <c r="DF19" s="24">
        <f>IF(DF12=1,IF('Lease Cycles'!$AJ$8=1,0,'Lease Cycles'!$D$8*INDEX('Lease Cycles'!$FH$8:$FN$8,1,DF10)*IF(INDEX('Lease Cycles'!$EF$8:$EL$8,1,DF10)=1,1,IF(OR(INDEX('Lease Cycles'!$DY$8:$EE$8,1,DF10)=1,DF11&gt;0),1,1-INDEX('Lease Cycles'!$DD$8:$DJ$8,1,DF10)))),0)</f>
        <v>0</v>
      </c>
      <c r="DG19" s="24">
        <f>IF(DG12=1,IF('Lease Cycles'!$AJ$8=1,0,'Lease Cycles'!$D$8*INDEX('Lease Cycles'!$FH$8:$FN$8,1,DG10)*IF(INDEX('Lease Cycles'!$EF$8:$EL$8,1,DG10)=1,1,IF(OR(INDEX('Lease Cycles'!$DY$8:$EE$8,1,DG10)=1,DG11&gt;0),1,1-INDEX('Lease Cycles'!$DD$8:$DJ$8,1,DG10)))),0)</f>
        <v>0</v>
      </c>
      <c r="DH19" s="24">
        <f>IF(DH12=1,IF('Lease Cycles'!$AJ$8=1,0,'Lease Cycles'!$D$8*INDEX('Lease Cycles'!$FH$8:$FN$8,1,DH10)*IF(INDEX('Lease Cycles'!$EF$8:$EL$8,1,DH10)=1,1,IF(OR(INDEX('Lease Cycles'!$DY$8:$EE$8,1,DH10)=1,DH11&gt;0),1,1-INDEX('Lease Cycles'!$DD$8:$DJ$8,1,DH10)))),0)</f>
        <v>0</v>
      </c>
      <c r="DI19" s="24">
        <f>IF(DI12=1,IF('Lease Cycles'!$AJ$8=1,0,'Lease Cycles'!$D$8*INDEX('Lease Cycles'!$FH$8:$FN$8,1,DI10)*IF(INDEX('Lease Cycles'!$EF$8:$EL$8,1,DI10)=1,1,IF(OR(INDEX('Lease Cycles'!$DY$8:$EE$8,1,DI10)=1,DI11&gt;0),1,1-INDEX('Lease Cycles'!$DD$8:$DJ$8,1,DI10)))),0)</f>
        <v>0</v>
      </c>
      <c r="DJ19" s="24">
        <f>IF(DJ12=1,IF('Lease Cycles'!$AJ$8=1,0,'Lease Cycles'!$D$8*INDEX('Lease Cycles'!$FH$8:$FN$8,1,DJ10)*IF(INDEX('Lease Cycles'!$EF$8:$EL$8,1,DJ10)=1,1,IF(OR(INDEX('Lease Cycles'!$DY$8:$EE$8,1,DJ10)=1,DJ11&gt;0),1,1-INDEX('Lease Cycles'!$DD$8:$DJ$8,1,DJ10)))),0)</f>
        <v>0</v>
      </c>
      <c r="DK19" s="24">
        <f>IF(DK12=1,IF('Lease Cycles'!$AJ$8=1,0,'Lease Cycles'!$D$8*INDEX('Lease Cycles'!$FH$8:$FN$8,1,DK10)*IF(INDEX('Lease Cycles'!$EF$8:$EL$8,1,DK10)=1,1,IF(OR(INDEX('Lease Cycles'!$DY$8:$EE$8,1,DK10)=1,DK11&gt;0),1,1-INDEX('Lease Cycles'!$DD$8:$DJ$8,1,DK10)))),0)</f>
        <v>0</v>
      </c>
      <c r="DL19" s="24">
        <f>IF(DL12=1,IF('Lease Cycles'!$AJ$8=1,0,'Lease Cycles'!$D$8*INDEX('Lease Cycles'!$FH$8:$FN$8,1,DL10)*IF(INDEX('Lease Cycles'!$EF$8:$EL$8,1,DL10)=1,1,IF(OR(INDEX('Lease Cycles'!$DY$8:$EE$8,1,DL10)=1,DL11&gt;0),1,1-INDEX('Lease Cycles'!$DD$8:$DJ$8,1,DL10)))),0)</f>
        <v>0</v>
      </c>
      <c r="DM19" s="24">
        <f>IF(DM12=1,IF('Lease Cycles'!$AJ$8=1,0,'Lease Cycles'!$D$8*INDEX('Lease Cycles'!$FH$8:$FN$8,1,DM10)*IF(INDEX('Lease Cycles'!$EF$8:$EL$8,1,DM10)=1,1,IF(OR(INDEX('Lease Cycles'!$DY$8:$EE$8,1,DM10)=1,DM11&gt;0),1,1-INDEX('Lease Cycles'!$DD$8:$DJ$8,1,DM10)))),0)</f>
        <v>0</v>
      </c>
      <c r="DN19" s="24">
        <f>IF(DN12=1,IF('Lease Cycles'!$AJ$8=1,0,'Lease Cycles'!$D$8*INDEX('Lease Cycles'!$FH$8:$FN$8,1,DN10)*IF(INDEX('Lease Cycles'!$EF$8:$EL$8,1,DN10)=1,1,IF(OR(INDEX('Lease Cycles'!$DY$8:$EE$8,1,DN10)=1,DN11&gt;0),1,1-INDEX('Lease Cycles'!$DD$8:$DJ$8,1,DN10)))),0)</f>
        <v>0</v>
      </c>
      <c r="DO19" s="24">
        <f>IF(DO12=1,IF('Lease Cycles'!$AJ$8=1,0,'Lease Cycles'!$D$8*INDEX('Lease Cycles'!$FH$8:$FN$8,1,DO10)*IF(INDEX('Lease Cycles'!$EF$8:$EL$8,1,DO10)=1,1,IF(OR(INDEX('Lease Cycles'!$DY$8:$EE$8,1,DO10)=1,DO11&gt;0),1,1-INDEX('Lease Cycles'!$DD$8:$DJ$8,1,DO10)))),0)</f>
        <v>0</v>
      </c>
      <c r="DP19" s="24">
        <f>IF(DP12=1,IF('Lease Cycles'!$AJ$8=1,0,'Lease Cycles'!$D$8*INDEX('Lease Cycles'!$FH$8:$FN$8,1,DP10)*IF(INDEX('Lease Cycles'!$EF$8:$EL$8,1,DP10)=1,1,IF(OR(INDEX('Lease Cycles'!$DY$8:$EE$8,1,DP10)=1,DP11&gt;0),1,1-INDEX('Lease Cycles'!$DD$8:$DJ$8,1,DP10)))),0)</f>
        <v>0</v>
      </c>
      <c r="DQ19" s="24">
        <f>IF(DQ12=1,IF('Lease Cycles'!$AJ$8=1,0,'Lease Cycles'!$D$8*INDEX('Lease Cycles'!$FH$8:$FN$8,1,DQ10)*IF(INDEX('Lease Cycles'!$EF$8:$EL$8,1,DQ10)=1,1,IF(OR(INDEX('Lease Cycles'!$DY$8:$EE$8,1,DQ10)=1,DQ11&gt;0),1,1-INDEX('Lease Cycles'!$DD$8:$DJ$8,1,DQ10)))),0)</f>
        <v>0</v>
      </c>
      <c r="DR19" s="24">
        <f>IF(DR12=1,IF('Lease Cycles'!$AJ$8=1,0,'Lease Cycles'!$D$8*INDEX('Lease Cycles'!$FH$8:$FN$8,1,DR10)*IF(INDEX('Lease Cycles'!$EF$8:$EL$8,1,DR10)=1,1,IF(OR(INDEX('Lease Cycles'!$DY$8:$EE$8,1,DR10)=1,DR11&gt;0),1,1-INDEX('Lease Cycles'!$DD$8:$DJ$8,1,DR10)))),0)</f>
        <v>0</v>
      </c>
      <c r="DS19" s="24">
        <f>IF(DS12=1,IF('Lease Cycles'!$AJ$8=1,0,'Lease Cycles'!$D$8*INDEX('Lease Cycles'!$FH$8:$FN$8,1,DS10)*IF(INDEX('Lease Cycles'!$EF$8:$EL$8,1,DS10)=1,1,IF(OR(INDEX('Lease Cycles'!$DY$8:$EE$8,1,DS10)=1,DS11&gt;0),1,1-INDEX('Lease Cycles'!$DD$8:$DJ$8,1,DS10)))),0)</f>
        <v>0</v>
      </c>
      <c r="DT19" s="24">
        <f>IF(DT12=1,IF('Lease Cycles'!$AJ$8=1,0,'Lease Cycles'!$D$8*INDEX('Lease Cycles'!$FH$8:$FN$8,1,DT10)*IF(INDEX('Lease Cycles'!$EF$8:$EL$8,1,DT10)=1,1,IF(OR(INDEX('Lease Cycles'!$DY$8:$EE$8,1,DT10)=1,DT11&gt;0),1,1-INDEX('Lease Cycles'!$DD$8:$DJ$8,1,DT10)))),0)</f>
        <v>0</v>
      </c>
      <c r="DU19" s="24">
        <f>IF(DU12=1,IF('Lease Cycles'!$AJ$8=1,0,'Lease Cycles'!$D$8*INDEX('Lease Cycles'!$FH$8:$FN$8,1,DU10)*IF(INDEX('Lease Cycles'!$EF$8:$EL$8,1,DU10)=1,1,IF(OR(INDEX('Lease Cycles'!$DY$8:$EE$8,1,DU10)=1,DU11&gt;0),1,1-INDEX('Lease Cycles'!$DD$8:$DJ$8,1,DU10)))),0)</f>
        <v>0</v>
      </c>
      <c r="DV19" s="24">
        <f>IF(DV12=1,IF('Lease Cycles'!$AJ$8=1,0,'Lease Cycles'!$D$8*INDEX('Lease Cycles'!$FH$8:$FN$8,1,DV10)*IF(INDEX('Lease Cycles'!$EF$8:$EL$8,1,DV10)=1,1,IF(OR(INDEX('Lease Cycles'!$DY$8:$EE$8,1,DV10)=1,DV11&gt;0),1,1-INDEX('Lease Cycles'!$DD$8:$DJ$8,1,DV10)))),0)</f>
        <v>0</v>
      </c>
      <c r="DW19" s="24">
        <f>IF(DW12=1,IF('Lease Cycles'!$AJ$8=1,0,'Lease Cycles'!$D$8*INDEX('Lease Cycles'!$FH$8:$FN$8,1,DW10)*IF(INDEX('Lease Cycles'!$EF$8:$EL$8,1,DW10)=1,1,IF(OR(INDEX('Lease Cycles'!$DY$8:$EE$8,1,DW10)=1,DW11&gt;0),1,1-INDEX('Lease Cycles'!$DD$8:$DJ$8,1,DW10)))),0)</f>
        <v>0</v>
      </c>
      <c r="DX19" s="24">
        <f>IF(DX12=1,IF('Lease Cycles'!$AJ$8=1,0,'Lease Cycles'!$D$8*INDEX('Lease Cycles'!$FH$8:$FN$8,1,DX10)*IF(INDEX('Lease Cycles'!$EF$8:$EL$8,1,DX10)=1,1,IF(OR(INDEX('Lease Cycles'!$DY$8:$EE$8,1,DX10)=1,DX11&gt;0),1,1-INDEX('Lease Cycles'!$DD$8:$DJ$8,1,DX10)))),0)</f>
        <v>0</v>
      </c>
      <c r="DY19" s="24">
        <f>IF(DY12=1,IF('Lease Cycles'!$AJ$8=1,0,'Lease Cycles'!$D$8*INDEX('Lease Cycles'!$FH$8:$FN$8,1,DY10)*IF(INDEX('Lease Cycles'!$EF$8:$EL$8,1,DY10)=1,1,IF(OR(INDEX('Lease Cycles'!$DY$8:$EE$8,1,DY10)=1,DY11&gt;0),1,1-INDEX('Lease Cycles'!$DD$8:$DJ$8,1,DY10)))),0)</f>
        <v>0</v>
      </c>
      <c r="DZ19" s="24">
        <f>IF(DZ12=1,IF('Lease Cycles'!$AJ$8=1,0,'Lease Cycles'!$D$8*INDEX('Lease Cycles'!$FH$8:$FN$8,1,DZ10)*IF(INDEX('Lease Cycles'!$EF$8:$EL$8,1,DZ10)=1,1,IF(OR(INDEX('Lease Cycles'!$DY$8:$EE$8,1,DZ10)=1,DZ11&gt;0),1,1-INDEX('Lease Cycles'!$DD$8:$DJ$8,1,DZ10)))),0)</f>
        <v>0</v>
      </c>
      <c r="EA19" s="24">
        <f>IF(EA12=1,IF('Lease Cycles'!$AJ$8=1,0,'Lease Cycles'!$D$8*INDEX('Lease Cycles'!$FH$8:$FN$8,1,EA10)*IF(INDEX('Lease Cycles'!$EF$8:$EL$8,1,EA10)=1,1,IF(OR(INDEX('Lease Cycles'!$DY$8:$EE$8,1,EA10)=1,EA11&gt;0),1,1-INDEX('Lease Cycles'!$DD$8:$DJ$8,1,EA10)))),0)</f>
        <v>0</v>
      </c>
      <c r="EB19" s="24">
        <f>IF(EB12=1,IF('Lease Cycles'!$AJ$8=1,0,'Lease Cycles'!$D$8*INDEX('Lease Cycles'!$FH$8:$FN$8,1,EB10)*IF(INDEX('Lease Cycles'!$EF$8:$EL$8,1,EB10)=1,1,IF(OR(INDEX('Lease Cycles'!$DY$8:$EE$8,1,EB10)=1,EB11&gt;0),1,1-INDEX('Lease Cycles'!$DD$8:$DJ$8,1,EB10)))),0)</f>
        <v>0</v>
      </c>
      <c r="EC19" s="24">
        <f>IF(EC12=1,IF('Lease Cycles'!$AJ$8=1,0,'Lease Cycles'!$D$8*INDEX('Lease Cycles'!$FH$8:$FN$8,1,EC10)*IF(INDEX('Lease Cycles'!$EF$8:$EL$8,1,EC10)=1,1,IF(OR(INDEX('Lease Cycles'!$DY$8:$EE$8,1,EC10)=1,EC11&gt;0),1,1-INDEX('Lease Cycles'!$DD$8:$DJ$8,1,EC10)))),0)</f>
        <v>0</v>
      </c>
      <c r="ED19" s="24">
        <f>IF(ED12=1,IF('Lease Cycles'!$AJ$8=1,0,'Lease Cycles'!$D$8*INDEX('Lease Cycles'!$FH$8:$FN$8,1,ED10)*IF(INDEX('Lease Cycles'!$EF$8:$EL$8,1,ED10)=1,1,IF(OR(INDEX('Lease Cycles'!$DY$8:$EE$8,1,ED10)=1,ED11&gt;0),1,1-INDEX('Lease Cycles'!$DD$8:$DJ$8,1,ED10)))),0)</f>
        <v>0</v>
      </c>
      <c r="EE19" s="24">
        <f>IF(EE12=1,IF('Lease Cycles'!$AJ$8=1,0,'Lease Cycles'!$D$8*INDEX('Lease Cycles'!$FH$8:$FN$8,1,EE10)*IF(INDEX('Lease Cycles'!$EF$8:$EL$8,1,EE10)=1,1,IF(OR(INDEX('Lease Cycles'!$DY$8:$EE$8,1,EE10)=1,EE11&gt;0),1,1-INDEX('Lease Cycles'!$DD$8:$DJ$8,1,EE10)))),0)</f>
        <v>0</v>
      </c>
      <c r="EF19" s="24">
        <f>IF(EF12=1,IF('Lease Cycles'!$AJ$8=1,0,'Lease Cycles'!$D$8*INDEX('Lease Cycles'!$FH$8:$FN$8,1,EF10)*IF(INDEX('Lease Cycles'!$EF$8:$EL$8,1,EF10)=1,1,IF(OR(INDEX('Lease Cycles'!$DY$8:$EE$8,1,EF10)=1,EF11&gt;0),1,1-INDEX('Lease Cycles'!$DD$8:$DJ$8,1,EF10)))),0)</f>
        <v>0</v>
      </c>
      <c r="EG19" s="24">
        <f>IF(EG12=1,IF('Lease Cycles'!$AJ$8=1,0,'Lease Cycles'!$D$8*INDEX('Lease Cycles'!$FH$8:$FN$8,1,EG10)*IF(INDEX('Lease Cycles'!$EF$8:$EL$8,1,EG10)=1,1,IF(OR(INDEX('Lease Cycles'!$DY$8:$EE$8,1,EG10)=1,EG11&gt;0),1,1-INDEX('Lease Cycles'!$DD$8:$DJ$8,1,EG10)))),0)</f>
        <v>0</v>
      </c>
      <c r="EH19" s="24">
        <f>IF(EH12=1,IF('Lease Cycles'!$AJ$8=1,0,'Lease Cycles'!$D$8*INDEX('Lease Cycles'!$FH$8:$FN$8,1,EH10)*IF(INDEX('Lease Cycles'!$EF$8:$EL$8,1,EH10)=1,1,IF(OR(INDEX('Lease Cycles'!$DY$8:$EE$8,1,EH10)=1,EH11&gt;0),1,1-INDEX('Lease Cycles'!$DD$8:$DJ$8,1,EH10)))),0)</f>
        <v>0</v>
      </c>
      <c r="EI19" s="24">
        <f>IF(EI12=1,IF('Lease Cycles'!$AJ$8=1,0,'Lease Cycles'!$D$8*INDEX('Lease Cycles'!$FH$8:$FN$8,1,EI10)*IF(INDEX('Lease Cycles'!$EF$8:$EL$8,1,EI10)=1,1,IF(OR(INDEX('Lease Cycles'!$DY$8:$EE$8,1,EI10)=1,EI11&gt;0),1,1-INDEX('Lease Cycles'!$DD$8:$DJ$8,1,EI10)))),0)</f>
        <v>0</v>
      </c>
      <c r="EJ19" s="24">
        <f>IF(EJ12=1,IF('Lease Cycles'!$AJ$8=1,0,'Lease Cycles'!$D$8*INDEX('Lease Cycles'!$FH$8:$FN$8,1,EJ10)*IF(INDEX('Lease Cycles'!$EF$8:$EL$8,1,EJ10)=1,1,IF(OR(INDEX('Lease Cycles'!$DY$8:$EE$8,1,EJ10)=1,EJ11&gt;0),1,1-INDEX('Lease Cycles'!$DD$8:$DJ$8,1,EJ10)))),0)</f>
        <v>0</v>
      </c>
      <c r="EK19" s="24">
        <f>IF(EK12=1,IF('Lease Cycles'!$AJ$8=1,0,'Lease Cycles'!$D$8*INDEX('Lease Cycles'!$FH$8:$FN$8,1,EK10)*IF(INDEX('Lease Cycles'!$EF$8:$EL$8,1,EK10)=1,1,IF(OR(INDEX('Lease Cycles'!$DY$8:$EE$8,1,EK10)=1,EK11&gt;0),1,1-INDEX('Lease Cycles'!$DD$8:$DJ$8,1,EK10)))),0)</f>
        <v>0</v>
      </c>
      <c r="EL19" s="24">
        <f>IF(EL12=1,IF('Lease Cycles'!$AJ$8=1,0,'Lease Cycles'!$D$8*INDEX('Lease Cycles'!$FH$8:$FN$8,1,EL10)*IF(INDEX('Lease Cycles'!$EF$8:$EL$8,1,EL10)=1,1,IF(OR(INDEX('Lease Cycles'!$DY$8:$EE$8,1,EL10)=1,EL11&gt;0),1,1-INDEX('Lease Cycles'!$DD$8:$DJ$8,1,EL10)))),0)</f>
        <v>0</v>
      </c>
      <c r="EM19" s="24">
        <f>IF(EM12=1,IF('Lease Cycles'!$AJ$8=1,0,'Lease Cycles'!$D$8*INDEX('Lease Cycles'!$FH$8:$FN$8,1,EM10)*IF(INDEX('Lease Cycles'!$EF$8:$EL$8,1,EM10)=1,1,IF(OR(INDEX('Lease Cycles'!$DY$8:$EE$8,1,EM10)=1,EM11&gt;0),1,1-INDEX('Lease Cycles'!$DD$8:$DJ$8,1,EM10)))),0)</f>
        <v>0</v>
      </c>
      <c r="EN19" s="24">
        <f>IF(EN12=1,IF('Lease Cycles'!$AJ$8=1,0,'Lease Cycles'!$D$8*INDEX('Lease Cycles'!$FH$8:$FN$8,1,EN10)*IF(INDEX('Lease Cycles'!$EF$8:$EL$8,1,EN10)=1,1,IF(OR(INDEX('Lease Cycles'!$DY$8:$EE$8,1,EN10)=1,EN11&gt;0),1,1-INDEX('Lease Cycles'!$DD$8:$DJ$8,1,EN10)))),0)</f>
        <v>0</v>
      </c>
      <c r="EO19" s="24">
        <f>IF(EO12=1,IF('Lease Cycles'!$AJ$8=1,0,'Lease Cycles'!$D$8*INDEX('Lease Cycles'!$FH$8:$FN$8,1,EO10)*IF(INDEX('Lease Cycles'!$EF$8:$EL$8,1,EO10)=1,1,IF(OR(INDEX('Lease Cycles'!$DY$8:$EE$8,1,EO10)=1,EO11&gt;0),1,1-INDEX('Lease Cycles'!$DD$8:$DJ$8,1,EO10)))),0)</f>
        <v>0</v>
      </c>
      <c r="EP19" s="24">
        <f>IF(EP12=1,IF('Lease Cycles'!$AJ$8=1,0,'Lease Cycles'!$D$8*INDEX('Lease Cycles'!$FH$8:$FN$8,1,EP10)*IF(INDEX('Lease Cycles'!$EF$8:$EL$8,1,EP10)=1,1,IF(OR(INDEX('Lease Cycles'!$DY$8:$EE$8,1,EP10)=1,EP11&gt;0),1,1-INDEX('Lease Cycles'!$DD$8:$DJ$8,1,EP10)))),0)</f>
        <v>0</v>
      </c>
      <c r="EQ19" s="24">
        <f>IF(EQ12=1,IF('Lease Cycles'!$AJ$8=1,0,'Lease Cycles'!$D$8*INDEX('Lease Cycles'!$FH$8:$FN$8,1,EQ10)*IF(INDEX('Lease Cycles'!$EF$8:$EL$8,1,EQ10)=1,1,IF(OR(INDEX('Lease Cycles'!$DY$8:$EE$8,1,EQ10)=1,EQ11&gt;0),1,1-INDEX('Lease Cycles'!$DD$8:$DJ$8,1,EQ10)))),0)</f>
        <v>0</v>
      </c>
      <c r="ER19" s="24">
        <f>IF(ER12=1,IF('Lease Cycles'!$AJ$8=1,0,'Lease Cycles'!$D$8*INDEX('Lease Cycles'!$FH$8:$FN$8,1,ER10)*IF(INDEX('Lease Cycles'!$EF$8:$EL$8,1,ER10)=1,1,IF(OR(INDEX('Lease Cycles'!$DY$8:$EE$8,1,ER10)=1,ER11&gt;0),1,1-INDEX('Lease Cycles'!$DD$8:$DJ$8,1,ER10)))),0)</f>
        <v>0</v>
      </c>
      <c r="ES19" s="24">
        <f>IF(ES12=1,IF('Lease Cycles'!$AJ$8=1,0,'Lease Cycles'!$D$8*INDEX('Lease Cycles'!$FH$8:$FN$8,1,ES10)*IF(INDEX('Lease Cycles'!$EF$8:$EL$8,1,ES10)=1,1,IF(OR(INDEX('Lease Cycles'!$DY$8:$EE$8,1,ES10)=1,ES11&gt;0),1,1-INDEX('Lease Cycles'!$DD$8:$DJ$8,1,ES10)))),0)</f>
        <v>0</v>
      </c>
      <c r="ET19" s="24">
        <f>IF(ET12=1,IF('Lease Cycles'!$AJ$8=1,0,'Lease Cycles'!$D$8*INDEX('Lease Cycles'!$FH$8:$FN$8,1,ET10)*IF(INDEX('Lease Cycles'!$EF$8:$EL$8,1,ET10)=1,1,IF(OR(INDEX('Lease Cycles'!$DY$8:$EE$8,1,ET10)=1,ET11&gt;0),1,1-INDEX('Lease Cycles'!$DD$8:$DJ$8,1,ET10)))),0)</f>
        <v>0</v>
      </c>
    </row>
    <row r="20">
      <c r="A20" s="103">
        <v>1</v>
      </c>
      <c r="B20" s="23" t="str">
        <f>IF('Lease Cycles'!$B$8="","(empty slot)",'Lease Cycles'!$B$8)</f>
        <v>Fieldstone Grocery</v>
      </c>
      <c r="C20" s="23" t="s">
        <v>687</v>
      </c>
      <c r="D20" s="104" t="s">
        <v>688</v>
      </c>
      <c r="E20" s="25">
        <f>'Lease Cycles'!$AL$8</f>
        <v>1</v>
      </c>
      <c r="G20" s="24">
        <f>SUM(S20:AD20)</f>
        <v>0</v>
      </c>
      <c r="H20" s="24">
        <f>SUM(AE20:AP20)</f>
        <v>0</v>
      </c>
      <c r="I20" s="24">
        <f>SUM(AQ20:BB20)</f>
        <v>0</v>
      </c>
      <c r="J20" s="24">
        <f>SUM(BC20:BN20)</f>
        <v>0</v>
      </c>
      <c r="K20" s="24">
        <f>SUM(BO20:BZ20)</f>
        <v>0</v>
      </c>
      <c r="L20" s="24">
        <f>SUM(CA20:CL20)</f>
        <v>0</v>
      </c>
      <c r="M20" s="24">
        <f>SUM(CM20:CX20)</f>
        <v>0</v>
      </c>
      <c r="N20" s="24">
        <f>SUM(CY20:DJ20)</f>
        <v>0</v>
      </c>
      <c r="O20" s="24">
        <f>SUM(DK20:DV20)</f>
        <v>0</v>
      </c>
      <c r="P20" s="24">
        <f>SUM(DW20:EH20)</f>
        <v>0</v>
      </c>
      <c r="Q20" s="24">
        <f>SUM(EI20:ET20)</f>
        <v>0</v>
      </c>
      <c r="S20" s="24">
        <f>IF(S12=1,'Lease Cycles'!$D$8*IF(INDEX('Lease Cycles'!$EF$8:$EL$8,1,S10)=1,'Lease Cycles'!$AJ$8*INDEX('Lease Cycles'!$FO$8:$FU$8,1,S10)*INDEX('Lease Cycles'!$EM$8:$ES$8,1,S10)+'Lease Cycles'!$BE$8*IF(S11&lt;INDEX('Lease Cycles'!$FA$8:$FG$8,1,S10),0,1-INDEX('Lease Cycles'!$EM$8:$ES$8,1,S10)),IF(OR(INDEX('Lease Cycles'!$DY$8:$EE$8,1,S10)=1,S11&gt;0),1,1-INDEX('Lease Cycles'!$DD$8:$DJ$8,1,S10))*('Lease Cycles'!$AJ$8*INDEX('Lease Cycles'!$FO$8:$FU$8,1,S10)+'Lease Cycles'!$BE$8*(1-INDEX('Lease Cycles'!$FO$8:$FU$8,1,S10)))),0)</f>
        <v>0</v>
      </c>
      <c r="T20" s="24">
        <f>IF(T12=1,'Lease Cycles'!$D$8*IF(INDEX('Lease Cycles'!$EF$8:$EL$8,1,T10)=1,'Lease Cycles'!$AJ$8*INDEX('Lease Cycles'!$FO$8:$FU$8,1,T10)*INDEX('Lease Cycles'!$EM$8:$ES$8,1,T10)+'Lease Cycles'!$BE$8*IF(T11&lt;INDEX('Lease Cycles'!$FA$8:$FG$8,1,T10),0,1-INDEX('Lease Cycles'!$EM$8:$ES$8,1,T10)),IF(OR(INDEX('Lease Cycles'!$DY$8:$EE$8,1,T10)=1,T11&gt;0),1,1-INDEX('Lease Cycles'!$DD$8:$DJ$8,1,T10))*('Lease Cycles'!$AJ$8*INDEX('Lease Cycles'!$FO$8:$FU$8,1,T10)+'Lease Cycles'!$BE$8*(1-INDEX('Lease Cycles'!$FO$8:$FU$8,1,T10)))),0)</f>
        <v>0</v>
      </c>
      <c r="U20" s="24">
        <f>IF(U12=1,'Lease Cycles'!$D$8*IF(INDEX('Lease Cycles'!$EF$8:$EL$8,1,U10)=1,'Lease Cycles'!$AJ$8*INDEX('Lease Cycles'!$FO$8:$FU$8,1,U10)*INDEX('Lease Cycles'!$EM$8:$ES$8,1,U10)+'Lease Cycles'!$BE$8*IF(U11&lt;INDEX('Lease Cycles'!$FA$8:$FG$8,1,U10),0,1-INDEX('Lease Cycles'!$EM$8:$ES$8,1,U10)),IF(OR(INDEX('Lease Cycles'!$DY$8:$EE$8,1,U10)=1,U11&gt;0),1,1-INDEX('Lease Cycles'!$DD$8:$DJ$8,1,U10))*('Lease Cycles'!$AJ$8*INDEX('Lease Cycles'!$FO$8:$FU$8,1,U10)+'Lease Cycles'!$BE$8*(1-INDEX('Lease Cycles'!$FO$8:$FU$8,1,U10)))),0)</f>
        <v>0</v>
      </c>
      <c r="V20" s="24">
        <f>IF(V12=1,'Lease Cycles'!$D$8*IF(INDEX('Lease Cycles'!$EF$8:$EL$8,1,V10)=1,'Lease Cycles'!$AJ$8*INDEX('Lease Cycles'!$FO$8:$FU$8,1,V10)*INDEX('Lease Cycles'!$EM$8:$ES$8,1,V10)+'Lease Cycles'!$BE$8*IF(V11&lt;INDEX('Lease Cycles'!$FA$8:$FG$8,1,V10),0,1-INDEX('Lease Cycles'!$EM$8:$ES$8,1,V10)),IF(OR(INDEX('Lease Cycles'!$DY$8:$EE$8,1,V10)=1,V11&gt;0),1,1-INDEX('Lease Cycles'!$DD$8:$DJ$8,1,V10))*('Lease Cycles'!$AJ$8*INDEX('Lease Cycles'!$FO$8:$FU$8,1,V10)+'Lease Cycles'!$BE$8*(1-INDEX('Lease Cycles'!$FO$8:$FU$8,1,V10)))),0)</f>
        <v>0</v>
      </c>
      <c r="W20" s="24">
        <f>IF(W12=1,'Lease Cycles'!$D$8*IF(INDEX('Lease Cycles'!$EF$8:$EL$8,1,W10)=1,'Lease Cycles'!$AJ$8*INDEX('Lease Cycles'!$FO$8:$FU$8,1,W10)*INDEX('Lease Cycles'!$EM$8:$ES$8,1,W10)+'Lease Cycles'!$BE$8*IF(W11&lt;INDEX('Lease Cycles'!$FA$8:$FG$8,1,W10),0,1-INDEX('Lease Cycles'!$EM$8:$ES$8,1,W10)),IF(OR(INDEX('Lease Cycles'!$DY$8:$EE$8,1,W10)=1,W11&gt;0),1,1-INDEX('Lease Cycles'!$DD$8:$DJ$8,1,W10))*('Lease Cycles'!$AJ$8*INDEX('Lease Cycles'!$FO$8:$FU$8,1,W10)+'Lease Cycles'!$BE$8*(1-INDEX('Lease Cycles'!$FO$8:$FU$8,1,W10)))),0)</f>
        <v>0</v>
      </c>
      <c r="X20" s="24">
        <f>IF(X12=1,'Lease Cycles'!$D$8*IF(INDEX('Lease Cycles'!$EF$8:$EL$8,1,X10)=1,'Lease Cycles'!$AJ$8*INDEX('Lease Cycles'!$FO$8:$FU$8,1,X10)*INDEX('Lease Cycles'!$EM$8:$ES$8,1,X10)+'Lease Cycles'!$BE$8*IF(X11&lt;INDEX('Lease Cycles'!$FA$8:$FG$8,1,X10),0,1-INDEX('Lease Cycles'!$EM$8:$ES$8,1,X10)),IF(OR(INDEX('Lease Cycles'!$DY$8:$EE$8,1,X10)=1,X11&gt;0),1,1-INDEX('Lease Cycles'!$DD$8:$DJ$8,1,X10))*('Lease Cycles'!$AJ$8*INDEX('Lease Cycles'!$FO$8:$FU$8,1,X10)+'Lease Cycles'!$BE$8*(1-INDEX('Lease Cycles'!$FO$8:$FU$8,1,X10)))),0)</f>
        <v>0</v>
      </c>
      <c r="Y20" s="24">
        <f>IF(Y12=1,'Lease Cycles'!$D$8*IF(INDEX('Lease Cycles'!$EF$8:$EL$8,1,Y10)=1,'Lease Cycles'!$AJ$8*INDEX('Lease Cycles'!$FO$8:$FU$8,1,Y10)*INDEX('Lease Cycles'!$EM$8:$ES$8,1,Y10)+'Lease Cycles'!$BE$8*IF(Y11&lt;INDEX('Lease Cycles'!$FA$8:$FG$8,1,Y10),0,1-INDEX('Lease Cycles'!$EM$8:$ES$8,1,Y10)),IF(OR(INDEX('Lease Cycles'!$DY$8:$EE$8,1,Y10)=1,Y11&gt;0),1,1-INDEX('Lease Cycles'!$DD$8:$DJ$8,1,Y10))*('Lease Cycles'!$AJ$8*INDEX('Lease Cycles'!$FO$8:$FU$8,1,Y10)+'Lease Cycles'!$BE$8*(1-INDEX('Lease Cycles'!$FO$8:$FU$8,1,Y10)))),0)</f>
        <v>0</v>
      </c>
      <c r="Z20" s="24">
        <f>IF(Z12=1,'Lease Cycles'!$D$8*IF(INDEX('Lease Cycles'!$EF$8:$EL$8,1,Z10)=1,'Lease Cycles'!$AJ$8*INDEX('Lease Cycles'!$FO$8:$FU$8,1,Z10)*INDEX('Lease Cycles'!$EM$8:$ES$8,1,Z10)+'Lease Cycles'!$BE$8*IF(Z11&lt;INDEX('Lease Cycles'!$FA$8:$FG$8,1,Z10),0,1-INDEX('Lease Cycles'!$EM$8:$ES$8,1,Z10)),IF(OR(INDEX('Lease Cycles'!$DY$8:$EE$8,1,Z10)=1,Z11&gt;0),1,1-INDEX('Lease Cycles'!$DD$8:$DJ$8,1,Z10))*('Lease Cycles'!$AJ$8*INDEX('Lease Cycles'!$FO$8:$FU$8,1,Z10)+'Lease Cycles'!$BE$8*(1-INDEX('Lease Cycles'!$FO$8:$FU$8,1,Z10)))),0)</f>
        <v>0</v>
      </c>
      <c r="AA20" s="24">
        <f>IF(AA12=1,'Lease Cycles'!$D$8*IF(INDEX('Lease Cycles'!$EF$8:$EL$8,1,AA10)=1,'Lease Cycles'!$AJ$8*INDEX('Lease Cycles'!$FO$8:$FU$8,1,AA10)*INDEX('Lease Cycles'!$EM$8:$ES$8,1,AA10)+'Lease Cycles'!$BE$8*IF(AA11&lt;INDEX('Lease Cycles'!$FA$8:$FG$8,1,AA10),0,1-INDEX('Lease Cycles'!$EM$8:$ES$8,1,AA10)),IF(OR(INDEX('Lease Cycles'!$DY$8:$EE$8,1,AA10)=1,AA11&gt;0),1,1-INDEX('Lease Cycles'!$DD$8:$DJ$8,1,AA10))*('Lease Cycles'!$AJ$8*INDEX('Lease Cycles'!$FO$8:$FU$8,1,AA10)+'Lease Cycles'!$BE$8*(1-INDEX('Lease Cycles'!$FO$8:$FU$8,1,AA10)))),0)</f>
        <v>0</v>
      </c>
      <c r="AB20" s="24">
        <f>IF(AB12=1,'Lease Cycles'!$D$8*IF(INDEX('Lease Cycles'!$EF$8:$EL$8,1,AB10)=1,'Lease Cycles'!$AJ$8*INDEX('Lease Cycles'!$FO$8:$FU$8,1,AB10)*INDEX('Lease Cycles'!$EM$8:$ES$8,1,AB10)+'Lease Cycles'!$BE$8*IF(AB11&lt;INDEX('Lease Cycles'!$FA$8:$FG$8,1,AB10),0,1-INDEX('Lease Cycles'!$EM$8:$ES$8,1,AB10)),IF(OR(INDEX('Lease Cycles'!$DY$8:$EE$8,1,AB10)=1,AB11&gt;0),1,1-INDEX('Lease Cycles'!$DD$8:$DJ$8,1,AB10))*('Lease Cycles'!$AJ$8*INDEX('Lease Cycles'!$FO$8:$FU$8,1,AB10)+'Lease Cycles'!$BE$8*(1-INDEX('Lease Cycles'!$FO$8:$FU$8,1,AB10)))),0)</f>
        <v>0</v>
      </c>
      <c r="AC20" s="24">
        <f>IF(AC12=1,'Lease Cycles'!$D$8*IF(INDEX('Lease Cycles'!$EF$8:$EL$8,1,AC10)=1,'Lease Cycles'!$AJ$8*INDEX('Lease Cycles'!$FO$8:$FU$8,1,AC10)*INDEX('Lease Cycles'!$EM$8:$ES$8,1,AC10)+'Lease Cycles'!$BE$8*IF(AC11&lt;INDEX('Lease Cycles'!$FA$8:$FG$8,1,AC10),0,1-INDEX('Lease Cycles'!$EM$8:$ES$8,1,AC10)),IF(OR(INDEX('Lease Cycles'!$DY$8:$EE$8,1,AC10)=1,AC11&gt;0),1,1-INDEX('Lease Cycles'!$DD$8:$DJ$8,1,AC10))*('Lease Cycles'!$AJ$8*INDEX('Lease Cycles'!$FO$8:$FU$8,1,AC10)+'Lease Cycles'!$BE$8*(1-INDEX('Lease Cycles'!$FO$8:$FU$8,1,AC10)))),0)</f>
        <v>0</v>
      </c>
      <c r="AD20" s="24">
        <f>IF(AD12=1,'Lease Cycles'!$D$8*IF(INDEX('Lease Cycles'!$EF$8:$EL$8,1,AD10)=1,'Lease Cycles'!$AJ$8*INDEX('Lease Cycles'!$FO$8:$FU$8,1,AD10)*INDEX('Lease Cycles'!$EM$8:$ES$8,1,AD10)+'Lease Cycles'!$BE$8*IF(AD11&lt;INDEX('Lease Cycles'!$FA$8:$FG$8,1,AD10),0,1-INDEX('Lease Cycles'!$EM$8:$ES$8,1,AD10)),IF(OR(INDEX('Lease Cycles'!$DY$8:$EE$8,1,AD10)=1,AD11&gt;0),1,1-INDEX('Lease Cycles'!$DD$8:$DJ$8,1,AD10))*('Lease Cycles'!$AJ$8*INDEX('Lease Cycles'!$FO$8:$FU$8,1,AD10)+'Lease Cycles'!$BE$8*(1-INDEX('Lease Cycles'!$FO$8:$FU$8,1,AD10)))),0)</f>
        <v>0</v>
      </c>
      <c r="AE20" s="24">
        <f>IF(AE12=1,'Lease Cycles'!$D$8*IF(INDEX('Lease Cycles'!$EF$8:$EL$8,1,AE10)=1,'Lease Cycles'!$AJ$8*INDEX('Lease Cycles'!$FO$8:$FU$8,1,AE10)*INDEX('Lease Cycles'!$EM$8:$ES$8,1,AE10)+'Lease Cycles'!$BE$8*IF(AE11&lt;INDEX('Lease Cycles'!$FA$8:$FG$8,1,AE10),0,1-INDEX('Lease Cycles'!$EM$8:$ES$8,1,AE10)),IF(OR(INDEX('Lease Cycles'!$DY$8:$EE$8,1,AE10)=1,AE11&gt;0),1,1-INDEX('Lease Cycles'!$DD$8:$DJ$8,1,AE10))*('Lease Cycles'!$AJ$8*INDEX('Lease Cycles'!$FO$8:$FU$8,1,AE10)+'Lease Cycles'!$BE$8*(1-INDEX('Lease Cycles'!$FO$8:$FU$8,1,AE10)))),0)</f>
        <v>0</v>
      </c>
      <c r="AF20" s="24">
        <f>IF(AF12=1,'Lease Cycles'!$D$8*IF(INDEX('Lease Cycles'!$EF$8:$EL$8,1,AF10)=1,'Lease Cycles'!$AJ$8*INDEX('Lease Cycles'!$FO$8:$FU$8,1,AF10)*INDEX('Lease Cycles'!$EM$8:$ES$8,1,AF10)+'Lease Cycles'!$BE$8*IF(AF11&lt;INDEX('Lease Cycles'!$FA$8:$FG$8,1,AF10),0,1-INDEX('Lease Cycles'!$EM$8:$ES$8,1,AF10)),IF(OR(INDEX('Lease Cycles'!$DY$8:$EE$8,1,AF10)=1,AF11&gt;0),1,1-INDEX('Lease Cycles'!$DD$8:$DJ$8,1,AF10))*('Lease Cycles'!$AJ$8*INDEX('Lease Cycles'!$FO$8:$FU$8,1,AF10)+'Lease Cycles'!$BE$8*(1-INDEX('Lease Cycles'!$FO$8:$FU$8,1,AF10)))),0)</f>
        <v>0</v>
      </c>
      <c r="AG20" s="24">
        <f>IF(AG12=1,'Lease Cycles'!$D$8*IF(INDEX('Lease Cycles'!$EF$8:$EL$8,1,AG10)=1,'Lease Cycles'!$AJ$8*INDEX('Lease Cycles'!$FO$8:$FU$8,1,AG10)*INDEX('Lease Cycles'!$EM$8:$ES$8,1,AG10)+'Lease Cycles'!$BE$8*IF(AG11&lt;INDEX('Lease Cycles'!$FA$8:$FG$8,1,AG10),0,1-INDEX('Lease Cycles'!$EM$8:$ES$8,1,AG10)),IF(OR(INDEX('Lease Cycles'!$DY$8:$EE$8,1,AG10)=1,AG11&gt;0),1,1-INDEX('Lease Cycles'!$DD$8:$DJ$8,1,AG10))*('Lease Cycles'!$AJ$8*INDEX('Lease Cycles'!$FO$8:$FU$8,1,AG10)+'Lease Cycles'!$BE$8*(1-INDEX('Lease Cycles'!$FO$8:$FU$8,1,AG10)))),0)</f>
        <v>0</v>
      </c>
      <c r="AH20" s="24">
        <f>IF(AH12=1,'Lease Cycles'!$D$8*IF(INDEX('Lease Cycles'!$EF$8:$EL$8,1,AH10)=1,'Lease Cycles'!$AJ$8*INDEX('Lease Cycles'!$FO$8:$FU$8,1,AH10)*INDEX('Lease Cycles'!$EM$8:$ES$8,1,AH10)+'Lease Cycles'!$BE$8*IF(AH11&lt;INDEX('Lease Cycles'!$FA$8:$FG$8,1,AH10),0,1-INDEX('Lease Cycles'!$EM$8:$ES$8,1,AH10)),IF(OR(INDEX('Lease Cycles'!$DY$8:$EE$8,1,AH10)=1,AH11&gt;0),1,1-INDEX('Lease Cycles'!$DD$8:$DJ$8,1,AH10))*('Lease Cycles'!$AJ$8*INDEX('Lease Cycles'!$FO$8:$FU$8,1,AH10)+'Lease Cycles'!$BE$8*(1-INDEX('Lease Cycles'!$FO$8:$FU$8,1,AH10)))),0)</f>
        <v>0</v>
      </c>
      <c r="AI20" s="24">
        <f>IF(AI12=1,'Lease Cycles'!$D$8*IF(INDEX('Lease Cycles'!$EF$8:$EL$8,1,AI10)=1,'Lease Cycles'!$AJ$8*INDEX('Lease Cycles'!$FO$8:$FU$8,1,AI10)*INDEX('Lease Cycles'!$EM$8:$ES$8,1,AI10)+'Lease Cycles'!$BE$8*IF(AI11&lt;INDEX('Lease Cycles'!$FA$8:$FG$8,1,AI10),0,1-INDEX('Lease Cycles'!$EM$8:$ES$8,1,AI10)),IF(OR(INDEX('Lease Cycles'!$DY$8:$EE$8,1,AI10)=1,AI11&gt;0),1,1-INDEX('Lease Cycles'!$DD$8:$DJ$8,1,AI10))*('Lease Cycles'!$AJ$8*INDEX('Lease Cycles'!$FO$8:$FU$8,1,AI10)+'Lease Cycles'!$BE$8*(1-INDEX('Lease Cycles'!$FO$8:$FU$8,1,AI10)))),0)</f>
        <v>0</v>
      </c>
      <c r="AJ20" s="24">
        <f>IF(AJ12=1,'Lease Cycles'!$D$8*IF(INDEX('Lease Cycles'!$EF$8:$EL$8,1,AJ10)=1,'Lease Cycles'!$AJ$8*INDEX('Lease Cycles'!$FO$8:$FU$8,1,AJ10)*INDEX('Lease Cycles'!$EM$8:$ES$8,1,AJ10)+'Lease Cycles'!$BE$8*IF(AJ11&lt;INDEX('Lease Cycles'!$FA$8:$FG$8,1,AJ10),0,1-INDEX('Lease Cycles'!$EM$8:$ES$8,1,AJ10)),IF(OR(INDEX('Lease Cycles'!$DY$8:$EE$8,1,AJ10)=1,AJ11&gt;0),1,1-INDEX('Lease Cycles'!$DD$8:$DJ$8,1,AJ10))*('Lease Cycles'!$AJ$8*INDEX('Lease Cycles'!$FO$8:$FU$8,1,AJ10)+'Lease Cycles'!$BE$8*(1-INDEX('Lease Cycles'!$FO$8:$FU$8,1,AJ10)))),0)</f>
        <v>0</v>
      </c>
      <c r="AK20" s="24">
        <f>IF(AK12=1,'Lease Cycles'!$D$8*IF(INDEX('Lease Cycles'!$EF$8:$EL$8,1,AK10)=1,'Lease Cycles'!$AJ$8*INDEX('Lease Cycles'!$FO$8:$FU$8,1,AK10)*INDEX('Lease Cycles'!$EM$8:$ES$8,1,AK10)+'Lease Cycles'!$BE$8*IF(AK11&lt;INDEX('Lease Cycles'!$FA$8:$FG$8,1,AK10),0,1-INDEX('Lease Cycles'!$EM$8:$ES$8,1,AK10)),IF(OR(INDEX('Lease Cycles'!$DY$8:$EE$8,1,AK10)=1,AK11&gt;0),1,1-INDEX('Lease Cycles'!$DD$8:$DJ$8,1,AK10))*('Lease Cycles'!$AJ$8*INDEX('Lease Cycles'!$FO$8:$FU$8,1,AK10)+'Lease Cycles'!$BE$8*(1-INDEX('Lease Cycles'!$FO$8:$FU$8,1,AK10)))),0)</f>
        <v>0</v>
      </c>
      <c r="AL20" s="24">
        <f>IF(AL12=1,'Lease Cycles'!$D$8*IF(INDEX('Lease Cycles'!$EF$8:$EL$8,1,AL10)=1,'Lease Cycles'!$AJ$8*INDEX('Lease Cycles'!$FO$8:$FU$8,1,AL10)*INDEX('Lease Cycles'!$EM$8:$ES$8,1,AL10)+'Lease Cycles'!$BE$8*IF(AL11&lt;INDEX('Lease Cycles'!$FA$8:$FG$8,1,AL10),0,1-INDEX('Lease Cycles'!$EM$8:$ES$8,1,AL10)),IF(OR(INDEX('Lease Cycles'!$DY$8:$EE$8,1,AL10)=1,AL11&gt;0),1,1-INDEX('Lease Cycles'!$DD$8:$DJ$8,1,AL10))*('Lease Cycles'!$AJ$8*INDEX('Lease Cycles'!$FO$8:$FU$8,1,AL10)+'Lease Cycles'!$BE$8*(1-INDEX('Lease Cycles'!$FO$8:$FU$8,1,AL10)))),0)</f>
        <v>0</v>
      </c>
      <c r="AM20" s="24">
        <f>IF(AM12=1,'Lease Cycles'!$D$8*IF(INDEX('Lease Cycles'!$EF$8:$EL$8,1,AM10)=1,'Lease Cycles'!$AJ$8*INDEX('Lease Cycles'!$FO$8:$FU$8,1,AM10)*INDEX('Lease Cycles'!$EM$8:$ES$8,1,AM10)+'Lease Cycles'!$BE$8*IF(AM11&lt;INDEX('Lease Cycles'!$FA$8:$FG$8,1,AM10),0,1-INDEX('Lease Cycles'!$EM$8:$ES$8,1,AM10)),IF(OR(INDEX('Lease Cycles'!$DY$8:$EE$8,1,AM10)=1,AM11&gt;0),1,1-INDEX('Lease Cycles'!$DD$8:$DJ$8,1,AM10))*('Lease Cycles'!$AJ$8*INDEX('Lease Cycles'!$FO$8:$FU$8,1,AM10)+'Lease Cycles'!$BE$8*(1-INDEX('Lease Cycles'!$FO$8:$FU$8,1,AM10)))),0)</f>
        <v>0</v>
      </c>
      <c r="AN20" s="24">
        <f>IF(AN12=1,'Lease Cycles'!$D$8*IF(INDEX('Lease Cycles'!$EF$8:$EL$8,1,AN10)=1,'Lease Cycles'!$AJ$8*INDEX('Lease Cycles'!$FO$8:$FU$8,1,AN10)*INDEX('Lease Cycles'!$EM$8:$ES$8,1,AN10)+'Lease Cycles'!$BE$8*IF(AN11&lt;INDEX('Lease Cycles'!$FA$8:$FG$8,1,AN10),0,1-INDEX('Lease Cycles'!$EM$8:$ES$8,1,AN10)),IF(OR(INDEX('Lease Cycles'!$DY$8:$EE$8,1,AN10)=1,AN11&gt;0),1,1-INDEX('Lease Cycles'!$DD$8:$DJ$8,1,AN10))*('Lease Cycles'!$AJ$8*INDEX('Lease Cycles'!$FO$8:$FU$8,1,AN10)+'Lease Cycles'!$BE$8*(1-INDEX('Lease Cycles'!$FO$8:$FU$8,1,AN10)))),0)</f>
        <v>0</v>
      </c>
      <c r="AO20" s="24">
        <f>IF(AO12=1,'Lease Cycles'!$D$8*IF(INDEX('Lease Cycles'!$EF$8:$EL$8,1,AO10)=1,'Lease Cycles'!$AJ$8*INDEX('Lease Cycles'!$FO$8:$FU$8,1,AO10)*INDEX('Lease Cycles'!$EM$8:$ES$8,1,AO10)+'Lease Cycles'!$BE$8*IF(AO11&lt;INDEX('Lease Cycles'!$FA$8:$FG$8,1,AO10),0,1-INDEX('Lease Cycles'!$EM$8:$ES$8,1,AO10)),IF(OR(INDEX('Lease Cycles'!$DY$8:$EE$8,1,AO10)=1,AO11&gt;0),1,1-INDEX('Lease Cycles'!$DD$8:$DJ$8,1,AO10))*('Lease Cycles'!$AJ$8*INDEX('Lease Cycles'!$FO$8:$FU$8,1,AO10)+'Lease Cycles'!$BE$8*(1-INDEX('Lease Cycles'!$FO$8:$FU$8,1,AO10)))),0)</f>
        <v>0</v>
      </c>
      <c r="AP20" s="24">
        <f>IF(AP12=1,'Lease Cycles'!$D$8*IF(INDEX('Lease Cycles'!$EF$8:$EL$8,1,AP10)=1,'Lease Cycles'!$AJ$8*INDEX('Lease Cycles'!$FO$8:$FU$8,1,AP10)*INDEX('Lease Cycles'!$EM$8:$ES$8,1,AP10)+'Lease Cycles'!$BE$8*IF(AP11&lt;INDEX('Lease Cycles'!$FA$8:$FG$8,1,AP10),0,1-INDEX('Lease Cycles'!$EM$8:$ES$8,1,AP10)),IF(OR(INDEX('Lease Cycles'!$DY$8:$EE$8,1,AP10)=1,AP11&gt;0),1,1-INDEX('Lease Cycles'!$DD$8:$DJ$8,1,AP10))*('Lease Cycles'!$AJ$8*INDEX('Lease Cycles'!$FO$8:$FU$8,1,AP10)+'Lease Cycles'!$BE$8*(1-INDEX('Lease Cycles'!$FO$8:$FU$8,1,AP10)))),0)</f>
        <v>0</v>
      </c>
      <c r="AQ20" s="24">
        <f>IF(AQ12=1,'Lease Cycles'!$D$8*IF(INDEX('Lease Cycles'!$EF$8:$EL$8,1,AQ10)=1,'Lease Cycles'!$AJ$8*INDEX('Lease Cycles'!$FO$8:$FU$8,1,AQ10)*INDEX('Lease Cycles'!$EM$8:$ES$8,1,AQ10)+'Lease Cycles'!$BE$8*IF(AQ11&lt;INDEX('Lease Cycles'!$FA$8:$FG$8,1,AQ10),0,1-INDEX('Lease Cycles'!$EM$8:$ES$8,1,AQ10)),IF(OR(INDEX('Lease Cycles'!$DY$8:$EE$8,1,AQ10)=1,AQ11&gt;0),1,1-INDEX('Lease Cycles'!$DD$8:$DJ$8,1,AQ10))*('Lease Cycles'!$AJ$8*INDEX('Lease Cycles'!$FO$8:$FU$8,1,AQ10)+'Lease Cycles'!$BE$8*(1-INDEX('Lease Cycles'!$FO$8:$FU$8,1,AQ10)))),0)</f>
        <v>0</v>
      </c>
      <c r="AR20" s="24">
        <f>IF(AR12=1,'Lease Cycles'!$D$8*IF(INDEX('Lease Cycles'!$EF$8:$EL$8,1,AR10)=1,'Lease Cycles'!$AJ$8*INDEX('Lease Cycles'!$FO$8:$FU$8,1,AR10)*INDEX('Lease Cycles'!$EM$8:$ES$8,1,AR10)+'Lease Cycles'!$BE$8*IF(AR11&lt;INDEX('Lease Cycles'!$FA$8:$FG$8,1,AR10),0,1-INDEX('Lease Cycles'!$EM$8:$ES$8,1,AR10)),IF(OR(INDEX('Lease Cycles'!$DY$8:$EE$8,1,AR10)=1,AR11&gt;0),1,1-INDEX('Lease Cycles'!$DD$8:$DJ$8,1,AR10))*('Lease Cycles'!$AJ$8*INDEX('Lease Cycles'!$FO$8:$FU$8,1,AR10)+'Lease Cycles'!$BE$8*(1-INDEX('Lease Cycles'!$FO$8:$FU$8,1,AR10)))),0)</f>
        <v>0</v>
      </c>
      <c r="AS20" s="24">
        <f>IF(AS12=1,'Lease Cycles'!$D$8*IF(INDEX('Lease Cycles'!$EF$8:$EL$8,1,AS10)=1,'Lease Cycles'!$AJ$8*INDEX('Lease Cycles'!$FO$8:$FU$8,1,AS10)*INDEX('Lease Cycles'!$EM$8:$ES$8,1,AS10)+'Lease Cycles'!$BE$8*IF(AS11&lt;INDEX('Lease Cycles'!$FA$8:$FG$8,1,AS10),0,1-INDEX('Lease Cycles'!$EM$8:$ES$8,1,AS10)),IF(OR(INDEX('Lease Cycles'!$DY$8:$EE$8,1,AS10)=1,AS11&gt;0),1,1-INDEX('Lease Cycles'!$DD$8:$DJ$8,1,AS10))*('Lease Cycles'!$AJ$8*INDEX('Lease Cycles'!$FO$8:$FU$8,1,AS10)+'Lease Cycles'!$BE$8*(1-INDEX('Lease Cycles'!$FO$8:$FU$8,1,AS10)))),0)</f>
        <v>0</v>
      </c>
      <c r="AT20" s="24">
        <f>IF(AT12=1,'Lease Cycles'!$D$8*IF(INDEX('Lease Cycles'!$EF$8:$EL$8,1,AT10)=1,'Lease Cycles'!$AJ$8*INDEX('Lease Cycles'!$FO$8:$FU$8,1,AT10)*INDEX('Lease Cycles'!$EM$8:$ES$8,1,AT10)+'Lease Cycles'!$BE$8*IF(AT11&lt;INDEX('Lease Cycles'!$FA$8:$FG$8,1,AT10),0,1-INDEX('Lease Cycles'!$EM$8:$ES$8,1,AT10)),IF(OR(INDEX('Lease Cycles'!$DY$8:$EE$8,1,AT10)=1,AT11&gt;0),1,1-INDEX('Lease Cycles'!$DD$8:$DJ$8,1,AT10))*('Lease Cycles'!$AJ$8*INDEX('Lease Cycles'!$FO$8:$FU$8,1,AT10)+'Lease Cycles'!$BE$8*(1-INDEX('Lease Cycles'!$FO$8:$FU$8,1,AT10)))),0)</f>
        <v>0</v>
      </c>
      <c r="AU20" s="24">
        <f>IF(AU12=1,'Lease Cycles'!$D$8*IF(INDEX('Lease Cycles'!$EF$8:$EL$8,1,AU10)=1,'Lease Cycles'!$AJ$8*INDEX('Lease Cycles'!$FO$8:$FU$8,1,AU10)*INDEX('Lease Cycles'!$EM$8:$ES$8,1,AU10)+'Lease Cycles'!$BE$8*IF(AU11&lt;INDEX('Lease Cycles'!$FA$8:$FG$8,1,AU10),0,1-INDEX('Lease Cycles'!$EM$8:$ES$8,1,AU10)),IF(OR(INDEX('Lease Cycles'!$DY$8:$EE$8,1,AU10)=1,AU11&gt;0),1,1-INDEX('Lease Cycles'!$DD$8:$DJ$8,1,AU10))*('Lease Cycles'!$AJ$8*INDEX('Lease Cycles'!$FO$8:$FU$8,1,AU10)+'Lease Cycles'!$BE$8*(1-INDEX('Lease Cycles'!$FO$8:$FU$8,1,AU10)))),0)</f>
        <v>0</v>
      </c>
      <c r="AV20" s="24">
        <f>IF(AV12=1,'Lease Cycles'!$D$8*IF(INDEX('Lease Cycles'!$EF$8:$EL$8,1,AV10)=1,'Lease Cycles'!$AJ$8*INDEX('Lease Cycles'!$FO$8:$FU$8,1,AV10)*INDEX('Lease Cycles'!$EM$8:$ES$8,1,AV10)+'Lease Cycles'!$BE$8*IF(AV11&lt;INDEX('Lease Cycles'!$FA$8:$FG$8,1,AV10),0,1-INDEX('Lease Cycles'!$EM$8:$ES$8,1,AV10)),IF(OR(INDEX('Lease Cycles'!$DY$8:$EE$8,1,AV10)=1,AV11&gt;0),1,1-INDEX('Lease Cycles'!$DD$8:$DJ$8,1,AV10))*('Lease Cycles'!$AJ$8*INDEX('Lease Cycles'!$FO$8:$FU$8,1,AV10)+'Lease Cycles'!$BE$8*(1-INDEX('Lease Cycles'!$FO$8:$FU$8,1,AV10)))),0)</f>
        <v>0</v>
      </c>
      <c r="AW20" s="24">
        <f>IF(AW12=1,'Lease Cycles'!$D$8*IF(INDEX('Lease Cycles'!$EF$8:$EL$8,1,AW10)=1,'Lease Cycles'!$AJ$8*INDEX('Lease Cycles'!$FO$8:$FU$8,1,AW10)*INDEX('Lease Cycles'!$EM$8:$ES$8,1,AW10)+'Lease Cycles'!$BE$8*IF(AW11&lt;INDEX('Lease Cycles'!$FA$8:$FG$8,1,AW10),0,1-INDEX('Lease Cycles'!$EM$8:$ES$8,1,AW10)),IF(OR(INDEX('Lease Cycles'!$DY$8:$EE$8,1,AW10)=1,AW11&gt;0),1,1-INDEX('Lease Cycles'!$DD$8:$DJ$8,1,AW10))*('Lease Cycles'!$AJ$8*INDEX('Lease Cycles'!$FO$8:$FU$8,1,AW10)+'Lease Cycles'!$BE$8*(1-INDEX('Lease Cycles'!$FO$8:$FU$8,1,AW10)))),0)</f>
        <v>0</v>
      </c>
      <c r="AX20" s="24">
        <f>IF(AX12=1,'Lease Cycles'!$D$8*IF(INDEX('Lease Cycles'!$EF$8:$EL$8,1,AX10)=1,'Lease Cycles'!$AJ$8*INDEX('Lease Cycles'!$FO$8:$FU$8,1,AX10)*INDEX('Lease Cycles'!$EM$8:$ES$8,1,AX10)+'Lease Cycles'!$BE$8*IF(AX11&lt;INDEX('Lease Cycles'!$FA$8:$FG$8,1,AX10),0,1-INDEX('Lease Cycles'!$EM$8:$ES$8,1,AX10)),IF(OR(INDEX('Lease Cycles'!$DY$8:$EE$8,1,AX10)=1,AX11&gt;0),1,1-INDEX('Lease Cycles'!$DD$8:$DJ$8,1,AX10))*('Lease Cycles'!$AJ$8*INDEX('Lease Cycles'!$FO$8:$FU$8,1,AX10)+'Lease Cycles'!$BE$8*(1-INDEX('Lease Cycles'!$FO$8:$FU$8,1,AX10)))),0)</f>
        <v>0</v>
      </c>
      <c r="AY20" s="24">
        <f>IF(AY12=1,'Lease Cycles'!$D$8*IF(INDEX('Lease Cycles'!$EF$8:$EL$8,1,AY10)=1,'Lease Cycles'!$AJ$8*INDEX('Lease Cycles'!$FO$8:$FU$8,1,AY10)*INDEX('Lease Cycles'!$EM$8:$ES$8,1,AY10)+'Lease Cycles'!$BE$8*IF(AY11&lt;INDEX('Lease Cycles'!$FA$8:$FG$8,1,AY10),0,1-INDEX('Lease Cycles'!$EM$8:$ES$8,1,AY10)),IF(OR(INDEX('Lease Cycles'!$DY$8:$EE$8,1,AY10)=1,AY11&gt;0),1,1-INDEX('Lease Cycles'!$DD$8:$DJ$8,1,AY10))*('Lease Cycles'!$AJ$8*INDEX('Lease Cycles'!$FO$8:$FU$8,1,AY10)+'Lease Cycles'!$BE$8*(1-INDEX('Lease Cycles'!$FO$8:$FU$8,1,AY10)))),0)</f>
        <v>0</v>
      </c>
      <c r="AZ20" s="24">
        <f>IF(AZ12=1,'Lease Cycles'!$D$8*IF(INDEX('Lease Cycles'!$EF$8:$EL$8,1,AZ10)=1,'Lease Cycles'!$AJ$8*INDEX('Lease Cycles'!$FO$8:$FU$8,1,AZ10)*INDEX('Lease Cycles'!$EM$8:$ES$8,1,AZ10)+'Lease Cycles'!$BE$8*IF(AZ11&lt;INDEX('Lease Cycles'!$FA$8:$FG$8,1,AZ10),0,1-INDEX('Lease Cycles'!$EM$8:$ES$8,1,AZ10)),IF(OR(INDEX('Lease Cycles'!$DY$8:$EE$8,1,AZ10)=1,AZ11&gt;0),1,1-INDEX('Lease Cycles'!$DD$8:$DJ$8,1,AZ10))*('Lease Cycles'!$AJ$8*INDEX('Lease Cycles'!$FO$8:$FU$8,1,AZ10)+'Lease Cycles'!$BE$8*(1-INDEX('Lease Cycles'!$FO$8:$FU$8,1,AZ10)))),0)</f>
        <v>0</v>
      </c>
      <c r="BA20" s="24">
        <f>IF(BA12=1,'Lease Cycles'!$D$8*IF(INDEX('Lease Cycles'!$EF$8:$EL$8,1,BA10)=1,'Lease Cycles'!$AJ$8*INDEX('Lease Cycles'!$FO$8:$FU$8,1,BA10)*INDEX('Lease Cycles'!$EM$8:$ES$8,1,BA10)+'Lease Cycles'!$BE$8*IF(BA11&lt;INDEX('Lease Cycles'!$FA$8:$FG$8,1,BA10),0,1-INDEX('Lease Cycles'!$EM$8:$ES$8,1,BA10)),IF(OR(INDEX('Lease Cycles'!$DY$8:$EE$8,1,BA10)=1,BA11&gt;0),1,1-INDEX('Lease Cycles'!$DD$8:$DJ$8,1,BA10))*('Lease Cycles'!$AJ$8*INDEX('Lease Cycles'!$FO$8:$FU$8,1,BA10)+'Lease Cycles'!$BE$8*(1-INDEX('Lease Cycles'!$FO$8:$FU$8,1,BA10)))),0)</f>
        <v>0</v>
      </c>
      <c r="BB20" s="24">
        <f>IF(BB12=1,'Lease Cycles'!$D$8*IF(INDEX('Lease Cycles'!$EF$8:$EL$8,1,BB10)=1,'Lease Cycles'!$AJ$8*INDEX('Lease Cycles'!$FO$8:$FU$8,1,BB10)*INDEX('Lease Cycles'!$EM$8:$ES$8,1,BB10)+'Lease Cycles'!$BE$8*IF(BB11&lt;INDEX('Lease Cycles'!$FA$8:$FG$8,1,BB10),0,1-INDEX('Lease Cycles'!$EM$8:$ES$8,1,BB10)),IF(OR(INDEX('Lease Cycles'!$DY$8:$EE$8,1,BB10)=1,BB11&gt;0),1,1-INDEX('Lease Cycles'!$DD$8:$DJ$8,1,BB10))*('Lease Cycles'!$AJ$8*INDEX('Lease Cycles'!$FO$8:$FU$8,1,BB10)+'Lease Cycles'!$BE$8*(1-INDEX('Lease Cycles'!$FO$8:$FU$8,1,BB10)))),0)</f>
        <v>0</v>
      </c>
      <c r="BC20" s="24">
        <f>IF(BC12=1,'Lease Cycles'!$D$8*IF(INDEX('Lease Cycles'!$EF$8:$EL$8,1,BC10)=1,'Lease Cycles'!$AJ$8*INDEX('Lease Cycles'!$FO$8:$FU$8,1,BC10)*INDEX('Lease Cycles'!$EM$8:$ES$8,1,BC10)+'Lease Cycles'!$BE$8*IF(BC11&lt;INDEX('Lease Cycles'!$FA$8:$FG$8,1,BC10),0,1-INDEX('Lease Cycles'!$EM$8:$ES$8,1,BC10)),IF(OR(INDEX('Lease Cycles'!$DY$8:$EE$8,1,BC10)=1,BC11&gt;0),1,1-INDEX('Lease Cycles'!$DD$8:$DJ$8,1,BC10))*('Lease Cycles'!$AJ$8*INDEX('Lease Cycles'!$FO$8:$FU$8,1,BC10)+'Lease Cycles'!$BE$8*(1-INDEX('Lease Cycles'!$FO$8:$FU$8,1,BC10)))),0)</f>
        <v>0</v>
      </c>
      <c r="BD20" s="24">
        <f>IF(BD12=1,'Lease Cycles'!$D$8*IF(INDEX('Lease Cycles'!$EF$8:$EL$8,1,BD10)=1,'Lease Cycles'!$AJ$8*INDEX('Lease Cycles'!$FO$8:$FU$8,1,BD10)*INDEX('Lease Cycles'!$EM$8:$ES$8,1,BD10)+'Lease Cycles'!$BE$8*IF(BD11&lt;INDEX('Lease Cycles'!$FA$8:$FG$8,1,BD10),0,1-INDEX('Lease Cycles'!$EM$8:$ES$8,1,BD10)),IF(OR(INDEX('Lease Cycles'!$DY$8:$EE$8,1,BD10)=1,BD11&gt;0),1,1-INDEX('Lease Cycles'!$DD$8:$DJ$8,1,BD10))*('Lease Cycles'!$AJ$8*INDEX('Lease Cycles'!$FO$8:$FU$8,1,BD10)+'Lease Cycles'!$BE$8*(1-INDEX('Lease Cycles'!$FO$8:$FU$8,1,BD10)))),0)</f>
        <v>0</v>
      </c>
      <c r="BE20" s="24">
        <f>IF(BE12=1,'Lease Cycles'!$D$8*IF(INDEX('Lease Cycles'!$EF$8:$EL$8,1,BE10)=1,'Lease Cycles'!$AJ$8*INDEX('Lease Cycles'!$FO$8:$FU$8,1,BE10)*INDEX('Lease Cycles'!$EM$8:$ES$8,1,BE10)+'Lease Cycles'!$BE$8*IF(BE11&lt;INDEX('Lease Cycles'!$FA$8:$FG$8,1,BE10),0,1-INDEX('Lease Cycles'!$EM$8:$ES$8,1,BE10)),IF(OR(INDEX('Lease Cycles'!$DY$8:$EE$8,1,BE10)=1,BE11&gt;0),1,1-INDEX('Lease Cycles'!$DD$8:$DJ$8,1,BE10))*('Lease Cycles'!$AJ$8*INDEX('Lease Cycles'!$FO$8:$FU$8,1,BE10)+'Lease Cycles'!$BE$8*(1-INDEX('Lease Cycles'!$FO$8:$FU$8,1,BE10)))),0)</f>
        <v>0</v>
      </c>
      <c r="BF20" s="24">
        <f>IF(BF12=1,'Lease Cycles'!$D$8*IF(INDEX('Lease Cycles'!$EF$8:$EL$8,1,BF10)=1,'Lease Cycles'!$AJ$8*INDEX('Lease Cycles'!$FO$8:$FU$8,1,BF10)*INDEX('Lease Cycles'!$EM$8:$ES$8,1,BF10)+'Lease Cycles'!$BE$8*IF(BF11&lt;INDEX('Lease Cycles'!$FA$8:$FG$8,1,BF10),0,1-INDEX('Lease Cycles'!$EM$8:$ES$8,1,BF10)),IF(OR(INDEX('Lease Cycles'!$DY$8:$EE$8,1,BF10)=1,BF11&gt;0),1,1-INDEX('Lease Cycles'!$DD$8:$DJ$8,1,BF10))*('Lease Cycles'!$AJ$8*INDEX('Lease Cycles'!$FO$8:$FU$8,1,BF10)+'Lease Cycles'!$BE$8*(1-INDEX('Lease Cycles'!$FO$8:$FU$8,1,BF10)))),0)</f>
        <v>0</v>
      </c>
      <c r="BG20" s="24">
        <f>IF(BG12=1,'Lease Cycles'!$D$8*IF(INDEX('Lease Cycles'!$EF$8:$EL$8,1,BG10)=1,'Lease Cycles'!$AJ$8*INDEX('Lease Cycles'!$FO$8:$FU$8,1,BG10)*INDEX('Lease Cycles'!$EM$8:$ES$8,1,BG10)+'Lease Cycles'!$BE$8*IF(BG11&lt;INDEX('Lease Cycles'!$FA$8:$FG$8,1,BG10),0,1-INDEX('Lease Cycles'!$EM$8:$ES$8,1,BG10)),IF(OR(INDEX('Lease Cycles'!$DY$8:$EE$8,1,BG10)=1,BG11&gt;0),1,1-INDEX('Lease Cycles'!$DD$8:$DJ$8,1,BG10))*('Lease Cycles'!$AJ$8*INDEX('Lease Cycles'!$FO$8:$FU$8,1,BG10)+'Lease Cycles'!$BE$8*(1-INDEX('Lease Cycles'!$FO$8:$FU$8,1,BG10)))),0)</f>
        <v>0</v>
      </c>
      <c r="BH20" s="24">
        <f>IF(BH12=1,'Lease Cycles'!$D$8*IF(INDEX('Lease Cycles'!$EF$8:$EL$8,1,BH10)=1,'Lease Cycles'!$AJ$8*INDEX('Lease Cycles'!$FO$8:$FU$8,1,BH10)*INDEX('Lease Cycles'!$EM$8:$ES$8,1,BH10)+'Lease Cycles'!$BE$8*IF(BH11&lt;INDEX('Lease Cycles'!$FA$8:$FG$8,1,BH10),0,1-INDEX('Lease Cycles'!$EM$8:$ES$8,1,BH10)),IF(OR(INDEX('Lease Cycles'!$DY$8:$EE$8,1,BH10)=1,BH11&gt;0),1,1-INDEX('Lease Cycles'!$DD$8:$DJ$8,1,BH10))*('Lease Cycles'!$AJ$8*INDEX('Lease Cycles'!$FO$8:$FU$8,1,BH10)+'Lease Cycles'!$BE$8*(1-INDEX('Lease Cycles'!$FO$8:$FU$8,1,BH10)))),0)</f>
        <v>0</v>
      </c>
      <c r="BI20" s="24">
        <f>IF(BI12=1,'Lease Cycles'!$D$8*IF(INDEX('Lease Cycles'!$EF$8:$EL$8,1,BI10)=1,'Lease Cycles'!$AJ$8*INDEX('Lease Cycles'!$FO$8:$FU$8,1,BI10)*INDEX('Lease Cycles'!$EM$8:$ES$8,1,BI10)+'Lease Cycles'!$BE$8*IF(BI11&lt;INDEX('Lease Cycles'!$FA$8:$FG$8,1,BI10),0,1-INDEX('Lease Cycles'!$EM$8:$ES$8,1,BI10)),IF(OR(INDEX('Lease Cycles'!$DY$8:$EE$8,1,BI10)=1,BI11&gt;0),1,1-INDEX('Lease Cycles'!$DD$8:$DJ$8,1,BI10))*('Lease Cycles'!$AJ$8*INDEX('Lease Cycles'!$FO$8:$FU$8,1,BI10)+'Lease Cycles'!$BE$8*(1-INDEX('Lease Cycles'!$FO$8:$FU$8,1,BI10)))),0)</f>
        <v>0</v>
      </c>
      <c r="BJ20" s="24">
        <f>IF(BJ12=1,'Lease Cycles'!$D$8*IF(INDEX('Lease Cycles'!$EF$8:$EL$8,1,BJ10)=1,'Lease Cycles'!$AJ$8*INDEX('Lease Cycles'!$FO$8:$FU$8,1,BJ10)*INDEX('Lease Cycles'!$EM$8:$ES$8,1,BJ10)+'Lease Cycles'!$BE$8*IF(BJ11&lt;INDEX('Lease Cycles'!$FA$8:$FG$8,1,BJ10),0,1-INDEX('Lease Cycles'!$EM$8:$ES$8,1,BJ10)),IF(OR(INDEX('Lease Cycles'!$DY$8:$EE$8,1,BJ10)=1,BJ11&gt;0),1,1-INDEX('Lease Cycles'!$DD$8:$DJ$8,1,BJ10))*('Lease Cycles'!$AJ$8*INDEX('Lease Cycles'!$FO$8:$FU$8,1,BJ10)+'Lease Cycles'!$BE$8*(1-INDEX('Lease Cycles'!$FO$8:$FU$8,1,BJ10)))),0)</f>
        <v>0</v>
      </c>
      <c r="BK20" s="24">
        <f>IF(BK12=1,'Lease Cycles'!$D$8*IF(INDEX('Lease Cycles'!$EF$8:$EL$8,1,BK10)=1,'Lease Cycles'!$AJ$8*INDEX('Lease Cycles'!$FO$8:$FU$8,1,BK10)*INDEX('Lease Cycles'!$EM$8:$ES$8,1,BK10)+'Lease Cycles'!$BE$8*IF(BK11&lt;INDEX('Lease Cycles'!$FA$8:$FG$8,1,BK10),0,1-INDEX('Lease Cycles'!$EM$8:$ES$8,1,BK10)),IF(OR(INDEX('Lease Cycles'!$DY$8:$EE$8,1,BK10)=1,BK11&gt;0),1,1-INDEX('Lease Cycles'!$DD$8:$DJ$8,1,BK10))*('Lease Cycles'!$AJ$8*INDEX('Lease Cycles'!$FO$8:$FU$8,1,BK10)+'Lease Cycles'!$BE$8*(1-INDEX('Lease Cycles'!$FO$8:$FU$8,1,BK10)))),0)</f>
        <v>0</v>
      </c>
      <c r="BL20" s="24">
        <f>IF(BL12=1,'Lease Cycles'!$D$8*IF(INDEX('Lease Cycles'!$EF$8:$EL$8,1,BL10)=1,'Lease Cycles'!$AJ$8*INDEX('Lease Cycles'!$FO$8:$FU$8,1,BL10)*INDEX('Lease Cycles'!$EM$8:$ES$8,1,BL10)+'Lease Cycles'!$BE$8*IF(BL11&lt;INDEX('Lease Cycles'!$FA$8:$FG$8,1,BL10),0,1-INDEX('Lease Cycles'!$EM$8:$ES$8,1,BL10)),IF(OR(INDEX('Lease Cycles'!$DY$8:$EE$8,1,BL10)=1,BL11&gt;0),1,1-INDEX('Lease Cycles'!$DD$8:$DJ$8,1,BL10))*('Lease Cycles'!$AJ$8*INDEX('Lease Cycles'!$FO$8:$FU$8,1,BL10)+'Lease Cycles'!$BE$8*(1-INDEX('Lease Cycles'!$FO$8:$FU$8,1,BL10)))),0)</f>
        <v>0</v>
      </c>
      <c r="BM20" s="24">
        <f>IF(BM12=1,'Lease Cycles'!$D$8*IF(INDEX('Lease Cycles'!$EF$8:$EL$8,1,BM10)=1,'Lease Cycles'!$AJ$8*INDEX('Lease Cycles'!$FO$8:$FU$8,1,BM10)*INDEX('Lease Cycles'!$EM$8:$ES$8,1,BM10)+'Lease Cycles'!$BE$8*IF(BM11&lt;INDEX('Lease Cycles'!$FA$8:$FG$8,1,BM10),0,1-INDEX('Lease Cycles'!$EM$8:$ES$8,1,BM10)),IF(OR(INDEX('Lease Cycles'!$DY$8:$EE$8,1,BM10)=1,BM11&gt;0),1,1-INDEX('Lease Cycles'!$DD$8:$DJ$8,1,BM10))*('Lease Cycles'!$AJ$8*INDEX('Lease Cycles'!$FO$8:$FU$8,1,BM10)+'Lease Cycles'!$BE$8*(1-INDEX('Lease Cycles'!$FO$8:$FU$8,1,BM10)))),0)</f>
        <v>0</v>
      </c>
      <c r="BN20" s="24">
        <f>IF(BN12=1,'Lease Cycles'!$D$8*IF(INDEX('Lease Cycles'!$EF$8:$EL$8,1,BN10)=1,'Lease Cycles'!$AJ$8*INDEX('Lease Cycles'!$FO$8:$FU$8,1,BN10)*INDEX('Lease Cycles'!$EM$8:$ES$8,1,BN10)+'Lease Cycles'!$BE$8*IF(BN11&lt;INDEX('Lease Cycles'!$FA$8:$FG$8,1,BN10),0,1-INDEX('Lease Cycles'!$EM$8:$ES$8,1,BN10)),IF(OR(INDEX('Lease Cycles'!$DY$8:$EE$8,1,BN10)=1,BN11&gt;0),1,1-INDEX('Lease Cycles'!$DD$8:$DJ$8,1,BN10))*('Lease Cycles'!$AJ$8*INDEX('Lease Cycles'!$FO$8:$FU$8,1,BN10)+'Lease Cycles'!$BE$8*(1-INDEX('Lease Cycles'!$FO$8:$FU$8,1,BN10)))),0)</f>
        <v>0</v>
      </c>
      <c r="BO20" s="24">
        <f>IF(BO12=1,'Lease Cycles'!$D$8*IF(INDEX('Lease Cycles'!$EF$8:$EL$8,1,BO10)=1,'Lease Cycles'!$AJ$8*INDEX('Lease Cycles'!$FO$8:$FU$8,1,BO10)*INDEX('Lease Cycles'!$EM$8:$ES$8,1,BO10)+'Lease Cycles'!$BE$8*IF(BO11&lt;INDEX('Lease Cycles'!$FA$8:$FG$8,1,BO10),0,1-INDEX('Lease Cycles'!$EM$8:$ES$8,1,BO10)),IF(OR(INDEX('Lease Cycles'!$DY$8:$EE$8,1,BO10)=1,BO11&gt;0),1,1-INDEX('Lease Cycles'!$DD$8:$DJ$8,1,BO10))*('Lease Cycles'!$AJ$8*INDEX('Lease Cycles'!$FO$8:$FU$8,1,BO10)+'Lease Cycles'!$BE$8*(1-INDEX('Lease Cycles'!$FO$8:$FU$8,1,BO10)))),0)</f>
        <v>0</v>
      </c>
      <c r="BP20" s="24">
        <f>IF(BP12=1,'Lease Cycles'!$D$8*IF(INDEX('Lease Cycles'!$EF$8:$EL$8,1,BP10)=1,'Lease Cycles'!$AJ$8*INDEX('Lease Cycles'!$FO$8:$FU$8,1,BP10)*INDEX('Lease Cycles'!$EM$8:$ES$8,1,BP10)+'Lease Cycles'!$BE$8*IF(BP11&lt;INDEX('Lease Cycles'!$FA$8:$FG$8,1,BP10),0,1-INDEX('Lease Cycles'!$EM$8:$ES$8,1,BP10)),IF(OR(INDEX('Lease Cycles'!$DY$8:$EE$8,1,BP10)=1,BP11&gt;0),1,1-INDEX('Lease Cycles'!$DD$8:$DJ$8,1,BP10))*('Lease Cycles'!$AJ$8*INDEX('Lease Cycles'!$FO$8:$FU$8,1,BP10)+'Lease Cycles'!$BE$8*(1-INDEX('Lease Cycles'!$FO$8:$FU$8,1,BP10)))),0)</f>
        <v>0</v>
      </c>
      <c r="BQ20" s="24">
        <f>IF(BQ12=1,'Lease Cycles'!$D$8*IF(INDEX('Lease Cycles'!$EF$8:$EL$8,1,BQ10)=1,'Lease Cycles'!$AJ$8*INDEX('Lease Cycles'!$FO$8:$FU$8,1,BQ10)*INDEX('Lease Cycles'!$EM$8:$ES$8,1,BQ10)+'Lease Cycles'!$BE$8*IF(BQ11&lt;INDEX('Lease Cycles'!$FA$8:$FG$8,1,BQ10),0,1-INDEX('Lease Cycles'!$EM$8:$ES$8,1,BQ10)),IF(OR(INDEX('Lease Cycles'!$DY$8:$EE$8,1,BQ10)=1,BQ11&gt;0),1,1-INDEX('Lease Cycles'!$DD$8:$DJ$8,1,BQ10))*('Lease Cycles'!$AJ$8*INDEX('Lease Cycles'!$FO$8:$FU$8,1,BQ10)+'Lease Cycles'!$BE$8*(1-INDEX('Lease Cycles'!$FO$8:$FU$8,1,BQ10)))),0)</f>
        <v>0</v>
      </c>
      <c r="BR20" s="24">
        <f>IF(BR12=1,'Lease Cycles'!$D$8*IF(INDEX('Lease Cycles'!$EF$8:$EL$8,1,BR10)=1,'Lease Cycles'!$AJ$8*INDEX('Lease Cycles'!$FO$8:$FU$8,1,BR10)*INDEX('Lease Cycles'!$EM$8:$ES$8,1,BR10)+'Lease Cycles'!$BE$8*IF(BR11&lt;INDEX('Lease Cycles'!$FA$8:$FG$8,1,BR10),0,1-INDEX('Lease Cycles'!$EM$8:$ES$8,1,BR10)),IF(OR(INDEX('Lease Cycles'!$DY$8:$EE$8,1,BR10)=1,BR11&gt;0),1,1-INDEX('Lease Cycles'!$DD$8:$DJ$8,1,BR10))*('Lease Cycles'!$AJ$8*INDEX('Lease Cycles'!$FO$8:$FU$8,1,BR10)+'Lease Cycles'!$BE$8*(1-INDEX('Lease Cycles'!$FO$8:$FU$8,1,BR10)))),0)</f>
        <v>0</v>
      </c>
      <c r="BS20" s="24">
        <f>IF(BS12=1,'Lease Cycles'!$D$8*IF(INDEX('Lease Cycles'!$EF$8:$EL$8,1,BS10)=1,'Lease Cycles'!$AJ$8*INDEX('Lease Cycles'!$FO$8:$FU$8,1,BS10)*INDEX('Lease Cycles'!$EM$8:$ES$8,1,BS10)+'Lease Cycles'!$BE$8*IF(BS11&lt;INDEX('Lease Cycles'!$FA$8:$FG$8,1,BS10),0,1-INDEX('Lease Cycles'!$EM$8:$ES$8,1,BS10)),IF(OR(INDEX('Lease Cycles'!$DY$8:$EE$8,1,BS10)=1,BS11&gt;0),1,1-INDEX('Lease Cycles'!$DD$8:$DJ$8,1,BS10))*('Lease Cycles'!$AJ$8*INDEX('Lease Cycles'!$FO$8:$FU$8,1,BS10)+'Lease Cycles'!$BE$8*(1-INDEX('Lease Cycles'!$FO$8:$FU$8,1,BS10)))),0)</f>
        <v>0</v>
      </c>
      <c r="BT20" s="24">
        <f>IF(BT12=1,'Lease Cycles'!$D$8*IF(INDEX('Lease Cycles'!$EF$8:$EL$8,1,BT10)=1,'Lease Cycles'!$AJ$8*INDEX('Lease Cycles'!$FO$8:$FU$8,1,BT10)*INDEX('Lease Cycles'!$EM$8:$ES$8,1,BT10)+'Lease Cycles'!$BE$8*IF(BT11&lt;INDEX('Lease Cycles'!$FA$8:$FG$8,1,BT10),0,1-INDEX('Lease Cycles'!$EM$8:$ES$8,1,BT10)),IF(OR(INDEX('Lease Cycles'!$DY$8:$EE$8,1,BT10)=1,BT11&gt;0),1,1-INDEX('Lease Cycles'!$DD$8:$DJ$8,1,BT10))*('Lease Cycles'!$AJ$8*INDEX('Lease Cycles'!$FO$8:$FU$8,1,BT10)+'Lease Cycles'!$BE$8*(1-INDEX('Lease Cycles'!$FO$8:$FU$8,1,BT10)))),0)</f>
        <v>0</v>
      </c>
      <c r="BU20" s="24">
        <f>IF(BU12=1,'Lease Cycles'!$D$8*IF(INDEX('Lease Cycles'!$EF$8:$EL$8,1,BU10)=1,'Lease Cycles'!$AJ$8*INDEX('Lease Cycles'!$FO$8:$FU$8,1,BU10)*INDEX('Lease Cycles'!$EM$8:$ES$8,1,BU10)+'Lease Cycles'!$BE$8*IF(BU11&lt;INDEX('Lease Cycles'!$FA$8:$FG$8,1,BU10),0,1-INDEX('Lease Cycles'!$EM$8:$ES$8,1,BU10)),IF(OR(INDEX('Lease Cycles'!$DY$8:$EE$8,1,BU10)=1,BU11&gt;0),1,1-INDEX('Lease Cycles'!$DD$8:$DJ$8,1,BU10))*('Lease Cycles'!$AJ$8*INDEX('Lease Cycles'!$FO$8:$FU$8,1,BU10)+'Lease Cycles'!$BE$8*(1-INDEX('Lease Cycles'!$FO$8:$FU$8,1,BU10)))),0)</f>
        <v>0</v>
      </c>
      <c r="BV20" s="24">
        <f>IF(BV12=1,'Lease Cycles'!$D$8*IF(INDEX('Lease Cycles'!$EF$8:$EL$8,1,BV10)=1,'Lease Cycles'!$AJ$8*INDEX('Lease Cycles'!$FO$8:$FU$8,1,BV10)*INDEX('Lease Cycles'!$EM$8:$ES$8,1,BV10)+'Lease Cycles'!$BE$8*IF(BV11&lt;INDEX('Lease Cycles'!$FA$8:$FG$8,1,BV10),0,1-INDEX('Lease Cycles'!$EM$8:$ES$8,1,BV10)),IF(OR(INDEX('Lease Cycles'!$DY$8:$EE$8,1,BV10)=1,BV11&gt;0),1,1-INDEX('Lease Cycles'!$DD$8:$DJ$8,1,BV10))*('Lease Cycles'!$AJ$8*INDEX('Lease Cycles'!$FO$8:$FU$8,1,BV10)+'Lease Cycles'!$BE$8*(1-INDEX('Lease Cycles'!$FO$8:$FU$8,1,BV10)))),0)</f>
        <v>0</v>
      </c>
      <c r="BW20" s="24">
        <f>IF(BW12=1,'Lease Cycles'!$D$8*IF(INDEX('Lease Cycles'!$EF$8:$EL$8,1,BW10)=1,'Lease Cycles'!$AJ$8*INDEX('Lease Cycles'!$FO$8:$FU$8,1,BW10)*INDEX('Lease Cycles'!$EM$8:$ES$8,1,BW10)+'Lease Cycles'!$BE$8*IF(BW11&lt;INDEX('Lease Cycles'!$FA$8:$FG$8,1,BW10),0,1-INDEX('Lease Cycles'!$EM$8:$ES$8,1,BW10)),IF(OR(INDEX('Lease Cycles'!$DY$8:$EE$8,1,BW10)=1,BW11&gt;0),1,1-INDEX('Lease Cycles'!$DD$8:$DJ$8,1,BW10))*('Lease Cycles'!$AJ$8*INDEX('Lease Cycles'!$FO$8:$FU$8,1,BW10)+'Lease Cycles'!$BE$8*(1-INDEX('Lease Cycles'!$FO$8:$FU$8,1,BW10)))),0)</f>
        <v>0</v>
      </c>
      <c r="BX20" s="24">
        <f>IF(BX12=1,'Lease Cycles'!$D$8*IF(INDEX('Lease Cycles'!$EF$8:$EL$8,1,BX10)=1,'Lease Cycles'!$AJ$8*INDEX('Lease Cycles'!$FO$8:$FU$8,1,BX10)*INDEX('Lease Cycles'!$EM$8:$ES$8,1,BX10)+'Lease Cycles'!$BE$8*IF(BX11&lt;INDEX('Lease Cycles'!$FA$8:$FG$8,1,BX10),0,1-INDEX('Lease Cycles'!$EM$8:$ES$8,1,BX10)),IF(OR(INDEX('Lease Cycles'!$DY$8:$EE$8,1,BX10)=1,BX11&gt;0),1,1-INDEX('Lease Cycles'!$DD$8:$DJ$8,1,BX10))*('Lease Cycles'!$AJ$8*INDEX('Lease Cycles'!$FO$8:$FU$8,1,BX10)+'Lease Cycles'!$BE$8*(1-INDEX('Lease Cycles'!$FO$8:$FU$8,1,BX10)))),0)</f>
        <v>0</v>
      </c>
      <c r="BY20" s="24">
        <f>IF(BY12=1,'Lease Cycles'!$D$8*IF(INDEX('Lease Cycles'!$EF$8:$EL$8,1,BY10)=1,'Lease Cycles'!$AJ$8*INDEX('Lease Cycles'!$FO$8:$FU$8,1,BY10)*INDEX('Lease Cycles'!$EM$8:$ES$8,1,BY10)+'Lease Cycles'!$BE$8*IF(BY11&lt;INDEX('Lease Cycles'!$FA$8:$FG$8,1,BY10),0,1-INDEX('Lease Cycles'!$EM$8:$ES$8,1,BY10)),IF(OR(INDEX('Lease Cycles'!$DY$8:$EE$8,1,BY10)=1,BY11&gt;0),1,1-INDEX('Lease Cycles'!$DD$8:$DJ$8,1,BY10))*('Lease Cycles'!$AJ$8*INDEX('Lease Cycles'!$FO$8:$FU$8,1,BY10)+'Lease Cycles'!$BE$8*(1-INDEX('Lease Cycles'!$FO$8:$FU$8,1,BY10)))),0)</f>
        <v>0</v>
      </c>
      <c r="BZ20" s="24">
        <f>IF(BZ12=1,'Lease Cycles'!$D$8*IF(INDEX('Lease Cycles'!$EF$8:$EL$8,1,BZ10)=1,'Lease Cycles'!$AJ$8*INDEX('Lease Cycles'!$FO$8:$FU$8,1,BZ10)*INDEX('Lease Cycles'!$EM$8:$ES$8,1,BZ10)+'Lease Cycles'!$BE$8*IF(BZ11&lt;INDEX('Lease Cycles'!$FA$8:$FG$8,1,BZ10),0,1-INDEX('Lease Cycles'!$EM$8:$ES$8,1,BZ10)),IF(OR(INDEX('Lease Cycles'!$DY$8:$EE$8,1,BZ10)=1,BZ11&gt;0),1,1-INDEX('Lease Cycles'!$DD$8:$DJ$8,1,BZ10))*('Lease Cycles'!$AJ$8*INDEX('Lease Cycles'!$FO$8:$FU$8,1,BZ10)+'Lease Cycles'!$BE$8*(1-INDEX('Lease Cycles'!$FO$8:$FU$8,1,BZ10)))),0)</f>
        <v>0</v>
      </c>
      <c r="CA20" s="24">
        <f>IF(CA12=1,'Lease Cycles'!$D$8*IF(INDEX('Lease Cycles'!$EF$8:$EL$8,1,CA10)=1,'Lease Cycles'!$AJ$8*INDEX('Lease Cycles'!$FO$8:$FU$8,1,CA10)*INDEX('Lease Cycles'!$EM$8:$ES$8,1,CA10)+'Lease Cycles'!$BE$8*IF(CA11&lt;INDEX('Lease Cycles'!$FA$8:$FG$8,1,CA10),0,1-INDEX('Lease Cycles'!$EM$8:$ES$8,1,CA10)),IF(OR(INDEX('Lease Cycles'!$DY$8:$EE$8,1,CA10)=1,CA11&gt;0),1,1-INDEX('Lease Cycles'!$DD$8:$DJ$8,1,CA10))*('Lease Cycles'!$AJ$8*INDEX('Lease Cycles'!$FO$8:$FU$8,1,CA10)+'Lease Cycles'!$BE$8*(1-INDEX('Lease Cycles'!$FO$8:$FU$8,1,CA10)))),0)</f>
        <v>0</v>
      </c>
      <c r="CB20" s="24">
        <f>IF(CB12=1,'Lease Cycles'!$D$8*IF(INDEX('Lease Cycles'!$EF$8:$EL$8,1,CB10)=1,'Lease Cycles'!$AJ$8*INDEX('Lease Cycles'!$FO$8:$FU$8,1,CB10)*INDEX('Lease Cycles'!$EM$8:$ES$8,1,CB10)+'Lease Cycles'!$BE$8*IF(CB11&lt;INDEX('Lease Cycles'!$FA$8:$FG$8,1,CB10),0,1-INDEX('Lease Cycles'!$EM$8:$ES$8,1,CB10)),IF(OR(INDEX('Lease Cycles'!$DY$8:$EE$8,1,CB10)=1,CB11&gt;0),1,1-INDEX('Lease Cycles'!$DD$8:$DJ$8,1,CB10))*('Lease Cycles'!$AJ$8*INDEX('Lease Cycles'!$FO$8:$FU$8,1,CB10)+'Lease Cycles'!$BE$8*(1-INDEX('Lease Cycles'!$FO$8:$FU$8,1,CB10)))),0)</f>
        <v>0</v>
      </c>
      <c r="CC20" s="24">
        <f>IF(CC12=1,'Lease Cycles'!$D$8*IF(INDEX('Lease Cycles'!$EF$8:$EL$8,1,CC10)=1,'Lease Cycles'!$AJ$8*INDEX('Lease Cycles'!$FO$8:$FU$8,1,CC10)*INDEX('Lease Cycles'!$EM$8:$ES$8,1,CC10)+'Lease Cycles'!$BE$8*IF(CC11&lt;INDEX('Lease Cycles'!$FA$8:$FG$8,1,CC10),0,1-INDEX('Lease Cycles'!$EM$8:$ES$8,1,CC10)),IF(OR(INDEX('Lease Cycles'!$DY$8:$EE$8,1,CC10)=1,CC11&gt;0),1,1-INDEX('Lease Cycles'!$DD$8:$DJ$8,1,CC10))*('Lease Cycles'!$AJ$8*INDEX('Lease Cycles'!$FO$8:$FU$8,1,CC10)+'Lease Cycles'!$BE$8*(1-INDEX('Lease Cycles'!$FO$8:$FU$8,1,CC10)))),0)</f>
        <v>0</v>
      </c>
      <c r="CD20" s="24">
        <f>IF(CD12=1,'Lease Cycles'!$D$8*IF(INDEX('Lease Cycles'!$EF$8:$EL$8,1,CD10)=1,'Lease Cycles'!$AJ$8*INDEX('Lease Cycles'!$FO$8:$FU$8,1,CD10)*INDEX('Lease Cycles'!$EM$8:$ES$8,1,CD10)+'Lease Cycles'!$BE$8*IF(CD11&lt;INDEX('Lease Cycles'!$FA$8:$FG$8,1,CD10),0,1-INDEX('Lease Cycles'!$EM$8:$ES$8,1,CD10)),IF(OR(INDEX('Lease Cycles'!$DY$8:$EE$8,1,CD10)=1,CD11&gt;0),1,1-INDEX('Lease Cycles'!$DD$8:$DJ$8,1,CD10))*('Lease Cycles'!$AJ$8*INDEX('Lease Cycles'!$FO$8:$FU$8,1,CD10)+'Lease Cycles'!$BE$8*(1-INDEX('Lease Cycles'!$FO$8:$FU$8,1,CD10)))),0)</f>
        <v>0</v>
      </c>
      <c r="CE20" s="24">
        <f>IF(CE12=1,'Lease Cycles'!$D$8*IF(INDEX('Lease Cycles'!$EF$8:$EL$8,1,CE10)=1,'Lease Cycles'!$AJ$8*INDEX('Lease Cycles'!$FO$8:$FU$8,1,CE10)*INDEX('Lease Cycles'!$EM$8:$ES$8,1,CE10)+'Lease Cycles'!$BE$8*IF(CE11&lt;INDEX('Lease Cycles'!$FA$8:$FG$8,1,CE10),0,1-INDEX('Lease Cycles'!$EM$8:$ES$8,1,CE10)),IF(OR(INDEX('Lease Cycles'!$DY$8:$EE$8,1,CE10)=1,CE11&gt;0),1,1-INDEX('Lease Cycles'!$DD$8:$DJ$8,1,CE10))*('Lease Cycles'!$AJ$8*INDEX('Lease Cycles'!$FO$8:$FU$8,1,CE10)+'Lease Cycles'!$BE$8*(1-INDEX('Lease Cycles'!$FO$8:$FU$8,1,CE10)))),0)</f>
        <v>0</v>
      </c>
      <c r="CF20" s="24">
        <f>IF(CF12=1,'Lease Cycles'!$D$8*IF(INDEX('Lease Cycles'!$EF$8:$EL$8,1,CF10)=1,'Lease Cycles'!$AJ$8*INDEX('Lease Cycles'!$FO$8:$FU$8,1,CF10)*INDEX('Lease Cycles'!$EM$8:$ES$8,1,CF10)+'Lease Cycles'!$BE$8*IF(CF11&lt;INDEX('Lease Cycles'!$FA$8:$FG$8,1,CF10),0,1-INDEX('Lease Cycles'!$EM$8:$ES$8,1,CF10)),IF(OR(INDEX('Lease Cycles'!$DY$8:$EE$8,1,CF10)=1,CF11&gt;0),1,1-INDEX('Lease Cycles'!$DD$8:$DJ$8,1,CF10))*('Lease Cycles'!$AJ$8*INDEX('Lease Cycles'!$FO$8:$FU$8,1,CF10)+'Lease Cycles'!$BE$8*(1-INDEX('Lease Cycles'!$FO$8:$FU$8,1,CF10)))),0)</f>
        <v>0</v>
      </c>
      <c r="CG20" s="24">
        <f>IF(CG12=1,'Lease Cycles'!$D$8*IF(INDEX('Lease Cycles'!$EF$8:$EL$8,1,CG10)=1,'Lease Cycles'!$AJ$8*INDEX('Lease Cycles'!$FO$8:$FU$8,1,CG10)*INDEX('Lease Cycles'!$EM$8:$ES$8,1,CG10)+'Lease Cycles'!$BE$8*IF(CG11&lt;INDEX('Lease Cycles'!$FA$8:$FG$8,1,CG10),0,1-INDEX('Lease Cycles'!$EM$8:$ES$8,1,CG10)),IF(OR(INDEX('Lease Cycles'!$DY$8:$EE$8,1,CG10)=1,CG11&gt;0),1,1-INDEX('Lease Cycles'!$DD$8:$DJ$8,1,CG10))*('Lease Cycles'!$AJ$8*INDEX('Lease Cycles'!$FO$8:$FU$8,1,CG10)+'Lease Cycles'!$BE$8*(1-INDEX('Lease Cycles'!$FO$8:$FU$8,1,CG10)))),0)</f>
        <v>0</v>
      </c>
      <c r="CH20" s="24">
        <f>IF(CH12=1,'Lease Cycles'!$D$8*IF(INDEX('Lease Cycles'!$EF$8:$EL$8,1,CH10)=1,'Lease Cycles'!$AJ$8*INDEX('Lease Cycles'!$FO$8:$FU$8,1,CH10)*INDEX('Lease Cycles'!$EM$8:$ES$8,1,CH10)+'Lease Cycles'!$BE$8*IF(CH11&lt;INDEX('Lease Cycles'!$FA$8:$FG$8,1,CH10),0,1-INDEX('Lease Cycles'!$EM$8:$ES$8,1,CH10)),IF(OR(INDEX('Lease Cycles'!$DY$8:$EE$8,1,CH10)=1,CH11&gt;0),1,1-INDEX('Lease Cycles'!$DD$8:$DJ$8,1,CH10))*('Lease Cycles'!$AJ$8*INDEX('Lease Cycles'!$FO$8:$FU$8,1,CH10)+'Lease Cycles'!$BE$8*(1-INDEX('Lease Cycles'!$FO$8:$FU$8,1,CH10)))),0)</f>
        <v>0</v>
      </c>
      <c r="CI20" s="24">
        <f>IF(CI12=1,'Lease Cycles'!$D$8*IF(INDEX('Lease Cycles'!$EF$8:$EL$8,1,CI10)=1,'Lease Cycles'!$AJ$8*INDEX('Lease Cycles'!$FO$8:$FU$8,1,CI10)*INDEX('Lease Cycles'!$EM$8:$ES$8,1,CI10)+'Lease Cycles'!$BE$8*IF(CI11&lt;INDEX('Lease Cycles'!$FA$8:$FG$8,1,CI10),0,1-INDEX('Lease Cycles'!$EM$8:$ES$8,1,CI10)),IF(OR(INDEX('Lease Cycles'!$DY$8:$EE$8,1,CI10)=1,CI11&gt;0),1,1-INDEX('Lease Cycles'!$DD$8:$DJ$8,1,CI10))*('Lease Cycles'!$AJ$8*INDEX('Lease Cycles'!$FO$8:$FU$8,1,CI10)+'Lease Cycles'!$BE$8*(1-INDEX('Lease Cycles'!$FO$8:$FU$8,1,CI10)))),0)</f>
        <v>0</v>
      </c>
      <c r="CJ20" s="24">
        <f>IF(CJ12=1,'Lease Cycles'!$D$8*IF(INDEX('Lease Cycles'!$EF$8:$EL$8,1,CJ10)=1,'Lease Cycles'!$AJ$8*INDEX('Lease Cycles'!$FO$8:$FU$8,1,CJ10)*INDEX('Lease Cycles'!$EM$8:$ES$8,1,CJ10)+'Lease Cycles'!$BE$8*IF(CJ11&lt;INDEX('Lease Cycles'!$FA$8:$FG$8,1,CJ10),0,1-INDEX('Lease Cycles'!$EM$8:$ES$8,1,CJ10)),IF(OR(INDEX('Lease Cycles'!$DY$8:$EE$8,1,CJ10)=1,CJ11&gt;0),1,1-INDEX('Lease Cycles'!$DD$8:$DJ$8,1,CJ10))*('Lease Cycles'!$AJ$8*INDEX('Lease Cycles'!$FO$8:$FU$8,1,CJ10)+'Lease Cycles'!$BE$8*(1-INDEX('Lease Cycles'!$FO$8:$FU$8,1,CJ10)))),0)</f>
        <v>0</v>
      </c>
      <c r="CK20" s="24">
        <f>IF(CK12=1,'Lease Cycles'!$D$8*IF(INDEX('Lease Cycles'!$EF$8:$EL$8,1,CK10)=1,'Lease Cycles'!$AJ$8*INDEX('Lease Cycles'!$FO$8:$FU$8,1,CK10)*INDEX('Lease Cycles'!$EM$8:$ES$8,1,CK10)+'Lease Cycles'!$BE$8*IF(CK11&lt;INDEX('Lease Cycles'!$FA$8:$FG$8,1,CK10),0,1-INDEX('Lease Cycles'!$EM$8:$ES$8,1,CK10)),IF(OR(INDEX('Lease Cycles'!$DY$8:$EE$8,1,CK10)=1,CK11&gt;0),1,1-INDEX('Lease Cycles'!$DD$8:$DJ$8,1,CK10))*('Lease Cycles'!$AJ$8*INDEX('Lease Cycles'!$FO$8:$FU$8,1,CK10)+'Lease Cycles'!$BE$8*(1-INDEX('Lease Cycles'!$FO$8:$FU$8,1,CK10)))),0)</f>
        <v>0</v>
      </c>
      <c r="CL20" s="24">
        <f>IF(CL12=1,'Lease Cycles'!$D$8*IF(INDEX('Lease Cycles'!$EF$8:$EL$8,1,CL10)=1,'Lease Cycles'!$AJ$8*INDEX('Lease Cycles'!$FO$8:$FU$8,1,CL10)*INDEX('Lease Cycles'!$EM$8:$ES$8,1,CL10)+'Lease Cycles'!$BE$8*IF(CL11&lt;INDEX('Lease Cycles'!$FA$8:$FG$8,1,CL10),0,1-INDEX('Lease Cycles'!$EM$8:$ES$8,1,CL10)),IF(OR(INDEX('Lease Cycles'!$DY$8:$EE$8,1,CL10)=1,CL11&gt;0),1,1-INDEX('Lease Cycles'!$DD$8:$DJ$8,1,CL10))*('Lease Cycles'!$AJ$8*INDEX('Lease Cycles'!$FO$8:$FU$8,1,CL10)+'Lease Cycles'!$BE$8*(1-INDEX('Lease Cycles'!$FO$8:$FU$8,1,CL10)))),0)</f>
        <v>0</v>
      </c>
      <c r="CM20" s="24">
        <f>IF(CM12=1,'Lease Cycles'!$D$8*IF(INDEX('Lease Cycles'!$EF$8:$EL$8,1,CM10)=1,'Lease Cycles'!$AJ$8*INDEX('Lease Cycles'!$FO$8:$FU$8,1,CM10)*INDEX('Lease Cycles'!$EM$8:$ES$8,1,CM10)+'Lease Cycles'!$BE$8*IF(CM11&lt;INDEX('Lease Cycles'!$FA$8:$FG$8,1,CM10),0,1-INDEX('Lease Cycles'!$EM$8:$ES$8,1,CM10)),IF(OR(INDEX('Lease Cycles'!$DY$8:$EE$8,1,CM10)=1,CM11&gt;0),1,1-INDEX('Lease Cycles'!$DD$8:$DJ$8,1,CM10))*('Lease Cycles'!$AJ$8*INDEX('Lease Cycles'!$FO$8:$FU$8,1,CM10)+'Lease Cycles'!$BE$8*(1-INDEX('Lease Cycles'!$FO$8:$FU$8,1,CM10)))),0)</f>
        <v>0</v>
      </c>
      <c r="CN20" s="24">
        <f>IF(CN12=1,'Lease Cycles'!$D$8*IF(INDEX('Lease Cycles'!$EF$8:$EL$8,1,CN10)=1,'Lease Cycles'!$AJ$8*INDEX('Lease Cycles'!$FO$8:$FU$8,1,CN10)*INDEX('Lease Cycles'!$EM$8:$ES$8,1,CN10)+'Lease Cycles'!$BE$8*IF(CN11&lt;INDEX('Lease Cycles'!$FA$8:$FG$8,1,CN10),0,1-INDEX('Lease Cycles'!$EM$8:$ES$8,1,CN10)),IF(OR(INDEX('Lease Cycles'!$DY$8:$EE$8,1,CN10)=1,CN11&gt;0),1,1-INDEX('Lease Cycles'!$DD$8:$DJ$8,1,CN10))*('Lease Cycles'!$AJ$8*INDEX('Lease Cycles'!$FO$8:$FU$8,1,CN10)+'Lease Cycles'!$BE$8*(1-INDEX('Lease Cycles'!$FO$8:$FU$8,1,CN10)))),0)</f>
        <v>0</v>
      </c>
      <c r="CO20" s="24">
        <f>IF(CO12=1,'Lease Cycles'!$D$8*IF(INDEX('Lease Cycles'!$EF$8:$EL$8,1,CO10)=1,'Lease Cycles'!$AJ$8*INDEX('Lease Cycles'!$FO$8:$FU$8,1,CO10)*INDEX('Lease Cycles'!$EM$8:$ES$8,1,CO10)+'Lease Cycles'!$BE$8*IF(CO11&lt;INDEX('Lease Cycles'!$FA$8:$FG$8,1,CO10),0,1-INDEX('Lease Cycles'!$EM$8:$ES$8,1,CO10)),IF(OR(INDEX('Lease Cycles'!$DY$8:$EE$8,1,CO10)=1,CO11&gt;0),1,1-INDEX('Lease Cycles'!$DD$8:$DJ$8,1,CO10))*('Lease Cycles'!$AJ$8*INDEX('Lease Cycles'!$FO$8:$FU$8,1,CO10)+'Lease Cycles'!$BE$8*(1-INDEX('Lease Cycles'!$FO$8:$FU$8,1,CO10)))),0)</f>
        <v>0</v>
      </c>
      <c r="CP20" s="24">
        <f>IF(CP12=1,'Lease Cycles'!$D$8*IF(INDEX('Lease Cycles'!$EF$8:$EL$8,1,CP10)=1,'Lease Cycles'!$AJ$8*INDEX('Lease Cycles'!$FO$8:$FU$8,1,CP10)*INDEX('Lease Cycles'!$EM$8:$ES$8,1,CP10)+'Lease Cycles'!$BE$8*IF(CP11&lt;INDEX('Lease Cycles'!$FA$8:$FG$8,1,CP10),0,1-INDEX('Lease Cycles'!$EM$8:$ES$8,1,CP10)),IF(OR(INDEX('Lease Cycles'!$DY$8:$EE$8,1,CP10)=1,CP11&gt;0),1,1-INDEX('Lease Cycles'!$DD$8:$DJ$8,1,CP10))*('Lease Cycles'!$AJ$8*INDEX('Lease Cycles'!$FO$8:$FU$8,1,CP10)+'Lease Cycles'!$BE$8*(1-INDEX('Lease Cycles'!$FO$8:$FU$8,1,CP10)))),0)</f>
        <v>0</v>
      </c>
      <c r="CQ20" s="24">
        <f>IF(CQ12=1,'Lease Cycles'!$D$8*IF(INDEX('Lease Cycles'!$EF$8:$EL$8,1,CQ10)=1,'Lease Cycles'!$AJ$8*INDEX('Lease Cycles'!$FO$8:$FU$8,1,CQ10)*INDEX('Lease Cycles'!$EM$8:$ES$8,1,CQ10)+'Lease Cycles'!$BE$8*IF(CQ11&lt;INDEX('Lease Cycles'!$FA$8:$FG$8,1,CQ10),0,1-INDEX('Lease Cycles'!$EM$8:$ES$8,1,CQ10)),IF(OR(INDEX('Lease Cycles'!$DY$8:$EE$8,1,CQ10)=1,CQ11&gt;0),1,1-INDEX('Lease Cycles'!$DD$8:$DJ$8,1,CQ10))*('Lease Cycles'!$AJ$8*INDEX('Lease Cycles'!$FO$8:$FU$8,1,CQ10)+'Lease Cycles'!$BE$8*(1-INDEX('Lease Cycles'!$FO$8:$FU$8,1,CQ10)))),0)</f>
        <v>0</v>
      </c>
      <c r="CR20" s="24">
        <f>IF(CR12=1,'Lease Cycles'!$D$8*IF(INDEX('Lease Cycles'!$EF$8:$EL$8,1,CR10)=1,'Lease Cycles'!$AJ$8*INDEX('Lease Cycles'!$FO$8:$FU$8,1,CR10)*INDEX('Lease Cycles'!$EM$8:$ES$8,1,CR10)+'Lease Cycles'!$BE$8*IF(CR11&lt;INDEX('Lease Cycles'!$FA$8:$FG$8,1,CR10),0,1-INDEX('Lease Cycles'!$EM$8:$ES$8,1,CR10)),IF(OR(INDEX('Lease Cycles'!$DY$8:$EE$8,1,CR10)=1,CR11&gt;0),1,1-INDEX('Lease Cycles'!$DD$8:$DJ$8,1,CR10))*('Lease Cycles'!$AJ$8*INDEX('Lease Cycles'!$FO$8:$FU$8,1,CR10)+'Lease Cycles'!$BE$8*(1-INDEX('Lease Cycles'!$FO$8:$FU$8,1,CR10)))),0)</f>
        <v>0</v>
      </c>
      <c r="CS20" s="24">
        <f>IF(CS12=1,'Lease Cycles'!$D$8*IF(INDEX('Lease Cycles'!$EF$8:$EL$8,1,CS10)=1,'Lease Cycles'!$AJ$8*INDEX('Lease Cycles'!$FO$8:$FU$8,1,CS10)*INDEX('Lease Cycles'!$EM$8:$ES$8,1,CS10)+'Lease Cycles'!$BE$8*IF(CS11&lt;INDEX('Lease Cycles'!$FA$8:$FG$8,1,CS10),0,1-INDEX('Lease Cycles'!$EM$8:$ES$8,1,CS10)),IF(OR(INDEX('Lease Cycles'!$DY$8:$EE$8,1,CS10)=1,CS11&gt;0),1,1-INDEX('Lease Cycles'!$DD$8:$DJ$8,1,CS10))*('Lease Cycles'!$AJ$8*INDEX('Lease Cycles'!$FO$8:$FU$8,1,CS10)+'Lease Cycles'!$BE$8*(1-INDEX('Lease Cycles'!$FO$8:$FU$8,1,CS10)))),0)</f>
        <v>0</v>
      </c>
      <c r="CT20" s="24">
        <f>IF(CT12=1,'Lease Cycles'!$D$8*IF(INDEX('Lease Cycles'!$EF$8:$EL$8,1,CT10)=1,'Lease Cycles'!$AJ$8*INDEX('Lease Cycles'!$FO$8:$FU$8,1,CT10)*INDEX('Lease Cycles'!$EM$8:$ES$8,1,CT10)+'Lease Cycles'!$BE$8*IF(CT11&lt;INDEX('Lease Cycles'!$FA$8:$FG$8,1,CT10),0,1-INDEX('Lease Cycles'!$EM$8:$ES$8,1,CT10)),IF(OR(INDEX('Lease Cycles'!$DY$8:$EE$8,1,CT10)=1,CT11&gt;0),1,1-INDEX('Lease Cycles'!$DD$8:$DJ$8,1,CT10))*('Lease Cycles'!$AJ$8*INDEX('Lease Cycles'!$FO$8:$FU$8,1,CT10)+'Lease Cycles'!$BE$8*(1-INDEX('Lease Cycles'!$FO$8:$FU$8,1,CT10)))),0)</f>
        <v>0</v>
      </c>
      <c r="CU20" s="24">
        <f>IF(CU12=1,'Lease Cycles'!$D$8*IF(INDEX('Lease Cycles'!$EF$8:$EL$8,1,CU10)=1,'Lease Cycles'!$AJ$8*INDEX('Lease Cycles'!$FO$8:$FU$8,1,CU10)*INDEX('Lease Cycles'!$EM$8:$ES$8,1,CU10)+'Lease Cycles'!$BE$8*IF(CU11&lt;INDEX('Lease Cycles'!$FA$8:$FG$8,1,CU10),0,1-INDEX('Lease Cycles'!$EM$8:$ES$8,1,CU10)),IF(OR(INDEX('Lease Cycles'!$DY$8:$EE$8,1,CU10)=1,CU11&gt;0),1,1-INDEX('Lease Cycles'!$DD$8:$DJ$8,1,CU10))*('Lease Cycles'!$AJ$8*INDEX('Lease Cycles'!$FO$8:$FU$8,1,CU10)+'Lease Cycles'!$BE$8*(1-INDEX('Lease Cycles'!$FO$8:$FU$8,1,CU10)))),0)</f>
        <v>0</v>
      </c>
      <c r="CV20" s="24">
        <f>IF(CV12=1,'Lease Cycles'!$D$8*IF(INDEX('Lease Cycles'!$EF$8:$EL$8,1,CV10)=1,'Lease Cycles'!$AJ$8*INDEX('Lease Cycles'!$FO$8:$FU$8,1,CV10)*INDEX('Lease Cycles'!$EM$8:$ES$8,1,CV10)+'Lease Cycles'!$BE$8*IF(CV11&lt;INDEX('Lease Cycles'!$FA$8:$FG$8,1,CV10),0,1-INDEX('Lease Cycles'!$EM$8:$ES$8,1,CV10)),IF(OR(INDEX('Lease Cycles'!$DY$8:$EE$8,1,CV10)=1,CV11&gt;0),1,1-INDEX('Lease Cycles'!$DD$8:$DJ$8,1,CV10))*('Lease Cycles'!$AJ$8*INDEX('Lease Cycles'!$FO$8:$FU$8,1,CV10)+'Lease Cycles'!$BE$8*(1-INDEX('Lease Cycles'!$FO$8:$FU$8,1,CV10)))),0)</f>
        <v>0</v>
      </c>
      <c r="CW20" s="24">
        <f>IF(CW12=1,'Lease Cycles'!$D$8*IF(INDEX('Lease Cycles'!$EF$8:$EL$8,1,CW10)=1,'Lease Cycles'!$AJ$8*INDEX('Lease Cycles'!$FO$8:$FU$8,1,CW10)*INDEX('Lease Cycles'!$EM$8:$ES$8,1,CW10)+'Lease Cycles'!$BE$8*IF(CW11&lt;INDEX('Lease Cycles'!$FA$8:$FG$8,1,CW10),0,1-INDEX('Lease Cycles'!$EM$8:$ES$8,1,CW10)),IF(OR(INDEX('Lease Cycles'!$DY$8:$EE$8,1,CW10)=1,CW11&gt;0),1,1-INDEX('Lease Cycles'!$DD$8:$DJ$8,1,CW10))*('Lease Cycles'!$AJ$8*INDEX('Lease Cycles'!$FO$8:$FU$8,1,CW10)+'Lease Cycles'!$BE$8*(1-INDEX('Lease Cycles'!$FO$8:$FU$8,1,CW10)))),0)</f>
        <v>0</v>
      </c>
      <c r="CX20" s="24">
        <f>IF(CX12=1,'Lease Cycles'!$D$8*IF(INDEX('Lease Cycles'!$EF$8:$EL$8,1,CX10)=1,'Lease Cycles'!$AJ$8*INDEX('Lease Cycles'!$FO$8:$FU$8,1,CX10)*INDEX('Lease Cycles'!$EM$8:$ES$8,1,CX10)+'Lease Cycles'!$BE$8*IF(CX11&lt;INDEX('Lease Cycles'!$FA$8:$FG$8,1,CX10),0,1-INDEX('Lease Cycles'!$EM$8:$ES$8,1,CX10)),IF(OR(INDEX('Lease Cycles'!$DY$8:$EE$8,1,CX10)=1,CX11&gt;0),1,1-INDEX('Lease Cycles'!$DD$8:$DJ$8,1,CX10))*('Lease Cycles'!$AJ$8*INDEX('Lease Cycles'!$FO$8:$FU$8,1,CX10)+'Lease Cycles'!$BE$8*(1-INDEX('Lease Cycles'!$FO$8:$FU$8,1,CX10)))),0)</f>
        <v>0</v>
      </c>
      <c r="CY20" s="24">
        <f>IF(CY12=1,'Lease Cycles'!$D$8*IF(INDEX('Lease Cycles'!$EF$8:$EL$8,1,CY10)=1,'Lease Cycles'!$AJ$8*INDEX('Lease Cycles'!$FO$8:$FU$8,1,CY10)*INDEX('Lease Cycles'!$EM$8:$ES$8,1,CY10)+'Lease Cycles'!$BE$8*IF(CY11&lt;INDEX('Lease Cycles'!$FA$8:$FG$8,1,CY10),0,1-INDEX('Lease Cycles'!$EM$8:$ES$8,1,CY10)),IF(OR(INDEX('Lease Cycles'!$DY$8:$EE$8,1,CY10)=1,CY11&gt;0),1,1-INDEX('Lease Cycles'!$DD$8:$DJ$8,1,CY10))*('Lease Cycles'!$AJ$8*INDEX('Lease Cycles'!$FO$8:$FU$8,1,CY10)+'Lease Cycles'!$BE$8*(1-INDEX('Lease Cycles'!$FO$8:$FU$8,1,CY10)))),0)</f>
        <v>0</v>
      </c>
      <c r="CZ20" s="24">
        <f>IF(CZ12=1,'Lease Cycles'!$D$8*IF(INDEX('Lease Cycles'!$EF$8:$EL$8,1,CZ10)=1,'Lease Cycles'!$AJ$8*INDEX('Lease Cycles'!$FO$8:$FU$8,1,CZ10)*INDEX('Lease Cycles'!$EM$8:$ES$8,1,CZ10)+'Lease Cycles'!$BE$8*IF(CZ11&lt;INDEX('Lease Cycles'!$FA$8:$FG$8,1,CZ10),0,1-INDEX('Lease Cycles'!$EM$8:$ES$8,1,CZ10)),IF(OR(INDEX('Lease Cycles'!$DY$8:$EE$8,1,CZ10)=1,CZ11&gt;0),1,1-INDEX('Lease Cycles'!$DD$8:$DJ$8,1,CZ10))*('Lease Cycles'!$AJ$8*INDEX('Lease Cycles'!$FO$8:$FU$8,1,CZ10)+'Lease Cycles'!$BE$8*(1-INDEX('Lease Cycles'!$FO$8:$FU$8,1,CZ10)))),0)</f>
        <v>0</v>
      </c>
      <c r="DA20" s="24">
        <f>IF(DA12=1,'Lease Cycles'!$D$8*IF(INDEX('Lease Cycles'!$EF$8:$EL$8,1,DA10)=1,'Lease Cycles'!$AJ$8*INDEX('Lease Cycles'!$FO$8:$FU$8,1,DA10)*INDEX('Lease Cycles'!$EM$8:$ES$8,1,DA10)+'Lease Cycles'!$BE$8*IF(DA11&lt;INDEX('Lease Cycles'!$FA$8:$FG$8,1,DA10),0,1-INDEX('Lease Cycles'!$EM$8:$ES$8,1,DA10)),IF(OR(INDEX('Lease Cycles'!$DY$8:$EE$8,1,DA10)=1,DA11&gt;0),1,1-INDEX('Lease Cycles'!$DD$8:$DJ$8,1,DA10))*('Lease Cycles'!$AJ$8*INDEX('Lease Cycles'!$FO$8:$FU$8,1,DA10)+'Lease Cycles'!$BE$8*(1-INDEX('Lease Cycles'!$FO$8:$FU$8,1,DA10)))),0)</f>
        <v>0</v>
      </c>
      <c r="DB20" s="24">
        <f>IF(DB12=1,'Lease Cycles'!$D$8*IF(INDEX('Lease Cycles'!$EF$8:$EL$8,1,DB10)=1,'Lease Cycles'!$AJ$8*INDEX('Lease Cycles'!$FO$8:$FU$8,1,DB10)*INDEX('Lease Cycles'!$EM$8:$ES$8,1,DB10)+'Lease Cycles'!$BE$8*IF(DB11&lt;INDEX('Lease Cycles'!$FA$8:$FG$8,1,DB10),0,1-INDEX('Lease Cycles'!$EM$8:$ES$8,1,DB10)),IF(OR(INDEX('Lease Cycles'!$DY$8:$EE$8,1,DB10)=1,DB11&gt;0),1,1-INDEX('Lease Cycles'!$DD$8:$DJ$8,1,DB10))*('Lease Cycles'!$AJ$8*INDEX('Lease Cycles'!$FO$8:$FU$8,1,DB10)+'Lease Cycles'!$BE$8*(1-INDEX('Lease Cycles'!$FO$8:$FU$8,1,DB10)))),0)</f>
        <v>0</v>
      </c>
      <c r="DC20" s="24">
        <f>IF(DC12=1,'Lease Cycles'!$D$8*IF(INDEX('Lease Cycles'!$EF$8:$EL$8,1,DC10)=1,'Lease Cycles'!$AJ$8*INDEX('Lease Cycles'!$FO$8:$FU$8,1,DC10)*INDEX('Lease Cycles'!$EM$8:$ES$8,1,DC10)+'Lease Cycles'!$BE$8*IF(DC11&lt;INDEX('Lease Cycles'!$FA$8:$FG$8,1,DC10),0,1-INDEX('Lease Cycles'!$EM$8:$ES$8,1,DC10)),IF(OR(INDEX('Lease Cycles'!$DY$8:$EE$8,1,DC10)=1,DC11&gt;0),1,1-INDEX('Lease Cycles'!$DD$8:$DJ$8,1,DC10))*('Lease Cycles'!$AJ$8*INDEX('Lease Cycles'!$FO$8:$FU$8,1,DC10)+'Lease Cycles'!$BE$8*(1-INDEX('Lease Cycles'!$FO$8:$FU$8,1,DC10)))),0)</f>
        <v>0</v>
      </c>
      <c r="DD20" s="24">
        <f>IF(DD12=1,'Lease Cycles'!$D$8*IF(INDEX('Lease Cycles'!$EF$8:$EL$8,1,DD10)=1,'Lease Cycles'!$AJ$8*INDEX('Lease Cycles'!$FO$8:$FU$8,1,DD10)*INDEX('Lease Cycles'!$EM$8:$ES$8,1,DD10)+'Lease Cycles'!$BE$8*IF(DD11&lt;INDEX('Lease Cycles'!$FA$8:$FG$8,1,DD10),0,1-INDEX('Lease Cycles'!$EM$8:$ES$8,1,DD10)),IF(OR(INDEX('Lease Cycles'!$DY$8:$EE$8,1,DD10)=1,DD11&gt;0),1,1-INDEX('Lease Cycles'!$DD$8:$DJ$8,1,DD10))*('Lease Cycles'!$AJ$8*INDEX('Lease Cycles'!$FO$8:$FU$8,1,DD10)+'Lease Cycles'!$BE$8*(1-INDEX('Lease Cycles'!$FO$8:$FU$8,1,DD10)))),0)</f>
        <v>0</v>
      </c>
      <c r="DE20" s="24">
        <f>IF(DE12=1,'Lease Cycles'!$D$8*IF(INDEX('Lease Cycles'!$EF$8:$EL$8,1,DE10)=1,'Lease Cycles'!$AJ$8*INDEX('Lease Cycles'!$FO$8:$FU$8,1,DE10)*INDEX('Lease Cycles'!$EM$8:$ES$8,1,DE10)+'Lease Cycles'!$BE$8*IF(DE11&lt;INDEX('Lease Cycles'!$FA$8:$FG$8,1,DE10),0,1-INDEX('Lease Cycles'!$EM$8:$ES$8,1,DE10)),IF(OR(INDEX('Lease Cycles'!$DY$8:$EE$8,1,DE10)=1,DE11&gt;0),1,1-INDEX('Lease Cycles'!$DD$8:$DJ$8,1,DE10))*('Lease Cycles'!$AJ$8*INDEX('Lease Cycles'!$FO$8:$FU$8,1,DE10)+'Lease Cycles'!$BE$8*(1-INDEX('Lease Cycles'!$FO$8:$FU$8,1,DE10)))),0)</f>
        <v>0</v>
      </c>
      <c r="DF20" s="24">
        <f>IF(DF12=1,'Lease Cycles'!$D$8*IF(INDEX('Lease Cycles'!$EF$8:$EL$8,1,DF10)=1,'Lease Cycles'!$AJ$8*INDEX('Lease Cycles'!$FO$8:$FU$8,1,DF10)*INDEX('Lease Cycles'!$EM$8:$ES$8,1,DF10)+'Lease Cycles'!$BE$8*IF(DF11&lt;INDEX('Lease Cycles'!$FA$8:$FG$8,1,DF10),0,1-INDEX('Lease Cycles'!$EM$8:$ES$8,1,DF10)),IF(OR(INDEX('Lease Cycles'!$DY$8:$EE$8,1,DF10)=1,DF11&gt;0),1,1-INDEX('Lease Cycles'!$DD$8:$DJ$8,1,DF10))*('Lease Cycles'!$AJ$8*INDEX('Lease Cycles'!$FO$8:$FU$8,1,DF10)+'Lease Cycles'!$BE$8*(1-INDEX('Lease Cycles'!$FO$8:$FU$8,1,DF10)))),0)</f>
        <v>0</v>
      </c>
      <c r="DG20" s="24">
        <f>IF(DG12=1,'Lease Cycles'!$D$8*IF(INDEX('Lease Cycles'!$EF$8:$EL$8,1,DG10)=1,'Lease Cycles'!$AJ$8*INDEX('Lease Cycles'!$FO$8:$FU$8,1,DG10)*INDEX('Lease Cycles'!$EM$8:$ES$8,1,DG10)+'Lease Cycles'!$BE$8*IF(DG11&lt;INDEX('Lease Cycles'!$FA$8:$FG$8,1,DG10),0,1-INDEX('Lease Cycles'!$EM$8:$ES$8,1,DG10)),IF(OR(INDEX('Lease Cycles'!$DY$8:$EE$8,1,DG10)=1,DG11&gt;0),1,1-INDEX('Lease Cycles'!$DD$8:$DJ$8,1,DG10))*('Lease Cycles'!$AJ$8*INDEX('Lease Cycles'!$FO$8:$FU$8,1,DG10)+'Lease Cycles'!$BE$8*(1-INDEX('Lease Cycles'!$FO$8:$FU$8,1,DG10)))),0)</f>
        <v>0</v>
      </c>
      <c r="DH20" s="24">
        <f>IF(DH12=1,'Lease Cycles'!$D$8*IF(INDEX('Lease Cycles'!$EF$8:$EL$8,1,DH10)=1,'Lease Cycles'!$AJ$8*INDEX('Lease Cycles'!$FO$8:$FU$8,1,DH10)*INDEX('Lease Cycles'!$EM$8:$ES$8,1,DH10)+'Lease Cycles'!$BE$8*IF(DH11&lt;INDEX('Lease Cycles'!$FA$8:$FG$8,1,DH10),0,1-INDEX('Lease Cycles'!$EM$8:$ES$8,1,DH10)),IF(OR(INDEX('Lease Cycles'!$DY$8:$EE$8,1,DH10)=1,DH11&gt;0),1,1-INDEX('Lease Cycles'!$DD$8:$DJ$8,1,DH10))*('Lease Cycles'!$AJ$8*INDEX('Lease Cycles'!$FO$8:$FU$8,1,DH10)+'Lease Cycles'!$BE$8*(1-INDEX('Lease Cycles'!$FO$8:$FU$8,1,DH10)))),0)</f>
        <v>0</v>
      </c>
      <c r="DI20" s="24">
        <f>IF(DI12=1,'Lease Cycles'!$D$8*IF(INDEX('Lease Cycles'!$EF$8:$EL$8,1,DI10)=1,'Lease Cycles'!$AJ$8*INDEX('Lease Cycles'!$FO$8:$FU$8,1,DI10)*INDEX('Lease Cycles'!$EM$8:$ES$8,1,DI10)+'Lease Cycles'!$BE$8*IF(DI11&lt;INDEX('Lease Cycles'!$FA$8:$FG$8,1,DI10),0,1-INDEX('Lease Cycles'!$EM$8:$ES$8,1,DI10)),IF(OR(INDEX('Lease Cycles'!$DY$8:$EE$8,1,DI10)=1,DI11&gt;0),1,1-INDEX('Lease Cycles'!$DD$8:$DJ$8,1,DI10))*('Lease Cycles'!$AJ$8*INDEX('Lease Cycles'!$FO$8:$FU$8,1,DI10)+'Lease Cycles'!$BE$8*(1-INDEX('Lease Cycles'!$FO$8:$FU$8,1,DI10)))),0)</f>
        <v>0</v>
      </c>
      <c r="DJ20" s="24">
        <f>IF(DJ12=1,'Lease Cycles'!$D$8*IF(INDEX('Lease Cycles'!$EF$8:$EL$8,1,DJ10)=1,'Lease Cycles'!$AJ$8*INDEX('Lease Cycles'!$FO$8:$FU$8,1,DJ10)*INDEX('Lease Cycles'!$EM$8:$ES$8,1,DJ10)+'Lease Cycles'!$BE$8*IF(DJ11&lt;INDEX('Lease Cycles'!$FA$8:$FG$8,1,DJ10),0,1-INDEX('Lease Cycles'!$EM$8:$ES$8,1,DJ10)),IF(OR(INDEX('Lease Cycles'!$DY$8:$EE$8,1,DJ10)=1,DJ11&gt;0),1,1-INDEX('Lease Cycles'!$DD$8:$DJ$8,1,DJ10))*('Lease Cycles'!$AJ$8*INDEX('Lease Cycles'!$FO$8:$FU$8,1,DJ10)+'Lease Cycles'!$BE$8*(1-INDEX('Lease Cycles'!$FO$8:$FU$8,1,DJ10)))),0)</f>
        <v>0</v>
      </c>
      <c r="DK20" s="24">
        <f>IF(DK12=1,'Lease Cycles'!$D$8*IF(INDEX('Lease Cycles'!$EF$8:$EL$8,1,DK10)=1,'Lease Cycles'!$AJ$8*INDEX('Lease Cycles'!$FO$8:$FU$8,1,DK10)*INDEX('Lease Cycles'!$EM$8:$ES$8,1,DK10)+'Lease Cycles'!$BE$8*IF(DK11&lt;INDEX('Lease Cycles'!$FA$8:$FG$8,1,DK10),0,1-INDEX('Lease Cycles'!$EM$8:$ES$8,1,DK10)),IF(OR(INDEX('Lease Cycles'!$DY$8:$EE$8,1,DK10)=1,DK11&gt;0),1,1-INDEX('Lease Cycles'!$DD$8:$DJ$8,1,DK10))*('Lease Cycles'!$AJ$8*INDEX('Lease Cycles'!$FO$8:$FU$8,1,DK10)+'Lease Cycles'!$BE$8*(1-INDEX('Lease Cycles'!$FO$8:$FU$8,1,DK10)))),0)</f>
        <v>0</v>
      </c>
      <c r="DL20" s="24">
        <f>IF(DL12=1,'Lease Cycles'!$D$8*IF(INDEX('Lease Cycles'!$EF$8:$EL$8,1,DL10)=1,'Lease Cycles'!$AJ$8*INDEX('Lease Cycles'!$FO$8:$FU$8,1,DL10)*INDEX('Lease Cycles'!$EM$8:$ES$8,1,DL10)+'Lease Cycles'!$BE$8*IF(DL11&lt;INDEX('Lease Cycles'!$FA$8:$FG$8,1,DL10),0,1-INDEX('Lease Cycles'!$EM$8:$ES$8,1,DL10)),IF(OR(INDEX('Lease Cycles'!$DY$8:$EE$8,1,DL10)=1,DL11&gt;0),1,1-INDEX('Lease Cycles'!$DD$8:$DJ$8,1,DL10))*('Lease Cycles'!$AJ$8*INDEX('Lease Cycles'!$FO$8:$FU$8,1,DL10)+'Lease Cycles'!$BE$8*(1-INDEX('Lease Cycles'!$FO$8:$FU$8,1,DL10)))),0)</f>
        <v>0</v>
      </c>
      <c r="DM20" s="24">
        <f>IF(DM12=1,'Lease Cycles'!$D$8*IF(INDEX('Lease Cycles'!$EF$8:$EL$8,1,DM10)=1,'Lease Cycles'!$AJ$8*INDEX('Lease Cycles'!$FO$8:$FU$8,1,DM10)*INDEX('Lease Cycles'!$EM$8:$ES$8,1,DM10)+'Lease Cycles'!$BE$8*IF(DM11&lt;INDEX('Lease Cycles'!$FA$8:$FG$8,1,DM10),0,1-INDEX('Lease Cycles'!$EM$8:$ES$8,1,DM10)),IF(OR(INDEX('Lease Cycles'!$DY$8:$EE$8,1,DM10)=1,DM11&gt;0),1,1-INDEX('Lease Cycles'!$DD$8:$DJ$8,1,DM10))*('Lease Cycles'!$AJ$8*INDEX('Lease Cycles'!$FO$8:$FU$8,1,DM10)+'Lease Cycles'!$BE$8*(1-INDEX('Lease Cycles'!$FO$8:$FU$8,1,DM10)))),0)</f>
        <v>0</v>
      </c>
      <c r="DN20" s="24">
        <f>IF(DN12=1,'Lease Cycles'!$D$8*IF(INDEX('Lease Cycles'!$EF$8:$EL$8,1,DN10)=1,'Lease Cycles'!$AJ$8*INDEX('Lease Cycles'!$FO$8:$FU$8,1,DN10)*INDEX('Lease Cycles'!$EM$8:$ES$8,1,DN10)+'Lease Cycles'!$BE$8*IF(DN11&lt;INDEX('Lease Cycles'!$FA$8:$FG$8,1,DN10),0,1-INDEX('Lease Cycles'!$EM$8:$ES$8,1,DN10)),IF(OR(INDEX('Lease Cycles'!$DY$8:$EE$8,1,DN10)=1,DN11&gt;0),1,1-INDEX('Lease Cycles'!$DD$8:$DJ$8,1,DN10))*('Lease Cycles'!$AJ$8*INDEX('Lease Cycles'!$FO$8:$FU$8,1,DN10)+'Lease Cycles'!$BE$8*(1-INDEX('Lease Cycles'!$FO$8:$FU$8,1,DN10)))),0)</f>
        <v>0</v>
      </c>
      <c r="DO20" s="24">
        <f>IF(DO12=1,'Lease Cycles'!$D$8*IF(INDEX('Lease Cycles'!$EF$8:$EL$8,1,DO10)=1,'Lease Cycles'!$AJ$8*INDEX('Lease Cycles'!$FO$8:$FU$8,1,DO10)*INDEX('Lease Cycles'!$EM$8:$ES$8,1,DO10)+'Lease Cycles'!$BE$8*IF(DO11&lt;INDEX('Lease Cycles'!$FA$8:$FG$8,1,DO10),0,1-INDEX('Lease Cycles'!$EM$8:$ES$8,1,DO10)),IF(OR(INDEX('Lease Cycles'!$DY$8:$EE$8,1,DO10)=1,DO11&gt;0),1,1-INDEX('Lease Cycles'!$DD$8:$DJ$8,1,DO10))*('Lease Cycles'!$AJ$8*INDEX('Lease Cycles'!$FO$8:$FU$8,1,DO10)+'Lease Cycles'!$BE$8*(1-INDEX('Lease Cycles'!$FO$8:$FU$8,1,DO10)))),0)</f>
        <v>0</v>
      </c>
      <c r="DP20" s="24">
        <f>IF(DP12=1,'Lease Cycles'!$D$8*IF(INDEX('Lease Cycles'!$EF$8:$EL$8,1,DP10)=1,'Lease Cycles'!$AJ$8*INDEX('Lease Cycles'!$FO$8:$FU$8,1,DP10)*INDEX('Lease Cycles'!$EM$8:$ES$8,1,DP10)+'Lease Cycles'!$BE$8*IF(DP11&lt;INDEX('Lease Cycles'!$FA$8:$FG$8,1,DP10),0,1-INDEX('Lease Cycles'!$EM$8:$ES$8,1,DP10)),IF(OR(INDEX('Lease Cycles'!$DY$8:$EE$8,1,DP10)=1,DP11&gt;0),1,1-INDEX('Lease Cycles'!$DD$8:$DJ$8,1,DP10))*('Lease Cycles'!$AJ$8*INDEX('Lease Cycles'!$FO$8:$FU$8,1,DP10)+'Lease Cycles'!$BE$8*(1-INDEX('Lease Cycles'!$FO$8:$FU$8,1,DP10)))),0)</f>
        <v>0</v>
      </c>
      <c r="DQ20" s="24">
        <f>IF(DQ12=1,'Lease Cycles'!$D$8*IF(INDEX('Lease Cycles'!$EF$8:$EL$8,1,DQ10)=1,'Lease Cycles'!$AJ$8*INDEX('Lease Cycles'!$FO$8:$FU$8,1,DQ10)*INDEX('Lease Cycles'!$EM$8:$ES$8,1,DQ10)+'Lease Cycles'!$BE$8*IF(DQ11&lt;INDEX('Lease Cycles'!$FA$8:$FG$8,1,DQ10),0,1-INDEX('Lease Cycles'!$EM$8:$ES$8,1,DQ10)),IF(OR(INDEX('Lease Cycles'!$DY$8:$EE$8,1,DQ10)=1,DQ11&gt;0),1,1-INDEX('Lease Cycles'!$DD$8:$DJ$8,1,DQ10))*('Lease Cycles'!$AJ$8*INDEX('Lease Cycles'!$FO$8:$FU$8,1,DQ10)+'Lease Cycles'!$BE$8*(1-INDEX('Lease Cycles'!$FO$8:$FU$8,1,DQ10)))),0)</f>
        <v>0</v>
      </c>
      <c r="DR20" s="24">
        <f>IF(DR12=1,'Lease Cycles'!$D$8*IF(INDEX('Lease Cycles'!$EF$8:$EL$8,1,DR10)=1,'Lease Cycles'!$AJ$8*INDEX('Lease Cycles'!$FO$8:$FU$8,1,DR10)*INDEX('Lease Cycles'!$EM$8:$ES$8,1,DR10)+'Lease Cycles'!$BE$8*IF(DR11&lt;INDEX('Lease Cycles'!$FA$8:$FG$8,1,DR10),0,1-INDEX('Lease Cycles'!$EM$8:$ES$8,1,DR10)),IF(OR(INDEX('Lease Cycles'!$DY$8:$EE$8,1,DR10)=1,DR11&gt;0),1,1-INDEX('Lease Cycles'!$DD$8:$DJ$8,1,DR10))*('Lease Cycles'!$AJ$8*INDEX('Lease Cycles'!$FO$8:$FU$8,1,DR10)+'Lease Cycles'!$BE$8*(1-INDEX('Lease Cycles'!$FO$8:$FU$8,1,DR10)))),0)</f>
        <v>0</v>
      </c>
      <c r="DS20" s="24">
        <f>IF(DS12=1,'Lease Cycles'!$D$8*IF(INDEX('Lease Cycles'!$EF$8:$EL$8,1,DS10)=1,'Lease Cycles'!$AJ$8*INDEX('Lease Cycles'!$FO$8:$FU$8,1,DS10)*INDEX('Lease Cycles'!$EM$8:$ES$8,1,DS10)+'Lease Cycles'!$BE$8*IF(DS11&lt;INDEX('Lease Cycles'!$FA$8:$FG$8,1,DS10),0,1-INDEX('Lease Cycles'!$EM$8:$ES$8,1,DS10)),IF(OR(INDEX('Lease Cycles'!$DY$8:$EE$8,1,DS10)=1,DS11&gt;0),1,1-INDEX('Lease Cycles'!$DD$8:$DJ$8,1,DS10))*('Lease Cycles'!$AJ$8*INDEX('Lease Cycles'!$FO$8:$FU$8,1,DS10)+'Lease Cycles'!$BE$8*(1-INDEX('Lease Cycles'!$FO$8:$FU$8,1,DS10)))),0)</f>
        <v>0</v>
      </c>
      <c r="DT20" s="24">
        <f>IF(DT12=1,'Lease Cycles'!$D$8*IF(INDEX('Lease Cycles'!$EF$8:$EL$8,1,DT10)=1,'Lease Cycles'!$AJ$8*INDEX('Lease Cycles'!$FO$8:$FU$8,1,DT10)*INDEX('Lease Cycles'!$EM$8:$ES$8,1,DT10)+'Lease Cycles'!$BE$8*IF(DT11&lt;INDEX('Lease Cycles'!$FA$8:$FG$8,1,DT10),0,1-INDEX('Lease Cycles'!$EM$8:$ES$8,1,DT10)),IF(OR(INDEX('Lease Cycles'!$DY$8:$EE$8,1,DT10)=1,DT11&gt;0),1,1-INDEX('Lease Cycles'!$DD$8:$DJ$8,1,DT10))*('Lease Cycles'!$AJ$8*INDEX('Lease Cycles'!$FO$8:$FU$8,1,DT10)+'Lease Cycles'!$BE$8*(1-INDEX('Lease Cycles'!$FO$8:$FU$8,1,DT10)))),0)</f>
        <v>0</v>
      </c>
      <c r="DU20" s="24">
        <f>IF(DU12=1,'Lease Cycles'!$D$8*IF(INDEX('Lease Cycles'!$EF$8:$EL$8,1,DU10)=1,'Lease Cycles'!$AJ$8*INDEX('Lease Cycles'!$FO$8:$FU$8,1,DU10)*INDEX('Lease Cycles'!$EM$8:$ES$8,1,DU10)+'Lease Cycles'!$BE$8*IF(DU11&lt;INDEX('Lease Cycles'!$FA$8:$FG$8,1,DU10),0,1-INDEX('Lease Cycles'!$EM$8:$ES$8,1,DU10)),IF(OR(INDEX('Lease Cycles'!$DY$8:$EE$8,1,DU10)=1,DU11&gt;0),1,1-INDEX('Lease Cycles'!$DD$8:$DJ$8,1,DU10))*('Lease Cycles'!$AJ$8*INDEX('Lease Cycles'!$FO$8:$FU$8,1,DU10)+'Lease Cycles'!$BE$8*(1-INDEX('Lease Cycles'!$FO$8:$FU$8,1,DU10)))),0)</f>
        <v>0</v>
      </c>
      <c r="DV20" s="24">
        <f>IF(DV12=1,'Lease Cycles'!$D$8*IF(INDEX('Lease Cycles'!$EF$8:$EL$8,1,DV10)=1,'Lease Cycles'!$AJ$8*INDEX('Lease Cycles'!$FO$8:$FU$8,1,DV10)*INDEX('Lease Cycles'!$EM$8:$ES$8,1,DV10)+'Lease Cycles'!$BE$8*IF(DV11&lt;INDEX('Lease Cycles'!$FA$8:$FG$8,1,DV10),0,1-INDEX('Lease Cycles'!$EM$8:$ES$8,1,DV10)),IF(OR(INDEX('Lease Cycles'!$DY$8:$EE$8,1,DV10)=1,DV11&gt;0),1,1-INDEX('Lease Cycles'!$DD$8:$DJ$8,1,DV10))*('Lease Cycles'!$AJ$8*INDEX('Lease Cycles'!$FO$8:$FU$8,1,DV10)+'Lease Cycles'!$BE$8*(1-INDEX('Lease Cycles'!$FO$8:$FU$8,1,DV10)))),0)</f>
        <v>0</v>
      </c>
      <c r="DW20" s="24">
        <f>IF(DW12=1,'Lease Cycles'!$D$8*IF(INDEX('Lease Cycles'!$EF$8:$EL$8,1,DW10)=1,'Lease Cycles'!$AJ$8*INDEX('Lease Cycles'!$FO$8:$FU$8,1,DW10)*INDEX('Lease Cycles'!$EM$8:$ES$8,1,DW10)+'Lease Cycles'!$BE$8*IF(DW11&lt;INDEX('Lease Cycles'!$FA$8:$FG$8,1,DW10),0,1-INDEX('Lease Cycles'!$EM$8:$ES$8,1,DW10)),IF(OR(INDEX('Lease Cycles'!$DY$8:$EE$8,1,DW10)=1,DW11&gt;0),1,1-INDEX('Lease Cycles'!$DD$8:$DJ$8,1,DW10))*('Lease Cycles'!$AJ$8*INDEX('Lease Cycles'!$FO$8:$FU$8,1,DW10)+'Lease Cycles'!$BE$8*(1-INDEX('Lease Cycles'!$FO$8:$FU$8,1,DW10)))),0)</f>
        <v>0</v>
      </c>
      <c r="DX20" s="24">
        <f>IF(DX12=1,'Lease Cycles'!$D$8*IF(INDEX('Lease Cycles'!$EF$8:$EL$8,1,DX10)=1,'Lease Cycles'!$AJ$8*INDEX('Lease Cycles'!$FO$8:$FU$8,1,DX10)*INDEX('Lease Cycles'!$EM$8:$ES$8,1,DX10)+'Lease Cycles'!$BE$8*IF(DX11&lt;INDEX('Lease Cycles'!$FA$8:$FG$8,1,DX10),0,1-INDEX('Lease Cycles'!$EM$8:$ES$8,1,DX10)),IF(OR(INDEX('Lease Cycles'!$DY$8:$EE$8,1,DX10)=1,DX11&gt;0),1,1-INDEX('Lease Cycles'!$DD$8:$DJ$8,1,DX10))*('Lease Cycles'!$AJ$8*INDEX('Lease Cycles'!$FO$8:$FU$8,1,DX10)+'Lease Cycles'!$BE$8*(1-INDEX('Lease Cycles'!$FO$8:$FU$8,1,DX10)))),0)</f>
        <v>0</v>
      </c>
      <c r="DY20" s="24">
        <f>IF(DY12=1,'Lease Cycles'!$D$8*IF(INDEX('Lease Cycles'!$EF$8:$EL$8,1,DY10)=1,'Lease Cycles'!$AJ$8*INDEX('Lease Cycles'!$FO$8:$FU$8,1,DY10)*INDEX('Lease Cycles'!$EM$8:$ES$8,1,DY10)+'Lease Cycles'!$BE$8*IF(DY11&lt;INDEX('Lease Cycles'!$FA$8:$FG$8,1,DY10),0,1-INDEX('Lease Cycles'!$EM$8:$ES$8,1,DY10)),IF(OR(INDEX('Lease Cycles'!$DY$8:$EE$8,1,DY10)=1,DY11&gt;0),1,1-INDEX('Lease Cycles'!$DD$8:$DJ$8,1,DY10))*('Lease Cycles'!$AJ$8*INDEX('Lease Cycles'!$FO$8:$FU$8,1,DY10)+'Lease Cycles'!$BE$8*(1-INDEX('Lease Cycles'!$FO$8:$FU$8,1,DY10)))),0)</f>
        <v>0</v>
      </c>
      <c r="DZ20" s="24">
        <f>IF(DZ12=1,'Lease Cycles'!$D$8*IF(INDEX('Lease Cycles'!$EF$8:$EL$8,1,DZ10)=1,'Lease Cycles'!$AJ$8*INDEX('Lease Cycles'!$FO$8:$FU$8,1,DZ10)*INDEX('Lease Cycles'!$EM$8:$ES$8,1,DZ10)+'Lease Cycles'!$BE$8*IF(DZ11&lt;INDEX('Lease Cycles'!$FA$8:$FG$8,1,DZ10),0,1-INDEX('Lease Cycles'!$EM$8:$ES$8,1,DZ10)),IF(OR(INDEX('Lease Cycles'!$DY$8:$EE$8,1,DZ10)=1,DZ11&gt;0),1,1-INDEX('Lease Cycles'!$DD$8:$DJ$8,1,DZ10))*('Lease Cycles'!$AJ$8*INDEX('Lease Cycles'!$FO$8:$FU$8,1,DZ10)+'Lease Cycles'!$BE$8*(1-INDEX('Lease Cycles'!$FO$8:$FU$8,1,DZ10)))),0)</f>
        <v>0</v>
      </c>
      <c r="EA20" s="24">
        <f>IF(EA12=1,'Lease Cycles'!$D$8*IF(INDEX('Lease Cycles'!$EF$8:$EL$8,1,EA10)=1,'Lease Cycles'!$AJ$8*INDEX('Lease Cycles'!$FO$8:$FU$8,1,EA10)*INDEX('Lease Cycles'!$EM$8:$ES$8,1,EA10)+'Lease Cycles'!$BE$8*IF(EA11&lt;INDEX('Lease Cycles'!$FA$8:$FG$8,1,EA10),0,1-INDEX('Lease Cycles'!$EM$8:$ES$8,1,EA10)),IF(OR(INDEX('Lease Cycles'!$DY$8:$EE$8,1,EA10)=1,EA11&gt;0),1,1-INDEX('Lease Cycles'!$DD$8:$DJ$8,1,EA10))*('Lease Cycles'!$AJ$8*INDEX('Lease Cycles'!$FO$8:$FU$8,1,EA10)+'Lease Cycles'!$BE$8*(1-INDEX('Lease Cycles'!$FO$8:$FU$8,1,EA10)))),0)</f>
        <v>0</v>
      </c>
      <c r="EB20" s="24">
        <f>IF(EB12=1,'Lease Cycles'!$D$8*IF(INDEX('Lease Cycles'!$EF$8:$EL$8,1,EB10)=1,'Lease Cycles'!$AJ$8*INDEX('Lease Cycles'!$FO$8:$FU$8,1,EB10)*INDEX('Lease Cycles'!$EM$8:$ES$8,1,EB10)+'Lease Cycles'!$BE$8*IF(EB11&lt;INDEX('Lease Cycles'!$FA$8:$FG$8,1,EB10),0,1-INDEX('Lease Cycles'!$EM$8:$ES$8,1,EB10)),IF(OR(INDEX('Lease Cycles'!$DY$8:$EE$8,1,EB10)=1,EB11&gt;0),1,1-INDEX('Lease Cycles'!$DD$8:$DJ$8,1,EB10))*('Lease Cycles'!$AJ$8*INDEX('Lease Cycles'!$FO$8:$FU$8,1,EB10)+'Lease Cycles'!$BE$8*(1-INDEX('Lease Cycles'!$FO$8:$FU$8,1,EB10)))),0)</f>
        <v>0</v>
      </c>
      <c r="EC20" s="24">
        <f>IF(EC12=1,'Lease Cycles'!$D$8*IF(INDEX('Lease Cycles'!$EF$8:$EL$8,1,EC10)=1,'Lease Cycles'!$AJ$8*INDEX('Lease Cycles'!$FO$8:$FU$8,1,EC10)*INDEX('Lease Cycles'!$EM$8:$ES$8,1,EC10)+'Lease Cycles'!$BE$8*IF(EC11&lt;INDEX('Lease Cycles'!$FA$8:$FG$8,1,EC10),0,1-INDEX('Lease Cycles'!$EM$8:$ES$8,1,EC10)),IF(OR(INDEX('Lease Cycles'!$DY$8:$EE$8,1,EC10)=1,EC11&gt;0),1,1-INDEX('Lease Cycles'!$DD$8:$DJ$8,1,EC10))*('Lease Cycles'!$AJ$8*INDEX('Lease Cycles'!$FO$8:$FU$8,1,EC10)+'Lease Cycles'!$BE$8*(1-INDEX('Lease Cycles'!$FO$8:$FU$8,1,EC10)))),0)</f>
        <v>0</v>
      </c>
      <c r="ED20" s="24">
        <f>IF(ED12=1,'Lease Cycles'!$D$8*IF(INDEX('Lease Cycles'!$EF$8:$EL$8,1,ED10)=1,'Lease Cycles'!$AJ$8*INDEX('Lease Cycles'!$FO$8:$FU$8,1,ED10)*INDEX('Lease Cycles'!$EM$8:$ES$8,1,ED10)+'Lease Cycles'!$BE$8*IF(ED11&lt;INDEX('Lease Cycles'!$FA$8:$FG$8,1,ED10),0,1-INDEX('Lease Cycles'!$EM$8:$ES$8,1,ED10)),IF(OR(INDEX('Lease Cycles'!$DY$8:$EE$8,1,ED10)=1,ED11&gt;0),1,1-INDEX('Lease Cycles'!$DD$8:$DJ$8,1,ED10))*('Lease Cycles'!$AJ$8*INDEX('Lease Cycles'!$FO$8:$FU$8,1,ED10)+'Lease Cycles'!$BE$8*(1-INDEX('Lease Cycles'!$FO$8:$FU$8,1,ED10)))),0)</f>
        <v>0</v>
      </c>
      <c r="EE20" s="24">
        <f>IF(EE12=1,'Lease Cycles'!$D$8*IF(INDEX('Lease Cycles'!$EF$8:$EL$8,1,EE10)=1,'Lease Cycles'!$AJ$8*INDEX('Lease Cycles'!$FO$8:$FU$8,1,EE10)*INDEX('Lease Cycles'!$EM$8:$ES$8,1,EE10)+'Lease Cycles'!$BE$8*IF(EE11&lt;INDEX('Lease Cycles'!$FA$8:$FG$8,1,EE10),0,1-INDEX('Lease Cycles'!$EM$8:$ES$8,1,EE10)),IF(OR(INDEX('Lease Cycles'!$DY$8:$EE$8,1,EE10)=1,EE11&gt;0),1,1-INDEX('Lease Cycles'!$DD$8:$DJ$8,1,EE10))*('Lease Cycles'!$AJ$8*INDEX('Lease Cycles'!$FO$8:$FU$8,1,EE10)+'Lease Cycles'!$BE$8*(1-INDEX('Lease Cycles'!$FO$8:$FU$8,1,EE10)))),0)</f>
        <v>0</v>
      </c>
      <c r="EF20" s="24">
        <f>IF(EF12=1,'Lease Cycles'!$D$8*IF(INDEX('Lease Cycles'!$EF$8:$EL$8,1,EF10)=1,'Lease Cycles'!$AJ$8*INDEX('Lease Cycles'!$FO$8:$FU$8,1,EF10)*INDEX('Lease Cycles'!$EM$8:$ES$8,1,EF10)+'Lease Cycles'!$BE$8*IF(EF11&lt;INDEX('Lease Cycles'!$FA$8:$FG$8,1,EF10),0,1-INDEX('Lease Cycles'!$EM$8:$ES$8,1,EF10)),IF(OR(INDEX('Lease Cycles'!$DY$8:$EE$8,1,EF10)=1,EF11&gt;0),1,1-INDEX('Lease Cycles'!$DD$8:$DJ$8,1,EF10))*('Lease Cycles'!$AJ$8*INDEX('Lease Cycles'!$FO$8:$FU$8,1,EF10)+'Lease Cycles'!$BE$8*(1-INDEX('Lease Cycles'!$FO$8:$FU$8,1,EF10)))),0)</f>
        <v>0</v>
      </c>
      <c r="EG20" s="24">
        <f>IF(EG12=1,'Lease Cycles'!$D$8*IF(INDEX('Lease Cycles'!$EF$8:$EL$8,1,EG10)=1,'Lease Cycles'!$AJ$8*INDEX('Lease Cycles'!$FO$8:$FU$8,1,EG10)*INDEX('Lease Cycles'!$EM$8:$ES$8,1,EG10)+'Lease Cycles'!$BE$8*IF(EG11&lt;INDEX('Lease Cycles'!$FA$8:$FG$8,1,EG10),0,1-INDEX('Lease Cycles'!$EM$8:$ES$8,1,EG10)),IF(OR(INDEX('Lease Cycles'!$DY$8:$EE$8,1,EG10)=1,EG11&gt;0),1,1-INDEX('Lease Cycles'!$DD$8:$DJ$8,1,EG10))*('Lease Cycles'!$AJ$8*INDEX('Lease Cycles'!$FO$8:$FU$8,1,EG10)+'Lease Cycles'!$BE$8*(1-INDEX('Lease Cycles'!$FO$8:$FU$8,1,EG10)))),0)</f>
        <v>0</v>
      </c>
      <c r="EH20" s="24">
        <f>IF(EH12=1,'Lease Cycles'!$D$8*IF(INDEX('Lease Cycles'!$EF$8:$EL$8,1,EH10)=1,'Lease Cycles'!$AJ$8*INDEX('Lease Cycles'!$FO$8:$FU$8,1,EH10)*INDEX('Lease Cycles'!$EM$8:$ES$8,1,EH10)+'Lease Cycles'!$BE$8*IF(EH11&lt;INDEX('Lease Cycles'!$FA$8:$FG$8,1,EH10),0,1-INDEX('Lease Cycles'!$EM$8:$ES$8,1,EH10)),IF(OR(INDEX('Lease Cycles'!$DY$8:$EE$8,1,EH10)=1,EH11&gt;0),1,1-INDEX('Lease Cycles'!$DD$8:$DJ$8,1,EH10))*('Lease Cycles'!$AJ$8*INDEX('Lease Cycles'!$FO$8:$FU$8,1,EH10)+'Lease Cycles'!$BE$8*(1-INDEX('Lease Cycles'!$FO$8:$FU$8,1,EH10)))),0)</f>
        <v>0</v>
      </c>
      <c r="EI20" s="24">
        <f>IF(EI12=1,'Lease Cycles'!$D$8*IF(INDEX('Lease Cycles'!$EF$8:$EL$8,1,EI10)=1,'Lease Cycles'!$AJ$8*INDEX('Lease Cycles'!$FO$8:$FU$8,1,EI10)*INDEX('Lease Cycles'!$EM$8:$ES$8,1,EI10)+'Lease Cycles'!$BE$8*IF(EI11&lt;INDEX('Lease Cycles'!$FA$8:$FG$8,1,EI10),0,1-INDEX('Lease Cycles'!$EM$8:$ES$8,1,EI10)),IF(OR(INDEX('Lease Cycles'!$DY$8:$EE$8,1,EI10)=1,EI11&gt;0),1,1-INDEX('Lease Cycles'!$DD$8:$DJ$8,1,EI10))*('Lease Cycles'!$AJ$8*INDEX('Lease Cycles'!$FO$8:$FU$8,1,EI10)+'Lease Cycles'!$BE$8*(1-INDEX('Lease Cycles'!$FO$8:$FU$8,1,EI10)))),0)</f>
        <v>0</v>
      </c>
      <c r="EJ20" s="24">
        <f>IF(EJ12=1,'Lease Cycles'!$D$8*IF(INDEX('Lease Cycles'!$EF$8:$EL$8,1,EJ10)=1,'Lease Cycles'!$AJ$8*INDEX('Lease Cycles'!$FO$8:$FU$8,1,EJ10)*INDEX('Lease Cycles'!$EM$8:$ES$8,1,EJ10)+'Lease Cycles'!$BE$8*IF(EJ11&lt;INDEX('Lease Cycles'!$FA$8:$FG$8,1,EJ10),0,1-INDEX('Lease Cycles'!$EM$8:$ES$8,1,EJ10)),IF(OR(INDEX('Lease Cycles'!$DY$8:$EE$8,1,EJ10)=1,EJ11&gt;0),1,1-INDEX('Lease Cycles'!$DD$8:$DJ$8,1,EJ10))*('Lease Cycles'!$AJ$8*INDEX('Lease Cycles'!$FO$8:$FU$8,1,EJ10)+'Lease Cycles'!$BE$8*(1-INDEX('Lease Cycles'!$FO$8:$FU$8,1,EJ10)))),0)</f>
        <v>0</v>
      </c>
      <c r="EK20" s="24">
        <f>IF(EK12=1,'Lease Cycles'!$D$8*IF(INDEX('Lease Cycles'!$EF$8:$EL$8,1,EK10)=1,'Lease Cycles'!$AJ$8*INDEX('Lease Cycles'!$FO$8:$FU$8,1,EK10)*INDEX('Lease Cycles'!$EM$8:$ES$8,1,EK10)+'Lease Cycles'!$BE$8*IF(EK11&lt;INDEX('Lease Cycles'!$FA$8:$FG$8,1,EK10),0,1-INDEX('Lease Cycles'!$EM$8:$ES$8,1,EK10)),IF(OR(INDEX('Lease Cycles'!$DY$8:$EE$8,1,EK10)=1,EK11&gt;0),1,1-INDEX('Lease Cycles'!$DD$8:$DJ$8,1,EK10))*('Lease Cycles'!$AJ$8*INDEX('Lease Cycles'!$FO$8:$FU$8,1,EK10)+'Lease Cycles'!$BE$8*(1-INDEX('Lease Cycles'!$FO$8:$FU$8,1,EK10)))),0)</f>
        <v>0</v>
      </c>
      <c r="EL20" s="24">
        <f>IF(EL12=1,'Lease Cycles'!$D$8*IF(INDEX('Lease Cycles'!$EF$8:$EL$8,1,EL10)=1,'Lease Cycles'!$AJ$8*INDEX('Lease Cycles'!$FO$8:$FU$8,1,EL10)*INDEX('Lease Cycles'!$EM$8:$ES$8,1,EL10)+'Lease Cycles'!$BE$8*IF(EL11&lt;INDEX('Lease Cycles'!$FA$8:$FG$8,1,EL10),0,1-INDEX('Lease Cycles'!$EM$8:$ES$8,1,EL10)),IF(OR(INDEX('Lease Cycles'!$DY$8:$EE$8,1,EL10)=1,EL11&gt;0),1,1-INDEX('Lease Cycles'!$DD$8:$DJ$8,1,EL10))*('Lease Cycles'!$AJ$8*INDEX('Lease Cycles'!$FO$8:$FU$8,1,EL10)+'Lease Cycles'!$BE$8*(1-INDEX('Lease Cycles'!$FO$8:$FU$8,1,EL10)))),0)</f>
        <v>0</v>
      </c>
      <c r="EM20" s="24">
        <f>IF(EM12=1,'Lease Cycles'!$D$8*IF(INDEX('Lease Cycles'!$EF$8:$EL$8,1,EM10)=1,'Lease Cycles'!$AJ$8*INDEX('Lease Cycles'!$FO$8:$FU$8,1,EM10)*INDEX('Lease Cycles'!$EM$8:$ES$8,1,EM10)+'Lease Cycles'!$BE$8*IF(EM11&lt;INDEX('Lease Cycles'!$FA$8:$FG$8,1,EM10),0,1-INDEX('Lease Cycles'!$EM$8:$ES$8,1,EM10)),IF(OR(INDEX('Lease Cycles'!$DY$8:$EE$8,1,EM10)=1,EM11&gt;0),1,1-INDEX('Lease Cycles'!$DD$8:$DJ$8,1,EM10))*('Lease Cycles'!$AJ$8*INDEX('Lease Cycles'!$FO$8:$FU$8,1,EM10)+'Lease Cycles'!$BE$8*(1-INDEX('Lease Cycles'!$FO$8:$FU$8,1,EM10)))),0)</f>
        <v>0</v>
      </c>
      <c r="EN20" s="24">
        <f>IF(EN12=1,'Lease Cycles'!$D$8*IF(INDEX('Lease Cycles'!$EF$8:$EL$8,1,EN10)=1,'Lease Cycles'!$AJ$8*INDEX('Lease Cycles'!$FO$8:$FU$8,1,EN10)*INDEX('Lease Cycles'!$EM$8:$ES$8,1,EN10)+'Lease Cycles'!$BE$8*IF(EN11&lt;INDEX('Lease Cycles'!$FA$8:$FG$8,1,EN10),0,1-INDEX('Lease Cycles'!$EM$8:$ES$8,1,EN10)),IF(OR(INDEX('Lease Cycles'!$DY$8:$EE$8,1,EN10)=1,EN11&gt;0),1,1-INDEX('Lease Cycles'!$DD$8:$DJ$8,1,EN10))*('Lease Cycles'!$AJ$8*INDEX('Lease Cycles'!$FO$8:$FU$8,1,EN10)+'Lease Cycles'!$BE$8*(1-INDEX('Lease Cycles'!$FO$8:$FU$8,1,EN10)))),0)</f>
        <v>0</v>
      </c>
      <c r="EO20" s="24">
        <f>IF(EO12=1,'Lease Cycles'!$D$8*IF(INDEX('Lease Cycles'!$EF$8:$EL$8,1,EO10)=1,'Lease Cycles'!$AJ$8*INDEX('Lease Cycles'!$FO$8:$FU$8,1,EO10)*INDEX('Lease Cycles'!$EM$8:$ES$8,1,EO10)+'Lease Cycles'!$BE$8*IF(EO11&lt;INDEX('Lease Cycles'!$FA$8:$FG$8,1,EO10),0,1-INDEX('Lease Cycles'!$EM$8:$ES$8,1,EO10)),IF(OR(INDEX('Lease Cycles'!$DY$8:$EE$8,1,EO10)=1,EO11&gt;0),1,1-INDEX('Lease Cycles'!$DD$8:$DJ$8,1,EO10))*('Lease Cycles'!$AJ$8*INDEX('Lease Cycles'!$FO$8:$FU$8,1,EO10)+'Lease Cycles'!$BE$8*(1-INDEX('Lease Cycles'!$FO$8:$FU$8,1,EO10)))),0)</f>
        <v>0</v>
      </c>
      <c r="EP20" s="24">
        <f>IF(EP12=1,'Lease Cycles'!$D$8*IF(INDEX('Lease Cycles'!$EF$8:$EL$8,1,EP10)=1,'Lease Cycles'!$AJ$8*INDEX('Lease Cycles'!$FO$8:$FU$8,1,EP10)*INDEX('Lease Cycles'!$EM$8:$ES$8,1,EP10)+'Lease Cycles'!$BE$8*IF(EP11&lt;INDEX('Lease Cycles'!$FA$8:$FG$8,1,EP10),0,1-INDEX('Lease Cycles'!$EM$8:$ES$8,1,EP10)),IF(OR(INDEX('Lease Cycles'!$DY$8:$EE$8,1,EP10)=1,EP11&gt;0),1,1-INDEX('Lease Cycles'!$DD$8:$DJ$8,1,EP10))*('Lease Cycles'!$AJ$8*INDEX('Lease Cycles'!$FO$8:$FU$8,1,EP10)+'Lease Cycles'!$BE$8*(1-INDEX('Lease Cycles'!$FO$8:$FU$8,1,EP10)))),0)</f>
        <v>0</v>
      </c>
      <c r="EQ20" s="24">
        <f>IF(EQ12=1,'Lease Cycles'!$D$8*IF(INDEX('Lease Cycles'!$EF$8:$EL$8,1,EQ10)=1,'Lease Cycles'!$AJ$8*INDEX('Lease Cycles'!$FO$8:$FU$8,1,EQ10)*INDEX('Lease Cycles'!$EM$8:$ES$8,1,EQ10)+'Lease Cycles'!$BE$8*IF(EQ11&lt;INDEX('Lease Cycles'!$FA$8:$FG$8,1,EQ10),0,1-INDEX('Lease Cycles'!$EM$8:$ES$8,1,EQ10)),IF(OR(INDEX('Lease Cycles'!$DY$8:$EE$8,1,EQ10)=1,EQ11&gt;0),1,1-INDEX('Lease Cycles'!$DD$8:$DJ$8,1,EQ10))*('Lease Cycles'!$AJ$8*INDEX('Lease Cycles'!$FO$8:$FU$8,1,EQ10)+'Lease Cycles'!$BE$8*(1-INDEX('Lease Cycles'!$FO$8:$FU$8,1,EQ10)))),0)</f>
        <v>0</v>
      </c>
      <c r="ER20" s="24">
        <f>IF(ER12=1,'Lease Cycles'!$D$8*IF(INDEX('Lease Cycles'!$EF$8:$EL$8,1,ER10)=1,'Lease Cycles'!$AJ$8*INDEX('Lease Cycles'!$FO$8:$FU$8,1,ER10)*INDEX('Lease Cycles'!$EM$8:$ES$8,1,ER10)+'Lease Cycles'!$BE$8*IF(ER11&lt;INDEX('Lease Cycles'!$FA$8:$FG$8,1,ER10),0,1-INDEX('Lease Cycles'!$EM$8:$ES$8,1,ER10)),IF(OR(INDEX('Lease Cycles'!$DY$8:$EE$8,1,ER10)=1,ER11&gt;0),1,1-INDEX('Lease Cycles'!$DD$8:$DJ$8,1,ER10))*('Lease Cycles'!$AJ$8*INDEX('Lease Cycles'!$FO$8:$FU$8,1,ER10)+'Lease Cycles'!$BE$8*(1-INDEX('Lease Cycles'!$FO$8:$FU$8,1,ER10)))),0)</f>
        <v>0</v>
      </c>
      <c r="ES20" s="24">
        <f>IF(ES12=1,'Lease Cycles'!$D$8*IF(INDEX('Lease Cycles'!$EF$8:$EL$8,1,ES10)=1,'Lease Cycles'!$AJ$8*INDEX('Lease Cycles'!$FO$8:$FU$8,1,ES10)*INDEX('Lease Cycles'!$EM$8:$ES$8,1,ES10)+'Lease Cycles'!$BE$8*IF(ES11&lt;INDEX('Lease Cycles'!$FA$8:$FG$8,1,ES10),0,1-INDEX('Lease Cycles'!$EM$8:$ES$8,1,ES10)),IF(OR(INDEX('Lease Cycles'!$DY$8:$EE$8,1,ES10)=1,ES11&gt;0),1,1-INDEX('Lease Cycles'!$DD$8:$DJ$8,1,ES10))*('Lease Cycles'!$AJ$8*INDEX('Lease Cycles'!$FO$8:$FU$8,1,ES10)+'Lease Cycles'!$BE$8*(1-INDEX('Lease Cycles'!$FO$8:$FU$8,1,ES10)))),0)</f>
        <v>0</v>
      </c>
      <c r="ET20" s="24">
        <f>IF(ET12=1,'Lease Cycles'!$D$8*IF(INDEX('Lease Cycles'!$EF$8:$EL$8,1,ET10)=1,'Lease Cycles'!$AJ$8*INDEX('Lease Cycles'!$FO$8:$FU$8,1,ET10)*INDEX('Lease Cycles'!$EM$8:$ES$8,1,ET10)+'Lease Cycles'!$BE$8*IF(ET11&lt;INDEX('Lease Cycles'!$FA$8:$FG$8,1,ET10),0,1-INDEX('Lease Cycles'!$EM$8:$ES$8,1,ET10)),IF(OR(INDEX('Lease Cycles'!$DY$8:$EE$8,1,ET10)=1,ET11&gt;0),1,1-INDEX('Lease Cycles'!$DD$8:$DJ$8,1,ET10))*('Lease Cycles'!$AJ$8*INDEX('Lease Cycles'!$FO$8:$FU$8,1,ET10)+'Lease Cycles'!$BE$8*(1-INDEX('Lease Cycles'!$FO$8:$FU$8,1,ET10)))),0)</f>
        <v>0</v>
      </c>
    </row>
    <row r="21">
      <c r="A21" s="103">
        <v>1</v>
      </c>
      <c r="B21" s="23" t="str">
        <f>IF('Lease Cycles'!$B$8="","(empty slot)",'Lease Cycles'!$B$8)</f>
        <v>Fieldstone Grocery</v>
      </c>
      <c r="C21" s="23" t="s">
        <v>689</v>
      </c>
      <c r="D21" s="104" t="s">
        <v>690</v>
      </c>
      <c r="E21" s="25">
        <f>'Lease Cycles'!$AL$8</f>
        <v>1</v>
      </c>
      <c r="G21" s="28">
        <f>SUM(S21:AD21)</f>
        <v>0</v>
      </c>
      <c r="H21" s="28">
        <f>SUM(AE21:AP21)</f>
        <v>0</v>
      </c>
      <c r="I21" s="28">
        <f>SUM(AQ21:BB21)</f>
        <v>0</v>
      </c>
      <c r="J21" s="28">
        <f>SUM(BC21:BN21)</f>
        <v>0</v>
      </c>
      <c r="K21" s="28">
        <f>SUM(BO21:BZ21)</f>
        <v>0</v>
      </c>
      <c r="L21" s="28">
        <f>SUM(CA21:CL21)</f>
        <v>0</v>
      </c>
      <c r="M21" s="28">
        <f>SUM(CM21:CX21)</f>
        <v>0</v>
      </c>
      <c r="N21" s="28">
        <f>SUM(CY21:DJ21)</f>
        <v>0</v>
      </c>
      <c r="O21" s="28">
        <f>SUM(DK21:DV21)</f>
        <v>0</v>
      </c>
      <c r="P21" s="28">
        <f>SUM(DW21:EH21)</f>
        <v>0</v>
      </c>
      <c r="Q21" s="28">
        <f>SUM(EI21:ET21)</f>
        <v>0</v>
      </c>
      <c r="S21" s="28">
        <f>IF(S20=0,0,S20*MAX(0,(INDEX(c_CAMy,1,S$7)-INDEX(c_CAMy,1,INDEX('Lease Cycles'!$GC$8:$GI$8,1,S10)+1))*(1+'Lease Cycles'!$AK$8)+(INDEX(c_TAXy,1,S$7)-INDEX(c_TAXy,1,INDEX('Lease Cycles'!$GC$8:$GI$8,1,S10)+1))+(INDEX(c_INSy,1,S$7)-INDEX(c_INSy,1,INDEX('Lease Cycles'!$GC$8:$GI$8,1,S10)+1)))/12)</f>
        <v>0</v>
      </c>
      <c r="T21" s="28">
        <f>IF(T20=0,0,T20*MAX(0,(INDEX(c_CAMy,1,T$7)-INDEX(c_CAMy,1,INDEX('Lease Cycles'!$GC$8:$GI$8,1,T10)+1))*(1+'Lease Cycles'!$AK$8)+(INDEX(c_TAXy,1,T$7)-INDEX(c_TAXy,1,INDEX('Lease Cycles'!$GC$8:$GI$8,1,T10)+1))+(INDEX(c_INSy,1,T$7)-INDEX(c_INSy,1,INDEX('Lease Cycles'!$GC$8:$GI$8,1,T10)+1)))/12)</f>
        <v>0</v>
      </c>
      <c r="U21" s="28">
        <f>IF(U20=0,0,U20*MAX(0,(INDEX(c_CAMy,1,U$7)-INDEX(c_CAMy,1,INDEX('Lease Cycles'!$GC$8:$GI$8,1,U10)+1))*(1+'Lease Cycles'!$AK$8)+(INDEX(c_TAXy,1,U$7)-INDEX(c_TAXy,1,INDEX('Lease Cycles'!$GC$8:$GI$8,1,U10)+1))+(INDEX(c_INSy,1,U$7)-INDEX(c_INSy,1,INDEX('Lease Cycles'!$GC$8:$GI$8,1,U10)+1)))/12)</f>
        <v>0</v>
      </c>
      <c r="V21" s="28">
        <f>IF(V20=0,0,V20*MAX(0,(INDEX(c_CAMy,1,V$7)-INDEX(c_CAMy,1,INDEX('Lease Cycles'!$GC$8:$GI$8,1,V10)+1))*(1+'Lease Cycles'!$AK$8)+(INDEX(c_TAXy,1,V$7)-INDEX(c_TAXy,1,INDEX('Lease Cycles'!$GC$8:$GI$8,1,V10)+1))+(INDEX(c_INSy,1,V$7)-INDEX(c_INSy,1,INDEX('Lease Cycles'!$GC$8:$GI$8,1,V10)+1)))/12)</f>
        <v>0</v>
      </c>
      <c r="W21" s="28">
        <f>IF(W20=0,0,W20*MAX(0,(INDEX(c_CAMy,1,W$7)-INDEX(c_CAMy,1,INDEX('Lease Cycles'!$GC$8:$GI$8,1,W10)+1))*(1+'Lease Cycles'!$AK$8)+(INDEX(c_TAXy,1,W$7)-INDEX(c_TAXy,1,INDEX('Lease Cycles'!$GC$8:$GI$8,1,W10)+1))+(INDEX(c_INSy,1,W$7)-INDEX(c_INSy,1,INDEX('Lease Cycles'!$GC$8:$GI$8,1,W10)+1)))/12)</f>
        <v>0</v>
      </c>
      <c r="X21" s="28">
        <f>IF(X20=0,0,X20*MAX(0,(INDEX(c_CAMy,1,X$7)-INDEX(c_CAMy,1,INDEX('Lease Cycles'!$GC$8:$GI$8,1,X10)+1))*(1+'Lease Cycles'!$AK$8)+(INDEX(c_TAXy,1,X$7)-INDEX(c_TAXy,1,INDEX('Lease Cycles'!$GC$8:$GI$8,1,X10)+1))+(INDEX(c_INSy,1,X$7)-INDEX(c_INSy,1,INDEX('Lease Cycles'!$GC$8:$GI$8,1,X10)+1)))/12)</f>
        <v>0</v>
      </c>
      <c r="Y21" s="28">
        <f>IF(Y20=0,0,Y20*MAX(0,(INDEX(c_CAMy,1,Y$7)-INDEX(c_CAMy,1,INDEX('Lease Cycles'!$GC$8:$GI$8,1,Y10)+1))*(1+'Lease Cycles'!$AK$8)+(INDEX(c_TAXy,1,Y$7)-INDEX(c_TAXy,1,INDEX('Lease Cycles'!$GC$8:$GI$8,1,Y10)+1))+(INDEX(c_INSy,1,Y$7)-INDEX(c_INSy,1,INDEX('Lease Cycles'!$GC$8:$GI$8,1,Y10)+1)))/12)</f>
        <v>0</v>
      </c>
      <c r="Z21" s="28">
        <f>IF(Z20=0,0,Z20*MAX(0,(INDEX(c_CAMy,1,Z$7)-INDEX(c_CAMy,1,INDEX('Lease Cycles'!$GC$8:$GI$8,1,Z10)+1))*(1+'Lease Cycles'!$AK$8)+(INDEX(c_TAXy,1,Z$7)-INDEX(c_TAXy,1,INDEX('Lease Cycles'!$GC$8:$GI$8,1,Z10)+1))+(INDEX(c_INSy,1,Z$7)-INDEX(c_INSy,1,INDEX('Lease Cycles'!$GC$8:$GI$8,1,Z10)+1)))/12)</f>
        <v>0</v>
      </c>
      <c r="AA21" s="28">
        <f>IF(AA20=0,0,AA20*MAX(0,(INDEX(c_CAMy,1,AA$7)-INDEX(c_CAMy,1,INDEX('Lease Cycles'!$GC$8:$GI$8,1,AA10)+1))*(1+'Lease Cycles'!$AK$8)+(INDEX(c_TAXy,1,AA$7)-INDEX(c_TAXy,1,INDEX('Lease Cycles'!$GC$8:$GI$8,1,AA10)+1))+(INDEX(c_INSy,1,AA$7)-INDEX(c_INSy,1,INDEX('Lease Cycles'!$GC$8:$GI$8,1,AA10)+1)))/12)</f>
        <v>0</v>
      </c>
      <c r="AB21" s="28">
        <f>IF(AB20=0,0,AB20*MAX(0,(INDEX(c_CAMy,1,AB$7)-INDEX(c_CAMy,1,INDEX('Lease Cycles'!$GC$8:$GI$8,1,AB10)+1))*(1+'Lease Cycles'!$AK$8)+(INDEX(c_TAXy,1,AB$7)-INDEX(c_TAXy,1,INDEX('Lease Cycles'!$GC$8:$GI$8,1,AB10)+1))+(INDEX(c_INSy,1,AB$7)-INDEX(c_INSy,1,INDEX('Lease Cycles'!$GC$8:$GI$8,1,AB10)+1)))/12)</f>
        <v>0</v>
      </c>
      <c r="AC21" s="28">
        <f>IF(AC20=0,0,AC20*MAX(0,(INDEX(c_CAMy,1,AC$7)-INDEX(c_CAMy,1,INDEX('Lease Cycles'!$GC$8:$GI$8,1,AC10)+1))*(1+'Lease Cycles'!$AK$8)+(INDEX(c_TAXy,1,AC$7)-INDEX(c_TAXy,1,INDEX('Lease Cycles'!$GC$8:$GI$8,1,AC10)+1))+(INDEX(c_INSy,1,AC$7)-INDEX(c_INSy,1,INDEX('Lease Cycles'!$GC$8:$GI$8,1,AC10)+1)))/12)</f>
        <v>0</v>
      </c>
      <c r="AD21" s="28">
        <f>IF(AD20=0,0,AD20*MAX(0,(INDEX(c_CAMy,1,AD$7)-INDEX(c_CAMy,1,INDEX('Lease Cycles'!$GC$8:$GI$8,1,AD10)+1))*(1+'Lease Cycles'!$AK$8)+(INDEX(c_TAXy,1,AD$7)-INDEX(c_TAXy,1,INDEX('Lease Cycles'!$GC$8:$GI$8,1,AD10)+1))+(INDEX(c_INSy,1,AD$7)-INDEX(c_INSy,1,INDEX('Lease Cycles'!$GC$8:$GI$8,1,AD10)+1)))/12)</f>
        <v>0</v>
      </c>
      <c r="AE21" s="28">
        <f>IF(AE20=0,0,AE20*MAX(0,(INDEX(c_CAMy,1,AE$7)-INDEX(c_CAMy,1,INDEX('Lease Cycles'!$GC$8:$GI$8,1,AE10)+1))*(1+'Lease Cycles'!$AK$8)+(INDEX(c_TAXy,1,AE$7)-INDEX(c_TAXy,1,INDEX('Lease Cycles'!$GC$8:$GI$8,1,AE10)+1))+(INDEX(c_INSy,1,AE$7)-INDEX(c_INSy,1,INDEX('Lease Cycles'!$GC$8:$GI$8,1,AE10)+1)))/12)</f>
        <v>0</v>
      </c>
      <c r="AF21" s="28">
        <f>IF(AF20=0,0,AF20*MAX(0,(INDEX(c_CAMy,1,AF$7)-INDEX(c_CAMy,1,INDEX('Lease Cycles'!$GC$8:$GI$8,1,AF10)+1))*(1+'Lease Cycles'!$AK$8)+(INDEX(c_TAXy,1,AF$7)-INDEX(c_TAXy,1,INDEX('Lease Cycles'!$GC$8:$GI$8,1,AF10)+1))+(INDEX(c_INSy,1,AF$7)-INDEX(c_INSy,1,INDEX('Lease Cycles'!$GC$8:$GI$8,1,AF10)+1)))/12)</f>
        <v>0</v>
      </c>
      <c r="AG21" s="28">
        <f>IF(AG20=0,0,AG20*MAX(0,(INDEX(c_CAMy,1,AG$7)-INDEX(c_CAMy,1,INDEX('Lease Cycles'!$GC$8:$GI$8,1,AG10)+1))*(1+'Lease Cycles'!$AK$8)+(INDEX(c_TAXy,1,AG$7)-INDEX(c_TAXy,1,INDEX('Lease Cycles'!$GC$8:$GI$8,1,AG10)+1))+(INDEX(c_INSy,1,AG$7)-INDEX(c_INSy,1,INDEX('Lease Cycles'!$GC$8:$GI$8,1,AG10)+1)))/12)</f>
        <v>0</v>
      </c>
      <c r="AH21" s="28">
        <f>IF(AH20=0,0,AH20*MAX(0,(INDEX(c_CAMy,1,AH$7)-INDEX(c_CAMy,1,INDEX('Lease Cycles'!$GC$8:$GI$8,1,AH10)+1))*(1+'Lease Cycles'!$AK$8)+(INDEX(c_TAXy,1,AH$7)-INDEX(c_TAXy,1,INDEX('Lease Cycles'!$GC$8:$GI$8,1,AH10)+1))+(INDEX(c_INSy,1,AH$7)-INDEX(c_INSy,1,INDEX('Lease Cycles'!$GC$8:$GI$8,1,AH10)+1)))/12)</f>
        <v>0</v>
      </c>
      <c r="AI21" s="28">
        <f>IF(AI20=0,0,AI20*MAX(0,(INDEX(c_CAMy,1,AI$7)-INDEX(c_CAMy,1,INDEX('Lease Cycles'!$GC$8:$GI$8,1,AI10)+1))*(1+'Lease Cycles'!$AK$8)+(INDEX(c_TAXy,1,AI$7)-INDEX(c_TAXy,1,INDEX('Lease Cycles'!$GC$8:$GI$8,1,AI10)+1))+(INDEX(c_INSy,1,AI$7)-INDEX(c_INSy,1,INDEX('Lease Cycles'!$GC$8:$GI$8,1,AI10)+1)))/12)</f>
        <v>0</v>
      </c>
      <c r="AJ21" s="28">
        <f>IF(AJ20=0,0,AJ20*MAX(0,(INDEX(c_CAMy,1,AJ$7)-INDEX(c_CAMy,1,INDEX('Lease Cycles'!$GC$8:$GI$8,1,AJ10)+1))*(1+'Lease Cycles'!$AK$8)+(INDEX(c_TAXy,1,AJ$7)-INDEX(c_TAXy,1,INDEX('Lease Cycles'!$GC$8:$GI$8,1,AJ10)+1))+(INDEX(c_INSy,1,AJ$7)-INDEX(c_INSy,1,INDEX('Lease Cycles'!$GC$8:$GI$8,1,AJ10)+1)))/12)</f>
        <v>0</v>
      </c>
      <c r="AK21" s="28">
        <f>IF(AK20=0,0,AK20*MAX(0,(INDEX(c_CAMy,1,AK$7)-INDEX(c_CAMy,1,INDEX('Lease Cycles'!$GC$8:$GI$8,1,AK10)+1))*(1+'Lease Cycles'!$AK$8)+(INDEX(c_TAXy,1,AK$7)-INDEX(c_TAXy,1,INDEX('Lease Cycles'!$GC$8:$GI$8,1,AK10)+1))+(INDEX(c_INSy,1,AK$7)-INDEX(c_INSy,1,INDEX('Lease Cycles'!$GC$8:$GI$8,1,AK10)+1)))/12)</f>
        <v>0</v>
      </c>
      <c r="AL21" s="28">
        <f>IF(AL20=0,0,AL20*MAX(0,(INDEX(c_CAMy,1,AL$7)-INDEX(c_CAMy,1,INDEX('Lease Cycles'!$GC$8:$GI$8,1,AL10)+1))*(1+'Lease Cycles'!$AK$8)+(INDEX(c_TAXy,1,AL$7)-INDEX(c_TAXy,1,INDEX('Lease Cycles'!$GC$8:$GI$8,1,AL10)+1))+(INDEX(c_INSy,1,AL$7)-INDEX(c_INSy,1,INDEX('Lease Cycles'!$GC$8:$GI$8,1,AL10)+1)))/12)</f>
        <v>0</v>
      </c>
      <c r="AM21" s="28">
        <f>IF(AM20=0,0,AM20*MAX(0,(INDEX(c_CAMy,1,AM$7)-INDEX(c_CAMy,1,INDEX('Lease Cycles'!$GC$8:$GI$8,1,AM10)+1))*(1+'Lease Cycles'!$AK$8)+(INDEX(c_TAXy,1,AM$7)-INDEX(c_TAXy,1,INDEX('Lease Cycles'!$GC$8:$GI$8,1,AM10)+1))+(INDEX(c_INSy,1,AM$7)-INDEX(c_INSy,1,INDEX('Lease Cycles'!$GC$8:$GI$8,1,AM10)+1)))/12)</f>
        <v>0</v>
      </c>
      <c r="AN21" s="28">
        <f>IF(AN20=0,0,AN20*MAX(0,(INDEX(c_CAMy,1,AN$7)-INDEX(c_CAMy,1,INDEX('Lease Cycles'!$GC$8:$GI$8,1,AN10)+1))*(1+'Lease Cycles'!$AK$8)+(INDEX(c_TAXy,1,AN$7)-INDEX(c_TAXy,1,INDEX('Lease Cycles'!$GC$8:$GI$8,1,AN10)+1))+(INDEX(c_INSy,1,AN$7)-INDEX(c_INSy,1,INDEX('Lease Cycles'!$GC$8:$GI$8,1,AN10)+1)))/12)</f>
        <v>0</v>
      </c>
      <c r="AO21" s="28">
        <f>IF(AO20=0,0,AO20*MAX(0,(INDEX(c_CAMy,1,AO$7)-INDEX(c_CAMy,1,INDEX('Lease Cycles'!$GC$8:$GI$8,1,AO10)+1))*(1+'Lease Cycles'!$AK$8)+(INDEX(c_TAXy,1,AO$7)-INDEX(c_TAXy,1,INDEX('Lease Cycles'!$GC$8:$GI$8,1,AO10)+1))+(INDEX(c_INSy,1,AO$7)-INDEX(c_INSy,1,INDEX('Lease Cycles'!$GC$8:$GI$8,1,AO10)+1)))/12)</f>
        <v>0</v>
      </c>
      <c r="AP21" s="28">
        <f>IF(AP20=0,0,AP20*MAX(0,(INDEX(c_CAMy,1,AP$7)-INDEX(c_CAMy,1,INDEX('Lease Cycles'!$GC$8:$GI$8,1,AP10)+1))*(1+'Lease Cycles'!$AK$8)+(INDEX(c_TAXy,1,AP$7)-INDEX(c_TAXy,1,INDEX('Lease Cycles'!$GC$8:$GI$8,1,AP10)+1))+(INDEX(c_INSy,1,AP$7)-INDEX(c_INSy,1,INDEX('Lease Cycles'!$GC$8:$GI$8,1,AP10)+1)))/12)</f>
        <v>0</v>
      </c>
      <c r="AQ21" s="28">
        <f>IF(AQ20=0,0,AQ20*MAX(0,(INDEX(c_CAMy,1,AQ$7)-INDEX(c_CAMy,1,INDEX('Lease Cycles'!$GC$8:$GI$8,1,AQ10)+1))*(1+'Lease Cycles'!$AK$8)+(INDEX(c_TAXy,1,AQ$7)-INDEX(c_TAXy,1,INDEX('Lease Cycles'!$GC$8:$GI$8,1,AQ10)+1))+(INDEX(c_INSy,1,AQ$7)-INDEX(c_INSy,1,INDEX('Lease Cycles'!$GC$8:$GI$8,1,AQ10)+1)))/12)</f>
        <v>0</v>
      </c>
      <c r="AR21" s="28">
        <f>IF(AR20=0,0,AR20*MAX(0,(INDEX(c_CAMy,1,AR$7)-INDEX(c_CAMy,1,INDEX('Lease Cycles'!$GC$8:$GI$8,1,AR10)+1))*(1+'Lease Cycles'!$AK$8)+(INDEX(c_TAXy,1,AR$7)-INDEX(c_TAXy,1,INDEX('Lease Cycles'!$GC$8:$GI$8,1,AR10)+1))+(INDEX(c_INSy,1,AR$7)-INDEX(c_INSy,1,INDEX('Lease Cycles'!$GC$8:$GI$8,1,AR10)+1)))/12)</f>
        <v>0</v>
      </c>
      <c r="AS21" s="28">
        <f>IF(AS20=0,0,AS20*MAX(0,(INDEX(c_CAMy,1,AS$7)-INDEX(c_CAMy,1,INDEX('Lease Cycles'!$GC$8:$GI$8,1,AS10)+1))*(1+'Lease Cycles'!$AK$8)+(INDEX(c_TAXy,1,AS$7)-INDEX(c_TAXy,1,INDEX('Lease Cycles'!$GC$8:$GI$8,1,AS10)+1))+(INDEX(c_INSy,1,AS$7)-INDEX(c_INSy,1,INDEX('Lease Cycles'!$GC$8:$GI$8,1,AS10)+1)))/12)</f>
        <v>0</v>
      </c>
      <c r="AT21" s="28">
        <f>IF(AT20=0,0,AT20*MAX(0,(INDEX(c_CAMy,1,AT$7)-INDEX(c_CAMy,1,INDEX('Lease Cycles'!$GC$8:$GI$8,1,AT10)+1))*(1+'Lease Cycles'!$AK$8)+(INDEX(c_TAXy,1,AT$7)-INDEX(c_TAXy,1,INDEX('Lease Cycles'!$GC$8:$GI$8,1,AT10)+1))+(INDEX(c_INSy,1,AT$7)-INDEX(c_INSy,1,INDEX('Lease Cycles'!$GC$8:$GI$8,1,AT10)+1)))/12)</f>
        <v>0</v>
      </c>
      <c r="AU21" s="28">
        <f>IF(AU20=0,0,AU20*MAX(0,(INDEX(c_CAMy,1,AU$7)-INDEX(c_CAMy,1,INDEX('Lease Cycles'!$GC$8:$GI$8,1,AU10)+1))*(1+'Lease Cycles'!$AK$8)+(INDEX(c_TAXy,1,AU$7)-INDEX(c_TAXy,1,INDEX('Lease Cycles'!$GC$8:$GI$8,1,AU10)+1))+(INDEX(c_INSy,1,AU$7)-INDEX(c_INSy,1,INDEX('Lease Cycles'!$GC$8:$GI$8,1,AU10)+1)))/12)</f>
        <v>0</v>
      </c>
      <c r="AV21" s="28">
        <f>IF(AV20=0,0,AV20*MAX(0,(INDEX(c_CAMy,1,AV$7)-INDEX(c_CAMy,1,INDEX('Lease Cycles'!$GC$8:$GI$8,1,AV10)+1))*(1+'Lease Cycles'!$AK$8)+(INDEX(c_TAXy,1,AV$7)-INDEX(c_TAXy,1,INDEX('Lease Cycles'!$GC$8:$GI$8,1,AV10)+1))+(INDEX(c_INSy,1,AV$7)-INDEX(c_INSy,1,INDEX('Lease Cycles'!$GC$8:$GI$8,1,AV10)+1)))/12)</f>
        <v>0</v>
      </c>
      <c r="AW21" s="28">
        <f>IF(AW20=0,0,AW20*MAX(0,(INDEX(c_CAMy,1,AW$7)-INDEX(c_CAMy,1,INDEX('Lease Cycles'!$GC$8:$GI$8,1,AW10)+1))*(1+'Lease Cycles'!$AK$8)+(INDEX(c_TAXy,1,AW$7)-INDEX(c_TAXy,1,INDEX('Lease Cycles'!$GC$8:$GI$8,1,AW10)+1))+(INDEX(c_INSy,1,AW$7)-INDEX(c_INSy,1,INDEX('Lease Cycles'!$GC$8:$GI$8,1,AW10)+1)))/12)</f>
        <v>0</v>
      </c>
      <c r="AX21" s="28">
        <f>IF(AX20=0,0,AX20*MAX(0,(INDEX(c_CAMy,1,AX$7)-INDEX(c_CAMy,1,INDEX('Lease Cycles'!$GC$8:$GI$8,1,AX10)+1))*(1+'Lease Cycles'!$AK$8)+(INDEX(c_TAXy,1,AX$7)-INDEX(c_TAXy,1,INDEX('Lease Cycles'!$GC$8:$GI$8,1,AX10)+1))+(INDEX(c_INSy,1,AX$7)-INDEX(c_INSy,1,INDEX('Lease Cycles'!$GC$8:$GI$8,1,AX10)+1)))/12)</f>
        <v>0</v>
      </c>
      <c r="AY21" s="28">
        <f>IF(AY20=0,0,AY20*MAX(0,(INDEX(c_CAMy,1,AY$7)-INDEX(c_CAMy,1,INDEX('Lease Cycles'!$GC$8:$GI$8,1,AY10)+1))*(1+'Lease Cycles'!$AK$8)+(INDEX(c_TAXy,1,AY$7)-INDEX(c_TAXy,1,INDEX('Lease Cycles'!$GC$8:$GI$8,1,AY10)+1))+(INDEX(c_INSy,1,AY$7)-INDEX(c_INSy,1,INDEX('Lease Cycles'!$GC$8:$GI$8,1,AY10)+1)))/12)</f>
        <v>0</v>
      </c>
      <c r="AZ21" s="28">
        <f>IF(AZ20=0,0,AZ20*MAX(0,(INDEX(c_CAMy,1,AZ$7)-INDEX(c_CAMy,1,INDEX('Lease Cycles'!$GC$8:$GI$8,1,AZ10)+1))*(1+'Lease Cycles'!$AK$8)+(INDEX(c_TAXy,1,AZ$7)-INDEX(c_TAXy,1,INDEX('Lease Cycles'!$GC$8:$GI$8,1,AZ10)+1))+(INDEX(c_INSy,1,AZ$7)-INDEX(c_INSy,1,INDEX('Lease Cycles'!$GC$8:$GI$8,1,AZ10)+1)))/12)</f>
        <v>0</v>
      </c>
      <c r="BA21" s="28">
        <f>IF(BA20=0,0,BA20*MAX(0,(INDEX(c_CAMy,1,BA$7)-INDEX(c_CAMy,1,INDEX('Lease Cycles'!$GC$8:$GI$8,1,BA10)+1))*(1+'Lease Cycles'!$AK$8)+(INDEX(c_TAXy,1,BA$7)-INDEX(c_TAXy,1,INDEX('Lease Cycles'!$GC$8:$GI$8,1,BA10)+1))+(INDEX(c_INSy,1,BA$7)-INDEX(c_INSy,1,INDEX('Lease Cycles'!$GC$8:$GI$8,1,BA10)+1)))/12)</f>
        <v>0</v>
      </c>
      <c r="BB21" s="28">
        <f>IF(BB20=0,0,BB20*MAX(0,(INDEX(c_CAMy,1,BB$7)-INDEX(c_CAMy,1,INDEX('Lease Cycles'!$GC$8:$GI$8,1,BB10)+1))*(1+'Lease Cycles'!$AK$8)+(INDEX(c_TAXy,1,BB$7)-INDEX(c_TAXy,1,INDEX('Lease Cycles'!$GC$8:$GI$8,1,BB10)+1))+(INDEX(c_INSy,1,BB$7)-INDEX(c_INSy,1,INDEX('Lease Cycles'!$GC$8:$GI$8,1,BB10)+1)))/12)</f>
        <v>0</v>
      </c>
      <c r="BC21" s="28">
        <f>IF(BC20=0,0,BC20*MAX(0,(INDEX(c_CAMy,1,BC$7)-INDEX(c_CAMy,1,INDEX('Lease Cycles'!$GC$8:$GI$8,1,BC10)+1))*(1+'Lease Cycles'!$AK$8)+(INDEX(c_TAXy,1,BC$7)-INDEX(c_TAXy,1,INDEX('Lease Cycles'!$GC$8:$GI$8,1,BC10)+1))+(INDEX(c_INSy,1,BC$7)-INDEX(c_INSy,1,INDEX('Lease Cycles'!$GC$8:$GI$8,1,BC10)+1)))/12)</f>
        <v>0</v>
      </c>
      <c r="BD21" s="28">
        <f>IF(BD20=0,0,BD20*MAX(0,(INDEX(c_CAMy,1,BD$7)-INDEX(c_CAMy,1,INDEX('Lease Cycles'!$GC$8:$GI$8,1,BD10)+1))*(1+'Lease Cycles'!$AK$8)+(INDEX(c_TAXy,1,BD$7)-INDEX(c_TAXy,1,INDEX('Lease Cycles'!$GC$8:$GI$8,1,BD10)+1))+(INDEX(c_INSy,1,BD$7)-INDEX(c_INSy,1,INDEX('Lease Cycles'!$GC$8:$GI$8,1,BD10)+1)))/12)</f>
        <v>0</v>
      </c>
      <c r="BE21" s="28">
        <f>IF(BE20=0,0,BE20*MAX(0,(INDEX(c_CAMy,1,BE$7)-INDEX(c_CAMy,1,INDEX('Lease Cycles'!$GC$8:$GI$8,1,BE10)+1))*(1+'Lease Cycles'!$AK$8)+(INDEX(c_TAXy,1,BE$7)-INDEX(c_TAXy,1,INDEX('Lease Cycles'!$GC$8:$GI$8,1,BE10)+1))+(INDEX(c_INSy,1,BE$7)-INDEX(c_INSy,1,INDEX('Lease Cycles'!$GC$8:$GI$8,1,BE10)+1)))/12)</f>
        <v>0</v>
      </c>
      <c r="BF21" s="28">
        <f>IF(BF20=0,0,BF20*MAX(0,(INDEX(c_CAMy,1,BF$7)-INDEX(c_CAMy,1,INDEX('Lease Cycles'!$GC$8:$GI$8,1,BF10)+1))*(1+'Lease Cycles'!$AK$8)+(INDEX(c_TAXy,1,BF$7)-INDEX(c_TAXy,1,INDEX('Lease Cycles'!$GC$8:$GI$8,1,BF10)+1))+(INDEX(c_INSy,1,BF$7)-INDEX(c_INSy,1,INDEX('Lease Cycles'!$GC$8:$GI$8,1,BF10)+1)))/12)</f>
        <v>0</v>
      </c>
      <c r="BG21" s="28">
        <f>IF(BG20=0,0,BG20*MAX(0,(INDEX(c_CAMy,1,BG$7)-INDEX(c_CAMy,1,INDEX('Lease Cycles'!$GC$8:$GI$8,1,BG10)+1))*(1+'Lease Cycles'!$AK$8)+(INDEX(c_TAXy,1,BG$7)-INDEX(c_TAXy,1,INDEX('Lease Cycles'!$GC$8:$GI$8,1,BG10)+1))+(INDEX(c_INSy,1,BG$7)-INDEX(c_INSy,1,INDEX('Lease Cycles'!$GC$8:$GI$8,1,BG10)+1)))/12)</f>
        <v>0</v>
      </c>
      <c r="BH21" s="28">
        <f>IF(BH20=0,0,BH20*MAX(0,(INDEX(c_CAMy,1,BH$7)-INDEX(c_CAMy,1,INDEX('Lease Cycles'!$GC$8:$GI$8,1,BH10)+1))*(1+'Lease Cycles'!$AK$8)+(INDEX(c_TAXy,1,BH$7)-INDEX(c_TAXy,1,INDEX('Lease Cycles'!$GC$8:$GI$8,1,BH10)+1))+(INDEX(c_INSy,1,BH$7)-INDEX(c_INSy,1,INDEX('Lease Cycles'!$GC$8:$GI$8,1,BH10)+1)))/12)</f>
        <v>0</v>
      </c>
      <c r="BI21" s="28">
        <f>IF(BI20=0,0,BI20*MAX(0,(INDEX(c_CAMy,1,BI$7)-INDEX(c_CAMy,1,INDEX('Lease Cycles'!$GC$8:$GI$8,1,BI10)+1))*(1+'Lease Cycles'!$AK$8)+(INDEX(c_TAXy,1,BI$7)-INDEX(c_TAXy,1,INDEX('Lease Cycles'!$GC$8:$GI$8,1,BI10)+1))+(INDEX(c_INSy,1,BI$7)-INDEX(c_INSy,1,INDEX('Lease Cycles'!$GC$8:$GI$8,1,BI10)+1)))/12)</f>
        <v>0</v>
      </c>
      <c r="BJ21" s="28">
        <f>IF(BJ20=0,0,BJ20*MAX(0,(INDEX(c_CAMy,1,BJ$7)-INDEX(c_CAMy,1,INDEX('Lease Cycles'!$GC$8:$GI$8,1,BJ10)+1))*(1+'Lease Cycles'!$AK$8)+(INDEX(c_TAXy,1,BJ$7)-INDEX(c_TAXy,1,INDEX('Lease Cycles'!$GC$8:$GI$8,1,BJ10)+1))+(INDEX(c_INSy,1,BJ$7)-INDEX(c_INSy,1,INDEX('Lease Cycles'!$GC$8:$GI$8,1,BJ10)+1)))/12)</f>
        <v>0</v>
      </c>
      <c r="BK21" s="28">
        <f>IF(BK20=0,0,BK20*MAX(0,(INDEX(c_CAMy,1,BK$7)-INDEX(c_CAMy,1,INDEX('Lease Cycles'!$GC$8:$GI$8,1,BK10)+1))*(1+'Lease Cycles'!$AK$8)+(INDEX(c_TAXy,1,BK$7)-INDEX(c_TAXy,1,INDEX('Lease Cycles'!$GC$8:$GI$8,1,BK10)+1))+(INDEX(c_INSy,1,BK$7)-INDEX(c_INSy,1,INDEX('Lease Cycles'!$GC$8:$GI$8,1,BK10)+1)))/12)</f>
        <v>0</v>
      </c>
      <c r="BL21" s="28">
        <f>IF(BL20=0,0,BL20*MAX(0,(INDEX(c_CAMy,1,BL$7)-INDEX(c_CAMy,1,INDEX('Lease Cycles'!$GC$8:$GI$8,1,BL10)+1))*(1+'Lease Cycles'!$AK$8)+(INDEX(c_TAXy,1,BL$7)-INDEX(c_TAXy,1,INDEX('Lease Cycles'!$GC$8:$GI$8,1,BL10)+1))+(INDEX(c_INSy,1,BL$7)-INDEX(c_INSy,1,INDEX('Lease Cycles'!$GC$8:$GI$8,1,BL10)+1)))/12)</f>
        <v>0</v>
      </c>
      <c r="BM21" s="28">
        <f>IF(BM20=0,0,BM20*MAX(0,(INDEX(c_CAMy,1,BM$7)-INDEX(c_CAMy,1,INDEX('Lease Cycles'!$GC$8:$GI$8,1,BM10)+1))*(1+'Lease Cycles'!$AK$8)+(INDEX(c_TAXy,1,BM$7)-INDEX(c_TAXy,1,INDEX('Lease Cycles'!$GC$8:$GI$8,1,BM10)+1))+(INDEX(c_INSy,1,BM$7)-INDEX(c_INSy,1,INDEX('Lease Cycles'!$GC$8:$GI$8,1,BM10)+1)))/12)</f>
        <v>0</v>
      </c>
      <c r="BN21" s="28">
        <f>IF(BN20=0,0,BN20*MAX(0,(INDEX(c_CAMy,1,BN$7)-INDEX(c_CAMy,1,INDEX('Lease Cycles'!$GC$8:$GI$8,1,BN10)+1))*(1+'Lease Cycles'!$AK$8)+(INDEX(c_TAXy,1,BN$7)-INDEX(c_TAXy,1,INDEX('Lease Cycles'!$GC$8:$GI$8,1,BN10)+1))+(INDEX(c_INSy,1,BN$7)-INDEX(c_INSy,1,INDEX('Lease Cycles'!$GC$8:$GI$8,1,BN10)+1)))/12)</f>
        <v>0</v>
      </c>
      <c r="BO21" s="28">
        <f>IF(BO20=0,0,BO20*MAX(0,(INDEX(c_CAMy,1,BO$7)-INDEX(c_CAMy,1,INDEX('Lease Cycles'!$GC$8:$GI$8,1,BO10)+1))*(1+'Lease Cycles'!$AK$8)+(INDEX(c_TAXy,1,BO$7)-INDEX(c_TAXy,1,INDEX('Lease Cycles'!$GC$8:$GI$8,1,BO10)+1))+(INDEX(c_INSy,1,BO$7)-INDEX(c_INSy,1,INDEX('Lease Cycles'!$GC$8:$GI$8,1,BO10)+1)))/12)</f>
        <v>0</v>
      </c>
      <c r="BP21" s="28">
        <f>IF(BP20=0,0,BP20*MAX(0,(INDEX(c_CAMy,1,BP$7)-INDEX(c_CAMy,1,INDEX('Lease Cycles'!$GC$8:$GI$8,1,BP10)+1))*(1+'Lease Cycles'!$AK$8)+(INDEX(c_TAXy,1,BP$7)-INDEX(c_TAXy,1,INDEX('Lease Cycles'!$GC$8:$GI$8,1,BP10)+1))+(INDEX(c_INSy,1,BP$7)-INDEX(c_INSy,1,INDEX('Lease Cycles'!$GC$8:$GI$8,1,BP10)+1)))/12)</f>
        <v>0</v>
      </c>
      <c r="BQ21" s="28">
        <f>IF(BQ20=0,0,BQ20*MAX(0,(INDEX(c_CAMy,1,BQ$7)-INDEX(c_CAMy,1,INDEX('Lease Cycles'!$GC$8:$GI$8,1,BQ10)+1))*(1+'Lease Cycles'!$AK$8)+(INDEX(c_TAXy,1,BQ$7)-INDEX(c_TAXy,1,INDEX('Lease Cycles'!$GC$8:$GI$8,1,BQ10)+1))+(INDEX(c_INSy,1,BQ$7)-INDEX(c_INSy,1,INDEX('Lease Cycles'!$GC$8:$GI$8,1,BQ10)+1)))/12)</f>
        <v>0</v>
      </c>
      <c r="BR21" s="28">
        <f>IF(BR20=0,0,BR20*MAX(0,(INDEX(c_CAMy,1,BR$7)-INDEX(c_CAMy,1,INDEX('Lease Cycles'!$GC$8:$GI$8,1,BR10)+1))*(1+'Lease Cycles'!$AK$8)+(INDEX(c_TAXy,1,BR$7)-INDEX(c_TAXy,1,INDEX('Lease Cycles'!$GC$8:$GI$8,1,BR10)+1))+(INDEX(c_INSy,1,BR$7)-INDEX(c_INSy,1,INDEX('Lease Cycles'!$GC$8:$GI$8,1,BR10)+1)))/12)</f>
        <v>0</v>
      </c>
      <c r="BS21" s="28">
        <f>IF(BS20=0,0,BS20*MAX(0,(INDEX(c_CAMy,1,BS$7)-INDEX(c_CAMy,1,INDEX('Lease Cycles'!$GC$8:$GI$8,1,BS10)+1))*(1+'Lease Cycles'!$AK$8)+(INDEX(c_TAXy,1,BS$7)-INDEX(c_TAXy,1,INDEX('Lease Cycles'!$GC$8:$GI$8,1,BS10)+1))+(INDEX(c_INSy,1,BS$7)-INDEX(c_INSy,1,INDEX('Lease Cycles'!$GC$8:$GI$8,1,BS10)+1)))/12)</f>
        <v>0</v>
      </c>
      <c r="BT21" s="28">
        <f>IF(BT20=0,0,BT20*MAX(0,(INDEX(c_CAMy,1,BT$7)-INDEX(c_CAMy,1,INDEX('Lease Cycles'!$GC$8:$GI$8,1,BT10)+1))*(1+'Lease Cycles'!$AK$8)+(INDEX(c_TAXy,1,BT$7)-INDEX(c_TAXy,1,INDEX('Lease Cycles'!$GC$8:$GI$8,1,BT10)+1))+(INDEX(c_INSy,1,BT$7)-INDEX(c_INSy,1,INDEX('Lease Cycles'!$GC$8:$GI$8,1,BT10)+1)))/12)</f>
        <v>0</v>
      </c>
      <c r="BU21" s="28">
        <f>IF(BU20=0,0,BU20*MAX(0,(INDEX(c_CAMy,1,BU$7)-INDEX(c_CAMy,1,INDEX('Lease Cycles'!$GC$8:$GI$8,1,BU10)+1))*(1+'Lease Cycles'!$AK$8)+(INDEX(c_TAXy,1,BU$7)-INDEX(c_TAXy,1,INDEX('Lease Cycles'!$GC$8:$GI$8,1,BU10)+1))+(INDEX(c_INSy,1,BU$7)-INDEX(c_INSy,1,INDEX('Lease Cycles'!$GC$8:$GI$8,1,BU10)+1)))/12)</f>
        <v>0</v>
      </c>
      <c r="BV21" s="28">
        <f>IF(BV20=0,0,BV20*MAX(0,(INDEX(c_CAMy,1,BV$7)-INDEX(c_CAMy,1,INDEX('Lease Cycles'!$GC$8:$GI$8,1,BV10)+1))*(1+'Lease Cycles'!$AK$8)+(INDEX(c_TAXy,1,BV$7)-INDEX(c_TAXy,1,INDEX('Lease Cycles'!$GC$8:$GI$8,1,BV10)+1))+(INDEX(c_INSy,1,BV$7)-INDEX(c_INSy,1,INDEX('Lease Cycles'!$GC$8:$GI$8,1,BV10)+1)))/12)</f>
        <v>0</v>
      </c>
      <c r="BW21" s="28">
        <f>IF(BW20=0,0,BW20*MAX(0,(INDEX(c_CAMy,1,BW$7)-INDEX(c_CAMy,1,INDEX('Lease Cycles'!$GC$8:$GI$8,1,BW10)+1))*(1+'Lease Cycles'!$AK$8)+(INDEX(c_TAXy,1,BW$7)-INDEX(c_TAXy,1,INDEX('Lease Cycles'!$GC$8:$GI$8,1,BW10)+1))+(INDEX(c_INSy,1,BW$7)-INDEX(c_INSy,1,INDEX('Lease Cycles'!$GC$8:$GI$8,1,BW10)+1)))/12)</f>
        <v>0</v>
      </c>
      <c r="BX21" s="28">
        <f>IF(BX20=0,0,BX20*MAX(0,(INDEX(c_CAMy,1,BX$7)-INDEX(c_CAMy,1,INDEX('Lease Cycles'!$GC$8:$GI$8,1,BX10)+1))*(1+'Lease Cycles'!$AK$8)+(INDEX(c_TAXy,1,BX$7)-INDEX(c_TAXy,1,INDEX('Lease Cycles'!$GC$8:$GI$8,1,BX10)+1))+(INDEX(c_INSy,1,BX$7)-INDEX(c_INSy,1,INDEX('Lease Cycles'!$GC$8:$GI$8,1,BX10)+1)))/12)</f>
        <v>0</v>
      </c>
      <c r="BY21" s="28">
        <f>IF(BY20=0,0,BY20*MAX(0,(INDEX(c_CAMy,1,BY$7)-INDEX(c_CAMy,1,INDEX('Lease Cycles'!$GC$8:$GI$8,1,BY10)+1))*(1+'Lease Cycles'!$AK$8)+(INDEX(c_TAXy,1,BY$7)-INDEX(c_TAXy,1,INDEX('Lease Cycles'!$GC$8:$GI$8,1,BY10)+1))+(INDEX(c_INSy,1,BY$7)-INDEX(c_INSy,1,INDEX('Lease Cycles'!$GC$8:$GI$8,1,BY10)+1)))/12)</f>
        <v>0</v>
      </c>
      <c r="BZ21" s="28">
        <f>IF(BZ20=0,0,BZ20*MAX(0,(INDEX(c_CAMy,1,BZ$7)-INDEX(c_CAMy,1,INDEX('Lease Cycles'!$GC$8:$GI$8,1,BZ10)+1))*(1+'Lease Cycles'!$AK$8)+(INDEX(c_TAXy,1,BZ$7)-INDEX(c_TAXy,1,INDEX('Lease Cycles'!$GC$8:$GI$8,1,BZ10)+1))+(INDEX(c_INSy,1,BZ$7)-INDEX(c_INSy,1,INDEX('Lease Cycles'!$GC$8:$GI$8,1,BZ10)+1)))/12)</f>
        <v>0</v>
      </c>
      <c r="CA21" s="28">
        <f>IF(CA20=0,0,CA20*MAX(0,(INDEX(c_CAMy,1,CA$7)-INDEX(c_CAMy,1,INDEX('Lease Cycles'!$GC$8:$GI$8,1,CA10)+1))*(1+'Lease Cycles'!$AK$8)+(INDEX(c_TAXy,1,CA$7)-INDEX(c_TAXy,1,INDEX('Lease Cycles'!$GC$8:$GI$8,1,CA10)+1))+(INDEX(c_INSy,1,CA$7)-INDEX(c_INSy,1,INDEX('Lease Cycles'!$GC$8:$GI$8,1,CA10)+1)))/12)</f>
        <v>0</v>
      </c>
      <c r="CB21" s="28">
        <f>IF(CB20=0,0,CB20*MAX(0,(INDEX(c_CAMy,1,CB$7)-INDEX(c_CAMy,1,INDEX('Lease Cycles'!$GC$8:$GI$8,1,CB10)+1))*(1+'Lease Cycles'!$AK$8)+(INDEX(c_TAXy,1,CB$7)-INDEX(c_TAXy,1,INDEX('Lease Cycles'!$GC$8:$GI$8,1,CB10)+1))+(INDEX(c_INSy,1,CB$7)-INDEX(c_INSy,1,INDEX('Lease Cycles'!$GC$8:$GI$8,1,CB10)+1)))/12)</f>
        <v>0</v>
      </c>
      <c r="CC21" s="28">
        <f>IF(CC20=0,0,CC20*MAX(0,(INDEX(c_CAMy,1,CC$7)-INDEX(c_CAMy,1,INDEX('Lease Cycles'!$GC$8:$GI$8,1,CC10)+1))*(1+'Lease Cycles'!$AK$8)+(INDEX(c_TAXy,1,CC$7)-INDEX(c_TAXy,1,INDEX('Lease Cycles'!$GC$8:$GI$8,1,CC10)+1))+(INDEX(c_INSy,1,CC$7)-INDEX(c_INSy,1,INDEX('Lease Cycles'!$GC$8:$GI$8,1,CC10)+1)))/12)</f>
        <v>0</v>
      </c>
      <c r="CD21" s="28">
        <f>IF(CD20=0,0,CD20*MAX(0,(INDEX(c_CAMy,1,CD$7)-INDEX(c_CAMy,1,INDEX('Lease Cycles'!$GC$8:$GI$8,1,CD10)+1))*(1+'Lease Cycles'!$AK$8)+(INDEX(c_TAXy,1,CD$7)-INDEX(c_TAXy,1,INDEX('Lease Cycles'!$GC$8:$GI$8,1,CD10)+1))+(INDEX(c_INSy,1,CD$7)-INDEX(c_INSy,1,INDEX('Lease Cycles'!$GC$8:$GI$8,1,CD10)+1)))/12)</f>
        <v>0</v>
      </c>
      <c r="CE21" s="28">
        <f>IF(CE20=0,0,CE20*MAX(0,(INDEX(c_CAMy,1,CE$7)-INDEX(c_CAMy,1,INDEX('Lease Cycles'!$GC$8:$GI$8,1,CE10)+1))*(1+'Lease Cycles'!$AK$8)+(INDEX(c_TAXy,1,CE$7)-INDEX(c_TAXy,1,INDEX('Lease Cycles'!$GC$8:$GI$8,1,CE10)+1))+(INDEX(c_INSy,1,CE$7)-INDEX(c_INSy,1,INDEX('Lease Cycles'!$GC$8:$GI$8,1,CE10)+1)))/12)</f>
        <v>0</v>
      </c>
      <c r="CF21" s="28">
        <f>IF(CF20=0,0,CF20*MAX(0,(INDEX(c_CAMy,1,CF$7)-INDEX(c_CAMy,1,INDEX('Lease Cycles'!$GC$8:$GI$8,1,CF10)+1))*(1+'Lease Cycles'!$AK$8)+(INDEX(c_TAXy,1,CF$7)-INDEX(c_TAXy,1,INDEX('Lease Cycles'!$GC$8:$GI$8,1,CF10)+1))+(INDEX(c_INSy,1,CF$7)-INDEX(c_INSy,1,INDEX('Lease Cycles'!$GC$8:$GI$8,1,CF10)+1)))/12)</f>
        <v>0</v>
      </c>
      <c r="CG21" s="28">
        <f>IF(CG20=0,0,CG20*MAX(0,(INDEX(c_CAMy,1,CG$7)-INDEX(c_CAMy,1,INDEX('Lease Cycles'!$GC$8:$GI$8,1,CG10)+1))*(1+'Lease Cycles'!$AK$8)+(INDEX(c_TAXy,1,CG$7)-INDEX(c_TAXy,1,INDEX('Lease Cycles'!$GC$8:$GI$8,1,CG10)+1))+(INDEX(c_INSy,1,CG$7)-INDEX(c_INSy,1,INDEX('Lease Cycles'!$GC$8:$GI$8,1,CG10)+1)))/12)</f>
        <v>0</v>
      </c>
      <c r="CH21" s="28">
        <f>IF(CH20=0,0,CH20*MAX(0,(INDEX(c_CAMy,1,CH$7)-INDEX(c_CAMy,1,INDEX('Lease Cycles'!$GC$8:$GI$8,1,CH10)+1))*(1+'Lease Cycles'!$AK$8)+(INDEX(c_TAXy,1,CH$7)-INDEX(c_TAXy,1,INDEX('Lease Cycles'!$GC$8:$GI$8,1,CH10)+1))+(INDEX(c_INSy,1,CH$7)-INDEX(c_INSy,1,INDEX('Lease Cycles'!$GC$8:$GI$8,1,CH10)+1)))/12)</f>
        <v>0</v>
      </c>
      <c r="CI21" s="28">
        <f>IF(CI20=0,0,CI20*MAX(0,(INDEX(c_CAMy,1,CI$7)-INDEX(c_CAMy,1,INDEX('Lease Cycles'!$GC$8:$GI$8,1,CI10)+1))*(1+'Lease Cycles'!$AK$8)+(INDEX(c_TAXy,1,CI$7)-INDEX(c_TAXy,1,INDEX('Lease Cycles'!$GC$8:$GI$8,1,CI10)+1))+(INDEX(c_INSy,1,CI$7)-INDEX(c_INSy,1,INDEX('Lease Cycles'!$GC$8:$GI$8,1,CI10)+1)))/12)</f>
        <v>0</v>
      </c>
      <c r="CJ21" s="28">
        <f>IF(CJ20=0,0,CJ20*MAX(0,(INDEX(c_CAMy,1,CJ$7)-INDEX(c_CAMy,1,INDEX('Lease Cycles'!$GC$8:$GI$8,1,CJ10)+1))*(1+'Lease Cycles'!$AK$8)+(INDEX(c_TAXy,1,CJ$7)-INDEX(c_TAXy,1,INDEX('Lease Cycles'!$GC$8:$GI$8,1,CJ10)+1))+(INDEX(c_INSy,1,CJ$7)-INDEX(c_INSy,1,INDEX('Lease Cycles'!$GC$8:$GI$8,1,CJ10)+1)))/12)</f>
        <v>0</v>
      </c>
      <c r="CK21" s="28">
        <f>IF(CK20=0,0,CK20*MAX(0,(INDEX(c_CAMy,1,CK$7)-INDEX(c_CAMy,1,INDEX('Lease Cycles'!$GC$8:$GI$8,1,CK10)+1))*(1+'Lease Cycles'!$AK$8)+(INDEX(c_TAXy,1,CK$7)-INDEX(c_TAXy,1,INDEX('Lease Cycles'!$GC$8:$GI$8,1,CK10)+1))+(INDEX(c_INSy,1,CK$7)-INDEX(c_INSy,1,INDEX('Lease Cycles'!$GC$8:$GI$8,1,CK10)+1)))/12)</f>
        <v>0</v>
      </c>
      <c r="CL21" s="28">
        <f>IF(CL20=0,0,CL20*MAX(0,(INDEX(c_CAMy,1,CL$7)-INDEX(c_CAMy,1,INDEX('Lease Cycles'!$GC$8:$GI$8,1,CL10)+1))*(1+'Lease Cycles'!$AK$8)+(INDEX(c_TAXy,1,CL$7)-INDEX(c_TAXy,1,INDEX('Lease Cycles'!$GC$8:$GI$8,1,CL10)+1))+(INDEX(c_INSy,1,CL$7)-INDEX(c_INSy,1,INDEX('Lease Cycles'!$GC$8:$GI$8,1,CL10)+1)))/12)</f>
        <v>0</v>
      </c>
      <c r="CM21" s="28">
        <f>IF(CM20=0,0,CM20*MAX(0,(INDEX(c_CAMy,1,CM$7)-INDEX(c_CAMy,1,INDEX('Lease Cycles'!$GC$8:$GI$8,1,CM10)+1))*(1+'Lease Cycles'!$AK$8)+(INDEX(c_TAXy,1,CM$7)-INDEX(c_TAXy,1,INDEX('Lease Cycles'!$GC$8:$GI$8,1,CM10)+1))+(INDEX(c_INSy,1,CM$7)-INDEX(c_INSy,1,INDEX('Lease Cycles'!$GC$8:$GI$8,1,CM10)+1)))/12)</f>
        <v>0</v>
      </c>
      <c r="CN21" s="28">
        <f>IF(CN20=0,0,CN20*MAX(0,(INDEX(c_CAMy,1,CN$7)-INDEX(c_CAMy,1,INDEX('Lease Cycles'!$GC$8:$GI$8,1,CN10)+1))*(1+'Lease Cycles'!$AK$8)+(INDEX(c_TAXy,1,CN$7)-INDEX(c_TAXy,1,INDEX('Lease Cycles'!$GC$8:$GI$8,1,CN10)+1))+(INDEX(c_INSy,1,CN$7)-INDEX(c_INSy,1,INDEX('Lease Cycles'!$GC$8:$GI$8,1,CN10)+1)))/12)</f>
        <v>0</v>
      </c>
      <c r="CO21" s="28">
        <f>IF(CO20=0,0,CO20*MAX(0,(INDEX(c_CAMy,1,CO$7)-INDEX(c_CAMy,1,INDEX('Lease Cycles'!$GC$8:$GI$8,1,CO10)+1))*(1+'Lease Cycles'!$AK$8)+(INDEX(c_TAXy,1,CO$7)-INDEX(c_TAXy,1,INDEX('Lease Cycles'!$GC$8:$GI$8,1,CO10)+1))+(INDEX(c_INSy,1,CO$7)-INDEX(c_INSy,1,INDEX('Lease Cycles'!$GC$8:$GI$8,1,CO10)+1)))/12)</f>
        <v>0</v>
      </c>
      <c r="CP21" s="28">
        <f>IF(CP20=0,0,CP20*MAX(0,(INDEX(c_CAMy,1,CP$7)-INDEX(c_CAMy,1,INDEX('Lease Cycles'!$GC$8:$GI$8,1,CP10)+1))*(1+'Lease Cycles'!$AK$8)+(INDEX(c_TAXy,1,CP$7)-INDEX(c_TAXy,1,INDEX('Lease Cycles'!$GC$8:$GI$8,1,CP10)+1))+(INDEX(c_INSy,1,CP$7)-INDEX(c_INSy,1,INDEX('Lease Cycles'!$GC$8:$GI$8,1,CP10)+1)))/12)</f>
        <v>0</v>
      </c>
      <c r="CQ21" s="28">
        <f>IF(CQ20=0,0,CQ20*MAX(0,(INDEX(c_CAMy,1,CQ$7)-INDEX(c_CAMy,1,INDEX('Lease Cycles'!$GC$8:$GI$8,1,CQ10)+1))*(1+'Lease Cycles'!$AK$8)+(INDEX(c_TAXy,1,CQ$7)-INDEX(c_TAXy,1,INDEX('Lease Cycles'!$GC$8:$GI$8,1,CQ10)+1))+(INDEX(c_INSy,1,CQ$7)-INDEX(c_INSy,1,INDEX('Lease Cycles'!$GC$8:$GI$8,1,CQ10)+1)))/12)</f>
        <v>0</v>
      </c>
      <c r="CR21" s="28">
        <f>IF(CR20=0,0,CR20*MAX(0,(INDEX(c_CAMy,1,CR$7)-INDEX(c_CAMy,1,INDEX('Lease Cycles'!$GC$8:$GI$8,1,CR10)+1))*(1+'Lease Cycles'!$AK$8)+(INDEX(c_TAXy,1,CR$7)-INDEX(c_TAXy,1,INDEX('Lease Cycles'!$GC$8:$GI$8,1,CR10)+1))+(INDEX(c_INSy,1,CR$7)-INDEX(c_INSy,1,INDEX('Lease Cycles'!$GC$8:$GI$8,1,CR10)+1)))/12)</f>
        <v>0</v>
      </c>
      <c r="CS21" s="28">
        <f>IF(CS20=0,0,CS20*MAX(0,(INDEX(c_CAMy,1,CS$7)-INDEX(c_CAMy,1,INDEX('Lease Cycles'!$GC$8:$GI$8,1,CS10)+1))*(1+'Lease Cycles'!$AK$8)+(INDEX(c_TAXy,1,CS$7)-INDEX(c_TAXy,1,INDEX('Lease Cycles'!$GC$8:$GI$8,1,CS10)+1))+(INDEX(c_INSy,1,CS$7)-INDEX(c_INSy,1,INDEX('Lease Cycles'!$GC$8:$GI$8,1,CS10)+1)))/12)</f>
        <v>0</v>
      </c>
      <c r="CT21" s="28">
        <f>IF(CT20=0,0,CT20*MAX(0,(INDEX(c_CAMy,1,CT$7)-INDEX(c_CAMy,1,INDEX('Lease Cycles'!$GC$8:$GI$8,1,CT10)+1))*(1+'Lease Cycles'!$AK$8)+(INDEX(c_TAXy,1,CT$7)-INDEX(c_TAXy,1,INDEX('Lease Cycles'!$GC$8:$GI$8,1,CT10)+1))+(INDEX(c_INSy,1,CT$7)-INDEX(c_INSy,1,INDEX('Lease Cycles'!$GC$8:$GI$8,1,CT10)+1)))/12)</f>
        <v>0</v>
      </c>
      <c r="CU21" s="28">
        <f>IF(CU20=0,0,CU20*MAX(0,(INDEX(c_CAMy,1,CU$7)-INDEX(c_CAMy,1,INDEX('Lease Cycles'!$GC$8:$GI$8,1,CU10)+1))*(1+'Lease Cycles'!$AK$8)+(INDEX(c_TAXy,1,CU$7)-INDEX(c_TAXy,1,INDEX('Lease Cycles'!$GC$8:$GI$8,1,CU10)+1))+(INDEX(c_INSy,1,CU$7)-INDEX(c_INSy,1,INDEX('Lease Cycles'!$GC$8:$GI$8,1,CU10)+1)))/12)</f>
        <v>0</v>
      </c>
      <c r="CV21" s="28">
        <f>IF(CV20=0,0,CV20*MAX(0,(INDEX(c_CAMy,1,CV$7)-INDEX(c_CAMy,1,INDEX('Lease Cycles'!$GC$8:$GI$8,1,CV10)+1))*(1+'Lease Cycles'!$AK$8)+(INDEX(c_TAXy,1,CV$7)-INDEX(c_TAXy,1,INDEX('Lease Cycles'!$GC$8:$GI$8,1,CV10)+1))+(INDEX(c_INSy,1,CV$7)-INDEX(c_INSy,1,INDEX('Lease Cycles'!$GC$8:$GI$8,1,CV10)+1)))/12)</f>
        <v>0</v>
      </c>
      <c r="CW21" s="28">
        <f>IF(CW20=0,0,CW20*MAX(0,(INDEX(c_CAMy,1,CW$7)-INDEX(c_CAMy,1,INDEX('Lease Cycles'!$GC$8:$GI$8,1,CW10)+1))*(1+'Lease Cycles'!$AK$8)+(INDEX(c_TAXy,1,CW$7)-INDEX(c_TAXy,1,INDEX('Lease Cycles'!$GC$8:$GI$8,1,CW10)+1))+(INDEX(c_INSy,1,CW$7)-INDEX(c_INSy,1,INDEX('Lease Cycles'!$GC$8:$GI$8,1,CW10)+1)))/12)</f>
        <v>0</v>
      </c>
      <c r="CX21" s="28">
        <f>IF(CX20=0,0,CX20*MAX(0,(INDEX(c_CAMy,1,CX$7)-INDEX(c_CAMy,1,INDEX('Lease Cycles'!$GC$8:$GI$8,1,CX10)+1))*(1+'Lease Cycles'!$AK$8)+(INDEX(c_TAXy,1,CX$7)-INDEX(c_TAXy,1,INDEX('Lease Cycles'!$GC$8:$GI$8,1,CX10)+1))+(INDEX(c_INSy,1,CX$7)-INDEX(c_INSy,1,INDEX('Lease Cycles'!$GC$8:$GI$8,1,CX10)+1)))/12)</f>
        <v>0</v>
      </c>
      <c r="CY21" s="28">
        <f>IF(CY20=0,0,CY20*MAX(0,(INDEX(c_CAMy,1,CY$7)-INDEX(c_CAMy,1,INDEX('Lease Cycles'!$GC$8:$GI$8,1,CY10)+1))*(1+'Lease Cycles'!$AK$8)+(INDEX(c_TAXy,1,CY$7)-INDEX(c_TAXy,1,INDEX('Lease Cycles'!$GC$8:$GI$8,1,CY10)+1))+(INDEX(c_INSy,1,CY$7)-INDEX(c_INSy,1,INDEX('Lease Cycles'!$GC$8:$GI$8,1,CY10)+1)))/12)</f>
        <v>0</v>
      </c>
      <c r="CZ21" s="28">
        <f>IF(CZ20=0,0,CZ20*MAX(0,(INDEX(c_CAMy,1,CZ$7)-INDEX(c_CAMy,1,INDEX('Lease Cycles'!$GC$8:$GI$8,1,CZ10)+1))*(1+'Lease Cycles'!$AK$8)+(INDEX(c_TAXy,1,CZ$7)-INDEX(c_TAXy,1,INDEX('Lease Cycles'!$GC$8:$GI$8,1,CZ10)+1))+(INDEX(c_INSy,1,CZ$7)-INDEX(c_INSy,1,INDEX('Lease Cycles'!$GC$8:$GI$8,1,CZ10)+1)))/12)</f>
        <v>0</v>
      </c>
      <c r="DA21" s="28">
        <f>IF(DA20=0,0,DA20*MAX(0,(INDEX(c_CAMy,1,DA$7)-INDEX(c_CAMy,1,INDEX('Lease Cycles'!$GC$8:$GI$8,1,DA10)+1))*(1+'Lease Cycles'!$AK$8)+(INDEX(c_TAXy,1,DA$7)-INDEX(c_TAXy,1,INDEX('Lease Cycles'!$GC$8:$GI$8,1,DA10)+1))+(INDEX(c_INSy,1,DA$7)-INDEX(c_INSy,1,INDEX('Lease Cycles'!$GC$8:$GI$8,1,DA10)+1)))/12)</f>
        <v>0</v>
      </c>
      <c r="DB21" s="28">
        <f>IF(DB20=0,0,DB20*MAX(0,(INDEX(c_CAMy,1,DB$7)-INDEX(c_CAMy,1,INDEX('Lease Cycles'!$GC$8:$GI$8,1,DB10)+1))*(1+'Lease Cycles'!$AK$8)+(INDEX(c_TAXy,1,DB$7)-INDEX(c_TAXy,1,INDEX('Lease Cycles'!$GC$8:$GI$8,1,DB10)+1))+(INDEX(c_INSy,1,DB$7)-INDEX(c_INSy,1,INDEX('Lease Cycles'!$GC$8:$GI$8,1,DB10)+1)))/12)</f>
        <v>0</v>
      </c>
      <c r="DC21" s="28">
        <f>IF(DC20=0,0,DC20*MAX(0,(INDEX(c_CAMy,1,DC$7)-INDEX(c_CAMy,1,INDEX('Lease Cycles'!$GC$8:$GI$8,1,DC10)+1))*(1+'Lease Cycles'!$AK$8)+(INDEX(c_TAXy,1,DC$7)-INDEX(c_TAXy,1,INDEX('Lease Cycles'!$GC$8:$GI$8,1,DC10)+1))+(INDEX(c_INSy,1,DC$7)-INDEX(c_INSy,1,INDEX('Lease Cycles'!$GC$8:$GI$8,1,DC10)+1)))/12)</f>
        <v>0</v>
      </c>
      <c r="DD21" s="28">
        <f>IF(DD20=0,0,DD20*MAX(0,(INDEX(c_CAMy,1,DD$7)-INDEX(c_CAMy,1,INDEX('Lease Cycles'!$GC$8:$GI$8,1,DD10)+1))*(1+'Lease Cycles'!$AK$8)+(INDEX(c_TAXy,1,DD$7)-INDEX(c_TAXy,1,INDEX('Lease Cycles'!$GC$8:$GI$8,1,DD10)+1))+(INDEX(c_INSy,1,DD$7)-INDEX(c_INSy,1,INDEX('Lease Cycles'!$GC$8:$GI$8,1,DD10)+1)))/12)</f>
        <v>0</v>
      </c>
      <c r="DE21" s="28">
        <f>IF(DE20=0,0,DE20*MAX(0,(INDEX(c_CAMy,1,DE$7)-INDEX(c_CAMy,1,INDEX('Lease Cycles'!$GC$8:$GI$8,1,DE10)+1))*(1+'Lease Cycles'!$AK$8)+(INDEX(c_TAXy,1,DE$7)-INDEX(c_TAXy,1,INDEX('Lease Cycles'!$GC$8:$GI$8,1,DE10)+1))+(INDEX(c_INSy,1,DE$7)-INDEX(c_INSy,1,INDEX('Lease Cycles'!$GC$8:$GI$8,1,DE10)+1)))/12)</f>
        <v>0</v>
      </c>
      <c r="DF21" s="28">
        <f>IF(DF20=0,0,DF20*MAX(0,(INDEX(c_CAMy,1,DF$7)-INDEX(c_CAMy,1,INDEX('Lease Cycles'!$GC$8:$GI$8,1,DF10)+1))*(1+'Lease Cycles'!$AK$8)+(INDEX(c_TAXy,1,DF$7)-INDEX(c_TAXy,1,INDEX('Lease Cycles'!$GC$8:$GI$8,1,DF10)+1))+(INDEX(c_INSy,1,DF$7)-INDEX(c_INSy,1,INDEX('Lease Cycles'!$GC$8:$GI$8,1,DF10)+1)))/12)</f>
        <v>0</v>
      </c>
      <c r="DG21" s="28">
        <f>IF(DG20=0,0,DG20*MAX(0,(INDEX(c_CAMy,1,DG$7)-INDEX(c_CAMy,1,INDEX('Lease Cycles'!$GC$8:$GI$8,1,DG10)+1))*(1+'Lease Cycles'!$AK$8)+(INDEX(c_TAXy,1,DG$7)-INDEX(c_TAXy,1,INDEX('Lease Cycles'!$GC$8:$GI$8,1,DG10)+1))+(INDEX(c_INSy,1,DG$7)-INDEX(c_INSy,1,INDEX('Lease Cycles'!$GC$8:$GI$8,1,DG10)+1)))/12)</f>
        <v>0</v>
      </c>
      <c r="DH21" s="28">
        <f>IF(DH20=0,0,DH20*MAX(0,(INDEX(c_CAMy,1,DH$7)-INDEX(c_CAMy,1,INDEX('Lease Cycles'!$GC$8:$GI$8,1,DH10)+1))*(1+'Lease Cycles'!$AK$8)+(INDEX(c_TAXy,1,DH$7)-INDEX(c_TAXy,1,INDEX('Lease Cycles'!$GC$8:$GI$8,1,DH10)+1))+(INDEX(c_INSy,1,DH$7)-INDEX(c_INSy,1,INDEX('Lease Cycles'!$GC$8:$GI$8,1,DH10)+1)))/12)</f>
        <v>0</v>
      </c>
      <c r="DI21" s="28">
        <f>IF(DI20=0,0,DI20*MAX(0,(INDEX(c_CAMy,1,DI$7)-INDEX(c_CAMy,1,INDEX('Lease Cycles'!$GC$8:$GI$8,1,DI10)+1))*(1+'Lease Cycles'!$AK$8)+(INDEX(c_TAXy,1,DI$7)-INDEX(c_TAXy,1,INDEX('Lease Cycles'!$GC$8:$GI$8,1,DI10)+1))+(INDEX(c_INSy,1,DI$7)-INDEX(c_INSy,1,INDEX('Lease Cycles'!$GC$8:$GI$8,1,DI10)+1)))/12)</f>
        <v>0</v>
      </c>
      <c r="DJ21" s="28">
        <f>IF(DJ20=0,0,DJ20*MAX(0,(INDEX(c_CAMy,1,DJ$7)-INDEX(c_CAMy,1,INDEX('Lease Cycles'!$GC$8:$GI$8,1,DJ10)+1))*(1+'Lease Cycles'!$AK$8)+(INDEX(c_TAXy,1,DJ$7)-INDEX(c_TAXy,1,INDEX('Lease Cycles'!$GC$8:$GI$8,1,DJ10)+1))+(INDEX(c_INSy,1,DJ$7)-INDEX(c_INSy,1,INDEX('Lease Cycles'!$GC$8:$GI$8,1,DJ10)+1)))/12)</f>
        <v>0</v>
      </c>
      <c r="DK21" s="28">
        <f>IF(DK20=0,0,DK20*MAX(0,(INDEX(c_CAMy,1,DK$7)-INDEX(c_CAMy,1,INDEX('Lease Cycles'!$GC$8:$GI$8,1,DK10)+1))*(1+'Lease Cycles'!$AK$8)+(INDEX(c_TAXy,1,DK$7)-INDEX(c_TAXy,1,INDEX('Lease Cycles'!$GC$8:$GI$8,1,DK10)+1))+(INDEX(c_INSy,1,DK$7)-INDEX(c_INSy,1,INDEX('Lease Cycles'!$GC$8:$GI$8,1,DK10)+1)))/12)</f>
        <v>0</v>
      </c>
      <c r="DL21" s="28">
        <f>IF(DL20=0,0,DL20*MAX(0,(INDEX(c_CAMy,1,DL$7)-INDEX(c_CAMy,1,INDEX('Lease Cycles'!$GC$8:$GI$8,1,DL10)+1))*(1+'Lease Cycles'!$AK$8)+(INDEX(c_TAXy,1,DL$7)-INDEX(c_TAXy,1,INDEX('Lease Cycles'!$GC$8:$GI$8,1,DL10)+1))+(INDEX(c_INSy,1,DL$7)-INDEX(c_INSy,1,INDEX('Lease Cycles'!$GC$8:$GI$8,1,DL10)+1)))/12)</f>
        <v>0</v>
      </c>
      <c r="DM21" s="28">
        <f>IF(DM20=0,0,DM20*MAX(0,(INDEX(c_CAMy,1,DM$7)-INDEX(c_CAMy,1,INDEX('Lease Cycles'!$GC$8:$GI$8,1,DM10)+1))*(1+'Lease Cycles'!$AK$8)+(INDEX(c_TAXy,1,DM$7)-INDEX(c_TAXy,1,INDEX('Lease Cycles'!$GC$8:$GI$8,1,DM10)+1))+(INDEX(c_INSy,1,DM$7)-INDEX(c_INSy,1,INDEX('Lease Cycles'!$GC$8:$GI$8,1,DM10)+1)))/12)</f>
        <v>0</v>
      </c>
      <c r="DN21" s="28">
        <f>IF(DN20=0,0,DN20*MAX(0,(INDEX(c_CAMy,1,DN$7)-INDEX(c_CAMy,1,INDEX('Lease Cycles'!$GC$8:$GI$8,1,DN10)+1))*(1+'Lease Cycles'!$AK$8)+(INDEX(c_TAXy,1,DN$7)-INDEX(c_TAXy,1,INDEX('Lease Cycles'!$GC$8:$GI$8,1,DN10)+1))+(INDEX(c_INSy,1,DN$7)-INDEX(c_INSy,1,INDEX('Lease Cycles'!$GC$8:$GI$8,1,DN10)+1)))/12)</f>
        <v>0</v>
      </c>
      <c r="DO21" s="28">
        <f>IF(DO20=0,0,DO20*MAX(0,(INDEX(c_CAMy,1,DO$7)-INDEX(c_CAMy,1,INDEX('Lease Cycles'!$GC$8:$GI$8,1,DO10)+1))*(1+'Lease Cycles'!$AK$8)+(INDEX(c_TAXy,1,DO$7)-INDEX(c_TAXy,1,INDEX('Lease Cycles'!$GC$8:$GI$8,1,DO10)+1))+(INDEX(c_INSy,1,DO$7)-INDEX(c_INSy,1,INDEX('Lease Cycles'!$GC$8:$GI$8,1,DO10)+1)))/12)</f>
        <v>0</v>
      </c>
      <c r="DP21" s="28">
        <f>IF(DP20=0,0,DP20*MAX(0,(INDEX(c_CAMy,1,DP$7)-INDEX(c_CAMy,1,INDEX('Lease Cycles'!$GC$8:$GI$8,1,DP10)+1))*(1+'Lease Cycles'!$AK$8)+(INDEX(c_TAXy,1,DP$7)-INDEX(c_TAXy,1,INDEX('Lease Cycles'!$GC$8:$GI$8,1,DP10)+1))+(INDEX(c_INSy,1,DP$7)-INDEX(c_INSy,1,INDEX('Lease Cycles'!$GC$8:$GI$8,1,DP10)+1)))/12)</f>
        <v>0</v>
      </c>
      <c r="DQ21" s="28">
        <f>IF(DQ20=0,0,DQ20*MAX(0,(INDEX(c_CAMy,1,DQ$7)-INDEX(c_CAMy,1,INDEX('Lease Cycles'!$GC$8:$GI$8,1,DQ10)+1))*(1+'Lease Cycles'!$AK$8)+(INDEX(c_TAXy,1,DQ$7)-INDEX(c_TAXy,1,INDEX('Lease Cycles'!$GC$8:$GI$8,1,DQ10)+1))+(INDEX(c_INSy,1,DQ$7)-INDEX(c_INSy,1,INDEX('Lease Cycles'!$GC$8:$GI$8,1,DQ10)+1)))/12)</f>
        <v>0</v>
      </c>
      <c r="DR21" s="28">
        <f>IF(DR20=0,0,DR20*MAX(0,(INDEX(c_CAMy,1,DR$7)-INDEX(c_CAMy,1,INDEX('Lease Cycles'!$GC$8:$GI$8,1,DR10)+1))*(1+'Lease Cycles'!$AK$8)+(INDEX(c_TAXy,1,DR$7)-INDEX(c_TAXy,1,INDEX('Lease Cycles'!$GC$8:$GI$8,1,DR10)+1))+(INDEX(c_INSy,1,DR$7)-INDEX(c_INSy,1,INDEX('Lease Cycles'!$GC$8:$GI$8,1,DR10)+1)))/12)</f>
        <v>0</v>
      </c>
      <c r="DS21" s="28">
        <f>IF(DS20=0,0,DS20*MAX(0,(INDEX(c_CAMy,1,DS$7)-INDEX(c_CAMy,1,INDEX('Lease Cycles'!$GC$8:$GI$8,1,DS10)+1))*(1+'Lease Cycles'!$AK$8)+(INDEX(c_TAXy,1,DS$7)-INDEX(c_TAXy,1,INDEX('Lease Cycles'!$GC$8:$GI$8,1,DS10)+1))+(INDEX(c_INSy,1,DS$7)-INDEX(c_INSy,1,INDEX('Lease Cycles'!$GC$8:$GI$8,1,DS10)+1)))/12)</f>
        <v>0</v>
      </c>
      <c r="DT21" s="28">
        <f>IF(DT20=0,0,DT20*MAX(0,(INDEX(c_CAMy,1,DT$7)-INDEX(c_CAMy,1,INDEX('Lease Cycles'!$GC$8:$GI$8,1,DT10)+1))*(1+'Lease Cycles'!$AK$8)+(INDEX(c_TAXy,1,DT$7)-INDEX(c_TAXy,1,INDEX('Lease Cycles'!$GC$8:$GI$8,1,DT10)+1))+(INDEX(c_INSy,1,DT$7)-INDEX(c_INSy,1,INDEX('Lease Cycles'!$GC$8:$GI$8,1,DT10)+1)))/12)</f>
        <v>0</v>
      </c>
      <c r="DU21" s="28">
        <f>IF(DU20=0,0,DU20*MAX(0,(INDEX(c_CAMy,1,DU$7)-INDEX(c_CAMy,1,INDEX('Lease Cycles'!$GC$8:$GI$8,1,DU10)+1))*(1+'Lease Cycles'!$AK$8)+(INDEX(c_TAXy,1,DU$7)-INDEX(c_TAXy,1,INDEX('Lease Cycles'!$GC$8:$GI$8,1,DU10)+1))+(INDEX(c_INSy,1,DU$7)-INDEX(c_INSy,1,INDEX('Lease Cycles'!$GC$8:$GI$8,1,DU10)+1)))/12)</f>
        <v>0</v>
      </c>
      <c r="DV21" s="28">
        <f>IF(DV20=0,0,DV20*MAX(0,(INDEX(c_CAMy,1,DV$7)-INDEX(c_CAMy,1,INDEX('Lease Cycles'!$GC$8:$GI$8,1,DV10)+1))*(1+'Lease Cycles'!$AK$8)+(INDEX(c_TAXy,1,DV$7)-INDEX(c_TAXy,1,INDEX('Lease Cycles'!$GC$8:$GI$8,1,DV10)+1))+(INDEX(c_INSy,1,DV$7)-INDEX(c_INSy,1,INDEX('Lease Cycles'!$GC$8:$GI$8,1,DV10)+1)))/12)</f>
        <v>0</v>
      </c>
      <c r="DW21" s="28">
        <f>IF(DW20=0,0,DW20*MAX(0,(INDEX(c_CAMy,1,DW$7)-INDEX(c_CAMy,1,INDEX('Lease Cycles'!$GC$8:$GI$8,1,DW10)+1))*(1+'Lease Cycles'!$AK$8)+(INDEX(c_TAXy,1,DW$7)-INDEX(c_TAXy,1,INDEX('Lease Cycles'!$GC$8:$GI$8,1,DW10)+1))+(INDEX(c_INSy,1,DW$7)-INDEX(c_INSy,1,INDEX('Lease Cycles'!$GC$8:$GI$8,1,DW10)+1)))/12)</f>
        <v>0</v>
      </c>
      <c r="DX21" s="28">
        <f>IF(DX20=0,0,DX20*MAX(0,(INDEX(c_CAMy,1,DX$7)-INDEX(c_CAMy,1,INDEX('Lease Cycles'!$GC$8:$GI$8,1,DX10)+1))*(1+'Lease Cycles'!$AK$8)+(INDEX(c_TAXy,1,DX$7)-INDEX(c_TAXy,1,INDEX('Lease Cycles'!$GC$8:$GI$8,1,DX10)+1))+(INDEX(c_INSy,1,DX$7)-INDEX(c_INSy,1,INDEX('Lease Cycles'!$GC$8:$GI$8,1,DX10)+1)))/12)</f>
        <v>0</v>
      </c>
      <c r="DY21" s="28">
        <f>IF(DY20=0,0,DY20*MAX(0,(INDEX(c_CAMy,1,DY$7)-INDEX(c_CAMy,1,INDEX('Lease Cycles'!$GC$8:$GI$8,1,DY10)+1))*(1+'Lease Cycles'!$AK$8)+(INDEX(c_TAXy,1,DY$7)-INDEX(c_TAXy,1,INDEX('Lease Cycles'!$GC$8:$GI$8,1,DY10)+1))+(INDEX(c_INSy,1,DY$7)-INDEX(c_INSy,1,INDEX('Lease Cycles'!$GC$8:$GI$8,1,DY10)+1)))/12)</f>
        <v>0</v>
      </c>
      <c r="DZ21" s="28">
        <f>IF(DZ20=0,0,DZ20*MAX(0,(INDEX(c_CAMy,1,DZ$7)-INDEX(c_CAMy,1,INDEX('Lease Cycles'!$GC$8:$GI$8,1,DZ10)+1))*(1+'Lease Cycles'!$AK$8)+(INDEX(c_TAXy,1,DZ$7)-INDEX(c_TAXy,1,INDEX('Lease Cycles'!$GC$8:$GI$8,1,DZ10)+1))+(INDEX(c_INSy,1,DZ$7)-INDEX(c_INSy,1,INDEX('Lease Cycles'!$GC$8:$GI$8,1,DZ10)+1)))/12)</f>
        <v>0</v>
      </c>
      <c r="EA21" s="28">
        <f>IF(EA20=0,0,EA20*MAX(0,(INDEX(c_CAMy,1,EA$7)-INDEX(c_CAMy,1,INDEX('Lease Cycles'!$GC$8:$GI$8,1,EA10)+1))*(1+'Lease Cycles'!$AK$8)+(INDEX(c_TAXy,1,EA$7)-INDEX(c_TAXy,1,INDEX('Lease Cycles'!$GC$8:$GI$8,1,EA10)+1))+(INDEX(c_INSy,1,EA$7)-INDEX(c_INSy,1,INDEX('Lease Cycles'!$GC$8:$GI$8,1,EA10)+1)))/12)</f>
        <v>0</v>
      </c>
      <c r="EB21" s="28">
        <f>IF(EB20=0,0,EB20*MAX(0,(INDEX(c_CAMy,1,EB$7)-INDEX(c_CAMy,1,INDEX('Lease Cycles'!$GC$8:$GI$8,1,EB10)+1))*(1+'Lease Cycles'!$AK$8)+(INDEX(c_TAXy,1,EB$7)-INDEX(c_TAXy,1,INDEX('Lease Cycles'!$GC$8:$GI$8,1,EB10)+1))+(INDEX(c_INSy,1,EB$7)-INDEX(c_INSy,1,INDEX('Lease Cycles'!$GC$8:$GI$8,1,EB10)+1)))/12)</f>
        <v>0</v>
      </c>
      <c r="EC21" s="28">
        <f>IF(EC20=0,0,EC20*MAX(0,(INDEX(c_CAMy,1,EC$7)-INDEX(c_CAMy,1,INDEX('Lease Cycles'!$GC$8:$GI$8,1,EC10)+1))*(1+'Lease Cycles'!$AK$8)+(INDEX(c_TAXy,1,EC$7)-INDEX(c_TAXy,1,INDEX('Lease Cycles'!$GC$8:$GI$8,1,EC10)+1))+(INDEX(c_INSy,1,EC$7)-INDEX(c_INSy,1,INDEX('Lease Cycles'!$GC$8:$GI$8,1,EC10)+1)))/12)</f>
        <v>0</v>
      </c>
      <c r="ED21" s="28">
        <f>IF(ED20=0,0,ED20*MAX(0,(INDEX(c_CAMy,1,ED$7)-INDEX(c_CAMy,1,INDEX('Lease Cycles'!$GC$8:$GI$8,1,ED10)+1))*(1+'Lease Cycles'!$AK$8)+(INDEX(c_TAXy,1,ED$7)-INDEX(c_TAXy,1,INDEX('Lease Cycles'!$GC$8:$GI$8,1,ED10)+1))+(INDEX(c_INSy,1,ED$7)-INDEX(c_INSy,1,INDEX('Lease Cycles'!$GC$8:$GI$8,1,ED10)+1)))/12)</f>
        <v>0</v>
      </c>
      <c r="EE21" s="28">
        <f>IF(EE20=0,0,EE20*MAX(0,(INDEX(c_CAMy,1,EE$7)-INDEX(c_CAMy,1,INDEX('Lease Cycles'!$GC$8:$GI$8,1,EE10)+1))*(1+'Lease Cycles'!$AK$8)+(INDEX(c_TAXy,1,EE$7)-INDEX(c_TAXy,1,INDEX('Lease Cycles'!$GC$8:$GI$8,1,EE10)+1))+(INDEX(c_INSy,1,EE$7)-INDEX(c_INSy,1,INDEX('Lease Cycles'!$GC$8:$GI$8,1,EE10)+1)))/12)</f>
        <v>0</v>
      </c>
      <c r="EF21" s="28">
        <f>IF(EF20=0,0,EF20*MAX(0,(INDEX(c_CAMy,1,EF$7)-INDEX(c_CAMy,1,INDEX('Lease Cycles'!$GC$8:$GI$8,1,EF10)+1))*(1+'Lease Cycles'!$AK$8)+(INDEX(c_TAXy,1,EF$7)-INDEX(c_TAXy,1,INDEX('Lease Cycles'!$GC$8:$GI$8,1,EF10)+1))+(INDEX(c_INSy,1,EF$7)-INDEX(c_INSy,1,INDEX('Lease Cycles'!$GC$8:$GI$8,1,EF10)+1)))/12)</f>
        <v>0</v>
      </c>
      <c r="EG21" s="28">
        <f>IF(EG20=0,0,EG20*MAX(0,(INDEX(c_CAMy,1,EG$7)-INDEX(c_CAMy,1,INDEX('Lease Cycles'!$GC$8:$GI$8,1,EG10)+1))*(1+'Lease Cycles'!$AK$8)+(INDEX(c_TAXy,1,EG$7)-INDEX(c_TAXy,1,INDEX('Lease Cycles'!$GC$8:$GI$8,1,EG10)+1))+(INDEX(c_INSy,1,EG$7)-INDEX(c_INSy,1,INDEX('Lease Cycles'!$GC$8:$GI$8,1,EG10)+1)))/12)</f>
        <v>0</v>
      </c>
      <c r="EH21" s="28">
        <f>IF(EH20=0,0,EH20*MAX(0,(INDEX(c_CAMy,1,EH$7)-INDEX(c_CAMy,1,INDEX('Lease Cycles'!$GC$8:$GI$8,1,EH10)+1))*(1+'Lease Cycles'!$AK$8)+(INDEX(c_TAXy,1,EH$7)-INDEX(c_TAXy,1,INDEX('Lease Cycles'!$GC$8:$GI$8,1,EH10)+1))+(INDEX(c_INSy,1,EH$7)-INDEX(c_INSy,1,INDEX('Lease Cycles'!$GC$8:$GI$8,1,EH10)+1)))/12)</f>
        <v>0</v>
      </c>
      <c r="EI21" s="28">
        <f>IF(EI20=0,0,EI20*MAX(0,(INDEX(c_CAMy,1,EI$7)-INDEX(c_CAMy,1,INDEX('Lease Cycles'!$GC$8:$GI$8,1,EI10)+1))*(1+'Lease Cycles'!$AK$8)+(INDEX(c_TAXy,1,EI$7)-INDEX(c_TAXy,1,INDEX('Lease Cycles'!$GC$8:$GI$8,1,EI10)+1))+(INDEX(c_INSy,1,EI$7)-INDEX(c_INSy,1,INDEX('Lease Cycles'!$GC$8:$GI$8,1,EI10)+1)))/12)</f>
        <v>0</v>
      </c>
      <c r="EJ21" s="28">
        <f>IF(EJ20=0,0,EJ20*MAX(0,(INDEX(c_CAMy,1,EJ$7)-INDEX(c_CAMy,1,INDEX('Lease Cycles'!$GC$8:$GI$8,1,EJ10)+1))*(1+'Lease Cycles'!$AK$8)+(INDEX(c_TAXy,1,EJ$7)-INDEX(c_TAXy,1,INDEX('Lease Cycles'!$GC$8:$GI$8,1,EJ10)+1))+(INDEX(c_INSy,1,EJ$7)-INDEX(c_INSy,1,INDEX('Lease Cycles'!$GC$8:$GI$8,1,EJ10)+1)))/12)</f>
        <v>0</v>
      </c>
      <c r="EK21" s="28">
        <f>IF(EK20=0,0,EK20*MAX(0,(INDEX(c_CAMy,1,EK$7)-INDEX(c_CAMy,1,INDEX('Lease Cycles'!$GC$8:$GI$8,1,EK10)+1))*(1+'Lease Cycles'!$AK$8)+(INDEX(c_TAXy,1,EK$7)-INDEX(c_TAXy,1,INDEX('Lease Cycles'!$GC$8:$GI$8,1,EK10)+1))+(INDEX(c_INSy,1,EK$7)-INDEX(c_INSy,1,INDEX('Lease Cycles'!$GC$8:$GI$8,1,EK10)+1)))/12)</f>
        <v>0</v>
      </c>
      <c r="EL21" s="28">
        <f>IF(EL20=0,0,EL20*MAX(0,(INDEX(c_CAMy,1,EL$7)-INDEX(c_CAMy,1,INDEX('Lease Cycles'!$GC$8:$GI$8,1,EL10)+1))*(1+'Lease Cycles'!$AK$8)+(INDEX(c_TAXy,1,EL$7)-INDEX(c_TAXy,1,INDEX('Lease Cycles'!$GC$8:$GI$8,1,EL10)+1))+(INDEX(c_INSy,1,EL$7)-INDEX(c_INSy,1,INDEX('Lease Cycles'!$GC$8:$GI$8,1,EL10)+1)))/12)</f>
        <v>0</v>
      </c>
      <c r="EM21" s="28">
        <f>IF(EM20=0,0,EM20*MAX(0,(INDEX(c_CAMy,1,EM$7)-INDEX(c_CAMy,1,INDEX('Lease Cycles'!$GC$8:$GI$8,1,EM10)+1))*(1+'Lease Cycles'!$AK$8)+(INDEX(c_TAXy,1,EM$7)-INDEX(c_TAXy,1,INDEX('Lease Cycles'!$GC$8:$GI$8,1,EM10)+1))+(INDEX(c_INSy,1,EM$7)-INDEX(c_INSy,1,INDEX('Lease Cycles'!$GC$8:$GI$8,1,EM10)+1)))/12)</f>
        <v>0</v>
      </c>
      <c r="EN21" s="28">
        <f>IF(EN20=0,0,EN20*MAX(0,(INDEX(c_CAMy,1,EN$7)-INDEX(c_CAMy,1,INDEX('Lease Cycles'!$GC$8:$GI$8,1,EN10)+1))*(1+'Lease Cycles'!$AK$8)+(INDEX(c_TAXy,1,EN$7)-INDEX(c_TAXy,1,INDEX('Lease Cycles'!$GC$8:$GI$8,1,EN10)+1))+(INDEX(c_INSy,1,EN$7)-INDEX(c_INSy,1,INDEX('Lease Cycles'!$GC$8:$GI$8,1,EN10)+1)))/12)</f>
        <v>0</v>
      </c>
      <c r="EO21" s="28">
        <f>IF(EO20=0,0,EO20*MAX(0,(INDEX(c_CAMy,1,EO$7)-INDEX(c_CAMy,1,INDEX('Lease Cycles'!$GC$8:$GI$8,1,EO10)+1))*(1+'Lease Cycles'!$AK$8)+(INDEX(c_TAXy,1,EO$7)-INDEX(c_TAXy,1,INDEX('Lease Cycles'!$GC$8:$GI$8,1,EO10)+1))+(INDEX(c_INSy,1,EO$7)-INDEX(c_INSy,1,INDEX('Lease Cycles'!$GC$8:$GI$8,1,EO10)+1)))/12)</f>
        <v>0</v>
      </c>
      <c r="EP21" s="28">
        <f>IF(EP20=0,0,EP20*MAX(0,(INDEX(c_CAMy,1,EP$7)-INDEX(c_CAMy,1,INDEX('Lease Cycles'!$GC$8:$GI$8,1,EP10)+1))*(1+'Lease Cycles'!$AK$8)+(INDEX(c_TAXy,1,EP$7)-INDEX(c_TAXy,1,INDEX('Lease Cycles'!$GC$8:$GI$8,1,EP10)+1))+(INDEX(c_INSy,1,EP$7)-INDEX(c_INSy,1,INDEX('Lease Cycles'!$GC$8:$GI$8,1,EP10)+1)))/12)</f>
        <v>0</v>
      </c>
      <c r="EQ21" s="28">
        <f>IF(EQ20=0,0,EQ20*MAX(0,(INDEX(c_CAMy,1,EQ$7)-INDEX(c_CAMy,1,INDEX('Lease Cycles'!$GC$8:$GI$8,1,EQ10)+1))*(1+'Lease Cycles'!$AK$8)+(INDEX(c_TAXy,1,EQ$7)-INDEX(c_TAXy,1,INDEX('Lease Cycles'!$GC$8:$GI$8,1,EQ10)+1))+(INDEX(c_INSy,1,EQ$7)-INDEX(c_INSy,1,INDEX('Lease Cycles'!$GC$8:$GI$8,1,EQ10)+1)))/12)</f>
        <v>0</v>
      </c>
      <c r="ER21" s="28">
        <f>IF(ER20=0,0,ER20*MAX(0,(INDEX(c_CAMy,1,ER$7)-INDEX(c_CAMy,1,INDEX('Lease Cycles'!$GC$8:$GI$8,1,ER10)+1))*(1+'Lease Cycles'!$AK$8)+(INDEX(c_TAXy,1,ER$7)-INDEX(c_TAXy,1,INDEX('Lease Cycles'!$GC$8:$GI$8,1,ER10)+1))+(INDEX(c_INSy,1,ER$7)-INDEX(c_INSy,1,INDEX('Lease Cycles'!$GC$8:$GI$8,1,ER10)+1)))/12)</f>
        <v>0</v>
      </c>
      <c r="ES21" s="28">
        <f>IF(ES20=0,0,ES20*MAX(0,(INDEX(c_CAMy,1,ES$7)-INDEX(c_CAMy,1,INDEX('Lease Cycles'!$GC$8:$GI$8,1,ES10)+1))*(1+'Lease Cycles'!$AK$8)+(INDEX(c_TAXy,1,ES$7)-INDEX(c_TAXy,1,INDEX('Lease Cycles'!$GC$8:$GI$8,1,ES10)+1))+(INDEX(c_INSy,1,ES$7)-INDEX(c_INSy,1,INDEX('Lease Cycles'!$GC$8:$GI$8,1,ES10)+1)))/12)</f>
        <v>0</v>
      </c>
      <c r="ET21" s="28">
        <f>IF(ET20=0,0,ET20*MAX(0,(INDEX(c_CAMy,1,ET$7)-INDEX(c_CAMy,1,INDEX('Lease Cycles'!$GC$8:$GI$8,1,ET10)+1))*(1+'Lease Cycles'!$AK$8)+(INDEX(c_TAXy,1,ET$7)-INDEX(c_TAXy,1,INDEX('Lease Cycles'!$GC$8:$GI$8,1,ET10)+1))+(INDEX(c_INSy,1,ET$7)-INDEX(c_INSy,1,INDEX('Lease Cycles'!$GC$8:$GI$8,1,ET10)+1)))/12)</f>
        <v>0</v>
      </c>
    </row>
    <row r="22">
      <c r="A22" s="103">
        <v>1</v>
      </c>
      <c r="B22" s="23" t="str">
        <f>IF('Lease Cycles'!$B$8="","(empty slot)",'Lease Cycles'!$B$8)</f>
        <v>Fieldstone Grocery</v>
      </c>
      <c r="C22" s="23" t="s">
        <v>530</v>
      </c>
      <c r="D22" s="104" t="s">
        <v>531</v>
      </c>
      <c r="E22" s="25">
        <f>'Lease Cycles'!$AL$8</f>
        <v>1</v>
      </c>
      <c r="G22" s="28">
        <f>SUM(S22:AD22)</f>
        <v>0</v>
      </c>
      <c r="H22" s="28">
        <f>SUM(AE22:AP22)</f>
        <v>0</v>
      </c>
      <c r="I22" s="28">
        <f>SUM(AQ22:BB22)</f>
        <v>0</v>
      </c>
      <c r="J22" s="28">
        <f>SUM(BC22:BN22)</f>
        <v>0</v>
      </c>
      <c r="K22" s="28">
        <f>SUM(BO22:BZ22)</f>
        <v>0</v>
      </c>
      <c r="L22" s="28">
        <f>SUM(CA22:CL22)</f>
        <v>0</v>
      </c>
      <c r="M22" s="28">
        <f>SUM(CM22:CX22)</f>
        <v>0</v>
      </c>
      <c r="N22" s="28">
        <f>SUM(CY22:DJ22)</f>
        <v>0</v>
      </c>
      <c r="O22" s="28">
        <f>SUM(DK22:DV22)</f>
        <v>0</v>
      </c>
      <c r="P22" s="28">
        <f>SUM(DW22:EH22)</f>
        <v>0</v>
      </c>
      <c r="Q22" s="28">
        <f>SUM(EI22:ET22)</f>
        <v>0</v>
      </c>
      <c r="S22" s="28">
        <f>SUMIF('Lease Cycles'!$HL$8:$HR$8,S$6,'Lease Cycles'!$HS$8:$HY$8)</f>
        <v>0</v>
      </c>
      <c r="T22" s="28">
        <f>SUMIF('Lease Cycles'!$HL$8:$HR$8,T$6,'Lease Cycles'!$HS$8:$HY$8)</f>
        <v>0</v>
      </c>
      <c r="U22" s="28">
        <f>SUMIF('Lease Cycles'!$HL$8:$HR$8,U$6,'Lease Cycles'!$HS$8:$HY$8)</f>
        <v>0</v>
      </c>
      <c r="V22" s="28">
        <f>SUMIF('Lease Cycles'!$HL$8:$HR$8,V$6,'Lease Cycles'!$HS$8:$HY$8)</f>
        <v>0</v>
      </c>
      <c r="W22" s="28">
        <f>SUMIF('Lease Cycles'!$HL$8:$HR$8,W$6,'Lease Cycles'!$HS$8:$HY$8)</f>
        <v>0</v>
      </c>
      <c r="X22" s="28">
        <f>SUMIF('Lease Cycles'!$HL$8:$HR$8,X$6,'Lease Cycles'!$HS$8:$HY$8)</f>
        <v>0</v>
      </c>
      <c r="Y22" s="28">
        <f>SUMIF('Lease Cycles'!$HL$8:$HR$8,Y$6,'Lease Cycles'!$HS$8:$HY$8)</f>
        <v>0</v>
      </c>
      <c r="Z22" s="28">
        <f>SUMIF('Lease Cycles'!$HL$8:$HR$8,Z$6,'Lease Cycles'!$HS$8:$HY$8)</f>
        <v>0</v>
      </c>
      <c r="AA22" s="28">
        <f>SUMIF('Lease Cycles'!$HL$8:$HR$8,AA$6,'Lease Cycles'!$HS$8:$HY$8)</f>
        <v>0</v>
      </c>
      <c r="AB22" s="28">
        <f>SUMIF('Lease Cycles'!$HL$8:$HR$8,AB$6,'Lease Cycles'!$HS$8:$HY$8)</f>
        <v>0</v>
      </c>
      <c r="AC22" s="28">
        <f>SUMIF('Lease Cycles'!$HL$8:$HR$8,AC$6,'Lease Cycles'!$HS$8:$HY$8)</f>
        <v>0</v>
      </c>
      <c r="AD22" s="28">
        <f>SUMIF('Lease Cycles'!$HL$8:$HR$8,AD$6,'Lease Cycles'!$HS$8:$HY$8)</f>
        <v>0</v>
      </c>
      <c r="AE22" s="28">
        <f>SUMIF('Lease Cycles'!$HL$8:$HR$8,AE$6,'Lease Cycles'!$HS$8:$HY$8)</f>
        <v>0</v>
      </c>
      <c r="AF22" s="28">
        <f>SUMIF('Lease Cycles'!$HL$8:$HR$8,AF$6,'Lease Cycles'!$HS$8:$HY$8)</f>
        <v>0</v>
      </c>
      <c r="AG22" s="28">
        <f>SUMIF('Lease Cycles'!$HL$8:$HR$8,AG$6,'Lease Cycles'!$HS$8:$HY$8)</f>
        <v>0</v>
      </c>
      <c r="AH22" s="28">
        <f>SUMIF('Lease Cycles'!$HL$8:$HR$8,AH$6,'Lease Cycles'!$HS$8:$HY$8)</f>
        <v>0</v>
      </c>
      <c r="AI22" s="28">
        <f>SUMIF('Lease Cycles'!$HL$8:$HR$8,AI$6,'Lease Cycles'!$HS$8:$HY$8)</f>
        <v>0</v>
      </c>
      <c r="AJ22" s="28">
        <f>SUMIF('Lease Cycles'!$HL$8:$HR$8,AJ$6,'Lease Cycles'!$HS$8:$HY$8)</f>
        <v>0</v>
      </c>
      <c r="AK22" s="28">
        <f>SUMIF('Lease Cycles'!$HL$8:$HR$8,AK$6,'Lease Cycles'!$HS$8:$HY$8)</f>
        <v>0</v>
      </c>
      <c r="AL22" s="28">
        <f>SUMIF('Lease Cycles'!$HL$8:$HR$8,AL$6,'Lease Cycles'!$HS$8:$HY$8)</f>
        <v>0</v>
      </c>
      <c r="AM22" s="28">
        <f>SUMIF('Lease Cycles'!$HL$8:$HR$8,AM$6,'Lease Cycles'!$HS$8:$HY$8)</f>
        <v>0</v>
      </c>
      <c r="AN22" s="28">
        <f>SUMIF('Lease Cycles'!$HL$8:$HR$8,AN$6,'Lease Cycles'!$HS$8:$HY$8)</f>
        <v>0</v>
      </c>
      <c r="AO22" s="28">
        <f>SUMIF('Lease Cycles'!$HL$8:$HR$8,AO$6,'Lease Cycles'!$HS$8:$HY$8)</f>
        <v>0</v>
      </c>
      <c r="AP22" s="28">
        <f>SUMIF('Lease Cycles'!$HL$8:$HR$8,AP$6,'Lease Cycles'!$HS$8:$HY$8)</f>
        <v>0</v>
      </c>
      <c r="AQ22" s="28">
        <f>SUMIF('Lease Cycles'!$HL$8:$HR$8,AQ$6,'Lease Cycles'!$HS$8:$HY$8)</f>
        <v>0</v>
      </c>
      <c r="AR22" s="28">
        <f>SUMIF('Lease Cycles'!$HL$8:$HR$8,AR$6,'Lease Cycles'!$HS$8:$HY$8)</f>
        <v>0</v>
      </c>
      <c r="AS22" s="28">
        <f>SUMIF('Lease Cycles'!$HL$8:$HR$8,AS$6,'Lease Cycles'!$HS$8:$HY$8)</f>
        <v>0</v>
      </c>
      <c r="AT22" s="28">
        <f>SUMIF('Lease Cycles'!$HL$8:$HR$8,AT$6,'Lease Cycles'!$HS$8:$HY$8)</f>
        <v>0</v>
      </c>
      <c r="AU22" s="28">
        <f>SUMIF('Lease Cycles'!$HL$8:$HR$8,AU$6,'Lease Cycles'!$HS$8:$HY$8)</f>
        <v>0</v>
      </c>
      <c r="AV22" s="28">
        <f>SUMIF('Lease Cycles'!$HL$8:$HR$8,AV$6,'Lease Cycles'!$HS$8:$HY$8)</f>
        <v>0</v>
      </c>
      <c r="AW22" s="28">
        <f>SUMIF('Lease Cycles'!$HL$8:$HR$8,AW$6,'Lease Cycles'!$HS$8:$HY$8)</f>
        <v>0</v>
      </c>
      <c r="AX22" s="28">
        <f>SUMIF('Lease Cycles'!$HL$8:$HR$8,AX$6,'Lease Cycles'!$HS$8:$HY$8)</f>
        <v>0</v>
      </c>
      <c r="AY22" s="28">
        <f>SUMIF('Lease Cycles'!$HL$8:$HR$8,AY$6,'Lease Cycles'!$HS$8:$HY$8)</f>
        <v>0</v>
      </c>
      <c r="AZ22" s="28">
        <f>SUMIF('Lease Cycles'!$HL$8:$HR$8,AZ$6,'Lease Cycles'!$HS$8:$HY$8)</f>
        <v>0</v>
      </c>
      <c r="BA22" s="28">
        <f>SUMIF('Lease Cycles'!$HL$8:$HR$8,BA$6,'Lease Cycles'!$HS$8:$HY$8)</f>
        <v>0</v>
      </c>
      <c r="BB22" s="28">
        <f>SUMIF('Lease Cycles'!$HL$8:$HR$8,BB$6,'Lease Cycles'!$HS$8:$HY$8)</f>
        <v>0</v>
      </c>
      <c r="BC22" s="28">
        <f>SUMIF('Lease Cycles'!$HL$8:$HR$8,BC$6,'Lease Cycles'!$HS$8:$HY$8)</f>
        <v>0</v>
      </c>
      <c r="BD22" s="28">
        <f>SUMIF('Lease Cycles'!$HL$8:$HR$8,BD$6,'Lease Cycles'!$HS$8:$HY$8)</f>
        <v>0</v>
      </c>
      <c r="BE22" s="28">
        <f>SUMIF('Lease Cycles'!$HL$8:$HR$8,BE$6,'Lease Cycles'!$HS$8:$HY$8)</f>
        <v>0</v>
      </c>
      <c r="BF22" s="28">
        <f>SUMIF('Lease Cycles'!$HL$8:$HR$8,BF$6,'Lease Cycles'!$HS$8:$HY$8)</f>
        <v>0</v>
      </c>
      <c r="BG22" s="28">
        <f>SUMIF('Lease Cycles'!$HL$8:$HR$8,BG$6,'Lease Cycles'!$HS$8:$HY$8)</f>
        <v>0</v>
      </c>
      <c r="BH22" s="28">
        <f>SUMIF('Lease Cycles'!$HL$8:$HR$8,BH$6,'Lease Cycles'!$HS$8:$HY$8)</f>
        <v>0</v>
      </c>
      <c r="BI22" s="28">
        <f>SUMIF('Lease Cycles'!$HL$8:$HR$8,BI$6,'Lease Cycles'!$HS$8:$HY$8)</f>
        <v>0</v>
      </c>
      <c r="BJ22" s="28">
        <f>SUMIF('Lease Cycles'!$HL$8:$HR$8,BJ$6,'Lease Cycles'!$HS$8:$HY$8)</f>
        <v>0</v>
      </c>
      <c r="BK22" s="28">
        <f>SUMIF('Lease Cycles'!$HL$8:$HR$8,BK$6,'Lease Cycles'!$HS$8:$HY$8)</f>
        <v>0</v>
      </c>
      <c r="BL22" s="28">
        <f>SUMIF('Lease Cycles'!$HL$8:$HR$8,BL$6,'Lease Cycles'!$HS$8:$HY$8)</f>
        <v>0</v>
      </c>
      <c r="BM22" s="28">
        <f>SUMIF('Lease Cycles'!$HL$8:$HR$8,BM$6,'Lease Cycles'!$HS$8:$HY$8)</f>
        <v>0</v>
      </c>
      <c r="BN22" s="28">
        <f>SUMIF('Lease Cycles'!$HL$8:$HR$8,BN$6,'Lease Cycles'!$HS$8:$HY$8)</f>
        <v>0</v>
      </c>
      <c r="BO22" s="28">
        <f>SUMIF('Lease Cycles'!$HL$8:$HR$8,BO$6,'Lease Cycles'!$HS$8:$HY$8)</f>
        <v>0</v>
      </c>
      <c r="BP22" s="28">
        <f>SUMIF('Lease Cycles'!$HL$8:$HR$8,BP$6,'Lease Cycles'!$HS$8:$HY$8)</f>
        <v>0</v>
      </c>
      <c r="BQ22" s="28">
        <f>SUMIF('Lease Cycles'!$HL$8:$HR$8,BQ$6,'Lease Cycles'!$HS$8:$HY$8)</f>
        <v>0</v>
      </c>
      <c r="BR22" s="28">
        <f>SUMIF('Lease Cycles'!$HL$8:$HR$8,BR$6,'Lease Cycles'!$HS$8:$HY$8)</f>
        <v>0</v>
      </c>
      <c r="BS22" s="28">
        <f>SUMIF('Lease Cycles'!$HL$8:$HR$8,BS$6,'Lease Cycles'!$HS$8:$HY$8)</f>
        <v>0</v>
      </c>
      <c r="BT22" s="28">
        <f>SUMIF('Lease Cycles'!$HL$8:$HR$8,BT$6,'Lease Cycles'!$HS$8:$HY$8)</f>
        <v>0</v>
      </c>
      <c r="BU22" s="28">
        <f>SUMIF('Lease Cycles'!$HL$8:$HR$8,BU$6,'Lease Cycles'!$HS$8:$HY$8)</f>
        <v>0</v>
      </c>
      <c r="BV22" s="28">
        <f>SUMIF('Lease Cycles'!$HL$8:$HR$8,BV$6,'Lease Cycles'!$HS$8:$HY$8)</f>
        <v>0</v>
      </c>
      <c r="BW22" s="28">
        <f>SUMIF('Lease Cycles'!$HL$8:$HR$8,BW$6,'Lease Cycles'!$HS$8:$HY$8)</f>
        <v>0</v>
      </c>
      <c r="BX22" s="28">
        <f>SUMIF('Lease Cycles'!$HL$8:$HR$8,BX$6,'Lease Cycles'!$HS$8:$HY$8)</f>
        <v>0</v>
      </c>
      <c r="BY22" s="28">
        <f>SUMIF('Lease Cycles'!$HL$8:$HR$8,BY$6,'Lease Cycles'!$HS$8:$HY$8)</f>
        <v>0</v>
      </c>
      <c r="BZ22" s="28">
        <f>SUMIF('Lease Cycles'!$HL$8:$HR$8,BZ$6,'Lease Cycles'!$HS$8:$HY$8)</f>
        <v>0</v>
      </c>
      <c r="CA22" s="28">
        <f>SUMIF('Lease Cycles'!$HL$8:$HR$8,CA$6,'Lease Cycles'!$HS$8:$HY$8)</f>
        <v>0</v>
      </c>
      <c r="CB22" s="28">
        <f>SUMIF('Lease Cycles'!$HL$8:$HR$8,CB$6,'Lease Cycles'!$HS$8:$HY$8)</f>
        <v>0</v>
      </c>
      <c r="CC22" s="28">
        <f>SUMIF('Lease Cycles'!$HL$8:$HR$8,CC$6,'Lease Cycles'!$HS$8:$HY$8)</f>
        <v>0</v>
      </c>
      <c r="CD22" s="28">
        <f>SUMIF('Lease Cycles'!$HL$8:$HR$8,CD$6,'Lease Cycles'!$HS$8:$HY$8)</f>
        <v>0</v>
      </c>
      <c r="CE22" s="28">
        <f>SUMIF('Lease Cycles'!$HL$8:$HR$8,CE$6,'Lease Cycles'!$HS$8:$HY$8)</f>
        <v>0</v>
      </c>
      <c r="CF22" s="28">
        <f>SUMIF('Lease Cycles'!$HL$8:$HR$8,CF$6,'Lease Cycles'!$HS$8:$HY$8)</f>
        <v>0</v>
      </c>
      <c r="CG22" s="28">
        <f>SUMIF('Lease Cycles'!$HL$8:$HR$8,CG$6,'Lease Cycles'!$HS$8:$HY$8)</f>
        <v>0</v>
      </c>
      <c r="CH22" s="28">
        <f>SUMIF('Lease Cycles'!$HL$8:$HR$8,CH$6,'Lease Cycles'!$HS$8:$HY$8)</f>
        <v>0</v>
      </c>
      <c r="CI22" s="28">
        <f>SUMIF('Lease Cycles'!$HL$8:$HR$8,CI$6,'Lease Cycles'!$HS$8:$HY$8)</f>
        <v>0</v>
      </c>
      <c r="CJ22" s="28">
        <f>SUMIF('Lease Cycles'!$HL$8:$HR$8,CJ$6,'Lease Cycles'!$HS$8:$HY$8)</f>
        <v>0</v>
      </c>
      <c r="CK22" s="28">
        <f>SUMIF('Lease Cycles'!$HL$8:$HR$8,CK$6,'Lease Cycles'!$HS$8:$HY$8)</f>
        <v>0</v>
      </c>
      <c r="CL22" s="28">
        <f>SUMIF('Lease Cycles'!$HL$8:$HR$8,CL$6,'Lease Cycles'!$HS$8:$HY$8)</f>
        <v>0</v>
      </c>
      <c r="CM22" s="28">
        <f>SUMIF('Lease Cycles'!$HL$8:$HR$8,CM$6,'Lease Cycles'!$HS$8:$HY$8)</f>
        <v>0</v>
      </c>
      <c r="CN22" s="28">
        <f>SUMIF('Lease Cycles'!$HL$8:$HR$8,CN$6,'Lease Cycles'!$HS$8:$HY$8)</f>
        <v>0</v>
      </c>
      <c r="CO22" s="28">
        <f>SUMIF('Lease Cycles'!$HL$8:$HR$8,CO$6,'Lease Cycles'!$HS$8:$HY$8)</f>
        <v>0</v>
      </c>
      <c r="CP22" s="28">
        <f>SUMIF('Lease Cycles'!$HL$8:$HR$8,CP$6,'Lease Cycles'!$HS$8:$HY$8)</f>
        <v>0</v>
      </c>
      <c r="CQ22" s="28">
        <f>SUMIF('Lease Cycles'!$HL$8:$HR$8,CQ$6,'Lease Cycles'!$HS$8:$HY$8)</f>
        <v>0</v>
      </c>
      <c r="CR22" s="28">
        <f>SUMIF('Lease Cycles'!$HL$8:$HR$8,CR$6,'Lease Cycles'!$HS$8:$HY$8)</f>
        <v>0</v>
      </c>
      <c r="CS22" s="28">
        <f>SUMIF('Lease Cycles'!$HL$8:$HR$8,CS$6,'Lease Cycles'!$HS$8:$HY$8)</f>
        <v>0</v>
      </c>
      <c r="CT22" s="28">
        <f>SUMIF('Lease Cycles'!$HL$8:$HR$8,CT$6,'Lease Cycles'!$HS$8:$HY$8)</f>
        <v>0</v>
      </c>
      <c r="CU22" s="28">
        <f>SUMIF('Lease Cycles'!$HL$8:$HR$8,CU$6,'Lease Cycles'!$HS$8:$HY$8)</f>
        <v>0</v>
      </c>
      <c r="CV22" s="28">
        <f>SUMIF('Lease Cycles'!$HL$8:$HR$8,CV$6,'Lease Cycles'!$HS$8:$HY$8)</f>
        <v>0</v>
      </c>
      <c r="CW22" s="28">
        <f>SUMIF('Lease Cycles'!$HL$8:$HR$8,CW$6,'Lease Cycles'!$HS$8:$HY$8)</f>
        <v>0</v>
      </c>
      <c r="CX22" s="28">
        <f>SUMIF('Lease Cycles'!$HL$8:$HR$8,CX$6,'Lease Cycles'!$HS$8:$HY$8)</f>
        <v>0</v>
      </c>
      <c r="CY22" s="28">
        <f>SUMIF('Lease Cycles'!$HL$8:$HR$8,CY$6,'Lease Cycles'!$HS$8:$HY$8)</f>
        <v>0</v>
      </c>
      <c r="CZ22" s="28">
        <f>SUMIF('Lease Cycles'!$HL$8:$HR$8,CZ$6,'Lease Cycles'!$HS$8:$HY$8)</f>
        <v>0</v>
      </c>
      <c r="DA22" s="28">
        <f>SUMIF('Lease Cycles'!$HL$8:$HR$8,DA$6,'Lease Cycles'!$HS$8:$HY$8)</f>
        <v>0</v>
      </c>
      <c r="DB22" s="28">
        <f>SUMIF('Lease Cycles'!$HL$8:$HR$8,DB$6,'Lease Cycles'!$HS$8:$HY$8)</f>
        <v>0</v>
      </c>
      <c r="DC22" s="28">
        <f>SUMIF('Lease Cycles'!$HL$8:$HR$8,DC$6,'Lease Cycles'!$HS$8:$HY$8)</f>
        <v>0</v>
      </c>
      <c r="DD22" s="28">
        <f>SUMIF('Lease Cycles'!$HL$8:$HR$8,DD$6,'Lease Cycles'!$HS$8:$HY$8)</f>
        <v>0</v>
      </c>
      <c r="DE22" s="28">
        <f>SUMIF('Lease Cycles'!$HL$8:$HR$8,DE$6,'Lease Cycles'!$HS$8:$HY$8)</f>
        <v>0</v>
      </c>
      <c r="DF22" s="28">
        <f>SUMIF('Lease Cycles'!$HL$8:$HR$8,DF$6,'Lease Cycles'!$HS$8:$HY$8)</f>
        <v>0</v>
      </c>
      <c r="DG22" s="28">
        <f>SUMIF('Lease Cycles'!$HL$8:$HR$8,DG$6,'Lease Cycles'!$HS$8:$HY$8)</f>
        <v>0</v>
      </c>
      <c r="DH22" s="28">
        <f>SUMIF('Lease Cycles'!$HL$8:$HR$8,DH$6,'Lease Cycles'!$HS$8:$HY$8)</f>
        <v>0</v>
      </c>
      <c r="DI22" s="28">
        <f>SUMIF('Lease Cycles'!$HL$8:$HR$8,DI$6,'Lease Cycles'!$HS$8:$HY$8)</f>
        <v>0</v>
      </c>
      <c r="DJ22" s="28">
        <f>SUMIF('Lease Cycles'!$HL$8:$HR$8,DJ$6,'Lease Cycles'!$HS$8:$HY$8)</f>
        <v>0</v>
      </c>
      <c r="DK22" s="28">
        <f>SUMIF('Lease Cycles'!$HL$8:$HR$8,DK$6,'Lease Cycles'!$HS$8:$HY$8)</f>
        <v>0</v>
      </c>
      <c r="DL22" s="28">
        <f>SUMIF('Lease Cycles'!$HL$8:$HR$8,DL$6,'Lease Cycles'!$HS$8:$HY$8)</f>
        <v>0</v>
      </c>
      <c r="DM22" s="28">
        <f>SUMIF('Lease Cycles'!$HL$8:$HR$8,DM$6,'Lease Cycles'!$HS$8:$HY$8)</f>
        <v>0</v>
      </c>
      <c r="DN22" s="28">
        <f>SUMIF('Lease Cycles'!$HL$8:$HR$8,DN$6,'Lease Cycles'!$HS$8:$HY$8)</f>
        <v>0</v>
      </c>
      <c r="DO22" s="28">
        <f>SUMIF('Lease Cycles'!$HL$8:$HR$8,DO$6,'Lease Cycles'!$HS$8:$HY$8)</f>
        <v>0</v>
      </c>
      <c r="DP22" s="28">
        <f>SUMIF('Lease Cycles'!$HL$8:$HR$8,DP$6,'Lease Cycles'!$HS$8:$HY$8)</f>
        <v>0</v>
      </c>
      <c r="DQ22" s="28">
        <f>SUMIF('Lease Cycles'!$HL$8:$HR$8,DQ$6,'Lease Cycles'!$HS$8:$HY$8)</f>
        <v>0</v>
      </c>
      <c r="DR22" s="28">
        <f>SUMIF('Lease Cycles'!$HL$8:$HR$8,DR$6,'Lease Cycles'!$HS$8:$HY$8)</f>
        <v>0</v>
      </c>
      <c r="DS22" s="28">
        <f>SUMIF('Lease Cycles'!$HL$8:$HR$8,DS$6,'Lease Cycles'!$HS$8:$HY$8)</f>
        <v>0</v>
      </c>
      <c r="DT22" s="28">
        <f>SUMIF('Lease Cycles'!$HL$8:$HR$8,DT$6,'Lease Cycles'!$HS$8:$HY$8)</f>
        <v>0</v>
      </c>
      <c r="DU22" s="28">
        <f>SUMIF('Lease Cycles'!$HL$8:$HR$8,DU$6,'Lease Cycles'!$HS$8:$HY$8)</f>
        <v>0</v>
      </c>
      <c r="DV22" s="28">
        <f>SUMIF('Lease Cycles'!$HL$8:$HR$8,DV$6,'Lease Cycles'!$HS$8:$HY$8)</f>
        <v>0</v>
      </c>
      <c r="DW22" s="28">
        <f>SUMIF('Lease Cycles'!$HL$8:$HR$8,DW$6,'Lease Cycles'!$HS$8:$HY$8)</f>
        <v>0</v>
      </c>
      <c r="DX22" s="28">
        <f>SUMIF('Lease Cycles'!$HL$8:$HR$8,DX$6,'Lease Cycles'!$HS$8:$HY$8)</f>
        <v>0</v>
      </c>
      <c r="DY22" s="28">
        <f>SUMIF('Lease Cycles'!$HL$8:$HR$8,DY$6,'Lease Cycles'!$HS$8:$HY$8)</f>
        <v>0</v>
      </c>
      <c r="DZ22" s="28">
        <f>SUMIF('Lease Cycles'!$HL$8:$HR$8,DZ$6,'Lease Cycles'!$HS$8:$HY$8)</f>
        <v>0</v>
      </c>
      <c r="EA22" s="28">
        <f>SUMIF('Lease Cycles'!$HL$8:$HR$8,EA$6,'Lease Cycles'!$HS$8:$HY$8)</f>
        <v>0</v>
      </c>
      <c r="EB22" s="28">
        <f>SUMIF('Lease Cycles'!$HL$8:$HR$8,EB$6,'Lease Cycles'!$HS$8:$HY$8)</f>
        <v>0</v>
      </c>
      <c r="EC22" s="28">
        <f>SUMIF('Lease Cycles'!$HL$8:$HR$8,EC$6,'Lease Cycles'!$HS$8:$HY$8)</f>
        <v>0</v>
      </c>
      <c r="ED22" s="28">
        <f>SUMIF('Lease Cycles'!$HL$8:$HR$8,ED$6,'Lease Cycles'!$HS$8:$HY$8)</f>
        <v>0</v>
      </c>
      <c r="EE22" s="28">
        <f>SUMIF('Lease Cycles'!$HL$8:$HR$8,EE$6,'Lease Cycles'!$HS$8:$HY$8)</f>
        <v>0</v>
      </c>
      <c r="EF22" s="28">
        <f>SUMIF('Lease Cycles'!$HL$8:$HR$8,EF$6,'Lease Cycles'!$HS$8:$HY$8)</f>
        <v>0</v>
      </c>
      <c r="EG22" s="28">
        <f>SUMIF('Lease Cycles'!$HL$8:$HR$8,EG$6,'Lease Cycles'!$HS$8:$HY$8)</f>
        <v>0</v>
      </c>
      <c r="EH22" s="28">
        <f>SUMIF('Lease Cycles'!$HL$8:$HR$8,EH$6,'Lease Cycles'!$HS$8:$HY$8)</f>
        <v>0</v>
      </c>
      <c r="EI22" s="28">
        <f>SUMIF('Lease Cycles'!$HL$8:$HR$8,EI$6,'Lease Cycles'!$HS$8:$HY$8)</f>
        <v>0</v>
      </c>
      <c r="EJ22" s="28">
        <f>SUMIF('Lease Cycles'!$HL$8:$HR$8,EJ$6,'Lease Cycles'!$HS$8:$HY$8)</f>
        <v>0</v>
      </c>
      <c r="EK22" s="28">
        <f>SUMIF('Lease Cycles'!$HL$8:$HR$8,EK$6,'Lease Cycles'!$HS$8:$HY$8)</f>
        <v>0</v>
      </c>
      <c r="EL22" s="28">
        <f>SUMIF('Lease Cycles'!$HL$8:$HR$8,EL$6,'Lease Cycles'!$HS$8:$HY$8)</f>
        <v>0</v>
      </c>
      <c r="EM22" s="28">
        <f>SUMIF('Lease Cycles'!$HL$8:$HR$8,EM$6,'Lease Cycles'!$HS$8:$HY$8)</f>
        <v>0</v>
      </c>
      <c r="EN22" s="28">
        <f>SUMIF('Lease Cycles'!$HL$8:$HR$8,EN$6,'Lease Cycles'!$HS$8:$HY$8)</f>
        <v>0</v>
      </c>
      <c r="EO22" s="28">
        <f>SUMIF('Lease Cycles'!$HL$8:$HR$8,EO$6,'Lease Cycles'!$HS$8:$HY$8)</f>
        <v>0</v>
      </c>
      <c r="EP22" s="28">
        <f>SUMIF('Lease Cycles'!$HL$8:$HR$8,EP$6,'Lease Cycles'!$HS$8:$HY$8)</f>
        <v>0</v>
      </c>
      <c r="EQ22" s="28">
        <f>SUMIF('Lease Cycles'!$HL$8:$HR$8,EQ$6,'Lease Cycles'!$HS$8:$HY$8)</f>
        <v>0</v>
      </c>
      <c r="ER22" s="28">
        <f>SUMIF('Lease Cycles'!$HL$8:$HR$8,ER$6,'Lease Cycles'!$HS$8:$HY$8)</f>
        <v>0</v>
      </c>
      <c r="ES22" s="28">
        <f>SUMIF('Lease Cycles'!$HL$8:$HR$8,ES$6,'Lease Cycles'!$HS$8:$HY$8)</f>
        <v>0</v>
      </c>
      <c r="ET22" s="28">
        <f>SUMIF('Lease Cycles'!$HL$8:$HR$8,ET$6,'Lease Cycles'!$HS$8:$HY$8)</f>
        <v>0</v>
      </c>
    </row>
    <row r="23">
      <c r="A23" s="103">
        <v>1</v>
      </c>
      <c r="B23" s="23" t="str">
        <f>IF('Lease Cycles'!$B$8="","(empty slot)",'Lease Cycles'!$B$8)</f>
        <v>Fieldstone Grocery</v>
      </c>
      <c r="C23" s="23" t="s">
        <v>532</v>
      </c>
      <c r="D23" s="104" t="s">
        <v>533</v>
      </c>
      <c r="E23" s="25">
        <f>'Lease Cycles'!$AL$8</f>
        <v>1</v>
      </c>
      <c r="G23" s="28">
        <f>SUM(S23:AD23)</f>
        <v>0</v>
      </c>
      <c r="H23" s="28">
        <f>SUM(AE23:AP23)</f>
        <v>0</v>
      </c>
      <c r="I23" s="28">
        <f>SUM(AQ23:BB23)</f>
        <v>0</v>
      </c>
      <c r="J23" s="28">
        <f>SUM(BC23:BN23)</f>
        <v>0</v>
      </c>
      <c r="K23" s="28">
        <f>SUM(BO23:BZ23)</f>
        <v>0</v>
      </c>
      <c r="L23" s="28">
        <f>SUM(CA23:CL23)</f>
        <v>0</v>
      </c>
      <c r="M23" s="28">
        <f>SUM(CM23:CX23)</f>
        <v>0</v>
      </c>
      <c r="N23" s="28">
        <f>SUM(CY23:DJ23)</f>
        <v>0</v>
      </c>
      <c r="O23" s="28">
        <f>SUM(DK23:DV23)</f>
        <v>0</v>
      </c>
      <c r="P23" s="28">
        <f>SUM(DW23:EH23)</f>
        <v>0</v>
      </c>
      <c r="Q23" s="28">
        <f>SUM(EI23:ET23)</f>
        <v>0</v>
      </c>
      <c r="S23" s="28">
        <f>SUMIF('Lease Cycles'!$HL$8:$HR$8,S$6,'Lease Cycles'!$HZ$8:$IF$8)</f>
        <v>0</v>
      </c>
      <c r="T23" s="28">
        <f>SUMIF('Lease Cycles'!$HL$8:$HR$8,T$6,'Lease Cycles'!$HZ$8:$IF$8)</f>
        <v>0</v>
      </c>
      <c r="U23" s="28">
        <f>SUMIF('Lease Cycles'!$HL$8:$HR$8,U$6,'Lease Cycles'!$HZ$8:$IF$8)</f>
        <v>0</v>
      </c>
      <c r="V23" s="28">
        <f>SUMIF('Lease Cycles'!$HL$8:$HR$8,V$6,'Lease Cycles'!$HZ$8:$IF$8)</f>
        <v>0</v>
      </c>
      <c r="W23" s="28">
        <f>SUMIF('Lease Cycles'!$HL$8:$HR$8,W$6,'Lease Cycles'!$HZ$8:$IF$8)</f>
        <v>0</v>
      </c>
      <c r="X23" s="28">
        <f>SUMIF('Lease Cycles'!$HL$8:$HR$8,X$6,'Lease Cycles'!$HZ$8:$IF$8)</f>
        <v>0</v>
      </c>
      <c r="Y23" s="28">
        <f>SUMIF('Lease Cycles'!$HL$8:$HR$8,Y$6,'Lease Cycles'!$HZ$8:$IF$8)</f>
        <v>0</v>
      </c>
      <c r="Z23" s="28">
        <f>SUMIF('Lease Cycles'!$HL$8:$HR$8,Z$6,'Lease Cycles'!$HZ$8:$IF$8)</f>
        <v>0</v>
      </c>
      <c r="AA23" s="28">
        <f>SUMIF('Lease Cycles'!$HL$8:$HR$8,AA$6,'Lease Cycles'!$HZ$8:$IF$8)</f>
        <v>0</v>
      </c>
      <c r="AB23" s="28">
        <f>SUMIF('Lease Cycles'!$HL$8:$HR$8,AB$6,'Lease Cycles'!$HZ$8:$IF$8)</f>
        <v>0</v>
      </c>
      <c r="AC23" s="28">
        <f>SUMIF('Lease Cycles'!$HL$8:$HR$8,AC$6,'Lease Cycles'!$HZ$8:$IF$8)</f>
        <v>0</v>
      </c>
      <c r="AD23" s="28">
        <f>SUMIF('Lease Cycles'!$HL$8:$HR$8,AD$6,'Lease Cycles'!$HZ$8:$IF$8)</f>
        <v>0</v>
      </c>
      <c r="AE23" s="28">
        <f>SUMIF('Lease Cycles'!$HL$8:$HR$8,AE$6,'Lease Cycles'!$HZ$8:$IF$8)</f>
        <v>0</v>
      </c>
      <c r="AF23" s="28">
        <f>SUMIF('Lease Cycles'!$HL$8:$HR$8,AF$6,'Lease Cycles'!$HZ$8:$IF$8)</f>
        <v>0</v>
      </c>
      <c r="AG23" s="28">
        <f>SUMIF('Lease Cycles'!$HL$8:$HR$8,AG$6,'Lease Cycles'!$HZ$8:$IF$8)</f>
        <v>0</v>
      </c>
      <c r="AH23" s="28">
        <f>SUMIF('Lease Cycles'!$HL$8:$HR$8,AH$6,'Lease Cycles'!$HZ$8:$IF$8)</f>
        <v>0</v>
      </c>
      <c r="AI23" s="28">
        <f>SUMIF('Lease Cycles'!$HL$8:$HR$8,AI$6,'Lease Cycles'!$HZ$8:$IF$8)</f>
        <v>0</v>
      </c>
      <c r="AJ23" s="28">
        <f>SUMIF('Lease Cycles'!$HL$8:$HR$8,AJ$6,'Lease Cycles'!$HZ$8:$IF$8)</f>
        <v>0</v>
      </c>
      <c r="AK23" s="28">
        <f>SUMIF('Lease Cycles'!$HL$8:$HR$8,AK$6,'Lease Cycles'!$HZ$8:$IF$8)</f>
        <v>0</v>
      </c>
      <c r="AL23" s="28">
        <f>SUMIF('Lease Cycles'!$HL$8:$HR$8,AL$6,'Lease Cycles'!$HZ$8:$IF$8)</f>
        <v>0</v>
      </c>
      <c r="AM23" s="28">
        <f>SUMIF('Lease Cycles'!$HL$8:$HR$8,AM$6,'Lease Cycles'!$HZ$8:$IF$8)</f>
        <v>0</v>
      </c>
      <c r="AN23" s="28">
        <f>SUMIF('Lease Cycles'!$HL$8:$HR$8,AN$6,'Lease Cycles'!$HZ$8:$IF$8)</f>
        <v>0</v>
      </c>
      <c r="AO23" s="28">
        <f>SUMIF('Lease Cycles'!$HL$8:$HR$8,AO$6,'Lease Cycles'!$HZ$8:$IF$8)</f>
        <v>0</v>
      </c>
      <c r="AP23" s="28">
        <f>SUMIF('Lease Cycles'!$HL$8:$HR$8,AP$6,'Lease Cycles'!$HZ$8:$IF$8)</f>
        <v>0</v>
      </c>
      <c r="AQ23" s="28">
        <f>SUMIF('Lease Cycles'!$HL$8:$HR$8,AQ$6,'Lease Cycles'!$HZ$8:$IF$8)</f>
        <v>0</v>
      </c>
      <c r="AR23" s="28">
        <f>SUMIF('Lease Cycles'!$HL$8:$HR$8,AR$6,'Lease Cycles'!$HZ$8:$IF$8)</f>
        <v>0</v>
      </c>
      <c r="AS23" s="28">
        <f>SUMIF('Lease Cycles'!$HL$8:$HR$8,AS$6,'Lease Cycles'!$HZ$8:$IF$8)</f>
        <v>0</v>
      </c>
      <c r="AT23" s="28">
        <f>SUMIF('Lease Cycles'!$HL$8:$HR$8,AT$6,'Lease Cycles'!$HZ$8:$IF$8)</f>
        <v>0</v>
      </c>
      <c r="AU23" s="28">
        <f>SUMIF('Lease Cycles'!$HL$8:$HR$8,AU$6,'Lease Cycles'!$HZ$8:$IF$8)</f>
        <v>0</v>
      </c>
      <c r="AV23" s="28">
        <f>SUMIF('Lease Cycles'!$HL$8:$HR$8,AV$6,'Lease Cycles'!$HZ$8:$IF$8)</f>
        <v>0</v>
      </c>
      <c r="AW23" s="28">
        <f>SUMIF('Lease Cycles'!$HL$8:$HR$8,AW$6,'Lease Cycles'!$HZ$8:$IF$8)</f>
        <v>0</v>
      </c>
      <c r="AX23" s="28">
        <f>SUMIF('Lease Cycles'!$HL$8:$HR$8,AX$6,'Lease Cycles'!$HZ$8:$IF$8)</f>
        <v>0</v>
      </c>
      <c r="AY23" s="28">
        <f>SUMIF('Lease Cycles'!$HL$8:$HR$8,AY$6,'Lease Cycles'!$HZ$8:$IF$8)</f>
        <v>0</v>
      </c>
      <c r="AZ23" s="28">
        <f>SUMIF('Lease Cycles'!$HL$8:$HR$8,AZ$6,'Lease Cycles'!$HZ$8:$IF$8)</f>
        <v>0</v>
      </c>
      <c r="BA23" s="28">
        <f>SUMIF('Lease Cycles'!$HL$8:$HR$8,BA$6,'Lease Cycles'!$HZ$8:$IF$8)</f>
        <v>0</v>
      </c>
      <c r="BB23" s="28">
        <f>SUMIF('Lease Cycles'!$HL$8:$HR$8,BB$6,'Lease Cycles'!$HZ$8:$IF$8)</f>
        <v>0</v>
      </c>
      <c r="BC23" s="28">
        <f>SUMIF('Lease Cycles'!$HL$8:$HR$8,BC$6,'Lease Cycles'!$HZ$8:$IF$8)</f>
        <v>0</v>
      </c>
      <c r="BD23" s="28">
        <f>SUMIF('Lease Cycles'!$HL$8:$HR$8,BD$6,'Lease Cycles'!$HZ$8:$IF$8)</f>
        <v>0</v>
      </c>
      <c r="BE23" s="28">
        <f>SUMIF('Lease Cycles'!$HL$8:$HR$8,BE$6,'Lease Cycles'!$HZ$8:$IF$8)</f>
        <v>0</v>
      </c>
      <c r="BF23" s="28">
        <f>SUMIF('Lease Cycles'!$HL$8:$HR$8,BF$6,'Lease Cycles'!$HZ$8:$IF$8)</f>
        <v>0</v>
      </c>
      <c r="BG23" s="28">
        <f>SUMIF('Lease Cycles'!$HL$8:$HR$8,BG$6,'Lease Cycles'!$HZ$8:$IF$8)</f>
        <v>0</v>
      </c>
      <c r="BH23" s="28">
        <f>SUMIF('Lease Cycles'!$HL$8:$HR$8,BH$6,'Lease Cycles'!$HZ$8:$IF$8)</f>
        <v>0</v>
      </c>
      <c r="BI23" s="28">
        <f>SUMIF('Lease Cycles'!$HL$8:$HR$8,BI$6,'Lease Cycles'!$HZ$8:$IF$8)</f>
        <v>0</v>
      </c>
      <c r="BJ23" s="28">
        <f>SUMIF('Lease Cycles'!$HL$8:$HR$8,BJ$6,'Lease Cycles'!$HZ$8:$IF$8)</f>
        <v>0</v>
      </c>
      <c r="BK23" s="28">
        <f>SUMIF('Lease Cycles'!$HL$8:$HR$8,BK$6,'Lease Cycles'!$HZ$8:$IF$8)</f>
        <v>0</v>
      </c>
      <c r="BL23" s="28">
        <f>SUMIF('Lease Cycles'!$HL$8:$HR$8,BL$6,'Lease Cycles'!$HZ$8:$IF$8)</f>
        <v>0</v>
      </c>
      <c r="BM23" s="28">
        <f>SUMIF('Lease Cycles'!$HL$8:$HR$8,BM$6,'Lease Cycles'!$HZ$8:$IF$8)</f>
        <v>0</v>
      </c>
      <c r="BN23" s="28">
        <f>SUMIF('Lease Cycles'!$HL$8:$HR$8,BN$6,'Lease Cycles'!$HZ$8:$IF$8)</f>
        <v>0</v>
      </c>
      <c r="BO23" s="28">
        <f>SUMIF('Lease Cycles'!$HL$8:$HR$8,BO$6,'Lease Cycles'!$HZ$8:$IF$8)</f>
        <v>0</v>
      </c>
      <c r="BP23" s="28">
        <f>SUMIF('Lease Cycles'!$HL$8:$HR$8,BP$6,'Lease Cycles'!$HZ$8:$IF$8)</f>
        <v>0</v>
      </c>
      <c r="BQ23" s="28">
        <f>SUMIF('Lease Cycles'!$HL$8:$HR$8,BQ$6,'Lease Cycles'!$HZ$8:$IF$8)</f>
        <v>0</v>
      </c>
      <c r="BR23" s="28">
        <f>SUMIF('Lease Cycles'!$HL$8:$HR$8,BR$6,'Lease Cycles'!$HZ$8:$IF$8)</f>
        <v>0</v>
      </c>
      <c r="BS23" s="28">
        <f>SUMIF('Lease Cycles'!$HL$8:$HR$8,BS$6,'Lease Cycles'!$HZ$8:$IF$8)</f>
        <v>0</v>
      </c>
      <c r="BT23" s="28">
        <f>SUMIF('Lease Cycles'!$HL$8:$HR$8,BT$6,'Lease Cycles'!$HZ$8:$IF$8)</f>
        <v>0</v>
      </c>
      <c r="BU23" s="28">
        <f>SUMIF('Lease Cycles'!$HL$8:$HR$8,BU$6,'Lease Cycles'!$HZ$8:$IF$8)</f>
        <v>0</v>
      </c>
      <c r="BV23" s="28">
        <f>SUMIF('Lease Cycles'!$HL$8:$HR$8,BV$6,'Lease Cycles'!$HZ$8:$IF$8)</f>
        <v>0</v>
      </c>
      <c r="BW23" s="28">
        <f>SUMIF('Lease Cycles'!$HL$8:$HR$8,BW$6,'Lease Cycles'!$HZ$8:$IF$8)</f>
        <v>0</v>
      </c>
      <c r="BX23" s="28">
        <f>SUMIF('Lease Cycles'!$HL$8:$HR$8,BX$6,'Lease Cycles'!$HZ$8:$IF$8)</f>
        <v>0</v>
      </c>
      <c r="BY23" s="28">
        <f>SUMIF('Lease Cycles'!$HL$8:$HR$8,BY$6,'Lease Cycles'!$HZ$8:$IF$8)</f>
        <v>0</v>
      </c>
      <c r="BZ23" s="28">
        <f>SUMIF('Lease Cycles'!$HL$8:$HR$8,BZ$6,'Lease Cycles'!$HZ$8:$IF$8)</f>
        <v>0</v>
      </c>
      <c r="CA23" s="28">
        <f>SUMIF('Lease Cycles'!$HL$8:$HR$8,CA$6,'Lease Cycles'!$HZ$8:$IF$8)</f>
        <v>0</v>
      </c>
      <c r="CB23" s="28">
        <f>SUMIF('Lease Cycles'!$HL$8:$HR$8,CB$6,'Lease Cycles'!$HZ$8:$IF$8)</f>
        <v>0</v>
      </c>
      <c r="CC23" s="28">
        <f>SUMIF('Lease Cycles'!$HL$8:$HR$8,CC$6,'Lease Cycles'!$HZ$8:$IF$8)</f>
        <v>0</v>
      </c>
      <c r="CD23" s="28">
        <f>SUMIF('Lease Cycles'!$HL$8:$HR$8,CD$6,'Lease Cycles'!$HZ$8:$IF$8)</f>
        <v>0</v>
      </c>
      <c r="CE23" s="28">
        <f>SUMIF('Lease Cycles'!$HL$8:$HR$8,CE$6,'Lease Cycles'!$HZ$8:$IF$8)</f>
        <v>0</v>
      </c>
      <c r="CF23" s="28">
        <f>SUMIF('Lease Cycles'!$HL$8:$HR$8,CF$6,'Lease Cycles'!$HZ$8:$IF$8)</f>
        <v>0</v>
      </c>
      <c r="CG23" s="28">
        <f>SUMIF('Lease Cycles'!$HL$8:$HR$8,CG$6,'Lease Cycles'!$HZ$8:$IF$8)</f>
        <v>0</v>
      </c>
      <c r="CH23" s="28">
        <f>SUMIF('Lease Cycles'!$HL$8:$HR$8,CH$6,'Lease Cycles'!$HZ$8:$IF$8)</f>
        <v>0</v>
      </c>
      <c r="CI23" s="28">
        <f>SUMIF('Lease Cycles'!$HL$8:$HR$8,CI$6,'Lease Cycles'!$HZ$8:$IF$8)</f>
        <v>0</v>
      </c>
      <c r="CJ23" s="28">
        <f>SUMIF('Lease Cycles'!$HL$8:$HR$8,CJ$6,'Lease Cycles'!$HZ$8:$IF$8)</f>
        <v>0</v>
      </c>
      <c r="CK23" s="28">
        <f>SUMIF('Lease Cycles'!$HL$8:$HR$8,CK$6,'Lease Cycles'!$HZ$8:$IF$8)</f>
        <v>0</v>
      </c>
      <c r="CL23" s="28">
        <f>SUMIF('Lease Cycles'!$HL$8:$HR$8,CL$6,'Lease Cycles'!$HZ$8:$IF$8)</f>
        <v>0</v>
      </c>
      <c r="CM23" s="28">
        <f>SUMIF('Lease Cycles'!$HL$8:$HR$8,CM$6,'Lease Cycles'!$HZ$8:$IF$8)</f>
        <v>0</v>
      </c>
      <c r="CN23" s="28">
        <f>SUMIF('Lease Cycles'!$HL$8:$HR$8,CN$6,'Lease Cycles'!$HZ$8:$IF$8)</f>
        <v>0</v>
      </c>
      <c r="CO23" s="28">
        <f>SUMIF('Lease Cycles'!$HL$8:$HR$8,CO$6,'Lease Cycles'!$HZ$8:$IF$8)</f>
        <v>0</v>
      </c>
      <c r="CP23" s="28">
        <f>SUMIF('Lease Cycles'!$HL$8:$HR$8,CP$6,'Lease Cycles'!$HZ$8:$IF$8)</f>
        <v>0</v>
      </c>
      <c r="CQ23" s="28">
        <f>SUMIF('Lease Cycles'!$HL$8:$HR$8,CQ$6,'Lease Cycles'!$HZ$8:$IF$8)</f>
        <v>0</v>
      </c>
      <c r="CR23" s="28">
        <f>SUMIF('Lease Cycles'!$HL$8:$HR$8,CR$6,'Lease Cycles'!$HZ$8:$IF$8)</f>
        <v>0</v>
      </c>
      <c r="CS23" s="28">
        <f>SUMIF('Lease Cycles'!$HL$8:$HR$8,CS$6,'Lease Cycles'!$HZ$8:$IF$8)</f>
        <v>0</v>
      </c>
      <c r="CT23" s="28">
        <f>SUMIF('Lease Cycles'!$HL$8:$HR$8,CT$6,'Lease Cycles'!$HZ$8:$IF$8)</f>
        <v>0</v>
      </c>
      <c r="CU23" s="28">
        <f>SUMIF('Lease Cycles'!$HL$8:$HR$8,CU$6,'Lease Cycles'!$HZ$8:$IF$8)</f>
        <v>0</v>
      </c>
      <c r="CV23" s="28">
        <f>SUMIF('Lease Cycles'!$HL$8:$HR$8,CV$6,'Lease Cycles'!$HZ$8:$IF$8)</f>
        <v>0</v>
      </c>
      <c r="CW23" s="28">
        <f>SUMIF('Lease Cycles'!$HL$8:$HR$8,CW$6,'Lease Cycles'!$HZ$8:$IF$8)</f>
        <v>0</v>
      </c>
      <c r="CX23" s="28">
        <f>SUMIF('Lease Cycles'!$HL$8:$HR$8,CX$6,'Lease Cycles'!$HZ$8:$IF$8)</f>
        <v>0</v>
      </c>
      <c r="CY23" s="28">
        <f>SUMIF('Lease Cycles'!$HL$8:$HR$8,CY$6,'Lease Cycles'!$HZ$8:$IF$8)</f>
        <v>0</v>
      </c>
      <c r="CZ23" s="28">
        <f>SUMIF('Lease Cycles'!$HL$8:$HR$8,CZ$6,'Lease Cycles'!$HZ$8:$IF$8)</f>
        <v>0</v>
      </c>
      <c r="DA23" s="28">
        <f>SUMIF('Lease Cycles'!$HL$8:$HR$8,DA$6,'Lease Cycles'!$HZ$8:$IF$8)</f>
        <v>0</v>
      </c>
      <c r="DB23" s="28">
        <f>SUMIF('Lease Cycles'!$HL$8:$HR$8,DB$6,'Lease Cycles'!$HZ$8:$IF$8)</f>
        <v>0</v>
      </c>
      <c r="DC23" s="28">
        <f>SUMIF('Lease Cycles'!$HL$8:$HR$8,DC$6,'Lease Cycles'!$HZ$8:$IF$8)</f>
        <v>0</v>
      </c>
      <c r="DD23" s="28">
        <f>SUMIF('Lease Cycles'!$HL$8:$HR$8,DD$6,'Lease Cycles'!$HZ$8:$IF$8)</f>
        <v>0</v>
      </c>
      <c r="DE23" s="28">
        <f>SUMIF('Lease Cycles'!$HL$8:$HR$8,DE$6,'Lease Cycles'!$HZ$8:$IF$8)</f>
        <v>0</v>
      </c>
      <c r="DF23" s="28">
        <f>SUMIF('Lease Cycles'!$HL$8:$HR$8,DF$6,'Lease Cycles'!$HZ$8:$IF$8)</f>
        <v>0</v>
      </c>
      <c r="DG23" s="28">
        <f>SUMIF('Lease Cycles'!$HL$8:$HR$8,DG$6,'Lease Cycles'!$HZ$8:$IF$8)</f>
        <v>0</v>
      </c>
      <c r="DH23" s="28">
        <f>SUMIF('Lease Cycles'!$HL$8:$HR$8,DH$6,'Lease Cycles'!$HZ$8:$IF$8)</f>
        <v>0</v>
      </c>
      <c r="DI23" s="28">
        <f>SUMIF('Lease Cycles'!$HL$8:$HR$8,DI$6,'Lease Cycles'!$HZ$8:$IF$8)</f>
        <v>0</v>
      </c>
      <c r="DJ23" s="28">
        <f>SUMIF('Lease Cycles'!$HL$8:$HR$8,DJ$6,'Lease Cycles'!$HZ$8:$IF$8)</f>
        <v>0</v>
      </c>
      <c r="DK23" s="28">
        <f>SUMIF('Lease Cycles'!$HL$8:$HR$8,DK$6,'Lease Cycles'!$HZ$8:$IF$8)</f>
        <v>0</v>
      </c>
      <c r="DL23" s="28">
        <f>SUMIF('Lease Cycles'!$HL$8:$HR$8,DL$6,'Lease Cycles'!$HZ$8:$IF$8)</f>
        <v>0</v>
      </c>
      <c r="DM23" s="28">
        <f>SUMIF('Lease Cycles'!$HL$8:$HR$8,DM$6,'Lease Cycles'!$HZ$8:$IF$8)</f>
        <v>0</v>
      </c>
      <c r="DN23" s="28">
        <f>SUMIF('Lease Cycles'!$HL$8:$HR$8,DN$6,'Lease Cycles'!$HZ$8:$IF$8)</f>
        <v>0</v>
      </c>
      <c r="DO23" s="28">
        <f>SUMIF('Lease Cycles'!$HL$8:$HR$8,DO$6,'Lease Cycles'!$HZ$8:$IF$8)</f>
        <v>0</v>
      </c>
      <c r="DP23" s="28">
        <f>SUMIF('Lease Cycles'!$HL$8:$HR$8,DP$6,'Lease Cycles'!$HZ$8:$IF$8)</f>
        <v>0</v>
      </c>
      <c r="DQ23" s="28">
        <f>SUMIF('Lease Cycles'!$HL$8:$HR$8,DQ$6,'Lease Cycles'!$HZ$8:$IF$8)</f>
        <v>0</v>
      </c>
      <c r="DR23" s="28">
        <f>SUMIF('Lease Cycles'!$HL$8:$HR$8,DR$6,'Lease Cycles'!$HZ$8:$IF$8)</f>
        <v>0</v>
      </c>
      <c r="DS23" s="28">
        <f>SUMIF('Lease Cycles'!$HL$8:$HR$8,DS$6,'Lease Cycles'!$HZ$8:$IF$8)</f>
        <v>0</v>
      </c>
      <c r="DT23" s="28">
        <f>SUMIF('Lease Cycles'!$HL$8:$HR$8,DT$6,'Lease Cycles'!$HZ$8:$IF$8)</f>
        <v>0</v>
      </c>
      <c r="DU23" s="28">
        <f>SUMIF('Lease Cycles'!$HL$8:$HR$8,DU$6,'Lease Cycles'!$HZ$8:$IF$8)</f>
        <v>0</v>
      </c>
      <c r="DV23" s="28">
        <f>SUMIF('Lease Cycles'!$HL$8:$HR$8,DV$6,'Lease Cycles'!$HZ$8:$IF$8)</f>
        <v>0</v>
      </c>
      <c r="DW23" s="28">
        <f>SUMIF('Lease Cycles'!$HL$8:$HR$8,DW$6,'Lease Cycles'!$HZ$8:$IF$8)</f>
        <v>0</v>
      </c>
      <c r="DX23" s="28">
        <f>SUMIF('Lease Cycles'!$HL$8:$HR$8,DX$6,'Lease Cycles'!$HZ$8:$IF$8)</f>
        <v>0</v>
      </c>
      <c r="DY23" s="28">
        <f>SUMIF('Lease Cycles'!$HL$8:$HR$8,DY$6,'Lease Cycles'!$HZ$8:$IF$8)</f>
        <v>0</v>
      </c>
      <c r="DZ23" s="28">
        <f>SUMIF('Lease Cycles'!$HL$8:$HR$8,DZ$6,'Lease Cycles'!$HZ$8:$IF$8)</f>
        <v>0</v>
      </c>
      <c r="EA23" s="28">
        <f>SUMIF('Lease Cycles'!$HL$8:$HR$8,EA$6,'Lease Cycles'!$HZ$8:$IF$8)</f>
        <v>0</v>
      </c>
      <c r="EB23" s="28">
        <f>SUMIF('Lease Cycles'!$HL$8:$HR$8,EB$6,'Lease Cycles'!$HZ$8:$IF$8)</f>
        <v>0</v>
      </c>
      <c r="EC23" s="28">
        <f>SUMIF('Lease Cycles'!$HL$8:$HR$8,EC$6,'Lease Cycles'!$HZ$8:$IF$8)</f>
        <v>0</v>
      </c>
      <c r="ED23" s="28">
        <f>SUMIF('Lease Cycles'!$HL$8:$HR$8,ED$6,'Lease Cycles'!$HZ$8:$IF$8)</f>
        <v>0</v>
      </c>
      <c r="EE23" s="28">
        <f>SUMIF('Lease Cycles'!$HL$8:$HR$8,EE$6,'Lease Cycles'!$HZ$8:$IF$8)</f>
        <v>0</v>
      </c>
      <c r="EF23" s="28">
        <f>SUMIF('Lease Cycles'!$HL$8:$HR$8,EF$6,'Lease Cycles'!$HZ$8:$IF$8)</f>
        <v>0</v>
      </c>
      <c r="EG23" s="28">
        <f>SUMIF('Lease Cycles'!$HL$8:$HR$8,EG$6,'Lease Cycles'!$HZ$8:$IF$8)</f>
        <v>0</v>
      </c>
      <c r="EH23" s="28">
        <f>SUMIF('Lease Cycles'!$HL$8:$HR$8,EH$6,'Lease Cycles'!$HZ$8:$IF$8)</f>
        <v>0</v>
      </c>
      <c r="EI23" s="28">
        <f>SUMIF('Lease Cycles'!$HL$8:$HR$8,EI$6,'Lease Cycles'!$HZ$8:$IF$8)</f>
        <v>0</v>
      </c>
      <c r="EJ23" s="28">
        <f>SUMIF('Lease Cycles'!$HL$8:$HR$8,EJ$6,'Lease Cycles'!$HZ$8:$IF$8)</f>
        <v>0</v>
      </c>
      <c r="EK23" s="28">
        <f>SUMIF('Lease Cycles'!$HL$8:$HR$8,EK$6,'Lease Cycles'!$HZ$8:$IF$8)</f>
        <v>0</v>
      </c>
      <c r="EL23" s="28">
        <f>SUMIF('Lease Cycles'!$HL$8:$HR$8,EL$6,'Lease Cycles'!$HZ$8:$IF$8)</f>
        <v>0</v>
      </c>
      <c r="EM23" s="28">
        <f>SUMIF('Lease Cycles'!$HL$8:$HR$8,EM$6,'Lease Cycles'!$HZ$8:$IF$8)</f>
        <v>0</v>
      </c>
      <c r="EN23" s="28">
        <f>SUMIF('Lease Cycles'!$HL$8:$HR$8,EN$6,'Lease Cycles'!$HZ$8:$IF$8)</f>
        <v>0</v>
      </c>
      <c r="EO23" s="28">
        <f>SUMIF('Lease Cycles'!$HL$8:$HR$8,EO$6,'Lease Cycles'!$HZ$8:$IF$8)</f>
        <v>0</v>
      </c>
      <c r="EP23" s="28">
        <f>SUMIF('Lease Cycles'!$HL$8:$HR$8,EP$6,'Lease Cycles'!$HZ$8:$IF$8)</f>
        <v>0</v>
      </c>
      <c r="EQ23" s="28">
        <f>SUMIF('Lease Cycles'!$HL$8:$HR$8,EQ$6,'Lease Cycles'!$HZ$8:$IF$8)</f>
        <v>0</v>
      </c>
      <c r="ER23" s="28">
        <f>SUMIF('Lease Cycles'!$HL$8:$HR$8,ER$6,'Lease Cycles'!$HZ$8:$IF$8)</f>
        <v>0</v>
      </c>
      <c r="ES23" s="28">
        <f>SUMIF('Lease Cycles'!$HL$8:$HR$8,ES$6,'Lease Cycles'!$HZ$8:$IF$8)</f>
        <v>0</v>
      </c>
      <c r="ET23" s="28">
        <f>SUMIF('Lease Cycles'!$HL$8:$HR$8,ET$6,'Lease Cycles'!$HZ$8:$IF$8)</f>
        <v>0</v>
      </c>
    </row>
    <row r="24">
      <c r="A24" s="103">
        <v>1</v>
      </c>
      <c r="B24" s="23" t="str">
        <f>IF('Lease Cycles'!$B$8="","(empty slot)",'Lease Cycles'!$B$8)</f>
        <v>Fieldstone Grocery</v>
      </c>
      <c r="C24" s="23" t="s">
        <v>691</v>
      </c>
      <c r="D24" s="104" t="s">
        <v>692</v>
      </c>
      <c r="E24" s="25">
        <f>'Lease Cycles'!$AL$8</f>
        <v>1</v>
      </c>
      <c r="G24" s="28">
        <f>SUM(S24:AD24)</f>
        <v>0</v>
      </c>
      <c r="H24" s="28">
        <f>SUM(AE24:AP24)</f>
        <v>0</v>
      </c>
      <c r="I24" s="28">
        <f>SUM(AQ24:BB24)</f>
        <v>0</v>
      </c>
      <c r="J24" s="28">
        <f>SUM(BC24:BN24)</f>
        <v>0</v>
      </c>
      <c r="K24" s="28">
        <f>SUM(BO24:BZ24)</f>
        <v>0</v>
      </c>
      <c r="L24" s="28">
        <f>SUM(CA24:CL24)</f>
        <v>0</v>
      </c>
      <c r="M24" s="28">
        <f>SUM(CM24:CX24)</f>
        <v>0</v>
      </c>
      <c r="N24" s="28">
        <f>SUM(CY24:DJ24)</f>
        <v>0</v>
      </c>
      <c r="O24" s="28">
        <f>SUM(DK24:DV24)</f>
        <v>0</v>
      </c>
      <c r="P24" s="28">
        <f>SUM(DW24:EH24)</f>
        <v>0</v>
      </c>
      <c r="Q24" s="28">
        <f>SUM(EI24:ET24)</f>
        <v>0</v>
      </c>
      <c r="S24" s="28">
        <f>IF(S$6='Lease Cycles'!$HL$8,'Lease Cycles'!$HS$8+'Lease Cycles'!$HZ$8,0)</f>
        <v>0</v>
      </c>
      <c r="T24" s="28">
        <f>IF(T$6='Lease Cycles'!$HL$8,'Lease Cycles'!$HS$8+'Lease Cycles'!$HZ$8,0)</f>
        <v>0</v>
      </c>
      <c r="U24" s="28">
        <f>IF(U$6='Lease Cycles'!$HL$8,'Lease Cycles'!$HS$8+'Lease Cycles'!$HZ$8,0)</f>
        <v>0</v>
      </c>
      <c r="V24" s="28">
        <f>IF(V$6='Lease Cycles'!$HL$8,'Lease Cycles'!$HS$8+'Lease Cycles'!$HZ$8,0)</f>
        <v>0</v>
      </c>
      <c r="W24" s="28">
        <f>IF(W$6='Lease Cycles'!$HL$8,'Lease Cycles'!$HS$8+'Lease Cycles'!$HZ$8,0)</f>
        <v>0</v>
      </c>
      <c r="X24" s="28">
        <f>IF(X$6='Lease Cycles'!$HL$8,'Lease Cycles'!$HS$8+'Lease Cycles'!$HZ$8,0)</f>
        <v>0</v>
      </c>
      <c r="Y24" s="28">
        <f>IF(Y$6='Lease Cycles'!$HL$8,'Lease Cycles'!$HS$8+'Lease Cycles'!$HZ$8,0)</f>
        <v>0</v>
      </c>
      <c r="Z24" s="28">
        <f>IF(Z$6='Lease Cycles'!$HL$8,'Lease Cycles'!$HS$8+'Lease Cycles'!$HZ$8,0)</f>
        <v>0</v>
      </c>
      <c r="AA24" s="28">
        <f>IF(AA$6='Lease Cycles'!$HL$8,'Lease Cycles'!$HS$8+'Lease Cycles'!$HZ$8,0)</f>
        <v>0</v>
      </c>
      <c r="AB24" s="28">
        <f>IF(AB$6='Lease Cycles'!$HL$8,'Lease Cycles'!$HS$8+'Lease Cycles'!$HZ$8,0)</f>
        <v>0</v>
      </c>
      <c r="AC24" s="28">
        <f>IF(AC$6='Lease Cycles'!$HL$8,'Lease Cycles'!$HS$8+'Lease Cycles'!$HZ$8,0)</f>
        <v>0</v>
      </c>
      <c r="AD24" s="28">
        <f>IF(AD$6='Lease Cycles'!$HL$8,'Lease Cycles'!$HS$8+'Lease Cycles'!$HZ$8,0)</f>
        <v>0</v>
      </c>
      <c r="AE24" s="28">
        <f>IF(AE$6='Lease Cycles'!$HL$8,'Lease Cycles'!$HS$8+'Lease Cycles'!$HZ$8,0)</f>
        <v>0</v>
      </c>
      <c r="AF24" s="28">
        <f>IF(AF$6='Lease Cycles'!$HL$8,'Lease Cycles'!$HS$8+'Lease Cycles'!$HZ$8,0)</f>
        <v>0</v>
      </c>
      <c r="AG24" s="28">
        <f>IF(AG$6='Lease Cycles'!$HL$8,'Lease Cycles'!$HS$8+'Lease Cycles'!$HZ$8,0)</f>
        <v>0</v>
      </c>
      <c r="AH24" s="28">
        <f>IF(AH$6='Lease Cycles'!$HL$8,'Lease Cycles'!$HS$8+'Lease Cycles'!$HZ$8,0)</f>
        <v>0</v>
      </c>
      <c r="AI24" s="28">
        <f>IF(AI$6='Lease Cycles'!$HL$8,'Lease Cycles'!$HS$8+'Lease Cycles'!$HZ$8,0)</f>
        <v>0</v>
      </c>
      <c r="AJ24" s="28">
        <f>IF(AJ$6='Lease Cycles'!$HL$8,'Lease Cycles'!$HS$8+'Lease Cycles'!$HZ$8,0)</f>
        <v>0</v>
      </c>
      <c r="AK24" s="28">
        <f>IF(AK$6='Lease Cycles'!$HL$8,'Lease Cycles'!$HS$8+'Lease Cycles'!$HZ$8,0)</f>
        <v>0</v>
      </c>
      <c r="AL24" s="28">
        <f>IF(AL$6='Lease Cycles'!$HL$8,'Lease Cycles'!$HS$8+'Lease Cycles'!$HZ$8,0)</f>
        <v>0</v>
      </c>
      <c r="AM24" s="28">
        <f>IF(AM$6='Lease Cycles'!$HL$8,'Lease Cycles'!$HS$8+'Lease Cycles'!$HZ$8,0)</f>
        <v>0</v>
      </c>
      <c r="AN24" s="28">
        <f>IF(AN$6='Lease Cycles'!$HL$8,'Lease Cycles'!$HS$8+'Lease Cycles'!$HZ$8,0)</f>
        <v>0</v>
      </c>
      <c r="AO24" s="28">
        <f>IF(AO$6='Lease Cycles'!$HL$8,'Lease Cycles'!$HS$8+'Lease Cycles'!$HZ$8,0)</f>
        <v>0</v>
      </c>
      <c r="AP24" s="28">
        <f>IF(AP$6='Lease Cycles'!$HL$8,'Lease Cycles'!$HS$8+'Lease Cycles'!$HZ$8,0)</f>
        <v>0</v>
      </c>
      <c r="AQ24" s="28">
        <f>IF(AQ$6='Lease Cycles'!$HL$8,'Lease Cycles'!$HS$8+'Lease Cycles'!$HZ$8,0)</f>
        <v>0</v>
      </c>
      <c r="AR24" s="28">
        <f>IF(AR$6='Lease Cycles'!$HL$8,'Lease Cycles'!$HS$8+'Lease Cycles'!$HZ$8,0)</f>
        <v>0</v>
      </c>
      <c r="AS24" s="28">
        <f>IF(AS$6='Lease Cycles'!$HL$8,'Lease Cycles'!$HS$8+'Lease Cycles'!$HZ$8,0)</f>
        <v>0</v>
      </c>
      <c r="AT24" s="28">
        <f>IF(AT$6='Lease Cycles'!$HL$8,'Lease Cycles'!$HS$8+'Lease Cycles'!$HZ$8,0)</f>
        <v>0</v>
      </c>
      <c r="AU24" s="28">
        <f>IF(AU$6='Lease Cycles'!$HL$8,'Lease Cycles'!$HS$8+'Lease Cycles'!$HZ$8,0)</f>
        <v>0</v>
      </c>
      <c r="AV24" s="28">
        <f>IF(AV$6='Lease Cycles'!$HL$8,'Lease Cycles'!$HS$8+'Lease Cycles'!$HZ$8,0)</f>
        <v>0</v>
      </c>
      <c r="AW24" s="28">
        <f>IF(AW$6='Lease Cycles'!$HL$8,'Lease Cycles'!$HS$8+'Lease Cycles'!$HZ$8,0)</f>
        <v>0</v>
      </c>
      <c r="AX24" s="28">
        <f>IF(AX$6='Lease Cycles'!$HL$8,'Lease Cycles'!$HS$8+'Lease Cycles'!$HZ$8,0)</f>
        <v>0</v>
      </c>
      <c r="AY24" s="28">
        <f>IF(AY$6='Lease Cycles'!$HL$8,'Lease Cycles'!$HS$8+'Lease Cycles'!$HZ$8,0)</f>
        <v>0</v>
      </c>
      <c r="AZ24" s="28">
        <f>IF(AZ$6='Lease Cycles'!$HL$8,'Lease Cycles'!$HS$8+'Lease Cycles'!$HZ$8,0)</f>
        <v>0</v>
      </c>
      <c r="BA24" s="28">
        <f>IF(BA$6='Lease Cycles'!$HL$8,'Lease Cycles'!$HS$8+'Lease Cycles'!$HZ$8,0)</f>
        <v>0</v>
      </c>
      <c r="BB24" s="28">
        <f>IF(BB$6='Lease Cycles'!$HL$8,'Lease Cycles'!$HS$8+'Lease Cycles'!$HZ$8,0)</f>
        <v>0</v>
      </c>
      <c r="BC24" s="28">
        <f>IF(BC$6='Lease Cycles'!$HL$8,'Lease Cycles'!$HS$8+'Lease Cycles'!$HZ$8,0)</f>
        <v>0</v>
      </c>
      <c r="BD24" s="28">
        <f>IF(BD$6='Lease Cycles'!$HL$8,'Lease Cycles'!$HS$8+'Lease Cycles'!$HZ$8,0)</f>
        <v>0</v>
      </c>
      <c r="BE24" s="28">
        <f>IF(BE$6='Lease Cycles'!$HL$8,'Lease Cycles'!$HS$8+'Lease Cycles'!$HZ$8,0)</f>
        <v>0</v>
      </c>
      <c r="BF24" s="28">
        <f>IF(BF$6='Lease Cycles'!$HL$8,'Lease Cycles'!$HS$8+'Lease Cycles'!$HZ$8,0)</f>
        <v>0</v>
      </c>
      <c r="BG24" s="28">
        <f>IF(BG$6='Lease Cycles'!$HL$8,'Lease Cycles'!$HS$8+'Lease Cycles'!$HZ$8,0)</f>
        <v>0</v>
      </c>
      <c r="BH24" s="28">
        <f>IF(BH$6='Lease Cycles'!$HL$8,'Lease Cycles'!$HS$8+'Lease Cycles'!$HZ$8,0)</f>
        <v>0</v>
      </c>
      <c r="BI24" s="28">
        <f>IF(BI$6='Lease Cycles'!$HL$8,'Lease Cycles'!$HS$8+'Lease Cycles'!$HZ$8,0)</f>
        <v>0</v>
      </c>
      <c r="BJ24" s="28">
        <f>IF(BJ$6='Lease Cycles'!$HL$8,'Lease Cycles'!$HS$8+'Lease Cycles'!$HZ$8,0)</f>
        <v>0</v>
      </c>
      <c r="BK24" s="28">
        <f>IF(BK$6='Lease Cycles'!$HL$8,'Lease Cycles'!$HS$8+'Lease Cycles'!$HZ$8,0)</f>
        <v>0</v>
      </c>
      <c r="BL24" s="28">
        <f>IF(BL$6='Lease Cycles'!$HL$8,'Lease Cycles'!$HS$8+'Lease Cycles'!$HZ$8,0)</f>
        <v>0</v>
      </c>
      <c r="BM24" s="28">
        <f>IF(BM$6='Lease Cycles'!$HL$8,'Lease Cycles'!$HS$8+'Lease Cycles'!$HZ$8,0)</f>
        <v>0</v>
      </c>
      <c r="BN24" s="28">
        <f>IF(BN$6='Lease Cycles'!$HL$8,'Lease Cycles'!$HS$8+'Lease Cycles'!$HZ$8,0)</f>
        <v>0</v>
      </c>
      <c r="BO24" s="28">
        <f>IF(BO$6='Lease Cycles'!$HL$8,'Lease Cycles'!$HS$8+'Lease Cycles'!$HZ$8,0)</f>
        <v>0</v>
      </c>
      <c r="BP24" s="28">
        <f>IF(BP$6='Lease Cycles'!$HL$8,'Lease Cycles'!$HS$8+'Lease Cycles'!$HZ$8,0)</f>
        <v>0</v>
      </c>
      <c r="BQ24" s="28">
        <f>IF(BQ$6='Lease Cycles'!$HL$8,'Lease Cycles'!$HS$8+'Lease Cycles'!$HZ$8,0)</f>
        <v>0</v>
      </c>
      <c r="BR24" s="28">
        <f>IF(BR$6='Lease Cycles'!$HL$8,'Lease Cycles'!$HS$8+'Lease Cycles'!$HZ$8,0)</f>
        <v>0</v>
      </c>
      <c r="BS24" s="28">
        <f>IF(BS$6='Lease Cycles'!$HL$8,'Lease Cycles'!$HS$8+'Lease Cycles'!$HZ$8,0)</f>
        <v>0</v>
      </c>
      <c r="BT24" s="28">
        <f>IF(BT$6='Lease Cycles'!$HL$8,'Lease Cycles'!$HS$8+'Lease Cycles'!$HZ$8,0)</f>
        <v>0</v>
      </c>
      <c r="BU24" s="28">
        <f>IF(BU$6='Lease Cycles'!$HL$8,'Lease Cycles'!$HS$8+'Lease Cycles'!$HZ$8,0)</f>
        <v>0</v>
      </c>
      <c r="BV24" s="28">
        <f>IF(BV$6='Lease Cycles'!$HL$8,'Lease Cycles'!$HS$8+'Lease Cycles'!$HZ$8,0)</f>
        <v>0</v>
      </c>
      <c r="BW24" s="28">
        <f>IF(BW$6='Lease Cycles'!$HL$8,'Lease Cycles'!$HS$8+'Lease Cycles'!$HZ$8,0)</f>
        <v>0</v>
      </c>
      <c r="BX24" s="28">
        <f>IF(BX$6='Lease Cycles'!$HL$8,'Lease Cycles'!$HS$8+'Lease Cycles'!$HZ$8,0)</f>
        <v>0</v>
      </c>
      <c r="BY24" s="28">
        <f>IF(BY$6='Lease Cycles'!$HL$8,'Lease Cycles'!$HS$8+'Lease Cycles'!$HZ$8,0)</f>
        <v>0</v>
      </c>
      <c r="BZ24" s="28">
        <f>IF(BZ$6='Lease Cycles'!$HL$8,'Lease Cycles'!$HS$8+'Lease Cycles'!$HZ$8,0)</f>
        <v>0</v>
      </c>
      <c r="CA24" s="28">
        <f>IF(CA$6='Lease Cycles'!$HL$8,'Lease Cycles'!$HS$8+'Lease Cycles'!$HZ$8,0)</f>
        <v>0</v>
      </c>
      <c r="CB24" s="28">
        <f>IF(CB$6='Lease Cycles'!$HL$8,'Lease Cycles'!$HS$8+'Lease Cycles'!$HZ$8,0)</f>
        <v>0</v>
      </c>
      <c r="CC24" s="28">
        <f>IF(CC$6='Lease Cycles'!$HL$8,'Lease Cycles'!$HS$8+'Lease Cycles'!$HZ$8,0)</f>
        <v>0</v>
      </c>
      <c r="CD24" s="28">
        <f>IF(CD$6='Lease Cycles'!$HL$8,'Lease Cycles'!$HS$8+'Lease Cycles'!$HZ$8,0)</f>
        <v>0</v>
      </c>
      <c r="CE24" s="28">
        <f>IF(CE$6='Lease Cycles'!$HL$8,'Lease Cycles'!$HS$8+'Lease Cycles'!$HZ$8,0)</f>
        <v>0</v>
      </c>
      <c r="CF24" s="28">
        <f>IF(CF$6='Lease Cycles'!$HL$8,'Lease Cycles'!$HS$8+'Lease Cycles'!$HZ$8,0)</f>
        <v>0</v>
      </c>
      <c r="CG24" s="28">
        <f>IF(CG$6='Lease Cycles'!$HL$8,'Lease Cycles'!$HS$8+'Lease Cycles'!$HZ$8,0)</f>
        <v>0</v>
      </c>
      <c r="CH24" s="28">
        <f>IF(CH$6='Lease Cycles'!$HL$8,'Lease Cycles'!$HS$8+'Lease Cycles'!$HZ$8,0)</f>
        <v>0</v>
      </c>
      <c r="CI24" s="28">
        <f>IF(CI$6='Lease Cycles'!$HL$8,'Lease Cycles'!$HS$8+'Lease Cycles'!$HZ$8,0)</f>
        <v>0</v>
      </c>
      <c r="CJ24" s="28">
        <f>IF(CJ$6='Lease Cycles'!$HL$8,'Lease Cycles'!$HS$8+'Lease Cycles'!$HZ$8,0)</f>
        <v>0</v>
      </c>
      <c r="CK24" s="28">
        <f>IF(CK$6='Lease Cycles'!$HL$8,'Lease Cycles'!$HS$8+'Lease Cycles'!$HZ$8,0)</f>
        <v>0</v>
      </c>
      <c r="CL24" s="28">
        <f>IF(CL$6='Lease Cycles'!$HL$8,'Lease Cycles'!$HS$8+'Lease Cycles'!$HZ$8,0)</f>
        <v>0</v>
      </c>
      <c r="CM24" s="28">
        <f>IF(CM$6='Lease Cycles'!$HL$8,'Lease Cycles'!$HS$8+'Lease Cycles'!$HZ$8,0)</f>
        <v>0</v>
      </c>
      <c r="CN24" s="28">
        <f>IF(CN$6='Lease Cycles'!$HL$8,'Lease Cycles'!$HS$8+'Lease Cycles'!$HZ$8,0)</f>
        <v>0</v>
      </c>
      <c r="CO24" s="28">
        <f>IF(CO$6='Lease Cycles'!$HL$8,'Lease Cycles'!$HS$8+'Lease Cycles'!$HZ$8,0)</f>
        <v>0</v>
      </c>
      <c r="CP24" s="28">
        <f>IF(CP$6='Lease Cycles'!$HL$8,'Lease Cycles'!$HS$8+'Lease Cycles'!$HZ$8,0)</f>
        <v>0</v>
      </c>
      <c r="CQ24" s="28">
        <f>IF(CQ$6='Lease Cycles'!$HL$8,'Lease Cycles'!$HS$8+'Lease Cycles'!$HZ$8,0)</f>
        <v>0</v>
      </c>
      <c r="CR24" s="28">
        <f>IF(CR$6='Lease Cycles'!$HL$8,'Lease Cycles'!$HS$8+'Lease Cycles'!$HZ$8,0)</f>
        <v>0</v>
      </c>
      <c r="CS24" s="28">
        <f>IF(CS$6='Lease Cycles'!$HL$8,'Lease Cycles'!$HS$8+'Lease Cycles'!$HZ$8,0)</f>
        <v>0</v>
      </c>
      <c r="CT24" s="28">
        <f>IF(CT$6='Lease Cycles'!$HL$8,'Lease Cycles'!$HS$8+'Lease Cycles'!$HZ$8,0)</f>
        <v>0</v>
      </c>
      <c r="CU24" s="28">
        <f>IF(CU$6='Lease Cycles'!$HL$8,'Lease Cycles'!$HS$8+'Lease Cycles'!$HZ$8,0)</f>
        <v>0</v>
      </c>
      <c r="CV24" s="28">
        <f>IF(CV$6='Lease Cycles'!$HL$8,'Lease Cycles'!$HS$8+'Lease Cycles'!$HZ$8,0)</f>
        <v>0</v>
      </c>
      <c r="CW24" s="28">
        <f>IF(CW$6='Lease Cycles'!$HL$8,'Lease Cycles'!$HS$8+'Lease Cycles'!$HZ$8,0)</f>
        <v>0</v>
      </c>
      <c r="CX24" s="28">
        <f>IF(CX$6='Lease Cycles'!$HL$8,'Lease Cycles'!$HS$8+'Lease Cycles'!$HZ$8,0)</f>
        <v>0</v>
      </c>
      <c r="CY24" s="28">
        <f>IF(CY$6='Lease Cycles'!$HL$8,'Lease Cycles'!$HS$8+'Lease Cycles'!$HZ$8,0)</f>
        <v>0</v>
      </c>
      <c r="CZ24" s="28">
        <f>IF(CZ$6='Lease Cycles'!$HL$8,'Lease Cycles'!$HS$8+'Lease Cycles'!$HZ$8,0)</f>
        <v>0</v>
      </c>
      <c r="DA24" s="28">
        <f>IF(DA$6='Lease Cycles'!$HL$8,'Lease Cycles'!$HS$8+'Lease Cycles'!$HZ$8,0)</f>
        <v>0</v>
      </c>
      <c r="DB24" s="28">
        <f>IF(DB$6='Lease Cycles'!$HL$8,'Lease Cycles'!$HS$8+'Lease Cycles'!$HZ$8,0)</f>
        <v>0</v>
      </c>
      <c r="DC24" s="28">
        <f>IF(DC$6='Lease Cycles'!$HL$8,'Lease Cycles'!$HS$8+'Lease Cycles'!$HZ$8,0)</f>
        <v>0</v>
      </c>
      <c r="DD24" s="28">
        <f>IF(DD$6='Lease Cycles'!$HL$8,'Lease Cycles'!$HS$8+'Lease Cycles'!$HZ$8,0)</f>
        <v>0</v>
      </c>
      <c r="DE24" s="28">
        <f>IF(DE$6='Lease Cycles'!$HL$8,'Lease Cycles'!$HS$8+'Lease Cycles'!$HZ$8,0)</f>
        <v>0</v>
      </c>
      <c r="DF24" s="28">
        <f>IF(DF$6='Lease Cycles'!$HL$8,'Lease Cycles'!$HS$8+'Lease Cycles'!$HZ$8,0)</f>
        <v>0</v>
      </c>
      <c r="DG24" s="28">
        <f>IF(DG$6='Lease Cycles'!$HL$8,'Lease Cycles'!$HS$8+'Lease Cycles'!$HZ$8,0)</f>
        <v>0</v>
      </c>
      <c r="DH24" s="28">
        <f>IF(DH$6='Lease Cycles'!$HL$8,'Lease Cycles'!$HS$8+'Lease Cycles'!$HZ$8,0)</f>
        <v>0</v>
      </c>
      <c r="DI24" s="28">
        <f>IF(DI$6='Lease Cycles'!$HL$8,'Lease Cycles'!$HS$8+'Lease Cycles'!$HZ$8,0)</f>
        <v>0</v>
      </c>
      <c r="DJ24" s="28">
        <f>IF(DJ$6='Lease Cycles'!$HL$8,'Lease Cycles'!$HS$8+'Lease Cycles'!$HZ$8,0)</f>
        <v>0</v>
      </c>
      <c r="DK24" s="28">
        <f>IF(DK$6='Lease Cycles'!$HL$8,'Lease Cycles'!$HS$8+'Lease Cycles'!$HZ$8,0)</f>
        <v>0</v>
      </c>
      <c r="DL24" s="28">
        <f>IF(DL$6='Lease Cycles'!$HL$8,'Lease Cycles'!$HS$8+'Lease Cycles'!$HZ$8,0)</f>
        <v>0</v>
      </c>
      <c r="DM24" s="28">
        <f>IF(DM$6='Lease Cycles'!$HL$8,'Lease Cycles'!$HS$8+'Lease Cycles'!$HZ$8,0)</f>
        <v>0</v>
      </c>
      <c r="DN24" s="28">
        <f>IF(DN$6='Lease Cycles'!$HL$8,'Lease Cycles'!$HS$8+'Lease Cycles'!$HZ$8,0)</f>
        <v>0</v>
      </c>
      <c r="DO24" s="28">
        <f>IF(DO$6='Lease Cycles'!$HL$8,'Lease Cycles'!$HS$8+'Lease Cycles'!$HZ$8,0)</f>
        <v>0</v>
      </c>
      <c r="DP24" s="28">
        <f>IF(DP$6='Lease Cycles'!$HL$8,'Lease Cycles'!$HS$8+'Lease Cycles'!$HZ$8,0)</f>
        <v>0</v>
      </c>
      <c r="DQ24" s="28">
        <f>IF(DQ$6='Lease Cycles'!$HL$8,'Lease Cycles'!$HS$8+'Lease Cycles'!$HZ$8,0)</f>
        <v>0</v>
      </c>
      <c r="DR24" s="28">
        <f>IF(DR$6='Lease Cycles'!$HL$8,'Lease Cycles'!$HS$8+'Lease Cycles'!$HZ$8,0)</f>
        <v>0</v>
      </c>
      <c r="DS24" s="28">
        <f>IF(DS$6='Lease Cycles'!$HL$8,'Lease Cycles'!$HS$8+'Lease Cycles'!$HZ$8,0)</f>
        <v>0</v>
      </c>
      <c r="DT24" s="28">
        <f>IF(DT$6='Lease Cycles'!$HL$8,'Lease Cycles'!$HS$8+'Lease Cycles'!$HZ$8,0)</f>
        <v>0</v>
      </c>
      <c r="DU24" s="28">
        <f>IF(DU$6='Lease Cycles'!$HL$8,'Lease Cycles'!$HS$8+'Lease Cycles'!$HZ$8,0)</f>
        <v>0</v>
      </c>
      <c r="DV24" s="28">
        <f>IF(DV$6='Lease Cycles'!$HL$8,'Lease Cycles'!$HS$8+'Lease Cycles'!$HZ$8,0)</f>
        <v>0</v>
      </c>
      <c r="DW24" s="28">
        <f>IF(DW$6='Lease Cycles'!$HL$8,'Lease Cycles'!$HS$8+'Lease Cycles'!$HZ$8,0)</f>
        <v>0</v>
      </c>
      <c r="DX24" s="28">
        <f>IF(DX$6='Lease Cycles'!$HL$8,'Lease Cycles'!$HS$8+'Lease Cycles'!$HZ$8,0)</f>
        <v>0</v>
      </c>
      <c r="DY24" s="28">
        <f>IF(DY$6='Lease Cycles'!$HL$8,'Lease Cycles'!$HS$8+'Lease Cycles'!$HZ$8,0)</f>
        <v>0</v>
      </c>
      <c r="DZ24" s="28">
        <f>IF(DZ$6='Lease Cycles'!$HL$8,'Lease Cycles'!$HS$8+'Lease Cycles'!$HZ$8,0)</f>
        <v>0</v>
      </c>
      <c r="EA24" s="28">
        <f>IF(EA$6='Lease Cycles'!$HL$8,'Lease Cycles'!$HS$8+'Lease Cycles'!$HZ$8,0)</f>
        <v>0</v>
      </c>
      <c r="EB24" s="28">
        <f>IF(EB$6='Lease Cycles'!$HL$8,'Lease Cycles'!$HS$8+'Lease Cycles'!$HZ$8,0)</f>
        <v>0</v>
      </c>
      <c r="EC24" s="28">
        <f>IF(EC$6='Lease Cycles'!$HL$8,'Lease Cycles'!$HS$8+'Lease Cycles'!$HZ$8,0)</f>
        <v>0</v>
      </c>
      <c r="ED24" s="28">
        <f>IF(ED$6='Lease Cycles'!$HL$8,'Lease Cycles'!$HS$8+'Lease Cycles'!$HZ$8,0)</f>
        <v>0</v>
      </c>
      <c r="EE24" s="28">
        <f>IF(EE$6='Lease Cycles'!$HL$8,'Lease Cycles'!$HS$8+'Lease Cycles'!$HZ$8,0)</f>
        <v>0</v>
      </c>
      <c r="EF24" s="28">
        <f>IF(EF$6='Lease Cycles'!$HL$8,'Lease Cycles'!$HS$8+'Lease Cycles'!$HZ$8,0)</f>
        <v>0</v>
      </c>
      <c r="EG24" s="28">
        <f>IF(EG$6='Lease Cycles'!$HL$8,'Lease Cycles'!$HS$8+'Lease Cycles'!$HZ$8,0)</f>
        <v>0</v>
      </c>
      <c r="EH24" s="28">
        <f>IF(EH$6='Lease Cycles'!$HL$8,'Lease Cycles'!$HS$8+'Lease Cycles'!$HZ$8,0)</f>
        <v>0</v>
      </c>
      <c r="EI24" s="28">
        <f>IF(EI$6='Lease Cycles'!$HL$8,'Lease Cycles'!$HS$8+'Lease Cycles'!$HZ$8,0)</f>
        <v>0</v>
      </c>
      <c r="EJ24" s="28">
        <f>IF(EJ$6='Lease Cycles'!$HL$8,'Lease Cycles'!$HS$8+'Lease Cycles'!$HZ$8,0)</f>
        <v>0</v>
      </c>
      <c r="EK24" s="28">
        <f>IF(EK$6='Lease Cycles'!$HL$8,'Lease Cycles'!$HS$8+'Lease Cycles'!$HZ$8,0)</f>
        <v>0</v>
      </c>
      <c r="EL24" s="28">
        <f>IF(EL$6='Lease Cycles'!$HL$8,'Lease Cycles'!$HS$8+'Lease Cycles'!$HZ$8,0)</f>
        <v>0</v>
      </c>
      <c r="EM24" s="28">
        <f>IF(EM$6='Lease Cycles'!$HL$8,'Lease Cycles'!$HS$8+'Lease Cycles'!$HZ$8,0)</f>
        <v>0</v>
      </c>
      <c r="EN24" s="28">
        <f>IF(EN$6='Lease Cycles'!$HL$8,'Lease Cycles'!$HS$8+'Lease Cycles'!$HZ$8,0)</f>
        <v>0</v>
      </c>
      <c r="EO24" s="28">
        <f>IF(EO$6='Lease Cycles'!$HL$8,'Lease Cycles'!$HS$8+'Lease Cycles'!$HZ$8,0)</f>
        <v>0</v>
      </c>
      <c r="EP24" s="28">
        <f>IF(EP$6='Lease Cycles'!$HL$8,'Lease Cycles'!$HS$8+'Lease Cycles'!$HZ$8,0)</f>
        <v>0</v>
      </c>
      <c r="EQ24" s="28">
        <f>IF(EQ$6='Lease Cycles'!$HL$8,'Lease Cycles'!$HS$8+'Lease Cycles'!$HZ$8,0)</f>
        <v>0</v>
      </c>
      <c r="ER24" s="28">
        <f>IF(ER$6='Lease Cycles'!$HL$8,'Lease Cycles'!$HS$8+'Lease Cycles'!$HZ$8,0)</f>
        <v>0</v>
      </c>
      <c r="ES24" s="28">
        <f>IF(ES$6='Lease Cycles'!$HL$8,'Lease Cycles'!$HS$8+'Lease Cycles'!$HZ$8,0)</f>
        <v>0</v>
      </c>
      <c r="ET24" s="28">
        <f>IF(ET$6='Lease Cycles'!$HL$8,'Lease Cycles'!$HS$8+'Lease Cycles'!$HZ$8,0)</f>
        <v>0</v>
      </c>
    </row>
    <row r="25">
      <c r="A25" s="103">
        <v>1</v>
      </c>
      <c r="B25" s="23" t="str">
        <f>IF('Lease Cycles'!$B$8="","(empty slot)",'Lease Cycles'!$B$8)</f>
        <v>Fieldstone Grocery</v>
      </c>
      <c r="C25" s="23" t="s">
        <v>499</v>
      </c>
      <c r="D25" s="104" t="s">
        <v>500</v>
      </c>
      <c r="E25" s="25">
        <f>'Lease Cycles'!$AL$8</f>
        <v>1</v>
      </c>
      <c r="G25" s="28">
        <f>MAX(0,'Lease Cycles'!$AN$8*'Lease Cycles'!$C$8*'Lease Cycles'!$AM$8*(1+a_SalesGrowth)^(G$6-1)-G15)</f>
        <v>0</v>
      </c>
      <c r="H25" s="28">
        <f>MAX(0,'Lease Cycles'!$AN$8*'Lease Cycles'!$C$8*'Lease Cycles'!$AM$8*(1+a_SalesGrowth)^(H$6-1)-H15)</f>
        <v>0</v>
      </c>
      <c r="I25" s="28">
        <f>MAX(0,'Lease Cycles'!$AN$8*'Lease Cycles'!$C$8*'Lease Cycles'!$AM$8*(1+a_SalesGrowth)^(I$6-1)-I15)</f>
        <v>0</v>
      </c>
      <c r="J25" s="28">
        <f>MAX(0,'Lease Cycles'!$AN$8*'Lease Cycles'!$C$8*'Lease Cycles'!$AM$8*(1+a_SalesGrowth)^(J$6-1)-J15)</f>
        <v>0</v>
      </c>
      <c r="K25" s="28">
        <f>MAX(0,'Lease Cycles'!$AN$8*'Lease Cycles'!$C$8*'Lease Cycles'!$AM$8*(1+a_SalesGrowth)^(K$6-1)-K15)</f>
        <v>0</v>
      </c>
      <c r="L25" s="28">
        <f>MAX(0,'Lease Cycles'!$AN$8*'Lease Cycles'!$C$8*'Lease Cycles'!$AM$8*(1+a_SalesGrowth)^(L$6-1)-L15)</f>
        <v>0</v>
      </c>
      <c r="M25" s="28">
        <f>MAX(0,'Lease Cycles'!$AN$8*'Lease Cycles'!$C$8*'Lease Cycles'!$AM$8*(1+a_SalesGrowth)^(M$6-1)-M15)</f>
        <v>0</v>
      </c>
      <c r="N25" s="28">
        <f>MAX(0,'Lease Cycles'!$AN$8*'Lease Cycles'!$C$8*'Lease Cycles'!$AM$8*(1+a_SalesGrowth)^(N$6-1)-N15)</f>
        <v>0</v>
      </c>
      <c r="O25" s="28">
        <f>MAX(0,'Lease Cycles'!$AN$8*'Lease Cycles'!$C$8*'Lease Cycles'!$AM$8*(1+a_SalesGrowth)^(O$6-1)-O15)</f>
        <v>0</v>
      </c>
      <c r="P25" s="28">
        <f>MAX(0,'Lease Cycles'!$AN$8*'Lease Cycles'!$C$8*'Lease Cycles'!$AM$8*(1+a_SalesGrowth)^(P$6-1)-P15)</f>
        <v>0</v>
      </c>
      <c r="Q25" s="28">
        <f>MAX(0,'Lease Cycles'!$AN$8*'Lease Cycles'!$C$8*'Lease Cycles'!$AM$8*(1+a_SalesGrowth)^(Q$6-1)-Q15)</f>
        <v>0</v>
      </c>
    </row>
    <row r="27">
      <c r="A27" s="103">
        <v>2</v>
      </c>
      <c r="B27" s="23" t="str">
        <f>IF('Lease Cycles'!$B$9="","(empty slot)",'Lease Cycles'!$B$9)</f>
        <v>Sunfield Pharmacy</v>
      </c>
      <c r="C27" s="23" t="s">
        <v>671</v>
      </c>
      <c r="D27" s="104" t="s">
        <v>672</v>
      </c>
      <c r="E27" s="25">
        <f>'Lease Cycles'!$AL$9</f>
        <v>0</v>
      </c>
      <c r="S27" s="25">
        <f>IF('Lease Cycles'!$C$9&gt;0,COUNTIF('Lease Cycles'!$BG$9:$BM$9,"&lt;="&amp;S$6),0)</f>
        <v>1</v>
      </c>
      <c r="T27" s="25">
        <f>IF('Lease Cycles'!$C$9&gt;0,COUNTIF('Lease Cycles'!$BG$9:$BM$9,"&lt;="&amp;T$6),0)</f>
        <v>1</v>
      </c>
      <c r="U27" s="25">
        <f>IF('Lease Cycles'!$C$9&gt;0,COUNTIF('Lease Cycles'!$BG$9:$BM$9,"&lt;="&amp;U$6),0)</f>
        <v>1</v>
      </c>
      <c r="V27" s="25">
        <f>IF('Lease Cycles'!$C$9&gt;0,COUNTIF('Lease Cycles'!$BG$9:$BM$9,"&lt;="&amp;V$6),0)</f>
        <v>1</v>
      </c>
      <c r="W27" s="25">
        <f>IF('Lease Cycles'!$C$9&gt;0,COUNTIF('Lease Cycles'!$BG$9:$BM$9,"&lt;="&amp;W$6),0)</f>
        <v>1</v>
      </c>
      <c r="X27" s="25">
        <f>IF('Lease Cycles'!$C$9&gt;0,COUNTIF('Lease Cycles'!$BG$9:$BM$9,"&lt;="&amp;X$6),0)</f>
        <v>1</v>
      </c>
      <c r="Y27" s="25">
        <f>IF('Lease Cycles'!$C$9&gt;0,COUNTIF('Lease Cycles'!$BG$9:$BM$9,"&lt;="&amp;Y$6),0)</f>
        <v>1</v>
      </c>
      <c r="Z27" s="25">
        <f>IF('Lease Cycles'!$C$9&gt;0,COUNTIF('Lease Cycles'!$BG$9:$BM$9,"&lt;="&amp;Z$6),0)</f>
        <v>1</v>
      </c>
      <c r="AA27" s="25">
        <f>IF('Lease Cycles'!$C$9&gt;0,COUNTIF('Lease Cycles'!$BG$9:$BM$9,"&lt;="&amp;AA$6),0)</f>
        <v>1</v>
      </c>
      <c r="AB27" s="25">
        <f>IF('Lease Cycles'!$C$9&gt;0,COUNTIF('Lease Cycles'!$BG$9:$BM$9,"&lt;="&amp;AB$6),0)</f>
        <v>1</v>
      </c>
      <c r="AC27" s="25">
        <f>IF('Lease Cycles'!$C$9&gt;0,COUNTIF('Lease Cycles'!$BG$9:$BM$9,"&lt;="&amp;AC$6),0)</f>
        <v>1</v>
      </c>
      <c r="AD27" s="25">
        <f>IF('Lease Cycles'!$C$9&gt;0,COUNTIF('Lease Cycles'!$BG$9:$BM$9,"&lt;="&amp;AD$6),0)</f>
        <v>1</v>
      </c>
      <c r="AE27" s="25">
        <f>IF('Lease Cycles'!$C$9&gt;0,COUNTIF('Lease Cycles'!$BG$9:$BM$9,"&lt;="&amp;AE$6),0)</f>
        <v>1</v>
      </c>
      <c r="AF27" s="25">
        <f>IF('Lease Cycles'!$C$9&gt;0,COUNTIF('Lease Cycles'!$BG$9:$BM$9,"&lt;="&amp;AF$6),0)</f>
        <v>1</v>
      </c>
      <c r="AG27" s="25">
        <f>IF('Lease Cycles'!$C$9&gt;0,COUNTIF('Lease Cycles'!$BG$9:$BM$9,"&lt;="&amp;AG$6),0)</f>
        <v>1</v>
      </c>
      <c r="AH27" s="25">
        <f>IF('Lease Cycles'!$C$9&gt;0,COUNTIF('Lease Cycles'!$BG$9:$BM$9,"&lt;="&amp;AH$6),0)</f>
        <v>1</v>
      </c>
      <c r="AI27" s="25">
        <f>IF('Lease Cycles'!$C$9&gt;0,COUNTIF('Lease Cycles'!$BG$9:$BM$9,"&lt;="&amp;AI$6),0)</f>
        <v>1</v>
      </c>
      <c r="AJ27" s="25">
        <f>IF('Lease Cycles'!$C$9&gt;0,COUNTIF('Lease Cycles'!$BG$9:$BM$9,"&lt;="&amp;AJ$6),0)</f>
        <v>1</v>
      </c>
      <c r="AK27" s="25">
        <f>IF('Lease Cycles'!$C$9&gt;0,COUNTIF('Lease Cycles'!$BG$9:$BM$9,"&lt;="&amp;AK$6),0)</f>
        <v>1</v>
      </c>
      <c r="AL27" s="25">
        <f>IF('Lease Cycles'!$C$9&gt;0,COUNTIF('Lease Cycles'!$BG$9:$BM$9,"&lt;="&amp;AL$6),0)</f>
        <v>1</v>
      </c>
      <c r="AM27" s="25">
        <f>IF('Lease Cycles'!$C$9&gt;0,COUNTIF('Lease Cycles'!$BG$9:$BM$9,"&lt;="&amp;AM$6),0)</f>
        <v>1</v>
      </c>
      <c r="AN27" s="25">
        <f>IF('Lease Cycles'!$C$9&gt;0,COUNTIF('Lease Cycles'!$BG$9:$BM$9,"&lt;="&amp;AN$6),0)</f>
        <v>1</v>
      </c>
      <c r="AO27" s="25">
        <f>IF('Lease Cycles'!$C$9&gt;0,COUNTIF('Lease Cycles'!$BG$9:$BM$9,"&lt;="&amp;AO$6),0)</f>
        <v>1</v>
      </c>
      <c r="AP27" s="25">
        <f>IF('Lease Cycles'!$C$9&gt;0,COUNTIF('Lease Cycles'!$BG$9:$BM$9,"&lt;="&amp;AP$6),0)</f>
        <v>1</v>
      </c>
      <c r="AQ27" s="25">
        <f>IF('Lease Cycles'!$C$9&gt;0,COUNTIF('Lease Cycles'!$BG$9:$BM$9,"&lt;="&amp;AQ$6),0)</f>
        <v>1</v>
      </c>
      <c r="AR27" s="25">
        <f>IF('Lease Cycles'!$C$9&gt;0,COUNTIF('Lease Cycles'!$BG$9:$BM$9,"&lt;="&amp;AR$6),0)</f>
        <v>1</v>
      </c>
      <c r="AS27" s="25">
        <f>IF('Lease Cycles'!$C$9&gt;0,COUNTIF('Lease Cycles'!$BG$9:$BM$9,"&lt;="&amp;AS$6),0)</f>
        <v>1</v>
      </c>
      <c r="AT27" s="25">
        <f>IF('Lease Cycles'!$C$9&gt;0,COUNTIF('Lease Cycles'!$BG$9:$BM$9,"&lt;="&amp;AT$6),0)</f>
        <v>1</v>
      </c>
      <c r="AU27" s="25">
        <f>IF('Lease Cycles'!$C$9&gt;0,COUNTIF('Lease Cycles'!$BG$9:$BM$9,"&lt;="&amp;AU$6),0)</f>
        <v>1</v>
      </c>
      <c r="AV27" s="25">
        <f>IF('Lease Cycles'!$C$9&gt;0,COUNTIF('Lease Cycles'!$BG$9:$BM$9,"&lt;="&amp;AV$6),0)</f>
        <v>1</v>
      </c>
      <c r="AW27" s="25">
        <f>IF('Lease Cycles'!$C$9&gt;0,COUNTIF('Lease Cycles'!$BG$9:$BM$9,"&lt;="&amp;AW$6),0)</f>
        <v>1</v>
      </c>
      <c r="AX27" s="25">
        <f>IF('Lease Cycles'!$C$9&gt;0,COUNTIF('Lease Cycles'!$BG$9:$BM$9,"&lt;="&amp;AX$6),0)</f>
        <v>1</v>
      </c>
      <c r="AY27" s="25">
        <f>IF('Lease Cycles'!$C$9&gt;0,COUNTIF('Lease Cycles'!$BG$9:$BM$9,"&lt;="&amp;AY$6),0)</f>
        <v>1</v>
      </c>
      <c r="AZ27" s="25">
        <f>IF('Lease Cycles'!$C$9&gt;0,COUNTIF('Lease Cycles'!$BG$9:$BM$9,"&lt;="&amp;AZ$6),0)</f>
        <v>1</v>
      </c>
      <c r="BA27" s="25">
        <f>IF('Lease Cycles'!$C$9&gt;0,COUNTIF('Lease Cycles'!$BG$9:$BM$9,"&lt;="&amp;BA$6),0)</f>
        <v>1</v>
      </c>
      <c r="BB27" s="25">
        <f>IF('Lease Cycles'!$C$9&gt;0,COUNTIF('Lease Cycles'!$BG$9:$BM$9,"&lt;="&amp;BB$6),0)</f>
        <v>1</v>
      </c>
      <c r="BC27" s="25">
        <f>IF('Lease Cycles'!$C$9&gt;0,COUNTIF('Lease Cycles'!$BG$9:$BM$9,"&lt;="&amp;BC$6),0)</f>
        <v>1</v>
      </c>
      <c r="BD27" s="25">
        <f>IF('Lease Cycles'!$C$9&gt;0,COUNTIF('Lease Cycles'!$BG$9:$BM$9,"&lt;="&amp;BD$6),0)</f>
        <v>1</v>
      </c>
      <c r="BE27" s="25">
        <f>IF('Lease Cycles'!$C$9&gt;0,COUNTIF('Lease Cycles'!$BG$9:$BM$9,"&lt;="&amp;BE$6),0)</f>
        <v>1</v>
      </c>
      <c r="BF27" s="25">
        <f>IF('Lease Cycles'!$C$9&gt;0,COUNTIF('Lease Cycles'!$BG$9:$BM$9,"&lt;="&amp;BF$6),0)</f>
        <v>1</v>
      </c>
      <c r="BG27" s="25">
        <f>IF('Lease Cycles'!$C$9&gt;0,COUNTIF('Lease Cycles'!$BG$9:$BM$9,"&lt;="&amp;BG$6),0)</f>
        <v>1</v>
      </c>
      <c r="BH27" s="25">
        <f>IF('Lease Cycles'!$C$9&gt;0,COUNTIF('Lease Cycles'!$BG$9:$BM$9,"&lt;="&amp;BH$6),0)</f>
        <v>1</v>
      </c>
      <c r="BI27" s="25">
        <f>IF('Lease Cycles'!$C$9&gt;0,COUNTIF('Lease Cycles'!$BG$9:$BM$9,"&lt;="&amp;BI$6),0)</f>
        <v>1</v>
      </c>
      <c r="BJ27" s="25">
        <f>IF('Lease Cycles'!$C$9&gt;0,COUNTIF('Lease Cycles'!$BG$9:$BM$9,"&lt;="&amp;BJ$6),0)</f>
        <v>1</v>
      </c>
      <c r="BK27" s="25">
        <f>IF('Lease Cycles'!$C$9&gt;0,COUNTIF('Lease Cycles'!$BG$9:$BM$9,"&lt;="&amp;BK$6),0)</f>
        <v>1</v>
      </c>
      <c r="BL27" s="25">
        <f>IF('Lease Cycles'!$C$9&gt;0,COUNTIF('Lease Cycles'!$BG$9:$BM$9,"&lt;="&amp;BL$6),0)</f>
        <v>1</v>
      </c>
      <c r="BM27" s="25">
        <f>IF('Lease Cycles'!$C$9&gt;0,COUNTIF('Lease Cycles'!$BG$9:$BM$9,"&lt;="&amp;BM$6),0)</f>
        <v>1</v>
      </c>
      <c r="BN27" s="25">
        <f>IF('Lease Cycles'!$C$9&gt;0,COUNTIF('Lease Cycles'!$BG$9:$BM$9,"&lt;="&amp;BN$6),0)</f>
        <v>1</v>
      </c>
      <c r="BO27" s="25">
        <f>IF('Lease Cycles'!$C$9&gt;0,COUNTIF('Lease Cycles'!$BG$9:$BM$9,"&lt;="&amp;BO$6),0)</f>
        <v>1</v>
      </c>
      <c r="BP27" s="25">
        <f>IF('Lease Cycles'!$C$9&gt;0,COUNTIF('Lease Cycles'!$BG$9:$BM$9,"&lt;="&amp;BP$6),0)</f>
        <v>1</v>
      </c>
      <c r="BQ27" s="25">
        <f>IF('Lease Cycles'!$C$9&gt;0,COUNTIF('Lease Cycles'!$BG$9:$BM$9,"&lt;="&amp;BQ$6),0)</f>
        <v>1</v>
      </c>
      <c r="BR27" s="25">
        <f>IF('Lease Cycles'!$C$9&gt;0,COUNTIF('Lease Cycles'!$BG$9:$BM$9,"&lt;="&amp;BR$6),0)</f>
        <v>1</v>
      </c>
      <c r="BS27" s="25">
        <f>IF('Lease Cycles'!$C$9&gt;0,COUNTIF('Lease Cycles'!$BG$9:$BM$9,"&lt;="&amp;BS$6),0)</f>
        <v>1</v>
      </c>
      <c r="BT27" s="25">
        <f>IF('Lease Cycles'!$C$9&gt;0,COUNTIF('Lease Cycles'!$BG$9:$BM$9,"&lt;="&amp;BT$6),0)</f>
        <v>1</v>
      </c>
      <c r="BU27" s="25">
        <f>IF('Lease Cycles'!$C$9&gt;0,COUNTIF('Lease Cycles'!$BG$9:$BM$9,"&lt;="&amp;BU$6),0)</f>
        <v>2</v>
      </c>
      <c r="BV27" s="25">
        <f>IF('Lease Cycles'!$C$9&gt;0,COUNTIF('Lease Cycles'!$BG$9:$BM$9,"&lt;="&amp;BV$6),0)</f>
        <v>3</v>
      </c>
      <c r="BW27" s="25">
        <f>IF('Lease Cycles'!$C$9&gt;0,COUNTIF('Lease Cycles'!$BG$9:$BM$9,"&lt;="&amp;BW$6),0)</f>
        <v>3</v>
      </c>
      <c r="BX27" s="25">
        <f>IF('Lease Cycles'!$C$9&gt;0,COUNTIF('Lease Cycles'!$BG$9:$BM$9,"&lt;="&amp;BX$6),0)</f>
        <v>3</v>
      </c>
      <c r="BY27" s="25">
        <f>IF('Lease Cycles'!$C$9&gt;0,COUNTIF('Lease Cycles'!$BG$9:$BM$9,"&lt;="&amp;BY$6),0)</f>
        <v>3</v>
      </c>
      <c r="BZ27" s="25">
        <f>IF('Lease Cycles'!$C$9&gt;0,COUNTIF('Lease Cycles'!$BG$9:$BM$9,"&lt;="&amp;BZ$6),0)</f>
        <v>3</v>
      </c>
      <c r="CA27" s="25">
        <f>IF('Lease Cycles'!$C$9&gt;0,COUNTIF('Lease Cycles'!$BG$9:$BM$9,"&lt;="&amp;CA$6),0)</f>
        <v>3</v>
      </c>
      <c r="CB27" s="25">
        <f>IF('Lease Cycles'!$C$9&gt;0,COUNTIF('Lease Cycles'!$BG$9:$BM$9,"&lt;="&amp;CB$6),0)</f>
        <v>3</v>
      </c>
      <c r="CC27" s="25">
        <f>IF('Lease Cycles'!$C$9&gt;0,COUNTIF('Lease Cycles'!$BG$9:$BM$9,"&lt;="&amp;CC$6),0)</f>
        <v>3</v>
      </c>
      <c r="CD27" s="25">
        <f>IF('Lease Cycles'!$C$9&gt;0,COUNTIF('Lease Cycles'!$BG$9:$BM$9,"&lt;="&amp;CD$6),0)</f>
        <v>3</v>
      </c>
      <c r="CE27" s="25">
        <f>IF('Lease Cycles'!$C$9&gt;0,COUNTIF('Lease Cycles'!$BG$9:$BM$9,"&lt;="&amp;CE$6),0)</f>
        <v>3</v>
      </c>
      <c r="CF27" s="25">
        <f>IF('Lease Cycles'!$C$9&gt;0,COUNTIF('Lease Cycles'!$BG$9:$BM$9,"&lt;="&amp;CF$6),0)</f>
        <v>3</v>
      </c>
      <c r="CG27" s="25">
        <f>IF('Lease Cycles'!$C$9&gt;0,COUNTIF('Lease Cycles'!$BG$9:$BM$9,"&lt;="&amp;CG$6),0)</f>
        <v>3</v>
      </c>
      <c r="CH27" s="25">
        <f>IF('Lease Cycles'!$C$9&gt;0,COUNTIF('Lease Cycles'!$BG$9:$BM$9,"&lt;="&amp;CH$6),0)</f>
        <v>3</v>
      </c>
      <c r="CI27" s="25">
        <f>IF('Lease Cycles'!$C$9&gt;0,COUNTIF('Lease Cycles'!$BG$9:$BM$9,"&lt;="&amp;CI$6),0)</f>
        <v>3</v>
      </c>
      <c r="CJ27" s="25">
        <f>IF('Lease Cycles'!$C$9&gt;0,COUNTIF('Lease Cycles'!$BG$9:$BM$9,"&lt;="&amp;CJ$6),0)</f>
        <v>3</v>
      </c>
      <c r="CK27" s="25">
        <f>IF('Lease Cycles'!$C$9&gt;0,COUNTIF('Lease Cycles'!$BG$9:$BM$9,"&lt;="&amp;CK$6),0)</f>
        <v>3</v>
      </c>
      <c r="CL27" s="25">
        <f>IF('Lease Cycles'!$C$9&gt;0,COUNTIF('Lease Cycles'!$BG$9:$BM$9,"&lt;="&amp;CL$6),0)</f>
        <v>3</v>
      </c>
      <c r="CM27" s="25">
        <f>IF('Lease Cycles'!$C$9&gt;0,COUNTIF('Lease Cycles'!$BG$9:$BM$9,"&lt;="&amp;CM$6),0)</f>
        <v>3</v>
      </c>
      <c r="CN27" s="25">
        <f>IF('Lease Cycles'!$C$9&gt;0,COUNTIF('Lease Cycles'!$BG$9:$BM$9,"&lt;="&amp;CN$6),0)</f>
        <v>3</v>
      </c>
      <c r="CO27" s="25">
        <f>IF('Lease Cycles'!$C$9&gt;0,COUNTIF('Lease Cycles'!$BG$9:$BM$9,"&lt;="&amp;CO$6),0)</f>
        <v>3</v>
      </c>
      <c r="CP27" s="25">
        <f>IF('Lease Cycles'!$C$9&gt;0,COUNTIF('Lease Cycles'!$BG$9:$BM$9,"&lt;="&amp;CP$6),0)</f>
        <v>3</v>
      </c>
      <c r="CQ27" s="25">
        <f>IF('Lease Cycles'!$C$9&gt;0,COUNTIF('Lease Cycles'!$BG$9:$BM$9,"&lt;="&amp;CQ$6),0)</f>
        <v>3</v>
      </c>
      <c r="CR27" s="25">
        <f>IF('Lease Cycles'!$C$9&gt;0,COUNTIF('Lease Cycles'!$BG$9:$BM$9,"&lt;="&amp;CR$6),0)</f>
        <v>3</v>
      </c>
      <c r="CS27" s="25">
        <f>IF('Lease Cycles'!$C$9&gt;0,COUNTIF('Lease Cycles'!$BG$9:$BM$9,"&lt;="&amp;CS$6),0)</f>
        <v>3</v>
      </c>
      <c r="CT27" s="25">
        <f>IF('Lease Cycles'!$C$9&gt;0,COUNTIF('Lease Cycles'!$BG$9:$BM$9,"&lt;="&amp;CT$6),0)</f>
        <v>3</v>
      </c>
      <c r="CU27" s="25">
        <f>IF('Lease Cycles'!$C$9&gt;0,COUNTIF('Lease Cycles'!$BG$9:$BM$9,"&lt;="&amp;CU$6),0)</f>
        <v>3</v>
      </c>
      <c r="CV27" s="25">
        <f>IF('Lease Cycles'!$C$9&gt;0,COUNTIF('Lease Cycles'!$BG$9:$BM$9,"&lt;="&amp;CV$6),0)</f>
        <v>3</v>
      </c>
      <c r="CW27" s="25">
        <f>IF('Lease Cycles'!$C$9&gt;0,COUNTIF('Lease Cycles'!$BG$9:$BM$9,"&lt;="&amp;CW$6),0)</f>
        <v>3</v>
      </c>
      <c r="CX27" s="25">
        <f>IF('Lease Cycles'!$C$9&gt;0,COUNTIF('Lease Cycles'!$BG$9:$BM$9,"&lt;="&amp;CX$6),0)</f>
        <v>3</v>
      </c>
      <c r="CY27" s="25">
        <f>IF('Lease Cycles'!$C$9&gt;0,COUNTIF('Lease Cycles'!$BG$9:$BM$9,"&lt;="&amp;CY$6),0)</f>
        <v>3</v>
      </c>
      <c r="CZ27" s="25">
        <f>IF('Lease Cycles'!$C$9&gt;0,COUNTIF('Lease Cycles'!$BG$9:$BM$9,"&lt;="&amp;CZ$6),0)</f>
        <v>3</v>
      </c>
      <c r="DA27" s="25">
        <f>IF('Lease Cycles'!$C$9&gt;0,COUNTIF('Lease Cycles'!$BG$9:$BM$9,"&lt;="&amp;DA$6),0)</f>
        <v>3</v>
      </c>
      <c r="DB27" s="25">
        <f>IF('Lease Cycles'!$C$9&gt;0,COUNTIF('Lease Cycles'!$BG$9:$BM$9,"&lt;="&amp;DB$6),0)</f>
        <v>3</v>
      </c>
      <c r="DC27" s="25">
        <f>IF('Lease Cycles'!$C$9&gt;0,COUNTIF('Lease Cycles'!$BG$9:$BM$9,"&lt;="&amp;DC$6),0)</f>
        <v>3</v>
      </c>
      <c r="DD27" s="25">
        <f>IF('Lease Cycles'!$C$9&gt;0,COUNTIF('Lease Cycles'!$BG$9:$BM$9,"&lt;="&amp;DD$6),0)</f>
        <v>3</v>
      </c>
      <c r="DE27" s="25">
        <f>IF('Lease Cycles'!$C$9&gt;0,COUNTIF('Lease Cycles'!$BG$9:$BM$9,"&lt;="&amp;DE$6),0)</f>
        <v>3</v>
      </c>
      <c r="DF27" s="25">
        <f>IF('Lease Cycles'!$C$9&gt;0,COUNTIF('Lease Cycles'!$BG$9:$BM$9,"&lt;="&amp;DF$6),0)</f>
        <v>3</v>
      </c>
      <c r="DG27" s="25">
        <f>IF('Lease Cycles'!$C$9&gt;0,COUNTIF('Lease Cycles'!$BG$9:$BM$9,"&lt;="&amp;DG$6),0)</f>
        <v>3</v>
      </c>
      <c r="DH27" s="25">
        <f>IF('Lease Cycles'!$C$9&gt;0,COUNTIF('Lease Cycles'!$BG$9:$BM$9,"&lt;="&amp;DH$6),0)</f>
        <v>3</v>
      </c>
      <c r="DI27" s="25">
        <f>IF('Lease Cycles'!$C$9&gt;0,COUNTIF('Lease Cycles'!$BG$9:$BM$9,"&lt;="&amp;DI$6),0)</f>
        <v>3</v>
      </c>
      <c r="DJ27" s="25">
        <f>IF('Lease Cycles'!$C$9&gt;0,COUNTIF('Lease Cycles'!$BG$9:$BM$9,"&lt;="&amp;DJ$6),0)</f>
        <v>3</v>
      </c>
      <c r="DK27" s="25">
        <f>IF('Lease Cycles'!$C$9&gt;0,COUNTIF('Lease Cycles'!$BG$9:$BM$9,"&lt;="&amp;DK$6),0)</f>
        <v>3</v>
      </c>
      <c r="DL27" s="25">
        <f>IF('Lease Cycles'!$C$9&gt;0,COUNTIF('Lease Cycles'!$BG$9:$BM$9,"&lt;="&amp;DL$6),0)</f>
        <v>3</v>
      </c>
      <c r="DM27" s="25">
        <f>IF('Lease Cycles'!$C$9&gt;0,COUNTIF('Lease Cycles'!$BG$9:$BM$9,"&lt;="&amp;DM$6),0)</f>
        <v>3</v>
      </c>
      <c r="DN27" s="25">
        <f>IF('Lease Cycles'!$C$9&gt;0,COUNTIF('Lease Cycles'!$BG$9:$BM$9,"&lt;="&amp;DN$6),0)</f>
        <v>3</v>
      </c>
      <c r="DO27" s="25">
        <f>IF('Lease Cycles'!$C$9&gt;0,COUNTIF('Lease Cycles'!$BG$9:$BM$9,"&lt;="&amp;DO$6),0)</f>
        <v>3</v>
      </c>
      <c r="DP27" s="25">
        <f>IF('Lease Cycles'!$C$9&gt;0,COUNTIF('Lease Cycles'!$BG$9:$BM$9,"&lt;="&amp;DP$6),0)</f>
        <v>3</v>
      </c>
      <c r="DQ27" s="25">
        <f>IF('Lease Cycles'!$C$9&gt;0,COUNTIF('Lease Cycles'!$BG$9:$BM$9,"&lt;="&amp;DQ$6),0)</f>
        <v>3</v>
      </c>
      <c r="DR27" s="25">
        <f>IF('Lease Cycles'!$C$9&gt;0,COUNTIF('Lease Cycles'!$BG$9:$BM$9,"&lt;="&amp;DR$6),0)</f>
        <v>3</v>
      </c>
      <c r="DS27" s="25">
        <f>IF('Lease Cycles'!$C$9&gt;0,COUNTIF('Lease Cycles'!$BG$9:$BM$9,"&lt;="&amp;DS$6),0)</f>
        <v>3</v>
      </c>
      <c r="DT27" s="25">
        <f>IF('Lease Cycles'!$C$9&gt;0,COUNTIF('Lease Cycles'!$BG$9:$BM$9,"&lt;="&amp;DT$6),0)</f>
        <v>3</v>
      </c>
      <c r="DU27" s="25">
        <f>IF('Lease Cycles'!$C$9&gt;0,COUNTIF('Lease Cycles'!$BG$9:$BM$9,"&lt;="&amp;DU$6),0)</f>
        <v>3</v>
      </c>
      <c r="DV27" s="25">
        <f>IF('Lease Cycles'!$C$9&gt;0,COUNTIF('Lease Cycles'!$BG$9:$BM$9,"&lt;="&amp;DV$6),0)</f>
        <v>3</v>
      </c>
      <c r="DW27" s="25">
        <f>IF('Lease Cycles'!$C$9&gt;0,COUNTIF('Lease Cycles'!$BG$9:$BM$9,"&lt;="&amp;DW$6),0)</f>
        <v>3</v>
      </c>
      <c r="DX27" s="25">
        <f>IF('Lease Cycles'!$C$9&gt;0,COUNTIF('Lease Cycles'!$BG$9:$BM$9,"&lt;="&amp;DX$6),0)</f>
        <v>3</v>
      </c>
      <c r="DY27" s="25">
        <f>IF('Lease Cycles'!$C$9&gt;0,COUNTIF('Lease Cycles'!$BG$9:$BM$9,"&lt;="&amp;DY$6),0)</f>
        <v>3</v>
      </c>
      <c r="DZ27" s="25">
        <f>IF('Lease Cycles'!$C$9&gt;0,COUNTIF('Lease Cycles'!$BG$9:$BM$9,"&lt;="&amp;DZ$6),0)</f>
        <v>3</v>
      </c>
      <c r="EA27" s="25">
        <f>IF('Lease Cycles'!$C$9&gt;0,COUNTIF('Lease Cycles'!$BG$9:$BM$9,"&lt;="&amp;EA$6),0)</f>
        <v>3</v>
      </c>
      <c r="EB27" s="25">
        <f>IF('Lease Cycles'!$C$9&gt;0,COUNTIF('Lease Cycles'!$BG$9:$BM$9,"&lt;="&amp;EB$6),0)</f>
        <v>3</v>
      </c>
      <c r="EC27" s="25">
        <f>IF('Lease Cycles'!$C$9&gt;0,COUNTIF('Lease Cycles'!$BG$9:$BM$9,"&lt;="&amp;EC$6),0)</f>
        <v>3</v>
      </c>
      <c r="ED27" s="25">
        <f>IF('Lease Cycles'!$C$9&gt;0,COUNTIF('Lease Cycles'!$BG$9:$BM$9,"&lt;="&amp;ED$6),0)</f>
        <v>3</v>
      </c>
      <c r="EE27" s="25">
        <f>IF('Lease Cycles'!$C$9&gt;0,COUNTIF('Lease Cycles'!$BG$9:$BM$9,"&lt;="&amp;EE$6),0)</f>
        <v>3</v>
      </c>
      <c r="EF27" s="25">
        <f>IF('Lease Cycles'!$C$9&gt;0,COUNTIF('Lease Cycles'!$BG$9:$BM$9,"&lt;="&amp;EF$6),0)</f>
        <v>3</v>
      </c>
      <c r="EG27" s="25">
        <f>IF('Lease Cycles'!$C$9&gt;0,COUNTIF('Lease Cycles'!$BG$9:$BM$9,"&lt;="&amp;EG$6),0)</f>
        <v>3</v>
      </c>
      <c r="EH27" s="25">
        <f>IF('Lease Cycles'!$C$9&gt;0,COUNTIF('Lease Cycles'!$BG$9:$BM$9,"&lt;="&amp;EH$6),0)</f>
        <v>3</v>
      </c>
      <c r="EI27" s="25">
        <f>IF('Lease Cycles'!$C$9&gt;0,COUNTIF('Lease Cycles'!$BG$9:$BM$9,"&lt;="&amp;EI$6),0)</f>
        <v>3</v>
      </c>
      <c r="EJ27" s="25">
        <f>IF('Lease Cycles'!$C$9&gt;0,COUNTIF('Lease Cycles'!$BG$9:$BM$9,"&lt;="&amp;EJ$6),0)</f>
        <v>3</v>
      </c>
      <c r="EK27" s="25">
        <f>IF('Lease Cycles'!$C$9&gt;0,COUNTIF('Lease Cycles'!$BG$9:$BM$9,"&lt;="&amp;EK$6),0)</f>
        <v>3</v>
      </c>
      <c r="EL27" s="25">
        <f>IF('Lease Cycles'!$C$9&gt;0,COUNTIF('Lease Cycles'!$BG$9:$BM$9,"&lt;="&amp;EL$6),0)</f>
        <v>3</v>
      </c>
      <c r="EM27" s="25">
        <f>IF('Lease Cycles'!$C$9&gt;0,COUNTIF('Lease Cycles'!$BG$9:$BM$9,"&lt;="&amp;EM$6),0)</f>
        <v>3</v>
      </c>
      <c r="EN27" s="25">
        <f>IF('Lease Cycles'!$C$9&gt;0,COUNTIF('Lease Cycles'!$BG$9:$BM$9,"&lt;="&amp;EN$6),0)</f>
        <v>3</v>
      </c>
      <c r="EO27" s="25">
        <f>IF('Lease Cycles'!$C$9&gt;0,COUNTIF('Lease Cycles'!$BG$9:$BM$9,"&lt;="&amp;EO$6),0)</f>
        <v>3</v>
      </c>
      <c r="EP27" s="25">
        <f>IF('Lease Cycles'!$C$9&gt;0,COUNTIF('Lease Cycles'!$BG$9:$BM$9,"&lt;="&amp;EP$6),0)</f>
        <v>3</v>
      </c>
      <c r="EQ27" s="25">
        <f>IF('Lease Cycles'!$C$9&gt;0,COUNTIF('Lease Cycles'!$BG$9:$BM$9,"&lt;="&amp;EQ$6),0)</f>
        <v>3</v>
      </c>
      <c r="ER27" s="25">
        <f>IF('Lease Cycles'!$C$9&gt;0,COUNTIF('Lease Cycles'!$BG$9:$BM$9,"&lt;="&amp;ER$6),0)</f>
        <v>3</v>
      </c>
      <c r="ES27" s="25">
        <f>IF('Lease Cycles'!$C$9&gt;0,COUNTIF('Lease Cycles'!$BG$9:$BM$9,"&lt;="&amp;ES$6),0)</f>
        <v>3</v>
      </c>
      <c r="ET27" s="25">
        <f>IF('Lease Cycles'!$C$9&gt;0,COUNTIF('Lease Cycles'!$BG$9:$BM$9,"&lt;="&amp;ET$6),0)</f>
        <v>3</v>
      </c>
    </row>
    <row r="28">
      <c r="A28" s="103">
        <v>2</v>
      </c>
      <c r="B28" s="23" t="str">
        <f>IF('Lease Cycles'!$B$9="","(empty slot)",'Lease Cycles'!$B$9)</f>
        <v>Sunfield Pharmacy</v>
      </c>
      <c r="C28" s="23" t="s">
        <v>673</v>
      </c>
      <c r="D28" s="104" t="s">
        <v>674</v>
      </c>
      <c r="E28" s="25">
        <f>'Lease Cycles'!$AL$9</f>
        <v>0</v>
      </c>
      <c r="S28" s="25">
        <f>IF(S27=0,-1,S$6-INDEX('Lease Cycles'!$BG$9:$BM$9,1,S27))</f>
        <v>0</v>
      </c>
      <c r="T28" s="25">
        <f>IF(T27=0,-1,T$6-INDEX('Lease Cycles'!$BG$9:$BM$9,1,T27))</f>
        <v>1</v>
      </c>
      <c r="U28" s="25">
        <f>IF(U27=0,-1,U$6-INDEX('Lease Cycles'!$BG$9:$BM$9,1,U27))</f>
        <v>2</v>
      </c>
      <c r="V28" s="25">
        <f>IF(V27=0,-1,V$6-INDEX('Lease Cycles'!$BG$9:$BM$9,1,V27))</f>
        <v>3</v>
      </c>
      <c r="W28" s="25">
        <f>IF(W27=0,-1,W$6-INDEX('Lease Cycles'!$BG$9:$BM$9,1,W27))</f>
        <v>4</v>
      </c>
      <c r="X28" s="25">
        <f>IF(X27=0,-1,X$6-INDEX('Lease Cycles'!$BG$9:$BM$9,1,X27))</f>
        <v>5</v>
      </c>
      <c r="Y28" s="25">
        <f>IF(Y27=0,-1,Y$6-INDEX('Lease Cycles'!$BG$9:$BM$9,1,Y27))</f>
        <v>6</v>
      </c>
      <c r="Z28" s="25">
        <f>IF(Z27=0,-1,Z$6-INDEX('Lease Cycles'!$BG$9:$BM$9,1,Z27))</f>
        <v>7</v>
      </c>
      <c r="AA28" s="25">
        <f>IF(AA27=0,-1,AA$6-INDEX('Lease Cycles'!$BG$9:$BM$9,1,AA27))</f>
        <v>8</v>
      </c>
      <c r="AB28" s="25">
        <f>IF(AB27=0,-1,AB$6-INDEX('Lease Cycles'!$BG$9:$BM$9,1,AB27))</f>
        <v>9</v>
      </c>
      <c r="AC28" s="25">
        <f>IF(AC27=0,-1,AC$6-INDEX('Lease Cycles'!$BG$9:$BM$9,1,AC27))</f>
        <v>10</v>
      </c>
      <c r="AD28" s="25">
        <f>IF(AD27=0,-1,AD$6-INDEX('Lease Cycles'!$BG$9:$BM$9,1,AD27))</f>
        <v>11</v>
      </c>
      <c r="AE28" s="25">
        <f>IF(AE27=0,-1,AE$6-INDEX('Lease Cycles'!$BG$9:$BM$9,1,AE27))</f>
        <v>12</v>
      </c>
      <c r="AF28" s="25">
        <f>IF(AF27=0,-1,AF$6-INDEX('Lease Cycles'!$BG$9:$BM$9,1,AF27))</f>
        <v>13</v>
      </c>
      <c r="AG28" s="25">
        <f>IF(AG27=0,-1,AG$6-INDEX('Lease Cycles'!$BG$9:$BM$9,1,AG27))</f>
        <v>14</v>
      </c>
      <c r="AH28" s="25">
        <f>IF(AH27=0,-1,AH$6-INDEX('Lease Cycles'!$BG$9:$BM$9,1,AH27))</f>
        <v>15</v>
      </c>
      <c r="AI28" s="25">
        <f>IF(AI27=0,-1,AI$6-INDEX('Lease Cycles'!$BG$9:$BM$9,1,AI27))</f>
        <v>16</v>
      </c>
      <c r="AJ28" s="25">
        <f>IF(AJ27=0,-1,AJ$6-INDEX('Lease Cycles'!$BG$9:$BM$9,1,AJ27))</f>
        <v>17</v>
      </c>
      <c r="AK28" s="25">
        <f>IF(AK27=0,-1,AK$6-INDEX('Lease Cycles'!$BG$9:$BM$9,1,AK27))</f>
        <v>18</v>
      </c>
      <c r="AL28" s="25">
        <f>IF(AL27=0,-1,AL$6-INDEX('Lease Cycles'!$BG$9:$BM$9,1,AL27))</f>
        <v>19</v>
      </c>
      <c r="AM28" s="25">
        <f>IF(AM27=0,-1,AM$6-INDEX('Lease Cycles'!$BG$9:$BM$9,1,AM27))</f>
        <v>20</v>
      </c>
      <c r="AN28" s="25">
        <f>IF(AN27=0,-1,AN$6-INDEX('Lease Cycles'!$BG$9:$BM$9,1,AN27))</f>
        <v>21</v>
      </c>
      <c r="AO28" s="25">
        <f>IF(AO27=0,-1,AO$6-INDEX('Lease Cycles'!$BG$9:$BM$9,1,AO27))</f>
        <v>22</v>
      </c>
      <c r="AP28" s="25">
        <f>IF(AP27=0,-1,AP$6-INDEX('Lease Cycles'!$BG$9:$BM$9,1,AP27))</f>
        <v>23</v>
      </c>
      <c r="AQ28" s="25">
        <f>IF(AQ27=0,-1,AQ$6-INDEX('Lease Cycles'!$BG$9:$BM$9,1,AQ27))</f>
        <v>24</v>
      </c>
      <c r="AR28" s="25">
        <f>IF(AR27=0,-1,AR$6-INDEX('Lease Cycles'!$BG$9:$BM$9,1,AR27))</f>
        <v>25</v>
      </c>
      <c r="AS28" s="25">
        <f>IF(AS27=0,-1,AS$6-INDEX('Lease Cycles'!$BG$9:$BM$9,1,AS27))</f>
        <v>26</v>
      </c>
      <c r="AT28" s="25">
        <f>IF(AT27=0,-1,AT$6-INDEX('Lease Cycles'!$BG$9:$BM$9,1,AT27))</f>
        <v>27</v>
      </c>
      <c r="AU28" s="25">
        <f>IF(AU27=0,-1,AU$6-INDEX('Lease Cycles'!$BG$9:$BM$9,1,AU27))</f>
        <v>28</v>
      </c>
      <c r="AV28" s="25">
        <f>IF(AV27=0,-1,AV$6-INDEX('Lease Cycles'!$BG$9:$BM$9,1,AV27))</f>
        <v>29</v>
      </c>
      <c r="AW28" s="25">
        <f>IF(AW27=0,-1,AW$6-INDEX('Lease Cycles'!$BG$9:$BM$9,1,AW27))</f>
        <v>30</v>
      </c>
      <c r="AX28" s="25">
        <f>IF(AX27=0,-1,AX$6-INDEX('Lease Cycles'!$BG$9:$BM$9,1,AX27))</f>
        <v>31</v>
      </c>
      <c r="AY28" s="25">
        <f>IF(AY27=0,-1,AY$6-INDEX('Lease Cycles'!$BG$9:$BM$9,1,AY27))</f>
        <v>32</v>
      </c>
      <c r="AZ28" s="25">
        <f>IF(AZ27=0,-1,AZ$6-INDEX('Lease Cycles'!$BG$9:$BM$9,1,AZ27))</f>
        <v>33</v>
      </c>
      <c r="BA28" s="25">
        <f>IF(BA27=0,-1,BA$6-INDEX('Lease Cycles'!$BG$9:$BM$9,1,BA27))</f>
        <v>34</v>
      </c>
      <c r="BB28" s="25">
        <f>IF(BB27=0,-1,BB$6-INDEX('Lease Cycles'!$BG$9:$BM$9,1,BB27))</f>
        <v>35</v>
      </c>
      <c r="BC28" s="25">
        <f>IF(BC27=0,-1,BC$6-INDEX('Lease Cycles'!$BG$9:$BM$9,1,BC27))</f>
        <v>36</v>
      </c>
      <c r="BD28" s="25">
        <f>IF(BD27=0,-1,BD$6-INDEX('Lease Cycles'!$BG$9:$BM$9,1,BD27))</f>
        <v>37</v>
      </c>
      <c r="BE28" s="25">
        <f>IF(BE27=0,-1,BE$6-INDEX('Lease Cycles'!$BG$9:$BM$9,1,BE27))</f>
        <v>38</v>
      </c>
      <c r="BF28" s="25">
        <f>IF(BF27=0,-1,BF$6-INDEX('Lease Cycles'!$BG$9:$BM$9,1,BF27))</f>
        <v>39</v>
      </c>
      <c r="BG28" s="25">
        <f>IF(BG27=0,-1,BG$6-INDEX('Lease Cycles'!$BG$9:$BM$9,1,BG27))</f>
        <v>40</v>
      </c>
      <c r="BH28" s="25">
        <f>IF(BH27=0,-1,BH$6-INDEX('Lease Cycles'!$BG$9:$BM$9,1,BH27))</f>
        <v>41</v>
      </c>
      <c r="BI28" s="25">
        <f>IF(BI27=0,-1,BI$6-INDEX('Lease Cycles'!$BG$9:$BM$9,1,BI27))</f>
        <v>42</v>
      </c>
      <c r="BJ28" s="25">
        <f>IF(BJ27=0,-1,BJ$6-INDEX('Lease Cycles'!$BG$9:$BM$9,1,BJ27))</f>
        <v>43</v>
      </c>
      <c r="BK28" s="25">
        <f>IF(BK27=0,-1,BK$6-INDEX('Lease Cycles'!$BG$9:$BM$9,1,BK27))</f>
        <v>44</v>
      </c>
      <c r="BL28" s="25">
        <f>IF(BL27=0,-1,BL$6-INDEX('Lease Cycles'!$BG$9:$BM$9,1,BL27))</f>
        <v>45</v>
      </c>
      <c r="BM28" s="25">
        <f>IF(BM27=0,-1,BM$6-INDEX('Lease Cycles'!$BG$9:$BM$9,1,BM27))</f>
        <v>46</v>
      </c>
      <c r="BN28" s="25">
        <f>IF(BN27=0,-1,BN$6-INDEX('Lease Cycles'!$BG$9:$BM$9,1,BN27))</f>
        <v>47</v>
      </c>
      <c r="BO28" s="25">
        <f>IF(BO27=0,-1,BO$6-INDEX('Lease Cycles'!$BG$9:$BM$9,1,BO27))</f>
        <v>48</v>
      </c>
      <c r="BP28" s="25">
        <f>IF(BP27=0,-1,BP$6-INDEX('Lease Cycles'!$BG$9:$BM$9,1,BP27))</f>
        <v>49</v>
      </c>
      <c r="BQ28" s="25">
        <f>IF(BQ27=0,-1,BQ$6-INDEX('Lease Cycles'!$BG$9:$BM$9,1,BQ27))</f>
        <v>50</v>
      </c>
      <c r="BR28" s="25">
        <f>IF(BR27=0,-1,BR$6-INDEX('Lease Cycles'!$BG$9:$BM$9,1,BR27))</f>
        <v>51</v>
      </c>
      <c r="BS28" s="25">
        <f>IF(BS27=0,-1,BS$6-INDEX('Lease Cycles'!$BG$9:$BM$9,1,BS27))</f>
        <v>52</v>
      </c>
      <c r="BT28" s="25">
        <f>IF(BT27=0,-1,BT$6-INDEX('Lease Cycles'!$BG$9:$BM$9,1,BT27))</f>
        <v>53</v>
      </c>
      <c r="BU28" s="25">
        <f>IF(BU27=0,-1,BU$6-INDEX('Lease Cycles'!$BG$9:$BM$9,1,BU27))</f>
        <v>0</v>
      </c>
      <c r="BV28" s="25">
        <f>IF(BV27=0,-1,BV$6-INDEX('Lease Cycles'!$BG$9:$BM$9,1,BV27))</f>
        <v>0</v>
      </c>
      <c r="BW28" s="25">
        <f>IF(BW27=0,-1,BW$6-INDEX('Lease Cycles'!$BG$9:$BM$9,1,BW27))</f>
        <v>1</v>
      </c>
      <c r="BX28" s="25">
        <f>IF(BX27=0,-1,BX$6-INDEX('Lease Cycles'!$BG$9:$BM$9,1,BX27))</f>
        <v>2</v>
      </c>
      <c r="BY28" s="25">
        <f>IF(BY27=0,-1,BY$6-INDEX('Lease Cycles'!$BG$9:$BM$9,1,BY27))</f>
        <v>3</v>
      </c>
      <c r="BZ28" s="25">
        <f>IF(BZ27=0,-1,BZ$6-INDEX('Lease Cycles'!$BG$9:$BM$9,1,BZ27))</f>
        <v>4</v>
      </c>
      <c r="CA28" s="25">
        <f>IF(CA27=0,-1,CA$6-INDEX('Lease Cycles'!$BG$9:$BM$9,1,CA27))</f>
        <v>5</v>
      </c>
      <c r="CB28" s="25">
        <f>IF(CB27=0,-1,CB$6-INDEX('Lease Cycles'!$BG$9:$BM$9,1,CB27))</f>
        <v>6</v>
      </c>
      <c r="CC28" s="25">
        <f>IF(CC27=0,-1,CC$6-INDEX('Lease Cycles'!$BG$9:$BM$9,1,CC27))</f>
        <v>7</v>
      </c>
      <c r="CD28" s="25">
        <f>IF(CD27=0,-1,CD$6-INDEX('Lease Cycles'!$BG$9:$BM$9,1,CD27))</f>
        <v>8</v>
      </c>
      <c r="CE28" s="25">
        <f>IF(CE27=0,-1,CE$6-INDEX('Lease Cycles'!$BG$9:$BM$9,1,CE27))</f>
        <v>9</v>
      </c>
      <c r="CF28" s="25">
        <f>IF(CF27=0,-1,CF$6-INDEX('Lease Cycles'!$BG$9:$BM$9,1,CF27))</f>
        <v>10</v>
      </c>
      <c r="CG28" s="25">
        <f>IF(CG27=0,-1,CG$6-INDEX('Lease Cycles'!$BG$9:$BM$9,1,CG27))</f>
        <v>11</v>
      </c>
      <c r="CH28" s="25">
        <f>IF(CH27=0,-1,CH$6-INDEX('Lease Cycles'!$BG$9:$BM$9,1,CH27))</f>
        <v>12</v>
      </c>
      <c r="CI28" s="25">
        <f>IF(CI27=0,-1,CI$6-INDEX('Lease Cycles'!$BG$9:$BM$9,1,CI27))</f>
        <v>13</v>
      </c>
      <c r="CJ28" s="25">
        <f>IF(CJ27=0,-1,CJ$6-INDEX('Lease Cycles'!$BG$9:$BM$9,1,CJ27))</f>
        <v>14</v>
      </c>
      <c r="CK28" s="25">
        <f>IF(CK27=0,-1,CK$6-INDEX('Lease Cycles'!$BG$9:$BM$9,1,CK27))</f>
        <v>15</v>
      </c>
      <c r="CL28" s="25">
        <f>IF(CL27=0,-1,CL$6-INDEX('Lease Cycles'!$BG$9:$BM$9,1,CL27))</f>
        <v>16</v>
      </c>
      <c r="CM28" s="25">
        <f>IF(CM27=0,-1,CM$6-INDEX('Lease Cycles'!$BG$9:$BM$9,1,CM27))</f>
        <v>17</v>
      </c>
      <c r="CN28" s="25">
        <f>IF(CN27=0,-1,CN$6-INDEX('Lease Cycles'!$BG$9:$BM$9,1,CN27))</f>
        <v>18</v>
      </c>
      <c r="CO28" s="25">
        <f>IF(CO27=0,-1,CO$6-INDEX('Lease Cycles'!$BG$9:$BM$9,1,CO27))</f>
        <v>19</v>
      </c>
      <c r="CP28" s="25">
        <f>IF(CP27=0,-1,CP$6-INDEX('Lease Cycles'!$BG$9:$BM$9,1,CP27))</f>
        <v>20</v>
      </c>
      <c r="CQ28" s="25">
        <f>IF(CQ27=0,-1,CQ$6-INDEX('Lease Cycles'!$BG$9:$BM$9,1,CQ27))</f>
        <v>21</v>
      </c>
      <c r="CR28" s="25">
        <f>IF(CR27=0,-1,CR$6-INDEX('Lease Cycles'!$BG$9:$BM$9,1,CR27))</f>
        <v>22</v>
      </c>
      <c r="CS28" s="25">
        <f>IF(CS27=0,-1,CS$6-INDEX('Lease Cycles'!$BG$9:$BM$9,1,CS27))</f>
        <v>23</v>
      </c>
      <c r="CT28" s="25">
        <f>IF(CT27=0,-1,CT$6-INDEX('Lease Cycles'!$BG$9:$BM$9,1,CT27))</f>
        <v>24</v>
      </c>
      <c r="CU28" s="25">
        <f>IF(CU27=0,-1,CU$6-INDEX('Lease Cycles'!$BG$9:$BM$9,1,CU27))</f>
        <v>25</v>
      </c>
      <c r="CV28" s="25">
        <f>IF(CV27=0,-1,CV$6-INDEX('Lease Cycles'!$BG$9:$BM$9,1,CV27))</f>
        <v>26</v>
      </c>
      <c r="CW28" s="25">
        <f>IF(CW27=0,-1,CW$6-INDEX('Lease Cycles'!$BG$9:$BM$9,1,CW27))</f>
        <v>27</v>
      </c>
      <c r="CX28" s="25">
        <f>IF(CX27=0,-1,CX$6-INDEX('Lease Cycles'!$BG$9:$BM$9,1,CX27))</f>
        <v>28</v>
      </c>
      <c r="CY28" s="25">
        <f>IF(CY27=0,-1,CY$6-INDEX('Lease Cycles'!$BG$9:$BM$9,1,CY27))</f>
        <v>29</v>
      </c>
      <c r="CZ28" s="25">
        <f>IF(CZ27=0,-1,CZ$6-INDEX('Lease Cycles'!$BG$9:$BM$9,1,CZ27))</f>
        <v>30</v>
      </c>
      <c r="DA28" s="25">
        <f>IF(DA27=0,-1,DA$6-INDEX('Lease Cycles'!$BG$9:$BM$9,1,DA27))</f>
        <v>31</v>
      </c>
      <c r="DB28" s="25">
        <f>IF(DB27=0,-1,DB$6-INDEX('Lease Cycles'!$BG$9:$BM$9,1,DB27))</f>
        <v>32</v>
      </c>
      <c r="DC28" s="25">
        <f>IF(DC27=0,-1,DC$6-INDEX('Lease Cycles'!$BG$9:$BM$9,1,DC27))</f>
        <v>33</v>
      </c>
      <c r="DD28" s="25">
        <f>IF(DD27=0,-1,DD$6-INDEX('Lease Cycles'!$BG$9:$BM$9,1,DD27))</f>
        <v>34</v>
      </c>
      <c r="DE28" s="25">
        <f>IF(DE27=0,-1,DE$6-INDEX('Lease Cycles'!$BG$9:$BM$9,1,DE27))</f>
        <v>35</v>
      </c>
      <c r="DF28" s="25">
        <f>IF(DF27=0,-1,DF$6-INDEX('Lease Cycles'!$BG$9:$BM$9,1,DF27))</f>
        <v>36</v>
      </c>
      <c r="DG28" s="25">
        <f>IF(DG27=0,-1,DG$6-INDEX('Lease Cycles'!$BG$9:$BM$9,1,DG27))</f>
        <v>37</v>
      </c>
      <c r="DH28" s="25">
        <f>IF(DH27=0,-1,DH$6-INDEX('Lease Cycles'!$BG$9:$BM$9,1,DH27))</f>
        <v>38</v>
      </c>
      <c r="DI28" s="25">
        <f>IF(DI27=0,-1,DI$6-INDEX('Lease Cycles'!$BG$9:$BM$9,1,DI27))</f>
        <v>39</v>
      </c>
      <c r="DJ28" s="25">
        <f>IF(DJ27=0,-1,DJ$6-INDEX('Lease Cycles'!$BG$9:$BM$9,1,DJ27))</f>
        <v>40</v>
      </c>
      <c r="DK28" s="25">
        <f>IF(DK27=0,-1,DK$6-INDEX('Lease Cycles'!$BG$9:$BM$9,1,DK27))</f>
        <v>41</v>
      </c>
      <c r="DL28" s="25">
        <f>IF(DL27=0,-1,DL$6-INDEX('Lease Cycles'!$BG$9:$BM$9,1,DL27))</f>
        <v>42</v>
      </c>
      <c r="DM28" s="25">
        <f>IF(DM27=0,-1,DM$6-INDEX('Lease Cycles'!$BG$9:$BM$9,1,DM27))</f>
        <v>43</v>
      </c>
      <c r="DN28" s="25">
        <f>IF(DN27=0,-1,DN$6-INDEX('Lease Cycles'!$BG$9:$BM$9,1,DN27))</f>
        <v>44</v>
      </c>
      <c r="DO28" s="25">
        <f>IF(DO27=0,-1,DO$6-INDEX('Lease Cycles'!$BG$9:$BM$9,1,DO27))</f>
        <v>45</v>
      </c>
      <c r="DP28" s="25">
        <f>IF(DP27=0,-1,DP$6-INDEX('Lease Cycles'!$BG$9:$BM$9,1,DP27))</f>
        <v>46</v>
      </c>
      <c r="DQ28" s="25">
        <f>IF(DQ27=0,-1,DQ$6-INDEX('Lease Cycles'!$BG$9:$BM$9,1,DQ27))</f>
        <v>47</v>
      </c>
      <c r="DR28" s="25">
        <f>IF(DR27=0,-1,DR$6-INDEX('Lease Cycles'!$BG$9:$BM$9,1,DR27))</f>
        <v>48</v>
      </c>
      <c r="DS28" s="25">
        <f>IF(DS27=0,-1,DS$6-INDEX('Lease Cycles'!$BG$9:$BM$9,1,DS27))</f>
        <v>49</v>
      </c>
      <c r="DT28" s="25">
        <f>IF(DT27=0,-1,DT$6-INDEX('Lease Cycles'!$BG$9:$BM$9,1,DT27))</f>
        <v>50</v>
      </c>
      <c r="DU28" s="25">
        <f>IF(DU27=0,-1,DU$6-INDEX('Lease Cycles'!$BG$9:$BM$9,1,DU27))</f>
        <v>51</v>
      </c>
      <c r="DV28" s="25">
        <f>IF(DV27=0,-1,DV$6-INDEX('Lease Cycles'!$BG$9:$BM$9,1,DV27))</f>
        <v>52</v>
      </c>
      <c r="DW28" s="25">
        <f>IF(DW27=0,-1,DW$6-INDEX('Lease Cycles'!$BG$9:$BM$9,1,DW27))</f>
        <v>53</v>
      </c>
      <c r="DX28" s="25">
        <f>IF(DX27=0,-1,DX$6-INDEX('Lease Cycles'!$BG$9:$BM$9,1,DX27))</f>
        <v>54</v>
      </c>
      <c r="DY28" s="25">
        <f>IF(DY27=0,-1,DY$6-INDEX('Lease Cycles'!$BG$9:$BM$9,1,DY27))</f>
        <v>55</v>
      </c>
      <c r="DZ28" s="25">
        <f>IF(DZ27=0,-1,DZ$6-INDEX('Lease Cycles'!$BG$9:$BM$9,1,DZ27))</f>
        <v>56</v>
      </c>
      <c r="EA28" s="25">
        <f>IF(EA27=0,-1,EA$6-INDEX('Lease Cycles'!$BG$9:$BM$9,1,EA27))</f>
        <v>57</v>
      </c>
      <c r="EB28" s="25">
        <f>IF(EB27=0,-1,EB$6-INDEX('Lease Cycles'!$BG$9:$BM$9,1,EB27))</f>
        <v>58</v>
      </c>
      <c r="EC28" s="25">
        <f>IF(EC27=0,-1,EC$6-INDEX('Lease Cycles'!$BG$9:$BM$9,1,EC27))</f>
        <v>59</v>
      </c>
      <c r="ED28" s="25">
        <f>IF(ED27=0,-1,ED$6-INDEX('Lease Cycles'!$BG$9:$BM$9,1,ED27))</f>
        <v>60</v>
      </c>
      <c r="EE28" s="25">
        <f>IF(EE27=0,-1,EE$6-INDEX('Lease Cycles'!$BG$9:$BM$9,1,EE27))</f>
        <v>61</v>
      </c>
      <c r="EF28" s="25">
        <f>IF(EF27=0,-1,EF$6-INDEX('Lease Cycles'!$BG$9:$BM$9,1,EF27))</f>
        <v>62</v>
      </c>
      <c r="EG28" s="25">
        <f>IF(EG27=0,-1,EG$6-INDEX('Lease Cycles'!$BG$9:$BM$9,1,EG27))</f>
        <v>63</v>
      </c>
      <c r="EH28" s="25">
        <f>IF(EH27=0,-1,EH$6-INDEX('Lease Cycles'!$BG$9:$BM$9,1,EH27))</f>
        <v>64</v>
      </c>
      <c r="EI28" s="25">
        <f>IF(EI27=0,-1,EI$6-INDEX('Lease Cycles'!$BG$9:$BM$9,1,EI27))</f>
        <v>65</v>
      </c>
      <c r="EJ28" s="25">
        <f>IF(EJ27=0,-1,EJ$6-INDEX('Lease Cycles'!$BG$9:$BM$9,1,EJ27))</f>
        <v>66</v>
      </c>
      <c r="EK28" s="25">
        <f>IF(EK27=0,-1,EK$6-INDEX('Lease Cycles'!$BG$9:$BM$9,1,EK27))</f>
        <v>67</v>
      </c>
      <c r="EL28" s="25">
        <f>IF(EL27=0,-1,EL$6-INDEX('Lease Cycles'!$BG$9:$BM$9,1,EL27))</f>
        <v>68</v>
      </c>
      <c r="EM28" s="25">
        <f>IF(EM27=0,-1,EM$6-INDEX('Lease Cycles'!$BG$9:$BM$9,1,EM27))</f>
        <v>69</v>
      </c>
      <c r="EN28" s="25">
        <f>IF(EN27=0,-1,EN$6-INDEX('Lease Cycles'!$BG$9:$BM$9,1,EN27))</f>
        <v>70</v>
      </c>
      <c r="EO28" s="25">
        <f>IF(EO27=0,-1,EO$6-INDEX('Lease Cycles'!$BG$9:$BM$9,1,EO27))</f>
        <v>71</v>
      </c>
      <c r="EP28" s="25">
        <f>IF(EP27=0,-1,EP$6-INDEX('Lease Cycles'!$BG$9:$BM$9,1,EP27))</f>
        <v>72</v>
      </c>
      <c r="EQ28" s="25">
        <f>IF(EQ27=0,-1,EQ$6-INDEX('Lease Cycles'!$BG$9:$BM$9,1,EQ27))</f>
        <v>73</v>
      </c>
      <c r="ER28" s="25">
        <f>IF(ER27=0,-1,ER$6-INDEX('Lease Cycles'!$BG$9:$BM$9,1,ER27))</f>
        <v>74</v>
      </c>
      <c r="ES28" s="25">
        <f>IF(ES27=0,-1,ES$6-INDEX('Lease Cycles'!$BG$9:$BM$9,1,ES27))</f>
        <v>75</v>
      </c>
      <c r="ET28" s="25">
        <f>IF(ET27=0,-1,ET$6-INDEX('Lease Cycles'!$BG$9:$BM$9,1,ET27))</f>
        <v>76</v>
      </c>
    </row>
    <row r="29">
      <c r="A29" s="103">
        <v>2</v>
      </c>
      <c r="B29" s="23" t="str">
        <f>IF('Lease Cycles'!$B$9="","(empty slot)",'Lease Cycles'!$B$9)</f>
        <v>Sunfield Pharmacy</v>
      </c>
      <c r="C29" s="23" t="s">
        <v>675</v>
      </c>
      <c r="D29" s="104" t="s">
        <v>676</v>
      </c>
      <c r="E29" s="25">
        <f>'Lease Cycles'!$AL$9</f>
        <v>0</v>
      </c>
      <c r="S29" s="25">
        <f>IF(S27=0,0,IF(S28&lt;INDEX('Lease Cycles'!$BN$9:$BT$9,1,S27),1,0))</f>
        <v>1</v>
      </c>
      <c r="T29" s="25">
        <f>IF(T27=0,0,IF(T28&lt;INDEX('Lease Cycles'!$BN$9:$BT$9,1,T27),1,0))</f>
        <v>1</v>
      </c>
      <c r="U29" s="25">
        <f>IF(U27=0,0,IF(U28&lt;INDEX('Lease Cycles'!$BN$9:$BT$9,1,U27),1,0))</f>
        <v>1</v>
      </c>
      <c r="V29" s="25">
        <f>IF(V27=0,0,IF(V28&lt;INDEX('Lease Cycles'!$BN$9:$BT$9,1,V27),1,0))</f>
        <v>1</v>
      </c>
      <c r="W29" s="25">
        <f>IF(W27=0,0,IF(W28&lt;INDEX('Lease Cycles'!$BN$9:$BT$9,1,W27),1,0))</f>
        <v>1</v>
      </c>
      <c r="X29" s="25">
        <f>IF(X27=0,0,IF(X28&lt;INDEX('Lease Cycles'!$BN$9:$BT$9,1,X27),1,0))</f>
        <v>1</v>
      </c>
      <c r="Y29" s="25">
        <f>IF(Y27=0,0,IF(Y28&lt;INDEX('Lease Cycles'!$BN$9:$BT$9,1,Y27),1,0))</f>
        <v>1</v>
      </c>
      <c r="Z29" s="25">
        <f>IF(Z27=0,0,IF(Z28&lt;INDEX('Lease Cycles'!$BN$9:$BT$9,1,Z27),1,0))</f>
        <v>1</v>
      </c>
      <c r="AA29" s="25">
        <f>IF(AA27=0,0,IF(AA28&lt;INDEX('Lease Cycles'!$BN$9:$BT$9,1,AA27),1,0))</f>
        <v>1</v>
      </c>
      <c r="AB29" s="25">
        <f>IF(AB27=0,0,IF(AB28&lt;INDEX('Lease Cycles'!$BN$9:$BT$9,1,AB27),1,0))</f>
        <v>1</v>
      </c>
      <c r="AC29" s="25">
        <f>IF(AC27=0,0,IF(AC28&lt;INDEX('Lease Cycles'!$BN$9:$BT$9,1,AC27),1,0))</f>
        <v>1</v>
      </c>
      <c r="AD29" s="25">
        <f>IF(AD27=0,0,IF(AD28&lt;INDEX('Lease Cycles'!$BN$9:$BT$9,1,AD27),1,0))</f>
        <v>1</v>
      </c>
      <c r="AE29" s="25">
        <f>IF(AE27=0,0,IF(AE28&lt;INDEX('Lease Cycles'!$BN$9:$BT$9,1,AE27),1,0))</f>
        <v>1</v>
      </c>
      <c r="AF29" s="25">
        <f>IF(AF27=0,0,IF(AF28&lt;INDEX('Lease Cycles'!$BN$9:$BT$9,1,AF27),1,0))</f>
        <v>1</v>
      </c>
      <c r="AG29" s="25">
        <f>IF(AG27=0,0,IF(AG28&lt;INDEX('Lease Cycles'!$BN$9:$BT$9,1,AG27),1,0))</f>
        <v>1</v>
      </c>
      <c r="AH29" s="25">
        <f>IF(AH27=0,0,IF(AH28&lt;INDEX('Lease Cycles'!$BN$9:$BT$9,1,AH27),1,0))</f>
        <v>1</v>
      </c>
      <c r="AI29" s="25">
        <f>IF(AI27=0,0,IF(AI28&lt;INDEX('Lease Cycles'!$BN$9:$BT$9,1,AI27),1,0))</f>
        <v>1</v>
      </c>
      <c r="AJ29" s="25">
        <f>IF(AJ27=0,0,IF(AJ28&lt;INDEX('Lease Cycles'!$BN$9:$BT$9,1,AJ27),1,0))</f>
        <v>1</v>
      </c>
      <c r="AK29" s="25">
        <f>IF(AK27=0,0,IF(AK28&lt;INDEX('Lease Cycles'!$BN$9:$BT$9,1,AK27),1,0))</f>
        <v>1</v>
      </c>
      <c r="AL29" s="25">
        <f>IF(AL27=0,0,IF(AL28&lt;INDEX('Lease Cycles'!$BN$9:$BT$9,1,AL27),1,0))</f>
        <v>1</v>
      </c>
      <c r="AM29" s="25">
        <f>IF(AM27=0,0,IF(AM28&lt;INDEX('Lease Cycles'!$BN$9:$BT$9,1,AM27),1,0))</f>
        <v>1</v>
      </c>
      <c r="AN29" s="25">
        <f>IF(AN27=0,0,IF(AN28&lt;INDEX('Lease Cycles'!$BN$9:$BT$9,1,AN27),1,0))</f>
        <v>1</v>
      </c>
      <c r="AO29" s="25">
        <f>IF(AO27=0,0,IF(AO28&lt;INDEX('Lease Cycles'!$BN$9:$BT$9,1,AO27),1,0))</f>
        <v>1</v>
      </c>
      <c r="AP29" s="25">
        <f>IF(AP27=0,0,IF(AP28&lt;INDEX('Lease Cycles'!$BN$9:$BT$9,1,AP27),1,0))</f>
        <v>1</v>
      </c>
      <c r="AQ29" s="25">
        <f>IF(AQ27=0,0,IF(AQ28&lt;INDEX('Lease Cycles'!$BN$9:$BT$9,1,AQ27),1,0))</f>
        <v>1</v>
      </c>
      <c r="AR29" s="25">
        <f>IF(AR27=0,0,IF(AR28&lt;INDEX('Lease Cycles'!$BN$9:$BT$9,1,AR27),1,0))</f>
        <v>1</v>
      </c>
      <c r="AS29" s="25">
        <f>IF(AS27=0,0,IF(AS28&lt;INDEX('Lease Cycles'!$BN$9:$BT$9,1,AS27),1,0))</f>
        <v>1</v>
      </c>
      <c r="AT29" s="25">
        <f>IF(AT27=0,0,IF(AT28&lt;INDEX('Lease Cycles'!$BN$9:$BT$9,1,AT27),1,0))</f>
        <v>1</v>
      </c>
      <c r="AU29" s="25">
        <f>IF(AU27=0,0,IF(AU28&lt;INDEX('Lease Cycles'!$BN$9:$BT$9,1,AU27),1,0))</f>
        <v>1</v>
      </c>
      <c r="AV29" s="25">
        <f>IF(AV27=0,0,IF(AV28&lt;INDEX('Lease Cycles'!$BN$9:$BT$9,1,AV27),1,0))</f>
        <v>1</v>
      </c>
      <c r="AW29" s="25">
        <f>IF(AW27=0,0,IF(AW28&lt;INDEX('Lease Cycles'!$BN$9:$BT$9,1,AW27),1,0))</f>
        <v>1</v>
      </c>
      <c r="AX29" s="25">
        <f>IF(AX27=0,0,IF(AX28&lt;INDEX('Lease Cycles'!$BN$9:$BT$9,1,AX27),1,0))</f>
        <v>1</v>
      </c>
      <c r="AY29" s="25">
        <f>IF(AY27=0,0,IF(AY28&lt;INDEX('Lease Cycles'!$BN$9:$BT$9,1,AY27),1,0))</f>
        <v>1</v>
      </c>
      <c r="AZ29" s="25">
        <f>IF(AZ27=0,0,IF(AZ28&lt;INDEX('Lease Cycles'!$BN$9:$BT$9,1,AZ27),1,0))</f>
        <v>1</v>
      </c>
      <c r="BA29" s="25">
        <f>IF(BA27=0,0,IF(BA28&lt;INDEX('Lease Cycles'!$BN$9:$BT$9,1,BA27),1,0))</f>
        <v>1</v>
      </c>
      <c r="BB29" s="25">
        <f>IF(BB27=0,0,IF(BB28&lt;INDEX('Lease Cycles'!$BN$9:$BT$9,1,BB27),1,0))</f>
        <v>1</v>
      </c>
      <c r="BC29" s="25">
        <f>IF(BC27=0,0,IF(BC28&lt;INDEX('Lease Cycles'!$BN$9:$BT$9,1,BC27),1,0))</f>
        <v>1</v>
      </c>
      <c r="BD29" s="25">
        <f>IF(BD27=0,0,IF(BD28&lt;INDEX('Lease Cycles'!$BN$9:$BT$9,1,BD27),1,0))</f>
        <v>1</v>
      </c>
      <c r="BE29" s="25">
        <f>IF(BE27=0,0,IF(BE28&lt;INDEX('Lease Cycles'!$BN$9:$BT$9,1,BE27),1,0))</f>
        <v>1</v>
      </c>
      <c r="BF29" s="25">
        <f>IF(BF27=0,0,IF(BF28&lt;INDEX('Lease Cycles'!$BN$9:$BT$9,1,BF27),1,0))</f>
        <v>1</v>
      </c>
      <c r="BG29" s="25">
        <f>IF(BG27=0,0,IF(BG28&lt;INDEX('Lease Cycles'!$BN$9:$BT$9,1,BG27),1,0))</f>
        <v>1</v>
      </c>
      <c r="BH29" s="25">
        <f>IF(BH27=0,0,IF(BH28&lt;INDEX('Lease Cycles'!$BN$9:$BT$9,1,BH27),1,0))</f>
        <v>1</v>
      </c>
      <c r="BI29" s="25">
        <f>IF(BI27=0,0,IF(BI28&lt;INDEX('Lease Cycles'!$BN$9:$BT$9,1,BI27),1,0))</f>
        <v>1</v>
      </c>
      <c r="BJ29" s="25">
        <f>IF(BJ27=0,0,IF(BJ28&lt;INDEX('Lease Cycles'!$BN$9:$BT$9,1,BJ27),1,0))</f>
        <v>1</v>
      </c>
      <c r="BK29" s="25">
        <f>IF(BK27=0,0,IF(BK28&lt;INDEX('Lease Cycles'!$BN$9:$BT$9,1,BK27),1,0))</f>
        <v>1</v>
      </c>
      <c r="BL29" s="25">
        <f>IF(BL27=0,0,IF(BL28&lt;INDEX('Lease Cycles'!$BN$9:$BT$9,1,BL27),1,0))</f>
        <v>1</v>
      </c>
      <c r="BM29" s="25">
        <f>IF(BM27=0,0,IF(BM28&lt;INDEX('Lease Cycles'!$BN$9:$BT$9,1,BM27),1,0))</f>
        <v>1</v>
      </c>
      <c r="BN29" s="25">
        <f>IF(BN27=0,0,IF(BN28&lt;INDEX('Lease Cycles'!$BN$9:$BT$9,1,BN27),1,0))</f>
        <v>1</v>
      </c>
      <c r="BO29" s="25">
        <f>IF(BO27=0,0,IF(BO28&lt;INDEX('Lease Cycles'!$BN$9:$BT$9,1,BO27),1,0))</f>
        <v>1</v>
      </c>
      <c r="BP29" s="25">
        <f>IF(BP27=0,0,IF(BP28&lt;INDEX('Lease Cycles'!$BN$9:$BT$9,1,BP27),1,0))</f>
        <v>1</v>
      </c>
      <c r="BQ29" s="25">
        <f>IF(BQ27=0,0,IF(BQ28&lt;INDEX('Lease Cycles'!$BN$9:$BT$9,1,BQ27),1,0))</f>
        <v>1</v>
      </c>
      <c r="BR29" s="25">
        <f>IF(BR27=0,0,IF(BR28&lt;INDEX('Lease Cycles'!$BN$9:$BT$9,1,BR27),1,0))</f>
        <v>1</v>
      </c>
      <c r="BS29" s="25">
        <f>IF(BS27=0,0,IF(BS28&lt;INDEX('Lease Cycles'!$BN$9:$BT$9,1,BS27),1,0))</f>
        <v>1</v>
      </c>
      <c r="BT29" s="25">
        <f>IF(BT27=0,0,IF(BT28&lt;INDEX('Lease Cycles'!$BN$9:$BT$9,1,BT27),1,0))</f>
        <v>1</v>
      </c>
      <c r="BU29" s="25">
        <f>IF(BU27=0,0,IF(BU28&lt;INDEX('Lease Cycles'!$BN$9:$BT$9,1,BU27),1,0))</f>
        <v>0</v>
      </c>
      <c r="BV29" s="25">
        <f>IF(BV27=0,0,IF(BV28&lt;INDEX('Lease Cycles'!$BN$9:$BT$9,1,BV27),1,0))</f>
        <v>1</v>
      </c>
      <c r="BW29" s="25">
        <f>IF(BW27=0,0,IF(BW28&lt;INDEX('Lease Cycles'!$BN$9:$BT$9,1,BW27),1,0))</f>
        <v>1</v>
      </c>
      <c r="BX29" s="25">
        <f>IF(BX27=0,0,IF(BX28&lt;INDEX('Lease Cycles'!$BN$9:$BT$9,1,BX27),1,0))</f>
        <v>1</v>
      </c>
      <c r="BY29" s="25">
        <f>IF(BY27=0,0,IF(BY28&lt;INDEX('Lease Cycles'!$BN$9:$BT$9,1,BY27),1,0))</f>
        <v>1</v>
      </c>
      <c r="BZ29" s="25">
        <f>IF(BZ27=0,0,IF(BZ28&lt;INDEX('Lease Cycles'!$BN$9:$BT$9,1,BZ27),1,0))</f>
        <v>1</v>
      </c>
      <c r="CA29" s="25">
        <f>IF(CA27=0,0,IF(CA28&lt;INDEX('Lease Cycles'!$BN$9:$BT$9,1,CA27),1,0))</f>
        <v>1</v>
      </c>
      <c r="CB29" s="25">
        <f>IF(CB27=0,0,IF(CB28&lt;INDEX('Lease Cycles'!$BN$9:$BT$9,1,CB27),1,0))</f>
        <v>1</v>
      </c>
      <c r="CC29" s="25">
        <f>IF(CC27=0,0,IF(CC28&lt;INDEX('Lease Cycles'!$BN$9:$BT$9,1,CC27),1,0))</f>
        <v>1</v>
      </c>
      <c r="CD29" s="25">
        <f>IF(CD27=0,0,IF(CD28&lt;INDEX('Lease Cycles'!$BN$9:$BT$9,1,CD27),1,0))</f>
        <v>1</v>
      </c>
      <c r="CE29" s="25">
        <f>IF(CE27=0,0,IF(CE28&lt;INDEX('Lease Cycles'!$BN$9:$BT$9,1,CE27),1,0))</f>
        <v>1</v>
      </c>
      <c r="CF29" s="25">
        <f>IF(CF27=0,0,IF(CF28&lt;INDEX('Lease Cycles'!$BN$9:$BT$9,1,CF27),1,0))</f>
        <v>1</v>
      </c>
      <c r="CG29" s="25">
        <f>IF(CG27=0,0,IF(CG28&lt;INDEX('Lease Cycles'!$BN$9:$BT$9,1,CG27),1,0))</f>
        <v>1</v>
      </c>
      <c r="CH29" s="25">
        <f>IF(CH27=0,0,IF(CH28&lt;INDEX('Lease Cycles'!$BN$9:$BT$9,1,CH27),1,0))</f>
        <v>1</v>
      </c>
      <c r="CI29" s="25">
        <f>IF(CI27=0,0,IF(CI28&lt;INDEX('Lease Cycles'!$BN$9:$BT$9,1,CI27),1,0))</f>
        <v>1</v>
      </c>
      <c r="CJ29" s="25">
        <f>IF(CJ27=0,0,IF(CJ28&lt;INDEX('Lease Cycles'!$BN$9:$BT$9,1,CJ27),1,0))</f>
        <v>1</v>
      </c>
      <c r="CK29" s="25">
        <f>IF(CK27=0,0,IF(CK28&lt;INDEX('Lease Cycles'!$BN$9:$BT$9,1,CK27),1,0))</f>
        <v>1</v>
      </c>
      <c r="CL29" s="25">
        <f>IF(CL27=0,0,IF(CL28&lt;INDEX('Lease Cycles'!$BN$9:$BT$9,1,CL27),1,0))</f>
        <v>1</v>
      </c>
      <c r="CM29" s="25">
        <f>IF(CM27=0,0,IF(CM28&lt;INDEX('Lease Cycles'!$BN$9:$BT$9,1,CM27),1,0))</f>
        <v>1</v>
      </c>
      <c r="CN29" s="25">
        <f>IF(CN27=0,0,IF(CN28&lt;INDEX('Lease Cycles'!$BN$9:$BT$9,1,CN27),1,0))</f>
        <v>1</v>
      </c>
      <c r="CO29" s="25">
        <f>IF(CO27=0,0,IF(CO28&lt;INDEX('Lease Cycles'!$BN$9:$BT$9,1,CO27),1,0))</f>
        <v>1</v>
      </c>
      <c r="CP29" s="25">
        <f>IF(CP27=0,0,IF(CP28&lt;INDEX('Lease Cycles'!$BN$9:$BT$9,1,CP27),1,0))</f>
        <v>1</v>
      </c>
      <c r="CQ29" s="25">
        <f>IF(CQ27=0,0,IF(CQ28&lt;INDEX('Lease Cycles'!$BN$9:$BT$9,1,CQ27),1,0))</f>
        <v>1</v>
      </c>
      <c r="CR29" s="25">
        <f>IF(CR27=0,0,IF(CR28&lt;INDEX('Lease Cycles'!$BN$9:$BT$9,1,CR27),1,0))</f>
        <v>1</v>
      </c>
      <c r="CS29" s="25">
        <f>IF(CS27=0,0,IF(CS28&lt;INDEX('Lease Cycles'!$BN$9:$BT$9,1,CS27),1,0))</f>
        <v>1</v>
      </c>
      <c r="CT29" s="25">
        <f>IF(CT27=0,0,IF(CT28&lt;INDEX('Lease Cycles'!$BN$9:$BT$9,1,CT27),1,0))</f>
        <v>1</v>
      </c>
      <c r="CU29" s="25">
        <f>IF(CU27=0,0,IF(CU28&lt;INDEX('Lease Cycles'!$BN$9:$BT$9,1,CU27),1,0))</f>
        <v>1</v>
      </c>
      <c r="CV29" s="25">
        <f>IF(CV27=0,0,IF(CV28&lt;INDEX('Lease Cycles'!$BN$9:$BT$9,1,CV27),1,0))</f>
        <v>1</v>
      </c>
      <c r="CW29" s="25">
        <f>IF(CW27=0,0,IF(CW28&lt;INDEX('Lease Cycles'!$BN$9:$BT$9,1,CW27),1,0))</f>
        <v>1</v>
      </c>
      <c r="CX29" s="25">
        <f>IF(CX27=0,0,IF(CX28&lt;INDEX('Lease Cycles'!$BN$9:$BT$9,1,CX27),1,0))</f>
        <v>1</v>
      </c>
      <c r="CY29" s="25">
        <f>IF(CY27=0,0,IF(CY28&lt;INDEX('Lease Cycles'!$BN$9:$BT$9,1,CY27),1,0))</f>
        <v>1</v>
      </c>
      <c r="CZ29" s="25">
        <f>IF(CZ27=0,0,IF(CZ28&lt;INDEX('Lease Cycles'!$BN$9:$BT$9,1,CZ27),1,0))</f>
        <v>1</v>
      </c>
      <c r="DA29" s="25">
        <f>IF(DA27=0,0,IF(DA28&lt;INDEX('Lease Cycles'!$BN$9:$BT$9,1,DA27),1,0))</f>
        <v>1</v>
      </c>
      <c r="DB29" s="25">
        <f>IF(DB27=0,0,IF(DB28&lt;INDEX('Lease Cycles'!$BN$9:$BT$9,1,DB27),1,0))</f>
        <v>1</v>
      </c>
      <c r="DC29" s="25">
        <f>IF(DC27=0,0,IF(DC28&lt;INDEX('Lease Cycles'!$BN$9:$BT$9,1,DC27),1,0))</f>
        <v>1</v>
      </c>
      <c r="DD29" s="25">
        <f>IF(DD27=0,0,IF(DD28&lt;INDEX('Lease Cycles'!$BN$9:$BT$9,1,DD27),1,0))</f>
        <v>1</v>
      </c>
      <c r="DE29" s="25">
        <f>IF(DE27=0,0,IF(DE28&lt;INDEX('Lease Cycles'!$BN$9:$BT$9,1,DE27),1,0))</f>
        <v>1</v>
      </c>
      <c r="DF29" s="25">
        <f>IF(DF27=0,0,IF(DF28&lt;INDEX('Lease Cycles'!$BN$9:$BT$9,1,DF27),1,0))</f>
        <v>1</v>
      </c>
      <c r="DG29" s="25">
        <f>IF(DG27=0,0,IF(DG28&lt;INDEX('Lease Cycles'!$BN$9:$BT$9,1,DG27),1,0))</f>
        <v>1</v>
      </c>
      <c r="DH29" s="25">
        <f>IF(DH27=0,0,IF(DH28&lt;INDEX('Lease Cycles'!$BN$9:$BT$9,1,DH27),1,0))</f>
        <v>1</v>
      </c>
      <c r="DI29" s="25">
        <f>IF(DI27=0,0,IF(DI28&lt;INDEX('Lease Cycles'!$BN$9:$BT$9,1,DI27),1,0))</f>
        <v>1</v>
      </c>
      <c r="DJ29" s="25">
        <f>IF(DJ27=0,0,IF(DJ28&lt;INDEX('Lease Cycles'!$BN$9:$BT$9,1,DJ27),1,0))</f>
        <v>1</v>
      </c>
      <c r="DK29" s="25">
        <f>IF(DK27=0,0,IF(DK28&lt;INDEX('Lease Cycles'!$BN$9:$BT$9,1,DK27),1,0))</f>
        <v>1</v>
      </c>
      <c r="DL29" s="25">
        <f>IF(DL27=0,0,IF(DL28&lt;INDEX('Lease Cycles'!$BN$9:$BT$9,1,DL27),1,0))</f>
        <v>1</v>
      </c>
      <c r="DM29" s="25">
        <f>IF(DM27=0,0,IF(DM28&lt;INDEX('Lease Cycles'!$BN$9:$BT$9,1,DM27),1,0))</f>
        <v>1</v>
      </c>
      <c r="DN29" s="25">
        <f>IF(DN27=0,0,IF(DN28&lt;INDEX('Lease Cycles'!$BN$9:$BT$9,1,DN27),1,0))</f>
        <v>1</v>
      </c>
      <c r="DO29" s="25">
        <f>IF(DO27=0,0,IF(DO28&lt;INDEX('Lease Cycles'!$BN$9:$BT$9,1,DO27),1,0))</f>
        <v>1</v>
      </c>
      <c r="DP29" s="25">
        <f>IF(DP27=0,0,IF(DP28&lt;INDEX('Lease Cycles'!$BN$9:$BT$9,1,DP27),1,0))</f>
        <v>1</v>
      </c>
      <c r="DQ29" s="25">
        <f>IF(DQ27=0,0,IF(DQ28&lt;INDEX('Lease Cycles'!$BN$9:$BT$9,1,DQ27),1,0))</f>
        <v>1</v>
      </c>
      <c r="DR29" s="25">
        <f>IF(DR27=0,0,IF(DR28&lt;INDEX('Lease Cycles'!$BN$9:$BT$9,1,DR27),1,0))</f>
        <v>1</v>
      </c>
      <c r="DS29" s="25">
        <f>IF(DS27=0,0,IF(DS28&lt;INDEX('Lease Cycles'!$BN$9:$BT$9,1,DS27),1,0))</f>
        <v>1</v>
      </c>
      <c r="DT29" s="25">
        <f>IF(DT27=0,0,IF(DT28&lt;INDEX('Lease Cycles'!$BN$9:$BT$9,1,DT27),1,0))</f>
        <v>1</v>
      </c>
      <c r="DU29" s="25">
        <f>IF(DU27=0,0,IF(DU28&lt;INDEX('Lease Cycles'!$BN$9:$BT$9,1,DU27),1,0))</f>
        <v>1</v>
      </c>
      <c r="DV29" s="25">
        <f>IF(DV27=0,0,IF(DV28&lt;INDEX('Lease Cycles'!$BN$9:$BT$9,1,DV27),1,0))</f>
        <v>1</v>
      </c>
      <c r="DW29" s="25">
        <f>IF(DW27=0,0,IF(DW28&lt;INDEX('Lease Cycles'!$BN$9:$BT$9,1,DW27),1,0))</f>
        <v>1</v>
      </c>
      <c r="DX29" s="25">
        <f>IF(DX27=0,0,IF(DX28&lt;INDEX('Lease Cycles'!$BN$9:$BT$9,1,DX27),1,0))</f>
        <v>1</v>
      </c>
      <c r="DY29" s="25">
        <f>IF(DY27=0,0,IF(DY28&lt;INDEX('Lease Cycles'!$BN$9:$BT$9,1,DY27),1,0))</f>
        <v>1</v>
      </c>
      <c r="DZ29" s="25">
        <f>IF(DZ27=0,0,IF(DZ28&lt;INDEX('Lease Cycles'!$BN$9:$BT$9,1,DZ27),1,0))</f>
        <v>1</v>
      </c>
      <c r="EA29" s="25">
        <f>IF(EA27=0,0,IF(EA28&lt;INDEX('Lease Cycles'!$BN$9:$BT$9,1,EA27),1,0))</f>
        <v>1</v>
      </c>
      <c r="EB29" s="25">
        <f>IF(EB27=0,0,IF(EB28&lt;INDEX('Lease Cycles'!$BN$9:$BT$9,1,EB27),1,0))</f>
        <v>1</v>
      </c>
      <c r="EC29" s="25">
        <f>IF(EC27=0,0,IF(EC28&lt;INDEX('Lease Cycles'!$BN$9:$BT$9,1,EC27),1,0))</f>
        <v>1</v>
      </c>
      <c r="ED29" s="25">
        <f>IF(ED27=0,0,IF(ED28&lt;INDEX('Lease Cycles'!$BN$9:$BT$9,1,ED27),1,0))</f>
        <v>1</v>
      </c>
      <c r="EE29" s="25">
        <f>IF(EE27=0,0,IF(EE28&lt;INDEX('Lease Cycles'!$BN$9:$BT$9,1,EE27),1,0))</f>
        <v>1</v>
      </c>
      <c r="EF29" s="25">
        <f>IF(EF27=0,0,IF(EF28&lt;INDEX('Lease Cycles'!$BN$9:$BT$9,1,EF27),1,0))</f>
        <v>1</v>
      </c>
      <c r="EG29" s="25">
        <f>IF(EG27=0,0,IF(EG28&lt;INDEX('Lease Cycles'!$BN$9:$BT$9,1,EG27),1,0))</f>
        <v>1</v>
      </c>
      <c r="EH29" s="25">
        <f>IF(EH27=0,0,IF(EH28&lt;INDEX('Lease Cycles'!$BN$9:$BT$9,1,EH27),1,0))</f>
        <v>1</v>
      </c>
      <c r="EI29" s="25">
        <f>IF(EI27=0,0,IF(EI28&lt;INDEX('Lease Cycles'!$BN$9:$BT$9,1,EI27),1,0))</f>
        <v>1</v>
      </c>
      <c r="EJ29" s="25">
        <f>IF(EJ27=0,0,IF(EJ28&lt;INDEX('Lease Cycles'!$BN$9:$BT$9,1,EJ27),1,0))</f>
        <v>1</v>
      </c>
      <c r="EK29" s="25">
        <f>IF(EK27=0,0,IF(EK28&lt;INDEX('Lease Cycles'!$BN$9:$BT$9,1,EK27),1,0))</f>
        <v>1</v>
      </c>
      <c r="EL29" s="25">
        <f>IF(EL27=0,0,IF(EL28&lt;INDEX('Lease Cycles'!$BN$9:$BT$9,1,EL27),1,0))</f>
        <v>1</v>
      </c>
      <c r="EM29" s="25">
        <f>IF(EM27=0,0,IF(EM28&lt;INDEX('Lease Cycles'!$BN$9:$BT$9,1,EM27),1,0))</f>
        <v>1</v>
      </c>
      <c r="EN29" s="25">
        <f>IF(EN27=0,0,IF(EN28&lt;INDEX('Lease Cycles'!$BN$9:$BT$9,1,EN27),1,0))</f>
        <v>1</v>
      </c>
      <c r="EO29" s="25">
        <f>IF(EO27=0,0,IF(EO28&lt;INDEX('Lease Cycles'!$BN$9:$BT$9,1,EO27),1,0))</f>
        <v>1</v>
      </c>
      <c r="EP29" s="25">
        <f>IF(EP27=0,0,IF(EP28&lt;INDEX('Lease Cycles'!$BN$9:$BT$9,1,EP27),1,0))</f>
        <v>1</v>
      </c>
      <c r="EQ29" s="25">
        <f>IF(EQ27=0,0,IF(EQ28&lt;INDEX('Lease Cycles'!$BN$9:$BT$9,1,EQ27),1,0))</f>
        <v>1</v>
      </c>
      <c r="ER29" s="25">
        <f>IF(ER27=0,0,IF(ER28&lt;INDEX('Lease Cycles'!$BN$9:$BT$9,1,ER27),1,0))</f>
        <v>1</v>
      </c>
      <c r="ES29" s="25">
        <f>IF(ES27=0,0,IF(ES28&lt;INDEX('Lease Cycles'!$BN$9:$BT$9,1,ES27),1,0))</f>
        <v>1</v>
      </c>
      <c r="ET29" s="25">
        <f>IF(ET27=0,0,IF(ET28&lt;INDEX('Lease Cycles'!$BN$9:$BT$9,1,ET27),1,0))</f>
        <v>1</v>
      </c>
    </row>
    <row r="30">
      <c r="A30" s="103">
        <v>2</v>
      </c>
      <c r="B30" s="23" t="str">
        <f>IF('Lease Cycles'!$B$9="","(empty slot)",'Lease Cycles'!$B$9)</f>
        <v>Sunfield Pharmacy</v>
      </c>
      <c r="C30" s="23" t="s">
        <v>677</v>
      </c>
      <c r="D30" s="104" t="s">
        <v>678</v>
      </c>
      <c r="E30" s="25">
        <f>'Lease Cycles'!$AL$9</f>
        <v>0</v>
      </c>
      <c r="S30" s="28">
        <f>IF(S27=0,IF('Lease Cycles'!$F$9&gt;0,'Lease Cycles'!$C$9*'Lease Cycles'!$E$9/12,0),IF(S29=1,IF('Lease Cycles'!$AT$9&gt;=9999,'Lease Cycles'!$C$9*INDEX('Lease Cycles'!$CB$9:$CH$9,1,S27)*(1+INDEX('Lease Cycles'!$CI$9:$CO$9,1,S27))^INT(INT(S28/12)/INDEX('Lease Cycles'!$CP$9:$CV$9,1,S27))/12,IF(S27=1,IF(S28&gt;=INDEX('Lease Cycles'!$DK$9:$DQ$9,1,S27),IF(S$6&gt;='Lease Cycles'!$AZ$9,'Lease Cycles'!$C$9*'Lease Cycles'!$BA$9/12,IF(S$6&gt;='Lease Cycles'!$AX$9,'Lease Cycles'!$C$9*'Lease Cycles'!$AY$9/12,IF(S$6&gt;='Lease Cycles'!$AV$9,'Lease Cycles'!$C$9*'Lease Cycles'!$AW$9/12,IF(S$6&gt;='Lease Cycles'!$AT$9,'Lease Cycles'!$C$9*'Lease Cycles'!$AU$9/12,'Lease Cycles'!$C$9*INDEX('Lease Cycles'!$CB$9:$CH$9,1,S27)*(1+INDEX('Lease Cycles'!$CI$9:$CO$9,1,S27))^INT(INT(S28/12)/INDEX('Lease Cycles'!$CP$9:$CV$9,1,S27))/12)))),'Lease Cycles'!$C$9*INDEX('Lease Cycles'!$CB$9:$CH$9,1,S27)*(1+INDEX('Lease Cycles'!$CI$9:$CO$9,1,S27))^INT(INT(S28/12)/INDEX('Lease Cycles'!$CP$9:$CV$9,1,S27))/12),IF(INDEX('Lease Cycles'!$EF$9:$EL$9,1,S27)=1,IF(AND('Lease Cycles'!$AZ$9&gt;=INDEX('Lease Cycles'!$BG$9:$BM$9,1,S27),'Lease Cycles'!$AZ$9&lt;=S$6),'Lease Cycles'!$C$9*'Lease Cycles'!$BA$9/12,IF(AND('Lease Cycles'!$AX$9&gt;=INDEX('Lease Cycles'!$BG$9:$BM$9,1,S27),'Lease Cycles'!$AX$9&lt;=S$6),'Lease Cycles'!$C$9*'Lease Cycles'!$AY$9/12,IF(AND('Lease Cycles'!$AV$9&gt;=INDEX('Lease Cycles'!$BG$9:$BM$9,1,S27),'Lease Cycles'!$AV$9&lt;=S$6),'Lease Cycles'!$C$9*'Lease Cycles'!$AW$9/12,IF(AND('Lease Cycles'!$AT$9&gt;=INDEX('Lease Cycles'!$BG$9:$BM$9,1,S27),'Lease Cycles'!$AT$9&lt;=S$6),'Lease Cycles'!$C$9*'Lease Cycles'!$AU$9/12,'Lease Cycles'!$C$9*INDEX('Lease Cycles'!$CB$9:$CH$9,1,S27)*(1+INDEX('Lease Cycles'!$CI$9:$CO$9,1,S27))^INT(INT(S28/12)/INDEX('Lease Cycles'!$CP$9:$CV$9,1,S27))/12)))),'Lease Cycles'!$C$9*INDEX('Lease Cycles'!$CB$9:$CH$9,1,S27)*(1+INDEX('Lease Cycles'!$CI$9:$CO$9,1,S27))^INT(INT(S28/12)/INDEX('Lease Cycles'!$CP$9:$CV$9,1,S27))/12))),IF('Lease Cycles'!$N$9=1,'Lease Cycles'!$C$9*'Lease Cycles'!$E$9*INDEX('Lease Cycles'!$HE$9:$HK$9,1,S27)*(1+INDEX('Lease Cycles'!$GQ$9:$GW$9,1,S27))^INT(INT((S$6-INDEX('Lease Cycles'!$GJ$9:$GP$9,1,S27))/12)/INDEX('Lease Cycles'!$GX$9:$HD$9,1,S27))/12,0)))</f>
        <v>13500</v>
      </c>
      <c r="T30" s="28">
        <f>IF(T27=0,IF('Lease Cycles'!$F$9&gt;0,'Lease Cycles'!$C$9*'Lease Cycles'!$E$9/12,0),IF(T29=1,IF('Lease Cycles'!$AT$9&gt;=9999,'Lease Cycles'!$C$9*INDEX('Lease Cycles'!$CB$9:$CH$9,1,T27)*(1+INDEX('Lease Cycles'!$CI$9:$CO$9,1,T27))^INT(INT(T28/12)/INDEX('Lease Cycles'!$CP$9:$CV$9,1,T27))/12,IF(T27=1,IF(T28&gt;=INDEX('Lease Cycles'!$DK$9:$DQ$9,1,T27),IF(T$6&gt;='Lease Cycles'!$AZ$9,'Lease Cycles'!$C$9*'Lease Cycles'!$BA$9/12,IF(T$6&gt;='Lease Cycles'!$AX$9,'Lease Cycles'!$C$9*'Lease Cycles'!$AY$9/12,IF(T$6&gt;='Lease Cycles'!$AV$9,'Lease Cycles'!$C$9*'Lease Cycles'!$AW$9/12,IF(T$6&gt;='Lease Cycles'!$AT$9,'Lease Cycles'!$C$9*'Lease Cycles'!$AU$9/12,'Lease Cycles'!$C$9*INDEX('Lease Cycles'!$CB$9:$CH$9,1,T27)*(1+INDEX('Lease Cycles'!$CI$9:$CO$9,1,T27))^INT(INT(T28/12)/INDEX('Lease Cycles'!$CP$9:$CV$9,1,T27))/12)))),'Lease Cycles'!$C$9*INDEX('Lease Cycles'!$CB$9:$CH$9,1,T27)*(1+INDEX('Lease Cycles'!$CI$9:$CO$9,1,T27))^INT(INT(T28/12)/INDEX('Lease Cycles'!$CP$9:$CV$9,1,T27))/12),IF(INDEX('Lease Cycles'!$EF$9:$EL$9,1,T27)=1,IF(AND('Lease Cycles'!$AZ$9&gt;=INDEX('Lease Cycles'!$BG$9:$BM$9,1,T27),'Lease Cycles'!$AZ$9&lt;=T$6),'Lease Cycles'!$C$9*'Lease Cycles'!$BA$9/12,IF(AND('Lease Cycles'!$AX$9&gt;=INDEX('Lease Cycles'!$BG$9:$BM$9,1,T27),'Lease Cycles'!$AX$9&lt;=T$6),'Lease Cycles'!$C$9*'Lease Cycles'!$AY$9/12,IF(AND('Lease Cycles'!$AV$9&gt;=INDEX('Lease Cycles'!$BG$9:$BM$9,1,T27),'Lease Cycles'!$AV$9&lt;=T$6),'Lease Cycles'!$C$9*'Lease Cycles'!$AW$9/12,IF(AND('Lease Cycles'!$AT$9&gt;=INDEX('Lease Cycles'!$BG$9:$BM$9,1,T27),'Lease Cycles'!$AT$9&lt;=T$6),'Lease Cycles'!$C$9*'Lease Cycles'!$AU$9/12,'Lease Cycles'!$C$9*INDEX('Lease Cycles'!$CB$9:$CH$9,1,T27)*(1+INDEX('Lease Cycles'!$CI$9:$CO$9,1,T27))^INT(INT(T28/12)/INDEX('Lease Cycles'!$CP$9:$CV$9,1,T27))/12)))),'Lease Cycles'!$C$9*INDEX('Lease Cycles'!$CB$9:$CH$9,1,T27)*(1+INDEX('Lease Cycles'!$CI$9:$CO$9,1,T27))^INT(INT(T28/12)/INDEX('Lease Cycles'!$CP$9:$CV$9,1,T27))/12))),IF('Lease Cycles'!$N$9=1,'Lease Cycles'!$C$9*'Lease Cycles'!$E$9*INDEX('Lease Cycles'!$HE$9:$HK$9,1,T27)*(1+INDEX('Lease Cycles'!$GQ$9:$GW$9,1,T27))^INT(INT((T$6-INDEX('Lease Cycles'!$GJ$9:$GP$9,1,T27))/12)/INDEX('Lease Cycles'!$GX$9:$HD$9,1,T27))/12,0)))</f>
        <v>13500</v>
      </c>
      <c r="U30" s="28">
        <f>IF(U27=0,IF('Lease Cycles'!$F$9&gt;0,'Lease Cycles'!$C$9*'Lease Cycles'!$E$9/12,0),IF(U29=1,IF('Lease Cycles'!$AT$9&gt;=9999,'Lease Cycles'!$C$9*INDEX('Lease Cycles'!$CB$9:$CH$9,1,U27)*(1+INDEX('Lease Cycles'!$CI$9:$CO$9,1,U27))^INT(INT(U28/12)/INDEX('Lease Cycles'!$CP$9:$CV$9,1,U27))/12,IF(U27=1,IF(U28&gt;=INDEX('Lease Cycles'!$DK$9:$DQ$9,1,U27),IF(U$6&gt;='Lease Cycles'!$AZ$9,'Lease Cycles'!$C$9*'Lease Cycles'!$BA$9/12,IF(U$6&gt;='Lease Cycles'!$AX$9,'Lease Cycles'!$C$9*'Lease Cycles'!$AY$9/12,IF(U$6&gt;='Lease Cycles'!$AV$9,'Lease Cycles'!$C$9*'Lease Cycles'!$AW$9/12,IF(U$6&gt;='Lease Cycles'!$AT$9,'Lease Cycles'!$C$9*'Lease Cycles'!$AU$9/12,'Lease Cycles'!$C$9*INDEX('Lease Cycles'!$CB$9:$CH$9,1,U27)*(1+INDEX('Lease Cycles'!$CI$9:$CO$9,1,U27))^INT(INT(U28/12)/INDEX('Lease Cycles'!$CP$9:$CV$9,1,U27))/12)))),'Lease Cycles'!$C$9*INDEX('Lease Cycles'!$CB$9:$CH$9,1,U27)*(1+INDEX('Lease Cycles'!$CI$9:$CO$9,1,U27))^INT(INT(U28/12)/INDEX('Lease Cycles'!$CP$9:$CV$9,1,U27))/12),IF(INDEX('Lease Cycles'!$EF$9:$EL$9,1,U27)=1,IF(AND('Lease Cycles'!$AZ$9&gt;=INDEX('Lease Cycles'!$BG$9:$BM$9,1,U27),'Lease Cycles'!$AZ$9&lt;=U$6),'Lease Cycles'!$C$9*'Lease Cycles'!$BA$9/12,IF(AND('Lease Cycles'!$AX$9&gt;=INDEX('Lease Cycles'!$BG$9:$BM$9,1,U27),'Lease Cycles'!$AX$9&lt;=U$6),'Lease Cycles'!$C$9*'Lease Cycles'!$AY$9/12,IF(AND('Lease Cycles'!$AV$9&gt;=INDEX('Lease Cycles'!$BG$9:$BM$9,1,U27),'Lease Cycles'!$AV$9&lt;=U$6),'Lease Cycles'!$C$9*'Lease Cycles'!$AW$9/12,IF(AND('Lease Cycles'!$AT$9&gt;=INDEX('Lease Cycles'!$BG$9:$BM$9,1,U27),'Lease Cycles'!$AT$9&lt;=U$6),'Lease Cycles'!$C$9*'Lease Cycles'!$AU$9/12,'Lease Cycles'!$C$9*INDEX('Lease Cycles'!$CB$9:$CH$9,1,U27)*(1+INDEX('Lease Cycles'!$CI$9:$CO$9,1,U27))^INT(INT(U28/12)/INDEX('Lease Cycles'!$CP$9:$CV$9,1,U27))/12)))),'Lease Cycles'!$C$9*INDEX('Lease Cycles'!$CB$9:$CH$9,1,U27)*(1+INDEX('Lease Cycles'!$CI$9:$CO$9,1,U27))^INT(INT(U28/12)/INDEX('Lease Cycles'!$CP$9:$CV$9,1,U27))/12))),IF('Lease Cycles'!$N$9=1,'Lease Cycles'!$C$9*'Lease Cycles'!$E$9*INDEX('Lease Cycles'!$HE$9:$HK$9,1,U27)*(1+INDEX('Lease Cycles'!$GQ$9:$GW$9,1,U27))^INT(INT((U$6-INDEX('Lease Cycles'!$GJ$9:$GP$9,1,U27))/12)/INDEX('Lease Cycles'!$GX$9:$HD$9,1,U27))/12,0)))</f>
        <v>13500</v>
      </c>
      <c r="V30" s="28">
        <f>IF(V27=0,IF('Lease Cycles'!$F$9&gt;0,'Lease Cycles'!$C$9*'Lease Cycles'!$E$9/12,0),IF(V29=1,IF('Lease Cycles'!$AT$9&gt;=9999,'Lease Cycles'!$C$9*INDEX('Lease Cycles'!$CB$9:$CH$9,1,V27)*(1+INDEX('Lease Cycles'!$CI$9:$CO$9,1,V27))^INT(INT(V28/12)/INDEX('Lease Cycles'!$CP$9:$CV$9,1,V27))/12,IF(V27=1,IF(V28&gt;=INDEX('Lease Cycles'!$DK$9:$DQ$9,1,V27),IF(V$6&gt;='Lease Cycles'!$AZ$9,'Lease Cycles'!$C$9*'Lease Cycles'!$BA$9/12,IF(V$6&gt;='Lease Cycles'!$AX$9,'Lease Cycles'!$C$9*'Lease Cycles'!$AY$9/12,IF(V$6&gt;='Lease Cycles'!$AV$9,'Lease Cycles'!$C$9*'Lease Cycles'!$AW$9/12,IF(V$6&gt;='Lease Cycles'!$AT$9,'Lease Cycles'!$C$9*'Lease Cycles'!$AU$9/12,'Lease Cycles'!$C$9*INDEX('Lease Cycles'!$CB$9:$CH$9,1,V27)*(1+INDEX('Lease Cycles'!$CI$9:$CO$9,1,V27))^INT(INT(V28/12)/INDEX('Lease Cycles'!$CP$9:$CV$9,1,V27))/12)))),'Lease Cycles'!$C$9*INDEX('Lease Cycles'!$CB$9:$CH$9,1,V27)*(1+INDEX('Lease Cycles'!$CI$9:$CO$9,1,V27))^INT(INT(V28/12)/INDEX('Lease Cycles'!$CP$9:$CV$9,1,V27))/12),IF(INDEX('Lease Cycles'!$EF$9:$EL$9,1,V27)=1,IF(AND('Lease Cycles'!$AZ$9&gt;=INDEX('Lease Cycles'!$BG$9:$BM$9,1,V27),'Lease Cycles'!$AZ$9&lt;=V$6),'Lease Cycles'!$C$9*'Lease Cycles'!$BA$9/12,IF(AND('Lease Cycles'!$AX$9&gt;=INDEX('Lease Cycles'!$BG$9:$BM$9,1,V27),'Lease Cycles'!$AX$9&lt;=V$6),'Lease Cycles'!$C$9*'Lease Cycles'!$AY$9/12,IF(AND('Lease Cycles'!$AV$9&gt;=INDEX('Lease Cycles'!$BG$9:$BM$9,1,V27),'Lease Cycles'!$AV$9&lt;=V$6),'Lease Cycles'!$C$9*'Lease Cycles'!$AW$9/12,IF(AND('Lease Cycles'!$AT$9&gt;=INDEX('Lease Cycles'!$BG$9:$BM$9,1,V27),'Lease Cycles'!$AT$9&lt;=V$6),'Lease Cycles'!$C$9*'Lease Cycles'!$AU$9/12,'Lease Cycles'!$C$9*INDEX('Lease Cycles'!$CB$9:$CH$9,1,V27)*(1+INDEX('Lease Cycles'!$CI$9:$CO$9,1,V27))^INT(INT(V28/12)/INDEX('Lease Cycles'!$CP$9:$CV$9,1,V27))/12)))),'Lease Cycles'!$C$9*INDEX('Lease Cycles'!$CB$9:$CH$9,1,V27)*(1+INDEX('Lease Cycles'!$CI$9:$CO$9,1,V27))^INT(INT(V28/12)/INDEX('Lease Cycles'!$CP$9:$CV$9,1,V27))/12))),IF('Lease Cycles'!$N$9=1,'Lease Cycles'!$C$9*'Lease Cycles'!$E$9*INDEX('Lease Cycles'!$HE$9:$HK$9,1,V27)*(1+INDEX('Lease Cycles'!$GQ$9:$GW$9,1,V27))^INT(INT((V$6-INDEX('Lease Cycles'!$GJ$9:$GP$9,1,V27))/12)/INDEX('Lease Cycles'!$GX$9:$HD$9,1,V27))/12,0)))</f>
        <v>13500</v>
      </c>
      <c r="W30" s="28">
        <f>IF(W27=0,IF('Lease Cycles'!$F$9&gt;0,'Lease Cycles'!$C$9*'Lease Cycles'!$E$9/12,0),IF(W29=1,IF('Lease Cycles'!$AT$9&gt;=9999,'Lease Cycles'!$C$9*INDEX('Lease Cycles'!$CB$9:$CH$9,1,W27)*(1+INDEX('Lease Cycles'!$CI$9:$CO$9,1,W27))^INT(INT(W28/12)/INDEX('Lease Cycles'!$CP$9:$CV$9,1,W27))/12,IF(W27=1,IF(W28&gt;=INDEX('Lease Cycles'!$DK$9:$DQ$9,1,W27),IF(W$6&gt;='Lease Cycles'!$AZ$9,'Lease Cycles'!$C$9*'Lease Cycles'!$BA$9/12,IF(W$6&gt;='Lease Cycles'!$AX$9,'Lease Cycles'!$C$9*'Lease Cycles'!$AY$9/12,IF(W$6&gt;='Lease Cycles'!$AV$9,'Lease Cycles'!$C$9*'Lease Cycles'!$AW$9/12,IF(W$6&gt;='Lease Cycles'!$AT$9,'Lease Cycles'!$C$9*'Lease Cycles'!$AU$9/12,'Lease Cycles'!$C$9*INDEX('Lease Cycles'!$CB$9:$CH$9,1,W27)*(1+INDEX('Lease Cycles'!$CI$9:$CO$9,1,W27))^INT(INT(W28/12)/INDEX('Lease Cycles'!$CP$9:$CV$9,1,W27))/12)))),'Lease Cycles'!$C$9*INDEX('Lease Cycles'!$CB$9:$CH$9,1,W27)*(1+INDEX('Lease Cycles'!$CI$9:$CO$9,1,W27))^INT(INT(W28/12)/INDEX('Lease Cycles'!$CP$9:$CV$9,1,W27))/12),IF(INDEX('Lease Cycles'!$EF$9:$EL$9,1,W27)=1,IF(AND('Lease Cycles'!$AZ$9&gt;=INDEX('Lease Cycles'!$BG$9:$BM$9,1,W27),'Lease Cycles'!$AZ$9&lt;=W$6),'Lease Cycles'!$C$9*'Lease Cycles'!$BA$9/12,IF(AND('Lease Cycles'!$AX$9&gt;=INDEX('Lease Cycles'!$BG$9:$BM$9,1,W27),'Lease Cycles'!$AX$9&lt;=W$6),'Lease Cycles'!$C$9*'Lease Cycles'!$AY$9/12,IF(AND('Lease Cycles'!$AV$9&gt;=INDEX('Lease Cycles'!$BG$9:$BM$9,1,W27),'Lease Cycles'!$AV$9&lt;=W$6),'Lease Cycles'!$C$9*'Lease Cycles'!$AW$9/12,IF(AND('Lease Cycles'!$AT$9&gt;=INDEX('Lease Cycles'!$BG$9:$BM$9,1,W27),'Lease Cycles'!$AT$9&lt;=W$6),'Lease Cycles'!$C$9*'Lease Cycles'!$AU$9/12,'Lease Cycles'!$C$9*INDEX('Lease Cycles'!$CB$9:$CH$9,1,W27)*(1+INDEX('Lease Cycles'!$CI$9:$CO$9,1,W27))^INT(INT(W28/12)/INDEX('Lease Cycles'!$CP$9:$CV$9,1,W27))/12)))),'Lease Cycles'!$C$9*INDEX('Lease Cycles'!$CB$9:$CH$9,1,W27)*(1+INDEX('Lease Cycles'!$CI$9:$CO$9,1,W27))^INT(INT(W28/12)/INDEX('Lease Cycles'!$CP$9:$CV$9,1,W27))/12))),IF('Lease Cycles'!$N$9=1,'Lease Cycles'!$C$9*'Lease Cycles'!$E$9*INDEX('Lease Cycles'!$HE$9:$HK$9,1,W27)*(1+INDEX('Lease Cycles'!$GQ$9:$GW$9,1,W27))^INT(INT((W$6-INDEX('Lease Cycles'!$GJ$9:$GP$9,1,W27))/12)/INDEX('Lease Cycles'!$GX$9:$HD$9,1,W27))/12,0)))</f>
        <v>13500</v>
      </c>
      <c r="X30" s="28">
        <f>IF(X27=0,IF('Lease Cycles'!$F$9&gt;0,'Lease Cycles'!$C$9*'Lease Cycles'!$E$9/12,0),IF(X29=1,IF('Lease Cycles'!$AT$9&gt;=9999,'Lease Cycles'!$C$9*INDEX('Lease Cycles'!$CB$9:$CH$9,1,X27)*(1+INDEX('Lease Cycles'!$CI$9:$CO$9,1,X27))^INT(INT(X28/12)/INDEX('Lease Cycles'!$CP$9:$CV$9,1,X27))/12,IF(X27=1,IF(X28&gt;=INDEX('Lease Cycles'!$DK$9:$DQ$9,1,X27),IF(X$6&gt;='Lease Cycles'!$AZ$9,'Lease Cycles'!$C$9*'Lease Cycles'!$BA$9/12,IF(X$6&gt;='Lease Cycles'!$AX$9,'Lease Cycles'!$C$9*'Lease Cycles'!$AY$9/12,IF(X$6&gt;='Lease Cycles'!$AV$9,'Lease Cycles'!$C$9*'Lease Cycles'!$AW$9/12,IF(X$6&gt;='Lease Cycles'!$AT$9,'Lease Cycles'!$C$9*'Lease Cycles'!$AU$9/12,'Lease Cycles'!$C$9*INDEX('Lease Cycles'!$CB$9:$CH$9,1,X27)*(1+INDEX('Lease Cycles'!$CI$9:$CO$9,1,X27))^INT(INT(X28/12)/INDEX('Lease Cycles'!$CP$9:$CV$9,1,X27))/12)))),'Lease Cycles'!$C$9*INDEX('Lease Cycles'!$CB$9:$CH$9,1,X27)*(1+INDEX('Lease Cycles'!$CI$9:$CO$9,1,X27))^INT(INT(X28/12)/INDEX('Lease Cycles'!$CP$9:$CV$9,1,X27))/12),IF(INDEX('Lease Cycles'!$EF$9:$EL$9,1,X27)=1,IF(AND('Lease Cycles'!$AZ$9&gt;=INDEX('Lease Cycles'!$BG$9:$BM$9,1,X27),'Lease Cycles'!$AZ$9&lt;=X$6),'Lease Cycles'!$C$9*'Lease Cycles'!$BA$9/12,IF(AND('Lease Cycles'!$AX$9&gt;=INDEX('Lease Cycles'!$BG$9:$BM$9,1,X27),'Lease Cycles'!$AX$9&lt;=X$6),'Lease Cycles'!$C$9*'Lease Cycles'!$AY$9/12,IF(AND('Lease Cycles'!$AV$9&gt;=INDEX('Lease Cycles'!$BG$9:$BM$9,1,X27),'Lease Cycles'!$AV$9&lt;=X$6),'Lease Cycles'!$C$9*'Lease Cycles'!$AW$9/12,IF(AND('Lease Cycles'!$AT$9&gt;=INDEX('Lease Cycles'!$BG$9:$BM$9,1,X27),'Lease Cycles'!$AT$9&lt;=X$6),'Lease Cycles'!$C$9*'Lease Cycles'!$AU$9/12,'Lease Cycles'!$C$9*INDEX('Lease Cycles'!$CB$9:$CH$9,1,X27)*(1+INDEX('Lease Cycles'!$CI$9:$CO$9,1,X27))^INT(INT(X28/12)/INDEX('Lease Cycles'!$CP$9:$CV$9,1,X27))/12)))),'Lease Cycles'!$C$9*INDEX('Lease Cycles'!$CB$9:$CH$9,1,X27)*(1+INDEX('Lease Cycles'!$CI$9:$CO$9,1,X27))^INT(INT(X28/12)/INDEX('Lease Cycles'!$CP$9:$CV$9,1,X27))/12))),IF('Lease Cycles'!$N$9=1,'Lease Cycles'!$C$9*'Lease Cycles'!$E$9*INDEX('Lease Cycles'!$HE$9:$HK$9,1,X27)*(1+INDEX('Lease Cycles'!$GQ$9:$GW$9,1,X27))^INT(INT((X$6-INDEX('Lease Cycles'!$GJ$9:$GP$9,1,X27))/12)/INDEX('Lease Cycles'!$GX$9:$HD$9,1,X27))/12,0)))</f>
        <v>13500</v>
      </c>
      <c r="Y30" s="28">
        <f>IF(Y27=0,IF('Lease Cycles'!$F$9&gt;0,'Lease Cycles'!$C$9*'Lease Cycles'!$E$9/12,0),IF(Y29=1,IF('Lease Cycles'!$AT$9&gt;=9999,'Lease Cycles'!$C$9*INDEX('Lease Cycles'!$CB$9:$CH$9,1,Y27)*(1+INDEX('Lease Cycles'!$CI$9:$CO$9,1,Y27))^INT(INT(Y28/12)/INDEX('Lease Cycles'!$CP$9:$CV$9,1,Y27))/12,IF(Y27=1,IF(Y28&gt;=INDEX('Lease Cycles'!$DK$9:$DQ$9,1,Y27),IF(Y$6&gt;='Lease Cycles'!$AZ$9,'Lease Cycles'!$C$9*'Lease Cycles'!$BA$9/12,IF(Y$6&gt;='Lease Cycles'!$AX$9,'Lease Cycles'!$C$9*'Lease Cycles'!$AY$9/12,IF(Y$6&gt;='Lease Cycles'!$AV$9,'Lease Cycles'!$C$9*'Lease Cycles'!$AW$9/12,IF(Y$6&gt;='Lease Cycles'!$AT$9,'Lease Cycles'!$C$9*'Lease Cycles'!$AU$9/12,'Lease Cycles'!$C$9*INDEX('Lease Cycles'!$CB$9:$CH$9,1,Y27)*(1+INDEX('Lease Cycles'!$CI$9:$CO$9,1,Y27))^INT(INT(Y28/12)/INDEX('Lease Cycles'!$CP$9:$CV$9,1,Y27))/12)))),'Lease Cycles'!$C$9*INDEX('Lease Cycles'!$CB$9:$CH$9,1,Y27)*(1+INDEX('Lease Cycles'!$CI$9:$CO$9,1,Y27))^INT(INT(Y28/12)/INDEX('Lease Cycles'!$CP$9:$CV$9,1,Y27))/12),IF(INDEX('Lease Cycles'!$EF$9:$EL$9,1,Y27)=1,IF(AND('Lease Cycles'!$AZ$9&gt;=INDEX('Lease Cycles'!$BG$9:$BM$9,1,Y27),'Lease Cycles'!$AZ$9&lt;=Y$6),'Lease Cycles'!$C$9*'Lease Cycles'!$BA$9/12,IF(AND('Lease Cycles'!$AX$9&gt;=INDEX('Lease Cycles'!$BG$9:$BM$9,1,Y27),'Lease Cycles'!$AX$9&lt;=Y$6),'Lease Cycles'!$C$9*'Lease Cycles'!$AY$9/12,IF(AND('Lease Cycles'!$AV$9&gt;=INDEX('Lease Cycles'!$BG$9:$BM$9,1,Y27),'Lease Cycles'!$AV$9&lt;=Y$6),'Lease Cycles'!$C$9*'Lease Cycles'!$AW$9/12,IF(AND('Lease Cycles'!$AT$9&gt;=INDEX('Lease Cycles'!$BG$9:$BM$9,1,Y27),'Lease Cycles'!$AT$9&lt;=Y$6),'Lease Cycles'!$C$9*'Lease Cycles'!$AU$9/12,'Lease Cycles'!$C$9*INDEX('Lease Cycles'!$CB$9:$CH$9,1,Y27)*(1+INDEX('Lease Cycles'!$CI$9:$CO$9,1,Y27))^INT(INT(Y28/12)/INDEX('Lease Cycles'!$CP$9:$CV$9,1,Y27))/12)))),'Lease Cycles'!$C$9*INDEX('Lease Cycles'!$CB$9:$CH$9,1,Y27)*(1+INDEX('Lease Cycles'!$CI$9:$CO$9,1,Y27))^INT(INT(Y28/12)/INDEX('Lease Cycles'!$CP$9:$CV$9,1,Y27))/12))),IF('Lease Cycles'!$N$9=1,'Lease Cycles'!$C$9*'Lease Cycles'!$E$9*INDEX('Lease Cycles'!$HE$9:$HK$9,1,Y27)*(1+INDEX('Lease Cycles'!$GQ$9:$GW$9,1,Y27))^INT(INT((Y$6-INDEX('Lease Cycles'!$GJ$9:$GP$9,1,Y27))/12)/INDEX('Lease Cycles'!$GX$9:$HD$9,1,Y27))/12,0)))</f>
        <v>13500</v>
      </c>
      <c r="Z30" s="28">
        <f>IF(Z27=0,IF('Lease Cycles'!$F$9&gt;0,'Lease Cycles'!$C$9*'Lease Cycles'!$E$9/12,0),IF(Z29=1,IF('Lease Cycles'!$AT$9&gt;=9999,'Lease Cycles'!$C$9*INDEX('Lease Cycles'!$CB$9:$CH$9,1,Z27)*(1+INDEX('Lease Cycles'!$CI$9:$CO$9,1,Z27))^INT(INT(Z28/12)/INDEX('Lease Cycles'!$CP$9:$CV$9,1,Z27))/12,IF(Z27=1,IF(Z28&gt;=INDEX('Lease Cycles'!$DK$9:$DQ$9,1,Z27),IF(Z$6&gt;='Lease Cycles'!$AZ$9,'Lease Cycles'!$C$9*'Lease Cycles'!$BA$9/12,IF(Z$6&gt;='Lease Cycles'!$AX$9,'Lease Cycles'!$C$9*'Lease Cycles'!$AY$9/12,IF(Z$6&gt;='Lease Cycles'!$AV$9,'Lease Cycles'!$C$9*'Lease Cycles'!$AW$9/12,IF(Z$6&gt;='Lease Cycles'!$AT$9,'Lease Cycles'!$C$9*'Lease Cycles'!$AU$9/12,'Lease Cycles'!$C$9*INDEX('Lease Cycles'!$CB$9:$CH$9,1,Z27)*(1+INDEX('Lease Cycles'!$CI$9:$CO$9,1,Z27))^INT(INT(Z28/12)/INDEX('Lease Cycles'!$CP$9:$CV$9,1,Z27))/12)))),'Lease Cycles'!$C$9*INDEX('Lease Cycles'!$CB$9:$CH$9,1,Z27)*(1+INDEX('Lease Cycles'!$CI$9:$CO$9,1,Z27))^INT(INT(Z28/12)/INDEX('Lease Cycles'!$CP$9:$CV$9,1,Z27))/12),IF(INDEX('Lease Cycles'!$EF$9:$EL$9,1,Z27)=1,IF(AND('Lease Cycles'!$AZ$9&gt;=INDEX('Lease Cycles'!$BG$9:$BM$9,1,Z27),'Lease Cycles'!$AZ$9&lt;=Z$6),'Lease Cycles'!$C$9*'Lease Cycles'!$BA$9/12,IF(AND('Lease Cycles'!$AX$9&gt;=INDEX('Lease Cycles'!$BG$9:$BM$9,1,Z27),'Lease Cycles'!$AX$9&lt;=Z$6),'Lease Cycles'!$C$9*'Lease Cycles'!$AY$9/12,IF(AND('Lease Cycles'!$AV$9&gt;=INDEX('Lease Cycles'!$BG$9:$BM$9,1,Z27),'Lease Cycles'!$AV$9&lt;=Z$6),'Lease Cycles'!$C$9*'Lease Cycles'!$AW$9/12,IF(AND('Lease Cycles'!$AT$9&gt;=INDEX('Lease Cycles'!$BG$9:$BM$9,1,Z27),'Lease Cycles'!$AT$9&lt;=Z$6),'Lease Cycles'!$C$9*'Lease Cycles'!$AU$9/12,'Lease Cycles'!$C$9*INDEX('Lease Cycles'!$CB$9:$CH$9,1,Z27)*(1+INDEX('Lease Cycles'!$CI$9:$CO$9,1,Z27))^INT(INT(Z28/12)/INDEX('Lease Cycles'!$CP$9:$CV$9,1,Z27))/12)))),'Lease Cycles'!$C$9*INDEX('Lease Cycles'!$CB$9:$CH$9,1,Z27)*(1+INDEX('Lease Cycles'!$CI$9:$CO$9,1,Z27))^INT(INT(Z28/12)/INDEX('Lease Cycles'!$CP$9:$CV$9,1,Z27))/12))),IF('Lease Cycles'!$N$9=1,'Lease Cycles'!$C$9*'Lease Cycles'!$E$9*INDEX('Lease Cycles'!$HE$9:$HK$9,1,Z27)*(1+INDEX('Lease Cycles'!$GQ$9:$GW$9,1,Z27))^INT(INT((Z$6-INDEX('Lease Cycles'!$GJ$9:$GP$9,1,Z27))/12)/INDEX('Lease Cycles'!$GX$9:$HD$9,1,Z27))/12,0)))</f>
        <v>13500</v>
      </c>
      <c r="AA30" s="28">
        <f>IF(AA27=0,IF('Lease Cycles'!$F$9&gt;0,'Lease Cycles'!$C$9*'Lease Cycles'!$E$9/12,0),IF(AA29=1,IF('Lease Cycles'!$AT$9&gt;=9999,'Lease Cycles'!$C$9*INDEX('Lease Cycles'!$CB$9:$CH$9,1,AA27)*(1+INDEX('Lease Cycles'!$CI$9:$CO$9,1,AA27))^INT(INT(AA28/12)/INDEX('Lease Cycles'!$CP$9:$CV$9,1,AA27))/12,IF(AA27=1,IF(AA28&gt;=INDEX('Lease Cycles'!$DK$9:$DQ$9,1,AA27),IF(AA$6&gt;='Lease Cycles'!$AZ$9,'Lease Cycles'!$C$9*'Lease Cycles'!$BA$9/12,IF(AA$6&gt;='Lease Cycles'!$AX$9,'Lease Cycles'!$C$9*'Lease Cycles'!$AY$9/12,IF(AA$6&gt;='Lease Cycles'!$AV$9,'Lease Cycles'!$C$9*'Lease Cycles'!$AW$9/12,IF(AA$6&gt;='Lease Cycles'!$AT$9,'Lease Cycles'!$C$9*'Lease Cycles'!$AU$9/12,'Lease Cycles'!$C$9*INDEX('Lease Cycles'!$CB$9:$CH$9,1,AA27)*(1+INDEX('Lease Cycles'!$CI$9:$CO$9,1,AA27))^INT(INT(AA28/12)/INDEX('Lease Cycles'!$CP$9:$CV$9,1,AA27))/12)))),'Lease Cycles'!$C$9*INDEX('Lease Cycles'!$CB$9:$CH$9,1,AA27)*(1+INDEX('Lease Cycles'!$CI$9:$CO$9,1,AA27))^INT(INT(AA28/12)/INDEX('Lease Cycles'!$CP$9:$CV$9,1,AA27))/12),IF(INDEX('Lease Cycles'!$EF$9:$EL$9,1,AA27)=1,IF(AND('Lease Cycles'!$AZ$9&gt;=INDEX('Lease Cycles'!$BG$9:$BM$9,1,AA27),'Lease Cycles'!$AZ$9&lt;=AA$6),'Lease Cycles'!$C$9*'Lease Cycles'!$BA$9/12,IF(AND('Lease Cycles'!$AX$9&gt;=INDEX('Lease Cycles'!$BG$9:$BM$9,1,AA27),'Lease Cycles'!$AX$9&lt;=AA$6),'Lease Cycles'!$C$9*'Lease Cycles'!$AY$9/12,IF(AND('Lease Cycles'!$AV$9&gt;=INDEX('Lease Cycles'!$BG$9:$BM$9,1,AA27),'Lease Cycles'!$AV$9&lt;=AA$6),'Lease Cycles'!$C$9*'Lease Cycles'!$AW$9/12,IF(AND('Lease Cycles'!$AT$9&gt;=INDEX('Lease Cycles'!$BG$9:$BM$9,1,AA27),'Lease Cycles'!$AT$9&lt;=AA$6),'Lease Cycles'!$C$9*'Lease Cycles'!$AU$9/12,'Lease Cycles'!$C$9*INDEX('Lease Cycles'!$CB$9:$CH$9,1,AA27)*(1+INDEX('Lease Cycles'!$CI$9:$CO$9,1,AA27))^INT(INT(AA28/12)/INDEX('Lease Cycles'!$CP$9:$CV$9,1,AA27))/12)))),'Lease Cycles'!$C$9*INDEX('Lease Cycles'!$CB$9:$CH$9,1,AA27)*(1+INDEX('Lease Cycles'!$CI$9:$CO$9,1,AA27))^INT(INT(AA28/12)/INDEX('Lease Cycles'!$CP$9:$CV$9,1,AA27))/12))),IF('Lease Cycles'!$N$9=1,'Lease Cycles'!$C$9*'Lease Cycles'!$E$9*INDEX('Lease Cycles'!$HE$9:$HK$9,1,AA27)*(1+INDEX('Lease Cycles'!$GQ$9:$GW$9,1,AA27))^INT(INT((AA$6-INDEX('Lease Cycles'!$GJ$9:$GP$9,1,AA27))/12)/INDEX('Lease Cycles'!$GX$9:$HD$9,1,AA27))/12,0)))</f>
        <v>13500</v>
      </c>
      <c r="AB30" s="28">
        <f>IF(AB27=0,IF('Lease Cycles'!$F$9&gt;0,'Lease Cycles'!$C$9*'Lease Cycles'!$E$9/12,0),IF(AB29=1,IF('Lease Cycles'!$AT$9&gt;=9999,'Lease Cycles'!$C$9*INDEX('Lease Cycles'!$CB$9:$CH$9,1,AB27)*(1+INDEX('Lease Cycles'!$CI$9:$CO$9,1,AB27))^INT(INT(AB28/12)/INDEX('Lease Cycles'!$CP$9:$CV$9,1,AB27))/12,IF(AB27=1,IF(AB28&gt;=INDEX('Lease Cycles'!$DK$9:$DQ$9,1,AB27),IF(AB$6&gt;='Lease Cycles'!$AZ$9,'Lease Cycles'!$C$9*'Lease Cycles'!$BA$9/12,IF(AB$6&gt;='Lease Cycles'!$AX$9,'Lease Cycles'!$C$9*'Lease Cycles'!$AY$9/12,IF(AB$6&gt;='Lease Cycles'!$AV$9,'Lease Cycles'!$C$9*'Lease Cycles'!$AW$9/12,IF(AB$6&gt;='Lease Cycles'!$AT$9,'Lease Cycles'!$C$9*'Lease Cycles'!$AU$9/12,'Lease Cycles'!$C$9*INDEX('Lease Cycles'!$CB$9:$CH$9,1,AB27)*(1+INDEX('Lease Cycles'!$CI$9:$CO$9,1,AB27))^INT(INT(AB28/12)/INDEX('Lease Cycles'!$CP$9:$CV$9,1,AB27))/12)))),'Lease Cycles'!$C$9*INDEX('Lease Cycles'!$CB$9:$CH$9,1,AB27)*(1+INDEX('Lease Cycles'!$CI$9:$CO$9,1,AB27))^INT(INT(AB28/12)/INDEX('Lease Cycles'!$CP$9:$CV$9,1,AB27))/12),IF(INDEX('Lease Cycles'!$EF$9:$EL$9,1,AB27)=1,IF(AND('Lease Cycles'!$AZ$9&gt;=INDEX('Lease Cycles'!$BG$9:$BM$9,1,AB27),'Lease Cycles'!$AZ$9&lt;=AB$6),'Lease Cycles'!$C$9*'Lease Cycles'!$BA$9/12,IF(AND('Lease Cycles'!$AX$9&gt;=INDEX('Lease Cycles'!$BG$9:$BM$9,1,AB27),'Lease Cycles'!$AX$9&lt;=AB$6),'Lease Cycles'!$C$9*'Lease Cycles'!$AY$9/12,IF(AND('Lease Cycles'!$AV$9&gt;=INDEX('Lease Cycles'!$BG$9:$BM$9,1,AB27),'Lease Cycles'!$AV$9&lt;=AB$6),'Lease Cycles'!$C$9*'Lease Cycles'!$AW$9/12,IF(AND('Lease Cycles'!$AT$9&gt;=INDEX('Lease Cycles'!$BG$9:$BM$9,1,AB27),'Lease Cycles'!$AT$9&lt;=AB$6),'Lease Cycles'!$C$9*'Lease Cycles'!$AU$9/12,'Lease Cycles'!$C$9*INDEX('Lease Cycles'!$CB$9:$CH$9,1,AB27)*(1+INDEX('Lease Cycles'!$CI$9:$CO$9,1,AB27))^INT(INT(AB28/12)/INDEX('Lease Cycles'!$CP$9:$CV$9,1,AB27))/12)))),'Lease Cycles'!$C$9*INDEX('Lease Cycles'!$CB$9:$CH$9,1,AB27)*(1+INDEX('Lease Cycles'!$CI$9:$CO$9,1,AB27))^INT(INT(AB28/12)/INDEX('Lease Cycles'!$CP$9:$CV$9,1,AB27))/12))),IF('Lease Cycles'!$N$9=1,'Lease Cycles'!$C$9*'Lease Cycles'!$E$9*INDEX('Lease Cycles'!$HE$9:$HK$9,1,AB27)*(1+INDEX('Lease Cycles'!$GQ$9:$GW$9,1,AB27))^INT(INT((AB$6-INDEX('Lease Cycles'!$GJ$9:$GP$9,1,AB27))/12)/INDEX('Lease Cycles'!$GX$9:$HD$9,1,AB27))/12,0)))</f>
        <v>13500</v>
      </c>
      <c r="AC30" s="28">
        <f>IF(AC27=0,IF('Lease Cycles'!$F$9&gt;0,'Lease Cycles'!$C$9*'Lease Cycles'!$E$9/12,0),IF(AC29=1,IF('Lease Cycles'!$AT$9&gt;=9999,'Lease Cycles'!$C$9*INDEX('Lease Cycles'!$CB$9:$CH$9,1,AC27)*(1+INDEX('Lease Cycles'!$CI$9:$CO$9,1,AC27))^INT(INT(AC28/12)/INDEX('Lease Cycles'!$CP$9:$CV$9,1,AC27))/12,IF(AC27=1,IF(AC28&gt;=INDEX('Lease Cycles'!$DK$9:$DQ$9,1,AC27),IF(AC$6&gt;='Lease Cycles'!$AZ$9,'Lease Cycles'!$C$9*'Lease Cycles'!$BA$9/12,IF(AC$6&gt;='Lease Cycles'!$AX$9,'Lease Cycles'!$C$9*'Lease Cycles'!$AY$9/12,IF(AC$6&gt;='Lease Cycles'!$AV$9,'Lease Cycles'!$C$9*'Lease Cycles'!$AW$9/12,IF(AC$6&gt;='Lease Cycles'!$AT$9,'Lease Cycles'!$C$9*'Lease Cycles'!$AU$9/12,'Lease Cycles'!$C$9*INDEX('Lease Cycles'!$CB$9:$CH$9,1,AC27)*(1+INDEX('Lease Cycles'!$CI$9:$CO$9,1,AC27))^INT(INT(AC28/12)/INDEX('Lease Cycles'!$CP$9:$CV$9,1,AC27))/12)))),'Lease Cycles'!$C$9*INDEX('Lease Cycles'!$CB$9:$CH$9,1,AC27)*(1+INDEX('Lease Cycles'!$CI$9:$CO$9,1,AC27))^INT(INT(AC28/12)/INDEX('Lease Cycles'!$CP$9:$CV$9,1,AC27))/12),IF(INDEX('Lease Cycles'!$EF$9:$EL$9,1,AC27)=1,IF(AND('Lease Cycles'!$AZ$9&gt;=INDEX('Lease Cycles'!$BG$9:$BM$9,1,AC27),'Lease Cycles'!$AZ$9&lt;=AC$6),'Lease Cycles'!$C$9*'Lease Cycles'!$BA$9/12,IF(AND('Lease Cycles'!$AX$9&gt;=INDEX('Lease Cycles'!$BG$9:$BM$9,1,AC27),'Lease Cycles'!$AX$9&lt;=AC$6),'Lease Cycles'!$C$9*'Lease Cycles'!$AY$9/12,IF(AND('Lease Cycles'!$AV$9&gt;=INDEX('Lease Cycles'!$BG$9:$BM$9,1,AC27),'Lease Cycles'!$AV$9&lt;=AC$6),'Lease Cycles'!$C$9*'Lease Cycles'!$AW$9/12,IF(AND('Lease Cycles'!$AT$9&gt;=INDEX('Lease Cycles'!$BG$9:$BM$9,1,AC27),'Lease Cycles'!$AT$9&lt;=AC$6),'Lease Cycles'!$C$9*'Lease Cycles'!$AU$9/12,'Lease Cycles'!$C$9*INDEX('Lease Cycles'!$CB$9:$CH$9,1,AC27)*(1+INDEX('Lease Cycles'!$CI$9:$CO$9,1,AC27))^INT(INT(AC28/12)/INDEX('Lease Cycles'!$CP$9:$CV$9,1,AC27))/12)))),'Lease Cycles'!$C$9*INDEX('Lease Cycles'!$CB$9:$CH$9,1,AC27)*(1+INDEX('Lease Cycles'!$CI$9:$CO$9,1,AC27))^INT(INT(AC28/12)/INDEX('Lease Cycles'!$CP$9:$CV$9,1,AC27))/12))),IF('Lease Cycles'!$N$9=1,'Lease Cycles'!$C$9*'Lease Cycles'!$E$9*INDEX('Lease Cycles'!$HE$9:$HK$9,1,AC27)*(1+INDEX('Lease Cycles'!$GQ$9:$GW$9,1,AC27))^INT(INT((AC$6-INDEX('Lease Cycles'!$GJ$9:$GP$9,1,AC27))/12)/INDEX('Lease Cycles'!$GX$9:$HD$9,1,AC27))/12,0)))</f>
        <v>13500</v>
      </c>
      <c r="AD30" s="28">
        <f>IF(AD27=0,IF('Lease Cycles'!$F$9&gt;0,'Lease Cycles'!$C$9*'Lease Cycles'!$E$9/12,0),IF(AD29=1,IF('Lease Cycles'!$AT$9&gt;=9999,'Lease Cycles'!$C$9*INDEX('Lease Cycles'!$CB$9:$CH$9,1,AD27)*(1+INDEX('Lease Cycles'!$CI$9:$CO$9,1,AD27))^INT(INT(AD28/12)/INDEX('Lease Cycles'!$CP$9:$CV$9,1,AD27))/12,IF(AD27=1,IF(AD28&gt;=INDEX('Lease Cycles'!$DK$9:$DQ$9,1,AD27),IF(AD$6&gt;='Lease Cycles'!$AZ$9,'Lease Cycles'!$C$9*'Lease Cycles'!$BA$9/12,IF(AD$6&gt;='Lease Cycles'!$AX$9,'Lease Cycles'!$C$9*'Lease Cycles'!$AY$9/12,IF(AD$6&gt;='Lease Cycles'!$AV$9,'Lease Cycles'!$C$9*'Lease Cycles'!$AW$9/12,IF(AD$6&gt;='Lease Cycles'!$AT$9,'Lease Cycles'!$C$9*'Lease Cycles'!$AU$9/12,'Lease Cycles'!$C$9*INDEX('Lease Cycles'!$CB$9:$CH$9,1,AD27)*(1+INDEX('Lease Cycles'!$CI$9:$CO$9,1,AD27))^INT(INT(AD28/12)/INDEX('Lease Cycles'!$CP$9:$CV$9,1,AD27))/12)))),'Lease Cycles'!$C$9*INDEX('Lease Cycles'!$CB$9:$CH$9,1,AD27)*(1+INDEX('Lease Cycles'!$CI$9:$CO$9,1,AD27))^INT(INT(AD28/12)/INDEX('Lease Cycles'!$CP$9:$CV$9,1,AD27))/12),IF(INDEX('Lease Cycles'!$EF$9:$EL$9,1,AD27)=1,IF(AND('Lease Cycles'!$AZ$9&gt;=INDEX('Lease Cycles'!$BG$9:$BM$9,1,AD27),'Lease Cycles'!$AZ$9&lt;=AD$6),'Lease Cycles'!$C$9*'Lease Cycles'!$BA$9/12,IF(AND('Lease Cycles'!$AX$9&gt;=INDEX('Lease Cycles'!$BG$9:$BM$9,1,AD27),'Lease Cycles'!$AX$9&lt;=AD$6),'Lease Cycles'!$C$9*'Lease Cycles'!$AY$9/12,IF(AND('Lease Cycles'!$AV$9&gt;=INDEX('Lease Cycles'!$BG$9:$BM$9,1,AD27),'Lease Cycles'!$AV$9&lt;=AD$6),'Lease Cycles'!$C$9*'Lease Cycles'!$AW$9/12,IF(AND('Lease Cycles'!$AT$9&gt;=INDEX('Lease Cycles'!$BG$9:$BM$9,1,AD27),'Lease Cycles'!$AT$9&lt;=AD$6),'Lease Cycles'!$C$9*'Lease Cycles'!$AU$9/12,'Lease Cycles'!$C$9*INDEX('Lease Cycles'!$CB$9:$CH$9,1,AD27)*(1+INDEX('Lease Cycles'!$CI$9:$CO$9,1,AD27))^INT(INT(AD28/12)/INDEX('Lease Cycles'!$CP$9:$CV$9,1,AD27))/12)))),'Lease Cycles'!$C$9*INDEX('Lease Cycles'!$CB$9:$CH$9,1,AD27)*(1+INDEX('Lease Cycles'!$CI$9:$CO$9,1,AD27))^INT(INT(AD28/12)/INDEX('Lease Cycles'!$CP$9:$CV$9,1,AD27))/12))),IF('Lease Cycles'!$N$9=1,'Lease Cycles'!$C$9*'Lease Cycles'!$E$9*INDEX('Lease Cycles'!$HE$9:$HK$9,1,AD27)*(1+INDEX('Lease Cycles'!$GQ$9:$GW$9,1,AD27))^INT(INT((AD$6-INDEX('Lease Cycles'!$GJ$9:$GP$9,1,AD27))/12)/INDEX('Lease Cycles'!$GX$9:$HD$9,1,AD27))/12,0)))</f>
        <v>13500</v>
      </c>
      <c r="AE30" s="28">
        <f>IF(AE27=0,IF('Lease Cycles'!$F$9&gt;0,'Lease Cycles'!$C$9*'Lease Cycles'!$E$9/12,0),IF(AE29=1,IF('Lease Cycles'!$AT$9&gt;=9999,'Lease Cycles'!$C$9*INDEX('Lease Cycles'!$CB$9:$CH$9,1,AE27)*(1+INDEX('Lease Cycles'!$CI$9:$CO$9,1,AE27))^INT(INT(AE28/12)/INDEX('Lease Cycles'!$CP$9:$CV$9,1,AE27))/12,IF(AE27=1,IF(AE28&gt;=INDEX('Lease Cycles'!$DK$9:$DQ$9,1,AE27),IF(AE$6&gt;='Lease Cycles'!$AZ$9,'Lease Cycles'!$C$9*'Lease Cycles'!$BA$9/12,IF(AE$6&gt;='Lease Cycles'!$AX$9,'Lease Cycles'!$C$9*'Lease Cycles'!$AY$9/12,IF(AE$6&gt;='Lease Cycles'!$AV$9,'Lease Cycles'!$C$9*'Lease Cycles'!$AW$9/12,IF(AE$6&gt;='Lease Cycles'!$AT$9,'Lease Cycles'!$C$9*'Lease Cycles'!$AU$9/12,'Lease Cycles'!$C$9*INDEX('Lease Cycles'!$CB$9:$CH$9,1,AE27)*(1+INDEX('Lease Cycles'!$CI$9:$CO$9,1,AE27))^INT(INT(AE28/12)/INDEX('Lease Cycles'!$CP$9:$CV$9,1,AE27))/12)))),'Lease Cycles'!$C$9*INDEX('Lease Cycles'!$CB$9:$CH$9,1,AE27)*(1+INDEX('Lease Cycles'!$CI$9:$CO$9,1,AE27))^INT(INT(AE28/12)/INDEX('Lease Cycles'!$CP$9:$CV$9,1,AE27))/12),IF(INDEX('Lease Cycles'!$EF$9:$EL$9,1,AE27)=1,IF(AND('Lease Cycles'!$AZ$9&gt;=INDEX('Lease Cycles'!$BG$9:$BM$9,1,AE27),'Lease Cycles'!$AZ$9&lt;=AE$6),'Lease Cycles'!$C$9*'Lease Cycles'!$BA$9/12,IF(AND('Lease Cycles'!$AX$9&gt;=INDEX('Lease Cycles'!$BG$9:$BM$9,1,AE27),'Lease Cycles'!$AX$9&lt;=AE$6),'Lease Cycles'!$C$9*'Lease Cycles'!$AY$9/12,IF(AND('Lease Cycles'!$AV$9&gt;=INDEX('Lease Cycles'!$BG$9:$BM$9,1,AE27),'Lease Cycles'!$AV$9&lt;=AE$6),'Lease Cycles'!$C$9*'Lease Cycles'!$AW$9/12,IF(AND('Lease Cycles'!$AT$9&gt;=INDEX('Lease Cycles'!$BG$9:$BM$9,1,AE27),'Lease Cycles'!$AT$9&lt;=AE$6),'Lease Cycles'!$C$9*'Lease Cycles'!$AU$9/12,'Lease Cycles'!$C$9*INDEX('Lease Cycles'!$CB$9:$CH$9,1,AE27)*(1+INDEX('Lease Cycles'!$CI$9:$CO$9,1,AE27))^INT(INT(AE28/12)/INDEX('Lease Cycles'!$CP$9:$CV$9,1,AE27))/12)))),'Lease Cycles'!$C$9*INDEX('Lease Cycles'!$CB$9:$CH$9,1,AE27)*(1+INDEX('Lease Cycles'!$CI$9:$CO$9,1,AE27))^INT(INT(AE28/12)/INDEX('Lease Cycles'!$CP$9:$CV$9,1,AE27))/12))),IF('Lease Cycles'!$N$9=1,'Lease Cycles'!$C$9*'Lease Cycles'!$E$9*INDEX('Lease Cycles'!$HE$9:$HK$9,1,AE27)*(1+INDEX('Lease Cycles'!$GQ$9:$GW$9,1,AE27))^INT(INT((AE$6-INDEX('Lease Cycles'!$GJ$9:$GP$9,1,AE27))/12)/INDEX('Lease Cycles'!$GX$9:$HD$9,1,AE27))/12,0)))</f>
        <v>13500</v>
      </c>
      <c r="AF30" s="28">
        <f>IF(AF27=0,IF('Lease Cycles'!$F$9&gt;0,'Lease Cycles'!$C$9*'Lease Cycles'!$E$9/12,0),IF(AF29=1,IF('Lease Cycles'!$AT$9&gt;=9999,'Lease Cycles'!$C$9*INDEX('Lease Cycles'!$CB$9:$CH$9,1,AF27)*(1+INDEX('Lease Cycles'!$CI$9:$CO$9,1,AF27))^INT(INT(AF28/12)/INDEX('Lease Cycles'!$CP$9:$CV$9,1,AF27))/12,IF(AF27=1,IF(AF28&gt;=INDEX('Lease Cycles'!$DK$9:$DQ$9,1,AF27),IF(AF$6&gt;='Lease Cycles'!$AZ$9,'Lease Cycles'!$C$9*'Lease Cycles'!$BA$9/12,IF(AF$6&gt;='Lease Cycles'!$AX$9,'Lease Cycles'!$C$9*'Lease Cycles'!$AY$9/12,IF(AF$6&gt;='Lease Cycles'!$AV$9,'Lease Cycles'!$C$9*'Lease Cycles'!$AW$9/12,IF(AF$6&gt;='Lease Cycles'!$AT$9,'Lease Cycles'!$C$9*'Lease Cycles'!$AU$9/12,'Lease Cycles'!$C$9*INDEX('Lease Cycles'!$CB$9:$CH$9,1,AF27)*(1+INDEX('Lease Cycles'!$CI$9:$CO$9,1,AF27))^INT(INT(AF28/12)/INDEX('Lease Cycles'!$CP$9:$CV$9,1,AF27))/12)))),'Lease Cycles'!$C$9*INDEX('Lease Cycles'!$CB$9:$CH$9,1,AF27)*(1+INDEX('Lease Cycles'!$CI$9:$CO$9,1,AF27))^INT(INT(AF28/12)/INDEX('Lease Cycles'!$CP$9:$CV$9,1,AF27))/12),IF(INDEX('Lease Cycles'!$EF$9:$EL$9,1,AF27)=1,IF(AND('Lease Cycles'!$AZ$9&gt;=INDEX('Lease Cycles'!$BG$9:$BM$9,1,AF27),'Lease Cycles'!$AZ$9&lt;=AF$6),'Lease Cycles'!$C$9*'Lease Cycles'!$BA$9/12,IF(AND('Lease Cycles'!$AX$9&gt;=INDEX('Lease Cycles'!$BG$9:$BM$9,1,AF27),'Lease Cycles'!$AX$9&lt;=AF$6),'Lease Cycles'!$C$9*'Lease Cycles'!$AY$9/12,IF(AND('Lease Cycles'!$AV$9&gt;=INDEX('Lease Cycles'!$BG$9:$BM$9,1,AF27),'Lease Cycles'!$AV$9&lt;=AF$6),'Lease Cycles'!$C$9*'Lease Cycles'!$AW$9/12,IF(AND('Lease Cycles'!$AT$9&gt;=INDEX('Lease Cycles'!$BG$9:$BM$9,1,AF27),'Lease Cycles'!$AT$9&lt;=AF$6),'Lease Cycles'!$C$9*'Lease Cycles'!$AU$9/12,'Lease Cycles'!$C$9*INDEX('Lease Cycles'!$CB$9:$CH$9,1,AF27)*(1+INDEX('Lease Cycles'!$CI$9:$CO$9,1,AF27))^INT(INT(AF28/12)/INDEX('Lease Cycles'!$CP$9:$CV$9,1,AF27))/12)))),'Lease Cycles'!$C$9*INDEX('Lease Cycles'!$CB$9:$CH$9,1,AF27)*(1+INDEX('Lease Cycles'!$CI$9:$CO$9,1,AF27))^INT(INT(AF28/12)/INDEX('Lease Cycles'!$CP$9:$CV$9,1,AF27))/12))),IF('Lease Cycles'!$N$9=1,'Lease Cycles'!$C$9*'Lease Cycles'!$E$9*INDEX('Lease Cycles'!$HE$9:$HK$9,1,AF27)*(1+INDEX('Lease Cycles'!$GQ$9:$GW$9,1,AF27))^INT(INT((AF$6-INDEX('Lease Cycles'!$GJ$9:$GP$9,1,AF27))/12)/INDEX('Lease Cycles'!$GX$9:$HD$9,1,AF27))/12,0)))</f>
        <v>13500</v>
      </c>
      <c r="AG30" s="28">
        <f>IF(AG27=0,IF('Lease Cycles'!$F$9&gt;0,'Lease Cycles'!$C$9*'Lease Cycles'!$E$9/12,0),IF(AG29=1,IF('Lease Cycles'!$AT$9&gt;=9999,'Lease Cycles'!$C$9*INDEX('Lease Cycles'!$CB$9:$CH$9,1,AG27)*(1+INDEX('Lease Cycles'!$CI$9:$CO$9,1,AG27))^INT(INT(AG28/12)/INDEX('Lease Cycles'!$CP$9:$CV$9,1,AG27))/12,IF(AG27=1,IF(AG28&gt;=INDEX('Lease Cycles'!$DK$9:$DQ$9,1,AG27),IF(AG$6&gt;='Lease Cycles'!$AZ$9,'Lease Cycles'!$C$9*'Lease Cycles'!$BA$9/12,IF(AG$6&gt;='Lease Cycles'!$AX$9,'Lease Cycles'!$C$9*'Lease Cycles'!$AY$9/12,IF(AG$6&gt;='Lease Cycles'!$AV$9,'Lease Cycles'!$C$9*'Lease Cycles'!$AW$9/12,IF(AG$6&gt;='Lease Cycles'!$AT$9,'Lease Cycles'!$C$9*'Lease Cycles'!$AU$9/12,'Lease Cycles'!$C$9*INDEX('Lease Cycles'!$CB$9:$CH$9,1,AG27)*(1+INDEX('Lease Cycles'!$CI$9:$CO$9,1,AG27))^INT(INT(AG28/12)/INDEX('Lease Cycles'!$CP$9:$CV$9,1,AG27))/12)))),'Lease Cycles'!$C$9*INDEX('Lease Cycles'!$CB$9:$CH$9,1,AG27)*(1+INDEX('Lease Cycles'!$CI$9:$CO$9,1,AG27))^INT(INT(AG28/12)/INDEX('Lease Cycles'!$CP$9:$CV$9,1,AG27))/12),IF(INDEX('Lease Cycles'!$EF$9:$EL$9,1,AG27)=1,IF(AND('Lease Cycles'!$AZ$9&gt;=INDEX('Lease Cycles'!$BG$9:$BM$9,1,AG27),'Lease Cycles'!$AZ$9&lt;=AG$6),'Lease Cycles'!$C$9*'Lease Cycles'!$BA$9/12,IF(AND('Lease Cycles'!$AX$9&gt;=INDEX('Lease Cycles'!$BG$9:$BM$9,1,AG27),'Lease Cycles'!$AX$9&lt;=AG$6),'Lease Cycles'!$C$9*'Lease Cycles'!$AY$9/12,IF(AND('Lease Cycles'!$AV$9&gt;=INDEX('Lease Cycles'!$BG$9:$BM$9,1,AG27),'Lease Cycles'!$AV$9&lt;=AG$6),'Lease Cycles'!$C$9*'Lease Cycles'!$AW$9/12,IF(AND('Lease Cycles'!$AT$9&gt;=INDEX('Lease Cycles'!$BG$9:$BM$9,1,AG27),'Lease Cycles'!$AT$9&lt;=AG$6),'Lease Cycles'!$C$9*'Lease Cycles'!$AU$9/12,'Lease Cycles'!$C$9*INDEX('Lease Cycles'!$CB$9:$CH$9,1,AG27)*(1+INDEX('Lease Cycles'!$CI$9:$CO$9,1,AG27))^INT(INT(AG28/12)/INDEX('Lease Cycles'!$CP$9:$CV$9,1,AG27))/12)))),'Lease Cycles'!$C$9*INDEX('Lease Cycles'!$CB$9:$CH$9,1,AG27)*(1+INDEX('Lease Cycles'!$CI$9:$CO$9,1,AG27))^INT(INT(AG28/12)/INDEX('Lease Cycles'!$CP$9:$CV$9,1,AG27))/12))),IF('Lease Cycles'!$N$9=1,'Lease Cycles'!$C$9*'Lease Cycles'!$E$9*INDEX('Lease Cycles'!$HE$9:$HK$9,1,AG27)*(1+INDEX('Lease Cycles'!$GQ$9:$GW$9,1,AG27))^INT(INT((AG$6-INDEX('Lease Cycles'!$GJ$9:$GP$9,1,AG27))/12)/INDEX('Lease Cycles'!$GX$9:$HD$9,1,AG27))/12,0)))</f>
        <v>13500</v>
      </c>
      <c r="AH30" s="28">
        <f>IF(AH27=0,IF('Lease Cycles'!$F$9&gt;0,'Lease Cycles'!$C$9*'Lease Cycles'!$E$9/12,0),IF(AH29=1,IF('Lease Cycles'!$AT$9&gt;=9999,'Lease Cycles'!$C$9*INDEX('Lease Cycles'!$CB$9:$CH$9,1,AH27)*(1+INDEX('Lease Cycles'!$CI$9:$CO$9,1,AH27))^INT(INT(AH28/12)/INDEX('Lease Cycles'!$CP$9:$CV$9,1,AH27))/12,IF(AH27=1,IF(AH28&gt;=INDEX('Lease Cycles'!$DK$9:$DQ$9,1,AH27),IF(AH$6&gt;='Lease Cycles'!$AZ$9,'Lease Cycles'!$C$9*'Lease Cycles'!$BA$9/12,IF(AH$6&gt;='Lease Cycles'!$AX$9,'Lease Cycles'!$C$9*'Lease Cycles'!$AY$9/12,IF(AH$6&gt;='Lease Cycles'!$AV$9,'Lease Cycles'!$C$9*'Lease Cycles'!$AW$9/12,IF(AH$6&gt;='Lease Cycles'!$AT$9,'Lease Cycles'!$C$9*'Lease Cycles'!$AU$9/12,'Lease Cycles'!$C$9*INDEX('Lease Cycles'!$CB$9:$CH$9,1,AH27)*(1+INDEX('Lease Cycles'!$CI$9:$CO$9,1,AH27))^INT(INT(AH28/12)/INDEX('Lease Cycles'!$CP$9:$CV$9,1,AH27))/12)))),'Lease Cycles'!$C$9*INDEX('Lease Cycles'!$CB$9:$CH$9,1,AH27)*(1+INDEX('Lease Cycles'!$CI$9:$CO$9,1,AH27))^INT(INT(AH28/12)/INDEX('Lease Cycles'!$CP$9:$CV$9,1,AH27))/12),IF(INDEX('Lease Cycles'!$EF$9:$EL$9,1,AH27)=1,IF(AND('Lease Cycles'!$AZ$9&gt;=INDEX('Lease Cycles'!$BG$9:$BM$9,1,AH27),'Lease Cycles'!$AZ$9&lt;=AH$6),'Lease Cycles'!$C$9*'Lease Cycles'!$BA$9/12,IF(AND('Lease Cycles'!$AX$9&gt;=INDEX('Lease Cycles'!$BG$9:$BM$9,1,AH27),'Lease Cycles'!$AX$9&lt;=AH$6),'Lease Cycles'!$C$9*'Lease Cycles'!$AY$9/12,IF(AND('Lease Cycles'!$AV$9&gt;=INDEX('Lease Cycles'!$BG$9:$BM$9,1,AH27),'Lease Cycles'!$AV$9&lt;=AH$6),'Lease Cycles'!$C$9*'Lease Cycles'!$AW$9/12,IF(AND('Lease Cycles'!$AT$9&gt;=INDEX('Lease Cycles'!$BG$9:$BM$9,1,AH27),'Lease Cycles'!$AT$9&lt;=AH$6),'Lease Cycles'!$C$9*'Lease Cycles'!$AU$9/12,'Lease Cycles'!$C$9*INDEX('Lease Cycles'!$CB$9:$CH$9,1,AH27)*(1+INDEX('Lease Cycles'!$CI$9:$CO$9,1,AH27))^INT(INT(AH28/12)/INDEX('Lease Cycles'!$CP$9:$CV$9,1,AH27))/12)))),'Lease Cycles'!$C$9*INDEX('Lease Cycles'!$CB$9:$CH$9,1,AH27)*(1+INDEX('Lease Cycles'!$CI$9:$CO$9,1,AH27))^INT(INT(AH28/12)/INDEX('Lease Cycles'!$CP$9:$CV$9,1,AH27))/12))),IF('Lease Cycles'!$N$9=1,'Lease Cycles'!$C$9*'Lease Cycles'!$E$9*INDEX('Lease Cycles'!$HE$9:$HK$9,1,AH27)*(1+INDEX('Lease Cycles'!$GQ$9:$GW$9,1,AH27))^INT(INT((AH$6-INDEX('Lease Cycles'!$GJ$9:$GP$9,1,AH27))/12)/INDEX('Lease Cycles'!$GX$9:$HD$9,1,AH27))/12,0)))</f>
        <v>13500</v>
      </c>
      <c r="AI30" s="28">
        <f>IF(AI27=0,IF('Lease Cycles'!$F$9&gt;0,'Lease Cycles'!$C$9*'Lease Cycles'!$E$9/12,0),IF(AI29=1,IF('Lease Cycles'!$AT$9&gt;=9999,'Lease Cycles'!$C$9*INDEX('Lease Cycles'!$CB$9:$CH$9,1,AI27)*(1+INDEX('Lease Cycles'!$CI$9:$CO$9,1,AI27))^INT(INT(AI28/12)/INDEX('Lease Cycles'!$CP$9:$CV$9,1,AI27))/12,IF(AI27=1,IF(AI28&gt;=INDEX('Lease Cycles'!$DK$9:$DQ$9,1,AI27),IF(AI$6&gt;='Lease Cycles'!$AZ$9,'Lease Cycles'!$C$9*'Lease Cycles'!$BA$9/12,IF(AI$6&gt;='Lease Cycles'!$AX$9,'Lease Cycles'!$C$9*'Lease Cycles'!$AY$9/12,IF(AI$6&gt;='Lease Cycles'!$AV$9,'Lease Cycles'!$C$9*'Lease Cycles'!$AW$9/12,IF(AI$6&gt;='Lease Cycles'!$AT$9,'Lease Cycles'!$C$9*'Lease Cycles'!$AU$9/12,'Lease Cycles'!$C$9*INDEX('Lease Cycles'!$CB$9:$CH$9,1,AI27)*(1+INDEX('Lease Cycles'!$CI$9:$CO$9,1,AI27))^INT(INT(AI28/12)/INDEX('Lease Cycles'!$CP$9:$CV$9,1,AI27))/12)))),'Lease Cycles'!$C$9*INDEX('Lease Cycles'!$CB$9:$CH$9,1,AI27)*(1+INDEX('Lease Cycles'!$CI$9:$CO$9,1,AI27))^INT(INT(AI28/12)/INDEX('Lease Cycles'!$CP$9:$CV$9,1,AI27))/12),IF(INDEX('Lease Cycles'!$EF$9:$EL$9,1,AI27)=1,IF(AND('Lease Cycles'!$AZ$9&gt;=INDEX('Lease Cycles'!$BG$9:$BM$9,1,AI27),'Lease Cycles'!$AZ$9&lt;=AI$6),'Lease Cycles'!$C$9*'Lease Cycles'!$BA$9/12,IF(AND('Lease Cycles'!$AX$9&gt;=INDEX('Lease Cycles'!$BG$9:$BM$9,1,AI27),'Lease Cycles'!$AX$9&lt;=AI$6),'Lease Cycles'!$C$9*'Lease Cycles'!$AY$9/12,IF(AND('Lease Cycles'!$AV$9&gt;=INDEX('Lease Cycles'!$BG$9:$BM$9,1,AI27),'Lease Cycles'!$AV$9&lt;=AI$6),'Lease Cycles'!$C$9*'Lease Cycles'!$AW$9/12,IF(AND('Lease Cycles'!$AT$9&gt;=INDEX('Lease Cycles'!$BG$9:$BM$9,1,AI27),'Lease Cycles'!$AT$9&lt;=AI$6),'Lease Cycles'!$C$9*'Lease Cycles'!$AU$9/12,'Lease Cycles'!$C$9*INDEX('Lease Cycles'!$CB$9:$CH$9,1,AI27)*(1+INDEX('Lease Cycles'!$CI$9:$CO$9,1,AI27))^INT(INT(AI28/12)/INDEX('Lease Cycles'!$CP$9:$CV$9,1,AI27))/12)))),'Lease Cycles'!$C$9*INDEX('Lease Cycles'!$CB$9:$CH$9,1,AI27)*(1+INDEX('Lease Cycles'!$CI$9:$CO$9,1,AI27))^INT(INT(AI28/12)/INDEX('Lease Cycles'!$CP$9:$CV$9,1,AI27))/12))),IF('Lease Cycles'!$N$9=1,'Lease Cycles'!$C$9*'Lease Cycles'!$E$9*INDEX('Lease Cycles'!$HE$9:$HK$9,1,AI27)*(1+INDEX('Lease Cycles'!$GQ$9:$GW$9,1,AI27))^INT(INT((AI$6-INDEX('Lease Cycles'!$GJ$9:$GP$9,1,AI27))/12)/INDEX('Lease Cycles'!$GX$9:$HD$9,1,AI27))/12,0)))</f>
        <v>13500</v>
      </c>
      <c r="AJ30" s="28">
        <f>IF(AJ27=0,IF('Lease Cycles'!$F$9&gt;0,'Lease Cycles'!$C$9*'Lease Cycles'!$E$9/12,0),IF(AJ29=1,IF('Lease Cycles'!$AT$9&gt;=9999,'Lease Cycles'!$C$9*INDEX('Lease Cycles'!$CB$9:$CH$9,1,AJ27)*(1+INDEX('Lease Cycles'!$CI$9:$CO$9,1,AJ27))^INT(INT(AJ28/12)/INDEX('Lease Cycles'!$CP$9:$CV$9,1,AJ27))/12,IF(AJ27=1,IF(AJ28&gt;=INDEX('Lease Cycles'!$DK$9:$DQ$9,1,AJ27),IF(AJ$6&gt;='Lease Cycles'!$AZ$9,'Lease Cycles'!$C$9*'Lease Cycles'!$BA$9/12,IF(AJ$6&gt;='Lease Cycles'!$AX$9,'Lease Cycles'!$C$9*'Lease Cycles'!$AY$9/12,IF(AJ$6&gt;='Lease Cycles'!$AV$9,'Lease Cycles'!$C$9*'Lease Cycles'!$AW$9/12,IF(AJ$6&gt;='Lease Cycles'!$AT$9,'Lease Cycles'!$C$9*'Lease Cycles'!$AU$9/12,'Lease Cycles'!$C$9*INDEX('Lease Cycles'!$CB$9:$CH$9,1,AJ27)*(1+INDEX('Lease Cycles'!$CI$9:$CO$9,1,AJ27))^INT(INT(AJ28/12)/INDEX('Lease Cycles'!$CP$9:$CV$9,1,AJ27))/12)))),'Lease Cycles'!$C$9*INDEX('Lease Cycles'!$CB$9:$CH$9,1,AJ27)*(1+INDEX('Lease Cycles'!$CI$9:$CO$9,1,AJ27))^INT(INT(AJ28/12)/INDEX('Lease Cycles'!$CP$9:$CV$9,1,AJ27))/12),IF(INDEX('Lease Cycles'!$EF$9:$EL$9,1,AJ27)=1,IF(AND('Lease Cycles'!$AZ$9&gt;=INDEX('Lease Cycles'!$BG$9:$BM$9,1,AJ27),'Lease Cycles'!$AZ$9&lt;=AJ$6),'Lease Cycles'!$C$9*'Lease Cycles'!$BA$9/12,IF(AND('Lease Cycles'!$AX$9&gt;=INDEX('Lease Cycles'!$BG$9:$BM$9,1,AJ27),'Lease Cycles'!$AX$9&lt;=AJ$6),'Lease Cycles'!$C$9*'Lease Cycles'!$AY$9/12,IF(AND('Lease Cycles'!$AV$9&gt;=INDEX('Lease Cycles'!$BG$9:$BM$9,1,AJ27),'Lease Cycles'!$AV$9&lt;=AJ$6),'Lease Cycles'!$C$9*'Lease Cycles'!$AW$9/12,IF(AND('Lease Cycles'!$AT$9&gt;=INDEX('Lease Cycles'!$BG$9:$BM$9,1,AJ27),'Lease Cycles'!$AT$9&lt;=AJ$6),'Lease Cycles'!$C$9*'Lease Cycles'!$AU$9/12,'Lease Cycles'!$C$9*INDEX('Lease Cycles'!$CB$9:$CH$9,1,AJ27)*(1+INDEX('Lease Cycles'!$CI$9:$CO$9,1,AJ27))^INT(INT(AJ28/12)/INDEX('Lease Cycles'!$CP$9:$CV$9,1,AJ27))/12)))),'Lease Cycles'!$C$9*INDEX('Lease Cycles'!$CB$9:$CH$9,1,AJ27)*(1+INDEX('Lease Cycles'!$CI$9:$CO$9,1,AJ27))^INT(INT(AJ28/12)/INDEX('Lease Cycles'!$CP$9:$CV$9,1,AJ27))/12))),IF('Lease Cycles'!$N$9=1,'Lease Cycles'!$C$9*'Lease Cycles'!$E$9*INDEX('Lease Cycles'!$HE$9:$HK$9,1,AJ27)*(1+INDEX('Lease Cycles'!$GQ$9:$GW$9,1,AJ27))^INT(INT((AJ$6-INDEX('Lease Cycles'!$GJ$9:$GP$9,1,AJ27))/12)/INDEX('Lease Cycles'!$GX$9:$HD$9,1,AJ27))/12,0)))</f>
        <v>13500</v>
      </c>
      <c r="AK30" s="28">
        <f>IF(AK27=0,IF('Lease Cycles'!$F$9&gt;0,'Lease Cycles'!$C$9*'Lease Cycles'!$E$9/12,0),IF(AK29=1,IF('Lease Cycles'!$AT$9&gt;=9999,'Lease Cycles'!$C$9*INDEX('Lease Cycles'!$CB$9:$CH$9,1,AK27)*(1+INDEX('Lease Cycles'!$CI$9:$CO$9,1,AK27))^INT(INT(AK28/12)/INDEX('Lease Cycles'!$CP$9:$CV$9,1,AK27))/12,IF(AK27=1,IF(AK28&gt;=INDEX('Lease Cycles'!$DK$9:$DQ$9,1,AK27),IF(AK$6&gt;='Lease Cycles'!$AZ$9,'Lease Cycles'!$C$9*'Lease Cycles'!$BA$9/12,IF(AK$6&gt;='Lease Cycles'!$AX$9,'Lease Cycles'!$C$9*'Lease Cycles'!$AY$9/12,IF(AK$6&gt;='Lease Cycles'!$AV$9,'Lease Cycles'!$C$9*'Lease Cycles'!$AW$9/12,IF(AK$6&gt;='Lease Cycles'!$AT$9,'Lease Cycles'!$C$9*'Lease Cycles'!$AU$9/12,'Lease Cycles'!$C$9*INDEX('Lease Cycles'!$CB$9:$CH$9,1,AK27)*(1+INDEX('Lease Cycles'!$CI$9:$CO$9,1,AK27))^INT(INT(AK28/12)/INDEX('Lease Cycles'!$CP$9:$CV$9,1,AK27))/12)))),'Lease Cycles'!$C$9*INDEX('Lease Cycles'!$CB$9:$CH$9,1,AK27)*(1+INDEX('Lease Cycles'!$CI$9:$CO$9,1,AK27))^INT(INT(AK28/12)/INDEX('Lease Cycles'!$CP$9:$CV$9,1,AK27))/12),IF(INDEX('Lease Cycles'!$EF$9:$EL$9,1,AK27)=1,IF(AND('Lease Cycles'!$AZ$9&gt;=INDEX('Lease Cycles'!$BG$9:$BM$9,1,AK27),'Lease Cycles'!$AZ$9&lt;=AK$6),'Lease Cycles'!$C$9*'Lease Cycles'!$BA$9/12,IF(AND('Lease Cycles'!$AX$9&gt;=INDEX('Lease Cycles'!$BG$9:$BM$9,1,AK27),'Lease Cycles'!$AX$9&lt;=AK$6),'Lease Cycles'!$C$9*'Lease Cycles'!$AY$9/12,IF(AND('Lease Cycles'!$AV$9&gt;=INDEX('Lease Cycles'!$BG$9:$BM$9,1,AK27),'Lease Cycles'!$AV$9&lt;=AK$6),'Lease Cycles'!$C$9*'Lease Cycles'!$AW$9/12,IF(AND('Lease Cycles'!$AT$9&gt;=INDEX('Lease Cycles'!$BG$9:$BM$9,1,AK27),'Lease Cycles'!$AT$9&lt;=AK$6),'Lease Cycles'!$C$9*'Lease Cycles'!$AU$9/12,'Lease Cycles'!$C$9*INDEX('Lease Cycles'!$CB$9:$CH$9,1,AK27)*(1+INDEX('Lease Cycles'!$CI$9:$CO$9,1,AK27))^INT(INT(AK28/12)/INDEX('Lease Cycles'!$CP$9:$CV$9,1,AK27))/12)))),'Lease Cycles'!$C$9*INDEX('Lease Cycles'!$CB$9:$CH$9,1,AK27)*(1+INDEX('Lease Cycles'!$CI$9:$CO$9,1,AK27))^INT(INT(AK28/12)/INDEX('Lease Cycles'!$CP$9:$CV$9,1,AK27))/12))),IF('Lease Cycles'!$N$9=1,'Lease Cycles'!$C$9*'Lease Cycles'!$E$9*INDEX('Lease Cycles'!$HE$9:$HK$9,1,AK27)*(1+INDEX('Lease Cycles'!$GQ$9:$GW$9,1,AK27))^INT(INT((AK$6-INDEX('Lease Cycles'!$GJ$9:$GP$9,1,AK27))/12)/INDEX('Lease Cycles'!$GX$9:$HD$9,1,AK27))/12,0)))</f>
        <v>13500</v>
      </c>
      <c r="AL30" s="28">
        <f>IF(AL27=0,IF('Lease Cycles'!$F$9&gt;0,'Lease Cycles'!$C$9*'Lease Cycles'!$E$9/12,0),IF(AL29=1,IF('Lease Cycles'!$AT$9&gt;=9999,'Lease Cycles'!$C$9*INDEX('Lease Cycles'!$CB$9:$CH$9,1,AL27)*(1+INDEX('Lease Cycles'!$CI$9:$CO$9,1,AL27))^INT(INT(AL28/12)/INDEX('Lease Cycles'!$CP$9:$CV$9,1,AL27))/12,IF(AL27=1,IF(AL28&gt;=INDEX('Lease Cycles'!$DK$9:$DQ$9,1,AL27),IF(AL$6&gt;='Lease Cycles'!$AZ$9,'Lease Cycles'!$C$9*'Lease Cycles'!$BA$9/12,IF(AL$6&gt;='Lease Cycles'!$AX$9,'Lease Cycles'!$C$9*'Lease Cycles'!$AY$9/12,IF(AL$6&gt;='Lease Cycles'!$AV$9,'Lease Cycles'!$C$9*'Lease Cycles'!$AW$9/12,IF(AL$6&gt;='Lease Cycles'!$AT$9,'Lease Cycles'!$C$9*'Lease Cycles'!$AU$9/12,'Lease Cycles'!$C$9*INDEX('Lease Cycles'!$CB$9:$CH$9,1,AL27)*(1+INDEX('Lease Cycles'!$CI$9:$CO$9,1,AL27))^INT(INT(AL28/12)/INDEX('Lease Cycles'!$CP$9:$CV$9,1,AL27))/12)))),'Lease Cycles'!$C$9*INDEX('Lease Cycles'!$CB$9:$CH$9,1,AL27)*(1+INDEX('Lease Cycles'!$CI$9:$CO$9,1,AL27))^INT(INT(AL28/12)/INDEX('Lease Cycles'!$CP$9:$CV$9,1,AL27))/12),IF(INDEX('Lease Cycles'!$EF$9:$EL$9,1,AL27)=1,IF(AND('Lease Cycles'!$AZ$9&gt;=INDEX('Lease Cycles'!$BG$9:$BM$9,1,AL27),'Lease Cycles'!$AZ$9&lt;=AL$6),'Lease Cycles'!$C$9*'Lease Cycles'!$BA$9/12,IF(AND('Lease Cycles'!$AX$9&gt;=INDEX('Lease Cycles'!$BG$9:$BM$9,1,AL27),'Lease Cycles'!$AX$9&lt;=AL$6),'Lease Cycles'!$C$9*'Lease Cycles'!$AY$9/12,IF(AND('Lease Cycles'!$AV$9&gt;=INDEX('Lease Cycles'!$BG$9:$BM$9,1,AL27),'Lease Cycles'!$AV$9&lt;=AL$6),'Lease Cycles'!$C$9*'Lease Cycles'!$AW$9/12,IF(AND('Lease Cycles'!$AT$9&gt;=INDEX('Lease Cycles'!$BG$9:$BM$9,1,AL27),'Lease Cycles'!$AT$9&lt;=AL$6),'Lease Cycles'!$C$9*'Lease Cycles'!$AU$9/12,'Lease Cycles'!$C$9*INDEX('Lease Cycles'!$CB$9:$CH$9,1,AL27)*(1+INDEX('Lease Cycles'!$CI$9:$CO$9,1,AL27))^INT(INT(AL28/12)/INDEX('Lease Cycles'!$CP$9:$CV$9,1,AL27))/12)))),'Lease Cycles'!$C$9*INDEX('Lease Cycles'!$CB$9:$CH$9,1,AL27)*(1+INDEX('Lease Cycles'!$CI$9:$CO$9,1,AL27))^INT(INT(AL28/12)/INDEX('Lease Cycles'!$CP$9:$CV$9,1,AL27))/12))),IF('Lease Cycles'!$N$9=1,'Lease Cycles'!$C$9*'Lease Cycles'!$E$9*INDEX('Lease Cycles'!$HE$9:$HK$9,1,AL27)*(1+INDEX('Lease Cycles'!$GQ$9:$GW$9,1,AL27))^INT(INT((AL$6-INDEX('Lease Cycles'!$GJ$9:$GP$9,1,AL27))/12)/INDEX('Lease Cycles'!$GX$9:$HD$9,1,AL27))/12,0)))</f>
        <v>13500</v>
      </c>
      <c r="AM30" s="28">
        <f>IF(AM27=0,IF('Lease Cycles'!$F$9&gt;0,'Lease Cycles'!$C$9*'Lease Cycles'!$E$9/12,0),IF(AM29=1,IF('Lease Cycles'!$AT$9&gt;=9999,'Lease Cycles'!$C$9*INDEX('Lease Cycles'!$CB$9:$CH$9,1,AM27)*(1+INDEX('Lease Cycles'!$CI$9:$CO$9,1,AM27))^INT(INT(AM28/12)/INDEX('Lease Cycles'!$CP$9:$CV$9,1,AM27))/12,IF(AM27=1,IF(AM28&gt;=INDEX('Lease Cycles'!$DK$9:$DQ$9,1,AM27),IF(AM$6&gt;='Lease Cycles'!$AZ$9,'Lease Cycles'!$C$9*'Lease Cycles'!$BA$9/12,IF(AM$6&gt;='Lease Cycles'!$AX$9,'Lease Cycles'!$C$9*'Lease Cycles'!$AY$9/12,IF(AM$6&gt;='Lease Cycles'!$AV$9,'Lease Cycles'!$C$9*'Lease Cycles'!$AW$9/12,IF(AM$6&gt;='Lease Cycles'!$AT$9,'Lease Cycles'!$C$9*'Lease Cycles'!$AU$9/12,'Lease Cycles'!$C$9*INDEX('Lease Cycles'!$CB$9:$CH$9,1,AM27)*(1+INDEX('Lease Cycles'!$CI$9:$CO$9,1,AM27))^INT(INT(AM28/12)/INDEX('Lease Cycles'!$CP$9:$CV$9,1,AM27))/12)))),'Lease Cycles'!$C$9*INDEX('Lease Cycles'!$CB$9:$CH$9,1,AM27)*(1+INDEX('Lease Cycles'!$CI$9:$CO$9,1,AM27))^INT(INT(AM28/12)/INDEX('Lease Cycles'!$CP$9:$CV$9,1,AM27))/12),IF(INDEX('Lease Cycles'!$EF$9:$EL$9,1,AM27)=1,IF(AND('Lease Cycles'!$AZ$9&gt;=INDEX('Lease Cycles'!$BG$9:$BM$9,1,AM27),'Lease Cycles'!$AZ$9&lt;=AM$6),'Lease Cycles'!$C$9*'Lease Cycles'!$BA$9/12,IF(AND('Lease Cycles'!$AX$9&gt;=INDEX('Lease Cycles'!$BG$9:$BM$9,1,AM27),'Lease Cycles'!$AX$9&lt;=AM$6),'Lease Cycles'!$C$9*'Lease Cycles'!$AY$9/12,IF(AND('Lease Cycles'!$AV$9&gt;=INDEX('Lease Cycles'!$BG$9:$BM$9,1,AM27),'Lease Cycles'!$AV$9&lt;=AM$6),'Lease Cycles'!$C$9*'Lease Cycles'!$AW$9/12,IF(AND('Lease Cycles'!$AT$9&gt;=INDEX('Lease Cycles'!$BG$9:$BM$9,1,AM27),'Lease Cycles'!$AT$9&lt;=AM$6),'Lease Cycles'!$C$9*'Lease Cycles'!$AU$9/12,'Lease Cycles'!$C$9*INDEX('Lease Cycles'!$CB$9:$CH$9,1,AM27)*(1+INDEX('Lease Cycles'!$CI$9:$CO$9,1,AM27))^INT(INT(AM28/12)/INDEX('Lease Cycles'!$CP$9:$CV$9,1,AM27))/12)))),'Lease Cycles'!$C$9*INDEX('Lease Cycles'!$CB$9:$CH$9,1,AM27)*(1+INDEX('Lease Cycles'!$CI$9:$CO$9,1,AM27))^INT(INT(AM28/12)/INDEX('Lease Cycles'!$CP$9:$CV$9,1,AM27))/12))),IF('Lease Cycles'!$N$9=1,'Lease Cycles'!$C$9*'Lease Cycles'!$E$9*INDEX('Lease Cycles'!$HE$9:$HK$9,1,AM27)*(1+INDEX('Lease Cycles'!$GQ$9:$GW$9,1,AM27))^INT(INT((AM$6-INDEX('Lease Cycles'!$GJ$9:$GP$9,1,AM27))/12)/INDEX('Lease Cycles'!$GX$9:$HD$9,1,AM27))/12,0)))</f>
        <v>13500</v>
      </c>
      <c r="AN30" s="28">
        <f>IF(AN27=0,IF('Lease Cycles'!$F$9&gt;0,'Lease Cycles'!$C$9*'Lease Cycles'!$E$9/12,0),IF(AN29=1,IF('Lease Cycles'!$AT$9&gt;=9999,'Lease Cycles'!$C$9*INDEX('Lease Cycles'!$CB$9:$CH$9,1,AN27)*(1+INDEX('Lease Cycles'!$CI$9:$CO$9,1,AN27))^INT(INT(AN28/12)/INDEX('Lease Cycles'!$CP$9:$CV$9,1,AN27))/12,IF(AN27=1,IF(AN28&gt;=INDEX('Lease Cycles'!$DK$9:$DQ$9,1,AN27),IF(AN$6&gt;='Lease Cycles'!$AZ$9,'Lease Cycles'!$C$9*'Lease Cycles'!$BA$9/12,IF(AN$6&gt;='Lease Cycles'!$AX$9,'Lease Cycles'!$C$9*'Lease Cycles'!$AY$9/12,IF(AN$6&gt;='Lease Cycles'!$AV$9,'Lease Cycles'!$C$9*'Lease Cycles'!$AW$9/12,IF(AN$6&gt;='Lease Cycles'!$AT$9,'Lease Cycles'!$C$9*'Lease Cycles'!$AU$9/12,'Lease Cycles'!$C$9*INDEX('Lease Cycles'!$CB$9:$CH$9,1,AN27)*(1+INDEX('Lease Cycles'!$CI$9:$CO$9,1,AN27))^INT(INT(AN28/12)/INDEX('Lease Cycles'!$CP$9:$CV$9,1,AN27))/12)))),'Lease Cycles'!$C$9*INDEX('Lease Cycles'!$CB$9:$CH$9,1,AN27)*(1+INDEX('Lease Cycles'!$CI$9:$CO$9,1,AN27))^INT(INT(AN28/12)/INDEX('Lease Cycles'!$CP$9:$CV$9,1,AN27))/12),IF(INDEX('Lease Cycles'!$EF$9:$EL$9,1,AN27)=1,IF(AND('Lease Cycles'!$AZ$9&gt;=INDEX('Lease Cycles'!$BG$9:$BM$9,1,AN27),'Lease Cycles'!$AZ$9&lt;=AN$6),'Lease Cycles'!$C$9*'Lease Cycles'!$BA$9/12,IF(AND('Lease Cycles'!$AX$9&gt;=INDEX('Lease Cycles'!$BG$9:$BM$9,1,AN27),'Lease Cycles'!$AX$9&lt;=AN$6),'Lease Cycles'!$C$9*'Lease Cycles'!$AY$9/12,IF(AND('Lease Cycles'!$AV$9&gt;=INDEX('Lease Cycles'!$BG$9:$BM$9,1,AN27),'Lease Cycles'!$AV$9&lt;=AN$6),'Lease Cycles'!$C$9*'Lease Cycles'!$AW$9/12,IF(AND('Lease Cycles'!$AT$9&gt;=INDEX('Lease Cycles'!$BG$9:$BM$9,1,AN27),'Lease Cycles'!$AT$9&lt;=AN$6),'Lease Cycles'!$C$9*'Lease Cycles'!$AU$9/12,'Lease Cycles'!$C$9*INDEX('Lease Cycles'!$CB$9:$CH$9,1,AN27)*(1+INDEX('Lease Cycles'!$CI$9:$CO$9,1,AN27))^INT(INT(AN28/12)/INDEX('Lease Cycles'!$CP$9:$CV$9,1,AN27))/12)))),'Lease Cycles'!$C$9*INDEX('Lease Cycles'!$CB$9:$CH$9,1,AN27)*(1+INDEX('Lease Cycles'!$CI$9:$CO$9,1,AN27))^INT(INT(AN28/12)/INDEX('Lease Cycles'!$CP$9:$CV$9,1,AN27))/12))),IF('Lease Cycles'!$N$9=1,'Lease Cycles'!$C$9*'Lease Cycles'!$E$9*INDEX('Lease Cycles'!$HE$9:$HK$9,1,AN27)*(1+INDEX('Lease Cycles'!$GQ$9:$GW$9,1,AN27))^INT(INT((AN$6-INDEX('Lease Cycles'!$GJ$9:$GP$9,1,AN27))/12)/INDEX('Lease Cycles'!$GX$9:$HD$9,1,AN27))/12,0)))</f>
        <v>13500</v>
      </c>
      <c r="AO30" s="28">
        <f>IF(AO27=0,IF('Lease Cycles'!$F$9&gt;0,'Lease Cycles'!$C$9*'Lease Cycles'!$E$9/12,0),IF(AO29=1,IF('Lease Cycles'!$AT$9&gt;=9999,'Lease Cycles'!$C$9*INDEX('Lease Cycles'!$CB$9:$CH$9,1,AO27)*(1+INDEX('Lease Cycles'!$CI$9:$CO$9,1,AO27))^INT(INT(AO28/12)/INDEX('Lease Cycles'!$CP$9:$CV$9,1,AO27))/12,IF(AO27=1,IF(AO28&gt;=INDEX('Lease Cycles'!$DK$9:$DQ$9,1,AO27),IF(AO$6&gt;='Lease Cycles'!$AZ$9,'Lease Cycles'!$C$9*'Lease Cycles'!$BA$9/12,IF(AO$6&gt;='Lease Cycles'!$AX$9,'Lease Cycles'!$C$9*'Lease Cycles'!$AY$9/12,IF(AO$6&gt;='Lease Cycles'!$AV$9,'Lease Cycles'!$C$9*'Lease Cycles'!$AW$9/12,IF(AO$6&gt;='Lease Cycles'!$AT$9,'Lease Cycles'!$C$9*'Lease Cycles'!$AU$9/12,'Lease Cycles'!$C$9*INDEX('Lease Cycles'!$CB$9:$CH$9,1,AO27)*(1+INDEX('Lease Cycles'!$CI$9:$CO$9,1,AO27))^INT(INT(AO28/12)/INDEX('Lease Cycles'!$CP$9:$CV$9,1,AO27))/12)))),'Lease Cycles'!$C$9*INDEX('Lease Cycles'!$CB$9:$CH$9,1,AO27)*(1+INDEX('Lease Cycles'!$CI$9:$CO$9,1,AO27))^INT(INT(AO28/12)/INDEX('Lease Cycles'!$CP$9:$CV$9,1,AO27))/12),IF(INDEX('Lease Cycles'!$EF$9:$EL$9,1,AO27)=1,IF(AND('Lease Cycles'!$AZ$9&gt;=INDEX('Lease Cycles'!$BG$9:$BM$9,1,AO27),'Lease Cycles'!$AZ$9&lt;=AO$6),'Lease Cycles'!$C$9*'Lease Cycles'!$BA$9/12,IF(AND('Lease Cycles'!$AX$9&gt;=INDEX('Lease Cycles'!$BG$9:$BM$9,1,AO27),'Lease Cycles'!$AX$9&lt;=AO$6),'Lease Cycles'!$C$9*'Lease Cycles'!$AY$9/12,IF(AND('Lease Cycles'!$AV$9&gt;=INDEX('Lease Cycles'!$BG$9:$BM$9,1,AO27),'Lease Cycles'!$AV$9&lt;=AO$6),'Lease Cycles'!$C$9*'Lease Cycles'!$AW$9/12,IF(AND('Lease Cycles'!$AT$9&gt;=INDEX('Lease Cycles'!$BG$9:$BM$9,1,AO27),'Lease Cycles'!$AT$9&lt;=AO$6),'Lease Cycles'!$C$9*'Lease Cycles'!$AU$9/12,'Lease Cycles'!$C$9*INDEX('Lease Cycles'!$CB$9:$CH$9,1,AO27)*(1+INDEX('Lease Cycles'!$CI$9:$CO$9,1,AO27))^INT(INT(AO28/12)/INDEX('Lease Cycles'!$CP$9:$CV$9,1,AO27))/12)))),'Lease Cycles'!$C$9*INDEX('Lease Cycles'!$CB$9:$CH$9,1,AO27)*(1+INDEX('Lease Cycles'!$CI$9:$CO$9,1,AO27))^INT(INT(AO28/12)/INDEX('Lease Cycles'!$CP$9:$CV$9,1,AO27))/12))),IF('Lease Cycles'!$N$9=1,'Lease Cycles'!$C$9*'Lease Cycles'!$E$9*INDEX('Lease Cycles'!$HE$9:$HK$9,1,AO27)*(1+INDEX('Lease Cycles'!$GQ$9:$GW$9,1,AO27))^INT(INT((AO$6-INDEX('Lease Cycles'!$GJ$9:$GP$9,1,AO27))/12)/INDEX('Lease Cycles'!$GX$9:$HD$9,1,AO27))/12,0)))</f>
        <v>13500</v>
      </c>
      <c r="AP30" s="28">
        <f>IF(AP27=0,IF('Lease Cycles'!$F$9&gt;0,'Lease Cycles'!$C$9*'Lease Cycles'!$E$9/12,0),IF(AP29=1,IF('Lease Cycles'!$AT$9&gt;=9999,'Lease Cycles'!$C$9*INDEX('Lease Cycles'!$CB$9:$CH$9,1,AP27)*(1+INDEX('Lease Cycles'!$CI$9:$CO$9,1,AP27))^INT(INT(AP28/12)/INDEX('Lease Cycles'!$CP$9:$CV$9,1,AP27))/12,IF(AP27=1,IF(AP28&gt;=INDEX('Lease Cycles'!$DK$9:$DQ$9,1,AP27),IF(AP$6&gt;='Lease Cycles'!$AZ$9,'Lease Cycles'!$C$9*'Lease Cycles'!$BA$9/12,IF(AP$6&gt;='Lease Cycles'!$AX$9,'Lease Cycles'!$C$9*'Lease Cycles'!$AY$9/12,IF(AP$6&gt;='Lease Cycles'!$AV$9,'Lease Cycles'!$C$9*'Lease Cycles'!$AW$9/12,IF(AP$6&gt;='Lease Cycles'!$AT$9,'Lease Cycles'!$C$9*'Lease Cycles'!$AU$9/12,'Lease Cycles'!$C$9*INDEX('Lease Cycles'!$CB$9:$CH$9,1,AP27)*(1+INDEX('Lease Cycles'!$CI$9:$CO$9,1,AP27))^INT(INT(AP28/12)/INDEX('Lease Cycles'!$CP$9:$CV$9,1,AP27))/12)))),'Lease Cycles'!$C$9*INDEX('Lease Cycles'!$CB$9:$CH$9,1,AP27)*(1+INDEX('Lease Cycles'!$CI$9:$CO$9,1,AP27))^INT(INT(AP28/12)/INDEX('Lease Cycles'!$CP$9:$CV$9,1,AP27))/12),IF(INDEX('Lease Cycles'!$EF$9:$EL$9,1,AP27)=1,IF(AND('Lease Cycles'!$AZ$9&gt;=INDEX('Lease Cycles'!$BG$9:$BM$9,1,AP27),'Lease Cycles'!$AZ$9&lt;=AP$6),'Lease Cycles'!$C$9*'Lease Cycles'!$BA$9/12,IF(AND('Lease Cycles'!$AX$9&gt;=INDEX('Lease Cycles'!$BG$9:$BM$9,1,AP27),'Lease Cycles'!$AX$9&lt;=AP$6),'Lease Cycles'!$C$9*'Lease Cycles'!$AY$9/12,IF(AND('Lease Cycles'!$AV$9&gt;=INDEX('Lease Cycles'!$BG$9:$BM$9,1,AP27),'Lease Cycles'!$AV$9&lt;=AP$6),'Lease Cycles'!$C$9*'Lease Cycles'!$AW$9/12,IF(AND('Lease Cycles'!$AT$9&gt;=INDEX('Lease Cycles'!$BG$9:$BM$9,1,AP27),'Lease Cycles'!$AT$9&lt;=AP$6),'Lease Cycles'!$C$9*'Lease Cycles'!$AU$9/12,'Lease Cycles'!$C$9*INDEX('Lease Cycles'!$CB$9:$CH$9,1,AP27)*(1+INDEX('Lease Cycles'!$CI$9:$CO$9,1,AP27))^INT(INT(AP28/12)/INDEX('Lease Cycles'!$CP$9:$CV$9,1,AP27))/12)))),'Lease Cycles'!$C$9*INDEX('Lease Cycles'!$CB$9:$CH$9,1,AP27)*(1+INDEX('Lease Cycles'!$CI$9:$CO$9,1,AP27))^INT(INT(AP28/12)/INDEX('Lease Cycles'!$CP$9:$CV$9,1,AP27))/12))),IF('Lease Cycles'!$N$9=1,'Lease Cycles'!$C$9*'Lease Cycles'!$E$9*INDEX('Lease Cycles'!$HE$9:$HK$9,1,AP27)*(1+INDEX('Lease Cycles'!$GQ$9:$GW$9,1,AP27))^INT(INT((AP$6-INDEX('Lease Cycles'!$GJ$9:$GP$9,1,AP27))/12)/INDEX('Lease Cycles'!$GX$9:$HD$9,1,AP27))/12,0)))</f>
        <v>13500</v>
      </c>
      <c r="AQ30" s="28">
        <f>IF(AQ27=0,IF('Lease Cycles'!$F$9&gt;0,'Lease Cycles'!$C$9*'Lease Cycles'!$E$9/12,0),IF(AQ29=1,IF('Lease Cycles'!$AT$9&gt;=9999,'Lease Cycles'!$C$9*INDEX('Lease Cycles'!$CB$9:$CH$9,1,AQ27)*(1+INDEX('Lease Cycles'!$CI$9:$CO$9,1,AQ27))^INT(INT(AQ28/12)/INDEX('Lease Cycles'!$CP$9:$CV$9,1,AQ27))/12,IF(AQ27=1,IF(AQ28&gt;=INDEX('Lease Cycles'!$DK$9:$DQ$9,1,AQ27),IF(AQ$6&gt;='Lease Cycles'!$AZ$9,'Lease Cycles'!$C$9*'Lease Cycles'!$BA$9/12,IF(AQ$6&gt;='Lease Cycles'!$AX$9,'Lease Cycles'!$C$9*'Lease Cycles'!$AY$9/12,IF(AQ$6&gt;='Lease Cycles'!$AV$9,'Lease Cycles'!$C$9*'Lease Cycles'!$AW$9/12,IF(AQ$6&gt;='Lease Cycles'!$AT$9,'Lease Cycles'!$C$9*'Lease Cycles'!$AU$9/12,'Lease Cycles'!$C$9*INDEX('Lease Cycles'!$CB$9:$CH$9,1,AQ27)*(1+INDEX('Lease Cycles'!$CI$9:$CO$9,1,AQ27))^INT(INT(AQ28/12)/INDEX('Lease Cycles'!$CP$9:$CV$9,1,AQ27))/12)))),'Lease Cycles'!$C$9*INDEX('Lease Cycles'!$CB$9:$CH$9,1,AQ27)*(1+INDEX('Lease Cycles'!$CI$9:$CO$9,1,AQ27))^INT(INT(AQ28/12)/INDEX('Lease Cycles'!$CP$9:$CV$9,1,AQ27))/12),IF(INDEX('Lease Cycles'!$EF$9:$EL$9,1,AQ27)=1,IF(AND('Lease Cycles'!$AZ$9&gt;=INDEX('Lease Cycles'!$BG$9:$BM$9,1,AQ27),'Lease Cycles'!$AZ$9&lt;=AQ$6),'Lease Cycles'!$C$9*'Lease Cycles'!$BA$9/12,IF(AND('Lease Cycles'!$AX$9&gt;=INDEX('Lease Cycles'!$BG$9:$BM$9,1,AQ27),'Lease Cycles'!$AX$9&lt;=AQ$6),'Lease Cycles'!$C$9*'Lease Cycles'!$AY$9/12,IF(AND('Lease Cycles'!$AV$9&gt;=INDEX('Lease Cycles'!$BG$9:$BM$9,1,AQ27),'Lease Cycles'!$AV$9&lt;=AQ$6),'Lease Cycles'!$C$9*'Lease Cycles'!$AW$9/12,IF(AND('Lease Cycles'!$AT$9&gt;=INDEX('Lease Cycles'!$BG$9:$BM$9,1,AQ27),'Lease Cycles'!$AT$9&lt;=AQ$6),'Lease Cycles'!$C$9*'Lease Cycles'!$AU$9/12,'Lease Cycles'!$C$9*INDEX('Lease Cycles'!$CB$9:$CH$9,1,AQ27)*(1+INDEX('Lease Cycles'!$CI$9:$CO$9,1,AQ27))^INT(INT(AQ28/12)/INDEX('Lease Cycles'!$CP$9:$CV$9,1,AQ27))/12)))),'Lease Cycles'!$C$9*INDEX('Lease Cycles'!$CB$9:$CH$9,1,AQ27)*(1+INDEX('Lease Cycles'!$CI$9:$CO$9,1,AQ27))^INT(INT(AQ28/12)/INDEX('Lease Cycles'!$CP$9:$CV$9,1,AQ27))/12))),IF('Lease Cycles'!$N$9=1,'Lease Cycles'!$C$9*'Lease Cycles'!$E$9*INDEX('Lease Cycles'!$HE$9:$HK$9,1,AQ27)*(1+INDEX('Lease Cycles'!$GQ$9:$GW$9,1,AQ27))^INT(INT((AQ$6-INDEX('Lease Cycles'!$GJ$9:$GP$9,1,AQ27))/12)/INDEX('Lease Cycles'!$GX$9:$HD$9,1,AQ27))/12,0)))</f>
        <v>13500</v>
      </c>
      <c r="AR30" s="28">
        <f>IF(AR27=0,IF('Lease Cycles'!$F$9&gt;0,'Lease Cycles'!$C$9*'Lease Cycles'!$E$9/12,0),IF(AR29=1,IF('Lease Cycles'!$AT$9&gt;=9999,'Lease Cycles'!$C$9*INDEX('Lease Cycles'!$CB$9:$CH$9,1,AR27)*(1+INDEX('Lease Cycles'!$CI$9:$CO$9,1,AR27))^INT(INT(AR28/12)/INDEX('Lease Cycles'!$CP$9:$CV$9,1,AR27))/12,IF(AR27=1,IF(AR28&gt;=INDEX('Lease Cycles'!$DK$9:$DQ$9,1,AR27),IF(AR$6&gt;='Lease Cycles'!$AZ$9,'Lease Cycles'!$C$9*'Lease Cycles'!$BA$9/12,IF(AR$6&gt;='Lease Cycles'!$AX$9,'Lease Cycles'!$C$9*'Lease Cycles'!$AY$9/12,IF(AR$6&gt;='Lease Cycles'!$AV$9,'Lease Cycles'!$C$9*'Lease Cycles'!$AW$9/12,IF(AR$6&gt;='Lease Cycles'!$AT$9,'Lease Cycles'!$C$9*'Lease Cycles'!$AU$9/12,'Lease Cycles'!$C$9*INDEX('Lease Cycles'!$CB$9:$CH$9,1,AR27)*(1+INDEX('Lease Cycles'!$CI$9:$CO$9,1,AR27))^INT(INT(AR28/12)/INDEX('Lease Cycles'!$CP$9:$CV$9,1,AR27))/12)))),'Lease Cycles'!$C$9*INDEX('Lease Cycles'!$CB$9:$CH$9,1,AR27)*(1+INDEX('Lease Cycles'!$CI$9:$CO$9,1,AR27))^INT(INT(AR28/12)/INDEX('Lease Cycles'!$CP$9:$CV$9,1,AR27))/12),IF(INDEX('Lease Cycles'!$EF$9:$EL$9,1,AR27)=1,IF(AND('Lease Cycles'!$AZ$9&gt;=INDEX('Lease Cycles'!$BG$9:$BM$9,1,AR27),'Lease Cycles'!$AZ$9&lt;=AR$6),'Lease Cycles'!$C$9*'Lease Cycles'!$BA$9/12,IF(AND('Lease Cycles'!$AX$9&gt;=INDEX('Lease Cycles'!$BG$9:$BM$9,1,AR27),'Lease Cycles'!$AX$9&lt;=AR$6),'Lease Cycles'!$C$9*'Lease Cycles'!$AY$9/12,IF(AND('Lease Cycles'!$AV$9&gt;=INDEX('Lease Cycles'!$BG$9:$BM$9,1,AR27),'Lease Cycles'!$AV$9&lt;=AR$6),'Lease Cycles'!$C$9*'Lease Cycles'!$AW$9/12,IF(AND('Lease Cycles'!$AT$9&gt;=INDEX('Lease Cycles'!$BG$9:$BM$9,1,AR27),'Lease Cycles'!$AT$9&lt;=AR$6),'Lease Cycles'!$C$9*'Lease Cycles'!$AU$9/12,'Lease Cycles'!$C$9*INDEX('Lease Cycles'!$CB$9:$CH$9,1,AR27)*(1+INDEX('Lease Cycles'!$CI$9:$CO$9,1,AR27))^INT(INT(AR28/12)/INDEX('Lease Cycles'!$CP$9:$CV$9,1,AR27))/12)))),'Lease Cycles'!$C$9*INDEX('Lease Cycles'!$CB$9:$CH$9,1,AR27)*(1+INDEX('Lease Cycles'!$CI$9:$CO$9,1,AR27))^INT(INT(AR28/12)/INDEX('Lease Cycles'!$CP$9:$CV$9,1,AR27))/12))),IF('Lease Cycles'!$N$9=1,'Lease Cycles'!$C$9*'Lease Cycles'!$E$9*INDEX('Lease Cycles'!$HE$9:$HK$9,1,AR27)*(1+INDEX('Lease Cycles'!$GQ$9:$GW$9,1,AR27))^INT(INT((AR$6-INDEX('Lease Cycles'!$GJ$9:$GP$9,1,AR27))/12)/INDEX('Lease Cycles'!$GX$9:$HD$9,1,AR27))/12,0)))</f>
        <v>13500</v>
      </c>
      <c r="AS30" s="28">
        <f>IF(AS27=0,IF('Lease Cycles'!$F$9&gt;0,'Lease Cycles'!$C$9*'Lease Cycles'!$E$9/12,0),IF(AS29=1,IF('Lease Cycles'!$AT$9&gt;=9999,'Lease Cycles'!$C$9*INDEX('Lease Cycles'!$CB$9:$CH$9,1,AS27)*(1+INDEX('Lease Cycles'!$CI$9:$CO$9,1,AS27))^INT(INT(AS28/12)/INDEX('Lease Cycles'!$CP$9:$CV$9,1,AS27))/12,IF(AS27=1,IF(AS28&gt;=INDEX('Lease Cycles'!$DK$9:$DQ$9,1,AS27),IF(AS$6&gt;='Lease Cycles'!$AZ$9,'Lease Cycles'!$C$9*'Lease Cycles'!$BA$9/12,IF(AS$6&gt;='Lease Cycles'!$AX$9,'Lease Cycles'!$C$9*'Lease Cycles'!$AY$9/12,IF(AS$6&gt;='Lease Cycles'!$AV$9,'Lease Cycles'!$C$9*'Lease Cycles'!$AW$9/12,IF(AS$6&gt;='Lease Cycles'!$AT$9,'Lease Cycles'!$C$9*'Lease Cycles'!$AU$9/12,'Lease Cycles'!$C$9*INDEX('Lease Cycles'!$CB$9:$CH$9,1,AS27)*(1+INDEX('Lease Cycles'!$CI$9:$CO$9,1,AS27))^INT(INT(AS28/12)/INDEX('Lease Cycles'!$CP$9:$CV$9,1,AS27))/12)))),'Lease Cycles'!$C$9*INDEX('Lease Cycles'!$CB$9:$CH$9,1,AS27)*(1+INDEX('Lease Cycles'!$CI$9:$CO$9,1,AS27))^INT(INT(AS28/12)/INDEX('Lease Cycles'!$CP$9:$CV$9,1,AS27))/12),IF(INDEX('Lease Cycles'!$EF$9:$EL$9,1,AS27)=1,IF(AND('Lease Cycles'!$AZ$9&gt;=INDEX('Lease Cycles'!$BG$9:$BM$9,1,AS27),'Lease Cycles'!$AZ$9&lt;=AS$6),'Lease Cycles'!$C$9*'Lease Cycles'!$BA$9/12,IF(AND('Lease Cycles'!$AX$9&gt;=INDEX('Lease Cycles'!$BG$9:$BM$9,1,AS27),'Lease Cycles'!$AX$9&lt;=AS$6),'Lease Cycles'!$C$9*'Lease Cycles'!$AY$9/12,IF(AND('Lease Cycles'!$AV$9&gt;=INDEX('Lease Cycles'!$BG$9:$BM$9,1,AS27),'Lease Cycles'!$AV$9&lt;=AS$6),'Lease Cycles'!$C$9*'Lease Cycles'!$AW$9/12,IF(AND('Lease Cycles'!$AT$9&gt;=INDEX('Lease Cycles'!$BG$9:$BM$9,1,AS27),'Lease Cycles'!$AT$9&lt;=AS$6),'Lease Cycles'!$C$9*'Lease Cycles'!$AU$9/12,'Lease Cycles'!$C$9*INDEX('Lease Cycles'!$CB$9:$CH$9,1,AS27)*(1+INDEX('Lease Cycles'!$CI$9:$CO$9,1,AS27))^INT(INT(AS28/12)/INDEX('Lease Cycles'!$CP$9:$CV$9,1,AS27))/12)))),'Lease Cycles'!$C$9*INDEX('Lease Cycles'!$CB$9:$CH$9,1,AS27)*(1+INDEX('Lease Cycles'!$CI$9:$CO$9,1,AS27))^INT(INT(AS28/12)/INDEX('Lease Cycles'!$CP$9:$CV$9,1,AS27))/12))),IF('Lease Cycles'!$N$9=1,'Lease Cycles'!$C$9*'Lease Cycles'!$E$9*INDEX('Lease Cycles'!$HE$9:$HK$9,1,AS27)*(1+INDEX('Lease Cycles'!$GQ$9:$GW$9,1,AS27))^INT(INT((AS$6-INDEX('Lease Cycles'!$GJ$9:$GP$9,1,AS27))/12)/INDEX('Lease Cycles'!$GX$9:$HD$9,1,AS27))/12,0)))</f>
        <v>13500</v>
      </c>
      <c r="AT30" s="28">
        <f>IF(AT27=0,IF('Lease Cycles'!$F$9&gt;0,'Lease Cycles'!$C$9*'Lease Cycles'!$E$9/12,0),IF(AT29=1,IF('Lease Cycles'!$AT$9&gt;=9999,'Lease Cycles'!$C$9*INDEX('Lease Cycles'!$CB$9:$CH$9,1,AT27)*(1+INDEX('Lease Cycles'!$CI$9:$CO$9,1,AT27))^INT(INT(AT28/12)/INDEX('Lease Cycles'!$CP$9:$CV$9,1,AT27))/12,IF(AT27=1,IF(AT28&gt;=INDEX('Lease Cycles'!$DK$9:$DQ$9,1,AT27),IF(AT$6&gt;='Lease Cycles'!$AZ$9,'Lease Cycles'!$C$9*'Lease Cycles'!$BA$9/12,IF(AT$6&gt;='Lease Cycles'!$AX$9,'Lease Cycles'!$C$9*'Lease Cycles'!$AY$9/12,IF(AT$6&gt;='Lease Cycles'!$AV$9,'Lease Cycles'!$C$9*'Lease Cycles'!$AW$9/12,IF(AT$6&gt;='Lease Cycles'!$AT$9,'Lease Cycles'!$C$9*'Lease Cycles'!$AU$9/12,'Lease Cycles'!$C$9*INDEX('Lease Cycles'!$CB$9:$CH$9,1,AT27)*(1+INDEX('Lease Cycles'!$CI$9:$CO$9,1,AT27))^INT(INT(AT28/12)/INDEX('Lease Cycles'!$CP$9:$CV$9,1,AT27))/12)))),'Lease Cycles'!$C$9*INDEX('Lease Cycles'!$CB$9:$CH$9,1,AT27)*(1+INDEX('Lease Cycles'!$CI$9:$CO$9,1,AT27))^INT(INT(AT28/12)/INDEX('Lease Cycles'!$CP$9:$CV$9,1,AT27))/12),IF(INDEX('Lease Cycles'!$EF$9:$EL$9,1,AT27)=1,IF(AND('Lease Cycles'!$AZ$9&gt;=INDEX('Lease Cycles'!$BG$9:$BM$9,1,AT27),'Lease Cycles'!$AZ$9&lt;=AT$6),'Lease Cycles'!$C$9*'Lease Cycles'!$BA$9/12,IF(AND('Lease Cycles'!$AX$9&gt;=INDEX('Lease Cycles'!$BG$9:$BM$9,1,AT27),'Lease Cycles'!$AX$9&lt;=AT$6),'Lease Cycles'!$C$9*'Lease Cycles'!$AY$9/12,IF(AND('Lease Cycles'!$AV$9&gt;=INDEX('Lease Cycles'!$BG$9:$BM$9,1,AT27),'Lease Cycles'!$AV$9&lt;=AT$6),'Lease Cycles'!$C$9*'Lease Cycles'!$AW$9/12,IF(AND('Lease Cycles'!$AT$9&gt;=INDEX('Lease Cycles'!$BG$9:$BM$9,1,AT27),'Lease Cycles'!$AT$9&lt;=AT$6),'Lease Cycles'!$C$9*'Lease Cycles'!$AU$9/12,'Lease Cycles'!$C$9*INDEX('Lease Cycles'!$CB$9:$CH$9,1,AT27)*(1+INDEX('Lease Cycles'!$CI$9:$CO$9,1,AT27))^INT(INT(AT28/12)/INDEX('Lease Cycles'!$CP$9:$CV$9,1,AT27))/12)))),'Lease Cycles'!$C$9*INDEX('Lease Cycles'!$CB$9:$CH$9,1,AT27)*(1+INDEX('Lease Cycles'!$CI$9:$CO$9,1,AT27))^INT(INT(AT28/12)/INDEX('Lease Cycles'!$CP$9:$CV$9,1,AT27))/12))),IF('Lease Cycles'!$N$9=1,'Lease Cycles'!$C$9*'Lease Cycles'!$E$9*INDEX('Lease Cycles'!$HE$9:$HK$9,1,AT27)*(1+INDEX('Lease Cycles'!$GQ$9:$GW$9,1,AT27))^INT(INT((AT$6-INDEX('Lease Cycles'!$GJ$9:$GP$9,1,AT27))/12)/INDEX('Lease Cycles'!$GX$9:$HD$9,1,AT27))/12,0)))</f>
        <v>13500</v>
      </c>
      <c r="AU30" s="28">
        <f>IF(AU27=0,IF('Lease Cycles'!$F$9&gt;0,'Lease Cycles'!$C$9*'Lease Cycles'!$E$9/12,0),IF(AU29=1,IF('Lease Cycles'!$AT$9&gt;=9999,'Lease Cycles'!$C$9*INDEX('Lease Cycles'!$CB$9:$CH$9,1,AU27)*(1+INDEX('Lease Cycles'!$CI$9:$CO$9,1,AU27))^INT(INT(AU28/12)/INDEX('Lease Cycles'!$CP$9:$CV$9,1,AU27))/12,IF(AU27=1,IF(AU28&gt;=INDEX('Lease Cycles'!$DK$9:$DQ$9,1,AU27),IF(AU$6&gt;='Lease Cycles'!$AZ$9,'Lease Cycles'!$C$9*'Lease Cycles'!$BA$9/12,IF(AU$6&gt;='Lease Cycles'!$AX$9,'Lease Cycles'!$C$9*'Lease Cycles'!$AY$9/12,IF(AU$6&gt;='Lease Cycles'!$AV$9,'Lease Cycles'!$C$9*'Lease Cycles'!$AW$9/12,IF(AU$6&gt;='Lease Cycles'!$AT$9,'Lease Cycles'!$C$9*'Lease Cycles'!$AU$9/12,'Lease Cycles'!$C$9*INDEX('Lease Cycles'!$CB$9:$CH$9,1,AU27)*(1+INDEX('Lease Cycles'!$CI$9:$CO$9,1,AU27))^INT(INT(AU28/12)/INDEX('Lease Cycles'!$CP$9:$CV$9,1,AU27))/12)))),'Lease Cycles'!$C$9*INDEX('Lease Cycles'!$CB$9:$CH$9,1,AU27)*(1+INDEX('Lease Cycles'!$CI$9:$CO$9,1,AU27))^INT(INT(AU28/12)/INDEX('Lease Cycles'!$CP$9:$CV$9,1,AU27))/12),IF(INDEX('Lease Cycles'!$EF$9:$EL$9,1,AU27)=1,IF(AND('Lease Cycles'!$AZ$9&gt;=INDEX('Lease Cycles'!$BG$9:$BM$9,1,AU27),'Lease Cycles'!$AZ$9&lt;=AU$6),'Lease Cycles'!$C$9*'Lease Cycles'!$BA$9/12,IF(AND('Lease Cycles'!$AX$9&gt;=INDEX('Lease Cycles'!$BG$9:$BM$9,1,AU27),'Lease Cycles'!$AX$9&lt;=AU$6),'Lease Cycles'!$C$9*'Lease Cycles'!$AY$9/12,IF(AND('Lease Cycles'!$AV$9&gt;=INDEX('Lease Cycles'!$BG$9:$BM$9,1,AU27),'Lease Cycles'!$AV$9&lt;=AU$6),'Lease Cycles'!$C$9*'Lease Cycles'!$AW$9/12,IF(AND('Lease Cycles'!$AT$9&gt;=INDEX('Lease Cycles'!$BG$9:$BM$9,1,AU27),'Lease Cycles'!$AT$9&lt;=AU$6),'Lease Cycles'!$C$9*'Lease Cycles'!$AU$9/12,'Lease Cycles'!$C$9*INDEX('Lease Cycles'!$CB$9:$CH$9,1,AU27)*(1+INDEX('Lease Cycles'!$CI$9:$CO$9,1,AU27))^INT(INT(AU28/12)/INDEX('Lease Cycles'!$CP$9:$CV$9,1,AU27))/12)))),'Lease Cycles'!$C$9*INDEX('Lease Cycles'!$CB$9:$CH$9,1,AU27)*(1+INDEX('Lease Cycles'!$CI$9:$CO$9,1,AU27))^INT(INT(AU28/12)/INDEX('Lease Cycles'!$CP$9:$CV$9,1,AU27))/12))),IF('Lease Cycles'!$N$9=1,'Lease Cycles'!$C$9*'Lease Cycles'!$E$9*INDEX('Lease Cycles'!$HE$9:$HK$9,1,AU27)*(1+INDEX('Lease Cycles'!$GQ$9:$GW$9,1,AU27))^INT(INT((AU$6-INDEX('Lease Cycles'!$GJ$9:$GP$9,1,AU27))/12)/INDEX('Lease Cycles'!$GX$9:$HD$9,1,AU27))/12,0)))</f>
        <v>13500</v>
      </c>
      <c r="AV30" s="28">
        <f>IF(AV27=0,IF('Lease Cycles'!$F$9&gt;0,'Lease Cycles'!$C$9*'Lease Cycles'!$E$9/12,0),IF(AV29=1,IF('Lease Cycles'!$AT$9&gt;=9999,'Lease Cycles'!$C$9*INDEX('Lease Cycles'!$CB$9:$CH$9,1,AV27)*(1+INDEX('Lease Cycles'!$CI$9:$CO$9,1,AV27))^INT(INT(AV28/12)/INDEX('Lease Cycles'!$CP$9:$CV$9,1,AV27))/12,IF(AV27=1,IF(AV28&gt;=INDEX('Lease Cycles'!$DK$9:$DQ$9,1,AV27),IF(AV$6&gt;='Lease Cycles'!$AZ$9,'Lease Cycles'!$C$9*'Lease Cycles'!$BA$9/12,IF(AV$6&gt;='Lease Cycles'!$AX$9,'Lease Cycles'!$C$9*'Lease Cycles'!$AY$9/12,IF(AV$6&gt;='Lease Cycles'!$AV$9,'Lease Cycles'!$C$9*'Lease Cycles'!$AW$9/12,IF(AV$6&gt;='Lease Cycles'!$AT$9,'Lease Cycles'!$C$9*'Lease Cycles'!$AU$9/12,'Lease Cycles'!$C$9*INDEX('Lease Cycles'!$CB$9:$CH$9,1,AV27)*(1+INDEX('Lease Cycles'!$CI$9:$CO$9,1,AV27))^INT(INT(AV28/12)/INDEX('Lease Cycles'!$CP$9:$CV$9,1,AV27))/12)))),'Lease Cycles'!$C$9*INDEX('Lease Cycles'!$CB$9:$CH$9,1,AV27)*(1+INDEX('Lease Cycles'!$CI$9:$CO$9,1,AV27))^INT(INT(AV28/12)/INDEX('Lease Cycles'!$CP$9:$CV$9,1,AV27))/12),IF(INDEX('Lease Cycles'!$EF$9:$EL$9,1,AV27)=1,IF(AND('Lease Cycles'!$AZ$9&gt;=INDEX('Lease Cycles'!$BG$9:$BM$9,1,AV27),'Lease Cycles'!$AZ$9&lt;=AV$6),'Lease Cycles'!$C$9*'Lease Cycles'!$BA$9/12,IF(AND('Lease Cycles'!$AX$9&gt;=INDEX('Lease Cycles'!$BG$9:$BM$9,1,AV27),'Lease Cycles'!$AX$9&lt;=AV$6),'Lease Cycles'!$C$9*'Lease Cycles'!$AY$9/12,IF(AND('Lease Cycles'!$AV$9&gt;=INDEX('Lease Cycles'!$BG$9:$BM$9,1,AV27),'Lease Cycles'!$AV$9&lt;=AV$6),'Lease Cycles'!$C$9*'Lease Cycles'!$AW$9/12,IF(AND('Lease Cycles'!$AT$9&gt;=INDEX('Lease Cycles'!$BG$9:$BM$9,1,AV27),'Lease Cycles'!$AT$9&lt;=AV$6),'Lease Cycles'!$C$9*'Lease Cycles'!$AU$9/12,'Lease Cycles'!$C$9*INDEX('Lease Cycles'!$CB$9:$CH$9,1,AV27)*(1+INDEX('Lease Cycles'!$CI$9:$CO$9,1,AV27))^INT(INT(AV28/12)/INDEX('Lease Cycles'!$CP$9:$CV$9,1,AV27))/12)))),'Lease Cycles'!$C$9*INDEX('Lease Cycles'!$CB$9:$CH$9,1,AV27)*(1+INDEX('Lease Cycles'!$CI$9:$CO$9,1,AV27))^INT(INT(AV28/12)/INDEX('Lease Cycles'!$CP$9:$CV$9,1,AV27))/12))),IF('Lease Cycles'!$N$9=1,'Lease Cycles'!$C$9*'Lease Cycles'!$E$9*INDEX('Lease Cycles'!$HE$9:$HK$9,1,AV27)*(1+INDEX('Lease Cycles'!$GQ$9:$GW$9,1,AV27))^INT(INT((AV$6-INDEX('Lease Cycles'!$GJ$9:$GP$9,1,AV27))/12)/INDEX('Lease Cycles'!$GX$9:$HD$9,1,AV27))/12,0)))</f>
        <v>13500</v>
      </c>
      <c r="AW30" s="28">
        <f>IF(AW27=0,IF('Lease Cycles'!$F$9&gt;0,'Lease Cycles'!$C$9*'Lease Cycles'!$E$9/12,0),IF(AW29=1,IF('Lease Cycles'!$AT$9&gt;=9999,'Lease Cycles'!$C$9*INDEX('Lease Cycles'!$CB$9:$CH$9,1,AW27)*(1+INDEX('Lease Cycles'!$CI$9:$CO$9,1,AW27))^INT(INT(AW28/12)/INDEX('Lease Cycles'!$CP$9:$CV$9,1,AW27))/12,IF(AW27=1,IF(AW28&gt;=INDEX('Lease Cycles'!$DK$9:$DQ$9,1,AW27),IF(AW$6&gt;='Lease Cycles'!$AZ$9,'Lease Cycles'!$C$9*'Lease Cycles'!$BA$9/12,IF(AW$6&gt;='Lease Cycles'!$AX$9,'Lease Cycles'!$C$9*'Lease Cycles'!$AY$9/12,IF(AW$6&gt;='Lease Cycles'!$AV$9,'Lease Cycles'!$C$9*'Lease Cycles'!$AW$9/12,IF(AW$6&gt;='Lease Cycles'!$AT$9,'Lease Cycles'!$C$9*'Lease Cycles'!$AU$9/12,'Lease Cycles'!$C$9*INDEX('Lease Cycles'!$CB$9:$CH$9,1,AW27)*(1+INDEX('Lease Cycles'!$CI$9:$CO$9,1,AW27))^INT(INT(AW28/12)/INDEX('Lease Cycles'!$CP$9:$CV$9,1,AW27))/12)))),'Lease Cycles'!$C$9*INDEX('Lease Cycles'!$CB$9:$CH$9,1,AW27)*(1+INDEX('Lease Cycles'!$CI$9:$CO$9,1,AW27))^INT(INT(AW28/12)/INDEX('Lease Cycles'!$CP$9:$CV$9,1,AW27))/12),IF(INDEX('Lease Cycles'!$EF$9:$EL$9,1,AW27)=1,IF(AND('Lease Cycles'!$AZ$9&gt;=INDEX('Lease Cycles'!$BG$9:$BM$9,1,AW27),'Lease Cycles'!$AZ$9&lt;=AW$6),'Lease Cycles'!$C$9*'Lease Cycles'!$BA$9/12,IF(AND('Lease Cycles'!$AX$9&gt;=INDEX('Lease Cycles'!$BG$9:$BM$9,1,AW27),'Lease Cycles'!$AX$9&lt;=AW$6),'Lease Cycles'!$C$9*'Lease Cycles'!$AY$9/12,IF(AND('Lease Cycles'!$AV$9&gt;=INDEX('Lease Cycles'!$BG$9:$BM$9,1,AW27),'Lease Cycles'!$AV$9&lt;=AW$6),'Lease Cycles'!$C$9*'Lease Cycles'!$AW$9/12,IF(AND('Lease Cycles'!$AT$9&gt;=INDEX('Lease Cycles'!$BG$9:$BM$9,1,AW27),'Lease Cycles'!$AT$9&lt;=AW$6),'Lease Cycles'!$C$9*'Lease Cycles'!$AU$9/12,'Lease Cycles'!$C$9*INDEX('Lease Cycles'!$CB$9:$CH$9,1,AW27)*(1+INDEX('Lease Cycles'!$CI$9:$CO$9,1,AW27))^INT(INT(AW28/12)/INDEX('Lease Cycles'!$CP$9:$CV$9,1,AW27))/12)))),'Lease Cycles'!$C$9*INDEX('Lease Cycles'!$CB$9:$CH$9,1,AW27)*(1+INDEX('Lease Cycles'!$CI$9:$CO$9,1,AW27))^INT(INT(AW28/12)/INDEX('Lease Cycles'!$CP$9:$CV$9,1,AW27))/12))),IF('Lease Cycles'!$N$9=1,'Lease Cycles'!$C$9*'Lease Cycles'!$E$9*INDEX('Lease Cycles'!$HE$9:$HK$9,1,AW27)*(1+INDEX('Lease Cycles'!$GQ$9:$GW$9,1,AW27))^INT(INT((AW$6-INDEX('Lease Cycles'!$GJ$9:$GP$9,1,AW27))/12)/INDEX('Lease Cycles'!$GX$9:$HD$9,1,AW27))/12,0)))</f>
        <v>13500</v>
      </c>
      <c r="AX30" s="28">
        <f>IF(AX27=0,IF('Lease Cycles'!$F$9&gt;0,'Lease Cycles'!$C$9*'Lease Cycles'!$E$9/12,0),IF(AX29=1,IF('Lease Cycles'!$AT$9&gt;=9999,'Lease Cycles'!$C$9*INDEX('Lease Cycles'!$CB$9:$CH$9,1,AX27)*(1+INDEX('Lease Cycles'!$CI$9:$CO$9,1,AX27))^INT(INT(AX28/12)/INDEX('Lease Cycles'!$CP$9:$CV$9,1,AX27))/12,IF(AX27=1,IF(AX28&gt;=INDEX('Lease Cycles'!$DK$9:$DQ$9,1,AX27),IF(AX$6&gt;='Lease Cycles'!$AZ$9,'Lease Cycles'!$C$9*'Lease Cycles'!$BA$9/12,IF(AX$6&gt;='Lease Cycles'!$AX$9,'Lease Cycles'!$C$9*'Lease Cycles'!$AY$9/12,IF(AX$6&gt;='Lease Cycles'!$AV$9,'Lease Cycles'!$C$9*'Lease Cycles'!$AW$9/12,IF(AX$6&gt;='Lease Cycles'!$AT$9,'Lease Cycles'!$C$9*'Lease Cycles'!$AU$9/12,'Lease Cycles'!$C$9*INDEX('Lease Cycles'!$CB$9:$CH$9,1,AX27)*(1+INDEX('Lease Cycles'!$CI$9:$CO$9,1,AX27))^INT(INT(AX28/12)/INDEX('Lease Cycles'!$CP$9:$CV$9,1,AX27))/12)))),'Lease Cycles'!$C$9*INDEX('Lease Cycles'!$CB$9:$CH$9,1,AX27)*(1+INDEX('Lease Cycles'!$CI$9:$CO$9,1,AX27))^INT(INT(AX28/12)/INDEX('Lease Cycles'!$CP$9:$CV$9,1,AX27))/12),IF(INDEX('Lease Cycles'!$EF$9:$EL$9,1,AX27)=1,IF(AND('Lease Cycles'!$AZ$9&gt;=INDEX('Lease Cycles'!$BG$9:$BM$9,1,AX27),'Lease Cycles'!$AZ$9&lt;=AX$6),'Lease Cycles'!$C$9*'Lease Cycles'!$BA$9/12,IF(AND('Lease Cycles'!$AX$9&gt;=INDEX('Lease Cycles'!$BG$9:$BM$9,1,AX27),'Lease Cycles'!$AX$9&lt;=AX$6),'Lease Cycles'!$C$9*'Lease Cycles'!$AY$9/12,IF(AND('Lease Cycles'!$AV$9&gt;=INDEX('Lease Cycles'!$BG$9:$BM$9,1,AX27),'Lease Cycles'!$AV$9&lt;=AX$6),'Lease Cycles'!$C$9*'Lease Cycles'!$AW$9/12,IF(AND('Lease Cycles'!$AT$9&gt;=INDEX('Lease Cycles'!$BG$9:$BM$9,1,AX27),'Lease Cycles'!$AT$9&lt;=AX$6),'Lease Cycles'!$C$9*'Lease Cycles'!$AU$9/12,'Lease Cycles'!$C$9*INDEX('Lease Cycles'!$CB$9:$CH$9,1,AX27)*(1+INDEX('Lease Cycles'!$CI$9:$CO$9,1,AX27))^INT(INT(AX28/12)/INDEX('Lease Cycles'!$CP$9:$CV$9,1,AX27))/12)))),'Lease Cycles'!$C$9*INDEX('Lease Cycles'!$CB$9:$CH$9,1,AX27)*(1+INDEX('Lease Cycles'!$CI$9:$CO$9,1,AX27))^INT(INT(AX28/12)/INDEX('Lease Cycles'!$CP$9:$CV$9,1,AX27))/12))),IF('Lease Cycles'!$N$9=1,'Lease Cycles'!$C$9*'Lease Cycles'!$E$9*INDEX('Lease Cycles'!$HE$9:$HK$9,1,AX27)*(1+INDEX('Lease Cycles'!$GQ$9:$GW$9,1,AX27))^INT(INT((AX$6-INDEX('Lease Cycles'!$GJ$9:$GP$9,1,AX27))/12)/INDEX('Lease Cycles'!$GX$9:$HD$9,1,AX27))/12,0)))</f>
        <v>13500</v>
      </c>
      <c r="AY30" s="28">
        <f>IF(AY27=0,IF('Lease Cycles'!$F$9&gt;0,'Lease Cycles'!$C$9*'Lease Cycles'!$E$9/12,0),IF(AY29=1,IF('Lease Cycles'!$AT$9&gt;=9999,'Lease Cycles'!$C$9*INDEX('Lease Cycles'!$CB$9:$CH$9,1,AY27)*(1+INDEX('Lease Cycles'!$CI$9:$CO$9,1,AY27))^INT(INT(AY28/12)/INDEX('Lease Cycles'!$CP$9:$CV$9,1,AY27))/12,IF(AY27=1,IF(AY28&gt;=INDEX('Lease Cycles'!$DK$9:$DQ$9,1,AY27),IF(AY$6&gt;='Lease Cycles'!$AZ$9,'Lease Cycles'!$C$9*'Lease Cycles'!$BA$9/12,IF(AY$6&gt;='Lease Cycles'!$AX$9,'Lease Cycles'!$C$9*'Lease Cycles'!$AY$9/12,IF(AY$6&gt;='Lease Cycles'!$AV$9,'Lease Cycles'!$C$9*'Lease Cycles'!$AW$9/12,IF(AY$6&gt;='Lease Cycles'!$AT$9,'Lease Cycles'!$C$9*'Lease Cycles'!$AU$9/12,'Lease Cycles'!$C$9*INDEX('Lease Cycles'!$CB$9:$CH$9,1,AY27)*(1+INDEX('Lease Cycles'!$CI$9:$CO$9,1,AY27))^INT(INT(AY28/12)/INDEX('Lease Cycles'!$CP$9:$CV$9,1,AY27))/12)))),'Lease Cycles'!$C$9*INDEX('Lease Cycles'!$CB$9:$CH$9,1,AY27)*(1+INDEX('Lease Cycles'!$CI$9:$CO$9,1,AY27))^INT(INT(AY28/12)/INDEX('Lease Cycles'!$CP$9:$CV$9,1,AY27))/12),IF(INDEX('Lease Cycles'!$EF$9:$EL$9,1,AY27)=1,IF(AND('Lease Cycles'!$AZ$9&gt;=INDEX('Lease Cycles'!$BG$9:$BM$9,1,AY27),'Lease Cycles'!$AZ$9&lt;=AY$6),'Lease Cycles'!$C$9*'Lease Cycles'!$BA$9/12,IF(AND('Lease Cycles'!$AX$9&gt;=INDEX('Lease Cycles'!$BG$9:$BM$9,1,AY27),'Lease Cycles'!$AX$9&lt;=AY$6),'Lease Cycles'!$C$9*'Lease Cycles'!$AY$9/12,IF(AND('Lease Cycles'!$AV$9&gt;=INDEX('Lease Cycles'!$BG$9:$BM$9,1,AY27),'Lease Cycles'!$AV$9&lt;=AY$6),'Lease Cycles'!$C$9*'Lease Cycles'!$AW$9/12,IF(AND('Lease Cycles'!$AT$9&gt;=INDEX('Lease Cycles'!$BG$9:$BM$9,1,AY27),'Lease Cycles'!$AT$9&lt;=AY$6),'Lease Cycles'!$C$9*'Lease Cycles'!$AU$9/12,'Lease Cycles'!$C$9*INDEX('Lease Cycles'!$CB$9:$CH$9,1,AY27)*(1+INDEX('Lease Cycles'!$CI$9:$CO$9,1,AY27))^INT(INT(AY28/12)/INDEX('Lease Cycles'!$CP$9:$CV$9,1,AY27))/12)))),'Lease Cycles'!$C$9*INDEX('Lease Cycles'!$CB$9:$CH$9,1,AY27)*(1+INDEX('Lease Cycles'!$CI$9:$CO$9,1,AY27))^INT(INT(AY28/12)/INDEX('Lease Cycles'!$CP$9:$CV$9,1,AY27))/12))),IF('Lease Cycles'!$N$9=1,'Lease Cycles'!$C$9*'Lease Cycles'!$E$9*INDEX('Lease Cycles'!$HE$9:$HK$9,1,AY27)*(1+INDEX('Lease Cycles'!$GQ$9:$GW$9,1,AY27))^INT(INT((AY$6-INDEX('Lease Cycles'!$GJ$9:$GP$9,1,AY27))/12)/INDEX('Lease Cycles'!$GX$9:$HD$9,1,AY27))/12,0)))</f>
        <v>13500</v>
      </c>
      <c r="AZ30" s="28">
        <f>IF(AZ27=0,IF('Lease Cycles'!$F$9&gt;0,'Lease Cycles'!$C$9*'Lease Cycles'!$E$9/12,0),IF(AZ29=1,IF('Lease Cycles'!$AT$9&gt;=9999,'Lease Cycles'!$C$9*INDEX('Lease Cycles'!$CB$9:$CH$9,1,AZ27)*(1+INDEX('Lease Cycles'!$CI$9:$CO$9,1,AZ27))^INT(INT(AZ28/12)/INDEX('Lease Cycles'!$CP$9:$CV$9,1,AZ27))/12,IF(AZ27=1,IF(AZ28&gt;=INDEX('Lease Cycles'!$DK$9:$DQ$9,1,AZ27),IF(AZ$6&gt;='Lease Cycles'!$AZ$9,'Lease Cycles'!$C$9*'Lease Cycles'!$BA$9/12,IF(AZ$6&gt;='Lease Cycles'!$AX$9,'Lease Cycles'!$C$9*'Lease Cycles'!$AY$9/12,IF(AZ$6&gt;='Lease Cycles'!$AV$9,'Lease Cycles'!$C$9*'Lease Cycles'!$AW$9/12,IF(AZ$6&gt;='Lease Cycles'!$AT$9,'Lease Cycles'!$C$9*'Lease Cycles'!$AU$9/12,'Lease Cycles'!$C$9*INDEX('Lease Cycles'!$CB$9:$CH$9,1,AZ27)*(1+INDEX('Lease Cycles'!$CI$9:$CO$9,1,AZ27))^INT(INT(AZ28/12)/INDEX('Lease Cycles'!$CP$9:$CV$9,1,AZ27))/12)))),'Lease Cycles'!$C$9*INDEX('Lease Cycles'!$CB$9:$CH$9,1,AZ27)*(1+INDEX('Lease Cycles'!$CI$9:$CO$9,1,AZ27))^INT(INT(AZ28/12)/INDEX('Lease Cycles'!$CP$9:$CV$9,1,AZ27))/12),IF(INDEX('Lease Cycles'!$EF$9:$EL$9,1,AZ27)=1,IF(AND('Lease Cycles'!$AZ$9&gt;=INDEX('Lease Cycles'!$BG$9:$BM$9,1,AZ27),'Lease Cycles'!$AZ$9&lt;=AZ$6),'Lease Cycles'!$C$9*'Lease Cycles'!$BA$9/12,IF(AND('Lease Cycles'!$AX$9&gt;=INDEX('Lease Cycles'!$BG$9:$BM$9,1,AZ27),'Lease Cycles'!$AX$9&lt;=AZ$6),'Lease Cycles'!$C$9*'Lease Cycles'!$AY$9/12,IF(AND('Lease Cycles'!$AV$9&gt;=INDEX('Lease Cycles'!$BG$9:$BM$9,1,AZ27),'Lease Cycles'!$AV$9&lt;=AZ$6),'Lease Cycles'!$C$9*'Lease Cycles'!$AW$9/12,IF(AND('Lease Cycles'!$AT$9&gt;=INDEX('Lease Cycles'!$BG$9:$BM$9,1,AZ27),'Lease Cycles'!$AT$9&lt;=AZ$6),'Lease Cycles'!$C$9*'Lease Cycles'!$AU$9/12,'Lease Cycles'!$C$9*INDEX('Lease Cycles'!$CB$9:$CH$9,1,AZ27)*(1+INDEX('Lease Cycles'!$CI$9:$CO$9,1,AZ27))^INT(INT(AZ28/12)/INDEX('Lease Cycles'!$CP$9:$CV$9,1,AZ27))/12)))),'Lease Cycles'!$C$9*INDEX('Lease Cycles'!$CB$9:$CH$9,1,AZ27)*(1+INDEX('Lease Cycles'!$CI$9:$CO$9,1,AZ27))^INT(INT(AZ28/12)/INDEX('Lease Cycles'!$CP$9:$CV$9,1,AZ27))/12))),IF('Lease Cycles'!$N$9=1,'Lease Cycles'!$C$9*'Lease Cycles'!$E$9*INDEX('Lease Cycles'!$HE$9:$HK$9,1,AZ27)*(1+INDEX('Lease Cycles'!$GQ$9:$GW$9,1,AZ27))^INT(INT((AZ$6-INDEX('Lease Cycles'!$GJ$9:$GP$9,1,AZ27))/12)/INDEX('Lease Cycles'!$GX$9:$HD$9,1,AZ27))/12,0)))</f>
        <v>13500</v>
      </c>
      <c r="BA30" s="28">
        <f>IF(BA27=0,IF('Lease Cycles'!$F$9&gt;0,'Lease Cycles'!$C$9*'Lease Cycles'!$E$9/12,0),IF(BA29=1,IF('Lease Cycles'!$AT$9&gt;=9999,'Lease Cycles'!$C$9*INDEX('Lease Cycles'!$CB$9:$CH$9,1,BA27)*(1+INDEX('Lease Cycles'!$CI$9:$CO$9,1,BA27))^INT(INT(BA28/12)/INDEX('Lease Cycles'!$CP$9:$CV$9,1,BA27))/12,IF(BA27=1,IF(BA28&gt;=INDEX('Lease Cycles'!$DK$9:$DQ$9,1,BA27),IF(BA$6&gt;='Lease Cycles'!$AZ$9,'Lease Cycles'!$C$9*'Lease Cycles'!$BA$9/12,IF(BA$6&gt;='Lease Cycles'!$AX$9,'Lease Cycles'!$C$9*'Lease Cycles'!$AY$9/12,IF(BA$6&gt;='Lease Cycles'!$AV$9,'Lease Cycles'!$C$9*'Lease Cycles'!$AW$9/12,IF(BA$6&gt;='Lease Cycles'!$AT$9,'Lease Cycles'!$C$9*'Lease Cycles'!$AU$9/12,'Lease Cycles'!$C$9*INDEX('Lease Cycles'!$CB$9:$CH$9,1,BA27)*(1+INDEX('Lease Cycles'!$CI$9:$CO$9,1,BA27))^INT(INT(BA28/12)/INDEX('Lease Cycles'!$CP$9:$CV$9,1,BA27))/12)))),'Lease Cycles'!$C$9*INDEX('Lease Cycles'!$CB$9:$CH$9,1,BA27)*(1+INDEX('Lease Cycles'!$CI$9:$CO$9,1,BA27))^INT(INT(BA28/12)/INDEX('Lease Cycles'!$CP$9:$CV$9,1,BA27))/12),IF(INDEX('Lease Cycles'!$EF$9:$EL$9,1,BA27)=1,IF(AND('Lease Cycles'!$AZ$9&gt;=INDEX('Lease Cycles'!$BG$9:$BM$9,1,BA27),'Lease Cycles'!$AZ$9&lt;=BA$6),'Lease Cycles'!$C$9*'Lease Cycles'!$BA$9/12,IF(AND('Lease Cycles'!$AX$9&gt;=INDEX('Lease Cycles'!$BG$9:$BM$9,1,BA27),'Lease Cycles'!$AX$9&lt;=BA$6),'Lease Cycles'!$C$9*'Lease Cycles'!$AY$9/12,IF(AND('Lease Cycles'!$AV$9&gt;=INDEX('Lease Cycles'!$BG$9:$BM$9,1,BA27),'Lease Cycles'!$AV$9&lt;=BA$6),'Lease Cycles'!$C$9*'Lease Cycles'!$AW$9/12,IF(AND('Lease Cycles'!$AT$9&gt;=INDEX('Lease Cycles'!$BG$9:$BM$9,1,BA27),'Lease Cycles'!$AT$9&lt;=BA$6),'Lease Cycles'!$C$9*'Lease Cycles'!$AU$9/12,'Lease Cycles'!$C$9*INDEX('Lease Cycles'!$CB$9:$CH$9,1,BA27)*(1+INDEX('Lease Cycles'!$CI$9:$CO$9,1,BA27))^INT(INT(BA28/12)/INDEX('Lease Cycles'!$CP$9:$CV$9,1,BA27))/12)))),'Lease Cycles'!$C$9*INDEX('Lease Cycles'!$CB$9:$CH$9,1,BA27)*(1+INDEX('Lease Cycles'!$CI$9:$CO$9,1,BA27))^INT(INT(BA28/12)/INDEX('Lease Cycles'!$CP$9:$CV$9,1,BA27))/12))),IF('Lease Cycles'!$N$9=1,'Lease Cycles'!$C$9*'Lease Cycles'!$E$9*INDEX('Lease Cycles'!$HE$9:$HK$9,1,BA27)*(1+INDEX('Lease Cycles'!$GQ$9:$GW$9,1,BA27))^INT(INT((BA$6-INDEX('Lease Cycles'!$GJ$9:$GP$9,1,BA27))/12)/INDEX('Lease Cycles'!$GX$9:$HD$9,1,BA27))/12,0)))</f>
        <v>13500</v>
      </c>
      <c r="BB30" s="28">
        <f>IF(BB27=0,IF('Lease Cycles'!$F$9&gt;0,'Lease Cycles'!$C$9*'Lease Cycles'!$E$9/12,0),IF(BB29=1,IF('Lease Cycles'!$AT$9&gt;=9999,'Lease Cycles'!$C$9*INDEX('Lease Cycles'!$CB$9:$CH$9,1,BB27)*(1+INDEX('Lease Cycles'!$CI$9:$CO$9,1,BB27))^INT(INT(BB28/12)/INDEX('Lease Cycles'!$CP$9:$CV$9,1,BB27))/12,IF(BB27=1,IF(BB28&gt;=INDEX('Lease Cycles'!$DK$9:$DQ$9,1,BB27),IF(BB$6&gt;='Lease Cycles'!$AZ$9,'Lease Cycles'!$C$9*'Lease Cycles'!$BA$9/12,IF(BB$6&gt;='Lease Cycles'!$AX$9,'Lease Cycles'!$C$9*'Lease Cycles'!$AY$9/12,IF(BB$6&gt;='Lease Cycles'!$AV$9,'Lease Cycles'!$C$9*'Lease Cycles'!$AW$9/12,IF(BB$6&gt;='Lease Cycles'!$AT$9,'Lease Cycles'!$C$9*'Lease Cycles'!$AU$9/12,'Lease Cycles'!$C$9*INDEX('Lease Cycles'!$CB$9:$CH$9,1,BB27)*(1+INDEX('Lease Cycles'!$CI$9:$CO$9,1,BB27))^INT(INT(BB28/12)/INDEX('Lease Cycles'!$CP$9:$CV$9,1,BB27))/12)))),'Lease Cycles'!$C$9*INDEX('Lease Cycles'!$CB$9:$CH$9,1,BB27)*(1+INDEX('Lease Cycles'!$CI$9:$CO$9,1,BB27))^INT(INT(BB28/12)/INDEX('Lease Cycles'!$CP$9:$CV$9,1,BB27))/12),IF(INDEX('Lease Cycles'!$EF$9:$EL$9,1,BB27)=1,IF(AND('Lease Cycles'!$AZ$9&gt;=INDEX('Lease Cycles'!$BG$9:$BM$9,1,BB27),'Lease Cycles'!$AZ$9&lt;=BB$6),'Lease Cycles'!$C$9*'Lease Cycles'!$BA$9/12,IF(AND('Lease Cycles'!$AX$9&gt;=INDEX('Lease Cycles'!$BG$9:$BM$9,1,BB27),'Lease Cycles'!$AX$9&lt;=BB$6),'Lease Cycles'!$C$9*'Lease Cycles'!$AY$9/12,IF(AND('Lease Cycles'!$AV$9&gt;=INDEX('Lease Cycles'!$BG$9:$BM$9,1,BB27),'Lease Cycles'!$AV$9&lt;=BB$6),'Lease Cycles'!$C$9*'Lease Cycles'!$AW$9/12,IF(AND('Lease Cycles'!$AT$9&gt;=INDEX('Lease Cycles'!$BG$9:$BM$9,1,BB27),'Lease Cycles'!$AT$9&lt;=BB$6),'Lease Cycles'!$C$9*'Lease Cycles'!$AU$9/12,'Lease Cycles'!$C$9*INDEX('Lease Cycles'!$CB$9:$CH$9,1,BB27)*(1+INDEX('Lease Cycles'!$CI$9:$CO$9,1,BB27))^INT(INT(BB28/12)/INDEX('Lease Cycles'!$CP$9:$CV$9,1,BB27))/12)))),'Lease Cycles'!$C$9*INDEX('Lease Cycles'!$CB$9:$CH$9,1,BB27)*(1+INDEX('Lease Cycles'!$CI$9:$CO$9,1,BB27))^INT(INT(BB28/12)/INDEX('Lease Cycles'!$CP$9:$CV$9,1,BB27))/12))),IF('Lease Cycles'!$N$9=1,'Lease Cycles'!$C$9*'Lease Cycles'!$E$9*INDEX('Lease Cycles'!$HE$9:$HK$9,1,BB27)*(1+INDEX('Lease Cycles'!$GQ$9:$GW$9,1,BB27))^INT(INT((BB$6-INDEX('Lease Cycles'!$GJ$9:$GP$9,1,BB27))/12)/INDEX('Lease Cycles'!$GX$9:$HD$9,1,BB27))/12,0)))</f>
        <v>13500</v>
      </c>
      <c r="BC30" s="28">
        <f>IF(BC27=0,IF('Lease Cycles'!$F$9&gt;0,'Lease Cycles'!$C$9*'Lease Cycles'!$E$9/12,0),IF(BC29=1,IF('Lease Cycles'!$AT$9&gt;=9999,'Lease Cycles'!$C$9*INDEX('Lease Cycles'!$CB$9:$CH$9,1,BC27)*(1+INDEX('Lease Cycles'!$CI$9:$CO$9,1,BC27))^INT(INT(BC28/12)/INDEX('Lease Cycles'!$CP$9:$CV$9,1,BC27))/12,IF(BC27=1,IF(BC28&gt;=INDEX('Lease Cycles'!$DK$9:$DQ$9,1,BC27),IF(BC$6&gt;='Lease Cycles'!$AZ$9,'Lease Cycles'!$C$9*'Lease Cycles'!$BA$9/12,IF(BC$6&gt;='Lease Cycles'!$AX$9,'Lease Cycles'!$C$9*'Lease Cycles'!$AY$9/12,IF(BC$6&gt;='Lease Cycles'!$AV$9,'Lease Cycles'!$C$9*'Lease Cycles'!$AW$9/12,IF(BC$6&gt;='Lease Cycles'!$AT$9,'Lease Cycles'!$C$9*'Lease Cycles'!$AU$9/12,'Lease Cycles'!$C$9*INDEX('Lease Cycles'!$CB$9:$CH$9,1,BC27)*(1+INDEX('Lease Cycles'!$CI$9:$CO$9,1,BC27))^INT(INT(BC28/12)/INDEX('Lease Cycles'!$CP$9:$CV$9,1,BC27))/12)))),'Lease Cycles'!$C$9*INDEX('Lease Cycles'!$CB$9:$CH$9,1,BC27)*(1+INDEX('Lease Cycles'!$CI$9:$CO$9,1,BC27))^INT(INT(BC28/12)/INDEX('Lease Cycles'!$CP$9:$CV$9,1,BC27))/12),IF(INDEX('Lease Cycles'!$EF$9:$EL$9,1,BC27)=1,IF(AND('Lease Cycles'!$AZ$9&gt;=INDEX('Lease Cycles'!$BG$9:$BM$9,1,BC27),'Lease Cycles'!$AZ$9&lt;=BC$6),'Lease Cycles'!$C$9*'Lease Cycles'!$BA$9/12,IF(AND('Lease Cycles'!$AX$9&gt;=INDEX('Lease Cycles'!$BG$9:$BM$9,1,BC27),'Lease Cycles'!$AX$9&lt;=BC$6),'Lease Cycles'!$C$9*'Lease Cycles'!$AY$9/12,IF(AND('Lease Cycles'!$AV$9&gt;=INDEX('Lease Cycles'!$BG$9:$BM$9,1,BC27),'Lease Cycles'!$AV$9&lt;=BC$6),'Lease Cycles'!$C$9*'Lease Cycles'!$AW$9/12,IF(AND('Lease Cycles'!$AT$9&gt;=INDEX('Lease Cycles'!$BG$9:$BM$9,1,BC27),'Lease Cycles'!$AT$9&lt;=BC$6),'Lease Cycles'!$C$9*'Lease Cycles'!$AU$9/12,'Lease Cycles'!$C$9*INDEX('Lease Cycles'!$CB$9:$CH$9,1,BC27)*(1+INDEX('Lease Cycles'!$CI$9:$CO$9,1,BC27))^INT(INT(BC28/12)/INDEX('Lease Cycles'!$CP$9:$CV$9,1,BC27))/12)))),'Lease Cycles'!$C$9*INDEX('Lease Cycles'!$CB$9:$CH$9,1,BC27)*(1+INDEX('Lease Cycles'!$CI$9:$CO$9,1,BC27))^INT(INT(BC28/12)/INDEX('Lease Cycles'!$CP$9:$CV$9,1,BC27))/12))),IF('Lease Cycles'!$N$9=1,'Lease Cycles'!$C$9*'Lease Cycles'!$E$9*INDEX('Lease Cycles'!$HE$9:$HK$9,1,BC27)*(1+INDEX('Lease Cycles'!$GQ$9:$GW$9,1,BC27))^INT(INT((BC$6-INDEX('Lease Cycles'!$GJ$9:$GP$9,1,BC27))/12)/INDEX('Lease Cycles'!$GX$9:$HD$9,1,BC27))/12,0)))</f>
        <v>13500</v>
      </c>
      <c r="BD30" s="28">
        <f>IF(BD27=0,IF('Lease Cycles'!$F$9&gt;0,'Lease Cycles'!$C$9*'Lease Cycles'!$E$9/12,0),IF(BD29=1,IF('Lease Cycles'!$AT$9&gt;=9999,'Lease Cycles'!$C$9*INDEX('Lease Cycles'!$CB$9:$CH$9,1,BD27)*(1+INDEX('Lease Cycles'!$CI$9:$CO$9,1,BD27))^INT(INT(BD28/12)/INDEX('Lease Cycles'!$CP$9:$CV$9,1,BD27))/12,IF(BD27=1,IF(BD28&gt;=INDEX('Lease Cycles'!$DK$9:$DQ$9,1,BD27),IF(BD$6&gt;='Lease Cycles'!$AZ$9,'Lease Cycles'!$C$9*'Lease Cycles'!$BA$9/12,IF(BD$6&gt;='Lease Cycles'!$AX$9,'Lease Cycles'!$C$9*'Lease Cycles'!$AY$9/12,IF(BD$6&gt;='Lease Cycles'!$AV$9,'Lease Cycles'!$C$9*'Lease Cycles'!$AW$9/12,IF(BD$6&gt;='Lease Cycles'!$AT$9,'Lease Cycles'!$C$9*'Lease Cycles'!$AU$9/12,'Lease Cycles'!$C$9*INDEX('Lease Cycles'!$CB$9:$CH$9,1,BD27)*(1+INDEX('Lease Cycles'!$CI$9:$CO$9,1,BD27))^INT(INT(BD28/12)/INDEX('Lease Cycles'!$CP$9:$CV$9,1,BD27))/12)))),'Lease Cycles'!$C$9*INDEX('Lease Cycles'!$CB$9:$CH$9,1,BD27)*(1+INDEX('Lease Cycles'!$CI$9:$CO$9,1,BD27))^INT(INT(BD28/12)/INDEX('Lease Cycles'!$CP$9:$CV$9,1,BD27))/12),IF(INDEX('Lease Cycles'!$EF$9:$EL$9,1,BD27)=1,IF(AND('Lease Cycles'!$AZ$9&gt;=INDEX('Lease Cycles'!$BG$9:$BM$9,1,BD27),'Lease Cycles'!$AZ$9&lt;=BD$6),'Lease Cycles'!$C$9*'Lease Cycles'!$BA$9/12,IF(AND('Lease Cycles'!$AX$9&gt;=INDEX('Lease Cycles'!$BG$9:$BM$9,1,BD27),'Lease Cycles'!$AX$9&lt;=BD$6),'Lease Cycles'!$C$9*'Lease Cycles'!$AY$9/12,IF(AND('Lease Cycles'!$AV$9&gt;=INDEX('Lease Cycles'!$BG$9:$BM$9,1,BD27),'Lease Cycles'!$AV$9&lt;=BD$6),'Lease Cycles'!$C$9*'Lease Cycles'!$AW$9/12,IF(AND('Lease Cycles'!$AT$9&gt;=INDEX('Lease Cycles'!$BG$9:$BM$9,1,BD27),'Lease Cycles'!$AT$9&lt;=BD$6),'Lease Cycles'!$C$9*'Lease Cycles'!$AU$9/12,'Lease Cycles'!$C$9*INDEX('Lease Cycles'!$CB$9:$CH$9,1,BD27)*(1+INDEX('Lease Cycles'!$CI$9:$CO$9,1,BD27))^INT(INT(BD28/12)/INDEX('Lease Cycles'!$CP$9:$CV$9,1,BD27))/12)))),'Lease Cycles'!$C$9*INDEX('Lease Cycles'!$CB$9:$CH$9,1,BD27)*(1+INDEX('Lease Cycles'!$CI$9:$CO$9,1,BD27))^INT(INT(BD28/12)/INDEX('Lease Cycles'!$CP$9:$CV$9,1,BD27))/12))),IF('Lease Cycles'!$N$9=1,'Lease Cycles'!$C$9*'Lease Cycles'!$E$9*INDEX('Lease Cycles'!$HE$9:$HK$9,1,BD27)*(1+INDEX('Lease Cycles'!$GQ$9:$GW$9,1,BD27))^INT(INT((BD$6-INDEX('Lease Cycles'!$GJ$9:$GP$9,1,BD27))/12)/INDEX('Lease Cycles'!$GX$9:$HD$9,1,BD27))/12,0)))</f>
        <v>13500</v>
      </c>
      <c r="BE30" s="28">
        <f>IF(BE27=0,IF('Lease Cycles'!$F$9&gt;0,'Lease Cycles'!$C$9*'Lease Cycles'!$E$9/12,0),IF(BE29=1,IF('Lease Cycles'!$AT$9&gt;=9999,'Lease Cycles'!$C$9*INDEX('Lease Cycles'!$CB$9:$CH$9,1,BE27)*(1+INDEX('Lease Cycles'!$CI$9:$CO$9,1,BE27))^INT(INT(BE28/12)/INDEX('Lease Cycles'!$CP$9:$CV$9,1,BE27))/12,IF(BE27=1,IF(BE28&gt;=INDEX('Lease Cycles'!$DK$9:$DQ$9,1,BE27),IF(BE$6&gt;='Lease Cycles'!$AZ$9,'Lease Cycles'!$C$9*'Lease Cycles'!$BA$9/12,IF(BE$6&gt;='Lease Cycles'!$AX$9,'Lease Cycles'!$C$9*'Lease Cycles'!$AY$9/12,IF(BE$6&gt;='Lease Cycles'!$AV$9,'Lease Cycles'!$C$9*'Lease Cycles'!$AW$9/12,IF(BE$6&gt;='Lease Cycles'!$AT$9,'Lease Cycles'!$C$9*'Lease Cycles'!$AU$9/12,'Lease Cycles'!$C$9*INDEX('Lease Cycles'!$CB$9:$CH$9,1,BE27)*(1+INDEX('Lease Cycles'!$CI$9:$CO$9,1,BE27))^INT(INT(BE28/12)/INDEX('Lease Cycles'!$CP$9:$CV$9,1,BE27))/12)))),'Lease Cycles'!$C$9*INDEX('Lease Cycles'!$CB$9:$CH$9,1,BE27)*(1+INDEX('Lease Cycles'!$CI$9:$CO$9,1,BE27))^INT(INT(BE28/12)/INDEX('Lease Cycles'!$CP$9:$CV$9,1,BE27))/12),IF(INDEX('Lease Cycles'!$EF$9:$EL$9,1,BE27)=1,IF(AND('Lease Cycles'!$AZ$9&gt;=INDEX('Lease Cycles'!$BG$9:$BM$9,1,BE27),'Lease Cycles'!$AZ$9&lt;=BE$6),'Lease Cycles'!$C$9*'Lease Cycles'!$BA$9/12,IF(AND('Lease Cycles'!$AX$9&gt;=INDEX('Lease Cycles'!$BG$9:$BM$9,1,BE27),'Lease Cycles'!$AX$9&lt;=BE$6),'Lease Cycles'!$C$9*'Lease Cycles'!$AY$9/12,IF(AND('Lease Cycles'!$AV$9&gt;=INDEX('Lease Cycles'!$BG$9:$BM$9,1,BE27),'Lease Cycles'!$AV$9&lt;=BE$6),'Lease Cycles'!$C$9*'Lease Cycles'!$AW$9/12,IF(AND('Lease Cycles'!$AT$9&gt;=INDEX('Lease Cycles'!$BG$9:$BM$9,1,BE27),'Lease Cycles'!$AT$9&lt;=BE$6),'Lease Cycles'!$C$9*'Lease Cycles'!$AU$9/12,'Lease Cycles'!$C$9*INDEX('Lease Cycles'!$CB$9:$CH$9,1,BE27)*(1+INDEX('Lease Cycles'!$CI$9:$CO$9,1,BE27))^INT(INT(BE28/12)/INDEX('Lease Cycles'!$CP$9:$CV$9,1,BE27))/12)))),'Lease Cycles'!$C$9*INDEX('Lease Cycles'!$CB$9:$CH$9,1,BE27)*(1+INDEX('Lease Cycles'!$CI$9:$CO$9,1,BE27))^INT(INT(BE28/12)/INDEX('Lease Cycles'!$CP$9:$CV$9,1,BE27))/12))),IF('Lease Cycles'!$N$9=1,'Lease Cycles'!$C$9*'Lease Cycles'!$E$9*INDEX('Lease Cycles'!$HE$9:$HK$9,1,BE27)*(1+INDEX('Lease Cycles'!$GQ$9:$GW$9,1,BE27))^INT(INT((BE$6-INDEX('Lease Cycles'!$GJ$9:$GP$9,1,BE27))/12)/INDEX('Lease Cycles'!$GX$9:$HD$9,1,BE27))/12,0)))</f>
        <v>13500</v>
      </c>
      <c r="BF30" s="28">
        <f>IF(BF27=0,IF('Lease Cycles'!$F$9&gt;0,'Lease Cycles'!$C$9*'Lease Cycles'!$E$9/12,0),IF(BF29=1,IF('Lease Cycles'!$AT$9&gt;=9999,'Lease Cycles'!$C$9*INDEX('Lease Cycles'!$CB$9:$CH$9,1,BF27)*(1+INDEX('Lease Cycles'!$CI$9:$CO$9,1,BF27))^INT(INT(BF28/12)/INDEX('Lease Cycles'!$CP$9:$CV$9,1,BF27))/12,IF(BF27=1,IF(BF28&gt;=INDEX('Lease Cycles'!$DK$9:$DQ$9,1,BF27),IF(BF$6&gt;='Lease Cycles'!$AZ$9,'Lease Cycles'!$C$9*'Lease Cycles'!$BA$9/12,IF(BF$6&gt;='Lease Cycles'!$AX$9,'Lease Cycles'!$C$9*'Lease Cycles'!$AY$9/12,IF(BF$6&gt;='Lease Cycles'!$AV$9,'Lease Cycles'!$C$9*'Lease Cycles'!$AW$9/12,IF(BF$6&gt;='Lease Cycles'!$AT$9,'Lease Cycles'!$C$9*'Lease Cycles'!$AU$9/12,'Lease Cycles'!$C$9*INDEX('Lease Cycles'!$CB$9:$CH$9,1,BF27)*(1+INDEX('Lease Cycles'!$CI$9:$CO$9,1,BF27))^INT(INT(BF28/12)/INDEX('Lease Cycles'!$CP$9:$CV$9,1,BF27))/12)))),'Lease Cycles'!$C$9*INDEX('Lease Cycles'!$CB$9:$CH$9,1,BF27)*(1+INDEX('Lease Cycles'!$CI$9:$CO$9,1,BF27))^INT(INT(BF28/12)/INDEX('Lease Cycles'!$CP$9:$CV$9,1,BF27))/12),IF(INDEX('Lease Cycles'!$EF$9:$EL$9,1,BF27)=1,IF(AND('Lease Cycles'!$AZ$9&gt;=INDEX('Lease Cycles'!$BG$9:$BM$9,1,BF27),'Lease Cycles'!$AZ$9&lt;=BF$6),'Lease Cycles'!$C$9*'Lease Cycles'!$BA$9/12,IF(AND('Lease Cycles'!$AX$9&gt;=INDEX('Lease Cycles'!$BG$9:$BM$9,1,BF27),'Lease Cycles'!$AX$9&lt;=BF$6),'Lease Cycles'!$C$9*'Lease Cycles'!$AY$9/12,IF(AND('Lease Cycles'!$AV$9&gt;=INDEX('Lease Cycles'!$BG$9:$BM$9,1,BF27),'Lease Cycles'!$AV$9&lt;=BF$6),'Lease Cycles'!$C$9*'Lease Cycles'!$AW$9/12,IF(AND('Lease Cycles'!$AT$9&gt;=INDEX('Lease Cycles'!$BG$9:$BM$9,1,BF27),'Lease Cycles'!$AT$9&lt;=BF$6),'Lease Cycles'!$C$9*'Lease Cycles'!$AU$9/12,'Lease Cycles'!$C$9*INDEX('Lease Cycles'!$CB$9:$CH$9,1,BF27)*(1+INDEX('Lease Cycles'!$CI$9:$CO$9,1,BF27))^INT(INT(BF28/12)/INDEX('Lease Cycles'!$CP$9:$CV$9,1,BF27))/12)))),'Lease Cycles'!$C$9*INDEX('Lease Cycles'!$CB$9:$CH$9,1,BF27)*(1+INDEX('Lease Cycles'!$CI$9:$CO$9,1,BF27))^INT(INT(BF28/12)/INDEX('Lease Cycles'!$CP$9:$CV$9,1,BF27))/12))),IF('Lease Cycles'!$N$9=1,'Lease Cycles'!$C$9*'Lease Cycles'!$E$9*INDEX('Lease Cycles'!$HE$9:$HK$9,1,BF27)*(1+INDEX('Lease Cycles'!$GQ$9:$GW$9,1,BF27))^INT(INT((BF$6-INDEX('Lease Cycles'!$GJ$9:$GP$9,1,BF27))/12)/INDEX('Lease Cycles'!$GX$9:$HD$9,1,BF27))/12,0)))</f>
        <v>13500</v>
      </c>
      <c r="BG30" s="28">
        <f>IF(BG27=0,IF('Lease Cycles'!$F$9&gt;0,'Lease Cycles'!$C$9*'Lease Cycles'!$E$9/12,0),IF(BG29=1,IF('Lease Cycles'!$AT$9&gt;=9999,'Lease Cycles'!$C$9*INDEX('Lease Cycles'!$CB$9:$CH$9,1,BG27)*(1+INDEX('Lease Cycles'!$CI$9:$CO$9,1,BG27))^INT(INT(BG28/12)/INDEX('Lease Cycles'!$CP$9:$CV$9,1,BG27))/12,IF(BG27=1,IF(BG28&gt;=INDEX('Lease Cycles'!$DK$9:$DQ$9,1,BG27),IF(BG$6&gt;='Lease Cycles'!$AZ$9,'Lease Cycles'!$C$9*'Lease Cycles'!$BA$9/12,IF(BG$6&gt;='Lease Cycles'!$AX$9,'Lease Cycles'!$C$9*'Lease Cycles'!$AY$9/12,IF(BG$6&gt;='Lease Cycles'!$AV$9,'Lease Cycles'!$C$9*'Lease Cycles'!$AW$9/12,IF(BG$6&gt;='Lease Cycles'!$AT$9,'Lease Cycles'!$C$9*'Lease Cycles'!$AU$9/12,'Lease Cycles'!$C$9*INDEX('Lease Cycles'!$CB$9:$CH$9,1,BG27)*(1+INDEX('Lease Cycles'!$CI$9:$CO$9,1,BG27))^INT(INT(BG28/12)/INDEX('Lease Cycles'!$CP$9:$CV$9,1,BG27))/12)))),'Lease Cycles'!$C$9*INDEX('Lease Cycles'!$CB$9:$CH$9,1,BG27)*(1+INDEX('Lease Cycles'!$CI$9:$CO$9,1,BG27))^INT(INT(BG28/12)/INDEX('Lease Cycles'!$CP$9:$CV$9,1,BG27))/12),IF(INDEX('Lease Cycles'!$EF$9:$EL$9,1,BG27)=1,IF(AND('Lease Cycles'!$AZ$9&gt;=INDEX('Lease Cycles'!$BG$9:$BM$9,1,BG27),'Lease Cycles'!$AZ$9&lt;=BG$6),'Lease Cycles'!$C$9*'Lease Cycles'!$BA$9/12,IF(AND('Lease Cycles'!$AX$9&gt;=INDEX('Lease Cycles'!$BG$9:$BM$9,1,BG27),'Lease Cycles'!$AX$9&lt;=BG$6),'Lease Cycles'!$C$9*'Lease Cycles'!$AY$9/12,IF(AND('Lease Cycles'!$AV$9&gt;=INDEX('Lease Cycles'!$BG$9:$BM$9,1,BG27),'Lease Cycles'!$AV$9&lt;=BG$6),'Lease Cycles'!$C$9*'Lease Cycles'!$AW$9/12,IF(AND('Lease Cycles'!$AT$9&gt;=INDEX('Lease Cycles'!$BG$9:$BM$9,1,BG27),'Lease Cycles'!$AT$9&lt;=BG$6),'Lease Cycles'!$C$9*'Lease Cycles'!$AU$9/12,'Lease Cycles'!$C$9*INDEX('Lease Cycles'!$CB$9:$CH$9,1,BG27)*(1+INDEX('Lease Cycles'!$CI$9:$CO$9,1,BG27))^INT(INT(BG28/12)/INDEX('Lease Cycles'!$CP$9:$CV$9,1,BG27))/12)))),'Lease Cycles'!$C$9*INDEX('Lease Cycles'!$CB$9:$CH$9,1,BG27)*(1+INDEX('Lease Cycles'!$CI$9:$CO$9,1,BG27))^INT(INT(BG28/12)/INDEX('Lease Cycles'!$CP$9:$CV$9,1,BG27))/12))),IF('Lease Cycles'!$N$9=1,'Lease Cycles'!$C$9*'Lease Cycles'!$E$9*INDEX('Lease Cycles'!$HE$9:$HK$9,1,BG27)*(1+INDEX('Lease Cycles'!$GQ$9:$GW$9,1,BG27))^INT(INT((BG$6-INDEX('Lease Cycles'!$GJ$9:$GP$9,1,BG27))/12)/INDEX('Lease Cycles'!$GX$9:$HD$9,1,BG27))/12,0)))</f>
        <v>13500</v>
      </c>
      <c r="BH30" s="28">
        <f>IF(BH27=0,IF('Lease Cycles'!$F$9&gt;0,'Lease Cycles'!$C$9*'Lease Cycles'!$E$9/12,0),IF(BH29=1,IF('Lease Cycles'!$AT$9&gt;=9999,'Lease Cycles'!$C$9*INDEX('Lease Cycles'!$CB$9:$CH$9,1,BH27)*(1+INDEX('Lease Cycles'!$CI$9:$CO$9,1,BH27))^INT(INT(BH28/12)/INDEX('Lease Cycles'!$CP$9:$CV$9,1,BH27))/12,IF(BH27=1,IF(BH28&gt;=INDEX('Lease Cycles'!$DK$9:$DQ$9,1,BH27),IF(BH$6&gt;='Lease Cycles'!$AZ$9,'Lease Cycles'!$C$9*'Lease Cycles'!$BA$9/12,IF(BH$6&gt;='Lease Cycles'!$AX$9,'Lease Cycles'!$C$9*'Lease Cycles'!$AY$9/12,IF(BH$6&gt;='Lease Cycles'!$AV$9,'Lease Cycles'!$C$9*'Lease Cycles'!$AW$9/12,IF(BH$6&gt;='Lease Cycles'!$AT$9,'Lease Cycles'!$C$9*'Lease Cycles'!$AU$9/12,'Lease Cycles'!$C$9*INDEX('Lease Cycles'!$CB$9:$CH$9,1,BH27)*(1+INDEX('Lease Cycles'!$CI$9:$CO$9,1,BH27))^INT(INT(BH28/12)/INDEX('Lease Cycles'!$CP$9:$CV$9,1,BH27))/12)))),'Lease Cycles'!$C$9*INDEX('Lease Cycles'!$CB$9:$CH$9,1,BH27)*(1+INDEX('Lease Cycles'!$CI$9:$CO$9,1,BH27))^INT(INT(BH28/12)/INDEX('Lease Cycles'!$CP$9:$CV$9,1,BH27))/12),IF(INDEX('Lease Cycles'!$EF$9:$EL$9,1,BH27)=1,IF(AND('Lease Cycles'!$AZ$9&gt;=INDEX('Lease Cycles'!$BG$9:$BM$9,1,BH27),'Lease Cycles'!$AZ$9&lt;=BH$6),'Lease Cycles'!$C$9*'Lease Cycles'!$BA$9/12,IF(AND('Lease Cycles'!$AX$9&gt;=INDEX('Lease Cycles'!$BG$9:$BM$9,1,BH27),'Lease Cycles'!$AX$9&lt;=BH$6),'Lease Cycles'!$C$9*'Lease Cycles'!$AY$9/12,IF(AND('Lease Cycles'!$AV$9&gt;=INDEX('Lease Cycles'!$BG$9:$BM$9,1,BH27),'Lease Cycles'!$AV$9&lt;=BH$6),'Lease Cycles'!$C$9*'Lease Cycles'!$AW$9/12,IF(AND('Lease Cycles'!$AT$9&gt;=INDEX('Lease Cycles'!$BG$9:$BM$9,1,BH27),'Lease Cycles'!$AT$9&lt;=BH$6),'Lease Cycles'!$C$9*'Lease Cycles'!$AU$9/12,'Lease Cycles'!$C$9*INDEX('Lease Cycles'!$CB$9:$CH$9,1,BH27)*(1+INDEX('Lease Cycles'!$CI$9:$CO$9,1,BH27))^INT(INT(BH28/12)/INDEX('Lease Cycles'!$CP$9:$CV$9,1,BH27))/12)))),'Lease Cycles'!$C$9*INDEX('Lease Cycles'!$CB$9:$CH$9,1,BH27)*(1+INDEX('Lease Cycles'!$CI$9:$CO$9,1,BH27))^INT(INT(BH28/12)/INDEX('Lease Cycles'!$CP$9:$CV$9,1,BH27))/12))),IF('Lease Cycles'!$N$9=1,'Lease Cycles'!$C$9*'Lease Cycles'!$E$9*INDEX('Lease Cycles'!$HE$9:$HK$9,1,BH27)*(1+INDEX('Lease Cycles'!$GQ$9:$GW$9,1,BH27))^INT(INT((BH$6-INDEX('Lease Cycles'!$GJ$9:$GP$9,1,BH27))/12)/INDEX('Lease Cycles'!$GX$9:$HD$9,1,BH27))/12,0)))</f>
        <v>13500</v>
      </c>
      <c r="BI30" s="28">
        <f>IF(BI27=0,IF('Lease Cycles'!$F$9&gt;0,'Lease Cycles'!$C$9*'Lease Cycles'!$E$9/12,0),IF(BI29=1,IF('Lease Cycles'!$AT$9&gt;=9999,'Lease Cycles'!$C$9*INDEX('Lease Cycles'!$CB$9:$CH$9,1,BI27)*(1+INDEX('Lease Cycles'!$CI$9:$CO$9,1,BI27))^INT(INT(BI28/12)/INDEX('Lease Cycles'!$CP$9:$CV$9,1,BI27))/12,IF(BI27=1,IF(BI28&gt;=INDEX('Lease Cycles'!$DK$9:$DQ$9,1,BI27),IF(BI$6&gt;='Lease Cycles'!$AZ$9,'Lease Cycles'!$C$9*'Lease Cycles'!$BA$9/12,IF(BI$6&gt;='Lease Cycles'!$AX$9,'Lease Cycles'!$C$9*'Lease Cycles'!$AY$9/12,IF(BI$6&gt;='Lease Cycles'!$AV$9,'Lease Cycles'!$C$9*'Lease Cycles'!$AW$9/12,IF(BI$6&gt;='Lease Cycles'!$AT$9,'Lease Cycles'!$C$9*'Lease Cycles'!$AU$9/12,'Lease Cycles'!$C$9*INDEX('Lease Cycles'!$CB$9:$CH$9,1,BI27)*(1+INDEX('Lease Cycles'!$CI$9:$CO$9,1,BI27))^INT(INT(BI28/12)/INDEX('Lease Cycles'!$CP$9:$CV$9,1,BI27))/12)))),'Lease Cycles'!$C$9*INDEX('Lease Cycles'!$CB$9:$CH$9,1,BI27)*(1+INDEX('Lease Cycles'!$CI$9:$CO$9,1,BI27))^INT(INT(BI28/12)/INDEX('Lease Cycles'!$CP$9:$CV$9,1,BI27))/12),IF(INDEX('Lease Cycles'!$EF$9:$EL$9,1,BI27)=1,IF(AND('Lease Cycles'!$AZ$9&gt;=INDEX('Lease Cycles'!$BG$9:$BM$9,1,BI27),'Lease Cycles'!$AZ$9&lt;=BI$6),'Lease Cycles'!$C$9*'Lease Cycles'!$BA$9/12,IF(AND('Lease Cycles'!$AX$9&gt;=INDEX('Lease Cycles'!$BG$9:$BM$9,1,BI27),'Lease Cycles'!$AX$9&lt;=BI$6),'Lease Cycles'!$C$9*'Lease Cycles'!$AY$9/12,IF(AND('Lease Cycles'!$AV$9&gt;=INDEX('Lease Cycles'!$BG$9:$BM$9,1,BI27),'Lease Cycles'!$AV$9&lt;=BI$6),'Lease Cycles'!$C$9*'Lease Cycles'!$AW$9/12,IF(AND('Lease Cycles'!$AT$9&gt;=INDEX('Lease Cycles'!$BG$9:$BM$9,1,BI27),'Lease Cycles'!$AT$9&lt;=BI$6),'Lease Cycles'!$C$9*'Lease Cycles'!$AU$9/12,'Lease Cycles'!$C$9*INDEX('Lease Cycles'!$CB$9:$CH$9,1,BI27)*(1+INDEX('Lease Cycles'!$CI$9:$CO$9,1,BI27))^INT(INT(BI28/12)/INDEX('Lease Cycles'!$CP$9:$CV$9,1,BI27))/12)))),'Lease Cycles'!$C$9*INDEX('Lease Cycles'!$CB$9:$CH$9,1,BI27)*(1+INDEX('Lease Cycles'!$CI$9:$CO$9,1,BI27))^INT(INT(BI28/12)/INDEX('Lease Cycles'!$CP$9:$CV$9,1,BI27))/12))),IF('Lease Cycles'!$N$9=1,'Lease Cycles'!$C$9*'Lease Cycles'!$E$9*INDEX('Lease Cycles'!$HE$9:$HK$9,1,BI27)*(1+INDEX('Lease Cycles'!$GQ$9:$GW$9,1,BI27))^INT(INT((BI$6-INDEX('Lease Cycles'!$GJ$9:$GP$9,1,BI27))/12)/INDEX('Lease Cycles'!$GX$9:$HD$9,1,BI27))/12,0)))</f>
        <v>13500</v>
      </c>
      <c r="BJ30" s="28">
        <f>IF(BJ27=0,IF('Lease Cycles'!$F$9&gt;0,'Lease Cycles'!$C$9*'Lease Cycles'!$E$9/12,0),IF(BJ29=1,IF('Lease Cycles'!$AT$9&gt;=9999,'Lease Cycles'!$C$9*INDEX('Lease Cycles'!$CB$9:$CH$9,1,BJ27)*(1+INDEX('Lease Cycles'!$CI$9:$CO$9,1,BJ27))^INT(INT(BJ28/12)/INDEX('Lease Cycles'!$CP$9:$CV$9,1,BJ27))/12,IF(BJ27=1,IF(BJ28&gt;=INDEX('Lease Cycles'!$DK$9:$DQ$9,1,BJ27),IF(BJ$6&gt;='Lease Cycles'!$AZ$9,'Lease Cycles'!$C$9*'Lease Cycles'!$BA$9/12,IF(BJ$6&gt;='Lease Cycles'!$AX$9,'Lease Cycles'!$C$9*'Lease Cycles'!$AY$9/12,IF(BJ$6&gt;='Lease Cycles'!$AV$9,'Lease Cycles'!$C$9*'Lease Cycles'!$AW$9/12,IF(BJ$6&gt;='Lease Cycles'!$AT$9,'Lease Cycles'!$C$9*'Lease Cycles'!$AU$9/12,'Lease Cycles'!$C$9*INDEX('Lease Cycles'!$CB$9:$CH$9,1,BJ27)*(1+INDEX('Lease Cycles'!$CI$9:$CO$9,1,BJ27))^INT(INT(BJ28/12)/INDEX('Lease Cycles'!$CP$9:$CV$9,1,BJ27))/12)))),'Lease Cycles'!$C$9*INDEX('Lease Cycles'!$CB$9:$CH$9,1,BJ27)*(1+INDEX('Lease Cycles'!$CI$9:$CO$9,1,BJ27))^INT(INT(BJ28/12)/INDEX('Lease Cycles'!$CP$9:$CV$9,1,BJ27))/12),IF(INDEX('Lease Cycles'!$EF$9:$EL$9,1,BJ27)=1,IF(AND('Lease Cycles'!$AZ$9&gt;=INDEX('Lease Cycles'!$BG$9:$BM$9,1,BJ27),'Lease Cycles'!$AZ$9&lt;=BJ$6),'Lease Cycles'!$C$9*'Lease Cycles'!$BA$9/12,IF(AND('Lease Cycles'!$AX$9&gt;=INDEX('Lease Cycles'!$BG$9:$BM$9,1,BJ27),'Lease Cycles'!$AX$9&lt;=BJ$6),'Lease Cycles'!$C$9*'Lease Cycles'!$AY$9/12,IF(AND('Lease Cycles'!$AV$9&gt;=INDEX('Lease Cycles'!$BG$9:$BM$9,1,BJ27),'Lease Cycles'!$AV$9&lt;=BJ$6),'Lease Cycles'!$C$9*'Lease Cycles'!$AW$9/12,IF(AND('Lease Cycles'!$AT$9&gt;=INDEX('Lease Cycles'!$BG$9:$BM$9,1,BJ27),'Lease Cycles'!$AT$9&lt;=BJ$6),'Lease Cycles'!$C$9*'Lease Cycles'!$AU$9/12,'Lease Cycles'!$C$9*INDEX('Lease Cycles'!$CB$9:$CH$9,1,BJ27)*(1+INDEX('Lease Cycles'!$CI$9:$CO$9,1,BJ27))^INT(INT(BJ28/12)/INDEX('Lease Cycles'!$CP$9:$CV$9,1,BJ27))/12)))),'Lease Cycles'!$C$9*INDEX('Lease Cycles'!$CB$9:$CH$9,1,BJ27)*(1+INDEX('Lease Cycles'!$CI$9:$CO$9,1,BJ27))^INT(INT(BJ28/12)/INDEX('Lease Cycles'!$CP$9:$CV$9,1,BJ27))/12))),IF('Lease Cycles'!$N$9=1,'Lease Cycles'!$C$9*'Lease Cycles'!$E$9*INDEX('Lease Cycles'!$HE$9:$HK$9,1,BJ27)*(1+INDEX('Lease Cycles'!$GQ$9:$GW$9,1,BJ27))^INT(INT((BJ$6-INDEX('Lease Cycles'!$GJ$9:$GP$9,1,BJ27))/12)/INDEX('Lease Cycles'!$GX$9:$HD$9,1,BJ27))/12,0)))</f>
        <v>13500</v>
      </c>
      <c r="BK30" s="28">
        <f>IF(BK27=0,IF('Lease Cycles'!$F$9&gt;0,'Lease Cycles'!$C$9*'Lease Cycles'!$E$9/12,0),IF(BK29=1,IF('Lease Cycles'!$AT$9&gt;=9999,'Lease Cycles'!$C$9*INDEX('Lease Cycles'!$CB$9:$CH$9,1,BK27)*(1+INDEX('Lease Cycles'!$CI$9:$CO$9,1,BK27))^INT(INT(BK28/12)/INDEX('Lease Cycles'!$CP$9:$CV$9,1,BK27))/12,IF(BK27=1,IF(BK28&gt;=INDEX('Lease Cycles'!$DK$9:$DQ$9,1,BK27),IF(BK$6&gt;='Lease Cycles'!$AZ$9,'Lease Cycles'!$C$9*'Lease Cycles'!$BA$9/12,IF(BK$6&gt;='Lease Cycles'!$AX$9,'Lease Cycles'!$C$9*'Lease Cycles'!$AY$9/12,IF(BK$6&gt;='Lease Cycles'!$AV$9,'Lease Cycles'!$C$9*'Lease Cycles'!$AW$9/12,IF(BK$6&gt;='Lease Cycles'!$AT$9,'Lease Cycles'!$C$9*'Lease Cycles'!$AU$9/12,'Lease Cycles'!$C$9*INDEX('Lease Cycles'!$CB$9:$CH$9,1,BK27)*(1+INDEX('Lease Cycles'!$CI$9:$CO$9,1,BK27))^INT(INT(BK28/12)/INDEX('Lease Cycles'!$CP$9:$CV$9,1,BK27))/12)))),'Lease Cycles'!$C$9*INDEX('Lease Cycles'!$CB$9:$CH$9,1,BK27)*(1+INDEX('Lease Cycles'!$CI$9:$CO$9,1,BK27))^INT(INT(BK28/12)/INDEX('Lease Cycles'!$CP$9:$CV$9,1,BK27))/12),IF(INDEX('Lease Cycles'!$EF$9:$EL$9,1,BK27)=1,IF(AND('Lease Cycles'!$AZ$9&gt;=INDEX('Lease Cycles'!$BG$9:$BM$9,1,BK27),'Lease Cycles'!$AZ$9&lt;=BK$6),'Lease Cycles'!$C$9*'Lease Cycles'!$BA$9/12,IF(AND('Lease Cycles'!$AX$9&gt;=INDEX('Lease Cycles'!$BG$9:$BM$9,1,BK27),'Lease Cycles'!$AX$9&lt;=BK$6),'Lease Cycles'!$C$9*'Lease Cycles'!$AY$9/12,IF(AND('Lease Cycles'!$AV$9&gt;=INDEX('Lease Cycles'!$BG$9:$BM$9,1,BK27),'Lease Cycles'!$AV$9&lt;=BK$6),'Lease Cycles'!$C$9*'Lease Cycles'!$AW$9/12,IF(AND('Lease Cycles'!$AT$9&gt;=INDEX('Lease Cycles'!$BG$9:$BM$9,1,BK27),'Lease Cycles'!$AT$9&lt;=BK$6),'Lease Cycles'!$C$9*'Lease Cycles'!$AU$9/12,'Lease Cycles'!$C$9*INDEX('Lease Cycles'!$CB$9:$CH$9,1,BK27)*(1+INDEX('Lease Cycles'!$CI$9:$CO$9,1,BK27))^INT(INT(BK28/12)/INDEX('Lease Cycles'!$CP$9:$CV$9,1,BK27))/12)))),'Lease Cycles'!$C$9*INDEX('Lease Cycles'!$CB$9:$CH$9,1,BK27)*(1+INDEX('Lease Cycles'!$CI$9:$CO$9,1,BK27))^INT(INT(BK28/12)/INDEX('Lease Cycles'!$CP$9:$CV$9,1,BK27))/12))),IF('Lease Cycles'!$N$9=1,'Lease Cycles'!$C$9*'Lease Cycles'!$E$9*INDEX('Lease Cycles'!$HE$9:$HK$9,1,BK27)*(1+INDEX('Lease Cycles'!$GQ$9:$GW$9,1,BK27))^INT(INT((BK$6-INDEX('Lease Cycles'!$GJ$9:$GP$9,1,BK27))/12)/INDEX('Lease Cycles'!$GX$9:$HD$9,1,BK27))/12,0)))</f>
        <v>13500</v>
      </c>
      <c r="BL30" s="28">
        <f>IF(BL27=0,IF('Lease Cycles'!$F$9&gt;0,'Lease Cycles'!$C$9*'Lease Cycles'!$E$9/12,0),IF(BL29=1,IF('Lease Cycles'!$AT$9&gt;=9999,'Lease Cycles'!$C$9*INDEX('Lease Cycles'!$CB$9:$CH$9,1,BL27)*(1+INDEX('Lease Cycles'!$CI$9:$CO$9,1,BL27))^INT(INT(BL28/12)/INDEX('Lease Cycles'!$CP$9:$CV$9,1,BL27))/12,IF(BL27=1,IF(BL28&gt;=INDEX('Lease Cycles'!$DK$9:$DQ$9,1,BL27),IF(BL$6&gt;='Lease Cycles'!$AZ$9,'Lease Cycles'!$C$9*'Lease Cycles'!$BA$9/12,IF(BL$6&gt;='Lease Cycles'!$AX$9,'Lease Cycles'!$C$9*'Lease Cycles'!$AY$9/12,IF(BL$6&gt;='Lease Cycles'!$AV$9,'Lease Cycles'!$C$9*'Lease Cycles'!$AW$9/12,IF(BL$6&gt;='Lease Cycles'!$AT$9,'Lease Cycles'!$C$9*'Lease Cycles'!$AU$9/12,'Lease Cycles'!$C$9*INDEX('Lease Cycles'!$CB$9:$CH$9,1,BL27)*(1+INDEX('Lease Cycles'!$CI$9:$CO$9,1,BL27))^INT(INT(BL28/12)/INDEX('Lease Cycles'!$CP$9:$CV$9,1,BL27))/12)))),'Lease Cycles'!$C$9*INDEX('Lease Cycles'!$CB$9:$CH$9,1,BL27)*(1+INDEX('Lease Cycles'!$CI$9:$CO$9,1,BL27))^INT(INT(BL28/12)/INDEX('Lease Cycles'!$CP$9:$CV$9,1,BL27))/12),IF(INDEX('Lease Cycles'!$EF$9:$EL$9,1,BL27)=1,IF(AND('Lease Cycles'!$AZ$9&gt;=INDEX('Lease Cycles'!$BG$9:$BM$9,1,BL27),'Lease Cycles'!$AZ$9&lt;=BL$6),'Lease Cycles'!$C$9*'Lease Cycles'!$BA$9/12,IF(AND('Lease Cycles'!$AX$9&gt;=INDEX('Lease Cycles'!$BG$9:$BM$9,1,BL27),'Lease Cycles'!$AX$9&lt;=BL$6),'Lease Cycles'!$C$9*'Lease Cycles'!$AY$9/12,IF(AND('Lease Cycles'!$AV$9&gt;=INDEX('Lease Cycles'!$BG$9:$BM$9,1,BL27),'Lease Cycles'!$AV$9&lt;=BL$6),'Lease Cycles'!$C$9*'Lease Cycles'!$AW$9/12,IF(AND('Lease Cycles'!$AT$9&gt;=INDEX('Lease Cycles'!$BG$9:$BM$9,1,BL27),'Lease Cycles'!$AT$9&lt;=BL$6),'Lease Cycles'!$C$9*'Lease Cycles'!$AU$9/12,'Lease Cycles'!$C$9*INDEX('Lease Cycles'!$CB$9:$CH$9,1,BL27)*(1+INDEX('Lease Cycles'!$CI$9:$CO$9,1,BL27))^INT(INT(BL28/12)/INDEX('Lease Cycles'!$CP$9:$CV$9,1,BL27))/12)))),'Lease Cycles'!$C$9*INDEX('Lease Cycles'!$CB$9:$CH$9,1,BL27)*(1+INDEX('Lease Cycles'!$CI$9:$CO$9,1,BL27))^INT(INT(BL28/12)/INDEX('Lease Cycles'!$CP$9:$CV$9,1,BL27))/12))),IF('Lease Cycles'!$N$9=1,'Lease Cycles'!$C$9*'Lease Cycles'!$E$9*INDEX('Lease Cycles'!$HE$9:$HK$9,1,BL27)*(1+INDEX('Lease Cycles'!$GQ$9:$GW$9,1,BL27))^INT(INT((BL$6-INDEX('Lease Cycles'!$GJ$9:$GP$9,1,BL27))/12)/INDEX('Lease Cycles'!$GX$9:$HD$9,1,BL27))/12,0)))</f>
        <v>13500</v>
      </c>
      <c r="BM30" s="28">
        <f>IF(BM27=0,IF('Lease Cycles'!$F$9&gt;0,'Lease Cycles'!$C$9*'Lease Cycles'!$E$9/12,0),IF(BM29=1,IF('Lease Cycles'!$AT$9&gt;=9999,'Lease Cycles'!$C$9*INDEX('Lease Cycles'!$CB$9:$CH$9,1,BM27)*(1+INDEX('Lease Cycles'!$CI$9:$CO$9,1,BM27))^INT(INT(BM28/12)/INDEX('Lease Cycles'!$CP$9:$CV$9,1,BM27))/12,IF(BM27=1,IF(BM28&gt;=INDEX('Lease Cycles'!$DK$9:$DQ$9,1,BM27),IF(BM$6&gt;='Lease Cycles'!$AZ$9,'Lease Cycles'!$C$9*'Lease Cycles'!$BA$9/12,IF(BM$6&gt;='Lease Cycles'!$AX$9,'Lease Cycles'!$C$9*'Lease Cycles'!$AY$9/12,IF(BM$6&gt;='Lease Cycles'!$AV$9,'Lease Cycles'!$C$9*'Lease Cycles'!$AW$9/12,IF(BM$6&gt;='Lease Cycles'!$AT$9,'Lease Cycles'!$C$9*'Lease Cycles'!$AU$9/12,'Lease Cycles'!$C$9*INDEX('Lease Cycles'!$CB$9:$CH$9,1,BM27)*(1+INDEX('Lease Cycles'!$CI$9:$CO$9,1,BM27))^INT(INT(BM28/12)/INDEX('Lease Cycles'!$CP$9:$CV$9,1,BM27))/12)))),'Lease Cycles'!$C$9*INDEX('Lease Cycles'!$CB$9:$CH$9,1,BM27)*(1+INDEX('Lease Cycles'!$CI$9:$CO$9,1,BM27))^INT(INT(BM28/12)/INDEX('Lease Cycles'!$CP$9:$CV$9,1,BM27))/12),IF(INDEX('Lease Cycles'!$EF$9:$EL$9,1,BM27)=1,IF(AND('Lease Cycles'!$AZ$9&gt;=INDEX('Lease Cycles'!$BG$9:$BM$9,1,BM27),'Lease Cycles'!$AZ$9&lt;=BM$6),'Lease Cycles'!$C$9*'Lease Cycles'!$BA$9/12,IF(AND('Lease Cycles'!$AX$9&gt;=INDEX('Lease Cycles'!$BG$9:$BM$9,1,BM27),'Lease Cycles'!$AX$9&lt;=BM$6),'Lease Cycles'!$C$9*'Lease Cycles'!$AY$9/12,IF(AND('Lease Cycles'!$AV$9&gt;=INDEX('Lease Cycles'!$BG$9:$BM$9,1,BM27),'Lease Cycles'!$AV$9&lt;=BM$6),'Lease Cycles'!$C$9*'Lease Cycles'!$AW$9/12,IF(AND('Lease Cycles'!$AT$9&gt;=INDEX('Lease Cycles'!$BG$9:$BM$9,1,BM27),'Lease Cycles'!$AT$9&lt;=BM$6),'Lease Cycles'!$C$9*'Lease Cycles'!$AU$9/12,'Lease Cycles'!$C$9*INDEX('Lease Cycles'!$CB$9:$CH$9,1,BM27)*(1+INDEX('Lease Cycles'!$CI$9:$CO$9,1,BM27))^INT(INT(BM28/12)/INDEX('Lease Cycles'!$CP$9:$CV$9,1,BM27))/12)))),'Lease Cycles'!$C$9*INDEX('Lease Cycles'!$CB$9:$CH$9,1,BM27)*(1+INDEX('Lease Cycles'!$CI$9:$CO$9,1,BM27))^INT(INT(BM28/12)/INDEX('Lease Cycles'!$CP$9:$CV$9,1,BM27))/12))),IF('Lease Cycles'!$N$9=1,'Lease Cycles'!$C$9*'Lease Cycles'!$E$9*INDEX('Lease Cycles'!$HE$9:$HK$9,1,BM27)*(1+INDEX('Lease Cycles'!$GQ$9:$GW$9,1,BM27))^INT(INT((BM$6-INDEX('Lease Cycles'!$GJ$9:$GP$9,1,BM27))/12)/INDEX('Lease Cycles'!$GX$9:$HD$9,1,BM27))/12,0)))</f>
        <v>13500</v>
      </c>
      <c r="BN30" s="28">
        <f>IF(BN27=0,IF('Lease Cycles'!$F$9&gt;0,'Lease Cycles'!$C$9*'Lease Cycles'!$E$9/12,0),IF(BN29=1,IF('Lease Cycles'!$AT$9&gt;=9999,'Lease Cycles'!$C$9*INDEX('Lease Cycles'!$CB$9:$CH$9,1,BN27)*(1+INDEX('Lease Cycles'!$CI$9:$CO$9,1,BN27))^INT(INT(BN28/12)/INDEX('Lease Cycles'!$CP$9:$CV$9,1,BN27))/12,IF(BN27=1,IF(BN28&gt;=INDEX('Lease Cycles'!$DK$9:$DQ$9,1,BN27),IF(BN$6&gt;='Lease Cycles'!$AZ$9,'Lease Cycles'!$C$9*'Lease Cycles'!$BA$9/12,IF(BN$6&gt;='Lease Cycles'!$AX$9,'Lease Cycles'!$C$9*'Lease Cycles'!$AY$9/12,IF(BN$6&gt;='Lease Cycles'!$AV$9,'Lease Cycles'!$C$9*'Lease Cycles'!$AW$9/12,IF(BN$6&gt;='Lease Cycles'!$AT$9,'Lease Cycles'!$C$9*'Lease Cycles'!$AU$9/12,'Lease Cycles'!$C$9*INDEX('Lease Cycles'!$CB$9:$CH$9,1,BN27)*(1+INDEX('Lease Cycles'!$CI$9:$CO$9,1,BN27))^INT(INT(BN28/12)/INDEX('Lease Cycles'!$CP$9:$CV$9,1,BN27))/12)))),'Lease Cycles'!$C$9*INDEX('Lease Cycles'!$CB$9:$CH$9,1,BN27)*(1+INDEX('Lease Cycles'!$CI$9:$CO$9,1,BN27))^INT(INT(BN28/12)/INDEX('Lease Cycles'!$CP$9:$CV$9,1,BN27))/12),IF(INDEX('Lease Cycles'!$EF$9:$EL$9,1,BN27)=1,IF(AND('Lease Cycles'!$AZ$9&gt;=INDEX('Lease Cycles'!$BG$9:$BM$9,1,BN27),'Lease Cycles'!$AZ$9&lt;=BN$6),'Lease Cycles'!$C$9*'Lease Cycles'!$BA$9/12,IF(AND('Lease Cycles'!$AX$9&gt;=INDEX('Lease Cycles'!$BG$9:$BM$9,1,BN27),'Lease Cycles'!$AX$9&lt;=BN$6),'Lease Cycles'!$C$9*'Lease Cycles'!$AY$9/12,IF(AND('Lease Cycles'!$AV$9&gt;=INDEX('Lease Cycles'!$BG$9:$BM$9,1,BN27),'Lease Cycles'!$AV$9&lt;=BN$6),'Lease Cycles'!$C$9*'Lease Cycles'!$AW$9/12,IF(AND('Lease Cycles'!$AT$9&gt;=INDEX('Lease Cycles'!$BG$9:$BM$9,1,BN27),'Lease Cycles'!$AT$9&lt;=BN$6),'Lease Cycles'!$C$9*'Lease Cycles'!$AU$9/12,'Lease Cycles'!$C$9*INDEX('Lease Cycles'!$CB$9:$CH$9,1,BN27)*(1+INDEX('Lease Cycles'!$CI$9:$CO$9,1,BN27))^INT(INT(BN28/12)/INDEX('Lease Cycles'!$CP$9:$CV$9,1,BN27))/12)))),'Lease Cycles'!$C$9*INDEX('Lease Cycles'!$CB$9:$CH$9,1,BN27)*(1+INDEX('Lease Cycles'!$CI$9:$CO$9,1,BN27))^INT(INT(BN28/12)/INDEX('Lease Cycles'!$CP$9:$CV$9,1,BN27))/12))),IF('Lease Cycles'!$N$9=1,'Lease Cycles'!$C$9*'Lease Cycles'!$E$9*INDEX('Lease Cycles'!$HE$9:$HK$9,1,BN27)*(1+INDEX('Lease Cycles'!$GQ$9:$GW$9,1,BN27))^INT(INT((BN$6-INDEX('Lease Cycles'!$GJ$9:$GP$9,1,BN27))/12)/INDEX('Lease Cycles'!$GX$9:$HD$9,1,BN27))/12,0)))</f>
        <v>13500</v>
      </c>
      <c r="BO30" s="28">
        <f>IF(BO27=0,IF('Lease Cycles'!$F$9&gt;0,'Lease Cycles'!$C$9*'Lease Cycles'!$E$9/12,0),IF(BO29=1,IF('Lease Cycles'!$AT$9&gt;=9999,'Lease Cycles'!$C$9*INDEX('Lease Cycles'!$CB$9:$CH$9,1,BO27)*(1+INDEX('Lease Cycles'!$CI$9:$CO$9,1,BO27))^INT(INT(BO28/12)/INDEX('Lease Cycles'!$CP$9:$CV$9,1,BO27))/12,IF(BO27=1,IF(BO28&gt;=INDEX('Lease Cycles'!$DK$9:$DQ$9,1,BO27),IF(BO$6&gt;='Lease Cycles'!$AZ$9,'Lease Cycles'!$C$9*'Lease Cycles'!$BA$9/12,IF(BO$6&gt;='Lease Cycles'!$AX$9,'Lease Cycles'!$C$9*'Lease Cycles'!$AY$9/12,IF(BO$6&gt;='Lease Cycles'!$AV$9,'Lease Cycles'!$C$9*'Lease Cycles'!$AW$9/12,IF(BO$6&gt;='Lease Cycles'!$AT$9,'Lease Cycles'!$C$9*'Lease Cycles'!$AU$9/12,'Lease Cycles'!$C$9*INDEX('Lease Cycles'!$CB$9:$CH$9,1,BO27)*(1+INDEX('Lease Cycles'!$CI$9:$CO$9,1,BO27))^INT(INT(BO28/12)/INDEX('Lease Cycles'!$CP$9:$CV$9,1,BO27))/12)))),'Lease Cycles'!$C$9*INDEX('Lease Cycles'!$CB$9:$CH$9,1,BO27)*(1+INDEX('Lease Cycles'!$CI$9:$CO$9,1,BO27))^INT(INT(BO28/12)/INDEX('Lease Cycles'!$CP$9:$CV$9,1,BO27))/12),IF(INDEX('Lease Cycles'!$EF$9:$EL$9,1,BO27)=1,IF(AND('Lease Cycles'!$AZ$9&gt;=INDEX('Lease Cycles'!$BG$9:$BM$9,1,BO27),'Lease Cycles'!$AZ$9&lt;=BO$6),'Lease Cycles'!$C$9*'Lease Cycles'!$BA$9/12,IF(AND('Lease Cycles'!$AX$9&gt;=INDEX('Lease Cycles'!$BG$9:$BM$9,1,BO27),'Lease Cycles'!$AX$9&lt;=BO$6),'Lease Cycles'!$C$9*'Lease Cycles'!$AY$9/12,IF(AND('Lease Cycles'!$AV$9&gt;=INDEX('Lease Cycles'!$BG$9:$BM$9,1,BO27),'Lease Cycles'!$AV$9&lt;=BO$6),'Lease Cycles'!$C$9*'Lease Cycles'!$AW$9/12,IF(AND('Lease Cycles'!$AT$9&gt;=INDEX('Lease Cycles'!$BG$9:$BM$9,1,BO27),'Lease Cycles'!$AT$9&lt;=BO$6),'Lease Cycles'!$C$9*'Lease Cycles'!$AU$9/12,'Lease Cycles'!$C$9*INDEX('Lease Cycles'!$CB$9:$CH$9,1,BO27)*(1+INDEX('Lease Cycles'!$CI$9:$CO$9,1,BO27))^INT(INT(BO28/12)/INDEX('Lease Cycles'!$CP$9:$CV$9,1,BO27))/12)))),'Lease Cycles'!$C$9*INDEX('Lease Cycles'!$CB$9:$CH$9,1,BO27)*(1+INDEX('Lease Cycles'!$CI$9:$CO$9,1,BO27))^INT(INT(BO28/12)/INDEX('Lease Cycles'!$CP$9:$CV$9,1,BO27))/12))),IF('Lease Cycles'!$N$9=1,'Lease Cycles'!$C$9*'Lease Cycles'!$E$9*INDEX('Lease Cycles'!$HE$9:$HK$9,1,BO27)*(1+INDEX('Lease Cycles'!$GQ$9:$GW$9,1,BO27))^INT(INT((BO$6-INDEX('Lease Cycles'!$GJ$9:$GP$9,1,BO27))/12)/INDEX('Lease Cycles'!$GX$9:$HD$9,1,BO27))/12,0)))</f>
        <v>13500</v>
      </c>
      <c r="BP30" s="28">
        <f>IF(BP27=0,IF('Lease Cycles'!$F$9&gt;0,'Lease Cycles'!$C$9*'Lease Cycles'!$E$9/12,0),IF(BP29=1,IF('Lease Cycles'!$AT$9&gt;=9999,'Lease Cycles'!$C$9*INDEX('Lease Cycles'!$CB$9:$CH$9,1,BP27)*(1+INDEX('Lease Cycles'!$CI$9:$CO$9,1,BP27))^INT(INT(BP28/12)/INDEX('Lease Cycles'!$CP$9:$CV$9,1,BP27))/12,IF(BP27=1,IF(BP28&gt;=INDEX('Lease Cycles'!$DK$9:$DQ$9,1,BP27),IF(BP$6&gt;='Lease Cycles'!$AZ$9,'Lease Cycles'!$C$9*'Lease Cycles'!$BA$9/12,IF(BP$6&gt;='Lease Cycles'!$AX$9,'Lease Cycles'!$C$9*'Lease Cycles'!$AY$9/12,IF(BP$6&gt;='Lease Cycles'!$AV$9,'Lease Cycles'!$C$9*'Lease Cycles'!$AW$9/12,IF(BP$6&gt;='Lease Cycles'!$AT$9,'Lease Cycles'!$C$9*'Lease Cycles'!$AU$9/12,'Lease Cycles'!$C$9*INDEX('Lease Cycles'!$CB$9:$CH$9,1,BP27)*(1+INDEX('Lease Cycles'!$CI$9:$CO$9,1,BP27))^INT(INT(BP28/12)/INDEX('Lease Cycles'!$CP$9:$CV$9,1,BP27))/12)))),'Lease Cycles'!$C$9*INDEX('Lease Cycles'!$CB$9:$CH$9,1,BP27)*(1+INDEX('Lease Cycles'!$CI$9:$CO$9,1,BP27))^INT(INT(BP28/12)/INDEX('Lease Cycles'!$CP$9:$CV$9,1,BP27))/12),IF(INDEX('Lease Cycles'!$EF$9:$EL$9,1,BP27)=1,IF(AND('Lease Cycles'!$AZ$9&gt;=INDEX('Lease Cycles'!$BG$9:$BM$9,1,BP27),'Lease Cycles'!$AZ$9&lt;=BP$6),'Lease Cycles'!$C$9*'Lease Cycles'!$BA$9/12,IF(AND('Lease Cycles'!$AX$9&gt;=INDEX('Lease Cycles'!$BG$9:$BM$9,1,BP27),'Lease Cycles'!$AX$9&lt;=BP$6),'Lease Cycles'!$C$9*'Lease Cycles'!$AY$9/12,IF(AND('Lease Cycles'!$AV$9&gt;=INDEX('Lease Cycles'!$BG$9:$BM$9,1,BP27),'Lease Cycles'!$AV$9&lt;=BP$6),'Lease Cycles'!$C$9*'Lease Cycles'!$AW$9/12,IF(AND('Lease Cycles'!$AT$9&gt;=INDEX('Lease Cycles'!$BG$9:$BM$9,1,BP27),'Lease Cycles'!$AT$9&lt;=BP$6),'Lease Cycles'!$C$9*'Lease Cycles'!$AU$9/12,'Lease Cycles'!$C$9*INDEX('Lease Cycles'!$CB$9:$CH$9,1,BP27)*(1+INDEX('Lease Cycles'!$CI$9:$CO$9,1,BP27))^INT(INT(BP28/12)/INDEX('Lease Cycles'!$CP$9:$CV$9,1,BP27))/12)))),'Lease Cycles'!$C$9*INDEX('Lease Cycles'!$CB$9:$CH$9,1,BP27)*(1+INDEX('Lease Cycles'!$CI$9:$CO$9,1,BP27))^INT(INT(BP28/12)/INDEX('Lease Cycles'!$CP$9:$CV$9,1,BP27))/12))),IF('Lease Cycles'!$N$9=1,'Lease Cycles'!$C$9*'Lease Cycles'!$E$9*INDEX('Lease Cycles'!$HE$9:$HK$9,1,BP27)*(1+INDEX('Lease Cycles'!$GQ$9:$GW$9,1,BP27))^INT(INT((BP$6-INDEX('Lease Cycles'!$GJ$9:$GP$9,1,BP27))/12)/INDEX('Lease Cycles'!$GX$9:$HD$9,1,BP27))/12,0)))</f>
        <v>13500</v>
      </c>
      <c r="BQ30" s="28">
        <f>IF(BQ27=0,IF('Lease Cycles'!$F$9&gt;0,'Lease Cycles'!$C$9*'Lease Cycles'!$E$9/12,0),IF(BQ29=1,IF('Lease Cycles'!$AT$9&gt;=9999,'Lease Cycles'!$C$9*INDEX('Lease Cycles'!$CB$9:$CH$9,1,BQ27)*(1+INDEX('Lease Cycles'!$CI$9:$CO$9,1,BQ27))^INT(INT(BQ28/12)/INDEX('Lease Cycles'!$CP$9:$CV$9,1,BQ27))/12,IF(BQ27=1,IF(BQ28&gt;=INDEX('Lease Cycles'!$DK$9:$DQ$9,1,BQ27),IF(BQ$6&gt;='Lease Cycles'!$AZ$9,'Lease Cycles'!$C$9*'Lease Cycles'!$BA$9/12,IF(BQ$6&gt;='Lease Cycles'!$AX$9,'Lease Cycles'!$C$9*'Lease Cycles'!$AY$9/12,IF(BQ$6&gt;='Lease Cycles'!$AV$9,'Lease Cycles'!$C$9*'Lease Cycles'!$AW$9/12,IF(BQ$6&gt;='Lease Cycles'!$AT$9,'Lease Cycles'!$C$9*'Lease Cycles'!$AU$9/12,'Lease Cycles'!$C$9*INDEX('Lease Cycles'!$CB$9:$CH$9,1,BQ27)*(1+INDEX('Lease Cycles'!$CI$9:$CO$9,1,BQ27))^INT(INT(BQ28/12)/INDEX('Lease Cycles'!$CP$9:$CV$9,1,BQ27))/12)))),'Lease Cycles'!$C$9*INDEX('Lease Cycles'!$CB$9:$CH$9,1,BQ27)*(1+INDEX('Lease Cycles'!$CI$9:$CO$9,1,BQ27))^INT(INT(BQ28/12)/INDEX('Lease Cycles'!$CP$9:$CV$9,1,BQ27))/12),IF(INDEX('Lease Cycles'!$EF$9:$EL$9,1,BQ27)=1,IF(AND('Lease Cycles'!$AZ$9&gt;=INDEX('Lease Cycles'!$BG$9:$BM$9,1,BQ27),'Lease Cycles'!$AZ$9&lt;=BQ$6),'Lease Cycles'!$C$9*'Lease Cycles'!$BA$9/12,IF(AND('Lease Cycles'!$AX$9&gt;=INDEX('Lease Cycles'!$BG$9:$BM$9,1,BQ27),'Lease Cycles'!$AX$9&lt;=BQ$6),'Lease Cycles'!$C$9*'Lease Cycles'!$AY$9/12,IF(AND('Lease Cycles'!$AV$9&gt;=INDEX('Lease Cycles'!$BG$9:$BM$9,1,BQ27),'Lease Cycles'!$AV$9&lt;=BQ$6),'Lease Cycles'!$C$9*'Lease Cycles'!$AW$9/12,IF(AND('Lease Cycles'!$AT$9&gt;=INDEX('Lease Cycles'!$BG$9:$BM$9,1,BQ27),'Lease Cycles'!$AT$9&lt;=BQ$6),'Lease Cycles'!$C$9*'Lease Cycles'!$AU$9/12,'Lease Cycles'!$C$9*INDEX('Lease Cycles'!$CB$9:$CH$9,1,BQ27)*(1+INDEX('Lease Cycles'!$CI$9:$CO$9,1,BQ27))^INT(INT(BQ28/12)/INDEX('Lease Cycles'!$CP$9:$CV$9,1,BQ27))/12)))),'Lease Cycles'!$C$9*INDEX('Lease Cycles'!$CB$9:$CH$9,1,BQ27)*(1+INDEX('Lease Cycles'!$CI$9:$CO$9,1,BQ27))^INT(INT(BQ28/12)/INDEX('Lease Cycles'!$CP$9:$CV$9,1,BQ27))/12))),IF('Lease Cycles'!$N$9=1,'Lease Cycles'!$C$9*'Lease Cycles'!$E$9*INDEX('Lease Cycles'!$HE$9:$HK$9,1,BQ27)*(1+INDEX('Lease Cycles'!$GQ$9:$GW$9,1,BQ27))^INT(INT((BQ$6-INDEX('Lease Cycles'!$GJ$9:$GP$9,1,BQ27))/12)/INDEX('Lease Cycles'!$GX$9:$HD$9,1,BQ27))/12,0)))</f>
        <v>13500</v>
      </c>
      <c r="BR30" s="28">
        <f>IF(BR27=0,IF('Lease Cycles'!$F$9&gt;0,'Lease Cycles'!$C$9*'Lease Cycles'!$E$9/12,0),IF(BR29=1,IF('Lease Cycles'!$AT$9&gt;=9999,'Lease Cycles'!$C$9*INDEX('Lease Cycles'!$CB$9:$CH$9,1,BR27)*(1+INDEX('Lease Cycles'!$CI$9:$CO$9,1,BR27))^INT(INT(BR28/12)/INDEX('Lease Cycles'!$CP$9:$CV$9,1,BR27))/12,IF(BR27=1,IF(BR28&gt;=INDEX('Lease Cycles'!$DK$9:$DQ$9,1,BR27),IF(BR$6&gt;='Lease Cycles'!$AZ$9,'Lease Cycles'!$C$9*'Lease Cycles'!$BA$9/12,IF(BR$6&gt;='Lease Cycles'!$AX$9,'Lease Cycles'!$C$9*'Lease Cycles'!$AY$9/12,IF(BR$6&gt;='Lease Cycles'!$AV$9,'Lease Cycles'!$C$9*'Lease Cycles'!$AW$9/12,IF(BR$6&gt;='Lease Cycles'!$AT$9,'Lease Cycles'!$C$9*'Lease Cycles'!$AU$9/12,'Lease Cycles'!$C$9*INDEX('Lease Cycles'!$CB$9:$CH$9,1,BR27)*(1+INDEX('Lease Cycles'!$CI$9:$CO$9,1,BR27))^INT(INT(BR28/12)/INDEX('Lease Cycles'!$CP$9:$CV$9,1,BR27))/12)))),'Lease Cycles'!$C$9*INDEX('Lease Cycles'!$CB$9:$CH$9,1,BR27)*(1+INDEX('Lease Cycles'!$CI$9:$CO$9,1,BR27))^INT(INT(BR28/12)/INDEX('Lease Cycles'!$CP$9:$CV$9,1,BR27))/12),IF(INDEX('Lease Cycles'!$EF$9:$EL$9,1,BR27)=1,IF(AND('Lease Cycles'!$AZ$9&gt;=INDEX('Lease Cycles'!$BG$9:$BM$9,1,BR27),'Lease Cycles'!$AZ$9&lt;=BR$6),'Lease Cycles'!$C$9*'Lease Cycles'!$BA$9/12,IF(AND('Lease Cycles'!$AX$9&gt;=INDEX('Lease Cycles'!$BG$9:$BM$9,1,BR27),'Lease Cycles'!$AX$9&lt;=BR$6),'Lease Cycles'!$C$9*'Lease Cycles'!$AY$9/12,IF(AND('Lease Cycles'!$AV$9&gt;=INDEX('Lease Cycles'!$BG$9:$BM$9,1,BR27),'Lease Cycles'!$AV$9&lt;=BR$6),'Lease Cycles'!$C$9*'Lease Cycles'!$AW$9/12,IF(AND('Lease Cycles'!$AT$9&gt;=INDEX('Lease Cycles'!$BG$9:$BM$9,1,BR27),'Lease Cycles'!$AT$9&lt;=BR$6),'Lease Cycles'!$C$9*'Lease Cycles'!$AU$9/12,'Lease Cycles'!$C$9*INDEX('Lease Cycles'!$CB$9:$CH$9,1,BR27)*(1+INDEX('Lease Cycles'!$CI$9:$CO$9,1,BR27))^INT(INT(BR28/12)/INDEX('Lease Cycles'!$CP$9:$CV$9,1,BR27))/12)))),'Lease Cycles'!$C$9*INDEX('Lease Cycles'!$CB$9:$CH$9,1,BR27)*(1+INDEX('Lease Cycles'!$CI$9:$CO$9,1,BR27))^INT(INT(BR28/12)/INDEX('Lease Cycles'!$CP$9:$CV$9,1,BR27))/12))),IF('Lease Cycles'!$N$9=1,'Lease Cycles'!$C$9*'Lease Cycles'!$E$9*INDEX('Lease Cycles'!$HE$9:$HK$9,1,BR27)*(1+INDEX('Lease Cycles'!$GQ$9:$GW$9,1,BR27))^INT(INT((BR$6-INDEX('Lease Cycles'!$GJ$9:$GP$9,1,BR27))/12)/INDEX('Lease Cycles'!$GX$9:$HD$9,1,BR27))/12,0)))</f>
        <v>13500</v>
      </c>
      <c r="BS30" s="28">
        <f>IF(BS27=0,IF('Lease Cycles'!$F$9&gt;0,'Lease Cycles'!$C$9*'Lease Cycles'!$E$9/12,0),IF(BS29=1,IF('Lease Cycles'!$AT$9&gt;=9999,'Lease Cycles'!$C$9*INDEX('Lease Cycles'!$CB$9:$CH$9,1,BS27)*(1+INDEX('Lease Cycles'!$CI$9:$CO$9,1,BS27))^INT(INT(BS28/12)/INDEX('Lease Cycles'!$CP$9:$CV$9,1,BS27))/12,IF(BS27=1,IF(BS28&gt;=INDEX('Lease Cycles'!$DK$9:$DQ$9,1,BS27),IF(BS$6&gt;='Lease Cycles'!$AZ$9,'Lease Cycles'!$C$9*'Lease Cycles'!$BA$9/12,IF(BS$6&gt;='Lease Cycles'!$AX$9,'Lease Cycles'!$C$9*'Lease Cycles'!$AY$9/12,IF(BS$6&gt;='Lease Cycles'!$AV$9,'Lease Cycles'!$C$9*'Lease Cycles'!$AW$9/12,IF(BS$6&gt;='Lease Cycles'!$AT$9,'Lease Cycles'!$C$9*'Lease Cycles'!$AU$9/12,'Lease Cycles'!$C$9*INDEX('Lease Cycles'!$CB$9:$CH$9,1,BS27)*(1+INDEX('Lease Cycles'!$CI$9:$CO$9,1,BS27))^INT(INT(BS28/12)/INDEX('Lease Cycles'!$CP$9:$CV$9,1,BS27))/12)))),'Lease Cycles'!$C$9*INDEX('Lease Cycles'!$CB$9:$CH$9,1,BS27)*(1+INDEX('Lease Cycles'!$CI$9:$CO$9,1,BS27))^INT(INT(BS28/12)/INDEX('Lease Cycles'!$CP$9:$CV$9,1,BS27))/12),IF(INDEX('Lease Cycles'!$EF$9:$EL$9,1,BS27)=1,IF(AND('Lease Cycles'!$AZ$9&gt;=INDEX('Lease Cycles'!$BG$9:$BM$9,1,BS27),'Lease Cycles'!$AZ$9&lt;=BS$6),'Lease Cycles'!$C$9*'Lease Cycles'!$BA$9/12,IF(AND('Lease Cycles'!$AX$9&gt;=INDEX('Lease Cycles'!$BG$9:$BM$9,1,BS27),'Lease Cycles'!$AX$9&lt;=BS$6),'Lease Cycles'!$C$9*'Lease Cycles'!$AY$9/12,IF(AND('Lease Cycles'!$AV$9&gt;=INDEX('Lease Cycles'!$BG$9:$BM$9,1,BS27),'Lease Cycles'!$AV$9&lt;=BS$6),'Lease Cycles'!$C$9*'Lease Cycles'!$AW$9/12,IF(AND('Lease Cycles'!$AT$9&gt;=INDEX('Lease Cycles'!$BG$9:$BM$9,1,BS27),'Lease Cycles'!$AT$9&lt;=BS$6),'Lease Cycles'!$C$9*'Lease Cycles'!$AU$9/12,'Lease Cycles'!$C$9*INDEX('Lease Cycles'!$CB$9:$CH$9,1,BS27)*(1+INDEX('Lease Cycles'!$CI$9:$CO$9,1,BS27))^INT(INT(BS28/12)/INDEX('Lease Cycles'!$CP$9:$CV$9,1,BS27))/12)))),'Lease Cycles'!$C$9*INDEX('Lease Cycles'!$CB$9:$CH$9,1,BS27)*(1+INDEX('Lease Cycles'!$CI$9:$CO$9,1,BS27))^INT(INT(BS28/12)/INDEX('Lease Cycles'!$CP$9:$CV$9,1,BS27))/12))),IF('Lease Cycles'!$N$9=1,'Lease Cycles'!$C$9*'Lease Cycles'!$E$9*INDEX('Lease Cycles'!$HE$9:$HK$9,1,BS27)*(1+INDEX('Lease Cycles'!$GQ$9:$GW$9,1,BS27))^INT(INT((BS$6-INDEX('Lease Cycles'!$GJ$9:$GP$9,1,BS27))/12)/INDEX('Lease Cycles'!$GX$9:$HD$9,1,BS27))/12,0)))</f>
        <v>13500</v>
      </c>
      <c r="BT30" s="28">
        <f>IF(BT27=0,IF('Lease Cycles'!$F$9&gt;0,'Lease Cycles'!$C$9*'Lease Cycles'!$E$9/12,0),IF(BT29=1,IF('Lease Cycles'!$AT$9&gt;=9999,'Lease Cycles'!$C$9*INDEX('Lease Cycles'!$CB$9:$CH$9,1,BT27)*(1+INDEX('Lease Cycles'!$CI$9:$CO$9,1,BT27))^INT(INT(BT28/12)/INDEX('Lease Cycles'!$CP$9:$CV$9,1,BT27))/12,IF(BT27=1,IF(BT28&gt;=INDEX('Lease Cycles'!$DK$9:$DQ$9,1,BT27),IF(BT$6&gt;='Lease Cycles'!$AZ$9,'Lease Cycles'!$C$9*'Lease Cycles'!$BA$9/12,IF(BT$6&gt;='Lease Cycles'!$AX$9,'Lease Cycles'!$C$9*'Lease Cycles'!$AY$9/12,IF(BT$6&gt;='Lease Cycles'!$AV$9,'Lease Cycles'!$C$9*'Lease Cycles'!$AW$9/12,IF(BT$6&gt;='Lease Cycles'!$AT$9,'Lease Cycles'!$C$9*'Lease Cycles'!$AU$9/12,'Lease Cycles'!$C$9*INDEX('Lease Cycles'!$CB$9:$CH$9,1,BT27)*(1+INDEX('Lease Cycles'!$CI$9:$CO$9,1,BT27))^INT(INT(BT28/12)/INDEX('Lease Cycles'!$CP$9:$CV$9,1,BT27))/12)))),'Lease Cycles'!$C$9*INDEX('Lease Cycles'!$CB$9:$CH$9,1,BT27)*(1+INDEX('Lease Cycles'!$CI$9:$CO$9,1,BT27))^INT(INT(BT28/12)/INDEX('Lease Cycles'!$CP$9:$CV$9,1,BT27))/12),IF(INDEX('Lease Cycles'!$EF$9:$EL$9,1,BT27)=1,IF(AND('Lease Cycles'!$AZ$9&gt;=INDEX('Lease Cycles'!$BG$9:$BM$9,1,BT27),'Lease Cycles'!$AZ$9&lt;=BT$6),'Lease Cycles'!$C$9*'Lease Cycles'!$BA$9/12,IF(AND('Lease Cycles'!$AX$9&gt;=INDEX('Lease Cycles'!$BG$9:$BM$9,1,BT27),'Lease Cycles'!$AX$9&lt;=BT$6),'Lease Cycles'!$C$9*'Lease Cycles'!$AY$9/12,IF(AND('Lease Cycles'!$AV$9&gt;=INDEX('Lease Cycles'!$BG$9:$BM$9,1,BT27),'Lease Cycles'!$AV$9&lt;=BT$6),'Lease Cycles'!$C$9*'Lease Cycles'!$AW$9/12,IF(AND('Lease Cycles'!$AT$9&gt;=INDEX('Lease Cycles'!$BG$9:$BM$9,1,BT27),'Lease Cycles'!$AT$9&lt;=BT$6),'Lease Cycles'!$C$9*'Lease Cycles'!$AU$9/12,'Lease Cycles'!$C$9*INDEX('Lease Cycles'!$CB$9:$CH$9,1,BT27)*(1+INDEX('Lease Cycles'!$CI$9:$CO$9,1,BT27))^INT(INT(BT28/12)/INDEX('Lease Cycles'!$CP$9:$CV$9,1,BT27))/12)))),'Lease Cycles'!$C$9*INDEX('Lease Cycles'!$CB$9:$CH$9,1,BT27)*(1+INDEX('Lease Cycles'!$CI$9:$CO$9,1,BT27))^INT(INT(BT28/12)/INDEX('Lease Cycles'!$CP$9:$CV$9,1,BT27))/12))),IF('Lease Cycles'!$N$9=1,'Lease Cycles'!$C$9*'Lease Cycles'!$E$9*INDEX('Lease Cycles'!$HE$9:$HK$9,1,BT27)*(1+INDEX('Lease Cycles'!$GQ$9:$GW$9,1,BT27))^INT(INT((BT$6-INDEX('Lease Cycles'!$GJ$9:$GP$9,1,BT27))/12)/INDEX('Lease Cycles'!$GX$9:$HD$9,1,BT27))/12,0)))</f>
        <v>13500</v>
      </c>
      <c r="BU30" s="28">
        <f>IF(BU27=0,IF('Lease Cycles'!$F$9&gt;0,'Lease Cycles'!$C$9*'Lease Cycles'!$E$9/12,0),IF(BU29=1,IF('Lease Cycles'!$AT$9&gt;=9999,'Lease Cycles'!$C$9*INDEX('Lease Cycles'!$CB$9:$CH$9,1,BU27)*(1+INDEX('Lease Cycles'!$CI$9:$CO$9,1,BU27))^INT(INT(BU28/12)/INDEX('Lease Cycles'!$CP$9:$CV$9,1,BU27))/12,IF(BU27=1,IF(BU28&gt;=INDEX('Lease Cycles'!$DK$9:$DQ$9,1,BU27),IF(BU$6&gt;='Lease Cycles'!$AZ$9,'Lease Cycles'!$C$9*'Lease Cycles'!$BA$9/12,IF(BU$6&gt;='Lease Cycles'!$AX$9,'Lease Cycles'!$C$9*'Lease Cycles'!$AY$9/12,IF(BU$6&gt;='Lease Cycles'!$AV$9,'Lease Cycles'!$C$9*'Lease Cycles'!$AW$9/12,IF(BU$6&gt;='Lease Cycles'!$AT$9,'Lease Cycles'!$C$9*'Lease Cycles'!$AU$9/12,'Lease Cycles'!$C$9*INDEX('Lease Cycles'!$CB$9:$CH$9,1,BU27)*(1+INDEX('Lease Cycles'!$CI$9:$CO$9,1,BU27))^INT(INT(BU28/12)/INDEX('Lease Cycles'!$CP$9:$CV$9,1,BU27))/12)))),'Lease Cycles'!$C$9*INDEX('Lease Cycles'!$CB$9:$CH$9,1,BU27)*(1+INDEX('Lease Cycles'!$CI$9:$CO$9,1,BU27))^INT(INT(BU28/12)/INDEX('Lease Cycles'!$CP$9:$CV$9,1,BU27))/12),IF(INDEX('Lease Cycles'!$EF$9:$EL$9,1,BU27)=1,IF(AND('Lease Cycles'!$AZ$9&gt;=INDEX('Lease Cycles'!$BG$9:$BM$9,1,BU27),'Lease Cycles'!$AZ$9&lt;=BU$6),'Lease Cycles'!$C$9*'Lease Cycles'!$BA$9/12,IF(AND('Lease Cycles'!$AX$9&gt;=INDEX('Lease Cycles'!$BG$9:$BM$9,1,BU27),'Lease Cycles'!$AX$9&lt;=BU$6),'Lease Cycles'!$C$9*'Lease Cycles'!$AY$9/12,IF(AND('Lease Cycles'!$AV$9&gt;=INDEX('Lease Cycles'!$BG$9:$BM$9,1,BU27),'Lease Cycles'!$AV$9&lt;=BU$6),'Lease Cycles'!$C$9*'Lease Cycles'!$AW$9/12,IF(AND('Lease Cycles'!$AT$9&gt;=INDEX('Lease Cycles'!$BG$9:$BM$9,1,BU27),'Lease Cycles'!$AT$9&lt;=BU$6),'Lease Cycles'!$C$9*'Lease Cycles'!$AU$9/12,'Lease Cycles'!$C$9*INDEX('Lease Cycles'!$CB$9:$CH$9,1,BU27)*(1+INDEX('Lease Cycles'!$CI$9:$CO$9,1,BU27))^INT(INT(BU28/12)/INDEX('Lease Cycles'!$CP$9:$CV$9,1,BU27))/12)))),'Lease Cycles'!$C$9*INDEX('Lease Cycles'!$CB$9:$CH$9,1,BU27)*(1+INDEX('Lease Cycles'!$CI$9:$CO$9,1,BU27))^INT(INT(BU28/12)/INDEX('Lease Cycles'!$CP$9:$CV$9,1,BU27))/12))),IF('Lease Cycles'!$N$9=1,'Lease Cycles'!$C$9*'Lease Cycles'!$E$9*INDEX('Lease Cycles'!$HE$9:$HK$9,1,BU27)*(1+INDEX('Lease Cycles'!$GQ$9:$GW$9,1,BU27))^INT(INT((BU$6-INDEX('Lease Cycles'!$GJ$9:$GP$9,1,BU27))/12)/INDEX('Lease Cycles'!$GX$9:$HD$9,1,BU27))/12,0)))</f>
        <v>15420.600272132076</v>
      </c>
      <c r="BV30" s="28">
        <f>IF(BV27=0,IF('Lease Cycles'!$F$9&gt;0,'Lease Cycles'!$C$9*'Lease Cycles'!$E$9/12,0),IF(BV29=1,IF('Lease Cycles'!$AT$9&gt;=9999,'Lease Cycles'!$C$9*INDEX('Lease Cycles'!$CB$9:$CH$9,1,BV27)*(1+INDEX('Lease Cycles'!$CI$9:$CO$9,1,BV27))^INT(INT(BV28/12)/INDEX('Lease Cycles'!$CP$9:$CV$9,1,BV27))/12,IF(BV27=1,IF(BV28&gt;=INDEX('Lease Cycles'!$DK$9:$DQ$9,1,BV27),IF(BV$6&gt;='Lease Cycles'!$AZ$9,'Lease Cycles'!$C$9*'Lease Cycles'!$BA$9/12,IF(BV$6&gt;='Lease Cycles'!$AX$9,'Lease Cycles'!$C$9*'Lease Cycles'!$AY$9/12,IF(BV$6&gt;='Lease Cycles'!$AV$9,'Lease Cycles'!$C$9*'Lease Cycles'!$AW$9/12,IF(BV$6&gt;='Lease Cycles'!$AT$9,'Lease Cycles'!$C$9*'Lease Cycles'!$AU$9/12,'Lease Cycles'!$C$9*INDEX('Lease Cycles'!$CB$9:$CH$9,1,BV27)*(1+INDEX('Lease Cycles'!$CI$9:$CO$9,1,BV27))^INT(INT(BV28/12)/INDEX('Lease Cycles'!$CP$9:$CV$9,1,BV27))/12)))),'Lease Cycles'!$C$9*INDEX('Lease Cycles'!$CB$9:$CH$9,1,BV27)*(1+INDEX('Lease Cycles'!$CI$9:$CO$9,1,BV27))^INT(INT(BV28/12)/INDEX('Lease Cycles'!$CP$9:$CV$9,1,BV27))/12),IF(INDEX('Lease Cycles'!$EF$9:$EL$9,1,BV27)=1,IF(AND('Lease Cycles'!$AZ$9&gt;=INDEX('Lease Cycles'!$BG$9:$BM$9,1,BV27),'Lease Cycles'!$AZ$9&lt;=BV$6),'Lease Cycles'!$C$9*'Lease Cycles'!$BA$9/12,IF(AND('Lease Cycles'!$AX$9&gt;=INDEX('Lease Cycles'!$BG$9:$BM$9,1,BV27),'Lease Cycles'!$AX$9&lt;=BV$6),'Lease Cycles'!$C$9*'Lease Cycles'!$AY$9/12,IF(AND('Lease Cycles'!$AV$9&gt;=INDEX('Lease Cycles'!$BG$9:$BM$9,1,BV27),'Lease Cycles'!$AV$9&lt;=BV$6),'Lease Cycles'!$C$9*'Lease Cycles'!$AW$9/12,IF(AND('Lease Cycles'!$AT$9&gt;=INDEX('Lease Cycles'!$BG$9:$BM$9,1,BV27),'Lease Cycles'!$AT$9&lt;=BV$6),'Lease Cycles'!$C$9*'Lease Cycles'!$AU$9/12,'Lease Cycles'!$C$9*INDEX('Lease Cycles'!$CB$9:$CH$9,1,BV27)*(1+INDEX('Lease Cycles'!$CI$9:$CO$9,1,BV27))^INT(INT(BV28/12)/INDEX('Lease Cycles'!$CP$9:$CV$9,1,BV27))/12)))),'Lease Cycles'!$C$9*INDEX('Lease Cycles'!$CB$9:$CH$9,1,BV27)*(1+INDEX('Lease Cycles'!$CI$9:$CO$9,1,BV27))^INT(INT(BV28/12)/INDEX('Lease Cycles'!$CP$9:$CV$9,1,BV27))/12))),IF('Lease Cycles'!$N$9=1,'Lease Cycles'!$C$9*'Lease Cycles'!$E$9*INDEX('Lease Cycles'!$HE$9:$HK$9,1,BV27)*(1+INDEX('Lease Cycles'!$GQ$9:$GW$9,1,BV27))^INT(INT((BV$6-INDEX('Lease Cycles'!$GJ$9:$GP$9,1,BV27))/12)/INDEX('Lease Cycles'!$GX$9:$HD$9,1,BV27))/12,0)))</f>
        <v>13852.651568415735</v>
      </c>
      <c r="BW30" s="28">
        <f>IF(BW27=0,IF('Lease Cycles'!$F$9&gt;0,'Lease Cycles'!$C$9*'Lease Cycles'!$E$9/12,0),IF(BW29=1,IF('Lease Cycles'!$AT$9&gt;=9999,'Lease Cycles'!$C$9*INDEX('Lease Cycles'!$CB$9:$CH$9,1,BW27)*(1+INDEX('Lease Cycles'!$CI$9:$CO$9,1,BW27))^INT(INT(BW28/12)/INDEX('Lease Cycles'!$CP$9:$CV$9,1,BW27))/12,IF(BW27=1,IF(BW28&gt;=INDEX('Lease Cycles'!$DK$9:$DQ$9,1,BW27),IF(BW$6&gt;='Lease Cycles'!$AZ$9,'Lease Cycles'!$C$9*'Lease Cycles'!$BA$9/12,IF(BW$6&gt;='Lease Cycles'!$AX$9,'Lease Cycles'!$C$9*'Lease Cycles'!$AY$9/12,IF(BW$6&gt;='Lease Cycles'!$AV$9,'Lease Cycles'!$C$9*'Lease Cycles'!$AW$9/12,IF(BW$6&gt;='Lease Cycles'!$AT$9,'Lease Cycles'!$C$9*'Lease Cycles'!$AU$9/12,'Lease Cycles'!$C$9*INDEX('Lease Cycles'!$CB$9:$CH$9,1,BW27)*(1+INDEX('Lease Cycles'!$CI$9:$CO$9,1,BW27))^INT(INT(BW28/12)/INDEX('Lease Cycles'!$CP$9:$CV$9,1,BW27))/12)))),'Lease Cycles'!$C$9*INDEX('Lease Cycles'!$CB$9:$CH$9,1,BW27)*(1+INDEX('Lease Cycles'!$CI$9:$CO$9,1,BW27))^INT(INT(BW28/12)/INDEX('Lease Cycles'!$CP$9:$CV$9,1,BW27))/12),IF(INDEX('Lease Cycles'!$EF$9:$EL$9,1,BW27)=1,IF(AND('Lease Cycles'!$AZ$9&gt;=INDEX('Lease Cycles'!$BG$9:$BM$9,1,BW27),'Lease Cycles'!$AZ$9&lt;=BW$6),'Lease Cycles'!$C$9*'Lease Cycles'!$BA$9/12,IF(AND('Lease Cycles'!$AX$9&gt;=INDEX('Lease Cycles'!$BG$9:$BM$9,1,BW27),'Lease Cycles'!$AX$9&lt;=BW$6),'Lease Cycles'!$C$9*'Lease Cycles'!$AY$9/12,IF(AND('Lease Cycles'!$AV$9&gt;=INDEX('Lease Cycles'!$BG$9:$BM$9,1,BW27),'Lease Cycles'!$AV$9&lt;=BW$6),'Lease Cycles'!$C$9*'Lease Cycles'!$AW$9/12,IF(AND('Lease Cycles'!$AT$9&gt;=INDEX('Lease Cycles'!$BG$9:$BM$9,1,BW27),'Lease Cycles'!$AT$9&lt;=BW$6),'Lease Cycles'!$C$9*'Lease Cycles'!$AU$9/12,'Lease Cycles'!$C$9*INDEX('Lease Cycles'!$CB$9:$CH$9,1,BW27)*(1+INDEX('Lease Cycles'!$CI$9:$CO$9,1,BW27))^INT(INT(BW28/12)/INDEX('Lease Cycles'!$CP$9:$CV$9,1,BW27))/12)))),'Lease Cycles'!$C$9*INDEX('Lease Cycles'!$CB$9:$CH$9,1,BW27)*(1+INDEX('Lease Cycles'!$CI$9:$CO$9,1,BW27))^INT(INT(BW28/12)/INDEX('Lease Cycles'!$CP$9:$CV$9,1,BW27))/12))),IF('Lease Cycles'!$N$9=1,'Lease Cycles'!$C$9*'Lease Cycles'!$E$9*INDEX('Lease Cycles'!$HE$9:$HK$9,1,BW27)*(1+INDEX('Lease Cycles'!$GQ$9:$GW$9,1,BW27))^INT(INT((BW$6-INDEX('Lease Cycles'!$GJ$9:$GP$9,1,BW27))/12)/INDEX('Lease Cycles'!$GX$9:$HD$9,1,BW27))/12,0)))</f>
        <v>13852.651568415735</v>
      </c>
      <c r="BX30" s="28">
        <f>IF(BX27=0,IF('Lease Cycles'!$F$9&gt;0,'Lease Cycles'!$C$9*'Lease Cycles'!$E$9/12,0),IF(BX29=1,IF('Lease Cycles'!$AT$9&gt;=9999,'Lease Cycles'!$C$9*INDEX('Lease Cycles'!$CB$9:$CH$9,1,BX27)*(1+INDEX('Lease Cycles'!$CI$9:$CO$9,1,BX27))^INT(INT(BX28/12)/INDEX('Lease Cycles'!$CP$9:$CV$9,1,BX27))/12,IF(BX27=1,IF(BX28&gt;=INDEX('Lease Cycles'!$DK$9:$DQ$9,1,BX27),IF(BX$6&gt;='Lease Cycles'!$AZ$9,'Lease Cycles'!$C$9*'Lease Cycles'!$BA$9/12,IF(BX$6&gt;='Lease Cycles'!$AX$9,'Lease Cycles'!$C$9*'Lease Cycles'!$AY$9/12,IF(BX$6&gt;='Lease Cycles'!$AV$9,'Lease Cycles'!$C$9*'Lease Cycles'!$AW$9/12,IF(BX$6&gt;='Lease Cycles'!$AT$9,'Lease Cycles'!$C$9*'Lease Cycles'!$AU$9/12,'Lease Cycles'!$C$9*INDEX('Lease Cycles'!$CB$9:$CH$9,1,BX27)*(1+INDEX('Lease Cycles'!$CI$9:$CO$9,1,BX27))^INT(INT(BX28/12)/INDEX('Lease Cycles'!$CP$9:$CV$9,1,BX27))/12)))),'Lease Cycles'!$C$9*INDEX('Lease Cycles'!$CB$9:$CH$9,1,BX27)*(1+INDEX('Lease Cycles'!$CI$9:$CO$9,1,BX27))^INT(INT(BX28/12)/INDEX('Lease Cycles'!$CP$9:$CV$9,1,BX27))/12),IF(INDEX('Lease Cycles'!$EF$9:$EL$9,1,BX27)=1,IF(AND('Lease Cycles'!$AZ$9&gt;=INDEX('Lease Cycles'!$BG$9:$BM$9,1,BX27),'Lease Cycles'!$AZ$9&lt;=BX$6),'Lease Cycles'!$C$9*'Lease Cycles'!$BA$9/12,IF(AND('Lease Cycles'!$AX$9&gt;=INDEX('Lease Cycles'!$BG$9:$BM$9,1,BX27),'Lease Cycles'!$AX$9&lt;=BX$6),'Lease Cycles'!$C$9*'Lease Cycles'!$AY$9/12,IF(AND('Lease Cycles'!$AV$9&gt;=INDEX('Lease Cycles'!$BG$9:$BM$9,1,BX27),'Lease Cycles'!$AV$9&lt;=BX$6),'Lease Cycles'!$C$9*'Lease Cycles'!$AW$9/12,IF(AND('Lease Cycles'!$AT$9&gt;=INDEX('Lease Cycles'!$BG$9:$BM$9,1,BX27),'Lease Cycles'!$AT$9&lt;=BX$6),'Lease Cycles'!$C$9*'Lease Cycles'!$AU$9/12,'Lease Cycles'!$C$9*INDEX('Lease Cycles'!$CB$9:$CH$9,1,BX27)*(1+INDEX('Lease Cycles'!$CI$9:$CO$9,1,BX27))^INT(INT(BX28/12)/INDEX('Lease Cycles'!$CP$9:$CV$9,1,BX27))/12)))),'Lease Cycles'!$C$9*INDEX('Lease Cycles'!$CB$9:$CH$9,1,BX27)*(1+INDEX('Lease Cycles'!$CI$9:$CO$9,1,BX27))^INT(INT(BX28/12)/INDEX('Lease Cycles'!$CP$9:$CV$9,1,BX27))/12))),IF('Lease Cycles'!$N$9=1,'Lease Cycles'!$C$9*'Lease Cycles'!$E$9*INDEX('Lease Cycles'!$HE$9:$HK$9,1,BX27)*(1+INDEX('Lease Cycles'!$GQ$9:$GW$9,1,BX27))^INT(INT((BX$6-INDEX('Lease Cycles'!$GJ$9:$GP$9,1,BX27))/12)/INDEX('Lease Cycles'!$GX$9:$HD$9,1,BX27))/12,0)))</f>
        <v>13852.651568415735</v>
      </c>
      <c r="BY30" s="28">
        <f>IF(BY27=0,IF('Lease Cycles'!$F$9&gt;0,'Lease Cycles'!$C$9*'Lease Cycles'!$E$9/12,0),IF(BY29=1,IF('Lease Cycles'!$AT$9&gt;=9999,'Lease Cycles'!$C$9*INDEX('Lease Cycles'!$CB$9:$CH$9,1,BY27)*(1+INDEX('Lease Cycles'!$CI$9:$CO$9,1,BY27))^INT(INT(BY28/12)/INDEX('Lease Cycles'!$CP$9:$CV$9,1,BY27))/12,IF(BY27=1,IF(BY28&gt;=INDEX('Lease Cycles'!$DK$9:$DQ$9,1,BY27),IF(BY$6&gt;='Lease Cycles'!$AZ$9,'Lease Cycles'!$C$9*'Lease Cycles'!$BA$9/12,IF(BY$6&gt;='Lease Cycles'!$AX$9,'Lease Cycles'!$C$9*'Lease Cycles'!$AY$9/12,IF(BY$6&gt;='Lease Cycles'!$AV$9,'Lease Cycles'!$C$9*'Lease Cycles'!$AW$9/12,IF(BY$6&gt;='Lease Cycles'!$AT$9,'Lease Cycles'!$C$9*'Lease Cycles'!$AU$9/12,'Lease Cycles'!$C$9*INDEX('Lease Cycles'!$CB$9:$CH$9,1,BY27)*(1+INDEX('Lease Cycles'!$CI$9:$CO$9,1,BY27))^INT(INT(BY28/12)/INDEX('Lease Cycles'!$CP$9:$CV$9,1,BY27))/12)))),'Lease Cycles'!$C$9*INDEX('Lease Cycles'!$CB$9:$CH$9,1,BY27)*(1+INDEX('Lease Cycles'!$CI$9:$CO$9,1,BY27))^INT(INT(BY28/12)/INDEX('Lease Cycles'!$CP$9:$CV$9,1,BY27))/12),IF(INDEX('Lease Cycles'!$EF$9:$EL$9,1,BY27)=1,IF(AND('Lease Cycles'!$AZ$9&gt;=INDEX('Lease Cycles'!$BG$9:$BM$9,1,BY27),'Lease Cycles'!$AZ$9&lt;=BY$6),'Lease Cycles'!$C$9*'Lease Cycles'!$BA$9/12,IF(AND('Lease Cycles'!$AX$9&gt;=INDEX('Lease Cycles'!$BG$9:$BM$9,1,BY27),'Lease Cycles'!$AX$9&lt;=BY$6),'Lease Cycles'!$C$9*'Lease Cycles'!$AY$9/12,IF(AND('Lease Cycles'!$AV$9&gt;=INDEX('Lease Cycles'!$BG$9:$BM$9,1,BY27),'Lease Cycles'!$AV$9&lt;=BY$6),'Lease Cycles'!$C$9*'Lease Cycles'!$AW$9/12,IF(AND('Lease Cycles'!$AT$9&gt;=INDEX('Lease Cycles'!$BG$9:$BM$9,1,BY27),'Lease Cycles'!$AT$9&lt;=BY$6),'Lease Cycles'!$C$9*'Lease Cycles'!$AU$9/12,'Lease Cycles'!$C$9*INDEX('Lease Cycles'!$CB$9:$CH$9,1,BY27)*(1+INDEX('Lease Cycles'!$CI$9:$CO$9,1,BY27))^INT(INT(BY28/12)/INDEX('Lease Cycles'!$CP$9:$CV$9,1,BY27))/12)))),'Lease Cycles'!$C$9*INDEX('Lease Cycles'!$CB$9:$CH$9,1,BY27)*(1+INDEX('Lease Cycles'!$CI$9:$CO$9,1,BY27))^INT(INT(BY28/12)/INDEX('Lease Cycles'!$CP$9:$CV$9,1,BY27))/12))),IF('Lease Cycles'!$N$9=1,'Lease Cycles'!$C$9*'Lease Cycles'!$E$9*INDEX('Lease Cycles'!$HE$9:$HK$9,1,BY27)*(1+INDEX('Lease Cycles'!$GQ$9:$GW$9,1,BY27))^INT(INT((BY$6-INDEX('Lease Cycles'!$GJ$9:$GP$9,1,BY27))/12)/INDEX('Lease Cycles'!$GX$9:$HD$9,1,BY27))/12,0)))</f>
        <v>13852.651568415735</v>
      </c>
      <c r="BZ30" s="28">
        <f>IF(BZ27=0,IF('Lease Cycles'!$F$9&gt;0,'Lease Cycles'!$C$9*'Lease Cycles'!$E$9/12,0),IF(BZ29=1,IF('Lease Cycles'!$AT$9&gt;=9999,'Lease Cycles'!$C$9*INDEX('Lease Cycles'!$CB$9:$CH$9,1,BZ27)*(1+INDEX('Lease Cycles'!$CI$9:$CO$9,1,BZ27))^INT(INT(BZ28/12)/INDEX('Lease Cycles'!$CP$9:$CV$9,1,BZ27))/12,IF(BZ27=1,IF(BZ28&gt;=INDEX('Lease Cycles'!$DK$9:$DQ$9,1,BZ27),IF(BZ$6&gt;='Lease Cycles'!$AZ$9,'Lease Cycles'!$C$9*'Lease Cycles'!$BA$9/12,IF(BZ$6&gt;='Lease Cycles'!$AX$9,'Lease Cycles'!$C$9*'Lease Cycles'!$AY$9/12,IF(BZ$6&gt;='Lease Cycles'!$AV$9,'Lease Cycles'!$C$9*'Lease Cycles'!$AW$9/12,IF(BZ$6&gt;='Lease Cycles'!$AT$9,'Lease Cycles'!$C$9*'Lease Cycles'!$AU$9/12,'Lease Cycles'!$C$9*INDEX('Lease Cycles'!$CB$9:$CH$9,1,BZ27)*(1+INDEX('Lease Cycles'!$CI$9:$CO$9,1,BZ27))^INT(INT(BZ28/12)/INDEX('Lease Cycles'!$CP$9:$CV$9,1,BZ27))/12)))),'Lease Cycles'!$C$9*INDEX('Lease Cycles'!$CB$9:$CH$9,1,BZ27)*(1+INDEX('Lease Cycles'!$CI$9:$CO$9,1,BZ27))^INT(INT(BZ28/12)/INDEX('Lease Cycles'!$CP$9:$CV$9,1,BZ27))/12),IF(INDEX('Lease Cycles'!$EF$9:$EL$9,1,BZ27)=1,IF(AND('Lease Cycles'!$AZ$9&gt;=INDEX('Lease Cycles'!$BG$9:$BM$9,1,BZ27),'Lease Cycles'!$AZ$9&lt;=BZ$6),'Lease Cycles'!$C$9*'Lease Cycles'!$BA$9/12,IF(AND('Lease Cycles'!$AX$9&gt;=INDEX('Lease Cycles'!$BG$9:$BM$9,1,BZ27),'Lease Cycles'!$AX$9&lt;=BZ$6),'Lease Cycles'!$C$9*'Lease Cycles'!$AY$9/12,IF(AND('Lease Cycles'!$AV$9&gt;=INDEX('Lease Cycles'!$BG$9:$BM$9,1,BZ27),'Lease Cycles'!$AV$9&lt;=BZ$6),'Lease Cycles'!$C$9*'Lease Cycles'!$AW$9/12,IF(AND('Lease Cycles'!$AT$9&gt;=INDEX('Lease Cycles'!$BG$9:$BM$9,1,BZ27),'Lease Cycles'!$AT$9&lt;=BZ$6),'Lease Cycles'!$C$9*'Lease Cycles'!$AU$9/12,'Lease Cycles'!$C$9*INDEX('Lease Cycles'!$CB$9:$CH$9,1,BZ27)*(1+INDEX('Lease Cycles'!$CI$9:$CO$9,1,BZ27))^INT(INT(BZ28/12)/INDEX('Lease Cycles'!$CP$9:$CV$9,1,BZ27))/12)))),'Lease Cycles'!$C$9*INDEX('Lease Cycles'!$CB$9:$CH$9,1,BZ27)*(1+INDEX('Lease Cycles'!$CI$9:$CO$9,1,BZ27))^INT(INT(BZ28/12)/INDEX('Lease Cycles'!$CP$9:$CV$9,1,BZ27))/12))),IF('Lease Cycles'!$N$9=1,'Lease Cycles'!$C$9*'Lease Cycles'!$E$9*INDEX('Lease Cycles'!$HE$9:$HK$9,1,BZ27)*(1+INDEX('Lease Cycles'!$GQ$9:$GW$9,1,BZ27))^INT(INT((BZ$6-INDEX('Lease Cycles'!$GJ$9:$GP$9,1,BZ27))/12)/INDEX('Lease Cycles'!$GX$9:$HD$9,1,BZ27))/12,0)))</f>
        <v>13852.651568415735</v>
      </c>
      <c r="CA30" s="28">
        <f>IF(CA27=0,IF('Lease Cycles'!$F$9&gt;0,'Lease Cycles'!$C$9*'Lease Cycles'!$E$9/12,0),IF(CA29=1,IF('Lease Cycles'!$AT$9&gt;=9999,'Lease Cycles'!$C$9*INDEX('Lease Cycles'!$CB$9:$CH$9,1,CA27)*(1+INDEX('Lease Cycles'!$CI$9:$CO$9,1,CA27))^INT(INT(CA28/12)/INDEX('Lease Cycles'!$CP$9:$CV$9,1,CA27))/12,IF(CA27=1,IF(CA28&gt;=INDEX('Lease Cycles'!$DK$9:$DQ$9,1,CA27),IF(CA$6&gt;='Lease Cycles'!$AZ$9,'Lease Cycles'!$C$9*'Lease Cycles'!$BA$9/12,IF(CA$6&gt;='Lease Cycles'!$AX$9,'Lease Cycles'!$C$9*'Lease Cycles'!$AY$9/12,IF(CA$6&gt;='Lease Cycles'!$AV$9,'Lease Cycles'!$C$9*'Lease Cycles'!$AW$9/12,IF(CA$6&gt;='Lease Cycles'!$AT$9,'Lease Cycles'!$C$9*'Lease Cycles'!$AU$9/12,'Lease Cycles'!$C$9*INDEX('Lease Cycles'!$CB$9:$CH$9,1,CA27)*(1+INDEX('Lease Cycles'!$CI$9:$CO$9,1,CA27))^INT(INT(CA28/12)/INDEX('Lease Cycles'!$CP$9:$CV$9,1,CA27))/12)))),'Lease Cycles'!$C$9*INDEX('Lease Cycles'!$CB$9:$CH$9,1,CA27)*(1+INDEX('Lease Cycles'!$CI$9:$CO$9,1,CA27))^INT(INT(CA28/12)/INDEX('Lease Cycles'!$CP$9:$CV$9,1,CA27))/12),IF(INDEX('Lease Cycles'!$EF$9:$EL$9,1,CA27)=1,IF(AND('Lease Cycles'!$AZ$9&gt;=INDEX('Lease Cycles'!$BG$9:$BM$9,1,CA27),'Lease Cycles'!$AZ$9&lt;=CA$6),'Lease Cycles'!$C$9*'Lease Cycles'!$BA$9/12,IF(AND('Lease Cycles'!$AX$9&gt;=INDEX('Lease Cycles'!$BG$9:$BM$9,1,CA27),'Lease Cycles'!$AX$9&lt;=CA$6),'Lease Cycles'!$C$9*'Lease Cycles'!$AY$9/12,IF(AND('Lease Cycles'!$AV$9&gt;=INDEX('Lease Cycles'!$BG$9:$BM$9,1,CA27),'Lease Cycles'!$AV$9&lt;=CA$6),'Lease Cycles'!$C$9*'Lease Cycles'!$AW$9/12,IF(AND('Lease Cycles'!$AT$9&gt;=INDEX('Lease Cycles'!$BG$9:$BM$9,1,CA27),'Lease Cycles'!$AT$9&lt;=CA$6),'Lease Cycles'!$C$9*'Lease Cycles'!$AU$9/12,'Lease Cycles'!$C$9*INDEX('Lease Cycles'!$CB$9:$CH$9,1,CA27)*(1+INDEX('Lease Cycles'!$CI$9:$CO$9,1,CA27))^INT(INT(CA28/12)/INDEX('Lease Cycles'!$CP$9:$CV$9,1,CA27))/12)))),'Lease Cycles'!$C$9*INDEX('Lease Cycles'!$CB$9:$CH$9,1,CA27)*(1+INDEX('Lease Cycles'!$CI$9:$CO$9,1,CA27))^INT(INT(CA28/12)/INDEX('Lease Cycles'!$CP$9:$CV$9,1,CA27))/12))),IF('Lease Cycles'!$N$9=1,'Lease Cycles'!$C$9*'Lease Cycles'!$E$9*INDEX('Lease Cycles'!$HE$9:$HK$9,1,CA27)*(1+INDEX('Lease Cycles'!$GQ$9:$GW$9,1,CA27))^INT(INT((CA$6-INDEX('Lease Cycles'!$GJ$9:$GP$9,1,CA27))/12)/INDEX('Lease Cycles'!$GX$9:$HD$9,1,CA27))/12,0)))</f>
        <v>13852.651568415735</v>
      </c>
      <c r="CB30" s="28">
        <f>IF(CB27=0,IF('Lease Cycles'!$F$9&gt;0,'Lease Cycles'!$C$9*'Lease Cycles'!$E$9/12,0),IF(CB29=1,IF('Lease Cycles'!$AT$9&gt;=9999,'Lease Cycles'!$C$9*INDEX('Lease Cycles'!$CB$9:$CH$9,1,CB27)*(1+INDEX('Lease Cycles'!$CI$9:$CO$9,1,CB27))^INT(INT(CB28/12)/INDEX('Lease Cycles'!$CP$9:$CV$9,1,CB27))/12,IF(CB27=1,IF(CB28&gt;=INDEX('Lease Cycles'!$DK$9:$DQ$9,1,CB27),IF(CB$6&gt;='Lease Cycles'!$AZ$9,'Lease Cycles'!$C$9*'Lease Cycles'!$BA$9/12,IF(CB$6&gt;='Lease Cycles'!$AX$9,'Lease Cycles'!$C$9*'Lease Cycles'!$AY$9/12,IF(CB$6&gt;='Lease Cycles'!$AV$9,'Lease Cycles'!$C$9*'Lease Cycles'!$AW$9/12,IF(CB$6&gt;='Lease Cycles'!$AT$9,'Lease Cycles'!$C$9*'Lease Cycles'!$AU$9/12,'Lease Cycles'!$C$9*INDEX('Lease Cycles'!$CB$9:$CH$9,1,CB27)*(1+INDEX('Lease Cycles'!$CI$9:$CO$9,1,CB27))^INT(INT(CB28/12)/INDEX('Lease Cycles'!$CP$9:$CV$9,1,CB27))/12)))),'Lease Cycles'!$C$9*INDEX('Lease Cycles'!$CB$9:$CH$9,1,CB27)*(1+INDEX('Lease Cycles'!$CI$9:$CO$9,1,CB27))^INT(INT(CB28/12)/INDEX('Lease Cycles'!$CP$9:$CV$9,1,CB27))/12),IF(INDEX('Lease Cycles'!$EF$9:$EL$9,1,CB27)=1,IF(AND('Lease Cycles'!$AZ$9&gt;=INDEX('Lease Cycles'!$BG$9:$BM$9,1,CB27),'Lease Cycles'!$AZ$9&lt;=CB$6),'Lease Cycles'!$C$9*'Lease Cycles'!$BA$9/12,IF(AND('Lease Cycles'!$AX$9&gt;=INDEX('Lease Cycles'!$BG$9:$BM$9,1,CB27),'Lease Cycles'!$AX$9&lt;=CB$6),'Lease Cycles'!$C$9*'Lease Cycles'!$AY$9/12,IF(AND('Lease Cycles'!$AV$9&gt;=INDEX('Lease Cycles'!$BG$9:$BM$9,1,CB27),'Lease Cycles'!$AV$9&lt;=CB$6),'Lease Cycles'!$C$9*'Lease Cycles'!$AW$9/12,IF(AND('Lease Cycles'!$AT$9&gt;=INDEX('Lease Cycles'!$BG$9:$BM$9,1,CB27),'Lease Cycles'!$AT$9&lt;=CB$6),'Lease Cycles'!$C$9*'Lease Cycles'!$AU$9/12,'Lease Cycles'!$C$9*INDEX('Lease Cycles'!$CB$9:$CH$9,1,CB27)*(1+INDEX('Lease Cycles'!$CI$9:$CO$9,1,CB27))^INT(INT(CB28/12)/INDEX('Lease Cycles'!$CP$9:$CV$9,1,CB27))/12)))),'Lease Cycles'!$C$9*INDEX('Lease Cycles'!$CB$9:$CH$9,1,CB27)*(1+INDEX('Lease Cycles'!$CI$9:$CO$9,1,CB27))^INT(INT(CB28/12)/INDEX('Lease Cycles'!$CP$9:$CV$9,1,CB27))/12))),IF('Lease Cycles'!$N$9=1,'Lease Cycles'!$C$9*'Lease Cycles'!$E$9*INDEX('Lease Cycles'!$HE$9:$HK$9,1,CB27)*(1+INDEX('Lease Cycles'!$GQ$9:$GW$9,1,CB27))^INT(INT((CB$6-INDEX('Lease Cycles'!$GJ$9:$GP$9,1,CB27))/12)/INDEX('Lease Cycles'!$GX$9:$HD$9,1,CB27))/12,0)))</f>
        <v>13852.651568415735</v>
      </c>
      <c r="CC30" s="28">
        <f>IF(CC27=0,IF('Lease Cycles'!$F$9&gt;0,'Lease Cycles'!$C$9*'Lease Cycles'!$E$9/12,0),IF(CC29=1,IF('Lease Cycles'!$AT$9&gt;=9999,'Lease Cycles'!$C$9*INDEX('Lease Cycles'!$CB$9:$CH$9,1,CC27)*(1+INDEX('Lease Cycles'!$CI$9:$CO$9,1,CC27))^INT(INT(CC28/12)/INDEX('Lease Cycles'!$CP$9:$CV$9,1,CC27))/12,IF(CC27=1,IF(CC28&gt;=INDEX('Lease Cycles'!$DK$9:$DQ$9,1,CC27),IF(CC$6&gt;='Lease Cycles'!$AZ$9,'Lease Cycles'!$C$9*'Lease Cycles'!$BA$9/12,IF(CC$6&gt;='Lease Cycles'!$AX$9,'Lease Cycles'!$C$9*'Lease Cycles'!$AY$9/12,IF(CC$6&gt;='Lease Cycles'!$AV$9,'Lease Cycles'!$C$9*'Lease Cycles'!$AW$9/12,IF(CC$6&gt;='Lease Cycles'!$AT$9,'Lease Cycles'!$C$9*'Lease Cycles'!$AU$9/12,'Lease Cycles'!$C$9*INDEX('Lease Cycles'!$CB$9:$CH$9,1,CC27)*(1+INDEX('Lease Cycles'!$CI$9:$CO$9,1,CC27))^INT(INT(CC28/12)/INDEX('Lease Cycles'!$CP$9:$CV$9,1,CC27))/12)))),'Lease Cycles'!$C$9*INDEX('Lease Cycles'!$CB$9:$CH$9,1,CC27)*(1+INDEX('Lease Cycles'!$CI$9:$CO$9,1,CC27))^INT(INT(CC28/12)/INDEX('Lease Cycles'!$CP$9:$CV$9,1,CC27))/12),IF(INDEX('Lease Cycles'!$EF$9:$EL$9,1,CC27)=1,IF(AND('Lease Cycles'!$AZ$9&gt;=INDEX('Lease Cycles'!$BG$9:$BM$9,1,CC27),'Lease Cycles'!$AZ$9&lt;=CC$6),'Lease Cycles'!$C$9*'Lease Cycles'!$BA$9/12,IF(AND('Lease Cycles'!$AX$9&gt;=INDEX('Lease Cycles'!$BG$9:$BM$9,1,CC27),'Lease Cycles'!$AX$9&lt;=CC$6),'Lease Cycles'!$C$9*'Lease Cycles'!$AY$9/12,IF(AND('Lease Cycles'!$AV$9&gt;=INDEX('Lease Cycles'!$BG$9:$BM$9,1,CC27),'Lease Cycles'!$AV$9&lt;=CC$6),'Lease Cycles'!$C$9*'Lease Cycles'!$AW$9/12,IF(AND('Lease Cycles'!$AT$9&gt;=INDEX('Lease Cycles'!$BG$9:$BM$9,1,CC27),'Lease Cycles'!$AT$9&lt;=CC$6),'Lease Cycles'!$C$9*'Lease Cycles'!$AU$9/12,'Lease Cycles'!$C$9*INDEX('Lease Cycles'!$CB$9:$CH$9,1,CC27)*(1+INDEX('Lease Cycles'!$CI$9:$CO$9,1,CC27))^INT(INT(CC28/12)/INDEX('Lease Cycles'!$CP$9:$CV$9,1,CC27))/12)))),'Lease Cycles'!$C$9*INDEX('Lease Cycles'!$CB$9:$CH$9,1,CC27)*(1+INDEX('Lease Cycles'!$CI$9:$CO$9,1,CC27))^INT(INT(CC28/12)/INDEX('Lease Cycles'!$CP$9:$CV$9,1,CC27))/12))),IF('Lease Cycles'!$N$9=1,'Lease Cycles'!$C$9*'Lease Cycles'!$E$9*INDEX('Lease Cycles'!$HE$9:$HK$9,1,CC27)*(1+INDEX('Lease Cycles'!$GQ$9:$GW$9,1,CC27))^INT(INT((CC$6-INDEX('Lease Cycles'!$GJ$9:$GP$9,1,CC27))/12)/INDEX('Lease Cycles'!$GX$9:$HD$9,1,CC27))/12,0)))</f>
        <v>13852.651568415735</v>
      </c>
      <c r="CD30" s="28">
        <f>IF(CD27=0,IF('Lease Cycles'!$F$9&gt;0,'Lease Cycles'!$C$9*'Lease Cycles'!$E$9/12,0),IF(CD29=1,IF('Lease Cycles'!$AT$9&gt;=9999,'Lease Cycles'!$C$9*INDEX('Lease Cycles'!$CB$9:$CH$9,1,CD27)*(1+INDEX('Lease Cycles'!$CI$9:$CO$9,1,CD27))^INT(INT(CD28/12)/INDEX('Lease Cycles'!$CP$9:$CV$9,1,CD27))/12,IF(CD27=1,IF(CD28&gt;=INDEX('Lease Cycles'!$DK$9:$DQ$9,1,CD27),IF(CD$6&gt;='Lease Cycles'!$AZ$9,'Lease Cycles'!$C$9*'Lease Cycles'!$BA$9/12,IF(CD$6&gt;='Lease Cycles'!$AX$9,'Lease Cycles'!$C$9*'Lease Cycles'!$AY$9/12,IF(CD$6&gt;='Lease Cycles'!$AV$9,'Lease Cycles'!$C$9*'Lease Cycles'!$AW$9/12,IF(CD$6&gt;='Lease Cycles'!$AT$9,'Lease Cycles'!$C$9*'Lease Cycles'!$AU$9/12,'Lease Cycles'!$C$9*INDEX('Lease Cycles'!$CB$9:$CH$9,1,CD27)*(1+INDEX('Lease Cycles'!$CI$9:$CO$9,1,CD27))^INT(INT(CD28/12)/INDEX('Lease Cycles'!$CP$9:$CV$9,1,CD27))/12)))),'Lease Cycles'!$C$9*INDEX('Lease Cycles'!$CB$9:$CH$9,1,CD27)*(1+INDEX('Lease Cycles'!$CI$9:$CO$9,1,CD27))^INT(INT(CD28/12)/INDEX('Lease Cycles'!$CP$9:$CV$9,1,CD27))/12),IF(INDEX('Lease Cycles'!$EF$9:$EL$9,1,CD27)=1,IF(AND('Lease Cycles'!$AZ$9&gt;=INDEX('Lease Cycles'!$BG$9:$BM$9,1,CD27),'Lease Cycles'!$AZ$9&lt;=CD$6),'Lease Cycles'!$C$9*'Lease Cycles'!$BA$9/12,IF(AND('Lease Cycles'!$AX$9&gt;=INDEX('Lease Cycles'!$BG$9:$BM$9,1,CD27),'Lease Cycles'!$AX$9&lt;=CD$6),'Lease Cycles'!$C$9*'Lease Cycles'!$AY$9/12,IF(AND('Lease Cycles'!$AV$9&gt;=INDEX('Lease Cycles'!$BG$9:$BM$9,1,CD27),'Lease Cycles'!$AV$9&lt;=CD$6),'Lease Cycles'!$C$9*'Lease Cycles'!$AW$9/12,IF(AND('Lease Cycles'!$AT$9&gt;=INDEX('Lease Cycles'!$BG$9:$BM$9,1,CD27),'Lease Cycles'!$AT$9&lt;=CD$6),'Lease Cycles'!$C$9*'Lease Cycles'!$AU$9/12,'Lease Cycles'!$C$9*INDEX('Lease Cycles'!$CB$9:$CH$9,1,CD27)*(1+INDEX('Lease Cycles'!$CI$9:$CO$9,1,CD27))^INT(INT(CD28/12)/INDEX('Lease Cycles'!$CP$9:$CV$9,1,CD27))/12)))),'Lease Cycles'!$C$9*INDEX('Lease Cycles'!$CB$9:$CH$9,1,CD27)*(1+INDEX('Lease Cycles'!$CI$9:$CO$9,1,CD27))^INT(INT(CD28/12)/INDEX('Lease Cycles'!$CP$9:$CV$9,1,CD27))/12))),IF('Lease Cycles'!$N$9=1,'Lease Cycles'!$C$9*'Lease Cycles'!$E$9*INDEX('Lease Cycles'!$HE$9:$HK$9,1,CD27)*(1+INDEX('Lease Cycles'!$GQ$9:$GW$9,1,CD27))^INT(INT((CD$6-INDEX('Lease Cycles'!$GJ$9:$GP$9,1,CD27))/12)/INDEX('Lease Cycles'!$GX$9:$HD$9,1,CD27))/12,0)))</f>
        <v>13852.651568415735</v>
      </c>
      <c r="CE30" s="28">
        <f>IF(CE27=0,IF('Lease Cycles'!$F$9&gt;0,'Lease Cycles'!$C$9*'Lease Cycles'!$E$9/12,0),IF(CE29=1,IF('Lease Cycles'!$AT$9&gt;=9999,'Lease Cycles'!$C$9*INDEX('Lease Cycles'!$CB$9:$CH$9,1,CE27)*(1+INDEX('Lease Cycles'!$CI$9:$CO$9,1,CE27))^INT(INT(CE28/12)/INDEX('Lease Cycles'!$CP$9:$CV$9,1,CE27))/12,IF(CE27=1,IF(CE28&gt;=INDEX('Lease Cycles'!$DK$9:$DQ$9,1,CE27),IF(CE$6&gt;='Lease Cycles'!$AZ$9,'Lease Cycles'!$C$9*'Lease Cycles'!$BA$9/12,IF(CE$6&gt;='Lease Cycles'!$AX$9,'Lease Cycles'!$C$9*'Lease Cycles'!$AY$9/12,IF(CE$6&gt;='Lease Cycles'!$AV$9,'Lease Cycles'!$C$9*'Lease Cycles'!$AW$9/12,IF(CE$6&gt;='Lease Cycles'!$AT$9,'Lease Cycles'!$C$9*'Lease Cycles'!$AU$9/12,'Lease Cycles'!$C$9*INDEX('Lease Cycles'!$CB$9:$CH$9,1,CE27)*(1+INDEX('Lease Cycles'!$CI$9:$CO$9,1,CE27))^INT(INT(CE28/12)/INDEX('Lease Cycles'!$CP$9:$CV$9,1,CE27))/12)))),'Lease Cycles'!$C$9*INDEX('Lease Cycles'!$CB$9:$CH$9,1,CE27)*(1+INDEX('Lease Cycles'!$CI$9:$CO$9,1,CE27))^INT(INT(CE28/12)/INDEX('Lease Cycles'!$CP$9:$CV$9,1,CE27))/12),IF(INDEX('Lease Cycles'!$EF$9:$EL$9,1,CE27)=1,IF(AND('Lease Cycles'!$AZ$9&gt;=INDEX('Lease Cycles'!$BG$9:$BM$9,1,CE27),'Lease Cycles'!$AZ$9&lt;=CE$6),'Lease Cycles'!$C$9*'Lease Cycles'!$BA$9/12,IF(AND('Lease Cycles'!$AX$9&gt;=INDEX('Lease Cycles'!$BG$9:$BM$9,1,CE27),'Lease Cycles'!$AX$9&lt;=CE$6),'Lease Cycles'!$C$9*'Lease Cycles'!$AY$9/12,IF(AND('Lease Cycles'!$AV$9&gt;=INDEX('Lease Cycles'!$BG$9:$BM$9,1,CE27),'Lease Cycles'!$AV$9&lt;=CE$6),'Lease Cycles'!$C$9*'Lease Cycles'!$AW$9/12,IF(AND('Lease Cycles'!$AT$9&gt;=INDEX('Lease Cycles'!$BG$9:$BM$9,1,CE27),'Lease Cycles'!$AT$9&lt;=CE$6),'Lease Cycles'!$C$9*'Lease Cycles'!$AU$9/12,'Lease Cycles'!$C$9*INDEX('Lease Cycles'!$CB$9:$CH$9,1,CE27)*(1+INDEX('Lease Cycles'!$CI$9:$CO$9,1,CE27))^INT(INT(CE28/12)/INDEX('Lease Cycles'!$CP$9:$CV$9,1,CE27))/12)))),'Lease Cycles'!$C$9*INDEX('Lease Cycles'!$CB$9:$CH$9,1,CE27)*(1+INDEX('Lease Cycles'!$CI$9:$CO$9,1,CE27))^INT(INT(CE28/12)/INDEX('Lease Cycles'!$CP$9:$CV$9,1,CE27))/12))),IF('Lease Cycles'!$N$9=1,'Lease Cycles'!$C$9*'Lease Cycles'!$E$9*INDEX('Lease Cycles'!$HE$9:$HK$9,1,CE27)*(1+INDEX('Lease Cycles'!$GQ$9:$GW$9,1,CE27))^INT(INT((CE$6-INDEX('Lease Cycles'!$GJ$9:$GP$9,1,CE27))/12)/INDEX('Lease Cycles'!$GX$9:$HD$9,1,CE27))/12,0)))</f>
        <v>13852.651568415735</v>
      </c>
      <c r="CF30" s="28">
        <f>IF(CF27=0,IF('Lease Cycles'!$F$9&gt;0,'Lease Cycles'!$C$9*'Lease Cycles'!$E$9/12,0),IF(CF29=1,IF('Lease Cycles'!$AT$9&gt;=9999,'Lease Cycles'!$C$9*INDEX('Lease Cycles'!$CB$9:$CH$9,1,CF27)*(1+INDEX('Lease Cycles'!$CI$9:$CO$9,1,CF27))^INT(INT(CF28/12)/INDEX('Lease Cycles'!$CP$9:$CV$9,1,CF27))/12,IF(CF27=1,IF(CF28&gt;=INDEX('Lease Cycles'!$DK$9:$DQ$9,1,CF27),IF(CF$6&gt;='Lease Cycles'!$AZ$9,'Lease Cycles'!$C$9*'Lease Cycles'!$BA$9/12,IF(CF$6&gt;='Lease Cycles'!$AX$9,'Lease Cycles'!$C$9*'Lease Cycles'!$AY$9/12,IF(CF$6&gt;='Lease Cycles'!$AV$9,'Lease Cycles'!$C$9*'Lease Cycles'!$AW$9/12,IF(CF$6&gt;='Lease Cycles'!$AT$9,'Lease Cycles'!$C$9*'Lease Cycles'!$AU$9/12,'Lease Cycles'!$C$9*INDEX('Lease Cycles'!$CB$9:$CH$9,1,CF27)*(1+INDEX('Lease Cycles'!$CI$9:$CO$9,1,CF27))^INT(INT(CF28/12)/INDEX('Lease Cycles'!$CP$9:$CV$9,1,CF27))/12)))),'Lease Cycles'!$C$9*INDEX('Lease Cycles'!$CB$9:$CH$9,1,CF27)*(1+INDEX('Lease Cycles'!$CI$9:$CO$9,1,CF27))^INT(INT(CF28/12)/INDEX('Lease Cycles'!$CP$9:$CV$9,1,CF27))/12),IF(INDEX('Lease Cycles'!$EF$9:$EL$9,1,CF27)=1,IF(AND('Lease Cycles'!$AZ$9&gt;=INDEX('Lease Cycles'!$BG$9:$BM$9,1,CF27),'Lease Cycles'!$AZ$9&lt;=CF$6),'Lease Cycles'!$C$9*'Lease Cycles'!$BA$9/12,IF(AND('Lease Cycles'!$AX$9&gt;=INDEX('Lease Cycles'!$BG$9:$BM$9,1,CF27),'Lease Cycles'!$AX$9&lt;=CF$6),'Lease Cycles'!$C$9*'Lease Cycles'!$AY$9/12,IF(AND('Lease Cycles'!$AV$9&gt;=INDEX('Lease Cycles'!$BG$9:$BM$9,1,CF27),'Lease Cycles'!$AV$9&lt;=CF$6),'Lease Cycles'!$C$9*'Lease Cycles'!$AW$9/12,IF(AND('Lease Cycles'!$AT$9&gt;=INDEX('Lease Cycles'!$BG$9:$BM$9,1,CF27),'Lease Cycles'!$AT$9&lt;=CF$6),'Lease Cycles'!$C$9*'Lease Cycles'!$AU$9/12,'Lease Cycles'!$C$9*INDEX('Lease Cycles'!$CB$9:$CH$9,1,CF27)*(1+INDEX('Lease Cycles'!$CI$9:$CO$9,1,CF27))^INT(INT(CF28/12)/INDEX('Lease Cycles'!$CP$9:$CV$9,1,CF27))/12)))),'Lease Cycles'!$C$9*INDEX('Lease Cycles'!$CB$9:$CH$9,1,CF27)*(1+INDEX('Lease Cycles'!$CI$9:$CO$9,1,CF27))^INT(INT(CF28/12)/INDEX('Lease Cycles'!$CP$9:$CV$9,1,CF27))/12))),IF('Lease Cycles'!$N$9=1,'Lease Cycles'!$C$9*'Lease Cycles'!$E$9*INDEX('Lease Cycles'!$HE$9:$HK$9,1,CF27)*(1+INDEX('Lease Cycles'!$GQ$9:$GW$9,1,CF27))^INT(INT((CF$6-INDEX('Lease Cycles'!$GJ$9:$GP$9,1,CF27))/12)/INDEX('Lease Cycles'!$GX$9:$HD$9,1,CF27))/12,0)))</f>
        <v>13852.651568415735</v>
      </c>
      <c r="CG30" s="28">
        <f>IF(CG27=0,IF('Lease Cycles'!$F$9&gt;0,'Lease Cycles'!$C$9*'Lease Cycles'!$E$9/12,0),IF(CG29=1,IF('Lease Cycles'!$AT$9&gt;=9999,'Lease Cycles'!$C$9*INDEX('Lease Cycles'!$CB$9:$CH$9,1,CG27)*(1+INDEX('Lease Cycles'!$CI$9:$CO$9,1,CG27))^INT(INT(CG28/12)/INDEX('Lease Cycles'!$CP$9:$CV$9,1,CG27))/12,IF(CG27=1,IF(CG28&gt;=INDEX('Lease Cycles'!$DK$9:$DQ$9,1,CG27),IF(CG$6&gt;='Lease Cycles'!$AZ$9,'Lease Cycles'!$C$9*'Lease Cycles'!$BA$9/12,IF(CG$6&gt;='Lease Cycles'!$AX$9,'Lease Cycles'!$C$9*'Lease Cycles'!$AY$9/12,IF(CG$6&gt;='Lease Cycles'!$AV$9,'Lease Cycles'!$C$9*'Lease Cycles'!$AW$9/12,IF(CG$6&gt;='Lease Cycles'!$AT$9,'Lease Cycles'!$C$9*'Lease Cycles'!$AU$9/12,'Lease Cycles'!$C$9*INDEX('Lease Cycles'!$CB$9:$CH$9,1,CG27)*(1+INDEX('Lease Cycles'!$CI$9:$CO$9,1,CG27))^INT(INT(CG28/12)/INDEX('Lease Cycles'!$CP$9:$CV$9,1,CG27))/12)))),'Lease Cycles'!$C$9*INDEX('Lease Cycles'!$CB$9:$CH$9,1,CG27)*(1+INDEX('Lease Cycles'!$CI$9:$CO$9,1,CG27))^INT(INT(CG28/12)/INDEX('Lease Cycles'!$CP$9:$CV$9,1,CG27))/12),IF(INDEX('Lease Cycles'!$EF$9:$EL$9,1,CG27)=1,IF(AND('Lease Cycles'!$AZ$9&gt;=INDEX('Lease Cycles'!$BG$9:$BM$9,1,CG27),'Lease Cycles'!$AZ$9&lt;=CG$6),'Lease Cycles'!$C$9*'Lease Cycles'!$BA$9/12,IF(AND('Lease Cycles'!$AX$9&gt;=INDEX('Lease Cycles'!$BG$9:$BM$9,1,CG27),'Lease Cycles'!$AX$9&lt;=CG$6),'Lease Cycles'!$C$9*'Lease Cycles'!$AY$9/12,IF(AND('Lease Cycles'!$AV$9&gt;=INDEX('Lease Cycles'!$BG$9:$BM$9,1,CG27),'Lease Cycles'!$AV$9&lt;=CG$6),'Lease Cycles'!$C$9*'Lease Cycles'!$AW$9/12,IF(AND('Lease Cycles'!$AT$9&gt;=INDEX('Lease Cycles'!$BG$9:$BM$9,1,CG27),'Lease Cycles'!$AT$9&lt;=CG$6),'Lease Cycles'!$C$9*'Lease Cycles'!$AU$9/12,'Lease Cycles'!$C$9*INDEX('Lease Cycles'!$CB$9:$CH$9,1,CG27)*(1+INDEX('Lease Cycles'!$CI$9:$CO$9,1,CG27))^INT(INT(CG28/12)/INDEX('Lease Cycles'!$CP$9:$CV$9,1,CG27))/12)))),'Lease Cycles'!$C$9*INDEX('Lease Cycles'!$CB$9:$CH$9,1,CG27)*(1+INDEX('Lease Cycles'!$CI$9:$CO$9,1,CG27))^INT(INT(CG28/12)/INDEX('Lease Cycles'!$CP$9:$CV$9,1,CG27))/12))),IF('Lease Cycles'!$N$9=1,'Lease Cycles'!$C$9*'Lease Cycles'!$E$9*INDEX('Lease Cycles'!$HE$9:$HK$9,1,CG27)*(1+INDEX('Lease Cycles'!$GQ$9:$GW$9,1,CG27))^INT(INT((CG$6-INDEX('Lease Cycles'!$GJ$9:$GP$9,1,CG27))/12)/INDEX('Lease Cycles'!$GX$9:$HD$9,1,CG27))/12,0)))</f>
        <v>13852.651568415735</v>
      </c>
      <c r="CH30" s="28">
        <f>IF(CH27=0,IF('Lease Cycles'!$F$9&gt;0,'Lease Cycles'!$C$9*'Lease Cycles'!$E$9/12,0),IF(CH29=1,IF('Lease Cycles'!$AT$9&gt;=9999,'Lease Cycles'!$C$9*INDEX('Lease Cycles'!$CB$9:$CH$9,1,CH27)*(1+INDEX('Lease Cycles'!$CI$9:$CO$9,1,CH27))^INT(INT(CH28/12)/INDEX('Lease Cycles'!$CP$9:$CV$9,1,CH27))/12,IF(CH27=1,IF(CH28&gt;=INDEX('Lease Cycles'!$DK$9:$DQ$9,1,CH27),IF(CH$6&gt;='Lease Cycles'!$AZ$9,'Lease Cycles'!$C$9*'Lease Cycles'!$BA$9/12,IF(CH$6&gt;='Lease Cycles'!$AX$9,'Lease Cycles'!$C$9*'Lease Cycles'!$AY$9/12,IF(CH$6&gt;='Lease Cycles'!$AV$9,'Lease Cycles'!$C$9*'Lease Cycles'!$AW$9/12,IF(CH$6&gt;='Lease Cycles'!$AT$9,'Lease Cycles'!$C$9*'Lease Cycles'!$AU$9/12,'Lease Cycles'!$C$9*INDEX('Lease Cycles'!$CB$9:$CH$9,1,CH27)*(1+INDEX('Lease Cycles'!$CI$9:$CO$9,1,CH27))^INT(INT(CH28/12)/INDEX('Lease Cycles'!$CP$9:$CV$9,1,CH27))/12)))),'Lease Cycles'!$C$9*INDEX('Lease Cycles'!$CB$9:$CH$9,1,CH27)*(1+INDEX('Lease Cycles'!$CI$9:$CO$9,1,CH27))^INT(INT(CH28/12)/INDEX('Lease Cycles'!$CP$9:$CV$9,1,CH27))/12),IF(INDEX('Lease Cycles'!$EF$9:$EL$9,1,CH27)=1,IF(AND('Lease Cycles'!$AZ$9&gt;=INDEX('Lease Cycles'!$BG$9:$BM$9,1,CH27),'Lease Cycles'!$AZ$9&lt;=CH$6),'Lease Cycles'!$C$9*'Lease Cycles'!$BA$9/12,IF(AND('Lease Cycles'!$AX$9&gt;=INDEX('Lease Cycles'!$BG$9:$BM$9,1,CH27),'Lease Cycles'!$AX$9&lt;=CH$6),'Lease Cycles'!$C$9*'Lease Cycles'!$AY$9/12,IF(AND('Lease Cycles'!$AV$9&gt;=INDEX('Lease Cycles'!$BG$9:$BM$9,1,CH27),'Lease Cycles'!$AV$9&lt;=CH$6),'Lease Cycles'!$C$9*'Lease Cycles'!$AW$9/12,IF(AND('Lease Cycles'!$AT$9&gt;=INDEX('Lease Cycles'!$BG$9:$BM$9,1,CH27),'Lease Cycles'!$AT$9&lt;=CH$6),'Lease Cycles'!$C$9*'Lease Cycles'!$AU$9/12,'Lease Cycles'!$C$9*INDEX('Lease Cycles'!$CB$9:$CH$9,1,CH27)*(1+INDEX('Lease Cycles'!$CI$9:$CO$9,1,CH27))^INT(INT(CH28/12)/INDEX('Lease Cycles'!$CP$9:$CV$9,1,CH27))/12)))),'Lease Cycles'!$C$9*INDEX('Lease Cycles'!$CB$9:$CH$9,1,CH27)*(1+INDEX('Lease Cycles'!$CI$9:$CO$9,1,CH27))^INT(INT(CH28/12)/INDEX('Lease Cycles'!$CP$9:$CV$9,1,CH27))/12))),IF('Lease Cycles'!$N$9=1,'Lease Cycles'!$C$9*'Lease Cycles'!$E$9*INDEX('Lease Cycles'!$HE$9:$HK$9,1,CH27)*(1+INDEX('Lease Cycles'!$GQ$9:$GW$9,1,CH27))^INT(INT((CH$6-INDEX('Lease Cycles'!$GJ$9:$GP$9,1,CH27))/12)/INDEX('Lease Cycles'!$GX$9:$HD$9,1,CH27))/12,0)))</f>
        <v>13852.651568415735</v>
      </c>
      <c r="CI30" s="28">
        <f>IF(CI27=0,IF('Lease Cycles'!$F$9&gt;0,'Lease Cycles'!$C$9*'Lease Cycles'!$E$9/12,0),IF(CI29=1,IF('Lease Cycles'!$AT$9&gt;=9999,'Lease Cycles'!$C$9*INDEX('Lease Cycles'!$CB$9:$CH$9,1,CI27)*(1+INDEX('Lease Cycles'!$CI$9:$CO$9,1,CI27))^INT(INT(CI28/12)/INDEX('Lease Cycles'!$CP$9:$CV$9,1,CI27))/12,IF(CI27=1,IF(CI28&gt;=INDEX('Lease Cycles'!$DK$9:$DQ$9,1,CI27),IF(CI$6&gt;='Lease Cycles'!$AZ$9,'Lease Cycles'!$C$9*'Lease Cycles'!$BA$9/12,IF(CI$6&gt;='Lease Cycles'!$AX$9,'Lease Cycles'!$C$9*'Lease Cycles'!$AY$9/12,IF(CI$6&gt;='Lease Cycles'!$AV$9,'Lease Cycles'!$C$9*'Lease Cycles'!$AW$9/12,IF(CI$6&gt;='Lease Cycles'!$AT$9,'Lease Cycles'!$C$9*'Lease Cycles'!$AU$9/12,'Lease Cycles'!$C$9*INDEX('Lease Cycles'!$CB$9:$CH$9,1,CI27)*(1+INDEX('Lease Cycles'!$CI$9:$CO$9,1,CI27))^INT(INT(CI28/12)/INDEX('Lease Cycles'!$CP$9:$CV$9,1,CI27))/12)))),'Lease Cycles'!$C$9*INDEX('Lease Cycles'!$CB$9:$CH$9,1,CI27)*(1+INDEX('Lease Cycles'!$CI$9:$CO$9,1,CI27))^INT(INT(CI28/12)/INDEX('Lease Cycles'!$CP$9:$CV$9,1,CI27))/12),IF(INDEX('Lease Cycles'!$EF$9:$EL$9,1,CI27)=1,IF(AND('Lease Cycles'!$AZ$9&gt;=INDEX('Lease Cycles'!$BG$9:$BM$9,1,CI27),'Lease Cycles'!$AZ$9&lt;=CI$6),'Lease Cycles'!$C$9*'Lease Cycles'!$BA$9/12,IF(AND('Lease Cycles'!$AX$9&gt;=INDEX('Lease Cycles'!$BG$9:$BM$9,1,CI27),'Lease Cycles'!$AX$9&lt;=CI$6),'Lease Cycles'!$C$9*'Lease Cycles'!$AY$9/12,IF(AND('Lease Cycles'!$AV$9&gt;=INDEX('Lease Cycles'!$BG$9:$BM$9,1,CI27),'Lease Cycles'!$AV$9&lt;=CI$6),'Lease Cycles'!$C$9*'Lease Cycles'!$AW$9/12,IF(AND('Lease Cycles'!$AT$9&gt;=INDEX('Lease Cycles'!$BG$9:$BM$9,1,CI27),'Lease Cycles'!$AT$9&lt;=CI$6),'Lease Cycles'!$C$9*'Lease Cycles'!$AU$9/12,'Lease Cycles'!$C$9*INDEX('Lease Cycles'!$CB$9:$CH$9,1,CI27)*(1+INDEX('Lease Cycles'!$CI$9:$CO$9,1,CI27))^INT(INT(CI28/12)/INDEX('Lease Cycles'!$CP$9:$CV$9,1,CI27))/12)))),'Lease Cycles'!$C$9*INDEX('Lease Cycles'!$CB$9:$CH$9,1,CI27)*(1+INDEX('Lease Cycles'!$CI$9:$CO$9,1,CI27))^INT(INT(CI28/12)/INDEX('Lease Cycles'!$CP$9:$CV$9,1,CI27))/12))),IF('Lease Cycles'!$N$9=1,'Lease Cycles'!$C$9*'Lease Cycles'!$E$9*INDEX('Lease Cycles'!$HE$9:$HK$9,1,CI27)*(1+INDEX('Lease Cycles'!$GQ$9:$GW$9,1,CI27))^INT(INT((CI$6-INDEX('Lease Cycles'!$GJ$9:$GP$9,1,CI27))/12)/INDEX('Lease Cycles'!$GX$9:$HD$9,1,CI27))/12,0)))</f>
        <v>13852.651568415735</v>
      </c>
      <c r="CJ30" s="28">
        <f>IF(CJ27=0,IF('Lease Cycles'!$F$9&gt;0,'Lease Cycles'!$C$9*'Lease Cycles'!$E$9/12,0),IF(CJ29=1,IF('Lease Cycles'!$AT$9&gt;=9999,'Lease Cycles'!$C$9*INDEX('Lease Cycles'!$CB$9:$CH$9,1,CJ27)*(1+INDEX('Lease Cycles'!$CI$9:$CO$9,1,CJ27))^INT(INT(CJ28/12)/INDEX('Lease Cycles'!$CP$9:$CV$9,1,CJ27))/12,IF(CJ27=1,IF(CJ28&gt;=INDEX('Lease Cycles'!$DK$9:$DQ$9,1,CJ27),IF(CJ$6&gt;='Lease Cycles'!$AZ$9,'Lease Cycles'!$C$9*'Lease Cycles'!$BA$9/12,IF(CJ$6&gt;='Lease Cycles'!$AX$9,'Lease Cycles'!$C$9*'Lease Cycles'!$AY$9/12,IF(CJ$6&gt;='Lease Cycles'!$AV$9,'Lease Cycles'!$C$9*'Lease Cycles'!$AW$9/12,IF(CJ$6&gt;='Lease Cycles'!$AT$9,'Lease Cycles'!$C$9*'Lease Cycles'!$AU$9/12,'Lease Cycles'!$C$9*INDEX('Lease Cycles'!$CB$9:$CH$9,1,CJ27)*(1+INDEX('Lease Cycles'!$CI$9:$CO$9,1,CJ27))^INT(INT(CJ28/12)/INDEX('Lease Cycles'!$CP$9:$CV$9,1,CJ27))/12)))),'Lease Cycles'!$C$9*INDEX('Lease Cycles'!$CB$9:$CH$9,1,CJ27)*(1+INDEX('Lease Cycles'!$CI$9:$CO$9,1,CJ27))^INT(INT(CJ28/12)/INDEX('Lease Cycles'!$CP$9:$CV$9,1,CJ27))/12),IF(INDEX('Lease Cycles'!$EF$9:$EL$9,1,CJ27)=1,IF(AND('Lease Cycles'!$AZ$9&gt;=INDEX('Lease Cycles'!$BG$9:$BM$9,1,CJ27),'Lease Cycles'!$AZ$9&lt;=CJ$6),'Lease Cycles'!$C$9*'Lease Cycles'!$BA$9/12,IF(AND('Lease Cycles'!$AX$9&gt;=INDEX('Lease Cycles'!$BG$9:$BM$9,1,CJ27),'Lease Cycles'!$AX$9&lt;=CJ$6),'Lease Cycles'!$C$9*'Lease Cycles'!$AY$9/12,IF(AND('Lease Cycles'!$AV$9&gt;=INDEX('Lease Cycles'!$BG$9:$BM$9,1,CJ27),'Lease Cycles'!$AV$9&lt;=CJ$6),'Lease Cycles'!$C$9*'Lease Cycles'!$AW$9/12,IF(AND('Lease Cycles'!$AT$9&gt;=INDEX('Lease Cycles'!$BG$9:$BM$9,1,CJ27),'Lease Cycles'!$AT$9&lt;=CJ$6),'Lease Cycles'!$C$9*'Lease Cycles'!$AU$9/12,'Lease Cycles'!$C$9*INDEX('Lease Cycles'!$CB$9:$CH$9,1,CJ27)*(1+INDEX('Lease Cycles'!$CI$9:$CO$9,1,CJ27))^INT(INT(CJ28/12)/INDEX('Lease Cycles'!$CP$9:$CV$9,1,CJ27))/12)))),'Lease Cycles'!$C$9*INDEX('Lease Cycles'!$CB$9:$CH$9,1,CJ27)*(1+INDEX('Lease Cycles'!$CI$9:$CO$9,1,CJ27))^INT(INT(CJ28/12)/INDEX('Lease Cycles'!$CP$9:$CV$9,1,CJ27))/12))),IF('Lease Cycles'!$N$9=1,'Lease Cycles'!$C$9*'Lease Cycles'!$E$9*INDEX('Lease Cycles'!$HE$9:$HK$9,1,CJ27)*(1+INDEX('Lease Cycles'!$GQ$9:$GW$9,1,CJ27))^INT(INT((CJ$6-INDEX('Lease Cycles'!$GJ$9:$GP$9,1,CJ27))/12)/INDEX('Lease Cycles'!$GX$9:$HD$9,1,CJ27))/12,0)))</f>
        <v>13852.651568415735</v>
      </c>
      <c r="CK30" s="28">
        <f>IF(CK27=0,IF('Lease Cycles'!$F$9&gt;0,'Lease Cycles'!$C$9*'Lease Cycles'!$E$9/12,0),IF(CK29=1,IF('Lease Cycles'!$AT$9&gt;=9999,'Lease Cycles'!$C$9*INDEX('Lease Cycles'!$CB$9:$CH$9,1,CK27)*(1+INDEX('Lease Cycles'!$CI$9:$CO$9,1,CK27))^INT(INT(CK28/12)/INDEX('Lease Cycles'!$CP$9:$CV$9,1,CK27))/12,IF(CK27=1,IF(CK28&gt;=INDEX('Lease Cycles'!$DK$9:$DQ$9,1,CK27),IF(CK$6&gt;='Lease Cycles'!$AZ$9,'Lease Cycles'!$C$9*'Lease Cycles'!$BA$9/12,IF(CK$6&gt;='Lease Cycles'!$AX$9,'Lease Cycles'!$C$9*'Lease Cycles'!$AY$9/12,IF(CK$6&gt;='Lease Cycles'!$AV$9,'Lease Cycles'!$C$9*'Lease Cycles'!$AW$9/12,IF(CK$6&gt;='Lease Cycles'!$AT$9,'Lease Cycles'!$C$9*'Lease Cycles'!$AU$9/12,'Lease Cycles'!$C$9*INDEX('Lease Cycles'!$CB$9:$CH$9,1,CK27)*(1+INDEX('Lease Cycles'!$CI$9:$CO$9,1,CK27))^INT(INT(CK28/12)/INDEX('Lease Cycles'!$CP$9:$CV$9,1,CK27))/12)))),'Lease Cycles'!$C$9*INDEX('Lease Cycles'!$CB$9:$CH$9,1,CK27)*(1+INDEX('Lease Cycles'!$CI$9:$CO$9,1,CK27))^INT(INT(CK28/12)/INDEX('Lease Cycles'!$CP$9:$CV$9,1,CK27))/12),IF(INDEX('Lease Cycles'!$EF$9:$EL$9,1,CK27)=1,IF(AND('Lease Cycles'!$AZ$9&gt;=INDEX('Lease Cycles'!$BG$9:$BM$9,1,CK27),'Lease Cycles'!$AZ$9&lt;=CK$6),'Lease Cycles'!$C$9*'Lease Cycles'!$BA$9/12,IF(AND('Lease Cycles'!$AX$9&gt;=INDEX('Lease Cycles'!$BG$9:$BM$9,1,CK27),'Lease Cycles'!$AX$9&lt;=CK$6),'Lease Cycles'!$C$9*'Lease Cycles'!$AY$9/12,IF(AND('Lease Cycles'!$AV$9&gt;=INDEX('Lease Cycles'!$BG$9:$BM$9,1,CK27),'Lease Cycles'!$AV$9&lt;=CK$6),'Lease Cycles'!$C$9*'Lease Cycles'!$AW$9/12,IF(AND('Lease Cycles'!$AT$9&gt;=INDEX('Lease Cycles'!$BG$9:$BM$9,1,CK27),'Lease Cycles'!$AT$9&lt;=CK$6),'Lease Cycles'!$C$9*'Lease Cycles'!$AU$9/12,'Lease Cycles'!$C$9*INDEX('Lease Cycles'!$CB$9:$CH$9,1,CK27)*(1+INDEX('Lease Cycles'!$CI$9:$CO$9,1,CK27))^INT(INT(CK28/12)/INDEX('Lease Cycles'!$CP$9:$CV$9,1,CK27))/12)))),'Lease Cycles'!$C$9*INDEX('Lease Cycles'!$CB$9:$CH$9,1,CK27)*(1+INDEX('Lease Cycles'!$CI$9:$CO$9,1,CK27))^INT(INT(CK28/12)/INDEX('Lease Cycles'!$CP$9:$CV$9,1,CK27))/12))),IF('Lease Cycles'!$N$9=1,'Lease Cycles'!$C$9*'Lease Cycles'!$E$9*INDEX('Lease Cycles'!$HE$9:$HK$9,1,CK27)*(1+INDEX('Lease Cycles'!$GQ$9:$GW$9,1,CK27))^INT(INT((CK$6-INDEX('Lease Cycles'!$GJ$9:$GP$9,1,CK27))/12)/INDEX('Lease Cycles'!$GX$9:$HD$9,1,CK27))/12,0)))</f>
        <v>13852.651568415735</v>
      </c>
      <c r="CL30" s="28">
        <f>IF(CL27=0,IF('Lease Cycles'!$F$9&gt;0,'Lease Cycles'!$C$9*'Lease Cycles'!$E$9/12,0),IF(CL29=1,IF('Lease Cycles'!$AT$9&gt;=9999,'Lease Cycles'!$C$9*INDEX('Lease Cycles'!$CB$9:$CH$9,1,CL27)*(1+INDEX('Lease Cycles'!$CI$9:$CO$9,1,CL27))^INT(INT(CL28/12)/INDEX('Lease Cycles'!$CP$9:$CV$9,1,CL27))/12,IF(CL27=1,IF(CL28&gt;=INDEX('Lease Cycles'!$DK$9:$DQ$9,1,CL27),IF(CL$6&gt;='Lease Cycles'!$AZ$9,'Lease Cycles'!$C$9*'Lease Cycles'!$BA$9/12,IF(CL$6&gt;='Lease Cycles'!$AX$9,'Lease Cycles'!$C$9*'Lease Cycles'!$AY$9/12,IF(CL$6&gt;='Lease Cycles'!$AV$9,'Lease Cycles'!$C$9*'Lease Cycles'!$AW$9/12,IF(CL$6&gt;='Lease Cycles'!$AT$9,'Lease Cycles'!$C$9*'Lease Cycles'!$AU$9/12,'Lease Cycles'!$C$9*INDEX('Lease Cycles'!$CB$9:$CH$9,1,CL27)*(1+INDEX('Lease Cycles'!$CI$9:$CO$9,1,CL27))^INT(INT(CL28/12)/INDEX('Lease Cycles'!$CP$9:$CV$9,1,CL27))/12)))),'Lease Cycles'!$C$9*INDEX('Lease Cycles'!$CB$9:$CH$9,1,CL27)*(1+INDEX('Lease Cycles'!$CI$9:$CO$9,1,CL27))^INT(INT(CL28/12)/INDEX('Lease Cycles'!$CP$9:$CV$9,1,CL27))/12),IF(INDEX('Lease Cycles'!$EF$9:$EL$9,1,CL27)=1,IF(AND('Lease Cycles'!$AZ$9&gt;=INDEX('Lease Cycles'!$BG$9:$BM$9,1,CL27),'Lease Cycles'!$AZ$9&lt;=CL$6),'Lease Cycles'!$C$9*'Lease Cycles'!$BA$9/12,IF(AND('Lease Cycles'!$AX$9&gt;=INDEX('Lease Cycles'!$BG$9:$BM$9,1,CL27),'Lease Cycles'!$AX$9&lt;=CL$6),'Lease Cycles'!$C$9*'Lease Cycles'!$AY$9/12,IF(AND('Lease Cycles'!$AV$9&gt;=INDEX('Lease Cycles'!$BG$9:$BM$9,1,CL27),'Lease Cycles'!$AV$9&lt;=CL$6),'Lease Cycles'!$C$9*'Lease Cycles'!$AW$9/12,IF(AND('Lease Cycles'!$AT$9&gt;=INDEX('Lease Cycles'!$BG$9:$BM$9,1,CL27),'Lease Cycles'!$AT$9&lt;=CL$6),'Lease Cycles'!$C$9*'Lease Cycles'!$AU$9/12,'Lease Cycles'!$C$9*INDEX('Lease Cycles'!$CB$9:$CH$9,1,CL27)*(1+INDEX('Lease Cycles'!$CI$9:$CO$9,1,CL27))^INT(INT(CL28/12)/INDEX('Lease Cycles'!$CP$9:$CV$9,1,CL27))/12)))),'Lease Cycles'!$C$9*INDEX('Lease Cycles'!$CB$9:$CH$9,1,CL27)*(1+INDEX('Lease Cycles'!$CI$9:$CO$9,1,CL27))^INT(INT(CL28/12)/INDEX('Lease Cycles'!$CP$9:$CV$9,1,CL27))/12))),IF('Lease Cycles'!$N$9=1,'Lease Cycles'!$C$9*'Lease Cycles'!$E$9*INDEX('Lease Cycles'!$HE$9:$HK$9,1,CL27)*(1+INDEX('Lease Cycles'!$GQ$9:$GW$9,1,CL27))^INT(INT((CL$6-INDEX('Lease Cycles'!$GJ$9:$GP$9,1,CL27))/12)/INDEX('Lease Cycles'!$GX$9:$HD$9,1,CL27))/12,0)))</f>
        <v>13852.651568415735</v>
      </c>
      <c r="CM30" s="28">
        <f>IF(CM27=0,IF('Lease Cycles'!$F$9&gt;0,'Lease Cycles'!$C$9*'Lease Cycles'!$E$9/12,0),IF(CM29=1,IF('Lease Cycles'!$AT$9&gt;=9999,'Lease Cycles'!$C$9*INDEX('Lease Cycles'!$CB$9:$CH$9,1,CM27)*(1+INDEX('Lease Cycles'!$CI$9:$CO$9,1,CM27))^INT(INT(CM28/12)/INDEX('Lease Cycles'!$CP$9:$CV$9,1,CM27))/12,IF(CM27=1,IF(CM28&gt;=INDEX('Lease Cycles'!$DK$9:$DQ$9,1,CM27),IF(CM$6&gt;='Lease Cycles'!$AZ$9,'Lease Cycles'!$C$9*'Lease Cycles'!$BA$9/12,IF(CM$6&gt;='Lease Cycles'!$AX$9,'Lease Cycles'!$C$9*'Lease Cycles'!$AY$9/12,IF(CM$6&gt;='Lease Cycles'!$AV$9,'Lease Cycles'!$C$9*'Lease Cycles'!$AW$9/12,IF(CM$6&gt;='Lease Cycles'!$AT$9,'Lease Cycles'!$C$9*'Lease Cycles'!$AU$9/12,'Lease Cycles'!$C$9*INDEX('Lease Cycles'!$CB$9:$CH$9,1,CM27)*(1+INDEX('Lease Cycles'!$CI$9:$CO$9,1,CM27))^INT(INT(CM28/12)/INDEX('Lease Cycles'!$CP$9:$CV$9,1,CM27))/12)))),'Lease Cycles'!$C$9*INDEX('Lease Cycles'!$CB$9:$CH$9,1,CM27)*(1+INDEX('Lease Cycles'!$CI$9:$CO$9,1,CM27))^INT(INT(CM28/12)/INDEX('Lease Cycles'!$CP$9:$CV$9,1,CM27))/12),IF(INDEX('Lease Cycles'!$EF$9:$EL$9,1,CM27)=1,IF(AND('Lease Cycles'!$AZ$9&gt;=INDEX('Lease Cycles'!$BG$9:$BM$9,1,CM27),'Lease Cycles'!$AZ$9&lt;=CM$6),'Lease Cycles'!$C$9*'Lease Cycles'!$BA$9/12,IF(AND('Lease Cycles'!$AX$9&gt;=INDEX('Lease Cycles'!$BG$9:$BM$9,1,CM27),'Lease Cycles'!$AX$9&lt;=CM$6),'Lease Cycles'!$C$9*'Lease Cycles'!$AY$9/12,IF(AND('Lease Cycles'!$AV$9&gt;=INDEX('Lease Cycles'!$BG$9:$BM$9,1,CM27),'Lease Cycles'!$AV$9&lt;=CM$6),'Lease Cycles'!$C$9*'Lease Cycles'!$AW$9/12,IF(AND('Lease Cycles'!$AT$9&gt;=INDEX('Lease Cycles'!$BG$9:$BM$9,1,CM27),'Lease Cycles'!$AT$9&lt;=CM$6),'Lease Cycles'!$C$9*'Lease Cycles'!$AU$9/12,'Lease Cycles'!$C$9*INDEX('Lease Cycles'!$CB$9:$CH$9,1,CM27)*(1+INDEX('Lease Cycles'!$CI$9:$CO$9,1,CM27))^INT(INT(CM28/12)/INDEX('Lease Cycles'!$CP$9:$CV$9,1,CM27))/12)))),'Lease Cycles'!$C$9*INDEX('Lease Cycles'!$CB$9:$CH$9,1,CM27)*(1+INDEX('Lease Cycles'!$CI$9:$CO$9,1,CM27))^INT(INT(CM28/12)/INDEX('Lease Cycles'!$CP$9:$CV$9,1,CM27))/12))),IF('Lease Cycles'!$N$9=1,'Lease Cycles'!$C$9*'Lease Cycles'!$E$9*INDEX('Lease Cycles'!$HE$9:$HK$9,1,CM27)*(1+INDEX('Lease Cycles'!$GQ$9:$GW$9,1,CM27))^INT(INT((CM$6-INDEX('Lease Cycles'!$GJ$9:$GP$9,1,CM27))/12)/INDEX('Lease Cycles'!$GX$9:$HD$9,1,CM27))/12,0)))</f>
        <v>13852.651568415735</v>
      </c>
      <c r="CN30" s="28">
        <f>IF(CN27=0,IF('Lease Cycles'!$F$9&gt;0,'Lease Cycles'!$C$9*'Lease Cycles'!$E$9/12,0),IF(CN29=1,IF('Lease Cycles'!$AT$9&gt;=9999,'Lease Cycles'!$C$9*INDEX('Lease Cycles'!$CB$9:$CH$9,1,CN27)*(1+INDEX('Lease Cycles'!$CI$9:$CO$9,1,CN27))^INT(INT(CN28/12)/INDEX('Lease Cycles'!$CP$9:$CV$9,1,CN27))/12,IF(CN27=1,IF(CN28&gt;=INDEX('Lease Cycles'!$DK$9:$DQ$9,1,CN27),IF(CN$6&gt;='Lease Cycles'!$AZ$9,'Lease Cycles'!$C$9*'Lease Cycles'!$BA$9/12,IF(CN$6&gt;='Lease Cycles'!$AX$9,'Lease Cycles'!$C$9*'Lease Cycles'!$AY$9/12,IF(CN$6&gt;='Lease Cycles'!$AV$9,'Lease Cycles'!$C$9*'Lease Cycles'!$AW$9/12,IF(CN$6&gt;='Lease Cycles'!$AT$9,'Lease Cycles'!$C$9*'Lease Cycles'!$AU$9/12,'Lease Cycles'!$C$9*INDEX('Lease Cycles'!$CB$9:$CH$9,1,CN27)*(1+INDEX('Lease Cycles'!$CI$9:$CO$9,1,CN27))^INT(INT(CN28/12)/INDEX('Lease Cycles'!$CP$9:$CV$9,1,CN27))/12)))),'Lease Cycles'!$C$9*INDEX('Lease Cycles'!$CB$9:$CH$9,1,CN27)*(1+INDEX('Lease Cycles'!$CI$9:$CO$9,1,CN27))^INT(INT(CN28/12)/INDEX('Lease Cycles'!$CP$9:$CV$9,1,CN27))/12),IF(INDEX('Lease Cycles'!$EF$9:$EL$9,1,CN27)=1,IF(AND('Lease Cycles'!$AZ$9&gt;=INDEX('Lease Cycles'!$BG$9:$BM$9,1,CN27),'Lease Cycles'!$AZ$9&lt;=CN$6),'Lease Cycles'!$C$9*'Lease Cycles'!$BA$9/12,IF(AND('Lease Cycles'!$AX$9&gt;=INDEX('Lease Cycles'!$BG$9:$BM$9,1,CN27),'Lease Cycles'!$AX$9&lt;=CN$6),'Lease Cycles'!$C$9*'Lease Cycles'!$AY$9/12,IF(AND('Lease Cycles'!$AV$9&gt;=INDEX('Lease Cycles'!$BG$9:$BM$9,1,CN27),'Lease Cycles'!$AV$9&lt;=CN$6),'Lease Cycles'!$C$9*'Lease Cycles'!$AW$9/12,IF(AND('Lease Cycles'!$AT$9&gt;=INDEX('Lease Cycles'!$BG$9:$BM$9,1,CN27),'Lease Cycles'!$AT$9&lt;=CN$6),'Lease Cycles'!$C$9*'Lease Cycles'!$AU$9/12,'Lease Cycles'!$C$9*INDEX('Lease Cycles'!$CB$9:$CH$9,1,CN27)*(1+INDEX('Lease Cycles'!$CI$9:$CO$9,1,CN27))^INT(INT(CN28/12)/INDEX('Lease Cycles'!$CP$9:$CV$9,1,CN27))/12)))),'Lease Cycles'!$C$9*INDEX('Lease Cycles'!$CB$9:$CH$9,1,CN27)*(1+INDEX('Lease Cycles'!$CI$9:$CO$9,1,CN27))^INT(INT(CN28/12)/INDEX('Lease Cycles'!$CP$9:$CV$9,1,CN27))/12))),IF('Lease Cycles'!$N$9=1,'Lease Cycles'!$C$9*'Lease Cycles'!$E$9*INDEX('Lease Cycles'!$HE$9:$HK$9,1,CN27)*(1+INDEX('Lease Cycles'!$GQ$9:$GW$9,1,CN27))^INT(INT((CN$6-INDEX('Lease Cycles'!$GJ$9:$GP$9,1,CN27))/12)/INDEX('Lease Cycles'!$GX$9:$HD$9,1,CN27))/12,0)))</f>
        <v>13852.651568415735</v>
      </c>
      <c r="CO30" s="28">
        <f>IF(CO27=0,IF('Lease Cycles'!$F$9&gt;0,'Lease Cycles'!$C$9*'Lease Cycles'!$E$9/12,0),IF(CO29=1,IF('Lease Cycles'!$AT$9&gt;=9999,'Lease Cycles'!$C$9*INDEX('Lease Cycles'!$CB$9:$CH$9,1,CO27)*(1+INDEX('Lease Cycles'!$CI$9:$CO$9,1,CO27))^INT(INT(CO28/12)/INDEX('Lease Cycles'!$CP$9:$CV$9,1,CO27))/12,IF(CO27=1,IF(CO28&gt;=INDEX('Lease Cycles'!$DK$9:$DQ$9,1,CO27),IF(CO$6&gt;='Lease Cycles'!$AZ$9,'Lease Cycles'!$C$9*'Lease Cycles'!$BA$9/12,IF(CO$6&gt;='Lease Cycles'!$AX$9,'Lease Cycles'!$C$9*'Lease Cycles'!$AY$9/12,IF(CO$6&gt;='Lease Cycles'!$AV$9,'Lease Cycles'!$C$9*'Lease Cycles'!$AW$9/12,IF(CO$6&gt;='Lease Cycles'!$AT$9,'Lease Cycles'!$C$9*'Lease Cycles'!$AU$9/12,'Lease Cycles'!$C$9*INDEX('Lease Cycles'!$CB$9:$CH$9,1,CO27)*(1+INDEX('Lease Cycles'!$CI$9:$CO$9,1,CO27))^INT(INT(CO28/12)/INDEX('Lease Cycles'!$CP$9:$CV$9,1,CO27))/12)))),'Lease Cycles'!$C$9*INDEX('Lease Cycles'!$CB$9:$CH$9,1,CO27)*(1+INDEX('Lease Cycles'!$CI$9:$CO$9,1,CO27))^INT(INT(CO28/12)/INDEX('Lease Cycles'!$CP$9:$CV$9,1,CO27))/12),IF(INDEX('Lease Cycles'!$EF$9:$EL$9,1,CO27)=1,IF(AND('Lease Cycles'!$AZ$9&gt;=INDEX('Lease Cycles'!$BG$9:$BM$9,1,CO27),'Lease Cycles'!$AZ$9&lt;=CO$6),'Lease Cycles'!$C$9*'Lease Cycles'!$BA$9/12,IF(AND('Lease Cycles'!$AX$9&gt;=INDEX('Lease Cycles'!$BG$9:$BM$9,1,CO27),'Lease Cycles'!$AX$9&lt;=CO$6),'Lease Cycles'!$C$9*'Lease Cycles'!$AY$9/12,IF(AND('Lease Cycles'!$AV$9&gt;=INDEX('Lease Cycles'!$BG$9:$BM$9,1,CO27),'Lease Cycles'!$AV$9&lt;=CO$6),'Lease Cycles'!$C$9*'Lease Cycles'!$AW$9/12,IF(AND('Lease Cycles'!$AT$9&gt;=INDEX('Lease Cycles'!$BG$9:$BM$9,1,CO27),'Lease Cycles'!$AT$9&lt;=CO$6),'Lease Cycles'!$C$9*'Lease Cycles'!$AU$9/12,'Lease Cycles'!$C$9*INDEX('Lease Cycles'!$CB$9:$CH$9,1,CO27)*(1+INDEX('Lease Cycles'!$CI$9:$CO$9,1,CO27))^INT(INT(CO28/12)/INDEX('Lease Cycles'!$CP$9:$CV$9,1,CO27))/12)))),'Lease Cycles'!$C$9*INDEX('Lease Cycles'!$CB$9:$CH$9,1,CO27)*(1+INDEX('Lease Cycles'!$CI$9:$CO$9,1,CO27))^INT(INT(CO28/12)/INDEX('Lease Cycles'!$CP$9:$CV$9,1,CO27))/12))),IF('Lease Cycles'!$N$9=1,'Lease Cycles'!$C$9*'Lease Cycles'!$E$9*INDEX('Lease Cycles'!$HE$9:$HK$9,1,CO27)*(1+INDEX('Lease Cycles'!$GQ$9:$GW$9,1,CO27))^INT(INT((CO$6-INDEX('Lease Cycles'!$GJ$9:$GP$9,1,CO27))/12)/INDEX('Lease Cycles'!$GX$9:$HD$9,1,CO27))/12,0)))</f>
        <v>13852.651568415735</v>
      </c>
      <c r="CP30" s="28">
        <f>IF(CP27=0,IF('Lease Cycles'!$F$9&gt;0,'Lease Cycles'!$C$9*'Lease Cycles'!$E$9/12,0),IF(CP29=1,IF('Lease Cycles'!$AT$9&gt;=9999,'Lease Cycles'!$C$9*INDEX('Lease Cycles'!$CB$9:$CH$9,1,CP27)*(1+INDEX('Lease Cycles'!$CI$9:$CO$9,1,CP27))^INT(INT(CP28/12)/INDEX('Lease Cycles'!$CP$9:$CV$9,1,CP27))/12,IF(CP27=1,IF(CP28&gt;=INDEX('Lease Cycles'!$DK$9:$DQ$9,1,CP27),IF(CP$6&gt;='Lease Cycles'!$AZ$9,'Lease Cycles'!$C$9*'Lease Cycles'!$BA$9/12,IF(CP$6&gt;='Lease Cycles'!$AX$9,'Lease Cycles'!$C$9*'Lease Cycles'!$AY$9/12,IF(CP$6&gt;='Lease Cycles'!$AV$9,'Lease Cycles'!$C$9*'Lease Cycles'!$AW$9/12,IF(CP$6&gt;='Lease Cycles'!$AT$9,'Lease Cycles'!$C$9*'Lease Cycles'!$AU$9/12,'Lease Cycles'!$C$9*INDEX('Lease Cycles'!$CB$9:$CH$9,1,CP27)*(1+INDEX('Lease Cycles'!$CI$9:$CO$9,1,CP27))^INT(INT(CP28/12)/INDEX('Lease Cycles'!$CP$9:$CV$9,1,CP27))/12)))),'Lease Cycles'!$C$9*INDEX('Lease Cycles'!$CB$9:$CH$9,1,CP27)*(1+INDEX('Lease Cycles'!$CI$9:$CO$9,1,CP27))^INT(INT(CP28/12)/INDEX('Lease Cycles'!$CP$9:$CV$9,1,CP27))/12),IF(INDEX('Lease Cycles'!$EF$9:$EL$9,1,CP27)=1,IF(AND('Lease Cycles'!$AZ$9&gt;=INDEX('Lease Cycles'!$BG$9:$BM$9,1,CP27),'Lease Cycles'!$AZ$9&lt;=CP$6),'Lease Cycles'!$C$9*'Lease Cycles'!$BA$9/12,IF(AND('Lease Cycles'!$AX$9&gt;=INDEX('Lease Cycles'!$BG$9:$BM$9,1,CP27),'Lease Cycles'!$AX$9&lt;=CP$6),'Lease Cycles'!$C$9*'Lease Cycles'!$AY$9/12,IF(AND('Lease Cycles'!$AV$9&gt;=INDEX('Lease Cycles'!$BG$9:$BM$9,1,CP27),'Lease Cycles'!$AV$9&lt;=CP$6),'Lease Cycles'!$C$9*'Lease Cycles'!$AW$9/12,IF(AND('Lease Cycles'!$AT$9&gt;=INDEX('Lease Cycles'!$BG$9:$BM$9,1,CP27),'Lease Cycles'!$AT$9&lt;=CP$6),'Lease Cycles'!$C$9*'Lease Cycles'!$AU$9/12,'Lease Cycles'!$C$9*INDEX('Lease Cycles'!$CB$9:$CH$9,1,CP27)*(1+INDEX('Lease Cycles'!$CI$9:$CO$9,1,CP27))^INT(INT(CP28/12)/INDEX('Lease Cycles'!$CP$9:$CV$9,1,CP27))/12)))),'Lease Cycles'!$C$9*INDEX('Lease Cycles'!$CB$9:$CH$9,1,CP27)*(1+INDEX('Lease Cycles'!$CI$9:$CO$9,1,CP27))^INT(INT(CP28/12)/INDEX('Lease Cycles'!$CP$9:$CV$9,1,CP27))/12))),IF('Lease Cycles'!$N$9=1,'Lease Cycles'!$C$9*'Lease Cycles'!$E$9*INDEX('Lease Cycles'!$HE$9:$HK$9,1,CP27)*(1+INDEX('Lease Cycles'!$GQ$9:$GW$9,1,CP27))^INT(INT((CP$6-INDEX('Lease Cycles'!$GJ$9:$GP$9,1,CP27))/12)/INDEX('Lease Cycles'!$GX$9:$HD$9,1,CP27))/12,0)))</f>
        <v>13852.651568415735</v>
      </c>
      <c r="CQ30" s="28">
        <f>IF(CQ27=0,IF('Lease Cycles'!$F$9&gt;0,'Lease Cycles'!$C$9*'Lease Cycles'!$E$9/12,0),IF(CQ29=1,IF('Lease Cycles'!$AT$9&gt;=9999,'Lease Cycles'!$C$9*INDEX('Lease Cycles'!$CB$9:$CH$9,1,CQ27)*(1+INDEX('Lease Cycles'!$CI$9:$CO$9,1,CQ27))^INT(INT(CQ28/12)/INDEX('Lease Cycles'!$CP$9:$CV$9,1,CQ27))/12,IF(CQ27=1,IF(CQ28&gt;=INDEX('Lease Cycles'!$DK$9:$DQ$9,1,CQ27),IF(CQ$6&gt;='Lease Cycles'!$AZ$9,'Lease Cycles'!$C$9*'Lease Cycles'!$BA$9/12,IF(CQ$6&gt;='Lease Cycles'!$AX$9,'Lease Cycles'!$C$9*'Lease Cycles'!$AY$9/12,IF(CQ$6&gt;='Lease Cycles'!$AV$9,'Lease Cycles'!$C$9*'Lease Cycles'!$AW$9/12,IF(CQ$6&gt;='Lease Cycles'!$AT$9,'Lease Cycles'!$C$9*'Lease Cycles'!$AU$9/12,'Lease Cycles'!$C$9*INDEX('Lease Cycles'!$CB$9:$CH$9,1,CQ27)*(1+INDEX('Lease Cycles'!$CI$9:$CO$9,1,CQ27))^INT(INT(CQ28/12)/INDEX('Lease Cycles'!$CP$9:$CV$9,1,CQ27))/12)))),'Lease Cycles'!$C$9*INDEX('Lease Cycles'!$CB$9:$CH$9,1,CQ27)*(1+INDEX('Lease Cycles'!$CI$9:$CO$9,1,CQ27))^INT(INT(CQ28/12)/INDEX('Lease Cycles'!$CP$9:$CV$9,1,CQ27))/12),IF(INDEX('Lease Cycles'!$EF$9:$EL$9,1,CQ27)=1,IF(AND('Lease Cycles'!$AZ$9&gt;=INDEX('Lease Cycles'!$BG$9:$BM$9,1,CQ27),'Lease Cycles'!$AZ$9&lt;=CQ$6),'Lease Cycles'!$C$9*'Lease Cycles'!$BA$9/12,IF(AND('Lease Cycles'!$AX$9&gt;=INDEX('Lease Cycles'!$BG$9:$BM$9,1,CQ27),'Lease Cycles'!$AX$9&lt;=CQ$6),'Lease Cycles'!$C$9*'Lease Cycles'!$AY$9/12,IF(AND('Lease Cycles'!$AV$9&gt;=INDEX('Lease Cycles'!$BG$9:$BM$9,1,CQ27),'Lease Cycles'!$AV$9&lt;=CQ$6),'Lease Cycles'!$C$9*'Lease Cycles'!$AW$9/12,IF(AND('Lease Cycles'!$AT$9&gt;=INDEX('Lease Cycles'!$BG$9:$BM$9,1,CQ27),'Lease Cycles'!$AT$9&lt;=CQ$6),'Lease Cycles'!$C$9*'Lease Cycles'!$AU$9/12,'Lease Cycles'!$C$9*INDEX('Lease Cycles'!$CB$9:$CH$9,1,CQ27)*(1+INDEX('Lease Cycles'!$CI$9:$CO$9,1,CQ27))^INT(INT(CQ28/12)/INDEX('Lease Cycles'!$CP$9:$CV$9,1,CQ27))/12)))),'Lease Cycles'!$C$9*INDEX('Lease Cycles'!$CB$9:$CH$9,1,CQ27)*(1+INDEX('Lease Cycles'!$CI$9:$CO$9,1,CQ27))^INT(INT(CQ28/12)/INDEX('Lease Cycles'!$CP$9:$CV$9,1,CQ27))/12))),IF('Lease Cycles'!$N$9=1,'Lease Cycles'!$C$9*'Lease Cycles'!$E$9*INDEX('Lease Cycles'!$HE$9:$HK$9,1,CQ27)*(1+INDEX('Lease Cycles'!$GQ$9:$GW$9,1,CQ27))^INT(INT((CQ$6-INDEX('Lease Cycles'!$GJ$9:$GP$9,1,CQ27))/12)/INDEX('Lease Cycles'!$GX$9:$HD$9,1,CQ27))/12,0)))</f>
        <v>13852.651568415735</v>
      </c>
      <c r="CR30" s="28">
        <f>IF(CR27=0,IF('Lease Cycles'!$F$9&gt;0,'Lease Cycles'!$C$9*'Lease Cycles'!$E$9/12,0),IF(CR29=1,IF('Lease Cycles'!$AT$9&gt;=9999,'Lease Cycles'!$C$9*INDEX('Lease Cycles'!$CB$9:$CH$9,1,CR27)*(1+INDEX('Lease Cycles'!$CI$9:$CO$9,1,CR27))^INT(INT(CR28/12)/INDEX('Lease Cycles'!$CP$9:$CV$9,1,CR27))/12,IF(CR27=1,IF(CR28&gt;=INDEX('Lease Cycles'!$DK$9:$DQ$9,1,CR27),IF(CR$6&gt;='Lease Cycles'!$AZ$9,'Lease Cycles'!$C$9*'Lease Cycles'!$BA$9/12,IF(CR$6&gt;='Lease Cycles'!$AX$9,'Lease Cycles'!$C$9*'Lease Cycles'!$AY$9/12,IF(CR$6&gt;='Lease Cycles'!$AV$9,'Lease Cycles'!$C$9*'Lease Cycles'!$AW$9/12,IF(CR$6&gt;='Lease Cycles'!$AT$9,'Lease Cycles'!$C$9*'Lease Cycles'!$AU$9/12,'Lease Cycles'!$C$9*INDEX('Lease Cycles'!$CB$9:$CH$9,1,CR27)*(1+INDEX('Lease Cycles'!$CI$9:$CO$9,1,CR27))^INT(INT(CR28/12)/INDEX('Lease Cycles'!$CP$9:$CV$9,1,CR27))/12)))),'Lease Cycles'!$C$9*INDEX('Lease Cycles'!$CB$9:$CH$9,1,CR27)*(1+INDEX('Lease Cycles'!$CI$9:$CO$9,1,CR27))^INT(INT(CR28/12)/INDEX('Lease Cycles'!$CP$9:$CV$9,1,CR27))/12),IF(INDEX('Lease Cycles'!$EF$9:$EL$9,1,CR27)=1,IF(AND('Lease Cycles'!$AZ$9&gt;=INDEX('Lease Cycles'!$BG$9:$BM$9,1,CR27),'Lease Cycles'!$AZ$9&lt;=CR$6),'Lease Cycles'!$C$9*'Lease Cycles'!$BA$9/12,IF(AND('Lease Cycles'!$AX$9&gt;=INDEX('Lease Cycles'!$BG$9:$BM$9,1,CR27),'Lease Cycles'!$AX$9&lt;=CR$6),'Lease Cycles'!$C$9*'Lease Cycles'!$AY$9/12,IF(AND('Lease Cycles'!$AV$9&gt;=INDEX('Lease Cycles'!$BG$9:$BM$9,1,CR27),'Lease Cycles'!$AV$9&lt;=CR$6),'Lease Cycles'!$C$9*'Lease Cycles'!$AW$9/12,IF(AND('Lease Cycles'!$AT$9&gt;=INDEX('Lease Cycles'!$BG$9:$BM$9,1,CR27),'Lease Cycles'!$AT$9&lt;=CR$6),'Lease Cycles'!$C$9*'Lease Cycles'!$AU$9/12,'Lease Cycles'!$C$9*INDEX('Lease Cycles'!$CB$9:$CH$9,1,CR27)*(1+INDEX('Lease Cycles'!$CI$9:$CO$9,1,CR27))^INT(INT(CR28/12)/INDEX('Lease Cycles'!$CP$9:$CV$9,1,CR27))/12)))),'Lease Cycles'!$C$9*INDEX('Lease Cycles'!$CB$9:$CH$9,1,CR27)*(1+INDEX('Lease Cycles'!$CI$9:$CO$9,1,CR27))^INT(INT(CR28/12)/INDEX('Lease Cycles'!$CP$9:$CV$9,1,CR27))/12))),IF('Lease Cycles'!$N$9=1,'Lease Cycles'!$C$9*'Lease Cycles'!$E$9*INDEX('Lease Cycles'!$HE$9:$HK$9,1,CR27)*(1+INDEX('Lease Cycles'!$GQ$9:$GW$9,1,CR27))^INT(INT((CR$6-INDEX('Lease Cycles'!$GJ$9:$GP$9,1,CR27))/12)/INDEX('Lease Cycles'!$GX$9:$HD$9,1,CR27))/12,0)))</f>
        <v>13852.651568415735</v>
      </c>
      <c r="CS30" s="28">
        <f>IF(CS27=0,IF('Lease Cycles'!$F$9&gt;0,'Lease Cycles'!$C$9*'Lease Cycles'!$E$9/12,0),IF(CS29=1,IF('Lease Cycles'!$AT$9&gt;=9999,'Lease Cycles'!$C$9*INDEX('Lease Cycles'!$CB$9:$CH$9,1,CS27)*(1+INDEX('Lease Cycles'!$CI$9:$CO$9,1,CS27))^INT(INT(CS28/12)/INDEX('Lease Cycles'!$CP$9:$CV$9,1,CS27))/12,IF(CS27=1,IF(CS28&gt;=INDEX('Lease Cycles'!$DK$9:$DQ$9,1,CS27),IF(CS$6&gt;='Lease Cycles'!$AZ$9,'Lease Cycles'!$C$9*'Lease Cycles'!$BA$9/12,IF(CS$6&gt;='Lease Cycles'!$AX$9,'Lease Cycles'!$C$9*'Lease Cycles'!$AY$9/12,IF(CS$6&gt;='Lease Cycles'!$AV$9,'Lease Cycles'!$C$9*'Lease Cycles'!$AW$9/12,IF(CS$6&gt;='Lease Cycles'!$AT$9,'Lease Cycles'!$C$9*'Lease Cycles'!$AU$9/12,'Lease Cycles'!$C$9*INDEX('Lease Cycles'!$CB$9:$CH$9,1,CS27)*(1+INDEX('Lease Cycles'!$CI$9:$CO$9,1,CS27))^INT(INT(CS28/12)/INDEX('Lease Cycles'!$CP$9:$CV$9,1,CS27))/12)))),'Lease Cycles'!$C$9*INDEX('Lease Cycles'!$CB$9:$CH$9,1,CS27)*(1+INDEX('Lease Cycles'!$CI$9:$CO$9,1,CS27))^INT(INT(CS28/12)/INDEX('Lease Cycles'!$CP$9:$CV$9,1,CS27))/12),IF(INDEX('Lease Cycles'!$EF$9:$EL$9,1,CS27)=1,IF(AND('Lease Cycles'!$AZ$9&gt;=INDEX('Lease Cycles'!$BG$9:$BM$9,1,CS27),'Lease Cycles'!$AZ$9&lt;=CS$6),'Lease Cycles'!$C$9*'Lease Cycles'!$BA$9/12,IF(AND('Lease Cycles'!$AX$9&gt;=INDEX('Lease Cycles'!$BG$9:$BM$9,1,CS27),'Lease Cycles'!$AX$9&lt;=CS$6),'Lease Cycles'!$C$9*'Lease Cycles'!$AY$9/12,IF(AND('Lease Cycles'!$AV$9&gt;=INDEX('Lease Cycles'!$BG$9:$BM$9,1,CS27),'Lease Cycles'!$AV$9&lt;=CS$6),'Lease Cycles'!$C$9*'Lease Cycles'!$AW$9/12,IF(AND('Lease Cycles'!$AT$9&gt;=INDEX('Lease Cycles'!$BG$9:$BM$9,1,CS27),'Lease Cycles'!$AT$9&lt;=CS$6),'Lease Cycles'!$C$9*'Lease Cycles'!$AU$9/12,'Lease Cycles'!$C$9*INDEX('Lease Cycles'!$CB$9:$CH$9,1,CS27)*(1+INDEX('Lease Cycles'!$CI$9:$CO$9,1,CS27))^INT(INT(CS28/12)/INDEX('Lease Cycles'!$CP$9:$CV$9,1,CS27))/12)))),'Lease Cycles'!$C$9*INDEX('Lease Cycles'!$CB$9:$CH$9,1,CS27)*(1+INDEX('Lease Cycles'!$CI$9:$CO$9,1,CS27))^INT(INT(CS28/12)/INDEX('Lease Cycles'!$CP$9:$CV$9,1,CS27))/12))),IF('Lease Cycles'!$N$9=1,'Lease Cycles'!$C$9*'Lease Cycles'!$E$9*INDEX('Lease Cycles'!$HE$9:$HK$9,1,CS27)*(1+INDEX('Lease Cycles'!$GQ$9:$GW$9,1,CS27))^INT(INT((CS$6-INDEX('Lease Cycles'!$GJ$9:$GP$9,1,CS27))/12)/INDEX('Lease Cycles'!$GX$9:$HD$9,1,CS27))/12,0)))</f>
        <v>13852.651568415735</v>
      </c>
      <c r="CT30" s="28">
        <f>IF(CT27=0,IF('Lease Cycles'!$F$9&gt;0,'Lease Cycles'!$C$9*'Lease Cycles'!$E$9/12,0),IF(CT29=1,IF('Lease Cycles'!$AT$9&gt;=9999,'Lease Cycles'!$C$9*INDEX('Lease Cycles'!$CB$9:$CH$9,1,CT27)*(1+INDEX('Lease Cycles'!$CI$9:$CO$9,1,CT27))^INT(INT(CT28/12)/INDEX('Lease Cycles'!$CP$9:$CV$9,1,CT27))/12,IF(CT27=1,IF(CT28&gt;=INDEX('Lease Cycles'!$DK$9:$DQ$9,1,CT27),IF(CT$6&gt;='Lease Cycles'!$AZ$9,'Lease Cycles'!$C$9*'Lease Cycles'!$BA$9/12,IF(CT$6&gt;='Lease Cycles'!$AX$9,'Lease Cycles'!$C$9*'Lease Cycles'!$AY$9/12,IF(CT$6&gt;='Lease Cycles'!$AV$9,'Lease Cycles'!$C$9*'Lease Cycles'!$AW$9/12,IF(CT$6&gt;='Lease Cycles'!$AT$9,'Lease Cycles'!$C$9*'Lease Cycles'!$AU$9/12,'Lease Cycles'!$C$9*INDEX('Lease Cycles'!$CB$9:$CH$9,1,CT27)*(1+INDEX('Lease Cycles'!$CI$9:$CO$9,1,CT27))^INT(INT(CT28/12)/INDEX('Lease Cycles'!$CP$9:$CV$9,1,CT27))/12)))),'Lease Cycles'!$C$9*INDEX('Lease Cycles'!$CB$9:$CH$9,1,CT27)*(1+INDEX('Lease Cycles'!$CI$9:$CO$9,1,CT27))^INT(INT(CT28/12)/INDEX('Lease Cycles'!$CP$9:$CV$9,1,CT27))/12),IF(INDEX('Lease Cycles'!$EF$9:$EL$9,1,CT27)=1,IF(AND('Lease Cycles'!$AZ$9&gt;=INDEX('Lease Cycles'!$BG$9:$BM$9,1,CT27),'Lease Cycles'!$AZ$9&lt;=CT$6),'Lease Cycles'!$C$9*'Lease Cycles'!$BA$9/12,IF(AND('Lease Cycles'!$AX$9&gt;=INDEX('Lease Cycles'!$BG$9:$BM$9,1,CT27),'Lease Cycles'!$AX$9&lt;=CT$6),'Lease Cycles'!$C$9*'Lease Cycles'!$AY$9/12,IF(AND('Lease Cycles'!$AV$9&gt;=INDEX('Lease Cycles'!$BG$9:$BM$9,1,CT27),'Lease Cycles'!$AV$9&lt;=CT$6),'Lease Cycles'!$C$9*'Lease Cycles'!$AW$9/12,IF(AND('Lease Cycles'!$AT$9&gt;=INDEX('Lease Cycles'!$BG$9:$BM$9,1,CT27),'Lease Cycles'!$AT$9&lt;=CT$6),'Lease Cycles'!$C$9*'Lease Cycles'!$AU$9/12,'Lease Cycles'!$C$9*INDEX('Lease Cycles'!$CB$9:$CH$9,1,CT27)*(1+INDEX('Lease Cycles'!$CI$9:$CO$9,1,CT27))^INT(INT(CT28/12)/INDEX('Lease Cycles'!$CP$9:$CV$9,1,CT27))/12)))),'Lease Cycles'!$C$9*INDEX('Lease Cycles'!$CB$9:$CH$9,1,CT27)*(1+INDEX('Lease Cycles'!$CI$9:$CO$9,1,CT27))^INT(INT(CT28/12)/INDEX('Lease Cycles'!$CP$9:$CV$9,1,CT27))/12))),IF('Lease Cycles'!$N$9=1,'Lease Cycles'!$C$9*'Lease Cycles'!$E$9*INDEX('Lease Cycles'!$HE$9:$HK$9,1,CT27)*(1+INDEX('Lease Cycles'!$GQ$9:$GW$9,1,CT27))^INT(INT((CT$6-INDEX('Lease Cycles'!$GJ$9:$GP$9,1,CT27))/12)/INDEX('Lease Cycles'!$GX$9:$HD$9,1,CT27))/12,0)))</f>
        <v>13852.651568415735</v>
      </c>
      <c r="CU30" s="28">
        <f>IF(CU27=0,IF('Lease Cycles'!$F$9&gt;0,'Lease Cycles'!$C$9*'Lease Cycles'!$E$9/12,0),IF(CU29=1,IF('Lease Cycles'!$AT$9&gt;=9999,'Lease Cycles'!$C$9*INDEX('Lease Cycles'!$CB$9:$CH$9,1,CU27)*(1+INDEX('Lease Cycles'!$CI$9:$CO$9,1,CU27))^INT(INT(CU28/12)/INDEX('Lease Cycles'!$CP$9:$CV$9,1,CU27))/12,IF(CU27=1,IF(CU28&gt;=INDEX('Lease Cycles'!$DK$9:$DQ$9,1,CU27),IF(CU$6&gt;='Lease Cycles'!$AZ$9,'Lease Cycles'!$C$9*'Lease Cycles'!$BA$9/12,IF(CU$6&gt;='Lease Cycles'!$AX$9,'Lease Cycles'!$C$9*'Lease Cycles'!$AY$9/12,IF(CU$6&gt;='Lease Cycles'!$AV$9,'Lease Cycles'!$C$9*'Lease Cycles'!$AW$9/12,IF(CU$6&gt;='Lease Cycles'!$AT$9,'Lease Cycles'!$C$9*'Lease Cycles'!$AU$9/12,'Lease Cycles'!$C$9*INDEX('Lease Cycles'!$CB$9:$CH$9,1,CU27)*(1+INDEX('Lease Cycles'!$CI$9:$CO$9,1,CU27))^INT(INT(CU28/12)/INDEX('Lease Cycles'!$CP$9:$CV$9,1,CU27))/12)))),'Lease Cycles'!$C$9*INDEX('Lease Cycles'!$CB$9:$CH$9,1,CU27)*(1+INDEX('Lease Cycles'!$CI$9:$CO$9,1,CU27))^INT(INT(CU28/12)/INDEX('Lease Cycles'!$CP$9:$CV$9,1,CU27))/12),IF(INDEX('Lease Cycles'!$EF$9:$EL$9,1,CU27)=1,IF(AND('Lease Cycles'!$AZ$9&gt;=INDEX('Lease Cycles'!$BG$9:$BM$9,1,CU27),'Lease Cycles'!$AZ$9&lt;=CU$6),'Lease Cycles'!$C$9*'Lease Cycles'!$BA$9/12,IF(AND('Lease Cycles'!$AX$9&gt;=INDEX('Lease Cycles'!$BG$9:$BM$9,1,CU27),'Lease Cycles'!$AX$9&lt;=CU$6),'Lease Cycles'!$C$9*'Lease Cycles'!$AY$9/12,IF(AND('Lease Cycles'!$AV$9&gt;=INDEX('Lease Cycles'!$BG$9:$BM$9,1,CU27),'Lease Cycles'!$AV$9&lt;=CU$6),'Lease Cycles'!$C$9*'Lease Cycles'!$AW$9/12,IF(AND('Lease Cycles'!$AT$9&gt;=INDEX('Lease Cycles'!$BG$9:$BM$9,1,CU27),'Lease Cycles'!$AT$9&lt;=CU$6),'Lease Cycles'!$C$9*'Lease Cycles'!$AU$9/12,'Lease Cycles'!$C$9*INDEX('Lease Cycles'!$CB$9:$CH$9,1,CU27)*(1+INDEX('Lease Cycles'!$CI$9:$CO$9,1,CU27))^INT(INT(CU28/12)/INDEX('Lease Cycles'!$CP$9:$CV$9,1,CU27))/12)))),'Lease Cycles'!$C$9*INDEX('Lease Cycles'!$CB$9:$CH$9,1,CU27)*(1+INDEX('Lease Cycles'!$CI$9:$CO$9,1,CU27))^INT(INT(CU28/12)/INDEX('Lease Cycles'!$CP$9:$CV$9,1,CU27))/12))),IF('Lease Cycles'!$N$9=1,'Lease Cycles'!$C$9*'Lease Cycles'!$E$9*INDEX('Lease Cycles'!$HE$9:$HK$9,1,CU27)*(1+INDEX('Lease Cycles'!$GQ$9:$GW$9,1,CU27))^INT(INT((CU$6-INDEX('Lease Cycles'!$GJ$9:$GP$9,1,CU27))/12)/INDEX('Lease Cycles'!$GX$9:$HD$9,1,CU27))/12,0)))</f>
        <v>13852.651568415735</v>
      </c>
      <c r="CV30" s="28">
        <f>IF(CV27=0,IF('Lease Cycles'!$F$9&gt;0,'Lease Cycles'!$C$9*'Lease Cycles'!$E$9/12,0),IF(CV29=1,IF('Lease Cycles'!$AT$9&gt;=9999,'Lease Cycles'!$C$9*INDEX('Lease Cycles'!$CB$9:$CH$9,1,CV27)*(1+INDEX('Lease Cycles'!$CI$9:$CO$9,1,CV27))^INT(INT(CV28/12)/INDEX('Lease Cycles'!$CP$9:$CV$9,1,CV27))/12,IF(CV27=1,IF(CV28&gt;=INDEX('Lease Cycles'!$DK$9:$DQ$9,1,CV27),IF(CV$6&gt;='Lease Cycles'!$AZ$9,'Lease Cycles'!$C$9*'Lease Cycles'!$BA$9/12,IF(CV$6&gt;='Lease Cycles'!$AX$9,'Lease Cycles'!$C$9*'Lease Cycles'!$AY$9/12,IF(CV$6&gt;='Lease Cycles'!$AV$9,'Lease Cycles'!$C$9*'Lease Cycles'!$AW$9/12,IF(CV$6&gt;='Lease Cycles'!$AT$9,'Lease Cycles'!$C$9*'Lease Cycles'!$AU$9/12,'Lease Cycles'!$C$9*INDEX('Lease Cycles'!$CB$9:$CH$9,1,CV27)*(1+INDEX('Lease Cycles'!$CI$9:$CO$9,1,CV27))^INT(INT(CV28/12)/INDEX('Lease Cycles'!$CP$9:$CV$9,1,CV27))/12)))),'Lease Cycles'!$C$9*INDEX('Lease Cycles'!$CB$9:$CH$9,1,CV27)*(1+INDEX('Lease Cycles'!$CI$9:$CO$9,1,CV27))^INT(INT(CV28/12)/INDEX('Lease Cycles'!$CP$9:$CV$9,1,CV27))/12),IF(INDEX('Lease Cycles'!$EF$9:$EL$9,1,CV27)=1,IF(AND('Lease Cycles'!$AZ$9&gt;=INDEX('Lease Cycles'!$BG$9:$BM$9,1,CV27),'Lease Cycles'!$AZ$9&lt;=CV$6),'Lease Cycles'!$C$9*'Lease Cycles'!$BA$9/12,IF(AND('Lease Cycles'!$AX$9&gt;=INDEX('Lease Cycles'!$BG$9:$BM$9,1,CV27),'Lease Cycles'!$AX$9&lt;=CV$6),'Lease Cycles'!$C$9*'Lease Cycles'!$AY$9/12,IF(AND('Lease Cycles'!$AV$9&gt;=INDEX('Lease Cycles'!$BG$9:$BM$9,1,CV27),'Lease Cycles'!$AV$9&lt;=CV$6),'Lease Cycles'!$C$9*'Lease Cycles'!$AW$9/12,IF(AND('Lease Cycles'!$AT$9&gt;=INDEX('Lease Cycles'!$BG$9:$BM$9,1,CV27),'Lease Cycles'!$AT$9&lt;=CV$6),'Lease Cycles'!$C$9*'Lease Cycles'!$AU$9/12,'Lease Cycles'!$C$9*INDEX('Lease Cycles'!$CB$9:$CH$9,1,CV27)*(1+INDEX('Lease Cycles'!$CI$9:$CO$9,1,CV27))^INT(INT(CV28/12)/INDEX('Lease Cycles'!$CP$9:$CV$9,1,CV27))/12)))),'Lease Cycles'!$C$9*INDEX('Lease Cycles'!$CB$9:$CH$9,1,CV27)*(1+INDEX('Lease Cycles'!$CI$9:$CO$9,1,CV27))^INT(INT(CV28/12)/INDEX('Lease Cycles'!$CP$9:$CV$9,1,CV27))/12))),IF('Lease Cycles'!$N$9=1,'Lease Cycles'!$C$9*'Lease Cycles'!$E$9*INDEX('Lease Cycles'!$HE$9:$HK$9,1,CV27)*(1+INDEX('Lease Cycles'!$GQ$9:$GW$9,1,CV27))^INT(INT((CV$6-INDEX('Lease Cycles'!$GJ$9:$GP$9,1,CV27))/12)/INDEX('Lease Cycles'!$GX$9:$HD$9,1,CV27))/12,0)))</f>
        <v>13852.651568415735</v>
      </c>
      <c r="CW30" s="28">
        <f>IF(CW27=0,IF('Lease Cycles'!$F$9&gt;0,'Lease Cycles'!$C$9*'Lease Cycles'!$E$9/12,0),IF(CW29=1,IF('Lease Cycles'!$AT$9&gt;=9999,'Lease Cycles'!$C$9*INDEX('Lease Cycles'!$CB$9:$CH$9,1,CW27)*(1+INDEX('Lease Cycles'!$CI$9:$CO$9,1,CW27))^INT(INT(CW28/12)/INDEX('Lease Cycles'!$CP$9:$CV$9,1,CW27))/12,IF(CW27=1,IF(CW28&gt;=INDEX('Lease Cycles'!$DK$9:$DQ$9,1,CW27),IF(CW$6&gt;='Lease Cycles'!$AZ$9,'Lease Cycles'!$C$9*'Lease Cycles'!$BA$9/12,IF(CW$6&gt;='Lease Cycles'!$AX$9,'Lease Cycles'!$C$9*'Lease Cycles'!$AY$9/12,IF(CW$6&gt;='Lease Cycles'!$AV$9,'Lease Cycles'!$C$9*'Lease Cycles'!$AW$9/12,IF(CW$6&gt;='Lease Cycles'!$AT$9,'Lease Cycles'!$C$9*'Lease Cycles'!$AU$9/12,'Lease Cycles'!$C$9*INDEX('Lease Cycles'!$CB$9:$CH$9,1,CW27)*(1+INDEX('Lease Cycles'!$CI$9:$CO$9,1,CW27))^INT(INT(CW28/12)/INDEX('Lease Cycles'!$CP$9:$CV$9,1,CW27))/12)))),'Lease Cycles'!$C$9*INDEX('Lease Cycles'!$CB$9:$CH$9,1,CW27)*(1+INDEX('Lease Cycles'!$CI$9:$CO$9,1,CW27))^INT(INT(CW28/12)/INDEX('Lease Cycles'!$CP$9:$CV$9,1,CW27))/12),IF(INDEX('Lease Cycles'!$EF$9:$EL$9,1,CW27)=1,IF(AND('Lease Cycles'!$AZ$9&gt;=INDEX('Lease Cycles'!$BG$9:$BM$9,1,CW27),'Lease Cycles'!$AZ$9&lt;=CW$6),'Lease Cycles'!$C$9*'Lease Cycles'!$BA$9/12,IF(AND('Lease Cycles'!$AX$9&gt;=INDEX('Lease Cycles'!$BG$9:$BM$9,1,CW27),'Lease Cycles'!$AX$9&lt;=CW$6),'Lease Cycles'!$C$9*'Lease Cycles'!$AY$9/12,IF(AND('Lease Cycles'!$AV$9&gt;=INDEX('Lease Cycles'!$BG$9:$BM$9,1,CW27),'Lease Cycles'!$AV$9&lt;=CW$6),'Lease Cycles'!$C$9*'Lease Cycles'!$AW$9/12,IF(AND('Lease Cycles'!$AT$9&gt;=INDEX('Lease Cycles'!$BG$9:$BM$9,1,CW27),'Lease Cycles'!$AT$9&lt;=CW$6),'Lease Cycles'!$C$9*'Lease Cycles'!$AU$9/12,'Lease Cycles'!$C$9*INDEX('Lease Cycles'!$CB$9:$CH$9,1,CW27)*(1+INDEX('Lease Cycles'!$CI$9:$CO$9,1,CW27))^INT(INT(CW28/12)/INDEX('Lease Cycles'!$CP$9:$CV$9,1,CW27))/12)))),'Lease Cycles'!$C$9*INDEX('Lease Cycles'!$CB$9:$CH$9,1,CW27)*(1+INDEX('Lease Cycles'!$CI$9:$CO$9,1,CW27))^INT(INT(CW28/12)/INDEX('Lease Cycles'!$CP$9:$CV$9,1,CW27))/12))),IF('Lease Cycles'!$N$9=1,'Lease Cycles'!$C$9*'Lease Cycles'!$E$9*INDEX('Lease Cycles'!$HE$9:$HK$9,1,CW27)*(1+INDEX('Lease Cycles'!$GQ$9:$GW$9,1,CW27))^INT(INT((CW$6-INDEX('Lease Cycles'!$GJ$9:$GP$9,1,CW27))/12)/INDEX('Lease Cycles'!$GX$9:$HD$9,1,CW27))/12,0)))</f>
        <v>13852.651568415735</v>
      </c>
      <c r="CX30" s="28">
        <f>IF(CX27=0,IF('Lease Cycles'!$F$9&gt;0,'Lease Cycles'!$C$9*'Lease Cycles'!$E$9/12,0),IF(CX29=1,IF('Lease Cycles'!$AT$9&gt;=9999,'Lease Cycles'!$C$9*INDEX('Lease Cycles'!$CB$9:$CH$9,1,CX27)*(1+INDEX('Lease Cycles'!$CI$9:$CO$9,1,CX27))^INT(INT(CX28/12)/INDEX('Lease Cycles'!$CP$9:$CV$9,1,CX27))/12,IF(CX27=1,IF(CX28&gt;=INDEX('Lease Cycles'!$DK$9:$DQ$9,1,CX27),IF(CX$6&gt;='Lease Cycles'!$AZ$9,'Lease Cycles'!$C$9*'Lease Cycles'!$BA$9/12,IF(CX$6&gt;='Lease Cycles'!$AX$9,'Lease Cycles'!$C$9*'Lease Cycles'!$AY$9/12,IF(CX$6&gt;='Lease Cycles'!$AV$9,'Lease Cycles'!$C$9*'Lease Cycles'!$AW$9/12,IF(CX$6&gt;='Lease Cycles'!$AT$9,'Lease Cycles'!$C$9*'Lease Cycles'!$AU$9/12,'Lease Cycles'!$C$9*INDEX('Lease Cycles'!$CB$9:$CH$9,1,CX27)*(1+INDEX('Lease Cycles'!$CI$9:$CO$9,1,CX27))^INT(INT(CX28/12)/INDEX('Lease Cycles'!$CP$9:$CV$9,1,CX27))/12)))),'Lease Cycles'!$C$9*INDEX('Lease Cycles'!$CB$9:$CH$9,1,CX27)*(1+INDEX('Lease Cycles'!$CI$9:$CO$9,1,CX27))^INT(INT(CX28/12)/INDEX('Lease Cycles'!$CP$9:$CV$9,1,CX27))/12),IF(INDEX('Lease Cycles'!$EF$9:$EL$9,1,CX27)=1,IF(AND('Lease Cycles'!$AZ$9&gt;=INDEX('Lease Cycles'!$BG$9:$BM$9,1,CX27),'Lease Cycles'!$AZ$9&lt;=CX$6),'Lease Cycles'!$C$9*'Lease Cycles'!$BA$9/12,IF(AND('Lease Cycles'!$AX$9&gt;=INDEX('Lease Cycles'!$BG$9:$BM$9,1,CX27),'Lease Cycles'!$AX$9&lt;=CX$6),'Lease Cycles'!$C$9*'Lease Cycles'!$AY$9/12,IF(AND('Lease Cycles'!$AV$9&gt;=INDEX('Lease Cycles'!$BG$9:$BM$9,1,CX27),'Lease Cycles'!$AV$9&lt;=CX$6),'Lease Cycles'!$C$9*'Lease Cycles'!$AW$9/12,IF(AND('Lease Cycles'!$AT$9&gt;=INDEX('Lease Cycles'!$BG$9:$BM$9,1,CX27),'Lease Cycles'!$AT$9&lt;=CX$6),'Lease Cycles'!$C$9*'Lease Cycles'!$AU$9/12,'Lease Cycles'!$C$9*INDEX('Lease Cycles'!$CB$9:$CH$9,1,CX27)*(1+INDEX('Lease Cycles'!$CI$9:$CO$9,1,CX27))^INT(INT(CX28/12)/INDEX('Lease Cycles'!$CP$9:$CV$9,1,CX27))/12)))),'Lease Cycles'!$C$9*INDEX('Lease Cycles'!$CB$9:$CH$9,1,CX27)*(1+INDEX('Lease Cycles'!$CI$9:$CO$9,1,CX27))^INT(INT(CX28/12)/INDEX('Lease Cycles'!$CP$9:$CV$9,1,CX27))/12))),IF('Lease Cycles'!$N$9=1,'Lease Cycles'!$C$9*'Lease Cycles'!$E$9*INDEX('Lease Cycles'!$HE$9:$HK$9,1,CX27)*(1+INDEX('Lease Cycles'!$GQ$9:$GW$9,1,CX27))^INT(INT((CX$6-INDEX('Lease Cycles'!$GJ$9:$GP$9,1,CX27))/12)/INDEX('Lease Cycles'!$GX$9:$HD$9,1,CX27))/12,0)))</f>
        <v>13852.651568415735</v>
      </c>
      <c r="CY30" s="28">
        <f>IF(CY27=0,IF('Lease Cycles'!$F$9&gt;0,'Lease Cycles'!$C$9*'Lease Cycles'!$E$9/12,0),IF(CY29=1,IF('Lease Cycles'!$AT$9&gt;=9999,'Lease Cycles'!$C$9*INDEX('Lease Cycles'!$CB$9:$CH$9,1,CY27)*(1+INDEX('Lease Cycles'!$CI$9:$CO$9,1,CY27))^INT(INT(CY28/12)/INDEX('Lease Cycles'!$CP$9:$CV$9,1,CY27))/12,IF(CY27=1,IF(CY28&gt;=INDEX('Lease Cycles'!$DK$9:$DQ$9,1,CY27),IF(CY$6&gt;='Lease Cycles'!$AZ$9,'Lease Cycles'!$C$9*'Lease Cycles'!$BA$9/12,IF(CY$6&gt;='Lease Cycles'!$AX$9,'Lease Cycles'!$C$9*'Lease Cycles'!$AY$9/12,IF(CY$6&gt;='Lease Cycles'!$AV$9,'Lease Cycles'!$C$9*'Lease Cycles'!$AW$9/12,IF(CY$6&gt;='Lease Cycles'!$AT$9,'Lease Cycles'!$C$9*'Lease Cycles'!$AU$9/12,'Lease Cycles'!$C$9*INDEX('Lease Cycles'!$CB$9:$CH$9,1,CY27)*(1+INDEX('Lease Cycles'!$CI$9:$CO$9,1,CY27))^INT(INT(CY28/12)/INDEX('Lease Cycles'!$CP$9:$CV$9,1,CY27))/12)))),'Lease Cycles'!$C$9*INDEX('Lease Cycles'!$CB$9:$CH$9,1,CY27)*(1+INDEX('Lease Cycles'!$CI$9:$CO$9,1,CY27))^INT(INT(CY28/12)/INDEX('Lease Cycles'!$CP$9:$CV$9,1,CY27))/12),IF(INDEX('Lease Cycles'!$EF$9:$EL$9,1,CY27)=1,IF(AND('Lease Cycles'!$AZ$9&gt;=INDEX('Lease Cycles'!$BG$9:$BM$9,1,CY27),'Lease Cycles'!$AZ$9&lt;=CY$6),'Lease Cycles'!$C$9*'Lease Cycles'!$BA$9/12,IF(AND('Lease Cycles'!$AX$9&gt;=INDEX('Lease Cycles'!$BG$9:$BM$9,1,CY27),'Lease Cycles'!$AX$9&lt;=CY$6),'Lease Cycles'!$C$9*'Lease Cycles'!$AY$9/12,IF(AND('Lease Cycles'!$AV$9&gt;=INDEX('Lease Cycles'!$BG$9:$BM$9,1,CY27),'Lease Cycles'!$AV$9&lt;=CY$6),'Lease Cycles'!$C$9*'Lease Cycles'!$AW$9/12,IF(AND('Lease Cycles'!$AT$9&gt;=INDEX('Lease Cycles'!$BG$9:$BM$9,1,CY27),'Lease Cycles'!$AT$9&lt;=CY$6),'Lease Cycles'!$C$9*'Lease Cycles'!$AU$9/12,'Lease Cycles'!$C$9*INDEX('Lease Cycles'!$CB$9:$CH$9,1,CY27)*(1+INDEX('Lease Cycles'!$CI$9:$CO$9,1,CY27))^INT(INT(CY28/12)/INDEX('Lease Cycles'!$CP$9:$CV$9,1,CY27))/12)))),'Lease Cycles'!$C$9*INDEX('Lease Cycles'!$CB$9:$CH$9,1,CY27)*(1+INDEX('Lease Cycles'!$CI$9:$CO$9,1,CY27))^INT(INT(CY28/12)/INDEX('Lease Cycles'!$CP$9:$CV$9,1,CY27))/12))),IF('Lease Cycles'!$N$9=1,'Lease Cycles'!$C$9*'Lease Cycles'!$E$9*INDEX('Lease Cycles'!$HE$9:$HK$9,1,CY27)*(1+INDEX('Lease Cycles'!$GQ$9:$GW$9,1,CY27))^INT(INT((CY$6-INDEX('Lease Cycles'!$GJ$9:$GP$9,1,CY27))/12)/INDEX('Lease Cycles'!$GX$9:$HD$9,1,CY27))/12,0)))</f>
        <v>13852.651568415735</v>
      </c>
      <c r="CZ30" s="28">
        <f>IF(CZ27=0,IF('Lease Cycles'!$F$9&gt;0,'Lease Cycles'!$C$9*'Lease Cycles'!$E$9/12,0),IF(CZ29=1,IF('Lease Cycles'!$AT$9&gt;=9999,'Lease Cycles'!$C$9*INDEX('Lease Cycles'!$CB$9:$CH$9,1,CZ27)*(1+INDEX('Lease Cycles'!$CI$9:$CO$9,1,CZ27))^INT(INT(CZ28/12)/INDEX('Lease Cycles'!$CP$9:$CV$9,1,CZ27))/12,IF(CZ27=1,IF(CZ28&gt;=INDEX('Lease Cycles'!$DK$9:$DQ$9,1,CZ27),IF(CZ$6&gt;='Lease Cycles'!$AZ$9,'Lease Cycles'!$C$9*'Lease Cycles'!$BA$9/12,IF(CZ$6&gt;='Lease Cycles'!$AX$9,'Lease Cycles'!$C$9*'Lease Cycles'!$AY$9/12,IF(CZ$6&gt;='Lease Cycles'!$AV$9,'Lease Cycles'!$C$9*'Lease Cycles'!$AW$9/12,IF(CZ$6&gt;='Lease Cycles'!$AT$9,'Lease Cycles'!$C$9*'Lease Cycles'!$AU$9/12,'Lease Cycles'!$C$9*INDEX('Lease Cycles'!$CB$9:$CH$9,1,CZ27)*(1+INDEX('Lease Cycles'!$CI$9:$CO$9,1,CZ27))^INT(INT(CZ28/12)/INDEX('Lease Cycles'!$CP$9:$CV$9,1,CZ27))/12)))),'Lease Cycles'!$C$9*INDEX('Lease Cycles'!$CB$9:$CH$9,1,CZ27)*(1+INDEX('Lease Cycles'!$CI$9:$CO$9,1,CZ27))^INT(INT(CZ28/12)/INDEX('Lease Cycles'!$CP$9:$CV$9,1,CZ27))/12),IF(INDEX('Lease Cycles'!$EF$9:$EL$9,1,CZ27)=1,IF(AND('Lease Cycles'!$AZ$9&gt;=INDEX('Lease Cycles'!$BG$9:$BM$9,1,CZ27),'Lease Cycles'!$AZ$9&lt;=CZ$6),'Lease Cycles'!$C$9*'Lease Cycles'!$BA$9/12,IF(AND('Lease Cycles'!$AX$9&gt;=INDEX('Lease Cycles'!$BG$9:$BM$9,1,CZ27),'Lease Cycles'!$AX$9&lt;=CZ$6),'Lease Cycles'!$C$9*'Lease Cycles'!$AY$9/12,IF(AND('Lease Cycles'!$AV$9&gt;=INDEX('Lease Cycles'!$BG$9:$BM$9,1,CZ27),'Lease Cycles'!$AV$9&lt;=CZ$6),'Lease Cycles'!$C$9*'Lease Cycles'!$AW$9/12,IF(AND('Lease Cycles'!$AT$9&gt;=INDEX('Lease Cycles'!$BG$9:$BM$9,1,CZ27),'Lease Cycles'!$AT$9&lt;=CZ$6),'Lease Cycles'!$C$9*'Lease Cycles'!$AU$9/12,'Lease Cycles'!$C$9*INDEX('Lease Cycles'!$CB$9:$CH$9,1,CZ27)*(1+INDEX('Lease Cycles'!$CI$9:$CO$9,1,CZ27))^INT(INT(CZ28/12)/INDEX('Lease Cycles'!$CP$9:$CV$9,1,CZ27))/12)))),'Lease Cycles'!$C$9*INDEX('Lease Cycles'!$CB$9:$CH$9,1,CZ27)*(1+INDEX('Lease Cycles'!$CI$9:$CO$9,1,CZ27))^INT(INT(CZ28/12)/INDEX('Lease Cycles'!$CP$9:$CV$9,1,CZ27))/12))),IF('Lease Cycles'!$N$9=1,'Lease Cycles'!$C$9*'Lease Cycles'!$E$9*INDEX('Lease Cycles'!$HE$9:$HK$9,1,CZ27)*(1+INDEX('Lease Cycles'!$GQ$9:$GW$9,1,CZ27))^INT(INT((CZ$6-INDEX('Lease Cycles'!$GJ$9:$GP$9,1,CZ27))/12)/INDEX('Lease Cycles'!$GX$9:$HD$9,1,CZ27))/12,0)))</f>
        <v>13852.651568415735</v>
      </c>
      <c r="DA30" s="28">
        <f>IF(DA27=0,IF('Lease Cycles'!$F$9&gt;0,'Lease Cycles'!$C$9*'Lease Cycles'!$E$9/12,0),IF(DA29=1,IF('Lease Cycles'!$AT$9&gt;=9999,'Lease Cycles'!$C$9*INDEX('Lease Cycles'!$CB$9:$CH$9,1,DA27)*(1+INDEX('Lease Cycles'!$CI$9:$CO$9,1,DA27))^INT(INT(DA28/12)/INDEX('Lease Cycles'!$CP$9:$CV$9,1,DA27))/12,IF(DA27=1,IF(DA28&gt;=INDEX('Lease Cycles'!$DK$9:$DQ$9,1,DA27),IF(DA$6&gt;='Lease Cycles'!$AZ$9,'Lease Cycles'!$C$9*'Lease Cycles'!$BA$9/12,IF(DA$6&gt;='Lease Cycles'!$AX$9,'Lease Cycles'!$C$9*'Lease Cycles'!$AY$9/12,IF(DA$6&gt;='Lease Cycles'!$AV$9,'Lease Cycles'!$C$9*'Lease Cycles'!$AW$9/12,IF(DA$6&gt;='Lease Cycles'!$AT$9,'Lease Cycles'!$C$9*'Lease Cycles'!$AU$9/12,'Lease Cycles'!$C$9*INDEX('Lease Cycles'!$CB$9:$CH$9,1,DA27)*(1+INDEX('Lease Cycles'!$CI$9:$CO$9,1,DA27))^INT(INT(DA28/12)/INDEX('Lease Cycles'!$CP$9:$CV$9,1,DA27))/12)))),'Lease Cycles'!$C$9*INDEX('Lease Cycles'!$CB$9:$CH$9,1,DA27)*(1+INDEX('Lease Cycles'!$CI$9:$CO$9,1,DA27))^INT(INT(DA28/12)/INDEX('Lease Cycles'!$CP$9:$CV$9,1,DA27))/12),IF(INDEX('Lease Cycles'!$EF$9:$EL$9,1,DA27)=1,IF(AND('Lease Cycles'!$AZ$9&gt;=INDEX('Lease Cycles'!$BG$9:$BM$9,1,DA27),'Lease Cycles'!$AZ$9&lt;=DA$6),'Lease Cycles'!$C$9*'Lease Cycles'!$BA$9/12,IF(AND('Lease Cycles'!$AX$9&gt;=INDEX('Lease Cycles'!$BG$9:$BM$9,1,DA27),'Lease Cycles'!$AX$9&lt;=DA$6),'Lease Cycles'!$C$9*'Lease Cycles'!$AY$9/12,IF(AND('Lease Cycles'!$AV$9&gt;=INDEX('Lease Cycles'!$BG$9:$BM$9,1,DA27),'Lease Cycles'!$AV$9&lt;=DA$6),'Lease Cycles'!$C$9*'Lease Cycles'!$AW$9/12,IF(AND('Lease Cycles'!$AT$9&gt;=INDEX('Lease Cycles'!$BG$9:$BM$9,1,DA27),'Lease Cycles'!$AT$9&lt;=DA$6),'Lease Cycles'!$C$9*'Lease Cycles'!$AU$9/12,'Lease Cycles'!$C$9*INDEX('Lease Cycles'!$CB$9:$CH$9,1,DA27)*(1+INDEX('Lease Cycles'!$CI$9:$CO$9,1,DA27))^INT(INT(DA28/12)/INDEX('Lease Cycles'!$CP$9:$CV$9,1,DA27))/12)))),'Lease Cycles'!$C$9*INDEX('Lease Cycles'!$CB$9:$CH$9,1,DA27)*(1+INDEX('Lease Cycles'!$CI$9:$CO$9,1,DA27))^INT(INT(DA28/12)/INDEX('Lease Cycles'!$CP$9:$CV$9,1,DA27))/12))),IF('Lease Cycles'!$N$9=1,'Lease Cycles'!$C$9*'Lease Cycles'!$E$9*INDEX('Lease Cycles'!$HE$9:$HK$9,1,DA27)*(1+INDEX('Lease Cycles'!$GQ$9:$GW$9,1,DA27))^INT(INT((DA$6-INDEX('Lease Cycles'!$GJ$9:$GP$9,1,DA27))/12)/INDEX('Lease Cycles'!$GX$9:$HD$9,1,DA27))/12,0)))</f>
        <v>13852.651568415735</v>
      </c>
      <c r="DB30" s="28">
        <f>IF(DB27=0,IF('Lease Cycles'!$F$9&gt;0,'Lease Cycles'!$C$9*'Lease Cycles'!$E$9/12,0),IF(DB29=1,IF('Lease Cycles'!$AT$9&gt;=9999,'Lease Cycles'!$C$9*INDEX('Lease Cycles'!$CB$9:$CH$9,1,DB27)*(1+INDEX('Lease Cycles'!$CI$9:$CO$9,1,DB27))^INT(INT(DB28/12)/INDEX('Lease Cycles'!$CP$9:$CV$9,1,DB27))/12,IF(DB27=1,IF(DB28&gt;=INDEX('Lease Cycles'!$DK$9:$DQ$9,1,DB27),IF(DB$6&gt;='Lease Cycles'!$AZ$9,'Lease Cycles'!$C$9*'Lease Cycles'!$BA$9/12,IF(DB$6&gt;='Lease Cycles'!$AX$9,'Lease Cycles'!$C$9*'Lease Cycles'!$AY$9/12,IF(DB$6&gt;='Lease Cycles'!$AV$9,'Lease Cycles'!$C$9*'Lease Cycles'!$AW$9/12,IF(DB$6&gt;='Lease Cycles'!$AT$9,'Lease Cycles'!$C$9*'Lease Cycles'!$AU$9/12,'Lease Cycles'!$C$9*INDEX('Lease Cycles'!$CB$9:$CH$9,1,DB27)*(1+INDEX('Lease Cycles'!$CI$9:$CO$9,1,DB27))^INT(INT(DB28/12)/INDEX('Lease Cycles'!$CP$9:$CV$9,1,DB27))/12)))),'Lease Cycles'!$C$9*INDEX('Lease Cycles'!$CB$9:$CH$9,1,DB27)*(1+INDEX('Lease Cycles'!$CI$9:$CO$9,1,DB27))^INT(INT(DB28/12)/INDEX('Lease Cycles'!$CP$9:$CV$9,1,DB27))/12),IF(INDEX('Lease Cycles'!$EF$9:$EL$9,1,DB27)=1,IF(AND('Lease Cycles'!$AZ$9&gt;=INDEX('Lease Cycles'!$BG$9:$BM$9,1,DB27),'Lease Cycles'!$AZ$9&lt;=DB$6),'Lease Cycles'!$C$9*'Lease Cycles'!$BA$9/12,IF(AND('Lease Cycles'!$AX$9&gt;=INDEX('Lease Cycles'!$BG$9:$BM$9,1,DB27),'Lease Cycles'!$AX$9&lt;=DB$6),'Lease Cycles'!$C$9*'Lease Cycles'!$AY$9/12,IF(AND('Lease Cycles'!$AV$9&gt;=INDEX('Lease Cycles'!$BG$9:$BM$9,1,DB27),'Lease Cycles'!$AV$9&lt;=DB$6),'Lease Cycles'!$C$9*'Lease Cycles'!$AW$9/12,IF(AND('Lease Cycles'!$AT$9&gt;=INDEX('Lease Cycles'!$BG$9:$BM$9,1,DB27),'Lease Cycles'!$AT$9&lt;=DB$6),'Lease Cycles'!$C$9*'Lease Cycles'!$AU$9/12,'Lease Cycles'!$C$9*INDEX('Lease Cycles'!$CB$9:$CH$9,1,DB27)*(1+INDEX('Lease Cycles'!$CI$9:$CO$9,1,DB27))^INT(INT(DB28/12)/INDEX('Lease Cycles'!$CP$9:$CV$9,1,DB27))/12)))),'Lease Cycles'!$C$9*INDEX('Lease Cycles'!$CB$9:$CH$9,1,DB27)*(1+INDEX('Lease Cycles'!$CI$9:$CO$9,1,DB27))^INT(INT(DB28/12)/INDEX('Lease Cycles'!$CP$9:$CV$9,1,DB27))/12))),IF('Lease Cycles'!$N$9=1,'Lease Cycles'!$C$9*'Lease Cycles'!$E$9*INDEX('Lease Cycles'!$HE$9:$HK$9,1,DB27)*(1+INDEX('Lease Cycles'!$GQ$9:$GW$9,1,DB27))^INT(INT((DB$6-INDEX('Lease Cycles'!$GJ$9:$GP$9,1,DB27))/12)/INDEX('Lease Cycles'!$GX$9:$HD$9,1,DB27))/12,0)))</f>
        <v>13852.651568415735</v>
      </c>
      <c r="DC30" s="28">
        <f>IF(DC27=0,IF('Lease Cycles'!$F$9&gt;0,'Lease Cycles'!$C$9*'Lease Cycles'!$E$9/12,0),IF(DC29=1,IF('Lease Cycles'!$AT$9&gt;=9999,'Lease Cycles'!$C$9*INDEX('Lease Cycles'!$CB$9:$CH$9,1,DC27)*(1+INDEX('Lease Cycles'!$CI$9:$CO$9,1,DC27))^INT(INT(DC28/12)/INDEX('Lease Cycles'!$CP$9:$CV$9,1,DC27))/12,IF(DC27=1,IF(DC28&gt;=INDEX('Lease Cycles'!$DK$9:$DQ$9,1,DC27),IF(DC$6&gt;='Lease Cycles'!$AZ$9,'Lease Cycles'!$C$9*'Lease Cycles'!$BA$9/12,IF(DC$6&gt;='Lease Cycles'!$AX$9,'Lease Cycles'!$C$9*'Lease Cycles'!$AY$9/12,IF(DC$6&gt;='Lease Cycles'!$AV$9,'Lease Cycles'!$C$9*'Lease Cycles'!$AW$9/12,IF(DC$6&gt;='Lease Cycles'!$AT$9,'Lease Cycles'!$C$9*'Lease Cycles'!$AU$9/12,'Lease Cycles'!$C$9*INDEX('Lease Cycles'!$CB$9:$CH$9,1,DC27)*(1+INDEX('Lease Cycles'!$CI$9:$CO$9,1,DC27))^INT(INT(DC28/12)/INDEX('Lease Cycles'!$CP$9:$CV$9,1,DC27))/12)))),'Lease Cycles'!$C$9*INDEX('Lease Cycles'!$CB$9:$CH$9,1,DC27)*(1+INDEX('Lease Cycles'!$CI$9:$CO$9,1,DC27))^INT(INT(DC28/12)/INDEX('Lease Cycles'!$CP$9:$CV$9,1,DC27))/12),IF(INDEX('Lease Cycles'!$EF$9:$EL$9,1,DC27)=1,IF(AND('Lease Cycles'!$AZ$9&gt;=INDEX('Lease Cycles'!$BG$9:$BM$9,1,DC27),'Lease Cycles'!$AZ$9&lt;=DC$6),'Lease Cycles'!$C$9*'Lease Cycles'!$BA$9/12,IF(AND('Lease Cycles'!$AX$9&gt;=INDEX('Lease Cycles'!$BG$9:$BM$9,1,DC27),'Lease Cycles'!$AX$9&lt;=DC$6),'Lease Cycles'!$C$9*'Lease Cycles'!$AY$9/12,IF(AND('Lease Cycles'!$AV$9&gt;=INDEX('Lease Cycles'!$BG$9:$BM$9,1,DC27),'Lease Cycles'!$AV$9&lt;=DC$6),'Lease Cycles'!$C$9*'Lease Cycles'!$AW$9/12,IF(AND('Lease Cycles'!$AT$9&gt;=INDEX('Lease Cycles'!$BG$9:$BM$9,1,DC27),'Lease Cycles'!$AT$9&lt;=DC$6),'Lease Cycles'!$C$9*'Lease Cycles'!$AU$9/12,'Lease Cycles'!$C$9*INDEX('Lease Cycles'!$CB$9:$CH$9,1,DC27)*(1+INDEX('Lease Cycles'!$CI$9:$CO$9,1,DC27))^INT(INT(DC28/12)/INDEX('Lease Cycles'!$CP$9:$CV$9,1,DC27))/12)))),'Lease Cycles'!$C$9*INDEX('Lease Cycles'!$CB$9:$CH$9,1,DC27)*(1+INDEX('Lease Cycles'!$CI$9:$CO$9,1,DC27))^INT(INT(DC28/12)/INDEX('Lease Cycles'!$CP$9:$CV$9,1,DC27))/12))),IF('Lease Cycles'!$N$9=1,'Lease Cycles'!$C$9*'Lease Cycles'!$E$9*INDEX('Lease Cycles'!$HE$9:$HK$9,1,DC27)*(1+INDEX('Lease Cycles'!$GQ$9:$GW$9,1,DC27))^INT(INT((DC$6-INDEX('Lease Cycles'!$GJ$9:$GP$9,1,DC27))/12)/INDEX('Lease Cycles'!$GX$9:$HD$9,1,DC27))/12,0)))</f>
        <v>13852.651568415735</v>
      </c>
      <c r="DD30" s="28">
        <f>IF(DD27=0,IF('Lease Cycles'!$F$9&gt;0,'Lease Cycles'!$C$9*'Lease Cycles'!$E$9/12,0),IF(DD29=1,IF('Lease Cycles'!$AT$9&gt;=9999,'Lease Cycles'!$C$9*INDEX('Lease Cycles'!$CB$9:$CH$9,1,DD27)*(1+INDEX('Lease Cycles'!$CI$9:$CO$9,1,DD27))^INT(INT(DD28/12)/INDEX('Lease Cycles'!$CP$9:$CV$9,1,DD27))/12,IF(DD27=1,IF(DD28&gt;=INDEX('Lease Cycles'!$DK$9:$DQ$9,1,DD27),IF(DD$6&gt;='Lease Cycles'!$AZ$9,'Lease Cycles'!$C$9*'Lease Cycles'!$BA$9/12,IF(DD$6&gt;='Lease Cycles'!$AX$9,'Lease Cycles'!$C$9*'Lease Cycles'!$AY$9/12,IF(DD$6&gt;='Lease Cycles'!$AV$9,'Lease Cycles'!$C$9*'Lease Cycles'!$AW$9/12,IF(DD$6&gt;='Lease Cycles'!$AT$9,'Lease Cycles'!$C$9*'Lease Cycles'!$AU$9/12,'Lease Cycles'!$C$9*INDEX('Lease Cycles'!$CB$9:$CH$9,1,DD27)*(1+INDEX('Lease Cycles'!$CI$9:$CO$9,1,DD27))^INT(INT(DD28/12)/INDEX('Lease Cycles'!$CP$9:$CV$9,1,DD27))/12)))),'Lease Cycles'!$C$9*INDEX('Lease Cycles'!$CB$9:$CH$9,1,DD27)*(1+INDEX('Lease Cycles'!$CI$9:$CO$9,1,DD27))^INT(INT(DD28/12)/INDEX('Lease Cycles'!$CP$9:$CV$9,1,DD27))/12),IF(INDEX('Lease Cycles'!$EF$9:$EL$9,1,DD27)=1,IF(AND('Lease Cycles'!$AZ$9&gt;=INDEX('Lease Cycles'!$BG$9:$BM$9,1,DD27),'Lease Cycles'!$AZ$9&lt;=DD$6),'Lease Cycles'!$C$9*'Lease Cycles'!$BA$9/12,IF(AND('Lease Cycles'!$AX$9&gt;=INDEX('Lease Cycles'!$BG$9:$BM$9,1,DD27),'Lease Cycles'!$AX$9&lt;=DD$6),'Lease Cycles'!$C$9*'Lease Cycles'!$AY$9/12,IF(AND('Lease Cycles'!$AV$9&gt;=INDEX('Lease Cycles'!$BG$9:$BM$9,1,DD27),'Lease Cycles'!$AV$9&lt;=DD$6),'Lease Cycles'!$C$9*'Lease Cycles'!$AW$9/12,IF(AND('Lease Cycles'!$AT$9&gt;=INDEX('Lease Cycles'!$BG$9:$BM$9,1,DD27),'Lease Cycles'!$AT$9&lt;=DD$6),'Lease Cycles'!$C$9*'Lease Cycles'!$AU$9/12,'Lease Cycles'!$C$9*INDEX('Lease Cycles'!$CB$9:$CH$9,1,DD27)*(1+INDEX('Lease Cycles'!$CI$9:$CO$9,1,DD27))^INT(INT(DD28/12)/INDEX('Lease Cycles'!$CP$9:$CV$9,1,DD27))/12)))),'Lease Cycles'!$C$9*INDEX('Lease Cycles'!$CB$9:$CH$9,1,DD27)*(1+INDEX('Lease Cycles'!$CI$9:$CO$9,1,DD27))^INT(INT(DD28/12)/INDEX('Lease Cycles'!$CP$9:$CV$9,1,DD27))/12))),IF('Lease Cycles'!$N$9=1,'Lease Cycles'!$C$9*'Lease Cycles'!$E$9*INDEX('Lease Cycles'!$HE$9:$HK$9,1,DD27)*(1+INDEX('Lease Cycles'!$GQ$9:$GW$9,1,DD27))^INT(INT((DD$6-INDEX('Lease Cycles'!$GJ$9:$GP$9,1,DD27))/12)/INDEX('Lease Cycles'!$GX$9:$HD$9,1,DD27))/12,0)))</f>
        <v>13852.651568415735</v>
      </c>
      <c r="DE30" s="28">
        <f>IF(DE27=0,IF('Lease Cycles'!$F$9&gt;0,'Lease Cycles'!$C$9*'Lease Cycles'!$E$9/12,0),IF(DE29=1,IF('Lease Cycles'!$AT$9&gt;=9999,'Lease Cycles'!$C$9*INDEX('Lease Cycles'!$CB$9:$CH$9,1,DE27)*(1+INDEX('Lease Cycles'!$CI$9:$CO$9,1,DE27))^INT(INT(DE28/12)/INDEX('Lease Cycles'!$CP$9:$CV$9,1,DE27))/12,IF(DE27=1,IF(DE28&gt;=INDEX('Lease Cycles'!$DK$9:$DQ$9,1,DE27),IF(DE$6&gt;='Lease Cycles'!$AZ$9,'Lease Cycles'!$C$9*'Lease Cycles'!$BA$9/12,IF(DE$6&gt;='Lease Cycles'!$AX$9,'Lease Cycles'!$C$9*'Lease Cycles'!$AY$9/12,IF(DE$6&gt;='Lease Cycles'!$AV$9,'Lease Cycles'!$C$9*'Lease Cycles'!$AW$9/12,IF(DE$6&gt;='Lease Cycles'!$AT$9,'Lease Cycles'!$C$9*'Lease Cycles'!$AU$9/12,'Lease Cycles'!$C$9*INDEX('Lease Cycles'!$CB$9:$CH$9,1,DE27)*(1+INDEX('Lease Cycles'!$CI$9:$CO$9,1,DE27))^INT(INT(DE28/12)/INDEX('Lease Cycles'!$CP$9:$CV$9,1,DE27))/12)))),'Lease Cycles'!$C$9*INDEX('Lease Cycles'!$CB$9:$CH$9,1,DE27)*(1+INDEX('Lease Cycles'!$CI$9:$CO$9,1,DE27))^INT(INT(DE28/12)/INDEX('Lease Cycles'!$CP$9:$CV$9,1,DE27))/12),IF(INDEX('Lease Cycles'!$EF$9:$EL$9,1,DE27)=1,IF(AND('Lease Cycles'!$AZ$9&gt;=INDEX('Lease Cycles'!$BG$9:$BM$9,1,DE27),'Lease Cycles'!$AZ$9&lt;=DE$6),'Lease Cycles'!$C$9*'Lease Cycles'!$BA$9/12,IF(AND('Lease Cycles'!$AX$9&gt;=INDEX('Lease Cycles'!$BG$9:$BM$9,1,DE27),'Lease Cycles'!$AX$9&lt;=DE$6),'Lease Cycles'!$C$9*'Lease Cycles'!$AY$9/12,IF(AND('Lease Cycles'!$AV$9&gt;=INDEX('Lease Cycles'!$BG$9:$BM$9,1,DE27),'Lease Cycles'!$AV$9&lt;=DE$6),'Lease Cycles'!$C$9*'Lease Cycles'!$AW$9/12,IF(AND('Lease Cycles'!$AT$9&gt;=INDEX('Lease Cycles'!$BG$9:$BM$9,1,DE27),'Lease Cycles'!$AT$9&lt;=DE$6),'Lease Cycles'!$C$9*'Lease Cycles'!$AU$9/12,'Lease Cycles'!$C$9*INDEX('Lease Cycles'!$CB$9:$CH$9,1,DE27)*(1+INDEX('Lease Cycles'!$CI$9:$CO$9,1,DE27))^INT(INT(DE28/12)/INDEX('Lease Cycles'!$CP$9:$CV$9,1,DE27))/12)))),'Lease Cycles'!$C$9*INDEX('Lease Cycles'!$CB$9:$CH$9,1,DE27)*(1+INDEX('Lease Cycles'!$CI$9:$CO$9,1,DE27))^INT(INT(DE28/12)/INDEX('Lease Cycles'!$CP$9:$CV$9,1,DE27))/12))),IF('Lease Cycles'!$N$9=1,'Lease Cycles'!$C$9*'Lease Cycles'!$E$9*INDEX('Lease Cycles'!$HE$9:$HK$9,1,DE27)*(1+INDEX('Lease Cycles'!$GQ$9:$GW$9,1,DE27))^INT(INT((DE$6-INDEX('Lease Cycles'!$GJ$9:$GP$9,1,DE27))/12)/INDEX('Lease Cycles'!$GX$9:$HD$9,1,DE27))/12,0)))</f>
        <v>13852.651568415735</v>
      </c>
      <c r="DF30" s="28">
        <f>IF(DF27=0,IF('Lease Cycles'!$F$9&gt;0,'Lease Cycles'!$C$9*'Lease Cycles'!$E$9/12,0),IF(DF29=1,IF('Lease Cycles'!$AT$9&gt;=9999,'Lease Cycles'!$C$9*INDEX('Lease Cycles'!$CB$9:$CH$9,1,DF27)*(1+INDEX('Lease Cycles'!$CI$9:$CO$9,1,DF27))^INT(INT(DF28/12)/INDEX('Lease Cycles'!$CP$9:$CV$9,1,DF27))/12,IF(DF27=1,IF(DF28&gt;=INDEX('Lease Cycles'!$DK$9:$DQ$9,1,DF27),IF(DF$6&gt;='Lease Cycles'!$AZ$9,'Lease Cycles'!$C$9*'Lease Cycles'!$BA$9/12,IF(DF$6&gt;='Lease Cycles'!$AX$9,'Lease Cycles'!$C$9*'Lease Cycles'!$AY$9/12,IF(DF$6&gt;='Lease Cycles'!$AV$9,'Lease Cycles'!$C$9*'Lease Cycles'!$AW$9/12,IF(DF$6&gt;='Lease Cycles'!$AT$9,'Lease Cycles'!$C$9*'Lease Cycles'!$AU$9/12,'Lease Cycles'!$C$9*INDEX('Lease Cycles'!$CB$9:$CH$9,1,DF27)*(1+INDEX('Lease Cycles'!$CI$9:$CO$9,1,DF27))^INT(INT(DF28/12)/INDEX('Lease Cycles'!$CP$9:$CV$9,1,DF27))/12)))),'Lease Cycles'!$C$9*INDEX('Lease Cycles'!$CB$9:$CH$9,1,DF27)*(1+INDEX('Lease Cycles'!$CI$9:$CO$9,1,DF27))^INT(INT(DF28/12)/INDEX('Lease Cycles'!$CP$9:$CV$9,1,DF27))/12),IF(INDEX('Lease Cycles'!$EF$9:$EL$9,1,DF27)=1,IF(AND('Lease Cycles'!$AZ$9&gt;=INDEX('Lease Cycles'!$BG$9:$BM$9,1,DF27),'Lease Cycles'!$AZ$9&lt;=DF$6),'Lease Cycles'!$C$9*'Lease Cycles'!$BA$9/12,IF(AND('Lease Cycles'!$AX$9&gt;=INDEX('Lease Cycles'!$BG$9:$BM$9,1,DF27),'Lease Cycles'!$AX$9&lt;=DF$6),'Lease Cycles'!$C$9*'Lease Cycles'!$AY$9/12,IF(AND('Lease Cycles'!$AV$9&gt;=INDEX('Lease Cycles'!$BG$9:$BM$9,1,DF27),'Lease Cycles'!$AV$9&lt;=DF$6),'Lease Cycles'!$C$9*'Lease Cycles'!$AW$9/12,IF(AND('Lease Cycles'!$AT$9&gt;=INDEX('Lease Cycles'!$BG$9:$BM$9,1,DF27),'Lease Cycles'!$AT$9&lt;=DF$6),'Lease Cycles'!$C$9*'Lease Cycles'!$AU$9/12,'Lease Cycles'!$C$9*INDEX('Lease Cycles'!$CB$9:$CH$9,1,DF27)*(1+INDEX('Lease Cycles'!$CI$9:$CO$9,1,DF27))^INT(INT(DF28/12)/INDEX('Lease Cycles'!$CP$9:$CV$9,1,DF27))/12)))),'Lease Cycles'!$C$9*INDEX('Lease Cycles'!$CB$9:$CH$9,1,DF27)*(1+INDEX('Lease Cycles'!$CI$9:$CO$9,1,DF27))^INT(INT(DF28/12)/INDEX('Lease Cycles'!$CP$9:$CV$9,1,DF27))/12))),IF('Lease Cycles'!$N$9=1,'Lease Cycles'!$C$9*'Lease Cycles'!$E$9*INDEX('Lease Cycles'!$HE$9:$HK$9,1,DF27)*(1+INDEX('Lease Cycles'!$GQ$9:$GW$9,1,DF27))^INT(INT((DF$6-INDEX('Lease Cycles'!$GJ$9:$GP$9,1,DF27))/12)/INDEX('Lease Cycles'!$GX$9:$HD$9,1,DF27))/12,0)))</f>
        <v>13852.651568415735</v>
      </c>
      <c r="DG30" s="28">
        <f>IF(DG27=0,IF('Lease Cycles'!$F$9&gt;0,'Lease Cycles'!$C$9*'Lease Cycles'!$E$9/12,0),IF(DG29=1,IF('Lease Cycles'!$AT$9&gt;=9999,'Lease Cycles'!$C$9*INDEX('Lease Cycles'!$CB$9:$CH$9,1,DG27)*(1+INDEX('Lease Cycles'!$CI$9:$CO$9,1,DG27))^INT(INT(DG28/12)/INDEX('Lease Cycles'!$CP$9:$CV$9,1,DG27))/12,IF(DG27=1,IF(DG28&gt;=INDEX('Lease Cycles'!$DK$9:$DQ$9,1,DG27),IF(DG$6&gt;='Lease Cycles'!$AZ$9,'Lease Cycles'!$C$9*'Lease Cycles'!$BA$9/12,IF(DG$6&gt;='Lease Cycles'!$AX$9,'Lease Cycles'!$C$9*'Lease Cycles'!$AY$9/12,IF(DG$6&gt;='Lease Cycles'!$AV$9,'Lease Cycles'!$C$9*'Lease Cycles'!$AW$9/12,IF(DG$6&gt;='Lease Cycles'!$AT$9,'Lease Cycles'!$C$9*'Lease Cycles'!$AU$9/12,'Lease Cycles'!$C$9*INDEX('Lease Cycles'!$CB$9:$CH$9,1,DG27)*(1+INDEX('Lease Cycles'!$CI$9:$CO$9,1,DG27))^INT(INT(DG28/12)/INDEX('Lease Cycles'!$CP$9:$CV$9,1,DG27))/12)))),'Lease Cycles'!$C$9*INDEX('Lease Cycles'!$CB$9:$CH$9,1,DG27)*(1+INDEX('Lease Cycles'!$CI$9:$CO$9,1,DG27))^INT(INT(DG28/12)/INDEX('Lease Cycles'!$CP$9:$CV$9,1,DG27))/12),IF(INDEX('Lease Cycles'!$EF$9:$EL$9,1,DG27)=1,IF(AND('Lease Cycles'!$AZ$9&gt;=INDEX('Lease Cycles'!$BG$9:$BM$9,1,DG27),'Lease Cycles'!$AZ$9&lt;=DG$6),'Lease Cycles'!$C$9*'Lease Cycles'!$BA$9/12,IF(AND('Lease Cycles'!$AX$9&gt;=INDEX('Lease Cycles'!$BG$9:$BM$9,1,DG27),'Lease Cycles'!$AX$9&lt;=DG$6),'Lease Cycles'!$C$9*'Lease Cycles'!$AY$9/12,IF(AND('Lease Cycles'!$AV$9&gt;=INDEX('Lease Cycles'!$BG$9:$BM$9,1,DG27),'Lease Cycles'!$AV$9&lt;=DG$6),'Lease Cycles'!$C$9*'Lease Cycles'!$AW$9/12,IF(AND('Lease Cycles'!$AT$9&gt;=INDEX('Lease Cycles'!$BG$9:$BM$9,1,DG27),'Lease Cycles'!$AT$9&lt;=DG$6),'Lease Cycles'!$C$9*'Lease Cycles'!$AU$9/12,'Lease Cycles'!$C$9*INDEX('Lease Cycles'!$CB$9:$CH$9,1,DG27)*(1+INDEX('Lease Cycles'!$CI$9:$CO$9,1,DG27))^INT(INT(DG28/12)/INDEX('Lease Cycles'!$CP$9:$CV$9,1,DG27))/12)))),'Lease Cycles'!$C$9*INDEX('Lease Cycles'!$CB$9:$CH$9,1,DG27)*(1+INDEX('Lease Cycles'!$CI$9:$CO$9,1,DG27))^INT(INT(DG28/12)/INDEX('Lease Cycles'!$CP$9:$CV$9,1,DG27))/12))),IF('Lease Cycles'!$N$9=1,'Lease Cycles'!$C$9*'Lease Cycles'!$E$9*INDEX('Lease Cycles'!$HE$9:$HK$9,1,DG27)*(1+INDEX('Lease Cycles'!$GQ$9:$GW$9,1,DG27))^INT(INT((DG$6-INDEX('Lease Cycles'!$GJ$9:$GP$9,1,DG27))/12)/INDEX('Lease Cycles'!$GX$9:$HD$9,1,DG27))/12,0)))</f>
        <v>13852.651568415735</v>
      </c>
      <c r="DH30" s="28">
        <f>IF(DH27=0,IF('Lease Cycles'!$F$9&gt;0,'Lease Cycles'!$C$9*'Lease Cycles'!$E$9/12,0),IF(DH29=1,IF('Lease Cycles'!$AT$9&gt;=9999,'Lease Cycles'!$C$9*INDEX('Lease Cycles'!$CB$9:$CH$9,1,DH27)*(1+INDEX('Lease Cycles'!$CI$9:$CO$9,1,DH27))^INT(INT(DH28/12)/INDEX('Lease Cycles'!$CP$9:$CV$9,1,DH27))/12,IF(DH27=1,IF(DH28&gt;=INDEX('Lease Cycles'!$DK$9:$DQ$9,1,DH27),IF(DH$6&gt;='Lease Cycles'!$AZ$9,'Lease Cycles'!$C$9*'Lease Cycles'!$BA$9/12,IF(DH$6&gt;='Lease Cycles'!$AX$9,'Lease Cycles'!$C$9*'Lease Cycles'!$AY$9/12,IF(DH$6&gt;='Lease Cycles'!$AV$9,'Lease Cycles'!$C$9*'Lease Cycles'!$AW$9/12,IF(DH$6&gt;='Lease Cycles'!$AT$9,'Lease Cycles'!$C$9*'Lease Cycles'!$AU$9/12,'Lease Cycles'!$C$9*INDEX('Lease Cycles'!$CB$9:$CH$9,1,DH27)*(1+INDEX('Lease Cycles'!$CI$9:$CO$9,1,DH27))^INT(INT(DH28/12)/INDEX('Lease Cycles'!$CP$9:$CV$9,1,DH27))/12)))),'Lease Cycles'!$C$9*INDEX('Lease Cycles'!$CB$9:$CH$9,1,DH27)*(1+INDEX('Lease Cycles'!$CI$9:$CO$9,1,DH27))^INT(INT(DH28/12)/INDEX('Lease Cycles'!$CP$9:$CV$9,1,DH27))/12),IF(INDEX('Lease Cycles'!$EF$9:$EL$9,1,DH27)=1,IF(AND('Lease Cycles'!$AZ$9&gt;=INDEX('Lease Cycles'!$BG$9:$BM$9,1,DH27),'Lease Cycles'!$AZ$9&lt;=DH$6),'Lease Cycles'!$C$9*'Lease Cycles'!$BA$9/12,IF(AND('Lease Cycles'!$AX$9&gt;=INDEX('Lease Cycles'!$BG$9:$BM$9,1,DH27),'Lease Cycles'!$AX$9&lt;=DH$6),'Lease Cycles'!$C$9*'Lease Cycles'!$AY$9/12,IF(AND('Lease Cycles'!$AV$9&gt;=INDEX('Lease Cycles'!$BG$9:$BM$9,1,DH27),'Lease Cycles'!$AV$9&lt;=DH$6),'Lease Cycles'!$C$9*'Lease Cycles'!$AW$9/12,IF(AND('Lease Cycles'!$AT$9&gt;=INDEX('Lease Cycles'!$BG$9:$BM$9,1,DH27),'Lease Cycles'!$AT$9&lt;=DH$6),'Lease Cycles'!$C$9*'Lease Cycles'!$AU$9/12,'Lease Cycles'!$C$9*INDEX('Lease Cycles'!$CB$9:$CH$9,1,DH27)*(1+INDEX('Lease Cycles'!$CI$9:$CO$9,1,DH27))^INT(INT(DH28/12)/INDEX('Lease Cycles'!$CP$9:$CV$9,1,DH27))/12)))),'Lease Cycles'!$C$9*INDEX('Lease Cycles'!$CB$9:$CH$9,1,DH27)*(1+INDEX('Lease Cycles'!$CI$9:$CO$9,1,DH27))^INT(INT(DH28/12)/INDEX('Lease Cycles'!$CP$9:$CV$9,1,DH27))/12))),IF('Lease Cycles'!$N$9=1,'Lease Cycles'!$C$9*'Lease Cycles'!$E$9*INDEX('Lease Cycles'!$HE$9:$HK$9,1,DH27)*(1+INDEX('Lease Cycles'!$GQ$9:$GW$9,1,DH27))^INT(INT((DH$6-INDEX('Lease Cycles'!$GJ$9:$GP$9,1,DH27))/12)/INDEX('Lease Cycles'!$GX$9:$HD$9,1,DH27))/12,0)))</f>
        <v>13852.651568415735</v>
      </c>
      <c r="DI30" s="28">
        <f>IF(DI27=0,IF('Lease Cycles'!$F$9&gt;0,'Lease Cycles'!$C$9*'Lease Cycles'!$E$9/12,0),IF(DI29=1,IF('Lease Cycles'!$AT$9&gt;=9999,'Lease Cycles'!$C$9*INDEX('Lease Cycles'!$CB$9:$CH$9,1,DI27)*(1+INDEX('Lease Cycles'!$CI$9:$CO$9,1,DI27))^INT(INT(DI28/12)/INDEX('Lease Cycles'!$CP$9:$CV$9,1,DI27))/12,IF(DI27=1,IF(DI28&gt;=INDEX('Lease Cycles'!$DK$9:$DQ$9,1,DI27),IF(DI$6&gt;='Lease Cycles'!$AZ$9,'Lease Cycles'!$C$9*'Lease Cycles'!$BA$9/12,IF(DI$6&gt;='Lease Cycles'!$AX$9,'Lease Cycles'!$C$9*'Lease Cycles'!$AY$9/12,IF(DI$6&gt;='Lease Cycles'!$AV$9,'Lease Cycles'!$C$9*'Lease Cycles'!$AW$9/12,IF(DI$6&gt;='Lease Cycles'!$AT$9,'Lease Cycles'!$C$9*'Lease Cycles'!$AU$9/12,'Lease Cycles'!$C$9*INDEX('Lease Cycles'!$CB$9:$CH$9,1,DI27)*(1+INDEX('Lease Cycles'!$CI$9:$CO$9,1,DI27))^INT(INT(DI28/12)/INDEX('Lease Cycles'!$CP$9:$CV$9,1,DI27))/12)))),'Lease Cycles'!$C$9*INDEX('Lease Cycles'!$CB$9:$CH$9,1,DI27)*(1+INDEX('Lease Cycles'!$CI$9:$CO$9,1,DI27))^INT(INT(DI28/12)/INDEX('Lease Cycles'!$CP$9:$CV$9,1,DI27))/12),IF(INDEX('Lease Cycles'!$EF$9:$EL$9,1,DI27)=1,IF(AND('Lease Cycles'!$AZ$9&gt;=INDEX('Lease Cycles'!$BG$9:$BM$9,1,DI27),'Lease Cycles'!$AZ$9&lt;=DI$6),'Lease Cycles'!$C$9*'Lease Cycles'!$BA$9/12,IF(AND('Lease Cycles'!$AX$9&gt;=INDEX('Lease Cycles'!$BG$9:$BM$9,1,DI27),'Lease Cycles'!$AX$9&lt;=DI$6),'Lease Cycles'!$C$9*'Lease Cycles'!$AY$9/12,IF(AND('Lease Cycles'!$AV$9&gt;=INDEX('Lease Cycles'!$BG$9:$BM$9,1,DI27),'Lease Cycles'!$AV$9&lt;=DI$6),'Lease Cycles'!$C$9*'Lease Cycles'!$AW$9/12,IF(AND('Lease Cycles'!$AT$9&gt;=INDEX('Lease Cycles'!$BG$9:$BM$9,1,DI27),'Lease Cycles'!$AT$9&lt;=DI$6),'Lease Cycles'!$C$9*'Lease Cycles'!$AU$9/12,'Lease Cycles'!$C$9*INDEX('Lease Cycles'!$CB$9:$CH$9,1,DI27)*(1+INDEX('Lease Cycles'!$CI$9:$CO$9,1,DI27))^INT(INT(DI28/12)/INDEX('Lease Cycles'!$CP$9:$CV$9,1,DI27))/12)))),'Lease Cycles'!$C$9*INDEX('Lease Cycles'!$CB$9:$CH$9,1,DI27)*(1+INDEX('Lease Cycles'!$CI$9:$CO$9,1,DI27))^INT(INT(DI28/12)/INDEX('Lease Cycles'!$CP$9:$CV$9,1,DI27))/12))),IF('Lease Cycles'!$N$9=1,'Lease Cycles'!$C$9*'Lease Cycles'!$E$9*INDEX('Lease Cycles'!$HE$9:$HK$9,1,DI27)*(1+INDEX('Lease Cycles'!$GQ$9:$GW$9,1,DI27))^INT(INT((DI$6-INDEX('Lease Cycles'!$GJ$9:$GP$9,1,DI27))/12)/INDEX('Lease Cycles'!$GX$9:$HD$9,1,DI27))/12,0)))</f>
        <v>13852.651568415735</v>
      </c>
      <c r="DJ30" s="28">
        <f>IF(DJ27=0,IF('Lease Cycles'!$F$9&gt;0,'Lease Cycles'!$C$9*'Lease Cycles'!$E$9/12,0),IF(DJ29=1,IF('Lease Cycles'!$AT$9&gt;=9999,'Lease Cycles'!$C$9*INDEX('Lease Cycles'!$CB$9:$CH$9,1,DJ27)*(1+INDEX('Lease Cycles'!$CI$9:$CO$9,1,DJ27))^INT(INT(DJ28/12)/INDEX('Lease Cycles'!$CP$9:$CV$9,1,DJ27))/12,IF(DJ27=1,IF(DJ28&gt;=INDEX('Lease Cycles'!$DK$9:$DQ$9,1,DJ27),IF(DJ$6&gt;='Lease Cycles'!$AZ$9,'Lease Cycles'!$C$9*'Lease Cycles'!$BA$9/12,IF(DJ$6&gt;='Lease Cycles'!$AX$9,'Lease Cycles'!$C$9*'Lease Cycles'!$AY$9/12,IF(DJ$6&gt;='Lease Cycles'!$AV$9,'Lease Cycles'!$C$9*'Lease Cycles'!$AW$9/12,IF(DJ$6&gt;='Lease Cycles'!$AT$9,'Lease Cycles'!$C$9*'Lease Cycles'!$AU$9/12,'Lease Cycles'!$C$9*INDEX('Lease Cycles'!$CB$9:$CH$9,1,DJ27)*(1+INDEX('Lease Cycles'!$CI$9:$CO$9,1,DJ27))^INT(INT(DJ28/12)/INDEX('Lease Cycles'!$CP$9:$CV$9,1,DJ27))/12)))),'Lease Cycles'!$C$9*INDEX('Lease Cycles'!$CB$9:$CH$9,1,DJ27)*(1+INDEX('Lease Cycles'!$CI$9:$CO$9,1,DJ27))^INT(INT(DJ28/12)/INDEX('Lease Cycles'!$CP$9:$CV$9,1,DJ27))/12),IF(INDEX('Lease Cycles'!$EF$9:$EL$9,1,DJ27)=1,IF(AND('Lease Cycles'!$AZ$9&gt;=INDEX('Lease Cycles'!$BG$9:$BM$9,1,DJ27),'Lease Cycles'!$AZ$9&lt;=DJ$6),'Lease Cycles'!$C$9*'Lease Cycles'!$BA$9/12,IF(AND('Lease Cycles'!$AX$9&gt;=INDEX('Lease Cycles'!$BG$9:$BM$9,1,DJ27),'Lease Cycles'!$AX$9&lt;=DJ$6),'Lease Cycles'!$C$9*'Lease Cycles'!$AY$9/12,IF(AND('Lease Cycles'!$AV$9&gt;=INDEX('Lease Cycles'!$BG$9:$BM$9,1,DJ27),'Lease Cycles'!$AV$9&lt;=DJ$6),'Lease Cycles'!$C$9*'Lease Cycles'!$AW$9/12,IF(AND('Lease Cycles'!$AT$9&gt;=INDEX('Lease Cycles'!$BG$9:$BM$9,1,DJ27),'Lease Cycles'!$AT$9&lt;=DJ$6),'Lease Cycles'!$C$9*'Lease Cycles'!$AU$9/12,'Lease Cycles'!$C$9*INDEX('Lease Cycles'!$CB$9:$CH$9,1,DJ27)*(1+INDEX('Lease Cycles'!$CI$9:$CO$9,1,DJ27))^INT(INT(DJ28/12)/INDEX('Lease Cycles'!$CP$9:$CV$9,1,DJ27))/12)))),'Lease Cycles'!$C$9*INDEX('Lease Cycles'!$CB$9:$CH$9,1,DJ27)*(1+INDEX('Lease Cycles'!$CI$9:$CO$9,1,DJ27))^INT(INT(DJ28/12)/INDEX('Lease Cycles'!$CP$9:$CV$9,1,DJ27))/12))),IF('Lease Cycles'!$N$9=1,'Lease Cycles'!$C$9*'Lease Cycles'!$E$9*INDEX('Lease Cycles'!$HE$9:$HK$9,1,DJ27)*(1+INDEX('Lease Cycles'!$GQ$9:$GW$9,1,DJ27))^INT(INT((DJ$6-INDEX('Lease Cycles'!$GJ$9:$GP$9,1,DJ27))/12)/INDEX('Lease Cycles'!$GX$9:$HD$9,1,DJ27))/12,0)))</f>
        <v>13852.651568415735</v>
      </c>
      <c r="DK30" s="28">
        <f>IF(DK27=0,IF('Lease Cycles'!$F$9&gt;0,'Lease Cycles'!$C$9*'Lease Cycles'!$E$9/12,0),IF(DK29=1,IF('Lease Cycles'!$AT$9&gt;=9999,'Lease Cycles'!$C$9*INDEX('Lease Cycles'!$CB$9:$CH$9,1,DK27)*(1+INDEX('Lease Cycles'!$CI$9:$CO$9,1,DK27))^INT(INT(DK28/12)/INDEX('Lease Cycles'!$CP$9:$CV$9,1,DK27))/12,IF(DK27=1,IF(DK28&gt;=INDEX('Lease Cycles'!$DK$9:$DQ$9,1,DK27),IF(DK$6&gt;='Lease Cycles'!$AZ$9,'Lease Cycles'!$C$9*'Lease Cycles'!$BA$9/12,IF(DK$6&gt;='Lease Cycles'!$AX$9,'Lease Cycles'!$C$9*'Lease Cycles'!$AY$9/12,IF(DK$6&gt;='Lease Cycles'!$AV$9,'Lease Cycles'!$C$9*'Lease Cycles'!$AW$9/12,IF(DK$6&gt;='Lease Cycles'!$AT$9,'Lease Cycles'!$C$9*'Lease Cycles'!$AU$9/12,'Lease Cycles'!$C$9*INDEX('Lease Cycles'!$CB$9:$CH$9,1,DK27)*(1+INDEX('Lease Cycles'!$CI$9:$CO$9,1,DK27))^INT(INT(DK28/12)/INDEX('Lease Cycles'!$CP$9:$CV$9,1,DK27))/12)))),'Lease Cycles'!$C$9*INDEX('Lease Cycles'!$CB$9:$CH$9,1,DK27)*(1+INDEX('Lease Cycles'!$CI$9:$CO$9,1,DK27))^INT(INT(DK28/12)/INDEX('Lease Cycles'!$CP$9:$CV$9,1,DK27))/12),IF(INDEX('Lease Cycles'!$EF$9:$EL$9,1,DK27)=1,IF(AND('Lease Cycles'!$AZ$9&gt;=INDEX('Lease Cycles'!$BG$9:$BM$9,1,DK27),'Lease Cycles'!$AZ$9&lt;=DK$6),'Lease Cycles'!$C$9*'Lease Cycles'!$BA$9/12,IF(AND('Lease Cycles'!$AX$9&gt;=INDEX('Lease Cycles'!$BG$9:$BM$9,1,DK27),'Lease Cycles'!$AX$9&lt;=DK$6),'Lease Cycles'!$C$9*'Lease Cycles'!$AY$9/12,IF(AND('Lease Cycles'!$AV$9&gt;=INDEX('Lease Cycles'!$BG$9:$BM$9,1,DK27),'Lease Cycles'!$AV$9&lt;=DK$6),'Lease Cycles'!$C$9*'Lease Cycles'!$AW$9/12,IF(AND('Lease Cycles'!$AT$9&gt;=INDEX('Lease Cycles'!$BG$9:$BM$9,1,DK27),'Lease Cycles'!$AT$9&lt;=DK$6),'Lease Cycles'!$C$9*'Lease Cycles'!$AU$9/12,'Lease Cycles'!$C$9*INDEX('Lease Cycles'!$CB$9:$CH$9,1,DK27)*(1+INDEX('Lease Cycles'!$CI$9:$CO$9,1,DK27))^INT(INT(DK28/12)/INDEX('Lease Cycles'!$CP$9:$CV$9,1,DK27))/12)))),'Lease Cycles'!$C$9*INDEX('Lease Cycles'!$CB$9:$CH$9,1,DK27)*(1+INDEX('Lease Cycles'!$CI$9:$CO$9,1,DK27))^INT(INT(DK28/12)/INDEX('Lease Cycles'!$CP$9:$CV$9,1,DK27))/12))),IF('Lease Cycles'!$N$9=1,'Lease Cycles'!$C$9*'Lease Cycles'!$E$9*INDEX('Lease Cycles'!$HE$9:$HK$9,1,DK27)*(1+INDEX('Lease Cycles'!$GQ$9:$GW$9,1,DK27))^INT(INT((DK$6-INDEX('Lease Cycles'!$GJ$9:$GP$9,1,DK27))/12)/INDEX('Lease Cycles'!$GX$9:$HD$9,1,DK27))/12,0)))</f>
        <v>13852.651568415735</v>
      </c>
      <c r="DL30" s="28">
        <f>IF(DL27=0,IF('Lease Cycles'!$F$9&gt;0,'Lease Cycles'!$C$9*'Lease Cycles'!$E$9/12,0),IF(DL29=1,IF('Lease Cycles'!$AT$9&gt;=9999,'Lease Cycles'!$C$9*INDEX('Lease Cycles'!$CB$9:$CH$9,1,DL27)*(1+INDEX('Lease Cycles'!$CI$9:$CO$9,1,DL27))^INT(INT(DL28/12)/INDEX('Lease Cycles'!$CP$9:$CV$9,1,DL27))/12,IF(DL27=1,IF(DL28&gt;=INDEX('Lease Cycles'!$DK$9:$DQ$9,1,DL27),IF(DL$6&gt;='Lease Cycles'!$AZ$9,'Lease Cycles'!$C$9*'Lease Cycles'!$BA$9/12,IF(DL$6&gt;='Lease Cycles'!$AX$9,'Lease Cycles'!$C$9*'Lease Cycles'!$AY$9/12,IF(DL$6&gt;='Lease Cycles'!$AV$9,'Lease Cycles'!$C$9*'Lease Cycles'!$AW$9/12,IF(DL$6&gt;='Lease Cycles'!$AT$9,'Lease Cycles'!$C$9*'Lease Cycles'!$AU$9/12,'Lease Cycles'!$C$9*INDEX('Lease Cycles'!$CB$9:$CH$9,1,DL27)*(1+INDEX('Lease Cycles'!$CI$9:$CO$9,1,DL27))^INT(INT(DL28/12)/INDEX('Lease Cycles'!$CP$9:$CV$9,1,DL27))/12)))),'Lease Cycles'!$C$9*INDEX('Lease Cycles'!$CB$9:$CH$9,1,DL27)*(1+INDEX('Lease Cycles'!$CI$9:$CO$9,1,DL27))^INT(INT(DL28/12)/INDEX('Lease Cycles'!$CP$9:$CV$9,1,DL27))/12),IF(INDEX('Lease Cycles'!$EF$9:$EL$9,1,DL27)=1,IF(AND('Lease Cycles'!$AZ$9&gt;=INDEX('Lease Cycles'!$BG$9:$BM$9,1,DL27),'Lease Cycles'!$AZ$9&lt;=DL$6),'Lease Cycles'!$C$9*'Lease Cycles'!$BA$9/12,IF(AND('Lease Cycles'!$AX$9&gt;=INDEX('Lease Cycles'!$BG$9:$BM$9,1,DL27),'Lease Cycles'!$AX$9&lt;=DL$6),'Lease Cycles'!$C$9*'Lease Cycles'!$AY$9/12,IF(AND('Lease Cycles'!$AV$9&gt;=INDEX('Lease Cycles'!$BG$9:$BM$9,1,DL27),'Lease Cycles'!$AV$9&lt;=DL$6),'Lease Cycles'!$C$9*'Lease Cycles'!$AW$9/12,IF(AND('Lease Cycles'!$AT$9&gt;=INDEX('Lease Cycles'!$BG$9:$BM$9,1,DL27),'Lease Cycles'!$AT$9&lt;=DL$6),'Lease Cycles'!$C$9*'Lease Cycles'!$AU$9/12,'Lease Cycles'!$C$9*INDEX('Lease Cycles'!$CB$9:$CH$9,1,DL27)*(1+INDEX('Lease Cycles'!$CI$9:$CO$9,1,DL27))^INT(INT(DL28/12)/INDEX('Lease Cycles'!$CP$9:$CV$9,1,DL27))/12)))),'Lease Cycles'!$C$9*INDEX('Lease Cycles'!$CB$9:$CH$9,1,DL27)*(1+INDEX('Lease Cycles'!$CI$9:$CO$9,1,DL27))^INT(INT(DL28/12)/INDEX('Lease Cycles'!$CP$9:$CV$9,1,DL27))/12))),IF('Lease Cycles'!$N$9=1,'Lease Cycles'!$C$9*'Lease Cycles'!$E$9*INDEX('Lease Cycles'!$HE$9:$HK$9,1,DL27)*(1+INDEX('Lease Cycles'!$GQ$9:$GW$9,1,DL27))^INT(INT((DL$6-INDEX('Lease Cycles'!$GJ$9:$GP$9,1,DL27))/12)/INDEX('Lease Cycles'!$GX$9:$HD$9,1,DL27))/12,0)))</f>
        <v>13852.651568415735</v>
      </c>
      <c r="DM30" s="28">
        <f>IF(DM27=0,IF('Lease Cycles'!$F$9&gt;0,'Lease Cycles'!$C$9*'Lease Cycles'!$E$9/12,0),IF(DM29=1,IF('Lease Cycles'!$AT$9&gt;=9999,'Lease Cycles'!$C$9*INDEX('Lease Cycles'!$CB$9:$CH$9,1,DM27)*(1+INDEX('Lease Cycles'!$CI$9:$CO$9,1,DM27))^INT(INT(DM28/12)/INDEX('Lease Cycles'!$CP$9:$CV$9,1,DM27))/12,IF(DM27=1,IF(DM28&gt;=INDEX('Lease Cycles'!$DK$9:$DQ$9,1,DM27),IF(DM$6&gt;='Lease Cycles'!$AZ$9,'Lease Cycles'!$C$9*'Lease Cycles'!$BA$9/12,IF(DM$6&gt;='Lease Cycles'!$AX$9,'Lease Cycles'!$C$9*'Lease Cycles'!$AY$9/12,IF(DM$6&gt;='Lease Cycles'!$AV$9,'Lease Cycles'!$C$9*'Lease Cycles'!$AW$9/12,IF(DM$6&gt;='Lease Cycles'!$AT$9,'Lease Cycles'!$C$9*'Lease Cycles'!$AU$9/12,'Lease Cycles'!$C$9*INDEX('Lease Cycles'!$CB$9:$CH$9,1,DM27)*(1+INDEX('Lease Cycles'!$CI$9:$CO$9,1,DM27))^INT(INT(DM28/12)/INDEX('Lease Cycles'!$CP$9:$CV$9,1,DM27))/12)))),'Lease Cycles'!$C$9*INDEX('Lease Cycles'!$CB$9:$CH$9,1,DM27)*(1+INDEX('Lease Cycles'!$CI$9:$CO$9,1,DM27))^INT(INT(DM28/12)/INDEX('Lease Cycles'!$CP$9:$CV$9,1,DM27))/12),IF(INDEX('Lease Cycles'!$EF$9:$EL$9,1,DM27)=1,IF(AND('Lease Cycles'!$AZ$9&gt;=INDEX('Lease Cycles'!$BG$9:$BM$9,1,DM27),'Lease Cycles'!$AZ$9&lt;=DM$6),'Lease Cycles'!$C$9*'Lease Cycles'!$BA$9/12,IF(AND('Lease Cycles'!$AX$9&gt;=INDEX('Lease Cycles'!$BG$9:$BM$9,1,DM27),'Lease Cycles'!$AX$9&lt;=DM$6),'Lease Cycles'!$C$9*'Lease Cycles'!$AY$9/12,IF(AND('Lease Cycles'!$AV$9&gt;=INDEX('Lease Cycles'!$BG$9:$BM$9,1,DM27),'Lease Cycles'!$AV$9&lt;=DM$6),'Lease Cycles'!$C$9*'Lease Cycles'!$AW$9/12,IF(AND('Lease Cycles'!$AT$9&gt;=INDEX('Lease Cycles'!$BG$9:$BM$9,1,DM27),'Lease Cycles'!$AT$9&lt;=DM$6),'Lease Cycles'!$C$9*'Lease Cycles'!$AU$9/12,'Lease Cycles'!$C$9*INDEX('Lease Cycles'!$CB$9:$CH$9,1,DM27)*(1+INDEX('Lease Cycles'!$CI$9:$CO$9,1,DM27))^INT(INT(DM28/12)/INDEX('Lease Cycles'!$CP$9:$CV$9,1,DM27))/12)))),'Lease Cycles'!$C$9*INDEX('Lease Cycles'!$CB$9:$CH$9,1,DM27)*(1+INDEX('Lease Cycles'!$CI$9:$CO$9,1,DM27))^INT(INT(DM28/12)/INDEX('Lease Cycles'!$CP$9:$CV$9,1,DM27))/12))),IF('Lease Cycles'!$N$9=1,'Lease Cycles'!$C$9*'Lease Cycles'!$E$9*INDEX('Lease Cycles'!$HE$9:$HK$9,1,DM27)*(1+INDEX('Lease Cycles'!$GQ$9:$GW$9,1,DM27))^INT(INT((DM$6-INDEX('Lease Cycles'!$GJ$9:$GP$9,1,DM27))/12)/INDEX('Lease Cycles'!$GX$9:$HD$9,1,DM27))/12,0)))</f>
        <v>13852.651568415735</v>
      </c>
      <c r="DN30" s="28">
        <f>IF(DN27=0,IF('Lease Cycles'!$F$9&gt;0,'Lease Cycles'!$C$9*'Lease Cycles'!$E$9/12,0),IF(DN29=1,IF('Lease Cycles'!$AT$9&gt;=9999,'Lease Cycles'!$C$9*INDEX('Lease Cycles'!$CB$9:$CH$9,1,DN27)*(1+INDEX('Lease Cycles'!$CI$9:$CO$9,1,DN27))^INT(INT(DN28/12)/INDEX('Lease Cycles'!$CP$9:$CV$9,1,DN27))/12,IF(DN27=1,IF(DN28&gt;=INDEX('Lease Cycles'!$DK$9:$DQ$9,1,DN27),IF(DN$6&gt;='Lease Cycles'!$AZ$9,'Lease Cycles'!$C$9*'Lease Cycles'!$BA$9/12,IF(DN$6&gt;='Lease Cycles'!$AX$9,'Lease Cycles'!$C$9*'Lease Cycles'!$AY$9/12,IF(DN$6&gt;='Lease Cycles'!$AV$9,'Lease Cycles'!$C$9*'Lease Cycles'!$AW$9/12,IF(DN$6&gt;='Lease Cycles'!$AT$9,'Lease Cycles'!$C$9*'Lease Cycles'!$AU$9/12,'Lease Cycles'!$C$9*INDEX('Lease Cycles'!$CB$9:$CH$9,1,DN27)*(1+INDEX('Lease Cycles'!$CI$9:$CO$9,1,DN27))^INT(INT(DN28/12)/INDEX('Lease Cycles'!$CP$9:$CV$9,1,DN27))/12)))),'Lease Cycles'!$C$9*INDEX('Lease Cycles'!$CB$9:$CH$9,1,DN27)*(1+INDEX('Lease Cycles'!$CI$9:$CO$9,1,DN27))^INT(INT(DN28/12)/INDEX('Lease Cycles'!$CP$9:$CV$9,1,DN27))/12),IF(INDEX('Lease Cycles'!$EF$9:$EL$9,1,DN27)=1,IF(AND('Lease Cycles'!$AZ$9&gt;=INDEX('Lease Cycles'!$BG$9:$BM$9,1,DN27),'Lease Cycles'!$AZ$9&lt;=DN$6),'Lease Cycles'!$C$9*'Lease Cycles'!$BA$9/12,IF(AND('Lease Cycles'!$AX$9&gt;=INDEX('Lease Cycles'!$BG$9:$BM$9,1,DN27),'Lease Cycles'!$AX$9&lt;=DN$6),'Lease Cycles'!$C$9*'Lease Cycles'!$AY$9/12,IF(AND('Lease Cycles'!$AV$9&gt;=INDEX('Lease Cycles'!$BG$9:$BM$9,1,DN27),'Lease Cycles'!$AV$9&lt;=DN$6),'Lease Cycles'!$C$9*'Lease Cycles'!$AW$9/12,IF(AND('Lease Cycles'!$AT$9&gt;=INDEX('Lease Cycles'!$BG$9:$BM$9,1,DN27),'Lease Cycles'!$AT$9&lt;=DN$6),'Lease Cycles'!$C$9*'Lease Cycles'!$AU$9/12,'Lease Cycles'!$C$9*INDEX('Lease Cycles'!$CB$9:$CH$9,1,DN27)*(1+INDEX('Lease Cycles'!$CI$9:$CO$9,1,DN27))^INT(INT(DN28/12)/INDEX('Lease Cycles'!$CP$9:$CV$9,1,DN27))/12)))),'Lease Cycles'!$C$9*INDEX('Lease Cycles'!$CB$9:$CH$9,1,DN27)*(1+INDEX('Lease Cycles'!$CI$9:$CO$9,1,DN27))^INT(INT(DN28/12)/INDEX('Lease Cycles'!$CP$9:$CV$9,1,DN27))/12))),IF('Lease Cycles'!$N$9=1,'Lease Cycles'!$C$9*'Lease Cycles'!$E$9*INDEX('Lease Cycles'!$HE$9:$HK$9,1,DN27)*(1+INDEX('Lease Cycles'!$GQ$9:$GW$9,1,DN27))^INT(INT((DN$6-INDEX('Lease Cycles'!$GJ$9:$GP$9,1,DN27))/12)/INDEX('Lease Cycles'!$GX$9:$HD$9,1,DN27))/12,0)))</f>
        <v>13852.651568415735</v>
      </c>
      <c r="DO30" s="28">
        <f>IF(DO27=0,IF('Lease Cycles'!$F$9&gt;0,'Lease Cycles'!$C$9*'Lease Cycles'!$E$9/12,0),IF(DO29=1,IF('Lease Cycles'!$AT$9&gt;=9999,'Lease Cycles'!$C$9*INDEX('Lease Cycles'!$CB$9:$CH$9,1,DO27)*(1+INDEX('Lease Cycles'!$CI$9:$CO$9,1,DO27))^INT(INT(DO28/12)/INDEX('Lease Cycles'!$CP$9:$CV$9,1,DO27))/12,IF(DO27=1,IF(DO28&gt;=INDEX('Lease Cycles'!$DK$9:$DQ$9,1,DO27),IF(DO$6&gt;='Lease Cycles'!$AZ$9,'Lease Cycles'!$C$9*'Lease Cycles'!$BA$9/12,IF(DO$6&gt;='Lease Cycles'!$AX$9,'Lease Cycles'!$C$9*'Lease Cycles'!$AY$9/12,IF(DO$6&gt;='Lease Cycles'!$AV$9,'Lease Cycles'!$C$9*'Lease Cycles'!$AW$9/12,IF(DO$6&gt;='Lease Cycles'!$AT$9,'Lease Cycles'!$C$9*'Lease Cycles'!$AU$9/12,'Lease Cycles'!$C$9*INDEX('Lease Cycles'!$CB$9:$CH$9,1,DO27)*(1+INDEX('Lease Cycles'!$CI$9:$CO$9,1,DO27))^INT(INT(DO28/12)/INDEX('Lease Cycles'!$CP$9:$CV$9,1,DO27))/12)))),'Lease Cycles'!$C$9*INDEX('Lease Cycles'!$CB$9:$CH$9,1,DO27)*(1+INDEX('Lease Cycles'!$CI$9:$CO$9,1,DO27))^INT(INT(DO28/12)/INDEX('Lease Cycles'!$CP$9:$CV$9,1,DO27))/12),IF(INDEX('Lease Cycles'!$EF$9:$EL$9,1,DO27)=1,IF(AND('Lease Cycles'!$AZ$9&gt;=INDEX('Lease Cycles'!$BG$9:$BM$9,1,DO27),'Lease Cycles'!$AZ$9&lt;=DO$6),'Lease Cycles'!$C$9*'Lease Cycles'!$BA$9/12,IF(AND('Lease Cycles'!$AX$9&gt;=INDEX('Lease Cycles'!$BG$9:$BM$9,1,DO27),'Lease Cycles'!$AX$9&lt;=DO$6),'Lease Cycles'!$C$9*'Lease Cycles'!$AY$9/12,IF(AND('Lease Cycles'!$AV$9&gt;=INDEX('Lease Cycles'!$BG$9:$BM$9,1,DO27),'Lease Cycles'!$AV$9&lt;=DO$6),'Lease Cycles'!$C$9*'Lease Cycles'!$AW$9/12,IF(AND('Lease Cycles'!$AT$9&gt;=INDEX('Lease Cycles'!$BG$9:$BM$9,1,DO27),'Lease Cycles'!$AT$9&lt;=DO$6),'Lease Cycles'!$C$9*'Lease Cycles'!$AU$9/12,'Lease Cycles'!$C$9*INDEX('Lease Cycles'!$CB$9:$CH$9,1,DO27)*(1+INDEX('Lease Cycles'!$CI$9:$CO$9,1,DO27))^INT(INT(DO28/12)/INDEX('Lease Cycles'!$CP$9:$CV$9,1,DO27))/12)))),'Lease Cycles'!$C$9*INDEX('Lease Cycles'!$CB$9:$CH$9,1,DO27)*(1+INDEX('Lease Cycles'!$CI$9:$CO$9,1,DO27))^INT(INT(DO28/12)/INDEX('Lease Cycles'!$CP$9:$CV$9,1,DO27))/12))),IF('Lease Cycles'!$N$9=1,'Lease Cycles'!$C$9*'Lease Cycles'!$E$9*INDEX('Lease Cycles'!$HE$9:$HK$9,1,DO27)*(1+INDEX('Lease Cycles'!$GQ$9:$GW$9,1,DO27))^INT(INT((DO$6-INDEX('Lease Cycles'!$GJ$9:$GP$9,1,DO27))/12)/INDEX('Lease Cycles'!$GX$9:$HD$9,1,DO27))/12,0)))</f>
        <v>13852.651568415735</v>
      </c>
      <c r="DP30" s="28">
        <f>IF(DP27=0,IF('Lease Cycles'!$F$9&gt;0,'Lease Cycles'!$C$9*'Lease Cycles'!$E$9/12,0),IF(DP29=1,IF('Lease Cycles'!$AT$9&gt;=9999,'Lease Cycles'!$C$9*INDEX('Lease Cycles'!$CB$9:$CH$9,1,DP27)*(1+INDEX('Lease Cycles'!$CI$9:$CO$9,1,DP27))^INT(INT(DP28/12)/INDEX('Lease Cycles'!$CP$9:$CV$9,1,DP27))/12,IF(DP27=1,IF(DP28&gt;=INDEX('Lease Cycles'!$DK$9:$DQ$9,1,DP27),IF(DP$6&gt;='Lease Cycles'!$AZ$9,'Lease Cycles'!$C$9*'Lease Cycles'!$BA$9/12,IF(DP$6&gt;='Lease Cycles'!$AX$9,'Lease Cycles'!$C$9*'Lease Cycles'!$AY$9/12,IF(DP$6&gt;='Lease Cycles'!$AV$9,'Lease Cycles'!$C$9*'Lease Cycles'!$AW$9/12,IF(DP$6&gt;='Lease Cycles'!$AT$9,'Lease Cycles'!$C$9*'Lease Cycles'!$AU$9/12,'Lease Cycles'!$C$9*INDEX('Lease Cycles'!$CB$9:$CH$9,1,DP27)*(1+INDEX('Lease Cycles'!$CI$9:$CO$9,1,DP27))^INT(INT(DP28/12)/INDEX('Lease Cycles'!$CP$9:$CV$9,1,DP27))/12)))),'Lease Cycles'!$C$9*INDEX('Lease Cycles'!$CB$9:$CH$9,1,DP27)*(1+INDEX('Lease Cycles'!$CI$9:$CO$9,1,DP27))^INT(INT(DP28/12)/INDEX('Lease Cycles'!$CP$9:$CV$9,1,DP27))/12),IF(INDEX('Lease Cycles'!$EF$9:$EL$9,1,DP27)=1,IF(AND('Lease Cycles'!$AZ$9&gt;=INDEX('Lease Cycles'!$BG$9:$BM$9,1,DP27),'Lease Cycles'!$AZ$9&lt;=DP$6),'Lease Cycles'!$C$9*'Lease Cycles'!$BA$9/12,IF(AND('Lease Cycles'!$AX$9&gt;=INDEX('Lease Cycles'!$BG$9:$BM$9,1,DP27),'Lease Cycles'!$AX$9&lt;=DP$6),'Lease Cycles'!$C$9*'Lease Cycles'!$AY$9/12,IF(AND('Lease Cycles'!$AV$9&gt;=INDEX('Lease Cycles'!$BG$9:$BM$9,1,DP27),'Lease Cycles'!$AV$9&lt;=DP$6),'Lease Cycles'!$C$9*'Lease Cycles'!$AW$9/12,IF(AND('Lease Cycles'!$AT$9&gt;=INDEX('Lease Cycles'!$BG$9:$BM$9,1,DP27),'Lease Cycles'!$AT$9&lt;=DP$6),'Lease Cycles'!$C$9*'Lease Cycles'!$AU$9/12,'Lease Cycles'!$C$9*INDEX('Lease Cycles'!$CB$9:$CH$9,1,DP27)*(1+INDEX('Lease Cycles'!$CI$9:$CO$9,1,DP27))^INT(INT(DP28/12)/INDEX('Lease Cycles'!$CP$9:$CV$9,1,DP27))/12)))),'Lease Cycles'!$C$9*INDEX('Lease Cycles'!$CB$9:$CH$9,1,DP27)*(1+INDEX('Lease Cycles'!$CI$9:$CO$9,1,DP27))^INT(INT(DP28/12)/INDEX('Lease Cycles'!$CP$9:$CV$9,1,DP27))/12))),IF('Lease Cycles'!$N$9=1,'Lease Cycles'!$C$9*'Lease Cycles'!$E$9*INDEX('Lease Cycles'!$HE$9:$HK$9,1,DP27)*(1+INDEX('Lease Cycles'!$GQ$9:$GW$9,1,DP27))^INT(INT((DP$6-INDEX('Lease Cycles'!$GJ$9:$GP$9,1,DP27))/12)/INDEX('Lease Cycles'!$GX$9:$HD$9,1,DP27))/12,0)))</f>
        <v>13852.651568415735</v>
      </c>
      <c r="DQ30" s="28">
        <f>IF(DQ27=0,IF('Lease Cycles'!$F$9&gt;0,'Lease Cycles'!$C$9*'Lease Cycles'!$E$9/12,0),IF(DQ29=1,IF('Lease Cycles'!$AT$9&gt;=9999,'Lease Cycles'!$C$9*INDEX('Lease Cycles'!$CB$9:$CH$9,1,DQ27)*(1+INDEX('Lease Cycles'!$CI$9:$CO$9,1,DQ27))^INT(INT(DQ28/12)/INDEX('Lease Cycles'!$CP$9:$CV$9,1,DQ27))/12,IF(DQ27=1,IF(DQ28&gt;=INDEX('Lease Cycles'!$DK$9:$DQ$9,1,DQ27),IF(DQ$6&gt;='Lease Cycles'!$AZ$9,'Lease Cycles'!$C$9*'Lease Cycles'!$BA$9/12,IF(DQ$6&gt;='Lease Cycles'!$AX$9,'Lease Cycles'!$C$9*'Lease Cycles'!$AY$9/12,IF(DQ$6&gt;='Lease Cycles'!$AV$9,'Lease Cycles'!$C$9*'Lease Cycles'!$AW$9/12,IF(DQ$6&gt;='Lease Cycles'!$AT$9,'Lease Cycles'!$C$9*'Lease Cycles'!$AU$9/12,'Lease Cycles'!$C$9*INDEX('Lease Cycles'!$CB$9:$CH$9,1,DQ27)*(1+INDEX('Lease Cycles'!$CI$9:$CO$9,1,DQ27))^INT(INT(DQ28/12)/INDEX('Lease Cycles'!$CP$9:$CV$9,1,DQ27))/12)))),'Lease Cycles'!$C$9*INDEX('Lease Cycles'!$CB$9:$CH$9,1,DQ27)*(1+INDEX('Lease Cycles'!$CI$9:$CO$9,1,DQ27))^INT(INT(DQ28/12)/INDEX('Lease Cycles'!$CP$9:$CV$9,1,DQ27))/12),IF(INDEX('Lease Cycles'!$EF$9:$EL$9,1,DQ27)=1,IF(AND('Lease Cycles'!$AZ$9&gt;=INDEX('Lease Cycles'!$BG$9:$BM$9,1,DQ27),'Lease Cycles'!$AZ$9&lt;=DQ$6),'Lease Cycles'!$C$9*'Lease Cycles'!$BA$9/12,IF(AND('Lease Cycles'!$AX$9&gt;=INDEX('Lease Cycles'!$BG$9:$BM$9,1,DQ27),'Lease Cycles'!$AX$9&lt;=DQ$6),'Lease Cycles'!$C$9*'Lease Cycles'!$AY$9/12,IF(AND('Lease Cycles'!$AV$9&gt;=INDEX('Lease Cycles'!$BG$9:$BM$9,1,DQ27),'Lease Cycles'!$AV$9&lt;=DQ$6),'Lease Cycles'!$C$9*'Lease Cycles'!$AW$9/12,IF(AND('Lease Cycles'!$AT$9&gt;=INDEX('Lease Cycles'!$BG$9:$BM$9,1,DQ27),'Lease Cycles'!$AT$9&lt;=DQ$6),'Lease Cycles'!$C$9*'Lease Cycles'!$AU$9/12,'Lease Cycles'!$C$9*INDEX('Lease Cycles'!$CB$9:$CH$9,1,DQ27)*(1+INDEX('Lease Cycles'!$CI$9:$CO$9,1,DQ27))^INT(INT(DQ28/12)/INDEX('Lease Cycles'!$CP$9:$CV$9,1,DQ27))/12)))),'Lease Cycles'!$C$9*INDEX('Lease Cycles'!$CB$9:$CH$9,1,DQ27)*(1+INDEX('Lease Cycles'!$CI$9:$CO$9,1,DQ27))^INT(INT(DQ28/12)/INDEX('Lease Cycles'!$CP$9:$CV$9,1,DQ27))/12))),IF('Lease Cycles'!$N$9=1,'Lease Cycles'!$C$9*'Lease Cycles'!$E$9*INDEX('Lease Cycles'!$HE$9:$HK$9,1,DQ27)*(1+INDEX('Lease Cycles'!$GQ$9:$GW$9,1,DQ27))^INT(INT((DQ$6-INDEX('Lease Cycles'!$GJ$9:$GP$9,1,DQ27))/12)/INDEX('Lease Cycles'!$GX$9:$HD$9,1,DQ27))/12,0)))</f>
        <v>13852.651568415735</v>
      </c>
      <c r="DR30" s="28">
        <f>IF(DR27=0,IF('Lease Cycles'!$F$9&gt;0,'Lease Cycles'!$C$9*'Lease Cycles'!$E$9/12,0),IF(DR29=1,IF('Lease Cycles'!$AT$9&gt;=9999,'Lease Cycles'!$C$9*INDEX('Lease Cycles'!$CB$9:$CH$9,1,DR27)*(1+INDEX('Lease Cycles'!$CI$9:$CO$9,1,DR27))^INT(INT(DR28/12)/INDEX('Lease Cycles'!$CP$9:$CV$9,1,DR27))/12,IF(DR27=1,IF(DR28&gt;=INDEX('Lease Cycles'!$DK$9:$DQ$9,1,DR27),IF(DR$6&gt;='Lease Cycles'!$AZ$9,'Lease Cycles'!$C$9*'Lease Cycles'!$BA$9/12,IF(DR$6&gt;='Lease Cycles'!$AX$9,'Lease Cycles'!$C$9*'Lease Cycles'!$AY$9/12,IF(DR$6&gt;='Lease Cycles'!$AV$9,'Lease Cycles'!$C$9*'Lease Cycles'!$AW$9/12,IF(DR$6&gt;='Lease Cycles'!$AT$9,'Lease Cycles'!$C$9*'Lease Cycles'!$AU$9/12,'Lease Cycles'!$C$9*INDEX('Lease Cycles'!$CB$9:$CH$9,1,DR27)*(1+INDEX('Lease Cycles'!$CI$9:$CO$9,1,DR27))^INT(INT(DR28/12)/INDEX('Lease Cycles'!$CP$9:$CV$9,1,DR27))/12)))),'Lease Cycles'!$C$9*INDEX('Lease Cycles'!$CB$9:$CH$9,1,DR27)*(1+INDEX('Lease Cycles'!$CI$9:$CO$9,1,DR27))^INT(INT(DR28/12)/INDEX('Lease Cycles'!$CP$9:$CV$9,1,DR27))/12),IF(INDEX('Lease Cycles'!$EF$9:$EL$9,1,DR27)=1,IF(AND('Lease Cycles'!$AZ$9&gt;=INDEX('Lease Cycles'!$BG$9:$BM$9,1,DR27),'Lease Cycles'!$AZ$9&lt;=DR$6),'Lease Cycles'!$C$9*'Lease Cycles'!$BA$9/12,IF(AND('Lease Cycles'!$AX$9&gt;=INDEX('Lease Cycles'!$BG$9:$BM$9,1,DR27),'Lease Cycles'!$AX$9&lt;=DR$6),'Lease Cycles'!$C$9*'Lease Cycles'!$AY$9/12,IF(AND('Lease Cycles'!$AV$9&gt;=INDEX('Lease Cycles'!$BG$9:$BM$9,1,DR27),'Lease Cycles'!$AV$9&lt;=DR$6),'Lease Cycles'!$C$9*'Lease Cycles'!$AW$9/12,IF(AND('Lease Cycles'!$AT$9&gt;=INDEX('Lease Cycles'!$BG$9:$BM$9,1,DR27),'Lease Cycles'!$AT$9&lt;=DR$6),'Lease Cycles'!$C$9*'Lease Cycles'!$AU$9/12,'Lease Cycles'!$C$9*INDEX('Lease Cycles'!$CB$9:$CH$9,1,DR27)*(1+INDEX('Lease Cycles'!$CI$9:$CO$9,1,DR27))^INT(INT(DR28/12)/INDEX('Lease Cycles'!$CP$9:$CV$9,1,DR27))/12)))),'Lease Cycles'!$C$9*INDEX('Lease Cycles'!$CB$9:$CH$9,1,DR27)*(1+INDEX('Lease Cycles'!$CI$9:$CO$9,1,DR27))^INT(INT(DR28/12)/INDEX('Lease Cycles'!$CP$9:$CV$9,1,DR27))/12))),IF('Lease Cycles'!$N$9=1,'Lease Cycles'!$C$9*'Lease Cycles'!$E$9*INDEX('Lease Cycles'!$HE$9:$HK$9,1,DR27)*(1+INDEX('Lease Cycles'!$GQ$9:$GW$9,1,DR27))^INT(INT((DR$6-INDEX('Lease Cycles'!$GJ$9:$GP$9,1,DR27))/12)/INDEX('Lease Cycles'!$GX$9:$HD$9,1,DR27))/12,0)))</f>
        <v>13852.651568415735</v>
      </c>
      <c r="DS30" s="28">
        <f>IF(DS27=0,IF('Lease Cycles'!$F$9&gt;0,'Lease Cycles'!$C$9*'Lease Cycles'!$E$9/12,0),IF(DS29=1,IF('Lease Cycles'!$AT$9&gt;=9999,'Lease Cycles'!$C$9*INDEX('Lease Cycles'!$CB$9:$CH$9,1,DS27)*(1+INDEX('Lease Cycles'!$CI$9:$CO$9,1,DS27))^INT(INT(DS28/12)/INDEX('Lease Cycles'!$CP$9:$CV$9,1,DS27))/12,IF(DS27=1,IF(DS28&gt;=INDEX('Lease Cycles'!$DK$9:$DQ$9,1,DS27),IF(DS$6&gt;='Lease Cycles'!$AZ$9,'Lease Cycles'!$C$9*'Lease Cycles'!$BA$9/12,IF(DS$6&gt;='Lease Cycles'!$AX$9,'Lease Cycles'!$C$9*'Lease Cycles'!$AY$9/12,IF(DS$6&gt;='Lease Cycles'!$AV$9,'Lease Cycles'!$C$9*'Lease Cycles'!$AW$9/12,IF(DS$6&gt;='Lease Cycles'!$AT$9,'Lease Cycles'!$C$9*'Lease Cycles'!$AU$9/12,'Lease Cycles'!$C$9*INDEX('Lease Cycles'!$CB$9:$CH$9,1,DS27)*(1+INDEX('Lease Cycles'!$CI$9:$CO$9,1,DS27))^INT(INT(DS28/12)/INDEX('Lease Cycles'!$CP$9:$CV$9,1,DS27))/12)))),'Lease Cycles'!$C$9*INDEX('Lease Cycles'!$CB$9:$CH$9,1,DS27)*(1+INDEX('Lease Cycles'!$CI$9:$CO$9,1,DS27))^INT(INT(DS28/12)/INDEX('Lease Cycles'!$CP$9:$CV$9,1,DS27))/12),IF(INDEX('Lease Cycles'!$EF$9:$EL$9,1,DS27)=1,IF(AND('Lease Cycles'!$AZ$9&gt;=INDEX('Lease Cycles'!$BG$9:$BM$9,1,DS27),'Lease Cycles'!$AZ$9&lt;=DS$6),'Lease Cycles'!$C$9*'Lease Cycles'!$BA$9/12,IF(AND('Lease Cycles'!$AX$9&gt;=INDEX('Lease Cycles'!$BG$9:$BM$9,1,DS27),'Lease Cycles'!$AX$9&lt;=DS$6),'Lease Cycles'!$C$9*'Lease Cycles'!$AY$9/12,IF(AND('Lease Cycles'!$AV$9&gt;=INDEX('Lease Cycles'!$BG$9:$BM$9,1,DS27),'Lease Cycles'!$AV$9&lt;=DS$6),'Lease Cycles'!$C$9*'Lease Cycles'!$AW$9/12,IF(AND('Lease Cycles'!$AT$9&gt;=INDEX('Lease Cycles'!$BG$9:$BM$9,1,DS27),'Lease Cycles'!$AT$9&lt;=DS$6),'Lease Cycles'!$C$9*'Lease Cycles'!$AU$9/12,'Lease Cycles'!$C$9*INDEX('Lease Cycles'!$CB$9:$CH$9,1,DS27)*(1+INDEX('Lease Cycles'!$CI$9:$CO$9,1,DS27))^INT(INT(DS28/12)/INDEX('Lease Cycles'!$CP$9:$CV$9,1,DS27))/12)))),'Lease Cycles'!$C$9*INDEX('Lease Cycles'!$CB$9:$CH$9,1,DS27)*(1+INDEX('Lease Cycles'!$CI$9:$CO$9,1,DS27))^INT(INT(DS28/12)/INDEX('Lease Cycles'!$CP$9:$CV$9,1,DS27))/12))),IF('Lease Cycles'!$N$9=1,'Lease Cycles'!$C$9*'Lease Cycles'!$E$9*INDEX('Lease Cycles'!$HE$9:$HK$9,1,DS27)*(1+INDEX('Lease Cycles'!$GQ$9:$GW$9,1,DS27))^INT(INT((DS$6-INDEX('Lease Cycles'!$GJ$9:$GP$9,1,DS27))/12)/INDEX('Lease Cycles'!$GX$9:$HD$9,1,DS27))/12,0)))</f>
        <v>13852.651568415735</v>
      </c>
      <c r="DT30" s="28">
        <f>IF(DT27=0,IF('Lease Cycles'!$F$9&gt;0,'Lease Cycles'!$C$9*'Lease Cycles'!$E$9/12,0),IF(DT29=1,IF('Lease Cycles'!$AT$9&gt;=9999,'Lease Cycles'!$C$9*INDEX('Lease Cycles'!$CB$9:$CH$9,1,DT27)*(1+INDEX('Lease Cycles'!$CI$9:$CO$9,1,DT27))^INT(INT(DT28/12)/INDEX('Lease Cycles'!$CP$9:$CV$9,1,DT27))/12,IF(DT27=1,IF(DT28&gt;=INDEX('Lease Cycles'!$DK$9:$DQ$9,1,DT27),IF(DT$6&gt;='Lease Cycles'!$AZ$9,'Lease Cycles'!$C$9*'Lease Cycles'!$BA$9/12,IF(DT$6&gt;='Lease Cycles'!$AX$9,'Lease Cycles'!$C$9*'Lease Cycles'!$AY$9/12,IF(DT$6&gt;='Lease Cycles'!$AV$9,'Lease Cycles'!$C$9*'Lease Cycles'!$AW$9/12,IF(DT$6&gt;='Lease Cycles'!$AT$9,'Lease Cycles'!$C$9*'Lease Cycles'!$AU$9/12,'Lease Cycles'!$C$9*INDEX('Lease Cycles'!$CB$9:$CH$9,1,DT27)*(1+INDEX('Lease Cycles'!$CI$9:$CO$9,1,DT27))^INT(INT(DT28/12)/INDEX('Lease Cycles'!$CP$9:$CV$9,1,DT27))/12)))),'Lease Cycles'!$C$9*INDEX('Lease Cycles'!$CB$9:$CH$9,1,DT27)*(1+INDEX('Lease Cycles'!$CI$9:$CO$9,1,DT27))^INT(INT(DT28/12)/INDEX('Lease Cycles'!$CP$9:$CV$9,1,DT27))/12),IF(INDEX('Lease Cycles'!$EF$9:$EL$9,1,DT27)=1,IF(AND('Lease Cycles'!$AZ$9&gt;=INDEX('Lease Cycles'!$BG$9:$BM$9,1,DT27),'Lease Cycles'!$AZ$9&lt;=DT$6),'Lease Cycles'!$C$9*'Lease Cycles'!$BA$9/12,IF(AND('Lease Cycles'!$AX$9&gt;=INDEX('Lease Cycles'!$BG$9:$BM$9,1,DT27),'Lease Cycles'!$AX$9&lt;=DT$6),'Lease Cycles'!$C$9*'Lease Cycles'!$AY$9/12,IF(AND('Lease Cycles'!$AV$9&gt;=INDEX('Lease Cycles'!$BG$9:$BM$9,1,DT27),'Lease Cycles'!$AV$9&lt;=DT$6),'Lease Cycles'!$C$9*'Lease Cycles'!$AW$9/12,IF(AND('Lease Cycles'!$AT$9&gt;=INDEX('Lease Cycles'!$BG$9:$BM$9,1,DT27),'Lease Cycles'!$AT$9&lt;=DT$6),'Lease Cycles'!$C$9*'Lease Cycles'!$AU$9/12,'Lease Cycles'!$C$9*INDEX('Lease Cycles'!$CB$9:$CH$9,1,DT27)*(1+INDEX('Lease Cycles'!$CI$9:$CO$9,1,DT27))^INT(INT(DT28/12)/INDEX('Lease Cycles'!$CP$9:$CV$9,1,DT27))/12)))),'Lease Cycles'!$C$9*INDEX('Lease Cycles'!$CB$9:$CH$9,1,DT27)*(1+INDEX('Lease Cycles'!$CI$9:$CO$9,1,DT27))^INT(INT(DT28/12)/INDEX('Lease Cycles'!$CP$9:$CV$9,1,DT27))/12))),IF('Lease Cycles'!$N$9=1,'Lease Cycles'!$C$9*'Lease Cycles'!$E$9*INDEX('Lease Cycles'!$HE$9:$HK$9,1,DT27)*(1+INDEX('Lease Cycles'!$GQ$9:$GW$9,1,DT27))^INT(INT((DT$6-INDEX('Lease Cycles'!$GJ$9:$GP$9,1,DT27))/12)/INDEX('Lease Cycles'!$GX$9:$HD$9,1,DT27))/12,0)))</f>
        <v>13852.651568415735</v>
      </c>
      <c r="DU30" s="28">
        <f>IF(DU27=0,IF('Lease Cycles'!$F$9&gt;0,'Lease Cycles'!$C$9*'Lease Cycles'!$E$9/12,0),IF(DU29=1,IF('Lease Cycles'!$AT$9&gt;=9999,'Lease Cycles'!$C$9*INDEX('Lease Cycles'!$CB$9:$CH$9,1,DU27)*(1+INDEX('Lease Cycles'!$CI$9:$CO$9,1,DU27))^INT(INT(DU28/12)/INDEX('Lease Cycles'!$CP$9:$CV$9,1,DU27))/12,IF(DU27=1,IF(DU28&gt;=INDEX('Lease Cycles'!$DK$9:$DQ$9,1,DU27),IF(DU$6&gt;='Lease Cycles'!$AZ$9,'Lease Cycles'!$C$9*'Lease Cycles'!$BA$9/12,IF(DU$6&gt;='Lease Cycles'!$AX$9,'Lease Cycles'!$C$9*'Lease Cycles'!$AY$9/12,IF(DU$6&gt;='Lease Cycles'!$AV$9,'Lease Cycles'!$C$9*'Lease Cycles'!$AW$9/12,IF(DU$6&gt;='Lease Cycles'!$AT$9,'Lease Cycles'!$C$9*'Lease Cycles'!$AU$9/12,'Lease Cycles'!$C$9*INDEX('Lease Cycles'!$CB$9:$CH$9,1,DU27)*(1+INDEX('Lease Cycles'!$CI$9:$CO$9,1,DU27))^INT(INT(DU28/12)/INDEX('Lease Cycles'!$CP$9:$CV$9,1,DU27))/12)))),'Lease Cycles'!$C$9*INDEX('Lease Cycles'!$CB$9:$CH$9,1,DU27)*(1+INDEX('Lease Cycles'!$CI$9:$CO$9,1,DU27))^INT(INT(DU28/12)/INDEX('Lease Cycles'!$CP$9:$CV$9,1,DU27))/12),IF(INDEX('Lease Cycles'!$EF$9:$EL$9,1,DU27)=1,IF(AND('Lease Cycles'!$AZ$9&gt;=INDEX('Lease Cycles'!$BG$9:$BM$9,1,DU27),'Lease Cycles'!$AZ$9&lt;=DU$6),'Lease Cycles'!$C$9*'Lease Cycles'!$BA$9/12,IF(AND('Lease Cycles'!$AX$9&gt;=INDEX('Lease Cycles'!$BG$9:$BM$9,1,DU27),'Lease Cycles'!$AX$9&lt;=DU$6),'Lease Cycles'!$C$9*'Lease Cycles'!$AY$9/12,IF(AND('Lease Cycles'!$AV$9&gt;=INDEX('Lease Cycles'!$BG$9:$BM$9,1,DU27),'Lease Cycles'!$AV$9&lt;=DU$6),'Lease Cycles'!$C$9*'Lease Cycles'!$AW$9/12,IF(AND('Lease Cycles'!$AT$9&gt;=INDEX('Lease Cycles'!$BG$9:$BM$9,1,DU27),'Lease Cycles'!$AT$9&lt;=DU$6),'Lease Cycles'!$C$9*'Lease Cycles'!$AU$9/12,'Lease Cycles'!$C$9*INDEX('Lease Cycles'!$CB$9:$CH$9,1,DU27)*(1+INDEX('Lease Cycles'!$CI$9:$CO$9,1,DU27))^INT(INT(DU28/12)/INDEX('Lease Cycles'!$CP$9:$CV$9,1,DU27))/12)))),'Lease Cycles'!$C$9*INDEX('Lease Cycles'!$CB$9:$CH$9,1,DU27)*(1+INDEX('Lease Cycles'!$CI$9:$CO$9,1,DU27))^INT(INT(DU28/12)/INDEX('Lease Cycles'!$CP$9:$CV$9,1,DU27))/12))),IF('Lease Cycles'!$N$9=1,'Lease Cycles'!$C$9*'Lease Cycles'!$E$9*INDEX('Lease Cycles'!$HE$9:$HK$9,1,DU27)*(1+INDEX('Lease Cycles'!$GQ$9:$GW$9,1,DU27))^INT(INT((DU$6-INDEX('Lease Cycles'!$GJ$9:$GP$9,1,DU27))/12)/INDEX('Lease Cycles'!$GX$9:$HD$9,1,DU27))/12,0)))</f>
        <v>13852.651568415735</v>
      </c>
      <c r="DV30" s="28">
        <f>IF(DV27=0,IF('Lease Cycles'!$F$9&gt;0,'Lease Cycles'!$C$9*'Lease Cycles'!$E$9/12,0),IF(DV29=1,IF('Lease Cycles'!$AT$9&gt;=9999,'Lease Cycles'!$C$9*INDEX('Lease Cycles'!$CB$9:$CH$9,1,DV27)*(1+INDEX('Lease Cycles'!$CI$9:$CO$9,1,DV27))^INT(INT(DV28/12)/INDEX('Lease Cycles'!$CP$9:$CV$9,1,DV27))/12,IF(DV27=1,IF(DV28&gt;=INDEX('Lease Cycles'!$DK$9:$DQ$9,1,DV27),IF(DV$6&gt;='Lease Cycles'!$AZ$9,'Lease Cycles'!$C$9*'Lease Cycles'!$BA$9/12,IF(DV$6&gt;='Lease Cycles'!$AX$9,'Lease Cycles'!$C$9*'Lease Cycles'!$AY$9/12,IF(DV$6&gt;='Lease Cycles'!$AV$9,'Lease Cycles'!$C$9*'Lease Cycles'!$AW$9/12,IF(DV$6&gt;='Lease Cycles'!$AT$9,'Lease Cycles'!$C$9*'Lease Cycles'!$AU$9/12,'Lease Cycles'!$C$9*INDEX('Lease Cycles'!$CB$9:$CH$9,1,DV27)*(1+INDEX('Lease Cycles'!$CI$9:$CO$9,1,DV27))^INT(INT(DV28/12)/INDEX('Lease Cycles'!$CP$9:$CV$9,1,DV27))/12)))),'Lease Cycles'!$C$9*INDEX('Lease Cycles'!$CB$9:$CH$9,1,DV27)*(1+INDEX('Lease Cycles'!$CI$9:$CO$9,1,DV27))^INT(INT(DV28/12)/INDEX('Lease Cycles'!$CP$9:$CV$9,1,DV27))/12),IF(INDEX('Lease Cycles'!$EF$9:$EL$9,1,DV27)=1,IF(AND('Lease Cycles'!$AZ$9&gt;=INDEX('Lease Cycles'!$BG$9:$BM$9,1,DV27),'Lease Cycles'!$AZ$9&lt;=DV$6),'Lease Cycles'!$C$9*'Lease Cycles'!$BA$9/12,IF(AND('Lease Cycles'!$AX$9&gt;=INDEX('Lease Cycles'!$BG$9:$BM$9,1,DV27),'Lease Cycles'!$AX$9&lt;=DV$6),'Lease Cycles'!$C$9*'Lease Cycles'!$AY$9/12,IF(AND('Lease Cycles'!$AV$9&gt;=INDEX('Lease Cycles'!$BG$9:$BM$9,1,DV27),'Lease Cycles'!$AV$9&lt;=DV$6),'Lease Cycles'!$C$9*'Lease Cycles'!$AW$9/12,IF(AND('Lease Cycles'!$AT$9&gt;=INDEX('Lease Cycles'!$BG$9:$BM$9,1,DV27),'Lease Cycles'!$AT$9&lt;=DV$6),'Lease Cycles'!$C$9*'Lease Cycles'!$AU$9/12,'Lease Cycles'!$C$9*INDEX('Lease Cycles'!$CB$9:$CH$9,1,DV27)*(1+INDEX('Lease Cycles'!$CI$9:$CO$9,1,DV27))^INT(INT(DV28/12)/INDEX('Lease Cycles'!$CP$9:$CV$9,1,DV27))/12)))),'Lease Cycles'!$C$9*INDEX('Lease Cycles'!$CB$9:$CH$9,1,DV27)*(1+INDEX('Lease Cycles'!$CI$9:$CO$9,1,DV27))^INT(INT(DV28/12)/INDEX('Lease Cycles'!$CP$9:$CV$9,1,DV27))/12))),IF('Lease Cycles'!$N$9=1,'Lease Cycles'!$C$9*'Lease Cycles'!$E$9*INDEX('Lease Cycles'!$HE$9:$HK$9,1,DV27)*(1+INDEX('Lease Cycles'!$GQ$9:$GW$9,1,DV27))^INT(INT((DV$6-INDEX('Lease Cycles'!$GJ$9:$GP$9,1,DV27))/12)/INDEX('Lease Cycles'!$GX$9:$HD$9,1,DV27))/12,0)))</f>
        <v>13852.651568415735</v>
      </c>
      <c r="DW30" s="28">
        <f>IF(DW27=0,IF('Lease Cycles'!$F$9&gt;0,'Lease Cycles'!$C$9*'Lease Cycles'!$E$9/12,0),IF(DW29=1,IF('Lease Cycles'!$AT$9&gt;=9999,'Lease Cycles'!$C$9*INDEX('Lease Cycles'!$CB$9:$CH$9,1,DW27)*(1+INDEX('Lease Cycles'!$CI$9:$CO$9,1,DW27))^INT(INT(DW28/12)/INDEX('Lease Cycles'!$CP$9:$CV$9,1,DW27))/12,IF(DW27=1,IF(DW28&gt;=INDEX('Lease Cycles'!$DK$9:$DQ$9,1,DW27),IF(DW$6&gt;='Lease Cycles'!$AZ$9,'Lease Cycles'!$C$9*'Lease Cycles'!$BA$9/12,IF(DW$6&gt;='Lease Cycles'!$AX$9,'Lease Cycles'!$C$9*'Lease Cycles'!$AY$9/12,IF(DW$6&gt;='Lease Cycles'!$AV$9,'Lease Cycles'!$C$9*'Lease Cycles'!$AW$9/12,IF(DW$6&gt;='Lease Cycles'!$AT$9,'Lease Cycles'!$C$9*'Lease Cycles'!$AU$9/12,'Lease Cycles'!$C$9*INDEX('Lease Cycles'!$CB$9:$CH$9,1,DW27)*(1+INDEX('Lease Cycles'!$CI$9:$CO$9,1,DW27))^INT(INT(DW28/12)/INDEX('Lease Cycles'!$CP$9:$CV$9,1,DW27))/12)))),'Lease Cycles'!$C$9*INDEX('Lease Cycles'!$CB$9:$CH$9,1,DW27)*(1+INDEX('Lease Cycles'!$CI$9:$CO$9,1,DW27))^INT(INT(DW28/12)/INDEX('Lease Cycles'!$CP$9:$CV$9,1,DW27))/12),IF(INDEX('Lease Cycles'!$EF$9:$EL$9,1,DW27)=1,IF(AND('Lease Cycles'!$AZ$9&gt;=INDEX('Lease Cycles'!$BG$9:$BM$9,1,DW27),'Lease Cycles'!$AZ$9&lt;=DW$6),'Lease Cycles'!$C$9*'Lease Cycles'!$BA$9/12,IF(AND('Lease Cycles'!$AX$9&gt;=INDEX('Lease Cycles'!$BG$9:$BM$9,1,DW27),'Lease Cycles'!$AX$9&lt;=DW$6),'Lease Cycles'!$C$9*'Lease Cycles'!$AY$9/12,IF(AND('Lease Cycles'!$AV$9&gt;=INDEX('Lease Cycles'!$BG$9:$BM$9,1,DW27),'Lease Cycles'!$AV$9&lt;=DW$6),'Lease Cycles'!$C$9*'Lease Cycles'!$AW$9/12,IF(AND('Lease Cycles'!$AT$9&gt;=INDEX('Lease Cycles'!$BG$9:$BM$9,1,DW27),'Lease Cycles'!$AT$9&lt;=DW$6),'Lease Cycles'!$C$9*'Lease Cycles'!$AU$9/12,'Lease Cycles'!$C$9*INDEX('Lease Cycles'!$CB$9:$CH$9,1,DW27)*(1+INDEX('Lease Cycles'!$CI$9:$CO$9,1,DW27))^INT(INT(DW28/12)/INDEX('Lease Cycles'!$CP$9:$CV$9,1,DW27))/12)))),'Lease Cycles'!$C$9*INDEX('Lease Cycles'!$CB$9:$CH$9,1,DW27)*(1+INDEX('Lease Cycles'!$CI$9:$CO$9,1,DW27))^INT(INT(DW28/12)/INDEX('Lease Cycles'!$CP$9:$CV$9,1,DW27))/12))),IF('Lease Cycles'!$N$9=1,'Lease Cycles'!$C$9*'Lease Cycles'!$E$9*INDEX('Lease Cycles'!$HE$9:$HK$9,1,DW27)*(1+INDEX('Lease Cycles'!$GQ$9:$GW$9,1,DW27))^INT(INT((DW$6-INDEX('Lease Cycles'!$GJ$9:$GP$9,1,DW27))/12)/INDEX('Lease Cycles'!$GX$9:$HD$9,1,DW27))/12,0)))</f>
        <v>13852.651568415735</v>
      </c>
      <c r="DX30" s="28">
        <f>IF(DX27=0,IF('Lease Cycles'!$F$9&gt;0,'Lease Cycles'!$C$9*'Lease Cycles'!$E$9/12,0),IF(DX29=1,IF('Lease Cycles'!$AT$9&gt;=9999,'Lease Cycles'!$C$9*INDEX('Lease Cycles'!$CB$9:$CH$9,1,DX27)*(1+INDEX('Lease Cycles'!$CI$9:$CO$9,1,DX27))^INT(INT(DX28/12)/INDEX('Lease Cycles'!$CP$9:$CV$9,1,DX27))/12,IF(DX27=1,IF(DX28&gt;=INDEX('Lease Cycles'!$DK$9:$DQ$9,1,DX27),IF(DX$6&gt;='Lease Cycles'!$AZ$9,'Lease Cycles'!$C$9*'Lease Cycles'!$BA$9/12,IF(DX$6&gt;='Lease Cycles'!$AX$9,'Lease Cycles'!$C$9*'Lease Cycles'!$AY$9/12,IF(DX$6&gt;='Lease Cycles'!$AV$9,'Lease Cycles'!$C$9*'Lease Cycles'!$AW$9/12,IF(DX$6&gt;='Lease Cycles'!$AT$9,'Lease Cycles'!$C$9*'Lease Cycles'!$AU$9/12,'Lease Cycles'!$C$9*INDEX('Lease Cycles'!$CB$9:$CH$9,1,DX27)*(1+INDEX('Lease Cycles'!$CI$9:$CO$9,1,DX27))^INT(INT(DX28/12)/INDEX('Lease Cycles'!$CP$9:$CV$9,1,DX27))/12)))),'Lease Cycles'!$C$9*INDEX('Lease Cycles'!$CB$9:$CH$9,1,DX27)*(1+INDEX('Lease Cycles'!$CI$9:$CO$9,1,DX27))^INT(INT(DX28/12)/INDEX('Lease Cycles'!$CP$9:$CV$9,1,DX27))/12),IF(INDEX('Lease Cycles'!$EF$9:$EL$9,1,DX27)=1,IF(AND('Lease Cycles'!$AZ$9&gt;=INDEX('Lease Cycles'!$BG$9:$BM$9,1,DX27),'Lease Cycles'!$AZ$9&lt;=DX$6),'Lease Cycles'!$C$9*'Lease Cycles'!$BA$9/12,IF(AND('Lease Cycles'!$AX$9&gt;=INDEX('Lease Cycles'!$BG$9:$BM$9,1,DX27),'Lease Cycles'!$AX$9&lt;=DX$6),'Lease Cycles'!$C$9*'Lease Cycles'!$AY$9/12,IF(AND('Lease Cycles'!$AV$9&gt;=INDEX('Lease Cycles'!$BG$9:$BM$9,1,DX27),'Lease Cycles'!$AV$9&lt;=DX$6),'Lease Cycles'!$C$9*'Lease Cycles'!$AW$9/12,IF(AND('Lease Cycles'!$AT$9&gt;=INDEX('Lease Cycles'!$BG$9:$BM$9,1,DX27),'Lease Cycles'!$AT$9&lt;=DX$6),'Lease Cycles'!$C$9*'Lease Cycles'!$AU$9/12,'Lease Cycles'!$C$9*INDEX('Lease Cycles'!$CB$9:$CH$9,1,DX27)*(1+INDEX('Lease Cycles'!$CI$9:$CO$9,1,DX27))^INT(INT(DX28/12)/INDEX('Lease Cycles'!$CP$9:$CV$9,1,DX27))/12)))),'Lease Cycles'!$C$9*INDEX('Lease Cycles'!$CB$9:$CH$9,1,DX27)*(1+INDEX('Lease Cycles'!$CI$9:$CO$9,1,DX27))^INT(INT(DX28/12)/INDEX('Lease Cycles'!$CP$9:$CV$9,1,DX27))/12))),IF('Lease Cycles'!$N$9=1,'Lease Cycles'!$C$9*'Lease Cycles'!$E$9*INDEX('Lease Cycles'!$HE$9:$HK$9,1,DX27)*(1+INDEX('Lease Cycles'!$GQ$9:$GW$9,1,DX27))^INT(INT((DX$6-INDEX('Lease Cycles'!$GJ$9:$GP$9,1,DX27))/12)/INDEX('Lease Cycles'!$GX$9:$HD$9,1,DX27))/12,0)))</f>
        <v>13852.651568415735</v>
      </c>
      <c r="DY30" s="28">
        <f>IF(DY27=0,IF('Lease Cycles'!$F$9&gt;0,'Lease Cycles'!$C$9*'Lease Cycles'!$E$9/12,0),IF(DY29=1,IF('Lease Cycles'!$AT$9&gt;=9999,'Lease Cycles'!$C$9*INDEX('Lease Cycles'!$CB$9:$CH$9,1,DY27)*(1+INDEX('Lease Cycles'!$CI$9:$CO$9,1,DY27))^INT(INT(DY28/12)/INDEX('Lease Cycles'!$CP$9:$CV$9,1,DY27))/12,IF(DY27=1,IF(DY28&gt;=INDEX('Lease Cycles'!$DK$9:$DQ$9,1,DY27),IF(DY$6&gt;='Lease Cycles'!$AZ$9,'Lease Cycles'!$C$9*'Lease Cycles'!$BA$9/12,IF(DY$6&gt;='Lease Cycles'!$AX$9,'Lease Cycles'!$C$9*'Lease Cycles'!$AY$9/12,IF(DY$6&gt;='Lease Cycles'!$AV$9,'Lease Cycles'!$C$9*'Lease Cycles'!$AW$9/12,IF(DY$6&gt;='Lease Cycles'!$AT$9,'Lease Cycles'!$C$9*'Lease Cycles'!$AU$9/12,'Lease Cycles'!$C$9*INDEX('Lease Cycles'!$CB$9:$CH$9,1,DY27)*(1+INDEX('Lease Cycles'!$CI$9:$CO$9,1,DY27))^INT(INT(DY28/12)/INDEX('Lease Cycles'!$CP$9:$CV$9,1,DY27))/12)))),'Lease Cycles'!$C$9*INDEX('Lease Cycles'!$CB$9:$CH$9,1,DY27)*(1+INDEX('Lease Cycles'!$CI$9:$CO$9,1,DY27))^INT(INT(DY28/12)/INDEX('Lease Cycles'!$CP$9:$CV$9,1,DY27))/12),IF(INDEX('Lease Cycles'!$EF$9:$EL$9,1,DY27)=1,IF(AND('Lease Cycles'!$AZ$9&gt;=INDEX('Lease Cycles'!$BG$9:$BM$9,1,DY27),'Lease Cycles'!$AZ$9&lt;=DY$6),'Lease Cycles'!$C$9*'Lease Cycles'!$BA$9/12,IF(AND('Lease Cycles'!$AX$9&gt;=INDEX('Lease Cycles'!$BG$9:$BM$9,1,DY27),'Lease Cycles'!$AX$9&lt;=DY$6),'Lease Cycles'!$C$9*'Lease Cycles'!$AY$9/12,IF(AND('Lease Cycles'!$AV$9&gt;=INDEX('Lease Cycles'!$BG$9:$BM$9,1,DY27),'Lease Cycles'!$AV$9&lt;=DY$6),'Lease Cycles'!$C$9*'Lease Cycles'!$AW$9/12,IF(AND('Lease Cycles'!$AT$9&gt;=INDEX('Lease Cycles'!$BG$9:$BM$9,1,DY27),'Lease Cycles'!$AT$9&lt;=DY$6),'Lease Cycles'!$C$9*'Lease Cycles'!$AU$9/12,'Lease Cycles'!$C$9*INDEX('Lease Cycles'!$CB$9:$CH$9,1,DY27)*(1+INDEX('Lease Cycles'!$CI$9:$CO$9,1,DY27))^INT(INT(DY28/12)/INDEX('Lease Cycles'!$CP$9:$CV$9,1,DY27))/12)))),'Lease Cycles'!$C$9*INDEX('Lease Cycles'!$CB$9:$CH$9,1,DY27)*(1+INDEX('Lease Cycles'!$CI$9:$CO$9,1,DY27))^INT(INT(DY28/12)/INDEX('Lease Cycles'!$CP$9:$CV$9,1,DY27))/12))),IF('Lease Cycles'!$N$9=1,'Lease Cycles'!$C$9*'Lease Cycles'!$E$9*INDEX('Lease Cycles'!$HE$9:$HK$9,1,DY27)*(1+INDEX('Lease Cycles'!$GQ$9:$GW$9,1,DY27))^INT(INT((DY$6-INDEX('Lease Cycles'!$GJ$9:$GP$9,1,DY27))/12)/INDEX('Lease Cycles'!$GX$9:$HD$9,1,DY27))/12,0)))</f>
        <v>13852.651568415735</v>
      </c>
      <c r="DZ30" s="28">
        <f>IF(DZ27=0,IF('Lease Cycles'!$F$9&gt;0,'Lease Cycles'!$C$9*'Lease Cycles'!$E$9/12,0),IF(DZ29=1,IF('Lease Cycles'!$AT$9&gt;=9999,'Lease Cycles'!$C$9*INDEX('Lease Cycles'!$CB$9:$CH$9,1,DZ27)*(1+INDEX('Lease Cycles'!$CI$9:$CO$9,1,DZ27))^INT(INT(DZ28/12)/INDEX('Lease Cycles'!$CP$9:$CV$9,1,DZ27))/12,IF(DZ27=1,IF(DZ28&gt;=INDEX('Lease Cycles'!$DK$9:$DQ$9,1,DZ27),IF(DZ$6&gt;='Lease Cycles'!$AZ$9,'Lease Cycles'!$C$9*'Lease Cycles'!$BA$9/12,IF(DZ$6&gt;='Lease Cycles'!$AX$9,'Lease Cycles'!$C$9*'Lease Cycles'!$AY$9/12,IF(DZ$6&gt;='Lease Cycles'!$AV$9,'Lease Cycles'!$C$9*'Lease Cycles'!$AW$9/12,IF(DZ$6&gt;='Lease Cycles'!$AT$9,'Lease Cycles'!$C$9*'Lease Cycles'!$AU$9/12,'Lease Cycles'!$C$9*INDEX('Lease Cycles'!$CB$9:$CH$9,1,DZ27)*(1+INDEX('Lease Cycles'!$CI$9:$CO$9,1,DZ27))^INT(INT(DZ28/12)/INDEX('Lease Cycles'!$CP$9:$CV$9,1,DZ27))/12)))),'Lease Cycles'!$C$9*INDEX('Lease Cycles'!$CB$9:$CH$9,1,DZ27)*(1+INDEX('Lease Cycles'!$CI$9:$CO$9,1,DZ27))^INT(INT(DZ28/12)/INDEX('Lease Cycles'!$CP$9:$CV$9,1,DZ27))/12),IF(INDEX('Lease Cycles'!$EF$9:$EL$9,1,DZ27)=1,IF(AND('Lease Cycles'!$AZ$9&gt;=INDEX('Lease Cycles'!$BG$9:$BM$9,1,DZ27),'Lease Cycles'!$AZ$9&lt;=DZ$6),'Lease Cycles'!$C$9*'Lease Cycles'!$BA$9/12,IF(AND('Lease Cycles'!$AX$9&gt;=INDEX('Lease Cycles'!$BG$9:$BM$9,1,DZ27),'Lease Cycles'!$AX$9&lt;=DZ$6),'Lease Cycles'!$C$9*'Lease Cycles'!$AY$9/12,IF(AND('Lease Cycles'!$AV$9&gt;=INDEX('Lease Cycles'!$BG$9:$BM$9,1,DZ27),'Lease Cycles'!$AV$9&lt;=DZ$6),'Lease Cycles'!$C$9*'Lease Cycles'!$AW$9/12,IF(AND('Lease Cycles'!$AT$9&gt;=INDEX('Lease Cycles'!$BG$9:$BM$9,1,DZ27),'Lease Cycles'!$AT$9&lt;=DZ$6),'Lease Cycles'!$C$9*'Lease Cycles'!$AU$9/12,'Lease Cycles'!$C$9*INDEX('Lease Cycles'!$CB$9:$CH$9,1,DZ27)*(1+INDEX('Lease Cycles'!$CI$9:$CO$9,1,DZ27))^INT(INT(DZ28/12)/INDEX('Lease Cycles'!$CP$9:$CV$9,1,DZ27))/12)))),'Lease Cycles'!$C$9*INDEX('Lease Cycles'!$CB$9:$CH$9,1,DZ27)*(1+INDEX('Lease Cycles'!$CI$9:$CO$9,1,DZ27))^INT(INT(DZ28/12)/INDEX('Lease Cycles'!$CP$9:$CV$9,1,DZ27))/12))),IF('Lease Cycles'!$N$9=1,'Lease Cycles'!$C$9*'Lease Cycles'!$E$9*INDEX('Lease Cycles'!$HE$9:$HK$9,1,DZ27)*(1+INDEX('Lease Cycles'!$GQ$9:$GW$9,1,DZ27))^INT(INT((DZ$6-INDEX('Lease Cycles'!$GJ$9:$GP$9,1,DZ27))/12)/INDEX('Lease Cycles'!$GX$9:$HD$9,1,DZ27))/12,0)))</f>
        <v>13852.651568415735</v>
      </c>
      <c r="EA30" s="28">
        <f>IF(EA27=0,IF('Lease Cycles'!$F$9&gt;0,'Lease Cycles'!$C$9*'Lease Cycles'!$E$9/12,0),IF(EA29=1,IF('Lease Cycles'!$AT$9&gt;=9999,'Lease Cycles'!$C$9*INDEX('Lease Cycles'!$CB$9:$CH$9,1,EA27)*(1+INDEX('Lease Cycles'!$CI$9:$CO$9,1,EA27))^INT(INT(EA28/12)/INDEX('Lease Cycles'!$CP$9:$CV$9,1,EA27))/12,IF(EA27=1,IF(EA28&gt;=INDEX('Lease Cycles'!$DK$9:$DQ$9,1,EA27),IF(EA$6&gt;='Lease Cycles'!$AZ$9,'Lease Cycles'!$C$9*'Lease Cycles'!$BA$9/12,IF(EA$6&gt;='Lease Cycles'!$AX$9,'Lease Cycles'!$C$9*'Lease Cycles'!$AY$9/12,IF(EA$6&gt;='Lease Cycles'!$AV$9,'Lease Cycles'!$C$9*'Lease Cycles'!$AW$9/12,IF(EA$6&gt;='Lease Cycles'!$AT$9,'Lease Cycles'!$C$9*'Lease Cycles'!$AU$9/12,'Lease Cycles'!$C$9*INDEX('Lease Cycles'!$CB$9:$CH$9,1,EA27)*(1+INDEX('Lease Cycles'!$CI$9:$CO$9,1,EA27))^INT(INT(EA28/12)/INDEX('Lease Cycles'!$CP$9:$CV$9,1,EA27))/12)))),'Lease Cycles'!$C$9*INDEX('Lease Cycles'!$CB$9:$CH$9,1,EA27)*(1+INDEX('Lease Cycles'!$CI$9:$CO$9,1,EA27))^INT(INT(EA28/12)/INDEX('Lease Cycles'!$CP$9:$CV$9,1,EA27))/12),IF(INDEX('Lease Cycles'!$EF$9:$EL$9,1,EA27)=1,IF(AND('Lease Cycles'!$AZ$9&gt;=INDEX('Lease Cycles'!$BG$9:$BM$9,1,EA27),'Lease Cycles'!$AZ$9&lt;=EA$6),'Lease Cycles'!$C$9*'Lease Cycles'!$BA$9/12,IF(AND('Lease Cycles'!$AX$9&gt;=INDEX('Lease Cycles'!$BG$9:$BM$9,1,EA27),'Lease Cycles'!$AX$9&lt;=EA$6),'Lease Cycles'!$C$9*'Lease Cycles'!$AY$9/12,IF(AND('Lease Cycles'!$AV$9&gt;=INDEX('Lease Cycles'!$BG$9:$BM$9,1,EA27),'Lease Cycles'!$AV$9&lt;=EA$6),'Lease Cycles'!$C$9*'Lease Cycles'!$AW$9/12,IF(AND('Lease Cycles'!$AT$9&gt;=INDEX('Lease Cycles'!$BG$9:$BM$9,1,EA27),'Lease Cycles'!$AT$9&lt;=EA$6),'Lease Cycles'!$C$9*'Lease Cycles'!$AU$9/12,'Lease Cycles'!$C$9*INDEX('Lease Cycles'!$CB$9:$CH$9,1,EA27)*(1+INDEX('Lease Cycles'!$CI$9:$CO$9,1,EA27))^INT(INT(EA28/12)/INDEX('Lease Cycles'!$CP$9:$CV$9,1,EA27))/12)))),'Lease Cycles'!$C$9*INDEX('Lease Cycles'!$CB$9:$CH$9,1,EA27)*(1+INDEX('Lease Cycles'!$CI$9:$CO$9,1,EA27))^INT(INT(EA28/12)/INDEX('Lease Cycles'!$CP$9:$CV$9,1,EA27))/12))),IF('Lease Cycles'!$N$9=1,'Lease Cycles'!$C$9*'Lease Cycles'!$E$9*INDEX('Lease Cycles'!$HE$9:$HK$9,1,EA27)*(1+INDEX('Lease Cycles'!$GQ$9:$GW$9,1,EA27))^INT(INT((EA$6-INDEX('Lease Cycles'!$GJ$9:$GP$9,1,EA27))/12)/INDEX('Lease Cycles'!$GX$9:$HD$9,1,EA27))/12,0)))</f>
        <v>13852.651568415735</v>
      </c>
      <c r="EB30" s="28">
        <f>IF(EB27=0,IF('Lease Cycles'!$F$9&gt;0,'Lease Cycles'!$C$9*'Lease Cycles'!$E$9/12,0),IF(EB29=1,IF('Lease Cycles'!$AT$9&gt;=9999,'Lease Cycles'!$C$9*INDEX('Lease Cycles'!$CB$9:$CH$9,1,EB27)*(1+INDEX('Lease Cycles'!$CI$9:$CO$9,1,EB27))^INT(INT(EB28/12)/INDEX('Lease Cycles'!$CP$9:$CV$9,1,EB27))/12,IF(EB27=1,IF(EB28&gt;=INDEX('Lease Cycles'!$DK$9:$DQ$9,1,EB27),IF(EB$6&gt;='Lease Cycles'!$AZ$9,'Lease Cycles'!$C$9*'Lease Cycles'!$BA$9/12,IF(EB$6&gt;='Lease Cycles'!$AX$9,'Lease Cycles'!$C$9*'Lease Cycles'!$AY$9/12,IF(EB$6&gt;='Lease Cycles'!$AV$9,'Lease Cycles'!$C$9*'Lease Cycles'!$AW$9/12,IF(EB$6&gt;='Lease Cycles'!$AT$9,'Lease Cycles'!$C$9*'Lease Cycles'!$AU$9/12,'Lease Cycles'!$C$9*INDEX('Lease Cycles'!$CB$9:$CH$9,1,EB27)*(1+INDEX('Lease Cycles'!$CI$9:$CO$9,1,EB27))^INT(INT(EB28/12)/INDEX('Lease Cycles'!$CP$9:$CV$9,1,EB27))/12)))),'Lease Cycles'!$C$9*INDEX('Lease Cycles'!$CB$9:$CH$9,1,EB27)*(1+INDEX('Lease Cycles'!$CI$9:$CO$9,1,EB27))^INT(INT(EB28/12)/INDEX('Lease Cycles'!$CP$9:$CV$9,1,EB27))/12),IF(INDEX('Lease Cycles'!$EF$9:$EL$9,1,EB27)=1,IF(AND('Lease Cycles'!$AZ$9&gt;=INDEX('Lease Cycles'!$BG$9:$BM$9,1,EB27),'Lease Cycles'!$AZ$9&lt;=EB$6),'Lease Cycles'!$C$9*'Lease Cycles'!$BA$9/12,IF(AND('Lease Cycles'!$AX$9&gt;=INDEX('Lease Cycles'!$BG$9:$BM$9,1,EB27),'Lease Cycles'!$AX$9&lt;=EB$6),'Lease Cycles'!$C$9*'Lease Cycles'!$AY$9/12,IF(AND('Lease Cycles'!$AV$9&gt;=INDEX('Lease Cycles'!$BG$9:$BM$9,1,EB27),'Lease Cycles'!$AV$9&lt;=EB$6),'Lease Cycles'!$C$9*'Lease Cycles'!$AW$9/12,IF(AND('Lease Cycles'!$AT$9&gt;=INDEX('Lease Cycles'!$BG$9:$BM$9,1,EB27),'Lease Cycles'!$AT$9&lt;=EB$6),'Lease Cycles'!$C$9*'Lease Cycles'!$AU$9/12,'Lease Cycles'!$C$9*INDEX('Lease Cycles'!$CB$9:$CH$9,1,EB27)*(1+INDEX('Lease Cycles'!$CI$9:$CO$9,1,EB27))^INT(INT(EB28/12)/INDEX('Lease Cycles'!$CP$9:$CV$9,1,EB27))/12)))),'Lease Cycles'!$C$9*INDEX('Lease Cycles'!$CB$9:$CH$9,1,EB27)*(1+INDEX('Lease Cycles'!$CI$9:$CO$9,1,EB27))^INT(INT(EB28/12)/INDEX('Lease Cycles'!$CP$9:$CV$9,1,EB27))/12))),IF('Lease Cycles'!$N$9=1,'Lease Cycles'!$C$9*'Lease Cycles'!$E$9*INDEX('Lease Cycles'!$HE$9:$HK$9,1,EB27)*(1+INDEX('Lease Cycles'!$GQ$9:$GW$9,1,EB27))^INT(INT((EB$6-INDEX('Lease Cycles'!$GJ$9:$GP$9,1,EB27))/12)/INDEX('Lease Cycles'!$GX$9:$HD$9,1,EB27))/12,0)))</f>
        <v>13852.651568415735</v>
      </c>
      <c r="EC30" s="28">
        <f>IF(EC27=0,IF('Lease Cycles'!$F$9&gt;0,'Lease Cycles'!$C$9*'Lease Cycles'!$E$9/12,0),IF(EC29=1,IF('Lease Cycles'!$AT$9&gt;=9999,'Lease Cycles'!$C$9*INDEX('Lease Cycles'!$CB$9:$CH$9,1,EC27)*(1+INDEX('Lease Cycles'!$CI$9:$CO$9,1,EC27))^INT(INT(EC28/12)/INDEX('Lease Cycles'!$CP$9:$CV$9,1,EC27))/12,IF(EC27=1,IF(EC28&gt;=INDEX('Lease Cycles'!$DK$9:$DQ$9,1,EC27),IF(EC$6&gt;='Lease Cycles'!$AZ$9,'Lease Cycles'!$C$9*'Lease Cycles'!$BA$9/12,IF(EC$6&gt;='Lease Cycles'!$AX$9,'Lease Cycles'!$C$9*'Lease Cycles'!$AY$9/12,IF(EC$6&gt;='Lease Cycles'!$AV$9,'Lease Cycles'!$C$9*'Lease Cycles'!$AW$9/12,IF(EC$6&gt;='Lease Cycles'!$AT$9,'Lease Cycles'!$C$9*'Lease Cycles'!$AU$9/12,'Lease Cycles'!$C$9*INDEX('Lease Cycles'!$CB$9:$CH$9,1,EC27)*(1+INDEX('Lease Cycles'!$CI$9:$CO$9,1,EC27))^INT(INT(EC28/12)/INDEX('Lease Cycles'!$CP$9:$CV$9,1,EC27))/12)))),'Lease Cycles'!$C$9*INDEX('Lease Cycles'!$CB$9:$CH$9,1,EC27)*(1+INDEX('Lease Cycles'!$CI$9:$CO$9,1,EC27))^INT(INT(EC28/12)/INDEX('Lease Cycles'!$CP$9:$CV$9,1,EC27))/12),IF(INDEX('Lease Cycles'!$EF$9:$EL$9,1,EC27)=1,IF(AND('Lease Cycles'!$AZ$9&gt;=INDEX('Lease Cycles'!$BG$9:$BM$9,1,EC27),'Lease Cycles'!$AZ$9&lt;=EC$6),'Lease Cycles'!$C$9*'Lease Cycles'!$BA$9/12,IF(AND('Lease Cycles'!$AX$9&gt;=INDEX('Lease Cycles'!$BG$9:$BM$9,1,EC27),'Lease Cycles'!$AX$9&lt;=EC$6),'Lease Cycles'!$C$9*'Lease Cycles'!$AY$9/12,IF(AND('Lease Cycles'!$AV$9&gt;=INDEX('Lease Cycles'!$BG$9:$BM$9,1,EC27),'Lease Cycles'!$AV$9&lt;=EC$6),'Lease Cycles'!$C$9*'Lease Cycles'!$AW$9/12,IF(AND('Lease Cycles'!$AT$9&gt;=INDEX('Lease Cycles'!$BG$9:$BM$9,1,EC27),'Lease Cycles'!$AT$9&lt;=EC$6),'Lease Cycles'!$C$9*'Lease Cycles'!$AU$9/12,'Lease Cycles'!$C$9*INDEX('Lease Cycles'!$CB$9:$CH$9,1,EC27)*(1+INDEX('Lease Cycles'!$CI$9:$CO$9,1,EC27))^INT(INT(EC28/12)/INDEX('Lease Cycles'!$CP$9:$CV$9,1,EC27))/12)))),'Lease Cycles'!$C$9*INDEX('Lease Cycles'!$CB$9:$CH$9,1,EC27)*(1+INDEX('Lease Cycles'!$CI$9:$CO$9,1,EC27))^INT(INT(EC28/12)/INDEX('Lease Cycles'!$CP$9:$CV$9,1,EC27))/12))),IF('Lease Cycles'!$N$9=1,'Lease Cycles'!$C$9*'Lease Cycles'!$E$9*INDEX('Lease Cycles'!$HE$9:$HK$9,1,EC27)*(1+INDEX('Lease Cycles'!$GQ$9:$GW$9,1,EC27))^INT(INT((EC$6-INDEX('Lease Cycles'!$GJ$9:$GP$9,1,EC27))/12)/INDEX('Lease Cycles'!$GX$9:$HD$9,1,EC27))/12,0)))</f>
        <v>13852.651568415735</v>
      </c>
      <c r="ED30" s="28">
        <f>IF(ED27=0,IF('Lease Cycles'!$F$9&gt;0,'Lease Cycles'!$C$9*'Lease Cycles'!$E$9/12,0),IF(ED29=1,IF('Lease Cycles'!$AT$9&gt;=9999,'Lease Cycles'!$C$9*INDEX('Lease Cycles'!$CB$9:$CH$9,1,ED27)*(1+INDEX('Lease Cycles'!$CI$9:$CO$9,1,ED27))^INT(INT(ED28/12)/INDEX('Lease Cycles'!$CP$9:$CV$9,1,ED27))/12,IF(ED27=1,IF(ED28&gt;=INDEX('Lease Cycles'!$DK$9:$DQ$9,1,ED27),IF(ED$6&gt;='Lease Cycles'!$AZ$9,'Lease Cycles'!$C$9*'Lease Cycles'!$BA$9/12,IF(ED$6&gt;='Lease Cycles'!$AX$9,'Lease Cycles'!$C$9*'Lease Cycles'!$AY$9/12,IF(ED$6&gt;='Lease Cycles'!$AV$9,'Lease Cycles'!$C$9*'Lease Cycles'!$AW$9/12,IF(ED$6&gt;='Lease Cycles'!$AT$9,'Lease Cycles'!$C$9*'Lease Cycles'!$AU$9/12,'Lease Cycles'!$C$9*INDEX('Lease Cycles'!$CB$9:$CH$9,1,ED27)*(1+INDEX('Lease Cycles'!$CI$9:$CO$9,1,ED27))^INT(INT(ED28/12)/INDEX('Lease Cycles'!$CP$9:$CV$9,1,ED27))/12)))),'Lease Cycles'!$C$9*INDEX('Lease Cycles'!$CB$9:$CH$9,1,ED27)*(1+INDEX('Lease Cycles'!$CI$9:$CO$9,1,ED27))^INT(INT(ED28/12)/INDEX('Lease Cycles'!$CP$9:$CV$9,1,ED27))/12),IF(INDEX('Lease Cycles'!$EF$9:$EL$9,1,ED27)=1,IF(AND('Lease Cycles'!$AZ$9&gt;=INDEX('Lease Cycles'!$BG$9:$BM$9,1,ED27),'Lease Cycles'!$AZ$9&lt;=ED$6),'Lease Cycles'!$C$9*'Lease Cycles'!$BA$9/12,IF(AND('Lease Cycles'!$AX$9&gt;=INDEX('Lease Cycles'!$BG$9:$BM$9,1,ED27),'Lease Cycles'!$AX$9&lt;=ED$6),'Lease Cycles'!$C$9*'Lease Cycles'!$AY$9/12,IF(AND('Lease Cycles'!$AV$9&gt;=INDEX('Lease Cycles'!$BG$9:$BM$9,1,ED27),'Lease Cycles'!$AV$9&lt;=ED$6),'Lease Cycles'!$C$9*'Lease Cycles'!$AW$9/12,IF(AND('Lease Cycles'!$AT$9&gt;=INDEX('Lease Cycles'!$BG$9:$BM$9,1,ED27),'Lease Cycles'!$AT$9&lt;=ED$6),'Lease Cycles'!$C$9*'Lease Cycles'!$AU$9/12,'Lease Cycles'!$C$9*INDEX('Lease Cycles'!$CB$9:$CH$9,1,ED27)*(1+INDEX('Lease Cycles'!$CI$9:$CO$9,1,ED27))^INT(INT(ED28/12)/INDEX('Lease Cycles'!$CP$9:$CV$9,1,ED27))/12)))),'Lease Cycles'!$C$9*INDEX('Lease Cycles'!$CB$9:$CH$9,1,ED27)*(1+INDEX('Lease Cycles'!$CI$9:$CO$9,1,ED27))^INT(INT(ED28/12)/INDEX('Lease Cycles'!$CP$9:$CV$9,1,ED27))/12))),IF('Lease Cycles'!$N$9=1,'Lease Cycles'!$C$9*'Lease Cycles'!$E$9*INDEX('Lease Cycles'!$HE$9:$HK$9,1,ED27)*(1+INDEX('Lease Cycles'!$GQ$9:$GW$9,1,ED27))^INT(INT((ED$6-INDEX('Lease Cycles'!$GJ$9:$GP$9,1,ED27))/12)/INDEX('Lease Cycles'!$GX$9:$HD$9,1,ED27))/12,0)))</f>
        <v>15237.91672525731</v>
      </c>
      <c r="EE30" s="28">
        <f>IF(EE27=0,IF('Lease Cycles'!$F$9&gt;0,'Lease Cycles'!$C$9*'Lease Cycles'!$E$9/12,0),IF(EE29=1,IF('Lease Cycles'!$AT$9&gt;=9999,'Lease Cycles'!$C$9*INDEX('Lease Cycles'!$CB$9:$CH$9,1,EE27)*(1+INDEX('Lease Cycles'!$CI$9:$CO$9,1,EE27))^INT(INT(EE28/12)/INDEX('Lease Cycles'!$CP$9:$CV$9,1,EE27))/12,IF(EE27=1,IF(EE28&gt;=INDEX('Lease Cycles'!$DK$9:$DQ$9,1,EE27),IF(EE$6&gt;='Lease Cycles'!$AZ$9,'Lease Cycles'!$C$9*'Lease Cycles'!$BA$9/12,IF(EE$6&gt;='Lease Cycles'!$AX$9,'Lease Cycles'!$C$9*'Lease Cycles'!$AY$9/12,IF(EE$6&gt;='Lease Cycles'!$AV$9,'Lease Cycles'!$C$9*'Lease Cycles'!$AW$9/12,IF(EE$6&gt;='Lease Cycles'!$AT$9,'Lease Cycles'!$C$9*'Lease Cycles'!$AU$9/12,'Lease Cycles'!$C$9*INDEX('Lease Cycles'!$CB$9:$CH$9,1,EE27)*(1+INDEX('Lease Cycles'!$CI$9:$CO$9,1,EE27))^INT(INT(EE28/12)/INDEX('Lease Cycles'!$CP$9:$CV$9,1,EE27))/12)))),'Lease Cycles'!$C$9*INDEX('Lease Cycles'!$CB$9:$CH$9,1,EE27)*(1+INDEX('Lease Cycles'!$CI$9:$CO$9,1,EE27))^INT(INT(EE28/12)/INDEX('Lease Cycles'!$CP$9:$CV$9,1,EE27))/12),IF(INDEX('Lease Cycles'!$EF$9:$EL$9,1,EE27)=1,IF(AND('Lease Cycles'!$AZ$9&gt;=INDEX('Lease Cycles'!$BG$9:$BM$9,1,EE27),'Lease Cycles'!$AZ$9&lt;=EE$6),'Lease Cycles'!$C$9*'Lease Cycles'!$BA$9/12,IF(AND('Lease Cycles'!$AX$9&gt;=INDEX('Lease Cycles'!$BG$9:$BM$9,1,EE27),'Lease Cycles'!$AX$9&lt;=EE$6),'Lease Cycles'!$C$9*'Lease Cycles'!$AY$9/12,IF(AND('Lease Cycles'!$AV$9&gt;=INDEX('Lease Cycles'!$BG$9:$BM$9,1,EE27),'Lease Cycles'!$AV$9&lt;=EE$6),'Lease Cycles'!$C$9*'Lease Cycles'!$AW$9/12,IF(AND('Lease Cycles'!$AT$9&gt;=INDEX('Lease Cycles'!$BG$9:$BM$9,1,EE27),'Lease Cycles'!$AT$9&lt;=EE$6),'Lease Cycles'!$C$9*'Lease Cycles'!$AU$9/12,'Lease Cycles'!$C$9*INDEX('Lease Cycles'!$CB$9:$CH$9,1,EE27)*(1+INDEX('Lease Cycles'!$CI$9:$CO$9,1,EE27))^INT(INT(EE28/12)/INDEX('Lease Cycles'!$CP$9:$CV$9,1,EE27))/12)))),'Lease Cycles'!$C$9*INDEX('Lease Cycles'!$CB$9:$CH$9,1,EE27)*(1+INDEX('Lease Cycles'!$CI$9:$CO$9,1,EE27))^INT(INT(EE28/12)/INDEX('Lease Cycles'!$CP$9:$CV$9,1,EE27))/12))),IF('Lease Cycles'!$N$9=1,'Lease Cycles'!$C$9*'Lease Cycles'!$E$9*INDEX('Lease Cycles'!$HE$9:$HK$9,1,EE27)*(1+INDEX('Lease Cycles'!$GQ$9:$GW$9,1,EE27))^INT(INT((EE$6-INDEX('Lease Cycles'!$GJ$9:$GP$9,1,EE27))/12)/INDEX('Lease Cycles'!$GX$9:$HD$9,1,EE27))/12,0)))</f>
        <v>15237.91672525731</v>
      </c>
      <c r="EF30" s="28">
        <f>IF(EF27=0,IF('Lease Cycles'!$F$9&gt;0,'Lease Cycles'!$C$9*'Lease Cycles'!$E$9/12,0),IF(EF29=1,IF('Lease Cycles'!$AT$9&gt;=9999,'Lease Cycles'!$C$9*INDEX('Lease Cycles'!$CB$9:$CH$9,1,EF27)*(1+INDEX('Lease Cycles'!$CI$9:$CO$9,1,EF27))^INT(INT(EF28/12)/INDEX('Lease Cycles'!$CP$9:$CV$9,1,EF27))/12,IF(EF27=1,IF(EF28&gt;=INDEX('Lease Cycles'!$DK$9:$DQ$9,1,EF27),IF(EF$6&gt;='Lease Cycles'!$AZ$9,'Lease Cycles'!$C$9*'Lease Cycles'!$BA$9/12,IF(EF$6&gt;='Lease Cycles'!$AX$9,'Lease Cycles'!$C$9*'Lease Cycles'!$AY$9/12,IF(EF$6&gt;='Lease Cycles'!$AV$9,'Lease Cycles'!$C$9*'Lease Cycles'!$AW$9/12,IF(EF$6&gt;='Lease Cycles'!$AT$9,'Lease Cycles'!$C$9*'Lease Cycles'!$AU$9/12,'Lease Cycles'!$C$9*INDEX('Lease Cycles'!$CB$9:$CH$9,1,EF27)*(1+INDEX('Lease Cycles'!$CI$9:$CO$9,1,EF27))^INT(INT(EF28/12)/INDEX('Lease Cycles'!$CP$9:$CV$9,1,EF27))/12)))),'Lease Cycles'!$C$9*INDEX('Lease Cycles'!$CB$9:$CH$9,1,EF27)*(1+INDEX('Lease Cycles'!$CI$9:$CO$9,1,EF27))^INT(INT(EF28/12)/INDEX('Lease Cycles'!$CP$9:$CV$9,1,EF27))/12),IF(INDEX('Lease Cycles'!$EF$9:$EL$9,1,EF27)=1,IF(AND('Lease Cycles'!$AZ$9&gt;=INDEX('Lease Cycles'!$BG$9:$BM$9,1,EF27),'Lease Cycles'!$AZ$9&lt;=EF$6),'Lease Cycles'!$C$9*'Lease Cycles'!$BA$9/12,IF(AND('Lease Cycles'!$AX$9&gt;=INDEX('Lease Cycles'!$BG$9:$BM$9,1,EF27),'Lease Cycles'!$AX$9&lt;=EF$6),'Lease Cycles'!$C$9*'Lease Cycles'!$AY$9/12,IF(AND('Lease Cycles'!$AV$9&gt;=INDEX('Lease Cycles'!$BG$9:$BM$9,1,EF27),'Lease Cycles'!$AV$9&lt;=EF$6),'Lease Cycles'!$C$9*'Lease Cycles'!$AW$9/12,IF(AND('Lease Cycles'!$AT$9&gt;=INDEX('Lease Cycles'!$BG$9:$BM$9,1,EF27),'Lease Cycles'!$AT$9&lt;=EF$6),'Lease Cycles'!$C$9*'Lease Cycles'!$AU$9/12,'Lease Cycles'!$C$9*INDEX('Lease Cycles'!$CB$9:$CH$9,1,EF27)*(1+INDEX('Lease Cycles'!$CI$9:$CO$9,1,EF27))^INT(INT(EF28/12)/INDEX('Lease Cycles'!$CP$9:$CV$9,1,EF27))/12)))),'Lease Cycles'!$C$9*INDEX('Lease Cycles'!$CB$9:$CH$9,1,EF27)*(1+INDEX('Lease Cycles'!$CI$9:$CO$9,1,EF27))^INT(INT(EF28/12)/INDEX('Lease Cycles'!$CP$9:$CV$9,1,EF27))/12))),IF('Lease Cycles'!$N$9=1,'Lease Cycles'!$C$9*'Lease Cycles'!$E$9*INDEX('Lease Cycles'!$HE$9:$HK$9,1,EF27)*(1+INDEX('Lease Cycles'!$GQ$9:$GW$9,1,EF27))^INT(INT((EF$6-INDEX('Lease Cycles'!$GJ$9:$GP$9,1,EF27))/12)/INDEX('Lease Cycles'!$GX$9:$HD$9,1,EF27))/12,0)))</f>
        <v>15237.91672525731</v>
      </c>
      <c r="EG30" s="28">
        <f>IF(EG27=0,IF('Lease Cycles'!$F$9&gt;0,'Lease Cycles'!$C$9*'Lease Cycles'!$E$9/12,0),IF(EG29=1,IF('Lease Cycles'!$AT$9&gt;=9999,'Lease Cycles'!$C$9*INDEX('Lease Cycles'!$CB$9:$CH$9,1,EG27)*(1+INDEX('Lease Cycles'!$CI$9:$CO$9,1,EG27))^INT(INT(EG28/12)/INDEX('Lease Cycles'!$CP$9:$CV$9,1,EG27))/12,IF(EG27=1,IF(EG28&gt;=INDEX('Lease Cycles'!$DK$9:$DQ$9,1,EG27),IF(EG$6&gt;='Lease Cycles'!$AZ$9,'Lease Cycles'!$C$9*'Lease Cycles'!$BA$9/12,IF(EG$6&gt;='Lease Cycles'!$AX$9,'Lease Cycles'!$C$9*'Lease Cycles'!$AY$9/12,IF(EG$6&gt;='Lease Cycles'!$AV$9,'Lease Cycles'!$C$9*'Lease Cycles'!$AW$9/12,IF(EG$6&gt;='Lease Cycles'!$AT$9,'Lease Cycles'!$C$9*'Lease Cycles'!$AU$9/12,'Lease Cycles'!$C$9*INDEX('Lease Cycles'!$CB$9:$CH$9,1,EG27)*(1+INDEX('Lease Cycles'!$CI$9:$CO$9,1,EG27))^INT(INT(EG28/12)/INDEX('Lease Cycles'!$CP$9:$CV$9,1,EG27))/12)))),'Lease Cycles'!$C$9*INDEX('Lease Cycles'!$CB$9:$CH$9,1,EG27)*(1+INDEX('Lease Cycles'!$CI$9:$CO$9,1,EG27))^INT(INT(EG28/12)/INDEX('Lease Cycles'!$CP$9:$CV$9,1,EG27))/12),IF(INDEX('Lease Cycles'!$EF$9:$EL$9,1,EG27)=1,IF(AND('Lease Cycles'!$AZ$9&gt;=INDEX('Lease Cycles'!$BG$9:$BM$9,1,EG27),'Lease Cycles'!$AZ$9&lt;=EG$6),'Lease Cycles'!$C$9*'Lease Cycles'!$BA$9/12,IF(AND('Lease Cycles'!$AX$9&gt;=INDEX('Lease Cycles'!$BG$9:$BM$9,1,EG27),'Lease Cycles'!$AX$9&lt;=EG$6),'Lease Cycles'!$C$9*'Lease Cycles'!$AY$9/12,IF(AND('Lease Cycles'!$AV$9&gt;=INDEX('Lease Cycles'!$BG$9:$BM$9,1,EG27),'Lease Cycles'!$AV$9&lt;=EG$6),'Lease Cycles'!$C$9*'Lease Cycles'!$AW$9/12,IF(AND('Lease Cycles'!$AT$9&gt;=INDEX('Lease Cycles'!$BG$9:$BM$9,1,EG27),'Lease Cycles'!$AT$9&lt;=EG$6),'Lease Cycles'!$C$9*'Lease Cycles'!$AU$9/12,'Lease Cycles'!$C$9*INDEX('Lease Cycles'!$CB$9:$CH$9,1,EG27)*(1+INDEX('Lease Cycles'!$CI$9:$CO$9,1,EG27))^INT(INT(EG28/12)/INDEX('Lease Cycles'!$CP$9:$CV$9,1,EG27))/12)))),'Lease Cycles'!$C$9*INDEX('Lease Cycles'!$CB$9:$CH$9,1,EG27)*(1+INDEX('Lease Cycles'!$CI$9:$CO$9,1,EG27))^INT(INT(EG28/12)/INDEX('Lease Cycles'!$CP$9:$CV$9,1,EG27))/12))),IF('Lease Cycles'!$N$9=1,'Lease Cycles'!$C$9*'Lease Cycles'!$E$9*INDEX('Lease Cycles'!$HE$9:$HK$9,1,EG27)*(1+INDEX('Lease Cycles'!$GQ$9:$GW$9,1,EG27))^INT(INT((EG$6-INDEX('Lease Cycles'!$GJ$9:$GP$9,1,EG27))/12)/INDEX('Lease Cycles'!$GX$9:$HD$9,1,EG27))/12,0)))</f>
        <v>15237.91672525731</v>
      </c>
      <c r="EH30" s="28">
        <f>IF(EH27=0,IF('Lease Cycles'!$F$9&gt;0,'Lease Cycles'!$C$9*'Lease Cycles'!$E$9/12,0),IF(EH29=1,IF('Lease Cycles'!$AT$9&gt;=9999,'Lease Cycles'!$C$9*INDEX('Lease Cycles'!$CB$9:$CH$9,1,EH27)*(1+INDEX('Lease Cycles'!$CI$9:$CO$9,1,EH27))^INT(INT(EH28/12)/INDEX('Lease Cycles'!$CP$9:$CV$9,1,EH27))/12,IF(EH27=1,IF(EH28&gt;=INDEX('Lease Cycles'!$DK$9:$DQ$9,1,EH27),IF(EH$6&gt;='Lease Cycles'!$AZ$9,'Lease Cycles'!$C$9*'Lease Cycles'!$BA$9/12,IF(EH$6&gt;='Lease Cycles'!$AX$9,'Lease Cycles'!$C$9*'Lease Cycles'!$AY$9/12,IF(EH$6&gt;='Lease Cycles'!$AV$9,'Lease Cycles'!$C$9*'Lease Cycles'!$AW$9/12,IF(EH$6&gt;='Lease Cycles'!$AT$9,'Lease Cycles'!$C$9*'Lease Cycles'!$AU$9/12,'Lease Cycles'!$C$9*INDEX('Lease Cycles'!$CB$9:$CH$9,1,EH27)*(1+INDEX('Lease Cycles'!$CI$9:$CO$9,1,EH27))^INT(INT(EH28/12)/INDEX('Lease Cycles'!$CP$9:$CV$9,1,EH27))/12)))),'Lease Cycles'!$C$9*INDEX('Lease Cycles'!$CB$9:$CH$9,1,EH27)*(1+INDEX('Lease Cycles'!$CI$9:$CO$9,1,EH27))^INT(INT(EH28/12)/INDEX('Lease Cycles'!$CP$9:$CV$9,1,EH27))/12),IF(INDEX('Lease Cycles'!$EF$9:$EL$9,1,EH27)=1,IF(AND('Lease Cycles'!$AZ$9&gt;=INDEX('Lease Cycles'!$BG$9:$BM$9,1,EH27),'Lease Cycles'!$AZ$9&lt;=EH$6),'Lease Cycles'!$C$9*'Lease Cycles'!$BA$9/12,IF(AND('Lease Cycles'!$AX$9&gt;=INDEX('Lease Cycles'!$BG$9:$BM$9,1,EH27),'Lease Cycles'!$AX$9&lt;=EH$6),'Lease Cycles'!$C$9*'Lease Cycles'!$AY$9/12,IF(AND('Lease Cycles'!$AV$9&gt;=INDEX('Lease Cycles'!$BG$9:$BM$9,1,EH27),'Lease Cycles'!$AV$9&lt;=EH$6),'Lease Cycles'!$C$9*'Lease Cycles'!$AW$9/12,IF(AND('Lease Cycles'!$AT$9&gt;=INDEX('Lease Cycles'!$BG$9:$BM$9,1,EH27),'Lease Cycles'!$AT$9&lt;=EH$6),'Lease Cycles'!$C$9*'Lease Cycles'!$AU$9/12,'Lease Cycles'!$C$9*INDEX('Lease Cycles'!$CB$9:$CH$9,1,EH27)*(1+INDEX('Lease Cycles'!$CI$9:$CO$9,1,EH27))^INT(INT(EH28/12)/INDEX('Lease Cycles'!$CP$9:$CV$9,1,EH27))/12)))),'Lease Cycles'!$C$9*INDEX('Lease Cycles'!$CB$9:$CH$9,1,EH27)*(1+INDEX('Lease Cycles'!$CI$9:$CO$9,1,EH27))^INT(INT(EH28/12)/INDEX('Lease Cycles'!$CP$9:$CV$9,1,EH27))/12))),IF('Lease Cycles'!$N$9=1,'Lease Cycles'!$C$9*'Lease Cycles'!$E$9*INDEX('Lease Cycles'!$HE$9:$HK$9,1,EH27)*(1+INDEX('Lease Cycles'!$GQ$9:$GW$9,1,EH27))^INT(INT((EH$6-INDEX('Lease Cycles'!$GJ$9:$GP$9,1,EH27))/12)/INDEX('Lease Cycles'!$GX$9:$HD$9,1,EH27))/12,0)))</f>
        <v>15237.91672525731</v>
      </c>
      <c r="EI30" s="28">
        <f>IF(EI27=0,IF('Lease Cycles'!$F$9&gt;0,'Lease Cycles'!$C$9*'Lease Cycles'!$E$9/12,0),IF(EI29=1,IF('Lease Cycles'!$AT$9&gt;=9999,'Lease Cycles'!$C$9*INDEX('Lease Cycles'!$CB$9:$CH$9,1,EI27)*(1+INDEX('Lease Cycles'!$CI$9:$CO$9,1,EI27))^INT(INT(EI28/12)/INDEX('Lease Cycles'!$CP$9:$CV$9,1,EI27))/12,IF(EI27=1,IF(EI28&gt;=INDEX('Lease Cycles'!$DK$9:$DQ$9,1,EI27),IF(EI$6&gt;='Lease Cycles'!$AZ$9,'Lease Cycles'!$C$9*'Lease Cycles'!$BA$9/12,IF(EI$6&gt;='Lease Cycles'!$AX$9,'Lease Cycles'!$C$9*'Lease Cycles'!$AY$9/12,IF(EI$6&gt;='Lease Cycles'!$AV$9,'Lease Cycles'!$C$9*'Lease Cycles'!$AW$9/12,IF(EI$6&gt;='Lease Cycles'!$AT$9,'Lease Cycles'!$C$9*'Lease Cycles'!$AU$9/12,'Lease Cycles'!$C$9*INDEX('Lease Cycles'!$CB$9:$CH$9,1,EI27)*(1+INDEX('Lease Cycles'!$CI$9:$CO$9,1,EI27))^INT(INT(EI28/12)/INDEX('Lease Cycles'!$CP$9:$CV$9,1,EI27))/12)))),'Lease Cycles'!$C$9*INDEX('Lease Cycles'!$CB$9:$CH$9,1,EI27)*(1+INDEX('Lease Cycles'!$CI$9:$CO$9,1,EI27))^INT(INT(EI28/12)/INDEX('Lease Cycles'!$CP$9:$CV$9,1,EI27))/12),IF(INDEX('Lease Cycles'!$EF$9:$EL$9,1,EI27)=1,IF(AND('Lease Cycles'!$AZ$9&gt;=INDEX('Lease Cycles'!$BG$9:$BM$9,1,EI27),'Lease Cycles'!$AZ$9&lt;=EI$6),'Lease Cycles'!$C$9*'Lease Cycles'!$BA$9/12,IF(AND('Lease Cycles'!$AX$9&gt;=INDEX('Lease Cycles'!$BG$9:$BM$9,1,EI27),'Lease Cycles'!$AX$9&lt;=EI$6),'Lease Cycles'!$C$9*'Lease Cycles'!$AY$9/12,IF(AND('Lease Cycles'!$AV$9&gt;=INDEX('Lease Cycles'!$BG$9:$BM$9,1,EI27),'Lease Cycles'!$AV$9&lt;=EI$6),'Lease Cycles'!$C$9*'Lease Cycles'!$AW$9/12,IF(AND('Lease Cycles'!$AT$9&gt;=INDEX('Lease Cycles'!$BG$9:$BM$9,1,EI27),'Lease Cycles'!$AT$9&lt;=EI$6),'Lease Cycles'!$C$9*'Lease Cycles'!$AU$9/12,'Lease Cycles'!$C$9*INDEX('Lease Cycles'!$CB$9:$CH$9,1,EI27)*(1+INDEX('Lease Cycles'!$CI$9:$CO$9,1,EI27))^INT(INT(EI28/12)/INDEX('Lease Cycles'!$CP$9:$CV$9,1,EI27))/12)))),'Lease Cycles'!$C$9*INDEX('Lease Cycles'!$CB$9:$CH$9,1,EI27)*(1+INDEX('Lease Cycles'!$CI$9:$CO$9,1,EI27))^INT(INT(EI28/12)/INDEX('Lease Cycles'!$CP$9:$CV$9,1,EI27))/12))),IF('Lease Cycles'!$N$9=1,'Lease Cycles'!$C$9*'Lease Cycles'!$E$9*INDEX('Lease Cycles'!$HE$9:$HK$9,1,EI27)*(1+INDEX('Lease Cycles'!$GQ$9:$GW$9,1,EI27))^INT(INT((EI$6-INDEX('Lease Cycles'!$GJ$9:$GP$9,1,EI27))/12)/INDEX('Lease Cycles'!$GX$9:$HD$9,1,EI27))/12,0)))</f>
        <v>15237.91672525731</v>
      </c>
      <c r="EJ30" s="28">
        <f>IF(EJ27=0,IF('Lease Cycles'!$F$9&gt;0,'Lease Cycles'!$C$9*'Lease Cycles'!$E$9/12,0),IF(EJ29=1,IF('Lease Cycles'!$AT$9&gt;=9999,'Lease Cycles'!$C$9*INDEX('Lease Cycles'!$CB$9:$CH$9,1,EJ27)*(1+INDEX('Lease Cycles'!$CI$9:$CO$9,1,EJ27))^INT(INT(EJ28/12)/INDEX('Lease Cycles'!$CP$9:$CV$9,1,EJ27))/12,IF(EJ27=1,IF(EJ28&gt;=INDEX('Lease Cycles'!$DK$9:$DQ$9,1,EJ27),IF(EJ$6&gt;='Lease Cycles'!$AZ$9,'Lease Cycles'!$C$9*'Lease Cycles'!$BA$9/12,IF(EJ$6&gt;='Lease Cycles'!$AX$9,'Lease Cycles'!$C$9*'Lease Cycles'!$AY$9/12,IF(EJ$6&gt;='Lease Cycles'!$AV$9,'Lease Cycles'!$C$9*'Lease Cycles'!$AW$9/12,IF(EJ$6&gt;='Lease Cycles'!$AT$9,'Lease Cycles'!$C$9*'Lease Cycles'!$AU$9/12,'Lease Cycles'!$C$9*INDEX('Lease Cycles'!$CB$9:$CH$9,1,EJ27)*(1+INDEX('Lease Cycles'!$CI$9:$CO$9,1,EJ27))^INT(INT(EJ28/12)/INDEX('Lease Cycles'!$CP$9:$CV$9,1,EJ27))/12)))),'Lease Cycles'!$C$9*INDEX('Lease Cycles'!$CB$9:$CH$9,1,EJ27)*(1+INDEX('Lease Cycles'!$CI$9:$CO$9,1,EJ27))^INT(INT(EJ28/12)/INDEX('Lease Cycles'!$CP$9:$CV$9,1,EJ27))/12),IF(INDEX('Lease Cycles'!$EF$9:$EL$9,1,EJ27)=1,IF(AND('Lease Cycles'!$AZ$9&gt;=INDEX('Lease Cycles'!$BG$9:$BM$9,1,EJ27),'Lease Cycles'!$AZ$9&lt;=EJ$6),'Lease Cycles'!$C$9*'Lease Cycles'!$BA$9/12,IF(AND('Lease Cycles'!$AX$9&gt;=INDEX('Lease Cycles'!$BG$9:$BM$9,1,EJ27),'Lease Cycles'!$AX$9&lt;=EJ$6),'Lease Cycles'!$C$9*'Lease Cycles'!$AY$9/12,IF(AND('Lease Cycles'!$AV$9&gt;=INDEX('Lease Cycles'!$BG$9:$BM$9,1,EJ27),'Lease Cycles'!$AV$9&lt;=EJ$6),'Lease Cycles'!$C$9*'Lease Cycles'!$AW$9/12,IF(AND('Lease Cycles'!$AT$9&gt;=INDEX('Lease Cycles'!$BG$9:$BM$9,1,EJ27),'Lease Cycles'!$AT$9&lt;=EJ$6),'Lease Cycles'!$C$9*'Lease Cycles'!$AU$9/12,'Lease Cycles'!$C$9*INDEX('Lease Cycles'!$CB$9:$CH$9,1,EJ27)*(1+INDEX('Lease Cycles'!$CI$9:$CO$9,1,EJ27))^INT(INT(EJ28/12)/INDEX('Lease Cycles'!$CP$9:$CV$9,1,EJ27))/12)))),'Lease Cycles'!$C$9*INDEX('Lease Cycles'!$CB$9:$CH$9,1,EJ27)*(1+INDEX('Lease Cycles'!$CI$9:$CO$9,1,EJ27))^INT(INT(EJ28/12)/INDEX('Lease Cycles'!$CP$9:$CV$9,1,EJ27))/12))),IF('Lease Cycles'!$N$9=1,'Lease Cycles'!$C$9*'Lease Cycles'!$E$9*INDEX('Lease Cycles'!$HE$9:$HK$9,1,EJ27)*(1+INDEX('Lease Cycles'!$GQ$9:$GW$9,1,EJ27))^INT(INT((EJ$6-INDEX('Lease Cycles'!$GJ$9:$GP$9,1,EJ27))/12)/INDEX('Lease Cycles'!$GX$9:$HD$9,1,EJ27))/12,0)))</f>
        <v>15237.91672525731</v>
      </c>
      <c r="EK30" s="28">
        <f>IF(EK27=0,IF('Lease Cycles'!$F$9&gt;0,'Lease Cycles'!$C$9*'Lease Cycles'!$E$9/12,0),IF(EK29=1,IF('Lease Cycles'!$AT$9&gt;=9999,'Lease Cycles'!$C$9*INDEX('Lease Cycles'!$CB$9:$CH$9,1,EK27)*(1+INDEX('Lease Cycles'!$CI$9:$CO$9,1,EK27))^INT(INT(EK28/12)/INDEX('Lease Cycles'!$CP$9:$CV$9,1,EK27))/12,IF(EK27=1,IF(EK28&gt;=INDEX('Lease Cycles'!$DK$9:$DQ$9,1,EK27),IF(EK$6&gt;='Lease Cycles'!$AZ$9,'Lease Cycles'!$C$9*'Lease Cycles'!$BA$9/12,IF(EK$6&gt;='Lease Cycles'!$AX$9,'Lease Cycles'!$C$9*'Lease Cycles'!$AY$9/12,IF(EK$6&gt;='Lease Cycles'!$AV$9,'Lease Cycles'!$C$9*'Lease Cycles'!$AW$9/12,IF(EK$6&gt;='Lease Cycles'!$AT$9,'Lease Cycles'!$C$9*'Lease Cycles'!$AU$9/12,'Lease Cycles'!$C$9*INDEX('Lease Cycles'!$CB$9:$CH$9,1,EK27)*(1+INDEX('Lease Cycles'!$CI$9:$CO$9,1,EK27))^INT(INT(EK28/12)/INDEX('Lease Cycles'!$CP$9:$CV$9,1,EK27))/12)))),'Lease Cycles'!$C$9*INDEX('Lease Cycles'!$CB$9:$CH$9,1,EK27)*(1+INDEX('Lease Cycles'!$CI$9:$CO$9,1,EK27))^INT(INT(EK28/12)/INDEX('Lease Cycles'!$CP$9:$CV$9,1,EK27))/12),IF(INDEX('Lease Cycles'!$EF$9:$EL$9,1,EK27)=1,IF(AND('Lease Cycles'!$AZ$9&gt;=INDEX('Lease Cycles'!$BG$9:$BM$9,1,EK27),'Lease Cycles'!$AZ$9&lt;=EK$6),'Lease Cycles'!$C$9*'Lease Cycles'!$BA$9/12,IF(AND('Lease Cycles'!$AX$9&gt;=INDEX('Lease Cycles'!$BG$9:$BM$9,1,EK27),'Lease Cycles'!$AX$9&lt;=EK$6),'Lease Cycles'!$C$9*'Lease Cycles'!$AY$9/12,IF(AND('Lease Cycles'!$AV$9&gt;=INDEX('Lease Cycles'!$BG$9:$BM$9,1,EK27),'Lease Cycles'!$AV$9&lt;=EK$6),'Lease Cycles'!$C$9*'Lease Cycles'!$AW$9/12,IF(AND('Lease Cycles'!$AT$9&gt;=INDEX('Lease Cycles'!$BG$9:$BM$9,1,EK27),'Lease Cycles'!$AT$9&lt;=EK$6),'Lease Cycles'!$C$9*'Lease Cycles'!$AU$9/12,'Lease Cycles'!$C$9*INDEX('Lease Cycles'!$CB$9:$CH$9,1,EK27)*(1+INDEX('Lease Cycles'!$CI$9:$CO$9,1,EK27))^INT(INT(EK28/12)/INDEX('Lease Cycles'!$CP$9:$CV$9,1,EK27))/12)))),'Lease Cycles'!$C$9*INDEX('Lease Cycles'!$CB$9:$CH$9,1,EK27)*(1+INDEX('Lease Cycles'!$CI$9:$CO$9,1,EK27))^INT(INT(EK28/12)/INDEX('Lease Cycles'!$CP$9:$CV$9,1,EK27))/12))),IF('Lease Cycles'!$N$9=1,'Lease Cycles'!$C$9*'Lease Cycles'!$E$9*INDEX('Lease Cycles'!$HE$9:$HK$9,1,EK27)*(1+INDEX('Lease Cycles'!$GQ$9:$GW$9,1,EK27))^INT(INT((EK$6-INDEX('Lease Cycles'!$GJ$9:$GP$9,1,EK27))/12)/INDEX('Lease Cycles'!$GX$9:$HD$9,1,EK27))/12,0)))</f>
        <v>15237.91672525731</v>
      </c>
      <c r="EL30" s="28">
        <f>IF(EL27=0,IF('Lease Cycles'!$F$9&gt;0,'Lease Cycles'!$C$9*'Lease Cycles'!$E$9/12,0),IF(EL29=1,IF('Lease Cycles'!$AT$9&gt;=9999,'Lease Cycles'!$C$9*INDEX('Lease Cycles'!$CB$9:$CH$9,1,EL27)*(1+INDEX('Lease Cycles'!$CI$9:$CO$9,1,EL27))^INT(INT(EL28/12)/INDEX('Lease Cycles'!$CP$9:$CV$9,1,EL27))/12,IF(EL27=1,IF(EL28&gt;=INDEX('Lease Cycles'!$DK$9:$DQ$9,1,EL27),IF(EL$6&gt;='Lease Cycles'!$AZ$9,'Lease Cycles'!$C$9*'Lease Cycles'!$BA$9/12,IF(EL$6&gt;='Lease Cycles'!$AX$9,'Lease Cycles'!$C$9*'Lease Cycles'!$AY$9/12,IF(EL$6&gt;='Lease Cycles'!$AV$9,'Lease Cycles'!$C$9*'Lease Cycles'!$AW$9/12,IF(EL$6&gt;='Lease Cycles'!$AT$9,'Lease Cycles'!$C$9*'Lease Cycles'!$AU$9/12,'Lease Cycles'!$C$9*INDEX('Lease Cycles'!$CB$9:$CH$9,1,EL27)*(1+INDEX('Lease Cycles'!$CI$9:$CO$9,1,EL27))^INT(INT(EL28/12)/INDEX('Lease Cycles'!$CP$9:$CV$9,1,EL27))/12)))),'Lease Cycles'!$C$9*INDEX('Lease Cycles'!$CB$9:$CH$9,1,EL27)*(1+INDEX('Lease Cycles'!$CI$9:$CO$9,1,EL27))^INT(INT(EL28/12)/INDEX('Lease Cycles'!$CP$9:$CV$9,1,EL27))/12),IF(INDEX('Lease Cycles'!$EF$9:$EL$9,1,EL27)=1,IF(AND('Lease Cycles'!$AZ$9&gt;=INDEX('Lease Cycles'!$BG$9:$BM$9,1,EL27),'Lease Cycles'!$AZ$9&lt;=EL$6),'Lease Cycles'!$C$9*'Lease Cycles'!$BA$9/12,IF(AND('Lease Cycles'!$AX$9&gt;=INDEX('Lease Cycles'!$BG$9:$BM$9,1,EL27),'Lease Cycles'!$AX$9&lt;=EL$6),'Lease Cycles'!$C$9*'Lease Cycles'!$AY$9/12,IF(AND('Lease Cycles'!$AV$9&gt;=INDEX('Lease Cycles'!$BG$9:$BM$9,1,EL27),'Lease Cycles'!$AV$9&lt;=EL$6),'Lease Cycles'!$C$9*'Lease Cycles'!$AW$9/12,IF(AND('Lease Cycles'!$AT$9&gt;=INDEX('Lease Cycles'!$BG$9:$BM$9,1,EL27),'Lease Cycles'!$AT$9&lt;=EL$6),'Lease Cycles'!$C$9*'Lease Cycles'!$AU$9/12,'Lease Cycles'!$C$9*INDEX('Lease Cycles'!$CB$9:$CH$9,1,EL27)*(1+INDEX('Lease Cycles'!$CI$9:$CO$9,1,EL27))^INT(INT(EL28/12)/INDEX('Lease Cycles'!$CP$9:$CV$9,1,EL27))/12)))),'Lease Cycles'!$C$9*INDEX('Lease Cycles'!$CB$9:$CH$9,1,EL27)*(1+INDEX('Lease Cycles'!$CI$9:$CO$9,1,EL27))^INT(INT(EL28/12)/INDEX('Lease Cycles'!$CP$9:$CV$9,1,EL27))/12))),IF('Lease Cycles'!$N$9=1,'Lease Cycles'!$C$9*'Lease Cycles'!$E$9*INDEX('Lease Cycles'!$HE$9:$HK$9,1,EL27)*(1+INDEX('Lease Cycles'!$GQ$9:$GW$9,1,EL27))^INT(INT((EL$6-INDEX('Lease Cycles'!$GJ$9:$GP$9,1,EL27))/12)/INDEX('Lease Cycles'!$GX$9:$HD$9,1,EL27))/12,0)))</f>
        <v>15237.91672525731</v>
      </c>
      <c r="EM30" s="28">
        <f>IF(EM27=0,IF('Lease Cycles'!$F$9&gt;0,'Lease Cycles'!$C$9*'Lease Cycles'!$E$9/12,0),IF(EM29=1,IF('Lease Cycles'!$AT$9&gt;=9999,'Lease Cycles'!$C$9*INDEX('Lease Cycles'!$CB$9:$CH$9,1,EM27)*(1+INDEX('Lease Cycles'!$CI$9:$CO$9,1,EM27))^INT(INT(EM28/12)/INDEX('Lease Cycles'!$CP$9:$CV$9,1,EM27))/12,IF(EM27=1,IF(EM28&gt;=INDEX('Lease Cycles'!$DK$9:$DQ$9,1,EM27),IF(EM$6&gt;='Lease Cycles'!$AZ$9,'Lease Cycles'!$C$9*'Lease Cycles'!$BA$9/12,IF(EM$6&gt;='Lease Cycles'!$AX$9,'Lease Cycles'!$C$9*'Lease Cycles'!$AY$9/12,IF(EM$6&gt;='Lease Cycles'!$AV$9,'Lease Cycles'!$C$9*'Lease Cycles'!$AW$9/12,IF(EM$6&gt;='Lease Cycles'!$AT$9,'Lease Cycles'!$C$9*'Lease Cycles'!$AU$9/12,'Lease Cycles'!$C$9*INDEX('Lease Cycles'!$CB$9:$CH$9,1,EM27)*(1+INDEX('Lease Cycles'!$CI$9:$CO$9,1,EM27))^INT(INT(EM28/12)/INDEX('Lease Cycles'!$CP$9:$CV$9,1,EM27))/12)))),'Lease Cycles'!$C$9*INDEX('Lease Cycles'!$CB$9:$CH$9,1,EM27)*(1+INDEX('Lease Cycles'!$CI$9:$CO$9,1,EM27))^INT(INT(EM28/12)/INDEX('Lease Cycles'!$CP$9:$CV$9,1,EM27))/12),IF(INDEX('Lease Cycles'!$EF$9:$EL$9,1,EM27)=1,IF(AND('Lease Cycles'!$AZ$9&gt;=INDEX('Lease Cycles'!$BG$9:$BM$9,1,EM27),'Lease Cycles'!$AZ$9&lt;=EM$6),'Lease Cycles'!$C$9*'Lease Cycles'!$BA$9/12,IF(AND('Lease Cycles'!$AX$9&gt;=INDEX('Lease Cycles'!$BG$9:$BM$9,1,EM27),'Lease Cycles'!$AX$9&lt;=EM$6),'Lease Cycles'!$C$9*'Lease Cycles'!$AY$9/12,IF(AND('Lease Cycles'!$AV$9&gt;=INDEX('Lease Cycles'!$BG$9:$BM$9,1,EM27),'Lease Cycles'!$AV$9&lt;=EM$6),'Lease Cycles'!$C$9*'Lease Cycles'!$AW$9/12,IF(AND('Lease Cycles'!$AT$9&gt;=INDEX('Lease Cycles'!$BG$9:$BM$9,1,EM27),'Lease Cycles'!$AT$9&lt;=EM$6),'Lease Cycles'!$C$9*'Lease Cycles'!$AU$9/12,'Lease Cycles'!$C$9*INDEX('Lease Cycles'!$CB$9:$CH$9,1,EM27)*(1+INDEX('Lease Cycles'!$CI$9:$CO$9,1,EM27))^INT(INT(EM28/12)/INDEX('Lease Cycles'!$CP$9:$CV$9,1,EM27))/12)))),'Lease Cycles'!$C$9*INDEX('Lease Cycles'!$CB$9:$CH$9,1,EM27)*(1+INDEX('Lease Cycles'!$CI$9:$CO$9,1,EM27))^INT(INT(EM28/12)/INDEX('Lease Cycles'!$CP$9:$CV$9,1,EM27))/12))),IF('Lease Cycles'!$N$9=1,'Lease Cycles'!$C$9*'Lease Cycles'!$E$9*INDEX('Lease Cycles'!$HE$9:$HK$9,1,EM27)*(1+INDEX('Lease Cycles'!$GQ$9:$GW$9,1,EM27))^INT(INT((EM$6-INDEX('Lease Cycles'!$GJ$9:$GP$9,1,EM27))/12)/INDEX('Lease Cycles'!$GX$9:$HD$9,1,EM27))/12,0)))</f>
        <v>15237.91672525731</v>
      </c>
      <c r="EN30" s="28">
        <f>IF(EN27=0,IF('Lease Cycles'!$F$9&gt;0,'Lease Cycles'!$C$9*'Lease Cycles'!$E$9/12,0),IF(EN29=1,IF('Lease Cycles'!$AT$9&gt;=9999,'Lease Cycles'!$C$9*INDEX('Lease Cycles'!$CB$9:$CH$9,1,EN27)*(1+INDEX('Lease Cycles'!$CI$9:$CO$9,1,EN27))^INT(INT(EN28/12)/INDEX('Lease Cycles'!$CP$9:$CV$9,1,EN27))/12,IF(EN27=1,IF(EN28&gt;=INDEX('Lease Cycles'!$DK$9:$DQ$9,1,EN27),IF(EN$6&gt;='Lease Cycles'!$AZ$9,'Lease Cycles'!$C$9*'Lease Cycles'!$BA$9/12,IF(EN$6&gt;='Lease Cycles'!$AX$9,'Lease Cycles'!$C$9*'Lease Cycles'!$AY$9/12,IF(EN$6&gt;='Lease Cycles'!$AV$9,'Lease Cycles'!$C$9*'Lease Cycles'!$AW$9/12,IF(EN$6&gt;='Lease Cycles'!$AT$9,'Lease Cycles'!$C$9*'Lease Cycles'!$AU$9/12,'Lease Cycles'!$C$9*INDEX('Lease Cycles'!$CB$9:$CH$9,1,EN27)*(1+INDEX('Lease Cycles'!$CI$9:$CO$9,1,EN27))^INT(INT(EN28/12)/INDEX('Lease Cycles'!$CP$9:$CV$9,1,EN27))/12)))),'Lease Cycles'!$C$9*INDEX('Lease Cycles'!$CB$9:$CH$9,1,EN27)*(1+INDEX('Lease Cycles'!$CI$9:$CO$9,1,EN27))^INT(INT(EN28/12)/INDEX('Lease Cycles'!$CP$9:$CV$9,1,EN27))/12),IF(INDEX('Lease Cycles'!$EF$9:$EL$9,1,EN27)=1,IF(AND('Lease Cycles'!$AZ$9&gt;=INDEX('Lease Cycles'!$BG$9:$BM$9,1,EN27),'Lease Cycles'!$AZ$9&lt;=EN$6),'Lease Cycles'!$C$9*'Lease Cycles'!$BA$9/12,IF(AND('Lease Cycles'!$AX$9&gt;=INDEX('Lease Cycles'!$BG$9:$BM$9,1,EN27),'Lease Cycles'!$AX$9&lt;=EN$6),'Lease Cycles'!$C$9*'Lease Cycles'!$AY$9/12,IF(AND('Lease Cycles'!$AV$9&gt;=INDEX('Lease Cycles'!$BG$9:$BM$9,1,EN27),'Lease Cycles'!$AV$9&lt;=EN$6),'Lease Cycles'!$C$9*'Lease Cycles'!$AW$9/12,IF(AND('Lease Cycles'!$AT$9&gt;=INDEX('Lease Cycles'!$BG$9:$BM$9,1,EN27),'Lease Cycles'!$AT$9&lt;=EN$6),'Lease Cycles'!$C$9*'Lease Cycles'!$AU$9/12,'Lease Cycles'!$C$9*INDEX('Lease Cycles'!$CB$9:$CH$9,1,EN27)*(1+INDEX('Lease Cycles'!$CI$9:$CO$9,1,EN27))^INT(INT(EN28/12)/INDEX('Lease Cycles'!$CP$9:$CV$9,1,EN27))/12)))),'Lease Cycles'!$C$9*INDEX('Lease Cycles'!$CB$9:$CH$9,1,EN27)*(1+INDEX('Lease Cycles'!$CI$9:$CO$9,1,EN27))^INT(INT(EN28/12)/INDEX('Lease Cycles'!$CP$9:$CV$9,1,EN27))/12))),IF('Lease Cycles'!$N$9=1,'Lease Cycles'!$C$9*'Lease Cycles'!$E$9*INDEX('Lease Cycles'!$HE$9:$HK$9,1,EN27)*(1+INDEX('Lease Cycles'!$GQ$9:$GW$9,1,EN27))^INT(INT((EN$6-INDEX('Lease Cycles'!$GJ$9:$GP$9,1,EN27))/12)/INDEX('Lease Cycles'!$GX$9:$HD$9,1,EN27))/12,0)))</f>
        <v>15237.91672525731</v>
      </c>
      <c r="EO30" s="28">
        <f>IF(EO27=0,IF('Lease Cycles'!$F$9&gt;0,'Lease Cycles'!$C$9*'Lease Cycles'!$E$9/12,0),IF(EO29=1,IF('Lease Cycles'!$AT$9&gt;=9999,'Lease Cycles'!$C$9*INDEX('Lease Cycles'!$CB$9:$CH$9,1,EO27)*(1+INDEX('Lease Cycles'!$CI$9:$CO$9,1,EO27))^INT(INT(EO28/12)/INDEX('Lease Cycles'!$CP$9:$CV$9,1,EO27))/12,IF(EO27=1,IF(EO28&gt;=INDEX('Lease Cycles'!$DK$9:$DQ$9,1,EO27),IF(EO$6&gt;='Lease Cycles'!$AZ$9,'Lease Cycles'!$C$9*'Lease Cycles'!$BA$9/12,IF(EO$6&gt;='Lease Cycles'!$AX$9,'Lease Cycles'!$C$9*'Lease Cycles'!$AY$9/12,IF(EO$6&gt;='Lease Cycles'!$AV$9,'Lease Cycles'!$C$9*'Lease Cycles'!$AW$9/12,IF(EO$6&gt;='Lease Cycles'!$AT$9,'Lease Cycles'!$C$9*'Lease Cycles'!$AU$9/12,'Lease Cycles'!$C$9*INDEX('Lease Cycles'!$CB$9:$CH$9,1,EO27)*(1+INDEX('Lease Cycles'!$CI$9:$CO$9,1,EO27))^INT(INT(EO28/12)/INDEX('Lease Cycles'!$CP$9:$CV$9,1,EO27))/12)))),'Lease Cycles'!$C$9*INDEX('Lease Cycles'!$CB$9:$CH$9,1,EO27)*(1+INDEX('Lease Cycles'!$CI$9:$CO$9,1,EO27))^INT(INT(EO28/12)/INDEX('Lease Cycles'!$CP$9:$CV$9,1,EO27))/12),IF(INDEX('Lease Cycles'!$EF$9:$EL$9,1,EO27)=1,IF(AND('Lease Cycles'!$AZ$9&gt;=INDEX('Lease Cycles'!$BG$9:$BM$9,1,EO27),'Lease Cycles'!$AZ$9&lt;=EO$6),'Lease Cycles'!$C$9*'Lease Cycles'!$BA$9/12,IF(AND('Lease Cycles'!$AX$9&gt;=INDEX('Lease Cycles'!$BG$9:$BM$9,1,EO27),'Lease Cycles'!$AX$9&lt;=EO$6),'Lease Cycles'!$C$9*'Lease Cycles'!$AY$9/12,IF(AND('Lease Cycles'!$AV$9&gt;=INDEX('Lease Cycles'!$BG$9:$BM$9,1,EO27),'Lease Cycles'!$AV$9&lt;=EO$6),'Lease Cycles'!$C$9*'Lease Cycles'!$AW$9/12,IF(AND('Lease Cycles'!$AT$9&gt;=INDEX('Lease Cycles'!$BG$9:$BM$9,1,EO27),'Lease Cycles'!$AT$9&lt;=EO$6),'Lease Cycles'!$C$9*'Lease Cycles'!$AU$9/12,'Lease Cycles'!$C$9*INDEX('Lease Cycles'!$CB$9:$CH$9,1,EO27)*(1+INDEX('Lease Cycles'!$CI$9:$CO$9,1,EO27))^INT(INT(EO28/12)/INDEX('Lease Cycles'!$CP$9:$CV$9,1,EO27))/12)))),'Lease Cycles'!$C$9*INDEX('Lease Cycles'!$CB$9:$CH$9,1,EO27)*(1+INDEX('Lease Cycles'!$CI$9:$CO$9,1,EO27))^INT(INT(EO28/12)/INDEX('Lease Cycles'!$CP$9:$CV$9,1,EO27))/12))),IF('Lease Cycles'!$N$9=1,'Lease Cycles'!$C$9*'Lease Cycles'!$E$9*INDEX('Lease Cycles'!$HE$9:$HK$9,1,EO27)*(1+INDEX('Lease Cycles'!$GQ$9:$GW$9,1,EO27))^INT(INT((EO$6-INDEX('Lease Cycles'!$GJ$9:$GP$9,1,EO27))/12)/INDEX('Lease Cycles'!$GX$9:$HD$9,1,EO27))/12,0)))</f>
        <v>15237.91672525731</v>
      </c>
      <c r="EP30" s="28">
        <f>IF(EP27=0,IF('Lease Cycles'!$F$9&gt;0,'Lease Cycles'!$C$9*'Lease Cycles'!$E$9/12,0),IF(EP29=1,IF('Lease Cycles'!$AT$9&gt;=9999,'Lease Cycles'!$C$9*INDEX('Lease Cycles'!$CB$9:$CH$9,1,EP27)*(1+INDEX('Lease Cycles'!$CI$9:$CO$9,1,EP27))^INT(INT(EP28/12)/INDEX('Lease Cycles'!$CP$9:$CV$9,1,EP27))/12,IF(EP27=1,IF(EP28&gt;=INDEX('Lease Cycles'!$DK$9:$DQ$9,1,EP27),IF(EP$6&gt;='Lease Cycles'!$AZ$9,'Lease Cycles'!$C$9*'Lease Cycles'!$BA$9/12,IF(EP$6&gt;='Lease Cycles'!$AX$9,'Lease Cycles'!$C$9*'Lease Cycles'!$AY$9/12,IF(EP$6&gt;='Lease Cycles'!$AV$9,'Lease Cycles'!$C$9*'Lease Cycles'!$AW$9/12,IF(EP$6&gt;='Lease Cycles'!$AT$9,'Lease Cycles'!$C$9*'Lease Cycles'!$AU$9/12,'Lease Cycles'!$C$9*INDEX('Lease Cycles'!$CB$9:$CH$9,1,EP27)*(1+INDEX('Lease Cycles'!$CI$9:$CO$9,1,EP27))^INT(INT(EP28/12)/INDEX('Lease Cycles'!$CP$9:$CV$9,1,EP27))/12)))),'Lease Cycles'!$C$9*INDEX('Lease Cycles'!$CB$9:$CH$9,1,EP27)*(1+INDEX('Lease Cycles'!$CI$9:$CO$9,1,EP27))^INT(INT(EP28/12)/INDEX('Lease Cycles'!$CP$9:$CV$9,1,EP27))/12),IF(INDEX('Lease Cycles'!$EF$9:$EL$9,1,EP27)=1,IF(AND('Lease Cycles'!$AZ$9&gt;=INDEX('Lease Cycles'!$BG$9:$BM$9,1,EP27),'Lease Cycles'!$AZ$9&lt;=EP$6),'Lease Cycles'!$C$9*'Lease Cycles'!$BA$9/12,IF(AND('Lease Cycles'!$AX$9&gt;=INDEX('Lease Cycles'!$BG$9:$BM$9,1,EP27),'Lease Cycles'!$AX$9&lt;=EP$6),'Lease Cycles'!$C$9*'Lease Cycles'!$AY$9/12,IF(AND('Lease Cycles'!$AV$9&gt;=INDEX('Lease Cycles'!$BG$9:$BM$9,1,EP27),'Lease Cycles'!$AV$9&lt;=EP$6),'Lease Cycles'!$C$9*'Lease Cycles'!$AW$9/12,IF(AND('Lease Cycles'!$AT$9&gt;=INDEX('Lease Cycles'!$BG$9:$BM$9,1,EP27),'Lease Cycles'!$AT$9&lt;=EP$6),'Lease Cycles'!$C$9*'Lease Cycles'!$AU$9/12,'Lease Cycles'!$C$9*INDEX('Lease Cycles'!$CB$9:$CH$9,1,EP27)*(1+INDEX('Lease Cycles'!$CI$9:$CO$9,1,EP27))^INT(INT(EP28/12)/INDEX('Lease Cycles'!$CP$9:$CV$9,1,EP27))/12)))),'Lease Cycles'!$C$9*INDEX('Lease Cycles'!$CB$9:$CH$9,1,EP27)*(1+INDEX('Lease Cycles'!$CI$9:$CO$9,1,EP27))^INT(INT(EP28/12)/INDEX('Lease Cycles'!$CP$9:$CV$9,1,EP27))/12))),IF('Lease Cycles'!$N$9=1,'Lease Cycles'!$C$9*'Lease Cycles'!$E$9*INDEX('Lease Cycles'!$HE$9:$HK$9,1,EP27)*(1+INDEX('Lease Cycles'!$GQ$9:$GW$9,1,EP27))^INT(INT((EP$6-INDEX('Lease Cycles'!$GJ$9:$GP$9,1,EP27))/12)/INDEX('Lease Cycles'!$GX$9:$HD$9,1,EP27))/12,0)))</f>
        <v>15237.91672525731</v>
      </c>
      <c r="EQ30" s="28">
        <f>IF(EQ27=0,IF('Lease Cycles'!$F$9&gt;0,'Lease Cycles'!$C$9*'Lease Cycles'!$E$9/12,0),IF(EQ29=1,IF('Lease Cycles'!$AT$9&gt;=9999,'Lease Cycles'!$C$9*INDEX('Lease Cycles'!$CB$9:$CH$9,1,EQ27)*(1+INDEX('Lease Cycles'!$CI$9:$CO$9,1,EQ27))^INT(INT(EQ28/12)/INDEX('Lease Cycles'!$CP$9:$CV$9,1,EQ27))/12,IF(EQ27=1,IF(EQ28&gt;=INDEX('Lease Cycles'!$DK$9:$DQ$9,1,EQ27),IF(EQ$6&gt;='Lease Cycles'!$AZ$9,'Lease Cycles'!$C$9*'Lease Cycles'!$BA$9/12,IF(EQ$6&gt;='Lease Cycles'!$AX$9,'Lease Cycles'!$C$9*'Lease Cycles'!$AY$9/12,IF(EQ$6&gt;='Lease Cycles'!$AV$9,'Lease Cycles'!$C$9*'Lease Cycles'!$AW$9/12,IF(EQ$6&gt;='Lease Cycles'!$AT$9,'Lease Cycles'!$C$9*'Lease Cycles'!$AU$9/12,'Lease Cycles'!$C$9*INDEX('Lease Cycles'!$CB$9:$CH$9,1,EQ27)*(1+INDEX('Lease Cycles'!$CI$9:$CO$9,1,EQ27))^INT(INT(EQ28/12)/INDEX('Lease Cycles'!$CP$9:$CV$9,1,EQ27))/12)))),'Lease Cycles'!$C$9*INDEX('Lease Cycles'!$CB$9:$CH$9,1,EQ27)*(1+INDEX('Lease Cycles'!$CI$9:$CO$9,1,EQ27))^INT(INT(EQ28/12)/INDEX('Lease Cycles'!$CP$9:$CV$9,1,EQ27))/12),IF(INDEX('Lease Cycles'!$EF$9:$EL$9,1,EQ27)=1,IF(AND('Lease Cycles'!$AZ$9&gt;=INDEX('Lease Cycles'!$BG$9:$BM$9,1,EQ27),'Lease Cycles'!$AZ$9&lt;=EQ$6),'Lease Cycles'!$C$9*'Lease Cycles'!$BA$9/12,IF(AND('Lease Cycles'!$AX$9&gt;=INDEX('Lease Cycles'!$BG$9:$BM$9,1,EQ27),'Lease Cycles'!$AX$9&lt;=EQ$6),'Lease Cycles'!$C$9*'Lease Cycles'!$AY$9/12,IF(AND('Lease Cycles'!$AV$9&gt;=INDEX('Lease Cycles'!$BG$9:$BM$9,1,EQ27),'Lease Cycles'!$AV$9&lt;=EQ$6),'Lease Cycles'!$C$9*'Lease Cycles'!$AW$9/12,IF(AND('Lease Cycles'!$AT$9&gt;=INDEX('Lease Cycles'!$BG$9:$BM$9,1,EQ27),'Lease Cycles'!$AT$9&lt;=EQ$6),'Lease Cycles'!$C$9*'Lease Cycles'!$AU$9/12,'Lease Cycles'!$C$9*INDEX('Lease Cycles'!$CB$9:$CH$9,1,EQ27)*(1+INDEX('Lease Cycles'!$CI$9:$CO$9,1,EQ27))^INT(INT(EQ28/12)/INDEX('Lease Cycles'!$CP$9:$CV$9,1,EQ27))/12)))),'Lease Cycles'!$C$9*INDEX('Lease Cycles'!$CB$9:$CH$9,1,EQ27)*(1+INDEX('Lease Cycles'!$CI$9:$CO$9,1,EQ27))^INT(INT(EQ28/12)/INDEX('Lease Cycles'!$CP$9:$CV$9,1,EQ27))/12))),IF('Lease Cycles'!$N$9=1,'Lease Cycles'!$C$9*'Lease Cycles'!$E$9*INDEX('Lease Cycles'!$HE$9:$HK$9,1,EQ27)*(1+INDEX('Lease Cycles'!$GQ$9:$GW$9,1,EQ27))^INT(INT((EQ$6-INDEX('Lease Cycles'!$GJ$9:$GP$9,1,EQ27))/12)/INDEX('Lease Cycles'!$GX$9:$HD$9,1,EQ27))/12,0)))</f>
        <v>15237.91672525731</v>
      </c>
      <c r="ER30" s="28">
        <f>IF(ER27=0,IF('Lease Cycles'!$F$9&gt;0,'Lease Cycles'!$C$9*'Lease Cycles'!$E$9/12,0),IF(ER29=1,IF('Lease Cycles'!$AT$9&gt;=9999,'Lease Cycles'!$C$9*INDEX('Lease Cycles'!$CB$9:$CH$9,1,ER27)*(1+INDEX('Lease Cycles'!$CI$9:$CO$9,1,ER27))^INT(INT(ER28/12)/INDEX('Lease Cycles'!$CP$9:$CV$9,1,ER27))/12,IF(ER27=1,IF(ER28&gt;=INDEX('Lease Cycles'!$DK$9:$DQ$9,1,ER27),IF(ER$6&gt;='Lease Cycles'!$AZ$9,'Lease Cycles'!$C$9*'Lease Cycles'!$BA$9/12,IF(ER$6&gt;='Lease Cycles'!$AX$9,'Lease Cycles'!$C$9*'Lease Cycles'!$AY$9/12,IF(ER$6&gt;='Lease Cycles'!$AV$9,'Lease Cycles'!$C$9*'Lease Cycles'!$AW$9/12,IF(ER$6&gt;='Lease Cycles'!$AT$9,'Lease Cycles'!$C$9*'Lease Cycles'!$AU$9/12,'Lease Cycles'!$C$9*INDEX('Lease Cycles'!$CB$9:$CH$9,1,ER27)*(1+INDEX('Lease Cycles'!$CI$9:$CO$9,1,ER27))^INT(INT(ER28/12)/INDEX('Lease Cycles'!$CP$9:$CV$9,1,ER27))/12)))),'Lease Cycles'!$C$9*INDEX('Lease Cycles'!$CB$9:$CH$9,1,ER27)*(1+INDEX('Lease Cycles'!$CI$9:$CO$9,1,ER27))^INT(INT(ER28/12)/INDEX('Lease Cycles'!$CP$9:$CV$9,1,ER27))/12),IF(INDEX('Lease Cycles'!$EF$9:$EL$9,1,ER27)=1,IF(AND('Lease Cycles'!$AZ$9&gt;=INDEX('Lease Cycles'!$BG$9:$BM$9,1,ER27),'Lease Cycles'!$AZ$9&lt;=ER$6),'Lease Cycles'!$C$9*'Lease Cycles'!$BA$9/12,IF(AND('Lease Cycles'!$AX$9&gt;=INDEX('Lease Cycles'!$BG$9:$BM$9,1,ER27),'Lease Cycles'!$AX$9&lt;=ER$6),'Lease Cycles'!$C$9*'Lease Cycles'!$AY$9/12,IF(AND('Lease Cycles'!$AV$9&gt;=INDEX('Lease Cycles'!$BG$9:$BM$9,1,ER27),'Lease Cycles'!$AV$9&lt;=ER$6),'Lease Cycles'!$C$9*'Lease Cycles'!$AW$9/12,IF(AND('Lease Cycles'!$AT$9&gt;=INDEX('Lease Cycles'!$BG$9:$BM$9,1,ER27),'Lease Cycles'!$AT$9&lt;=ER$6),'Lease Cycles'!$C$9*'Lease Cycles'!$AU$9/12,'Lease Cycles'!$C$9*INDEX('Lease Cycles'!$CB$9:$CH$9,1,ER27)*(1+INDEX('Lease Cycles'!$CI$9:$CO$9,1,ER27))^INT(INT(ER28/12)/INDEX('Lease Cycles'!$CP$9:$CV$9,1,ER27))/12)))),'Lease Cycles'!$C$9*INDEX('Lease Cycles'!$CB$9:$CH$9,1,ER27)*(1+INDEX('Lease Cycles'!$CI$9:$CO$9,1,ER27))^INT(INT(ER28/12)/INDEX('Lease Cycles'!$CP$9:$CV$9,1,ER27))/12))),IF('Lease Cycles'!$N$9=1,'Lease Cycles'!$C$9*'Lease Cycles'!$E$9*INDEX('Lease Cycles'!$HE$9:$HK$9,1,ER27)*(1+INDEX('Lease Cycles'!$GQ$9:$GW$9,1,ER27))^INT(INT((ER$6-INDEX('Lease Cycles'!$GJ$9:$GP$9,1,ER27))/12)/INDEX('Lease Cycles'!$GX$9:$HD$9,1,ER27))/12,0)))</f>
        <v>15237.91672525731</v>
      </c>
      <c r="ES30" s="28">
        <f>IF(ES27=0,IF('Lease Cycles'!$F$9&gt;0,'Lease Cycles'!$C$9*'Lease Cycles'!$E$9/12,0),IF(ES29=1,IF('Lease Cycles'!$AT$9&gt;=9999,'Lease Cycles'!$C$9*INDEX('Lease Cycles'!$CB$9:$CH$9,1,ES27)*(1+INDEX('Lease Cycles'!$CI$9:$CO$9,1,ES27))^INT(INT(ES28/12)/INDEX('Lease Cycles'!$CP$9:$CV$9,1,ES27))/12,IF(ES27=1,IF(ES28&gt;=INDEX('Lease Cycles'!$DK$9:$DQ$9,1,ES27),IF(ES$6&gt;='Lease Cycles'!$AZ$9,'Lease Cycles'!$C$9*'Lease Cycles'!$BA$9/12,IF(ES$6&gt;='Lease Cycles'!$AX$9,'Lease Cycles'!$C$9*'Lease Cycles'!$AY$9/12,IF(ES$6&gt;='Lease Cycles'!$AV$9,'Lease Cycles'!$C$9*'Lease Cycles'!$AW$9/12,IF(ES$6&gt;='Lease Cycles'!$AT$9,'Lease Cycles'!$C$9*'Lease Cycles'!$AU$9/12,'Lease Cycles'!$C$9*INDEX('Lease Cycles'!$CB$9:$CH$9,1,ES27)*(1+INDEX('Lease Cycles'!$CI$9:$CO$9,1,ES27))^INT(INT(ES28/12)/INDEX('Lease Cycles'!$CP$9:$CV$9,1,ES27))/12)))),'Lease Cycles'!$C$9*INDEX('Lease Cycles'!$CB$9:$CH$9,1,ES27)*(1+INDEX('Lease Cycles'!$CI$9:$CO$9,1,ES27))^INT(INT(ES28/12)/INDEX('Lease Cycles'!$CP$9:$CV$9,1,ES27))/12),IF(INDEX('Lease Cycles'!$EF$9:$EL$9,1,ES27)=1,IF(AND('Lease Cycles'!$AZ$9&gt;=INDEX('Lease Cycles'!$BG$9:$BM$9,1,ES27),'Lease Cycles'!$AZ$9&lt;=ES$6),'Lease Cycles'!$C$9*'Lease Cycles'!$BA$9/12,IF(AND('Lease Cycles'!$AX$9&gt;=INDEX('Lease Cycles'!$BG$9:$BM$9,1,ES27),'Lease Cycles'!$AX$9&lt;=ES$6),'Lease Cycles'!$C$9*'Lease Cycles'!$AY$9/12,IF(AND('Lease Cycles'!$AV$9&gt;=INDEX('Lease Cycles'!$BG$9:$BM$9,1,ES27),'Lease Cycles'!$AV$9&lt;=ES$6),'Lease Cycles'!$C$9*'Lease Cycles'!$AW$9/12,IF(AND('Lease Cycles'!$AT$9&gt;=INDEX('Lease Cycles'!$BG$9:$BM$9,1,ES27),'Lease Cycles'!$AT$9&lt;=ES$6),'Lease Cycles'!$C$9*'Lease Cycles'!$AU$9/12,'Lease Cycles'!$C$9*INDEX('Lease Cycles'!$CB$9:$CH$9,1,ES27)*(1+INDEX('Lease Cycles'!$CI$9:$CO$9,1,ES27))^INT(INT(ES28/12)/INDEX('Lease Cycles'!$CP$9:$CV$9,1,ES27))/12)))),'Lease Cycles'!$C$9*INDEX('Lease Cycles'!$CB$9:$CH$9,1,ES27)*(1+INDEX('Lease Cycles'!$CI$9:$CO$9,1,ES27))^INT(INT(ES28/12)/INDEX('Lease Cycles'!$CP$9:$CV$9,1,ES27))/12))),IF('Lease Cycles'!$N$9=1,'Lease Cycles'!$C$9*'Lease Cycles'!$E$9*INDEX('Lease Cycles'!$HE$9:$HK$9,1,ES27)*(1+INDEX('Lease Cycles'!$GQ$9:$GW$9,1,ES27))^INT(INT((ES$6-INDEX('Lease Cycles'!$GJ$9:$GP$9,1,ES27))/12)/INDEX('Lease Cycles'!$GX$9:$HD$9,1,ES27))/12,0)))</f>
        <v>15237.91672525731</v>
      </c>
      <c r="ET30" s="28">
        <f>IF(ET27=0,IF('Lease Cycles'!$F$9&gt;0,'Lease Cycles'!$C$9*'Lease Cycles'!$E$9/12,0),IF(ET29=1,IF('Lease Cycles'!$AT$9&gt;=9999,'Lease Cycles'!$C$9*INDEX('Lease Cycles'!$CB$9:$CH$9,1,ET27)*(1+INDEX('Lease Cycles'!$CI$9:$CO$9,1,ET27))^INT(INT(ET28/12)/INDEX('Lease Cycles'!$CP$9:$CV$9,1,ET27))/12,IF(ET27=1,IF(ET28&gt;=INDEX('Lease Cycles'!$DK$9:$DQ$9,1,ET27),IF(ET$6&gt;='Lease Cycles'!$AZ$9,'Lease Cycles'!$C$9*'Lease Cycles'!$BA$9/12,IF(ET$6&gt;='Lease Cycles'!$AX$9,'Lease Cycles'!$C$9*'Lease Cycles'!$AY$9/12,IF(ET$6&gt;='Lease Cycles'!$AV$9,'Lease Cycles'!$C$9*'Lease Cycles'!$AW$9/12,IF(ET$6&gt;='Lease Cycles'!$AT$9,'Lease Cycles'!$C$9*'Lease Cycles'!$AU$9/12,'Lease Cycles'!$C$9*INDEX('Lease Cycles'!$CB$9:$CH$9,1,ET27)*(1+INDEX('Lease Cycles'!$CI$9:$CO$9,1,ET27))^INT(INT(ET28/12)/INDEX('Lease Cycles'!$CP$9:$CV$9,1,ET27))/12)))),'Lease Cycles'!$C$9*INDEX('Lease Cycles'!$CB$9:$CH$9,1,ET27)*(1+INDEX('Lease Cycles'!$CI$9:$CO$9,1,ET27))^INT(INT(ET28/12)/INDEX('Lease Cycles'!$CP$9:$CV$9,1,ET27))/12),IF(INDEX('Lease Cycles'!$EF$9:$EL$9,1,ET27)=1,IF(AND('Lease Cycles'!$AZ$9&gt;=INDEX('Lease Cycles'!$BG$9:$BM$9,1,ET27),'Lease Cycles'!$AZ$9&lt;=ET$6),'Lease Cycles'!$C$9*'Lease Cycles'!$BA$9/12,IF(AND('Lease Cycles'!$AX$9&gt;=INDEX('Lease Cycles'!$BG$9:$BM$9,1,ET27),'Lease Cycles'!$AX$9&lt;=ET$6),'Lease Cycles'!$C$9*'Lease Cycles'!$AY$9/12,IF(AND('Lease Cycles'!$AV$9&gt;=INDEX('Lease Cycles'!$BG$9:$BM$9,1,ET27),'Lease Cycles'!$AV$9&lt;=ET$6),'Lease Cycles'!$C$9*'Lease Cycles'!$AW$9/12,IF(AND('Lease Cycles'!$AT$9&gt;=INDEX('Lease Cycles'!$BG$9:$BM$9,1,ET27),'Lease Cycles'!$AT$9&lt;=ET$6),'Lease Cycles'!$C$9*'Lease Cycles'!$AU$9/12,'Lease Cycles'!$C$9*INDEX('Lease Cycles'!$CB$9:$CH$9,1,ET27)*(1+INDEX('Lease Cycles'!$CI$9:$CO$9,1,ET27))^INT(INT(ET28/12)/INDEX('Lease Cycles'!$CP$9:$CV$9,1,ET27))/12)))),'Lease Cycles'!$C$9*INDEX('Lease Cycles'!$CB$9:$CH$9,1,ET27)*(1+INDEX('Lease Cycles'!$CI$9:$CO$9,1,ET27))^INT(INT(ET28/12)/INDEX('Lease Cycles'!$CP$9:$CV$9,1,ET27))/12))),IF('Lease Cycles'!$N$9=1,'Lease Cycles'!$C$9*'Lease Cycles'!$E$9*INDEX('Lease Cycles'!$HE$9:$HK$9,1,ET27)*(1+INDEX('Lease Cycles'!$GQ$9:$GW$9,1,ET27))^INT(INT((ET$6-INDEX('Lease Cycles'!$GJ$9:$GP$9,1,ET27))/12)/INDEX('Lease Cycles'!$GX$9:$HD$9,1,ET27))/12,0)))</f>
        <v>15237.91672525731</v>
      </c>
    </row>
    <row r="31">
      <c r="A31" s="103">
        <v>2</v>
      </c>
      <c r="B31" s="23" t="str">
        <f>IF('Lease Cycles'!$B$9="","(empty slot)",'Lease Cycles'!$B$9)</f>
        <v>Sunfield Pharmacy</v>
      </c>
      <c r="C31" s="23" t="s">
        <v>679</v>
      </c>
      <c r="D31" s="104" t="s">
        <v>680</v>
      </c>
      <c r="E31" s="25">
        <f>'Lease Cycles'!$AL$9</f>
        <v>0</v>
      </c>
      <c r="S31" s="28">
        <f>IF(S29=1,IF(INDEX('Lease Cycles'!$EF$9:$EL$9,1,S27)=1,'Lease Cycles'!$C$9*INDEX('Lease Cycles'!$ET$9:$EZ$9,1,S27)*(1+'Lease Cycles'!$V$9)^INT(INT(S28/12)/'Lease Cycles'!$W$9)/12,0),0)</f>
        <v>0</v>
      </c>
      <c r="T31" s="28">
        <f>IF(T29=1,IF(INDEX('Lease Cycles'!$EF$9:$EL$9,1,T27)=1,'Lease Cycles'!$C$9*INDEX('Lease Cycles'!$ET$9:$EZ$9,1,T27)*(1+'Lease Cycles'!$V$9)^INT(INT(T28/12)/'Lease Cycles'!$W$9)/12,0),0)</f>
        <v>0</v>
      </c>
      <c r="U31" s="28">
        <f>IF(U29=1,IF(INDEX('Lease Cycles'!$EF$9:$EL$9,1,U27)=1,'Lease Cycles'!$C$9*INDEX('Lease Cycles'!$ET$9:$EZ$9,1,U27)*(1+'Lease Cycles'!$V$9)^INT(INT(U28/12)/'Lease Cycles'!$W$9)/12,0),0)</f>
        <v>0</v>
      </c>
      <c r="V31" s="28">
        <f>IF(V29=1,IF(INDEX('Lease Cycles'!$EF$9:$EL$9,1,V27)=1,'Lease Cycles'!$C$9*INDEX('Lease Cycles'!$ET$9:$EZ$9,1,V27)*(1+'Lease Cycles'!$V$9)^INT(INT(V28/12)/'Lease Cycles'!$W$9)/12,0),0)</f>
        <v>0</v>
      </c>
      <c r="W31" s="28">
        <f>IF(W29=1,IF(INDEX('Lease Cycles'!$EF$9:$EL$9,1,W27)=1,'Lease Cycles'!$C$9*INDEX('Lease Cycles'!$ET$9:$EZ$9,1,W27)*(1+'Lease Cycles'!$V$9)^INT(INT(W28/12)/'Lease Cycles'!$W$9)/12,0),0)</f>
        <v>0</v>
      </c>
      <c r="X31" s="28">
        <f>IF(X29=1,IF(INDEX('Lease Cycles'!$EF$9:$EL$9,1,X27)=1,'Lease Cycles'!$C$9*INDEX('Lease Cycles'!$ET$9:$EZ$9,1,X27)*(1+'Lease Cycles'!$V$9)^INT(INT(X28/12)/'Lease Cycles'!$W$9)/12,0),0)</f>
        <v>0</v>
      </c>
      <c r="Y31" s="28">
        <f>IF(Y29=1,IF(INDEX('Lease Cycles'!$EF$9:$EL$9,1,Y27)=1,'Lease Cycles'!$C$9*INDEX('Lease Cycles'!$ET$9:$EZ$9,1,Y27)*(1+'Lease Cycles'!$V$9)^INT(INT(Y28/12)/'Lease Cycles'!$W$9)/12,0),0)</f>
        <v>0</v>
      </c>
      <c r="Z31" s="28">
        <f>IF(Z29=1,IF(INDEX('Lease Cycles'!$EF$9:$EL$9,1,Z27)=1,'Lease Cycles'!$C$9*INDEX('Lease Cycles'!$ET$9:$EZ$9,1,Z27)*(1+'Lease Cycles'!$V$9)^INT(INT(Z28/12)/'Lease Cycles'!$W$9)/12,0),0)</f>
        <v>0</v>
      </c>
      <c r="AA31" s="28">
        <f>IF(AA29=1,IF(INDEX('Lease Cycles'!$EF$9:$EL$9,1,AA27)=1,'Lease Cycles'!$C$9*INDEX('Lease Cycles'!$ET$9:$EZ$9,1,AA27)*(1+'Lease Cycles'!$V$9)^INT(INT(AA28/12)/'Lease Cycles'!$W$9)/12,0),0)</f>
        <v>0</v>
      </c>
      <c r="AB31" s="28">
        <f>IF(AB29=1,IF(INDEX('Lease Cycles'!$EF$9:$EL$9,1,AB27)=1,'Lease Cycles'!$C$9*INDEX('Lease Cycles'!$ET$9:$EZ$9,1,AB27)*(1+'Lease Cycles'!$V$9)^INT(INT(AB28/12)/'Lease Cycles'!$W$9)/12,0),0)</f>
        <v>0</v>
      </c>
      <c r="AC31" s="28">
        <f>IF(AC29=1,IF(INDEX('Lease Cycles'!$EF$9:$EL$9,1,AC27)=1,'Lease Cycles'!$C$9*INDEX('Lease Cycles'!$ET$9:$EZ$9,1,AC27)*(1+'Lease Cycles'!$V$9)^INT(INT(AC28/12)/'Lease Cycles'!$W$9)/12,0),0)</f>
        <v>0</v>
      </c>
      <c r="AD31" s="28">
        <f>IF(AD29=1,IF(INDEX('Lease Cycles'!$EF$9:$EL$9,1,AD27)=1,'Lease Cycles'!$C$9*INDEX('Lease Cycles'!$ET$9:$EZ$9,1,AD27)*(1+'Lease Cycles'!$V$9)^INT(INT(AD28/12)/'Lease Cycles'!$W$9)/12,0),0)</f>
        <v>0</v>
      </c>
      <c r="AE31" s="28">
        <f>IF(AE29=1,IF(INDEX('Lease Cycles'!$EF$9:$EL$9,1,AE27)=1,'Lease Cycles'!$C$9*INDEX('Lease Cycles'!$ET$9:$EZ$9,1,AE27)*(1+'Lease Cycles'!$V$9)^INT(INT(AE28/12)/'Lease Cycles'!$W$9)/12,0),0)</f>
        <v>0</v>
      </c>
      <c r="AF31" s="28">
        <f>IF(AF29=1,IF(INDEX('Lease Cycles'!$EF$9:$EL$9,1,AF27)=1,'Lease Cycles'!$C$9*INDEX('Lease Cycles'!$ET$9:$EZ$9,1,AF27)*(1+'Lease Cycles'!$V$9)^INT(INT(AF28/12)/'Lease Cycles'!$W$9)/12,0),0)</f>
        <v>0</v>
      </c>
      <c r="AG31" s="28">
        <f>IF(AG29=1,IF(INDEX('Lease Cycles'!$EF$9:$EL$9,1,AG27)=1,'Lease Cycles'!$C$9*INDEX('Lease Cycles'!$ET$9:$EZ$9,1,AG27)*(1+'Lease Cycles'!$V$9)^INT(INT(AG28/12)/'Lease Cycles'!$W$9)/12,0),0)</f>
        <v>0</v>
      </c>
      <c r="AH31" s="28">
        <f>IF(AH29=1,IF(INDEX('Lease Cycles'!$EF$9:$EL$9,1,AH27)=1,'Lease Cycles'!$C$9*INDEX('Lease Cycles'!$ET$9:$EZ$9,1,AH27)*(1+'Lease Cycles'!$V$9)^INT(INT(AH28/12)/'Lease Cycles'!$W$9)/12,0),0)</f>
        <v>0</v>
      </c>
      <c r="AI31" s="28">
        <f>IF(AI29=1,IF(INDEX('Lease Cycles'!$EF$9:$EL$9,1,AI27)=1,'Lease Cycles'!$C$9*INDEX('Lease Cycles'!$ET$9:$EZ$9,1,AI27)*(1+'Lease Cycles'!$V$9)^INT(INT(AI28/12)/'Lease Cycles'!$W$9)/12,0),0)</f>
        <v>0</v>
      </c>
      <c r="AJ31" s="28">
        <f>IF(AJ29=1,IF(INDEX('Lease Cycles'!$EF$9:$EL$9,1,AJ27)=1,'Lease Cycles'!$C$9*INDEX('Lease Cycles'!$ET$9:$EZ$9,1,AJ27)*(1+'Lease Cycles'!$V$9)^INT(INT(AJ28/12)/'Lease Cycles'!$W$9)/12,0),0)</f>
        <v>0</v>
      </c>
      <c r="AK31" s="28">
        <f>IF(AK29=1,IF(INDEX('Lease Cycles'!$EF$9:$EL$9,1,AK27)=1,'Lease Cycles'!$C$9*INDEX('Lease Cycles'!$ET$9:$EZ$9,1,AK27)*(1+'Lease Cycles'!$V$9)^INT(INT(AK28/12)/'Lease Cycles'!$W$9)/12,0),0)</f>
        <v>0</v>
      </c>
      <c r="AL31" s="28">
        <f>IF(AL29=1,IF(INDEX('Lease Cycles'!$EF$9:$EL$9,1,AL27)=1,'Lease Cycles'!$C$9*INDEX('Lease Cycles'!$ET$9:$EZ$9,1,AL27)*(1+'Lease Cycles'!$V$9)^INT(INT(AL28/12)/'Lease Cycles'!$W$9)/12,0),0)</f>
        <v>0</v>
      </c>
      <c r="AM31" s="28">
        <f>IF(AM29=1,IF(INDEX('Lease Cycles'!$EF$9:$EL$9,1,AM27)=1,'Lease Cycles'!$C$9*INDEX('Lease Cycles'!$ET$9:$EZ$9,1,AM27)*(1+'Lease Cycles'!$V$9)^INT(INT(AM28/12)/'Lease Cycles'!$W$9)/12,0),0)</f>
        <v>0</v>
      </c>
      <c r="AN31" s="28">
        <f>IF(AN29=1,IF(INDEX('Lease Cycles'!$EF$9:$EL$9,1,AN27)=1,'Lease Cycles'!$C$9*INDEX('Lease Cycles'!$ET$9:$EZ$9,1,AN27)*(1+'Lease Cycles'!$V$9)^INT(INT(AN28/12)/'Lease Cycles'!$W$9)/12,0),0)</f>
        <v>0</v>
      </c>
      <c r="AO31" s="28">
        <f>IF(AO29=1,IF(INDEX('Lease Cycles'!$EF$9:$EL$9,1,AO27)=1,'Lease Cycles'!$C$9*INDEX('Lease Cycles'!$ET$9:$EZ$9,1,AO27)*(1+'Lease Cycles'!$V$9)^INT(INT(AO28/12)/'Lease Cycles'!$W$9)/12,0),0)</f>
        <v>0</v>
      </c>
      <c r="AP31" s="28">
        <f>IF(AP29=1,IF(INDEX('Lease Cycles'!$EF$9:$EL$9,1,AP27)=1,'Lease Cycles'!$C$9*INDEX('Lease Cycles'!$ET$9:$EZ$9,1,AP27)*(1+'Lease Cycles'!$V$9)^INT(INT(AP28/12)/'Lease Cycles'!$W$9)/12,0),0)</f>
        <v>0</v>
      </c>
      <c r="AQ31" s="28">
        <f>IF(AQ29=1,IF(INDEX('Lease Cycles'!$EF$9:$EL$9,1,AQ27)=1,'Lease Cycles'!$C$9*INDEX('Lease Cycles'!$ET$9:$EZ$9,1,AQ27)*(1+'Lease Cycles'!$V$9)^INT(INT(AQ28/12)/'Lease Cycles'!$W$9)/12,0),0)</f>
        <v>0</v>
      </c>
      <c r="AR31" s="28">
        <f>IF(AR29=1,IF(INDEX('Lease Cycles'!$EF$9:$EL$9,1,AR27)=1,'Lease Cycles'!$C$9*INDEX('Lease Cycles'!$ET$9:$EZ$9,1,AR27)*(1+'Lease Cycles'!$V$9)^INT(INT(AR28/12)/'Lease Cycles'!$W$9)/12,0),0)</f>
        <v>0</v>
      </c>
      <c r="AS31" s="28">
        <f>IF(AS29=1,IF(INDEX('Lease Cycles'!$EF$9:$EL$9,1,AS27)=1,'Lease Cycles'!$C$9*INDEX('Lease Cycles'!$ET$9:$EZ$9,1,AS27)*(1+'Lease Cycles'!$V$9)^INT(INT(AS28/12)/'Lease Cycles'!$W$9)/12,0),0)</f>
        <v>0</v>
      </c>
      <c r="AT31" s="28">
        <f>IF(AT29=1,IF(INDEX('Lease Cycles'!$EF$9:$EL$9,1,AT27)=1,'Lease Cycles'!$C$9*INDEX('Lease Cycles'!$ET$9:$EZ$9,1,AT27)*(1+'Lease Cycles'!$V$9)^INT(INT(AT28/12)/'Lease Cycles'!$W$9)/12,0),0)</f>
        <v>0</v>
      </c>
      <c r="AU31" s="28">
        <f>IF(AU29=1,IF(INDEX('Lease Cycles'!$EF$9:$EL$9,1,AU27)=1,'Lease Cycles'!$C$9*INDEX('Lease Cycles'!$ET$9:$EZ$9,1,AU27)*(1+'Lease Cycles'!$V$9)^INT(INT(AU28/12)/'Lease Cycles'!$W$9)/12,0),0)</f>
        <v>0</v>
      </c>
      <c r="AV31" s="28">
        <f>IF(AV29=1,IF(INDEX('Lease Cycles'!$EF$9:$EL$9,1,AV27)=1,'Lease Cycles'!$C$9*INDEX('Lease Cycles'!$ET$9:$EZ$9,1,AV27)*(1+'Lease Cycles'!$V$9)^INT(INT(AV28/12)/'Lease Cycles'!$W$9)/12,0),0)</f>
        <v>0</v>
      </c>
      <c r="AW31" s="28">
        <f>IF(AW29=1,IF(INDEX('Lease Cycles'!$EF$9:$EL$9,1,AW27)=1,'Lease Cycles'!$C$9*INDEX('Lease Cycles'!$ET$9:$EZ$9,1,AW27)*(1+'Lease Cycles'!$V$9)^INT(INT(AW28/12)/'Lease Cycles'!$W$9)/12,0),0)</f>
        <v>0</v>
      </c>
      <c r="AX31" s="28">
        <f>IF(AX29=1,IF(INDEX('Lease Cycles'!$EF$9:$EL$9,1,AX27)=1,'Lease Cycles'!$C$9*INDEX('Lease Cycles'!$ET$9:$EZ$9,1,AX27)*(1+'Lease Cycles'!$V$9)^INT(INT(AX28/12)/'Lease Cycles'!$W$9)/12,0),0)</f>
        <v>0</v>
      </c>
      <c r="AY31" s="28">
        <f>IF(AY29=1,IF(INDEX('Lease Cycles'!$EF$9:$EL$9,1,AY27)=1,'Lease Cycles'!$C$9*INDEX('Lease Cycles'!$ET$9:$EZ$9,1,AY27)*(1+'Lease Cycles'!$V$9)^INT(INT(AY28/12)/'Lease Cycles'!$W$9)/12,0),0)</f>
        <v>0</v>
      </c>
      <c r="AZ31" s="28">
        <f>IF(AZ29=1,IF(INDEX('Lease Cycles'!$EF$9:$EL$9,1,AZ27)=1,'Lease Cycles'!$C$9*INDEX('Lease Cycles'!$ET$9:$EZ$9,1,AZ27)*(1+'Lease Cycles'!$V$9)^INT(INT(AZ28/12)/'Lease Cycles'!$W$9)/12,0),0)</f>
        <v>0</v>
      </c>
      <c r="BA31" s="28">
        <f>IF(BA29=1,IF(INDEX('Lease Cycles'!$EF$9:$EL$9,1,BA27)=1,'Lease Cycles'!$C$9*INDEX('Lease Cycles'!$ET$9:$EZ$9,1,BA27)*(1+'Lease Cycles'!$V$9)^INT(INT(BA28/12)/'Lease Cycles'!$W$9)/12,0),0)</f>
        <v>0</v>
      </c>
      <c r="BB31" s="28">
        <f>IF(BB29=1,IF(INDEX('Lease Cycles'!$EF$9:$EL$9,1,BB27)=1,'Lease Cycles'!$C$9*INDEX('Lease Cycles'!$ET$9:$EZ$9,1,BB27)*(1+'Lease Cycles'!$V$9)^INT(INT(BB28/12)/'Lease Cycles'!$W$9)/12,0),0)</f>
        <v>0</v>
      </c>
      <c r="BC31" s="28">
        <f>IF(BC29=1,IF(INDEX('Lease Cycles'!$EF$9:$EL$9,1,BC27)=1,'Lease Cycles'!$C$9*INDEX('Lease Cycles'!$ET$9:$EZ$9,1,BC27)*(1+'Lease Cycles'!$V$9)^INT(INT(BC28/12)/'Lease Cycles'!$W$9)/12,0),0)</f>
        <v>0</v>
      </c>
      <c r="BD31" s="28">
        <f>IF(BD29=1,IF(INDEX('Lease Cycles'!$EF$9:$EL$9,1,BD27)=1,'Lease Cycles'!$C$9*INDEX('Lease Cycles'!$ET$9:$EZ$9,1,BD27)*(1+'Lease Cycles'!$V$9)^INT(INT(BD28/12)/'Lease Cycles'!$W$9)/12,0),0)</f>
        <v>0</v>
      </c>
      <c r="BE31" s="28">
        <f>IF(BE29=1,IF(INDEX('Lease Cycles'!$EF$9:$EL$9,1,BE27)=1,'Lease Cycles'!$C$9*INDEX('Lease Cycles'!$ET$9:$EZ$9,1,BE27)*(1+'Lease Cycles'!$V$9)^INT(INT(BE28/12)/'Lease Cycles'!$W$9)/12,0),0)</f>
        <v>0</v>
      </c>
      <c r="BF31" s="28">
        <f>IF(BF29=1,IF(INDEX('Lease Cycles'!$EF$9:$EL$9,1,BF27)=1,'Lease Cycles'!$C$9*INDEX('Lease Cycles'!$ET$9:$EZ$9,1,BF27)*(1+'Lease Cycles'!$V$9)^INT(INT(BF28/12)/'Lease Cycles'!$W$9)/12,0),0)</f>
        <v>0</v>
      </c>
      <c r="BG31" s="28">
        <f>IF(BG29=1,IF(INDEX('Lease Cycles'!$EF$9:$EL$9,1,BG27)=1,'Lease Cycles'!$C$9*INDEX('Lease Cycles'!$ET$9:$EZ$9,1,BG27)*(1+'Lease Cycles'!$V$9)^INT(INT(BG28/12)/'Lease Cycles'!$W$9)/12,0),0)</f>
        <v>0</v>
      </c>
      <c r="BH31" s="28">
        <f>IF(BH29=1,IF(INDEX('Lease Cycles'!$EF$9:$EL$9,1,BH27)=1,'Lease Cycles'!$C$9*INDEX('Lease Cycles'!$ET$9:$EZ$9,1,BH27)*(1+'Lease Cycles'!$V$9)^INT(INT(BH28/12)/'Lease Cycles'!$W$9)/12,0),0)</f>
        <v>0</v>
      </c>
      <c r="BI31" s="28">
        <f>IF(BI29=1,IF(INDEX('Lease Cycles'!$EF$9:$EL$9,1,BI27)=1,'Lease Cycles'!$C$9*INDEX('Lease Cycles'!$ET$9:$EZ$9,1,BI27)*(1+'Lease Cycles'!$V$9)^INT(INT(BI28/12)/'Lease Cycles'!$W$9)/12,0),0)</f>
        <v>0</v>
      </c>
      <c r="BJ31" s="28">
        <f>IF(BJ29=1,IF(INDEX('Lease Cycles'!$EF$9:$EL$9,1,BJ27)=1,'Lease Cycles'!$C$9*INDEX('Lease Cycles'!$ET$9:$EZ$9,1,BJ27)*(1+'Lease Cycles'!$V$9)^INT(INT(BJ28/12)/'Lease Cycles'!$W$9)/12,0),0)</f>
        <v>0</v>
      </c>
      <c r="BK31" s="28">
        <f>IF(BK29=1,IF(INDEX('Lease Cycles'!$EF$9:$EL$9,1,BK27)=1,'Lease Cycles'!$C$9*INDEX('Lease Cycles'!$ET$9:$EZ$9,1,BK27)*(1+'Lease Cycles'!$V$9)^INT(INT(BK28/12)/'Lease Cycles'!$W$9)/12,0),0)</f>
        <v>0</v>
      </c>
      <c r="BL31" s="28">
        <f>IF(BL29=1,IF(INDEX('Lease Cycles'!$EF$9:$EL$9,1,BL27)=1,'Lease Cycles'!$C$9*INDEX('Lease Cycles'!$ET$9:$EZ$9,1,BL27)*(1+'Lease Cycles'!$V$9)^INT(INT(BL28/12)/'Lease Cycles'!$W$9)/12,0),0)</f>
        <v>0</v>
      </c>
      <c r="BM31" s="28">
        <f>IF(BM29=1,IF(INDEX('Lease Cycles'!$EF$9:$EL$9,1,BM27)=1,'Lease Cycles'!$C$9*INDEX('Lease Cycles'!$ET$9:$EZ$9,1,BM27)*(1+'Lease Cycles'!$V$9)^INT(INT(BM28/12)/'Lease Cycles'!$W$9)/12,0),0)</f>
        <v>0</v>
      </c>
      <c r="BN31" s="28">
        <f>IF(BN29=1,IF(INDEX('Lease Cycles'!$EF$9:$EL$9,1,BN27)=1,'Lease Cycles'!$C$9*INDEX('Lease Cycles'!$ET$9:$EZ$9,1,BN27)*(1+'Lease Cycles'!$V$9)^INT(INT(BN28/12)/'Lease Cycles'!$W$9)/12,0),0)</f>
        <v>0</v>
      </c>
      <c r="BO31" s="28">
        <f>IF(BO29=1,IF(INDEX('Lease Cycles'!$EF$9:$EL$9,1,BO27)=1,'Lease Cycles'!$C$9*INDEX('Lease Cycles'!$ET$9:$EZ$9,1,BO27)*(1+'Lease Cycles'!$V$9)^INT(INT(BO28/12)/'Lease Cycles'!$W$9)/12,0),0)</f>
        <v>0</v>
      </c>
      <c r="BP31" s="28">
        <f>IF(BP29=1,IF(INDEX('Lease Cycles'!$EF$9:$EL$9,1,BP27)=1,'Lease Cycles'!$C$9*INDEX('Lease Cycles'!$ET$9:$EZ$9,1,BP27)*(1+'Lease Cycles'!$V$9)^INT(INT(BP28/12)/'Lease Cycles'!$W$9)/12,0),0)</f>
        <v>0</v>
      </c>
      <c r="BQ31" s="28">
        <f>IF(BQ29=1,IF(INDEX('Lease Cycles'!$EF$9:$EL$9,1,BQ27)=1,'Lease Cycles'!$C$9*INDEX('Lease Cycles'!$ET$9:$EZ$9,1,BQ27)*(1+'Lease Cycles'!$V$9)^INT(INT(BQ28/12)/'Lease Cycles'!$W$9)/12,0),0)</f>
        <v>0</v>
      </c>
      <c r="BR31" s="28">
        <f>IF(BR29=1,IF(INDEX('Lease Cycles'!$EF$9:$EL$9,1,BR27)=1,'Lease Cycles'!$C$9*INDEX('Lease Cycles'!$ET$9:$EZ$9,1,BR27)*(1+'Lease Cycles'!$V$9)^INT(INT(BR28/12)/'Lease Cycles'!$W$9)/12,0),0)</f>
        <v>0</v>
      </c>
      <c r="BS31" s="28">
        <f>IF(BS29=1,IF(INDEX('Lease Cycles'!$EF$9:$EL$9,1,BS27)=1,'Lease Cycles'!$C$9*INDEX('Lease Cycles'!$ET$9:$EZ$9,1,BS27)*(1+'Lease Cycles'!$V$9)^INT(INT(BS28/12)/'Lease Cycles'!$W$9)/12,0),0)</f>
        <v>0</v>
      </c>
      <c r="BT31" s="28">
        <f>IF(BT29=1,IF(INDEX('Lease Cycles'!$EF$9:$EL$9,1,BT27)=1,'Lease Cycles'!$C$9*INDEX('Lease Cycles'!$ET$9:$EZ$9,1,BT27)*(1+'Lease Cycles'!$V$9)^INT(INT(BT28/12)/'Lease Cycles'!$W$9)/12,0),0)</f>
        <v>0</v>
      </c>
      <c r="BU31" s="28">
        <f>IF(BU29=1,IF(INDEX('Lease Cycles'!$EF$9:$EL$9,1,BU27)=1,'Lease Cycles'!$C$9*INDEX('Lease Cycles'!$ET$9:$EZ$9,1,BU27)*(1+'Lease Cycles'!$V$9)^INT(INT(BU28/12)/'Lease Cycles'!$W$9)/12,0),0)</f>
        <v>0</v>
      </c>
      <c r="BV31" s="28">
        <f>IF(BV29=1,IF(INDEX('Lease Cycles'!$EF$9:$EL$9,1,BV27)=1,'Lease Cycles'!$C$9*INDEX('Lease Cycles'!$ET$9:$EZ$9,1,BV27)*(1+'Lease Cycles'!$V$9)^INT(INT(BV28/12)/'Lease Cycles'!$W$9)/12,0),0)</f>
        <v>0</v>
      </c>
      <c r="BW31" s="28">
        <f>IF(BW29=1,IF(INDEX('Lease Cycles'!$EF$9:$EL$9,1,BW27)=1,'Lease Cycles'!$C$9*INDEX('Lease Cycles'!$ET$9:$EZ$9,1,BW27)*(1+'Lease Cycles'!$V$9)^INT(INT(BW28/12)/'Lease Cycles'!$W$9)/12,0),0)</f>
        <v>0</v>
      </c>
      <c r="BX31" s="28">
        <f>IF(BX29=1,IF(INDEX('Lease Cycles'!$EF$9:$EL$9,1,BX27)=1,'Lease Cycles'!$C$9*INDEX('Lease Cycles'!$ET$9:$EZ$9,1,BX27)*(1+'Lease Cycles'!$V$9)^INT(INT(BX28/12)/'Lease Cycles'!$W$9)/12,0),0)</f>
        <v>0</v>
      </c>
      <c r="BY31" s="28">
        <f>IF(BY29=1,IF(INDEX('Lease Cycles'!$EF$9:$EL$9,1,BY27)=1,'Lease Cycles'!$C$9*INDEX('Lease Cycles'!$ET$9:$EZ$9,1,BY27)*(1+'Lease Cycles'!$V$9)^INT(INT(BY28/12)/'Lease Cycles'!$W$9)/12,0),0)</f>
        <v>0</v>
      </c>
      <c r="BZ31" s="28">
        <f>IF(BZ29=1,IF(INDEX('Lease Cycles'!$EF$9:$EL$9,1,BZ27)=1,'Lease Cycles'!$C$9*INDEX('Lease Cycles'!$ET$9:$EZ$9,1,BZ27)*(1+'Lease Cycles'!$V$9)^INT(INT(BZ28/12)/'Lease Cycles'!$W$9)/12,0),0)</f>
        <v>0</v>
      </c>
      <c r="CA31" s="28">
        <f>IF(CA29=1,IF(INDEX('Lease Cycles'!$EF$9:$EL$9,1,CA27)=1,'Lease Cycles'!$C$9*INDEX('Lease Cycles'!$ET$9:$EZ$9,1,CA27)*(1+'Lease Cycles'!$V$9)^INT(INT(CA28/12)/'Lease Cycles'!$W$9)/12,0),0)</f>
        <v>0</v>
      </c>
      <c r="CB31" s="28">
        <f>IF(CB29=1,IF(INDEX('Lease Cycles'!$EF$9:$EL$9,1,CB27)=1,'Lease Cycles'!$C$9*INDEX('Lease Cycles'!$ET$9:$EZ$9,1,CB27)*(1+'Lease Cycles'!$V$9)^INT(INT(CB28/12)/'Lease Cycles'!$W$9)/12,0),0)</f>
        <v>0</v>
      </c>
      <c r="CC31" s="28">
        <f>IF(CC29=1,IF(INDEX('Lease Cycles'!$EF$9:$EL$9,1,CC27)=1,'Lease Cycles'!$C$9*INDEX('Lease Cycles'!$ET$9:$EZ$9,1,CC27)*(1+'Lease Cycles'!$V$9)^INT(INT(CC28/12)/'Lease Cycles'!$W$9)/12,0),0)</f>
        <v>0</v>
      </c>
      <c r="CD31" s="28">
        <f>IF(CD29=1,IF(INDEX('Lease Cycles'!$EF$9:$EL$9,1,CD27)=1,'Lease Cycles'!$C$9*INDEX('Lease Cycles'!$ET$9:$EZ$9,1,CD27)*(1+'Lease Cycles'!$V$9)^INT(INT(CD28/12)/'Lease Cycles'!$W$9)/12,0),0)</f>
        <v>0</v>
      </c>
      <c r="CE31" s="28">
        <f>IF(CE29=1,IF(INDEX('Lease Cycles'!$EF$9:$EL$9,1,CE27)=1,'Lease Cycles'!$C$9*INDEX('Lease Cycles'!$ET$9:$EZ$9,1,CE27)*(1+'Lease Cycles'!$V$9)^INT(INT(CE28/12)/'Lease Cycles'!$W$9)/12,0),0)</f>
        <v>0</v>
      </c>
      <c r="CF31" s="28">
        <f>IF(CF29=1,IF(INDEX('Lease Cycles'!$EF$9:$EL$9,1,CF27)=1,'Lease Cycles'!$C$9*INDEX('Lease Cycles'!$ET$9:$EZ$9,1,CF27)*(1+'Lease Cycles'!$V$9)^INT(INT(CF28/12)/'Lease Cycles'!$W$9)/12,0),0)</f>
        <v>0</v>
      </c>
      <c r="CG31" s="28">
        <f>IF(CG29=1,IF(INDEX('Lease Cycles'!$EF$9:$EL$9,1,CG27)=1,'Lease Cycles'!$C$9*INDEX('Lease Cycles'!$ET$9:$EZ$9,1,CG27)*(1+'Lease Cycles'!$V$9)^INT(INT(CG28/12)/'Lease Cycles'!$W$9)/12,0),0)</f>
        <v>0</v>
      </c>
      <c r="CH31" s="28">
        <f>IF(CH29=1,IF(INDEX('Lease Cycles'!$EF$9:$EL$9,1,CH27)=1,'Lease Cycles'!$C$9*INDEX('Lease Cycles'!$ET$9:$EZ$9,1,CH27)*(1+'Lease Cycles'!$V$9)^INT(INT(CH28/12)/'Lease Cycles'!$W$9)/12,0),0)</f>
        <v>0</v>
      </c>
      <c r="CI31" s="28">
        <f>IF(CI29=1,IF(INDEX('Lease Cycles'!$EF$9:$EL$9,1,CI27)=1,'Lease Cycles'!$C$9*INDEX('Lease Cycles'!$ET$9:$EZ$9,1,CI27)*(1+'Lease Cycles'!$V$9)^INT(INT(CI28/12)/'Lease Cycles'!$W$9)/12,0),0)</f>
        <v>0</v>
      </c>
      <c r="CJ31" s="28">
        <f>IF(CJ29=1,IF(INDEX('Lease Cycles'!$EF$9:$EL$9,1,CJ27)=1,'Lease Cycles'!$C$9*INDEX('Lease Cycles'!$ET$9:$EZ$9,1,CJ27)*(1+'Lease Cycles'!$V$9)^INT(INT(CJ28/12)/'Lease Cycles'!$W$9)/12,0),0)</f>
        <v>0</v>
      </c>
      <c r="CK31" s="28">
        <f>IF(CK29=1,IF(INDEX('Lease Cycles'!$EF$9:$EL$9,1,CK27)=1,'Lease Cycles'!$C$9*INDEX('Lease Cycles'!$ET$9:$EZ$9,1,CK27)*(1+'Lease Cycles'!$V$9)^INT(INT(CK28/12)/'Lease Cycles'!$W$9)/12,0),0)</f>
        <v>0</v>
      </c>
      <c r="CL31" s="28">
        <f>IF(CL29=1,IF(INDEX('Lease Cycles'!$EF$9:$EL$9,1,CL27)=1,'Lease Cycles'!$C$9*INDEX('Lease Cycles'!$ET$9:$EZ$9,1,CL27)*(1+'Lease Cycles'!$V$9)^INT(INT(CL28/12)/'Lease Cycles'!$W$9)/12,0),0)</f>
        <v>0</v>
      </c>
      <c r="CM31" s="28">
        <f>IF(CM29=1,IF(INDEX('Lease Cycles'!$EF$9:$EL$9,1,CM27)=1,'Lease Cycles'!$C$9*INDEX('Lease Cycles'!$ET$9:$EZ$9,1,CM27)*(1+'Lease Cycles'!$V$9)^INT(INT(CM28/12)/'Lease Cycles'!$W$9)/12,0),0)</f>
        <v>0</v>
      </c>
      <c r="CN31" s="28">
        <f>IF(CN29=1,IF(INDEX('Lease Cycles'!$EF$9:$EL$9,1,CN27)=1,'Lease Cycles'!$C$9*INDEX('Lease Cycles'!$ET$9:$EZ$9,1,CN27)*(1+'Lease Cycles'!$V$9)^INT(INT(CN28/12)/'Lease Cycles'!$W$9)/12,0),0)</f>
        <v>0</v>
      </c>
      <c r="CO31" s="28">
        <f>IF(CO29=1,IF(INDEX('Lease Cycles'!$EF$9:$EL$9,1,CO27)=1,'Lease Cycles'!$C$9*INDEX('Lease Cycles'!$ET$9:$EZ$9,1,CO27)*(1+'Lease Cycles'!$V$9)^INT(INT(CO28/12)/'Lease Cycles'!$W$9)/12,0),0)</f>
        <v>0</v>
      </c>
      <c r="CP31" s="28">
        <f>IF(CP29=1,IF(INDEX('Lease Cycles'!$EF$9:$EL$9,1,CP27)=1,'Lease Cycles'!$C$9*INDEX('Lease Cycles'!$ET$9:$EZ$9,1,CP27)*(1+'Lease Cycles'!$V$9)^INT(INT(CP28/12)/'Lease Cycles'!$W$9)/12,0),0)</f>
        <v>0</v>
      </c>
      <c r="CQ31" s="28">
        <f>IF(CQ29=1,IF(INDEX('Lease Cycles'!$EF$9:$EL$9,1,CQ27)=1,'Lease Cycles'!$C$9*INDEX('Lease Cycles'!$ET$9:$EZ$9,1,CQ27)*(1+'Lease Cycles'!$V$9)^INT(INT(CQ28/12)/'Lease Cycles'!$W$9)/12,0),0)</f>
        <v>0</v>
      </c>
      <c r="CR31" s="28">
        <f>IF(CR29=1,IF(INDEX('Lease Cycles'!$EF$9:$EL$9,1,CR27)=1,'Lease Cycles'!$C$9*INDEX('Lease Cycles'!$ET$9:$EZ$9,1,CR27)*(1+'Lease Cycles'!$V$9)^INT(INT(CR28/12)/'Lease Cycles'!$W$9)/12,0),0)</f>
        <v>0</v>
      </c>
      <c r="CS31" s="28">
        <f>IF(CS29=1,IF(INDEX('Lease Cycles'!$EF$9:$EL$9,1,CS27)=1,'Lease Cycles'!$C$9*INDEX('Lease Cycles'!$ET$9:$EZ$9,1,CS27)*(1+'Lease Cycles'!$V$9)^INT(INT(CS28/12)/'Lease Cycles'!$W$9)/12,0),0)</f>
        <v>0</v>
      </c>
      <c r="CT31" s="28">
        <f>IF(CT29=1,IF(INDEX('Lease Cycles'!$EF$9:$EL$9,1,CT27)=1,'Lease Cycles'!$C$9*INDEX('Lease Cycles'!$ET$9:$EZ$9,1,CT27)*(1+'Lease Cycles'!$V$9)^INT(INT(CT28/12)/'Lease Cycles'!$W$9)/12,0),0)</f>
        <v>0</v>
      </c>
      <c r="CU31" s="28">
        <f>IF(CU29=1,IF(INDEX('Lease Cycles'!$EF$9:$EL$9,1,CU27)=1,'Lease Cycles'!$C$9*INDEX('Lease Cycles'!$ET$9:$EZ$9,1,CU27)*(1+'Lease Cycles'!$V$9)^INT(INT(CU28/12)/'Lease Cycles'!$W$9)/12,0),0)</f>
        <v>0</v>
      </c>
      <c r="CV31" s="28">
        <f>IF(CV29=1,IF(INDEX('Lease Cycles'!$EF$9:$EL$9,1,CV27)=1,'Lease Cycles'!$C$9*INDEX('Lease Cycles'!$ET$9:$EZ$9,1,CV27)*(1+'Lease Cycles'!$V$9)^INT(INT(CV28/12)/'Lease Cycles'!$W$9)/12,0),0)</f>
        <v>0</v>
      </c>
      <c r="CW31" s="28">
        <f>IF(CW29=1,IF(INDEX('Lease Cycles'!$EF$9:$EL$9,1,CW27)=1,'Lease Cycles'!$C$9*INDEX('Lease Cycles'!$ET$9:$EZ$9,1,CW27)*(1+'Lease Cycles'!$V$9)^INT(INT(CW28/12)/'Lease Cycles'!$W$9)/12,0),0)</f>
        <v>0</v>
      </c>
      <c r="CX31" s="28">
        <f>IF(CX29=1,IF(INDEX('Lease Cycles'!$EF$9:$EL$9,1,CX27)=1,'Lease Cycles'!$C$9*INDEX('Lease Cycles'!$ET$9:$EZ$9,1,CX27)*(1+'Lease Cycles'!$V$9)^INT(INT(CX28/12)/'Lease Cycles'!$W$9)/12,0),0)</f>
        <v>0</v>
      </c>
      <c r="CY31" s="28">
        <f>IF(CY29=1,IF(INDEX('Lease Cycles'!$EF$9:$EL$9,1,CY27)=1,'Lease Cycles'!$C$9*INDEX('Lease Cycles'!$ET$9:$EZ$9,1,CY27)*(1+'Lease Cycles'!$V$9)^INT(INT(CY28/12)/'Lease Cycles'!$W$9)/12,0),0)</f>
        <v>0</v>
      </c>
      <c r="CZ31" s="28">
        <f>IF(CZ29=1,IF(INDEX('Lease Cycles'!$EF$9:$EL$9,1,CZ27)=1,'Lease Cycles'!$C$9*INDEX('Lease Cycles'!$ET$9:$EZ$9,1,CZ27)*(1+'Lease Cycles'!$V$9)^INT(INT(CZ28/12)/'Lease Cycles'!$W$9)/12,0),0)</f>
        <v>0</v>
      </c>
      <c r="DA31" s="28">
        <f>IF(DA29=1,IF(INDEX('Lease Cycles'!$EF$9:$EL$9,1,DA27)=1,'Lease Cycles'!$C$9*INDEX('Lease Cycles'!$ET$9:$EZ$9,1,DA27)*(1+'Lease Cycles'!$V$9)^INT(INT(DA28/12)/'Lease Cycles'!$W$9)/12,0),0)</f>
        <v>0</v>
      </c>
      <c r="DB31" s="28">
        <f>IF(DB29=1,IF(INDEX('Lease Cycles'!$EF$9:$EL$9,1,DB27)=1,'Lease Cycles'!$C$9*INDEX('Lease Cycles'!$ET$9:$EZ$9,1,DB27)*(1+'Lease Cycles'!$V$9)^INT(INT(DB28/12)/'Lease Cycles'!$W$9)/12,0),0)</f>
        <v>0</v>
      </c>
      <c r="DC31" s="28">
        <f>IF(DC29=1,IF(INDEX('Lease Cycles'!$EF$9:$EL$9,1,DC27)=1,'Lease Cycles'!$C$9*INDEX('Lease Cycles'!$ET$9:$EZ$9,1,DC27)*(1+'Lease Cycles'!$V$9)^INT(INT(DC28/12)/'Lease Cycles'!$W$9)/12,0),0)</f>
        <v>0</v>
      </c>
      <c r="DD31" s="28">
        <f>IF(DD29=1,IF(INDEX('Lease Cycles'!$EF$9:$EL$9,1,DD27)=1,'Lease Cycles'!$C$9*INDEX('Lease Cycles'!$ET$9:$EZ$9,1,DD27)*(1+'Lease Cycles'!$V$9)^INT(INT(DD28/12)/'Lease Cycles'!$W$9)/12,0),0)</f>
        <v>0</v>
      </c>
      <c r="DE31" s="28">
        <f>IF(DE29=1,IF(INDEX('Lease Cycles'!$EF$9:$EL$9,1,DE27)=1,'Lease Cycles'!$C$9*INDEX('Lease Cycles'!$ET$9:$EZ$9,1,DE27)*(1+'Lease Cycles'!$V$9)^INT(INT(DE28/12)/'Lease Cycles'!$W$9)/12,0),0)</f>
        <v>0</v>
      </c>
      <c r="DF31" s="28">
        <f>IF(DF29=1,IF(INDEX('Lease Cycles'!$EF$9:$EL$9,1,DF27)=1,'Lease Cycles'!$C$9*INDEX('Lease Cycles'!$ET$9:$EZ$9,1,DF27)*(1+'Lease Cycles'!$V$9)^INT(INT(DF28/12)/'Lease Cycles'!$W$9)/12,0),0)</f>
        <v>0</v>
      </c>
      <c r="DG31" s="28">
        <f>IF(DG29=1,IF(INDEX('Lease Cycles'!$EF$9:$EL$9,1,DG27)=1,'Lease Cycles'!$C$9*INDEX('Lease Cycles'!$ET$9:$EZ$9,1,DG27)*(1+'Lease Cycles'!$V$9)^INT(INT(DG28/12)/'Lease Cycles'!$W$9)/12,0),0)</f>
        <v>0</v>
      </c>
      <c r="DH31" s="28">
        <f>IF(DH29=1,IF(INDEX('Lease Cycles'!$EF$9:$EL$9,1,DH27)=1,'Lease Cycles'!$C$9*INDEX('Lease Cycles'!$ET$9:$EZ$9,1,DH27)*(1+'Lease Cycles'!$V$9)^INT(INT(DH28/12)/'Lease Cycles'!$W$9)/12,0),0)</f>
        <v>0</v>
      </c>
      <c r="DI31" s="28">
        <f>IF(DI29=1,IF(INDEX('Lease Cycles'!$EF$9:$EL$9,1,DI27)=1,'Lease Cycles'!$C$9*INDEX('Lease Cycles'!$ET$9:$EZ$9,1,DI27)*(1+'Lease Cycles'!$V$9)^INT(INT(DI28/12)/'Lease Cycles'!$W$9)/12,0),0)</f>
        <v>0</v>
      </c>
      <c r="DJ31" s="28">
        <f>IF(DJ29=1,IF(INDEX('Lease Cycles'!$EF$9:$EL$9,1,DJ27)=1,'Lease Cycles'!$C$9*INDEX('Lease Cycles'!$ET$9:$EZ$9,1,DJ27)*(1+'Lease Cycles'!$V$9)^INT(INT(DJ28/12)/'Lease Cycles'!$W$9)/12,0),0)</f>
        <v>0</v>
      </c>
      <c r="DK31" s="28">
        <f>IF(DK29=1,IF(INDEX('Lease Cycles'!$EF$9:$EL$9,1,DK27)=1,'Lease Cycles'!$C$9*INDEX('Lease Cycles'!$ET$9:$EZ$9,1,DK27)*(1+'Lease Cycles'!$V$9)^INT(INT(DK28/12)/'Lease Cycles'!$W$9)/12,0),0)</f>
        <v>0</v>
      </c>
      <c r="DL31" s="28">
        <f>IF(DL29=1,IF(INDEX('Lease Cycles'!$EF$9:$EL$9,1,DL27)=1,'Lease Cycles'!$C$9*INDEX('Lease Cycles'!$ET$9:$EZ$9,1,DL27)*(1+'Lease Cycles'!$V$9)^INT(INT(DL28/12)/'Lease Cycles'!$W$9)/12,0),0)</f>
        <v>0</v>
      </c>
      <c r="DM31" s="28">
        <f>IF(DM29=1,IF(INDEX('Lease Cycles'!$EF$9:$EL$9,1,DM27)=1,'Lease Cycles'!$C$9*INDEX('Lease Cycles'!$ET$9:$EZ$9,1,DM27)*(1+'Lease Cycles'!$V$9)^INT(INT(DM28/12)/'Lease Cycles'!$W$9)/12,0),0)</f>
        <v>0</v>
      </c>
      <c r="DN31" s="28">
        <f>IF(DN29=1,IF(INDEX('Lease Cycles'!$EF$9:$EL$9,1,DN27)=1,'Lease Cycles'!$C$9*INDEX('Lease Cycles'!$ET$9:$EZ$9,1,DN27)*(1+'Lease Cycles'!$V$9)^INT(INT(DN28/12)/'Lease Cycles'!$W$9)/12,0),0)</f>
        <v>0</v>
      </c>
      <c r="DO31" s="28">
        <f>IF(DO29=1,IF(INDEX('Lease Cycles'!$EF$9:$EL$9,1,DO27)=1,'Lease Cycles'!$C$9*INDEX('Lease Cycles'!$ET$9:$EZ$9,1,DO27)*(1+'Lease Cycles'!$V$9)^INT(INT(DO28/12)/'Lease Cycles'!$W$9)/12,0),0)</f>
        <v>0</v>
      </c>
      <c r="DP31" s="28">
        <f>IF(DP29=1,IF(INDEX('Lease Cycles'!$EF$9:$EL$9,1,DP27)=1,'Lease Cycles'!$C$9*INDEX('Lease Cycles'!$ET$9:$EZ$9,1,DP27)*(1+'Lease Cycles'!$V$9)^INT(INT(DP28/12)/'Lease Cycles'!$W$9)/12,0),0)</f>
        <v>0</v>
      </c>
      <c r="DQ31" s="28">
        <f>IF(DQ29=1,IF(INDEX('Lease Cycles'!$EF$9:$EL$9,1,DQ27)=1,'Lease Cycles'!$C$9*INDEX('Lease Cycles'!$ET$9:$EZ$9,1,DQ27)*(1+'Lease Cycles'!$V$9)^INT(INT(DQ28/12)/'Lease Cycles'!$W$9)/12,0),0)</f>
        <v>0</v>
      </c>
      <c r="DR31" s="28">
        <f>IF(DR29=1,IF(INDEX('Lease Cycles'!$EF$9:$EL$9,1,DR27)=1,'Lease Cycles'!$C$9*INDEX('Lease Cycles'!$ET$9:$EZ$9,1,DR27)*(1+'Lease Cycles'!$V$9)^INT(INT(DR28/12)/'Lease Cycles'!$W$9)/12,0),0)</f>
        <v>0</v>
      </c>
      <c r="DS31" s="28">
        <f>IF(DS29=1,IF(INDEX('Lease Cycles'!$EF$9:$EL$9,1,DS27)=1,'Lease Cycles'!$C$9*INDEX('Lease Cycles'!$ET$9:$EZ$9,1,DS27)*(1+'Lease Cycles'!$V$9)^INT(INT(DS28/12)/'Lease Cycles'!$W$9)/12,0),0)</f>
        <v>0</v>
      </c>
      <c r="DT31" s="28">
        <f>IF(DT29=1,IF(INDEX('Lease Cycles'!$EF$9:$EL$9,1,DT27)=1,'Lease Cycles'!$C$9*INDEX('Lease Cycles'!$ET$9:$EZ$9,1,DT27)*(1+'Lease Cycles'!$V$9)^INT(INT(DT28/12)/'Lease Cycles'!$W$9)/12,0),0)</f>
        <v>0</v>
      </c>
      <c r="DU31" s="28">
        <f>IF(DU29=1,IF(INDEX('Lease Cycles'!$EF$9:$EL$9,1,DU27)=1,'Lease Cycles'!$C$9*INDEX('Lease Cycles'!$ET$9:$EZ$9,1,DU27)*(1+'Lease Cycles'!$V$9)^INT(INT(DU28/12)/'Lease Cycles'!$W$9)/12,0),0)</f>
        <v>0</v>
      </c>
      <c r="DV31" s="28">
        <f>IF(DV29=1,IF(INDEX('Lease Cycles'!$EF$9:$EL$9,1,DV27)=1,'Lease Cycles'!$C$9*INDEX('Lease Cycles'!$ET$9:$EZ$9,1,DV27)*(1+'Lease Cycles'!$V$9)^INT(INT(DV28/12)/'Lease Cycles'!$W$9)/12,0),0)</f>
        <v>0</v>
      </c>
      <c r="DW31" s="28">
        <f>IF(DW29=1,IF(INDEX('Lease Cycles'!$EF$9:$EL$9,1,DW27)=1,'Lease Cycles'!$C$9*INDEX('Lease Cycles'!$ET$9:$EZ$9,1,DW27)*(1+'Lease Cycles'!$V$9)^INT(INT(DW28/12)/'Lease Cycles'!$W$9)/12,0),0)</f>
        <v>0</v>
      </c>
      <c r="DX31" s="28">
        <f>IF(DX29=1,IF(INDEX('Lease Cycles'!$EF$9:$EL$9,1,DX27)=1,'Lease Cycles'!$C$9*INDEX('Lease Cycles'!$ET$9:$EZ$9,1,DX27)*(1+'Lease Cycles'!$V$9)^INT(INT(DX28/12)/'Lease Cycles'!$W$9)/12,0),0)</f>
        <v>0</v>
      </c>
      <c r="DY31" s="28">
        <f>IF(DY29=1,IF(INDEX('Lease Cycles'!$EF$9:$EL$9,1,DY27)=1,'Lease Cycles'!$C$9*INDEX('Lease Cycles'!$ET$9:$EZ$9,1,DY27)*(1+'Lease Cycles'!$V$9)^INT(INT(DY28/12)/'Lease Cycles'!$W$9)/12,0),0)</f>
        <v>0</v>
      </c>
      <c r="DZ31" s="28">
        <f>IF(DZ29=1,IF(INDEX('Lease Cycles'!$EF$9:$EL$9,1,DZ27)=1,'Lease Cycles'!$C$9*INDEX('Lease Cycles'!$ET$9:$EZ$9,1,DZ27)*(1+'Lease Cycles'!$V$9)^INT(INT(DZ28/12)/'Lease Cycles'!$W$9)/12,0),0)</f>
        <v>0</v>
      </c>
      <c r="EA31" s="28">
        <f>IF(EA29=1,IF(INDEX('Lease Cycles'!$EF$9:$EL$9,1,EA27)=1,'Lease Cycles'!$C$9*INDEX('Lease Cycles'!$ET$9:$EZ$9,1,EA27)*(1+'Lease Cycles'!$V$9)^INT(INT(EA28/12)/'Lease Cycles'!$W$9)/12,0),0)</f>
        <v>0</v>
      </c>
      <c r="EB31" s="28">
        <f>IF(EB29=1,IF(INDEX('Lease Cycles'!$EF$9:$EL$9,1,EB27)=1,'Lease Cycles'!$C$9*INDEX('Lease Cycles'!$ET$9:$EZ$9,1,EB27)*(1+'Lease Cycles'!$V$9)^INT(INT(EB28/12)/'Lease Cycles'!$W$9)/12,0),0)</f>
        <v>0</v>
      </c>
      <c r="EC31" s="28">
        <f>IF(EC29=1,IF(INDEX('Lease Cycles'!$EF$9:$EL$9,1,EC27)=1,'Lease Cycles'!$C$9*INDEX('Lease Cycles'!$ET$9:$EZ$9,1,EC27)*(1+'Lease Cycles'!$V$9)^INT(INT(EC28/12)/'Lease Cycles'!$W$9)/12,0),0)</f>
        <v>0</v>
      </c>
      <c r="ED31" s="28">
        <f>IF(ED29=1,IF(INDEX('Lease Cycles'!$EF$9:$EL$9,1,ED27)=1,'Lease Cycles'!$C$9*INDEX('Lease Cycles'!$ET$9:$EZ$9,1,ED27)*(1+'Lease Cycles'!$V$9)^INT(INT(ED28/12)/'Lease Cycles'!$W$9)/12,0),0)</f>
        <v>0</v>
      </c>
      <c r="EE31" s="28">
        <f>IF(EE29=1,IF(INDEX('Lease Cycles'!$EF$9:$EL$9,1,EE27)=1,'Lease Cycles'!$C$9*INDEX('Lease Cycles'!$ET$9:$EZ$9,1,EE27)*(1+'Lease Cycles'!$V$9)^INT(INT(EE28/12)/'Lease Cycles'!$W$9)/12,0),0)</f>
        <v>0</v>
      </c>
      <c r="EF31" s="28">
        <f>IF(EF29=1,IF(INDEX('Lease Cycles'!$EF$9:$EL$9,1,EF27)=1,'Lease Cycles'!$C$9*INDEX('Lease Cycles'!$ET$9:$EZ$9,1,EF27)*(1+'Lease Cycles'!$V$9)^INT(INT(EF28/12)/'Lease Cycles'!$W$9)/12,0),0)</f>
        <v>0</v>
      </c>
      <c r="EG31" s="28">
        <f>IF(EG29=1,IF(INDEX('Lease Cycles'!$EF$9:$EL$9,1,EG27)=1,'Lease Cycles'!$C$9*INDEX('Lease Cycles'!$ET$9:$EZ$9,1,EG27)*(1+'Lease Cycles'!$V$9)^INT(INT(EG28/12)/'Lease Cycles'!$W$9)/12,0),0)</f>
        <v>0</v>
      </c>
      <c r="EH31" s="28">
        <f>IF(EH29=1,IF(INDEX('Lease Cycles'!$EF$9:$EL$9,1,EH27)=1,'Lease Cycles'!$C$9*INDEX('Lease Cycles'!$ET$9:$EZ$9,1,EH27)*(1+'Lease Cycles'!$V$9)^INT(INT(EH28/12)/'Lease Cycles'!$W$9)/12,0),0)</f>
        <v>0</v>
      </c>
      <c r="EI31" s="28">
        <f>IF(EI29=1,IF(INDEX('Lease Cycles'!$EF$9:$EL$9,1,EI27)=1,'Lease Cycles'!$C$9*INDEX('Lease Cycles'!$ET$9:$EZ$9,1,EI27)*(1+'Lease Cycles'!$V$9)^INT(INT(EI28/12)/'Lease Cycles'!$W$9)/12,0),0)</f>
        <v>0</v>
      </c>
      <c r="EJ31" s="28">
        <f>IF(EJ29=1,IF(INDEX('Lease Cycles'!$EF$9:$EL$9,1,EJ27)=1,'Lease Cycles'!$C$9*INDEX('Lease Cycles'!$ET$9:$EZ$9,1,EJ27)*(1+'Lease Cycles'!$V$9)^INT(INT(EJ28/12)/'Lease Cycles'!$W$9)/12,0),0)</f>
        <v>0</v>
      </c>
      <c r="EK31" s="28">
        <f>IF(EK29=1,IF(INDEX('Lease Cycles'!$EF$9:$EL$9,1,EK27)=1,'Lease Cycles'!$C$9*INDEX('Lease Cycles'!$ET$9:$EZ$9,1,EK27)*(1+'Lease Cycles'!$V$9)^INT(INT(EK28/12)/'Lease Cycles'!$W$9)/12,0),0)</f>
        <v>0</v>
      </c>
      <c r="EL31" s="28">
        <f>IF(EL29=1,IF(INDEX('Lease Cycles'!$EF$9:$EL$9,1,EL27)=1,'Lease Cycles'!$C$9*INDEX('Lease Cycles'!$ET$9:$EZ$9,1,EL27)*(1+'Lease Cycles'!$V$9)^INT(INT(EL28/12)/'Lease Cycles'!$W$9)/12,0),0)</f>
        <v>0</v>
      </c>
      <c r="EM31" s="28">
        <f>IF(EM29=1,IF(INDEX('Lease Cycles'!$EF$9:$EL$9,1,EM27)=1,'Lease Cycles'!$C$9*INDEX('Lease Cycles'!$ET$9:$EZ$9,1,EM27)*(1+'Lease Cycles'!$V$9)^INT(INT(EM28/12)/'Lease Cycles'!$W$9)/12,0),0)</f>
        <v>0</v>
      </c>
      <c r="EN31" s="28">
        <f>IF(EN29=1,IF(INDEX('Lease Cycles'!$EF$9:$EL$9,1,EN27)=1,'Lease Cycles'!$C$9*INDEX('Lease Cycles'!$ET$9:$EZ$9,1,EN27)*(1+'Lease Cycles'!$V$9)^INT(INT(EN28/12)/'Lease Cycles'!$W$9)/12,0),0)</f>
        <v>0</v>
      </c>
      <c r="EO31" s="28">
        <f>IF(EO29=1,IF(INDEX('Lease Cycles'!$EF$9:$EL$9,1,EO27)=1,'Lease Cycles'!$C$9*INDEX('Lease Cycles'!$ET$9:$EZ$9,1,EO27)*(1+'Lease Cycles'!$V$9)^INT(INT(EO28/12)/'Lease Cycles'!$W$9)/12,0),0)</f>
        <v>0</v>
      </c>
      <c r="EP31" s="28">
        <f>IF(EP29=1,IF(INDEX('Lease Cycles'!$EF$9:$EL$9,1,EP27)=1,'Lease Cycles'!$C$9*INDEX('Lease Cycles'!$ET$9:$EZ$9,1,EP27)*(1+'Lease Cycles'!$V$9)^INT(INT(EP28/12)/'Lease Cycles'!$W$9)/12,0),0)</f>
        <v>0</v>
      </c>
      <c r="EQ31" s="28">
        <f>IF(EQ29=1,IF(INDEX('Lease Cycles'!$EF$9:$EL$9,1,EQ27)=1,'Lease Cycles'!$C$9*INDEX('Lease Cycles'!$ET$9:$EZ$9,1,EQ27)*(1+'Lease Cycles'!$V$9)^INT(INT(EQ28/12)/'Lease Cycles'!$W$9)/12,0),0)</f>
        <v>0</v>
      </c>
      <c r="ER31" s="28">
        <f>IF(ER29=1,IF(INDEX('Lease Cycles'!$EF$9:$EL$9,1,ER27)=1,'Lease Cycles'!$C$9*INDEX('Lease Cycles'!$ET$9:$EZ$9,1,ER27)*(1+'Lease Cycles'!$V$9)^INT(INT(ER28/12)/'Lease Cycles'!$W$9)/12,0),0)</f>
        <v>0</v>
      </c>
      <c r="ES31" s="28">
        <f>IF(ES29=1,IF(INDEX('Lease Cycles'!$EF$9:$EL$9,1,ES27)=1,'Lease Cycles'!$C$9*INDEX('Lease Cycles'!$ET$9:$EZ$9,1,ES27)*(1+'Lease Cycles'!$V$9)^INT(INT(ES28/12)/'Lease Cycles'!$W$9)/12,0),0)</f>
        <v>0</v>
      </c>
      <c r="ET31" s="28">
        <f>IF(ET29=1,IF(INDEX('Lease Cycles'!$EF$9:$EL$9,1,ET27)=1,'Lease Cycles'!$C$9*INDEX('Lease Cycles'!$ET$9:$EZ$9,1,ET27)*(1+'Lease Cycles'!$V$9)^INT(INT(ET28/12)/'Lease Cycles'!$W$9)/12,0),0)</f>
        <v>0</v>
      </c>
    </row>
    <row r="32">
      <c r="A32" s="103">
        <v>2</v>
      </c>
      <c r="B32" s="23" t="str">
        <f>IF('Lease Cycles'!$B$9="","(empty slot)",'Lease Cycles'!$B$9)</f>
        <v>Sunfield Pharmacy</v>
      </c>
      <c r="C32" s="23" t="s">
        <v>681</v>
      </c>
      <c r="D32" s="104" t="s">
        <v>490</v>
      </c>
      <c r="E32" s="25">
        <f>'Lease Cycles'!$AL$9</f>
        <v>0</v>
      </c>
      <c r="G32" s="28">
        <f>SUM(S32:AD32)</f>
        <v>162000</v>
      </c>
      <c r="H32" s="28">
        <f>SUM(AE32:AP32)</f>
        <v>162000</v>
      </c>
      <c r="I32" s="28">
        <f>SUM(AQ32:BB32)</f>
        <v>162000</v>
      </c>
      <c r="J32" s="28">
        <f>SUM(BC32:BN32)</f>
        <v>162000</v>
      </c>
      <c r="K32" s="28">
        <f>SUM(BO32:BZ32)</f>
        <v>165683.85811421074</v>
      </c>
      <c r="L32" s="28">
        <f>SUM(CA32:CL32)</f>
        <v>166231.81882098882</v>
      </c>
      <c r="M32" s="28">
        <f>SUM(CM32:CX32)</f>
        <v>166231.81882098882</v>
      </c>
      <c r="N32" s="28">
        <f>SUM(CY32:DJ32)</f>
        <v>166231.81882098882</v>
      </c>
      <c r="O32" s="28">
        <f>SUM(DK32:DV32)</f>
        <v>166231.81882098882</v>
      </c>
      <c r="P32" s="28">
        <f>SUM(DW32:EH32)</f>
        <v>173158.1446051967</v>
      </c>
      <c r="Q32" s="28">
        <f>SUM(EI32:ET32)</f>
        <v>182855.00070308772</v>
      </c>
      <c r="S32" s="28">
        <f>IF(S29=1,IF(INDEX('Lease Cycles'!$EF$9:$EL$9,1,S27)=1,S30*INDEX('Lease Cycles'!$EM$9:$ES$9,1,S27)+S31*(1-INDEX('Lease Cycles'!$EM$9:$ES$9,1,S27)),S30),S30)</f>
        <v>13500</v>
      </c>
      <c r="T32" s="28">
        <f>IF(T29=1,IF(INDEX('Lease Cycles'!$EF$9:$EL$9,1,T27)=1,T30*INDEX('Lease Cycles'!$EM$9:$ES$9,1,T27)+T31*(1-INDEX('Lease Cycles'!$EM$9:$ES$9,1,T27)),T30),T30)</f>
        <v>13500</v>
      </c>
      <c r="U32" s="28">
        <f>IF(U29=1,IF(INDEX('Lease Cycles'!$EF$9:$EL$9,1,U27)=1,U30*INDEX('Lease Cycles'!$EM$9:$ES$9,1,U27)+U31*(1-INDEX('Lease Cycles'!$EM$9:$ES$9,1,U27)),U30),U30)</f>
        <v>13500</v>
      </c>
      <c r="V32" s="28">
        <f>IF(V29=1,IF(INDEX('Lease Cycles'!$EF$9:$EL$9,1,V27)=1,V30*INDEX('Lease Cycles'!$EM$9:$ES$9,1,V27)+V31*(1-INDEX('Lease Cycles'!$EM$9:$ES$9,1,V27)),V30),V30)</f>
        <v>13500</v>
      </c>
      <c r="W32" s="28">
        <f>IF(W29=1,IF(INDEX('Lease Cycles'!$EF$9:$EL$9,1,W27)=1,W30*INDEX('Lease Cycles'!$EM$9:$ES$9,1,W27)+W31*(1-INDEX('Lease Cycles'!$EM$9:$ES$9,1,W27)),W30),W30)</f>
        <v>13500</v>
      </c>
      <c r="X32" s="28">
        <f>IF(X29=1,IF(INDEX('Lease Cycles'!$EF$9:$EL$9,1,X27)=1,X30*INDEX('Lease Cycles'!$EM$9:$ES$9,1,X27)+X31*(1-INDEX('Lease Cycles'!$EM$9:$ES$9,1,X27)),X30),X30)</f>
        <v>13500</v>
      </c>
      <c r="Y32" s="28">
        <f>IF(Y29=1,IF(INDEX('Lease Cycles'!$EF$9:$EL$9,1,Y27)=1,Y30*INDEX('Lease Cycles'!$EM$9:$ES$9,1,Y27)+Y31*(1-INDEX('Lease Cycles'!$EM$9:$ES$9,1,Y27)),Y30),Y30)</f>
        <v>13500</v>
      </c>
      <c r="Z32" s="28">
        <f>IF(Z29=1,IF(INDEX('Lease Cycles'!$EF$9:$EL$9,1,Z27)=1,Z30*INDEX('Lease Cycles'!$EM$9:$ES$9,1,Z27)+Z31*(1-INDEX('Lease Cycles'!$EM$9:$ES$9,1,Z27)),Z30),Z30)</f>
        <v>13500</v>
      </c>
      <c r="AA32" s="28">
        <f>IF(AA29=1,IF(INDEX('Lease Cycles'!$EF$9:$EL$9,1,AA27)=1,AA30*INDEX('Lease Cycles'!$EM$9:$ES$9,1,AA27)+AA31*(1-INDEX('Lease Cycles'!$EM$9:$ES$9,1,AA27)),AA30),AA30)</f>
        <v>13500</v>
      </c>
      <c r="AB32" s="28">
        <f>IF(AB29=1,IF(INDEX('Lease Cycles'!$EF$9:$EL$9,1,AB27)=1,AB30*INDEX('Lease Cycles'!$EM$9:$ES$9,1,AB27)+AB31*(1-INDEX('Lease Cycles'!$EM$9:$ES$9,1,AB27)),AB30),AB30)</f>
        <v>13500</v>
      </c>
      <c r="AC32" s="28">
        <f>IF(AC29=1,IF(INDEX('Lease Cycles'!$EF$9:$EL$9,1,AC27)=1,AC30*INDEX('Lease Cycles'!$EM$9:$ES$9,1,AC27)+AC31*(1-INDEX('Lease Cycles'!$EM$9:$ES$9,1,AC27)),AC30),AC30)</f>
        <v>13500</v>
      </c>
      <c r="AD32" s="28">
        <f>IF(AD29=1,IF(INDEX('Lease Cycles'!$EF$9:$EL$9,1,AD27)=1,AD30*INDEX('Lease Cycles'!$EM$9:$ES$9,1,AD27)+AD31*(1-INDEX('Lease Cycles'!$EM$9:$ES$9,1,AD27)),AD30),AD30)</f>
        <v>13500</v>
      </c>
      <c r="AE32" s="28">
        <f>IF(AE29=1,IF(INDEX('Lease Cycles'!$EF$9:$EL$9,1,AE27)=1,AE30*INDEX('Lease Cycles'!$EM$9:$ES$9,1,AE27)+AE31*(1-INDEX('Lease Cycles'!$EM$9:$ES$9,1,AE27)),AE30),AE30)</f>
        <v>13500</v>
      </c>
      <c r="AF32" s="28">
        <f>IF(AF29=1,IF(INDEX('Lease Cycles'!$EF$9:$EL$9,1,AF27)=1,AF30*INDEX('Lease Cycles'!$EM$9:$ES$9,1,AF27)+AF31*(1-INDEX('Lease Cycles'!$EM$9:$ES$9,1,AF27)),AF30),AF30)</f>
        <v>13500</v>
      </c>
      <c r="AG32" s="28">
        <f>IF(AG29=1,IF(INDEX('Lease Cycles'!$EF$9:$EL$9,1,AG27)=1,AG30*INDEX('Lease Cycles'!$EM$9:$ES$9,1,AG27)+AG31*(1-INDEX('Lease Cycles'!$EM$9:$ES$9,1,AG27)),AG30),AG30)</f>
        <v>13500</v>
      </c>
      <c r="AH32" s="28">
        <f>IF(AH29=1,IF(INDEX('Lease Cycles'!$EF$9:$EL$9,1,AH27)=1,AH30*INDEX('Lease Cycles'!$EM$9:$ES$9,1,AH27)+AH31*(1-INDEX('Lease Cycles'!$EM$9:$ES$9,1,AH27)),AH30),AH30)</f>
        <v>13500</v>
      </c>
      <c r="AI32" s="28">
        <f>IF(AI29=1,IF(INDEX('Lease Cycles'!$EF$9:$EL$9,1,AI27)=1,AI30*INDEX('Lease Cycles'!$EM$9:$ES$9,1,AI27)+AI31*(1-INDEX('Lease Cycles'!$EM$9:$ES$9,1,AI27)),AI30),AI30)</f>
        <v>13500</v>
      </c>
      <c r="AJ32" s="28">
        <f>IF(AJ29=1,IF(INDEX('Lease Cycles'!$EF$9:$EL$9,1,AJ27)=1,AJ30*INDEX('Lease Cycles'!$EM$9:$ES$9,1,AJ27)+AJ31*(1-INDEX('Lease Cycles'!$EM$9:$ES$9,1,AJ27)),AJ30),AJ30)</f>
        <v>13500</v>
      </c>
      <c r="AK32" s="28">
        <f>IF(AK29=1,IF(INDEX('Lease Cycles'!$EF$9:$EL$9,1,AK27)=1,AK30*INDEX('Lease Cycles'!$EM$9:$ES$9,1,AK27)+AK31*(1-INDEX('Lease Cycles'!$EM$9:$ES$9,1,AK27)),AK30),AK30)</f>
        <v>13500</v>
      </c>
      <c r="AL32" s="28">
        <f>IF(AL29=1,IF(INDEX('Lease Cycles'!$EF$9:$EL$9,1,AL27)=1,AL30*INDEX('Lease Cycles'!$EM$9:$ES$9,1,AL27)+AL31*(1-INDEX('Lease Cycles'!$EM$9:$ES$9,1,AL27)),AL30),AL30)</f>
        <v>13500</v>
      </c>
      <c r="AM32" s="28">
        <f>IF(AM29=1,IF(INDEX('Lease Cycles'!$EF$9:$EL$9,1,AM27)=1,AM30*INDEX('Lease Cycles'!$EM$9:$ES$9,1,AM27)+AM31*(1-INDEX('Lease Cycles'!$EM$9:$ES$9,1,AM27)),AM30),AM30)</f>
        <v>13500</v>
      </c>
      <c r="AN32" s="28">
        <f>IF(AN29=1,IF(INDEX('Lease Cycles'!$EF$9:$EL$9,1,AN27)=1,AN30*INDEX('Lease Cycles'!$EM$9:$ES$9,1,AN27)+AN31*(1-INDEX('Lease Cycles'!$EM$9:$ES$9,1,AN27)),AN30),AN30)</f>
        <v>13500</v>
      </c>
      <c r="AO32" s="28">
        <f>IF(AO29=1,IF(INDEX('Lease Cycles'!$EF$9:$EL$9,1,AO27)=1,AO30*INDEX('Lease Cycles'!$EM$9:$ES$9,1,AO27)+AO31*(1-INDEX('Lease Cycles'!$EM$9:$ES$9,1,AO27)),AO30),AO30)</f>
        <v>13500</v>
      </c>
      <c r="AP32" s="28">
        <f>IF(AP29=1,IF(INDEX('Lease Cycles'!$EF$9:$EL$9,1,AP27)=1,AP30*INDEX('Lease Cycles'!$EM$9:$ES$9,1,AP27)+AP31*(1-INDEX('Lease Cycles'!$EM$9:$ES$9,1,AP27)),AP30),AP30)</f>
        <v>13500</v>
      </c>
      <c r="AQ32" s="28">
        <f>IF(AQ29=1,IF(INDEX('Lease Cycles'!$EF$9:$EL$9,1,AQ27)=1,AQ30*INDEX('Lease Cycles'!$EM$9:$ES$9,1,AQ27)+AQ31*(1-INDEX('Lease Cycles'!$EM$9:$ES$9,1,AQ27)),AQ30),AQ30)</f>
        <v>13500</v>
      </c>
      <c r="AR32" s="28">
        <f>IF(AR29=1,IF(INDEX('Lease Cycles'!$EF$9:$EL$9,1,AR27)=1,AR30*INDEX('Lease Cycles'!$EM$9:$ES$9,1,AR27)+AR31*(1-INDEX('Lease Cycles'!$EM$9:$ES$9,1,AR27)),AR30),AR30)</f>
        <v>13500</v>
      </c>
      <c r="AS32" s="28">
        <f>IF(AS29=1,IF(INDEX('Lease Cycles'!$EF$9:$EL$9,1,AS27)=1,AS30*INDEX('Lease Cycles'!$EM$9:$ES$9,1,AS27)+AS31*(1-INDEX('Lease Cycles'!$EM$9:$ES$9,1,AS27)),AS30),AS30)</f>
        <v>13500</v>
      </c>
      <c r="AT32" s="28">
        <f>IF(AT29=1,IF(INDEX('Lease Cycles'!$EF$9:$EL$9,1,AT27)=1,AT30*INDEX('Lease Cycles'!$EM$9:$ES$9,1,AT27)+AT31*(1-INDEX('Lease Cycles'!$EM$9:$ES$9,1,AT27)),AT30),AT30)</f>
        <v>13500</v>
      </c>
      <c r="AU32" s="28">
        <f>IF(AU29=1,IF(INDEX('Lease Cycles'!$EF$9:$EL$9,1,AU27)=1,AU30*INDEX('Lease Cycles'!$EM$9:$ES$9,1,AU27)+AU31*(1-INDEX('Lease Cycles'!$EM$9:$ES$9,1,AU27)),AU30),AU30)</f>
        <v>13500</v>
      </c>
      <c r="AV32" s="28">
        <f>IF(AV29=1,IF(INDEX('Lease Cycles'!$EF$9:$EL$9,1,AV27)=1,AV30*INDEX('Lease Cycles'!$EM$9:$ES$9,1,AV27)+AV31*(1-INDEX('Lease Cycles'!$EM$9:$ES$9,1,AV27)),AV30),AV30)</f>
        <v>13500</v>
      </c>
      <c r="AW32" s="28">
        <f>IF(AW29=1,IF(INDEX('Lease Cycles'!$EF$9:$EL$9,1,AW27)=1,AW30*INDEX('Lease Cycles'!$EM$9:$ES$9,1,AW27)+AW31*(1-INDEX('Lease Cycles'!$EM$9:$ES$9,1,AW27)),AW30),AW30)</f>
        <v>13500</v>
      </c>
      <c r="AX32" s="28">
        <f>IF(AX29=1,IF(INDEX('Lease Cycles'!$EF$9:$EL$9,1,AX27)=1,AX30*INDEX('Lease Cycles'!$EM$9:$ES$9,1,AX27)+AX31*(1-INDEX('Lease Cycles'!$EM$9:$ES$9,1,AX27)),AX30),AX30)</f>
        <v>13500</v>
      </c>
      <c r="AY32" s="28">
        <f>IF(AY29=1,IF(INDEX('Lease Cycles'!$EF$9:$EL$9,1,AY27)=1,AY30*INDEX('Lease Cycles'!$EM$9:$ES$9,1,AY27)+AY31*(1-INDEX('Lease Cycles'!$EM$9:$ES$9,1,AY27)),AY30),AY30)</f>
        <v>13500</v>
      </c>
      <c r="AZ32" s="28">
        <f>IF(AZ29=1,IF(INDEX('Lease Cycles'!$EF$9:$EL$9,1,AZ27)=1,AZ30*INDEX('Lease Cycles'!$EM$9:$ES$9,1,AZ27)+AZ31*(1-INDEX('Lease Cycles'!$EM$9:$ES$9,1,AZ27)),AZ30),AZ30)</f>
        <v>13500</v>
      </c>
      <c r="BA32" s="28">
        <f>IF(BA29=1,IF(INDEX('Lease Cycles'!$EF$9:$EL$9,1,BA27)=1,BA30*INDEX('Lease Cycles'!$EM$9:$ES$9,1,BA27)+BA31*(1-INDEX('Lease Cycles'!$EM$9:$ES$9,1,BA27)),BA30),BA30)</f>
        <v>13500</v>
      </c>
      <c r="BB32" s="28">
        <f>IF(BB29=1,IF(INDEX('Lease Cycles'!$EF$9:$EL$9,1,BB27)=1,BB30*INDEX('Lease Cycles'!$EM$9:$ES$9,1,BB27)+BB31*(1-INDEX('Lease Cycles'!$EM$9:$ES$9,1,BB27)),BB30),BB30)</f>
        <v>13500</v>
      </c>
      <c r="BC32" s="28">
        <f>IF(BC29=1,IF(INDEX('Lease Cycles'!$EF$9:$EL$9,1,BC27)=1,BC30*INDEX('Lease Cycles'!$EM$9:$ES$9,1,BC27)+BC31*(1-INDEX('Lease Cycles'!$EM$9:$ES$9,1,BC27)),BC30),BC30)</f>
        <v>13500</v>
      </c>
      <c r="BD32" s="28">
        <f>IF(BD29=1,IF(INDEX('Lease Cycles'!$EF$9:$EL$9,1,BD27)=1,BD30*INDEX('Lease Cycles'!$EM$9:$ES$9,1,BD27)+BD31*(1-INDEX('Lease Cycles'!$EM$9:$ES$9,1,BD27)),BD30),BD30)</f>
        <v>13500</v>
      </c>
      <c r="BE32" s="28">
        <f>IF(BE29=1,IF(INDEX('Lease Cycles'!$EF$9:$EL$9,1,BE27)=1,BE30*INDEX('Lease Cycles'!$EM$9:$ES$9,1,BE27)+BE31*(1-INDEX('Lease Cycles'!$EM$9:$ES$9,1,BE27)),BE30),BE30)</f>
        <v>13500</v>
      </c>
      <c r="BF32" s="28">
        <f>IF(BF29=1,IF(INDEX('Lease Cycles'!$EF$9:$EL$9,1,BF27)=1,BF30*INDEX('Lease Cycles'!$EM$9:$ES$9,1,BF27)+BF31*(1-INDEX('Lease Cycles'!$EM$9:$ES$9,1,BF27)),BF30),BF30)</f>
        <v>13500</v>
      </c>
      <c r="BG32" s="28">
        <f>IF(BG29=1,IF(INDEX('Lease Cycles'!$EF$9:$EL$9,1,BG27)=1,BG30*INDEX('Lease Cycles'!$EM$9:$ES$9,1,BG27)+BG31*(1-INDEX('Lease Cycles'!$EM$9:$ES$9,1,BG27)),BG30),BG30)</f>
        <v>13500</v>
      </c>
      <c r="BH32" s="28">
        <f>IF(BH29=1,IF(INDEX('Lease Cycles'!$EF$9:$EL$9,1,BH27)=1,BH30*INDEX('Lease Cycles'!$EM$9:$ES$9,1,BH27)+BH31*(1-INDEX('Lease Cycles'!$EM$9:$ES$9,1,BH27)),BH30),BH30)</f>
        <v>13500</v>
      </c>
      <c r="BI32" s="28">
        <f>IF(BI29=1,IF(INDEX('Lease Cycles'!$EF$9:$EL$9,1,BI27)=1,BI30*INDEX('Lease Cycles'!$EM$9:$ES$9,1,BI27)+BI31*(1-INDEX('Lease Cycles'!$EM$9:$ES$9,1,BI27)),BI30),BI30)</f>
        <v>13500</v>
      </c>
      <c r="BJ32" s="28">
        <f>IF(BJ29=1,IF(INDEX('Lease Cycles'!$EF$9:$EL$9,1,BJ27)=1,BJ30*INDEX('Lease Cycles'!$EM$9:$ES$9,1,BJ27)+BJ31*(1-INDEX('Lease Cycles'!$EM$9:$ES$9,1,BJ27)),BJ30),BJ30)</f>
        <v>13500</v>
      </c>
      <c r="BK32" s="28">
        <f>IF(BK29=1,IF(INDEX('Lease Cycles'!$EF$9:$EL$9,1,BK27)=1,BK30*INDEX('Lease Cycles'!$EM$9:$ES$9,1,BK27)+BK31*(1-INDEX('Lease Cycles'!$EM$9:$ES$9,1,BK27)),BK30),BK30)</f>
        <v>13500</v>
      </c>
      <c r="BL32" s="28">
        <f>IF(BL29=1,IF(INDEX('Lease Cycles'!$EF$9:$EL$9,1,BL27)=1,BL30*INDEX('Lease Cycles'!$EM$9:$ES$9,1,BL27)+BL31*(1-INDEX('Lease Cycles'!$EM$9:$ES$9,1,BL27)),BL30),BL30)</f>
        <v>13500</v>
      </c>
      <c r="BM32" s="28">
        <f>IF(BM29=1,IF(INDEX('Lease Cycles'!$EF$9:$EL$9,1,BM27)=1,BM30*INDEX('Lease Cycles'!$EM$9:$ES$9,1,BM27)+BM31*(1-INDEX('Lease Cycles'!$EM$9:$ES$9,1,BM27)),BM30),BM30)</f>
        <v>13500</v>
      </c>
      <c r="BN32" s="28">
        <f>IF(BN29=1,IF(INDEX('Lease Cycles'!$EF$9:$EL$9,1,BN27)=1,BN30*INDEX('Lease Cycles'!$EM$9:$ES$9,1,BN27)+BN31*(1-INDEX('Lease Cycles'!$EM$9:$ES$9,1,BN27)),BN30),BN30)</f>
        <v>13500</v>
      </c>
      <c r="BO32" s="28">
        <f>IF(BO29=1,IF(INDEX('Lease Cycles'!$EF$9:$EL$9,1,BO27)=1,BO30*INDEX('Lease Cycles'!$EM$9:$ES$9,1,BO27)+BO31*(1-INDEX('Lease Cycles'!$EM$9:$ES$9,1,BO27)),BO30),BO30)</f>
        <v>13500</v>
      </c>
      <c r="BP32" s="28">
        <f>IF(BP29=1,IF(INDEX('Lease Cycles'!$EF$9:$EL$9,1,BP27)=1,BP30*INDEX('Lease Cycles'!$EM$9:$ES$9,1,BP27)+BP31*(1-INDEX('Lease Cycles'!$EM$9:$ES$9,1,BP27)),BP30),BP30)</f>
        <v>13500</v>
      </c>
      <c r="BQ32" s="28">
        <f>IF(BQ29=1,IF(INDEX('Lease Cycles'!$EF$9:$EL$9,1,BQ27)=1,BQ30*INDEX('Lease Cycles'!$EM$9:$ES$9,1,BQ27)+BQ31*(1-INDEX('Lease Cycles'!$EM$9:$ES$9,1,BQ27)),BQ30),BQ30)</f>
        <v>13500</v>
      </c>
      <c r="BR32" s="28">
        <f>IF(BR29=1,IF(INDEX('Lease Cycles'!$EF$9:$EL$9,1,BR27)=1,BR30*INDEX('Lease Cycles'!$EM$9:$ES$9,1,BR27)+BR31*(1-INDEX('Lease Cycles'!$EM$9:$ES$9,1,BR27)),BR30),BR30)</f>
        <v>13500</v>
      </c>
      <c r="BS32" s="28">
        <f>IF(BS29=1,IF(INDEX('Lease Cycles'!$EF$9:$EL$9,1,BS27)=1,BS30*INDEX('Lease Cycles'!$EM$9:$ES$9,1,BS27)+BS31*(1-INDEX('Lease Cycles'!$EM$9:$ES$9,1,BS27)),BS30),BS30)</f>
        <v>13500</v>
      </c>
      <c r="BT32" s="28">
        <f>IF(BT29=1,IF(INDEX('Lease Cycles'!$EF$9:$EL$9,1,BT27)=1,BT30*INDEX('Lease Cycles'!$EM$9:$ES$9,1,BT27)+BT31*(1-INDEX('Lease Cycles'!$EM$9:$ES$9,1,BT27)),BT30),BT30)</f>
        <v>13500</v>
      </c>
      <c r="BU32" s="28">
        <f>IF(BU29=1,IF(INDEX('Lease Cycles'!$EF$9:$EL$9,1,BU27)=1,BU30*INDEX('Lease Cycles'!$EM$9:$ES$9,1,BU27)+BU31*(1-INDEX('Lease Cycles'!$EM$9:$ES$9,1,BU27)),BU30),BU30)</f>
        <v>15420.600272132076</v>
      </c>
      <c r="BV32" s="28">
        <f>IF(BV29=1,IF(INDEX('Lease Cycles'!$EF$9:$EL$9,1,BV27)=1,BV30*INDEX('Lease Cycles'!$EM$9:$ES$9,1,BV27)+BV31*(1-INDEX('Lease Cycles'!$EM$9:$ES$9,1,BV27)),BV30),BV30)</f>
        <v>13852.651568415735</v>
      </c>
      <c r="BW32" s="28">
        <f>IF(BW29=1,IF(INDEX('Lease Cycles'!$EF$9:$EL$9,1,BW27)=1,BW30*INDEX('Lease Cycles'!$EM$9:$ES$9,1,BW27)+BW31*(1-INDEX('Lease Cycles'!$EM$9:$ES$9,1,BW27)),BW30),BW30)</f>
        <v>13852.651568415735</v>
      </c>
      <c r="BX32" s="28">
        <f>IF(BX29=1,IF(INDEX('Lease Cycles'!$EF$9:$EL$9,1,BX27)=1,BX30*INDEX('Lease Cycles'!$EM$9:$ES$9,1,BX27)+BX31*(1-INDEX('Lease Cycles'!$EM$9:$ES$9,1,BX27)),BX30),BX30)</f>
        <v>13852.651568415735</v>
      </c>
      <c r="BY32" s="28">
        <f>IF(BY29=1,IF(INDEX('Lease Cycles'!$EF$9:$EL$9,1,BY27)=1,BY30*INDEX('Lease Cycles'!$EM$9:$ES$9,1,BY27)+BY31*(1-INDEX('Lease Cycles'!$EM$9:$ES$9,1,BY27)),BY30),BY30)</f>
        <v>13852.651568415735</v>
      </c>
      <c r="BZ32" s="28">
        <f>IF(BZ29=1,IF(INDEX('Lease Cycles'!$EF$9:$EL$9,1,BZ27)=1,BZ30*INDEX('Lease Cycles'!$EM$9:$ES$9,1,BZ27)+BZ31*(1-INDEX('Lease Cycles'!$EM$9:$ES$9,1,BZ27)),BZ30),BZ30)</f>
        <v>13852.651568415735</v>
      </c>
      <c r="CA32" s="28">
        <f>IF(CA29=1,IF(INDEX('Lease Cycles'!$EF$9:$EL$9,1,CA27)=1,CA30*INDEX('Lease Cycles'!$EM$9:$ES$9,1,CA27)+CA31*(1-INDEX('Lease Cycles'!$EM$9:$ES$9,1,CA27)),CA30),CA30)</f>
        <v>13852.651568415735</v>
      </c>
      <c r="CB32" s="28">
        <f>IF(CB29=1,IF(INDEX('Lease Cycles'!$EF$9:$EL$9,1,CB27)=1,CB30*INDEX('Lease Cycles'!$EM$9:$ES$9,1,CB27)+CB31*(1-INDEX('Lease Cycles'!$EM$9:$ES$9,1,CB27)),CB30),CB30)</f>
        <v>13852.651568415735</v>
      </c>
      <c r="CC32" s="28">
        <f>IF(CC29=1,IF(INDEX('Lease Cycles'!$EF$9:$EL$9,1,CC27)=1,CC30*INDEX('Lease Cycles'!$EM$9:$ES$9,1,CC27)+CC31*(1-INDEX('Lease Cycles'!$EM$9:$ES$9,1,CC27)),CC30),CC30)</f>
        <v>13852.651568415735</v>
      </c>
      <c r="CD32" s="28">
        <f>IF(CD29=1,IF(INDEX('Lease Cycles'!$EF$9:$EL$9,1,CD27)=1,CD30*INDEX('Lease Cycles'!$EM$9:$ES$9,1,CD27)+CD31*(1-INDEX('Lease Cycles'!$EM$9:$ES$9,1,CD27)),CD30),CD30)</f>
        <v>13852.651568415735</v>
      </c>
      <c r="CE32" s="28">
        <f>IF(CE29=1,IF(INDEX('Lease Cycles'!$EF$9:$EL$9,1,CE27)=1,CE30*INDEX('Lease Cycles'!$EM$9:$ES$9,1,CE27)+CE31*(1-INDEX('Lease Cycles'!$EM$9:$ES$9,1,CE27)),CE30),CE30)</f>
        <v>13852.651568415735</v>
      </c>
      <c r="CF32" s="28">
        <f>IF(CF29=1,IF(INDEX('Lease Cycles'!$EF$9:$EL$9,1,CF27)=1,CF30*INDEX('Lease Cycles'!$EM$9:$ES$9,1,CF27)+CF31*(1-INDEX('Lease Cycles'!$EM$9:$ES$9,1,CF27)),CF30),CF30)</f>
        <v>13852.651568415735</v>
      </c>
      <c r="CG32" s="28">
        <f>IF(CG29=1,IF(INDEX('Lease Cycles'!$EF$9:$EL$9,1,CG27)=1,CG30*INDEX('Lease Cycles'!$EM$9:$ES$9,1,CG27)+CG31*(1-INDEX('Lease Cycles'!$EM$9:$ES$9,1,CG27)),CG30),CG30)</f>
        <v>13852.651568415735</v>
      </c>
      <c r="CH32" s="28">
        <f>IF(CH29=1,IF(INDEX('Lease Cycles'!$EF$9:$EL$9,1,CH27)=1,CH30*INDEX('Lease Cycles'!$EM$9:$ES$9,1,CH27)+CH31*(1-INDEX('Lease Cycles'!$EM$9:$ES$9,1,CH27)),CH30),CH30)</f>
        <v>13852.651568415735</v>
      </c>
      <c r="CI32" s="28">
        <f>IF(CI29=1,IF(INDEX('Lease Cycles'!$EF$9:$EL$9,1,CI27)=1,CI30*INDEX('Lease Cycles'!$EM$9:$ES$9,1,CI27)+CI31*(1-INDEX('Lease Cycles'!$EM$9:$ES$9,1,CI27)),CI30),CI30)</f>
        <v>13852.651568415735</v>
      </c>
      <c r="CJ32" s="28">
        <f>IF(CJ29=1,IF(INDEX('Lease Cycles'!$EF$9:$EL$9,1,CJ27)=1,CJ30*INDEX('Lease Cycles'!$EM$9:$ES$9,1,CJ27)+CJ31*(1-INDEX('Lease Cycles'!$EM$9:$ES$9,1,CJ27)),CJ30),CJ30)</f>
        <v>13852.651568415735</v>
      </c>
      <c r="CK32" s="28">
        <f>IF(CK29=1,IF(INDEX('Lease Cycles'!$EF$9:$EL$9,1,CK27)=1,CK30*INDEX('Lease Cycles'!$EM$9:$ES$9,1,CK27)+CK31*(1-INDEX('Lease Cycles'!$EM$9:$ES$9,1,CK27)),CK30),CK30)</f>
        <v>13852.651568415735</v>
      </c>
      <c r="CL32" s="28">
        <f>IF(CL29=1,IF(INDEX('Lease Cycles'!$EF$9:$EL$9,1,CL27)=1,CL30*INDEX('Lease Cycles'!$EM$9:$ES$9,1,CL27)+CL31*(1-INDEX('Lease Cycles'!$EM$9:$ES$9,1,CL27)),CL30),CL30)</f>
        <v>13852.651568415735</v>
      </c>
      <c r="CM32" s="28">
        <f>IF(CM29=1,IF(INDEX('Lease Cycles'!$EF$9:$EL$9,1,CM27)=1,CM30*INDEX('Lease Cycles'!$EM$9:$ES$9,1,CM27)+CM31*(1-INDEX('Lease Cycles'!$EM$9:$ES$9,1,CM27)),CM30),CM30)</f>
        <v>13852.651568415735</v>
      </c>
      <c r="CN32" s="28">
        <f>IF(CN29=1,IF(INDEX('Lease Cycles'!$EF$9:$EL$9,1,CN27)=1,CN30*INDEX('Lease Cycles'!$EM$9:$ES$9,1,CN27)+CN31*(1-INDEX('Lease Cycles'!$EM$9:$ES$9,1,CN27)),CN30),CN30)</f>
        <v>13852.651568415735</v>
      </c>
      <c r="CO32" s="28">
        <f>IF(CO29=1,IF(INDEX('Lease Cycles'!$EF$9:$EL$9,1,CO27)=1,CO30*INDEX('Lease Cycles'!$EM$9:$ES$9,1,CO27)+CO31*(1-INDEX('Lease Cycles'!$EM$9:$ES$9,1,CO27)),CO30),CO30)</f>
        <v>13852.651568415735</v>
      </c>
      <c r="CP32" s="28">
        <f>IF(CP29=1,IF(INDEX('Lease Cycles'!$EF$9:$EL$9,1,CP27)=1,CP30*INDEX('Lease Cycles'!$EM$9:$ES$9,1,CP27)+CP31*(1-INDEX('Lease Cycles'!$EM$9:$ES$9,1,CP27)),CP30),CP30)</f>
        <v>13852.651568415735</v>
      </c>
      <c r="CQ32" s="28">
        <f>IF(CQ29=1,IF(INDEX('Lease Cycles'!$EF$9:$EL$9,1,CQ27)=1,CQ30*INDEX('Lease Cycles'!$EM$9:$ES$9,1,CQ27)+CQ31*(1-INDEX('Lease Cycles'!$EM$9:$ES$9,1,CQ27)),CQ30),CQ30)</f>
        <v>13852.651568415735</v>
      </c>
      <c r="CR32" s="28">
        <f>IF(CR29=1,IF(INDEX('Lease Cycles'!$EF$9:$EL$9,1,CR27)=1,CR30*INDEX('Lease Cycles'!$EM$9:$ES$9,1,CR27)+CR31*(1-INDEX('Lease Cycles'!$EM$9:$ES$9,1,CR27)),CR30),CR30)</f>
        <v>13852.651568415735</v>
      </c>
      <c r="CS32" s="28">
        <f>IF(CS29=1,IF(INDEX('Lease Cycles'!$EF$9:$EL$9,1,CS27)=1,CS30*INDEX('Lease Cycles'!$EM$9:$ES$9,1,CS27)+CS31*(1-INDEX('Lease Cycles'!$EM$9:$ES$9,1,CS27)),CS30),CS30)</f>
        <v>13852.651568415735</v>
      </c>
      <c r="CT32" s="28">
        <f>IF(CT29=1,IF(INDEX('Lease Cycles'!$EF$9:$EL$9,1,CT27)=1,CT30*INDEX('Lease Cycles'!$EM$9:$ES$9,1,CT27)+CT31*(1-INDEX('Lease Cycles'!$EM$9:$ES$9,1,CT27)),CT30),CT30)</f>
        <v>13852.651568415735</v>
      </c>
      <c r="CU32" s="28">
        <f>IF(CU29=1,IF(INDEX('Lease Cycles'!$EF$9:$EL$9,1,CU27)=1,CU30*INDEX('Lease Cycles'!$EM$9:$ES$9,1,CU27)+CU31*(1-INDEX('Lease Cycles'!$EM$9:$ES$9,1,CU27)),CU30),CU30)</f>
        <v>13852.651568415735</v>
      </c>
      <c r="CV32" s="28">
        <f>IF(CV29=1,IF(INDEX('Lease Cycles'!$EF$9:$EL$9,1,CV27)=1,CV30*INDEX('Lease Cycles'!$EM$9:$ES$9,1,CV27)+CV31*(1-INDEX('Lease Cycles'!$EM$9:$ES$9,1,CV27)),CV30),CV30)</f>
        <v>13852.651568415735</v>
      </c>
      <c r="CW32" s="28">
        <f>IF(CW29=1,IF(INDEX('Lease Cycles'!$EF$9:$EL$9,1,CW27)=1,CW30*INDEX('Lease Cycles'!$EM$9:$ES$9,1,CW27)+CW31*(1-INDEX('Lease Cycles'!$EM$9:$ES$9,1,CW27)),CW30),CW30)</f>
        <v>13852.651568415735</v>
      </c>
      <c r="CX32" s="28">
        <f>IF(CX29=1,IF(INDEX('Lease Cycles'!$EF$9:$EL$9,1,CX27)=1,CX30*INDEX('Lease Cycles'!$EM$9:$ES$9,1,CX27)+CX31*(1-INDEX('Lease Cycles'!$EM$9:$ES$9,1,CX27)),CX30),CX30)</f>
        <v>13852.651568415735</v>
      </c>
      <c r="CY32" s="28">
        <f>IF(CY29=1,IF(INDEX('Lease Cycles'!$EF$9:$EL$9,1,CY27)=1,CY30*INDEX('Lease Cycles'!$EM$9:$ES$9,1,CY27)+CY31*(1-INDEX('Lease Cycles'!$EM$9:$ES$9,1,CY27)),CY30),CY30)</f>
        <v>13852.651568415735</v>
      </c>
      <c r="CZ32" s="28">
        <f>IF(CZ29=1,IF(INDEX('Lease Cycles'!$EF$9:$EL$9,1,CZ27)=1,CZ30*INDEX('Lease Cycles'!$EM$9:$ES$9,1,CZ27)+CZ31*(1-INDEX('Lease Cycles'!$EM$9:$ES$9,1,CZ27)),CZ30),CZ30)</f>
        <v>13852.651568415735</v>
      </c>
      <c r="DA32" s="28">
        <f>IF(DA29=1,IF(INDEX('Lease Cycles'!$EF$9:$EL$9,1,DA27)=1,DA30*INDEX('Lease Cycles'!$EM$9:$ES$9,1,DA27)+DA31*(1-INDEX('Lease Cycles'!$EM$9:$ES$9,1,DA27)),DA30),DA30)</f>
        <v>13852.651568415735</v>
      </c>
      <c r="DB32" s="28">
        <f>IF(DB29=1,IF(INDEX('Lease Cycles'!$EF$9:$EL$9,1,DB27)=1,DB30*INDEX('Lease Cycles'!$EM$9:$ES$9,1,DB27)+DB31*(1-INDEX('Lease Cycles'!$EM$9:$ES$9,1,DB27)),DB30),DB30)</f>
        <v>13852.651568415735</v>
      </c>
      <c r="DC32" s="28">
        <f>IF(DC29=1,IF(INDEX('Lease Cycles'!$EF$9:$EL$9,1,DC27)=1,DC30*INDEX('Lease Cycles'!$EM$9:$ES$9,1,DC27)+DC31*(1-INDEX('Lease Cycles'!$EM$9:$ES$9,1,DC27)),DC30),DC30)</f>
        <v>13852.651568415735</v>
      </c>
      <c r="DD32" s="28">
        <f>IF(DD29=1,IF(INDEX('Lease Cycles'!$EF$9:$EL$9,1,DD27)=1,DD30*INDEX('Lease Cycles'!$EM$9:$ES$9,1,DD27)+DD31*(1-INDEX('Lease Cycles'!$EM$9:$ES$9,1,DD27)),DD30),DD30)</f>
        <v>13852.651568415735</v>
      </c>
      <c r="DE32" s="28">
        <f>IF(DE29=1,IF(INDEX('Lease Cycles'!$EF$9:$EL$9,1,DE27)=1,DE30*INDEX('Lease Cycles'!$EM$9:$ES$9,1,DE27)+DE31*(1-INDEX('Lease Cycles'!$EM$9:$ES$9,1,DE27)),DE30),DE30)</f>
        <v>13852.651568415735</v>
      </c>
      <c r="DF32" s="28">
        <f>IF(DF29=1,IF(INDEX('Lease Cycles'!$EF$9:$EL$9,1,DF27)=1,DF30*INDEX('Lease Cycles'!$EM$9:$ES$9,1,DF27)+DF31*(1-INDEX('Lease Cycles'!$EM$9:$ES$9,1,DF27)),DF30),DF30)</f>
        <v>13852.651568415735</v>
      </c>
      <c r="DG32" s="28">
        <f>IF(DG29=1,IF(INDEX('Lease Cycles'!$EF$9:$EL$9,1,DG27)=1,DG30*INDEX('Lease Cycles'!$EM$9:$ES$9,1,DG27)+DG31*(1-INDEX('Lease Cycles'!$EM$9:$ES$9,1,DG27)),DG30),DG30)</f>
        <v>13852.651568415735</v>
      </c>
      <c r="DH32" s="28">
        <f>IF(DH29=1,IF(INDEX('Lease Cycles'!$EF$9:$EL$9,1,DH27)=1,DH30*INDEX('Lease Cycles'!$EM$9:$ES$9,1,DH27)+DH31*(1-INDEX('Lease Cycles'!$EM$9:$ES$9,1,DH27)),DH30),DH30)</f>
        <v>13852.651568415735</v>
      </c>
      <c r="DI32" s="28">
        <f>IF(DI29=1,IF(INDEX('Lease Cycles'!$EF$9:$EL$9,1,DI27)=1,DI30*INDEX('Lease Cycles'!$EM$9:$ES$9,1,DI27)+DI31*(1-INDEX('Lease Cycles'!$EM$9:$ES$9,1,DI27)),DI30),DI30)</f>
        <v>13852.651568415735</v>
      </c>
      <c r="DJ32" s="28">
        <f>IF(DJ29=1,IF(INDEX('Lease Cycles'!$EF$9:$EL$9,1,DJ27)=1,DJ30*INDEX('Lease Cycles'!$EM$9:$ES$9,1,DJ27)+DJ31*(1-INDEX('Lease Cycles'!$EM$9:$ES$9,1,DJ27)),DJ30),DJ30)</f>
        <v>13852.651568415735</v>
      </c>
      <c r="DK32" s="28">
        <f>IF(DK29=1,IF(INDEX('Lease Cycles'!$EF$9:$EL$9,1,DK27)=1,DK30*INDEX('Lease Cycles'!$EM$9:$ES$9,1,DK27)+DK31*(1-INDEX('Lease Cycles'!$EM$9:$ES$9,1,DK27)),DK30),DK30)</f>
        <v>13852.651568415735</v>
      </c>
      <c r="DL32" s="28">
        <f>IF(DL29=1,IF(INDEX('Lease Cycles'!$EF$9:$EL$9,1,DL27)=1,DL30*INDEX('Lease Cycles'!$EM$9:$ES$9,1,DL27)+DL31*(1-INDEX('Lease Cycles'!$EM$9:$ES$9,1,DL27)),DL30),DL30)</f>
        <v>13852.651568415735</v>
      </c>
      <c r="DM32" s="28">
        <f>IF(DM29=1,IF(INDEX('Lease Cycles'!$EF$9:$EL$9,1,DM27)=1,DM30*INDEX('Lease Cycles'!$EM$9:$ES$9,1,DM27)+DM31*(1-INDEX('Lease Cycles'!$EM$9:$ES$9,1,DM27)),DM30),DM30)</f>
        <v>13852.651568415735</v>
      </c>
      <c r="DN32" s="28">
        <f>IF(DN29=1,IF(INDEX('Lease Cycles'!$EF$9:$EL$9,1,DN27)=1,DN30*INDEX('Lease Cycles'!$EM$9:$ES$9,1,DN27)+DN31*(1-INDEX('Lease Cycles'!$EM$9:$ES$9,1,DN27)),DN30),DN30)</f>
        <v>13852.651568415735</v>
      </c>
      <c r="DO32" s="28">
        <f>IF(DO29=1,IF(INDEX('Lease Cycles'!$EF$9:$EL$9,1,DO27)=1,DO30*INDEX('Lease Cycles'!$EM$9:$ES$9,1,DO27)+DO31*(1-INDEX('Lease Cycles'!$EM$9:$ES$9,1,DO27)),DO30),DO30)</f>
        <v>13852.651568415735</v>
      </c>
      <c r="DP32" s="28">
        <f>IF(DP29=1,IF(INDEX('Lease Cycles'!$EF$9:$EL$9,1,DP27)=1,DP30*INDEX('Lease Cycles'!$EM$9:$ES$9,1,DP27)+DP31*(1-INDEX('Lease Cycles'!$EM$9:$ES$9,1,DP27)),DP30),DP30)</f>
        <v>13852.651568415735</v>
      </c>
      <c r="DQ32" s="28">
        <f>IF(DQ29=1,IF(INDEX('Lease Cycles'!$EF$9:$EL$9,1,DQ27)=1,DQ30*INDEX('Lease Cycles'!$EM$9:$ES$9,1,DQ27)+DQ31*(1-INDEX('Lease Cycles'!$EM$9:$ES$9,1,DQ27)),DQ30),DQ30)</f>
        <v>13852.651568415735</v>
      </c>
      <c r="DR32" s="28">
        <f>IF(DR29=1,IF(INDEX('Lease Cycles'!$EF$9:$EL$9,1,DR27)=1,DR30*INDEX('Lease Cycles'!$EM$9:$ES$9,1,DR27)+DR31*(1-INDEX('Lease Cycles'!$EM$9:$ES$9,1,DR27)),DR30),DR30)</f>
        <v>13852.651568415735</v>
      </c>
      <c r="DS32" s="28">
        <f>IF(DS29=1,IF(INDEX('Lease Cycles'!$EF$9:$EL$9,1,DS27)=1,DS30*INDEX('Lease Cycles'!$EM$9:$ES$9,1,DS27)+DS31*(1-INDEX('Lease Cycles'!$EM$9:$ES$9,1,DS27)),DS30),DS30)</f>
        <v>13852.651568415735</v>
      </c>
      <c r="DT32" s="28">
        <f>IF(DT29=1,IF(INDEX('Lease Cycles'!$EF$9:$EL$9,1,DT27)=1,DT30*INDEX('Lease Cycles'!$EM$9:$ES$9,1,DT27)+DT31*(1-INDEX('Lease Cycles'!$EM$9:$ES$9,1,DT27)),DT30),DT30)</f>
        <v>13852.651568415735</v>
      </c>
      <c r="DU32" s="28">
        <f>IF(DU29=1,IF(INDEX('Lease Cycles'!$EF$9:$EL$9,1,DU27)=1,DU30*INDEX('Lease Cycles'!$EM$9:$ES$9,1,DU27)+DU31*(1-INDEX('Lease Cycles'!$EM$9:$ES$9,1,DU27)),DU30),DU30)</f>
        <v>13852.651568415735</v>
      </c>
      <c r="DV32" s="28">
        <f>IF(DV29=1,IF(INDEX('Lease Cycles'!$EF$9:$EL$9,1,DV27)=1,DV30*INDEX('Lease Cycles'!$EM$9:$ES$9,1,DV27)+DV31*(1-INDEX('Lease Cycles'!$EM$9:$ES$9,1,DV27)),DV30),DV30)</f>
        <v>13852.651568415735</v>
      </c>
      <c r="DW32" s="28">
        <f>IF(DW29=1,IF(INDEX('Lease Cycles'!$EF$9:$EL$9,1,DW27)=1,DW30*INDEX('Lease Cycles'!$EM$9:$ES$9,1,DW27)+DW31*(1-INDEX('Lease Cycles'!$EM$9:$ES$9,1,DW27)),DW30),DW30)</f>
        <v>13852.651568415735</v>
      </c>
      <c r="DX32" s="28">
        <f>IF(DX29=1,IF(INDEX('Lease Cycles'!$EF$9:$EL$9,1,DX27)=1,DX30*INDEX('Lease Cycles'!$EM$9:$ES$9,1,DX27)+DX31*(1-INDEX('Lease Cycles'!$EM$9:$ES$9,1,DX27)),DX30),DX30)</f>
        <v>13852.651568415735</v>
      </c>
      <c r="DY32" s="28">
        <f>IF(DY29=1,IF(INDEX('Lease Cycles'!$EF$9:$EL$9,1,DY27)=1,DY30*INDEX('Lease Cycles'!$EM$9:$ES$9,1,DY27)+DY31*(1-INDEX('Lease Cycles'!$EM$9:$ES$9,1,DY27)),DY30),DY30)</f>
        <v>13852.651568415735</v>
      </c>
      <c r="DZ32" s="28">
        <f>IF(DZ29=1,IF(INDEX('Lease Cycles'!$EF$9:$EL$9,1,DZ27)=1,DZ30*INDEX('Lease Cycles'!$EM$9:$ES$9,1,DZ27)+DZ31*(1-INDEX('Lease Cycles'!$EM$9:$ES$9,1,DZ27)),DZ30),DZ30)</f>
        <v>13852.651568415735</v>
      </c>
      <c r="EA32" s="28">
        <f>IF(EA29=1,IF(INDEX('Lease Cycles'!$EF$9:$EL$9,1,EA27)=1,EA30*INDEX('Lease Cycles'!$EM$9:$ES$9,1,EA27)+EA31*(1-INDEX('Lease Cycles'!$EM$9:$ES$9,1,EA27)),EA30),EA30)</f>
        <v>13852.651568415735</v>
      </c>
      <c r="EB32" s="28">
        <f>IF(EB29=1,IF(INDEX('Lease Cycles'!$EF$9:$EL$9,1,EB27)=1,EB30*INDEX('Lease Cycles'!$EM$9:$ES$9,1,EB27)+EB31*(1-INDEX('Lease Cycles'!$EM$9:$ES$9,1,EB27)),EB30),EB30)</f>
        <v>13852.651568415735</v>
      </c>
      <c r="EC32" s="28">
        <f>IF(EC29=1,IF(INDEX('Lease Cycles'!$EF$9:$EL$9,1,EC27)=1,EC30*INDEX('Lease Cycles'!$EM$9:$ES$9,1,EC27)+EC31*(1-INDEX('Lease Cycles'!$EM$9:$ES$9,1,EC27)),EC30),EC30)</f>
        <v>13852.651568415735</v>
      </c>
      <c r="ED32" s="28">
        <f>IF(ED29=1,IF(INDEX('Lease Cycles'!$EF$9:$EL$9,1,ED27)=1,ED30*INDEX('Lease Cycles'!$EM$9:$ES$9,1,ED27)+ED31*(1-INDEX('Lease Cycles'!$EM$9:$ES$9,1,ED27)),ED30),ED30)</f>
        <v>15237.91672525731</v>
      </c>
      <c r="EE32" s="28">
        <f>IF(EE29=1,IF(INDEX('Lease Cycles'!$EF$9:$EL$9,1,EE27)=1,EE30*INDEX('Lease Cycles'!$EM$9:$ES$9,1,EE27)+EE31*(1-INDEX('Lease Cycles'!$EM$9:$ES$9,1,EE27)),EE30),EE30)</f>
        <v>15237.91672525731</v>
      </c>
      <c r="EF32" s="28">
        <f>IF(EF29=1,IF(INDEX('Lease Cycles'!$EF$9:$EL$9,1,EF27)=1,EF30*INDEX('Lease Cycles'!$EM$9:$ES$9,1,EF27)+EF31*(1-INDEX('Lease Cycles'!$EM$9:$ES$9,1,EF27)),EF30),EF30)</f>
        <v>15237.91672525731</v>
      </c>
      <c r="EG32" s="28">
        <f>IF(EG29=1,IF(INDEX('Lease Cycles'!$EF$9:$EL$9,1,EG27)=1,EG30*INDEX('Lease Cycles'!$EM$9:$ES$9,1,EG27)+EG31*(1-INDEX('Lease Cycles'!$EM$9:$ES$9,1,EG27)),EG30),EG30)</f>
        <v>15237.91672525731</v>
      </c>
      <c r="EH32" s="28">
        <f>IF(EH29=1,IF(INDEX('Lease Cycles'!$EF$9:$EL$9,1,EH27)=1,EH30*INDEX('Lease Cycles'!$EM$9:$ES$9,1,EH27)+EH31*(1-INDEX('Lease Cycles'!$EM$9:$ES$9,1,EH27)),EH30),EH30)</f>
        <v>15237.91672525731</v>
      </c>
      <c r="EI32" s="28">
        <f>IF(EI29=1,IF(INDEX('Lease Cycles'!$EF$9:$EL$9,1,EI27)=1,EI30*INDEX('Lease Cycles'!$EM$9:$ES$9,1,EI27)+EI31*(1-INDEX('Lease Cycles'!$EM$9:$ES$9,1,EI27)),EI30),EI30)</f>
        <v>15237.91672525731</v>
      </c>
      <c r="EJ32" s="28">
        <f>IF(EJ29=1,IF(INDEX('Lease Cycles'!$EF$9:$EL$9,1,EJ27)=1,EJ30*INDEX('Lease Cycles'!$EM$9:$ES$9,1,EJ27)+EJ31*(1-INDEX('Lease Cycles'!$EM$9:$ES$9,1,EJ27)),EJ30),EJ30)</f>
        <v>15237.91672525731</v>
      </c>
      <c r="EK32" s="28">
        <f>IF(EK29=1,IF(INDEX('Lease Cycles'!$EF$9:$EL$9,1,EK27)=1,EK30*INDEX('Lease Cycles'!$EM$9:$ES$9,1,EK27)+EK31*(1-INDEX('Lease Cycles'!$EM$9:$ES$9,1,EK27)),EK30),EK30)</f>
        <v>15237.91672525731</v>
      </c>
      <c r="EL32" s="28">
        <f>IF(EL29=1,IF(INDEX('Lease Cycles'!$EF$9:$EL$9,1,EL27)=1,EL30*INDEX('Lease Cycles'!$EM$9:$ES$9,1,EL27)+EL31*(1-INDEX('Lease Cycles'!$EM$9:$ES$9,1,EL27)),EL30),EL30)</f>
        <v>15237.91672525731</v>
      </c>
      <c r="EM32" s="28">
        <f>IF(EM29=1,IF(INDEX('Lease Cycles'!$EF$9:$EL$9,1,EM27)=1,EM30*INDEX('Lease Cycles'!$EM$9:$ES$9,1,EM27)+EM31*(1-INDEX('Lease Cycles'!$EM$9:$ES$9,1,EM27)),EM30),EM30)</f>
        <v>15237.91672525731</v>
      </c>
      <c r="EN32" s="28">
        <f>IF(EN29=1,IF(INDEX('Lease Cycles'!$EF$9:$EL$9,1,EN27)=1,EN30*INDEX('Lease Cycles'!$EM$9:$ES$9,1,EN27)+EN31*(1-INDEX('Lease Cycles'!$EM$9:$ES$9,1,EN27)),EN30),EN30)</f>
        <v>15237.91672525731</v>
      </c>
      <c r="EO32" s="28">
        <f>IF(EO29=1,IF(INDEX('Lease Cycles'!$EF$9:$EL$9,1,EO27)=1,EO30*INDEX('Lease Cycles'!$EM$9:$ES$9,1,EO27)+EO31*(1-INDEX('Lease Cycles'!$EM$9:$ES$9,1,EO27)),EO30),EO30)</f>
        <v>15237.91672525731</v>
      </c>
      <c r="EP32" s="28">
        <f>IF(EP29=1,IF(INDEX('Lease Cycles'!$EF$9:$EL$9,1,EP27)=1,EP30*INDEX('Lease Cycles'!$EM$9:$ES$9,1,EP27)+EP31*(1-INDEX('Lease Cycles'!$EM$9:$ES$9,1,EP27)),EP30),EP30)</f>
        <v>15237.91672525731</v>
      </c>
      <c r="EQ32" s="28">
        <f>IF(EQ29=1,IF(INDEX('Lease Cycles'!$EF$9:$EL$9,1,EQ27)=1,EQ30*INDEX('Lease Cycles'!$EM$9:$ES$9,1,EQ27)+EQ31*(1-INDEX('Lease Cycles'!$EM$9:$ES$9,1,EQ27)),EQ30),EQ30)</f>
        <v>15237.91672525731</v>
      </c>
      <c r="ER32" s="28">
        <f>IF(ER29=1,IF(INDEX('Lease Cycles'!$EF$9:$EL$9,1,ER27)=1,ER30*INDEX('Lease Cycles'!$EM$9:$ES$9,1,ER27)+ER31*(1-INDEX('Lease Cycles'!$EM$9:$ES$9,1,ER27)),ER30),ER30)</f>
        <v>15237.91672525731</v>
      </c>
      <c r="ES32" s="28">
        <f>IF(ES29=1,IF(INDEX('Lease Cycles'!$EF$9:$EL$9,1,ES27)=1,ES30*INDEX('Lease Cycles'!$EM$9:$ES$9,1,ES27)+ES31*(1-INDEX('Lease Cycles'!$EM$9:$ES$9,1,ES27)),ES30),ES30)</f>
        <v>15237.91672525731</v>
      </c>
      <c r="ET32" s="28">
        <f>IF(ET29=1,IF(INDEX('Lease Cycles'!$EF$9:$EL$9,1,ET27)=1,ET30*INDEX('Lease Cycles'!$EM$9:$ES$9,1,ET27)+ET31*(1-INDEX('Lease Cycles'!$EM$9:$ES$9,1,ET27)),ET30),ET30)</f>
        <v>15237.91672525731</v>
      </c>
    </row>
    <row r="33">
      <c r="A33" s="103">
        <v>2</v>
      </c>
      <c r="B33" s="23" t="str">
        <f>IF('Lease Cycles'!$B$9="","(empty slot)",'Lease Cycles'!$B$9)</f>
        <v>Sunfield Pharmacy</v>
      </c>
      <c r="C33" s="23" t="s">
        <v>682</v>
      </c>
      <c r="D33" s="104" t="s">
        <v>495</v>
      </c>
      <c r="E33" s="25">
        <f>'Lease Cycles'!$AL$9</f>
        <v>0</v>
      </c>
      <c r="G33" s="28">
        <f>SUM(S33:AD33)</f>
        <v>162000</v>
      </c>
      <c r="H33" s="28">
        <f>SUM(AE33:AP33)</f>
        <v>162000</v>
      </c>
      <c r="I33" s="28">
        <f>SUM(AQ33:BB33)</f>
        <v>162000</v>
      </c>
      <c r="J33" s="28">
        <f>SUM(BC33:BN33)</f>
        <v>162000</v>
      </c>
      <c r="K33" s="28">
        <f>SUM(BO33:BZ33)</f>
        <v>139181.13658734606</v>
      </c>
      <c r="L33" s="28">
        <f>SUM(CA33:CL33)</f>
        <v>166231.81882098882</v>
      </c>
      <c r="M33" s="28">
        <f>SUM(CM33:CX33)</f>
        <v>166231.81882098882</v>
      </c>
      <c r="N33" s="28">
        <f>SUM(CY33:DJ33)</f>
        <v>166231.81882098882</v>
      </c>
      <c r="O33" s="28">
        <f>SUM(DK33:DV33)</f>
        <v>166231.81882098882</v>
      </c>
      <c r="P33" s="28">
        <f>SUM(DW33:EH33)</f>
        <v>173158.1446051967</v>
      </c>
      <c r="Q33" s="28">
        <f>SUM(EI33:ET33)</f>
        <v>182855.00070308772</v>
      </c>
      <c r="S33" s="28">
        <f>IF(S29=1,IF(INDEX('Lease Cycles'!$EF$9:$EL$9,1,S27)=1,S30*INDEX('Lease Cycles'!$EM$9:$ES$9,1,S27)+S31*IF(S28&lt;INDEX('Lease Cycles'!$FA$9:$FG$9,1,S27),0,1-INDEX('Lease Cycles'!$EM$9:$ES$9,1,S27)),S30*IF(S28&lt;INDEX('Lease Cycles'!$DK$9:$DQ$9,1,S27),0,IF(S28=INDEX('Lease Cycles'!$DK$9:$DQ$9,1,S27),1-INDEX('Lease Cycles'!$DR$9:$DX$9,1,S27),1))),0)</f>
        <v>13500</v>
      </c>
      <c r="T33" s="28">
        <f>IF(T29=1,IF(INDEX('Lease Cycles'!$EF$9:$EL$9,1,T27)=1,T30*INDEX('Lease Cycles'!$EM$9:$ES$9,1,T27)+T31*IF(T28&lt;INDEX('Lease Cycles'!$FA$9:$FG$9,1,T27),0,1-INDEX('Lease Cycles'!$EM$9:$ES$9,1,T27)),T30*IF(T28&lt;INDEX('Lease Cycles'!$DK$9:$DQ$9,1,T27),0,IF(T28=INDEX('Lease Cycles'!$DK$9:$DQ$9,1,T27),1-INDEX('Lease Cycles'!$DR$9:$DX$9,1,T27),1))),0)</f>
        <v>13500</v>
      </c>
      <c r="U33" s="28">
        <f>IF(U29=1,IF(INDEX('Lease Cycles'!$EF$9:$EL$9,1,U27)=1,U30*INDEX('Lease Cycles'!$EM$9:$ES$9,1,U27)+U31*IF(U28&lt;INDEX('Lease Cycles'!$FA$9:$FG$9,1,U27),0,1-INDEX('Lease Cycles'!$EM$9:$ES$9,1,U27)),U30*IF(U28&lt;INDEX('Lease Cycles'!$DK$9:$DQ$9,1,U27),0,IF(U28=INDEX('Lease Cycles'!$DK$9:$DQ$9,1,U27),1-INDEX('Lease Cycles'!$DR$9:$DX$9,1,U27),1))),0)</f>
        <v>13500</v>
      </c>
      <c r="V33" s="28">
        <f>IF(V29=1,IF(INDEX('Lease Cycles'!$EF$9:$EL$9,1,V27)=1,V30*INDEX('Lease Cycles'!$EM$9:$ES$9,1,V27)+V31*IF(V28&lt;INDEX('Lease Cycles'!$FA$9:$FG$9,1,V27),0,1-INDEX('Lease Cycles'!$EM$9:$ES$9,1,V27)),V30*IF(V28&lt;INDEX('Lease Cycles'!$DK$9:$DQ$9,1,V27),0,IF(V28=INDEX('Lease Cycles'!$DK$9:$DQ$9,1,V27),1-INDEX('Lease Cycles'!$DR$9:$DX$9,1,V27),1))),0)</f>
        <v>13500</v>
      </c>
      <c r="W33" s="28">
        <f>IF(W29=1,IF(INDEX('Lease Cycles'!$EF$9:$EL$9,1,W27)=1,W30*INDEX('Lease Cycles'!$EM$9:$ES$9,1,W27)+W31*IF(W28&lt;INDEX('Lease Cycles'!$FA$9:$FG$9,1,W27),0,1-INDEX('Lease Cycles'!$EM$9:$ES$9,1,W27)),W30*IF(W28&lt;INDEX('Lease Cycles'!$DK$9:$DQ$9,1,W27),0,IF(W28=INDEX('Lease Cycles'!$DK$9:$DQ$9,1,W27),1-INDEX('Lease Cycles'!$DR$9:$DX$9,1,W27),1))),0)</f>
        <v>13500</v>
      </c>
      <c r="X33" s="28">
        <f>IF(X29=1,IF(INDEX('Lease Cycles'!$EF$9:$EL$9,1,X27)=1,X30*INDEX('Lease Cycles'!$EM$9:$ES$9,1,X27)+X31*IF(X28&lt;INDEX('Lease Cycles'!$FA$9:$FG$9,1,X27),0,1-INDEX('Lease Cycles'!$EM$9:$ES$9,1,X27)),X30*IF(X28&lt;INDEX('Lease Cycles'!$DK$9:$DQ$9,1,X27),0,IF(X28=INDEX('Lease Cycles'!$DK$9:$DQ$9,1,X27),1-INDEX('Lease Cycles'!$DR$9:$DX$9,1,X27),1))),0)</f>
        <v>13500</v>
      </c>
      <c r="Y33" s="28">
        <f>IF(Y29=1,IF(INDEX('Lease Cycles'!$EF$9:$EL$9,1,Y27)=1,Y30*INDEX('Lease Cycles'!$EM$9:$ES$9,1,Y27)+Y31*IF(Y28&lt;INDEX('Lease Cycles'!$FA$9:$FG$9,1,Y27),0,1-INDEX('Lease Cycles'!$EM$9:$ES$9,1,Y27)),Y30*IF(Y28&lt;INDEX('Lease Cycles'!$DK$9:$DQ$9,1,Y27),0,IF(Y28=INDEX('Lease Cycles'!$DK$9:$DQ$9,1,Y27),1-INDEX('Lease Cycles'!$DR$9:$DX$9,1,Y27),1))),0)</f>
        <v>13500</v>
      </c>
      <c r="Z33" s="28">
        <f>IF(Z29=1,IF(INDEX('Lease Cycles'!$EF$9:$EL$9,1,Z27)=1,Z30*INDEX('Lease Cycles'!$EM$9:$ES$9,1,Z27)+Z31*IF(Z28&lt;INDEX('Lease Cycles'!$FA$9:$FG$9,1,Z27),0,1-INDEX('Lease Cycles'!$EM$9:$ES$9,1,Z27)),Z30*IF(Z28&lt;INDEX('Lease Cycles'!$DK$9:$DQ$9,1,Z27),0,IF(Z28=INDEX('Lease Cycles'!$DK$9:$DQ$9,1,Z27),1-INDEX('Lease Cycles'!$DR$9:$DX$9,1,Z27),1))),0)</f>
        <v>13500</v>
      </c>
      <c r="AA33" s="28">
        <f>IF(AA29=1,IF(INDEX('Lease Cycles'!$EF$9:$EL$9,1,AA27)=1,AA30*INDEX('Lease Cycles'!$EM$9:$ES$9,1,AA27)+AA31*IF(AA28&lt;INDEX('Lease Cycles'!$FA$9:$FG$9,1,AA27),0,1-INDEX('Lease Cycles'!$EM$9:$ES$9,1,AA27)),AA30*IF(AA28&lt;INDEX('Lease Cycles'!$DK$9:$DQ$9,1,AA27),0,IF(AA28=INDEX('Lease Cycles'!$DK$9:$DQ$9,1,AA27),1-INDEX('Lease Cycles'!$DR$9:$DX$9,1,AA27),1))),0)</f>
        <v>13500</v>
      </c>
      <c r="AB33" s="28">
        <f>IF(AB29=1,IF(INDEX('Lease Cycles'!$EF$9:$EL$9,1,AB27)=1,AB30*INDEX('Lease Cycles'!$EM$9:$ES$9,1,AB27)+AB31*IF(AB28&lt;INDEX('Lease Cycles'!$FA$9:$FG$9,1,AB27),0,1-INDEX('Lease Cycles'!$EM$9:$ES$9,1,AB27)),AB30*IF(AB28&lt;INDEX('Lease Cycles'!$DK$9:$DQ$9,1,AB27),0,IF(AB28=INDEX('Lease Cycles'!$DK$9:$DQ$9,1,AB27),1-INDEX('Lease Cycles'!$DR$9:$DX$9,1,AB27),1))),0)</f>
        <v>13500</v>
      </c>
      <c r="AC33" s="28">
        <f>IF(AC29=1,IF(INDEX('Lease Cycles'!$EF$9:$EL$9,1,AC27)=1,AC30*INDEX('Lease Cycles'!$EM$9:$ES$9,1,AC27)+AC31*IF(AC28&lt;INDEX('Lease Cycles'!$FA$9:$FG$9,1,AC27),0,1-INDEX('Lease Cycles'!$EM$9:$ES$9,1,AC27)),AC30*IF(AC28&lt;INDEX('Lease Cycles'!$DK$9:$DQ$9,1,AC27),0,IF(AC28=INDEX('Lease Cycles'!$DK$9:$DQ$9,1,AC27),1-INDEX('Lease Cycles'!$DR$9:$DX$9,1,AC27),1))),0)</f>
        <v>13500</v>
      </c>
      <c r="AD33" s="28">
        <f>IF(AD29=1,IF(INDEX('Lease Cycles'!$EF$9:$EL$9,1,AD27)=1,AD30*INDEX('Lease Cycles'!$EM$9:$ES$9,1,AD27)+AD31*IF(AD28&lt;INDEX('Lease Cycles'!$FA$9:$FG$9,1,AD27),0,1-INDEX('Lease Cycles'!$EM$9:$ES$9,1,AD27)),AD30*IF(AD28&lt;INDEX('Lease Cycles'!$DK$9:$DQ$9,1,AD27),0,IF(AD28=INDEX('Lease Cycles'!$DK$9:$DQ$9,1,AD27),1-INDEX('Lease Cycles'!$DR$9:$DX$9,1,AD27),1))),0)</f>
        <v>13500</v>
      </c>
      <c r="AE33" s="28">
        <f>IF(AE29=1,IF(INDEX('Lease Cycles'!$EF$9:$EL$9,1,AE27)=1,AE30*INDEX('Lease Cycles'!$EM$9:$ES$9,1,AE27)+AE31*IF(AE28&lt;INDEX('Lease Cycles'!$FA$9:$FG$9,1,AE27),0,1-INDEX('Lease Cycles'!$EM$9:$ES$9,1,AE27)),AE30*IF(AE28&lt;INDEX('Lease Cycles'!$DK$9:$DQ$9,1,AE27),0,IF(AE28=INDEX('Lease Cycles'!$DK$9:$DQ$9,1,AE27),1-INDEX('Lease Cycles'!$DR$9:$DX$9,1,AE27),1))),0)</f>
        <v>13500</v>
      </c>
      <c r="AF33" s="28">
        <f>IF(AF29=1,IF(INDEX('Lease Cycles'!$EF$9:$EL$9,1,AF27)=1,AF30*INDEX('Lease Cycles'!$EM$9:$ES$9,1,AF27)+AF31*IF(AF28&lt;INDEX('Lease Cycles'!$FA$9:$FG$9,1,AF27),0,1-INDEX('Lease Cycles'!$EM$9:$ES$9,1,AF27)),AF30*IF(AF28&lt;INDEX('Lease Cycles'!$DK$9:$DQ$9,1,AF27),0,IF(AF28=INDEX('Lease Cycles'!$DK$9:$DQ$9,1,AF27),1-INDEX('Lease Cycles'!$DR$9:$DX$9,1,AF27),1))),0)</f>
        <v>13500</v>
      </c>
      <c r="AG33" s="28">
        <f>IF(AG29=1,IF(INDEX('Lease Cycles'!$EF$9:$EL$9,1,AG27)=1,AG30*INDEX('Lease Cycles'!$EM$9:$ES$9,1,AG27)+AG31*IF(AG28&lt;INDEX('Lease Cycles'!$FA$9:$FG$9,1,AG27),0,1-INDEX('Lease Cycles'!$EM$9:$ES$9,1,AG27)),AG30*IF(AG28&lt;INDEX('Lease Cycles'!$DK$9:$DQ$9,1,AG27),0,IF(AG28=INDEX('Lease Cycles'!$DK$9:$DQ$9,1,AG27),1-INDEX('Lease Cycles'!$DR$9:$DX$9,1,AG27),1))),0)</f>
        <v>13500</v>
      </c>
      <c r="AH33" s="28">
        <f>IF(AH29=1,IF(INDEX('Lease Cycles'!$EF$9:$EL$9,1,AH27)=1,AH30*INDEX('Lease Cycles'!$EM$9:$ES$9,1,AH27)+AH31*IF(AH28&lt;INDEX('Lease Cycles'!$FA$9:$FG$9,1,AH27),0,1-INDEX('Lease Cycles'!$EM$9:$ES$9,1,AH27)),AH30*IF(AH28&lt;INDEX('Lease Cycles'!$DK$9:$DQ$9,1,AH27),0,IF(AH28=INDEX('Lease Cycles'!$DK$9:$DQ$9,1,AH27),1-INDEX('Lease Cycles'!$DR$9:$DX$9,1,AH27),1))),0)</f>
        <v>13500</v>
      </c>
      <c r="AI33" s="28">
        <f>IF(AI29=1,IF(INDEX('Lease Cycles'!$EF$9:$EL$9,1,AI27)=1,AI30*INDEX('Lease Cycles'!$EM$9:$ES$9,1,AI27)+AI31*IF(AI28&lt;INDEX('Lease Cycles'!$FA$9:$FG$9,1,AI27),0,1-INDEX('Lease Cycles'!$EM$9:$ES$9,1,AI27)),AI30*IF(AI28&lt;INDEX('Lease Cycles'!$DK$9:$DQ$9,1,AI27),0,IF(AI28=INDEX('Lease Cycles'!$DK$9:$DQ$9,1,AI27),1-INDEX('Lease Cycles'!$DR$9:$DX$9,1,AI27),1))),0)</f>
        <v>13500</v>
      </c>
      <c r="AJ33" s="28">
        <f>IF(AJ29=1,IF(INDEX('Lease Cycles'!$EF$9:$EL$9,1,AJ27)=1,AJ30*INDEX('Lease Cycles'!$EM$9:$ES$9,1,AJ27)+AJ31*IF(AJ28&lt;INDEX('Lease Cycles'!$FA$9:$FG$9,1,AJ27),0,1-INDEX('Lease Cycles'!$EM$9:$ES$9,1,AJ27)),AJ30*IF(AJ28&lt;INDEX('Lease Cycles'!$DK$9:$DQ$9,1,AJ27),0,IF(AJ28=INDEX('Lease Cycles'!$DK$9:$DQ$9,1,AJ27),1-INDEX('Lease Cycles'!$DR$9:$DX$9,1,AJ27),1))),0)</f>
        <v>13500</v>
      </c>
      <c r="AK33" s="28">
        <f>IF(AK29=1,IF(INDEX('Lease Cycles'!$EF$9:$EL$9,1,AK27)=1,AK30*INDEX('Lease Cycles'!$EM$9:$ES$9,1,AK27)+AK31*IF(AK28&lt;INDEX('Lease Cycles'!$FA$9:$FG$9,1,AK27),0,1-INDEX('Lease Cycles'!$EM$9:$ES$9,1,AK27)),AK30*IF(AK28&lt;INDEX('Lease Cycles'!$DK$9:$DQ$9,1,AK27),0,IF(AK28=INDEX('Lease Cycles'!$DK$9:$DQ$9,1,AK27),1-INDEX('Lease Cycles'!$DR$9:$DX$9,1,AK27),1))),0)</f>
        <v>13500</v>
      </c>
      <c r="AL33" s="28">
        <f>IF(AL29=1,IF(INDEX('Lease Cycles'!$EF$9:$EL$9,1,AL27)=1,AL30*INDEX('Lease Cycles'!$EM$9:$ES$9,1,AL27)+AL31*IF(AL28&lt;INDEX('Lease Cycles'!$FA$9:$FG$9,1,AL27),0,1-INDEX('Lease Cycles'!$EM$9:$ES$9,1,AL27)),AL30*IF(AL28&lt;INDEX('Lease Cycles'!$DK$9:$DQ$9,1,AL27),0,IF(AL28=INDEX('Lease Cycles'!$DK$9:$DQ$9,1,AL27),1-INDEX('Lease Cycles'!$DR$9:$DX$9,1,AL27),1))),0)</f>
        <v>13500</v>
      </c>
      <c r="AM33" s="28">
        <f>IF(AM29=1,IF(INDEX('Lease Cycles'!$EF$9:$EL$9,1,AM27)=1,AM30*INDEX('Lease Cycles'!$EM$9:$ES$9,1,AM27)+AM31*IF(AM28&lt;INDEX('Lease Cycles'!$FA$9:$FG$9,1,AM27),0,1-INDEX('Lease Cycles'!$EM$9:$ES$9,1,AM27)),AM30*IF(AM28&lt;INDEX('Lease Cycles'!$DK$9:$DQ$9,1,AM27),0,IF(AM28=INDEX('Lease Cycles'!$DK$9:$DQ$9,1,AM27),1-INDEX('Lease Cycles'!$DR$9:$DX$9,1,AM27),1))),0)</f>
        <v>13500</v>
      </c>
      <c r="AN33" s="28">
        <f>IF(AN29=1,IF(INDEX('Lease Cycles'!$EF$9:$EL$9,1,AN27)=1,AN30*INDEX('Lease Cycles'!$EM$9:$ES$9,1,AN27)+AN31*IF(AN28&lt;INDEX('Lease Cycles'!$FA$9:$FG$9,1,AN27),0,1-INDEX('Lease Cycles'!$EM$9:$ES$9,1,AN27)),AN30*IF(AN28&lt;INDEX('Lease Cycles'!$DK$9:$DQ$9,1,AN27),0,IF(AN28=INDEX('Lease Cycles'!$DK$9:$DQ$9,1,AN27),1-INDEX('Lease Cycles'!$DR$9:$DX$9,1,AN27),1))),0)</f>
        <v>13500</v>
      </c>
      <c r="AO33" s="28">
        <f>IF(AO29=1,IF(INDEX('Lease Cycles'!$EF$9:$EL$9,1,AO27)=1,AO30*INDEX('Lease Cycles'!$EM$9:$ES$9,1,AO27)+AO31*IF(AO28&lt;INDEX('Lease Cycles'!$FA$9:$FG$9,1,AO27),0,1-INDEX('Lease Cycles'!$EM$9:$ES$9,1,AO27)),AO30*IF(AO28&lt;INDEX('Lease Cycles'!$DK$9:$DQ$9,1,AO27),0,IF(AO28=INDEX('Lease Cycles'!$DK$9:$DQ$9,1,AO27),1-INDEX('Lease Cycles'!$DR$9:$DX$9,1,AO27),1))),0)</f>
        <v>13500</v>
      </c>
      <c r="AP33" s="28">
        <f>IF(AP29=1,IF(INDEX('Lease Cycles'!$EF$9:$EL$9,1,AP27)=1,AP30*INDEX('Lease Cycles'!$EM$9:$ES$9,1,AP27)+AP31*IF(AP28&lt;INDEX('Lease Cycles'!$FA$9:$FG$9,1,AP27),0,1-INDEX('Lease Cycles'!$EM$9:$ES$9,1,AP27)),AP30*IF(AP28&lt;INDEX('Lease Cycles'!$DK$9:$DQ$9,1,AP27),0,IF(AP28=INDEX('Lease Cycles'!$DK$9:$DQ$9,1,AP27),1-INDEX('Lease Cycles'!$DR$9:$DX$9,1,AP27),1))),0)</f>
        <v>13500</v>
      </c>
      <c r="AQ33" s="28">
        <f>IF(AQ29=1,IF(INDEX('Lease Cycles'!$EF$9:$EL$9,1,AQ27)=1,AQ30*INDEX('Lease Cycles'!$EM$9:$ES$9,1,AQ27)+AQ31*IF(AQ28&lt;INDEX('Lease Cycles'!$FA$9:$FG$9,1,AQ27),0,1-INDEX('Lease Cycles'!$EM$9:$ES$9,1,AQ27)),AQ30*IF(AQ28&lt;INDEX('Lease Cycles'!$DK$9:$DQ$9,1,AQ27),0,IF(AQ28=INDEX('Lease Cycles'!$DK$9:$DQ$9,1,AQ27),1-INDEX('Lease Cycles'!$DR$9:$DX$9,1,AQ27),1))),0)</f>
        <v>13500</v>
      </c>
      <c r="AR33" s="28">
        <f>IF(AR29=1,IF(INDEX('Lease Cycles'!$EF$9:$EL$9,1,AR27)=1,AR30*INDEX('Lease Cycles'!$EM$9:$ES$9,1,AR27)+AR31*IF(AR28&lt;INDEX('Lease Cycles'!$FA$9:$FG$9,1,AR27),0,1-INDEX('Lease Cycles'!$EM$9:$ES$9,1,AR27)),AR30*IF(AR28&lt;INDEX('Lease Cycles'!$DK$9:$DQ$9,1,AR27),0,IF(AR28=INDEX('Lease Cycles'!$DK$9:$DQ$9,1,AR27),1-INDEX('Lease Cycles'!$DR$9:$DX$9,1,AR27),1))),0)</f>
        <v>13500</v>
      </c>
      <c r="AS33" s="28">
        <f>IF(AS29=1,IF(INDEX('Lease Cycles'!$EF$9:$EL$9,1,AS27)=1,AS30*INDEX('Lease Cycles'!$EM$9:$ES$9,1,AS27)+AS31*IF(AS28&lt;INDEX('Lease Cycles'!$FA$9:$FG$9,1,AS27),0,1-INDEX('Lease Cycles'!$EM$9:$ES$9,1,AS27)),AS30*IF(AS28&lt;INDEX('Lease Cycles'!$DK$9:$DQ$9,1,AS27),0,IF(AS28=INDEX('Lease Cycles'!$DK$9:$DQ$9,1,AS27),1-INDEX('Lease Cycles'!$DR$9:$DX$9,1,AS27),1))),0)</f>
        <v>13500</v>
      </c>
      <c r="AT33" s="28">
        <f>IF(AT29=1,IF(INDEX('Lease Cycles'!$EF$9:$EL$9,1,AT27)=1,AT30*INDEX('Lease Cycles'!$EM$9:$ES$9,1,AT27)+AT31*IF(AT28&lt;INDEX('Lease Cycles'!$FA$9:$FG$9,1,AT27),0,1-INDEX('Lease Cycles'!$EM$9:$ES$9,1,AT27)),AT30*IF(AT28&lt;INDEX('Lease Cycles'!$DK$9:$DQ$9,1,AT27),0,IF(AT28=INDEX('Lease Cycles'!$DK$9:$DQ$9,1,AT27),1-INDEX('Lease Cycles'!$DR$9:$DX$9,1,AT27),1))),0)</f>
        <v>13500</v>
      </c>
      <c r="AU33" s="28">
        <f>IF(AU29=1,IF(INDEX('Lease Cycles'!$EF$9:$EL$9,1,AU27)=1,AU30*INDEX('Lease Cycles'!$EM$9:$ES$9,1,AU27)+AU31*IF(AU28&lt;INDEX('Lease Cycles'!$FA$9:$FG$9,1,AU27),0,1-INDEX('Lease Cycles'!$EM$9:$ES$9,1,AU27)),AU30*IF(AU28&lt;INDEX('Lease Cycles'!$DK$9:$DQ$9,1,AU27),0,IF(AU28=INDEX('Lease Cycles'!$DK$9:$DQ$9,1,AU27),1-INDEX('Lease Cycles'!$DR$9:$DX$9,1,AU27),1))),0)</f>
        <v>13500</v>
      </c>
      <c r="AV33" s="28">
        <f>IF(AV29=1,IF(INDEX('Lease Cycles'!$EF$9:$EL$9,1,AV27)=1,AV30*INDEX('Lease Cycles'!$EM$9:$ES$9,1,AV27)+AV31*IF(AV28&lt;INDEX('Lease Cycles'!$FA$9:$FG$9,1,AV27),0,1-INDEX('Lease Cycles'!$EM$9:$ES$9,1,AV27)),AV30*IF(AV28&lt;INDEX('Lease Cycles'!$DK$9:$DQ$9,1,AV27),0,IF(AV28=INDEX('Lease Cycles'!$DK$9:$DQ$9,1,AV27),1-INDEX('Lease Cycles'!$DR$9:$DX$9,1,AV27),1))),0)</f>
        <v>13500</v>
      </c>
      <c r="AW33" s="28">
        <f>IF(AW29=1,IF(INDEX('Lease Cycles'!$EF$9:$EL$9,1,AW27)=1,AW30*INDEX('Lease Cycles'!$EM$9:$ES$9,1,AW27)+AW31*IF(AW28&lt;INDEX('Lease Cycles'!$FA$9:$FG$9,1,AW27),0,1-INDEX('Lease Cycles'!$EM$9:$ES$9,1,AW27)),AW30*IF(AW28&lt;INDEX('Lease Cycles'!$DK$9:$DQ$9,1,AW27),0,IF(AW28=INDEX('Lease Cycles'!$DK$9:$DQ$9,1,AW27),1-INDEX('Lease Cycles'!$DR$9:$DX$9,1,AW27),1))),0)</f>
        <v>13500</v>
      </c>
      <c r="AX33" s="28">
        <f>IF(AX29=1,IF(INDEX('Lease Cycles'!$EF$9:$EL$9,1,AX27)=1,AX30*INDEX('Lease Cycles'!$EM$9:$ES$9,1,AX27)+AX31*IF(AX28&lt;INDEX('Lease Cycles'!$FA$9:$FG$9,1,AX27),0,1-INDEX('Lease Cycles'!$EM$9:$ES$9,1,AX27)),AX30*IF(AX28&lt;INDEX('Lease Cycles'!$DK$9:$DQ$9,1,AX27),0,IF(AX28=INDEX('Lease Cycles'!$DK$9:$DQ$9,1,AX27),1-INDEX('Lease Cycles'!$DR$9:$DX$9,1,AX27),1))),0)</f>
        <v>13500</v>
      </c>
      <c r="AY33" s="28">
        <f>IF(AY29=1,IF(INDEX('Lease Cycles'!$EF$9:$EL$9,1,AY27)=1,AY30*INDEX('Lease Cycles'!$EM$9:$ES$9,1,AY27)+AY31*IF(AY28&lt;INDEX('Lease Cycles'!$FA$9:$FG$9,1,AY27),0,1-INDEX('Lease Cycles'!$EM$9:$ES$9,1,AY27)),AY30*IF(AY28&lt;INDEX('Lease Cycles'!$DK$9:$DQ$9,1,AY27),0,IF(AY28=INDEX('Lease Cycles'!$DK$9:$DQ$9,1,AY27),1-INDEX('Lease Cycles'!$DR$9:$DX$9,1,AY27),1))),0)</f>
        <v>13500</v>
      </c>
      <c r="AZ33" s="28">
        <f>IF(AZ29=1,IF(INDEX('Lease Cycles'!$EF$9:$EL$9,1,AZ27)=1,AZ30*INDEX('Lease Cycles'!$EM$9:$ES$9,1,AZ27)+AZ31*IF(AZ28&lt;INDEX('Lease Cycles'!$FA$9:$FG$9,1,AZ27),0,1-INDEX('Lease Cycles'!$EM$9:$ES$9,1,AZ27)),AZ30*IF(AZ28&lt;INDEX('Lease Cycles'!$DK$9:$DQ$9,1,AZ27),0,IF(AZ28=INDEX('Lease Cycles'!$DK$9:$DQ$9,1,AZ27),1-INDEX('Lease Cycles'!$DR$9:$DX$9,1,AZ27),1))),0)</f>
        <v>13500</v>
      </c>
      <c r="BA33" s="28">
        <f>IF(BA29=1,IF(INDEX('Lease Cycles'!$EF$9:$EL$9,1,BA27)=1,BA30*INDEX('Lease Cycles'!$EM$9:$ES$9,1,BA27)+BA31*IF(BA28&lt;INDEX('Lease Cycles'!$FA$9:$FG$9,1,BA27),0,1-INDEX('Lease Cycles'!$EM$9:$ES$9,1,BA27)),BA30*IF(BA28&lt;INDEX('Lease Cycles'!$DK$9:$DQ$9,1,BA27),0,IF(BA28=INDEX('Lease Cycles'!$DK$9:$DQ$9,1,BA27),1-INDEX('Lease Cycles'!$DR$9:$DX$9,1,BA27),1))),0)</f>
        <v>13500</v>
      </c>
      <c r="BB33" s="28">
        <f>IF(BB29=1,IF(INDEX('Lease Cycles'!$EF$9:$EL$9,1,BB27)=1,BB30*INDEX('Lease Cycles'!$EM$9:$ES$9,1,BB27)+BB31*IF(BB28&lt;INDEX('Lease Cycles'!$FA$9:$FG$9,1,BB27),0,1-INDEX('Lease Cycles'!$EM$9:$ES$9,1,BB27)),BB30*IF(BB28&lt;INDEX('Lease Cycles'!$DK$9:$DQ$9,1,BB27),0,IF(BB28=INDEX('Lease Cycles'!$DK$9:$DQ$9,1,BB27),1-INDEX('Lease Cycles'!$DR$9:$DX$9,1,BB27),1))),0)</f>
        <v>13500</v>
      </c>
      <c r="BC33" s="28">
        <f>IF(BC29=1,IF(INDEX('Lease Cycles'!$EF$9:$EL$9,1,BC27)=1,BC30*INDEX('Lease Cycles'!$EM$9:$ES$9,1,BC27)+BC31*IF(BC28&lt;INDEX('Lease Cycles'!$FA$9:$FG$9,1,BC27),0,1-INDEX('Lease Cycles'!$EM$9:$ES$9,1,BC27)),BC30*IF(BC28&lt;INDEX('Lease Cycles'!$DK$9:$DQ$9,1,BC27),0,IF(BC28=INDEX('Lease Cycles'!$DK$9:$DQ$9,1,BC27),1-INDEX('Lease Cycles'!$DR$9:$DX$9,1,BC27),1))),0)</f>
        <v>13500</v>
      </c>
      <c r="BD33" s="28">
        <f>IF(BD29=1,IF(INDEX('Lease Cycles'!$EF$9:$EL$9,1,BD27)=1,BD30*INDEX('Lease Cycles'!$EM$9:$ES$9,1,BD27)+BD31*IF(BD28&lt;INDEX('Lease Cycles'!$FA$9:$FG$9,1,BD27),0,1-INDEX('Lease Cycles'!$EM$9:$ES$9,1,BD27)),BD30*IF(BD28&lt;INDEX('Lease Cycles'!$DK$9:$DQ$9,1,BD27),0,IF(BD28=INDEX('Lease Cycles'!$DK$9:$DQ$9,1,BD27),1-INDEX('Lease Cycles'!$DR$9:$DX$9,1,BD27),1))),0)</f>
        <v>13500</v>
      </c>
      <c r="BE33" s="28">
        <f>IF(BE29=1,IF(INDEX('Lease Cycles'!$EF$9:$EL$9,1,BE27)=1,BE30*INDEX('Lease Cycles'!$EM$9:$ES$9,1,BE27)+BE31*IF(BE28&lt;INDEX('Lease Cycles'!$FA$9:$FG$9,1,BE27),0,1-INDEX('Lease Cycles'!$EM$9:$ES$9,1,BE27)),BE30*IF(BE28&lt;INDEX('Lease Cycles'!$DK$9:$DQ$9,1,BE27),0,IF(BE28=INDEX('Lease Cycles'!$DK$9:$DQ$9,1,BE27),1-INDEX('Lease Cycles'!$DR$9:$DX$9,1,BE27),1))),0)</f>
        <v>13500</v>
      </c>
      <c r="BF33" s="28">
        <f>IF(BF29=1,IF(INDEX('Lease Cycles'!$EF$9:$EL$9,1,BF27)=1,BF30*INDEX('Lease Cycles'!$EM$9:$ES$9,1,BF27)+BF31*IF(BF28&lt;INDEX('Lease Cycles'!$FA$9:$FG$9,1,BF27),0,1-INDEX('Lease Cycles'!$EM$9:$ES$9,1,BF27)),BF30*IF(BF28&lt;INDEX('Lease Cycles'!$DK$9:$DQ$9,1,BF27),0,IF(BF28=INDEX('Lease Cycles'!$DK$9:$DQ$9,1,BF27),1-INDEX('Lease Cycles'!$DR$9:$DX$9,1,BF27),1))),0)</f>
        <v>13500</v>
      </c>
      <c r="BG33" s="28">
        <f>IF(BG29=1,IF(INDEX('Lease Cycles'!$EF$9:$EL$9,1,BG27)=1,BG30*INDEX('Lease Cycles'!$EM$9:$ES$9,1,BG27)+BG31*IF(BG28&lt;INDEX('Lease Cycles'!$FA$9:$FG$9,1,BG27),0,1-INDEX('Lease Cycles'!$EM$9:$ES$9,1,BG27)),BG30*IF(BG28&lt;INDEX('Lease Cycles'!$DK$9:$DQ$9,1,BG27),0,IF(BG28=INDEX('Lease Cycles'!$DK$9:$DQ$9,1,BG27),1-INDEX('Lease Cycles'!$DR$9:$DX$9,1,BG27),1))),0)</f>
        <v>13500</v>
      </c>
      <c r="BH33" s="28">
        <f>IF(BH29=1,IF(INDEX('Lease Cycles'!$EF$9:$EL$9,1,BH27)=1,BH30*INDEX('Lease Cycles'!$EM$9:$ES$9,1,BH27)+BH31*IF(BH28&lt;INDEX('Lease Cycles'!$FA$9:$FG$9,1,BH27),0,1-INDEX('Lease Cycles'!$EM$9:$ES$9,1,BH27)),BH30*IF(BH28&lt;INDEX('Lease Cycles'!$DK$9:$DQ$9,1,BH27),0,IF(BH28=INDEX('Lease Cycles'!$DK$9:$DQ$9,1,BH27),1-INDEX('Lease Cycles'!$DR$9:$DX$9,1,BH27),1))),0)</f>
        <v>13500</v>
      </c>
      <c r="BI33" s="28">
        <f>IF(BI29=1,IF(INDEX('Lease Cycles'!$EF$9:$EL$9,1,BI27)=1,BI30*INDEX('Lease Cycles'!$EM$9:$ES$9,1,BI27)+BI31*IF(BI28&lt;INDEX('Lease Cycles'!$FA$9:$FG$9,1,BI27),0,1-INDEX('Lease Cycles'!$EM$9:$ES$9,1,BI27)),BI30*IF(BI28&lt;INDEX('Lease Cycles'!$DK$9:$DQ$9,1,BI27),0,IF(BI28=INDEX('Lease Cycles'!$DK$9:$DQ$9,1,BI27),1-INDEX('Lease Cycles'!$DR$9:$DX$9,1,BI27),1))),0)</f>
        <v>13500</v>
      </c>
      <c r="BJ33" s="28">
        <f>IF(BJ29=1,IF(INDEX('Lease Cycles'!$EF$9:$EL$9,1,BJ27)=1,BJ30*INDEX('Lease Cycles'!$EM$9:$ES$9,1,BJ27)+BJ31*IF(BJ28&lt;INDEX('Lease Cycles'!$FA$9:$FG$9,1,BJ27),0,1-INDEX('Lease Cycles'!$EM$9:$ES$9,1,BJ27)),BJ30*IF(BJ28&lt;INDEX('Lease Cycles'!$DK$9:$DQ$9,1,BJ27),0,IF(BJ28=INDEX('Lease Cycles'!$DK$9:$DQ$9,1,BJ27),1-INDEX('Lease Cycles'!$DR$9:$DX$9,1,BJ27),1))),0)</f>
        <v>13500</v>
      </c>
      <c r="BK33" s="28">
        <f>IF(BK29=1,IF(INDEX('Lease Cycles'!$EF$9:$EL$9,1,BK27)=1,BK30*INDEX('Lease Cycles'!$EM$9:$ES$9,1,BK27)+BK31*IF(BK28&lt;INDEX('Lease Cycles'!$FA$9:$FG$9,1,BK27),0,1-INDEX('Lease Cycles'!$EM$9:$ES$9,1,BK27)),BK30*IF(BK28&lt;INDEX('Lease Cycles'!$DK$9:$DQ$9,1,BK27),0,IF(BK28=INDEX('Lease Cycles'!$DK$9:$DQ$9,1,BK27),1-INDEX('Lease Cycles'!$DR$9:$DX$9,1,BK27),1))),0)</f>
        <v>13500</v>
      </c>
      <c r="BL33" s="28">
        <f>IF(BL29=1,IF(INDEX('Lease Cycles'!$EF$9:$EL$9,1,BL27)=1,BL30*INDEX('Lease Cycles'!$EM$9:$ES$9,1,BL27)+BL31*IF(BL28&lt;INDEX('Lease Cycles'!$FA$9:$FG$9,1,BL27),0,1-INDEX('Lease Cycles'!$EM$9:$ES$9,1,BL27)),BL30*IF(BL28&lt;INDEX('Lease Cycles'!$DK$9:$DQ$9,1,BL27),0,IF(BL28=INDEX('Lease Cycles'!$DK$9:$DQ$9,1,BL27),1-INDEX('Lease Cycles'!$DR$9:$DX$9,1,BL27),1))),0)</f>
        <v>13500</v>
      </c>
      <c r="BM33" s="28">
        <f>IF(BM29=1,IF(INDEX('Lease Cycles'!$EF$9:$EL$9,1,BM27)=1,BM30*INDEX('Lease Cycles'!$EM$9:$ES$9,1,BM27)+BM31*IF(BM28&lt;INDEX('Lease Cycles'!$FA$9:$FG$9,1,BM27),0,1-INDEX('Lease Cycles'!$EM$9:$ES$9,1,BM27)),BM30*IF(BM28&lt;INDEX('Lease Cycles'!$DK$9:$DQ$9,1,BM27),0,IF(BM28=INDEX('Lease Cycles'!$DK$9:$DQ$9,1,BM27),1-INDEX('Lease Cycles'!$DR$9:$DX$9,1,BM27),1))),0)</f>
        <v>13500</v>
      </c>
      <c r="BN33" s="28">
        <f>IF(BN29=1,IF(INDEX('Lease Cycles'!$EF$9:$EL$9,1,BN27)=1,BN30*INDEX('Lease Cycles'!$EM$9:$ES$9,1,BN27)+BN31*IF(BN28&lt;INDEX('Lease Cycles'!$FA$9:$FG$9,1,BN27),0,1-INDEX('Lease Cycles'!$EM$9:$ES$9,1,BN27)),BN30*IF(BN28&lt;INDEX('Lease Cycles'!$DK$9:$DQ$9,1,BN27),0,IF(BN28=INDEX('Lease Cycles'!$DK$9:$DQ$9,1,BN27),1-INDEX('Lease Cycles'!$DR$9:$DX$9,1,BN27),1))),0)</f>
        <v>13500</v>
      </c>
      <c r="BO33" s="28">
        <f>IF(BO29=1,IF(INDEX('Lease Cycles'!$EF$9:$EL$9,1,BO27)=1,BO30*INDEX('Lease Cycles'!$EM$9:$ES$9,1,BO27)+BO31*IF(BO28&lt;INDEX('Lease Cycles'!$FA$9:$FG$9,1,BO27),0,1-INDEX('Lease Cycles'!$EM$9:$ES$9,1,BO27)),BO30*IF(BO28&lt;INDEX('Lease Cycles'!$DK$9:$DQ$9,1,BO27),0,IF(BO28=INDEX('Lease Cycles'!$DK$9:$DQ$9,1,BO27),1-INDEX('Lease Cycles'!$DR$9:$DX$9,1,BO27),1))),0)</f>
        <v>13500</v>
      </c>
      <c r="BP33" s="28">
        <f>IF(BP29=1,IF(INDEX('Lease Cycles'!$EF$9:$EL$9,1,BP27)=1,BP30*INDEX('Lease Cycles'!$EM$9:$ES$9,1,BP27)+BP31*IF(BP28&lt;INDEX('Lease Cycles'!$FA$9:$FG$9,1,BP27),0,1-INDEX('Lease Cycles'!$EM$9:$ES$9,1,BP27)),BP30*IF(BP28&lt;INDEX('Lease Cycles'!$DK$9:$DQ$9,1,BP27),0,IF(BP28=INDEX('Lease Cycles'!$DK$9:$DQ$9,1,BP27),1-INDEX('Lease Cycles'!$DR$9:$DX$9,1,BP27),1))),0)</f>
        <v>13500</v>
      </c>
      <c r="BQ33" s="28">
        <f>IF(BQ29=1,IF(INDEX('Lease Cycles'!$EF$9:$EL$9,1,BQ27)=1,BQ30*INDEX('Lease Cycles'!$EM$9:$ES$9,1,BQ27)+BQ31*IF(BQ28&lt;INDEX('Lease Cycles'!$FA$9:$FG$9,1,BQ27),0,1-INDEX('Lease Cycles'!$EM$9:$ES$9,1,BQ27)),BQ30*IF(BQ28&lt;INDEX('Lease Cycles'!$DK$9:$DQ$9,1,BQ27),0,IF(BQ28=INDEX('Lease Cycles'!$DK$9:$DQ$9,1,BQ27),1-INDEX('Lease Cycles'!$DR$9:$DX$9,1,BQ27),1))),0)</f>
        <v>13500</v>
      </c>
      <c r="BR33" s="28">
        <f>IF(BR29=1,IF(INDEX('Lease Cycles'!$EF$9:$EL$9,1,BR27)=1,BR30*INDEX('Lease Cycles'!$EM$9:$ES$9,1,BR27)+BR31*IF(BR28&lt;INDEX('Lease Cycles'!$FA$9:$FG$9,1,BR27),0,1-INDEX('Lease Cycles'!$EM$9:$ES$9,1,BR27)),BR30*IF(BR28&lt;INDEX('Lease Cycles'!$DK$9:$DQ$9,1,BR27),0,IF(BR28=INDEX('Lease Cycles'!$DK$9:$DQ$9,1,BR27),1-INDEX('Lease Cycles'!$DR$9:$DX$9,1,BR27),1))),0)</f>
        <v>13500</v>
      </c>
      <c r="BS33" s="28">
        <f>IF(BS29=1,IF(INDEX('Lease Cycles'!$EF$9:$EL$9,1,BS27)=1,BS30*INDEX('Lease Cycles'!$EM$9:$ES$9,1,BS27)+BS31*IF(BS28&lt;INDEX('Lease Cycles'!$FA$9:$FG$9,1,BS27),0,1-INDEX('Lease Cycles'!$EM$9:$ES$9,1,BS27)),BS30*IF(BS28&lt;INDEX('Lease Cycles'!$DK$9:$DQ$9,1,BS27),0,IF(BS28=INDEX('Lease Cycles'!$DK$9:$DQ$9,1,BS27),1-INDEX('Lease Cycles'!$DR$9:$DX$9,1,BS27),1))),0)</f>
        <v>13500</v>
      </c>
      <c r="BT33" s="28">
        <f>IF(BT29=1,IF(INDEX('Lease Cycles'!$EF$9:$EL$9,1,BT27)=1,BT30*INDEX('Lease Cycles'!$EM$9:$ES$9,1,BT27)+BT31*IF(BT28&lt;INDEX('Lease Cycles'!$FA$9:$FG$9,1,BT27),0,1-INDEX('Lease Cycles'!$EM$9:$ES$9,1,BT27)),BT30*IF(BT28&lt;INDEX('Lease Cycles'!$DK$9:$DQ$9,1,BT27),0,IF(BT28=INDEX('Lease Cycles'!$DK$9:$DQ$9,1,BT27),1-INDEX('Lease Cycles'!$DR$9:$DX$9,1,BT27),1))),0)</f>
        <v>13500</v>
      </c>
      <c r="BU33" s="28">
        <f>IF(BU29=1,IF(INDEX('Lease Cycles'!$EF$9:$EL$9,1,BU27)=1,BU30*INDEX('Lease Cycles'!$EM$9:$ES$9,1,BU27)+BU31*IF(BU28&lt;INDEX('Lease Cycles'!$FA$9:$FG$9,1,BU27),0,1-INDEX('Lease Cycles'!$EM$9:$ES$9,1,BU27)),BU30*IF(BU28&lt;INDEX('Lease Cycles'!$DK$9:$DQ$9,1,BU27),0,IF(BU28=INDEX('Lease Cycles'!$DK$9:$DQ$9,1,BU27),1-INDEX('Lease Cycles'!$DR$9:$DX$9,1,BU27),1))),0)</f>
        <v>0</v>
      </c>
      <c r="BV33" s="28">
        <f>IF(BV29=1,IF(INDEX('Lease Cycles'!$EF$9:$EL$9,1,BV27)=1,BV30*INDEX('Lease Cycles'!$EM$9:$ES$9,1,BV27)+BV31*IF(BV28&lt;INDEX('Lease Cycles'!$FA$9:$FG$9,1,BV27),0,1-INDEX('Lease Cycles'!$EM$9:$ES$9,1,BV27)),BV30*IF(BV28&lt;INDEX('Lease Cycles'!$DK$9:$DQ$9,1,BV27),0,IF(BV28=INDEX('Lease Cycles'!$DK$9:$DQ$9,1,BV27),1-INDEX('Lease Cycles'!$DR$9:$DX$9,1,BV27),1))),0)</f>
        <v>2770.5303136831094</v>
      </c>
      <c r="BW33" s="28">
        <f>IF(BW29=1,IF(INDEX('Lease Cycles'!$EF$9:$EL$9,1,BW27)=1,BW30*INDEX('Lease Cycles'!$EM$9:$ES$9,1,BW27)+BW31*IF(BW28&lt;INDEX('Lease Cycles'!$FA$9:$FG$9,1,BW27),0,1-INDEX('Lease Cycles'!$EM$9:$ES$9,1,BW27)),BW30*IF(BW28&lt;INDEX('Lease Cycles'!$DK$9:$DQ$9,1,BW27),0,IF(BW28=INDEX('Lease Cycles'!$DK$9:$DQ$9,1,BW27),1-INDEX('Lease Cycles'!$DR$9:$DX$9,1,BW27),1))),0)</f>
        <v>13852.651568415735</v>
      </c>
      <c r="BX33" s="28">
        <f>IF(BX29=1,IF(INDEX('Lease Cycles'!$EF$9:$EL$9,1,BX27)=1,BX30*INDEX('Lease Cycles'!$EM$9:$ES$9,1,BX27)+BX31*IF(BX28&lt;INDEX('Lease Cycles'!$FA$9:$FG$9,1,BX27),0,1-INDEX('Lease Cycles'!$EM$9:$ES$9,1,BX27)),BX30*IF(BX28&lt;INDEX('Lease Cycles'!$DK$9:$DQ$9,1,BX27),0,IF(BX28=INDEX('Lease Cycles'!$DK$9:$DQ$9,1,BX27),1-INDEX('Lease Cycles'!$DR$9:$DX$9,1,BX27),1))),0)</f>
        <v>13852.651568415735</v>
      </c>
      <c r="BY33" s="28">
        <f>IF(BY29=1,IF(INDEX('Lease Cycles'!$EF$9:$EL$9,1,BY27)=1,BY30*INDEX('Lease Cycles'!$EM$9:$ES$9,1,BY27)+BY31*IF(BY28&lt;INDEX('Lease Cycles'!$FA$9:$FG$9,1,BY27),0,1-INDEX('Lease Cycles'!$EM$9:$ES$9,1,BY27)),BY30*IF(BY28&lt;INDEX('Lease Cycles'!$DK$9:$DQ$9,1,BY27),0,IF(BY28=INDEX('Lease Cycles'!$DK$9:$DQ$9,1,BY27),1-INDEX('Lease Cycles'!$DR$9:$DX$9,1,BY27),1))),0)</f>
        <v>13852.651568415735</v>
      </c>
      <c r="BZ33" s="28">
        <f>IF(BZ29=1,IF(INDEX('Lease Cycles'!$EF$9:$EL$9,1,BZ27)=1,BZ30*INDEX('Lease Cycles'!$EM$9:$ES$9,1,BZ27)+BZ31*IF(BZ28&lt;INDEX('Lease Cycles'!$FA$9:$FG$9,1,BZ27),0,1-INDEX('Lease Cycles'!$EM$9:$ES$9,1,BZ27)),BZ30*IF(BZ28&lt;INDEX('Lease Cycles'!$DK$9:$DQ$9,1,BZ27),0,IF(BZ28=INDEX('Lease Cycles'!$DK$9:$DQ$9,1,BZ27),1-INDEX('Lease Cycles'!$DR$9:$DX$9,1,BZ27),1))),0)</f>
        <v>13852.651568415735</v>
      </c>
      <c r="CA33" s="28">
        <f>IF(CA29=1,IF(INDEX('Lease Cycles'!$EF$9:$EL$9,1,CA27)=1,CA30*INDEX('Lease Cycles'!$EM$9:$ES$9,1,CA27)+CA31*IF(CA28&lt;INDEX('Lease Cycles'!$FA$9:$FG$9,1,CA27),0,1-INDEX('Lease Cycles'!$EM$9:$ES$9,1,CA27)),CA30*IF(CA28&lt;INDEX('Lease Cycles'!$DK$9:$DQ$9,1,CA27),0,IF(CA28=INDEX('Lease Cycles'!$DK$9:$DQ$9,1,CA27),1-INDEX('Lease Cycles'!$DR$9:$DX$9,1,CA27),1))),0)</f>
        <v>13852.651568415735</v>
      </c>
      <c r="CB33" s="28">
        <f>IF(CB29=1,IF(INDEX('Lease Cycles'!$EF$9:$EL$9,1,CB27)=1,CB30*INDEX('Lease Cycles'!$EM$9:$ES$9,1,CB27)+CB31*IF(CB28&lt;INDEX('Lease Cycles'!$FA$9:$FG$9,1,CB27),0,1-INDEX('Lease Cycles'!$EM$9:$ES$9,1,CB27)),CB30*IF(CB28&lt;INDEX('Lease Cycles'!$DK$9:$DQ$9,1,CB27),0,IF(CB28=INDEX('Lease Cycles'!$DK$9:$DQ$9,1,CB27),1-INDEX('Lease Cycles'!$DR$9:$DX$9,1,CB27),1))),0)</f>
        <v>13852.651568415735</v>
      </c>
      <c r="CC33" s="28">
        <f>IF(CC29=1,IF(INDEX('Lease Cycles'!$EF$9:$EL$9,1,CC27)=1,CC30*INDEX('Lease Cycles'!$EM$9:$ES$9,1,CC27)+CC31*IF(CC28&lt;INDEX('Lease Cycles'!$FA$9:$FG$9,1,CC27),0,1-INDEX('Lease Cycles'!$EM$9:$ES$9,1,CC27)),CC30*IF(CC28&lt;INDEX('Lease Cycles'!$DK$9:$DQ$9,1,CC27),0,IF(CC28=INDEX('Lease Cycles'!$DK$9:$DQ$9,1,CC27),1-INDEX('Lease Cycles'!$DR$9:$DX$9,1,CC27),1))),0)</f>
        <v>13852.651568415735</v>
      </c>
      <c r="CD33" s="28">
        <f>IF(CD29=1,IF(INDEX('Lease Cycles'!$EF$9:$EL$9,1,CD27)=1,CD30*INDEX('Lease Cycles'!$EM$9:$ES$9,1,CD27)+CD31*IF(CD28&lt;INDEX('Lease Cycles'!$FA$9:$FG$9,1,CD27),0,1-INDEX('Lease Cycles'!$EM$9:$ES$9,1,CD27)),CD30*IF(CD28&lt;INDEX('Lease Cycles'!$DK$9:$DQ$9,1,CD27),0,IF(CD28=INDEX('Lease Cycles'!$DK$9:$DQ$9,1,CD27),1-INDEX('Lease Cycles'!$DR$9:$DX$9,1,CD27),1))),0)</f>
        <v>13852.651568415735</v>
      </c>
      <c r="CE33" s="28">
        <f>IF(CE29=1,IF(INDEX('Lease Cycles'!$EF$9:$EL$9,1,CE27)=1,CE30*INDEX('Lease Cycles'!$EM$9:$ES$9,1,CE27)+CE31*IF(CE28&lt;INDEX('Lease Cycles'!$FA$9:$FG$9,1,CE27),0,1-INDEX('Lease Cycles'!$EM$9:$ES$9,1,CE27)),CE30*IF(CE28&lt;INDEX('Lease Cycles'!$DK$9:$DQ$9,1,CE27),0,IF(CE28=INDEX('Lease Cycles'!$DK$9:$DQ$9,1,CE27),1-INDEX('Lease Cycles'!$DR$9:$DX$9,1,CE27),1))),0)</f>
        <v>13852.651568415735</v>
      </c>
      <c r="CF33" s="28">
        <f>IF(CF29=1,IF(INDEX('Lease Cycles'!$EF$9:$EL$9,1,CF27)=1,CF30*INDEX('Lease Cycles'!$EM$9:$ES$9,1,CF27)+CF31*IF(CF28&lt;INDEX('Lease Cycles'!$FA$9:$FG$9,1,CF27),0,1-INDEX('Lease Cycles'!$EM$9:$ES$9,1,CF27)),CF30*IF(CF28&lt;INDEX('Lease Cycles'!$DK$9:$DQ$9,1,CF27),0,IF(CF28=INDEX('Lease Cycles'!$DK$9:$DQ$9,1,CF27),1-INDEX('Lease Cycles'!$DR$9:$DX$9,1,CF27),1))),0)</f>
        <v>13852.651568415735</v>
      </c>
      <c r="CG33" s="28">
        <f>IF(CG29=1,IF(INDEX('Lease Cycles'!$EF$9:$EL$9,1,CG27)=1,CG30*INDEX('Lease Cycles'!$EM$9:$ES$9,1,CG27)+CG31*IF(CG28&lt;INDEX('Lease Cycles'!$FA$9:$FG$9,1,CG27),0,1-INDEX('Lease Cycles'!$EM$9:$ES$9,1,CG27)),CG30*IF(CG28&lt;INDEX('Lease Cycles'!$DK$9:$DQ$9,1,CG27),0,IF(CG28=INDEX('Lease Cycles'!$DK$9:$DQ$9,1,CG27),1-INDEX('Lease Cycles'!$DR$9:$DX$9,1,CG27),1))),0)</f>
        <v>13852.651568415735</v>
      </c>
      <c r="CH33" s="28">
        <f>IF(CH29=1,IF(INDEX('Lease Cycles'!$EF$9:$EL$9,1,CH27)=1,CH30*INDEX('Lease Cycles'!$EM$9:$ES$9,1,CH27)+CH31*IF(CH28&lt;INDEX('Lease Cycles'!$FA$9:$FG$9,1,CH27),0,1-INDEX('Lease Cycles'!$EM$9:$ES$9,1,CH27)),CH30*IF(CH28&lt;INDEX('Lease Cycles'!$DK$9:$DQ$9,1,CH27),0,IF(CH28=INDEX('Lease Cycles'!$DK$9:$DQ$9,1,CH27),1-INDEX('Lease Cycles'!$DR$9:$DX$9,1,CH27),1))),0)</f>
        <v>13852.651568415735</v>
      </c>
      <c r="CI33" s="28">
        <f>IF(CI29=1,IF(INDEX('Lease Cycles'!$EF$9:$EL$9,1,CI27)=1,CI30*INDEX('Lease Cycles'!$EM$9:$ES$9,1,CI27)+CI31*IF(CI28&lt;INDEX('Lease Cycles'!$FA$9:$FG$9,1,CI27),0,1-INDEX('Lease Cycles'!$EM$9:$ES$9,1,CI27)),CI30*IF(CI28&lt;INDEX('Lease Cycles'!$DK$9:$DQ$9,1,CI27),0,IF(CI28=INDEX('Lease Cycles'!$DK$9:$DQ$9,1,CI27),1-INDEX('Lease Cycles'!$DR$9:$DX$9,1,CI27),1))),0)</f>
        <v>13852.651568415735</v>
      </c>
      <c r="CJ33" s="28">
        <f>IF(CJ29=1,IF(INDEX('Lease Cycles'!$EF$9:$EL$9,1,CJ27)=1,CJ30*INDEX('Lease Cycles'!$EM$9:$ES$9,1,CJ27)+CJ31*IF(CJ28&lt;INDEX('Lease Cycles'!$FA$9:$FG$9,1,CJ27),0,1-INDEX('Lease Cycles'!$EM$9:$ES$9,1,CJ27)),CJ30*IF(CJ28&lt;INDEX('Lease Cycles'!$DK$9:$DQ$9,1,CJ27),0,IF(CJ28=INDEX('Lease Cycles'!$DK$9:$DQ$9,1,CJ27),1-INDEX('Lease Cycles'!$DR$9:$DX$9,1,CJ27),1))),0)</f>
        <v>13852.651568415735</v>
      </c>
      <c r="CK33" s="28">
        <f>IF(CK29=1,IF(INDEX('Lease Cycles'!$EF$9:$EL$9,1,CK27)=1,CK30*INDEX('Lease Cycles'!$EM$9:$ES$9,1,CK27)+CK31*IF(CK28&lt;INDEX('Lease Cycles'!$FA$9:$FG$9,1,CK27),0,1-INDEX('Lease Cycles'!$EM$9:$ES$9,1,CK27)),CK30*IF(CK28&lt;INDEX('Lease Cycles'!$DK$9:$DQ$9,1,CK27),0,IF(CK28=INDEX('Lease Cycles'!$DK$9:$DQ$9,1,CK27),1-INDEX('Lease Cycles'!$DR$9:$DX$9,1,CK27),1))),0)</f>
        <v>13852.651568415735</v>
      </c>
      <c r="CL33" s="28">
        <f>IF(CL29=1,IF(INDEX('Lease Cycles'!$EF$9:$EL$9,1,CL27)=1,CL30*INDEX('Lease Cycles'!$EM$9:$ES$9,1,CL27)+CL31*IF(CL28&lt;INDEX('Lease Cycles'!$FA$9:$FG$9,1,CL27),0,1-INDEX('Lease Cycles'!$EM$9:$ES$9,1,CL27)),CL30*IF(CL28&lt;INDEX('Lease Cycles'!$DK$9:$DQ$9,1,CL27),0,IF(CL28=INDEX('Lease Cycles'!$DK$9:$DQ$9,1,CL27),1-INDEX('Lease Cycles'!$DR$9:$DX$9,1,CL27),1))),0)</f>
        <v>13852.651568415735</v>
      </c>
      <c r="CM33" s="28">
        <f>IF(CM29=1,IF(INDEX('Lease Cycles'!$EF$9:$EL$9,1,CM27)=1,CM30*INDEX('Lease Cycles'!$EM$9:$ES$9,1,CM27)+CM31*IF(CM28&lt;INDEX('Lease Cycles'!$FA$9:$FG$9,1,CM27),0,1-INDEX('Lease Cycles'!$EM$9:$ES$9,1,CM27)),CM30*IF(CM28&lt;INDEX('Lease Cycles'!$DK$9:$DQ$9,1,CM27),0,IF(CM28=INDEX('Lease Cycles'!$DK$9:$DQ$9,1,CM27),1-INDEX('Lease Cycles'!$DR$9:$DX$9,1,CM27),1))),0)</f>
        <v>13852.651568415735</v>
      </c>
      <c r="CN33" s="28">
        <f>IF(CN29=1,IF(INDEX('Lease Cycles'!$EF$9:$EL$9,1,CN27)=1,CN30*INDEX('Lease Cycles'!$EM$9:$ES$9,1,CN27)+CN31*IF(CN28&lt;INDEX('Lease Cycles'!$FA$9:$FG$9,1,CN27),0,1-INDEX('Lease Cycles'!$EM$9:$ES$9,1,CN27)),CN30*IF(CN28&lt;INDEX('Lease Cycles'!$DK$9:$DQ$9,1,CN27),0,IF(CN28=INDEX('Lease Cycles'!$DK$9:$DQ$9,1,CN27),1-INDEX('Lease Cycles'!$DR$9:$DX$9,1,CN27),1))),0)</f>
        <v>13852.651568415735</v>
      </c>
      <c r="CO33" s="28">
        <f>IF(CO29=1,IF(INDEX('Lease Cycles'!$EF$9:$EL$9,1,CO27)=1,CO30*INDEX('Lease Cycles'!$EM$9:$ES$9,1,CO27)+CO31*IF(CO28&lt;INDEX('Lease Cycles'!$FA$9:$FG$9,1,CO27),0,1-INDEX('Lease Cycles'!$EM$9:$ES$9,1,CO27)),CO30*IF(CO28&lt;INDEX('Lease Cycles'!$DK$9:$DQ$9,1,CO27),0,IF(CO28=INDEX('Lease Cycles'!$DK$9:$DQ$9,1,CO27),1-INDEX('Lease Cycles'!$DR$9:$DX$9,1,CO27),1))),0)</f>
        <v>13852.651568415735</v>
      </c>
      <c r="CP33" s="28">
        <f>IF(CP29=1,IF(INDEX('Lease Cycles'!$EF$9:$EL$9,1,CP27)=1,CP30*INDEX('Lease Cycles'!$EM$9:$ES$9,1,CP27)+CP31*IF(CP28&lt;INDEX('Lease Cycles'!$FA$9:$FG$9,1,CP27),0,1-INDEX('Lease Cycles'!$EM$9:$ES$9,1,CP27)),CP30*IF(CP28&lt;INDEX('Lease Cycles'!$DK$9:$DQ$9,1,CP27),0,IF(CP28=INDEX('Lease Cycles'!$DK$9:$DQ$9,1,CP27),1-INDEX('Lease Cycles'!$DR$9:$DX$9,1,CP27),1))),0)</f>
        <v>13852.651568415735</v>
      </c>
      <c r="CQ33" s="28">
        <f>IF(CQ29=1,IF(INDEX('Lease Cycles'!$EF$9:$EL$9,1,CQ27)=1,CQ30*INDEX('Lease Cycles'!$EM$9:$ES$9,1,CQ27)+CQ31*IF(CQ28&lt;INDEX('Lease Cycles'!$FA$9:$FG$9,1,CQ27),0,1-INDEX('Lease Cycles'!$EM$9:$ES$9,1,CQ27)),CQ30*IF(CQ28&lt;INDEX('Lease Cycles'!$DK$9:$DQ$9,1,CQ27),0,IF(CQ28=INDEX('Lease Cycles'!$DK$9:$DQ$9,1,CQ27),1-INDEX('Lease Cycles'!$DR$9:$DX$9,1,CQ27),1))),0)</f>
        <v>13852.651568415735</v>
      </c>
      <c r="CR33" s="28">
        <f>IF(CR29=1,IF(INDEX('Lease Cycles'!$EF$9:$EL$9,1,CR27)=1,CR30*INDEX('Lease Cycles'!$EM$9:$ES$9,1,CR27)+CR31*IF(CR28&lt;INDEX('Lease Cycles'!$FA$9:$FG$9,1,CR27),0,1-INDEX('Lease Cycles'!$EM$9:$ES$9,1,CR27)),CR30*IF(CR28&lt;INDEX('Lease Cycles'!$DK$9:$DQ$9,1,CR27),0,IF(CR28=INDEX('Lease Cycles'!$DK$9:$DQ$9,1,CR27),1-INDEX('Lease Cycles'!$DR$9:$DX$9,1,CR27),1))),0)</f>
        <v>13852.651568415735</v>
      </c>
      <c r="CS33" s="28">
        <f>IF(CS29=1,IF(INDEX('Lease Cycles'!$EF$9:$EL$9,1,CS27)=1,CS30*INDEX('Lease Cycles'!$EM$9:$ES$9,1,CS27)+CS31*IF(CS28&lt;INDEX('Lease Cycles'!$FA$9:$FG$9,1,CS27),0,1-INDEX('Lease Cycles'!$EM$9:$ES$9,1,CS27)),CS30*IF(CS28&lt;INDEX('Lease Cycles'!$DK$9:$DQ$9,1,CS27),0,IF(CS28=INDEX('Lease Cycles'!$DK$9:$DQ$9,1,CS27),1-INDEX('Lease Cycles'!$DR$9:$DX$9,1,CS27),1))),0)</f>
        <v>13852.651568415735</v>
      </c>
      <c r="CT33" s="28">
        <f>IF(CT29=1,IF(INDEX('Lease Cycles'!$EF$9:$EL$9,1,CT27)=1,CT30*INDEX('Lease Cycles'!$EM$9:$ES$9,1,CT27)+CT31*IF(CT28&lt;INDEX('Lease Cycles'!$FA$9:$FG$9,1,CT27),0,1-INDEX('Lease Cycles'!$EM$9:$ES$9,1,CT27)),CT30*IF(CT28&lt;INDEX('Lease Cycles'!$DK$9:$DQ$9,1,CT27),0,IF(CT28=INDEX('Lease Cycles'!$DK$9:$DQ$9,1,CT27),1-INDEX('Lease Cycles'!$DR$9:$DX$9,1,CT27),1))),0)</f>
        <v>13852.651568415735</v>
      </c>
      <c r="CU33" s="28">
        <f>IF(CU29=1,IF(INDEX('Lease Cycles'!$EF$9:$EL$9,1,CU27)=1,CU30*INDEX('Lease Cycles'!$EM$9:$ES$9,1,CU27)+CU31*IF(CU28&lt;INDEX('Lease Cycles'!$FA$9:$FG$9,1,CU27),0,1-INDEX('Lease Cycles'!$EM$9:$ES$9,1,CU27)),CU30*IF(CU28&lt;INDEX('Lease Cycles'!$DK$9:$DQ$9,1,CU27),0,IF(CU28=INDEX('Lease Cycles'!$DK$9:$DQ$9,1,CU27),1-INDEX('Lease Cycles'!$DR$9:$DX$9,1,CU27),1))),0)</f>
        <v>13852.651568415735</v>
      </c>
      <c r="CV33" s="28">
        <f>IF(CV29=1,IF(INDEX('Lease Cycles'!$EF$9:$EL$9,1,CV27)=1,CV30*INDEX('Lease Cycles'!$EM$9:$ES$9,1,CV27)+CV31*IF(CV28&lt;INDEX('Lease Cycles'!$FA$9:$FG$9,1,CV27),0,1-INDEX('Lease Cycles'!$EM$9:$ES$9,1,CV27)),CV30*IF(CV28&lt;INDEX('Lease Cycles'!$DK$9:$DQ$9,1,CV27),0,IF(CV28=INDEX('Lease Cycles'!$DK$9:$DQ$9,1,CV27),1-INDEX('Lease Cycles'!$DR$9:$DX$9,1,CV27),1))),0)</f>
        <v>13852.651568415735</v>
      </c>
      <c r="CW33" s="28">
        <f>IF(CW29=1,IF(INDEX('Lease Cycles'!$EF$9:$EL$9,1,CW27)=1,CW30*INDEX('Lease Cycles'!$EM$9:$ES$9,1,CW27)+CW31*IF(CW28&lt;INDEX('Lease Cycles'!$FA$9:$FG$9,1,CW27),0,1-INDEX('Lease Cycles'!$EM$9:$ES$9,1,CW27)),CW30*IF(CW28&lt;INDEX('Lease Cycles'!$DK$9:$DQ$9,1,CW27),0,IF(CW28=INDEX('Lease Cycles'!$DK$9:$DQ$9,1,CW27),1-INDEX('Lease Cycles'!$DR$9:$DX$9,1,CW27),1))),0)</f>
        <v>13852.651568415735</v>
      </c>
      <c r="CX33" s="28">
        <f>IF(CX29=1,IF(INDEX('Lease Cycles'!$EF$9:$EL$9,1,CX27)=1,CX30*INDEX('Lease Cycles'!$EM$9:$ES$9,1,CX27)+CX31*IF(CX28&lt;INDEX('Lease Cycles'!$FA$9:$FG$9,1,CX27),0,1-INDEX('Lease Cycles'!$EM$9:$ES$9,1,CX27)),CX30*IF(CX28&lt;INDEX('Lease Cycles'!$DK$9:$DQ$9,1,CX27),0,IF(CX28=INDEX('Lease Cycles'!$DK$9:$DQ$9,1,CX27),1-INDEX('Lease Cycles'!$DR$9:$DX$9,1,CX27),1))),0)</f>
        <v>13852.651568415735</v>
      </c>
      <c r="CY33" s="28">
        <f>IF(CY29=1,IF(INDEX('Lease Cycles'!$EF$9:$EL$9,1,CY27)=1,CY30*INDEX('Lease Cycles'!$EM$9:$ES$9,1,CY27)+CY31*IF(CY28&lt;INDEX('Lease Cycles'!$FA$9:$FG$9,1,CY27),0,1-INDEX('Lease Cycles'!$EM$9:$ES$9,1,CY27)),CY30*IF(CY28&lt;INDEX('Lease Cycles'!$DK$9:$DQ$9,1,CY27),0,IF(CY28=INDEX('Lease Cycles'!$DK$9:$DQ$9,1,CY27),1-INDEX('Lease Cycles'!$DR$9:$DX$9,1,CY27),1))),0)</f>
        <v>13852.651568415735</v>
      </c>
      <c r="CZ33" s="28">
        <f>IF(CZ29=1,IF(INDEX('Lease Cycles'!$EF$9:$EL$9,1,CZ27)=1,CZ30*INDEX('Lease Cycles'!$EM$9:$ES$9,1,CZ27)+CZ31*IF(CZ28&lt;INDEX('Lease Cycles'!$FA$9:$FG$9,1,CZ27),0,1-INDEX('Lease Cycles'!$EM$9:$ES$9,1,CZ27)),CZ30*IF(CZ28&lt;INDEX('Lease Cycles'!$DK$9:$DQ$9,1,CZ27),0,IF(CZ28=INDEX('Lease Cycles'!$DK$9:$DQ$9,1,CZ27),1-INDEX('Lease Cycles'!$DR$9:$DX$9,1,CZ27),1))),0)</f>
        <v>13852.651568415735</v>
      </c>
      <c r="DA33" s="28">
        <f>IF(DA29=1,IF(INDEX('Lease Cycles'!$EF$9:$EL$9,1,DA27)=1,DA30*INDEX('Lease Cycles'!$EM$9:$ES$9,1,DA27)+DA31*IF(DA28&lt;INDEX('Lease Cycles'!$FA$9:$FG$9,1,DA27),0,1-INDEX('Lease Cycles'!$EM$9:$ES$9,1,DA27)),DA30*IF(DA28&lt;INDEX('Lease Cycles'!$DK$9:$DQ$9,1,DA27),0,IF(DA28=INDEX('Lease Cycles'!$DK$9:$DQ$9,1,DA27),1-INDEX('Lease Cycles'!$DR$9:$DX$9,1,DA27),1))),0)</f>
        <v>13852.651568415735</v>
      </c>
      <c r="DB33" s="28">
        <f>IF(DB29=1,IF(INDEX('Lease Cycles'!$EF$9:$EL$9,1,DB27)=1,DB30*INDEX('Lease Cycles'!$EM$9:$ES$9,1,DB27)+DB31*IF(DB28&lt;INDEX('Lease Cycles'!$FA$9:$FG$9,1,DB27),0,1-INDEX('Lease Cycles'!$EM$9:$ES$9,1,DB27)),DB30*IF(DB28&lt;INDEX('Lease Cycles'!$DK$9:$DQ$9,1,DB27),0,IF(DB28=INDEX('Lease Cycles'!$DK$9:$DQ$9,1,DB27),1-INDEX('Lease Cycles'!$DR$9:$DX$9,1,DB27),1))),0)</f>
        <v>13852.651568415735</v>
      </c>
      <c r="DC33" s="28">
        <f>IF(DC29=1,IF(INDEX('Lease Cycles'!$EF$9:$EL$9,1,DC27)=1,DC30*INDEX('Lease Cycles'!$EM$9:$ES$9,1,DC27)+DC31*IF(DC28&lt;INDEX('Lease Cycles'!$FA$9:$FG$9,1,DC27),0,1-INDEX('Lease Cycles'!$EM$9:$ES$9,1,DC27)),DC30*IF(DC28&lt;INDEX('Lease Cycles'!$DK$9:$DQ$9,1,DC27),0,IF(DC28=INDEX('Lease Cycles'!$DK$9:$DQ$9,1,DC27),1-INDEX('Lease Cycles'!$DR$9:$DX$9,1,DC27),1))),0)</f>
        <v>13852.651568415735</v>
      </c>
      <c r="DD33" s="28">
        <f>IF(DD29=1,IF(INDEX('Lease Cycles'!$EF$9:$EL$9,1,DD27)=1,DD30*INDEX('Lease Cycles'!$EM$9:$ES$9,1,DD27)+DD31*IF(DD28&lt;INDEX('Lease Cycles'!$FA$9:$FG$9,1,DD27),0,1-INDEX('Lease Cycles'!$EM$9:$ES$9,1,DD27)),DD30*IF(DD28&lt;INDEX('Lease Cycles'!$DK$9:$DQ$9,1,DD27),0,IF(DD28=INDEX('Lease Cycles'!$DK$9:$DQ$9,1,DD27),1-INDEX('Lease Cycles'!$DR$9:$DX$9,1,DD27),1))),0)</f>
        <v>13852.651568415735</v>
      </c>
      <c r="DE33" s="28">
        <f>IF(DE29=1,IF(INDEX('Lease Cycles'!$EF$9:$EL$9,1,DE27)=1,DE30*INDEX('Lease Cycles'!$EM$9:$ES$9,1,DE27)+DE31*IF(DE28&lt;INDEX('Lease Cycles'!$FA$9:$FG$9,1,DE27),0,1-INDEX('Lease Cycles'!$EM$9:$ES$9,1,DE27)),DE30*IF(DE28&lt;INDEX('Lease Cycles'!$DK$9:$DQ$9,1,DE27),0,IF(DE28=INDEX('Lease Cycles'!$DK$9:$DQ$9,1,DE27),1-INDEX('Lease Cycles'!$DR$9:$DX$9,1,DE27),1))),0)</f>
        <v>13852.651568415735</v>
      </c>
      <c r="DF33" s="28">
        <f>IF(DF29=1,IF(INDEX('Lease Cycles'!$EF$9:$EL$9,1,DF27)=1,DF30*INDEX('Lease Cycles'!$EM$9:$ES$9,1,DF27)+DF31*IF(DF28&lt;INDEX('Lease Cycles'!$FA$9:$FG$9,1,DF27),0,1-INDEX('Lease Cycles'!$EM$9:$ES$9,1,DF27)),DF30*IF(DF28&lt;INDEX('Lease Cycles'!$DK$9:$DQ$9,1,DF27),0,IF(DF28=INDEX('Lease Cycles'!$DK$9:$DQ$9,1,DF27),1-INDEX('Lease Cycles'!$DR$9:$DX$9,1,DF27),1))),0)</f>
        <v>13852.651568415735</v>
      </c>
      <c r="DG33" s="28">
        <f>IF(DG29=1,IF(INDEX('Lease Cycles'!$EF$9:$EL$9,1,DG27)=1,DG30*INDEX('Lease Cycles'!$EM$9:$ES$9,1,DG27)+DG31*IF(DG28&lt;INDEX('Lease Cycles'!$FA$9:$FG$9,1,DG27),0,1-INDEX('Lease Cycles'!$EM$9:$ES$9,1,DG27)),DG30*IF(DG28&lt;INDEX('Lease Cycles'!$DK$9:$DQ$9,1,DG27),0,IF(DG28=INDEX('Lease Cycles'!$DK$9:$DQ$9,1,DG27),1-INDEX('Lease Cycles'!$DR$9:$DX$9,1,DG27),1))),0)</f>
        <v>13852.651568415735</v>
      </c>
      <c r="DH33" s="28">
        <f>IF(DH29=1,IF(INDEX('Lease Cycles'!$EF$9:$EL$9,1,DH27)=1,DH30*INDEX('Lease Cycles'!$EM$9:$ES$9,1,DH27)+DH31*IF(DH28&lt;INDEX('Lease Cycles'!$FA$9:$FG$9,1,DH27),0,1-INDEX('Lease Cycles'!$EM$9:$ES$9,1,DH27)),DH30*IF(DH28&lt;INDEX('Lease Cycles'!$DK$9:$DQ$9,1,DH27),0,IF(DH28=INDEX('Lease Cycles'!$DK$9:$DQ$9,1,DH27),1-INDEX('Lease Cycles'!$DR$9:$DX$9,1,DH27),1))),0)</f>
        <v>13852.651568415735</v>
      </c>
      <c r="DI33" s="28">
        <f>IF(DI29=1,IF(INDEX('Lease Cycles'!$EF$9:$EL$9,1,DI27)=1,DI30*INDEX('Lease Cycles'!$EM$9:$ES$9,1,DI27)+DI31*IF(DI28&lt;INDEX('Lease Cycles'!$FA$9:$FG$9,1,DI27),0,1-INDEX('Lease Cycles'!$EM$9:$ES$9,1,DI27)),DI30*IF(DI28&lt;INDEX('Lease Cycles'!$DK$9:$DQ$9,1,DI27),0,IF(DI28=INDEX('Lease Cycles'!$DK$9:$DQ$9,1,DI27),1-INDEX('Lease Cycles'!$DR$9:$DX$9,1,DI27),1))),0)</f>
        <v>13852.651568415735</v>
      </c>
      <c r="DJ33" s="28">
        <f>IF(DJ29=1,IF(INDEX('Lease Cycles'!$EF$9:$EL$9,1,DJ27)=1,DJ30*INDEX('Lease Cycles'!$EM$9:$ES$9,1,DJ27)+DJ31*IF(DJ28&lt;INDEX('Lease Cycles'!$FA$9:$FG$9,1,DJ27),0,1-INDEX('Lease Cycles'!$EM$9:$ES$9,1,DJ27)),DJ30*IF(DJ28&lt;INDEX('Lease Cycles'!$DK$9:$DQ$9,1,DJ27),0,IF(DJ28=INDEX('Lease Cycles'!$DK$9:$DQ$9,1,DJ27),1-INDEX('Lease Cycles'!$DR$9:$DX$9,1,DJ27),1))),0)</f>
        <v>13852.651568415735</v>
      </c>
      <c r="DK33" s="28">
        <f>IF(DK29=1,IF(INDEX('Lease Cycles'!$EF$9:$EL$9,1,DK27)=1,DK30*INDEX('Lease Cycles'!$EM$9:$ES$9,1,DK27)+DK31*IF(DK28&lt;INDEX('Lease Cycles'!$FA$9:$FG$9,1,DK27),0,1-INDEX('Lease Cycles'!$EM$9:$ES$9,1,DK27)),DK30*IF(DK28&lt;INDEX('Lease Cycles'!$DK$9:$DQ$9,1,DK27),0,IF(DK28=INDEX('Lease Cycles'!$DK$9:$DQ$9,1,DK27),1-INDEX('Lease Cycles'!$DR$9:$DX$9,1,DK27),1))),0)</f>
        <v>13852.651568415735</v>
      </c>
      <c r="DL33" s="28">
        <f>IF(DL29=1,IF(INDEX('Lease Cycles'!$EF$9:$EL$9,1,DL27)=1,DL30*INDEX('Lease Cycles'!$EM$9:$ES$9,1,DL27)+DL31*IF(DL28&lt;INDEX('Lease Cycles'!$FA$9:$FG$9,1,DL27),0,1-INDEX('Lease Cycles'!$EM$9:$ES$9,1,DL27)),DL30*IF(DL28&lt;INDEX('Lease Cycles'!$DK$9:$DQ$9,1,DL27),0,IF(DL28=INDEX('Lease Cycles'!$DK$9:$DQ$9,1,DL27),1-INDEX('Lease Cycles'!$DR$9:$DX$9,1,DL27),1))),0)</f>
        <v>13852.651568415735</v>
      </c>
      <c r="DM33" s="28">
        <f>IF(DM29=1,IF(INDEX('Lease Cycles'!$EF$9:$EL$9,1,DM27)=1,DM30*INDEX('Lease Cycles'!$EM$9:$ES$9,1,DM27)+DM31*IF(DM28&lt;INDEX('Lease Cycles'!$FA$9:$FG$9,1,DM27),0,1-INDEX('Lease Cycles'!$EM$9:$ES$9,1,DM27)),DM30*IF(DM28&lt;INDEX('Lease Cycles'!$DK$9:$DQ$9,1,DM27),0,IF(DM28=INDEX('Lease Cycles'!$DK$9:$DQ$9,1,DM27),1-INDEX('Lease Cycles'!$DR$9:$DX$9,1,DM27),1))),0)</f>
        <v>13852.651568415735</v>
      </c>
      <c r="DN33" s="28">
        <f>IF(DN29=1,IF(INDEX('Lease Cycles'!$EF$9:$EL$9,1,DN27)=1,DN30*INDEX('Lease Cycles'!$EM$9:$ES$9,1,DN27)+DN31*IF(DN28&lt;INDEX('Lease Cycles'!$FA$9:$FG$9,1,DN27),0,1-INDEX('Lease Cycles'!$EM$9:$ES$9,1,DN27)),DN30*IF(DN28&lt;INDEX('Lease Cycles'!$DK$9:$DQ$9,1,DN27),0,IF(DN28=INDEX('Lease Cycles'!$DK$9:$DQ$9,1,DN27),1-INDEX('Lease Cycles'!$DR$9:$DX$9,1,DN27),1))),0)</f>
        <v>13852.651568415735</v>
      </c>
      <c r="DO33" s="28">
        <f>IF(DO29=1,IF(INDEX('Lease Cycles'!$EF$9:$EL$9,1,DO27)=1,DO30*INDEX('Lease Cycles'!$EM$9:$ES$9,1,DO27)+DO31*IF(DO28&lt;INDEX('Lease Cycles'!$FA$9:$FG$9,1,DO27),0,1-INDEX('Lease Cycles'!$EM$9:$ES$9,1,DO27)),DO30*IF(DO28&lt;INDEX('Lease Cycles'!$DK$9:$DQ$9,1,DO27),0,IF(DO28=INDEX('Lease Cycles'!$DK$9:$DQ$9,1,DO27),1-INDEX('Lease Cycles'!$DR$9:$DX$9,1,DO27),1))),0)</f>
        <v>13852.651568415735</v>
      </c>
      <c r="DP33" s="28">
        <f>IF(DP29=1,IF(INDEX('Lease Cycles'!$EF$9:$EL$9,1,DP27)=1,DP30*INDEX('Lease Cycles'!$EM$9:$ES$9,1,DP27)+DP31*IF(DP28&lt;INDEX('Lease Cycles'!$FA$9:$FG$9,1,DP27),0,1-INDEX('Lease Cycles'!$EM$9:$ES$9,1,DP27)),DP30*IF(DP28&lt;INDEX('Lease Cycles'!$DK$9:$DQ$9,1,DP27),0,IF(DP28=INDEX('Lease Cycles'!$DK$9:$DQ$9,1,DP27),1-INDEX('Lease Cycles'!$DR$9:$DX$9,1,DP27),1))),0)</f>
        <v>13852.651568415735</v>
      </c>
      <c r="DQ33" s="28">
        <f>IF(DQ29=1,IF(INDEX('Lease Cycles'!$EF$9:$EL$9,1,DQ27)=1,DQ30*INDEX('Lease Cycles'!$EM$9:$ES$9,1,DQ27)+DQ31*IF(DQ28&lt;INDEX('Lease Cycles'!$FA$9:$FG$9,1,DQ27),0,1-INDEX('Lease Cycles'!$EM$9:$ES$9,1,DQ27)),DQ30*IF(DQ28&lt;INDEX('Lease Cycles'!$DK$9:$DQ$9,1,DQ27),0,IF(DQ28=INDEX('Lease Cycles'!$DK$9:$DQ$9,1,DQ27),1-INDEX('Lease Cycles'!$DR$9:$DX$9,1,DQ27),1))),0)</f>
        <v>13852.651568415735</v>
      </c>
      <c r="DR33" s="28">
        <f>IF(DR29=1,IF(INDEX('Lease Cycles'!$EF$9:$EL$9,1,DR27)=1,DR30*INDEX('Lease Cycles'!$EM$9:$ES$9,1,DR27)+DR31*IF(DR28&lt;INDEX('Lease Cycles'!$FA$9:$FG$9,1,DR27),0,1-INDEX('Lease Cycles'!$EM$9:$ES$9,1,DR27)),DR30*IF(DR28&lt;INDEX('Lease Cycles'!$DK$9:$DQ$9,1,DR27),0,IF(DR28=INDEX('Lease Cycles'!$DK$9:$DQ$9,1,DR27),1-INDEX('Lease Cycles'!$DR$9:$DX$9,1,DR27),1))),0)</f>
        <v>13852.651568415735</v>
      </c>
      <c r="DS33" s="28">
        <f>IF(DS29=1,IF(INDEX('Lease Cycles'!$EF$9:$EL$9,1,DS27)=1,DS30*INDEX('Lease Cycles'!$EM$9:$ES$9,1,DS27)+DS31*IF(DS28&lt;INDEX('Lease Cycles'!$FA$9:$FG$9,1,DS27),0,1-INDEX('Lease Cycles'!$EM$9:$ES$9,1,DS27)),DS30*IF(DS28&lt;INDEX('Lease Cycles'!$DK$9:$DQ$9,1,DS27),0,IF(DS28=INDEX('Lease Cycles'!$DK$9:$DQ$9,1,DS27),1-INDEX('Lease Cycles'!$DR$9:$DX$9,1,DS27),1))),0)</f>
        <v>13852.651568415735</v>
      </c>
      <c r="DT33" s="28">
        <f>IF(DT29=1,IF(INDEX('Lease Cycles'!$EF$9:$EL$9,1,DT27)=1,DT30*INDEX('Lease Cycles'!$EM$9:$ES$9,1,DT27)+DT31*IF(DT28&lt;INDEX('Lease Cycles'!$FA$9:$FG$9,1,DT27),0,1-INDEX('Lease Cycles'!$EM$9:$ES$9,1,DT27)),DT30*IF(DT28&lt;INDEX('Lease Cycles'!$DK$9:$DQ$9,1,DT27),0,IF(DT28=INDEX('Lease Cycles'!$DK$9:$DQ$9,1,DT27),1-INDEX('Lease Cycles'!$DR$9:$DX$9,1,DT27),1))),0)</f>
        <v>13852.651568415735</v>
      </c>
      <c r="DU33" s="28">
        <f>IF(DU29=1,IF(INDEX('Lease Cycles'!$EF$9:$EL$9,1,DU27)=1,DU30*INDEX('Lease Cycles'!$EM$9:$ES$9,1,DU27)+DU31*IF(DU28&lt;INDEX('Lease Cycles'!$FA$9:$FG$9,1,DU27),0,1-INDEX('Lease Cycles'!$EM$9:$ES$9,1,DU27)),DU30*IF(DU28&lt;INDEX('Lease Cycles'!$DK$9:$DQ$9,1,DU27),0,IF(DU28=INDEX('Lease Cycles'!$DK$9:$DQ$9,1,DU27),1-INDEX('Lease Cycles'!$DR$9:$DX$9,1,DU27),1))),0)</f>
        <v>13852.651568415735</v>
      </c>
      <c r="DV33" s="28">
        <f>IF(DV29=1,IF(INDEX('Lease Cycles'!$EF$9:$EL$9,1,DV27)=1,DV30*INDEX('Lease Cycles'!$EM$9:$ES$9,1,DV27)+DV31*IF(DV28&lt;INDEX('Lease Cycles'!$FA$9:$FG$9,1,DV27),0,1-INDEX('Lease Cycles'!$EM$9:$ES$9,1,DV27)),DV30*IF(DV28&lt;INDEX('Lease Cycles'!$DK$9:$DQ$9,1,DV27),0,IF(DV28=INDEX('Lease Cycles'!$DK$9:$DQ$9,1,DV27),1-INDEX('Lease Cycles'!$DR$9:$DX$9,1,DV27),1))),0)</f>
        <v>13852.651568415735</v>
      </c>
      <c r="DW33" s="28">
        <f>IF(DW29=1,IF(INDEX('Lease Cycles'!$EF$9:$EL$9,1,DW27)=1,DW30*INDEX('Lease Cycles'!$EM$9:$ES$9,1,DW27)+DW31*IF(DW28&lt;INDEX('Lease Cycles'!$FA$9:$FG$9,1,DW27),0,1-INDEX('Lease Cycles'!$EM$9:$ES$9,1,DW27)),DW30*IF(DW28&lt;INDEX('Lease Cycles'!$DK$9:$DQ$9,1,DW27),0,IF(DW28=INDEX('Lease Cycles'!$DK$9:$DQ$9,1,DW27),1-INDEX('Lease Cycles'!$DR$9:$DX$9,1,DW27),1))),0)</f>
        <v>13852.651568415735</v>
      </c>
      <c r="DX33" s="28">
        <f>IF(DX29=1,IF(INDEX('Lease Cycles'!$EF$9:$EL$9,1,DX27)=1,DX30*INDEX('Lease Cycles'!$EM$9:$ES$9,1,DX27)+DX31*IF(DX28&lt;INDEX('Lease Cycles'!$FA$9:$FG$9,1,DX27),0,1-INDEX('Lease Cycles'!$EM$9:$ES$9,1,DX27)),DX30*IF(DX28&lt;INDEX('Lease Cycles'!$DK$9:$DQ$9,1,DX27),0,IF(DX28=INDEX('Lease Cycles'!$DK$9:$DQ$9,1,DX27),1-INDEX('Lease Cycles'!$DR$9:$DX$9,1,DX27),1))),0)</f>
        <v>13852.651568415735</v>
      </c>
      <c r="DY33" s="28">
        <f>IF(DY29=1,IF(INDEX('Lease Cycles'!$EF$9:$EL$9,1,DY27)=1,DY30*INDEX('Lease Cycles'!$EM$9:$ES$9,1,DY27)+DY31*IF(DY28&lt;INDEX('Lease Cycles'!$FA$9:$FG$9,1,DY27),0,1-INDEX('Lease Cycles'!$EM$9:$ES$9,1,DY27)),DY30*IF(DY28&lt;INDEX('Lease Cycles'!$DK$9:$DQ$9,1,DY27),0,IF(DY28=INDEX('Lease Cycles'!$DK$9:$DQ$9,1,DY27),1-INDEX('Lease Cycles'!$DR$9:$DX$9,1,DY27),1))),0)</f>
        <v>13852.651568415735</v>
      </c>
      <c r="DZ33" s="28">
        <f>IF(DZ29=1,IF(INDEX('Lease Cycles'!$EF$9:$EL$9,1,DZ27)=1,DZ30*INDEX('Lease Cycles'!$EM$9:$ES$9,1,DZ27)+DZ31*IF(DZ28&lt;INDEX('Lease Cycles'!$FA$9:$FG$9,1,DZ27),0,1-INDEX('Lease Cycles'!$EM$9:$ES$9,1,DZ27)),DZ30*IF(DZ28&lt;INDEX('Lease Cycles'!$DK$9:$DQ$9,1,DZ27),0,IF(DZ28=INDEX('Lease Cycles'!$DK$9:$DQ$9,1,DZ27),1-INDEX('Lease Cycles'!$DR$9:$DX$9,1,DZ27),1))),0)</f>
        <v>13852.651568415735</v>
      </c>
      <c r="EA33" s="28">
        <f>IF(EA29=1,IF(INDEX('Lease Cycles'!$EF$9:$EL$9,1,EA27)=1,EA30*INDEX('Lease Cycles'!$EM$9:$ES$9,1,EA27)+EA31*IF(EA28&lt;INDEX('Lease Cycles'!$FA$9:$FG$9,1,EA27),0,1-INDEX('Lease Cycles'!$EM$9:$ES$9,1,EA27)),EA30*IF(EA28&lt;INDEX('Lease Cycles'!$DK$9:$DQ$9,1,EA27),0,IF(EA28=INDEX('Lease Cycles'!$DK$9:$DQ$9,1,EA27),1-INDEX('Lease Cycles'!$DR$9:$DX$9,1,EA27),1))),0)</f>
        <v>13852.651568415735</v>
      </c>
      <c r="EB33" s="28">
        <f>IF(EB29=1,IF(INDEX('Lease Cycles'!$EF$9:$EL$9,1,EB27)=1,EB30*INDEX('Lease Cycles'!$EM$9:$ES$9,1,EB27)+EB31*IF(EB28&lt;INDEX('Lease Cycles'!$FA$9:$FG$9,1,EB27),0,1-INDEX('Lease Cycles'!$EM$9:$ES$9,1,EB27)),EB30*IF(EB28&lt;INDEX('Lease Cycles'!$DK$9:$DQ$9,1,EB27),0,IF(EB28=INDEX('Lease Cycles'!$DK$9:$DQ$9,1,EB27),1-INDEX('Lease Cycles'!$DR$9:$DX$9,1,EB27),1))),0)</f>
        <v>13852.651568415735</v>
      </c>
      <c r="EC33" s="28">
        <f>IF(EC29=1,IF(INDEX('Lease Cycles'!$EF$9:$EL$9,1,EC27)=1,EC30*INDEX('Lease Cycles'!$EM$9:$ES$9,1,EC27)+EC31*IF(EC28&lt;INDEX('Lease Cycles'!$FA$9:$FG$9,1,EC27),0,1-INDEX('Lease Cycles'!$EM$9:$ES$9,1,EC27)),EC30*IF(EC28&lt;INDEX('Lease Cycles'!$DK$9:$DQ$9,1,EC27),0,IF(EC28=INDEX('Lease Cycles'!$DK$9:$DQ$9,1,EC27),1-INDEX('Lease Cycles'!$DR$9:$DX$9,1,EC27),1))),0)</f>
        <v>13852.651568415735</v>
      </c>
      <c r="ED33" s="28">
        <f>IF(ED29=1,IF(INDEX('Lease Cycles'!$EF$9:$EL$9,1,ED27)=1,ED30*INDEX('Lease Cycles'!$EM$9:$ES$9,1,ED27)+ED31*IF(ED28&lt;INDEX('Lease Cycles'!$FA$9:$FG$9,1,ED27),0,1-INDEX('Lease Cycles'!$EM$9:$ES$9,1,ED27)),ED30*IF(ED28&lt;INDEX('Lease Cycles'!$DK$9:$DQ$9,1,ED27),0,IF(ED28=INDEX('Lease Cycles'!$DK$9:$DQ$9,1,ED27),1-INDEX('Lease Cycles'!$DR$9:$DX$9,1,ED27),1))),0)</f>
        <v>15237.91672525731</v>
      </c>
      <c r="EE33" s="28">
        <f>IF(EE29=1,IF(INDEX('Lease Cycles'!$EF$9:$EL$9,1,EE27)=1,EE30*INDEX('Lease Cycles'!$EM$9:$ES$9,1,EE27)+EE31*IF(EE28&lt;INDEX('Lease Cycles'!$FA$9:$FG$9,1,EE27),0,1-INDEX('Lease Cycles'!$EM$9:$ES$9,1,EE27)),EE30*IF(EE28&lt;INDEX('Lease Cycles'!$DK$9:$DQ$9,1,EE27),0,IF(EE28=INDEX('Lease Cycles'!$DK$9:$DQ$9,1,EE27),1-INDEX('Lease Cycles'!$DR$9:$DX$9,1,EE27),1))),0)</f>
        <v>15237.91672525731</v>
      </c>
      <c r="EF33" s="28">
        <f>IF(EF29=1,IF(INDEX('Lease Cycles'!$EF$9:$EL$9,1,EF27)=1,EF30*INDEX('Lease Cycles'!$EM$9:$ES$9,1,EF27)+EF31*IF(EF28&lt;INDEX('Lease Cycles'!$FA$9:$FG$9,1,EF27),0,1-INDEX('Lease Cycles'!$EM$9:$ES$9,1,EF27)),EF30*IF(EF28&lt;INDEX('Lease Cycles'!$DK$9:$DQ$9,1,EF27),0,IF(EF28=INDEX('Lease Cycles'!$DK$9:$DQ$9,1,EF27),1-INDEX('Lease Cycles'!$DR$9:$DX$9,1,EF27),1))),0)</f>
        <v>15237.91672525731</v>
      </c>
      <c r="EG33" s="28">
        <f>IF(EG29=1,IF(INDEX('Lease Cycles'!$EF$9:$EL$9,1,EG27)=1,EG30*INDEX('Lease Cycles'!$EM$9:$ES$9,1,EG27)+EG31*IF(EG28&lt;INDEX('Lease Cycles'!$FA$9:$FG$9,1,EG27),0,1-INDEX('Lease Cycles'!$EM$9:$ES$9,1,EG27)),EG30*IF(EG28&lt;INDEX('Lease Cycles'!$DK$9:$DQ$9,1,EG27),0,IF(EG28=INDEX('Lease Cycles'!$DK$9:$DQ$9,1,EG27),1-INDEX('Lease Cycles'!$DR$9:$DX$9,1,EG27),1))),0)</f>
        <v>15237.91672525731</v>
      </c>
      <c r="EH33" s="28">
        <f>IF(EH29=1,IF(INDEX('Lease Cycles'!$EF$9:$EL$9,1,EH27)=1,EH30*INDEX('Lease Cycles'!$EM$9:$ES$9,1,EH27)+EH31*IF(EH28&lt;INDEX('Lease Cycles'!$FA$9:$FG$9,1,EH27),0,1-INDEX('Lease Cycles'!$EM$9:$ES$9,1,EH27)),EH30*IF(EH28&lt;INDEX('Lease Cycles'!$DK$9:$DQ$9,1,EH27),0,IF(EH28=INDEX('Lease Cycles'!$DK$9:$DQ$9,1,EH27),1-INDEX('Lease Cycles'!$DR$9:$DX$9,1,EH27),1))),0)</f>
        <v>15237.91672525731</v>
      </c>
      <c r="EI33" s="28">
        <f>IF(EI29=1,IF(INDEX('Lease Cycles'!$EF$9:$EL$9,1,EI27)=1,EI30*INDEX('Lease Cycles'!$EM$9:$ES$9,1,EI27)+EI31*IF(EI28&lt;INDEX('Lease Cycles'!$FA$9:$FG$9,1,EI27),0,1-INDEX('Lease Cycles'!$EM$9:$ES$9,1,EI27)),EI30*IF(EI28&lt;INDEX('Lease Cycles'!$DK$9:$DQ$9,1,EI27),0,IF(EI28=INDEX('Lease Cycles'!$DK$9:$DQ$9,1,EI27),1-INDEX('Lease Cycles'!$DR$9:$DX$9,1,EI27),1))),0)</f>
        <v>15237.91672525731</v>
      </c>
      <c r="EJ33" s="28">
        <f>IF(EJ29=1,IF(INDEX('Lease Cycles'!$EF$9:$EL$9,1,EJ27)=1,EJ30*INDEX('Lease Cycles'!$EM$9:$ES$9,1,EJ27)+EJ31*IF(EJ28&lt;INDEX('Lease Cycles'!$FA$9:$FG$9,1,EJ27),0,1-INDEX('Lease Cycles'!$EM$9:$ES$9,1,EJ27)),EJ30*IF(EJ28&lt;INDEX('Lease Cycles'!$DK$9:$DQ$9,1,EJ27),0,IF(EJ28=INDEX('Lease Cycles'!$DK$9:$DQ$9,1,EJ27),1-INDEX('Lease Cycles'!$DR$9:$DX$9,1,EJ27),1))),0)</f>
        <v>15237.91672525731</v>
      </c>
      <c r="EK33" s="28">
        <f>IF(EK29=1,IF(INDEX('Lease Cycles'!$EF$9:$EL$9,1,EK27)=1,EK30*INDEX('Lease Cycles'!$EM$9:$ES$9,1,EK27)+EK31*IF(EK28&lt;INDEX('Lease Cycles'!$FA$9:$FG$9,1,EK27),0,1-INDEX('Lease Cycles'!$EM$9:$ES$9,1,EK27)),EK30*IF(EK28&lt;INDEX('Lease Cycles'!$DK$9:$DQ$9,1,EK27),0,IF(EK28=INDEX('Lease Cycles'!$DK$9:$DQ$9,1,EK27),1-INDEX('Lease Cycles'!$DR$9:$DX$9,1,EK27),1))),0)</f>
        <v>15237.91672525731</v>
      </c>
      <c r="EL33" s="28">
        <f>IF(EL29=1,IF(INDEX('Lease Cycles'!$EF$9:$EL$9,1,EL27)=1,EL30*INDEX('Lease Cycles'!$EM$9:$ES$9,1,EL27)+EL31*IF(EL28&lt;INDEX('Lease Cycles'!$FA$9:$FG$9,1,EL27),0,1-INDEX('Lease Cycles'!$EM$9:$ES$9,1,EL27)),EL30*IF(EL28&lt;INDEX('Lease Cycles'!$DK$9:$DQ$9,1,EL27),0,IF(EL28=INDEX('Lease Cycles'!$DK$9:$DQ$9,1,EL27),1-INDEX('Lease Cycles'!$DR$9:$DX$9,1,EL27),1))),0)</f>
        <v>15237.91672525731</v>
      </c>
      <c r="EM33" s="28">
        <f>IF(EM29=1,IF(INDEX('Lease Cycles'!$EF$9:$EL$9,1,EM27)=1,EM30*INDEX('Lease Cycles'!$EM$9:$ES$9,1,EM27)+EM31*IF(EM28&lt;INDEX('Lease Cycles'!$FA$9:$FG$9,1,EM27),0,1-INDEX('Lease Cycles'!$EM$9:$ES$9,1,EM27)),EM30*IF(EM28&lt;INDEX('Lease Cycles'!$DK$9:$DQ$9,1,EM27),0,IF(EM28=INDEX('Lease Cycles'!$DK$9:$DQ$9,1,EM27),1-INDEX('Lease Cycles'!$DR$9:$DX$9,1,EM27),1))),0)</f>
        <v>15237.91672525731</v>
      </c>
      <c r="EN33" s="28">
        <f>IF(EN29=1,IF(INDEX('Lease Cycles'!$EF$9:$EL$9,1,EN27)=1,EN30*INDEX('Lease Cycles'!$EM$9:$ES$9,1,EN27)+EN31*IF(EN28&lt;INDEX('Lease Cycles'!$FA$9:$FG$9,1,EN27),0,1-INDEX('Lease Cycles'!$EM$9:$ES$9,1,EN27)),EN30*IF(EN28&lt;INDEX('Lease Cycles'!$DK$9:$DQ$9,1,EN27),0,IF(EN28=INDEX('Lease Cycles'!$DK$9:$DQ$9,1,EN27),1-INDEX('Lease Cycles'!$DR$9:$DX$9,1,EN27),1))),0)</f>
        <v>15237.91672525731</v>
      </c>
      <c r="EO33" s="28">
        <f>IF(EO29=1,IF(INDEX('Lease Cycles'!$EF$9:$EL$9,1,EO27)=1,EO30*INDEX('Lease Cycles'!$EM$9:$ES$9,1,EO27)+EO31*IF(EO28&lt;INDEX('Lease Cycles'!$FA$9:$FG$9,1,EO27),0,1-INDEX('Lease Cycles'!$EM$9:$ES$9,1,EO27)),EO30*IF(EO28&lt;INDEX('Lease Cycles'!$DK$9:$DQ$9,1,EO27),0,IF(EO28=INDEX('Lease Cycles'!$DK$9:$DQ$9,1,EO27),1-INDEX('Lease Cycles'!$DR$9:$DX$9,1,EO27),1))),0)</f>
        <v>15237.91672525731</v>
      </c>
      <c r="EP33" s="28">
        <f>IF(EP29=1,IF(INDEX('Lease Cycles'!$EF$9:$EL$9,1,EP27)=1,EP30*INDEX('Lease Cycles'!$EM$9:$ES$9,1,EP27)+EP31*IF(EP28&lt;INDEX('Lease Cycles'!$FA$9:$FG$9,1,EP27),0,1-INDEX('Lease Cycles'!$EM$9:$ES$9,1,EP27)),EP30*IF(EP28&lt;INDEX('Lease Cycles'!$DK$9:$DQ$9,1,EP27),0,IF(EP28=INDEX('Lease Cycles'!$DK$9:$DQ$9,1,EP27),1-INDEX('Lease Cycles'!$DR$9:$DX$9,1,EP27),1))),0)</f>
        <v>15237.91672525731</v>
      </c>
      <c r="EQ33" s="28">
        <f>IF(EQ29=1,IF(INDEX('Lease Cycles'!$EF$9:$EL$9,1,EQ27)=1,EQ30*INDEX('Lease Cycles'!$EM$9:$ES$9,1,EQ27)+EQ31*IF(EQ28&lt;INDEX('Lease Cycles'!$FA$9:$FG$9,1,EQ27),0,1-INDEX('Lease Cycles'!$EM$9:$ES$9,1,EQ27)),EQ30*IF(EQ28&lt;INDEX('Lease Cycles'!$DK$9:$DQ$9,1,EQ27),0,IF(EQ28=INDEX('Lease Cycles'!$DK$9:$DQ$9,1,EQ27),1-INDEX('Lease Cycles'!$DR$9:$DX$9,1,EQ27),1))),0)</f>
        <v>15237.91672525731</v>
      </c>
      <c r="ER33" s="28">
        <f>IF(ER29=1,IF(INDEX('Lease Cycles'!$EF$9:$EL$9,1,ER27)=1,ER30*INDEX('Lease Cycles'!$EM$9:$ES$9,1,ER27)+ER31*IF(ER28&lt;INDEX('Lease Cycles'!$FA$9:$FG$9,1,ER27),0,1-INDEX('Lease Cycles'!$EM$9:$ES$9,1,ER27)),ER30*IF(ER28&lt;INDEX('Lease Cycles'!$DK$9:$DQ$9,1,ER27),0,IF(ER28=INDEX('Lease Cycles'!$DK$9:$DQ$9,1,ER27),1-INDEX('Lease Cycles'!$DR$9:$DX$9,1,ER27),1))),0)</f>
        <v>15237.91672525731</v>
      </c>
      <c r="ES33" s="28">
        <f>IF(ES29=1,IF(INDEX('Lease Cycles'!$EF$9:$EL$9,1,ES27)=1,ES30*INDEX('Lease Cycles'!$EM$9:$ES$9,1,ES27)+ES31*IF(ES28&lt;INDEX('Lease Cycles'!$FA$9:$FG$9,1,ES27),0,1-INDEX('Lease Cycles'!$EM$9:$ES$9,1,ES27)),ES30*IF(ES28&lt;INDEX('Lease Cycles'!$DK$9:$DQ$9,1,ES27),0,IF(ES28=INDEX('Lease Cycles'!$DK$9:$DQ$9,1,ES27),1-INDEX('Lease Cycles'!$DR$9:$DX$9,1,ES27),1))),0)</f>
        <v>15237.91672525731</v>
      </c>
      <c r="ET33" s="28">
        <f>IF(ET29=1,IF(INDEX('Lease Cycles'!$EF$9:$EL$9,1,ET27)=1,ET30*INDEX('Lease Cycles'!$EM$9:$ES$9,1,ET27)+ET31*IF(ET28&lt;INDEX('Lease Cycles'!$FA$9:$FG$9,1,ET27),0,1-INDEX('Lease Cycles'!$EM$9:$ES$9,1,ET27)),ET30*IF(ET28&lt;INDEX('Lease Cycles'!$DK$9:$DQ$9,1,ET27),0,IF(ET28=INDEX('Lease Cycles'!$DK$9:$DQ$9,1,ET27),1-INDEX('Lease Cycles'!$DR$9:$DX$9,1,ET27),1))),0)</f>
        <v>15237.91672525731</v>
      </c>
    </row>
    <row r="34">
      <c r="A34" s="103">
        <v>2</v>
      </c>
      <c r="B34" s="23" t="str">
        <f>IF('Lease Cycles'!$B$9="","(empty slot)",'Lease Cycles'!$B$9)</f>
        <v>Sunfield Pharmacy</v>
      </c>
      <c r="C34" s="23" t="s">
        <v>493</v>
      </c>
      <c r="D34" s="104" t="s">
        <v>494</v>
      </c>
      <c r="E34" s="25">
        <f>'Lease Cycles'!$AL$9</f>
        <v>0</v>
      </c>
      <c r="G34" s="28">
        <f>SUM(S34:AD34)</f>
        <v>0</v>
      </c>
      <c r="H34" s="28">
        <f>SUM(AE34:AP34)</f>
        <v>0</v>
      </c>
      <c r="I34" s="28">
        <f>SUM(AQ34:BB34)</f>
        <v>0</v>
      </c>
      <c r="J34" s="28">
        <f>SUM(BC34:BN34)</f>
        <v>0</v>
      </c>
      <c r="K34" s="28">
        <f>SUM(BO34:BZ34)</f>
        <v>8311.590941049439</v>
      </c>
      <c r="L34" s="28">
        <f>SUM(CA34:CL34)</f>
        <v>0</v>
      </c>
      <c r="M34" s="28">
        <f>SUM(CM34:CX34)</f>
        <v>0</v>
      </c>
      <c r="N34" s="28">
        <f>SUM(CY34:DJ34)</f>
        <v>0</v>
      </c>
      <c r="O34" s="28">
        <f>SUM(DK34:DV34)</f>
        <v>0</v>
      </c>
      <c r="P34" s="28">
        <f>SUM(DW34:EH34)</f>
        <v>0</v>
      </c>
      <c r="Q34" s="28">
        <f>SUM(EI34:ET34)</f>
        <v>0</v>
      </c>
      <c r="S34" s="28">
        <f>IF(S29=1,IF(INDEX('Lease Cycles'!$EF$9:$EL$9,1,S27)=1,0,S30*(1-IF(S28&lt;INDEX('Lease Cycles'!$DK$9:$DQ$9,1,S27),0,IF(S28=INDEX('Lease Cycles'!$DK$9:$DQ$9,1,S27),1-INDEX('Lease Cycles'!$DR$9:$DX$9,1,S27),1))-IF(S28=0,INDEX('Lease Cycles'!$DD$9:$DJ$9,1,S27),0))),0)</f>
        <v>0</v>
      </c>
      <c r="T34" s="28">
        <f>IF(T29=1,IF(INDEX('Lease Cycles'!$EF$9:$EL$9,1,T27)=1,0,T30*(1-IF(T28&lt;INDEX('Lease Cycles'!$DK$9:$DQ$9,1,T27),0,IF(T28=INDEX('Lease Cycles'!$DK$9:$DQ$9,1,T27),1-INDEX('Lease Cycles'!$DR$9:$DX$9,1,T27),1))-IF(T28=0,INDEX('Lease Cycles'!$DD$9:$DJ$9,1,T27),0))),0)</f>
        <v>0</v>
      </c>
      <c r="U34" s="28">
        <f>IF(U29=1,IF(INDEX('Lease Cycles'!$EF$9:$EL$9,1,U27)=1,0,U30*(1-IF(U28&lt;INDEX('Lease Cycles'!$DK$9:$DQ$9,1,U27),0,IF(U28=INDEX('Lease Cycles'!$DK$9:$DQ$9,1,U27),1-INDEX('Lease Cycles'!$DR$9:$DX$9,1,U27),1))-IF(U28=0,INDEX('Lease Cycles'!$DD$9:$DJ$9,1,U27),0))),0)</f>
        <v>0</v>
      </c>
      <c r="V34" s="28">
        <f>IF(V29=1,IF(INDEX('Lease Cycles'!$EF$9:$EL$9,1,V27)=1,0,V30*(1-IF(V28&lt;INDEX('Lease Cycles'!$DK$9:$DQ$9,1,V27),0,IF(V28=INDEX('Lease Cycles'!$DK$9:$DQ$9,1,V27),1-INDEX('Lease Cycles'!$DR$9:$DX$9,1,V27),1))-IF(V28=0,INDEX('Lease Cycles'!$DD$9:$DJ$9,1,V27),0))),0)</f>
        <v>0</v>
      </c>
      <c r="W34" s="28">
        <f>IF(W29=1,IF(INDEX('Lease Cycles'!$EF$9:$EL$9,1,W27)=1,0,W30*(1-IF(W28&lt;INDEX('Lease Cycles'!$DK$9:$DQ$9,1,W27),0,IF(W28=INDEX('Lease Cycles'!$DK$9:$DQ$9,1,W27),1-INDEX('Lease Cycles'!$DR$9:$DX$9,1,W27),1))-IF(W28=0,INDEX('Lease Cycles'!$DD$9:$DJ$9,1,W27),0))),0)</f>
        <v>0</v>
      </c>
      <c r="X34" s="28">
        <f>IF(X29=1,IF(INDEX('Lease Cycles'!$EF$9:$EL$9,1,X27)=1,0,X30*(1-IF(X28&lt;INDEX('Lease Cycles'!$DK$9:$DQ$9,1,X27),0,IF(X28=INDEX('Lease Cycles'!$DK$9:$DQ$9,1,X27),1-INDEX('Lease Cycles'!$DR$9:$DX$9,1,X27),1))-IF(X28=0,INDEX('Lease Cycles'!$DD$9:$DJ$9,1,X27),0))),0)</f>
        <v>0</v>
      </c>
      <c r="Y34" s="28">
        <f>IF(Y29=1,IF(INDEX('Lease Cycles'!$EF$9:$EL$9,1,Y27)=1,0,Y30*(1-IF(Y28&lt;INDEX('Lease Cycles'!$DK$9:$DQ$9,1,Y27),0,IF(Y28=INDEX('Lease Cycles'!$DK$9:$DQ$9,1,Y27),1-INDEX('Lease Cycles'!$DR$9:$DX$9,1,Y27),1))-IF(Y28=0,INDEX('Lease Cycles'!$DD$9:$DJ$9,1,Y27),0))),0)</f>
        <v>0</v>
      </c>
      <c r="Z34" s="28">
        <f>IF(Z29=1,IF(INDEX('Lease Cycles'!$EF$9:$EL$9,1,Z27)=1,0,Z30*(1-IF(Z28&lt;INDEX('Lease Cycles'!$DK$9:$DQ$9,1,Z27),0,IF(Z28=INDEX('Lease Cycles'!$DK$9:$DQ$9,1,Z27),1-INDEX('Lease Cycles'!$DR$9:$DX$9,1,Z27),1))-IF(Z28=0,INDEX('Lease Cycles'!$DD$9:$DJ$9,1,Z27),0))),0)</f>
        <v>0</v>
      </c>
      <c r="AA34" s="28">
        <f>IF(AA29=1,IF(INDEX('Lease Cycles'!$EF$9:$EL$9,1,AA27)=1,0,AA30*(1-IF(AA28&lt;INDEX('Lease Cycles'!$DK$9:$DQ$9,1,AA27),0,IF(AA28=INDEX('Lease Cycles'!$DK$9:$DQ$9,1,AA27),1-INDEX('Lease Cycles'!$DR$9:$DX$9,1,AA27),1))-IF(AA28=0,INDEX('Lease Cycles'!$DD$9:$DJ$9,1,AA27),0))),0)</f>
        <v>0</v>
      </c>
      <c r="AB34" s="28">
        <f>IF(AB29=1,IF(INDEX('Lease Cycles'!$EF$9:$EL$9,1,AB27)=1,0,AB30*(1-IF(AB28&lt;INDEX('Lease Cycles'!$DK$9:$DQ$9,1,AB27),0,IF(AB28=INDEX('Lease Cycles'!$DK$9:$DQ$9,1,AB27),1-INDEX('Lease Cycles'!$DR$9:$DX$9,1,AB27),1))-IF(AB28=0,INDEX('Lease Cycles'!$DD$9:$DJ$9,1,AB27),0))),0)</f>
        <v>0</v>
      </c>
      <c r="AC34" s="28">
        <f>IF(AC29=1,IF(INDEX('Lease Cycles'!$EF$9:$EL$9,1,AC27)=1,0,AC30*(1-IF(AC28&lt;INDEX('Lease Cycles'!$DK$9:$DQ$9,1,AC27),0,IF(AC28=INDEX('Lease Cycles'!$DK$9:$DQ$9,1,AC27),1-INDEX('Lease Cycles'!$DR$9:$DX$9,1,AC27),1))-IF(AC28=0,INDEX('Lease Cycles'!$DD$9:$DJ$9,1,AC27),0))),0)</f>
        <v>0</v>
      </c>
      <c r="AD34" s="28">
        <f>IF(AD29=1,IF(INDEX('Lease Cycles'!$EF$9:$EL$9,1,AD27)=1,0,AD30*(1-IF(AD28&lt;INDEX('Lease Cycles'!$DK$9:$DQ$9,1,AD27),0,IF(AD28=INDEX('Lease Cycles'!$DK$9:$DQ$9,1,AD27),1-INDEX('Lease Cycles'!$DR$9:$DX$9,1,AD27),1))-IF(AD28=0,INDEX('Lease Cycles'!$DD$9:$DJ$9,1,AD27),0))),0)</f>
        <v>0</v>
      </c>
      <c r="AE34" s="28">
        <f>IF(AE29=1,IF(INDEX('Lease Cycles'!$EF$9:$EL$9,1,AE27)=1,0,AE30*(1-IF(AE28&lt;INDEX('Lease Cycles'!$DK$9:$DQ$9,1,AE27),0,IF(AE28=INDEX('Lease Cycles'!$DK$9:$DQ$9,1,AE27),1-INDEX('Lease Cycles'!$DR$9:$DX$9,1,AE27),1))-IF(AE28=0,INDEX('Lease Cycles'!$DD$9:$DJ$9,1,AE27),0))),0)</f>
        <v>0</v>
      </c>
      <c r="AF34" s="28">
        <f>IF(AF29=1,IF(INDEX('Lease Cycles'!$EF$9:$EL$9,1,AF27)=1,0,AF30*(1-IF(AF28&lt;INDEX('Lease Cycles'!$DK$9:$DQ$9,1,AF27),0,IF(AF28=INDEX('Lease Cycles'!$DK$9:$DQ$9,1,AF27),1-INDEX('Lease Cycles'!$DR$9:$DX$9,1,AF27),1))-IF(AF28=0,INDEX('Lease Cycles'!$DD$9:$DJ$9,1,AF27),0))),0)</f>
        <v>0</v>
      </c>
      <c r="AG34" s="28">
        <f>IF(AG29=1,IF(INDEX('Lease Cycles'!$EF$9:$EL$9,1,AG27)=1,0,AG30*(1-IF(AG28&lt;INDEX('Lease Cycles'!$DK$9:$DQ$9,1,AG27),0,IF(AG28=INDEX('Lease Cycles'!$DK$9:$DQ$9,1,AG27),1-INDEX('Lease Cycles'!$DR$9:$DX$9,1,AG27),1))-IF(AG28=0,INDEX('Lease Cycles'!$DD$9:$DJ$9,1,AG27),0))),0)</f>
        <v>0</v>
      </c>
      <c r="AH34" s="28">
        <f>IF(AH29=1,IF(INDEX('Lease Cycles'!$EF$9:$EL$9,1,AH27)=1,0,AH30*(1-IF(AH28&lt;INDEX('Lease Cycles'!$DK$9:$DQ$9,1,AH27),0,IF(AH28=INDEX('Lease Cycles'!$DK$9:$DQ$9,1,AH27),1-INDEX('Lease Cycles'!$DR$9:$DX$9,1,AH27),1))-IF(AH28=0,INDEX('Lease Cycles'!$DD$9:$DJ$9,1,AH27),0))),0)</f>
        <v>0</v>
      </c>
      <c r="AI34" s="28">
        <f>IF(AI29=1,IF(INDEX('Lease Cycles'!$EF$9:$EL$9,1,AI27)=1,0,AI30*(1-IF(AI28&lt;INDEX('Lease Cycles'!$DK$9:$DQ$9,1,AI27),0,IF(AI28=INDEX('Lease Cycles'!$DK$9:$DQ$9,1,AI27),1-INDEX('Lease Cycles'!$DR$9:$DX$9,1,AI27),1))-IF(AI28=0,INDEX('Lease Cycles'!$DD$9:$DJ$9,1,AI27),0))),0)</f>
        <v>0</v>
      </c>
      <c r="AJ34" s="28">
        <f>IF(AJ29=1,IF(INDEX('Lease Cycles'!$EF$9:$EL$9,1,AJ27)=1,0,AJ30*(1-IF(AJ28&lt;INDEX('Lease Cycles'!$DK$9:$DQ$9,1,AJ27),0,IF(AJ28=INDEX('Lease Cycles'!$DK$9:$DQ$9,1,AJ27),1-INDEX('Lease Cycles'!$DR$9:$DX$9,1,AJ27),1))-IF(AJ28=0,INDEX('Lease Cycles'!$DD$9:$DJ$9,1,AJ27),0))),0)</f>
        <v>0</v>
      </c>
      <c r="AK34" s="28">
        <f>IF(AK29=1,IF(INDEX('Lease Cycles'!$EF$9:$EL$9,1,AK27)=1,0,AK30*(1-IF(AK28&lt;INDEX('Lease Cycles'!$DK$9:$DQ$9,1,AK27),0,IF(AK28=INDEX('Lease Cycles'!$DK$9:$DQ$9,1,AK27),1-INDEX('Lease Cycles'!$DR$9:$DX$9,1,AK27),1))-IF(AK28=0,INDEX('Lease Cycles'!$DD$9:$DJ$9,1,AK27),0))),0)</f>
        <v>0</v>
      </c>
      <c r="AL34" s="28">
        <f>IF(AL29=1,IF(INDEX('Lease Cycles'!$EF$9:$EL$9,1,AL27)=1,0,AL30*(1-IF(AL28&lt;INDEX('Lease Cycles'!$DK$9:$DQ$9,1,AL27),0,IF(AL28=INDEX('Lease Cycles'!$DK$9:$DQ$9,1,AL27),1-INDEX('Lease Cycles'!$DR$9:$DX$9,1,AL27),1))-IF(AL28=0,INDEX('Lease Cycles'!$DD$9:$DJ$9,1,AL27),0))),0)</f>
        <v>0</v>
      </c>
      <c r="AM34" s="28">
        <f>IF(AM29=1,IF(INDEX('Lease Cycles'!$EF$9:$EL$9,1,AM27)=1,0,AM30*(1-IF(AM28&lt;INDEX('Lease Cycles'!$DK$9:$DQ$9,1,AM27),0,IF(AM28=INDEX('Lease Cycles'!$DK$9:$DQ$9,1,AM27),1-INDEX('Lease Cycles'!$DR$9:$DX$9,1,AM27),1))-IF(AM28=0,INDEX('Lease Cycles'!$DD$9:$DJ$9,1,AM27),0))),0)</f>
        <v>0</v>
      </c>
      <c r="AN34" s="28">
        <f>IF(AN29=1,IF(INDEX('Lease Cycles'!$EF$9:$EL$9,1,AN27)=1,0,AN30*(1-IF(AN28&lt;INDEX('Lease Cycles'!$DK$9:$DQ$9,1,AN27),0,IF(AN28=INDEX('Lease Cycles'!$DK$9:$DQ$9,1,AN27),1-INDEX('Lease Cycles'!$DR$9:$DX$9,1,AN27),1))-IF(AN28=0,INDEX('Lease Cycles'!$DD$9:$DJ$9,1,AN27),0))),0)</f>
        <v>0</v>
      </c>
      <c r="AO34" s="28">
        <f>IF(AO29=1,IF(INDEX('Lease Cycles'!$EF$9:$EL$9,1,AO27)=1,0,AO30*(1-IF(AO28&lt;INDEX('Lease Cycles'!$DK$9:$DQ$9,1,AO27),0,IF(AO28=INDEX('Lease Cycles'!$DK$9:$DQ$9,1,AO27),1-INDEX('Lease Cycles'!$DR$9:$DX$9,1,AO27),1))-IF(AO28=0,INDEX('Lease Cycles'!$DD$9:$DJ$9,1,AO27),0))),0)</f>
        <v>0</v>
      </c>
      <c r="AP34" s="28">
        <f>IF(AP29=1,IF(INDEX('Lease Cycles'!$EF$9:$EL$9,1,AP27)=1,0,AP30*(1-IF(AP28&lt;INDEX('Lease Cycles'!$DK$9:$DQ$9,1,AP27),0,IF(AP28=INDEX('Lease Cycles'!$DK$9:$DQ$9,1,AP27),1-INDEX('Lease Cycles'!$DR$9:$DX$9,1,AP27),1))-IF(AP28=0,INDEX('Lease Cycles'!$DD$9:$DJ$9,1,AP27),0))),0)</f>
        <v>0</v>
      </c>
      <c r="AQ34" s="28">
        <f>IF(AQ29=1,IF(INDEX('Lease Cycles'!$EF$9:$EL$9,1,AQ27)=1,0,AQ30*(1-IF(AQ28&lt;INDEX('Lease Cycles'!$DK$9:$DQ$9,1,AQ27),0,IF(AQ28=INDEX('Lease Cycles'!$DK$9:$DQ$9,1,AQ27),1-INDEX('Lease Cycles'!$DR$9:$DX$9,1,AQ27),1))-IF(AQ28=0,INDEX('Lease Cycles'!$DD$9:$DJ$9,1,AQ27),0))),0)</f>
        <v>0</v>
      </c>
      <c r="AR34" s="28">
        <f>IF(AR29=1,IF(INDEX('Lease Cycles'!$EF$9:$EL$9,1,AR27)=1,0,AR30*(1-IF(AR28&lt;INDEX('Lease Cycles'!$DK$9:$DQ$9,1,AR27),0,IF(AR28=INDEX('Lease Cycles'!$DK$9:$DQ$9,1,AR27),1-INDEX('Lease Cycles'!$DR$9:$DX$9,1,AR27),1))-IF(AR28=0,INDEX('Lease Cycles'!$DD$9:$DJ$9,1,AR27),0))),0)</f>
        <v>0</v>
      </c>
      <c r="AS34" s="28">
        <f>IF(AS29=1,IF(INDEX('Lease Cycles'!$EF$9:$EL$9,1,AS27)=1,0,AS30*(1-IF(AS28&lt;INDEX('Lease Cycles'!$DK$9:$DQ$9,1,AS27),0,IF(AS28=INDEX('Lease Cycles'!$DK$9:$DQ$9,1,AS27),1-INDEX('Lease Cycles'!$DR$9:$DX$9,1,AS27),1))-IF(AS28=0,INDEX('Lease Cycles'!$DD$9:$DJ$9,1,AS27),0))),0)</f>
        <v>0</v>
      </c>
      <c r="AT34" s="28">
        <f>IF(AT29=1,IF(INDEX('Lease Cycles'!$EF$9:$EL$9,1,AT27)=1,0,AT30*(1-IF(AT28&lt;INDEX('Lease Cycles'!$DK$9:$DQ$9,1,AT27),0,IF(AT28=INDEX('Lease Cycles'!$DK$9:$DQ$9,1,AT27),1-INDEX('Lease Cycles'!$DR$9:$DX$9,1,AT27),1))-IF(AT28=0,INDEX('Lease Cycles'!$DD$9:$DJ$9,1,AT27),0))),0)</f>
        <v>0</v>
      </c>
      <c r="AU34" s="28">
        <f>IF(AU29=1,IF(INDEX('Lease Cycles'!$EF$9:$EL$9,1,AU27)=1,0,AU30*(1-IF(AU28&lt;INDEX('Lease Cycles'!$DK$9:$DQ$9,1,AU27),0,IF(AU28=INDEX('Lease Cycles'!$DK$9:$DQ$9,1,AU27),1-INDEX('Lease Cycles'!$DR$9:$DX$9,1,AU27),1))-IF(AU28=0,INDEX('Lease Cycles'!$DD$9:$DJ$9,1,AU27),0))),0)</f>
        <v>0</v>
      </c>
      <c r="AV34" s="28">
        <f>IF(AV29=1,IF(INDEX('Lease Cycles'!$EF$9:$EL$9,1,AV27)=1,0,AV30*(1-IF(AV28&lt;INDEX('Lease Cycles'!$DK$9:$DQ$9,1,AV27),0,IF(AV28=INDEX('Lease Cycles'!$DK$9:$DQ$9,1,AV27),1-INDEX('Lease Cycles'!$DR$9:$DX$9,1,AV27),1))-IF(AV28=0,INDEX('Lease Cycles'!$DD$9:$DJ$9,1,AV27),0))),0)</f>
        <v>0</v>
      </c>
      <c r="AW34" s="28">
        <f>IF(AW29=1,IF(INDEX('Lease Cycles'!$EF$9:$EL$9,1,AW27)=1,0,AW30*(1-IF(AW28&lt;INDEX('Lease Cycles'!$DK$9:$DQ$9,1,AW27),0,IF(AW28=INDEX('Lease Cycles'!$DK$9:$DQ$9,1,AW27),1-INDEX('Lease Cycles'!$DR$9:$DX$9,1,AW27),1))-IF(AW28=0,INDEX('Lease Cycles'!$DD$9:$DJ$9,1,AW27),0))),0)</f>
        <v>0</v>
      </c>
      <c r="AX34" s="28">
        <f>IF(AX29=1,IF(INDEX('Lease Cycles'!$EF$9:$EL$9,1,AX27)=1,0,AX30*(1-IF(AX28&lt;INDEX('Lease Cycles'!$DK$9:$DQ$9,1,AX27),0,IF(AX28=INDEX('Lease Cycles'!$DK$9:$DQ$9,1,AX27),1-INDEX('Lease Cycles'!$DR$9:$DX$9,1,AX27),1))-IF(AX28=0,INDEX('Lease Cycles'!$DD$9:$DJ$9,1,AX27),0))),0)</f>
        <v>0</v>
      </c>
      <c r="AY34" s="28">
        <f>IF(AY29=1,IF(INDEX('Lease Cycles'!$EF$9:$EL$9,1,AY27)=1,0,AY30*(1-IF(AY28&lt;INDEX('Lease Cycles'!$DK$9:$DQ$9,1,AY27),0,IF(AY28=INDEX('Lease Cycles'!$DK$9:$DQ$9,1,AY27),1-INDEX('Lease Cycles'!$DR$9:$DX$9,1,AY27),1))-IF(AY28=0,INDEX('Lease Cycles'!$DD$9:$DJ$9,1,AY27),0))),0)</f>
        <v>0</v>
      </c>
      <c r="AZ34" s="28">
        <f>IF(AZ29=1,IF(INDEX('Lease Cycles'!$EF$9:$EL$9,1,AZ27)=1,0,AZ30*(1-IF(AZ28&lt;INDEX('Lease Cycles'!$DK$9:$DQ$9,1,AZ27),0,IF(AZ28=INDEX('Lease Cycles'!$DK$9:$DQ$9,1,AZ27),1-INDEX('Lease Cycles'!$DR$9:$DX$9,1,AZ27),1))-IF(AZ28=0,INDEX('Lease Cycles'!$DD$9:$DJ$9,1,AZ27),0))),0)</f>
        <v>0</v>
      </c>
      <c r="BA34" s="28">
        <f>IF(BA29=1,IF(INDEX('Lease Cycles'!$EF$9:$EL$9,1,BA27)=1,0,BA30*(1-IF(BA28&lt;INDEX('Lease Cycles'!$DK$9:$DQ$9,1,BA27),0,IF(BA28=INDEX('Lease Cycles'!$DK$9:$DQ$9,1,BA27),1-INDEX('Lease Cycles'!$DR$9:$DX$9,1,BA27),1))-IF(BA28=0,INDEX('Lease Cycles'!$DD$9:$DJ$9,1,BA27),0))),0)</f>
        <v>0</v>
      </c>
      <c r="BB34" s="28">
        <f>IF(BB29=1,IF(INDEX('Lease Cycles'!$EF$9:$EL$9,1,BB27)=1,0,BB30*(1-IF(BB28&lt;INDEX('Lease Cycles'!$DK$9:$DQ$9,1,BB27),0,IF(BB28=INDEX('Lease Cycles'!$DK$9:$DQ$9,1,BB27),1-INDEX('Lease Cycles'!$DR$9:$DX$9,1,BB27),1))-IF(BB28=0,INDEX('Lease Cycles'!$DD$9:$DJ$9,1,BB27),0))),0)</f>
        <v>0</v>
      </c>
      <c r="BC34" s="28">
        <f>IF(BC29=1,IF(INDEX('Lease Cycles'!$EF$9:$EL$9,1,BC27)=1,0,BC30*(1-IF(BC28&lt;INDEX('Lease Cycles'!$DK$9:$DQ$9,1,BC27),0,IF(BC28=INDEX('Lease Cycles'!$DK$9:$DQ$9,1,BC27),1-INDEX('Lease Cycles'!$DR$9:$DX$9,1,BC27),1))-IF(BC28=0,INDEX('Lease Cycles'!$DD$9:$DJ$9,1,BC27),0))),0)</f>
        <v>0</v>
      </c>
      <c r="BD34" s="28">
        <f>IF(BD29=1,IF(INDEX('Lease Cycles'!$EF$9:$EL$9,1,BD27)=1,0,BD30*(1-IF(BD28&lt;INDEX('Lease Cycles'!$DK$9:$DQ$9,1,BD27),0,IF(BD28=INDEX('Lease Cycles'!$DK$9:$DQ$9,1,BD27),1-INDEX('Lease Cycles'!$DR$9:$DX$9,1,BD27),1))-IF(BD28=0,INDEX('Lease Cycles'!$DD$9:$DJ$9,1,BD27),0))),0)</f>
        <v>0</v>
      </c>
      <c r="BE34" s="28">
        <f>IF(BE29=1,IF(INDEX('Lease Cycles'!$EF$9:$EL$9,1,BE27)=1,0,BE30*(1-IF(BE28&lt;INDEX('Lease Cycles'!$DK$9:$DQ$9,1,BE27),0,IF(BE28=INDEX('Lease Cycles'!$DK$9:$DQ$9,1,BE27),1-INDEX('Lease Cycles'!$DR$9:$DX$9,1,BE27),1))-IF(BE28=0,INDEX('Lease Cycles'!$DD$9:$DJ$9,1,BE27),0))),0)</f>
        <v>0</v>
      </c>
      <c r="BF34" s="28">
        <f>IF(BF29=1,IF(INDEX('Lease Cycles'!$EF$9:$EL$9,1,BF27)=1,0,BF30*(1-IF(BF28&lt;INDEX('Lease Cycles'!$DK$9:$DQ$9,1,BF27),0,IF(BF28=INDEX('Lease Cycles'!$DK$9:$DQ$9,1,BF27),1-INDEX('Lease Cycles'!$DR$9:$DX$9,1,BF27),1))-IF(BF28=0,INDEX('Lease Cycles'!$DD$9:$DJ$9,1,BF27),0))),0)</f>
        <v>0</v>
      </c>
      <c r="BG34" s="28">
        <f>IF(BG29=1,IF(INDEX('Lease Cycles'!$EF$9:$EL$9,1,BG27)=1,0,BG30*(1-IF(BG28&lt;INDEX('Lease Cycles'!$DK$9:$DQ$9,1,BG27),0,IF(BG28=INDEX('Lease Cycles'!$DK$9:$DQ$9,1,BG27),1-INDEX('Lease Cycles'!$DR$9:$DX$9,1,BG27),1))-IF(BG28=0,INDEX('Lease Cycles'!$DD$9:$DJ$9,1,BG27),0))),0)</f>
        <v>0</v>
      </c>
      <c r="BH34" s="28">
        <f>IF(BH29=1,IF(INDEX('Lease Cycles'!$EF$9:$EL$9,1,BH27)=1,0,BH30*(1-IF(BH28&lt;INDEX('Lease Cycles'!$DK$9:$DQ$9,1,BH27),0,IF(BH28=INDEX('Lease Cycles'!$DK$9:$DQ$9,1,BH27),1-INDEX('Lease Cycles'!$DR$9:$DX$9,1,BH27),1))-IF(BH28=0,INDEX('Lease Cycles'!$DD$9:$DJ$9,1,BH27),0))),0)</f>
        <v>0</v>
      </c>
      <c r="BI34" s="28">
        <f>IF(BI29=1,IF(INDEX('Lease Cycles'!$EF$9:$EL$9,1,BI27)=1,0,BI30*(1-IF(BI28&lt;INDEX('Lease Cycles'!$DK$9:$DQ$9,1,BI27),0,IF(BI28=INDEX('Lease Cycles'!$DK$9:$DQ$9,1,BI27),1-INDEX('Lease Cycles'!$DR$9:$DX$9,1,BI27),1))-IF(BI28=0,INDEX('Lease Cycles'!$DD$9:$DJ$9,1,BI27),0))),0)</f>
        <v>0</v>
      </c>
      <c r="BJ34" s="28">
        <f>IF(BJ29=1,IF(INDEX('Lease Cycles'!$EF$9:$EL$9,1,BJ27)=1,0,BJ30*(1-IF(BJ28&lt;INDEX('Lease Cycles'!$DK$9:$DQ$9,1,BJ27),0,IF(BJ28=INDEX('Lease Cycles'!$DK$9:$DQ$9,1,BJ27),1-INDEX('Lease Cycles'!$DR$9:$DX$9,1,BJ27),1))-IF(BJ28=0,INDEX('Lease Cycles'!$DD$9:$DJ$9,1,BJ27),0))),0)</f>
        <v>0</v>
      </c>
      <c r="BK34" s="28">
        <f>IF(BK29=1,IF(INDEX('Lease Cycles'!$EF$9:$EL$9,1,BK27)=1,0,BK30*(1-IF(BK28&lt;INDEX('Lease Cycles'!$DK$9:$DQ$9,1,BK27),0,IF(BK28=INDEX('Lease Cycles'!$DK$9:$DQ$9,1,BK27),1-INDEX('Lease Cycles'!$DR$9:$DX$9,1,BK27),1))-IF(BK28=0,INDEX('Lease Cycles'!$DD$9:$DJ$9,1,BK27),0))),0)</f>
        <v>0</v>
      </c>
      <c r="BL34" s="28">
        <f>IF(BL29=1,IF(INDEX('Lease Cycles'!$EF$9:$EL$9,1,BL27)=1,0,BL30*(1-IF(BL28&lt;INDEX('Lease Cycles'!$DK$9:$DQ$9,1,BL27),0,IF(BL28=INDEX('Lease Cycles'!$DK$9:$DQ$9,1,BL27),1-INDEX('Lease Cycles'!$DR$9:$DX$9,1,BL27),1))-IF(BL28=0,INDEX('Lease Cycles'!$DD$9:$DJ$9,1,BL27),0))),0)</f>
        <v>0</v>
      </c>
      <c r="BM34" s="28">
        <f>IF(BM29=1,IF(INDEX('Lease Cycles'!$EF$9:$EL$9,1,BM27)=1,0,BM30*(1-IF(BM28&lt;INDEX('Lease Cycles'!$DK$9:$DQ$9,1,BM27),0,IF(BM28=INDEX('Lease Cycles'!$DK$9:$DQ$9,1,BM27),1-INDEX('Lease Cycles'!$DR$9:$DX$9,1,BM27),1))-IF(BM28=0,INDEX('Lease Cycles'!$DD$9:$DJ$9,1,BM27),0))),0)</f>
        <v>0</v>
      </c>
      <c r="BN34" s="28">
        <f>IF(BN29=1,IF(INDEX('Lease Cycles'!$EF$9:$EL$9,1,BN27)=1,0,BN30*(1-IF(BN28&lt;INDEX('Lease Cycles'!$DK$9:$DQ$9,1,BN27),0,IF(BN28=INDEX('Lease Cycles'!$DK$9:$DQ$9,1,BN27),1-INDEX('Lease Cycles'!$DR$9:$DX$9,1,BN27),1))-IF(BN28=0,INDEX('Lease Cycles'!$DD$9:$DJ$9,1,BN27),0))),0)</f>
        <v>0</v>
      </c>
      <c r="BO34" s="28">
        <f>IF(BO29=1,IF(INDEX('Lease Cycles'!$EF$9:$EL$9,1,BO27)=1,0,BO30*(1-IF(BO28&lt;INDEX('Lease Cycles'!$DK$9:$DQ$9,1,BO27),0,IF(BO28=INDEX('Lease Cycles'!$DK$9:$DQ$9,1,BO27),1-INDEX('Lease Cycles'!$DR$9:$DX$9,1,BO27),1))-IF(BO28=0,INDEX('Lease Cycles'!$DD$9:$DJ$9,1,BO27),0))),0)</f>
        <v>0</v>
      </c>
      <c r="BP34" s="28">
        <f>IF(BP29=1,IF(INDEX('Lease Cycles'!$EF$9:$EL$9,1,BP27)=1,0,BP30*(1-IF(BP28&lt;INDEX('Lease Cycles'!$DK$9:$DQ$9,1,BP27),0,IF(BP28=INDEX('Lease Cycles'!$DK$9:$DQ$9,1,BP27),1-INDEX('Lease Cycles'!$DR$9:$DX$9,1,BP27),1))-IF(BP28=0,INDEX('Lease Cycles'!$DD$9:$DJ$9,1,BP27),0))),0)</f>
        <v>0</v>
      </c>
      <c r="BQ34" s="28">
        <f>IF(BQ29=1,IF(INDEX('Lease Cycles'!$EF$9:$EL$9,1,BQ27)=1,0,BQ30*(1-IF(BQ28&lt;INDEX('Lease Cycles'!$DK$9:$DQ$9,1,BQ27),0,IF(BQ28=INDEX('Lease Cycles'!$DK$9:$DQ$9,1,BQ27),1-INDEX('Lease Cycles'!$DR$9:$DX$9,1,BQ27),1))-IF(BQ28=0,INDEX('Lease Cycles'!$DD$9:$DJ$9,1,BQ27),0))),0)</f>
        <v>0</v>
      </c>
      <c r="BR34" s="28">
        <f>IF(BR29=1,IF(INDEX('Lease Cycles'!$EF$9:$EL$9,1,BR27)=1,0,BR30*(1-IF(BR28&lt;INDEX('Lease Cycles'!$DK$9:$DQ$9,1,BR27),0,IF(BR28=INDEX('Lease Cycles'!$DK$9:$DQ$9,1,BR27),1-INDEX('Lease Cycles'!$DR$9:$DX$9,1,BR27),1))-IF(BR28=0,INDEX('Lease Cycles'!$DD$9:$DJ$9,1,BR27),0))),0)</f>
        <v>0</v>
      </c>
      <c r="BS34" s="28">
        <f>IF(BS29=1,IF(INDEX('Lease Cycles'!$EF$9:$EL$9,1,BS27)=1,0,BS30*(1-IF(BS28&lt;INDEX('Lease Cycles'!$DK$9:$DQ$9,1,BS27),0,IF(BS28=INDEX('Lease Cycles'!$DK$9:$DQ$9,1,BS27),1-INDEX('Lease Cycles'!$DR$9:$DX$9,1,BS27),1))-IF(BS28=0,INDEX('Lease Cycles'!$DD$9:$DJ$9,1,BS27),0))),0)</f>
        <v>0</v>
      </c>
      <c r="BT34" s="28">
        <f>IF(BT29=1,IF(INDEX('Lease Cycles'!$EF$9:$EL$9,1,BT27)=1,0,BT30*(1-IF(BT28&lt;INDEX('Lease Cycles'!$DK$9:$DQ$9,1,BT27),0,IF(BT28=INDEX('Lease Cycles'!$DK$9:$DQ$9,1,BT27),1-INDEX('Lease Cycles'!$DR$9:$DX$9,1,BT27),1))-IF(BT28=0,INDEX('Lease Cycles'!$DD$9:$DJ$9,1,BT27),0))),0)</f>
        <v>0</v>
      </c>
      <c r="BU34" s="28">
        <f>IF(BU29=1,IF(INDEX('Lease Cycles'!$EF$9:$EL$9,1,BU27)=1,0,BU30*(1-IF(BU28&lt;INDEX('Lease Cycles'!$DK$9:$DQ$9,1,BU27),0,IF(BU28=INDEX('Lease Cycles'!$DK$9:$DQ$9,1,BU27),1-INDEX('Lease Cycles'!$DR$9:$DX$9,1,BU27),1))-IF(BU28=0,INDEX('Lease Cycles'!$DD$9:$DJ$9,1,BU27),0))),0)</f>
        <v>0</v>
      </c>
      <c r="BV34" s="28">
        <f>IF(BV29=1,IF(INDEX('Lease Cycles'!$EF$9:$EL$9,1,BV27)=1,0,BV30*(1-IF(BV28&lt;INDEX('Lease Cycles'!$DK$9:$DQ$9,1,BV27),0,IF(BV28=INDEX('Lease Cycles'!$DK$9:$DQ$9,1,BV27),1-INDEX('Lease Cycles'!$DR$9:$DX$9,1,BV27),1))-IF(BV28=0,INDEX('Lease Cycles'!$DD$9:$DJ$9,1,BV27),0))),0)</f>
        <v>8311.590941049439</v>
      </c>
      <c r="BW34" s="28">
        <f>IF(BW29=1,IF(INDEX('Lease Cycles'!$EF$9:$EL$9,1,BW27)=1,0,BW30*(1-IF(BW28&lt;INDEX('Lease Cycles'!$DK$9:$DQ$9,1,BW27),0,IF(BW28=INDEX('Lease Cycles'!$DK$9:$DQ$9,1,BW27),1-INDEX('Lease Cycles'!$DR$9:$DX$9,1,BW27),1))-IF(BW28=0,INDEX('Lease Cycles'!$DD$9:$DJ$9,1,BW27),0))),0)</f>
        <v>0</v>
      </c>
      <c r="BX34" s="28">
        <f>IF(BX29=1,IF(INDEX('Lease Cycles'!$EF$9:$EL$9,1,BX27)=1,0,BX30*(1-IF(BX28&lt;INDEX('Lease Cycles'!$DK$9:$DQ$9,1,BX27),0,IF(BX28=INDEX('Lease Cycles'!$DK$9:$DQ$9,1,BX27),1-INDEX('Lease Cycles'!$DR$9:$DX$9,1,BX27),1))-IF(BX28=0,INDEX('Lease Cycles'!$DD$9:$DJ$9,1,BX27),0))),0)</f>
        <v>0</v>
      </c>
      <c r="BY34" s="28">
        <f>IF(BY29=1,IF(INDEX('Lease Cycles'!$EF$9:$EL$9,1,BY27)=1,0,BY30*(1-IF(BY28&lt;INDEX('Lease Cycles'!$DK$9:$DQ$9,1,BY27),0,IF(BY28=INDEX('Lease Cycles'!$DK$9:$DQ$9,1,BY27),1-INDEX('Lease Cycles'!$DR$9:$DX$9,1,BY27),1))-IF(BY28=0,INDEX('Lease Cycles'!$DD$9:$DJ$9,1,BY27),0))),0)</f>
        <v>0</v>
      </c>
      <c r="BZ34" s="28">
        <f>IF(BZ29=1,IF(INDEX('Lease Cycles'!$EF$9:$EL$9,1,BZ27)=1,0,BZ30*(1-IF(BZ28&lt;INDEX('Lease Cycles'!$DK$9:$DQ$9,1,BZ27),0,IF(BZ28=INDEX('Lease Cycles'!$DK$9:$DQ$9,1,BZ27),1-INDEX('Lease Cycles'!$DR$9:$DX$9,1,BZ27),1))-IF(BZ28=0,INDEX('Lease Cycles'!$DD$9:$DJ$9,1,BZ27),0))),0)</f>
        <v>0</v>
      </c>
      <c r="CA34" s="28">
        <f>IF(CA29=1,IF(INDEX('Lease Cycles'!$EF$9:$EL$9,1,CA27)=1,0,CA30*(1-IF(CA28&lt;INDEX('Lease Cycles'!$DK$9:$DQ$9,1,CA27),0,IF(CA28=INDEX('Lease Cycles'!$DK$9:$DQ$9,1,CA27),1-INDEX('Lease Cycles'!$DR$9:$DX$9,1,CA27),1))-IF(CA28=0,INDEX('Lease Cycles'!$DD$9:$DJ$9,1,CA27),0))),0)</f>
        <v>0</v>
      </c>
      <c r="CB34" s="28">
        <f>IF(CB29=1,IF(INDEX('Lease Cycles'!$EF$9:$EL$9,1,CB27)=1,0,CB30*(1-IF(CB28&lt;INDEX('Lease Cycles'!$DK$9:$DQ$9,1,CB27),0,IF(CB28=INDEX('Lease Cycles'!$DK$9:$DQ$9,1,CB27),1-INDEX('Lease Cycles'!$DR$9:$DX$9,1,CB27),1))-IF(CB28=0,INDEX('Lease Cycles'!$DD$9:$DJ$9,1,CB27),0))),0)</f>
        <v>0</v>
      </c>
      <c r="CC34" s="28">
        <f>IF(CC29=1,IF(INDEX('Lease Cycles'!$EF$9:$EL$9,1,CC27)=1,0,CC30*(1-IF(CC28&lt;INDEX('Lease Cycles'!$DK$9:$DQ$9,1,CC27),0,IF(CC28=INDEX('Lease Cycles'!$DK$9:$DQ$9,1,CC27),1-INDEX('Lease Cycles'!$DR$9:$DX$9,1,CC27),1))-IF(CC28=0,INDEX('Lease Cycles'!$DD$9:$DJ$9,1,CC27),0))),0)</f>
        <v>0</v>
      </c>
      <c r="CD34" s="28">
        <f>IF(CD29=1,IF(INDEX('Lease Cycles'!$EF$9:$EL$9,1,CD27)=1,0,CD30*(1-IF(CD28&lt;INDEX('Lease Cycles'!$DK$9:$DQ$9,1,CD27),0,IF(CD28=INDEX('Lease Cycles'!$DK$9:$DQ$9,1,CD27),1-INDEX('Lease Cycles'!$DR$9:$DX$9,1,CD27),1))-IF(CD28=0,INDEX('Lease Cycles'!$DD$9:$DJ$9,1,CD27),0))),0)</f>
        <v>0</v>
      </c>
      <c r="CE34" s="28">
        <f>IF(CE29=1,IF(INDEX('Lease Cycles'!$EF$9:$EL$9,1,CE27)=1,0,CE30*(1-IF(CE28&lt;INDEX('Lease Cycles'!$DK$9:$DQ$9,1,CE27),0,IF(CE28=INDEX('Lease Cycles'!$DK$9:$DQ$9,1,CE27),1-INDEX('Lease Cycles'!$DR$9:$DX$9,1,CE27),1))-IF(CE28=0,INDEX('Lease Cycles'!$DD$9:$DJ$9,1,CE27),0))),0)</f>
        <v>0</v>
      </c>
      <c r="CF34" s="28">
        <f>IF(CF29=1,IF(INDEX('Lease Cycles'!$EF$9:$EL$9,1,CF27)=1,0,CF30*(1-IF(CF28&lt;INDEX('Lease Cycles'!$DK$9:$DQ$9,1,CF27),0,IF(CF28=INDEX('Lease Cycles'!$DK$9:$DQ$9,1,CF27),1-INDEX('Lease Cycles'!$DR$9:$DX$9,1,CF27),1))-IF(CF28=0,INDEX('Lease Cycles'!$DD$9:$DJ$9,1,CF27),0))),0)</f>
        <v>0</v>
      </c>
      <c r="CG34" s="28">
        <f>IF(CG29=1,IF(INDEX('Lease Cycles'!$EF$9:$EL$9,1,CG27)=1,0,CG30*(1-IF(CG28&lt;INDEX('Lease Cycles'!$DK$9:$DQ$9,1,CG27),0,IF(CG28=INDEX('Lease Cycles'!$DK$9:$DQ$9,1,CG27),1-INDEX('Lease Cycles'!$DR$9:$DX$9,1,CG27),1))-IF(CG28=0,INDEX('Lease Cycles'!$DD$9:$DJ$9,1,CG27),0))),0)</f>
        <v>0</v>
      </c>
      <c r="CH34" s="28">
        <f>IF(CH29=1,IF(INDEX('Lease Cycles'!$EF$9:$EL$9,1,CH27)=1,0,CH30*(1-IF(CH28&lt;INDEX('Lease Cycles'!$DK$9:$DQ$9,1,CH27),0,IF(CH28=INDEX('Lease Cycles'!$DK$9:$DQ$9,1,CH27),1-INDEX('Lease Cycles'!$DR$9:$DX$9,1,CH27),1))-IF(CH28=0,INDEX('Lease Cycles'!$DD$9:$DJ$9,1,CH27),0))),0)</f>
        <v>0</v>
      </c>
      <c r="CI34" s="28">
        <f>IF(CI29=1,IF(INDEX('Lease Cycles'!$EF$9:$EL$9,1,CI27)=1,0,CI30*(1-IF(CI28&lt;INDEX('Lease Cycles'!$DK$9:$DQ$9,1,CI27),0,IF(CI28=INDEX('Lease Cycles'!$DK$9:$DQ$9,1,CI27),1-INDEX('Lease Cycles'!$DR$9:$DX$9,1,CI27),1))-IF(CI28=0,INDEX('Lease Cycles'!$DD$9:$DJ$9,1,CI27),0))),0)</f>
        <v>0</v>
      </c>
      <c r="CJ34" s="28">
        <f>IF(CJ29=1,IF(INDEX('Lease Cycles'!$EF$9:$EL$9,1,CJ27)=1,0,CJ30*(1-IF(CJ28&lt;INDEX('Lease Cycles'!$DK$9:$DQ$9,1,CJ27),0,IF(CJ28=INDEX('Lease Cycles'!$DK$9:$DQ$9,1,CJ27),1-INDEX('Lease Cycles'!$DR$9:$DX$9,1,CJ27),1))-IF(CJ28=0,INDEX('Lease Cycles'!$DD$9:$DJ$9,1,CJ27),0))),0)</f>
        <v>0</v>
      </c>
      <c r="CK34" s="28">
        <f>IF(CK29=1,IF(INDEX('Lease Cycles'!$EF$9:$EL$9,1,CK27)=1,0,CK30*(1-IF(CK28&lt;INDEX('Lease Cycles'!$DK$9:$DQ$9,1,CK27),0,IF(CK28=INDEX('Lease Cycles'!$DK$9:$DQ$9,1,CK27),1-INDEX('Lease Cycles'!$DR$9:$DX$9,1,CK27),1))-IF(CK28=0,INDEX('Lease Cycles'!$DD$9:$DJ$9,1,CK27),0))),0)</f>
        <v>0</v>
      </c>
      <c r="CL34" s="28">
        <f>IF(CL29=1,IF(INDEX('Lease Cycles'!$EF$9:$EL$9,1,CL27)=1,0,CL30*(1-IF(CL28&lt;INDEX('Lease Cycles'!$DK$9:$DQ$9,1,CL27),0,IF(CL28=INDEX('Lease Cycles'!$DK$9:$DQ$9,1,CL27),1-INDEX('Lease Cycles'!$DR$9:$DX$9,1,CL27),1))-IF(CL28=0,INDEX('Lease Cycles'!$DD$9:$DJ$9,1,CL27),0))),0)</f>
        <v>0</v>
      </c>
      <c r="CM34" s="28">
        <f>IF(CM29=1,IF(INDEX('Lease Cycles'!$EF$9:$EL$9,1,CM27)=1,0,CM30*(1-IF(CM28&lt;INDEX('Lease Cycles'!$DK$9:$DQ$9,1,CM27),0,IF(CM28=INDEX('Lease Cycles'!$DK$9:$DQ$9,1,CM27),1-INDEX('Lease Cycles'!$DR$9:$DX$9,1,CM27),1))-IF(CM28=0,INDEX('Lease Cycles'!$DD$9:$DJ$9,1,CM27),0))),0)</f>
        <v>0</v>
      </c>
      <c r="CN34" s="28">
        <f>IF(CN29=1,IF(INDEX('Lease Cycles'!$EF$9:$EL$9,1,CN27)=1,0,CN30*(1-IF(CN28&lt;INDEX('Lease Cycles'!$DK$9:$DQ$9,1,CN27),0,IF(CN28=INDEX('Lease Cycles'!$DK$9:$DQ$9,1,CN27),1-INDEX('Lease Cycles'!$DR$9:$DX$9,1,CN27),1))-IF(CN28=0,INDEX('Lease Cycles'!$DD$9:$DJ$9,1,CN27),0))),0)</f>
        <v>0</v>
      </c>
      <c r="CO34" s="28">
        <f>IF(CO29=1,IF(INDEX('Lease Cycles'!$EF$9:$EL$9,1,CO27)=1,0,CO30*(1-IF(CO28&lt;INDEX('Lease Cycles'!$DK$9:$DQ$9,1,CO27),0,IF(CO28=INDEX('Lease Cycles'!$DK$9:$DQ$9,1,CO27),1-INDEX('Lease Cycles'!$DR$9:$DX$9,1,CO27),1))-IF(CO28=0,INDEX('Lease Cycles'!$DD$9:$DJ$9,1,CO27),0))),0)</f>
        <v>0</v>
      </c>
      <c r="CP34" s="28">
        <f>IF(CP29=1,IF(INDEX('Lease Cycles'!$EF$9:$EL$9,1,CP27)=1,0,CP30*(1-IF(CP28&lt;INDEX('Lease Cycles'!$DK$9:$DQ$9,1,CP27),0,IF(CP28=INDEX('Lease Cycles'!$DK$9:$DQ$9,1,CP27),1-INDEX('Lease Cycles'!$DR$9:$DX$9,1,CP27),1))-IF(CP28=0,INDEX('Lease Cycles'!$DD$9:$DJ$9,1,CP27),0))),0)</f>
        <v>0</v>
      </c>
      <c r="CQ34" s="28">
        <f>IF(CQ29=1,IF(INDEX('Lease Cycles'!$EF$9:$EL$9,1,CQ27)=1,0,CQ30*(1-IF(CQ28&lt;INDEX('Lease Cycles'!$DK$9:$DQ$9,1,CQ27),0,IF(CQ28=INDEX('Lease Cycles'!$DK$9:$DQ$9,1,CQ27),1-INDEX('Lease Cycles'!$DR$9:$DX$9,1,CQ27),1))-IF(CQ28=0,INDEX('Lease Cycles'!$DD$9:$DJ$9,1,CQ27),0))),0)</f>
        <v>0</v>
      </c>
      <c r="CR34" s="28">
        <f>IF(CR29=1,IF(INDEX('Lease Cycles'!$EF$9:$EL$9,1,CR27)=1,0,CR30*(1-IF(CR28&lt;INDEX('Lease Cycles'!$DK$9:$DQ$9,1,CR27),0,IF(CR28=INDEX('Lease Cycles'!$DK$9:$DQ$9,1,CR27),1-INDEX('Lease Cycles'!$DR$9:$DX$9,1,CR27),1))-IF(CR28=0,INDEX('Lease Cycles'!$DD$9:$DJ$9,1,CR27),0))),0)</f>
        <v>0</v>
      </c>
      <c r="CS34" s="28">
        <f>IF(CS29=1,IF(INDEX('Lease Cycles'!$EF$9:$EL$9,1,CS27)=1,0,CS30*(1-IF(CS28&lt;INDEX('Lease Cycles'!$DK$9:$DQ$9,1,CS27),0,IF(CS28=INDEX('Lease Cycles'!$DK$9:$DQ$9,1,CS27),1-INDEX('Lease Cycles'!$DR$9:$DX$9,1,CS27),1))-IF(CS28=0,INDEX('Lease Cycles'!$DD$9:$DJ$9,1,CS27),0))),0)</f>
        <v>0</v>
      </c>
      <c r="CT34" s="28">
        <f>IF(CT29=1,IF(INDEX('Lease Cycles'!$EF$9:$EL$9,1,CT27)=1,0,CT30*(1-IF(CT28&lt;INDEX('Lease Cycles'!$DK$9:$DQ$9,1,CT27),0,IF(CT28=INDEX('Lease Cycles'!$DK$9:$DQ$9,1,CT27),1-INDEX('Lease Cycles'!$DR$9:$DX$9,1,CT27),1))-IF(CT28=0,INDEX('Lease Cycles'!$DD$9:$DJ$9,1,CT27),0))),0)</f>
        <v>0</v>
      </c>
      <c r="CU34" s="28">
        <f>IF(CU29=1,IF(INDEX('Lease Cycles'!$EF$9:$EL$9,1,CU27)=1,0,CU30*(1-IF(CU28&lt;INDEX('Lease Cycles'!$DK$9:$DQ$9,1,CU27),0,IF(CU28=INDEX('Lease Cycles'!$DK$9:$DQ$9,1,CU27),1-INDEX('Lease Cycles'!$DR$9:$DX$9,1,CU27),1))-IF(CU28=0,INDEX('Lease Cycles'!$DD$9:$DJ$9,1,CU27),0))),0)</f>
        <v>0</v>
      </c>
      <c r="CV34" s="28">
        <f>IF(CV29=1,IF(INDEX('Lease Cycles'!$EF$9:$EL$9,1,CV27)=1,0,CV30*(1-IF(CV28&lt;INDEX('Lease Cycles'!$DK$9:$DQ$9,1,CV27),0,IF(CV28=INDEX('Lease Cycles'!$DK$9:$DQ$9,1,CV27),1-INDEX('Lease Cycles'!$DR$9:$DX$9,1,CV27),1))-IF(CV28=0,INDEX('Lease Cycles'!$DD$9:$DJ$9,1,CV27),0))),0)</f>
        <v>0</v>
      </c>
      <c r="CW34" s="28">
        <f>IF(CW29=1,IF(INDEX('Lease Cycles'!$EF$9:$EL$9,1,CW27)=1,0,CW30*(1-IF(CW28&lt;INDEX('Lease Cycles'!$DK$9:$DQ$9,1,CW27),0,IF(CW28=INDEX('Lease Cycles'!$DK$9:$DQ$9,1,CW27),1-INDEX('Lease Cycles'!$DR$9:$DX$9,1,CW27),1))-IF(CW28=0,INDEX('Lease Cycles'!$DD$9:$DJ$9,1,CW27),0))),0)</f>
        <v>0</v>
      </c>
      <c r="CX34" s="28">
        <f>IF(CX29=1,IF(INDEX('Lease Cycles'!$EF$9:$EL$9,1,CX27)=1,0,CX30*(1-IF(CX28&lt;INDEX('Lease Cycles'!$DK$9:$DQ$9,1,CX27),0,IF(CX28=INDEX('Lease Cycles'!$DK$9:$DQ$9,1,CX27),1-INDEX('Lease Cycles'!$DR$9:$DX$9,1,CX27),1))-IF(CX28=0,INDEX('Lease Cycles'!$DD$9:$DJ$9,1,CX27),0))),0)</f>
        <v>0</v>
      </c>
      <c r="CY34" s="28">
        <f>IF(CY29=1,IF(INDEX('Lease Cycles'!$EF$9:$EL$9,1,CY27)=1,0,CY30*(1-IF(CY28&lt;INDEX('Lease Cycles'!$DK$9:$DQ$9,1,CY27),0,IF(CY28=INDEX('Lease Cycles'!$DK$9:$DQ$9,1,CY27),1-INDEX('Lease Cycles'!$DR$9:$DX$9,1,CY27),1))-IF(CY28=0,INDEX('Lease Cycles'!$DD$9:$DJ$9,1,CY27),0))),0)</f>
        <v>0</v>
      </c>
      <c r="CZ34" s="28">
        <f>IF(CZ29=1,IF(INDEX('Lease Cycles'!$EF$9:$EL$9,1,CZ27)=1,0,CZ30*(1-IF(CZ28&lt;INDEX('Lease Cycles'!$DK$9:$DQ$9,1,CZ27),0,IF(CZ28=INDEX('Lease Cycles'!$DK$9:$DQ$9,1,CZ27),1-INDEX('Lease Cycles'!$DR$9:$DX$9,1,CZ27),1))-IF(CZ28=0,INDEX('Lease Cycles'!$DD$9:$DJ$9,1,CZ27),0))),0)</f>
        <v>0</v>
      </c>
      <c r="DA34" s="28">
        <f>IF(DA29=1,IF(INDEX('Lease Cycles'!$EF$9:$EL$9,1,DA27)=1,0,DA30*(1-IF(DA28&lt;INDEX('Lease Cycles'!$DK$9:$DQ$9,1,DA27),0,IF(DA28=INDEX('Lease Cycles'!$DK$9:$DQ$9,1,DA27),1-INDEX('Lease Cycles'!$DR$9:$DX$9,1,DA27),1))-IF(DA28=0,INDEX('Lease Cycles'!$DD$9:$DJ$9,1,DA27),0))),0)</f>
        <v>0</v>
      </c>
      <c r="DB34" s="28">
        <f>IF(DB29=1,IF(INDEX('Lease Cycles'!$EF$9:$EL$9,1,DB27)=1,0,DB30*(1-IF(DB28&lt;INDEX('Lease Cycles'!$DK$9:$DQ$9,1,DB27),0,IF(DB28=INDEX('Lease Cycles'!$DK$9:$DQ$9,1,DB27),1-INDEX('Lease Cycles'!$DR$9:$DX$9,1,DB27),1))-IF(DB28=0,INDEX('Lease Cycles'!$DD$9:$DJ$9,1,DB27),0))),0)</f>
        <v>0</v>
      </c>
      <c r="DC34" s="28">
        <f>IF(DC29=1,IF(INDEX('Lease Cycles'!$EF$9:$EL$9,1,DC27)=1,0,DC30*(1-IF(DC28&lt;INDEX('Lease Cycles'!$DK$9:$DQ$9,1,DC27),0,IF(DC28=INDEX('Lease Cycles'!$DK$9:$DQ$9,1,DC27),1-INDEX('Lease Cycles'!$DR$9:$DX$9,1,DC27),1))-IF(DC28=0,INDEX('Lease Cycles'!$DD$9:$DJ$9,1,DC27),0))),0)</f>
        <v>0</v>
      </c>
      <c r="DD34" s="28">
        <f>IF(DD29=1,IF(INDEX('Lease Cycles'!$EF$9:$EL$9,1,DD27)=1,0,DD30*(1-IF(DD28&lt;INDEX('Lease Cycles'!$DK$9:$DQ$9,1,DD27),0,IF(DD28=INDEX('Lease Cycles'!$DK$9:$DQ$9,1,DD27),1-INDEX('Lease Cycles'!$DR$9:$DX$9,1,DD27),1))-IF(DD28=0,INDEX('Lease Cycles'!$DD$9:$DJ$9,1,DD27),0))),0)</f>
        <v>0</v>
      </c>
      <c r="DE34" s="28">
        <f>IF(DE29=1,IF(INDEX('Lease Cycles'!$EF$9:$EL$9,1,DE27)=1,0,DE30*(1-IF(DE28&lt;INDEX('Lease Cycles'!$DK$9:$DQ$9,1,DE27),0,IF(DE28=INDEX('Lease Cycles'!$DK$9:$DQ$9,1,DE27),1-INDEX('Lease Cycles'!$DR$9:$DX$9,1,DE27),1))-IF(DE28=0,INDEX('Lease Cycles'!$DD$9:$DJ$9,1,DE27),0))),0)</f>
        <v>0</v>
      </c>
      <c r="DF34" s="28">
        <f>IF(DF29=1,IF(INDEX('Lease Cycles'!$EF$9:$EL$9,1,DF27)=1,0,DF30*(1-IF(DF28&lt;INDEX('Lease Cycles'!$DK$9:$DQ$9,1,DF27),0,IF(DF28=INDEX('Lease Cycles'!$DK$9:$DQ$9,1,DF27),1-INDEX('Lease Cycles'!$DR$9:$DX$9,1,DF27),1))-IF(DF28=0,INDEX('Lease Cycles'!$DD$9:$DJ$9,1,DF27),0))),0)</f>
        <v>0</v>
      </c>
      <c r="DG34" s="28">
        <f>IF(DG29=1,IF(INDEX('Lease Cycles'!$EF$9:$EL$9,1,DG27)=1,0,DG30*(1-IF(DG28&lt;INDEX('Lease Cycles'!$DK$9:$DQ$9,1,DG27),0,IF(DG28=INDEX('Lease Cycles'!$DK$9:$DQ$9,1,DG27),1-INDEX('Lease Cycles'!$DR$9:$DX$9,1,DG27),1))-IF(DG28=0,INDEX('Lease Cycles'!$DD$9:$DJ$9,1,DG27),0))),0)</f>
        <v>0</v>
      </c>
      <c r="DH34" s="28">
        <f>IF(DH29=1,IF(INDEX('Lease Cycles'!$EF$9:$EL$9,1,DH27)=1,0,DH30*(1-IF(DH28&lt;INDEX('Lease Cycles'!$DK$9:$DQ$9,1,DH27),0,IF(DH28=INDEX('Lease Cycles'!$DK$9:$DQ$9,1,DH27),1-INDEX('Lease Cycles'!$DR$9:$DX$9,1,DH27),1))-IF(DH28=0,INDEX('Lease Cycles'!$DD$9:$DJ$9,1,DH27),0))),0)</f>
        <v>0</v>
      </c>
      <c r="DI34" s="28">
        <f>IF(DI29=1,IF(INDEX('Lease Cycles'!$EF$9:$EL$9,1,DI27)=1,0,DI30*(1-IF(DI28&lt;INDEX('Lease Cycles'!$DK$9:$DQ$9,1,DI27),0,IF(DI28=INDEX('Lease Cycles'!$DK$9:$DQ$9,1,DI27),1-INDEX('Lease Cycles'!$DR$9:$DX$9,1,DI27),1))-IF(DI28=0,INDEX('Lease Cycles'!$DD$9:$DJ$9,1,DI27),0))),0)</f>
        <v>0</v>
      </c>
      <c r="DJ34" s="28">
        <f>IF(DJ29=1,IF(INDEX('Lease Cycles'!$EF$9:$EL$9,1,DJ27)=1,0,DJ30*(1-IF(DJ28&lt;INDEX('Lease Cycles'!$DK$9:$DQ$9,1,DJ27),0,IF(DJ28=INDEX('Lease Cycles'!$DK$9:$DQ$9,1,DJ27),1-INDEX('Lease Cycles'!$DR$9:$DX$9,1,DJ27),1))-IF(DJ28=0,INDEX('Lease Cycles'!$DD$9:$DJ$9,1,DJ27),0))),0)</f>
        <v>0</v>
      </c>
      <c r="DK34" s="28">
        <f>IF(DK29=1,IF(INDEX('Lease Cycles'!$EF$9:$EL$9,1,DK27)=1,0,DK30*(1-IF(DK28&lt;INDEX('Lease Cycles'!$DK$9:$DQ$9,1,DK27),0,IF(DK28=INDEX('Lease Cycles'!$DK$9:$DQ$9,1,DK27),1-INDEX('Lease Cycles'!$DR$9:$DX$9,1,DK27),1))-IF(DK28=0,INDEX('Lease Cycles'!$DD$9:$DJ$9,1,DK27),0))),0)</f>
        <v>0</v>
      </c>
      <c r="DL34" s="28">
        <f>IF(DL29=1,IF(INDEX('Lease Cycles'!$EF$9:$EL$9,1,DL27)=1,0,DL30*(1-IF(DL28&lt;INDEX('Lease Cycles'!$DK$9:$DQ$9,1,DL27),0,IF(DL28=INDEX('Lease Cycles'!$DK$9:$DQ$9,1,DL27),1-INDEX('Lease Cycles'!$DR$9:$DX$9,1,DL27),1))-IF(DL28=0,INDEX('Lease Cycles'!$DD$9:$DJ$9,1,DL27),0))),0)</f>
        <v>0</v>
      </c>
      <c r="DM34" s="28">
        <f>IF(DM29=1,IF(INDEX('Lease Cycles'!$EF$9:$EL$9,1,DM27)=1,0,DM30*(1-IF(DM28&lt;INDEX('Lease Cycles'!$DK$9:$DQ$9,1,DM27),0,IF(DM28=INDEX('Lease Cycles'!$DK$9:$DQ$9,1,DM27),1-INDEX('Lease Cycles'!$DR$9:$DX$9,1,DM27),1))-IF(DM28=0,INDEX('Lease Cycles'!$DD$9:$DJ$9,1,DM27),0))),0)</f>
        <v>0</v>
      </c>
      <c r="DN34" s="28">
        <f>IF(DN29=1,IF(INDEX('Lease Cycles'!$EF$9:$EL$9,1,DN27)=1,0,DN30*(1-IF(DN28&lt;INDEX('Lease Cycles'!$DK$9:$DQ$9,1,DN27),0,IF(DN28=INDEX('Lease Cycles'!$DK$9:$DQ$9,1,DN27),1-INDEX('Lease Cycles'!$DR$9:$DX$9,1,DN27),1))-IF(DN28=0,INDEX('Lease Cycles'!$DD$9:$DJ$9,1,DN27),0))),0)</f>
        <v>0</v>
      </c>
      <c r="DO34" s="28">
        <f>IF(DO29=1,IF(INDEX('Lease Cycles'!$EF$9:$EL$9,1,DO27)=1,0,DO30*(1-IF(DO28&lt;INDEX('Lease Cycles'!$DK$9:$DQ$9,1,DO27),0,IF(DO28=INDEX('Lease Cycles'!$DK$9:$DQ$9,1,DO27),1-INDEX('Lease Cycles'!$DR$9:$DX$9,1,DO27),1))-IF(DO28=0,INDEX('Lease Cycles'!$DD$9:$DJ$9,1,DO27),0))),0)</f>
        <v>0</v>
      </c>
      <c r="DP34" s="28">
        <f>IF(DP29=1,IF(INDEX('Lease Cycles'!$EF$9:$EL$9,1,DP27)=1,0,DP30*(1-IF(DP28&lt;INDEX('Lease Cycles'!$DK$9:$DQ$9,1,DP27),0,IF(DP28=INDEX('Lease Cycles'!$DK$9:$DQ$9,1,DP27),1-INDEX('Lease Cycles'!$DR$9:$DX$9,1,DP27),1))-IF(DP28=0,INDEX('Lease Cycles'!$DD$9:$DJ$9,1,DP27),0))),0)</f>
        <v>0</v>
      </c>
      <c r="DQ34" s="28">
        <f>IF(DQ29=1,IF(INDEX('Lease Cycles'!$EF$9:$EL$9,1,DQ27)=1,0,DQ30*(1-IF(DQ28&lt;INDEX('Lease Cycles'!$DK$9:$DQ$9,1,DQ27),0,IF(DQ28=INDEX('Lease Cycles'!$DK$9:$DQ$9,1,DQ27),1-INDEX('Lease Cycles'!$DR$9:$DX$9,1,DQ27),1))-IF(DQ28=0,INDEX('Lease Cycles'!$DD$9:$DJ$9,1,DQ27),0))),0)</f>
        <v>0</v>
      </c>
      <c r="DR34" s="28">
        <f>IF(DR29=1,IF(INDEX('Lease Cycles'!$EF$9:$EL$9,1,DR27)=1,0,DR30*(1-IF(DR28&lt;INDEX('Lease Cycles'!$DK$9:$DQ$9,1,DR27),0,IF(DR28=INDEX('Lease Cycles'!$DK$9:$DQ$9,1,DR27),1-INDEX('Lease Cycles'!$DR$9:$DX$9,1,DR27),1))-IF(DR28=0,INDEX('Lease Cycles'!$DD$9:$DJ$9,1,DR27),0))),0)</f>
        <v>0</v>
      </c>
      <c r="DS34" s="28">
        <f>IF(DS29=1,IF(INDEX('Lease Cycles'!$EF$9:$EL$9,1,DS27)=1,0,DS30*(1-IF(DS28&lt;INDEX('Lease Cycles'!$DK$9:$DQ$9,1,DS27),0,IF(DS28=INDEX('Lease Cycles'!$DK$9:$DQ$9,1,DS27),1-INDEX('Lease Cycles'!$DR$9:$DX$9,1,DS27),1))-IF(DS28=0,INDEX('Lease Cycles'!$DD$9:$DJ$9,1,DS27),0))),0)</f>
        <v>0</v>
      </c>
      <c r="DT34" s="28">
        <f>IF(DT29=1,IF(INDEX('Lease Cycles'!$EF$9:$EL$9,1,DT27)=1,0,DT30*(1-IF(DT28&lt;INDEX('Lease Cycles'!$DK$9:$DQ$9,1,DT27),0,IF(DT28=INDEX('Lease Cycles'!$DK$9:$DQ$9,1,DT27),1-INDEX('Lease Cycles'!$DR$9:$DX$9,1,DT27),1))-IF(DT28=0,INDEX('Lease Cycles'!$DD$9:$DJ$9,1,DT27),0))),0)</f>
        <v>0</v>
      </c>
      <c r="DU34" s="28">
        <f>IF(DU29=1,IF(INDEX('Lease Cycles'!$EF$9:$EL$9,1,DU27)=1,0,DU30*(1-IF(DU28&lt;INDEX('Lease Cycles'!$DK$9:$DQ$9,1,DU27),0,IF(DU28=INDEX('Lease Cycles'!$DK$9:$DQ$9,1,DU27),1-INDEX('Lease Cycles'!$DR$9:$DX$9,1,DU27),1))-IF(DU28=0,INDEX('Lease Cycles'!$DD$9:$DJ$9,1,DU27),0))),0)</f>
        <v>0</v>
      </c>
      <c r="DV34" s="28">
        <f>IF(DV29=1,IF(INDEX('Lease Cycles'!$EF$9:$EL$9,1,DV27)=1,0,DV30*(1-IF(DV28&lt;INDEX('Lease Cycles'!$DK$9:$DQ$9,1,DV27),0,IF(DV28=INDEX('Lease Cycles'!$DK$9:$DQ$9,1,DV27),1-INDEX('Lease Cycles'!$DR$9:$DX$9,1,DV27),1))-IF(DV28=0,INDEX('Lease Cycles'!$DD$9:$DJ$9,1,DV27),0))),0)</f>
        <v>0</v>
      </c>
      <c r="DW34" s="28">
        <f>IF(DW29=1,IF(INDEX('Lease Cycles'!$EF$9:$EL$9,1,DW27)=1,0,DW30*(1-IF(DW28&lt;INDEX('Lease Cycles'!$DK$9:$DQ$9,1,DW27),0,IF(DW28=INDEX('Lease Cycles'!$DK$9:$DQ$9,1,DW27),1-INDEX('Lease Cycles'!$DR$9:$DX$9,1,DW27),1))-IF(DW28=0,INDEX('Lease Cycles'!$DD$9:$DJ$9,1,DW27),0))),0)</f>
        <v>0</v>
      </c>
      <c r="DX34" s="28">
        <f>IF(DX29=1,IF(INDEX('Lease Cycles'!$EF$9:$EL$9,1,DX27)=1,0,DX30*(1-IF(DX28&lt;INDEX('Lease Cycles'!$DK$9:$DQ$9,1,DX27),0,IF(DX28=INDEX('Lease Cycles'!$DK$9:$DQ$9,1,DX27),1-INDEX('Lease Cycles'!$DR$9:$DX$9,1,DX27),1))-IF(DX28=0,INDEX('Lease Cycles'!$DD$9:$DJ$9,1,DX27),0))),0)</f>
        <v>0</v>
      </c>
      <c r="DY34" s="28">
        <f>IF(DY29=1,IF(INDEX('Lease Cycles'!$EF$9:$EL$9,1,DY27)=1,0,DY30*(1-IF(DY28&lt;INDEX('Lease Cycles'!$DK$9:$DQ$9,1,DY27),0,IF(DY28=INDEX('Lease Cycles'!$DK$9:$DQ$9,1,DY27),1-INDEX('Lease Cycles'!$DR$9:$DX$9,1,DY27),1))-IF(DY28=0,INDEX('Lease Cycles'!$DD$9:$DJ$9,1,DY27),0))),0)</f>
        <v>0</v>
      </c>
      <c r="DZ34" s="28">
        <f>IF(DZ29=1,IF(INDEX('Lease Cycles'!$EF$9:$EL$9,1,DZ27)=1,0,DZ30*(1-IF(DZ28&lt;INDEX('Lease Cycles'!$DK$9:$DQ$9,1,DZ27),0,IF(DZ28=INDEX('Lease Cycles'!$DK$9:$DQ$9,1,DZ27),1-INDEX('Lease Cycles'!$DR$9:$DX$9,1,DZ27),1))-IF(DZ28=0,INDEX('Lease Cycles'!$DD$9:$DJ$9,1,DZ27),0))),0)</f>
        <v>0</v>
      </c>
      <c r="EA34" s="28">
        <f>IF(EA29=1,IF(INDEX('Lease Cycles'!$EF$9:$EL$9,1,EA27)=1,0,EA30*(1-IF(EA28&lt;INDEX('Lease Cycles'!$DK$9:$DQ$9,1,EA27),0,IF(EA28=INDEX('Lease Cycles'!$DK$9:$DQ$9,1,EA27),1-INDEX('Lease Cycles'!$DR$9:$DX$9,1,EA27),1))-IF(EA28=0,INDEX('Lease Cycles'!$DD$9:$DJ$9,1,EA27),0))),0)</f>
        <v>0</v>
      </c>
      <c r="EB34" s="28">
        <f>IF(EB29=1,IF(INDEX('Lease Cycles'!$EF$9:$EL$9,1,EB27)=1,0,EB30*(1-IF(EB28&lt;INDEX('Lease Cycles'!$DK$9:$DQ$9,1,EB27),0,IF(EB28=INDEX('Lease Cycles'!$DK$9:$DQ$9,1,EB27),1-INDEX('Lease Cycles'!$DR$9:$DX$9,1,EB27),1))-IF(EB28=0,INDEX('Lease Cycles'!$DD$9:$DJ$9,1,EB27),0))),0)</f>
        <v>0</v>
      </c>
      <c r="EC34" s="28">
        <f>IF(EC29=1,IF(INDEX('Lease Cycles'!$EF$9:$EL$9,1,EC27)=1,0,EC30*(1-IF(EC28&lt;INDEX('Lease Cycles'!$DK$9:$DQ$9,1,EC27),0,IF(EC28=INDEX('Lease Cycles'!$DK$9:$DQ$9,1,EC27),1-INDEX('Lease Cycles'!$DR$9:$DX$9,1,EC27),1))-IF(EC28=0,INDEX('Lease Cycles'!$DD$9:$DJ$9,1,EC27),0))),0)</f>
        <v>0</v>
      </c>
      <c r="ED34" s="28">
        <f>IF(ED29=1,IF(INDEX('Lease Cycles'!$EF$9:$EL$9,1,ED27)=1,0,ED30*(1-IF(ED28&lt;INDEX('Lease Cycles'!$DK$9:$DQ$9,1,ED27),0,IF(ED28=INDEX('Lease Cycles'!$DK$9:$DQ$9,1,ED27),1-INDEX('Lease Cycles'!$DR$9:$DX$9,1,ED27),1))-IF(ED28=0,INDEX('Lease Cycles'!$DD$9:$DJ$9,1,ED27),0))),0)</f>
        <v>0</v>
      </c>
      <c r="EE34" s="28">
        <f>IF(EE29=1,IF(INDEX('Lease Cycles'!$EF$9:$EL$9,1,EE27)=1,0,EE30*(1-IF(EE28&lt;INDEX('Lease Cycles'!$DK$9:$DQ$9,1,EE27),0,IF(EE28=INDEX('Lease Cycles'!$DK$9:$DQ$9,1,EE27),1-INDEX('Lease Cycles'!$DR$9:$DX$9,1,EE27),1))-IF(EE28=0,INDEX('Lease Cycles'!$DD$9:$DJ$9,1,EE27),0))),0)</f>
        <v>0</v>
      </c>
      <c r="EF34" s="28">
        <f>IF(EF29=1,IF(INDEX('Lease Cycles'!$EF$9:$EL$9,1,EF27)=1,0,EF30*(1-IF(EF28&lt;INDEX('Lease Cycles'!$DK$9:$DQ$9,1,EF27),0,IF(EF28=INDEX('Lease Cycles'!$DK$9:$DQ$9,1,EF27),1-INDEX('Lease Cycles'!$DR$9:$DX$9,1,EF27),1))-IF(EF28=0,INDEX('Lease Cycles'!$DD$9:$DJ$9,1,EF27),0))),0)</f>
        <v>0</v>
      </c>
      <c r="EG34" s="28">
        <f>IF(EG29=1,IF(INDEX('Lease Cycles'!$EF$9:$EL$9,1,EG27)=1,0,EG30*(1-IF(EG28&lt;INDEX('Lease Cycles'!$DK$9:$DQ$9,1,EG27),0,IF(EG28=INDEX('Lease Cycles'!$DK$9:$DQ$9,1,EG27),1-INDEX('Lease Cycles'!$DR$9:$DX$9,1,EG27),1))-IF(EG28=0,INDEX('Lease Cycles'!$DD$9:$DJ$9,1,EG27),0))),0)</f>
        <v>0</v>
      </c>
      <c r="EH34" s="28">
        <f>IF(EH29=1,IF(INDEX('Lease Cycles'!$EF$9:$EL$9,1,EH27)=1,0,EH30*(1-IF(EH28&lt;INDEX('Lease Cycles'!$DK$9:$DQ$9,1,EH27),0,IF(EH28=INDEX('Lease Cycles'!$DK$9:$DQ$9,1,EH27),1-INDEX('Lease Cycles'!$DR$9:$DX$9,1,EH27),1))-IF(EH28=0,INDEX('Lease Cycles'!$DD$9:$DJ$9,1,EH27),0))),0)</f>
        <v>0</v>
      </c>
      <c r="EI34" s="28">
        <f>IF(EI29=1,IF(INDEX('Lease Cycles'!$EF$9:$EL$9,1,EI27)=1,0,EI30*(1-IF(EI28&lt;INDEX('Lease Cycles'!$DK$9:$DQ$9,1,EI27),0,IF(EI28=INDEX('Lease Cycles'!$DK$9:$DQ$9,1,EI27),1-INDEX('Lease Cycles'!$DR$9:$DX$9,1,EI27),1))-IF(EI28=0,INDEX('Lease Cycles'!$DD$9:$DJ$9,1,EI27),0))),0)</f>
        <v>0</v>
      </c>
      <c r="EJ34" s="28">
        <f>IF(EJ29=1,IF(INDEX('Lease Cycles'!$EF$9:$EL$9,1,EJ27)=1,0,EJ30*(1-IF(EJ28&lt;INDEX('Lease Cycles'!$DK$9:$DQ$9,1,EJ27),0,IF(EJ28=INDEX('Lease Cycles'!$DK$9:$DQ$9,1,EJ27),1-INDEX('Lease Cycles'!$DR$9:$DX$9,1,EJ27),1))-IF(EJ28=0,INDEX('Lease Cycles'!$DD$9:$DJ$9,1,EJ27),0))),0)</f>
        <v>0</v>
      </c>
      <c r="EK34" s="28">
        <f>IF(EK29=1,IF(INDEX('Lease Cycles'!$EF$9:$EL$9,1,EK27)=1,0,EK30*(1-IF(EK28&lt;INDEX('Lease Cycles'!$DK$9:$DQ$9,1,EK27),0,IF(EK28=INDEX('Lease Cycles'!$DK$9:$DQ$9,1,EK27),1-INDEX('Lease Cycles'!$DR$9:$DX$9,1,EK27),1))-IF(EK28=0,INDEX('Lease Cycles'!$DD$9:$DJ$9,1,EK27),0))),0)</f>
        <v>0</v>
      </c>
      <c r="EL34" s="28">
        <f>IF(EL29=1,IF(INDEX('Lease Cycles'!$EF$9:$EL$9,1,EL27)=1,0,EL30*(1-IF(EL28&lt;INDEX('Lease Cycles'!$DK$9:$DQ$9,1,EL27),0,IF(EL28=INDEX('Lease Cycles'!$DK$9:$DQ$9,1,EL27),1-INDEX('Lease Cycles'!$DR$9:$DX$9,1,EL27),1))-IF(EL28=0,INDEX('Lease Cycles'!$DD$9:$DJ$9,1,EL27),0))),0)</f>
        <v>0</v>
      </c>
      <c r="EM34" s="28">
        <f>IF(EM29=1,IF(INDEX('Lease Cycles'!$EF$9:$EL$9,1,EM27)=1,0,EM30*(1-IF(EM28&lt;INDEX('Lease Cycles'!$DK$9:$DQ$9,1,EM27),0,IF(EM28=INDEX('Lease Cycles'!$DK$9:$DQ$9,1,EM27),1-INDEX('Lease Cycles'!$DR$9:$DX$9,1,EM27),1))-IF(EM28=0,INDEX('Lease Cycles'!$DD$9:$DJ$9,1,EM27),0))),0)</f>
        <v>0</v>
      </c>
      <c r="EN34" s="28">
        <f>IF(EN29=1,IF(INDEX('Lease Cycles'!$EF$9:$EL$9,1,EN27)=1,0,EN30*(1-IF(EN28&lt;INDEX('Lease Cycles'!$DK$9:$DQ$9,1,EN27),0,IF(EN28=INDEX('Lease Cycles'!$DK$9:$DQ$9,1,EN27),1-INDEX('Lease Cycles'!$DR$9:$DX$9,1,EN27),1))-IF(EN28=0,INDEX('Lease Cycles'!$DD$9:$DJ$9,1,EN27),0))),0)</f>
        <v>0</v>
      </c>
      <c r="EO34" s="28">
        <f>IF(EO29=1,IF(INDEX('Lease Cycles'!$EF$9:$EL$9,1,EO27)=1,0,EO30*(1-IF(EO28&lt;INDEX('Lease Cycles'!$DK$9:$DQ$9,1,EO27),0,IF(EO28=INDEX('Lease Cycles'!$DK$9:$DQ$9,1,EO27),1-INDEX('Lease Cycles'!$DR$9:$DX$9,1,EO27),1))-IF(EO28=0,INDEX('Lease Cycles'!$DD$9:$DJ$9,1,EO27),0))),0)</f>
        <v>0</v>
      </c>
      <c r="EP34" s="28">
        <f>IF(EP29=1,IF(INDEX('Lease Cycles'!$EF$9:$EL$9,1,EP27)=1,0,EP30*(1-IF(EP28&lt;INDEX('Lease Cycles'!$DK$9:$DQ$9,1,EP27),0,IF(EP28=INDEX('Lease Cycles'!$DK$9:$DQ$9,1,EP27),1-INDEX('Lease Cycles'!$DR$9:$DX$9,1,EP27),1))-IF(EP28=0,INDEX('Lease Cycles'!$DD$9:$DJ$9,1,EP27),0))),0)</f>
        <v>0</v>
      </c>
      <c r="EQ34" s="28">
        <f>IF(EQ29=1,IF(INDEX('Lease Cycles'!$EF$9:$EL$9,1,EQ27)=1,0,EQ30*(1-IF(EQ28&lt;INDEX('Lease Cycles'!$DK$9:$DQ$9,1,EQ27),0,IF(EQ28=INDEX('Lease Cycles'!$DK$9:$DQ$9,1,EQ27),1-INDEX('Lease Cycles'!$DR$9:$DX$9,1,EQ27),1))-IF(EQ28=0,INDEX('Lease Cycles'!$DD$9:$DJ$9,1,EQ27),0))),0)</f>
        <v>0</v>
      </c>
      <c r="ER34" s="28">
        <f>IF(ER29=1,IF(INDEX('Lease Cycles'!$EF$9:$EL$9,1,ER27)=1,0,ER30*(1-IF(ER28&lt;INDEX('Lease Cycles'!$DK$9:$DQ$9,1,ER27),0,IF(ER28=INDEX('Lease Cycles'!$DK$9:$DQ$9,1,ER27),1-INDEX('Lease Cycles'!$DR$9:$DX$9,1,ER27),1))-IF(ER28=0,INDEX('Lease Cycles'!$DD$9:$DJ$9,1,ER27),0))),0)</f>
        <v>0</v>
      </c>
      <c r="ES34" s="28">
        <f>IF(ES29=1,IF(INDEX('Lease Cycles'!$EF$9:$EL$9,1,ES27)=1,0,ES30*(1-IF(ES28&lt;INDEX('Lease Cycles'!$DK$9:$DQ$9,1,ES27),0,IF(ES28=INDEX('Lease Cycles'!$DK$9:$DQ$9,1,ES27),1-INDEX('Lease Cycles'!$DR$9:$DX$9,1,ES27),1))-IF(ES28=0,INDEX('Lease Cycles'!$DD$9:$DJ$9,1,ES27),0))),0)</f>
        <v>0</v>
      </c>
      <c r="ET34" s="28">
        <f>IF(ET29=1,IF(INDEX('Lease Cycles'!$EF$9:$EL$9,1,ET27)=1,0,ET30*(1-IF(ET28&lt;INDEX('Lease Cycles'!$DK$9:$DQ$9,1,ET27),0,IF(ET28=INDEX('Lease Cycles'!$DK$9:$DQ$9,1,ET27),1-INDEX('Lease Cycles'!$DR$9:$DX$9,1,ET27),1))-IF(ET28=0,INDEX('Lease Cycles'!$DD$9:$DJ$9,1,ET27),0))),0)</f>
        <v>0</v>
      </c>
    </row>
    <row r="35">
      <c r="A35" s="103">
        <v>2</v>
      </c>
      <c r="B35" s="23" t="str">
        <f>IF('Lease Cycles'!$B$9="","(empty slot)",'Lease Cycles'!$B$9)</f>
        <v>Sunfield Pharmacy</v>
      </c>
      <c r="C35" s="23" t="s">
        <v>683</v>
      </c>
      <c r="D35" s="104" t="s">
        <v>684</v>
      </c>
      <c r="E35" s="25">
        <f>'Lease Cycles'!$AL$9</f>
        <v>0</v>
      </c>
      <c r="G35" s="24">
        <f>SUM(S35:AD35)</f>
        <v>1.809045226130653</v>
      </c>
      <c r="H35" s="24">
        <f>SUM(AE35:AP35)</f>
        <v>1.809045226130653</v>
      </c>
      <c r="I35" s="24">
        <f>SUM(AQ35:BB35)</f>
        <v>1.809045226130653</v>
      </c>
      <c r="J35" s="24">
        <f>SUM(BC35:BN35)</f>
        <v>1.809045226130653</v>
      </c>
      <c r="K35" s="24">
        <f>SUM(BO35:BZ35)</f>
        <v>1.6281407035175874</v>
      </c>
      <c r="L35" s="24">
        <f>SUM(CA35:CL35)</f>
        <v>1.809045226130653</v>
      </c>
      <c r="M35" s="24">
        <f>SUM(CM35:CX35)</f>
        <v>1.809045226130653</v>
      </c>
      <c r="N35" s="24">
        <f>SUM(CY35:DJ35)</f>
        <v>1.809045226130653</v>
      </c>
      <c r="O35" s="24">
        <f>SUM(DK35:DV35)</f>
        <v>1.809045226130653</v>
      </c>
      <c r="P35" s="24">
        <f>SUM(DW35:EH35)</f>
        <v>1.809045226130653</v>
      </c>
      <c r="Q35" s="24">
        <f>SUM(EI35:ET35)</f>
        <v>1.809045226130653</v>
      </c>
      <c r="S35" s="24">
        <f>IF(S29=1,'Lease Cycles'!$D$9*IF(INDEX('Lease Cycles'!$EF$9:$EL$9,1,S27)=1,(1-'Lease Cycles'!$AJ$9)*INDEX('Lease Cycles'!$EM$9:$ES$9,1,S27)+(1-'Lease Cycles'!$BE$9)*IF(S28&lt;INDEX('Lease Cycles'!$FA$9:$FG$9,1,S27),0,1-INDEX('Lease Cycles'!$EM$9:$ES$9,1,S27)),IF(OR(INDEX('Lease Cycles'!$DY$9:$EE$9,1,S27)=1,S28&gt;0),1,1-INDEX('Lease Cycles'!$DD$9:$DJ$9,1,S27))*((1-'Lease Cycles'!$AJ$9)*INDEX('Lease Cycles'!$FO$9:$FU$9,1,S27)+(1-'Lease Cycles'!$BE$9)*(1-INDEX('Lease Cycles'!$FO$9:$FU$9,1,S27)))),0)</f>
        <v>0.1507537688442211</v>
      </c>
      <c r="T35" s="24">
        <f>IF(T29=1,'Lease Cycles'!$D$9*IF(INDEX('Lease Cycles'!$EF$9:$EL$9,1,T27)=1,(1-'Lease Cycles'!$AJ$9)*INDEX('Lease Cycles'!$EM$9:$ES$9,1,T27)+(1-'Lease Cycles'!$BE$9)*IF(T28&lt;INDEX('Lease Cycles'!$FA$9:$FG$9,1,T27),0,1-INDEX('Lease Cycles'!$EM$9:$ES$9,1,T27)),IF(OR(INDEX('Lease Cycles'!$DY$9:$EE$9,1,T27)=1,T28&gt;0),1,1-INDEX('Lease Cycles'!$DD$9:$DJ$9,1,T27))*((1-'Lease Cycles'!$AJ$9)*INDEX('Lease Cycles'!$FO$9:$FU$9,1,T27)+(1-'Lease Cycles'!$BE$9)*(1-INDEX('Lease Cycles'!$FO$9:$FU$9,1,T27)))),0)</f>
        <v>0.1507537688442211</v>
      </c>
      <c r="U35" s="24">
        <f>IF(U29=1,'Lease Cycles'!$D$9*IF(INDEX('Lease Cycles'!$EF$9:$EL$9,1,U27)=1,(1-'Lease Cycles'!$AJ$9)*INDEX('Lease Cycles'!$EM$9:$ES$9,1,U27)+(1-'Lease Cycles'!$BE$9)*IF(U28&lt;INDEX('Lease Cycles'!$FA$9:$FG$9,1,U27),0,1-INDEX('Lease Cycles'!$EM$9:$ES$9,1,U27)),IF(OR(INDEX('Lease Cycles'!$DY$9:$EE$9,1,U27)=1,U28&gt;0),1,1-INDEX('Lease Cycles'!$DD$9:$DJ$9,1,U27))*((1-'Lease Cycles'!$AJ$9)*INDEX('Lease Cycles'!$FO$9:$FU$9,1,U27)+(1-'Lease Cycles'!$BE$9)*(1-INDEX('Lease Cycles'!$FO$9:$FU$9,1,U27)))),0)</f>
        <v>0.1507537688442211</v>
      </c>
      <c r="V35" s="24">
        <f>IF(V29=1,'Lease Cycles'!$D$9*IF(INDEX('Lease Cycles'!$EF$9:$EL$9,1,V27)=1,(1-'Lease Cycles'!$AJ$9)*INDEX('Lease Cycles'!$EM$9:$ES$9,1,V27)+(1-'Lease Cycles'!$BE$9)*IF(V28&lt;INDEX('Lease Cycles'!$FA$9:$FG$9,1,V27),0,1-INDEX('Lease Cycles'!$EM$9:$ES$9,1,V27)),IF(OR(INDEX('Lease Cycles'!$DY$9:$EE$9,1,V27)=1,V28&gt;0),1,1-INDEX('Lease Cycles'!$DD$9:$DJ$9,1,V27))*((1-'Lease Cycles'!$AJ$9)*INDEX('Lease Cycles'!$FO$9:$FU$9,1,V27)+(1-'Lease Cycles'!$BE$9)*(1-INDEX('Lease Cycles'!$FO$9:$FU$9,1,V27)))),0)</f>
        <v>0.1507537688442211</v>
      </c>
      <c r="W35" s="24">
        <f>IF(W29=1,'Lease Cycles'!$D$9*IF(INDEX('Lease Cycles'!$EF$9:$EL$9,1,W27)=1,(1-'Lease Cycles'!$AJ$9)*INDEX('Lease Cycles'!$EM$9:$ES$9,1,W27)+(1-'Lease Cycles'!$BE$9)*IF(W28&lt;INDEX('Lease Cycles'!$FA$9:$FG$9,1,W27),0,1-INDEX('Lease Cycles'!$EM$9:$ES$9,1,W27)),IF(OR(INDEX('Lease Cycles'!$DY$9:$EE$9,1,W27)=1,W28&gt;0),1,1-INDEX('Lease Cycles'!$DD$9:$DJ$9,1,W27))*((1-'Lease Cycles'!$AJ$9)*INDEX('Lease Cycles'!$FO$9:$FU$9,1,W27)+(1-'Lease Cycles'!$BE$9)*(1-INDEX('Lease Cycles'!$FO$9:$FU$9,1,W27)))),0)</f>
        <v>0.1507537688442211</v>
      </c>
      <c r="X35" s="24">
        <f>IF(X29=1,'Lease Cycles'!$D$9*IF(INDEX('Lease Cycles'!$EF$9:$EL$9,1,X27)=1,(1-'Lease Cycles'!$AJ$9)*INDEX('Lease Cycles'!$EM$9:$ES$9,1,X27)+(1-'Lease Cycles'!$BE$9)*IF(X28&lt;INDEX('Lease Cycles'!$FA$9:$FG$9,1,X27),0,1-INDEX('Lease Cycles'!$EM$9:$ES$9,1,X27)),IF(OR(INDEX('Lease Cycles'!$DY$9:$EE$9,1,X27)=1,X28&gt;0),1,1-INDEX('Lease Cycles'!$DD$9:$DJ$9,1,X27))*((1-'Lease Cycles'!$AJ$9)*INDEX('Lease Cycles'!$FO$9:$FU$9,1,X27)+(1-'Lease Cycles'!$BE$9)*(1-INDEX('Lease Cycles'!$FO$9:$FU$9,1,X27)))),0)</f>
        <v>0.1507537688442211</v>
      </c>
      <c r="Y35" s="24">
        <f>IF(Y29=1,'Lease Cycles'!$D$9*IF(INDEX('Lease Cycles'!$EF$9:$EL$9,1,Y27)=1,(1-'Lease Cycles'!$AJ$9)*INDEX('Lease Cycles'!$EM$9:$ES$9,1,Y27)+(1-'Lease Cycles'!$BE$9)*IF(Y28&lt;INDEX('Lease Cycles'!$FA$9:$FG$9,1,Y27),0,1-INDEX('Lease Cycles'!$EM$9:$ES$9,1,Y27)),IF(OR(INDEX('Lease Cycles'!$DY$9:$EE$9,1,Y27)=1,Y28&gt;0),1,1-INDEX('Lease Cycles'!$DD$9:$DJ$9,1,Y27))*((1-'Lease Cycles'!$AJ$9)*INDEX('Lease Cycles'!$FO$9:$FU$9,1,Y27)+(1-'Lease Cycles'!$BE$9)*(1-INDEX('Lease Cycles'!$FO$9:$FU$9,1,Y27)))),0)</f>
        <v>0.1507537688442211</v>
      </c>
      <c r="Z35" s="24">
        <f>IF(Z29=1,'Lease Cycles'!$D$9*IF(INDEX('Lease Cycles'!$EF$9:$EL$9,1,Z27)=1,(1-'Lease Cycles'!$AJ$9)*INDEX('Lease Cycles'!$EM$9:$ES$9,1,Z27)+(1-'Lease Cycles'!$BE$9)*IF(Z28&lt;INDEX('Lease Cycles'!$FA$9:$FG$9,1,Z27),0,1-INDEX('Lease Cycles'!$EM$9:$ES$9,1,Z27)),IF(OR(INDEX('Lease Cycles'!$DY$9:$EE$9,1,Z27)=1,Z28&gt;0),1,1-INDEX('Lease Cycles'!$DD$9:$DJ$9,1,Z27))*((1-'Lease Cycles'!$AJ$9)*INDEX('Lease Cycles'!$FO$9:$FU$9,1,Z27)+(1-'Lease Cycles'!$BE$9)*(1-INDEX('Lease Cycles'!$FO$9:$FU$9,1,Z27)))),0)</f>
        <v>0.1507537688442211</v>
      </c>
      <c r="AA35" s="24">
        <f>IF(AA29=1,'Lease Cycles'!$D$9*IF(INDEX('Lease Cycles'!$EF$9:$EL$9,1,AA27)=1,(1-'Lease Cycles'!$AJ$9)*INDEX('Lease Cycles'!$EM$9:$ES$9,1,AA27)+(1-'Lease Cycles'!$BE$9)*IF(AA28&lt;INDEX('Lease Cycles'!$FA$9:$FG$9,1,AA27),0,1-INDEX('Lease Cycles'!$EM$9:$ES$9,1,AA27)),IF(OR(INDEX('Lease Cycles'!$DY$9:$EE$9,1,AA27)=1,AA28&gt;0),1,1-INDEX('Lease Cycles'!$DD$9:$DJ$9,1,AA27))*((1-'Lease Cycles'!$AJ$9)*INDEX('Lease Cycles'!$FO$9:$FU$9,1,AA27)+(1-'Lease Cycles'!$BE$9)*(1-INDEX('Lease Cycles'!$FO$9:$FU$9,1,AA27)))),0)</f>
        <v>0.1507537688442211</v>
      </c>
      <c r="AB35" s="24">
        <f>IF(AB29=1,'Lease Cycles'!$D$9*IF(INDEX('Lease Cycles'!$EF$9:$EL$9,1,AB27)=1,(1-'Lease Cycles'!$AJ$9)*INDEX('Lease Cycles'!$EM$9:$ES$9,1,AB27)+(1-'Lease Cycles'!$BE$9)*IF(AB28&lt;INDEX('Lease Cycles'!$FA$9:$FG$9,1,AB27),0,1-INDEX('Lease Cycles'!$EM$9:$ES$9,1,AB27)),IF(OR(INDEX('Lease Cycles'!$DY$9:$EE$9,1,AB27)=1,AB28&gt;0),1,1-INDEX('Lease Cycles'!$DD$9:$DJ$9,1,AB27))*((1-'Lease Cycles'!$AJ$9)*INDEX('Lease Cycles'!$FO$9:$FU$9,1,AB27)+(1-'Lease Cycles'!$BE$9)*(1-INDEX('Lease Cycles'!$FO$9:$FU$9,1,AB27)))),0)</f>
        <v>0.1507537688442211</v>
      </c>
      <c r="AC35" s="24">
        <f>IF(AC29=1,'Lease Cycles'!$D$9*IF(INDEX('Lease Cycles'!$EF$9:$EL$9,1,AC27)=1,(1-'Lease Cycles'!$AJ$9)*INDEX('Lease Cycles'!$EM$9:$ES$9,1,AC27)+(1-'Lease Cycles'!$BE$9)*IF(AC28&lt;INDEX('Lease Cycles'!$FA$9:$FG$9,1,AC27),0,1-INDEX('Lease Cycles'!$EM$9:$ES$9,1,AC27)),IF(OR(INDEX('Lease Cycles'!$DY$9:$EE$9,1,AC27)=1,AC28&gt;0),1,1-INDEX('Lease Cycles'!$DD$9:$DJ$9,1,AC27))*((1-'Lease Cycles'!$AJ$9)*INDEX('Lease Cycles'!$FO$9:$FU$9,1,AC27)+(1-'Lease Cycles'!$BE$9)*(1-INDEX('Lease Cycles'!$FO$9:$FU$9,1,AC27)))),0)</f>
        <v>0.1507537688442211</v>
      </c>
      <c r="AD35" s="24">
        <f>IF(AD29=1,'Lease Cycles'!$D$9*IF(INDEX('Lease Cycles'!$EF$9:$EL$9,1,AD27)=1,(1-'Lease Cycles'!$AJ$9)*INDEX('Lease Cycles'!$EM$9:$ES$9,1,AD27)+(1-'Lease Cycles'!$BE$9)*IF(AD28&lt;INDEX('Lease Cycles'!$FA$9:$FG$9,1,AD27),0,1-INDEX('Lease Cycles'!$EM$9:$ES$9,1,AD27)),IF(OR(INDEX('Lease Cycles'!$DY$9:$EE$9,1,AD27)=1,AD28&gt;0),1,1-INDEX('Lease Cycles'!$DD$9:$DJ$9,1,AD27))*((1-'Lease Cycles'!$AJ$9)*INDEX('Lease Cycles'!$FO$9:$FU$9,1,AD27)+(1-'Lease Cycles'!$BE$9)*(1-INDEX('Lease Cycles'!$FO$9:$FU$9,1,AD27)))),0)</f>
        <v>0.1507537688442211</v>
      </c>
      <c r="AE35" s="24">
        <f>IF(AE29=1,'Lease Cycles'!$D$9*IF(INDEX('Lease Cycles'!$EF$9:$EL$9,1,AE27)=1,(1-'Lease Cycles'!$AJ$9)*INDEX('Lease Cycles'!$EM$9:$ES$9,1,AE27)+(1-'Lease Cycles'!$BE$9)*IF(AE28&lt;INDEX('Lease Cycles'!$FA$9:$FG$9,1,AE27),0,1-INDEX('Lease Cycles'!$EM$9:$ES$9,1,AE27)),IF(OR(INDEX('Lease Cycles'!$DY$9:$EE$9,1,AE27)=1,AE28&gt;0),1,1-INDEX('Lease Cycles'!$DD$9:$DJ$9,1,AE27))*((1-'Lease Cycles'!$AJ$9)*INDEX('Lease Cycles'!$FO$9:$FU$9,1,AE27)+(1-'Lease Cycles'!$BE$9)*(1-INDEX('Lease Cycles'!$FO$9:$FU$9,1,AE27)))),0)</f>
        <v>0.1507537688442211</v>
      </c>
      <c r="AF35" s="24">
        <f>IF(AF29=1,'Lease Cycles'!$D$9*IF(INDEX('Lease Cycles'!$EF$9:$EL$9,1,AF27)=1,(1-'Lease Cycles'!$AJ$9)*INDEX('Lease Cycles'!$EM$9:$ES$9,1,AF27)+(1-'Lease Cycles'!$BE$9)*IF(AF28&lt;INDEX('Lease Cycles'!$FA$9:$FG$9,1,AF27),0,1-INDEX('Lease Cycles'!$EM$9:$ES$9,1,AF27)),IF(OR(INDEX('Lease Cycles'!$DY$9:$EE$9,1,AF27)=1,AF28&gt;0),1,1-INDEX('Lease Cycles'!$DD$9:$DJ$9,1,AF27))*((1-'Lease Cycles'!$AJ$9)*INDEX('Lease Cycles'!$FO$9:$FU$9,1,AF27)+(1-'Lease Cycles'!$BE$9)*(1-INDEX('Lease Cycles'!$FO$9:$FU$9,1,AF27)))),0)</f>
        <v>0.1507537688442211</v>
      </c>
      <c r="AG35" s="24">
        <f>IF(AG29=1,'Lease Cycles'!$D$9*IF(INDEX('Lease Cycles'!$EF$9:$EL$9,1,AG27)=1,(1-'Lease Cycles'!$AJ$9)*INDEX('Lease Cycles'!$EM$9:$ES$9,1,AG27)+(1-'Lease Cycles'!$BE$9)*IF(AG28&lt;INDEX('Lease Cycles'!$FA$9:$FG$9,1,AG27),0,1-INDEX('Lease Cycles'!$EM$9:$ES$9,1,AG27)),IF(OR(INDEX('Lease Cycles'!$DY$9:$EE$9,1,AG27)=1,AG28&gt;0),1,1-INDEX('Lease Cycles'!$DD$9:$DJ$9,1,AG27))*((1-'Lease Cycles'!$AJ$9)*INDEX('Lease Cycles'!$FO$9:$FU$9,1,AG27)+(1-'Lease Cycles'!$BE$9)*(1-INDEX('Lease Cycles'!$FO$9:$FU$9,1,AG27)))),0)</f>
        <v>0.1507537688442211</v>
      </c>
      <c r="AH35" s="24">
        <f>IF(AH29=1,'Lease Cycles'!$D$9*IF(INDEX('Lease Cycles'!$EF$9:$EL$9,1,AH27)=1,(1-'Lease Cycles'!$AJ$9)*INDEX('Lease Cycles'!$EM$9:$ES$9,1,AH27)+(1-'Lease Cycles'!$BE$9)*IF(AH28&lt;INDEX('Lease Cycles'!$FA$9:$FG$9,1,AH27),0,1-INDEX('Lease Cycles'!$EM$9:$ES$9,1,AH27)),IF(OR(INDEX('Lease Cycles'!$DY$9:$EE$9,1,AH27)=1,AH28&gt;0),1,1-INDEX('Lease Cycles'!$DD$9:$DJ$9,1,AH27))*((1-'Lease Cycles'!$AJ$9)*INDEX('Lease Cycles'!$FO$9:$FU$9,1,AH27)+(1-'Lease Cycles'!$BE$9)*(1-INDEX('Lease Cycles'!$FO$9:$FU$9,1,AH27)))),0)</f>
        <v>0.1507537688442211</v>
      </c>
      <c r="AI35" s="24">
        <f>IF(AI29=1,'Lease Cycles'!$D$9*IF(INDEX('Lease Cycles'!$EF$9:$EL$9,1,AI27)=1,(1-'Lease Cycles'!$AJ$9)*INDEX('Lease Cycles'!$EM$9:$ES$9,1,AI27)+(1-'Lease Cycles'!$BE$9)*IF(AI28&lt;INDEX('Lease Cycles'!$FA$9:$FG$9,1,AI27),0,1-INDEX('Lease Cycles'!$EM$9:$ES$9,1,AI27)),IF(OR(INDEX('Lease Cycles'!$DY$9:$EE$9,1,AI27)=1,AI28&gt;0),1,1-INDEX('Lease Cycles'!$DD$9:$DJ$9,1,AI27))*((1-'Lease Cycles'!$AJ$9)*INDEX('Lease Cycles'!$FO$9:$FU$9,1,AI27)+(1-'Lease Cycles'!$BE$9)*(1-INDEX('Lease Cycles'!$FO$9:$FU$9,1,AI27)))),0)</f>
        <v>0.1507537688442211</v>
      </c>
      <c r="AJ35" s="24">
        <f>IF(AJ29=1,'Lease Cycles'!$D$9*IF(INDEX('Lease Cycles'!$EF$9:$EL$9,1,AJ27)=1,(1-'Lease Cycles'!$AJ$9)*INDEX('Lease Cycles'!$EM$9:$ES$9,1,AJ27)+(1-'Lease Cycles'!$BE$9)*IF(AJ28&lt;INDEX('Lease Cycles'!$FA$9:$FG$9,1,AJ27),0,1-INDEX('Lease Cycles'!$EM$9:$ES$9,1,AJ27)),IF(OR(INDEX('Lease Cycles'!$DY$9:$EE$9,1,AJ27)=1,AJ28&gt;0),1,1-INDEX('Lease Cycles'!$DD$9:$DJ$9,1,AJ27))*((1-'Lease Cycles'!$AJ$9)*INDEX('Lease Cycles'!$FO$9:$FU$9,1,AJ27)+(1-'Lease Cycles'!$BE$9)*(1-INDEX('Lease Cycles'!$FO$9:$FU$9,1,AJ27)))),0)</f>
        <v>0.1507537688442211</v>
      </c>
      <c r="AK35" s="24">
        <f>IF(AK29=1,'Lease Cycles'!$D$9*IF(INDEX('Lease Cycles'!$EF$9:$EL$9,1,AK27)=1,(1-'Lease Cycles'!$AJ$9)*INDEX('Lease Cycles'!$EM$9:$ES$9,1,AK27)+(1-'Lease Cycles'!$BE$9)*IF(AK28&lt;INDEX('Lease Cycles'!$FA$9:$FG$9,1,AK27),0,1-INDEX('Lease Cycles'!$EM$9:$ES$9,1,AK27)),IF(OR(INDEX('Lease Cycles'!$DY$9:$EE$9,1,AK27)=1,AK28&gt;0),1,1-INDEX('Lease Cycles'!$DD$9:$DJ$9,1,AK27))*((1-'Lease Cycles'!$AJ$9)*INDEX('Lease Cycles'!$FO$9:$FU$9,1,AK27)+(1-'Lease Cycles'!$BE$9)*(1-INDEX('Lease Cycles'!$FO$9:$FU$9,1,AK27)))),0)</f>
        <v>0.1507537688442211</v>
      </c>
      <c r="AL35" s="24">
        <f>IF(AL29=1,'Lease Cycles'!$D$9*IF(INDEX('Lease Cycles'!$EF$9:$EL$9,1,AL27)=1,(1-'Lease Cycles'!$AJ$9)*INDEX('Lease Cycles'!$EM$9:$ES$9,1,AL27)+(1-'Lease Cycles'!$BE$9)*IF(AL28&lt;INDEX('Lease Cycles'!$FA$9:$FG$9,1,AL27),0,1-INDEX('Lease Cycles'!$EM$9:$ES$9,1,AL27)),IF(OR(INDEX('Lease Cycles'!$DY$9:$EE$9,1,AL27)=1,AL28&gt;0),1,1-INDEX('Lease Cycles'!$DD$9:$DJ$9,1,AL27))*((1-'Lease Cycles'!$AJ$9)*INDEX('Lease Cycles'!$FO$9:$FU$9,1,AL27)+(1-'Lease Cycles'!$BE$9)*(1-INDEX('Lease Cycles'!$FO$9:$FU$9,1,AL27)))),0)</f>
        <v>0.1507537688442211</v>
      </c>
      <c r="AM35" s="24">
        <f>IF(AM29=1,'Lease Cycles'!$D$9*IF(INDEX('Lease Cycles'!$EF$9:$EL$9,1,AM27)=1,(1-'Lease Cycles'!$AJ$9)*INDEX('Lease Cycles'!$EM$9:$ES$9,1,AM27)+(1-'Lease Cycles'!$BE$9)*IF(AM28&lt;INDEX('Lease Cycles'!$FA$9:$FG$9,1,AM27),0,1-INDEX('Lease Cycles'!$EM$9:$ES$9,1,AM27)),IF(OR(INDEX('Lease Cycles'!$DY$9:$EE$9,1,AM27)=1,AM28&gt;0),1,1-INDEX('Lease Cycles'!$DD$9:$DJ$9,1,AM27))*((1-'Lease Cycles'!$AJ$9)*INDEX('Lease Cycles'!$FO$9:$FU$9,1,AM27)+(1-'Lease Cycles'!$BE$9)*(1-INDEX('Lease Cycles'!$FO$9:$FU$9,1,AM27)))),0)</f>
        <v>0.1507537688442211</v>
      </c>
      <c r="AN35" s="24">
        <f>IF(AN29=1,'Lease Cycles'!$D$9*IF(INDEX('Lease Cycles'!$EF$9:$EL$9,1,AN27)=1,(1-'Lease Cycles'!$AJ$9)*INDEX('Lease Cycles'!$EM$9:$ES$9,1,AN27)+(1-'Lease Cycles'!$BE$9)*IF(AN28&lt;INDEX('Lease Cycles'!$FA$9:$FG$9,1,AN27),0,1-INDEX('Lease Cycles'!$EM$9:$ES$9,1,AN27)),IF(OR(INDEX('Lease Cycles'!$DY$9:$EE$9,1,AN27)=1,AN28&gt;0),1,1-INDEX('Lease Cycles'!$DD$9:$DJ$9,1,AN27))*((1-'Lease Cycles'!$AJ$9)*INDEX('Lease Cycles'!$FO$9:$FU$9,1,AN27)+(1-'Lease Cycles'!$BE$9)*(1-INDEX('Lease Cycles'!$FO$9:$FU$9,1,AN27)))),0)</f>
        <v>0.1507537688442211</v>
      </c>
      <c r="AO35" s="24">
        <f>IF(AO29=1,'Lease Cycles'!$D$9*IF(INDEX('Lease Cycles'!$EF$9:$EL$9,1,AO27)=1,(1-'Lease Cycles'!$AJ$9)*INDEX('Lease Cycles'!$EM$9:$ES$9,1,AO27)+(1-'Lease Cycles'!$BE$9)*IF(AO28&lt;INDEX('Lease Cycles'!$FA$9:$FG$9,1,AO27),0,1-INDEX('Lease Cycles'!$EM$9:$ES$9,1,AO27)),IF(OR(INDEX('Lease Cycles'!$DY$9:$EE$9,1,AO27)=1,AO28&gt;0),1,1-INDEX('Lease Cycles'!$DD$9:$DJ$9,1,AO27))*((1-'Lease Cycles'!$AJ$9)*INDEX('Lease Cycles'!$FO$9:$FU$9,1,AO27)+(1-'Lease Cycles'!$BE$9)*(1-INDEX('Lease Cycles'!$FO$9:$FU$9,1,AO27)))),0)</f>
        <v>0.1507537688442211</v>
      </c>
      <c r="AP35" s="24">
        <f>IF(AP29=1,'Lease Cycles'!$D$9*IF(INDEX('Lease Cycles'!$EF$9:$EL$9,1,AP27)=1,(1-'Lease Cycles'!$AJ$9)*INDEX('Lease Cycles'!$EM$9:$ES$9,1,AP27)+(1-'Lease Cycles'!$BE$9)*IF(AP28&lt;INDEX('Lease Cycles'!$FA$9:$FG$9,1,AP27),0,1-INDEX('Lease Cycles'!$EM$9:$ES$9,1,AP27)),IF(OR(INDEX('Lease Cycles'!$DY$9:$EE$9,1,AP27)=1,AP28&gt;0),1,1-INDEX('Lease Cycles'!$DD$9:$DJ$9,1,AP27))*((1-'Lease Cycles'!$AJ$9)*INDEX('Lease Cycles'!$FO$9:$FU$9,1,AP27)+(1-'Lease Cycles'!$BE$9)*(1-INDEX('Lease Cycles'!$FO$9:$FU$9,1,AP27)))),0)</f>
        <v>0.1507537688442211</v>
      </c>
      <c r="AQ35" s="24">
        <f>IF(AQ29=1,'Lease Cycles'!$D$9*IF(INDEX('Lease Cycles'!$EF$9:$EL$9,1,AQ27)=1,(1-'Lease Cycles'!$AJ$9)*INDEX('Lease Cycles'!$EM$9:$ES$9,1,AQ27)+(1-'Lease Cycles'!$BE$9)*IF(AQ28&lt;INDEX('Lease Cycles'!$FA$9:$FG$9,1,AQ27),0,1-INDEX('Lease Cycles'!$EM$9:$ES$9,1,AQ27)),IF(OR(INDEX('Lease Cycles'!$DY$9:$EE$9,1,AQ27)=1,AQ28&gt;0),1,1-INDEX('Lease Cycles'!$DD$9:$DJ$9,1,AQ27))*((1-'Lease Cycles'!$AJ$9)*INDEX('Lease Cycles'!$FO$9:$FU$9,1,AQ27)+(1-'Lease Cycles'!$BE$9)*(1-INDEX('Lease Cycles'!$FO$9:$FU$9,1,AQ27)))),0)</f>
        <v>0.1507537688442211</v>
      </c>
      <c r="AR35" s="24">
        <f>IF(AR29=1,'Lease Cycles'!$D$9*IF(INDEX('Lease Cycles'!$EF$9:$EL$9,1,AR27)=1,(1-'Lease Cycles'!$AJ$9)*INDEX('Lease Cycles'!$EM$9:$ES$9,1,AR27)+(1-'Lease Cycles'!$BE$9)*IF(AR28&lt;INDEX('Lease Cycles'!$FA$9:$FG$9,1,AR27),0,1-INDEX('Lease Cycles'!$EM$9:$ES$9,1,AR27)),IF(OR(INDEX('Lease Cycles'!$DY$9:$EE$9,1,AR27)=1,AR28&gt;0),1,1-INDEX('Lease Cycles'!$DD$9:$DJ$9,1,AR27))*((1-'Lease Cycles'!$AJ$9)*INDEX('Lease Cycles'!$FO$9:$FU$9,1,AR27)+(1-'Lease Cycles'!$BE$9)*(1-INDEX('Lease Cycles'!$FO$9:$FU$9,1,AR27)))),0)</f>
        <v>0.1507537688442211</v>
      </c>
      <c r="AS35" s="24">
        <f>IF(AS29=1,'Lease Cycles'!$D$9*IF(INDEX('Lease Cycles'!$EF$9:$EL$9,1,AS27)=1,(1-'Lease Cycles'!$AJ$9)*INDEX('Lease Cycles'!$EM$9:$ES$9,1,AS27)+(1-'Lease Cycles'!$BE$9)*IF(AS28&lt;INDEX('Lease Cycles'!$FA$9:$FG$9,1,AS27),0,1-INDEX('Lease Cycles'!$EM$9:$ES$9,1,AS27)),IF(OR(INDEX('Lease Cycles'!$DY$9:$EE$9,1,AS27)=1,AS28&gt;0),1,1-INDEX('Lease Cycles'!$DD$9:$DJ$9,1,AS27))*((1-'Lease Cycles'!$AJ$9)*INDEX('Lease Cycles'!$FO$9:$FU$9,1,AS27)+(1-'Lease Cycles'!$BE$9)*(1-INDEX('Lease Cycles'!$FO$9:$FU$9,1,AS27)))),0)</f>
        <v>0.1507537688442211</v>
      </c>
      <c r="AT35" s="24">
        <f>IF(AT29=1,'Lease Cycles'!$D$9*IF(INDEX('Lease Cycles'!$EF$9:$EL$9,1,AT27)=1,(1-'Lease Cycles'!$AJ$9)*INDEX('Lease Cycles'!$EM$9:$ES$9,1,AT27)+(1-'Lease Cycles'!$BE$9)*IF(AT28&lt;INDEX('Lease Cycles'!$FA$9:$FG$9,1,AT27),0,1-INDEX('Lease Cycles'!$EM$9:$ES$9,1,AT27)),IF(OR(INDEX('Lease Cycles'!$DY$9:$EE$9,1,AT27)=1,AT28&gt;0),1,1-INDEX('Lease Cycles'!$DD$9:$DJ$9,1,AT27))*((1-'Lease Cycles'!$AJ$9)*INDEX('Lease Cycles'!$FO$9:$FU$9,1,AT27)+(1-'Lease Cycles'!$BE$9)*(1-INDEX('Lease Cycles'!$FO$9:$FU$9,1,AT27)))),0)</f>
        <v>0.1507537688442211</v>
      </c>
      <c r="AU35" s="24">
        <f>IF(AU29=1,'Lease Cycles'!$D$9*IF(INDEX('Lease Cycles'!$EF$9:$EL$9,1,AU27)=1,(1-'Lease Cycles'!$AJ$9)*INDEX('Lease Cycles'!$EM$9:$ES$9,1,AU27)+(1-'Lease Cycles'!$BE$9)*IF(AU28&lt;INDEX('Lease Cycles'!$FA$9:$FG$9,1,AU27),0,1-INDEX('Lease Cycles'!$EM$9:$ES$9,1,AU27)),IF(OR(INDEX('Lease Cycles'!$DY$9:$EE$9,1,AU27)=1,AU28&gt;0),1,1-INDEX('Lease Cycles'!$DD$9:$DJ$9,1,AU27))*((1-'Lease Cycles'!$AJ$9)*INDEX('Lease Cycles'!$FO$9:$FU$9,1,AU27)+(1-'Lease Cycles'!$BE$9)*(1-INDEX('Lease Cycles'!$FO$9:$FU$9,1,AU27)))),0)</f>
        <v>0.1507537688442211</v>
      </c>
      <c r="AV35" s="24">
        <f>IF(AV29=1,'Lease Cycles'!$D$9*IF(INDEX('Lease Cycles'!$EF$9:$EL$9,1,AV27)=1,(1-'Lease Cycles'!$AJ$9)*INDEX('Lease Cycles'!$EM$9:$ES$9,1,AV27)+(1-'Lease Cycles'!$BE$9)*IF(AV28&lt;INDEX('Lease Cycles'!$FA$9:$FG$9,1,AV27),0,1-INDEX('Lease Cycles'!$EM$9:$ES$9,1,AV27)),IF(OR(INDEX('Lease Cycles'!$DY$9:$EE$9,1,AV27)=1,AV28&gt;0),1,1-INDEX('Lease Cycles'!$DD$9:$DJ$9,1,AV27))*((1-'Lease Cycles'!$AJ$9)*INDEX('Lease Cycles'!$FO$9:$FU$9,1,AV27)+(1-'Lease Cycles'!$BE$9)*(1-INDEX('Lease Cycles'!$FO$9:$FU$9,1,AV27)))),0)</f>
        <v>0.1507537688442211</v>
      </c>
      <c r="AW35" s="24">
        <f>IF(AW29=1,'Lease Cycles'!$D$9*IF(INDEX('Lease Cycles'!$EF$9:$EL$9,1,AW27)=1,(1-'Lease Cycles'!$AJ$9)*INDEX('Lease Cycles'!$EM$9:$ES$9,1,AW27)+(1-'Lease Cycles'!$BE$9)*IF(AW28&lt;INDEX('Lease Cycles'!$FA$9:$FG$9,1,AW27),0,1-INDEX('Lease Cycles'!$EM$9:$ES$9,1,AW27)),IF(OR(INDEX('Lease Cycles'!$DY$9:$EE$9,1,AW27)=1,AW28&gt;0),1,1-INDEX('Lease Cycles'!$DD$9:$DJ$9,1,AW27))*((1-'Lease Cycles'!$AJ$9)*INDEX('Lease Cycles'!$FO$9:$FU$9,1,AW27)+(1-'Lease Cycles'!$BE$9)*(1-INDEX('Lease Cycles'!$FO$9:$FU$9,1,AW27)))),0)</f>
        <v>0.1507537688442211</v>
      </c>
      <c r="AX35" s="24">
        <f>IF(AX29=1,'Lease Cycles'!$D$9*IF(INDEX('Lease Cycles'!$EF$9:$EL$9,1,AX27)=1,(1-'Lease Cycles'!$AJ$9)*INDEX('Lease Cycles'!$EM$9:$ES$9,1,AX27)+(1-'Lease Cycles'!$BE$9)*IF(AX28&lt;INDEX('Lease Cycles'!$FA$9:$FG$9,1,AX27),0,1-INDEX('Lease Cycles'!$EM$9:$ES$9,1,AX27)),IF(OR(INDEX('Lease Cycles'!$DY$9:$EE$9,1,AX27)=1,AX28&gt;0),1,1-INDEX('Lease Cycles'!$DD$9:$DJ$9,1,AX27))*((1-'Lease Cycles'!$AJ$9)*INDEX('Lease Cycles'!$FO$9:$FU$9,1,AX27)+(1-'Lease Cycles'!$BE$9)*(1-INDEX('Lease Cycles'!$FO$9:$FU$9,1,AX27)))),0)</f>
        <v>0.1507537688442211</v>
      </c>
      <c r="AY35" s="24">
        <f>IF(AY29=1,'Lease Cycles'!$D$9*IF(INDEX('Lease Cycles'!$EF$9:$EL$9,1,AY27)=1,(1-'Lease Cycles'!$AJ$9)*INDEX('Lease Cycles'!$EM$9:$ES$9,1,AY27)+(1-'Lease Cycles'!$BE$9)*IF(AY28&lt;INDEX('Lease Cycles'!$FA$9:$FG$9,1,AY27),0,1-INDEX('Lease Cycles'!$EM$9:$ES$9,1,AY27)),IF(OR(INDEX('Lease Cycles'!$DY$9:$EE$9,1,AY27)=1,AY28&gt;0),1,1-INDEX('Lease Cycles'!$DD$9:$DJ$9,1,AY27))*((1-'Lease Cycles'!$AJ$9)*INDEX('Lease Cycles'!$FO$9:$FU$9,1,AY27)+(1-'Lease Cycles'!$BE$9)*(1-INDEX('Lease Cycles'!$FO$9:$FU$9,1,AY27)))),0)</f>
        <v>0.1507537688442211</v>
      </c>
      <c r="AZ35" s="24">
        <f>IF(AZ29=1,'Lease Cycles'!$D$9*IF(INDEX('Lease Cycles'!$EF$9:$EL$9,1,AZ27)=1,(1-'Lease Cycles'!$AJ$9)*INDEX('Lease Cycles'!$EM$9:$ES$9,1,AZ27)+(1-'Lease Cycles'!$BE$9)*IF(AZ28&lt;INDEX('Lease Cycles'!$FA$9:$FG$9,1,AZ27),0,1-INDEX('Lease Cycles'!$EM$9:$ES$9,1,AZ27)),IF(OR(INDEX('Lease Cycles'!$DY$9:$EE$9,1,AZ27)=1,AZ28&gt;0),1,1-INDEX('Lease Cycles'!$DD$9:$DJ$9,1,AZ27))*((1-'Lease Cycles'!$AJ$9)*INDEX('Lease Cycles'!$FO$9:$FU$9,1,AZ27)+(1-'Lease Cycles'!$BE$9)*(1-INDEX('Lease Cycles'!$FO$9:$FU$9,1,AZ27)))),0)</f>
        <v>0.1507537688442211</v>
      </c>
      <c r="BA35" s="24">
        <f>IF(BA29=1,'Lease Cycles'!$D$9*IF(INDEX('Lease Cycles'!$EF$9:$EL$9,1,BA27)=1,(1-'Lease Cycles'!$AJ$9)*INDEX('Lease Cycles'!$EM$9:$ES$9,1,BA27)+(1-'Lease Cycles'!$BE$9)*IF(BA28&lt;INDEX('Lease Cycles'!$FA$9:$FG$9,1,BA27),0,1-INDEX('Lease Cycles'!$EM$9:$ES$9,1,BA27)),IF(OR(INDEX('Lease Cycles'!$DY$9:$EE$9,1,BA27)=1,BA28&gt;0),1,1-INDEX('Lease Cycles'!$DD$9:$DJ$9,1,BA27))*((1-'Lease Cycles'!$AJ$9)*INDEX('Lease Cycles'!$FO$9:$FU$9,1,BA27)+(1-'Lease Cycles'!$BE$9)*(1-INDEX('Lease Cycles'!$FO$9:$FU$9,1,BA27)))),0)</f>
        <v>0.1507537688442211</v>
      </c>
      <c r="BB35" s="24">
        <f>IF(BB29=1,'Lease Cycles'!$D$9*IF(INDEX('Lease Cycles'!$EF$9:$EL$9,1,BB27)=1,(1-'Lease Cycles'!$AJ$9)*INDEX('Lease Cycles'!$EM$9:$ES$9,1,BB27)+(1-'Lease Cycles'!$BE$9)*IF(BB28&lt;INDEX('Lease Cycles'!$FA$9:$FG$9,1,BB27),0,1-INDEX('Lease Cycles'!$EM$9:$ES$9,1,BB27)),IF(OR(INDEX('Lease Cycles'!$DY$9:$EE$9,1,BB27)=1,BB28&gt;0),1,1-INDEX('Lease Cycles'!$DD$9:$DJ$9,1,BB27))*((1-'Lease Cycles'!$AJ$9)*INDEX('Lease Cycles'!$FO$9:$FU$9,1,BB27)+(1-'Lease Cycles'!$BE$9)*(1-INDEX('Lease Cycles'!$FO$9:$FU$9,1,BB27)))),0)</f>
        <v>0.1507537688442211</v>
      </c>
      <c r="BC35" s="24">
        <f>IF(BC29=1,'Lease Cycles'!$D$9*IF(INDEX('Lease Cycles'!$EF$9:$EL$9,1,BC27)=1,(1-'Lease Cycles'!$AJ$9)*INDEX('Lease Cycles'!$EM$9:$ES$9,1,BC27)+(1-'Lease Cycles'!$BE$9)*IF(BC28&lt;INDEX('Lease Cycles'!$FA$9:$FG$9,1,BC27),0,1-INDEX('Lease Cycles'!$EM$9:$ES$9,1,BC27)),IF(OR(INDEX('Lease Cycles'!$DY$9:$EE$9,1,BC27)=1,BC28&gt;0),1,1-INDEX('Lease Cycles'!$DD$9:$DJ$9,1,BC27))*((1-'Lease Cycles'!$AJ$9)*INDEX('Lease Cycles'!$FO$9:$FU$9,1,BC27)+(1-'Lease Cycles'!$BE$9)*(1-INDEX('Lease Cycles'!$FO$9:$FU$9,1,BC27)))),0)</f>
        <v>0.1507537688442211</v>
      </c>
      <c r="BD35" s="24">
        <f>IF(BD29=1,'Lease Cycles'!$D$9*IF(INDEX('Lease Cycles'!$EF$9:$EL$9,1,BD27)=1,(1-'Lease Cycles'!$AJ$9)*INDEX('Lease Cycles'!$EM$9:$ES$9,1,BD27)+(1-'Lease Cycles'!$BE$9)*IF(BD28&lt;INDEX('Lease Cycles'!$FA$9:$FG$9,1,BD27),0,1-INDEX('Lease Cycles'!$EM$9:$ES$9,1,BD27)),IF(OR(INDEX('Lease Cycles'!$DY$9:$EE$9,1,BD27)=1,BD28&gt;0),1,1-INDEX('Lease Cycles'!$DD$9:$DJ$9,1,BD27))*((1-'Lease Cycles'!$AJ$9)*INDEX('Lease Cycles'!$FO$9:$FU$9,1,BD27)+(1-'Lease Cycles'!$BE$9)*(1-INDEX('Lease Cycles'!$FO$9:$FU$9,1,BD27)))),0)</f>
        <v>0.1507537688442211</v>
      </c>
      <c r="BE35" s="24">
        <f>IF(BE29=1,'Lease Cycles'!$D$9*IF(INDEX('Lease Cycles'!$EF$9:$EL$9,1,BE27)=1,(1-'Lease Cycles'!$AJ$9)*INDEX('Lease Cycles'!$EM$9:$ES$9,1,BE27)+(1-'Lease Cycles'!$BE$9)*IF(BE28&lt;INDEX('Lease Cycles'!$FA$9:$FG$9,1,BE27),0,1-INDEX('Lease Cycles'!$EM$9:$ES$9,1,BE27)),IF(OR(INDEX('Lease Cycles'!$DY$9:$EE$9,1,BE27)=1,BE28&gt;0),1,1-INDEX('Lease Cycles'!$DD$9:$DJ$9,1,BE27))*((1-'Lease Cycles'!$AJ$9)*INDEX('Lease Cycles'!$FO$9:$FU$9,1,BE27)+(1-'Lease Cycles'!$BE$9)*(1-INDEX('Lease Cycles'!$FO$9:$FU$9,1,BE27)))),0)</f>
        <v>0.1507537688442211</v>
      </c>
      <c r="BF35" s="24">
        <f>IF(BF29=1,'Lease Cycles'!$D$9*IF(INDEX('Lease Cycles'!$EF$9:$EL$9,1,BF27)=1,(1-'Lease Cycles'!$AJ$9)*INDEX('Lease Cycles'!$EM$9:$ES$9,1,BF27)+(1-'Lease Cycles'!$BE$9)*IF(BF28&lt;INDEX('Lease Cycles'!$FA$9:$FG$9,1,BF27),0,1-INDEX('Lease Cycles'!$EM$9:$ES$9,1,BF27)),IF(OR(INDEX('Lease Cycles'!$DY$9:$EE$9,1,BF27)=1,BF28&gt;0),1,1-INDEX('Lease Cycles'!$DD$9:$DJ$9,1,BF27))*((1-'Lease Cycles'!$AJ$9)*INDEX('Lease Cycles'!$FO$9:$FU$9,1,BF27)+(1-'Lease Cycles'!$BE$9)*(1-INDEX('Lease Cycles'!$FO$9:$FU$9,1,BF27)))),0)</f>
        <v>0.1507537688442211</v>
      </c>
      <c r="BG35" s="24">
        <f>IF(BG29=1,'Lease Cycles'!$D$9*IF(INDEX('Lease Cycles'!$EF$9:$EL$9,1,BG27)=1,(1-'Lease Cycles'!$AJ$9)*INDEX('Lease Cycles'!$EM$9:$ES$9,1,BG27)+(1-'Lease Cycles'!$BE$9)*IF(BG28&lt;INDEX('Lease Cycles'!$FA$9:$FG$9,1,BG27),0,1-INDEX('Lease Cycles'!$EM$9:$ES$9,1,BG27)),IF(OR(INDEX('Lease Cycles'!$DY$9:$EE$9,1,BG27)=1,BG28&gt;0),1,1-INDEX('Lease Cycles'!$DD$9:$DJ$9,1,BG27))*((1-'Lease Cycles'!$AJ$9)*INDEX('Lease Cycles'!$FO$9:$FU$9,1,BG27)+(1-'Lease Cycles'!$BE$9)*(1-INDEX('Lease Cycles'!$FO$9:$FU$9,1,BG27)))),0)</f>
        <v>0.1507537688442211</v>
      </c>
      <c r="BH35" s="24">
        <f>IF(BH29=1,'Lease Cycles'!$D$9*IF(INDEX('Lease Cycles'!$EF$9:$EL$9,1,BH27)=1,(1-'Lease Cycles'!$AJ$9)*INDEX('Lease Cycles'!$EM$9:$ES$9,1,BH27)+(1-'Lease Cycles'!$BE$9)*IF(BH28&lt;INDEX('Lease Cycles'!$FA$9:$FG$9,1,BH27),0,1-INDEX('Lease Cycles'!$EM$9:$ES$9,1,BH27)),IF(OR(INDEX('Lease Cycles'!$DY$9:$EE$9,1,BH27)=1,BH28&gt;0),1,1-INDEX('Lease Cycles'!$DD$9:$DJ$9,1,BH27))*((1-'Lease Cycles'!$AJ$9)*INDEX('Lease Cycles'!$FO$9:$FU$9,1,BH27)+(1-'Lease Cycles'!$BE$9)*(1-INDEX('Lease Cycles'!$FO$9:$FU$9,1,BH27)))),0)</f>
        <v>0.1507537688442211</v>
      </c>
      <c r="BI35" s="24">
        <f>IF(BI29=1,'Lease Cycles'!$D$9*IF(INDEX('Lease Cycles'!$EF$9:$EL$9,1,BI27)=1,(1-'Lease Cycles'!$AJ$9)*INDEX('Lease Cycles'!$EM$9:$ES$9,1,BI27)+(1-'Lease Cycles'!$BE$9)*IF(BI28&lt;INDEX('Lease Cycles'!$FA$9:$FG$9,1,BI27),0,1-INDEX('Lease Cycles'!$EM$9:$ES$9,1,BI27)),IF(OR(INDEX('Lease Cycles'!$DY$9:$EE$9,1,BI27)=1,BI28&gt;0),1,1-INDEX('Lease Cycles'!$DD$9:$DJ$9,1,BI27))*((1-'Lease Cycles'!$AJ$9)*INDEX('Lease Cycles'!$FO$9:$FU$9,1,BI27)+(1-'Lease Cycles'!$BE$9)*(1-INDEX('Lease Cycles'!$FO$9:$FU$9,1,BI27)))),0)</f>
        <v>0.1507537688442211</v>
      </c>
      <c r="BJ35" s="24">
        <f>IF(BJ29=1,'Lease Cycles'!$D$9*IF(INDEX('Lease Cycles'!$EF$9:$EL$9,1,BJ27)=1,(1-'Lease Cycles'!$AJ$9)*INDEX('Lease Cycles'!$EM$9:$ES$9,1,BJ27)+(1-'Lease Cycles'!$BE$9)*IF(BJ28&lt;INDEX('Lease Cycles'!$FA$9:$FG$9,1,BJ27),0,1-INDEX('Lease Cycles'!$EM$9:$ES$9,1,BJ27)),IF(OR(INDEX('Lease Cycles'!$DY$9:$EE$9,1,BJ27)=1,BJ28&gt;0),1,1-INDEX('Lease Cycles'!$DD$9:$DJ$9,1,BJ27))*((1-'Lease Cycles'!$AJ$9)*INDEX('Lease Cycles'!$FO$9:$FU$9,1,BJ27)+(1-'Lease Cycles'!$BE$9)*(1-INDEX('Lease Cycles'!$FO$9:$FU$9,1,BJ27)))),0)</f>
        <v>0.1507537688442211</v>
      </c>
      <c r="BK35" s="24">
        <f>IF(BK29=1,'Lease Cycles'!$D$9*IF(INDEX('Lease Cycles'!$EF$9:$EL$9,1,BK27)=1,(1-'Lease Cycles'!$AJ$9)*INDEX('Lease Cycles'!$EM$9:$ES$9,1,BK27)+(1-'Lease Cycles'!$BE$9)*IF(BK28&lt;INDEX('Lease Cycles'!$FA$9:$FG$9,1,BK27),0,1-INDEX('Lease Cycles'!$EM$9:$ES$9,1,BK27)),IF(OR(INDEX('Lease Cycles'!$DY$9:$EE$9,1,BK27)=1,BK28&gt;0),1,1-INDEX('Lease Cycles'!$DD$9:$DJ$9,1,BK27))*((1-'Lease Cycles'!$AJ$9)*INDEX('Lease Cycles'!$FO$9:$FU$9,1,BK27)+(1-'Lease Cycles'!$BE$9)*(1-INDEX('Lease Cycles'!$FO$9:$FU$9,1,BK27)))),0)</f>
        <v>0.1507537688442211</v>
      </c>
      <c r="BL35" s="24">
        <f>IF(BL29=1,'Lease Cycles'!$D$9*IF(INDEX('Lease Cycles'!$EF$9:$EL$9,1,BL27)=1,(1-'Lease Cycles'!$AJ$9)*INDEX('Lease Cycles'!$EM$9:$ES$9,1,BL27)+(1-'Lease Cycles'!$BE$9)*IF(BL28&lt;INDEX('Lease Cycles'!$FA$9:$FG$9,1,BL27),0,1-INDEX('Lease Cycles'!$EM$9:$ES$9,1,BL27)),IF(OR(INDEX('Lease Cycles'!$DY$9:$EE$9,1,BL27)=1,BL28&gt;0),1,1-INDEX('Lease Cycles'!$DD$9:$DJ$9,1,BL27))*((1-'Lease Cycles'!$AJ$9)*INDEX('Lease Cycles'!$FO$9:$FU$9,1,BL27)+(1-'Lease Cycles'!$BE$9)*(1-INDEX('Lease Cycles'!$FO$9:$FU$9,1,BL27)))),0)</f>
        <v>0.1507537688442211</v>
      </c>
      <c r="BM35" s="24">
        <f>IF(BM29=1,'Lease Cycles'!$D$9*IF(INDEX('Lease Cycles'!$EF$9:$EL$9,1,BM27)=1,(1-'Lease Cycles'!$AJ$9)*INDEX('Lease Cycles'!$EM$9:$ES$9,1,BM27)+(1-'Lease Cycles'!$BE$9)*IF(BM28&lt;INDEX('Lease Cycles'!$FA$9:$FG$9,1,BM27),0,1-INDEX('Lease Cycles'!$EM$9:$ES$9,1,BM27)),IF(OR(INDEX('Lease Cycles'!$DY$9:$EE$9,1,BM27)=1,BM28&gt;0),1,1-INDEX('Lease Cycles'!$DD$9:$DJ$9,1,BM27))*((1-'Lease Cycles'!$AJ$9)*INDEX('Lease Cycles'!$FO$9:$FU$9,1,BM27)+(1-'Lease Cycles'!$BE$9)*(1-INDEX('Lease Cycles'!$FO$9:$FU$9,1,BM27)))),0)</f>
        <v>0.1507537688442211</v>
      </c>
      <c r="BN35" s="24">
        <f>IF(BN29=1,'Lease Cycles'!$D$9*IF(INDEX('Lease Cycles'!$EF$9:$EL$9,1,BN27)=1,(1-'Lease Cycles'!$AJ$9)*INDEX('Lease Cycles'!$EM$9:$ES$9,1,BN27)+(1-'Lease Cycles'!$BE$9)*IF(BN28&lt;INDEX('Lease Cycles'!$FA$9:$FG$9,1,BN27),0,1-INDEX('Lease Cycles'!$EM$9:$ES$9,1,BN27)),IF(OR(INDEX('Lease Cycles'!$DY$9:$EE$9,1,BN27)=1,BN28&gt;0),1,1-INDEX('Lease Cycles'!$DD$9:$DJ$9,1,BN27))*((1-'Lease Cycles'!$AJ$9)*INDEX('Lease Cycles'!$FO$9:$FU$9,1,BN27)+(1-'Lease Cycles'!$BE$9)*(1-INDEX('Lease Cycles'!$FO$9:$FU$9,1,BN27)))),0)</f>
        <v>0.1507537688442211</v>
      </c>
      <c r="BO35" s="24">
        <f>IF(BO29=1,'Lease Cycles'!$D$9*IF(INDEX('Lease Cycles'!$EF$9:$EL$9,1,BO27)=1,(1-'Lease Cycles'!$AJ$9)*INDEX('Lease Cycles'!$EM$9:$ES$9,1,BO27)+(1-'Lease Cycles'!$BE$9)*IF(BO28&lt;INDEX('Lease Cycles'!$FA$9:$FG$9,1,BO27),0,1-INDEX('Lease Cycles'!$EM$9:$ES$9,1,BO27)),IF(OR(INDEX('Lease Cycles'!$DY$9:$EE$9,1,BO27)=1,BO28&gt;0),1,1-INDEX('Lease Cycles'!$DD$9:$DJ$9,1,BO27))*((1-'Lease Cycles'!$AJ$9)*INDEX('Lease Cycles'!$FO$9:$FU$9,1,BO27)+(1-'Lease Cycles'!$BE$9)*(1-INDEX('Lease Cycles'!$FO$9:$FU$9,1,BO27)))),0)</f>
        <v>0.1507537688442211</v>
      </c>
      <c r="BP35" s="24">
        <f>IF(BP29=1,'Lease Cycles'!$D$9*IF(INDEX('Lease Cycles'!$EF$9:$EL$9,1,BP27)=1,(1-'Lease Cycles'!$AJ$9)*INDEX('Lease Cycles'!$EM$9:$ES$9,1,BP27)+(1-'Lease Cycles'!$BE$9)*IF(BP28&lt;INDEX('Lease Cycles'!$FA$9:$FG$9,1,BP27),0,1-INDEX('Lease Cycles'!$EM$9:$ES$9,1,BP27)),IF(OR(INDEX('Lease Cycles'!$DY$9:$EE$9,1,BP27)=1,BP28&gt;0),1,1-INDEX('Lease Cycles'!$DD$9:$DJ$9,1,BP27))*((1-'Lease Cycles'!$AJ$9)*INDEX('Lease Cycles'!$FO$9:$FU$9,1,BP27)+(1-'Lease Cycles'!$BE$9)*(1-INDEX('Lease Cycles'!$FO$9:$FU$9,1,BP27)))),0)</f>
        <v>0.1507537688442211</v>
      </c>
      <c r="BQ35" s="24">
        <f>IF(BQ29=1,'Lease Cycles'!$D$9*IF(INDEX('Lease Cycles'!$EF$9:$EL$9,1,BQ27)=1,(1-'Lease Cycles'!$AJ$9)*INDEX('Lease Cycles'!$EM$9:$ES$9,1,BQ27)+(1-'Lease Cycles'!$BE$9)*IF(BQ28&lt;INDEX('Lease Cycles'!$FA$9:$FG$9,1,BQ27),0,1-INDEX('Lease Cycles'!$EM$9:$ES$9,1,BQ27)),IF(OR(INDEX('Lease Cycles'!$DY$9:$EE$9,1,BQ27)=1,BQ28&gt;0),1,1-INDEX('Lease Cycles'!$DD$9:$DJ$9,1,BQ27))*((1-'Lease Cycles'!$AJ$9)*INDEX('Lease Cycles'!$FO$9:$FU$9,1,BQ27)+(1-'Lease Cycles'!$BE$9)*(1-INDEX('Lease Cycles'!$FO$9:$FU$9,1,BQ27)))),0)</f>
        <v>0.1507537688442211</v>
      </c>
      <c r="BR35" s="24">
        <f>IF(BR29=1,'Lease Cycles'!$D$9*IF(INDEX('Lease Cycles'!$EF$9:$EL$9,1,BR27)=1,(1-'Lease Cycles'!$AJ$9)*INDEX('Lease Cycles'!$EM$9:$ES$9,1,BR27)+(1-'Lease Cycles'!$BE$9)*IF(BR28&lt;INDEX('Lease Cycles'!$FA$9:$FG$9,1,BR27),0,1-INDEX('Lease Cycles'!$EM$9:$ES$9,1,BR27)),IF(OR(INDEX('Lease Cycles'!$DY$9:$EE$9,1,BR27)=1,BR28&gt;0),1,1-INDEX('Lease Cycles'!$DD$9:$DJ$9,1,BR27))*((1-'Lease Cycles'!$AJ$9)*INDEX('Lease Cycles'!$FO$9:$FU$9,1,BR27)+(1-'Lease Cycles'!$BE$9)*(1-INDEX('Lease Cycles'!$FO$9:$FU$9,1,BR27)))),0)</f>
        <v>0.1507537688442211</v>
      </c>
      <c r="BS35" s="24">
        <f>IF(BS29=1,'Lease Cycles'!$D$9*IF(INDEX('Lease Cycles'!$EF$9:$EL$9,1,BS27)=1,(1-'Lease Cycles'!$AJ$9)*INDEX('Lease Cycles'!$EM$9:$ES$9,1,BS27)+(1-'Lease Cycles'!$BE$9)*IF(BS28&lt;INDEX('Lease Cycles'!$FA$9:$FG$9,1,BS27),0,1-INDEX('Lease Cycles'!$EM$9:$ES$9,1,BS27)),IF(OR(INDEX('Lease Cycles'!$DY$9:$EE$9,1,BS27)=1,BS28&gt;0),1,1-INDEX('Lease Cycles'!$DD$9:$DJ$9,1,BS27))*((1-'Lease Cycles'!$AJ$9)*INDEX('Lease Cycles'!$FO$9:$FU$9,1,BS27)+(1-'Lease Cycles'!$BE$9)*(1-INDEX('Lease Cycles'!$FO$9:$FU$9,1,BS27)))),0)</f>
        <v>0.1507537688442211</v>
      </c>
      <c r="BT35" s="24">
        <f>IF(BT29=1,'Lease Cycles'!$D$9*IF(INDEX('Lease Cycles'!$EF$9:$EL$9,1,BT27)=1,(1-'Lease Cycles'!$AJ$9)*INDEX('Lease Cycles'!$EM$9:$ES$9,1,BT27)+(1-'Lease Cycles'!$BE$9)*IF(BT28&lt;INDEX('Lease Cycles'!$FA$9:$FG$9,1,BT27),0,1-INDEX('Lease Cycles'!$EM$9:$ES$9,1,BT27)),IF(OR(INDEX('Lease Cycles'!$DY$9:$EE$9,1,BT27)=1,BT28&gt;0),1,1-INDEX('Lease Cycles'!$DD$9:$DJ$9,1,BT27))*((1-'Lease Cycles'!$AJ$9)*INDEX('Lease Cycles'!$FO$9:$FU$9,1,BT27)+(1-'Lease Cycles'!$BE$9)*(1-INDEX('Lease Cycles'!$FO$9:$FU$9,1,BT27)))),0)</f>
        <v>0.1507537688442211</v>
      </c>
      <c r="BU35" s="24">
        <f>IF(BU29=1,'Lease Cycles'!$D$9*IF(INDEX('Lease Cycles'!$EF$9:$EL$9,1,BU27)=1,(1-'Lease Cycles'!$AJ$9)*INDEX('Lease Cycles'!$EM$9:$ES$9,1,BU27)+(1-'Lease Cycles'!$BE$9)*IF(BU28&lt;INDEX('Lease Cycles'!$FA$9:$FG$9,1,BU27),0,1-INDEX('Lease Cycles'!$EM$9:$ES$9,1,BU27)),IF(OR(INDEX('Lease Cycles'!$DY$9:$EE$9,1,BU27)=1,BU28&gt;0),1,1-INDEX('Lease Cycles'!$DD$9:$DJ$9,1,BU27))*((1-'Lease Cycles'!$AJ$9)*INDEX('Lease Cycles'!$FO$9:$FU$9,1,BU27)+(1-'Lease Cycles'!$BE$9)*(1-INDEX('Lease Cycles'!$FO$9:$FU$9,1,BU27)))),0)</f>
        <v>0</v>
      </c>
      <c r="BV35" s="24">
        <f>IF(BV29=1,'Lease Cycles'!$D$9*IF(INDEX('Lease Cycles'!$EF$9:$EL$9,1,BV27)=1,(1-'Lease Cycles'!$AJ$9)*INDEX('Lease Cycles'!$EM$9:$ES$9,1,BV27)+(1-'Lease Cycles'!$BE$9)*IF(BV28&lt;INDEX('Lease Cycles'!$FA$9:$FG$9,1,BV27),0,1-INDEX('Lease Cycles'!$EM$9:$ES$9,1,BV27)),IF(OR(INDEX('Lease Cycles'!$DY$9:$EE$9,1,BV27)=1,BV28&gt;0),1,1-INDEX('Lease Cycles'!$DD$9:$DJ$9,1,BV27))*((1-'Lease Cycles'!$AJ$9)*INDEX('Lease Cycles'!$FO$9:$FU$9,1,BV27)+(1-'Lease Cycles'!$BE$9)*(1-INDEX('Lease Cycles'!$FO$9:$FU$9,1,BV27)))),0)</f>
        <v>0.12060301507537645</v>
      </c>
      <c r="BW35" s="24">
        <f>IF(BW29=1,'Lease Cycles'!$D$9*IF(INDEX('Lease Cycles'!$EF$9:$EL$9,1,BW27)=1,(1-'Lease Cycles'!$AJ$9)*INDEX('Lease Cycles'!$EM$9:$ES$9,1,BW27)+(1-'Lease Cycles'!$BE$9)*IF(BW28&lt;INDEX('Lease Cycles'!$FA$9:$FG$9,1,BW27),0,1-INDEX('Lease Cycles'!$EM$9:$ES$9,1,BW27)),IF(OR(INDEX('Lease Cycles'!$DY$9:$EE$9,1,BW27)=1,BW28&gt;0),1,1-INDEX('Lease Cycles'!$DD$9:$DJ$9,1,BW27))*((1-'Lease Cycles'!$AJ$9)*INDEX('Lease Cycles'!$FO$9:$FU$9,1,BW27)+(1-'Lease Cycles'!$BE$9)*(1-INDEX('Lease Cycles'!$FO$9:$FU$9,1,BW27)))),0)</f>
        <v>0.1507537688442211</v>
      </c>
      <c r="BX35" s="24">
        <f>IF(BX29=1,'Lease Cycles'!$D$9*IF(INDEX('Lease Cycles'!$EF$9:$EL$9,1,BX27)=1,(1-'Lease Cycles'!$AJ$9)*INDEX('Lease Cycles'!$EM$9:$ES$9,1,BX27)+(1-'Lease Cycles'!$BE$9)*IF(BX28&lt;INDEX('Lease Cycles'!$FA$9:$FG$9,1,BX27),0,1-INDEX('Lease Cycles'!$EM$9:$ES$9,1,BX27)),IF(OR(INDEX('Lease Cycles'!$DY$9:$EE$9,1,BX27)=1,BX28&gt;0),1,1-INDEX('Lease Cycles'!$DD$9:$DJ$9,1,BX27))*((1-'Lease Cycles'!$AJ$9)*INDEX('Lease Cycles'!$FO$9:$FU$9,1,BX27)+(1-'Lease Cycles'!$BE$9)*(1-INDEX('Lease Cycles'!$FO$9:$FU$9,1,BX27)))),0)</f>
        <v>0.1507537688442211</v>
      </c>
      <c r="BY35" s="24">
        <f>IF(BY29=1,'Lease Cycles'!$D$9*IF(INDEX('Lease Cycles'!$EF$9:$EL$9,1,BY27)=1,(1-'Lease Cycles'!$AJ$9)*INDEX('Lease Cycles'!$EM$9:$ES$9,1,BY27)+(1-'Lease Cycles'!$BE$9)*IF(BY28&lt;INDEX('Lease Cycles'!$FA$9:$FG$9,1,BY27),0,1-INDEX('Lease Cycles'!$EM$9:$ES$9,1,BY27)),IF(OR(INDEX('Lease Cycles'!$DY$9:$EE$9,1,BY27)=1,BY28&gt;0),1,1-INDEX('Lease Cycles'!$DD$9:$DJ$9,1,BY27))*((1-'Lease Cycles'!$AJ$9)*INDEX('Lease Cycles'!$FO$9:$FU$9,1,BY27)+(1-'Lease Cycles'!$BE$9)*(1-INDEX('Lease Cycles'!$FO$9:$FU$9,1,BY27)))),0)</f>
        <v>0.1507537688442211</v>
      </c>
      <c r="BZ35" s="24">
        <f>IF(BZ29=1,'Lease Cycles'!$D$9*IF(INDEX('Lease Cycles'!$EF$9:$EL$9,1,BZ27)=1,(1-'Lease Cycles'!$AJ$9)*INDEX('Lease Cycles'!$EM$9:$ES$9,1,BZ27)+(1-'Lease Cycles'!$BE$9)*IF(BZ28&lt;INDEX('Lease Cycles'!$FA$9:$FG$9,1,BZ27),0,1-INDEX('Lease Cycles'!$EM$9:$ES$9,1,BZ27)),IF(OR(INDEX('Lease Cycles'!$DY$9:$EE$9,1,BZ27)=1,BZ28&gt;0),1,1-INDEX('Lease Cycles'!$DD$9:$DJ$9,1,BZ27))*((1-'Lease Cycles'!$AJ$9)*INDEX('Lease Cycles'!$FO$9:$FU$9,1,BZ27)+(1-'Lease Cycles'!$BE$9)*(1-INDEX('Lease Cycles'!$FO$9:$FU$9,1,BZ27)))),0)</f>
        <v>0.1507537688442211</v>
      </c>
      <c r="CA35" s="24">
        <f>IF(CA29=1,'Lease Cycles'!$D$9*IF(INDEX('Lease Cycles'!$EF$9:$EL$9,1,CA27)=1,(1-'Lease Cycles'!$AJ$9)*INDEX('Lease Cycles'!$EM$9:$ES$9,1,CA27)+(1-'Lease Cycles'!$BE$9)*IF(CA28&lt;INDEX('Lease Cycles'!$FA$9:$FG$9,1,CA27),0,1-INDEX('Lease Cycles'!$EM$9:$ES$9,1,CA27)),IF(OR(INDEX('Lease Cycles'!$DY$9:$EE$9,1,CA27)=1,CA28&gt;0),1,1-INDEX('Lease Cycles'!$DD$9:$DJ$9,1,CA27))*((1-'Lease Cycles'!$AJ$9)*INDEX('Lease Cycles'!$FO$9:$FU$9,1,CA27)+(1-'Lease Cycles'!$BE$9)*(1-INDEX('Lease Cycles'!$FO$9:$FU$9,1,CA27)))),0)</f>
        <v>0.1507537688442211</v>
      </c>
      <c r="CB35" s="24">
        <f>IF(CB29=1,'Lease Cycles'!$D$9*IF(INDEX('Lease Cycles'!$EF$9:$EL$9,1,CB27)=1,(1-'Lease Cycles'!$AJ$9)*INDEX('Lease Cycles'!$EM$9:$ES$9,1,CB27)+(1-'Lease Cycles'!$BE$9)*IF(CB28&lt;INDEX('Lease Cycles'!$FA$9:$FG$9,1,CB27),0,1-INDEX('Lease Cycles'!$EM$9:$ES$9,1,CB27)),IF(OR(INDEX('Lease Cycles'!$DY$9:$EE$9,1,CB27)=1,CB28&gt;0),1,1-INDEX('Lease Cycles'!$DD$9:$DJ$9,1,CB27))*((1-'Lease Cycles'!$AJ$9)*INDEX('Lease Cycles'!$FO$9:$FU$9,1,CB27)+(1-'Lease Cycles'!$BE$9)*(1-INDEX('Lease Cycles'!$FO$9:$FU$9,1,CB27)))),0)</f>
        <v>0.1507537688442211</v>
      </c>
      <c r="CC35" s="24">
        <f>IF(CC29=1,'Lease Cycles'!$D$9*IF(INDEX('Lease Cycles'!$EF$9:$EL$9,1,CC27)=1,(1-'Lease Cycles'!$AJ$9)*INDEX('Lease Cycles'!$EM$9:$ES$9,1,CC27)+(1-'Lease Cycles'!$BE$9)*IF(CC28&lt;INDEX('Lease Cycles'!$FA$9:$FG$9,1,CC27),0,1-INDEX('Lease Cycles'!$EM$9:$ES$9,1,CC27)),IF(OR(INDEX('Lease Cycles'!$DY$9:$EE$9,1,CC27)=1,CC28&gt;0),1,1-INDEX('Lease Cycles'!$DD$9:$DJ$9,1,CC27))*((1-'Lease Cycles'!$AJ$9)*INDEX('Lease Cycles'!$FO$9:$FU$9,1,CC27)+(1-'Lease Cycles'!$BE$9)*(1-INDEX('Lease Cycles'!$FO$9:$FU$9,1,CC27)))),0)</f>
        <v>0.1507537688442211</v>
      </c>
      <c r="CD35" s="24">
        <f>IF(CD29=1,'Lease Cycles'!$D$9*IF(INDEX('Lease Cycles'!$EF$9:$EL$9,1,CD27)=1,(1-'Lease Cycles'!$AJ$9)*INDEX('Lease Cycles'!$EM$9:$ES$9,1,CD27)+(1-'Lease Cycles'!$BE$9)*IF(CD28&lt;INDEX('Lease Cycles'!$FA$9:$FG$9,1,CD27),0,1-INDEX('Lease Cycles'!$EM$9:$ES$9,1,CD27)),IF(OR(INDEX('Lease Cycles'!$DY$9:$EE$9,1,CD27)=1,CD28&gt;0),1,1-INDEX('Lease Cycles'!$DD$9:$DJ$9,1,CD27))*((1-'Lease Cycles'!$AJ$9)*INDEX('Lease Cycles'!$FO$9:$FU$9,1,CD27)+(1-'Lease Cycles'!$BE$9)*(1-INDEX('Lease Cycles'!$FO$9:$FU$9,1,CD27)))),0)</f>
        <v>0.1507537688442211</v>
      </c>
      <c r="CE35" s="24">
        <f>IF(CE29=1,'Lease Cycles'!$D$9*IF(INDEX('Lease Cycles'!$EF$9:$EL$9,1,CE27)=1,(1-'Lease Cycles'!$AJ$9)*INDEX('Lease Cycles'!$EM$9:$ES$9,1,CE27)+(1-'Lease Cycles'!$BE$9)*IF(CE28&lt;INDEX('Lease Cycles'!$FA$9:$FG$9,1,CE27),0,1-INDEX('Lease Cycles'!$EM$9:$ES$9,1,CE27)),IF(OR(INDEX('Lease Cycles'!$DY$9:$EE$9,1,CE27)=1,CE28&gt;0),1,1-INDEX('Lease Cycles'!$DD$9:$DJ$9,1,CE27))*((1-'Lease Cycles'!$AJ$9)*INDEX('Lease Cycles'!$FO$9:$FU$9,1,CE27)+(1-'Lease Cycles'!$BE$9)*(1-INDEX('Lease Cycles'!$FO$9:$FU$9,1,CE27)))),0)</f>
        <v>0.1507537688442211</v>
      </c>
      <c r="CF35" s="24">
        <f>IF(CF29=1,'Lease Cycles'!$D$9*IF(INDEX('Lease Cycles'!$EF$9:$EL$9,1,CF27)=1,(1-'Lease Cycles'!$AJ$9)*INDEX('Lease Cycles'!$EM$9:$ES$9,1,CF27)+(1-'Lease Cycles'!$BE$9)*IF(CF28&lt;INDEX('Lease Cycles'!$FA$9:$FG$9,1,CF27),0,1-INDEX('Lease Cycles'!$EM$9:$ES$9,1,CF27)),IF(OR(INDEX('Lease Cycles'!$DY$9:$EE$9,1,CF27)=1,CF28&gt;0),1,1-INDEX('Lease Cycles'!$DD$9:$DJ$9,1,CF27))*((1-'Lease Cycles'!$AJ$9)*INDEX('Lease Cycles'!$FO$9:$FU$9,1,CF27)+(1-'Lease Cycles'!$BE$9)*(1-INDEX('Lease Cycles'!$FO$9:$FU$9,1,CF27)))),0)</f>
        <v>0.1507537688442211</v>
      </c>
      <c r="CG35" s="24">
        <f>IF(CG29=1,'Lease Cycles'!$D$9*IF(INDEX('Lease Cycles'!$EF$9:$EL$9,1,CG27)=1,(1-'Lease Cycles'!$AJ$9)*INDEX('Lease Cycles'!$EM$9:$ES$9,1,CG27)+(1-'Lease Cycles'!$BE$9)*IF(CG28&lt;INDEX('Lease Cycles'!$FA$9:$FG$9,1,CG27),0,1-INDEX('Lease Cycles'!$EM$9:$ES$9,1,CG27)),IF(OR(INDEX('Lease Cycles'!$DY$9:$EE$9,1,CG27)=1,CG28&gt;0),1,1-INDEX('Lease Cycles'!$DD$9:$DJ$9,1,CG27))*((1-'Lease Cycles'!$AJ$9)*INDEX('Lease Cycles'!$FO$9:$FU$9,1,CG27)+(1-'Lease Cycles'!$BE$9)*(1-INDEX('Lease Cycles'!$FO$9:$FU$9,1,CG27)))),0)</f>
        <v>0.1507537688442211</v>
      </c>
      <c r="CH35" s="24">
        <f>IF(CH29=1,'Lease Cycles'!$D$9*IF(INDEX('Lease Cycles'!$EF$9:$EL$9,1,CH27)=1,(1-'Lease Cycles'!$AJ$9)*INDEX('Lease Cycles'!$EM$9:$ES$9,1,CH27)+(1-'Lease Cycles'!$BE$9)*IF(CH28&lt;INDEX('Lease Cycles'!$FA$9:$FG$9,1,CH27),0,1-INDEX('Lease Cycles'!$EM$9:$ES$9,1,CH27)),IF(OR(INDEX('Lease Cycles'!$DY$9:$EE$9,1,CH27)=1,CH28&gt;0),1,1-INDEX('Lease Cycles'!$DD$9:$DJ$9,1,CH27))*((1-'Lease Cycles'!$AJ$9)*INDEX('Lease Cycles'!$FO$9:$FU$9,1,CH27)+(1-'Lease Cycles'!$BE$9)*(1-INDEX('Lease Cycles'!$FO$9:$FU$9,1,CH27)))),0)</f>
        <v>0.1507537688442211</v>
      </c>
      <c r="CI35" s="24">
        <f>IF(CI29=1,'Lease Cycles'!$D$9*IF(INDEX('Lease Cycles'!$EF$9:$EL$9,1,CI27)=1,(1-'Lease Cycles'!$AJ$9)*INDEX('Lease Cycles'!$EM$9:$ES$9,1,CI27)+(1-'Lease Cycles'!$BE$9)*IF(CI28&lt;INDEX('Lease Cycles'!$FA$9:$FG$9,1,CI27),0,1-INDEX('Lease Cycles'!$EM$9:$ES$9,1,CI27)),IF(OR(INDEX('Lease Cycles'!$DY$9:$EE$9,1,CI27)=1,CI28&gt;0),1,1-INDEX('Lease Cycles'!$DD$9:$DJ$9,1,CI27))*((1-'Lease Cycles'!$AJ$9)*INDEX('Lease Cycles'!$FO$9:$FU$9,1,CI27)+(1-'Lease Cycles'!$BE$9)*(1-INDEX('Lease Cycles'!$FO$9:$FU$9,1,CI27)))),0)</f>
        <v>0.1507537688442211</v>
      </c>
      <c r="CJ35" s="24">
        <f>IF(CJ29=1,'Lease Cycles'!$D$9*IF(INDEX('Lease Cycles'!$EF$9:$EL$9,1,CJ27)=1,(1-'Lease Cycles'!$AJ$9)*INDEX('Lease Cycles'!$EM$9:$ES$9,1,CJ27)+(1-'Lease Cycles'!$BE$9)*IF(CJ28&lt;INDEX('Lease Cycles'!$FA$9:$FG$9,1,CJ27),0,1-INDEX('Lease Cycles'!$EM$9:$ES$9,1,CJ27)),IF(OR(INDEX('Lease Cycles'!$DY$9:$EE$9,1,CJ27)=1,CJ28&gt;0),1,1-INDEX('Lease Cycles'!$DD$9:$DJ$9,1,CJ27))*((1-'Lease Cycles'!$AJ$9)*INDEX('Lease Cycles'!$FO$9:$FU$9,1,CJ27)+(1-'Lease Cycles'!$BE$9)*(1-INDEX('Lease Cycles'!$FO$9:$FU$9,1,CJ27)))),0)</f>
        <v>0.1507537688442211</v>
      </c>
      <c r="CK35" s="24">
        <f>IF(CK29=1,'Lease Cycles'!$D$9*IF(INDEX('Lease Cycles'!$EF$9:$EL$9,1,CK27)=1,(1-'Lease Cycles'!$AJ$9)*INDEX('Lease Cycles'!$EM$9:$ES$9,1,CK27)+(1-'Lease Cycles'!$BE$9)*IF(CK28&lt;INDEX('Lease Cycles'!$FA$9:$FG$9,1,CK27),0,1-INDEX('Lease Cycles'!$EM$9:$ES$9,1,CK27)),IF(OR(INDEX('Lease Cycles'!$DY$9:$EE$9,1,CK27)=1,CK28&gt;0),1,1-INDEX('Lease Cycles'!$DD$9:$DJ$9,1,CK27))*((1-'Lease Cycles'!$AJ$9)*INDEX('Lease Cycles'!$FO$9:$FU$9,1,CK27)+(1-'Lease Cycles'!$BE$9)*(1-INDEX('Lease Cycles'!$FO$9:$FU$9,1,CK27)))),0)</f>
        <v>0.1507537688442211</v>
      </c>
      <c r="CL35" s="24">
        <f>IF(CL29=1,'Lease Cycles'!$D$9*IF(INDEX('Lease Cycles'!$EF$9:$EL$9,1,CL27)=1,(1-'Lease Cycles'!$AJ$9)*INDEX('Lease Cycles'!$EM$9:$ES$9,1,CL27)+(1-'Lease Cycles'!$BE$9)*IF(CL28&lt;INDEX('Lease Cycles'!$FA$9:$FG$9,1,CL27),0,1-INDEX('Lease Cycles'!$EM$9:$ES$9,1,CL27)),IF(OR(INDEX('Lease Cycles'!$DY$9:$EE$9,1,CL27)=1,CL28&gt;0),1,1-INDEX('Lease Cycles'!$DD$9:$DJ$9,1,CL27))*((1-'Lease Cycles'!$AJ$9)*INDEX('Lease Cycles'!$FO$9:$FU$9,1,CL27)+(1-'Lease Cycles'!$BE$9)*(1-INDEX('Lease Cycles'!$FO$9:$FU$9,1,CL27)))),0)</f>
        <v>0.1507537688442211</v>
      </c>
      <c r="CM35" s="24">
        <f>IF(CM29=1,'Lease Cycles'!$D$9*IF(INDEX('Lease Cycles'!$EF$9:$EL$9,1,CM27)=1,(1-'Lease Cycles'!$AJ$9)*INDEX('Lease Cycles'!$EM$9:$ES$9,1,CM27)+(1-'Lease Cycles'!$BE$9)*IF(CM28&lt;INDEX('Lease Cycles'!$FA$9:$FG$9,1,CM27),0,1-INDEX('Lease Cycles'!$EM$9:$ES$9,1,CM27)),IF(OR(INDEX('Lease Cycles'!$DY$9:$EE$9,1,CM27)=1,CM28&gt;0),1,1-INDEX('Lease Cycles'!$DD$9:$DJ$9,1,CM27))*((1-'Lease Cycles'!$AJ$9)*INDEX('Lease Cycles'!$FO$9:$FU$9,1,CM27)+(1-'Lease Cycles'!$BE$9)*(1-INDEX('Lease Cycles'!$FO$9:$FU$9,1,CM27)))),0)</f>
        <v>0.1507537688442211</v>
      </c>
      <c r="CN35" s="24">
        <f>IF(CN29=1,'Lease Cycles'!$D$9*IF(INDEX('Lease Cycles'!$EF$9:$EL$9,1,CN27)=1,(1-'Lease Cycles'!$AJ$9)*INDEX('Lease Cycles'!$EM$9:$ES$9,1,CN27)+(1-'Lease Cycles'!$BE$9)*IF(CN28&lt;INDEX('Lease Cycles'!$FA$9:$FG$9,1,CN27),0,1-INDEX('Lease Cycles'!$EM$9:$ES$9,1,CN27)),IF(OR(INDEX('Lease Cycles'!$DY$9:$EE$9,1,CN27)=1,CN28&gt;0),1,1-INDEX('Lease Cycles'!$DD$9:$DJ$9,1,CN27))*((1-'Lease Cycles'!$AJ$9)*INDEX('Lease Cycles'!$FO$9:$FU$9,1,CN27)+(1-'Lease Cycles'!$BE$9)*(1-INDEX('Lease Cycles'!$FO$9:$FU$9,1,CN27)))),0)</f>
        <v>0.1507537688442211</v>
      </c>
      <c r="CO35" s="24">
        <f>IF(CO29=1,'Lease Cycles'!$D$9*IF(INDEX('Lease Cycles'!$EF$9:$EL$9,1,CO27)=1,(1-'Lease Cycles'!$AJ$9)*INDEX('Lease Cycles'!$EM$9:$ES$9,1,CO27)+(1-'Lease Cycles'!$BE$9)*IF(CO28&lt;INDEX('Lease Cycles'!$FA$9:$FG$9,1,CO27),0,1-INDEX('Lease Cycles'!$EM$9:$ES$9,1,CO27)),IF(OR(INDEX('Lease Cycles'!$DY$9:$EE$9,1,CO27)=1,CO28&gt;0),1,1-INDEX('Lease Cycles'!$DD$9:$DJ$9,1,CO27))*((1-'Lease Cycles'!$AJ$9)*INDEX('Lease Cycles'!$FO$9:$FU$9,1,CO27)+(1-'Lease Cycles'!$BE$9)*(1-INDEX('Lease Cycles'!$FO$9:$FU$9,1,CO27)))),0)</f>
        <v>0.1507537688442211</v>
      </c>
      <c r="CP35" s="24">
        <f>IF(CP29=1,'Lease Cycles'!$D$9*IF(INDEX('Lease Cycles'!$EF$9:$EL$9,1,CP27)=1,(1-'Lease Cycles'!$AJ$9)*INDEX('Lease Cycles'!$EM$9:$ES$9,1,CP27)+(1-'Lease Cycles'!$BE$9)*IF(CP28&lt;INDEX('Lease Cycles'!$FA$9:$FG$9,1,CP27),0,1-INDEX('Lease Cycles'!$EM$9:$ES$9,1,CP27)),IF(OR(INDEX('Lease Cycles'!$DY$9:$EE$9,1,CP27)=1,CP28&gt;0),1,1-INDEX('Lease Cycles'!$DD$9:$DJ$9,1,CP27))*((1-'Lease Cycles'!$AJ$9)*INDEX('Lease Cycles'!$FO$9:$FU$9,1,CP27)+(1-'Lease Cycles'!$BE$9)*(1-INDEX('Lease Cycles'!$FO$9:$FU$9,1,CP27)))),0)</f>
        <v>0.1507537688442211</v>
      </c>
      <c r="CQ35" s="24">
        <f>IF(CQ29=1,'Lease Cycles'!$D$9*IF(INDEX('Lease Cycles'!$EF$9:$EL$9,1,CQ27)=1,(1-'Lease Cycles'!$AJ$9)*INDEX('Lease Cycles'!$EM$9:$ES$9,1,CQ27)+(1-'Lease Cycles'!$BE$9)*IF(CQ28&lt;INDEX('Lease Cycles'!$FA$9:$FG$9,1,CQ27),0,1-INDEX('Lease Cycles'!$EM$9:$ES$9,1,CQ27)),IF(OR(INDEX('Lease Cycles'!$DY$9:$EE$9,1,CQ27)=1,CQ28&gt;0),1,1-INDEX('Lease Cycles'!$DD$9:$DJ$9,1,CQ27))*((1-'Lease Cycles'!$AJ$9)*INDEX('Lease Cycles'!$FO$9:$FU$9,1,CQ27)+(1-'Lease Cycles'!$BE$9)*(1-INDEX('Lease Cycles'!$FO$9:$FU$9,1,CQ27)))),0)</f>
        <v>0.1507537688442211</v>
      </c>
      <c r="CR35" s="24">
        <f>IF(CR29=1,'Lease Cycles'!$D$9*IF(INDEX('Lease Cycles'!$EF$9:$EL$9,1,CR27)=1,(1-'Lease Cycles'!$AJ$9)*INDEX('Lease Cycles'!$EM$9:$ES$9,1,CR27)+(1-'Lease Cycles'!$BE$9)*IF(CR28&lt;INDEX('Lease Cycles'!$FA$9:$FG$9,1,CR27),0,1-INDEX('Lease Cycles'!$EM$9:$ES$9,1,CR27)),IF(OR(INDEX('Lease Cycles'!$DY$9:$EE$9,1,CR27)=1,CR28&gt;0),1,1-INDEX('Lease Cycles'!$DD$9:$DJ$9,1,CR27))*((1-'Lease Cycles'!$AJ$9)*INDEX('Lease Cycles'!$FO$9:$FU$9,1,CR27)+(1-'Lease Cycles'!$BE$9)*(1-INDEX('Lease Cycles'!$FO$9:$FU$9,1,CR27)))),0)</f>
        <v>0.1507537688442211</v>
      </c>
      <c r="CS35" s="24">
        <f>IF(CS29=1,'Lease Cycles'!$D$9*IF(INDEX('Lease Cycles'!$EF$9:$EL$9,1,CS27)=1,(1-'Lease Cycles'!$AJ$9)*INDEX('Lease Cycles'!$EM$9:$ES$9,1,CS27)+(1-'Lease Cycles'!$BE$9)*IF(CS28&lt;INDEX('Lease Cycles'!$FA$9:$FG$9,1,CS27),0,1-INDEX('Lease Cycles'!$EM$9:$ES$9,1,CS27)),IF(OR(INDEX('Lease Cycles'!$DY$9:$EE$9,1,CS27)=1,CS28&gt;0),1,1-INDEX('Lease Cycles'!$DD$9:$DJ$9,1,CS27))*((1-'Lease Cycles'!$AJ$9)*INDEX('Lease Cycles'!$FO$9:$FU$9,1,CS27)+(1-'Lease Cycles'!$BE$9)*(1-INDEX('Lease Cycles'!$FO$9:$FU$9,1,CS27)))),0)</f>
        <v>0.1507537688442211</v>
      </c>
      <c r="CT35" s="24">
        <f>IF(CT29=1,'Lease Cycles'!$D$9*IF(INDEX('Lease Cycles'!$EF$9:$EL$9,1,CT27)=1,(1-'Lease Cycles'!$AJ$9)*INDEX('Lease Cycles'!$EM$9:$ES$9,1,CT27)+(1-'Lease Cycles'!$BE$9)*IF(CT28&lt;INDEX('Lease Cycles'!$FA$9:$FG$9,1,CT27),0,1-INDEX('Lease Cycles'!$EM$9:$ES$9,1,CT27)),IF(OR(INDEX('Lease Cycles'!$DY$9:$EE$9,1,CT27)=1,CT28&gt;0),1,1-INDEX('Lease Cycles'!$DD$9:$DJ$9,1,CT27))*((1-'Lease Cycles'!$AJ$9)*INDEX('Lease Cycles'!$FO$9:$FU$9,1,CT27)+(1-'Lease Cycles'!$BE$9)*(1-INDEX('Lease Cycles'!$FO$9:$FU$9,1,CT27)))),0)</f>
        <v>0.1507537688442211</v>
      </c>
      <c r="CU35" s="24">
        <f>IF(CU29=1,'Lease Cycles'!$D$9*IF(INDEX('Lease Cycles'!$EF$9:$EL$9,1,CU27)=1,(1-'Lease Cycles'!$AJ$9)*INDEX('Lease Cycles'!$EM$9:$ES$9,1,CU27)+(1-'Lease Cycles'!$BE$9)*IF(CU28&lt;INDEX('Lease Cycles'!$FA$9:$FG$9,1,CU27),0,1-INDEX('Lease Cycles'!$EM$9:$ES$9,1,CU27)),IF(OR(INDEX('Lease Cycles'!$DY$9:$EE$9,1,CU27)=1,CU28&gt;0),1,1-INDEX('Lease Cycles'!$DD$9:$DJ$9,1,CU27))*((1-'Lease Cycles'!$AJ$9)*INDEX('Lease Cycles'!$FO$9:$FU$9,1,CU27)+(1-'Lease Cycles'!$BE$9)*(1-INDEX('Lease Cycles'!$FO$9:$FU$9,1,CU27)))),0)</f>
        <v>0.1507537688442211</v>
      </c>
      <c r="CV35" s="24">
        <f>IF(CV29=1,'Lease Cycles'!$D$9*IF(INDEX('Lease Cycles'!$EF$9:$EL$9,1,CV27)=1,(1-'Lease Cycles'!$AJ$9)*INDEX('Lease Cycles'!$EM$9:$ES$9,1,CV27)+(1-'Lease Cycles'!$BE$9)*IF(CV28&lt;INDEX('Lease Cycles'!$FA$9:$FG$9,1,CV27),0,1-INDEX('Lease Cycles'!$EM$9:$ES$9,1,CV27)),IF(OR(INDEX('Lease Cycles'!$DY$9:$EE$9,1,CV27)=1,CV28&gt;0),1,1-INDEX('Lease Cycles'!$DD$9:$DJ$9,1,CV27))*((1-'Lease Cycles'!$AJ$9)*INDEX('Lease Cycles'!$FO$9:$FU$9,1,CV27)+(1-'Lease Cycles'!$BE$9)*(1-INDEX('Lease Cycles'!$FO$9:$FU$9,1,CV27)))),0)</f>
        <v>0.1507537688442211</v>
      </c>
      <c r="CW35" s="24">
        <f>IF(CW29=1,'Lease Cycles'!$D$9*IF(INDEX('Lease Cycles'!$EF$9:$EL$9,1,CW27)=1,(1-'Lease Cycles'!$AJ$9)*INDEX('Lease Cycles'!$EM$9:$ES$9,1,CW27)+(1-'Lease Cycles'!$BE$9)*IF(CW28&lt;INDEX('Lease Cycles'!$FA$9:$FG$9,1,CW27),0,1-INDEX('Lease Cycles'!$EM$9:$ES$9,1,CW27)),IF(OR(INDEX('Lease Cycles'!$DY$9:$EE$9,1,CW27)=1,CW28&gt;0),1,1-INDEX('Lease Cycles'!$DD$9:$DJ$9,1,CW27))*((1-'Lease Cycles'!$AJ$9)*INDEX('Lease Cycles'!$FO$9:$FU$9,1,CW27)+(1-'Lease Cycles'!$BE$9)*(1-INDEX('Lease Cycles'!$FO$9:$FU$9,1,CW27)))),0)</f>
        <v>0.1507537688442211</v>
      </c>
      <c r="CX35" s="24">
        <f>IF(CX29=1,'Lease Cycles'!$D$9*IF(INDEX('Lease Cycles'!$EF$9:$EL$9,1,CX27)=1,(1-'Lease Cycles'!$AJ$9)*INDEX('Lease Cycles'!$EM$9:$ES$9,1,CX27)+(1-'Lease Cycles'!$BE$9)*IF(CX28&lt;INDEX('Lease Cycles'!$FA$9:$FG$9,1,CX27),0,1-INDEX('Lease Cycles'!$EM$9:$ES$9,1,CX27)),IF(OR(INDEX('Lease Cycles'!$DY$9:$EE$9,1,CX27)=1,CX28&gt;0),1,1-INDEX('Lease Cycles'!$DD$9:$DJ$9,1,CX27))*((1-'Lease Cycles'!$AJ$9)*INDEX('Lease Cycles'!$FO$9:$FU$9,1,CX27)+(1-'Lease Cycles'!$BE$9)*(1-INDEX('Lease Cycles'!$FO$9:$FU$9,1,CX27)))),0)</f>
        <v>0.1507537688442211</v>
      </c>
      <c r="CY35" s="24">
        <f>IF(CY29=1,'Lease Cycles'!$D$9*IF(INDEX('Lease Cycles'!$EF$9:$EL$9,1,CY27)=1,(1-'Lease Cycles'!$AJ$9)*INDEX('Lease Cycles'!$EM$9:$ES$9,1,CY27)+(1-'Lease Cycles'!$BE$9)*IF(CY28&lt;INDEX('Lease Cycles'!$FA$9:$FG$9,1,CY27),0,1-INDEX('Lease Cycles'!$EM$9:$ES$9,1,CY27)),IF(OR(INDEX('Lease Cycles'!$DY$9:$EE$9,1,CY27)=1,CY28&gt;0),1,1-INDEX('Lease Cycles'!$DD$9:$DJ$9,1,CY27))*((1-'Lease Cycles'!$AJ$9)*INDEX('Lease Cycles'!$FO$9:$FU$9,1,CY27)+(1-'Lease Cycles'!$BE$9)*(1-INDEX('Lease Cycles'!$FO$9:$FU$9,1,CY27)))),0)</f>
        <v>0.1507537688442211</v>
      </c>
      <c r="CZ35" s="24">
        <f>IF(CZ29=1,'Lease Cycles'!$D$9*IF(INDEX('Lease Cycles'!$EF$9:$EL$9,1,CZ27)=1,(1-'Lease Cycles'!$AJ$9)*INDEX('Lease Cycles'!$EM$9:$ES$9,1,CZ27)+(1-'Lease Cycles'!$BE$9)*IF(CZ28&lt;INDEX('Lease Cycles'!$FA$9:$FG$9,1,CZ27),0,1-INDEX('Lease Cycles'!$EM$9:$ES$9,1,CZ27)),IF(OR(INDEX('Lease Cycles'!$DY$9:$EE$9,1,CZ27)=1,CZ28&gt;0),1,1-INDEX('Lease Cycles'!$DD$9:$DJ$9,1,CZ27))*((1-'Lease Cycles'!$AJ$9)*INDEX('Lease Cycles'!$FO$9:$FU$9,1,CZ27)+(1-'Lease Cycles'!$BE$9)*(1-INDEX('Lease Cycles'!$FO$9:$FU$9,1,CZ27)))),0)</f>
        <v>0.1507537688442211</v>
      </c>
      <c r="DA35" s="24">
        <f>IF(DA29=1,'Lease Cycles'!$D$9*IF(INDEX('Lease Cycles'!$EF$9:$EL$9,1,DA27)=1,(1-'Lease Cycles'!$AJ$9)*INDEX('Lease Cycles'!$EM$9:$ES$9,1,DA27)+(1-'Lease Cycles'!$BE$9)*IF(DA28&lt;INDEX('Lease Cycles'!$FA$9:$FG$9,1,DA27),0,1-INDEX('Lease Cycles'!$EM$9:$ES$9,1,DA27)),IF(OR(INDEX('Lease Cycles'!$DY$9:$EE$9,1,DA27)=1,DA28&gt;0),1,1-INDEX('Lease Cycles'!$DD$9:$DJ$9,1,DA27))*((1-'Lease Cycles'!$AJ$9)*INDEX('Lease Cycles'!$FO$9:$FU$9,1,DA27)+(1-'Lease Cycles'!$BE$9)*(1-INDEX('Lease Cycles'!$FO$9:$FU$9,1,DA27)))),0)</f>
        <v>0.1507537688442211</v>
      </c>
      <c r="DB35" s="24">
        <f>IF(DB29=1,'Lease Cycles'!$D$9*IF(INDEX('Lease Cycles'!$EF$9:$EL$9,1,DB27)=1,(1-'Lease Cycles'!$AJ$9)*INDEX('Lease Cycles'!$EM$9:$ES$9,1,DB27)+(1-'Lease Cycles'!$BE$9)*IF(DB28&lt;INDEX('Lease Cycles'!$FA$9:$FG$9,1,DB27),0,1-INDEX('Lease Cycles'!$EM$9:$ES$9,1,DB27)),IF(OR(INDEX('Lease Cycles'!$DY$9:$EE$9,1,DB27)=1,DB28&gt;0),1,1-INDEX('Lease Cycles'!$DD$9:$DJ$9,1,DB27))*((1-'Lease Cycles'!$AJ$9)*INDEX('Lease Cycles'!$FO$9:$FU$9,1,DB27)+(1-'Lease Cycles'!$BE$9)*(1-INDEX('Lease Cycles'!$FO$9:$FU$9,1,DB27)))),0)</f>
        <v>0.1507537688442211</v>
      </c>
      <c r="DC35" s="24">
        <f>IF(DC29=1,'Lease Cycles'!$D$9*IF(INDEX('Lease Cycles'!$EF$9:$EL$9,1,DC27)=1,(1-'Lease Cycles'!$AJ$9)*INDEX('Lease Cycles'!$EM$9:$ES$9,1,DC27)+(1-'Lease Cycles'!$BE$9)*IF(DC28&lt;INDEX('Lease Cycles'!$FA$9:$FG$9,1,DC27),0,1-INDEX('Lease Cycles'!$EM$9:$ES$9,1,DC27)),IF(OR(INDEX('Lease Cycles'!$DY$9:$EE$9,1,DC27)=1,DC28&gt;0),1,1-INDEX('Lease Cycles'!$DD$9:$DJ$9,1,DC27))*((1-'Lease Cycles'!$AJ$9)*INDEX('Lease Cycles'!$FO$9:$FU$9,1,DC27)+(1-'Lease Cycles'!$BE$9)*(1-INDEX('Lease Cycles'!$FO$9:$FU$9,1,DC27)))),0)</f>
        <v>0.1507537688442211</v>
      </c>
      <c r="DD35" s="24">
        <f>IF(DD29=1,'Lease Cycles'!$D$9*IF(INDEX('Lease Cycles'!$EF$9:$EL$9,1,DD27)=1,(1-'Lease Cycles'!$AJ$9)*INDEX('Lease Cycles'!$EM$9:$ES$9,1,DD27)+(1-'Lease Cycles'!$BE$9)*IF(DD28&lt;INDEX('Lease Cycles'!$FA$9:$FG$9,1,DD27),0,1-INDEX('Lease Cycles'!$EM$9:$ES$9,1,DD27)),IF(OR(INDEX('Lease Cycles'!$DY$9:$EE$9,1,DD27)=1,DD28&gt;0),1,1-INDEX('Lease Cycles'!$DD$9:$DJ$9,1,DD27))*((1-'Lease Cycles'!$AJ$9)*INDEX('Lease Cycles'!$FO$9:$FU$9,1,DD27)+(1-'Lease Cycles'!$BE$9)*(1-INDEX('Lease Cycles'!$FO$9:$FU$9,1,DD27)))),0)</f>
        <v>0.1507537688442211</v>
      </c>
      <c r="DE35" s="24">
        <f>IF(DE29=1,'Lease Cycles'!$D$9*IF(INDEX('Lease Cycles'!$EF$9:$EL$9,1,DE27)=1,(1-'Lease Cycles'!$AJ$9)*INDEX('Lease Cycles'!$EM$9:$ES$9,1,DE27)+(1-'Lease Cycles'!$BE$9)*IF(DE28&lt;INDEX('Lease Cycles'!$FA$9:$FG$9,1,DE27),0,1-INDEX('Lease Cycles'!$EM$9:$ES$9,1,DE27)),IF(OR(INDEX('Lease Cycles'!$DY$9:$EE$9,1,DE27)=1,DE28&gt;0),1,1-INDEX('Lease Cycles'!$DD$9:$DJ$9,1,DE27))*((1-'Lease Cycles'!$AJ$9)*INDEX('Lease Cycles'!$FO$9:$FU$9,1,DE27)+(1-'Lease Cycles'!$BE$9)*(1-INDEX('Lease Cycles'!$FO$9:$FU$9,1,DE27)))),0)</f>
        <v>0.1507537688442211</v>
      </c>
      <c r="DF35" s="24">
        <f>IF(DF29=1,'Lease Cycles'!$D$9*IF(INDEX('Lease Cycles'!$EF$9:$EL$9,1,DF27)=1,(1-'Lease Cycles'!$AJ$9)*INDEX('Lease Cycles'!$EM$9:$ES$9,1,DF27)+(1-'Lease Cycles'!$BE$9)*IF(DF28&lt;INDEX('Lease Cycles'!$FA$9:$FG$9,1,DF27),0,1-INDEX('Lease Cycles'!$EM$9:$ES$9,1,DF27)),IF(OR(INDEX('Lease Cycles'!$DY$9:$EE$9,1,DF27)=1,DF28&gt;0),1,1-INDEX('Lease Cycles'!$DD$9:$DJ$9,1,DF27))*((1-'Lease Cycles'!$AJ$9)*INDEX('Lease Cycles'!$FO$9:$FU$9,1,DF27)+(1-'Lease Cycles'!$BE$9)*(1-INDEX('Lease Cycles'!$FO$9:$FU$9,1,DF27)))),0)</f>
        <v>0.1507537688442211</v>
      </c>
      <c r="DG35" s="24">
        <f>IF(DG29=1,'Lease Cycles'!$D$9*IF(INDEX('Lease Cycles'!$EF$9:$EL$9,1,DG27)=1,(1-'Lease Cycles'!$AJ$9)*INDEX('Lease Cycles'!$EM$9:$ES$9,1,DG27)+(1-'Lease Cycles'!$BE$9)*IF(DG28&lt;INDEX('Lease Cycles'!$FA$9:$FG$9,1,DG27),0,1-INDEX('Lease Cycles'!$EM$9:$ES$9,1,DG27)),IF(OR(INDEX('Lease Cycles'!$DY$9:$EE$9,1,DG27)=1,DG28&gt;0),1,1-INDEX('Lease Cycles'!$DD$9:$DJ$9,1,DG27))*((1-'Lease Cycles'!$AJ$9)*INDEX('Lease Cycles'!$FO$9:$FU$9,1,DG27)+(1-'Lease Cycles'!$BE$9)*(1-INDEX('Lease Cycles'!$FO$9:$FU$9,1,DG27)))),0)</f>
        <v>0.1507537688442211</v>
      </c>
      <c r="DH35" s="24">
        <f>IF(DH29=1,'Lease Cycles'!$D$9*IF(INDEX('Lease Cycles'!$EF$9:$EL$9,1,DH27)=1,(1-'Lease Cycles'!$AJ$9)*INDEX('Lease Cycles'!$EM$9:$ES$9,1,DH27)+(1-'Lease Cycles'!$BE$9)*IF(DH28&lt;INDEX('Lease Cycles'!$FA$9:$FG$9,1,DH27),0,1-INDEX('Lease Cycles'!$EM$9:$ES$9,1,DH27)),IF(OR(INDEX('Lease Cycles'!$DY$9:$EE$9,1,DH27)=1,DH28&gt;0),1,1-INDEX('Lease Cycles'!$DD$9:$DJ$9,1,DH27))*((1-'Lease Cycles'!$AJ$9)*INDEX('Lease Cycles'!$FO$9:$FU$9,1,DH27)+(1-'Lease Cycles'!$BE$9)*(1-INDEX('Lease Cycles'!$FO$9:$FU$9,1,DH27)))),0)</f>
        <v>0.1507537688442211</v>
      </c>
      <c r="DI35" s="24">
        <f>IF(DI29=1,'Lease Cycles'!$D$9*IF(INDEX('Lease Cycles'!$EF$9:$EL$9,1,DI27)=1,(1-'Lease Cycles'!$AJ$9)*INDEX('Lease Cycles'!$EM$9:$ES$9,1,DI27)+(1-'Lease Cycles'!$BE$9)*IF(DI28&lt;INDEX('Lease Cycles'!$FA$9:$FG$9,1,DI27),0,1-INDEX('Lease Cycles'!$EM$9:$ES$9,1,DI27)),IF(OR(INDEX('Lease Cycles'!$DY$9:$EE$9,1,DI27)=1,DI28&gt;0),1,1-INDEX('Lease Cycles'!$DD$9:$DJ$9,1,DI27))*((1-'Lease Cycles'!$AJ$9)*INDEX('Lease Cycles'!$FO$9:$FU$9,1,DI27)+(1-'Lease Cycles'!$BE$9)*(1-INDEX('Lease Cycles'!$FO$9:$FU$9,1,DI27)))),0)</f>
        <v>0.1507537688442211</v>
      </c>
      <c r="DJ35" s="24">
        <f>IF(DJ29=1,'Lease Cycles'!$D$9*IF(INDEX('Lease Cycles'!$EF$9:$EL$9,1,DJ27)=1,(1-'Lease Cycles'!$AJ$9)*INDEX('Lease Cycles'!$EM$9:$ES$9,1,DJ27)+(1-'Lease Cycles'!$BE$9)*IF(DJ28&lt;INDEX('Lease Cycles'!$FA$9:$FG$9,1,DJ27),0,1-INDEX('Lease Cycles'!$EM$9:$ES$9,1,DJ27)),IF(OR(INDEX('Lease Cycles'!$DY$9:$EE$9,1,DJ27)=1,DJ28&gt;0),1,1-INDEX('Lease Cycles'!$DD$9:$DJ$9,1,DJ27))*((1-'Lease Cycles'!$AJ$9)*INDEX('Lease Cycles'!$FO$9:$FU$9,1,DJ27)+(1-'Lease Cycles'!$BE$9)*(1-INDEX('Lease Cycles'!$FO$9:$FU$9,1,DJ27)))),0)</f>
        <v>0.1507537688442211</v>
      </c>
      <c r="DK35" s="24">
        <f>IF(DK29=1,'Lease Cycles'!$D$9*IF(INDEX('Lease Cycles'!$EF$9:$EL$9,1,DK27)=1,(1-'Lease Cycles'!$AJ$9)*INDEX('Lease Cycles'!$EM$9:$ES$9,1,DK27)+(1-'Lease Cycles'!$BE$9)*IF(DK28&lt;INDEX('Lease Cycles'!$FA$9:$FG$9,1,DK27),0,1-INDEX('Lease Cycles'!$EM$9:$ES$9,1,DK27)),IF(OR(INDEX('Lease Cycles'!$DY$9:$EE$9,1,DK27)=1,DK28&gt;0),1,1-INDEX('Lease Cycles'!$DD$9:$DJ$9,1,DK27))*((1-'Lease Cycles'!$AJ$9)*INDEX('Lease Cycles'!$FO$9:$FU$9,1,DK27)+(1-'Lease Cycles'!$BE$9)*(1-INDEX('Lease Cycles'!$FO$9:$FU$9,1,DK27)))),0)</f>
        <v>0.1507537688442211</v>
      </c>
      <c r="DL35" s="24">
        <f>IF(DL29=1,'Lease Cycles'!$D$9*IF(INDEX('Lease Cycles'!$EF$9:$EL$9,1,DL27)=1,(1-'Lease Cycles'!$AJ$9)*INDEX('Lease Cycles'!$EM$9:$ES$9,1,DL27)+(1-'Lease Cycles'!$BE$9)*IF(DL28&lt;INDEX('Lease Cycles'!$FA$9:$FG$9,1,DL27),0,1-INDEX('Lease Cycles'!$EM$9:$ES$9,1,DL27)),IF(OR(INDEX('Lease Cycles'!$DY$9:$EE$9,1,DL27)=1,DL28&gt;0),1,1-INDEX('Lease Cycles'!$DD$9:$DJ$9,1,DL27))*((1-'Lease Cycles'!$AJ$9)*INDEX('Lease Cycles'!$FO$9:$FU$9,1,DL27)+(1-'Lease Cycles'!$BE$9)*(1-INDEX('Lease Cycles'!$FO$9:$FU$9,1,DL27)))),0)</f>
        <v>0.1507537688442211</v>
      </c>
      <c r="DM35" s="24">
        <f>IF(DM29=1,'Lease Cycles'!$D$9*IF(INDEX('Lease Cycles'!$EF$9:$EL$9,1,DM27)=1,(1-'Lease Cycles'!$AJ$9)*INDEX('Lease Cycles'!$EM$9:$ES$9,1,DM27)+(1-'Lease Cycles'!$BE$9)*IF(DM28&lt;INDEX('Lease Cycles'!$FA$9:$FG$9,1,DM27),0,1-INDEX('Lease Cycles'!$EM$9:$ES$9,1,DM27)),IF(OR(INDEX('Lease Cycles'!$DY$9:$EE$9,1,DM27)=1,DM28&gt;0),1,1-INDEX('Lease Cycles'!$DD$9:$DJ$9,1,DM27))*((1-'Lease Cycles'!$AJ$9)*INDEX('Lease Cycles'!$FO$9:$FU$9,1,DM27)+(1-'Lease Cycles'!$BE$9)*(1-INDEX('Lease Cycles'!$FO$9:$FU$9,1,DM27)))),0)</f>
        <v>0.1507537688442211</v>
      </c>
      <c r="DN35" s="24">
        <f>IF(DN29=1,'Lease Cycles'!$D$9*IF(INDEX('Lease Cycles'!$EF$9:$EL$9,1,DN27)=1,(1-'Lease Cycles'!$AJ$9)*INDEX('Lease Cycles'!$EM$9:$ES$9,1,DN27)+(1-'Lease Cycles'!$BE$9)*IF(DN28&lt;INDEX('Lease Cycles'!$FA$9:$FG$9,1,DN27),0,1-INDEX('Lease Cycles'!$EM$9:$ES$9,1,DN27)),IF(OR(INDEX('Lease Cycles'!$DY$9:$EE$9,1,DN27)=1,DN28&gt;0),1,1-INDEX('Lease Cycles'!$DD$9:$DJ$9,1,DN27))*((1-'Lease Cycles'!$AJ$9)*INDEX('Lease Cycles'!$FO$9:$FU$9,1,DN27)+(1-'Lease Cycles'!$BE$9)*(1-INDEX('Lease Cycles'!$FO$9:$FU$9,1,DN27)))),0)</f>
        <v>0.1507537688442211</v>
      </c>
      <c r="DO35" s="24">
        <f>IF(DO29=1,'Lease Cycles'!$D$9*IF(INDEX('Lease Cycles'!$EF$9:$EL$9,1,DO27)=1,(1-'Lease Cycles'!$AJ$9)*INDEX('Lease Cycles'!$EM$9:$ES$9,1,DO27)+(1-'Lease Cycles'!$BE$9)*IF(DO28&lt;INDEX('Lease Cycles'!$FA$9:$FG$9,1,DO27),0,1-INDEX('Lease Cycles'!$EM$9:$ES$9,1,DO27)),IF(OR(INDEX('Lease Cycles'!$DY$9:$EE$9,1,DO27)=1,DO28&gt;0),1,1-INDEX('Lease Cycles'!$DD$9:$DJ$9,1,DO27))*((1-'Lease Cycles'!$AJ$9)*INDEX('Lease Cycles'!$FO$9:$FU$9,1,DO27)+(1-'Lease Cycles'!$BE$9)*(1-INDEX('Lease Cycles'!$FO$9:$FU$9,1,DO27)))),0)</f>
        <v>0.1507537688442211</v>
      </c>
      <c r="DP35" s="24">
        <f>IF(DP29=1,'Lease Cycles'!$D$9*IF(INDEX('Lease Cycles'!$EF$9:$EL$9,1,DP27)=1,(1-'Lease Cycles'!$AJ$9)*INDEX('Lease Cycles'!$EM$9:$ES$9,1,DP27)+(1-'Lease Cycles'!$BE$9)*IF(DP28&lt;INDEX('Lease Cycles'!$FA$9:$FG$9,1,DP27),0,1-INDEX('Lease Cycles'!$EM$9:$ES$9,1,DP27)),IF(OR(INDEX('Lease Cycles'!$DY$9:$EE$9,1,DP27)=1,DP28&gt;0),1,1-INDEX('Lease Cycles'!$DD$9:$DJ$9,1,DP27))*((1-'Lease Cycles'!$AJ$9)*INDEX('Lease Cycles'!$FO$9:$FU$9,1,DP27)+(1-'Lease Cycles'!$BE$9)*(1-INDEX('Lease Cycles'!$FO$9:$FU$9,1,DP27)))),0)</f>
        <v>0.1507537688442211</v>
      </c>
      <c r="DQ35" s="24">
        <f>IF(DQ29=1,'Lease Cycles'!$D$9*IF(INDEX('Lease Cycles'!$EF$9:$EL$9,1,DQ27)=1,(1-'Lease Cycles'!$AJ$9)*INDEX('Lease Cycles'!$EM$9:$ES$9,1,DQ27)+(1-'Lease Cycles'!$BE$9)*IF(DQ28&lt;INDEX('Lease Cycles'!$FA$9:$FG$9,1,DQ27),0,1-INDEX('Lease Cycles'!$EM$9:$ES$9,1,DQ27)),IF(OR(INDEX('Lease Cycles'!$DY$9:$EE$9,1,DQ27)=1,DQ28&gt;0),1,1-INDEX('Lease Cycles'!$DD$9:$DJ$9,1,DQ27))*((1-'Lease Cycles'!$AJ$9)*INDEX('Lease Cycles'!$FO$9:$FU$9,1,DQ27)+(1-'Lease Cycles'!$BE$9)*(1-INDEX('Lease Cycles'!$FO$9:$FU$9,1,DQ27)))),0)</f>
        <v>0.1507537688442211</v>
      </c>
      <c r="DR35" s="24">
        <f>IF(DR29=1,'Lease Cycles'!$D$9*IF(INDEX('Lease Cycles'!$EF$9:$EL$9,1,DR27)=1,(1-'Lease Cycles'!$AJ$9)*INDEX('Lease Cycles'!$EM$9:$ES$9,1,DR27)+(1-'Lease Cycles'!$BE$9)*IF(DR28&lt;INDEX('Lease Cycles'!$FA$9:$FG$9,1,DR27),0,1-INDEX('Lease Cycles'!$EM$9:$ES$9,1,DR27)),IF(OR(INDEX('Lease Cycles'!$DY$9:$EE$9,1,DR27)=1,DR28&gt;0),1,1-INDEX('Lease Cycles'!$DD$9:$DJ$9,1,DR27))*((1-'Lease Cycles'!$AJ$9)*INDEX('Lease Cycles'!$FO$9:$FU$9,1,DR27)+(1-'Lease Cycles'!$BE$9)*(1-INDEX('Lease Cycles'!$FO$9:$FU$9,1,DR27)))),0)</f>
        <v>0.1507537688442211</v>
      </c>
      <c r="DS35" s="24">
        <f>IF(DS29=1,'Lease Cycles'!$D$9*IF(INDEX('Lease Cycles'!$EF$9:$EL$9,1,DS27)=1,(1-'Lease Cycles'!$AJ$9)*INDEX('Lease Cycles'!$EM$9:$ES$9,1,DS27)+(1-'Lease Cycles'!$BE$9)*IF(DS28&lt;INDEX('Lease Cycles'!$FA$9:$FG$9,1,DS27),0,1-INDEX('Lease Cycles'!$EM$9:$ES$9,1,DS27)),IF(OR(INDEX('Lease Cycles'!$DY$9:$EE$9,1,DS27)=1,DS28&gt;0),1,1-INDEX('Lease Cycles'!$DD$9:$DJ$9,1,DS27))*((1-'Lease Cycles'!$AJ$9)*INDEX('Lease Cycles'!$FO$9:$FU$9,1,DS27)+(1-'Lease Cycles'!$BE$9)*(1-INDEX('Lease Cycles'!$FO$9:$FU$9,1,DS27)))),0)</f>
        <v>0.1507537688442211</v>
      </c>
      <c r="DT35" s="24">
        <f>IF(DT29=1,'Lease Cycles'!$D$9*IF(INDEX('Lease Cycles'!$EF$9:$EL$9,1,DT27)=1,(1-'Lease Cycles'!$AJ$9)*INDEX('Lease Cycles'!$EM$9:$ES$9,1,DT27)+(1-'Lease Cycles'!$BE$9)*IF(DT28&lt;INDEX('Lease Cycles'!$FA$9:$FG$9,1,DT27),0,1-INDEX('Lease Cycles'!$EM$9:$ES$9,1,DT27)),IF(OR(INDEX('Lease Cycles'!$DY$9:$EE$9,1,DT27)=1,DT28&gt;0),1,1-INDEX('Lease Cycles'!$DD$9:$DJ$9,1,DT27))*((1-'Lease Cycles'!$AJ$9)*INDEX('Lease Cycles'!$FO$9:$FU$9,1,DT27)+(1-'Lease Cycles'!$BE$9)*(1-INDEX('Lease Cycles'!$FO$9:$FU$9,1,DT27)))),0)</f>
        <v>0.1507537688442211</v>
      </c>
      <c r="DU35" s="24">
        <f>IF(DU29=1,'Lease Cycles'!$D$9*IF(INDEX('Lease Cycles'!$EF$9:$EL$9,1,DU27)=1,(1-'Lease Cycles'!$AJ$9)*INDEX('Lease Cycles'!$EM$9:$ES$9,1,DU27)+(1-'Lease Cycles'!$BE$9)*IF(DU28&lt;INDEX('Lease Cycles'!$FA$9:$FG$9,1,DU27),0,1-INDEX('Lease Cycles'!$EM$9:$ES$9,1,DU27)),IF(OR(INDEX('Lease Cycles'!$DY$9:$EE$9,1,DU27)=1,DU28&gt;0),1,1-INDEX('Lease Cycles'!$DD$9:$DJ$9,1,DU27))*((1-'Lease Cycles'!$AJ$9)*INDEX('Lease Cycles'!$FO$9:$FU$9,1,DU27)+(1-'Lease Cycles'!$BE$9)*(1-INDEX('Lease Cycles'!$FO$9:$FU$9,1,DU27)))),0)</f>
        <v>0.1507537688442211</v>
      </c>
      <c r="DV35" s="24">
        <f>IF(DV29=1,'Lease Cycles'!$D$9*IF(INDEX('Lease Cycles'!$EF$9:$EL$9,1,DV27)=1,(1-'Lease Cycles'!$AJ$9)*INDEX('Lease Cycles'!$EM$9:$ES$9,1,DV27)+(1-'Lease Cycles'!$BE$9)*IF(DV28&lt;INDEX('Lease Cycles'!$FA$9:$FG$9,1,DV27),0,1-INDEX('Lease Cycles'!$EM$9:$ES$9,1,DV27)),IF(OR(INDEX('Lease Cycles'!$DY$9:$EE$9,1,DV27)=1,DV28&gt;0),1,1-INDEX('Lease Cycles'!$DD$9:$DJ$9,1,DV27))*((1-'Lease Cycles'!$AJ$9)*INDEX('Lease Cycles'!$FO$9:$FU$9,1,DV27)+(1-'Lease Cycles'!$BE$9)*(1-INDEX('Lease Cycles'!$FO$9:$FU$9,1,DV27)))),0)</f>
        <v>0.1507537688442211</v>
      </c>
      <c r="DW35" s="24">
        <f>IF(DW29=1,'Lease Cycles'!$D$9*IF(INDEX('Lease Cycles'!$EF$9:$EL$9,1,DW27)=1,(1-'Lease Cycles'!$AJ$9)*INDEX('Lease Cycles'!$EM$9:$ES$9,1,DW27)+(1-'Lease Cycles'!$BE$9)*IF(DW28&lt;INDEX('Lease Cycles'!$FA$9:$FG$9,1,DW27),0,1-INDEX('Lease Cycles'!$EM$9:$ES$9,1,DW27)),IF(OR(INDEX('Lease Cycles'!$DY$9:$EE$9,1,DW27)=1,DW28&gt;0),1,1-INDEX('Lease Cycles'!$DD$9:$DJ$9,1,DW27))*((1-'Lease Cycles'!$AJ$9)*INDEX('Lease Cycles'!$FO$9:$FU$9,1,DW27)+(1-'Lease Cycles'!$BE$9)*(1-INDEX('Lease Cycles'!$FO$9:$FU$9,1,DW27)))),0)</f>
        <v>0.1507537688442211</v>
      </c>
      <c r="DX35" s="24">
        <f>IF(DX29=1,'Lease Cycles'!$D$9*IF(INDEX('Lease Cycles'!$EF$9:$EL$9,1,DX27)=1,(1-'Lease Cycles'!$AJ$9)*INDEX('Lease Cycles'!$EM$9:$ES$9,1,DX27)+(1-'Lease Cycles'!$BE$9)*IF(DX28&lt;INDEX('Lease Cycles'!$FA$9:$FG$9,1,DX27),0,1-INDEX('Lease Cycles'!$EM$9:$ES$9,1,DX27)),IF(OR(INDEX('Lease Cycles'!$DY$9:$EE$9,1,DX27)=1,DX28&gt;0),1,1-INDEX('Lease Cycles'!$DD$9:$DJ$9,1,DX27))*((1-'Lease Cycles'!$AJ$9)*INDEX('Lease Cycles'!$FO$9:$FU$9,1,DX27)+(1-'Lease Cycles'!$BE$9)*(1-INDEX('Lease Cycles'!$FO$9:$FU$9,1,DX27)))),0)</f>
        <v>0.1507537688442211</v>
      </c>
      <c r="DY35" s="24">
        <f>IF(DY29=1,'Lease Cycles'!$D$9*IF(INDEX('Lease Cycles'!$EF$9:$EL$9,1,DY27)=1,(1-'Lease Cycles'!$AJ$9)*INDEX('Lease Cycles'!$EM$9:$ES$9,1,DY27)+(1-'Lease Cycles'!$BE$9)*IF(DY28&lt;INDEX('Lease Cycles'!$FA$9:$FG$9,1,DY27),0,1-INDEX('Lease Cycles'!$EM$9:$ES$9,1,DY27)),IF(OR(INDEX('Lease Cycles'!$DY$9:$EE$9,1,DY27)=1,DY28&gt;0),1,1-INDEX('Lease Cycles'!$DD$9:$DJ$9,1,DY27))*((1-'Lease Cycles'!$AJ$9)*INDEX('Lease Cycles'!$FO$9:$FU$9,1,DY27)+(1-'Lease Cycles'!$BE$9)*(1-INDEX('Lease Cycles'!$FO$9:$FU$9,1,DY27)))),0)</f>
        <v>0.1507537688442211</v>
      </c>
      <c r="DZ35" s="24">
        <f>IF(DZ29=1,'Lease Cycles'!$D$9*IF(INDEX('Lease Cycles'!$EF$9:$EL$9,1,DZ27)=1,(1-'Lease Cycles'!$AJ$9)*INDEX('Lease Cycles'!$EM$9:$ES$9,1,DZ27)+(1-'Lease Cycles'!$BE$9)*IF(DZ28&lt;INDEX('Lease Cycles'!$FA$9:$FG$9,1,DZ27),0,1-INDEX('Lease Cycles'!$EM$9:$ES$9,1,DZ27)),IF(OR(INDEX('Lease Cycles'!$DY$9:$EE$9,1,DZ27)=1,DZ28&gt;0),1,1-INDEX('Lease Cycles'!$DD$9:$DJ$9,1,DZ27))*((1-'Lease Cycles'!$AJ$9)*INDEX('Lease Cycles'!$FO$9:$FU$9,1,DZ27)+(1-'Lease Cycles'!$BE$9)*(1-INDEX('Lease Cycles'!$FO$9:$FU$9,1,DZ27)))),0)</f>
        <v>0.1507537688442211</v>
      </c>
      <c r="EA35" s="24">
        <f>IF(EA29=1,'Lease Cycles'!$D$9*IF(INDEX('Lease Cycles'!$EF$9:$EL$9,1,EA27)=1,(1-'Lease Cycles'!$AJ$9)*INDEX('Lease Cycles'!$EM$9:$ES$9,1,EA27)+(1-'Lease Cycles'!$BE$9)*IF(EA28&lt;INDEX('Lease Cycles'!$FA$9:$FG$9,1,EA27),0,1-INDEX('Lease Cycles'!$EM$9:$ES$9,1,EA27)),IF(OR(INDEX('Lease Cycles'!$DY$9:$EE$9,1,EA27)=1,EA28&gt;0),1,1-INDEX('Lease Cycles'!$DD$9:$DJ$9,1,EA27))*((1-'Lease Cycles'!$AJ$9)*INDEX('Lease Cycles'!$FO$9:$FU$9,1,EA27)+(1-'Lease Cycles'!$BE$9)*(1-INDEX('Lease Cycles'!$FO$9:$FU$9,1,EA27)))),0)</f>
        <v>0.1507537688442211</v>
      </c>
      <c r="EB35" s="24">
        <f>IF(EB29=1,'Lease Cycles'!$D$9*IF(INDEX('Lease Cycles'!$EF$9:$EL$9,1,EB27)=1,(1-'Lease Cycles'!$AJ$9)*INDEX('Lease Cycles'!$EM$9:$ES$9,1,EB27)+(1-'Lease Cycles'!$BE$9)*IF(EB28&lt;INDEX('Lease Cycles'!$FA$9:$FG$9,1,EB27),0,1-INDEX('Lease Cycles'!$EM$9:$ES$9,1,EB27)),IF(OR(INDEX('Lease Cycles'!$DY$9:$EE$9,1,EB27)=1,EB28&gt;0),1,1-INDEX('Lease Cycles'!$DD$9:$DJ$9,1,EB27))*((1-'Lease Cycles'!$AJ$9)*INDEX('Lease Cycles'!$FO$9:$FU$9,1,EB27)+(1-'Lease Cycles'!$BE$9)*(1-INDEX('Lease Cycles'!$FO$9:$FU$9,1,EB27)))),0)</f>
        <v>0.1507537688442211</v>
      </c>
      <c r="EC35" s="24">
        <f>IF(EC29=1,'Lease Cycles'!$D$9*IF(INDEX('Lease Cycles'!$EF$9:$EL$9,1,EC27)=1,(1-'Lease Cycles'!$AJ$9)*INDEX('Lease Cycles'!$EM$9:$ES$9,1,EC27)+(1-'Lease Cycles'!$BE$9)*IF(EC28&lt;INDEX('Lease Cycles'!$FA$9:$FG$9,1,EC27),0,1-INDEX('Lease Cycles'!$EM$9:$ES$9,1,EC27)),IF(OR(INDEX('Lease Cycles'!$DY$9:$EE$9,1,EC27)=1,EC28&gt;0),1,1-INDEX('Lease Cycles'!$DD$9:$DJ$9,1,EC27))*((1-'Lease Cycles'!$AJ$9)*INDEX('Lease Cycles'!$FO$9:$FU$9,1,EC27)+(1-'Lease Cycles'!$BE$9)*(1-INDEX('Lease Cycles'!$FO$9:$FU$9,1,EC27)))),0)</f>
        <v>0.1507537688442211</v>
      </c>
      <c r="ED35" s="24">
        <f>IF(ED29=1,'Lease Cycles'!$D$9*IF(INDEX('Lease Cycles'!$EF$9:$EL$9,1,ED27)=1,(1-'Lease Cycles'!$AJ$9)*INDEX('Lease Cycles'!$EM$9:$ES$9,1,ED27)+(1-'Lease Cycles'!$BE$9)*IF(ED28&lt;INDEX('Lease Cycles'!$FA$9:$FG$9,1,ED27),0,1-INDEX('Lease Cycles'!$EM$9:$ES$9,1,ED27)),IF(OR(INDEX('Lease Cycles'!$DY$9:$EE$9,1,ED27)=1,ED28&gt;0),1,1-INDEX('Lease Cycles'!$DD$9:$DJ$9,1,ED27))*((1-'Lease Cycles'!$AJ$9)*INDEX('Lease Cycles'!$FO$9:$FU$9,1,ED27)+(1-'Lease Cycles'!$BE$9)*(1-INDEX('Lease Cycles'!$FO$9:$FU$9,1,ED27)))),0)</f>
        <v>0.1507537688442211</v>
      </c>
      <c r="EE35" s="24">
        <f>IF(EE29=1,'Lease Cycles'!$D$9*IF(INDEX('Lease Cycles'!$EF$9:$EL$9,1,EE27)=1,(1-'Lease Cycles'!$AJ$9)*INDEX('Lease Cycles'!$EM$9:$ES$9,1,EE27)+(1-'Lease Cycles'!$BE$9)*IF(EE28&lt;INDEX('Lease Cycles'!$FA$9:$FG$9,1,EE27),0,1-INDEX('Lease Cycles'!$EM$9:$ES$9,1,EE27)),IF(OR(INDEX('Lease Cycles'!$DY$9:$EE$9,1,EE27)=1,EE28&gt;0),1,1-INDEX('Lease Cycles'!$DD$9:$DJ$9,1,EE27))*((1-'Lease Cycles'!$AJ$9)*INDEX('Lease Cycles'!$FO$9:$FU$9,1,EE27)+(1-'Lease Cycles'!$BE$9)*(1-INDEX('Lease Cycles'!$FO$9:$FU$9,1,EE27)))),0)</f>
        <v>0.1507537688442211</v>
      </c>
      <c r="EF35" s="24">
        <f>IF(EF29=1,'Lease Cycles'!$D$9*IF(INDEX('Lease Cycles'!$EF$9:$EL$9,1,EF27)=1,(1-'Lease Cycles'!$AJ$9)*INDEX('Lease Cycles'!$EM$9:$ES$9,1,EF27)+(1-'Lease Cycles'!$BE$9)*IF(EF28&lt;INDEX('Lease Cycles'!$FA$9:$FG$9,1,EF27),0,1-INDEX('Lease Cycles'!$EM$9:$ES$9,1,EF27)),IF(OR(INDEX('Lease Cycles'!$DY$9:$EE$9,1,EF27)=1,EF28&gt;0),1,1-INDEX('Lease Cycles'!$DD$9:$DJ$9,1,EF27))*((1-'Lease Cycles'!$AJ$9)*INDEX('Lease Cycles'!$FO$9:$FU$9,1,EF27)+(1-'Lease Cycles'!$BE$9)*(1-INDEX('Lease Cycles'!$FO$9:$FU$9,1,EF27)))),0)</f>
        <v>0.1507537688442211</v>
      </c>
      <c r="EG35" s="24">
        <f>IF(EG29=1,'Lease Cycles'!$D$9*IF(INDEX('Lease Cycles'!$EF$9:$EL$9,1,EG27)=1,(1-'Lease Cycles'!$AJ$9)*INDEX('Lease Cycles'!$EM$9:$ES$9,1,EG27)+(1-'Lease Cycles'!$BE$9)*IF(EG28&lt;INDEX('Lease Cycles'!$FA$9:$FG$9,1,EG27),0,1-INDEX('Lease Cycles'!$EM$9:$ES$9,1,EG27)),IF(OR(INDEX('Lease Cycles'!$DY$9:$EE$9,1,EG27)=1,EG28&gt;0),1,1-INDEX('Lease Cycles'!$DD$9:$DJ$9,1,EG27))*((1-'Lease Cycles'!$AJ$9)*INDEX('Lease Cycles'!$FO$9:$FU$9,1,EG27)+(1-'Lease Cycles'!$BE$9)*(1-INDEX('Lease Cycles'!$FO$9:$FU$9,1,EG27)))),0)</f>
        <v>0.1507537688442211</v>
      </c>
      <c r="EH35" s="24">
        <f>IF(EH29=1,'Lease Cycles'!$D$9*IF(INDEX('Lease Cycles'!$EF$9:$EL$9,1,EH27)=1,(1-'Lease Cycles'!$AJ$9)*INDEX('Lease Cycles'!$EM$9:$ES$9,1,EH27)+(1-'Lease Cycles'!$BE$9)*IF(EH28&lt;INDEX('Lease Cycles'!$FA$9:$FG$9,1,EH27),0,1-INDEX('Lease Cycles'!$EM$9:$ES$9,1,EH27)),IF(OR(INDEX('Lease Cycles'!$DY$9:$EE$9,1,EH27)=1,EH28&gt;0),1,1-INDEX('Lease Cycles'!$DD$9:$DJ$9,1,EH27))*((1-'Lease Cycles'!$AJ$9)*INDEX('Lease Cycles'!$FO$9:$FU$9,1,EH27)+(1-'Lease Cycles'!$BE$9)*(1-INDEX('Lease Cycles'!$FO$9:$FU$9,1,EH27)))),0)</f>
        <v>0.1507537688442211</v>
      </c>
      <c r="EI35" s="24">
        <f>IF(EI29=1,'Lease Cycles'!$D$9*IF(INDEX('Lease Cycles'!$EF$9:$EL$9,1,EI27)=1,(1-'Lease Cycles'!$AJ$9)*INDEX('Lease Cycles'!$EM$9:$ES$9,1,EI27)+(1-'Lease Cycles'!$BE$9)*IF(EI28&lt;INDEX('Lease Cycles'!$FA$9:$FG$9,1,EI27),0,1-INDEX('Lease Cycles'!$EM$9:$ES$9,1,EI27)),IF(OR(INDEX('Lease Cycles'!$DY$9:$EE$9,1,EI27)=1,EI28&gt;0),1,1-INDEX('Lease Cycles'!$DD$9:$DJ$9,1,EI27))*((1-'Lease Cycles'!$AJ$9)*INDEX('Lease Cycles'!$FO$9:$FU$9,1,EI27)+(1-'Lease Cycles'!$BE$9)*(1-INDEX('Lease Cycles'!$FO$9:$FU$9,1,EI27)))),0)</f>
        <v>0.1507537688442211</v>
      </c>
      <c r="EJ35" s="24">
        <f>IF(EJ29=1,'Lease Cycles'!$D$9*IF(INDEX('Lease Cycles'!$EF$9:$EL$9,1,EJ27)=1,(1-'Lease Cycles'!$AJ$9)*INDEX('Lease Cycles'!$EM$9:$ES$9,1,EJ27)+(1-'Lease Cycles'!$BE$9)*IF(EJ28&lt;INDEX('Lease Cycles'!$FA$9:$FG$9,1,EJ27),0,1-INDEX('Lease Cycles'!$EM$9:$ES$9,1,EJ27)),IF(OR(INDEX('Lease Cycles'!$DY$9:$EE$9,1,EJ27)=1,EJ28&gt;0),1,1-INDEX('Lease Cycles'!$DD$9:$DJ$9,1,EJ27))*((1-'Lease Cycles'!$AJ$9)*INDEX('Lease Cycles'!$FO$9:$FU$9,1,EJ27)+(1-'Lease Cycles'!$BE$9)*(1-INDEX('Lease Cycles'!$FO$9:$FU$9,1,EJ27)))),0)</f>
        <v>0.1507537688442211</v>
      </c>
      <c r="EK35" s="24">
        <f>IF(EK29=1,'Lease Cycles'!$D$9*IF(INDEX('Lease Cycles'!$EF$9:$EL$9,1,EK27)=1,(1-'Lease Cycles'!$AJ$9)*INDEX('Lease Cycles'!$EM$9:$ES$9,1,EK27)+(1-'Lease Cycles'!$BE$9)*IF(EK28&lt;INDEX('Lease Cycles'!$FA$9:$FG$9,1,EK27),0,1-INDEX('Lease Cycles'!$EM$9:$ES$9,1,EK27)),IF(OR(INDEX('Lease Cycles'!$DY$9:$EE$9,1,EK27)=1,EK28&gt;0),1,1-INDEX('Lease Cycles'!$DD$9:$DJ$9,1,EK27))*((1-'Lease Cycles'!$AJ$9)*INDEX('Lease Cycles'!$FO$9:$FU$9,1,EK27)+(1-'Lease Cycles'!$BE$9)*(1-INDEX('Lease Cycles'!$FO$9:$FU$9,1,EK27)))),0)</f>
        <v>0.1507537688442211</v>
      </c>
      <c r="EL35" s="24">
        <f>IF(EL29=1,'Lease Cycles'!$D$9*IF(INDEX('Lease Cycles'!$EF$9:$EL$9,1,EL27)=1,(1-'Lease Cycles'!$AJ$9)*INDEX('Lease Cycles'!$EM$9:$ES$9,1,EL27)+(1-'Lease Cycles'!$BE$9)*IF(EL28&lt;INDEX('Lease Cycles'!$FA$9:$FG$9,1,EL27),0,1-INDEX('Lease Cycles'!$EM$9:$ES$9,1,EL27)),IF(OR(INDEX('Lease Cycles'!$DY$9:$EE$9,1,EL27)=1,EL28&gt;0),1,1-INDEX('Lease Cycles'!$DD$9:$DJ$9,1,EL27))*((1-'Lease Cycles'!$AJ$9)*INDEX('Lease Cycles'!$FO$9:$FU$9,1,EL27)+(1-'Lease Cycles'!$BE$9)*(1-INDEX('Lease Cycles'!$FO$9:$FU$9,1,EL27)))),0)</f>
        <v>0.1507537688442211</v>
      </c>
      <c r="EM35" s="24">
        <f>IF(EM29=1,'Lease Cycles'!$D$9*IF(INDEX('Lease Cycles'!$EF$9:$EL$9,1,EM27)=1,(1-'Lease Cycles'!$AJ$9)*INDEX('Lease Cycles'!$EM$9:$ES$9,1,EM27)+(1-'Lease Cycles'!$BE$9)*IF(EM28&lt;INDEX('Lease Cycles'!$FA$9:$FG$9,1,EM27),0,1-INDEX('Lease Cycles'!$EM$9:$ES$9,1,EM27)),IF(OR(INDEX('Lease Cycles'!$DY$9:$EE$9,1,EM27)=1,EM28&gt;0),1,1-INDEX('Lease Cycles'!$DD$9:$DJ$9,1,EM27))*((1-'Lease Cycles'!$AJ$9)*INDEX('Lease Cycles'!$FO$9:$FU$9,1,EM27)+(1-'Lease Cycles'!$BE$9)*(1-INDEX('Lease Cycles'!$FO$9:$FU$9,1,EM27)))),0)</f>
        <v>0.1507537688442211</v>
      </c>
      <c r="EN35" s="24">
        <f>IF(EN29=1,'Lease Cycles'!$D$9*IF(INDEX('Lease Cycles'!$EF$9:$EL$9,1,EN27)=1,(1-'Lease Cycles'!$AJ$9)*INDEX('Lease Cycles'!$EM$9:$ES$9,1,EN27)+(1-'Lease Cycles'!$BE$9)*IF(EN28&lt;INDEX('Lease Cycles'!$FA$9:$FG$9,1,EN27),0,1-INDEX('Lease Cycles'!$EM$9:$ES$9,1,EN27)),IF(OR(INDEX('Lease Cycles'!$DY$9:$EE$9,1,EN27)=1,EN28&gt;0),1,1-INDEX('Lease Cycles'!$DD$9:$DJ$9,1,EN27))*((1-'Lease Cycles'!$AJ$9)*INDEX('Lease Cycles'!$FO$9:$FU$9,1,EN27)+(1-'Lease Cycles'!$BE$9)*(1-INDEX('Lease Cycles'!$FO$9:$FU$9,1,EN27)))),0)</f>
        <v>0.1507537688442211</v>
      </c>
      <c r="EO35" s="24">
        <f>IF(EO29=1,'Lease Cycles'!$D$9*IF(INDEX('Lease Cycles'!$EF$9:$EL$9,1,EO27)=1,(1-'Lease Cycles'!$AJ$9)*INDEX('Lease Cycles'!$EM$9:$ES$9,1,EO27)+(1-'Lease Cycles'!$BE$9)*IF(EO28&lt;INDEX('Lease Cycles'!$FA$9:$FG$9,1,EO27),0,1-INDEX('Lease Cycles'!$EM$9:$ES$9,1,EO27)),IF(OR(INDEX('Lease Cycles'!$DY$9:$EE$9,1,EO27)=1,EO28&gt;0),1,1-INDEX('Lease Cycles'!$DD$9:$DJ$9,1,EO27))*((1-'Lease Cycles'!$AJ$9)*INDEX('Lease Cycles'!$FO$9:$FU$9,1,EO27)+(1-'Lease Cycles'!$BE$9)*(1-INDEX('Lease Cycles'!$FO$9:$FU$9,1,EO27)))),0)</f>
        <v>0.1507537688442211</v>
      </c>
      <c r="EP35" s="24">
        <f>IF(EP29=1,'Lease Cycles'!$D$9*IF(INDEX('Lease Cycles'!$EF$9:$EL$9,1,EP27)=1,(1-'Lease Cycles'!$AJ$9)*INDEX('Lease Cycles'!$EM$9:$ES$9,1,EP27)+(1-'Lease Cycles'!$BE$9)*IF(EP28&lt;INDEX('Lease Cycles'!$FA$9:$FG$9,1,EP27),0,1-INDEX('Lease Cycles'!$EM$9:$ES$9,1,EP27)),IF(OR(INDEX('Lease Cycles'!$DY$9:$EE$9,1,EP27)=1,EP28&gt;0),1,1-INDEX('Lease Cycles'!$DD$9:$DJ$9,1,EP27))*((1-'Lease Cycles'!$AJ$9)*INDEX('Lease Cycles'!$FO$9:$FU$9,1,EP27)+(1-'Lease Cycles'!$BE$9)*(1-INDEX('Lease Cycles'!$FO$9:$FU$9,1,EP27)))),0)</f>
        <v>0.1507537688442211</v>
      </c>
      <c r="EQ35" s="24">
        <f>IF(EQ29=1,'Lease Cycles'!$D$9*IF(INDEX('Lease Cycles'!$EF$9:$EL$9,1,EQ27)=1,(1-'Lease Cycles'!$AJ$9)*INDEX('Lease Cycles'!$EM$9:$ES$9,1,EQ27)+(1-'Lease Cycles'!$BE$9)*IF(EQ28&lt;INDEX('Lease Cycles'!$FA$9:$FG$9,1,EQ27),0,1-INDEX('Lease Cycles'!$EM$9:$ES$9,1,EQ27)),IF(OR(INDEX('Lease Cycles'!$DY$9:$EE$9,1,EQ27)=1,EQ28&gt;0),1,1-INDEX('Lease Cycles'!$DD$9:$DJ$9,1,EQ27))*((1-'Lease Cycles'!$AJ$9)*INDEX('Lease Cycles'!$FO$9:$FU$9,1,EQ27)+(1-'Lease Cycles'!$BE$9)*(1-INDEX('Lease Cycles'!$FO$9:$FU$9,1,EQ27)))),0)</f>
        <v>0.1507537688442211</v>
      </c>
      <c r="ER35" s="24">
        <f>IF(ER29=1,'Lease Cycles'!$D$9*IF(INDEX('Lease Cycles'!$EF$9:$EL$9,1,ER27)=1,(1-'Lease Cycles'!$AJ$9)*INDEX('Lease Cycles'!$EM$9:$ES$9,1,ER27)+(1-'Lease Cycles'!$BE$9)*IF(ER28&lt;INDEX('Lease Cycles'!$FA$9:$FG$9,1,ER27),0,1-INDEX('Lease Cycles'!$EM$9:$ES$9,1,ER27)),IF(OR(INDEX('Lease Cycles'!$DY$9:$EE$9,1,ER27)=1,ER28&gt;0),1,1-INDEX('Lease Cycles'!$DD$9:$DJ$9,1,ER27))*((1-'Lease Cycles'!$AJ$9)*INDEX('Lease Cycles'!$FO$9:$FU$9,1,ER27)+(1-'Lease Cycles'!$BE$9)*(1-INDEX('Lease Cycles'!$FO$9:$FU$9,1,ER27)))),0)</f>
        <v>0.1507537688442211</v>
      </c>
      <c r="ES35" s="24">
        <f>IF(ES29=1,'Lease Cycles'!$D$9*IF(INDEX('Lease Cycles'!$EF$9:$EL$9,1,ES27)=1,(1-'Lease Cycles'!$AJ$9)*INDEX('Lease Cycles'!$EM$9:$ES$9,1,ES27)+(1-'Lease Cycles'!$BE$9)*IF(ES28&lt;INDEX('Lease Cycles'!$FA$9:$FG$9,1,ES27),0,1-INDEX('Lease Cycles'!$EM$9:$ES$9,1,ES27)),IF(OR(INDEX('Lease Cycles'!$DY$9:$EE$9,1,ES27)=1,ES28&gt;0),1,1-INDEX('Lease Cycles'!$DD$9:$DJ$9,1,ES27))*((1-'Lease Cycles'!$AJ$9)*INDEX('Lease Cycles'!$FO$9:$FU$9,1,ES27)+(1-'Lease Cycles'!$BE$9)*(1-INDEX('Lease Cycles'!$FO$9:$FU$9,1,ES27)))),0)</f>
        <v>0.1507537688442211</v>
      </c>
      <c r="ET35" s="24">
        <f>IF(ET29=1,'Lease Cycles'!$D$9*IF(INDEX('Lease Cycles'!$EF$9:$EL$9,1,ET27)=1,(1-'Lease Cycles'!$AJ$9)*INDEX('Lease Cycles'!$EM$9:$ES$9,1,ET27)+(1-'Lease Cycles'!$BE$9)*IF(ET28&lt;INDEX('Lease Cycles'!$FA$9:$FG$9,1,ET27),0,1-INDEX('Lease Cycles'!$EM$9:$ES$9,1,ET27)),IF(OR(INDEX('Lease Cycles'!$DY$9:$EE$9,1,ET27)=1,ET28&gt;0),1,1-INDEX('Lease Cycles'!$DD$9:$DJ$9,1,ET27))*((1-'Lease Cycles'!$AJ$9)*INDEX('Lease Cycles'!$FO$9:$FU$9,1,ET27)+(1-'Lease Cycles'!$BE$9)*(1-INDEX('Lease Cycles'!$FO$9:$FU$9,1,ET27)))),0)</f>
        <v>0.1507537688442211</v>
      </c>
    </row>
    <row r="36">
      <c r="A36" s="103">
        <v>2</v>
      </c>
      <c r="B36" s="23" t="str">
        <f>IF('Lease Cycles'!$B$9="","(empty slot)",'Lease Cycles'!$B$9)</f>
        <v>Sunfield Pharmacy</v>
      </c>
      <c r="C36" s="23" t="s">
        <v>685</v>
      </c>
      <c r="D36" s="104" t="s">
        <v>686</v>
      </c>
      <c r="E36" s="25">
        <f>'Lease Cycles'!$AL$9</f>
        <v>0</v>
      </c>
      <c r="G36" s="24">
        <f>SUM(S36:AD36)</f>
        <v>0</v>
      </c>
      <c r="H36" s="24">
        <f>SUM(AE36:AP36)</f>
        <v>0</v>
      </c>
      <c r="I36" s="24">
        <f>SUM(AQ36:BB36)</f>
        <v>0</v>
      </c>
      <c r="J36" s="24">
        <f>SUM(BC36:BN36)</f>
        <v>0</v>
      </c>
      <c r="K36" s="24">
        <f>SUM(BO36:BZ36)</f>
        <v>0</v>
      </c>
      <c r="L36" s="24">
        <f>SUM(CA36:CL36)</f>
        <v>0</v>
      </c>
      <c r="M36" s="24">
        <f>SUM(CM36:CX36)</f>
        <v>0</v>
      </c>
      <c r="N36" s="24">
        <f>SUM(CY36:DJ36)</f>
        <v>0</v>
      </c>
      <c r="O36" s="24">
        <f>SUM(DK36:DV36)</f>
        <v>0</v>
      </c>
      <c r="P36" s="24">
        <f>SUM(DW36:EH36)</f>
        <v>0</v>
      </c>
      <c r="Q36" s="24">
        <f>SUM(EI36:ET36)</f>
        <v>0</v>
      </c>
      <c r="S36" s="24">
        <f>IF(S29=1,IF('Lease Cycles'!$AJ$9=1,0,'Lease Cycles'!$D$9*INDEX('Lease Cycles'!$FH$9:$FN$9,1,S27)*IF(INDEX('Lease Cycles'!$EF$9:$EL$9,1,S27)=1,1,IF(OR(INDEX('Lease Cycles'!$DY$9:$EE$9,1,S27)=1,S28&gt;0),1,1-INDEX('Lease Cycles'!$DD$9:$DJ$9,1,S27)))),0)</f>
        <v>0</v>
      </c>
      <c r="T36" s="24">
        <f>IF(T29=1,IF('Lease Cycles'!$AJ$9=1,0,'Lease Cycles'!$D$9*INDEX('Lease Cycles'!$FH$9:$FN$9,1,T27)*IF(INDEX('Lease Cycles'!$EF$9:$EL$9,1,T27)=1,1,IF(OR(INDEX('Lease Cycles'!$DY$9:$EE$9,1,T27)=1,T28&gt;0),1,1-INDEX('Lease Cycles'!$DD$9:$DJ$9,1,T27)))),0)</f>
        <v>0</v>
      </c>
      <c r="U36" s="24">
        <f>IF(U29=1,IF('Lease Cycles'!$AJ$9=1,0,'Lease Cycles'!$D$9*INDEX('Lease Cycles'!$FH$9:$FN$9,1,U27)*IF(INDEX('Lease Cycles'!$EF$9:$EL$9,1,U27)=1,1,IF(OR(INDEX('Lease Cycles'!$DY$9:$EE$9,1,U27)=1,U28&gt;0),1,1-INDEX('Lease Cycles'!$DD$9:$DJ$9,1,U27)))),0)</f>
        <v>0</v>
      </c>
      <c r="V36" s="24">
        <f>IF(V29=1,IF('Lease Cycles'!$AJ$9=1,0,'Lease Cycles'!$D$9*INDEX('Lease Cycles'!$FH$9:$FN$9,1,V27)*IF(INDEX('Lease Cycles'!$EF$9:$EL$9,1,V27)=1,1,IF(OR(INDEX('Lease Cycles'!$DY$9:$EE$9,1,V27)=1,V28&gt;0),1,1-INDEX('Lease Cycles'!$DD$9:$DJ$9,1,V27)))),0)</f>
        <v>0</v>
      </c>
      <c r="W36" s="24">
        <f>IF(W29=1,IF('Lease Cycles'!$AJ$9=1,0,'Lease Cycles'!$D$9*INDEX('Lease Cycles'!$FH$9:$FN$9,1,W27)*IF(INDEX('Lease Cycles'!$EF$9:$EL$9,1,W27)=1,1,IF(OR(INDEX('Lease Cycles'!$DY$9:$EE$9,1,W27)=1,W28&gt;0),1,1-INDEX('Lease Cycles'!$DD$9:$DJ$9,1,W27)))),0)</f>
        <v>0</v>
      </c>
      <c r="X36" s="24">
        <f>IF(X29=1,IF('Lease Cycles'!$AJ$9=1,0,'Lease Cycles'!$D$9*INDEX('Lease Cycles'!$FH$9:$FN$9,1,X27)*IF(INDEX('Lease Cycles'!$EF$9:$EL$9,1,X27)=1,1,IF(OR(INDEX('Lease Cycles'!$DY$9:$EE$9,1,X27)=1,X28&gt;0),1,1-INDEX('Lease Cycles'!$DD$9:$DJ$9,1,X27)))),0)</f>
        <v>0</v>
      </c>
      <c r="Y36" s="24">
        <f>IF(Y29=1,IF('Lease Cycles'!$AJ$9=1,0,'Lease Cycles'!$D$9*INDEX('Lease Cycles'!$FH$9:$FN$9,1,Y27)*IF(INDEX('Lease Cycles'!$EF$9:$EL$9,1,Y27)=1,1,IF(OR(INDEX('Lease Cycles'!$DY$9:$EE$9,1,Y27)=1,Y28&gt;0),1,1-INDEX('Lease Cycles'!$DD$9:$DJ$9,1,Y27)))),0)</f>
        <v>0</v>
      </c>
      <c r="Z36" s="24">
        <f>IF(Z29=1,IF('Lease Cycles'!$AJ$9=1,0,'Lease Cycles'!$D$9*INDEX('Lease Cycles'!$FH$9:$FN$9,1,Z27)*IF(INDEX('Lease Cycles'!$EF$9:$EL$9,1,Z27)=1,1,IF(OR(INDEX('Lease Cycles'!$DY$9:$EE$9,1,Z27)=1,Z28&gt;0),1,1-INDEX('Lease Cycles'!$DD$9:$DJ$9,1,Z27)))),0)</f>
        <v>0</v>
      </c>
      <c r="AA36" s="24">
        <f>IF(AA29=1,IF('Lease Cycles'!$AJ$9=1,0,'Lease Cycles'!$D$9*INDEX('Lease Cycles'!$FH$9:$FN$9,1,AA27)*IF(INDEX('Lease Cycles'!$EF$9:$EL$9,1,AA27)=1,1,IF(OR(INDEX('Lease Cycles'!$DY$9:$EE$9,1,AA27)=1,AA28&gt;0),1,1-INDEX('Lease Cycles'!$DD$9:$DJ$9,1,AA27)))),0)</f>
        <v>0</v>
      </c>
      <c r="AB36" s="24">
        <f>IF(AB29=1,IF('Lease Cycles'!$AJ$9=1,0,'Lease Cycles'!$D$9*INDEX('Lease Cycles'!$FH$9:$FN$9,1,AB27)*IF(INDEX('Lease Cycles'!$EF$9:$EL$9,1,AB27)=1,1,IF(OR(INDEX('Lease Cycles'!$DY$9:$EE$9,1,AB27)=1,AB28&gt;0),1,1-INDEX('Lease Cycles'!$DD$9:$DJ$9,1,AB27)))),0)</f>
        <v>0</v>
      </c>
      <c r="AC36" s="24">
        <f>IF(AC29=1,IF('Lease Cycles'!$AJ$9=1,0,'Lease Cycles'!$D$9*INDEX('Lease Cycles'!$FH$9:$FN$9,1,AC27)*IF(INDEX('Lease Cycles'!$EF$9:$EL$9,1,AC27)=1,1,IF(OR(INDEX('Lease Cycles'!$DY$9:$EE$9,1,AC27)=1,AC28&gt;0),1,1-INDEX('Lease Cycles'!$DD$9:$DJ$9,1,AC27)))),0)</f>
        <v>0</v>
      </c>
      <c r="AD36" s="24">
        <f>IF(AD29=1,IF('Lease Cycles'!$AJ$9=1,0,'Lease Cycles'!$D$9*INDEX('Lease Cycles'!$FH$9:$FN$9,1,AD27)*IF(INDEX('Lease Cycles'!$EF$9:$EL$9,1,AD27)=1,1,IF(OR(INDEX('Lease Cycles'!$DY$9:$EE$9,1,AD27)=1,AD28&gt;0),1,1-INDEX('Lease Cycles'!$DD$9:$DJ$9,1,AD27)))),0)</f>
        <v>0</v>
      </c>
      <c r="AE36" s="24">
        <f>IF(AE29=1,IF('Lease Cycles'!$AJ$9=1,0,'Lease Cycles'!$D$9*INDEX('Lease Cycles'!$FH$9:$FN$9,1,AE27)*IF(INDEX('Lease Cycles'!$EF$9:$EL$9,1,AE27)=1,1,IF(OR(INDEX('Lease Cycles'!$DY$9:$EE$9,1,AE27)=1,AE28&gt;0),1,1-INDEX('Lease Cycles'!$DD$9:$DJ$9,1,AE27)))),0)</f>
        <v>0</v>
      </c>
      <c r="AF36" s="24">
        <f>IF(AF29=1,IF('Lease Cycles'!$AJ$9=1,0,'Lease Cycles'!$D$9*INDEX('Lease Cycles'!$FH$9:$FN$9,1,AF27)*IF(INDEX('Lease Cycles'!$EF$9:$EL$9,1,AF27)=1,1,IF(OR(INDEX('Lease Cycles'!$DY$9:$EE$9,1,AF27)=1,AF28&gt;0),1,1-INDEX('Lease Cycles'!$DD$9:$DJ$9,1,AF27)))),0)</f>
        <v>0</v>
      </c>
      <c r="AG36" s="24">
        <f>IF(AG29=1,IF('Lease Cycles'!$AJ$9=1,0,'Lease Cycles'!$D$9*INDEX('Lease Cycles'!$FH$9:$FN$9,1,AG27)*IF(INDEX('Lease Cycles'!$EF$9:$EL$9,1,AG27)=1,1,IF(OR(INDEX('Lease Cycles'!$DY$9:$EE$9,1,AG27)=1,AG28&gt;0),1,1-INDEX('Lease Cycles'!$DD$9:$DJ$9,1,AG27)))),0)</f>
        <v>0</v>
      </c>
      <c r="AH36" s="24">
        <f>IF(AH29=1,IF('Lease Cycles'!$AJ$9=1,0,'Lease Cycles'!$D$9*INDEX('Lease Cycles'!$FH$9:$FN$9,1,AH27)*IF(INDEX('Lease Cycles'!$EF$9:$EL$9,1,AH27)=1,1,IF(OR(INDEX('Lease Cycles'!$DY$9:$EE$9,1,AH27)=1,AH28&gt;0),1,1-INDEX('Lease Cycles'!$DD$9:$DJ$9,1,AH27)))),0)</f>
        <v>0</v>
      </c>
      <c r="AI36" s="24">
        <f>IF(AI29=1,IF('Lease Cycles'!$AJ$9=1,0,'Lease Cycles'!$D$9*INDEX('Lease Cycles'!$FH$9:$FN$9,1,AI27)*IF(INDEX('Lease Cycles'!$EF$9:$EL$9,1,AI27)=1,1,IF(OR(INDEX('Lease Cycles'!$DY$9:$EE$9,1,AI27)=1,AI28&gt;0),1,1-INDEX('Lease Cycles'!$DD$9:$DJ$9,1,AI27)))),0)</f>
        <v>0</v>
      </c>
      <c r="AJ36" s="24">
        <f>IF(AJ29=1,IF('Lease Cycles'!$AJ$9=1,0,'Lease Cycles'!$D$9*INDEX('Lease Cycles'!$FH$9:$FN$9,1,AJ27)*IF(INDEX('Lease Cycles'!$EF$9:$EL$9,1,AJ27)=1,1,IF(OR(INDEX('Lease Cycles'!$DY$9:$EE$9,1,AJ27)=1,AJ28&gt;0),1,1-INDEX('Lease Cycles'!$DD$9:$DJ$9,1,AJ27)))),0)</f>
        <v>0</v>
      </c>
      <c r="AK36" s="24">
        <f>IF(AK29=1,IF('Lease Cycles'!$AJ$9=1,0,'Lease Cycles'!$D$9*INDEX('Lease Cycles'!$FH$9:$FN$9,1,AK27)*IF(INDEX('Lease Cycles'!$EF$9:$EL$9,1,AK27)=1,1,IF(OR(INDEX('Lease Cycles'!$DY$9:$EE$9,1,AK27)=1,AK28&gt;0),1,1-INDEX('Lease Cycles'!$DD$9:$DJ$9,1,AK27)))),0)</f>
        <v>0</v>
      </c>
      <c r="AL36" s="24">
        <f>IF(AL29=1,IF('Lease Cycles'!$AJ$9=1,0,'Lease Cycles'!$D$9*INDEX('Lease Cycles'!$FH$9:$FN$9,1,AL27)*IF(INDEX('Lease Cycles'!$EF$9:$EL$9,1,AL27)=1,1,IF(OR(INDEX('Lease Cycles'!$DY$9:$EE$9,1,AL27)=1,AL28&gt;0),1,1-INDEX('Lease Cycles'!$DD$9:$DJ$9,1,AL27)))),0)</f>
        <v>0</v>
      </c>
      <c r="AM36" s="24">
        <f>IF(AM29=1,IF('Lease Cycles'!$AJ$9=1,0,'Lease Cycles'!$D$9*INDEX('Lease Cycles'!$FH$9:$FN$9,1,AM27)*IF(INDEX('Lease Cycles'!$EF$9:$EL$9,1,AM27)=1,1,IF(OR(INDEX('Lease Cycles'!$DY$9:$EE$9,1,AM27)=1,AM28&gt;0),1,1-INDEX('Lease Cycles'!$DD$9:$DJ$9,1,AM27)))),0)</f>
        <v>0</v>
      </c>
      <c r="AN36" s="24">
        <f>IF(AN29=1,IF('Lease Cycles'!$AJ$9=1,0,'Lease Cycles'!$D$9*INDEX('Lease Cycles'!$FH$9:$FN$9,1,AN27)*IF(INDEX('Lease Cycles'!$EF$9:$EL$9,1,AN27)=1,1,IF(OR(INDEX('Lease Cycles'!$DY$9:$EE$9,1,AN27)=1,AN28&gt;0),1,1-INDEX('Lease Cycles'!$DD$9:$DJ$9,1,AN27)))),0)</f>
        <v>0</v>
      </c>
      <c r="AO36" s="24">
        <f>IF(AO29=1,IF('Lease Cycles'!$AJ$9=1,0,'Lease Cycles'!$D$9*INDEX('Lease Cycles'!$FH$9:$FN$9,1,AO27)*IF(INDEX('Lease Cycles'!$EF$9:$EL$9,1,AO27)=1,1,IF(OR(INDEX('Lease Cycles'!$DY$9:$EE$9,1,AO27)=1,AO28&gt;0),1,1-INDEX('Lease Cycles'!$DD$9:$DJ$9,1,AO27)))),0)</f>
        <v>0</v>
      </c>
      <c r="AP36" s="24">
        <f>IF(AP29=1,IF('Lease Cycles'!$AJ$9=1,0,'Lease Cycles'!$D$9*INDEX('Lease Cycles'!$FH$9:$FN$9,1,AP27)*IF(INDEX('Lease Cycles'!$EF$9:$EL$9,1,AP27)=1,1,IF(OR(INDEX('Lease Cycles'!$DY$9:$EE$9,1,AP27)=1,AP28&gt;0),1,1-INDEX('Lease Cycles'!$DD$9:$DJ$9,1,AP27)))),0)</f>
        <v>0</v>
      </c>
      <c r="AQ36" s="24">
        <f>IF(AQ29=1,IF('Lease Cycles'!$AJ$9=1,0,'Lease Cycles'!$D$9*INDEX('Lease Cycles'!$FH$9:$FN$9,1,AQ27)*IF(INDEX('Lease Cycles'!$EF$9:$EL$9,1,AQ27)=1,1,IF(OR(INDEX('Lease Cycles'!$DY$9:$EE$9,1,AQ27)=1,AQ28&gt;0),1,1-INDEX('Lease Cycles'!$DD$9:$DJ$9,1,AQ27)))),0)</f>
        <v>0</v>
      </c>
      <c r="AR36" s="24">
        <f>IF(AR29=1,IF('Lease Cycles'!$AJ$9=1,0,'Lease Cycles'!$D$9*INDEX('Lease Cycles'!$FH$9:$FN$9,1,AR27)*IF(INDEX('Lease Cycles'!$EF$9:$EL$9,1,AR27)=1,1,IF(OR(INDEX('Lease Cycles'!$DY$9:$EE$9,1,AR27)=1,AR28&gt;0),1,1-INDEX('Lease Cycles'!$DD$9:$DJ$9,1,AR27)))),0)</f>
        <v>0</v>
      </c>
      <c r="AS36" s="24">
        <f>IF(AS29=1,IF('Lease Cycles'!$AJ$9=1,0,'Lease Cycles'!$D$9*INDEX('Lease Cycles'!$FH$9:$FN$9,1,AS27)*IF(INDEX('Lease Cycles'!$EF$9:$EL$9,1,AS27)=1,1,IF(OR(INDEX('Lease Cycles'!$DY$9:$EE$9,1,AS27)=1,AS28&gt;0),1,1-INDEX('Lease Cycles'!$DD$9:$DJ$9,1,AS27)))),0)</f>
        <v>0</v>
      </c>
      <c r="AT36" s="24">
        <f>IF(AT29=1,IF('Lease Cycles'!$AJ$9=1,0,'Lease Cycles'!$D$9*INDEX('Lease Cycles'!$FH$9:$FN$9,1,AT27)*IF(INDEX('Lease Cycles'!$EF$9:$EL$9,1,AT27)=1,1,IF(OR(INDEX('Lease Cycles'!$DY$9:$EE$9,1,AT27)=1,AT28&gt;0),1,1-INDEX('Lease Cycles'!$DD$9:$DJ$9,1,AT27)))),0)</f>
        <v>0</v>
      </c>
      <c r="AU36" s="24">
        <f>IF(AU29=1,IF('Lease Cycles'!$AJ$9=1,0,'Lease Cycles'!$D$9*INDEX('Lease Cycles'!$FH$9:$FN$9,1,AU27)*IF(INDEX('Lease Cycles'!$EF$9:$EL$9,1,AU27)=1,1,IF(OR(INDEX('Lease Cycles'!$DY$9:$EE$9,1,AU27)=1,AU28&gt;0),1,1-INDEX('Lease Cycles'!$DD$9:$DJ$9,1,AU27)))),0)</f>
        <v>0</v>
      </c>
      <c r="AV36" s="24">
        <f>IF(AV29=1,IF('Lease Cycles'!$AJ$9=1,0,'Lease Cycles'!$D$9*INDEX('Lease Cycles'!$FH$9:$FN$9,1,AV27)*IF(INDEX('Lease Cycles'!$EF$9:$EL$9,1,AV27)=1,1,IF(OR(INDEX('Lease Cycles'!$DY$9:$EE$9,1,AV27)=1,AV28&gt;0),1,1-INDEX('Lease Cycles'!$DD$9:$DJ$9,1,AV27)))),0)</f>
        <v>0</v>
      </c>
      <c r="AW36" s="24">
        <f>IF(AW29=1,IF('Lease Cycles'!$AJ$9=1,0,'Lease Cycles'!$D$9*INDEX('Lease Cycles'!$FH$9:$FN$9,1,AW27)*IF(INDEX('Lease Cycles'!$EF$9:$EL$9,1,AW27)=1,1,IF(OR(INDEX('Lease Cycles'!$DY$9:$EE$9,1,AW27)=1,AW28&gt;0),1,1-INDEX('Lease Cycles'!$DD$9:$DJ$9,1,AW27)))),0)</f>
        <v>0</v>
      </c>
      <c r="AX36" s="24">
        <f>IF(AX29=1,IF('Lease Cycles'!$AJ$9=1,0,'Lease Cycles'!$D$9*INDEX('Lease Cycles'!$FH$9:$FN$9,1,AX27)*IF(INDEX('Lease Cycles'!$EF$9:$EL$9,1,AX27)=1,1,IF(OR(INDEX('Lease Cycles'!$DY$9:$EE$9,1,AX27)=1,AX28&gt;0),1,1-INDEX('Lease Cycles'!$DD$9:$DJ$9,1,AX27)))),0)</f>
        <v>0</v>
      </c>
      <c r="AY36" s="24">
        <f>IF(AY29=1,IF('Lease Cycles'!$AJ$9=1,0,'Lease Cycles'!$D$9*INDEX('Lease Cycles'!$FH$9:$FN$9,1,AY27)*IF(INDEX('Lease Cycles'!$EF$9:$EL$9,1,AY27)=1,1,IF(OR(INDEX('Lease Cycles'!$DY$9:$EE$9,1,AY27)=1,AY28&gt;0),1,1-INDEX('Lease Cycles'!$DD$9:$DJ$9,1,AY27)))),0)</f>
        <v>0</v>
      </c>
      <c r="AZ36" s="24">
        <f>IF(AZ29=1,IF('Lease Cycles'!$AJ$9=1,0,'Lease Cycles'!$D$9*INDEX('Lease Cycles'!$FH$9:$FN$9,1,AZ27)*IF(INDEX('Lease Cycles'!$EF$9:$EL$9,1,AZ27)=1,1,IF(OR(INDEX('Lease Cycles'!$DY$9:$EE$9,1,AZ27)=1,AZ28&gt;0),1,1-INDEX('Lease Cycles'!$DD$9:$DJ$9,1,AZ27)))),0)</f>
        <v>0</v>
      </c>
      <c r="BA36" s="24">
        <f>IF(BA29=1,IF('Lease Cycles'!$AJ$9=1,0,'Lease Cycles'!$D$9*INDEX('Lease Cycles'!$FH$9:$FN$9,1,BA27)*IF(INDEX('Lease Cycles'!$EF$9:$EL$9,1,BA27)=1,1,IF(OR(INDEX('Lease Cycles'!$DY$9:$EE$9,1,BA27)=1,BA28&gt;0),1,1-INDEX('Lease Cycles'!$DD$9:$DJ$9,1,BA27)))),0)</f>
        <v>0</v>
      </c>
      <c r="BB36" s="24">
        <f>IF(BB29=1,IF('Lease Cycles'!$AJ$9=1,0,'Lease Cycles'!$D$9*INDEX('Lease Cycles'!$FH$9:$FN$9,1,BB27)*IF(INDEX('Lease Cycles'!$EF$9:$EL$9,1,BB27)=1,1,IF(OR(INDEX('Lease Cycles'!$DY$9:$EE$9,1,BB27)=1,BB28&gt;0),1,1-INDEX('Lease Cycles'!$DD$9:$DJ$9,1,BB27)))),0)</f>
        <v>0</v>
      </c>
      <c r="BC36" s="24">
        <f>IF(BC29=1,IF('Lease Cycles'!$AJ$9=1,0,'Lease Cycles'!$D$9*INDEX('Lease Cycles'!$FH$9:$FN$9,1,BC27)*IF(INDEX('Lease Cycles'!$EF$9:$EL$9,1,BC27)=1,1,IF(OR(INDEX('Lease Cycles'!$DY$9:$EE$9,1,BC27)=1,BC28&gt;0),1,1-INDEX('Lease Cycles'!$DD$9:$DJ$9,1,BC27)))),0)</f>
        <v>0</v>
      </c>
      <c r="BD36" s="24">
        <f>IF(BD29=1,IF('Lease Cycles'!$AJ$9=1,0,'Lease Cycles'!$D$9*INDEX('Lease Cycles'!$FH$9:$FN$9,1,BD27)*IF(INDEX('Lease Cycles'!$EF$9:$EL$9,1,BD27)=1,1,IF(OR(INDEX('Lease Cycles'!$DY$9:$EE$9,1,BD27)=1,BD28&gt;0),1,1-INDEX('Lease Cycles'!$DD$9:$DJ$9,1,BD27)))),0)</f>
        <v>0</v>
      </c>
      <c r="BE36" s="24">
        <f>IF(BE29=1,IF('Lease Cycles'!$AJ$9=1,0,'Lease Cycles'!$D$9*INDEX('Lease Cycles'!$FH$9:$FN$9,1,BE27)*IF(INDEX('Lease Cycles'!$EF$9:$EL$9,1,BE27)=1,1,IF(OR(INDEX('Lease Cycles'!$DY$9:$EE$9,1,BE27)=1,BE28&gt;0),1,1-INDEX('Lease Cycles'!$DD$9:$DJ$9,1,BE27)))),0)</f>
        <v>0</v>
      </c>
      <c r="BF36" s="24">
        <f>IF(BF29=1,IF('Lease Cycles'!$AJ$9=1,0,'Lease Cycles'!$D$9*INDEX('Lease Cycles'!$FH$9:$FN$9,1,BF27)*IF(INDEX('Lease Cycles'!$EF$9:$EL$9,1,BF27)=1,1,IF(OR(INDEX('Lease Cycles'!$DY$9:$EE$9,1,BF27)=1,BF28&gt;0),1,1-INDEX('Lease Cycles'!$DD$9:$DJ$9,1,BF27)))),0)</f>
        <v>0</v>
      </c>
      <c r="BG36" s="24">
        <f>IF(BG29=1,IF('Lease Cycles'!$AJ$9=1,0,'Lease Cycles'!$D$9*INDEX('Lease Cycles'!$FH$9:$FN$9,1,BG27)*IF(INDEX('Lease Cycles'!$EF$9:$EL$9,1,BG27)=1,1,IF(OR(INDEX('Lease Cycles'!$DY$9:$EE$9,1,BG27)=1,BG28&gt;0),1,1-INDEX('Lease Cycles'!$DD$9:$DJ$9,1,BG27)))),0)</f>
        <v>0</v>
      </c>
      <c r="BH36" s="24">
        <f>IF(BH29=1,IF('Lease Cycles'!$AJ$9=1,0,'Lease Cycles'!$D$9*INDEX('Lease Cycles'!$FH$9:$FN$9,1,BH27)*IF(INDEX('Lease Cycles'!$EF$9:$EL$9,1,BH27)=1,1,IF(OR(INDEX('Lease Cycles'!$DY$9:$EE$9,1,BH27)=1,BH28&gt;0),1,1-INDEX('Lease Cycles'!$DD$9:$DJ$9,1,BH27)))),0)</f>
        <v>0</v>
      </c>
      <c r="BI36" s="24">
        <f>IF(BI29=1,IF('Lease Cycles'!$AJ$9=1,0,'Lease Cycles'!$D$9*INDEX('Lease Cycles'!$FH$9:$FN$9,1,BI27)*IF(INDEX('Lease Cycles'!$EF$9:$EL$9,1,BI27)=1,1,IF(OR(INDEX('Lease Cycles'!$DY$9:$EE$9,1,BI27)=1,BI28&gt;0),1,1-INDEX('Lease Cycles'!$DD$9:$DJ$9,1,BI27)))),0)</f>
        <v>0</v>
      </c>
      <c r="BJ36" s="24">
        <f>IF(BJ29=1,IF('Lease Cycles'!$AJ$9=1,0,'Lease Cycles'!$D$9*INDEX('Lease Cycles'!$FH$9:$FN$9,1,BJ27)*IF(INDEX('Lease Cycles'!$EF$9:$EL$9,1,BJ27)=1,1,IF(OR(INDEX('Lease Cycles'!$DY$9:$EE$9,1,BJ27)=1,BJ28&gt;0),1,1-INDEX('Lease Cycles'!$DD$9:$DJ$9,1,BJ27)))),0)</f>
        <v>0</v>
      </c>
      <c r="BK36" s="24">
        <f>IF(BK29=1,IF('Lease Cycles'!$AJ$9=1,0,'Lease Cycles'!$D$9*INDEX('Lease Cycles'!$FH$9:$FN$9,1,BK27)*IF(INDEX('Lease Cycles'!$EF$9:$EL$9,1,BK27)=1,1,IF(OR(INDEX('Lease Cycles'!$DY$9:$EE$9,1,BK27)=1,BK28&gt;0),1,1-INDEX('Lease Cycles'!$DD$9:$DJ$9,1,BK27)))),0)</f>
        <v>0</v>
      </c>
      <c r="BL36" s="24">
        <f>IF(BL29=1,IF('Lease Cycles'!$AJ$9=1,0,'Lease Cycles'!$D$9*INDEX('Lease Cycles'!$FH$9:$FN$9,1,BL27)*IF(INDEX('Lease Cycles'!$EF$9:$EL$9,1,BL27)=1,1,IF(OR(INDEX('Lease Cycles'!$DY$9:$EE$9,1,BL27)=1,BL28&gt;0),1,1-INDEX('Lease Cycles'!$DD$9:$DJ$9,1,BL27)))),0)</f>
        <v>0</v>
      </c>
      <c r="BM36" s="24">
        <f>IF(BM29=1,IF('Lease Cycles'!$AJ$9=1,0,'Lease Cycles'!$D$9*INDEX('Lease Cycles'!$FH$9:$FN$9,1,BM27)*IF(INDEX('Lease Cycles'!$EF$9:$EL$9,1,BM27)=1,1,IF(OR(INDEX('Lease Cycles'!$DY$9:$EE$9,1,BM27)=1,BM28&gt;0),1,1-INDEX('Lease Cycles'!$DD$9:$DJ$9,1,BM27)))),0)</f>
        <v>0</v>
      </c>
      <c r="BN36" s="24">
        <f>IF(BN29=1,IF('Lease Cycles'!$AJ$9=1,0,'Lease Cycles'!$D$9*INDEX('Lease Cycles'!$FH$9:$FN$9,1,BN27)*IF(INDEX('Lease Cycles'!$EF$9:$EL$9,1,BN27)=1,1,IF(OR(INDEX('Lease Cycles'!$DY$9:$EE$9,1,BN27)=1,BN28&gt;0),1,1-INDEX('Lease Cycles'!$DD$9:$DJ$9,1,BN27)))),0)</f>
        <v>0</v>
      </c>
      <c r="BO36" s="24">
        <f>IF(BO29=1,IF('Lease Cycles'!$AJ$9=1,0,'Lease Cycles'!$D$9*INDEX('Lease Cycles'!$FH$9:$FN$9,1,BO27)*IF(INDEX('Lease Cycles'!$EF$9:$EL$9,1,BO27)=1,1,IF(OR(INDEX('Lease Cycles'!$DY$9:$EE$9,1,BO27)=1,BO28&gt;0),1,1-INDEX('Lease Cycles'!$DD$9:$DJ$9,1,BO27)))),0)</f>
        <v>0</v>
      </c>
      <c r="BP36" s="24">
        <f>IF(BP29=1,IF('Lease Cycles'!$AJ$9=1,0,'Lease Cycles'!$D$9*INDEX('Lease Cycles'!$FH$9:$FN$9,1,BP27)*IF(INDEX('Lease Cycles'!$EF$9:$EL$9,1,BP27)=1,1,IF(OR(INDEX('Lease Cycles'!$DY$9:$EE$9,1,BP27)=1,BP28&gt;0),1,1-INDEX('Lease Cycles'!$DD$9:$DJ$9,1,BP27)))),0)</f>
        <v>0</v>
      </c>
      <c r="BQ36" s="24">
        <f>IF(BQ29=1,IF('Lease Cycles'!$AJ$9=1,0,'Lease Cycles'!$D$9*INDEX('Lease Cycles'!$FH$9:$FN$9,1,BQ27)*IF(INDEX('Lease Cycles'!$EF$9:$EL$9,1,BQ27)=1,1,IF(OR(INDEX('Lease Cycles'!$DY$9:$EE$9,1,BQ27)=1,BQ28&gt;0),1,1-INDEX('Lease Cycles'!$DD$9:$DJ$9,1,BQ27)))),0)</f>
        <v>0</v>
      </c>
      <c r="BR36" s="24">
        <f>IF(BR29=1,IF('Lease Cycles'!$AJ$9=1,0,'Lease Cycles'!$D$9*INDEX('Lease Cycles'!$FH$9:$FN$9,1,BR27)*IF(INDEX('Lease Cycles'!$EF$9:$EL$9,1,BR27)=1,1,IF(OR(INDEX('Lease Cycles'!$DY$9:$EE$9,1,BR27)=1,BR28&gt;0),1,1-INDEX('Lease Cycles'!$DD$9:$DJ$9,1,BR27)))),0)</f>
        <v>0</v>
      </c>
      <c r="BS36" s="24">
        <f>IF(BS29=1,IF('Lease Cycles'!$AJ$9=1,0,'Lease Cycles'!$D$9*INDEX('Lease Cycles'!$FH$9:$FN$9,1,BS27)*IF(INDEX('Lease Cycles'!$EF$9:$EL$9,1,BS27)=1,1,IF(OR(INDEX('Lease Cycles'!$DY$9:$EE$9,1,BS27)=1,BS28&gt;0),1,1-INDEX('Lease Cycles'!$DD$9:$DJ$9,1,BS27)))),0)</f>
        <v>0</v>
      </c>
      <c r="BT36" s="24">
        <f>IF(BT29=1,IF('Lease Cycles'!$AJ$9=1,0,'Lease Cycles'!$D$9*INDEX('Lease Cycles'!$FH$9:$FN$9,1,BT27)*IF(INDEX('Lease Cycles'!$EF$9:$EL$9,1,BT27)=1,1,IF(OR(INDEX('Lease Cycles'!$DY$9:$EE$9,1,BT27)=1,BT28&gt;0),1,1-INDEX('Lease Cycles'!$DD$9:$DJ$9,1,BT27)))),0)</f>
        <v>0</v>
      </c>
      <c r="BU36" s="24">
        <f>IF(BU29=1,IF('Lease Cycles'!$AJ$9=1,0,'Lease Cycles'!$D$9*INDEX('Lease Cycles'!$FH$9:$FN$9,1,BU27)*IF(INDEX('Lease Cycles'!$EF$9:$EL$9,1,BU27)=1,1,IF(OR(INDEX('Lease Cycles'!$DY$9:$EE$9,1,BU27)=1,BU28&gt;0),1,1-INDEX('Lease Cycles'!$DD$9:$DJ$9,1,BU27)))),0)</f>
        <v>0</v>
      </c>
      <c r="BV36" s="24">
        <f>IF(BV29=1,IF('Lease Cycles'!$AJ$9=1,0,'Lease Cycles'!$D$9*INDEX('Lease Cycles'!$FH$9:$FN$9,1,BV27)*IF(INDEX('Lease Cycles'!$EF$9:$EL$9,1,BV27)=1,1,IF(OR(INDEX('Lease Cycles'!$DY$9:$EE$9,1,BV27)=1,BV28&gt;0),1,1-INDEX('Lease Cycles'!$DD$9:$DJ$9,1,BV27)))),0)</f>
        <v>0</v>
      </c>
      <c r="BW36" s="24">
        <f>IF(BW29=1,IF('Lease Cycles'!$AJ$9=1,0,'Lease Cycles'!$D$9*INDEX('Lease Cycles'!$FH$9:$FN$9,1,BW27)*IF(INDEX('Lease Cycles'!$EF$9:$EL$9,1,BW27)=1,1,IF(OR(INDEX('Lease Cycles'!$DY$9:$EE$9,1,BW27)=1,BW28&gt;0),1,1-INDEX('Lease Cycles'!$DD$9:$DJ$9,1,BW27)))),0)</f>
        <v>0</v>
      </c>
      <c r="BX36" s="24">
        <f>IF(BX29=1,IF('Lease Cycles'!$AJ$9=1,0,'Lease Cycles'!$D$9*INDEX('Lease Cycles'!$FH$9:$FN$9,1,BX27)*IF(INDEX('Lease Cycles'!$EF$9:$EL$9,1,BX27)=1,1,IF(OR(INDEX('Lease Cycles'!$DY$9:$EE$9,1,BX27)=1,BX28&gt;0),1,1-INDEX('Lease Cycles'!$DD$9:$DJ$9,1,BX27)))),0)</f>
        <v>0</v>
      </c>
      <c r="BY36" s="24">
        <f>IF(BY29=1,IF('Lease Cycles'!$AJ$9=1,0,'Lease Cycles'!$D$9*INDEX('Lease Cycles'!$FH$9:$FN$9,1,BY27)*IF(INDEX('Lease Cycles'!$EF$9:$EL$9,1,BY27)=1,1,IF(OR(INDEX('Lease Cycles'!$DY$9:$EE$9,1,BY27)=1,BY28&gt;0),1,1-INDEX('Lease Cycles'!$DD$9:$DJ$9,1,BY27)))),0)</f>
        <v>0</v>
      </c>
      <c r="BZ36" s="24">
        <f>IF(BZ29=1,IF('Lease Cycles'!$AJ$9=1,0,'Lease Cycles'!$D$9*INDEX('Lease Cycles'!$FH$9:$FN$9,1,BZ27)*IF(INDEX('Lease Cycles'!$EF$9:$EL$9,1,BZ27)=1,1,IF(OR(INDEX('Lease Cycles'!$DY$9:$EE$9,1,BZ27)=1,BZ28&gt;0),1,1-INDEX('Lease Cycles'!$DD$9:$DJ$9,1,BZ27)))),0)</f>
        <v>0</v>
      </c>
      <c r="CA36" s="24">
        <f>IF(CA29=1,IF('Lease Cycles'!$AJ$9=1,0,'Lease Cycles'!$D$9*INDEX('Lease Cycles'!$FH$9:$FN$9,1,CA27)*IF(INDEX('Lease Cycles'!$EF$9:$EL$9,1,CA27)=1,1,IF(OR(INDEX('Lease Cycles'!$DY$9:$EE$9,1,CA27)=1,CA28&gt;0),1,1-INDEX('Lease Cycles'!$DD$9:$DJ$9,1,CA27)))),0)</f>
        <v>0</v>
      </c>
      <c r="CB36" s="24">
        <f>IF(CB29=1,IF('Lease Cycles'!$AJ$9=1,0,'Lease Cycles'!$D$9*INDEX('Lease Cycles'!$FH$9:$FN$9,1,CB27)*IF(INDEX('Lease Cycles'!$EF$9:$EL$9,1,CB27)=1,1,IF(OR(INDEX('Lease Cycles'!$DY$9:$EE$9,1,CB27)=1,CB28&gt;0),1,1-INDEX('Lease Cycles'!$DD$9:$DJ$9,1,CB27)))),0)</f>
        <v>0</v>
      </c>
      <c r="CC36" s="24">
        <f>IF(CC29=1,IF('Lease Cycles'!$AJ$9=1,0,'Lease Cycles'!$D$9*INDEX('Lease Cycles'!$FH$9:$FN$9,1,CC27)*IF(INDEX('Lease Cycles'!$EF$9:$EL$9,1,CC27)=1,1,IF(OR(INDEX('Lease Cycles'!$DY$9:$EE$9,1,CC27)=1,CC28&gt;0),1,1-INDEX('Lease Cycles'!$DD$9:$DJ$9,1,CC27)))),0)</f>
        <v>0</v>
      </c>
      <c r="CD36" s="24">
        <f>IF(CD29=1,IF('Lease Cycles'!$AJ$9=1,0,'Lease Cycles'!$D$9*INDEX('Lease Cycles'!$FH$9:$FN$9,1,CD27)*IF(INDEX('Lease Cycles'!$EF$9:$EL$9,1,CD27)=1,1,IF(OR(INDEX('Lease Cycles'!$DY$9:$EE$9,1,CD27)=1,CD28&gt;0),1,1-INDEX('Lease Cycles'!$DD$9:$DJ$9,1,CD27)))),0)</f>
        <v>0</v>
      </c>
      <c r="CE36" s="24">
        <f>IF(CE29=1,IF('Lease Cycles'!$AJ$9=1,0,'Lease Cycles'!$D$9*INDEX('Lease Cycles'!$FH$9:$FN$9,1,CE27)*IF(INDEX('Lease Cycles'!$EF$9:$EL$9,1,CE27)=1,1,IF(OR(INDEX('Lease Cycles'!$DY$9:$EE$9,1,CE27)=1,CE28&gt;0),1,1-INDEX('Lease Cycles'!$DD$9:$DJ$9,1,CE27)))),0)</f>
        <v>0</v>
      </c>
      <c r="CF36" s="24">
        <f>IF(CF29=1,IF('Lease Cycles'!$AJ$9=1,0,'Lease Cycles'!$D$9*INDEX('Lease Cycles'!$FH$9:$FN$9,1,CF27)*IF(INDEX('Lease Cycles'!$EF$9:$EL$9,1,CF27)=1,1,IF(OR(INDEX('Lease Cycles'!$DY$9:$EE$9,1,CF27)=1,CF28&gt;0),1,1-INDEX('Lease Cycles'!$DD$9:$DJ$9,1,CF27)))),0)</f>
        <v>0</v>
      </c>
      <c r="CG36" s="24">
        <f>IF(CG29=1,IF('Lease Cycles'!$AJ$9=1,0,'Lease Cycles'!$D$9*INDEX('Lease Cycles'!$FH$9:$FN$9,1,CG27)*IF(INDEX('Lease Cycles'!$EF$9:$EL$9,1,CG27)=1,1,IF(OR(INDEX('Lease Cycles'!$DY$9:$EE$9,1,CG27)=1,CG28&gt;0),1,1-INDEX('Lease Cycles'!$DD$9:$DJ$9,1,CG27)))),0)</f>
        <v>0</v>
      </c>
      <c r="CH36" s="24">
        <f>IF(CH29=1,IF('Lease Cycles'!$AJ$9=1,0,'Lease Cycles'!$D$9*INDEX('Lease Cycles'!$FH$9:$FN$9,1,CH27)*IF(INDEX('Lease Cycles'!$EF$9:$EL$9,1,CH27)=1,1,IF(OR(INDEX('Lease Cycles'!$DY$9:$EE$9,1,CH27)=1,CH28&gt;0),1,1-INDEX('Lease Cycles'!$DD$9:$DJ$9,1,CH27)))),0)</f>
        <v>0</v>
      </c>
      <c r="CI36" s="24">
        <f>IF(CI29=1,IF('Lease Cycles'!$AJ$9=1,0,'Lease Cycles'!$D$9*INDEX('Lease Cycles'!$FH$9:$FN$9,1,CI27)*IF(INDEX('Lease Cycles'!$EF$9:$EL$9,1,CI27)=1,1,IF(OR(INDEX('Lease Cycles'!$DY$9:$EE$9,1,CI27)=1,CI28&gt;0),1,1-INDEX('Lease Cycles'!$DD$9:$DJ$9,1,CI27)))),0)</f>
        <v>0</v>
      </c>
      <c r="CJ36" s="24">
        <f>IF(CJ29=1,IF('Lease Cycles'!$AJ$9=1,0,'Lease Cycles'!$D$9*INDEX('Lease Cycles'!$FH$9:$FN$9,1,CJ27)*IF(INDEX('Lease Cycles'!$EF$9:$EL$9,1,CJ27)=1,1,IF(OR(INDEX('Lease Cycles'!$DY$9:$EE$9,1,CJ27)=1,CJ28&gt;0),1,1-INDEX('Lease Cycles'!$DD$9:$DJ$9,1,CJ27)))),0)</f>
        <v>0</v>
      </c>
      <c r="CK36" s="24">
        <f>IF(CK29=1,IF('Lease Cycles'!$AJ$9=1,0,'Lease Cycles'!$D$9*INDEX('Lease Cycles'!$FH$9:$FN$9,1,CK27)*IF(INDEX('Lease Cycles'!$EF$9:$EL$9,1,CK27)=1,1,IF(OR(INDEX('Lease Cycles'!$DY$9:$EE$9,1,CK27)=1,CK28&gt;0),1,1-INDEX('Lease Cycles'!$DD$9:$DJ$9,1,CK27)))),0)</f>
        <v>0</v>
      </c>
      <c r="CL36" s="24">
        <f>IF(CL29=1,IF('Lease Cycles'!$AJ$9=1,0,'Lease Cycles'!$D$9*INDEX('Lease Cycles'!$FH$9:$FN$9,1,CL27)*IF(INDEX('Lease Cycles'!$EF$9:$EL$9,1,CL27)=1,1,IF(OR(INDEX('Lease Cycles'!$DY$9:$EE$9,1,CL27)=1,CL28&gt;0),1,1-INDEX('Lease Cycles'!$DD$9:$DJ$9,1,CL27)))),0)</f>
        <v>0</v>
      </c>
      <c r="CM36" s="24">
        <f>IF(CM29=1,IF('Lease Cycles'!$AJ$9=1,0,'Lease Cycles'!$D$9*INDEX('Lease Cycles'!$FH$9:$FN$9,1,CM27)*IF(INDEX('Lease Cycles'!$EF$9:$EL$9,1,CM27)=1,1,IF(OR(INDEX('Lease Cycles'!$DY$9:$EE$9,1,CM27)=1,CM28&gt;0),1,1-INDEX('Lease Cycles'!$DD$9:$DJ$9,1,CM27)))),0)</f>
        <v>0</v>
      </c>
      <c r="CN36" s="24">
        <f>IF(CN29=1,IF('Lease Cycles'!$AJ$9=1,0,'Lease Cycles'!$D$9*INDEX('Lease Cycles'!$FH$9:$FN$9,1,CN27)*IF(INDEX('Lease Cycles'!$EF$9:$EL$9,1,CN27)=1,1,IF(OR(INDEX('Lease Cycles'!$DY$9:$EE$9,1,CN27)=1,CN28&gt;0),1,1-INDEX('Lease Cycles'!$DD$9:$DJ$9,1,CN27)))),0)</f>
        <v>0</v>
      </c>
      <c r="CO36" s="24">
        <f>IF(CO29=1,IF('Lease Cycles'!$AJ$9=1,0,'Lease Cycles'!$D$9*INDEX('Lease Cycles'!$FH$9:$FN$9,1,CO27)*IF(INDEX('Lease Cycles'!$EF$9:$EL$9,1,CO27)=1,1,IF(OR(INDEX('Lease Cycles'!$DY$9:$EE$9,1,CO27)=1,CO28&gt;0),1,1-INDEX('Lease Cycles'!$DD$9:$DJ$9,1,CO27)))),0)</f>
        <v>0</v>
      </c>
      <c r="CP36" s="24">
        <f>IF(CP29=1,IF('Lease Cycles'!$AJ$9=1,0,'Lease Cycles'!$D$9*INDEX('Lease Cycles'!$FH$9:$FN$9,1,CP27)*IF(INDEX('Lease Cycles'!$EF$9:$EL$9,1,CP27)=1,1,IF(OR(INDEX('Lease Cycles'!$DY$9:$EE$9,1,CP27)=1,CP28&gt;0),1,1-INDEX('Lease Cycles'!$DD$9:$DJ$9,1,CP27)))),0)</f>
        <v>0</v>
      </c>
      <c r="CQ36" s="24">
        <f>IF(CQ29=1,IF('Lease Cycles'!$AJ$9=1,0,'Lease Cycles'!$D$9*INDEX('Lease Cycles'!$FH$9:$FN$9,1,CQ27)*IF(INDEX('Lease Cycles'!$EF$9:$EL$9,1,CQ27)=1,1,IF(OR(INDEX('Lease Cycles'!$DY$9:$EE$9,1,CQ27)=1,CQ28&gt;0),1,1-INDEX('Lease Cycles'!$DD$9:$DJ$9,1,CQ27)))),0)</f>
        <v>0</v>
      </c>
      <c r="CR36" s="24">
        <f>IF(CR29=1,IF('Lease Cycles'!$AJ$9=1,0,'Lease Cycles'!$D$9*INDEX('Lease Cycles'!$FH$9:$FN$9,1,CR27)*IF(INDEX('Lease Cycles'!$EF$9:$EL$9,1,CR27)=1,1,IF(OR(INDEX('Lease Cycles'!$DY$9:$EE$9,1,CR27)=1,CR28&gt;0),1,1-INDEX('Lease Cycles'!$DD$9:$DJ$9,1,CR27)))),0)</f>
        <v>0</v>
      </c>
      <c r="CS36" s="24">
        <f>IF(CS29=1,IF('Lease Cycles'!$AJ$9=1,0,'Lease Cycles'!$D$9*INDEX('Lease Cycles'!$FH$9:$FN$9,1,CS27)*IF(INDEX('Lease Cycles'!$EF$9:$EL$9,1,CS27)=1,1,IF(OR(INDEX('Lease Cycles'!$DY$9:$EE$9,1,CS27)=1,CS28&gt;0),1,1-INDEX('Lease Cycles'!$DD$9:$DJ$9,1,CS27)))),0)</f>
        <v>0</v>
      </c>
      <c r="CT36" s="24">
        <f>IF(CT29=1,IF('Lease Cycles'!$AJ$9=1,0,'Lease Cycles'!$D$9*INDEX('Lease Cycles'!$FH$9:$FN$9,1,CT27)*IF(INDEX('Lease Cycles'!$EF$9:$EL$9,1,CT27)=1,1,IF(OR(INDEX('Lease Cycles'!$DY$9:$EE$9,1,CT27)=1,CT28&gt;0),1,1-INDEX('Lease Cycles'!$DD$9:$DJ$9,1,CT27)))),0)</f>
        <v>0</v>
      </c>
      <c r="CU36" s="24">
        <f>IF(CU29=1,IF('Lease Cycles'!$AJ$9=1,0,'Lease Cycles'!$D$9*INDEX('Lease Cycles'!$FH$9:$FN$9,1,CU27)*IF(INDEX('Lease Cycles'!$EF$9:$EL$9,1,CU27)=1,1,IF(OR(INDEX('Lease Cycles'!$DY$9:$EE$9,1,CU27)=1,CU28&gt;0),1,1-INDEX('Lease Cycles'!$DD$9:$DJ$9,1,CU27)))),0)</f>
        <v>0</v>
      </c>
      <c r="CV36" s="24">
        <f>IF(CV29=1,IF('Lease Cycles'!$AJ$9=1,0,'Lease Cycles'!$D$9*INDEX('Lease Cycles'!$FH$9:$FN$9,1,CV27)*IF(INDEX('Lease Cycles'!$EF$9:$EL$9,1,CV27)=1,1,IF(OR(INDEX('Lease Cycles'!$DY$9:$EE$9,1,CV27)=1,CV28&gt;0),1,1-INDEX('Lease Cycles'!$DD$9:$DJ$9,1,CV27)))),0)</f>
        <v>0</v>
      </c>
      <c r="CW36" s="24">
        <f>IF(CW29=1,IF('Lease Cycles'!$AJ$9=1,0,'Lease Cycles'!$D$9*INDEX('Lease Cycles'!$FH$9:$FN$9,1,CW27)*IF(INDEX('Lease Cycles'!$EF$9:$EL$9,1,CW27)=1,1,IF(OR(INDEX('Lease Cycles'!$DY$9:$EE$9,1,CW27)=1,CW28&gt;0),1,1-INDEX('Lease Cycles'!$DD$9:$DJ$9,1,CW27)))),0)</f>
        <v>0</v>
      </c>
      <c r="CX36" s="24">
        <f>IF(CX29=1,IF('Lease Cycles'!$AJ$9=1,0,'Lease Cycles'!$D$9*INDEX('Lease Cycles'!$FH$9:$FN$9,1,CX27)*IF(INDEX('Lease Cycles'!$EF$9:$EL$9,1,CX27)=1,1,IF(OR(INDEX('Lease Cycles'!$DY$9:$EE$9,1,CX27)=1,CX28&gt;0),1,1-INDEX('Lease Cycles'!$DD$9:$DJ$9,1,CX27)))),0)</f>
        <v>0</v>
      </c>
      <c r="CY36" s="24">
        <f>IF(CY29=1,IF('Lease Cycles'!$AJ$9=1,0,'Lease Cycles'!$D$9*INDEX('Lease Cycles'!$FH$9:$FN$9,1,CY27)*IF(INDEX('Lease Cycles'!$EF$9:$EL$9,1,CY27)=1,1,IF(OR(INDEX('Lease Cycles'!$DY$9:$EE$9,1,CY27)=1,CY28&gt;0),1,1-INDEX('Lease Cycles'!$DD$9:$DJ$9,1,CY27)))),0)</f>
        <v>0</v>
      </c>
      <c r="CZ36" s="24">
        <f>IF(CZ29=1,IF('Lease Cycles'!$AJ$9=1,0,'Lease Cycles'!$D$9*INDEX('Lease Cycles'!$FH$9:$FN$9,1,CZ27)*IF(INDEX('Lease Cycles'!$EF$9:$EL$9,1,CZ27)=1,1,IF(OR(INDEX('Lease Cycles'!$DY$9:$EE$9,1,CZ27)=1,CZ28&gt;0),1,1-INDEX('Lease Cycles'!$DD$9:$DJ$9,1,CZ27)))),0)</f>
        <v>0</v>
      </c>
      <c r="DA36" s="24">
        <f>IF(DA29=1,IF('Lease Cycles'!$AJ$9=1,0,'Lease Cycles'!$D$9*INDEX('Lease Cycles'!$FH$9:$FN$9,1,DA27)*IF(INDEX('Lease Cycles'!$EF$9:$EL$9,1,DA27)=1,1,IF(OR(INDEX('Lease Cycles'!$DY$9:$EE$9,1,DA27)=1,DA28&gt;0),1,1-INDEX('Lease Cycles'!$DD$9:$DJ$9,1,DA27)))),0)</f>
        <v>0</v>
      </c>
      <c r="DB36" s="24">
        <f>IF(DB29=1,IF('Lease Cycles'!$AJ$9=1,0,'Lease Cycles'!$D$9*INDEX('Lease Cycles'!$FH$9:$FN$9,1,DB27)*IF(INDEX('Lease Cycles'!$EF$9:$EL$9,1,DB27)=1,1,IF(OR(INDEX('Lease Cycles'!$DY$9:$EE$9,1,DB27)=1,DB28&gt;0),1,1-INDEX('Lease Cycles'!$DD$9:$DJ$9,1,DB27)))),0)</f>
        <v>0</v>
      </c>
      <c r="DC36" s="24">
        <f>IF(DC29=1,IF('Lease Cycles'!$AJ$9=1,0,'Lease Cycles'!$D$9*INDEX('Lease Cycles'!$FH$9:$FN$9,1,DC27)*IF(INDEX('Lease Cycles'!$EF$9:$EL$9,1,DC27)=1,1,IF(OR(INDEX('Lease Cycles'!$DY$9:$EE$9,1,DC27)=1,DC28&gt;0),1,1-INDEX('Lease Cycles'!$DD$9:$DJ$9,1,DC27)))),0)</f>
        <v>0</v>
      </c>
      <c r="DD36" s="24">
        <f>IF(DD29=1,IF('Lease Cycles'!$AJ$9=1,0,'Lease Cycles'!$D$9*INDEX('Lease Cycles'!$FH$9:$FN$9,1,DD27)*IF(INDEX('Lease Cycles'!$EF$9:$EL$9,1,DD27)=1,1,IF(OR(INDEX('Lease Cycles'!$DY$9:$EE$9,1,DD27)=1,DD28&gt;0),1,1-INDEX('Lease Cycles'!$DD$9:$DJ$9,1,DD27)))),0)</f>
        <v>0</v>
      </c>
      <c r="DE36" s="24">
        <f>IF(DE29=1,IF('Lease Cycles'!$AJ$9=1,0,'Lease Cycles'!$D$9*INDEX('Lease Cycles'!$FH$9:$FN$9,1,DE27)*IF(INDEX('Lease Cycles'!$EF$9:$EL$9,1,DE27)=1,1,IF(OR(INDEX('Lease Cycles'!$DY$9:$EE$9,1,DE27)=1,DE28&gt;0),1,1-INDEX('Lease Cycles'!$DD$9:$DJ$9,1,DE27)))),0)</f>
        <v>0</v>
      </c>
      <c r="DF36" s="24">
        <f>IF(DF29=1,IF('Lease Cycles'!$AJ$9=1,0,'Lease Cycles'!$D$9*INDEX('Lease Cycles'!$FH$9:$FN$9,1,DF27)*IF(INDEX('Lease Cycles'!$EF$9:$EL$9,1,DF27)=1,1,IF(OR(INDEX('Lease Cycles'!$DY$9:$EE$9,1,DF27)=1,DF28&gt;0),1,1-INDEX('Lease Cycles'!$DD$9:$DJ$9,1,DF27)))),0)</f>
        <v>0</v>
      </c>
      <c r="DG36" s="24">
        <f>IF(DG29=1,IF('Lease Cycles'!$AJ$9=1,0,'Lease Cycles'!$D$9*INDEX('Lease Cycles'!$FH$9:$FN$9,1,DG27)*IF(INDEX('Lease Cycles'!$EF$9:$EL$9,1,DG27)=1,1,IF(OR(INDEX('Lease Cycles'!$DY$9:$EE$9,1,DG27)=1,DG28&gt;0),1,1-INDEX('Lease Cycles'!$DD$9:$DJ$9,1,DG27)))),0)</f>
        <v>0</v>
      </c>
      <c r="DH36" s="24">
        <f>IF(DH29=1,IF('Lease Cycles'!$AJ$9=1,0,'Lease Cycles'!$D$9*INDEX('Lease Cycles'!$FH$9:$FN$9,1,DH27)*IF(INDEX('Lease Cycles'!$EF$9:$EL$9,1,DH27)=1,1,IF(OR(INDEX('Lease Cycles'!$DY$9:$EE$9,1,DH27)=1,DH28&gt;0),1,1-INDEX('Lease Cycles'!$DD$9:$DJ$9,1,DH27)))),0)</f>
        <v>0</v>
      </c>
      <c r="DI36" s="24">
        <f>IF(DI29=1,IF('Lease Cycles'!$AJ$9=1,0,'Lease Cycles'!$D$9*INDEX('Lease Cycles'!$FH$9:$FN$9,1,DI27)*IF(INDEX('Lease Cycles'!$EF$9:$EL$9,1,DI27)=1,1,IF(OR(INDEX('Lease Cycles'!$DY$9:$EE$9,1,DI27)=1,DI28&gt;0),1,1-INDEX('Lease Cycles'!$DD$9:$DJ$9,1,DI27)))),0)</f>
        <v>0</v>
      </c>
      <c r="DJ36" s="24">
        <f>IF(DJ29=1,IF('Lease Cycles'!$AJ$9=1,0,'Lease Cycles'!$D$9*INDEX('Lease Cycles'!$FH$9:$FN$9,1,DJ27)*IF(INDEX('Lease Cycles'!$EF$9:$EL$9,1,DJ27)=1,1,IF(OR(INDEX('Lease Cycles'!$DY$9:$EE$9,1,DJ27)=1,DJ28&gt;0),1,1-INDEX('Lease Cycles'!$DD$9:$DJ$9,1,DJ27)))),0)</f>
        <v>0</v>
      </c>
      <c r="DK36" s="24">
        <f>IF(DK29=1,IF('Lease Cycles'!$AJ$9=1,0,'Lease Cycles'!$D$9*INDEX('Lease Cycles'!$FH$9:$FN$9,1,DK27)*IF(INDEX('Lease Cycles'!$EF$9:$EL$9,1,DK27)=1,1,IF(OR(INDEX('Lease Cycles'!$DY$9:$EE$9,1,DK27)=1,DK28&gt;0),1,1-INDEX('Lease Cycles'!$DD$9:$DJ$9,1,DK27)))),0)</f>
        <v>0</v>
      </c>
      <c r="DL36" s="24">
        <f>IF(DL29=1,IF('Lease Cycles'!$AJ$9=1,0,'Lease Cycles'!$D$9*INDEX('Lease Cycles'!$FH$9:$FN$9,1,DL27)*IF(INDEX('Lease Cycles'!$EF$9:$EL$9,1,DL27)=1,1,IF(OR(INDEX('Lease Cycles'!$DY$9:$EE$9,1,DL27)=1,DL28&gt;0),1,1-INDEX('Lease Cycles'!$DD$9:$DJ$9,1,DL27)))),0)</f>
        <v>0</v>
      </c>
      <c r="DM36" s="24">
        <f>IF(DM29=1,IF('Lease Cycles'!$AJ$9=1,0,'Lease Cycles'!$D$9*INDEX('Lease Cycles'!$FH$9:$FN$9,1,DM27)*IF(INDEX('Lease Cycles'!$EF$9:$EL$9,1,DM27)=1,1,IF(OR(INDEX('Lease Cycles'!$DY$9:$EE$9,1,DM27)=1,DM28&gt;0),1,1-INDEX('Lease Cycles'!$DD$9:$DJ$9,1,DM27)))),0)</f>
        <v>0</v>
      </c>
      <c r="DN36" s="24">
        <f>IF(DN29=1,IF('Lease Cycles'!$AJ$9=1,0,'Lease Cycles'!$D$9*INDEX('Lease Cycles'!$FH$9:$FN$9,1,DN27)*IF(INDEX('Lease Cycles'!$EF$9:$EL$9,1,DN27)=1,1,IF(OR(INDEX('Lease Cycles'!$DY$9:$EE$9,1,DN27)=1,DN28&gt;0),1,1-INDEX('Lease Cycles'!$DD$9:$DJ$9,1,DN27)))),0)</f>
        <v>0</v>
      </c>
      <c r="DO36" s="24">
        <f>IF(DO29=1,IF('Lease Cycles'!$AJ$9=1,0,'Lease Cycles'!$D$9*INDEX('Lease Cycles'!$FH$9:$FN$9,1,DO27)*IF(INDEX('Lease Cycles'!$EF$9:$EL$9,1,DO27)=1,1,IF(OR(INDEX('Lease Cycles'!$DY$9:$EE$9,1,DO27)=1,DO28&gt;0),1,1-INDEX('Lease Cycles'!$DD$9:$DJ$9,1,DO27)))),0)</f>
        <v>0</v>
      </c>
      <c r="DP36" s="24">
        <f>IF(DP29=1,IF('Lease Cycles'!$AJ$9=1,0,'Lease Cycles'!$D$9*INDEX('Lease Cycles'!$FH$9:$FN$9,1,DP27)*IF(INDEX('Lease Cycles'!$EF$9:$EL$9,1,DP27)=1,1,IF(OR(INDEX('Lease Cycles'!$DY$9:$EE$9,1,DP27)=1,DP28&gt;0),1,1-INDEX('Lease Cycles'!$DD$9:$DJ$9,1,DP27)))),0)</f>
        <v>0</v>
      </c>
      <c r="DQ36" s="24">
        <f>IF(DQ29=1,IF('Lease Cycles'!$AJ$9=1,0,'Lease Cycles'!$D$9*INDEX('Lease Cycles'!$FH$9:$FN$9,1,DQ27)*IF(INDEX('Lease Cycles'!$EF$9:$EL$9,1,DQ27)=1,1,IF(OR(INDEX('Lease Cycles'!$DY$9:$EE$9,1,DQ27)=1,DQ28&gt;0),1,1-INDEX('Lease Cycles'!$DD$9:$DJ$9,1,DQ27)))),0)</f>
        <v>0</v>
      </c>
      <c r="DR36" s="24">
        <f>IF(DR29=1,IF('Lease Cycles'!$AJ$9=1,0,'Lease Cycles'!$D$9*INDEX('Lease Cycles'!$FH$9:$FN$9,1,DR27)*IF(INDEX('Lease Cycles'!$EF$9:$EL$9,1,DR27)=1,1,IF(OR(INDEX('Lease Cycles'!$DY$9:$EE$9,1,DR27)=1,DR28&gt;0),1,1-INDEX('Lease Cycles'!$DD$9:$DJ$9,1,DR27)))),0)</f>
        <v>0</v>
      </c>
      <c r="DS36" s="24">
        <f>IF(DS29=1,IF('Lease Cycles'!$AJ$9=1,0,'Lease Cycles'!$D$9*INDEX('Lease Cycles'!$FH$9:$FN$9,1,DS27)*IF(INDEX('Lease Cycles'!$EF$9:$EL$9,1,DS27)=1,1,IF(OR(INDEX('Lease Cycles'!$DY$9:$EE$9,1,DS27)=1,DS28&gt;0),1,1-INDEX('Lease Cycles'!$DD$9:$DJ$9,1,DS27)))),0)</f>
        <v>0</v>
      </c>
      <c r="DT36" s="24">
        <f>IF(DT29=1,IF('Lease Cycles'!$AJ$9=1,0,'Lease Cycles'!$D$9*INDEX('Lease Cycles'!$FH$9:$FN$9,1,DT27)*IF(INDEX('Lease Cycles'!$EF$9:$EL$9,1,DT27)=1,1,IF(OR(INDEX('Lease Cycles'!$DY$9:$EE$9,1,DT27)=1,DT28&gt;0),1,1-INDEX('Lease Cycles'!$DD$9:$DJ$9,1,DT27)))),0)</f>
        <v>0</v>
      </c>
      <c r="DU36" s="24">
        <f>IF(DU29=1,IF('Lease Cycles'!$AJ$9=1,0,'Lease Cycles'!$D$9*INDEX('Lease Cycles'!$FH$9:$FN$9,1,DU27)*IF(INDEX('Lease Cycles'!$EF$9:$EL$9,1,DU27)=1,1,IF(OR(INDEX('Lease Cycles'!$DY$9:$EE$9,1,DU27)=1,DU28&gt;0),1,1-INDEX('Lease Cycles'!$DD$9:$DJ$9,1,DU27)))),0)</f>
        <v>0</v>
      </c>
      <c r="DV36" s="24">
        <f>IF(DV29=1,IF('Lease Cycles'!$AJ$9=1,0,'Lease Cycles'!$D$9*INDEX('Lease Cycles'!$FH$9:$FN$9,1,DV27)*IF(INDEX('Lease Cycles'!$EF$9:$EL$9,1,DV27)=1,1,IF(OR(INDEX('Lease Cycles'!$DY$9:$EE$9,1,DV27)=1,DV28&gt;0),1,1-INDEX('Lease Cycles'!$DD$9:$DJ$9,1,DV27)))),0)</f>
        <v>0</v>
      </c>
      <c r="DW36" s="24">
        <f>IF(DW29=1,IF('Lease Cycles'!$AJ$9=1,0,'Lease Cycles'!$D$9*INDEX('Lease Cycles'!$FH$9:$FN$9,1,DW27)*IF(INDEX('Lease Cycles'!$EF$9:$EL$9,1,DW27)=1,1,IF(OR(INDEX('Lease Cycles'!$DY$9:$EE$9,1,DW27)=1,DW28&gt;0),1,1-INDEX('Lease Cycles'!$DD$9:$DJ$9,1,DW27)))),0)</f>
        <v>0</v>
      </c>
      <c r="DX36" s="24">
        <f>IF(DX29=1,IF('Lease Cycles'!$AJ$9=1,0,'Lease Cycles'!$D$9*INDEX('Lease Cycles'!$FH$9:$FN$9,1,DX27)*IF(INDEX('Lease Cycles'!$EF$9:$EL$9,1,DX27)=1,1,IF(OR(INDEX('Lease Cycles'!$DY$9:$EE$9,1,DX27)=1,DX28&gt;0),1,1-INDEX('Lease Cycles'!$DD$9:$DJ$9,1,DX27)))),0)</f>
        <v>0</v>
      </c>
      <c r="DY36" s="24">
        <f>IF(DY29=1,IF('Lease Cycles'!$AJ$9=1,0,'Lease Cycles'!$D$9*INDEX('Lease Cycles'!$FH$9:$FN$9,1,DY27)*IF(INDEX('Lease Cycles'!$EF$9:$EL$9,1,DY27)=1,1,IF(OR(INDEX('Lease Cycles'!$DY$9:$EE$9,1,DY27)=1,DY28&gt;0),1,1-INDEX('Lease Cycles'!$DD$9:$DJ$9,1,DY27)))),0)</f>
        <v>0</v>
      </c>
      <c r="DZ36" s="24">
        <f>IF(DZ29=1,IF('Lease Cycles'!$AJ$9=1,0,'Lease Cycles'!$D$9*INDEX('Lease Cycles'!$FH$9:$FN$9,1,DZ27)*IF(INDEX('Lease Cycles'!$EF$9:$EL$9,1,DZ27)=1,1,IF(OR(INDEX('Lease Cycles'!$DY$9:$EE$9,1,DZ27)=1,DZ28&gt;0),1,1-INDEX('Lease Cycles'!$DD$9:$DJ$9,1,DZ27)))),0)</f>
        <v>0</v>
      </c>
      <c r="EA36" s="24">
        <f>IF(EA29=1,IF('Lease Cycles'!$AJ$9=1,0,'Lease Cycles'!$D$9*INDEX('Lease Cycles'!$FH$9:$FN$9,1,EA27)*IF(INDEX('Lease Cycles'!$EF$9:$EL$9,1,EA27)=1,1,IF(OR(INDEX('Lease Cycles'!$DY$9:$EE$9,1,EA27)=1,EA28&gt;0),1,1-INDEX('Lease Cycles'!$DD$9:$DJ$9,1,EA27)))),0)</f>
        <v>0</v>
      </c>
      <c r="EB36" s="24">
        <f>IF(EB29=1,IF('Lease Cycles'!$AJ$9=1,0,'Lease Cycles'!$D$9*INDEX('Lease Cycles'!$FH$9:$FN$9,1,EB27)*IF(INDEX('Lease Cycles'!$EF$9:$EL$9,1,EB27)=1,1,IF(OR(INDEX('Lease Cycles'!$DY$9:$EE$9,1,EB27)=1,EB28&gt;0),1,1-INDEX('Lease Cycles'!$DD$9:$DJ$9,1,EB27)))),0)</f>
        <v>0</v>
      </c>
      <c r="EC36" s="24">
        <f>IF(EC29=1,IF('Lease Cycles'!$AJ$9=1,0,'Lease Cycles'!$D$9*INDEX('Lease Cycles'!$FH$9:$FN$9,1,EC27)*IF(INDEX('Lease Cycles'!$EF$9:$EL$9,1,EC27)=1,1,IF(OR(INDEX('Lease Cycles'!$DY$9:$EE$9,1,EC27)=1,EC28&gt;0),1,1-INDEX('Lease Cycles'!$DD$9:$DJ$9,1,EC27)))),0)</f>
        <v>0</v>
      </c>
      <c r="ED36" s="24">
        <f>IF(ED29=1,IF('Lease Cycles'!$AJ$9=1,0,'Lease Cycles'!$D$9*INDEX('Lease Cycles'!$FH$9:$FN$9,1,ED27)*IF(INDEX('Lease Cycles'!$EF$9:$EL$9,1,ED27)=1,1,IF(OR(INDEX('Lease Cycles'!$DY$9:$EE$9,1,ED27)=1,ED28&gt;0),1,1-INDEX('Lease Cycles'!$DD$9:$DJ$9,1,ED27)))),0)</f>
        <v>0</v>
      </c>
      <c r="EE36" s="24">
        <f>IF(EE29=1,IF('Lease Cycles'!$AJ$9=1,0,'Lease Cycles'!$D$9*INDEX('Lease Cycles'!$FH$9:$FN$9,1,EE27)*IF(INDEX('Lease Cycles'!$EF$9:$EL$9,1,EE27)=1,1,IF(OR(INDEX('Lease Cycles'!$DY$9:$EE$9,1,EE27)=1,EE28&gt;0),1,1-INDEX('Lease Cycles'!$DD$9:$DJ$9,1,EE27)))),0)</f>
        <v>0</v>
      </c>
      <c r="EF36" s="24">
        <f>IF(EF29=1,IF('Lease Cycles'!$AJ$9=1,0,'Lease Cycles'!$D$9*INDEX('Lease Cycles'!$FH$9:$FN$9,1,EF27)*IF(INDEX('Lease Cycles'!$EF$9:$EL$9,1,EF27)=1,1,IF(OR(INDEX('Lease Cycles'!$DY$9:$EE$9,1,EF27)=1,EF28&gt;0),1,1-INDEX('Lease Cycles'!$DD$9:$DJ$9,1,EF27)))),0)</f>
        <v>0</v>
      </c>
      <c r="EG36" s="24">
        <f>IF(EG29=1,IF('Lease Cycles'!$AJ$9=1,0,'Lease Cycles'!$D$9*INDEX('Lease Cycles'!$FH$9:$FN$9,1,EG27)*IF(INDEX('Lease Cycles'!$EF$9:$EL$9,1,EG27)=1,1,IF(OR(INDEX('Lease Cycles'!$DY$9:$EE$9,1,EG27)=1,EG28&gt;0),1,1-INDEX('Lease Cycles'!$DD$9:$DJ$9,1,EG27)))),0)</f>
        <v>0</v>
      </c>
      <c r="EH36" s="24">
        <f>IF(EH29=1,IF('Lease Cycles'!$AJ$9=1,0,'Lease Cycles'!$D$9*INDEX('Lease Cycles'!$FH$9:$FN$9,1,EH27)*IF(INDEX('Lease Cycles'!$EF$9:$EL$9,1,EH27)=1,1,IF(OR(INDEX('Lease Cycles'!$DY$9:$EE$9,1,EH27)=1,EH28&gt;0),1,1-INDEX('Lease Cycles'!$DD$9:$DJ$9,1,EH27)))),0)</f>
        <v>0</v>
      </c>
      <c r="EI36" s="24">
        <f>IF(EI29=1,IF('Lease Cycles'!$AJ$9=1,0,'Lease Cycles'!$D$9*INDEX('Lease Cycles'!$FH$9:$FN$9,1,EI27)*IF(INDEX('Lease Cycles'!$EF$9:$EL$9,1,EI27)=1,1,IF(OR(INDEX('Lease Cycles'!$DY$9:$EE$9,1,EI27)=1,EI28&gt;0),1,1-INDEX('Lease Cycles'!$DD$9:$DJ$9,1,EI27)))),0)</f>
        <v>0</v>
      </c>
      <c r="EJ36" s="24">
        <f>IF(EJ29=1,IF('Lease Cycles'!$AJ$9=1,0,'Lease Cycles'!$D$9*INDEX('Lease Cycles'!$FH$9:$FN$9,1,EJ27)*IF(INDEX('Lease Cycles'!$EF$9:$EL$9,1,EJ27)=1,1,IF(OR(INDEX('Lease Cycles'!$DY$9:$EE$9,1,EJ27)=1,EJ28&gt;0),1,1-INDEX('Lease Cycles'!$DD$9:$DJ$9,1,EJ27)))),0)</f>
        <v>0</v>
      </c>
      <c r="EK36" s="24">
        <f>IF(EK29=1,IF('Lease Cycles'!$AJ$9=1,0,'Lease Cycles'!$D$9*INDEX('Lease Cycles'!$FH$9:$FN$9,1,EK27)*IF(INDEX('Lease Cycles'!$EF$9:$EL$9,1,EK27)=1,1,IF(OR(INDEX('Lease Cycles'!$DY$9:$EE$9,1,EK27)=1,EK28&gt;0),1,1-INDEX('Lease Cycles'!$DD$9:$DJ$9,1,EK27)))),0)</f>
        <v>0</v>
      </c>
      <c r="EL36" s="24">
        <f>IF(EL29=1,IF('Lease Cycles'!$AJ$9=1,0,'Lease Cycles'!$D$9*INDEX('Lease Cycles'!$FH$9:$FN$9,1,EL27)*IF(INDEX('Lease Cycles'!$EF$9:$EL$9,1,EL27)=1,1,IF(OR(INDEX('Lease Cycles'!$DY$9:$EE$9,1,EL27)=1,EL28&gt;0),1,1-INDEX('Lease Cycles'!$DD$9:$DJ$9,1,EL27)))),0)</f>
        <v>0</v>
      </c>
      <c r="EM36" s="24">
        <f>IF(EM29=1,IF('Lease Cycles'!$AJ$9=1,0,'Lease Cycles'!$D$9*INDEX('Lease Cycles'!$FH$9:$FN$9,1,EM27)*IF(INDEX('Lease Cycles'!$EF$9:$EL$9,1,EM27)=1,1,IF(OR(INDEX('Lease Cycles'!$DY$9:$EE$9,1,EM27)=1,EM28&gt;0),1,1-INDEX('Lease Cycles'!$DD$9:$DJ$9,1,EM27)))),0)</f>
        <v>0</v>
      </c>
      <c r="EN36" s="24">
        <f>IF(EN29=1,IF('Lease Cycles'!$AJ$9=1,0,'Lease Cycles'!$D$9*INDEX('Lease Cycles'!$FH$9:$FN$9,1,EN27)*IF(INDEX('Lease Cycles'!$EF$9:$EL$9,1,EN27)=1,1,IF(OR(INDEX('Lease Cycles'!$DY$9:$EE$9,1,EN27)=1,EN28&gt;0),1,1-INDEX('Lease Cycles'!$DD$9:$DJ$9,1,EN27)))),0)</f>
        <v>0</v>
      </c>
      <c r="EO36" s="24">
        <f>IF(EO29=1,IF('Lease Cycles'!$AJ$9=1,0,'Lease Cycles'!$D$9*INDEX('Lease Cycles'!$FH$9:$FN$9,1,EO27)*IF(INDEX('Lease Cycles'!$EF$9:$EL$9,1,EO27)=1,1,IF(OR(INDEX('Lease Cycles'!$DY$9:$EE$9,1,EO27)=1,EO28&gt;0),1,1-INDEX('Lease Cycles'!$DD$9:$DJ$9,1,EO27)))),0)</f>
        <v>0</v>
      </c>
      <c r="EP36" s="24">
        <f>IF(EP29=1,IF('Lease Cycles'!$AJ$9=1,0,'Lease Cycles'!$D$9*INDEX('Lease Cycles'!$FH$9:$FN$9,1,EP27)*IF(INDEX('Lease Cycles'!$EF$9:$EL$9,1,EP27)=1,1,IF(OR(INDEX('Lease Cycles'!$DY$9:$EE$9,1,EP27)=1,EP28&gt;0),1,1-INDEX('Lease Cycles'!$DD$9:$DJ$9,1,EP27)))),0)</f>
        <v>0</v>
      </c>
      <c r="EQ36" s="24">
        <f>IF(EQ29=1,IF('Lease Cycles'!$AJ$9=1,0,'Lease Cycles'!$D$9*INDEX('Lease Cycles'!$FH$9:$FN$9,1,EQ27)*IF(INDEX('Lease Cycles'!$EF$9:$EL$9,1,EQ27)=1,1,IF(OR(INDEX('Lease Cycles'!$DY$9:$EE$9,1,EQ27)=1,EQ28&gt;0),1,1-INDEX('Lease Cycles'!$DD$9:$DJ$9,1,EQ27)))),0)</f>
        <v>0</v>
      </c>
      <c r="ER36" s="24">
        <f>IF(ER29=1,IF('Lease Cycles'!$AJ$9=1,0,'Lease Cycles'!$D$9*INDEX('Lease Cycles'!$FH$9:$FN$9,1,ER27)*IF(INDEX('Lease Cycles'!$EF$9:$EL$9,1,ER27)=1,1,IF(OR(INDEX('Lease Cycles'!$DY$9:$EE$9,1,ER27)=1,ER28&gt;0),1,1-INDEX('Lease Cycles'!$DD$9:$DJ$9,1,ER27)))),0)</f>
        <v>0</v>
      </c>
      <c r="ES36" s="24">
        <f>IF(ES29=1,IF('Lease Cycles'!$AJ$9=1,0,'Lease Cycles'!$D$9*INDEX('Lease Cycles'!$FH$9:$FN$9,1,ES27)*IF(INDEX('Lease Cycles'!$EF$9:$EL$9,1,ES27)=1,1,IF(OR(INDEX('Lease Cycles'!$DY$9:$EE$9,1,ES27)=1,ES28&gt;0),1,1-INDEX('Lease Cycles'!$DD$9:$DJ$9,1,ES27)))),0)</f>
        <v>0</v>
      </c>
      <c r="ET36" s="24">
        <f>IF(ET29=1,IF('Lease Cycles'!$AJ$9=1,0,'Lease Cycles'!$D$9*INDEX('Lease Cycles'!$FH$9:$FN$9,1,ET27)*IF(INDEX('Lease Cycles'!$EF$9:$EL$9,1,ET27)=1,1,IF(OR(INDEX('Lease Cycles'!$DY$9:$EE$9,1,ET27)=1,ET28&gt;0),1,1-INDEX('Lease Cycles'!$DD$9:$DJ$9,1,ET27)))),0)</f>
        <v>0</v>
      </c>
    </row>
    <row r="37">
      <c r="A37" s="103">
        <v>2</v>
      </c>
      <c r="B37" s="23" t="str">
        <f>IF('Lease Cycles'!$B$9="","(empty slot)",'Lease Cycles'!$B$9)</f>
        <v>Sunfield Pharmacy</v>
      </c>
      <c r="C37" s="23" t="s">
        <v>687</v>
      </c>
      <c r="D37" s="104" t="s">
        <v>688</v>
      </c>
      <c r="E37" s="25">
        <f>'Lease Cycles'!$AL$9</f>
        <v>0</v>
      </c>
      <c r="G37" s="24">
        <f>SUM(S37:AD37)</f>
        <v>0</v>
      </c>
      <c r="H37" s="24">
        <f>SUM(AE37:AP37)</f>
        <v>0</v>
      </c>
      <c r="I37" s="24">
        <f>SUM(AQ37:BB37)</f>
        <v>0</v>
      </c>
      <c r="J37" s="24">
        <f>SUM(BC37:BN37)</f>
        <v>0</v>
      </c>
      <c r="K37" s="24">
        <f>SUM(BO37:BZ37)</f>
        <v>0</v>
      </c>
      <c r="L37" s="24">
        <f>SUM(CA37:CL37)</f>
        <v>0</v>
      </c>
      <c r="M37" s="24">
        <f>SUM(CM37:CX37)</f>
        <v>0</v>
      </c>
      <c r="N37" s="24">
        <f>SUM(CY37:DJ37)</f>
        <v>0</v>
      </c>
      <c r="O37" s="24">
        <f>SUM(DK37:DV37)</f>
        <v>0</v>
      </c>
      <c r="P37" s="24">
        <f>SUM(DW37:EH37)</f>
        <v>0</v>
      </c>
      <c r="Q37" s="24">
        <f>SUM(EI37:ET37)</f>
        <v>0</v>
      </c>
      <c r="S37" s="24">
        <f>IF(S29=1,'Lease Cycles'!$D$9*IF(INDEX('Lease Cycles'!$EF$9:$EL$9,1,S27)=1,'Lease Cycles'!$AJ$9*INDEX('Lease Cycles'!$FO$9:$FU$9,1,S27)*INDEX('Lease Cycles'!$EM$9:$ES$9,1,S27)+'Lease Cycles'!$BE$9*IF(S28&lt;INDEX('Lease Cycles'!$FA$9:$FG$9,1,S27),0,1-INDEX('Lease Cycles'!$EM$9:$ES$9,1,S27)),IF(OR(INDEX('Lease Cycles'!$DY$9:$EE$9,1,S27)=1,S28&gt;0),1,1-INDEX('Lease Cycles'!$DD$9:$DJ$9,1,S27))*('Lease Cycles'!$AJ$9*INDEX('Lease Cycles'!$FO$9:$FU$9,1,S27)+'Lease Cycles'!$BE$9*(1-INDEX('Lease Cycles'!$FO$9:$FU$9,1,S27)))),0)</f>
        <v>0</v>
      </c>
      <c r="T37" s="24">
        <f>IF(T29=1,'Lease Cycles'!$D$9*IF(INDEX('Lease Cycles'!$EF$9:$EL$9,1,T27)=1,'Lease Cycles'!$AJ$9*INDEX('Lease Cycles'!$FO$9:$FU$9,1,T27)*INDEX('Lease Cycles'!$EM$9:$ES$9,1,T27)+'Lease Cycles'!$BE$9*IF(T28&lt;INDEX('Lease Cycles'!$FA$9:$FG$9,1,T27),0,1-INDEX('Lease Cycles'!$EM$9:$ES$9,1,T27)),IF(OR(INDEX('Lease Cycles'!$DY$9:$EE$9,1,T27)=1,T28&gt;0),1,1-INDEX('Lease Cycles'!$DD$9:$DJ$9,1,T27))*('Lease Cycles'!$AJ$9*INDEX('Lease Cycles'!$FO$9:$FU$9,1,T27)+'Lease Cycles'!$BE$9*(1-INDEX('Lease Cycles'!$FO$9:$FU$9,1,T27)))),0)</f>
        <v>0</v>
      </c>
      <c r="U37" s="24">
        <f>IF(U29=1,'Lease Cycles'!$D$9*IF(INDEX('Lease Cycles'!$EF$9:$EL$9,1,U27)=1,'Lease Cycles'!$AJ$9*INDEX('Lease Cycles'!$FO$9:$FU$9,1,U27)*INDEX('Lease Cycles'!$EM$9:$ES$9,1,U27)+'Lease Cycles'!$BE$9*IF(U28&lt;INDEX('Lease Cycles'!$FA$9:$FG$9,1,U27),0,1-INDEX('Lease Cycles'!$EM$9:$ES$9,1,U27)),IF(OR(INDEX('Lease Cycles'!$DY$9:$EE$9,1,U27)=1,U28&gt;0),1,1-INDEX('Lease Cycles'!$DD$9:$DJ$9,1,U27))*('Lease Cycles'!$AJ$9*INDEX('Lease Cycles'!$FO$9:$FU$9,1,U27)+'Lease Cycles'!$BE$9*(1-INDEX('Lease Cycles'!$FO$9:$FU$9,1,U27)))),0)</f>
        <v>0</v>
      </c>
      <c r="V37" s="24">
        <f>IF(V29=1,'Lease Cycles'!$D$9*IF(INDEX('Lease Cycles'!$EF$9:$EL$9,1,V27)=1,'Lease Cycles'!$AJ$9*INDEX('Lease Cycles'!$FO$9:$FU$9,1,V27)*INDEX('Lease Cycles'!$EM$9:$ES$9,1,V27)+'Lease Cycles'!$BE$9*IF(V28&lt;INDEX('Lease Cycles'!$FA$9:$FG$9,1,V27),0,1-INDEX('Lease Cycles'!$EM$9:$ES$9,1,V27)),IF(OR(INDEX('Lease Cycles'!$DY$9:$EE$9,1,V27)=1,V28&gt;0),1,1-INDEX('Lease Cycles'!$DD$9:$DJ$9,1,V27))*('Lease Cycles'!$AJ$9*INDEX('Lease Cycles'!$FO$9:$FU$9,1,V27)+'Lease Cycles'!$BE$9*(1-INDEX('Lease Cycles'!$FO$9:$FU$9,1,V27)))),0)</f>
        <v>0</v>
      </c>
      <c r="W37" s="24">
        <f>IF(W29=1,'Lease Cycles'!$D$9*IF(INDEX('Lease Cycles'!$EF$9:$EL$9,1,W27)=1,'Lease Cycles'!$AJ$9*INDEX('Lease Cycles'!$FO$9:$FU$9,1,W27)*INDEX('Lease Cycles'!$EM$9:$ES$9,1,W27)+'Lease Cycles'!$BE$9*IF(W28&lt;INDEX('Lease Cycles'!$FA$9:$FG$9,1,W27),0,1-INDEX('Lease Cycles'!$EM$9:$ES$9,1,W27)),IF(OR(INDEX('Lease Cycles'!$DY$9:$EE$9,1,W27)=1,W28&gt;0),1,1-INDEX('Lease Cycles'!$DD$9:$DJ$9,1,W27))*('Lease Cycles'!$AJ$9*INDEX('Lease Cycles'!$FO$9:$FU$9,1,W27)+'Lease Cycles'!$BE$9*(1-INDEX('Lease Cycles'!$FO$9:$FU$9,1,W27)))),0)</f>
        <v>0</v>
      </c>
      <c r="X37" s="24">
        <f>IF(X29=1,'Lease Cycles'!$D$9*IF(INDEX('Lease Cycles'!$EF$9:$EL$9,1,X27)=1,'Lease Cycles'!$AJ$9*INDEX('Lease Cycles'!$FO$9:$FU$9,1,X27)*INDEX('Lease Cycles'!$EM$9:$ES$9,1,X27)+'Lease Cycles'!$BE$9*IF(X28&lt;INDEX('Lease Cycles'!$FA$9:$FG$9,1,X27),0,1-INDEX('Lease Cycles'!$EM$9:$ES$9,1,X27)),IF(OR(INDEX('Lease Cycles'!$DY$9:$EE$9,1,X27)=1,X28&gt;0),1,1-INDEX('Lease Cycles'!$DD$9:$DJ$9,1,X27))*('Lease Cycles'!$AJ$9*INDEX('Lease Cycles'!$FO$9:$FU$9,1,X27)+'Lease Cycles'!$BE$9*(1-INDEX('Lease Cycles'!$FO$9:$FU$9,1,X27)))),0)</f>
        <v>0</v>
      </c>
      <c r="Y37" s="24">
        <f>IF(Y29=1,'Lease Cycles'!$D$9*IF(INDEX('Lease Cycles'!$EF$9:$EL$9,1,Y27)=1,'Lease Cycles'!$AJ$9*INDEX('Lease Cycles'!$FO$9:$FU$9,1,Y27)*INDEX('Lease Cycles'!$EM$9:$ES$9,1,Y27)+'Lease Cycles'!$BE$9*IF(Y28&lt;INDEX('Lease Cycles'!$FA$9:$FG$9,1,Y27),0,1-INDEX('Lease Cycles'!$EM$9:$ES$9,1,Y27)),IF(OR(INDEX('Lease Cycles'!$DY$9:$EE$9,1,Y27)=1,Y28&gt;0),1,1-INDEX('Lease Cycles'!$DD$9:$DJ$9,1,Y27))*('Lease Cycles'!$AJ$9*INDEX('Lease Cycles'!$FO$9:$FU$9,1,Y27)+'Lease Cycles'!$BE$9*(1-INDEX('Lease Cycles'!$FO$9:$FU$9,1,Y27)))),0)</f>
        <v>0</v>
      </c>
      <c r="Z37" s="24">
        <f>IF(Z29=1,'Lease Cycles'!$D$9*IF(INDEX('Lease Cycles'!$EF$9:$EL$9,1,Z27)=1,'Lease Cycles'!$AJ$9*INDEX('Lease Cycles'!$FO$9:$FU$9,1,Z27)*INDEX('Lease Cycles'!$EM$9:$ES$9,1,Z27)+'Lease Cycles'!$BE$9*IF(Z28&lt;INDEX('Lease Cycles'!$FA$9:$FG$9,1,Z27),0,1-INDEX('Lease Cycles'!$EM$9:$ES$9,1,Z27)),IF(OR(INDEX('Lease Cycles'!$DY$9:$EE$9,1,Z27)=1,Z28&gt;0),1,1-INDEX('Lease Cycles'!$DD$9:$DJ$9,1,Z27))*('Lease Cycles'!$AJ$9*INDEX('Lease Cycles'!$FO$9:$FU$9,1,Z27)+'Lease Cycles'!$BE$9*(1-INDEX('Lease Cycles'!$FO$9:$FU$9,1,Z27)))),0)</f>
        <v>0</v>
      </c>
      <c r="AA37" s="24">
        <f>IF(AA29=1,'Lease Cycles'!$D$9*IF(INDEX('Lease Cycles'!$EF$9:$EL$9,1,AA27)=1,'Lease Cycles'!$AJ$9*INDEX('Lease Cycles'!$FO$9:$FU$9,1,AA27)*INDEX('Lease Cycles'!$EM$9:$ES$9,1,AA27)+'Lease Cycles'!$BE$9*IF(AA28&lt;INDEX('Lease Cycles'!$FA$9:$FG$9,1,AA27),0,1-INDEX('Lease Cycles'!$EM$9:$ES$9,1,AA27)),IF(OR(INDEX('Lease Cycles'!$DY$9:$EE$9,1,AA27)=1,AA28&gt;0),1,1-INDEX('Lease Cycles'!$DD$9:$DJ$9,1,AA27))*('Lease Cycles'!$AJ$9*INDEX('Lease Cycles'!$FO$9:$FU$9,1,AA27)+'Lease Cycles'!$BE$9*(1-INDEX('Lease Cycles'!$FO$9:$FU$9,1,AA27)))),0)</f>
        <v>0</v>
      </c>
      <c r="AB37" s="24">
        <f>IF(AB29=1,'Lease Cycles'!$D$9*IF(INDEX('Lease Cycles'!$EF$9:$EL$9,1,AB27)=1,'Lease Cycles'!$AJ$9*INDEX('Lease Cycles'!$FO$9:$FU$9,1,AB27)*INDEX('Lease Cycles'!$EM$9:$ES$9,1,AB27)+'Lease Cycles'!$BE$9*IF(AB28&lt;INDEX('Lease Cycles'!$FA$9:$FG$9,1,AB27),0,1-INDEX('Lease Cycles'!$EM$9:$ES$9,1,AB27)),IF(OR(INDEX('Lease Cycles'!$DY$9:$EE$9,1,AB27)=1,AB28&gt;0),1,1-INDEX('Lease Cycles'!$DD$9:$DJ$9,1,AB27))*('Lease Cycles'!$AJ$9*INDEX('Lease Cycles'!$FO$9:$FU$9,1,AB27)+'Lease Cycles'!$BE$9*(1-INDEX('Lease Cycles'!$FO$9:$FU$9,1,AB27)))),0)</f>
        <v>0</v>
      </c>
      <c r="AC37" s="24">
        <f>IF(AC29=1,'Lease Cycles'!$D$9*IF(INDEX('Lease Cycles'!$EF$9:$EL$9,1,AC27)=1,'Lease Cycles'!$AJ$9*INDEX('Lease Cycles'!$FO$9:$FU$9,1,AC27)*INDEX('Lease Cycles'!$EM$9:$ES$9,1,AC27)+'Lease Cycles'!$BE$9*IF(AC28&lt;INDEX('Lease Cycles'!$FA$9:$FG$9,1,AC27),0,1-INDEX('Lease Cycles'!$EM$9:$ES$9,1,AC27)),IF(OR(INDEX('Lease Cycles'!$DY$9:$EE$9,1,AC27)=1,AC28&gt;0),1,1-INDEX('Lease Cycles'!$DD$9:$DJ$9,1,AC27))*('Lease Cycles'!$AJ$9*INDEX('Lease Cycles'!$FO$9:$FU$9,1,AC27)+'Lease Cycles'!$BE$9*(1-INDEX('Lease Cycles'!$FO$9:$FU$9,1,AC27)))),0)</f>
        <v>0</v>
      </c>
      <c r="AD37" s="24">
        <f>IF(AD29=1,'Lease Cycles'!$D$9*IF(INDEX('Lease Cycles'!$EF$9:$EL$9,1,AD27)=1,'Lease Cycles'!$AJ$9*INDEX('Lease Cycles'!$FO$9:$FU$9,1,AD27)*INDEX('Lease Cycles'!$EM$9:$ES$9,1,AD27)+'Lease Cycles'!$BE$9*IF(AD28&lt;INDEX('Lease Cycles'!$FA$9:$FG$9,1,AD27),0,1-INDEX('Lease Cycles'!$EM$9:$ES$9,1,AD27)),IF(OR(INDEX('Lease Cycles'!$DY$9:$EE$9,1,AD27)=1,AD28&gt;0),1,1-INDEX('Lease Cycles'!$DD$9:$DJ$9,1,AD27))*('Lease Cycles'!$AJ$9*INDEX('Lease Cycles'!$FO$9:$FU$9,1,AD27)+'Lease Cycles'!$BE$9*(1-INDEX('Lease Cycles'!$FO$9:$FU$9,1,AD27)))),0)</f>
        <v>0</v>
      </c>
      <c r="AE37" s="24">
        <f>IF(AE29=1,'Lease Cycles'!$D$9*IF(INDEX('Lease Cycles'!$EF$9:$EL$9,1,AE27)=1,'Lease Cycles'!$AJ$9*INDEX('Lease Cycles'!$FO$9:$FU$9,1,AE27)*INDEX('Lease Cycles'!$EM$9:$ES$9,1,AE27)+'Lease Cycles'!$BE$9*IF(AE28&lt;INDEX('Lease Cycles'!$FA$9:$FG$9,1,AE27),0,1-INDEX('Lease Cycles'!$EM$9:$ES$9,1,AE27)),IF(OR(INDEX('Lease Cycles'!$DY$9:$EE$9,1,AE27)=1,AE28&gt;0),1,1-INDEX('Lease Cycles'!$DD$9:$DJ$9,1,AE27))*('Lease Cycles'!$AJ$9*INDEX('Lease Cycles'!$FO$9:$FU$9,1,AE27)+'Lease Cycles'!$BE$9*(1-INDEX('Lease Cycles'!$FO$9:$FU$9,1,AE27)))),0)</f>
        <v>0</v>
      </c>
      <c r="AF37" s="24">
        <f>IF(AF29=1,'Lease Cycles'!$D$9*IF(INDEX('Lease Cycles'!$EF$9:$EL$9,1,AF27)=1,'Lease Cycles'!$AJ$9*INDEX('Lease Cycles'!$FO$9:$FU$9,1,AF27)*INDEX('Lease Cycles'!$EM$9:$ES$9,1,AF27)+'Lease Cycles'!$BE$9*IF(AF28&lt;INDEX('Lease Cycles'!$FA$9:$FG$9,1,AF27),0,1-INDEX('Lease Cycles'!$EM$9:$ES$9,1,AF27)),IF(OR(INDEX('Lease Cycles'!$DY$9:$EE$9,1,AF27)=1,AF28&gt;0),1,1-INDEX('Lease Cycles'!$DD$9:$DJ$9,1,AF27))*('Lease Cycles'!$AJ$9*INDEX('Lease Cycles'!$FO$9:$FU$9,1,AF27)+'Lease Cycles'!$BE$9*(1-INDEX('Lease Cycles'!$FO$9:$FU$9,1,AF27)))),0)</f>
        <v>0</v>
      </c>
      <c r="AG37" s="24">
        <f>IF(AG29=1,'Lease Cycles'!$D$9*IF(INDEX('Lease Cycles'!$EF$9:$EL$9,1,AG27)=1,'Lease Cycles'!$AJ$9*INDEX('Lease Cycles'!$FO$9:$FU$9,1,AG27)*INDEX('Lease Cycles'!$EM$9:$ES$9,1,AG27)+'Lease Cycles'!$BE$9*IF(AG28&lt;INDEX('Lease Cycles'!$FA$9:$FG$9,1,AG27),0,1-INDEX('Lease Cycles'!$EM$9:$ES$9,1,AG27)),IF(OR(INDEX('Lease Cycles'!$DY$9:$EE$9,1,AG27)=1,AG28&gt;0),1,1-INDEX('Lease Cycles'!$DD$9:$DJ$9,1,AG27))*('Lease Cycles'!$AJ$9*INDEX('Lease Cycles'!$FO$9:$FU$9,1,AG27)+'Lease Cycles'!$BE$9*(1-INDEX('Lease Cycles'!$FO$9:$FU$9,1,AG27)))),0)</f>
        <v>0</v>
      </c>
      <c r="AH37" s="24">
        <f>IF(AH29=1,'Lease Cycles'!$D$9*IF(INDEX('Lease Cycles'!$EF$9:$EL$9,1,AH27)=1,'Lease Cycles'!$AJ$9*INDEX('Lease Cycles'!$FO$9:$FU$9,1,AH27)*INDEX('Lease Cycles'!$EM$9:$ES$9,1,AH27)+'Lease Cycles'!$BE$9*IF(AH28&lt;INDEX('Lease Cycles'!$FA$9:$FG$9,1,AH27),0,1-INDEX('Lease Cycles'!$EM$9:$ES$9,1,AH27)),IF(OR(INDEX('Lease Cycles'!$DY$9:$EE$9,1,AH27)=1,AH28&gt;0),1,1-INDEX('Lease Cycles'!$DD$9:$DJ$9,1,AH27))*('Lease Cycles'!$AJ$9*INDEX('Lease Cycles'!$FO$9:$FU$9,1,AH27)+'Lease Cycles'!$BE$9*(1-INDEX('Lease Cycles'!$FO$9:$FU$9,1,AH27)))),0)</f>
        <v>0</v>
      </c>
      <c r="AI37" s="24">
        <f>IF(AI29=1,'Lease Cycles'!$D$9*IF(INDEX('Lease Cycles'!$EF$9:$EL$9,1,AI27)=1,'Lease Cycles'!$AJ$9*INDEX('Lease Cycles'!$FO$9:$FU$9,1,AI27)*INDEX('Lease Cycles'!$EM$9:$ES$9,1,AI27)+'Lease Cycles'!$BE$9*IF(AI28&lt;INDEX('Lease Cycles'!$FA$9:$FG$9,1,AI27),0,1-INDEX('Lease Cycles'!$EM$9:$ES$9,1,AI27)),IF(OR(INDEX('Lease Cycles'!$DY$9:$EE$9,1,AI27)=1,AI28&gt;0),1,1-INDEX('Lease Cycles'!$DD$9:$DJ$9,1,AI27))*('Lease Cycles'!$AJ$9*INDEX('Lease Cycles'!$FO$9:$FU$9,1,AI27)+'Lease Cycles'!$BE$9*(1-INDEX('Lease Cycles'!$FO$9:$FU$9,1,AI27)))),0)</f>
        <v>0</v>
      </c>
      <c r="AJ37" s="24">
        <f>IF(AJ29=1,'Lease Cycles'!$D$9*IF(INDEX('Lease Cycles'!$EF$9:$EL$9,1,AJ27)=1,'Lease Cycles'!$AJ$9*INDEX('Lease Cycles'!$FO$9:$FU$9,1,AJ27)*INDEX('Lease Cycles'!$EM$9:$ES$9,1,AJ27)+'Lease Cycles'!$BE$9*IF(AJ28&lt;INDEX('Lease Cycles'!$FA$9:$FG$9,1,AJ27),0,1-INDEX('Lease Cycles'!$EM$9:$ES$9,1,AJ27)),IF(OR(INDEX('Lease Cycles'!$DY$9:$EE$9,1,AJ27)=1,AJ28&gt;0),1,1-INDEX('Lease Cycles'!$DD$9:$DJ$9,1,AJ27))*('Lease Cycles'!$AJ$9*INDEX('Lease Cycles'!$FO$9:$FU$9,1,AJ27)+'Lease Cycles'!$BE$9*(1-INDEX('Lease Cycles'!$FO$9:$FU$9,1,AJ27)))),0)</f>
        <v>0</v>
      </c>
      <c r="AK37" s="24">
        <f>IF(AK29=1,'Lease Cycles'!$D$9*IF(INDEX('Lease Cycles'!$EF$9:$EL$9,1,AK27)=1,'Lease Cycles'!$AJ$9*INDEX('Lease Cycles'!$FO$9:$FU$9,1,AK27)*INDEX('Lease Cycles'!$EM$9:$ES$9,1,AK27)+'Lease Cycles'!$BE$9*IF(AK28&lt;INDEX('Lease Cycles'!$FA$9:$FG$9,1,AK27),0,1-INDEX('Lease Cycles'!$EM$9:$ES$9,1,AK27)),IF(OR(INDEX('Lease Cycles'!$DY$9:$EE$9,1,AK27)=1,AK28&gt;0),1,1-INDEX('Lease Cycles'!$DD$9:$DJ$9,1,AK27))*('Lease Cycles'!$AJ$9*INDEX('Lease Cycles'!$FO$9:$FU$9,1,AK27)+'Lease Cycles'!$BE$9*(1-INDEX('Lease Cycles'!$FO$9:$FU$9,1,AK27)))),0)</f>
        <v>0</v>
      </c>
      <c r="AL37" s="24">
        <f>IF(AL29=1,'Lease Cycles'!$D$9*IF(INDEX('Lease Cycles'!$EF$9:$EL$9,1,AL27)=1,'Lease Cycles'!$AJ$9*INDEX('Lease Cycles'!$FO$9:$FU$9,1,AL27)*INDEX('Lease Cycles'!$EM$9:$ES$9,1,AL27)+'Lease Cycles'!$BE$9*IF(AL28&lt;INDEX('Lease Cycles'!$FA$9:$FG$9,1,AL27),0,1-INDEX('Lease Cycles'!$EM$9:$ES$9,1,AL27)),IF(OR(INDEX('Lease Cycles'!$DY$9:$EE$9,1,AL27)=1,AL28&gt;0),1,1-INDEX('Lease Cycles'!$DD$9:$DJ$9,1,AL27))*('Lease Cycles'!$AJ$9*INDEX('Lease Cycles'!$FO$9:$FU$9,1,AL27)+'Lease Cycles'!$BE$9*(1-INDEX('Lease Cycles'!$FO$9:$FU$9,1,AL27)))),0)</f>
        <v>0</v>
      </c>
      <c r="AM37" s="24">
        <f>IF(AM29=1,'Lease Cycles'!$D$9*IF(INDEX('Lease Cycles'!$EF$9:$EL$9,1,AM27)=1,'Lease Cycles'!$AJ$9*INDEX('Lease Cycles'!$FO$9:$FU$9,1,AM27)*INDEX('Lease Cycles'!$EM$9:$ES$9,1,AM27)+'Lease Cycles'!$BE$9*IF(AM28&lt;INDEX('Lease Cycles'!$FA$9:$FG$9,1,AM27),0,1-INDEX('Lease Cycles'!$EM$9:$ES$9,1,AM27)),IF(OR(INDEX('Lease Cycles'!$DY$9:$EE$9,1,AM27)=1,AM28&gt;0),1,1-INDEX('Lease Cycles'!$DD$9:$DJ$9,1,AM27))*('Lease Cycles'!$AJ$9*INDEX('Lease Cycles'!$FO$9:$FU$9,1,AM27)+'Lease Cycles'!$BE$9*(1-INDEX('Lease Cycles'!$FO$9:$FU$9,1,AM27)))),0)</f>
        <v>0</v>
      </c>
      <c r="AN37" s="24">
        <f>IF(AN29=1,'Lease Cycles'!$D$9*IF(INDEX('Lease Cycles'!$EF$9:$EL$9,1,AN27)=1,'Lease Cycles'!$AJ$9*INDEX('Lease Cycles'!$FO$9:$FU$9,1,AN27)*INDEX('Lease Cycles'!$EM$9:$ES$9,1,AN27)+'Lease Cycles'!$BE$9*IF(AN28&lt;INDEX('Lease Cycles'!$FA$9:$FG$9,1,AN27),0,1-INDEX('Lease Cycles'!$EM$9:$ES$9,1,AN27)),IF(OR(INDEX('Lease Cycles'!$DY$9:$EE$9,1,AN27)=1,AN28&gt;0),1,1-INDEX('Lease Cycles'!$DD$9:$DJ$9,1,AN27))*('Lease Cycles'!$AJ$9*INDEX('Lease Cycles'!$FO$9:$FU$9,1,AN27)+'Lease Cycles'!$BE$9*(1-INDEX('Lease Cycles'!$FO$9:$FU$9,1,AN27)))),0)</f>
        <v>0</v>
      </c>
      <c r="AO37" s="24">
        <f>IF(AO29=1,'Lease Cycles'!$D$9*IF(INDEX('Lease Cycles'!$EF$9:$EL$9,1,AO27)=1,'Lease Cycles'!$AJ$9*INDEX('Lease Cycles'!$FO$9:$FU$9,1,AO27)*INDEX('Lease Cycles'!$EM$9:$ES$9,1,AO27)+'Lease Cycles'!$BE$9*IF(AO28&lt;INDEX('Lease Cycles'!$FA$9:$FG$9,1,AO27),0,1-INDEX('Lease Cycles'!$EM$9:$ES$9,1,AO27)),IF(OR(INDEX('Lease Cycles'!$DY$9:$EE$9,1,AO27)=1,AO28&gt;0),1,1-INDEX('Lease Cycles'!$DD$9:$DJ$9,1,AO27))*('Lease Cycles'!$AJ$9*INDEX('Lease Cycles'!$FO$9:$FU$9,1,AO27)+'Lease Cycles'!$BE$9*(1-INDEX('Lease Cycles'!$FO$9:$FU$9,1,AO27)))),0)</f>
        <v>0</v>
      </c>
      <c r="AP37" s="24">
        <f>IF(AP29=1,'Lease Cycles'!$D$9*IF(INDEX('Lease Cycles'!$EF$9:$EL$9,1,AP27)=1,'Lease Cycles'!$AJ$9*INDEX('Lease Cycles'!$FO$9:$FU$9,1,AP27)*INDEX('Lease Cycles'!$EM$9:$ES$9,1,AP27)+'Lease Cycles'!$BE$9*IF(AP28&lt;INDEX('Lease Cycles'!$FA$9:$FG$9,1,AP27),0,1-INDEX('Lease Cycles'!$EM$9:$ES$9,1,AP27)),IF(OR(INDEX('Lease Cycles'!$DY$9:$EE$9,1,AP27)=1,AP28&gt;0),1,1-INDEX('Lease Cycles'!$DD$9:$DJ$9,1,AP27))*('Lease Cycles'!$AJ$9*INDEX('Lease Cycles'!$FO$9:$FU$9,1,AP27)+'Lease Cycles'!$BE$9*(1-INDEX('Lease Cycles'!$FO$9:$FU$9,1,AP27)))),0)</f>
        <v>0</v>
      </c>
      <c r="AQ37" s="24">
        <f>IF(AQ29=1,'Lease Cycles'!$D$9*IF(INDEX('Lease Cycles'!$EF$9:$EL$9,1,AQ27)=1,'Lease Cycles'!$AJ$9*INDEX('Lease Cycles'!$FO$9:$FU$9,1,AQ27)*INDEX('Lease Cycles'!$EM$9:$ES$9,1,AQ27)+'Lease Cycles'!$BE$9*IF(AQ28&lt;INDEX('Lease Cycles'!$FA$9:$FG$9,1,AQ27),0,1-INDEX('Lease Cycles'!$EM$9:$ES$9,1,AQ27)),IF(OR(INDEX('Lease Cycles'!$DY$9:$EE$9,1,AQ27)=1,AQ28&gt;0),1,1-INDEX('Lease Cycles'!$DD$9:$DJ$9,1,AQ27))*('Lease Cycles'!$AJ$9*INDEX('Lease Cycles'!$FO$9:$FU$9,1,AQ27)+'Lease Cycles'!$BE$9*(1-INDEX('Lease Cycles'!$FO$9:$FU$9,1,AQ27)))),0)</f>
        <v>0</v>
      </c>
      <c r="AR37" s="24">
        <f>IF(AR29=1,'Lease Cycles'!$D$9*IF(INDEX('Lease Cycles'!$EF$9:$EL$9,1,AR27)=1,'Lease Cycles'!$AJ$9*INDEX('Lease Cycles'!$FO$9:$FU$9,1,AR27)*INDEX('Lease Cycles'!$EM$9:$ES$9,1,AR27)+'Lease Cycles'!$BE$9*IF(AR28&lt;INDEX('Lease Cycles'!$FA$9:$FG$9,1,AR27),0,1-INDEX('Lease Cycles'!$EM$9:$ES$9,1,AR27)),IF(OR(INDEX('Lease Cycles'!$DY$9:$EE$9,1,AR27)=1,AR28&gt;0),1,1-INDEX('Lease Cycles'!$DD$9:$DJ$9,1,AR27))*('Lease Cycles'!$AJ$9*INDEX('Lease Cycles'!$FO$9:$FU$9,1,AR27)+'Lease Cycles'!$BE$9*(1-INDEX('Lease Cycles'!$FO$9:$FU$9,1,AR27)))),0)</f>
        <v>0</v>
      </c>
      <c r="AS37" s="24">
        <f>IF(AS29=1,'Lease Cycles'!$D$9*IF(INDEX('Lease Cycles'!$EF$9:$EL$9,1,AS27)=1,'Lease Cycles'!$AJ$9*INDEX('Lease Cycles'!$FO$9:$FU$9,1,AS27)*INDEX('Lease Cycles'!$EM$9:$ES$9,1,AS27)+'Lease Cycles'!$BE$9*IF(AS28&lt;INDEX('Lease Cycles'!$FA$9:$FG$9,1,AS27),0,1-INDEX('Lease Cycles'!$EM$9:$ES$9,1,AS27)),IF(OR(INDEX('Lease Cycles'!$DY$9:$EE$9,1,AS27)=1,AS28&gt;0),1,1-INDEX('Lease Cycles'!$DD$9:$DJ$9,1,AS27))*('Lease Cycles'!$AJ$9*INDEX('Lease Cycles'!$FO$9:$FU$9,1,AS27)+'Lease Cycles'!$BE$9*(1-INDEX('Lease Cycles'!$FO$9:$FU$9,1,AS27)))),0)</f>
        <v>0</v>
      </c>
      <c r="AT37" s="24">
        <f>IF(AT29=1,'Lease Cycles'!$D$9*IF(INDEX('Lease Cycles'!$EF$9:$EL$9,1,AT27)=1,'Lease Cycles'!$AJ$9*INDEX('Lease Cycles'!$FO$9:$FU$9,1,AT27)*INDEX('Lease Cycles'!$EM$9:$ES$9,1,AT27)+'Lease Cycles'!$BE$9*IF(AT28&lt;INDEX('Lease Cycles'!$FA$9:$FG$9,1,AT27),0,1-INDEX('Lease Cycles'!$EM$9:$ES$9,1,AT27)),IF(OR(INDEX('Lease Cycles'!$DY$9:$EE$9,1,AT27)=1,AT28&gt;0),1,1-INDEX('Lease Cycles'!$DD$9:$DJ$9,1,AT27))*('Lease Cycles'!$AJ$9*INDEX('Lease Cycles'!$FO$9:$FU$9,1,AT27)+'Lease Cycles'!$BE$9*(1-INDEX('Lease Cycles'!$FO$9:$FU$9,1,AT27)))),0)</f>
        <v>0</v>
      </c>
      <c r="AU37" s="24">
        <f>IF(AU29=1,'Lease Cycles'!$D$9*IF(INDEX('Lease Cycles'!$EF$9:$EL$9,1,AU27)=1,'Lease Cycles'!$AJ$9*INDEX('Lease Cycles'!$FO$9:$FU$9,1,AU27)*INDEX('Lease Cycles'!$EM$9:$ES$9,1,AU27)+'Lease Cycles'!$BE$9*IF(AU28&lt;INDEX('Lease Cycles'!$FA$9:$FG$9,1,AU27),0,1-INDEX('Lease Cycles'!$EM$9:$ES$9,1,AU27)),IF(OR(INDEX('Lease Cycles'!$DY$9:$EE$9,1,AU27)=1,AU28&gt;0),1,1-INDEX('Lease Cycles'!$DD$9:$DJ$9,1,AU27))*('Lease Cycles'!$AJ$9*INDEX('Lease Cycles'!$FO$9:$FU$9,1,AU27)+'Lease Cycles'!$BE$9*(1-INDEX('Lease Cycles'!$FO$9:$FU$9,1,AU27)))),0)</f>
        <v>0</v>
      </c>
      <c r="AV37" s="24">
        <f>IF(AV29=1,'Lease Cycles'!$D$9*IF(INDEX('Lease Cycles'!$EF$9:$EL$9,1,AV27)=1,'Lease Cycles'!$AJ$9*INDEX('Lease Cycles'!$FO$9:$FU$9,1,AV27)*INDEX('Lease Cycles'!$EM$9:$ES$9,1,AV27)+'Lease Cycles'!$BE$9*IF(AV28&lt;INDEX('Lease Cycles'!$FA$9:$FG$9,1,AV27),0,1-INDEX('Lease Cycles'!$EM$9:$ES$9,1,AV27)),IF(OR(INDEX('Lease Cycles'!$DY$9:$EE$9,1,AV27)=1,AV28&gt;0),1,1-INDEX('Lease Cycles'!$DD$9:$DJ$9,1,AV27))*('Lease Cycles'!$AJ$9*INDEX('Lease Cycles'!$FO$9:$FU$9,1,AV27)+'Lease Cycles'!$BE$9*(1-INDEX('Lease Cycles'!$FO$9:$FU$9,1,AV27)))),0)</f>
        <v>0</v>
      </c>
      <c r="AW37" s="24">
        <f>IF(AW29=1,'Lease Cycles'!$D$9*IF(INDEX('Lease Cycles'!$EF$9:$EL$9,1,AW27)=1,'Lease Cycles'!$AJ$9*INDEX('Lease Cycles'!$FO$9:$FU$9,1,AW27)*INDEX('Lease Cycles'!$EM$9:$ES$9,1,AW27)+'Lease Cycles'!$BE$9*IF(AW28&lt;INDEX('Lease Cycles'!$FA$9:$FG$9,1,AW27),0,1-INDEX('Lease Cycles'!$EM$9:$ES$9,1,AW27)),IF(OR(INDEX('Lease Cycles'!$DY$9:$EE$9,1,AW27)=1,AW28&gt;0),1,1-INDEX('Lease Cycles'!$DD$9:$DJ$9,1,AW27))*('Lease Cycles'!$AJ$9*INDEX('Lease Cycles'!$FO$9:$FU$9,1,AW27)+'Lease Cycles'!$BE$9*(1-INDEX('Lease Cycles'!$FO$9:$FU$9,1,AW27)))),0)</f>
        <v>0</v>
      </c>
      <c r="AX37" s="24">
        <f>IF(AX29=1,'Lease Cycles'!$D$9*IF(INDEX('Lease Cycles'!$EF$9:$EL$9,1,AX27)=1,'Lease Cycles'!$AJ$9*INDEX('Lease Cycles'!$FO$9:$FU$9,1,AX27)*INDEX('Lease Cycles'!$EM$9:$ES$9,1,AX27)+'Lease Cycles'!$BE$9*IF(AX28&lt;INDEX('Lease Cycles'!$FA$9:$FG$9,1,AX27),0,1-INDEX('Lease Cycles'!$EM$9:$ES$9,1,AX27)),IF(OR(INDEX('Lease Cycles'!$DY$9:$EE$9,1,AX27)=1,AX28&gt;0),1,1-INDEX('Lease Cycles'!$DD$9:$DJ$9,1,AX27))*('Lease Cycles'!$AJ$9*INDEX('Lease Cycles'!$FO$9:$FU$9,1,AX27)+'Lease Cycles'!$BE$9*(1-INDEX('Lease Cycles'!$FO$9:$FU$9,1,AX27)))),0)</f>
        <v>0</v>
      </c>
      <c r="AY37" s="24">
        <f>IF(AY29=1,'Lease Cycles'!$D$9*IF(INDEX('Lease Cycles'!$EF$9:$EL$9,1,AY27)=1,'Lease Cycles'!$AJ$9*INDEX('Lease Cycles'!$FO$9:$FU$9,1,AY27)*INDEX('Lease Cycles'!$EM$9:$ES$9,1,AY27)+'Lease Cycles'!$BE$9*IF(AY28&lt;INDEX('Lease Cycles'!$FA$9:$FG$9,1,AY27),0,1-INDEX('Lease Cycles'!$EM$9:$ES$9,1,AY27)),IF(OR(INDEX('Lease Cycles'!$DY$9:$EE$9,1,AY27)=1,AY28&gt;0),1,1-INDEX('Lease Cycles'!$DD$9:$DJ$9,1,AY27))*('Lease Cycles'!$AJ$9*INDEX('Lease Cycles'!$FO$9:$FU$9,1,AY27)+'Lease Cycles'!$BE$9*(1-INDEX('Lease Cycles'!$FO$9:$FU$9,1,AY27)))),0)</f>
        <v>0</v>
      </c>
      <c r="AZ37" s="24">
        <f>IF(AZ29=1,'Lease Cycles'!$D$9*IF(INDEX('Lease Cycles'!$EF$9:$EL$9,1,AZ27)=1,'Lease Cycles'!$AJ$9*INDEX('Lease Cycles'!$FO$9:$FU$9,1,AZ27)*INDEX('Lease Cycles'!$EM$9:$ES$9,1,AZ27)+'Lease Cycles'!$BE$9*IF(AZ28&lt;INDEX('Lease Cycles'!$FA$9:$FG$9,1,AZ27),0,1-INDEX('Lease Cycles'!$EM$9:$ES$9,1,AZ27)),IF(OR(INDEX('Lease Cycles'!$DY$9:$EE$9,1,AZ27)=1,AZ28&gt;0),1,1-INDEX('Lease Cycles'!$DD$9:$DJ$9,1,AZ27))*('Lease Cycles'!$AJ$9*INDEX('Lease Cycles'!$FO$9:$FU$9,1,AZ27)+'Lease Cycles'!$BE$9*(1-INDEX('Lease Cycles'!$FO$9:$FU$9,1,AZ27)))),0)</f>
        <v>0</v>
      </c>
      <c r="BA37" s="24">
        <f>IF(BA29=1,'Lease Cycles'!$D$9*IF(INDEX('Lease Cycles'!$EF$9:$EL$9,1,BA27)=1,'Lease Cycles'!$AJ$9*INDEX('Lease Cycles'!$FO$9:$FU$9,1,BA27)*INDEX('Lease Cycles'!$EM$9:$ES$9,1,BA27)+'Lease Cycles'!$BE$9*IF(BA28&lt;INDEX('Lease Cycles'!$FA$9:$FG$9,1,BA27),0,1-INDEX('Lease Cycles'!$EM$9:$ES$9,1,BA27)),IF(OR(INDEX('Lease Cycles'!$DY$9:$EE$9,1,BA27)=1,BA28&gt;0),1,1-INDEX('Lease Cycles'!$DD$9:$DJ$9,1,BA27))*('Lease Cycles'!$AJ$9*INDEX('Lease Cycles'!$FO$9:$FU$9,1,BA27)+'Lease Cycles'!$BE$9*(1-INDEX('Lease Cycles'!$FO$9:$FU$9,1,BA27)))),0)</f>
        <v>0</v>
      </c>
      <c r="BB37" s="24">
        <f>IF(BB29=1,'Lease Cycles'!$D$9*IF(INDEX('Lease Cycles'!$EF$9:$EL$9,1,BB27)=1,'Lease Cycles'!$AJ$9*INDEX('Lease Cycles'!$FO$9:$FU$9,1,BB27)*INDEX('Lease Cycles'!$EM$9:$ES$9,1,BB27)+'Lease Cycles'!$BE$9*IF(BB28&lt;INDEX('Lease Cycles'!$FA$9:$FG$9,1,BB27),0,1-INDEX('Lease Cycles'!$EM$9:$ES$9,1,BB27)),IF(OR(INDEX('Lease Cycles'!$DY$9:$EE$9,1,BB27)=1,BB28&gt;0),1,1-INDEX('Lease Cycles'!$DD$9:$DJ$9,1,BB27))*('Lease Cycles'!$AJ$9*INDEX('Lease Cycles'!$FO$9:$FU$9,1,BB27)+'Lease Cycles'!$BE$9*(1-INDEX('Lease Cycles'!$FO$9:$FU$9,1,BB27)))),0)</f>
        <v>0</v>
      </c>
      <c r="BC37" s="24">
        <f>IF(BC29=1,'Lease Cycles'!$D$9*IF(INDEX('Lease Cycles'!$EF$9:$EL$9,1,BC27)=1,'Lease Cycles'!$AJ$9*INDEX('Lease Cycles'!$FO$9:$FU$9,1,BC27)*INDEX('Lease Cycles'!$EM$9:$ES$9,1,BC27)+'Lease Cycles'!$BE$9*IF(BC28&lt;INDEX('Lease Cycles'!$FA$9:$FG$9,1,BC27),0,1-INDEX('Lease Cycles'!$EM$9:$ES$9,1,BC27)),IF(OR(INDEX('Lease Cycles'!$DY$9:$EE$9,1,BC27)=1,BC28&gt;0),1,1-INDEX('Lease Cycles'!$DD$9:$DJ$9,1,BC27))*('Lease Cycles'!$AJ$9*INDEX('Lease Cycles'!$FO$9:$FU$9,1,BC27)+'Lease Cycles'!$BE$9*(1-INDEX('Lease Cycles'!$FO$9:$FU$9,1,BC27)))),0)</f>
        <v>0</v>
      </c>
      <c r="BD37" s="24">
        <f>IF(BD29=1,'Lease Cycles'!$D$9*IF(INDEX('Lease Cycles'!$EF$9:$EL$9,1,BD27)=1,'Lease Cycles'!$AJ$9*INDEX('Lease Cycles'!$FO$9:$FU$9,1,BD27)*INDEX('Lease Cycles'!$EM$9:$ES$9,1,BD27)+'Lease Cycles'!$BE$9*IF(BD28&lt;INDEX('Lease Cycles'!$FA$9:$FG$9,1,BD27),0,1-INDEX('Lease Cycles'!$EM$9:$ES$9,1,BD27)),IF(OR(INDEX('Lease Cycles'!$DY$9:$EE$9,1,BD27)=1,BD28&gt;0),1,1-INDEX('Lease Cycles'!$DD$9:$DJ$9,1,BD27))*('Lease Cycles'!$AJ$9*INDEX('Lease Cycles'!$FO$9:$FU$9,1,BD27)+'Lease Cycles'!$BE$9*(1-INDEX('Lease Cycles'!$FO$9:$FU$9,1,BD27)))),0)</f>
        <v>0</v>
      </c>
      <c r="BE37" s="24">
        <f>IF(BE29=1,'Lease Cycles'!$D$9*IF(INDEX('Lease Cycles'!$EF$9:$EL$9,1,BE27)=1,'Lease Cycles'!$AJ$9*INDEX('Lease Cycles'!$FO$9:$FU$9,1,BE27)*INDEX('Lease Cycles'!$EM$9:$ES$9,1,BE27)+'Lease Cycles'!$BE$9*IF(BE28&lt;INDEX('Lease Cycles'!$FA$9:$FG$9,1,BE27),0,1-INDEX('Lease Cycles'!$EM$9:$ES$9,1,BE27)),IF(OR(INDEX('Lease Cycles'!$DY$9:$EE$9,1,BE27)=1,BE28&gt;0),1,1-INDEX('Lease Cycles'!$DD$9:$DJ$9,1,BE27))*('Lease Cycles'!$AJ$9*INDEX('Lease Cycles'!$FO$9:$FU$9,1,BE27)+'Lease Cycles'!$BE$9*(1-INDEX('Lease Cycles'!$FO$9:$FU$9,1,BE27)))),0)</f>
        <v>0</v>
      </c>
      <c r="BF37" s="24">
        <f>IF(BF29=1,'Lease Cycles'!$D$9*IF(INDEX('Lease Cycles'!$EF$9:$EL$9,1,BF27)=1,'Lease Cycles'!$AJ$9*INDEX('Lease Cycles'!$FO$9:$FU$9,1,BF27)*INDEX('Lease Cycles'!$EM$9:$ES$9,1,BF27)+'Lease Cycles'!$BE$9*IF(BF28&lt;INDEX('Lease Cycles'!$FA$9:$FG$9,1,BF27),0,1-INDEX('Lease Cycles'!$EM$9:$ES$9,1,BF27)),IF(OR(INDEX('Lease Cycles'!$DY$9:$EE$9,1,BF27)=1,BF28&gt;0),1,1-INDEX('Lease Cycles'!$DD$9:$DJ$9,1,BF27))*('Lease Cycles'!$AJ$9*INDEX('Lease Cycles'!$FO$9:$FU$9,1,BF27)+'Lease Cycles'!$BE$9*(1-INDEX('Lease Cycles'!$FO$9:$FU$9,1,BF27)))),0)</f>
        <v>0</v>
      </c>
      <c r="BG37" s="24">
        <f>IF(BG29=1,'Lease Cycles'!$D$9*IF(INDEX('Lease Cycles'!$EF$9:$EL$9,1,BG27)=1,'Lease Cycles'!$AJ$9*INDEX('Lease Cycles'!$FO$9:$FU$9,1,BG27)*INDEX('Lease Cycles'!$EM$9:$ES$9,1,BG27)+'Lease Cycles'!$BE$9*IF(BG28&lt;INDEX('Lease Cycles'!$FA$9:$FG$9,1,BG27),0,1-INDEX('Lease Cycles'!$EM$9:$ES$9,1,BG27)),IF(OR(INDEX('Lease Cycles'!$DY$9:$EE$9,1,BG27)=1,BG28&gt;0),1,1-INDEX('Lease Cycles'!$DD$9:$DJ$9,1,BG27))*('Lease Cycles'!$AJ$9*INDEX('Lease Cycles'!$FO$9:$FU$9,1,BG27)+'Lease Cycles'!$BE$9*(1-INDEX('Lease Cycles'!$FO$9:$FU$9,1,BG27)))),0)</f>
        <v>0</v>
      </c>
      <c r="BH37" s="24">
        <f>IF(BH29=1,'Lease Cycles'!$D$9*IF(INDEX('Lease Cycles'!$EF$9:$EL$9,1,BH27)=1,'Lease Cycles'!$AJ$9*INDEX('Lease Cycles'!$FO$9:$FU$9,1,BH27)*INDEX('Lease Cycles'!$EM$9:$ES$9,1,BH27)+'Lease Cycles'!$BE$9*IF(BH28&lt;INDEX('Lease Cycles'!$FA$9:$FG$9,1,BH27),0,1-INDEX('Lease Cycles'!$EM$9:$ES$9,1,BH27)),IF(OR(INDEX('Lease Cycles'!$DY$9:$EE$9,1,BH27)=1,BH28&gt;0),1,1-INDEX('Lease Cycles'!$DD$9:$DJ$9,1,BH27))*('Lease Cycles'!$AJ$9*INDEX('Lease Cycles'!$FO$9:$FU$9,1,BH27)+'Lease Cycles'!$BE$9*(1-INDEX('Lease Cycles'!$FO$9:$FU$9,1,BH27)))),0)</f>
        <v>0</v>
      </c>
      <c r="BI37" s="24">
        <f>IF(BI29=1,'Lease Cycles'!$D$9*IF(INDEX('Lease Cycles'!$EF$9:$EL$9,1,BI27)=1,'Lease Cycles'!$AJ$9*INDEX('Lease Cycles'!$FO$9:$FU$9,1,BI27)*INDEX('Lease Cycles'!$EM$9:$ES$9,1,BI27)+'Lease Cycles'!$BE$9*IF(BI28&lt;INDEX('Lease Cycles'!$FA$9:$FG$9,1,BI27),0,1-INDEX('Lease Cycles'!$EM$9:$ES$9,1,BI27)),IF(OR(INDEX('Lease Cycles'!$DY$9:$EE$9,1,BI27)=1,BI28&gt;0),1,1-INDEX('Lease Cycles'!$DD$9:$DJ$9,1,BI27))*('Lease Cycles'!$AJ$9*INDEX('Lease Cycles'!$FO$9:$FU$9,1,BI27)+'Lease Cycles'!$BE$9*(1-INDEX('Lease Cycles'!$FO$9:$FU$9,1,BI27)))),0)</f>
        <v>0</v>
      </c>
      <c r="BJ37" s="24">
        <f>IF(BJ29=1,'Lease Cycles'!$D$9*IF(INDEX('Lease Cycles'!$EF$9:$EL$9,1,BJ27)=1,'Lease Cycles'!$AJ$9*INDEX('Lease Cycles'!$FO$9:$FU$9,1,BJ27)*INDEX('Lease Cycles'!$EM$9:$ES$9,1,BJ27)+'Lease Cycles'!$BE$9*IF(BJ28&lt;INDEX('Lease Cycles'!$FA$9:$FG$9,1,BJ27),0,1-INDEX('Lease Cycles'!$EM$9:$ES$9,1,BJ27)),IF(OR(INDEX('Lease Cycles'!$DY$9:$EE$9,1,BJ27)=1,BJ28&gt;0),1,1-INDEX('Lease Cycles'!$DD$9:$DJ$9,1,BJ27))*('Lease Cycles'!$AJ$9*INDEX('Lease Cycles'!$FO$9:$FU$9,1,BJ27)+'Lease Cycles'!$BE$9*(1-INDEX('Lease Cycles'!$FO$9:$FU$9,1,BJ27)))),0)</f>
        <v>0</v>
      </c>
      <c r="BK37" s="24">
        <f>IF(BK29=1,'Lease Cycles'!$D$9*IF(INDEX('Lease Cycles'!$EF$9:$EL$9,1,BK27)=1,'Lease Cycles'!$AJ$9*INDEX('Lease Cycles'!$FO$9:$FU$9,1,BK27)*INDEX('Lease Cycles'!$EM$9:$ES$9,1,BK27)+'Lease Cycles'!$BE$9*IF(BK28&lt;INDEX('Lease Cycles'!$FA$9:$FG$9,1,BK27),0,1-INDEX('Lease Cycles'!$EM$9:$ES$9,1,BK27)),IF(OR(INDEX('Lease Cycles'!$DY$9:$EE$9,1,BK27)=1,BK28&gt;0),1,1-INDEX('Lease Cycles'!$DD$9:$DJ$9,1,BK27))*('Lease Cycles'!$AJ$9*INDEX('Lease Cycles'!$FO$9:$FU$9,1,BK27)+'Lease Cycles'!$BE$9*(1-INDEX('Lease Cycles'!$FO$9:$FU$9,1,BK27)))),0)</f>
        <v>0</v>
      </c>
      <c r="BL37" s="24">
        <f>IF(BL29=1,'Lease Cycles'!$D$9*IF(INDEX('Lease Cycles'!$EF$9:$EL$9,1,BL27)=1,'Lease Cycles'!$AJ$9*INDEX('Lease Cycles'!$FO$9:$FU$9,1,BL27)*INDEX('Lease Cycles'!$EM$9:$ES$9,1,BL27)+'Lease Cycles'!$BE$9*IF(BL28&lt;INDEX('Lease Cycles'!$FA$9:$FG$9,1,BL27),0,1-INDEX('Lease Cycles'!$EM$9:$ES$9,1,BL27)),IF(OR(INDEX('Lease Cycles'!$DY$9:$EE$9,1,BL27)=1,BL28&gt;0),1,1-INDEX('Lease Cycles'!$DD$9:$DJ$9,1,BL27))*('Lease Cycles'!$AJ$9*INDEX('Lease Cycles'!$FO$9:$FU$9,1,BL27)+'Lease Cycles'!$BE$9*(1-INDEX('Lease Cycles'!$FO$9:$FU$9,1,BL27)))),0)</f>
        <v>0</v>
      </c>
      <c r="BM37" s="24">
        <f>IF(BM29=1,'Lease Cycles'!$D$9*IF(INDEX('Lease Cycles'!$EF$9:$EL$9,1,BM27)=1,'Lease Cycles'!$AJ$9*INDEX('Lease Cycles'!$FO$9:$FU$9,1,BM27)*INDEX('Lease Cycles'!$EM$9:$ES$9,1,BM27)+'Lease Cycles'!$BE$9*IF(BM28&lt;INDEX('Lease Cycles'!$FA$9:$FG$9,1,BM27),0,1-INDEX('Lease Cycles'!$EM$9:$ES$9,1,BM27)),IF(OR(INDEX('Lease Cycles'!$DY$9:$EE$9,1,BM27)=1,BM28&gt;0),1,1-INDEX('Lease Cycles'!$DD$9:$DJ$9,1,BM27))*('Lease Cycles'!$AJ$9*INDEX('Lease Cycles'!$FO$9:$FU$9,1,BM27)+'Lease Cycles'!$BE$9*(1-INDEX('Lease Cycles'!$FO$9:$FU$9,1,BM27)))),0)</f>
        <v>0</v>
      </c>
      <c r="BN37" s="24">
        <f>IF(BN29=1,'Lease Cycles'!$D$9*IF(INDEX('Lease Cycles'!$EF$9:$EL$9,1,BN27)=1,'Lease Cycles'!$AJ$9*INDEX('Lease Cycles'!$FO$9:$FU$9,1,BN27)*INDEX('Lease Cycles'!$EM$9:$ES$9,1,BN27)+'Lease Cycles'!$BE$9*IF(BN28&lt;INDEX('Lease Cycles'!$FA$9:$FG$9,1,BN27),0,1-INDEX('Lease Cycles'!$EM$9:$ES$9,1,BN27)),IF(OR(INDEX('Lease Cycles'!$DY$9:$EE$9,1,BN27)=1,BN28&gt;0),1,1-INDEX('Lease Cycles'!$DD$9:$DJ$9,1,BN27))*('Lease Cycles'!$AJ$9*INDEX('Lease Cycles'!$FO$9:$FU$9,1,BN27)+'Lease Cycles'!$BE$9*(1-INDEX('Lease Cycles'!$FO$9:$FU$9,1,BN27)))),0)</f>
        <v>0</v>
      </c>
      <c r="BO37" s="24">
        <f>IF(BO29=1,'Lease Cycles'!$D$9*IF(INDEX('Lease Cycles'!$EF$9:$EL$9,1,BO27)=1,'Lease Cycles'!$AJ$9*INDEX('Lease Cycles'!$FO$9:$FU$9,1,BO27)*INDEX('Lease Cycles'!$EM$9:$ES$9,1,BO27)+'Lease Cycles'!$BE$9*IF(BO28&lt;INDEX('Lease Cycles'!$FA$9:$FG$9,1,BO27),0,1-INDEX('Lease Cycles'!$EM$9:$ES$9,1,BO27)),IF(OR(INDEX('Lease Cycles'!$DY$9:$EE$9,1,BO27)=1,BO28&gt;0),1,1-INDEX('Lease Cycles'!$DD$9:$DJ$9,1,BO27))*('Lease Cycles'!$AJ$9*INDEX('Lease Cycles'!$FO$9:$FU$9,1,BO27)+'Lease Cycles'!$BE$9*(1-INDEX('Lease Cycles'!$FO$9:$FU$9,1,BO27)))),0)</f>
        <v>0</v>
      </c>
      <c r="BP37" s="24">
        <f>IF(BP29=1,'Lease Cycles'!$D$9*IF(INDEX('Lease Cycles'!$EF$9:$EL$9,1,BP27)=1,'Lease Cycles'!$AJ$9*INDEX('Lease Cycles'!$FO$9:$FU$9,1,BP27)*INDEX('Lease Cycles'!$EM$9:$ES$9,1,BP27)+'Lease Cycles'!$BE$9*IF(BP28&lt;INDEX('Lease Cycles'!$FA$9:$FG$9,1,BP27),0,1-INDEX('Lease Cycles'!$EM$9:$ES$9,1,BP27)),IF(OR(INDEX('Lease Cycles'!$DY$9:$EE$9,1,BP27)=1,BP28&gt;0),1,1-INDEX('Lease Cycles'!$DD$9:$DJ$9,1,BP27))*('Lease Cycles'!$AJ$9*INDEX('Lease Cycles'!$FO$9:$FU$9,1,BP27)+'Lease Cycles'!$BE$9*(1-INDEX('Lease Cycles'!$FO$9:$FU$9,1,BP27)))),0)</f>
        <v>0</v>
      </c>
      <c r="BQ37" s="24">
        <f>IF(BQ29=1,'Lease Cycles'!$D$9*IF(INDEX('Lease Cycles'!$EF$9:$EL$9,1,BQ27)=1,'Lease Cycles'!$AJ$9*INDEX('Lease Cycles'!$FO$9:$FU$9,1,BQ27)*INDEX('Lease Cycles'!$EM$9:$ES$9,1,BQ27)+'Lease Cycles'!$BE$9*IF(BQ28&lt;INDEX('Lease Cycles'!$FA$9:$FG$9,1,BQ27),0,1-INDEX('Lease Cycles'!$EM$9:$ES$9,1,BQ27)),IF(OR(INDEX('Lease Cycles'!$DY$9:$EE$9,1,BQ27)=1,BQ28&gt;0),1,1-INDEX('Lease Cycles'!$DD$9:$DJ$9,1,BQ27))*('Lease Cycles'!$AJ$9*INDEX('Lease Cycles'!$FO$9:$FU$9,1,BQ27)+'Lease Cycles'!$BE$9*(1-INDEX('Lease Cycles'!$FO$9:$FU$9,1,BQ27)))),0)</f>
        <v>0</v>
      </c>
      <c r="BR37" s="24">
        <f>IF(BR29=1,'Lease Cycles'!$D$9*IF(INDEX('Lease Cycles'!$EF$9:$EL$9,1,BR27)=1,'Lease Cycles'!$AJ$9*INDEX('Lease Cycles'!$FO$9:$FU$9,1,BR27)*INDEX('Lease Cycles'!$EM$9:$ES$9,1,BR27)+'Lease Cycles'!$BE$9*IF(BR28&lt;INDEX('Lease Cycles'!$FA$9:$FG$9,1,BR27),0,1-INDEX('Lease Cycles'!$EM$9:$ES$9,1,BR27)),IF(OR(INDEX('Lease Cycles'!$DY$9:$EE$9,1,BR27)=1,BR28&gt;0),1,1-INDEX('Lease Cycles'!$DD$9:$DJ$9,1,BR27))*('Lease Cycles'!$AJ$9*INDEX('Lease Cycles'!$FO$9:$FU$9,1,BR27)+'Lease Cycles'!$BE$9*(1-INDEX('Lease Cycles'!$FO$9:$FU$9,1,BR27)))),0)</f>
        <v>0</v>
      </c>
      <c r="BS37" s="24">
        <f>IF(BS29=1,'Lease Cycles'!$D$9*IF(INDEX('Lease Cycles'!$EF$9:$EL$9,1,BS27)=1,'Lease Cycles'!$AJ$9*INDEX('Lease Cycles'!$FO$9:$FU$9,1,BS27)*INDEX('Lease Cycles'!$EM$9:$ES$9,1,BS27)+'Lease Cycles'!$BE$9*IF(BS28&lt;INDEX('Lease Cycles'!$FA$9:$FG$9,1,BS27),0,1-INDEX('Lease Cycles'!$EM$9:$ES$9,1,BS27)),IF(OR(INDEX('Lease Cycles'!$DY$9:$EE$9,1,BS27)=1,BS28&gt;0),1,1-INDEX('Lease Cycles'!$DD$9:$DJ$9,1,BS27))*('Lease Cycles'!$AJ$9*INDEX('Lease Cycles'!$FO$9:$FU$9,1,BS27)+'Lease Cycles'!$BE$9*(1-INDEX('Lease Cycles'!$FO$9:$FU$9,1,BS27)))),0)</f>
        <v>0</v>
      </c>
      <c r="BT37" s="24">
        <f>IF(BT29=1,'Lease Cycles'!$D$9*IF(INDEX('Lease Cycles'!$EF$9:$EL$9,1,BT27)=1,'Lease Cycles'!$AJ$9*INDEX('Lease Cycles'!$FO$9:$FU$9,1,BT27)*INDEX('Lease Cycles'!$EM$9:$ES$9,1,BT27)+'Lease Cycles'!$BE$9*IF(BT28&lt;INDEX('Lease Cycles'!$FA$9:$FG$9,1,BT27),0,1-INDEX('Lease Cycles'!$EM$9:$ES$9,1,BT27)),IF(OR(INDEX('Lease Cycles'!$DY$9:$EE$9,1,BT27)=1,BT28&gt;0),1,1-INDEX('Lease Cycles'!$DD$9:$DJ$9,1,BT27))*('Lease Cycles'!$AJ$9*INDEX('Lease Cycles'!$FO$9:$FU$9,1,BT27)+'Lease Cycles'!$BE$9*(1-INDEX('Lease Cycles'!$FO$9:$FU$9,1,BT27)))),0)</f>
        <v>0</v>
      </c>
      <c r="BU37" s="24">
        <f>IF(BU29=1,'Lease Cycles'!$D$9*IF(INDEX('Lease Cycles'!$EF$9:$EL$9,1,BU27)=1,'Lease Cycles'!$AJ$9*INDEX('Lease Cycles'!$FO$9:$FU$9,1,BU27)*INDEX('Lease Cycles'!$EM$9:$ES$9,1,BU27)+'Lease Cycles'!$BE$9*IF(BU28&lt;INDEX('Lease Cycles'!$FA$9:$FG$9,1,BU27),0,1-INDEX('Lease Cycles'!$EM$9:$ES$9,1,BU27)),IF(OR(INDEX('Lease Cycles'!$DY$9:$EE$9,1,BU27)=1,BU28&gt;0),1,1-INDEX('Lease Cycles'!$DD$9:$DJ$9,1,BU27))*('Lease Cycles'!$AJ$9*INDEX('Lease Cycles'!$FO$9:$FU$9,1,BU27)+'Lease Cycles'!$BE$9*(1-INDEX('Lease Cycles'!$FO$9:$FU$9,1,BU27)))),0)</f>
        <v>0</v>
      </c>
      <c r="BV37" s="24">
        <f>IF(BV29=1,'Lease Cycles'!$D$9*IF(INDEX('Lease Cycles'!$EF$9:$EL$9,1,BV27)=1,'Lease Cycles'!$AJ$9*INDEX('Lease Cycles'!$FO$9:$FU$9,1,BV27)*INDEX('Lease Cycles'!$EM$9:$ES$9,1,BV27)+'Lease Cycles'!$BE$9*IF(BV28&lt;INDEX('Lease Cycles'!$FA$9:$FG$9,1,BV27),0,1-INDEX('Lease Cycles'!$EM$9:$ES$9,1,BV27)),IF(OR(INDEX('Lease Cycles'!$DY$9:$EE$9,1,BV27)=1,BV28&gt;0),1,1-INDEX('Lease Cycles'!$DD$9:$DJ$9,1,BV27))*('Lease Cycles'!$AJ$9*INDEX('Lease Cycles'!$FO$9:$FU$9,1,BV27)+'Lease Cycles'!$BE$9*(1-INDEX('Lease Cycles'!$FO$9:$FU$9,1,BV27)))),0)</f>
        <v>0</v>
      </c>
      <c r="BW37" s="24">
        <f>IF(BW29=1,'Lease Cycles'!$D$9*IF(INDEX('Lease Cycles'!$EF$9:$EL$9,1,BW27)=1,'Lease Cycles'!$AJ$9*INDEX('Lease Cycles'!$FO$9:$FU$9,1,BW27)*INDEX('Lease Cycles'!$EM$9:$ES$9,1,BW27)+'Lease Cycles'!$BE$9*IF(BW28&lt;INDEX('Lease Cycles'!$FA$9:$FG$9,1,BW27),0,1-INDEX('Lease Cycles'!$EM$9:$ES$9,1,BW27)),IF(OR(INDEX('Lease Cycles'!$DY$9:$EE$9,1,BW27)=1,BW28&gt;0),1,1-INDEX('Lease Cycles'!$DD$9:$DJ$9,1,BW27))*('Lease Cycles'!$AJ$9*INDEX('Lease Cycles'!$FO$9:$FU$9,1,BW27)+'Lease Cycles'!$BE$9*(1-INDEX('Lease Cycles'!$FO$9:$FU$9,1,BW27)))),0)</f>
        <v>0</v>
      </c>
      <c r="BX37" s="24">
        <f>IF(BX29=1,'Lease Cycles'!$D$9*IF(INDEX('Lease Cycles'!$EF$9:$EL$9,1,BX27)=1,'Lease Cycles'!$AJ$9*INDEX('Lease Cycles'!$FO$9:$FU$9,1,BX27)*INDEX('Lease Cycles'!$EM$9:$ES$9,1,BX27)+'Lease Cycles'!$BE$9*IF(BX28&lt;INDEX('Lease Cycles'!$FA$9:$FG$9,1,BX27),0,1-INDEX('Lease Cycles'!$EM$9:$ES$9,1,BX27)),IF(OR(INDEX('Lease Cycles'!$DY$9:$EE$9,1,BX27)=1,BX28&gt;0),1,1-INDEX('Lease Cycles'!$DD$9:$DJ$9,1,BX27))*('Lease Cycles'!$AJ$9*INDEX('Lease Cycles'!$FO$9:$FU$9,1,BX27)+'Lease Cycles'!$BE$9*(1-INDEX('Lease Cycles'!$FO$9:$FU$9,1,BX27)))),0)</f>
        <v>0</v>
      </c>
      <c r="BY37" s="24">
        <f>IF(BY29=1,'Lease Cycles'!$D$9*IF(INDEX('Lease Cycles'!$EF$9:$EL$9,1,BY27)=1,'Lease Cycles'!$AJ$9*INDEX('Lease Cycles'!$FO$9:$FU$9,1,BY27)*INDEX('Lease Cycles'!$EM$9:$ES$9,1,BY27)+'Lease Cycles'!$BE$9*IF(BY28&lt;INDEX('Lease Cycles'!$FA$9:$FG$9,1,BY27),0,1-INDEX('Lease Cycles'!$EM$9:$ES$9,1,BY27)),IF(OR(INDEX('Lease Cycles'!$DY$9:$EE$9,1,BY27)=1,BY28&gt;0),1,1-INDEX('Lease Cycles'!$DD$9:$DJ$9,1,BY27))*('Lease Cycles'!$AJ$9*INDEX('Lease Cycles'!$FO$9:$FU$9,1,BY27)+'Lease Cycles'!$BE$9*(1-INDEX('Lease Cycles'!$FO$9:$FU$9,1,BY27)))),0)</f>
        <v>0</v>
      </c>
      <c r="BZ37" s="24">
        <f>IF(BZ29=1,'Lease Cycles'!$D$9*IF(INDEX('Lease Cycles'!$EF$9:$EL$9,1,BZ27)=1,'Lease Cycles'!$AJ$9*INDEX('Lease Cycles'!$FO$9:$FU$9,1,BZ27)*INDEX('Lease Cycles'!$EM$9:$ES$9,1,BZ27)+'Lease Cycles'!$BE$9*IF(BZ28&lt;INDEX('Lease Cycles'!$FA$9:$FG$9,1,BZ27),0,1-INDEX('Lease Cycles'!$EM$9:$ES$9,1,BZ27)),IF(OR(INDEX('Lease Cycles'!$DY$9:$EE$9,1,BZ27)=1,BZ28&gt;0),1,1-INDEX('Lease Cycles'!$DD$9:$DJ$9,1,BZ27))*('Lease Cycles'!$AJ$9*INDEX('Lease Cycles'!$FO$9:$FU$9,1,BZ27)+'Lease Cycles'!$BE$9*(1-INDEX('Lease Cycles'!$FO$9:$FU$9,1,BZ27)))),0)</f>
        <v>0</v>
      </c>
      <c r="CA37" s="24">
        <f>IF(CA29=1,'Lease Cycles'!$D$9*IF(INDEX('Lease Cycles'!$EF$9:$EL$9,1,CA27)=1,'Lease Cycles'!$AJ$9*INDEX('Lease Cycles'!$FO$9:$FU$9,1,CA27)*INDEX('Lease Cycles'!$EM$9:$ES$9,1,CA27)+'Lease Cycles'!$BE$9*IF(CA28&lt;INDEX('Lease Cycles'!$FA$9:$FG$9,1,CA27),0,1-INDEX('Lease Cycles'!$EM$9:$ES$9,1,CA27)),IF(OR(INDEX('Lease Cycles'!$DY$9:$EE$9,1,CA27)=1,CA28&gt;0),1,1-INDEX('Lease Cycles'!$DD$9:$DJ$9,1,CA27))*('Lease Cycles'!$AJ$9*INDEX('Lease Cycles'!$FO$9:$FU$9,1,CA27)+'Lease Cycles'!$BE$9*(1-INDEX('Lease Cycles'!$FO$9:$FU$9,1,CA27)))),0)</f>
        <v>0</v>
      </c>
      <c r="CB37" s="24">
        <f>IF(CB29=1,'Lease Cycles'!$D$9*IF(INDEX('Lease Cycles'!$EF$9:$EL$9,1,CB27)=1,'Lease Cycles'!$AJ$9*INDEX('Lease Cycles'!$FO$9:$FU$9,1,CB27)*INDEX('Lease Cycles'!$EM$9:$ES$9,1,CB27)+'Lease Cycles'!$BE$9*IF(CB28&lt;INDEX('Lease Cycles'!$FA$9:$FG$9,1,CB27),0,1-INDEX('Lease Cycles'!$EM$9:$ES$9,1,CB27)),IF(OR(INDEX('Lease Cycles'!$DY$9:$EE$9,1,CB27)=1,CB28&gt;0),1,1-INDEX('Lease Cycles'!$DD$9:$DJ$9,1,CB27))*('Lease Cycles'!$AJ$9*INDEX('Lease Cycles'!$FO$9:$FU$9,1,CB27)+'Lease Cycles'!$BE$9*(1-INDEX('Lease Cycles'!$FO$9:$FU$9,1,CB27)))),0)</f>
        <v>0</v>
      </c>
      <c r="CC37" s="24">
        <f>IF(CC29=1,'Lease Cycles'!$D$9*IF(INDEX('Lease Cycles'!$EF$9:$EL$9,1,CC27)=1,'Lease Cycles'!$AJ$9*INDEX('Lease Cycles'!$FO$9:$FU$9,1,CC27)*INDEX('Lease Cycles'!$EM$9:$ES$9,1,CC27)+'Lease Cycles'!$BE$9*IF(CC28&lt;INDEX('Lease Cycles'!$FA$9:$FG$9,1,CC27),0,1-INDEX('Lease Cycles'!$EM$9:$ES$9,1,CC27)),IF(OR(INDEX('Lease Cycles'!$DY$9:$EE$9,1,CC27)=1,CC28&gt;0),1,1-INDEX('Lease Cycles'!$DD$9:$DJ$9,1,CC27))*('Lease Cycles'!$AJ$9*INDEX('Lease Cycles'!$FO$9:$FU$9,1,CC27)+'Lease Cycles'!$BE$9*(1-INDEX('Lease Cycles'!$FO$9:$FU$9,1,CC27)))),0)</f>
        <v>0</v>
      </c>
      <c r="CD37" s="24">
        <f>IF(CD29=1,'Lease Cycles'!$D$9*IF(INDEX('Lease Cycles'!$EF$9:$EL$9,1,CD27)=1,'Lease Cycles'!$AJ$9*INDEX('Lease Cycles'!$FO$9:$FU$9,1,CD27)*INDEX('Lease Cycles'!$EM$9:$ES$9,1,CD27)+'Lease Cycles'!$BE$9*IF(CD28&lt;INDEX('Lease Cycles'!$FA$9:$FG$9,1,CD27),0,1-INDEX('Lease Cycles'!$EM$9:$ES$9,1,CD27)),IF(OR(INDEX('Lease Cycles'!$DY$9:$EE$9,1,CD27)=1,CD28&gt;0),1,1-INDEX('Lease Cycles'!$DD$9:$DJ$9,1,CD27))*('Lease Cycles'!$AJ$9*INDEX('Lease Cycles'!$FO$9:$FU$9,1,CD27)+'Lease Cycles'!$BE$9*(1-INDEX('Lease Cycles'!$FO$9:$FU$9,1,CD27)))),0)</f>
        <v>0</v>
      </c>
      <c r="CE37" s="24">
        <f>IF(CE29=1,'Lease Cycles'!$D$9*IF(INDEX('Lease Cycles'!$EF$9:$EL$9,1,CE27)=1,'Lease Cycles'!$AJ$9*INDEX('Lease Cycles'!$FO$9:$FU$9,1,CE27)*INDEX('Lease Cycles'!$EM$9:$ES$9,1,CE27)+'Lease Cycles'!$BE$9*IF(CE28&lt;INDEX('Lease Cycles'!$FA$9:$FG$9,1,CE27),0,1-INDEX('Lease Cycles'!$EM$9:$ES$9,1,CE27)),IF(OR(INDEX('Lease Cycles'!$DY$9:$EE$9,1,CE27)=1,CE28&gt;0),1,1-INDEX('Lease Cycles'!$DD$9:$DJ$9,1,CE27))*('Lease Cycles'!$AJ$9*INDEX('Lease Cycles'!$FO$9:$FU$9,1,CE27)+'Lease Cycles'!$BE$9*(1-INDEX('Lease Cycles'!$FO$9:$FU$9,1,CE27)))),0)</f>
        <v>0</v>
      </c>
      <c r="CF37" s="24">
        <f>IF(CF29=1,'Lease Cycles'!$D$9*IF(INDEX('Lease Cycles'!$EF$9:$EL$9,1,CF27)=1,'Lease Cycles'!$AJ$9*INDEX('Lease Cycles'!$FO$9:$FU$9,1,CF27)*INDEX('Lease Cycles'!$EM$9:$ES$9,1,CF27)+'Lease Cycles'!$BE$9*IF(CF28&lt;INDEX('Lease Cycles'!$FA$9:$FG$9,1,CF27),0,1-INDEX('Lease Cycles'!$EM$9:$ES$9,1,CF27)),IF(OR(INDEX('Lease Cycles'!$DY$9:$EE$9,1,CF27)=1,CF28&gt;0),1,1-INDEX('Lease Cycles'!$DD$9:$DJ$9,1,CF27))*('Lease Cycles'!$AJ$9*INDEX('Lease Cycles'!$FO$9:$FU$9,1,CF27)+'Lease Cycles'!$BE$9*(1-INDEX('Lease Cycles'!$FO$9:$FU$9,1,CF27)))),0)</f>
        <v>0</v>
      </c>
      <c r="CG37" s="24">
        <f>IF(CG29=1,'Lease Cycles'!$D$9*IF(INDEX('Lease Cycles'!$EF$9:$EL$9,1,CG27)=1,'Lease Cycles'!$AJ$9*INDEX('Lease Cycles'!$FO$9:$FU$9,1,CG27)*INDEX('Lease Cycles'!$EM$9:$ES$9,1,CG27)+'Lease Cycles'!$BE$9*IF(CG28&lt;INDEX('Lease Cycles'!$FA$9:$FG$9,1,CG27),0,1-INDEX('Lease Cycles'!$EM$9:$ES$9,1,CG27)),IF(OR(INDEX('Lease Cycles'!$DY$9:$EE$9,1,CG27)=1,CG28&gt;0),1,1-INDEX('Lease Cycles'!$DD$9:$DJ$9,1,CG27))*('Lease Cycles'!$AJ$9*INDEX('Lease Cycles'!$FO$9:$FU$9,1,CG27)+'Lease Cycles'!$BE$9*(1-INDEX('Lease Cycles'!$FO$9:$FU$9,1,CG27)))),0)</f>
        <v>0</v>
      </c>
      <c r="CH37" s="24">
        <f>IF(CH29=1,'Lease Cycles'!$D$9*IF(INDEX('Lease Cycles'!$EF$9:$EL$9,1,CH27)=1,'Lease Cycles'!$AJ$9*INDEX('Lease Cycles'!$FO$9:$FU$9,1,CH27)*INDEX('Lease Cycles'!$EM$9:$ES$9,1,CH27)+'Lease Cycles'!$BE$9*IF(CH28&lt;INDEX('Lease Cycles'!$FA$9:$FG$9,1,CH27),0,1-INDEX('Lease Cycles'!$EM$9:$ES$9,1,CH27)),IF(OR(INDEX('Lease Cycles'!$DY$9:$EE$9,1,CH27)=1,CH28&gt;0),1,1-INDEX('Lease Cycles'!$DD$9:$DJ$9,1,CH27))*('Lease Cycles'!$AJ$9*INDEX('Lease Cycles'!$FO$9:$FU$9,1,CH27)+'Lease Cycles'!$BE$9*(1-INDEX('Lease Cycles'!$FO$9:$FU$9,1,CH27)))),0)</f>
        <v>0</v>
      </c>
      <c r="CI37" s="24">
        <f>IF(CI29=1,'Lease Cycles'!$D$9*IF(INDEX('Lease Cycles'!$EF$9:$EL$9,1,CI27)=1,'Lease Cycles'!$AJ$9*INDEX('Lease Cycles'!$FO$9:$FU$9,1,CI27)*INDEX('Lease Cycles'!$EM$9:$ES$9,1,CI27)+'Lease Cycles'!$BE$9*IF(CI28&lt;INDEX('Lease Cycles'!$FA$9:$FG$9,1,CI27),0,1-INDEX('Lease Cycles'!$EM$9:$ES$9,1,CI27)),IF(OR(INDEX('Lease Cycles'!$DY$9:$EE$9,1,CI27)=1,CI28&gt;0),1,1-INDEX('Lease Cycles'!$DD$9:$DJ$9,1,CI27))*('Lease Cycles'!$AJ$9*INDEX('Lease Cycles'!$FO$9:$FU$9,1,CI27)+'Lease Cycles'!$BE$9*(1-INDEX('Lease Cycles'!$FO$9:$FU$9,1,CI27)))),0)</f>
        <v>0</v>
      </c>
      <c r="CJ37" s="24">
        <f>IF(CJ29=1,'Lease Cycles'!$D$9*IF(INDEX('Lease Cycles'!$EF$9:$EL$9,1,CJ27)=1,'Lease Cycles'!$AJ$9*INDEX('Lease Cycles'!$FO$9:$FU$9,1,CJ27)*INDEX('Lease Cycles'!$EM$9:$ES$9,1,CJ27)+'Lease Cycles'!$BE$9*IF(CJ28&lt;INDEX('Lease Cycles'!$FA$9:$FG$9,1,CJ27),0,1-INDEX('Lease Cycles'!$EM$9:$ES$9,1,CJ27)),IF(OR(INDEX('Lease Cycles'!$DY$9:$EE$9,1,CJ27)=1,CJ28&gt;0),1,1-INDEX('Lease Cycles'!$DD$9:$DJ$9,1,CJ27))*('Lease Cycles'!$AJ$9*INDEX('Lease Cycles'!$FO$9:$FU$9,1,CJ27)+'Lease Cycles'!$BE$9*(1-INDEX('Lease Cycles'!$FO$9:$FU$9,1,CJ27)))),0)</f>
        <v>0</v>
      </c>
      <c r="CK37" s="24">
        <f>IF(CK29=1,'Lease Cycles'!$D$9*IF(INDEX('Lease Cycles'!$EF$9:$EL$9,1,CK27)=1,'Lease Cycles'!$AJ$9*INDEX('Lease Cycles'!$FO$9:$FU$9,1,CK27)*INDEX('Lease Cycles'!$EM$9:$ES$9,1,CK27)+'Lease Cycles'!$BE$9*IF(CK28&lt;INDEX('Lease Cycles'!$FA$9:$FG$9,1,CK27),0,1-INDEX('Lease Cycles'!$EM$9:$ES$9,1,CK27)),IF(OR(INDEX('Lease Cycles'!$DY$9:$EE$9,1,CK27)=1,CK28&gt;0),1,1-INDEX('Lease Cycles'!$DD$9:$DJ$9,1,CK27))*('Lease Cycles'!$AJ$9*INDEX('Lease Cycles'!$FO$9:$FU$9,1,CK27)+'Lease Cycles'!$BE$9*(1-INDEX('Lease Cycles'!$FO$9:$FU$9,1,CK27)))),0)</f>
        <v>0</v>
      </c>
      <c r="CL37" s="24">
        <f>IF(CL29=1,'Lease Cycles'!$D$9*IF(INDEX('Lease Cycles'!$EF$9:$EL$9,1,CL27)=1,'Lease Cycles'!$AJ$9*INDEX('Lease Cycles'!$FO$9:$FU$9,1,CL27)*INDEX('Lease Cycles'!$EM$9:$ES$9,1,CL27)+'Lease Cycles'!$BE$9*IF(CL28&lt;INDEX('Lease Cycles'!$FA$9:$FG$9,1,CL27),0,1-INDEX('Lease Cycles'!$EM$9:$ES$9,1,CL27)),IF(OR(INDEX('Lease Cycles'!$DY$9:$EE$9,1,CL27)=1,CL28&gt;0),1,1-INDEX('Lease Cycles'!$DD$9:$DJ$9,1,CL27))*('Lease Cycles'!$AJ$9*INDEX('Lease Cycles'!$FO$9:$FU$9,1,CL27)+'Lease Cycles'!$BE$9*(1-INDEX('Lease Cycles'!$FO$9:$FU$9,1,CL27)))),0)</f>
        <v>0</v>
      </c>
      <c r="CM37" s="24">
        <f>IF(CM29=1,'Lease Cycles'!$D$9*IF(INDEX('Lease Cycles'!$EF$9:$EL$9,1,CM27)=1,'Lease Cycles'!$AJ$9*INDEX('Lease Cycles'!$FO$9:$FU$9,1,CM27)*INDEX('Lease Cycles'!$EM$9:$ES$9,1,CM27)+'Lease Cycles'!$BE$9*IF(CM28&lt;INDEX('Lease Cycles'!$FA$9:$FG$9,1,CM27),0,1-INDEX('Lease Cycles'!$EM$9:$ES$9,1,CM27)),IF(OR(INDEX('Lease Cycles'!$DY$9:$EE$9,1,CM27)=1,CM28&gt;0),1,1-INDEX('Lease Cycles'!$DD$9:$DJ$9,1,CM27))*('Lease Cycles'!$AJ$9*INDEX('Lease Cycles'!$FO$9:$FU$9,1,CM27)+'Lease Cycles'!$BE$9*(1-INDEX('Lease Cycles'!$FO$9:$FU$9,1,CM27)))),0)</f>
        <v>0</v>
      </c>
      <c r="CN37" s="24">
        <f>IF(CN29=1,'Lease Cycles'!$D$9*IF(INDEX('Lease Cycles'!$EF$9:$EL$9,1,CN27)=1,'Lease Cycles'!$AJ$9*INDEX('Lease Cycles'!$FO$9:$FU$9,1,CN27)*INDEX('Lease Cycles'!$EM$9:$ES$9,1,CN27)+'Lease Cycles'!$BE$9*IF(CN28&lt;INDEX('Lease Cycles'!$FA$9:$FG$9,1,CN27),0,1-INDEX('Lease Cycles'!$EM$9:$ES$9,1,CN27)),IF(OR(INDEX('Lease Cycles'!$DY$9:$EE$9,1,CN27)=1,CN28&gt;0),1,1-INDEX('Lease Cycles'!$DD$9:$DJ$9,1,CN27))*('Lease Cycles'!$AJ$9*INDEX('Lease Cycles'!$FO$9:$FU$9,1,CN27)+'Lease Cycles'!$BE$9*(1-INDEX('Lease Cycles'!$FO$9:$FU$9,1,CN27)))),0)</f>
        <v>0</v>
      </c>
      <c r="CO37" s="24">
        <f>IF(CO29=1,'Lease Cycles'!$D$9*IF(INDEX('Lease Cycles'!$EF$9:$EL$9,1,CO27)=1,'Lease Cycles'!$AJ$9*INDEX('Lease Cycles'!$FO$9:$FU$9,1,CO27)*INDEX('Lease Cycles'!$EM$9:$ES$9,1,CO27)+'Lease Cycles'!$BE$9*IF(CO28&lt;INDEX('Lease Cycles'!$FA$9:$FG$9,1,CO27),0,1-INDEX('Lease Cycles'!$EM$9:$ES$9,1,CO27)),IF(OR(INDEX('Lease Cycles'!$DY$9:$EE$9,1,CO27)=1,CO28&gt;0),1,1-INDEX('Lease Cycles'!$DD$9:$DJ$9,1,CO27))*('Lease Cycles'!$AJ$9*INDEX('Lease Cycles'!$FO$9:$FU$9,1,CO27)+'Lease Cycles'!$BE$9*(1-INDEX('Lease Cycles'!$FO$9:$FU$9,1,CO27)))),0)</f>
        <v>0</v>
      </c>
      <c r="CP37" s="24">
        <f>IF(CP29=1,'Lease Cycles'!$D$9*IF(INDEX('Lease Cycles'!$EF$9:$EL$9,1,CP27)=1,'Lease Cycles'!$AJ$9*INDEX('Lease Cycles'!$FO$9:$FU$9,1,CP27)*INDEX('Lease Cycles'!$EM$9:$ES$9,1,CP27)+'Lease Cycles'!$BE$9*IF(CP28&lt;INDEX('Lease Cycles'!$FA$9:$FG$9,1,CP27),0,1-INDEX('Lease Cycles'!$EM$9:$ES$9,1,CP27)),IF(OR(INDEX('Lease Cycles'!$DY$9:$EE$9,1,CP27)=1,CP28&gt;0),1,1-INDEX('Lease Cycles'!$DD$9:$DJ$9,1,CP27))*('Lease Cycles'!$AJ$9*INDEX('Lease Cycles'!$FO$9:$FU$9,1,CP27)+'Lease Cycles'!$BE$9*(1-INDEX('Lease Cycles'!$FO$9:$FU$9,1,CP27)))),0)</f>
        <v>0</v>
      </c>
      <c r="CQ37" s="24">
        <f>IF(CQ29=1,'Lease Cycles'!$D$9*IF(INDEX('Lease Cycles'!$EF$9:$EL$9,1,CQ27)=1,'Lease Cycles'!$AJ$9*INDEX('Lease Cycles'!$FO$9:$FU$9,1,CQ27)*INDEX('Lease Cycles'!$EM$9:$ES$9,1,CQ27)+'Lease Cycles'!$BE$9*IF(CQ28&lt;INDEX('Lease Cycles'!$FA$9:$FG$9,1,CQ27),0,1-INDEX('Lease Cycles'!$EM$9:$ES$9,1,CQ27)),IF(OR(INDEX('Lease Cycles'!$DY$9:$EE$9,1,CQ27)=1,CQ28&gt;0),1,1-INDEX('Lease Cycles'!$DD$9:$DJ$9,1,CQ27))*('Lease Cycles'!$AJ$9*INDEX('Lease Cycles'!$FO$9:$FU$9,1,CQ27)+'Lease Cycles'!$BE$9*(1-INDEX('Lease Cycles'!$FO$9:$FU$9,1,CQ27)))),0)</f>
        <v>0</v>
      </c>
      <c r="CR37" s="24">
        <f>IF(CR29=1,'Lease Cycles'!$D$9*IF(INDEX('Lease Cycles'!$EF$9:$EL$9,1,CR27)=1,'Lease Cycles'!$AJ$9*INDEX('Lease Cycles'!$FO$9:$FU$9,1,CR27)*INDEX('Lease Cycles'!$EM$9:$ES$9,1,CR27)+'Lease Cycles'!$BE$9*IF(CR28&lt;INDEX('Lease Cycles'!$FA$9:$FG$9,1,CR27),0,1-INDEX('Lease Cycles'!$EM$9:$ES$9,1,CR27)),IF(OR(INDEX('Lease Cycles'!$DY$9:$EE$9,1,CR27)=1,CR28&gt;0),1,1-INDEX('Lease Cycles'!$DD$9:$DJ$9,1,CR27))*('Lease Cycles'!$AJ$9*INDEX('Lease Cycles'!$FO$9:$FU$9,1,CR27)+'Lease Cycles'!$BE$9*(1-INDEX('Lease Cycles'!$FO$9:$FU$9,1,CR27)))),0)</f>
        <v>0</v>
      </c>
      <c r="CS37" s="24">
        <f>IF(CS29=1,'Lease Cycles'!$D$9*IF(INDEX('Lease Cycles'!$EF$9:$EL$9,1,CS27)=1,'Lease Cycles'!$AJ$9*INDEX('Lease Cycles'!$FO$9:$FU$9,1,CS27)*INDEX('Lease Cycles'!$EM$9:$ES$9,1,CS27)+'Lease Cycles'!$BE$9*IF(CS28&lt;INDEX('Lease Cycles'!$FA$9:$FG$9,1,CS27),0,1-INDEX('Lease Cycles'!$EM$9:$ES$9,1,CS27)),IF(OR(INDEX('Lease Cycles'!$DY$9:$EE$9,1,CS27)=1,CS28&gt;0),1,1-INDEX('Lease Cycles'!$DD$9:$DJ$9,1,CS27))*('Lease Cycles'!$AJ$9*INDEX('Lease Cycles'!$FO$9:$FU$9,1,CS27)+'Lease Cycles'!$BE$9*(1-INDEX('Lease Cycles'!$FO$9:$FU$9,1,CS27)))),0)</f>
        <v>0</v>
      </c>
      <c r="CT37" s="24">
        <f>IF(CT29=1,'Lease Cycles'!$D$9*IF(INDEX('Lease Cycles'!$EF$9:$EL$9,1,CT27)=1,'Lease Cycles'!$AJ$9*INDEX('Lease Cycles'!$FO$9:$FU$9,1,CT27)*INDEX('Lease Cycles'!$EM$9:$ES$9,1,CT27)+'Lease Cycles'!$BE$9*IF(CT28&lt;INDEX('Lease Cycles'!$FA$9:$FG$9,1,CT27),0,1-INDEX('Lease Cycles'!$EM$9:$ES$9,1,CT27)),IF(OR(INDEX('Lease Cycles'!$DY$9:$EE$9,1,CT27)=1,CT28&gt;0),1,1-INDEX('Lease Cycles'!$DD$9:$DJ$9,1,CT27))*('Lease Cycles'!$AJ$9*INDEX('Lease Cycles'!$FO$9:$FU$9,1,CT27)+'Lease Cycles'!$BE$9*(1-INDEX('Lease Cycles'!$FO$9:$FU$9,1,CT27)))),0)</f>
        <v>0</v>
      </c>
      <c r="CU37" s="24">
        <f>IF(CU29=1,'Lease Cycles'!$D$9*IF(INDEX('Lease Cycles'!$EF$9:$EL$9,1,CU27)=1,'Lease Cycles'!$AJ$9*INDEX('Lease Cycles'!$FO$9:$FU$9,1,CU27)*INDEX('Lease Cycles'!$EM$9:$ES$9,1,CU27)+'Lease Cycles'!$BE$9*IF(CU28&lt;INDEX('Lease Cycles'!$FA$9:$FG$9,1,CU27),0,1-INDEX('Lease Cycles'!$EM$9:$ES$9,1,CU27)),IF(OR(INDEX('Lease Cycles'!$DY$9:$EE$9,1,CU27)=1,CU28&gt;0),1,1-INDEX('Lease Cycles'!$DD$9:$DJ$9,1,CU27))*('Lease Cycles'!$AJ$9*INDEX('Lease Cycles'!$FO$9:$FU$9,1,CU27)+'Lease Cycles'!$BE$9*(1-INDEX('Lease Cycles'!$FO$9:$FU$9,1,CU27)))),0)</f>
        <v>0</v>
      </c>
      <c r="CV37" s="24">
        <f>IF(CV29=1,'Lease Cycles'!$D$9*IF(INDEX('Lease Cycles'!$EF$9:$EL$9,1,CV27)=1,'Lease Cycles'!$AJ$9*INDEX('Lease Cycles'!$FO$9:$FU$9,1,CV27)*INDEX('Lease Cycles'!$EM$9:$ES$9,1,CV27)+'Lease Cycles'!$BE$9*IF(CV28&lt;INDEX('Lease Cycles'!$FA$9:$FG$9,1,CV27),0,1-INDEX('Lease Cycles'!$EM$9:$ES$9,1,CV27)),IF(OR(INDEX('Lease Cycles'!$DY$9:$EE$9,1,CV27)=1,CV28&gt;0),1,1-INDEX('Lease Cycles'!$DD$9:$DJ$9,1,CV27))*('Lease Cycles'!$AJ$9*INDEX('Lease Cycles'!$FO$9:$FU$9,1,CV27)+'Lease Cycles'!$BE$9*(1-INDEX('Lease Cycles'!$FO$9:$FU$9,1,CV27)))),0)</f>
        <v>0</v>
      </c>
      <c r="CW37" s="24">
        <f>IF(CW29=1,'Lease Cycles'!$D$9*IF(INDEX('Lease Cycles'!$EF$9:$EL$9,1,CW27)=1,'Lease Cycles'!$AJ$9*INDEX('Lease Cycles'!$FO$9:$FU$9,1,CW27)*INDEX('Lease Cycles'!$EM$9:$ES$9,1,CW27)+'Lease Cycles'!$BE$9*IF(CW28&lt;INDEX('Lease Cycles'!$FA$9:$FG$9,1,CW27),0,1-INDEX('Lease Cycles'!$EM$9:$ES$9,1,CW27)),IF(OR(INDEX('Lease Cycles'!$DY$9:$EE$9,1,CW27)=1,CW28&gt;0),1,1-INDEX('Lease Cycles'!$DD$9:$DJ$9,1,CW27))*('Lease Cycles'!$AJ$9*INDEX('Lease Cycles'!$FO$9:$FU$9,1,CW27)+'Lease Cycles'!$BE$9*(1-INDEX('Lease Cycles'!$FO$9:$FU$9,1,CW27)))),0)</f>
        <v>0</v>
      </c>
      <c r="CX37" s="24">
        <f>IF(CX29=1,'Lease Cycles'!$D$9*IF(INDEX('Lease Cycles'!$EF$9:$EL$9,1,CX27)=1,'Lease Cycles'!$AJ$9*INDEX('Lease Cycles'!$FO$9:$FU$9,1,CX27)*INDEX('Lease Cycles'!$EM$9:$ES$9,1,CX27)+'Lease Cycles'!$BE$9*IF(CX28&lt;INDEX('Lease Cycles'!$FA$9:$FG$9,1,CX27),0,1-INDEX('Lease Cycles'!$EM$9:$ES$9,1,CX27)),IF(OR(INDEX('Lease Cycles'!$DY$9:$EE$9,1,CX27)=1,CX28&gt;0),1,1-INDEX('Lease Cycles'!$DD$9:$DJ$9,1,CX27))*('Lease Cycles'!$AJ$9*INDEX('Lease Cycles'!$FO$9:$FU$9,1,CX27)+'Lease Cycles'!$BE$9*(1-INDEX('Lease Cycles'!$FO$9:$FU$9,1,CX27)))),0)</f>
        <v>0</v>
      </c>
      <c r="CY37" s="24">
        <f>IF(CY29=1,'Lease Cycles'!$D$9*IF(INDEX('Lease Cycles'!$EF$9:$EL$9,1,CY27)=1,'Lease Cycles'!$AJ$9*INDEX('Lease Cycles'!$FO$9:$FU$9,1,CY27)*INDEX('Lease Cycles'!$EM$9:$ES$9,1,CY27)+'Lease Cycles'!$BE$9*IF(CY28&lt;INDEX('Lease Cycles'!$FA$9:$FG$9,1,CY27),0,1-INDEX('Lease Cycles'!$EM$9:$ES$9,1,CY27)),IF(OR(INDEX('Lease Cycles'!$DY$9:$EE$9,1,CY27)=1,CY28&gt;0),1,1-INDEX('Lease Cycles'!$DD$9:$DJ$9,1,CY27))*('Lease Cycles'!$AJ$9*INDEX('Lease Cycles'!$FO$9:$FU$9,1,CY27)+'Lease Cycles'!$BE$9*(1-INDEX('Lease Cycles'!$FO$9:$FU$9,1,CY27)))),0)</f>
        <v>0</v>
      </c>
      <c r="CZ37" s="24">
        <f>IF(CZ29=1,'Lease Cycles'!$D$9*IF(INDEX('Lease Cycles'!$EF$9:$EL$9,1,CZ27)=1,'Lease Cycles'!$AJ$9*INDEX('Lease Cycles'!$FO$9:$FU$9,1,CZ27)*INDEX('Lease Cycles'!$EM$9:$ES$9,1,CZ27)+'Lease Cycles'!$BE$9*IF(CZ28&lt;INDEX('Lease Cycles'!$FA$9:$FG$9,1,CZ27),0,1-INDEX('Lease Cycles'!$EM$9:$ES$9,1,CZ27)),IF(OR(INDEX('Lease Cycles'!$DY$9:$EE$9,1,CZ27)=1,CZ28&gt;0),1,1-INDEX('Lease Cycles'!$DD$9:$DJ$9,1,CZ27))*('Lease Cycles'!$AJ$9*INDEX('Lease Cycles'!$FO$9:$FU$9,1,CZ27)+'Lease Cycles'!$BE$9*(1-INDEX('Lease Cycles'!$FO$9:$FU$9,1,CZ27)))),0)</f>
        <v>0</v>
      </c>
      <c r="DA37" s="24">
        <f>IF(DA29=1,'Lease Cycles'!$D$9*IF(INDEX('Lease Cycles'!$EF$9:$EL$9,1,DA27)=1,'Lease Cycles'!$AJ$9*INDEX('Lease Cycles'!$FO$9:$FU$9,1,DA27)*INDEX('Lease Cycles'!$EM$9:$ES$9,1,DA27)+'Lease Cycles'!$BE$9*IF(DA28&lt;INDEX('Lease Cycles'!$FA$9:$FG$9,1,DA27),0,1-INDEX('Lease Cycles'!$EM$9:$ES$9,1,DA27)),IF(OR(INDEX('Lease Cycles'!$DY$9:$EE$9,1,DA27)=1,DA28&gt;0),1,1-INDEX('Lease Cycles'!$DD$9:$DJ$9,1,DA27))*('Lease Cycles'!$AJ$9*INDEX('Lease Cycles'!$FO$9:$FU$9,1,DA27)+'Lease Cycles'!$BE$9*(1-INDEX('Lease Cycles'!$FO$9:$FU$9,1,DA27)))),0)</f>
        <v>0</v>
      </c>
      <c r="DB37" s="24">
        <f>IF(DB29=1,'Lease Cycles'!$D$9*IF(INDEX('Lease Cycles'!$EF$9:$EL$9,1,DB27)=1,'Lease Cycles'!$AJ$9*INDEX('Lease Cycles'!$FO$9:$FU$9,1,DB27)*INDEX('Lease Cycles'!$EM$9:$ES$9,1,DB27)+'Lease Cycles'!$BE$9*IF(DB28&lt;INDEX('Lease Cycles'!$FA$9:$FG$9,1,DB27),0,1-INDEX('Lease Cycles'!$EM$9:$ES$9,1,DB27)),IF(OR(INDEX('Lease Cycles'!$DY$9:$EE$9,1,DB27)=1,DB28&gt;0),1,1-INDEX('Lease Cycles'!$DD$9:$DJ$9,1,DB27))*('Lease Cycles'!$AJ$9*INDEX('Lease Cycles'!$FO$9:$FU$9,1,DB27)+'Lease Cycles'!$BE$9*(1-INDEX('Lease Cycles'!$FO$9:$FU$9,1,DB27)))),0)</f>
        <v>0</v>
      </c>
      <c r="DC37" s="24">
        <f>IF(DC29=1,'Lease Cycles'!$D$9*IF(INDEX('Lease Cycles'!$EF$9:$EL$9,1,DC27)=1,'Lease Cycles'!$AJ$9*INDEX('Lease Cycles'!$FO$9:$FU$9,1,DC27)*INDEX('Lease Cycles'!$EM$9:$ES$9,1,DC27)+'Lease Cycles'!$BE$9*IF(DC28&lt;INDEX('Lease Cycles'!$FA$9:$FG$9,1,DC27),0,1-INDEX('Lease Cycles'!$EM$9:$ES$9,1,DC27)),IF(OR(INDEX('Lease Cycles'!$DY$9:$EE$9,1,DC27)=1,DC28&gt;0),1,1-INDEX('Lease Cycles'!$DD$9:$DJ$9,1,DC27))*('Lease Cycles'!$AJ$9*INDEX('Lease Cycles'!$FO$9:$FU$9,1,DC27)+'Lease Cycles'!$BE$9*(1-INDEX('Lease Cycles'!$FO$9:$FU$9,1,DC27)))),0)</f>
        <v>0</v>
      </c>
      <c r="DD37" s="24">
        <f>IF(DD29=1,'Lease Cycles'!$D$9*IF(INDEX('Lease Cycles'!$EF$9:$EL$9,1,DD27)=1,'Lease Cycles'!$AJ$9*INDEX('Lease Cycles'!$FO$9:$FU$9,1,DD27)*INDEX('Lease Cycles'!$EM$9:$ES$9,1,DD27)+'Lease Cycles'!$BE$9*IF(DD28&lt;INDEX('Lease Cycles'!$FA$9:$FG$9,1,DD27),0,1-INDEX('Lease Cycles'!$EM$9:$ES$9,1,DD27)),IF(OR(INDEX('Lease Cycles'!$DY$9:$EE$9,1,DD27)=1,DD28&gt;0),1,1-INDEX('Lease Cycles'!$DD$9:$DJ$9,1,DD27))*('Lease Cycles'!$AJ$9*INDEX('Lease Cycles'!$FO$9:$FU$9,1,DD27)+'Lease Cycles'!$BE$9*(1-INDEX('Lease Cycles'!$FO$9:$FU$9,1,DD27)))),0)</f>
        <v>0</v>
      </c>
      <c r="DE37" s="24">
        <f>IF(DE29=1,'Lease Cycles'!$D$9*IF(INDEX('Lease Cycles'!$EF$9:$EL$9,1,DE27)=1,'Lease Cycles'!$AJ$9*INDEX('Lease Cycles'!$FO$9:$FU$9,1,DE27)*INDEX('Lease Cycles'!$EM$9:$ES$9,1,DE27)+'Lease Cycles'!$BE$9*IF(DE28&lt;INDEX('Lease Cycles'!$FA$9:$FG$9,1,DE27),0,1-INDEX('Lease Cycles'!$EM$9:$ES$9,1,DE27)),IF(OR(INDEX('Lease Cycles'!$DY$9:$EE$9,1,DE27)=1,DE28&gt;0),1,1-INDEX('Lease Cycles'!$DD$9:$DJ$9,1,DE27))*('Lease Cycles'!$AJ$9*INDEX('Lease Cycles'!$FO$9:$FU$9,1,DE27)+'Lease Cycles'!$BE$9*(1-INDEX('Lease Cycles'!$FO$9:$FU$9,1,DE27)))),0)</f>
        <v>0</v>
      </c>
      <c r="DF37" s="24">
        <f>IF(DF29=1,'Lease Cycles'!$D$9*IF(INDEX('Lease Cycles'!$EF$9:$EL$9,1,DF27)=1,'Lease Cycles'!$AJ$9*INDEX('Lease Cycles'!$FO$9:$FU$9,1,DF27)*INDEX('Lease Cycles'!$EM$9:$ES$9,1,DF27)+'Lease Cycles'!$BE$9*IF(DF28&lt;INDEX('Lease Cycles'!$FA$9:$FG$9,1,DF27),0,1-INDEX('Lease Cycles'!$EM$9:$ES$9,1,DF27)),IF(OR(INDEX('Lease Cycles'!$DY$9:$EE$9,1,DF27)=1,DF28&gt;0),1,1-INDEX('Lease Cycles'!$DD$9:$DJ$9,1,DF27))*('Lease Cycles'!$AJ$9*INDEX('Lease Cycles'!$FO$9:$FU$9,1,DF27)+'Lease Cycles'!$BE$9*(1-INDEX('Lease Cycles'!$FO$9:$FU$9,1,DF27)))),0)</f>
        <v>0</v>
      </c>
      <c r="DG37" s="24">
        <f>IF(DG29=1,'Lease Cycles'!$D$9*IF(INDEX('Lease Cycles'!$EF$9:$EL$9,1,DG27)=1,'Lease Cycles'!$AJ$9*INDEX('Lease Cycles'!$FO$9:$FU$9,1,DG27)*INDEX('Lease Cycles'!$EM$9:$ES$9,1,DG27)+'Lease Cycles'!$BE$9*IF(DG28&lt;INDEX('Lease Cycles'!$FA$9:$FG$9,1,DG27),0,1-INDEX('Lease Cycles'!$EM$9:$ES$9,1,DG27)),IF(OR(INDEX('Lease Cycles'!$DY$9:$EE$9,1,DG27)=1,DG28&gt;0),1,1-INDEX('Lease Cycles'!$DD$9:$DJ$9,1,DG27))*('Lease Cycles'!$AJ$9*INDEX('Lease Cycles'!$FO$9:$FU$9,1,DG27)+'Lease Cycles'!$BE$9*(1-INDEX('Lease Cycles'!$FO$9:$FU$9,1,DG27)))),0)</f>
        <v>0</v>
      </c>
      <c r="DH37" s="24">
        <f>IF(DH29=1,'Lease Cycles'!$D$9*IF(INDEX('Lease Cycles'!$EF$9:$EL$9,1,DH27)=1,'Lease Cycles'!$AJ$9*INDEX('Lease Cycles'!$FO$9:$FU$9,1,DH27)*INDEX('Lease Cycles'!$EM$9:$ES$9,1,DH27)+'Lease Cycles'!$BE$9*IF(DH28&lt;INDEX('Lease Cycles'!$FA$9:$FG$9,1,DH27),0,1-INDEX('Lease Cycles'!$EM$9:$ES$9,1,DH27)),IF(OR(INDEX('Lease Cycles'!$DY$9:$EE$9,1,DH27)=1,DH28&gt;0),1,1-INDEX('Lease Cycles'!$DD$9:$DJ$9,1,DH27))*('Lease Cycles'!$AJ$9*INDEX('Lease Cycles'!$FO$9:$FU$9,1,DH27)+'Lease Cycles'!$BE$9*(1-INDEX('Lease Cycles'!$FO$9:$FU$9,1,DH27)))),0)</f>
        <v>0</v>
      </c>
      <c r="DI37" s="24">
        <f>IF(DI29=1,'Lease Cycles'!$D$9*IF(INDEX('Lease Cycles'!$EF$9:$EL$9,1,DI27)=1,'Lease Cycles'!$AJ$9*INDEX('Lease Cycles'!$FO$9:$FU$9,1,DI27)*INDEX('Lease Cycles'!$EM$9:$ES$9,1,DI27)+'Lease Cycles'!$BE$9*IF(DI28&lt;INDEX('Lease Cycles'!$FA$9:$FG$9,1,DI27),0,1-INDEX('Lease Cycles'!$EM$9:$ES$9,1,DI27)),IF(OR(INDEX('Lease Cycles'!$DY$9:$EE$9,1,DI27)=1,DI28&gt;0),1,1-INDEX('Lease Cycles'!$DD$9:$DJ$9,1,DI27))*('Lease Cycles'!$AJ$9*INDEX('Lease Cycles'!$FO$9:$FU$9,1,DI27)+'Lease Cycles'!$BE$9*(1-INDEX('Lease Cycles'!$FO$9:$FU$9,1,DI27)))),0)</f>
        <v>0</v>
      </c>
      <c r="DJ37" s="24">
        <f>IF(DJ29=1,'Lease Cycles'!$D$9*IF(INDEX('Lease Cycles'!$EF$9:$EL$9,1,DJ27)=1,'Lease Cycles'!$AJ$9*INDEX('Lease Cycles'!$FO$9:$FU$9,1,DJ27)*INDEX('Lease Cycles'!$EM$9:$ES$9,1,DJ27)+'Lease Cycles'!$BE$9*IF(DJ28&lt;INDEX('Lease Cycles'!$FA$9:$FG$9,1,DJ27),0,1-INDEX('Lease Cycles'!$EM$9:$ES$9,1,DJ27)),IF(OR(INDEX('Lease Cycles'!$DY$9:$EE$9,1,DJ27)=1,DJ28&gt;0),1,1-INDEX('Lease Cycles'!$DD$9:$DJ$9,1,DJ27))*('Lease Cycles'!$AJ$9*INDEX('Lease Cycles'!$FO$9:$FU$9,1,DJ27)+'Lease Cycles'!$BE$9*(1-INDEX('Lease Cycles'!$FO$9:$FU$9,1,DJ27)))),0)</f>
        <v>0</v>
      </c>
      <c r="DK37" s="24">
        <f>IF(DK29=1,'Lease Cycles'!$D$9*IF(INDEX('Lease Cycles'!$EF$9:$EL$9,1,DK27)=1,'Lease Cycles'!$AJ$9*INDEX('Lease Cycles'!$FO$9:$FU$9,1,DK27)*INDEX('Lease Cycles'!$EM$9:$ES$9,1,DK27)+'Lease Cycles'!$BE$9*IF(DK28&lt;INDEX('Lease Cycles'!$FA$9:$FG$9,1,DK27),0,1-INDEX('Lease Cycles'!$EM$9:$ES$9,1,DK27)),IF(OR(INDEX('Lease Cycles'!$DY$9:$EE$9,1,DK27)=1,DK28&gt;0),1,1-INDEX('Lease Cycles'!$DD$9:$DJ$9,1,DK27))*('Lease Cycles'!$AJ$9*INDEX('Lease Cycles'!$FO$9:$FU$9,1,DK27)+'Lease Cycles'!$BE$9*(1-INDEX('Lease Cycles'!$FO$9:$FU$9,1,DK27)))),0)</f>
        <v>0</v>
      </c>
      <c r="DL37" s="24">
        <f>IF(DL29=1,'Lease Cycles'!$D$9*IF(INDEX('Lease Cycles'!$EF$9:$EL$9,1,DL27)=1,'Lease Cycles'!$AJ$9*INDEX('Lease Cycles'!$FO$9:$FU$9,1,DL27)*INDEX('Lease Cycles'!$EM$9:$ES$9,1,DL27)+'Lease Cycles'!$BE$9*IF(DL28&lt;INDEX('Lease Cycles'!$FA$9:$FG$9,1,DL27),0,1-INDEX('Lease Cycles'!$EM$9:$ES$9,1,DL27)),IF(OR(INDEX('Lease Cycles'!$DY$9:$EE$9,1,DL27)=1,DL28&gt;0),1,1-INDEX('Lease Cycles'!$DD$9:$DJ$9,1,DL27))*('Lease Cycles'!$AJ$9*INDEX('Lease Cycles'!$FO$9:$FU$9,1,DL27)+'Lease Cycles'!$BE$9*(1-INDEX('Lease Cycles'!$FO$9:$FU$9,1,DL27)))),0)</f>
        <v>0</v>
      </c>
      <c r="DM37" s="24">
        <f>IF(DM29=1,'Lease Cycles'!$D$9*IF(INDEX('Lease Cycles'!$EF$9:$EL$9,1,DM27)=1,'Lease Cycles'!$AJ$9*INDEX('Lease Cycles'!$FO$9:$FU$9,1,DM27)*INDEX('Lease Cycles'!$EM$9:$ES$9,1,DM27)+'Lease Cycles'!$BE$9*IF(DM28&lt;INDEX('Lease Cycles'!$FA$9:$FG$9,1,DM27),0,1-INDEX('Lease Cycles'!$EM$9:$ES$9,1,DM27)),IF(OR(INDEX('Lease Cycles'!$DY$9:$EE$9,1,DM27)=1,DM28&gt;0),1,1-INDEX('Lease Cycles'!$DD$9:$DJ$9,1,DM27))*('Lease Cycles'!$AJ$9*INDEX('Lease Cycles'!$FO$9:$FU$9,1,DM27)+'Lease Cycles'!$BE$9*(1-INDEX('Lease Cycles'!$FO$9:$FU$9,1,DM27)))),0)</f>
        <v>0</v>
      </c>
      <c r="DN37" s="24">
        <f>IF(DN29=1,'Lease Cycles'!$D$9*IF(INDEX('Lease Cycles'!$EF$9:$EL$9,1,DN27)=1,'Lease Cycles'!$AJ$9*INDEX('Lease Cycles'!$FO$9:$FU$9,1,DN27)*INDEX('Lease Cycles'!$EM$9:$ES$9,1,DN27)+'Lease Cycles'!$BE$9*IF(DN28&lt;INDEX('Lease Cycles'!$FA$9:$FG$9,1,DN27),0,1-INDEX('Lease Cycles'!$EM$9:$ES$9,1,DN27)),IF(OR(INDEX('Lease Cycles'!$DY$9:$EE$9,1,DN27)=1,DN28&gt;0),1,1-INDEX('Lease Cycles'!$DD$9:$DJ$9,1,DN27))*('Lease Cycles'!$AJ$9*INDEX('Lease Cycles'!$FO$9:$FU$9,1,DN27)+'Lease Cycles'!$BE$9*(1-INDEX('Lease Cycles'!$FO$9:$FU$9,1,DN27)))),0)</f>
        <v>0</v>
      </c>
      <c r="DO37" s="24">
        <f>IF(DO29=1,'Lease Cycles'!$D$9*IF(INDEX('Lease Cycles'!$EF$9:$EL$9,1,DO27)=1,'Lease Cycles'!$AJ$9*INDEX('Lease Cycles'!$FO$9:$FU$9,1,DO27)*INDEX('Lease Cycles'!$EM$9:$ES$9,1,DO27)+'Lease Cycles'!$BE$9*IF(DO28&lt;INDEX('Lease Cycles'!$FA$9:$FG$9,1,DO27),0,1-INDEX('Lease Cycles'!$EM$9:$ES$9,1,DO27)),IF(OR(INDEX('Lease Cycles'!$DY$9:$EE$9,1,DO27)=1,DO28&gt;0),1,1-INDEX('Lease Cycles'!$DD$9:$DJ$9,1,DO27))*('Lease Cycles'!$AJ$9*INDEX('Lease Cycles'!$FO$9:$FU$9,1,DO27)+'Lease Cycles'!$BE$9*(1-INDEX('Lease Cycles'!$FO$9:$FU$9,1,DO27)))),0)</f>
        <v>0</v>
      </c>
      <c r="DP37" s="24">
        <f>IF(DP29=1,'Lease Cycles'!$D$9*IF(INDEX('Lease Cycles'!$EF$9:$EL$9,1,DP27)=1,'Lease Cycles'!$AJ$9*INDEX('Lease Cycles'!$FO$9:$FU$9,1,DP27)*INDEX('Lease Cycles'!$EM$9:$ES$9,1,DP27)+'Lease Cycles'!$BE$9*IF(DP28&lt;INDEX('Lease Cycles'!$FA$9:$FG$9,1,DP27),0,1-INDEX('Lease Cycles'!$EM$9:$ES$9,1,DP27)),IF(OR(INDEX('Lease Cycles'!$DY$9:$EE$9,1,DP27)=1,DP28&gt;0),1,1-INDEX('Lease Cycles'!$DD$9:$DJ$9,1,DP27))*('Lease Cycles'!$AJ$9*INDEX('Lease Cycles'!$FO$9:$FU$9,1,DP27)+'Lease Cycles'!$BE$9*(1-INDEX('Lease Cycles'!$FO$9:$FU$9,1,DP27)))),0)</f>
        <v>0</v>
      </c>
      <c r="DQ37" s="24">
        <f>IF(DQ29=1,'Lease Cycles'!$D$9*IF(INDEX('Lease Cycles'!$EF$9:$EL$9,1,DQ27)=1,'Lease Cycles'!$AJ$9*INDEX('Lease Cycles'!$FO$9:$FU$9,1,DQ27)*INDEX('Lease Cycles'!$EM$9:$ES$9,1,DQ27)+'Lease Cycles'!$BE$9*IF(DQ28&lt;INDEX('Lease Cycles'!$FA$9:$FG$9,1,DQ27),0,1-INDEX('Lease Cycles'!$EM$9:$ES$9,1,DQ27)),IF(OR(INDEX('Lease Cycles'!$DY$9:$EE$9,1,DQ27)=1,DQ28&gt;0),1,1-INDEX('Lease Cycles'!$DD$9:$DJ$9,1,DQ27))*('Lease Cycles'!$AJ$9*INDEX('Lease Cycles'!$FO$9:$FU$9,1,DQ27)+'Lease Cycles'!$BE$9*(1-INDEX('Lease Cycles'!$FO$9:$FU$9,1,DQ27)))),0)</f>
        <v>0</v>
      </c>
      <c r="DR37" s="24">
        <f>IF(DR29=1,'Lease Cycles'!$D$9*IF(INDEX('Lease Cycles'!$EF$9:$EL$9,1,DR27)=1,'Lease Cycles'!$AJ$9*INDEX('Lease Cycles'!$FO$9:$FU$9,1,DR27)*INDEX('Lease Cycles'!$EM$9:$ES$9,1,DR27)+'Lease Cycles'!$BE$9*IF(DR28&lt;INDEX('Lease Cycles'!$FA$9:$FG$9,1,DR27),0,1-INDEX('Lease Cycles'!$EM$9:$ES$9,1,DR27)),IF(OR(INDEX('Lease Cycles'!$DY$9:$EE$9,1,DR27)=1,DR28&gt;0),1,1-INDEX('Lease Cycles'!$DD$9:$DJ$9,1,DR27))*('Lease Cycles'!$AJ$9*INDEX('Lease Cycles'!$FO$9:$FU$9,1,DR27)+'Lease Cycles'!$BE$9*(1-INDEX('Lease Cycles'!$FO$9:$FU$9,1,DR27)))),0)</f>
        <v>0</v>
      </c>
      <c r="DS37" s="24">
        <f>IF(DS29=1,'Lease Cycles'!$D$9*IF(INDEX('Lease Cycles'!$EF$9:$EL$9,1,DS27)=1,'Lease Cycles'!$AJ$9*INDEX('Lease Cycles'!$FO$9:$FU$9,1,DS27)*INDEX('Lease Cycles'!$EM$9:$ES$9,1,DS27)+'Lease Cycles'!$BE$9*IF(DS28&lt;INDEX('Lease Cycles'!$FA$9:$FG$9,1,DS27),0,1-INDEX('Lease Cycles'!$EM$9:$ES$9,1,DS27)),IF(OR(INDEX('Lease Cycles'!$DY$9:$EE$9,1,DS27)=1,DS28&gt;0),1,1-INDEX('Lease Cycles'!$DD$9:$DJ$9,1,DS27))*('Lease Cycles'!$AJ$9*INDEX('Lease Cycles'!$FO$9:$FU$9,1,DS27)+'Lease Cycles'!$BE$9*(1-INDEX('Lease Cycles'!$FO$9:$FU$9,1,DS27)))),0)</f>
        <v>0</v>
      </c>
      <c r="DT37" s="24">
        <f>IF(DT29=1,'Lease Cycles'!$D$9*IF(INDEX('Lease Cycles'!$EF$9:$EL$9,1,DT27)=1,'Lease Cycles'!$AJ$9*INDEX('Lease Cycles'!$FO$9:$FU$9,1,DT27)*INDEX('Lease Cycles'!$EM$9:$ES$9,1,DT27)+'Lease Cycles'!$BE$9*IF(DT28&lt;INDEX('Lease Cycles'!$FA$9:$FG$9,1,DT27),0,1-INDEX('Lease Cycles'!$EM$9:$ES$9,1,DT27)),IF(OR(INDEX('Lease Cycles'!$DY$9:$EE$9,1,DT27)=1,DT28&gt;0),1,1-INDEX('Lease Cycles'!$DD$9:$DJ$9,1,DT27))*('Lease Cycles'!$AJ$9*INDEX('Lease Cycles'!$FO$9:$FU$9,1,DT27)+'Lease Cycles'!$BE$9*(1-INDEX('Lease Cycles'!$FO$9:$FU$9,1,DT27)))),0)</f>
        <v>0</v>
      </c>
      <c r="DU37" s="24">
        <f>IF(DU29=1,'Lease Cycles'!$D$9*IF(INDEX('Lease Cycles'!$EF$9:$EL$9,1,DU27)=1,'Lease Cycles'!$AJ$9*INDEX('Lease Cycles'!$FO$9:$FU$9,1,DU27)*INDEX('Lease Cycles'!$EM$9:$ES$9,1,DU27)+'Lease Cycles'!$BE$9*IF(DU28&lt;INDEX('Lease Cycles'!$FA$9:$FG$9,1,DU27),0,1-INDEX('Lease Cycles'!$EM$9:$ES$9,1,DU27)),IF(OR(INDEX('Lease Cycles'!$DY$9:$EE$9,1,DU27)=1,DU28&gt;0),1,1-INDEX('Lease Cycles'!$DD$9:$DJ$9,1,DU27))*('Lease Cycles'!$AJ$9*INDEX('Lease Cycles'!$FO$9:$FU$9,1,DU27)+'Lease Cycles'!$BE$9*(1-INDEX('Lease Cycles'!$FO$9:$FU$9,1,DU27)))),0)</f>
        <v>0</v>
      </c>
      <c r="DV37" s="24">
        <f>IF(DV29=1,'Lease Cycles'!$D$9*IF(INDEX('Lease Cycles'!$EF$9:$EL$9,1,DV27)=1,'Lease Cycles'!$AJ$9*INDEX('Lease Cycles'!$FO$9:$FU$9,1,DV27)*INDEX('Lease Cycles'!$EM$9:$ES$9,1,DV27)+'Lease Cycles'!$BE$9*IF(DV28&lt;INDEX('Lease Cycles'!$FA$9:$FG$9,1,DV27),0,1-INDEX('Lease Cycles'!$EM$9:$ES$9,1,DV27)),IF(OR(INDEX('Lease Cycles'!$DY$9:$EE$9,1,DV27)=1,DV28&gt;0),1,1-INDEX('Lease Cycles'!$DD$9:$DJ$9,1,DV27))*('Lease Cycles'!$AJ$9*INDEX('Lease Cycles'!$FO$9:$FU$9,1,DV27)+'Lease Cycles'!$BE$9*(1-INDEX('Lease Cycles'!$FO$9:$FU$9,1,DV27)))),0)</f>
        <v>0</v>
      </c>
      <c r="DW37" s="24">
        <f>IF(DW29=1,'Lease Cycles'!$D$9*IF(INDEX('Lease Cycles'!$EF$9:$EL$9,1,DW27)=1,'Lease Cycles'!$AJ$9*INDEX('Lease Cycles'!$FO$9:$FU$9,1,DW27)*INDEX('Lease Cycles'!$EM$9:$ES$9,1,DW27)+'Lease Cycles'!$BE$9*IF(DW28&lt;INDEX('Lease Cycles'!$FA$9:$FG$9,1,DW27),0,1-INDEX('Lease Cycles'!$EM$9:$ES$9,1,DW27)),IF(OR(INDEX('Lease Cycles'!$DY$9:$EE$9,1,DW27)=1,DW28&gt;0),1,1-INDEX('Lease Cycles'!$DD$9:$DJ$9,1,DW27))*('Lease Cycles'!$AJ$9*INDEX('Lease Cycles'!$FO$9:$FU$9,1,DW27)+'Lease Cycles'!$BE$9*(1-INDEX('Lease Cycles'!$FO$9:$FU$9,1,DW27)))),0)</f>
        <v>0</v>
      </c>
      <c r="DX37" s="24">
        <f>IF(DX29=1,'Lease Cycles'!$D$9*IF(INDEX('Lease Cycles'!$EF$9:$EL$9,1,DX27)=1,'Lease Cycles'!$AJ$9*INDEX('Lease Cycles'!$FO$9:$FU$9,1,DX27)*INDEX('Lease Cycles'!$EM$9:$ES$9,1,DX27)+'Lease Cycles'!$BE$9*IF(DX28&lt;INDEX('Lease Cycles'!$FA$9:$FG$9,1,DX27),0,1-INDEX('Lease Cycles'!$EM$9:$ES$9,1,DX27)),IF(OR(INDEX('Lease Cycles'!$DY$9:$EE$9,1,DX27)=1,DX28&gt;0),1,1-INDEX('Lease Cycles'!$DD$9:$DJ$9,1,DX27))*('Lease Cycles'!$AJ$9*INDEX('Lease Cycles'!$FO$9:$FU$9,1,DX27)+'Lease Cycles'!$BE$9*(1-INDEX('Lease Cycles'!$FO$9:$FU$9,1,DX27)))),0)</f>
        <v>0</v>
      </c>
      <c r="DY37" s="24">
        <f>IF(DY29=1,'Lease Cycles'!$D$9*IF(INDEX('Lease Cycles'!$EF$9:$EL$9,1,DY27)=1,'Lease Cycles'!$AJ$9*INDEX('Lease Cycles'!$FO$9:$FU$9,1,DY27)*INDEX('Lease Cycles'!$EM$9:$ES$9,1,DY27)+'Lease Cycles'!$BE$9*IF(DY28&lt;INDEX('Lease Cycles'!$FA$9:$FG$9,1,DY27),0,1-INDEX('Lease Cycles'!$EM$9:$ES$9,1,DY27)),IF(OR(INDEX('Lease Cycles'!$DY$9:$EE$9,1,DY27)=1,DY28&gt;0),1,1-INDEX('Lease Cycles'!$DD$9:$DJ$9,1,DY27))*('Lease Cycles'!$AJ$9*INDEX('Lease Cycles'!$FO$9:$FU$9,1,DY27)+'Lease Cycles'!$BE$9*(1-INDEX('Lease Cycles'!$FO$9:$FU$9,1,DY27)))),0)</f>
        <v>0</v>
      </c>
      <c r="DZ37" s="24">
        <f>IF(DZ29=1,'Lease Cycles'!$D$9*IF(INDEX('Lease Cycles'!$EF$9:$EL$9,1,DZ27)=1,'Lease Cycles'!$AJ$9*INDEX('Lease Cycles'!$FO$9:$FU$9,1,DZ27)*INDEX('Lease Cycles'!$EM$9:$ES$9,1,DZ27)+'Lease Cycles'!$BE$9*IF(DZ28&lt;INDEX('Lease Cycles'!$FA$9:$FG$9,1,DZ27),0,1-INDEX('Lease Cycles'!$EM$9:$ES$9,1,DZ27)),IF(OR(INDEX('Lease Cycles'!$DY$9:$EE$9,1,DZ27)=1,DZ28&gt;0),1,1-INDEX('Lease Cycles'!$DD$9:$DJ$9,1,DZ27))*('Lease Cycles'!$AJ$9*INDEX('Lease Cycles'!$FO$9:$FU$9,1,DZ27)+'Lease Cycles'!$BE$9*(1-INDEX('Lease Cycles'!$FO$9:$FU$9,1,DZ27)))),0)</f>
        <v>0</v>
      </c>
      <c r="EA37" s="24">
        <f>IF(EA29=1,'Lease Cycles'!$D$9*IF(INDEX('Lease Cycles'!$EF$9:$EL$9,1,EA27)=1,'Lease Cycles'!$AJ$9*INDEX('Lease Cycles'!$FO$9:$FU$9,1,EA27)*INDEX('Lease Cycles'!$EM$9:$ES$9,1,EA27)+'Lease Cycles'!$BE$9*IF(EA28&lt;INDEX('Lease Cycles'!$FA$9:$FG$9,1,EA27),0,1-INDEX('Lease Cycles'!$EM$9:$ES$9,1,EA27)),IF(OR(INDEX('Lease Cycles'!$DY$9:$EE$9,1,EA27)=1,EA28&gt;0),1,1-INDEX('Lease Cycles'!$DD$9:$DJ$9,1,EA27))*('Lease Cycles'!$AJ$9*INDEX('Lease Cycles'!$FO$9:$FU$9,1,EA27)+'Lease Cycles'!$BE$9*(1-INDEX('Lease Cycles'!$FO$9:$FU$9,1,EA27)))),0)</f>
        <v>0</v>
      </c>
      <c r="EB37" s="24">
        <f>IF(EB29=1,'Lease Cycles'!$D$9*IF(INDEX('Lease Cycles'!$EF$9:$EL$9,1,EB27)=1,'Lease Cycles'!$AJ$9*INDEX('Lease Cycles'!$FO$9:$FU$9,1,EB27)*INDEX('Lease Cycles'!$EM$9:$ES$9,1,EB27)+'Lease Cycles'!$BE$9*IF(EB28&lt;INDEX('Lease Cycles'!$FA$9:$FG$9,1,EB27),0,1-INDEX('Lease Cycles'!$EM$9:$ES$9,1,EB27)),IF(OR(INDEX('Lease Cycles'!$DY$9:$EE$9,1,EB27)=1,EB28&gt;0),1,1-INDEX('Lease Cycles'!$DD$9:$DJ$9,1,EB27))*('Lease Cycles'!$AJ$9*INDEX('Lease Cycles'!$FO$9:$FU$9,1,EB27)+'Lease Cycles'!$BE$9*(1-INDEX('Lease Cycles'!$FO$9:$FU$9,1,EB27)))),0)</f>
        <v>0</v>
      </c>
      <c r="EC37" s="24">
        <f>IF(EC29=1,'Lease Cycles'!$D$9*IF(INDEX('Lease Cycles'!$EF$9:$EL$9,1,EC27)=1,'Lease Cycles'!$AJ$9*INDEX('Lease Cycles'!$FO$9:$FU$9,1,EC27)*INDEX('Lease Cycles'!$EM$9:$ES$9,1,EC27)+'Lease Cycles'!$BE$9*IF(EC28&lt;INDEX('Lease Cycles'!$FA$9:$FG$9,1,EC27),0,1-INDEX('Lease Cycles'!$EM$9:$ES$9,1,EC27)),IF(OR(INDEX('Lease Cycles'!$DY$9:$EE$9,1,EC27)=1,EC28&gt;0),1,1-INDEX('Lease Cycles'!$DD$9:$DJ$9,1,EC27))*('Lease Cycles'!$AJ$9*INDEX('Lease Cycles'!$FO$9:$FU$9,1,EC27)+'Lease Cycles'!$BE$9*(1-INDEX('Lease Cycles'!$FO$9:$FU$9,1,EC27)))),0)</f>
        <v>0</v>
      </c>
      <c r="ED37" s="24">
        <f>IF(ED29=1,'Lease Cycles'!$D$9*IF(INDEX('Lease Cycles'!$EF$9:$EL$9,1,ED27)=1,'Lease Cycles'!$AJ$9*INDEX('Lease Cycles'!$FO$9:$FU$9,1,ED27)*INDEX('Lease Cycles'!$EM$9:$ES$9,1,ED27)+'Lease Cycles'!$BE$9*IF(ED28&lt;INDEX('Lease Cycles'!$FA$9:$FG$9,1,ED27),0,1-INDEX('Lease Cycles'!$EM$9:$ES$9,1,ED27)),IF(OR(INDEX('Lease Cycles'!$DY$9:$EE$9,1,ED27)=1,ED28&gt;0),1,1-INDEX('Lease Cycles'!$DD$9:$DJ$9,1,ED27))*('Lease Cycles'!$AJ$9*INDEX('Lease Cycles'!$FO$9:$FU$9,1,ED27)+'Lease Cycles'!$BE$9*(1-INDEX('Lease Cycles'!$FO$9:$FU$9,1,ED27)))),0)</f>
        <v>0</v>
      </c>
      <c r="EE37" s="24">
        <f>IF(EE29=1,'Lease Cycles'!$D$9*IF(INDEX('Lease Cycles'!$EF$9:$EL$9,1,EE27)=1,'Lease Cycles'!$AJ$9*INDEX('Lease Cycles'!$FO$9:$FU$9,1,EE27)*INDEX('Lease Cycles'!$EM$9:$ES$9,1,EE27)+'Lease Cycles'!$BE$9*IF(EE28&lt;INDEX('Lease Cycles'!$FA$9:$FG$9,1,EE27),0,1-INDEX('Lease Cycles'!$EM$9:$ES$9,1,EE27)),IF(OR(INDEX('Lease Cycles'!$DY$9:$EE$9,1,EE27)=1,EE28&gt;0),1,1-INDEX('Lease Cycles'!$DD$9:$DJ$9,1,EE27))*('Lease Cycles'!$AJ$9*INDEX('Lease Cycles'!$FO$9:$FU$9,1,EE27)+'Lease Cycles'!$BE$9*(1-INDEX('Lease Cycles'!$FO$9:$FU$9,1,EE27)))),0)</f>
        <v>0</v>
      </c>
      <c r="EF37" s="24">
        <f>IF(EF29=1,'Lease Cycles'!$D$9*IF(INDEX('Lease Cycles'!$EF$9:$EL$9,1,EF27)=1,'Lease Cycles'!$AJ$9*INDEX('Lease Cycles'!$FO$9:$FU$9,1,EF27)*INDEX('Lease Cycles'!$EM$9:$ES$9,1,EF27)+'Lease Cycles'!$BE$9*IF(EF28&lt;INDEX('Lease Cycles'!$FA$9:$FG$9,1,EF27),0,1-INDEX('Lease Cycles'!$EM$9:$ES$9,1,EF27)),IF(OR(INDEX('Lease Cycles'!$DY$9:$EE$9,1,EF27)=1,EF28&gt;0),1,1-INDEX('Lease Cycles'!$DD$9:$DJ$9,1,EF27))*('Lease Cycles'!$AJ$9*INDEX('Lease Cycles'!$FO$9:$FU$9,1,EF27)+'Lease Cycles'!$BE$9*(1-INDEX('Lease Cycles'!$FO$9:$FU$9,1,EF27)))),0)</f>
        <v>0</v>
      </c>
      <c r="EG37" s="24">
        <f>IF(EG29=1,'Lease Cycles'!$D$9*IF(INDEX('Lease Cycles'!$EF$9:$EL$9,1,EG27)=1,'Lease Cycles'!$AJ$9*INDEX('Lease Cycles'!$FO$9:$FU$9,1,EG27)*INDEX('Lease Cycles'!$EM$9:$ES$9,1,EG27)+'Lease Cycles'!$BE$9*IF(EG28&lt;INDEX('Lease Cycles'!$FA$9:$FG$9,1,EG27),0,1-INDEX('Lease Cycles'!$EM$9:$ES$9,1,EG27)),IF(OR(INDEX('Lease Cycles'!$DY$9:$EE$9,1,EG27)=1,EG28&gt;0),1,1-INDEX('Lease Cycles'!$DD$9:$DJ$9,1,EG27))*('Lease Cycles'!$AJ$9*INDEX('Lease Cycles'!$FO$9:$FU$9,1,EG27)+'Lease Cycles'!$BE$9*(1-INDEX('Lease Cycles'!$FO$9:$FU$9,1,EG27)))),0)</f>
        <v>0</v>
      </c>
      <c r="EH37" s="24">
        <f>IF(EH29=1,'Lease Cycles'!$D$9*IF(INDEX('Lease Cycles'!$EF$9:$EL$9,1,EH27)=1,'Lease Cycles'!$AJ$9*INDEX('Lease Cycles'!$FO$9:$FU$9,1,EH27)*INDEX('Lease Cycles'!$EM$9:$ES$9,1,EH27)+'Lease Cycles'!$BE$9*IF(EH28&lt;INDEX('Lease Cycles'!$FA$9:$FG$9,1,EH27),0,1-INDEX('Lease Cycles'!$EM$9:$ES$9,1,EH27)),IF(OR(INDEX('Lease Cycles'!$DY$9:$EE$9,1,EH27)=1,EH28&gt;0),1,1-INDEX('Lease Cycles'!$DD$9:$DJ$9,1,EH27))*('Lease Cycles'!$AJ$9*INDEX('Lease Cycles'!$FO$9:$FU$9,1,EH27)+'Lease Cycles'!$BE$9*(1-INDEX('Lease Cycles'!$FO$9:$FU$9,1,EH27)))),0)</f>
        <v>0</v>
      </c>
      <c r="EI37" s="24">
        <f>IF(EI29=1,'Lease Cycles'!$D$9*IF(INDEX('Lease Cycles'!$EF$9:$EL$9,1,EI27)=1,'Lease Cycles'!$AJ$9*INDEX('Lease Cycles'!$FO$9:$FU$9,1,EI27)*INDEX('Lease Cycles'!$EM$9:$ES$9,1,EI27)+'Lease Cycles'!$BE$9*IF(EI28&lt;INDEX('Lease Cycles'!$FA$9:$FG$9,1,EI27),0,1-INDEX('Lease Cycles'!$EM$9:$ES$9,1,EI27)),IF(OR(INDEX('Lease Cycles'!$DY$9:$EE$9,1,EI27)=1,EI28&gt;0),1,1-INDEX('Lease Cycles'!$DD$9:$DJ$9,1,EI27))*('Lease Cycles'!$AJ$9*INDEX('Lease Cycles'!$FO$9:$FU$9,1,EI27)+'Lease Cycles'!$BE$9*(1-INDEX('Lease Cycles'!$FO$9:$FU$9,1,EI27)))),0)</f>
        <v>0</v>
      </c>
      <c r="EJ37" s="24">
        <f>IF(EJ29=1,'Lease Cycles'!$D$9*IF(INDEX('Lease Cycles'!$EF$9:$EL$9,1,EJ27)=1,'Lease Cycles'!$AJ$9*INDEX('Lease Cycles'!$FO$9:$FU$9,1,EJ27)*INDEX('Lease Cycles'!$EM$9:$ES$9,1,EJ27)+'Lease Cycles'!$BE$9*IF(EJ28&lt;INDEX('Lease Cycles'!$FA$9:$FG$9,1,EJ27),0,1-INDEX('Lease Cycles'!$EM$9:$ES$9,1,EJ27)),IF(OR(INDEX('Lease Cycles'!$DY$9:$EE$9,1,EJ27)=1,EJ28&gt;0),1,1-INDEX('Lease Cycles'!$DD$9:$DJ$9,1,EJ27))*('Lease Cycles'!$AJ$9*INDEX('Lease Cycles'!$FO$9:$FU$9,1,EJ27)+'Lease Cycles'!$BE$9*(1-INDEX('Lease Cycles'!$FO$9:$FU$9,1,EJ27)))),0)</f>
        <v>0</v>
      </c>
      <c r="EK37" s="24">
        <f>IF(EK29=1,'Lease Cycles'!$D$9*IF(INDEX('Lease Cycles'!$EF$9:$EL$9,1,EK27)=1,'Lease Cycles'!$AJ$9*INDEX('Lease Cycles'!$FO$9:$FU$9,1,EK27)*INDEX('Lease Cycles'!$EM$9:$ES$9,1,EK27)+'Lease Cycles'!$BE$9*IF(EK28&lt;INDEX('Lease Cycles'!$FA$9:$FG$9,1,EK27),0,1-INDEX('Lease Cycles'!$EM$9:$ES$9,1,EK27)),IF(OR(INDEX('Lease Cycles'!$DY$9:$EE$9,1,EK27)=1,EK28&gt;0),1,1-INDEX('Lease Cycles'!$DD$9:$DJ$9,1,EK27))*('Lease Cycles'!$AJ$9*INDEX('Lease Cycles'!$FO$9:$FU$9,1,EK27)+'Lease Cycles'!$BE$9*(1-INDEX('Lease Cycles'!$FO$9:$FU$9,1,EK27)))),0)</f>
        <v>0</v>
      </c>
      <c r="EL37" s="24">
        <f>IF(EL29=1,'Lease Cycles'!$D$9*IF(INDEX('Lease Cycles'!$EF$9:$EL$9,1,EL27)=1,'Lease Cycles'!$AJ$9*INDEX('Lease Cycles'!$FO$9:$FU$9,1,EL27)*INDEX('Lease Cycles'!$EM$9:$ES$9,1,EL27)+'Lease Cycles'!$BE$9*IF(EL28&lt;INDEX('Lease Cycles'!$FA$9:$FG$9,1,EL27),0,1-INDEX('Lease Cycles'!$EM$9:$ES$9,1,EL27)),IF(OR(INDEX('Lease Cycles'!$DY$9:$EE$9,1,EL27)=1,EL28&gt;0),1,1-INDEX('Lease Cycles'!$DD$9:$DJ$9,1,EL27))*('Lease Cycles'!$AJ$9*INDEX('Lease Cycles'!$FO$9:$FU$9,1,EL27)+'Lease Cycles'!$BE$9*(1-INDEX('Lease Cycles'!$FO$9:$FU$9,1,EL27)))),0)</f>
        <v>0</v>
      </c>
      <c r="EM37" s="24">
        <f>IF(EM29=1,'Lease Cycles'!$D$9*IF(INDEX('Lease Cycles'!$EF$9:$EL$9,1,EM27)=1,'Lease Cycles'!$AJ$9*INDEX('Lease Cycles'!$FO$9:$FU$9,1,EM27)*INDEX('Lease Cycles'!$EM$9:$ES$9,1,EM27)+'Lease Cycles'!$BE$9*IF(EM28&lt;INDEX('Lease Cycles'!$FA$9:$FG$9,1,EM27),0,1-INDEX('Lease Cycles'!$EM$9:$ES$9,1,EM27)),IF(OR(INDEX('Lease Cycles'!$DY$9:$EE$9,1,EM27)=1,EM28&gt;0),1,1-INDEX('Lease Cycles'!$DD$9:$DJ$9,1,EM27))*('Lease Cycles'!$AJ$9*INDEX('Lease Cycles'!$FO$9:$FU$9,1,EM27)+'Lease Cycles'!$BE$9*(1-INDEX('Lease Cycles'!$FO$9:$FU$9,1,EM27)))),0)</f>
        <v>0</v>
      </c>
      <c r="EN37" s="24">
        <f>IF(EN29=1,'Lease Cycles'!$D$9*IF(INDEX('Lease Cycles'!$EF$9:$EL$9,1,EN27)=1,'Lease Cycles'!$AJ$9*INDEX('Lease Cycles'!$FO$9:$FU$9,1,EN27)*INDEX('Lease Cycles'!$EM$9:$ES$9,1,EN27)+'Lease Cycles'!$BE$9*IF(EN28&lt;INDEX('Lease Cycles'!$FA$9:$FG$9,1,EN27),0,1-INDEX('Lease Cycles'!$EM$9:$ES$9,1,EN27)),IF(OR(INDEX('Lease Cycles'!$DY$9:$EE$9,1,EN27)=1,EN28&gt;0),1,1-INDEX('Lease Cycles'!$DD$9:$DJ$9,1,EN27))*('Lease Cycles'!$AJ$9*INDEX('Lease Cycles'!$FO$9:$FU$9,1,EN27)+'Lease Cycles'!$BE$9*(1-INDEX('Lease Cycles'!$FO$9:$FU$9,1,EN27)))),0)</f>
        <v>0</v>
      </c>
      <c r="EO37" s="24">
        <f>IF(EO29=1,'Lease Cycles'!$D$9*IF(INDEX('Lease Cycles'!$EF$9:$EL$9,1,EO27)=1,'Lease Cycles'!$AJ$9*INDEX('Lease Cycles'!$FO$9:$FU$9,1,EO27)*INDEX('Lease Cycles'!$EM$9:$ES$9,1,EO27)+'Lease Cycles'!$BE$9*IF(EO28&lt;INDEX('Lease Cycles'!$FA$9:$FG$9,1,EO27),0,1-INDEX('Lease Cycles'!$EM$9:$ES$9,1,EO27)),IF(OR(INDEX('Lease Cycles'!$DY$9:$EE$9,1,EO27)=1,EO28&gt;0),1,1-INDEX('Lease Cycles'!$DD$9:$DJ$9,1,EO27))*('Lease Cycles'!$AJ$9*INDEX('Lease Cycles'!$FO$9:$FU$9,1,EO27)+'Lease Cycles'!$BE$9*(1-INDEX('Lease Cycles'!$FO$9:$FU$9,1,EO27)))),0)</f>
        <v>0</v>
      </c>
      <c r="EP37" s="24">
        <f>IF(EP29=1,'Lease Cycles'!$D$9*IF(INDEX('Lease Cycles'!$EF$9:$EL$9,1,EP27)=1,'Lease Cycles'!$AJ$9*INDEX('Lease Cycles'!$FO$9:$FU$9,1,EP27)*INDEX('Lease Cycles'!$EM$9:$ES$9,1,EP27)+'Lease Cycles'!$BE$9*IF(EP28&lt;INDEX('Lease Cycles'!$FA$9:$FG$9,1,EP27),0,1-INDEX('Lease Cycles'!$EM$9:$ES$9,1,EP27)),IF(OR(INDEX('Lease Cycles'!$DY$9:$EE$9,1,EP27)=1,EP28&gt;0),1,1-INDEX('Lease Cycles'!$DD$9:$DJ$9,1,EP27))*('Lease Cycles'!$AJ$9*INDEX('Lease Cycles'!$FO$9:$FU$9,1,EP27)+'Lease Cycles'!$BE$9*(1-INDEX('Lease Cycles'!$FO$9:$FU$9,1,EP27)))),0)</f>
        <v>0</v>
      </c>
      <c r="EQ37" s="24">
        <f>IF(EQ29=1,'Lease Cycles'!$D$9*IF(INDEX('Lease Cycles'!$EF$9:$EL$9,1,EQ27)=1,'Lease Cycles'!$AJ$9*INDEX('Lease Cycles'!$FO$9:$FU$9,1,EQ27)*INDEX('Lease Cycles'!$EM$9:$ES$9,1,EQ27)+'Lease Cycles'!$BE$9*IF(EQ28&lt;INDEX('Lease Cycles'!$FA$9:$FG$9,1,EQ27),0,1-INDEX('Lease Cycles'!$EM$9:$ES$9,1,EQ27)),IF(OR(INDEX('Lease Cycles'!$DY$9:$EE$9,1,EQ27)=1,EQ28&gt;0),1,1-INDEX('Lease Cycles'!$DD$9:$DJ$9,1,EQ27))*('Lease Cycles'!$AJ$9*INDEX('Lease Cycles'!$FO$9:$FU$9,1,EQ27)+'Lease Cycles'!$BE$9*(1-INDEX('Lease Cycles'!$FO$9:$FU$9,1,EQ27)))),0)</f>
        <v>0</v>
      </c>
      <c r="ER37" s="24">
        <f>IF(ER29=1,'Lease Cycles'!$D$9*IF(INDEX('Lease Cycles'!$EF$9:$EL$9,1,ER27)=1,'Lease Cycles'!$AJ$9*INDEX('Lease Cycles'!$FO$9:$FU$9,1,ER27)*INDEX('Lease Cycles'!$EM$9:$ES$9,1,ER27)+'Lease Cycles'!$BE$9*IF(ER28&lt;INDEX('Lease Cycles'!$FA$9:$FG$9,1,ER27),0,1-INDEX('Lease Cycles'!$EM$9:$ES$9,1,ER27)),IF(OR(INDEX('Lease Cycles'!$DY$9:$EE$9,1,ER27)=1,ER28&gt;0),1,1-INDEX('Lease Cycles'!$DD$9:$DJ$9,1,ER27))*('Lease Cycles'!$AJ$9*INDEX('Lease Cycles'!$FO$9:$FU$9,1,ER27)+'Lease Cycles'!$BE$9*(1-INDEX('Lease Cycles'!$FO$9:$FU$9,1,ER27)))),0)</f>
        <v>0</v>
      </c>
      <c r="ES37" s="24">
        <f>IF(ES29=1,'Lease Cycles'!$D$9*IF(INDEX('Lease Cycles'!$EF$9:$EL$9,1,ES27)=1,'Lease Cycles'!$AJ$9*INDEX('Lease Cycles'!$FO$9:$FU$9,1,ES27)*INDEX('Lease Cycles'!$EM$9:$ES$9,1,ES27)+'Lease Cycles'!$BE$9*IF(ES28&lt;INDEX('Lease Cycles'!$FA$9:$FG$9,1,ES27),0,1-INDEX('Lease Cycles'!$EM$9:$ES$9,1,ES27)),IF(OR(INDEX('Lease Cycles'!$DY$9:$EE$9,1,ES27)=1,ES28&gt;0),1,1-INDEX('Lease Cycles'!$DD$9:$DJ$9,1,ES27))*('Lease Cycles'!$AJ$9*INDEX('Lease Cycles'!$FO$9:$FU$9,1,ES27)+'Lease Cycles'!$BE$9*(1-INDEX('Lease Cycles'!$FO$9:$FU$9,1,ES27)))),0)</f>
        <v>0</v>
      </c>
      <c r="ET37" s="24">
        <f>IF(ET29=1,'Lease Cycles'!$D$9*IF(INDEX('Lease Cycles'!$EF$9:$EL$9,1,ET27)=1,'Lease Cycles'!$AJ$9*INDEX('Lease Cycles'!$FO$9:$FU$9,1,ET27)*INDEX('Lease Cycles'!$EM$9:$ES$9,1,ET27)+'Lease Cycles'!$BE$9*IF(ET28&lt;INDEX('Lease Cycles'!$FA$9:$FG$9,1,ET27),0,1-INDEX('Lease Cycles'!$EM$9:$ES$9,1,ET27)),IF(OR(INDEX('Lease Cycles'!$DY$9:$EE$9,1,ET27)=1,ET28&gt;0),1,1-INDEX('Lease Cycles'!$DD$9:$DJ$9,1,ET27))*('Lease Cycles'!$AJ$9*INDEX('Lease Cycles'!$FO$9:$FU$9,1,ET27)+'Lease Cycles'!$BE$9*(1-INDEX('Lease Cycles'!$FO$9:$FU$9,1,ET27)))),0)</f>
        <v>0</v>
      </c>
    </row>
    <row r="38">
      <c r="A38" s="103">
        <v>2</v>
      </c>
      <c r="B38" s="23" t="str">
        <f>IF('Lease Cycles'!$B$9="","(empty slot)",'Lease Cycles'!$B$9)</f>
        <v>Sunfield Pharmacy</v>
      </c>
      <c r="C38" s="23" t="s">
        <v>689</v>
      </c>
      <c r="D38" s="104" t="s">
        <v>690</v>
      </c>
      <c r="E38" s="25">
        <f>'Lease Cycles'!$AL$9</f>
        <v>0</v>
      </c>
      <c r="G38" s="28">
        <f>SUM(S38:AD38)</f>
        <v>0</v>
      </c>
      <c r="H38" s="28">
        <f>SUM(AE38:AP38)</f>
        <v>0</v>
      </c>
      <c r="I38" s="28">
        <f>SUM(AQ38:BB38)</f>
        <v>0</v>
      </c>
      <c r="J38" s="28">
        <f>SUM(BC38:BN38)</f>
        <v>0</v>
      </c>
      <c r="K38" s="28">
        <f>SUM(BO38:BZ38)</f>
        <v>0</v>
      </c>
      <c r="L38" s="28">
        <f>SUM(CA38:CL38)</f>
        <v>0</v>
      </c>
      <c r="M38" s="28">
        <f>SUM(CM38:CX38)</f>
        <v>0</v>
      </c>
      <c r="N38" s="28">
        <f>SUM(CY38:DJ38)</f>
        <v>0</v>
      </c>
      <c r="O38" s="28">
        <f>SUM(DK38:DV38)</f>
        <v>0</v>
      </c>
      <c r="P38" s="28">
        <f>SUM(DW38:EH38)</f>
        <v>0</v>
      </c>
      <c r="Q38" s="28">
        <f>SUM(EI38:ET38)</f>
        <v>0</v>
      </c>
      <c r="S38" s="28">
        <f>IF(S37=0,0,S37*MAX(0,(INDEX(c_CAMy,1,S$7)-INDEX(c_CAMy,1,INDEX('Lease Cycles'!$GC$9:$GI$9,1,S27)+1))*(1+'Lease Cycles'!$AK$9)+(INDEX(c_TAXy,1,S$7)-INDEX(c_TAXy,1,INDEX('Lease Cycles'!$GC$9:$GI$9,1,S27)+1))+(INDEX(c_INSy,1,S$7)-INDEX(c_INSy,1,INDEX('Lease Cycles'!$GC$9:$GI$9,1,S27)+1)))/12)</f>
        <v>0</v>
      </c>
      <c r="T38" s="28">
        <f>IF(T37=0,0,T37*MAX(0,(INDEX(c_CAMy,1,T$7)-INDEX(c_CAMy,1,INDEX('Lease Cycles'!$GC$9:$GI$9,1,T27)+1))*(1+'Lease Cycles'!$AK$9)+(INDEX(c_TAXy,1,T$7)-INDEX(c_TAXy,1,INDEX('Lease Cycles'!$GC$9:$GI$9,1,T27)+1))+(INDEX(c_INSy,1,T$7)-INDEX(c_INSy,1,INDEX('Lease Cycles'!$GC$9:$GI$9,1,T27)+1)))/12)</f>
        <v>0</v>
      </c>
      <c r="U38" s="28">
        <f>IF(U37=0,0,U37*MAX(0,(INDEX(c_CAMy,1,U$7)-INDEX(c_CAMy,1,INDEX('Lease Cycles'!$GC$9:$GI$9,1,U27)+1))*(1+'Lease Cycles'!$AK$9)+(INDEX(c_TAXy,1,U$7)-INDEX(c_TAXy,1,INDEX('Lease Cycles'!$GC$9:$GI$9,1,U27)+1))+(INDEX(c_INSy,1,U$7)-INDEX(c_INSy,1,INDEX('Lease Cycles'!$GC$9:$GI$9,1,U27)+1)))/12)</f>
        <v>0</v>
      </c>
      <c r="V38" s="28">
        <f>IF(V37=0,0,V37*MAX(0,(INDEX(c_CAMy,1,V$7)-INDEX(c_CAMy,1,INDEX('Lease Cycles'!$GC$9:$GI$9,1,V27)+1))*(1+'Lease Cycles'!$AK$9)+(INDEX(c_TAXy,1,V$7)-INDEX(c_TAXy,1,INDEX('Lease Cycles'!$GC$9:$GI$9,1,V27)+1))+(INDEX(c_INSy,1,V$7)-INDEX(c_INSy,1,INDEX('Lease Cycles'!$GC$9:$GI$9,1,V27)+1)))/12)</f>
        <v>0</v>
      </c>
      <c r="W38" s="28">
        <f>IF(W37=0,0,W37*MAX(0,(INDEX(c_CAMy,1,W$7)-INDEX(c_CAMy,1,INDEX('Lease Cycles'!$GC$9:$GI$9,1,W27)+1))*(1+'Lease Cycles'!$AK$9)+(INDEX(c_TAXy,1,W$7)-INDEX(c_TAXy,1,INDEX('Lease Cycles'!$GC$9:$GI$9,1,W27)+1))+(INDEX(c_INSy,1,W$7)-INDEX(c_INSy,1,INDEX('Lease Cycles'!$GC$9:$GI$9,1,W27)+1)))/12)</f>
        <v>0</v>
      </c>
      <c r="X38" s="28">
        <f>IF(X37=0,0,X37*MAX(0,(INDEX(c_CAMy,1,X$7)-INDEX(c_CAMy,1,INDEX('Lease Cycles'!$GC$9:$GI$9,1,X27)+1))*(1+'Lease Cycles'!$AK$9)+(INDEX(c_TAXy,1,X$7)-INDEX(c_TAXy,1,INDEX('Lease Cycles'!$GC$9:$GI$9,1,X27)+1))+(INDEX(c_INSy,1,X$7)-INDEX(c_INSy,1,INDEX('Lease Cycles'!$GC$9:$GI$9,1,X27)+1)))/12)</f>
        <v>0</v>
      </c>
      <c r="Y38" s="28">
        <f>IF(Y37=0,0,Y37*MAX(0,(INDEX(c_CAMy,1,Y$7)-INDEX(c_CAMy,1,INDEX('Lease Cycles'!$GC$9:$GI$9,1,Y27)+1))*(1+'Lease Cycles'!$AK$9)+(INDEX(c_TAXy,1,Y$7)-INDEX(c_TAXy,1,INDEX('Lease Cycles'!$GC$9:$GI$9,1,Y27)+1))+(INDEX(c_INSy,1,Y$7)-INDEX(c_INSy,1,INDEX('Lease Cycles'!$GC$9:$GI$9,1,Y27)+1)))/12)</f>
        <v>0</v>
      </c>
      <c r="Z38" s="28">
        <f>IF(Z37=0,0,Z37*MAX(0,(INDEX(c_CAMy,1,Z$7)-INDEX(c_CAMy,1,INDEX('Lease Cycles'!$GC$9:$GI$9,1,Z27)+1))*(1+'Lease Cycles'!$AK$9)+(INDEX(c_TAXy,1,Z$7)-INDEX(c_TAXy,1,INDEX('Lease Cycles'!$GC$9:$GI$9,1,Z27)+1))+(INDEX(c_INSy,1,Z$7)-INDEX(c_INSy,1,INDEX('Lease Cycles'!$GC$9:$GI$9,1,Z27)+1)))/12)</f>
        <v>0</v>
      </c>
      <c r="AA38" s="28">
        <f>IF(AA37=0,0,AA37*MAX(0,(INDEX(c_CAMy,1,AA$7)-INDEX(c_CAMy,1,INDEX('Lease Cycles'!$GC$9:$GI$9,1,AA27)+1))*(1+'Lease Cycles'!$AK$9)+(INDEX(c_TAXy,1,AA$7)-INDEX(c_TAXy,1,INDEX('Lease Cycles'!$GC$9:$GI$9,1,AA27)+1))+(INDEX(c_INSy,1,AA$7)-INDEX(c_INSy,1,INDEX('Lease Cycles'!$GC$9:$GI$9,1,AA27)+1)))/12)</f>
        <v>0</v>
      </c>
      <c r="AB38" s="28">
        <f>IF(AB37=0,0,AB37*MAX(0,(INDEX(c_CAMy,1,AB$7)-INDEX(c_CAMy,1,INDEX('Lease Cycles'!$GC$9:$GI$9,1,AB27)+1))*(1+'Lease Cycles'!$AK$9)+(INDEX(c_TAXy,1,AB$7)-INDEX(c_TAXy,1,INDEX('Lease Cycles'!$GC$9:$GI$9,1,AB27)+1))+(INDEX(c_INSy,1,AB$7)-INDEX(c_INSy,1,INDEX('Lease Cycles'!$GC$9:$GI$9,1,AB27)+1)))/12)</f>
        <v>0</v>
      </c>
      <c r="AC38" s="28">
        <f>IF(AC37=0,0,AC37*MAX(0,(INDEX(c_CAMy,1,AC$7)-INDEX(c_CAMy,1,INDEX('Lease Cycles'!$GC$9:$GI$9,1,AC27)+1))*(1+'Lease Cycles'!$AK$9)+(INDEX(c_TAXy,1,AC$7)-INDEX(c_TAXy,1,INDEX('Lease Cycles'!$GC$9:$GI$9,1,AC27)+1))+(INDEX(c_INSy,1,AC$7)-INDEX(c_INSy,1,INDEX('Lease Cycles'!$GC$9:$GI$9,1,AC27)+1)))/12)</f>
        <v>0</v>
      </c>
      <c r="AD38" s="28">
        <f>IF(AD37=0,0,AD37*MAX(0,(INDEX(c_CAMy,1,AD$7)-INDEX(c_CAMy,1,INDEX('Lease Cycles'!$GC$9:$GI$9,1,AD27)+1))*(1+'Lease Cycles'!$AK$9)+(INDEX(c_TAXy,1,AD$7)-INDEX(c_TAXy,1,INDEX('Lease Cycles'!$GC$9:$GI$9,1,AD27)+1))+(INDEX(c_INSy,1,AD$7)-INDEX(c_INSy,1,INDEX('Lease Cycles'!$GC$9:$GI$9,1,AD27)+1)))/12)</f>
        <v>0</v>
      </c>
      <c r="AE38" s="28">
        <f>IF(AE37=0,0,AE37*MAX(0,(INDEX(c_CAMy,1,AE$7)-INDEX(c_CAMy,1,INDEX('Lease Cycles'!$GC$9:$GI$9,1,AE27)+1))*(1+'Lease Cycles'!$AK$9)+(INDEX(c_TAXy,1,AE$7)-INDEX(c_TAXy,1,INDEX('Lease Cycles'!$GC$9:$GI$9,1,AE27)+1))+(INDEX(c_INSy,1,AE$7)-INDEX(c_INSy,1,INDEX('Lease Cycles'!$GC$9:$GI$9,1,AE27)+1)))/12)</f>
        <v>0</v>
      </c>
      <c r="AF38" s="28">
        <f>IF(AF37=0,0,AF37*MAX(0,(INDEX(c_CAMy,1,AF$7)-INDEX(c_CAMy,1,INDEX('Lease Cycles'!$GC$9:$GI$9,1,AF27)+1))*(1+'Lease Cycles'!$AK$9)+(INDEX(c_TAXy,1,AF$7)-INDEX(c_TAXy,1,INDEX('Lease Cycles'!$GC$9:$GI$9,1,AF27)+1))+(INDEX(c_INSy,1,AF$7)-INDEX(c_INSy,1,INDEX('Lease Cycles'!$GC$9:$GI$9,1,AF27)+1)))/12)</f>
        <v>0</v>
      </c>
      <c r="AG38" s="28">
        <f>IF(AG37=0,0,AG37*MAX(0,(INDEX(c_CAMy,1,AG$7)-INDEX(c_CAMy,1,INDEX('Lease Cycles'!$GC$9:$GI$9,1,AG27)+1))*(1+'Lease Cycles'!$AK$9)+(INDEX(c_TAXy,1,AG$7)-INDEX(c_TAXy,1,INDEX('Lease Cycles'!$GC$9:$GI$9,1,AG27)+1))+(INDEX(c_INSy,1,AG$7)-INDEX(c_INSy,1,INDEX('Lease Cycles'!$GC$9:$GI$9,1,AG27)+1)))/12)</f>
        <v>0</v>
      </c>
      <c r="AH38" s="28">
        <f>IF(AH37=0,0,AH37*MAX(0,(INDEX(c_CAMy,1,AH$7)-INDEX(c_CAMy,1,INDEX('Lease Cycles'!$GC$9:$GI$9,1,AH27)+1))*(1+'Lease Cycles'!$AK$9)+(INDEX(c_TAXy,1,AH$7)-INDEX(c_TAXy,1,INDEX('Lease Cycles'!$GC$9:$GI$9,1,AH27)+1))+(INDEX(c_INSy,1,AH$7)-INDEX(c_INSy,1,INDEX('Lease Cycles'!$GC$9:$GI$9,1,AH27)+1)))/12)</f>
        <v>0</v>
      </c>
      <c r="AI38" s="28">
        <f>IF(AI37=0,0,AI37*MAX(0,(INDEX(c_CAMy,1,AI$7)-INDEX(c_CAMy,1,INDEX('Lease Cycles'!$GC$9:$GI$9,1,AI27)+1))*(1+'Lease Cycles'!$AK$9)+(INDEX(c_TAXy,1,AI$7)-INDEX(c_TAXy,1,INDEX('Lease Cycles'!$GC$9:$GI$9,1,AI27)+1))+(INDEX(c_INSy,1,AI$7)-INDEX(c_INSy,1,INDEX('Lease Cycles'!$GC$9:$GI$9,1,AI27)+1)))/12)</f>
        <v>0</v>
      </c>
      <c r="AJ38" s="28">
        <f>IF(AJ37=0,0,AJ37*MAX(0,(INDEX(c_CAMy,1,AJ$7)-INDEX(c_CAMy,1,INDEX('Lease Cycles'!$GC$9:$GI$9,1,AJ27)+1))*(1+'Lease Cycles'!$AK$9)+(INDEX(c_TAXy,1,AJ$7)-INDEX(c_TAXy,1,INDEX('Lease Cycles'!$GC$9:$GI$9,1,AJ27)+1))+(INDEX(c_INSy,1,AJ$7)-INDEX(c_INSy,1,INDEX('Lease Cycles'!$GC$9:$GI$9,1,AJ27)+1)))/12)</f>
        <v>0</v>
      </c>
      <c r="AK38" s="28">
        <f>IF(AK37=0,0,AK37*MAX(0,(INDEX(c_CAMy,1,AK$7)-INDEX(c_CAMy,1,INDEX('Lease Cycles'!$GC$9:$GI$9,1,AK27)+1))*(1+'Lease Cycles'!$AK$9)+(INDEX(c_TAXy,1,AK$7)-INDEX(c_TAXy,1,INDEX('Lease Cycles'!$GC$9:$GI$9,1,AK27)+1))+(INDEX(c_INSy,1,AK$7)-INDEX(c_INSy,1,INDEX('Lease Cycles'!$GC$9:$GI$9,1,AK27)+1)))/12)</f>
        <v>0</v>
      </c>
      <c r="AL38" s="28">
        <f>IF(AL37=0,0,AL37*MAX(0,(INDEX(c_CAMy,1,AL$7)-INDEX(c_CAMy,1,INDEX('Lease Cycles'!$GC$9:$GI$9,1,AL27)+1))*(1+'Lease Cycles'!$AK$9)+(INDEX(c_TAXy,1,AL$7)-INDEX(c_TAXy,1,INDEX('Lease Cycles'!$GC$9:$GI$9,1,AL27)+1))+(INDEX(c_INSy,1,AL$7)-INDEX(c_INSy,1,INDEX('Lease Cycles'!$GC$9:$GI$9,1,AL27)+1)))/12)</f>
        <v>0</v>
      </c>
      <c r="AM38" s="28">
        <f>IF(AM37=0,0,AM37*MAX(0,(INDEX(c_CAMy,1,AM$7)-INDEX(c_CAMy,1,INDEX('Lease Cycles'!$GC$9:$GI$9,1,AM27)+1))*(1+'Lease Cycles'!$AK$9)+(INDEX(c_TAXy,1,AM$7)-INDEX(c_TAXy,1,INDEX('Lease Cycles'!$GC$9:$GI$9,1,AM27)+1))+(INDEX(c_INSy,1,AM$7)-INDEX(c_INSy,1,INDEX('Lease Cycles'!$GC$9:$GI$9,1,AM27)+1)))/12)</f>
        <v>0</v>
      </c>
      <c r="AN38" s="28">
        <f>IF(AN37=0,0,AN37*MAX(0,(INDEX(c_CAMy,1,AN$7)-INDEX(c_CAMy,1,INDEX('Lease Cycles'!$GC$9:$GI$9,1,AN27)+1))*(1+'Lease Cycles'!$AK$9)+(INDEX(c_TAXy,1,AN$7)-INDEX(c_TAXy,1,INDEX('Lease Cycles'!$GC$9:$GI$9,1,AN27)+1))+(INDEX(c_INSy,1,AN$7)-INDEX(c_INSy,1,INDEX('Lease Cycles'!$GC$9:$GI$9,1,AN27)+1)))/12)</f>
        <v>0</v>
      </c>
      <c r="AO38" s="28">
        <f>IF(AO37=0,0,AO37*MAX(0,(INDEX(c_CAMy,1,AO$7)-INDEX(c_CAMy,1,INDEX('Lease Cycles'!$GC$9:$GI$9,1,AO27)+1))*(1+'Lease Cycles'!$AK$9)+(INDEX(c_TAXy,1,AO$7)-INDEX(c_TAXy,1,INDEX('Lease Cycles'!$GC$9:$GI$9,1,AO27)+1))+(INDEX(c_INSy,1,AO$7)-INDEX(c_INSy,1,INDEX('Lease Cycles'!$GC$9:$GI$9,1,AO27)+1)))/12)</f>
        <v>0</v>
      </c>
      <c r="AP38" s="28">
        <f>IF(AP37=0,0,AP37*MAX(0,(INDEX(c_CAMy,1,AP$7)-INDEX(c_CAMy,1,INDEX('Lease Cycles'!$GC$9:$GI$9,1,AP27)+1))*(1+'Lease Cycles'!$AK$9)+(INDEX(c_TAXy,1,AP$7)-INDEX(c_TAXy,1,INDEX('Lease Cycles'!$GC$9:$GI$9,1,AP27)+1))+(INDEX(c_INSy,1,AP$7)-INDEX(c_INSy,1,INDEX('Lease Cycles'!$GC$9:$GI$9,1,AP27)+1)))/12)</f>
        <v>0</v>
      </c>
      <c r="AQ38" s="28">
        <f>IF(AQ37=0,0,AQ37*MAX(0,(INDEX(c_CAMy,1,AQ$7)-INDEX(c_CAMy,1,INDEX('Lease Cycles'!$GC$9:$GI$9,1,AQ27)+1))*(1+'Lease Cycles'!$AK$9)+(INDEX(c_TAXy,1,AQ$7)-INDEX(c_TAXy,1,INDEX('Lease Cycles'!$GC$9:$GI$9,1,AQ27)+1))+(INDEX(c_INSy,1,AQ$7)-INDEX(c_INSy,1,INDEX('Lease Cycles'!$GC$9:$GI$9,1,AQ27)+1)))/12)</f>
        <v>0</v>
      </c>
      <c r="AR38" s="28">
        <f>IF(AR37=0,0,AR37*MAX(0,(INDEX(c_CAMy,1,AR$7)-INDEX(c_CAMy,1,INDEX('Lease Cycles'!$GC$9:$GI$9,1,AR27)+1))*(1+'Lease Cycles'!$AK$9)+(INDEX(c_TAXy,1,AR$7)-INDEX(c_TAXy,1,INDEX('Lease Cycles'!$GC$9:$GI$9,1,AR27)+1))+(INDEX(c_INSy,1,AR$7)-INDEX(c_INSy,1,INDEX('Lease Cycles'!$GC$9:$GI$9,1,AR27)+1)))/12)</f>
        <v>0</v>
      </c>
      <c r="AS38" s="28">
        <f>IF(AS37=0,0,AS37*MAX(0,(INDEX(c_CAMy,1,AS$7)-INDEX(c_CAMy,1,INDEX('Lease Cycles'!$GC$9:$GI$9,1,AS27)+1))*(1+'Lease Cycles'!$AK$9)+(INDEX(c_TAXy,1,AS$7)-INDEX(c_TAXy,1,INDEX('Lease Cycles'!$GC$9:$GI$9,1,AS27)+1))+(INDEX(c_INSy,1,AS$7)-INDEX(c_INSy,1,INDEX('Lease Cycles'!$GC$9:$GI$9,1,AS27)+1)))/12)</f>
        <v>0</v>
      </c>
      <c r="AT38" s="28">
        <f>IF(AT37=0,0,AT37*MAX(0,(INDEX(c_CAMy,1,AT$7)-INDEX(c_CAMy,1,INDEX('Lease Cycles'!$GC$9:$GI$9,1,AT27)+1))*(1+'Lease Cycles'!$AK$9)+(INDEX(c_TAXy,1,AT$7)-INDEX(c_TAXy,1,INDEX('Lease Cycles'!$GC$9:$GI$9,1,AT27)+1))+(INDEX(c_INSy,1,AT$7)-INDEX(c_INSy,1,INDEX('Lease Cycles'!$GC$9:$GI$9,1,AT27)+1)))/12)</f>
        <v>0</v>
      </c>
      <c r="AU38" s="28">
        <f>IF(AU37=0,0,AU37*MAX(0,(INDEX(c_CAMy,1,AU$7)-INDEX(c_CAMy,1,INDEX('Lease Cycles'!$GC$9:$GI$9,1,AU27)+1))*(1+'Lease Cycles'!$AK$9)+(INDEX(c_TAXy,1,AU$7)-INDEX(c_TAXy,1,INDEX('Lease Cycles'!$GC$9:$GI$9,1,AU27)+1))+(INDEX(c_INSy,1,AU$7)-INDEX(c_INSy,1,INDEX('Lease Cycles'!$GC$9:$GI$9,1,AU27)+1)))/12)</f>
        <v>0</v>
      </c>
      <c r="AV38" s="28">
        <f>IF(AV37=0,0,AV37*MAX(0,(INDEX(c_CAMy,1,AV$7)-INDEX(c_CAMy,1,INDEX('Lease Cycles'!$GC$9:$GI$9,1,AV27)+1))*(1+'Lease Cycles'!$AK$9)+(INDEX(c_TAXy,1,AV$7)-INDEX(c_TAXy,1,INDEX('Lease Cycles'!$GC$9:$GI$9,1,AV27)+1))+(INDEX(c_INSy,1,AV$7)-INDEX(c_INSy,1,INDEX('Lease Cycles'!$GC$9:$GI$9,1,AV27)+1)))/12)</f>
        <v>0</v>
      </c>
      <c r="AW38" s="28">
        <f>IF(AW37=0,0,AW37*MAX(0,(INDEX(c_CAMy,1,AW$7)-INDEX(c_CAMy,1,INDEX('Lease Cycles'!$GC$9:$GI$9,1,AW27)+1))*(1+'Lease Cycles'!$AK$9)+(INDEX(c_TAXy,1,AW$7)-INDEX(c_TAXy,1,INDEX('Lease Cycles'!$GC$9:$GI$9,1,AW27)+1))+(INDEX(c_INSy,1,AW$7)-INDEX(c_INSy,1,INDEX('Lease Cycles'!$GC$9:$GI$9,1,AW27)+1)))/12)</f>
        <v>0</v>
      </c>
      <c r="AX38" s="28">
        <f>IF(AX37=0,0,AX37*MAX(0,(INDEX(c_CAMy,1,AX$7)-INDEX(c_CAMy,1,INDEX('Lease Cycles'!$GC$9:$GI$9,1,AX27)+1))*(1+'Lease Cycles'!$AK$9)+(INDEX(c_TAXy,1,AX$7)-INDEX(c_TAXy,1,INDEX('Lease Cycles'!$GC$9:$GI$9,1,AX27)+1))+(INDEX(c_INSy,1,AX$7)-INDEX(c_INSy,1,INDEX('Lease Cycles'!$GC$9:$GI$9,1,AX27)+1)))/12)</f>
        <v>0</v>
      </c>
      <c r="AY38" s="28">
        <f>IF(AY37=0,0,AY37*MAX(0,(INDEX(c_CAMy,1,AY$7)-INDEX(c_CAMy,1,INDEX('Lease Cycles'!$GC$9:$GI$9,1,AY27)+1))*(1+'Lease Cycles'!$AK$9)+(INDEX(c_TAXy,1,AY$7)-INDEX(c_TAXy,1,INDEX('Lease Cycles'!$GC$9:$GI$9,1,AY27)+1))+(INDEX(c_INSy,1,AY$7)-INDEX(c_INSy,1,INDEX('Lease Cycles'!$GC$9:$GI$9,1,AY27)+1)))/12)</f>
        <v>0</v>
      </c>
      <c r="AZ38" s="28">
        <f>IF(AZ37=0,0,AZ37*MAX(0,(INDEX(c_CAMy,1,AZ$7)-INDEX(c_CAMy,1,INDEX('Lease Cycles'!$GC$9:$GI$9,1,AZ27)+1))*(1+'Lease Cycles'!$AK$9)+(INDEX(c_TAXy,1,AZ$7)-INDEX(c_TAXy,1,INDEX('Lease Cycles'!$GC$9:$GI$9,1,AZ27)+1))+(INDEX(c_INSy,1,AZ$7)-INDEX(c_INSy,1,INDEX('Lease Cycles'!$GC$9:$GI$9,1,AZ27)+1)))/12)</f>
        <v>0</v>
      </c>
      <c r="BA38" s="28">
        <f>IF(BA37=0,0,BA37*MAX(0,(INDEX(c_CAMy,1,BA$7)-INDEX(c_CAMy,1,INDEX('Lease Cycles'!$GC$9:$GI$9,1,BA27)+1))*(1+'Lease Cycles'!$AK$9)+(INDEX(c_TAXy,1,BA$7)-INDEX(c_TAXy,1,INDEX('Lease Cycles'!$GC$9:$GI$9,1,BA27)+1))+(INDEX(c_INSy,1,BA$7)-INDEX(c_INSy,1,INDEX('Lease Cycles'!$GC$9:$GI$9,1,BA27)+1)))/12)</f>
        <v>0</v>
      </c>
      <c r="BB38" s="28">
        <f>IF(BB37=0,0,BB37*MAX(0,(INDEX(c_CAMy,1,BB$7)-INDEX(c_CAMy,1,INDEX('Lease Cycles'!$GC$9:$GI$9,1,BB27)+1))*(1+'Lease Cycles'!$AK$9)+(INDEX(c_TAXy,1,BB$7)-INDEX(c_TAXy,1,INDEX('Lease Cycles'!$GC$9:$GI$9,1,BB27)+1))+(INDEX(c_INSy,1,BB$7)-INDEX(c_INSy,1,INDEX('Lease Cycles'!$GC$9:$GI$9,1,BB27)+1)))/12)</f>
        <v>0</v>
      </c>
      <c r="BC38" s="28">
        <f>IF(BC37=0,0,BC37*MAX(0,(INDEX(c_CAMy,1,BC$7)-INDEX(c_CAMy,1,INDEX('Lease Cycles'!$GC$9:$GI$9,1,BC27)+1))*(1+'Lease Cycles'!$AK$9)+(INDEX(c_TAXy,1,BC$7)-INDEX(c_TAXy,1,INDEX('Lease Cycles'!$GC$9:$GI$9,1,BC27)+1))+(INDEX(c_INSy,1,BC$7)-INDEX(c_INSy,1,INDEX('Lease Cycles'!$GC$9:$GI$9,1,BC27)+1)))/12)</f>
        <v>0</v>
      </c>
      <c r="BD38" s="28">
        <f>IF(BD37=0,0,BD37*MAX(0,(INDEX(c_CAMy,1,BD$7)-INDEX(c_CAMy,1,INDEX('Lease Cycles'!$GC$9:$GI$9,1,BD27)+1))*(1+'Lease Cycles'!$AK$9)+(INDEX(c_TAXy,1,BD$7)-INDEX(c_TAXy,1,INDEX('Lease Cycles'!$GC$9:$GI$9,1,BD27)+1))+(INDEX(c_INSy,1,BD$7)-INDEX(c_INSy,1,INDEX('Lease Cycles'!$GC$9:$GI$9,1,BD27)+1)))/12)</f>
        <v>0</v>
      </c>
      <c r="BE38" s="28">
        <f>IF(BE37=0,0,BE37*MAX(0,(INDEX(c_CAMy,1,BE$7)-INDEX(c_CAMy,1,INDEX('Lease Cycles'!$GC$9:$GI$9,1,BE27)+1))*(1+'Lease Cycles'!$AK$9)+(INDEX(c_TAXy,1,BE$7)-INDEX(c_TAXy,1,INDEX('Lease Cycles'!$GC$9:$GI$9,1,BE27)+1))+(INDEX(c_INSy,1,BE$7)-INDEX(c_INSy,1,INDEX('Lease Cycles'!$GC$9:$GI$9,1,BE27)+1)))/12)</f>
        <v>0</v>
      </c>
      <c r="BF38" s="28">
        <f>IF(BF37=0,0,BF37*MAX(0,(INDEX(c_CAMy,1,BF$7)-INDEX(c_CAMy,1,INDEX('Lease Cycles'!$GC$9:$GI$9,1,BF27)+1))*(1+'Lease Cycles'!$AK$9)+(INDEX(c_TAXy,1,BF$7)-INDEX(c_TAXy,1,INDEX('Lease Cycles'!$GC$9:$GI$9,1,BF27)+1))+(INDEX(c_INSy,1,BF$7)-INDEX(c_INSy,1,INDEX('Lease Cycles'!$GC$9:$GI$9,1,BF27)+1)))/12)</f>
        <v>0</v>
      </c>
      <c r="BG38" s="28">
        <f>IF(BG37=0,0,BG37*MAX(0,(INDEX(c_CAMy,1,BG$7)-INDEX(c_CAMy,1,INDEX('Lease Cycles'!$GC$9:$GI$9,1,BG27)+1))*(1+'Lease Cycles'!$AK$9)+(INDEX(c_TAXy,1,BG$7)-INDEX(c_TAXy,1,INDEX('Lease Cycles'!$GC$9:$GI$9,1,BG27)+1))+(INDEX(c_INSy,1,BG$7)-INDEX(c_INSy,1,INDEX('Lease Cycles'!$GC$9:$GI$9,1,BG27)+1)))/12)</f>
        <v>0</v>
      </c>
      <c r="BH38" s="28">
        <f>IF(BH37=0,0,BH37*MAX(0,(INDEX(c_CAMy,1,BH$7)-INDEX(c_CAMy,1,INDEX('Lease Cycles'!$GC$9:$GI$9,1,BH27)+1))*(1+'Lease Cycles'!$AK$9)+(INDEX(c_TAXy,1,BH$7)-INDEX(c_TAXy,1,INDEX('Lease Cycles'!$GC$9:$GI$9,1,BH27)+1))+(INDEX(c_INSy,1,BH$7)-INDEX(c_INSy,1,INDEX('Lease Cycles'!$GC$9:$GI$9,1,BH27)+1)))/12)</f>
        <v>0</v>
      </c>
      <c r="BI38" s="28">
        <f>IF(BI37=0,0,BI37*MAX(0,(INDEX(c_CAMy,1,BI$7)-INDEX(c_CAMy,1,INDEX('Lease Cycles'!$GC$9:$GI$9,1,BI27)+1))*(1+'Lease Cycles'!$AK$9)+(INDEX(c_TAXy,1,BI$7)-INDEX(c_TAXy,1,INDEX('Lease Cycles'!$GC$9:$GI$9,1,BI27)+1))+(INDEX(c_INSy,1,BI$7)-INDEX(c_INSy,1,INDEX('Lease Cycles'!$GC$9:$GI$9,1,BI27)+1)))/12)</f>
        <v>0</v>
      </c>
      <c r="BJ38" s="28">
        <f>IF(BJ37=0,0,BJ37*MAX(0,(INDEX(c_CAMy,1,BJ$7)-INDEX(c_CAMy,1,INDEX('Lease Cycles'!$GC$9:$GI$9,1,BJ27)+1))*(1+'Lease Cycles'!$AK$9)+(INDEX(c_TAXy,1,BJ$7)-INDEX(c_TAXy,1,INDEX('Lease Cycles'!$GC$9:$GI$9,1,BJ27)+1))+(INDEX(c_INSy,1,BJ$7)-INDEX(c_INSy,1,INDEX('Lease Cycles'!$GC$9:$GI$9,1,BJ27)+1)))/12)</f>
        <v>0</v>
      </c>
      <c r="BK38" s="28">
        <f>IF(BK37=0,0,BK37*MAX(0,(INDEX(c_CAMy,1,BK$7)-INDEX(c_CAMy,1,INDEX('Lease Cycles'!$GC$9:$GI$9,1,BK27)+1))*(1+'Lease Cycles'!$AK$9)+(INDEX(c_TAXy,1,BK$7)-INDEX(c_TAXy,1,INDEX('Lease Cycles'!$GC$9:$GI$9,1,BK27)+1))+(INDEX(c_INSy,1,BK$7)-INDEX(c_INSy,1,INDEX('Lease Cycles'!$GC$9:$GI$9,1,BK27)+1)))/12)</f>
        <v>0</v>
      </c>
      <c r="BL38" s="28">
        <f>IF(BL37=0,0,BL37*MAX(0,(INDEX(c_CAMy,1,BL$7)-INDEX(c_CAMy,1,INDEX('Lease Cycles'!$GC$9:$GI$9,1,BL27)+1))*(1+'Lease Cycles'!$AK$9)+(INDEX(c_TAXy,1,BL$7)-INDEX(c_TAXy,1,INDEX('Lease Cycles'!$GC$9:$GI$9,1,BL27)+1))+(INDEX(c_INSy,1,BL$7)-INDEX(c_INSy,1,INDEX('Lease Cycles'!$GC$9:$GI$9,1,BL27)+1)))/12)</f>
        <v>0</v>
      </c>
      <c r="BM38" s="28">
        <f>IF(BM37=0,0,BM37*MAX(0,(INDEX(c_CAMy,1,BM$7)-INDEX(c_CAMy,1,INDEX('Lease Cycles'!$GC$9:$GI$9,1,BM27)+1))*(1+'Lease Cycles'!$AK$9)+(INDEX(c_TAXy,1,BM$7)-INDEX(c_TAXy,1,INDEX('Lease Cycles'!$GC$9:$GI$9,1,BM27)+1))+(INDEX(c_INSy,1,BM$7)-INDEX(c_INSy,1,INDEX('Lease Cycles'!$GC$9:$GI$9,1,BM27)+1)))/12)</f>
        <v>0</v>
      </c>
      <c r="BN38" s="28">
        <f>IF(BN37=0,0,BN37*MAX(0,(INDEX(c_CAMy,1,BN$7)-INDEX(c_CAMy,1,INDEX('Lease Cycles'!$GC$9:$GI$9,1,BN27)+1))*(1+'Lease Cycles'!$AK$9)+(INDEX(c_TAXy,1,BN$7)-INDEX(c_TAXy,1,INDEX('Lease Cycles'!$GC$9:$GI$9,1,BN27)+1))+(INDEX(c_INSy,1,BN$7)-INDEX(c_INSy,1,INDEX('Lease Cycles'!$GC$9:$GI$9,1,BN27)+1)))/12)</f>
        <v>0</v>
      </c>
      <c r="BO38" s="28">
        <f>IF(BO37=0,0,BO37*MAX(0,(INDEX(c_CAMy,1,BO$7)-INDEX(c_CAMy,1,INDEX('Lease Cycles'!$GC$9:$GI$9,1,BO27)+1))*(1+'Lease Cycles'!$AK$9)+(INDEX(c_TAXy,1,BO$7)-INDEX(c_TAXy,1,INDEX('Lease Cycles'!$GC$9:$GI$9,1,BO27)+1))+(INDEX(c_INSy,1,BO$7)-INDEX(c_INSy,1,INDEX('Lease Cycles'!$GC$9:$GI$9,1,BO27)+1)))/12)</f>
        <v>0</v>
      </c>
      <c r="BP38" s="28">
        <f>IF(BP37=0,0,BP37*MAX(0,(INDEX(c_CAMy,1,BP$7)-INDEX(c_CAMy,1,INDEX('Lease Cycles'!$GC$9:$GI$9,1,BP27)+1))*(1+'Lease Cycles'!$AK$9)+(INDEX(c_TAXy,1,BP$7)-INDEX(c_TAXy,1,INDEX('Lease Cycles'!$GC$9:$GI$9,1,BP27)+1))+(INDEX(c_INSy,1,BP$7)-INDEX(c_INSy,1,INDEX('Lease Cycles'!$GC$9:$GI$9,1,BP27)+1)))/12)</f>
        <v>0</v>
      </c>
      <c r="BQ38" s="28">
        <f>IF(BQ37=0,0,BQ37*MAX(0,(INDEX(c_CAMy,1,BQ$7)-INDEX(c_CAMy,1,INDEX('Lease Cycles'!$GC$9:$GI$9,1,BQ27)+1))*(1+'Lease Cycles'!$AK$9)+(INDEX(c_TAXy,1,BQ$7)-INDEX(c_TAXy,1,INDEX('Lease Cycles'!$GC$9:$GI$9,1,BQ27)+1))+(INDEX(c_INSy,1,BQ$7)-INDEX(c_INSy,1,INDEX('Lease Cycles'!$GC$9:$GI$9,1,BQ27)+1)))/12)</f>
        <v>0</v>
      </c>
      <c r="BR38" s="28">
        <f>IF(BR37=0,0,BR37*MAX(0,(INDEX(c_CAMy,1,BR$7)-INDEX(c_CAMy,1,INDEX('Lease Cycles'!$GC$9:$GI$9,1,BR27)+1))*(1+'Lease Cycles'!$AK$9)+(INDEX(c_TAXy,1,BR$7)-INDEX(c_TAXy,1,INDEX('Lease Cycles'!$GC$9:$GI$9,1,BR27)+1))+(INDEX(c_INSy,1,BR$7)-INDEX(c_INSy,1,INDEX('Lease Cycles'!$GC$9:$GI$9,1,BR27)+1)))/12)</f>
        <v>0</v>
      </c>
      <c r="BS38" s="28">
        <f>IF(BS37=0,0,BS37*MAX(0,(INDEX(c_CAMy,1,BS$7)-INDEX(c_CAMy,1,INDEX('Lease Cycles'!$GC$9:$GI$9,1,BS27)+1))*(1+'Lease Cycles'!$AK$9)+(INDEX(c_TAXy,1,BS$7)-INDEX(c_TAXy,1,INDEX('Lease Cycles'!$GC$9:$GI$9,1,BS27)+1))+(INDEX(c_INSy,1,BS$7)-INDEX(c_INSy,1,INDEX('Lease Cycles'!$GC$9:$GI$9,1,BS27)+1)))/12)</f>
        <v>0</v>
      </c>
      <c r="BT38" s="28">
        <f>IF(BT37=0,0,BT37*MAX(0,(INDEX(c_CAMy,1,BT$7)-INDEX(c_CAMy,1,INDEX('Lease Cycles'!$GC$9:$GI$9,1,BT27)+1))*(1+'Lease Cycles'!$AK$9)+(INDEX(c_TAXy,1,BT$7)-INDEX(c_TAXy,1,INDEX('Lease Cycles'!$GC$9:$GI$9,1,BT27)+1))+(INDEX(c_INSy,1,BT$7)-INDEX(c_INSy,1,INDEX('Lease Cycles'!$GC$9:$GI$9,1,BT27)+1)))/12)</f>
        <v>0</v>
      </c>
      <c r="BU38" s="28">
        <f>IF(BU37=0,0,BU37*MAX(0,(INDEX(c_CAMy,1,BU$7)-INDEX(c_CAMy,1,INDEX('Lease Cycles'!$GC$9:$GI$9,1,BU27)+1))*(1+'Lease Cycles'!$AK$9)+(INDEX(c_TAXy,1,BU$7)-INDEX(c_TAXy,1,INDEX('Lease Cycles'!$GC$9:$GI$9,1,BU27)+1))+(INDEX(c_INSy,1,BU$7)-INDEX(c_INSy,1,INDEX('Lease Cycles'!$GC$9:$GI$9,1,BU27)+1)))/12)</f>
        <v>0</v>
      </c>
      <c r="BV38" s="28">
        <f>IF(BV37=0,0,BV37*MAX(0,(INDEX(c_CAMy,1,BV$7)-INDEX(c_CAMy,1,INDEX('Lease Cycles'!$GC$9:$GI$9,1,BV27)+1))*(1+'Lease Cycles'!$AK$9)+(INDEX(c_TAXy,1,BV$7)-INDEX(c_TAXy,1,INDEX('Lease Cycles'!$GC$9:$GI$9,1,BV27)+1))+(INDEX(c_INSy,1,BV$7)-INDEX(c_INSy,1,INDEX('Lease Cycles'!$GC$9:$GI$9,1,BV27)+1)))/12)</f>
        <v>0</v>
      </c>
      <c r="BW38" s="28">
        <f>IF(BW37=0,0,BW37*MAX(0,(INDEX(c_CAMy,1,BW$7)-INDEX(c_CAMy,1,INDEX('Lease Cycles'!$GC$9:$GI$9,1,BW27)+1))*(1+'Lease Cycles'!$AK$9)+(INDEX(c_TAXy,1,BW$7)-INDEX(c_TAXy,1,INDEX('Lease Cycles'!$GC$9:$GI$9,1,BW27)+1))+(INDEX(c_INSy,1,BW$7)-INDEX(c_INSy,1,INDEX('Lease Cycles'!$GC$9:$GI$9,1,BW27)+1)))/12)</f>
        <v>0</v>
      </c>
      <c r="BX38" s="28">
        <f>IF(BX37=0,0,BX37*MAX(0,(INDEX(c_CAMy,1,BX$7)-INDEX(c_CAMy,1,INDEX('Lease Cycles'!$GC$9:$GI$9,1,BX27)+1))*(1+'Lease Cycles'!$AK$9)+(INDEX(c_TAXy,1,BX$7)-INDEX(c_TAXy,1,INDEX('Lease Cycles'!$GC$9:$GI$9,1,BX27)+1))+(INDEX(c_INSy,1,BX$7)-INDEX(c_INSy,1,INDEX('Lease Cycles'!$GC$9:$GI$9,1,BX27)+1)))/12)</f>
        <v>0</v>
      </c>
      <c r="BY38" s="28">
        <f>IF(BY37=0,0,BY37*MAX(0,(INDEX(c_CAMy,1,BY$7)-INDEX(c_CAMy,1,INDEX('Lease Cycles'!$GC$9:$GI$9,1,BY27)+1))*(1+'Lease Cycles'!$AK$9)+(INDEX(c_TAXy,1,BY$7)-INDEX(c_TAXy,1,INDEX('Lease Cycles'!$GC$9:$GI$9,1,BY27)+1))+(INDEX(c_INSy,1,BY$7)-INDEX(c_INSy,1,INDEX('Lease Cycles'!$GC$9:$GI$9,1,BY27)+1)))/12)</f>
        <v>0</v>
      </c>
      <c r="BZ38" s="28">
        <f>IF(BZ37=0,0,BZ37*MAX(0,(INDEX(c_CAMy,1,BZ$7)-INDEX(c_CAMy,1,INDEX('Lease Cycles'!$GC$9:$GI$9,1,BZ27)+1))*(1+'Lease Cycles'!$AK$9)+(INDEX(c_TAXy,1,BZ$7)-INDEX(c_TAXy,1,INDEX('Lease Cycles'!$GC$9:$GI$9,1,BZ27)+1))+(INDEX(c_INSy,1,BZ$7)-INDEX(c_INSy,1,INDEX('Lease Cycles'!$GC$9:$GI$9,1,BZ27)+1)))/12)</f>
        <v>0</v>
      </c>
      <c r="CA38" s="28">
        <f>IF(CA37=0,0,CA37*MAX(0,(INDEX(c_CAMy,1,CA$7)-INDEX(c_CAMy,1,INDEX('Lease Cycles'!$GC$9:$GI$9,1,CA27)+1))*(1+'Lease Cycles'!$AK$9)+(INDEX(c_TAXy,1,CA$7)-INDEX(c_TAXy,1,INDEX('Lease Cycles'!$GC$9:$GI$9,1,CA27)+1))+(INDEX(c_INSy,1,CA$7)-INDEX(c_INSy,1,INDEX('Lease Cycles'!$GC$9:$GI$9,1,CA27)+1)))/12)</f>
        <v>0</v>
      </c>
      <c r="CB38" s="28">
        <f>IF(CB37=0,0,CB37*MAX(0,(INDEX(c_CAMy,1,CB$7)-INDEX(c_CAMy,1,INDEX('Lease Cycles'!$GC$9:$GI$9,1,CB27)+1))*(1+'Lease Cycles'!$AK$9)+(INDEX(c_TAXy,1,CB$7)-INDEX(c_TAXy,1,INDEX('Lease Cycles'!$GC$9:$GI$9,1,CB27)+1))+(INDEX(c_INSy,1,CB$7)-INDEX(c_INSy,1,INDEX('Lease Cycles'!$GC$9:$GI$9,1,CB27)+1)))/12)</f>
        <v>0</v>
      </c>
      <c r="CC38" s="28">
        <f>IF(CC37=0,0,CC37*MAX(0,(INDEX(c_CAMy,1,CC$7)-INDEX(c_CAMy,1,INDEX('Lease Cycles'!$GC$9:$GI$9,1,CC27)+1))*(1+'Lease Cycles'!$AK$9)+(INDEX(c_TAXy,1,CC$7)-INDEX(c_TAXy,1,INDEX('Lease Cycles'!$GC$9:$GI$9,1,CC27)+1))+(INDEX(c_INSy,1,CC$7)-INDEX(c_INSy,1,INDEX('Lease Cycles'!$GC$9:$GI$9,1,CC27)+1)))/12)</f>
        <v>0</v>
      </c>
      <c r="CD38" s="28">
        <f>IF(CD37=0,0,CD37*MAX(0,(INDEX(c_CAMy,1,CD$7)-INDEX(c_CAMy,1,INDEX('Lease Cycles'!$GC$9:$GI$9,1,CD27)+1))*(1+'Lease Cycles'!$AK$9)+(INDEX(c_TAXy,1,CD$7)-INDEX(c_TAXy,1,INDEX('Lease Cycles'!$GC$9:$GI$9,1,CD27)+1))+(INDEX(c_INSy,1,CD$7)-INDEX(c_INSy,1,INDEX('Lease Cycles'!$GC$9:$GI$9,1,CD27)+1)))/12)</f>
        <v>0</v>
      </c>
      <c r="CE38" s="28">
        <f>IF(CE37=0,0,CE37*MAX(0,(INDEX(c_CAMy,1,CE$7)-INDEX(c_CAMy,1,INDEX('Lease Cycles'!$GC$9:$GI$9,1,CE27)+1))*(1+'Lease Cycles'!$AK$9)+(INDEX(c_TAXy,1,CE$7)-INDEX(c_TAXy,1,INDEX('Lease Cycles'!$GC$9:$GI$9,1,CE27)+1))+(INDEX(c_INSy,1,CE$7)-INDEX(c_INSy,1,INDEX('Lease Cycles'!$GC$9:$GI$9,1,CE27)+1)))/12)</f>
        <v>0</v>
      </c>
      <c r="CF38" s="28">
        <f>IF(CF37=0,0,CF37*MAX(0,(INDEX(c_CAMy,1,CF$7)-INDEX(c_CAMy,1,INDEX('Lease Cycles'!$GC$9:$GI$9,1,CF27)+1))*(1+'Lease Cycles'!$AK$9)+(INDEX(c_TAXy,1,CF$7)-INDEX(c_TAXy,1,INDEX('Lease Cycles'!$GC$9:$GI$9,1,CF27)+1))+(INDEX(c_INSy,1,CF$7)-INDEX(c_INSy,1,INDEX('Lease Cycles'!$GC$9:$GI$9,1,CF27)+1)))/12)</f>
        <v>0</v>
      </c>
      <c r="CG38" s="28">
        <f>IF(CG37=0,0,CG37*MAX(0,(INDEX(c_CAMy,1,CG$7)-INDEX(c_CAMy,1,INDEX('Lease Cycles'!$GC$9:$GI$9,1,CG27)+1))*(1+'Lease Cycles'!$AK$9)+(INDEX(c_TAXy,1,CG$7)-INDEX(c_TAXy,1,INDEX('Lease Cycles'!$GC$9:$GI$9,1,CG27)+1))+(INDEX(c_INSy,1,CG$7)-INDEX(c_INSy,1,INDEX('Lease Cycles'!$GC$9:$GI$9,1,CG27)+1)))/12)</f>
        <v>0</v>
      </c>
      <c r="CH38" s="28">
        <f>IF(CH37=0,0,CH37*MAX(0,(INDEX(c_CAMy,1,CH$7)-INDEX(c_CAMy,1,INDEX('Lease Cycles'!$GC$9:$GI$9,1,CH27)+1))*(1+'Lease Cycles'!$AK$9)+(INDEX(c_TAXy,1,CH$7)-INDEX(c_TAXy,1,INDEX('Lease Cycles'!$GC$9:$GI$9,1,CH27)+1))+(INDEX(c_INSy,1,CH$7)-INDEX(c_INSy,1,INDEX('Lease Cycles'!$GC$9:$GI$9,1,CH27)+1)))/12)</f>
        <v>0</v>
      </c>
      <c r="CI38" s="28">
        <f>IF(CI37=0,0,CI37*MAX(0,(INDEX(c_CAMy,1,CI$7)-INDEX(c_CAMy,1,INDEX('Lease Cycles'!$GC$9:$GI$9,1,CI27)+1))*(1+'Lease Cycles'!$AK$9)+(INDEX(c_TAXy,1,CI$7)-INDEX(c_TAXy,1,INDEX('Lease Cycles'!$GC$9:$GI$9,1,CI27)+1))+(INDEX(c_INSy,1,CI$7)-INDEX(c_INSy,1,INDEX('Lease Cycles'!$GC$9:$GI$9,1,CI27)+1)))/12)</f>
        <v>0</v>
      </c>
      <c r="CJ38" s="28">
        <f>IF(CJ37=0,0,CJ37*MAX(0,(INDEX(c_CAMy,1,CJ$7)-INDEX(c_CAMy,1,INDEX('Lease Cycles'!$GC$9:$GI$9,1,CJ27)+1))*(1+'Lease Cycles'!$AK$9)+(INDEX(c_TAXy,1,CJ$7)-INDEX(c_TAXy,1,INDEX('Lease Cycles'!$GC$9:$GI$9,1,CJ27)+1))+(INDEX(c_INSy,1,CJ$7)-INDEX(c_INSy,1,INDEX('Lease Cycles'!$GC$9:$GI$9,1,CJ27)+1)))/12)</f>
        <v>0</v>
      </c>
      <c r="CK38" s="28">
        <f>IF(CK37=0,0,CK37*MAX(0,(INDEX(c_CAMy,1,CK$7)-INDEX(c_CAMy,1,INDEX('Lease Cycles'!$GC$9:$GI$9,1,CK27)+1))*(1+'Lease Cycles'!$AK$9)+(INDEX(c_TAXy,1,CK$7)-INDEX(c_TAXy,1,INDEX('Lease Cycles'!$GC$9:$GI$9,1,CK27)+1))+(INDEX(c_INSy,1,CK$7)-INDEX(c_INSy,1,INDEX('Lease Cycles'!$GC$9:$GI$9,1,CK27)+1)))/12)</f>
        <v>0</v>
      </c>
      <c r="CL38" s="28">
        <f>IF(CL37=0,0,CL37*MAX(0,(INDEX(c_CAMy,1,CL$7)-INDEX(c_CAMy,1,INDEX('Lease Cycles'!$GC$9:$GI$9,1,CL27)+1))*(1+'Lease Cycles'!$AK$9)+(INDEX(c_TAXy,1,CL$7)-INDEX(c_TAXy,1,INDEX('Lease Cycles'!$GC$9:$GI$9,1,CL27)+1))+(INDEX(c_INSy,1,CL$7)-INDEX(c_INSy,1,INDEX('Lease Cycles'!$GC$9:$GI$9,1,CL27)+1)))/12)</f>
        <v>0</v>
      </c>
      <c r="CM38" s="28">
        <f>IF(CM37=0,0,CM37*MAX(0,(INDEX(c_CAMy,1,CM$7)-INDEX(c_CAMy,1,INDEX('Lease Cycles'!$GC$9:$GI$9,1,CM27)+1))*(1+'Lease Cycles'!$AK$9)+(INDEX(c_TAXy,1,CM$7)-INDEX(c_TAXy,1,INDEX('Lease Cycles'!$GC$9:$GI$9,1,CM27)+1))+(INDEX(c_INSy,1,CM$7)-INDEX(c_INSy,1,INDEX('Lease Cycles'!$GC$9:$GI$9,1,CM27)+1)))/12)</f>
        <v>0</v>
      </c>
      <c r="CN38" s="28">
        <f>IF(CN37=0,0,CN37*MAX(0,(INDEX(c_CAMy,1,CN$7)-INDEX(c_CAMy,1,INDEX('Lease Cycles'!$GC$9:$GI$9,1,CN27)+1))*(1+'Lease Cycles'!$AK$9)+(INDEX(c_TAXy,1,CN$7)-INDEX(c_TAXy,1,INDEX('Lease Cycles'!$GC$9:$GI$9,1,CN27)+1))+(INDEX(c_INSy,1,CN$7)-INDEX(c_INSy,1,INDEX('Lease Cycles'!$GC$9:$GI$9,1,CN27)+1)))/12)</f>
        <v>0</v>
      </c>
      <c r="CO38" s="28">
        <f>IF(CO37=0,0,CO37*MAX(0,(INDEX(c_CAMy,1,CO$7)-INDEX(c_CAMy,1,INDEX('Lease Cycles'!$GC$9:$GI$9,1,CO27)+1))*(1+'Lease Cycles'!$AK$9)+(INDEX(c_TAXy,1,CO$7)-INDEX(c_TAXy,1,INDEX('Lease Cycles'!$GC$9:$GI$9,1,CO27)+1))+(INDEX(c_INSy,1,CO$7)-INDEX(c_INSy,1,INDEX('Lease Cycles'!$GC$9:$GI$9,1,CO27)+1)))/12)</f>
        <v>0</v>
      </c>
      <c r="CP38" s="28">
        <f>IF(CP37=0,0,CP37*MAX(0,(INDEX(c_CAMy,1,CP$7)-INDEX(c_CAMy,1,INDEX('Lease Cycles'!$GC$9:$GI$9,1,CP27)+1))*(1+'Lease Cycles'!$AK$9)+(INDEX(c_TAXy,1,CP$7)-INDEX(c_TAXy,1,INDEX('Lease Cycles'!$GC$9:$GI$9,1,CP27)+1))+(INDEX(c_INSy,1,CP$7)-INDEX(c_INSy,1,INDEX('Lease Cycles'!$GC$9:$GI$9,1,CP27)+1)))/12)</f>
        <v>0</v>
      </c>
      <c r="CQ38" s="28">
        <f>IF(CQ37=0,0,CQ37*MAX(0,(INDEX(c_CAMy,1,CQ$7)-INDEX(c_CAMy,1,INDEX('Lease Cycles'!$GC$9:$GI$9,1,CQ27)+1))*(1+'Lease Cycles'!$AK$9)+(INDEX(c_TAXy,1,CQ$7)-INDEX(c_TAXy,1,INDEX('Lease Cycles'!$GC$9:$GI$9,1,CQ27)+1))+(INDEX(c_INSy,1,CQ$7)-INDEX(c_INSy,1,INDEX('Lease Cycles'!$GC$9:$GI$9,1,CQ27)+1)))/12)</f>
        <v>0</v>
      </c>
      <c r="CR38" s="28">
        <f>IF(CR37=0,0,CR37*MAX(0,(INDEX(c_CAMy,1,CR$7)-INDEX(c_CAMy,1,INDEX('Lease Cycles'!$GC$9:$GI$9,1,CR27)+1))*(1+'Lease Cycles'!$AK$9)+(INDEX(c_TAXy,1,CR$7)-INDEX(c_TAXy,1,INDEX('Lease Cycles'!$GC$9:$GI$9,1,CR27)+1))+(INDEX(c_INSy,1,CR$7)-INDEX(c_INSy,1,INDEX('Lease Cycles'!$GC$9:$GI$9,1,CR27)+1)))/12)</f>
        <v>0</v>
      </c>
      <c r="CS38" s="28">
        <f>IF(CS37=0,0,CS37*MAX(0,(INDEX(c_CAMy,1,CS$7)-INDEX(c_CAMy,1,INDEX('Lease Cycles'!$GC$9:$GI$9,1,CS27)+1))*(1+'Lease Cycles'!$AK$9)+(INDEX(c_TAXy,1,CS$7)-INDEX(c_TAXy,1,INDEX('Lease Cycles'!$GC$9:$GI$9,1,CS27)+1))+(INDEX(c_INSy,1,CS$7)-INDEX(c_INSy,1,INDEX('Lease Cycles'!$GC$9:$GI$9,1,CS27)+1)))/12)</f>
        <v>0</v>
      </c>
      <c r="CT38" s="28">
        <f>IF(CT37=0,0,CT37*MAX(0,(INDEX(c_CAMy,1,CT$7)-INDEX(c_CAMy,1,INDEX('Lease Cycles'!$GC$9:$GI$9,1,CT27)+1))*(1+'Lease Cycles'!$AK$9)+(INDEX(c_TAXy,1,CT$7)-INDEX(c_TAXy,1,INDEX('Lease Cycles'!$GC$9:$GI$9,1,CT27)+1))+(INDEX(c_INSy,1,CT$7)-INDEX(c_INSy,1,INDEX('Lease Cycles'!$GC$9:$GI$9,1,CT27)+1)))/12)</f>
        <v>0</v>
      </c>
      <c r="CU38" s="28">
        <f>IF(CU37=0,0,CU37*MAX(0,(INDEX(c_CAMy,1,CU$7)-INDEX(c_CAMy,1,INDEX('Lease Cycles'!$GC$9:$GI$9,1,CU27)+1))*(1+'Lease Cycles'!$AK$9)+(INDEX(c_TAXy,1,CU$7)-INDEX(c_TAXy,1,INDEX('Lease Cycles'!$GC$9:$GI$9,1,CU27)+1))+(INDEX(c_INSy,1,CU$7)-INDEX(c_INSy,1,INDEX('Lease Cycles'!$GC$9:$GI$9,1,CU27)+1)))/12)</f>
        <v>0</v>
      </c>
      <c r="CV38" s="28">
        <f>IF(CV37=0,0,CV37*MAX(0,(INDEX(c_CAMy,1,CV$7)-INDEX(c_CAMy,1,INDEX('Lease Cycles'!$GC$9:$GI$9,1,CV27)+1))*(1+'Lease Cycles'!$AK$9)+(INDEX(c_TAXy,1,CV$7)-INDEX(c_TAXy,1,INDEX('Lease Cycles'!$GC$9:$GI$9,1,CV27)+1))+(INDEX(c_INSy,1,CV$7)-INDEX(c_INSy,1,INDEX('Lease Cycles'!$GC$9:$GI$9,1,CV27)+1)))/12)</f>
        <v>0</v>
      </c>
      <c r="CW38" s="28">
        <f>IF(CW37=0,0,CW37*MAX(0,(INDEX(c_CAMy,1,CW$7)-INDEX(c_CAMy,1,INDEX('Lease Cycles'!$GC$9:$GI$9,1,CW27)+1))*(1+'Lease Cycles'!$AK$9)+(INDEX(c_TAXy,1,CW$7)-INDEX(c_TAXy,1,INDEX('Lease Cycles'!$GC$9:$GI$9,1,CW27)+1))+(INDEX(c_INSy,1,CW$7)-INDEX(c_INSy,1,INDEX('Lease Cycles'!$GC$9:$GI$9,1,CW27)+1)))/12)</f>
        <v>0</v>
      </c>
      <c r="CX38" s="28">
        <f>IF(CX37=0,0,CX37*MAX(0,(INDEX(c_CAMy,1,CX$7)-INDEX(c_CAMy,1,INDEX('Lease Cycles'!$GC$9:$GI$9,1,CX27)+1))*(1+'Lease Cycles'!$AK$9)+(INDEX(c_TAXy,1,CX$7)-INDEX(c_TAXy,1,INDEX('Lease Cycles'!$GC$9:$GI$9,1,CX27)+1))+(INDEX(c_INSy,1,CX$7)-INDEX(c_INSy,1,INDEX('Lease Cycles'!$GC$9:$GI$9,1,CX27)+1)))/12)</f>
        <v>0</v>
      </c>
      <c r="CY38" s="28">
        <f>IF(CY37=0,0,CY37*MAX(0,(INDEX(c_CAMy,1,CY$7)-INDEX(c_CAMy,1,INDEX('Lease Cycles'!$GC$9:$GI$9,1,CY27)+1))*(1+'Lease Cycles'!$AK$9)+(INDEX(c_TAXy,1,CY$7)-INDEX(c_TAXy,1,INDEX('Lease Cycles'!$GC$9:$GI$9,1,CY27)+1))+(INDEX(c_INSy,1,CY$7)-INDEX(c_INSy,1,INDEX('Lease Cycles'!$GC$9:$GI$9,1,CY27)+1)))/12)</f>
        <v>0</v>
      </c>
      <c r="CZ38" s="28">
        <f>IF(CZ37=0,0,CZ37*MAX(0,(INDEX(c_CAMy,1,CZ$7)-INDEX(c_CAMy,1,INDEX('Lease Cycles'!$GC$9:$GI$9,1,CZ27)+1))*(1+'Lease Cycles'!$AK$9)+(INDEX(c_TAXy,1,CZ$7)-INDEX(c_TAXy,1,INDEX('Lease Cycles'!$GC$9:$GI$9,1,CZ27)+1))+(INDEX(c_INSy,1,CZ$7)-INDEX(c_INSy,1,INDEX('Lease Cycles'!$GC$9:$GI$9,1,CZ27)+1)))/12)</f>
        <v>0</v>
      </c>
      <c r="DA38" s="28">
        <f>IF(DA37=0,0,DA37*MAX(0,(INDEX(c_CAMy,1,DA$7)-INDEX(c_CAMy,1,INDEX('Lease Cycles'!$GC$9:$GI$9,1,DA27)+1))*(1+'Lease Cycles'!$AK$9)+(INDEX(c_TAXy,1,DA$7)-INDEX(c_TAXy,1,INDEX('Lease Cycles'!$GC$9:$GI$9,1,DA27)+1))+(INDEX(c_INSy,1,DA$7)-INDEX(c_INSy,1,INDEX('Lease Cycles'!$GC$9:$GI$9,1,DA27)+1)))/12)</f>
        <v>0</v>
      </c>
      <c r="DB38" s="28">
        <f>IF(DB37=0,0,DB37*MAX(0,(INDEX(c_CAMy,1,DB$7)-INDEX(c_CAMy,1,INDEX('Lease Cycles'!$GC$9:$GI$9,1,DB27)+1))*(1+'Lease Cycles'!$AK$9)+(INDEX(c_TAXy,1,DB$7)-INDEX(c_TAXy,1,INDEX('Lease Cycles'!$GC$9:$GI$9,1,DB27)+1))+(INDEX(c_INSy,1,DB$7)-INDEX(c_INSy,1,INDEX('Lease Cycles'!$GC$9:$GI$9,1,DB27)+1)))/12)</f>
        <v>0</v>
      </c>
      <c r="DC38" s="28">
        <f>IF(DC37=0,0,DC37*MAX(0,(INDEX(c_CAMy,1,DC$7)-INDEX(c_CAMy,1,INDEX('Lease Cycles'!$GC$9:$GI$9,1,DC27)+1))*(1+'Lease Cycles'!$AK$9)+(INDEX(c_TAXy,1,DC$7)-INDEX(c_TAXy,1,INDEX('Lease Cycles'!$GC$9:$GI$9,1,DC27)+1))+(INDEX(c_INSy,1,DC$7)-INDEX(c_INSy,1,INDEX('Lease Cycles'!$GC$9:$GI$9,1,DC27)+1)))/12)</f>
        <v>0</v>
      </c>
      <c r="DD38" s="28">
        <f>IF(DD37=0,0,DD37*MAX(0,(INDEX(c_CAMy,1,DD$7)-INDEX(c_CAMy,1,INDEX('Lease Cycles'!$GC$9:$GI$9,1,DD27)+1))*(1+'Lease Cycles'!$AK$9)+(INDEX(c_TAXy,1,DD$7)-INDEX(c_TAXy,1,INDEX('Lease Cycles'!$GC$9:$GI$9,1,DD27)+1))+(INDEX(c_INSy,1,DD$7)-INDEX(c_INSy,1,INDEX('Lease Cycles'!$GC$9:$GI$9,1,DD27)+1)))/12)</f>
        <v>0</v>
      </c>
      <c r="DE38" s="28">
        <f>IF(DE37=0,0,DE37*MAX(0,(INDEX(c_CAMy,1,DE$7)-INDEX(c_CAMy,1,INDEX('Lease Cycles'!$GC$9:$GI$9,1,DE27)+1))*(1+'Lease Cycles'!$AK$9)+(INDEX(c_TAXy,1,DE$7)-INDEX(c_TAXy,1,INDEX('Lease Cycles'!$GC$9:$GI$9,1,DE27)+1))+(INDEX(c_INSy,1,DE$7)-INDEX(c_INSy,1,INDEX('Lease Cycles'!$GC$9:$GI$9,1,DE27)+1)))/12)</f>
        <v>0</v>
      </c>
      <c r="DF38" s="28">
        <f>IF(DF37=0,0,DF37*MAX(0,(INDEX(c_CAMy,1,DF$7)-INDEX(c_CAMy,1,INDEX('Lease Cycles'!$GC$9:$GI$9,1,DF27)+1))*(1+'Lease Cycles'!$AK$9)+(INDEX(c_TAXy,1,DF$7)-INDEX(c_TAXy,1,INDEX('Lease Cycles'!$GC$9:$GI$9,1,DF27)+1))+(INDEX(c_INSy,1,DF$7)-INDEX(c_INSy,1,INDEX('Lease Cycles'!$GC$9:$GI$9,1,DF27)+1)))/12)</f>
        <v>0</v>
      </c>
      <c r="DG38" s="28">
        <f>IF(DG37=0,0,DG37*MAX(0,(INDEX(c_CAMy,1,DG$7)-INDEX(c_CAMy,1,INDEX('Lease Cycles'!$GC$9:$GI$9,1,DG27)+1))*(1+'Lease Cycles'!$AK$9)+(INDEX(c_TAXy,1,DG$7)-INDEX(c_TAXy,1,INDEX('Lease Cycles'!$GC$9:$GI$9,1,DG27)+1))+(INDEX(c_INSy,1,DG$7)-INDEX(c_INSy,1,INDEX('Lease Cycles'!$GC$9:$GI$9,1,DG27)+1)))/12)</f>
        <v>0</v>
      </c>
      <c r="DH38" s="28">
        <f>IF(DH37=0,0,DH37*MAX(0,(INDEX(c_CAMy,1,DH$7)-INDEX(c_CAMy,1,INDEX('Lease Cycles'!$GC$9:$GI$9,1,DH27)+1))*(1+'Lease Cycles'!$AK$9)+(INDEX(c_TAXy,1,DH$7)-INDEX(c_TAXy,1,INDEX('Lease Cycles'!$GC$9:$GI$9,1,DH27)+1))+(INDEX(c_INSy,1,DH$7)-INDEX(c_INSy,1,INDEX('Lease Cycles'!$GC$9:$GI$9,1,DH27)+1)))/12)</f>
        <v>0</v>
      </c>
      <c r="DI38" s="28">
        <f>IF(DI37=0,0,DI37*MAX(0,(INDEX(c_CAMy,1,DI$7)-INDEX(c_CAMy,1,INDEX('Lease Cycles'!$GC$9:$GI$9,1,DI27)+1))*(1+'Lease Cycles'!$AK$9)+(INDEX(c_TAXy,1,DI$7)-INDEX(c_TAXy,1,INDEX('Lease Cycles'!$GC$9:$GI$9,1,DI27)+1))+(INDEX(c_INSy,1,DI$7)-INDEX(c_INSy,1,INDEX('Lease Cycles'!$GC$9:$GI$9,1,DI27)+1)))/12)</f>
        <v>0</v>
      </c>
      <c r="DJ38" s="28">
        <f>IF(DJ37=0,0,DJ37*MAX(0,(INDEX(c_CAMy,1,DJ$7)-INDEX(c_CAMy,1,INDEX('Lease Cycles'!$GC$9:$GI$9,1,DJ27)+1))*(1+'Lease Cycles'!$AK$9)+(INDEX(c_TAXy,1,DJ$7)-INDEX(c_TAXy,1,INDEX('Lease Cycles'!$GC$9:$GI$9,1,DJ27)+1))+(INDEX(c_INSy,1,DJ$7)-INDEX(c_INSy,1,INDEX('Lease Cycles'!$GC$9:$GI$9,1,DJ27)+1)))/12)</f>
        <v>0</v>
      </c>
      <c r="DK38" s="28">
        <f>IF(DK37=0,0,DK37*MAX(0,(INDEX(c_CAMy,1,DK$7)-INDEX(c_CAMy,1,INDEX('Lease Cycles'!$GC$9:$GI$9,1,DK27)+1))*(1+'Lease Cycles'!$AK$9)+(INDEX(c_TAXy,1,DK$7)-INDEX(c_TAXy,1,INDEX('Lease Cycles'!$GC$9:$GI$9,1,DK27)+1))+(INDEX(c_INSy,1,DK$7)-INDEX(c_INSy,1,INDEX('Lease Cycles'!$GC$9:$GI$9,1,DK27)+1)))/12)</f>
        <v>0</v>
      </c>
      <c r="DL38" s="28">
        <f>IF(DL37=0,0,DL37*MAX(0,(INDEX(c_CAMy,1,DL$7)-INDEX(c_CAMy,1,INDEX('Lease Cycles'!$GC$9:$GI$9,1,DL27)+1))*(1+'Lease Cycles'!$AK$9)+(INDEX(c_TAXy,1,DL$7)-INDEX(c_TAXy,1,INDEX('Lease Cycles'!$GC$9:$GI$9,1,DL27)+1))+(INDEX(c_INSy,1,DL$7)-INDEX(c_INSy,1,INDEX('Lease Cycles'!$GC$9:$GI$9,1,DL27)+1)))/12)</f>
        <v>0</v>
      </c>
      <c r="DM38" s="28">
        <f>IF(DM37=0,0,DM37*MAX(0,(INDEX(c_CAMy,1,DM$7)-INDEX(c_CAMy,1,INDEX('Lease Cycles'!$GC$9:$GI$9,1,DM27)+1))*(1+'Lease Cycles'!$AK$9)+(INDEX(c_TAXy,1,DM$7)-INDEX(c_TAXy,1,INDEX('Lease Cycles'!$GC$9:$GI$9,1,DM27)+1))+(INDEX(c_INSy,1,DM$7)-INDEX(c_INSy,1,INDEX('Lease Cycles'!$GC$9:$GI$9,1,DM27)+1)))/12)</f>
        <v>0</v>
      </c>
      <c r="DN38" s="28">
        <f>IF(DN37=0,0,DN37*MAX(0,(INDEX(c_CAMy,1,DN$7)-INDEX(c_CAMy,1,INDEX('Lease Cycles'!$GC$9:$GI$9,1,DN27)+1))*(1+'Lease Cycles'!$AK$9)+(INDEX(c_TAXy,1,DN$7)-INDEX(c_TAXy,1,INDEX('Lease Cycles'!$GC$9:$GI$9,1,DN27)+1))+(INDEX(c_INSy,1,DN$7)-INDEX(c_INSy,1,INDEX('Lease Cycles'!$GC$9:$GI$9,1,DN27)+1)))/12)</f>
        <v>0</v>
      </c>
      <c r="DO38" s="28">
        <f>IF(DO37=0,0,DO37*MAX(0,(INDEX(c_CAMy,1,DO$7)-INDEX(c_CAMy,1,INDEX('Lease Cycles'!$GC$9:$GI$9,1,DO27)+1))*(1+'Lease Cycles'!$AK$9)+(INDEX(c_TAXy,1,DO$7)-INDEX(c_TAXy,1,INDEX('Lease Cycles'!$GC$9:$GI$9,1,DO27)+1))+(INDEX(c_INSy,1,DO$7)-INDEX(c_INSy,1,INDEX('Lease Cycles'!$GC$9:$GI$9,1,DO27)+1)))/12)</f>
        <v>0</v>
      </c>
      <c r="DP38" s="28">
        <f>IF(DP37=0,0,DP37*MAX(0,(INDEX(c_CAMy,1,DP$7)-INDEX(c_CAMy,1,INDEX('Lease Cycles'!$GC$9:$GI$9,1,DP27)+1))*(1+'Lease Cycles'!$AK$9)+(INDEX(c_TAXy,1,DP$7)-INDEX(c_TAXy,1,INDEX('Lease Cycles'!$GC$9:$GI$9,1,DP27)+1))+(INDEX(c_INSy,1,DP$7)-INDEX(c_INSy,1,INDEX('Lease Cycles'!$GC$9:$GI$9,1,DP27)+1)))/12)</f>
        <v>0</v>
      </c>
      <c r="DQ38" s="28">
        <f>IF(DQ37=0,0,DQ37*MAX(0,(INDEX(c_CAMy,1,DQ$7)-INDEX(c_CAMy,1,INDEX('Lease Cycles'!$GC$9:$GI$9,1,DQ27)+1))*(1+'Lease Cycles'!$AK$9)+(INDEX(c_TAXy,1,DQ$7)-INDEX(c_TAXy,1,INDEX('Lease Cycles'!$GC$9:$GI$9,1,DQ27)+1))+(INDEX(c_INSy,1,DQ$7)-INDEX(c_INSy,1,INDEX('Lease Cycles'!$GC$9:$GI$9,1,DQ27)+1)))/12)</f>
        <v>0</v>
      </c>
      <c r="DR38" s="28">
        <f>IF(DR37=0,0,DR37*MAX(0,(INDEX(c_CAMy,1,DR$7)-INDEX(c_CAMy,1,INDEX('Lease Cycles'!$GC$9:$GI$9,1,DR27)+1))*(1+'Lease Cycles'!$AK$9)+(INDEX(c_TAXy,1,DR$7)-INDEX(c_TAXy,1,INDEX('Lease Cycles'!$GC$9:$GI$9,1,DR27)+1))+(INDEX(c_INSy,1,DR$7)-INDEX(c_INSy,1,INDEX('Lease Cycles'!$GC$9:$GI$9,1,DR27)+1)))/12)</f>
        <v>0</v>
      </c>
      <c r="DS38" s="28">
        <f>IF(DS37=0,0,DS37*MAX(0,(INDEX(c_CAMy,1,DS$7)-INDEX(c_CAMy,1,INDEX('Lease Cycles'!$GC$9:$GI$9,1,DS27)+1))*(1+'Lease Cycles'!$AK$9)+(INDEX(c_TAXy,1,DS$7)-INDEX(c_TAXy,1,INDEX('Lease Cycles'!$GC$9:$GI$9,1,DS27)+1))+(INDEX(c_INSy,1,DS$7)-INDEX(c_INSy,1,INDEX('Lease Cycles'!$GC$9:$GI$9,1,DS27)+1)))/12)</f>
        <v>0</v>
      </c>
      <c r="DT38" s="28">
        <f>IF(DT37=0,0,DT37*MAX(0,(INDEX(c_CAMy,1,DT$7)-INDEX(c_CAMy,1,INDEX('Lease Cycles'!$GC$9:$GI$9,1,DT27)+1))*(1+'Lease Cycles'!$AK$9)+(INDEX(c_TAXy,1,DT$7)-INDEX(c_TAXy,1,INDEX('Lease Cycles'!$GC$9:$GI$9,1,DT27)+1))+(INDEX(c_INSy,1,DT$7)-INDEX(c_INSy,1,INDEX('Lease Cycles'!$GC$9:$GI$9,1,DT27)+1)))/12)</f>
        <v>0</v>
      </c>
      <c r="DU38" s="28">
        <f>IF(DU37=0,0,DU37*MAX(0,(INDEX(c_CAMy,1,DU$7)-INDEX(c_CAMy,1,INDEX('Lease Cycles'!$GC$9:$GI$9,1,DU27)+1))*(1+'Lease Cycles'!$AK$9)+(INDEX(c_TAXy,1,DU$7)-INDEX(c_TAXy,1,INDEX('Lease Cycles'!$GC$9:$GI$9,1,DU27)+1))+(INDEX(c_INSy,1,DU$7)-INDEX(c_INSy,1,INDEX('Lease Cycles'!$GC$9:$GI$9,1,DU27)+1)))/12)</f>
        <v>0</v>
      </c>
      <c r="DV38" s="28">
        <f>IF(DV37=0,0,DV37*MAX(0,(INDEX(c_CAMy,1,DV$7)-INDEX(c_CAMy,1,INDEX('Lease Cycles'!$GC$9:$GI$9,1,DV27)+1))*(1+'Lease Cycles'!$AK$9)+(INDEX(c_TAXy,1,DV$7)-INDEX(c_TAXy,1,INDEX('Lease Cycles'!$GC$9:$GI$9,1,DV27)+1))+(INDEX(c_INSy,1,DV$7)-INDEX(c_INSy,1,INDEX('Lease Cycles'!$GC$9:$GI$9,1,DV27)+1)))/12)</f>
        <v>0</v>
      </c>
      <c r="DW38" s="28">
        <f>IF(DW37=0,0,DW37*MAX(0,(INDEX(c_CAMy,1,DW$7)-INDEX(c_CAMy,1,INDEX('Lease Cycles'!$GC$9:$GI$9,1,DW27)+1))*(1+'Lease Cycles'!$AK$9)+(INDEX(c_TAXy,1,DW$7)-INDEX(c_TAXy,1,INDEX('Lease Cycles'!$GC$9:$GI$9,1,DW27)+1))+(INDEX(c_INSy,1,DW$7)-INDEX(c_INSy,1,INDEX('Lease Cycles'!$GC$9:$GI$9,1,DW27)+1)))/12)</f>
        <v>0</v>
      </c>
      <c r="DX38" s="28">
        <f>IF(DX37=0,0,DX37*MAX(0,(INDEX(c_CAMy,1,DX$7)-INDEX(c_CAMy,1,INDEX('Lease Cycles'!$GC$9:$GI$9,1,DX27)+1))*(1+'Lease Cycles'!$AK$9)+(INDEX(c_TAXy,1,DX$7)-INDEX(c_TAXy,1,INDEX('Lease Cycles'!$GC$9:$GI$9,1,DX27)+1))+(INDEX(c_INSy,1,DX$7)-INDEX(c_INSy,1,INDEX('Lease Cycles'!$GC$9:$GI$9,1,DX27)+1)))/12)</f>
        <v>0</v>
      </c>
      <c r="DY38" s="28">
        <f>IF(DY37=0,0,DY37*MAX(0,(INDEX(c_CAMy,1,DY$7)-INDEX(c_CAMy,1,INDEX('Lease Cycles'!$GC$9:$GI$9,1,DY27)+1))*(1+'Lease Cycles'!$AK$9)+(INDEX(c_TAXy,1,DY$7)-INDEX(c_TAXy,1,INDEX('Lease Cycles'!$GC$9:$GI$9,1,DY27)+1))+(INDEX(c_INSy,1,DY$7)-INDEX(c_INSy,1,INDEX('Lease Cycles'!$GC$9:$GI$9,1,DY27)+1)))/12)</f>
        <v>0</v>
      </c>
      <c r="DZ38" s="28">
        <f>IF(DZ37=0,0,DZ37*MAX(0,(INDEX(c_CAMy,1,DZ$7)-INDEX(c_CAMy,1,INDEX('Lease Cycles'!$GC$9:$GI$9,1,DZ27)+1))*(1+'Lease Cycles'!$AK$9)+(INDEX(c_TAXy,1,DZ$7)-INDEX(c_TAXy,1,INDEX('Lease Cycles'!$GC$9:$GI$9,1,DZ27)+1))+(INDEX(c_INSy,1,DZ$7)-INDEX(c_INSy,1,INDEX('Lease Cycles'!$GC$9:$GI$9,1,DZ27)+1)))/12)</f>
        <v>0</v>
      </c>
      <c r="EA38" s="28">
        <f>IF(EA37=0,0,EA37*MAX(0,(INDEX(c_CAMy,1,EA$7)-INDEX(c_CAMy,1,INDEX('Lease Cycles'!$GC$9:$GI$9,1,EA27)+1))*(1+'Lease Cycles'!$AK$9)+(INDEX(c_TAXy,1,EA$7)-INDEX(c_TAXy,1,INDEX('Lease Cycles'!$GC$9:$GI$9,1,EA27)+1))+(INDEX(c_INSy,1,EA$7)-INDEX(c_INSy,1,INDEX('Lease Cycles'!$GC$9:$GI$9,1,EA27)+1)))/12)</f>
        <v>0</v>
      </c>
      <c r="EB38" s="28">
        <f>IF(EB37=0,0,EB37*MAX(0,(INDEX(c_CAMy,1,EB$7)-INDEX(c_CAMy,1,INDEX('Lease Cycles'!$GC$9:$GI$9,1,EB27)+1))*(1+'Lease Cycles'!$AK$9)+(INDEX(c_TAXy,1,EB$7)-INDEX(c_TAXy,1,INDEX('Lease Cycles'!$GC$9:$GI$9,1,EB27)+1))+(INDEX(c_INSy,1,EB$7)-INDEX(c_INSy,1,INDEX('Lease Cycles'!$GC$9:$GI$9,1,EB27)+1)))/12)</f>
        <v>0</v>
      </c>
      <c r="EC38" s="28">
        <f>IF(EC37=0,0,EC37*MAX(0,(INDEX(c_CAMy,1,EC$7)-INDEX(c_CAMy,1,INDEX('Lease Cycles'!$GC$9:$GI$9,1,EC27)+1))*(1+'Lease Cycles'!$AK$9)+(INDEX(c_TAXy,1,EC$7)-INDEX(c_TAXy,1,INDEX('Lease Cycles'!$GC$9:$GI$9,1,EC27)+1))+(INDEX(c_INSy,1,EC$7)-INDEX(c_INSy,1,INDEX('Lease Cycles'!$GC$9:$GI$9,1,EC27)+1)))/12)</f>
        <v>0</v>
      </c>
      <c r="ED38" s="28">
        <f>IF(ED37=0,0,ED37*MAX(0,(INDEX(c_CAMy,1,ED$7)-INDEX(c_CAMy,1,INDEX('Lease Cycles'!$GC$9:$GI$9,1,ED27)+1))*(1+'Lease Cycles'!$AK$9)+(INDEX(c_TAXy,1,ED$7)-INDEX(c_TAXy,1,INDEX('Lease Cycles'!$GC$9:$GI$9,1,ED27)+1))+(INDEX(c_INSy,1,ED$7)-INDEX(c_INSy,1,INDEX('Lease Cycles'!$GC$9:$GI$9,1,ED27)+1)))/12)</f>
        <v>0</v>
      </c>
      <c r="EE38" s="28">
        <f>IF(EE37=0,0,EE37*MAX(0,(INDEX(c_CAMy,1,EE$7)-INDEX(c_CAMy,1,INDEX('Lease Cycles'!$GC$9:$GI$9,1,EE27)+1))*(1+'Lease Cycles'!$AK$9)+(INDEX(c_TAXy,1,EE$7)-INDEX(c_TAXy,1,INDEX('Lease Cycles'!$GC$9:$GI$9,1,EE27)+1))+(INDEX(c_INSy,1,EE$7)-INDEX(c_INSy,1,INDEX('Lease Cycles'!$GC$9:$GI$9,1,EE27)+1)))/12)</f>
        <v>0</v>
      </c>
      <c r="EF38" s="28">
        <f>IF(EF37=0,0,EF37*MAX(0,(INDEX(c_CAMy,1,EF$7)-INDEX(c_CAMy,1,INDEX('Lease Cycles'!$GC$9:$GI$9,1,EF27)+1))*(1+'Lease Cycles'!$AK$9)+(INDEX(c_TAXy,1,EF$7)-INDEX(c_TAXy,1,INDEX('Lease Cycles'!$GC$9:$GI$9,1,EF27)+1))+(INDEX(c_INSy,1,EF$7)-INDEX(c_INSy,1,INDEX('Lease Cycles'!$GC$9:$GI$9,1,EF27)+1)))/12)</f>
        <v>0</v>
      </c>
      <c r="EG38" s="28">
        <f>IF(EG37=0,0,EG37*MAX(0,(INDEX(c_CAMy,1,EG$7)-INDEX(c_CAMy,1,INDEX('Lease Cycles'!$GC$9:$GI$9,1,EG27)+1))*(1+'Lease Cycles'!$AK$9)+(INDEX(c_TAXy,1,EG$7)-INDEX(c_TAXy,1,INDEX('Lease Cycles'!$GC$9:$GI$9,1,EG27)+1))+(INDEX(c_INSy,1,EG$7)-INDEX(c_INSy,1,INDEX('Lease Cycles'!$GC$9:$GI$9,1,EG27)+1)))/12)</f>
        <v>0</v>
      </c>
      <c r="EH38" s="28">
        <f>IF(EH37=0,0,EH37*MAX(0,(INDEX(c_CAMy,1,EH$7)-INDEX(c_CAMy,1,INDEX('Lease Cycles'!$GC$9:$GI$9,1,EH27)+1))*(1+'Lease Cycles'!$AK$9)+(INDEX(c_TAXy,1,EH$7)-INDEX(c_TAXy,1,INDEX('Lease Cycles'!$GC$9:$GI$9,1,EH27)+1))+(INDEX(c_INSy,1,EH$7)-INDEX(c_INSy,1,INDEX('Lease Cycles'!$GC$9:$GI$9,1,EH27)+1)))/12)</f>
        <v>0</v>
      </c>
      <c r="EI38" s="28">
        <f>IF(EI37=0,0,EI37*MAX(0,(INDEX(c_CAMy,1,EI$7)-INDEX(c_CAMy,1,INDEX('Lease Cycles'!$GC$9:$GI$9,1,EI27)+1))*(1+'Lease Cycles'!$AK$9)+(INDEX(c_TAXy,1,EI$7)-INDEX(c_TAXy,1,INDEX('Lease Cycles'!$GC$9:$GI$9,1,EI27)+1))+(INDEX(c_INSy,1,EI$7)-INDEX(c_INSy,1,INDEX('Lease Cycles'!$GC$9:$GI$9,1,EI27)+1)))/12)</f>
        <v>0</v>
      </c>
      <c r="EJ38" s="28">
        <f>IF(EJ37=0,0,EJ37*MAX(0,(INDEX(c_CAMy,1,EJ$7)-INDEX(c_CAMy,1,INDEX('Lease Cycles'!$GC$9:$GI$9,1,EJ27)+1))*(1+'Lease Cycles'!$AK$9)+(INDEX(c_TAXy,1,EJ$7)-INDEX(c_TAXy,1,INDEX('Lease Cycles'!$GC$9:$GI$9,1,EJ27)+1))+(INDEX(c_INSy,1,EJ$7)-INDEX(c_INSy,1,INDEX('Lease Cycles'!$GC$9:$GI$9,1,EJ27)+1)))/12)</f>
        <v>0</v>
      </c>
      <c r="EK38" s="28">
        <f>IF(EK37=0,0,EK37*MAX(0,(INDEX(c_CAMy,1,EK$7)-INDEX(c_CAMy,1,INDEX('Lease Cycles'!$GC$9:$GI$9,1,EK27)+1))*(1+'Lease Cycles'!$AK$9)+(INDEX(c_TAXy,1,EK$7)-INDEX(c_TAXy,1,INDEX('Lease Cycles'!$GC$9:$GI$9,1,EK27)+1))+(INDEX(c_INSy,1,EK$7)-INDEX(c_INSy,1,INDEX('Lease Cycles'!$GC$9:$GI$9,1,EK27)+1)))/12)</f>
        <v>0</v>
      </c>
      <c r="EL38" s="28">
        <f>IF(EL37=0,0,EL37*MAX(0,(INDEX(c_CAMy,1,EL$7)-INDEX(c_CAMy,1,INDEX('Lease Cycles'!$GC$9:$GI$9,1,EL27)+1))*(1+'Lease Cycles'!$AK$9)+(INDEX(c_TAXy,1,EL$7)-INDEX(c_TAXy,1,INDEX('Lease Cycles'!$GC$9:$GI$9,1,EL27)+1))+(INDEX(c_INSy,1,EL$7)-INDEX(c_INSy,1,INDEX('Lease Cycles'!$GC$9:$GI$9,1,EL27)+1)))/12)</f>
        <v>0</v>
      </c>
      <c r="EM38" s="28">
        <f>IF(EM37=0,0,EM37*MAX(0,(INDEX(c_CAMy,1,EM$7)-INDEX(c_CAMy,1,INDEX('Lease Cycles'!$GC$9:$GI$9,1,EM27)+1))*(1+'Lease Cycles'!$AK$9)+(INDEX(c_TAXy,1,EM$7)-INDEX(c_TAXy,1,INDEX('Lease Cycles'!$GC$9:$GI$9,1,EM27)+1))+(INDEX(c_INSy,1,EM$7)-INDEX(c_INSy,1,INDEX('Lease Cycles'!$GC$9:$GI$9,1,EM27)+1)))/12)</f>
        <v>0</v>
      </c>
      <c r="EN38" s="28">
        <f>IF(EN37=0,0,EN37*MAX(0,(INDEX(c_CAMy,1,EN$7)-INDEX(c_CAMy,1,INDEX('Lease Cycles'!$GC$9:$GI$9,1,EN27)+1))*(1+'Lease Cycles'!$AK$9)+(INDEX(c_TAXy,1,EN$7)-INDEX(c_TAXy,1,INDEX('Lease Cycles'!$GC$9:$GI$9,1,EN27)+1))+(INDEX(c_INSy,1,EN$7)-INDEX(c_INSy,1,INDEX('Lease Cycles'!$GC$9:$GI$9,1,EN27)+1)))/12)</f>
        <v>0</v>
      </c>
      <c r="EO38" s="28">
        <f>IF(EO37=0,0,EO37*MAX(0,(INDEX(c_CAMy,1,EO$7)-INDEX(c_CAMy,1,INDEX('Lease Cycles'!$GC$9:$GI$9,1,EO27)+1))*(1+'Lease Cycles'!$AK$9)+(INDEX(c_TAXy,1,EO$7)-INDEX(c_TAXy,1,INDEX('Lease Cycles'!$GC$9:$GI$9,1,EO27)+1))+(INDEX(c_INSy,1,EO$7)-INDEX(c_INSy,1,INDEX('Lease Cycles'!$GC$9:$GI$9,1,EO27)+1)))/12)</f>
        <v>0</v>
      </c>
      <c r="EP38" s="28">
        <f>IF(EP37=0,0,EP37*MAX(0,(INDEX(c_CAMy,1,EP$7)-INDEX(c_CAMy,1,INDEX('Lease Cycles'!$GC$9:$GI$9,1,EP27)+1))*(1+'Lease Cycles'!$AK$9)+(INDEX(c_TAXy,1,EP$7)-INDEX(c_TAXy,1,INDEX('Lease Cycles'!$GC$9:$GI$9,1,EP27)+1))+(INDEX(c_INSy,1,EP$7)-INDEX(c_INSy,1,INDEX('Lease Cycles'!$GC$9:$GI$9,1,EP27)+1)))/12)</f>
        <v>0</v>
      </c>
      <c r="EQ38" s="28">
        <f>IF(EQ37=0,0,EQ37*MAX(0,(INDEX(c_CAMy,1,EQ$7)-INDEX(c_CAMy,1,INDEX('Lease Cycles'!$GC$9:$GI$9,1,EQ27)+1))*(1+'Lease Cycles'!$AK$9)+(INDEX(c_TAXy,1,EQ$7)-INDEX(c_TAXy,1,INDEX('Lease Cycles'!$GC$9:$GI$9,1,EQ27)+1))+(INDEX(c_INSy,1,EQ$7)-INDEX(c_INSy,1,INDEX('Lease Cycles'!$GC$9:$GI$9,1,EQ27)+1)))/12)</f>
        <v>0</v>
      </c>
      <c r="ER38" s="28">
        <f>IF(ER37=0,0,ER37*MAX(0,(INDEX(c_CAMy,1,ER$7)-INDEX(c_CAMy,1,INDEX('Lease Cycles'!$GC$9:$GI$9,1,ER27)+1))*(1+'Lease Cycles'!$AK$9)+(INDEX(c_TAXy,1,ER$7)-INDEX(c_TAXy,1,INDEX('Lease Cycles'!$GC$9:$GI$9,1,ER27)+1))+(INDEX(c_INSy,1,ER$7)-INDEX(c_INSy,1,INDEX('Lease Cycles'!$GC$9:$GI$9,1,ER27)+1)))/12)</f>
        <v>0</v>
      </c>
      <c r="ES38" s="28">
        <f>IF(ES37=0,0,ES37*MAX(0,(INDEX(c_CAMy,1,ES$7)-INDEX(c_CAMy,1,INDEX('Lease Cycles'!$GC$9:$GI$9,1,ES27)+1))*(1+'Lease Cycles'!$AK$9)+(INDEX(c_TAXy,1,ES$7)-INDEX(c_TAXy,1,INDEX('Lease Cycles'!$GC$9:$GI$9,1,ES27)+1))+(INDEX(c_INSy,1,ES$7)-INDEX(c_INSy,1,INDEX('Lease Cycles'!$GC$9:$GI$9,1,ES27)+1)))/12)</f>
        <v>0</v>
      </c>
      <c r="ET38" s="28">
        <f>IF(ET37=0,0,ET37*MAX(0,(INDEX(c_CAMy,1,ET$7)-INDEX(c_CAMy,1,INDEX('Lease Cycles'!$GC$9:$GI$9,1,ET27)+1))*(1+'Lease Cycles'!$AK$9)+(INDEX(c_TAXy,1,ET$7)-INDEX(c_TAXy,1,INDEX('Lease Cycles'!$GC$9:$GI$9,1,ET27)+1))+(INDEX(c_INSy,1,ET$7)-INDEX(c_INSy,1,INDEX('Lease Cycles'!$GC$9:$GI$9,1,ET27)+1)))/12)</f>
        <v>0</v>
      </c>
    </row>
    <row r="39">
      <c r="A39" s="103">
        <v>2</v>
      </c>
      <c r="B39" s="23" t="str">
        <f>IF('Lease Cycles'!$B$9="","(empty slot)",'Lease Cycles'!$B$9)</f>
        <v>Sunfield Pharmacy</v>
      </c>
      <c r="C39" s="23" t="s">
        <v>530</v>
      </c>
      <c r="D39" s="104" t="s">
        <v>531</v>
      </c>
      <c r="E39" s="25">
        <f>'Lease Cycles'!$AL$9</f>
        <v>0</v>
      </c>
      <c r="G39" s="28">
        <f>SUM(S39:AD39)</f>
        <v>0</v>
      </c>
      <c r="H39" s="28">
        <f>SUM(AE39:AP39)</f>
        <v>0</v>
      </c>
      <c r="I39" s="28">
        <f>SUM(AQ39:BB39)</f>
        <v>0</v>
      </c>
      <c r="J39" s="28">
        <f>SUM(BC39:BN39)</f>
        <v>0</v>
      </c>
      <c r="K39" s="28">
        <f>SUM(BO39:BZ39)</f>
        <v>63072.4843005704</v>
      </c>
      <c r="L39" s="28">
        <f>SUM(CA39:CL39)</f>
        <v>0</v>
      </c>
      <c r="M39" s="28">
        <f>SUM(CM39:CX39)</f>
        <v>0</v>
      </c>
      <c r="N39" s="28">
        <f>SUM(CY39:DJ39)</f>
        <v>0</v>
      </c>
      <c r="O39" s="28">
        <f>SUM(DK39:DV39)</f>
        <v>0</v>
      </c>
      <c r="P39" s="28">
        <f>SUM(DW39:EH39)</f>
        <v>0</v>
      </c>
      <c r="Q39" s="28">
        <f>SUM(EI39:ET39)</f>
        <v>0</v>
      </c>
      <c r="S39" s="28">
        <f>SUMIF('Lease Cycles'!$HL$9:$HR$9,S$6,'Lease Cycles'!$HS$9:$HY$9)</f>
        <v>0</v>
      </c>
      <c r="T39" s="28">
        <f>SUMIF('Lease Cycles'!$HL$9:$HR$9,T$6,'Lease Cycles'!$HS$9:$HY$9)</f>
        <v>0</v>
      </c>
      <c r="U39" s="28">
        <f>SUMIF('Lease Cycles'!$HL$9:$HR$9,U$6,'Lease Cycles'!$HS$9:$HY$9)</f>
        <v>0</v>
      </c>
      <c r="V39" s="28">
        <f>SUMIF('Lease Cycles'!$HL$9:$HR$9,V$6,'Lease Cycles'!$HS$9:$HY$9)</f>
        <v>0</v>
      </c>
      <c r="W39" s="28">
        <f>SUMIF('Lease Cycles'!$HL$9:$HR$9,W$6,'Lease Cycles'!$HS$9:$HY$9)</f>
        <v>0</v>
      </c>
      <c r="X39" s="28">
        <f>SUMIF('Lease Cycles'!$HL$9:$HR$9,X$6,'Lease Cycles'!$HS$9:$HY$9)</f>
        <v>0</v>
      </c>
      <c r="Y39" s="28">
        <f>SUMIF('Lease Cycles'!$HL$9:$HR$9,Y$6,'Lease Cycles'!$HS$9:$HY$9)</f>
        <v>0</v>
      </c>
      <c r="Z39" s="28">
        <f>SUMIF('Lease Cycles'!$HL$9:$HR$9,Z$6,'Lease Cycles'!$HS$9:$HY$9)</f>
        <v>0</v>
      </c>
      <c r="AA39" s="28">
        <f>SUMIF('Lease Cycles'!$HL$9:$HR$9,AA$6,'Lease Cycles'!$HS$9:$HY$9)</f>
        <v>0</v>
      </c>
      <c r="AB39" s="28">
        <f>SUMIF('Lease Cycles'!$HL$9:$HR$9,AB$6,'Lease Cycles'!$HS$9:$HY$9)</f>
        <v>0</v>
      </c>
      <c r="AC39" s="28">
        <f>SUMIF('Lease Cycles'!$HL$9:$HR$9,AC$6,'Lease Cycles'!$HS$9:$HY$9)</f>
        <v>0</v>
      </c>
      <c r="AD39" s="28">
        <f>SUMIF('Lease Cycles'!$HL$9:$HR$9,AD$6,'Lease Cycles'!$HS$9:$HY$9)</f>
        <v>0</v>
      </c>
      <c r="AE39" s="28">
        <f>SUMIF('Lease Cycles'!$HL$9:$HR$9,AE$6,'Lease Cycles'!$HS$9:$HY$9)</f>
        <v>0</v>
      </c>
      <c r="AF39" s="28">
        <f>SUMIF('Lease Cycles'!$HL$9:$HR$9,AF$6,'Lease Cycles'!$HS$9:$HY$9)</f>
        <v>0</v>
      </c>
      <c r="AG39" s="28">
        <f>SUMIF('Lease Cycles'!$HL$9:$HR$9,AG$6,'Lease Cycles'!$HS$9:$HY$9)</f>
        <v>0</v>
      </c>
      <c r="AH39" s="28">
        <f>SUMIF('Lease Cycles'!$HL$9:$HR$9,AH$6,'Lease Cycles'!$HS$9:$HY$9)</f>
        <v>0</v>
      </c>
      <c r="AI39" s="28">
        <f>SUMIF('Lease Cycles'!$HL$9:$HR$9,AI$6,'Lease Cycles'!$HS$9:$HY$9)</f>
        <v>0</v>
      </c>
      <c r="AJ39" s="28">
        <f>SUMIF('Lease Cycles'!$HL$9:$HR$9,AJ$6,'Lease Cycles'!$HS$9:$HY$9)</f>
        <v>0</v>
      </c>
      <c r="AK39" s="28">
        <f>SUMIF('Lease Cycles'!$HL$9:$HR$9,AK$6,'Lease Cycles'!$HS$9:$HY$9)</f>
        <v>0</v>
      </c>
      <c r="AL39" s="28">
        <f>SUMIF('Lease Cycles'!$HL$9:$HR$9,AL$6,'Lease Cycles'!$HS$9:$HY$9)</f>
        <v>0</v>
      </c>
      <c r="AM39" s="28">
        <f>SUMIF('Lease Cycles'!$HL$9:$HR$9,AM$6,'Lease Cycles'!$HS$9:$HY$9)</f>
        <v>0</v>
      </c>
      <c r="AN39" s="28">
        <f>SUMIF('Lease Cycles'!$HL$9:$HR$9,AN$6,'Lease Cycles'!$HS$9:$HY$9)</f>
        <v>0</v>
      </c>
      <c r="AO39" s="28">
        <f>SUMIF('Lease Cycles'!$HL$9:$HR$9,AO$6,'Lease Cycles'!$HS$9:$HY$9)</f>
        <v>0</v>
      </c>
      <c r="AP39" s="28">
        <f>SUMIF('Lease Cycles'!$HL$9:$HR$9,AP$6,'Lease Cycles'!$HS$9:$HY$9)</f>
        <v>0</v>
      </c>
      <c r="AQ39" s="28">
        <f>SUMIF('Lease Cycles'!$HL$9:$HR$9,AQ$6,'Lease Cycles'!$HS$9:$HY$9)</f>
        <v>0</v>
      </c>
      <c r="AR39" s="28">
        <f>SUMIF('Lease Cycles'!$HL$9:$HR$9,AR$6,'Lease Cycles'!$HS$9:$HY$9)</f>
        <v>0</v>
      </c>
      <c r="AS39" s="28">
        <f>SUMIF('Lease Cycles'!$HL$9:$HR$9,AS$6,'Lease Cycles'!$HS$9:$HY$9)</f>
        <v>0</v>
      </c>
      <c r="AT39" s="28">
        <f>SUMIF('Lease Cycles'!$HL$9:$HR$9,AT$6,'Lease Cycles'!$HS$9:$HY$9)</f>
        <v>0</v>
      </c>
      <c r="AU39" s="28">
        <f>SUMIF('Lease Cycles'!$HL$9:$HR$9,AU$6,'Lease Cycles'!$HS$9:$HY$9)</f>
        <v>0</v>
      </c>
      <c r="AV39" s="28">
        <f>SUMIF('Lease Cycles'!$HL$9:$HR$9,AV$6,'Lease Cycles'!$HS$9:$HY$9)</f>
        <v>0</v>
      </c>
      <c r="AW39" s="28">
        <f>SUMIF('Lease Cycles'!$HL$9:$HR$9,AW$6,'Lease Cycles'!$HS$9:$HY$9)</f>
        <v>0</v>
      </c>
      <c r="AX39" s="28">
        <f>SUMIF('Lease Cycles'!$HL$9:$HR$9,AX$6,'Lease Cycles'!$HS$9:$HY$9)</f>
        <v>0</v>
      </c>
      <c r="AY39" s="28">
        <f>SUMIF('Lease Cycles'!$HL$9:$HR$9,AY$6,'Lease Cycles'!$HS$9:$HY$9)</f>
        <v>0</v>
      </c>
      <c r="AZ39" s="28">
        <f>SUMIF('Lease Cycles'!$HL$9:$HR$9,AZ$6,'Lease Cycles'!$HS$9:$HY$9)</f>
        <v>0</v>
      </c>
      <c r="BA39" s="28">
        <f>SUMIF('Lease Cycles'!$HL$9:$HR$9,BA$6,'Lease Cycles'!$HS$9:$HY$9)</f>
        <v>0</v>
      </c>
      <c r="BB39" s="28">
        <f>SUMIF('Lease Cycles'!$HL$9:$HR$9,BB$6,'Lease Cycles'!$HS$9:$HY$9)</f>
        <v>0</v>
      </c>
      <c r="BC39" s="28">
        <f>SUMIF('Lease Cycles'!$HL$9:$HR$9,BC$6,'Lease Cycles'!$HS$9:$HY$9)</f>
        <v>0</v>
      </c>
      <c r="BD39" s="28">
        <f>SUMIF('Lease Cycles'!$HL$9:$HR$9,BD$6,'Lease Cycles'!$HS$9:$HY$9)</f>
        <v>0</v>
      </c>
      <c r="BE39" s="28">
        <f>SUMIF('Lease Cycles'!$HL$9:$HR$9,BE$6,'Lease Cycles'!$HS$9:$HY$9)</f>
        <v>0</v>
      </c>
      <c r="BF39" s="28">
        <f>SUMIF('Lease Cycles'!$HL$9:$HR$9,BF$6,'Lease Cycles'!$HS$9:$HY$9)</f>
        <v>0</v>
      </c>
      <c r="BG39" s="28">
        <f>SUMIF('Lease Cycles'!$HL$9:$HR$9,BG$6,'Lease Cycles'!$HS$9:$HY$9)</f>
        <v>0</v>
      </c>
      <c r="BH39" s="28">
        <f>SUMIF('Lease Cycles'!$HL$9:$HR$9,BH$6,'Lease Cycles'!$HS$9:$HY$9)</f>
        <v>0</v>
      </c>
      <c r="BI39" s="28">
        <f>SUMIF('Lease Cycles'!$HL$9:$HR$9,BI$6,'Lease Cycles'!$HS$9:$HY$9)</f>
        <v>0</v>
      </c>
      <c r="BJ39" s="28">
        <f>SUMIF('Lease Cycles'!$HL$9:$HR$9,BJ$6,'Lease Cycles'!$HS$9:$HY$9)</f>
        <v>0</v>
      </c>
      <c r="BK39" s="28">
        <f>SUMIF('Lease Cycles'!$HL$9:$HR$9,BK$6,'Lease Cycles'!$HS$9:$HY$9)</f>
        <v>0</v>
      </c>
      <c r="BL39" s="28">
        <f>SUMIF('Lease Cycles'!$HL$9:$HR$9,BL$6,'Lease Cycles'!$HS$9:$HY$9)</f>
        <v>0</v>
      </c>
      <c r="BM39" s="28">
        <f>SUMIF('Lease Cycles'!$HL$9:$HR$9,BM$6,'Lease Cycles'!$HS$9:$HY$9)</f>
        <v>0</v>
      </c>
      <c r="BN39" s="28">
        <f>SUMIF('Lease Cycles'!$HL$9:$HR$9,BN$6,'Lease Cycles'!$HS$9:$HY$9)</f>
        <v>0</v>
      </c>
      <c r="BO39" s="28">
        <f>SUMIF('Lease Cycles'!$HL$9:$HR$9,BO$6,'Lease Cycles'!$HS$9:$HY$9)</f>
        <v>0</v>
      </c>
      <c r="BP39" s="28">
        <f>SUMIF('Lease Cycles'!$HL$9:$HR$9,BP$6,'Lease Cycles'!$HS$9:$HY$9)</f>
        <v>0</v>
      </c>
      <c r="BQ39" s="28">
        <f>SUMIF('Lease Cycles'!$HL$9:$HR$9,BQ$6,'Lease Cycles'!$HS$9:$HY$9)</f>
        <v>0</v>
      </c>
      <c r="BR39" s="28">
        <f>SUMIF('Lease Cycles'!$HL$9:$HR$9,BR$6,'Lease Cycles'!$HS$9:$HY$9)</f>
        <v>0</v>
      </c>
      <c r="BS39" s="28">
        <f>SUMIF('Lease Cycles'!$HL$9:$HR$9,BS$6,'Lease Cycles'!$HS$9:$HY$9)</f>
        <v>0</v>
      </c>
      <c r="BT39" s="28">
        <f>SUMIF('Lease Cycles'!$HL$9:$HR$9,BT$6,'Lease Cycles'!$HS$9:$HY$9)</f>
        <v>0</v>
      </c>
      <c r="BU39" s="28">
        <f>SUMIF('Lease Cycles'!$HL$9:$HR$9,BU$6,'Lease Cycles'!$HS$9:$HY$9)</f>
        <v>0</v>
      </c>
      <c r="BV39" s="28">
        <f>SUMIF('Lease Cycles'!$HL$9:$HR$9,BV$6,'Lease Cycles'!$HS$9:$HY$9)</f>
        <v>63072.4843005704</v>
      </c>
      <c r="BW39" s="28">
        <f>SUMIF('Lease Cycles'!$HL$9:$HR$9,BW$6,'Lease Cycles'!$HS$9:$HY$9)</f>
        <v>0</v>
      </c>
      <c r="BX39" s="28">
        <f>SUMIF('Lease Cycles'!$HL$9:$HR$9,BX$6,'Lease Cycles'!$HS$9:$HY$9)</f>
        <v>0</v>
      </c>
      <c r="BY39" s="28">
        <f>SUMIF('Lease Cycles'!$HL$9:$HR$9,BY$6,'Lease Cycles'!$HS$9:$HY$9)</f>
        <v>0</v>
      </c>
      <c r="BZ39" s="28">
        <f>SUMIF('Lease Cycles'!$HL$9:$HR$9,BZ$6,'Lease Cycles'!$HS$9:$HY$9)</f>
        <v>0</v>
      </c>
      <c r="CA39" s="28">
        <f>SUMIF('Lease Cycles'!$HL$9:$HR$9,CA$6,'Lease Cycles'!$HS$9:$HY$9)</f>
        <v>0</v>
      </c>
      <c r="CB39" s="28">
        <f>SUMIF('Lease Cycles'!$HL$9:$HR$9,CB$6,'Lease Cycles'!$HS$9:$HY$9)</f>
        <v>0</v>
      </c>
      <c r="CC39" s="28">
        <f>SUMIF('Lease Cycles'!$HL$9:$HR$9,CC$6,'Lease Cycles'!$HS$9:$HY$9)</f>
        <v>0</v>
      </c>
      <c r="CD39" s="28">
        <f>SUMIF('Lease Cycles'!$HL$9:$HR$9,CD$6,'Lease Cycles'!$HS$9:$HY$9)</f>
        <v>0</v>
      </c>
      <c r="CE39" s="28">
        <f>SUMIF('Lease Cycles'!$HL$9:$HR$9,CE$6,'Lease Cycles'!$HS$9:$HY$9)</f>
        <v>0</v>
      </c>
      <c r="CF39" s="28">
        <f>SUMIF('Lease Cycles'!$HL$9:$HR$9,CF$6,'Lease Cycles'!$HS$9:$HY$9)</f>
        <v>0</v>
      </c>
      <c r="CG39" s="28">
        <f>SUMIF('Lease Cycles'!$HL$9:$HR$9,CG$6,'Lease Cycles'!$HS$9:$HY$9)</f>
        <v>0</v>
      </c>
      <c r="CH39" s="28">
        <f>SUMIF('Lease Cycles'!$HL$9:$HR$9,CH$6,'Lease Cycles'!$HS$9:$HY$9)</f>
        <v>0</v>
      </c>
      <c r="CI39" s="28">
        <f>SUMIF('Lease Cycles'!$HL$9:$HR$9,CI$6,'Lease Cycles'!$HS$9:$HY$9)</f>
        <v>0</v>
      </c>
      <c r="CJ39" s="28">
        <f>SUMIF('Lease Cycles'!$HL$9:$HR$9,CJ$6,'Lease Cycles'!$HS$9:$HY$9)</f>
        <v>0</v>
      </c>
      <c r="CK39" s="28">
        <f>SUMIF('Lease Cycles'!$HL$9:$HR$9,CK$6,'Lease Cycles'!$HS$9:$HY$9)</f>
        <v>0</v>
      </c>
      <c r="CL39" s="28">
        <f>SUMIF('Lease Cycles'!$HL$9:$HR$9,CL$6,'Lease Cycles'!$HS$9:$HY$9)</f>
        <v>0</v>
      </c>
      <c r="CM39" s="28">
        <f>SUMIF('Lease Cycles'!$HL$9:$HR$9,CM$6,'Lease Cycles'!$HS$9:$HY$9)</f>
        <v>0</v>
      </c>
      <c r="CN39" s="28">
        <f>SUMIF('Lease Cycles'!$HL$9:$HR$9,CN$6,'Lease Cycles'!$HS$9:$HY$9)</f>
        <v>0</v>
      </c>
      <c r="CO39" s="28">
        <f>SUMIF('Lease Cycles'!$HL$9:$HR$9,CO$6,'Lease Cycles'!$HS$9:$HY$9)</f>
        <v>0</v>
      </c>
      <c r="CP39" s="28">
        <f>SUMIF('Lease Cycles'!$HL$9:$HR$9,CP$6,'Lease Cycles'!$HS$9:$HY$9)</f>
        <v>0</v>
      </c>
      <c r="CQ39" s="28">
        <f>SUMIF('Lease Cycles'!$HL$9:$HR$9,CQ$6,'Lease Cycles'!$HS$9:$HY$9)</f>
        <v>0</v>
      </c>
      <c r="CR39" s="28">
        <f>SUMIF('Lease Cycles'!$HL$9:$HR$9,CR$6,'Lease Cycles'!$HS$9:$HY$9)</f>
        <v>0</v>
      </c>
      <c r="CS39" s="28">
        <f>SUMIF('Lease Cycles'!$HL$9:$HR$9,CS$6,'Lease Cycles'!$HS$9:$HY$9)</f>
        <v>0</v>
      </c>
      <c r="CT39" s="28">
        <f>SUMIF('Lease Cycles'!$HL$9:$HR$9,CT$6,'Lease Cycles'!$HS$9:$HY$9)</f>
        <v>0</v>
      </c>
      <c r="CU39" s="28">
        <f>SUMIF('Lease Cycles'!$HL$9:$HR$9,CU$6,'Lease Cycles'!$HS$9:$HY$9)</f>
        <v>0</v>
      </c>
      <c r="CV39" s="28">
        <f>SUMIF('Lease Cycles'!$HL$9:$HR$9,CV$6,'Lease Cycles'!$HS$9:$HY$9)</f>
        <v>0</v>
      </c>
      <c r="CW39" s="28">
        <f>SUMIF('Lease Cycles'!$HL$9:$HR$9,CW$6,'Lease Cycles'!$HS$9:$HY$9)</f>
        <v>0</v>
      </c>
      <c r="CX39" s="28">
        <f>SUMIF('Lease Cycles'!$HL$9:$HR$9,CX$6,'Lease Cycles'!$HS$9:$HY$9)</f>
        <v>0</v>
      </c>
      <c r="CY39" s="28">
        <f>SUMIF('Lease Cycles'!$HL$9:$HR$9,CY$6,'Lease Cycles'!$HS$9:$HY$9)</f>
        <v>0</v>
      </c>
      <c r="CZ39" s="28">
        <f>SUMIF('Lease Cycles'!$HL$9:$HR$9,CZ$6,'Lease Cycles'!$HS$9:$HY$9)</f>
        <v>0</v>
      </c>
      <c r="DA39" s="28">
        <f>SUMIF('Lease Cycles'!$HL$9:$HR$9,DA$6,'Lease Cycles'!$HS$9:$HY$9)</f>
        <v>0</v>
      </c>
      <c r="DB39" s="28">
        <f>SUMIF('Lease Cycles'!$HL$9:$HR$9,DB$6,'Lease Cycles'!$HS$9:$HY$9)</f>
        <v>0</v>
      </c>
      <c r="DC39" s="28">
        <f>SUMIF('Lease Cycles'!$HL$9:$HR$9,DC$6,'Lease Cycles'!$HS$9:$HY$9)</f>
        <v>0</v>
      </c>
      <c r="DD39" s="28">
        <f>SUMIF('Lease Cycles'!$HL$9:$HR$9,DD$6,'Lease Cycles'!$HS$9:$HY$9)</f>
        <v>0</v>
      </c>
      <c r="DE39" s="28">
        <f>SUMIF('Lease Cycles'!$HL$9:$HR$9,DE$6,'Lease Cycles'!$HS$9:$HY$9)</f>
        <v>0</v>
      </c>
      <c r="DF39" s="28">
        <f>SUMIF('Lease Cycles'!$HL$9:$HR$9,DF$6,'Lease Cycles'!$HS$9:$HY$9)</f>
        <v>0</v>
      </c>
      <c r="DG39" s="28">
        <f>SUMIF('Lease Cycles'!$HL$9:$HR$9,DG$6,'Lease Cycles'!$HS$9:$HY$9)</f>
        <v>0</v>
      </c>
      <c r="DH39" s="28">
        <f>SUMIF('Lease Cycles'!$HL$9:$HR$9,DH$6,'Lease Cycles'!$HS$9:$HY$9)</f>
        <v>0</v>
      </c>
      <c r="DI39" s="28">
        <f>SUMIF('Lease Cycles'!$HL$9:$HR$9,DI$6,'Lease Cycles'!$HS$9:$HY$9)</f>
        <v>0</v>
      </c>
      <c r="DJ39" s="28">
        <f>SUMIF('Lease Cycles'!$HL$9:$HR$9,DJ$6,'Lease Cycles'!$HS$9:$HY$9)</f>
        <v>0</v>
      </c>
      <c r="DK39" s="28">
        <f>SUMIF('Lease Cycles'!$HL$9:$HR$9,DK$6,'Lease Cycles'!$HS$9:$HY$9)</f>
        <v>0</v>
      </c>
      <c r="DL39" s="28">
        <f>SUMIF('Lease Cycles'!$HL$9:$HR$9,DL$6,'Lease Cycles'!$HS$9:$HY$9)</f>
        <v>0</v>
      </c>
      <c r="DM39" s="28">
        <f>SUMIF('Lease Cycles'!$HL$9:$HR$9,DM$6,'Lease Cycles'!$HS$9:$HY$9)</f>
        <v>0</v>
      </c>
      <c r="DN39" s="28">
        <f>SUMIF('Lease Cycles'!$HL$9:$HR$9,DN$6,'Lease Cycles'!$HS$9:$HY$9)</f>
        <v>0</v>
      </c>
      <c r="DO39" s="28">
        <f>SUMIF('Lease Cycles'!$HL$9:$HR$9,DO$6,'Lease Cycles'!$HS$9:$HY$9)</f>
        <v>0</v>
      </c>
      <c r="DP39" s="28">
        <f>SUMIF('Lease Cycles'!$HL$9:$HR$9,DP$6,'Lease Cycles'!$HS$9:$HY$9)</f>
        <v>0</v>
      </c>
      <c r="DQ39" s="28">
        <f>SUMIF('Lease Cycles'!$HL$9:$HR$9,DQ$6,'Lease Cycles'!$HS$9:$HY$9)</f>
        <v>0</v>
      </c>
      <c r="DR39" s="28">
        <f>SUMIF('Lease Cycles'!$HL$9:$HR$9,DR$6,'Lease Cycles'!$HS$9:$HY$9)</f>
        <v>0</v>
      </c>
      <c r="DS39" s="28">
        <f>SUMIF('Lease Cycles'!$HL$9:$HR$9,DS$6,'Lease Cycles'!$HS$9:$HY$9)</f>
        <v>0</v>
      </c>
      <c r="DT39" s="28">
        <f>SUMIF('Lease Cycles'!$HL$9:$HR$9,DT$6,'Lease Cycles'!$HS$9:$HY$9)</f>
        <v>0</v>
      </c>
      <c r="DU39" s="28">
        <f>SUMIF('Lease Cycles'!$HL$9:$HR$9,DU$6,'Lease Cycles'!$HS$9:$HY$9)</f>
        <v>0</v>
      </c>
      <c r="DV39" s="28">
        <f>SUMIF('Lease Cycles'!$HL$9:$HR$9,DV$6,'Lease Cycles'!$HS$9:$HY$9)</f>
        <v>0</v>
      </c>
      <c r="DW39" s="28">
        <f>SUMIF('Lease Cycles'!$HL$9:$HR$9,DW$6,'Lease Cycles'!$HS$9:$HY$9)</f>
        <v>0</v>
      </c>
      <c r="DX39" s="28">
        <f>SUMIF('Lease Cycles'!$HL$9:$HR$9,DX$6,'Lease Cycles'!$HS$9:$HY$9)</f>
        <v>0</v>
      </c>
      <c r="DY39" s="28">
        <f>SUMIF('Lease Cycles'!$HL$9:$HR$9,DY$6,'Lease Cycles'!$HS$9:$HY$9)</f>
        <v>0</v>
      </c>
      <c r="DZ39" s="28">
        <f>SUMIF('Lease Cycles'!$HL$9:$HR$9,DZ$6,'Lease Cycles'!$HS$9:$HY$9)</f>
        <v>0</v>
      </c>
      <c r="EA39" s="28">
        <f>SUMIF('Lease Cycles'!$HL$9:$HR$9,EA$6,'Lease Cycles'!$HS$9:$HY$9)</f>
        <v>0</v>
      </c>
      <c r="EB39" s="28">
        <f>SUMIF('Lease Cycles'!$HL$9:$HR$9,EB$6,'Lease Cycles'!$HS$9:$HY$9)</f>
        <v>0</v>
      </c>
      <c r="EC39" s="28">
        <f>SUMIF('Lease Cycles'!$HL$9:$HR$9,EC$6,'Lease Cycles'!$HS$9:$HY$9)</f>
        <v>0</v>
      </c>
      <c r="ED39" s="28">
        <f>SUMIF('Lease Cycles'!$HL$9:$HR$9,ED$6,'Lease Cycles'!$HS$9:$HY$9)</f>
        <v>0</v>
      </c>
      <c r="EE39" s="28">
        <f>SUMIF('Lease Cycles'!$HL$9:$HR$9,EE$6,'Lease Cycles'!$HS$9:$HY$9)</f>
        <v>0</v>
      </c>
      <c r="EF39" s="28">
        <f>SUMIF('Lease Cycles'!$HL$9:$HR$9,EF$6,'Lease Cycles'!$HS$9:$HY$9)</f>
        <v>0</v>
      </c>
      <c r="EG39" s="28">
        <f>SUMIF('Lease Cycles'!$HL$9:$HR$9,EG$6,'Lease Cycles'!$HS$9:$HY$9)</f>
        <v>0</v>
      </c>
      <c r="EH39" s="28">
        <f>SUMIF('Lease Cycles'!$HL$9:$HR$9,EH$6,'Lease Cycles'!$HS$9:$HY$9)</f>
        <v>0</v>
      </c>
      <c r="EI39" s="28">
        <f>SUMIF('Lease Cycles'!$HL$9:$HR$9,EI$6,'Lease Cycles'!$HS$9:$HY$9)</f>
        <v>0</v>
      </c>
      <c r="EJ39" s="28">
        <f>SUMIF('Lease Cycles'!$HL$9:$HR$9,EJ$6,'Lease Cycles'!$HS$9:$HY$9)</f>
        <v>0</v>
      </c>
      <c r="EK39" s="28">
        <f>SUMIF('Lease Cycles'!$HL$9:$HR$9,EK$6,'Lease Cycles'!$HS$9:$HY$9)</f>
        <v>0</v>
      </c>
      <c r="EL39" s="28">
        <f>SUMIF('Lease Cycles'!$HL$9:$HR$9,EL$6,'Lease Cycles'!$HS$9:$HY$9)</f>
        <v>0</v>
      </c>
      <c r="EM39" s="28">
        <f>SUMIF('Lease Cycles'!$HL$9:$HR$9,EM$6,'Lease Cycles'!$HS$9:$HY$9)</f>
        <v>0</v>
      </c>
      <c r="EN39" s="28">
        <f>SUMIF('Lease Cycles'!$HL$9:$HR$9,EN$6,'Lease Cycles'!$HS$9:$HY$9)</f>
        <v>0</v>
      </c>
      <c r="EO39" s="28">
        <f>SUMIF('Lease Cycles'!$HL$9:$HR$9,EO$6,'Lease Cycles'!$HS$9:$HY$9)</f>
        <v>0</v>
      </c>
      <c r="EP39" s="28">
        <f>SUMIF('Lease Cycles'!$HL$9:$HR$9,EP$6,'Lease Cycles'!$HS$9:$HY$9)</f>
        <v>0</v>
      </c>
      <c r="EQ39" s="28">
        <f>SUMIF('Lease Cycles'!$HL$9:$HR$9,EQ$6,'Lease Cycles'!$HS$9:$HY$9)</f>
        <v>0</v>
      </c>
      <c r="ER39" s="28">
        <f>SUMIF('Lease Cycles'!$HL$9:$HR$9,ER$6,'Lease Cycles'!$HS$9:$HY$9)</f>
        <v>0</v>
      </c>
      <c r="ES39" s="28">
        <f>SUMIF('Lease Cycles'!$HL$9:$HR$9,ES$6,'Lease Cycles'!$HS$9:$HY$9)</f>
        <v>0</v>
      </c>
      <c r="ET39" s="28">
        <f>SUMIF('Lease Cycles'!$HL$9:$HR$9,ET$6,'Lease Cycles'!$HS$9:$HY$9)</f>
        <v>0</v>
      </c>
    </row>
    <row r="40">
      <c r="A40" s="103">
        <v>2</v>
      </c>
      <c r="B40" s="23" t="str">
        <f>IF('Lease Cycles'!$B$9="","(empty slot)",'Lease Cycles'!$B$9)</f>
        <v>Sunfield Pharmacy</v>
      </c>
      <c r="C40" s="23" t="s">
        <v>532</v>
      </c>
      <c r="D40" s="104" t="s">
        <v>533</v>
      </c>
      <c r="E40" s="25">
        <f>'Lease Cycles'!$AL$9</f>
        <v>0</v>
      </c>
      <c r="G40" s="28">
        <f>SUM(S40:AD40)</f>
        <v>0</v>
      </c>
      <c r="H40" s="28">
        <f>SUM(AE40:AP40)</f>
        <v>0</v>
      </c>
      <c r="I40" s="28">
        <f>SUM(AQ40:BB40)</f>
        <v>0</v>
      </c>
      <c r="J40" s="28">
        <f>SUM(BC40:BN40)</f>
        <v>0</v>
      </c>
      <c r="K40" s="28">
        <f>SUM(BO40:BZ40)</f>
        <v>35872.8265015694</v>
      </c>
      <c r="L40" s="28">
        <f>SUM(CA40:CL40)</f>
        <v>0</v>
      </c>
      <c r="M40" s="28">
        <f>SUM(CM40:CX40)</f>
        <v>0</v>
      </c>
      <c r="N40" s="28">
        <f>SUM(CY40:DJ40)</f>
        <v>0</v>
      </c>
      <c r="O40" s="28">
        <f>SUM(DK40:DV40)</f>
        <v>0</v>
      </c>
      <c r="P40" s="28">
        <f>SUM(DW40:EH40)</f>
        <v>0</v>
      </c>
      <c r="Q40" s="28">
        <f>SUM(EI40:ET40)</f>
        <v>0</v>
      </c>
      <c r="S40" s="28">
        <f>SUMIF('Lease Cycles'!$HL$9:$HR$9,S$6,'Lease Cycles'!$HZ$9:$IF$9)</f>
        <v>0</v>
      </c>
      <c r="T40" s="28">
        <f>SUMIF('Lease Cycles'!$HL$9:$HR$9,T$6,'Lease Cycles'!$HZ$9:$IF$9)</f>
        <v>0</v>
      </c>
      <c r="U40" s="28">
        <f>SUMIF('Lease Cycles'!$HL$9:$HR$9,U$6,'Lease Cycles'!$HZ$9:$IF$9)</f>
        <v>0</v>
      </c>
      <c r="V40" s="28">
        <f>SUMIF('Lease Cycles'!$HL$9:$HR$9,V$6,'Lease Cycles'!$HZ$9:$IF$9)</f>
        <v>0</v>
      </c>
      <c r="W40" s="28">
        <f>SUMIF('Lease Cycles'!$HL$9:$HR$9,W$6,'Lease Cycles'!$HZ$9:$IF$9)</f>
        <v>0</v>
      </c>
      <c r="X40" s="28">
        <f>SUMIF('Lease Cycles'!$HL$9:$HR$9,X$6,'Lease Cycles'!$HZ$9:$IF$9)</f>
        <v>0</v>
      </c>
      <c r="Y40" s="28">
        <f>SUMIF('Lease Cycles'!$HL$9:$HR$9,Y$6,'Lease Cycles'!$HZ$9:$IF$9)</f>
        <v>0</v>
      </c>
      <c r="Z40" s="28">
        <f>SUMIF('Lease Cycles'!$HL$9:$HR$9,Z$6,'Lease Cycles'!$HZ$9:$IF$9)</f>
        <v>0</v>
      </c>
      <c r="AA40" s="28">
        <f>SUMIF('Lease Cycles'!$HL$9:$HR$9,AA$6,'Lease Cycles'!$HZ$9:$IF$9)</f>
        <v>0</v>
      </c>
      <c r="AB40" s="28">
        <f>SUMIF('Lease Cycles'!$HL$9:$HR$9,AB$6,'Lease Cycles'!$HZ$9:$IF$9)</f>
        <v>0</v>
      </c>
      <c r="AC40" s="28">
        <f>SUMIF('Lease Cycles'!$HL$9:$HR$9,AC$6,'Lease Cycles'!$HZ$9:$IF$9)</f>
        <v>0</v>
      </c>
      <c r="AD40" s="28">
        <f>SUMIF('Lease Cycles'!$HL$9:$HR$9,AD$6,'Lease Cycles'!$HZ$9:$IF$9)</f>
        <v>0</v>
      </c>
      <c r="AE40" s="28">
        <f>SUMIF('Lease Cycles'!$HL$9:$HR$9,AE$6,'Lease Cycles'!$HZ$9:$IF$9)</f>
        <v>0</v>
      </c>
      <c r="AF40" s="28">
        <f>SUMIF('Lease Cycles'!$HL$9:$HR$9,AF$6,'Lease Cycles'!$HZ$9:$IF$9)</f>
        <v>0</v>
      </c>
      <c r="AG40" s="28">
        <f>SUMIF('Lease Cycles'!$HL$9:$HR$9,AG$6,'Lease Cycles'!$HZ$9:$IF$9)</f>
        <v>0</v>
      </c>
      <c r="AH40" s="28">
        <f>SUMIF('Lease Cycles'!$HL$9:$HR$9,AH$6,'Lease Cycles'!$HZ$9:$IF$9)</f>
        <v>0</v>
      </c>
      <c r="AI40" s="28">
        <f>SUMIF('Lease Cycles'!$HL$9:$HR$9,AI$6,'Lease Cycles'!$HZ$9:$IF$9)</f>
        <v>0</v>
      </c>
      <c r="AJ40" s="28">
        <f>SUMIF('Lease Cycles'!$HL$9:$HR$9,AJ$6,'Lease Cycles'!$HZ$9:$IF$9)</f>
        <v>0</v>
      </c>
      <c r="AK40" s="28">
        <f>SUMIF('Lease Cycles'!$HL$9:$HR$9,AK$6,'Lease Cycles'!$HZ$9:$IF$9)</f>
        <v>0</v>
      </c>
      <c r="AL40" s="28">
        <f>SUMIF('Lease Cycles'!$HL$9:$HR$9,AL$6,'Lease Cycles'!$HZ$9:$IF$9)</f>
        <v>0</v>
      </c>
      <c r="AM40" s="28">
        <f>SUMIF('Lease Cycles'!$HL$9:$HR$9,AM$6,'Lease Cycles'!$HZ$9:$IF$9)</f>
        <v>0</v>
      </c>
      <c r="AN40" s="28">
        <f>SUMIF('Lease Cycles'!$HL$9:$HR$9,AN$6,'Lease Cycles'!$HZ$9:$IF$9)</f>
        <v>0</v>
      </c>
      <c r="AO40" s="28">
        <f>SUMIF('Lease Cycles'!$HL$9:$HR$9,AO$6,'Lease Cycles'!$HZ$9:$IF$9)</f>
        <v>0</v>
      </c>
      <c r="AP40" s="28">
        <f>SUMIF('Lease Cycles'!$HL$9:$HR$9,AP$6,'Lease Cycles'!$HZ$9:$IF$9)</f>
        <v>0</v>
      </c>
      <c r="AQ40" s="28">
        <f>SUMIF('Lease Cycles'!$HL$9:$HR$9,AQ$6,'Lease Cycles'!$HZ$9:$IF$9)</f>
        <v>0</v>
      </c>
      <c r="AR40" s="28">
        <f>SUMIF('Lease Cycles'!$HL$9:$HR$9,AR$6,'Lease Cycles'!$HZ$9:$IF$9)</f>
        <v>0</v>
      </c>
      <c r="AS40" s="28">
        <f>SUMIF('Lease Cycles'!$HL$9:$HR$9,AS$6,'Lease Cycles'!$HZ$9:$IF$9)</f>
        <v>0</v>
      </c>
      <c r="AT40" s="28">
        <f>SUMIF('Lease Cycles'!$HL$9:$HR$9,AT$6,'Lease Cycles'!$HZ$9:$IF$9)</f>
        <v>0</v>
      </c>
      <c r="AU40" s="28">
        <f>SUMIF('Lease Cycles'!$HL$9:$HR$9,AU$6,'Lease Cycles'!$HZ$9:$IF$9)</f>
        <v>0</v>
      </c>
      <c r="AV40" s="28">
        <f>SUMIF('Lease Cycles'!$HL$9:$HR$9,AV$6,'Lease Cycles'!$HZ$9:$IF$9)</f>
        <v>0</v>
      </c>
      <c r="AW40" s="28">
        <f>SUMIF('Lease Cycles'!$HL$9:$HR$9,AW$6,'Lease Cycles'!$HZ$9:$IF$9)</f>
        <v>0</v>
      </c>
      <c r="AX40" s="28">
        <f>SUMIF('Lease Cycles'!$HL$9:$HR$9,AX$6,'Lease Cycles'!$HZ$9:$IF$9)</f>
        <v>0</v>
      </c>
      <c r="AY40" s="28">
        <f>SUMIF('Lease Cycles'!$HL$9:$HR$9,AY$6,'Lease Cycles'!$HZ$9:$IF$9)</f>
        <v>0</v>
      </c>
      <c r="AZ40" s="28">
        <f>SUMIF('Lease Cycles'!$HL$9:$HR$9,AZ$6,'Lease Cycles'!$HZ$9:$IF$9)</f>
        <v>0</v>
      </c>
      <c r="BA40" s="28">
        <f>SUMIF('Lease Cycles'!$HL$9:$HR$9,BA$6,'Lease Cycles'!$HZ$9:$IF$9)</f>
        <v>0</v>
      </c>
      <c r="BB40" s="28">
        <f>SUMIF('Lease Cycles'!$HL$9:$HR$9,BB$6,'Lease Cycles'!$HZ$9:$IF$9)</f>
        <v>0</v>
      </c>
      <c r="BC40" s="28">
        <f>SUMIF('Lease Cycles'!$HL$9:$HR$9,BC$6,'Lease Cycles'!$HZ$9:$IF$9)</f>
        <v>0</v>
      </c>
      <c r="BD40" s="28">
        <f>SUMIF('Lease Cycles'!$HL$9:$HR$9,BD$6,'Lease Cycles'!$HZ$9:$IF$9)</f>
        <v>0</v>
      </c>
      <c r="BE40" s="28">
        <f>SUMIF('Lease Cycles'!$HL$9:$HR$9,BE$6,'Lease Cycles'!$HZ$9:$IF$9)</f>
        <v>0</v>
      </c>
      <c r="BF40" s="28">
        <f>SUMIF('Lease Cycles'!$HL$9:$HR$9,BF$6,'Lease Cycles'!$HZ$9:$IF$9)</f>
        <v>0</v>
      </c>
      <c r="BG40" s="28">
        <f>SUMIF('Lease Cycles'!$HL$9:$HR$9,BG$6,'Lease Cycles'!$HZ$9:$IF$9)</f>
        <v>0</v>
      </c>
      <c r="BH40" s="28">
        <f>SUMIF('Lease Cycles'!$HL$9:$HR$9,BH$6,'Lease Cycles'!$HZ$9:$IF$9)</f>
        <v>0</v>
      </c>
      <c r="BI40" s="28">
        <f>SUMIF('Lease Cycles'!$HL$9:$HR$9,BI$6,'Lease Cycles'!$HZ$9:$IF$9)</f>
        <v>0</v>
      </c>
      <c r="BJ40" s="28">
        <f>SUMIF('Lease Cycles'!$HL$9:$HR$9,BJ$6,'Lease Cycles'!$HZ$9:$IF$9)</f>
        <v>0</v>
      </c>
      <c r="BK40" s="28">
        <f>SUMIF('Lease Cycles'!$HL$9:$HR$9,BK$6,'Lease Cycles'!$HZ$9:$IF$9)</f>
        <v>0</v>
      </c>
      <c r="BL40" s="28">
        <f>SUMIF('Lease Cycles'!$HL$9:$HR$9,BL$6,'Lease Cycles'!$HZ$9:$IF$9)</f>
        <v>0</v>
      </c>
      <c r="BM40" s="28">
        <f>SUMIF('Lease Cycles'!$HL$9:$HR$9,BM$6,'Lease Cycles'!$HZ$9:$IF$9)</f>
        <v>0</v>
      </c>
      <c r="BN40" s="28">
        <f>SUMIF('Lease Cycles'!$HL$9:$HR$9,BN$6,'Lease Cycles'!$HZ$9:$IF$9)</f>
        <v>0</v>
      </c>
      <c r="BO40" s="28">
        <f>SUMIF('Lease Cycles'!$HL$9:$HR$9,BO$6,'Lease Cycles'!$HZ$9:$IF$9)</f>
        <v>0</v>
      </c>
      <c r="BP40" s="28">
        <f>SUMIF('Lease Cycles'!$HL$9:$HR$9,BP$6,'Lease Cycles'!$HZ$9:$IF$9)</f>
        <v>0</v>
      </c>
      <c r="BQ40" s="28">
        <f>SUMIF('Lease Cycles'!$HL$9:$HR$9,BQ$6,'Lease Cycles'!$HZ$9:$IF$9)</f>
        <v>0</v>
      </c>
      <c r="BR40" s="28">
        <f>SUMIF('Lease Cycles'!$HL$9:$HR$9,BR$6,'Lease Cycles'!$HZ$9:$IF$9)</f>
        <v>0</v>
      </c>
      <c r="BS40" s="28">
        <f>SUMIF('Lease Cycles'!$HL$9:$HR$9,BS$6,'Lease Cycles'!$HZ$9:$IF$9)</f>
        <v>0</v>
      </c>
      <c r="BT40" s="28">
        <f>SUMIF('Lease Cycles'!$HL$9:$HR$9,BT$6,'Lease Cycles'!$HZ$9:$IF$9)</f>
        <v>0</v>
      </c>
      <c r="BU40" s="28">
        <f>SUMIF('Lease Cycles'!$HL$9:$HR$9,BU$6,'Lease Cycles'!$HZ$9:$IF$9)</f>
        <v>0</v>
      </c>
      <c r="BV40" s="28">
        <f>SUMIF('Lease Cycles'!$HL$9:$HR$9,BV$6,'Lease Cycles'!$HZ$9:$IF$9)</f>
        <v>35872.8265015694</v>
      </c>
      <c r="BW40" s="28">
        <f>SUMIF('Lease Cycles'!$HL$9:$HR$9,BW$6,'Lease Cycles'!$HZ$9:$IF$9)</f>
        <v>0</v>
      </c>
      <c r="BX40" s="28">
        <f>SUMIF('Lease Cycles'!$HL$9:$HR$9,BX$6,'Lease Cycles'!$HZ$9:$IF$9)</f>
        <v>0</v>
      </c>
      <c r="BY40" s="28">
        <f>SUMIF('Lease Cycles'!$HL$9:$HR$9,BY$6,'Lease Cycles'!$HZ$9:$IF$9)</f>
        <v>0</v>
      </c>
      <c r="BZ40" s="28">
        <f>SUMIF('Lease Cycles'!$HL$9:$HR$9,BZ$6,'Lease Cycles'!$HZ$9:$IF$9)</f>
        <v>0</v>
      </c>
      <c r="CA40" s="28">
        <f>SUMIF('Lease Cycles'!$HL$9:$HR$9,CA$6,'Lease Cycles'!$HZ$9:$IF$9)</f>
        <v>0</v>
      </c>
      <c r="CB40" s="28">
        <f>SUMIF('Lease Cycles'!$HL$9:$HR$9,CB$6,'Lease Cycles'!$HZ$9:$IF$9)</f>
        <v>0</v>
      </c>
      <c r="CC40" s="28">
        <f>SUMIF('Lease Cycles'!$HL$9:$HR$9,CC$6,'Lease Cycles'!$HZ$9:$IF$9)</f>
        <v>0</v>
      </c>
      <c r="CD40" s="28">
        <f>SUMIF('Lease Cycles'!$HL$9:$HR$9,CD$6,'Lease Cycles'!$HZ$9:$IF$9)</f>
        <v>0</v>
      </c>
      <c r="CE40" s="28">
        <f>SUMIF('Lease Cycles'!$HL$9:$HR$9,CE$6,'Lease Cycles'!$HZ$9:$IF$9)</f>
        <v>0</v>
      </c>
      <c r="CF40" s="28">
        <f>SUMIF('Lease Cycles'!$HL$9:$HR$9,CF$6,'Lease Cycles'!$HZ$9:$IF$9)</f>
        <v>0</v>
      </c>
      <c r="CG40" s="28">
        <f>SUMIF('Lease Cycles'!$HL$9:$HR$9,CG$6,'Lease Cycles'!$HZ$9:$IF$9)</f>
        <v>0</v>
      </c>
      <c r="CH40" s="28">
        <f>SUMIF('Lease Cycles'!$HL$9:$HR$9,CH$6,'Lease Cycles'!$HZ$9:$IF$9)</f>
        <v>0</v>
      </c>
      <c r="CI40" s="28">
        <f>SUMIF('Lease Cycles'!$HL$9:$HR$9,CI$6,'Lease Cycles'!$HZ$9:$IF$9)</f>
        <v>0</v>
      </c>
      <c r="CJ40" s="28">
        <f>SUMIF('Lease Cycles'!$HL$9:$HR$9,CJ$6,'Lease Cycles'!$HZ$9:$IF$9)</f>
        <v>0</v>
      </c>
      <c r="CK40" s="28">
        <f>SUMIF('Lease Cycles'!$HL$9:$HR$9,CK$6,'Lease Cycles'!$HZ$9:$IF$9)</f>
        <v>0</v>
      </c>
      <c r="CL40" s="28">
        <f>SUMIF('Lease Cycles'!$HL$9:$HR$9,CL$6,'Lease Cycles'!$HZ$9:$IF$9)</f>
        <v>0</v>
      </c>
      <c r="CM40" s="28">
        <f>SUMIF('Lease Cycles'!$HL$9:$HR$9,CM$6,'Lease Cycles'!$HZ$9:$IF$9)</f>
        <v>0</v>
      </c>
      <c r="CN40" s="28">
        <f>SUMIF('Lease Cycles'!$HL$9:$HR$9,CN$6,'Lease Cycles'!$HZ$9:$IF$9)</f>
        <v>0</v>
      </c>
      <c r="CO40" s="28">
        <f>SUMIF('Lease Cycles'!$HL$9:$HR$9,CO$6,'Lease Cycles'!$HZ$9:$IF$9)</f>
        <v>0</v>
      </c>
      <c r="CP40" s="28">
        <f>SUMIF('Lease Cycles'!$HL$9:$HR$9,CP$6,'Lease Cycles'!$HZ$9:$IF$9)</f>
        <v>0</v>
      </c>
      <c r="CQ40" s="28">
        <f>SUMIF('Lease Cycles'!$HL$9:$HR$9,CQ$6,'Lease Cycles'!$HZ$9:$IF$9)</f>
        <v>0</v>
      </c>
      <c r="CR40" s="28">
        <f>SUMIF('Lease Cycles'!$HL$9:$HR$9,CR$6,'Lease Cycles'!$HZ$9:$IF$9)</f>
        <v>0</v>
      </c>
      <c r="CS40" s="28">
        <f>SUMIF('Lease Cycles'!$HL$9:$HR$9,CS$6,'Lease Cycles'!$HZ$9:$IF$9)</f>
        <v>0</v>
      </c>
      <c r="CT40" s="28">
        <f>SUMIF('Lease Cycles'!$HL$9:$HR$9,CT$6,'Lease Cycles'!$HZ$9:$IF$9)</f>
        <v>0</v>
      </c>
      <c r="CU40" s="28">
        <f>SUMIF('Lease Cycles'!$HL$9:$HR$9,CU$6,'Lease Cycles'!$HZ$9:$IF$9)</f>
        <v>0</v>
      </c>
      <c r="CV40" s="28">
        <f>SUMIF('Lease Cycles'!$HL$9:$HR$9,CV$6,'Lease Cycles'!$HZ$9:$IF$9)</f>
        <v>0</v>
      </c>
      <c r="CW40" s="28">
        <f>SUMIF('Lease Cycles'!$HL$9:$HR$9,CW$6,'Lease Cycles'!$HZ$9:$IF$9)</f>
        <v>0</v>
      </c>
      <c r="CX40" s="28">
        <f>SUMIF('Lease Cycles'!$HL$9:$HR$9,CX$6,'Lease Cycles'!$HZ$9:$IF$9)</f>
        <v>0</v>
      </c>
      <c r="CY40" s="28">
        <f>SUMIF('Lease Cycles'!$HL$9:$HR$9,CY$6,'Lease Cycles'!$HZ$9:$IF$9)</f>
        <v>0</v>
      </c>
      <c r="CZ40" s="28">
        <f>SUMIF('Lease Cycles'!$HL$9:$HR$9,CZ$6,'Lease Cycles'!$HZ$9:$IF$9)</f>
        <v>0</v>
      </c>
      <c r="DA40" s="28">
        <f>SUMIF('Lease Cycles'!$HL$9:$HR$9,DA$6,'Lease Cycles'!$HZ$9:$IF$9)</f>
        <v>0</v>
      </c>
      <c r="DB40" s="28">
        <f>SUMIF('Lease Cycles'!$HL$9:$HR$9,DB$6,'Lease Cycles'!$HZ$9:$IF$9)</f>
        <v>0</v>
      </c>
      <c r="DC40" s="28">
        <f>SUMIF('Lease Cycles'!$HL$9:$HR$9,DC$6,'Lease Cycles'!$HZ$9:$IF$9)</f>
        <v>0</v>
      </c>
      <c r="DD40" s="28">
        <f>SUMIF('Lease Cycles'!$HL$9:$HR$9,DD$6,'Lease Cycles'!$HZ$9:$IF$9)</f>
        <v>0</v>
      </c>
      <c r="DE40" s="28">
        <f>SUMIF('Lease Cycles'!$HL$9:$HR$9,DE$6,'Lease Cycles'!$HZ$9:$IF$9)</f>
        <v>0</v>
      </c>
      <c r="DF40" s="28">
        <f>SUMIF('Lease Cycles'!$HL$9:$HR$9,DF$6,'Lease Cycles'!$HZ$9:$IF$9)</f>
        <v>0</v>
      </c>
      <c r="DG40" s="28">
        <f>SUMIF('Lease Cycles'!$HL$9:$HR$9,DG$6,'Lease Cycles'!$HZ$9:$IF$9)</f>
        <v>0</v>
      </c>
      <c r="DH40" s="28">
        <f>SUMIF('Lease Cycles'!$HL$9:$HR$9,DH$6,'Lease Cycles'!$HZ$9:$IF$9)</f>
        <v>0</v>
      </c>
      <c r="DI40" s="28">
        <f>SUMIF('Lease Cycles'!$HL$9:$HR$9,DI$6,'Lease Cycles'!$HZ$9:$IF$9)</f>
        <v>0</v>
      </c>
      <c r="DJ40" s="28">
        <f>SUMIF('Lease Cycles'!$HL$9:$HR$9,DJ$6,'Lease Cycles'!$HZ$9:$IF$9)</f>
        <v>0</v>
      </c>
      <c r="DK40" s="28">
        <f>SUMIF('Lease Cycles'!$HL$9:$HR$9,DK$6,'Lease Cycles'!$HZ$9:$IF$9)</f>
        <v>0</v>
      </c>
      <c r="DL40" s="28">
        <f>SUMIF('Lease Cycles'!$HL$9:$HR$9,DL$6,'Lease Cycles'!$HZ$9:$IF$9)</f>
        <v>0</v>
      </c>
      <c r="DM40" s="28">
        <f>SUMIF('Lease Cycles'!$HL$9:$HR$9,DM$6,'Lease Cycles'!$HZ$9:$IF$9)</f>
        <v>0</v>
      </c>
      <c r="DN40" s="28">
        <f>SUMIF('Lease Cycles'!$HL$9:$HR$9,DN$6,'Lease Cycles'!$HZ$9:$IF$9)</f>
        <v>0</v>
      </c>
      <c r="DO40" s="28">
        <f>SUMIF('Lease Cycles'!$HL$9:$HR$9,DO$6,'Lease Cycles'!$HZ$9:$IF$9)</f>
        <v>0</v>
      </c>
      <c r="DP40" s="28">
        <f>SUMIF('Lease Cycles'!$HL$9:$HR$9,DP$6,'Lease Cycles'!$HZ$9:$IF$9)</f>
        <v>0</v>
      </c>
      <c r="DQ40" s="28">
        <f>SUMIF('Lease Cycles'!$HL$9:$HR$9,DQ$6,'Lease Cycles'!$HZ$9:$IF$9)</f>
        <v>0</v>
      </c>
      <c r="DR40" s="28">
        <f>SUMIF('Lease Cycles'!$HL$9:$HR$9,DR$6,'Lease Cycles'!$HZ$9:$IF$9)</f>
        <v>0</v>
      </c>
      <c r="DS40" s="28">
        <f>SUMIF('Lease Cycles'!$HL$9:$HR$9,DS$6,'Lease Cycles'!$HZ$9:$IF$9)</f>
        <v>0</v>
      </c>
      <c r="DT40" s="28">
        <f>SUMIF('Lease Cycles'!$HL$9:$HR$9,DT$6,'Lease Cycles'!$HZ$9:$IF$9)</f>
        <v>0</v>
      </c>
      <c r="DU40" s="28">
        <f>SUMIF('Lease Cycles'!$HL$9:$HR$9,DU$6,'Lease Cycles'!$HZ$9:$IF$9)</f>
        <v>0</v>
      </c>
      <c r="DV40" s="28">
        <f>SUMIF('Lease Cycles'!$HL$9:$HR$9,DV$6,'Lease Cycles'!$HZ$9:$IF$9)</f>
        <v>0</v>
      </c>
      <c r="DW40" s="28">
        <f>SUMIF('Lease Cycles'!$HL$9:$HR$9,DW$6,'Lease Cycles'!$HZ$9:$IF$9)</f>
        <v>0</v>
      </c>
      <c r="DX40" s="28">
        <f>SUMIF('Lease Cycles'!$HL$9:$HR$9,DX$6,'Lease Cycles'!$HZ$9:$IF$9)</f>
        <v>0</v>
      </c>
      <c r="DY40" s="28">
        <f>SUMIF('Lease Cycles'!$HL$9:$HR$9,DY$6,'Lease Cycles'!$HZ$9:$IF$9)</f>
        <v>0</v>
      </c>
      <c r="DZ40" s="28">
        <f>SUMIF('Lease Cycles'!$HL$9:$HR$9,DZ$6,'Lease Cycles'!$HZ$9:$IF$9)</f>
        <v>0</v>
      </c>
      <c r="EA40" s="28">
        <f>SUMIF('Lease Cycles'!$HL$9:$HR$9,EA$6,'Lease Cycles'!$HZ$9:$IF$9)</f>
        <v>0</v>
      </c>
      <c r="EB40" s="28">
        <f>SUMIF('Lease Cycles'!$HL$9:$HR$9,EB$6,'Lease Cycles'!$HZ$9:$IF$9)</f>
        <v>0</v>
      </c>
      <c r="EC40" s="28">
        <f>SUMIF('Lease Cycles'!$HL$9:$HR$9,EC$6,'Lease Cycles'!$HZ$9:$IF$9)</f>
        <v>0</v>
      </c>
      <c r="ED40" s="28">
        <f>SUMIF('Lease Cycles'!$HL$9:$HR$9,ED$6,'Lease Cycles'!$HZ$9:$IF$9)</f>
        <v>0</v>
      </c>
      <c r="EE40" s="28">
        <f>SUMIF('Lease Cycles'!$HL$9:$HR$9,EE$6,'Lease Cycles'!$HZ$9:$IF$9)</f>
        <v>0</v>
      </c>
      <c r="EF40" s="28">
        <f>SUMIF('Lease Cycles'!$HL$9:$HR$9,EF$6,'Lease Cycles'!$HZ$9:$IF$9)</f>
        <v>0</v>
      </c>
      <c r="EG40" s="28">
        <f>SUMIF('Lease Cycles'!$HL$9:$HR$9,EG$6,'Lease Cycles'!$HZ$9:$IF$9)</f>
        <v>0</v>
      </c>
      <c r="EH40" s="28">
        <f>SUMIF('Lease Cycles'!$HL$9:$HR$9,EH$6,'Lease Cycles'!$HZ$9:$IF$9)</f>
        <v>0</v>
      </c>
      <c r="EI40" s="28">
        <f>SUMIF('Lease Cycles'!$HL$9:$HR$9,EI$6,'Lease Cycles'!$HZ$9:$IF$9)</f>
        <v>0</v>
      </c>
      <c r="EJ40" s="28">
        <f>SUMIF('Lease Cycles'!$HL$9:$HR$9,EJ$6,'Lease Cycles'!$HZ$9:$IF$9)</f>
        <v>0</v>
      </c>
      <c r="EK40" s="28">
        <f>SUMIF('Lease Cycles'!$HL$9:$HR$9,EK$6,'Lease Cycles'!$HZ$9:$IF$9)</f>
        <v>0</v>
      </c>
      <c r="EL40" s="28">
        <f>SUMIF('Lease Cycles'!$HL$9:$HR$9,EL$6,'Lease Cycles'!$HZ$9:$IF$9)</f>
        <v>0</v>
      </c>
      <c r="EM40" s="28">
        <f>SUMIF('Lease Cycles'!$HL$9:$HR$9,EM$6,'Lease Cycles'!$HZ$9:$IF$9)</f>
        <v>0</v>
      </c>
      <c r="EN40" s="28">
        <f>SUMIF('Lease Cycles'!$HL$9:$HR$9,EN$6,'Lease Cycles'!$HZ$9:$IF$9)</f>
        <v>0</v>
      </c>
      <c r="EO40" s="28">
        <f>SUMIF('Lease Cycles'!$HL$9:$HR$9,EO$6,'Lease Cycles'!$HZ$9:$IF$9)</f>
        <v>0</v>
      </c>
      <c r="EP40" s="28">
        <f>SUMIF('Lease Cycles'!$HL$9:$HR$9,EP$6,'Lease Cycles'!$HZ$9:$IF$9)</f>
        <v>0</v>
      </c>
      <c r="EQ40" s="28">
        <f>SUMIF('Lease Cycles'!$HL$9:$HR$9,EQ$6,'Lease Cycles'!$HZ$9:$IF$9)</f>
        <v>0</v>
      </c>
      <c r="ER40" s="28">
        <f>SUMIF('Lease Cycles'!$HL$9:$HR$9,ER$6,'Lease Cycles'!$HZ$9:$IF$9)</f>
        <v>0</v>
      </c>
      <c r="ES40" s="28">
        <f>SUMIF('Lease Cycles'!$HL$9:$HR$9,ES$6,'Lease Cycles'!$HZ$9:$IF$9)</f>
        <v>0</v>
      </c>
      <c r="ET40" s="28">
        <f>SUMIF('Lease Cycles'!$HL$9:$HR$9,ET$6,'Lease Cycles'!$HZ$9:$IF$9)</f>
        <v>0</v>
      </c>
    </row>
    <row r="41">
      <c r="A41" s="103">
        <v>2</v>
      </c>
      <c r="B41" s="23" t="str">
        <f>IF('Lease Cycles'!$B$9="","(empty slot)",'Lease Cycles'!$B$9)</f>
        <v>Sunfield Pharmacy</v>
      </c>
      <c r="C41" s="23" t="s">
        <v>691</v>
      </c>
      <c r="D41" s="104" t="s">
        <v>692</v>
      </c>
      <c r="E41" s="25">
        <f>'Lease Cycles'!$AL$9</f>
        <v>0</v>
      </c>
      <c r="G41" s="28">
        <f>SUM(S41:AD41)</f>
        <v>0</v>
      </c>
      <c r="H41" s="28">
        <f>SUM(AE41:AP41)</f>
        <v>0</v>
      </c>
      <c r="I41" s="28">
        <f>SUM(AQ41:BB41)</f>
        <v>0</v>
      </c>
      <c r="J41" s="28">
        <f>SUM(BC41:BN41)</f>
        <v>0</v>
      </c>
      <c r="K41" s="28">
        <f>SUM(BO41:BZ41)</f>
        <v>0</v>
      </c>
      <c r="L41" s="28">
        <f>SUM(CA41:CL41)</f>
        <v>0</v>
      </c>
      <c r="M41" s="28">
        <f>SUM(CM41:CX41)</f>
        <v>0</v>
      </c>
      <c r="N41" s="28">
        <f>SUM(CY41:DJ41)</f>
        <v>0</v>
      </c>
      <c r="O41" s="28">
        <f>SUM(DK41:DV41)</f>
        <v>0</v>
      </c>
      <c r="P41" s="28">
        <f>SUM(DW41:EH41)</f>
        <v>0</v>
      </c>
      <c r="Q41" s="28">
        <f>SUM(EI41:ET41)</f>
        <v>0</v>
      </c>
      <c r="S41" s="28">
        <f>IF(S$6='Lease Cycles'!$HL$9,'Lease Cycles'!$HS$9+'Lease Cycles'!$HZ$9,0)</f>
        <v>0</v>
      </c>
      <c r="T41" s="28">
        <f>IF(T$6='Lease Cycles'!$HL$9,'Lease Cycles'!$HS$9+'Lease Cycles'!$HZ$9,0)</f>
        <v>0</v>
      </c>
      <c r="U41" s="28">
        <f>IF(U$6='Lease Cycles'!$HL$9,'Lease Cycles'!$HS$9+'Lease Cycles'!$HZ$9,0)</f>
        <v>0</v>
      </c>
      <c r="V41" s="28">
        <f>IF(V$6='Lease Cycles'!$HL$9,'Lease Cycles'!$HS$9+'Lease Cycles'!$HZ$9,0)</f>
        <v>0</v>
      </c>
      <c r="W41" s="28">
        <f>IF(W$6='Lease Cycles'!$HL$9,'Lease Cycles'!$HS$9+'Lease Cycles'!$HZ$9,0)</f>
        <v>0</v>
      </c>
      <c r="X41" s="28">
        <f>IF(X$6='Lease Cycles'!$HL$9,'Lease Cycles'!$HS$9+'Lease Cycles'!$HZ$9,0)</f>
        <v>0</v>
      </c>
      <c r="Y41" s="28">
        <f>IF(Y$6='Lease Cycles'!$HL$9,'Lease Cycles'!$HS$9+'Lease Cycles'!$HZ$9,0)</f>
        <v>0</v>
      </c>
      <c r="Z41" s="28">
        <f>IF(Z$6='Lease Cycles'!$HL$9,'Lease Cycles'!$HS$9+'Lease Cycles'!$HZ$9,0)</f>
        <v>0</v>
      </c>
      <c r="AA41" s="28">
        <f>IF(AA$6='Lease Cycles'!$HL$9,'Lease Cycles'!$HS$9+'Lease Cycles'!$HZ$9,0)</f>
        <v>0</v>
      </c>
      <c r="AB41" s="28">
        <f>IF(AB$6='Lease Cycles'!$HL$9,'Lease Cycles'!$HS$9+'Lease Cycles'!$HZ$9,0)</f>
        <v>0</v>
      </c>
      <c r="AC41" s="28">
        <f>IF(AC$6='Lease Cycles'!$HL$9,'Lease Cycles'!$HS$9+'Lease Cycles'!$HZ$9,0)</f>
        <v>0</v>
      </c>
      <c r="AD41" s="28">
        <f>IF(AD$6='Lease Cycles'!$HL$9,'Lease Cycles'!$HS$9+'Lease Cycles'!$HZ$9,0)</f>
        <v>0</v>
      </c>
      <c r="AE41" s="28">
        <f>IF(AE$6='Lease Cycles'!$HL$9,'Lease Cycles'!$HS$9+'Lease Cycles'!$HZ$9,0)</f>
        <v>0</v>
      </c>
      <c r="AF41" s="28">
        <f>IF(AF$6='Lease Cycles'!$HL$9,'Lease Cycles'!$HS$9+'Lease Cycles'!$HZ$9,0)</f>
        <v>0</v>
      </c>
      <c r="AG41" s="28">
        <f>IF(AG$6='Lease Cycles'!$HL$9,'Lease Cycles'!$HS$9+'Lease Cycles'!$HZ$9,0)</f>
        <v>0</v>
      </c>
      <c r="AH41" s="28">
        <f>IF(AH$6='Lease Cycles'!$HL$9,'Lease Cycles'!$HS$9+'Lease Cycles'!$HZ$9,0)</f>
        <v>0</v>
      </c>
      <c r="AI41" s="28">
        <f>IF(AI$6='Lease Cycles'!$HL$9,'Lease Cycles'!$HS$9+'Lease Cycles'!$HZ$9,0)</f>
        <v>0</v>
      </c>
      <c r="AJ41" s="28">
        <f>IF(AJ$6='Lease Cycles'!$HL$9,'Lease Cycles'!$HS$9+'Lease Cycles'!$HZ$9,0)</f>
        <v>0</v>
      </c>
      <c r="AK41" s="28">
        <f>IF(AK$6='Lease Cycles'!$HL$9,'Lease Cycles'!$HS$9+'Lease Cycles'!$HZ$9,0)</f>
        <v>0</v>
      </c>
      <c r="AL41" s="28">
        <f>IF(AL$6='Lease Cycles'!$HL$9,'Lease Cycles'!$HS$9+'Lease Cycles'!$HZ$9,0)</f>
        <v>0</v>
      </c>
      <c r="AM41" s="28">
        <f>IF(AM$6='Lease Cycles'!$HL$9,'Lease Cycles'!$HS$9+'Lease Cycles'!$HZ$9,0)</f>
        <v>0</v>
      </c>
      <c r="AN41" s="28">
        <f>IF(AN$6='Lease Cycles'!$HL$9,'Lease Cycles'!$HS$9+'Lease Cycles'!$HZ$9,0)</f>
        <v>0</v>
      </c>
      <c r="AO41" s="28">
        <f>IF(AO$6='Lease Cycles'!$HL$9,'Lease Cycles'!$HS$9+'Lease Cycles'!$HZ$9,0)</f>
        <v>0</v>
      </c>
      <c r="AP41" s="28">
        <f>IF(AP$6='Lease Cycles'!$HL$9,'Lease Cycles'!$HS$9+'Lease Cycles'!$HZ$9,0)</f>
        <v>0</v>
      </c>
      <c r="AQ41" s="28">
        <f>IF(AQ$6='Lease Cycles'!$HL$9,'Lease Cycles'!$HS$9+'Lease Cycles'!$HZ$9,0)</f>
        <v>0</v>
      </c>
      <c r="AR41" s="28">
        <f>IF(AR$6='Lease Cycles'!$HL$9,'Lease Cycles'!$HS$9+'Lease Cycles'!$HZ$9,0)</f>
        <v>0</v>
      </c>
      <c r="AS41" s="28">
        <f>IF(AS$6='Lease Cycles'!$HL$9,'Lease Cycles'!$HS$9+'Lease Cycles'!$HZ$9,0)</f>
        <v>0</v>
      </c>
      <c r="AT41" s="28">
        <f>IF(AT$6='Lease Cycles'!$HL$9,'Lease Cycles'!$HS$9+'Lease Cycles'!$HZ$9,0)</f>
        <v>0</v>
      </c>
      <c r="AU41" s="28">
        <f>IF(AU$6='Lease Cycles'!$HL$9,'Lease Cycles'!$HS$9+'Lease Cycles'!$HZ$9,0)</f>
        <v>0</v>
      </c>
      <c r="AV41" s="28">
        <f>IF(AV$6='Lease Cycles'!$HL$9,'Lease Cycles'!$HS$9+'Lease Cycles'!$HZ$9,0)</f>
        <v>0</v>
      </c>
      <c r="AW41" s="28">
        <f>IF(AW$6='Lease Cycles'!$HL$9,'Lease Cycles'!$HS$9+'Lease Cycles'!$HZ$9,0)</f>
        <v>0</v>
      </c>
      <c r="AX41" s="28">
        <f>IF(AX$6='Lease Cycles'!$HL$9,'Lease Cycles'!$HS$9+'Lease Cycles'!$HZ$9,0)</f>
        <v>0</v>
      </c>
      <c r="AY41" s="28">
        <f>IF(AY$6='Lease Cycles'!$HL$9,'Lease Cycles'!$HS$9+'Lease Cycles'!$HZ$9,0)</f>
        <v>0</v>
      </c>
      <c r="AZ41" s="28">
        <f>IF(AZ$6='Lease Cycles'!$HL$9,'Lease Cycles'!$HS$9+'Lease Cycles'!$HZ$9,0)</f>
        <v>0</v>
      </c>
      <c r="BA41" s="28">
        <f>IF(BA$6='Lease Cycles'!$HL$9,'Lease Cycles'!$HS$9+'Lease Cycles'!$HZ$9,0)</f>
        <v>0</v>
      </c>
      <c r="BB41" s="28">
        <f>IF(BB$6='Lease Cycles'!$HL$9,'Lease Cycles'!$HS$9+'Lease Cycles'!$HZ$9,0)</f>
        <v>0</v>
      </c>
      <c r="BC41" s="28">
        <f>IF(BC$6='Lease Cycles'!$HL$9,'Lease Cycles'!$HS$9+'Lease Cycles'!$HZ$9,0)</f>
        <v>0</v>
      </c>
      <c r="BD41" s="28">
        <f>IF(BD$6='Lease Cycles'!$HL$9,'Lease Cycles'!$HS$9+'Lease Cycles'!$HZ$9,0)</f>
        <v>0</v>
      </c>
      <c r="BE41" s="28">
        <f>IF(BE$6='Lease Cycles'!$HL$9,'Lease Cycles'!$HS$9+'Lease Cycles'!$HZ$9,0)</f>
        <v>0</v>
      </c>
      <c r="BF41" s="28">
        <f>IF(BF$6='Lease Cycles'!$HL$9,'Lease Cycles'!$HS$9+'Lease Cycles'!$HZ$9,0)</f>
        <v>0</v>
      </c>
      <c r="BG41" s="28">
        <f>IF(BG$6='Lease Cycles'!$HL$9,'Lease Cycles'!$HS$9+'Lease Cycles'!$HZ$9,0)</f>
        <v>0</v>
      </c>
      <c r="BH41" s="28">
        <f>IF(BH$6='Lease Cycles'!$HL$9,'Lease Cycles'!$HS$9+'Lease Cycles'!$HZ$9,0)</f>
        <v>0</v>
      </c>
      <c r="BI41" s="28">
        <f>IF(BI$6='Lease Cycles'!$HL$9,'Lease Cycles'!$HS$9+'Lease Cycles'!$HZ$9,0)</f>
        <v>0</v>
      </c>
      <c r="BJ41" s="28">
        <f>IF(BJ$6='Lease Cycles'!$HL$9,'Lease Cycles'!$HS$9+'Lease Cycles'!$HZ$9,0)</f>
        <v>0</v>
      </c>
      <c r="BK41" s="28">
        <f>IF(BK$6='Lease Cycles'!$HL$9,'Lease Cycles'!$HS$9+'Lease Cycles'!$HZ$9,0)</f>
        <v>0</v>
      </c>
      <c r="BL41" s="28">
        <f>IF(BL$6='Lease Cycles'!$HL$9,'Lease Cycles'!$HS$9+'Lease Cycles'!$HZ$9,0)</f>
        <v>0</v>
      </c>
      <c r="BM41" s="28">
        <f>IF(BM$6='Lease Cycles'!$HL$9,'Lease Cycles'!$HS$9+'Lease Cycles'!$HZ$9,0)</f>
        <v>0</v>
      </c>
      <c r="BN41" s="28">
        <f>IF(BN$6='Lease Cycles'!$HL$9,'Lease Cycles'!$HS$9+'Lease Cycles'!$HZ$9,0)</f>
        <v>0</v>
      </c>
      <c r="BO41" s="28">
        <f>IF(BO$6='Lease Cycles'!$HL$9,'Lease Cycles'!$HS$9+'Lease Cycles'!$HZ$9,0)</f>
        <v>0</v>
      </c>
      <c r="BP41" s="28">
        <f>IF(BP$6='Lease Cycles'!$HL$9,'Lease Cycles'!$HS$9+'Lease Cycles'!$HZ$9,0)</f>
        <v>0</v>
      </c>
      <c r="BQ41" s="28">
        <f>IF(BQ$6='Lease Cycles'!$HL$9,'Lease Cycles'!$HS$9+'Lease Cycles'!$HZ$9,0)</f>
        <v>0</v>
      </c>
      <c r="BR41" s="28">
        <f>IF(BR$6='Lease Cycles'!$HL$9,'Lease Cycles'!$HS$9+'Lease Cycles'!$HZ$9,0)</f>
        <v>0</v>
      </c>
      <c r="BS41" s="28">
        <f>IF(BS$6='Lease Cycles'!$HL$9,'Lease Cycles'!$HS$9+'Lease Cycles'!$HZ$9,0)</f>
        <v>0</v>
      </c>
      <c r="BT41" s="28">
        <f>IF(BT$6='Lease Cycles'!$HL$9,'Lease Cycles'!$HS$9+'Lease Cycles'!$HZ$9,0)</f>
        <v>0</v>
      </c>
      <c r="BU41" s="28">
        <f>IF(BU$6='Lease Cycles'!$HL$9,'Lease Cycles'!$HS$9+'Lease Cycles'!$HZ$9,0)</f>
        <v>0</v>
      </c>
      <c r="BV41" s="28">
        <f>IF(BV$6='Lease Cycles'!$HL$9,'Lease Cycles'!$HS$9+'Lease Cycles'!$HZ$9,0)</f>
        <v>0</v>
      </c>
      <c r="BW41" s="28">
        <f>IF(BW$6='Lease Cycles'!$HL$9,'Lease Cycles'!$HS$9+'Lease Cycles'!$HZ$9,0)</f>
        <v>0</v>
      </c>
      <c r="BX41" s="28">
        <f>IF(BX$6='Lease Cycles'!$HL$9,'Lease Cycles'!$HS$9+'Lease Cycles'!$HZ$9,0)</f>
        <v>0</v>
      </c>
      <c r="BY41" s="28">
        <f>IF(BY$6='Lease Cycles'!$HL$9,'Lease Cycles'!$HS$9+'Lease Cycles'!$HZ$9,0)</f>
        <v>0</v>
      </c>
      <c r="BZ41" s="28">
        <f>IF(BZ$6='Lease Cycles'!$HL$9,'Lease Cycles'!$HS$9+'Lease Cycles'!$HZ$9,0)</f>
        <v>0</v>
      </c>
      <c r="CA41" s="28">
        <f>IF(CA$6='Lease Cycles'!$HL$9,'Lease Cycles'!$HS$9+'Lease Cycles'!$HZ$9,0)</f>
        <v>0</v>
      </c>
      <c r="CB41" s="28">
        <f>IF(CB$6='Lease Cycles'!$HL$9,'Lease Cycles'!$HS$9+'Lease Cycles'!$HZ$9,0)</f>
        <v>0</v>
      </c>
      <c r="CC41" s="28">
        <f>IF(CC$6='Lease Cycles'!$HL$9,'Lease Cycles'!$HS$9+'Lease Cycles'!$HZ$9,0)</f>
        <v>0</v>
      </c>
      <c r="CD41" s="28">
        <f>IF(CD$6='Lease Cycles'!$HL$9,'Lease Cycles'!$HS$9+'Lease Cycles'!$HZ$9,0)</f>
        <v>0</v>
      </c>
      <c r="CE41" s="28">
        <f>IF(CE$6='Lease Cycles'!$HL$9,'Lease Cycles'!$HS$9+'Lease Cycles'!$HZ$9,0)</f>
        <v>0</v>
      </c>
      <c r="CF41" s="28">
        <f>IF(CF$6='Lease Cycles'!$HL$9,'Lease Cycles'!$HS$9+'Lease Cycles'!$HZ$9,0)</f>
        <v>0</v>
      </c>
      <c r="CG41" s="28">
        <f>IF(CG$6='Lease Cycles'!$HL$9,'Lease Cycles'!$HS$9+'Lease Cycles'!$HZ$9,0)</f>
        <v>0</v>
      </c>
      <c r="CH41" s="28">
        <f>IF(CH$6='Lease Cycles'!$HL$9,'Lease Cycles'!$HS$9+'Lease Cycles'!$HZ$9,0)</f>
        <v>0</v>
      </c>
      <c r="CI41" s="28">
        <f>IF(CI$6='Lease Cycles'!$HL$9,'Lease Cycles'!$HS$9+'Lease Cycles'!$HZ$9,0)</f>
        <v>0</v>
      </c>
      <c r="CJ41" s="28">
        <f>IF(CJ$6='Lease Cycles'!$HL$9,'Lease Cycles'!$HS$9+'Lease Cycles'!$HZ$9,0)</f>
        <v>0</v>
      </c>
      <c r="CK41" s="28">
        <f>IF(CK$6='Lease Cycles'!$HL$9,'Lease Cycles'!$HS$9+'Lease Cycles'!$HZ$9,0)</f>
        <v>0</v>
      </c>
      <c r="CL41" s="28">
        <f>IF(CL$6='Lease Cycles'!$HL$9,'Lease Cycles'!$HS$9+'Lease Cycles'!$HZ$9,0)</f>
        <v>0</v>
      </c>
      <c r="CM41" s="28">
        <f>IF(CM$6='Lease Cycles'!$HL$9,'Lease Cycles'!$HS$9+'Lease Cycles'!$HZ$9,0)</f>
        <v>0</v>
      </c>
      <c r="CN41" s="28">
        <f>IF(CN$6='Lease Cycles'!$HL$9,'Lease Cycles'!$HS$9+'Lease Cycles'!$HZ$9,0)</f>
        <v>0</v>
      </c>
      <c r="CO41" s="28">
        <f>IF(CO$6='Lease Cycles'!$HL$9,'Lease Cycles'!$HS$9+'Lease Cycles'!$HZ$9,0)</f>
        <v>0</v>
      </c>
      <c r="CP41" s="28">
        <f>IF(CP$6='Lease Cycles'!$HL$9,'Lease Cycles'!$HS$9+'Lease Cycles'!$HZ$9,0)</f>
        <v>0</v>
      </c>
      <c r="CQ41" s="28">
        <f>IF(CQ$6='Lease Cycles'!$HL$9,'Lease Cycles'!$HS$9+'Lease Cycles'!$HZ$9,0)</f>
        <v>0</v>
      </c>
      <c r="CR41" s="28">
        <f>IF(CR$6='Lease Cycles'!$HL$9,'Lease Cycles'!$HS$9+'Lease Cycles'!$HZ$9,0)</f>
        <v>0</v>
      </c>
      <c r="CS41" s="28">
        <f>IF(CS$6='Lease Cycles'!$HL$9,'Lease Cycles'!$HS$9+'Lease Cycles'!$HZ$9,0)</f>
        <v>0</v>
      </c>
      <c r="CT41" s="28">
        <f>IF(CT$6='Lease Cycles'!$HL$9,'Lease Cycles'!$HS$9+'Lease Cycles'!$HZ$9,0)</f>
        <v>0</v>
      </c>
      <c r="CU41" s="28">
        <f>IF(CU$6='Lease Cycles'!$HL$9,'Lease Cycles'!$HS$9+'Lease Cycles'!$HZ$9,0)</f>
        <v>0</v>
      </c>
      <c r="CV41" s="28">
        <f>IF(CV$6='Lease Cycles'!$HL$9,'Lease Cycles'!$HS$9+'Lease Cycles'!$HZ$9,0)</f>
        <v>0</v>
      </c>
      <c r="CW41" s="28">
        <f>IF(CW$6='Lease Cycles'!$HL$9,'Lease Cycles'!$HS$9+'Lease Cycles'!$HZ$9,0)</f>
        <v>0</v>
      </c>
      <c r="CX41" s="28">
        <f>IF(CX$6='Lease Cycles'!$HL$9,'Lease Cycles'!$HS$9+'Lease Cycles'!$HZ$9,0)</f>
        <v>0</v>
      </c>
      <c r="CY41" s="28">
        <f>IF(CY$6='Lease Cycles'!$HL$9,'Lease Cycles'!$HS$9+'Lease Cycles'!$HZ$9,0)</f>
        <v>0</v>
      </c>
      <c r="CZ41" s="28">
        <f>IF(CZ$6='Lease Cycles'!$HL$9,'Lease Cycles'!$HS$9+'Lease Cycles'!$HZ$9,0)</f>
        <v>0</v>
      </c>
      <c r="DA41" s="28">
        <f>IF(DA$6='Lease Cycles'!$HL$9,'Lease Cycles'!$HS$9+'Lease Cycles'!$HZ$9,0)</f>
        <v>0</v>
      </c>
      <c r="DB41" s="28">
        <f>IF(DB$6='Lease Cycles'!$HL$9,'Lease Cycles'!$HS$9+'Lease Cycles'!$HZ$9,0)</f>
        <v>0</v>
      </c>
      <c r="DC41" s="28">
        <f>IF(DC$6='Lease Cycles'!$HL$9,'Lease Cycles'!$HS$9+'Lease Cycles'!$HZ$9,0)</f>
        <v>0</v>
      </c>
      <c r="DD41" s="28">
        <f>IF(DD$6='Lease Cycles'!$HL$9,'Lease Cycles'!$HS$9+'Lease Cycles'!$HZ$9,0)</f>
        <v>0</v>
      </c>
      <c r="DE41" s="28">
        <f>IF(DE$6='Lease Cycles'!$HL$9,'Lease Cycles'!$HS$9+'Lease Cycles'!$HZ$9,0)</f>
        <v>0</v>
      </c>
      <c r="DF41" s="28">
        <f>IF(DF$6='Lease Cycles'!$HL$9,'Lease Cycles'!$HS$9+'Lease Cycles'!$HZ$9,0)</f>
        <v>0</v>
      </c>
      <c r="DG41" s="28">
        <f>IF(DG$6='Lease Cycles'!$HL$9,'Lease Cycles'!$HS$9+'Lease Cycles'!$HZ$9,0)</f>
        <v>0</v>
      </c>
      <c r="DH41" s="28">
        <f>IF(DH$6='Lease Cycles'!$HL$9,'Lease Cycles'!$HS$9+'Lease Cycles'!$HZ$9,0)</f>
        <v>0</v>
      </c>
      <c r="DI41" s="28">
        <f>IF(DI$6='Lease Cycles'!$HL$9,'Lease Cycles'!$HS$9+'Lease Cycles'!$HZ$9,0)</f>
        <v>0</v>
      </c>
      <c r="DJ41" s="28">
        <f>IF(DJ$6='Lease Cycles'!$HL$9,'Lease Cycles'!$HS$9+'Lease Cycles'!$HZ$9,0)</f>
        <v>0</v>
      </c>
      <c r="DK41" s="28">
        <f>IF(DK$6='Lease Cycles'!$HL$9,'Lease Cycles'!$HS$9+'Lease Cycles'!$HZ$9,0)</f>
        <v>0</v>
      </c>
      <c r="DL41" s="28">
        <f>IF(DL$6='Lease Cycles'!$HL$9,'Lease Cycles'!$HS$9+'Lease Cycles'!$HZ$9,0)</f>
        <v>0</v>
      </c>
      <c r="DM41" s="28">
        <f>IF(DM$6='Lease Cycles'!$HL$9,'Lease Cycles'!$HS$9+'Lease Cycles'!$HZ$9,0)</f>
        <v>0</v>
      </c>
      <c r="DN41" s="28">
        <f>IF(DN$6='Lease Cycles'!$HL$9,'Lease Cycles'!$HS$9+'Lease Cycles'!$HZ$9,0)</f>
        <v>0</v>
      </c>
      <c r="DO41" s="28">
        <f>IF(DO$6='Lease Cycles'!$HL$9,'Lease Cycles'!$HS$9+'Lease Cycles'!$HZ$9,0)</f>
        <v>0</v>
      </c>
      <c r="DP41" s="28">
        <f>IF(DP$6='Lease Cycles'!$HL$9,'Lease Cycles'!$HS$9+'Lease Cycles'!$HZ$9,0)</f>
        <v>0</v>
      </c>
      <c r="DQ41" s="28">
        <f>IF(DQ$6='Lease Cycles'!$HL$9,'Lease Cycles'!$HS$9+'Lease Cycles'!$HZ$9,0)</f>
        <v>0</v>
      </c>
      <c r="DR41" s="28">
        <f>IF(DR$6='Lease Cycles'!$HL$9,'Lease Cycles'!$HS$9+'Lease Cycles'!$HZ$9,0)</f>
        <v>0</v>
      </c>
      <c r="DS41" s="28">
        <f>IF(DS$6='Lease Cycles'!$HL$9,'Lease Cycles'!$HS$9+'Lease Cycles'!$HZ$9,0)</f>
        <v>0</v>
      </c>
      <c r="DT41" s="28">
        <f>IF(DT$6='Lease Cycles'!$HL$9,'Lease Cycles'!$HS$9+'Lease Cycles'!$HZ$9,0)</f>
        <v>0</v>
      </c>
      <c r="DU41" s="28">
        <f>IF(DU$6='Lease Cycles'!$HL$9,'Lease Cycles'!$HS$9+'Lease Cycles'!$HZ$9,0)</f>
        <v>0</v>
      </c>
      <c r="DV41" s="28">
        <f>IF(DV$6='Lease Cycles'!$HL$9,'Lease Cycles'!$HS$9+'Lease Cycles'!$HZ$9,0)</f>
        <v>0</v>
      </c>
      <c r="DW41" s="28">
        <f>IF(DW$6='Lease Cycles'!$HL$9,'Lease Cycles'!$HS$9+'Lease Cycles'!$HZ$9,0)</f>
        <v>0</v>
      </c>
      <c r="DX41" s="28">
        <f>IF(DX$6='Lease Cycles'!$HL$9,'Lease Cycles'!$HS$9+'Lease Cycles'!$HZ$9,0)</f>
        <v>0</v>
      </c>
      <c r="DY41" s="28">
        <f>IF(DY$6='Lease Cycles'!$HL$9,'Lease Cycles'!$HS$9+'Lease Cycles'!$HZ$9,0)</f>
        <v>0</v>
      </c>
      <c r="DZ41" s="28">
        <f>IF(DZ$6='Lease Cycles'!$HL$9,'Lease Cycles'!$HS$9+'Lease Cycles'!$HZ$9,0)</f>
        <v>0</v>
      </c>
      <c r="EA41" s="28">
        <f>IF(EA$6='Lease Cycles'!$HL$9,'Lease Cycles'!$HS$9+'Lease Cycles'!$HZ$9,0)</f>
        <v>0</v>
      </c>
      <c r="EB41" s="28">
        <f>IF(EB$6='Lease Cycles'!$HL$9,'Lease Cycles'!$HS$9+'Lease Cycles'!$HZ$9,0)</f>
        <v>0</v>
      </c>
      <c r="EC41" s="28">
        <f>IF(EC$6='Lease Cycles'!$HL$9,'Lease Cycles'!$HS$9+'Lease Cycles'!$HZ$9,0)</f>
        <v>0</v>
      </c>
      <c r="ED41" s="28">
        <f>IF(ED$6='Lease Cycles'!$HL$9,'Lease Cycles'!$HS$9+'Lease Cycles'!$HZ$9,0)</f>
        <v>0</v>
      </c>
      <c r="EE41" s="28">
        <f>IF(EE$6='Lease Cycles'!$HL$9,'Lease Cycles'!$HS$9+'Lease Cycles'!$HZ$9,0)</f>
        <v>0</v>
      </c>
      <c r="EF41" s="28">
        <f>IF(EF$6='Lease Cycles'!$HL$9,'Lease Cycles'!$HS$9+'Lease Cycles'!$HZ$9,0)</f>
        <v>0</v>
      </c>
      <c r="EG41" s="28">
        <f>IF(EG$6='Lease Cycles'!$HL$9,'Lease Cycles'!$HS$9+'Lease Cycles'!$HZ$9,0)</f>
        <v>0</v>
      </c>
      <c r="EH41" s="28">
        <f>IF(EH$6='Lease Cycles'!$HL$9,'Lease Cycles'!$HS$9+'Lease Cycles'!$HZ$9,0)</f>
        <v>0</v>
      </c>
      <c r="EI41" s="28">
        <f>IF(EI$6='Lease Cycles'!$HL$9,'Lease Cycles'!$HS$9+'Lease Cycles'!$HZ$9,0)</f>
        <v>0</v>
      </c>
      <c r="EJ41" s="28">
        <f>IF(EJ$6='Lease Cycles'!$HL$9,'Lease Cycles'!$HS$9+'Lease Cycles'!$HZ$9,0)</f>
        <v>0</v>
      </c>
      <c r="EK41" s="28">
        <f>IF(EK$6='Lease Cycles'!$HL$9,'Lease Cycles'!$HS$9+'Lease Cycles'!$HZ$9,0)</f>
        <v>0</v>
      </c>
      <c r="EL41" s="28">
        <f>IF(EL$6='Lease Cycles'!$HL$9,'Lease Cycles'!$HS$9+'Lease Cycles'!$HZ$9,0)</f>
        <v>0</v>
      </c>
      <c r="EM41" s="28">
        <f>IF(EM$6='Lease Cycles'!$HL$9,'Lease Cycles'!$HS$9+'Lease Cycles'!$HZ$9,0)</f>
        <v>0</v>
      </c>
      <c r="EN41" s="28">
        <f>IF(EN$6='Lease Cycles'!$HL$9,'Lease Cycles'!$HS$9+'Lease Cycles'!$HZ$9,0)</f>
        <v>0</v>
      </c>
      <c r="EO41" s="28">
        <f>IF(EO$6='Lease Cycles'!$HL$9,'Lease Cycles'!$HS$9+'Lease Cycles'!$HZ$9,0)</f>
        <v>0</v>
      </c>
      <c r="EP41" s="28">
        <f>IF(EP$6='Lease Cycles'!$HL$9,'Lease Cycles'!$HS$9+'Lease Cycles'!$HZ$9,0)</f>
        <v>0</v>
      </c>
      <c r="EQ41" s="28">
        <f>IF(EQ$6='Lease Cycles'!$HL$9,'Lease Cycles'!$HS$9+'Lease Cycles'!$HZ$9,0)</f>
        <v>0</v>
      </c>
      <c r="ER41" s="28">
        <f>IF(ER$6='Lease Cycles'!$HL$9,'Lease Cycles'!$HS$9+'Lease Cycles'!$HZ$9,0)</f>
        <v>0</v>
      </c>
      <c r="ES41" s="28">
        <f>IF(ES$6='Lease Cycles'!$HL$9,'Lease Cycles'!$HS$9+'Lease Cycles'!$HZ$9,0)</f>
        <v>0</v>
      </c>
      <c r="ET41" s="28">
        <f>IF(ET$6='Lease Cycles'!$HL$9,'Lease Cycles'!$HS$9+'Lease Cycles'!$HZ$9,0)</f>
        <v>0</v>
      </c>
    </row>
    <row r="42">
      <c r="A42" s="103">
        <v>2</v>
      </c>
      <c r="B42" s="23" t="str">
        <f>IF('Lease Cycles'!$B$9="","(empty slot)",'Lease Cycles'!$B$9)</f>
        <v>Sunfield Pharmacy</v>
      </c>
      <c r="C42" s="23" t="s">
        <v>499</v>
      </c>
      <c r="D42" s="104" t="s">
        <v>500</v>
      </c>
      <c r="E42" s="25">
        <f>'Lease Cycles'!$AL$9</f>
        <v>0</v>
      </c>
      <c r="G42" s="28">
        <f>MAX(0,'Lease Cycles'!$AN$9*'Lease Cycles'!$C$9*'Lease Cycles'!$AM$9*(1+a_SalesGrowth)^(G$6-1)-G32)</f>
        <v>0</v>
      </c>
      <c r="H42" s="28">
        <f>MAX(0,'Lease Cycles'!$AN$9*'Lease Cycles'!$C$9*'Lease Cycles'!$AM$9*(1+a_SalesGrowth)^(H$6-1)-H32)</f>
        <v>0</v>
      </c>
      <c r="I42" s="28">
        <f>MAX(0,'Lease Cycles'!$AN$9*'Lease Cycles'!$C$9*'Lease Cycles'!$AM$9*(1+a_SalesGrowth)^(I$6-1)-I32)</f>
        <v>0</v>
      </c>
      <c r="J42" s="28">
        <f>MAX(0,'Lease Cycles'!$AN$9*'Lease Cycles'!$C$9*'Lease Cycles'!$AM$9*(1+a_SalesGrowth)^(J$6-1)-J32)</f>
        <v>0</v>
      </c>
      <c r="K42" s="28">
        <f>MAX(0,'Lease Cycles'!$AN$9*'Lease Cycles'!$C$9*'Lease Cycles'!$AM$9*(1+a_SalesGrowth)^(K$6-1)-K32)</f>
        <v>0</v>
      </c>
      <c r="L42" s="28">
        <f>MAX(0,'Lease Cycles'!$AN$9*'Lease Cycles'!$C$9*'Lease Cycles'!$AM$9*(1+a_SalesGrowth)^(L$6-1)-L32)</f>
        <v>0</v>
      </c>
      <c r="M42" s="28">
        <f>MAX(0,'Lease Cycles'!$AN$9*'Lease Cycles'!$C$9*'Lease Cycles'!$AM$9*(1+a_SalesGrowth)^(M$6-1)-M32)</f>
        <v>0</v>
      </c>
      <c r="N42" s="28">
        <f>MAX(0,'Lease Cycles'!$AN$9*'Lease Cycles'!$C$9*'Lease Cycles'!$AM$9*(1+a_SalesGrowth)^(N$6-1)-N32)</f>
        <v>0</v>
      </c>
      <c r="O42" s="28">
        <f>MAX(0,'Lease Cycles'!$AN$9*'Lease Cycles'!$C$9*'Lease Cycles'!$AM$9*(1+a_SalesGrowth)^(O$6-1)-O32)</f>
        <v>0</v>
      </c>
      <c r="P42" s="28">
        <f>MAX(0,'Lease Cycles'!$AN$9*'Lease Cycles'!$C$9*'Lease Cycles'!$AM$9*(1+a_SalesGrowth)^(P$6-1)-P32)</f>
        <v>0</v>
      </c>
      <c r="Q42" s="28">
        <f>MAX(0,'Lease Cycles'!$AN$9*'Lease Cycles'!$C$9*'Lease Cycles'!$AM$9*(1+a_SalesGrowth)^(Q$6-1)-Q32)</f>
        <v>0</v>
      </c>
    </row>
    <row r="44">
      <c r="A44" s="103">
        <v>3</v>
      </c>
      <c r="B44" s="23" t="str">
        <f>IF('Lease Cycles'!$B$10="","(empty slot)",'Lease Cycles'!$B$10)</f>
        <v>Sunfield Fitness</v>
      </c>
      <c r="C44" s="23" t="s">
        <v>671</v>
      </c>
      <c r="D44" s="104" t="s">
        <v>672</v>
      </c>
      <c r="E44" s="25">
        <f>'Lease Cycles'!$AL$10</f>
        <v>0</v>
      </c>
      <c r="S44" s="25">
        <f>IF('Lease Cycles'!$C$10&gt;0,COUNTIF('Lease Cycles'!$BG$10:$BM$10,"&lt;="&amp;S$6),0)</f>
        <v>1</v>
      </c>
      <c r="T44" s="25">
        <f>IF('Lease Cycles'!$C$10&gt;0,COUNTIF('Lease Cycles'!$BG$10:$BM$10,"&lt;="&amp;T$6),0)</f>
        <v>1</v>
      </c>
      <c r="U44" s="25">
        <f>IF('Lease Cycles'!$C$10&gt;0,COUNTIF('Lease Cycles'!$BG$10:$BM$10,"&lt;="&amp;U$6),0)</f>
        <v>1</v>
      </c>
      <c r="V44" s="25">
        <f>IF('Lease Cycles'!$C$10&gt;0,COUNTIF('Lease Cycles'!$BG$10:$BM$10,"&lt;="&amp;V$6),0)</f>
        <v>1</v>
      </c>
      <c r="W44" s="25">
        <f>IF('Lease Cycles'!$C$10&gt;0,COUNTIF('Lease Cycles'!$BG$10:$BM$10,"&lt;="&amp;W$6),0)</f>
        <v>1</v>
      </c>
      <c r="X44" s="25">
        <f>IF('Lease Cycles'!$C$10&gt;0,COUNTIF('Lease Cycles'!$BG$10:$BM$10,"&lt;="&amp;X$6),0)</f>
        <v>1</v>
      </c>
      <c r="Y44" s="25">
        <f>IF('Lease Cycles'!$C$10&gt;0,COUNTIF('Lease Cycles'!$BG$10:$BM$10,"&lt;="&amp;Y$6),0)</f>
        <v>1</v>
      </c>
      <c r="Z44" s="25">
        <f>IF('Lease Cycles'!$C$10&gt;0,COUNTIF('Lease Cycles'!$BG$10:$BM$10,"&lt;="&amp;Z$6),0)</f>
        <v>1</v>
      </c>
      <c r="AA44" s="25">
        <f>IF('Lease Cycles'!$C$10&gt;0,COUNTIF('Lease Cycles'!$BG$10:$BM$10,"&lt;="&amp;AA$6),0)</f>
        <v>1</v>
      </c>
      <c r="AB44" s="25">
        <f>IF('Lease Cycles'!$C$10&gt;0,COUNTIF('Lease Cycles'!$BG$10:$BM$10,"&lt;="&amp;AB$6),0)</f>
        <v>1</v>
      </c>
      <c r="AC44" s="25">
        <f>IF('Lease Cycles'!$C$10&gt;0,COUNTIF('Lease Cycles'!$BG$10:$BM$10,"&lt;="&amp;AC$6),0)</f>
        <v>1</v>
      </c>
      <c r="AD44" s="25">
        <f>IF('Lease Cycles'!$C$10&gt;0,COUNTIF('Lease Cycles'!$BG$10:$BM$10,"&lt;="&amp;AD$6),0)</f>
        <v>1</v>
      </c>
      <c r="AE44" s="25">
        <f>IF('Lease Cycles'!$C$10&gt;0,COUNTIF('Lease Cycles'!$BG$10:$BM$10,"&lt;="&amp;AE$6),0)</f>
        <v>1</v>
      </c>
      <c r="AF44" s="25">
        <f>IF('Lease Cycles'!$C$10&gt;0,COUNTIF('Lease Cycles'!$BG$10:$BM$10,"&lt;="&amp;AF$6),0)</f>
        <v>1</v>
      </c>
      <c r="AG44" s="25">
        <f>IF('Lease Cycles'!$C$10&gt;0,COUNTIF('Lease Cycles'!$BG$10:$BM$10,"&lt;="&amp;AG$6),0)</f>
        <v>1</v>
      </c>
      <c r="AH44" s="25">
        <f>IF('Lease Cycles'!$C$10&gt;0,COUNTIF('Lease Cycles'!$BG$10:$BM$10,"&lt;="&amp;AH$6),0)</f>
        <v>1</v>
      </c>
      <c r="AI44" s="25">
        <f>IF('Lease Cycles'!$C$10&gt;0,COUNTIF('Lease Cycles'!$BG$10:$BM$10,"&lt;="&amp;AI$6),0)</f>
        <v>1</v>
      </c>
      <c r="AJ44" s="25">
        <f>IF('Lease Cycles'!$C$10&gt;0,COUNTIF('Lease Cycles'!$BG$10:$BM$10,"&lt;="&amp;AJ$6),0)</f>
        <v>1</v>
      </c>
      <c r="AK44" s="25">
        <f>IF('Lease Cycles'!$C$10&gt;0,COUNTIF('Lease Cycles'!$BG$10:$BM$10,"&lt;="&amp;AK$6),0)</f>
        <v>1</v>
      </c>
      <c r="AL44" s="25">
        <f>IF('Lease Cycles'!$C$10&gt;0,COUNTIF('Lease Cycles'!$BG$10:$BM$10,"&lt;="&amp;AL$6),0)</f>
        <v>1</v>
      </c>
      <c r="AM44" s="25">
        <f>IF('Lease Cycles'!$C$10&gt;0,COUNTIF('Lease Cycles'!$BG$10:$BM$10,"&lt;="&amp;AM$6),0)</f>
        <v>1</v>
      </c>
      <c r="AN44" s="25">
        <f>IF('Lease Cycles'!$C$10&gt;0,COUNTIF('Lease Cycles'!$BG$10:$BM$10,"&lt;="&amp;AN$6),0)</f>
        <v>1</v>
      </c>
      <c r="AO44" s="25">
        <f>IF('Lease Cycles'!$C$10&gt;0,COUNTIF('Lease Cycles'!$BG$10:$BM$10,"&lt;="&amp;AO$6),0)</f>
        <v>1</v>
      </c>
      <c r="AP44" s="25">
        <f>IF('Lease Cycles'!$C$10&gt;0,COUNTIF('Lease Cycles'!$BG$10:$BM$10,"&lt;="&amp;AP$6),0)</f>
        <v>1</v>
      </c>
      <c r="AQ44" s="25">
        <f>IF('Lease Cycles'!$C$10&gt;0,COUNTIF('Lease Cycles'!$BG$10:$BM$10,"&lt;="&amp;AQ$6),0)</f>
        <v>1</v>
      </c>
      <c r="AR44" s="25">
        <f>IF('Lease Cycles'!$C$10&gt;0,COUNTIF('Lease Cycles'!$BG$10:$BM$10,"&lt;="&amp;AR$6),0)</f>
        <v>1</v>
      </c>
      <c r="AS44" s="25">
        <f>IF('Lease Cycles'!$C$10&gt;0,COUNTIF('Lease Cycles'!$BG$10:$BM$10,"&lt;="&amp;AS$6),0)</f>
        <v>1</v>
      </c>
      <c r="AT44" s="25">
        <f>IF('Lease Cycles'!$C$10&gt;0,COUNTIF('Lease Cycles'!$BG$10:$BM$10,"&lt;="&amp;AT$6),0)</f>
        <v>1</v>
      </c>
      <c r="AU44" s="25">
        <f>IF('Lease Cycles'!$C$10&gt;0,COUNTIF('Lease Cycles'!$BG$10:$BM$10,"&lt;="&amp;AU$6),0)</f>
        <v>1</v>
      </c>
      <c r="AV44" s="25">
        <f>IF('Lease Cycles'!$C$10&gt;0,COUNTIF('Lease Cycles'!$BG$10:$BM$10,"&lt;="&amp;AV$6),0)</f>
        <v>1</v>
      </c>
      <c r="AW44" s="25">
        <f>IF('Lease Cycles'!$C$10&gt;0,COUNTIF('Lease Cycles'!$BG$10:$BM$10,"&lt;="&amp;AW$6),0)</f>
        <v>1</v>
      </c>
      <c r="AX44" s="25">
        <f>IF('Lease Cycles'!$C$10&gt;0,COUNTIF('Lease Cycles'!$BG$10:$BM$10,"&lt;="&amp;AX$6),0)</f>
        <v>1</v>
      </c>
      <c r="AY44" s="25">
        <f>IF('Lease Cycles'!$C$10&gt;0,COUNTIF('Lease Cycles'!$BG$10:$BM$10,"&lt;="&amp;AY$6),0)</f>
        <v>1</v>
      </c>
      <c r="AZ44" s="25">
        <f>IF('Lease Cycles'!$C$10&gt;0,COUNTIF('Lease Cycles'!$BG$10:$BM$10,"&lt;="&amp;AZ$6),0)</f>
        <v>1</v>
      </c>
      <c r="BA44" s="25">
        <f>IF('Lease Cycles'!$C$10&gt;0,COUNTIF('Lease Cycles'!$BG$10:$BM$10,"&lt;="&amp;BA$6),0)</f>
        <v>1</v>
      </c>
      <c r="BB44" s="25">
        <f>IF('Lease Cycles'!$C$10&gt;0,COUNTIF('Lease Cycles'!$BG$10:$BM$10,"&lt;="&amp;BB$6),0)</f>
        <v>1</v>
      </c>
      <c r="BC44" s="25">
        <f>IF('Lease Cycles'!$C$10&gt;0,COUNTIF('Lease Cycles'!$BG$10:$BM$10,"&lt;="&amp;BC$6),0)</f>
        <v>1</v>
      </c>
      <c r="BD44" s="25">
        <f>IF('Lease Cycles'!$C$10&gt;0,COUNTIF('Lease Cycles'!$BG$10:$BM$10,"&lt;="&amp;BD$6),0)</f>
        <v>1</v>
      </c>
      <c r="BE44" s="25">
        <f>IF('Lease Cycles'!$C$10&gt;0,COUNTIF('Lease Cycles'!$BG$10:$BM$10,"&lt;="&amp;BE$6),0)</f>
        <v>1</v>
      </c>
      <c r="BF44" s="25">
        <f>IF('Lease Cycles'!$C$10&gt;0,COUNTIF('Lease Cycles'!$BG$10:$BM$10,"&lt;="&amp;BF$6),0)</f>
        <v>1</v>
      </c>
      <c r="BG44" s="25">
        <f>IF('Lease Cycles'!$C$10&gt;0,COUNTIF('Lease Cycles'!$BG$10:$BM$10,"&lt;="&amp;BG$6),0)</f>
        <v>1</v>
      </c>
      <c r="BH44" s="25">
        <f>IF('Lease Cycles'!$C$10&gt;0,COUNTIF('Lease Cycles'!$BG$10:$BM$10,"&lt;="&amp;BH$6),0)</f>
        <v>1</v>
      </c>
      <c r="BI44" s="25">
        <f>IF('Lease Cycles'!$C$10&gt;0,COUNTIF('Lease Cycles'!$BG$10:$BM$10,"&lt;="&amp;BI$6),0)</f>
        <v>1</v>
      </c>
      <c r="BJ44" s="25">
        <f>IF('Lease Cycles'!$C$10&gt;0,COUNTIF('Lease Cycles'!$BG$10:$BM$10,"&lt;="&amp;BJ$6),0)</f>
        <v>1</v>
      </c>
      <c r="BK44" s="25">
        <f>IF('Lease Cycles'!$C$10&gt;0,COUNTIF('Lease Cycles'!$BG$10:$BM$10,"&lt;="&amp;BK$6),0)</f>
        <v>1</v>
      </c>
      <c r="BL44" s="25">
        <f>IF('Lease Cycles'!$C$10&gt;0,COUNTIF('Lease Cycles'!$BG$10:$BM$10,"&lt;="&amp;BL$6),0)</f>
        <v>1</v>
      </c>
      <c r="BM44" s="25">
        <f>IF('Lease Cycles'!$C$10&gt;0,COUNTIF('Lease Cycles'!$BG$10:$BM$10,"&lt;="&amp;BM$6),0)</f>
        <v>1</v>
      </c>
      <c r="BN44" s="25">
        <f>IF('Lease Cycles'!$C$10&gt;0,COUNTIF('Lease Cycles'!$BG$10:$BM$10,"&lt;="&amp;BN$6),0)</f>
        <v>1</v>
      </c>
      <c r="BO44" s="25">
        <f>IF('Lease Cycles'!$C$10&gt;0,COUNTIF('Lease Cycles'!$BG$10:$BM$10,"&lt;="&amp;BO$6),0)</f>
        <v>1</v>
      </c>
      <c r="BP44" s="25">
        <f>IF('Lease Cycles'!$C$10&gt;0,COUNTIF('Lease Cycles'!$BG$10:$BM$10,"&lt;="&amp;BP$6),0)</f>
        <v>1</v>
      </c>
      <c r="BQ44" s="25">
        <f>IF('Lease Cycles'!$C$10&gt;0,COUNTIF('Lease Cycles'!$BG$10:$BM$10,"&lt;="&amp;BQ$6),0)</f>
        <v>1</v>
      </c>
      <c r="BR44" s="25">
        <f>IF('Lease Cycles'!$C$10&gt;0,COUNTIF('Lease Cycles'!$BG$10:$BM$10,"&lt;="&amp;BR$6),0)</f>
        <v>1</v>
      </c>
      <c r="BS44" s="25">
        <f>IF('Lease Cycles'!$C$10&gt;0,COUNTIF('Lease Cycles'!$BG$10:$BM$10,"&lt;="&amp;BS$6),0)</f>
        <v>1</v>
      </c>
      <c r="BT44" s="25">
        <f>IF('Lease Cycles'!$C$10&gt;0,COUNTIF('Lease Cycles'!$BG$10:$BM$10,"&lt;="&amp;BT$6),0)</f>
        <v>1</v>
      </c>
      <c r="BU44" s="25">
        <f>IF('Lease Cycles'!$C$10&gt;0,COUNTIF('Lease Cycles'!$BG$10:$BM$10,"&lt;="&amp;BU$6),0)</f>
        <v>1</v>
      </c>
      <c r="BV44" s="25">
        <f>IF('Lease Cycles'!$C$10&gt;0,COUNTIF('Lease Cycles'!$BG$10:$BM$10,"&lt;="&amp;BV$6),0)</f>
        <v>1</v>
      </c>
      <c r="BW44" s="25">
        <f>IF('Lease Cycles'!$C$10&gt;0,COUNTIF('Lease Cycles'!$BG$10:$BM$10,"&lt;="&amp;BW$6),0)</f>
        <v>1</v>
      </c>
      <c r="BX44" s="25">
        <f>IF('Lease Cycles'!$C$10&gt;0,COUNTIF('Lease Cycles'!$BG$10:$BM$10,"&lt;="&amp;BX$6),0)</f>
        <v>1</v>
      </c>
      <c r="BY44" s="25">
        <f>IF('Lease Cycles'!$C$10&gt;0,COUNTIF('Lease Cycles'!$BG$10:$BM$10,"&lt;="&amp;BY$6),0)</f>
        <v>1</v>
      </c>
      <c r="BZ44" s="25">
        <f>IF('Lease Cycles'!$C$10&gt;0,COUNTIF('Lease Cycles'!$BG$10:$BM$10,"&lt;="&amp;BZ$6),0)</f>
        <v>1</v>
      </c>
      <c r="CA44" s="25">
        <f>IF('Lease Cycles'!$C$10&gt;0,COUNTIF('Lease Cycles'!$BG$10:$BM$10,"&lt;="&amp;CA$6),0)</f>
        <v>2</v>
      </c>
      <c r="CB44" s="25">
        <f>IF('Lease Cycles'!$C$10&gt;0,COUNTIF('Lease Cycles'!$BG$10:$BM$10,"&lt;="&amp;CB$6),0)</f>
        <v>3</v>
      </c>
      <c r="CC44" s="25">
        <f>IF('Lease Cycles'!$C$10&gt;0,COUNTIF('Lease Cycles'!$BG$10:$BM$10,"&lt;="&amp;CC$6),0)</f>
        <v>3</v>
      </c>
      <c r="CD44" s="25">
        <f>IF('Lease Cycles'!$C$10&gt;0,COUNTIF('Lease Cycles'!$BG$10:$BM$10,"&lt;="&amp;CD$6),0)</f>
        <v>3</v>
      </c>
      <c r="CE44" s="25">
        <f>IF('Lease Cycles'!$C$10&gt;0,COUNTIF('Lease Cycles'!$BG$10:$BM$10,"&lt;="&amp;CE$6),0)</f>
        <v>3</v>
      </c>
      <c r="CF44" s="25">
        <f>IF('Lease Cycles'!$C$10&gt;0,COUNTIF('Lease Cycles'!$BG$10:$BM$10,"&lt;="&amp;CF$6),0)</f>
        <v>3</v>
      </c>
      <c r="CG44" s="25">
        <f>IF('Lease Cycles'!$C$10&gt;0,COUNTIF('Lease Cycles'!$BG$10:$BM$10,"&lt;="&amp;CG$6),0)</f>
        <v>3</v>
      </c>
      <c r="CH44" s="25">
        <f>IF('Lease Cycles'!$C$10&gt;0,COUNTIF('Lease Cycles'!$BG$10:$BM$10,"&lt;="&amp;CH$6),0)</f>
        <v>3</v>
      </c>
      <c r="CI44" s="25">
        <f>IF('Lease Cycles'!$C$10&gt;0,COUNTIF('Lease Cycles'!$BG$10:$BM$10,"&lt;="&amp;CI$6),0)</f>
        <v>3</v>
      </c>
      <c r="CJ44" s="25">
        <f>IF('Lease Cycles'!$C$10&gt;0,COUNTIF('Lease Cycles'!$BG$10:$BM$10,"&lt;="&amp;CJ$6),0)</f>
        <v>3</v>
      </c>
      <c r="CK44" s="25">
        <f>IF('Lease Cycles'!$C$10&gt;0,COUNTIF('Lease Cycles'!$BG$10:$BM$10,"&lt;="&amp;CK$6),0)</f>
        <v>3</v>
      </c>
      <c r="CL44" s="25">
        <f>IF('Lease Cycles'!$C$10&gt;0,COUNTIF('Lease Cycles'!$BG$10:$BM$10,"&lt;="&amp;CL$6),0)</f>
        <v>3</v>
      </c>
      <c r="CM44" s="25">
        <f>IF('Lease Cycles'!$C$10&gt;0,COUNTIF('Lease Cycles'!$BG$10:$BM$10,"&lt;="&amp;CM$6),0)</f>
        <v>3</v>
      </c>
      <c r="CN44" s="25">
        <f>IF('Lease Cycles'!$C$10&gt;0,COUNTIF('Lease Cycles'!$BG$10:$BM$10,"&lt;="&amp;CN$6),0)</f>
        <v>3</v>
      </c>
      <c r="CO44" s="25">
        <f>IF('Lease Cycles'!$C$10&gt;0,COUNTIF('Lease Cycles'!$BG$10:$BM$10,"&lt;="&amp;CO$6),0)</f>
        <v>3</v>
      </c>
      <c r="CP44" s="25">
        <f>IF('Lease Cycles'!$C$10&gt;0,COUNTIF('Lease Cycles'!$BG$10:$BM$10,"&lt;="&amp;CP$6),0)</f>
        <v>3</v>
      </c>
      <c r="CQ44" s="25">
        <f>IF('Lease Cycles'!$C$10&gt;0,COUNTIF('Lease Cycles'!$BG$10:$BM$10,"&lt;="&amp;CQ$6),0)</f>
        <v>3</v>
      </c>
      <c r="CR44" s="25">
        <f>IF('Lease Cycles'!$C$10&gt;0,COUNTIF('Lease Cycles'!$BG$10:$BM$10,"&lt;="&amp;CR$6),0)</f>
        <v>3</v>
      </c>
      <c r="CS44" s="25">
        <f>IF('Lease Cycles'!$C$10&gt;0,COUNTIF('Lease Cycles'!$BG$10:$BM$10,"&lt;="&amp;CS$6),0)</f>
        <v>3</v>
      </c>
      <c r="CT44" s="25">
        <f>IF('Lease Cycles'!$C$10&gt;0,COUNTIF('Lease Cycles'!$BG$10:$BM$10,"&lt;="&amp;CT$6),0)</f>
        <v>3</v>
      </c>
      <c r="CU44" s="25">
        <f>IF('Lease Cycles'!$C$10&gt;0,COUNTIF('Lease Cycles'!$BG$10:$BM$10,"&lt;="&amp;CU$6),0)</f>
        <v>3</v>
      </c>
      <c r="CV44" s="25">
        <f>IF('Lease Cycles'!$C$10&gt;0,COUNTIF('Lease Cycles'!$BG$10:$BM$10,"&lt;="&amp;CV$6),0)</f>
        <v>3</v>
      </c>
      <c r="CW44" s="25">
        <f>IF('Lease Cycles'!$C$10&gt;0,COUNTIF('Lease Cycles'!$BG$10:$BM$10,"&lt;="&amp;CW$6),0)</f>
        <v>3</v>
      </c>
      <c r="CX44" s="25">
        <f>IF('Lease Cycles'!$C$10&gt;0,COUNTIF('Lease Cycles'!$BG$10:$BM$10,"&lt;="&amp;CX$6),0)</f>
        <v>3</v>
      </c>
      <c r="CY44" s="25">
        <f>IF('Lease Cycles'!$C$10&gt;0,COUNTIF('Lease Cycles'!$BG$10:$BM$10,"&lt;="&amp;CY$6),0)</f>
        <v>3</v>
      </c>
      <c r="CZ44" s="25">
        <f>IF('Lease Cycles'!$C$10&gt;0,COUNTIF('Lease Cycles'!$BG$10:$BM$10,"&lt;="&amp;CZ$6),0)</f>
        <v>3</v>
      </c>
      <c r="DA44" s="25">
        <f>IF('Lease Cycles'!$C$10&gt;0,COUNTIF('Lease Cycles'!$BG$10:$BM$10,"&lt;="&amp;DA$6),0)</f>
        <v>3</v>
      </c>
      <c r="DB44" s="25">
        <f>IF('Lease Cycles'!$C$10&gt;0,COUNTIF('Lease Cycles'!$BG$10:$BM$10,"&lt;="&amp;DB$6),0)</f>
        <v>3</v>
      </c>
      <c r="DC44" s="25">
        <f>IF('Lease Cycles'!$C$10&gt;0,COUNTIF('Lease Cycles'!$BG$10:$BM$10,"&lt;="&amp;DC$6),0)</f>
        <v>3</v>
      </c>
      <c r="DD44" s="25">
        <f>IF('Lease Cycles'!$C$10&gt;0,COUNTIF('Lease Cycles'!$BG$10:$BM$10,"&lt;="&amp;DD$6),0)</f>
        <v>3</v>
      </c>
      <c r="DE44" s="25">
        <f>IF('Lease Cycles'!$C$10&gt;0,COUNTIF('Lease Cycles'!$BG$10:$BM$10,"&lt;="&amp;DE$6),0)</f>
        <v>3</v>
      </c>
      <c r="DF44" s="25">
        <f>IF('Lease Cycles'!$C$10&gt;0,COUNTIF('Lease Cycles'!$BG$10:$BM$10,"&lt;="&amp;DF$6),0)</f>
        <v>3</v>
      </c>
      <c r="DG44" s="25">
        <f>IF('Lease Cycles'!$C$10&gt;0,COUNTIF('Lease Cycles'!$BG$10:$BM$10,"&lt;="&amp;DG$6),0)</f>
        <v>3</v>
      </c>
      <c r="DH44" s="25">
        <f>IF('Lease Cycles'!$C$10&gt;0,COUNTIF('Lease Cycles'!$BG$10:$BM$10,"&lt;="&amp;DH$6),0)</f>
        <v>3</v>
      </c>
      <c r="DI44" s="25">
        <f>IF('Lease Cycles'!$C$10&gt;0,COUNTIF('Lease Cycles'!$BG$10:$BM$10,"&lt;="&amp;DI$6),0)</f>
        <v>3</v>
      </c>
      <c r="DJ44" s="25">
        <f>IF('Lease Cycles'!$C$10&gt;0,COUNTIF('Lease Cycles'!$BG$10:$BM$10,"&lt;="&amp;DJ$6),0)</f>
        <v>3</v>
      </c>
      <c r="DK44" s="25">
        <f>IF('Lease Cycles'!$C$10&gt;0,COUNTIF('Lease Cycles'!$BG$10:$BM$10,"&lt;="&amp;DK$6),0)</f>
        <v>3</v>
      </c>
      <c r="DL44" s="25">
        <f>IF('Lease Cycles'!$C$10&gt;0,COUNTIF('Lease Cycles'!$BG$10:$BM$10,"&lt;="&amp;DL$6),0)</f>
        <v>3</v>
      </c>
      <c r="DM44" s="25">
        <f>IF('Lease Cycles'!$C$10&gt;0,COUNTIF('Lease Cycles'!$BG$10:$BM$10,"&lt;="&amp;DM$6),0)</f>
        <v>3</v>
      </c>
      <c r="DN44" s="25">
        <f>IF('Lease Cycles'!$C$10&gt;0,COUNTIF('Lease Cycles'!$BG$10:$BM$10,"&lt;="&amp;DN$6),0)</f>
        <v>3</v>
      </c>
      <c r="DO44" s="25">
        <f>IF('Lease Cycles'!$C$10&gt;0,COUNTIF('Lease Cycles'!$BG$10:$BM$10,"&lt;="&amp;DO$6),0)</f>
        <v>3</v>
      </c>
      <c r="DP44" s="25">
        <f>IF('Lease Cycles'!$C$10&gt;0,COUNTIF('Lease Cycles'!$BG$10:$BM$10,"&lt;="&amp;DP$6),0)</f>
        <v>3</v>
      </c>
      <c r="DQ44" s="25">
        <f>IF('Lease Cycles'!$C$10&gt;0,COUNTIF('Lease Cycles'!$BG$10:$BM$10,"&lt;="&amp;DQ$6),0)</f>
        <v>3</v>
      </c>
      <c r="DR44" s="25">
        <f>IF('Lease Cycles'!$C$10&gt;0,COUNTIF('Lease Cycles'!$BG$10:$BM$10,"&lt;="&amp;DR$6),0)</f>
        <v>3</v>
      </c>
      <c r="DS44" s="25">
        <f>IF('Lease Cycles'!$C$10&gt;0,COUNTIF('Lease Cycles'!$BG$10:$BM$10,"&lt;="&amp;DS$6),0)</f>
        <v>3</v>
      </c>
      <c r="DT44" s="25">
        <f>IF('Lease Cycles'!$C$10&gt;0,COUNTIF('Lease Cycles'!$BG$10:$BM$10,"&lt;="&amp;DT$6),0)</f>
        <v>3</v>
      </c>
      <c r="DU44" s="25">
        <f>IF('Lease Cycles'!$C$10&gt;0,COUNTIF('Lease Cycles'!$BG$10:$BM$10,"&lt;="&amp;DU$6),0)</f>
        <v>3</v>
      </c>
      <c r="DV44" s="25">
        <f>IF('Lease Cycles'!$C$10&gt;0,COUNTIF('Lease Cycles'!$BG$10:$BM$10,"&lt;="&amp;DV$6),0)</f>
        <v>3</v>
      </c>
      <c r="DW44" s="25">
        <f>IF('Lease Cycles'!$C$10&gt;0,COUNTIF('Lease Cycles'!$BG$10:$BM$10,"&lt;="&amp;DW$6),0)</f>
        <v>3</v>
      </c>
      <c r="DX44" s="25">
        <f>IF('Lease Cycles'!$C$10&gt;0,COUNTIF('Lease Cycles'!$BG$10:$BM$10,"&lt;="&amp;DX$6),0)</f>
        <v>3</v>
      </c>
      <c r="DY44" s="25">
        <f>IF('Lease Cycles'!$C$10&gt;0,COUNTIF('Lease Cycles'!$BG$10:$BM$10,"&lt;="&amp;DY$6),0)</f>
        <v>3</v>
      </c>
      <c r="DZ44" s="25">
        <f>IF('Lease Cycles'!$C$10&gt;0,COUNTIF('Lease Cycles'!$BG$10:$BM$10,"&lt;="&amp;DZ$6),0)</f>
        <v>3</v>
      </c>
      <c r="EA44" s="25">
        <f>IF('Lease Cycles'!$C$10&gt;0,COUNTIF('Lease Cycles'!$BG$10:$BM$10,"&lt;="&amp;EA$6),0)</f>
        <v>3</v>
      </c>
      <c r="EB44" s="25">
        <f>IF('Lease Cycles'!$C$10&gt;0,COUNTIF('Lease Cycles'!$BG$10:$BM$10,"&lt;="&amp;EB$6),0)</f>
        <v>3</v>
      </c>
      <c r="EC44" s="25">
        <f>IF('Lease Cycles'!$C$10&gt;0,COUNTIF('Lease Cycles'!$BG$10:$BM$10,"&lt;="&amp;EC$6),0)</f>
        <v>3</v>
      </c>
      <c r="ED44" s="25">
        <f>IF('Lease Cycles'!$C$10&gt;0,COUNTIF('Lease Cycles'!$BG$10:$BM$10,"&lt;="&amp;ED$6),0)</f>
        <v>3</v>
      </c>
      <c r="EE44" s="25">
        <f>IF('Lease Cycles'!$C$10&gt;0,COUNTIF('Lease Cycles'!$BG$10:$BM$10,"&lt;="&amp;EE$6),0)</f>
        <v>3</v>
      </c>
      <c r="EF44" s="25">
        <f>IF('Lease Cycles'!$C$10&gt;0,COUNTIF('Lease Cycles'!$BG$10:$BM$10,"&lt;="&amp;EF$6),0)</f>
        <v>3</v>
      </c>
      <c r="EG44" s="25">
        <f>IF('Lease Cycles'!$C$10&gt;0,COUNTIF('Lease Cycles'!$BG$10:$BM$10,"&lt;="&amp;EG$6),0)</f>
        <v>3</v>
      </c>
      <c r="EH44" s="25">
        <f>IF('Lease Cycles'!$C$10&gt;0,COUNTIF('Lease Cycles'!$BG$10:$BM$10,"&lt;="&amp;EH$6),0)</f>
        <v>3</v>
      </c>
      <c r="EI44" s="25">
        <f>IF('Lease Cycles'!$C$10&gt;0,COUNTIF('Lease Cycles'!$BG$10:$BM$10,"&lt;="&amp;EI$6),0)</f>
        <v>3</v>
      </c>
      <c r="EJ44" s="25">
        <f>IF('Lease Cycles'!$C$10&gt;0,COUNTIF('Lease Cycles'!$BG$10:$BM$10,"&lt;="&amp;EJ$6),0)</f>
        <v>3</v>
      </c>
      <c r="EK44" s="25">
        <f>IF('Lease Cycles'!$C$10&gt;0,COUNTIF('Lease Cycles'!$BG$10:$BM$10,"&lt;="&amp;EK$6),0)</f>
        <v>3</v>
      </c>
      <c r="EL44" s="25">
        <f>IF('Lease Cycles'!$C$10&gt;0,COUNTIF('Lease Cycles'!$BG$10:$BM$10,"&lt;="&amp;EL$6),0)</f>
        <v>3</v>
      </c>
      <c r="EM44" s="25">
        <f>IF('Lease Cycles'!$C$10&gt;0,COUNTIF('Lease Cycles'!$BG$10:$BM$10,"&lt;="&amp;EM$6),0)</f>
        <v>3</v>
      </c>
      <c r="EN44" s="25">
        <f>IF('Lease Cycles'!$C$10&gt;0,COUNTIF('Lease Cycles'!$BG$10:$BM$10,"&lt;="&amp;EN$6),0)</f>
        <v>3</v>
      </c>
      <c r="EO44" s="25">
        <f>IF('Lease Cycles'!$C$10&gt;0,COUNTIF('Lease Cycles'!$BG$10:$BM$10,"&lt;="&amp;EO$6),0)</f>
        <v>3</v>
      </c>
      <c r="EP44" s="25">
        <f>IF('Lease Cycles'!$C$10&gt;0,COUNTIF('Lease Cycles'!$BG$10:$BM$10,"&lt;="&amp;EP$6),0)</f>
        <v>3</v>
      </c>
      <c r="EQ44" s="25">
        <f>IF('Lease Cycles'!$C$10&gt;0,COUNTIF('Lease Cycles'!$BG$10:$BM$10,"&lt;="&amp;EQ$6),0)</f>
        <v>3</v>
      </c>
      <c r="ER44" s="25">
        <f>IF('Lease Cycles'!$C$10&gt;0,COUNTIF('Lease Cycles'!$BG$10:$BM$10,"&lt;="&amp;ER$6),0)</f>
        <v>3</v>
      </c>
      <c r="ES44" s="25">
        <f>IF('Lease Cycles'!$C$10&gt;0,COUNTIF('Lease Cycles'!$BG$10:$BM$10,"&lt;="&amp;ES$6),0)</f>
        <v>3</v>
      </c>
      <c r="ET44" s="25">
        <f>IF('Lease Cycles'!$C$10&gt;0,COUNTIF('Lease Cycles'!$BG$10:$BM$10,"&lt;="&amp;ET$6),0)</f>
        <v>3</v>
      </c>
    </row>
    <row r="45">
      <c r="A45" s="103">
        <v>3</v>
      </c>
      <c r="B45" s="23" t="str">
        <f>IF('Lease Cycles'!$B$10="","(empty slot)",'Lease Cycles'!$B$10)</f>
        <v>Sunfield Fitness</v>
      </c>
      <c r="C45" s="23" t="s">
        <v>673</v>
      </c>
      <c r="D45" s="104" t="s">
        <v>674</v>
      </c>
      <c r="E45" s="25">
        <f>'Lease Cycles'!$AL$10</f>
        <v>0</v>
      </c>
      <c r="S45" s="25">
        <f>IF(S44=0,-1,S$6-INDEX('Lease Cycles'!$BG$10:$BM$10,1,S44))</f>
        <v>0</v>
      </c>
      <c r="T45" s="25">
        <f>IF(T44=0,-1,T$6-INDEX('Lease Cycles'!$BG$10:$BM$10,1,T44))</f>
        <v>1</v>
      </c>
      <c r="U45" s="25">
        <f>IF(U44=0,-1,U$6-INDEX('Lease Cycles'!$BG$10:$BM$10,1,U44))</f>
        <v>2</v>
      </c>
      <c r="V45" s="25">
        <f>IF(V44=0,-1,V$6-INDEX('Lease Cycles'!$BG$10:$BM$10,1,V44))</f>
        <v>3</v>
      </c>
      <c r="W45" s="25">
        <f>IF(W44=0,-1,W$6-INDEX('Lease Cycles'!$BG$10:$BM$10,1,W44))</f>
        <v>4</v>
      </c>
      <c r="X45" s="25">
        <f>IF(X44=0,-1,X$6-INDEX('Lease Cycles'!$BG$10:$BM$10,1,X44))</f>
        <v>5</v>
      </c>
      <c r="Y45" s="25">
        <f>IF(Y44=0,-1,Y$6-INDEX('Lease Cycles'!$BG$10:$BM$10,1,Y44))</f>
        <v>6</v>
      </c>
      <c r="Z45" s="25">
        <f>IF(Z44=0,-1,Z$6-INDEX('Lease Cycles'!$BG$10:$BM$10,1,Z44))</f>
        <v>7</v>
      </c>
      <c r="AA45" s="25">
        <f>IF(AA44=0,-1,AA$6-INDEX('Lease Cycles'!$BG$10:$BM$10,1,AA44))</f>
        <v>8</v>
      </c>
      <c r="AB45" s="25">
        <f>IF(AB44=0,-1,AB$6-INDEX('Lease Cycles'!$BG$10:$BM$10,1,AB44))</f>
        <v>9</v>
      </c>
      <c r="AC45" s="25">
        <f>IF(AC44=0,-1,AC$6-INDEX('Lease Cycles'!$BG$10:$BM$10,1,AC44))</f>
        <v>10</v>
      </c>
      <c r="AD45" s="25">
        <f>IF(AD44=0,-1,AD$6-INDEX('Lease Cycles'!$BG$10:$BM$10,1,AD44))</f>
        <v>11</v>
      </c>
      <c r="AE45" s="25">
        <f>IF(AE44=0,-1,AE$6-INDEX('Lease Cycles'!$BG$10:$BM$10,1,AE44))</f>
        <v>12</v>
      </c>
      <c r="AF45" s="25">
        <f>IF(AF44=0,-1,AF$6-INDEX('Lease Cycles'!$BG$10:$BM$10,1,AF44))</f>
        <v>13</v>
      </c>
      <c r="AG45" s="25">
        <f>IF(AG44=0,-1,AG$6-INDEX('Lease Cycles'!$BG$10:$BM$10,1,AG44))</f>
        <v>14</v>
      </c>
      <c r="AH45" s="25">
        <f>IF(AH44=0,-1,AH$6-INDEX('Lease Cycles'!$BG$10:$BM$10,1,AH44))</f>
        <v>15</v>
      </c>
      <c r="AI45" s="25">
        <f>IF(AI44=0,-1,AI$6-INDEX('Lease Cycles'!$BG$10:$BM$10,1,AI44))</f>
        <v>16</v>
      </c>
      <c r="AJ45" s="25">
        <f>IF(AJ44=0,-1,AJ$6-INDEX('Lease Cycles'!$BG$10:$BM$10,1,AJ44))</f>
        <v>17</v>
      </c>
      <c r="AK45" s="25">
        <f>IF(AK44=0,-1,AK$6-INDEX('Lease Cycles'!$BG$10:$BM$10,1,AK44))</f>
        <v>18</v>
      </c>
      <c r="AL45" s="25">
        <f>IF(AL44=0,-1,AL$6-INDEX('Lease Cycles'!$BG$10:$BM$10,1,AL44))</f>
        <v>19</v>
      </c>
      <c r="AM45" s="25">
        <f>IF(AM44=0,-1,AM$6-INDEX('Lease Cycles'!$BG$10:$BM$10,1,AM44))</f>
        <v>20</v>
      </c>
      <c r="AN45" s="25">
        <f>IF(AN44=0,-1,AN$6-INDEX('Lease Cycles'!$BG$10:$BM$10,1,AN44))</f>
        <v>21</v>
      </c>
      <c r="AO45" s="25">
        <f>IF(AO44=0,-1,AO$6-INDEX('Lease Cycles'!$BG$10:$BM$10,1,AO44))</f>
        <v>22</v>
      </c>
      <c r="AP45" s="25">
        <f>IF(AP44=0,-1,AP$6-INDEX('Lease Cycles'!$BG$10:$BM$10,1,AP44))</f>
        <v>23</v>
      </c>
      <c r="AQ45" s="25">
        <f>IF(AQ44=0,-1,AQ$6-INDEX('Lease Cycles'!$BG$10:$BM$10,1,AQ44))</f>
        <v>24</v>
      </c>
      <c r="AR45" s="25">
        <f>IF(AR44=0,-1,AR$6-INDEX('Lease Cycles'!$BG$10:$BM$10,1,AR44))</f>
        <v>25</v>
      </c>
      <c r="AS45" s="25">
        <f>IF(AS44=0,-1,AS$6-INDEX('Lease Cycles'!$BG$10:$BM$10,1,AS44))</f>
        <v>26</v>
      </c>
      <c r="AT45" s="25">
        <f>IF(AT44=0,-1,AT$6-INDEX('Lease Cycles'!$BG$10:$BM$10,1,AT44))</f>
        <v>27</v>
      </c>
      <c r="AU45" s="25">
        <f>IF(AU44=0,-1,AU$6-INDEX('Lease Cycles'!$BG$10:$BM$10,1,AU44))</f>
        <v>28</v>
      </c>
      <c r="AV45" s="25">
        <f>IF(AV44=0,-1,AV$6-INDEX('Lease Cycles'!$BG$10:$BM$10,1,AV44))</f>
        <v>29</v>
      </c>
      <c r="AW45" s="25">
        <f>IF(AW44=0,-1,AW$6-INDEX('Lease Cycles'!$BG$10:$BM$10,1,AW44))</f>
        <v>30</v>
      </c>
      <c r="AX45" s="25">
        <f>IF(AX44=0,-1,AX$6-INDEX('Lease Cycles'!$BG$10:$BM$10,1,AX44))</f>
        <v>31</v>
      </c>
      <c r="AY45" s="25">
        <f>IF(AY44=0,-1,AY$6-INDEX('Lease Cycles'!$BG$10:$BM$10,1,AY44))</f>
        <v>32</v>
      </c>
      <c r="AZ45" s="25">
        <f>IF(AZ44=0,-1,AZ$6-INDEX('Lease Cycles'!$BG$10:$BM$10,1,AZ44))</f>
        <v>33</v>
      </c>
      <c r="BA45" s="25">
        <f>IF(BA44=0,-1,BA$6-INDEX('Lease Cycles'!$BG$10:$BM$10,1,BA44))</f>
        <v>34</v>
      </c>
      <c r="BB45" s="25">
        <f>IF(BB44=0,-1,BB$6-INDEX('Lease Cycles'!$BG$10:$BM$10,1,BB44))</f>
        <v>35</v>
      </c>
      <c r="BC45" s="25">
        <f>IF(BC44=0,-1,BC$6-INDEX('Lease Cycles'!$BG$10:$BM$10,1,BC44))</f>
        <v>36</v>
      </c>
      <c r="BD45" s="25">
        <f>IF(BD44=0,-1,BD$6-INDEX('Lease Cycles'!$BG$10:$BM$10,1,BD44))</f>
        <v>37</v>
      </c>
      <c r="BE45" s="25">
        <f>IF(BE44=0,-1,BE$6-INDEX('Lease Cycles'!$BG$10:$BM$10,1,BE44))</f>
        <v>38</v>
      </c>
      <c r="BF45" s="25">
        <f>IF(BF44=0,-1,BF$6-INDEX('Lease Cycles'!$BG$10:$BM$10,1,BF44))</f>
        <v>39</v>
      </c>
      <c r="BG45" s="25">
        <f>IF(BG44=0,-1,BG$6-INDEX('Lease Cycles'!$BG$10:$BM$10,1,BG44))</f>
        <v>40</v>
      </c>
      <c r="BH45" s="25">
        <f>IF(BH44=0,-1,BH$6-INDEX('Lease Cycles'!$BG$10:$BM$10,1,BH44))</f>
        <v>41</v>
      </c>
      <c r="BI45" s="25">
        <f>IF(BI44=0,-1,BI$6-INDEX('Lease Cycles'!$BG$10:$BM$10,1,BI44))</f>
        <v>42</v>
      </c>
      <c r="BJ45" s="25">
        <f>IF(BJ44=0,-1,BJ$6-INDEX('Lease Cycles'!$BG$10:$BM$10,1,BJ44))</f>
        <v>43</v>
      </c>
      <c r="BK45" s="25">
        <f>IF(BK44=0,-1,BK$6-INDEX('Lease Cycles'!$BG$10:$BM$10,1,BK44))</f>
        <v>44</v>
      </c>
      <c r="BL45" s="25">
        <f>IF(BL44=0,-1,BL$6-INDEX('Lease Cycles'!$BG$10:$BM$10,1,BL44))</f>
        <v>45</v>
      </c>
      <c r="BM45" s="25">
        <f>IF(BM44=0,-1,BM$6-INDEX('Lease Cycles'!$BG$10:$BM$10,1,BM44))</f>
        <v>46</v>
      </c>
      <c r="BN45" s="25">
        <f>IF(BN44=0,-1,BN$6-INDEX('Lease Cycles'!$BG$10:$BM$10,1,BN44))</f>
        <v>47</v>
      </c>
      <c r="BO45" s="25">
        <f>IF(BO44=0,-1,BO$6-INDEX('Lease Cycles'!$BG$10:$BM$10,1,BO44))</f>
        <v>48</v>
      </c>
      <c r="BP45" s="25">
        <f>IF(BP44=0,-1,BP$6-INDEX('Lease Cycles'!$BG$10:$BM$10,1,BP44))</f>
        <v>49</v>
      </c>
      <c r="BQ45" s="25">
        <f>IF(BQ44=0,-1,BQ$6-INDEX('Lease Cycles'!$BG$10:$BM$10,1,BQ44))</f>
        <v>50</v>
      </c>
      <c r="BR45" s="25">
        <f>IF(BR44=0,-1,BR$6-INDEX('Lease Cycles'!$BG$10:$BM$10,1,BR44))</f>
        <v>51</v>
      </c>
      <c r="BS45" s="25">
        <f>IF(BS44=0,-1,BS$6-INDEX('Lease Cycles'!$BG$10:$BM$10,1,BS44))</f>
        <v>52</v>
      </c>
      <c r="BT45" s="25">
        <f>IF(BT44=0,-1,BT$6-INDEX('Lease Cycles'!$BG$10:$BM$10,1,BT44))</f>
        <v>53</v>
      </c>
      <c r="BU45" s="25">
        <f>IF(BU44=0,-1,BU$6-INDEX('Lease Cycles'!$BG$10:$BM$10,1,BU44))</f>
        <v>54</v>
      </c>
      <c r="BV45" s="25">
        <f>IF(BV44=0,-1,BV$6-INDEX('Lease Cycles'!$BG$10:$BM$10,1,BV44))</f>
        <v>55</v>
      </c>
      <c r="BW45" s="25">
        <f>IF(BW44=0,-1,BW$6-INDEX('Lease Cycles'!$BG$10:$BM$10,1,BW44))</f>
        <v>56</v>
      </c>
      <c r="BX45" s="25">
        <f>IF(BX44=0,-1,BX$6-INDEX('Lease Cycles'!$BG$10:$BM$10,1,BX44))</f>
        <v>57</v>
      </c>
      <c r="BY45" s="25">
        <f>IF(BY44=0,-1,BY$6-INDEX('Lease Cycles'!$BG$10:$BM$10,1,BY44))</f>
        <v>58</v>
      </c>
      <c r="BZ45" s="25">
        <f>IF(BZ44=0,-1,BZ$6-INDEX('Lease Cycles'!$BG$10:$BM$10,1,BZ44))</f>
        <v>59</v>
      </c>
      <c r="CA45" s="25">
        <f>IF(CA44=0,-1,CA$6-INDEX('Lease Cycles'!$BG$10:$BM$10,1,CA44))</f>
        <v>0</v>
      </c>
      <c r="CB45" s="25">
        <f>IF(CB44=0,-1,CB$6-INDEX('Lease Cycles'!$BG$10:$BM$10,1,CB44))</f>
        <v>0</v>
      </c>
      <c r="CC45" s="25">
        <f>IF(CC44=0,-1,CC$6-INDEX('Lease Cycles'!$BG$10:$BM$10,1,CC44))</f>
        <v>1</v>
      </c>
      <c r="CD45" s="25">
        <f>IF(CD44=0,-1,CD$6-INDEX('Lease Cycles'!$BG$10:$BM$10,1,CD44))</f>
        <v>2</v>
      </c>
      <c r="CE45" s="25">
        <f>IF(CE44=0,-1,CE$6-INDEX('Lease Cycles'!$BG$10:$BM$10,1,CE44))</f>
        <v>3</v>
      </c>
      <c r="CF45" s="25">
        <f>IF(CF44=0,-1,CF$6-INDEX('Lease Cycles'!$BG$10:$BM$10,1,CF44))</f>
        <v>4</v>
      </c>
      <c r="CG45" s="25">
        <f>IF(CG44=0,-1,CG$6-INDEX('Lease Cycles'!$BG$10:$BM$10,1,CG44))</f>
        <v>5</v>
      </c>
      <c r="CH45" s="25">
        <f>IF(CH44=0,-1,CH$6-INDEX('Lease Cycles'!$BG$10:$BM$10,1,CH44))</f>
        <v>6</v>
      </c>
      <c r="CI45" s="25">
        <f>IF(CI44=0,-1,CI$6-INDEX('Lease Cycles'!$BG$10:$BM$10,1,CI44))</f>
        <v>7</v>
      </c>
      <c r="CJ45" s="25">
        <f>IF(CJ44=0,-1,CJ$6-INDEX('Lease Cycles'!$BG$10:$BM$10,1,CJ44))</f>
        <v>8</v>
      </c>
      <c r="CK45" s="25">
        <f>IF(CK44=0,-1,CK$6-INDEX('Lease Cycles'!$BG$10:$BM$10,1,CK44))</f>
        <v>9</v>
      </c>
      <c r="CL45" s="25">
        <f>IF(CL44=0,-1,CL$6-INDEX('Lease Cycles'!$BG$10:$BM$10,1,CL44))</f>
        <v>10</v>
      </c>
      <c r="CM45" s="25">
        <f>IF(CM44=0,-1,CM$6-INDEX('Lease Cycles'!$BG$10:$BM$10,1,CM44))</f>
        <v>11</v>
      </c>
      <c r="CN45" s="25">
        <f>IF(CN44=0,-1,CN$6-INDEX('Lease Cycles'!$BG$10:$BM$10,1,CN44))</f>
        <v>12</v>
      </c>
      <c r="CO45" s="25">
        <f>IF(CO44=0,-1,CO$6-INDEX('Lease Cycles'!$BG$10:$BM$10,1,CO44))</f>
        <v>13</v>
      </c>
      <c r="CP45" s="25">
        <f>IF(CP44=0,-1,CP$6-INDEX('Lease Cycles'!$BG$10:$BM$10,1,CP44))</f>
        <v>14</v>
      </c>
      <c r="CQ45" s="25">
        <f>IF(CQ44=0,-1,CQ$6-INDEX('Lease Cycles'!$BG$10:$BM$10,1,CQ44))</f>
        <v>15</v>
      </c>
      <c r="CR45" s="25">
        <f>IF(CR44=0,-1,CR$6-INDEX('Lease Cycles'!$BG$10:$BM$10,1,CR44))</f>
        <v>16</v>
      </c>
      <c r="CS45" s="25">
        <f>IF(CS44=0,-1,CS$6-INDEX('Lease Cycles'!$BG$10:$BM$10,1,CS44))</f>
        <v>17</v>
      </c>
      <c r="CT45" s="25">
        <f>IF(CT44=0,-1,CT$6-INDEX('Lease Cycles'!$BG$10:$BM$10,1,CT44))</f>
        <v>18</v>
      </c>
      <c r="CU45" s="25">
        <f>IF(CU44=0,-1,CU$6-INDEX('Lease Cycles'!$BG$10:$BM$10,1,CU44))</f>
        <v>19</v>
      </c>
      <c r="CV45" s="25">
        <f>IF(CV44=0,-1,CV$6-INDEX('Lease Cycles'!$BG$10:$BM$10,1,CV44))</f>
        <v>20</v>
      </c>
      <c r="CW45" s="25">
        <f>IF(CW44=0,-1,CW$6-INDEX('Lease Cycles'!$BG$10:$BM$10,1,CW44))</f>
        <v>21</v>
      </c>
      <c r="CX45" s="25">
        <f>IF(CX44=0,-1,CX$6-INDEX('Lease Cycles'!$BG$10:$BM$10,1,CX44))</f>
        <v>22</v>
      </c>
      <c r="CY45" s="25">
        <f>IF(CY44=0,-1,CY$6-INDEX('Lease Cycles'!$BG$10:$BM$10,1,CY44))</f>
        <v>23</v>
      </c>
      <c r="CZ45" s="25">
        <f>IF(CZ44=0,-1,CZ$6-INDEX('Lease Cycles'!$BG$10:$BM$10,1,CZ44))</f>
        <v>24</v>
      </c>
      <c r="DA45" s="25">
        <f>IF(DA44=0,-1,DA$6-INDEX('Lease Cycles'!$BG$10:$BM$10,1,DA44))</f>
        <v>25</v>
      </c>
      <c r="DB45" s="25">
        <f>IF(DB44=0,-1,DB$6-INDEX('Lease Cycles'!$BG$10:$BM$10,1,DB44))</f>
        <v>26</v>
      </c>
      <c r="DC45" s="25">
        <f>IF(DC44=0,-1,DC$6-INDEX('Lease Cycles'!$BG$10:$BM$10,1,DC44))</f>
        <v>27</v>
      </c>
      <c r="DD45" s="25">
        <f>IF(DD44=0,-1,DD$6-INDEX('Lease Cycles'!$BG$10:$BM$10,1,DD44))</f>
        <v>28</v>
      </c>
      <c r="DE45" s="25">
        <f>IF(DE44=0,-1,DE$6-INDEX('Lease Cycles'!$BG$10:$BM$10,1,DE44))</f>
        <v>29</v>
      </c>
      <c r="DF45" s="25">
        <f>IF(DF44=0,-1,DF$6-INDEX('Lease Cycles'!$BG$10:$BM$10,1,DF44))</f>
        <v>30</v>
      </c>
      <c r="DG45" s="25">
        <f>IF(DG44=0,-1,DG$6-INDEX('Lease Cycles'!$BG$10:$BM$10,1,DG44))</f>
        <v>31</v>
      </c>
      <c r="DH45" s="25">
        <f>IF(DH44=0,-1,DH$6-INDEX('Lease Cycles'!$BG$10:$BM$10,1,DH44))</f>
        <v>32</v>
      </c>
      <c r="DI45" s="25">
        <f>IF(DI44=0,-1,DI$6-INDEX('Lease Cycles'!$BG$10:$BM$10,1,DI44))</f>
        <v>33</v>
      </c>
      <c r="DJ45" s="25">
        <f>IF(DJ44=0,-1,DJ$6-INDEX('Lease Cycles'!$BG$10:$BM$10,1,DJ44))</f>
        <v>34</v>
      </c>
      <c r="DK45" s="25">
        <f>IF(DK44=0,-1,DK$6-INDEX('Lease Cycles'!$BG$10:$BM$10,1,DK44))</f>
        <v>35</v>
      </c>
      <c r="DL45" s="25">
        <f>IF(DL44=0,-1,DL$6-INDEX('Lease Cycles'!$BG$10:$BM$10,1,DL44))</f>
        <v>36</v>
      </c>
      <c r="DM45" s="25">
        <f>IF(DM44=0,-1,DM$6-INDEX('Lease Cycles'!$BG$10:$BM$10,1,DM44))</f>
        <v>37</v>
      </c>
      <c r="DN45" s="25">
        <f>IF(DN44=0,-1,DN$6-INDEX('Lease Cycles'!$BG$10:$BM$10,1,DN44))</f>
        <v>38</v>
      </c>
      <c r="DO45" s="25">
        <f>IF(DO44=0,-1,DO$6-INDEX('Lease Cycles'!$BG$10:$BM$10,1,DO44))</f>
        <v>39</v>
      </c>
      <c r="DP45" s="25">
        <f>IF(DP44=0,-1,DP$6-INDEX('Lease Cycles'!$BG$10:$BM$10,1,DP44))</f>
        <v>40</v>
      </c>
      <c r="DQ45" s="25">
        <f>IF(DQ44=0,-1,DQ$6-INDEX('Lease Cycles'!$BG$10:$BM$10,1,DQ44))</f>
        <v>41</v>
      </c>
      <c r="DR45" s="25">
        <f>IF(DR44=0,-1,DR$6-INDEX('Lease Cycles'!$BG$10:$BM$10,1,DR44))</f>
        <v>42</v>
      </c>
      <c r="DS45" s="25">
        <f>IF(DS44=0,-1,DS$6-INDEX('Lease Cycles'!$BG$10:$BM$10,1,DS44))</f>
        <v>43</v>
      </c>
      <c r="DT45" s="25">
        <f>IF(DT44=0,-1,DT$6-INDEX('Lease Cycles'!$BG$10:$BM$10,1,DT44))</f>
        <v>44</v>
      </c>
      <c r="DU45" s="25">
        <f>IF(DU44=0,-1,DU$6-INDEX('Lease Cycles'!$BG$10:$BM$10,1,DU44))</f>
        <v>45</v>
      </c>
      <c r="DV45" s="25">
        <f>IF(DV44=0,-1,DV$6-INDEX('Lease Cycles'!$BG$10:$BM$10,1,DV44))</f>
        <v>46</v>
      </c>
      <c r="DW45" s="25">
        <f>IF(DW44=0,-1,DW$6-INDEX('Lease Cycles'!$BG$10:$BM$10,1,DW44))</f>
        <v>47</v>
      </c>
      <c r="DX45" s="25">
        <f>IF(DX44=0,-1,DX$6-INDEX('Lease Cycles'!$BG$10:$BM$10,1,DX44))</f>
        <v>48</v>
      </c>
      <c r="DY45" s="25">
        <f>IF(DY44=0,-1,DY$6-INDEX('Lease Cycles'!$BG$10:$BM$10,1,DY44))</f>
        <v>49</v>
      </c>
      <c r="DZ45" s="25">
        <f>IF(DZ44=0,-1,DZ$6-INDEX('Lease Cycles'!$BG$10:$BM$10,1,DZ44))</f>
        <v>50</v>
      </c>
      <c r="EA45" s="25">
        <f>IF(EA44=0,-1,EA$6-INDEX('Lease Cycles'!$BG$10:$BM$10,1,EA44))</f>
        <v>51</v>
      </c>
      <c r="EB45" s="25">
        <f>IF(EB44=0,-1,EB$6-INDEX('Lease Cycles'!$BG$10:$BM$10,1,EB44))</f>
        <v>52</v>
      </c>
      <c r="EC45" s="25">
        <f>IF(EC44=0,-1,EC$6-INDEX('Lease Cycles'!$BG$10:$BM$10,1,EC44))</f>
        <v>53</v>
      </c>
      <c r="ED45" s="25">
        <f>IF(ED44=0,-1,ED$6-INDEX('Lease Cycles'!$BG$10:$BM$10,1,ED44))</f>
        <v>54</v>
      </c>
      <c r="EE45" s="25">
        <f>IF(EE44=0,-1,EE$6-INDEX('Lease Cycles'!$BG$10:$BM$10,1,EE44))</f>
        <v>55</v>
      </c>
      <c r="EF45" s="25">
        <f>IF(EF44=0,-1,EF$6-INDEX('Lease Cycles'!$BG$10:$BM$10,1,EF44))</f>
        <v>56</v>
      </c>
      <c r="EG45" s="25">
        <f>IF(EG44=0,-1,EG$6-INDEX('Lease Cycles'!$BG$10:$BM$10,1,EG44))</f>
        <v>57</v>
      </c>
      <c r="EH45" s="25">
        <f>IF(EH44=0,-1,EH$6-INDEX('Lease Cycles'!$BG$10:$BM$10,1,EH44))</f>
        <v>58</v>
      </c>
      <c r="EI45" s="25">
        <f>IF(EI44=0,-1,EI$6-INDEX('Lease Cycles'!$BG$10:$BM$10,1,EI44))</f>
        <v>59</v>
      </c>
      <c r="EJ45" s="25">
        <f>IF(EJ44=0,-1,EJ$6-INDEX('Lease Cycles'!$BG$10:$BM$10,1,EJ44))</f>
        <v>60</v>
      </c>
      <c r="EK45" s="25">
        <f>IF(EK44=0,-1,EK$6-INDEX('Lease Cycles'!$BG$10:$BM$10,1,EK44))</f>
        <v>61</v>
      </c>
      <c r="EL45" s="25">
        <f>IF(EL44=0,-1,EL$6-INDEX('Lease Cycles'!$BG$10:$BM$10,1,EL44))</f>
        <v>62</v>
      </c>
      <c r="EM45" s="25">
        <f>IF(EM44=0,-1,EM$6-INDEX('Lease Cycles'!$BG$10:$BM$10,1,EM44))</f>
        <v>63</v>
      </c>
      <c r="EN45" s="25">
        <f>IF(EN44=0,-1,EN$6-INDEX('Lease Cycles'!$BG$10:$BM$10,1,EN44))</f>
        <v>64</v>
      </c>
      <c r="EO45" s="25">
        <f>IF(EO44=0,-1,EO$6-INDEX('Lease Cycles'!$BG$10:$BM$10,1,EO44))</f>
        <v>65</v>
      </c>
      <c r="EP45" s="25">
        <f>IF(EP44=0,-1,EP$6-INDEX('Lease Cycles'!$BG$10:$BM$10,1,EP44))</f>
        <v>66</v>
      </c>
      <c r="EQ45" s="25">
        <f>IF(EQ44=0,-1,EQ$6-INDEX('Lease Cycles'!$BG$10:$BM$10,1,EQ44))</f>
        <v>67</v>
      </c>
      <c r="ER45" s="25">
        <f>IF(ER44=0,-1,ER$6-INDEX('Lease Cycles'!$BG$10:$BM$10,1,ER44))</f>
        <v>68</v>
      </c>
      <c r="ES45" s="25">
        <f>IF(ES44=0,-1,ES$6-INDEX('Lease Cycles'!$BG$10:$BM$10,1,ES44))</f>
        <v>69</v>
      </c>
      <c r="ET45" s="25">
        <f>IF(ET44=0,-1,ET$6-INDEX('Lease Cycles'!$BG$10:$BM$10,1,ET44))</f>
        <v>70</v>
      </c>
    </row>
    <row r="46">
      <c r="A46" s="103">
        <v>3</v>
      </c>
      <c r="B46" s="23" t="str">
        <f>IF('Lease Cycles'!$B$10="","(empty slot)",'Lease Cycles'!$B$10)</f>
        <v>Sunfield Fitness</v>
      </c>
      <c r="C46" s="23" t="s">
        <v>675</v>
      </c>
      <c r="D46" s="104" t="s">
        <v>676</v>
      </c>
      <c r="E46" s="25">
        <f>'Lease Cycles'!$AL$10</f>
        <v>0</v>
      </c>
      <c r="S46" s="25">
        <f>IF(S44=0,0,IF(S45&lt;INDEX('Lease Cycles'!$BN$10:$BT$10,1,S44),1,0))</f>
        <v>1</v>
      </c>
      <c r="T46" s="25">
        <f>IF(T44=0,0,IF(T45&lt;INDEX('Lease Cycles'!$BN$10:$BT$10,1,T44),1,0))</f>
        <v>1</v>
      </c>
      <c r="U46" s="25">
        <f>IF(U44=0,0,IF(U45&lt;INDEX('Lease Cycles'!$BN$10:$BT$10,1,U44),1,0))</f>
        <v>1</v>
      </c>
      <c r="V46" s="25">
        <f>IF(V44=0,0,IF(V45&lt;INDEX('Lease Cycles'!$BN$10:$BT$10,1,V44),1,0))</f>
        <v>1</v>
      </c>
      <c r="W46" s="25">
        <f>IF(W44=0,0,IF(W45&lt;INDEX('Lease Cycles'!$BN$10:$BT$10,1,W44),1,0))</f>
        <v>1</v>
      </c>
      <c r="X46" s="25">
        <f>IF(X44=0,0,IF(X45&lt;INDEX('Lease Cycles'!$BN$10:$BT$10,1,X44),1,0))</f>
        <v>1</v>
      </c>
      <c r="Y46" s="25">
        <f>IF(Y44=0,0,IF(Y45&lt;INDEX('Lease Cycles'!$BN$10:$BT$10,1,Y44),1,0))</f>
        <v>1</v>
      </c>
      <c r="Z46" s="25">
        <f>IF(Z44=0,0,IF(Z45&lt;INDEX('Lease Cycles'!$BN$10:$BT$10,1,Z44),1,0))</f>
        <v>1</v>
      </c>
      <c r="AA46" s="25">
        <f>IF(AA44=0,0,IF(AA45&lt;INDEX('Lease Cycles'!$BN$10:$BT$10,1,AA44),1,0))</f>
        <v>1</v>
      </c>
      <c r="AB46" s="25">
        <f>IF(AB44=0,0,IF(AB45&lt;INDEX('Lease Cycles'!$BN$10:$BT$10,1,AB44),1,0))</f>
        <v>1</v>
      </c>
      <c r="AC46" s="25">
        <f>IF(AC44=0,0,IF(AC45&lt;INDEX('Lease Cycles'!$BN$10:$BT$10,1,AC44),1,0))</f>
        <v>1</v>
      </c>
      <c r="AD46" s="25">
        <f>IF(AD44=0,0,IF(AD45&lt;INDEX('Lease Cycles'!$BN$10:$BT$10,1,AD44),1,0))</f>
        <v>1</v>
      </c>
      <c r="AE46" s="25">
        <f>IF(AE44=0,0,IF(AE45&lt;INDEX('Lease Cycles'!$BN$10:$BT$10,1,AE44),1,0))</f>
        <v>1</v>
      </c>
      <c r="AF46" s="25">
        <f>IF(AF44=0,0,IF(AF45&lt;INDEX('Lease Cycles'!$BN$10:$BT$10,1,AF44),1,0))</f>
        <v>1</v>
      </c>
      <c r="AG46" s="25">
        <f>IF(AG44=0,0,IF(AG45&lt;INDEX('Lease Cycles'!$BN$10:$BT$10,1,AG44),1,0))</f>
        <v>1</v>
      </c>
      <c r="AH46" s="25">
        <f>IF(AH44=0,0,IF(AH45&lt;INDEX('Lease Cycles'!$BN$10:$BT$10,1,AH44),1,0))</f>
        <v>1</v>
      </c>
      <c r="AI46" s="25">
        <f>IF(AI44=0,0,IF(AI45&lt;INDEX('Lease Cycles'!$BN$10:$BT$10,1,AI44),1,0))</f>
        <v>1</v>
      </c>
      <c r="AJ46" s="25">
        <f>IF(AJ44=0,0,IF(AJ45&lt;INDEX('Lease Cycles'!$BN$10:$BT$10,1,AJ44),1,0))</f>
        <v>1</v>
      </c>
      <c r="AK46" s="25">
        <f>IF(AK44=0,0,IF(AK45&lt;INDEX('Lease Cycles'!$BN$10:$BT$10,1,AK44),1,0))</f>
        <v>1</v>
      </c>
      <c r="AL46" s="25">
        <f>IF(AL44=0,0,IF(AL45&lt;INDEX('Lease Cycles'!$BN$10:$BT$10,1,AL44),1,0))</f>
        <v>1</v>
      </c>
      <c r="AM46" s="25">
        <f>IF(AM44=0,0,IF(AM45&lt;INDEX('Lease Cycles'!$BN$10:$BT$10,1,AM44),1,0))</f>
        <v>1</v>
      </c>
      <c r="AN46" s="25">
        <f>IF(AN44=0,0,IF(AN45&lt;INDEX('Lease Cycles'!$BN$10:$BT$10,1,AN44),1,0))</f>
        <v>1</v>
      </c>
      <c r="AO46" s="25">
        <f>IF(AO44=0,0,IF(AO45&lt;INDEX('Lease Cycles'!$BN$10:$BT$10,1,AO44),1,0))</f>
        <v>1</v>
      </c>
      <c r="AP46" s="25">
        <f>IF(AP44=0,0,IF(AP45&lt;INDEX('Lease Cycles'!$BN$10:$BT$10,1,AP44),1,0))</f>
        <v>1</v>
      </c>
      <c r="AQ46" s="25">
        <f>IF(AQ44=0,0,IF(AQ45&lt;INDEX('Lease Cycles'!$BN$10:$BT$10,1,AQ44),1,0))</f>
        <v>1</v>
      </c>
      <c r="AR46" s="25">
        <f>IF(AR44=0,0,IF(AR45&lt;INDEX('Lease Cycles'!$BN$10:$BT$10,1,AR44),1,0))</f>
        <v>1</v>
      </c>
      <c r="AS46" s="25">
        <f>IF(AS44=0,0,IF(AS45&lt;INDEX('Lease Cycles'!$BN$10:$BT$10,1,AS44),1,0))</f>
        <v>1</v>
      </c>
      <c r="AT46" s="25">
        <f>IF(AT44=0,0,IF(AT45&lt;INDEX('Lease Cycles'!$BN$10:$BT$10,1,AT44),1,0))</f>
        <v>1</v>
      </c>
      <c r="AU46" s="25">
        <f>IF(AU44=0,0,IF(AU45&lt;INDEX('Lease Cycles'!$BN$10:$BT$10,1,AU44),1,0))</f>
        <v>1</v>
      </c>
      <c r="AV46" s="25">
        <f>IF(AV44=0,0,IF(AV45&lt;INDEX('Lease Cycles'!$BN$10:$BT$10,1,AV44),1,0))</f>
        <v>1</v>
      </c>
      <c r="AW46" s="25">
        <f>IF(AW44=0,0,IF(AW45&lt;INDEX('Lease Cycles'!$BN$10:$BT$10,1,AW44),1,0))</f>
        <v>1</v>
      </c>
      <c r="AX46" s="25">
        <f>IF(AX44=0,0,IF(AX45&lt;INDEX('Lease Cycles'!$BN$10:$BT$10,1,AX44),1,0))</f>
        <v>1</v>
      </c>
      <c r="AY46" s="25">
        <f>IF(AY44=0,0,IF(AY45&lt;INDEX('Lease Cycles'!$BN$10:$BT$10,1,AY44),1,0))</f>
        <v>1</v>
      </c>
      <c r="AZ46" s="25">
        <f>IF(AZ44=0,0,IF(AZ45&lt;INDEX('Lease Cycles'!$BN$10:$BT$10,1,AZ44),1,0))</f>
        <v>1</v>
      </c>
      <c r="BA46" s="25">
        <f>IF(BA44=0,0,IF(BA45&lt;INDEX('Lease Cycles'!$BN$10:$BT$10,1,BA44),1,0))</f>
        <v>1</v>
      </c>
      <c r="BB46" s="25">
        <f>IF(BB44=0,0,IF(BB45&lt;INDEX('Lease Cycles'!$BN$10:$BT$10,1,BB44),1,0))</f>
        <v>1</v>
      </c>
      <c r="BC46" s="25">
        <f>IF(BC44=0,0,IF(BC45&lt;INDEX('Lease Cycles'!$BN$10:$BT$10,1,BC44),1,0))</f>
        <v>1</v>
      </c>
      <c r="BD46" s="25">
        <f>IF(BD44=0,0,IF(BD45&lt;INDEX('Lease Cycles'!$BN$10:$BT$10,1,BD44),1,0))</f>
        <v>1</v>
      </c>
      <c r="BE46" s="25">
        <f>IF(BE44=0,0,IF(BE45&lt;INDEX('Lease Cycles'!$BN$10:$BT$10,1,BE44),1,0))</f>
        <v>1</v>
      </c>
      <c r="BF46" s="25">
        <f>IF(BF44=0,0,IF(BF45&lt;INDEX('Lease Cycles'!$BN$10:$BT$10,1,BF44),1,0))</f>
        <v>1</v>
      </c>
      <c r="BG46" s="25">
        <f>IF(BG44=0,0,IF(BG45&lt;INDEX('Lease Cycles'!$BN$10:$BT$10,1,BG44),1,0))</f>
        <v>1</v>
      </c>
      <c r="BH46" s="25">
        <f>IF(BH44=0,0,IF(BH45&lt;INDEX('Lease Cycles'!$BN$10:$BT$10,1,BH44),1,0))</f>
        <v>1</v>
      </c>
      <c r="BI46" s="25">
        <f>IF(BI44=0,0,IF(BI45&lt;INDEX('Lease Cycles'!$BN$10:$BT$10,1,BI44),1,0))</f>
        <v>1</v>
      </c>
      <c r="BJ46" s="25">
        <f>IF(BJ44=0,0,IF(BJ45&lt;INDEX('Lease Cycles'!$BN$10:$BT$10,1,BJ44),1,0))</f>
        <v>1</v>
      </c>
      <c r="BK46" s="25">
        <f>IF(BK44=0,0,IF(BK45&lt;INDEX('Lease Cycles'!$BN$10:$BT$10,1,BK44),1,0))</f>
        <v>1</v>
      </c>
      <c r="BL46" s="25">
        <f>IF(BL44=0,0,IF(BL45&lt;INDEX('Lease Cycles'!$BN$10:$BT$10,1,BL44),1,0))</f>
        <v>1</v>
      </c>
      <c r="BM46" s="25">
        <f>IF(BM44=0,0,IF(BM45&lt;INDEX('Lease Cycles'!$BN$10:$BT$10,1,BM44),1,0))</f>
        <v>1</v>
      </c>
      <c r="BN46" s="25">
        <f>IF(BN44=0,0,IF(BN45&lt;INDEX('Lease Cycles'!$BN$10:$BT$10,1,BN44),1,0))</f>
        <v>1</v>
      </c>
      <c r="BO46" s="25">
        <f>IF(BO44=0,0,IF(BO45&lt;INDEX('Lease Cycles'!$BN$10:$BT$10,1,BO44),1,0))</f>
        <v>1</v>
      </c>
      <c r="BP46" s="25">
        <f>IF(BP44=0,0,IF(BP45&lt;INDEX('Lease Cycles'!$BN$10:$BT$10,1,BP44),1,0))</f>
        <v>1</v>
      </c>
      <c r="BQ46" s="25">
        <f>IF(BQ44=0,0,IF(BQ45&lt;INDEX('Lease Cycles'!$BN$10:$BT$10,1,BQ44),1,0))</f>
        <v>1</v>
      </c>
      <c r="BR46" s="25">
        <f>IF(BR44=0,0,IF(BR45&lt;INDEX('Lease Cycles'!$BN$10:$BT$10,1,BR44),1,0))</f>
        <v>1</v>
      </c>
      <c r="BS46" s="25">
        <f>IF(BS44=0,0,IF(BS45&lt;INDEX('Lease Cycles'!$BN$10:$BT$10,1,BS44),1,0))</f>
        <v>1</v>
      </c>
      <c r="BT46" s="25">
        <f>IF(BT44=0,0,IF(BT45&lt;INDEX('Lease Cycles'!$BN$10:$BT$10,1,BT44),1,0))</f>
        <v>1</v>
      </c>
      <c r="BU46" s="25">
        <f>IF(BU44=0,0,IF(BU45&lt;INDEX('Lease Cycles'!$BN$10:$BT$10,1,BU44),1,0))</f>
        <v>1</v>
      </c>
      <c r="BV46" s="25">
        <f>IF(BV44=0,0,IF(BV45&lt;INDEX('Lease Cycles'!$BN$10:$BT$10,1,BV44),1,0))</f>
        <v>1</v>
      </c>
      <c r="BW46" s="25">
        <f>IF(BW44=0,0,IF(BW45&lt;INDEX('Lease Cycles'!$BN$10:$BT$10,1,BW44),1,0))</f>
        <v>1</v>
      </c>
      <c r="BX46" s="25">
        <f>IF(BX44=0,0,IF(BX45&lt;INDEX('Lease Cycles'!$BN$10:$BT$10,1,BX44),1,0))</f>
        <v>1</v>
      </c>
      <c r="BY46" s="25">
        <f>IF(BY44=0,0,IF(BY45&lt;INDEX('Lease Cycles'!$BN$10:$BT$10,1,BY44),1,0))</f>
        <v>1</v>
      </c>
      <c r="BZ46" s="25">
        <f>IF(BZ44=0,0,IF(BZ45&lt;INDEX('Lease Cycles'!$BN$10:$BT$10,1,BZ44),1,0))</f>
        <v>1</v>
      </c>
      <c r="CA46" s="25">
        <f>IF(CA44=0,0,IF(CA45&lt;INDEX('Lease Cycles'!$BN$10:$BT$10,1,CA44),1,0))</f>
        <v>0</v>
      </c>
      <c r="CB46" s="25">
        <f>IF(CB44=0,0,IF(CB45&lt;INDEX('Lease Cycles'!$BN$10:$BT$10,1,CB44),1,0))</f>
        <v>1</v>
      </c>
      <c r="CC46" s="25">
        <f>IF(CC44=0,0,IF(CC45&lt;INDEX('Lease Cycles'!$BN$10:$BT$10,1,CC44),1,0))</f>
        <v>1</v>
      </c>
      <c r="CD46" s="25">
        <f>IF(CD44=0,0,IF(CD45&lt;INDEX('Lease Cycles'!$BN$10:$BT$10,1,CD44),1,0))</f>
        <v>1</v>
      </c>
      <c r="CE46" s="25">
        <f>IF(CE44=0,0,IF(CE45&lt;INDEX('Lease Cycles'!$BN$10:$BT$10,1,CE44),1,0))</f>
        <v>1</v>
      </c>
      <c r="CF46" s="25">
        <f>IF(CF44=0,0,IF(CF45&lt;INDEX('Lease Cycles'!$BN$10:$BT$10,1,CF44),1,0))</f>
        <v>1</v>
      </c>
      <c r="CG46" s="25">
        <f>IF(CG44=0,0,IF(CG45&lt;INDEX('Lease Cycles'!$BN$10:$BT$10,1,CG44),1,0))</f>
        <v>1</v>
      </c>
      <c r="CH46" s="25">
        <f>IF(CH44=0,0,IF(CH45&lt;INDEX('Lease Cycles'!$BN$10:$BT$10,1,CH44),1,0))</f>
        <v>1</v>
      </c>
      <c r="CI46" s="25">
        <f>IF(CI44=0,0,IF(CI45&lt;INDEX('Lease Cycles'!$BN$10:$BT$10,1,CI44),1,0))</f>
        <v>1</v>
      </c>
      <c r="CJ46" s="25">
        <f>IF(CJ44=0,0,IF(CJ45&lt;INDEX('Lease Cycles'!$BN$10:$BT$10,1,CJ44),1,0))</f>
        <v>1</v>
      </c>
      <c r="CK46" s="25">
        <f>IF(CK44=0,0,IF(CK45&lt;INDEX('Lease Cycles'!$BN$10:$BT$10,1,CK44),1,0))</f>
        <v>1</v>
      </c>
      <c r="CL46" s="25">
        <f>IF(CL44=0,0,IF(CL45&lt;INDEX('Lease Cycles'!$BN$10:$BT$10,1,CL44),1,0))</f>
        <v>1</v>
      </c>
      <c r="CM46" s="25">
        <f>IF(CM44=0,0,IF(CM45&lt;INDEX('Lease Cycles'!$BN$10:$BT$10,1,CM44),1,0))</f>
        <v>1</v>
      </c>
      <c r="CN46" s="25">
        <f>IF(CN44=0,0,IF(CN45&lt;INDEX('Lease Cycles'!$BN$10:$BT$10,1,CN44),1,0))</f>
        <v>1</v>
      </c>
      <c r="CO46" s="25">
        <f>IF(CO44=0,0,IF(CO45&lt;INDEX('Lease Cycles'!$BN$10:$BT$10,1,CO44),1,0))</f>
        <v>1</v>
      </c>
      <c r="CP46" s="25">
        <f>IF(CP44=0,0,IF(CP45&lt;INDEX('Lease Cycles'!$BN$10:$BT$10,1,CP44),1,0))</f>
        <v>1</v>
      </c>
      <c r="CQ46" s="25">
        <f>IF(CQ44=0,0,IF(CQ45&lt;INDEX('Lease Cycles'!$BN$10:$BT$10,1,CQ44),1,0))</f>
        <v>1</v>
      </c>
      <c r="CR46" s="25">
        <f>IF(CR44=0,0,IF(CR45&lt;INDEX('Lease Cycles'!$BN$10:$BT$10,1,CR44),1,0))</f>
        <v>1</v>
      </c>
      <c r="CS46" s="25">
        <f>IF(CS44=0,0,IF(CS45&lt;INDEX('Lease Cycles'!$BN$10:$BT$10,1,CS44),1,0))</f>
        <v>1</v>
      </c>
      <c r="CT46" s="25">
        <f>IF(CT44=0,0,IF(CT45&lt;INDEX('Lease Cycles'!$BN$10:$BT$10,1,CT44),1,0))</f>
        <v>1</v>
      </c>
      <c r="CU46" s="25">
        <f>IF(CU44=0,0,IF(CU45&lt;INDEX('Lease Cycles'!$BN$10:$BT$10,1,CU44),1,0))</f>
        <v>1</v>
      </c>
      <c r="CV46" s="25">
        <f>IF(CV44=0,0,IF(CV45&lt;INDEX('Lease Cycles'!$BN$10:$BT$10,1,CV44),1,0))</f>
        <v>1</v>
      </c>
      <c r="CW46" s="25">
        <f>IF(CW44=0,0,IF(CW45&lt;INDEX('Lease Cycles'!$BN$10:$BT$10,1,CW44),1,0))</f>
        <v>1</v>
      </c>
      <c r="CX46" s="25">
        <f>IF(CX44=0,0,IF(CX45&lt;INDEX('Lease Cycles'!$BN$10:$BT$10,1,CX44),1,0))</f>
        <v>1</v>
      </c>
      <c r="CY46" s="25">
        <f>IF(CY44=0,0,IF(CY45&lt;INDEX('Lease Cycles'!$BN$10:$BT$10,1,CY44),1,0))</f>
        <v>1</v>
      </c>
      <c r="CZ46" s="25">
        <f>IF(CZ44=0,0,IF(CZ45&lt;INDEX('Lease Cycles'!$BN$10:$BT$10,1,CZ44),1,0))</f>
        <v>1</v>
      </c>
      <c r="DA46" s="25">
        <f>IF(DA44=0,0,IF(DA45&lt;INDEX('Lease Cycles'!$BN$10:$BT$10,1,DA44),1,0))</f>
        <v>1</v>
      </c>
      <c r="DB46" s="25">
        <f>IF(DB44=0,0,IF(DB45&lt;INDEX('Lease Cycles'!$BN$10:$BT$10,1,DB44),1,0))</f>
        <v>1</v>
      </c>
      <c r="DC46" s="25">
        <f>IF(DC44=0,0,IF(DC45&lt;INDEX('Lease Cycles'!$BN$10:$BT$10,1,DC44),1,0))</f>
        <v>1</v>
      </c>
      <c r="DD46" s="25">
        <f>IF(DD44=0,0,IF(DD45&lt;INDEX('Lease Cycles'!$BN$10:$BT$10,1,DD44),1,0))</f>
        <v>1</v>
      </c>
      <c r="DE46" s="25">
        <f>IF(DE44=0,0,IF(DE45&lt;INDEX('Lease Cycles'!$BN$10:$BT$10,1,DE44),1,0))</f>
        <v>1</v>
      </c>
      <c r="DF46" s="25">
        <f>IF(DF44=0,0,IF(DF45&lt;INDEX('Lease Cycles'!$BN$10:$BT$10,1,DF44),1,0))</f>
        <v>1</v>
      </c>
      <c r="DG46" s="25">
        <f>IF(DG44=0,0,IF(DG45&lt;INDEX('Lease Cycles'!$BN$10:$BT$10,1,DG44),1,0))</f>
        <v>1</v>
      </c>
      <c r="DH46" s="25">
        <f>IF(DH44=0,0,IF(DH45&lt;INDEX('Lease Cycles'!$BN$10:$BT$10,1,DH44),1,0))</f>
        <v>1</v>
      </c>
      <c r="DI46" s="25">
        <f>IF(DI44=0,0,IF(DI45&lt;INDEX('Lease Cycles'!$BN$10:$BT$10,1,DI44),1,0))</f>
        <v>1</v>
      </c>
      <c r="DJ46" s="25">
        <f>IF(DJ44=0,0,IF(DJ45&lt;INDEX('Lease Cycles'!$BN$10:$BT$10,1,DJ44),1,0))</f>
        <v>1</v>
      </c>
      <c r="DK46" s="25">
        <f>IF(DK44=0,0,IF(DK45&lt;INDEX('Lease Cycles'!$BN$10:$BT$10,1,DK44),1,0))</f>
        <v>1</v>
      </c>
      <c r="DL46" s="25">
        <f>IF(DL44=0,0,IF(DL45&lt;INDEX('Lease Cycles'!$BN$10:$BT$10,1,DL44),1,0))</f>
        <v>1</v>
      </c>
      <c r="DM46" s="25">
        <f>IF(DM44=0,0,IF(DM45&lt;INDEX('Lease Cycles'!$BN$10:$BT$10,1,DM44),1,0))</f>
        <v>1</v>
      </c>
      <c r="DN46" s="25">
        <f>IF(DN44=0,0,IF(DN45&lt;INDEX('Lease Cycles'!$BN$10:$BT$10,1,DN44),1,0))</f>
        <v>1</v>
      </c>
      <c r="DO46" s="25">
        <f>IF(DO44=0,0,IF(DO45&lt;INDEX('Lease Cycles'!$BN$10:$BT$10,1,DO44),1,0))</f>
        <v>1</v>
      </c>
      <c r="DP46" s="25">
        <f>IF(DP44=0,0,IF(DP45&lt;INDEX('Lease Cycles'!$BN$10:$BT$10,1,DP44),1,0))</f>
        <v>1</v>
      </c>
      <c r="DQ46" s="25">
        <f>IF(DQ44=0,0,IF(DQ45&lt;INDEX('Lease Cycles'!$BN$10:$BT$10,1,DQ44),1,0))</f>
        <v>1</v>
      </c>
      <c r="DR46" s="25">
        <f>IF(DR44=0,0,IF(DR45&lt;INDEX('Lease Cycles'!$BN$10:$BT$10,1,DR44),1,0))</f>
        <v>1</v>
      </c>
      <c r="DS46" s="25">
        <f>IF(DS44=0,0,IF(DS45&lt;INDEX('Lease Cycles'!$BN$10:$BT$10,1,DS44),1,0))</f>
        <v>1</v>
      </c>
      <c r="DT46" s="25">
        <f>IF(DT44=0,0,IF(DT45&lt;INDEX('Lease Cycles'!$BN$10:$BT$10,1,DT44),1,0))</f>
        <v>1</v>
      </c>
      <c r="DU46" s="25">
        <f>IF(DU44=0,0,IF(DU45&lt;INDEX('Lease Cycles'!$BN$10:$BT$10,1,DU44),1,0))</f>
        <v>1</v>
      </c>
      <c r="DV46" s="25">
        <f>IF(DV44=0,0,IF(DV45&lt;INDEX('Lease Cycles'!$BN$10:$BT$10,1,DV44),1,0))</f>
        <v>1</v>
      </c>
      <c r="DW46" s="25">
        <f>IF(DW44=0,0,IF(DW45&lt;INDEX('Lease Cycles'!$BN$10:$BT$10,1,DW44),1,0))</f>
        <v>1</v>
      </c>
      <c r="DX46" s="25">
        <f>IF(DX44=0,0,IF(DX45&lt;INDEX('Lease Cycles'!$BN$10:$BT$10,1,DX44),1,0))</f>
        <v>1</v>
      </c>
      <c r="DY46" s="25">
        <f>IF(DY44=0,0,IF(DY45&lt;INDEX('Lease Cycles'!$BN$10:$BT$10,1,DY44),1,0))</f>
        <v>1</v>
      </c>
      <c r="DZ46" s="25">
        <f>IF(DZ44=0,0,IF(DZ45&lt;INDEX('Lease Cycles'!$BN$10:$BT$10,1,DZ44),1,0))</f>
        <v>1</v>
      </c>
      <c r="EA46" s="25">
        <f>IF(EA44=0,0,IF(EA45&lt;INDEX('Lease Cycles'!$BN$10:$BT$10,1,EA44),1,0))</f>
        <v>1</v>
      </c>
      <c r="EB46" s="25">
        <f>IF(EB44=0,0,IF(EB45&lt;INDEX('Lease Cycles'!$BN$10:$BT$10,1,EB44),1,0))</f>
        <v>1</v>
      </c>
      <c r="EC46" s="25">
        <f>IF(EC44=0,0,IF(EC45&lt;INDEX('Lease Cycles'!$BN$10:$BT$10,1,EC44),1,0))</f>
        <v>1</v>
      </c>
      <c r="ED46" s="25">
        <f>IF(ED44=0,0,IF(ED45&lt;INDEX('Lease Cycles'!$BN$10:$BT$10,1,ED44),1,0))</f>
        <v>1</v>
      </c>
      <c r="EE46" s="25">
        <f>IF(EE44=0,0,IF(EE45&lt;INDEX('Lease Cycles'!$BN$10:$BT$10,1,EE44),1,0))</f>
        <v>1</v>
      </c>
      <c r="EF46" s="25">
        <f>IF(EF44=0,0,IF(EF45&lt;INDEX('Lease Cycles'!$BN$10:$BT$10,1,EF44),1,0))</f>
        <v>1</v>
      </c>
      <c r="EG46" s="25">
        <f>IF(EG44=0,0,IF(EG45&lt;INDEX('Lease Cycles'!$BN$10:$BT$10,1,EG44),1,0))</f>
        <v>1</v>
      </c>
      <c r="EH46" s="25">
        <f>IF(EH44=0,0,IF(EH45&lt;INDEX('Lease Cycles'!$BN$10:$BT$10,1,EH44),1,0))</f>
        <v>1</v>
      </c>
      <c r="EI46" s="25">
        <f>IF(EI44=0,0,IF(EI45&lt;INDEX('Lease Cycles'!$BN$10:$BT$10,1,EI44),1,0))</f>
        <v>1</v>
      </c>
      <c r="EJ46" s="25">
        <f>IF(EJ44=0,0,IF(EJ45&lt;INDEX('Lease Cycles'!$BN$10:$BT$10,1,EJ44),1,0))</f>
        <v>1</v>
      </c>
      <c r="EK46" s="25">
        <f>IF(EK44=0,0,IF(EK45&lt;INDEX('Lease Cycles'!$BN$10:$BT$10,1,EK44),1,0))</f>
        <v>1</v>
      </c>
      <c r="EL46" s="25">
        <f>IF(EL44=0,0,IF(EL45&lt;INDEX('Lease Cycles'!$BN$10:$BT$10,1,EL44),1,0))</f>
        <v>1</v>
      </c>
      <c r="EM46" s="25">
        <f>IF(EM44=0,0,IF(EM45&lt;INDEX('Lease Cycles'!$BN$10:$BT$10,1,EM44),1,0))</f>
        <v>1</v>
      </c>
      <c r="EN46" s="25">
        <f>IF(EN44=0,0,IF(EN45&lt;INDEX('Lease Cycles'!$BN$10:$BT$10,1,EN44),1,0))</f>
        <v>1</v>
      </c>
      <c r="EO46" s="25">
        <f>IF(EO44=0,0,IF(EO45&lt;INDEX('Lease Cycles'!$BN$10:$BT$10,1,EO44),1,0))</f>
        <v>1</v>
      </c>
      <c r="EP46" s="25">
        <f>IF(EP44=0,0,IF(EP45&lt;INDEX('Lease Cycles'!$BN$10:$BT$10,1,EP44),1,0))</f>
        <v>1</v>
      </c>
      <c r="EQ46" s="25">
        <f>IF(EQ44=0,0,IF(EQ45&lt;INDEX('Lease Cycles'!$BN$10:$BT$10,1,EQ44),1,0))</f>
        <v>1</v>
      </c>
      <c r="ER46" s="25">
        <f>IF(ER44=0,0,IF(ER45&lt;INDEX('Lease Cycles'!$BN$10:$BT$10,1,ER44),1,0))</f>
        <v>1</v>
      </c>
      <c r="ES46" s="25">
        <f>IF(ES44=0,0,IF(ES45&lt;INDEX('Lease Cycles'!$BN$10:$BT$10,1,ES44),1,0))</f>
        <v>1</v>
      </c>
      <c r="ET46" s="25">
        <f>IF(ET44=0,0,IF(ET45&lt;INDEX('Lease Cycles'!$BN$10:$BT$10,1,ET44),1,0))</f>
        <v>1</v>
      </c>
    </row>
    <row r="47">
      <c r="A47" s="103">
        <v>3</v>
      </c>
      <c r="B47" s="23" t="str">
        <f>IF('Lease Cycles'!$B$10="","(empty slot)",'Lease Cycles'!$B$10)</f>
        <v>Sunfield Fitness</v>
      </c>
      <c r="C47" s="23" t="s">
        <v>677</v>
      </c>
      <c r="D47" s="104" t="s">
        <v>678</v>
      </c>
      <c r="E47" s="25">
        <f>'Lease Cycles'!$AL$10</f>
        <v>0</v>
      </c>
      <c r="S47" s="28">
        <f>IF(S44=0,IF('Lease Cycles'!$F$10&gt;0,'Lease Cycles'!$C$10*'Lease Cycles'!$E$10/12,0),IF(S46=1,IF('Lease Cycles'!$AT$10&gt;=9999,'Lease Cycles'!$C$10*INDEX('Lease Cycles'!$CB$10:$CH$10,1,S44)*(1+INDEX('Lease Cycles'!$CI$10:$CO$10,1,S44))^INT(INT(S45/12)/INDEX('Lease Cycles'!$CP$10:$CV$10,1,S44))/12,IF(S44=1,IF(S45&gt;=INDEX('Lease Cycles'!$DK$10:$DQ$10,1,S44),IF(S$6&gt;='Lease Cycles'!$AZ$10,'Lease Cycles'!$C$10*'Lease Cycles'!$BA$10/12,IF(S$6&gt;='Lease Cycles'!$AX$10,'Lease Cycles'!$C$10*'Lease Cycles'!$AY$10/12,IF(S$6&gt;='Lease Cycles'!$AV$10,'Lease Cycles'!$C$10*'Lease Cycles'!$AW$10/12,IF(S$6&gt;='Lease Cycles'!$AT$10,'Lease Cycles'!$C$10*'Lease Cycles'!$AU$10/12,'Lease Cycles'!$C$10*INDEX('Lease Cycles'!$CB$10:$CH$10,1,S44)*(1+INDEX('Lease Cycles'!$CI$10:$CO$10,1,S44))^INT(INT(S45/12)/INDEX('Lease Cycles'!$CP$10:$CV$10,1,S44))/12)))),'Lease Cycles'!$C$10*INDEX('Lease Cycles'!$CB$10:$CH$10,1,S44)*(1+INDEX('Lease Cycles'!$CI$10:$CO$10,1,S44))^INT(INT(S45/12)/INDEX('Lease Cycles'!$CP$10:$CV$10,1,S44))/12),IF(INDEX('Lease Cycles'!$EF$10:$EL$10,1,S44)=1,IF(AND('Lease Cycles'!$AZ$10&gt;=INDEX('Lease Cycles'!$BG$10:$BM$10,1,S44),'Lease Cycles'!$AZ$10&lt;=S$6),'Lease Cycles'!$C$10*'Lease Cycles'!$BA$10/12,IF(AND('Lease Cycles'!$AX$10&gt;=INDEX('Lease Cycles'!$BG$10:$BM$10,1,S44),'Lease Cycles'!$AX$10&lt;=S$6),'Lease Cycles'!$C$10*'Lease Cycles'!$AY$10/12,IF(AND('Lease Cycles'!$AV$10&gt;=INDEX('Lease Cycles'!$BG$10:$BM$10,1,S44),'Lease Cycles'!$AV$10&lt;=S$6),'Lease Cycles'!$C$10*'Lease Cycles'!$AW$10/12,IF(AND('Lease Cycles'!$AT$10&gt;=INDEX('Lease Cycles'!$BG$10:$BM$10,1,S44),'Lease Cycles'!$AT$10&lt;=S$6),'Lease Cycles'!$C$10*'Lease Cycles'!$AU$10/12,'Lease Cycles'!$C$10*INDEX('Lease Cycles'!$CB$10:$CH$10,1,S44)*(1+INDEX('Lease Cycles'!$CI$10:$CO$10,1,S44))^INT(INT(S45/12)/INDEX('Lease Cycles'!$CP$10:$CV$10,1,S44))/12)))),'Lease Cycles'!$C$10*INDEX('Lease Cycles'!$CB$10:$CH$10,1,S44)*(1+INDEX('Lease Cycles'!$CI$10:$CO$10,1,S44))^INT(INT(S45/12)/INDEX('Lease Cycles'!$CP$10:$CV$10,1,S44))/12))),IF('Lease Cycles'!$N$10=1,'Lease Cycles'!$C$10*'Lease Cycles'!$E$10*INDEX('Lease Cycles'!$HE$10:$HK$10,1,S44)*(1+INDEX('Lease Cycles'!$GQ$10:$GW$10,1,S44))^INT(INT((S$6-INDEX('Lease Cycles'!$GJ$10:$GP$10,1,S44))/12)/INDEX('Lease Cycles'!$GX$10:$HD$10,1,S44))/12,0)))</f>
        <v>8000</v>
      </c>
      <c r="T47" s="28">
        <f>IF(T44=0,IF('Lease Cycles'!$F$10&gt;0,'Lease Cycles'!$C$10*'Lease Cycles'!$E$10/12,0),IF(T46=1,IF('Lease Cycles'!$AT$10&gt;=9999,'Lease Cycles'!$C$10*INDEX('Lease Cycles'!$CB$10:$CH$10,1,T44)*(1+INDEX('Lease Cycles'!$CI$10:$CO$10,1,T44))^INT(INT(T45/12)/INDEX('Lease Cycles'!$CP$10:$CV$10,1,T44))/12,IF(T44=1,IF(T45&gt;=INDEX('Lease Cycles'!$DK$10:$DQ$10,1,T44),IF(T$6&gt;='Lease Cycles'!$AZ$10,'Lease Cycles'!$C$10*'Lease Cycles'!$BA$10/12,IF(T$6&gt;='Lease Cycles'!$AX$10,'Lease Cycles'!$C$10*'Lease Cycles'!$AY$10/12,IF(T$6&gt;='Lease Cycles'!$AV$10,'Lease Cycles'!$C$10*'Lease Cycles'!$AW$10/12,IF(T$6&gt;='Lease Cycles'!$AT$10,'Lease Cycles'!$C$10*'Lease Cycles'!$AU$10/12,'Lease Cycles'!$C$10*INDEX('Lease Cycles'!$CB$10:$CH$10,1,T44)*(1+INDEX('Lease Cycles'!$CI$10:$CO$10,1,T44))^INT(INT(T45/12)/INDEX('Lease Cycles'!$CP$10:$CV$10,1,T44))/12)))),'Lease Cycles'!$C$10*INDEX('Lease Cycles'!$CB$10:$CH$10,1,T44)*(1+INDEX('Lease Cycles'!$CI$10:$CO$10,1,T44))^INT(INT(T45/12)/INDEX('Lease Cycles'!$CP$10:$CV$10,1,T44))/12),IF(INDEX('Lease Cycles'!$EF$10:$EL$10,1,T44)=1,IF(AND('Lease Cycles'!$AZ$10&gt;=INDEX('Lease Cycles'!$BG$10:$BM$10,1,T44),'Lease Cycles'!$AZ$10&lt;=T$6),'Lease Cycles'!$C$10*'Lease Cycles'!$BA$10/12,IF(AND('Lease Cycles'!$AX$10&gt;=INDEX('Lease Cycles'!$BG$10:$BM$10,1,T44),'Lease Cycles'!$AX$10&lt;=T$6),'Lease Cycles'!$C$10*'Lease Cycles'!$AY$10/12,IF(AND('Lease Cycles'!$AV$10&gt;=INDEX('Lease Cycles'!$BG$10:$BM$10,1,T44),'Lease Cycles'!$AV$10&lt;=T$6),'Lease Cycles'!$C$10*'Lease Cycles'!$AW$10/12,IF(AND('Lease Cycles'!$AT$10&gt;=INDEX('Lease Cycles'!$BG$10:$BM$10,1,T44),'Lease Cycles'!$AT$10&lt;=T$6),'Lease Cycles'!$C$10*'Lease Cycles'!$AU$10/12,'Lease Cycles'!$C$10*INDEX('Lease Cycles'!$CB$10:$CH$10,1,T44)*(1+INDEX('Lease Cycles'!$CI$10:$CO$10,1,T44))^INT(INT(T45/12)/INDEX('Lease Cycles'!$CP$10:$CV$10,1,T44))/12)))),'Lease Cycles'!$C$10*INDEX('Lease Cycles'!$CB$10:$CH$10,1,T44)*(1+INDEX('Lease Cycles'!$CI$10:$CO$10,1,T44))^INT(INT(T45/12)/INDEX('Lease Cycles'!$CP$10:$CV$10,1,T44))/12))),IF('Lease Cycles'!$N$10=1,'Lease Cycles'!$C$10*'Lease Cycles'!$E$10*INDEX('Lease Cycles'!$HE$10:$HK$10,1,T44)*(1+INDEX('Lease Cycles'!$GQ$10:$GW$10,1,T44))^INT(INT((T$6-INDEX('Lease Cycles'!$GJ$10:$GP$10,1,T44))/12)/INDEX('Lease Cycles'!$GX$10:$HD$10,1,T44))/12,0)))</f>
        <v>8000</v>
      </c>
      <c r="U47" s="28">
        <f>IF(U44=0,IF('Lease Cycles'!$F$10&gt;0,'Lease Cycles'!$C$10*'Lease Cycles'!$E$10/12,0),IF(U46=1,IF('Lease Cycles'!$AT$10&gt;=9999,'Lease Cycles'!$C$10*INDEX('Lease Cycles'!$CB$10:$CH$10,1,U44)*(1+INDEX('Lease Cycles'!$CI$10:$CO$10,1,U44))^INT(INT(U45/12)/INDEX('Lease Cycles'!$CP$10:$CV$10,1,U44))/12,IF(U44=1,IF(U45&gt;=INDEX('Lease Cycles'!$DK$10:$DQ$10,1,U44),IF(U$6&gt;='Lease Cycles'!$AZ$10,'Lease Cycles'!$C$10*'Lease Cycles'!$BA$10/12,IF(U$6&gt;='Lease Cycles'!$AX$10,'Lease Cycles'!$C$10*'Lease Cycles'!$AY$10/12,IF(U$6&gt;='Lease Cycles'!$AV$10,'Lease Cycles'!$C$10*'Lease Cycles'!$AW$10/12,IF(U$6&gt;='Lease Cycles'!$AT$10,'Lease Cycles'!$C$10*'Lease Cycles'!$AU$10/12,'Lease Cycles'!$C$10*INDEX('Lease Cycles'!$CB$10:$CH$10,1,U44)*(1+INDEX('Lease Cycles'!$CI$10:$CO$10,1,U44))^INT(INT(U45/12)/INDEX('Lease Cycles'!$CP$10:$CV$10,1,U44))/12)))),'Lease Cycles'!$C$10*INDEX('Lease Cycles'!$CB$10:$CH$10,1,U44)*(1+INDEX('Lease Cycles'!$CI$10:$CO$10,1,U44))^INT(INT(U45/12)/INDEX('Lease Cycles'!$CP$10:$CV$10,1,U44))/12),IF(INDEX('Lease Cycles'!$EF$10:$EL$10,1,U44)=1,IF(AND('Lease Cycles'!$AZ$10&gt;=INDEX('Lease Cycles'!$BG$10:$BM$10,1,U44),'Lease Cycles'!$AZ$10&lt;=U$6),'Lease Cycles'!$C$10*'Lease Cycles'!$BA$10/12,IF(AND('Lease Cycles'!$AX$10&gt;=INDEX('Lease Cycles'!$BG$10:$BM$10,1,U44),'Lease Cycles'!$AX$10&lt;=U$6),'Lease Cycles'!$C$10*'Lease Cycles'!$AY$10/12,IF(AND('Lease Cycles'!$AV$10&gt;=INDEX('Lease Cycles'!$BG$10:$BM$10,1,U44),'Lease Cycles'!$AV$10&lt;=U$6),'Lease Cycles'!$C$10*'Lease Cycles'!$AW$10/12,IF(AND('Lease Cycles'!$AT$10&gt;=INDEX('Lease Cycles'!$BG$10:$BM$10,1,U44),'Lease Cycles'!$AT$10&lt;=U$6),'Lease Cycles'!$C$10*'Lease Cycles'!$AU$10/12,'Lease Cycles'!$C$10*INDEX('Lease Cycles'!$CB$10:$CH$10,1,U44)*(1+INDEX('Lease Cycles'!$CI$10:$CO$10,1,U44))^INT(INT(U45/12)/INDEX('Lease Cycles'!$CP$10:$CV$10,1,U44))/12)))),'Lease Cycles'!$C$10*INDEX('Lease Cycles'!$CB$10:$CH$10,1,U44)*(1+INDEX('Lease Cycles'!$CI$10:$CO$10,1,U44))^INT(INT(U45/12)/INDEX('Lease Cycles'!$CP$10:$CV$10,1,U44))/12))),IF('Lease Cycles'!$N$10=1,'Lease Cycles'!$C$10*'Lease Cycles'!$E$10*INDEX('Lease Cycles'!$HE$10:$HK$10,1,U44)*(1+INDEX('Lease Cycles'!$GQ$10:$GW$10,1,U44))^INT(INT((U$6-INDEX('Lease Cycles'!$GJ$10:$GP$10,1,U44))/12)/INDEX('Lease Cycles'!$GX$10:$HD$10,1,U44))/12,0)))</f>
        <v>8000</v>
      </c>
      <c r="V47" s="28">
        <f>IF(V44=0,IF('Lease Cycles'!$F$10&gt;0,'Lease Cycles'!$C$10*'Lease Cycles'!$E$10/12,0),IF(V46=1,IF('Lease Cycles'!$AT$10&gt;=9999,'Lease Cycles'!$C$10*INDEX('Lease Cycles'!$CB$10:$CH$10,1,V44)*(1+INDEX('Lease Cycles'!$CI$10:$CO$10,1,V44))^INT(INT(V45/12)/INDEX('Lease Cycles'!$CP$10:$CV$10,1,V44))/12,IF(V44=1,IF(V45&gt;=INDEX('Lease Cycles'!$DK$10:$DQ$10,1,V44),IF(V$6&gt;='Lease Cycles'!$AZ$10,'Lease Cycles'!$C$10*'Lease Cycles'!$BA$10/12,IF(V$6&gt;='Lease Cycles'!$AX$10,'Lease Cycles'!$C$10*'Lease Cycles'!$AY$10/12,IF(V$6&gt;='Lease Cycles'!$AV$10,'Lease Cycles'!$C$10*'Lease Cycles'!$AW$10/12,IF(V$6&gt;='Lease Cycles'!$AT$10,'Lease Cycles'!$C$10*'Lease Cycles'!$AU$10/12,'Lease Cycles'!$C$10*INDEX('Lease Cycles'!$CB$10:$CH$10,1,V44)*(1+INDEX('Lease Cycles'!$CI$10:$CO$10,1,V44))^INT(INT(V45/12)/INDEX('Lease Cycles'!$CP$10:$CV$10,1,V44))/12)))),'Lease Cycles'!$C$10*INDEX('Lease Cycles'!$CB$10:$CH$10,1,V44)*(1+INDEX('Lease Cycles'!$CI$10:$CO$10,1,V44))^INT(INT(V45/12)/INDEX('Lease Cycles'!$CP$10:$CV$10,1,V44))/12),IF(INDEX('Lease Cycles'!$EF$10:$EL$10,1,V44)=1,IF(AND('Lease Cycles'!$AZ$10&gt;=INDEX('Lease Cycles'!$BG$10:$BM$10,1,V44),'Lease Cycles'!$AZ$10&lt;=V$6),'Lease Cycles'!$C$10*'Lease Cycles'!$BA$10/12,IF(AND('Lease Cycles'!$AX$10&gt;=INDEX('Lease Cycles'!$BG$10:$BM$10,1,V44),'Lease Cycles'!$AX$10&lt;=V$6),'Lease Cycles'!$C$10*'Lease Cycles'!$AY$10/12,IF(AND('Lease Cycles'!$AV$10&gt;=INDEX('Lease Cycles'!$BG$10:$BM$10,1,V44),'Lease Cycles'!$AV$10&lt;=V$6),'Lease Cycles'!$C$10*'Lease Cycles'!$AW$10/12,IF(AND('Lease Cycles'!$AT$10&gt;=INDEX('Lease Cycles'!$BG$10:$BM$10,1,V44),'Lease Cycles'!$AT$10&lt;=V$6),'Lease Cycles'!$C$10*'Lease Cycles'!$AU$10/12,'Lease Cycles'!$C$10*INDEX('Lease Cycles'!$CB$10:$CH$10,1,V44)*(1+INDEX('Lease Cycles'!$CI$10:$CO$10,1,V44))^INT(INT(V45/12)/INDEX('Lease Cycles'!$CP$10:$CV$10,1,V44))/12)))),'Lease Cycles'!$C$10*INDEX('Lease Cycles'!$CB$10:$CH$10,1,V44)*(1+INDEX('Lease Cycles'!$CI$10:$CO$10,1,V44))^INT(INT(V45/12)/INDEX('Lease Cycles'!$CP$10:$CV$10,1,V44))/12))),IF('Lease Cycles'!$N$10=1,'Lease Cycles'!$C$10*'Lease Cycles'!$E$10*INDEX('Lease Cycles'!$HE$10:$HK$10,1,V44)*(1+INDEX('Lease Cycles'!$GQ$10:$GW$10,1,V44))^INT(INT((V$6-INDEX('Lease Cycles'!$GJ$10:$GP$10,1,V44))/12)/INDEX('Lease Cycles'!$GX$10:$HD$10,1,V44))/12,0)))</f>
        <v>8000</v>
      </c>
      <c r="W47" s="28">
        <f>IF(W44=0,IF('Lease Cycles'!$F$10&gt;0,'Lease Cycles'!$C$10*'Lease Cycles'!$E$10/12,0),IF(W46=1,IF('Lease Cycles'!$AT$10&gt;=9999,'Lease Cycles'!$C$10*INDEX('Lease Cycles'!$CB$10:$CH$10,1,W44)*(1+INDEX('Lease Cycles'!$CI$10:$CO$10,1,W44))^INT(INT(W45/12)/INDEX('Lease Cycles'!$CP$10:$CV$10,1,W44))/12,IF(W44=1,IF(W45&gt;=INDEX('Lease Cycles'!$DK$10:$DQ$10,1,W44),IF(W$6&gt;='Lease Cycles'!$AZ$10,'Lease Cycles'!$C$10*'Lease Cycles'!$BA$10/12,IF(W$6&gt;='Lease Cycles'!$AX$10,'Lease Cycles'!$C$10*'Lease Cycles'!$AY$10/12,IF(W$6&gt;='Lease Cycles'!$AV$10,'Lease Cycles'!$C$10*'Lease Cycles'!$AW$10/12,IF(W$6&gt;='Lease Cycles'!$AT$10,'Lease Cycles'!$C$10*'Lease Cycles'!$AU$10/12,'Lease Cycles'!$C$10*INDEX('Lease Cycles'!$CB$10:$CH$10,1,W44)*(1+INDEX('Lease Cycles'!$CI$10:$CO$10,1,W44))^INT(INT(W45/12)/INDEX('Lease Cycles'!$CP$10:$CV$10,1,W44))/12)))),'Lease Cycles'!$C$10*INDEX('Lease Cycles'!$CB$10:$CH$10,1,W44)*(1+INDEX('Lease Cycles'!$CI$10:$CO$10,1,W44))^INT(INT(W45/12)/INDEX('Lease Cycles'!$CP$10:$CV$10,1,W44))/12),IF(INDEX('Lease Cycles'!$EF$10:$EL$10,1,W44)=1,IF(AND('Lease Cycles'!$AZ$10&gt;=INDEX('Lease Cycles'!$BG$10:$BM$10,1,W44),'Lease Cycles'!$AZ$10&lt;=W$6),'Lease Cycles'!$C$10*'Lease Cycles'!$BA$10/12,IF(AND('Lease Cycles'!$AX$10&gt;=INDEX('Lease Cycles'!$BG$10:$BM$10,1,W44),'Lease Cycles'!$AX$10&lt;=W$6),'Lease Cycles'!$C$10*'Lease Cycles'!$AY$10/12,IF(AND('Lease Cycles'!$AV$10&gt;=INDEX('Lease Cycles'!$BG$10:$BM$10,1,W44),'Lease Cycles'!$AV$10&lt;=W$6),'Lease Cycles'!$C$10*'Lease Cycles'!$AW$10/12,IF(AND('Lease Cycles'!$AT$10&gt;=INDEX('Lease Cycles'!$BG$10:$BM$10,1,W44),'Lease Cycles'!$AT$10&lt;=W$6),'Lease Cycles'!$C$10*'Lease Cycles'!$AU$10/12,'Lease Cycles'!$C$10*INDEX('Lease Cycles'!$CB$10:$CH$10,1,W44)*(1+INDEX('Lease Cycles'!$CI$10:$CO$10,1,W44))^INT(INT(W45/12)/INDEX('Lease Cycles'!$CP$10:$CV$10,1,W44))/12)))),'Lease Cycles'!$C$10*INDEX('Lease Cycles'!$CB$10:$CH$10,1,W44)*(1+INDEX('Lease Cycles'!$CI$10:$CO$10,1,W44))^INT(INT(W45/12)/INDEX('Lease Cycles'!$CP$10:$CV$10,1,W44))/12))),IF('Lease Cycles'!$N$10=1,'Lease Cycles'!$C$10*'Lease Cycles'!$E$10*INDEX('Lease Cycles'!$HE$10:$HK$10,1,W44)*(1+INDEX('Lease Cycles'!$GQ$10:$GW$10,1,W44))^INT(INT((W$6-INDEX('Lease Cycles'!$GJ$10:$GP$10,1,W44))/12)/INDEX('Lease Cycles'!$GX$10:$HD$10,1,W44))/12,0)))</f>
        <v>8000</v>
      </c>
      <c r="X47" s="28">
        <f>IF(X44=0,IF('Lease Cycles'!$F$10&gt;0,'Lease Cycles'!$C$10*'Lease Cycles'!$E$10/12,0),IF(X46=1,IF('Lease Cycles'!$AT$10&gt;=9999,'Lease Cycles'!$C$10*INDEX('Lease Cycles'!$CB$10:$CH$10,1,X44)*(1+INDEX('Lease Cycles'!$CI$10:$CO$10,1,X44))^INT(INT(X45/12)/INDEX('Lease Cycles'!$CP$10:$CV$10,1,X44))/12,IF(X44=1,IF(X45&gt;=INDEX('Lease Cycles'!$DK$10:$DQ$10,1,X44),IF(X$6&gt;='Lease Cycles'!$AZ$10,'Lease Cycles'!$C$10*'Lease Cycles'!$BA$10/12,IF(X$6&gt;='Lease Cycles'!$AX$10,'Lease Cycles'!$C$10*'Lease Cycles'!$AY$10/12,IF(X$6&gt;='Lease Cycles'!$AV$10,'Lease Cycles'!$C$10*'Lease Cycles'!$AW$10/12,IF(X$6&gt;='Lease Cycles'!$AT$10,'Lease Cycles'!$C$10*'Lease Cycles'!$AU$10/12,'Lease Cycles'!$C$10*INDEX('Lease Cycles'!$CB$10:$CH$10,1,X44)*(1+INDEX('Lease Cycles'!$CI$10:$CO$10,1,X44))^INT(INT(X45/12)/INDEX('Lease Cycles'!$CP$10:$CV$10,1,X44))/12)))),'Lease Cycles'!$C$10*INDEX('Lease Cycles'!$CB$10:$CH$10,1,X44)*(1+INDEX('Lease Cycles'!$CI$10:$CO$10,1,X44))^INT(INT(X45/12)/INDEX('Lease Cycles'!$CP$10:$CV$10,1,X44))/12),IF(INDEX('Lease Cycles'!$EF$10:$EL$10,1,X44)=1,IF(AND('Lease Cycles'!$AZ$10&gt;=INDEX('Lease Cycles'!$BG$10:$BM$10,1,X44),'Lease Cycles'!$AZ$10&lt;=X$6),'Lease Cycles'!$C$10*'Lease Cycles'!$BA$10/12,IF(AND('Lease Cycles'!$AX$10&gt;=INDEX('Lease Cycles'!$BG$10:$BM$10,1,X44),'Lease Cycles'!$AX$10&lt;=X$6),'Lease Cycles'!$C$10*'Lease Cycles'!$AY$10/12,IF(AND('Lease Cycles'!$AV$10&gt;=INDEX('Lease Cycles'!$BG$10:$BM$10,1,X44),'Lease Cycles'!$AV$10&lt;=X$6),'Lease Cycles'!$C$10*'Lease Cycles'!$AW$10/12,IF(AND('Lease Cycles'!$AT$10&gt;=INDEX('Lease Cycles'!$BG$10:$BM$10,1,X44),'Lease Cycles'!$AT$10&lt;=X$6),'Lease Cycles'!$C$10*'Lease Cycles'!$AU$10/12,'Lease Cycles'!$C$10*INDEX('Lease Cycles'!$CB$10:$CH$10,1,X44)*(1+INDEX('Lease Cycles'!$CI$10:$CO$10,1,X44))^INT(INT(X45/12)/INDEX('Lease Cycles'!$CP$10:$CV$10,1,X44))/12)))),'Lease Cycles'!$C$10*INDEX('Lease Cycles'!$CB$10:$CH$10,1,X44)*(1+INDEX('Lease Cycles'!$CI$10:$CO$10,1,X44))^INT(INT(X45/12)/INDEX('Lease Cycles'!$CP$10:$CV$10,1,X44))/12))),IF('Lease Cycles'!$N$10=1,'Lease Cycles'!$C$10*'Lease Cycles'!$E$10*INDEX('Lease Cycles'!$HE$10:$HK$10,1,X44)*(1+INDEX('Lease Cycles'!$GQ$10:$GW$10,1,X44))^INT(INT((X$6-INDEX('Lease Cycles'!$GJ$10:$GP$10,1,X44))/12)/INDEX('Lease Cycles'!$GX$10:$HD$10,1,X44))/12,0)))</f>
        <v>8000</v>
      </c>
      <c r="Y47" s="28">
        <f>IF(Y44=0,IF('Lease Cycles'!$F$10&gt;0,'Lease Cycles'!$C$10*'Lease Cycles'!$E$10/12,0),IF(Y46=1,IF('Lease Cycles'!$AT$10&gt;=9999,'Lease Cycles'!$C$10*INDEX('Lease Cycles'!$CB$10:$CH$10,1,Y44)*(1+INDEX('Lease Cycles'!$CI$10:$CO$10,1,Y44))^INT(INT(Y45/12)/INDEX('Lease Cycles'!$CP$10:$CV$10,1,Y44))/12,IF(Y44=1,IF(Y45&gt;=INDEX('Lease Cycles'!$DK$10:$DQ$10,1,Y44),IF(Y$6&gt;='Lease Cycles'!$AZ$10,'Lease Cycles'!$C$10*'Lease Cycles'!$BA$10/12,IF(Y$6&gt;='Lease Cycles'!$AX$10,'Lease Cycles'!$C$10*'Lease Cycles'!$AY$10/12,IF(Y$6&gt;='Lease Cycles'!$AV$10,'Lease Cycles'!$C$10*'Lease Cycles'!$AW$10/12,IF(Y$6&gt;='Lease Cycles'!$AT$10,'Lease Cycles'!$C$10*'Lease Cycles'!$AU$10/12,'Lease Cycles'!$C$10*INDEX('Lease Cycles'!$CB$10:$CH$10,1,Y44)*(1+INDEX('Lease Cycles'!$CI$10:$CO$10,1,Y44))^INT(INT(Y45/12)/INDEX('Lease Cycles'!$CP$10:$CV$10,1,Y44))/12)))),'Lease Cycles'!$C$10*INDEX('Lease Cycles'!$CB$10:$CH$10,1,Y44)*(1+INDEX('Lease Cycles'!$CI$10:$CO$10,1,Y44))^INT(INT(Y45/12)/INDEX('Lease Cycles'!$CP$10:$CV$10,1,Y44))/12),IF(INDEX('Lease Cycles'!$EF$10:$EL$10,1,Y44)=1,IF(AND('Lease Cycles'!$AZ$10&gt;=INDEX('Lease Cycles'!$BG$10:$BM$10,1,Y44),'Lease Cycles'!$AZ$10&lt;=Y$6),'Lease Cycles'!$C$10*'Lease Cycles'!$BA$10/12,IF(AND('Lease Cycles'!$AX$10&gt;=INDEX('Lease Cycles'!$BG$10:$BM$10,1,Y44),'Lease Cycles'!$AX$10&lt;=Y$6),'Lease Cycles'!$C$10*'Lease Cycles'!$AY$10/12,IF(AND('Lease Cycles'!$AV$10&gt;=INDEX('Lease Cycles'!$BG$10:$BM$10,1,Y44),'Lease Cycles'!$AV$10&lt;=Y$6),'Lease Cycles'!$C$10*'Lease Cycles'!$AW$10/12,IF(AND('Lease Cycles'!$AT$10&gt;=INDEX('Lease Cycles'!$BG$10:$BM$10,1,Y44),'Lease Cycles'!$AT$10&lt;=Y$6),'Lease Cycles'!$C$10*'Lease Cycles'!$AU$10/12,'Lease Cycles'!$C$10*INDEX('Lease Cycles'!$CB$10:$CH$10,1,Y44)*(1+INDEX('Lease Cycles'!$CI$10:$CO$10,1,Y44))^INT(INT(Y45/12)/INDEX('Lease Cycles'!$CP$10:$CV$10,1,Y44))/12)))),'Lease Cycles'!$C$10*INDEX('Lease Cycles'!$CB$10:$CH$10,1,Y44)*(1+INDEX('Lease Cycles'!$CI$10:$CO$10,1,Y44))^INT(INT(Y45/12)/INDEX('Lease Cycles'!$CP$10:$CV$10,1,Y44))/12))),IF('Lease Cycles'!$N$10=1,'Lease Cycles'!$C$10*'Lease Cycles'!$E$10*INDEX('Lease Cycles'!$HE$10:$HK$10,1,Y44)*(1+INDEX('Lease Cycles'!$GQ$10:$GW$10,1,Y44))^INT(INT((Y$6-INDEX('Lease Cycles'!$GJ$10:$GP$10,1,Y44))/12)/INDEX('Lease Cycles'!$GX$10:$HD$10,1,Y44))/12,0)))</f>
        <v>8000</v>
      </c>
      <c r="Z47" s="28">
        <f>IF(Z44=0,IF('Lease Cycles'!$F$10&gt;0,'Lease Cycles'!$C$10*'Lease Cycles'!$E$10/12,0),IF(Z46=1,IF('Lease Cycles'!$AT$10&gt;=9999,'Lease Cycles'!$C$10*INDEX('Lease Cycles'!$CB$10:$CH$10,1,Z44)*(1+INDEX('Lease Cycles'!$CI$10:$CO$10,1,Z44))^INT(INT(Z45/12)/INDEX('Lease Cycles'!$CP$10:$CV$10,1,Z44))/12,IF(Z44=1,IF(Z45&gt;=INDEX('Lease Cycles'!$DK$10:$DQ$10,1,Z44),IF(Z$6&gt;='Lease Cycles'!$AZ$10,'Lease Cycles'!$C$10*'Lease Cycles'!$BA$10/12,IF(Z$6&gt;='Lease Cycles'!$AX$10,'Lease Cycles'!$C$10*'Lease Cycles'!$AY$10/12,IF(Z$6&gt;='Lease Cycles'!$AV$10,'Lease Cycles'!$C$10*'Lease Cycles'!$AW$10/12,IF(Z$6&gt;='Lease Cycles'!$AT$10,'Lease Cycles'!$C$10*'Lease Cycles'!$AU$10/12,'Lease Cycles'!$C$10*INDEX('Lease Cycles'!$CB$10:$CH$10,1,Z44)*(1+INDEX('Lease Cycles'!$CI$10:$CO$10,1,Z44))^INT(INT(Z45/12)/INDEX('Lease Cycles'!$CP$10:$CV$10,1,Z44))/12)))),'Lease Cycles'!$C$10*INDEX('Lease Cycles'!$CB$10:$CH$10,1,Z44)*(1+INDEX('Lease Cycles'!$CI$10:$CO$10,1,Z44))^INT(INT(Z45/12)/INDEX('Lease Cycles'!$CP$10:$CV$10,1,Z44))/12),IF(INDEX('Lease Cycles'!$EF$10:$EL$10,1,Z44)=1,IF(AND('Lease Cycles'!$AZ$10&gt;=INDEX('Lease Cycles'!$BG$10:$BM$10,1,Z44),'Lease Cycles'!$AZ$10&lt;=Z$6),'Lease Cycles'!$C$10*'Lease Cycles'!$BA$10/12,IF(AND('Lease Cycles'!$AX$10&gt;=INDEX('Lease Cycles'!$BG$10:$BM$10,1,Z44),'Lease Cycles'!$AX$10&lt;=Z$6),'Lease Cycles'!$C$10*'Lease Cycles'!$AY$10/12,IF(AND('Lease Cycles'!$AV$10&gt;=INDEX('Lease Cycles'!$BG$10:$BM$10,1,Z44),'Lease Cycles'!$AV$10&lt;=Z$6),'Lease Cycles'!$C$10*'Lease Cycles'!$AW$10/12,IF(AND('Lease Cycles'!$AT$10&gt;=INDEX('Lease Cycles'!$BG$10:$BM$10,1,Z44),'Lease Cycles'!$AT$10&lt;=Z$6),'Lease Cycles'!$C$10*'Lease Cycles'!$AU$10/12,'Lease Cycles'!$C$10*INDEX('Lease Cycles'!$CB$10:$CH$10,1,Z44)*(1+INDEX('Lease Cycles'!$CI$10:$CO$10,1,Z44))^INT(INT(Z45/12)/INDEX('Lease Cycles'!$CP$10:$CV$10,1,Z44))/12)))),'Lease Cycles'!$C$10*INDEX('Lease Cycles'!$CB$10:$CH$10,1,Z44)*(1+INDEX('Lease Cycles'!$CI$10:$CO$10,1,Z44))^INT(INT(Z45/12)/INDEX('Lease Cycles'!$CP$10:$CV$10,1,Z44))/12))),IF('Lease Cycles'!$N$10=1,'Lease Cycles'!$C$10*'Lease Cycles'!$E$10*INDEX('Lease Cycles'!$HE$10:$HK$10,1,Z44)*(1+INDEX('Lease Cycles'!$GQ$10:$GW$10,1,Z44))^INT(INT((Z$6-INDEX('Lease Cycles'!$GJ$10:$GP$10,1,Z44))/12)/INDEX('Lease Cycles'!$GX$10:$HD$10,1,Z44))/12,0)))</f>
        <v>8000</v>
      </c>
      <c r="AA47" s="28">
        <f>IF(AA44=0,IF('Lease Cycles'!$F$10&gt;0,'Lease Cycles'!$C$10*'Lease Cycles'!$E$10/12,0),IF(AA46=1,IF('Lease Cycles'!$AT$10&gt;=9999,'Lease Cycles'!$C$10*INDEX('Lease Cycles'!$CB$10:$CH$10,1,AA44)*(1+INDEX('Lease Cycles'!$CI$10:$CO$10,1,AA44))^INT(INT(AA45/12)/INDEX('Lease Cycles'!$CP$10:$CV$10,1,AA44))/12,IF(AA44=1,IF(AA45&gt;=INDEX('Lease Cycles'!$DK$10:$DQ$10,1,AA44),IF(AA$6&gt;='Lease Cycles'!$AZ$10,'Lease Cycles'!$C$10*'Lease Cycles'!$BA$10/12,IF(AA$6&gt;='Lease Cycles'!$AX$10,'Lease Cycles'!$C$10*'Lease Cycles'!$AY$10/12,IF(AA$6&gt;='Lease Cycles'!$AV$10,'Lease Cycles'!$C$10*'Lease Cycles'!$AW$10/12,IF(AA$6&gt;='Lease Cycles'!$AT$10,'Lease Cycles'!$C$10*'Lease Cycles'!$AU$10/12,'Lease Cycles'!$C$10*INDEX('Lease Cycles'!$CB$10:$CH$10,1,AA44)*(1+INDEX('Lease Cycles'!$CI$10:$CO$10,1,AA44))^INT(INT(AA45/12)/INDEX('Lease Cycles'!$CP$10:$CV$10,1,AA44))/12)))),'Lease Cycles'!$C$10*INDEX('Lease Cycles'!$CB$10:$CH$10,1,AA44)*(1+INDEX('Lease Cycles'!$CI$10:$CO$10,1,AA44))^INT(INT(AA45/12)/INDEX('Lease Cycles'!$CP$10:$CV$10,1,AA44))/12),IF(INDEX('Lease Cycles'!$EF$10:$EL$10,1,AA44)=1,IF(AND('Lease Cycles'!$AZ$10&gt;=INDEX('Lease Cycles'!$BG$10:$BM$10,1,AA44),'Lease Cycles'!$AZ$10&lt;=AA$6),'Lease Cycles'!$C$10*'Lease Cycles'!$BA$10/12,IF(AND('Lease Cycles'!$AX$10&gt;=INDEX('Lease Cycles'!$BG$10:$BM$10,1,AA44),'Lease Cycles'!$AX$10&lt;=AA$6),'Lease Cycles'!$C$10*'Lease Cycles'!$AY$10/12,IF(AND('Lease Cycles'!$AV$10&gt;=INDEX('Lease Cycles'!$BG$10:$BM$10,1,AA44),'Lease Cycles'!$AV$10&lt;=AA$6),'Lease Cycles'!$C$10*'Lease Cycles'!$AW$10/12,IF(AND('Lease Cycles'!$AT$10&gt;=INDEX('Lease Cycles'!$BG$10:$BM$10,1,AA44),'Lease Cycles'!$AT$10&lt;=AA$6),'Lease Cycles'!$C$10*'Lease Cycles'!$AU$10/12,'Lease Cycles'!$C$10*INDEX('Lease Cycles'!$CB$10:$CH$10,1,AA44)*(1+INDEX('Lease Cycles'!$CI$10:$CO$10,1,AA44))^INT(INT(AA45/12)/INDEX('Lease Cycles'!$CP$10:$CV$10,1,AA44))/12)))),'Lease Cycles'!$C$10*INDEX('Lease Cycles'!$CB$10:$CH$10,1,AA44)*(1+INDEX('Lease Cycles'!$CI$10:$CO$10,1,AA44))^INT(INT(AA45/12)/INDEX('Lease Cycles'!$CP$10:$CV$10,1,AA44))/12))),IF('Lease Cycles'!$N$10=1,'Lease Cycles'!$C$10*'Lease Cycles'!$E$10*INDEX('Lease Cycles'!$HE$10:$HK$10,1,AA44)*(1+INDEX('Lease Cycles'!$GQ$10:$GW$10,1,AA44))^INT(INT((AA$6-INDEX('Lease Cycles'!$GJ$10:$GP$10,1,AA44))/12)/INDEX('Lease Cycles'!$GX$10:$HD$10,1,AA44))/12,0)))</f>
        <v>8000</v>
      </c>
      <c r="AB47" s="28">
        <f>IF(AB44=0,IF('Lease Cycles'!$F$10&gt;0,'Lease Cycles'!$C$10*'Lease Cycles'!$E$10/12,0),IF(AB46=1,IF('Lease Cycles'!$AT$10&gt;=9999,'Lease Cycles'!$C$10*INDEX('Lease Cycles'!$CB$10:$CH$10,1,AB44)*(1+INDEX('Lease Cycles'!$CI$10:$CO$10,1,AB44))^INT(INT(AB45/12)/INDEX('Lease Cycles'!$CP$10:$CV$10,1,AB44))/12,IF(AB44=1,IF(AB45&gt;=INDEX('Lease Cycles'!$DK$10:$DQ$10,1,AB44),IF(AB$6&gt;='Lease Cycles'!$AZ$10,'Lease Cycles'!$C$10*'Lease Cycles'!$BA$10/12,IF(AB$6&gt;='Lease Cycles'!$AX$10,'Lease Cycles'!$C$10*'Lease Cycles'!$AY$10/12,IF(AB$6&gt;='Lease Cycles'!$AV$10,'Lease Cycles'!$C$10*'Lease Cycles'!$AW$10/12,IF(AB$6&gt;='Lease Cycles'!$AT$10,'Lease Cycles'!$C$10*'Lease Cycles'!$AU$10/12,'Lease Cycles'!$C$10*INDEX('Lease Cycles'!$CB$10:$CH$10,1,AB44)*(1+INDEX('Lease Cycles'!$CI$10:$CO$10,1,AB44))^INT(INT(AB45/12)/INDEX('Lease Cycles'!$CP$10:$CV$10,1,AB44))/12)))),'Lease Cycles'!$C$10*INDEX('Lease Cycles'!$CB$10:$CH$10,1,AB44)*(1+INDEX('Lease Cycles'!$CI$10:$CO$10,1,AB44))^INT(INT(AB45/12)/INDEX('Lease Cycles'!$CP$10:$CV$10,1,AB44))/12),IF(INDEX('Lease Cycles'!$EF$10:$EL$10,1,AB44)=1,IF(AND('Lease Cycles'!$AZ$10&gt;=INDEX('Lease Cycles'!$BG$10:$BM$10,1,AB44),'Lease Cycles'!$AZ$10&lt;=AB$6),'Lease Cycles'!$C$10*'Lease Cycles'!$BA$10/12,IF(AND('Lease Cycles'!$AX$10&gt;=INDEX('Lease Cycles'!$BG$10:$BM$10,1,AB44),'Lease Cycles'!$AX$10&lt;=AB$6),'Lease Cycles'!$C$10*'Lease Cycles'!$AY$10/12,IF(AND('Lease Cycles'!$AV$10&gt;=INDEX('Lease Cycles'!$BG$10:$BM$10,1,AB44),'Lease Cycles'!$AV$10&lt;=AB$6),'Lease Cycles'!$C$10*'Lease Cycles'!$AW$10/12,IF(AND('Lease Cycles'!$AT$10&gt;=INDEX('Lease Cycles'!$BG$10:$BM$10,1,AB44),'Lease Cycles'!$AT$10&lt;=AB$6),'Lease Cycles'!$C$10*'Lease Cycles'!$AU$10/12,'Lease Cycles'!$C$10*INDEX('Lease Cycles'!$CB$10:$CH$10,1,AB44)*(1+INDEX('Lease Cycles'!$CI$10:$CO$10,1,AB44))^INT(INT(AB45/12)/INDEX('Lease Cycles'!$CP$10:$CV$10,1,AB44))/12)))),'Lease Cycles'!$C$10*INDEX('Lease Cycles'!$CB$10:$CH$10,1,AB44)*(1+INDEX('Lease Cycles'!$CI$10:$CO$10,1,AB44))^INT(INT(AB45/12)/INDEX('Lease Cycles'!$CP$10:$CV$10,1,AB44))/12))),IF('Lease Cycles'!$N$10=1,'Lease Cycles'!$C$10*'Lease Cycles'!$E$10*INDEX('Lease Cycles'!$HE$10:$HK$10,1,AB44)*(1+INDEX('Lease Cycles'!$GQ$10:$GW$10,1,AB44))^INT(INT((AB$6-INDEX('Lease Cycles'!$GJ$10:$GP$10,1,AB44))/12)/INDEX('Lease Cycles'!$GX$10:$HD$10,1,AB44))/12,0)))</f>
        <v>8000</v>
      </c>
      <c r="AC47" s="28">
        <f>IF(AC44=0,IF('Lease Cycles'!$F$10&gt;0,'Lease Cycles'!$C$10*'Lease Cycles'!$E$10/12,0),IF(AC46=1,IF('Lease Cycles'!$AT$10&gt;=9999,'Lease Cycles'!$C$10*INDEX('Lease Cycles'!$CB$10:$CH$10,1,AC44)*(1+INDEX('Lease Cycles'!$CI$10:$CO$10,1,AC44))^INT(INT(AC45/12)/INDEX('Lease Cycles'!$CP$10:$CV$10,1,AC44))/12,IF(AC44=1,IF(AC45&gt;=INDEX('Lease Cycles'!$DK$10:$DQ$10,1,AC44),IF(AC$6&gt;='Lease Cycles'!$AZ$10,'Lease Cycles'!$C$10*'Lease Cycles'!$BA$10/12,IF(AC$6&gt;='Lease Cycles'!$AX$10,'Lease Cycles'!$C$10*'Lease Cycles'!$AY$10/12,IF(AC$6&gt;='Lease Cycles'!$AV$10,'Lease Cycles'!$C$10*'Lease Cycles'!$AW$10/12,IF(AC$6&gt;='Lease Cycles'!$AT$10,'Lease Cycles'!$C$10*'Lease Cycles'!$AU$10/12,'Lease Cycles'!$C$10*INDEX('Lease Cycles'!$CB$10:$CH$10,1,AC44)*(1+INDEX('Lease Cycles'!$CI$10:$CO$10,1,AC44))^INT(INT(AC45/12)/INDEX('Lease Cycles'!$CP$10:$CV$10,1,AC44))/12)))),'Lease Cycles'!$C$10*INDEX('Lease Cycles'!$CB$10:$CH$10,1,AC44)*(1+INDEX('Lease Cycles'!$CI$10:$CO$10,1,AC44))^INT(INT(AC45/12)/INDEX('Lease Cycles'!$CP$10:$CV$10,1,AC44))/12),IF(INDEX('Lease Cycles'!$EF$10:$EL$10,1,AC44)=1,IF(AND('Lease Cycles'!$AZ$10&gt;=INDEX('Lease Cycles'!$BG$10:$BM$10,1,AC44),'Lease Cycles'!$AZ$10&lt;=AC$6),'Lease Cycles'!$C$10*'Lease Cycles'!$BA$10/12,IF(AND('Lease Cycles'!$AX$10&gt;=INDEX('Lease Cycles'!$BG$10:$BM$10,1,AC44),'Lease Cycles'!$AX$10&lt;=AC$6),'Lease Cycles'!$C$10*'Lease Cycles'!$AY$10/12,IF(AND('Lease Cycles'!$AV$10&gt;=INDEX('Lease Cycles'!$BG$10:$BM$10,1,AC44),'Lease Cycles'!$AV$10&lt;=AC$6),'Lease Cycles'!$C$10*'Lease Cycles'!$AW$10/12,IF(AND('Lease Cycles'!$AT$10&gt;=INDEX('Lease Cycles'!$BG$10:$BM$10,1,AC44),'Lease Cycles'!$AT$10&lt;=AC$6),'Lease Cycles'!$C$10*'Lease Cycles'!$AU$10/12,'Lease Cycles'!$C$10*INDEX('Lease Cycles'!$CB$10:$CH$10,1,AC44)*(1+INDEX('Lease Cycles'!$CI$10:$CO$10,1,AC44))^INT(INT(AC45/12)/INDEX('Lease Cycles'!$CP$10:$CV$10,1,AC44))/12)))),'Lease Cycles'!$C$10*INDEX('Lease Cycles'!$CB$10:$CH$10,1,AC44)*(1+INDEX('Lease Cycles'!$CI$10:$CO$10,1,AC44))^INT(INT(AC45/12)/INDEX('Lease Cycles'!$CP$10:$CV$10,1,AC44))/12))),IF('Lease Cycles'!$N$10=1,'Lease Cycles'!$C$10*'Lease Cycles'!$E$10*INDEX('Lease Cycles'!$HE$10:$HK$10,1,AC44)*(1+INDEX('Lease Cycles'!$GQ$10:$GW$10,1,AC44))^INT(INT((AC$6-INDEX('Lease Cycles'!$GJ$10:$GP$10,1,AC44))/12)/INDEX('Lease Cycles'!$GX$10:$HD$10,1,AC44))/12,0)))</f>
        <v>8000</v>
      </c>
      <c r="AD47" s="28">
        <f>IF(AD44=0,IF('Lease Cycles'!$F$10&gt;0,'Lease Cycles'!$C$10*'Lease Cycles'!$E$10/12,0),IF(AD46=1,IF('Lease Cycles'!$AT$10&gt;=9999,'Lease Cycles'!$C$10*INDEX('Lease Cycles'!$CB$10:$CH$10,1,AD44)*(1+INDEX('Lease Cycles'!$CI$10:$CO$10,1,AD44))^INT(INT(AD45/12)/INDEX('Lease Cycles'!$CP$10:$CV$10,1,AD44))/12,IF(AD44=1,IF(AD45&gt;=INDEX('Lease Cycles'!$DK$10:$DQ$10,1,AD44),IF(AD$6&gt;='Lease Cycles'!$AZ$10,'Lease Cycles'!$C$10*'Lease Cycles'!$BA$10/12,IF(AD$6&gt;='Lease Cycles'!$AX$10,'Lease Cycles'!$C$10*'Lease Cycles'!$AY$10/12,IF(AD$6&gt;='Lease Cycles'!$AV$10,'Lease Cycles'!$C$10*'Lease Cycles'!$AW$10/12,IF(AD$6&gt;='Lease Cycles'!$AT$10,'Lease Cycles'!$C$10*'Lease Cycles'!$AU$10/12,'Lease Cycles'!$C$10*INDEX('Lease Cycles'!$CB$10:$CH$10,1,AD44)*(1+INDEX('Lease Cycles'!$CI$10:$CO$10,1,AD44))^INT(INT(AD45/12)/INDEX('Lease Cycles'!$CP$10:$CV$10,1,AD44))/12)))),'Lease Cycles'!$C$10*INDEX('Lease Cycles'!$CB$10:$CH$10,1,AD44)*(1+INDEX('Lease Cycles'!$CI$10:$CO$10,1,AD44))^INT(INT(AD45/12)/INDEX('Lease Cycles'!$CP$10:$CV$10,1,AD44))/12),IF(INDEX('Lease Cycles'!$EF$10:$EL$10,1,AD44)=1,IF(AND('Lease Cycles'!$AZ$10&gt;=INDEX('Lease Cycles'!$BG$10:$BM$10,1,AD44),'Lease Cycles'!$AZ$10&lt;=AD$6),'Lease Cycles'!$C$10*'Lease Cycles'!$BA$10/12,IF(AND('Lease Cycles'!$AX$10&gt;=INDEX('Lease Cycles'!$BG$10:$BM$10,1,AD44),'Lease Cycles'!$AX$10&lt;=AD$6),'Lease Cycles'!$C$10*'Lease Cycles'!$AY$10/12,IF(AND('Lease Cycles'!$AV$10&gt;=INDEX('Lease Cycles'!$BG$10:$BM$10,1,AD44),'Lease Cycles'!$AV$10&lt;=AD$6),'Lease Cycles'!$C$10*'Lease Cycles'!$AW$10/12,IF(AND('Lease Cycles'!$AT$10&gt;=INDEX('Lease Cycles'!$BG$10:$BM$10,1,AD44),'Lease Cycles'!$AT$10&lt;=AD$6),'Lease Cycles'!$C$10*'Lease Cycles'!$AU$10/12,'Lease Cycles'!$C$10*INDEX('Lease Cycles'!$CB$10:$CH$10,1,AD44)*(1+INDEX('Lease Cycles'!$CI$10:$CO$10,1,AD44))^INT(INT(AD45/12)/INDEX('Lease Cycles'!$CP$10:$CV$10,1,AD44))/12)))),'Lease Cycles'!$C$10*INDEX('Lease Cycles'!$CB$10:$CH$10,1,AD44)*(1+INDEX('Lease Cycles'!$CI$10:$CO$10,1,AD44))^INT(INT(AD45/12)/INDEX('Lease Cycles'!$CP$10:$CV$10,1,AD44))/12))),IF('Lease Cycles'!$N$10=1,'Lease Cycles'!$C$10*'Lease Cycles'!$E$10*INDEX('Lease Cycles'!$HE$10:$HK$10,1,AD44)*(1+INDEX('Lease Cycles'!$GQ$10:$GW$10,1,AD44))^INT(INT((AD$6-INDEX('Lease Cycles'!$GJ$10:$GP$10,1,AD44))/12)/INDEX('Lease Cycles'!$GX$10:$HD$10,1,AD44))/12,0)))</f>
        <v>8000</v>
      </c>
      <c r="AE47" s="28">
        <f>IF(AE44=0,IF('Lease Cycles'!$F$10&gt;0,'Lease Cycles'!$C$10*'Lease Cycles'!$E$10/12,0),IF(AE46=1,IF('Lease Cycles'!$AT$10&gt;=9999,'Lease Cycles'!$C$10*INDEX('Lease Cycles'!$CB$10:$CH$10,1,AE44)*(1+INDEX('Lease Cycles'!$CI$10:$CO$10,1,AE44))^INT(INT(AE45/12)/INDEX('Lease Cycles'!$CP$10:$CV$10,1,AE44))/12,IF(AE44=1,IF(AE45&gt;=INDEX('Lease Cycles'!$DK$10:$DQ$10,1,AE44),IF(AE$6&gt;='Lease Cycles'!$AZ$10,'Lease Cycles'!$C$10*'Lease Cycles'!$BA$10/12,IF(AE$6&gt;='Lease Cycles'!$AX$10,'Lease Cycles'!$C$10*'Lease Cycles'!$AY$10/12,IF(AE$6&gt;='Lease Cycles'!$AV$10,'Lease Cycles'!$C$10*'Lease Cycles'!$AW$10/12,IF(AE$6&gt;='Lease Cycles'!$AT$10,'Lease Cycles'!$C$10*'Lease Cycles'!$AU$10/12,'Lease Cycles'!$C$10*INDEX('Lease Cycles'!$CB$10:$CH$10,1,AE44)*(1+INDEX('Lease Cycles'!$CI$10:$CO$10,1,AE44))^INT(INT(AE45/12)/INDEX('Lease Cycles'!$CP$10:$CV$10,1,AE44))/12)))),'Lease Cycles'!$C$10*INDEX('Lease Cycles'!$CB$10:$CH$10,1,AE44)*(1+INDEX('Lease Cycles'!$CI$10:$CO$10,1,AE44))^INT(INT(AE45/12)/INDEX('Lease Cycles'!$CP$10:$CV$10,1,AE44))/12),IF(INDEX('Lease Cycles'!$EF$10:$EL$10,1,AE44)=1,IF(AND('Lease Cycles'!$AZ$10&gt;=INDEX('Lease Cycles'!$BG$10:$BM$10,1,AE44),'Lease Cycles'!$AZ$10&lt;=AE$6),'Lease Cycles'!$C$10*'Lease Cycles'!$BA$10/12,IF(AND('Lease Cycles'!$AX$10&gt;=INDEX('Lease Cycles'!$BG$10:$BM$10,1,AE44),'Lease Cycles'!$AX$10&lt;=AE$6),'Lease Cycles'!$C$10*'Lease Cycles'!$AY$10/12,IF(AND('Lease Cycles'!$AV$10&gt;=INDEX('Lease Cycles'!$BG$10:$BM$10,1,AE44),'Lease Cycles'!$AV$10&lt;=AE$6),'Lease Cycles'!$C$10*'Lease Cycles'!$AW$10/12,IF(AND('Lease Cycles'!$AT$10&gt;=INDEX('Lease Cycles'!$BG$10:$BM$10,1,AE44),'Lease Cycles'!$AT$10&lt;=AE$6),'Lease Cycles'!$C$10*'Lease Cycles'!$AU$10/12,'Lease Cycles'!$C$10*INDEX('Lease Cycles'!$CB$10:$CH$10,1,AE44)*(1+INDEX('Lease Cycles'!$CI$10:$CO$10,1,AE44))^INT(INT(AE45/12)/INDEX('Lease Cycles'!$CP$10:$CV$10,1,AE44))/12)))),'Lease Cycles'!$C$10*INDEX('Lease Cycles'!$CB$10:$CH$10,1,AE44)*(1+INDEX('Lease Cycles'!$CI$10:$CO$10,1,AE44))^INT(INT(AE45/12)/INDEX('Lease Cycles'!$CP$10:$CV$10,1,AE44))/12))),IF('Lease Cycles'!$N$10=1,'Lease Cycles'!$C$10*'Lease Cycles'!$E$10*INDEX('Lease Cycles'!$HE$10:$HK$10,1,AE44)*(1+INDEX('Lease Cycles'!$GQ$10:$GW$10,1,AE44))^INT(INT((AE$6-INDEX('Lease Cycles'!$GJ$10:$GP$10,1,AE44))/12)/INDEX('Lease Cycles'!$GX$10:$HD$10,1,AE44))/12,0)))</f>
        <v>8000</v>
      </c>
      <c r="AF47" s="28">
        <f>IF(AF44=0,IF('Lease Cycles'!$F$10&gt;0,'Lease Cycles'!$C$10*'Lease Cycles'!$E$10/12,0),IF(AF46=1,IF('Lease Cycles'!$AT$10&gt;=9999,'Lease Cycles'!$C$10*INDEX('Lease Cycles'!$CB$10:$CH$10,1,AF44)*(1+INDEX('Lease Cycles'!$CI$10:$CO$10,1,AF44))^INT(INT(AF45/12)/INDEX('Lease Cycles'!$CP$10:$CV$10,1,AF44))/12,IF(AF44=1,IF(AF45&gt;=INDEX('Lease Cycles'!$DK$10:$DQ$10,1,AF44),IF(AF$6&gt;='Lease Cycles'!$AZ$10,'Lease Cycles'!$C$10*'Lease Cycles'!$BA$10/12,IF(AF$6&gt;='Lease Cycles'!$AX$10,'Lease Cycles'!$C$10*'Lease Cycles'!$AY$10/12,IF(AF$6&gt;='Lease Cycles'!$AV$10,'Lease Cycles'!$C$10*'Lease Cycles'!$AW$10/12,IF(AF$6&gt;='Lease Cycles'!$AT$10,'Lease Cycles'!$C$10*'Lease Cycles'!$AU$10/12,'Lease Cycles'!$C$10*INDEX('Lease Cycles'!$CB$10:$CH$10,1,AF44)*(1+INDEX('Lease Cycles'!$CI$10:$CO$10,1,AF44))^INT(INT(AF45/12)/INDEX('Lease Cycles'!$CP$10:$CV$10,1,AF44))/12)))),'Lease Cycles'!$C$10*INDEX('Lease Cycles'!$CB$10:$CH$10,1,AF44)*(1+INDEX('Lease Cycles'!$CI$10:$CO$10,1,AF44))^INT(INT(AF45/12)/INDEX('Lease Cycles'!$CP$10:$CV$10,1,AF44))/12),IF(INDEX('Lease Cycles'!$EF$10:$EL$10,1,AF44)=1,IF(AND('Lease Cycles'!$AZ$10&gt;=INDEX('Lease Cycles'!$BG$10:$BM$10,1,AF44),'Lease Cycles'!$AZ$10&lt;=AF$6),'Lease Cycles'!$C$10*'Lease Cycles'!$BA$10/12,IF(AND('Lease Cycles'!$AX$10&gt;=INDEX('Lease Cycles'!$BG$10:$BM$10,1,AF44),'Lease Cycles'!$AX$10&lt;=AF$6),'Lease Cycles'!$C$10*'Lease Cycles'!$AY$10/12,IF(AND('Lease Cycles'!$AV$10&gt;=INDEX('Lease Cycles'!$BG$10:$BM$10,1,AF44),'Lease Cycles'!$AV$10&lt;=AF$6),'Lease Cycles'!$C$10*'Lease Cycles'!$AW$10/12,IF(AND('Lease Cycles'!$AT$10&gt;=INDEX('Lease Cycles'!$BG$10:$BM$10,1,AF44),'Lease Cycles'!$AT$10&lt;=AF$6),'Lease Cycles'!$C$10*'Lease Cycles'!$AU$10/12,'Lease Cycles'!$C$10*INDEX('Lease Cycles'!$CB$10:$CH$10,1,AF44)*(1+INDEX('Lease Cycles'!$CI$10:$CO$10,1,AF44))^INT(INT(AF45/12)/INDEX('Lease Cycles'!$CP$10:$CV$10,1,AF44))/12)))),'Lease Cycles'!$C$10*INDEX('Lease Cycles'!$CB$10:$CH$10,1,AF44)*(1+INDEX('Lease Cycles'!$CI$10:$CO$10,1,AF44))^INT(INT(AF45/12)/INDEX('Lease Cycles'!$CP$10:$CV$10,1,AF44))/12))),IF('Lease Cycles'!$N$10=1,'Lease Cycles'!$C$10*'Lease Cycles'!$E$10*INDEX('Lease Cycles'!$HE$10:$HK$10,1,AF44)*(1+INDEX('Lease Cycles'!$GQ$10:$GW$10,1,AF44))^INT(INT((AF$6-INDEX('Lease Cycles'!$GJ$10:$GP$10,1,AF44))/12)/INDEX('Lease Cycles'!$GX$10:$HD$10,1,AF44))/12,0)))</f>
        <v>8000</v>
      </c>
      <c r="AG47" s="28">
        <f>IF(AG44=0,IF('Lease Cycles'!$F$10&gt;0,'Lease Cycles'!$C$10*'Lease Cycles'!$E$10/12,0),IF(AG46=1,IF('Lease Cycles'!$AT$10&gt;=9999,'Lease Cycles'!$C$10*INDEX('Lease Cycles'!$CB$10:$CH$10,1,AG44)*(1+INDEX('Lease Cycles'!$CI$10:$CO$10,1,AG44))^INT(INT(AG45/12)/INDEX('Lease Cycles'!$CP$10:$CV$10,1,AG44))/12,IF(AG44=1,IF(AG45&gt;=INDEX('Lease Cycles'!$DK$10:$DQ$10,1,AG44),IF(AG$6&gt;='Lease Cycles'!$AZ$10,'Lease Cycles'!$C$10*'Lease Cycles'!$BA$10/12,IF(AG$6&gt;='Lease Cycles'!$AX$10,'Lease Cycles'!$C$10*'Lease Cycles'!$AY$10/12,IF(AG$6&gt;='Lease Cycles'!$AV$10,'Lease Cycles'!$C$10*'Lease Cycles'!$AW$10/12,IF(AG$6&gt;='Lease Cycles'!$AT$10,'Lease Cycles'!$C$10*'Lease Cycles'!$AU$10/12,'Lease Cycles'!$C$10*INDEX('Lease Cycles'!$CB$10:$CH$10,1,AG44)*(1+INDEX('Lease Cycles'!$CI$10:$CO$10,1,AG44))^INT(INT(AG45/12)/INDEX('Lease Cycles'!$CP$10:$CV$10,1,AG44))/12)))),'Lease Cycles'!$C$10*INDEX('Lease Cycles'!$CB$10:$CH$10,1,AG44)*(1+INDEX('Lease Cycles'!$CI$10:$CO$10,1,AG44))^INT(INT(AG45/12)/INDEX('Lease Cycles'!$CP$10:$CV$10,1,AG44))/12),IF(INDEX('Lease Cycles'!$EF$10:$EL$10,1,AG44)=1,IF(AND('Lease Cycles'!$AZ$10&gt;=INDEX('Lease Cycles'!$BG$10:$BM$10,1,AG44),'Lease Cycles'!$AZ$10&lt;=AG$6),'Lease Cycles'!$C$10*'Lease Cycles'!$BA$10/12,IF(AND('Lease Cycles'!$AX$10&gt;=INDEX('Lease Cycles'!$BG$10:$BM$10,1,AG44),'Lease Cycles'!$AX$10&lt;=AG$6),'Lease Cycles'!$C$10*'Lease Cycles'!$AY$10/12,IF(AND('Lease Cycles'!$AV$10&gt;=INDEX('Lease Cycles'!$BG$10:$BM$10,1,AG44),'Lease Cycles'!$AV$10&lt;=AG$6),'Lease Cycles'!$C$10*'Lease Cycles'!$AW$10/12,IF(AND('Lease Cycles'!$AT$10&gt;=INDEX('Lease Cycles'!$BG$10:$BM$10,1,AG44),'Lease Cycles'!$AT$10&lt;=AG$6),'Lease Cycles'!$C$10*'Lease Cycles'!$AU$10/12,'Lease Cycles'!$C$10*INDEX('Lease Cycles'!$CB$10:$CH$10,1,AG44)*(1+INDEX('Lease Cycles'!$CI$10:$CO$10,1,AG44))^INT(INT(AG45/12)/INDEX('Lease Cycles'!$CP$10:$CV$10,1,AG44))/12)))),'Lease Cycles'!$C$10*INDEX('Lease Cycles'!$CB$10:$CH$10,1,AG44)*(1+INDEX('Lease Cycles'!$CI$10:$CO$10,1,AG44))^INT(INT(AG45/12)/INDEX('Lease Cycles'!$CP$10:$CV$10,1,AG44))/12))),IF('Lease Cycles'!$N$10=1,'Lease Cycles'!$C$10*'Lease Cycles'!$E$10*INDEX('Lease Cycles'!$HE$10:$HK$10,1,AG44)*(1+INDEX('Lease Cycles'!$GQ$10:$GW$10,1,AG44))^INT(INT((AG$6-INDEX('Lease Cycles'!$GJ$10:$GP$10,1,AG44))/12)/INDEX('Lease Cycles'!$GX$10:$HD$10,1,AG44))/12,0)))</f>
        <v>8000</v>
      </c>
      <c r="AH47" s="28">
        <f>IF(AH44=0,IF('Lease Cycles'!$F$10&gt;0,'Lease Cycles'!$C$10*'Lease Cycles'!$E$10/12,0),IF(AH46=1,IF('Lease Cycles'!$AT$10&gt;=9999,'Lease Cycles'!$C$10*INDEX('Lease Cycles'!$CB$10:$CH$10,1,AH44)*(1+INDEX('Lease Cycles'!$CI$10:$CO$10,1,AH44))^INT(INT(AH45/12)/INDEX('Lease Cycles'!$CP$10:$CV$10,1,AH44))/12,IF(AH44=1,IF(AH45&gt;=INDEX('Lease Cycles'!$DK$10:$DQ$10,1,AH44),IF(AH$6&gt;='Lease Cycles'!$AZ$10,'Lease Cycles'!$C$10*'Lease Cycles'!$BA$10/12,IF(AH$6&gt;='Lease Cycles'!$AX$10,'Lease Cycles'!$C$10*'Lease Cycles'!$AY$10/12,IF(AH$6&gt;='Lease Cycles'!$AV$10,'Lease Cycles'!$C$10*'Lease Cycles'!$AW$10/12,IF(AH$6&gt;='Lease Cycles'!$AT$10,'Lease Cycles'!$C$10*'Lease Cycles'!$AU$10/12,'Lease Cycles'!$C$10*INDEX('Lease Cycles'!$CB$10:$CH$10,1,AH44)*(1+INDEX('Lease Cycles'!$CI$10:$CO$10,1,AH44))^INT(INT(AH45/12)/INDEX('Lease Cycles'!$CP$10:$CV$10,1,AH44))/12)))),'Lease Cycles'!$C$10*INDEX('Lease Cycles'!$CB$10:$CH$10,1,AH44)*(1+INDEX('Lease Cycles'!$CI$10:$CO$10,1,AH44))^INT(INT(AH45/12)/INDEX('Lease Cycles'!$CP$10:$CV$10,1,AH44))/12),IF(INDEX('Lease Cycles'!$EF$10:$EL$10,1,AH44)=1,IF(AND('Lease Cycles'!$AZ$10&gt;=INDEX('Lease Cycles'!$BG$10:$BM$10,1,AH44),'Lease Cycles'!$AZ$10&lt;=AH$6),'Lease Cycles'!$C$10*'Lease Cycles'!$BA$10/12,IF(AND('Lease Cycles'!$AX$10&gt;=INDEX('Lease Cycles'!$BG$10:$BM$10,1,AH44),'Lease Cycles'!$AX$10&lt;=AH$6),'Lease Cycles'!$C$10*'Lease Cycles'!$AY$10/12,IF(AND('Lease Cycles'!$AV$10&gt;=INDEX('Lease Cycles'!$BG$10:$BM$10,1,AH44),'Lease Cycles'!$AV$10&lt;=AH$6),'Lease Cycles'!$C$10*'Lease Cycles'!$AW$10/12,IF(AND('Lease Cycles'!$AT$10&gt;=INDEX('Lease Cycles'!$BG$10:$BM$10,1,AH44),'Lease Cycles'!$AT$10&lt;=AH$6),'Lease Cycles'!$C$10*'Lease Cycles'!$AU$10/12,'Lease Cycles'!$C$10*INDEX('Lease Cycles'!$CB$10:$CH$10,1,AH44)*(1+INDEX('Lease Cycles'!$CI$10:$CO$10,1,AH44))^INT(INT(AH45/12)/INDEX('Lease Cycles'!$CP$10:$CV$10,1,AH44))/12)))),'Lease Cycles'!$C$10*INDEX('Lease Cycles'!$CB$10:$CH$10,1,AH44)*(1+INDEX('Lease Cycles'!$CI$10:$CO$10,1,AH44))^INT(INT(AH45/12)/INDEX('Lease Cycles'!$CP$10:$CV$10,1,AH44))/12))),IF('Lease Cycles'!$N$10=1,'Lease Cycles'!$C$10*'Lease Cycles'!$E$10*INDEX('Lease Cycles'!$HE$10:$HK$10,1,AH44)*(1+INDEX('Lease Cycles'!$GQ$10:$GW$10,1,AH44))^INT(INT((AH$6-INDEX('Lease Cycles'!$GJ$10:$GP$10,1,AH44))/12)/INDEX('Lease Cycles'!$GX$10:$HD$10,1,AH44))/12,0)))</f>
        <v>8000</v>
      </c>
      <c r="AI47" s="28">
        <f>IF(AI44=0,IF('Lease Cycles'!$F$10&gt;0,'Lease Cycles'!$C$10*'Lease Cycles'!$E$10/12,0),IF(AI46=1,IF('Lease Cycles'!$AT$10&gt;=9999,'Lease Cycles'!$C$10*INDEX('Lease Cycles'!$CB$10:$CH$10,1,AI44)*(1+INDEX('Lease Cycles'!$CI$10:$CO$10,1,AI44))^INT(INT(AI45/12)/INDEX('Lease Cycles'!$CP$10:$CV$10,1,AI44))/12,IF(AI44=1,IF(AI45&gt;=INDEX('Lease Cycles'!$DK$10:$DQ$10,1,AI44),IF(AI$6&gt;='Lease Cycles'!$AZ$10,'Lease Cycles'!$C$10*'Lease Cycles'!$BA$10/12,IF(AI$6&gt;='Lease Cycles'!$AX$10,'Lease Cycles'!$C$10*'Lease Cycles'!$AY$10/12,IF(AI$6&gt;='Lease Cycles'!$AV$10,'Lease Cycles'!$C$10*'Lease Cycles'!$AW$10/12,IF(AI$6&gt;='Lease Cycles'!$AT$10,'Lease Cycles'!$C$10*'Lease Cycles'!$AU$10/12,'Lease Cycles'!$C$10*INDEX('Lease Cycles'!$CB$10:$CH$10,1,AI44)*(1+INDEX('Lease Cycles'!$CI$10:$CO$10,1,AI44))^INT(INT(AI45/12)/INDEX('Lease Cycles'!$CP$10:$CV$10,1,AI44))/12)))),'Lease Cycles'!$C$10*INDEX('Lease Cycles'!$CB$10:$CH$10,1,AI44)*(1+INDEX('Lease Cycles'!$CI$10:$CO$10,1,AI44))^INT(INT(AI45/12)/INDEX('Lease Cycles'!$CP$10:$CV$10,1,AI44))/12),IF(INDEX('Lease Cycles'!$EF$10:$EL$10,1,AI44)=1,IF(AND('Lease Cycles'!$AZ$10&gt;=INDEX('Lease Cycles'!$BG$10:$BM$10,1,AI44),'Lease Cycles'!$AZ$10&lt;=AI$6),'Lease Cycles'!$C$10*'Lease Cycles'!$BA$10/12,IF(AND('Lease Cycles'!$AX$10&gt;=INDEX('Lease Cycles'!$BG$10:$BM$10,1,AI44),'Lease Cycles'!$AX$10&lt;=AI$6),'Lease Cycles'!$C$10*'Lease Cycles'!$AY$10/12,IF(AND('Lease Cycles'!$AV$10&gt;=INDEX('Lease Cycles'!$BG$10:$BM$10,1,AI44),'Lease Cycles'!$AV$10&lt;=AI$6),'Lease Cycles'!$C$10*'Lease Cycles'!$AW$10/12,IF(AND('Lease Cycles'!$AT$10&gt;=INDEX('Lease Cycles'!$BG$10:$BM$10,1,AI44),'Lease Cycles'!$AT$10&lt;=AI$6),'Lease Cycles'!$C$10*'Lease Cycles'!$AU$10/12,'Lease Cycles'!$C$10*INDEX('Lease Cycles'!$CB$10:$CH$10,1,AI44)*(1+INDEX('Lease Cycles'!$CI$10:$CO$10,1,AI44))^INT(INT(AI45/12)/INDEX('Lease Cycles'!$CP$10:$CV$10,1,AI44))/12)))),'Lease Cycles'!$C$10*INDEX('Lease Cycles'!$CB$10:$CH$10,1,AI44)*(1+INDEX('Lease Cycles'!$CI$10:$CO$10,1,AI44))^INT(INT(AI45/12)/INDEX('Lease Cycles'!$CP$10:$CV$10,1,AI44))/12))),IF('Lease Cycles'!$N$10=1,'Lease Cycles'!$C$10*'Lease Cycles'!$E$10*INDEX('Lease Cycles'!$HE$10:$HK$10,1,AI44)*(1+INDEX('Lease Cycles'!$GQ$10:$GW$10,1,AI44))^INT(INT((AI$6-INDEX('Lease Cycles'!$GJ$10:$GP$10,1,AI44))/12)/INDEX('Lease Cycles'!$GX$10:$HD$10,1,AI44))/12,0)))</f>
        <v>8000</v>
      </c>
      <c r="AJ47" s="28">
        <f>IF(AJ44=0,IF('Lease Cycles'!$F$10&gt;0,'Lease Cycles'!$C$10*'Lease Cycles'!$E$10/12,0),IF(AJ46=1,IF('Lease Cycles'!$AT$10&gt;=9999,'Lease Cycles'!$C$10*INDEX('Lease Cycles'!$CB$10:$CH$10,1,AJ44)*(1+INDEX('Lease Cycles'!$CI$10:$CO$10,1,AJ44))^INT(INT(AJ45/12)/INDEX('Lease Cycles'!$CP$10:$CV$10,1,AJ44))/12,IF(AJ44=1,IF(AJ45&gt;=INDEX('Lease Cycles'!$DK$10:$DQ$10,1,AJ44),IF(AJ$6&gt;='Lease Cycles'!$AZ$10,'Lease Cycles'!$C$10*'Lease Cycles'!$BA$10/12,IF(AJ$6&gt;='Lease Cycles'!$AX$10,'Lease Cycles'!$C$10*'Lease Cycles'!$AY$10/12,IF(AJ$6&gt;='Lease Cycles'!$AV$10,'Lease Cycles'!$C$10*'Lease Cycles'!$AW$10/12,IF(AJ$6&gt;='Lease Cycles'!$AT$10,'Lease Cycles'!$C$10*'Lease Cycles'!$AU$10/12,'Lease Cycles'!$C$10*INDEX('Lease Cycles'!$CB$10:$CH$10,1,AJ44)*(1+INDEX('Lease Cycles'!$CI$10:$CO$10,1,AJ44))^INT(INT(AJ45/12)/INDEX('Lease Cycles'!$CP$10:$CV$10,1,AJ44))/12)))),'Lease Cycles'!$C$10*INDEX('Lease Cycles'!$CB$10:$CH$10,1,AJ44)*(1+INDEX('Lease Cycles'!$CI$10:$CO$10,1,AJ44))^INT(INT(AJ45/12)/INDEX('Lease Cycles'!$CP$10:$CV$10,1,AJ44))/12),IF(INDEX('Lease Cycles'!$EF$10:$EL$10,1,AJ44)=1,IF(AND('Lease Cycles'!$AZ$10&gt;=INDEX('Lease Cycles'!$BG$10:$BM$10,1,AJ44),'Lease Cycles'!$AZ$10&lt;=AJ$6),'Lease Cycles'!$C$10*'Lease Cycles'!$BA$10/12,IF(AND('Lease Cycles'!$AX$10&gt;=INDEX('Lease Cycles'!$BG$10:$BM$10,1,AJ44),'Lease Cycles'!$AX$10&lt;=AJ$6),'Lease Cycles'!$C$10*'Lease Cycles'!$AY$10/12,IF(AND('Lease Cycles'!$AV$10&gt;=INDEX('Lease Cycles'!$BG$10:$BM$10,1,AJ44),'Lease Cycles'!$AV$10&lt;=AJ$6),'Lease Cycles'!$C$10*'Lease Cycles'!$AW$10/12,IF(AND('Lease Cycles'!$AT$10&gt;=INDEX('Lease Cycles'!$BG$10:$BM$10,1,AJ44),'Lease Cycles'!$AT$10&lt;=AJ$6),'Lease Cycles'!$C$10*'Lease Cycles'!$AU$10/12,'Lease Cycles'!$C$10*INDEX('Lease Cycles'!$CB$10:$CH$10,1,AJ44)*(1+INDEX('Lease Cycles'!$CI$10:$CO$10,1,AJ44))^INT(INT(AJ45/12)/INDEX('Lease Cycles'!$CP$10:$CV$10,1,AJ44))/12)))),'Lease Cycles'!$C$10*INDEX('Lease Cycles'!$CB$10:$CH$10,1,AJ44)*(1+INDEX('Lease Cycles'!$CI$10:$CO$10,1,AJ44))^INT(INT(AJ45/12)/INDEX('Lease Cycles'!$CP$10:$CV$10,1,AJ44))/12))),IF('Lease Cycles'!$N$10=1,'Lease Cycles'!$C$10*'Lease Cycles'!$E$10*INDEX('Lease Cycles'!$HE$10:$HK$10,1,AJ44)*(1+INDEX('Lease Cycles'!$GQ$10:$GW$10,1,AJ44))^INT(INT((AJ$6-INDEX('Lease Cycles'!$GJ$10:$GP$10,1,AJ44))/12)/INDEX('Lease Cycles'!$GX$10:$HD$10,1,AJ44))/12,0)))</f>
        <v>8000</v>
      </c>
      <c r="AK47" s="28">
        <f>IF(AK44=0,IF('Lease Cycles'!$F$10&gt;0,'Lease Cycles'!$C$10*'Lease Cycles'!$E$10/12,0),IF(AK46=1,IF('Lease Cycles'!$AT$10&gt;=9999,'Lease Cycles'!$C$10*INDEX('Lease Cycles'!$CB$10:$CH$10,1,AK44)*(1+INDEX('Lease Cycles'!$CI$10:$CO$10,1,AK44))^INT(INT(AK45/12)/INDEX('Lease Cycles'!$CP$10:$CV$10,1,AK44))/12,IF(AK44=1,IF(AK45&gt;=INDEX('Lease Cycles'!$DK$10:$DQ$10,1,AK44),IF(AK$6&gt;='Lease Cycles'!$AZ$10,'Lease Cycles'!$C$10*'Lease Cycles'!$BA$10/12,IF(AK$6&gt;='Lease Cycles'!$AX$10,'Lease Cycles'!$C$10*'Lease Cycles'!$AY$10/12,IF(AK$6&gt;='Lease Cycles'!$AV$10,'Lease Cycles'!$C$10*'Lease Cycles'!$AW$10/12,IF(AK$6&gt;='Lease Cycles'!$AT$10,'Lease Cycles'!$C$10*'Lease Cycles'!$AU$10/12,'Lease Cycles'!$C$10*INDEX('Lease Cycles'!$CB$10:$CH$10,1,AK44)*(1+INDEX('Lease Cycles'!$CI$10:$CO$10,1,AK44))^INT(INT(AK45/12)/INDEX('Lease Cycles'!$CP$10:$CV$10,1,AK44))/12)))),'Lease Cycles'!$C$10*INDEX('Lease Cycles'!$CB$10:$CH$10,1,AK44)*(1+INDEX('Lease Cycles'!$CI$10:$CO$10,1,AK44))^INT(INT(AK45/12)/INDEX('Lease Cycles'!$CP$10:$CV$10,1,AK44))/12),IF(INDEX('Lease Cycles'!$EF$10:$EL$10,1,AK44)=1,IF(AND('Lease Cycles'!$AZ$10&gt;=INDEX('Lease Cycles'!$BG$10:$BM$10,1,AK44),'Lease Cycles'!$AZ$10&lt;=AK$6),'Lease Cycles'!$C$10*'Lease Cycles'!$BA$10/12,IF(AND('Lease Cycles'!$AX$10&gt;=INDEX('Lease Cycles'!$BG$10:$BM$10,1,AK44),'Lease Cycles'!$AX$10&lt;=AK$6),'Lease Cycles'!$C$10*'Lease Cycles'!$AY$10/12,IF(AND('Lease Cycles'!$AV$10&gt;=INDEX('Lease Cycles'!$BG$10:$BM$10,1,AK44),'Lease Cycles'!$AV$10&lt;=AK$6),'Lease Cycles'!$C$10*'Lease Cycles'!$AW$10/12,IF(AND('Lease Cycles'!$AT$10&gt;=INDEX('Lease Cycles'!$BG$10:$BM$10,1,AK44),'Lease Cycles'!$AT$10&lt;=AK$6),'Lease Cycles'!$C$10*'Lease Cycles'!$AU$10/12,'Lease Cycles'!$C$10*INDEX('Lease Cycles'!$CB$10:$CH$10,1,AK44)*(1+INDEX('Lease Cycles'!$CI$10:$CO$10,1,AK44))^INT(INT(AK45/12)/INDEX('Lease Cycles'!$CP$10:$CV$10,1,AK44))/12)))),'Lease Cycles'!$C$10*INDEX('Lease Cycles'!$CB$10:$CH$10,1,AK44)*(1+INDEX('Lease Cycles'!$CI$10:$CO$10,1,AK44))^INT(INT(AK45/12)/INDEX('Lease Cycles'!$CP$10:$CV$10,1,AK44))/12))),IF('Lease Cycles'!$N$10=1,'Lease Cycles'!$C$10*'Lease Cycles'!$E$10*INDEX('Lease Cycles'!$HE$10:$HK$10,1,AK44)*(1+INDEX('Lease Cycles'!$GQ$10:$GW$10,1,AK44))^INT(INT((AK$6-INDEX('Lease Cycles'!$GJ$10:$GP$10,1,AK44))/12)/INDEX('Lease Cycles'!$GX$10:$HD$10,1,AK44))/12,0)))</f>
        <v>8000</v>
      </c>
      <c r="AL47" s="28">
        <f>IF(AL44=0,IF('Lease Cycles'!$F$10&gt;0,'Lease Cycles'!$C$10*'Lease Cycles'!$E$10/12,0),IF(AL46=1,IF('Lease Cycles'!$AT$10&gt;=9999,'Lease Cycles'!$C$10*INDEX('Lease Cycles'!$CB$10:$CH$10,1,AL44)*(1+INDEX('Lease Cycles'!$CI$10:$CO$10,1,AL44))^INT(INT(AL45/12)/INDEX('Lease Cycles'!$CP$10:$CV$10,1,AL44))/12,IF(AL44=1,IF(AL45&gt;=INDEX('Lease Cycles'!$DK$10:$DQ$10,1,AL44),IF(AL$6&gt;='Lease Cycles'!$AZ$10,'Lease Cycles'!$C$10*'Lease Cycles'!$BA$10/12,IF(AL$6&gt;='Lease Cycles'!$AX$10,'Lease Cycles'!$C$10*'Lease Cycles'!$AY$10/12,IF(AL$6&gt;='Lease Cycles'!$AV$10,'Lease Cycles'!$C$10*'Lease Cycles'!$AW$10/12,IF(AL$6&gt;='Lease Cycles'!$AT$10,'Lease Cycles'!$C$10*'Lease Cycles'!$AU$10/12,'Lease Cycles'!$C$10*INDEX('Lease Cycles'!$CB$10:$CH$10,1,AL44)*(1+INDEX('Lease Cycles'!$CI$10:$CO$10,1,AL44))^INT(INT(AL45/12)/INDEX('Lease Cycles'!$CP$10:$CV$10,1,AL44))/12)))),'Lease Cycles'!$C$10*INDEX('Lease Cycles'!$CB$10:$CH$10,1,AL44)*(1+INDEX('Lease Cycles'!$CI$10:$CO$10,1,AL44))^INT(INT(AL45/12)/INDEX('Lease Cycles'!$CP$10:$CV$10,1,AL44))/12),IF(INDEX('Lease Cycles'!$EF$10:$EL$10,1,AL44)=1,IF(AND('Lease Cycles'!$AZ$10&gt;=INDEX('Lease Cycles'!$BG$10:$BM$10,1,AL44),'Lease Cycles'!$AZ$10&lt;=AL$6),'Lease Cycles'!$C$10*'Lease Cycles'!$BA$10/12,IF(AND('Lease Cycles'!$AX$10&gt;=INDEX('Lease Cycles'!$BG$10:$BM$10,1,AL44),'Lease Cycles'!$AX$10&lt;=AL$6),'Lease Cycles'!$C$10*'Lease Cycles'!$AY$10/12,IF(AND('Lease Cycles'!$AV$10&gt;=INDEX('Lease Cycles'!$BG$10:$BM$10,1,AL44),'Lease Cycles'!$AV$10&lt;=AL$6),'Lease Cycles'!$C$10*'Lease Cycles'!$AW$10/12,IF(AND('Lease Cycles'!$AT$10&gt;=INDEX('Lease Cycles'!$BG$10:$BM$10,1,AL44),'Lease Cycles'!$AT$10&lt;=AL$6),'Lease Cycles'!$C$10*'Lease Cycles'!$AU$10/12,'Lease Cycles'!$C$10*INDEX('Lease Cycles'!$CB$10:$CH$10,1,AL44)*(1+INDEX('Lease Cycles'!$CI$10:$CO$10,1,AL44))^INT(INT(AL45/12)/INDEX('Lease Cycles'!$CP$10:$CV$10,1,AL44))/12)))),'Lease Cycles'!$C$10*INDEX('Lease Cycles'!$CB$10:$CH$10,1,AL44)*(1+INDEX('Lease Cycles'!$CI$10:$CO$10,1,AL44))^INT(INT(AL45/12)/INDEX('Lease Cycles'!$CP$10:$CV$10,1,AL44))/12))),IF('Lease Cycles'!$N$10=1,'Lease Cycles'!$C$10*'Lease Cycles'!$E$10*INDEX('Lease Cycles'!$HE$10:$HK$10,1,AL44)*(1+INDEX('Lease Cycles'!$GQ$10:$GW$10,1,AL44))^INT(INT((AL$6-INDEX('Lease Cycles'!$GJ$10:$GP$10,1,AL44))/12)/INDEX('Lease Cycles'!$GX$10:$HD$10,1,AL44))/12,0)))</f>
        <v>8000</v>
      </c>
      <c r="AM47" s="28">
        <f>IF(AM44=0,IF('Lease Cycles'!$F$10&gt;0,'Lease Cycles'!$C$10*'Lease Cycles'!$E$10/12,0),IF(AM46=1,IF('Lease Cycles'!$AT$10&gt;=9999,'Lease Cycles'!$C$10*INDEX('Lease Cycles'!$CB$10:$CH$10,1,AM44)*(1+INDEX('Lease Cycles'!$CI$10:$CO$10,1,AM44))^INT(INT(AM45/12)/INDEX('Lease Cycles'!$CP$10:$CV$10,1,AM44))/12,IF(AM44=1,IF(AM45&gt;=INDEX('Lease Cycles'!$DK$10:$DQ$10,1,AM44),IF(AM$6&gt;='Lease Cycles'!$AZ$10,'Lease Cycles'!$C$10*'Lease Cycles'!$BA$10/12,IF(AM$6&gt;='Lease Cycles'!$AX$10,'Lease Cycles'!$C$10*'Lease Cycles'!$AY$10/12,IF(AM$6&gt;='Lease Cycles'!$AV$10,'Lease Cycles'!$C$10*'Lease Cycles'!$AW$10/12,IF(AM$6&gt;='Lease Cycles'!$AT$10,'Lease Cycles'!$C$10*'Lease Cycles'!$AU$10/12,'Lease Cycles'!$C$10*INDEX('Lease Cycles'!$CB$10:$CH$10,1,AM44)*(1+INDEX('Lease Cycles'!$CI$10:$CO$10,1,AM44))^INT(INT(AM45/12)/INDEX('Lease Cycles'!$CP$10:$CV$10,1,AM44))/12)))),'Lease Cycles'!$C$10*INDEX('Lease Cycles'!$CB$10:$CH$10,1,AM44)*(1+INDEX('Lease Cycles'!$CI$10:$CO$10,1,AM44))^INT(INT(AM45/12)/INDEX('Lease Cycles'!$CP$10:$CV$10,1,AM44))/12),IF(INDEX('Lease Cycles'!$EF$10:$EL$10,1,AM44)=1,IF(AND('Lease Cycles'!$AZ$10&gt;=INDEX('Lease Cycles'!$BG$10:$BM$10,1,AM44),'Lease Cycles'!$AZ$10&lt;=AM$6),'Lease Cycles'!$C$10*'Lease Cycles'!$BA$10/12,IF(AND('Lease Cycles'!$AX$10&gt;=INDEX('Lease Cycles'!$BG$10:$BM$10,1,AM44),'Lease Cycles'!$AX$10&lt;=AM$6),'Lease Cycles'!$C$10*'Lease Cycles'!$AY$10/12,IF(AND('Lease Cycles'!$AV$10&gt;=INDEX('Lease Cycles'!$BG$10:$BM$10,1,AM44),'Lease Cycles'!$AV$10&lt;=AM$6),'Lease Cycles'!$C$10*'Lease Cycles'!$AW$10/12,IF(AND('Lease Cycles'!$AT$10&gt;=INDEX('Lease Cycles'!$BG$10:$BM$10,1,AM44),'Lease Cycles'!$AT$10&lt;=AM$6),'Lease Cycles'!$C$10*'Lease Cycles'!$AU$10/12,'Lease Cycles'!$C$10*INDEX('Lease Cycles'!$CB$10:$CH$10,1,AM44)*(1+INDEX('Lease Cycles'!$CI$10:$CO$10,1,AM44))^INT(INT(AM45/12)/INDEX('Lease Cycles'!$CP$10:$CV$10,1,AM44))/12)))),'Lease Cycles'!$C$10*INDEX('Lease Cycles'!$CB$10:$CH$10,1,AM44)*(1+INDEX('Lease Cycles'!$CI$10:$CO$10,1,AM44))^INT(INT(AM45/12)/INDEX('Lease Cycles'!$CP$10:$CV$10,1,AM44))/12))),IF('Lease Cycles'!$N$10=1,'Lease Cycles'!$C$10*'Lease Cycles'!$E$10*INDEX('Lease Cycles'!$HE$10:$HK$10,1,AM44)*(1+INDEX('Lease Cycles'!$GQ$10:$GW$10,1,AM44))^INT(INT((AM$6-INDEX('Lease Cycles'!$GJ$10:$GP$10,1,AM44))/12)/INDEX('Lease Cycles'!$GX$10:$HD$10,1,AM44))/12,0)))</f>
        <v>8000</v>
      </c>
      <c r="AN47" s="28">
        <f>IF(AN44=0,IF('Lease Cycles'!$F$10&gt;0,'Lease Cycles'!$C$10*'Lease Cycles'!$E$10/12,0),IF(AN46=1,IF('Lease Cycles'!$AT$10&gt;=9999,'Lease Cycles'!$C$10*INDEX('Lease Cycles'!$CB$10:$CH$10,1,AN44)*(1+INDEX('Lease Cycles'!$CI$10:$CO$10,1,AN44))^INT(INT(AN45/12)/INDEX('Lease Cycles'!$CP$10:$CV$10,1,AN44))/12,IF(AN44=1,IF(AN45&gt;=INDEX('Lease Cycles'!$DK$10:$DQ$10,1,AN44),IF(AN$6&gt;='Lease Cycles'!$AZ$10,'Lease Cycles'!$C$10*'Lease Cycles'!$BA$10/12,IF(AN$6&gt;='Lease Cycles'!$AX$10,'Lease Cycles'!$C$10*'Lease Cycles'!$AY$10/12,IF(AN$6&gt;='Lease Cycles'!$AV$10,'Lease Cycles'!$C$10*'Lease Cycles'!$AW$10/12,IF(AN$6&gt;='Lease Cycles'!$AT$10,'Lease Cycles'!$C$10*'Lease Cycles'!$AU$10/12,'Lease Cycles'!$C$10*INDEX('Lease Cycles'!$CB$10:$CH$10,1,AN44)*(1+INDEX('Lease Cycles'!$CI$10:$CO$10,1,AN44))^INT(INT(AN45/12)/INDEX('Lease Cycles'!$CP$10:$CV$10,1,AN44))/12)))),'Lease Cycles'!$C$10*INDEX('Lease Cycles'!$CB$10:$CH$10,1,AN44)*(1+INDEX('Lease Cycles'!$CI$10:$CO$10,1,AN44))^INT(INT(AN45/12)/INDEX('Lease Cycles'!$CP$10:$CV$10,1,AN44))/12),IF(INDEX('Lease Cycles'!$EF$10:$EL$10,1,AN44)=1,IF(AND('Lease Cycles'!$AZ$10&gt;=INDEX('Lease Cycles'!$BG$10:$BM$10,1,AN44),'Lease Cycles'!$AZ$10&lt;=AN$6),'Lease Cycles'!$C$10*'Lease Cycles'!$BA$10/12,IF(AND('Lease Cycles'!$AX$10&gt;=INDEX('Lease Cycles'!$BG$10:$BM$10,1,AN44),'Lease Cycles'!$AX$10&lt;=AN$6),'Lease Cycles'!$C$10*'Lease Cycles'!$AY$10/12,IF(AND('Lease Cycles'!$AV$10&gt;=INDEX('Lease Cycles'!$BG$10:$BM$10,1,AN44),'Lease Cycles'!$AV$10&lt;=AN$6),'Lease Cycles'!$C$10*'Lease Cycles'!$AW$10/12,IF(AND('Lease Cycles'!$AT$10&gt;=INDEX('Lease Cycles'!$BG$10:$BM$10,1,AN44),'Lease Cycles'!$AT$10&lt;=AN$6),'Lease Cycles'!$C$10*'Lease Cycles'!$AU$10/12,'Lease Cycles'!$C$10*INDEX('Lease Cycles'!$CB$10:$CH$10,1,AN44)*(1+INDEX('Lease Cycles'!$CI$10:$CO$10,1,AN44))^INT(INT(AN45/12)/INDEX('Lease Cycles'!$CP$10:$CV$10,1,AN44))/12)))),'Lease Cycles'!$C$10*INDEX('Lease Cycles'!$CB$10:$CH$10,1,AN44)*(1+INDEX('Lease Cycles'!$CI$10:$CO$10,1,AN44))^INT(INT(AN45/12)/INDEX('Lease Cycles'!$CP$10:$CV$10,1,AN44))/12))),IF('Lease Cycles'!$N$10=1,'Lease Cycles'!$C$10*'Lease Cycles'!$E$10*INDEX('Lease Cycles'!$HE$10:$HK$10,1,AN44)*(1+INDEX('Lease Cycles'!$GQ$10:$GW$10,1,AN44))^INT(INT((AN$6-INDEX('Lease Cycles'!$GJ$10:$GP$10,1,AN44))/12)/INDEX('Lease Cycles'!$GX$10:$HD$10,1,AN44))/12,0)))</f>
        <v>8000</v>
      </c>
      <c r="AO47" s="28">
        <f>IF(AO44=0,IF('Lease Cycles'!$F$10&gt;0,'Lease Cycles'!$C$10*'Lease Cycles'!$E$10/12,0),IF(AO46=1,IF('Lease Cycles'!$AT$10&gt;=9999,'Lease Cycles'!$C$10*INDEX('Lease Cycles'!$CB$10:$CH$10,1,AO44)*(1+INDEX('Lease Cycles'!$CI$10:$CO$10,1,AO44))^INT(INT(AO45/12)/INDEX('Lease Cycles'!$CP$10:$CV$10,1,AO44))/12,IF(AO44=1,IF(AO45&gt;=INDEX('Lease Cycles'!$DK$10:$DQ$10,1,AO44),IF(AO$6&gt;='Lease Cycles'!$AZ$10,'Lease Cycles'!$C$10*'Lease Cycles'!$BA$10/12,IF(AO$6&gt;='Lease Cycles'!$AX$10,'Lease Cycles'!$C$10*'Lease Cycles'!$AY$10/12,IF(AO$6&gt;='Lease Cycles'!$AV$10,'Lease Cycles'!$C$10*'Lease Cycles'!$AW$10/12,IF(AO$6&gt;='Lease Cycles'!$AT$10,'Lease Cycles'!$C$10*'Lease Cycles'!$AU$10/12,'Lease Cycles'!$C$10*INDEX('Lease Cycles'!$CB$10:$CH$10,1,AO44)*(1+INDEX('Lease Cycles'!$CI$10:$CO$10,1,AO44))^INT(INT(AO45/12)/INDEX('Lease Cycles'!$CP$10:$CV$10,1,AO44))/12)))),'Lease Cycles'!$C$10*INDEX('Lease Cycles'!$CB$10:$CH$10,1,AO44)*(1+INDEX('Lease Cycles'!$CI$10:$CO$10,1,AO44))^INT(INT(AO45/12)/INDEX('Lease Cycles'!$CP$10:$CV$10,1,AO44))/12),IF(INDEX('Lease Cycles'!$EF$10:$EL$10,1,AO44)=1,IF(AND('Lease Cycles'!$AZ$10&gt;=INDEX('Lease Cycles'!$BG$10:$BM$10,1,AO44),'Lease Cycles'!$AZ$10&lt;=AO$6),'Lease Cycles'!$C$10*'Lease Cycles'!$BA$10/12,IF(AND('Lease Cycles'!$AX$10&gt;=INDEX('Lease Cycles'!$BG$10:$BM$10,1,AO44),'Lease Cycles'!$AX$10&lt;=AO$6),'Lease Cycles'!$C$10*'Lease Cycles'!$AY$10/12,IF(AND('Lease Cycles'!$AV$10&gt;=INDEX('Lease Cycles'!$BG$10:$BM$10,1,AO44),'Lease Cycles'!$AV$10&lt;=AO$6),'Lease Cycles'!$C$10*'Lease Cycles'!$AW$10/12,IF(AND('Lease Cycles'!$AT$10&gt;=INDEX('Lease Cycles'!$BG$10:$BM$10,1,AO44),'Lease Cycles'!$AT$10&lt;=AO$6),'Lease Cycles'!$C$10*'Lease Cycles'!$AU$10/12,'Lease Cycles'!$C$10*INDEX('Lease Cycles'!$CB$10:$CH$10,1,AO44)*(1+INDEX('Lease Cycles'!$CI$10:$CO$10,1,AO44))^INT(INT(AO45/12)/INDEX('Lease Cycles'!$CP$10:$CV$10,1,AO44))/12)))),'Lease Cycles'!$C$10*INDEX('Lease Cycles'!$CB$10:$CH$10,1,AO44)*(1+INDEX('Lease Cycles'!$CI$10:$CO$10,1,AO44))^INT(INT(AO45/12)/INDEX('Lease Cycles'!$CP$10:$CV$10,1,AO44))/12))),IF('Lease Cycles'!$N$10=1,'Lease Cycles'!$C$10*'Lease Cycles'!$E$10*INDEX('Lease Cycles'!$HE$10:$HK$10,1,AO44)*(1+INDEX('Lease Cycles'!$GQ$10:$GW$10,1,AO44))^INT(INT((AO$6-INDEX('Lease Cycles'!$GJ$10:$GP$10,1,AO44))/12)/INDEX('Lease Cycles'!$GX$10:$HD$10,1,AO44))/12,0)))</f>
        <v>8000</v>
      </c>
      <c r="AP47" s="28">
        <f>IF(AP44=0,IF('Lease Cycles'!$F$10&gt;0,'Lease Cycles'!$C$10*'Lease Cycles'!$E$10/12,0),IF(AP46=1,IF('Lease Cycles'!$AT$10&gt;=9999,'Lease Cycles'!$C$10*INDEX('Lease Cycles'!$CB$10:$CH$10,1,AP44)*(1+INDEX('Lease Cycles'!$CI$10:$CO$10,1,AP44))^INT(INT(AP45/12)/INDEX('Lease Cycles'!$CP$10:$CV$10,1,AP44))/12,IF(AP44=1,IF(AP45&gt;=INDEX('Lease Cycles'!$DK$10:$DQ$10,1,AP44),IF(AP$6&gt;='Lease Cycles'!$AZ$10,'Lease Cycles'!$C$10*'Lease Cycles'!$BA$10/12,IF(AP$6&gt;='Lease Cycles'!$AX$10,'Lease Cycles'!$C$10*'Lease Cycles'!$AY$10/12,IF(AP$6&gt;='Lease Cycles'!$AV$10,'Lease Cycles'!$C$10*'Lease Cycles'!$AW$10/12,IF(AP$6&gt;='Lease Cycles'!$AT$10,'Lease Cycles'!$C$10*'Lease Cycles'!$AU$10/12,'Lease Cycles'!$C$10*INDEX('Lease Cycles'!$CB$10:$CH$10,1,AP44)*(1+INDEX('Lease Cycles'!$CI$10:$CO$10,1,AP44))^INT(INT(AP45/12)/INDEX('Lease Cycles'!$CP$10:$CV$10,1,AP44))/12)))),'Lease Cycles'!$C$10*INDEX('Lease Cycles'!$CB$10:$CH$10,1,AP44)*(1+INDEX('Lease Cycles'!$CI$10:$CO$10,1,AP44))^INT(INT(AP45/12)/INDEX('Lease Cycles'!$CP$10:$CV$10,1,AP44))/12),IF(INDEX('Lease Cycles'!$EF$10:$EL$10,1,AP44)=1,IF(AND('Lease Cycles'!$AZ$10&gt;=INDEX('Lease Cycles'!$BG$10:$BM$10,1,AP44),'Lease Cycles'!$AZ$10&lt;=AP$6),'Lease Cycles'!$C$10*'Lease Cycles'!$BA$10/12,IF(AND('Lease Cycles'!$AX$10&gt;=INDEX('Lease Cycles'!$BG$10:$BM$10,1,AP44),'Lease Cycles'!$AX$10&lt;=AP$6),'Lease Cycles'!$C$10*'Lease Cycles'!$AY$10/12,IF(AND('Lease Cycles'!$AV$10&gt;=INDEX('Lease Cycles'!$BG$10:$BM$10,1,AP44),'Lease Cycles'!$AV$10&lt;=AP$6),'Lease Cycles'!$C$10*'Lease Cycles'!$AW$10/12,IF(AND('Lease Cycles'!$AT$10&gt;=INDEX('Lease Cycles'!$BG$10:$BM$10,1,AP44),'Lease Cycles'!$AT$10&lt;=AP$6),'Lease Cycles'!$C$10*'Lease Cycles'!$AU$10/12,'Lease Cycles'!$C$10*INDEX('Lease Cycles'!$CB$10:$CH$10,1,AP44)*(1+INDEX('Lease Cycles'!$CI$10:$CO$10,1,AP44))^INT(INT(AP45/12)/INDEX('Lease Cycles'!$CP$10:$CV$10,1,AP44))/12)))),'Lease Cycles'!$C$10*INDEX('Lease Cycles'!$CB$10:$CH$10,1,AP44)*(1+INDEX('Lease Cycles'!$CI$10:$CO$10,1,AP44))^INT(INT(AP45/12)/INDEX('Lease Cycles'!$CP$10:$CV$10,1,AP44))/12))),IF('Lease Cycles'!$N$10=1,'Lease Cycles'!$C$10*'Lease Cycles'!$E$10*INDEX('Lease Cycles'!$HE$10:$HK$10,1,AP44)*(1+INDEX('Lease Cycles'!$GQ$10:$GW$10,1,AP44))^INT(INT((AP$6-INDEX('Lease Cycles'!$GJ$10:$GP$10,1,AP44))/12)/INDEX('Lease Cycles'!$GX$10:$HD$10,1,AP44))/12,0)))</f>
        <v>8000</v>
      </c>
      <c r="AQ47" s="28">
        <f>IF(AQ44=0,IF('Lease Cycles'!$F$10&gt;0,'Lease Cycles'!$C$10*'Lease Cycles'!$E$10/12,0),IF(AQ46=1,IF('Lease Cycles'!$AT$10&gt;=9999,'Lease Cycles'!$C$10*INDEX('Lease Cycles'!$CB$10:$CH$10,1,AQ44)*(1+INDEX('Lease Cycles'!$CI$10:$CO$10,1,AQ44))^INT(INT(AQ45/12)/INDEX('Lease Cycles'!$CP$10:$CV$10,1,AQ44))/12,IF(AQ44=1,IF(AQ45&gt;=INDEX('Lease Cycles'!$DK$10:$DQ$10,1,AQ44),IF(AQ$6&gt;='Lease Cycles'!$AZ$10,'Lease Cycles'!$C$10*'Lease Cycles'!$BA$10/12,IF(AQ$6&gt;='Lease Cycles'!$AX$10,'Lease Cycles'!$C$10*'Lease Cycles'!$AY$10/12,IF(AQ$6&gt;='Lease Cycles'!$AV$10,'Lease Cycles'!$C$10*'Lease Cycles'!$AW$10/12,IF(AQ$6&gt;='Lease Cycles'!$AT$10,'Lease Cycles'!$C$10*'Lease Cycles'!$AU$10/12,'Lease Cycles'!$C$10*INDEX('Lease Cycles'!$CB$10:$CH$10,1,AQ44)*(1+INDEX('Lease Cycles'!$CI$10:$CO$10,1,AQ44))^INT(INT(AQ45/12)/INDEX('Lease Cycles'!$CP$10:$CV$10,1,AQ44))/12)))),'Lease Cycles'!$C$10*INDEX('Lease Cycles'!$CB$10:$CH$10,1,AQ44)*(1+INDEX('Lease Cycles'!$CI$10:$CO$10,1,AQ44))^INT(INT(AQ45/12)/INDEX('Lease Cycles'!$CP$10:$CV$10,1,AQ44))/12),IF(INDEX('Lease Cycles'!$EF$10:$EL$10,1,AQ44)=1,IF(AND('Lease Cycles'!$AZ$10&gt;=INDEX('Lease Cycles'!$BG$10:$BM$10,1,AQ44),'Lease Cycles'!$AZ$10&lt;=AQ$6),'Lease Cycles'!$C$10*'Lease Cycles'!$BA$10/12,IF(AND('Lease Cycles'!$AX$10&gt;=INDEX('Lease Cycles'!$BG$10:$BM$10,1,AQ44),'Lease Cycles'!$AX$10&lt;=AQ$6),'Lease Cycles'!$C$10*'Lease Cycles'!$AY$10/12,IF(AND('Lease Cycles'!$AV$10&gt;=INDEX('Lease Cycles'!$BG$10:$BM$10,1,AQ44),'Lease Cycles'!$AV$10&lt;=AQ$6),'Lease Cycles'!$C$10*'Lease Cycles'!$AW$10/12,IF(AND('Lease Cycles'!$AT$10&gt;=INDEX('Lease Cycles'!$BG$10:$BM$10,1,AQ44),'Lease Cycles'!$AT$10&lt;=AQ$6),'Lease Cycles'!$C$10*'Lease Cycles'!$AU$10/12,'Lease Cycles'!$C$10*INDEX('Lease Cycles'!$CB$10:$CH$10,1,AQ44)*(1+INDEX('Lease Cycles'!$CI$10:$CO$10,1,AQ44))^INT(INT(AQ45/12)/INDEX('Lease Cycles'!$CP$10:$CV$10,1,AQ44))/12)))),'Lease Cycles'!$C$10*INDEX('Lease Cycles'!$CB$10:$CH$10,1,AQ44)*(1+INDEX('Lease Cycles'!$CI$10:$CO$10,1,AQ44))^INT(INT(AQ45/12)/INDEX('Lease Cycles'!$CP$10:$CV$10,1,AQ44))/12))),IF('Lease Cycles'!$N$10=1,'Lease Cycles'!$C$10*'Lease Cycles'!$E$10*INDEX('Lease Cycles'!$HE$10:$HK$10,1,AQ44)*(1+INDEX('Lease Cycles'!$GQ$10:$GW$10,1,AQ44))^INT(INT((AQ$6-INDEX('Lease Cycles'!$GJ$10:$GP$10,1,AQ44))/12)/INDEX('Lease Cycles'!$GX$10:$HD$10,1,AQ44))/12,0)))</f>
        <v>8000</v>
      </c>
      <c r="AR47" s="28">
        <f>IF(AR44=0,IF('Lease Cycles'!$F$10&gt;0,'Lease Cycles'!$C$10*'Lease Cycles'!$E$10/12,0),IF(AR46=1,IF('Lease Cycles'!$AT$10&gt;=9999,'Lease Cycles'!$C$10*INDEX('Lease Cycles'!$CB$10:$CH$10,1,AR44)*(1+INDEX('Lease Cycles'!$CI$10:$CO$10,1,AR44))^INT(INT(AR45/12)/INDEX('Lease Cycles'!$CP$10:$CV$10,1,AR44))/12,IF(AR44=1,IF(AR45&gt;=INDEX('Lease Cycles'!$DK$10:$DQ$10,1,AR44),IF(AR$6&gt;='Lease Cycles'!$AZ$10,'Lease Cycles'!$C$10*'Lease Cycles'!$BA$10/12,IF(AR$6&gt;='Lease Cycles'!$AX$10,'Lease Cycles'!$C$10*'Lease Cycles'!$AY$10/12,IF(AR$6&gt;='Lease Cycles'!$AV$10,'Lease Cycles'!$C$10*'Lease Cycles'!$AW$10/12,IF(AR$6&gt;='Lease Cycles'!$AT$10,'Lease Cycles'!$C$10*'Lease Cycles'!$AU$10/12,'Lease Cycles'!$C$10*INDEX('Lease Cycles'!$CB$10:$CH$10,1,AR44)*(1+INDEX('Lease Cycles'!$CI$10:$CO$10,1,AR44))^INT(INT(AR45/12)/INDEX('Lease Cycles'!$CP$10:$CV$10,1,AR44))/12)))),'Lease Cycles'!$C$10*INDEX('Lease Cycles'!$CB$10:$CH$10,1,AR44)*(1+INDEX('Lease Cycles'!$CI$10:$CO$10,1,AR44))^INT(INT(AR45/12)/INDEX('Lease Cycles'!$CP$10:$CV$10,1,AR44))/12),IF(INDEX('Lease Cycles'!$EF$10:$EL$10,1,AR44)=1,IF(AND('Lease Cycles'!$AZ$10&gt;=INDEX('Lease Cycles'!$BG$10:$BM$10,1,AR44),'Lease Cycles'!$AZ$10&lt;=AR$6),'Lease Cycles'!$C$10*'Lease Cycles'!$BA$10/12,IF(AND('Lease Cycles'!$AX$10&gt;=INDEX('Lease Cycles'!$BG$10:$BM$10,1,AR44),'Lease Cycles'!$AX$10&lt;=AR$6),'Lease Cycles'!$C$10*'Lease Cycles'!$AY$10/12,IF(AND('Lease Cycles'!$AV$10&gt;=INDEX('Lease Cycles'!$BG$10:$BM$10,1,AR44),'Lease Cycles'!$AV$10&lt;=AR$6),'Lease Cycles'!$C$10*'Lease Cycles'!$AW$10/12,IF(AND('Lease Cycles'!$AT$10&gt;=INDEX('Lease Cycles'!$BG$10:$BM$10,1,AR44),'Lease Cycles'!$AT$10&lt;=AR$6),'Lease Cycles'!$C$10*'Lease Cycles'!$AU$10/12,'Lease Cycles'!$C$10*INDEX('Lease Cycles'!$CB$10:$CH$10,1,AR44)*(1+INDEX('Lease Cycles'!$CI$10:$CO$10,1,AR44))^INT(INT(AR45/12)/INDEX('Lease Cycles'!$CP$10:$CV$10,1,AR44))/12)))),'Lease Cycles'!$C$10*INDEX('Lease Cycles'!$CB$10:$CH$10,1,AR44)*(1+INDEX('Lease Cycles'!$CI$10:$CO$10,1,AR44))^INT(INT(AR45/12)/INDEX('Lease Cycles'!$CP$10:$CV$10,1,AR44))/12))),IF('Lease Cycles'!$N$10=1,'Lease Cycles'!$C$10*'Lease Cycles'!$E$10*INDEX('Lease Cycles'!$HE$10:$HK$10,1,AR44)*(1+INDEX('Lease Cycles'!$GQ$10:$GW$10,1,AR44))^INT(INT((AR$6-INDEX('Lease Cycles'!$GJ$10:$GP$10,1,AR44))/12)/INDEX('Lease Cycles'!$GX$10:$HD$10,1,AR44))/12,0)))</f>
        <v>8000</v>
      </c>
      <c r="AS47" s="28">
        <f>IF(AS44=0,IF('Lease Cycles'!$F$10&gt;0,'Lease Cycles'!$C$10*'Lease Cycles'!$E$10/12,0),IF(AS46=1,IF('Lease Cycles'!$AT$10&gt;=9999,'Lease Cycles'!$C$10*INDEX('Lease Cycles'!$CB$10:$CH$10,1,AS44)*(1+INDEX('Lease Cycles'!$CI$10:$CO$10,1,AS44))^INT(INT(AS45/12)/INDEX('Lease Cycles'!$CP$10:$CV$10,1,AS44))/12,IF(AS44=1,IF(AS45&gt;=INDEX('Lease Cycles'!$DK$10:$DQ$10,1,AS44),IF(AS$6&gt;='Lease Cycles'!$AZ$10,'Lease Cycles'!$C$10*'Lease Cycles'!$BA$10/12,IF(AS$6&gt;='Lease Cycles'!$AX$10,'Lease Cycles'!$C$10*'Lease Cycles'!$AY$10/12,IF(AS$6&gt;='Lease Cycles'!$AV$10,'Lease Cycles'!$C$10*'Lease Cycles'!$AW$10/12,IF(AS$6&gt;='Lease Cycles'!$AT$10,'Lease Cycles'!$C$10*'Lease Cycles'!$AU$10/12,'Lease Cycles'!$C$10*INDEX('Lease Cycles'!$CB$10:$CH$10,1,AS44)*(1+INDEX('Lease Cycles'!$CI$10:$CO$10,1,AS44))^INT(INT(AS45/12)/INDEX('Lease Cycles'!$CP$10:$CV$10,1,AS44))/12)))),'Lease Cycles'!$C$10*INDEX('Lease Cycles'!$CB$10:$CH$10,1,AS44)*(1+INDEX('Lease Cycles'!$CI$10:$CO$10,1,AS44))^INT(INT(AS45/12)/INDEX('Lease Cycles'!$CP$10:$CV$10,1,AS44))/12),IF(INDEX('Lease Cycles'!$EF$10:$EL$10,1,AS44)=1,IF(AND('Lease Cycles'!$AZ$10&gt;=INDEX('Lease Cycles'!$BG$10:$BM$10,1,AS44),'Lease Cycles'!$AZ$10&lt;=AS$6),'Lease Cycles'!$C$10*'Lease Cycles'!$BA$10/12,IF(AND('Lease Cycles'!$AX$10&gt;=INDEX('Lease Cycles'!$BG$10:$BM$10,1,AS44),'Lease Cycles'!$AX$10&lt;=AS$6),'Lease Cycles'!$C$10*'Lease Cycles'!$AY$10/12,IF(AND('Lease Cycles'!$AV$10&gt;=INDEX('Lease Cycles'!$BG$10:$BM$10,1,AS44),'Lease Cycles'!$AV$10&lt;=AS$6),'Lease Cycles'!$C$10*'Lease Cycles'!$AW$10/12,IF(AND('Lease Cycles'!$AT$10&gt;=INDEX('Lease Cycles'!$BG$10:$BM$10,1,AS44),'Lease Cycles'!$AT$10&lt;=AS$6),'Lease Cycles'!$C$10*'Lease Cycles'!$AU$10/12,'Lease Cycles'!$C$10*INDEX('Lease Cycles'!$CB$10:$CH$10,1,AS44)*(1+INDEX('Lease Cycles'!$CI$10:$CO$10,1,AS44))^INT(INT(AS45/12)/INDEX('Lease Cycles'!$CP$10:$CV$10,1,AS44))/12)))),'Lease Cycles'!$C$10*INDEX('Lease Cycles'!$CB$10:$CH$10,1,AS44)*(1+INDEX('Lease Cycles'!$CI$10:$CO$10,1,AS44))^INT(INT(AS45/12)/INDEX('Lease Cycles'!$CP$10:$CV$10,1,AS44))/12))),IF('Lease Cycles'!$N$10=1,'Lease Cycles'!$C$10*'Lease Cycles'!$E$10*INDEX('Lease Cycles'!$HE$10:$HK$10,1,AS44)*(1+INDEX('Lease Cycles'!$GQ$10:$GW$10,1,AS44))^INT(INT((AS$6-INDEX('Lease Cycles'!$GJ$10:$GP$10,1,AS44))/12)/INDEX('Lease Cycles'!$GX$10:$HD$10,1,AS44))/12,0)))</f>
        <v>8000</v>
      </c>
      <c r="AT47" s="28">
        <f>IF(AT44=0,IF('Lease Cycles'!$F$10&gt;0,'Lease Cycles'!$C$10*'Lease Cycles'!$E$10/12,0),IF(AT46=1,IF('Lease Cycles'!$AT$10&gt;=9999,'Lease Cycles'!$C$10*INDEX('Lease Cycles'!$CB$10:$CH$10,1,AT44)*(1+INDEX('Lease Cycles'!$CI$10:$CO$10,1,AT44))^INT(INT(AT45/12)/INDEX('Lease Cycles'!$CP$10:$CV$10,1,AT44))/12,IF(AT44=1,IF(AT45&gt;=INDEX('Lease Cycles'!$DK$10:$DQ$10,1,AT44),IF(AT$6&gt;='Lease Cycles'!$AZ$10,'Lease Cycles'!$C$10*'Lease Cycles'!$BA$10/12,IF(AT$6&gt;='Lease Cycles'!$AX$10,'Lease Cycles'!$C$10*'Lease Cycles'!$AY$10/12,IF(AT$6&gt;='Lease Cycles'!$AV$10,'Lease Cycles'!$C$10*'Lease Cycles'!$AW$10/12,IF(AT$6&gt;='Lease Cycles'!$AT$10,'Lease Cycles'!$C$10*'Lease Cycles'!$AU$10/12,'Lease Cycles'!$C$10*INDEX('Lease Cycles'!$CB$10:$CH$10,1,AT44)*(1+INDEX('Lease Cycles'!$CI$10:$CO$10,1,AT44))^INT(INT(AT45/12)/INDEX('Lease Cycles'!$CP$10:$CV$10,1,AT44))/12)))),'Lease Cycles'!$C$10*INDEX('Lease Cycles'!$CB$10:$CH$10,1,AT44)*(1+INDEX('Lease Cycles'!$CI$10:$CO$10,1,AT44))^INT(INT(AT45/12)/INDEX('Lease Cycles'!$CP$10:$CV$10,1,AT44))/12),IF(INDEX('Lease Cycles'!$EF$10:$EL$10,1,AT44)=1,IF(AND('Lease Cycles'!$AZ$10&gt;=INDEX('Lease Cycles'!$BG$10:$BM$10,1,AT44),'Lease Cycles'!$AZ$10&lt;=AT$6),'Lease Cycles'!$C$10*'Lease Cycles'!$BA$10/12,IF(AND('Lease Cycles'!$AX$10&gt;=INDEX('Lease Cycles'!$BG$10:$BM$10,1,AT44),'Lease Cycles'!$AX$10&lt;=AT$6),'Lease Cycles'!$C$10*'Lease Cycles'!$AY$10/12,IF(AND('Lease Cycles'!$AV$10&gt;=INDEX('Lease Cycles'!$BG$10:$BM$10,1,AT44),'Lease Cycles'!$AV$10&lt;=AT$6),'Lease Cycles'!$C$10*'Lease Cycles'!$AW$10/12,IF(AND('Lease Cycles'!$AT$10&gt;=INDEX('Lease Cycles'!$BG$10:$BM$10,1,AT44),'Lease Cycles'!$AT$10&lt;=AT$6),'Lease Cycles'!$C$10*'Lease Cycles'!$AU$10/12,'Lease Cycles'!$C$10*INDEX('Lease Cycles'!$CB$10:$CH$10,1,AT44)*(1+INDEX('Lease Cycles'!$CI$10:$CO$10,1,AT44))^INT(INT(AT45/12)/INDEX('Lease Cycles'!$CP$10:$CV$10,1,AT44))/12)))),'Lease Cycles'!$C$10*INDEX('Lease Cycles'!$CB$10:$CH$10,1,AT44)*(1+INDEX('Lease Cycles'!$CI$10:$CO$10,1,AT44))^INT(INT(AT45/12)/INDEX('Lease Cycles'!$CP$10:$CV$10,1,AT44))/12))),IF('Lease Cycles'!$N$10=1,'Lease Cycles'!$C$10*'Lease Cycles'!$E$10*INDEX('Lease Cycles'!$HE$10:$HK$10,1,AT44)*(1+INDEX('Lease Cycles'!$GQ$10:$GW$10,1,AT44))^INT(INT((AT$6-INDEX('Lease Cycles'!$GJ$10:$GP$10,1,AT44))/12)/INDEX('Lease Cycles'!$GX$10:$HD$10,1,AT44))/12,0)))</f>
        <v>8000</v>
      </c>
      <c r="AU47" s="28">
        <f>IF(AU44=0,IF('Lease Cycles'!$F$10&gt;0,'Lease Cycles'!$C$10*'Lease Cycles'!$E$10/12,0),IF(AU46=1,IF('Lease Cycles'!$AT$10&gt;=9999,'Lease Cycles'!$C$10*INDEX('Lease Cycles'!$CB$10:$CH$10,1,AU44)*(1+INDEX('Lease Cycles'!$CI$10:$CO$10,1,AU44))^INT(INT(AU45/12)/INDEX('Lease Cycles'!$CP$10:$CV$10,1,AU44))/12,IF(AU44=1,IF(AU45&gt;=INDEX('Lease Cycles'!$DK$10:$DQ$10,1,AU44),IF(AU$6&gt;='Lease Cycles'!$AZ$10,'Lease Cycles'!$C$10*'Lease Cycles'!$BA$10/12,IF(AU$6&gt;='Lease Cycles'!$AX$10,'Lease Cycles'!$C$10*'Lease Cycles'!$AY$10/12,IF(AU$6&gt;='Lease Cycles'!$AV$10,'Lease Cycles'!$C$10*'Lease Cycles'!$AW$10/12,IF(AU$6&gt;='Lease Cycles'!$AT$10,'Lease Cycles'!$C$10*'Lease Cycles'!$AU$10/12,'Lease Cycles'!$C$10*INDEX('Lease Cycles'!$CB$10:$CH$10,1,AU44)*(1+INDEX('Lease Cycles'!$CI$10:$CO$10,1,AU44))^INT(INT(AU45/12)/INDEX('Lease Cycles'!$CP$10:$CV$10,1,AU44))/12)))),'Lease Cycles'!$C$10*INDEX('Lease Cycles'!$CB$10:$CH$10,1,AU44)*(1+INDEX('Lease Cycles'!$CI$10:$CO$10,1,AU44))^INT(INT(AU45/12)/INDEX('Lease Cycles'!$CP$10:$CV$10,1,AU44))/12),IF(INDEX('Lease Cycles'!$EF$10:$EL$10,1,AU44)=1,IF(AND('Lease Cycles'!$AZ$10&gt;=INDEX('Lease Cycles'!$BG$10:$BM$10,1,AU44),'Lease Cycles'!$AZ$10&lt;=AU$6),'Lease Cycles'!$C$10*'Lease Cycles'!$BA$10/12,IF(AND('Lease Cycles'!$AX$10&gt;=INDEX('Lease Cycles'!$BG$10:$BM$10,1,AU44),'Lease Cycles'!$AX$10&lt;=AU$6),'Lease Cycles'!$C$10*'Lease Cycles'!$AY$10/12,IF(AND('Lease Cycles'!$AV$10&gt;=INDEX('Lease Cycles'!$BG$10:$BM$10,1,AU44),'Lease Cycles'!$AV$10&lt;=AU$6),'Lease Cycles'!$C$10*'Lease Cycles'!$AW$10/12,IF(AND('Lease Cycles'!$AT$10&gt;=INDEX('Lease Cycles'!$BG$10:$BM$10,1,AU44),'Lease Cycles'!$AT$10&lt;=AU$6),'Lease Cycles'!$C$10*'Lease Cycles'!$AU$10/12,'Lease Cycles'!$C$10*INDEX('Lease Cycles'!$CB$10:$CH$10,1,AU44)*(1+INDEX('Lease Cycles'!$CI$10:$CO$10,1,AU44))^INT(INT(AU45/12)/INDEX('Lease Cycles'!$CP$10:$CV$10,1,AU44))/12)))),'Lease Cycles'!$C$10*INDEX('Lease Cycles'!$CB$10:$CH$10,1,AU44)*(1+INDEX('Lease Cycles'!$CI$10:$CO$10,1,AU44))^INT(INT(AU45/12)/INDEX('Lease Cycles'!$CP$10:$CV$10,1,AU44))/12))),IF('Lease Cycles'!$N$10=1,'Lease Cycles'!$C$10*'Lease Cycles'!$E$10*INDEX('Lease Cycles'!$HE$10:$HK$10,1,AU44)*(1+INDEX('Lease Cycles'!$GQ$10:$GW$10,1,AU44))^INT(INT((AU$6-INDEX('Lease Cycles'!$GJ$10:$GP$10,1,AU44))/12)/INDEX('Lease Cycles'!$GX$10:$HD$10,1,AU44))/12,0)))</f>
        <v>8000</v>
      </c>
      <c r="AV47" s="28">
        <f>IF(AV44=0,IF('Lease Cycles'!$F$10&gt;0,'Lease Cycles'!$C$10*'Lease Cycles'!$E$10/12,0),IF(AV46=1,IF('Lease Cycles'!$AT$10&gt;=9999,'Lease Cycles'!$C$10*INDEX('Lease Cycles'!$CB$10:$CH$10,1,AV44)*(1+INDEX('Lease Cycles'!$CI$10:$CO$10,1,AV44))^INT(INT(AV45/12)/INDEX('Lease Cycles'!$CP$10:$CV$10,1,AV44))/12,IF(AV44=1,IF(AV45&gt;=INDEX('Lease Cycles'!$DK$10:$DQ$10,1,AV44),IF(AV$6&gt;='Lease Cycles'!$AZ$10,'Lease Cycles'!$C$10*'Lease Cycles'!$BA$10/12,IF(AV$6&gt;='Lease Cycles'!$AX$10,'Lease Cycles'!$C$10*'Lease Cycles'!$AY$10/12,IF(AV$6&gt;='Lease Cycles'!$AV$10,'Lease Cycles'!$C$10*'Lease Cycles'!$AW$10/12,IF(AV$6&gt;='Lease Cycles'!$AT$10,'Lease Cycles'!$C$10*'Lease Cycles'!$AU$10/12,'Lease Cycles'!$C$10*INDEX('Lease Cycles'!$CB$10:$CH$10,1,AV44)*(1+INDEX('Lease Cycles'!$CI$10:$CO$10,1,AV44))^INT(INT(AV45/12)/INDEX('Lease Cycles'!$CP$10:$CV$10,1,AV44))/12)))),'Lease Cycles'!$C$10*INDEX('Lease Cycles'!$CB$10:$CH$10,1,AV44)*(1+INDEX('Lease Cycles'!$CI$10:$CO$10,1,AV44))^INT(INT(AV45/12)/INDEX('Lease Cycles'!$CP$10:$CV$10,1,AV44))/12),IF(INDEX('Lease Cycles'!$EF$10:$EL$10,1,AV44)=1,IF(AND('Lease Cycles'!$AZ$10&gt;=INDEX('Lease Cycles'!$BG$10:$BM$10,1,AV44),'Lease Cycles'!$AZ$10&lt;=AV$6),'Lease Cycles'!$C$10*'Lease Cycles'!$BA$10/12,IF(AND('Lease Cycles'!$AX$10&gt;=INDEX('Lease Cycles'!$BG$10:$BM$10,1,AV44),'Lease Cycles'!$AX$10&lt;=AV$6),'Lease Cycles'!$C$10*'Lease Cycles'!$AY$10/12,IF(AND('Lease Cycles'!$AV$10&gt;=INDEX('Lease Cycles'!$BG$10:$BM$10,1,AV44),'Lease Cycles'!$AV$10&lt;=AV$6),'Lease Cycles'!$C$10*'Lease Cycles'!$AW$10/12,IF(AND('Lease Cycles'!$AT$10&gt;=INDEX('Lease Cycles'!$BG$10:$BM$10,1,AV44),'Lease Cycles'!$AT$10&lt;=AV$6),'Lease Cycles'!$C$10*'Lease Cycles'!$AU$10/12,'Lease Cycles'!$C$10*INDEX('Lease Cycles'!$CB$10:$CH$10,1,AV44)*(1+INDEX('Lease Cycles'!$CI$10:$CO$10,1,AV44))^INT(INT(AV45/12)/INDEX('Lease Cycles'!$CP$10:$CV$10,1,AV44))/12)))),'Lease Cycles'!$C$10*INDEX('Lease Cycles'!$CB$10:$CH$10,1,AV44)*(1+INDEX('Lease Cycles'!$CI$10:$CO$10,1,AV44))^INT(INT(AV45/12)/INDEX('Lease Cycles'!$CP$10:$CV$10,1,AV44))/12))),IF('Lease Cycles'!$N$10=1,'Lease Cycles'!$C$10*'Lease Cycles'!$E$10*INDEX('Lease Cycles'!$HE$10:$HK$10,1,AV44)*(1+INDEX('Lease Cycles'!$GQ$10:$GW$10,1,AV44))^INT(INT((AV$6-INDEX('Lease Cycles'!$GJ$10:$GP$10,1,AV44))/12)/INDEX('Lease Cycles'!$GX$10:$HD$10,1,AV44))/12,0)))</f>
        <v>8000</v>
      </c>
      <c r="AW47" s="28">
        <f>IF(AW44=0,IF('Lease Cycles'!$F$10&gt;0,'Lease Cycles'!$C$10*'Lease Cycles'!$E$10/12,0),IF(AW46=1,IF('Lease Cycles'!$AT$10&gt;=9999,'Lease Cycles'!$C$10*INDEX('Lease Cycles'!$CB$10:$CH$10,1,AW44)*(1+INDEX('Lease Cycles'!$CI$10:$CO$10,1,AW44))^INT(INT(AW45/12)/INDEX('Lease Cycles'!$CP$10:$CV$10,1,AW44))/12,IF(AW44=1,IF(AW45&gt;=INDEX('Lease Cycles'!$DK$10:$DQ$10,1,AW44),IF(AW$6&gt;='Lease Cycles'!$AZ$10,'Lease Cycles'!$C$10*'Lease Cycles'!$BA$10/12,IF(AW$6&gt;='Lease Cycles'!$AX$10,'Lease Cycles'!$C$10*'Lease Cycles'!$AY$10/12,IF(AW$6&gt;='Lease Cycles'!$AV$10,'Lease Cycles'!$C$10*'Lease Cycles'!$AW$10/12,IF(AW$6&gt;='Lease Cycles'!$AT$10,'Lease Cycles'!$C$10*'Lease Cycles'!$AU$10/12,'Lease Cycles'!$C$10*INDEX('Lease Cycles'!$CB$10:$CH$10,1,AW44)*(1+INDEX('Lease Cycles'!$CI$10:$CO$10,1,AW44))^INT(INT(AW45/12)/INDEX('Lease Cycles'!$CP$10:$CV$10,1,AW44))/12)))),'Lease Cycles'!$C$10*INDEX('Lease Cycles'!$CB$10:$CH$10,1,AW44)*(1+INDEX('Lease Cycles'!$CI$10:$CO$10,1,AW44))^INT(INT(AW45/12)/INDEX('Lease Cycles'!$CP$10:$CV$10,1,AW44))/12),IF(INDEX('Lease Cycles'!$EF$10:$EL$10,1,AW44)=1,IF(AND('Lease Cycles'!$AZ$10&gt;=INDEX('Lease Cycles'!$BG$10:$BM$10,1,AW44),'Lease Cycles'!$AZ$10&lt;=AW$6),'Lease Cycles'!$C$10*'Lease Cycles'!$BA$10/12,IF(AND('Lease Cycles'!$AX$10&gt;=INDEX('Lease Cycles'!$BG$10:$BM$10,1,AW44),'Lease Cycles'!$AX$10&lt;=AW$6),'Lease Cycles'!$C$10*'Lease Cycles'!$AY$10/12,IF(AND('Lease Cycles'!$AV$10&gt;=INDEX('Lease Cycles'!$BG$10:$BM$10,1,AW44),'Lease Cycles'!$AV$10&lt;=AW$6),'Lease Cycles'!$C$10*'Lease Cycles'!$AW$10/12,IF(AND('Lease Cycles'!$AT$10&gt;=INDEX('Lease Cycles'!$BG$10:$BM$10,1,AW44),'Lease Cycles'!$AT$10&lt;=AW$6),'Lease Cycles'!$C$10*'Lease Cycles'!$AU$10/12,'Lease Cycles'!$C$10*INDEX('Lease Cycles'!$CB$10:$CH$10,1,AW44)*(1+INDEX('Lease Cycles'!$CI$10:$CO$10,1,AW44))^INT(INT(AW45/12)/INDEX('Lease Cycles'!$CP$10:$CV$10,1,AW44))/12)))),'Lease Cycles'!$C$10*INDEX('Lease Cycles'!$CB$10:$CH$10,1,AW44)*(1+INDEX('Lease Cycles'!$CI$10:$CO$10,1,AW44))^INT(INT(AW45/12)/INDEX('Lease Cycles'!$CP$10:$CV$10,1,AW44))/12))),IF('Lease Cycles'!$N$10=1,'Lease Cycles'!$C$10*'Lease Cycles'!$E$10*INDEX('Lease Cycles'!$HE$10:$HK$10,1,AW44)*(1+INDEX('Lease Cycles'!$GQ$10:$GW$10,1,AW44))^INT(INT((AW$6-INDEX('Lease Cycles'!$GJ$10:$GP$10,1,AW44))/12)/INDEX('Lease Cycles'!$GX$10:$HD$10,1,AW44))/12,0)))</f>
        <v>8000</v>
      </c>
      <c r="AX47" s="28">
        <f>IF(AX44=0,IF('Lease Cycles'!$F$10&gt;0,'Lease Cycles'!$C$10*'Lease Cycles'!$E$10/12,0),IF(AX46=1,IF('Lease Cycles'!$AT$10&gt;=9999,'Lease Cycles'!$C$10*INDEX('Lease Cycles'!$CB$10:$CH$10,1,AX44)*(1+INDEX('Lease Cycles'!$CI$10:$CO$10,1,AX44))^INT(INT(AX45/12)/INDEX('Lease Cycles'!$CP$10:$CV$10,1,AX44))/12,IF(AX44=1,IF(AX45&gt;=INDEX('Lease Cycles'!$DK$10:$DQ$10,1,AX44),IF(AX$6&gt;='Lease Cycles'!$AZ$10,'Lease Cycles'!$C$10*'Lease Cycles'!$BA$10/12,IF(AX$6&gt;='Lease Cycles'!$AX$10,'Lease Cycles'!$C$10*'Lease Cycles'!$AY$10/12,IF(AX$6&gt;='Lease Cycles'!$AV$10,'Lease Cycles'!$C$10*'Lease Cycles'!$AW$10/12,IF(AX$6&gt;='Lease Cycles'!$AT$10,'Lease Cycles'!$C$10*'Lease Cycles'!$AU$10/12,'Lease Cycles'!$C$10*INDEX('Lease Cycles'!$CB$10:$CH$10,1,AX44)*(1+INDEX('Lease Cycles'!$CI$10:$CO$10,1,AX44))^INT(INT(AX45/12)/INDEX('Lease Cycles'!$CP$10:$CV$10,1,AX44))/12)))),'Lease Cycles'!$C$10*INDEX('Lease Cycles'!$CB$10:$CH$10,1,AX44)*(1+INDEX('Lease Cycles'!$CI$10:$CO$10,1,AX44))^INT(INT(AX45/12)/INDEX('Lease Cycles'!$CP$10:$CV$10,1,AX44))/12),IF(INDEX('Lease Cycles'!$EF$10:$EL$10,1,AX44)=1,IF(AND('Lease Cycles'!$AZ$10&gt;=INDEX('Lease Cycles'!$BG$10:$BM$10,1,AX44),'Lease Cycles'!$AZ$10&lt;=AX$6),'Lease Cycles'!$C$10*'Lease Cycles'!$BA$10/12,IF(AND('Lease Cycles'!$AX$10&gt;=INDEX('Lease Cycles'!$BG$10:$BM$10,1,AX44),'Lease Cycles'!$AX$10&lt;=AX$6),'Lease Cycles'!$C$10*'Lease Cycles'!$AY$10/12,IF(AND('Lease Cycles'!$AV$10&gt;=INDEX('Lease Cycles'!$BG$10:$BM$10,1,AX44),'Lease Cycles'!$AV$10&lt;=AX$6),'Lease Cycles'!$C$10*'Lease Cycles'!$AW$10/12,IF(AND('Lease Cycles'!$AT$10&gt;=INDEX('Lease Cycles'!$BG$10:$BM$10,1,AX44),'Lease Cycles'!$AT$10&lt;=AX$6),'Lease Cycles'!$C$10*'Lease Cycles'!$AU$10/12,'Lease Cycles'!$C$10*INDEX('Lease Cycles'!$CB$10:$CH$10,1,AX44)*(1+INDEX('Lease Cycles'!$CI$10:$CO$10,1,AX44))^INT(INT(AX45/12)/INDEX('Lease Cycles'!$CP$10:$CV$10,1,AX44))/12)))),'Lease Cycles'!$C$10*INDEX('Lease Cycles'!$CB$10:$CH$10,1,AX44)*(1+INDEX('Lease Cycles'!$CI$10:$CO$10,1,AX44))^INT(INT(AX45/12)/INDEX('Lease Cycles'!$CP$10:$CV$10,1,AX44))/12))),IF('Lease Cycles'!$N$10=1,'Lease Cycles'!$C$10*'Lease Cycles'!$E$10*INDEX('Lease Cycles'!$HE$10:$HK$10,1,AX44)*(1+INDEX('Lease Cycles'!$GQ$10:$GW$10,1,AX44))^INT(INT((AX$6-INDEX('Lease Cycles'!$GJ$10:$GP$10,1,AX44))/12)/INDEX('Lease Cycles'!$GX$10:$HD$10,1,AX44))/12,0)))</f>
        <v>8000</v>
      </c>
      <c r="AY47" s="28">
        <f>IF(AY44=0,IF('Lease Cycles'!$F$10&gt;0,'Lease Cycles'!$C$10*'Lease Cycles'!$E$10/12,0),IF(AY46=1,IF('Lease Cycles'!$AT$10&gt;=9999,'Lease Cycles'!$C$10*INDEX('Lease Cycles'!$CB$10:$CH$10,1,AY44)*(1+INDEX('Lease Cycles'!$CI$10:$CO$10,1,AY44))^INT(INT(AY45/12)/INDEX('Lease Cycles'!$CP$10:$CV$10,1,AY44))/12,IF(AY44=1,IF(AY45&gt;=INDEX('Lease Cycles'!$DK$10:$DQ$10,1,AY44),IF(AY$6&gt;='Lease Cycles'!$AZ$10,'Lease Cycles'!$C$10*'Lease Cycles'!$BA$10/12,IF(AY$6&gt;='Lease Cycles'!$AX$10,'Lease Cycles'!$C$10*'Lease Cycles'!$AY$10/12,IF(AY$6&gt;='Lease Cycles'!$AV$10,'Lease Cycles'!$C$10*'Lease Cycles'!$AW$10/12,IF(AY$6&gt;='Lease Cycles'!$AT$10,'Lease Cycles'!$C$10*'Lease Cycles'!$AU$10/12,'Lease Cycles'!$C$10*INDEX('Lease Cycles'!$CB$10:$CH$10,1,AY44)*(1+INDEX('Lease Cycles'!$CI$10:$CO$10,1,AY44))^INT(INT(AY45/12)/INDEX('Lease Cycles'!$CP$10:$CV$10,1,AY44))/12)))),'Lease Cycles'!$C$10*INDEX('Lease Cycles'!$CB$10:$CH$10,1,AY44)*(1+INDEX('Lease Cycles'!$CI$10:$CO$10,1,AY44))^INT(INT(AY45/12)/INDEX('Lease Cycles'!$CP$10:$CV$10,1,AY44))/12),IF(INDEX('Lease Cycles'!$EF$10:$EL$10,1,AY44)=1,IF(AND('Lease Cycles'!$AZ$10&gt;=INDEX('Lease Cycles'!$BG$10:$BM$10,1,AY44),'Lease Cycles'!$AZ$10&lt;=AY$6),'Lease Cycles'!$C$10*'Lease Cycles'!$BA$10/12,IF(AND('Lease Cycles'!$AX$10&gt;=INDEX('Lease Cycles'!$BG$10:$BM$10,1,AY44),'Lease Cycles'!$AX$10&lt;=AY$6),'Lease Cycles'!$C$10*'Lease Cycles'!$AY$10/12,IF(AND('Lease Cycles'!$AV$10&gt;=INDEX('Lease Cycles'!$BG$10:$BM$10,1,AY44),'Lease Cycles'!$AV$10&lt;=AY$6),'Lease Cycles'!$C$10*'Lease Cycles'!$AW$10/12,IF(AND('Lease Cycles'!$AT$10&gt;=INDEX('Lease Cycles'!$BG$10:$BM$10,1,AY44),'Lease Cycles'!$AT$10&lt;=AY$6),'Lease Cycles'!$C$10*'Lease Cycles'!$AU$10/12,'Lease Cycles'!$C$10*INDEX('Lease Cycles'!$CB$10:$CH$10,1,AY44)*(1+INDEX('Lease Cycles'!$CI$10:$CO$10,1,AY44))^INT(INT(AY45/12)/INDEX('Lease Cycles'!$CP$10:$CV$10,1,AY44))/12)))),'Lease Cycles'!$C$10*INDEX('Lease Cycles'!$CB$10:$CH$10,1,AY44)*(1+INDEX('Lease Cycles'!$CI$10:$CO$10,1,AY44))^INT(INT(AY45/12)/INDEX('Lease Cycles'!$CP$10:$CV$10,1,AY44))/12))),IF('Lease Cycles'!$N$10=1,'Lease Cycles'!$C$10*'Lease Cycles'!$E$10*INDEX('Lease Cycles'!$HE$10:$HK$10,1,AY44)*(1+INDEX('Lease Cycles'!$GQ$10:$GW$10,1,AY44))^INT(INT((AY$6-INDEX('Lease Cycles'!$GJ$10:$GP$10,1,AY44))/12)/INDEX('Lease Cycles'!$GX$10:$HD$10,1,AY44))/12,0)))</f>
        <v>8000</v>
      </c>
      <c r="AZ47" s="28">
        <f>IF(AZ44=0,IF('Lease Cycles'!$F$10&gt;0,'Lease Cycles'!$C$10*'Lease Cycles'!$E$10/12,0),IF(AZ46=1,IF('Lease Cycles'!$AT$10&gt;=9999,'Lease Cycles'!$C$10*INDEX('Lease Cycles'!$CB$10:$CH$10,1,AZ44)*(1+INDEX('Lease Cycles'!$CI$10:$CO$10,1,AZ44))^INT(INT(AZ45/12)/INDEX('Lease Cycles'!$CP$10:$CV$10,1,AZ44))/12,IF(AZ44=1,IF(AZ45&gt;=INDEX('Lease Cycles'!$DK$10:$DQ$10,1,AZ44),IF(AZ$6&gt;='Lease Cycles'!$AZ$10,'Lease Cycles'!$C$10*'Lease Cycles'!$BA$10/12,IF(AZ$6&gt;='Lease Cycles'!$AX$10,'Lease Cycles'!$C$10*'Lease Cycles'!$AY$10/12,IF(AZ$6&gt;='Lease Cycles'!$AV$10,'Lease Cycles'!$C$10*'Lease Cycles'!$AW$10/12,IF(AZ$6&gt;='Lease Cycles'!$AT$10,'Lease Cycles'!$C$10*'Lease Cycles'!$AU$10/12,'Lease Cycles'!$C$10*INDEX('Lease Cycles'!$CB$10:$CH$10,1,AZ44)*(1+INDEX('Lease Cycles'!$CI$10:$CO$10,1,AZ44))^INT(INT(AZ45/12)/INDEX('Lease Cycles'!$CP$10:$CV$10,1,AZ44))/12)))),'Lease Cycles'!$C$10*INDEX('Lease Cycles'!$CB$10:$CH$10,1,AZ44)*(1+INDEX('Lease Cycles'!$CI$10:$CO$10,1,AZ44))^INT(INT(AZ45/12)/INDEX('Lease Cycles'!$CP$10:$CV$10,1,AZ44))/12),IF(INDEX('Lease Cycles'!$EF$10:$EL$10,1,AZ44)=1,IF(AND('Lease Cycles'!$AZ$10&gt;=INDEX('Lease Cycles'!$BG$10:$BM$10,1,AZ44),'Lease Cycles'!$AZ$10&lt;=AZ$6),'Lease Cycles'!$C$10*'Lease Cycles'!$BA$10/12,IF(AND('Lease Cycles'!$AX$10&gt;=INDEX('Lease Cycles'!$BG$10:$BM$10,1,AZ44),'Lease Cycles'!$AX$10&lt;=AZ$6),'Lease Cycles'!$C$10*'Lease Cycles'!$AY$10/12,IF(AND('Lease Cycles'!$AV$10&gt;=INDEX('Lease Cycles'!$BG$10:$BM$10,1,AZ44),'Lease Cycles'!$AV$10&lt;=AZ$6),'Lease Cycles'!$C$10*'Lease Cycles'!$AW$10/12,IF(AND('Lease Cycles'!$AT$10&gt;=INDEX('Lease Cycles'!$BG$10:$BM$10,1,AZ44),'Lease Cycles'!$AT$10&lt;=AZ$6),'Lease Cycles'!$C$10*'Lease Cycles'!$AU$10/12,'Lease Cycles'!$C$10*INDEX('Lease Cycles'!$CB$10:$CH$10,1,AZ44)*(1+INDEX('Lease Cycles'!$CI$10:$CO$10,1,AZ44))^INT(INT(AZ45/12)/INDEX('Lease Cycles'!$CP$10:$CV$10,1,AZ44))/12)))),'Lease Cycles'!$C$10*INDEX('Lease Cycles'!$CB$10:$CH$10,1,AZ44)*(1+INDEX('Lease Cycles'!$CI$10:$CO$10,1,AZ44))^INT(INT(AZ45/12)/INDEX('Lease Cycles'!$CP$10:$CV$10,1,AZ44))/12))),IF('Lease Cycles'!$N$10=1,'Lease Cycles'!$C$10*'Lease Cycles'!$E$10*INDEX('Lease Cycles'!$HE$10:$HK$10,1,AZ44)*(1+INDEX('Lease Cycles'!$GQ$10:$GW$10,1,AZ44))^INT(INT((AZ$6-INDEX('Lease Cycles'!$GJ$10:$GP$10,1,AZ44))/12)/INDEX('Lease Cycles'!$GX$10:$HD$10,1,AZ44))/12,0)))</f>
        <v>8000</v>
      </c>
      <c r="BA47" s="28">
        <f>IF(BA44=0,IF('Lease Cycles'!$F$10&gt;0,'Lease Cycles'!$C$10*'Lease Cycles'!$E$10/12,0),IF(BA46=1,IF('Lease Cycles'!$AT$10&gt;=9999,'Lease Cycles'!$C$10*INDEX('Lease Cycles'!$CB$10:$CH$10,1,BA44)*(1+INDEX('Lease Cycles'!$CI$10:$CO$10,1,BA44))^INT(INT(BA45/12)/INDEX('Lease Cycles'!$CP$10:$CV$10,1,BA44))/12,IF(BA44=1,IF(BA45&gt;=INDEX('Lease Cycles'!$DK$10:$DQ$10,1,BA44),IF(BA$6&gt;='Lease Cycles'!$AZ$10,'Lease Cycles'!$C$10*'Lease Cycles'!$BA$10/12,IF(BA$6&gt;='Lease Cycles'!$AX$10,'Lease Cycles'!$C$10*'Lease Cycles'!$AY$10/12,IF(BA$6&gt;='Lease Cycles'!$AV$10,'Lease Cycles'!$C$10*'Lease Cycles'!$AW$10/12,IF(BA$6&gt;='Lease Cycles'!$AT$10,'Lease Cycles'!$C$10*'Lease Cycles'!$AU$10/12,'Lease Cycles'!$C$10*INDEX('Lease Cycles'!$CB$10:$CH$10,1,BA44)*(1+INDEX('Lease Cycles'!$CI$10:$CO$10,1,BA44))^INT(INT(BA45/12)/INDEX('Lease Cycles'!$CP$10:$CV$10,1,BA44))/12)))),'Lease Cycles'!$C$10*INDEX('Lease Cycles'!$CB$10:$CH$10,1,BA44)*(1+INDEX('Lease Cycles'!$CI$10:$CO$10,1,BA44))^INT(INT(BA45/12)/INDEX('Lease Cycles'!$CP$10:$CV$10,1,BA44))/12),IF(INDEX('Lease Cycles'!$EF$10:$EL$10,1,BA44)=1,IF(AND('Lease Cycles'!$AZ$10&gt;=INDEX('Lease Cycles'!$BG$10:$BM$10,1,BA44),'Lease Cycles'!$AZ$10&lt;=BA$6),'Lease Cycles'!$C$10*'Lease Cycles'!$BA$10/12,IF(AND('Lease Cycles'!$AX$10&gt;=INDEX('Lease Cycles'!$BG$10:$BM$10,1,BA44),'Lease Cycles'!$AX$10&lt;=BA$6),'Lease Cycles'!$C$10*'Lease Cycles'!$AY$10/12,IF(AND('Lease Cycles'!$AV$10&gt;=INDEX('Lease Cycles'!$BG$10:$BM$10,1,BA44),'Lease Cycles'!$AV$10&lt;=BA$6),'Lease Cycles'!$C$10*'Lease Cycles'!$AW$10/12,IF(AND('Lease Cycles'!$AT$10&gt;=INDEX('Lease Cycles'!$BG$10:$BM$10,1,BA44),'Lease Cycles'!$AT$10&lt;=BA$6),'Lease Cycles'!$C$10*'Lease Cycles'!$AU$10/12,'Lease Cycles'!$C$10*INDEX('Lease Cycles'!$CB$10:$CH$10,1,BA44)*(1+INDEX('Lease Cycles'!$CI$10:$CO$10,1,BA44))^INT(INT(BA45/12)/INDEX('Lease Cycles'!$CP$10:$CV$10,1,BA44))/12)))),'Lease Cycles'!$C$10*INDEX('Lease Cycles'!$CB$10:$CH$10,1,BA44)*(1+INDEX('Lease Cycles'!$CI$10:$CO$10,1,BA44))^INT(INT(BA45/12)/INDEX('Lease Cycles'!$CP$10:$CV$10,1,BA44))/12))),IF('Lease Cycles'!$N$10=1,'Lease Cycles'!$C$10*'Lease Cycles'!$E$10*INDEX('Lease Cycles'!$HE$10:$HK$10,1,BA44)*(1+INDEX('Lease Cycles'!$GQ$10:$GW$10,1,BA44))^INT(INT((BA$6-INDEX('Lease Cycles'!$GJ$10:$GP$10,1,BA44))/12)/INDEX('Lease Cycles'!$GX$10:$HD$10,1,BA44))/12,0)))</f>
        <v>8000</v>
      </c>
      <c r="BB47" s="28">
        <f>IF(BB44=0,IF('Lease Cycles'!$F$10&gt;0,'Lease Cycles'!$C$10*'Lease Cycles'!$E$10/12,0),IF(BB46=1,IF('Lease Cycles'!$AT$10&gt;=9999,'Lease Cycles'!$C$10*INDEX('Lease Cycles'!$CB$10:$CH$10,1,BB44)*(1+INDEX('Lease Cycles'!$CI$10:$CO$10,1,BB44))^INT(INT(BB45/12)/INDEX('Lease Cycles'!$CP$10:$CV$10,1,BB44))/12,IF(BB44=1,IF(BB45&gt;=INDEX('Lease Cycles'!$DK$10:$DQ$10,1,BB44),IF(BB$6&gt;='Lease Cycles'!$AZ$10,'Lease Cycles'!$C$10*'Lease Cycles'!$BA$10/12,IF(BB$6&gt;='Lease Cycles'!$AX$10,'Lease Cycles'!$C$10*'Lease Cycles'!$AY$10/12,IF(BB$6&gt;='Lease Cycles'!$AV$10,'Lease Cycles'!$C$10*'Lease Cycles'!$AW$10/12,IF(BB$6&gt;='Lease Cycles'!$AT$10,'Lease Cycles'!$C$10*'Lease Cycles'!$AU$10/12,'Lease Cycles'!$C$10*INDEX('Lease Cycles'!$CB$10:$CH$10,1,BB44)*(1+INDEX('Lease Cycles'!$CI$10:$CO$10,1,BB44))^INT(INT(BB45/12)/INDEX('Lease Cycles'!$CP$10:$CV$10,1,BB44))/12)))),'Lease Cycles'!$C$10*INDEX('Lease Cycles'!$CB$10:$CH$10,1,BB44)*(1+INDEX('Lease Cycles'!$CI$10:$CO$10,1,BB44))^INT(INT(BB45/12)/INDEX('Lease Cycles'!$CP$10:$CV$10,1,BB44))/12),IF(INDEX('Lease Cycles'!$EF$10:$EL$10,1,BB44)=1,IF(AND('Lease Cycles'!$AZ$10&gt;=INDEX('Lease Cycles'!$BG$10:$BM$10,1,BB44),'Lease Cycles'!$AZ$10&lt;=BB$6),'Lease Cycles'!$C$10*'Lease Cycles'!$BA$10/12,IF(AND('Lease Cycles'!$AX$10&gt;=INDEX('Lease Cycles'!$BG$10:$BM$10,1,BB44),'Lease Cycles'!$AX$10&lt;=BB$6),'Lease Cycles'!$C$10*'Lease Cycles'!$AY$10/12,IF(AND('Lease Cycles'!$AV$10&gt;=INDEX('Lease Cycles'!$BG$10:$BM$10,1,BB44),'Lease Cycles'!$AV$10&lt;=BB$6),'Lease Cycles'!$C$10*'Lease Cycles'!$AW$10/12,IF(AND('Lease Cycles'!$AT$10&gt;=INDEX('Lease Cycles'!$BG$10:$BM$10,1,BB44),'Lease Cycles'!$AT$10&lt;=BB$6),'Lease Cycles'!$C$10*'Lease Cycles'!$AU$10/12,'Lease Cycles'!$C$10*INDEX('Lease Cycles'!$CB$10:$CH$10,1,BB44)*(1+INDEX('Lease Cycles'!$CI$10:$CO$10,1,BB44))^INT(INT(BB45/12)/INDEX('Lease Cycles'!$CP$10:$CV$10,1,BB44))/12)))),'Lease Cycles'!$C$10*INDEX('Lease Cycles'!$CB$10:$CH$10,1,BB44)*(1+INDEX('Lease Cycles'!$CI$10:$CO$10,1,BB44))^INT(INT(BB45/12)/INDEX('Lease Cycles'!$CP$10:$CV$10,1,BB44))/12))),IF('Lease Cycles'!$N$10=1,'Lease Cycles'!$C$10*'Lease Cycles'!$E$10*INDEX('Lease Cycles'!$HE$10:$HK$10,1,BB44)*(1+INDEX('Lease Cycles'!$GQ$10:$GW$10,1,BB44))^INT(INT((BB$6-INDEX('Lease Cycles'!$GJ$10:$GP$10,1,BB44))/12)/INDEX('Lease Cycles'!$GX$10:$HD$10,1,BB44))/12,0)))</f>
        <v>8000</v>
      </c>
      <c r="BC47" s="28">
        <f>IF(BC44=0,IF('Lease Cycles'!$F$10&gt;0,'Lease Cycles'!$C$10*'Lease Cycles'!$E$10/12,0),IF(BC46=1,IF('Lease Cycles'!$AT$10&gt;=9999,'Lease Cycles'!$C$10*INDEX('Lease Cycles'!$CB$10:$CH$10,1,BC44)*(1+INDEX('Lease Cycles'!$CI$10:$CO$10,1,BC44))^INT(INT(BC45/12)/INDEX('Lease Cycles'!$CP$10:$CV$10,1,BC44))/12,IF(BC44=1,IF(BC45&gt;=INDEX('Lease Cycles'!$DK$10:$DQ$10,1,BC44),IF(BC$6&gt;='Lease Cycles'!$AZ$10,'Lease Cycles'!$C$10*'Lease Cycles'!$BA$10/12,IF(BC$6&gt;='Lease Cycles'!$AX$10,'Lease Cycles'!$C$10*'Lease Cycles'!$AY$10/12,IF(BC$6&gt;='Lease Cycles'!$AV$10,'Lease Cycles'!$C$10*'Lease Cycles'!$AW$10/12,IF(BC$6&gt;='Lease Cycles'!$AT$10,'Lease Cycles'!$C$10*'Lease Cycles'!$AU$10/12,'Lease Cycles'!$C$10*INDEX('Lease Cycles'!$CB$10:$CH$10,1,BC44)*(1+INDEX('Lease Cycles'!$CI$10:$CO$10,1,BC44))^INT(INT(BC45/12)/INDEX('Lease Cycles'!$CP$10:$CV$10,1,BC44))/12)))),'Lease Cycles'!$C$10*INDEX('Lease Cycles'!$CB$10:$CH$10,1,BC44)*(1+INDEX('Lease Cycles'!$CI$10:$CO$10,1,BC44))^INT(INT(BC45/12)/INDEX('Lease Cycles'!$CP$10:$CV$10,1,BC44))/12),IF(INDEX('Lease Cycles'!$EF$10:$EL$10,1,BC44)=1,IF(AND('Lease Cycles'!$AZ$10&gt;=INDEX('Lease Cycles'!$BG$10:$BM$10,1,BC44),'Lease Cycles'!$AZ$10&lt;=BC$6),'Lease Cycles'!$C$10*'Lease Cycles'!$BA$10/12,IF(AND('Lease Cycles'!$AX$10&gt;=INDEX('Lease Cycles'!$BG$10:$BM$10,1,BC44),'Lease Cycles'!$AX$10&lt;=BC$6),'Lease Cycles'!$C$10*'Lease Cycles'!$AY$10/12,IF(AND('Lease Cycles'!$AV$10&gt;=INDEX('Lease Cycles'!$BG$10:$BM$10,1,BC44),'Lease Cycles'!$AV$10&lt;=BC$6),'Lease Cycles'!$C$10*'Lease Cycles'!$AW$10/12,IF(AND('Lease Cycles'!$AT$10&gt;=INDEX('Lease Cycles'!$BG$10:$BM$10,1,BC44),'Lease Cycles'!$AT$10&lt;=BC$6),'Lease Cycles'!$C$10*'Lease Cycles'!$AU$10/12,'Lease Cycles'!$C$10*INDEX('Lease Cycles'!$CB$10:$CH$10,1,BC44)*(1+INDEX('Lease Cycles'!$CI$10:$CO$10,1,BC44))^INT(INT(BC45/12)/INDEX('Lease Cycles'!$CP$10:$CV$10,1,BC44))/12)))),'Lease Cycles'!$C$10*INDEX('Lease Cycles'!$CB$10:$CH$10,1,BC44)*(1+INDEX('Lease Cycles'!$CI$10:$CO$10,1,BC44))^INT(INT(BC45/12)/INDEX('Lease Cycles'!$CP$10:$CV$10,1,BC44))/12))),IF('Lease Cycles'!$N$10=1,'Lease Cycles'!$C$10*'Lease Cycles'!$E$10*INDEX('Lease Cycles'!$HE$10:$HK$10,1,BC44)*(1+INDEX('Lease Cycles'!$GQ$10:$GW$10,1,BC44))^INT(INT((BC$6-INDEX('Lease Cycles'!$GJ$10:$GP$10,1,BC44))/12)/INDEX('Lease Cycles'!$GX$10:$HD$10,1,BC44))/12,0)))</f>
        <v>8000</v>
      </c>
      <c r="BD47" s="28">
        <f>IF(BD44=0,IF('Lease Cycles'!$F$10&gt;0,'Lease Cycles'!$C$10*'Lease Cycles'!$E$10/12,0),IF(BD46=1,IF('Lease Cycles'!$AT$10&gt;=9999,'Lease Cycles'!$C$10*INDEX('Lease Cycles'!$CB$10:$CH$10,1,BD44)*(1+INDEX('Lease Cycles'!$CI$10:$CO$10,1,BD44))^INT(INT(BD45/12)/INDEX('Lease Cycles'!$CP$10:$CV$10,1,BD44))/12,IF(BD44=1,IF(BD45&gt;=INDEX('Lease Cycles'!$DK$10:$DQ$10,1,BD44),IF(BD$6&gt;='Lease Cycles'!$AZ$10,'Lease Cycles'!$C$10*'Lease Cycles'!$BA$10/12,IF(BD$6&gt;='Lease Cycles'!$AX$10,'Lease Cycles'!$C$10*'Lease Cycles'!$AY$10/12,IF(BD$6&gt;='Lease Cycles'!$AV$10,'Lease Cycles'!$C$10*'Lease Cycles'!$AW$10/12,IF(BD$6&gt;='Lease Cycles'!$AT$10,'Lease Cycles'!$C$10*'Lease Cycles'!$AU$10/12,'Lease Cycles'!$C$10*INDEX('Lease Cycles'!$CB$10:$CH$10,1,BD44)*(1+INDEX('Lease Cycles'!$CI$10:$CO$10,1,BD44))^INT(INT(BD45/12)/INDEX('Lease Cycles'!$CP$10:$CV$10,1,BD44))/12)))),'Lease Cycles'!$C$10*INDEX('Lease Cycles'!$CB$10:$CH$10,1,BD44)*(1+INDEX('Lease Cycles'!$CI$10:$CO$10,1,BD44))^INT(INT(BD45/12)/INDEX('Lease Cycles'!$CP$10:$CV$10,1,BD44))/12),IF(INDEX('Lease Cycles'!$EF$10:$EL$10,1,BD44)=1,IF(AND('Lease Cycles'!$AZ$10&gt;=INDEX('Lease Cycles'!$BG$10:$BM$10,1,BD44),'Lease Cycles'!$AZ$10&lt;=BD$6),'Lease Cycles'!$C$10*'Lease Cycles'!$BA$10/12,IF(AND('Lease Cycles'!$AX$10&gt;=INDEX('Lease Cycles'!$BG$10:$BM$10,1,BD44),'Lease Cycles'!$AX$10&lt;=BD$6),'Lease Cycles'!$C$10*'Lease Cycles'!$AY$10/12,IF(AND('Lease Cycles'!$AV$10&gt;=INDEX('Lease Cycles'!$BG$10:$BM$10,1,BD44),'Lease Cycles'!$AV$10&lt;=BD$6),'Lease Cycles'!$C$10*'Lease Cycles'!$AW$10/12,IF(AND('Lease Cycles'!$AT$10&gt;=INDEX('Lease Cycles'!$BG$10:$BM$10,1,BD44),'Lease Cycles'!$AT$10&lt;=BD$6),'Lease Cycles'!$C$10*'Lease Cycles'!$AU$10/12,'Lease Cycles'!$C$10*INDEX('Lease Cycles'!$CB$10:$CH$10,1,BD44)*(1+INDEX('Lease Cycles'!$CI$10:$CO$10,1,BD44))^INT(INT(BD45/12)/INDEX('Lease Cycles'!$CP$10:$CV$10,1,BD44))/12)))),'Lease Cycles'!$C$10*INDEX('Lease Cycles'!$CB$10:$CH$10,1,BD44)*(1+INDEX('Lease Cycles'!$CI$10:$CO$10,1,BD44))^INT(INT(BD45/12)/INDEX('Lease Cycles'!$CP$10:$CV$10,1,BD44))/12))),IF('Lease Cycles'!$N$10=1,'Lease Cycles'!$C$10*'Lease Cycles'!$E$10*INDEX('Lease Cycles'!$HE$10:$HK$10,1,BD44)*(1+INDEX('Lease Cycles'!$GQ$10:$GW$10,1,BD44))^INT(INT((BD$6-INDEX('Lease Cycles'!$GJ$10:$GP$10,1,BD44))/12)/INDEX('Lease Cycles'!$GX$10:$HD$10,1,BD44))/12,0)))</f>
        <v>8000</v>
      </c>
      <c r="BE47" s="28">
        <f>IF(BE44=0,IF('Lease Cycles'!$F$10&gt;0,'Lease Cycles'!$C$10*'Lease Cycles'!$E$10/12,0),IF(BE46=1,IF('Lease Cycles'!$AT$10&gt;=9999,'Lease Cycles'!$C$10*INDEX('Lease Cycles'!$CB$10:$CH$10,1,BE44)*(1+INDEX('Lease Cycles'!$CI$10:$CO$10,1,BE44))^INT(INT(BE45/12)/INDEX('Lease Cycles'!$CP$10:$CV$10,1,BE44))/12,IF(BE44=1,IF(BE45&gt;=INDEX('Lease Cycles'!$DK$10:$DQ$10,1,BE44),IF(BE$6&gt;='Lease Cycles'!$AZ$10,'Lease Cycles'!$C$10*'Lease Cycles'!$BA$10/12,IF(BE$6&gt;='Lease Cycles'!$AX$10,'Lease Cycles'!$C$10*'Lease Cycles'!$AY$10/12,IF(BE$6&gt;='Lease Cycles'!$AV$10,'Lease Cycles'!$C$10*'Lease Cycles'!$AW$10/12,IF(BE$6&gt;='Lease Cycles'!$AT$10,'Lease Cycles'!$C$10*'Lease Cycles'!$AU$10/12,'Lease Cycles'!$C$10*INDEX('Lease Cycles'!$CB$10:$CH$10,1,BE44)*(1+INDEX('Lease Cycles'!$CI$10:$CO$10,1,BE44))^INT(INT(BE45/12)/INDEX('Lease Cycles'!$CP$10:$CV$10,1,BE44))/12)))),'Lease Cycles'!$C$10*INDEX('Lease Cycles'!$CB$10:$CH$10,1,BE44)*(1+INDEX('Lease Cycles'!$CI$10:$CO$10,1,BE44))^INT(INT(BE45/12)/INDEX('Lease Cycles'!$CP$10:$CV$10,1,BE44))/12),IF(INDEX('Lease Cycles'!$EF$10:$EL$10,1,BE44)=1,IF(AND('Lease Cycles'!$AZ$10&gt;=INDEX('Lease Cycles'!$BG$10:$BM$10,1,BE44),'Lease Cycles'!$AZ$10&lt;=BE$6),'Lease Cycles'!$C$10*'Lease Cycles'!$BA$10/12,IF(AND('Lease Cycles'!$AX$10&gt;=INDEX('Lease Cycles'!$BG$10:$BM$10,1,BE44),'Lease Cycles'!$AX$10&lt;=BE$6),'Lease Cycles'!$C$10*'Lease Cycles'!$AY$10/12,IF(AND('Lease Cycles'!$AV$10&gt;=INDEX('Lease Cycles'!$BG$10:$BM$10,1,BE44),'Lease Cycles'!$AV$10&lt;=BE$6),'Lease Cycles'!$C$10*'Lease Cycles'!$AW$10/12,IF(AND('Lease Cycles'!$AT$10&gt;=INDEX('Lease Cycles'!$BG$10:$BM$10,1,BE44),'Lease Cycles'!$AT$10&lt;=BE$6),'Lease Cycles'!$C$10*'Lease Cycles'!$AU$10/12,'Lease Cycles'!$C$10*INDEX('Lease Cycles'!$CB$10:$CH$10,1,BE44)*(1+INDEX('Lease Cycles'!$CI$10:$CO$10,1,BE44))^INT(INT(BE45/12)/INDEX('Lease Cycles'!$CP$10:$CV$10,1,BE44))/12)))),'Lease Cycles'!$C$10*INDEX('Lease Cycles'!$CB$10:$CH$10,1,BE44)*(1+INDEX('Lease Cycles'!$CI$10:$CO$10,1,BE44))^INT(INT(BE45/12)/INDEX('Lease Cycles'!$CP$10:$CV$10,1,BE44))/12))),IF('Lease Cycles'!$N$10=1,'Lease Cycles'!$C$10*'Lease Cycles'!$E$10*INDEX('Lease Cycles'!$HE$10:$HK$10,1,BE44)*(1+INDEX('Lease Cycles'!$GQ$10:$GW$10,1,BE44))^INT(INT((BE$6-INDEX('Lease Cycles'!$GJ$10:$GP$10,1,BE44))/12)/INDEX('Lease Cycles'!$GX$10:$HD$10,1,BE44))/12,0)))</f>
        <v>8000</v>
      </c>
      <c r="BF47" s="28">
        <f>IF(BF44=0,IF('Lease Cycles'!$F$10&gt;0,'Lease Cycles'!$C$10*'Lease Cycles'!$E$10/12,0),IF(BF46=1,IF('Lease Cycles'!$AT$10&gt;=9999,'Lease Cycles'!$C$10*INDEX('Lease Cycles'!$CB$10:$CH$10,1,BF44)*(1+INDEX('Lease Cycles'!$CI$10:$CO$10,1,BF44))^INT(INT(BF45/12)/INDEX('Lease Cycles'!$CP$10:$CV$10,1,BF44))/12,IF(BF44=1,IF(BF45&gt;=INDEX('Lease Cycles'!$DK$10:$DQ$10,1,BF44),IF(BF$6&gt;='Lease Cycles'!$AZ$10,'Lease Cycles'!$C$10*'Lease Cycles'!$BA$10/12,IF(BF$6&gt;='Lease Cycles'!$AX$10,'Lease Cycles'!$C$10*'Lease Cycles'!$AY$10/12,IF(BF$6&gt;='Lease Cycles'!$AV$10,'Lease Cycles'!$C$10*'Lease Cycles'!$AW$10/12,IF(BF$6&gt;='Lease Cycles'!$AT$10,'Lease Cycles'!$C$10*'Lease Cycles'!$AU$10/12,'Lease Cycles'!$C$10*INDEX('Lease Cycles'!$CB$10:$CH$10,1,BF44)*(1+INDEX('Lease Cycles'!$CI$10:$CO$10,1,BF44))^INT(INT(BF45/12)/INDEX('Lease Cycles'!$CP$10:$CV$10,1,BF44))/12)))),'Lease Cycles'!$C$10*INDEX('Lease Cycles'!$CB$10:$CH$10,1,BF44)*(1+INDEX('Lease Cycles'!$CI$10:$CO$10,1,BF44))^INT(INT(BF45/12)/INDEX('Lease Cycles'!$CP$10:$CV$10,1,BF44))/12),IF(INDEX('Lease Cycles'!$EF$10:$EL$10,1,BF44)=1,IF(AND('Lease Cycles'!$AZ$10&gt;=INDEX('Lease Cycles'!$BG$10:$BM$10,1,BF44),'Lease Cycles'!$AZ$10&lt;=BF$6),'Lease Cycles'!$C$10*'Lease Cycles'!$BA$10/12,IF(AND('Lease Cycles'!$AX$10&gt;=INDEX('Lease Cycles'!$BG$10:$BM$10,1,BF44),'Lease Cycles'!$AX$10&lt;=BF$6),'Lease Cycles'!$C$10*'Lease Cycles'!$AY$10/12,IF(AND('Lease Cycles'!$AV$10&gt;=INDEX('Lease Cycles'!$BG$10:$BM$10,1,BF44),'Lease Cycles'!$AV$10&lt;=BF$6),'Lease Cycles'!$C$10*'Lease Cycles'!$AW$10/12,IF(AND('Lease Cycles'!$AT$10&gt;=INDEX('Lease Cycles'!$BG$10:$BM$10,1,BF44),'Lease Cycles'!$AT$10&lt;=BF$6),'Lease Cycles'!$C$10*'Lease Cycles'!$AU$10/12,'Lease Cycles'!$C$10*INDEX('Lease Cycles'!$CB$10:$CH$10,1,BF44)*(1+INDEX('Lease Cycles'!$CI$10:$CO$10,1,BF44))^INT(INT(BF45/12)/INDEX('Lease Cycles'!$CP$10:$CV$10,1,BF44))/12)))),'Lease Cycles'!$C$10*INDEX('Lease Cycles'!$CB$10:$CH$10,1,BF44)*(1+INDEX('Lease Cycles'!$CI$10:$CO$10,1,BF44))^INT(INT(BF45/12)/INDEX('Lease Cycles'!$CP$10:$CV$10,1,BF44))/12))),IF('Lease Cycles'!$N$10=1,'Lease Cycles'!$C$10*'Lease Cycles'!$E$10*INDEX('Lease Cycles'!$HE$10:$HK$10,1,BF44)*(1+INDEX('Lease Cycles'!$GQ$10:$GW$10,1,BF44))^INT(INT((BF$6-INDEX('Lease Cycles'!$GJ$10:$GP$10,1,BF44))/12)/INDEX('Lease Cycles'!$GX$10:$HD$10,1,BF44))/12,0)))</f>
        <v>8000</v>
      </c>
      <c r="BG47" s="28">
        <f>IF(BG44=0,IF('Lease Cycles'!$F$10&gt;0,'Lease Cycles'!$C$10*'Lease Cycles'!$E$10/12,0),IF(BG46=1,IF('Lease Cycles'!$AT$10&gt;=9999,'Lease Cycles'!$C$10*INDEX('Lease Cycles'!$CB$10:$CH$10,1,BG44)*(1+INDEX('Lease Cycles'!$CI$10:$CO$10,1,BG44))^INT(INT(BG45/12)/INDEX('Lease Cycles'!$CP$10:$CV$10,1,BG44))/12,IF(BG44=1,IF(BG45&gt;=INDEX('Lease Cycles'!$DK$10:$DQ$10,1,BG44),IF(BG$6&gt;='Lease Cycles'!$AZ$10,'Lease Cycles'!$C$10*'Lease Cycles'!$BA$10/12,IF(BG$6&gt;='Lease Cycles'!$AX$10,'Lease Cycles'!$C$10*'Lease Cycles'!$AY$10/12,IF(BG$6&gt;='Lease Cycles'!$AV$10,'Lease Cycles'!$C$10*'Lease Cycles'!$AW$10/12,IF(BG$6&gt;='Lease Cycles'!$AT$10,'Lease Cycles'!$C$10*'Lease Cycles'!$AU$10/12,'Lease Cycles'!$C$10*INDEX('Lease Cycles'!$CB$10:$CH$10,1,BG44)*(1+INDEX('Lease Cycles'!$CI$10:$CO$10,1,BG44))^INT(INT(BG45/12)/INDEX('Lease Cycles'!$CP$10:$CV$10,1,BG44))/12)))),'Lease Cycles'!$C$10*INDEX('Lease Cycles'!$CB$10:$CH$10,1,BG44)*(1+INDEX('Lease Cycles'!$CI$10:$CO$10,1,BG44))^INT(INT(BG45/12)/INDEX('Lease Cycles'!$CP$10:$CV$10,1,BG44))/12),IF(INDEX('Lease Cycles'!$EF$10:$EL$10,1,BG44)=1,IF(AND('Lease Cycles'!$AZ$10&gt;=INDEX('Lease Cycles'!$BG$10:$BM$10,1,BG44),'Lease Cycles'!$AZ$10&lt;=BG$6),'Lease Cycles'!$C$10*'Lease Cycles'!$BA$10/12,IF(AND('Lease Cycles'!$AX$10&gt;=INDEX('Lease Cycles'!$BG$10:$BM$10,1,BG44),'Lease Cycles'!$AX$10&lt;=BG$6),'Lease Cycles'!$C$10*'Lease Cycles'!$AY$10/12,IF(AND('Lease Cycles'!$AV$10&gt;=INDEX('Lease Cycles'!$BG$10:$BM$10,1,BG44),'Lease Cycles'!$AV$10&lt;=BG$6),'Lease Cycles'!$C$10*'Lease Cycles'!$AW$10/12,IF(AND('Lease Cycles'!$AT$10&gt;=INDEX('Lease Cycles'!$BG$10:$BM$10,1,BG44),'Lease Cycles'!$AT$10&lt;=BG$6),'Lease Cycles'!$C$10*'Lease Cycles'!$AU$10/12,'Lease Cycles'!$C$10*INDEX('Lease Cycles'!$CB$10:$CH$10,1,BG44)*(1+INDEX('Lease Cycles'!$CI$10:$CO$10,1,BG44))^INT(INT(BG45/12)/INDEX('Lease Cycles'!$CP$10:$CV$10,1,BG44))/12)))),'Lease Cycles'!$C$10*INDEX('Lease Cycles'!$CB$10:$CH$10,1,BG44)*(1+INDEX('Lease Cycles'!$CI$10:$CO$10,1,BG44))^INT(INT(BG45/12)/INDEX('Lease Cycles'!$CP$10:$CV$10,1,BG44))/12))),IF('Lease Cycles'!$N$10=1,'Lease Cycles'!$C$10*'Lease Cycles'!$E$10*INDEX('Lease Cycles'!$HE$10:$HK$10,1,BG44)*(1+INDEX('Lease Cycles'!$GQ$10:$GW$10,1,BG44))^INT(INT((BG$6-INDEX('Lease Cycles'!$GJ$10:$GP$10,1,BG44))/12)/INDEX('Lease Cycles'!$GX$10:$HD$10,1,BG44))/12,0)))</f>
        <v>8000</v>
      </c>
      <c r="BH47" s="28">
        <f>IF(BH44=0,IF('Lease Cycles'!$F$10&gt;0,'Lease Cycles'!$C$10*'Lease Cycles'!$E$10/12,0),IF(BH46=1,IF('Lease Cycles'!$AT$10&gt;=9999,'Lease Cycles'!$C$10*INDEX('Lease Cycles'!$CB$10:$CH$10,1,BH44)*(1+INDEX('Lease Cycles'!$CI$10:$CO$10,1,BH44))^INT(INT(BH45/12)/INDEX('Lease Cycles'!$CP$10:$CV$10,1,BH44))/12,IF(BH44=1,IF(BH45&gt;=INDEX('Lease Cycles'!$DK$10:$DQ$10,1,BH44),IF(BH$6&gt;='Lease Cycles'!$AZ$10,'Lease Cycles'!$C$10*'Lease Cycles'!$BA$10/12,IF(BH$6&gt;='Lease Cycles'!$AX$10,'Lease Cycles'!$C$10*'Lease Cycles'!$AY$10/12,IF(BH$6&gt;='Lease Cycles'!$AV$10,'Lease Cycles'!$C$10*'Lease Cycles'!$AW$10/12,IF(BH$6&gt;='Lease Cycles'!$AT$10,'Lease Cycles'!$C$10*'Lease Cycles'!$AU$10/12,'Lease Cycles'!$C$10*INDEX('Lease Cycles'!$CB$10:$CH$10,1,BH44)*(1+INDEX('Lease Cycles'!$CI$10:$CO$10,1,BH44))^INT(INT(BH45/12)/INDEX('Lease Cycles'!$CP$10:$CV$10,1,BH44))/12)))),'Lease Cycles'!$C$10*INDEX('Lease Cycles'!$CB$10:$CH$10,1,BH44)*(1+INDEX('Lease Cycles'!$CI$10:$CO$10,1,BH44))^INT(INT(BH45/12)/INDEX('Lease Cycles'!$CP$10:$CV$10,1,BH44))/12),IF(INDEX('Lease Cycles'!$EF$10:$EL$10,1,BH44)=1,IF(AND('Lease Cycles'!$AZ$10&gt;=INDEX('Lease Cycles'!$BG$10:$BM$10,1,BH44),'Lease Cycles'!$AZ$10&lt;=BH$6),'Lease Cycles'!$C$10*'Lease Cycles'!$BA$10/12,IF(AND('Lease Cycles'!$AX$10&gt;=INDEX('Lease Cycles'!$BG$10:$BM$10,1,BH44),'Lease Cycles'!$AX$10&lt;=BH$6),'Lease Cycles'!$C$10*'Lease Cycles'!$AY$10/12,IF(AND('Lease Cycles'!$AV$10&gt;=INDEX('Lease Cycles'!$BG$10:$BM$10,1,BH44),'Lease Cycles'!$AV$10&lt;=BH$6),'Lease Cycles'!$C$10*'Lease Cycles'!$AW$10/12,IF(AND('Lease Cycles'!$AT$10&gt;=INDEX('Lease Cycles'!$BG$10:$BM$10,1,BH44),'Lease Cycles'!$AT$10&lt;=BH$6),'Lease Cycles'!$C$10*'Lease Cycles'!$AU$10/12,'Lease Cycles'!$C$10*INDEX('Lease Cycles'!$CB$10:$CH$10,1,BH44)*(1+INDEX('Lease Cycles'!$CI$10:$CO$10,1,BH44))^INT(INT(BH45/12)/INDEX('Lease Cycles'!$CP$10:$CV$10,1,BH44))/12)))),'Lease Cycles'!$C$10*INDEX('Lease Cycles'!$CB$10:$CH$10,1,BH44)*(1+INDEX('Lease Cycles'!$CI$10:$CO$10,1,BH44))^INT(INT(BH45/12)/INDEX('Lease Cycles'!$CP$10:$CV$10,1,BH44))/12))),IF('Lease Cycles'!$N$10=1,'Lease Cycles'!$C$10*'Lease Cycles'!$E$10*INDEX('Lease Cycles'!$HE$10:$HK$10,1,BH44)*(1+INDEX('Lease Cycles'!$GQ$10:$GW$10,1,BH44))^INT(INT((BH$6-INDEX('Lease Cycles'!$GJ$10:$GP$10,1,BH44))/12)/INDEX('Lease Cycles'!$GX$10:$HD$10,1,BH44))/12,0)))</f>
        <v>8000</v>
      </c>
      <c r="BI47" s="28">
        <f>IF(BI44=0,IF('Lease Cycles'!$F$10&gt;0,'Lease Cycles'!$C$10*'Lease Cycles'!$E$10/12,0),IF(BI46=1,IF('Lease Cycles'!$AT$10&gt;=9999,'Lease Cycles'!$C$10*INDEX('Lease Cycles'!$CB$10:$CH$10,1,BI44)*(1+INDEX('Lease Cycles'!$CI$10:$CO$10,1,BI44))^INT(INT(BI45/12)/INDEX('Lease Cycles'!$CP$10:$CV$10,1,BI44))/12,IF(BI44=1,IF(BI45&gt;=INDEX('Lease Cycles'!$DK$10:$DQ$10,1,BI44),IF(BI$6&gt;='Lease Cycles'!$AZ$10,'Lease Cycles'!$C$10*'Lease Cycles'!$BA$10/12,IF(BI$6&gt;='Lease Cycles'!$AX$10,'Lease Cycles'!$C$10*'Lease Cycles'!$AY$10/12,IF(BI$6&gt;='Lease Cycles'!$AV$10,'Lease Cycles'!$C$10*'Lease Cycles'!$AW$10/12,IF(BI$6&gt;='Lease Cycles'!$AT$10,'Lease Cycles'!$C$10*'Lease Cycles'!$AU$10/12,'Lease Cycles'!$C$10*INDEX('Lease Cycles'!$CB$10:$CH$10,1,BI44)*(1+INDEX('Lease Cycles'!$CI$10:$CO$10,1,BI44))^INT(INT(BI45/12)/INDEX('Lease Cycles'!$CP$10:$CV$10,1,BI44))/12)))),'Lease Cycles'!$C$10*INDEX('Lease Cycles'!$CB$10:$CH$10,1,BI44)*(1+INDEX('Lease Cycles'!$CI$10:$CO$10,1,BI44))^INT(INT(BI45/12)/INDEX('Lease Cycles'!$CP$10:$CV$10,1,BI44))/12),IF(INDEX('Lease Cycles'!$EF$10:$EL$10,1,BI44)=1,IF(AND('Lease Cycles'!$AZ$10&gt;=INDEX('Lease Cycles'!$BG$10:$BM$10,1,BI44),'Lease Cycles'!$AZ$10&lt;=BI$6),'Lease Cycles'!$C$10*'Lease Cycles'!$BA$10/12,IF(AND('Lease Cycles'!$AX$10&gt;=INDEX('Lease Cycles'!$BG$10:$BM$10,1,BI44),'Lease Cycles'!$AX$10&lt;=BI$6),'Lease Cycles'!$C$10*'Lease Cycles'!$AY$10/12,IF(AND('Lease Cycles'!$AV$10&gt;=INDEX('Lease Cycles'!$BG$10:$BM$10,1,BI44),'Lease Cycles'!$AV$10&lt;=BI$6),'Lease Cycles'!$C$10*'Lease Cycles'!$AW$10/12,IF(AND('Lease Cycles'!$AT$10&gt;=INDEX('Lease Cycles'!$BG$10:$BM$10,1,BI44),'Lease Cycles'!$AT$10&lt;=BI$6),'Lease Cycles'!$C$10*'Lease Cycles'!$AU$10/12,'Lease Cycles'!$C$10*INDEX('Lease Cycles'!$CB$10:$CH$10,1,BI44)*(1+INDEX('Lease Cycles'!$CI$10:$CO$10,1,BI44))^INT(INT(BI45/12)/INDEX('Lease Cycles'!$CP$10:$CV$10,1,BI44))/12)))),'Lease Cycles'!$C$10*INDEX('Lease Cycles'!$CB$10:$CH$10,1,BI44)*(1+INDEX('Lease Cycles'!$CI$10:$CO$10,1,BI44))^INT(INT(BI45/12)/INDEX('Lease Cycles'!$CP$10:$CV$10,1,BI44))/12))),IF('Lease Cycles'!$N$10=1,'Lease Cycles'!$C$10*'Lease Cycles'!$E$10*INDEX('Lease Cycles'!$HE$10:$HK$10,1,BI44)*(1+INDEX('Lease Cycles'!$GQ$10:$GW$10,1,BI44))^INT(INT((BI$6-INDEX('Lease Cycles'!$GJ$10:$GP$10,1,BI44))/12)/INDEX('Lease Cycles'!$GX$10:$HD$10,1,BI44))/12,0)))</f>
        <v>8000</v>
      </c>
      <c r="BJ47" s="28">
        <f>IF(BJ44=0,IF('Lease Cycles'!$F$10&gt;0,'Lease Cycles'!$C$10*'Lease Cycles'!$E$10/12,0),IF(BJ46=1,IF('Lease Cycles'!$AT$10&gt;=9999,'Lease Cycles'!$C$10*INDEX('Lease Cycles'!$CB$10:$CH$10,1,BJ44)*(1+INDEX('Lease Cycles'!$CI$10:$CO$10,1,BJ44))^INT(INT(BJ45/12)/INDEX('Lease Cycles'!$CP$10:$CV$10,1,BJ44))/12,IF(BJ44=1,IF(BJ45&gt;=INDEX('Lease Cycles'!$DK$10:$DQ$10,1,BJ44),IF(BJ$6&gt;='Lease Cycles'!$AZ$10,'Lease Cycles'!$C$10*'Lease Cycles'!$BA$10/12,IF(BJ$6&gt;='Lease Cycles'!$AX$10,'Lease Cycles'!$C$10*'Lease Cycles'!$AY$10/12,IF(BJ$6&gt;='Lease Cycles'!$AV$10,'Lease Cycles'!$C$10*'Lease Cycles'!$AW$10/12,IF(BJ$6&gt;='Lease Cycles'!$AT$10,'Lease Cycles'!$C$10*'Lease Cycles'!$AU$10/12,'Lease Cycles'!$C$10*INDEX('Lease Cycles'!$CB$10:$CH$10,1,BJ44)*(1+INDEX('Lease Cycles'!$CI$10:$CO$10,1,BJ44))^INT(INT(BJ45/12)/INDEX('Lease Cycles'!$CP$10:$CV$10,1,BJ44))/12)))),'Lease Cycles'!$C$10*INDEX('Lease Cycles'!$CB$10:$CH$10,1,BJ44)*(1+INDEX('Lease Cycles'!$CI$10:$CO$10,1,BJ44))^INT(INT(BJ45/12)/INDEX('Lease Cycles'!$CP$10:$CV$10,1,BJ44))/12),IF(INDEX('Lease Cycles'!$EF$10:$EL$10,1,BJ44)=1,IF(AND('Lease Cycles'!$AZ$10&gt;=INDEX('Lease Cycles'!$BG$10:$BM$10,1,BJ44),'Lease Cycles'!$AZ$10&lt;=BJ$6),'Lease Cycles'!$C$10*'Lease Cycles'!$BA$10/12,IF(AND('Lease Cycles'!$AX$10&gt;=INDEX('Lease Cycles'!$BG$10:$BM$10,1,BJ44),'Lease Cycles'!$AX$10&lt;=BJ$6),'Lease Cycles'!$C$10*'Lease Cycles'!$AY$10/12,IF(AND('Lease Cycles'!$AV$10&gt;=INDEX('Lease Cycles'!$BG$10:$BM$10,1,BJ44),'Lease Cycles'!$AV$10&lt;=BJ$6),'Lease Cycles'!$C$10*'Lease Cycles'!$AW$10/12,IF(AND('Lease Cycles'!$AT$10&gt;=INDEX('Lease Cycles'!$BG$10:$BM$10,1,BJ44),'Lease Cycles'!$AT$10&lt;=BJ$6),'Lease Cycles'!$C$10*'Lease Cycles'!$AU$10/12,'Lease Cycles'!$C$10*INDEX('Lease Cycles'!$CB$10:$CH$10,1,BJ44)*(1+INDEX('Lease Cycles'!$CI$10:$CO$10,1,BJ44))^INT(INT(BJ45/12)/INDEX('Lease Cycles'!$CP$10:$CV$10,1,BJ44))/12)))),'Lease Cycles'!$C$10*INDEX('Lease Cycles'!$CB$10:$CH$10,1,BJ44)*(1+INDEX('Lease Cycles'!$CI$10:$CO$10,1,BJ44))^INT(INT(BJ45/12)/INDEX('Lease Cycles'!$CP$10:$CV$10,1,BJ44))/12))),IF('Lease Cycles'!$N$10=1,'Lease Cycles'!$C$10*'Lease Cycles'!$E$10*INDEX('Lease Cycles'!$HE$10:$HK$10,1,BJ44)*(1+INDEX('Lease Cycles'!$GQ$10:$GW$10,1,BJ44))^INT(INT((BJ$6-INDEX('Lease Cycles'!$GJ$10:$GP$10,1,BJ44))/12)/INDEX('Lease Cycles'!$GX$10:$HD$10,1,BJ44))/12,0)))</f>
        <v>8000</v>
      </c>
      <c r="BK47" s="28">
        <f>IF(BK44=0,IF('Lease Cycles'!$F$10&gt;0,'Lease Cycles'!$C$10*'Lease Cycles'!$E$10/12,0),IF(BK46=1,IF('Lease Cycles'!$AT$10&gt;=9999,'Lease Cycles'!$C$10*INDEX('Lease Cycles'!$CB$10:$CH$10,1,BK44)*(1+INDEX('Lease Cycles'!$CI$10:$CO$10,1,BK44))^INT(INT(BK45/12)/INDEX('Lease Cycles'!$CP$10:$CV$10,1,BK44))/12,IF(BK44=1,IF(BK45&gt;=INDEX('Lease Cycles'!$DK$10:$DQ$10,1,BK44),IF(BK$6&gt;='Lease Cycles'!$AZ$10,'Lease Cycles'!$C$10*'Lease Cycles'!$BA$10/12,IF(BK$6&gt;='Lease Cycles'!$AX$10,'Lease Cycles'!$C$10*'Lease Cycles'!$AY$10/12,IF(BK$6&gt;='Lease Cycles'!$AV$10,'Lease Cycles'!$C$10*'Lease Cycles'!$AW$10/12,IF(BK$6&gt;='Lease Cycles'!$AT$10,'Lease Cycles'!$C$10*'Lease Cycles'!$AU$10/12,'Lease Cycles'!$C$10*INDEX('Lease Cycles'!$CB$10:$CH$10,1,BK44)*(1+INDEX('Lease Cycles'!$CI$10:$CO$10,1,BK44))^INT(INT(BK45/12)/INDEX('Lease Cycles'!$CP$10:$CV$10,1,BK44))/12)))),'Lease Cycles'!$C$10*INDEX('Lease Cycles'!$CB$10:$CH$10,1,BK44)*(1+INDEX('Lease Cycles'!$CI$10:$CO$10,1,BK44))^INT(INT(BK45/12)/INDEX('Lease Cycles'!$CP$10:$CV$10,1,BK44))/12),IF(INDEX('Lease Cycles'!$EF$10:$EL$10,1,BK44)=1,IF(AND('Lease Cycles'!$AZ$10&gt;=INDEX('Lease Cycles'!$BG$10:$BM$10,1,BK44),'Lease Cycles'!$AZ$10&lt;=BK$6),'Lease Cycles'!$C$10*'Lease Cycles'!$BA$10/12,IF(AND('Lease Cycles'!$AX$10&gt;=INDEX('Lease Cycles'!$BG$10:$BM$10,1,BK44),'Lease Cycles'!$AX$10&lt;=BK$6),'Lease Cycles'!$C$10*'Lease Cycles'!$AY$10/12,IF(AND('Lease Cycles'!$AV$10&gt;=INDEX('Lease Cycles'!$BG$10:$BM$10,1,BK44),'Lease Cycles'!$AV$10&lt;=BK$6),'Lease Cycles'!$C$10*'Lease Cycles'!$AW$10/12,IF(AND('Lease Cycles'!$AT$10&gt;=INDEX('Lease Cycles'!$BG$10:$BM$10,1,BK44),'Lease Cycles'!$AT$10&lt;=BK$6),'Lease Cycles'!$C$10*'Lease Cycles'!$AU$10/12,'Lease Cycles'!$C$10*INDEX('Lease Cycles'!$CB$10:$CH$10,1,BK44)*(1+INDEX('Lease Cycles'!$CI$10:$CO$10,1,BK44))^INT(INT(BK45/12)/INDEX('Lease Cycles'!$CP$10:$CV$10,1,BK44))/12)))),'Lease Cycles'!$C$10*INDEX('Lease Cycles'!$CB$10:$CH$10,1,BK44)*(1+INDEX('Lease Cycles'!$CI$10:$CO$10,1,BK44))^INT(INT(BK45/12)/INDEX('Lease Cycles'!$CP$10:$CV$10,1,BK44))/12))),IF('Lease Cycles'!$N$10=1,'Lease Cycles'!$C$10*'Lease Cycles'!$E$10*INDEX('Lease Cycles'!$HE$10:$HK$10,1,BK44)*(1+INDEX('Lease Cycles'!$GQ$10:$GW$10,1,BK44))^INT(INT((BK$6-INDEX('Lease Cycles'!$GJ$10:$GP$10,1,BK44))/12)/INDEX('Lease Cycles'!$GX$10:$HD$10,1,BK44))/12,0)))</f>
        <v>8000</v>
      </c>
      <c r="BL47" s="28">
        <f>IF(BL44=0,IF('Lease Cycles'!$F$10&gt;0,'Lease Cycles'!$C$10*'Lease Cycles'!$E$10/12,0),IF(BL46=1,IF('Lease Cycles'!$AT$10&gt;=9999,'Lease Cycles'!$C$10*INDEX('Lease Cycles'!$CB$10:$CH$10,1,BL44)*(1+INDEX('Lease Cycles'!$CI$10:$CO$10,1,BL44))^INT(INT(BL45/12)/INDEX('Lease Cycles'!$CP$10:$CV$10,1,BL44))/12,IF(BL44=1,IF(BL45&gt;=INDEX('Lease Cycles'!$DK$10:$DQ$10,1,BL44),IF(BL$6&gt;='Lease Cycles'!$AZ$10,'Lease Cycles'!$C$10*'Lease Cycles'!$BA$10/12,IF(BL$6&gt;='Lease Cycles'!$AX$10,'Lease Cycles'!$C$10*'Lease Cycles'!$AY$10/12,IF(BL$6&gt;='Lease Cycles'!$AV$10,'Lease Cycles'!$C$10*'Lease Cycles'!$AW$10/12,IF(BL$6&gt;='Lease Cycles'!$AT$10,'Lease Cycles'!$C$10*'Lease Cycles'!$AU$10/12,'Lease Cycles'!$C$10*INDEX('Lease Cycles'!$CB$10:$CH$10,1,BL44)*(1+INDEX('Lease Cycles'!$CI$10:$CO$10,1,BL44))^INT(INT(BL45/12)/INDEX('Lease Cycles'!$CP$10:$CV$10,1,BL44))/12)))),'Lease Cycles'!$C$10*INDEX('Lease Cycles'!$CB$10:$CH$10,1,BL44)*(1+INDEX('Lease Cycles'!$CI$10:$CO$10,1,BL44))^INT(INT(BL45/12)/INDEX('Lease Cycles'!$CP$10:$CV$10,1,BL44))/12),IF(INDEX('Lease Cycles'!$EF$10:$EL$10,1,BL44)=1,IF(AND('Lease Cycles'!$AZ$10&gt;=INDEX('Lease Cycles'!$BG$10:$BM$10,1,BL44),'Lease Cycles'!$AZ$10&lt;=BL$6),'Lease Cycles'!$C$10*'Lease Cycles'!$BA$10/12,IF(AND('Lease Cycles'!$AX$10&gt;=INDEX('Lease Cycles'!$BG$10:$BM$10,1,BL44),'Lease Cycles'!$AX$10&lt;=BL$6),'Lease Cycles'!$C$10*'Lease Cycles'!$AY$10/12,IF(AND('Lease Cycles'!$AV$10&gt;=INDEX('Lease Cycles'!$BG$10:$BM$10,1,BL44),'Lease Cycles'!$AV$10&lt;=BL$6),'Lease Cycles'!$C$10*'Lease Cycles'!$AW$10/12,IF(AND('Lease Cycles'!$AT$10&gt;=INDEX('Lease Cycles'!$BG$10:$BM$10,1,BL44),'Lease Cycles'!$AT$10&lt;=BL$6),'Lease Cycles'!$C$10*'Lease Cycles'!$AU$10/12,'Lease Cycles'!$C$10*INDEX('Lease Cycles'!$CB$10:$CH$10,1,BL44)*(1+INDEX('Lease Cycles'!$CI$10:$CO$10,1,BL44))^INT(INT(BL45/12)/INDEX('Lease Cycles'!$CP$10:$CV$10,1,BL44))/12)))),'Lease Cycles'!$C$10*INDEX('Lease Cycles'!$CB$10:$CH$10,1,BL44)*(1+INDEX('Lease Cycles'!$CI$10:$CO$10,1,BL44))^INT(INT(BL45/12)/INDEX('Lease Cycles'!$CP$10:$CV$10,1,BL44))/12))),IF('Lease Cycles'!$N$10=1,'Lease Cycles'!$C$10*'Lease Cycles'!$E$10*INDEX('Lease Cycles'!$HE$10:$HK$10,1,BL44)*(1+INDEX('Lease Cycles'!$GQ$10:$GW$10,1,BL44))^INT(INT((BL$6-INDEX('Lease Cycles'!$GJ$10:$GP$10,1,BL44))/12)/INDEX('Lease Cycles'!$GX$10:$HD$10,1,BL44))/12,0)))</f>
        <v>8000</v>
      </c>
      <c r="BM47" s="28">
        <f>IF(BM44=0,IF('Lease Cycles'!$F$10&gt;0,'Lease Cycles'!$C$10*'Lease Cycles'!$E$10/12,0),IF(BM46=1,IF('Lease Cycles'!$AT$10&gt;=9999,'Lease Cycles'!$C$10*INDEX('Lease Cycles'!$CB$10:$CH$10,1,BM44)*(1+INDEX('Lease Cycles'!$CI$10:$CO$10,1,BM44))^INT(INT(BM45/12)/INDEX('Lease Cycles'!$CP$10:$CV$10,1,BM44))/12,IF(BM44=1,IF(BM45&gt;=INDEX('Lease Cycles'!$DK$10:$DQ$10,1,BM44),IF(BM$6&gt;='Lease Cycles'!$AZ$10,'Lease Cycles'!$C$10*'Lease Cycles'!$BA$10/12,IF(BM$6&gt;='Lease Cycles'!$AX$10,'Lease Cycles'!$C$10*'Lease Cycles'!$AY$10/12,IF(BM$6&gt;='Lease Cycles'!$AV$10,'Lease Cycles'!$C$10*'Lease Cycles'!$AW$10/12,IF(BM$6&gt;='Lease Cycles'!$AT$10,'Lease Cycles'!$C$10*'Lease Cycles'!$AU$10/12,'Lease Cycles'!$C$10*INDEX('Lease Cycles'!$CB$10:$CH$10,1,BM44)*(1+INDEX('Lease Cycles'!$CI$10:$CO$10,1,BM44))^INT(INT(BM45/12)/INDEX('Lease Cycles'!$CP$10:$CV$10,1,BM44))/12)))),'Lease Cycles'!$C$10*INDEX('Lease Cycles'!$CB$10:$CH$10,1,BM44)*(1+INDEX('Lease Cycles'!$CI$10:$CO$10,1,BM44))^INT(INT(BM45/12)/INDEX('Lease Cycles'!$CP$10:$CV$10,1,BM44))/12),IF(INDEX('Lease Cycles'!$EF$10:$EL$10,1,BM44)=1,IF(AND('Lease Cycles'!$AZ$10&gt;=INDEX('Lease Cycles'!$BG$10:$BM$10,1,BM44),'Lease Cycles'!$AZ$10&lt;=BM$6),'Lease Cycles'!$C$10*'Lease Cycles'!$BA$10/12,IF(AND('Lease Cycles'!$AX$10&gt;=INDEX('Lease Cycles'!$BG$10:$BM$10,1,BM44),'Lease Cycles'!$AX$10&lt;=BM$6),'Lease Cycles'!$C$10*'Lease Cycles'!$AY$10/12,IF(AND('Lease Cycles'!$AV$10&gt;=INDEX('Lease Cycles'!$BG$10:$BM$10,1,BM44),'Lease Cycles'!$AV$10&lt;=BM$6),'Lease Cycles'!$C$10*'Lease Cycles'!$AW$10/12,IF(AND('Lease Cycles'!$AT$10&gt;=INDEX('Lease Cycles'!$BG$10:$BM$10,1,BM44),'Lease Cycles'!$AT$10&lt;=BM$6),'Lease Cycles'!$C$10*'Lease Cycles'!$AU$10/12,'Lease Cycles'!$C$10*INDEX('Lease Cycles'!$CB$10:$CH$10,1,BM44)*(1+INDEX('Lease Cycles'!$CI$10:$CO$10,1,BM44))^INT(INT(BM45/12)/INDEX('Lease Cycles'!$CP$10:$CV$10,1,BM44))/12)))),'Lease Cycles'!$C$10*INDEX('Lease Cycles'!$CB$10:$CH$10,1,BM44)*(1+INDEX('Lease Cycles'!$CI$10:$CO$10,1,BM44))^INT(INT(BM45/12)/INDEX('Lease Cycles'!$CP$10:$CV$10,1,BM44))/12))),IF('Lease Cycles'!$N$10=1,'Lease Cycles'!$C$10*'Lease Cycles'!$E$10*INDEX('Lease Cycles'!$HE$10:$HK$10,1,BM44)*(1+INDEX('Lease Cycles'!$GQ$10:$GW$10,1,BM44))^INT(INT((BM$6-INDEX('Lease Cycles'!$GJ$10:$GP$10,1,BM44))/12)/INDEX('Lease Cycles'!$GX$10:$HD$10,1,BM44))/12,0)))</f>
        <v>8000</v>
      </c>
      <c r="BN47" s="28">
        <f>IF(BN44=0,IF('Lease Cycles'!$F$10&gt;0,'Lease Cycles'!$C$10*'Lease Cycles'!$E$10/12,0),IF(BN46=1,IF('Lease Cycles'!$AT$10&gt;=9999,'Lease Cycles'!$C$10*INDEX('Lease Cycles'!$CB$10:$CH$10,1,BN44)*(1+INDEX('Lease Cycles'!$CI$10:$CO$10,1,BN44))^INT(INT(BN45/12)/INDEX('Lease Cycles'!$CP$10:$CV$10,1,BN44))/12,IF(BN44=1,IF(BN45&gt;=INDEX('Lease Cycles'!$DK$10:$DQ$10,1,BN44),IF(BN$6&gt;='Lease Cycles'!$AZ$10,'Lease Cycles'!$C$10*'Lease Cycles'!$BA$10/12,IF(BN$6&gt;='Lease Cycles'!$AX$10,'Lease Cycles'!$C$10*'Lease Cycles'!$AY$10/12,IF(BN$6&gt;='Lease Cycles'!$AV$10,'Lease Cycles'!$C$10*'Lease Cycles'!$AW$10/12,IF(BN$6&gt;='Lease Cycles'!$AT$10,'Lease Cycles'!$C$10*'Lease Cycles'!$AU$10/12,'Lease Cycles'!$C$10*INDEX('Lease Cycles'!$CB$10:$CH$10,1,BN44)*(1+INDEX('Lease Cycles'!$CI$10:$CO$10,1,BN44))^INT(INT(BN45/12)/INDEX('Lease Cycles'!$CP$10:$CV$10,1,BN44))/12)))),'Lease Cycles'!$C$10*INDEX('Lease Cycles'!$CB$10:$CH$10,1,BN44)*(1+INDEX('Lease Cycles'!$CI$10:$CO$10,1,BN44))^INT(INT(BN45/12)/INDEX('Lease Cycles'!$CP$10:$CV$10,1,BN44))/12),IF(INDEX('Lease Cycles'!$EF$10:$EL$10,1,BN44)=1,IF(AND('Lease Cycles'!$AZ$10&gt;=INDEX('Lease Cycles'!$BG$10:$BM$10,1,BN44),'Lease Cycles'!$AZ$10&lt;=BN$6),'Lease Cycles'!$C$10*'Lease Cycles'!$BA$10/12,IF(AND('Lease Cycles'!$AX$10&gt;=INDEX('Lease Cycles'!$BG$10:$BM$10,1,BN44),'Lease Cycles'!$AX$10&lt;=BN$6),'Lease Cycles'!$C$10*'Lease Cycles'!$AY$10/12,IF(AND('Lease Cycles'!$AV$10&gt;=INDEX('Lease Cycles'!$BG$10:$BM$10,1,BN44),'Lease Cycles'!$AV$10&lt;=BN$6),'Lease Cycles'!$C$10*'Lease Cycles'!$AW$10/12,IF(AND('Lease Cycles'!$AT$10&gt;=INDEX('Lease Cycles'!$BG$10:$BM$10,1,BN44),'Lease Cycles'!$AT$10&lt;=BN$6),'Lease Cycles'!$C$10*'Lease Cycles'!$AU$10/12,'Lease Cycles'!$C$10*INDEX('Lease Cycles'!$CB$10:$CH$10,1,BN44)*(1+INDEX('Lease Cycles'!$CI$10:$CO$10,1,BN44))^INT(INT(BN45/12)/INDEX('Lease Cycles'!$CP$10:$CV$10,1,BN44))/12)))),'Lease Cycles'!$C$10*INDEX('Lease Cycles'!$CB$10:$CH$10,1,BN44)*(1+INDEX('Lease Cycles'!$CI$10:$CO$10,1,BN44))^INT(INT(BN45/12)/INDEX('Lease Cycles'!$CP$10:$CV$10,1,BN44))/12))),IF('Lease Cycles'!$N$10=1,'Lease Cycles'!$C$10*'Lease Cycles'!$E$10*INDEX('Lease Cycles'!$HE$10:$HK$10,1,BN44)*(1+INDEX('Lease Cycles'!$GQ$10:$GW$10,1,BN44))^INT(INT((BN$6-INDEX('Lease Cycles'!$GJ$10:$GP$10,1,BN44))/12)/INDEX('Lease Cycles'!$GX$10:$HD$10,1,BN44))/12,0)))</f>
        <v>8000</v>
      </c>
      <c r="BO47" s="28">
        <f>IF(BO44=0,IF('Lease Cycles'!$F$10&gt;0,'Lease Cycles'!$C$10*'Lease Cycles'!$E$10/12,0),IF(BO46=1,IF('Lease Cycles'!$AT$10&gt;=9999,'Lease Cycles'!$C$10*INDEX('Lease Cycles'!$CB$10:$CH$10,1,BO44)*(1+INDEX('Lease Cycles'!$CI$10:$CO$10,1,BO44))^INT(INT(BO45/12)/INDEX('Lease Cycles'!$CP$10:$CV$10,1,BO44))/12,IF(BO44=1,IF(BO45&gt;=INDEX('Lease Cycles'!$DK$10:$DQ$10,1,BO44),IF(BO$6&gt;='Lease Cycles'!$AZ$10,'Lease Cycles'!$C$10*'Lease Cycles'!$BA$10/12,IF(BO$6&gt;='Lease Cycles'!$AX$10,'Lease Cycles'!$C$10*'Lease Cycles'!$AY$10/12,IF(BO$6&gt;='Lease Cycles'!$AV$10,'Lease Cycles'!$C$10*'Lease Cycles'!$AW$10/12,IF(BO$6&gt;='Lease Cycles'!$AT$10,'Lease Cycles'!$C$10*'Lease Cycles'!$AU$10/12,'Lease Cycles'!$C$10*INDEX('Lease Cycles'!$CB$10:$CH$10,1,BO44)*(1+INDEX('Lease Cycles'!$CI$10:$CO$10,1,BO44))^INT(INT(BO45/12)/INDEX('Lease Cycles'!$CP$10:$CV$10,1,BO44))/12)))),'Lease Cycles'!$C$10*INDEX('Lease Cycles'!$CB$10:$CH$10,1,BO44)*(1+INDEX('Lease Cycles'!$CI$10:$CO$10,1,BO44))^INT(INT(BO45/12)/INDEX('Lease Cycles'!$CP$10:$CV$10,1,BO44))/12),IF(INDEX('Lease Cycles'!$EF$10:$EL$10,1,BO44)=1,IF(AND('Lease Cycles'!$AZ$10&gt;=INDEX('Lease Cycles'!$BG$10:$BM$10,1,BO44),'Lease Cycles'!$AZ$10&lt;=BO$6),'Lease Cycles'!$C$10*'Lease Cycles'!$BA$10/12,IF(AND('Lease Cycles'!$AX$10&gt;=INDEX('Lease Cycles'!$BG$10:$BM$10,1,BO44),'Lease Cycles'!$AX$10&lt;=BO$6),'Lease Cycles'!$C$10*'Lease Cycles'!$AY$10/12,IF(AND('Lease Cycles'!$AV$10&gt;=INDEX('Lease Cycles'!$BG$10:$BM$10,1,BO44),'Lease Cycles'!$AV$10&lt;=BO$6),'Lease Cycles'!$C$10*'Lease Cycles'!$AW$10/12,IF(AND('Lease Cycles'!$AT$10&gt;=INDEX('Lease Cycles'!$BG$10:$BM$10,1,BO44),'Lease Cycles'!$AT$10&lt;=BO$6),'Lease Cycles'!$C$10*'Lease Cycles'!$AU$10/12,'Lease Cycles'!$C$10*INDEX('Lease Cycles'!$CB$10:$CH$10,1,BO44)*(1+INDEX('Lease Cycles'!$CI$10:$CO$10,1,BO44))^INT(INT(BO45/12)/INDEX('Lease Cycles'!$CP$10:$CV$10,1,BO44))/12)))),'Lease Cycles'!$C$10*INDEX('Lease Cycles'!$CB$10:$CH$10,1,BO44)*(1+INDEX('Lease Cycles'!$CI$10:$CO$10,1,BO44))^INT(INT(BO45/12)/INDEX('Lease Cycles'!$CP$10:$CV$10,1,BO44))/12))),IF('Lease Cycles'!$N$10=1,'Lease Cycles'!$C$10*'Lease Cycles'!$E$10*INDEX('Lease Cycles'!$HE$10:$HK$10,1,BO44)*(1+INDEX('Lease Cycles'!$GQ$10:$GW$10,1,BO44))^INT(INT((BO$6-INDEX('Lease Cycles'!$GJ$10:$GP$10,1,BO44))/12)/INDEX('Lease Cycles'!$GX$10:$HD$10,1,BO44))/12,0)))</f>
        <v>8000</v>
      </c>
      <c r="BP47" s="28">
        <f>IF(BP44=0,IF('Lease Cycles'!$F$10&gt;0,'Lease Cycles'!$C$10*'Lease Cycles'!$E$10/12,0),IF(BP46=1,IF('Lease Cycles'!$AT$10&gt;=9999,'Lease Cycles'!$C$10*INDEX('Lease Cycles'!$CB$10:$CH$10,1,BP44)*(1+INDEX('Lease Cycles'!$CI$10:$CO$10,1,BP44))^INT(INT(BP45/12)/INDEX('Lease Cycles'!$CP$10:$CV$10,1,BP44))/12,IF(BP44=1,IF(BP45&gt;=INDEX('Lease Cycles'!$DK$10:$DQ$10,1,BP44),IF(BP$6&gt;='Lease Cycles'!$AZ$10,'Lease Cycles'!$C$10*'Lease Cycles'!$BA$10/12,IF(BP$6&gt;='Lease Cycles'!$AX$10,'Lease Cycles'!$C$10*'Lease Cycles'!$AY$10/12,IF(BP$6&gt;='Lease Cycles'!$AV$10,'Lease Cycles'!$C$10*'Lease Cycles'!$AW$10/12,IF(BP$6&gt;='Lease Cycles'!$AT$10,'Lease Cycles'!$C$10*'Lease Cycles'!$AU$10/12,'Lease Cycles'!$C$10*INDEX('Lease Cycles'!$CB$10:$CH$10,1,BP44)*(1+INDEX('Lease Cycles'!$CI$10:$CO$10,1,BP44))^INT(INT(BP45/12)/INDEX('Lease Cycles'!$CP$10:$CV$10,1,BP44))/12)))),'Lease Cycles'!$C$10*INDEX('Lease Cycles'!$CB$10:$CH$10,1,BP44)*(1+INDEX('Lease Cycles'!$CI$10:$CO$10,1,BP44))^INT(INT(BP45/12)/INDEX('Lease Cycles'!$CP$10:$CV$10,1,BP44))/12),IF(INDEX('Lease Cycles'!$EF$10:$EL$10,1,BP44)=1,IF(AND('Lease Cycles'!$AZ$10&gt;=INDEX('Lease Cycles'!$BG$10:$BM$10,1,BP44),'Lease Cycles'!$AZ$10&lt;=BP$6),'Lease Cycles'!$C$10*'Lease Cycles'!$BA$10/12,IF(AND('Lease Cycles'!$AX$10&gt;=INDEX('Lease Cycles'!$BG$10:$BM$10,1,BP44),'Lease Cycles'!$AX$10&lt;=BP$6),'Lease Cycles'!$C$10*'Lease Cycles'!$AY$10/12,IF(AND('Lease Cycles'!$AV$10&gt;=INDEX('Lease Cycles'!$BG$10:$BM$10,1,BP44),'Lease Cycles'!$AV$10&lt;=BP$6),'Lease Cycles'!$C$10*'Lease Cycles'!$AW$10/12,IF(AND('Lease Cycles'!$AT$10&gt;=INDEX('Lease Cycles'!$BG$10:$BM$10,1,BP44),'Lease Cycles'!$AT$10&lt;=BP$6),'Lease Cycles'!$C$10*'Lease Cycles'!$AU$10/12,'Lease Cycles'!$C$10*INDEX('Lease Cycles'!$CB$10:$CH$10,1,BP44)*(1+INDEX('Lease Cycles'!$CI$10:$CO$10,1,BP44))^INT(INT(BP45/12)/INDEX('Lease Cycles'!$CP$10:$CV$10,1,BP44))/12)))),'Lease Cycles'!$C$10*INDEX('Lease Cycles'!$CB$10:$CH$10,1,BP44)*(1+INDEX('Lease Cycles'!$CI$10:$CO$10,1,BP44))^INT(INT(BP45/12)/INDEX('Lease Cycles'!$CP$10:$CV$10,1,BP44))/12))),IF('Lease Cycles'!$N$10=1,'Lease Cycles'!$C$10*'Lease Cycles'!$E$10*INDEX('Lease Cycles'!$HE$10:$HK$10,1,BP44)*(1+INDEX('Lease Cycles'!$GQ$10:$GW$10,1,BP44))^INT(INT((BP$6-INDEX('Lease Cycles'!$GJ$10:$GP$10,1,BP44))/12)/INDEX('Lease Cycles'!$GX$10:$HD$10,1,BP44))/12,0)))</f>
        <v>8000</v>
      </c>
      <c r="BQ47" s="28">
        <f>IF(BQ44=0,IF('Lease Cycles'!$F$10&gt;0,'Lease Cycles'!$C$10*'Lease Cycles'!$E$10/12,0),IF(BQ46=1,IF('Lease Cycles'!$AT$10&gt;=9999,'Lease Cycles'!$C$10*INDEX('Lease Cycles'!$CB$10:$CH$10,1,BQ44)*(1+INDEX('Lease Cycles'!$CI$10:$CO$10,1,BQ44))^INT(INT(BQ45/12)/INDEX('Lease Cycles'!$CP$10:$CV$10,1,BQ44))/12,IF(BQ44=1,IF(BQ45&gt;=INDEX('Lease Cycles'!$DK$10:$DQ$10,1,BQ44),IF(BQ$6&gt;='Lease Cycles'!$AZ$10,'Lease Cycles'!$C$10*'Lease Cycles'!$BA$10/12,IF(BQ$6&gt;='Lease Cycles'!$AX$10,'Lease Cycles'!$C$10*'Lease Cycles'!$AY$10/12,IF(BQ$6&gt;='Lease Cycles'!$AV$10,'Lease Cycles'!$C$10*'Lease Cycles'!$AW$10/12,IF(BQ$6&gt;='Lease Cycles'!$AT$10,'Lease Cycles'!$C$10*'Lease Cycles'!$AU$10/12,'Lease Cycles'!$C$10*INDEX('Lease Cycles'!$CB$10:$CH$10,1,BQ44)*(1+INDEX('Lease Cycles'!$CI$10:$CO$10,1,BQ44))^INT(INT(BQ45/12)/INDEX('Lease Cycles'!$CP$10:$CV$10,1,BQ44))/12)))),'Lease Cycles'!$C$10*INDEX('Lease Cycles'!$CB$10:$CH$10,1,BQ44)*(1+INDEX('Lease Cycles'!$CI$10:$CO$10,1,BQ44))^INT(INT(BQ45/12)/INDEX('Lease Cycles'!$CP$10:$CV$10,1,BQ44))/12),IF(INDEX('Lease Cycles'!$EF$10:$EL$10,1,BQ44)=1,IF(AND('Lease Cycles'!$AZ$10&gt;=INDEX('Lease Cycles'!$BG$10:$BM$10,1,BQ44),'Lease Cycles'!$AZ$10&lt;=BQ$6),'Lease Cycles'!$C$10*'Lease Cycles'!$BA$10/12,IF(AND('Lease Cycles'!$AX$10&gt;=INDEX('Lease Cycles'!$BG$10:$BM$10,1,BQ44),'Lease Cycles'!$AX$10&lt;=BQ$6),'Lease Cycles'!$C$10*'Lease Cycles'!$AY$10/12,IF(AND('Lease Cycles'!$AV$10&gt;=INDEX('Lease Cycles'!$BG$10:$BM$10,1,BQ44),'Lease Cycles'!$AV$10&lt;=BQ$6),'Lease Cycles'!$C$10*'Lease Cycles'!$AW$10/12,IF(AND('Lease Cycles'!$AT$10&gt;=INDEX('Lease Cycles'!$BG$10:$BM$10,1,BQ44),'Lease Cycles'!$AT$10&lt;=BQ$6),'Lease Cycles'!$C$10*'Lease Cycles'!$AU$10/12,'Lease Cycles'!$C$10*INDEX('Lease Cycles'!$CB$10:$CH$10,1,BQ44)*(1+INDEX('Lease Cycles'!$CI$10:$CO$10,1,BQ44))^INT(INT(BQ45/12)/INDEX('Lease Cycles'!$CP$10:$CV$10,1,BQ44))/12)))),'Lease Cycles'!$C$10*INDEX('Lease Cycles'!$CB$10:$CH$10,1,BQ44)*(1+INDEX('Lease Cycles'!$CI$10:$CO$10,1,BQ44))^INT(INT(BQ45/12)/INDEX('Lease Cycles'!$CP$10:$CV$10,1,BQ44))/12))),IF('Lease Cycles'!$N$10=1,'Lease Cycles'!$C$10*'Lease Cycles'!$E$10*INDEX('Lease Cycles'!$HE$10:$HK$10,1,BQ44)*(1+INDEX('Lease Cycles'!$GQ$10:$GW$10,1,BQ44))^INT(INT((BQ$6-INDEX('Lease Cycles'!$GJ$10:$GP$10,1,BQ44))/12)/INDEX('Lease Cycles'!$GX$10:$HD$10,1,BQ44))/12,0)))</f>
        <v>8000</v>
      </c>
      <c r="BR47" s="28">
        <f>IF(BR44=0,IF('Lease Cycles'!$F$10&gt;0,'Lease Cycles'!$C$10*'Lease Cycles'!$E$10/12,0),IF(BR46=1,IF('Lease Cycles'!$AT$10&gt;=9999,'Lease Cycles'!$C$10*INDEX('Lease Cycles'!$CB$10:$CH$10,1,BR44)*(1+INDEX('Lease Cycles'!$CI$10:$CO$10,1,BR44))^INT(INT(BR45/12)/INDEX('Lease Cycles'!$CP$10:$CV$10,1,BR44))/12,IF(BR44=1,IF(BR45&gt;=INDEX('Lease Cycles'!$DK$10:$DQ$10,1,BR44),IF(BR$6&gt;='Lease Cycles'!$AZ$10,'Lease Cycles'!$C$10*'Lease Cycles'!$BA$10/12,IF(BR$6&gt;='Lease Cycles'!$AX$10,'Lease Cycles'!$C$10*'Lease Cycles'!$AY$10/12,IF(BR$6&gt;='Lease Cycles'!$AV$10,'Lease Cycles'!$C$10*'Lease Cycles'!$AW$10/12,IF(BR$6&gt;='Lease Cycles'!$AT$10,'Lease Cycles'!$C$10*'Lease Cycles'!$AU$10/12,'Lease Cycles'!$C$10*INDEX('Lease Cycles'!$CB$10:$CH$10,1,BR44)*(1+INDEX('Lease Cycles'!$CI$10:$CO$10,1,BR44))^INT(INT(BR45/12)/INDEX('Lease Cycles'!$CP$10:$CV$10,1,BR44))/12)))),'Lease Cycles'!$C$10*INDEX('Lease Cycles'!$CB$10:$CH$10,1,BR44)*(1+INDEX('Lease Cycles'!$CI$10:$CO$10,1,BR44))^INT(INT(BR45/12)/INDEX('Lease Cycles'!$CP$10:$CV$10,1,BR44))/12),IF(INDEX('Lease Cycles'!$EF$10:$EL$10,1,BR44)=1,IF(AND('Lease Cycles'!$AZ$10&gt;=INDEX('Lease Cycles'!$BG$10:$BM$10,1,BR44),'Lease Cycles'!$AZ$10&lt;=BR$6),'Lease Cycles'!$C$10*'Lease Cycles'!$BA$10/12,IF(AND('Lease Cycles'!$AX$10&gt;=INDEX('Lease Cycles'!$BG$10:$BM$10,1,BR44),'Lease Cycles'!$AX$10&lt;=BR$6),'Lease Cycles'!$C$10*'Lease Cycles'!$AY$10/12,IF(AND('Lease Cycles'!$AV$10&gt;=INDEX('Lease Cycles'!$BG$10:$BM$10,1,BR44),'Lease Cycles'!$AV$10&lt;=BR$6),'Lease Cycles'!$C$10*'Lease Cycles'!$AW$10/12,IF(AND('Lease Cycles'!$AT$10&gt;=INDEX('Lease Cycles'!$BG$10:$BM$10,1,BR44),'Lease Cycles'!$AT$10&lt;=BR$6),'Lease Cycles'!$C$10*'Lease Cycles'!$AU$10/12,'Lease Cycles'!$C$10*INDEX('Lease Cycles'!$CB$10:$CH$10,1,BR44)*(1+INDEX('Lease Cycles'!$CI$10:$CO$10,1,BR44))^INT(INT(BR45/12)/INDEX('Lease Cycles'!$CP$10:$CV$10,1,BR44))/12)))),'Lease Cycles'!$C$10*INDEX('Lease Cycles'!$CB$10:$CH$10,1,BR44)*(1+INDEX('Lease Cycles'!$CI$10:$CO$10,1,BR44))^INT(INT(BR45/12)/INDEX('Lease Cycles'!$CP$10:$CV$10,1,BR44))/12))),IF('Lease Cycles'!$N$10=1,'Lease Cycles'!$C$10*'Lease Cycles'!$E$10*INDEX('Lease Cycles'!$HE$10:$HK$10,1,BR44)*(1+INDEX('Lease Cycles'!$GQ$10:$GW$10,1,BR44))^INT(INT((BR$6-INDEX('Lease Cycles'!$GJ$10:$GP$10,1,BR44))/12)/INDEX('Lease Cycles'!$GX$10:$HD$10,1,BR44))/12,0)))</f>
        <v>8000</v>
      </c>
      <c r="BS47" s="28">
        <f>IF(BS44=0,IF('Lease Cycles'!$F$10&gt;0,'Lease Cycles'!$C$10*'Lease Cycles'!$E$10/12,0),IF(BS46=1,IF('Lease Cycles'!$AT$10&gt;=9999,'Lease Cycles'!$C$10*INDEX('Lease Cycles'!$CB$10:$CH$10,1,BS44)*(1+INDEX('Lease Cycles'!$CI$10:$CO$10,1,BS44))^INT(INT(BS45/12)/INDEX('Lease Cycles'!$CP$10:$CV$10,1,BS44))/12,IF(BS44=1,IF(BS45&gt;=INDEX('Lease Cycles'!$DK$10:$DQ$10,1,BS44),IF(BS$6&gt;='Lease Cycles'!$AZ$10,'Lease Cycles'!$C$10*'Lease Cycles'!$BA$10/12,IF(BS$6&gt;='Lease Cycles'!$AX$10,'Lease Cycles'!$C$10*'Lease Cycles'!$AY$10/12,IF(BS$6&gt;='Lease Cycles'!$AV$10,'Lease Cycles'!$C$10*'Lease Cycles'!$AW$10/12,IF(BS$6&gt;='Lease Cycles'!$AT$10,'Lease Cycles'!$C$10*'Lease Cycles'!$AU$10/12,'Lease Cycles'!$C$10*INDEX('Lease Cycles'!$CB$10:$CH$10,1,BS44)*(1+INDEX('Lease Cycles'!$CI$10:$CO$10,1,BS44))^INT(INT(BS45/12)/INDEX('Lease Cycles'!$CP$10:$CV$10,1,BS44))/12)))),'Lease Cycles'!$C$10*INDEX('Lease Cycles'!$CB$10:$CH$10,1,BS44)*(1+INDEX('Lease Cycles'!$CI$10:$CO$10,1,BS44))^INT(INT(BS45/12)/INDEX('Lease Cycles'!$CP$10:$CV$10,1,BS44))/12),IF(INDEX('Lease Cycles'!$EF$10:$EL$10,1,BS44)=1,IF(AND('Lease Cycles'!$AZ$10&gt;=INDEX('Lease Cycles'!$BG$10:$BM$10,1,BS44),'Lease Cycles'!$AZ$10&lt;=BS$6),'Lease Cycles'!$C$10*'Lease Cycles'!$BA$10/12,IF(AND('Lease Cycles'!$AX$10&gt;=INDEX('Lease Cycles'!$BG$10:$BM$10,1,BS44),'Lease Cycles'!$AX$10&lt;=BS$6),'Lease Cycles'!$C$10*'Lease Cycles'!$AY$10/12,IF(AND('Lease Cycles'!$AV$10&gt;=INDEX('Lease Cycles'!$BG$10:$BM$10,1,BS44),'Lease Cycles'!$AV$10&lt;=BS$6),'Lease Cycles'!$C$10*'Lease Cycles'!$AW$10/12,IF(AND('Lease Cycles'!$AT$10&gt;=INDEX('Lease Cycles'!$BG$10:$BM$10,1,BS44),'Lease Cycles'!$AT$10&lt;=BS$6),'Lease Cycles'!$C$10*'Lease Cycles'!$AU$10/12,'Lease Cycles'!$C$10*INDEX('Lease Cycles'!$CB$10:$CH$10,1,BS44)*(1+INDEX('Lease Cycles'!$CI$10:$CO$10,1,BS44))^INT(INT(BS45/12)/INDEX('Lease Cycles'!$CP$10:$CV$10,1,BS44))/12)))),'Lease Cycles'!$C$10*INDEX('Lease Cycles'!$CB$10:$CH$10,1,BS44)*(1+INDEX('Lease Cycles'!$CI$10:$CO$10,1,BS44))^INT(INT(BS45/12)/INDEX('Lease Cycles'!$CP$10:$CV$10,1,BS44))/12))),IF('Lease Cycles'!$N$10=1,'Lease Cycles'!$C$10*'Lease Cycles'!$E$10*INDEX('Lease Cycles'!$HE$10:$HK$10,1,BS44)*(1+INDEX('Lease Cycles'!$GQ$10:$GW$10,1,BS44))^INT(INT((BS$6-INDEX('Lease Cycles'!$GJ$10:$GP$10,1,BS44))/12)/INDEX('Lease Cycles'!$GX$10:$HD$10,1,BS44))/12,0)))</f>
        <v>8000</v>
      </c>
      <c r="BT47" s="28">
        <f>IF(BT44=0,IF('Lease Cycles'!$F$10&gt;0,'Lease Cycles'!$C$10*'Lease Cycles'!$E$10/12,0),IF(BT46=1,IF('Lease Cycles'!$AT$10&gt;=9999,'Lease Cycles'!$C$10*INDEX('Lease Cycles'!$CB$10:$CH$10,1,BT44)*(1+INDEX('Lease Cycles'!$CI$10:$CO$10,1,BT44))^INT(INT(BT45/12)/INDEX('Lease Cycles'!$CP$10:$CV$10,1,BT44))/12,IF(BT44=1,IF(BT45&gt;=INDEX('Lease Cycles'!$DK$10:$DQ$10,1,BT44),IF(BT$6&gt;='Lease Cycles'!$AZ$10,'Lease Cycles'!$C$10*'Lease Cycles'!$BA$10/12,IF(BT$6&gt;='Lease Cycles'!$AX$10,'Lease Cycles'!$C$10*'Lease Cycles'!$AY$10/12,IF(BT$6&gt;='Lease Cycles'!$AV$10,'Lease Cycles'!$C$10*'Lease Cycles'!$AW$10/12,IF(BT$6&gt;='Lease Cycles'!$AT$10,'Lease Cycles'!$C$10*'Lease Cycles'!$AU$10/12,'Lease Cycles'!$C$10*INDEX('Lease Cycles'!$CB$10:$CH$10,1,BT44)*(1+INDEX('Lease Cycles'!$CI$10:$CO$10,1,BT44))^INT(INT(BT45/12)/INDEX('Lease Cycles'!$CP$10:$CV$10,1,BT44))/12)))),'Lease Cycles'!$C$10*INDEX('Lease Cycles'!$CB$10:$CH$10,1,BT44)*(1+INDEX('Lease Cycles'!$CI$10:$CO$10,1,BT44))^INT(INT(BT45/12)/INDEX('Lease Cycles'!$CP$10:$CV$10,1,BT44))/12),IF(INDEX('Lease Cycles'!$EF$10:$EL$10,1,BT44)=1,IF(AND('Lease Cycles'!$AZ$10&gt;=INDEX('Lease Cycles'!$BG$10:$BM$10,1,BT44),'Lease Cycles'!$AZ$10&lt;=BT$6),'Lease Cycles'!$C$10*'Lease Cycles'!$BA$10/12,IF(AND('Lease Cycles'!$AX$10&gt;=INDEX('Lease Cycles'!$BG$10:$BM$10,1,BT44),'Lease Cycles'!$AX$10&lt;=BT$6),'Lease Cycles'!$C$10*'Lease Cycles'!$AY$10/12,IF(AND('Lease Cycles'!$AV$10&gt;=INDEX('Lease Cycles'!$BG$10:$BM$10,1,BT44),'Lease Cycles'!$AV$10&lt;=BT$6),'Lease Cycles'!$C$10*'Lease Cycles'!$AW$10/12,IF(AND('Lease Cycles'!$AT$10&gt;=INDEX('Lease Cycles'!$BG$10:$BM$10,1,BT44),'Lease Cycles'!$AT$10&lt;=BT$6),'Lease Cycles'!$C$10*'Lease Cycles'!$AU$10/12,'Lease Cycles'!$C$10*INDEX('Lease Cycles'!$CB$10:$CH$10,1,BT44)*(1+INDEX('Lease Cycles'!$CI$10:$CO$10,1,BT44))^INT(INT(BT45/12)/INDEX('Lease Cycles'!$CP$10:$CV$10,1,BT44))/12)))),'Lease Cycles'!$C$10*INDEX('Lease Cycles'!$CB$10:$CH$10,1,BT44)*(1+INDEX('Lease Cycles'!$CI$10:$CO$10,1,BT44))^INT(INT(BT45/12)/INDEX('Lease Cycles'!$CP$10:$CV$10,1,BT44))/12))),IF('Lease Cycles'!$N$10=1,'Lease Cycles'!$C$10*'Lease Cycles'!$E$10*INDEX('Lease Cycles'!$HE$10:$HK$10,1,BT44)*(1+INDEX('Lease Cycles'!$GQ$10:$GW$10,1,BT44))^INT(INT((BT$6-INDEX('Lease Cycles'!$GJ$10:$GP$10,1,BT44))/12)/INDEX('Lease Cycles'!$GX$10:$HD$10,1,BT44))/12,0)))</f>
        <v>8000</v>
      </c>
      <c r="BU47" s="28">
        <f>IF(BU44=0,IF('Lease Cycles'!$F$10&gt;0,'Lease Cycles'!$C$10*'Lease Cycles'!$E$10/12,0),IF(BU46=1,IF('Lease Cycles'!$AT$10&gt;=9999,'Lease Cycles'!$C$10*INDEX('Lease Cycles'!$CB$10:$CH$10,1,BU44)*(1+INDEX('Lease Cycles'!$CI$10:$CO$10,1,BU44))^INT(INT(BU45/12)/INDEX('Lease Cycles'!$CP$10:$CV$10,1,BU44))/12,IF(BU44=1,IF(BU45&gt;=INDEX('Lease Cycles'!$DK$10:$DQ$10,1,BU44),IF(BU$6&gt;='Lease Cycles'!$AZ$10,'Lease Cycles'!$C$10*'Lease Cycles'!$BA$10/12,IF(BU$6&gt;='Lease Cycles'!$AX$10,'Lease Cycles'!$C$10*'Lease Cycles'!$AY$10/12,IF(BU$6&gt;='Lease Cycles'!$AV$10,'Lease Cycles'!$C$10*'Lease Cycles'!$AW$10/12,IF(BU$6&gt;='Lease Cycles'!$AT$10,'Lease Cycles'!$C$10*'Lease Cycles'!$AU$10/12,'Lease Cycles'!$C$10*INDEX('Lease Cycles'!$CB$10:$CH$10,1,BU44)*(1+INDEX('Lease Cycles'!$CI$10:$CO$10,1,BU44))^INT(INT(BU45/12)/INDEX('Lease Cycles'!$CP$10:$CV$10,1,BU44))/12)))),'Lease Cycles'!$C$10*INDEX('Lease Cycles'!$CB$10:$CH$10,1,BU44)*(1+INDEX('Lease Cycles'!$CI$10:$CO$10,1,BU44))^INT(INT(BU45/12)/INDEX('Lease Cycles'!$CP$10:$CV$10,1,BU44))/12),IF(INDEX('Lease Cycles'!$EF$10:$EL$10,1,BU44)=1,IF(AND('Lease Cycles'!$AZ$10&gt;=INDEX('Lease Cycles'!$BG$10:$BM$10,1,BU44),'Lease Cycles'!$AZ$10&lt;=BU$6),'Lease Cycles'!$C$10*'Lease Cycles'!$BA$10/12,IF(AND('Lease Cycles'!$AX$10&gt;=INDEX('Lease Cycles'!$BG$10:$BM$10,1,BU44),'Lease Cycles'!$AX$10&lt;=BU$6),'Lease Cycles'!$C$10*'Lease Cycles'!$AY$10/12,IF(AND('Lease Cycles'!$AV$10&gt;=INDEX('Lease Cycles'!$BG$10:$BM$10,1,BU44),'Lease Cycles'!$AV$10&lt;=BU$6),'Lease Cycles'!$C$10*'Lease Cycles'!$AW$10/12,IF(AND('Lease Cycles'!$AT$10&gt;=INDEX('Lease Cycles'!$BG$10:$BM$10,1,BU44),'Lease Cycles'!$AT$10&lt;=BU$6),'Lease Cycles'!$C$10*'Lease Cycles'!$AU$10/12,'Lease Cycles'!$C$10*INDEX('Lease Cycles'!$CB$10:$CH$10,1,BU44)*(1+INDEX('Lease Cycles'!$CI$10:$CO$10,1,BU44))^INT(INT(BU45/12)/INDEX('Lease Cycles'!$CP$10:$CV$10,1,BU44))/12)))),'Lease Cycles'!$C$10*INDEX('Lease Cycles'!$CB$10:$CH$10,1,BU44)*(1+INDEX('Lease Cycles'!$CI$10:$CO$10,1,BU44))^INT(INT(BU45/12)/INDEX('Lease Cycles'!$CP$10:$CV$10,1,BU44))/12))),IF('Lease Cycles'!$N$10=1,'Lease Cycles'!$C$10*'Lease Cycles'!$E$10*INDEX('Lease Cycles'!$HE$10:$HK$10,1,BU44)*(1+INDEX('Lease Cycles'!$GQ$10:$GW$10,1,BU44))^INT(INT((BU$6-INDEX('Lease Cycles'!$GJ$10:$GP$10,1,BU44))/12)/INDEX('Lease Cycles'!$GX$10:$HD$10,1,BU44))/12,0)))</f>
        <v>8000</v>
      </c>
      <c r="BV47" s="28">
        <f>IF(BV44=0,IF('Lease Cycles'!$F$10&gt;0,'Lease Cycles'!$C$10*'Lease Cycles'!$E$10/12,0),IF(BV46=1,IF('Lease Cycles'!$AT$10&gt;=9999,'Lease Cycles'!$C$10*INDEX('Lease Cycles'!$CB$10:$CH$10,1,BV44)*(1+INDEX('Lease Cycles'!$CI$10:$CO$10,1,BV44))^INT(INT(BV45/12)/INDEX('Lease Cycles'!$CP$10:$CV$10,1,BV44))/12,IF(BV44=1,IF(BV45&gt;=INDEX('Lease Cycles'!$DK$10:$DQ$10,1,BV44),IF(BV$6&gt;='Lease Cycles'!$AZ$10,'Lease Cycles'!$C$10*'Lease Cycles'!$BA$10/12,IF(BV$6&gt;='Lease Cycles'!$AX$10,'Lease Cycles'!$C$10*'Lease Cycles'!$AY$10/12,IF(BV$6&gt;='Lease Cycles'!$AV$10,'Lease Cycles'!$C$10*'Lease Cycles'!$AW$10/12,IF(BV$6&gt;='Lease Cycles'!$AT$10,'Lease Cycles'!$C$10*'Lease Cycles'!$AU$10/12,'Lease Cycles'!$C$10*INDEX('Lease Cycles'!$CB$10:$CH$10,1,BV44)*(1+INDEX('Lease Cycles'!$CI$10:$CO$10,1,BV44))^INT(INT(BV45/12)/INDEX('Lease Cycles'!$CP$10:$CV$10,1,BV44))/12)))),'Lease Cycles'!$C$10*INDEX('Lease Cycles'!$CB$10:$CH$10,1,BV44)*(1+INDEX('Lease Cycles'!$CI$10:$CO$10,1,BV44))^INT(INT(BV45/12)/INDEX('Lease Cycles'!$CP$10:$CV$10,1,BV44))/12),IF(INDEX('Lease Cycles'!$EF$10:$EL$10,1,BV44)=1,IF(AND('Lease Cycles'!$AZ$10&gt;=INDEX('Lease Cycles'!$BG$10:$BM$10,1,BV44),'Lease Cycles'!$AZ$10&lt;=BV$6),'Lease Cycles'!$C$10*'Lease Cycles'!$BA$10/12,IF(AND('Lease Cycles'!$AX$10&gt;=INDEX('Lease Cycles'!$BG$10:$BM$10,1,BV44),'Lease Cycles'!$AX$10&lt;=BV$6),'Lease Cycles'!$C$10*'Lease Cycles'!$AY$10/12,IF(AND('Lease Cycles'!$AV$10&gt;=INDEX('Lease Cycles'!$BG$10:$BM$10,1,BV44),'Lease Cycles'!$AV$10&lt;=BV$6),'Lease Cycles'!$C$10*'Lease Cycles'!$AW$10/12,IF(AND('Lease Cycles'!$AT$10&gt;=INDEX('Lease Cycles'!$BG$10:$BM$10,1,BV44),'Lease Cycles'!$AT$10&lt;=BV$6),'Lease Cycles'!$C$10*'Lease Cycles'!$AU$10/12,'Lease Cycles'!$C$10*INDEX('Lease Cycles'!$CB$10:$CH$10,1,BV44)*(1+INDEX('Lease Cycles'!$CI$10:$CO$10,1,BV44))^INT(INT(BV45/12)/INDEX('Lease Cycles'!$CP$10:$CV$10,1,BV44))/12)))),'Lease Cycles'!$C$10*INDEX('Lease Cycles'!$CB$10:$CH$10,1,BV44)*(1+INDEX('Lease Cycles'!$CI$10:$CO$10,1,BV44))^INT(INT(BV45/12)/INDEX('Lease Cycles'!$CP$10:$CV$10,1,BV44))/12))),IF('Lease Cycles'!$N$10=1,'Lease Cycles'!$C$10*'Lease Cycles'!$E$10*INDEX('Lease Cycles'!$HE$10:$HK$10,1,BV44)*(1+INDEX('Lease Cycles'!$GQ$10:$GW$10,1,BV44))^INT(INT((BV$6-INDEX('Lease Cycles'!$GJ$10:$GP$10,1,BV44))/12)/INDEX('Lease Cycles'!$GX$10:$HD$10,1,BV44))/12,0)))</f>
        <v>8000</v>
      </c>
      <c r="BW47" s="28">
        <f>IF(BW44=0,IF('Lease Cycles'!$F$10&gt;0,'Lease Cycles'!$C$10*'Lease Cycles'!$E$10/12,0),IF(BW46=1,IF('Lease Cycles'!$AT$10&gt;=9999,'Lease Cycles'!$C$10*INDEX('Lease Cycles'!$CB$10:$CH$10,1,BW44)*(1+INDEX('Lease Cycles'!$CI$10:$CO$10,1,BW44))^INT(INT(BW45/12)/INDEX('Lease Cycles'!$CP$10:$CV$10,1,BW44))/12,IF(BW44=1,IF(BW45&gt;=INDEX('Lease Cycles'!$DK$10:$DQ$10,1,BW44),IF(BW$6&gt;='Lease Cycles'!$AZ$10,'Lease Cycles'!$C$10*'Lease Cycles'!$BA$10/12,IF(BW$6&gt;='Lease Cycles'!$AX$10,'Lease Cycles'!$C$10*'Lease Cycles'!$AY$10/12,IF(BW$6&gt;='Lease Cycles'!$AV$10,'Lease Cycles'!$C$10*'Lease Cycles'!$AW$10/12,IF(BW$6&gt;='Lease Cycles'!$AT$10,'Lease Cycles'!$C$10*'Lease Cycles'!$AU$10/12,'Lease Cycles'!$C$10*INDEX('Lease Cycles'!$CB$10:$CH$10,1,BW44)*(1+INDEX('Lease Cycles'!$CI$10:$CO$10,1,BW44))^INT(INT(BW45/12)/INDEX('Lease Cycles'!$CP$10:$CV$10,1,BW44))/12)))),'Lease Cycles'!$C$10*INDEX('Lease Cycles'!$CB$10:$CH$10,1,BW44)*(1+INDEX('Lease Cycles'!$CI$10:$CO$10,1,BW44))^INT(INT(BW45/12)/INDEX('Lease Cycles'!$CP$10:$CV$10,1,BW44))/12),IF(INDEX('Lease Cycles'!$EF$10:$EL$10,1,BW44)=1,IF(AND('Lease Cycles'!$AZ$10&gt;=INDEX('Lease Cycles'!$BG$10:$BM$10,1,BW44),'Lease Cycles'!$AZ$10&lt;=BW$6),'Lease Cycles'!$C$10*'Lease Cycles'!$BA$10/12,IF(AND('Lease Cycles'!$AX$10&gt;=INDEX('Lease Cycles'!$BG$10:$BM$10,1,BW44),'Lease Cycles'!$AX$10&lt;=BW$6),'Lease Cycles'!$C$10*'Lease Cycles'!$AY$10/12,IF(AND('Lease Cycles'!$AV$10&gt;=INDEX('Lease Cycles'!$BG$10:$BM$10,1,BW44),'Lease Cycles'!$AV$10&lt;=BW$6),'Lease Cycles'!$C$10*'Lease Cycles'!$AW$10/12,IF(AND('Lease Cycles'!$AT$10&gt;=INDEX('Lease Cycles'!$BG$10:$BM$10,1,BW44),'Lease Cycles'!$AT$10&lt;=BW$6),'Lease Cycles'!$C$10*'Lease Cycles'!$AU$10/12,'Lease Cycles'!$C$10*INDEX('Lease Cycles'!$CB$10:$CH$10,1,BW44)*(1+INDEX('Lease Cycles'!$CI$10:$CO$10,1,BW44))^INT(INT(BW45/12)/INDEX('Lease Cycles'!$CP$10:$CV$10,1,BW44))/12)))),'Lease Cycles'!$C$10*INDEX('Lease Cycles'!$CB$10:$CH$10,1,BW44)*(1+INDEX('Lease Cycles'!$CI$10:$CO$10,1,BW44))^INT(INT(BW45/12)/INDEX('Lease Cycles'!$CP$10:$CV$10,1,BW44))/12))),IF('Lease Cycles'!$N$10=1,'Lease Cycles'!$C$10*'Lease Cycles'!$E$10*INDEX('Lease Cycles'!$HE$10:$HK$10,1,BW44)*(1+INDEX('Lease Cycles'!$GQ$10:$GW$10,1,BW44))^INT(INT((BW$6-INDEX('Lease Cycles'!$GJ$10:$GP$10,1,BW44))/12)/INDEX('Lease Cycles'!$GX$10:$HD$10,1,BW44))/12,0)))</f>
        <v>8000</v>
      </c>
      <c r="BX47" s="28">
        <f>IF(BX44=0,IF('Lease Cycles'!$F$10&gt;0,'Lease Cycles'!$C$10*'Lease Cycles'!$E$10/12,0),IF(BX46=1,IF('Lease Cycles'!$AT$10&gt;=9999,'Lease Cycles'!$C$10*INDEX('Lease Cycles'!$CB$10:$CH$10,1,BX44)*(1+INDEX('Lease Cycles'!$CI$10:$CO$10,1,BX44))^INT(INT(BX45/12)/INDEX('Lease Cycles'!$CP$10:$CV$10,1,BX44))/12,IF(BX44=1,IF(BX45&gt;=INDEX('Lease Cycles'!$DK$10:$DQ$10,1,BX44),IF(BX$6&gt;='Lease Cycles'!$AZ$10,'Lease Cycles'!$C$10*'Lease Cycles'!$BA$10/12,IF(BX$6&gt;='Lease Cycles'!$AX$10,'Lease Cycles'!$C$10*'Lease Cycles'!$AY$10/12,IF(BX$6&gt;='Lease Cycles'!$AV$10,'Lease Cycles'!$C$10*'Lease Cycles'!$AW$10/12,IF(BX$6&gt;='Lease Cycles'!$AT$10,'Lease Cycles'!$C$10*'Lease Cycles'!$AU$10/12,'Lease Cycles'!$C$10*INDEX('Lease Cycles'!$CB$10:$CH$10,1,BX44)*(1+INDEX('Lease Cycles'!$CI$10:$CO$10,1,BX44))^INT(INT(BX45/12)/INDEX('Lease Cycles'!$CP$10:$CV$10,1,BX44))/12)))),'Lease Cycles'!$C$10*INDEX('Lease Cycles'!$CB$10:$CH$10,1,BX44)*(1+INDEX('Lease Cycles'!$CI$10:$CO$10,1,BX44))^INT(INT(BX45/12)/INDEX('Lease Cycles'!$CP$10:$CV$10,1,BX44))/12),IF(INDEX('Lease Cycles'!$EF$10:$EL$10,1,BX44)=1,IF(AND('Lease Cycles'!$AZ$10&gt;=INDEX('Lease Cycles'!$BG$10:$BM$10,1,BX44),'Lease Cycles'!$AZ$10&lt;=BX$6),'Lease Cycles'!$C$10*'Lease Cycles'!$BA$10/12,IF(AND('Lease Cycles'!$AX$10&gt;=INDEX('Lease Cycles'!$BG$10:$BM$10,1,BX44),'Lease Cycles'!$AX$10&lt;=BX$6),'Lease Cycles'!$C$10*'Lease Cycles'!$AY$10/12,IF(AND('Lease Cycles'!$AV$10&gt;=INDEX('Lease Cycles'!$BG$10:$BM$10,1,BX44),'Lease Cycles'!$AV$10&lt;=BX$6),'Lease Cycles'!$C$10*'Lease Cycles'!$AW$10/12,IF(AND('Lease Cycles'!$AT$10&gt;=INDEX('Lease Cycles'!$BG$10:$BM$10,1,BX44),'Lease Cycles'!$AT$10&lt;=BX$6),'Lease Cycles'!$C$10*'Lease Cycles'!$AU$10/12,'Lease Cycles'!$C$10*INDEX('Lease Cycles'!$CB$10:$CH$10,1,BX44)*(1+INDEX('Lease Cycles'!$CI$10:$CO$10,1,BX44))^INT(INT(BX45/12)/INDEX('Lease Cycles'!$CP$10:$CV$10,1,BX44))/12)))),'Lease Cycles'!$C$10*INDEX('Lease Cycles'!$CB$10:$CH$10,1,BX44)*(1+INDEX('Lease Cycles'!$CI$10:$CO$10,1,BX44))^INT(INT(BX45/12)/INDEX('Lease Cycles'!$CP$10:$CV$10,1,BX44))/12))),IF('Lease Cycles'!$N$10=1,'Lease Cycles'!$C$10*'Lease Cycles'!$E$10*INDEX('Lease Cycles'!$HE$10:$HK$10,1,BX44)*(1+INDEX('Lease Cycles'!$GQ$10:$GW$10,1,BX44))^INT(INT((BX$6-INDEX('Lease Cycles'!$GJ$10:$GP$10,1,BX44))/12)/INDEX('Lease Cycles'!$GX$10:$HD$10,1,BX44))/12,0)))</f>
        <v>8000</v>
      </c>
      <c r="BY47" s="28">
        <f>IF(BY44=0,IF('Lease Cycles'!$F$10&gt;0,'Lease Cycles'!$C$10*'Lease Cycles'!$E$10/12,0),IF(BY46=1,IF('Lease Cycles'!$AT$10&gt;=9999,'Lease Cycles'!$C$10*INDEX('Lease Cycles'!$CB$10:$CH$10,1,BY44)*(1+INDEX('Lease Cycles'!$CI$10:$CO$10,1,BY44))^INT(INT(BY45/12)/INDEX('Lease Cycles'!$CP$10:$CV$10,1,BY44))/12,IF(BY44=1,IF(BY45&gt;=INDEX('Lease Cycles'!$DK$10:$DQ$10,1,BY44),IF(BY$6&gt;='Lease Cycles'!$AZ$10,'Lease Cycles'!$C$10*'Lease Cycles'!$BA$10/12,IF(BY$6&gt;='Lease Cycles'!$AX$10,'Lease Cycles'!$C$10*'Lease Cycles'!$AY$10/12,IF(BY$6&gt;='Lease Cycles'!$AV$10,'Lease Cycles'!$C$10*'Lease Cycles'!$AW$10/12,IF(BY$6&gt;='Lease Cycles'!$AT$10,'Lease Cycles'!$C$10*'Lease Cycles'!$AU$10/12,'Lease Cycles'!$C$10*INDEX('Lease Cycles'!$CB$10:$CH$10,1,BY44)*(1+INDEX('Lease Cycles'!$CI$10:$CO$10,1,BY44))^INT(INT(BY45/12)/INDEX('Lease Cycles'!$CP$10:$CV$10,1,BY44))/12)))),'Lease Cycles'!$C$10*INDEX('Lease Cycles'!$CB$10:$CH$10,1,BY44)*(1+INDEX('Lease Cycles'!$CI$10:$CO$10,1,BY44))^INT(INT(BY45/12)/INDEX('Lease Cycles'!$CP$10:$CV$10,1,BY44))/12),IF(INDEX('Lease Cycles'!$EF$10:$EL$10,1,BY44)=1,IF(AND('Lease Cycles'!$AZ$10&gt;=INDEX('Lease Cycles'!$BG$10:$BM$10,1,BY44),'Lease Cycles'!$AZ$10&lt;=BY$6),'Lease Cycles'!$C$10*'Lease Cycles'!$BA$10/12,IF(AND('Lease Cycles'!$AX$10&gt;=INDEX('Lease Cycles'!$BG$10:$BM$10,1,BY44),'Lease Cycles'!$AX$10&lt;=BY$6),'Lease Cycles'!$C$10*'Lease Cycles'!$AY$10/12,IF(AND('Lease Cycles'!$AV$10&gt;=INDEX('Lease Cycles'!$BG$10:$BM$10,1,BY44),'Lease Cycles'!$AV$10&lt;=BY$6),'Lease Cycles'!$C$10*'Lease Cycles'!$AW$10/12,IF(AND('Lease Cycles'!$AT$10&gt;=INDEX('Lease Cycles'!$BG$10:$BM$10,1,BY44),'Lease Cycles'!$AT$10&lt;=BY$6),'Lease Cycles'!$C$10*'Lease Cycles'!$AU$10/12,'Lease Cycles'!$C$10*INDEX('Lease Cycles'!$CB$10:$CH$10,1,BY44)*(1+INDEX('Lease Cycles'!$CI$10:$CO$10,1,BY44))^INT(INT(BY45/12)/INDEX('Lease Cycles'!$CP$10:$CV$10,1,BY44))/12)))),'Lease Cycles'!$C$10*INDEX('Lease Cycles'!$CB$10:$CH$10,1,BY44)*(1+INDEX('Lease Cycles'!$CI$10:$CO$10,1,BY44))^INT(INT(BY45/12)/INDEX('Lease Cycles'!$CP$10:$CV$10,1,BY44))/12))),IF('Lease Cycles'!$N$10=1,'Lease Cycles'!$C$10*'Lease Cycles'!$E$10*INDEX('Lease Cycles'!$HE$10:$HK$10,1,BY44)*(1+INDEX('Lease Cycles'!$GQ$10:$GW$10,1,BY44))^INT(INT((BY$6-INDEX('Lease Cycles'!$GJ$10:$GP$10,1,BY44))/12)/INDEX('Lease Cycles'!$GX$10:$HD$10,1,BY44))/12,0)))</f>
        <v>8000</v>
      </c>
      <c r="BZ47" s="28">
        <f>IF(BZ44=0,IF('Lease Cycles'!$F$10&gt;0,'Lease Cycles'!$C$10*'Lease Cycles'!$E$10/12,0),IF(BZ46=1,IF('Lease Cycles'!$AT$10&gt;=9999,'Lease Cycles'!$C$10*INDEX('Lease Cycles'!$CB$10:$CH$10,1,BZ44)*(1+INDEX('Lease Cycles'!$CI$10:$CO$10,1,BZ44))^INT(INT(BZ45/12)/INDEX('Lease Cycles'!$CP$10:$CV$10,1,BZ44))/12,IF(BZ44=1,IF(BZ45&gt;=INDEX('Lease Cycles'!$DK$10:$DQ$10,1,BZ44),IF(BZ$6&gt;='Lease Cycles'!$AZ$10,'Lease Cycles'!$C$10*'Lease Cycles'!$BA$10/12,IF(BZ$6&gt;='Lease Cycles'!$AX$10,'Lease Cycles'!$C$10*'Lease Cycles'!$AY$10/12,IF(BZ$6&gt;='Lease Cycles'!$AV$10,'Lease Cycles'!$C$10*'Lease Cycles'!$AW$10/12,IF(BZ$6&gt;='Lease Cycles'!$AT$10,'Lease Cycles'!$C$10*'Lease Cycles'!$AU$10/12,'Lease Cycles'!$C$10*INDEX('Lease Cycles'!$CB$10:$CH$10,1,BZ44)*(1+INDEX('Lease Cycles'!$CI$10:$CO$10,1,BZ44))^INT(INT(BZ45/12)/INDEX('Lease Cycles'!$CP$10:$CV$10,1,BZ44))/12)))),'Lease Cycles'!$C$10*INDEX('Lease Cycles'!$CB$10:$CH$10,1,BZ44)*(1+INDEX('Lease Cycles'!$CI$10:$CO$10,1,BZ44))^INT(INT(BZ45/12)/INDEX('Lease Cycles'!$CP$10:$CV$10,1,BZ44))/12),IF(INDEX('Lease Cycles'!$EF$10:$EL$10,1,BZ44)=1,IF(AND('Lease Cycles'!$AZ$10&gt;=INDEX('Lease Cycles'!$BG$10:$BM$10,1,BZ44),'Lease Cycles'!$AZ$10&lt;=BZ$6),'Lease Cycles'!$C$10*'Lease Cycles'!$BA$10/12,IF(AND('Lease Cycles'!$AX$10&gt;=INDEX('Lease Cycles'!$BG$10:$BM$10,1,BZ44),'Lease Cycles'!$AX$10&lt;=BZ$6),'Lease Cycles'!$C$10*'Lease Cycles'!$AY$10/12,IF(AND('Lease Cycles'!$AV$10&gt;=INDEX('Lease Cycles'!$BG$10:$BM$10,1,BZ44),'Lease Cycles'!$AV$10&lt;=BZ$6),'Lease Cycles'!$C$10*'Lease Cycles'!$AW$10/12,IF(AND('Lease Cycles'!$AT$10&gt;=INDEX('Lease Cycles'!$BG$10:$BM$10,1,BZ44),'Lease Cycles'!$AT$10&lt;=BZ$6),'Lease Cycles'!$C$10*'Lease Cycles'!$AU$10/12,'Lease Cycles'!$C$10*INDEX('Lease Cycles'!$CB$10:$CH$10,1,BZ44)*(1+INDEX('Lease Cycles'!$CI$10:$CO$10,1,BZ44))^INT(INT(BZ45/12)/INDEX('Lease Cycles'!$CP$10:$CV$10,1,BZ44))/12)))),'Lease Cycles'!$C$10*INDEX('Lease Cycles'!$CB$10:$CH$10,1,BZ44)*(1+INDEX('Lease Cycles'!$CI$10:$CO$10,1,BZ44))^INT(INT(BZ45/12)/INDEX('Lease Cycles'!$CP$10:$CV$10,1,BZ44))/12))),IF('Lease Cycles'!$N$10=1,'Lease Cycles'!$C$10*'Lease Cycles'!$E$10*INDEX('Lease Cycles'!$HE$10:$HK$10,1,BZ44)*(1+INDEX('Lease Cycles'!$GQ$10:$GW$10,1,BZ44))^INT(INT((BZ$6-INDEX('Lease Cycles'!$GJ$10:$GP$10,1,BZ44))/12)/INDEX('Lease Cycles'!$GX$10:$HD$10,1,BZ44))/12,0)))</f>
        <v>8000</v>
      </c>
      <c r="CA47" s="28">
        <f>IF(CA44=0,IF('Lease Cycles'!$F$10&gt;0,'Lease Cycles'!$C$10*'Lease Cycles'!$E$10/12,0),IF(CA46=1,IF('Lease Cycles'!$AT$10&gt;=9999,'Lease Cycles'!$C$10*INDEX('Lease Cycles'!$CB$10:$CH$10,1,CA44)*(1+INDEX('Lease Cycles'!$CI$10:$CO$10,1,CA44))^INT(INT(CA45/12)/INDEX('Lease Cycles'!$CP$10:$CV$10,1,CA44))/12,IF(CA44=1,IF(CA45&gt;=INDEX('Lease Cycles'!$DK$10:$DQ$10,1,CA44),IF(CA$6&gt;='Lease Cycles'!$AZ$10,'Lease Cycles'!$C$10*'Lease Cycles'!$BA$10/12,IF(CA$6&gt;='Lease Cycles'!$AX$10,'Lease Cycles'!$C$10*'Lease Cycles'!$AY$10/12,IF(CA$6&gt;='Lease Cycles'!$AV$10,'Lease Cycles'!$C$10*'Lease Cycles'!$AW$10/12,IF(CA$6&gt;='Lease Cycles'!$AT$10,'Lease Cycles'!$C$10*'Lease Cycles'!$AU$10/12,'Lease Cycles'!$C$10*INDEX('Lease Cycles'!$CB$10:$CH$10,1,CA44)*(1+INDEX('Lease Cycles'!$CI$10:$CO$10,1,CA44))^INT(INT(CA45/12)/INDEX('Lease Cycles'!$CP$10:$CV$10,1,CA44))/12)))),'Lease Cycles'!$C$10*INDEX('Lease Cycles'!$CB$10:$CH$10,1,CA44)*(1+INDEX('Lease Cycles'!$CI$10:$CO$10,1,CA44))^INT(INT(CA45/12)/INDEX('Lease Cycles'!$CP$10:$CV$10,1,CA44))/12),IF(INDEX('Lease Cycles'!$EF$10:$EL$10,1,CA44)=1,IF(AND('Lease Cycles'!$AZ$10&gt;=INDEX('Lease Cycles'!$BG$10:$BM$10,1,CA44),'Lease Cycles'!$AZ$10&lt;=CA$6),'Lease Cycles'!$C$10*'Lease Cycles'!$BA$10/12,IF(AND('Lease Cycles'!$AX$10&gt;=INDEX('Lease Cycles'!$BG$10:$BM$10,1,CA44),'Lease Cycles'!$AX$10&lt;=CA$6),'Lease Cycles'!$C$10*'Lease Cycles'!$AY$10/12,IF(AND('Lease Cycles'!$AV$10&gt;=INDEX('Lease Cycles'!$BG$10:$BM$10,1,CA44),'Lease Cycles'!$AV$10&lt;=CA$6),'Lease Cycles'!$C$10*'Lease Cycles'!$AW$10/12,IF(AND('Lease Cycles'!$AT$10&gt;=INDEX('Lease Cycles'!$BG$10:$BM$10,1,CA44),'Lease Cycles'!$AT$10&lt;=CA$6),'Lease Cycles'!$C$10*'Lease Cycles'!$AU$10/12,'Lease Cycles'!$C$10*INDEX('Lease Cycles'!$CB$10:$CH$10,1,CA44)*(1+INDEX('Lease Cycles'!$CI$10:$CO$10,1,CA44))^INT(INT(CA45/12)/INDEX('Lease Cycles'!$CP$10:$CV$10,1,CA44))/12)))),'Lease Cycles'!$C$10*INDEX('Lease Cycles'!$CB$10:$CH$10,1,CA44)*(1+INDEX('Lease Cycles'!$CI$10:$CO$10,1,CA44))^INT(INT(CA45/12)/INDEX('Lease Cycles'!$CP$10:$CV$10,1,CA44))/12))),IF('Lease Cycles'!$N$10=1,'Lease Cycles'!$C$10*'Lease Cycles'!$E$10*INDEX('Lease Cycles'!$HE$10:$HK$10,1,CA44)*(1+INDEX('Lease Cycles'!$GQ$10:$GW$10,1,CA44))^INT(INT((CA$6-INDEX('Lease Cycles'!$GJ$10:$GP$10,1,CA44))/12)/INDEX('Lease Cycles'!$GX$10:$HD$10,1,CA44))/12,0)))</f>
        <v>9274.192594400001</v>
      </c>
      <c r="CB47" s="28">
        <f>IF(CB44=0,IF('Lease Cycles'!$F$10&gt;0,'Lease Cycles'!$C$10*'Lease Cycles'!$E$10/12,0),IF(CB46=1,IF('Lease Cycles'!$AT$10&gt;=9999,'Lease Cycles'!$C$10*INDEX('Lease Cycles'!$CB$10:$CH$10,1,CB44)*(1+INDEX('Lease Cycles'!$CI$10:$CO$10,1,CB44))^INT(INT(CB45/12)/INDEX('Lease Cycles'!$CP$10:$CV$10,1,CB44))/12,IF(CB44=1,IF(CB45&gt;=INDEX('Lease Cycles'!$DK$10:$DQ$10,1,CB44),IF(CB$6&gt;='Lease Cycles'!$AZ$10,'Lease Cycles'!$C$10*'Lease Cycles'!$BA$10/12,IF(CB$6&gt;='Lease Cycles'!$AX$10,'Lease Cycles'!$C$10*'Lease Cycles'!$AY$10/12,IF(CB$6&gt;='Lease Cycles'!$AV$10,'Lease Cycles'!$C$10*'Lease Cycles'!$AW$10/12,IF(CB$6&gt;='Lease Cycles'!$AT$10,'Lease Cycles'!$C$10*'Lease Cycles'!$AU$10/12,'Lease Cycles'!$C$10*INDEX('Lease Cycles'!$CB$10:$CH$10,1,CB44)*(1+INDEX('Lease Cycles'!$CI$10:$CO$10,1,CB44))^INT(INT(CB45/12)/INDEX('Lease Cycles'!$CP$10:$CV$10,1,CB44))/12)))),'Lease Cycles'!$C$10*INDEX('Lease Cycles'!$CB$10:$CH$10,1,CB44)*(1+INDEX('Lease Cycles'!$CI$10:$CO$10,1,CB44))^INT(INT(CB45/12)/INDEX('Lease Cycles'!$CP$10:$CV$10,1,CB44))/12),IF(INDEX('Lease Cycles'!$EF$10:$EL$10,1,CB44)=1,IF(AND('Lease Cycles'!$AZ$10&gt;=INDEX('Lease Cycles'!$BG$10:$BM$10,1,CB44),'Lease Cycles'!$AZ$10&lt;=CB$6),'Lease Cycles'!$C$10*'Lease Cycles'!$BA$10/12,IF(AND('Lease Cycles'!$AX$10&gt;=INDEX('Lease Cycles'!$BG$10:$BM$10,1,CB44),'Lease Cycles'!$AX$10&lt;=CB$6),'Lease Cycles'!$C$10*'Lease Cycles'!$AY$10/12,IF(AND('Lease Cycles'!$AV$10&gt;=INDEX('Lease Cycles'!$BG$10:$BM$10,1,CB44),'Lease Cycles'!$AV$10&lt;=CB$6),'Lease Cycles'!$C$10*'Lease Cycles'!$AW$10/12,IF(AND('Lease Cycles'!$AT$10&gt;=INDEX('Lease Cycles'!$BG$10:$BM$10,1,CB44),'Lease Cycles'!$AT$10&lt;=CB$6),'Lease Cycles'!$C$10*'Lease Cycles'!$AU$10/12,'Lease Cycles'!$C$10*INDEX('Lease Cycles'!$CB$10:$CH$10,1,CB44)*(1+INDEX('Lease Cycles'!$CI$10:$CO$10,1,CB44))^INT(INT(CB45/12)/INDEX('Lease Cycles'!$CP$10:$CV$10,1,CB44))/12)))),'Lease Cycles'!$C$10*INDEX('Lease Cycles'!$CB$10:$CH$10,1,CB44)*(1+INDEX('Lease Cycles'!$CI$10:$CO$10,1,CB44))^INT(INT(CB45/12)/INDEX('Lease Cycles'!$CP$10:$CV$10,1,CB44))/12))),IF('Lease Cycles'!$N$10=1,'Lease Cycles'!$C$10*'Lease Cycles'!$E$10*INDEX('Lease Cycles'!$HE$10:$HK$10,1,CB44)*(1+INDEX('Lease Cycles'!$GQ$10:$GW$10,1,CB44))^INT(INT((CB$6-INDEX('Lease Cycles'!$GJ$10:$GP$10,1,CB44))/12)/INDEX('Lease Cycles'!$GX$10:$HD$10,1,CB44))/12,0)))</f>
        <v>9372.603910457065</v>
      </c>
      <c r="CC47" s="28">
        <f>IF(CC44=0,IF('Lease Cycles'!$F$10&gt;0,'Lease Cycles'!$C$10*'Lease Cycles'!$E$10/12,0),IF(CC46=1,IF('Lease Cycles'!$AT$10&gt;=9999,'Lease Cycles'!$C$10*INDEX('Lease Cycles'!$CB$10:$CH$10,1,CC44)*(1+INDEX('Lease Cycles'!$CI$10:$CO$10,1,CC44))^INT(INT(CC45/12)/INDEX('Lease Cycles'!$CP$10:$CV$10,1,CC44))/12,IF(CC44=1,IF(CC45&gt;=INDEX('Lease Cycles'!$DK$10:$DQ$10,1,CC44),IF(CC$6&gt;='Lease Cycles'!$AZ$10,'Lease Cycles'!$C$10*'Lease Cycles'!$BA$10/12,IF(CC$6&gt;='Lease Cycles'!$AX$10,'Lease Cycles'!$C$10*'Lease Cycles'!$AY$10/12,IF(CC$6&gt;='Lease Cycles'!$AV$10,'Lease Cycles'!$C$10*'Lease Cycles'!$AW$10/12,IF(CC$6&gt;='Lease Cycles'!$AT$10,'Lease Cycles'!$C$10*'Lease Cycles'!$AU$10/12,'Lease Cycles'!$C$10*INDEX('Lease Cycles'!$CB$10:$CH$10,1,CC44)*(1+INDEX('Lease Cycles'!$CI$10:$CO$10,1,CC44))^INT(INT(CC45/12)/INDEX('Lease Cycles'!$CP$10:$CV$10,1,CC44))/12)))),'Lease Cycles'!$C$10*INDEX('Lease Cycles'!$CB$10:$CH$10,1,CC44)*(1+INDEX('Lease Cycles'!$CI$10:$CO$10,1,CC44))^INT(INT(CC45/12)/INDEX('Lease Cycles'!$CP$10:$CV$10,1,CC44))/12),IF(INDEX('Lease Cycles'!$EF$10:$EL$10,1,CC44)=1,IF(AND('Lease Cycles'!$AZ$10&gt;=INDEX('Lease Cycles'!$BG$10:$BM$10,1,CC44),'Lease Cycles'!$AZ$10&lt;=CC$6),'Lease Cycles'!$C$10*'Lease Cycles'!$BA$10/12,IF(AND('Lease Cycles'!$AX$10&gt;=INDEX('Lease Cycles'!$BG$10:$BM$10,1,CC44),'Lease Cycles'!$AX$10&lt;=CC$6),'Lease Cycles'!$C$10*'Lease Cycles'!$AY$10/12,IF(AND('Lease Cycles'!$AV$10&gt;=INDEX('Lease Cycles'!$BG$10:$BM$10,1,CC44),'Lease Cycles'!$AV$10&lt;=CC$6),'Lease Cycles'!$C$10*'Lease Cycles'!$AW$10/12,IF(AND('Lease Cycles'!$AT$10&gt;=INDEX('Lease Cycles'!$BG$10:$BM$10,1,CC44),'Lease Cycles'!$AT$10&lt;=CC$6),'Lease Cycles'!$C$10*'Lease Cycles'!$AU$10/12,'Lease Cycles'!$C$10*INDEX('Lease Cycles'!$CB$10:$CH$10,1,CC44)*(1+INDEX('Lease Cycles'!$CI$10:$CO$10,1,CC44))^INT(INT(CC45/12)/INDEX('Lease Cycles'!$CP$10:$CV$10,1,CC44))/12)))),'Lease Cycles'!$C$10*INDEX('Lease Cycles'!$CB$10:$CH$10,1,CC44)*(1+INDEX('Lease Cycles'!$CI$10:$CO$10,1,CC44))^INT(INT(CC45/12)/INDEX('Lease Cycles'!$CP$10:$CV$10,1,CC44))/12))),IF('Lease Cycles'!$N$10=1,'Lease Cycles'!$C$10*'Lease Cycles'!$E$10*INDEX('Lease Cycles'!$HE$10:$HK$10,1,CC44)*(1+INDEX('Lease Cycles'!$GQ$10:$GW$10,1,CC44))^INT(INT((CC$6-INDEX('Lease Cycles'!$GJ$10:$GP$10,1,CC44))/12)/INDEX('Lease Cycles'!$GX$10:$HD$10,1,CC44))/12,0)))</f>
        <v>9372.603910457065</v>
      </c>
      <c r="CD47" s="28">
        <f>IF(CD44=0,IF('Lease Cycles'!$F$10&gt;0,'Lease Cycles'!$C$10*'Lease Cycles'!$E$10/12,0),IF(CD46=1,IF('Lease Cycles'!$AT$10&gt;=9999,'Lease Cycles'!$C$10*INDEX('Lease Cycles'!$CB$10:$CH$10,1,CD44)*(1+INDEX('Lease Cycles'!$CI$10:$CO$10,1,CD44))^INT(INT(CD45/12)/INDEX('Lease Cycles'!$CP$10:$CV$10,1,CD44))/12,IF(CD44=1,IF(CD45&gt;=INDEX('Lease Cycles'!$DK$10:$DQ$10,1,CD44),IF(CD$6&gt;='Lease Cycles'!$AZ$10,'Lease Cycles'!$C$10*'Lease Cycles'!$BA$10/12,IF(CD$6&gt;='Lease Cycles'!$AX$10,'Lease Cycles'!$C$10*'Lease Cycles'!$AY$10/12,IF(CD$6&gt;='Lease Cycles'!$AV$10,'Lease Cycles'!$C$10*'Lease Cycles'!$AW$10/12,IF(CD$6&gt;='Lease Cycles'!$AT$10,'Lease Cycles'!$C$10*'Lease Cycles'!$AU$10/12,'Lease Cycles'!$C$10*INDEX('Lease Cycles'!$CB$10:$CH$10,1,CD44)*(1+INDEX('Lease Cycles'!$CI$10:$CO$10,1,CD44))^INT(INT(CD45/12)/INDEX('Lease Cycles'!$CP$10:$CV$10,1,CD44))/12)))),'Lease Cycles'!$C$10*INDEX('Lease Cycles'!$CB$10:$CH$10,1,CD44)*(1+INDEX('Lease Cycles'!$CI$10:$CO$10,1,CD44))^INT(INT(CD45/12)/INDEX('Lease Cycles'!$CP$10:$CV$10,1,CD44))/12),IF(INDEX('Lease Cycles'!$EF$10:$EL$10,1,CD44)=1,IF(AND('Lease Cycles'!$AZ$10&gt;=INDEX('Lease Cycles'!$BG$10:$BM$10,1,CD44),'Lease Cycles'!$AZ$10&lt;=CD$6),'Lease Cycles'!$C$10*'Lease Cycles'!$BA$10/12,IF(AND('Lease Cycles'!$AX$10&gt;=INDEX('Lease Cycles'!$BG$10:$BM$10,1,CD44),'Lease Cycles'!$AX$10&lt;=CD$6),'Lease Cycles'!$C$10*'Lease Cycles'!$AY$10/12,IF(AND('Lease Cycles'!$AV$10&gt;=INDEX('Lease Cycles'!$BG$10:$BM$10,1,CD44),'Lease Cycles'!$AV$10&lt;=CD$6),'Lease Cycles'!$C$10*'Lease Cycles'!$AW$10/12,IF(AND('Lease Cycles'!$AT$10&gt;=INDEX('Lease Cycles'!$BG$10:$BM$10,1,CD44),'Lease Cycles'!$AT$10&lt;=CD$6),'Lease Cycles'!$C$10*'Lease Cycles'!$AU$10/12,'Lease Cycles'!$C$10*INDEX('Lease Cycles'!$CB$10:$CH$10,1,CD44)*(1+INDEX('Lease Cycles'!$CI$10:$CO$10,1,CD44))^INT(INT(CD45/12)/INDEX('Lease Cycles'!$CP$10:$CV$10,1,CD44))/12)))),'Lease Cycles'!$C$10*INDEX('Lease Cycles'!$CB$10:$CH$10,1,CD44)*(1+INDEX('Lease Cycles'!$CI$10:$CO$10,1,CD44))^INT(INT(CD45/12)/INDEX('Lease Cycles'!$CP$10:$CV$10,1,CD44))/12))),IF('Lease Cycles'!$N$10=1,'Lease Cycles'!$C$10*'Lease Cycles'!$E$10*INDEX('Lease Cycles'!$HE$10:$HK$10,1,CD44)*(1+INDEX('Lease Cycles'!$GQ$10:$GW$10,1,CD44))^INT(INT((CD$6-INDEX('Lease Cycles'!$GJ$10:$GP$10,1,CD44))/12)/INDEX('Lease Cycles'!$GX$10:$HD$10,1,CD44))/12,0)))</f>
        <v>9372.603910457065</v>
      </c>
      <c r="CE47" s="28">
        <f>IF(CE44=0,IF('Lease Cycles'!$F$10&gt;0,'Lease Cycles'!$C$10*'Lease Cycles'!$E$10/12,0),IF(CE46=1,IF('Lease Cycles'!$AT$10&gt;=9999,'Lease Cycles'!$C$10*INDEX('Lease Cycles'!$CB$10:$CH$10,1,CE44)*(1+INDEX('Lease Cycles'!$CI$10:$CO$10,1,CE44))^INT(INT(CE45/12)/INDEX('Lease Cycles'!$CP$10:$CV$10,1,CE44))/12,IF(CE44=1,IF(CE45&gt;=INDEX('Lease Cycles'!$DK$10:$DQ$10,1,CE44),IF(CE$6&gt;='Lease Cycles'!$AZ$10,'Lease Cycles'!$C$10*'Lease Cycles'!$BA$10/12,IF(CE$6&gt;='Lease Cycles'!$AX$10,'Lease Cycles'!$C$10*'Lease Cycles'!$AY$10/12,IF(CE$6&gt;='Lease Cycles'!$AV$10,'Lease Cycles'!$C$10*'Lease Cycles'!$AW$10/12,IF(CE$6&gt;='Lease Cycles'!$AT$10,'Lease Cycles'!$C$10*'Lease Cycles'!$AU$10/12,'Lease Cycles'!$C$10*INDEX('Lease Cycles'!$CB$10:$CH$10,1,CE44)*(1+INDEX('Lease Cycles'!$CI$10:$CO$10,1,CE44))^INT(INT(CE45/12)/INDEX('Lease Cycles'!$CP$10:$CV$10,1,CE44))/12)))),'Lease Cycles'!$C$10*INDEX('Lease Cycles'!$CB$10:$CH$10,1,CE44)*(1+INDEX('Lease Cycles'!$CI$10:$CO$10,1,CE44))^INT(INT(CE45/12)/INDEX('Lease Cycles'!$CP$10:$CV$10,1,CE44))/12),IF(INDEX('Lease Cycles'!$EF$10:$EL$10,1,CE44)=1,IF(AND('Lease Cycles'!$AZ$10&gt;=INDEX('Lease Cycles'!$BG$10:$BM$10,1,CE44),'Lease Cycles'!$AZ$10&lt;=CE$6),'Lease Cycles'!$C$10*'Lease Cycles'!$BA$10/12,IF(AND('Lease Cycles'!$AX$10&gt;=INDEX('Lease Cycles'!$BG$10:$BM$10,1,CE44),'Lease Cycles'!$AX$10&lt;=CE$6),'Lease Cycles'!$C$10*'Lease Cycles'!$AY$10/12,IF(AND('Lease Cycles'!$AV$10&gt;=INDEX('Lease Cycles'!$BG$10:$BM$10,1,CE44),'Lease Cycles'!$AV$10&lt;=CE$6),'Lease Cycles'!$C$10*'Lease Cycles'!$AW$10/12,IF(AND('Lease Cycles'!$AT$10&gt;=INDEX('Lease Cycles'!$BG$10:$BM$10,1,CE44),'Lease Cycles'!$AT$10&lt;=CE$6),'Lease Cycles'!$C$10*'Lease Cycles'!$AU$10/12,'Lease Cycles'!$C$10*INDEX('Lease Cycles'!$CB$10:$CH$10,1,CE44)*(1+INDEX('Lease Cycles'!$CI$10:$CO$10,1,CE44))^INT(INT(CE45/12)/INDEX('Lease Cycles'!$CP$10:$CV$10,1,CE44))/12)))),'Lease Cycles'!$C$10*INDEX('Lease Cycles'!$CB$10:$CH$10,1,CE44)*(1+INDEX('Lease Cycles'!$CI$10:$CO$10,1,CE44))^INT(INT(CE45/12)/INDEX('Lease Cycles'!$CP$10:$CV$10,1,CE44))/12))),IF('Lease Cycles'!$N$10=1,'Lease Cycles'!$C$10*'Lease Cycles'!$E$10*INDEX('Lease Cycles'!$HE$10:$HK$10,1,CE44)*(1+INDEX('Lease Cycles'!$GQ$10:$GW$10,1,CE44))^INT(INT((CE$6-INDEX('Lease Cycles'!$GJ$10:$GP$10,1,CE44))/12)/INDEX('Lease Cycles'!$GX$10:$HD$10,1,CE44))/12,0)))</f>
        <v>9372.603910457065</v>
      </c>
      <c r="CF47" s="28">
        <f>IF(CF44=0,IF('Lease Cycles'!$F$10&gt;0,'Lease Cycles'!$C$10*'Lease Cycles'!$E$10/12,0),IF(CF46=1,IF('Lease Cycles'!$AT$10&gt;=9999,'Lease Cycles'!$C$10*INDEX('Lease Cycles'!$CB$10:$CH$10,1,CF44)*(1+INDEX('Lease Cycles'!$CI$10:$CO$10,1,CF44))^INT(INT(CF45/12)/INDEX('Lease Cycles'!$CP$10:$CV$10,1,CF44))/12,IF(CF44=1,IF(CF45&gt;=INDEX('Lease Cycles'!$DK$10:$DQ$10,1,CF44),IF(CF$6&gt;='Lease Cycles'!$AZ$10,'Lease Cycles'!$C$10*'Lease Cycles'!$BA$10/12,IF(CF$6&gt;='Lease Cycles'!$AX$10,'Lease Cycles'!$C$10*'Lease Cycles'!$AY$10/12,IF(CF$6&gt;='Lease Cycles'!$AV$10,'Lease Cycles'!$C$10*'Lease Cycles'!$AW$10/12,IF(CF$6&gt;='Lease Cycles'!$AT$10,'Lease Cycles'!$C$10*'Lease Cycles'!$AU$10/12,'Lease Cycles'!$C$10*INDEX('Lease Cycles'!$CB$10:$CH$10,1,CF44)*(1+INDEX('Lease Cycles'!$CI$10:$CO$10,1,CF44))^INT(INT(CF45/12)/INDEX('Lease Cycles'!$CP$10:$CV$10,1,CF44))/12)))),'Lease Cycles'!$C$10*INDEX('Lease Cycles'!$CB$10:$CH$10,1,CF44)*(1+INDEX('Lease Cycles'!$CI$10:$CO$10,1,CF44))^INT(INT(CF45/12)/INDEX('Lease Cycles'!$CP$10:$CV$10,1,CF44))/12),IF(INDEX('Lease Cycles'!$EF$10:$EL$10,1,CF44)=1,IF(AND('Lease Cycles'!$AZ$10&gt;=INDEX('Lease Cycles'!$BG$10:$BM$10,1,CF44),'Lease Cycles'!$AZ$10&lt;=CF$6),'Lease Cycles'!$C$10*'Lease Cycles'!$BA$10/12,IF(AND('Lease Cycles'!$AX$10&gt;=INDEX('Lease Cycles'!$BG$10:$BM$10,1,CF44),'Lease Cycles'!$AX$10&lt;=CF$6),'Lease Cycles'!$C$10*'Lease Cycles'!$AY$10/12,IF(AND('Lease Cycles'!$AV$10&gt;=INDEX('Lease Cycles'!$BG$10:$BM$10,1,CF44),'Lease Cycles'!$AV$10&lt;=CF$6),'Lease Cycles'!$C$10*'Lease Cycles'!$AW$10/12,IF(AND('Lease Cycles'!$AT$10&gt;=INDEX('Lease Cycles'!$BG$10:$BM$10,1,CF44),'Lease Cycles'!$AT$10&lt;=CF$6),'Lease Cycles'!$C$10*'Lease Cycles'!$AU$10/12,'Lease Cycles'!$C$10*INDEX('Lease Cycles'!$CB$10:$CH$10,1,CF44)*(1+INDEX('Lease Cycles'!$CI$10:$CO$10,1,CF44))^INT(INT(CF45/12)/INDEX('Lease Cycles'!$CP$10:$CV$10,1,CF44))/12)))),'Lease Cycles'!$C$10*INDEX('Lease Cycles'!$CB$10:$CH$10,1,CF44)*(1+INDEX('Lease Cycles'!$CI$10:$CO$10,1,CF44))^INT(INT(CF45/12)/INDEX('Lease Cycles'!$CP$10:$CV$10,1,CF44))/12))),IF('Lease Cycles'!$N$10=1,'Lease Cycles'!$C$10*'Lease Cycles'!$E$10*INDEX('Lease Cycles'!$HE$10:$HK$10,1,CF44)*(1+INDEX('Lease Cycles'!$GQ$10:$GW$10,1,CF44))^INT(INT((CF$6-INDEX('Lease Cycles'!$GJ$10:$GP$10,1,CF44))/12)/INDEX('Lease Cycles'!$GX$10:$HD$10,1,CF44))/12,0)))</f>
        <v>9372.603910457065</v>
      </c>
      <c r="CG47" s="28">
        <f>IF(CG44=0,IF('Lease Cycles'!$F$10&gt;0,'Lease Cycles'!$C$10*'Lease Cycles'!$E$10/12,0),IF(CG46=1,IF('Lease Cycles'!$AT$10&gt;=9999,'Lease Cycles'!$C$10*INDEX('Lease Cycles'!$CB$10:$CH$10,1,CG44)*(1+INDEX('Lease Cycles'!$CI$10:$CO$10,1,CG44))^INT(INT(CG45/12)/INDEX('Lease Cycles'!$CP$10:$CV$10,1,CG44))/12,IF(CG44=1,IF(CG45&gt;=INDEX('Lease Cycles'!$DK$10:$DQ$10,1,CG44),IF(CG$6&gt;='Lease Cycles'!$AZ$10,'Lease Cycles'!$C$10*'Lease Cycles'!$BA$10/12,IF(CG$6&gt;='Lease Cycles'!$AX$10,'Lease Cycles'!$C$10*'Lease Cycles'!$AY$10/12,IF(CG$6&gt;='Lease Cycles'!$AV$10,'Lease Cycles'!$C$10*'Lease Cycles'!$AW$10/12,IF(CG$6&gt;='Lease Cycles'!$AT$10,'Lease Cycles'!$C$10*'Lease Cycles'!$AU$10/12,'Lease Cycles'!$C$10*INDEX('Lease Cycles'!$CB$10:$CH$10,1,CG44)*(1+INDEX('Lease Cycles'!$CI$10:$CO$10,1,CG44))^INT(INT(CG45/12)/INDEX('Lease Cycles'!$CP$10:$CV$10,1,CG44))/12)))),'Lease Cycles'!$C$10*INDEX('Lease Cycles'!$CB$10:$CH$10,1,CG44)*(1+INDEX('Lease Cycles'!$CI$10:$CO$10,1,CG44))^INT(INT(CG45/12)/INDEX('Lease Cycles'!$CP$10:$CV$10,1,CG44))/12),IF(INDEX('Lease Cycles'!$EF$10:$EL$10,1,CG44)=1,IF(AND('Lease Cycles'!$AZ$10&gt;=INDEX('Lease Cycles'!$BG$10:$BM$10,1,CG44),'Lease Cycles'!$AZ$10&lt;=CG$6),'Lease Cycles'!$C$10*'Lease Cycles'!$BA$10/12,IF(AND('Lease Cycles'!$AX$10&gt;=INDEX('Lease Cycles'!$BG$10:$BM$10,1,CG44),'Lease Cycles'!$AX$10&lt;=CG$6),'Lease Cycles'!$C$10*'Lease Cycles'!$AY$10/12,IF(AND('Lease Cycles'!$AV$10&gt;=INDEX('Lease Cycles'!$BG$10:$BM$10,1,CG44),'Lease Cycles'!$AV$10&lt;=CG$6),'Lease Cycles'!$C$10*'Lease Cycles'!$AW$10/12,IF(AND('Lease Cycles'!$AT$10&gt;=INDEX('Lease Cycles'!$BG$10:$BM$10,1,CG44),'Lease Cycles'!$AT$10&lt;=CG$6),'Lease Cycles'!$C$10*'Lease Cycles'!$AU$10/12,'Lease Cycles'!$C$10*INDEX('Lease Cycles'!$CB$10:$CH$10,1,CG44)*(1+INDEX('Lease Cycles'!$CI$10:$CO$10,1,CG44))^INT(INT(CG45/12)/INDEX('Lease Cycles'!$CP$10:$CV$10,1,CG44))/12)))),'Lease Cycles'!$C$10*INDEX('Lease Cycles'!$CB$10:$CH$10,1,CG44)*(1+INDEX('Lease Cycles'!$CI$10:$CO$10,1,CG44))^INT(INT(CG45/12)/INDEX('Lease Cycles'!$CP$10:$CV$10,1,CG44))/12))),IF('Lease Cycles'!$N$10=1,'Lease Cycles'!$C$10*'Lease Cycles'!$E$10*INDEX('Lease Cycles'!$HE$10:$HK$10,1,CG44)*(1+INDEX('Lease Cycles'!$GQ$10:$GW$10,1,CG44))^INT(INT((CG$6-INDEX('Lease Cycles'!$GJ$10:$GP$10,1,CG44))/12)/INDEX('Lease Cycles'!$GX$10:$HD$10,1,CG44))/12,0)))</f>
        <v>9372.603910457065</v>
      </c>
      <c r="CH47" s="28">
        <f>IF(CH44=0,IF('Lease Cycles'!$F$10&gt;0,'Lease Cycles'!$C$10*'Lease Cycles'!$E$10/12,0),IF(CH46=1,IF('Lease Cycles'!$AT$10&gt;=9999,'Lease Cycles'!$C$10*INDEX('Lease Cycles'!$CB$10:$CH$10,1,CH44)*(1+INDEX('Lease Cycles'!$CI$10:$CO$10,1,CH44))^INT(INT(CH45/12)/INDEX('Lease Cycles'!$CP$10:$CV$10,1,CH44))/12,IF(CH44=1,IF(CH45&gt;=INDEX('Lease Cycles'!$DK$10:$DQ$10,1,CH44),IF(CH$6&gt;='Lease Cycles'!$AZ$10,'Lease Cycles'!$C$10*'Lease Cycles'!$BA$10/12,IF(CH$6&gt;='Lease Cycles'!$AX$10,'Lease Cycles'!$C$10*'Lease Cycles'!$AY$10/12,IF(CH$6&gt;='Lease Cycles'!$AV$10,'Lease Cycles'!$C$10*'Lease Cycles'!$AW$10/12,IF(CH$6&gt;='Lease Cycles'!$AT$10,'Lease Cycles'!$C$10*'Lease Cycles'!$AU$10/12,'Lease Cycles'!$C$10*INDEX('Lease Cycles'!$CB$10:$CH$10,1,CH44)*(1+INDEX('Lease Cycles'!$CI$10:$CO$10,1,CH44))^INT(INT(CH45/12)/INDEX('Lease Cycles'!$CP$10:$CV$10,1,CH44))/12)))),'Lease Cycles'!$C$10*INDEX('Lease Cycles'!$CB$10:$CH$10,1,CH44)*(1+INDEX('Lease Cycles'!$CI$10:$CO$10,1,CH44))^INT(INT(CH45/12)/INDEX('Lease Cycles'!$CP$10:$CV$10,1,CH44))/12),IF(INDEX('Lease Cycles'!$EF$10:$EL$10,1,CH44)=1,IF(AND('Lease Cycles'!$AZ$10&gt;=INDEX('Lease Cycles'!$BG$10:$BM$10,1,CH44),'Lease Cycles'!$AZ$10&lt;=CH$6),'Lease Cycles'!$C$10*'Lease Cycles'!$BA$10/12,IF(AND('Lease Cycles'!$AX$10&gt;=INDEX('Lease Cycles'!$BG$10:$BM$10,1,CH44),'Lease Cycles'!$AX$10&lt;=CH$6),'Lease Cycles'!$C$10*'Lease Cycles'!$AY$10/12,IF(AND('Lease Cycles'!$AV$10&gt;=INDEX('Lease Cycles'!$BG$10:$BM$10,1,CH44),'Lease Cycles'!$AV$10&lt;=CH$6),'Lease Cycles'!$C$10*'Lease Cycles'!$AW$10/12,IF(AND('Lease Cycles'!$AT$10&gt;=INDEX('Lease Cycles'!$BG$10:$BM$10,1,CH44),'Lease Cycles'!$AT$10&lt;=CH$6),'Lease Cycles'!$C$10*'Lease Cycles'!$AU$10/12,'Lease Cycles'!$C$10*INDEX('Lease Cycles'!$CB$10:$CH$10,1,CH44)*(1+INDEX('Lease Cycles'!$CI$10:$CO$10,1,CH44))^INT(INT(CH45/12)/INDEX('Lease Cycles'!$CP$10:$CV$10,1,CH44))/12)))),'Lease Cycles'!$C$10*INDEX('Lease Cycles'!$CB$10:$CH$10,1,CH44)*(1+INDEX('Lease Cycles'!$CI$10:$CO$10,1,CH44))^INT(INT(CH45/12)/INDEX('Lease Cycles'!$CP$10:$CV$10,1,CH44))/12))),IF('Lease Cycles'!$N$10=1,'Lease Cycles'!$C$10*'Lease Cycles'!$E$10*INDEX('Lease Cycles'!$HE$10:$HK$10,1,CH44)*(1+INDEX('Lease Cycles'!$GQ$10:$GW$10,1,CH44))^INT(INT((CH$6-INDEX('Lease Cycles'!$GJ$10:$GP$10,1,CH44))/12)/INDEX('Lease Cycles'!$GX$10:$HD$10,1,CH44))/12,0)))</f>
        <v>9372.603910457065</v>
      </c>
      <c r="CI47" s="28">
        <f>IF(CI44=0,IF('Lease Cycles'!$F$10&gt;0,'Lease Cycles'!$C$10*'Lease Cycles'!$E$10/12,0),IF(CI46=1,IF('Lease Cycles'!$AT$10&gt;=9999,'Lease Cycles'!$C$10*INDEX('Lease Cycles'!$CB$10:$CH$10,1,CI44)*(1+INDEX('Lease Cycles'!$CI$10:$CO$10,1,CI44))^INT(INT(CI45/12)/INDEX('Lease Cycles'!$CP$10:$CV$10,1,CI44))/12,IF(CI44=1,IF(CI45&gt;=INDEX('Lease Cycles'!$DK$10:$DQ$10,1,CI44),IF(CI$6&gt;='Lease Cycles'!$AZ$10,'Lease Cycles'!$C$10*'Lease Cycles'!$BA$10/12,IF(CI$6&gt;='Lease Cycles'!$AX$10,'Lease Cycles'!$C$10*'Lease Cycles'!$AY$10/12,IF(CI$6&gt;='Lease Cycles'!$AV$10,'Lease Cycles'!$C$10*'Lease Cycles'!$AW$10/12,IF(CI$6&gt;='Lease Cycles'!$AT$10,'Lease Cycles'!$C$10*'Lease Cycles'!$AU$10/12,'Lease Cycles'!$C$10*INDEX('Lease Cycles'!$CB$10:$CH$10,1,CI44)*(1+INDEX('Lease Cycles'!$CI$10:$CO$10,1,CI44))^INT(INT(CI45/12)/INDEX('Lease Cycles'!$CP$10:$CV$10,1,CI44))/12)))),'Lease Cycles'!$C$10*INDEX('Lease Cycles'!$CB$10:$CH$10,1,CI44)*(1+INDEX('Lease Cycles'!$CI$10:$CO$10,1,CI44))^INT(INT(CI45/12)/INDEX('Lease Cycles'!$CP$10:$CV$10,1,CI44))/12),IF(INDEX('Lease Cycles'!$EF$10:$EL$10,1,CI44)=1,IF(AND('Lease Cycles'!$AZ$10&gt;=INDEX('Lease Cycles'!$BG$10:$BM$10,1,CI44),'Lease Cycles'!$AZ$10&lt;=CI$6),'Lease Cycles'!$C$10*'Lease Cycles'!$BA$10/12,IF(AND('Lease Cycles'!$AX$10&gt;=INDEX('Lease Cycles'!$BG$10:$BM$10,1,CI44),'Lease Cycles'!$AX$10&lt;=CI$6),'Lease Cycles'!$C$10*'Lease Cycles'!$AY$10/12,IF(AND('Lease Cycles'!$AV$10&gt;=INDEX('Lease Cycles'!$BG$10:$BM$10,1,CI44),'Lease Cycles'!$AV$10&lt;=CI$6),'Lease Cycles'!$C$10*'Lease Cycles'!$AW$10/12,IF(AND('Lease Cycles'!$AT$10&gt;=INDEX('Lease Cycles'!$BG$10:$BM$10,1,CI44),'Lease Cycles'!$AT$10&lt;=CI$6),'Lease Cycles'!$C$10*'Lease Cycles'!$AU$10/12,'Lease Cycles'!$C$10*INDEX('Lease Cycles'!$CB$10:$CH$10,1,CI44)*(1+INDEX('Lease Cycles'!$CI$10:$CO$10,1,CI44))^INT(INT(CI45/12)/INDEX('Lease Cycles'!$CP$10:$CV$10,1,CI44))/12)))),'Lease Cycles'!$C$10*INDEX('Lease Cycles'!$CB$10:$CH$10,1,CI44)*(1+INDEX('Lease Cycles'!$CI$10:$CO$10,1,CI44))^INT(INT(CI45/12)/INDEX('Lease Cycles'!$CP$10:$CV$10,1,CI44))/12))),IF('Lease Cycles'!$N$10=1,'Lease Cycles'!$C$10*'Lease Cycles'!$E$10*INDEX('Lease Cycles'!$HE$10:$HK$10,1,CI44)*(1+INDEX('Lease Cycles'!$GQ$10:$GW$10,1,CI44))^INT(INT((CI$6-INDEX('Lease Cycles'!$GJ$10:$GP$10,1,CI44))/12)/INDEX('Lease Cycles'!$GX$10:$HD$10,1,CI44))/12,0)))</f>
        <v>9372.603910457065</v>
      </c>
      <c r="CJ47" s="28">
        <f>IF(CJ44=0,IF('Lease Cycles'!$F$10&gt;0,'Lease Cycles'!$C$10*'Lease Cycles'!$E$10/12,0),IF(CJ46=1,IF('Lease Cycles'!$AT$10&gt;=9999,'Lease Cycles'!$C$10*INDEX('Lease Cycles'!$CB$10:$CH$10,1,CJ44)*(1+INDEX('Lease Cycles'!$CI$10:$CO$10,1,CJ44))^INT(INT(CJ45/12)/INDEX('Lease Cycles'!$CP$10:$CV$10,1,CJ44))/12,IF(CJ44=1,IF(CJ45&gt;=INDEX('Lease Cycles'!$DK$10:$DQ$10,1,CJ44),IF(CJ$6&gt;='Lease Cycles'!$AZ$10,'Lease Cycles'!$C$10*'Lease Cycles'!$BA$10/12,IF(CJ$6&gt;='Lease Cycles'!$AX$10,'Lease Cycles'!$C$10*'Lease Cycles'!$AY$10/12,IF(CJ$6&gt;='Lease Cycles'!$AV$10,'Lease Cycles'!$C$10*'Lease Cycles'!$AW$10/12,IF(CJ$6&gt;='Lease Cycles'!$AT$10,'Lease Cycles'!$C$10*'Lease Cycles'!$AU$10/12,'Lease Cycles'!$C$10*INDEX('Lease Cycles'!$CB$10:$CH$10,1,CJ44)*(1+INDEX('Lease Cycles'!$CI$10:$CO$10,1,CJ44))^INT(INT(CJ45/12)/INDEX('Lease Cycles'!$CP$10:$CV$10,1,CJ44))/12)))),'Lease Cycles'!$C$10*INDEX('Lease Cycles'!$CB$10:$CH$10,1,CJ44)*(1+INDEX('Lease Cycles'!$CI$10:$CO$10,1,CJ44))^INT(INT(CJ45/12)/INDEX('Lease Cycles'!$CP$10:$CV$10,1,CJ44))/12),IF(INDEX('Lease Cycles'!$EF$10:$EL$10,1,CJ44)=1,IF(AND('Lease Cycles'!$AZ$10&gt;=INDEX('Lease Cycles'!$BG$10:$BM$10,1,CJ44),'Lease Cycles'!$AZ$10&lt;=CJ$6),'Lease Cycles'!$C$10*'Lease Cycles'!$BA$10/12,IF(AND('Lease Cycles'!$AX$10&gt;=INDEX('Lease Cycles'!$BG$10:$BM$10,1,CJ44),'Lease Cycles'!$AX$10&lt;=CJ$6),'Lease Cycles'!$C$10*'Lease Cycles'!$AY$10/12,IF(AND('Lease Cycles'!$AV$10&gt;=INDEX('Lease Cycles'!$BG$10:$BM$10,1,CJ44),'Lease Cycles'!$AV$10&lt;=CJ$6),'Lease Cycles'!$C$10*'Lease Cycles'!$AW$10/12,IF(AND('Lease Cycles'!$AT$10&gt;=INDEX('Lease Cycles'!$BG$10:$BM$10,1,CJ44),'Lease Cycles'!$AT$10&lt;=CJ$6),'Lease Cycles'!$C$10*'Lease Cycles'!$AU$10/12,'Lease Cycles'!$C$10*INDEX('Lease Cycles'!$CB$10:$CH$10,1,CJ44)*(1+INDEX('Lease Cycles'!$CI$10:$CO$10,1,CJ44))^INT(INT(CJ45/12)/INDEX('Lease Cycles'!$CP$10:$CV$10,1,CJ44))/12)))),'Lease Cycles'!$C$10*INDEX('Lease Cycles'!$CB$10:$CH$10,1,CJ44)*(1+INDEX('Lease Cycles'!$CI$10:$CO$10,1,CJ44))^INT(INT(CJ45/12)/INDEX('Lease Cycles'!$CP$10:$CV$10,1,CJ44))/12))),IF('Lease Cycles'!$N$10=1,'Lease Cycles'!$C$10*'Lease Cycles'!$E$10*INDEX('Lease Cycles'!$HE$10:$HK$10,1,CJ44)*(1+INDEX('Lease Cycles'!$GQ$10:$GW$10,1,CJ44))^INT(INT((CJ$6-INDEX('Lease Cycles'!$GJ$10:$GP$10,1,CJ44))/12)/INDEX('Lease Cycles'!$GX$10:$HD$10,1,CJ44))/12,0)))</f>
        <v>9372.603910457065</v>
      </c>
      <c r="CK47" s="28">
        <f>IF(CK44=0,IF('Lease Cycles'!$F$10&gt;0,'Lease Cycles'!$C$10*'Lease Cycles'!$E$10/12,0),IF(CK46=1,IF('Lease Cycles'!$AT$10&gt;=9999,'Lease Cycles'!$C$10*INDEX('Lease Cycles'!$CB$10:$CH$10,1,CK44)*(1+INDEX('Lease Cycles'!$CI$10:$CO$10,1,CK44))^INT(INT(CK45/12)/INDEX('Lease Cycles'!$CP$10:$CV$10,1,CK44))/12,IF(CK44=1,IF(CK45&gt;=INDEX('Lease Cycles'!$DK$10:$DQ$10,1,CK44),IF(CK$6&gt;='Lease Cycles'!$AZ$10,'Lease Cycles'!$C$10*'Lease Cycles'!$BA$10/12,IF(CK$6&gt;='Lease Cycles'!$AX$10,'Lease Cycles'!$C$10*'Lease Cycles'!$AY$10/12,IF(CK$6&gt;='Lease Cycles'!$AV$10,'Lease Cycles'!$C$10*'Lease Cycles'!$AW$10/12,IF(CK$6&gt;='Lease Cycles'!$AT$10,'Lease Cycles'!$C$10*'Lease Cycles'!$AU$10/12,'Lease Cycles'!$C$10*INDEX('Lease Cycles'!$CB$10:$CH$10,1,CK44)*(1+INDEX('Lease Cycles'!$CI$10:$CO$10,1,CK44))^INT(INT(CK45/12)/INDEX('Lease Cycles'!$CP$10:$CV$10,1,CK44))/12)))),'Lease Cycles'!$C$10*INDEX('Lease Cycles'!$CB$10:$CH$10,1,CK44)*(1+INDEX('Lease Cycles'!$CI$10:$CO$10,1,CK44))^INT(INT(CK45/12)/INDEX('Lease Cycles'!$CP$10:$CV$10,1,CK44))/12),IF(INDEX('Lease Cycles'!$EF$10:$EL$10,1,CK44)=1,IF(AND('Lease Cycles'!$AZ$10&gt;=INDEX('Lease Cycles'!$BG$10:$BM$10,1,CK44),'Lease Cycles'!$AZ$10&lt;=CK$6),'Lease Cycles'!$C$10*'Lease Cycles'!$BA$10/12,IF(AND('Lease Cycles'!$AX$10&gt;=INDEX('Lease Cycles'!$BG$10:$BM$10,1,CK44),'Lease Cycles'!$AX$10&lt;=CK$6),'Lease Cycles'!$C$10*'Lease Cycles'!$AY$10/12,IF(AND('Lease Cycles'!$AV$10&gt;=INDEX('Lease Cycles'!$BG$10:$BM$10,1,CK44),'Lease Cycles'!$AV$10&lt;=CK$6),'Lease Cycles'!$C$10*'Lease Cycles'!$AW$10/12,IF(AND('Lease Cycles'!$AT$10&gt;=INDEX('Lease Cycles'!$BG$10:$BM$10,1,CK44),'Lease Cycles'!$AT$10&lt;=CK$6),'Lease Cycles'!$C$10*'Lease Cycles'!$AU$10/12,'Lease Cycles'!$C$10*INDEX('Lease Cycles'!$CB$10:$CH$10,1,CK44)*(1+INDEX('Lease Cycles'!$CI$10:$CO$10,1,CK44))^INT(INT(CK45/12)/INDEX('Lease Cycles'!$CP$10:$CV$10,1,CK44))/12)))),'Lease Cycles'!$C$10*INDEX('Lease Cycles'!$CB$10:$CH$10,1,CK44)*(1+INDEX('Lease Cycles'!$CI$10:$CO$10,1,CK44))^INT(INT(CK45/12)/INDEX('Lease Cycles'!$CP$10:$CV$10,1,CK44))/12))),IF('Lease Cycles'!$N$10=1,'Lease Cycles'!$C$10*'Lease Cycles'!$E$10*INDEX('Lease Cycles'!$HE$10:$HK$10,1,CK44)*(1+INDEX('Lease Cycles'!$GQ$10:$GW$10,1,CK44))^INT(INT((CK$6-INDEX('Lease Cycles'!$GJ$10:$GP$10,1,CK44))/12)/INDEX('Lease Cycles'!$GX$10:$HD$10,1,CK44))/12,0)))</f>
        <v>9372.603910457065</v>
      </c>
      <c r="CL47" s="28">
        <f>IF(CL44=0,IF('Lease Cycles'!$F$10&gt;0,'Lease Cycles'!$C$10*'Lease Cycles'!$E$10/12,0),IF(CL46=1,IF('Lease Cycles'!$AT$10&gt;=9999,'Lease Cycles'!$C$10*INDEX('Lease Cycles'!$CB$10:$CH$10,1,CL44)*(1+INDEX('Lease Cycles'!$CI$10:$CO$10,1,CL44))^INT(INT(CL45/12)/INDEX('Lease Cycles'!$CP$10:$CV$10,1,CL44))/12,IF(CL44=1,IF(CL45&gt;=INDEX('Lease Cycles'!$DK$10:$DQ$10,1,CL44),IF(CL$6&gt;='Lease Cycles'!$AZ$10,'Lease Cycles'!$C$10*'Lease Cycles'!$BA$10/12,IF(CL$6&gt;='Lease Cycles'!$AX$10,'Lease Cycles'!$C$10*'Lease Cycles'!$AY$10/12,IF(CL$6&gt;='Lease Cycles'!$AV$10,'Lease Cycles'!$C$10*'Lease Cycles'!$AW$10/12,IF(CL$6&gt;='Lease Cycles'!$AT$10,'Lease Cycles'!$C$10*'Lease Cycles'!$AU$10/12,'Lease Cycles'!$C$10*INDEX('Lease Cycles'!$CB$10:$CH$10,1,CL44)*(1+INDEX('Lease Cycles'!$CI$10:$CO$10,1,CL44))^INT(INT(CL45/12)/INDEX('Lease Cycles'!$CP$10:$CV$10,1,CL44))/12)))),'Lease Cycles'!$C$10*INDEX('Lease Cycles'!$CB$10:$CH$10,1,CL44)*(1+INDEX('Lease Cycles'!$CI$10:$CO$10,1,CL44))^INT(INT(CL45/12)/INDEX('Lease Cycles'!$CP$10:$CV$10,1,CL44))/12),IF(INDEX('Lease Cycles'!$EF$10:$EL$10,1,CL44)=1,IF(AND('Lease Cycles'!$AZ$10&gt;=INDEX('Lease Cycles'!$BG$10:$BM$10,1,CL44),'Lease Cycles'!$AZ$10&lt;=CL$6),'Lease Cycles'!$C$10*'Lease Cycles'!$BA$10/12,IF(AND('Lease Cycles'!$AX$10&gt;=INDEX('Lease Cycles'!$BG$10:$BM$10,1,CL44),'Lease Cycles'!$AX$10&lt;=CL$6),'Lease Cycles'!$C$10*'Lease Cycles'!$AY$10/12,IF(AND('Lease Cycles'!$AV$10&gt;=INDEX('Lease Cycles'!$BG$10:$BM$10,1,CL44),'Lease Cycles'!$AV$10&lt;=CL$6),'Lease Cycles'!$C$10*'Lease Cycles'!$AW$10/12,IF(AND('Lease Cycles'!$AT$10&gt;=INDEX('Lease Cycles'!$BG$10:$BM$10,1,CL44),'Lease Cycles'!$AT$10&lt;=CL$6),'Lease Cycles'!$C$10*'Lease Cycles'!$AU$10/12,'Lease Cycles'!$C$10*INDEX('Lease Cycles'!$CB$10:$CH$10,1,CL44)*(1+INDEX('Lease Cycles'!$CI$10:$CO$10,1,CL44))^INT(INT(CL45/12)/INDEX('Lease Cycles'!$CP$10:$CV$10,1,CL44))/12)))),'Lease Cycles'!$C$10*INDEX('Lease Cycles'!$CB$10:$CH$10,1,CL44)*(1+INDEX('Lease Cycles'!$CI$10:$CO$10,1,CL44))^INT(INT(CL45/12)/INDEX('Lease Cycles'!$CP$10:$CV$10,1,CL44))/12))),IF('Lease Cycles'!$N$10=1,'Lease Cycles'!$C$10*'Lease Cycles'!$E$10*INDEX('Lease Cycles'!$HE$10:$HK$10,1,CL44)*(1+INDEX('Lease Cycles'!$GQ$10:$GW$10,1,CL44))^INT(INT((CL$6-INDEX('Lease Cycles'!$GJ$10:$GP$10,1,CL44))/12)/INDEX('Lease Cycles'!$GX$10:$HD$10,1,CL44))/12,0)))</f>
        <v>9372.603910457065</v>
      </c>
      <c r="CM47" s="28">
        <f>IF(CM44=0,IF('Lease Cycles'!$F$10&gt;0,'Lease Cycles'!$C$10*'Lease Cycles'!$E$10/12,0),IF(CM46=1,IF('Lease Cycles'!$AT$10&gt;=9999,'Lease Cycles'!$C$10*INDEX('Lease Cycles'!$CB$10:$CH$10,1,CM44)*(1+INDEX('Lease Cycles'!$CI$10:$CO$10,1,CM44))^INT(INT(CM45/12)/INDEX('Lease Cycles'!$CP$10:$CV$10,1,CM44))/12,IF(CM44=1,IF(CM45&gt;=INDEX('Lease Cycles'!$DK$10:$DQ$10,1,CM44),IF(CM$6&gt;='Lease Cycles'!$AZ$10,'Lease Cycles'!$C$10*'Lease Cycles'!$BA$10/12,IF(CM$6&gt;='Lease Cycles'!$AX$10,'Lease Cycles'!$C$10*'Lease Cycles'!$AY$10/12,IF(CM$6&gt;='Lease Cycles'!$AV$10,'Lease Cycles'!$C$10*'Lease Cycles'!$AW$10/12,IF(CM$6&gt;='Lease Cycles'!$AT$10,'Lease Cycles'!$C$10*'Lease Cycles'!$AU$10/12,'Lease Cycles'!$C$10*INDEX('Lease Cycles'!$CB$10:$CH$10,1,CM44)*(1+INDEX('Lease Cycles'!$CI$10:$CO$10,1,CM44))^INT(INT(CM45/12)/INDEX('Lease Cycles'!$CP$10:$CV$10,1,CM44))/12)))),'Lease Cycles'!$C$10*INDEX('Lease Cycles'!$CB$10:$CH$10,1,CM44)*(1+INDEX('Lease Cycles'!$CI$10:$CO$10,1,CM44))^INT(INT(CM45/12)/INDEX('Lease Cycles'!$CP$10:$CV$10,1,CM44))/12),IF(INDEX('Lease Cycles'!$EF$10:$EL$10,1,CM44)=1,IF(AND('Lease Cycles'!$AZ$10&gt;=INDEX('Lease Cycles'!$BG$10:$BM$10,1,CM44),'Lease Cycles'!$AZ$10&lt;=CM$6),'Lease Cycles'!$C$10*'Lease Cycles'!$BA$10/12,IF(AND('Lease Cycles'!$AX$10&gt;=INDEX('Lease Cycles'!$BG$10:$BM$10,1,CM44),'Lease Cycles'!$AX$10&lt;=CM$6),'Lease Cycles'!$C$10*'Lease Cycles'!$AY$10/12,IF(AND('Lease Cycles'!$AV$10&gt;=INDEX('Lease Cycles'!$BG$10:$BM$10,1,CM44),'Lease Cycles'!$AV$10&lt;=CM$6),'Lease Cycles'!$C$10*'Lease Cycles'!$AW$10/12,IF(AND('Lease Cycles'!$AT$10&gt;=INDEX('Lease Cycles'!$BG$10:$BM$10,1,CM44),'Lease Cycles'!$AT$10&lt;=CM$6),'Lease Cycles'!$C$10*'Lease Cycles'!$AU$10/12,'Lease Cycles'!$C$10*INDEX('Lease Cycles'!$CB$10:$CH$10,1,CM44)*(1+INDEX('Lease Cycles'!$CI$10:$CO$10,1,CM44))^INT(INT(CM45/12)/INDEX('Lease Cycles'!$CP$10:$CV$10,1,CM44))/12)))),'Lease Cycles'!$C$10*INDEX('Lease Cycles'!$CB$10:$CH$10,1,CM44)*(1+INDEX('Lease Cycles'!$CI$10:$CO$10,1,CM44))^INT(INT(CM45/12)/INDEX('Lease Cycles'!$CP$10:$CV$10,1,CM44))/12))),IF('Lease Cycles'!$N$10=1,'Lease Cycles'!$C$10*'Lease Cycles'!$E$10*INDEX('Lease Cycles'!$HE$10:$HK$10,1,CM44)*(1+INDEX('Lease Cycles'!$GQ$10:$GW$10,1,CM44))^INT(INT((CM$6-INDEX('Lease Cycles'!$GJ$10:$GP$10,1,CM44))/12)/INDEX('Lease Cycles'!$GX$10:$HD$10,1,CM44))/12,0)))</f>
        <v>9372.603910457065</v>
      </c>
      <c r="CN47" s="28">
        <f>IF(CN44=0,IF('Lease Cycles'!$F$10&gt;0,'Lease Cycles'!$C$10*'Lease Cycles'!$E$10/12,0),IF(CN46=1,IF('Lease Cycles'!$AT$10&gt;=9999,'Lease Cycles'!$C$10*INDEX('Lease Cycles'!$CB$10:$CH$10,1,CN44)*(1+INDEX('Lease Cycles'!$CI$10:$CO$10,1,CN44))^INT(INT(CN45/12)/INDEX('Lease Cycles'!$CP$10:$CV$10,1,CN44))/12,IF(CN44=1,IF(CN45&gt;=INDEX('Lease Cycles'!$DK$10:$DQ$10,1,CN44),IF(CN$6&gt;='Lease Cycles'!$AZ$10,'Lease Cycles'!$C$10*'Lease Cycles'!$BA$10/12,IF(CN$6&gt;='Lease Cycles'!$AX$10,'Lease Cycles'!$C$10*'Lease Cycles'!$AY$10/12,IF(CN$6&gt;='Lease Cycles'!$AV$10,'Lease Cycles'!$C$10*'Lease Cycles'!$AW$10/12,IF(CN$6&gt;='Lease Cycles'!$AT$10,'Lease Cycles'!$C$10*'Lease Cycles'!$AU$10/12,'Lease Cycles'!$C$10*INDEX('Lease Cycles'!$CB$10:$CH$10,1,CN44)*(1+INDEX('Lease Cycles'!$CI$10:$CO$10,1,CN44))^INT(INT(CN45/12)/INDEX('Lease Cycles'!$CP$10:$CV$10,1,CN44))/12)))),'Lease Cycles'!$C$10*INDEX('Lease Cycles'!$CB$10:$CH$10,1,CN44)*(1+INDEX('Lease Cycles'!$CI$10:$CO$10,1,CN44))^INT(INT(CN45/12)/INDEX('Lease Cycles'!$CP$10:$CV$10,1,CN44))/12),IF(INDEX('Lease Cycles'!$EF$10:$EL$10,1,CN44)=1,IF(AND('Lease Cycles'!$AZ$10&gt;=INDEX('Lease Cycles'!$BG$10:$BM$10,1,CN44),'Lease Cycles'!$AZ$10&lt;=CN$6),'Lease Cycles'!$C$10*'Lease Cycles'!$BA$10/12,IF(AND('Lease Cycles'!$AX$10&gt;=INDEX('Lease Cycles'!$BG$10:$BM$10,1,CN44),'Lease Cycles'!$AX$10&lt;=CN$6),'Lease Cycles'!$C$10*'Lease Cycles'!$AY$10/12,IF(AND('Lease Cycles'!$AV$10&gt;=INDEX('Lease Cycles'!$BG$10:$BM$10,1,CN44),'Lease Cycles'!$AV$10&lt;=CN$6),'Lease Cycles'!$C$10*'Lease Cycles'!$AW$10/12,IF(AND('Lease Cycles'!$AT$10&gt;=INDEX('Lease Cycles'!$BG$10:$BM$10,1,CN44),'Lease Cycles'!$AT$10&lt;=CN$6),'Lease Cycles'!$C$10*'Lease Cycles'!$AU$10/12,'Lease Cycles'!$C$10*INDEX('Lease Cycles'!$CB$10:$CH$10,1,CN44)*(1+INDEX('Lease Cycles'!$CI$10:$CO$10,1,CN44))^INT(INT(CN45/12)/INDEX('Lease Cycles'!$CP$10:$CV$10,1,CN44))/12)))),'Lease Cycles'!$C$10*INDEX('Lease Cycles'!$CB$10:$CH$10,1,CN44)*(1+INDEX('Lease Cycles'!$CI$10:$CO$10,1,CN44))^INT(INT(CN45/12)/INDEX('Lease Cycles'!$CP$10:$CV$10,1,CN44))/12))),IF('Lease Cycles'!$N$10=1,'Lease Cycles'!$C$10*'Lease Cycles'!$E$10*INDEX('Lease Cycles'!$HE$10:$HK$10,1,CN44)*(1+INDEX('Lease Cycles'!$GQ$10:$GW$10,1,CN44))^INT(INT((CN$6-INDEX('Lease Cycles'!$GJ$10:$GP$10,1,CN44))/12)/INDEX('Lease Cycles'!$GX$10:$HD$10,1,CN44))/12,0)))</f>
        <v>9372.603910457065</v>
      </c>
      <c r="CO47" s="28">
        <f>IF(CO44=0,IF('Lease Cycles'!$F$10&gt;0,'Lease Cycles'!$C$10*'Lease Cycles'!$E$10/12,0),IF(CO46=1,IF('Lease Cycles'!$AT$10&gt;=9999,'Lease Cycles'!$C$10*INDEX('Lease Cycles'!$CB$10:$CH$10,1,CO44)*(1+INDEX('Lease Cycles'!$CI$10:$CO$10,1,CO44))^INT(INT(CO45/12)/INDEX('Lease Cycles'!$CP$10:$CV$10,1,CO44))/12,IF(CO44=1,IF(CO45&gt;=INDEX('Lease Cycles'!$DK$10:$DQ$10,1,CO44),IF(CO$6&gt;='Lease Cycles'!$AZ$10,'Lease Cycles'!$C$10*'Lease Cycles'!$BA$10/12,IF(CO$6&gt;='Lease Cycles'!$AX$10,'Lease Cycles'!$C$10*'Lease Cycles'!$AY$10/12,IF(CO$6&gt;='Lease Cycles'!$AV$10,'Lease Cycles'!$C$10*'Lease Cycles'!$AW$10/12,IF(CO$6&gt;='Lease Cycles'!$AT$10,'Lease Cycles'!$C$10*'Lease Cycles'!$AU$10/12,'Lease Cycles'!$C$10*INDEX('Lease Cycles'!$CB$10:$CH$10,1,CO44)*(1+INDEX('Lease Cycles'!$CI$10:$CO$10,1,CO44))^INT(INT(CO45/12)/INDEX('Lease Cycles'!$CP$10:$CV$10,1,CO44))/12)))),'Lease Cycles'!$C$10*INDEX('Lease Cycles'!$CB$10:$CH$10,1,CO44)*(1+INDEX('Lease Cycles'!$CI$10:$CO$10,1,CO44))^INT(INT(CO45/12)/INDEX('Lease Cycles'!$CP$10:$CV$10,1,CO44))/12),IF(INDEX('Lease Cycles'!$EF$10:$EL$10,1,CO44)=1,IF(AND('Lease Cycles'!$AZ$10&gt;=INDEX('Lease Cycles'!$BG$10:$BM$10,1,CO44),'Lease Cycles'!$AZ$10&lt;=CO$6),'Lease Cycles'!$C$10*'Lease Cycles'!$BA$10/12,IF(AND('Lease Cycles'!$AX$10&gt;=INDEX('Lease Cycles'!$BG$10:$BM$10,1,CO44),'Lease Cycles'!$AX$10&lt;=CO$6),'Lease Cycles'!$C$10*'Lease Cycles'!$AY$10/12,IF(AND('Lease Cycles'!$AV$10&gt;=INDEX('Lease Cycles'!$BG$10:$BM$10,1,CO44),'Lease Cycles'!$AV$10&lt;=CO$6),'Lease Cycles'!$C$10*'Lease Cycles'!$AW$10/12,IF(AND('Lease Cycles'!$AT$10&gt;=INDEX('Lease Cycles'!$BG$10:$BM$10,1,CO44),'Lease Cycles'!$AT$10&lt;=CO$6),'Lease Cycles'!$C$10*'Lease Cycles'!$AU$10/12,'Lease Cycles'!$C$10*INDEX('Lease Cycles'!$CB$10:$CH$10,1,CO44)*(1+INDEX('Lease Cycles'!$CI$10:$CO$10,1,CO44))^INT(INT(CO45/12)/INDEX('Lease Cycles'!$CP$10:$CV$10,1,CO44))/12)))),'Lease Cycles'!$C$10*INDEX('Lease Cycles'!$CB$10:$CH$10,1,CO44)*(1+INDEX('Lease Cycles'!$CI$10:$CO$10,1,CO44))^INT(INT(CO45/12)/INDEX('Lease Cycles'!$CP$10:$CV$10,1,CO44))/12))),IF('Lease Cycles'!$N$10=1,'Lease Cycles'!$C$10*'Lease Cycles'!$E$10*INDEX('Lease Cycles'!$HE$10:$HK$10,1,CO44)*(1+INDEX('Lease Cycles'!$GQ$10:$GW$10,1,CO44))^INT(INT((CO$6-INDEX('Lease Cycles'!$GJ$10:$GP$10,1,CO44))/12)/INDEX('Lease Cycles'!$GX$10:$HD$10,1,CO44))/12,0)))</f>
        <v>9372.603910457065</v>
      </c>
      <c r="CP47" s="28">
        <f>IF(CP44=0,IF('Lease Cycles'!$F$10&gt;0,'Lease Cycles'!$C$10*'Lease Cycles'!$E$10/12,0),IF(CP46=1,IF('Lease Cycles'!$AT$10&gt;=9999,'Lease Cycles'!$C$10*INDEX('Lease Cycles'!$CB$10:$CH$10,1,CP44)*(1+INDEX('Lease Cycles'!$CI$10:$CO$10,1,CP44))^INT(INT(CP45/12)/INDEX('Lease Cycles'!$CP$10:$CV$10,1,CP44))/12,IF(CP44=1,IF(CP45&gt;=INDEX('Lease Cycles'!$DK$10:$DQ$10,1,CP44),IF(CP$6&gt;='Lease Cycles'!$AZ$10,'Lease Cycles'!$C$10*'Lease Cycles'!$BA$10/12,IF(CP$6&gt;='Lease Cycles'!$AX$10,'Lease Cycles'!$C$10*'Lease Cycles'!$AY$10/12,IF(CP$6&gt;='Lease Cycles'!$AV$10,'Lease Cycles'!$C$10*'Lease Cycles'!$AW$10/12,IF(CP$6&gt;='Lease Cycles'!$AT$10,'Lease Cycles'!$C$10*'Lease Cycles'!$AU$10/12,'Lease Cycles'!$C$10*INDEX('Lease Cycles'!$CB$10:$CH$10,1,CP44)*(1+INDEX('Lease Cycles'!$CI$10:$CO$10,1,CP44))^INT(INT(CP45/12)/INDEX('Lease Cycles'!$CP$10:$CV$10,1,CP44))/12)))),'Lease Cycles'!$C$10*INDEX('Lease Cycles'!$CB$10:$CH$10,1,CP44)*(1+INDEX('Lease Cycles'!$CI$10:$CO$10,1,CP44))^INT(INT(CP45/12)/INDEX('Lease Cycles'!$CP$10:$CV$10,1,CP44))/12),IF(INDEX('Lease Cycles'!$EF$10:$EL$10,1,CP44)=1,IF(AND('Lease Cycles'!$AZ$10&gt;=INDEX('Lease Cycles'!$BG$10:$BM$10,1,CP44),'Lease Cycles'!$AZ$10&lt;=CP$6),'Lease Cycles'!$C$10*'Lease Cycles'!$BA$10/12,IF(AND('Lease Cycles'!$AX$10&gt;=INDEX('Lease Cycles'!$BG$10:$BM$10,1,CP44),'Lease Cycles'!$AX$10&lt;=CP$6),'Lease Cycles'!$C$10*'Lease Cycles'!$AY$10/12,IF(AND('Lease Cycles'!$AV$10&gt;=INDEX('Lease Cycles'!$BG$10:$BM$10,1,CP44),'Lease Cycles'!$AV$10&lt;=CP$6),'Lease Cycles'!$C$10*'Lease Cycles'!$AW$10/12,IF(AND('Lease Cycles'!$AT$10&gt;=INDEX('Lease Cycles'!$BG$10:$BM$10,1,CP44),'Lease Cycles'!$AT$10&lt;=CP$6),'Lease Cycles'!$C$10*'Lease Cycles'!$AU$10/12,'Lease Cycles'!$C$10*INDEX('Lease Cycles'!$CB$10:$CH$10,1,CP44)*(1+INDEX('Lease Cycles'!$CI$10:$CO$10,1,CP44))^INT(INT(CP45/12)/INDEX('Lease Cycles'!$CP$10:$CV$10,1,CP44))/12)))),'Lease Cycles'!$C$10*INDEX('Lease Cycles'!$CB$10:$CH$10,1,CP44)*(1+INDEX('Lease Cycles'!$CI$10:$CO$10,1,CP44))^INT(INT(CP45/12)/INDEX('Lease Cycles'!$CP$10:$CV$10,1,CP44))/12))),IF('Lease Cycles'!$N$10=1,'Lease Cycles'!$C$10*'Lease Cycles'!$E$10*INDEX('Lease Cycles'!$HE$10:$HK$10,1,CP44)*(1+INDEX('Lease Cycles'!$GQ$10:$GW$10,1,CP44))^INT(INT((CP$6-INDEX('Lease Cycles'!$GJ$10:$GP$10,1,CP44))/12)/INDEX('Lease Cycles'!$GX$10:$HD$10,1,CP44))/12,0)))</f>
        <v>9372.603910457065</v>
      </c>
      <c r="CQ47" s="28">
        <f>IF(CQ44=0,IF('Lease Cycles'!$F$10&gt;0,'Lease Cycles'!$C$10*'Lease Cycles'!$E$10/12,0),IF(CQ46=1,IF('Lease Cycles'!$AT$10&gt;=9999,'Lease Cycles'!$C$10*INDEX('Lease Cycles'!$CB$10:$CH$10,1,CQ44)*(1+INDEX('Lease Cycles'!$CI$10:$CO$10,1,CQ44))^INT(INT(CQ45/12)/INDEX('Lease Cycles'!$CP$10:$CV$10,1,CQ44))/12,IF(CQ44=1,IF(CQ45&gt;=INDEX('Lease Cycles'!$DK$10:$DQ$10,1,CQ44),IF(CQ$6&gt;='Lease Cycles'!$AZ$10,'Lease Cycles'!$C$10*'Lease Cycles'!$BA$10/12,IF(CQ$6&gt;='Lease Cycles'!$AX$10,'Lease Cycles'!$C$10*'Lease Cycles'!$AY$10/12,IF(CQ$6&gt;='Lease Cycles'!$AV$10,'Lease Cycles'!$C$10*'Lease Cycles'!$AW$10/12,IF(CQ$6&gt;='Lease Cycles'!$AT$10,'Lease Cycles'!$C$10*'Lease Cycles'!$AU$10/12,'Lease Cycles'!$C$10*INDEX('Lease Cycles'!$CB$10:$CH$10,1,CQ44)*(1+INDEX('Lease Cycles'!$CI$10:$CO$10,1,CQ44))^INT(INT(CQ45/12)/INDEX('Lease Cycles'!$CP$10:$CV$10,1,CQ44))/12)))),'Lease Cycles'!$C$10*INDEX('Lease Cycles'!$CB$10:$CH$10,1,CQ44)*(1+INDEX('Lease Cycles'!$CI$10:$CO$10,1,CQ44))^INT(INT(CQ45/12)/INDEX('Lease Cycles'!$CP$10:$CV$10,1,CQ44))/12),IF(INDEX('Lease Cycles'!$EF$10:$EL$10,1,CQ44)=1,IF(AND('Lease Cycles'!$AZ$10&gt;=INDEX('Lease Cycles'!$BG$10:$BM$10,1,CQ44),'Lease Cycles'!$AZ$10&lt;=CQ$6),'Lease Cycles'!$C$10*'Lease Cycles'!$BA$10/12,IF(AND('Lease Cycles'!$AX$10&gt;=INDEX('Lease Cycles'!$BG$10:$BM$10,1,CQ44),'Lease Cycles'!$AX$10&lt;=CQ$6),'Lease Cycles'!$C$10*'Lease Cycles'!$AY$10/12,IF(AND('Lease Cycles'!$AV$10&gt;=INDEX('Lease Cycles'!$BG$10:$BM$10,1,CQ44),'Lease Cycles'!$AV$10&lt;=CQ$6),'Lease Cycles'!$C$10*'Lease Cycles'!$AW$10/12,IF(AND('Lease Cycles'!$AT$10&gt;=INDEX('Lease Cycles'!$BG$10:$BM$10,1,CQ44),'Lease Cycles'!$AT$10&lt;=CQ$6),'Lease Cycles'!$C$10*'Lease Cycles'!$AU$10/12,'Lease Cycles'!$C$10*INDEX('Lease Cycles'!$CB$10:$CH$10,1,CQ44)*(1+INDEX('Lease Cycles'!$CI$10:$CO$10,1,CQ44))^INT(INT(CQ45/12)/INDEX('Lease Cycles'!$CP$10:$CV$10,1,CQ44))/12)))),'Lease Cycles'!$C$10*INDEX('Lease Cycles'!$CB$10:$CH$10,1,CQ44)*(1+INDEX('Lease Cycles'!$CI$10:$CO$10,1,CQ44))^INT(INT(CQ45/12)/INDEX('Lease Cycles'!$CP$10:$CV$10,1,CQ44))/12))),IF('Lease Cycles'!$N$10=1,'Lease Cycles'!$C$10*'Lease Cycles'!$E$10*INDEX('Lease Cycles'!$HE$10:$HK$10,1,CQ44)*(1+INDEX('Lease Cycles'!$GQ$10:$GW$10,1,CQ44))^INT(INT((CQ$6-INDEX('Lease Cycles'!$GJ$10:$GP$10,1,CQ44))/12)/INDEX('Lease Cycles'!$GX$10:$HD$10,1,CQ44))/12,0)))</f>
        <v>9372.603910457065</v>
      </c>
      <c r="CR47" s="28">
        <f>IF(CR44=0,IF('Lease Cycles'!$F$10&gt;0,'Lease Cycles'!$C$10*'Lease Cycles'!$E$10/12,0),IF(CR46=1,IF('Lease Cycles'!$AT$10&gt;=9999,'Lease Cycles'!$C$10*INDEX('Lease Cycles'!$CB$10:$CH$10,1,CR44)*(1+INDEX('Lease Cycles'!$CI$10:$CO$10,1,CR44))^INT(INT(CR45/12)/INDEX('Lease Cycles'!$CP$10:$CV$10,1,CR44))/12,IF(CR44=1,IF(CR45&gt;=INDEX('Lease Cycles'!$DK$10:$DQ$10,1,CR44),IF(CR$6&gt;='Lease Cycles'!$AZ$10,'Lease Cycles'!$C$10*'Lease Cycles'!$BA$10/12,IF(CR$6&gt;='Lease Cycles'!$AX$10,'Lease Cycles'!$C$10*'Lease Cycles'!$AY$10/12,IF(CR$6&gt;='Lease Cycles'!$AV$10,'Lease Cycles'!$C$10*'Lease Cycles'!$AW$10/12,IF(CR$6&gt;='Lease Cycles'!$AT$10,'Lease Cycles'!$C$10*'Lease Cycles'!$AU$10/12,'Lease Cycles'!$C$10*INDEX('Lease Cycles'!$CB$10:$CH$10,1,CR44)*(1+INDEX('Lease Cycles'!$CI$10:$CO$10,1,CR44))^INT(INT(CR45/12)/INDEX('Lease Cycles'!$CP$10:$CV$10,1,CR44))/12)))),'Lease Cycles'!$C$10*INDEX('Lease Cycles'!$CB$10:$CH$10,1,CR44)*(1+INDEX('Lease Cycles'!$CI$10:$CO$10,1,CR44))^INT(INT(CR45/12)/INDEX('Lease Cycles'!$CP$10:$CV$10,1,CR44))/12),IF(INDEX('Lease Cycles'!$EF$10:$EL$10,1,CR44)=1,IF(AND('Lease Cycles'!$AZ$10&gt;=INDEX('Lease Cycles'!$BG$10:$BM$10,1,CR44),'Lease Cycles'!$AZ$10&lt;=CR$6),'Lease Cycles'!$C$10*'Lease Cycles'!$BA$10/12,IF(AND('Lease Cycles'!$AX$10&gt;=INDEX('Lease Cycles'!$BG$10:$BM$10,1,CR44),'Lease Cycles'!$AX$10&lt;=CR$6),'Lease Cycles'!$C$10*'Lease Cycles'!$AY$10/12,IF(AND('Lease Cycles'!$AV$10&gt;=INDEX('Lease Cycles'!$BG$10:$BM$10,1,CR44),'Lease Cycles'!$AV$10&lt;=CR$6),'Lease Cycles'!$C$10*'Lease Cycles'!$AW$10/12,IF(AND('Lease Cycles'!$AT$10&gt;=INDEX('Lease Cycles'!$BG$10:$BM$10,1,CR44),'Lease Cycles'!$AT$10&lt;=CR$6),'Lease Cycles'!$C$10*'Lease Cycles'!$AU$10/12,'Lease Cycles'!$C$10*INDEX('Lease Cycles'!$CB$10:$CH$10,1,CR44)*(1+INDEX('Lease Cycles'!$CI$10:$CO$10,1,CR44))^INT(INT(CR45/12)/INDEX('Lease Cycles'!$CP$10:$CV$10,1,CR44))/12)))),'Lease Cycles'!$C$10*INDEX('Lease Cycles'!$CB$10:$CH$10,1,CR44)*(1+INDEX('Lease Cycles'!$CI$10:$CO$10,1,CR44))^INT(INT(CR45/12)/INDEX('Lease Cycles'!$CP$10:$CV$10,1,CR44))/12))),IF('Lease Cycles'!$N$10=1,'Lease Cycles'!$C$10*'Lease Cycles'!$E$10*INDEX('Lease Cycles'!$HE$10:$HK$10,1,CR44)*(1+INDEX('Lease Cycles'!$GQ$10:$GW$10,1,CR44))^INT(INT((CR$6-INDEX('Lease Cycles'!$GJ$10:$GP$10,1,CR44))/12)/INDEX('Lease Cycles'!$GX$10:$HD$10,1,CR44))/12,0)))</f>
        <v>9372.603910457065</v>
      </c>
      <c r="CS47" s="28">
        <f>IF(CS44=0,IF('Lease Cycles'!$F$10&gt;0,'Lease Cycles'!$C$10*'Lease Cycles'!$E$10/12,0),IF(CS46=1,IF('Lease Cycles'!$AT$10&gt;=9999,'Lease Cycles'!$C$10*INDEX('Lease Cycles'!$CB$10:$CH$10,1,CS44)*(1+INDEX('Lease Cycles'!$CI$10:$CO$10,1,CS44))^INT(INT(CS45/12)/INDEX('Lease Cycles'!$CP$10:$CV$10,1,CS44))/12,IF(CS44=1,IF(CS45&gt;=INDEX('Lease Cycles'!$DK$10:$DQ$10,1,CS44),IF(CS$6&gt;='Lease Cycles'!$AZ$10,'Lease Cycles'!$C$10*'Lease Cycles'!$BA$10/12,IF(CS$6&gt;='Lease Cycles'!$AX$10,'Lease Cycles'!$C$10*'Lease Cycles'!$AY$10/12,IF(CS$6&gt;='Lease Cycles'!$AV$10,'Lease Cycles'!$C$10*'Lease Cycles'!$AW$10/12,IF(CS$6&gt;='Lease Cycles'!$AT$10,'Lease Cycles'!$C$10*'Lease Cycles'!$AU$10/12,'Lease Cycles'!$C$10*INDEX('Lease Cycles'!$CB$10:$CH$10,1,CS44)*(1+INDEX('Lease Cycles'!$CI$10:$CO$10,1,CS44))^INT(INT(CS45/12)/INDEX('Lease Cycles'!$CP$10:$CV$10,1,CS44))/12)))),'Lease Cycles'!$C$10*INDEX('Lease Cycles'!$CB$10:$CH$10,1,CS44)*(1+INDEX('Lease Cycles'!$CI$10:$CO$10,1,CS44))^INT(INT(CS45/12)/INDEX('Lease Cycles'!$CP$10:$CV$10,1,CS44))/12),IF(INDEX('Lease Cycles'!$EF$10:$EL$10,1,CS44)=1,IF(AND('Lease Cycles'!$AZ$10&gt;=INDEX('Lease Cycles'!$BG$10:$BM$10,1,CS44),'Lease Cycles'!$AZ$10&lt;=CS$6),'Lease Cycles'!$C$10*'Lease Cycles'!$BA$10/12,IF(AND('Lease Cycles'!$AX$10&gt;=INDEX('Lease Cycles'!$BG$10:$BM$10,1,CS44),'Lease Cycles'!$AX$10&lt;=CS$6),'Lease Cycles'!$C$10*'Lease Cycles'!$AY$10/12,IF(AND('Lease Cycles'!$AV$10&gt;=INDEX('Lease Cycles'!$BG$10:$BM$10,1,CS44),'Lease Cycles'!$AV$10&lt;=CS$6),'Lease Cycles'!$C$10*'Lease Cycles'!$AW$10/12,IF(AND('Lease Cycles'!$AT$10&gt;=INDEX('Lease Cycles'!$BG$10:$BM$10,1,CS44),'Lease Cycles'!$AT$10&lt;=CS$6),'Lease Cycles'!$C$10*'Lease Cycles'!$AU$10/12,'Lease Cycles'!$C$10*INDEX('Lease Cycles'!$CB$10:$CH$10,1,CS44)*(1+INDEX('Lease Cycles'!$CI$10:$CO$10,1,CS44))^INT(INT(CS45/12)/INDEX('Lease Cycles'!$CP$10:$CV$10,1,CS44))/12)))),'Lease Cycles'!$C$10*INDEX('Lease Cycles'!$CB$10:$CH$10,1,CS44)*(1+INDEX('Lease Cycles'!$CI$10:$CO$10,1,CS44))^INT(INT(CS45/12)/INDEX('Lease Cycles'!$CP$10:$CV$10,1,CS44))/12))),IF('Lease Cycles'!$N$10=1,'Lease Cycles'!$C$10*'Lease Cycles'!$E$10*INDEX('Lease Cycles'!$HE$10:$HK$10,1,CS44)*(1+INDEX('Lease Cycles'!$GQ$10:$GW$10,1,CS44))^INT(INT((CS$6-INDEX('Lease Cycles'!$GJ$10:$GP$10,1,CS44))/12)/INDEX('Lease Cycles'!$GX$10:$HD$10,1,CS44))/12,0)))</f>
        <v>9372.603910457065</v>
      </c>
      <c r="CT47" s="28">
        <f>IF(CT44=0,IF('Lease Cycles'!$F$10&gt;0,'Lease Cycles'!$C$10*'Lease Cycles'!$E$10/12,0),IF(CT46=1,IF('Lease Cycles'!$AT$10&gt;=9999,'Lease Cycles'!$C$10*INDEX('Lease Cycles'!$CB$10:$CH$10,1,CT44)*(1+INDEX('Lease Cycles'!$CI$10:$CO$10,1,CT44))^INT(INT(CT45/12)/INDEX('Lease Cycles'!$CP$10:$CV$10,1,CT44))/12,IF(CT44=1,IF(CT45&gt;=INDEX('Lease Cycles'!$DK$10:$DQ$10,1,CT44),IF(CT$6&gt;='Lease Cycles'!$AZ$10,'Lease Cycles'!$C$10*'Lease Cycles'!$BA$10/12,IF(CT$6&gt;='Lease Cycles'!$AX$10,'Lease Cycles'!$C$10*'Lease Cycles'!$AY$10/12,IF(CT$6&gt;='Lease Cycles'!$AV$10,'Lease Cycles'!$C$10*'Lease Cycles'!$AW$10/12,IF(CT$6&gt;='Lease Cycles'!$AT$10,'Lease Cycles'!$C$10*'Lease Cycles'!$AU$10/12,'Lease Cycles'!$C$10*INDEX('Lease Cycles'!$CB$10:$CH$10,1,CT44)*(1+INDEX('Lease Cycles'!$CI$10:$CO$10,1,CT44))^INT(INT(CT45/12)/INDEX('Lease Cycles'!$CP$10:$CV$10,1,CT44))/12)))),'Lease Cycles'!$C$10*INDEX('Lease Cycles'!$CB$10:$CH$10,1,CT44)*(1+INDEX('Lease Cycles'!$CI$10:$CO$10,1,CT44))^INT(INT(CT45/12)/INDEX('Lease Cycles'!$CP$10:$CV$10,1,CT44))/12),IF(INDEX('Lease Cycles'!$EF$10:$EL$10,1,CT44)=1,IF(AND('Lease Cycles'!$AZ$10&gt;=INDEX('Lease Cycles'!$BG$10:$BM$10,1,CT44),'Lease Cycles'!$AZ$10&lt;=CT$6),'Lease Cycles'!$C$10*'Lease Cycles'!$BA$10/12,IF(AND('Lease Cycles'!$AX$10&gt;=INDEX('Lease Cycles'!$BG$10:$BM$10,1,CT44),'Lease Cycles'!$AX$10&lt;=CT$6),'Lease Cycles'!$C$10*'Lease Cycles'!$AY$10/12,IF(AND('Lease Cycles'!$AV$10&gt;=INDEX('Lease Cycles'!$BG$10:$BM$10,1,CT44),'Lease Cycles'!$AV$10&lt;=CT$6),'Lease Cycles'!$C$10*'Lease Cycles'!$AW$10/12,IF(AND('Lease Cycles'!$AT$10&gt;=INDEX('Lease Cycles'!$BG$10:$BM$10,1,CT44),'Lease Cycles'!$AT$10&lt;=CT$6),'Lease Cycles'!$C$10*'Lease Cycles'!$AU$10/12,'Lease Cycles'!$C$10*INDEX('Lease Cycles'!$CB$10:$CH$10,1,CT44)*(1+INDEX('Lease Cycles'!$CI$10:$CO$10,1,CT44))^INT(INT(CT45/12)/INDEX('Lease Cycles'!$CP$10:$CV$10,1,CT44))/12)))),'Lease Cycles'!$C$10*INDEX('Lease Cycles'!$CB$10:$CH$10,1,CT44)*(1+INDEX('Lease Cycles'!$CI$10:$CO$10,1,CT44))^INT(INT(CT45/12)/INDEX('Lease Cycles'!$CP$10:$CV$10,1,CT44))/12))),IF('Lease Cycles'!$N$10=1,'Lease Cycles'!$C$10*'Lease Cycles'!$E$10*INDEX('Lease Cycles'!$HE$10:$HK$10,1,CT44)*(1+INDEX('Lease Cycles'!$GQ$10:$GW$10,1,CT44))^INT(INT((CT$6-INDEX('Lease Cycles'!$GJ$10:$GP$10,1,CT44))/12)/INDEX('Lease Cycles'!$GX$10:$HD$10,1,CT44))/12,0)))</f>
        <v>9372.603910457065</v>
      </c>
      <c r="CU47" s="28">
        <f>IF(CU44=0,IF('Lease Cycles'!$F$10&gt;0,'Lease Cycles'!$C$10*'Lease Cycles'!$E$10/12,0),IF(CU46=1,IF('Lease Cycles'!$AT$10&gt;=9999,'Lease Cycles'!$C$10*INDEX('Lease Cycles'!$CB$10:$CH$10,1,CU44)*(1+INDEX('Lease Cycles'!$CI$10:$CO$10,1,CU44))^INT(INT(CU45/12)/INDEX('Lease Cycles'!$CP$10:$CV$10,1,CU44))/12,IF(CU44=1,IF(CU45&gt;=INDEX('Lease Cycles'!$DK$10:$DQ$10,1,CU44),IF(CU$6&gt;='Lease Cycles'!$AZ$10,'Lease Cycles'!$C$10*'Lease Cycles'!$BA$10/12,IF(CU$6&gt;='Lease Cycles'!$AX$10,'Lease Cycles'!$C$10*'Lease Cycles'!$AY$10/12,IF(CU$6&gt;='Lease Cycles'!$AV$10,'Lease Cycles'!$C$10*'Lease Cycles'!$AW$10/12,IF(CU$6&gt;='Lease Cycles'!$AT$10,'Lease Cycles'!$C$10*'Lease Cycles'!$AU$10/12,'Lease Cycles'!$C$10*INDEX('Lease Cycles'!$CB$10:$CH$10,1,CU44)*(1+INDEX('Lease Cycles'!$CI$10:$CO$10,1,CU44))^INT(INT(CU45/12)/INDEX('Lease Cycles'!$CP$10:$CV$10,1,CU44))/12)))),'Lease Cycles'!$C$10*INDEX('Lease Cycles'!$CB$10:$CH$10,1,CU44)*(1+INDEX('Lease Cycles'!$CI$10:$CO$10,1,CU44))^INT(INT(CU45/12)/INDEX('Lease Cycles'!$CP$10:$CV$10,1,CU44))/12),IF(INDEX('Lease Cycles'!$EF$10:$EL$10,1,CU44)=1,IF(AND('Lease Cycles'!$AZ$10&gt;=INDEX('Lease Cycles'!$BG$10:$BM$10,1,CU44),'Lease Cycles'!$AZ$10&lt;=CU$6),'Lease Cycles'!$C$10*'Lease Cycles'!$BA$10/12,IF(AND('Lease Cycles'!$AX$10&gt;=INDEX('Lease Cycles'!$BG$10:$BM$10,1,CU44),'Lease Cycles'!$AX$10&lt;=CU$6),'Lease Cycles'!$C$10*'Lease Cycles'!$AY$10/12,IF(AND('Lease Cycles'!$AV$10&gt;=INDEX('Lease Cycles'!$BG$10:$BM$10,1,CU44),'Lease Cycles'!$AV$10&lt;=CU$6),'Lease Cycles'!$C$10*'Lease Cycles'!$AW$10/12,IF(AND('Lease Cycles'!$AT$10&gt;=INDEX('Lease Cycles'!$BG$10:$BM$10,1,CU44),'Lease Cycles'!$AT$10&lt;=CU$6),'Lease Cycles'!$C$10*'Lease Cycles'!$AU$10/12,'Lease Cycles'!$C$10*INDEX('Lease Cycles'!$CB$10:$CH$10,1,CU44)*(1+INDEX('Lease Cycles'!$CI$10:$CO$10,1,CU44))^INT(INT(CU45/12)/INDEX('Lease Cycles'!$CP$10:$CV$10,1,CU44))/12)))),'Lease Cycles'!$C$10*INDEX('Lease Cycles'!$CB$10:$CH$10,1,CU44)*(1+INDEX('Lease Cycles'!$CI$10:$CO$10,1,CU44))^INT(INT(CU45/12)/INDEX('Lease Cycles'!$CP$10:$CV$10,1,CU44))/12))),IF('Lease Cycles'!$N$10=1,'Lease Cycles'!$C$10*'Lease Cycles'!$E$10*INDEX('Lease Cycles'!$HE$10:$HK$10,1,CU44)*(1+INDEX('Lease Cycles'!$GQ$10:$GW$10,1,CU44))^INT(INT((CU$6-INDEX('Lease Cycles'!$GJ$10:$GP$10,1,CU44))/12)/INDEX('Lease Cycles'!$GX$10:$HD$10,1,CU44))/12,0)))</f>
        <v>9372.603910457065</v>
      </c>
      <c r="CV47" s="28">
        <f>IF(CV44=0,IF('Lease Cycles'!$F$10&gt;0,'Lease Cycles'!$C$10*'Lease Cycles'!$E$10/12,0),IF(CV46=1,IF('Lease Cycles'!$AT$10&gt;=9999,'Lease Cycles'!$C$10*INDEX('Lease Cycles'!$CB$10:$CH$10,1,CV44)*(1+INDEX('Lease Cycles'!$CI$10:$CO$10,1,CV44))^INT(INT(CV45/12)/INDEX('Lease Cycles'!$CP$10:$CV$10,1,CV44))/12,IF(CV44=1,IF(CV45&gt;=INDEX('Lease Cycles'!$DK$10:$DQ$10,1,CV44),IF(CV$6&gt;='Lease Cycles'!$AZ$10,'Lease Cycles'!$C$10*'Lease Cycles'!$BA$10/12,IF(CV$6&gt;='Lease Cycles'!$AX$10,'Lease Cycles'!$C$10*'Lease Cycles'!$AY$10/12,IF(CV$6&gt;='Lease Cycles'!$AV$10,'Lease Cycles'!$C$10*'Lease Cycles'!$AW$10/12,IF(CV$6&gt;='Lease Cycles'!$AT$10,'Lease Cycles'!$C$10*'Lease Cycles'!$AU$10/12,'Lease Cycles'!$C$10*INDEX('Lease Cycles'!$CB$10:$CH$10,1,CV44)*(1+INDEX('Lease Cycles'!$CI$10:$CO$10,1,CV44))^INT(INT(CV45/12)/INDEX('Lease Cycles'!$CP$10:$CV$10,1,CV44))/12)))),'Lease Cycles'!$C$10*INDEX('Lease Cycles'!$CB$10:$CH$10,1,CV44)*(1+INDEX('Lease Cycles'!$CI$10:$CO$10,1,CV44))^INT(INT(CV45/12)/INDEX('Lease Cycles'!$CP$10:$CV$10,1,CV44))/12),IF(INDEX('Lease Cycles'!$EF$10:$EL$10,1,CV44)=1,IF(AND('Lease Cycles'!$AZ$10&gt;=INDEX('Lease Cycles'!$BG$10:$BM$10,1,CV44),'Lease Cycles'!$AZ$10&lt;=CV$6),'Lease Cycles'!$C$10*'Lease Cycles'!$BA$10/12,IF(AND('Lease Cycles'!$AX$10&gt;=INDEX('Lease Cycles'!$BG$10:$BM$10,1,CV44),'Lease Cycles'!$AX$10&lt;=CV$6),'Lease Cycles'!$C$10*'Lease Cycles'!$AY$10/12,IF(AND('Lease Cycles'!$AV$10&gt;=INDEX('Lease Cycles'!$BG$10:$BM$10,1,CV44),'Lease Cycles'!$AV$10&lt;=CV$6),'Lease Cycles'!$C$10*'Lease Cycles'!$AW$10/12,IF(AND('Lease Cycles'!$AT$10&gt;=INDEX('Lease Cycles'!$BG$10:$BM$10,1,CV44),'Lease Cycles'!$AT$10&lt;=CV$6),'Lease Cycles'!$C$10*'Lease Cycles'!$AU$10/12,'Lease Cycles'!$C$10*INDEX('Lease Cycles'!$CB$10:$CH$10,1,CV44)*(1+INDEX('Lease Cycles'!$CI$10:$CO$10,1,CV44))^INT(INT(CV45/12)/INDEX('Lease Cycles'!$CP$10:$CV$10,1,CV44))/12)))),'Lease Cycles'!$C$10*INDEX('Lease Cycles'!$CB$10:$CH$10,1,CV44)*(1+INDEX('Lease Cycles'!$CI$10:$CO$10,1,CV44))^INT(INT(CV45/12)/INDEX('Lease Cycles'!$CP$10:$CV$10,1,CV44))/12))),IF('Lease Cycles'!$N$10=1,'Lease Cycles'!$C$10*'Lease Cycles'!$E$10*INDEX('Lease Cycles'!$HE$10:$HK$10,1,CV44)*(1+INDEX('Lease Cycles'!$GQ$10:$GW$10,1,CV44))^INT(INT((CV$6-INDEX('Lease Cycles'!$GJ$10:$GP$10,1,CV44))/12)/INDEX('Lease Cycles'!$GX$10:$HD$10,1,CV44))/12,0)))</f>
        <v>9372.603910457065</v>
      </c>
      <c r="CW47" s="28">
        <f>IF(CW44=0,IF('Lease Cycles'!$F$10&gt;0,'Lease Cycles'!$C$10*'Lease Cycles'!$E$10/12,0),IF(CW46=1,IF('Lease Cycles'!$AT$10&gt;=9999,'Lease Cycles'!$C$10*INDEX('Lease Cycles'!$CB$10:$CH$10,1,CW44)*(1+INDEX('Lease Cycles'!$CI$10:$CO$10,1,CW44))^INT(INT(CW45/12)/INDEX('Lease Cycles'!$CP$10:$CV$10,1,CW44))/12,IF(CW44=1,IF(CW45&gt;=INDEX('Lease Cycles'!$DK$10:$DQ$10,1,CW44),IF(CW$6&gt;='Lease Cycles'!$AZ$10,'Lease Cycles'!$C$10*'Lease Cycles'!$BA$10/12,IF(CW$6&gt;='Lease Cycles'!$AX$10,'Lease Cycles'!$C$10*'Lease Cycles'!$AY$10/12,IF(CW$6&gt;='Lease Cycles'!$AV$10,'Lease Cycles'!$C$10*'Lease Cycles'!$AW$10/12,IF(CW$6&gt;='Lease Cycles'!$AT$10,'Lease Cycles'!$C$10*'Lease Cycles'!$AU$10/12,'Lease Cycles'!$C$10*INDEX('Lease Cycles'!$CB$10:$CH$10,1,CW44)*(1+INDEX('Lease Cycles'!$CI$10:$CO$10,1,CW44))^INT(INT(CW45/12)/INDEX('Lease Cycles'!$CP$10:$CV$10,1,CW44))/12)))),'Lease Cycles'!$C$10*INDEX('Lease Cycles'!$CB$10:$CH$10,1,CW44)*(1+INDEX('Lease Cycles'!$CI$10:$CO$10,1,CW44))^INT(INT(CW45/12)/INDEX('Lease Cycles'!$CP$10:$CV$10,1,CW44))/12),IF(INDEX('Lease Cycles'!$EF$10:$EL$10,1,CW44)=1,IF(AND('Lease Cycles'!$AZ$10&gt;=INDEX('Lease Cycles'!$BG$10:$BM$10,1,CW44),'Lease Cycles'!$AZ$10&lt;=CW$6),'Lease Cycles'!$C$10*'Lease Cycles'!$BA$10/12,IF(AND('Lease Cycles'!$AX$10&gt;=INDEX('Lease Cycles'!$BG$10:$BM$10,1,CW44),'Lease Cycles'!$AX$10&lt;=CW$6),'Lease Cycles'!$C$10*'Lease Cycles'!$AY$10/12,IF(AND('Lease Cycles'!$AV$10&gt;=INDEX('Lease Cycles'!$BG$10:$BM$10,1,CW44),'Lease Cycles'!$AV$10&lt;=CW$6),'Lease Cycles'!$C$10*'Lease Cycles'!$AW$10/12,IF(AND('Lease Cycles'!$AT$10&gt;=INDEX('Lease Cycles'!$BG$10:$BM$10,1,CW44),'Lease Cycles'!$AT$10&lt;=CW$6),'Lease Cycles'!$C$10*'Lease Cycles'!$AU$10/12,'Lease Cycles'!$C$10*INDEX('Lease Cycles'!$CB$10:$CH$10,1,CW44)*(1+INDEX('Lease Cycles'!$CI$10:$CO$10,1,CW44))^INT(INT(CW45/12)/INDEX('Lease Cycles'!$CP$10:$CV$10,1,CW44))/12)))),'Lease Cycles'!$C$10*INDEX('Lease Cycles'!$CB$10:$CH$10,1,CW44)*(1+INDEX('Lease Cycles'!$CI$10:$CO$10,1,CW44))^INT(INT(CW45/12)/INDEX('Lease Cycles'!$CP$10:$CV$10,1,CW44))/12))),IF('Lease Cycles'!$N$10=1,'Lease Cycles'!$C$10*'Lease Cycles'!$E$10*INDEX('Lease Cycles'!$HE$10:$HK$10,1,CW44)*(1+INDEX('Lease Cycles'!$GQ$10:$GW$10,1,CW44))^INT(INT((CW$6-INDEX('Lease Cycles'!$GJ$10:$GP$10,1,CW44))/12)/INDEX('Lease Cycles'!$GX$10:$HD$10,1,CW44))/12,0)))</f>
        <v>9372.603910457065</v>
      </c>
      <c r="CX47" s="28">
        <f>IF(CX44=0,IF('Lease Cycles'!$F$10&gt;0,'Lease Cycles'!$C$10*'Lease Cycles'!$E$10/12,0),IF(CX46=1,IF('Lease Cycles'!$AT$10&gt;=9999,'Lease Cycles'!$C$10*INDEX('Lease Cycles'!$CB$10:$CH$10,1,CX44)*(1+INDEX('Lease Cycles'!$CI$10:$CO$10,1,CX44))^INT(INT(CX45/12)/INDEX('Lease Cycles'!$CP$10:$CV$10,1,CX44))/12,IF(CX44=1,IF(CX45&gt;=INDEX('Lease Cycles'!$DK$10:$DQ$10,1,CX44),IF(CX$6&gt;='Lease Cycles'!$AZ$10,'Lease Cycles'!$C$10*'Lease Cycles'!$BA$10/12,IF(CX$6&gt;='Lease Cycles'!$AX$10,'Lease Cycles'!$C$10*'Lease Cycles'!$AY$10/12,IF(CX$6&gt;='Lease Cycles'!$AV$10,'Lease Cycles'!$C$10*'Lease Cycles'!$AW$10/12,IF(CX$6&gt;='Lease Cycles'!$AT$10,'Lease Cycles'!$C$10*'Lease Cycles'!$AU$10/12,'Lease Cycles'!$C$10*INDEX('Lease Cycles'!$CB$10:$CH$10,1,CX44)*(1+INDEX('Lease Cycles'!$CI$10:$CO$10,1,CX44))^INT(INT(CX45/12)/INDEX('Lease Cycles'!$CP$10:$CV$10,1,CX44))/12)))),'Lease Cycles'!$C$10*INDEX('Lease Cycles'!$CB$10:$CH$10,1,CX44)*(1+INDEX('Lease Cycles'!$CI$10:$CO$10,1,CX44))^INT(INT(CX45/12)/INDEX('Lease Cycles'!$CP$10:$CV$10,1,CX44))/12),IF(INDEX('Lease Cycles'!$EF$10:$EL$10,1,CX44)=1,IF(AND('Lease Cycles'!$AZ$10&gt;=INDEX('Lease Cycles'!$BG$10:$BM$10,1,CX44),'Lease Cycles'!$AZ$10&lt;=CX$6),'Lease Cycles'!$C$10*'Lease Cycles'!$BA$10/12,IF(AND('Lease Cycles'!$AX$10&gt;=INDEX('Lease Cycles'!$BG$10:$BM$10,1,CX44),'Lease Cycles'!$AX$10&lt;=CX$6),'Lease Cycles'!$C$10*'Lease Cycles'!$AY$10/12,IF(AND('Lease Cycles'!$AV$10&gt;=INDEX('Lease Cycles'!$BG$10:$BM$10,1,CX44),'Lease Cycles'!$AV$10&lt;=CX$6),'Lease Cycles'!$C$10*'Lease Cycles'!$AW$10/12,IF(AND('Lease Cycles'!$AT$10&gt;=INDEX('Lease Cycles'!$BG$10:$BM$10,1,CX44),'Lease Cycles'!$AT$10&lt;=CX$6),'Lease Cycles'!$C$10*'Lease Cycles'!$AU$10/12,'Lease Cycles'!$C$10*INDEX('Lease Cycles'!$CB$10:$CH$10,1,CX44)*(1+INDEX('Lease Cycles'!$CI$10:$CO$10,1,CX44))^INT(INT(CX45/12)/INDEX('Lease Cycles'!$CP$10:$CV$10,1,CX44))/12)))),'Lease Cycles'!$C$10*INDEX('Lease Cycles'!$CB$10:$CH$10,1,CX44)*(1+INDEX('Lease Cycles'!$CI$10:$CO$10,1,CX44))^INT(INT(CX45/12)/INDEX('Lease Cycles'!$CP$10:$CV$10,1,CX44))/12))),IF('Lease Cycles'!$N$10=1,'Lease Cycles'!$C$10*'Lease Cycles'!$E$10*INDEX('Lease Cycles'!$HE$10:$HK$10,1,CX44)*(1+INDEX('Lease Cycles'!$GQ$10:$GW$10,1,CX44))^INT(INT((CX$6-INDEX('Lease Cycles'!$GJ$10:$GP$10,1,CX44))/12)/INDEX('Lease Cycles'!$GX$10:$HD$10,1,CX44))/12,0)))</f>
        <v>9372.603910457065</v>
      </c>
      <c r="CY47" s="28">
        <f>IF(CY44=0,IF('Lease Cycles'!$F$10&gt;0,'Lease Cycles'!$C$10*'Lease Cycles'!$E$10/12,0),IF(CY46=1,IF('Lease Cycles'!$AT$10&gt;=9999,'Lease Cycles'!$C$10*INDEX('Lease Cycles'!$CB$10:$CH$10,1,CY44)*(1+INDEX('Lease Cycles'!$CI$10:$CO$10,1,CY44))^INT(INT(CY45/12)/INDEX('Lease Cycles'!$CP$10:$CV$10,1,CY44))/12,IF(CY44=1,IF(CY45&gt;=INDEX('Lease Cycles'!$DK$10:$DQ$10,1,CY44),IF(CY$6&gt;='Lease Cycles'!$AZ$10,'Lease Cycles'!$C$10*'Lease Cycles'!$BA$10/12,IF(CY$6&gt;='Lease Cycles'!$AX$10,'Lease Cycles'!$C$10*'Lease Cycles'!$AY$10/12,IF(CY$6&gt;='Lease Cycles'!$AV$10,'Lease Cycles'!$C$10*'Lease Cycles'!$AW$10/12,IF(CY$6&gt;='Lease Cycles'!$AT$10,'Lease Cycles'!$C$10*'Lease Cycles'!$AU$10/12,'Lease Cycles'!$C$10*INDEX('Lease Cycles'!$CB$10:$CH$10,1,CY44)*(1+INDEX('Lease Cycles'!$CI$10:$CO$10,1,CY44))^INT(INT(CY45/12)/INDEX('Lease Cycles'!$CP$10:$CV$10,1,CY44))/12)))),'Lease Cycles'!$C$10*INDEX('Lease Cycles'!$CB$10:$CH$10,1,CY44)*(1+INDEX('Lease Cycles'!$CI$10:$CO$10,1,CY44))^INT(INT(CY45/12)/INDEX('Lease Cycles'!$CP$10:$CV$10,1,CY44))/12),IF(INDEX('Lease Cycles'!$EF$10:$EL$10,1,CY44)=1,IF(AND('Lease Cycles'!$AZ$10&gt;=INDEX('Lease Cycles'!$BG$10:$BM$10,1,CY44),'Lease Cycles'!$AZ$10&lt;=CY$6),'Lease Cycles'!$C$10*'Lease Cycles'!$BA$10/12,IF(AND('Lease Cycles'!$AX$10&gt;=INDEX('Lease Cycles'!$BG$10:$BM$10,1,CY44),'Lease Cycles'!$AX$10&lt;=CY$6),'Lease Cycles'!$C$10*'Lease Cycles'!$AY$10/12,IF(AND('Lease Cycles'!$AV$10&gt;=INDEX('Lease Cycles'!$BG$10:$BM$10,1,CY44),'Lease Cycles'!$AV$10&lt;=CY$6),'Lease Cycles'!$C$10*'Lease Cycles'!$AW$10/12,IF(AND('Lease Cycles'!$AT$10&gt;=INDEX('Lease Cycles'!$BG$10:$BM$10,1,CY44),'Lease Cycles'!$AT$10&lt;=CY$6),'Lease Cycles'!$C$10*'Lease Cycles'!$AU$10/12,'Lease Cycles'!$C$10*INDEX('Lease Cycles'!$CB$10:$CH$10,1,CY44)*(1+INDEX('Lease Cycles'!$CI$10:$CO$10,1,CY44))^INT(INT(CY45/12)/INDEX('Lease Cycles'!$CP$10:$CV$10,1,CY44))/12)))),'Lease Cycles'!$C$10*INDEX('Lease Cycles'!$CB$10:$CH$10,1,CY44)*(1+INDEX('Lease Cycles'!$CI$10:$CO$10,1,CY44))^INT(INT(CY45/12)/INDEX('Lease Cycles'!$CP$10:$CV$10,1,CY44))/12))),IF('Lease Cycles'!$N$10=1,'Lease Cycles'!$C$10*'Lease Cycles'!$E$10*INDEX('Lease Cycles'!$HE$10:$HK$10,1,CY44)*(1+INDEX('Lease Cycles'!$GQ$10:$GW$10,1,CY44))^INT(INT((CY$6-INDEX('Lease Cycles'!$GJ$10:$GP$10,1,CY44))/12)/INDEX('Lease Cycles'!$GX$10:$HD$10,1,CY44))/12,0)))</f>
        <v>9372.603910457065</v>
      </c>
      <c r="CZ47" s="28">
        <f>IF(CZ44=0,IF('Lease Cycles'!$F$10&gt;0,'Lease Cycles'!$C$10*'Lease Cycles'!$E$10/12,0),IF(CZ46=1,IF('Lease Cycles'!$AT$10&gt;=9999,'Lease Cycles'!$C$10*INDEX('Lease Cycles'!$CB$10:$CH$10,1,CZ44)*(1+INDEX('Lease Cycles'!$CI$10:$CO$10,1,CZ44))^INT(INT(CZ45/12)/INDEX('Lease Cycles'!$CP$10:$CV$10,1,CZ44))/12,IF(CZ44=1,IF(CZ45&gt;=INDEX('Lease Cycles'!$DK$10:$DQ$10,1,CZ44),IF(CZ$6&gt;='Lease Cycles'!$AZ$10,'Lease Cycles'!$C$10*'Lease Cycles'!$BA$10/12,IF(CZ$6&gt;='Lease Cycles'!$AX$10,'Lease Cycles'!$C$10*'Lease Cycles'!$AY$10/12,IF(CZ$6&gt;='Lease Cycles'!$AV$10,'Lease Cycles'!$C$10*'Lease Cycles'!$AW$10/12,IF(CZ$6&gt;='Lease Cycles'!$AT$10,'Lease Cycles'!$C$10*'Lease Cycles'!$AU$10/12,'Lease Cycles'!$C$10*INDEX('Lease Cycles'!$CB$10:$CH$10,1,CZ44)*(1+INDEX('Lease Cycles'!$CI$10:$CO$10,1,CZ44))^INT(INT(CZ45/12)/INDEX('Lease Cycles'!$CP$10:$CV$10,1,CZ44))/12)))),'Lease Cycles'!$C$10*INDEX('Lease Cycles'!$CB$10:$CH$10,1,CZ44)*(1+INDEX('Lease Cycles'!$CI$10:$CO$10,1,CZ44))^INT(INT(CZ45/12)/INDEX('Lease Cycles'!$CP$10:$CV$10,1,CZ44))/12),IF(INDEX('Lease Cycles'!$EF$10:$EL$10,1,CZ44)=1,IF(AND('Lease Cycles'!$AZ$10&gt;=INDEX('Lease Cycles'!$BG$10:$BM$10,1,CZ44),'Lease Cycles'!$AZ$10&lt;=CZ$6),'Lease Cycles'!$C$10*'Lease Cycles'!$BA$10/12,IF(AND('Lease Cycles'!$AX$10&gt;=INDEX('Lease Cycles'!$BG$10:$BM$10,1,CZ44),'Lease Cycles'!$AX$10&lt;=CZ$6),'Lease Cycles'!$C$10*'Lease Cycles'!$AY$10/12,IF(AND('Lease Cycles'!$AV$10&gt;=INDEX('Lease Cycles'!$BG$10:$BM$10,1,CZ44),'Lease Cycles'!$AV$10&lt;=CZ$6),'Lease Cycles'!$C$10*'Lease Cycles'!$AW$10/12,IF(AND('Lease Cycles'!$AT$10&gt;=INDEX('Lease Cycles'!$BG$10:$BM$10,1,CZ44),'Lease Cycles'!$AT$10&lt;=CZ$6),'Lease Cycles'!$C$10*'Lease Cycles'!$AU$10/12,'Lease Cycles'!$C$10*INDEX('Lease Cycles'!$CB$10:$CH$10,1,CZ44)*(1+INDEX('Lease Cycles'!$CI$10:$CO$10,1,CZ44))^INT(INT(CZ45/12)/INDEX('Lease Cycles'!$CP$10:$CV$10,1,CZ44))/12)))),'Lease Cycles'!$C$10*INDEX('Lease Cycles'!$CB$10:$CH$10,1,CZ44)*(1+INDEX('Lease Cycles'!$CI$10:$CO$10,1,CZ44))^INT(INT(CZ45/12)/INDEX('Lease Cycles'!$CP$10:$CV$10,1,CZ44))/12))),IF('Lease Cycles'!$N$10=1,'Lease Cycles'!$C$10*'Lease Cycles'!$E$10*INDEX('Lease Cycles'!$HE$10:$HK$10,1,CZ44)*(1+INDEX('Lease Cycles'!$GQ$10:$GW$10,1,CZ44))^INT(INT((CZ$6-INDEX('Lease Cycles'!$GJ$10:$GP$10,1,CZ44))/12)/INDEX('Lease Cycles'!$GX$10:$HD$10,1,CZ44))/12,0)))</f>
        <v>9372.603910457065</v>
      </c>
      <c r="DA47" s="28">
        <f>IF(DA44=0,IF('Lease Cycles'!$F$10&gt;0,'Lease Cycles'!$C$10*'Lease Cycles'!$E$10/12,0),IF(DA46=1,IF('Lease Cycles'!$AT$10&gt;=9999,'Lease Cycles'!$C$10*INDEX('Lease Cycles'!$CB$10:$CH$10,1,DA44)*(1+INDEX('Lease Cycles'!$CI$10:$CO$10,1,DA44))^INT(INT(DA45/12)/INDEX('Lease Cycles'!$CP$10:$CV$10,1,DA44))/12,IF(DA44=1,IF(DA45&gt;=INDEX('Lease Cycles'!$DK$10:$DQ$10,1,DA44),IF(DA$6&gt;='Lease Cycles'!$AZ$10,'Lease Cycles'!$C$10*'Lease Cycles'!$BA$10/12,IF(DA$6&gt;='Lease Cycles'!$AX$10,'Lease Cycles'!$C$10*'Lease Cycles'!$AY$10/12,IF(DA$6&gt;='Lease Cycles'!$AV$10,'Lease Cycles'!$C$10*'Lease Cycles'!$AW$10/12,IF(DA$6&gt;='Lease Cycles'!$AT$10,'Lease Cycles'!$C$10*'Lease Cycles'!$AU$10/12,'Lease Cycles'!$C$10*INDEX('Lease Cycles'!$CB$10:$CH$10,1,DA44)*(1+INDEX('Lease Cycles'!$CI$10:$CO$10,1,DA44))^INT(INT(DA45/12)/INDEX('Lease Cycles'!$CP$10:$CV$10,1,DA44))/12)))),'Lease Cycles'!$C$10*INDEX('Lease Cycles'!$CB$10:$CH$10,1,DA44)*(1+INDEX('Lease Cycles'!$CI$10:$CO$10,1,DA44))^INT(INT(DA45/12)/INDEX('Lease Cycles'!$CP$10:$CV$10,1,DA44))/12),IF(INDEX('Lease Cycles'!$EF$10:$EL$10,1,DA44)=1,IF(AND('Lease Cycles'!$AZ$10&gt;=INDEX('Lease Cycles'!$BG$10:$BM$10,1,DA44),'Lease Cycles'!$AZ$10&lt;=DA$6),'Lease Cycles'!$C$10*'Lease Cycles'!$BA$10/12,IF(AND('Lease Cycles'!$AX$10&gt;=INDEX('Lease Cycles'!$BG$10:$BM$10,1,DA44),'Lease Cycles'!$AX$10&lt;=DA$6),'Lease Cycles'!$C$10*'Lease Cycles'!$AY$10/12,IF(AND('Lease Cycles'!$AV$10&gt;=INDEX('Lease Cycles'!$BG$10:$BM$10,1,DA44),'Lease Cycles'!$AV$10&lt;=DA$6),'Lease Cycles'!$C$10*'Lease Cycles'!$AW$10/12,IF(AND('Lease Cycles'!$AT$10&gt;=INDEX('Lease Cycles'!$BG$10:$BM$10,1,DA44),'Lease Cycles'!$AT$10&lt;=DA$6),'Lease Cycles'!$C$10*'Lease Cycles'!$AU$10/12,'Lease Cycles'!$C$10*INDEX('Lease Cycles'!$CB$10:$CH$10,1,DA44)*(1+INDEX('Lease Cycles'!$CI$10:$CO$10,1,DA44))^INT(INT(DA45/12)/INDEX('Lease Cycles'!$CP$10:$CV$10,1,DA44))/12)))),'Lease Cycles'!$C$10*INDEX('Lease Cycles'!$CB$10:$CH$10,1,DA44)*(1+INDEX('Lease Cycles'!$CI$10:$CO$10,1,DA44))^INT(INT(DA45/12)/INDEX('Lease Cycles'!$CP$10:$CV$10,1,DA44))/12))),IF('Lease Cycles'!$N$10=1,'Lease Cycles'!$C$10*'Lease Cycles'!$E$10*INDEX('Lease Cycles'!$HE$10:$HK$10,1,DA44)*(1+INDEX('Lease Cycles'!$GQ$10:$GW$10,1,DA44))^INT(INT((DA$6-INDEX('Lease Cycles'!$GJ$10:$GP$10,1,DA44))/12)/INDEX('Lease Cycles'!$GX$10:$HD$10,1,DA44))/12,0)))</f>
        <v>9372.603910457065</v>
      </c>
      <c r="DB47" s="28">
        <f>IF(DB44=0,IF('Lease Cycles'!$F$10&gt;0,'Lease Cycles'!$C$10*'Lease Cycles'!$E$10/12,0),IF(DB46=1,IF('Lease Cycles'!$AT$10&gt;=9999,'Lease Cycles'!$C$10*INDEX('Lease Cycles'!$CB$10:$CH$10,1,DB44)*(1+INDEX('Lease Cycles'!$CI$10:$CO$10,1,DB44))^INT(INT(DB45/12)/INDEX('Lease Cycles'!$CP$10:$CV$10,1,DB44))/12,IF(DB44=1,IF(DB45&gt;=INDEX('Lease Cycles'!$DK$10:$DQ$10,1,DB44),IF(DB$6&gt;='Lease Cycles'!$AZ$10,'Lease Cycles'!$C$10*'Lease Cycles'!$BA$10/12,IF(DB$6&gt;='Lease Cycles'!$AX$10,'Lease Cycles'!$C$10*'Lease Cycles'!$AY$10/12,IF(DB$6&gt;='Lease Cycles'!$AV$10,'Lease Cycles'!$C$10*'Lease Cycles'!$AW$10/12,IF(DB$6&gt;='Lease Cycles'!$AT$10,'Lease Cycles'!$C$10*'Lease Cycles'!$AU$10/12,'Lease Cycles'!$C$10*INDEX('Lease Cycles'!$CB$10:$CH$10,1,DB44)*(1+INDEX('Lease Cycles'!$CI$10:$CO$10,1,DB44))^INT(INT(DB45/12)/INDEX('Lease Cycles'!$CP$10:$CV$10,1,DB44))/12)))),'Lease Cycles'!$C$10*INDEX('Lease Cycles'!$CB$10:$CH$10,1,DB44)*(1+INDEX('Lease Cycles'!$CI$10:$CO$10,1,DB44))^INT(INT(DB45/12)/INDEX('Lease Cycles'!$CP$10:$CV$10,1,DB44))/12),IF(INDEX('Lease Cycles'!$EF$10:$EL$10,1,DB44)=1,IF(AND('Lease Cycles'!$AZ$10&gt;=INDEX('Lease Cycles'!$BG$10:$BM$10,1,DB44),'Lease Cycles'!$AZ$10&lt;=DB$6),'Lease Cycles'!$C$10*'Lease Cycles'!$BA$10/12,IF(AND('Lease Cycles'!$AX$10&gt;=INDEX('Lease Cycles'!$BG$10:$BM$10,1,DB44),'Lease Cycles'!$AX$10&lt;=DB$6),'Lease Cycles'!$C$10*'Lease Cycles'!$AY$10/12,IF(AND('Lease Cycles'!$AV$10&gt;=INDEX('Lease Cycles'!$BG$10:$BM$10,1,DB44),'Lease Cycles'!$AV$10&lt;=DB$6),'Lease Cycles'!$C$10*'Lease Cycles'!$AW$10/12,IF(AND('Lease Cycles'!$AT$10&gt;=INDEX('Lease Cycles'!$BG$10:$BM$10,1,DB44),'Lease Cycles'!$AT$10&lt;=DB$6),'Lease Cycles'!$C$10*'Lease Cycles'!$AU$10/12,'Lease Cycles'!$C$10*INDEX('Lease Cycles'!$CB$10:$CH$10,1,DB44)*(1+INDEX('Lease Cycles'!$CI$10:$CO$10,1,DB44))^INT(INT(DB45/12)/INDEX('Lease Cycles'!$CP$10:$CV$10,1,DB44))/12)))),'Lease Cycles'!$C$10*INDEX('Lease Cycles'!$CB$10:$CH$10,1,DB44)*(1+INDEX('Lease Cycles'!$CI$10:$CO$10,1,DB44))^INT(INT(DB45/12)/INDEX('Lease Cycles'!$CP$10:$CV$10,1,DB44))/12))),IF('Lease Cycles'!$N$10=1,'Lease Cycles'!$C$10*'Lease Cycles'!$E$10*INDEX('Lease Cycles'!$HE$10:$HK$10,1,DB44)*(1+INDEX('Lease Cycles'!$GQ$10:$GW$10,1,DB44))^INT(INT((DB$6-INDEX('Lease Cycles'!$GJ$10:$GP$10,1,DB44))/12)/INDEX('Lease Cycles'!$GX$10:$HD$10,1,DB44))/12,0)))</f>
        <v>9372.603910457065</v>
      </c>
      <c r="DC47" s="28">
        <f>IF(DC44=0,IF('Lease Cycles'!$F$10&gt;0,'Lease Cycles'!$C$10*'Lease Cycles'!$E$10/12,0),IF(DC46=1,IF('Lease Cycles'!$AT$10&gt;=9999,'Lease Cycles'!$C$10*INDEX('Lease Cycles'!$CB$10:$CH$10,1,DC44)*(1+INDEX('Lease Cycles'!$CI$10:$CO$10,1,DC44))^INT(INT(DC45/12)/INDEX('Lease Cycles'!$CP$10:$CV$10,1,DC44))/12,IF(DC44=1,IF(DC45&gt;=INDEX('Lease Cycles'!$DK$10:$DQ$10,1,DC44),IF(DC$6&gt;='Lease Cycles'!$AZ$10,'Lease Cycles'!$C$10*'Lease Cycles'!$BA$10/12,IF(DC$6&gt;='Lease Cycles'!$AX$10,'Lease Cycles'!$C$10*'Lease Cycles'!$AY$10/12,IF(DC$6&gt;='Lease Cycles'!$AV$10,'Lease Cycles'!$C$10*'Lease Cycles'!$AW$10/12,IF(DC$6&gt;='Lease Cycles'!$AT$10,'Lease Cycles'!$C$10*'Lease Cycles'!$AU$10/12,'Lease Cycles'!$C$10*INDEX('Lease Cycles'!$CB$10:$CH$10,1,DC44)*(1+INDEX('Lease Cycles'!$CI$10:$CO$10,1,DC44))^INT(INT(DC45/12)/INDEX('Lease Cycles'!$CP$10:$CV$10,1,DC44))/12)))),'Lease Cycles'!$C$10*INDEX('Lease Cycles'!$CB$10:$CH$10,1,DC44)*(1+INDEX('Lease Cycles'!$CI$10:$CO$10,1,DC44))^INT(INT(DC45/12)/INDEX('Lease Cycles'!$CP$10:$CV$10,1,DC44))/12),IF(INDEX('Lease Cycles'!$EF$10:$EL$10,1,DC44)=1,IF(AND('Lease Cycles'!$AZ$10&gt;=INDEX('Lease Cycles'!$BG$10:$BM$10,1,DC44),'Lease Cycles'!$AZ$10&lt;=DC$6),'Lease Cycles'!$C$10*'Lease Cycles'!$BA$10/12,IF(AND('Lease Cycles'!$AX$10&gt;=INDEX('Lease Cycles'!$BG$10:$BM$10,1,DC44),'Lease Cycles'!$AX$10&lt;=DC$6),'Lease Cycles'!$C$10*'Lease Cycles'!$AY$10/12,IF(AND('Lease Cycles'!$AV$10&gt;=INDEX('Lease Cycles'!$BG$10:$BM$10,1,DC44),'Lease Cycles'!$AV$10&lt;=DC$6),'Lease Cycles'!$C$10*'Lease Cycles'!$AW$10/12,IF(AND('Lease Cycles'!$AT$10&gt;=INDEX('Lease Cycles'!$BG$10:$BM$10,1,DC44),'Lease Cycles'!$AT$10&lt;=DC$6),'Lease Cycles'!$C$10*'Lease Cycles'!$AU$10/12,'Lease Cycles'!$C$10*INDEX('Lease Cycles'!$CB$10:$CH$10,1,DC44)*(1+INDEX('Lease Cycles'!$CI$10:$CO$10,1,DC44))^INT(INT(DC45/12)/INDEX('Lease Cycles'!$CP$10:$CV$10,1,DC44))/12)))),'Lease Cycles'!$C$10*INDEX('Lease Cycles'!$CB$10:$CH$10,1,DC44)*(1+INDEX('Lease Cycles'!$CI$10:$CO$10,1,DC44))^INT(INT(DC45/12)/INDEX('Lease Cycles'!$CP$10:$CV$10,1,DC44))/12))),IF('Lease Cycles'!$N$10=1,'Lease Cycles'!$C$10*'Lease Cycles'!$E$10*INDEX('Lease Cycles'!$HE$10:$HK$10,1,DC44)*(1+INDEX('Lease Cycles'!$GQ$10:$GW$10,1,DC44))^INT(INT((DC$6-INDEX('Lease Cycles'!$GJ$10:$GP$10,1,DC44))/12)/INDEX('Lease Cycles'!$GX$10:$HD$10,1,DC44))/12,0)))</f>
        <v>9372.603910457065</v>
      </c>
      <c r="DD47" s="28">
        <f>IF(DD44=0,IF('Lease Cycles'!$F$10&gt;0,'Lease Cycles'!$C$10*'Lease Cycles'!$E$10/12,0),IF(DD46=1,IF('Lease Cycles'!$AT$10&gt;=9999,'Lease Cycles'!$C$10*INDEX('Lease Cycles'!$CB$10:$CH$10,1,DD44)*(1+INDEX('Lease Cycles'!$CI$10:$CO$10,1,DD44))^INT(INT(DD45/12)/INDEX('Lease Cycles'!$CP$10:$CV$10,1,DD44))/12,IF(DD44=1,IF(DD45&gt;=INDEX('Lease Cycles'!$DK$10:$DQ$10,1,DD44),IF(DD$6&gt;='Lease Cycles'!$AZ$10,'Lease Cycles'!$C$10*'Lease Cycles'!$BA$10/12,IF(DD$6&gt;='Lease Cycles'!$AX$10,'Lease Cycles'!$C$10*'Lease Cycles'!$AY$10/12,IF(DD$6&gt;='Lease Cycles'!$AV$10,'Lease Cycles'!$C$10*'Lease Cycles'!$AW$10/12,IF(DD$6&gt;='Lease Cycles'!$AT$10,'Lease Cycles'!$C$10*'Lease Cycles'!$AU$10/12,'Lease Cycles'!$C$10*INDEX('Lease Cycles'!$CB$10:$CH$10,1,DD44)*(1+INDEX('Lease Cycles'!$CI$10:$CO$10,1,DD44))^INT(INT(DD45/12)/INDEX('Lease Cycles'!$CP$10:$CV$10,1,DD44))/12)))),'Lease Cycles'!$C$10*INDEX('Lease Cycles'!$CB$10:$CH$10,1,DD44)*(1+INDEX('Lease Cycles'!$CI$10:$CO$10,1,DD44))^INT(INT(DD45/12)/INDEX('Lease Cycles'!$CP$10:$CV$10,1,DD44))/12),IF(INDEX('Lease Cycles'!$EF$10:$EL$10,1,DD44)=1,IF(AND('Lease Cycles'!$AZ$10&gt;=INDEX('Lease Cycles'!$BG$10:$BM$10,1,DD44),'Lease Cycles'!$AZ$10&lt;=DD$6),'Lease Cycles'!$C$10*'Lease Cycles'!$BA$10/12,IF(AND('Lease Cycles'!$AX$10&gt;=INDEX('Lease Cycles'!$BG$10:$BM$10,1,DD44),'Lease Cycles'!$AX$10&lt;=DD$6),'Lease Cycles'!$C$10*'Lease Cycles'!$AY$10/12,IF(AND('Lease Cycles'!$AV$10&gt;=INDEX('Lease Cycles'!$BG$10:$BM$10,1,DD44),'Lease Cycles'!$AV$10&lt;=DD$6),'Lease Cycles'!$C$10*'Lease Cycles'!$AW$10/12,IF(AND('Lease Cycles'!$AT$10&gt;=INDEX('Lease Cycles'!$BG$10:$BM$10,1,DD44),'Lease Cycles'!$AT$10&lt;=DD$6),'Lease Cycles'!$C$10*'Lease Cycles'!$AU$10/12,'Lease Cycles'!$C$10*INDEX('Lease Cycles'!$CB$10:$CH$10,1,DD44)*(1+INDEX('Lease Cycles'!$CI$10:$CO$10,1,DD44))^INT(INT(DD45/12)/INDEX('Lease Cycles'!$CP$10:$CV$10,1,DD44))/12)))),'Lease Cycles'!$C$10*INDEX('Lease Cycles'!$CB$10:$CH$10,1,DD44)*(1+INDEX('Lease Cycles'!$CI$10:$CO$10,1,DD44))^INT(INT(DD45/12)/INDEX('Lease Cycles'!$CP$10:$CV$10,1,DD44))/12))),IF('Lease Cycles'!$N$10=1,'Lease Cycles'!$C$10*'Lease Cycles'!$E$10*INDEX('Lease Cycles'!$HE$10:$HK$10,1,DD44)*(1+INDEX('Lease Cycles'!$GQ$10:$GW$10,1,DD44))^INT(INT((DD$6-INDEX('Lease Cycles'!$GJ$10:$GP$10,1,DD44))/12)/INDEX('Lease Cycles'!$GX$10:$HD$10,1,DD44))/12,0)))</f>
        <v>9372.603910457065</v>
      </c>
      <c r="DE47" s="28">
        <f>IF(DE44=0,IF('Lease Cycles'!$F$10&gt;0,'Lease Cycles'!$C$10*'Lease Cycles'!$E$10/12,0),IF(DE46=1,IF('Lease Cycles'!$AT$10&gt;=9999,'Lease Cycles'!$C$10*INDEX('Lease Cycles'!$CB$10:$CH$10,1,DE44)*(1+INDEX('Lease Cycles'!$CI$10:$CO$10,1,DE44))^INT(INT(DE45/12)/INDEX('Lease Cycles'!$CP$10:$CV$10,1,DE44))/12,IF(DE44=1,IF(DE45&gt;=INDEX('Lease Cycles'!$DK$10:$DQ$10,1,DE44),IF(DE$6&gt;='Lease Cycles'!$AZ$10,'Lease Cycles'!$C$10*'Lease Cycles'!$BA$10/12,IF(DE$6&gt;='Lease Cycles'!$AX$10,'Lease Cycles'!$C$10*'Lease Cycles'!$AY$10/12,IF(DE$6&gt;='Lease Cycles'!$AV$10,'Lease Cycles'!$C$10*'Lease Cycles'!$AW$10/12,IF(DE$6&gt;='Lease Cycles'!$AT$10,'Lease Cycles'!$C$10*'Lease Cycles'!$AU$10/12,'Lease Cycles'!$C$10*INDEX('Lease Cycles'!$CB$10:$CH$10,1,DE44)*(1+INDEX('Lease Cycles'!$CI$10:$CO$10,1,DE44))^INT(INT(DE45/12)/INDEX('Lease Cycles'!$CP$10:$CV$10,1,DE44))/12)))),'Lease Cycles'!$C$10*INDEX('Lease Cycles'!$CB$10:$CH$10,1,DE44)*(1+INDEX('Lease Cycles'!$CI$10:$CO$10,1,DE44))^INT(INT(DE45/12)/INDEX('Lease Cycles'!$CP$10:$CV$10,1,DE44))/12),IF(INDEX('Lease Cycles'!$EF$10:$EL$10,1,DE44)=1,IF(AND('Lease Cycles'!$AZ$10&gt;=INDEX('Lease Cycles'!$BG$10:$BM$10,1,DE44),'Lease Cycles'!$AZ$10&lt;=DE$6),'Lease Cycles'!$C$10*'Lease Cycles'!$BA$10/12,IF(AND('Lease Cycles'!$AX$10&gt;=INDEX('Lease Cycles'!$BG$10:$BM$10,1,DE44),'Lease Cycles'!$AX$10&lt;=DE$6),'Lease Cycles'!$C$10*'Lease Cycles'!$AY$10/12,IF(AND('Lease Cycles'!$AV$10&gt;=INDEX('Lease Cycles'!$BG$10:$BM$10,1,DE44),'Lease Cycles'!$AV$10&lt;=DE$6),'Lease Cycles'!$C$10*'Lease Cycles'!$AW$10/12,IF(AND('Lease Cycles'!$AT$10&gt;=INDEX('Lease Cycles'!$BG$10:$BM$10,1,DE44),'Lease Cycles'!$AT$10&lt;=DE$6),'Lease Cycles'!$C$10*'Lease Cycles'!$AU$10/12,'Lease Cycles'!$C$10*INDEX('Lease Cycles'!$CB$10:$CH$10,1,DE44)*(1+INDEX('Lease Cycles'!$CI$10:$CO$10,1,DE44))^INT(INT(DE45/12)/INDEX('Lease Cycles'!$CP$10:$CV$10,1,DE44))/12)))),'Lease Cycles'!$C$10*INDEX('Lease Cycles'!$CB$10:$CH$10,1,DE44)*(1+INDEX('Lease Cycles'!$CI$10:$CO$10,1,DE44))^INT(INT(DE45/12)/INDEX('Lease Cycles'!$CP$10:$CV$10,1,DE44))/12))),IF('Lease Cycles'!$N$10=1,'Lease Cycles'!$C$10*'Lease Cycles'!$E$10*INDEX('Lease Cycles'!$HE$10:$HK$10,1,DE44)*(1+INDEX('Lease Cycles'!$GQ$10:$GW$10,1,DE44))^INT(INT((DE$6-INDEX('Lease Cycles'!$GJ$10:$GP$10,1,DE44))/12)/INDEX('Lease Cycles'!$GX$10:$HD$10,1,DE44))/12,0)))</f>
        <v>9372.603910457065</v>
      </c>
      <c r="DF47" s="28">
        <f>IF(DF44=0,IF('Lease Cycles'!$F$10&gt;0,'Lease Cycles'!$C$10*'Lease Cycles'!$E$10/12,0),IF(DF46=1,IF('Lease Cycles'!$AT$10&gt;=9999,'Lease Cycles'!$C$10*INDEX('Lease Cycles'!$CB$10:$CH$10,1,DF44)*(1+INDEX('Lease Cycles'!$CI$10:$CO$10,1,DF44))^INT(INT(DF45/12)/INDEX('Lease Cycles'!$CP$10:$CV$10,1,DF44))/12,IF(DF44=1,IF(DF45&gt;=INDEX('Lease Cycles'!$DK$10:$DQ$10,1,DF44),IF(DF$6&gt;='Lease Cycles'!$AZ$10,'Lease Cycles'!$C$10*'Lease Cycles'!$BA$10/12,IF(DF$6&gt;='Lease Cycles'!$AX$10,'Lease Cycles'!$C$10*'Lease Cycles'!$AY$10/12,IF(DF$6&gt;='Lease Cycles'!$AV$10,'Lease Cycles'!$C$10*'Lease Cycles'!$AW$10/12,IF(DF$6&gt;='Lease Cycles'!$AT$10,'Lease Cycles'!$C$10*'Lease Cycles'!$AU$10/12,'Lease Cycles'!$C$10*INDEX('Lease Cycles'!$CB$10:$CH$10,1,DF44)*(1+INDEX('Lease Cycles'!$CI$10:$CO$10,1,DF44))^INT(INT(DF45/12)/INDEX('Lease Cycles'!$CP$10:$CV$10,1,DF44))/12)))),'Lease Cycles'!$C$10*INDEX('Lease Cycles'!$CB$10:$CH$10,1,DF44)*(1+INDEX('Lease Cycles'!$CI$10:$CO$10,1,DF44))^INT(INT(DF45/12)/INDEX('Lease Cycles'!$CP$10:$CV$10,1,DF44))/12),IF(INDEX('Lease Cycles'!$EF$10:$EL$10,1,DF44)=1,IF(AND('Lease Cycles'!$AZ$10&gt;=INDEX('Lease Cycles'!$BG$10:$BM$10,1,DF44),'Lease Cycles'!$AZ$10&lt;=DF$6),'Lease Cycles'!$C$10*'Lease Cycles'!$BA$10/12,IF(AND('Lease Cycles'!$AX$10&gt;=INDEX('Lease Cycles'!$BG$10:$BM$10,1,DF44),'Lease Cycles'!$AX$10&lt;=DF$6),'Lease Cycles'!$C$10*'Lease Cycles'!$AY$10/12,IF(AND('Lease Cycles'!$AV$10&gt;=INDEX('Lease Cycles'!$BG$10:$BM$10,1,DF44),'Lease Cycles'!$AV$10&lt;=DF$6),'Lease Cycles'!$C$10*'Lease Cycles'!$AW$10/12,IF(AND('Lease Cycles'!$AT$10&gt;=INDEX('Lease Cycles'!$BG$10:$BM$10,1,DF44),'Lease Cycles'!$AT$10&lt;=DF$6),'Lease Cycles'!$C$10*'Lease Cycles'!$AU$10/12,'Lease Cycles'!$C$10*INDEX('Lease Cycles'!$CB$10:$CH$10,1,DF44)*(1+INDEX('Lease Cycles'!$CI$10:$CO$10,1,DF44))^INT(INT(DF45/12)/INDEX('Lease Cycles'!$CP$10:$CV$10,1,DF44))/12)))),'Lease Cycles'!$C$10*INDEX('Lease Cycles'!$CB$10:$CH$10,1,DF44)*(1+INDEX('Lease Cycles'!$CI$10:$CO$10,1,DF44))^INT(INT(DF45/12)/INDEX('Lease Cycles'!$CP$10:$CV$10,1,DF44))/12))),IF('Lease Cycles'!$N$10=1,'Lease Cycles'!$C$10*'Lease Cycles'!$E$10*INDEX('Lease Cycles'!$HE$10:$HK$10,1,DF44)*(1+INDEX('Lease Cycles'!$GQ$10:$GW$10,1,DF44))^INT(INT((DF$6-INDEX('Lease Cycles'!$GJ$10:$GP$10,1,DF44))/12)/INDEX('Lease Cycles'!$GX$10:$HD$10,1,DF44))/12,0)))</f>
        <v>9372.603910457065</v>
      </c>
      <c r="DG47" s="28">
        <f>IF(DG44=0,IF('Lease Cycles'!$F$10&gt;0,'Lease Cycles'!$C$10*'Lease Cycles'!$E$10/12,0),IF(DG46=1,IF('Lease Cycles'!$AT$10&gt;=9999,'Lease Cycles'!$C$10*INDEX('Lease Cycles'!$CB$10:$CH$10,1,DG44)*(1+INDEX('Lease Cycles'!$CI$10:$CO$10,1,DG44))^INT(INT(DG45/12)/INDEX('Lease Cycles'!$CP$10:$CV$10,1,DG44))/12,IF(DG44=1,IF(DG45&gt;=INDEX('Lease Cycles'!$DK$10:$DQ$10,1,DG44),IF(DG$6&gt;='Lease Cycles'!$AZ$10,'Lease Cycles'!$C$10*'Lease Cycles'!$BA$10/12,IF(DG$6&gt;='Lease Cycles'!$AX$10,'Lease Cycles'!$C$10*'Lease Cycles'!$AY$10/12,IF(DG$6&gt;='Lease Cycles'!$AV$10,'Lease Cycles'!$C$10*'Lease Cycles'!$AW$10/12,IF(DG$6&gt;='Lease Cycles'!$AT$10,'Lease Cycles'!$C$10*'Lease Cycles'!$AU$10/12,'Lease Cycles'!$C$10*INDEX('Lease Cycles'!$CB$10:$CH$10,1,DG44)*(1+INDEX('Lease Cycles'!$CI$10:$CO$10,1,DG44))^INT(INT(DG45/12)/INDEX('Lease Cycles'!$CP$10:$CV$10,1,DG44))/12)))),'Lease Cycles'!$C$10*INDEX('Lease Cycles'!$CB$10:$CH$10,1,DG44)*(1+INDEX('Lease Cycles'!$CI$10:$CO$10,1,DG44))^INT(INT(DG45/12)/INDEX('Lease Cycles'!$CP$10:$CV$10,1,DG44))/12),IF(INDEX('Lease Cycles'!$EF$10:$EL$10,1,DG44)=1,IF(AND('Lease Cycles'!$AZ$10&gt;=INDEX('Lease Cycles'!$BG$10:$BM$10,1,DG44),'Lease Cycles'!$AZ$10&lt;=DG$6),'Lease Cycles'!$C$10*'Lease Cycles'!$BA$10/12,IF(AND('Lease Cycles'!$AX$10&gt;=INDEX('Lease Cycles'!$BG$10:$BM$10,1,DG44),'Lease Cycles'!$AX$10&lt;=DG$6),'Lease Cycles'!$C$10*'Lease Cycles'!$AY$10/12,IF(AND('Lease Cycles'!$AV$10&gt;=INDEX('Lease Cycles'!$BG$10:$BM$10,1,DG44),'Lease Cycles'!$AV$10&lt;=DG$6),'Lease Cycles'!$C$10*'Lease Cycles'!$AW$10/12,IF(AND('Lease Cycles'!$AT$10&gt;=INDEX('Lease Cycles'!$BG$10:$BM$10,1,DG44),'Lease Cycles'!$AT$10&lt;=DG$6),'Lease Cycles'!$C$10*'Lease Cycles'!$AU$10/12,'Lease Cycles'!$C$10*INDEX('Lease Cycles'!$CB$10:$CH$10,1,DG44)*(1+INDEX('Lease Cycles'!$CI$10:$CO$10,1,DG44))^INT(INT(DG45/12)/INDEX('Lease Cycles'!$CP$10:$CV$10,1,DG44))/12)))),'Lease Cycles'!$C$10*INDEX('Lease Cycles'!$CB$10:$CH$10,1,DG44)*(1+INDEX('Lease Cycles'!$CI$10:$CO$10,1,DG44))^INT(INT(DG45/12)/INDEX('Lease Cycles'!$CP$10:$CV$10,1,DG44))/12))),IF('Lease Cycles'!$N$10=1,'Lease Cycles'!$C$10*'Lease Cycles'!$E$10*INDEX('Lease Cycles'!$HE$10:$HK$10,1,DG44)*(1+INDEX('Lease Cycles'!$GQ$10:$GW$10,1,DG44))^INT(INT((DG$6-INDEX('Lease Cycles'!$GJ$10:$GP$10,1,DG44))/12)/INDEX('Lease Cycles'!$GX$10:$HD$10,1,DG44))/12,0)))</f>
        <v>9372.603910457065</v>
      </c>
      <c r="DH47" s="28">
        <f>IF(DH44=0,IF('Lease Cycles'!$F$10&gt;0,'Lease Cycles'!$C$10*'Lease Cycles'!$E$10/12,0),IF(DH46=1,IF('Lease Cycles'!$AT$10&gt;=9999,'Lease Cycles'!$C$10*INDEX('Lease Cycles'!$CB$10:$CH$10,1,DH44)*(1+INDEX('Lease Cycles'!$CI$10:$CO$10,1,DH44))^INT(INT(DH45/12)/INDEX('Lease Cycles'!$CP$10:$CV$10,1,DH44))/12,IF(DH44=1,IF(DH45&gt;=INDEX('Lease Cycles'!$DK$10:$DQ$10,1,DH44),IF(DH$6&gt;='Lease Cycles'!$AZ$10,'Lease Cycles'!$C$10*'Lease Cycles'!$BA$10/12,IF(DH$6&gt;='Lease Cycles'!$AX$10,'Lease Cycles'!$C$10*'Lease Cycles'!$AY$10/12,IF(DH$6&gt;='Lease Cycles'!$AV$10,'Lease Cycles'!$C$10*'Lease Cycles'!$AW$10/12,IF(DH$6&gt;='Lease Cycles'!$AT$10,'Lease Cycles'!$C$10*'Lease Cycles'!$AU$10/12,'Lease Cycles'!$C$10*INDEX('Lease Cycles'!$CB$10:$CH$10,1,DH44)*(1+INDEX('Lease Cycles'!$CI$10:$CO$10,1,DH44))^INT(INT(DH45/12)/INDEX('Lease Cycles'!$CP$10:$CV$10,1,DH44))/12)))),'Lease Cycles'!$C$10*INDEX('Lease Cycles'!$CB$10:$CH$10,1,DH44)*(1+INDEX('Lease Cycles'!$CI$10:$CO$10,1,DH44))^INT(INT(DH45/12)/INDEX('Lease Cycles'!$CP$10:$CV$10,1,DH44))/12),IF(INDEX('Lease Cycles'!$EF$10:$EL$10,1,DH44)=1,IF(AND('Lease Cycles'!$AZ$10&gt;=INDEX('Lease Cycles'!$BG$10:$BM$10,1,DH44),'Lease Cycles'!$AZ$10&lt;=DH$6),'Lease Cycles'!$C$10*'Lease Cycles'!$BA$10/12,IF(AND('Lease Cycles'!$AX$10&gt;=INDEX('Lease Cycles'!$BG$10:$BM$10,1,DH44),'Lease Cycles'!$AX$10&lt;=DH$6),'Lease Cycles'!$C$10*'Lease Cycles'!$AY$10/12,IF(AND('Lease Cycles'!$AV$10&gt;=INDEX('Lease Cycles'!$BG$10:$BM$10,1,DH44),'Lease Cycles'!$AV$10&lt;=DH$6),'Lease Cycles'!$C$10*'Lease Cycles'!$AW$10/12,IF(AND('Lease Cycles'!$AT$10&gt;=INDEX('Lease Cycles'!$BG$10:$BM$10,1,DH44),'Lease Cycles'!$AT$10&lt;=DH$6),'Lease Cycles'!$C$10*'Lease Cycles'!$AU$10/12,'Lease Cycles'!$C$10*INDEX('Lease Cycles'!$CB$10:$CH$10,1,DH44)*(1+INDEX('Lease Cycles'!$CI$10:$CO$10,1,DH44))^INT(INT(DH45/12)/INDEX('Lease Cycles'!$CP$10:$CV$10,1,DH44))/12)))),'Lease Cycles'!$C$10*INDEX('Lease Cycles'!$CB$10:$CH$10,1,DH44)*(1+INDEX('Lease Cycles'!$CI$10:$CO$10,1,DH44))^INT(INT(DH45/12)/INDEX('Lease Cycles'!$CP$10:$CV$10,1,DH44))/12))),IF('Lease Cycles'!$N$10=1,'Lease Cycles'!$C$10*'Lease Cycles'!$E$10*INDEX('Lease Cycles'!$HE$10:$HK$10,1,DH44)*(1+INDEX('Lease Cycles'!$GQ$10:$GW$10,1,DH44))^INT(INT((DH$6-INDEX('Lease Cycles'!$GJ$10:$GP$10,1,DH44))/12)/INDEX('Lease Cycles'!$GX$10:$HD$10,1,DH44))/12,0)))</f>
        <v>9372.603910457065</v>
      </c>
      <c r="DI47" s="28">
        <f>IF(DI44=0,IF('Lease Cycles'!$F$10&gt;0,'Lease Cycles'!$C$10*'Lease Cycles'!$E$10/12,0),IF(DI46=1,IF('Lease Cycles'!$AT$10&gt;=9999,'Lease Cycles'!$C$10*INDEX('Lease Cycles'!$CB$10:$CH$10,1,DI44)*(1+INDEX('Lease Cycles'!$CI$10:$CO$10,1,DI44))^INT(INT(DI45/12)/INDEX('Lease Cycles'!$CP$10:$CV$10,1,DI44))/12,IF(DI44=1,IF(DI45&gt;=INDEX('Lease Cycles'!$DK$10:$DQ$10,1,DI44),IF(DI$6&gt;='Lease Cycles'!$AZ$10,'Lease Cycles'!$C$10*'Lease Cycles'!$BA$10/12,IF(DI$6&gt;='Lease Cycles'!$AX$10,'Lease Cycles'!$C$10*'Lease Cycles'!$AY$10/12,IF(DI$6&gt;='Lease Cycles'!$AV$10,'Lease Cycles'!$C$10*'Lease Cycles'!$AW$10/12,IF(DI$6&gt;='Lease Cycles'!$AT$10,'Lease Cycles'!$C$10*'Lease Cycles'!$AU$10/12,'Lease Cycles'!$C$10*INDEX('Lease Cycles'!$CB$10:$CH$10,1,DI44)*(1+INDEX('Lease Cycles'!$CI$10:$CO$10,1,DI44))^INT(INT(DI45/12)/INDEX('Lease Cycles'!$CP$10:$CV$10,1,DI44))/12)))),'Lease Cycles'!$C$10*INDEX('Lease Cycles'!$CB$10:$CH$10,1,DI44)*(1+INDEX('Lease Cycles'!$CI$10:$CO$10,1,DI44))^INT(INT(DI45/12)/INDEX('Lease Cycles'!$CP$10:$CV$10,1,DI44))/12),IF(INDEX('Lease Cycles'!$EF$10:$EL$10,1,DI44)=1,IF(AND('Lease Cycles'!$AZ$10&gt;=INDEX('Lease Cycles'!$BG$10:$BM$10,1,DI44),'Lease Cycles'!$AZ$10&lt;=DI$6),'Lease Cycles'!$C$10*'Lease Cycles'!$BA$10/12,IF(AND('Lease Cycles'!$AX$10&gt;=INDEX('Lease Cycles'!$BG$10:$BM$10,1,DI44),'Lease Cycles'!$AX$10&lt;=DI$6),'Lease Cycles'!$C$10*'Lease Cycles'!$AY$10/12,IF(AND('Lease Cycles'!$AV$10&gt;=INDEX('Lease Cycles'!$BG$10:$BM$10,1,DI44),'Lease Cycles'!$AV$10&lt;=DI$6),'Lease Cycles'!$C$10*'Lease Cycles'!$AW$10/12,IF(AND('Lease Cycles'!$AT$10&gt;=INDEX('Lease Cycles'!$BG$10:$BM$10,1,DI44),'Lease Cycles'!$AT$10&lt;=DI$6),'Lease Cycles'!$C$10*'Lease Cycles'!$AU$10/12,'Lease Cycles'!$C$10*INDEX('Lease Cycles'!$CB$10:$CH$10,1,DI44)*(1+INDEX('Lease Cycles'!$CI$10:$CO$10,1,DI44))^INT(INT(DI45/12)/INDEX('Lease Cycles'!$CP$10:$CV$10,1,DI44))/12)))),'Lease Cycles'!$C$10*INDEX('Lease Cycles'!$CB$10:$CH$10,1,DI44)*(1+INDEX('Lease Cycles'!$CI$10:$CO$10,1,DI44))^INT(INT(DI45/12)/INDEX('Lease Cycles'!$CP$10:$CV$10,1,DI44))/12))),IF('Lease Cycles'!$N$10=1,'Lease Cycles'!$C$10*'Lease Cycles'!$E$10*INDEX('Lease Cycles'!$HE$10:$HK$10,1,DI44)*(1+INDEX('Lease Cycles'!$GQ$10:$GW$10,1,DI44))^INT(INT((DI$6-INDEX('Lease Cycles'!$GJ$10:$GP$10,1,DI44))/12)/INDEX('Lease Cycles'!$GX$10:$HD$10,1,DI44))/12,0)))</f>
        <v>9372.603910457065</v>
      </c>
      <c r="DJ47" s="28">
        <f>IF(DJ44=0,IF('Lease Cycles'!$F$10&gt;0,'Lease Cycles'!$C$10*'Lease Cycles'!$E$10/12,0),IF(DJ46=1,IF('Lease Cycles'!$AT$10&gt;=9999,'Lease Cycles'!$C$10*INDEX('Lease Cycles'!$CB$10:$CH$10,1,DJ44)*(1+INDEX('Lease Cycles'!$CI$10:$CO$10,1,DJ44))^INT(INT(DJ45/12)/INDEX('Lease Cycles'!$CP$10:$CV$10,1,DJ44))/12,IF(DJ44=1,IF(DJ45&gt;=INDEX('Lease Cycles'!$DK$10:$DQ$10,1,DJ44),IF(DJ$6&gt;='Lease Cycles'!$AZ$10,'Lease Cycles'!$C$10*'Lease Cycles'!$BA$10/12,IF(DJ$6&gt;='Lease Cycles'!$AX$10,'Lease Cycles'!$C$10*'Lease Cycles'!$AY$10/12,IF(DJ$6&gt;='Lease Cycles'!$AV$10,'Lease Cycles'!$C$10*'Lease Cycles'!$AW$10/12,IF(DJ$6&gt;='Lease Cycles'!$AT$10,'Lease Cycles'!$C$10*'Lease Cycles'!$AU$10/12,'Lease Cycles'!$C$10*INDEX('Lease Cycles'!$CB$10:$CH$10,1,DJ44)*(1+INDEX('Lease Cycles'!$CI$10:$CO$10,1,DJ44))^INT(INT(DJ45/12)/INDEX('Lease Cycles'!$CP$10:$CV$10,1,DJ44))/12)))),'Lease Cycles'!$C$10*INDEX('Lease Cycles'!$CB$10:$CH$10,1,DJ44)*(1+INDEX('Lease Cycles'!$CI$10:$CO$10,1,DJ44))^INT(INT(DJ45/12)/INDEX('Lease Cycles'!$CP$10:$CV$10,1,DJ44))/12),IF(INDEX('Lease Cycles'!$EF$10:$EL$10,1,DJ44)=1,IF(AND('Lease Cycles'!$AZ$10&gt;=INDEX('Lease Cycles'!$BG$10:$BM$10,1,DJ44),'Lease Cycles'!$AZ$10&lt;=DJ$6),'Lease Cycles'!$C$10*'Lease Cycles'!$BA$10/12,IF(AND('Lease Cycles'!$AX$10&gt;=INDEX('Lease Cycles'!$BG$10:$BM$10,1,DJ44),'Lease Cycles'!$AX$10&lt;=DJ$6),'Lease Cycles'!$C$10*'Lease Cycles'!$AY$10/12,IF(AND('Lease Cycles'!$AV$10&gt;=INDEX('Lease Cycles'!$BG$10:$BM$10,1,DJ44),'Lease Cycles'!$AV$10&lt;=DJ$6),'Lease Cycles'!$C$10*'Lease Cycles'!$AW$10/12,IF(AND('Lease Cycles'!$AT$10&gt;=INDEX('Lease Cycles'!$BG$10:$BM$10,1,DJ44),'Lease Cycles'!$AT$10&lt;=DJ$6),'Lease Cycles'!$C$10*'Lease Cycles'!$AU$10/12,'Lease Cycles'!$C$10*INDEX('Lease Cycles'!$CB$10:$CH$10,1,DJ44)*(1+INDEX('Lease Cycles'!$CI$10:$CO$10,1,DJ44))^INT(INT(DJ45/12)/INDEX('Lease Cycles'!$CP$10:$CV$10,1,DJ44))/12)))),'Lease Cycles'!$C$10*INDEX('Lease Cycles'!$CB$10:$CH$10,1,DJ44)*(1+INDEX('Lease Cycles'!$CI$10:$CO$10,1,DJ44))^INT(INT(DJ45/12)/INDEX('Lease Cycles'!$CP$10:$CV$10,1,DJ44))/12))),IF('Lease Cycles'!$N$10=1,'Lease Cycles'!$C$10*'Lease Cycles'!$E$10*INDEX('Lease Cycles'!$HE$10:$HK$10,1,DJ44)*(1+INDEX('Lease Cycles'!$GQ$10:$GW$10,1,DJ44))^INT(INT((DJ$6-INDEX('Lease Cycles'!$GJ$10:$GP$10,1,DJ44))/12)/INDEX('Lease Cycles'!$GX$10:$HD$10,1,DJ44))/12,0)))</f>
        <v>9372.603910457065</v>
      </c>
      <c r="DK47" s="28">
        <f>IF(DK44=0,IF('Lease Cycles'!$F$10&gt;0,'Lease Cycles'!$C$10*'Lease Cycles'!$E$10/12,0),IF(DK46=1,IF('Lease Cycles'!$AT$10&gt;=9999,'Lease Cycles'!$C$10*INDEX('Lease Cycles'!$CB$10:$CH$10,1,DK44)*(1+INDEX('Lease Cycles'!$CI$10:$CO$10,1,DK44))^INT(INT(DK45/12)/INDEX('Lease Cycles'!$CP$10:$CV$10,1,DK44))/12,IF(DK44=1,IF(DK45&gt;=INDEX('Lease Cycles'!$DK$10:$DQ$10,1,DK44),IF(DK$6&gt;='Lease Cycles'!$AZ$10,'Lease Cycles'!$C$10*'Lease Cycles'!$BA$10/12,IF(DK$6&gt;='Lease Cycles'!$AX$10,'Lease Cycles'!$C$10*'Lease Cycles'!$AY$10/12,IF(DK$6&gt;='Lease Cycles'!$AV$10,'Lease Cycles'!$C$10*'Lease Cycles'!$AW$10/12,IF(DK$6&gt;='Lease Cycles'!$AT$10,'Lease Cycles'!$C$10*'Lease Cycles'!$AU$10/12,'Lease Cycles'!$C$10*INDEX('Lease Cycles'!$CB$10:$CH$10,1,DK44)*(1+INDEX('Lease Cycles'!$CI$10:$CO$10,1,DK44))^INT(INT(DK45/12)/INDEX('Lease Cycles'!$CP$10:$CV$10,1,DK44))/12)))),'Lease Cycles'!$C$10*INDEX('Lease Cycles'!$CB$10:$CH$10,1,DK44)*(1+INDEX('Lease Cycles'!$CI$10:$CO$10,1,DK44))^INT(INT(DK45/12)/INDEX('Lease Cycles'!$CP$10:$CV$10,1,DK44))/12),IF(INDEX('Lease Cycles'!$EF$10:$EL$10,1,DK44)=1,IF(AND('Lease Cycles'!$AZ$10&gt;=INDEX('Lease Cycles'!$BG$10:$BM$10,1,DK44),'Lease Cycles'!$AZ$10&lt;=DK$6),'Lease Cycles'!$C$10*'Lease Cycles'!$BA$10/12,IF(AND('Lease Cycles'!$AX$10&gt;=INDEX('Lease Cycles'!$BG$10:$BM$10,1,DK44),'Lease Cycles'!$AX$10&lt;=DK$6),'Lease Cycles'!$C$10*'Lease Cycles'!$AY$10/12,IF(AND('Lease Cycles'!$AV$10&gt;=INDEX('Lease Cycles'!$BG$10:$BM$10,1,DK44),'Lease Cycles'!$AV$10&lt;=DK$6),'Lease Cycles'!$C$10*'Lease Cycles'!$AW$10/12,IF(AND('Lease Cycles'!$AT$10&gt;=INDEX('Lease Cycles'!$BG$10:$BM$10,1,DK44),'Lease Cycles'!$AT$10&lt;=DK$6),'Lease Cycles'!$C$10*'Lease Cycles'!$AU$10/12,'Lease Cycles'!$C$10*INDEX('Lease Cycles'!$CB$10:$CH$10,1,DK44)*(1+INDEX('Lease Cycles'!$CI$10:$CO$10,1,DK44))^INT(INT(DK45/12)/INDEX('Lease Cycles'!$CP$10:$CV$10,1,DK44))/12)))),'Lease Cycles'!$C$10*INDEX('Lease Cycles'!$CB$10:$CH$10,1,DK44)*(1+INDEX('Lease Cycles'!$CI$10:$CO$10,1,DK44))^INT(INT(DK45/12)/INDEX('Lease Cycles'!$CP$10:$CV$10,1,DK44))/12))),IF('Lease Cycles'!$N$10=1,'Lease Cycles'!$C$10*'Lease Cycles'!$E$10*INDEX('Lease Cycles'!$HE$10:$HK$10,1,DK44)*(1+INDEX('Lease Cycles'!$GQ$10:$GW$10,1,DK44))^INT(INT((DK$6-INDEX('Lease Cycles'!$GJ$10:$GP$10,1,DK44))/12)/INDEX('Lease Cycles'!$GX$10:$HD$10,1,DK44))/12,0)))</f>
        <v>9372.603910457065</v>
      </c>
      <c r="DL47" s="28">
        <f>IF(DL44=0,IF('Lease Cycles'!$F$10&gt;0,'Lease Cycles'!$C$10*'Lease Cycles'!$E$10/12,0),IF(DL46=1,IF('Lease Cycles'!$AT$10&gt;=9999,'Lease Cycles'!$C$10*INDEX('Lease Cycles'!$CB$10:$CH$10,1,DL44)*(1+INDEX('Lease Cycles'!$CI$10:$CO$10,1,DL44))^INT(INT(DL45/12)/INDEX('Lease Cycles'!$CP$10:$CV$10,1,DL44))/12,IF(DL44=1,IF(DL45&gt;=INDEX('Lease Cycles'!$DK$10:$DQ$10,1,DL44),IF(DL$6&gt;='Lease Cycles'!$AZ$10,'Lease Cycles'!$C$10*'Lease Cycles'!$BA$10/12,IF(DL$6&gt;='Lease Cycles'!$AX$10,'Lease Cycles'!$C$10*'Lease Cycles'!$AY$10/12,IF(DL$6&gt;='Lease Cycles'!$AV$10,'Lease Cycles'!$C$10*'Lease Cycles'!$AW$10/12,IF(DL$6&gt;='Lease Cycles'!$AT$10,'Lease Cycles'!$C$10*'Lease Cycles'!$AU$10/12,'Lease Cycles'!$C$10*INDEX('Lease Cycles'!$CB$10:$CH$10,1,DL44)*(1+INDEX('Lease Cycles'!$CI$10:$CO$10,1,DL44))^INT(INT(DL45/12)/INDEX('Lease Cycles'!$CP$10:$CV$10,1,DL44))/12)))),'Lease Cycles'!$C$10*INDEX('Lease Cycles'!$CB$10:$CH$10,1,DL44)*(1+INDEX('Lease Cycles'!$CI$10:$CO$10,1,DL44))^INT(INT(DL45/12)/INDEX('Lease Cycles'!$CP$10:$CV$10,1,DL44))/12),IF(INDEX('Lease Cycles'!$EF$10:$EL$10,1,DL44)=1,IF(AND('Lease Cycles'!$AZ$10&gt;=INDEX('Lease Cycles'!$BG$10:$BM$10,1,DL44),'Lease Cycles'!$AZ$10&lt;=DL$6),'Lease Cycles'!$C$10*'Lease Cycles'!$BA$10/12,IF(AND('Lease Cycles'!$AX$10&gt;=INDEX('Lease Cycles'!$BG$10:$BM$10,1,DL44),'Lease Cycles'!$AX$10&lt;=DL$6),'Lease Cycles'!$C$10*'Lease Cycles'!$AY$10/12,IF(AND('Lease Cycles'!$AV$10&gt;=INDEX('Lease Cycles'!$BG$10:$BM$10,1,DL44),'Lease Cycles'!$AV$10&lt;=DL$6),'Lease Cycles'!$C$10*'Lease Cycles'!$AW$10/12,IF(AND('Lease Cycles'!$AT$10&gt;=INDEX('Lease Cycles'!$BG$10:$BM$10,1,DL44),'Lease Cycles'!$AT$10&lt;=DL$6),'Lease Cycles'!$C$10*'Lease Cycles'!$AU$10/12,'Lease Cycles'!$C$10*INDEX('Lease Cycles'!$CB$10:$CH$10,1,DL44)*(1+INDEX('Lease Cycles'!$CI$10:$CO$10,1,DL44))^INT(INT(DL45/12)/INDEX('Lease Cycles'!$CP$10:$CV$10,1,DL44))/12)))),'Lease Cycles'!$C$10*INDEX('Lease Cycles'!$CB$10:$CH$10,1,DL44)*(1+INDEX('Lease Cycles'!$CI$10:$CO$10,1,DL44))^INT(INT(DL45/12)/INDEX('Lease Cycles'!$CP$10:$CV$10,1,DL44))/12))),IF('Lease Cycles'!$N$10=1,'Lease Cycles'!$C$10*'Lease Cycles'!$E$10*INDEX('Lease Cycles'!$HE$10:$HK$10,1,DL44)*(1+INDEX('Lease Cycles'!$GQ$10:$GW$10,1,DL44))^INT(INT((DL$6-INDEX('Lease Cycles'!$GJ$10:$GP$10,1,DL44))/12)/INDEX('Lease Cycles'!$GX$10:$HD$10,1,DL44))/12,0)))</f>
        <v>9372.603910457065</v>
      </c>
      <c r="DM47" s="28">
        <f>IF(DM44=0,IF('Lease Cycles'!$F$10&gt;0,'Lease Cycles'!$C$10*'Lease Cycles'!$E$10/12,0),IF(DM46=1,IF('Lease Cycles'!$AT$10&gt;=9999,'Lease Cycles'!$C$10*INDEX('Lease Cycles'!$CB$10:$CH$10,1,DM44)*(1+INDEX('Lease Cycles'!$CI$10:$CO$10,1,DM44))^INT(INT(DM45/12)/INDEX('Lease Cycles'!$CP$10:$CV$10,1,DM44))/12,IF(DM44=1,IF(DM45&gt;=INDEX('Lease Cycles'!$DK$10:$DQ$10,1,DM44),IF(DM$6&gt;='Lease Cycles'!$AZ$10,'Lease Cycles'!$C$10*'Lease Cycles'!$BA$10/12,IF(DM$6&gt;='Lease Cycles'!$AX$10,'Lease Cycles'!$C$10*'Lease Cycles'!$AY$10/12,IF(DM$6&gt;='Lease Cycles'!$AV$10,'Lease Cycles'!$C$10*'Lease Cycles'!$AW$10/12,IF(DM$6&gt;='Lease Cycles'!$AT$10,'Lease Cycles'!$C$10*'Lease Cycles'!$AU$10/12,'Lease Cycles'!$C$10*INDEX('Lease Cycles'!$CB$10:$CH$10,1,DM44)*(1+INDEX('Lease Cycles'!$CI$10:$CO$10,1,DM44))^INT(INT(DM45/12)/INDEX('Lease Cycles'!$CP$10:$CV$10,1,DM44))/12)))),'Lease Cycles'!$C$10*INDEX('Lease Cycles'!$CB$10:$CH$10,1,DM44)*(1+INDEX('Lease Cycles'!$CI$10:$CO$10,1,DM44))^INT(INT(DM45/12)/INDEX('Lease Cycles'!$CP$10:$CV$10,1,DM44))/12),IF(INDEX('Lease Cycles'!$EF$10:$EL$10,1,DM44)=1,IF(AND('Lease Cycles'!$AZ$10&gt;=INDEX('Lease Cycles'!$BG$10:$BM$10,1,DM44),'Lease Cycles'!$AZ$10&lt;=DM$6),'Lease Cycles'!$C$10*'Lease Cycles'!$BA$10/12,IF(AND('Lease Cycles'!$AX$10&gt;=INDEX('Lease Cycles'!$BG$10:$BM$10,1,DM44),'Lease Cycles'!$AX$10&lt;=DM$6),'Lease Cycles'!$C$10*'Lease Cycles'!$AY$10/12,IF(AND('Lease Cycles'!$AV$10&gt;=INDEX('Lease Cycles'!$BG$10:$BM$10,1,DM44),'Lease Cycles'!$AV$10&lt;=DM$6),'Lease Cycles'!$C$10*'Lease Cycles'!$AW$10/12,IF(AND('Lease Cycles'!$AT$10&gt;=INDEX('Lease Cycles'!$BG$10:$BM$10,1,DM44),'Lease Cycles'!$AT$10&lt;=DM$6),'Lease Cycles'!$C$10*'Lease Cycles'!$AU$10/12,'Lease Cycles'!$C$10*INDEX('Lease Cycles'!$CB$10:$CH$10,1,DM44)*(1+INDEX('Lease Cycles'!$CI$10:$CO$10,1,DM44))^INT(INT(DM45/12)/INDEX('Lease Cycles'!$CP$10:$CV$10,1,DM44))/12)))),'Lease Cycles'!$C$10*INDEX('Lease Cycles'!$CB$10:$CH$10,1,DM44)*(1+INDEX('Lease Cycles'!$CI$10:$CO$10,1,DM44))^INT(INT(DM45/12)/INDEX('Lease Cycles'!$CP$10:$CV$10,1,DM44))/12))),IF('Lease Cycles'!$N$10=1,'Lease Cycles'!$C$10*'Lease Cycles'!$E$10*INDEX('Lease Cycles'!$HE$10:$HK$10,1,DM44)*(1+INDEX('Lease Cycles'!$GQ$10:$GW$10,1,DM44))^INT(INT((DM$6-INDEX('Lease Cycles'!$GJ$10:$GP$10,1,DM44))/12)/INDEX('Lease Cycles'!$GX$10:$HD$10,1,DM44))/12,0)))</f>
        <v>9372.603910457065</v>
      </c>
      <c r="DN47" s="28">
        <f>IF(DN44=0,IF('Lease Cycles'!$F$10&gt;0,'Lease Cycles'!$C$10*'Lease Cycles'!$E$10/12,0),IF(DN46=1,IF('Lease Cycles'!$AT$10&gt;=9999,'Lease Cycles'!$C$10*INDEX('Lease Cycles'!$CB$10:$CH$10,1,DN44)*(1+INDEX('Lease Cycles'!$CI$10:$CO$10,1,DN44))^INT(INT(DN45/12)/INDEX('Lease Cycles'!$CP$10:$CV$10,1,DN44))/12,IF(DN44=1,IF(DN45&gt;=INDEX('Lease Cycles'!$DK$10:$DQ$10,1,DN44),IF(DN$6&gt;='Lease Cycles'!$AZ$10,'Lease Cycles'!$C$10*'Lease Cycles'!$BA$10/12,IF(DN$6&gt;='Lease Cycles'!$AX$10,'Lease Cycles'!$C$10*'Lease Cycles'!$AY$10/12,IF(DN$6&gt;='Lease Cycles'!$AV$10,'Lease Cycles'!$C$10*'Lease Cycles'!$AW$10/12,IF(DN$6&gt;='Lease Cycles'!$AT$10,'Lease Cycles'!$C$10*'Lease Cycles'!$AU$10/12,'Lease Cycles'!$C$10*INDEX('Lease Cycles'!$CB$10:$CH$10,1,DN44)*(1+INDEX('Lease Cycles'!$CI$10:$CO$10,1,DN44))^INT(INT(DN45/12)/INDEX('Lease Cycles'!$CP$10:$CV$10,1,DN44))/12)))),'Lease Cycles'!$C$10*INDEX('Lease Cycles'!$CB$10:$CH$10,1,DN44)*(1+INDEX('Lease Cycles'!$CI$10:$CO$10,1,DN44))^INT(INT(DN45/12)/INDEX('Lease Cycles'!$CP$10:$CV$10,1,DN44))/12),IF(INDEX('Lease Cycles'!$EF$10:$EL$10,1,DN44)=1,IF(AND('Lease Cycles'!$AZ$10&gt;=INDEX('Lease Cycles'!$BG$10:$BM$10,1,DN44),'Lease Cycles'!$AZ$10&lt;=DN$6),'Lease Cycles'!$C$10*'Lease Cycles'!$BA$10/12,IF(AND('Lease Cycles'!$AX$10&gt;=INDEX('Lease Cycles'!$BG$10:$BM$10,1,DN44),'Lease Cycles'!$AX$10&lt;=DN$6),'Lease Cycles'!$C$10*'Lease Cycles'!$AY$10/12,IF(AND('Lease Cycles'!$AV$10&gt;=INDEX('Lease Cycles'!$BG$10:$BM$10,1,DN44),'Lease Cycles'!$AV$10&lt;=DN$6),'Lease Cycles'!$C$10*'Lease Cycles'!$AW$10/12,IF(AND('Lease Cycles'!$AT$10&gt;=INDEX('Lease Cycles'!$BG$10:$BM$10,1,DN44),'Lease Cycles'!$AT$10&lt;=DN$6),'Lease Cycles'!$C$10*'Lease Cycles'!$AU$10/12,'Lease Cycles'!$C$10*INDEX('Lease Cycles'!$CB$10:$CH$10,1,DN44)*(1+INDEX('Lease Cycles'!$CI$10:$CO$10,1,DN44))^INT(INT(DN45/12)/INDEX('Lease Cycles'!$CP$10:$CV$10,1,DN44))/12)))),'Lease Cycles'!$C$10*INDEX('Lease Cycles'!$CB$10:$CH$10,1,DN44)*(1+INDEX('Lease Cycles'!$CI$10:$CO$10,1,DN44))^INT(INT(DN45/12)/INDEX('Lease Cycles'!$CP$10:$CV$10,1,DN44))/12))),IF('Lease Cycles'!$N$10=1,'Lease Cycles'!$C$10*'Lease Cycles'!$E$10*INDEX('Lease Cycles'!$HE$10:$HK$10,1,DN44)*(1+INDEX('Lease Cycles'!$GQ$10:$GW$10,1,DN44))^INT(INT((DN$6-INDEX('Lease Cycles'!$GJ$10:$GP$10,1,DN44))/12)/INDEX('Lease Cycles'!$GX$10:$HD$10,1,DN44))/12,0)))</f>
        <v>9372.603910457065</v>
      </c>
      <c r="DO47" s="28">
        <f>IF(DO44=0,IF('Lease Cycles'!$F$10&gt;0,'Lease Cycles'!$C$10*'Lease Cycles'!$E$10/12,0),IF(DO46=1,IF('Lease Cycles'!$AT$10&gt;=9999,'Lease Cycles'!$C$10*INDEX('Lease Cycles'!$CB$10:$CH$10,1,DO44)*(1+INDEX('Lease Cycles'!$CI$10:$CO$10,1,DO44))^INT(INT(DO45/12)/INDEX('Lease Cycles'!$CP$10:$CV$10,1,DO44))/12,IF(DO44=1,IF(DO45&gt;=INDEX('Lease Cycles'!$DK$10:$DQ$10,1,DO44),IF(DO$6&gt;='Lease Cycles'!$AZ$10,'Lease Cycles'!$C$10*'Lease Cycles'!$BA$10/12,IF(DO$6&gt;='Lease Cycles'!$AX$10,'Lease Cycles'!$C$10*'Lease Cycles'!$AY$10/12,IF(DO$6&gt;='Lease Cycles'!$AV$10,'Lease Cycles'!$C$10*'Lease Cycles'!$AW$10/12,IF(DO$6&gt;='Lease Cycles'!$AT$10,'Lease Cycles'!$C$10*'Lease Cycles'!$AU$10/12,'Lease Cycles'!$C$10*INDEX('Lease Cycles'!$CB$10:$CH$10,1,DO44)*(1+INDEX('Lease Cycles'!$CI$10:$CO$10,1,DO44))^INT(INT(DO45/12)/INDEX('Lease Cycles'!$CP$10:$CV$10,1,DO44))/12)))),'Lease Cycles'!$C$10*INDEX('Lease Cycles'!$CB$10:$CH$10,1,DO44)*(1+INDEX('Lease Cycles'!$CI$10:$CO$10,1,DO44))^INT(INT(DO45/12)/INDEX('Lease Cycles'!$CP$10:$CV$10,1,DO44))/12),IF(INDEX('Lease Cycles'!$EF$10:$EL$10,1,DO44)=1,IF(AND('Lease Cycles'!$AZ$10&gt;=INDEX('Lease Cycles'!$BG$10:$BM$10,1,DO44),'Lease Cycles'!$AZ$10&lt;=DO$6),'Lease Cycles'!$C$10*'Lease Cycles'!$BA$10/12,IF(AND('Lease Cycles'!$AX$10&gt;=INDEX('Lease Cycles'!$BG$10:$BM$10,1,DO44),'Lease Cycles'!$AX$10&lt;=DO$6),'Lease Cycles'!$C$10*'Lease Cycles'!$AY$10/12,IF(AND('Lease Cycles'!$AV$10&gt;=INDEX('Lease Cycles'!$BG$10:$BM$10,1,DO44),'Lease Cycles'!$AV$10&lt;=DO$6),'Lease Cycles'!$C$10*'Lease Cycles'!$AW$10/12,IF(AND('Lease Cycles'!$AT$10&gt;=INDEX('Lease Cycles'!$BG$10:$BM$10,1,DO44),'Lease Cycles'!$AT$10&lt;=DO$6),'Lease Cycles'!$C$10*'Lease Cycles'!$AU$10/12,'Lease Cycles'!$C$10*INDEX('Lease Cycles'!$CB$10:$CH$10,1,DO44)*(1+INDEX('Lease Cycles'!$CI$10:$CO$10,1,DO44))^INT(INT(DO45/12)/INDEX('Lease Cycles'!$CP$10:$CV$10,1,DO44))/12)))),'Lease Cycles'!$C$10*INDEX('Lease Cycles'!$CB$10:$CH$10,1,DO44)*(1+INDEX('Lease Cycles'!$CI$10:$CO$10,1,DO44))^INT(INT(DO45/12)/INDEX('Lease Cycles'!$CP$10:$CV$10,1,DO44))/12))),IF('Lease Cycles'!$N$10=1,'Lease Cycles'!$C$10*'Lease Cycles'!$E$10*INDEX('Lease Cycles'!$HE$10:$HK$10,1,DO44)*(1+INDEX('Lease Cycles'!$GQ$10:$GW$10,1,DO44))^INT(INT((DO$6-INDEX('Lease Cycles'!$GJ$10:$GP$10,1,DO44))/12)/INDEX('Lease Cycles'!$GX$10:$HD$10,1,DO44))/12,0)))</f>
        <v>9372.603910457065</v>
      </c>
      <c r="DP47" s="28">
        <f>IF(DP44=0,IF('Lease Cycles'!$F$10&gt;0,'Lease Cycles'!$C$10*'Lease Cycles'!$E$10/12,0),IF(DP46=1,IF('Lease Cycles'!$AT$10&gt;=9999,'Lease Cycles'!$C$10*INDEX('Lease Cycles'!$CB$10:$CH$10,1,DP44)*(1+INDEX('Lease Cycles'!$CI$10:$CO$10,1,DP44))^INT(INT(DP45/12)/INDEX('Lease Cycles'!$CP$10:$CV$10,1,DP44))/12,IF(DP44=1,IF(DP45&gt;=INDEX('Lease Cycles'!$DK$10:$DQ$10,1,DP44),IF(DP$6&gt;='Lease Cycles'!$AZ$10,'Lease Cycles'!$C$10*'Lease Cycles'!$BA$10/12,IF(DP$6&gt;='Lease Cycles'!$AX$10,'Lease Cycles'!$C$10*'Lease Cycles'!$AY$10/12,IF(DP$6&gt;='Lease Cycles'!$AV$10,'Lease Cycles'!$C$10*'Lease Cycles'!$AW$10/12,IF(DP$6&gt;='Lease Cycles'!$AT$10,'Lease Cycles'!$C$10*'Lease Cycles'!$AU$10/12,'Lease Cycles'!$C$10*INDEX('Lease Cycles'!$CB$10:$CH$10,1,DP44)*(1+INDEX('Lease Cycles'!$CI$10:$CO$10,1,DP44))^INT(INT(DP45/12)/INDEX('Lease Cycles'!$CP$10:$CV$10,1,DP44))/12)))),'Lease Cycles'!$C$10*INDEX('Lease Cycles'!$CB$10:$CH$10,1,DP44)*(1+INDEX('Lease Cycles'!$CI$10:$CO$10,1,DP44))^INT(INT(DP45/12)/INDEX('Lease Cycles'!$CP$10:$CV$10,1,DP44))/12),IF(INDEX('Lease Cycles'!$EF$10:$EL$10,1,DP44)=1,IF(AND('Lease Cycles'!$AZ$10&gt;=INDEX('Lease Cycles'!$BG$10:$BM$10,1,DP44),'Lease Cycles'!$AZ$10&lt;=DP$6),'Lease Cycles'!$C$10*'Lease Cycles'!$BA$10/12,IF(AND('Lease Cycles'!$AX$10&gt;=INDEX('Lease Cycles'!$BG$10:$BM$10,1,DP44),'Lease Cycles'!$AX$10&lt;=DP$6),'Lease Cycles'!$C$10*'Lease Cycles'!$AY$10/12,IF(AND('Lease Cycles'!$AV$10&gt;=INDEX('Lease Cycles'!$BG$10:$BM$10,1,DP44),'Lease Cycles'!$AV$10&lt;=DP$6),'Lease Cycles'!$C$10*'Lease Cycles'!$AW$10/12,IF(AND('Lease Cycles'!$AT$10&gt;=INDEX('Lease Cycles'!$BG$10:$BM$10,1,DP44),'Lease Cycles'!$AT$10&lt;=DP$6),'Lease Cycles'!$C$10*'Lease Cycles'!$AU$10/12,'Lease Cycles'!$C$10*INDEX('Lease Cycles'!$CB$10:$CH$10,1,DP44)*(1+INDEX('Lease Cycles'!$CI$10:$CO$10,1,DP44))^INT(INT(DP45/12)/INDEX('Lease Cycles'!$CP$10:$CV$10,1,DP44))/12)))),'Lease Cycles'!$C$10*INDEX('Lease Cycles'!$CB$10:$CH$10,1,DP44)*(1+INDEX('Lease Cycles'!$CI$10:$CO$10,1,DP44))^INT(INT(DP45/12)/INDEX('Lease Cycles'!$CP$10:$CV$10,1,DP44))/12))),IF('Lease Cycles'!$N$10=1,'Lease Cycles'!$C$10*'Lease Cycles'!$E$10*INDEX('Lease Cycles'!$HE$10:$HK$10,1,DP44)*(1+INDEX('Lease Cycles'!$GQ$10:$GW$10,1,DP44))^INT(INT((DP$6-INDEX('Lease Cycles'!$GJ$10:$GP$10,1,DP44))/12)/INDEX('Lease Cycles'!$GX$10:$HD$10,1,DP44))/12,0)))</f>
        <v>9372.603910457065</v>
      </c>
      <c r="DQ47" s="28">
        <f>IF(DQ44=0,IF('Lease Cycles'!$F$10&gt;0,'Lease Cycles'!$C$10*'Lease Cycles'!$E$10/12,0),IF(DQ46=1,IF('Lease Cycles'!$AT$10&gt;=9999,'Lease Cycles'!$C$10*INDEX('Lease Cycles'!$CB$10:$CH$10,1,DQ44)*(1+INDEX('Lease Cycles'!$CI$10:$CO$10,1,DQ44))^INT(INT(DQ45/12)/INDEX('Lease Cycles'!$CP$10:$CV$10,1,DQ44))/12,IF(DQ44=1,IF(DQ45&gt;=INDEX('Lease Cycles'!$DK$10:$DQ$10,1,DQ44),IF(DQ$6&gt;='Lease Cycles'!$AZ$10,'Lease Cycles'!$C$10*'Lease Cycles'!$BA$10/12,IF(DQ$6&gt;='Lease Cycles'!$AX$10,'Lease Cycles'!$C$10*'Lease Cycles'!$AY$10/12,IF(DQ$6&gt;='Lease Cycles'!$AV$10,'Lease Cycles'!$C$10*'Lease Cycles'!$AW$10/12,IF(DQ$6&gt;='Lease Cycles'!$AT$10,'Lease Cycles'!$C$10*'Lease Cycles'!$AU$10/12,'Lease Cycles'!$C$10*INDEX('Lease Cycles'!$CB$10:$CH$10,1,DQ44)*(1+INDEX('Lease Cycles'!$CI$10:$CO$10,1,DQ44))^INT(INT(DQ45/12)/INDEX('Lease Cycles'!$CP$10:$CV$10,1,DQ44))/12)))),'Lease Cycles'!$C$10*INDEX('Lease Cycles'!$CB$10:$CH$10,1,DQ44)*(1+INDEX('Lease Cycles'!$CI$10:$CO$10,1,DQ44))^INT(INT(DQ45/12)/INDEX('Lease Cycles'!$CP$10:$CV$10,1,DQ44))/12),IF(INDEX('Lease Cycles'!$EF$10:$EL$10,1,DQ44)=1,IF(AND('Lease Cycles'!$AZ$10&gt;=INDEX('Lease Cycles'!$BG$10:$BM$10,1,DQ44),'Lease Cycles'!$AZ$10&lt;=DQ$6),'Lease Cycles'!$C$10*'Lease Cycles'!$BA$10/12,IF(AND('Lease Cycles'!$AX$10&gt;=INDEX('Lease Cycles'!$BG$10:$BM$10,1,DQ44),'Lease Cycles'!$AX$10&lt;=DQ$6),'Lease Cycles'!$C$10*'Lease Cycles'!$AY$10/12,IF(AND('Lease Cycles'!$AV$10&gt;=INDEX('Lease Cycles'!$BG$10:$BM$10,1,DQ44),'Lease Cycles'!$AV$10&lt;=DQ$6),'Lease Cycles'!$C$10*'Lease Cycles'!$AW$10/12,IF(AND('Lease Cycles'!$AT$10&gt;=INDEX('Lease Cycles'!$BG$10:$BM$10,1,DQ44),'Lease Cycles'!$AT$10&lt;=DQ$6),'Lease Cycles'!$C$10*'Lease Cycles'!$AU$10/12,'Lease Cycles'!$C$10*INDEX('Lease Cycles'!$CB$10:$CH$10,1,DQ44)*(1+INDEX('Lease Cycles'!$CI$10:$CO$10,1,DQ44))^INT(INT(DQ45/12)/INDEX('Lease Cycles'!$CP$10:$CV$10,1,DQ44))/12)))),'Lease Cycles'!$C$10*INDEX('Lease Cycles'!$CB$10:$CH$10,1,DQ44)*(1+INDEX('Lease Cycles'!$CI$10:$CO$10,1,DQ44))^INT(INT(DQ45/12)/INDEX('Lease Cycles'!$CP$10:$CV$10,1,DQ44))/12))),IF('Lease Cycles'!$N$10=1,'Lease Cycles'!$C$10*'Lease Cycles'!$E$10*INDEX('Lease Cycles'!$HE$10:$HK$10,1,DQ44)*(1+INDEX('Lease Cycles'!$GQ$10:$GW$10,1,DQ44))^INT(INT((DQ$6-INDEX('Lease Cycles'!$GJ$10:$GP$10,1,DQ44))/12)/INDEX('Lease Cycles'!$GX$10:$HD$10,1,DQ44))/12,0)))</f>
        <v>9372.603910457065</v>
      </c>
      <c r="DR47" s="28">
        <f>IF(DR44=0,IF('Lease Cycles'!$F$10&gt;0,'Lease Cycles'!$C$10*'Lease Cycles'!$E$10/12,0),IF(DR46=1,IF('Lease Cycles'!$AT$10&gt;=9999,'Lease Cycles'!$C$10*INDEX('Lease Cycles'!$CB$10:$CH$10,1,DR44)*(1+INDEX('Lease Cycles'!$CI$10:$CO$10,1,DR44))^INT(INT(DR45/12)/INDEX('Lease Cycles'!$CP$10:$CV$10,1,DR44))/12,IF(DR44=1,IF(DR45&gt;=INDEX('Lease Cycles'!$DK$10:$DQ$10,1,DR44),IF(DR$6&gt;='Lease Cycles'!$AZ$10,'Lease Cycles'!$C$10*'Lease Cycles'!$BA$10/12,IF(DR$6&gt;='Lease Cycles'!$AX$10,'Lease Cycles'!$C$10*'Lease Cycles'!$AY$10/12,IF(DR$6&gt;='Lease Cycles'!$AV$10,'Lease Cycles'!$C$10*'Lease Cycles'!$AW$10/12,IF(DR$6&gt;='Lease Cycles'!$AT$10,'Lease Cycles'!$C$10*'Lease Cycles'!$AU$10/12,'Lease Cycles'!$C$10*INDEX('Lease Cycles'!$CB$10:$CH$10,1,DR44)*(1+INDEX('Lease Cycles'!$CI$10:$CO$10,1,DR44))^INT(INT(DR45/12)/INDEX('Lease Cycles'!$CP$10:$CV$10,1,DR44))/12)))),'Lease Cycles'!$C$10*INDEX('Lease Cycles'!$CB$10:$CH$10,1,DR44)*(1+INDEX('Lease Cycles'!$CI$10:$CO$10,1,DR44))^INT(INT(DR45/12)/INDEX('Lease Cycles'!$CP$10:$CV$10,1,DR44))/12),IF(INDEX('Lease Cycles'!$EF$10:$EL$10,1,DR44)=1,IF(AND('Lease Cycles'!$AZ$10&gt;=INDEX('Lease Cycles'!$BG$10:$BM$10,1,DR44),'Lease Cycles'!$AZ$10&lt;=DR$6),'Lease Cycles'!$C$10*'Lease Cycles'!$BA$10/12,IF(AND('Lease Cycles'!$AX$10&gt;=INDEX('Lease Cycles'!$BG$10:$BM$10,1,DR44),'Lease Cycles'!$AX$10&lt;=DR$6),'Lease Cycles'!$C$10*'Lease Cycles'!$AY$10/12,IF(AND('Lease Cycles'!$AV$10&gt;=INDEX('Lease Cycles'!$BG$10:$BM$10,1,DR44),'Lease Cycles'!$AV$10&lt;=DR$6),'Lease Cycles'!$C$10*'Lease Cycles'!$AW$10/12,IF(AND('Lease Cycles'!$AT$10&gt;=INDEX('Lease Cycles'!$BG$10:$BM$10,1,DR44),'Lease Cycles'!$AT$10&lt;=DR$6),'Lease Cycles'!$C$10*'Lease Cycles'!$AU$10/12,'Lease Cycles'!$C$10*INDEX('Lease Cycles'!$CB$10:$CH$10,1,DR44)*(1+INDEX('Lease Cycles'!$CI$10:$CO$10,1,DR44))^INT(INT(DR45/12)/INDEX('Lease Cycles'!$CP$10:$CV$10,1,DR44))/12)))),'Lease Cycles'!$C$10*INDEX('Lease Cycles'!$CB$10:$CH$10,1,DR44)*(1+INDEX('Lease Cycles'!$CI$10:$CO$10,1,DR44))^INT(INT(DR45/12)/INDEX('Lease Cycles'!$CP$10:$CV$10,1,DR44))/12))),IF('Lease Cycles'!$N$10=1,'Lease Cycles'!$C$10*'Lease Cycles'!$E$10*INDEX('Lease Cycles'!$HE$10:$HK$10,1,DR44)*(1+INDEX('Lease Cycles'!$GQ$10:$GW$10,1,DR44))^INT(INT((DR$6-INDEX('Lease Cycles'!$GJ$10:$GP$10,1,DR44))/12)/INDEX('Lease Cycles'!$GX$10:$HD$10,1,DR44))/12,0)))</f>
        <v>9372.603910457065</v>
      </c>
      <c r="DS47" s="28">
        <f>IF(DS44=0,IF('Lease Cycles'!$F$10&gt;0,'Lease Cycles'!$C$10*'Lease Cycles'!$E$10/12,0),IF(DS46=1,IF('Lease Cycles'!$AT$10&gt;=9999,'Lease Cycles'!$C$10*INDEX('Lease Cycles'!$CB$10:$CH$10,1,DS44)*(1+INDEX('Lease Cycles'!$CI$10:$CO$10,1,DS44))^INT(INT(DS45/12)/INDEX('Lease Cycles'!$CP$10:$CV$10,1,DS44))/12,IF(DS44=1,IF(DS45&gt;=INDEX('Lease Cycles'!$DK$10:$DQ$10,1,DS44),IF(DS$6&gt;='Lease Cycles'!$AZ$10,'Lease Cycles'!$C$10*'Lease Cycles'!$BA$10/12,IF(DS$6&gt;='Lease Cycles'!$AX$10,'Lease Cycles'!$C$10*'Lease Cycles'!$AY$10/12,IF(DS$6&gt;='Lease Cycles'!$AV$10,'Lease Cycles'!$C$10*'Lease Cycles'!$AW$10/12,IF(DS$6&gt;='Lease Cycles'!$AT$10,'Lease Cycles'!$C$10*'Lease Cycles'!$AU$10/12,'Lease Cycles'!$C$10*INDEX('Lease Cycles'!$CB$10:$CH$10,1,DS44)*(1+INDEX('Lease Cycles'!$CI$10:$CO$10,1,DS44))^INT(INT(DS45/12)/INDEX('Lease Cycles'!$CP$10:$CV$10,1,DS44))/12)))),'Lease Cycles'!$C$10*INDEX('Lease Cycles'!$CB$10:$CH$10,1,DS44)*(1+INDEX('Lease Cycles'!$CI$10:$CO$10,1,DS44))^INT(INT(DS45/12)/INDEX('Lease Cycles'!$CP$10:$CV$10,1,DS44))/12),IF(INDEX('Lease Cycles'!$EF$10:$EL$10,1,DS44)=1,IF(AND('Lease Cycles'!$AZ$10&gt;=INDEX('Lease Cycles'!$BG$10:$BM$10,1,DS44),'Lease Cycles'!$AZ$10&lt;=DS$6),'Lease Cycles'!$C$10*'Lease Cycles'!$BA$10/12,IF(AND('Lease Cycles'!$AX$10&gt;=INDEX('Lease Cycles'!$BG$10:$BM$10,1,DS44),'Lease Cycles'!$AX$10&lt;=DS$6),'Lease Cycles'!$C$10*'Lease Cycles'!$AY$10/12,IF(AND('Lease Cycles'!$AV$10&gt;=INDEX('Lease Cycles'!$BG$10:$BM$10,1,DS44),'Lease Cycles'!$AV$10&lt;=DS$6),'Lease Cycles'!$C$10*'Lease Cycles'!$AW$10/12,IF(AND('Lease Cycles'!$AT$10&gt;=INDEX('Lease Cycles'!$BG$10:$BM$10,1,DS44),'Lease Cycles'!$AT$10&lt;=DS$6),'Lease Cycles'!$C$10*'Lease Cycles'!$AU$10/12,'Lease Cycles'!$C$10*INDEX('Lease Cycles'!$CB$10:$CH$10,1,DS44)*(1+INDEX('Lease Cycles'!$CI$10:$CO$10,1,DS44))^INT(INT(DS45/12)/INDEX('Lease Cycles'!$CP$10:$CV$10,1,DS44))/12)))),'Lease Cycles'!$C$10*INDEX('Lease Cycles'!$CB$10:$CH$10,1,DS44)*(1+INDEX('Lease Cycles'!$CI$10:$CO$10,1,DS44))^INT(INT(DS45/12)/INDEX('Lease Cycles'!$CP$10:$CV$10,1,DS44))/12))),IF('Lease Cycles'!$N$10=1,'Lease Cycles'!$C$10*'Lease Cycles'!$E$10*INDEX('Lease Cycles'!$HE$10:$HK$10,1,DS44)*(1+INDEX('Lease Cycles'!$GQ$10:$GW$10,1,DS44))^INT(INT((DS$6-INDEX('Lease Cycles'!$GJ$10:$GP$10,1,DS44))/12)/INDEX('Lease Cycles'!$GX$10:$HD$10,1,DS44))/12,0)))</f>
        <v>9372.603910457065</v>
      </c>
      <c r="DT47" s="28">
        <f>IF(DT44=0,IF('Lease Cycles'!$F$10&gt;0,'Lease Cycles'!$C$10*'Lease Cycles'!$E$10/12,0),IF(DT46=1,IF('Lease Cycles'!$AT$10&gt;=9999,'Lease Cycles'!$C$10*INDEX('Lease Cycles'!$CB$10:$CH$10,1,DT44)*(1+INDEX('Lease Cycles'!$CI$10:$CO$10,1,DT44))^INT(INT(DT45/12)/INDEX('Lease Cycles'!$CP$10:$CV$10,1,DT44))/12,IF(DT44=1,IF(DT45&gt;=INDEX('Lease Cycles'!$DK$10:$DQ$10,1,DT44),IF(DT$6&gt;='Lease Cycles'!$AZ$10,'Lease Cycles'!$C$10*'Lease Cycles'!$BA$10/12,IF(DT$6&gt;='Lease Cycles'!$AX$10,'Lease Cycles'!$C$10*'Lease Cycles'!$AY$10/12,IF(DT$6&gt;='Lease Cycles'!$AV$10,'Lease Cycles'!$C$10*'Lease Cycles'!$AW$10/12,IF(DT$6&gt;='Lease Cycles'!$AT$10,'Lease Cycles'!$C$10*'Lease Cycles'!$AU$10/12,'Lease Cycles'!$C$10*INDEX('Lease Cycles'!$CB$10:$CH$10,1,DT44)*(1+INDEX('Lease Cycles'!$CI$10:$CO$10,1,DT44))^INT(INT(DT45/12)/INDEX('Lease Cycles'!$CP$10:$CV$10,1,DT44))/12)))),'Lease Cycles'!$C$10*INDEX('Lease Cycles'!$CB$10:$CH$10,1,DT44)*(1+INDEX('Lease Cycles'!$CI$10:$CO$10,1,DT44))^INT(INT(DT45/12)/INDEX('Lease Cycles'!$CP$10:$CV$10,1,DT44))/12),IF(INDEX('Lease Cycles'!$EF$10:$EL$10,1,DT44)=1,IF(AND('Lease Cycles'!$AZ$10&gt;=INDEX('Lease Cycles'!$BG$10:$BM$10,1,DT44),'Lease Cycles'!$AZ$10&lt;=DT$6),'Lease Cycles'!$C$10*'Lease Cycles'!$BA$10/12,IF(AND('Lease Cycles'!$AX$10&gt;=INDEX('Lease Cycles'!$BG$10:$BM$10,1,DT44),'Lease Cycles'!$AX$10&lt;=DT$6),'Lease Cycles'!$C$10*'Lease Cycles'!$AY$10/12,IF(AND('Lease Cycles'!$AV$10&gt;=INDEX('Lease Cycles'!$BG$10:$BM$10,1,DT44),'Lease Cycles'!$AV$10&lt;=DT$6),'Lease Cycles'!$C$10*'Lease Cycles'!$AW$10/12,IF(AND('Lease Cycles'!$AT$10&gt;=INDEX('Lease Cycles'!$BG$10:$BM$10,1,DT44),'Lease Cycles'!$AT$10&lt;=DT$6),'Lease Cycles'!$C$10*'Lease Cycles'!$AU$10/12,'Lease Cycles'!$C$10*INDEX('Lease Cycles'!$CB$10:$CH$10,1,DT44)*(1+INDEX('Lease Cycles'!$CI$10:$CO$10,1,DT44))^INT(INT(DT45/12)/INDEX('Lease Cycles'!$CP$10:$CV$10,1,DT44))/12)))),'Lease Cycles'!$C$10*INDEX('Lease Cycles'!$CB$10:$CH$10,1,DT44)*(1+INDEX('Lease Cycles'!$CI$10:$CO$10,1,DT44))^INT(INT(DT45/12)/INDEX('Lease Cycles'!$CP$10:$CV$10,1,DT44))/12))),IF('Lease Cycles'!$N$10=1,'Lease Cycles'!$C$10*'Lease Cycles'!$E$10*INDEX('Lease Cycles'!$HE$10:$HK$10,1,DT44)*(1+INDEX('Lease Cycles'!$GQ$10:$GW$10,1,DT44))^INT(INT((DT$6-INDEX('Lease Cycles'!$GJ$10:$GP$10,1,DT44))/12)/INDEX('Lease Cycles'!$GX$10:$HD$10,1,DT44))/12,0)))</f>
        <v>9372.603910457065</v>
      </c>
      <c r="DU47" s="28">
        <f>IF(DU44=0,IF('Lease Cycles'!$F$10&gt;0,'Lease Cycles'!$C$10*'Lease Cycles'!$E$10/12,0),IF(DU46=1,IF('Lease Cycles'!$AT$10&gt;=9999,'Lease Cycles'!$C$10*INDEX('Lease Cycles'!$CB$10:$CH$10,1,DU44)*(1+INDEX('Lease Cycles'!$CI$10:$CO$10,1,DU44))^INT(INT(DU45/12)/INDEX('Lease Cycles'!$CP$10:$CV$10,1,DU44))/12,IF(DU44=1,IF(DU45&gt;=INDEX('Lease Cycles'!$DK$10:$DQ$10,1,DU44),IF(DU$6&gt;='Lease Cycles'!$AZ$10,'Lease Cycles'!$C$10*'Lease Cycles'!$BA$10/12,IF(DU$6&gt;='Lease Cycles'!$AX$10,'Lease Cycles'!$C$10*'Lease Cycles'!$AY$10/12,IF(DU$6&gt;='Lease Cycles'!$AV$10,'Lease Cycles'!$C$10*'Lease Cycles'!$AW$10/12,IF(DU$6&gt;='Lease Cycles'!$AT$10,'Lease Cycles'!$C$10*'Lease Cycles'!$AU$10/12,'Lease Cycles'!$C$10*INDEX('Lease Cycles'!$CB$10:$CH$10,1,DU44)*(1+INDEX('Lease Cycles'!$CI$10:$CO$10,1,DU44))^INT(INT(DU45/12)/INDEX('Lease Cycles'!$CP$10:$CV$10,1,DU44))/12)))),'Lease Cycles'!$C$10*INDEX('Lease Cycles'!$CB$10:$CH$10,1,DU44)*(1+INDEX('Lease Cycles'!$CI$10:$CO$10,1,DU44))^INT(INT(DU45/12)/INDEX('Lease Cycles'!$CP$10:$CV$10,1,DU44))/12),IF(INDEX('Lease Cycles'!$EF$10:$EL$10,1,DU44)=1,IF(AND('Lease Cycles'!$AZ$10&gt;=INDEX('Lease Cycles'!$BG$10:$BM$10,1,DU44),'Lease Cycles'!$AZ$10&lt;=DU$6),'Lease Cycles'!$C$10*'Lease Cycles'!$BA$10/12,IF(AND('Lease Cycles'!$AX$10&gt;=INDEX('Lease Cycles'!$BG$10:$BM$10,1,DU44),'Lease Cycles'!$AX$10&lt;=DU$6),'Lease Cycles'!$C$10*'Lease Cycles'!$AY$10/12,IF(AND('Lease Cycles'!$AV$10&gt;=INDEX('Lease Cycles'!$BG$10:$BM$10,1,DU44),'Lease Cycles'!$AV$10&lt;=DU$6),'Lease Cycles'!$C$10*'Lease Cycles'!$AW$10/12,IF(AND('Lease Cycles'!$AT$10&gt;=INDEX('Lease Cycles'!$BG$10:$BM$10,1,DU44),'Lease Cycles'!$AT$10&lt;=DU$6),'Lease Cycles'!$C$10*'Lease Cycles'!$AU$10/12,'Lease Cycles'!$C$10*INDEX('Lease Cycles'!$CB$10:$CH$10,1,DU44)*(1+INDEX('Lease Cycles'!$CI$10:$CO$10,1,DU44))^INT(INT(DU45/12)/INDEX('Lease Cycles'!$CP$10:$CV$10,1,DU44))/12)))),'Lease Cycles'!$C$10*INDEX('Lease Cycles'!$CB$10:$CH$10,1,DU44)*(1+INDEX('Lease Cycles'!$CI$10:$CO$10,1,DU44))^INT(INT(DU45/12)/INDEX('Lease Cycles'!$CP$10:$CV$10,1,DU44))/12))),IF('Lease Cycles'!$N$10=1,'Lease Cycles'!$C$10*'Lease Cycles'!$E$10*INDEX('Lease Cycles'!$HE$10:$HK$10,1,DU44)*(1+INDEX('Lease Cycles'!$GQ$10:$GW$10,1,DU44))^INT(INT((DU$6-INDEX('Lease Cycles'!$GJ$10:$GP$10,1,DU44))/12)/INDEX('Lease Cycles'!$GX$10:$HD$10,1,DU44))/12,0)))</f>
        <v>9372.603910457065</v>
      </c>
      <c r="DV47" s="28">
        <f>IF(DV44=0,IF('Lease Cycles'!$F$10&gt;0,'Lease Cycles'!$C$10*'Lease Cycles'!$E$10/12,0),IF(DV46=1,IF('Lease Cycles'!$AT$10&gt;=9999,'Lease Cycles'!$C$10*INDEX('Lease Cycles'!$CB$10:$CH$10,1,DV44)*(1+INDEX('Lease Cycles'!$CI$10:$CO$10,1,DV44))^INT(INT(DV45/12)/INDEX('Lease Cycles'!$CP$10:$CV$10,1,DV44))/12,IF(DV44=1,IF(DV45&gt;=INDEX('Lease Cycles'!$DK$10:$DQ$10,1,DV44),IF(DV$6&gt;='Lease Cycles'!$AZ$10,'Lease Cycles'!$C$10*'Lease Cycles'!$BA$10/12,IF(DV$6&gt;='Lease Cycles'!$AX$10,'Lease Cycles'!$C$10*'Lease Cycles'!$AY$10/12,IF(DV$6&gt;='Lease Cycles'!$AV$10,'Lease Cycles'!$C$10*'Lease Cycles'!$AW$10/12,IF(DV$6&gt;='Lease Cycles'!$AT$10,'Lease Cycles'!$C$10*'Lease Cycles'!$AU$10/12,'Lease Cycles'!$C$10*INDEX('Lease Cycles'!$CB$10:$CH$10,1,DV44)*(1+INDEX('Lease Cycles'!$CI$10:$CO$10,1,DV44))^INT(INT(DV45/12)/INDEX('Lease Cycles'!$CP$10:$CV$10,1,DV44))/12)))),'Lease Cycles'!$C$10*INDEX('Lease Cycles'!$CB$10:$CH$10,1,DV44)*(1+INDEX('Lease Cycles'!$CI$10:$CO$10,1,DV44))^INT(INT(DV45/12)/INDEX('Lease Cycles'!$CP$10:$CV$10,1,DV44))/12),IF(INDEX('Lease Cycles'!$EF$10:$EL$10,1,DV44)=1,IF(AND('Lease Cycles'!$AZ$10&gt;=INDEX('Lease Cycles'!$BG$10:$BM$10,1,DV44),'Lease Cycles'!$AZ$10&lt;=DV$6),'Lease Cycles'!$C$10*'Lease Cycles'!$BA$10/12,IF(AND('Lease Cycles'!$AX$10&gt;=INDEX('Lease Cycles'!$BG$10:$BM$10,1,DV44),'Lease Cycles'!$AX$10&lt;=DV$6),'Lease Cycles'!$C$10*'Lease Cycles'!$AY$10/12,IF(AND('Lease Cycles'!$AV$10&gt;=INDEX('Lease Cycles'!$BG$10:$BM$10,1,DV44),'Lease Cycles'!$AV$10&lt;=DV$6),'Lease Cycles'!$C$10*'Lease Cycles'!$AW$10/12,IF(AND('Lease Cycles'!$AT$10&gt;=INDEX('Lease Cycles'!$BG$10:$BM$10,1,DV44),'Lease Cycles'!$AT$10&lt;=DV$6),'Lease Cycles'!$C$10*'Lease Cycles'!$AU$10/12,'Lease Cycles'!$C$10*INDEX('Lease Cycles'!$CB$10:$CH$10,1,DV44)*(1+INDEX('Lease Cycles'!$CI$10:$CO$10,1,DV44))^INT(INT(DV45/12)/INDEX('Lease Cycles'!$CP$10:$CV$10,1,DV44))/12)))),'Lease Cycles'!$C$10*INDEX('Lease Cycles'!$CB$10:$CH$10,1,DV44)*(1+INDEX('Lease Cycles'!$CI$10:$CO$10,1,DV44))^INT(INT(DV45/12)/INDEX('Lease Cycles'!$CP$10:$CV$10,1,DV44))/12))),IF('Lease Cycles'!$N$10=1,'Lease Cycles'!$C$10*'Lease Cycles'!$E$10*INDEX('Lease Cycles'!$HE$10:$HK$10,1,DV44)*(1+INDEX('Lease Cycles'!$GQ$10:$GW$10,1,DV44))^INT(INT((DV$6-INDEX('Lease Cycles'!$GJ$10:$GP$10,1,DV44))/12)/INDEX('Lease Cycles'!$GX$10:$HD$10,1,DV44))/12,0)))</f>
        <v>9372.603910457065</v>
      </c>
      <c r="DW47" s="28">
        <f>IF(DW44=0,IF('Lease Cycles'!$F$10&gt;0,'Lease Cycles'!$C$10*'Lease Cycles'!$E$10/12,0),IF(DW46=1,IF('Lease Cycles'!$AT$10&gt;=9999,'Lease Cycles'!$C$10*INDEX('Lease Cycles'!$CB$10:$CH$10,1,DW44)*(1+INDEX('Lease Cycles'!$CI$10:$CO$10,1,DW44))^INT(INT(DW45/12)/INDEX('Lease Cycles'!$CP$10:$CV$10,1,DW44))/12,IF(DW44=1,IF(DW45&gt;=INDEX('Lease Cycles'!$DK$10:$DQ$10,1,DW44),IF(DW$6&gt;='Lease Cycles'!$AZ$10,'Lease Cycles'!$C$10*'Lease Cycles'!$BA$10/12,IF(DW$6&gt;='Lease Cycles'!$AX$10,'Lease Cycles'!$C$10*'Lease Cycles'!$AY$10/12,IF(DW$6&gt;='Lease Cycles'!$AV$10,'Lease Cycles'!$C$10*'Lease Cycles'!$AW$10/12,IF(DW$6&gt;='Lease Cycles'!$AT$10,'Lease Cycles'!$C$10*'Lease Cycles'!$AU$10/12,'Lease Cycles'!$C$10*INDEX('Lease Cycles'!$CB$10:$CH$10,1,DW44)*(1+INDEX('Lease Cycles'!$CI$10:$CO$10,1,DW44))^INT(INT(DW45/12)/INDEX('Lease Cycles'!$CP$10:$CV$10,1,DW44))/12)))),'Lease Cycles'!$C$10*INDEX('Lease Cycles'!$CB$10:$CH$10,1,DW44)*(1+INDEX('Lease Cycles'!$CI$10:$CO$10,1,DW44))^INT(INT(DW45/12)/INDEX('Lease Cycles'!$CP$10:$CV$10,1,DW44))/12),IF(INDEX('Lease Cycles'!$EF$10:$EL$10,1,DW44)=1,IF(AND('Lease Cycles'!$AZ$10&gt;=INDEX('Lease Cycles'!$BG$10:$BM$10,1,DW44),'Lease Cycles'!$AZ$10&lt;=DW$6),'Lease Cycles'!$C$10*'Lease Cycles'!$BA$10/12,IF(AND('Lease Cycles'!$AX$10&gt;=INDEX('Lease Cycles'!$BG$10:$BM$10,1,DW44),'Lease Cycles'!$AX$10&lt;=DW$6),'Lease Cycles'!$C$10*'Lease Cycles'!$AY$10/12,IF(AND('Lease Cycles'!$AV$10&gt;=INDEX('Lease Cycles'!$BG$10:$BM$10,1,DW44),'Lease Cycles'!$AV$10&lt;=DW$6),'Lease Cycles'!$C$10*'Lease Cycles'!$AW$10/12,IF(AND('Lease Cycles'!$AT$10&gt;=INDEX('Lease Cycles'!$BG$10:$BM$10,1,DW44),'Lease Cycles'!$AT$10&lt;=DW$6),'Lease Cycles'!$C$10*'Lease Cycles'!$AU$10/12,'Lease Cycles'!$C$10*INDEX('Lease Cycles'!$CB$10:$CH$10,1,DW44)*(1+INDEX('Lease Cycles'!$CI$10:$CO$10,1,DW44))^INT(INT(DW45/12)/INDEX('Lease Cycles'!$CP$10:$CV$10,1,DW44))/12)))),'Lease Cycles'!$C$10*INDEX('Lease Cycles'!$CB$10:$CH$10,1,DW44)*(1+INDEX('Lease Cycles'!$CI$10:$CO$10,1,DW44))^INT(INT(DW45/12)/INDEX('Lease Cycles'!$CP$10:$CV$10,1,DW44))/12))),IF('Lease Cycles'!$N$10=1,'Lease Cycles'!$C$10*'Lease Cycles'!$E$10*INDEX('Lease Cycles'!$HE$10:$HK$10,1,DW44)*(1+INDEX('Lease Cycles'!$GQ$10:$GW$10,1,DW44))^INT(INT((DW$6-INDEX('Lease Cycles'!$GJ$10:$GP$10,1,DW44))/12)/INDEX('Lease Cycles'!$GX$10:$HD$10,1,DW44))/12,0)))</f>
        <v>9372.603910457065</v>
      </c>
      <c r="DX47" s="28">
        <f>IF(DX44=0,IF('Lease Cycles'!$F$10&gt;0,'Lease Cycles'!$C$10*'Lease Cycles'!$E$10/12,0),IF(DX46=1,IF('Lease Cycles'!$AT$10&gt;=9999,'Lease Cycles'!$C$10*INDEX('Lease Cycles'!$CB$10:$CH$10,1,DX44)*(1+INDEX('Lease Cycles'!$CI$10:$CO$10,1,DX44))^INT(INT(DX45/12)/INDEX('Lease Cycles'!$CP$10:$CV$10,1,DX44))/12,IF(DX44=1,IF(DX45&gt;=INDEX('Lease Cycles'!$DK$10:$DQ$10,1,DX44),IF(DX$6&gt;='Lease Cycles'!$AZ$10,'Lease Cycles'!$C$10*'Lease Cycles'!$BA$10/12,IF(DX$6&gt;='Lease Cycles'!$AX$10,'Lease Cycles'!$C$10*'Lease Cycles'!$AY$10/12,IF(DX$6&gt;='Lease Cycles'!$AV$10,'Lease Cycles'!$C$10*'Lease Cycles'!$AW$10/12,IF(DX$6&gt;='Lease Cycles'!$AT$10,'Lease Cycles'!$C$10*'Lease Cycles'!$AU$10/12,'Lease Cycles'!$C$10*INDEX('Lease Cycles'!$CB$10:$CH$10,1,DX44)*(1+INDEX('Lease Cycles'!$CI$10:$CO$10,1,DX44))^INT(INT(DX45/12)/INDEX('Lease Cycles'!$CP$10:$CV$10,1,DX44))/12)))),'Lease Cycles'!$C$10*INDEX('Lease Cycles'!$CB$10:$CH$10,1,DX44)*(1+INDEX('Lease Cycles'!$CI$10:$CO$10,1,DX44))^INT(INT(DX45/12)/INDEX('Lease Cycles'!$CP$10:$CV$10,1,DX44))/12),IF(INDEX('Lease Cycles'!$EF$10:$EL$10,1,DX44)=1,IF(AND('Lease Cycles'!$AZ$10&gt;=INDEX('Lease Cycles'!$BG$10:$BM$10,1,DX44),'Lease Cycles'!$AZ$10&lt;=DX$6),'Lease Cycles'!$C$10*'Lease Cycles'!$BA$10/12,IF(AND('Lease Cycles'!$AX$10&gt;=INDEX('Lease Cycles'!$BG$10:$BM$10,1,DX44),'Lease Cycles'!$AX$10&lt;=DX$6),'Lease Cycles'!$C$10*'Lease Cycles'!$AY$10/12,IF(AND('Lease Cycles'!$AV$10&gt;=INDEX('Lease Cycles'!$BG$10:$BM$10,1,DX44),'Lease Cycles'!$AV$10&lt;=DX$6),'Lease Cycles'!$C$10*'Lease Cycles'!$AW$10/12,IF(AND('Lease Cycles'!$AT$10&gt;=INDEX('Lease Cycles'!$BG$10:$BM$10,1,DX44),'Lease Cycles'!$AT$10&lt;=DX$6),'Lease Cycles'!$C$10*'Lease Cycles'!$AU$10/12,'Lease Cycles'!$C$10*INDEX('Lease Cycles'!$CB$10:$CH$10,1,DX44)*(1+INDEX('Lease Cycles'!$CI$10:$CO$10,1,DX44))^INT(INT(DX45/12)/INDEX('Lease Cycles'!$CP$10:$CV$10,1,DX44))/12)))),'Lease Cycles'!$C$10*INDEX('Lease Cycles'!$CB$10:$CH$10,1,DX44)*(1+INDEX('Lease Cycles'!$CI$10:$CO$10,1,DX44))^INT(INT(DX45/12)/INDEX('Lease Cycles'!$CP$10:$CV$10,1,DX44))/12))),IF('Lease Cycles'!$N$10=1,'Lease Cycles'!$C$10*'Lease Cycles'!$E$10*INDEX('Lease Cycles'!$HE$10:$HK$10,1,DX44)*(1+INDEX('Lease Cycles'!$GQ$10:$GW$10,1,DX44))^INT(INT((DX$6-INDEX('Lease Cycles'!$GJ$10:$GP$10,1,DX44))/12)/INDEX('Lease Cycles'!$GX$10:$HD$10,1,DX44))/12,0)))</f>
        <v>9372.603910457065</v>
      </c>
      <c r="DY47" s="28">
        <f>IF(DY44=0,IF('Lease Cycles'!$F$10&gt;0,'Lease Cycles'!$C$10*'Lease Cycles'!$E$10/12,0),IF(DY46=1,IF('Lease Cycles'!$AT$10&gt;=9999,'Lease Cycles'!$C$10*INDEX('Lease Cycles'!$CB$10:$CH$10,1,DY44)*(1+INDEX('Lease Cycles'!$CI$10:$CO$10,1,DY44))^INT(INT(DY45/12)/INDEX('Lease Cycles'!$CP$10:$CV$10,1,DY44))/12,IF(DY44=1,IF(DY45&gt;=INDEX('Lease Cycles'!$DK$10:$DQ$10,1,DY44),IF(DY$6&gt;='Lease Cycles'!$AZ$10,'Lease Cycles'!$C$10*'Lease Cycles'!$BA$10/12,IF(DY$6&gt;='Lease Cycles'!$AX$10,'Lease Cycles'!$C$10*'Lease Cycles'!$AY$10/12,IF(DY$6&gt;='Lease Cycles'!$AV$10,'Lease Cycles'!$C$10*'Lease Cycles'!$AW$10/12,IF(DY$6&gt;='Lease Cycles'!$AT$10,'Lease Cycles'!$C$10*'Lease Cycles'!$AU$10/12,'Lease Cycles'!$C$10*INDEX('Lease Cycles'!$CB$10:$CH$10,1,DY44)*(1+INDEX('Lease Cycles'!$CI$10:$CO$10,1,DY44))^INT(INT(DY45/12)/INDEX('Lease Cycles'!$CP$10:$CV$10,1,DY44))/12)))),'Lease Cycles'!$C$10*INDEX('Lease Cycles'!$CB$10:$CH$10,1,DY44)*(1+INDEX('Lease Cycles'!$CI$10:$CO$10,1,DY44))^INT(INT(DY45/12)/INDEX('Lease Cycles'!$CP$10:$CV$10,1,DY44))/12),IF(INDEX('Lease Cycles'!$EF$10:$EL$10,1,DY44)=1,IF(AND('Lease Cycles'!$AZ$10&gt;=INDEX('Lease Cycles'!$BG$10:$BM$10,1,DY44),'Lease Cycles'!$AZ$10&lt;=DY$6),'Lease Cycles'!$C$10*'Lease Cycles'!$BA$10/12,IF(AND('Lease Cycles'!$AX$10&gt;=INDEX('Lease Cycles'!$BG$10:$BM$10,1,DY44),'Lease Cycles'!$AX$10&lt;=DY$6),'Lease Cycles'!$C$10*'Lease Cycles'!$AY$10/12,IF(AND('Lease Cycles'!$AV$10&gt;=INDEX('Lease Cycles'!$BG$10:$BM$10,1,DY44),'Lease Cycles'!$AV$10&lt;=DY$6),'Lease Cycles'!$C$10*'Lease Cycles'!$AW$10/12,IF(AND('Lease Cycles'!$AT$10&gt;=INDEX('Lease Cycles'!$BG$10:$BM$10,1,DY44),'Lease Cycles'!$AT$10&lt;=DY$6),'Lease Cycles'!$C$10*'Lease Cycles'!$AU$10/12,'Lease Cycles'!$C$10*INDEX('Lease Cycles'!$CB$10:$CH$10,1,DY44)*(1+INDEX('Lease Cycles'!$CI$10:$CO$10,1,DY44))^INT(INT(DY45/12)/INDEX('Lease Cycles'!$CP$10:$CV$10,1,DY44))/12)))),'Lease Cycles'!$C$10*INDEX('Lease Cycles'!$CB$10:$CH$10,1,DY44)*(1+INDEX('Lease Cycles'!$CI$10:$CO$10,1,DY44))^INT(INT(DY45/12)/INDEX('Lease Cycles'!$CP$10:$CV$10,1,DY44))/12))),IF('Lease Cycles'!$N$10=1,'Lease Cycles'!$C$10*'Lease Cycles'!$E$10*INDEX('Lease Cycles'!$HE$10:$HK$10,1,DY44)*(1+INDEX('Lease Cycles'!$GQ$10:$GW$10,1,DY44))^INT(INT((DY$6-INDEX('Lease Cycles'!$GJ$10:$GP$10,1,DY44))/12)/INDEX('Lease Cycles'!$GX$10:$HD$10,1,DY44))/12,0)))</f>
        <v>9372.603910457065</v>
      </c>
      <c r="DZ47" s="28">
        <f>IF(DZ44=0,IF('Lease Cycles'!$F$10&gt;0,'Lease Cycles'!$C$10*'Lease Cycles'!$E$10/12,0),IF(DZ46=1,IF('Lease Cycles'!$AT$10&gt;=9999,'Lease Cycles'!$C$10*INDEX('Lease Cycles'!$CB$10:$CH$10,1,DZ44)*(1+INDEX('Lease Cycles'!$CI$10:$CO$10,1,DZ44))^INT(INT(DZ45/12)/INDEX('Lease Cycles'!$CP$10:$CV$10,1,DZ44))/12,IF(DZ44=1,IF(DZ45&gt;=INDEX('Lease Cycles'!$DK$10:$DQ$10,1,DZ44),IF(DZ$6&gt;='Lease Cycles'!$AZ$10,'Lease Cycles'!$C$10*'Lease Cycles'!$BA$10/12,IF(DZ$6&gt;='Lease Cycles'!$AX$10,'Lease Cycles'!$C$10*'Lease Cycles'!$AY$10/12,IF(DZ$6&gt;='Lease Cycles'!$AV$10,'Lease Cycles'!$C$10*'Lease Cycles'!$AW$10/12,IF(DZ$6&gt;='Lease Cycles'!$AT$10,'Lease Cycles'!$C$10*'Lease Cycles'!$AU$10/12,'Lease Cycles'!$C$10*INDEX('Lease Cycles'!$CB$10:$CH$10,1,DZ44)*(1+INDEX('Lease Cycles'!$CI$10:$CO$10,1,DZ44))^INT(INT(DZ45/12)/INDEX('Lease Cycles'!$CP$10:$CV$10,1,DZ44))/12)))),'Lease Cycles'!$C$10*INDEX('Lease Cycles'!$CB$10:$CH$10,1,DZ44)*(1+INDEX('Lease Cycles'!$CI$10:$CO$10,1,DZ44))^INT(INT(DZ45/12)/INDEX('Lease Cycles'!$CP$10:$CV$10,1,DZ44))/12),IF(INDEX('Lease Cycles'!$EF$10:$EL$10,1,DZ44)=1,IF(AND('Lease Cycles'!$AZ$10&gt;=INDEX('Lease Cycles'!$BG$10:$BM$10,1,DZ44),'Lease Cycles'!$AZ$10&lt;=DZ$6),'Lease Cycles'!$C$10*'Lease Cycles'!$BA$10/12,IF(AND('Lease Cycles'!$AX$10&gt;=INDEX('Lease Cycles'!$BG$10:$BM$10,1,DZ44),'Lease Cycles'!$AX$10&lt;=DZ$6),'Lease Cycles'!$C$10*'Lease Cycles'!$AY$10/12,IF(AND('Lease Cycles'!$AV$10&gt;=INDEX('Lease Cycles'!$BG$10:$BM$10,1,DZ44),'Lease Cycles'!$AV$10&lt;=DZ$6),'Lease Cycles'!$C$10*'Lease Cycles'!$AW$10/12,IF(AND('Lease Cycles'!$AT$10&gt;=INDEX('Lease Cycles'!$BG$10:$BM$10,1,DZ44),'Lease Cycles'!$AT$10&lt;=DZ$6),'Lease Cycles'!$C$10*'Lease Cycles'!$AU$10/12,'Lease Cycles'!$C$10*INDEX('Lease Cycles'!$CB$10:$CH$10,1,DZ44)*(1+INDEX('Lease Cycles'!$CI$10:$CO$10,1,DZ44))^INT(INT(DZ45/12)/INDEX('Lease Cycles'!$CP$10:$CV$10,1,DZ44))/12)))),'Lease Cycles'!$C$10*INDEX('Lease Cycles'!$CB$10:$CH$10,1,DZ44)*(1+INDEX('Lease Cycles'!$CI$10:$CO$10,1,DZ44))^INT(INT(DZ45/12)/INDEX('Lease Cycles'!$CP$10:$CV$10,1,DZ44))/12))),IF('Lease Cycles'!$N$10=1,'Lease Cycles'!$C$10*'Lease Cycles'!$E$10*INDEX('Lease Cycles'!$HE$10:$HK$10,1,DZ44)*(1+INDEX('Lease Cycles'!$GQ$10:$GW$10,1,DZ44))^INT(INT((DZ$6-INDEX('Lease Cycles'!$GJ$10:$GP$10,1,DZ44))/12)/INDEX('Lease Cycles'!$GX$10:$HD$10,1,DZ44))/12,0)))</f>
        <v>9372.603910457065</v>
      </c>
      <c r="EA47" s="28">
        <f>IF(EA44=0,IF('Lease Cycles'!$F$10&gt;0,'Lease Cycles'!$C$10*'Lease Cycles'!$E$10/12,0),IF(EA46=1,IF('Lease Cycles'!$AT$10&gt;=9999,'Lease Cycles'!$C$10*INDEX('Lease Cycles'!$CB$10:$CH$10,1,EA44)*(1+INDEX('Lease Cycles'!$CI$10:$CO$10,1,EA44))^INT(INT(EA45/12)/INDEX('Lease Cycles'!$CP$10:$CV$10,1,EA44))/12,IF(EA44=1,IF(EA45&gt;=INDEX('Lease Cycles'!$DK$10:$DQ$10,1,EA44),IF(EA$6&gt;='Lease Cycles'!$AZ$10,'Lease Cycles'!$C$10*'Lease Cycles'!$BA$10/12,IF(EA$6&gt;='Lease Cycles'!$AX$10,'Lease Cycles'!$C$10*'Lease Cycles'!$AY$10/12,IF(EA$6&gt;='Lease Cycles'!$AV$10,'Lease Cycles'!$C$10*'Lease Cycles'!$AW$10/12,IF(EA$6&gt;='Lease Cycles'!$AT$10,'Lease Cycles'!$C$10*'Lease Cycles'!$AU$10/12,'Lease Cycles'!$C$10*INDEX('Lease Cycles'!$CB$10:$CH$10,1,EA44)*(1+INDEX('Lease Cycles'!$CI$10:$CO$10,1,EA44))^INT(INT(EA45/12)/INDEX('Lease Cycles'!$CP$10:$CV$10,1,EA44))/12)))),'Lease Cycles'!$C$10*INDEX('Lease Cycles'!$CB$10:$CH$10,1,EA44)*(1+INDEX('Lease Cycles'!$CI$10:$CO$10,1,EA44))^INT(INT(EA45/12)/INDEX('Lease Cycles'!$CP$10:$CV$10,1,EA44))/12),IF(INDEX('Lease Cycles'!$EF$10:$EL$10,1,EA44)=1,IF(AND('Lease Cycles'!$AZ$10&gt;=INDEX('Lease Cycles'!$BG$10:$BM$10,1,EA44),'Lease Cycles'!$AZ$10&lt;=EA$6),'Lease Cycles'!$C$10*'Lease Cycles'!$BA$10/12,IF(AND('Lease Cycles'!$AX$10&gt;=INDEX('Lease Cycles'!$BG$10:$BM$10,1,EA44),'Lease Cycles'!$AX$10&lt;=EA$6),'Lease Cycles'!$C$10*'Lease Cycles'!$AY$10/12,IF(AND('Lease Cycles'!$AV$10&gt;=INDEX('Lease Cycles'!$BG$10:$BM$10,1,EA44),'Lease Cycles'!$AV$10&lt;=EA$6),'Lease Cycles'!$C$10*'Lease Cycles'!$AW$10/12,IF(AND('Lease Cycles'!$AT$10&gt;=INDEX('Lease Cycles'!$BG$10:$BM$10,1,EA44),'Lease Cycles'!$AT$10&lt;=EA$6),'Lease Cycles'!$C$10*'Lease Cycles'!$AU$10/12,'Lease Cycles'!$C$10*INDEX('Lease Cycles'!$CB$10:$CH$10,1,EA44)*(1+INDEX('Lease Cycles'!$CI$10:$CO$10,1,EA44))^INT(INT(EA45/12)/INDEX('Lease Cycles'!$CP$10:$CV$10,1,EA44))/12)))),'Lease Cycles'!$C$10*INDEX('Lease Cycles'!$CB$10:$CH$10,1,EA44)*(1+INDEX('Lease Cycles'!$CI$10:$CO$10,1,EA44))^INT(INT(EA45/12)/INDEX('Lease Cycles'!$CP$10:$CV$10,1,EA44))/12))),IF('Lease Cycles'!$N$10=1,'Lease Cycles'!$C$10*'Lease Cycles'!$E$10*INDEX('Lease Cycles'!$HE$10:$HK$10,1,EA44)*(1+INDEX('Lease Cycles'!$GQ$10:$GW$10,1,EA44))^INT(INT((EA$6-INDEX('Lease Cycles'!$GJ$10:$GP$10,1,EA44))/12)/INDEX('Lease Cycles'!$GX$10:$HD$10,1,EA44))/12,0)))</f>
        <v>9372.603910457065</v>
      </c>
      <c r="EB47" s="28">
        <f>IF(EB44=0,IF('Lease Cycles'!$F$10&gt;0,'Lease Cycles'!$C$10*'Lease Cycles'!$E$10/12,0),IF(EB46=1,IF('Lease Cycles'!$AT$10&gt;=9999,'Lease Cycles'!$C$10*INDEX('Lease Cycles'!$CB$10:$CH$10,1,EB44)*(1+INDEX('Lease Cycles'!$CI$10:$CO$10,1,EB44))^INT(INT(EB45/12)/INDEX('Lease Cycles'!$CP$10:$CV$10,1,EB44))/12,IF(EB44=1,IF(EB45&gt;=INDEX('Lease Cycles'!$DK$10:$DQ$10,1,EB44),IF(EB$6&gt;='Lease Cycles'!$AZ$10,'Lease Cycles'!$C$10*'Lease Cycles'!$BA$10/12,IF(EB$6&gt;='Lease Cycles'!$AX$10,'Lease Cycles'!$C$10*'Lease Cycles'!$AY$10/12,IF(EB$6&gt;='Lease Cycles'!$AV$10,'Lease Cycles'!$C$10*'Lease Cycles'!$AW$10/12,IF(EB$6&gt;='Lease Cycles'!$AT$10,'Lease Cycles'!$C$10*'Lease Cycles'!$AU$10/12,'Lease Cycles'!$C$10*INDEX('Lease Cycles'!$CB$10:$CH$10,1,EB44)*(1+INDEX('Lease Cycles'!$CI$10:$CO$10,1,EB44))^INT(INT(EB45/12)/INDEX('Lease Cycles'!$CP$10:$CV$10,1,EB44))/12)))),'Lease Cycles'!$C$10*INDEX('Lease Cycles'!$CB$10:$CH$10,1,EB44)*(1+INDEX('Lease Cycles'!$CI$10:$CO$10,1,EB44))^INT(INT(EB45/12)/INDEX('Lease Cycles'!$CP$10:$CV$10,1,EB44))/12),IF(INDEX('Lease Cycles'!$EF$10:$EL$10,1,EB44)=1,IF(AND('Lease Cycles'!$AZ$10&gt;=INDEX('Lease Cycles'!$BG$10:$BM$10,1,EB44),'Lease Cycles'!$AZ$10&lt;=EB$6),'Lease Cycles'!$C$10*'Lease Cycles'!$BA$10/12,IF(AND('Lease Cycles'!$AX$10&gt;=INDEX('Lease Cycles'!$BG$10:$BM$10,1,EB44),'Lease Cycles'!$AX$10&lt;=EB$6),'Lease Cycles'!$C$10*'Lease Cycles'!$AY$10/12,IF(AND('Lease Cycles'!$AV$10&gt;=INDEX('Lease Cycles'!$BG$10:$BM$10,1,EB44),'Lease Cycles'!$AV$10&lt;=EB$6),'Lease Cycles'!$C$10*'Lease Cycles'!$AW$10/12,IF(AND('Lease Cycles'!$AT$10&gt;=INDEX('Lease Cycles'!$BG$10:$BM$10,1,EB44),'Lease Cycles'!$AT$10&lt;=EB$6),'Lease Cycles'!$C$10*'Lease Cycles'!$AU$10/12,'Lease Cycles'!$C$10*INDEX('Lease Cycles'!$CB$10:$CH$10,1,EB44)*(1+INDEX('Lease Cycles'!$CI$10:$CO$10,1,EB44))^INT(INT(EB45/12)/INDEX('Lease Cycles'!$CP$10:$CV$10,1,EB44))/12)))),'Lease Cycles'!$C$10*INDEX('Lease Cycles'!$CB$10:$CH$10,1,EB44)*(1+INDEX('Lease Cycles'!$CI$10:$CO$10,1,EB44))^INT(INT(EB45/12)/INDEX('Lease Cycles'!$CP$10:$CV$10,1,EB44))/12))),IF('Lease Cycles'!$N$10=1,'Lease Cycles'!$C$10*'Lease Cycles'!$E$10*INDEX('Lease Cycles'!$HE$10:$HK$10,1,EB44)*(1+INDEX('Lease Cycles'!$GQ$10:$GW$10,1,EB44))^INT(INT((EB$6-INDEX('Lease Cycles'!$GJ$10:$GP$10,1,EB44))/12)/INDEX('Lease Cycles'!$GX$10:$HD$10,1,EB44))/12,0)))</f>
        <v>9372.603910457065</v>
      </c>
      <c r="EC47" s="28">
        <f>IF(EC44=0,IF('Lease Cycles'!$F$10&gt;0,'Lease Cycles'!$C$10*'Lease Cycles'!$E$10/12,0),IF(EC46=1,IF('Lease Cycles'!$AT$10&gt;=9999,'Lease Cycles'!$C$10*INDEX('Lease Cycles'!$CB$10:$CH$10,1,EC44)*(1+INDEX('Lease Cycles'!$CI$10:$CO$10,1,EC44))^INT(INT(EC45/12)/INDEX('Lease Cycles'!$CP$10:$CV$10,1,EC44))/12,IF(EC44=1,IF(EC45&gt;=INDEX('Lease Cycles'!$DK$10:$DQ$10,1,EC44),IF(EC$6&gt;='Lease Cycles'!$AZ$10,'Lease Cycles'!$C$10*'Lease Cycles'!$BA$10/12,IF(EC$6&gt;='Lease Cycles'!$AX$10,'Lease Cycles'!$C$10*'Lease Cycles'!$AY$10/12,IF(EC$6&gt;='Lease Cycles'!$AV$10,'Lease Cycles'!$C$10*'Lease Cycles'!$AW$10/12,IF(EC$6&gt;='Lease Cycles'!$AT$10,'Lease Cycles'!$C$10*'Lease Cycles'!$AU$10/12,'Lease Cycles'!$C$10*INDEX('Lease Cycles'!$CB$10:$CH$10,1,EC44)*(1+INDEX('Lease Cycles'!$CI$10:$CO$10,1,EC44))^INT(INT(EC45/12)/INDEX('Lease Cycles'!$CP$10:$CV$10,1,EC44))/12)))),'Lease Cycles'!$C$10*INDEX('Lease Cycles'!$CB$10:$CH$10,1,EC44)*(1+INDEX('Lease Cycles'!$CI$10:$CO$10,1,EC44))^INT(INT(EC45/12)/INDEX('Lease Cycles'!$CP$10:$CV$10,1,EC44))/12),IF(INDEX('Lease Cycles'!$EF$10:$EL$10,1,EC44)=1,IF(AND('Lease Cycles'!$AZ$10&gt;=INDEX('Lease Cycles'!$BG$10:$BM$10,1,EC44),'Lease Cycles'!$AZ$10&lt;=EC$6),'Lease Cycles'!$C$10*'Lease Cycles'!$BA$10/12,IF(AND('Lease Cycles'!$AX$10&gt;=INDEX('Lease Cycles'!$BG$10:$BM$10,1,EC44),'Lease Cycles'!$AX$10&lt;=EC$6),'Lease Cycles'!$C$10*'Lease Cycles'!$AY$10/12,IF(AND('Lease Cycles'!$AV$10&gt;=INDEX('Lease Cycles'!$BG$10:$BM$10,1,EC44),'Lease Cycles'!$AV$10&lt;=EC$6),'Lease Cycles'!$C$10*'Lease Cycles'!$AW$10/12,IF(AND('Lease Cycles'!$AT$10&gt;=INDEX('Lease Cycles'!$BG$10:$BM$10,1,EC44),'Lease Cycles'!$AT$10&lt;=EC$6),'Lease Cycles'!$C$10*'Lease Cycles'!$AU$10/12,'Lease Cycles'!$C$10*INDEX('Lease Cycles'!$CB$10:$CH$10,1,EC44)*(1+INDEX('Lease Cycles'!$CI$10:$CO$10,1,EC44))^INT(INT(EC45/12)/INDEX('Lease Cycles'!$CP$10:$CV$10,1,EC44))/12)))),'Lease Cycles'!$C$10*INDEX('Lease Cycles'!$CB$10:$CH$10,1,EC44)*(1+INDEX('Lease Cycles'!$CI$10:$CO$10,1,EC44))^INT(INT(EC45/12)/INDEX('Lease Cycles'!$CP$10:$CV$10,1,EC44))/12))),IF('Lease Cycles'!$N$10=1,'Lease Cycles'!$C$10*'Lease Cycles'!$E$10*INDEX('Lease Cycles'!$HE$10:$HK$10,1,EC44)*(1+INDEX('Lease Cycles'!$GQ$10:$GW$10,1,EC44))^INT(INT((EC$6-INDEX('Lease Cycles'!$GJ$10:$GP$10,1,EC44))/12)/INDEX('Lease Cycles'!$GX$10:$HD$10,1,EC44))/12,0)))</f>
        <v>9372.603910457065</v>
      </c>
      <c r="ED47" s="28">
        <f>IF(ED44=0,IF('Lease Cycles'!$F$10&gt;0,'Lease Cycles'!$C$10*'Lease Cycles'!$E$10/12,0),IF(ED46=1,IF('Lease Cycles'!$AT$10&gt;=9999,'Lease Cycles'!$C$10*INDEX('Lease Cycles'!$CB$10:$CH$10,1,ED44)*(1+INDEX('Lease Cycles'!$CI$10:$CO$10,1,ED44))^INT(INT(ED45/12)/INDEX('Lease Cycles'!$CP$10:$CV$10,1,ED44))/12,IF(ED44=1,IF(ED45&gt;=INDEX('Lease Cycles'!$DK$10:$DQ$10,1,ED44),IF(ED$6&gt;='Lease Cycles'!$AZ$10,'Lease Cycles'!$C$10*'Lease Cycles'!$BA$10/12,IF(ED$6&gt;='Lease Cycles'!$AX$10,'Lease Cycles'!$C$10*'Lease Cycles'!$AY$10/12,IF(ED$6&gt;='Lease Cycles'!$AV$10,'Lease Cycles'!$C$10*'Lease Cycles'!$AW$10/12,IF(ED$6&gt;='Lease Cycles'!$AT$10,'Lease Cycles'!$C$10*'Lease Cycles'!$AU$10/12,'Lease Cycles'!$C$10*INDEX('Lease Cycles'!$CB$10:$CH$10,1,ED44)*(1+INDEX('Lease Cycles'!$CI$10:$CO$10,1,ED44))^INT(INT(ED45/12)/INDEX('Lease Cycles'!$CP$10:$CV$10,1,ED44))/12)))),'Lease Cycles'!$C$10*INDEX('Lease Cycles'!$CB$10:$CH$10,1,ED44)*(1+INDEX('Lease Cycles'!$CI$10:$CO$10,1,ED44))^INT(INT(ED45/12)/INDEX('Lease Cycles'!$CP$10:$CV$10,1,ED44))/12),IF(INDEX('Lease Cycles'!$EF$10:$EL$10,1,ED44)=1,IF(AND('Lease Cycles'!$AZ$10&gt;=INDEX('Lease Cycles'!$BG$10:$BM$10,1,ED44),'Lease Cycles'!$AZ$10&lt;=ED$6),'Lease Cycles'!$C$10*'Lease Cycles'!$BA$10/12,IF(AND('Lease Cycles'!$AX$10&gt;=INDEX('Lease Cycles'!$BG$10:$BM$10,1,ED44),'Lease Cycles'!$AX$10&lt;=ED$6),'Lease Cycles'!$C$10*'Lease Cycles'!$AY$10/12,IF(AND('Lease Cycles'!$AV$10&gt;=INDEX('Lease Cycles'!$BG$10:$BM$10,1,ED44),'Lease Cycles'!$AV$10&lt;=ED$6),'Lease Cycles'!$C$10*'Lease Cycles'!$AW$10/12,IF(AND('Lease Cycles'!$AT$10&gt;=INDEX('Lease Cycles'!$BG$10:$BM$10,1,ED44),'Lease Cycles'!$AT$10&lt;=ED$6),'Lease Cycles'!$C$10*'Lease Cycles'!$AU$10/12,'Lease Cycles'!$C$10*INDEX('Lease Cycles'!$CB$10:$CH$10,1,ED44)*(1+INDEX('Lease Cycles'!$CI$10:$CO$10,1,ED44))^INT(INT(ED45/12)/INDEX('Lease Cycles'!$CP$10:$CV$10,1,ED44))/12)))),'Lease Cycles'!$C$10*INDEX('Lease Cycles'!$CB$10:$CH$10,1,ED44)*(1+INDEX('Lease Cycles'!$CI$10:$CO$10,1,ED44))^INT(INT(ED45/12)/INDEX('Lease Cycles'!$CP$10:$CV$10,1,ED44))/12))),IF('Lease Cycles'!$N$10=1,'Lease Cycles'!$C$10*'Lease Cycles'!$E$10*INDEX('Lease Cycles'!$HE$10:$HK$10,1,ED44)*(1+INDEX('Lease Cycles'!$GQ$10:$GW$10,1,ED44))^INT(INT((ED$6-INDEX('Lease Cycles'!$GJ$10:$GP$10,1,ED44))/12)/INDEX('Lease Cycles'!$GX$10:$HD$10,1,ED44))/12,0)))</f>
        <v>9372.603910457065</v>
      </c>
      <c r="EE47" s="28">
        <f>IF(EE44=0,IF('Lease Cycles'!$F$10&gt;0,'Lease Cycles'!$C$10*'Lease Cycles'!$E$10/12,0),IF(EE46=1,IF('Lease Cycles'!$AT$10&gt;=9999,'Lease Cycles'!$C$10*INDEX('Lease Cycles'!$CB$10:$CH$10,1,EE44)*(1+INDEX('Lease Cycles'!$CI$10:$CO$10,1,EE44))^INT(INT(EE45/12)/INDEX('Lease Cycles'!$CP$10:$CV$10,1,EE44))/12,IF(EE44=1,IF(EE45&gt;=INDEX('Lease Cycles'!$DK$10:$DQ$10,1,EE44),IF(EE$6&gt;='Lease Cycles'!$AZ$10,'Lease Cycles'!$C$10*'Lease Cycles'!$BA$10/12,IF(EE$6&gt;='Lease Cycles'!$AX$10,'Lease Cycles'!$C$10*'Lease Cycles'!$AY$10/12,IF(EE$6&gt;='Lease Cycles'!$AV$10,'Lease Cycles'!$C$10*'Lease Cycles'!$AW$10/12,IF(EE$6&gt;='Lease Cycles'!$AT$10,'Lease Cycles'!$C$10*'Lease Cycles'!$AU$10/12,'Lease Cycles'!$C$10*INDEX('Lease Cycles'!$CB$10:$CH$10,1,EE44)*(1+INDEX('Lease Cycles'!$CI$10:$CO$10,1,EE44))^INT(INT(EE45/12)/INDEX('Lease Cycles'!$CP$10:$CV$10,1,EE44))/12)))),'Lease Cycles'!$C$10*INDEX('Lease Cycles'!$CB$10:$CH$10,1,EE44)*(1+INDEX('Lease Cycles'!$CI$10:$CO$10,1,EE44))^INT(INT(EE45/12)/INDEX('Lease Cycles'!$CP$10:$CV$10,1,EE44))/12),IF(INDEX('Lease Cycles'!$EF$10:$EL$10,1,EE44)=1,IF(AND('Lease Cycles'!$AZ$10&gt;=INDEX('Lease Cycles'!$BG$10:$BM$10,1,EE44),'Lease Cycles'!$AZ$10&lt;=EE$6),'Lease Cycles'!$C$10*'Lease Cycles'!$BA$10/12,IF(AND('Lease Cycles'!$AX$10&gt;=INDEX('Lease Cycles'!$BG$10:$BM$10,1,EE44),'Lease Cycles'!$AX$10&lt;=EE$6),'Lease Cycles'!$C$10*'Lease Cycles'!$AY$10/12,IF(AND('Lease Cycles'!$AV$10&gt;=INDEX('Lease Cycles'!$BG$10:$BM$10,1,EE44),'Lease Cycles'!$AV$10&lt;=EE$6),'Lease Cycles'!$C$10*'Lease Cycles'!$AW$10/12,IF(AND('Lease Cycles'!$AT$10&gt;=INDEX('Lease Cycles'!$BG$10:$BM$10,1,EE44),'Lease Cycles'!$AT$10&lt;=EE$6),'Lease Cycles'!$C$10*'Lease Cycles'!$AU$10/12,'Lease Cycles'!$C$10*INDEX('Lease Cycles'!$CB$10:$CH$10,1,EE44)*(1+INDEX('Lease Cycles'!$CI$10:$CO$10,1,EE44))^INT(INT(EE45/12)/INDEX('Lease Cycles'!$CP$10:$CV$10,1,EE44))/12)))),'Lease Cycles'!$C$10*INDEX('Lease Cycles'!$CB$10:$CH$10,1,EE44)*(1+INDEX('Lease Cycles'!$CI$10:$CO$10,1,EE44))^INT(INT(EE45/12)/INDEX('Lease Cycles'!$CP$10:$CV$10,1,EE44))/12))),IF('Lease Cycles'!$N$10=1,'Lease Cycles'!$C$10*'Lease Cycles'!$E$10*INDEX('Lease Cycles'!$HE$10:$HK$10,1,EE44)*(1+INDEX('Lease Cycles'!$GQ$10:$GW$10,1,EE44))^INT(INT((EE$6-INDEX('Lease Cycles'!$GJ$10:$GP$10,1,EE44))/12)/INDEX('Lease Cycles'!$GX$10:$HD$10,1,EE44))/12,0)))</f>
        <v>9372.603910457065</v>
      </c>
      <c r="EF47" s="28">
        <f>IF(EF44=0,IF('Lease Cycles'!$F$10&gt;0,'Lease Cycles'!$C$10*'Lease Cycles'!$E$10/12,0),IF(EF46=1,IF('Lease Cycles'!$AT$10&gt;=9999,'Lease Cycles'!$C$10*INDEX('Lease Cycles'!$CB$10:$CH$10,1,EF44)*(1+INDEX('Lease Cycles'!$CI$10:$CO$10,1,EF44))^INT(INT(EF45/12)/INDEX('Lease Cycles'!$CP$10:$CV$10,1,EF44))/12,IF(EF44=1,IF(EF45&gt;=INDEX('Lease Cycles'!$DK$10:$DQ$10,1,EF44),IF(EF$6&gt;='Lease Cycles'!$AZ$10,'Lease Cycles'!$C$10*'Lease Cycles'!$BA$10/12,IF(EF$6&gt;='Lease Cycles'!$AX$10,'Lease Cycles'!$C$10*'Lease Cycles'!$AY$10/12,IF(EF$6&gt;='Lease Cycles'!$AV$10,'Lease Cycles'!$C$10*'Lease Cycles'!$AW$10/12,IF(EF$6&gt;='Lease Cycles'!$AT$10,'Lease Cycles'!$C$10*'Lease Cycles'!$AU$10/12,'Lease Cycles'!$C$10*INDEX('Lease Cycles'!$CB$10:$CH$10,1,EF44)*(1+INDEX('Lease Cycles'!$CI$10:$CO$10,1,EF44))^INT(INT(EF45/12)/INDEX('Lease Cycles'!$CP$10:$CV$10,1,EF44))/12)))),'Lease Cycles'!$C$10*INDEX('Lease Cycles'!$CB$10:$CH$10,1,EF44)*(1+INDEX('Lease Cycles'!$CI$10:$CO$10,1,EF44))^INT(INT(EF45/12)/INDEX('Lease Cycles'!$CP$10:$CV$10,1,EF44))/12),IF(INDEX('Lease Cycles'!$EF$10:$EL$10,1,EF44)=1,IF(AND('Lease Cycles'!$AZ$10&gt;=INDEX('Lease Cycles'!$BG$10:$BM$10,1,EF44),'Lease Cycles'!$AZ$10&lt;=EF$6),'Lease Cycles'!$C$10*'Lease Cycles'!$BA$10/12,IF(AND('Lease Cycles'!$AX$10&gt;=INDEX('Lease Cycles'!$BG$10:$BM$10,1,EF44),'Lease Cycles'!$AX$10&lt;=EF$6),'Lease Cycles'!$C$10*'Lease Cycles'!$AY$10/12,IF(AND('Lease Cycles'!$AV$10&gt;=INDEX('Lease Cycles'!$BG$10:$BM$10,1,EF44),'Lease Cycles'!$AV$10&lt;=EF$6),'Lease Cycles'!$C$10*'Lease Cycles'!$AW$10/12,IF(AND('Lease Cycles'!$AT$10&gt;=INDEX('Lease Cycles'!$BG$10:$BM$10,1,EF44),'Lease Cycles'!$AT$10&lt;=EF$6),'Lease Cycles'!$C$10*'Lease Cycles'!$AU$10/12,'Lease Cycles'!$C$10*INDEX('Lease Cycles'!$CB$10:$CH$10,1,EF44)*(1+INDEX('Lease Cycles'!$CI$10:$CO$10,1,EF44))^INT(INT(EF45/12)/INDEX('Lease Cycles'!$CP$10:$CV$10,1,EF44))/12)))),'Lease Cycles'!$C$10*INDEX('Lease Cycles'!$CB$10:$CH$10,1,EF44)*(1+INDEX('Lease Cycles'!$CI$10:$CO$10,1,EF44))^INT(INT(EF45/12)/INDEX('Lease Cycles'!$CP$10:$CV$10,1,EF44))/12))),IF('Lease Cycles'!$N$10=1,'Lease Cycles'!$C$10*'Lease Cycles'!$E$10*INDEX('Lease Cycles'!$HE$10:$HK$10,1,EF44)*(1+INDEX('Lease Cycles'!$GQ$10:$GW$10,1,EF44))^INT(INT((EF$6-INDEX('Lease Cycles'!$GJ$10:$GP$10,1,EF44))/12)/INDEX('Lease Cycles'!$GX$10:$HD$10,1,EF44))/12,0)))</f>
        <v>9372.603910457065</v>
      </c>
      <c r="EG47" s="28">
        <f>IF(EG44=0,IF('Lease Cycles'!$F$10&gt;0,'Lease Cycles'!$C$10*'Lease Cycles'!$E$10/12,0),IF(EG46=1,IF('Lease Cycles'!$AT$10&gt;=9999,'Lease Cycles'!$C$10*INDEX('Lease Cycles'!$CB$10:$CH$10,1,EG44)*(1+INDEX('Lease Cycles'!$CI$10:$CO$10,1,EG44))^INT(INT(EG45/12)/INDEX('Lease Cycles'!$CP$10:$CV$10,1,EG44))/12,IF(EG44=1,IF(EG45&gt;=INDEX('Lease Cycles'!$DK$10:$DQ$10,1,EG44),IF(EG$6&gt;='Lease Cycles'!$AZ$10,'Lease Cycles'!$C$10*'Lease Cycles'!$BA$10/12,IF(EG$6&gt;='Lease Cycles'!$AX$10,'Lease Cycles'!$C$10*'Lease Cycles'!$AY$10/12,IF(EG$6&gt;='Lease Cycles'!$AV$10,'Lease Cycles'!$C$10*'Lease Cycles'!$AW$10/12,IF(EG$6&gt;='Lease Cycles'!$AT$10,'Lease Cycles'!$C$10*'Lease Cycles'!$AU$10/12,'Lease Cycles'!$C$10*INDEX('Lease Cycles'!$CB$10:$CH$10,1,EG44)*(1+INDEX('Lease Cycles'!$CI$10:$CO$10,1,EG44))^INT(INT(EG45/12)/INDEX('Lease Cycles'!$CP$10:$CV$10,1,EG44))/12)))),'Lease Cycles'!$C$10*INDEX('Lease Cycles'!$CB$10:$CH$10,1,EG44)*(1+INDEX('Lease Cycles'!$CI$10:$CO$10,1,EG44))^INT(INT(EG45/12)/INDEX('Lease Cycles'!$CP$10:$CV$10,1,EG44))/12),IF(INDEX('Lease Cycles'!$EF$10:$EL$10,1,EG44)=1,IF(AND('Lease Cycles'!$AZ$10&gt;=INDEX('Lease Cycles'!$BG$10:$BM$10,1,EG44),'Lease Cycles'!$AZ$10&lt;=EG$6),'Lease Cycles'!$C$10*'Lease Cycles'!$BA$10/12,IF(AND('Lease Cycles'!$AX$10&gt;=INDEX('Lease Cycles'!$BG$10:$BM$10,1,EG44),'Lease Cycles'!$AX$10&lt;=EG$6),'Lease Cycles'!$C$10*'Lease Cycles'!$AY$10/12,IF(AND('Lease Cycles'!$AV$10&gt;=INDEX('Lease Cycles'!$BG$10:$BM$10,1,EG44),'Lease Cycles'!$AV$10&lt;=EG$6),'Lease Cycles'!$C$10*'Lease Cycles'!$AW$10/12,IF(AND('Lease Cycles'!$AT$10&gt;=INDEX('Lease Cycles'!$BG$10:$BM$10,1,EG44),'Lease Cycles'!$AT$10&lt;=EG$6),'Lease Cycles'!$C$10*'Lease Cycles'!$AU$10/12,'Lease Cycles'!$C$10*INDEX('Lease Cycles'!$CB$10:$CH$10,1,EG44)*(1+INDEX('Lease Cycles'!$CI$10:$CO$10,1,EG44))^INT(INT(EG45/12)/INDEX('Lease Cycles'!$CP$10:$CV$10,1,EG44))/12)))),'Lease Cycles'!$C$10*INDEX('Lease Cycles'!$CB$10:$CH$10,1,EG44)*(1+INDEX('Lease Cycles'!$CI$10:$CO$10,1,EG44))^INT(INT(EG45/12)/INDEX('Lease Cycles'!$CP$10:$CV$10,1,EG44))/12))),IF('Lease Cycles'!$N$10=1,'Lease Cycles'!$C$10*'Lease Cycles'!$E$10*INDEX('Lease Cycles'!$HE$10:$HK$10,1,EG44)*(1+INDEX('Lease Cycles'!$GQ$10:$GW$10,1,EG44))^INT(INT((EG$6-INDEX('Lease Cycles'!$GJ$10:$GP$10,1,EG44))/12)/INDEX('Lease Cycles'!$GX$10:$HD$10,1,EG44))/12,0)))</f>
        <v>9372.603910457065</v>
      </c>
      <c r="EH47" s="28">
        <f>IF(EH44=0,IF('Lease Cycles'!$F$10&gt;0,'Lease Cycles'!$C$10*'Lease Cycles'!$E$10/12,0),IF(EH46=1,IF('Lease Cycles'!$AT$10&gt;=9999,'Lease Cycles'!$C$10*INDEX('Lease Cycles'!$CB$10:$CH$10,1,EH44)*(1+INDEX('Lease Cycles'!$CI$10:$CO$10,1,EH44))^INT(INT(EH45/12)/INDEX('Lease Cycles'!$CP$10:$CV$10,1,EH44))/12,IF(EH44=1,IF(EH45&gt;=INDEX('Lease Cycles'!$DK$10:$DQ$10,1,EH44),IF(EH$6&gt;='Lease Cycles'!$AZ$10,'Lease Cycles'!$C$10*'Lease Cycles'!$BA$10/12,IF(EH$6&gt;='Lease Cycles'!$AX$10,'Lease Cycles'!$C$10*'Lease Cycles'!$AY$10/12,IF(EH$6&gt;='Lease Cycles'!$AV$10,'Lease Cycles'!$C$10*'Lease Cycles'!$AW$10/12,IF(EH$6&gt;='Lease Cycles'!$AT$10,'Lease Cycles'!$C$10*'Lease Cycles'!$AU$10/12,'Lease Cycles'!$C$10*INDEX('Lease Cycles'!$CB$10:$CH$10,1,EH44)*(1+INDEX('Lease Cycles'!$CI$10:$CO$10,1,EH44))^INT(INT(EH45/12)/INDEX('Lease Cycles'!$CP$10:$CV$10,1,EH44))/12)))),'Lease Cycles'!$C$10*INDEX('Lease Cycles'!$CB$10:$CH$10,1,EH44)*(1+INDEX('Lease Cycles'!$CI$10:$CO$10,1,EH44))^INT(INT(EH45/12)/INDEX('Lease Cycles'!$CP$10:$CV$10,1,EH44))/12),IF(INDEX('Lease Cycles'!$EF$10:$EL$10,1,EH44)=1,IF(AND('Lease Cycles'!$AZ$10&gt;=INDEX('Lease Cycles'!$BG$10:$BM$10,1,EH44),'Lease Cycles'!$AZ$10&lt;=EH$6),'Lease Cycles'!$C$10*'Lease Cycles'!$BA$10/12,IF(AND('Lease Cycles'!$AX$10&gt;=INDEX('Lease Cycles'!$BG$10:$BM$10,1,EH44),'Lease Cycles'!$AX$10&lt;=EH$6),'Lease Cycles'!$C$10*'Lease Cycles'!$AY$10/12,IF(AND('Lease Cycles'!$AV$10&gt;=INDEX('Lease Cycles'!$BG$10:$BM$10,1,EH44),'Lease Cycles'!$AV$10&lt;=EH$6),'Lease Cycles'!$C$10*'Lease Cycles'!$AW$10/12,IF(AND('Lease Cycles'!$AT$10&gt;=INDEX('Lease Cycles'!$BG$10:$BM$10,1,EH44),'Lease Cycles'!$AT$10&lt;=EH$6),'Lease Cycles'!$C$10*'Lease Cycles'!$AU$10/12,'Lease Cycles'!$C$10*INDEX('Lease Cycles'!$CB$10:$CH$10,1,EH44)*(1+INDEX('Lease Cycles'!$CI$10:$CO$10,1,EH44))^INT(INT(EH45/12)/INDEX('Lease Cycles'!$CP$10:$CV$10,1,EH44))/12)))),'Lease Cycles'!$C$10*INDEX('Lease Cycles'!$CB$10:$CH$10,1,EH44)*(1+INDEX('Lease Cycles'!$CI$10:$CO$10,1,EH44))^INT(INT(EH45/12)/INDEX('Lease Cycles'!$CP$10:$CV$10,1,EH44))/12))),IF('Lease Cycles'!$N$10=1,'Lease Cycles'!$C$10*'Lease Cycles'!$E$10*INDEX('Lease Cycles'!$HE$10:$HK$10,1,EH44)*(1+INDEX('Lease Cycles'!$GQ$10:$GW$10,1,EH44))^INT(INT((EH$6-INDEX('Lease Cycles'!$GJ$10:$GP$10,1,EH44))/12)/INDEX('Lease Cycles'!$GX$10:$HD$10,1,EH44))/12,0)))</f>
        <v>9372.603910457065</v>
      </c>
      <c r="EI47" s="28">
        <f>IF(EI44=0,IF('Lease Cycles'!$F$10&gt;0,'Lease Cycles'!$C$10*'Lease Cycles'!$E$10/12,0),IF(EI46=1,IF('Lease Cycles'!$AT$10&gt;=9999,'Lease Cycles'!$C$10*INDEX('Lease Cycles'!$CB$10:$CH$10,1,EI44)*(1+INDEX('Lease Cycles'!$CI$10:$CO$10,1,EI44))^INT(INT(EI45/12)/INDEX('Lease Cycles'!$CP$10:$CV$10,1,EI44))/12,IF(EI44=1,IF(EI45&gt;=INDEX('Lease Cycles'!$DK$10:$DQ$10,1,EI44),IF(EI$6&gt;='Lease Cycles'!$AZ$10,'Lease Cycles'!$C$10*'Lease Cycles'!$BA$10/12,IF(EI$6&gt;='Lease Cycles'!$AX$10,'Lease Cycles'!$C$10*'Lease Cycles'!$AY$10/12,IF(EI$6&gt;='Lease Cycles'!$AV$10,'Lease Cycles'!$C$10*'Lease Cycles'!$AW$10/12,IF(EI$6&gt;='Lease Cycles'!$AT$10,'Lease Cycles'!$C$10*'Lease Cycles'!$AU$10/12,'Lease Cycles'!$C$10*INDEX('Lease Cycles'!$CB$10:$CH$10,1,EI44)*(1+INDEX('Lease Cycles'!$CI$10:$CO$10,1,EI44))^INT(INT(EI45/12)/INDEX('Lease Cycles'!$CP$10:$CV$10,1,EI44))/12)))),'Lease Cycles'!$C$10*INDEX('Lease Cycles'!$CB$10:$CH$10,1,EI44)*(1+INDEX('Lease Cycles'!$CI$10:$CO$10,1,EI44))^INT(INT(EI45/12)/INDEX('Lease Cycles'!$CP$10:$CV$10,1,EI44))/12),IF(INDEX('Lease Cycles'!$EF$10:$EL$10,1,EI44)=1,IF(AND('Lease Cycles'!$AZ$10&gt;=INDEX('Lease Cycles'!$BG$10:$BM$10,1,EI44),'Lease Cycles'!$AZ$10&lt;=EI$6),'Lease Cycles'!$C$10*'Lease Cycles'!$BA$10/12,IF(AND('Lease Cycles'!$AX$10&gt;=INDEX('Lease Cycles'!$BG$10:$BM$10,1,EI44),'Lease Cycles'!$AX$10&lt;=EI$6),'Lease Cycles'!$C$10*'Lease Cycles'!$AY$10/12,IF(AND('Lease Cycles'!$AV$10&gt;=INDEX('Lease Cycles'!$BG$10:$BM$10,1,EI44),'Lease Cycles'!$AV$10&lt;=EI$6),'Lease Cycles'!$C$10*'Lease Cycles'!$AW$10/12,IF(AND('Lease Cycles'!$AT$10&gt;=INDEX('Lease Cycles'!$BG$10:$BM$10,1,EI44),'Lease Cycles'!$AT$10&lt;=EI$6),'Lease Cycles'!$C$10*'Lease Cycles'!$AU$10/12,'Lease Cycles'!$C$10*INDEX('Lease Cycles'!$CB$10:$CH$10,1,EI44)*(1+INDEX('Lease Cycles'!$CI$10:$CO$10,1,EI44))^INT(INT(EI45/12)/INDEX('Lease Cycles'!$CP$10:$CV$10,1,EI44))/12)))),'Lease Cycles'!$C$10*INDEX('Lease Cycles'!$CB$10:$CH$10,1,EI44)*(1+INDEX('Lease Cycles'!$CI$10:$CO$10,1,EI44))^INT(INT(EI45/12)/INDEX('Lease Cycles'!$CP$10:$CV$10,1,EI44))/12))),IF('Lease Cycles'!$N$10=1,'Lease Cycles'!$C$10*'Lease Cycles'!$E$10*INDEX('Lease Cycles'!$HE$10:$HK$10,1,EI44)*(1+INDEX('Lease Cycles'!$GQ$10:$GW$10,1,EI44))^INT(INT((EI$6-INDEX('Lease Cycles'!$GJ$10:$GP$10,1,EI44))/12)/INDEX('Lease Cycles'!$GX$10:$HD$10,1,EI44))/12,0)))</f>
        <v>9372.603910457065</v>
      </c>
      <c r="EJ47" s="28">
        <f>IF(EJ44=0,IF('Lease Cycles'!$F$10&gt;0,'Lease Cycles'!$C$10*'Lease Cycles'!$E$10/12,0),IF(EJ46=1,IF('Lease Cycles'!$AT$10&gt;=9999,'Lease Cycles'!$C$10*INDEX('Lease Cycles'!$CB$10:$CH$10,1,EJ44)*(1+INDEX('Lease Cycles'!$CI$10:$CO$10,1,EJ44))^INT(INT(EJ45/12)/INDEX('Lease Cycles'!$CP$10:$CV$10,1,EJ44))/12,IF(EJ44=1,IF(EJ45&gt;=INDEX('Lease Cycles'!$DK$10:$DQ$10,1,EJ44),IF(EJ$6&gt;='Lease Cycles'!$AZ$10,'Lease Cycles'!$C$10*'Lease Cycles'!$BA$10/12,IF(EJ$6&gt;='Lease Cycles'!$AX$10,'Lease Cycles'!$C$10*'Lease Cycles'!$AY$10/12,IF(EJ$6&gt;='Lease Cycles'!$AV$10,'Lease Cycles'!$C$10*'Lease Cycles'!$AW$10/12,IF(EJ$6&gt;='Lease Cycles'!$AT$10,'Lease Cycles'!$C$10*'Lease Cycles'!$AU$10/12,'Lease Cycles'!$C$10*INDEX('Lease Cycles'!$CB$10:$CH$10,1,EJ44)*(1+INDEX('Lease Cycles'!$CI$10:$CO$10,1,EJ44))^INT(INT(EJ45/12)/INDEX('Lease Cycles'!$CP$10:$CV$10,1,EJ44))/12)))),'Lease Cycles'!$C$10*INDEX('Lease Cycles'!$CB$10:$CH$10,1,EJ44)*(1+INDEX('Lease Cycles'!$CI$10:$CO$10,1,EJ44))^INT(INT(EJ45/12)/INDEX('Lease Cycles'!$CP$10:$CV$10,1,EJ44))/12),IF(INDEX('Lease Cycles'!$EF$10:$EL$10,1,EJ44)=1,IF(AND('Lease Cycles'!$AZ$10&gt;=INDEX('Lease Cycles'!$BG$10:$BM$10,1,EJ44),'Lease Cycles'!$AZ$10&lt;=EJ$6),'Lease Cycles'!$C$10*'Lease Cycles'!$BA$10/12,IF(AND('Lease Cycles'!$AX$10&gt;=INDEX('Lease Cycles'!$BG$10:$BM$10,1,EJ44),'Lease Cycles'!$AX$10&lt;=EJ$6),'Lease Cycles'!$C$10*'Lease Cycles'!$AY$10/12,IF(AND('Lease Cycles'!$AV$10&gt;=INDEX('Lease Cycles'!$BG$10:$BM$10,1,EJ44),'Lease Cycles'!$AV$10&lt;=EJ$6),'Lease Cycles'!$C$10*'Lease Cycles'!$AW$10/12,IF(AND('Lease Cycles'!$AT$10&gt;=INDEX('Lease Cycles'!$BG$10:$BM$10,1,EJ44),'Lease Cycles'!$AT$10&lt;=EJ$6),'Lease Cycles'!$C$10*'Lease Cycles'!$AU$10/12,'Lease Cycles'!$C$10*INDEX('Lease Cycles'!$CB$10:$CH$10,1,EJ44)*(1+INDEX('Lease Cycles'!$CI$10:$CO$10,1,EJ44))^INT(INT(EJ45/12)/INDEX('Lease Cycles'!$CP$10:$CV$10,1,EJ44))/12)))),'Lease Cycles'!$C$10*INDEX('Lease Cycles'!$CB$10:$CH$10,1,EJ44)*(1+INDEX('Lease Cycles'!$CI$10:$CO$10,1,EJ44))^INT(INT(EJ45/12)/INDEX('Lease Cycles'!$CP$10:$CV$10,1,EJ44))/12))),IF('Lease Cycles'!$N$10=1,'Lease Cycles'!$C$10*'Lease Cycles'!$E$10*INDEX('Lease Cycles'!$HE$10:$HK$10,1,EJ44)*(1+INDEX('Lease Cycles'!$GQ$10:$GW$10,1,EJ44))^INT(INT((EJ$6-INDEX('Lease Cycles'!$GJ$10:$GP$10,1,EJ44))/12)/INDEX('Lease Cycles'!$GX$10:$HD$10,1,EJ44))/12,0)))</f>
        <v>10309.864301502772</v>
      </c>
      <c r="EK47" s="28">
        <f>IF(EK44=0,IF('Lease Cycles'!$F$10&gt;0,'Lease Cycles'!$C$10*'Lease Cycles'!$E$10/12,0),IF(EK46=1,IF('Lease Cycles'!$AT$10&gt;=9999,'Lease Cycles'!$C$10*INDEX('Lease Cycles'!$CB$10:$CH$10,1,EK44)*(1+INDEX('Lease Cycles'!$CI$10:$CO$10,1,EK44))^INT(INT(EK45/12)/INDEX('Lease Cycles'!$CP$10:$CV$10,1,EK44))/12,IF(EK44=1,IF(EK45&gt;=INDEX('Lease Cycles'!$DK$10:$DQ$10,1,EK44),IF(EK$6&gt;='Lease Cycles'!$AZ$10,'Lease Cycles'!$C$10*'Lease Cycles'!$BA$10/12,IF(EK$6&gt;='Lease Cycles'!$AX$10,'Lease Cycles'!$C$10*'Lease Cycles'!$AY$10/12,IF(EK$6&gt;='Lease Cycles'!$AV$10,'Lease Cycles'!$C$10*'Lease Cycles'!$AW$10/12,IF(EK$6&gt;='Lease Cycles'!$AT$10,'Lease Cycles'!$C$10*'Lease Cycles'!$AU$10/12,'Lease Cycles'!$C$10*INDEX('Lease Cycles'!$CB$10:$CH$10,1,EK44)*(1+INDEX('Lease Cycles'!$CI$10:$CO$10,1,EK44))^INT(INT(EK45/12)/INDEX('Lease Cycles'!$CP$10:$CV$10,1,EK44))/12)))),'Lease Cycles'!$C$10*INDEX('Lease Cycles'!$CB$10:$CH$10,1,EK44)*(1+INDEX('Lease Cycles'!$CI$10:$CO$10,1,EK44))^INT(INT(EK45/12)/INDEX('Lease Cycles'!$CP$10:$CV$10,1,EK44))/12),IF(INDEX('Lease Cycles'!$EF$10:$EL$10,1,EK44)=1,IF(AND('Lease Cycles'!$AZ$10&gt;=INDEX('Lease Cycles'!$BG$10:$BM$10,1,EK44),'Lease Cycles'!$AZ$10&lt;=EK$6),'Lease Cycles'!$C$10*'Lease Cycles'!$BA$10/12,IF(AND('Lease Cycles'!$AX$10&gt;=INDEX('Lease Cycles'!$BG$10:$BM$10,1,EK44),'Lease Cycles'!$AX$10&lt;=EK$6),'Lease Cycles'!$C$10*'Lease Cycles'!$AY$10/12,IF(AND('Lease Cycles'!$AV$10&gt;=INDEX('Lease Cycles'!$BG$10:$BM$10,1,EK44),'Lease Cycles'!$AV$10&lt;=EK$6),'Lease Cycles'!$C$10*'Lease Cycles'!$AW$10/12,IF(AND('Lease Cycles'!$AT$10&gt;=INDEX('Lease Cycles'!$BG$10:$BM$10,1,EK44),'Lease Cycles'!$AT$10&lt;=EK$6),'Lease Cycles'!$C$10*'Lease Cycles'!$AU$10/12,'Lease Cycles'!$C$10*INDEX('Lease Cycles'!$CB$10:$CH$10,1,EK44)*(1+INDEX('Lease Cycles'!$CI$10:$CO$10,1,EK44))^INT(INT(EK45/12)/INDEX('Lease Cycles'!$CP$10:$CV$10,1,EK44))/12)))),'Lease Cycles'!$C$10*INDEX('Lease Cycles'!$CB$10:$CH$10,1,EK44)*(1+INDEX('Lease Cycles'!$CI$10:$CO$10,1,EK44))^INT(INT(EK45/12)/INDEX('Lease Cycles'!$CP$10:$CV$10,1,EK44))/12))),IF('Lease Cycles'!$N$10=1,'Lease Cycles'!$C$10*'Lease Cycles'!$E$10*INDEX('Lease Cycles'!$HE$10:$HK$10,1,EK44)*(1+INDEX('Lease Cycles'!$GQ$10:$GW$10,1,EK44))^INT(INT((EK$6-INDEX('Lease Cycles'!$GJ$10:$GP$10,1,EK44))/12)/INDEX('Lease Cycles'!$GX$10:$HD$10,1,EK44))/12,0)))</f>
        <v>10309.864301502772</v>
      </c>
      <c r="EL47" s="28">
        <f>IF(EL44=0,IF('Lease Cycles'!$F$10&gt;0,'Lease Cycles'!$C$10*'Lease Cycles'!$E$10/12,0),IF(EL46=1,IF('Lease Cycles'!$AT$10&gt;=9999,'Lease Cycles'!$C$10*INDEX('Lease Cycles'!$CB$10:$CH$10,1,EL44)*(1+INDEX('Lease Cycles'!$CI$10:$CO$10,1,EL44))^INT(INT(EL45/12)/INDEX('Lease Cycles'!$CP$10:$CV$10,1,EL44))/12,IF(EL44=1,IF(EL45&gt;=INDEX('Lease Cycles'!$DK$10:$DQ$10,1,EL44),IF(EL$6&gt;='Lease Cycles'!$AZ$10,'Lease Cycles'!$C$10*'Lease Cycles'!$BA$10/12,IF(EL$6&gt;='Lease Cycles'!$AX$10,'Lease Cycles'!$C$10*'Lease Cycles'!$AY$10/12,IF(EL$6&gt;='Lease Cycles'!$AV$10,'Lease Cycles'!$C$10*'Lease Cycles'!$AW$10/12,IF(EL$6&gt;='Lease Cycles'!$AT$10,'Lease Cycles'!$C$10*'Lease Cycles'!$AU$10/12,'Lease Cycles'!$C$10*INDEX('Lease Cycles'!$CB$10:$CH$10,1,EL44)*(1+INDEX('Lease Cycles'!$CI$10:$CO$10,1,EL44))^INT(INT(EL45/12)/INDEX('Lease Cycles'!$CP$10:$CV$10,1,EL44))/12)))),'Lease Cycles'!$C$10*INDEX('Lease Cycles'!$CB$10:$CH$10,1,EL44)*(1+INDEX('Lease Cycles'!$CI$10:$CO$10,1,EL44))^INT(INT(EL45/12)/INDEX('Lease Cycles'!$CP$10:$CV$10,1,EL44))/12),IF(INDEX('Lease Cycles'!$EF$10:$EL$10,1,EL44)=1,IF(AND('Lease Cycles'!$AZ$10&gt;=INDEX('Lease Cycles'!$BG$10:$BM$10,1,EL44),'Lease Cycles'!$AZ$10&lt;=EL$6),'Lease Cycles'!$C$10*'Lease Cycles'!$BA$10/12,IF(AND('Lease Cycles'!$AX$10&gt;=INDEX('Lease Cycles'!$BG$10:$BM$10,1,EL44),'Lease Cycles'!$AX$10&lt;=EL$6),'Lease Cycles'!$C$10*'Lease Cycles'!$AY$10/12,IF(AND('Lease Cycles'!$AV$10&gt;=INDEX('Lease Cycles'!$BG$10:$BM$10,1,EL44),'Lease Cycles'!$AV$10&lt;=EL$6),'Lease Cycles'!$C$10*'Lease Cycles'!$AW$10/12,IF(AND('Lease Cycles'!$AT$10&gt;=INDEX('Lease Cycles'!$BG$10:$BM$10,1,EL44),'Lease Cycles'!$AT$10&lt;=EL$6),'Lease Cycles'!$C$10*'Lease Cycles'!$AU$10/12,'Lease Cycles'!$C$10*INDEX('Lease Cycles'!$CB$10:$CH$10,1,EL44)*(1+INDEX('Lease Cycles'!$CI$10:$CO$10,1,EL44))^INT(INT(EL45/12)/INDEX('Lease Cycles'!$CP$10:$CV$10,1,EL44))/12)))),'Lease Cycles'!$C$10*INDEX('Lease Cycles'!$CB$10:$CH$10,1,EL44)*(1+INDEX('Lease Cycles'!$CI$10:$CO$10,1,EL44))^INT(INT(EL45/12)/INDEX('Lease Cycles'!$CP$10:$CV$10,1,EL44))/12))),IF('Lease Cycles'!$N$10=1,'Lease Cycles'!$C$10*'Lease Cycles'!$E$10*INDEX('Lease Cycles'!$HE$10:$HK$10,1,EL44)*(1+INDEX('Lease Cycles'!$GQ$10:$GW$10,1,EL44))^INT(INT((EL$6-INDEX('Lease Cycles'!$GJ$10:$GP$10,1,EL44))/12)/INDEX('Lease Cycles'!$GX$10:$HD$10,1,EL44))/12,0)))</f>
        <v>10309.864301502772</v>
      </c>
      <c r="EM47" s="28">
        <f>IF(EM44=0,IF('Lease Cycles'!$F$10&gt;0,'Lease Cycles'!$C$10*'Lease Cycles'!$E$10/12,0),IF(EM46=1,IF('Lease Cycles'!$AT$10&gt;=9999,'Lease Cycles'!$C$10*INDEX('Lease Cycles'!$CB$10:$CH$10,1,EM44)*(1+INDEX('Lease Cycles'!$CI$10:$CO$10,1,EM44))^INT(INT(EM45/12)/INDEX('Lease Cycles'!$CP$10:$CV$10,1,EM44))/12,IF(EM44=1,IF(EM45&gt;=INDEX('Lease Cycles'!$DK$10:$DQ$10,1,EM44),IF(EM$6&gt;='Lease Cycles'!$AZ$10,'Lease Cycles'!$C$10*'Lease Cycles'!$BA$10/12,IF(EM$6&gt;='Lease Cycles'!$AX$10,'Lease Cycles'!$C$10*'Lease Cycles'!$AY$10/12,IF(EM$6&gt;='Lease Cycles'!$AV$10,'Lease Cycles'!$C$10*'Lease Cycles'!$AW$10/12,IF(EM$6&gt;='Lease Cycles'!$AT$10,'Lease Cycles'!$C$10*'Lease Cycles'!$AU$10/12,'Lease Cycles'!$C$10*INDEX('Lease Cycles'!$CB$10:$CH$10,1,EM44)*(1+INDEX('Lease Cycles'!$CI$10:$CO$10,1,EM44))^INT(INT(EM45/12)/INDEX('Lease Cycles'!$CP$10:$CV$10,1,EM44))/12)))),'Lease Cycles'!$C$10*INDEX('Lease Cycles'!$CB$10:$CH$10,1,EM44)*(1+INDEX('Lease Cycles'!$CI$10:$CO$10,1,EM44))^INT(INT(EM45/12)/INDEX('Lease Cycles'!$CP$10:$CV$10,1,EM44))/12),IF(INDEX('Lease Cycles'!$EF$10:$EL$10,1,EM44)=1,IF(AND('Lease Cycles'!$AZ$10&gt;=INDEX('Lease Cycles'!$BG$10:$BM$10,1,EM44),'Lease Cycles'!$AZ$10&lt;=EM$6),'Lease Cycles'!$C$10*'Lease Cycles'!$BA$10/12,IF(AND('Lease Cycles'!$AX$10&gt;=INDEX('Lease Cycles'!$BG$10:$BM$10,1,EM44),'Lease Cycles'!$AX$10&lt;=EM$6),'Lease Cycles'!$C$10*'Lease Cycles'!$AY$10/12,IF(AND('Lease Cycles'!$AV$10&gt;=INDEX('Lease Cycles'!$BG$10:$BM$10,1,EM44),'Lease Cycles'!$AV$10&lt;=EM$6),'Lease Cycles'!$C$10*'Lease Cycles'!$AW$10/12,IF(AND('Lease Cycles'!$AT$10&gt;=INDEX('Lease Cycles'!$BG$10:$BM$10,1,EM44),'Lease Cycles'!$AT$10&lt;=EM$6),'Lease Cycles'!$C$10*'Lease Cycles'!$AU$10/12,'Lease Cycles'!$C$10*INDEX('Lease Cycles'!$CB$10:$CH$10,1,EM44)*(1+INDEX('Lease Cycles'!$CI$10:$CO$10,1,EM44))^INT(INT(EM45/12)/INDEX('Lease Cycles'!$CP$10:$CV$10,1,EM44))/12)))),'Lease Cycles'!$C$10*INDEX('Lease Cycles'!$CB$10:$CH$10,1,EM44)*(1+INDEX('Lease Cycles'!$CI$10:$CO$10,1,EM44))^INT(INT(EM45/12)/INDEX('Lease Cycles'!$CP$10:$CV$10,1,EM44))/12))),IF('Lease Cycles'!$N$10=1,'Lease Cycles'!$C$10*'Lease Cycles'!$E$10*INDEX('Lease Cycles'!$HE$10:$HK$10,1,EM44)*(1+INDEX('Lease Cycles'!$GQ$10:$GW$10,1,EM44))^INT(INT((EM$6-INDEX('Lease Cycles'!$GJ$10:$GP$10,1,EM44))/12)/INDEX('Lease Cycles'!$GX$10:$HD$10,1,EM44))/12,0)))</f>
        <v>10309.864301502772</v>
      </c>
      <c r="EN47" s="28">
        <f>IF(EN44=0,IF('Lease Cycles'!$F$10&gt;0,'Lease Cycles'!$C$10*'Lease Cycles'!$E$10/12,0),IF(EN46=1,IF('Lease Cycles'!$AT$10&gt;=9999,'Lease Cycles'!$C$10*INDEX('Lease Cycles'!$CB$10:$CH$10,1,EN44)*(1+INDEX('Lease Cycles'!$CI$10:$CO$10,1,EN44))^INT(INT(EN45/12)/INDEX('Lease Cycles'!$CP$10:$CV$10,1,EN44))/12,IF(EN44=1,IF(EN45&gt;=INDEX('Lease Cycles'!$DK$10:$DQ$10,1,EN44),IF(EN$6&gt;='Lease Cycles'!$AZ$10,'Lease Cycles'!$C$10*'Lease Cycles'!$BA$10/12,IF(EN$6&gt;='Lease Cycles'!$AX$10,'Lease Cycles'!$C$10*'Lease Cycles'!$AY$10/12,IF(EN$6&gt;='Lease Cycles'!$AV$10,'Lease Cycles'!$C$10*'Lease Cycles'!$AW$10/12,IF(EN$6&gt;='Lease Cycles'!$AT$10,'Lease Cycles'!$C$10*'Lease Cycles'!$AU$10/12,'Lease Cycles'!$C$10*INDEX('Lease Cycles'!$CB$10:$CH$10,1,EN44)*(1+INDEX('Lease Cycles'!$CI$10:$CO$10,1,EN44))^INT(INT(EN45/12)/INDEX('Lease Cycles'!$CP$10:$CV$10,1,EN44))/12)))),'Lease Cycles'!$C$10*INDEX('Lease Cycles'!$CB$10:$CH$10,1,EN44)*(1+INDEX('Lease Cycles'!$CI$10:$CO$10,1,EN44))^INT(INT(EN45/12)/INDEX('Lease Cycles'!$CP$10:$CV$10,1,EN44))/12),IF(INDEX('Lease Cycles'!$EF$10:$EL$10,1,EN44)=1,IF(AND('Lease Cycles'!$AZ$10&gt;=INDEX('Lease Cycles'!$BG$10:$BM$10,1,EN44),'Lease Cycles'!$AZ$10&lt;=EN$6),'Lease Cycles'!$C$10*'Lease Cycles'!$BA$10/12,IF(AND('Lease Cycles'!$AX$10&gt;=INDEX('Lease Cycles'!$BG$10:$BM$10,1,EN44),'Lease Cycles'!$AX$10&lt;=EN$6),'Lease Cycles'!$C$10*'Lease Cycles'!$AY$10/12,IF(AND('Lease Cycles'!$AV$10&gt;=INDEX('Lease Cycles'!$BG$10:$BM$10,1,EN44),'Lease Cycles'!$AV$10&lt;=EN$6),'Lease Cycles'!$C$10*'Lease Cycles'!$AW$10/12,IF(AND('Lease Cycles'!$AT$10&gt;=INDEX('Lease Cycles'!$BG$10:$BM$10,1,EN44),'Lease Cycles'!$AT$10&lt;=EN$6),'Lease Cycles'!$C$10*'Lease Cycles'!$AU$10/12,'Lease Cycles'!$C$10*INDEX('Lease Cycles'!$CB$10:$CH$10,1,EN44)*(1+INDEX('Lease Cycles'!$CI$10:$CO$10,1,EN44))^INT(INT(EN45/12)/INDEX('Lease Cycles'!$CP$10:$CV$10,1,EN44))/12)))),'Lease Cycles'!$C$10*INDEX('Lease Cycles'!$CB$10:$CH$10,1,EN44)*(1+INDEX('Lease Cycles'!$CI$10:$CO$10,1,EN44))^INT(INT(EN45/12)/INDEX('Lease Cycles'!$CP$10:$CV$10,1,EN44))/12))),IF('Lease Cycles'!$N$10=1,'Lease Cycles'!$C$10*'Lease Cycles'!$E$10*INDEX('Lease Cycles'!$HE$10:$HK$10,1,EN44)*(1+INDEX('Lease Cycles'!$GQ$10:$GW$10,1,EN44))^INT(INT((EN$6-INDEX('Lease Cycles'!$GJ$10:$GP$10,1,EN44))/12)/INDEX('Lease Cycles'!$GX$10:$HD$10,1,EN44))/12,0)))</f>
        <v>10309.864301502772</v>
      </c>
      <c r="EO47" s="28">
        <f>IF(EO44=0,IF('Lease Cycles'!$F$10&gt;0,'Lease Cycles'!$C$10*'Lease Cycles'!$E$10/12,0),IF(EO46=1,IF('Lease Cycles'!$AT$10&gt;=9999,'Lease Cycles'!$C$10*INDEX('Lease Cycles'!$CB$10:$CH$10,1,EO44)*(1+INDEX('Lease Cycles'!$CI$10:$CO$10,1,EO44))^INT(INT(EO45/12)/INDEX('Lease Cycles'!$CP$10:$CV$10,1,EO44))/12,IF(EO44=1,IF(EO45&gt;=INDEX('Lease Cycles'!$DK$10:$DQ$10,1,EO44),IF(EO$6&gt;='Lease Cycles'!$AZ$10,'Lease Cycles'!$C$10*'Lease Cycles'!$BA$10/12,IF(EO$6&gt;='Lease Cycles'!$AX$10,'Lease Cycles'!$C$10*'Lease Cycles'!$AY$10/12,IF(EO$6&gt;='Lease Cycles'!$AV$10,'Lease Cycles'!$C$10*'Lease Cycles'!$AW$10/12,IF(EO$6&gt;='Lease Cycles'!$AT$10,'Lease Cycles'!$C$10*'Lease Cycles'!$AU$10/12,'Lease Cycles'!$C$10*INDEX('Lease Cycles'!$CB$10:$CH$10,1,EO44)*(1+INDEX('Lease Cycles'!$CI$10:$CO$10,1,EO44))^INT(INT(EO45/12)/INDEX('Lease Cycles'!$CP$10:$CV$10,1,EO44))/12)))),'Lease Cycles'!$C$10*INDEX('Lease Cycles'!$CB$10:$CH$10,1,EO44)*(1+INDEX('Lease Cycles'!$CI$10:$CO$10,1,EO44))^INT(INT(EO45/12)/INDEX('Lease Cycles'!$CP$10:$CV$10,1,EO44))/12),IF(INDEX('Lease Cycles'!$EF$10:$EL$10,1,EO44)=1,IF(AND('Lease Cycles'!$AZ$10&gt;=INDEX('Lease Cycles'!$BG$10:$BM$10,1,EO44),'Lease Cycles'!$AZ$10&lt;=EO$6),'Lease Cycles'!$C$10*'Lease Cycles'!$BA$10/12,IF(AND('Lease Cycles'!$AX$10&gt;=INDEX('Lease Cycles'!$BG$10:$BM$10,1,EO44),'Lease Cycles'!$AX$10&lt;=EO$6),'Lease Cycles'!$C$10*'Lease Cycles'!$AY$10/12,IF(AND('Lease Cycles'!$AV$10&gt;=INDEX('Lease Cycles'!$BG$10:$BM$10,1,EO44),'Lease Cycles'!$AV$10&lt;=EO$6),'Lease Cycles'!$C$10*'Lease Cycles'!$AW$10/12,IF(AND('Lease Cycles'!$AT$10&gt;=INDEX('Lease Cycles'!$BG$10:$BM$10,1,EO44),'Lease Cycles'!$AT$10&lt;=EO$6),'Lease Cycles'!$C$10*'Lease Cycles'!$AU$10/12,'Lease Cycles'!$C$10*INDEX('Lease Cycles'!$CB$10:$CH$10,1,EO44)*(1+INDEX('Lease Cycles'!$CI$10:$CO$10,1,EO44))^INT(INT(EO45/12)/INDEX('Lease Cycles'!$CP$10:$CV$10,1,EO44))/12)))),'Lease Cycles'!$C$10*INDEX('Lease Cycles'!$CB$10:$CH$10,1,EO44)*(1+INDEX('Lease Cycles'!$CI$10:$CO$10,1,EO44))^INT(INT(EO45/12)/INDEX('Lease Cycles'!$CP$10:$CV$10,1,EO44))/12))),IF('Lease Cycles'!$N$10=1,'Lease Cycles'!$C$10*'Lease Cycles'!$E$10*INDEX('Lease Cycles'!$HE$10:$HK$10,1,EO44)*(1+INDEX('Lease Cycles'!$GQ$10:$GW$10,1,EO44))^INT(INT((EO$6-INDEX('Lease Cycles'!$GJ$10:$GP$10,1,EO44))/12)/INDEX('Lease Cycles'!$GX$10:$HD$10,1,EO44))/12,0)))</f>
        <v>10309.864301502772</v>
      </c>
      <c r="EP47" s="28">
        <f>IF(EP44=0,IF('Lease Cycles'!$F$10&gt;0,'Lease Cycles'!$C$10*'Lease Cycles'!$E$10/12,0),IF(EP46=1,IF('Lease Cycles'!$AT$10&gt;=9999,'Lease Cycles'!$C$10*INDEX('Lease Cycles'!$CB$10:$CH$10,1,EP44)*(1+INDEX('Lease Cycles'!$CI$10:$CO$10,1,EP44))^INT(INT(EP45/12)/INDEX('Lease Cycles'!$CP$10:$CV$10,1,EP44))/12,IF(EP44=1,IF(EP45&gt;=INDEX('Lease Cycles'!$DK$10:$DQ$10,1,EP44),IF(EP$6&gt;='Lease Cycles'!$AZ$10,'Lease Cycles'!$C$10*'Lease Cycles'!$BA$10/12,IF(EP$6&gt;='Lease Cycles'!$AX$10,'Lease Cycles'!$C$10*'Lease Cycles'!$AY$10/12,IF(EP$6&gt;='Lease Cycles'!$AV$10,'Lease Cycles'!$C$10*'Lease Cycles'!$AW$10/12,IF(EP$6&gt;='Lease Cycles'!$AT$10,'Lease Cycles'!$C$10*'Lease Cycles'!$AU$10/12,'Lease Cycles'!$C$10*INDEX('Lease Cycles'!$CB$10:$CH$10,1,EP44)*(1+INDEX('Lease Cycles'!$CI$10:$CO$10,1,EP44))^INT(INT(EP45/12)/INDEX('Lease Cycles'!$CP$10:$CV$10,1,EP44))/12)))),'Lease Cycles'!$C$10*INDEX('Lease Cycles'!$CB$10:$CH$10,1,EP44)*(1+INDEX('Lease Cycles'!$CI$10:$CO$10,1,EP44))^INT(INT(EP45/12)/INDEX('Lease Cycles'!$CP$10:$CV$10,1,EP44))/12),IF(INDEX('Lease Cycles'!$EF$10:$EL$10,1,EP44)=1,IF(AND('Lease Cycles'!$AZ$10&gt;=INDEX('Lease Cycles'!$BG$10:$BM$10,1,EP44),'Lease Cycles'!$AZ$10&lt;=EP$6),'Lease Cycles'!$C$10*'Lease Cycles'!$BA$10/12,IF(AND('Lease Cycles'!$AX$10&gt;=INDEX('Lease Cycles'!$BG$10:$BM$10,1,EP44),'Lease Cycles'!$AX$10&lt;=EP$6),'Lease Cycles'!$C$10*'Lease Cycles'!$AY$10/12,IF(AND('Lease Cycles'!$AV$10&gt;=INDEX('Lease Cycles'!$BG$10:$BM$10,1,EP44),'Lease Cycles'!$AV$10&lt;=EP$6),'Lease Cycles'!$C$10*'Lease Cycles'!$AW$10/12,IF(AND('Lease Cycles'!$AT$10&gt;=INDEX('Lease Cycles'!$BG$10:$BM$10,1,EP44),'Lease Cycles'!$AT$10&lt;=EP$6),'Lease Cycles'!$C$10*'Lease Cycles'!$AU$10/12,'Lease Cycles'!$C$10*INDEX('Lease Cycles'!$CB$10:$CH$10,1,EP44)*(1+INDEX('Lease Cycles'!$CI$10:$CO$10,1,EP44))^INT(INT(EP45/12)/INDEX('Lease Cycles'!$CP$10:$CV$10,1,EP44))/12)))),'Lease Cycles'!$C$10*INDEX('Lease Cycles'!$CB$10:$CH$10,1,EP44)*(1+INDEX('Lease Cycles'!$CI$10:$CO$10,1,EP44))^INT(INT(EP45/12)/INDEX('Lease Cycles'!$CP$10:$CV$10,1,EP44))/12))),IF('Lease Cycles'!$N$10=1,'Lease Cycles'!$C$10*'Lease Cycles'!$E$10*INDEX('Lease Cycles'!$HE$10:$HK$10,1,EP44)*(1+INDEX('Lease Cycles'!$GQ$10:$GW$10,1,EP44))^INT(INT((EP$6-INDEX('Lease Cycles'!$GJ$10:$GP$10,1,EP44))/12)/INDEX('Lease Cycles'!$GX$10:$HD$10,1,EP44))/12,0)))</f>
        <v>10309.864301502772</v>
      </c>
      <c r="EQ47" s="28">
        <f>IF(EQ44=0,IF('Lease Cycles'!$F$10&gt;0,'Lease Cycles'!$C$10*'Lease Cycles'!$E$10/12,0),IF(EQ46=1,IF('Lease Cycles'!$AT$10&gt;=9999,'Lease Cycles'!$C$10*INDEX('Lease Cycles'!$CB$10:$CH$10,1,EQ44)*(1+INDEX('Lease Cycles'!$CI$10:$CO$10,1,EQ44))^INT(INT(EQ45/12)/INDEX('Lease Cycles'!$CP$10:$CV$10,1,EQ44))/12,IF(EQ44=1,IF(EQ45&gt;=INDEX('Lease Cycles'!$DK$10:$DQ$10,1,EQ44),IF(EQ$6&gt;='Lease Cycles'!$AZ$10,'Lease Cycles'!$C$10*'Lease Cycles'!$BA$10/12,IF(EQ$6&gt;='Lease Cycles'!$AX$10,'Lease Cycles'!$C$10*'Lease Cycles'!$AY$10/12,IF(EQ$6&gt;='Lease Cycles'!$AV$10,'Lease Cycles'!$C$10*'Lease Cycles'!$AW$10/12,IF(EQ$6&gt;='Lease Cycles'!$AT$10,'Lease Cycles'!$C$10*'Lease Cycles'!$AU$10/12,'Lease Cycles'!$C$10*INDEX('Lease Cycles'!$CB$10:$CH$10,1,EQ44)*(1+INDEX('Lease Cycles'!$CI$10:$CO$10,1,EQ44))^INT(INT(EQ45/12)/INDEX('Lease Cycles'!$CP$10:$CV$10,1,EQ44))/12)))),'Lease Cycles'!$C$10*INDEX('Lease Cycles'!$CB$10:$CH$10,1,EQ44)*(1+INDEX('Lease Cycles'!$CI$10:$CO$10,1,EQ44))^INT(INT(EQ45/12)/INDEX('Lease Cycles'!$CP$10:$CV$10,1,EQ44))/12),IF(INDEX('Lease Cycles'!$EF$10:$EL$10,1,EQ44)=1,IF(AND('Lease Cycles'!$AZ$10&gt;=INDEX('Lease Cycles'!$BG$10:$BM$10,1,EQ44),'Lease Cycles'!$AZ$10&lt;=EQ$6),'Lease Cycles'!$C$10*'Lease Cycles'!$BA$10/12,IF(AND('Lease Cycles'!$AX$10&gt;=INDEX('Lease Cycles'!$BG$10:$BM$10,1,EQ44),'Lease Cycles'!$AX$10&lt;=EQ$6),'Lease Cycles'!$C$10*'Lease Cycles'!$AY$10/12,IF(AND('Lease Cycles'!$AV$10&gt;=INDEX('Lease Cycles'!$BG$10:$BM$10,1,EQ44),'Lease Cycles'!$AV$10&lt;=EQ$6),'Lease Cycles'!$C$10*'Lease Cycles'!$AW$10/12,IF(AND('Lease Cycles'!$AT$10&gt;=INDEX('Lease Cycles'!$BG$10:$BM$10,1,EQ44),'Lease Cycles'!$AT$10&lt;=EQ$6),'Lease Cycles'!$C$10*'Lease Cycles'!$AU$10/12,'Lease Cycles'!$C$10*INDEX('Lease Cycles'!$CB$10:$CH$10,1,EQ44)*(1+INDEX('Lease Cycles'!$CI$10:$CO$10,1,EQ44))^INT(INT(EQ45/12)/INDEX('Lease Cycles'!$CP$10:$CV$10,1,EQ44))/12)))),'Lease Cycles'!$C$10*INDEX('Lease Cycles'!$CB$10:$CH$10,1,EQ44)*(1+INDEX('Lease Cycles'!$CI$10:$CO$10,1,EQ44))^INT(INT(EQ45/12)/INDEX('Lease Cycles'!$CP$10:$CV$10,1,EQ44))/12))),IF('Lease Cycles'!$N$10=1,'Lease Cycles'!$C$10*'Lease Cycles'!$E$10*INDEX('Lease Cycles'!$HE$10:$HK$10,1,EQ44)*(1+INDEX('Lease Cycles'!$GQ$10:$GW$10,1,EQ44))^INT(INT((EQ$6-INDEX('Lease Cycles'!$GJ$10:$GP$10,1,EQ44))/12)/INDEX('Lease Cycles'!$GX$10:$HD$10,1,EQ44))/12,0)))</f>
        <v>10309.864301502772</v>
      </c>
      <c r="ER47" s="28">
        <f>IF(ER44=0,IF('Lease Cycles'!$F$10&gt;0,'Lease Cycles'!$C$10*'Lease Cycles'!$E$10/12,0),IF(ER46=1,IF('Lease Cycles'!$AT$10&gt;=9999,'Lease Cycles'!$C$10*INDEX('Lease Cycles'!$CB$10:$CH$10,1,ER44)*(1+INDEX('Lease Cycles'!$CI$10:$CO$10,1,ER44))^INT(INT(ER45/12)/INDEX('Lease Cycles'!$CP$10:$CV$10,1,ER44))/12,IF(ER44=1,IF(ER45&gt;=INDEX('Lease Cycles'!$DK$10:$DQ$10,1,ER44),IF(ER$6&gt;='Lease Cycles'!$AZ$10,'Lease Cycles'!$C$10*'Lease Cycles'!$BA$10/12,IF(ER$6&gt;='Lease Cycles'!$AX$10,'Lease Cycles'!$C$10*'Lease Cycles'!$AY$10/12,IF(ER$6&gt;='Lease Cycles'!$AV$10,'Lease Cycles'!$C$10*'Lease Cycles'!$AW$10/12,IF(ER$6&gt;='Lease Cycles'!$AT$10,'Lease Cycles'!$C$10*'Lease Cycles'!$AU$10/12,'Lease Cycles'!$C$10*INDEX('Lease Cycles'!$CB$10:$CH$10,1,ER44)*(1+INDEX('Lease Cycles'!$CI$10:$CO$10,1,ER44))^INT(INT(ER45/12)/INDEX('Lease Cycles'!$CP$10:$CV$10,1,ER44))/12)))),'Lease Cycles'!$C$10*INDEX('Lease Cycles'!$CB$10:$CH$10,1,ER44)*(1+INDEX('Lease Cycles'!$CI$10:$CO$10,1,ER44))^INT(INT(ER45/12)/INDEX('Lease Cycles'!$CP$10:$CV$10,1,ER44))/12),IF(INDEX('Lease Cycles'!$EF$10:$EL$10,1,ER44)=1,IF(AND('Lease Cycles'!$AZ$10&gt;=INDEX('Lease Cycles'!$BG$10:$BM$10,1,ER44),'Lease Cycles'!$AZ$10&lt;=ER$6),'Lease Cycles'!$C$10*'Lease Cycles'!$BA$10/12,IF(AND('Lease Cycles'!$AX$10&gt;=INDEX('Lease Cycles'!$BG$10:$BM$10,1,ER44),'Lease Cycles'!$AX$10&lt;=ER$6),'Lease Cycles'!$C$10*'Lease Cycles'!$AY$10/12,IF(AND('Lease Cycles'!$AV$10&gt;=INDEX('Lease Cycles'!$BG$10:$BM$10,1,ER44),'Lease Cycles'!$AV$10&lt;=ER$6),'Lease Cycles'!$C$10*'Lease Cycles'!$AW$10/12,IF(AND('Lease Cycles'!$AT$10&gt;=INDEX('Lease Cycles'!$BG$10:$BM$10,1,ER44),'Lease Cycles'!$AT$10&lt;=ER$6),'Lease Cycles'!$C$10*'Lease Cycles'!$AU$10/12,'Lease Cycles'!$C$10*INDEX('Lease Cycles'!$CB$10:$CH$10,1,ER44)*(1+INDEX('Lease Cycles'!$CI$10:$CO$10,1,ER44))^INT(INT(ER45/12)/INDEX('Lease Cycles'!$CP$10:$CV$10,1,ER44))/12)))),'Lease Cycles'!$C$10*INDEX('Lease Cycles'!$CB$10:$CH$10,1,ER44)*(1+INDEX('Lease Cycles'!$CI$10:$CO$10,1,ER44))^INT(INT(ER45/12)/INDEX('Lease Cycles'!$CP$10:$CV$10,1,ER44))/12))),IF('Lease Cycles'!$N$10=1,'Lease Cycles'!$C$10*'Lease Cycles'!$E$10*INDEX('Lease Cycles'!$HE$10:$HK$10,1,ER44)*(1+INDEX('Lease Cycles'!$GQ$10:$GW$10,1,ER44))^INT(INT((ER$6-INDEX('Lease Cycles'!$GJ$10:$GP$10,1,ER44))/12)/INDEX('Lease Cycles'!$GX$10:$HD$10,1,ER44))/12,0)))</f>
        <v>10309.864301502772</v>
      </c>
      <c r="ES47" s="28">
        <f>IF(ES44=0,IF('Lease Cycles'!$F$10&gt;0,'Lease Cycles'!$C$10*'Lease Cycles'!$E$10/12,0),IF(ES46=1,IF('Lease Cycles'!$AT$10&gt;=9999,'Lease Cycles'!$C$10*INDEX('Lease Cycles'!$CB$10:$CH$10,1,ES44)*(1+INDEX('Lease Cycles'!$CI$10:$CO$10,1,ES44))^INT(INT(ES45/12)/INDEX('Lease Cycles'!$CP$10:$CV$10,1,ES44))/12,IF(ES44=1,IF(ES45&gt;=INDEX('Lease Cycles'!$DK$10:$DQ$10,1,ES44),IF(ES$6&gt;='Lease Cycles'!$AZ$10,'Lease Cycles'!$C$10*'Lease Cycles'!$BA$10/12,IF(ES$6&gt;='Lease Cycles'!$AX$10,'Lease Cycles'!$C$10*'Lease Cycles'!$AY$10/12,IF(ES$6&gt;='Lease Cycles'!$AV$10,'Lease Cycles'!$C$10*'Lease Cycles'!$AW$10/12,IF(ES$6&gt;='Lease Cycles'!$AT$10,'Lease Cycles'!$C$10*'Lease Cycles'!$AU$10/12,'Lease Cycles'!$C$10*INDEX('Lease Cycles'!$CB$10:$CH$10,1,ES44)*(1+INDEX('Lease Cycles'!$CI$10:$CO$10,1,ES44))^INT(INT(ES45/12)/INDEX('Lease Cycles'!$CP$10:$CV$10,1,ES44))/12)))),'Lease Cycles'!$C$10*INDEX('Lease Cycles'!$CB$10:$CH$10,1,ES44)*(1+INDEX('Lease Cycles'!$CI$10:$CO$10,1,ES44))^INT(INT(ES45/12)/INDEX('Lease Cycles'!$CP$10:$CV$10,1,ES44))/12),IF(INDEX('Lease Cycles'!$EF$10:$EL$10,1,ES44)=1,IF(AND('Lease Cycles'!$AZ$10&gt;=INDEX('Lease Cycles'!$BG$10:$BM$10,1,ES44),'Lease Cycles'!$AZ$10&lt;=ES$6),'Lease Cycles'!$C$10*'Lease Cycles'!$BA$10/12,IF(AND('Lease Cycles'!$AX$10&gt;=INDEX('Lease Cycles'!$BG$10:$BM$10,1,ES44),'Lease Cycles'!$AX$10&lt;=ES$6),'Lease Cycles'!$C$10*'Lease Cycles'!$AY$10/12,IF(AND('Lease Cycles'!$AV$10&gt;=INDEX('Lease Cycles'!$BG$10:$BM$10,1,ES44),'Lease Cycles'!$AV$10&lt;=ES$6),'Lease Cycles'!$C$10*'Lease Cycles'!$AW$10/12,IF(AND('Lease Cycles'!$AT$10&gt;=INDEX('Lease Cycles'!$BG$10:$BM$10,1,ES44),'Lease Cycles'!$AT$10&lt;=ES$6),'Lease Cycles'!$C$10*'Lease Cycles'!$AU$10/12,'Lease Cycles'!$C$10*INDEX('Lease Cycles'!$CB$10:$CH$10,1,ES44)*(1+INDEX('Lease Cycles'!$CI$10:$CO$10,1,ES44))^INT(INT(ES45/12)/INDEX('Lease Cycles'!$CP$10:$CV$10,1,ES44))/12)))),'Lease Cycles'!$C$10*INDEX('Lease Cycles'!$CB$10:$CH$10,1,ES44)*(1+INDEX('Lease Cycles'!$CI$10:$CO$10,1,ES44))^INT(INT(ES45/12)/INDEX('Lease Cycles'!$CP$10:$CV$10,1,ES44))/12))),IF('Lease Cycles'!$N$10=1,'Lease Cycles'!$C$10*'Lease Cycles'!$E$10*INDEX('Lease Cycles'!$HE$10:$HK$10,1,ES44)*(1+INDEX('Lease Cycles'!$GQ$10:$GW$10,1,ES44))^INT(INT((ES$6-INDEX('Lease Cycles'!$GJ$10:$GP$10,1,ES44))/12)/INDEX('Lease Cycles'!$GX$10:$HD$10,1,ES44))/12,0)))</f>
        <v>10309.864301502772</v>
      </c>
      <c r="ET47" s="28">
        <f>IF(ET44=0,IF('Lease Cycles'!$F$10&gt;0,'Lease Cycles'!$C$10*'Lease Cycles'!$E$10/12,0),IF(ET46=1,IF('Lease Cycles'!$AT$10&gt;=9999,'Lease Cycles'!$C$10*INDEX('Lease Cycles'!$CB$10:$CH$10,1,ET44)*(1+INDEX('Lease Cycles'!$CI$10:$CO$10,1,ET44))^INT(INT(ET45/12)/INDEX('Lease Cycles'!$CP$10:$CV$10,1,ET44))/12,IF(ET44=1,IF(ET45&gt;=INDEX('Lease Cycles'!$DK$10:$DQ$10,1,ET44),IF(ET$6&gt;='Lease Cycles'!$AZ$10,'Lease Cycles'!$C$10*'Lease Cycles'!$BA$10/12,IF(ET$6&gt;='Lease Cycles'!$AX$10,'Lease Cycles'!$C$10*'Lease Cycles'!$AY$10/12,IF(ET$6&gt;='Lease Cycles'!$AV$10,'Lease Cycles'!$C$10*'Lease Cycles'!$AW$10/12,IF(ET$6&gt;='Lease Cycles'!$AT$10,'Lease Cycles'!$C$10*'Lease Cycles'!$AU$10/12,'Lease Cycles'!$C$10*INDEX('Lease Cycles'!$CB$10:$CH$10,1,ET44)*(1+INDEX('Lease Cycles'!$CI$10:$CO$10,1,ET44))^INT(INT(ET45/12)/INDEX('Lease Cycles'!$CP$10:$CV$10,1,ET44))/12)))),'Lease Cycles'!$C$10*INDEX('Lease Cycles'!$CB$10:$CH$10,1,ET44)*(1+INDEX('Lease Cycles'!$CI$10:$CO$10,1,ET44))^INT(INT(ET45/12)/INDEX('Lease Cycles'!$CP$10:$CV$10,1,ET44))/12),IF(INDEX('Lease Cycles'!$EF$10:$EL$10,1,ET44)=1,IF(AND('Lease Cycles'!$AZ$10&gt;=INDEX('Lease Cycles'!$BG$10:$BM$10,1,ET44),'Lease Cycles'!$AZ$10&lt;=ET$6),'Lease Cycles'!$C$10*'Lease Cycles'!$BA$10/12,IF(AND('Lease Cycles'!$AX$10&gt;=INDEX('Lease Cycles'!$BG$10:$BM$10,1,ET44),'Lease Cycles'!$AX$10&lt;=ET$6),'Lease Cycles'!$C$10*'Lease Cycles'!$AY$10/12,IF(AND('Lease Cycles'!$AV$10&gt;=INDEX('Lease Cycles'!$BG$10:$BM$10,1,ET44),'Lease Cycles'!$AV$10&lt;=ET$6),'Lease Cycles'!$C$10*'Lease Cycles'!$AW$10/12,IF(AND('Lease Cycles'!$AT$10&gt;=INDEX('Lease Cycles'!$BG$10:$BM$10,1,ET44),'Lease Cycles'!$AT$10&lt;=ET$6),'Lease Cycles'!$C$10*'Lease Cycles'!$AU$10/12,'Lease Cycles'!$C$10*INDEX('Lease Cycles'!$CB$10:$CH$10,1,ET44)*(1+INDEX('Lease Cycles'!$CI$10:$CO$10,1,ET44))^INT(INT(ET45/12)/INDEX('Lease Cycles'!$CP$10:$CV$10,1,ET44))/12)))),'Lease Cycles'!$C$10*INDEX('Lease Cycles'!$CB$10:$CH$10,1,ET44)*(1+INDEX('Lease Cycles'!$CI$10:$CO$10,1,ET44))^INT(INT(ET45/12)/INDEX('Lease Cycles'!$CP$10:$CV$10,1,ET44))/12))),IF('Lease Cycles'!$N$10=1,'Lease Cycles'!$C$10*'Lease Cycles'!$E$10*INDEX('Lease Cycles'!$HE$10:$HK$10,1,ET44)*(1+INDEX('Lease Cycles'!$GQ$10:$GW$10,1,ET44))^INT(INT((ET$6-INDEX('Lease Cycles'!$GJ$10:$GP$10,1,ET44))/12)/INDEX('Lease Cycles'!$GX$10:$HD$10,1,ET44))/12,0)))</f>
        <v>10309.864301502772</v>
      </c>
    </row>
    <row r="48">
      <c r="A48" s="103">
        <v>3</v>
      </c>
      <c r="B48" s="23" t="str">
        <f>IF('Lease Cycles'!$B$10="","(empty slot)",'Lease Cycles'!$B$10)</f>
        <v>Sunfield Fitness</v>
      </c>
      <c r="C48" s="23" t="s">
        <v>679</v>
      </c>
      <c r="D48" s="104" t="s">
        <v>680</v>
      </c>
      <c r="E48" s="25">
        <f>'Lease Cycles'!$AL$10</f>
        <v>0</v>
      </c>
      <c r="S48" s="28">
        <f>IF(S46=1,IF(INDEX('Lease Cycles'!$EF$10:$EL$10,1,S44)=1,'Lease Cycles'!$C$10*INDEX('Lease Cycles'!$ET$10:$EZ$10,1,S44)*(1+'Lease Cycles'!$V$10)^INT(INT(S45/12)/'Lease Cycles'!$W$10)/12,0),0)</f>
        <v>0</v>
      </c>
      <c r="T48" s="28">
        <f>IF(T46=1,IF(INDEX('Lease Cycles'!$EF$10:$EL$10,1,T44)=1,'Lease Cycles'!$C$10*INDEX('Lease Cycles'!$ET$10:$EZ$10,1,T44)*(1+'Lease Cycles'!$V$10)^INT(INT(T45/12)/'Lease Cycles'!$W$10)/12,0),0)</f>
        <v>0</v>
      </c>
      <c r="U48" s="28">
        <f>IF(U46=1,IF(INDEX('Lease Cycles'!$EF$10:$EL$10,1,U44)=1,'Lease Cycles'!$C$10*INDEX('Lease Cycles'!$ET$10:$EZ$10,1,U44)*(1+'Lease Cycles'!$V$10)^INT(INT(U45/12)/'Lease Cycles'!$W$10)/12,0),0)</f>
        <v>0</v>
      </c>
      <c r="V48" s="28">
        <f>IF(V46=1,IF(INDEX('Lease Cycles'!$EF$10:$EL$10,1,V44)=1,'Lease Cycles'!$C$10*INDEX('Lease Cycles'!$ET$10:$EZ$10,1,V44)*(1+'Lease Cycles'!$V$10)^INT(INT(V45/12)/'Lease Cycles'!$W$10)/12,0),0)</f>
        <v>0</v>
      </c>
      <c r="W48" s="28">
        <f>IF(W46=1,IF(INDEX('Lease Cycles'!$EF$10:$EL$10,1,W44)=1,'Lease Cycles'!$C$10*INDEX('Lease Cycles'!$ET$10:$EZ$10,1,W44)*(1+'Lease Cycles'!$V$10)^INT(INT(W45/12)/'Lease Cycles'!$W$10)/12,0),0)</f>
        <v>0</v>
      </c>
      <c r="X48" s="28">
        <f>IF(X46=1,IF(INDEX('Lease Cycles'!$EF$10:$EL$10,1,X44)=1,'Lease Cycles'!$C$10*INDEX('Lease Cycles'!$ET$10:$EZ$10,1,X44)*(1+'Lease Cycles'!$V$10)^INT(INT(X45/12)/'Lease Cycles'!$W$10)/12,0),0)</f>
        <v>0</v>
      </c>
      <c r="Y48" s="28">
        <f>IF(Y46=1,IF(INDEX('Lease Cycles'!$EF$10:$EL$10,1,Y44)=1,'Lease Cycles'!$C$10*INDEX('Lease Cycles'!$ET$10:$EZ$10,1,Y44)*(1+'Lease Cycles'!$V$10)^INT(INT(Y45/12)/'Lease Cycles'!$W$10)/12,0),0)</f>
        <v>0</v>
      </c>
      <c r="Z48" s="28">
        <f>IF(Z46=1,IF(INDEX('Lease Cycles'!$EF$10:$EL$10,1,Z44)=1,'Lease Cycles'!$C$10*INDEX('Lease Cycles'!$ET$10:$EZ$10,1,Z44)*(1+'Lease Cycles'!$V$10)^INT(INT(Z45/12)/'Lease Cycles'!$W$10)/12,0),0)</f>
        <v>0</v>
      </c>
      <c r="AA48" s="28">
        <f>IF(AA46=1,IF(INDEX('Lease Cycles'!$EF$10:$EL$10,1,AA44)=1,'Lease Cycles'!$C$10*INDEX('Lease Cycles'!$ET$10:$EZ$10,1,AA44)*(1+'Lease Cycles'!$V$10)^INT(INT(AA45/12)/'Lease Cycles'!$W$10)/12,0),0)</f>
        <v>0</v>
      </c>
      <c r="AB48" s="28">
        <f>IF(AB46=1,IF(INDEX('Lease Cycles'!$EF$10:$EL$10,1,AB44)=1,'Lease Cycles'!$C$10*INDEX('Lease Cycles'!$ET$10:$EZ$10,1,AB44)*(1+'Lease Cycles'!$V$10)^INT(INT(AB45/12)/'Lease Cycles'!$W$10)/12,0),0)</f>
        <v>0</v>
      </c>
      <c r="AC48" s="28">
        <f>IF(AC46=1,IF(INDEX('Lease Cycles'!$EF$10:$EL$10,1,AC44)=1,'Lease Cycles'!$C$10*INDEX('Lease Cycles'!$ET$10:$EZ$10,1,AC44)*(1+'Lease Cycles'!$V$10)^INT(INT(AC45/12)/'Lease Cycles'!$W$10)/12,0),0)</f>
        <v>0</v>
      </c>
      <c r="AD48" s="28">
        <f>IF(AD46=1,IF(INDEX('Lease Cycles'!$EF$10:$EL$10,1,AD44)=1,'Lease Cycles'!$C$10*INDEX('Lease Cycles'!$ET$10:$EZ$10,1,AD44)*(1+'Lease Cycles'!$V$10)^INT(INT(AD45/12)/'Lease Cycles'!$W$10)/12,0),0)</f>
        <v>0</v>
      </c>
      <c r="AE48" s="28">
        <f>IF(AE46=1,IF(INDEX('Lease Cycles'!$EF$10:$EL$10,1,AE44)=1,'Lease Cycles'!$C$10*INDEX('Lease Cycles'!$ET$10:$EZ$10,1,AE44)*(1+'Lease Cycles'!$V$10)^INT(INT(AE45/12)/'Lease Cycles'!$W$10)/12,0),0)</f>
        <v>0</v>
      </c>
      <c r="AF48" s="28">
        <f>IF(AF46=1,IF(INDEX('Lease Cycles'!$EF$10:$EL$10,1,AF44)=1,'Lease Cycles'!$C$10*INDEX('Lease Cycles'!$ET$10:$EZ$10,1,AF44)*(1+'Lease Cycles'!$V$10)^INT(INT(AF45/12)/'Lease Cycles'!$W$10)/12,0),0)</f>
        <v>0</v>
      </c>
      <c r="AG48" s="28">
        <f>IF(AG46=1,IF(INDEX('Lease Cycles'!$EF$10:$EL$10,1,AG44)=1,'Lease Cycles'!$C$10*INDEX('Lease Cycles'!$ET$10:$EZ$10,1,AG44)*(1+'Lease Cycles'!$V$10)^INT(INT(AG45/12)/'Lease Cycles'!$W$10)/12,0),0)</f>
        <v>0</v>
      </c>
      <c r="AH48" s="28">
        <f>IF(AH46=1,IF(INDEX('Lease Cycles'!$EF$10:$EL$10,1,AH44)=1,'Lease Cycles'!$C$10*INDEX('Lease Cycles'!$ET$10:$EZ$10,1,AH44)*(1+'Lease Cycles'!$V$10)^INT(INT(AH45/12)/'Lease Cycles'!$W$10)/12,0),0)</f>
        <v>0</v>
      </c>
      <c r="AI48" s="28">
        <f>IF(AI46=1,IF(INDEX('Lease Cycles'!$EF$10:$EL$10,1,AI44)=1,'Lease Cycles'!$C$10*INDEX('Lease Cycles'!$ET$10:$EZ$10,1,AI44)*(1+'Lease Cycles'!$V$10)^INT(INT(AI45/12)/'Lease Cycles'!$W$10)/12,0),0)</f>
        <v>0</v>
      </c>
      <c r="AJ48" s="28">
        <f>IF(AJ46=1,IF(INDEX('Lease Cycles'!$EF$10:$EL$10,1,AJ44)=1,'Lease Cycles'!$C$10*INDEX('Lease Cycles'!$ET$10:$EZ$10,1,AJ44)*(1+'Lease Cycles'!$V$10)^INT(INT(AJ45/12)/'Lease Cycles'!$W$10)/12,0),0)</f>
        <v>0</v>
      </c>
      <c r="AK48" s="28">
        <f>IF(AK46=1,IF(INDEX('Lease Cycles'!$EF$10:$EL$10,1,AK44)=1,'Lease Cycles'!$C$10*INDEX('Lease Cycles'!$ET$10:$EZ$10,1,AK44)*(1+'Lease Cycles'!$V$10)^INT(INT(AK45/12)/'Lease Cycles'!$W$10)/12,0),0)</f>
        <v>0</v>
      </c>
      <c r="AL48" s="28">
        <f>IF(AL46=1,IF(INDEX('Lease Cycles'!$EF$10:$EL$10,1,AL44)=1,'Lease Cycles'!$C$10*INDEX('Lease Cycles'!$ET$10:$EZ$10,1,AL44)*(1+'Lease Cycles'!$V$10)^INT(INT(AL45/12)/'Lease Cycles'!$W$10)/12,0),0)</f>
        <v>0</v>
      </c>
      <c r="AM48" s="28">
        <f>IF(AM46=1,IF(INDEX('Lease Cycles'!$EF$10:$EL$10,1,AM44)=1,'Lease Cycles'!$C$10*INDEX('Lease Cycles'!$ET$10:$EZ$10,1,AM44)*(1+'Lease Cycles'!$V$10)^INT(INT(AM45/12)/'Lease Cycles'!$W$10)/12,0),0)</f>
        <v>0</v>
      </c>
      <c r="AN48" s="28">
        <f>IF(AN46=1,IF(INDEX('Lease Cycles'!$EF$10:$EL$10,1,AN44)=1,'Lease Cycles'!$C$10*INDEX('Lease Cycles'!$ET$10:$EZ$10,1,AN44)*(1+'Lease Cycles'!$V$10)^INT(INT(AN45/12)/'Lease Cycles'!$W$10)/12,0),0)</f>
        <v>0</v>
      </c>
      <c r="AO48" s="28">
        <f>IF(AO46=1,IF(INDEX('Lease Cycles'!$EF$10:$EL$10,1,AO44)=1,'Lease Cycles'!$C$10*INDEX('Lease Cycles'!$ET$10:$EZ$10,1,AO44)*(1+'Lease Cycles'!$V$10)^INT(INT(AO45/12)/'Lease Cycles'!$W$10)/12,0),0)</f>
        <v>0</v>
      </c>
      <c r="AP48" s="28">
        <f>IF(AP46=1,IF(INDEX('Lease Cycles'!$EF$10:$EL$10,1,AP44)=1,'Lease Cycles'!$C$10*INDEX('Lease Cycles'!$ET$10:$EZ$10,1,AP44)*(1+'Lease Cycles'!$V$10)^INT(INT(AP45/12)/'Lease Cycles'!$W$10)/12,0),0)</f>
        <v>0</v>
      </c>
      <c r="AQ48" s="28">
        <f>IF(AQ46=1,IF(INDEX('Lease Cycles'!$EF$10:$EL$10,1,AQ44)=1,'Lease Cycles'!$C$10*INDEX('Lease Cycles'!$ET$10:$EZ$10,1,AQ44)*(1+'Lease Cycles'!$V$10)^INT(INT(AQ45/12)/'Lease Cycles'!$W$10)/12,0),0)</f>
        <v>0</v>
      </c>
      <c r="AR48" s="28">
        <f>IF(AR46=1,IF(INDEX('Lease Cycles'!$EF$10:$EL$10,1,AR44)=1,'Lease Cycles'!$C$10*INDEX('Lease Cycles'!$ET$10:$EZ$10,1,AR44)*(1+'Lease Cycles'!$V$10)^INT(INT(AR45/12)/'Lease Cycles'!$W$10)/12,0),0)</f>
        <v>0</v>
      </c>
      <c r="AS48" s="28">
        <f>IF(AS46=1,IF(INDEX('Lease Cycles'!$EF$10:$EL$10,1,AS44)=1,'Lease Cycles'!$C$10*INDEX('Lease Cycles'!$ET$10:$EZ$10,1,AS44)*(1+'Lease Cycles'!$V$10)^INT(INT(AS45/12)/'Lease Cycles'!$W$10)/12,0),0)</f>
        <v>0</v>
      </c>
      <c r="AT48" s="28">
        <f>IF(AT46=1,IF(INDEX('Lease Cycles'!$EF$10:$EL$10,1,AT44)=1,'Lease Cycles'!$C$10*INDEX('Lease Cycles'!$ET$10:$EZ$10,1,AT44)*(1+'Lease Cycles'!$V$10)^INT(INT(AT45/12)/'Lease Cycles'!$W$10)/12,0),0)</f>
        <v>0</v>
      </c>
      <c r="AU48" s="28">
        <f>IF(AU46=1,IF(INDEX('Lease Cycles'!$EF$10:$EL$10,1,AU44)=1,'Lease Cycles'!$C$10*INDEX('Lease Cycles'!$ET$10:$EZ$10,1,AU44)*(1+'Lease Cycles'!$V$10)^INT(INT(AU45/12)/'Lease Cycles'!$W$10)/12,0),0)</f>
        <v>0</v>
      </c>
      <c r="AV48" s="28">
        <f>IF(AV46=1,IF(INDEX('Lease Cycles'!$EF$10:$EL$10,1,AV44)=1,'Lease Cycles'!$C$10*INDEX('Lease Cycles'!$ET$10:$EZ$10,1,AV44)*(1+'Lease Cycles'!$V$10)^INT(INT(AV45/12)/'Lease Cycles'!$W$10)/12,0),0)</f>
        <v>0</v>
      </c>
      <c r="AW48" s="28">
        <f>IF(AW46=1,IF(INDEX('Lease Cycles'!$EF$10:$EL$10,1,AW44)=1,'Lease Cycles'!$C$10*INDEX('Lease Cycles'!$ET$10:$EZ$10,1,AW44)*(1+'Lease Cycles'!$V$10)^INT(INT(AW45/12)/'Lease Cycles'!$W$10)/12,0),0)</f>
        <v>0</v>
      </c>
      <c r="AX48" s="28">
        <f>IF(AX46=1,IF(INDEX('Lease Cycles'!$EF$10:$EL$10,1,AX44)=1,'Lease Cycles'!$C$10*INDEX('Lease Cycles'!$ET$10:$EZ$10,1,AX44)*(1+'Lease Cycles'!$V$10)^INT(INT(AX45/12)/'Lease Cycles'!$W$10)/12,0),0)</f>
        <v>0</v>
      </c>
      <c r="AY48" s="28">
        <f>IF(AY46=1,IF(INDEX('Lease Cycles'!$EF$10:$EL$10,1,AY44)=1,'Lease Cycles'!$C$10*INDEX('Lease Cycles'!$ET$10:$EZ$10,1,AY44)*(1+'Lease Cycles'!$V$10)^INT(INT(AY45/12)/'Lease Cycles'!$W$10)/12,0),0)</f>
        <v>0</v>
      </c>
      <c r="AZ48" s="28">
        <f>IF(AZ46=1,IF(INDEX('Lease Cycles'!$EF$10:$EL$10,1,AZ44)=1,'Lease Cycles'!$C$10*INDEX('Lease Cycles'!$ET$10:$EZ$10,1,AZ44)*(1+'Lease Cycles'!$V$10)^INT(INT(AZ45/12)/'Lease Cycles'!$W$10)/12,0),0)</f>
        <v>0</v>
      </c>
      <c r="BA48" s="28">
        <f>IF(BA46=1,IF(INDEX('Lease Cycles'!$EF$10:$EL$10,1,BA44)=1,'Lease Cycles'!$C$10*INDEX('Lease Cycles'!$ET$10:$EZ$10,1,BA44)*(1+'Lease Cycles'!$V$10)^INT(INT(BA45/12)/'Lease Cycles'!$W$10)/12,0),0)</f>
        <v>0</v>
      </c>
      <c r="BB48" s="28">
        <f>IF(BB46=1,IF(INDEX('Lease Cycles'!$EF$10:$EL$10,1,BB44)=1,'Lease Cycles'!$C$10*INDEX('Lease Cycles'!$ET$10:$EZ$10,1,BB44)*(1+'Lease Cycles'!$V$10)^INT(INT(BB45/12)/'Lease Cycles'!$W$10)/12,0),0)</f>
        <v>0</v>
      </c>
      <c r="BC48" s="28">
        <f>IF(BC46=1,IF(INDEX('Lease Cycles'!$EF$10:$EL$10,1,BC44)=1,'Lease Cycles'!$C$10*INDEX('Lease Cycles'!$ET$10:$EZ$10,1,BC44)*(1+'Lease Cycles'!$V$10)^INT(INT(BC45/12)/'Lease Cycles'!$W$10)/12,0),0)</f>
        <v>0</v>
      </c>
      <c r="BD48" s="28">
        <f>IF(BD46=1,IF(INDEX('Lease Cycles'!$EF$10:$EL$10,1,BD44)=1,'Lease Cycles'!$C$10*INDEX('Lease Cycles'!$ET$10:$EZ$10,1,BD44)*(1+'Lease Cycles'!$V$10)^INT(INT(BD45/12)/'Lease Cycles'!$W$10)/12,0),0)</f>
        <v>0</v>
      </c>
      <c r="BE48" s="28">
        <f>IF(BE46=1,IF(INDEX('Lease Cycles'!$EF$10:$EL$10,1,BE44)=1,'Lease Cycles'!$C$10*INDEX('Lease Cycles'!$ET$10:$EZ$10,1,BE44)*(1+'Lease Cycles'!$V$10)^INT(INT(BE45/12)/'Lease Cycles'!$W$10)/12,0),0)</f>
        <v>0</v>
      </c>
      <c r="BF48" s="28">
        <f>IF(BF46=1,IF(INDEX('Lease Cycles'!$EF$10:$EL$10,1,BF44)=1,'Lease Cycles'!$C$10*INDEX('Lease Cycles'!$ET$10:$EZ$10,1,BF44)*(1+'Lease Cycles'!$V$10)^INT(INT(BF45/12)/'Lease Cycles'!$W$10)/12,0),0)</f>
        <v>0</v>
      </c>
      <c r="BG48" s="28">
        <f>IF(BG46=1,IF(INDEX('Lease Cycles'!$EF$10:$EL$10,1,BG44)=1,'Lease Cycles'!$C$10*INDEX('Lease Cycles'!$ET$10:$EZ$10,1,BG44)*(1+'Lease Cycles'!$V$10)^INT(INT(BG45/12)/'Lease Cycles'!$W$10)/12,0),0)</f>
        <v>0</v>
      </c>
      <c r="BH48" s="28">
        <f>IF(BH46=1,IF(INDEX('Lease Cycles'!$EF$10:$EL$10,1,BH44)=1,'Lease Cycles'!$C$10*INDEX('Lease Cycles'!$ET$10:$EZ$10,1,BH44)*(1+'Lease Cycles'!$V$10)^INT(INT(BH45/12)/'Lease Cycles'!$W$10)/12,0),0)</f>
        <v>0</v>
      </c>
      <c r="BI48" s="28">
        <f>IF(BI46=1,IF(INDEX('Lease Cycles'!$EF$10:$EL$10,1,BI44)=1,'Lease Cycles'!$C$10*INDEX('Lease Cycles'!$ET$10:$EZ$10,1,BI44)*(1+'Lease Cycles'!$V$10)^INT(INT(BI45/12)/'Lease Cycles'!$W$10)/12,0),0)</f>
        <v>0</v>
      </c>
      <c r="BJ48" s="28">
        <f>IF(BJ46=1,IF(INDEX('Lease Cycles'!$EF$10:$EL$10,1,BJ44)=1,'Lease Cycles'!$C$10*INDEX('Lease Cycles'!$ET$10:$EZ$10,1,BJ44)*(1+'Lease Cycles'!$V$10)^INT(INT(BJ45/12)/'Lease Cycles'!$W$10)/12,0),0)</f>
        <v>0</v>
      </c>
      <c r="BK48" s="28">
        <f>IF(BK46=1,IF(INDEX('Lease Cycles'!$EF$10:$EL$10,1,BK44)=1,'Lease Cycles'!$C$10*INDEX('Lease Cycles'!$ET$10:$EZ$10,1,BK44)*(1+'Lease Cycles'!$V$10)^INT(INT(BK45/12)/'Lease Cycles'!$W$10)/12,0),0)</f>
        <v>0</v>
      </c>
      <c r="BL48" s="28">
        <f>IF(BL46=1,IF(INDEX('Lease Cycles'!$EF$10:$EL$10,1,BL44)=1,'Lease Cycles'!$C$10*INDEX('Lease Cycles'!$ET$10:$EZ$10,1,BL44)*(1+'Lease Cycles'!$V$10)^INT(INT(BL45/12)/'Lease Cycles'!$W$10)/12,0),0)</f>
        <v>0</v>
      </c>
      <c r="BM48" s="28">
        <f>IF(BM46=1,IF(INDEX('Lease Cycles'!$EF$10:$EL$10,1,BM44)=1,'Lease Cycles'!$C$10*INDEX('Lease Cycles'!$ET$10:$EZ$10,1,BM44)*(1+'Lease Cycles'!$V$10)^INT(INT(BM45/12)/'Lease Cycles'!$W$10)/12,0),0)</f>
        <v>0</v>
      </c>
      <c r="BN48" s="28">
        <f>IF(BN46=1,IF(INDEX('Lease Cycles'!$EF$10:$EL$10,1,BN44)=1,'Lease Cycles'!$C$10*INDEX('Lease Cycles'!$ET$10:$EZ$10,1,BN44)*(1+'Lease Cycles'!$V$10)^INT(INT(BN45/12)/'Lease Cycles'!$W$10)/12,0),0)</f>
        <v>0</v>
      </c>
      <c r="BO48" s="28">
        <f>IF(BO46=1,IF(INDEX('Lease Cycles'!$EF$10:$EL$10,1,BO44)=1,'Lease Cycles'!$C$10*INDEX('Lease Cycles'!$ET$10:$EZ$10,1,BO44)*(1+'Lease Cycles'!$V$10)^INT(INT(BO45/12)/'Lease Cycles'!$W$10)/12,0),0)</f>
        <v>0</v>
      </c>
      <c r="BP48" s="28">
        <f>IF(BP46=1,IF(INDEX('Lease Cycles'!$EF$10:$EL$10,1,BP44)=1,'Lease Cycles'!$C$10*INDEX('Lease Cycles'!$ET$10:$EZ$10,1,BP44)*(1+'Lease Cycles'!$V$10)^INT(INT(BP45/12)/'Lease Cycles'!$W$10)/12,0),0)</f>
        <v>0</v>
      </c>
      <c r="BQ48" s="28">
        <f>IF(BQ46=1,IF(INDEX('Lease Cycles'!$EF$10:$EL$10,1,BQ44)=1,'Lease Cycles'!$C$10*INDEX('Lease Cycles'!$ET$10:$EZ$10,1,BQ44)*(1+'Lease Cycles'!$V$10)^INT(INT(BQ45/12)/'Lease Cycles'!$W$10)/12,0),0)</f>
        <v>0</v>
      </c>
      <c r="BR48" s="28">
        <f>IF(BR46=1,IF(INDEX('Lease Cycles'!$EF$10:$EL$10,1,BR44)=1,'Lease Cycles'!$C$10*INDEX('Lease Cycles'!$ET$10:$EZ$10,1,BR44)*(1+'Lease Cycles'!$V$10)^INT(INT(BR45/12)/'Lease Cycles'!$W$10)/12,0),0)</f>
        <v>0</v>
      </c>
      <c r="BS48" s="28">
        <f>IF(BS46=1,IF(INDEX('Lease Cycles'!$EF$10:$EL$10,1,BS44)=1,'Lease Cycles'!$C$10*INDEX('Lease Cycles'!$ET$10:$EZ$10,1,BS44)*(1+'Lease Cycles'!$V$10)^INT(INT(BS45/12)/'Lease Cycles'!$W$10)/12,0),0)</f>
        <v>0</v>
      </c>
      <c r="BT48" s="28">
        <f>IF(BT46=1,IF(INDEX('Lease Cycles'!$EF$10:$EL$10,1,BT44)=1,'Lease Cycles'!$C$10*INDEX('Lease Cycles'!$ET$10:$EZ$10,1,BT44)*(1+'Lease Cycles'!$V$10)^INT(INT(BT45/12)/'Lease Cycles'!$W$10)/12,0),0)</f>
        <v>0</v>
      </c>
      <c r="BU48" s="28">
        <f>IF(BU46=1,IF(INDEX('Lease Cycles'!$EF$10:$EL$10,1,BU44)=1,'Lease Cycles'!$C$10*INDEX('Lease Cycles'!$ET$10:$EZ$10,1,BU44)*(1+'Lease Cycles'!$V$10)^INT(INT(BU45/12)/'Lease Cycles'!$W$10)/12,0),0)</f>
        <v>0</v>
      </c>
      <c r="BV48" s="28">
        <f>IF(BV46=1,IF(INDEX('Lease Cycles'!$EF$10:$EL$10,1,BV44)=1,'Lease Cycles'!$C$10*INDEX('Lease Cycles'!$ET$10:$EZ$10,1,BV44)*(1+'Lease Cycles'!$V$10)^INT(INT(BV45/12)/'Lease Cycles'!$W$10)/12,0),0)</f>
        <v>0</v>
      </c>
      <c r="BW48" s="28">
        <f>IF(BW46=1,IF(INDEX('Lease Cycles'!$EF$10:$EL$10,1,BW44)=1,'Lease Cycles'!$C$10*INDEX('Lease Cycles'!$ET$10:$EZ$10,1,BW44)*(1+'Lease Cycles'!$V$10)^INT(INT(BW45/12)/'Lease Cycles'!$W$10)/12,0),0)</f>
        <v>0</v>
      </c>
      <c r="BX48" s="28">
        <f>IF(BX46=1,IF(INDEX('Lease Cycles'!$EF$10:$EL$10,1,BX44)=1,'Lease Cycles'!$C$10*INDEX('Lease Cycles'!$ET$10:$EZ$10,1,BX44)*(1+'Lease Cycles'!$V$10)^INT(INT(BX45/12)/'Lease Cycles'!$W$10)/12,0),0)</f>
        <v>0</v>
      </c>
      <c r="BY48" s="28">
        <f>IF(BY46=1,IF(INDEX('Lease Cycles'!$EF$10:$EL$10,1,BY44)=1,'Lease Cycles'!$C$10*INDEX('Lease Cycles'!$ET$10:$EZ$10,1,BY44)*(1+'Lease Cycles'!$V$10)^INT(INT(BY45/12)/'Lease Cycles'!$W$10)/12,0),0)</f>
        <v>0</v>
      </c>
      <c r="BZ48" s="28">
        <f>IF(BZ46=1,IF(INDEX('Lease Cycles'!$EF$10:$EL$10,1,BZ44)=1,'Lease Cycles'!$C$10*INDEX('Lease Cycles'!$ET$10:$EZ$10,1,BZ44)*(1+'Lease Cycles'!$V$10)^INT(INT(BZ45/12)/'Lease Cycles'!$W$10)/12,0),0)</f>
        <v>0</v>
      </c>
      <c r="CA48" s="28">
        <f>IF(CA46=1,IF(INDEX('Lease Cycles'!$EF$10:$EL$10,1,CA44)=1,'Lease Cycles'!$C$10*INDEX('Lease Cycles'!$ET$10:$EZ$10,1,CA44)*(1+'Lease Cycles'!$V$10)^INT(INT(CA45/12)/'Lease Cycles'!$W$10)/12,0),0)</f>
        <v>0</v>
      </c>
      <c r="CB48" s="28">
        <f>IF(CB46=1,IF(INDEX('Lease Cycles'!$EF$10:$EL$10,1,CB44)=1,'Lease Cycles'!$C$10*INDEX('Lease Cycles'!$ET$10:$EZ$10,1,CB44)*(1+'Lease Cycles'!$V$10)^INT(INT(CB45/12)/'Lease Cycles'!$W$10)/12,0),0)</f>
        <v>0</v>
      </c>
      <c r="CC48" s="28">
        <f>IF(CC46=1,IF(INDEX('Lease Cycles'!$EF$10:$EL$10,1,CC44)=1,'Lease Cycles'!$C$10*INDEX('Lease Cycles'!$ET$10:$EZ$10,1,CC44)*(1+'Lease Cycles'!$V$10)^INT(INT(CC45/12)/'Lease Cycles'!$W$10)/12,0),0)</f>
        <v>0</v>
      </c>
      <c r="CD48" s="28">
        <f>IF(CD46=1,IF(INDEX('Lease Cycles'!$EF$10:$EL$10,1,CD44)=1,'Lease Cycles'!$C$10*INDEX('Lease Cycles'!$ET$10:$EZ$10,1,CD44)*(1+'Lease Cycles'!$V$10)^INT(INT(CD45/12)/'Lease Cycles'!$W$10)/12,0),0)</f>
        <v>0</v>
      </c>
      <c r="CE48" s="28">
        <f>IF(CE46=1,IF(INDEX('Lease Cycles'!$EF$10:$EL$10,1,CE44)=1,'Lease Cycles'!$C$10*INDEX('Lease Cycles'!$ET$10:$EZ$10,1,CE44)*(1+'Lease Cycles'!$V$10)^INT(INT(CE45/12)/'Lease Cycles'!$W$10)/12,0),0)</f>
        <v>0</v>
      </c>
      <c r="CF48" s="28">
        <f>IF(CF46=1,IF(INDEX('Lease Cycles'!$EF$10:$EL$10,1,CF44)=1,'Lease Cycles'!$C$10*INDEX('Lease Cycles'!$ET$10:$EZ$10,1,CF44)*(1+'Lease Cycles'!$V$10)^INT(INT(CF45/12)/'Lease Cycles'!$W$10)/12,0),0)</f>
        <v>0</v>
      </c>
      <c r="CG48" s="28">
        <f>IF(CG46=1,IF(INDEX('Lease Cycles'!$EF$10:$EL$10,1,CG44)=1,'Lease Cycles'!$C$10*INDEX('Lease Cycles'!$ET$10:$EZ$10,1,CG44)*(1+'Lease Cycles'!$V$10)^INT(INT(CG45/12)/'Lease Cycles'!$W$10)/12,0),0)</f>
        <v>0</v>
      </c>
      <c r="CH48" s="28">
        <f>IF(CH46=1,IF(INDEX('Lease Cycles'!$EF$10:$EL$10,1,CH44)=1,'Lease Cycles'!$C$10*INDEX('Lease Cycles'!$ET$10:$EZ$10,1,CH44)*(1+'Lease Cycles'!$V$10)^INT(INT(CH45/12)/'Lease Cycles'!$W$10)/12,0),0)</f>
        <v>0</v>
      </c>
      <c r="CI48" s="28">
        <f>IF(CI46=1,IF(INDEX('Lease Cycles'!$EF$10:$EL$10,1,CI44)=1,'Lease Cycles'!$C$10*INDEX('Lease Cycles'!$ET$10:$EZ$10,1,CI44)*(1+'Lease Cycles'!$V$10)^INT(INT(CI45/12)/'Lease Cycles'!$W$10)/12,0),0)</f>
        <v>0</v>
      </c>
      <c r="CJ48" s="28">
        <f>IF(CJ46=1,IF(INDEX('Lease Cycles'!$EF$10:$EL$10,1,CJ44)=1,'Lease Cycles'!$C$10*INDEX('Lease Cycles'!$ET$10:$EZ$10,1,CJ44)*(1+'Lease Cycles'!$V$10)^INT(INT(CJ45/12)/'Lease Cycles'!$W$10)/12,0),0)</f>
        <v>0</v>
      </c>
      <c r="CK48" s="28">
        <f>IF(CK46=1,IF(INDEX('Lease Cycles'!$EF$10:$EL$10,1,CK44)=1,'Lease Cycles'!$C$10*INDEX('Lease Cycles'!$ET$10:$EZ$10,1,CK44)*(1+'Lease Cycles'!$V$10)^INT(INT(CK45/12)/'Lease Cycles'!$W$10)/12,0),0)</f>
        <v>0</v>
      </c>
      <c r="CL48" s="28">
        <f>IF(CL46=1,IF(INDEX('Lease Cycles'!$EF$10:$EL$10,1,CL44)=1,'Lease Cycles'!$C$10*INDEX('Lease Cycles'!$ET$10:$EZ$10,1,CL44)*(1+'Lease Cycles'!$V$10)^INT(INT(CL45/12)/'Lease Cycles'!$W$10)/12,0),0)</f>
        <v>0</v>
      </c>
      <c r="CM48" s="28">
        <f>IF(CM46=1,IF(INDEX('Lease Cycles'!$EF$10:$EL$10,1,CM44)=1,'Lease Cycles'!$C$10*INDEX('Lease Cycles'!$ET$10:$EZ$10,1,CM44)*(1+'Lease Cycles'!$V$10)^INT(INT(CM45/12)/'Lease Cycles'!$W$10)/12,0),0)</f>
        <v>0</v>
      </c>
      <c r="CN48" s="28">
        <f>IF(CN46=1,IF(INDEX('Lease Cycles'!$EF$10:$EL$10,1,CN44)=1,'Lease Cycles'!$C$10*INDEX('Lease Cycles'!$ET$10:$EZ$10,1,CN44)*(1+'Lease Cycles'!$V$10)^INT(INT(CN45/12)/'Lease Cycles'!$W$10)/12,0),0)</f>
        <v>0</v>
      </c>
      <c r="CO48" s="28">
        <f>IF(CO46=1,IF(INDEX('Lease Cycles'!$EF$10:$EL$10,1,CO44)=1,'Lease Cycles'!$C$10*INDEX('Lease Cycles'!$ET$10:$EZ$10,1,CO44)*(1+'Lease Cycles'!$V$10)^INT(INT(CO45/12)/'Lease Cycles'!$W$10)/12,0),0)</f>
        <v>0</v>
      </c>
      <c r="CP48" s="28">
        <f>IF(CP46=1,IF(INDEX('Lease Cycles'!$EF$10:$EL$10,1,CP44)=1,'Lease Cycles'!$C$10*INDEX('Lease Cycles'!$ET$10:$EZ$10,1,CP44)*(1+'Lease Cycles'!$V$10)^INT(INT(CP45/12)/'Lease Cycles'!$W$10)/12,0),0)</f>
        <v>0</v>
      </c>
      <c r="CQ48" s="28">
        <f>IF(CQ46=1,IF(INDEX('Lease Cycles'!$EF$10:$EL$10,1,CQ44)=1,'Lease Cycles'!$C$10*INDEX('Lease Cycles'!$ET$10:$EZ$10,1,CQ44)*(1+'Lease Cycles'!$V$10)^INT(INT(CQ45/12)/'Lease Cycles'!$W$10)/12,0),0)</f>
        <v>0</v>
      </c>
      <c r="CR48" s="28">
        <f>IF(CR46=1,IF(INDEX('Lease Cycles'!$EF$10:$EL$10,1,CR44)=1,'Lease Cycles'!$C$10*INDEX('Lease Cycles'!$ET$10:$EZ$10,1,CR44)*(1+'Lease Cycles'!$V$10)^INT(INT(CR45/12)/'Lease Cycles'!$W$10)/12,0),0)</f>
        <v>0</v>
      </c>
      <c r="CS48" s="28">
        <f>IF(CS46=1,IF(INDEX('Lease Cycles'!$EF$10:$EL$10,1,CS44)=1,'Lease Cycles'!$C$10*INDEX('Lease Cycles'!$ET$10:$EZ$10,1,CS44)*(1+'Lease Cycles'!$V$10)^INT(INT(CS45/12)/'Lease Cycles'!$W$10)/12,0),0)</f>
        <v>0</v>
      </c>
      <c r="CT48" s="28">
        <f>IF(CT46=1,IF(INDEX('Lease Cycles'!$EF$10:$EL$10,1,CT44)=1,'Lease Cycles'!$C$10*INDEX('Lease Cycles'!$ET$10:$EZ$10,1,CT44)*(1+'Lease Cycles'!$V$10)^INT(INT(CT45/12)/'Lease Cycles'!$W$10)/12,0),0)</f>
        <v>0</v>
      </c>
      <c r="CU48" s="28">
        <f>IF(CU46=1,IF(INDEX('Lease Cycles'!$EF$10:$EL$10,1,CU44)=1,'Lease Cycles'!$C$10*INDEX('Lease Cycles'!$ET$10:$EZ$10,1,CU44)*(1+'Lease Cycles'!$V$10)^INT(INT(CU45/12)/'Lease Cycles'!$W$10)/12,0),0)</f>
        <v>0</v>
      </c>
      <c r="CV48" s="28">
        <f>IF(CV46=1,IF(INDEX('Lease Cycles'!$EF$10:$EL$10,1,CV44)=1,'Lease Cycles'!$C$10*INDEX('Lease Cycles'!$ET$10:$EZ$10,1,CV44)*(1+'Lease Cycles'!$V$10)^INT(INT(CV45/12)/'Lease Cycles'!$W$10)/12,0),0)</f>
        <v>0</v>
      </c>
      <c r="CW48" s="28">
        <f>IF(CW46=1,IF(INDEX('Lease Cycles'!$EF$10:$EL$10,1,CW44)=1,'Lease Cycles'!$C$10*INDEX('Lease Cycles'!$ET$10:$EZ$10,1,CW44)*(1+'Lease Cycles'!$V$10)^INT(INT(CW45/12)/'Lease Cycles'!$W$10)/12,0),0)</f>
        <v>0</v>
      </c>
      <c r="CX48" s="28">
        <f>IF(CX46=1,IF(INDEX('Lease Cycles'!$EF$10:$EL$10,1,CX44)=1,'Lease Cycles'!$C$10*INDEX('Lease Cycles'!$ET$10:$EZ$10,1,CX44)*(1+'Lease Cycles'!$V$10)^INT(INT(CX45/12)/'Lease Cycles'!$W$10)/12,0),0)</f>
        <v>0</v>
      </c>
      <c r="CY48" s="28">
        <f>IF(CY46=1,IF(INDEX('Lease Cycles'!$EF$10:$EL$10,1,CY44)=1,'Lease Cycles'!$C$10*INDEX('Lease Cycles'!$ET$10:$EZ$10,1,CY44)*(1+'Lease Cycles'!$V$10)^INT(INT(CY45/12)/'Lease Cycles'!$W$10)/12,0),0)</f>
        <v>0</v>
      </c>
      <c r="CZ48" s="28">
        <f>IF(CZ46=1,IF(INDEX('Lease Cycles'!$EF$10:$EL$10,1,CZ44)=1,'Lease Cycles'!$C$10*INDEX('Lease Cycles'!$ET$10:$EZ$10,1,CZ44)*(1+'Lease Cycles'!$V$10)^INT(INT(CZ45/12)/'Lease Cycles'!$W$10)/12,0),0)</f>
        <v>0</v>
      </c>
      <c r="DA48" s="28">
        <f>IF(DA46=1,IF(INDEX('Lease Cycles'!$EF$10:$EL$10,1,DA44)=1,'Lease Cycles'!$C$10*INDEX('Lease Cycles'!$ET$10:$EZ$10,1,DA44)*(1+'Lease Cycles'!$V$10)^INT(INT(DA45/12)/'Lease Cycles'!$W$10)/12,0),0)</f>
        <v>0</v>
      </c>
      <c r="DB48" s="28">
        <f>IF(DB46=1,IF(INDEX('Lease Cycles'!$EF$10:$EL$10,1,DB44)=1,'Lease Cycles'!$C$10*INDEX('Lease Cycles'!$ET$10:$EZ$10,1,DB44)*(1+'Lease Cycles'!$V$10)^INT(INT(DB45/12)/'Lease Cycles'!$W$10)/12,0),0)</f>
        <v>0</v>
      </c>
      <c r="DC48" s="28">
        <f>IF(DC46=1,IF(INDEX('Lease Cycles'!$EF$10:$EL$10,1,DC44)=1,'Lease Cycles'!$C$10*INDEX('Lease Cycles'!$ET$10:$EZ$10,1,DC44)*(1+'Lease Cycles'!$V$10)^INT(INT(DC45/12)/'Lease Cycles'!$W$10)/12,0),0)</f>
        <v>0</v>
      </c>
      <c r="DD48" s="28">
        <f>IF(DD46=1,IF(INDEX('Lease Cycles'!$EF$10:$EL$10,1,DD44)=1,'Lease Cycles'!$C$10*INDEX('Lease Cycles'!$ET$10:$EZ$10,1,DD44)*(1+'Lease Cycles'!$V$10)^INT(INT(DD45/12)/'Lease Cycles'!$W$10)/12,0),0)</f>
        <v>0</v>
      </c>
      <c r="DE48" s="28">
        <f>IF(DE46=1,IF(INDEX('Lease Cycles'!$EF$10:$EL$10,1,DE44)=1,'Lease Cycles'!$C$10*INDEX('Lease Cycles'!$ET$10:$EZ$10,1,DE44)*(1+'Lease Cycles'!$V$10)^INT(INT(DE45/12)/'Lease Cycles'!$W$10)/12,0),0)</f>
        <v>0</v>
      </c>
      <c r="DF48" s="28">
        <f>IF(DF46=1,IF(INDEX('Lease Cycles'!$EF$10:$EL$10,1,DF44)=1,'Lease Cycles'!$C$10*INDEX('Lease Cycles'!$ET$10:$EZ$10,1,DF44)*(1+'Lease Cycles'!$V$10)^INT(INT(DF45/12)/'Lease Cycles'!$W$10)/12,0),0)</f>
        <v>0</v>
      </c>
      <c r="DG48" s="28">
        <f>IF(DG46=1,IF(INDEX('Lease Cycles'!$EF$10:$EL$10,1,DG44)=1,'Lease Cycles'!$C$10*INDEX('Lease Cycles'!$ET$10:$EZ$10,1,DG44)*(1+'Lease Cycles'!$V$10)^INT(INT(DG45/12)/'Lease Cycles'!$W$10)/12,0),0)</f>
        <v>0</v>
      </c>
      <c r="DH48" s="28">
        <f>IF(DH46=1,IF(INDEX('Lease Cycles'!$EF$10:$EL$10,1,DH44)=1,'Lease Cycles'!$C$10*INDEX('Lease Cycles'!$ET$10:$EZ$10,1,DH44)*(1+'Lease Cycles'!$V$10)^INT(INT(DH45/12)/'Lease Cycles'!$W$10)/12,0),0)</f>
        <v>0</v>
      </c>
      <c r="DI48" s="28">
        <f>IF(DI46=1,IF(INDEX('Lease Cycles'!$EF$10:$EL$10,1,DI44)=1,'Lease Cycles'!$C$10*INDEX('Lease Cycles'!$ET$10:$EZ$10,1,DI44)*(1+'Lease Cycles'!$V$10)^INT(INT(DI45/12)/'Lease Cycles'!$W$10)/12,0),0)</f>
        <v>0</v>
      </c>
      <c r="DJ48" s="28">
        <f>IF(DJ46=1,IF(INDEX('Lease Cycles'!$EF$10:$EL$10,1,DJ44)=1,'Lease Cycles'!$C$10*INDEX('Lease Cycles'!$ET$10:$EZ$10,1,DJ44)*(1+'Lease Cycles'!$V$10)^INT(INT(DJ45/12)/'Lease Cycles'!$W$10)/12,0),0)</f>
        <v>0</v>
      </c>
      <c r="DK48" s="28">
        <f>IF(DK46=1,IF(INDEX('Lease Cycles'!$EF$10:$EL$10,1,DK44)=1,'Lease Cycles'!$C$10*INDEX('Lease Cycles'!$ET$10:$EZ$10,1,DK44)*(1+'Lease Cycles'!$V$10)^INT(INT(DK45/12)/'Lease Cycles'!$W$10)/12,0),0)</f>
        <v>0</v>
      </c>
      <c r="DL48" s="28">
        <f>IF(DL46=1,IF(INDEX('Lease Cycles'!$EF$10:$EL$10,1,DL44)=1,'Lease Cycles'!$C$10*INDEX('Lease Cycles'!$ET$10:$EZ$10,1,DL44)*(1+'Lease Cycles'!$V$10)^INT(INT(DL45/12)/'Lease Cycles'!$W$10)/12,0),0)</f>
        <v>0</v>
      </c>
      <c r="DM48" s="28">
        <f>IF(DM46=1,IF(INDEX('Lease Cycles'!$EF$10:$EL$10,1,DM44)=1,'Lease Cycles'!$C$10*INDEX('Lease Cycles'!$ET$10:$EZ$10,1,DM44)*(1+'Lease Cycles'!$V$10)^INT(INT(DM45/12)/'Lease Cycles'!$W$10)/12,0),0)</f>
        <v>0</v>
      </c>
      <c r="DN48" s="28">
        <f>IF(DN46=1,IF(INDEX('Lease Cycles'!$EF$10:$EL$10,1,DN44)=1,'Lease Cycles'!$C$10*INDEX('Lease Cycles'!$ET$10:$EZ$10,1,DN44)*(1+'Lease Cycles'!$V$10)^INT(INT(DN45/12)/'Lease Cycles'!$W$10)/12,0),0)</f>
        <v>0</v>
      </c>
      <c r="DO48" s="28">
        <f>IF(DO46=1,IF(INDEX('Lease Cycles'!$EF$10:$EL$10,1,DO44)=1,'Lease Cycles'!$C$10*INDEX('Lease Cycles'!$ET$10:$EZ$10,1,DO44)*(1+'Lease Cycles'!$V$10)^INT(INT(DO45/12)/'Lease Cycles'!$W$10)/12,0),0)</f>
        <v>0</v>
      </c>
      <c r="DP48" s="28">
        <f>IF(DP46=1,IF(INDEX('Lease Cycles'!$EF$10:$EL$10,1,DP44)=1,'Lease Cycles'!$C$10*INDEX('Lease Cycles'!$ET$10:$EZ$10,1,DP44)*(1+'Lease Cycles'!$V$10)^INT(INT(DP45/12)/'Lease Cycles'!$W$10)/12,0),0)</f>
        <v>0</v>
      </c>
      <c r="DQ48" s="28">
        <f>IF(DQ46=1,IF(INDEX('Lease Cycles'!$EF$10:$EL$10,1,DQ44)=1,'Lease Cycles'!$C$10*INDEX('Lease Cycles'!$ET$10:$EZ$10,1,DQ44)*(1+'Lease Cycles'!$V$10)^INT(INT(DQ45/12)/'Lease Cycles'!$W$10)/12,0),0)</f>
        <v>0</v>
      </c>
      <c r="DR48" s="28">
        <f>IF(DR46=1,IF(INDEX('Lease Cycles'!$EF$10:$EL$10,1,DR44)=1,'Lease Cycles'!$C$10*INDEX('Lease Cycles'!$ET$10:$EZ$10,1,DR44)*(1+'Lease Cycles'!$V$10)^INT(INT(DR45/12)/'Lease Cycles'!$W$10)/12,0),0)</f>
        <v>0</v>
      </c>
      <c r="DS48" s="28">
        <f>IF(DS46=1,IF(INDEX('Lease Cycles'!$EF$10:$EL$10,1,DS44)=1,'Lease Cycles'!$C$10*INDEX('Lease Cycles'!$ET$10:$EZ$10,1,DS44)*(1+'Lease Cycles'!$V$10)^INT(INT(DS45/12)/'Lease Cycles'!$W$10)/12,0),0)</f>
        <v>0</v>
      </c>
      <c r="DT48" s="28">
        <f>IF(DT46=1,IF(INDEX('Lease Cycles'!$EF$10:$EL$10,1,DT44)=1,'Lease Cycles'!$C$10*INDEX('Lease Cycles'!$ET$10:$EZ$10,1,DT44)*(1+'Lease Cycles'!$V$10)^INT(INT(DT45/12)/'Lease Cycles'!$W$10)/12,0),0)</f>
        <v>0</v>
      </c>
      <c r="DU48" s="28">
        <f>IF(DU46=1,IF(INDEX('Lease Cycles'!$EF$10:$EL$10,1,DU44)=1,'Lease Cycles'!$C$10*INDEX('Lease Cycles'!$ET$10:$EZ$10,1,DU44)*(1+'Lease Cycles'!$V$10)^INT(INT(DU45/12)/'Lease Cycles'!$W$10)/12,0),0)</f>
        <v>0</v>
      </c>
      <c r="DV48" s="28">
        <f>IF(DV46=1,IF(INDEX('Lease Cycles'!$EF$10:$EL$10,1,DV44)=1,'Lease Cycles'!$C$10*INDEX('Lease Cycles'!$ET$10:$EZ$10,1,DV44)*(1+'Lease Cycles'!$V$10)^INT(INT(DV45/12)/'Lease Cycles'!$W$10)/12,0),0)</f>
        <v>0</v>
      </c>
      <c r="DW48" s="28">
        <f>IF(DW46=1,IF(INDEX('Lease Cycles'!$EF$10:$EL$10,1,DW44)=1,'Lease Cycles'!$C$10*INDEX('Lease Cycles'!$ET$10:$EZ$10,1,DW44)*(1+'Lease Cycles'!$V$10)^INT(INT(DW45/12)/'Lease Cycles'!$W$10)/12,0),0)</f>
        <v>0</v>
      </c>
      <c r="DX48" s="28">
        <f>IF(DX46=1,IF(INDEX('Lease Cycles'!$EF$10:$EL$10,1,DX44)=1,'Lease Cycles'!$C$10*INDEX('Lease Cycles'!$ET$10:$EZ$10,1,DX44)*(1+'Lease Cycles'!$V$10)^INT(INT(DX45/12)/'Lease Cycles'!$W$10)/12,0),0)</f>
        <v>0</v>
      </c>
      <c r="DY48" s="28">
        <f>IF(DY46=1,IF(INDEX('Lease Cycles'!$EF$10:$EL$10,1,DY44)=1,'Lease Cycles'!$C$10*INDEX('Lease Cycles'!$ET$10:$EZ$10,1,DY44)*(1+'Lease Cycles'!$V$10)^INT(INT(DY45/12)/'Lease Cycles'!$W$10)/12,0),0)</f>
        <v>0</v>
      </c>
      <c r="DZ48" s="28">
        <f>IF(DZ46=1,IF(INDEX('Lease Cycles'!$EF$10:$EL$10,1,DZ44)=1,'Lease Cycles'!$C$10*INDEX('Lease Cycles'!$ET$10:$EZ$10,1,DZ44)*(1+'Lease Cycles'!$V$10)^INT(INT(DZ45/12)/'Lease Cycles'!$W$10)/12,0),0)</f>
        <v>0</v>
      </c>
      <c r="EA48" s="28">
        <f>IF(EA46=1,IF(INDEX('Lease Cycles'!$EF$10:$EL$10,1,EA44)=1,'Lease Cycles'!$C$10*INDEX('Lease Cycles'!$ET$10:$EZ$10,1,EA44)*(1+'Lease Cycles'!$V$10)^INT(INT(EA45/12)/'Lease Cycles'!$W$10)/12,0),0)</f>
        <v>0</v>
      </c>
      <c r="EB48" s="28">
        <f>IF(EB46=1,IF(INDEX('Lease Cycles'!$EF$10:$EL$10,1,EB44)=1,'Lease Cycles'!$C$10*INDEX('Lease Cycles'!$ET$10:$EZ$10,1,EB44)*(1+'Lease Cycles'!$V$10)^INT(INT(EB45/12)/'Lease Cycles'!$W$10)/12,0),0)</f>
        <v>0</v>
      </c>
      <c r="EC48" s="28">
        <f>IF(EC46=1,IF(INDEX('Lease Cycles'!$EF$10:$EL$10,1,EC44)=1,'Lease Cycles'!$C$10*INDEX('Lease Cycles'!$ET$10:$EZ$10,1,EC44)*(1+'Lease Cycles'!$V$10)^INT(INT(EC45/12)/'Lease Cycles'!$W$10)/12,0),0)</f>
        <v>0</v>
      </c>
      <c r="ED48" s="28">
        <f>IF(ED46=1,IF(INDEX('Lease Cycles'!$EF$10:$EL$10,1,ED44)=1,'Lease Cycles'!$C$10*INDEX('Lease Cycles'!$ET$10:$EZ$10,1,ED44)*(1+'Lease Cycles'!$V$10)^INT(INT(ED45/12)/'Lease Cycles'!$W$10)/12,0),0)</f>
        <v>0</v>
      </c>
      <c r="EE48" s="28">
        <f>IF(EE46=1,IF(INDEX('Lease Cycles'!$EF$10:$EL$10,1,EE44)=1,'Lease Cycles'!$C$10*INDEX('Lease Cycles'!$ET$10:$EZ$10,1,EE44)*(1+'Lease Cycles'!$V$10)^INT(INT(EE45/12)/'Lease Cycles'!$W$10)/12,0),0)</f>
        <v>0</v>
      </c>
      <c r="EF48" s="28">
        <f>IF(EF46=1,IF(INDEX('Lease Cycles'!$EF$10:$EL$10,1,EF44)=1,'Lease Cycles'!$C$10*INDEX('Lease Cycles'!$ET$10:$EZ$10,1,EF44)*(1+'Lease Cycles'!$V$10)^INT(INT(EF45/12)/'Lease Cycles'!$W$10)/12,0),0)</f>
        <v>0</v>
      </c>
      <c r="EG48" s="28">
        <f>IF(EG46=1,IF(INDEX('Lease Cycles'!$EF$10:$EL$10,1,EG44)=1,'Lease Cycles'!$C$10*INDEX('Lease Cycles'!$ET$10:$EZ$10,1,EG44)*(1+'Lease Cycles'!$V$10)^INT(INT(EG45/12)/'Lease Cycles'!$W$10)/12,0),0)</f>
        <v>0</v>
      </c>
      <c r="EH48" s="28">
        <f>IF(EH46=1,IF(INDEX('Lease Cycles'!$EF$10:$EL$10,1,EH44)=1,'Lease Cycles'!$C$10*INDEX('Lease Cycles'!$ET$10:$EZ$10,1,EH44)*(1+'Lease Cycles'!$V$10)^INT(INT(EH45/12)/'Lease Cycles'!$W$10)/12,0),0)</f>
        <v>0</v>
      </c>
      <c r="EI48" s="28">
        <f>IF(EI46=1,IF(INDEX('Lease Cycles'!$EF$10:$EL$10,1,EI44)=1,'Lease Cycles'!$C$10*INDEX('Lease Cycles'!$ET$10:$EZ$10,1,EI44)*(1+'Lease Cycles'!$V$10)^INT(INT(EI45/12)/'Lease Cycles'!$W$10)/12,0),0)</f>
        <v>0</v>
      </c>
      <c r="EJ48" s="28">
        <f>IF(EJ46=1,IF(INDEX('Lease Cycles'!$EF$10:$EL$10,1,EJ44)=1,'Lease Cycles'!$C$10*INDEX('Lease Cycles'!$ET$10:$EZ$10,1,EJ44)*(1+'Lease Cycles'!$V$10)^INT(INT(EJ45/12)/'Lease Cycles'!$W$10)/12,0),0)</f>
        <v>0</v>
      </c>
      <c r="EK48" s="28">
        <f>IF(EK46=1,IF(INDEX('Lease Cycles'!$EF$10:$EL$10,1,EK44)=1,'Lease Cycles'!$C$10*INDEX('Lease Cycles'!$ET$10:$EZ$10,1,EK44)*(1+'Lease Cycles'!$V$10)^INT(INT(EK45/12)/'Lease Cycles'!$W$10)/12,0),0)</f>
        <v>0</v>
      </c>
      <c r="EL48" s="28">
        <f>IF(EL46=1,IF(INDEX('Lease Cycles'!$EF$10:$EL$10,1,EL44)=1,'Lease Cycles'!$C$10*INDEX('Lease Cycles'!$ET$10:$EZ$10,1,EL44)*(1+'Lease Cycles'!$V$10)^INT(INT(EL45/12)/'Lease Cycles'!$W$10)/12,0),0)</f>
        <v>0</v>
      </c>
      <c r="EM48" s="28">
        <f>IF(EM46=1,IF(INDEX('Lease Cycles'!$EF$10:$EL$10,1,EM44)=1,'Lease Cycles'!$C$10*INDEX('Lease Cycles'!$ET$10:$EZ$10,1,EM44)*(1+'Lease Cycles'!$V$10)^INT(INT(EM45/12)/'Lease Cycles'!$W$10)/12,0),0)</f>
        <v>0</v>
      </c>
      <c r="EN48" s="28">
        <f>IF(EN46=1,IF(INDEX('Lease Cycles'!$EF$10:$EL$10,1,EN44)=1,'Lease Cycles'!$C$10*INDEX('Lease Cycles'!$ET$10:$EZ$10,1,EN44)*(1+'Lease Cycles'!$V$10)^INT(INT(EN45/12)/'Lease Cycles'!$W$10)/12,0),0)</f>
        <v>0</v>
      </c>
      <c r="EO48" s="28">
        <f>IF(EO46=1,IF(INDEX('Lease Cycles'!$EF$10:$EL$10,1,EO44)=1,'Lease Cycles'!$C$10*INDEX('Lease Cycles'!$ET$10:$EZ$10,1,EO44)*(1+'Lease Cycles'!$V$10)^INT(INT(EO45/12)/'Lease Cycles'!$W$10)/12,0),0)</f>
        <v>0</v>
      </c>
      <c r="EP48" s="28">
        <f>IF(EP46=1,IF(INDEX('Lease Cycles'!$EF$10:$EL$10,1,EP44)=1,'Lease Cycles'!$C$10*INDEX('Lease Cycles'!$ET$10:$EZ$10,1,EP44)*(1+'Lease Cycles'!$V$10)^INT(INT(EP45/12)/'Lease Cycles'!$W$10)/12,0),0)</f>
        <v>0</v>
      </c>
      <c r="EQ48" s="28">
        <f>IF(EQ46=1,IF(INDEX('Lease Cycles'!$EF$10:$EL$10,1,EQ44)=1,'Lease Cycles'!$C$10*INDEX('Lease Cycles'!$ET$10:$EZ$10,1,EQ44)*(1+'Lease Cycles'!$V$10)^INT(INT(EQ45/12)/'Lease Cycles'!$W$10)/12,0),0)</f>
        <v>0</v>
      </c>
      <c r="ER48" s="28">
        <f>IF(ER46=1,IF(INDEX('Lease Cycles'!$EF$10:$EL$10,1,ER44)=1,'Lease Cycles'!$C$10*INDEX('Lease Cycles'!$ET$10:$EZ$10,1,ER44)*(1+'Lease Cycles'!$V$10)^INT(INT(ER45/12)/'Lease Cycles'!$W$10)/12,0),0)</f>
        <v>0</v>
      </c>
      <c r="ES48" s="28">
        <f>IF(ES46=1,IF(INDEX('Lease Cycles'!$EF$10:$EL$10,1,ES44)=1,'Lease Cycles'!$C$10*INDEX('Lease Cycles'!$ET$10:$EZ$10,1,ES44)*(1+'Lease Cycles'!$V$10)^INT(INT(ES45/12)/'Lease Cycles'!$W$10)/12,0),0)</f>
        <v>0</v>
      </c>
      <c r="ET48" s="28">
        <f>IF(ET46=1,IF(INDEX('Lease Cycles'!$EF$10:$EL$10,1,ET44)=1,'Lease Cycles'!$C$10*INDEX('Lease Cycles'!$ET$10:$EZ$10,1,ET44)*(1+'Lease Cycles'!$V$10)^INT(INT(ET45/12)/'Lease Cycles'!$W$10)/12,0),0)</f>
        <v>0</v>
      </c>
    </row>
    <row r="49">
      <c r="A49" s="103">
        <v>3</v>
      </c>
      <c r="B49" s="23" t="str">
        <f>IF('Lease Cycles'!$B$10="","(empty slot)",'Lease Cycles'!$B$10)</f>
        <v>Sunfield Fitness</v>
      </c>
      <c r="C49" s="23" t="s">
        <v>681</v>
      </c>
      <c r="D49" s="104" t="s">
        <v>490</v>
      </c>
      <c r="E49" s="25">
        <f>'Lease Cycles'!$AL$10</f>
        <v>0</v>
      </c>
      <c r="G49" s="28">
        <f>SUM(S49:AD49)</f>
        <v>96000</v>
      </c>
      <c r="H49" s="28">
        <f>SUM(AE49:AP49)</f>
        <v>96000</v>
      </c>
      <c r="I49" s="28">
        <f>SUM(AQ49:BB49)</f>
        <v>96000</v>
      </c>
      <c r="J49" s="28">
        <f>SUM(BC49:BN49)</f>
        <v>96000</v>
      </c>
      <c r="K49" s="28">
        <f>SUM(BO49:BZ49)</f>
        <v>96000</v>
      </c>
      <c r="L49" s="28">
        <f>SUM(CA49:CL49)</f>
        <v>112372.83560942771</v>
      </c>
      <c r="M49" s="28">
        <f>SUM(CM49:CX49)</f>
        <v>112471.24692548477</v>
      </c>
      <c r="N49" s="28">
        <f>SUM(CY49:DJ49)</f>
        <v>112471.24692548477</v>
      </c>
      <c r="O49" s="28">
        <f>SUM(DK49:DV49)</f>
        <v>112471.24692548477</v>
      </c>
      <c r="P49" s="28">
        <f>SUM(DW49:EH49)</f>
        <v>112471.24692548477</v>
      </c>
      <c r="Q49" s="28">
        <f>SUM(EI49:ET49)</f>
        <v>122781.11122698756</v>
      </c>
      <c r="S49" s="28">
        <f>IF(S46=1,IF(INDEX('Lease Cycles'!$EF$10:$EL$10,1,S44)=1,S47*INDEX('Lease Cycles'!$EM$10:$ES$10,1,S44)+S48*(1-INDEX('Lease Cycles'!$EM$10:$ES$10,1,S44)),S47),S47)</f>
        <v>8000</v>
      </c>
      <c r="T49" s="28">
        <f>IF(T46=1,IF(INDEX('Lease Cycles'!$EF$10:$EL$10,1,T44)=1,T47*INDEX('Lease Cycles'!$EM$10:$ES$10,1,T44)+T48*(1-INDEX('Lease Cycles'!$EM$10:$ES$10,1,T44)),T47),T47)</f>
        <v>8000</v>
      </c>
      <c r="U49" s="28">
        <f>IF(U46=1,IF(INDEX('Lease Cycles'!$EF$10:$EL$10,1,U44)=1,U47*INDEX('Lease Cycles'!$EM$10:$ES$10,1,U44)+U48*(1-INDEX('Lease Cycles'!$EM$10:$ES$10,1,U44)),U47),U47)</f>
        <v>8000</v>
      </c>
      <c r="V49" s="28">
        <f>IF(V46=1,IF(INDEX('Lease Cycles'!$EF$10:$EL$10,1,V44)=1,V47*INDEX('Lease Cycles'!$EM$10:$ES$10,1,V44)+V48*(1-INDEX('Lease Cycles'!$EM$10:$ES$10,1,V44)),V47),V47)</f>
        <v>8000</v>
      </c>
      <c r="W49" s="28">
        <f>IF(W46=1,IF(INDEX('Lease Cycles'!$EF$10:$EL$10,1,W44)=1,W47*INDEX('Lease Cycles'!$EM$10:$ES$10,1,W44)+W48*(1-INDEX('Lease Cycles'!$EM$10:$ES$10,1,W44)),W47),W47)</f>
        <v>8000</v>
      </c>
      <c r="X49" s="28">
        <f>IF(X46=1,IF(INDEX('Lease Cycles'!$EF$10:$EL$10,1,X44)=1,X47*INDEX('Lease Cycles'!$EM$10:$ES$10,1,X44)+X48*(1-INDEX('Lease Cycles'!$EM$10:$ES$10,1,X44)),X47),X47)</f>
        <v>8000</v>
      </c>
      <c r="Y49" s="28">
        <f>IF(Y46=1,IF(INDEX('Lease Cycles'!$EF$10:$EL$10,1,Y44)=1,Y47*INDEX('Lease Cycles'!$EM$10:$ES$10,1,Y44)+Y48*(1-INDEX('Lease Cycles'!$EM$10:$ES$10,1,Y44)),Y47),Y47)</f>
        <v>8000</v>
      </c>
      <c r="Z49" s="28">
        <f>IF(Z46=1,IF(INDEX('Lease Cycles'!$EF$10:$EL$10,1,Z44)=1,Z47*INDEX('Lease Cycles'!$EM$10:$ES$10,1,Z44)+Z48*(1-INDEX('Lease Cycles'!$EM$10:$ES$10,1,Z44)),Z47),Z47)</f>
        <v>8000</v>
      </c>
      <c r="AA49" s="28">
        <f>IF(AA46=1,IF(INDEX('Lease Cycles'!$EF$10:$EL$10,1,AA44)=1,AA47*INDEX('Lease Cycles'!$EM$10:$ES$10,1,AA44)+AA48*(1-INDEX('Lease Cycles'!$EM$10:$ES$10,1,AA44)),AA47),AA47)</f>
        <v>8000</v>
      </c>
      <c r="AB49" s="28">
        <f>IF(AB46=1,IF(INDEX('Lease Cycles'!$EF$10:$EL$10,1,AB44)=1,AB47*INDEX('Lease Cycles'!$EM$10:$ES$10,1,AB44)+AB48*(1-INDEX('Lease Cycles'!$EM$10:$ES$10,1,AB44)),AB47),AB47)</f>
        <v>8000</v>
      </c>
      <c r="AC49" s="28">
        <f>IF(AC46=1,IF(INDEX('Lease Cycles'!$EF$10:$EL$10,1,AC44)=1,AC47*INDEX('Lease Cycles'!$EM$10:$ES$10,1,AC44)+AC48*(1-INDEX('Lease Cycles'!$EM$10:$ES$10,1,AC44)),AC47),AC47)</f>
        <v>8000</v>
      </c>
      <c r="AD49" s="28">
        <f>IF(AD46=1,IF(INDEX('Lease Cycles'!$EF$10:$EL$10,1,AD44)=1,AD47*INDEX('Lease Cycles'!$EM$10:$ES$10,1,AD44)+AD48*(1-INDEX('Lease Cycles'!$EM$10:$ES$10,1,AD44)),AD47),AD47)</f>
        <v>8000</v>
      </c>
      <c r="AE49" s="28">
        <f>IF(AE46=1,IF(INDEX('Lease Cycles'!$EF$10:$EL$10,1,AE44)=1,AE47*INDEX('Lease Cycles'!$EM$10:$ES$10,1,AE44)+AE48*(1-INDEX('Lease Cycles'!$EM$10:$ES$10,1,AE44)),AE47),AE47)</f>
        <v>8000</v>
      </c>
      <c r="AF49" s="28">
        <f>IF(AF46=1,IF(INDEX('Lease Cycles'!$EF$10:$EL$10,1,AF44)=1,AF47*INDEX('Lease Cycles'!$EM$10:$ES$10,1,AF44)+AF48*(1-INDEX('Lease Cycles'!$EM$10:$ES$10,1,AF44)),AF47),AF47)</f>
        <v>8000</v>
      </c>
      <c r="AG49" s="28">
        <f>IF(AG46=1,IF(INDEX('Lease Cycles'!$EF$10:$EL$10,1,AG44)=1,AG47*INDEX('Lease Cycles'!$EM$10:$ES$10,1,AG44)+AG48*(1-INDEX('Lease Cycles'!$EM$10:$ES$10,1,AG44)),AG47),AG47)</f>
        <v>8000</v>
      </c>
      <c r="AH49" s="28">
        <f>IF(AH46=1,IF(INDEX('Lease Cycles'!$EF$10:$EL$10,1,AH44)=1,AH47*INDEX('Lease Cycles'!$EM$10:$ES$10,1,AH44)+AH48*(1-INDEX('Lease Cycles'!$EM$10:$ES$10,1,AH44)),AH47),AH47)</f>
        <v>8000</v>
      </c>
      <c r="AI49" s="28">
        <f>IF(AI46=1,IF(INDEX('Lease Cycles'!$EF$10:$EL$10,1,AI44)=1,AI47*INDEX('Lease Cycles'!$EM$10:$ES$10,1,AI44)+AI48*(1-INDEX('Lease Cycles'!$EM$10:$ES$10,1,AI44)),AI47),AI47)</f>
        <v>8000</v>
      </c>
      <c r="AJ49" s="28">
        <f>IF(AJ46=1,IF(INDEX('Lease Cycles'!$EF$10:$EL$10,1,AJ44)=1,AJ47*INDEX('Lease Cycles'!$EM$10:$ES$10,1,AJ44)+AJ48*(1-INDEX('Lease Cycles'!$EM$10:$ES$10,1,AJ44)),AJ47),AJ47)</f>
        <v>8000</v>
      </c>
      <c r="AK49" s="28">
        <f>IF(AK46=1,IF(INDEX('Lease Cycles'!$EF$10:$EL$10,1,AK44)=1,AK47*INDEX('Lease Cycles'!$EM$10:$ES$10,1,AK44)+AK48*(1-INDEX('Lease Cycles'!$EM$10:$ES$10,1,AK44)),AK47),AK47)</f>
        <v>8000</v>
      </c>
      <c r="AL49" s="28">
        <f>IF(AL46=1,IF(INDEX('Lease Cycles'!$EF$10:$EL$10,1,AL44)=1,AL47*INDEX('Lease Cycles'!$EM$10:$ES$10,1,AL44)+AL48*(1-INDEX('Lease Cycles'!$EM$10:$ES$10,1,AL44)),AL47),AL47)</f>
        <v>8000</v>
      </c>
      <c r="AM49" s="28">
        <f>IF(AM46=1,IF(INDEX('Lease Cycles'!$EF$10:$EL$10,1,AM44)=1,AM47*INDEX('Lease Cycles'!$EM$10:$ES$10,1,AM44)+AM48*(1-INDEX('Lease Cycles'!$EM$10:$ES$10,1,AM44)),AM47),AM47)</f>
        <v>8000</v>
      </c>
      <c r="AN49" s="28">
        <f>IF(AN46=1,IF(INDEX('Lease Cycles'!$EF$10:$EL$10,1,AN44)=1,AN47*INDEX('Lease Cycles'!$EM$10:$ES$10,1,AN44)+AN48*(1-INDEX('Lease Cycles'!$EM$10:$ES$10,1,AN44)),AN47),AN47)</f>
        <v>8000</v>
      </c>
      <c r="AO49" s="28">
        <f>IF(AO46=1,IF(INDEX('Lease Cycles'!$EF$10:$EL$10,1,AO44)=1,AO47*INDEX('Lease Cycles'!$EM$10:$ES$10,1,AO44)+AO48*(1-INDEX('Lease Cycles'!$EM$10:$ES$10,1,AO44)),AO47),AO47)</f>
        <v>8000</v>
      </c>
      <c r="AP49" s="28">
        <f>IF(AP46=1,IF(INDEX('Lease Cycles'!$EF$10:$EL$10,1,AP44)=1,AP47*INDEX('Lease Cycles'!$EM$10:$ES$10,1,AP44)+AP48*(1-INDEX('Lease Cycles'!$EM$10:$ES$10,1,AP44)),AP47),AP47)</f>
        <v>8000</v>
      </c>
      <c r="AQ49" s="28">
        <f>IF(AQ46=1,IF(INDEX('Lease Cycles'!$EF$10:$EL$10,1,AQ44)=1,AQ47*INDEX('Lease Cycles'!$EM$10:$ES$10,1,AQ44)+AQ48*(1-INDEX('Lease Cycles'!$EM$10:$ES$10,1,AQ44)),AQ47),AQ47)</f>
        <v>8000</v>
      </c>
      <c r="AR49" s="28">
        <f>IF(AR46=1,IF(INDEX('Lease Cycles'!$EF$10:$EL$10,1,AR44)=1,AR47*INDEX('Lease Cycles'!$EM$10:$ES$10,1,AR44)+AR48*(1-INDEX('Lease Cycles'!$EM$10:$ES$10,1,AR44)),AR47),AR47)</f>
        <v>8000</v>
      </c>
      <c r="AS49" s="28">
        <f>IF(AS46=1,IF(INDEX('Lease Cycles'!$EF$10:$EL$10,1,AS44)=1,AS47*INDEX('Lease Cycles'!$EM$10:$ES$10,1,AS44)+AS48*(1-INDEX('Lease Cycles'!$EM$10:$ES$10,1,AS44)),AS47),AS47)</f>
        <v>8000</v>
      </c>
      <c r="AT49" s="28">
        <f>IF(AT46=1,IF(INDEX('Lease Cycles'!$EF$10:$EL$10,1,AT44)=1,AT47*INDEX('Lease Cycles'!$EM$10:$ES$10,1,AT44)+AT48*(1-INDEX('Lease Cycles'!$EM$10:$ES$10,1,AT44)),AT47),AT47)</f>
        <v>8000</v>
      </c>
      <c r="AU49" s="28">
        <f>IF(AU46=1,IF(INDEX('Lease Cycles'!$EF$10:$EL$10,1,AU44)=1,AU47*INDEX('Lease Cycles'!$EM$10:$ES$10,1,AU44)+AU48*(1-INDEX('Lease Cycles'!$EM$10:$ES$10,1,AU44)),AU47),AU47)</f>
        <v>8000</v>
      </c>
      <c r="AV49" s="28">
        <f>IF(AV46=1,IF(INDEX('Lease Cycles'!$EF$10:$EL$10,1,AV44)=1,AV47*INDEX('Lease Cycles'!$EM$10:$ES$10,1,AV44)+AV48*(1-INDEX('Lease Cycles'!$EM$10:$ES$10,1,AV44)),AV47),AV47)</f>
        <v>8000</v>
      </c>
      <c r="AW49" s="28">
        <f>IF(AW46=1,IF(INDEX('Lease Cycles'!$EF$10:$EL$10,1,AW44)=1,AW47*INDEX('Lease Cycles'!$EM$10:$ES$10,1,AW44)+AW48*(1-INDEX('Lease Cycles'!$EM$10:$ES$10,1,AW44)),AW47),AW47)</f>
        <v>8000</v>
      </c>
      <c r="AX49" s="28">
        <f>IF(AX46=1,IF(INDEX('Lease Cycles'!$EF$10:$EL$10,1,AX44)=1,AX47*INDEX('Lease Cycles'!$EM$10:$ES$10,1,AX44)+AX48*(1-INDEX('Lease Cycles'!$EM$10:$ES$10,1,AX44)),AX47),AX47)</f>
        <v>8000</v>
      </c>
      <c r="AY49" s="28">
        <f>IF(AY46=1,IF(INDEX('Lease Cycles'!$EF$10:$EL$10,1,AY44)=1,AY47*INDEX('Lease Cycles'!$EM$10:$ES$10,1,AY44)+AY48*(1-INDEX('Lease Cycles'!$EM$10:$ES$10,1,AY44)),AY47),AY47)</f>
        <v>8000</v>
      </c>
      <c r="AZ49" s="28">
        <f>IF(AZ46=1,IF(INDEX('Lease Cycles'!$EF$10:$EL$10,1,AZ44)=1,AZ47*INDEX('Lease Cycles'!$EM$10:$ES$10,1,AZ44)+AZ48*(1-INDEX('Lease Cycles'!$EM$10:$ES$10,1,AZ44)),AZ47),AZ47)</f>
        <v>8000</v>
      </c>
      <c r="BA49" s="28">
        <f>IF(BA46=1,IF(INDEX('Lease Cycles'!$EF$10:$EL$10,1,BA44)=1,BA47*INDEX('Lease Cycles'!$EM$10:$ES$10,1,BA44)+BA48*(1-INDEX('Lease Cycles'!$EM$10:$ES$10,1,BA44)),BA47),BA47)</f>
        <v>8000</v>
      </c>
      <c r="BB49" s="28">
        <f>IF(BB46=1,IF(INDEX('Lease Cycles'!$EF$10:$EL$10,1,BB44)=1,BB47*INDEX('Lease Cycles'!$EM$10:$ES$10,1,BB44)+BB48*(1-INDEX('Lease Cycles'!$EM$10:$ES$10,1,BB44)),BB47),BB47)</f>
        <v>8000</v>
      </c>
      <c r="BC49" s="28">
        <f>IF(BC46=1,IF(INDEX('Lease Cycles'!$EF$10:$EL$10,1,BC44)=1,BC47*INDEX('Lease Cycles'!$EM$10:$ES$10,1,BC44)+BC48*(1-INDEX('Lease Cycles'!$EM$10:$ES$10,1,BC44)),BC47),BC47)</f>
        <v>8000</v>
      </c>
      <c r="BD49" s="28">
        <f>IF(BD46=1,IF(INDEX('Lease Cycles'!$EF$10:$EL$10,1,BD44)=1,BD47*INDEX('Lease Cycles'!$EM$10:$ES$10,1,BD44)+BD48*(1-INDEX('Lease Cycles'!$EM$10:$ES$10,1,BD44)),BD47),BD47)</f>
        <v>8000</v>
      </c>
      <c r="BE49" s="28">
        <f>IF(BE46=1,IF(INDEX('Lease Cycles'!$EF$10:$EL$10,1,BE44)=1,BE47*INDEX('Lease Cycles'!$EM$10:$ES$10,1,BE44)+BE48*(1-INDEX('Lease Cycles'!$EM$10:$ES$10,1,BE44)),BE47),BE47)</f>
        <v>8000</v>
      </c>
      <c r="BF49" s="28">
        <f>IF(BF46=1,IF(INDEX('Lease Cycles'!$EF$10:$EL$10,1,BF44)=1,BF47*INDEX('Lease Cycles'!$EM$10:$ES$10,1,BF44)+BF48*(1-INDEX('Lease Cycles'!$EM$10:$ES$10,1,BF44)),BF47),BF47)</f>
        <v>8000</v>
      </c>
      <c r="BG49" s="28">
        <f>IF(BG46=1,IF(INDEX('Lease Cycles'!$EF$10:$EL$10,1,BG44)=1,BG47*INDEX('Lease Cycles'!$EM$10:$ES$10,1,BG44)+BG48*(1-INDEX('Lease Cycles'!$EM$10:$ES$10,1,BG44)),BG47),BG47)</f>
        <v>8000</v>
      </c>
      <c r="BH49" s="28">
        <f>IF(BH46=1,IF(INDEX('Lease Cycles'!$EF$10:$EL$10,1,BH44)=1,BH47*INDEX('Lease Cycles'!$EM$10:$ES$10,1,BH44)+BH48*(1-INDEX('Lease Cycles'!$EM$10:$ES$10,1,BH44)),BH47),BH47)</f>
        <v>8000</v>
      </c>
      <c r="BI49" s="28">
        <f>IF(BI46=1,IF(INDEX('Lease Cycles'!$EF$10:$EL$10,1,BI44)=1,BI47*INDEX('Lease Cycles'!$EM$10:$ES$10,1,BI44)+BI48*(1-INDEX('Lease Cycles'!$EM$10:$ES$10,1,BI44)),BI47),BI47)</f>
        <v>8000</v>
      </c>
      <c r="BJ49" s="28">
        <f>IF(BJ46=1,IF(INDEX('Lease Cycles'!$EF$10:$EL$10,1,BJ44)=1,BJ47*INDEX('Lease Cycles'!$EM$10:$ES$10,1,BJ44)+BJ48*(1-INDEX('Lease Cycles'!$EM$10:$ES$10,1,BJ44)),BJ47),BJ47)</f>
        <v>8000</v>
      </c>
      <c r="BK49" s="28">
        <f>IF(BK46=1,IF(INDEX('Lease Cycles'!$EF$10:$EL$10,1,BK44)=1,BK47*INDEX('Lease Cycles'!$EM$10:$ES$10,1,BK44)+BK48*(1-INDEX('Lease Cycles'!$EM$10:$ES$10,1,BK44)),BK47),BK47)</f>
        <v>8000</v>
      </c>
      <c r="BL49" s="28">
        <f>IF(BL46=1,IF(INDEX('Lease Cycles'!$EF$10:$EL$10,1,BL44)=1,BL47*INDEX('Lease Cycles'!$EM$10:$ES$10,1,BL44)+BL48*(1-INDEX('Lease Cycles'!$EM$10:$ES$10,1,BL44)),BL47),BL47)</f>
        <v>8000</v>
      </c>
      <c r="BM49" s="28">
        <f>IF(BM46=1,IF(INDEX('Lease Cycles'!$EF$10:$EL$10,1,BM44)=1,BM47*INDEX('Lease Cycles'!$EM$10:$ES$10,1,BM44)+BM48*(1-INDEX('Lease Cycles'!$EM$10:$ES$10,1,BM44)),BM47),BM47)</f>
        <v>8000</v>
      </c>
      <c r="BN49" s="28">
        <f>IF(BN46=1,IF(INDEX('Lease Cycles'!$EF$10:$EL$10,1,BN44)=1,BN47*INDEX('Lease Cycles'!$EM$10:$ES$10,1,BN44)+BN48*(1-INDEX('Lease Cycles'!$EM$10:$ES$10,1,BN44)),BN47),BN47)</f>
        <v>8000</v>
      </c>
      <c r="BO49" s="28">
        <f>IF(BO46=1,IF(INDEX('Lease Cycles'!$EF$10:$EL$10,1,BO44)=1,BO47*INDEX('Lease Cycles'!$EM$10:$ES$10,1,BO44)+BO48*(1-INDEX('Lease Cycles'!$EM$10:$ES$10,1,BO44)),BO47),BO47)</f>
        <v>8000</v>
      </c>
      <c r="BP49" s="28">
        <f>IF(BP46=1,IF(INDEX('Lease Cycles'!$EF$10:$EL$10,1,BP44)=1,BP47*INDEX('Lease Cycles'!$EM$10:$ES$10,1,BP44)+BP48*(1-INDEX('Lease Cycles'!$EM$10:$ES$10,1,BP44)),BP47),BP47)</f>
        <v>8000</v>
      </c>
      <c r="BQ49" s="28">
        <f>IF(BQ46=1,IF(INDEX('Lease Cycles'!$EF$10:$EL$10,1,BQ44)=1,BQ47*INDEX('Lease Cycles'!$EM$10:$ES$10,1,BQ44)+BQ48*(1-INDEX('Lease Cycles'!$EM$10:$ES$10,1,BQ44)),BQ47),BQ47)</f>
        <v>8000</v>
      </c>
      <c r="BR49" s="28">
        <f>IF(BR46=1,IF(INDEX('Lease Cycles'!$EF$10:$EL$10,1,BR44)=1,BR47*INDEX('Lease Cycles'!$EM$10:$ES$10,1,BR44)+BR48*(1-INDEX('Lease Cycles'!$EM$10:$ES$10,1,BR44)),BR47),BR47)</f>
        <v>8000</v>
      </c>
      <c r="BS49" s="28">
        <f>IF(BS46=1,IF(INDEX('Lease Cycles'!$EF$10:$EL$10,1,BS44)=1,BS47*INDEX('Lease Cycles'!$EM$10:$ES$10,1,BS44)+BS48*(1-INDEX('Lease Cycles'!$EM$10:$ES$10,1,BS44)),BS47),BS47)</f>
        <v>8000</v>
      </c>
      <c r="BT49" s="28">
        <f>IF(BT46=1,IF(INDEX('Lease Cycles'!$EF$10:$EL$10,1,BT44)=1,BT47*INDEX('Lease Cycles'!$EM$10:$ES$10,1,BT44)+BT48*(1-INDEX('Lease Cycles'!$EM$10:$ES$10,1,BT44)),BT47),BT47)</f>
        <v>8000</v>
      </c>
      <c r="BU49" s="28">
        <f>IF(BU46=1,IF(INDEX('Lease Cycles'!$EF$10:$EL$10,1,BU44)=1,BU47*INDEX('Lease Cycles'!$EM$10:$ES$10,1,BU44)+BU48*(1-INDEX('Lease Cycles'!$EM$10:$ES$10,1,BU44)),BU47),BU47)</f>
        <v>8000</v>
      </c>
      <c r="BV49" s="28">
        <f>IF(BV46=1,IF(INDEX('Lease Cycles'!$EF$10:$EL$10,1,BV44)=1,BV47*INDEX('Lease Cycles'!$EM$10:$ES$10,1,BV44)+BV48*(1-INDEX('Lease Cycles'!$EM$10:$ES$10,1,BV44)),BV47),BV47)</f>
        <v>8000</v>
      </c>
      <c r="BW49" s="28">
        <f>IF(BW46=1,IF(INDEX('Lease Cycles'!$EF$10:$EL$10,1,BW44)=1,BW47*INDEX('Lease Cycles'!$EM$10:$ES$10,1,BW44)+BW48*(1-INDEX('Lease Cycles'!$EM$10:$ES$10,1,BW44)),BW47),BW47)</f>
        <v>8000</v>
      </c>
      <c r="BX49" s="28">
        <f>IF(BX46=1,IF(INDEX('Lease Cycles'!$EF$10:$EL$10,1,BX44)=1,BX47*INDEX('Lease Cycles'!$EM$10:$ES$10,1,BX44)+BX48*(1-INDEX('Lease Cycles'!$EM$10:$ES$10,1,BX44)),BX47),BX47)</f>
        <v>8000</v>
      </c>
      <c r="BY49" s="28">
        <f>IF(BY46=1,IF(INDEX('Lease Cycles'!$EF$10:$EL$10,1,BY44)=1,BY47*INDEX('Lease Cycles'!$EM$10:$ES$10,1,BY44)+BY48*(1-INDEX('Lease Cycles'!$EM$10:$ES$10,1,BY44)),BY47),BY47)</f>
        <v>8000</v>
      </c>
      <c r="BZ49" s="28">
        <f>IF(BZ46=1,IF(INDEX('Lease Cycles'!$EF$10:$EL$10,1,BZ44)=1,BZ47*INDEX('Lease Cycles'!$EM$10:$ES$10,1,BZ44)+BZ48*(1-INDEX('Lease Cycles'!$EM$10:$ES$10,1,BZ44)),BZ47),BZ47)</f>
        <v>8000</v>
      </c>
      <c r="CA49" s="28">
        <f>IF(CA46=1,IF(INDEX('Lease Cycles'!$EF$10:$EL$10,1,CA44)=1,CA47*INDEX('Lease Cycles'!$EM$10:$ES$10,1,CA44)+CA48*(1-INDEX('Lease Cycles'!$EM$10:$ES$10,1,CA44)),CA47),CA47)</f>
        <v>9274.192594400001</v>
      </c>
      <c r="CB49" s="28">
        <f>IF(CB46=1,IF(INDEX('Lease Cycles'!$EF$10:$EL$10,1,CB44)=1,CB47*INDEX('Lease Cycles'!$EM$10:$ES$10,1,CB44)+CB48*(1-INDEX('Lease Cycles'!$EM$10:$ES$10,1,CB44)),CB47),CB47)</f>
        <v>9372.603910457065</v>
      </c>
      <c r="CC49" s="28">
        <f>IF(CC46=1,IF(INDEX('Lease Cycles'!$EF$10:$EL$10,1,CC44)=1,CC47*INDEX('Lease Cycles'!$EM$10:$ES$10,1,CC44)+CC48*(1-INDEX('Lease Cycles'!$EM$10:$ES$10,1,CC44)),CC47),CC47)</f>
        <v>9372.603910457065</v>
      </c>
      <c r="CD49" s="28">
        <f>IF(CD46=1,IF(INDEX('Lease Cycles'!$EF$10:$EL$10,1,CD44)=1,CD47*INDEX('Lease Cycles'!$EM$10:$ES$10,1,CD44)+CD48*(1-INDEX('Lease Cycles'!$EM$10:$ES$10,1,CD44)),CD47),CD47)</f>
        <v>9372.603910457065</v>
      </c>
      <c r="CE49" s="28">
        <f>IF(CE46=1,IF(INDEX('Lease Cycles'!$EF$10:$EL$10,1,CE44)=1,CE47*INDEX('Lease Cycles'!$EM$10:$ES$10,1,CE44)+CE48*(1-INDEX('Lease Cycles'!$EM$10:$ES$10,1,CE44)),CE47),CE47)</f>
        <v>9372.603910457065</v>
      </c>
      <c r="CF49" s="28">
        <f>IF(CF46=1,IF(INDEX('Lease Cycles'!$EF$10:$EL$10,1,CF44)=1,CF47*INDEX('Lease Cycles'!$EM$10:$ES$10,1,CF44)+CF48*(1-INDEX('Lease Cycles'!$EM$10:$ES$10,1,CF44)),CF47),CF47)</f>
        <v>9372.603910457065</v>
      </c>
      <c r="CG49" s="28">
        <f>IF(CG46=1,IF(INDEX('Lease Cycles'!$EF$10:$EL$10,1,CG44)=1,CG47*INDEX('Lease Cycles'!$EM$10:$ES$10,1,CG44)+CG48*(1-INDEX('Lease Cycles'!$EM$10:$ES$10,1,CG44)),CG47),CG47)</f>
        <v>9372.603910457065</v>
      </c>
      <c r="CH49" s="28">
        <f>IF(CH46=1,IF(INDEX('Lease Cycles'!$EF$10:$EL$10,1,CH44)=1,CH47*INDEX('Lease Cycles'!$EM$10:$ES$10,1,CH44)+CH48*(1-INDEX('Lease Cycles'!$EM$10:$ES$10,1,CH44)),CH47),CH47)</f>
        <v>9372.603910457065</v>
      </c>
      <c r="CI49" s="28">
        <f>IF(CI46=1,IF(INDEX('Lease Cycles'!$EF$10:$EL$10,1,CI44)=1,CI47*INDEX('Lease Cycles'!$EM$10:$ES$10,1,CI44)+CI48*(1-INDEX('Lease Cycles'!$EM$10:$ES$10,1,CI44)),CI47),CI47)</f>
        <v>9372.603910457065</v>
      </c>
      <c r="CJ49" s="28">
        <f>IF(CJ46=1,IF(INDEX('Lease Cycles'!$EF$10:$EL$10,1,CJ44)=1,CJ47*INDEX('Lease Cycles'!$EM$10:$ES$10,1,CJ44)+CJ48*(1-INDEX('Lease Cycles'!$EM$10:$ES$10,1,CJ44)),CJ47),CJ47)</f>
        <v>9372.603910457065</v>
      </c>
      <c r="CK49" s="28">
        <f>IF(CK46=1,IF(INDEX('Lease Cycles'!$EF$10:$EL$10,1,CK44)=1,CK47*INDEX('Lease Cycles'!$EM$10:$ES$10,1,CK44)+CK48*(1-INDEX('Lease Cycles'!$EM$10:$ES$10,1,CK44)),CK47),CK47)</f>
        <v>9372.603910457065</v>
      </c>
      <c r="CL49" s="28">
        <f>IF(CL46=1,IF(INDEX('Lease Cycles'!$EF$10:$EL$10,1,CL44)=1,CL47*INDEX('Lease Cycles'!$EM$10:$ES$10,1,CL44)+CL48*(1-INDEX('Lease Cycles'!$EM$10:$ES$10,1,CL44)),CL47),CL47)</f>
        <v>9372.603910457065</v>
      </c>
      <c r="CM49" s="28">
        <f>IF(CM46=1,IF(INDEX('Lease Cycles'!$EF$10:$EL$10,1,CM44)=1,CM47*INDEX('Lease Cycles'!$EM$10:$ES$10,1,CM44)+CM48*(1-INDEX('Lease Cycles'!$EM$10:$ES$10,1,CM44)),CM47),CM47)</f>
        <v>9372.603910457065</v>
      </c>
      <c r="CN49" s="28">
        <f>IF(CN46=1,IF(INDEX('Lease Cycles'!$EF$10:$EL$10,1,CN44)=1,CN47*INDEX('Lease Cycles'!$EM$10:$ES$10,1,CN44)+CN48*(1-INDEX('Lease Cycles'!$EM$10:$ES$10,1,CN44)),CN47),CN47)</f>
        <v>9372.603910457065</v>
      </c>
      <c r="CO49" s="28">
        <f>IF(CO46=1,IF(INDEX('Lease Cycles'!$EF$10:$EL$10,1,CO44)=1,CO47*INDEX('Lease Cycles'!$EM$10:$ES$10,1,CO44)+CO48*(1-INDEX('Lease Cycles'!$EM$10:$ES$10,1,CO44)),CO47),CO47)</f>
        <v>9372.603910457065</v>
      </c>
      <c r="CP49" s="28">
        <f>IF(CP46=1,IF(INDEX('Lease Cycles'!$EF$10:$EL$10,1,CP44)=1,CP47*INDEX('Lease Cycles'!$EM$10:$ES$10,1,CP44)+CP48*(1-INDEX('Lease Cycles'!$EM$10:$ES$10,1,CP44)),CP47),CP47)</f>
        <v>9372.603910457065</v>
      </c>
      <c r="CQ49" s="28">
        <f>IF(CQ46=1,IF(INDEX('Lease Cycles'!$EF$10:$EL$10,1,CQ44)=1,CQ47*INDEX('Lease Cycles'!$EM$10:$ES$10,1,CQ44)+CQ48*(1-INDEX('Lease Cycles'!$EM$10:$ES$10,1,CQ44)),CQ47),CQ47)</f>
        <v>9372.603910457065</v>
      </c>
      <c r="CR49" s="28">
        <f>IF(CR46=1,IF(INDEX('Lease Cycles'!$EF$10:$EL$10,1,CR44)=1,CR47*INDEX('Lease Cycles'!$EM$10:$ES$10,1,CR44)+CR48*(1-INDEX('Lease Cycles'!$EM$10:$ES$10,1,CR44)),CR47),CR47)</f>
        <v>9372.603910457065</v>
      </c>
      <c r="CS49" s="28">
        <f>IF(CS46=1,IF(INDEX('Lease Cycles'!$EF$10:$EL$10,1,CS44)=1,CS47*INDEX('Lease Cycles'!$EM$10:$ES$10,1,CS44)+CS48*(1-INDEX('Lease Cycles'!$EM$10:$ES$10,1,CS44)),CS47),CS47)</f>
        <v>9372.603910457065</v>
      </c>
      <c r="CT49" s="28">
        <f>IF(CT46=1,IF(INDEX('Lease Cycles'!$EF$10:$EL$10,1,CT44)=1,CT47*INDEX('Lease Cycles'!$EM$10:$ES$10,1,CT44)+CT48*(1-INDEX('Lease Cycles'!$EM$10:$ES$10,1,CT44)),CT47),CT47)</f>
        <v>9372.603910457065</v>
      </c>
      <c r="CU49" s="28">
        <f>IF(CU46=1,IF(INDEX('Lease Cycles'!$EF$10:$EL$10,1,CU44)=1,CU47*INDEX('Lease Cycles'!$EM$10:$ES$10,1,CU44)+CU48*(1-INDEX('Lease Cycles'!$EM$10:$ES$10,1,CU44)),CU47),CU47)</f>
        <v>9372.603910457065</v>
      </c>
      <c r="CV49" s="28">
        <f>IF(CV46=1,IF(INDEX('Lease Cycles'!$EF$10:$EL$10,1,CV44)=1,CV47*INDEX('Lease Cycles'!$EM$10:$ES$10,1,CV44)+CV48*(1-INDEX('Lease Cycles'!$EM$10:$ES$10,1,CV44)),CV47),CV47)</f>
        <v>9372.603910457065</v>
      </c>
      <c r="CW49" s="28">
        <f>IF(CW46=1,IF(INDEX('Lease Cycles'!$EF$10:$EL$10,1,CW44)=1,CW47*INDEX('Lease Cycles'!$EM$10:$ES$10,1,CW44)+CW48*(1-INDEX('Lease Cycles'!$EM$10:$ES$10,1,CW44)),CW47),CW47)</f>
        <v>9372.603910457065</v>
      </c>
      <c r="CX49" s="28">
        <f>IF(CX46=1,IF(INDEX('Lease Cycles'!$EF$10:$EL$10,1,CX44)=1,CX47*INDEX('Lease Cycles'!$EM$10:$ES$10,1,CX44)+CX48*(1-INDEX('Lease Cycles'!$EM$10:$ES$10,1,CX44)),CX47),CX47)</f>
        <v>9372.603910457065</v>
      </c>
      <c r="CY49" s="28">
        <f>IF(CY46=1,IF(INDEX('Lease Cycles'!$EF$10:$EL$10,1,CY44)=1,CY47*INDEX('Lease Cycles'!$EM$10:$ES$10,1,CY44)+CY48*(1-INDEX('Lease Cycles'!$EM$10:$ES$10,1,CY44)),CY47),CY47)</f>
        <v>9372.603910457065</v>
      </c>
      <c r="CZ49" s="28">
        <f>IF(CZ46=1,IF(INDEX('Lease Cycles'!$EF$10:$EL$10,1,CZ44)=1,CZ47*INDEX('Lease Cycles'!$EM$10:$ES$10,1,CZ44)+CZ48*(1-INDEX('Lease Cycles'!$EM$10:$ES$10,1,CZ44)),CZ47),CZ47)</f>
        <v>9372.603910457065</v>
      </c>
      <c r="DA49" s="28">
        <f>IF(DA46=1,IF(INDEX('Lease Cycles'!$EF$10:$EL$10,1,DA44)=1,DA47*INDEX('Lease Cycles'!$EM$10:$ES$10,1,DA44)+DA48*(1-INDEX('Lease Cycles'!$EM$10:$ES$10,1,DA44)),DA47),DA47)</f>
        <v>9372.603910457065</v>
      </c>
      <c r="DB49" s="28">
        <f>IF(DB46=1,IF(INDEX('Lease Cycles'!$EF$10:$EL$10,1,DB44)=1,DB47*INDEX('Lease Cycles'!$EM$10:$ES$10,1,DB44)+DB48*(1-INDEX('Lease Cycles'!$EM$10:$ES$10,1,DB44)),DB47),DB47)</f>
        <v>9372.603910457065</v>
      </c>
      <c r="DC49" s="28">
        <f>IF(DC46=1,IF(INDEX('Lease Cycles'!$EF$10:$EL$10,1,DC44)=1,DC47*INDEX('Lease Cycles'!$EM$10:$ES$10,1,DC44)+DC48*(1-INDEX('Lease Cycles'!$EM$10:$ES$10,1,DC44)),DC47),DC47)</f>
        <v>9372.603910457065</v>
      </c>
      <c r="DD49" s="28">
        <f>IF(DD46=1,IF(INDEX('Lease Cycles'!$EF$10:$EL$10,1,DD44)=1,DD47*INDEX('Lease Cycles'!$EM$10:$ES$10,1,DD44)+DD48*(1-INDEX('Lease Cycles'!$EM$10:$ES$10,1,DD44)),DD47),DD47)</f>
        <v>9372.603910457065</v>
      </c>
      <c r="DE49" s="28">
        <f>IF(DE46=1,IF(INDEX('Lease Cycles'!$EF$10:$EL$10,1,DE44)=1,DE47*INDEX('Lease Cycles'!$EM$10:$ES$10,1,DE44)+DE48*(1-INDEX('Lease Cycles'!$EM$10:$ES$10,1,DE44)),DE47),DE47)</f>
        <v>9372.603910457065</v>
      </c>
      <c r="DF49" s="28">
        <f>IF(DF46=1,IF(INDEX('Lease Cycles'!$EF$10:$EL$10,1,DF44)=1,DF47*INDEX('Lease Cycles'!$EM$10:$ES$10,1,DF44)+DF48*(1-INDEX('Lease Cycles'!$EM$10:$ES$10,1,DF44)),DF47),DF47)</f>
        <v>9372.603910457065</v>
      </c>
      <c r="DG49" s="28">
        <f>IF(DG46=1,IF(INDEX('Lease Cycles'!$EF$10:$EL$10,1,DG44)=1,DG47*INDEX('Lease Cycles'!$EM$10:$ES$10,1,DG44)+DG48*(1-INDEX('Lease Cycles'!$EM$10:$ES$10,1,DG44)),DG47),DG47)</f>
        <v>9372.603910457065</v>
      </c>
      <c r="DH49" s="28">
        <f>IF(DH46=1,IF(INDEX('Lease Cycles'!$EF$10:$EL$10,1,DH44)=1,DH47*INDEX('Lease Cycles'!$EM$10:$ES$10,1,DH44)+DH48*(1-INDEX('Lease Cycles'!$EM$10:$ES$10,1,DH44)),DH47),DH47)</f>
        <v>9372.603910457065</v>
      </c>
      <c r="DI49" s="28">
        <f>IF(DI46=1,IF(INDEX('Lease Cycles'!$EF$10:$EL$10,1,DI44)=1,DI47*INDEX('Lease Cycles'!$EM$10:$ES$10,1,DI44)+DI48*(1-INDEX('Lease Cycles'!$EM$10:$ES$10,1,DI44)),DI47),DI47)</f>
        <v>9372.603910457065</v>
      </c>
      <c r="DJ49" s="28">
        <f>IF(DJ46=1,IF(INDEX('Lease Cycles'!$EF$10:$EL$10,1,DJ44)=1,DJ47*INDEX('Lease Cycles'!$EM$10:$ES$10,1,DJ44)+DJ48*(1-INDEX('Lease Cycles'!$EM$10:$ES$10,1,DJ44)),DJ47),DJ47)</f>
        <v>9372.603910457065</v>
      </c>
      <c r="DK49" s="28">
        <f>IF(DK46=1,IF(INDEX('Lease Cycles'!$EF$10:$EL$10,1,DK44)=1,DK47*INDEX('Lease Cycles'!$EM$10:$ES$10,1,DK44)+DK48*(1-INDEX('Lease Cycles'!$EM$10:$ES$10,1,DK44)),DK47),DK47)</f>
        <v>9372.603910457065</v>
      </c>
      <c r="DL49" s="28">
        <f>IF(DL46=1,IF(INDEX('Lease Cycles'!$EF$10:$EL$10,1,DL44)=1,DL47*INDEX('Lease Cycles'!$EM$10:$ES$10,1,DL44)+DL48*(1-INDEX('Lease Cycles'!$EM$10:$ES$10,1,DL44)),DL47),DL47)</f>
        <v>9372.603910457065</v>
      </c>
      <c r="DM49" s="28">
        <f>IF(DM46=1,IF(INDEX('Lease Cycles'!$EF$10:$EL$10,1,DM44)=1,DM47*INDEX('Lease Cycles'!$EM$10:$ES$10,1,DM44)+DM48*(1-INDEX('Lease Cycles'!$EM$10:$ES$10,1,DM44)),DM47),DM47)</f>
        <v>9372.603910457065</v>
      </c>
      <c r="DN49" s="28">
        <f>IF(DN46=1,IF(INDEX('Lease Cycles'!$EF$10:$EL$10,1,DN44)=1,DN47*INDEX('Lease Cycles'!$EM$10:$ES$10,1,DN44)+DN48*(1-INDEX('Lease Cycles'!$EM$10:$ES$10,1,DN44)),DN47),DN47)</f>
        <v>9372.603910457065</v>
      </c>
      <c r="DO49" s="28">
        <f>IF(DO46=1,IF(INDEX('Lease Cycles'!$EF$10:$EL$10,1,DO44)=1,DO47*INDEX('Lease Cycles'!$EM$10:$ES$10,1,DO44)+DO48*(1-INDEX('Lease Cycles'!$EM$10:$ES$10,1,DO44)),DO47),DO47)</f>
        <v>9372.603910457065</v>
      </c>
      <c r="DP49" s="28">
        <f>IF(DP46=1,IF(INDEX('Lease Cycles'!$EF$10:$EL$10,1,DP44)=1,DP47*INDEX('Lease Cycles'!$EM$10:$ES$10,1,DP44)+DP48*(1-INDEX('Lease Cycles'!$EM$10:$ES$10,1,DP44)),DP47),DP47)</f>
        <v>9372.603910457065</v>
      </c>
      <c r="DQ49" s="28">
        <f>IF(DQ46=1,IF(INDEX('Lease Cycles'!$EF$10:$EL$10,1,DQ44)=1,DQ47*INDEX('Lease Cycles'!$EM$10:$ES$10,1,DQ44)+DQ48*(1-INDEX('Lease Cycles'!$EM$10:$ES$10,1,DQ44)),DQ47),DQ47)</f>
        <v>9372.603910457065</v>
      </c>
      <c r="DR49" s="28">
        <f>IF(DR46=1,IF(INDEX('Lease Cycles'!$EF$10:$EL$10,1,DR44)=1,DR47*INDEX('Lease Cycles'!$EM$10:$ES$10,1,DR44)+DR48*(1-INDEX('Lease Cycles'!$EM$10:$ES$10,1,DR44)),DR47),DR47)</f>
        <v>9372.603910457065</v>
      </c>
      <c r="DS49" s="28">
        <f>IF(DS46=1,IF(INDEX('Lease Cycles'!$EF$10:$EL$10,1,DS44)=1,DS47*INDEX('Lease Cycles'!$EM$10:$ES$10,1,DS44)+DS48*(1-INDEX('Lease Cycles'!$EM$10:$ES$10,1,DS44)),DS47),DS47)</f>
        <v>9372.603910457065</v>
      </c>
      <c r="DT49" s="28">
        <f>IF(DT46=1,IF(INDEX('Lease Cycles'!$EF$10:$EL$10,1,DT44)=1,DT47*INDEX('Lease Cycles'!$EM$10:$ES$10,1,DT44)+DT48*(1-INDEX('Lease Cycles'!$EM$10:$ES$10,1,DT44)),DT47),DT47)</f>
        <v>9372.603910457065</v>
      </c>
      <c r="DU49" s="28">
        <f>IF(DU46=1,IF(INDEX('Lease Cycles'!$EF$10:$EL$10,1,DU44)=1,DU47*INDEX('Lease Cycles'!$EM$10:$ES$10,1,DU44)+DU48*(1-INDEX('Lease Cycles'!$EM$10:$ES$10,1,DU44)),DU47),DU47)</f>
        <v>9372.603910457065</v>
      </c>
      <c r="DV49" s="28">
        <f>IF(DV46=1,IF(INDEX('Lease Cycles'!$EF$10:$EL$10,1,DV44)=1,DV47*INDEX('Lease Cycles'!$EM$10:$ES$10,1,DV44)+DV48*(1-INDEX('Lease Cycles'!$EM$10:$ES$10,1,DV44)),DV47),DV47)</f>
        <v>9372.603910457065</v>
      </c>
      <c r="DW49" s="28">
        <f>IF(DW46=1,IF(INDEX('Lease Cycles'!$EF$10:$EL$10,1,DW44)=1,DW47*INDEX('Lease Cycles'!$EM$10:$ES$10,1,DW44)+DW48*(1-INDEX('Lease Cycles'!$EM$10:$ES$10,1,DW44)),DW47),DW47)</f>
        <v>9372.603910457065</v>
      </c>
      <c r="DX49" s="28">
        <f>IF(DX46=1,IF(INDEX('Lease Cycles'!$EF$10:$EL$10,1,DX44)=1,DX47*INDEX('Lease Cycles'!$EM$10:$ES$10,1,DX44)+DX48*(1-INDEX('Lease Cycles'!$EM$10:$ES$10,1,DX44)),DX47),DX47)</f>
        <v>9372.603910457065</v>
      </c>
      <c r="DY49" s="28">
        <f>IF(DY46=1,IF(INDEX('Lease Cycles'!$EF$10:$EL$10,1,DY44)=1,DY47*INDEX('Lease Cycles'!$EM$10:$ES$10,1,DY44)+DY48*(1-INDEX('Lease Cycles'!$EM$10:$ES$10,1,DY44)),DY47),DY47)</f>
        <v>9372.603910457065</v>
      </c>
      <c r="DZ49" s="28">
        <f>IF(DZ46=1,IF(INDEX('Lease Cycles'!$EF$10:$EL$10,1,DZ44)=1,DZ47*INDEX('Lease Cycles'!$EM$10:$ES$10,1,DZ44)+DZ48*(1-INDEX('Lease Cycles'!$EM$10:$ES$10,1,DZ44)),DZ47),DZ47)</f>
        <v>9372.603910457065</v>
      </c>
      <c r="EA49" s="28">
        <f>IF(EA46=1,IF(INDEX('Lease Cycles'!$EF$10:$EL$10,1,EA44)=1,EA47*INDEX('Lease Cycles'!$EM$10:$ES$10,1,EA44)+EA48*(1-INDEX('Lease Cycles'!$EM$10:$ES$10,1,EA44)),EA47),EA47)</f>
        <v>9372.603910457065</v>
      </c>
      <c r="EB49" s="28">
        <f>IF(EB46=1,IF(INDEX('Lease Cycles'!$EF$10:$EL$10,1,EB44)=1,EB47*INDEX('Lease Cycles'!$EM$10:$ES$10,1,EB44)+EB48*(1-INDEX('Lease Cycles'!$EM$10:$ES$10,1,EB44)),EB47),EB47)</f>
        <v>9372.603910457065</v>
      </c>
      <c r="EC49" s="28">
        <f>IF(EC46=1,IF(INDEX('Lease Cycles'!$EF$10:$EL$10,1,EC44)=1,EC47*INDEX('Lease Cycles'!$EM$10:$ES$10,1,EC44)+EC48*(1-INDEX('Lease Cycles'!$EM$10:$ES$10,1,EC44)),EC47),EC47)</f>
        <v>9372.603910457065</v>
      </c>
      <c r="ED49" s="28">
        <f>IF(ED46=1,IF(INDEX('Lease Cycles'!$EF$10:$EL$10,1,ED44)=1,ED47*INDEX('Lease Cycles'!$EM$10:$ES$10,1,ED44)+ED48*(1-INDEX('Lease Cycles'!$EM$10:$ES$10,1,ED44)),ED47),ED47)</f>
        <v>9372.603910457065</v>
      </c>
      <c r="EE49" s="28">
        <f>IF(EE46=1,IF(INDEX('Lease Cycles'!$EF$10:$EL$10,1,EE44)=1,EE47*INDEX('Lease Cycles'!$EM$10:$ES$10,1,EE44)+EE48*(1-INDEX('Lease Cycles'!$EM$10:$ES$10,1,EE44)),EE47),EE47)</f>
        <v>9372.603910457065</v>
      </c>
      <c r="EF49" s="28">
        <f>IF(EF46=1,IF(INDEX('Lease Cycles'!$EF$10:$EL$10,1,EF44)=1,EF47*INDEX('Lease Cycles'!$EM$10:$ES$10,1,EF44)+EF48*(1-INDEX('Lease Cycles'!$EM$10:$ES$10,1,EF44)),EF47),EF47)</f>
        <v>9372.603910457065</v>
      </c>
      <c r="EG49" s="28">
        <f>IF(EG46=1,IF(INDEX('Lease Cycles'!$EF$10:$EL$10,1,EG44)=1,EG47*INDEX('Lease Cycles'!$EM$10:$ES$10,1,EG44)+EG48*(1-INDEX('Lease Cycles'!$EM$10:$ES$10,1,EG44)),EG47),EG47)</f>
        <v>9372.603910457065</v>
      </c>
      <c r="EH49" s="28">
        <f>IF(EH46=1,IF(INDEX('Lease Cycles'!$EF$10:$EL$10,1,EH44)=1,EH47*INDEX('Lease Cycles'!$EM$10:$ES$10,1,EH44)+EH48*(1-INDEX('Lease Cycles'!$EM$10:$ES$10,1,EH44)),EH47),EH47)</f>
        <v>9372.603910457065</v>
      </c>
      <c r="EI49" s="28">
        <f>IF(EI46=1,IF(INDEX('Lease Cycles'!$EF$10:$EL$10,1,EI44)=1,EI47*INDEX('Lease Cycles'!$EM$10:$ES$10,1,EI44)+EI48*(1-INDEX('Lease Cycles'!$EM$10:$ES$10,1,EI44)),EI47),EI47)</f>
        <v>9372.603910457065</v>
      </c>
      <c r="EJ49" s="28">
        <f>IF(EJ46=1,IF(INDEX('Lease Cycles'!$EF$10:$EL$10,1,EJ44)=1,EJ47*INDEX('Lease Cycles'!$EM$10:$ES$10,1,EJ44)+EJ48*(1-INDEX('Lease Cycles'!$EM$10:$ES$10,1,EJ44)),EJ47),EJ47)</f>
        <v>10309.864301502772</v>
      </c>
      <c r="EK49" s="28">
        <f>IF(EK46=1,IF(INDEX('Lease Cycles'!$EF$10:$EL$10,1,EK44)=1,EK47*INDEX('Lease Cycles'!$EM$10:$ES$10,1,EK44)+EK48*(1-INDEX('Lease Cycles'!$EM$10:$ES$10,1,EK44)),EK47),EK47)</f>
        <v>10309.864301502772</v>
      </c>
      <c r="EL49" s="28">
        <f>IF(EL46=1,IF(INDEX('Lease Cycles'!$EF$10:$EL$10,1,EL44)=1,EL47*INDEX('Lease Cycles'!$EM$10:$ES$10,1,EL44)+EL48*(1-INDEX('Lease Cycles'!$EM$10:$ES$10,1,EL44)),EL47),EL47)</f>
        <v>10309.864301502772</v>
      </c>
      <c r="EM49" s="28">
        <f>IF(EM46=1,IF(INDEX('Lease Cycles'!$EF$10:$EL$10,1,EM44)=1,EM47*INDEX('Lease Cycles'!$EM$10:$ES$10,1,EM44)+EM48*(1-INDEX('Lease Cycles'!$EM$10:$ES$10,1,EM44)),EM47),EM47)</f>
        <v>10309.864301502772</v>
      </c>
      <c r="EN49" s="28">
        <f>IF(EN46=1,IF(INDEX('Lease Cycles'!$EF$10:$EL$10,1,EN44)=1,EN47*INDEX('Lease Cycles'!$EM$10:$ES$10,1,EN44)+EN48*(1-INDEX('Lease Cycles'!$EM$10:$ES$10,1,EN44)),EN47),EN47)</f>
        <v>10309.864301502772</v>
      </c>
      <c r="EO49" s="28">
        <f>IF(EO46=1,IF(INDEX('Lease Cycles'!$EF$10:$EL$10,1,EO44)=1,EO47*INDEX('Lease Cycles'!$EM$10:$ES$10,1,EO44)+EO48*(1-INDEX('Lease Cycles'!$EM$10:$ES$10,1,EO44)),EO47),EO47)</f>
        <v>10309.864301502772</v>
      </c>
      <c r="EP49" s="28">
        <f>IF(EP46=1,IF(INDEX('Lease Cycles'!$EF$10:$EL$10,1,EP44)=1,EP47*INDEX('Lease Cycles'!$EM$10:$ES$10,1,EP44)+EP48*(1-INDEX('Lease Cycles'!$EM$10:$ES$10,1,EP44)),EP47),EP47)</f>
        <v>10309.864301502772</v>
      </c>
      <c r="EQ49" s="28">
        <f>IF(EQ46=1,IF(INDEX('Lease Cycles'!$EF$10:$EL$10,1,EQ44)=1,EQ47*INDEX('Lease Cycles'!$EM$10:$ES$10,1,EQ44)+EQ48*(1-INDEX('Lease Cycles'!$EM$10:$ES$10,1,EQ44)),EQ47),EQ47)</f>
        <v>10309.864301502772</v>
      </c>
      <c r="ER49" s="28">
        <f>IF(ER46=1,IF(INDEX('Lease Cycles'!$EF$10:$EL$10,1,ER44)=1,ER47*INDEX('Lease Cycles'!$EM$10:$ES$10,1,ER44)+ER48*(1-INDEX('Lease Cycles'!$EM$10:$ES$10,1,ER44)),ER47),ER47)</f>
        <v>10309.864301502772</v>
      </c>
      <c r="ES49" s="28">
        <f>IF(ES46=1,IF(INDEX('Lease Cycles'!$EF$10:$EL$10,1,ES44)=1,ES47*INDEX('Lease Cycles'!$EM$10:$ES$10,1,ES44)+ES48*(1-INDEX('Lease Cycles'!$EM$10:$ES$10,1,ES44)),ES47),ES47)</f>
        <v>10309.864301502772</v>
      </c>
      <c r="ET49" s="28">
        <f>IF(ET46=1,IF(INDEX('Lease Cycles'!$EF$10:$EL$10,1,ET44)=1,ET47*INDEX('Lease Cycles'!$EM$10:$ES$10,1,ET44)+ET48*(1-INDEX('Lease Cycles'!$EM$10:$ES$10,1,ET44)),ET47),ET47)</f>
        <v>10309.864301502772</v>
      </c>
    </row>
    <row r="50">
      <c r="A50" s="103">
        <v>3</v>
      </c>
      <c r="B50" s="23" t="str">
        <f>IF('Lease Cycles'!$B$10="","(empty slot)",'Lease Cycles'!$B$10)</f>
        <v>Sunfield Fitness</v>
      </c>
      <c r="C50" s="23" t="s">
        <v>682</v>
      </c>
      <c r="D50" s="104" t="s">
        <v>495</v>
      </c>
      <c r="E50" s="25">
        <f>'Lease Cycles'!$AL$10</f>
        <v>0</v>
      </c>
      <c r="G50" s="28">
        <f>SUM(S50:AD50)</f>
        <v>96000</v>
      </c>
      <c r="H50" s="28">
        <f>SUM(AE50:AP50)</f>
        <v>96000</v>
      </c>
      <c r="I50" s="28">
        <f>SUM(AQ50:BB50)</f>
        <v>96000</v>
      </c>
      <c r="J50" s="28">
        <f>SUM(BC50:BN50)</f>
        <v>96000</v>
      </c>
      <c r="K50" s="28">
        <f>SUM(BO50:BZ50)</f>
        <v>96000</v>
      </c>
      <c r="L50" s="28">
        <f>SUM(CA50:CL50)</f>
        <v>95600.55988666203</v>
      </c>
      <c r="M50" s="28">
        <f>SUM(CM50:CX50)</f>
        <v>112471.24692548477</v>
      </c>
      <c r="N50" s="28">
        <f>SUM(CY50:DJ50)</f>
        <v>112471.24692548477</v>
      </c>
      <c r="O50" s="28">
        <f>SUM(DK50:DV50)</f>
        <v>112471.24692548477</v>
      </c>
      <c r="P50" s="28">
        <f>SUM(DW50:EH50)</f>
        <v>112471.24692548477</v>
      </c>
      <c r="Q50" s="28">
        <f>SUM(EI50:ET50)</f>
        <v>122781.11122698756</v>
      </c>
      <c r="S50" s="28">
        <f>IF(S46=1,IF(INDEX('Lease Cycles'!$EF$10:$EL$10,1,S44)=1,S47*INDEX('Lease Cycles'!$EM$10:$ES$10,1,S44)+S48*IF(S45&lt;INDEX('Lease Cycles'!$FA$10:$FG$10,1,S44),0,1-INDEX('Lease Cycles'!$EM$10:$ES$10,1,S44)),S47*IF(S45&lt;INDEX('Lease Cycles'!$DK$10:$DQ$10,1,S44),0,IF(S45=INDEX('Lease Cycles'!$DK$10:$DQ$10,1,S44),1-INDEX('Lease Cycles'!$DR$10:$DX$10,1,S44),1))),0)</f>
        <v>8000</v>
      </c>
      <c r="T50" s="28">
        <f>IF(T46=1,IF(INDEX('Lease Cycles'!$EF$10:$EL$10,1,T44)=1,T47*INDEX('Lease Cycles'!$EM$10:$ES$10,1,T44)+T48*IF(T45&lt;INDEX('Lease Cycles'!$FA$10:$FG$10,1,T44),0,1-INDEX('Lease Cycles'!$EM$10:$ES$10,1,T44)),T47*IF(T45&lt;INDEX('Lease Cycles'!$DK$10:$DQ$10,1,T44),0,IF(T45=INDEX('Lease Cycles'!$DK$10:$DQ$10,1,T44),1-INDEX('Lease Cycles'!$DR$10:$DX$10,1,T44),1))),0)</f>
        <v>8000</v>
      </c>
      <c r="U50" s="28">
        <f>IF(U46=1,IF(INDEX('Lease Cycles'!$EF$10:$EL$10,1,U44)=1,U47*INDEX('Lease Cycles'!$EM$10:$ES$10,1,U44)+U48*IF(U45&lt;INDEX('Lease Cycles'!$FA$10:$FG$10,1,U44),0,1-INDEX('Lease Cycles'!$EM$10:$ES$10,1,U44)),U47*IF(U45&lt;INDEX('Lease Cycles'!$DK$10:$DQ$10,1,U44),0,IF(U45=INDEX('Lease Cycles'!$DK$10:$DQ$10,1,U44),1-INDEX('Lease Cycles'!$DR$10:$DX$10,1,U44),1))),0)</f>
        <v>8000</v>
      </c>
      <c r="V50" s="28">
        <f>IF(V46=1,IF(INDEX('Lease Cycles'!$EF$10:$EL$10,1,V44)=1,V47*INDEX('Lease Cycles'!$EM$10:$ES$10,1,V44)+V48*IF(V45&lt;INDEX('Lease Cycles'!$FA$10:$FG$10,1,V44),0,1-INDEX('Lease Cycles'!$EM$10:$ES$10,1,V44)),V47*IF(V45&lt;INDEX('Lease Cycles'!$DK$10:$DQ$10,1,V44),0,IF(V45=INDEX('Lease Cycles'!$DK$10:$DQ$10,1,V44),1-INDEX('Lease Cycles'!$DR$10:$DX$10,1,V44),1))),0)</f>
        <v>8000</v>
      </c>
      <c r="W50" s="28">
        <f>IF(W46=1,IF(INDEX('Lease Cycles'!$EF$10:$EL$10,1,W44)=1,W47*INDEX('Lease Cycles'!$EM$10:$ES$10,1,W44)+W48*IF(W45&lt;INDEX('Lease Cycles'!$FA$10:$FG$10,1,W44),0,1-INDEX('Lease Cycles'!$EM$10:$ES$10,1,W44)),W47*IF(W45&lt;INDEX('Lease Cycles'!$DK$10:$DQ$10,1,W44),0,IF(W45=INDEX('Lease Cycles'!$DK$10:$DQ$10,1,W44),1-INDEX('Lease Cycles'!$DR$10:$DX$10,1,W44),1))),0)</f>
        <v>8000</v>
      </c>
      <c r="X50" s="28">
        <f>IF(X46=1,IF(INDEX('Lease Cycles'!$EF$10:$EL$10,1,X44)=1,X47*INDEX('Lease Cycles'!$EM$10:$ES$10,1,X44)+X48*IF(X45&lt;INDEX('Lease Cycles'!$FA$10:$FG$10,1,X44),0,1-INDEX('Lease Cycles'!$EM$10:$ES$10,1,X44)),X47*IF(X45&lt;INDEX('Lease Cycles'!$DK$10:$DQ$10,1,X44),0,IF(X45=INDEX('Lease Cycles'!$DK$10:$DQ$10,1,X44),1-INDEX('Lease Cycles'!$DR$10:$DX$10,1,X44),1))),0)</f>
        <v>8000</v>
      </c>
      <c r="Y50" s="28">
        <f>IF(Y46=1,IF(INDEX('Lease Cycles'!$EF$10:$EL$10,1,Y44)=1,Y47*INDEX('Lease Cycles'!$EM$10:$ES$10,1,Y44)+Y48*IF(Y45&lt;INDEX('Lease Cycles'!$FA$10:$FG$10,1,Y44),0,1-INDEX('Lease Cycles'!$EM$10:$ES$10,1,Y44)),Y47*IF(Y45&lt;INDEX('Lease Cycles'!$DK$10:$DQ$10,1,Y44),0,IF(Y45=INDEX('Lease Cycles'!$DK$10:$DQ$10,1,Y44),1-INDEX('Lease Cycles'!$DR$10:$DX$10,1,Y44),1))),0)</f>
        <v>8000</v>
      </c>
      <c r="Z50" s="28">
        <f>IF(Z46=1,IF(INDEX('Lease Cycles'!$EF$10:$EL$10,1,Z44)=1,Z47*INDEX('Lease Cycles'!$EM$10:$ES$10,1,Z44)+Z48*IF(Z45&lt;INDEX('Lease Cycles'!$FA$10:$FG$10,1,Z44),0,1-INDEX('Lease Cycles'!$EM$10:$ES$10,1,Z44)),Z47*IF(Z45&lt;INDEX('Lease Cycles'!$DK$10:$DQ$10,1,Z44),0,IF(Z45=INDEX('Lease Cycles'!$DK$10:$DQ$10,1,Z44),1-INDEX('Lease Cycles'!$DR$10:$DX$10,1,Z44),1))),0)</f>
        <v>8000</v>
      </c>
      <c r="AA50" s="28">
        <f>IF(AA46=1,IF(INDEX('Lease Cycles'!$EF$10:$EL$10,1,AA44)=1,AA47*INDEX('Lease Cycles'!$EM$10:$ES$10,1,AA44)+AA48*IF(AA45&lt;INDEX('Lease Cycles'!$FA$10:$FG$10,1,AA44),0,1-INDEX('Lease Cycles'!$EM$10:$ES$10,1,AA44)),AA47*IF(AA45&lt;INDEX('Lease Cycles'!$DK$10:$DQ$10,1,AA44),0,IF(AA45=INDEX('Lease Cycles'!$DK$10:$DQ$10,1,AA44),1-INDEX('Lease Cycles'!$DR$10:$DX$10,1,AA44),1))),0)</f>
        <v>8000</v>
      </c>
      <c r="AB50" s="28">
        <f>IF(AB46=1,IF(INDEX('Lease Cycles'!$EF$10:$EL$10,1,AB44)=1,AB47*INDEX('Lease Cycles'!$EM$10:$ES$10,1,AB44)+AB48*IF(AB45&lt;INDEX('Lease Cycles'!$FA$10:$FG$10,1,AB44),0,1-INDEX('Lease Cycles'!$EM$10:$ES$10,1,AB44)),AB47*IF(AB45&lt;INDEX('Lease Cycles'!$DK$10:$DQ$10,1,AB44),0,IF(AB45=INDEX('Lease Cycles'!$DK$10:$DQ$10,1,AB44),1-INDEX('Lease Cycles'!$DR$10:$DX$10,1,AB44),1))),0)</f>
        <v>8000</v>
      </c>
      <c r="AC50" s="28">
        <f>IF(AC46=1,IF(INDEX('Lease Cycles'!$EF$10:$EL$10,1,AC44)=1,AC47*INDEX('Lease Cycles'!$EM$10:$ES$10,1,AC44)+AC48*IF(AC45&lt;INDEX('Lease Cycles'!$FA$10:$FG$10,1,AC44),0,1-INDEX('Lease Cycles'!$EM$10:$ES$10,1,AC44)),AC47*IF(AC45&lt;INDEX('Lease Cycles'!$DK$10:$DQ$10,1,AC44),0,IF(AC45=INDEX('Lease Cycles'!$DK$10:$DQ$10,1,AC44),1-INDEX('Lease Cycles'!$DR$10:$DX$10,1,AC44),1))),0)</f>
        <v>8000</v>
      </c>
      <c r="AD50" s="28">
        <f>IF(AD46=1,IF(INDEX('Lease Cycles'!$EF$10:$EL$10,1,AD44)=1,AD47*INDEX('Lease Cycles'!$EM$10:$ES$10,1,AD44)+AD48*IF(AD45&lt;INDEX('Lease Cycles'!$FA$10:$FG$10,1,AD44),0,1-INDEX('Lease Cycles'!$EM$10:$ES$10,1,AD44)),AD47*IF(AD45&lt;INDEX('Lease Cycles'!$DK$10:$DQ$10,1,AD44),0,IF(AD45=INDEX('Lease Cycles'!$DK$10:$DQ$10,1,AD44),1-INDEX('Lease Cycles'!$DR$10:$DX$10,1,AD44),1))),0)</f>
        <v>8000</v>
      </c>
      <c r="AE50" s="28">
        <f>IF(AE46=1,IF(INDEX('Lease Cycles'!$EF$10:$EL$10,1,AE44)=1,AE47*INDEX('Lease Cycles'!$EM$10:$ES$10,1,AE44)+AE48*IF(AE45&lt;INDEX('Lease Cycles'!$FA$10:$FG$10,1,AE44),0,1-INDEX('Lease Cycles'!$EM$10:$ES$10,1,AE44)),AE47*IF(AE45&lt;INDEX('Lease Cycles'!$DK$10:$DQ$10,1,AE44),0,IF(AE45=INDEX('Lease Cycles'!$DK$10:$DQ$10,1,AE44),1-INDEX('Lease Cycles'!$DR$10:$DX$10,1,AE44),1))),0)</f>
        <v>8000</v>
      </c>
      <c r="AF50" s="28">
        <f>IF(AF46=1,IF(INDEX('Lease Cycles'!$EF$10:$EL$10,1,AF44)=1,AF47*INDEX('Lease Cycles'!$EM$10:$ES$10,1,AF44)+AF48*IF(AF45&lt;INDEX('Lease Cycles'!$FA$10:$FG$10,1,AF44),0,1-INDEX('Lease Cycles'!$EM$10:$ES$10,1,AF44)),AF47*IF(AF45&lt;INDEX('Lease Cycles'!$DK$10:$DQ$10,1,AF44),0,IF(AF45=INDEX('Lease Cycles'!$DK$10:$DQ$10,1,AF44),1-INDEX('Lease Cycles'!$DR$10:$DX$10,1,AF44),1))),0)</f>
        <v>8000</v>
      </c>
      <c r="AG50" s="28">
        <f>IF(AG46=1,IF(INDEX('Lease Cycles'!$EF$10:$EL$10,1,AG44)=1,AG47*INDEX('Lease Cycles'!$EM$10:$ES$10,1,AG44)+AG48*IF(AG45&lt;INDEX('Lease Cycles'!$FA$10:$FG$10,1,AG44),0,1-INDEX('Lease Cycles'!$EM$10:$ES$10,1,AG44)),AG47*IF(AG45&lt;INDEX('Lease Cycles'!$DK$10:$DQ$10,1,AG44),0,IF(AG45=INDEX('Lease Cycles'!$DK$10:$DQ$10,1,AG44),1-INDEX('Lease Cycles'!$DR$10:$DX$10,1,AG44),1))),0)</f>
        <v>8000</v>
      </c>
      <c r="AH50" s="28">
        <f>IF(AH46=1,IF(INDEX('Lease Cycles'!$EF$10:$EL$10,1,AH44)=1,AH47*INDEX('Lease Cycles'!$EM$10:$ES$10,1,AH44)+AH48*IF(AH45&lt;INDEX('Lease Cycles'!$FA$10:$FG$10,1,AH44),0,1-INDEX('Lease Cycles'!$EM$10:$ES$10,1,AH44)),AH47*IF(AH45&lt;INDEX('Lease Cycles'!$DK$10:$DQ$10,1,AH44),0,IF(AH45=INDEX('Lease Cycles'!$DK$10:$DQ$10,1,AH44),1-INDEX('Lease Cycles'!$DR$10:$DX$10,1,AH44),1))),0)</f>
        <v>8000</v>
      </c>
      <c r="AI50" s="28">
        <f>IF(AI46=1,IF(INDEX('Lease Cycles'!$EF$10:$EL$10,1,AI44)=1,AI47*INDEX('Lease Cycles'!$EM$10:$ES$10,1,AI44)+AI48*IF(AI45&lt;INDEX('Lease Cycles'!$FA$10:$FG$10,1,AI44),0,1-INDEX('Lease Cycles'!$EM$10:$ES$10,1,AI44)),AI47*IF(AI45&lt;INDEX('Lease Cycles'!$DK$10:$DQ$10,1,AI44),0,IF(AI45=INDEX('Lease Cycles'!$DK$10:$DQ$10,1,AI44),1-INDEX('Lease Cycles'!$DR$10:$DX$10,1,AI44),1))),0)</f>
        <v>8000</v>
      </c>
      <c r="AJ50" s="28">
        <f>IF(AJ46=1,IF(INDEX('Lease Cycles'!$EF$10:$EL$10,1,AJ44)=1,AJ47*INDEX('Lease Cycles'!$EM$10:$ES$10,1,AJ44)+AJ48*IF(AJ45&lt;INDEX('Lease Cycles'!$FA$10:$FG$10,1,AJ44),0,1-INDEX('Lease Cycles'!$EM$10:$ES$10,1,AJ44)),AJ47*IF(AJ45&lt;INDEX('Lease Cycles'!$DK$10:$DQ$10,1,AJ44),0,IF(AJ45=INDEX('Lease Cycles'!$DK$10:$DQ$10,1,AJ44),1-INDEX('Lease Cycles'!$DR$10:$DX$10,1,AJ44),1))),0)</f>
        <v>8000</v>
      </c>
      <c r="AK50" s="28">
        <f>IF(AK46=1,IF(INDEX('Lease Cycles'!$EF$10:$EL$10,1,AK44)=1,AK47*INDEX('Lease Cycles'!$EM$10:$ES$10,1,AK44)+AK48*IF(AK45&lt;INDEX('Lease Cycles'!$FA$10:$FG$10,1,AK44),0,1-INDEX('Lease Cycles'!$EM$10:$ES$10,1,AK44)),AK47*IF(AK45&lt;INDEX('Lease Cycles'!$DK$10:$DQ$10,1,AK44),0,IF(AK45=INDEX('Lease Cycles'!$DK$10:$DQ$10,1,AK44),1-INDEX('Lease Cycles'!$DR$10:$DX$10,1,AK44),1))),0)</f>
        <v>8000</v>
      </c>
      <c r="AL50" s="28">
        <f>IF(AL46=1,IF(INDEX('Lease Cycles'!$EF$10:$EL$10,1,AL44)=1,AL47*INDEX('Lease Cycles'!$EM$10:$ES$10,1,AL44)+AL48*IF(AL45&lt;INDEX('Lease Cycles'!$FA$10:$FG$10,1,AL44),0,1-INDEX('Lease Cycles'!$EM$10:$ES$10,1,AL44)),AL47*IF(AL45&lt;INDEX('Lease Cycles'!$DK$10:$DQ$10,1,AL44),0,IF(AL45=INDEX('Lease Cycles'!$DK$10:$DQ$10,1,AL44),1-INDEX('Lease Cycles'!$DR$10:$DX$10,1,AL44),1))),0)</f>
        <v>8000</v>
      </c>
      <c r="AM50" s="28">
        <f>IF(AM46=1,IF(INDEX('Lease Cycles'!$EF$10:$EL$10,1,AM44)=1,AM47*INDEX('Lease Cycles'!$EM$10:$ES$10,1,AM44)+AM48*IF(AM45&lt;INDEX('Lease Cycles'!$FA$10:$FG$10,1,AM44),0,1-INDEX('Lease Cycles'!$EM$10:$ES$10,1,AM44)),AM47*IF(AM45&lt;INDEX('Lease Cycles'!$DK$10:$DQ$10,1,AM44),0,IF(AM45=INDEX('Lease Cycles'!$DK$10:$DQ$10,1,AM44),1-INDEX('Lease Cycles'!$DR$10:$DX$10,1,AM44),1))),0)</f>
        <v>8000</v>
      </c>
      <c r="AN50" s="28">
        <f>IF(AN46=1,IF(INDEX('Lease Cycles'!$EF$10:$EL$10,1,AN44)=1,AN47*INDEX('Lease Cycles'!$EM$10:$ES$10,1,AN44)+AN48*IF(AN45&lt;INDEX('Lease Cycles'!$FA$10:$FG$10,1,AN44),0,1-INDEX('Lease Cycles'!$EM$10:$ES$10,1,AN44)),AN47*IF(AN45&lt;INDEX('Lease Cycles'!$DK$10:$DQ$10,1,AN44),0,IF(AN45=INDEX('Lease Cycles'!$DK$10:$DQ$10,1,AN44),1-INDEX('Lease Cycles'!$DR$10:$DX$10,1,AN44),1))),0)</f>
        <v>8000</v>
      </c>
      <c r="AO50" s="28">
        <f>IF(AO46=1,IF(INDEX('Lease Cycles'!$EF$10:$EL$10,1,AO44)=1,AO47*INDEX('Lease Cycles'!$EM$10:$ES$10,1,AO44)+AO48*IF(AO45&lt;INDEX('Lease Cycles'!$FA$10:$FG$10,1,AO44),0,1-INDEX('Lease Cycles'!$EM$10:$ES$10,1,AO44)),AO47*IF(AO45&lt;INDEX('Lease Cycles'!$DK$10:$DQ$10,1,AO44),0,IF(AO45=INDEX('Lease Cycles'!$DK$10:$DQ$10,1,AO44),1-INDEX('Lease Cycles'!$DR$10:$DX$10,1,AO44),1))),0)</f>
        <v>8000</v>
      </c>
      <c r="AP50" s="28">
        <f>IF(AP46=1,IF(INDEX('Lease Cycles'!$EF$10:$EL$10,1,AP44)=1,AP47*INDEX('Lease Cycles'!$EM$10:$ES$10,1,AP44)+AP48*IF(AP45&lt;INDEX('Lease Cycles'!$FA$10:$FG$10,1,AP44),0,1-INDEX('Lease Cycles'!$EM$10:$ES$10,1,AP44)),AP47*IF(AP45&lt;INDEX('Lease Cycles'!$DK$10:$DQ$10,1,AP44),0,IF(AP45=INDEX('Lease Cycles'!$DK$10:$DQ$10,1,AP44),1-INDEX('Lease Cycles'!$DR$10:$DX$10,1,AP44),1))),0)</f>
        <v>8000</v>
      </c>
      <c r="AQ50" s="28">
        <f>IF(AQ46=1,IF(INDEX('Lease Cycles'!$EF$10:$EL$10,1,AQ44)=1,AQ47*INDEX('Lease Cycles'!$EM$10:$ES$10,1,AQ44)+AQ48*IF(AQ45&lt;INDEX('Lease Cycles'!$FA$10:$FG$10,1,AQ44),0,1-INDEX('Lease Cycles'!$EM$10:$ES$10,1,AQ44)),AQ47*IF(AQ45&lt;INDEX('Lease Cycles'!$DK$10:$DQ$10,1,AQ44),0,IF(AQ45=INDEX('Lease Cycles'!$DK$10:$DQ$10,1,AQ44),1-INDEX('Lease Cycles'!$DR$10:$DX$10,1,AQ44),1))),0)</f>
        <v>8000</v>
      </c>
      <c r="AR50" s="28">
        <f>IF(AR46=1,IF(INDEX('Lease Cycles'!$EF$10:$EL$10,1,AR44)=1,AR47*INDEX('Lease Cycles'!$EM$10:$ES$10,1,AR44)+AR48*IF(AR45&lt;INDEX('Lease Cycles'!$FA$10:$FG$10,1,AR44),0,1-INDEX('Lease Cycles'!$EM$10:$ES$10,1,AR44)),AR47*IF(AR45&lt;INDEX('Lease Cycles'!$DK$10:$DQ$10,1,AR44),0,IF(AR45=INDEX('Lease Cycles'!$DK$10:$DQ$10,1,AR44),1-INDEX('Lease Cycles'!$DR$10:$DX$10,1,AR44),1))),0)</f>
        <v>8000</v>
      </c>
      <c r="AS50" s="28">
        <f>IF(AS46=1,IF(INDEX('Lease Cycles'!$EF$10:$EL$10,1,AS44)=1,AS47*INDEX('Lease Cycles'!$EM$10:$ES$10,1,AS44)+AS48*IF(AS45&lt;INDEX('Lease Cycles'!$FA$10:$FG$10,1,AS44),0,1-INDEX('Lease Cycles'!$EM$10:$ES$10,1,AS44)),AS47*IF(AS45&lt;INDEX('Lease Cycles'!$DK$10:$DQ$10,1,AS44),0,IF(AS45=INDEX('Lease Cycles'!$DK$10:$DQ$10,1,AS44),1-INDEX('Lease Cycles'!$DR$10:$DX$10,1,AS44),1))),0)</f>
        <v>8000</v>
      </c>
      <c r="AT50" s="28">
        <f>IF(AT46=1,IF(INDEX('Lease Cycles'!$EF$10:$EL$10,1,AT44)=1,AT47*INDEX('Lease Cycles'!$EM$10:$ES$10,1,AT44)+AT48*IF(AT45&lt;INDEX('Lease Cycles'!$FA$10:$FG$10,1,AT44),0,1-INDEX('Lease Cycles'!$EM$10:$ES$10,1,AT44)),AT47*IF(AT45&lt;INDEX('Lease Cycles'!$DK$10:$DQ$10,1,AT44),0,IF(AT45=INDEX('Lease Cycles'!$DK$10:$DQ$10,1,AT44),1-INDEX('Lease Cycles'!$DR$10:$DX$10,1,AT44),1))),0)</f>
        <v>8000</v>
      </c>
      <c r="AU50" s="28">
        <f>IF(AU46=1,IF(INDEX('Lease Cycles'!$EF$10:$EL$10,1,AU44)=1,AU47*INDEX('Lease Cycles'!$EM$10:$ES$10,1,AU44)+AU48*IF(AU45&lt;INDEX('Lease Cycles'!$FA$10:$FG$10,1,AU44),0,1-INDEX('Lease Cycles'!$EM$10:$ES$10,1,AU44)),AU47*IF(AU45&lt;INDEX('Lease Cycles'!$DK$10:$DQ$10,1,AU44),0,IF(AU45=INDEX('Lease Cycles'!$DK$10:$DQ$10,1,AU44),1-INDEX('Lease Cycles'!$DR$10:$DX$10,1,AU44),1))),0)</f>
        <v>8000</v>
      </c>
      <c r="AV50" s="28">
        <f>IF(AV46=1,IF(INDEX('Lease Cycles'!$EF$10:$EL$10,1,AV44)=1,AV47*INDEX('Lease Cycles'!$EM$10:$ES$10,1,AV44)+AV48*IF(AV45&lt;INDEX('Lease Cycles'!$FA$10:$FG$10,1,AV44),0,1-INDEX('Lease Cycles'!$EM$10:$ES$10,1,AV44)),AV47*IF(AV45&lt;INDEX('Lease Cycles'!$DK$10:$DQ$10,1,AV44),0,IF(AV45=INDEX('Lease Cycles'!$DK$10:$DQ$10,1,AV44),1-INDEX('Lease Cycles'!$DR$10:$DX$10,1,AV44),1))),0)</f>
        <v>8000</v>
      </c>
      <c r="AW50" s="28">
        <f>IF(AW46=1,IF(INDEX('Lease Cycles'!$EF$10:$EL$10,1,AW44)=1,AW47*INDEX('Lease Cycles'!$EM$10:$ES$10,1,AW44)+AW48*IF(AW45&lt;INDEX('Lease Cycles'!$FA$10:$FG$10,1,AW44),0,1-INDEX('Lease Cycles'!$EM$10:$ES$10,1,AW44)),AW47*IF(AW45&lt;INDEX('Lease Cycles'!$DK$10:$DQ$10,1,AW44),0,IF(AW45=INDEX('Lease Cycles'!$DK$10:$DQ$10,1,AW44),1-INDEX('Lease Cycles'!$DR$10:$DX$10,1,AW44),1))),0)</f>
        <v>8000</v>
      </c>
      <c r="AX50" s="28">
        <f>IF(AX46=1,IF(INDEX('Lease Cycles'!$EF$10:$EL$10,1,AX44)=1,AX47*INDEX('Lease Cycles'!$EM$10:$ES$10,1,AX44)+AX48*IF(AX45&lt;INDEX('Lease Cycles'!$FA$10:$FG$10,1,AX44),0,1-INDEX('Lease Cycles'!$EM$10:$ES$10,1,AX44)),AX47*IF(AX45&lt;INDEX('Lease Cycles'!$DK$10:$DQ$10,1,AX44),0,IF(AX45=INDEX('Lease Cycles'!$DK$10:$DQ$10,1,AX44),1-INDEX('Lease Cycles'!$DR$10:$DX$10,1,AX44),1))),0)</f>
        <v>8000</v>
      </c>
      <c r="AY50" s="28">
        <f>IF(AY46=1,IF(INDEX('Lease Cycles'!$EF$10:$EL$10,1,AY44)=1,AY47*INDEX('Lease Cycles'!$EM$10:$ES$10,1,AY44)+AY48*IF(AY45&lt;INDEX('Lease Cycles'!$FA$10:$FG$10,1,AY44),0,1-INDEX('Lease Cycles'!$EM$10:$ES$10,1,AY44)),AY47*IF(AY45&lt;INDEX('Lease Cycles'!$DK$10:$DQ$10,1,AY44),0,IF(AY45=INDEX('Lease Cycles'!$DK$10:$DQ$10,1,AY44),1-INDEX('Lease Cycles'!$DR$10:$DX$10,1,AY44),1))),0)</f>
        <v>8000</v>
      </c>
      <c r="AZ50" s="28">
        <f>IF(AZ46=1,IF(INDEX('Lease Cycles'!$EF$10:$EL$10,1,AZ44)=1,AZ47*INDEX('Lease Cycles'!$EM$10:$ES$10,1,AZ44)+AZ48*IF(AZ45&lt;INDEX('Lease Cycles'!$FA$10:$FG$10,1,AZ44),0,1-INDEX('Lease Cycles'!$EM$10:$ES$10,1,AZ44)),AZ47*IF(AZ45&lt;INDEX('Lease Cycles'!$DK$10:$DQ$10,1,AZ44),0,IF(AZ45=INDEX('Lease Cycles'!$DK$10:$DQ$10,1,AZ44),1-INDEX('Lease Cycles'!$DR$10:$DX$10,1,AZ44),1))),0)</f>
        <v>8000</v>
      </c>
      <c r="BA50" s="28">
        <f>IF(BA46=1,IF(INDEX('Lease Cycles'!$EF$10:$EL$10,1,BA44)=1,BA47*INDEX('Lease Cycles'!$EM$10:$ES$10,1,BA44)+BA48*IF(BA45&lt;INDEX('Lease Cycles'!$FA$10:$FG$10,1,BA44),0,1-INDEX('Lease Cycles'!$EM$10:$ES$10,1,BA44)),BA47*IF(BA45&lt;INDEX('Lease Cycles'!$DK$10:$DQ$10,1,BA44),0,IF(BA45=INDEX('Lease Cycles'!$DK$10:$DQ$10,1,BA44),1-INDEX('Lease Cycles'!$DR$10:$DX$10,1,BA44),1))),0)</f>
        <v>8000</v>
      </c>
      <c r="BB50" s="28">
        <f>IF(BB46=1,IF(INDEX('Lease Cycles'!$EF$10:$EL$10,1,BB44)=1,BB47*INDEX('Lease Cycles'!$EM$10:$ES$10,1,BB44)+BB48*IF(BB45&lt;INDEX('Lease Cycles'!$FA$10:$FG$10,1,BB44),0,1-INDEX('Lease Cycles'!$EM$10:$ES$10,1,BB44)),BB47*IF(BB45&lt;INDEX('Lease Cycles'!$DK$10:$DQ$10,1,BB44),0,IF(BB45=INDEX('Lease Cycles'!$DK$10:$DQ$10,1,BB44),1-INDEX('Lease Cycles'!$DR$10:$DX$10,1,BB44),1))),0)</f>
        <v>8000</v>
      </c>
      <c r="BC50" s="28">
        <f>IF(BC46=1,IF(INDEX('Lease Cycles'!$EF$10:$EL$10,1,BC44)=1,BC47*INDEX('Lease Cycles'!$EM$10:$ES$10,1,BC44)+BC48*IF(BC45&lt;INDEX('Lease Cycles'!$FA$10:$FG$10,1,BC44),0,1-INDEX('Lease Cycles'!$EM$10:$ES$10,1,BC44)),BC47*IF(BC45&lt;INDEX('Lease Cycles'!$DK$10:$DQ$10,1,BC44),0,IF(BC45=INDEX('Lease Cycles'!$DK$10:$DQ$10,1,BC44),1-INDEX('Lease Cycles'!$DR$10:$DX$10,1,BC44),1))),0)</f>
        <v>8000</v>
      </c>
      <c r="BD50" s="28">
        <f>IF(BD46=1,IF(INDEX('Lease Cycles'!$EF$10:$EL$10,1,BD44)=1,BD47*INDEX('Lease Cycles'!$EM$10:$ES$10,1,BD44)+BD48*IF(BD45&lt;INDEX('Lease Cycles'!$FA$10:$FG$10,1,BD44),0,1-INDEX('Lease Cycles'!$EM$10:$ES$10,1,BD44)),BD47*IF(BD45&lt;INDEX('Lease Cycles'!$DK$10:$DQ$10,1,BD44),0,IF(BD45=INDEX('Lease Cycles'!$DK$10:$DQ$10,1,BD44),1-INDEX('Lease Cycles'!$DR$10:$DX$10,1,BD44),1))),0)</f>
        <v>8000</v>
      </c>
      <c r="BE50" s="28">
        <f>IF(BE46=1,IF(INDEX('Lease Cycles'!$EF$10:$EL$10,1,BE44)=1,BE47*INDEX('Lease Cycles'!$EM$10:$ES$10,1,BE44)+BE48*IF(BE45&lt;INDEX('Lease Cycles'!$FA$10:$FG$10,1,BE44),0,1-INDEX('Lease Cycles'!$EM$10:$ES$10,1,BE44)),BE47*IF(BE45&lt;INDEX('Lease Cycles'!$DK$10:$DQ$10,1,BE44),0,IF(BE45=INDEX('Lease Cycles'!$DK$10:$DQ$10,1,BE44),1-INDEX('Lease Cycles'!$DR$10:$DX$10,1,BE44),1))),0)</f>
        <v>8000</v>
      </c>
      <c r="BF50" s="28">
        <f>IF(BF46=1,IF(INDEX('Lease Cycles'!$EF$10:$EL$10,1,BF44)=1,BF47*INDEX('Lease Cycles'!$EM$10:$ES$10,1,BF44)+BF48*IF(BF45&lt;INDEX('Lease Cycles'!$FA$10:$FG$10,1,BF44),0,1-INDEX('Lease Cycles'!$EM$10:$ES$10,1,BF44)),BF47*IF(BF45&lt;INDEX('Lease Cycles'!$DK$10:$DQ$10,1,BF44),0,IF(BF45=INDEX('Lease Cycles'!$DK$10:$DQ$10,1,BF44),1-INDEX('Lease Cycles'!$DR$10:$DX$10,1,BF44),1))),0)</f>
        <v>8000</v>
      </c>
      <c r="BG50" s="28">
        <f>IF(BG46=1,IF(INDEX('Lease Cycles'!$EF$10:$EL$10,1,BG44)=1,BG47*INDEX('Lease Cycles'!$EM$10:$ES$10,1,BG44)+BG48*IF(BG45&lt;INDEX('Lease Cycles'!$FA$10:$FG$10,1,BG44),0,1-INDEX('Lease Cycles'!$EM$10:$ES$10,1,BG44)),BG47*IF(BG45&lt;INDEX('Lease Cycles'!$DK$10:$DQ$10,1,BG44),0,IF(BG45=INDEX('Lease Cycles'!$DK$10:$DQ$10,1,BG44),1-INDEX('Lease Cycles'!$DR$10:$DX$10,1,BG44),1))),0)</f>
        <v>8000</v>
      </c>
      <c r="BH50" s="28">
        <f>IF(BH46=1,IF(INDEX('Lease Cycles'!$EF$10:$EL$10,1,BH44)=1,BH47*INDEX('Lease Cycles'!$EM$10:$ES$10,1,BH44)+BH48*IF(BH45&lt;INDEX('Lease Cycles'!$FA$10:$FG$10,1,BH44),0,1-INDEX('Lease Cycles'!$EM$10:$ES$10,1,BH44)),BH47*IF(BH45&lt;INDEX('Lease Cycles'!$DK$10:$DQ$10,1,BH44),0,IF(BH45=INDEX('Lease Cycles'!$DK$10:$DQ$10,1,BH44),1-INDEX('Lease Cycles'!$DR$10:$DX$10,1,BH44),1))),0)</f>
        <v>8000</v>
      </c>
      <c r="BI50" s="28">
        <f>IF(BI46=1,IF(INDEX('Lease Cycles'!$EF$10:$EL$10,1,BI44)=1,BI47*INDEX('Lease Cycles'!$EM$10:$ES$10,1,BI44)+BI48*IF(BI45&lt;INDEX('Lease Cycles'!$FA$10:$FG$10,1,BI44),0,1-INDEX('Lease Cycles'!$EM$10:$ES$10,1,BI44)),BI47*IF(BI45&lt;INDEX('Lease Cycles'!$DK$10:$DQ$10,1,BI44),0,IF(BI45=INDEX('Lease Cycles'!$DK$10:$DQ$10,1,BI44),1-INDEX('Lease Cycles'!$DR$10:$DX$10,1,BI44),1))),0)</f>
        <v>8000</v>
      </c>
      <c r="BJ50" s="28">
        <f>IF(BJ46=1,IF(INDEX('Lease Cycles'!$EF$10:$EL$10,1,BJ44)=1,BJ47*INDEX('Lease Cycles'!$EM$10:$ES$10,1,BJ44)+BJ48*IF(BJ45&lt;INDEX('Lease Cycles'!$FA$10:$FG$10,1,BJ44),0,1-INDEX('Lease Cycles'!$EM$10:$ES$10,1,BJ44)),BJ47*IF(BJ45&lt;INDEX('Lease Cycles'!$DK$10:$DQ$10,1,BJ44),0,IF(BJ45=INDEX('Lease Cycles'!$DK$10:$DQ$10,1,BJ44),1-INDEX('Lease Cycles'!$DR$10:$DX$10,1,BJ44),1))),0)</f>
        <v>8000</v>
      </c>
      <c r="BK50" s="28">
        <f>IF(BK46=1,IF(INDEX('Lease Cycles'!$EF$10:$EL$10,1,BK44)=1,BK47*INDEX('Lease Cycles'!$EM$10:$ES$10,1,BK44)+BK48*IF(BK45&lt;INDEX('Lease Cycles'!$FA$10:$FG$10,1,BK44),0,1-INDEX('Lease Cycles'!$EM$10:$ES$10,1,BK44)),BK47*IF(BK45&lt;INDEX('Lease Cycles'!$DK$10:$DQ$10,1,BK44),0,IF(BK45=INDEX('Lease Cycles'!$DK$10:$DQ$10,1,BK44),1-INDEX('Lease Cycles'!$DR$10:$DX$10,1,BK44),1))),0)</f>
        <v>8000</v>
      </c>
      <c r="BL50" s="28">
        <f>IF(BL46=1,IF(INDEX('Lease Cycles'!$EF$10:$EL$10,1,BL44)=1,BL47*INDEX('Lease Cycles'!$EM$10:$ES$10,1,BL44)+BL48*IF(BL45&lt;INDEX('Lease Cycles'!$FA$10:$FG$10,1,BL44),0,1-INDEX('Lease Cycles'!$EM$10:$ES$10,1,BL44)),BL47*IF(BL45&lt;INDEX('Lease Cycles'!$DK$10:$DQ$10,1,BL44),0,IF(BL45=INDEX('Lease Cycles'!$DK$10:$DQ$10,1,BL44),1-INDEX('Lease Cycles'!$DR$10:$DX$10,1,BL44),1))),0)</f>
        <v>8000</v>
      </c>
      <c r="BM50" s="28">
        <f>IF(BM46=1,IF(INDEX('Lease Cycles'!$EF$10:$EL$10,1,BM44)=1,BM47*INDEX('Lease Cycles'!$EM$10:$ES$10,1,BM44)+BM48*IF(BM45&lt;INDEX('Lease Cycles'!$FA$10:$FG$10,1,BM44),0,1-INDEX('Lease Cycles'!$EM$10:$ES$10,1,BM44)),BM47*IF(BM45&lt;INDEX('Lease Cycles'!$DK$10:$DQ$10,1,BM44),0,IF(BM45=INDEX('Lease Cycles'!$DK$10:$DQ$10,1,BM44),1-INDEX('Lease Cycles'!$DR$10:$DX$10,1,BM44),1))),0)</f>
        <v>8000</v>
      </c>
      <c r="BN50" s="28">
        <f>IF(BN46=1,IF(INDEX('Lease Cycles'!$EF$10:$EL$10,1,BN44)=1,BN47*INDEX('Lease Cycles'!$EM$10:$ES$10,1,BN44)+BN48*IF(BN45&lt;INDEX('Lease Cycles'!$FA$10:$FG$10,1,BN44),0,1-INDEX('Lease Cycles'!$EM$10:$ES$10,1,BN44)),BN47*IF(BN45&lt;INDEX('Lease Cycles'!$DK$10:$DQ$10,1,BN44),0,IF(BN45=INDEX('Lease Cycles'!$DK$10:$DQ$10,1,BN44),1-INDEX('Lease Cycles'!$DR$10:$DX$10,1,BN44),1))),0)</f>
        <v>8000</v>
      </c>
      <c r="BO50" s="28">
        <f>IF(BO46=1,IF(INDEX('Lease Cycles'!$EF$10:$EL$10,1,BO44)=1,BO47*INDEX('Lease Cycles'!$EM$10:$ES$10,1,BO44)+BO48*IF(BO45&lt;INDEX('Lease Cycles'!$FA$10:$FG$10,1,BO44),0,1-INDEX('Lease Cycles'!$EM$10:$ES$10,1,BO44)),BO47*IF(BO45&lt;INDEX('Lease Cycles'!$DK$10:$DQ$10,1,BO44),0,IF(BO45=INDEX('Lease Cycles'!$DK$10:$DQ$10,1,BO44),1-INDEX('Lease Cycles'!$DR$10:$DX$10,1,BO44),1))),0)</f>
        <v>8000</v>
      </c>
      <c r="BP50" s="28">
        <f>IF(BP46=1,IF(INDEX('Lease Cycles'!$EF$10:$EL$10,1,BP44)=1,BP47*INDEX('Lease Cycles'!$EM$10:$ES$10,1,BP44)+BP48*IF(BP45&lt;INDEX('Lease Cycles'!$FA$10:$FG$10,1,BP44),0,1-INDEX('Lease Cycles'!$EM$10:$ES$10,1,BP44)),BP47*IF(BP45&lt;INDEX('Lease Cycles'!$DK$10:$DQ$10,1,BP44),0,IF(BP45=INDEX('Lease Cycles'!$DK$10:$DQ$10,1,BP44),1-INDEX('Lease Cycles'!$DR$10:$DX$10,1,BP44),1))),0)</f>
        <v>8000</v>
      </c>
      <c r="BQ50" s="28">
        <f>IF(BQ46=1,IF(INDEX('Lease Cycles'!$EF$10:$EL$10,1,BQ44)=1,BQ47*INDEX('Lease Cycles'!$EM$10:$ES$10,1,BQ44)+BQ48*IF(BQ45&lt;INDEX('Lease Cycles'!$FA$10:$FG$10,1,BQ44),0,1-INDEX('Lease Cycles'!$EM$10:$ES$10,1,BQ44)),BQ47*IF(BQ45&lt;INDEX('Lease Cycles'!$DK$10:$DQ$10,1,BQ44),0,IF(BQ45=INDEX('Lease Cycles'!$DK$10:$DQ$10,1,BQ44),1-INDEX('Lease Cycles'!$DR$10:$DX$10,1,BQ44),1))),0)</f>
        <v>8000</v>
      </c>
      <c r="BR50" s="28">
        <f>IF(BR46=1,IF(INDEX('Lease Cycles'!$EF$10:$EL$10,1,BR44)=1,BR47*INDEX('Lease Cycles'!$EM$10:$ES$10,1,BR44)+BR48*IF(BR45&lt;INDEX('Lease Cycles'!$FA$10:$FG$10,1,BR44),0,1-INDEX('Lease Cycles'!$EM$10:$ES$10,1,BR44)),BR47*IF(BR45&lt;INDEX('Lease Cycles'!$DK$10:$DQ$10,1,BR44),0,IF(BR45=INDEX('Lease Cycles'!$DK$10:$DQ$10,1,BR44),1-INDEX('Lease Cycles'!$DR$10:$DX$10,1,BR44),1))),0)</f>
        <v>8000</v>
      </c>
      <c r="BS50" s="28">
        <f>IF(BS46=1,IF(INDEX('Lease Cycles'!$EF$10:$EL$10,1,BS44)=1,BS47*INDEX('Lease Cycles'!$EM$10:$ES$10,1,BS44)+BS48*IF(BS45&lt;INDEX('Lease Cycles'!$FA$10:$FG$10,1,BS44),0,1-INDEX('Lease Cycles'!$EM$10:$ES$10,1,BS44)),BS47*IF(BS45&lt;INDEX('Lease Cycles'!$DK$10:$DQ$10,1,BS44),0,IF(BS45=INDEX('Lease Cycles'!$DK$10:$DQ$10,1,BS44),1-INDEX('Lease Cycles'!$DR$10:$DX$10,1,BS44),1))),0)</f>
        <v>8000</v>
      </c>
      <c r="BT50" s="28">
        <f>IF(BT46=1,IF(INDEX('Lease Cycles'!$EF$10:$EL$10,1,BT44)=1,BT47*INDEX('Lease Cycles'!$EM$10:$ES$10,1,BT44)+BT48*IF(BT45&lt;INDEX('Lease Cycles'!$FA$10:$FG$10,1,BT44),0,1-INDEX('Lease Cycles'!$EM$10:$ES$10,1,BT44)),BT47*IF(BT45&lt;INDEX('Lease Cycles'!$DK$10:$DQ$10,1,BT44),0,IF(BT45=INDEX('Lease Cycles'!$DK$10:$DQ$10,1,BT44),1-INDEX('Lease Cycles'!$DR$10:$DX$10,1,BT44),1))),0)</f>
        <v>8000</v>
      </c>
      <c r="BU50" s="28">
        <f>IF(BU46=1,IF(INDEX('Lease Cycles'!$EF$10:$EL$10,1,BU44)=1,BU47*INDEX('Lease Cycles'!$EM$10:$ES$10,1,BU44)+BU48*IF(BU45&lt;INDEX('Lease Cycles'!$FA$10:$FG$10,1,BU44),0,1-INDEX('Lease Cycles'!$EM$10:$ES$10,1,BU44)),BU47*IF(BU45&lt;INDEX('Lease Cycles'!$DK$10:$DQ$10,1,BU44),0,IF(BU45=INDEX('Lease Cycles'!$DK$10:$DQ$10,1,BU44),1-INDEX('Lease Cycles'!$DR$10:$DX$10,1,BU44),1))),0)</f>
        <v>8000</v>
      </c>
      <c r="BV50" s="28">
        <f>IF(BV46=1,IF(INDEX('Lease Cycles'!$EF$10:$EL$10,1,BV44)=1,BV47*INDEX('Lease Cycles'!$EM$10:$ES$10,1,BV44)+BV48*IF(BV45&lt;INDEX('Lease Cycles'!$FA$10:$FG$10,1,BV44),0,1-INDEX('Lease Cycles'!$EM$10:$ES$10,1,BV44)),BV47*IF(BV45&lt;INDEX('Lease Cycles'!$DK$10:$DQ$10,1,BV44),0,IF(BV45=INDEX('Lease Cycles'!$DK$10:$DQ$10,1,BV44),1-INDEX('Lease Cycles'!$DR$10:$DX$10,1,BV44),1))),0)</f>
        <v>8000</v>
      </c>
      <c r="BW50" s="28">
        <f>IF(BW46=1,IF(INDEX('Lease Cycles'!$EF$10:$EL$10,1,BW44)=1,BW47*INDEX('Lease Cycles'!$EM$10:$ES$10,1,BW44)+BW48*IF(BW45&lt;INDEX('Lease Cycles'!$FA$10:$FG$10,1,BW44),0,1-INDEX('Lease Cycles'!$EM$10:$ES$10,1,BW44)),BW47*IF(BW45&lt;INDEX('Lease Cycles'!$DK$10:$DQ$10,1,BW44),0,IF(BW45=INDEX('Lease Cycles'!$DK$10:$DQ$10,1,BW44),1-INDEX('Lease Cycles'!$DR$10:$DX$10,1,BW44),1))),0)</f>
        <v>8000</v>
      </c>
      <c r="BX50" s="28">
        <f>IF(BX46=1,IF(INDEX('Lease Cycles'!$EF$10:$EL$10,1,BX44)=1,BX47*INDEX('Lease Cycles'!$EM$10:$ES$10,1,BX44)+BX48*IF(BX45&lt;INDEX('Lease Cycles'!$FA$10:$FG$10,1,BX44),0,1-INDEX('Lease Cycles'!$EM$10:$ES$10,1,BX44)),BX47*IF(BX45&lt;INDEX('Lease Cycles'!$DK$10:$DQ$10,1,BX44),0,IF(BX45=INDEX('Lease Cycles'!$DK$10:$DQ$10,1,BX44),1-INDEX('Lease Cycles'!$DR$10:$DX$10,1,BX44),1))),0)</f>
        <v>8000</v>
      </c>
      <c r="BY50" s="28">
        <f>IF(BY46=1,IF(INDEX('Lease Cycles'!$EF$10:$EL$10,1,BY44)=1,BY47*INDEX('Lease Cycles'!$EM$10:$ES$10,1,BY44)+BY48*IF(BY45&lt;INDEX('Lease Cycles'!$FA$10:$FG$10,1,BY44),0,1-INDEX('Lease Cycles'!$EM$10:$ES$10,1,BY44)),BY47*IF(BY45&lt;INDEX('Lease Cycles'!$DK$10:$DQ$10,1,BY44),0,IF(BY45=INDEX('Lease Cycles'!$DK$10:$DQ$10,1,BY44),1-INDEX('Lease Cycles'!$DR$10:$DX$10,1,BY44),1))),0)</f>
        <v>8000</v>
      </c>
      <c r="BZ50" s="28">
        <f>IF(BZ46=1,IF(INDEX('Lease Cycles'!$EF$10:$EL$10,1,BZ44)=1,BZ47*INDEX('Lease Cycles'!$EM$10:$ES$10,1,BZ44)+BZ48*IF(BZ45&lt;INDEX('Lease Cycles'!$FA$10:$FG$10,1,BZ44),0,1-INDEX('Lease Cycles'!$EM$10:$ES$10,1,BZ44)),BZ47*IF(BZ45&lt;INDEX('Lease Cycles'!$DK$10:$DQ$10,1,BZ44),0,IF(BZ45=INDEX('Lease Cycles'!$DK$10:$DQ$10,1,BZ44),1-INDEX('Lease Cycles'!$DR$10:$DX$10,1,BZ44),1))),0)</f>
        <v>8000</v>
      </c>
      <c r="CA50" s="28">
        <f>IF(CA46=1,IF(INDEX('Lease Cycles'!$EF$10:$EL$10,1,CA44)=1,CA47*INDEX('Lease Cycles'!$EM$10:$ES$10,1,CA44)+CA48*IF(CA45&lt;INDEX('Lease Cycles'!$FA$10:$FG$10,1,CA44),0,1-INDEX('Lease Cycles'!$EM$10:$ES$10,1,CA44)),CA47*IF(CA45&lt;INDEX('Lease Cycles'!$DK$10:$DQ$10,1,CA44),0,IF(CA45=INDEX('Lease Cycles'!$DK$10:$DQ$10,1,CA44),1-INDEX('Lease Cycles'!$DR$10:$DX$10,1,CA44),1))),0)</f>
        <v>0</v>
      </c>
      <c r="CB50" s="28">
        <f>IF(CB46=1,IF(INDEX('Lease Cycles'!$EF$10:$EL$10,1,CB44)=1,CB47*INDEX('Lease Cycles'!$EM$10:$ES$10,1,CB44)+CB48*IF(CB45&lt;INDEX('Lease Cycles'!$FA$10:$FG$10,1,CB44),0,1-INDEX('Lease Cycles'!$EM$10:$ES$10,1,CB44)),CB47*IF(CB45&lt;INDEX('Lease Cycles'!$DK$10:$DQ$10,1,CB44),0,IF(CB45=INDEX('Lease Cycles'!$DK$10:$DQ$10,1,CB44),1-INDEX('Lease Cycles'!$DR$10:$DX$10,1,CB44),1))),0)</f>
        <v>1874.5207820913874</v>
      </c>
      <c r="CC50" s="28">
        <f>IF(CC46=1,IF(INDEX('Lease Cycles'!$EF$10:$EL$10,1,CC44)=1,CC47*INDEX('Lease Cycles'!$EM$10:$ES$10,1,CC44)+CC48*IF(CC45&lt;INDEX('Lease Cycles'!$FA$10:$FG$10,1,CC44),0,1-INDEX('Lease Cycles'!$EM$10:$ES$10,1,CC44)),CC47*IF(CC45&lt;INDEX('Lease Cycles'!$DK$10:$DQ$10,1,CC44),0,IF(CC45=INDEX('Lease Cycles'!$DK$10:$DQ$10,1,CC44),1-INDEX('Lease Cycles'!$DR$10:$DX$10,1,CC44),1))),0)</f>
        <v>9372.603910457065</v>
      </c>
      <c r="CD50" s="28">
        <f>IF(CD46=1,IF(INDEX('Lease Cycles'!$EF$10:$EL$10,1,CD44)=1,CD47*INDEX('Lease Cycles'!$EM$10:$ES$10,1,CD44)+CD48*IF(CD45&lt;INDEX('Lease Cycles'!$FA$10:$FG$10,1,CD44),0,1-INDEX('Lease Cycles'!$EM$10:$ES$10,1,CD44)),CD47*IF(CD45&lt;INDEX('Lease Cycles'!$DK$10:$DQ$10,1,CD44),0,IF(CD45=INDEX('Lease Cycles'!$DK$10:$DQ$10,1,CD44),1-INDEX('Lease Cycles'!$DR$10:$DX$10,1,CD44),1))),0)</f>
        <v>9372.603910457065</v>
      </c>
      <c r="CE50" s="28">
        <f>IF(CE46=1,IF(INDEX('Lease Cycles'!$EF$10:$EL$10,1,CE44)=1,CE47*INDEX('Lease Cycles'!$EM$10:$ES$10,1,CE44)+CE48*IF(CE45&lt;INDEX('Lease Cycles'!$FA$10:$FG$10,1,CE44),0,1-INDEX('Lease Cycles'!$EM$10:$ES$10,1,CE44)),CE47*IF(CE45&lt;INDEX('Lease Cycles'!$DK$10:$DQ$10,1,CE44),0,IF(CE45=INDEX('Lease Cycles'!$DK$10:$DQ$10,1,CE44),1-INDEX('Lease Cycles'!$DR$10:$DX$10,1,CE44),1))),0)</f>
        <v>9372.603910457065</v>
      </c>
      <c r="CF50" s="28">
        <f>IF(CF46=1,IF(INDEX('Lease Cycles'!$EF$10:$EL$10,1,CF44)=1,CF47*INDEX('Lease Cycles'!$EM$10:$ES$10,1,CF44)+CF48*IF(CF45&lt;INDEX('Lease Cycles'!$FA$10:$FG$10,1,CF44),0,1-INDEX('Lease Cycles'!$EM$10:$ES$10,1,CF44)),CF47*IF(CF45&lt;INDEX('Lease Cycles'!$DK$10:$DQ$10,1,CF44),0,IF(CF45=INDEX('Lease Cycles'!$DK$10:$DQ$10,1,CF44),1-INDEX('Lease Cycles'!$DR$10:$DX$10,1,CF44),1))),0)</f>
        <v>9372.603910457065</v>
      </c>
      <c r="CG50" s="28">
        <f>IF(CG46=1,IF(INDEX('Lease Cycles'!$EF$10:$EL$10,1,CG44)=1,CG47*INDEX('Lease Cycles'!$EM$10:$ES$10,1,CG44)+CG48*IF(CG45&lt;INDEX('Lease Cycles'!$FA$10:$FG$10,1,CG44),0,1-INDEX('Lease Cycles'!$EM$10:$ES$10,1,CG44)),CG47*IF(CG45&lt;INDEX('Lease Cycles'!$DK$10:$DQ$10,1,CG44),0,IF(CG45=INDEX('Lease Cycles'!$DK$10:$DQ$10,1,CG44),1-INDEX('Lease Cycles'!$DR$10:$DX$10,1,CG44),1))),0)</f>
        <v>9372.603910457065</v>
      </c>
      <c r="CH50" s="28">
        <f>IF(CH46=1,IF(INDEX('Lease Cycles'!$EF$10:$EL$10,1,CH44)=1,CH47*INDEX('Lease Cycles'!$EM$10:$ES$10,1,CH44)+CH48*IF(CH45&lt;INDEX('Lease Cycles'!$FA$10:$FG$10,1,CH44),0,1-INDEX('Lease Cycles'!$EM$10:$ES$10,1,CH44)),CH47*IF(CH45&lt;INDEX('Lease Cycles'!$DK$10:$DQ$10,1,CH44),0,IF(CH45=INDEX('Lease Cycles'!$DK$10:$DQ$10,1,CH44),1-INDEX('Lease Cycles'!$DR$10:$DX$10,1,CH44),1))),0)</f>
        <v>9372.603910457065</v>
      </c>
      <c r="CI50" s="28">
        <f>IF(CI46=1,IF(INDEX('Lease Cycles'!$EF$10:$EL$10,1,CI44)=1,CI47*INDEX('Lease Cycles'!$EM$10:$ES$10,1,CI44)+CI48*IF(CI45&lt;INDEX('Lease Cycles'!$FA$10:$FG$10,1,CI44),0,1-INDEX('Lease Cycles'!$EM$10:$ES$10,1,CI44)),CI47*IF(CI45&lt;INDEX('Lease Cycles'!$DK$10:$DQ$10,1,CI44),0,IF(CI45=INDEX('Lease Cycles'!$DK$10:$DQ$10,1,CI44),1-INDEX('Lease Cycles'!$DR$10:$DX$10,1,CI44),1))),0)</f>
        <v>9372.603910457065</v>
      </c>
      <c r="CJ50" s="28">
        <f>IF(CJ46=1,IF(INDEX('Lease Cycles'!$EF$10:$EL$10,1,CJ44)=1,CJ47*INDEX('Lease Cycles'!$EM$10:$ES$10,1,CJ44)+CJ48*IF(CJ45&lt;INDEX('Lease Cycles'!$FA$10:$FG$10,1,CJ44),0,1-INDEX('Lease Cycles'!$EM$10:$ES$10,1,CJ44)),CJ47*IF(CJ45&lt;INDEX('Lease Cycles'!$DK$10:$DQ$10,1,CJ44),0,IF(CJ45=INDEX('Lease Cycles'!$DK$10:$DQ$10,1,CJ44),1-INDEX('Lease Cycles'!$DR$10:$DX$10,1,CJ44),1))),0)</f>
        <v>9372.603910457065</v>
      </c>
      <c r="CK50" s="28">
        <f>IF(CK46=1,IF(INDEX('Lease Cycles'!$EF$10:$EL$10,1,CK44)=1,CK47*INDEX('Lease Cycles'!$EM$10:$ES$10,1,CK44)+CK48*IF(CK45&lt;INDEX('Lease Cycles'!$FA$10:$FG$10,1,CK44),0,1-INDEX('Lease Cycles'!$EM$10:$ES$10,1,CK44)),CK47*IF(CK45&lt;INDEX('Lease Cycles'!$DK$10:$DQ$10,1,CK44),0,IF(CK45=INDEX('Lease Cycles'!$DK$10:$DQ$10,1,CK44),1-INDEX('Lease Cycles'!$DR$10:$DX$10,1,CK44),1))),0)</f>
        <v>9372.603910457065</v>
      </c>
      <c r="CL50" s="28">
        <f>IF(CL46=1,IF(INDEX('Lease Cycles'!$EF$10:$EL$10,1,CL44)=1,CL47*INDEX('Lease Cycles'!$EM$10:$ES$10,1,CL44)+CL48*IF(CL45&lt;INDEX('Lease Cycles'!$FA$10:$FG$10,1,CL44),0,1-INDEX('Lease Cycles'!$EM$10:$ES$10,1,CL44)),CL47*IF(CL45&lt;INDEX('Lease Cycles'!$DK$10:$DQ$10,1,CL44),0,IF(CL45=INDEX('Lease Cycles'!$DK$10:$DQ$10,1,CL44),1-INDEX('Lease Cycles'!$DR$10:$DX$10,1,CL44),1))),0)</f>
        <v>9372.603910457065</v>
      </c>
      <c r="CM50" s="28">
        <f>IF(CM46=1,IF(INDEX('Lease Cycles'!$EF$10:$EL$10,1,CM44)=1,CM47*INDEX('Lease Cycles'!$EM$10:$ES$10,1,CM44)+CM48*IF(CM45&lt;INDEX('Lease Cycles'!$FA$10:$FG$10,1,CM44),0,1-INDEX('Lease Cycles'!$EM$10:$ES$10,1,CM44)),CM47*IF(CM45&lt;INDEX('Lease Cycles'!$DK$10:$DQ$10,1,CM44),0,IF(CM45=INDEX('Lease Cycles'!$DK$10:$DQ$10,1,CM44),1-INDEX('Lease Cycles'!$DR$10:$DX$10,1,CM44),1))),0)</f>
        <v>9372.603910457065</v>
      </c>
      <c r="CN50" s="28">
        <f>IF(CN46=1,IF(INDEX('Lease Cycles'!$EF$10:$EL$10,1,CN44)=1,CN47*INDEX('Lease Cycles'!$EM$10:$ES$10,1,CN44)+CN48*IF(CN45&lt;INDEX('Lease Cycles'!$FA$10:$FG$10,1,CN44),0,1-INDEX('Lease Cycles'!$EM$10:$ES$10,1,CN44)),CN47*IF(CN45&lt;INDEX('Lease Cycles'!$DK$10:$DQ$10,1,CN44),0,IF(CN45=INDEX('Lease Cycles'!$DK$10:$DQ$10,1,CN44),1-INDEX('Lease Cycles'!$DR$10:$DX$10,1,CN44),1))),0)</f>
        <v>9372.603910457065</v>
      </c>
      <c r="CO50" s="28">
        <f>IF(CO46=1,IF(INDEX('Lease Cycles'!$EF$10:$EL$10,1,CO44)=1,CO47*INDEX('Lease Cycles'!$EM$10:$ES$10,1,CO44)+CO48*IF(CO45&lt;INDEX('Lease Cycles'!$FA$10:$FG$10,1,CO44),0,1-INDEX('Lease Cycles'!$EM$10:$ES$10,1,CO44)),CO47*IF(CO45&lt;INDEX('Lease Cycles'!$DK$10:$DQ$10,1,CO44),0,IF(CO45=INDEX('Lease Cycles'!$DK$10:$DQ$10,1,CO44),1-INDEX('Lease Cycles'!$DR$10:$DX$10,1,CO44),1))),0)</f>
        <v>9372.603910457065</v>
      </c>
      <c r="CP50" s="28">
        <f>IF(CP46=1,IF(INDEX('Lease Cycles'!$EF$10:$EL$10,1,CP44)=1,CP47*INDEX('Lease Cycles'!$EM$10:$ES$10,1,CP44)+CP48*IF(CP45&lt;INDEX('Lease Cycles'!$FA$10:$FG$10,1,CP44),0,1-INDEX('Lease Cycles'!$EM$10:$ES$10,1,CP44)),CP47*IF(CP45&lt;INDEX('Lease Cycles'!$DK$10:$DQ$10,1,CP44),0,IF(CP45=INDEX('Lease Cycles'!$DK$10:$DQ$10,1,CP44),1-INDEX('Lease Cycles'!$DR$10:$DX$10,1,CP44),1))),0)</f>
        <v>9372.603910457065</v>
      </c>
      <c r="CQ50" s="28">
        <f>IF(CQ46=1,IF(INDEX('Lease Cycles'!$EF$10:$EL$10,1,CQ44)=1,CQ47*INDEX('Lease Cycles'!$EM$10:$ES$10,1,CQ44)+CQ48*IF(CQ45&lt;INDEX('Lease Cycles'!$FA$10:$FG$10,1,CQ44),0,1-INDEX('Lease Cycles'!$EM$10:$ES$10,1,CQ44)),CQ47*IF(CQ45&lt;INDEX('Lease Cycles'!$DK$10:$DQ$10,1,CQ44),0,IF(CQ45=INDEX('Lease Cycles'!$DK$10:$DQ$10,1,CQ44),1-INDEX('Lease Cycles'!$DR$10:$DX$10,1,CQ44),1))),0)</f>
        <v>9372.603910457065</v>
      </c>
      <c r="CR50" s="28">
        <f>IF(CR46=1,IF(INDEX('Lease Cycles'!$EF$10:$EL$10,1,CR44)=1,CR47*INDEX('Lease Cycles'!$EM$10:$ES$10,1,CR44)+CR48*IF(CR45&lt;INDEX('Lease Cycles'!$FA$10:$FG$10,1,CR44),0,1-INDEX('Lease Cycles'!$EM$10:$ES$10,1,CR44)),CR47*IF(CR45&lt;INDEX('Lease Cycles'!$DK$10:$DQ$10,1,CR44),0,IF(CR45=INDEX('Lease Cycles'!$DK$10:$DQ$10,1,CR44),1-INDEX('Lease Cycles'!$DR$10:$DX$10,1,CR44),1))),0)</f>
        <v>9372.603910457065</v>
      </c>
      <c r="CS50" s="28">
        <f>IF(CS46=1,IF(INDEX('Lease Cycles'!$EF$10:$EL$10,1,CS44)=1,CS47*INDEX('Lease Cycles'!$EM$10:$ES$10,1,CS44)+CS48*IF(CS45&lt;INDEX('Lease Cycles'!$FA$10:$FG$10,1,CS44),0,1-INDEX('Lease Cycles'!$EM$10:$ES$10,1,CS44)),CS47*IF(CS45&lt;INDEX('Lease Cycles'!$DK$10:$DQ$10,1,CS44),0,IF(CS45=INDEX('Lease Cycles'!$DK$10:$DQ$10,1,CS44),1-INDEX('Lease Cycles'!$DR$10:$DX$10,1,CS44),1))),0)</f>
        <v>9372.603910457065</v>
      </c>
      <c r="CT50" s="28">
        <f>IF(CT46=1,IF(INDEX('Lease Cycles'!$EF$10:$EL$10,1,CT44)=1,CT47*INDEX('Lease Cycles'!$EM$10:$ES$10,1,CT44)+CT48*IF(CT45&lt;INDEX('Lease Cycles'!$FA$10:$FG$10,1,CT44),0,1-INDEX('Lease Cycles'!$EM$10:$ES$10,1,CT44)),CT47*IF(CT45&lt;INDEX('Lease Cycles'!$DK$10:$DQ$10,1,CT44),0,IF(CT45=INDEX('Lease Cycles'!$DK$10:$DQ$10,1,CT44),1-INDEX('Lease Cycles'!$DR$10:$DX$10,1,CT44),1))),0)</f>
        <v>9372.603910457065</v>
      </c>
      <c r="CU50" s="28">
        <f>IF(CU46=1,IF(INDEX('Lease Cycles'!$EF$10:$EL$10,1,CU44)=1,CU47*INDEX('Lease Cycles'!$EM$10:$ES$10,1,CU44)+CU48*IF(CU45&lt;INDEX('Lease Cycles'!$FA$10:$FG$10,1,CU44),0,1-INDEX('Lease Cycles'!$EM$10:$ES$10,1,CU44)),CU47*IF(CU45&lt;INDEX('Lease Cycles'!$DK$10:$DQ$10,1,CU44),0,IF(CU45=INDEX('Lease Cycles'!$DK$10:$DQ$10,1,CU44),1-INDEX('Lease Cycles'!$DR$10:$DX$10,1,CU44),1))),0)</f>
        <v>9372.603910457065</v>
      </c>
      <c r="CV50" s="28">
        <f>IF(CV46=1,IF(INDEX('Lease Cycles'!$EF$10:$EL$10,1,CV44)=1,CV47*INDEX('Lease Cycles'!$EM$10:$ES$10,1,CV44)+CV48*IF(CV45&lt;INDEX('Lease Cycles'!$FA$10:$FG$10,1,CV44),0,1-INDEX('Lease Cycles'!$EM$10:$ES$10,1,CV44)),CV47*IF(CV45&lt;INDEX('Lease Cycles'!$DK$10:$DQ$10,1,CV44),0,IF(CV45=INDEX('Lease Cycles'!$DK$10:$DQ$10,1,CV44),1-INDEX('Lease Cycles'!$DR$10:$DX$10,1,CV44),1))),0)</f>
        <v>9372.603910457065</v>
      </c>
      <c r="CW50" s="28">
        <f>IF(CW46=1,IF(INDEX('Lease Cycles'!$EF$10:$EL$10,1,CW44)=1,CW47*INDEX('Lease Cycles'!$EM$10:$ES$10,1,CW44)+CW48*IF(CW45&lt;INDEX('Lease Cycles'!$FA$10:$FG$10,1,CW44),0,1-INDEX('Lease Cycles'!$EM$10:$ES$10,1,CW44)),CW47*IF(CW45&lt;INDEX('Lease Cycles'!$DK$10:$DQ$10,1,CW44),0,IF(CW45=INDEX('Lease Cycles'!$DK$10:$DQ$10,1,CW44),1-INDEX('Lease Cycles'!$DR$10:$DX$10,1,CW44),1))),0)</f>
        <v>9372.603910457065</v>
      </c>
      <c r="CX50" s="28">
        <f>IF(CX46=1,IF(INDEX('Lease Cycles'!$EF$10:$EL$10,1,CX44)=1,CX47*INDEX('Lease Cycles'!$EM$10:$ES$10,1,CX44)+CX48*IF(CX45&lt;INDEX('Lease Cycles'!$FA$10:$FG$10,1,CX44),0,1-INDEX('Lease Cycles'!$EM$10:$ES$10,1,CX44)),CX47*IF(CX45&lt;INDEX('Lease Cycles'!$DK$10:$DQ$10,1,CX44),0,IF(CX45=INDEX('Lease Cycles'!$DK$10:$DQ$10,1,CX44),1-INDEX('Lease Cycles'!$DR$10:$DX$10,1,CX44),1))),0)</f>
        <v>9372.603910457065</v>
      </c>
      <c r="CY50" s="28">
        <f>IF(CY46=1,IF(INDEX('Lease Cycles'!$EF$10:$EL$10,1,CY44)=1,CY47*INDEX('Lease Cycles'!$EM$10:$ES$10,1,CY44)+CY48*IF(CY45&lt;INDEX('Lease Cycles'!$FA$10:$FG$10,1,CY44),0,1-INDEX('Lease Cycles'!$EM$10:$ES$10,1,CY44)),CY47*IF(CY45&lt;INDEX('Lease Cycles'!$DK$10:$DQ$10,1,CY44),0,IF(CY45=INDEX('Lease Cycles'!$DK$10:$DQ$10,1,CY44),1-INDEX('Lease Cycles'!$DR$10:$DX$10,1,CY44),1))),0)</f>
        <v>9372.603910457065</v>
      </c>
      <c r="CZ50" s="28">
        <f>IF(CZ46=1,IF(INDEX('Lease Cycles'!$EF$10:$EL$10,1,CZ44)=1,CZ47*INDEX('Lease Cycles'!$EM$10:$ES$10,1,CZ44)+CZ48*IF(CZ45&lt;INDEX('Lease Cycles'!$FA$10:$FG$10,1,CZ44),0,1-INDEX('Lease Cycles'!$EM$10:$ES$10,1,CZ44)),CZ47*IF(CZ45&lt;INDEX('Lease Cycles'!$DK$10:$DQ$10,1,CZ44),0,IF(CZ45=INDEX('Lease Cycles'!$DK$10:$DQ$10,1,CZ44),1-INDEX('Lease Cycles'!$DR$10:$DX$10,1,CZ44),1))),0)</f>
        <v>9372.603910457065</v>
      </c>
      <c r="DA50" s="28">
        <f>IF(DA46=1,IF(INDEX('Lease Cycles'!$EF$10:$EL$10,1,DA44)=1,DA47*INDEX('Lease Cycles'!$EM$10:$ES$10,1,DA44)+DA48*IF(DA45&lt;INDEX('Lease Cycles'!$FA$10:$FG$10,1,DA44),0,1-INDEX('Lease Cycles'!$EM$10:$ES$10,1,DA44)),DA47*IF(DA45&lt;INDEX('Lease Cycles'!$DK$10:$DQ$10,1,DA44),0,IF(DA45=INDEX('Lease Cycles'!$DK$10:$DQ$10,1,DA44),1-INDEX('Lease Cycles'!$DR$10:$DX$10,1,DA44),1))),0)</f>
        <v>9372.603910457065</v>
      </c>
      <c r="DB50" s="28">
        <f>IF(DB46=1,IF(INDEX('Lease Cycles'!$EF$10:$EL$10,1,DB44)=1,DB47*INDEX('Lease Cycles'!$EM$10:$ES$10,1,DB44)+DB48*IF(DB45&lt;INDEX('Lease Cycles'!$FA$10:$FG$10,1,DB44),0,1-INDEX('Lease Cycles'!$EM$10:$ES$10,1,DB44)),DB47*IF(DB45&lt;INDEX('Lease Cycles'!$DK$10:$DQ$10,1,DB44),0,IF(DB45=INDEX('Lease Cycles'!$DK$10:$DQ$10,1,DB44),1-INDEX('Lease Cycles'!$DR$10:$DX$10,1,DB44),1))),0)</f>
        <v>9372.603910457065</v>
      </c>
      <c r="DC50" s="28">
        <f>IF(DC46=1,IF(INDEX('Lease Cycles'!$EF$10:$EL$10,1,DC44)=1,DC47*INDEX('Lease Cycles'!$EM$10:$ES$10,1,DC44)+DC48*IF(DC45&lt;INDEX('Lease Cycles'!$FA$10:$FG$10,1,DC44),0,1-INDEX('Lease Cycles'!$EM$10:$ES$10,1,DC44)),DC47*IF(DC45&lt;INDEX('Lease Cycles'!$DK$10:$DQ$10,1,DC44),0,IF(DC45=INDEX('Lease Cycles'!$DK$10:$DQ$10,1,DC44),1-INDEX('Lease Cycles'!$DR$10:$DX$10,1,DC44),1))),0)</f>
        <v>9372.603910457065</v>
      </c>
      <c r="DD50" s="28">
        <f>IF(DD46=1,IF(INDEX('Lease Cycles'!$EF$10:$EL$10,1,DD44)=1,DD47*INDEX('Lease Cycles'!$EM$10:$ES$10,1,DD44)+DD48*IF(DD45&lt;INDEX('Lease Cycles'!$FA$10:$FG$10,1,DD44),0,1-INDEX('Lease Cycles'!$EM$10:$ES$10,1,DD44)),DD47*IF(DD45&lt;INDEX('Lease Cycles'!$DK$10:$DQ$10,1,DD44),0,IF(DD45=INDEX('Lease Cycles'!$DK$10:$DQ$10,1,DD44),1-INDEX('Lease Cycles'!$DR$10:$DX$10,1,DD44),1))),0)</f>
        <v>9372.603910457065</v>
      </c>
      <c r="DE50" s="28">
        <f>IF(DE46=1,IF(INDEX('Lease Cycles'!$EF$10:$EL$10,1,DE44)=1,DE47*INDEX('Lease Cycles'!$EM$10:$ES$10,1,DE44)+DE48*IF(DE45&lt;INDEX('Lease Cycles'!$FA$10:$FG$10,1,DE44),0,1-INDEX('Lease Cycles'!$EM$10:$ES$10,1,DE44)),DE47*IF(DE45&lt;INDEX('Lease Cycles'!$DK$10:$DQ$10,1,DE44),0,IF(DE45=INDEX('Lease Cycles'!$DK$10:$DQ$10,1,DE44),1-INDEX('Lease Cycles'!$DR$10:$DX$10,1,DE44),1))),0)</f>
        <v>9372.603910457065</v>
      </c>
      <c r="DF50" s="28">
        <f>IF(DF46=1,IF(INDEX('Lease Cycles'!$EF$10:$EL$10,1,DF44)=1,DF47*INDEX('Lease Cycles'!$EM$10:$ES$10,1,DF44)+DF48*IF(DF45&lt;INDEX('Lease Cycles'!$FA$10:$FG$10,1,DF44),0,1-INDEX('Lease Cycles'!$EM$10:$ES$10,1,DF44)),DF47*IF(DF45&lt;INDEX('Lease Cycles'!$DK$10:$DQ$10,1,DF44),0,IF(DF45=INDEX('Lease Cycles'!$DK$10:$DQ$10,1,DF44),1-INDEX('Lease Cycles'!$DR$10:$DX$10,1,DF44),1))),0)</f>
        <v>9372.603910457065</v>
      </c>
      <c r="DG50" s="28">
        <f>IF(DG46=1,IF(INDEX('Lease Cycles'!$EF$10:$EL$10,1,DG44)=1,DG47*INDEX('Lease Cycles'!$EM$10:$ES$10,1,DG44)+DG48*IF(DG45&lt;INDEX('Lease Cycles'!$FA$10:$FG$10,1,DG44),0,1-INDEX('Lease Cycles'!$EM$10:$ES$10,1,DG44)),DG47*IF(DG45&lt;INDEX('Lease Cycles'!$DK$10:$DQ$10,1,DG44),0,IF(DG45=INDEX('Lease Cycles'!$DK$10:$DQ$10,1,DG44),1-INDEX('Lease Cycles'!$DR$10:$DX$10,1,DG44),1))),0)</f>
        <v>9372.603910457065</v>
      </c>
      <c r="DH50" s="28">
        <f>IF(DH46=1,IF(INDEX('Lease Cycles'!$EF$10:$EL$10,1,DH44)=1,DH47*INDEX('Lease Cycles'!$EM$10:$ES$10,1,DH44)+DH48*IF(DH45&lt;INDEX('Lease Cycles'!$FA$10:$FG$10,1,DH44),0,1-INDEX('Lease Cycles'!$EM$10:$ES$10,1,DH44)),DH47*IF(DH45&lt;INDEX('Lease Cycles'!$DK$10:$DQ$10,1,DH44),0,IF(DH45=INDEX('Lease Cycles'!$DK$10:$DQ$10,1,DH44),1-INDEX('Lease Cycles'!$DR$10:$DX$10,1,DH44),1))),0)</f>
        <v>9372.603910457065</v>
      </c>
      <c r="DI50" s="28">
        <f>IF(DI46=1,IF(INDEX('Lease Cycles'!$EF$10:$EL$10,1,DI44)=1,DI47*INDEX('Lease Cycles'!$EM$10:$ES$10,1,DI44)+DI48*IF(DI45&lt;INDEX('Lease Cycles'!$FA$10:$FG$10,1,DI44),0,1-INDEX('Lease Cycles'!$EM$10:$ES$10,1,DI44)),DI47*IF(DI45&lt;INDEX('Lease Cycles'!$DK$10:$DQ$10,1,DI44),0,IF(DI45=INDEX('Lease Cycles'!$DK$10:$DQ$10,1,DI44),1-INDEX('Lease Cycles'!$DR$10:$DX$10,1,DI44),1))),0)</f>
        <v>9372.603910457065</v>
      </c>
      <c r="DJ50" s="28">
        <f>IF(DJ46=1,IF(INDEX('Lease Cycles'!$EF$10:$EL$10,1,DJ44)=1,DJ47*INDEX('Lease Cycles'!$EM$10:$ES$10,1,DJ44)+DJ48*IF(DJ45&lt;INDEX('Lease Cycles'!$FA$10:$FG$10,1,DJ44),0,1-INDEX('Lease Cycles'!$EM$10:$ES$10,1,DJ44)),DJ47*IF(DJ45&lt;INDEX('Lease Cycles'!$DK$10:$DQ$10,1,DJ44),0,IF(DJ45=INDEX('Lease Cycles'!$DK$10:$DQ$10,1,DJ44),1-INDEX('Lease Cycles'!$DR$10:$DX$10,1,DJ44),1))),0)</f>
        <v>9372.603910457065</v>
      </c>
      <c r="DK50" s="28">
        <f>IF(DK46=1,IF(INDEX('Lease Cycles'!$EF$10:$EL$10,1,DK44)=1,DK47*INDEX('Lease Cycles'!$EM$10:$ES$10,1,DK44)+DK48*IF(DK45&lt;INDEX('Lease Cycles'!$FA$10:$FG$10,1,DK44),0,1-INDEX('Lease Cycles'!$EM$10:$ES$10,1,DK44)),DK47*IF(DK45&lt;INDEX('Lease Cycles'!$DK$10:$DQ$10,1,DK44),0,IF(DK45=INDEX('Lease Cycles'!$DK$10:$DQ$10,1,DK44),1-INDEX('Lease Cycles'!$DR$10:$DX$10,1,DK44),1))),0)</f>
        <v>9372.603910457065</v>
      </c>
      <c r="DL50" s="28">
        <f>IF(DL46=1,IF(INDEX('Lease Cycles'!$EF$10:$EL$10,1,DL44)=1,DL47*INDEX('Lease Cycles'!$EM$10:$ES$10,1,DL44)+DL48*IF(DL45&lt;INDEX('Lease Cycles'!$FA$10:$FG$10,1,DL44),0,1-INDEX('Lease Cycles'!$EM$10:$ES$10,1,DL44)),DL47*IF(DL45&lt;INDEX('Lease Cycles'!$DK$10:$DQ$10,1,DL44),0,IF(DL45=INDEX('Lease Cycles'!$DK$10:$DQ$10,1,DL44),1-INDEX('Lease Cycles'!$DR$10:$DX$10,1,DL44),1))),0)</f>
        <v>9372.603910457065</v>
      </c>
      <c r="DM50" s="28">
        <f>IF(DM46=1,IF(INDEX('Lease Cycles'!$EF$10:$EL$10,1,DM44)=1,DM47*INDEX('Lease Cycles'!$EM$10:$ES$10,1,DM44)+DM48*IF(DM45&lt;INDEX('Lease Cycles'!$FA$10:$FG$10,1,DM44),0,1-INDEX('Lease Cycles'!$EM$10:$ES$10,1,DM44)),DM47*IF(DM45&lt;INDEX('Lease Cycles'!$DK$10:$DQ$10,1,DM44),0,IF(DM45=INDEX('Lease Cycles'!$DK$10:$DQ$10,1,DM44),1-INDEX('Lease Cycles'!$DR$10:$DX$10,1,DM44),1))),0)</f>
        <v>9372.603910457065</v>
      </c>
      <c r="DN50" s="28">
        <f>IF(DN46=1,IF(INDEX('Lease Cycles'!$EF$10:$EL$10,1,DN44)=1,DN47*INDEX('Lease Cycles'!$EM$10:$ES$10,1,DN44)+DN48*IF(DN45&lt;INDEX('Lease Cycles'!$FA$10:$FG$10,1,DN44),0,1-INDEX('Lease Cycles'!$EM$10:$ES$10,1,DN44)),DN47*IF(DN45&lt;INDEX('Lease Cycles'!$DK$10:$DQ$10,1,DN44),0,IF(DN45=INDEX('Lease Cycles'!$DK$10:$DQ$10,1,DN44),1-INDEX('Lease Cycles'!$DR$10:$DX$10,1,DN44),1))),0)</f>
        <v>9372.603910457065</v>
      </c>
      <c r="DO50" s="28">
        <f>IF(DO46=1,IF(INDEX('Lease Cycles'!$EF$10:$EL$10,1,DO44)=1,DO47*INDEX('Lease Cycles'!$EM$10:$ES$10,1,DO44)+DO48*IF(DO45&lt;INDEX('Lease Cycles'!$FA$10:$FG$10,1,DO44),0,1-INDEX('Lease Cycles'!$EM$10:$ES$10,1,DO44)),DO47*IF(DO45&lt;INDEX('Lease Cycles'!$DK$10:$DQ$10,1,DO44),0,IF(DO45=INDEX('Lease Cycles'!$DK$10:$DQ$10,1,DO44),1-INDEX('Lease Cycles'!$DR$10:$DX$10,1,DO44),1))),0)</f>
        <v>9372.603910457065</v>
      </c>
      <c r="DP50" s="28">
        <f>IF(DP46=1,IF(INDEX('Lease Cycles'!$EF$10:$EL$10,1,DP44)=1,DP47*INDEX('Lease Cycles'!$EM$10:$ES$10,1,DP44)+DP48*IF(DP45&lt;INDEX('Lease Cycles'!$FA$10:$FG$10,1,DP44),0,1-INDEX('Lease Cycles'!$EM$10:$ES$10,1,DP44)),DP47*IF(DP45&lt;INDEX('Lease Cycles'!$DK$10:$DQ$10,1,DP44),0,IF(DP45=INDEX('Lease Cycles'!$DK$10:$DQ$10,1,DP44),1-INDEX('Lease Cycles'!$DR$10:$DX$10,1,DP44),1))),0)</f>
        <v>9372.603910457065</v>
      </c>
      <c r="DQ50" s="28">
        <f>IF(DQ46=1,IF(INDEX('Lease Cycles'!$EF$10:$EL$10,1,DQ44)=1,DQ47*INDEX('Lease Cycles'!$EM$10:$ES$10,1,DQ44)+DQ48*IF(DQ45&lt;INDEX('Lease Cycles'!$FA$10:$FG$10,1,DQ44),0,1-INDEX('Lease Cycles'!$EM$10:$ES$10,1,DQ44)),DQ47*IF(DQ45&lt;INDEX('Lease Cycles'!$DK$10:$DQ$10,1,DQ44),0,IF(DQ45=INDEX('Lease Cycles'!$DK$10:$DQ$10,1,DQ44),1-INDEX('Lease Cycles'!$DR$10:$DX$10,1,DQ44),1))),0)</f>
        <v>9372.603910457065</v>
      </c>
      <c r="DR50" s="28">
        <f>IF(DR46=1,IF(INDEX('Lease Cycles'!$EF$10:$EL$10,1,DR44)=1,DR47*INDEX('Lease Cycles'!$EM$10:$ES$10,1,DR44)+DR48*IF(DR45&lt;INDEX('Lease Cycles'!$FA$10:$FG$10,1,DR44),0,1-INDEX('Lease Cycles'!$EM$10:$ES$10,1,DR44)),DR47*IF(DR45&lt;INDEX('Lease Cycles'!$DK$10:$DQ$10,1,DR44),0,IF(DR45=INDEX('Lease Cycles'!$DK$10:$DQ$10,1,DR44),1-INDEX('Lease Cycles'!$DR$10:$DX$10,1,DR44),1))),0)</f>
        <v>9372.603910457065</v>
      </c>
      <c r="DS50" s="28">
        <f>IF(DS46=1,IF(INDEX('Lease Cycles'!$EF$10:$EL$10,1,DS44)=1,DS47*INDEX('Lease Cycles'!$EM$10:$ES$10,1,DS44)+DS48*IF(DS45&lt;INDEX('Lease Cycles'!$FA$10:$FG$10,1,DS44),0,1-INDEX('Lease Cycles'!$EM$10:$ES$10,1,DS44)),DS47*IF(DS45&lt;INDEX('Lease Cycles'!$DK$10:$DQ$10,1,DS44),0,IF(DS45=INDEX('Lease Cycles'!$DK$10:$DQ$10,1,DS44),1-INDEX('Lease Cycles'!$DR$10:$DX$10,1,DS44),1))),0)</f>
        <v>9372.603910457065</v>
      </c>
      <c r="DT50" s="28">
        <f>IF(DT46=1,IF(INDEX('Lease Cycles'!$EF$10:$EL$10,1,DT44)=1,DT47*INDEX('Lease Cycles'!$EM$10:$ES$10,1,DT44)+DT48*IF(DT45&lt;INDEX('Lease Cycles'!$FA$10:$FG$10,1,DT44),0,1-INDEX('Lease Cycles'!$EM$10:$ES$10,1,DT44)),DT47*IF(DT45&lt;INDEX('Lease Cycles'!$DK$10:$DQ$10,1,DT44),0,IF(DT45=INDEX('Lease Cycles'!$DK$10:$DQ$10,1,DT44),1-INDEX('Lease Cycles'!$DR$10:$DX$10,1,DT44),1))),0)</f>
        <v>9372.603910457065</v>
      </c>
      <c r="DU50" s="28">
        <f>IF(DU46=1,IF(INDEX('Lease Cycles'!$EF$10:$EL$10,1,DU44)=1,DU47*INDEX('Lease Cycles'!$EM$10:$ES$10,1,DU44)+DU48*IF(DU45&lt;INDEX('Lease Cycles'!$FA$10:$FG$10,1,DU44),0,1-INDEX('Lease Cycles'!$EM$10:$ES$10,1,DU44)),DU47*IF(DU45&lt;INDEX('Lease Cycles'!$DK$10:$DQ$10,1,DU44),0,IF(DU45=INDEX('Lease Cycles'!$DK$10:$DQ$10,1,DU44),1-INDEX('Lease Cycles'!$DR$10:$DX$10,1,DU44),1))),0)</f>
        <v>9372.603910457065</v>
      </c>
      <c r="DV50" s="28">
        <f>IF(DV46=1,IF(INDEX('Lease Cycles'!$EF$10:$EL$10,1,DV44)=1,DV47*INDEX('Lease Cycles'!$EM$10:$ES$10,1,DV44)+DV48*IF(DV45&lt;INDEX('Lease Cycles'!$FA$10:$FG$10,1,DV44),0,1-INDEX('Lease Cycles'!$EM$10:$ES$10,1,DV44)),DV47*IF(DV45&lt;INDEX('Lease Cycles'!$DK$10:$DQ$10,1,DV44),0,IF(DV45=INDEX('Lease Cycles'!$DK$10:$DQ$10,1,DV44),1-INDEX('Lease Cycles'!$DR$10:$DX$10,1,DV44),1))),0)</f>
        <v>9372.603910457065</v>
      </c>
      <c r="DW50" s="28">
        <f>IF(DW46=1,IF(INDEX('Lease Cycles'!$EF$10:$EL$10,1,DW44)=1,DW47*INDEX('Lease Cycles'!$EM$10:$ES$10,1,DW44)+DW48*IF(DW45&lt;INDEX('Lease Cycles'!$FA$10:$FG$10,1,DW44),0,1-INDEX('Lease Cycles'!$EM$10:$ES$10,1,DW44)),DW47*IF(DW45&lt;INDEX('Lease Cycles'!$DK$10:$DQ$10,1,DW44),0,IF(DW45=INDEX('Lease Cycles'!$DK$10:$DQ$10,1,DW44),1-INDEX('Lease Cycles'!$DR$10:$DX$10,1,DW44),1))),0)</f>
        <v>9372.603910457065</v>
      </c>
      <c r="DX50" s="28">
        <f>IF(DX46=1,IF(INDEX('Lease Cycles'!$EF$10:$EL$10,1,DX44)=1,DX47*INDEX('Lease Cycles'!$EM$10:$ES$10,1,DX44)+DX48*IF(DX45&lt;INDEX('Lease Cycles'!$FA$10:$FG$10,1,DX44),0,1-INDEX('Lease Cycles'!$EM$10:$ES$10,1,DX44)),DX47*IF(DX45&lt;INDEX('Lease Cycles'!$DK$10:$DQ$10,1,DX44),0,IF(DX45=INDEX('Lease Cycles'!$DK$10:$DQ$10,1,DX44),1-INDEX('Lease Cycles'!$DR$10:$DX$10,1,DX44),1))),0)</f>
        <v>9372.603910457065</v>
      </c>
      <c r="DY50" s="28">
        <f>IF(DY46=1,IF(INDEX('Lease Cycles'!$EF$10:$EL$10,1,DY44)=1,DY47*INDEX('Lease Cycles'!$EM$10:$ES$10,1,DY44)+DY48*IF(DY45&lt;INDEX('Lease Cycles'!$FA$10:$FG$10,1,DY44),0,1-INDEX('Lease Cycles'!$EM$10:$ES$10,1,DY44)),DY47*IF(DY45&lt;INDEX('Lease Cycles'!$DK$10:$DQ$10,1,DY44),0,IF(DY45=INDEX('Lease Cycles'!$DK$10:$DQ$10,1,DY44),1-INDEX('Lease Cycles'!$DR$10:$DX$10,1,DY44),1))),0)</f>
        <v>9372.603910457065</v>
      </c>
      <c r="DZ50" s="28">
        <f>IF(DZ46=1,IF(INDEX('Lease Cycles'!$EF$10:$EL$10,1,DZ44)=1,DZ47*INDEX('Lease Cycles'!$EM$10:$ES$10,1,DZ44)+DZ48*IF(DZ45&lt;INDEX('Lease Cycles'!$FA$10:$FG$10,1,DZ44),0,1-INDEX('Lease Cycles'!$EM$10:$ES$10,1,DZ44)),DZ47*IF(DZ45&lt;INDEX('Lease Cycles'!$DK$10:$DQ$10,1,DZ44),0,IF(DZ45=INDEX('Lease Cycles'!$DK$10:$DQ$10,1,DZ44),1-INDEX('Lease Cycles'!$DR$10:$DX$10,1,DZ44),1))),0)</f>
        <v>9372.603910457065</v>
      </c>
      <c r="EA50" s="28">
        <f>IF(EA46=1,IF(INDEX('Lease Cycles'!$EF$10:$EL$10,1,EA44)=1,EA47*INDEX('Lease Cycles'!$EM$10:$ES$10,1,EA44)+EA48*IF(EA45&lt;INDEX('Lease Cycles'!$FA$10:$FG$10,1,EA44),0,1-INDEX('Lease Cycles'!$EM$10:$ES$10,1,EA44)),EA47*IF(EA45&lt;INDEX('Lease Cycles'!$DK$10:$DQ$10,1,EA44),0,IF(EA45=INDEX('Lease Cycles'!$DK$10:$DQ$10,1,EA44),1-INDEX('Lease Cycles'!$DR$10:$DX$10,1,EA44),1))),0)</f>
        <v>9372.603910457065</v>
      </c>
      <c r="EB50" s="28">
        <f>IF(EB46=1,IF(INDEX('Lease Cycles'!$EF$10:$EL$10,1,EB44)=1,EB47*INDEX('Lease Cycles'!$EM$10:$ES$10,1,EB44)+EB48*IF(EB45&lt;INDEX('Lease Cycles'!$FA$10:$FG$10,1,EB44),0,1-INDEX('Lease Cycles'!$EM$10:$ES$10,1,EB44)),EB47*IF(EB45&lt;INDEX('Lease Cycles'!$DK$10:$DQ$10,1,EB44),0,IF(EB45=INDEX('Lease Cycles'!$DK$10:$DQ$10,1,EB44),1-INDEX('Lease Cycles'!$DR$10:$DX$10,1,EB44),1))),0)</f>
        <v>9372.603910457065</v>
      </c>
      <c r="EC50" s="28">
        <f>IF(EC46=1,IF(INDEX('Lease Cycles'!$EF$10:$EL$10,1,EC44)=1,EC47*INDEX('Lease Cycles'!$EM$10:$ES$10,1,EC44)+EC48*IF(EC45&lt;INDEX('Lease Cycles'!$FA$10:$FG$10,1,EC44),0,1-INDEX('Lease Cycles'!$EM$10:$ES$10,1,EC44)),EC47*IF(EC45&lt;INDEX('Lease Cycles'!$DK$10:$DQ$10,1,EC44),0,IF(EC45=INDEX('Lease Cycles'!$DK$10:$DQ$10,1,EC44),1-INDEX('Lease Cycles'!$DR$10:$DX$10,1,EC44),1))),0)</f>
        <v>9372.603910457065</v>
      </c>
      <c r="ED50" s="28">
        <f>IF(ED46=1,IF(INDEX('Lease Cycles'!$EF$10:$EL$10,1,ED44)=1,ED47*INDEX('Lease Cycles'!$EM$10:$ES$10,1,ED44)+ED48*IF(ED45&lt;INDEX('Lease Cycles'!$FA$10:$FG$10,1,ED44),0,1-INDEX('Lease Cycles'!$EM$10:$ES$10,1,ED44)),ED47*IF(ED45&lt;INDEX('Lease Cycles'!$DK$10:$DQ$10,1,ED44),0,IF(ED45=INDEX('Lease Cycles'!$DK$10:$DQ$10,1,ED44),1-INDEX('Lease Cycles'!$DR$10:$DX$10,1,ED44),1))),0)</f>
        <v>9372.603910457065</v>
      </c>
      <c r="EE50" s="28">
        <f>IF(EE46=1,IF(INDEX('Lease Cycles'!$EF$10:$EL$10,1,EE44)=1,EE47*INDEX('Lease Cycles'!$EM$10:$ES$10,1,EE44)+EE48*IF(EE45&lt;INDEX('Lease Cycles'!$FA$10:$FG$10,1,EE44),0,1-INDEX('Lease Cycles'!$EM$10:$ES$10,1,EE44)),EE47*IF(EE45&lt;INDEX('Lease Cycles'!$DK$10:$DQ$10,1,EE44),0,IF(EE45=INDEX('Lease Cycles'!$DK$10:$DQ$10,1,EE44),1-INDEX('Lease Cycles'!$DR$10:$DX$10,1,EE44),1))),0)</f>
        <v>9372.603910457065</v>
      </c>
      <c r="EF50" s="28">
        <f>IF(EF46=1,IF(INDEX('Lease Cycles'!$EF$10:$EL$10,1,EF44)=1,EF47*INDEX('Lease Cycles'!$EM$10:$ES$10,1,EF44)+EF48*IF(EF45&lt;INDEX('Lease Cycles'!$FA$10:$FG$10,1,EF44),0,1-INDEX('Lease Cycles'!$EM$10:$ES$10,1,EF44)),EF47*IF(EF45&lt;INDEX('Lease Cycles'!$DK$10:$DQ$10,1,EF44),0,IF(EF45=INDEX('Lease Cycles'!$DK$10:$DQ$10,1,EF44),1-INDEX('Lease Cycles'!$DR$10:$DX$10,1,EF44),1))),0)</f>
        <v>9372.603910457065</v>
      </c>
      <c r="EG50" s="28">
        <f>IF(EG46=1,IF(INDEX('Lease Cycles'!$EF$10:$EL$10,1,EG44)=1,EG47*INDEX('Lease Cycles'!$EM$10:$ES$10,1,EG44)+EG48*IF(EG45&lt;INDEX('Lease Cycles'!$FA$10:$FG$10,1,EG44),0,1-INDEX('Lease Cycles'!$EM$10:$ES$10,1,EG44)),EG47*IF(EG45&lt;INDEX('Lease Cycles'!$DK$10:$DQ$10,1,EG44),0,IF(EG45=INDEX('Lease Cycles'!$DK$10:$DQ$10,1,EG44),1-INDEX('Lease Cycles'!$DR$10:$DX$10,1,EG44),1))),0)</f>
        <v>9372.603910457065</v>
      </c>
      <c r="EH50" s="28">
        <f>IF(EH46=1,IF(INDEX('Lease Cycles'!$EF$10:$EL$10,1,EH44)=1,EH47*INDEX('Lease Cycles'!$EM$10:$ES$10,1,EH44)+EH48*IF(EH45&lt;INDEX('Lease Cycles'!$FA$10:$FG$10,1,EH44),0,1-INDEX('Lease Cycles'!$EM$10:$ES$10,1,EH44)),EH47*IF(EH45&lt;INDEX('Lease Cycles'!$DK$10:$DQ$10,1,EH44),0,IF(EH45=INDEX('Lease Cycles'!$DK$10:$DQ$10,1,EH44),1-INDEX('Lease Cycles'!$DR$10:$DX$10,1,EH44),1))),0)</f>
        <v>9372.603910457065</v>
      </c>
      <c r="EI50" s="28">
        <f>IF(EI46=1,IF(INDEX('Lease Cycles'!$EF$10:$EL$10,1,EI44)=1,EI47*INDEX('Lease Cycles'!$EM$10:$ES$10,1,EI44)+EI48*IF(EI45&lt;INDEX('Lease Cycles'!$FA$10:$FG$10,1,EI44),0,1-INDEX('Lease Cycles'!$EM$10:$ES$10,1,EI44)),EI47*IF(EI45&lt;INDEX('Lease Cycles'!$DK$10:$DQ$10,1,EI44),0,IF(EI45=INDEX('Lease Cycles'!$DK$10:$DQ$10,1,EI44),1-INDEX('Lease Cycles'!$DR$10:$DX$10,1,EI44),1))),0)</f>
        <v>9372.603910457065</v>
      </c>
      <c r="EJ50" s="28">
        <f>IF(EJ46=1,IF(INDEX('Lease Cycles'!$EF$10:$EL$10,1,EJ44)=1,EJ47*INDEX('Lease Cycles'!$EM$10:$ES$10,1,EJ44)+EJ48*IF(EJ45&lt;INDEX('Lease Cycles'!$FA$10:$FG$10,1,EJ44),0,1-INDEX('Lease Cycles'!$EM$10:$ES$10,1,EJ44)),EJ47*IF(EJ45&lt;INDEX('Lease Cycles'!$DK$10:$DQ$10,1,EJ44),0,IF(EJ45=INDEX('Lease Cycles'!$DK$10:$DQ$10,1,EJ44),1-INDEX('Lease Cycles'!$DR$10:$DX$10,1,EJ44),1))),0)</f>
        <v>10309.864301502772</v>
      </c>
      <c r="EK50" s="28">
        <f>IF(EK46=1,IF(INDEX('Lease Cycles'!$EF$10:$EL$10,1,EK44)=1,EK47*INDEX('Lease Cycles'!$EM$10:$ES$10,1,EK44)+EK48*IF(EK45&lt;INDEX('Lease Cycles'!$FA$10:$FG$10,1,EK44),0,1-INDEX('Lease Cycles'!$EM$10:$ES$10,1,EK44)),EK47*IF(EK45&lt;INDEX('Lease Cycles'!$DK$10:$DQ$10,1,EK44),0,IF(EK45=INDEX('Lease Cycles'!$DK$10:$DQ$10,1,EK44),1-INDEX('Lease Cycles'!$DR$10:$DX$10,1,EK44),1))),0)</f>
        <v>10309.864301502772</v>
      </c>
      <c r="EL50" s="28">
        <f>IF(EL46=1,IF(INDEX('Lease Cycles'!$EF$10:$EL$10,1,EL44)=1,EL47*INDEX('Lease Cycles'!$EM$10:$ES$10,1,EL44)+EL48*IF(EL45&lt;INDEX('Lease Cycles'!$FA$10:$FG$10,1,EL44),0,1-INDEX('Lease Cycles'!$EM$10:$ES$10,1,EL44)),EL47*IF(EL45&lt;INDEX('Lease Cycles'!$DK$10:$DQ$10,1,EL44),0,IF(EL45=INDEX('Lease Cycles'!$DK$10:$DQ$10,1,EL44),1-INDEX('Lease Cycles'!$DR$10:$DX$10,1,EL44),1))),0)</f>
        <v>10309.864301502772</v>
      </c>
      <c r="EM50" s="28">
        <f>IF(EM46=1,IF(INDEX('Lease Cycles'!$EF$10:$EL$10,1,EM44)=1,EM47*INDEX('Lease Cycles'!$EM$10:$ES$10,1,EM44)+EM48*IF(EM45&lt;INDEX('Lease Cycles'!$FA$10:$FG$10,1,EM44),0,1-INDEX('Lease Cycles'!$EM$10:$ES$10,1,EM44)),EM47*IF(EM45&lt;INDEX('Lease Cycles'!$DK$10:$DQ$10,1,EM44),0,IF(EM45=INDEX('Lease Cycles'!$DK$10:$DQ$10,1,EM44),1-INDEX('Lease Cycles'!$DR$10:$DX$10,1,EM44),1))),0)</f>
        <v>10309.864301502772</v>
      </c>
      <c r="EN50" s="28">
        <f>IF(EN46=1,IF(INDEX('Lease Cycles'!$EF$10:$EL$10,1,EN44)=1,EN47*INDEX('Lease Cycles'!$EM$10:$ES$10,1,EN44)+EN48*IF(EN45&lt;INDEX('Lease Cycles'!$FA$10:$FG$10,1,EN44),0,1-INDEX('Lease Cycles'!$EM$10:$ES$10,1,EN44)),EN47*IF(EN45&lt;INDEX('Lease Cycles'!$DK$10:$DQ$10,1,EN44),0,IF(EN45=INDEX('Lease Cycles'!$DK$10:$DQ$10,1,EN44),1-INDEX('Lease Cycles'!$DR$10:$DX$10,1,EN44),1))),0)</f>
        <v>10309.864301502772</v>
      </c>
      <c r="EO50" s="28">
        <f>IF(EO46=1,IF(INDEX('Lease Cycles'!$EF$10:$EL$10,1,EO44)=1,EO47*INDEX('Lease Cycles'!$EM$10:$ES$10,1,EO44)+EO48*IF(EO45&lt;INDEX('Lease Cycles'!$FA$10:$FG$10,1,EO44),0,1-INDEX('Lease Cycles'!$EM$10:$ES$10,1,EO44)),EO47*IF(EO45&lt;INDEX('Lease Cycles'!$DK$10:$DQ$10,1,EO44),0,IF(EO45=INDEX('Lease Cycles'!$DK$10:$DQ$10,1,EO44),1-INDEX('Lease Cycles'!$DR$10:$DX$10,1,EO44),1))),0)</f>
        <v>10309.864301502772</v>
      </c>
      <c r="EP50" s="28">
        <f>IF(EP46=1,IF(INDEX('Lease Cycles'!$EF$10:$EL$10,1,EP44)=1,EP47*INDEX('Lease Cycles'!$EM$10:$ES$10,1,EP44)+EP48*IF(EP45&lt;INDEX('Lease Cycles'!$FA$10:$FG$10,1,EP44),0,1-INDEX('Lease Cycles'!$EM$10:$ES$10,1,EP44)),EP47*IF(EP45&lt;INDEX('Lease Cycles'!$DK$10:$DQ$10,1,EP44),0,IF(EP45=INDEX('Lease Cycles'!$DK$10:$DQ$10,1,EP44),1-INDEX('Lease Cycles'!$DR$10:$DX$10,1,EP44),1))),0)</f>
        <v>10309.864301502772</v>
      </c>
      <c r="EQ50" s="28">
        <f>IF(EQ46=1,IF(INDEX('Lease Cycles'!$EF$10:$EL$10,1,EQ44)=1,EQ47*INDEX('Lease Cycles'!$EM$10:$ES$10,1,EQ44)+EQ48*IF(EQ45&lt;INDEX('Lease Cycles'!$FA$10:$FG$10,1,EQ44),0,1-INDEX('Lease Cycles'!$EM$10:$ES$10,1,EQ44)),EQ47*IF(EQ45&lt;INDEX('Lease Cycles'!$DK$10:$DQ$10,1,EQ44),0,IF(EQ45=INDEX('Lease Cycles'!$DK$10:$DQ$10,1,EQ44),1-INDEX('Lease Cycles'!$DR$10:$DX$10,1,EQ44),1))),0)</f>
        <v>10309.864301502772</v>
      </c>
      <c r="ER50" s="28">
        <f>IF(ER46=1,IF(INDEX('Lease Cycles'!$EF$10:$EL$10,1,ER44)=1,ER47*INDEX('Lease Cycles'!$EM$10:$ES$10,1,ER44)+ER48*IF(ER45&lt;INDEX('Lease Cycles'!$FA$10:$FG$10,1,ER44),0,1-INDEX('Lease Cycles'!$EM$10:$ES$10,1,ER44)),ER47*IF(ER45&lt;INDEX('Lease Cycles'!$DK$10:$DQ$10,1,ER44),0,IF(ER45=INDEX('Lease Cycles'!$DK$10:$DQ$10,1,ER44),1-INDEX('Lease Cycles'!$DR$10:$DX$10,1,ER44),1))),0)</f>
        <v>10309.864301502772</v>
      </c>
      <c r="ES50" s="28">
        <f>IF(ES46=1,IF(INDEX('Lease Cycles'!$EF$10:$EL$10,1,ES44)=1,ES47*INDEX('Lease Cycles'!$EM$10:$ES$10,1,ES44)+ES48*IF(ES45&lt;INDEX('Lease Cycles'!$FA$10:$FG$10,1,ES44),0,1-INDEX('Lease Cycles'!$EM$10:$ES$10,1,ES44)),ES47*IF(ES45&lt;INDEX('Lease Cycles'!$DK$10:$DQ$10,1,ES44),0,IF(ES45=INDEX('Lease Cycles'!$DK$10:$DQ$10,1,ES44),1-INDEX('Lease Cycles'!$DR$10:$DX$10,1,ES44),1))),0)</f>
        <v>10309.864301502772</v>
      </c>
      <c r="ET50" s="28">
        <f>IF(ET46=1,IF(INDEX('Lease Cycles'!$EF$10:$EL$10,1,ET44)=1,ET47*INDEX('Lease Cycles'!$EM$10:$ES$10,1,ET44)+ET48*IF(ET45&lt;INDEX('Lease Cycles'!$FA$10:$FG$10,1,ET44),0,1-INDEX('Lease Cycles'!$EM$10:$ES$10,1,ET44)),ET47*IF(ET45&lt;INDEX('Lease Cycles'!$DK$10:$DQ$10,1,ET44),0,IF(ET45=INDEX('Lease Cycles'!$DK$10:$DQ$10,1,ET44),1-INDEX('Lease Cycles'!$DR$10:$DX$10,1,ET44),1))),0)</f>
        <v>10309.864301502772</v>
      </c>
    </row>
    <row r="51">
      <c r="A51" s="103">
        <v>3</v>
      </c>
      <c r="B51" s="23" t="str">
        <f>IF('Lease Cycles'!$B$10="","(empty slot)",'Lease Cycles'!$B$10)</f>
        <v>Sunfield Fitness</v>
      </c>
      <c r="C51" s="23" t="s">
        <v>493</v>
      </c>
      <c r="D51" s="104" t="s">
        <v>494</v>
      </c>
      <c r="E51" s="25">
        <f>'Lease Cycles'!$AL$10</f>
        <v>0</v>
      </c>
      <c r="G51" s="28">
        <f>SUM(S51:AD51)</f>
        <v>0</v>
      </c>
      <c r="H51" s="28">
        <f>SUM(AE51:AP51)</f>
        <v>0</v>
      </c>
      <c r="I51" s="28">
        <f>SUM(AQ51:BB51)</f>
        <v>0</v>
      </c>
      <c r="J51" s="28">
        <f>SUM(BC51:BN51)</f>
        <v>0</v>
      </c>
      <c r="K51" s="28">
        <f>SUM(BO51:BZ51)</f>
        <v>0</v>
      </c>
      <c r="L51" s="28">
        <f>SUM(CA51:CL51)</f>
        <v>5623.562346274238</v>
      </c>
      <c r="M51" s="28">
        <f>SUM(CM51:CX51)</f>
        <v>0</v>
      </c>
      <c r="N51" s="28">
        <f>SUM(CY51:DJ51)</f>
        <v>0</v>
      </c>
      <c r="O51" s="28">
        <f>SUM(DK51:DV51)</f>
        <v>0</v>
      </c>
      <c r="P51" s="28">
        <f>SUM(DW51:EH51)</f>
        <v>0</v>
      </c>
      <c r="Q51" s="28">
        <f>SUM(EI51:ET51)</f>
        <v>0</v>
      </c>
      <c r="S51" s="28">
        <f>IF(S46=1,IF(INDEX('Lease Cycles'!$EF$10:$EL$10,1,S44)=1,0,S47*(1-IF(S45&lt;INDEX('Lease Cycles'!$DK$10:$DQ$10,1,S44),0,IF(S45=INDEX('Lease Cycles'!$DK$10:$DQ$10,1,S44),1-INDEX('Lease Cycles'!$DR$10:$DX$10,1,S44),1))-IF(S45=0,INDEX('Lease Cycles'!$DD$10:$DJ$10,1,S44),0))),0)</f>
        <v>0</v>
      </c>
      <c r="T51" s="28">
        <f>IF(T46=1,IF(INDEX('Lease Cycles'!$EF$10:$EL$10,1,T44)=1,0,T47*(1-IF(T45&lt;INDEX('Lease Cycles'!$DK$10:$DQ$10,1,T44),0,IF(T45=INDEX('Lease Cycles'!$DK$10:$DQ$10,1,T44),1-INDEX('Lease Cycles'!$DR$10:$DX$10,1,T44),1))-IF(T45=0,INDEX('Lease Cycles'!$DD$10:$DJ$10,1,T44),0))),0)</f>
        <v>0</v>
      </c>
      <c r="U51" s="28">
        <f>IF(U46=1,IF(INDEX('Lease Cycles'!$EF$10:$EL$10,1,U44)=1,0,U47*(1-IF(U45&lt;INDEX('Lease Cycles'!$DK$10:$DQ$10,1,U44),0,IF(U45=INDEX('Lease Cycles'!$DK$10:$DQ$10,1,U44),1-INDEX('Lease Cycles'!$DR$10:$DX$10,1,U44),1))-IF(U45=0,INDEX('Lease Cycles'!$DD$10:$DJ$10,1,U44),0))),0)</f>
        <v>0</v>
      </c>
      <c r="V51" s="28">
        <f>IF(V46=1,IF(INDEX('Lease Cycles'!$EF$10:$EL$10,1,V44)=1,0,V47*(1-IF(V45&lt;INDEX('Lease Cycles'!$DK$10:$DQ$10,1,V44),0,IF(V45=INDEX('Lease Cycles'!$DK$10:$DQ$10,1,V44),1-INDEX('Lease Cycles'!$DR$10:$DX$10,1,V44),1))-IF(V45=0,INDEX('Lease Cycles'!$DD$10:$DJ$10,1,V44),0))),0)</f>
        <v>0</v>
      </c>
      <c r="W51" s="28">
        <f>IF(W46=1,IF(INDEX('Lease Cycles'!$EF$10:$EL$10,1,W44)=1,0,W47*(1-IF(W45&lt;INDEX('Lease Cycles'!$DK$10:$DQ$10,1,W44),0,IF(W45=INDEX('Lease Cycles'!$DK$10:$DQ$10,1,W44),1-INDEX('Lease Cycles'!$DR$10:$DX$10,1,W44),1))-IF(W45=0,INDEX('Lease Cycles'!$DD$10:$DJ$10,1,W44),0))),0)</f>
        <v>0</v>
      </c>
      <c r="X51" s="28">
        <f>IF(X46=1,IF(INDEX('Lease Cycles'!$EF$10:$EL$10,1,X44)=1,0,X47*(1-IF(X45&lt;INDEX('Lease Cycles'!$DK$10:$DQ$10,1,X44),0,IF(X45=INDEX('Lease Cycles'!$DK$10:$DQ$10,1,X44),1-INDEX('Lease Cycles'!$DR$10:$DX$10,1,X44),1))-IF(X45=0,INDEX('Lease Cycles'!$DD$10:$DJ$10,1,X44),0))),0)</f>
        <v>0</v>
      </c>
      <c r="Y51" s="28">
        <f>IF(Y46=1,IF(INDEX('Lease Cycles'!$EF$10:$EL$10,1,Y44)=1,0,Y47*(1-IF(Y45&lt;INDEX('Lease Cycles'!$DK$10:$DQ$10,1,Y44),0,IF(Y45=INDEX('Lease Cycles'!$DK$10:$DQ$10,1,Y44),1-INDEX('Lease Cycles'!$DR$10:$DX$10,1,Y44),1))-IF(Y45=0,INDEX('Lease Cycles'!$DD$10:$DJ$10,1,Y44),0))),0)</f>
        <v>0</v>
      </c>
      <c r="Z51" s="28">
        <f>IF(Z46=1,IF(INDEX('Lease Cycles'!$EF$10:$EL$10,1,Z44)=1,0,Z47*(1-IF(Z45&lt;INDEX('Lease Cycles'!$DK$10:$DQ$10,1,Z44),0,IF(Z45=INDEX('Lease Cycles'!$DK$10:$DQ$10,1,Z44),1-INDEX('Lease Cycles'!$DR$10:$DX$10,1,Z44),1))-IF(Z45=0,INDEX('Lease Cycles'!$DD$10:$DJ$10,1,Z44),0))),0)</f>
        <v>0</v>
      </c>
      <c r="AA51" s="28">
        <f>IF(AA46=1,IF(INDEX('Lease Cycles'!$EF$10:$EL$10,1,AA44)=1,0,AA47*(1-IF(AA45&lt;INDEX('Lease Cycles'!$DK$10:$DQ$10,1,AA44),0,IF(AA45=INDEX('Lease Cycles'!$DK$10:$DQ$10,1,AA44),1-INDEX('Lease Cycles'!$DR$10:$DX$10,1,AA44),1))-IF(AA45=0,INDEX('Lease Cycles'!$DD$10:$DJ$10,1,AA44),0))),0)</f>
        <v>0</v>
      </c>
      <c r="AB51" s="28">
        <f>IF(AB46=1,IF(INDEX('Lease Cycles'!$EF$10:$EL$10,1,AB44)=1,0,AB47*(1-IF(AB45&lt;INDEX('Lease Cycles'!$DK$10:$DQ$10,1,AB44),0,IF(AB45=INDEX('Lease Cycles'!$DK$10:$DQ$10,1,AB44),1-INDEX('Lease Cycles'!$DR$10:$DX$10,1,AB44),1))-IF(AB45=0,INDEX('Lease Cycles'!$DD$10:$DJ$10,1,AB44),0))),0)</f>
        <v>0</v>
      </c>
      <c r="AC51" s="28">
        <f>IF(AC46=1,IF(INDEX('Lease Cycles'!$EF$10:$EL$10,1,AC44)=1,0,AC47*(1-IF(AC45&lt;INDEX('Lease Cycles'!$DK$10:$DQ$10,1,AC44),0,IF(AC45=INDEX('Lease Cycles'!$DK$10:$DQ$10,1,AC44),1-INDEX('Lease Cycles'!$DR$10:$DX$10,1,AC44),1))-IF(AC45=0,INDEX('Lease Cycles'!$DD$10:$DJ$10,1,AC44),0))),0)</f>
        <v>0</v>
      </c>
      <c r="AD51" s="28">
        <f>IF(AD46=1,IF(INDEX('Lease Cycles'!$EF$10:$EL$10,1,AD44)=1,0,AD47*(1-IF(AD45&lt;INDEX('Lease Cycles'!$DK$10:$DQ$10,1,AD44),0,IF(AD45=INDEX('Lease Cycles'!$DK$10:$DQ$10,1,AD44),1-INDEX('Lease Cycles'!$DR$10:$DX$10,1,AD44),1))-IF(AD45=0,INDEX('Lease Cycles'!$DD$10:$DJ$10,1,AD44),0))),0)</f>
        <v>0</v>
      </c>
      <c r="AE51" s="28">
        <f>IF(AE46=1,IF(INDEX('Lease Cycles'!$EF$10:$EL$10,1,AE44)=1,0,AE47*(1-IF(AE45&lt;INDEX('Lease Cycles'!$DK$10:$DQ$10,1,AE44),0,IF(AE45=INDEX('Lease Cycles'!$DK$10:$DQ$10,1,AE44),1-INDEX('Lease Cycles'!$DR$10:$DX$10,1,AE44),1))-IF(AE45=0,INDEX('Lease Cycles'!$DD$10:$DJ$10,1,AE44),0))),0)</f>
        <v>0</v>
      </c>
      <c r="AF51" s="28">
        <f>IF(AF46=1,IF(INDEX('Lease Cycles'!$EF$10:$EL$10,1,AF44)=1,0,AF47*(1-IF(AF45&lt;INDEX('Lease Cycles'!$DK$10:$DQ$10,1,AF44),0,IF(AF45=INDEX('Lease Cycles'!$DK$10:$DQ$10,1,AF44),1-INDEX('Lease Cycles'!$DR$10:$DX$10,1,AF44),1))-IF(AF45=0,INDEX('Lease Cycles'!$DD$10:$DJ$10,1,AF44),0))),0)</f>
        <v>0</v>
      </c>
      <c r="AG51" s="28">
        <f>IF(AG46=1,IF(INDEX('Lease Cycles'!$EF$10:$EL$10,1,AG44)=1,0,AG47*(1-IF(AG45&lt;INDEX('Lease Cycles'!$DK$10:$DQ$10,1,AG44),0,IF(AG45=INDEX('Lease Cycles'!$DK$10:$DQ$10,1,AG44),1-INDEX('Lease Cycles'!$DR$10:$DX$10,1,AG44),1))-IF(AG45=0,INDEX('Lease Cycles'!$DD$10:$DJ$10,1,AG44),0))),0)</f>
        <v>0</v>
      </c>
      <c r="AH51" s="28">
        <f>IF(AH46=1,IF(INDEX('Lease Cycles'!$EF$10:$EL$10,1,AH44)=1,0,AH47*(1-IF(AH45&lt;INDEX('Lease Cycles'!$DK$10:$DQ$10,1,AH44),0,IF(AH45=INDEX('Lease Cycles'!$DK$10:$DQ$10,1,AH44),1-INDEX('Lease Cycles'!$DR$10:$DX$10,1,AH44),1))-IF(AH45=0,INDEX('Lease Cycles'!$DD$10:$DJ$10,1,AH44),0))),0)</f>
        <v>0</v>
      </c>
      <c r="AI51" s="28">
        <f>IF(AI46=1,IF(INDEX('Lease Cycles'!$EF$10:$EL$10,1,AI44)=1,0,AI47*(1-IF(AI45&lt;INDEX('Lease Cycles'!$DK$10:$DQ$10,1,AI44),0,IF(AI45=INDEX('Lease Cycles'!$DK$10:$DQ$10,1,AI44),1-INDEX('Lease Cycles'!$DR$10:$DX$10,1,AI44),1))-IF(AI45=0,INDEX('Lease Cycles'!$DD$10:$DJ$10,1,AI44),0))),0)</f>
        <v>0</v>
      </c>
      <c r="AJ51" s="28">
        <f>IF(AJ46=1,IF(INDEX('Lease Cycles'!$EF$10:$EL$10,1,AJ44)=1,0,AJ47*(1-IF(AJ45&lt;INDEX('Lease Cycles'!$DK$10:$DQ$10,1,AJ44),0,IF(AJ45=INDEX('Lease Cycles'!$DK$10:$DQ$10,1,AJ44),1-INDEX('Lease Cycles'!$DR$10:$DX$10,1,AJ44),1))-IF(AJ45=0,INDEX('Lease Cycles'!$DD$10:$DJ$10,1,AJ44),0))),0)</f>
        <v>0</v>
      </c>
      <c r="AK51" s="28">
        <f>IF(AK46=1,IF(INDEX('Lease Cycles'!$EF$10:$EL$10,1,AK44)=1,0,AK47*(1-IF(AK45&lt;INDEX('Lease Cycles'!$DK$10:$DQ$10,1,AK44),0,IF(AK45=INDEX('Lease Cycles'!$DK$10:$DQ$10,1,AK44),1-INDEX('Lease Cycles'!$DR$10:$DX$10,1,AK44),1))-IF(AK45=0,INDEX('Lease Cycles'!$DD$10:$DJ$10,1,AK44),0))),0)</f>
        <v>0</v>
      </c>
      <c r="AL51" s="28">
        <f>IF(AL46=1,IF(INDEX('Lease Cycles'!$EF$10:$EL$10,1,AL44)=1,0,AL47*(1-IF(AL45&lt;INDEX('Lease Cycles'!$DK$10:$DQ$10,1,AL44),0,IF(AL45=INDEX('Lease Cycles'!$DK$10:$DQ$10,1,AL44),1-INDEX('Lease Cycles'!$DR$10:$DX$10,1,AL44),1))-IF(AL45=0,INDEX('Lease Cycles'!$DD$10:$DJ$10,1,AL44),0))),0)</f>
        <v>0</v>
      </c>
      <c r="AM51" s="28">
        <f>IF(AM46=1,IF(INDEX('Lease Cycles'!$EF$10:$EL$10,1,AM44)=1,0,AM47*(1-IF(AM45&lt;INDEX('Lease Cycles'!$DK$10:$DQ$10,1,AM44),0,IF(AM45=INDEX('Lease Cycles'!$DK$10:$DQ$10,1,AM44),1-INDEX('Lease Cycles'!$DR$10:$DX$10,1,AM44),1))-IF(AM45=0,INDEX('Lease Cycles'!$DD$10:$DJ$10,1,AM44),0))),0)</f>
        <v>0</v>
      </c>
      <c r="AN51" s="28">
        <f>IF(AN46=1,IF(INDEX('Lease Cycles'!$EF$10:$EL$10,1,AN44)=1,0,AN47*(1-IF(AN45&lt;INDEX('Lease Cycles'!$DK$10:$DQ$10,1,AN44),0,IF(AN45=INDEX('Lease Cycles'!$DK$10:$DQ$10,1,AN44),1-INDEX('Lease Cycles'!$DR$10:$DX$10,1,AN44),1))-IF(AN45=0,INDEX('Lease Cycles'!$DD$10:$DJ$10,1,AN44),0))),0)</f>
        <v>0</v>
      </c>
      <c r="AO51" s="28">
        <f>IF(AO46=1,IF(INDEX('Lease Cycles'!$EF$10:$EL$10,1,AO44)=1,0,AO47*(1-IF(AO45&lt;INDEX('Lease Cycles'!$DK$10:$DQ$10,1,AO44),0,IF(AO45=INDEX('Lease Cycles'!$DK$10:$DQ$10,1,AO44),1-INDEX('Lease Cycles'!$DR$10:$DX$10,1,AO44),1))-IF(AO45=0,INDEX('Lease Cycles'!$DD$10:$DJ$10,1,AO44),0))),0)</f>
        <v>0</v>
      </c>
      <c r="AP51" s="28">
        <f>IF(AP46=1,IF(INDEX('Lease Cycles'!$EF$10:$EL$10,1,AP44)=1,0,AP47*(1-IF(AP45&lt;INDEX('Lease Cycles'!$DK$10:$DQ$10,1,AP44),0,IF(AP45=INDEX('Lease Cycles'!$DK$10:$DQ$10,1,AP44),1-INDEX('Lease Cycles'!$DR$10:$DX$10,1,AP44),1))-IF(AP45=0,INDEX('Lease Cycles'!$DD$10:$DJ$10,1,AP44),0))),0)</f>
        <v>0</v>
      </c>
      <c r="AQ51" s="28">
        <f>IF(AQ46=1,IF(INDEX('Lease Cycles'!$EF$10:$EL$10,1,AQ44)=1,0,AQ47*(1-IF(AQ45&lt;INDEX('Lease Cycles'!$DK$10:$DQ$10,1,AQ44),0,IF(AQ45=INDEX('Lease Cycles'!$DK$10:$DQ$10,1,AQ44),1-INDEX('Lease Cycles'!$DR$10:$DX$10,1,AQ44),1))-IF(AQ45=0,INDEX('Lease Cycles'!$DD$10:$DJ$10,1,AQ44),0))),0)</f>
        <v>0</v>
      </c>
      <c r="AR51" s="28">
        <f>IF(AR46=1,IF(INDEX('Lease Cycles'!$EF$10:$EL$10,1,AR44)=1,0,AR47*(1-IF(AR45&lt;INDEX('Lease Cycles'!$DK$10:$DQ$10,1,AR44),0,IF(AR45=INDEX('Lease Cycles'!$DK$10:$DQ$10,1,AR44),1-INDEX('Lease Cycles'!$DR$10:$DX$10,1,AR44),1))-IF(AR45=0,INDEX('Lease Cycles'!$DD$10:$DJ$10,1,AR44),0))),0)</f>
        <v>0</v>
      </c>
      <c r="AS51" s="28">
        <f>IF(AS46=1,IF(INDEX('Lease Cycles'!$EF$10:$EL$10,1,AS44)=1,0,AS47*(1-IF(AS45&lt;INDEX('Lease Cycles'!$DK$10:$DQ$10,1,AS44),0,IF(AS45=INDEX('Lease Cycles'!$DK$10:$DQ$10,1,AS44),1-INDEX('Lease Cycles'!$DR$10:$DX$10,1,AS44),1))-IF(AS45=0,INDEX('Lease Cycles'!$DD$10:$DJ$10,1,AS44),0))),0)</f>
        <v>0</v>
      </c>
      <c r="AT51" s="28">
        <f>IF(AT46=1,IF(INDEX('Lease Cycles'!$EF$10:$EL$10,1,AT44)=1,0,AT47*(1-IF(AT45&lt;INDEX('Lease Cycles'!$DK$10:$DQ$10,1,AT44),0,IF(AT45=INDEX('Lease Cycles'!$DK$10:$DQ$10,1,AT44),1-INDEX('Lease Cycles'!$DR$10:$DX$10,1,AT44),1))-IF(AT45=0,INDEX('Lease Cycles'!$DD$10:$DJ$10,1,AT44),0))),0)</f>
        <v>0</v>
      </c>
      <c r="AU51" s="28">
        <f>IF(AU46=1,IF(INDEX('Lease Cycles'!$EF$10:$EL$10,1,AU44)=1,0,AU47*(1-IF(AU45&lt;INDEX('Lease Cycles'!$DK$10:$DQ$10,1,AU44),0,IF(AU45=INDEX('Lease Cycles'!$DK$10:$DQ$10,1,AU44),1-INDEX('Lease Cycles'!$DR$10:$DX$10,1,AU44),1))-IF(AU45=0,INDEX('Lease Cycles'!$DD$10:$DJ$10,1,AU44),0))),0)</f>
        <v>0</v>
      </c>
      <c r="AV51" s="28">
        <f>IF(AV46=1,IF(INDEX('Lease Cycles'!$EF$10:$EL$10,1,AV44)=1,0,AV47*(1-IF(AV45&lt;INDEX('Lease Cycles'!$DK$10:$DQ$10,1,AV44),0,IF(AV45=INDEX('Lease Cycles'!$DK$10:$DQ$10,1,AV44),1-INDEX('Lease Cycles'!$DR$10:$DX$10,1,AV44),1))-IF(AV45=0,INDEX('Lease Cycles'!$DD$10:$DJ$10,1,AV44),0))),0)</f>
        <v>0</v>
      </c>
      <c r="AW51" s="28">
        <f>IF(AW46=1,IF(INDEX('Lease Cycles'!$EF$10:$EL$10,1,AW44)=1,0,AW47*(1-IF(AW45&lt;INDEX('Lease Cycles'!$DK$10:$DQ$10,1,AW44),0,IF(AW45=INDEX('Lease Cycles'!$DK$10:$DQ$10,1,AW44),1-INDEX('Lease Cycles'!$DR$10:$DX$10,1,AW44),1))-IF(AW45=0,INDEX('Lease Cycles'!$DD$10:$DJ$10,1,AW44),0))),0)</f>
        <v>0</v>
      </c>
      <c r="AX51" s="28">
        <f>IF(AX46=1,IF(INDEX('Lease Cycles'!$EF$10:$EL$10,1,AX44)=1,0,AX47*(1-IF(AX45&lt;INDEX('Lease Cycles'!$DK$10:$DQ$10,1,AX44),0,IF(AX45=INDEX('Lease Cycles'!$DK$10:$DQ$10,1,AX44),1-INDEX('Lease Cycles'!$DR$10:$DX$10,1,AX44),1))-IF(AX45=0,INDEX('Lease Cycles'!$DD$10:$DJ$10,1,AX44),0))),0)</f>
        <v>0</v>
      </c>
      <c r="AY51" s="28">
        <f>IF(AY46=1,IF(INDEX('Lease Cycles'!$EF$10:$EL$10,1,AY44)=1,0,AY47*(1-IF(AY45&lt;INDEX('Lease Cycles'!$DK$10:$DQ$10,1,AY44),0,IF(AY45=INDEX('Lease Cycles'!$DK$10:$DQ$10,1,AY44),1-INDEX('Lease Cycles'!$DR$10:$DX$10,1,AY44),1))-IF(AY45=0,INDEX('Lease Cycles'!$DD$10:$DJ$10,1,AY44),0))),0)</f>
        <v>0</v>
      </c>
      <c r="AZ51" s="28">
        <f>IF(AZ46=1,IF(INDEX('Lease Cycles'!$EF$10:$EL$10,1,AZ44)=1,0,AZ47*(1-IF(AZ45&lt;INDEX('Lease Cycles'!$DK$10:$DQ$10,1,AZ44),0,IF(AZ45=INDEX('Lease Cycles'!$DK$10:$DQ$10,1,AZ44),1-INDEX('Lease Cycles'!$DR$10:$DX$10,1,AZ44),1))-IF(AZ45=0,INDEX('Lease Cycles'!$DD$10:$DJ$10,1,AZ44),0))),0)</f>
        <v>0</v>
      </c>
      <c r="BA51" s="28">
        <f>IF(BA46=1,IF(INDEX('Lease Cycles'!$EF$10:$EL$10,1,BA44)=1,0,BA47*(1-IF(BA45&lt;INDEX('Lease Cycles'!$DK$10:$DQ$10,1,BA44),0,IF(BA45=INDEX('Lease Cycles'!$DK$10:$DQ$10,1,BA44),1-INDEX('Lease Cycles'!$DR$10:$DX$10,1,BA44),1))-IF(BA45=0,INDEX('Lease Cycles'!$DD$10:$DJ$10,1,BA44),0))),0)</f>
        <v>0</v>
      </c>
      <c r="BB51" s="28">
        <f>IF(BB46=1,IF(INDEX('Lease Cycles'!$EF$10:$EL$10,1,BB44)=1,0,BB47*(1-IF(BB45&lt;INDEX('Lease Cycles'!$DK$10:$DQ$10,1,BB44),0,IF(BB45=INDEX('Lease Cycles'!$DK$10:$DQ$10,1,BB44),1-INDEX('Lease Cycles'!$DR$10:$DX$10,1,BB44),1))-IF(BB45=0,INDEX('Lease Cycles'!$DD$10:$DJ$10,1,BB44),0))),0)</f>
        <v>0</v>
      </c>
      <c r="BC51" s="28">
        <f>IF(BC46=1,IF(INDEX('Lease Cycles'!$EF$10:$EL$10,1,BC44)=1,0,BC47*(1-IF(BC45&lt;INDEX('Lease Cycles'!$DK$10:$DQ$10,1,BC44),0,IF(BC45=INDEX('Lease Cycles'!$DK$10:$DQ$10,1,BC44),1-INDEX('Lease Cycles'!$DR$10:$DX$10,1,BC44),1))-IF(BC45=0,INDEX('Lease Cycles'!$DD$10:$DJ$10,1,BC44),0))),0)</f>
        <v>0</v>
      </c>
      <c r="BD51" s="28">
        <f>IF(BD46=1,IF(INDEX('Lease Cycles'!$EF$10:$EL$10,1,BD44)=1,0,BD47*(1-IF(BD45&lt;INDEX('Lease Cycles'!$DK$10:$DQ$10,1,BD44),0,IF(BD45=INDEX('Lease Cycles'!$DK$10:$DQ$10,1,BD44),1-INDEX('Lease Cycles'!$DR$10:$DX$10,1,BD44),1))-IF(BD45=0,INDEX('Lease Cycles'!$DD$10:$DJ$10,1,BD44),0))),0)</f>
        <v>0</v>
      </c>
      <c r="BE51" s="28">
        <f>IF(BE46=1,IF(INDEX('Lease Cycles'!$EF$10:$EL$10,1,BE44)=1,0,BE47*(1-IF(BE45&lt;INDEX('Lease Cycles'!$DK$10:$DQ$10,1,BE44),0,IF(BE45=INDEX('Lease Cycles'!$DK$10:$DQ$10,1,BE44),1-INDEX('Lease Cycles'!$DR$10:$DX$10,1,BE44),1))-IF(BE45=0,INDEX('Lease Cycles'!$DD$10:$DJ$10,1,BE44),0))),0)</f>
        <v>0</v>
      </c>
      <c r="BF51" s="28">
        <f>IF(BF46=1,IF(INDEX('Lease Cycles'!$EF$10:$EL$10,1,BF44)=1,0,BF47*(1-IF(BF45&lt;INDEX('Lease Cycles'!$DK$10:$DQ$10,1,BF44),0,IF(BF45=INDEX('Lease Cycles'!$DK$10:$DQ$10,1,BF44),1-INDEX('Lease Cycles'!$DR$10:$DX$10,1,BF44),1))-IF(BF45=0,INDEX('Lease Cycles'!$DD$10:$DJ$10,1,BF44),0))),0)</f>
        <v>0</v>
      </c>
      <c r="BG51" s="28">
        <f>IF(BG46=1,IF(INDEX('Lease Cycles'!$EF$10:$EL$10,1,BG44)=1,0,BG47*(1-IF(BG45&lt;INDEX('Lease Cycles'!$DK$10:$DQ$10,1,BG44),0,IF(BG45=INDEX('Lease Cycles'!$DK$10:$DQ$10,1,BG44),1-INDEX('Lease Cycles'!$DR$10:$DX$10,1,BG44),1))-IF(BG45=0,INDEX('Lease Cycles'!$DD$10:$DJ$10,1,BG44),0))),0)</f>
        <v>0</v>
      </c>
      <c r="BH51" s="28">
        <f>IF(BH46=1,IF(INDEX('Lease Cycles'!$EF$10:$EL$10,1,BH44)=1,0,BH47*(1-IF(BH45&lt;INDEX('Lease Cycles'!$DK$10:$DQ$10,1,BH44),0,IF(BH45=INDEX('Lease Cycles'!$DK$10:$DQ$10,1,BH44),1-INDEX('Lease Cycles'!$DR$10:$DX$10,1,BH44),1))-IF(BH45=0,INDEX('Lease Cycles'!$DD$10:$DJ$10,1,BH44),0))),0)</f>
        <v>0</v>
      </c>
      <c r="BI51" s="28">
        <f>IF(BI46=1,IF(INDEX('Lease Cycles'!$EF$10:$EL$10,1,BI44)=1,0,BI47*(1-IF(BI45&lt;INDEX('Lease Cycles'!$DK$10:$DQ$10,1,BI44),0,IF(BI45=INDEX('Lease Cycles'!$DK$10:$DQ$10,1,BI44),1-INDEX('Lease Cycles'!$DR$10:$DX$10,1,BI44),1))-IF(BI45=0,INDEX('Lease Cycles'!$DD$10:$DJ$10,1,BI44),0))),0)</f>
        <v>0</v>
      </c>
      <c r="BJ51" s="28">
        <f>IF(BJ46=1,IF(INDEX('Lease Cycles'!$EF$10:$EL$10,1,BJ44)=1,0,BJ47*(1-IF(BJ45&lt;INDEX('Lease Cycles'!$DK$10:$DQ$10,1,BJ44),0,IF(BJ45=INDEX('Lease Cycles'!$DK$10:$DQ$10,1,BJ44),1-INDEX('Lease Cycles'!$DR$10:$DX$10,1,BJ44),1))-IF(BJ45=0,INDEX('Lease Cycles'!$DD$10:$DJ$10,1,BJ44),0))),0)</f>
        <v>0</v>
      </c>
      <c r="BK51" s="28">
        <f>IF(BK46=1,IF(INDEX('Lease Cycles'!$EF$10:$EL$10,1,BK44)=1,0,BK47*(1-IF(BK45&lt;INDEX('Lease Cycles'!$DK$10:$DQ$10,1,BK44),0,IF(BK45=INDEX('Lease Cycles'!$DK$10:$DQ$10,1,BK44),1-INDEX('Lease Cycles'!$DR$10:$DX$10,1,BK44),1))-IF(BK45=0,INDEX('Lease Cycles'!$DD$10:$DJ$10,1,BK44),0))),0)</f>
        <v>0</v>
      </c>
      <c r="BL51" s="28">
        <f>IF(BL46=1,IF(INDEX('Lease Cycles'!$EF$10:$EL$10,1,BL44)=1,0,BL47*(1-IF(BL45&lt;INDEX('Lease Cycles'!$DK$10:$DQ$10,1,BL44),0,IF(BL45=INDEX('Lease Cycles'!$DK$10:$DQ$10,1,BL44),1-INDEX('Lease Cycles'!$DR$10:$DX$10,1,BL44),1))-IF(BL45=0,INDEX('Lease Cycles'!$DD$10:$DJ$10,1,BL44),0))),0)</f>
        <v>0</v>
      </c>
      <c r="BM51" s="28">
        <f>IF(BM46=1,IF(INDEX('Lease Cycles'!$EF$10:$EL$10,1,BM44)=1,0,BM47*(1-IF(BM45&lt;INDEX('Lease Cycles'!$DK$10:$DQ$10,1,BM44),0,IF(BM45=INDEX('Lease Cycles'!$DK$10:$DQ$10,1,BM44),1-INDEX('Lease Cycles'!$DR$10:$DX$10,1,BM44),1))-IF(BM45=0,INDEX('Lease Cycles'!$DD$10:$DJ$10,1,BM44),0))),0)</f>
        <v>0</v>
      </c>
      <c r="BN51" s="28">
        <f>IF(BN46=1,IF(INDEX('Lease Cycles'!$EF$10:$EL$10,1,BN44)=1,0,BN47*(1-IF(BN45&lt;INDEX('Lease Cycles'!$DK$10:$DQ$10,1,BN44),0,IF(BN45=INDEX('Lease Cycles'!$DK$10:$DQ$10,1,BN44),1-INDEX('Lease Cycles'!$DR$10:$DX$10,1,BN44),1))-IF(BN45=0,INDEX('Lease Cycles'!$DD$10:$DJ$10,1,BN44),0))),0)</f>
        <v>0</v>
      </c>
      <c r="BO51" s="28">
        <f>IF(BO46=1,IF(INDEX('Lease Cycles'!$EF$10:$EL$10,1,BO44)=1,0,BO47*(1-IF(BO45&lt;INDEX('Lease Cycles'!$DK$10:$DQ$10,1,BO44),0,IF(BO45=INDEX('Lease Cycles'!$DK$10:$DQ$10,1,BO44),1-INDEX('Lease Cycles'!$DR$10:$DX$10,1,BO44),1))-IF(BO45=0,INDEX('Lease Cycles'!$DD$10:$DJ$10,1,BO44),0))),0)</f>
        <v>0</v>
      </c>
      <c r="BP51" s="28">
        <f>IF(BP46=1,IF(INDEX('Lease Cycles'!$EF$10:$EL$10,1,BP44)=1,0,BP47*(1-IF(BP45&lt;INDEX('Lease Cycles'!$DK$10:$DQ$10,1,BP44),0,IF(BP45=INDEX('Lease Cycles'!$DK$10:$DQ$10,1,BP44),1-INDEX('Lease Cycles'!$DR$10:$DX$10,1,BP44),1))-IF(BP45=0,INDEX('Lease Cycles'!$DD$10:$DJ$10,1,BP44),0))),0)</f>
        <v>0</v>
      </c>
      <c r="BQ51" s="28">
        <f>IF(BQ46=1,IF(INDEX('Lease Cycles'!$EF$10:$EL$10,1,BQ44)=1,0,BQ47*(1-IF(BQ45&lt;INDEX('Lease Cycles'!$DK$10:$DQ$10,1,BQ44),0,IF(BQ45=INDEX('Lease Cycles'!$DK$10:$DQ$10,1,BQ44),1-INDEX('Lease Cycles'!$DR$10:$DX$10,1,BQ44),1))-IF(BQ45=0,INDEX('Lease Cycles'!$DD$10:$DJ$10,1,BQ44),0))),0)</f>
        <v>0</v>
      </c>
      <c r="BR51" s="28">
        <f>IF(BR46=1,IF(INDEX('Lease Cycles'!$EF$10:$EL$10,1,BR44)=1,0,BR47*(1-IF(BR45&lt;INDEX('Lease Cycles'!$DK$10:$DQ$10,1,BR44),0,IF(BR45=INDEX('Lease Cycles'!$DK$10:$DQ$10,1,BR44),1-INDEX('Lease Cycles'!$DR$10:$DX$10,1,BR44),1))-IF(BR45=0,INDEX('Lease Cycles'!$DD$10:$DJ$10,1,BR44),0))),0)</f>
        <v>0</v>
      </c>
      <c r="BS51" s="28">
        <f>IF(BS46=1,IF(INDEX('Lease Cycles'!$EF$10:$EL$10,1,BS44)=1,0,BS47*(1-IF(BS45&lt;INDEX('Lease Cycles'!$DK$10:$DQ$10,1,BS44),0,IF(BS45=INDEX('Lease Cycles'!$DK$10:$DQ$10,1,BS44),1-INDEX('Lease Cycles'!$DR$10:$DX$10,1,BS44),1))-IF(BS45=0,INDEX('Lease Cycles'!$DD$10:$DJ$10,1,BS44),0))),0)</f>
        <v>0</v>
      </c>
      <c r="BT51" s="28">
        <f>IF(BT46=1,IF(INDEX('Lease Cycles'!$EF$10:$EL$10,1,BT44)=1,0,BT47*(1-IF(BT45&lt;INDEX('Lease Cycles'!$DK$10:$DQ$10,1,BT44),0,IF(BT45=INDEX('Lease Cycles'!$DK$10:$DQ$10,1,BT44),1-INDEX('Lease Cycles'!$DR$10:$DX$10,1,BT44),1))-IF(BT45=0,INDEX('Lease Cycles'!$DD$10:$DJ$10,1,BT44),0))),0)</f>
        <v>0</v>
      </c>
      <c r="BU51" s="28">
        <f>IF(BU46=1,IF(INDEX('Lease Cycles'!$EF$10:$EL$10,1,BU44)=1,0,BU47*(1-IF(BU45&lt;INDEX('Lease Cycles'!$DK$10:$DQ$10,1,BU44),0,IF(BU45=INDEX('Lease Cycles'!$DK$10:$DQ$10,1,BU44),1-INDEX('Lease Cycles'!$DR$10:$DX$10,1,BU44),1))-IF(BU45=0,INDEX('Lease Cycles'!$DD$10:$DJ$10,1,BU44),0))),0)</f>
        <v>0</v>
      </c>
      <c r="BV51" s="28">
        <f>IF(BV46=1,IF(INDEX('Lease Cycles'!$EF$10:$EL$10,1,BV44)=1,0,BV47*(1-IF(BV45&lt;INDEX('Lease Cycles'!$DK$10:$DQ$10,1,BV44),0,IF(BV45=INDEX('Lease Cycles'!$DK$10:$DQ$10,1,BV44),1-INDEX('Lease Cycles'!$DR$10:$DX$10,1,BV44),1))-IF(BV45=0,INDEX('Lease Cycles'!$DD$10:$DJ$10,1,BV44),0))),0)</f>
        <v>0</v>
      </c>
      <c r="BW51" s="28">
        <f>IF(BW46=1,IF(INDEX('Lease Cycles'!$EF$10:$EL$10,1,BW44)=1,0,BW47*(1-IF(BW45&lt;INDEX('Lease Cycles'!$DK$10:$DQ$10,1,BW44),0,IF(BW45=INDEX('Lease Cycles'!$DK$10:$DQ$10,1,BW44),1-INDEX('Lease Cycles'!$DR$10:$DX$10,1,BW44),1))-IF(BW45=0,INDEX('Lease Cycles'!$DD$10:$DJ$10,1,BW44),0))),0)</f>
        <v>0</v>
      </c>
      <c r="BX51" s="28">
        <f>IF(BX46=1,IF(INDEX('Lease Cycles'!$EF$10:$EL$10,1,BX44)=1,0,BX47*(1-IF(BX45&lt;INDEX('Lease Cycles'!$DK$10:$DQ$10,1,BX44),0,IF(BX45=INDEX('Lease Cycles'!$DK$10:$DQ$10,1,BX44),1-INDEX('Lease Cycles'!$DR$10:$DX$10,1,BX44),1))-IF(BX45=0,INDEX('Lease Cycles'!$DD$10:$DJ$10,1,BX44),0))),0)</f>
        <v>0</v>
      </c>
      <c r="BY51" s="28">
        <f>IF(BY46=1,IF(INDEX('Lease Cycles'!$EF$10:$EL$10,1,BY44)=1,0,BY47*(1-IF(BY45&lt;INDEX('Lease Cycles'!$DK$10:$DQ$10,1,BY44),0,IF(BY45=INDEX('Lease Cycles'!$DK$10:$DQ$10,1,BY44),1-INDEX('Lease Cycles'!$DR$10:$DX$10,1,BY44),1))-IF(BY45=0,INDEX('Lease Cycles'!$DD$10:$DJ$10,1,BY44),0))),0)</f>
        <v>0</v>
      </c>
      <c r="BZ51" s="28">
        <f>IF(BZ46=1,IF(INDEX('Lease Cycles'!$EF$10:$EL$10,1,BZ44)=1,0,BZ47*(1-IF(BZ45&lt;INDEX('Lease Cycles'!$DK$10:$DQ$10,1,BZ44),0,IF(BZ45=INDEX('Lease Cycles'!$DK$10:$DQ$10,1,BZ44),1-INDEX('Lease Cycles'!$DR$10:$DX$10,1,BZ44),1))-IF(BZ45=0,INDEX('Lease Cycles'!$DD$10:$DJ$10,1,BZ44),0))),0)</f>
        <v>0</v>
      </c>
      <c r="CA51" s="28">
        <f>IF(CA46=1,IF(INDEX('Lease Cycles'!$EF$10:$EL$10,1,CA44)=1,0,CA47*(1-IF(CA45&lt;INDEX('Lease Cycles'!$DK$10:$DQ$10,1,CA44),0,IF(CA45=INDEX('Lease Cycles'!$DK$10:$DQ$10,1,CA44),1-INDEX('Lease Cycles'!$DR$10:$DX$10,1,CA44),1))-IF(CA45=0,INDEX('Lease Cycles'!$DD$10:$DJ$10,1,CA44),0))),0)</f>
        <v>0</v>
      </c>
      <c r="CB51" s="28">
        <f>IF(CB46=1,IF(INDEX('Lease Cycles'!$EF$10:$EL$10,1,CB44)=1,0,CB47*(1-IF(CB45&lt;INDEX('Lease Cycles'!$DK$10:$DQ$10,1,CB44),0,IF(CB45=INDEX('Lease Cycles'!$DK$10:$DQ$10,1,CB44),1-INDEX('Lease Cycles'!$DR$10:$DX$10,1,CB44),1))-IF(CB45=0,INDEX('Lease Cycles'!$DD$10:$DJ$10,1,CB44),0))),0)</f>
        <v>5623.562346274238</v>
      </c>
      <c r="CC51" s="28">
        <f>IF(CC46=1,IF(INDEX('Lease Cycles'!$EF$10:$EL$10,1,CC44)=1,0,CC47*(1-IF(CC45&lt;INDEX('Lease Cycles'!$DK$10:$DQ$10,1,CC44),0,IF(CC45=INDEX('Lease Cycles'!$DK$10:$DQ$10,1,CC44),1-INDEX('Lease Cycles'!$DR$10:$DX$10,1,CC44),1))-IF(CC45=0,INDEX('Lease Cycles'!$DD$10:$DJ$10,1,CC44),0))),0)</f>
        <v>0</v>
      </c>
      <c r="CD51" s="28">
        <f>IF(CD46=1,IF(INDEX('Lease Cycles'!$EF$10:$EL$10,1,CD44)=1,0,CD47*(1-IF(CD45&lt;INDEX('Lease Cycles'!$DK$10:$DQ$10,1,CD44),0,IF(CD45=INDEX('Lease Cycles'!$DK$10:$DQ$10,1,CD44),1-INDEX('Lease Cycles'!$DR$10:$DX$10,1,CD44),1))-IF(CD45=0,INDEX('Lease Cycles'!$DD$10:$DJ$10,1,CD44),0))),0)</f>
        <v>0</v>
      </c>
      <c r="CE51" s="28">
        <f>IF(CE46=1,IF(INDEX('Lease Cycles'!$EF$10:$EL$10,1,CE44)=1,0,CE47*(1-IF(CE45&lt;INDEX('Lease Cycles'!$DK$10:$DQ$10,1,CE44),0,IF(CE45=INDEX('Lease Cycles'!$DK$10:$DQ$10,1,CE44),1-INDEX('Lease Cycles'!$DR$10:$DX$10,1,CE44),1))-IF(CE45=0,INDEX('Lease Cycles'!$DD$10:$DJ$10,1,CE44),0))),0)</f>
        <v>0</v>
      </c>
      <c r="CF51" s="28">
        <f>IF(CF46=1,IF(INDEX('Lease Cycles'!$EF$10:$EL$10,1,CF44)=1,0,CF47*(1-IF(CF45&lt;INDEX('Lease Cycles'!$DK$10:$DQ$10,1,CF44),0,IF(CF45=INDEX('Lease Cycles'!$DK$10:$DQ$10,1,CF44),1-INDEX('Lease Cycles'!$DR$10:$DX$10,1,CF44),1))-IF(CF45=0,INDEX('Lease Cycles'!$DD$10:$DJ$10,1,CF44),0))),0)</f>
        <v>0</v>
      </c>
      <c r="CG51" s="28">
        <f>IF(CG46=1,IF(INDEX('Lease Cycles'!$EF$10:$EL$10,1,CG44)=1,0,CG47*(1-IF(CG45&lt;INDEX('Lease Cycles'!$DK$10:$DQ$10,1,CG44),0,IF(CG45=INDEX('Lease Cycles'!$DK$10:$DQ$10,1,CG44),1-INDEX('Lease Cycles'!$DR$10:$DX$10,1,CG44),1))-IF(CG45=0,INDEX('Lease Cycles'!$DD$10:$DJ$10,1,CG44),0))),0)</f>
        <v>0</v>
      </c>
      <c r="CH51" s="28">
        <f>IF(CH46=1,IF(INDEX('Lease Cycles'!$EF$10:$EL$10,1,CH44)=1,0,CH47*(1-IF(CH45&lt;INDEX('Lease Cycles'!$DK$10:$DQ$10,1,CH44),0,IF(CH45=INDEX('Lease Cycles'!$DK$10:$DQ$10,1,CH44),1-INDEX('Lease Cycles'!$DR$10:$DX$10,1,CH44),1))-IF(CH45=0,INDEX('Lease Cycles'!$DD$10:$DJ$10,1,CH44),0))),0)</f>
        <v>0</v>
      </c>
      <c r="CI51" s="28">
        <f>IF(CI46=1,IF(INDEX('Lease Cycles'!$EF$10:$EL$10,1,CI44)=1,0,CI47*(1-IF(CI45&lt;INDEX('Lease Cycles'!$DK$10:$DQ$10,1,CI44),0,IF(CI45=INDEX('Lease Cycles'!$DK$10:$DQ$10,1,CI44),1-INDEX('Lease Cycles'!$DR$10:$DX$10,1,CI44),1))-IF(CI45=0,INDEX('Lease Cycles'!$DD$10:$DJ$10,1,CI44),0))),0)</f>
        <v>0</v>
      </c>
      <c r="CJ51" s="28">
        <f>IF(CJ46=1,IF(INDEX('Lease Cycles'!$EF$10:$EL$10,1,CJ44)=1,0,CJ47*(1-IF(CJ45&lt;INDEX('Lease Cycles'!$DK$10:$DQ$10,1,CJ44),0,IF(CJ45=INDEX('Lease Cycles'!$DK$10:$DQ$10,1,CJ44),1-INDEX('Lease Cycles'!$DR$10:$DX$10,1,CJ44),1))-IF(CJ45=0,INDEX('Lease Cycles'!$DD$10:$DJ$10,1,CJ44),0))),0)</f>
        <v>0</v>
      </c>
      <c r="CK51" s="28">
        <f>IF(CK46=1,IF(INDEX('Lease Cycles'!$EF$10:$EL$10,1,CK44)=1,0,CK47*(1-IF(CK45&lt;INDEX('Lease Cycles'!$DK$10:$DQ$10,1,CK44),0,IF(CK45=INDEX('Lease Cycles'!$DK$10:$DQ$10,1,CK44),1-INDEX('Lease Cycles'!$DR$10:$DX$10,1,CK44),1))-IF(CK45=0,INDEX('Lease Cycles'!$DD$10:$DJ$10,1,CK44),0))),0)</f>
        <v>0</v>
      </c>
      <c r="CL51" s="28">
        <f>IF(CL46=1,IF(INDEX('Lease Cycles'!$EF$10:$EL$10,1,CL44)=1,0,CL47*(1-IF(CL45&lt;INDEX('Lease Cycles'!$DK$10:$DQ$10,1,CL44),0,IF(CL45=INDEX('Lease Cycles'!$DK$10:$DQ$10,1,CL44),1-INDEX('Lease Cycles'!$DR$10:$DX$10,1,CL44),1))-IF(CL45=0,INDEX('Lease Cycles'!$DD$10:$DJ$10,1,CL44),0))),0)</f>
        <v>0</v>
      </c>
      <c r="CM51" s="28">
        <f>IF(CM46=1,IF(INDEX('Lease Cycles'!$EF$10:$EL$10,1,CM44)=1,0,CM47*(1-IF(CM45&lt;INDEX('Lease Cycles'!$DK$10:$DQ$10,1,CM44),0,IF(CM45=INDEX('Lease Cycles'!$DK$10:$DQ$10,1,CM44),1-INDEX('Lease Cycles'!$DR$10:$DX$10,1,CM44),1))-IF(CM45=0,INDEX('Lease Cycles'!$DD$10:$DJ$10,1,CM44),0))),0)</f>
        <v>0</v>
      </c>
      <c r="CN51" s="28">
        <f>IF(CN46=1,IF(INDEX('Lease Cycles'!$EF$10:$EL$10,1,CN44)=1,0,CN47*(1-IF(CN45&lt;INDEX('Lease Cycles'!$DK$10:$DQ$10,1,CN44),0,IF(CN45=INDEX('Lease Cycles'!$DK$10:$DQ$10,1,CN44),1-INDEX('Lease Cycles'!$DR$10:$DX$10,1,CN44),1))-IF(CN45=0,INDEX('Lease Cycles'!$DD$10:$DJ$10,1,CN44),0))),0)</f>
        <v>0</v>
      </c>
      <c r="CO51" s="28">
        <f>IF(CO46=1,IF(INDEX('Lease Cycles'!$EF$10:$EL$10,1,CO44)=1,0,CO47*(1-IF(CO45&lt;INDEX('Lease Cycles'!$DK$10:$DQ$10,1,CO44),0,IF(CO45=INDEX('Lease Cycles'!$DK$10:$DQ$10,1,CO44),1-INDEX('Lease Cycles'!$DR$10:$DX$10,1,CO44),1))-IF(CO45=0,INDEX('Lease Cycles'!$DD$10:$DJ$10,1,CO44),0))),0)</f>
        <v>0</v>
      </c>
      <c r="CP51" s="28">
        <f>IF(CP46=1,IF(INDEX('Lease Cycles'!$EF$10:$EL$10,1,CP44)=1,0,CP47*(1-IF(CP45&lt;INDEX('Lease Cycles'!$DK$10:$DQ$10,1,CP44),0,IF(CP45=INDEX('Lease Cycles'!$DK$10:$DQ$10,1,CP44),1-INDEX('Lease Cycles'!$DR$10:$DX$10,1,CP44),1))-IF(CP45=0,INDEX('Lease Cycles'!$DD$10:$DJ$10,1,CP44),0))),0)</f>
        <v>0</v>
      </c>
      <c r="CQ51" s="28">
        <f>IF(CQ46=1,IF(INDEX('Lease Cycles'!$EF$10:$EL$10,1,CQ44)=1,0,CQ47*(1-IF(CQ45&lt;INDEX('Lease Cycles'!$DK$10:$DQ$10,1,CQ44),0,IF(CQ45=INDEX('Lease Cycles'!$DK$10:$DQ$10,1,CQ44),1-INDEX('Lease Cycles'!$DR$10:$DX$10,1,CQ44),1))-IF(CQ45=0,INDEX('Lease Cycles'!$DD$10:$DJ$10,1,CQ44),0))),0)</f>
        <v>0</v>
      </c>
      <c r="CR51" s="28">
        <f>IF(CR46=1,IF(INDEX('Lease Cycles'!$EF$10:$EL$10,1,CR44)=1,0,CR47*(1-IF(CR45&lt;INDEX('Lease Cycles'!$DK$10:$DQ$10,1,CR44),0,IF(CR45=INDEX('Lease Cycles'!$DK$10:$DQ$10,1,CR44),1-INDEX('Lease Cycles'!$DR$10:$DX$10,1,CR44),1))-IF(CR45=0,INDEX('Lease Cycles'!$DD$10:$DJ$10,1,CR44),0))),0)</f>
        <v>0</v>
      </c>
      <c r="CS51" s="28">
        <f>IF(CS46=1,IF(INDEX('Lease Cycles'!$EF$10:$EL$10,1,CS44)=1,0,CS47*(1-IF(CS45&lt;INDEX('Lease Cycles'!$DK$10:$DQ$10,1,CS44),0,IF(CS45=INDEX('Lease Cycles'!$DK$10:$DQ$10,1,CS44),1-INDEX('Lease Cycles'!$DR$10:$DX$10,1,CS44),1))-IF(CS45=0,INDEX('Lease Cycles'!$DD$10:$DJ$10,1,CS44),0))),0)</f>
        <v>0</v>
      </c>
      <c r="CT51" s="28">
        <f>IF(CT46=1,IF(INDEX('Lease Cycles'!$EF$10:$EL$10,1,CT44)=1,0,CT47*(1-IF(CT45&lt;INDEX('Lease Cycles'!$DK$10:$DQ$10,1,CT44),0,IF(CT45=INDEX('Lease Cycles'!$DK$10:$DQ$10,1,CT44),1-INDEX('Lease Cycles'!$DR$10:$DX$10,1,CT44),1))-IF(CT45=0,INDEX('Lease Cycles'!$DD$10:$DJ$10,1,CT44),0))),0)</f>
        <v>0</v>
      </c>
      <c r="CU51" s="28">
        <f>IF(CU46=1,IF(INDEX('Lease Cycles'!$EF$10:$EL$10,1,CU44)=1,0,CU47*(1-IF(CU45&lt;INDEX('Lease Cycles'!$DK$10:$DQ$10,1,CU44),0,IF(CU45=INDEX('Lease Cycles'!$DK$10:$DQ$10,1,CU44),1-INDEX('Lease Cycles'!$DR$10:$DX$10,1,CU44),1))-IF(CU45=0,INDEX('Lease Cycles'!$DD$10:$DJ$10,1,CU44),0))),0)</f>
        <v>0</v>
      </c>
      <c r="CV51" s="28">
        <f>IF(CV46=1,IF(INDEX('Lease Cycles'!$EF$10:$EL$10,1,CV44)=1,0,CV47*(1-IF(CV45&lt;INDEX('Lease Cycles'!$DK$10:$DQ$10,1,CV44),0,IF(CV45=INDEX('Lease Cycles'!$DK$10:$DQ$10,1,CV44),1-INDEX('Lease Cycles'!$DR$10:$DX$10,1,CV44),1))-IF(CV45=0,INDEX('Lease Cycles'!$DD$10:$DJ$10,1,CV44),0))),0)</f>
        <v>0</v>
      </c>
      <c r="CW51" s="28">
        <f>IF(CW46=1,IF(INDEX('Lease Cycles'!$EF$10:$EL$10,1,CW44)=1,0,CW47*(1-IF(CW45&lt;INDEX('Lease Cycles'!$DK$10:$DQ$10,1,CW44),0,IF(CW45=INDEX('Lease Cycles'!$DK$10:$DQ$10,1,CW44),1-INDEX('Lease Cycles'!$DR$10:$DX$10,1,CW44),1))-IF(CW45=0,INDEX('Lease Cycles'!$DD$10:$DJ$10,1,CW44),0))),0)</f>
        <v>0</v>
      </c>
      <c r="CX51" s="28">
        <f>IF(CX46=1,IF(INDEX('Lease Cycles'!$EF$10:$EL$10,1,CX44)=1,0,CX47*(1-IF(CX45&lt;INDEX('Lease Cycles'!$DK$10:$DQ$10,1,CX44),0,IF(CX45=INDEX('Lease Cycles'!$DK$10:$DQ$10,1,CX44),1-INDEX('Lease Cycles'!$DR$10:$DX$10,1,CX44),1))-IF(CX45=0,INDEX('Lease Cycles'!$DD$10:$DJ$10,1,CX44),0))),0)</f>
        <v>0</v>
      </c>
      <c r="CY51" s="28">
        <f>IF(CY46=1,IF(INDEX('Lease Cycles'!$EF$10:$EL$10,1,CY44)=1,0,CY47*(1-IF(CY45&lt;INDEX('Lease Cycles'!$DK$10:$DQ$10,1,CY44),0,IF(CY45=INDEX('Lease Cycles'!$DK$10:$DQ$10,1,CY44),1-INDEX('Lease Cycles'!$DR$10:$DX$10,1,CY44),1))-IF(CY45=0,INDEX('Lease Cycles'!$DD$10:$DJ$10,1,CY44),0))),0)</f>
        <v>0</v>
      </c>
      <c r="CZ51" s="28">
        <f>IF(CZ46=1,IF(INDEX('Lease Cycles'!$EF$10:$EL$10,1,CZ44)=1,0,CZ47*(1-IF(CZ45&lt;INDEX('Lease Cycles'!$DK$10:$DQ$10,1,CZ44),0,IF(CZ45=INDEX('Lease Cycles'!$DK$10:$DQ$10,1,CZ44),1-INDEX('Lease Cycles'!$DR$10:$DX$10,1,CZ44),1))-IF(CZ45=0,INDEX('Lease Cycles'!$DD$10:$DJ$10,1,CZ44),0))),0)</f>
        <v>0</v>
      </c>
      <c r="DA51" s="28">
        <f>IF(DA46=1,IF(INDEX('Lease Cycles'!$EF$10:$EL$10,1,DA44)=1,0,DA47*(1-IF(DA45&lt;INDEX('Lease Cycles'!$DK$10:$DQ$10,1,DA44),0,IF(DA45=INDEX('Lease Cycles'!$DK$10:$DQ$10,1,DA44),1-INDEX('Lease Cycles'!$DR$10:$DX$10,1,DA44),1))-IF(DA45=0,INDEX('Lease Cycles'!$DD$10:$DJ$10,1,DA44),0))),0)</f>
        <v>0</v>
      </c>
      <c r="DB51" s="28">
        <f>IF(DB46=1,IF(INDEX('Lease Cycles'!$EF$10:$EL$10,1,DB44)=1,0,DB47*(1-IF(DB45&lt;INDEX('Lease Cycles'!$DK$10:$DQ$10,1,DB44),0,IF(DB45=INDEX('Lease Cycles'!$DK$10:$DQ$10,1,DB44),1-INDEX('Lease Cycles'!$DR$10:$DX$10,1,DB44),1))-IF(DB45=0,INDEX('Lease Cycles'!$DD$10:$DJ$10,1,DB44),0))),0)</f>
        <v>0</v>
      </c>
      <c r="DC51" s="28">
        <f>IF(DC46=1,IF(INDEX('Lease Cycles'!$EF$10:$EL$10,1,DC44)=1,0,DC47*(1-IF(DC45&lt;INDEX('Lease Cycles'!$DK$10:$DQ$10,1,DC44),0,IF(DC45=INDEX('Lease Cycles'!$DK$10:$DQ$10,1,DC44),1-INDEX('Lease Cycles'!$DR$10:$DX$10,1,DC44),1))-IF(DC45=0,INDEX('Lease Cycles'!$DD$10:$DJ$10,1,DC44),0))),0)</f>
        <v>0</v>
      </c>
      <c r="DD51" s="28">
        <f>IF(DD46=1,IF(INDEX('Lease Cycles'!$EF$10:$EL$10,1,DD44)=1,0,DD47*(1-IF(DD45&lt;INDEX('Lease Cycles'!$DK$10:$DQ$10,1,DD44),0,IF(DD45=INDEX('Lease Cycles'!$DK$10:$DQ$10,1,DD44),1-INDEX('Lease Cycles'!$DR$10:$DX$10,1,DD44),1))-IF(DD45=0,INDEX('Lease Cycles'!$DD$10:$DJ$10,1,DD44),0))),0)</f>
        <v>0</v>
      </c>
      <c r="DE51" s="28">
        <f>IF(DE46=1,IF(INDEX('Lease Cycles'!$EF$10:$EL$10,1,DE44)=1,0,DE47*(1-IF(DE45&lt;INDEX('Lease Cycles'!$DK$10:$DQ$10,1,DE44),0,IF(DE45=INDEX('Lease Cycles'!$DK$10:$DQ$10,1,DE44),1-INDEX('Lease Cycles'!$DR$10:$DX$10,1,DE44),1))-IF(DE45=0,INDEX('Lease Cycles'!$DD$10:$DJ$10,1,DE44),0))),0)</f>
        <v>0</v>
      </c>
      <c r="DF51" s="28">
        <f>IF(DF46=1,IF(INDEX('Lease Cycles'!$EF$10:$EL$10,1,DF44)=1,0,DF47*(1-IF(DF45&lt;INDEX('Lease Cycles'!$DK$10:$DQ$10,1,DF44),0,IF(DF45=INDEX('Lease Cycles'!$DK$10:$DQ$10,1,DF44),1-INDEX('Lease Cycles'!$DR$10:$DX$10,1,DF44),1))-IF(DF45=0,INDEX('Lease Cycles'!$DD$10:$DJ$10,1,DF44),0))),0)</f>
        <v>0</v>
      </c>
      <c r="DG51" s="28">
        <f>IF(DG46=1,IF(INDEX('Lease Cycles'!$EF$10:$EL$10,1,DG44)=1,0,DG47*(1-IF(DG45&lt;INDEX('Lease Cycles'!$DK$10:$DQ$10,1,DG44),0,IF(DG45=INDEX('Lease Cycles'!$DK$10:$DQ$10,1,DG44),1-INDEX('Lease Cycles'!$DR$10:$DX$10,1,DG44),1))-IF(DG45=0,INDEX('Lease Cycles'!$DD$10:$DJ$10,1,DG44),0))),0)</f>
        <v>0</v>
      </c>
      <c r="DH51" s="28">
        <f>IF(DH46=1,IF(INDEX('Lease Cycles'!$EF$10:$EL$10,1,DH44)=1,0,DH47*(1-IF(DH45&lt;INDEX('Lease Cycles'!$DK$10:$DQ$10,1,DH44),0,IF(DH45=INDEX('Lease Cycles'!$DK$10:$DQ$10,1,DH44),1-INDEX('Lease Cycles'!$DR$10:$DX$10,1,DH44),1))-IF(DH45=0,INDEX('Lease Cycles'!$DD$10:$DJ$10,1,DH44),0))),0)</f>
        <v>0</v>
      </c>
      <c r="DI51" s="28">
        <f>IF(DI46=1,IF(INDEX('Lease Cycles'!$EF$10:$EL$10,1,DI44)=1,0,DI47*(1-IF(DI45&lt;INDEX('Lease Cycles'!$DK$10:$DQ$10,1,DI44),0,IF(DI45=INDEX('Lease Cycles'!$DK$10:$DQ$10,1,DI44),1-INDEX('Lease Cycles'!$DR$10:$DX$10,1,DI44),1))-IF(DI45=0,INDEX('Lease Cycles'!$DD$10:$DJ$10,1,DI44),0))),0)</f>
        <v>0</v>
      </c>
      <c r="DJ51" s="28">
        <f>IF(DJ46=1,IF(INDEX('Lease Cycles'!$EF$10:$EL$10,1,DJ44)=1,0,DJ47*(1-IF(DJ45&lt;INDEX('Lease Cycles'!$DK$10:$DQ$10,1,DJ44),0,IF(DJ45=INDEX('Lease Cycles'!$DK$10:$DQ$10,1,DJ44),1-INDEX('Lease Cycles'!$DR$10:$DX$10,1,DJ44),1))-IF(DJ45=0,INDEX('Lease Cycles'!$DD$10:$DJ$10,1,DJ44),0))),0)</f>
        <v>0</v>
      </c>
      <c r="DK51" s="28">
        <f>IF(DK46=1,IF(INDEX('Lease Cycles'!$EF$10:$EL$10,1,DK44)=1,0,DK47*(1-IF(DK45&lt;INDEX('Lease Cycles'!$DK$10:$DQ$10,1,DK44),0,IF(DK45=INDEX('Lease Cycles'!$DK$10:$DQ$10,1,DK44),1-INDEX('Lease Cycles'!$DR$10:$DX$10,1,DK44),1))-IF(DK45=0,INDEX('Lease Cycles'!$DD$10:$DJ$10,1,DK44),0))),0)</f>
        <v>0</v>
      </c>
      <c r="DL51" s="28">
        <f>IF(DL46=1,IF(INDEX('Lease Cycles'!$EF$10:$EL$10,1,DL44)=1,0,DL47*(1-IF(DL45&lt;INDEX('Lease Cycles'!$DK$10:$DQ$10,1,DL44),0,IF(DL45=INDEX('Lease Cycles'!$DK$10:$DQ$10,1,DL44),1-INDEX('Lease Cycles'!$DR$10:$DX$10,1,DL44),1))-IF(DL45=0,INDEX('Lease Cycles'!$DD$10:$DJ$10,1,DL44),0))),0)</f>
        <v>0</v>
      </c>
      <c r="DM51" s="28">
        <f>IF(DM46=1,IF(INDEX('Lease Cycles'!$EF$10:$EL$10,1,DM44)=1,0,DM47*(1-IF(DM45&lt;INDEX('Lease Cycles'!$DK$10:$DQ$10,1,DM44),0,IF(DM45=INDEX('Lease Cycles'!$DK$10:$DQ$10,1,DM44),1-INDEX('Lease Cycles'!$DR$10:$DX$10,1,DM44),1))-IF(DM45=0,INDEX('Lease Cycles'!$DD$10:$DJ$10,1,DM44),0))),0)</f>
        <v>0</v>
      </c>
      <c r="DN51" s="28">
        <f>IF(DN46=1,IF(INDEX('Lease Cycles'!$EF$10:$EL$10,1,DN44)=1,0,DN47*(1-IF(DN45&lt;INDEX('Lease Cycles'!$DK$10:$DQ$10,1,DN44),0,IF(DN45=INDEX('Lease Cycles'!$DK$10:$DQ$10,1,DN44),1-INDEX('Lease Cycles'!$DR$10:$DX$10,1,DN44),1))-IF(DN45=0,INDEX('Lease Cycles'!$DD$10:$DJ$10,1,DN44),0))),0)</f>
        <v>0</v>
      </c>
      <c r="DO51" s="28">
        <f>IF(DO46=1,IF(INDEX('Lease Cycles'!$EF$10:$EL$10,1,DO44)=1,0,DO47*(1-IF(DO45&lt;INDEX('Lease Cycles'!$DK$10:$DQ$10,1,DO44),0,IF(DO45=INDEX('Lease Cycles'!$DK$10:$DQ$10,1,DO44),1-INDEX('Lease Cycles'!$DR$10:$DX$10,1,DO44),1))-IF(DO45=0,INDEX('Lease Cycles'!$DD$10:$DJ$10,1,DO44),0))),0)</f>
        <v>0</v>
      </c>
      <c r="DP51" s="28">
        <f>IF(DP46=1,IF(INDEX('Lease Cycles'!$EF$10:$EL$10,1,DP44)=1,0,DP47*(1-IF(DP45&lt;INDEX('Lease Cycles'!$DK$10:$DQ$10,1,DP44),0,IF(DP45=INDEX('Lease Cycles'!$DK$10:$DQ$10,1,DP44),1-INDEX('Lease Cycles'!$DR$10:$DX$10,1,DP44),1))-IF(DP45=0,INDEX('Lease Cycles'!$DD$10:$DJ$10,1,DP44),0))),0)</f>
        <v>0</v>
      </c>
      <c r="DQ51" s="28">
        <f>IF(DQ46=1,IF(INDEX('Lease Cycles'!$EF$10:$EL$10,1,DQ44)=1,0,DQ47*(1-IF(DQ45&lt;INDEX('Lease Cycles'!$DK$10:$DQ$10,1,DQ44),0,IF(DQ45=INDEX('Lease Cycles'!$DK$10:$DQ$10,1,DQ44),1-INDEX('Lease Cycles'!$DR$10:$DX$10,1,DQ44),1))-IF(DQ45=0,INDEX('Lease Cycles'!$DD$10:$DJ$10,1,DQ44),0))),0)</f>
        <v>0</v>
      </c>
      <c r="DR51" s="28">
        <f>IF(DR46=1,IF(INDEX('Lease Cycles'!$EF$10:$EL$10,1,DR44)=1,0,DR47*(1-IF(DR45&lt;INDEX('Lease Cycles'!$DK$10:$DQ$10,1,DR44),0,IF(DR45=INDEX('Lease Cycles'!$DK$10:$DQ$10,1,DR44),1-INDEX('Lease Cycles'!$DR$10:$DX$10,1,DR44),1))-IF(DR45=0,INDEX('Lease Cycles'!$DD$10:$DJ$10,1,DR44),0))),0)</f>
        <v>0</v>
      </c>
      <c r="DS51" s="28">
        <f>IF(DS46=1,IF(INDEX('Lease Cycles'!$EF$10:$EL$10,1,DS44)=1,0,DS47*(1-IF(DS45&lt;INDEX('Lease Cycles'!$DK$10:$DQ$10,1,DS44),0,IF(DS45=INDEX('Lease Cycles'!$DK$10:$DQ$10,1,DS44),1-INDEX('Lease Cycles'!$DR$10:$DX$10,1,DS44),1))-IF(DS45=0,INDEX('Lease Cycles'!$DD$10:$DJ$10,1,DS44),0))),0)</f>
        <v>0</v>
      </c>
      <c r="DT51" s="28">
        <f>IF(DT46=1,IF(INDEX('Lease Cycles'!$EF$10:$EL$10,1,DT44)=1,0,DT47*(1-IF(DT45&lt;INDEX('Lease Cycles'!$DK$10:$DQ$10,1,DT44),0,IF(DT45=INDEX('Lease Cycles'!$DK$10:$DQ$10,1,DT44),1-INDEX('Lease Cycles'!$DR$10:$DX$10,1,DT44),1))-IF(DT45=0,INDEX('Lease Cycles'!$DD$10:$DJ$10,1,DT44),0))),0)</f>
        <v>0</v>
      </c>
      <c r="DU51" s="28">
        <f>IF(DU46=1,IF(INDEX('Lease Cycles'!$EF$10:$EL$10,1,DU44)=1,0,DU47*(1-IF(DU45&lt;INDEX('Lease Cycles'!$DK$10:$DQ$10,1,DU44),0,IF(DU45=INDEX('Lease Cycles'!$DK$10:$DQ$10,1,DU44),1-INDEX('Lease Cycles'!$DR$10:$DX$10,1,DU44),1))-IF(DU45=0,INDEX('Lease Cycles'!$DD$10:$DJ$10,1,DU44),0))),0)</f>
        <v>0</v>
      </c>
      <c r="DV51" s="28">
        <f>IF(DV46=1,IF(INDEX('Lease Cycles'!$EF$10:$EL$10,1,DV44)=1,0,DV47*(1-IF(DV45&lt;INDEX('Lease Cycles'!$DK$10:$DQ$10,1,DV44),0,IF(DV45=INDEX('Lease Cycles'!$DK$10:$DQ$10,1,DV44),1-INDEX('Lease Cycles'!$DR$10:$DX$10,1,DV44),1))-IF(DV45=0,INDEX('Lease Cycles'!$DD$10:$DJ$10,1,DV44),0))),0)</f>
        <v>0</v>
      </c>
      <c r="DW51" s="28">
        <f>IF(DW46=1,IF(INDEX('Lease Cycles'!$EF$10:$EL$10,1,DW44)=1,0,DW47*(1-IF(DW45&lt;INDEX('Lease Cycles'!$DK$10:$DQ$10,1,DW44),0,IF(DW45=INDEX('Lease Cycles'!$DK$10:$DQ$10,1,DW44),1-INDEX('Lease Cycles'!$DR$10:$DX$10,1,DW44),1))-IF(DW45=0,INDEX('Lease Cycles'!$DD$10:$DJ$10,1,DW44),0))),0)</f>
        <v>0</v>
      </c>
      <c r="DX51" s="28">
        <f>IF(DX46=1,IF(INDEX('Lease Cycles'!$EF$10:$EL$10,1,DX44)=1,0,DX47*(1-IF(DX45&lt;INDEX('Lease Cycles'!$DK$10:$DQ$10,1,DX44),0,IF(DX45=INDEX('Lease Cycles'!$DK$10:$DQ$10,1,DX44),1-INDEX('Lease Cycles'!$DR$10:$DX$10,1,DX44),1))-IF(DX45=0,INDEX('Lease Cycles'!$DD$10:$DJ$10,1,DX44),0))),0)</f>
        <v>0</v>
      </c>
      <c r="DY51" s="28">
        <f>IF(DY46=1,IF(INDEX('Lease Cycles'!$EF$10:$EL$10,1,DY44)=1,0,DY47*(1-IF(DY45&lt;INDEX('Lease Cycles'!$DK$10:$DQ$10,1,DY44),0,IF(DY45=INDEX('Lease Cycles'!$DK$10:$DQ$10,1,DY44),1-INDEX('Lease Cycles'!$DR$10:$DX$10,1,DY44),1))-IF(DY45=0,INDEX('Lease Cycles'!$DD$10:$DJ$10,1,DY44),0))),0)</f>
        <v>0</v>
      </c>
      <c r="DZ51" s="28">
        <f>IF(DZ46=1,IF(INDEX('Lease Cycles'!$EF$10:$EL$10,1,DZ44)=1,0,DZ47*(1-IF(DZ45&lt;INDEX('Lease Cycles'!$DK$10:$DQ$10,1,DZ44),0,IF(DZ45=INDEX('Lease Cycles'!$DK$10:$DQ$10,1,DZ44),1-INDEX('Lease Cycles'!$DR$10:$DX$10,1,DZ44),1))-IF(DZ45=0,INDEX('Lease Cycles'!$DD$10:$DJ$10,1,DZ44),0))),0)</f>
        <v>0</v>
      </c>
      <c r="EA51" s="28">
        <f>IF(EA46=1,IF(INDEX('Lease Cycles'!$EF$10:$EL$10,1,EA44)=1,0,EA47*(1-IF(EA45&lt;INDEX('Lease Cycles'!$DK$10:$DQ$10,1,EA44),0,IF(EA45=INDEX('Lease Cycles'!$DK$10:$DQ$10,1,EA44),1-INDEX('Lease Cycles'!$DR$10:$DX$10,1,EA44),1))-IF(EA45=0,INDEX('Lease Cycles'!$DD$10:$DJ$10,1,EA44),0))),0)</f>
        <v>0</v>
      </c>
      <c r="EB51" s="28">
        <f>IF(EB46=1,IF(INDEX('Lease Cycles'!$EF$10:$EL$10,1,EB44)=1,0,EB47*(1-IF(EB45&lt;INDEX('Lease Cycles'!$DK$10:$DQ$10,1,EB44),0,IF(EB45=INDEX('Lease Cycles'!$DK$10:$DQ$10,1,EB44),1-INDEX('Lease Cycles'!$DR$10:$DX$10,1,EB44),1))-IF(EB45=0,INDEX('Lease Cycles'!$DD$10:$DJ$10,1,EB44),0))),0)</f>
        <v>0</v>
      </c>
      <c r="EC51" s="28">
        <f>IF(EC46=1,IF(INDEX('Lease Cycles'!$EF$10:$EL$10,1,EC44)=1,0,EC47*(1-IF(EC45&lt;INDEX('Lease Cycles'!$DK$10:$DQ$10,1,EC44),0,IF(EC45=INDEX('Lease Cycles'!$DK$10:$DQ$10,1,EC44),1-INDEX('Lease Cycles'!$DR$10:$DX$10,1,EC44),1))-IF(EC45=0,INDEX('Lease Cycles'!$DD$10:$DJ$10,1,EC44),0))),0)</f>
        <v>0</v>
      </c>
      <c r="ED51" s="28">
        <f>IF(ED46=1,IF(INDEX('Lease Cycles'!$EF$10:$EL$10,1,ED44)=1,0,ED47*(1-IF(ED45&lt;INDEX('Lease Cycles'!$DK$10:$DQ$10,1,ED44),0,IF(ED45=INDEX('Lease Cycles'!$DK$10:$DQ$10,1,ED44),1-INDEX('Lease Cycles'!$DR$10:$DX$10,1,ED44),1))-IF(ED45=0,INDEX('Lease Cycles'!$DD$10:$DJ$10,1,ED44),0))),0)</f>
        <v>0</v>
      </c>
      <c r="EE51" s="28">
        <f>IF(EE46=1,IF(INDEX('Lease Cycles'!$EF$10:$EL$10,1,EE44)=1,0,EE47*(1-IF(EE45&lt;INDEX('Lease Cycles'!$DK$10:$DQ$10,1,EE44),0,IF(EE45=INDEX('Lease Cycles'!$DK$10:$DQ$10,1,EE44),1-INDEX('Lease Cycles'!$DR$10:$DX$10,1,EE44),1))-IF(EE45=0,INDEX('Lease Cycles'!$DD$10:$DJ$10,1,EE44),0))),0)</f>
        <v>0</v>
      </c>
      <c r="EF51" s="28">
        <f>IF(EF46=1,IF(INDEX('Lease Cycles'!$EF$10:$EL$10,1,EF44)=1,0,EF47*(1-IF(EF45&lt;INDEX('Lease Cycles'!$DK$10:$DQ$10,1,EF44),0,IF(EF45=INDEX('Lease Cycles'!$DK$10:$DQ$10,1,EF44),1-INDEX('Lease Cycles'!$DR$10:$DX$10,1,EF44),1))-IF(EF45=0,INDEX('Lease Cycles'!$DD$10:$DJ$10,1,EF44),0))),0)</f>
        <v>0</v>
      </c>
      <c r="EG51" s="28">
        <f>IF(EG46=1,IF(INDEX('Lease Cycles'!$EF$10:$EL$10,1,EG44)=1,0,EG47*(1-IF(EG45&lt;INDEX('Lease Cycles'!$DK$10:$DQ$10,1,EG44),0,IF(EG45=INDEX('Lease Cycles'!$DK$10:$DQ$10,1,EG44),1-INDEX('Lease Cycles'!$DR$10:$DX$10,1,EG44),1))-IF(EG45=0,INDEX('Lease Cycles'!$DD$10:$DJ$10,1,EG44),0))),0)</f>
        <v>0</v>
      </c>
      <c r="EH51" s="28">
        <f>IF(EH46=1,IF(INDEX('Lease Cycles'!$EF$10:$EL$10,1,EH44)=1,0,EH47*(1-IF(EH45&lt;INDEX('Lease Cycles'!$DK$10:$DQ$10,1,EH44),0,IF(EH45=INDEX('Lease Cycles'!$DK$10:$DQ$10,1,EH44),1-INDEX('Lease Cycles'!$DR$10:$DX$10,1,EH44),1))-IF(EH45=0,INDEX('Lease Cycles'!$DD$10:$DJ$10,1,EH44),0))),0)</f>
        <v>0</v>
      </c>
      <c r="EI51" s="28">
        <f>IF(EI46=1,IF(INDEX('Lease Cycles'!$EF$10:$EL$10,1,EI44)=1,0,EI47*(1-IF(EI45&lt;INDEX('Lease Cycles'!$DK$10:$DQ$10,1,EI44),0,IF(EI45=INDEX('Lease Cycles'!$DK$10:$DQ$10,1,EI44),1-INDEX('Lease Cycles'!$DR$10:$DX$10,1,EI44),1))-IF(EI45=0,INDEX('Lease Cycles'!$DD$10:$DJ$10,1,EI44),0))),0)</f>
        <v>0</v>
      </c>
      <c r="EJ51" s="28">
        <f>IF(EJ46=1,IF(INDEX('Lease Cycles'!$EF$10:$EL$10,1,EJ44)=1,0,EJ47*(1-IF(EJ45&lt;INDEX('Lease Cycles'!$DK$10:$DQ$10,1,EJ44),0,IF(EJ45=INDEX('Lease Cycles'!$DK$10:$DQ$10,1,EJ44),1-INDEX('Lease Cycles'!$DR$10:$DX$10,1,EJ44),1))-IF(EJ45=0,INDEX('Lease Cycles'!$DD$10:$DJ$10,1,EJ44),0))),0)</f>
        <v>0</v>
      </c>
      <c r="EK51" s="28">
        <f>IF(EK46=1,IF(INDEX('Lease Cycles'!$EF$10:$EL$10,1,EK44)=1,0,EK47*(1-IF(EK45&lt;INDEX('Lease Cycles'!$DK$10:$DQ$10,1,EK44),0,IF(EK45=INDEX('Lease Cycles'!$DK$10:$DQ$10,1,EK44),1-INDEX('Lease Cycles'!$DR$10:$DX$10,1,EK44),1))-IF(EK45=0,INDEX('Lease Cycles'!$DD$10:$DJ$10,1,EK44),0))),0)</f>
        <v>0</v>
      </c>
      <c r="EL51" s="28">
        <f>IF(EL46=1,IF(INDEX('Lease Cycles'!$EF$10:$EL$10,1,EL44)=1,0,EL47*(1-IF(EL45&lt;INDEX('Lease Cycles'!$DK$10:$DQ$10,1,EL44),0,IF(EL45=INDEX('Lease Cycles'!$DK$10:$DQ$10,1,EL44),1-INDEX('Lease Cycles'!$DR$10:$DX$10,1,EL44),1))-IF(EL45=0,INDEX('Lease Cycles'!$DD$10:$DJ$10,1,EL44),0))),0)</f>
        <v>0</v>
      </c>
      <c r="EM51" s="28">
        <f>IF(EM46=1,IF(INDEX('Lease Cycles'!$EF$10:$EL$10,1,EM44)=1,0,EM47*(1-IF(EM45&lt;INDEX('Lease Cycles'!$DK$10:$DQ$10,1,EM44),0,IF(EM45=INDEX('Lease Cycles'!$DK$10:$DQ$10,1,EM44),1-INDEX('Lease Cycles'!$DR$10:$DX$10,1,EM44),1))-IF(EM45=0,INDEX('Lease Cycles'!$DD$10:$DJ$10,1,EM44),0))),0)</f>
        <v>0</v>
      </c>
      <c r="EN51" s="28">
        <f>IF(EN46=1,IF(INDEX('Lease Cycles'!$EF$10:$EL$10,1,EN44)=1,0,EN47*(1-IF(EN45&lt;INDEX('Lease Cycles'!$DK$10:$DQ$10,1,EN44),0,IF(EN45=INDEX('Lease Cycles'!$DK$10:$DQ$10,1,EN44),1-INDEX('Lease Cycles'!$DR$10:$DX$10,1,EN44),1))-IF(EN45=0,INDEX('Lease Cycles'!$DD$10:$DJ$10,1,EN44),0))),0)</f>
        <v>0</v>
      </c>
      <c r="EO51" s="28">
        <f>IF(EO46=1,IF(INDEX('Lease Cycles'!$EF$10:$EL$10,1,EO44)=1,0,EO47*(1-IF(EO45&lt;INDEX('Lease Cycles'!$DK$10:$DQ$10,1,EO44),0,IF(EO45=INDEX('Lease Cycles'!$DK$10:$DQ$10,1,EO44),1-INDEX('Lease Cycles'!$DR$10:$DX$10,1,EO44),1))-IF(EO45=0,INDEX('Lease Cycles'!$DD$10:$DJ$10,1,EO44),0))),0)</f>
        <v>0</v>
      </c>
      <c r="EP51" s="28">
        <f>IF(EP46=1,IF(INDEX('Lease Cycles'!$EF$10:$EL$10,1,EP44)=1,0,EP47*(1-IF(EP45&lt;INDEX('Lease Cycles'!$DK$10:$DQ$10,1,EP44),0,IF(EP45=INDEX('Lease Cycles'!$DK$10:$DQ$10,1,EP44),1-INDEX('Lease Cycles'!$DR$10:$DX$10,1,EP44),1))-IF(EP45=0,INDEX('Lease Cycles'!$DD$10:$DJ$10,1,EP44),0))),0)</f>
        <v>0</v>
      </c>
      <c r="EQ51" s="28">
        <f>IF(EQ46=1,IF(INDEX('Lease Cycles'!$EF$10:$EL$10,1,EQ44)=1,0,EQ47*(1-IF(EQ45&lt;INDEX('Lease Cycles'!$DK$10:$DQ$10,1,EQ44),0,IF(EQ45=INDEX('Lease Cycles'!$DK$10:$DQ$10,1,EQ44),1-INDEX('Lease Cycles'!$DR$10:$DX$10,1,EQ44),1))-IF(EQ45=0,INDEX('Lease Cycles'!$DD$10:$DJ$10,1,EQ44),0))),0)</f>
        <v>0</v>
      </c>
      <c r="ER51" s="28">
        <f>IF(ER46=1,IF(INDEX('Lease Cycles'!$EF$10:$EL$10,1,ER44)=1,0,ER47*(1-IF(ER45&lt;INDEX('Lease Cycles'!$DK$10:$DQ$10,1,ER44),0,IF(ER45=INDEX('Lease Cycles'!$DK$10:$DQ$10,1,ER44),1-INDEX('Lease Cycles'!$DR$10:$DX$10,1,ER44),1))-IF(ER45=0,INDEX('Lease Cycles'!$DD$10:$DJ$10,1,ER44),0))),0)</f>
        <v>0</v>
      </c>
      <c r="ES51" s="28">
        <f>IF(ES46=1,IF(INDEX('Lease Cycles'!$EF$10:$EL$10,1,ES44)=1,0,ES47*(1-IF(ES45&lt;INDEX('Lease Cycles'!$DK$10:$DQ$10,1,ES44),0,IF(ES45=INDEX('Lease Cycles'!$DK$10:$DQ$10,1,ES44),1-INDEX('Lease Cycles'!$DR$10:$DX$10,1,ES44),1))-IF(ES45=0,INDEX('Lease Cycles'!$DD$10:$DJ$10,1,ES44),0))),0)</f>
        <v>0</v>
      </c>
      <c r="ET51" s="28">
        <f>IF(ET46=1,IF(INDEX('Lease Cycles'!$EF$10:$EL$10,1,ET44)=1,0,ET47*(1-IF(ET45&lt;INDEX('Lease Cycles'!$DK$10:$DQ$10,1,ET44),0,IF(ET45=INDEX('Lease Cycles'!$DK$10:$DQ$10,1,ET44),1-INDEX('Lease Cycles'!$DR$10:$DX$10,1,ET44),1))-IF(ET45=0,INDEX('Lease Cycles'!$DD$10:$DJ$10,1,ET44),0))),0)</f>
        <v>0</v>
      </c>
    </row>
    <row r="52">
      <c r="A52" s="103">
        <v>3</v>
      </c>
      <c r="B52" s="23" t="str">
        <f>IF('Lease Cycles'!$B$10="","(empty slot)",'Lease Cycles'!$B$10)</f>
        <v>Sunfield Fitness</v>
      </c>
      <c r="C52" s="23" t="s">
        <v>683</v>
      </c>
      <c r="D52" s="104" t="s">
        <v>684</v>
      </c>
      <c r="E52" s="25">
        <f>'Lease Cycles'!$AL$10</f>
        <v>0</v>
      </c>
      <c r="G52" s="24">
        <f>SUM(S52:AD52)</f>
        <v>1.206030150753769</v>
      </c>
      <c r="H52" s="24">
        <f>SUM(AE52:AP52)</f>
        <v>1.206030150753769</v>
      </c>
      <c r="I52" s="24">
        <f>SUM(AQ52:BB52)</f>
        <v>1.206030150753769</v>
      </c>
      <c r="J52" s="24">
        <f>SUM(BC52:BN52)</f>
        <v>1.206030150753769</v>
      </c>
      <c r="K52" s="24">
        <f>SUM(BO52:BZ52)</f>
        <v>1.206030150753769</v>
      </c>
      <c r="L52" s="24">
        <f>SUM(CA52:CL52)</f>
        <v>1.0854271356783918</v>
      </c>
      <c r="M52" s="24">
        <f>SUM(CM52:CX52)</f>
        <v>1.206030150753769</v>
      </c>
      <c r="N52" s="24">
        <f>SUM(CY52:DJ52)</f>
        <v>1.206030150753769</v>
      </c>
      <c r="O52" s="24">
        <f>SUM(DK52:DV52)</f>
        <v>1.206030150753769</v>
      </c>
      <c r="P52" s="24">
        <f>SUM(DW52:EH52)</f>
        <v>1.206030150753769</v>
      </c>
      <c r="Q52" s="24">
        <f>SUM(EI52:ET52)</f>
        <v>1.206030150753769</v>
      </c>
      <c r="S52" s="24">
        <f>IF(S46=1,'Lease Cycles'!$D$10*IF(INDEX('Lease Cycles'!$EF$10:$EL$10,1,S44)=1,(1-'Lease Cycles'!$AJ$10)*INDEX('Lease Cycles'!$EM$10:$ES$10,1,S44)+(1-'Lease Cycles'!$BE$10)*IF(S45&lt;INDEX('Lease Cycles'!$FA$10:$FG$10,1,S44),0,1-INDEX('Lease Cycles'!$EM$10:$ES$10,1,S44)),IF(OR(INDEX('Lease Cycles'!$DY$10:$EE$10,1,S44)=1,S45&gt;0),1,1-INDEX('Lease Cycles'!$DD$10:$DJ$10,1,S44))*((1-'Lease Cycles'!$AJ$10)*INDEX('Lease Cycles'!$FO$10:$FU$10,1,S44)+(1-'Lease Cycles'!$BE$10)*(1-INDEX('Lease Cycles'!$FO$10:$FU$10,1,S44)))),0)</f>
        <v>0.10050251256281408</v>
      </c>
      <c r="T52" s="24">
        <f>IF(T46=1,'Lease Cycles'!$D$10*IF(INDEX('Lease Cycles'!$EF$10:$EL$10,1,T44)=1,(1-'Lease Cycles'!$AJ$10)*INDEX('Lease Cycles'!$EM$10:$ES$10,1,T44)+(1-'Lease Cycles'!$BE$10)*IF(T45&lt;INDEX('Lease Cycles'!$FA$10:$FG$10,1,T44),0,1-INDEX('Lease Cycles'!$EM$10:$ES$10,1,T44)),IF(OR(INDEX('Lease Cycles'!$DY$10:$EE$10,1,T44)=1,T45&gt;0),1,1-INDEX('Lease Cycles'!$DD$10:$DJ$10,1,T44))*((1-'Lease Cycles'!$AJ$10)*INDEX('Lease Cycles'!$FO$10:$FU$10,1,T44)+(1-'Lease Cycles'!$BE$10)*(1-INDEX('Lease Cycles'!$FO$10:$FU$10,1,T44)))),0)</f>
        <v>0.10050251256281408</v>
      </c>
      <c r="U52" s="24">
        <f>IF(U46=1,'Lease Cycles'!$D$10*IF(INDEX('Lease Cycles'!$EF$10:$EL$10,1,U44)=1,(1-'Lease Cycles'!$AJ$10)*INDEX('Lease Cycles'!$EM$10:$ES$10,1,U44)+(1-'Lease Cycles'!$BE$10)*IF(U45&lt;INDEX('Lease Cycles'!$FA$10:$FG$10,1,U44),0,1-INDEX('Lease Cycles'!$EM$10:$ES$10,1,U44)),IF(OR(INDEX('Lease Cycles'!$DY$10:$EE$10,1,U44)=1,U45&gt;0),1,1-INDEX('Lease Cycles'!$DD$10:$DJ$10,1,U44))*((1-'Lease Cycles'!$AJ$10)*INDEX('Lease Cycles'!$FO$10:$FU$10,1,U44)+(1-'Lease Cycles'!$BE$10)*(1-INDEX('Lease Cycles'!$FO$10:$FU$10,1,U44)))),0)</f>
        <v>0.10050251256281408</v>
      </c>
      <c r="V52" s="24">
        <f>IF(V46=1,'Lease Cycles'!$D$10*IF(INDEX('Lease Cycles'!$EF$10:$EL$10,1,V44)=1,(1-'Lease Cycles'!$AJ$10)*INDEX('Lease Cycles'!$EM$10:$ES$10,1,V44)+(1-'Lease Cycles'!$BE$10)*IF(V45&lt;INDEX('Lease Cycles'!$FA$10:$FG$10,1,V44),0,1-INDEX('Lease Cycles'!$EM$10:$ES$10,1,V44)),IF(OR(INDEX('Lease Cycles'!$DY$10:$EE$10,1,V44)=1,V45&gt;0),1,1-INDEX('Lease Cycles'!$DD$10:$DJ$10,1,V44))*((1-'Lease Cycles'!$AJ$10)*INDEX('Lease Cycles'!$FO$10:$FU$10,1,V44)+(1-'Lease Cycles'!$BE$10)*(1-INDEX('Lease Cycles'!$FO$10:$FU$10,1,V44)))),0)</f>
        <v>0.10050251256281408</v>
      </c>
      <c r="W52" s="24">
        <f>IF(W46=1,'Lease Cycles'!$D$10*IF(INDEX('Lease Cycles'!$EF$10:$EL$10,1,W44)=1,(1-'Lease Cycles'!$AJ$10)*INDEX('Lease Cycles'!$EM$10:$ES$10,1,W44)+(1-'Lease Cycles'!$BE$10)*IF(W45&lt;INDEX('Lease Cycles'!$FA$10:$FG$10,1,W44),0,1-INDEX('Lease Cycles'!$EM$10:$ES$10,1,W44)),IF(OR(INDEX('Lease Cycles'!$DY$10:$EE$10,1,W44)=1,W45&gt;0),1,1-INDEX('Lease Cycles'!$DD$10:$DJ$10,1,W44))*((1-'Lease Cycles'!$AJ$10)*INDEX('Lease Cycles'!$FO$10:$FU$10,1,W44)+(1-'Lease Cycles'!$BE$10)*(1-INDEX('Lease Cycles'!$FO$10:$FU$10,1,W44)))),0)</f>
        <v>0.10050251256281408</v>
      </c>
      <c r="X52" s="24">
        <f>IF(X46=1,'Lease Cycles'!$D$10*IF(INDEX('Lease Cycles'!$EF$10:$EL$10,1,X44)=1,(1-'Lease Cycles'!$AJ$10)*INDEX('Lease Cycles'!$EM$10:$ES$10,1,X44)+(1-'Lease Cycles'!$BE$10)*IF(X45&lt;INDEX('Lease Cycles'!$FA$10:$FG$10,1,X44),0,1-INDEX('Lease Cycles'!$EM$10:$ES$10,1,X44)),IF(OR(INDEX('Lease Cycles'!$DY$10:$EE$10,1,X44)=1,X45&gt;0),1,1-INDEX('Lease Cycles'!$DD$10:$DJ$10,1,X44))*((1-'Lease Cycles'!$AJ$10)*INDEX('Lease Cycles'!$FO$10:$FU$10,1,X44)+(1-'Lease Cycles'!$BE$10)*(1-INDEX('Lease Cycles'!$FO$10:$FU$10,1,X44)))),0)</f>
        <v>0.10050251256281408</v>
      </c>
      <c r="Y52" s="24">
        <f>IF(Y46=1,'Lease Cycles'!$D$10*IF(INDEX('Lease Cycles'!$EF$10:$EL$10,1,Y44)=1,(1-'Lease Cycles'!$AJ$10)*INDEX('Lease Cycles'!$EM$10:$ES$10,1,Y44)+(1-'Lease Cycles'!$BE$10)*IF(Y45&lt;INDEX('Lease Cycles'!$FA$10:$FG$10,1,Y44),0,1-INDEX('Lease Cycles'!$EM$10:$ES$10,1,Y44)),IF(OR(INDEX('Lease Cycles'!$DY$10:$EE$10,1,Y44)=1,Y45&gt;0),1,1-INDEX('Lease Cycles'!$DD$10:$DJ$10,1,Y44))*((1-'Lease Cycles'!$AJ$10)*INDEX('Lease Cycles'!$FO$10:$FU$10,1,Y44)+(1-'Lease Cycles'!$BE$10)*(1-INDEX('Lease Cycles'!$FO$10:$FU$10,1,Y44)))),0)</f>
        <v>0.10050251256281408</v>
      </c>
      <c r="Z52" s="24">
        <f>IF(Z46=1,'Lease Cycles'!$D$10*IF(INDEX('Lease Cycles'!$EF$10:$EL$10,1,Z44)=1,(1-'Lease Cycles'!$AJ$10)*INDEX('Lease Cycles'!$EM$10:$ES$10,1,Z44)+(1-'Lease Cycles'!$BE$10)*IF(Z45&lt;INDEX('Lease Cycles'!$FA$10:$FG$10,1,Z44),0,1-INDEX('Lease Cycles'!$EM$10:$ES$10,1,Z44)),IF(OR(INDEX('Lease Cycles'!$DY$10:$EE$10,1,Z44)=1,Z45&gt;0),1,1-INDEX('Lease Cycles'!$DD$10:$DJ$10,1,Z44))*((1-'Lease Cycles'!$AJ$10)*INDEX('Lease Cycles'!$FO$10:$FU$10,1,Z44)+(1-'Lease Cycles'!$BE$10)*(1-INDEX('Lease Cycles'!$FO$10:$FU$10,1,Z44)))),0)</f>
        <v>0.10050251256281408</v>
      </c>
      <c r="AA52" s="24">
        <f>IF(AA46=1,'Lease Cycles'!$D$10*IF(INDEX('Lease Cycles'!$EF$10:$EL$10,1,AA44)=1,(1-'Lease Cycles'!$AJ$10)*INDEX('Lease Cycles'!$EM$10:$ES$10,1,AA44)+(1-'Lease Cycles'!$BE$10)*IF(AA45&lt;INDEX('Lease Cycles'!$FA$10:$FG$10,1,AA44),0,1-INDEX('Lease Cycles'!$EM$10:$ES$10,1,AA44)),IF(OR(INDEX('Lease Cycles'!$DY$10:$EE$10,1,AA44)=1,AA45&gt;0),1,1-INDEX('Lease Cycles'!$DD$10:$DJ$10,1,AA44))*((1-'Lease Cycles'!$AJ$10)*INDEX('Lease Cycles'!$FO$10:$FU$10,1,AA44)+(1-'Lease Cycles'!$BE$10)*(1-INDEX('Lease Cycles'!$FO$10:$FU$10,1,AA44)))),0)</f>
        <v>0.10050251256281408</v>
      </c>
      <c r="AB52" s="24">
        <f>IF(AB46=1,'Lease Cycles'!$D$10*IF(INDEX('Lease Cycles'!$EF$10:$EL$10,1,AB44)=1,(1-'Lease Cycles'!$AJ$10)*INDEX('Lease Cycles'!$EM$10:$ES$10,1,AB44)+(1-'Lease Cycles'!$BE$10)*IF(AB45&lt;INDEX('Lease Cycles'!$FA$10:$FG$10,1,AB44),0,1-INDEX('Lease Cycles'!$EM$10:$ES$10,1,AB44)),IF(OR(INDEX('Lease Cycles'!$DY$10:$EE$10,1,AB44)=1,AB45&gt;0),1,1-INDEX('Lease Cycles'!$DD$10:$DJ$10,1,AB44))*((1-'Lease Cycles'!$AJ$10)*INDEX('Lease Cycles'!$FO$10:$FU$10,1,AB44)+(1-'Lease Cycles'!$BE$10)*(1-INDEX('Lease Cycles'!$FO$10:$FU$10,1,AB44)))),0)</f>
        <v>0.10050251256281408</v>
      </c>
      <c r="AC52" s="24">
        <f>IF(AC46=1,'Lease Cycles'!$D$10*IF(INDEX('Lease Cycles'!$EF$10:$EL$10,1,AC44)=1,(1-'Lease Cycles'!$AJ$10)*INDEX('Lease Cycles'!$EM$10:$ES$10,1,AC44)+(1-'Lease Cycles'!$BE$10)*IF(AC45&lt;INDEX('Lease Cycles'!$FA$10:$FG$10,1,AC44),0,1-INDEX('Lease Cycles'!$EM$10:$ES$10,1,AC44)),IF(OR(INDEX('Lease Cycles'!$DY$10:$EE$10,1,AC44)=1,AC45&gt;0),1,1-INDEX('Lease Cycles'!$DD$10:$DJ$10,1,AC44))*((1-'Lease Cycles'!$AJ$10)*INDEX('Lease Cycles'!$FO$10:$FU$10,1,AC44)+(1-'Lease Cycles'!$BE$10)*(1-INDEX('Lease Cycles'!$FO$10:$FU$10,1,AC44)))),0)</f>
        <v>0.10050251256281408</v>
      </c>
      <c r="AD52" s="24">
        <f>IF(AD46=1,'Lease Cycles'!$D$10*IF(INDEX('Lease Cycles'!$EF$10:$EL$10,1,AD44)=1,(1-'Lease Cycles'!$AJ$10)*INDEX('Lease Cycles'!$EM$10:$ES$10,1,AD44)+(1-'Lease Cycles'!$BE$10)*IF(AD45&lt;INDEX('Lease Cycles'!$FA$10:$FG$10,1,AD44),0,1-INDEX('Lease Cycles'!$EM$10:$ES$10,1,AD44)),IF(OR(INDEX('Lease Cycles'!$DY$10:$EE$10,1,AD44)=1,AD45&gt;0),1,1-INDEX('Lease Cycles'!$DD$10:$DJ$10,1,AD44))*((1-'Lease Cycles'!$AJ$10)*INDEX('Lease Cycles'!$FO$10:$FU$10,1,AD44)+(1-'Lease Cycles'!$BE$10)*(1-INDEX('Lease Cycles'!$FO$10:$FU$10,1,AD44)))),0)</f>
        <v>0.10050251256281408</v>
      </c>
      <c r="AE52" s="24">
        <f>IF(AE46=1,'Lease Cycles'!$D$10*IF(INDEX('Lease Cycles'!$EF$10:$EL$10,1,AE44)=1,(1-'Lease Cycles'!$AJ$10)*INDEX('Lease Cycles'!$EM$10:$ES$10,1,AE44)+(1-'Lease Cycles'!$BE$10)*IF(AE45&lt;INDEX('Lease Cycles'!$FA$10:$FG$10,1,AE44),0,1-INDEX('Lease Cycles'!$EM$10:$ES$10,1,AE44)),IF(OR(INDEX('Lease Cycles'!$DY$10:$EE$10,1,AE44)=1,AE45&gt;0),1,1-INDEX('Lease Cycles'!$DD$10:$DJ$10,1,AE44))*((1-'Lease Cycles'!$AJ$10)*INDEX('Lease Cycles'!$FO$10:$FU$10,1,AE44)+(1-'Lease Cycles'!$BE$10)*(1-INDEX('Lease Cycles'!$FO$10:$FU$10,1,AE44)))),0)</f>
        <v>0.10050251256281408</v>
      </c>
      <c r="AF52" s="24">
        <f>IF(AF46=1,'Lease Cycles'!$D$10*IF(INDEX('Lease Cycles'!$EF$10:$EL$10,1,AF44)=1,(1-'Lease Cycles'!$AJ$10)*INDEX('Lease Cycles'!$EM$10:$ES$10,1,AF44)+(1-'Lease Cycles'!$BE$10)*IF(AF45&lt;INDEX('Lease Cycles'!$FA$10:$FG$10,1,AF44),0,1-INDEX('Lease Cycles'!$EM$10:$ES$10,1,AF44)),IF(OR(INDEX('Lease Cycles'!$DY$10:$EE$10,1,AF44)=1,AF45&gt;0),1,1-INDEX('Lease Cycles'!$DD$10:$DJ$10,1,AF44))*((1-'Lease Cycles'!$AJ$10)*INDEX('Lease Cycles'!$FO$10:$FU$10,1,AF44)+(1-'Lease Cycles'!$BE$10)*(1-INDEX('Lease Cycles'!$FO$10:$FU$10,1,AF44)))),0)</f>
        <v>0.10050251256281408</v>
      </c>
      <c r="AG52" s="24">
        <f>IF(AG46=1,'Lease Cycles'!$D$10*IF(INDEX('Lease Cycles'!$EF$10:$EL$10,1,AG44)=1,(1-'Lease Cycles'!$AJ$10)*INDEX('Lease Cycles'!$EM$10:$ES$10,1,AG44)+(1-'Lease Cycles'!$BE$10)*IF(AG45&lt;INDEX('Lease Cycles'!$FA$10:$FG$10,1,AG44),0,1-INDEX('Lease Cycles'!$EM$10:$ES$10,1,AG44)),IF(OR(INDEX('Lease Cycles'!$DY$10:$EE$10,1,AG44)=1,AG45&gt;0),1,1-INDEX('Lease Cycles'!$DD$10:$DJ$10,1,AG44))*((1-'Lease Cycles'!$AJ$10)*INDEX('Lease Cycles'!$FO$10:$FU$10,1,AG44)+(1-'Lease Cycles'!$BE$10)*(1-INDEX('Lease Cycles'!$FO$10:$FU$10,1,AG44)))),0)</f>
        <v>0.10050251256281408</v>
      </c>
      <c r="AH52" s="24">
        <f>IF(AH46=1,'Lease Cycles'!$D$10*IF(INDEX('Lease Cycles'!$EF$10:$EL$10,1,AH44)=1,(1-'Lease Cycles'!$AJ$10)*INDEX('Lease Cycles'!$EM$10:$ES$10,1,AH44)+(1-'Lease Cycles'!$BE$10)*IF(AH45&lt;INDEX('Lease Cycles'!$FA$10:$FG$10,1,AH44),0,1-INDEX('Lease Cycles'!$EM$10:$ES$10,1,AH44)),IF(OR(INDEX('Lease Cycles'!$DY$10:$EE$10,1,AH44)=1,AH45&gt;0),1,1-INDEX('Lease Cycles'!$DD$10:$DJ$10,1,AH44))*((1-'Lease Cycles'!$AJ$10)*INDEX('Lease Cycles'!$FO$10:$FU$10,1,AH44)+(1-'Lease Cycles'!$BE$10)*(1-INDEX('Lease Cycles'!$FO$10:$FU$10,1,AH44)))),0)</f>
        <v>0.10050251256281408</v>
      </c>
      <c r="AI52" s="24">
        <f>IF(AI46=1,'Lease Cycles'!$D$10*IF(INDEX('Lease Cycles'!$EF$10:$EL$10,1,AI44)=1,(1-'Lease Cycles'!$AJ$10)*INDEX('Lease Cycles'!$EM$10:$ES$10,1,AI44)+(1-'Lease Cycles'!$BE$10)*IF(AI45&lt;INDEX('Lease Cycles'!$FA$10:$FG$10,1,AI44),0,1-INDEX('Lease Cycles'!$EM$10:$ES$10,1,AI44)),IF(OR(INDEX('Lease Cycles'!$DY$10:$EE$10,1,AI44)=1,AI45&gt;0),1,1-INDEX('Lease Cycles'!$DD$10:$DJ$10,1,AI44))*((1-'Lease Cycles'!$AJ$10)*INDEX('Lease Cycles'!$FO$10:$FU$10,1,AI44)+(1-'Lease Cycles'!$BE$10)*(1-INDEX('Lease Cycles'!$FO$10:$FU$10,1,AI44)))),0)</f>
        <v>0.10050251256281408</v>
      </c>
      <c r="AJ52" s="24">
        <f>IF(AJ46=1,'Lease Cycles'!$D$10*IF(INDEX('Lease Cycles'!$EF$10:$EL$10,1,AJ44)=1,(1-'Lease Cycles'!$AJ$10)*INDEX('Lease Cycles'!$EM$10:$ES$10,1,AJ44)+(1-'Lease Cycles'!$BE$10)*IF(AJ45&lt;INDEX('Lease Cycles'!$FA$10:$FG$10,1,AJ44),0,1-INDEX('Lease Cycles'!$EM$10:$ES$10,1,AJ44)),IF(OR(INDEX('Lease Cycles'!$DY$10:$EE$10,1,AJ44)=1,AJ45&gt;0),1,1-INDEX('Lease Cycles'!$DD$10:$DJ$10,1,AJ44))*((1-'Lease Cycles'!$AJ$10)*INDEX('Lease Cycles'!$FO$10:$FU$10,1,AJ44)+(1-'Lease Cycles'!$BE$10)*(1-INDEX('Lease Cycles'!$FO$10:$FU$10,1,AJ44)))),0)</f>
        <v>0.10050251256281408</v>
      </c>
      <c r="AK52" s="24">
        <f>IF(AK46=1,'Lease Cycles'!$D$10*IF(INDEX('Lease Cycles'!$EF$10:$EL$10,1,AK44)=1,(1-'Lease Cycles'!$AJ$10)*INDEX('Lease Cycles'!$EM$10:$ES$10,1,AK44)+(1-'Lease Cycles'!$BE$10)*IF(AK45&lt;INDEX('Lease Cycles'!$FA$10:$FG$10,1,AK44),0,1-INDEX('Lease Cycles'!$EM$10:$ES$10,1,AK44)),IF(OR(INDEX('Lease Cycles'!$DY$10:$EE$10,1,AK44)=1,AK45&gt;0),1,1-INDEX('Lease Cycles'!$DD$10:$DJ$10,1,AK44))*((1-'Lease Cycles'!$AJ$10)*INDEX('Lease Cycles'!$FO$10:$FU$10,1,AK44)+(1-'Lease Cycles'!$BE$10)*(1-INDEX('Lease Cycles'!$FO$10:$FU$10,1,AK44)))),0)</f>
        <v>0.10050251256281408</v>
      </c>
      <c r="AL52" s="24">
        <f>IF(AL46=1,'Lease Cycles'!$D$10*IF(INDEX('Lease Cycles'!$EF$10:$EL$10,1,AL44)=1,(1-'Lease Cycles'!$AJ$10)*INDEX('Lease Cycles'!$EM$10:$ES$10,1,AL44)+(1-'Lease Cycles'!$BE$10)*IF(AL45&lt;INDEX('Lease Cycles'!$FA$10:$FG$10,1,AL44),0,1-INDEX('Lease Cycles'!$EM$10:$ES$10,1,AL44)),IF(OR(INDEX('Lease Cycles'!$DY$10:$EE$10,1,AL44)=1,AL45&gt;0),1,1-INDEX('Lease Cycles'!$DD$10:$DJ$10,1,AL44))*((1-'Lease Cycles'!$AJ$10)*INDEX('Lease Cycles'!$FO$10:$FU$10,1,AL44)+(1-'Lease Cycles'!$BE$10)*(1-INDEX('Lease Cycles'!$FO$10:$FU$10,1,AL44)))),0)</f>
        <v>0.10050251256281408</v>
      </c>
      <c r="AM52" s="24">
        <f>IF(AM46=1,'Lease Cycles'!$D$10*IF(INDEX('Lease Cycles'!$EF$10:$EL$10,1,AM44)=1,(1-'Lease Cycles'!$AJ$10)*INDEX('Lease Cycles'!$EM$10:$ES$10,1,AM44)+(1-'Lease Cycles'!$BE$10)*IF(AM45&lt;INDEX('Lease Cycles'!$FA$10:$FG$10,1,AM44),0,1-INDEX('Lease Cycles'!$EM$10:$ES$10,1,AM44)),IF(OR(INDEX('Lease Cycles'!$DY$10:$EE$10,1,AM44)=1,AM45&gt;0),1,1-INDEX('Lease Cycles'!$DD$10:$DJ$10,1,AM44))*((1-'Lease Cycles'!$AJ$10)*INDEX('Lease Cycles'!$FO$10:$FU$10,1,AM44)+(1-'Lease Cycles'!$BE$10)*(1-INDEX('Lease Cycles'!$FO$10:$FU$10,1,AM44)))),0)</f>
        <v>0.10050251256281408</v>
      </c>
      <c r="AN52" s="24">
        <f>IF(AN46=1,'Lease Cycles'!$D$10*IF(INDEX('Lease Cycles'!$EF$10:$EL$10,1,AN44)=1,(1-'Lease Cycles'!$AJ$10)*INDEX('Lease Cycles'!$EM$10:$ES$10,1,AN44)+(1-'Lease Cycles'!$BE$10)*IF(AN45&lt;INDEX('Lease Cycles'!$FA$10:$FG$10,1,AN44),0,1-INDEX('Lease Cycles'!$EM$10:$ES$10,1,AN44)),IF(OR(INDEX('Lease Cycles'!$DY$10:$EE$10,1,AN44)=1,AN45&gt;0),1,1-INDEX('Lease Cycles'!$DD$10:$DJ$10,1,AN44))*((1-'Lease Cycles'!$AJ$10)*INDEX('Lease Cycles'!$FO$10:$FU$10,1,AN44)+(1-'Lease Cycles'!$BE$10)*(1-INDEX('Lease Cycles'!$FO$10:$FU$10,1,AN44)))),0)</f>
        <v>0.10050251256281408</v>
      </c>
      <c r="AO52" s="24">
        <f>IF(AO46=1,'Lease Cycles'!$D$10*IF(INDEX('Lease Cycles'!$EF$10:$EL$10,1,AO44)=1,(1-'Lease Cycles'!$AJ$10)*INDEX('Lease Cycles'!$EM$10:$ES$10,1,AO44)+(1-'Lease Cycles'!$BE$10)*IF(AO45&lt;INDEX('Lease Cycles'!$FA$10:$FG$10,1,AO44),0,1-INDEX('Lease Cycles'!$EM$10:$ES$10,1,AO44)),IF(OR(INDEX('Lease Cycles'!$DY$10:$EE$10,1,AO44)=1,AO45&gt;0),1,1-INDEX('Lease Cycles'!$DD$10:$DJ$10,1,AO44))*((1-'Lease Cycles'!$AJ$10)*INDEX('Lease Cycles'!$FO$10:$FU$10,1,AO44)+(1-'Lease Cycles'!$BE$10)*(1-INDEX('Lease Cycles'!$FO$10:$FU$10,1,AO44)))),0)</f>
        <v>0.10050251256281408</v>
      </c>
      <c r="AP52" s="24">
        <f>IF(AP46=1,'Lease Cycles'!$D$10*IF(INDEX('Lease Cycles'!$EF$10:$EL$10,1,AP44)=1,(1-'Lease Cycles'!$AJ$10)*INDEX('Lease Cycles'!$EM$10:$ES$10,1,AP44)+(1-'Lease Cycles'!$BE$10)*IF(AP45&lt;INDEX('Lease Cycles'!$FA$10:$FG$10,1,AP44),0,1-INDEX('Lease Cycles'!$EM$10:$ES$10,1,AP44)),IF(OR(INDEX('Lease Cycles'!$DY$10:$EE$10,1,AP44)=1,AP45&gt;0),1,1-INDEX('Lease Cycles'!$DD$10:$DJ$10,1,AP44))*((1-'Lease Cycles'!$AJ$10)*INDEX('Lease Cycles'!$FO$10:$FU$10,1,AP44)+(1-'Lease Cycles'!$BE$10)*(1-INDEX('Lease Cycles'!$FO$10:$FU$10,1,AP44)))),0)</f>
        <v>0.10050251256281408</v>
      </c>
      <c r="AQ52" s="24">
        <f>IF(AQ46=1,'Lease Cycles'!$D$10*IF(INDEX('Lease Cycles'!$EF$10:$EL$10,1,AQ44)=1,(1-'Lease Cycles'!$AJ$10)*INDEX('Lease Cycles'!$EM$10:$ES$10,1,AQ44)+(1-'Lease Cycles'!$BE$10)*IF(AQ45&lt;INDEX('Lease Cycles'!$FA$10:$FG$10,1,AQ44),0,1-INDEX('Lease Cycles'!$EM$10:$ES$10,1,AQ44)),IF(OR(INDEX('Lease Cycles'!$DY$10:$EE$10,1,AQ44)=1,AQ45&gt;0),1,1-INDEX('Lease Cycles'!$DD$10:$DJ$10,1,AQ44))*((1-'Lease Cycles'!$AJ$10)*INDEX('Lease Cycles'!$FO$10:$FU$10,1,AQ44)+(1-'Lease Cycles'!$BE$10)*(1-INDEX('Lease Cycles'!$FO$10:$FU$10,1,AQ44)))),0)</f>
        <v>0.10050251256281408</v>
      </c>
      <c r="AR52" s="24">
        <f>IF(AR46=1,'Lease Cycles'!$D$10*IF(INDEX('Lease Cycles'!$EF$10:$EL$10,1,AR44)=1,(1-'Lease Cycles'!$AJ$10)*INDEX('Lease Cycles'!$EM$10:$ES$10,1,AR44)+(1-'Lease Cycles'!$BE$10)*IF(AR45&lt;INDEX('Lease Cycles'!$FA$10:$FG$10,1,AR44),0,1-INDEX('Lease Cycles'!$EM$10:$ES$10,1,AR44)),IF(OR(INDEX('Lease Cycles'!$DY$10:$EE$10,1,AR44)=1,AR45&gt;0),1,1-INDEX('Lease Cycles'!$DD$10:$DJ$10,1,AR44))*((1-'Lease Cycles'!$AJ$10)*INDEX('Lease Cycles'!$FO$10:$FU$10,1,AR44)+(1-'Lease Cycles'!$BE$10)*(1-INDEX('Lease Cycles'!$FO$10:$FU$10,1,AR44)))),0)</f>
        <v>0.10050251256281408</v>
      </c>
      <c r="AS52" s="24">
        <f>IF(AS46=1,'Lease Cycles'!$D$10*IF(INDEX('Lease Cycles'!$EF$10:$EL$10,1,AS44)=1,(1-'Lease Cycles'!$AJ$10)*INDEX('Lease Cycles'!$EM$10:$ES$10,1,AS44)+(1-'Lease Cycles'!$BE$10)*IF(AS45&lt;INDEX('Lease Cycles'!$FA$10:$FG$10,1,AS44),0,1-INDEX('Lease Cycles'!$EM$10:$ES$10,1,AS44)),IF(OR(INDEX('Lease Cycles'!$DY$10:$EE$10,1,AS44)=1,AS45&gt;0),1,1-INDEX('Lease Cycles'!$DD$10:$DJ$10,1,AS44))*((1-'Lease Cycles'!$AJ$10)*INDEX('Lease Cycles'!$FO$10:$FU$10,1,AS44)+(1-'Lease Cycles'!$BE$10)*(1-INDEX('Lease Cycles'!$FO$10:$FU$10,1,AS44)))),0)</f>
        <v>0.10050251256281408</v>
      </c>
      <c r="AT52" s="24">
        <f>IF(AT46=1,'Lease Cycles'!$D$10*IF(INDEX('Lease Cycles'!$EF$10:$EL$10,1,AT44)=1,(1-'Lease Cycles'!$AJ$10)*INDEX('Lease Cycles'!$EM$10:$ES$10,1,AT44)+(1-'Lease Cycles'!$BE$10)*IF(AT45&lt;INDEX('Lease Cycles'!$FA$10:$FG$10,1,AT44),0,1-INDEX('Lease Cycles'!$EM$10:$ES$10,1,AT44)),IF(OR(INDEX('Lease Cycles'!$DY$10:$EE$10,1,AT44)=1,AT45&gt;0),1,1-INDEX('Lease Cycles'!$DD$10:$DJ$10,1,AT44))*((1-'Lease Cycles'!$AJ$10)*INDEX('Lease Cycles'!$FO$10:$FU$10,1,AT44)+(1-'Lease Cycles'!$BE$10)*(1-INDEX('Lease Cycles'!$FO$10:$FU$10,1,AT44)))),0)</f>
        <v>0.10050251256281408</v>
      </c>
      <c r="AU52" s="24">
        <f>IF(AU46=1,'Lease Cycles'!$D$10*IF(INDEX('Lease Cycles'!$EF$10:$EL$10,1,AU44)=1,(1-'Lease Cycles'!$AJ$10)*INDEX('Lease Cycles'!$EM$10:$ES$10,1,AU44)+(1-'Lease Cycles'!$BE$10)*IF(AU45&lt;INDEX('Lease Cycles'!$FA$10:$FG$10,1,AU44),0,1-INDEX('Lease Cycles'!$EM$10:$ES$10,1,AU44)),IF(OR(INDEX('Lease Cycles'!$DY$10:$EE$10,1,AU44)=1,AU45&gt;0),1,1-INDEX('Lease Cycles'!$DD$10:$DJ$10,1,AU44))*((1-'Lease Cycles'!$AJ$10)*INDEX('Lease Cycles'!$FO$10:$FU$10,1,AU44)+(1-'Lease Cycles'!$BE$10)*(1-INDEX('Lease Cycles'!$FO$10:$FU$10,1,AU44)))),0)</f>
        <v>0.10050251256281408</v>
      </c>
      <c r="AV52" s="24">
        <f>IF(AV46=1,'Lease Cycles'!$D$10*IF(INDEX('Lease Cycles'!$EF$10:$EL$10,1,AV44)=1,(1-'Lease Cycles'!$AJ$10)*INDEX('Lease Cycles'!$EM$10:$ES$10,1,AV44)+(1-'Lease Cycles'!$BE$10)*IF(AV45&lt;INDEX('Lease Cycles'!$FA$10:$FG$10,1,AV44),0,1-INDEX('Lease Cycles'!$EM$10:$ES$10,1,AV44)),IF(OR(INDEX('Lease Cycles'!$DY$10:$EE$10,1,AV44)=1,AV45&gt;0),1,1-INDEX('Lease Cycles'!$DD$10:$DJ$10,1,AV44))*((1-'Lease Cycles'!$AJ$10)*INDEX('Lease Cycles'!$FO$10:$FU$10,1,AV44)+(1-'Lease Cycles'!$BE$10)*(1-INDEX('Lease Cycles'!$FO$10:$FU$10,1,AV44)))),0)</f>
        <v>0.10050251256281408</v>
      </c>
      <c r="AW52" s="24">
        <f>IF(AW46=1,'Lease Cycles'!$D$10*IF(INDEX('Lease Cycles'!$EF$10:$EL$10,1,AW44)=1,(1-'Lease Cycles'!$AJ$10)*INDEX('Lease Cycles'!$EM$10:$ES$10,1,AW44)+(1-'Lease Cycles'!$BE$10)*IF(AW45&lt;INDEX('Lease Cycles'!$FA$10:$FG$10,1,AW44),0,1-INDEX('Lease Cycles'!$EM$10:$ES$10,1,AW44)),IF(OR(INDEX('Lease Cycles'!$DY$10:$EE$10,1,AW44)=1,AW45&gt;0),1,1-INDEX('Lease Cycles'!$DD$10:$DJ$10,1,AW44))*((1-'Lease Cycles'!$AJ$10)*INDEX('Lease Cycles'!$FO$10:$FU$10,1,AW44)+(1-'Lease Cycles'!$BE$10)*(1-INDEX('Lease Cycles'!$FO$10:$FU$10,1,AW44)))),0)</f>
        <v>0.10050251256281408</v>
      </c>
      <c r="AX52" s="24">
        <f>IF(AX46=1,'Lease Cycles'!$D$10*IF(INDEX('Lease Cycles'!$EF$10:$EL$10,1,AX44)=1,(1-'Lease Cycles'!$AJ$10)*INDEX('Lease Cycles'!$EM$10:$ES$10,1,AX44)+(1-'Lease Cycles'!$BE$10)*IF(AX45&lt;INDEX('Lease Cycles'!$FA$10:$FG$10,1,AX44),0,1-INDEX('Lease Cycles'!$EM$10:$ES$10,1,AX44)),IF(OR(INDEX('Lease Cycles'!$DY$10:$EE$10,1,AX44)=1,AX45&gt;0),1,1-INDEX('Lease Cycles'!$DD$10:$DJ$10,1,AX44))*((1-'Lease Cycles'!$AJ$10)*INDEX('Lease Cycles'!$FO$10:$FU$10,1,AX44)+(1-'Lease Cycles'!$BE$10)*(1-INDEX('Lease Cycles'!$FO$10:$FU$10,1,AX44)))),0)</f>
        <v>0.10050251256281408</v>
      </c>
      <c r="AY52" s="24">
        <f>IF(AY46=1,'Lease Cycles'!$D$10*IF(INDEX('Lease Cycles'!$EF$10:$EL$10,1,AY44)=1,(1-'Lease Cycles'!$AJ$10)*INDEX('Lease Cycles'!$EM$10:$ES$10,1,AY44)+(1-'Lease Cycles'!$BE$10)*IF(AY45&lt;INDEX('Lease Cycles'!$FA$10:$FG$10,1,AY44),0,1-INDEX('Lease Cycles'!$EM$10:$ES$10,1,AY44)),IF(OR(INDEX('Lease Cycles'!$DY$10:$EE$10,1,AY44)=1,AY45&gt;0),1,1-INDEX('Lease Cycles'!$DD$10:$DJ$10,1,AY44))*((1-'Lease Cycles'!$AJ$10)*INDEX('Lease Cycles'!$FO$10:$FU$10,1,AY44)+(1-'Lease Cycles'!$BE$10)*(1-INDEX('Lease Cycles'!$FO$10:$FU$10,1,AY44)))),0)</f>
        <v>0.10050251256281408</v>
      </c>
      <c r="AZ52" s="24">
        <f>IF(AZ46=1,'Lease Cycles'!$D$10*IF(INDEX('Lease Cycles'!$EF$10:$EL$10,1,AZ44)=1,(1-'Lease Cycles'!$AJ$10)*INDEX('Lease Cycles'!$EM$10:$ES$10,1,AZ44)+(1-'Lease Cycles'!$BE$10)*IF(AZ45&lt;INDEX('Lease Cycles'!$FA$10:$FG$10,1,AZ44),0,1-INDEX('Lease Cycles'!$EM$10:$ES$10,1,AZ44)),IF(OR(INDEX('Lease Cycles'!$DY$10:$EE$10,1,AZ44)=1,AZ45&gt;0),1,1-INDEX('Lease Cycles'!$DD$10:$DJ$10,1,AZ44))*((1-'Lease Cycles'!$AJ$10)*INDEX('Lease Cycles'!$FO$10:$FU$10,1,AZ44)+(1-'Lease Cycles'!$BE$10)*(1-INDEX('Lease Cycles'!$FO$10:$FU$10,1,AZ44)))),0)</f>
        <v>0.10050251256281408</v>
      </c>
      <c r="BA52" s="24">
        <f>IF(BA46=1,'Lease Cycles'!$D$10*IF(INDEX('Lease Cycles'!$EF$10:$EL$10,1,BA44)=1,(1-'Lease Cycles'!$AJ$10)*INDEX('Lease Cycles'!$EM$10:$ES$10,1,BA44)+(1-'Lease Cycles'!$BE$10)*IF(BA45&lt;INDEX('Lease Cycles'!$FA$10:$FG$10,1,BA44),0,1-INDEX('Lease Cycles'!$EM$10:$ES$10,1,BA44)),IF(OR(INDEX('Lease Cycles'!$DY$10:$EE$10,1,BA44)=1,BA45&gt;0),1,1-INDEX('Lease Cycles'!$DD$10:$DJ$10,1,BA44))*((1-'Lease Cycles'!$AJ$10)*INDEX('Lease Cycles'!$FO$10:$FU$10,1,BA44)+(1-'Lease Cycles'!$BE$10)*(1-INDEX('Lease Cycles'!$FO$10:$FU$10,1,BA44)))),0)</f>
        <v>0.10050251256281408</v>
      </c>
      <c r="BB52" s="24">
        <f>IF(BB46=1,'Lease Cycles'!$D$10*IF(INDEX('Lease Cycles'!$EF$10:$EL$10,1,BB44)=1,(1-'Lease Cycles'!$AJ$10)*INDEX('Lease Cycles'!$EM$10:$ES$10,1,BB44)+(1-'Lease Cycles'!$BE$10)*IF(BB45&lt;INDEX('Lease Cycles'!$FA$10:$FG$10,1,BB44),0,1-INDEX('Lease Cycles'!$EM$10:$ES$10,1,BB44)),IF(OR(INDEX('Lease Cycles'!$DY$10:$EE$10,1,BB44)=1,BB45&gt;0),1,1-INDEX('Lease Cycles'!$DD$10:$DJ$10,1,BB44))*((1-'Lease Cycles'!$AJ$10)*INDEX('Lease Cycles'!$FO$10:$FU$10,1,BB44)+(1-'Lease Cycles'!$BE$10)*(1-INDEX('Lease Cycles'!$FO$10:$FU$10,1,BB44)))),0)</f>
        <v>0.10050251256281408</v>
      </c>
      <c r="BC52" s="24">
        <f>IF(BC46=1,'Lease Cycles'!$D$10*IF(INDEX('Lease Cycles'!$EF$10:$EL$10,1,BC44)=1,(1-'Lease Cycles'!$AJ$10)*INDEX('Lease Cycles'!$EM$10:$ES$10,1,BC44)+(1-'Lease Cycles'!$BE$10)*IF(BC45&lt;INDEX('Lease Cycles'!$FA$10:$FG$10,1,BC44),0,1-INDEX('Lease Cycles'!$EM$10:$ES$10,1,BC44)),IF(OR(INDEX('Lease Cycles'!$DY$10:$EE$10,1,BC44)=1,BC45&gt;0),1,1-INDEX('Lease Cycles'!$DD$10:$DJ$10,1,BC44))*((1-'Lease Cycles'!$AJ$10)*INDEX('Lease Cycles'!$FO$10:$FU$10,1,BC44)+(1-'Lease Cycles'!$BE$10)*(1-INDEX('Lease Cycles'!$FO$10:$FU$10,1,BC44)))),0)</f>
        <v>0.10050251256281408</v>
      </c>
      <c r="BD52" s="24">
        <f>IF(BD46=1,'Lease Cycles'!$D$10*IF(INDEX('Lease Cycles'!$EF$10:$EL$10,1,BD44)=1,(1-'Lease Cycles'!$AJ$10)*INDEX('Lease Cycles'!$EM$10:$ES$10,1,BD44)+(1-'Lease Cycles'!$BE$10)*IF(BD45&lt;INDEX('Lease Cycles'!$FA$10:$FG$10,1,BD44),0,1-INDEX('Lease Cycles'!$EM$10:$ES$10,1,BD44)),IF(OR(INDEX('Lease Cycles'!$DY$10:$EE$10,1,BD44)=1,BD45&gt;0),1,1-INDEX('Lease Cycles'!$DD$10:$DJ$10,1,BD44))*((1-'Lease Cycles'!$AJ$10)*INDEX('Lease Cycles'!$FO$10:$FU$10,1,BD44)+(1-'Lease Cycles'!$BE$10)*(1-INDEX('Lease Cycles'!$FO$10:$FU$10,1,BD44)))),0)</f>
        <v>0.10050251256281408</v>
      </c>
      <c r="BE52" s="24">
        <f>IF(BE46=1,'Lease Cycles'!$D$10*IF(INDEX('Lease Cycles'!$EF$10:$EL$10,1,BE44)=1,(1-'Lease Cycles'!$AJ$10)*INDEX('Lease Cycles'!$EM$10:$ES$10,1,BE44)+(1-'Lease Cycles'!$BE$10)*IF(BE45&lt;INDEX('Lease Cycles'!$FA$10:$FG$10,1,BE44),0,1-INDEX('Lease Cycles'!$EM$10:$ES$10,1,BE44)),IF(OR(INDEX('Lease Cycles'!$DY$10:$EE$10,1,BE44)=1,BE45&gt;0),1,1-INDEX('Lease Cycles'!$DD$10:$DJ$10,1,BE44))*((1-'Lease Cycles'!$AJ$10)*INDEX('Lease Cycles'!$FO$10:$FU$10,1,BE44)+(1-'Lease Cycles'!$BE$10)*(1-INDEX('Lease Cycles'!$FO$10:$FU$10,1,BE44)))),0)</f>
        <v>0.10050251256281408</v>
      </c>
      <c r="BF52" s="24">
        <f>IF(BF46=1,'Lease Cycles'!$D$10*IF(INDEX('Lease Cycles'!$EF$10:$EL$10,1,BF44)=1,(1-'Lease Cycles'!$AJ$10)*INDEX('Lease Cycles'!$EM$10:$ES$10,1,BF44)+(1-'Lease Cycles'!$BE$10)*IF(BF45&lt;INDEX('Lease Cycles'!$FA$10:$FG$10,1,BF44),0,1-INDEX('Lease Cycles'!$EM$10:$ES$10,1,BF44)),IF(OR(INDEX('Lease Cycles'!$DY$10:$EE$10,1,BF44)=1,BF45&gt;0),1,1-INDEX('Lease Cycles'!$DD$10:$DJ$10,1,BF44))*((1-'Lease Cycles'!$AJ$10)*INDEX('Lease Cycles'!$FO$10:$FU$10,1,BF44)+(1-'Lease Cycles'!$BE$10)*(1-INDEX('Lease Cycles'!$FO$10:$FU$10,1,BF44)))),0)</f>
        <v>0.10050251256281408</v>
      </c>
      <c r="BG52" s="24">
        <f>IF(BG46=1,'Lease Cycles'!$D$10*IF(INDEX('Lease Cycles'!$EF$10:$EL$10,1,BG44)=1,(1-'Lease Cycles'!$AJ$10)*INDEX('Lease Cycles'!$EM$10:$ES$10,1,BG44)+(1-'Lease Cycles'!$BE$10)*IF(BG45&lt;INDEX('Lease Cycles'!$FA$10:$FG$10,1,BG44),0,1-INDEX('Lease Cycles'!$EM$10:$ES$10,1,BG44)),IF(OR(INDEX('Lease Cycles'!$DY$10:$EE$10,1,BG44)=1,BG45&gt;0),1,1-INDEX('Lease Cycles'!$DD$10:$DJ$10,1,BG44))*((1-'Lease Cycles'!$AJ$10)*INDEX('Lease Cycles'!$FO$10:$FU$10,1,BG44)+(1-'Lease Cycles'!$BE$10)*(1-INDEX('Lease Cycles'!$FO$10:$FU$10,1,BG44)))),0)</f>
        <v>0.10050251256281408</v>
      </c>
      <c r="BH52" s="24">
        <f>IF(BH46=1,'Lease Cycles'!$D$10*IF(INDEX('Lease Cycles'!$EF$10:$EL$10,1,BH44)=1,(1-'Lease Cycles'!$AJ$10)*INDEX('Lease Cycles'!$EM$10:$ES$10,1,BH44)+(1-'Lease Cycles'!$BE$10)*IF(BH45&lt;INDEX('Lease Cycles'!$FA$10:$FG$10,1,BH44),0,1-INDEX('Lease Cycles'!$EM$10:$ES$10,1,BH44)),IF(OR(INDEX('Lease Cycles'!$DY$10:$EE$10,1,BH44)=1,BH45&gt;0),1,1-INDEX('Lease Cycles'!$DD$10:$DJ$10,1,BH44))*((1-'Lease Cycles'!$AJ$10)*INDEX('Lease Cycles'!$FO$10:$FU$10,1,BH44)+(1-'Lease Cycles'!$BE$10)*(1-INDEX('Lease Cycles'!$FO$10:$FU$10,1,BH44)))),0)</f>
        <v>0.10050251256281408</v>
      </c>
      <c r="BI52" s="24">
        <f>IF(BI46=1,'Lease Cycles'!$D$10*IF(INDEX('Lease Cycles'!$EF$10:$EL$10,1,BI44)=1,(1-'Lease Cycles'!$AJ$10)*INDEX('Lease Cycles'!$EM$10:$ES$10,1,BI44)+(1-'Lease Cycles'!$BE$10)*IF(BI45&lt;INDEX('Lease Cycles'!$FA$10:$FG$10,1,BI44),0,1-INDEX('Lease Cycles'!$EM$10:$ES$10,1,BI44)),IF(OR(INDEX('Lease Cycles'!$DY$10:$EE$10,1,BI44)=1,BI45&gt;0),1,1-INDEX('Lease Cycles'!$DD$10:$DJ$10,1,BI44))*((1-'Lease Cycles'!$AJ$10)*INDEX('Lease Cycles'!$FO$10:$FU$10,1,BI44)+(1-'Lease Cycles'!$BE$10)*(1-INDEX('Lease Cycles'!$FO$10:$FU$10,1,BI44)))),0)</f>
        <v>0.10050251256281408</v>
      </c>
      <c r="BJ52" s="24">
        <f>IF(BJ46=1,'Lease Cycles'!$D$10*IF(INDEX('Lease Cycles'!$EF$10:$EL$10,1,BJ44)=1,(1-'Lease Cycles'!$AJ$10)*INDEX('Lease Cycles'!$EM$10:$ES$10,1,BJ44)+(1-'Lease Cycles'!$BE$10)*IF(BJ45&lt;INDEX('Lease Cycles'!$FA$10:$FG$10,1,BJ44),0,1-INDEX('Lease Cycles'!$EM$10:$ES$10,1,BJ44)),IF(OR(INDEX('Lease Cycles'!$DY$10:$EE$10,1,BJ44)=1,BJ45&gt;0),1,1-INDEX('Lease Cycles'!$DD$10:$DJ$10,1,BJ44))*((1-'Lease Cycles'!$AJ$10)*INDEX('Lease Cycles'!$FO$10:$FU$10,1,BJ44)+(1-'Lease Cycles'!$BE$10)*(1-INDEX('Lease Cycles'!$FO$10:$FU$10,1,BJ44)))),0)</f>
        <v>0.10050251256281408</v>
      </c>
      <c r="BK52" s="24">
        <f>IF(BK46=1,'Lease Cycles'!$D$10*IF(INDEX('Lease Cycles'!$EF$10:$EL$10,1,BK44)=1,(1-'Lease Cycles'!$AJ$10)*INDEX('Lease Cycles'!$EM$10:$ES$10,1,BK44)+(1-'Lease Cycles'!$BE$10)*IF(BK45&lt;INDEX('Lease Cycles'!$FA$10:$FG$10,1,BK44),0,1-INDEX('Lease Cycles'!$EM$10:$ES$10,1,BK44)),IF(OR(INDEX('Lease Cycles'!$DY$10:$EE$10,1,BK44)=1,BK45&gt;0),1,1-INDEX('Lease Cycles'!$DD$10:$DJ$10,1,BK44))*((1-'Lease Cycles'!$AJ$10)*INDEX('Lease Cycles'!$FO$10:$FU$10,1,BK44)+(1-'Lease Cycles'!$BE$10)*(1-INDEX('Lease Cycles'!$FO$10:$FU$10,1,BK44)))),0)</f>
        <v>0.10050251256281408</v>
      </c>
      <c r="BL52" s="24">
        <f>IF(BL46=1,'Lease Cycles'!$D$10*IF(INDEX('Lease Cycles'!$EF$10:$EL$10,1,BL44)=1,(1-'Lease Cycles'!$AJ$10)*INDEX('Lease Cycles'!$EM$10:$ES$10,1,BL44)+(1-'Lease Cycles'!$BE$10)*IF(BL45&lt;INDEX('Lease Cycles'!$FA$10:$FG$10,1,BL44),0,1-INDEX('Lease Cycles'!$EM$10:$ES$10,1,BL44)),IF(OR(INDEX('Lease Cycles'!$DY$10:$EE$10,1,BL44)=1,BL45&gt;0),1,1-INDEX('Lease Cycles'!$DD$10:$DJ$10,1,BL44))*((1-'Lease Cycles'!$AJ$10)*INDEX('Lease Cycles'!$FO$10:$FU$10,1,BL44)+(1-'Lease Cycles'!$BE$10)*(1-INDEX('Lease Cycles'!$FO$10:$FU$10,1,BL44)))),0)</f>
        <v>0.10050251256281408</v>
      </c>
      <c r="BM52" s="24">
        <f>IF(BM46=1,'Lease Cycles'!$D$10*IF(INDEX('Lease Cycles'!$EF$10:$EL$10,1,BM44)=1,(1-'Lease Cycles'!$AJ$10)*INDEX('Lease Cycles'!$EM$10:$ES$10,1,BM44)+(1-'Lease Cycles'!$BE$10)*IF(BM45&lt;INDEX('Lease Cycles'!$FA$10:$FG$10,1,BM44),0,1-INDEX('Lease Cycles'!$EM$10:$ES$10,1,BM44)),IF(OR(INDEX('Lease Cycles'!$DY$10:$EE$10,1,BM44)=1,BM45&gt;0),1,1-INDEX('Lease Cycles'!$DD$10:$DJ$10,1,BM44))*((1-'Lease Cycles'!$AJ$10)*INDEX('Lease Cycles'!$FO$10:$FU$10,1,BM44)+(1-'Lease Cycles'!$BE$10)*(1-INDEX('Lease Cycles'!$FO$10:$FU$10,1,BM44)))),0)</f>
        <v>0.10050251256281408</v>
      </c>
      <c r="BN52" s="24">
        <f>IF(BN46=1,'Lease Cycles'!$D$10*IF(INDEX('Lease Cycles'!$EF$10:$EL$10,1,BN44)=1,(1-'Lease Cycles'!$AJ$10)*INDEX('Lease Cycles'!$EM$10:$ES$10,1,BN44)+(1-'Lease Cycles'!$BE$10)*IF(BN45&lt;INDEX('Lease Cycles'!$FA$10:$FG$10,1,BN44),0,1-INDEX('Lease Cycles'!$EM$10:$ES$10,1,BN44)),IF(OR(INDEX('Lease Cycles'!$DY$10:$EE$10,1,BN44)=1,BN45&gt;0),1,1-INDEX('Lease Cycles'!$DD$10:$DJ$10,1,BN44))*((1-'Lease Cycles'!$AJ$10)*INDEX('Lease Cycles'!$FO$10:$FU$10,1,BN44)+(1-'Lease Cycles'!$BE$10)*(1-INDEX('Lease Cycles'!$FO$10:$FU$10,1,BN44)))),0)</f>
        <v>0.10050251256281408</v>
      </c>
      <c r="BO52" s="24">
        <f>IF(BO46=1,'Lease Cycles'!$D$10*IF(INDEX('Lease Cycles'!$EF$10:$EL$10,1,BO44)=1,(1-'Lease Cycles'!$AJ$10)*INDEX('Lease Cycles'!$EM$10:$ES$10,1,BO44)+(1-'Lease Cycles'!$BE$10)*IF(BO45&lt;INDEX('Lease Cycles'!$FA$10:$FG$10,1,BO44),0,1-INDEX('Lease Cycles'!$EM$10:$ES$10,1,BO44)),IF(OR(INDEX('Lease Cycles'!$DY$10:$EE$10,1,BO44)=1,BO45&gt;0),1,1-INDEX('Lease Cycles'!$DD$10:$DJ$10,1,BO44))*((1-'Lease Cycles'!$AJ$10)*INDEX('Lease Cycles'!$FO$10:$FU$10,1,BO44)+(1-'Lease Cycles'!$BE$10)*(1-INDEX('Lease Cycles'!$FO$10:$FU$10,1,BO44)))),0)</f>
        <v>0.10050251256281408</v>
      </c>
      <c r="BP52" s="24">
        <f>IF(BP46=1,'Lease Cycles'!$D$10*IF(INDEX('Lease Cycles'!$EF$10:$EL$10,1,BP44)=1,(1-'Lease Cycles'!$AJ$10)*INDEX('Lease Cycles'!$EM$10:$ES$10,1,BP44)+(1-'Lease Cycles'!$BE$10)*IF(BP45&lt;INDEX('Lease Cycles'!$FA$10:$FG$10,1,BP44),0,1-INDEX('Lease Cycles'!$EM$10:$ES$10,1,BP44)),IF(OR(INDEX('Lease Cycles'!$DY$10:$EE$10,1,BP44)=1,BP45&gt;0),1,1-INDEX('Lease Cycles'!$DD$10:$DJ$10,1,BP44))*((1-'Lease Cycles'!$AJ$10)*INDEX('Lease Cycles'!$FO$10:$FU$10,1,BP44)+(1-'Lease Cycles'!$BE$10)*(1-INDEX('Lease Cycles'!$FO$10:$FU$10,1,BP44)))),0)</f>
        <v>0.10050251256281408</v>
      </c>
      <c r="BQ52" s="24">
        <f>IF(BQ46=1,'Lease Cycles'!$D$10*IF(INDEX('Lease Cycles'!$EF$10:$EL$10,1,BQ44)=1,(1-'Lease Cycles'!$AJ$10)*INDEX('Lease Cycles'!$EM$10:$ES$10,1,BQ44)+(1-'Lease Cycles'!$BE$10)*IF(BQ45&lt;INDEX('Lease Cycles'!$FA$10:$FG$10,1,BQ44),0,1-INDEX('Lease Cycles'!$EM$10:$ES$10,1,BQ44)),IF(OR(INDEX('Lease Cycles'!$DY$10:$EE$10,1,BQ44)=1,BQ45&gt;0),1,1-INDEX('Lease Cycles'!$DD$10:$DJ$10,1,BQ44))*((1-'Lease Cycles'!$AJ$10)*INDEX('Lease Cycles'!$FO$10:$FU$10,1,BQ44)+(1-'Lease Cycles'!$BE$10)*(1-INDEX('Lease Cycles'!$FO$10:$FU$10,1,BQ44)))),0)</f>
        <v>0.10050251256281408</v>
      </c>
      <c r="BR52" s="24">
        <f>IF(BR46=1,'Lease Cycles'!$D$10*IF(INDEX('Lease Cycles'!$EF$10:$EL$10,1,BR44)=1,(1-'Lease Cycles'!$AJ$10)*INDEX('Lease Cycles'!$EM$10:$ES$10,1,BR44)+(1-'Lease Cycles'!$BE$10)*IF(BR45&lt;INDEX('Lease Cycles'!$FA$10:$FG$10,1,BR44),0,1-INDEX('Lease Cycles'!$EM$10:$ES$10,1,BR44)),IF(OR(INDEX('Lease Cycles'!$DY$10:$EE$10,1,BR44)=1,BR45&gt;0),1,1-INDEX('Lease Cycles'!$DD$10:$DJ$10,1,BR44))*((1-'Lease Cycles'!$AJ$10)*INDEX('Lease Cycles'!$FO$10:$FU$10,1,BR44)+(1-'Lease Cycles'!$BE$10)*(1-INDEX('Lease Cycles'!$FO$10:$FU$10,1,BR44)))),0)</f>
        <v>0.10050251256281408</v>
      </c>
      <c r="BS52" s="24">
        <f>IF(BS46=1,'Lease Cycles'!$D$10*IF(INDEX('Lease Cycles'!$EF$10:$EL$10,1,BS44)=1,(1-'Lease Cycles'!$AJ$10)*INDEX('Lease Cycles'!$EM$10:$ES$10,1,BS44)+(1-'Lease Cycles'!$BE$10)*IF(BS45&lt;INDEX('Lease Cycles'!$FA$10:$FG$10,1,BS44),0,1-INDEX('Lease Cycles'!$EM$10:$ES$10,1,BS44)),IF(OR(INDEX('Lease Cycles'!$DY$10:$EE$10,1,BS44)=1,BS45&gt;0),1,1-INDEX('Lease Cycles'!$DD$10:$DJ$10,1,BS44))*((1-'Lease Cycles'!$AJ$10)*INDEX('Lease Cycles'!$FO$10:$FU$10,1,BS44)+(1-'Lease Cycles'!$BE$10)*(1-INDEX('Lease Cycles'!$FO$10:$FU$10,1,BS44)))),0)</f>
        <v>0.10050251256281408</v>
      </c>
      <c r="BT52" s="24">
        <f>IF(BT46=1,'Lease Cycles'!$D$10*IF(INDEX('Lease Cycles'!$EF$10:$EL$10,1,BT44)=1,(1-'Lease Cycles'!$AJ$10)*INDEX('Lease Cycles'!$EM$10:$ES$10,1,BT44)+(1-'Lease Cycles'!$BE$10)*IF(BT45&lt;INDEX('Lease Cycles'!$FA$10:$FG$10,1,BT44),0,1-INDEX('Lease Cycles'!$EM$10:$ES$10,1,BT44)),IF(OR(INDEX('Lease Cycles'!$DY$10:$EE$10,1,BT44)=1,BT45&gt;0),1,1-INDEX('Lease Cycles'!$DD$10:$DJ$10,1,BT44))*((1-'Lease Cycles'!$AJ$10)*INDEX('Lease Cycles'!$FO$10:$FU$10,1,BT44)+(1-'Lease Cycles'!$BE$10)*(1-INDEX('Lease Cycles'!$FO$10:$FU$10,1,BT44)))),0)</f>
        <v>0.10050251256281408</v>
      </c>
      <c r="BU52" s="24">
        <f>IF(BU46=1,'Lease Cycles'!$D$10*IF(INDEX('Lease Cycles'!$EF$10:$EL$10,1,BU44)=1,(1-'Lease Cycles'!$AJ$10)*INDEX('Lease Cycles'!$EM$10:$ES$10,1,BU44)+(1-'Lease Cycles'!$BE$10)*IF(BU45&lt;INDEX('Lease Cycles'!$FA$10:$FG$10,1,BU44),0,1-INDEX('Lease Cycles'!$EM$10:$ES$10,1,BU44)),IF(OR(INDEX('Lease Cycles'!$DY$10:$EE$10,1,BU44)=1,BU45&gt;0),1,1-INDEX('Lease Cycles'!$DD$10:$DJ$10,1,BU44))*((1-'Lease Cycles'!$AJ$10)*INDEX('Lease Cycles'!$FO$10:$FU$10,1,BU44)+(1-'Lease Cycles'!$BE$10)*(1-INDEX('Lease Cycles'!$FO$10:$FU$10,1,BU44)))),0)</f>
        <v>0.10050251256281408</v>
      </c>
      <c r="BV52" s="24">
        <f>IF(BV46=1,'Lease Cycles'!$D$10*IF(INDEX('Lease Cycles'!$EF$10:$EL$10,1,BV44)=1,(1-'Lease Cycles'!$AJ$10)*INDEX('Lease Cycles'!$EM$10:$ES$10,1,BV44)+(1-'Lease Cycles'!$BE$10)*IF(BV45&lt;INDEX('Lease Cycles'!$FA$10:$FG$10,1,BV44),0,1-INDEX('Lease Cycles'!$EM$10:$ES$10,1,BV44)),IF(OR(INDEX('Lease Cycles'!$DY$10:$EE$10,1,BV44)=1,BV45&gt;0),1,1-INDEX('Lease Cycles'!$DD$10:$DJ$10,1,BV44))*((1-'Lease Cycles'!$AJ$10)*INDEX('Lease Cycles'!$FO$10:$FU$10,1,BV44)+(1-'Lease Cycles'!$BE$10)*(1-INDEX('Lease Cycles'!$FO$10:$FU$10,1,BV44)))),0)</f>
        <v>0.10050251256281408</v>
      </c>
      <c r="BW52" s="24">
        <f>IF(BW46=1,'Lease Cycles'!$D$10*IF(INDEX('Lease Cycles'!$EF$10:$EL$10,1,BW44)=1,(1-'Lease Cycles'!$AJ$10)*INDEX('Lease Cycles'!$EM$10:$ES$10,1,BW44)+(1-'Lease Cycles'!$BE$10)*IF(BW45&lt;INDEX('Lease Cycles'!$FA$10:$FG$10,1,BW44),0,1-INDEX('Lease Cycles'!$EM$10:$ES$10,1,BW44)),IF(OR(INDEX('Lease Cycles'!$DY$10:$EE$10,1,BW44)=1,BW45&gt;0),1,1-INDEX('Lease Cycles'!$DD$10:$DJ$10,1,BW44))*((1-'Lease Cycles'!$AJ$10)*INDEX('Lease Cycles'!$FO$10:$FU$10,1,BW44)+(1-'Lease Cycles'!$BE$10)*(1-INDEX('Lease Cycles'!$FO$10:$FU$10,1,BW44)))),0)</f>
        <v>0.10050251256281408</v>
      </c>
      <c r="BX52" s="24">
        <f>IF(BX46=1,'Lease Cycles'!$D$10*IF(INDEX('Lease Cycles'!$EF$10:$EL$10,1,BX44)=1,(1-'Lease Cycles'!$AJ$10)*INDEX('Lease Cycles'!$EM$10:$ES$10,1,BX44)+(1-'Lease Cycles'!$BE$10)*IF(BX45&lt;INDEX('Lease Cycles'!$FA$10:$FG$10,1,BX44),0,1-INDEX('Lease Cycles'!$EM$10:$ES$10,1,BX44)),IF(OR(INDEX('Lease Cycles'!$DY$10:$EE$10,1,BX44)=1,BX45&gt;0),1,1-INDEX('Lease Cycles'!$DD$10:$DJ$10,1,BX44))*((1-'Lease Cycles'!$AJ$10)*INDEX('Lease Cycles'!$FO$10:$FU$10,1,BX44)+(1-'Lease Cycles'!$BE$10)*(1-INDEX('Lease Cycles'!$FO$10:$FU$10,1,BX44)))),0)</f>
        <v>0.10050251256281408</v>
      </c>
      <c r="BY52" s="24">
        <f>IF(BY46=1,'Lease Cycles'!$D$10*IF(INDEX('Lease Cycles'!$EF$10:$EL$10,1,BY44)=1,(1-'Lease Cycles'!$AJ$10)*INDEX('Lease Cycles'!$EM$10:$ES$10,1,BY44)+(1-'Lease Cycles'!$BE$10)*IF(BY45&lt;INDEX('Lease Cycles'!$FA$10:$FG$10,1,BY44),0,1-INDEX('Lease Cycles'!$EM$10:$ES$10,1,BY44)),IF(OR(INDEX('Lease Cycles'!$DY$10:$EE$10,1,BY44)=1,BY45&gt;0),1,1-INDEX('Lease Cycles'!$DD$10:$DJ$10,1,BY44))*((1-'Lease Cycles'!$AJ$10)*INDEX('Lease Cycles'!$FO$10:$FU$10,1,BY44)+(1-'Lease Cycles'!$BE$10)*(1-INDEX('Lease Cycles'!$FO$10:$FU$10,1,BY44)))),0)</f>
        <v>0.10050251256281408</v>
      </c>
      <c r="BZ52" s="24">
        <f>IF(BZ46=1,'Lease Cycles'!$D$10*IF(INDEX('Lease Cycles'!$EF$10:$EL$10,1,BZ44)=1,(1-'Lease Cycles'!$AJ$10)*INDEX('Lease Cycles'!$EM$10:$ES$10,1,BZ44)+(1-'Lease Cycles'!$BE$10)*IF(BZ45&lt;INDEX('Lease Cycles'!$FA$10:$FG$10,1,BZ44),0,1-INDEX('Lease Cycles'!$EM$10:$ES$10,1,BZ44)),IF(OR(INDEX('Lease Cycles'!$DY$10:$EE$10,1,BZ44)=1,BZ45&gt;0),1,1-INDEX('Lease Cycles'!$DD$10:$DJ$10,1,BZ44))*((1-'Lease Cycles'!$AJ$10)*INDEX('Lease Cycles'!$FO$10:$FU$10,1,BZ44)+(1-'Lease Cycles'!$BE$10)*(1-INDEX('Lease Cycles'!$FO$10:$FU$10,1,BZ44)))),0)</f>
        <v>0.10050251256281408</v>
      </c>
      <c r="CA52" s="24">
        <f>IF(CA46=1,'Lease Cycles'!$D$10*IF(INDEX('Lease Cycles'!$EF$10:$EL$10,1,CA44)=1,(1-'Lease Cycles'!$AJ$10)*INDEX('Lease Cycles'!$EM$10:$ES$10,1,CA44)+(1-'Lease Cycles'!$BE$10)*IF(CA45&lt;INDEX('Lease Cycles'!$FA$10:$FG$10,1,CA44),0,1-INDEX('Lease Cycles'!$EM$10:$ES$10,1,CA44)),IF(OR(INDEX('Lease Cycles'!$DY$10:$EE$10,1,CA44)=1,CA45&gt;0),1,1-INDEX('Lease Cycles'!$DD$10:$DJ$10,1,CA44))*((1-'Lease Cycles'!$AJ$10)*INDEX('Lease Cycles'!$FO$10:$FU$10,1,CA44)+(1-'Lease Cycles'!$BE$10)*(1-INDEX('Lease Cycles'!$FO$10:$FU$10,1,CA44)))),0)</f>
        <v>0</v>
      </c>
      <c r="CB52" s="24">
        <f>IF(CB46=1,'Lease Cycles'!$D$10*IF(INDEX('Lease Cycles'!$EF$10:$EL$10,1,CB44)=1,(1-'Lease Cycles'!$AJ$10)*INDEX('Lease Cycles'!$EM$10:$ES$10,1,CB44)+(1-'Lease Cycles'!$BE$10)*IF(CB45&lt;INDEX('Lease Cycles'!$FA$10:$FG$10,1,CB44),0,1-INDEX('Lease Cycles'!$EM$10:$ES$10,1,CB44)),IF(OR(INDEX('Lease Cycles'!$DY$10:$EE$10,1,CB44)=1,CB45&gt;0),1,1-INDEX('Lease Cycles'!$DD$10:$DJ$10,1,CB44))*((1-'Lease Cycles'!$AJ$10)*INDEX('Lease Cycles'!$FO$10:$FU$10,1,CB44)+(1-'Lease Cycles'!$BE$10)*(1-INDEX('Lease Cycles'!$FO$10:$FU$10,1,CB44)))),0)</f>
        <v>0.08040201005025098</v>
      </c>
      <c r="CC52" s="24">
        <f>IF(CC46=1,'Lease Cycles'!$D$10*IF(INDEX('Lease Cycles'!$EF$10:$EL$10,1,CC44)=1,(1-'Lease Cycles'!$AJ$10)*INDEX('Lease Cycles'!$EM$10:$ES$10,1,CC44)+(1-'Lease Cycles'!$BE$10)*IF(CC45&lt;INDEX('Lease Cycles'!$FA$10:$FG$10,1,CC44),0,1-INDEX('Lease Cycles'!$EM$10:$ES$10,1,CC44)),IF(OR(INDEX('Lease Cycles'!$DY$10:$EE$10,1,CC44)=1,CC45&gt;0),1,1-INDEX('Lease Cycles'!$DD$10:$DJ$10,1,CC44))*((1-'Lease Cycles'!$AJ$10)*INDEX('Lease Cycles'!$FO$10:$FU$10,1,CC44)+(1-'Lease Cycles'!$BE$10)*(1-INDEX('Lease Cycles'!$FO$10:$FU$10,1,CC44)))),0)</f>
        <v>0.10050251256281408</v>
      </c>
      <c r="CD52" s="24">
        <f>IF(CD46=1,'Lease Cycles'!$D$10*IF(INDEX('Lease Cycles'!$EF$10:$EL$10,1,CD44)=1,(1-'Lease Cycles'!$AJ$10)*INDEX('Lease Cycles'!$EM$10:$ES$10,1,CD44)+(1-'Lease Cycles'!$BE$10)*IF(CD45&lt;INDEX('Lease Cycles'!$FA$10:$FG$10,1,CD44),0,1-INDEX('Lease Cycles'!$EM$10:$ES$10,1,CD44)),IF(OR(INDEX('Lease Cycles'!$DY$10:$EE$10,1,CD44)=1,CD45&gt;0),1,1-INDEX('Lease Cycles'!$DD$10:$DJ$10,1,CD44))*((1-'Lease Cycles'!$AJ$10)*INDEX('Lease Cycles'!$FO$10:$FU$10,1,CD44)+(1-'Lease Cycles'!$BE$10)*(1-INDEX('Lease Cycles'!$FO$10:$FU$10,1,CD44)))),0)</f>
        <v>0.10050251256281408</v>
      </c>
      <c r="CE52" s="24">
        <f>IF(CE46=1,'Lease Cycles'!$D$10*IF(INDEX('Lease Cycles'!$EF$10:$EL$10,1,CE44)=1,(1-'Lease Cycles'!$AJ$10)*INDEX('Lease Cycles'!$EM$10:$ES$10,1,CE44)+(1-'Lease Cycles'!$BE$10)*IF(CE45&lt;INDEX('Lease Cycles'!$FA$10:$FG$10,1,CE44),0,1-INDEX('Lease Cycles'!$EM$10:$ES$10,1,CE44)),IF(OR(INDEX('Lease Cycles'!$DY$10:$EE$10,1,CE44)=1,CE45&gt;0),1,1-INDEX('Lease Cycles'!$DD$10:$DJ$10,1,CE44))*((1-'Lease Cycles'!$AJ$10)*INDEX('Lease Cycles'!$FO$10:$FU$10,1,CE44)+(1-'Lease Cycles'!$BE$10)*(1-INDEX('Lease Cycles'!$FO$10:$FU$10,1,CE44)))),0)</f>
        <v>0.10050251256281408</v>
      </c>
      <c r="CF52" s="24">
        <f>IF(CF46=1,'Lease Cycles'!$D$10*IF(INDEX('Lease Cycles'!$EF$10:$EL$10,1,CF44)=1,(1-'Lease Cycles'!$AJ$10)*INDEX('Lease Cycles'!$EM$10:$ES$10,1,CF44)+(1-'Lease Cycles'!$BE$10)*IF(CF45&lt;INDEX('Lease Cycles'!$FA$10:$FG$10,1,CF44),0,1-INDEX('Lease Cycles'!$EM$10:$ES$10,1,CF44)),IF(OR(INDEX('Lease Cycles'!$DY$10:$EE$10,1,CF44)=1,CF45&gt;0),1,1-INDEX('Lease Cycles'!$DD$10:$DJ$10,1,CF44))*((1-'Lease Cycles'!$AJ$10)*INDEX('Lease Cycles'!$FO$10:$FU$10,1,CF44)+(1-'Lease Cycles'!$BE$10)*(1-INDEX('Lease Cycles'!$FO$10:$FU$10,1,CF44)))),0)</f>
        <v>0.10050251256281408</v>
      </c>
      <c r="CG52" s="24">
        <f>IF(CG46=1,'Lease Cycles'!$D$10*IF(INDEX('Lease Cycles'!$EF$10:$EL$10,1,CG44)=1,(1-'Lease Cycles'!$AJ$10)*INDEX('Lease Cycles'!$EM$10:$ES$10,1,CG44)+(1-'Lease Cycles'!$BE$10)*IF(CG45&lt;INDEX('Lease Cycles'!$FA$10:$FG$10,1,CG44),0,1-INDEX('Lease Cycles'!$EM$10:$ES$10,1,CG44)),IF(OR(INDEX('Lease Cycles'!$DY$10:$EE$10,1,CG44)=1,CG45&gt;0),1,1-INDEX('Lease Cycles'!$DD$10:$DJ$10,1,CG44))*((1-'Lease Cycles'!$AJ$10)*INDEX('Lease Cycles'!$FO$10:$FU$10,1,CG44)+(1-'Lease Cycles'!$BE$10)*(1-INDEX('Lease Cycles'!$FO$10:$FU$10,1,CG44)))),0)</f>
        <v>0.10050251256281408</v>
      </c>
      <c r="CH52" s="24">
        <f>IF(CH46=1,'Lease Cycles'!$D$10*IF(INDEX('Lease Cycles'!$EF$10:$EL$10,1,CH44)=1,(1-'Lease Cycles'!$AJ$10)*INDEX('Lease Cycles'!$EM$10:$ES$10,1,CH44)+(1-'Lease Cycles'!$BE$10)*IF(CH45&lt;INDEX('Lease Cycles'!$FA$10:$FG$10,1,CH44),0,1-INDEX('Lease Cycles'!$EM$10:$ES$10,1,CH44)),IF(OR(INDEX('Lease Cycles'!$DY$10:$EE$10,1,CH44)=1,CH45&gt;0),1,1-INDEX('Lease Cycles'!$DD$10:$DJ$10,1,CH44))*((1-'Lease Cycles'!$AJ$10)*INDEX('Lease Cycles'!$FO$10:$FU$10,1,CH44)+(1-'Lease Cycles'!$BE$10)*(1-INDEX('Lease Cycles'!$FO$10:$FU$10,1,CH44)))),0)</f>
        <v>0.10050251256281408</v>
      </c>
      <c r="CI52" s="24">
        <f>IF(CI46=1,'Lease Cycles'!$D$10*IF(INDEX('Lease Cycles'!$EF$10:$EL$10,1,CI44)=1,(1-'Lease Cycles'!$AJ$10)*INDEX('Lease Cycles'!$EM$10:$ES$10,1,CI44)+(1-'Lease Cycles'!$BE$10)*IF(CI45&lt;INDEX('Lease Cycles'!$FA$10:$FG$10,1,CI44),0,1-INDEX('Lease Cycles'!$EM$10:$ES$10,1,CI44)),IF(OR(INDEX('Lease Cycles'!$DY$10:$EE$10,1,CI44)=1,CI45&gt;0),1,1-INDEX('Lease Cycles'!$DD$10:$DJ$10,1,CI44))*((1-'Lease Cycles'!$AJ$10)*INDEX('Lease Cycles'!$FO$10:$FU$10,1,CI44)+(1-'Lease Cycles'!$BE$10)*(1-INDEX('Lease Cycles'!$FO$10:$FU$10,1,CI44)))),0)</f>
        <v>0.10050251256281408</v>
      </c>
      <c r="CJ52" s="24">
        <f>IF(CJ46=1,'Lease Cycles'!$D$10*IF(INDEX('Lease Cycles'!$EF$10:$EL$10,1,CJ44)=1,(1-'Lease Cycles'!$AJ$10)*INDEX('Lease Cycles'!$EM$10:$ES$10,1,CJ44)+(1-'Lease Cycles'!$BE$10)*IF(CJ45&lt;INDEX('Lease Cycles'!$FA$10:$FG$10,1,CJ44),0,1-INDEX('Lease Cycles'!$EM$10:$ES$10,1,CJ44)),IF(OR(INDEX('Lease Cycles'!$DY$10:$EE$10,1,CJ44)=1,CJ45&gt;0),1,1-INDEX('Lease Cycles'!$DD$10:$DJ$10,1,CJ44))*((1-'Lease Cycles'!$AJ$10)*INDEX('Lease Cycles'!$FO$10:$FU$10,1,CJ44)+(1-'Lease Cycles'!$BE$10)*(1-INDEX('Lease Cycles'!$FO$10:$FU$10,1,CJ44)))),0)</f>
        <v>0.10050251256281408</v>
      </c>
      <c r="CK52" s="24">
        <f>IF(CK46=1,'Lease Cycles'!$D$10*IF(INDEX('Lease Cycles'!$EF$10:$EL$10,1,CK44)=1,(1-'Lease Cycles'!$AJ$10)*INDEX('Lease Cycles'!$EM$10:$ES$10,1,CK44)+(1-'Lease Cycles'!$BE$10)*IF(CK45&lt;INDEX('Lease Cycles'!$FA$10:$FG$10,1,CK44),0,1-INDEX('Lease Cycles'!$EM$10:$ES$10,1,CK44)),IF(OR(INDEX('Lease Cycles'!$DY$10:$EE$10,1,CK44)=1,CK45&gt;0),1,1-INDEX('Lease Cycles'!$DD$10:$DJ$10,1,CK44))*((1-'Lease Cycles'!$AJ$10)*INDEX('Lease Cycles'!$FO$10:$FU$10,1,CK44)+(1-'Lease Cycles'!$BE$10)*(1-INDEX('Lease Cycles'!$FO$10:$FU$10,1,CK44)))),0)</f>
        <v>0.10050251256281408</v>
      </c>
      <c r="CL52" s="24">
        <f>IF(CL46=1,'Lease Cycles'!$D$10*IF(INDEX('Lease Cycles'!$EF$10:$EL$10,1,CL44)=1,(1-'Lease Cycles'!$AJ$10)*INDEX('Lease Cycles'!$EM$10:$ES$10,1,CL44)+(1-'Lease Cycles'!$BE$10)*IF(CL45&lt;INDEX('Lease Cycles'!$FA$10:$FG$10,1,CL44),0,1-INDEX('Lease Cycles'!$EM$10:$ES$10,1,CL44)),IF(OR(INDEX('Lease Cycles'!$DY$10:$EE$10,1,CL44)=1,CL45&gt;0),1,1-INDEX('Lease Cycles'!$DD$10:$DJ$10,1,CL44))*((1-'Lease Cycles'!$AJ$10)*INDEX('Lease Cycles'!$FO$10:$FU$10,1,CL44)+(1-'Lease Cycles'!$BE$10)*(1-INDEX('Lease Cycles'!$FO$10:$FU$10,1,CL44)))),0)</f>
        <v>0.10050251256281408</v>
      </c>
      <c r="CM52" s="24">
        <f>IF(CM46=1,'Lease Cycles'!$D$10*IF(INDEX('Lease Cycles'!$EF$10:$EL$10,1,CM44)=1,(1-'Lease Cycles'!$AJ$10)*INDEX('Lease Cycles'!$EM$10:$ES$10,1,CM44)+(1-'Lease Cycles'!$BE$10)*IF(CM45&lt;INDEX('Lease Cycles'!$FA$10:$FG$10,1,CM44),0,1-INDEX('Lease Cycles'!$EM$10:$ES$10,1,CM44)),IF(OR(INDEX('Lease Cycles'!$DY$10:$EE$10,1,CM44)=1,CM45&gt;0),1,1-INDEX('Lease Cycles'!$DD$10:$DJ$10,1,CM44))*((1-'Lease Cycles'!$AJ$10)*INDEX('Lease Cycles'!$FO$10:$FU$10,1,CM44)+(1-'Lease Cycles'!$BE$10)*(1-INDEX('Lease Cycles'!$FO$10:$FU$10,1,CM44)))),0)</f>
        <v>0.10050251256281408</v>
      </c>
      <c r="CN52" s="24">
        <f>IF(CN46=1,'Lease Cycles'!$D$10*IF(INDEX('Lease Cycles'!$EF$10:$EL$10,1,CN44)=1,(1-'Lease Cycles'!$AJ$10)*INDEX('Lease Cycles'!$EM$10:$ES$10,1,CN44)+(1-'Lease Cycles'!$BE$10)*IF(CN45&lt;INDEX('Lease Cycles'!$FA$10:$FG$10,1,CN44),0,1-INDEX('Lease Cycles'!$EM$10:$ES$10,1,CN44)),IF(OR(INDEX('Lease Cycles'!$DY$10:$EE$10,1,CN44)=1,CN45&gt;0),1,1-INDEX('Lease Cycles'!$DD$10:$DJ$10,1,CN44))*((1-'Lease Cycles'!$AJ$10)*INDEX('Lease Cycles'!$FO$10:$FU$10,1,CN44)+(1-'Lease Cycles'!$BE$10)*(1-INDEX('Lease Cycles'!$FO$10:$FU$10,1,CN44)))),0)</f>
        <v>0.10050251256281408</v>
      </c>
      <c r="CO52" s="24">
        <f>IF(CO46=1,'Lease Cycles'!$D$10*IF(INDEX('Lease Cycles'!$EF$10:$EL$10,1,CO44)=1,(1-'Lease Cycles'!$AJ$10)*INDEX('Lease Cycles'!$EM$10:$ES$10,1,CO44)+(1-'Lease Cycles'!$BE$10)*IF(CO45&lt;INDEX('Lease Cycles'!$FA$10:$FG$10,1,CO44),0,1-INDEX('Lease Cycles'!$EM$10:$ES$10,1,CO44)),IF(OR(INDEX('Lease Cycles'!$DY$10:$EE$10,1,CO44)=1,CO45&gt;0),1,1-INDEX('Lease Cycles'!$DD$10:$DJ$10,1,CO44))*((1-'Lease Cycles'!$AJ$10)*INDEX('Lease Cycles'!$FO$10:$FU$10,1,CO44)+(1-'Lease Cycles'!$BE$10)*(1-INDEX('Lease Cycles'!$FO$10:$FU$10,1,CO44)))),0)</f>
        <v>0.10050251256281408</v>
      </c>
      <c r="CP52" s="24">
        <f>IF(CP46=1,'Lease Cycles'!$D$10*IF(INDEX('Lease Cycles'!$EF$10:$EL$10,1,CP44)=1,(1-'Lease Cycles'!$AJ$10)*INDEX('Lease Cycles'!$EM$10:$ES$10,1,CP44)+(1-'Lease Cycles'!$BE$10)*IF(CP45&lt;INDEX('Lease Cycles'!$FA$10:$FG$10,1,CP44),0,1-INDEX('Lease Cycles'!$EM$10:$ES$10,1,CP44)),IF(OR(INDEX('Lease Cycles'!$DY$10:$EE$10,1,CP44)=1,CP45&gt;0),1,1-INDEX('Lease Cycles'!$DD$10:$DJ$10,1,CP44))*((1-'Lease Cycles'!$AJ$10)*INDEX('Lease Cycles'!$FO$10:$FU$10,1,CP44)+(1-'Lease Cycles'!$BE$10)*(1-INDEX('Lease Cycles'!$FO$10:$FU$10,1,CP44)))),0)</f>
        <v>0.10050251256281408</v>
      </c>
      <c r="CQ52" s="24">
        <f>IF(CQ46=1,'Lease Cycles'!$D$10*IF(INDEX('Lease Cycles'!$EF$10:$EL$10,1,CQ44)=1,(1-'Lease Cycles'!$AJ$10)*INDEX('Lease Cycles'!$EM$10:$ES$10,1,CQ44)+(1-'Lease Cycles'!$BE$10)*IF(CQ45&lt;INDEX('Lease Cycles'!$FA$10:$FG$10,1,CQ44),0,1-INDEX('Lease Cycles'!$EM$10:$ES$10,1,CQ44)),IF(OR(INDEX('Lease Cycles'!$DY$10:$EE$10,1,CQ44)=1,CQ45&gt;0),1,1-INDEX('Lease Cycles'!$DD$10:$DJ$10,1,CQ44))*((1-'Lease Cycles'!$AJ$10)*INDEX('Lease Cycles'!$FO$10:$FU$10,1,CQ44)+(1-'Lease Cycles'!$BE$10)*(1-INDEX('Lease Cycles'!$FO$10:$FU$10,1,CQ44)))),0)</f>
        <v>0.10050251256281408</v>
      </c>
      <c r="CR52" s="24">
        <f>IF(CR46=1,'Lease Cycles'!$D$10*IF(INDEX('Lease Cycles'!$EF$10:$EL$10,1,CR44)=1,(1-'Lease Cycles'!$AJ$10)*INDEX('Lease Cycles'!$EM$10:$ES$10,1,CR44)+(1-'Lease Cycles'!$BE$10)*IF(CR45&lt;INDEX('Lease Cycles'!$FA$10:$FG$10,1,CR44),0,1-INDEX('Lease Cycles'!$EM$10:$ES$10,1,CR44)),IF(OR(INDEX('Lease Cycles'!$DY$10:$EE$10,1,CR44)=1,CR45&gt;0),1,1-INDEX('Lease Cycles'!$DD$10:$DJ$10,1,CR44))*((1-'Lease Cycles'!$AJ$10)*INDEX('Lease Cycles'!$FO$10:$FU$10,1,CR44)+(1-'Lease Cycles'!$BE$10)*(1-INDEX('Lease Cycles'!$FO$10:$FU$10,1,CR44)))),0)</f>
        <v>0.10050251256281408</v>
      </c>
      <c r="CS52" s="24">
        <f>IF(CS46=1,'Lease Cycles'!$D$10*IF(INDEX('Lease Cycles'!$EF$10:$EL$10,1,CS44)=1,(1-'Lease Cycles'!$AJ$10)*INDEX('Lease Cycles'!$EM$10:$ES$10,1,CS44)+(1-'Lease Cycles'!$BE$10)*IF(CS45&lt;INDEX('Lease Cycles'!$FA$10:$FG$10,1,CS44),0,1-INDEX('Lease Cycles'!$EM$10:$ES$10,1,CS44)),IF(OR(INDEX('Lease Cycles'!$DY$10:$EE$10,1,CS44)=1,CS45&gt;0),1,1-INDEX('Lease Cycles'!$DD$10:$DJ$10,1,CS44))*((1-'Lease Cycles'!$AJ$10)*INDEX('Lease Cycles'!$FO$10:$FU$10,1,CS44)+(1-'Lease Cycles'!$BE$10)*(1-INDEX('Lease Cycles'!$FO$10:$FU$10,1,CS44)))),0)</f>
        <v>0.10050251256281408</v>
      </c>
      <c r="CT52" s="24">
        <f>IF(CT46=1,'Lease Cycles'!$D$10*IF(INDEX('Lease Cycles'!$EF$10:$EL$10,1,CT44)=1,(1-'Lease Cycles'!$AJ$10)*INDEX('Lease Cycles'!$EM$10:$ES$10,1,CT44)+(1-'Lease Cycles'!$BE$10)*IF(CT45&lt;INDEX('Lease Cycles'!$FA$10:$FG$10,1,CT44),0,1-INDEX('Lease Cycles'!$EM$10:$ES$10,1,CT44)),IF(OR(INDEX('Lease Cycles'!$DY$10:$EE$10,1,CT44)=1,CT45&gt;0),1,1-INDEX('Lease Cycles'!$DD$10:$DJ$10,1,CT44))*((1-'Lease Cycles'!$AJ$10)*INDEX('Lease Cycles'!$FO$10:$FU$10,1,CT44)+(1-'Lease Cycles'!$BE$10)*(1-INDEX('Lease Cycles'!$FO$10:$FU$10,1,CT44)))),0)</f>
        <v>0.10050251256281408</v>
      </c>
      <c r="CU52" s="24">
        <f>IF(CU46=1,'Lease Cycles'!$D$10*IF(INDEX('Lease Cycles'!$EF$10:$EL$10,1,CU44)=1,(1-'Lease Cycles'!$AJ$10)*INDEX('Lease Cycles'!$EM$10:$ES$10,1,CU44)+(1-'Lease Cycles'!$BE$10)*IF(CU45&lt;INDEX('Lease Cycles'!$FA$10:$FG$10,1,CU44),0,1-INDEX('Lease Cycles'!$EM$10:$ES$10,1,CU44)),IF(OR(INDEX('Lease Cycles'!$DY$10:$EE$10,1,CU44)=1,CU45&gt;0),1,1-INDEX('Lease Cycles'!$DD$10:$DJ$10,1,CU44))*((1-'Lease Cycles'!$AJ$10)*INDEX('Lease Cycles'!$FO$10:$FU$10,1,CU44)+(1-'Lease Cycles'!$BE$10)*(1-INDEX('Lease Cycles'!$FO$10:$FU$10,1,CU44)))),0)</f>
        <v>0.10050251256281408</v>
      </c>
      <c r="CV52" s="24">
        <f>IF(CV46=1,'Lease Cycles'!$D$10*IF(INDEX('Lease Cycles'!$EF$10:$EL$10,1,CV44)=1,(1-'Lease Cycles'!$AJ$10)*INDEX('Lease Cycles'!$EM$10:$ES$10,1,CV44)+(1-'Lease Cycles'!$BE$10)*IF(CV45&lt;INDEX('Lease Cycles'!$FA$10:$FG$10,1,CV44),0,1-INDEX('Lease Cycles'!$EM$10:$ES$10,1,CV44)),IF(OR(INDEX('Lease Cycles'!$DY$10:$EE$10,1,CV44)=1,CV45&gt;0),1,1-INDEX('Lease Cycles'!$DD$10:$DJ$10,1,CV44))*((1-'Lease Cycles'!$AJ$10)*INDEX('Lease Cycles'!$FO$10:$FU$10,1,CV44)+(1-'Lease Cycles'!$BE$10)*(1-INDEX('Lease Cycles'!$FO$10:$FU$10,1,CV44)))),0)</f>
        <v>0.10050251256281408</v>
      </c>
      <c r="CW52" s="24">
        <f>IF(CW46=1,'Lease Cycles'!$D$10*IF(INDEX('Lease Cycles'!$EF$10:$EL$10,1,CW44)=1,(1-'Lease Cycles'!$AJ$10)*INDEX('Lease Cycles'!$EM$10:$ES$10,1,CW44)+(1-'Lease Cycles'!$BE$10)*IF(CW45&lt;INDEX('Lease Cycles'!$FA$10:$FG$10,1,CW44),0,1-INDEX('Lease Cycles'!$EM$10:$ES$10,1,CW44)),IF(OR(INDEX('Lease Cycles'!$DY$10:$EE$10,1,CW44)=1,CW45&gt;0),1,1-INDEX('Lease Cycles'!$DD$10:$DJ$10,1,CW44))*((1-'Lease Cycles'!$AJ$10)*INDEX('Lease Cycles'!$FO$10:$FU$10,1,CW44)+(1-'Lease Cycles'!$BE$10)*(1-INDEX('Lease Cycles'!$FO$10:$FU$10,1,CW44)))),0)</f>
        <v>0.10050251256281408</v>
      </c>
      <c r="CX52" s="24">
        <f>IF(CX46=1,'Lease Cycles'!$D$10*IF(INDEX('Lease Cycles'!$EF$10:$EL$10,1,CX44)=1,(1-'Lease Cycles'!$AJ$10)*INDEX('Lease Cycles'!$EM$10:$ES$10,1,CX44)+(1-'Lease Cycles'!$BE$10)*IF(CX45&lt;INDEX('Lease Cycles'!$FA$10:$FG$10,1,CX44),0,1-INDEX('Lease Cycles'!$EM$10:$ES$10,1,CX44)),IF(OR(INDEX('Lease Cycles'!$DY$10:$EE$10,1,CX44)=1,CX45&gt;0),1,1-INDEX('Lease Cycles'!$DD$10:$DJ$10,1,CX44))*((1-'Lease Cycles'!$AJ$10)*INDEX('Lease Cycles'!$FO$10:$FU$10,1,CX44)+(1-'Lease Cycles'!$BE$10)*(1-INDEX('Lease Cycles'!$FO$10:$FU$10,1,CX44)))),0)</f>
        <v>0.10050251256281408</v>
      </c>
      <c r="CY52" s="24">
        <f>IF(CY46=1,'Lease Cycles'!$D$10*IF(INDEX('Lease Cycles'!$EF$10:$EL$10,1,CY44)=1,(1-'Lease Cycles'!$AJ$10)*INDEX('Lease Cycles'!$EM$10:$ES$10,1,CY44)+(1-'Lease Cycles'!$BE$10)*IF(CY45&lt;INDEX('Lease Cycles'!$FA$10:$FG$10,1,CY44),0,1-INDEX('Lease Cycles'!$EM$10:$ES$10,1,CY44)),IF(OR(INDEX('Lease Cycles'!$DY$10:$EE$10,1,CY44)=1,CY45&gt;0),1,1-INDEX('Lease Cycles'!$DD$10:$DJ$10,1,CY44))*((1-'Lease Cycles'!$AJ$10)*INDEX('Lease Cycles'!$FO$10:$FU$10,1,CY44)+(1-'Lease Cycles'!$BE$10)*(1-INDEX('Lease Cycles'!$FO$10:$FU$10,1,CY44)))),0)</f>
        <v>0.10050251256281408</v>
      </c>
      <c r="CZ52" s="24">
        <f>IF(CZ46=1,'Lease Cycles'!$D$10*IF(INDEX('Lease Cycles'!$EF$10:$EL$10,1,CZ44)=1,(1-'Lease Cycles'!$AJ$10)*INDEX('Lease Cycles'!$EM$10:$ES$10,1,CZ44)+(1-'Lease Cycles'!$BE$10)*IF(CZ45&lt;INDEX('Lease Cycles'!$FA$10:$FG$10,1,CZ44),0,1-INDEX('Lease Cycles'!$EM$10:$ES$10,1,CZ44)),IF(OR(INDEX('Lease Cycles'!$DY$10:$EE$10,1,CZ44)=1,CZ45&gt;0),1,1-INDEX('Lease Cycles'!$DD$10:$DJ$10,1,CZ44))*((1-'Lease Cycles'!$AJ$10)*INDEX('Lease Cycles'!$FO$10:$FU$10,1,CZ44)+(1-'Lease Cycles'!$BE$10)*(1-INDEX('Lease Cycles'!$FO$10:$FU$10,1,CZ44)))),0)</f>
        <v>0.10050251256281408</v>
      </c>
      <c r="DA52" s="24">
        <f>IF(DA46=1,'Lease Cycles'!$D$10*IF(INDEX('Lease Cycles'!$EF$10:$EL$10,1,DA44)=1,(1-'Lease Cycles'!$AJ$10)*INDEX('Lease Cycles'!$EM$10:$ES$10,1,DA44)+(1-'Lease Cycles'!$BE$10)*IF(DA45&lt;INDEX('Lease Cycles'!$FA$10:$FG$10,1,DA44),0,1-INDEX('Lease Cycles'!$EM$10:$ES$10,1,DA44)),IF(OR(INDEX('Lease Cycles'!$DY$10:$EE$10,1,DA44)=1,DA45&gt;0),1,1-INDEX('Lease Cycles'!$DD$10:$DJ$10,1,DA44))*((1-'Lease Cycles'!$AJ$10)*INDEX('Lease Cycles'!$FO$10:$FU$10,1,DA44)+(1-'Lease Cycles'!$BE$10)*(1-INDEX('Lease Cycles'!$FO$10:$FU$10,1,DA44)))),0)</f>
        <v>0.10050251256281408</v>
      </c>
      <c r="DB52" s="24">
        <f>IF(DB46=1,'Lease Cycles'!$D$10*IF(INDEX('Lease Cycles'!$EF$10:$EL$10,1,DB44)=1,(1-'Lease Cycles'!$AJ$10)*INDEX('Lease Cycles'!$EM$10:$ES$10,1,DB44)+(1-'Lease Cycles'!$BE$10)*IF(DB45&lt;INDEX('Lease Cycles'!$FA$10:$FG$10,1,DB44),0,1-INDEX('Lease Cycles'!$EM$10:$ES$10,1,DB44)),IF(OR(INDEX('Lease Cycles'!$DY$10:$EE$10,1,DB44)=1,DB45&gt;0),1,1-INDEX('Lease Cycles'!$DD$10:$DJ$10,1,DB44))*((1-'Lease Cycles'!$AJ$10)*INDEX('Lease Cycles'!$FO$10:$FU$10,1,DB44)+(1-'Lease Cycles'!$BE$10)*(1-INDEX('Lease Cycles'!$FO$10:$FU$10,1,DB44)))),0)</f>
        <v>0.10050251256281408</v>
      </c>
      <c r="DC52" s="24">
        <f>IF(DC46=1,'Lease Cycles'!$D$10*IF(INDEX('Lease Cycles'!$EF$10:$EL$10,1,DC44)=1,(1-'Lease Cycles'!$AJ$10)*INDEX('Lease Cycles'!$EM$10:$ES$10,1,DC44)+(1-'Lease Cycles'!$BE$10)*IF(DC45&lt;INDEX('Lease Cycles'!$FA$10:$FG$10,1,DC44),0,1-INDEX('Lease Cycles'!$EM$10:$ES$10,1,DC44)),IF(OR(INDEX('Lease Cycles'!$DY$10:$EE$10,1,DC44)=1,DC45&gt;0),1,1-INDEX('Lease Cycles'!$DD$10:$DJ$10,1,DC44))*((1-'Lease Cycles'!$AJ$10)*INDEX('Lease Cycles'!$FO$10:$FU$10,1,DC44)+(1-'Lease Cycles'!$BE$10)*(1-INDEX('Lease Cycles'!$FO$10:$FU$10,1,DC44)))),0)</f>
        <v>0.10050251256281408</v>
      </c>
      <c r="DD52" s="24">
        <f>IF(DD46=1,'Lease Cycles'!$D$10*IF(INDEX('Lease Cycles'!$EF$10:$EL$10,1,DD44)=1,(1-'Lease Cycles'!$AJ$10)*INDEX('Lease Cycles'!$EM$10:$ES$10,1,DD44)+(1-'Lease Cycles'!$BE$10)*IF(DD45&lt;INDEX('Lease Cycles'!$FA$10:$FG$10,1,DD44),0,1-INDEX('Lease Cycles'!$EM$10:$ES$10,1,DD44)),IF(OR(INDEX('Lease Cycles'!$DY$10:$EE$10,1,DD44)=1,DD45&gt;0),1,1-INDEX('Lease Cycles'!$DD$10:$DJ$10,1,DD44))*((1-'Lease Cycles'!$AJ$10)*INDEX('Lease Cycles'!$FO$10:$FU$10,1,DD44)+(1-'Lease Cycles'!$BE$10)*(1-INDEX('Lease Cycles'!$FO$10:$FU$10,1,DD44)))),0)</f>
        <v>0.10050251256281408</v>
      </c>
      <c r="DE52" s="24">
        <f>IF(DE46=1,'Lease Cycles'!$D$10*IF(INDEX('Lease Cycles'!$EF$10:$EL$10,1,DE44)=1,(1-'Lease Cycles'!$AJ$10)*INDEX('Lease Cycles'!$EM$10:$ES$10,1,DE44)+(1-'Lease Cycles'!$BE$10)*IF(DE45&lt;INDEX('Lease Cycles'!$FA$10:$FG$10,1,DE44),0,1-INDEX('Lease Cycles'!$EM$10:$ES$10,1,DE44)),IF(OR(INDEX('Lease Cycles'!$DY$10:$EE$10,1,DE44)=1,DE45&gt;0),1,1-INDEX('Lease Cycles'!$DD$10:$DJ$10,1,DE44))*((1-'Lease Cycles'!$AJ$10)*INDEX('Lease Cycles'!$FO$10:$FU$10,1,DE44)+(1-'Lease Cycles'!$BE$10)*(1-INDEX('Lease Cycles'!$FO$10:$FU$10,1,DE44)))),0)</f>
        <v>0.10050251256281408</v>
      </c>
      <c r="DF52" s="24">
        <f>IF(DF46=1,'Lease Cycles'!$D$10*IF(INDEX('Lease Cycles'!$EF$10:$EL$10,1,DF44)=1,(1-'Lease Cycles'!$AJ$10)*INDEX('Lease Cycles'!$EM$10:$ES$10,1,DF44)+(1-'Lease Cycles'!$BE$10)*IF(DF45&lt;INDEX('Lease Cycles'!$FA$10:$FG$10,1,DF44),0,1-INDEX('Lease Cycles'!$EM$10:$ES$10,1,DF44)),IF(OR(INDEX('Lease Cycles'!$DY$10:$EE$10,1,DF44)=1,DF45&gt;0),1,1-INDEX('Lease Cycles'!$DD$10:$DJ$10,1,DF44))*((1-'Lease Cycles'!$AJ$10)*INDEX('Lease Cycles'!$FO$10:$FU$10,1,DF44)+(1-'Lease Cycles'!$BE$10)*(1-INDEX('Lease Cycles'!$FO$10:$FU$10,1,DF44)))),0)</f>
        <v>0.10050251256281408</v>
      </c>
      <c r="DG52" s="24">
        <f>IF(DG46=1,'Lease Cycles'!$D$10*IF(INDEX('Lease Cycles'!$EF$10:$EL$10,1,DG44)=1,(1-'Lease Cycles'!$AJ$10)*INDEX('Lease Cycles'!$EM$10:$ES$10,1,DG44)+(1-'Lease Cycles'!$BE$10)*IF(DG45&lt;INDEX('Lease Cycles'!$FA$10:$FG$10,1,DG44),0,1-INDEX('Lease Cycles'!$EM$10:$ES$10,1,DG44)),IF(OR(INDEX('Lease Cycles'!$DY$10:$EE$10,1,DG44)=1,DG45&gt;0),1,1-INDEX('Lease Cycles'!$DD$10:$DJ$10,1,DG44))*((1-'Lease Cycles'!$AJ$10)*INDEX('Lease Cycles'!$FO$10:$FU$10,1,DG44)+(1-'Lease Cycles'!$BE$10)*(1-INDEX('Lease Cycles'!$FO$10:$FU$10,1,DG44)))),0)</f>
        <v>0.10050251256281408</v>
      </c>
      <c r="DH52" s="24">
        <f>IF(DH46=1,'Lease Cycles'!$D$10*IF(INDEX('Lease Cycles'!$EF$10:$EL$10,1,DH44)=1,(1-'Lease Cycles'!$AJ$10)*INDEX('Lease Cycles'!$EM$10:$ES$10,1,DH44)+(1-'Lease Cycles'!$BE$10)*IF(DH45&lt;INDEX('Lease Cycles'!$FA$10:$FG$10,1,DH44),0,1-INDEX('Lease Cycles'!$EM$10:$ES$10,1,DH44)),IF(OR(INDEX('Lease Cycles'!$DY$10:$EE$10,1,DH44)=1,DH45&gt;0),1,1-INDEX('Lease Cycles'!$DD$10:$DJ$10,1,DH44))*((1-'Lease Cycles'!$AJ$10)*INDEX('Lease Cycles'!$FO$10:$FU$10,1,DH44)+(1-'Lease Cycles'!$BE$10)*(1-INDEX('Lease Cycles'!$FO$10:$FU$10,1,DH44)))),0)</f>
        <v>0.10050251256281408</v>
      </c>
      <c r="DI52" s="24">
        <f>IF(DI46=1,'Lease Cycles'!$D$10*IF(INDEX('Lease Cycles'!$EF$10:$EL$10,1,DI44)=1,(1-'Lease Cycles'!$AJ$10)*INDEX('Lease Cycles'!$EM$10:$ES$10,1,DI44)+(1-'Lease Cycles'!$BE$10)*IF(DI45&lt;INDEX('Lease Cycles'!$FA$10:$FG$10,1,DI44),0,1-INDEX('Lease Cycles'!$EM$10:$ES$10,1,DI44)),IF(OR(INDEX('Lease Cycles'!$DY$10:$EE$10,1,DI44)=1,DI45&gt;0),1,1-INDEX('Lease Cycles'!$DD$10:$DJ$10,1,DI44))*((1-'Lease Cycles'!$AJ$10)*INDEX('Lease Cycles'!$FO$10:$FU$10,1,DI44)+(1-'Lease Cycles'!$BE$10)*(1-INDEX('Lease Cycles'!$FO$10:$FU$10,1,DI44)))),0)</f>
        <v>0.10050251256281408</v>
      </c>
      <c r="DJ52" s="24">
        <f>IF(DJ46=1,'Lease Cycles'!$D$10*IF(INDEX('Lease Cycles'!$EF$10:$EL$10,1,DJ44)=1,(1-'Lease Cycles'!$AJ$10)*INDEX('Lease Cycles'!$EM$10:$ES$10,1,DJ44)+(1-'Lease Cycles'!$BE$10)*IF(DJ45&lt;INDEX('Lease Cycles'!$FA$10:$FG$10,1,DJ44),0,1-INDEX('Lease Cycles'!$EM$10:$ES$10,1,DJ44)),IF(OR(INDEX('Lease Cycles'!$DY$10:$EE$10,1,DJ44)=1,DJ45&gt;0),1,1-INDEX('Lease Cycles'!$DD$10:$DJ$10,1,DJ44))*((1-'Lease Cycles'!$AJ$10)*INDEX('Lease Cycles'!$FO$10:$FU$10,1,DJ44)+(1-'Lease Cycles'!$BE$10)*(1-INDEX('Lease Cycles'!$FO$10:$FU$10,1,DJ44)))),0)</f>
        <v>0.10050251256281408</v>
      </c>
      <c r="DK52" s="24">
        <f>IF(DK46=1,'Lease Cycles'!$D$10*IF(INDEX('Lease Cycles'!$EF$10:$EL$10,1,DK44)=1,(1-'Lease Cycles'!$AJ$10)*INDEX('Lease Cycles'!$EM$10:$ES$10,1,DK44)+(1-'Lease Cycles'!$BE$10)*IF(DK45&lt;INDEX('Lease Cycles'!$FA$10:$FG$10,1,DK44),0,1-INDEX('Lease Cycles'!$EM$10:$ES$10,1,DK44)),IF(OR(INDEX('Lease Cycles'!$DY$10:$EE$10,1,DK44)=1,DK45&gt;0),1,1-INDEX('Lease Cycles'!$DD$10:$DJ$10,1,DK44))*((1-'Lease Cycles'!$AJ$10)*INDEX('Lease Cycles'!$FO$10:$FU$10,1,DK44)+(1-'Lease Cycles'!$BE$10)*(1-INDEX('Lease Cycles'!$FO$10:$FU$10,1,DK44)))),0)</f>
        <v>0.10050251256281408</v>
      </c>
      <c r="DL52" s="24">
        <f>IF(DL46=1,'Lease Cycles'!$D$10*IF(INDEX('Lease Cycles'!$EF$10:$EL$10,1,DL44)=1,(1-'Lease Cycles'!$AJ$10)*INDEX('Lease Cycles'!$EM$10:$ES$10,1,DL44)+(1-'Lease Cycles'!$BE$10)*IF(DL45&lt;INDEX('Lease Cycles'!$FA$10:$FG$10,1,DL44),0,1-INDEX('Lease Cycles'!$EM$10:$ES$10,1,DL44)),IF(OR(INDEX('Lease Cycles'!$DY$10:$EE$10,1,DL44)=1,DL45&gt;0),1,1-INDEX('Lease Cycles'!$DD$10:$DJ$10,1,DL44))*((1-'Lease Cycles'!$AJ$10)*INDEX('Lease Cycles'!$FO$10:$FU$10,1,DL44)+(1-'Lease Cycles'!$BE$10)*(1-INDEX('Lease Cycles'!$FO$10:$FU$10,1,DL44)))),0)</f>
        <v>0.10050251256281408</v>
      </c>
      <c r="DM52" s="24">
        <f>IF(DM46=1,'Lease Cycles'!$D$10*IF(INDEX('Lease Cycles'!$EF$10:$EL$10,1,DM44)=1,(1-'Lease Cycles'!$AJ$10)*INDEX('Lease Cycles'!$EM$10:$ES$10,1,DM44)+(1-'Lease Cycles'!$BE$10)*IF(DM45&lt;INDEX('Lease Cycles'!$FA$10:$FG$10,1,DM44),0,1-INDEX('Lease Cycles'!$EM$10:$ES$10,1,DM44)),IF(OR(INDEX('Lease Cycles'!$DY$10:$EE$10,1,DM44)=1,DM45&gt;0),1,1-INDEX('Lease Cycles'!$DD$10:$DJ$10,1,DM44))*((1-'Lease Cycles'!$AJ$10)*INDEX('Lease Cycles'!$FO$10:$FU$10,1,DM44)+(1-'Lease Cycles'!$BE$10)*(1-INDEX('Lease Cycles'!$FO$10:$FU$10,1,DM44)))),0)</f>
        <v>0.10050251256281408</v>
      </c>
      <c r="DN52" s="24">
        <f>IF(DN46=1,'Lease Cycles'!$D$10*IF(INDEX('Lease Cycles'!$EF$10:$EL$10,1,DN44)=1,(1-'Lease Cycles'!$AJ$10)*INDEX('Lease Cycles'!$EM$10:$ES$10,1,DN44)+(1-'Lease Cycles'!$BE$10)*IF(DN45&lt;INDEX('Lease Cycles'!$FA$10:$FG$10,1,DN44),0,1-INDEX('Lease Cycles'!$EM$10:$ES$10,1,DN44)),IF(OR(INDEX('Lease Cycles'!$DY$10:$EE$10,1,DN44)=1,DN45&gt;0),1,1-INDEX('Lease Cycles'!$DD$10:$DJ$10,1,DN44))*((1-'Lease Cycles'!$AJ$10)*INDEX('Lease Cycles'!$FO$10:$FU$10,1,DN44)+(1-'Lease Cycles'!$BE$10)*(1-INDEX('Lease Cycles'!$FO$10:$FU$10,1,DN44)))),0)</f>
        <v>0.10050251256281408</v>
      </c>
      <c r="DO52" s="24">
        <f>IF(DO46=1,'Lease Cycles'!$D$10*IF(INDEX('Lease Cycles'!$EF$10:$EL$10,1,DO44)=1,(1-'Lease Cycles'!$AJ$10)*INDEX('Lease Cycles'!$EM$10:$ES$10,1,DO44)+(1-'Lease Cycles'!$BE$10)*IF(DO45&lt;INDEX('Lease Cycles'!$FA$10:$FG$10,1,DO44),0,1-INDEX('Lease Cycles'!$EM$10:$ES$10,1,DO44)),IF(OR(INDEX('Lease Cycles'!$DY$10:$EE$10,1,DO44)=1,DO45&gt;0),1,1-INDEX('Lease Cycles'!$DD$10:$DJ$10,1,DO44))*((1-'Lease Cycles'!$AJ$10)*INDEX('Lease Cycles'!$FO$10:$FU$10,1,DO44)+(1-'Lease Cycles'!$BE$10)*(1-INDEX('Lease Cycles'!$FO$10:$FU$10,1,DO44)))),0)</f>
        <v>0.10050251256281408</v>
      </c>
      <c r="DP52" s="24">
        <f>IF(DP46=1,'Lease Cycles'!$D$10*IF(INDEX('Lease Cycles'!$EF$10:$EL$10,1,DP44)=1,(1-'Lease Cycles'!$AJ$10)*INDEX('Lease Cycles'!$EM$10:$ES$10,1,DP44)+(1-'Lease Cycles'!$BE$10)*IF(DP45&lt;INDEX('Lease Cycles'!$FA$10:$FG$10,1,DP44),0,1-INDEX('Lease Cycles'!$EM$10:$ES$10,1,DP44)),IF(OR(INDEX('Lease Cycles'!$DY$10:$EE$10,1,DP44)=1,DP45&gt;0),1,1-INDEX('Lease Cycles'!$DD$10:$DJ$10,1,DP44))*((1-'Lease Cycles'!$AJ$10)*INDEX('Lease Cycles'!$FO$10:$FU$10,1,DP44)+(1-'Lease Cycles'!$BE$10)*(1-INDEX('Lease Cycles'!$FO$10:$FU$10,1,DP44)))),0)</f>
        <v>0.10050251256281408</v>
      </c>
      <c r="DQ52" s="24">
        <f>IF(DQ46=1,'Lease Cycles'!$D$10*IF(INDEX('Lease Cycles'!$EF$10:$EL$10,1,DQ44)=1,(1-'Lease Cycles'!$AJ$10)*INDEX('Lease Cycles'!$EM$10:$ES$10,1,DQ44)+(1-'Lease Cycles'!$BE$10)*IF(DQ45&lt;INDEX('Lease Cycles'!$FA$10:$FG$10,1,DQ44),0,1-INDEX('Lease Cycles'!$EM$10:$ES$10,1,DQ44)),IF(OR(INDEX('Lease Cycles'!$DY$10:$EE$10,1,DQ44)=1,DQ45&gt;0),1,1-INDEX('Lease Cycles'!$DD$10:$DJ$10,1,DQ44))*((1-'Lease Cycles'!$AJ$10)*INDEX('Lease Cycles'!$FO$10:$FU$10,1,DQ44)+(1-'Lease Cycles'!$BE$10)*(1-INDEX('Lease Cycles'!$FO$10:$FU$10,1,DQ44)))),0)</f>
        <v>0.10050251256281408</v>
      </c>
      <c r="DR52" s="24">
        <f>IF(DR46=1,'Lease Cycles'!$D$10*IF(INDEX('Lease Cycles'!$EF$10:$EL$10,1,DR44)=1,(1-'Lease Cycles'!$AJ$10)*INDEX('Lease Cycles'!$EM$10:$ES$10,1,DR44)+(1-'Lease Cycles'!$BE$10)*IF(DR45&lt;INDEX('Lease Cycles'!$FA$10:$FG$10,1,DR44),0,1-INDEX('Lease Cycles'!$EM$10:$ES$10,1,DR44)),IF(OR(INDEX('Lease Cycles'!$DY$10:$EE$10,1,DR44)=1,DR45&gt;0),1,1-INDEX('Lease Cycles'!$DD$10:$DJ$10,1,DR44))*((1-'Lease Cycles'!$AJ$10)*INDEX('Lease Cycles'!$FO$10:$FU$10,1,DR44)+(1-'Lease Cycles'!$BE$10)*(1-INDEX('Lease Cycles'!$FO$10:$FU$10,1,DR44)))),0)</f>
        <v>0.10050251256281408</v>
      </c>
      <c r="DS52" s="24">
        <f>IF(DS46=1,'Lease Cycles'!$D$10*IF(INDEX('Lease Cycles'!$EF$10:$EL$10,1,DS44)=1,(1-'Lease Cycles'!$AJ$10)*INDEX('Lease Cycles'!$EM$10:$ES$10,1,DS44)+(1-'Lease Cycles'!$BE$10)*IF(DS45&lt;INDEX('Lease Cycles'!$FA$10:$FG$10,1,DS44),0,1-INDEX('Lease Cycles'!$EM$10:$ES$10,1,DS44)),IF(OR(INDEX('Lease Cycles'!$DY$10:$EE$10,1,DS44)=1,DS45&gt;0),1,1-INDEX('Lease Cycles'!$DD$10:$DJ$10,1,DS44))*((1-'Lease Cycles'!$AJ$10)*INDEX('Lease Cycles'!$FO$10:$FU$10,1,DS44)+(1-'Lease Cycles'!$BE$10)*(1-INDEX('Lease Cycles'!$FO$10:$FU$10,1,DS44)))),0)</f>
        <v>0.10050251256281408</v>
      </c>
      <c r="DT52" s="24">
        <f>IF(DT46=1,'Lease Cycles'!$D$10*IF(INDEX('Lease Cycles'!$EF$10:$EL$10,1,DT44)=1,(1-'Lease Cycles'!$AJ$10)*INDEX('Lease Cycles'!$EM$10:$ES$10,1,DT44)+(1-'Lease Cycles'!$BE$10)*IF(DT45&lt;INDEX('Lease Cycles'!$FA$10:$FG$10,1,DT44),0,1-INDEX('Lease Cycles'!$EM$10:$ES$10,1,DT44)),IF(OR(INDEX('Lease Cycles'!$DY$10:$EE$10,1,DT44)=1,DT45&gt;0),1,1-INDEX('Lease Cycles'!$DD$10:$DJ$10,1,DT44))*((1-'Lease Cycles'!$AJ$10)*INDEX('Lease Cycles'!$FO$10:$FU$10,1,DT44)+(1-'Lease Cycles'!$BE$10)*(1-INDEX('Lease Cycles'!$FO$10:$FU$10,1,DT44)))),0)</f>
        <v>0.10050251256281408</v>
      </c>
      <c r="DU52" s="24">
        <f>IF(DU46=1,'Lease Cycles'!$D$10*IF(INDEX('Lease Cycles'!$EF$10:$EL$10,1,DU44)=1,(1-'Lease Cycles'!$AJ$10)*INDEX('Lease Cycles'!$EM$10:$ES$10,1,DU44)+(1-'Lease Cycles'!$BE$10)*IF(DU45&lt;INDEX('Lease Cycles'!$FA$10:$FG$10,1,DU44),0,1-INDEX('Lease Cycles'!$EM$10:$ES$10,1,DU44)),IF(OR(INDEX('Lease Cycles'!$DY$10:$EE$10,1,DU44)=1,DU45&gt;0),1,1-INDEX('Lease Cycles'!$DD$10:$DJ$10,1,DU44))*((1-'Lease Cycles'!$AJ$10)*INDEX('Lease Cycles'!$FO$10:$FU$10,1,DU44)+(1-'Lease Cycles'!$BE$10)*(1-INDEX('Lease Cycles'!$FO$10:$FU$10,1,DU44)))),0)</f>
        <v>0.10050251256281408</v>
      </c>
      <c r="DV52" s="24">
        <f>IF(DV46=1,'Lease Cycles'!$D$10*IF(INDEX('Lease Cycles'!$EF$10:$EL$10,1,DV44)=1,(1-'Lease Cycles'!$AJ$10)*INDEX('Lease Cycles'!$EM$10:$ES$10,1,DV44)+(1-'Lease Cycles'!$BE$10)*IF(DV45&lt;INDEX('Lease Cycles'!$FA$10:$FG$10,1,DV44),0,1-INDEX('Lease Cycles'!$EM$10:$ES$10,1,DV44)),IF(OR(INDEX('Lease Cycles'!$DY$10:$EE$10,1,DV44)=1,DV45&gt;0),1,1-INDEX('Lease Cycles'!$DD$10:$DJ$10,1,DV44))*((1-'Lease Cycles'!$AJ$10)*INDEX('Lease Cycles'!$FO$10:$FU$10,1,DV44)+(1-'Lease Cycles'!$BE$10)*(1-INDEX('Lease Cycles'!$FO$10:$FU$10,1,DV44)))),0)</f>
        <v>0.10050251256281408</v>
      </c>
      <c r="DW52" s="24">
        <f>IF(DW46=1,'Lease Cycles'!$D$10*IF(INDEX('Lease Cycles'!$EF$10:$EL$10,1,DW44)=1,(1-'Lease Cycles'!$AJ$10)*INDEX('Lease Cycles'!$EM$10:$ES$10,1,DW44)+(1-'Lease Cycles'!$BE$10)*IF(DW45&lt;INDEX('Lease Cycles'!$FA$10:$FG$10,1,DW44),0,1-INDEX('Lease Cycles'!$EM$10:$ES$10,1,DW44)),IF(OR(INDEX('Lease Cycles'!$DY$10:$EE$10,1,DW44)=1,DW45&gt;0),1,1-INDEX('Lease Cycles'!$DD$10:$DJ$10,1,DW44))*((1-'Lease Cycles'!$AJ$10)*INDEX('Lease Cycles'!$FO$10:$FU$10,1,DW44)+(1-'Lease Cycles'!$BE$10)*(1-INDEX('Lease Cycles'!$FO$10:$FU$10,1,DW44)))),0)</f>
        <v>0.10050251256281408</v>
      </c>
      <c r="DX52" s="24">
        <f>IF(DX46=1,'Lease Cycles'!$D$10*IF(INDEX('Lease Cycles'!$EF$10:$EL$10,1,DX44)=1,(1-'Lease Cycles'!$AJ$10)*INDEX('Lease Cycles'!$EM$10:$ES$10,1,DX44)+(1-'Lease Cycles'!$BE$10)*IF(DX45&lt;INDEX('Lease Cycles'!$FA$10:$FG$10,1,DX44),0,1-INDEX('Lease Cycles'!$EM$10:$ES$10,1,DX44)),IF(OR(INDEX('Lease Cycles'!$DY$10:$EE$10,1,DX44)=1,DX45&gt;0),1,1-INDEX('Lease Cycles'!$DD$10:$DJ$10,1,DX44))*((1-'Lease Cycles'!$AJ$10)*INDEX('Lease Cycles'!$FO$10:$FU$10,1,DX44)+(1-'Lease Cycles'!$BE$10)*(1-INDEX('Lease Cycles'!$FO$10:$FU$10,1,DX44)))),0)</f>
        <v>0.10050251256281408</v>
      </c>
      <c r="DY52" s="24">
        <f>IF(DY46=1,'Lease Cycles'!$D$10*IF(INDEX('Lease Cycles'!$EF$10:$EL$10,1,DY44)=1,(1-'Lease Cycles'!$AJ$10)*INDEX('Lease Cycles'!$EM$10:$ES$10,1,DY44)+(1-'Lease Cycles'!$BE$10)*IF(DY45&lt;INDEX('Lease Cycles'!$FA$10:$FG$10,1,DY44),0,1-INDEX('Lease Cycles'!$EM$10:$ES$10,1,DY44)),IF(OR(INDEX('Lease Cycles'!$DY$10:$EE$10,1,DY44)=1,DY45&gt;0),1,1-INDEX('Lease Cycles'!$DD$10:$DJ$10,1,DY44))*((1-'Lease Cycles'!$AJ$10)*INDEX('Lease Cycles'!$FO$10:$FU$10,1,DY44)+(1-'Lease Cycles'!$BE$10)*(1-INDEX('Lease Cycles'!$FO$10:$FU$10,1,DY44)))),0)</f>
        <v>0.10050251256281408</v>
      </c>
      <c r="DZ52" s="24">
        <f>IF(DZ46=1,'Lease Cycles'!$D$10*IF(INDEX('Lease Cycles'!$EF$10:$EL$10,1,DZ44)=1,(1-'Lease Cycles'!$AJ$10)*INDEX('Lease Cycles'!$EM$10:$ES$10,1,DZ44)+(1-'Lease Cycles'!$BE$10)*IF(DZ45&lt;INDEX('Lease Cycles'!$FA$10:$FG$10,1,DZ44),0,1-INDEX('Lease Cycles'!$EM$10:$ES$10,1,DZ44)),IF(OR(INDEX('Lease Cycles'!$DY$10:$EE$10,1,DZ44)=1,DZ45&gt;0),1,1-INDEX('Lease Cycles'!$DD$10:$DJ$10,1,DZ44))*((1-'Lease Cycles'!$AJ$10)*INDEX('Lease Cycles'!$FO$10:$FU$10,1,DZ44)+(1-'Lease Cycles'!$BE$10)*(1-INDEX('Lease Cycles'!$FO$10:$FU$10,1,DZ44)))),0)</f>
        <v>0.10050251256281408</v>
      </c>
      <c r="EA52" s="24">
        <f>IF(EA46=1,'Lease Cycles'!$D$10*IF(INDEX('Lease Cycles'!$EF$10:$EL$10,1,EA44)=1,(1-'Lease Cycles'!$AJ$10)*INDEX('Lease Cycles'!$EM$10:$ES$10,1,EA44)+(1-'Lease Cycles'!$BE$10)*IF(EA45&lt;INDEX('Lease Cycles'!$FA$10:$FG$10,1,EA44),0,1-INDEX('Lease Cycles'!$EM$10:$ES$10,1,EA44)),IF(OR(INDEX('Lease Cycles'!$DY$10:$EE$10,1,EA44)=1,EA45&gt;0),1,1-INDEX('Lease Cycles'!$DD$10:$DJ$10,1,EA44))*((1-'Lease Cycles'!$AJ$10)*INDEX('Lease Cycles'!$FO$10:$FU$10,1,EA44)+(1-'Lease Cycles'!$BE$10)*(1-INDEX('Lease Cycles'!$FO$10:$FU$10,1,EA44)))),0)</f>
        <v>0.10050251256281408</v>
      </c>
      <c r="EB52" s="24">
        <f>IF(EB46=1,'Lease Cycles'!$D$10*IF(INDEX('Lease Cycles'!$EF$10:$EL$10,1,EB44)=1,(1-'Lease Cycles'!$AJ$10)*INDEX('Lease Cycles'!$EM$10:$ES$10,1,EB44)+(1-'Lease Cycles'!$BE$10)*IF(EB45&lt;INDEX('Lease Cycles'!$FA$10:$FG$10,1,EB44),0,1-INDEX('Lease Cycles'!$EM$10:$ES$10,1,EB44)),IF(OR(INDEX('Lease Cycles'!$DY$10:$EE$10,1,EB44)=1,EB45&gt;0),1,1-INDEX('Lease Cycles'!$DD$10:$DJ$10,1,EB44))*((1-'Lease Cycles'!$AJ$10)*INDEX('Lease Cycles'!$FO$10:$FU$10,1,EB44)+(1-'Lease Cycles'!$BE$10)*(1-INDEX('Lease Cycles'!$FO$10:$FU$10,1,EB44)))),0)</f>
        <v>0.10050251256281408</v>
      </c>
      <c r="EC52" s="24">
        <f>IF(EC46=1,'Lease Cycles'!$D$10*IF(INDEX('Lease Cycles'!$EF$10:$EL$10,1,EC44)=1,(1-'Lease Cycles'!$AJ$10)*INDEX('Lease Cycles'!$EM$10:$ES$10,1,EC44)+(1-'Lease Cycles'!$BE$10)*IF(EC45&lt;INDEX('Lease Cycles'!$FA$10:$FG$10,1,EC44),0,1-INDEX('Lease Cycles'!$EM$10:$ES$10,1,EC44)),IF(OR(INDEX('Lease Cycles'!$DY$10:$EE$10,1,EC44)=1,EC45&gt;0),1,1-INDEX('Lease Cycles'!$DD$10:$DJ$10,1,EC44))*((1-'Lease Cycles'!$AJ$10)*INDEX('Lease Cycles'!$FO$10:$FU$10,1,EC44)+(1-'Lease Cycles'!$BE$10)*(1-INDEX('Lease Cycles'!$FO$10:$FU$10,1,EC44)))),0)</f>
        <v>0.10050251256281408</v>
      </c>
      <c r="ED52" s="24">
        <f>IF(ED46=1,'Lease Cycles'!$D$10*IF(INDEX('Lease Cycles'!$EF$10:$EL$10,1,ED44)=1,(1-'Lease Cycles'!$AJ$10)*INDEX('Lease Cycles'!$EM$10:$ES$10,1,ED44)+(1-'Lease Cycles'!$BE$10)*IF(ED45&lt;INDEX('Lease Cycles'!$FA$10:$FG$10,1,ED44),0,1-INDEX('Lease Cycles'!$EM$10:$ES$10,1,ED44)),IF(OR(INDEX('Lease Cycles'!$DY$10:$EE$10,1,ED44)=1,ED45&gt;0),1,1-INDEX('Lease Cycles'!$DD$10:$DJ$10,1,ED44))*((1-'Lease Cycles'!$AJ$10)*INDEX('Lease Cycles'!$FO$10:$FU$10,1,ED44)+(1-'Lease Cycles'!$BE$10)*(1-INDEX('Lease Cycles'!$FO$10:$FU$10,1,ED44)))),0)</f>
        <v>0.10050251256281408</v>
      </c>
      <c r="EE52" s="24">
        <f>IF(EE46=1,'Lease Cycles'!$D$10*IF(INDEX('Lease Cycles'!$EF$10:$EL$10,1,EE44)=1,(1-'Lease Cycles'!$AJ$10)*INDEX('Lease Cycles'!$EM$10:$ES$10,1,EE44)+(1-'Lease Cycles'!$BE$10)*IF(EE45&lt;INDEX('Lease Cycles'!$FA$10:$FG$10,1,EE44),0,1-INDEX('Lease Cycles'!$EM$10:$ES$10,1,EE44)),IF(OR(INDEX('Lease Cycles'!$DY$10:$EE$10,1,EE44)=1,EE45&gt;0),1,1-INDEX('Lease Cycles'!$DD$10:$DJ$10,1,EE44))*((1-'Lease Cycles'!$AJ$10)*INDEX('Lease Cycles'!$FO$10:$FU$10,1,EE44)+(1-'Lease Cycles'!$BE$10)*(1-INDEX('Lease Cycles'!$FO$10:$FU$10,1,EE44)))),0)</f>
        <v>0.10050251256281408</v>
      </c>
      <c r="EF52" s="24">
        <f>IF(EF46=1,'Lease Cycles'!$D$10*IF(INDEX('Lease Cycles'!$EF$10:$EL$10,1,EF44)=1,(1-'Lease Cycles'!$AJ$10)*INDEX('Lease Cycles'!$EM$10:$ES$10,1,EF44)+(1-'Lease Cycles'!$BE$10)*IF(EF45&lt;INDEX('Lease Cycles'!$FA$10:$FG$10,1,EF44),0,1-INDEX('Lease Cycles'!$EM$10:$ES$10,1,EF44)),IF(OR(INDEX('Lease Cycles'!$DY$10:$EE$10,1,EF44)=1,EF45&gt;0),1,1-INDEX('Lease Cycles'!$DD$10:$DJ$10,1,EF44))*((1-'Lease Cycles'!$AJ$10)*INDEX('Lease Cycles'!$FO$10:$FU$10,1,EF44)+(1-'Lease Cycles'!$BE$10)*(1-INDEX('Lease Cycles'!$FO$10:$FU$10,1,EF44)))),0)</f>
        <v>0.10050251256281408</v>
      </c>
      <c r="EG52" s="24">
        <f>IF(EG46=1,'Lease Cycles'!$D$10*IF(INDEX('Lease Cycles'!$EF$10:$EL$10,1,EG44)=1,(1-'Lease Cycles'!$AJ$10)*INDEX('Lease Cycles'!$EM$10:$ES$10,1,EG44)+(1-'Lease Cycles'!$BE$10)*IF(EG45&lt;INDEX('Lease Cycles'!$FA$10:$FG$10,1,EG44),0,1-INDEX('Lease Cycles'!$EM$10:$ES$10,1,EG44)),IF(OR(INDEX('Lease Cycles'!$DY$10:$EE$10,1,EG44)=1,EG45&gt;0),1,1-INDEX('Lease Cycles'!$DD$10:$DJ$10,1,EG44))*((1-'Lease Cycles'!$AJ$10)*INDEX('Lease Cycles'!$FO$10:$FU$10,1,EG44)+(1-'Lease Cycles'!$BE$10)*(1-INDEX('Lease Cycles'!$FO$10:$FU$10,1,EG44)))),0)</f>
        <v>0.10050251256281408</v>
      </c>
      <c r="EH52" s="24">
        <f>IF(EH46=1,'Lease Cycles'!$D$10*IF(INDEX('Lease Cycles'!$EF$10:$EL$10,1,EH44)=1,(1-'Lease Cycles'!$AJ$10)*INDEX('Lease Cycles'!$EM$10:$ES$10,1,EH44)+(1-'Lease Cycles'!$BE$10)*IF(EH45&lt;INDEX('Lease Cycles'!$FA$10:$FG$10,1,EH44),0,1-INDEX('Lease Cycles'!$EM$10:$ES$10,1,EH44)),IF(OR(INDEX('Lease Cycles'!$DY$10:$EE$10,1,EH44)=1,EH45&gt;0),1,1-INDEX('Lease Cycles'!$DD$10:$DJ$10,1,EH44))*((1-'Lease Cycles'!$AJ$10)*INDEX('Lease Cycles'!$FO$10:$FU$10,1,EH44)+(1-'Lease Cycles'!$BE$10)*(1-INDEX('Lease Cycles'!$FO$10:$FU$10,1,EH44)))),0)</f>
        <v>0.10050251256281408</v>
      </c>
      <c r="EI52" s="24">
        <f>IF(EI46=1,'Lease Cycles'!$D$10*IF(INDEX('Lease Cycles'!$EF$10:$EL$10,1,EI44)=1,(1-'Lease Cycles'!$AJ$10)*INDEX('Lease Cycles'!$EM$10:$ES$10,1,EI44)+(1-'Lease Cycles'!$BE$10)*IF(EI45&lt;INDEX('Lease Cycles'!$FA$10:$FG$10,1,EI44),0,1-INDEX('Lease Cycles'!$EM$10:$ES$10,1,EI44)),IF(OR(INDEX('Lease Cycles'!$DY$10:$EE$10,1,EI44)=1,EI45&gt;0),1,1-INDEX('Lease Cycles'!$DD$10:$DJ$10,1,EI44))*((1-'Lease Cycles'!$AJ$10)*INDEX('Lease Cycles'!$FO$10:$FU$10,1,EI44)+(1-'Lease Cycles'!$BE$10)*(1-INDEX('Lease Cycles'!$FO$10:$FU$10,1,EI44)))),0)</f>
        <v>0.10050251256281408</v>
      </c>
      <c r="EJ52" s="24">
        <f>IF(EJ46=1,'Lease Cycles'!$D$10*IF(INDEX('Lease Cycles'!$EF$10:$EL$10,1,EJ44)=1,(1-'Lease Cycles'!$AJ$10)*INDEX('Lease Cycles'!$EM$10:$ES$10,1,EJ44)+(1-'Lease Cycles'!$BE$10)*IF(EJ45&lt;INDEX('Lease Cycles'!$FA$10:$FG$10,1,EJ44),0,1-INDEX('Lease Cycles'!$EM$10:$ES$10,1,EJ44)),IF(OR(INDEX('Lease Cycles'!$DY$10:$EE$10,1,EJ44)=1,EJ45&gt;0),1,1-INDEX('Lease Cycles'!$DD$10:$DJ$10,1,EJ44))*((1-'Lease Cycles'!$AJ$10)*INDEX('Lease Cycles'!$FO$10:$FU$10,1,EJ44)+(1-'Lease Cycles'!$BE$10)*(1-INDEX('Lease Cycles'!$FO$10:$FU$10,1,EJ44)))),0)</f>
        <v>0.10050251256281408</v>
      </c>
      <c r="EK52" s="24">
        <f>IF(EK46=1,'Lease Cycles'!$D$10*IF(INDEX('Lease Cycles'!$EF$10:$EL$10,1,EK44)=1,(1-'Lease Cycles'!$AJ$10)*INDEX('Lease Cycles'!$EM$10:$ES$10,1,EK44)+(1-'Lease Cycles'!$BE$10)*IF(EK45&lt;INDEX('Lease Cycles'!$FA$10:$FG$10,1,EK44),0,1-INDEX('Lease Cycles'!$EM$10:$ES$10,1,EK44)),IF(OR(INDEX('Lease Cycles'!$DY$10:$EE$10,1,EK44)=1,EK45&gt;0),1,1-INDEX('Lease Cycles'!$DD$10:$DJ$10,1,EK44))*((1-'Lease Cycles'!$AJ$10)*INDEX('Lease Cycles'!$FO$10:$FU$10,1,EK44)+(1-'Lease Cycles'!$BE$10)*(1-INDEX('Lease Cycles'!$FO$10:$FU$10,1,EK44)))),0)</f>
        <v>0.10050251256281408</v>
      </c>
      <c r="EL52" s="24">
        <f>IF(EL46=1,'Lease Cycles'!$D$10*IF(INDEX('Lease Cycles'!$EF$10:$EL$10,1,EL44)=1,(1-'Lease Cycles'!$AJ$10)*INDEX('Lease Cycles'!$EM$10:$ES$10,1,EL44)+(1-'Lease Cycles'!$BE$10)*IF(EL45&lt;INDEX('Lease Cycles'!$FA$10:$FG$10,1,EL44),0,1-INDEX('Lease Cycles'!$EM$10:$ES$10,1,EL44)),IF(OR(INDEX('Lease Cycles'!$DY$10:$EE$10,1,EL44)=1,EL45&gt;0),1,1-INDEX('Lease Cycles'!$DD$10:$DJ$10,1,EL44))*((1-'Lease Cycles'!$AJ$10)*INDEX('Lease Cycles'!$FO$10:$FU$10,1,EL44)+(1-'Lease Cycles'!$BE$10)*(1-INDEX('Lease Cycles'!$FO$10:$FU$10,1,EL44)))),0)</f>
        <v>0.10050251256281408</v>
      </c>
      <c r="EM52" s="24">
        <f>IF(EM46=1,'Lease Cycles'!$D$10*IF(INDEX('Lease Cycles'!$EF$10:$EL$10,1,EM44)=1,(1-'Lease Cycles'!$AJ$10)*INDEX('Lease Cycles'!$EM$10:$ES$10,1,EM44)+(1-'Lease Cycles'!$BE$10)*IF(EM45&lt;INDEX('Lease Cycles'!$FA$10:$FG$10,1,EM44),0,1-INDEX('Lease Cycles'!$EM$10:$ES$10,1,EM44)),IF(OR(INDEX('Lease Cycles'!$DY$10:$EE$10,1,EM44)=1,EM45&gt;0),1,1-INDEX('Lease Cycles'!$DD$10:$DJ$10,1,EM44))*((1-'Lease Cycles'!$AJ$10)*INDEX('Lease Cycles'!$FO$10:$FU$10,1,EM44)+(1-'Lease Cycles'!$BE$10)*(1-INDEX('Lease Cycles'!$FO$10:$FU$10,1,EM44)))),0)</f>
        <v>0.10050251256281408</v>
      </c>
      <c r="EN52" s="24">
        <f>IF(EN46=1,'Lease Cycles'!$D$10*IF(INDEX('Lease Cycles'!$EF$10:$EL$10,1,EN44)=1,(1-'Lease Cycles'!$AJ$10)*INDEX('Lease Cycles'!$EM$10:$ES$10,1,EN44)+(1-'Lease Cycles'!$BE$10)*IF(EN45&lt;INDEX('Lease Cycles'!$FA$10:$FG$10,1,EN44),0,1-INDEX('Lease Cycles'!$EM$10:$ES$10,1,EN44)),IF(OR(INDEX('Lease Cycles'!$DY$10:$EE$10,1,EN44)=1,EN45&gt;0),1,1-INDEX('Lease Cycles'!$DD$10:$DJ$10,1,EN44))*((1-'Lease Cycles'!$AJ$10)*INDEX('Lease Cycles'!$FO$10:$FU$10,1,EN44)+(1-'Lease Cycles'!$BE$10)*(1-INDEX('Lease Cycles'!$FO$10:$FU$10,1,EN44)))),0)</f>
        <v>0.10050251256281408</v>
      </c>
      <c r="EO52" s="24">
        <f>IF(EO46=1,'Lease Cycles'!$D$10*IF(INDEX('Lease Cycles'!$EF$10:$EL$10,1,EO44)=1,(1-'Lease Cycles'!$AJ$10)*INDEX('Lease Cycles'!$EM$10:$ES$10,1,EO44)+(1-'Lease Cycles'!$BE$10)*IF(EO45&lt;INDEX('Lease Cycles'!$FA$10:$FG$10,1,EO44),0,1-INDEX('Lease Cycles'!$EM$10:$ES$10,1,EO44)),IF(OR(INDEX('Lease Cycles'!$DY$10:$EE$10,1,EO44)=1,EO45&gt;0),1,1-INDEX('Lease Cycles'!$DD$10:$DJ$10,1,EO44))*((1-'Lease Cycles'!$AJ$10)*INDEX('Lease Cycles'!$FO$10:$FU$10,1,EO44)+(1-'Lease Cycles'!$BE$10)*(1-INDEX('Lease Cycles'!$FO$10:$FU$10,1,EO44)))),0)</f>
        <v>0.10050251256281408</v>
      </c>
      <c r="EP52" s="24">
        <f>IF(EP46=1,'Lease Cycles'!$D$10*IF(INDEX('Lease Cycles'!$EF$10:$EL$10,1,EP44)=1,(1-'Lease Cycles'!$AJ$10)*INDEX('Lease Cycles'!$EM$10:$ES$10,1,EP44)+(1-'Lease Cycles'!$BE$10)*IF(EP45&lt;INDEX('Lease Cycles'!$FA$10:$FG$10,1,EP44),0,1-INDEX('Lease Cycles'!$EM$10:$ES$10,1,EP44)),IF(OR(INDEX('Lease Cycles'!$DY$10:$EE$10,1,EP44)=1,EP45&gt;0),1,1-INDEX('Lease Cycles'!$DD$10:$DJ$10,1,EP44))*((1-'Lease Cycles'!$AJ$10)*INDEX('Lease Cycles'!$FO$10:$FU$10,1,EP44)+(1-'Lease Cycles'!$BE$10)*(1-INDEX('Lease Cycles'!$FO$10:$FU$10,1,EP44)))),0)</f>
        <v>0.10050251256281408</v>
      </c>
      <c r="EQ52" s="24">
        <f>IF(EQ46=1,'Lease Cycles'!$D$10*IF(INDEX('Lease Cycles'!$EF$10:$EL$10,1,EQ44)=1,(1-'Lease Cycles'!$AJ$10)*INDEX('Lease Cycles'!$EM$10:$ES$10,1,EQ44)+(1-'Lease Cycles'!$BE$10)*IF(EQ45&lt;INDEX('Lease Cycles'!$FA$10:$FG$10,1,EQ44),0,1-INDEX('Lease Cycles'!$EM$10:$ES$10,1,EQ44)),IF(OR(INDEX('Lease Cycles'!$DY$10:$EE$10,1,EQ44)=1,EQ45&gt;0),1,1-INDEX('Lease Cycles'!$DD$10:$DJ$10,1,EQ44))*((1-'Lease Cycles'!$AJ$10)*INDEX('Lease Cycles'!$FO$10:$FU$10,1,EQ44)+(1-'Lease Cycles'!$BE$10)*(1-INDEX('Lease Cycles'!$FO$10:$FU$10,1,EQ44)))),0)</f>
        <v>0.10050251256281408</v>
      </c>
      <c r="ER52" s="24">
        <f>IF(ER46=1,'Lease Cycles'!$D$10*IF(INDEX('Lease Cycles'!$EF$10:$EL$10,1,ER44)=1,(1-'Lease Cycles'!$AJ$10)*INDEX('Lease Cycles'!$EM$10:$ES$10,1,ER44)+(1-'Lease Cycles'!$BE$10)*IF(ER45&lt;INDEX('Lease Cycles'!$FA$10:$FG$10,1,ER44),0,1-INDEX('Lease Cycles'!$EM$10:$ES$10,1,ER44)),IF(OR(INDEX('Lease Cycles'!$DY$10:$EE$10,1,ER44)=1,ER45&gt;0),1,1-INDEX('Lease Cycles'!$DD$10:$DJ$10,1,ER44))*((1-'Lease Cycles'!$AJ$10)*INDEX('Lease Cycles'!$FO$10:$FU$10,1,ER44)+(1-'Lease Cycles'!$BE$10)*(1-INDEX('Lease Cycles'!$FO$10:$FU$10,1,ER44)))),0)</f>
        <v>0.10050251256281408</v>
      </c>
      <c r="ES52" s="24">
        <f>IF(ES46=1,'Lease Cycles'!$D$10*IF(INDEX('Lease Cycles'!$EF$10:$EL$10,1,ES44)=1,(1-'Lease Cycles'!$AJ$10)*INDEX('Lease Cycles'!$EM$10:$ES$10,1,ES44)+(1-'Lease Cycles'!$BE$10)*IF(ES45&lt;INDEX('Lease Cycles'!$FA$10:$FG$10,1,ES44),0,1-INDEX('Lease Cycles'!$EM$10:$ES$10,1,ES44)),IF(OR(INDEX('Lease Cycles'!$DY$10:$EE$10,1,ES44)=1,ES45&gt;0),1,1-INDEX('Lease Cycles'!$DD$10:$DJ$10,1,ES44))*((1-'Lease Cycles'!$AJ$10)*INDEX('Lease Cycles'!$FO$10:$FU$10,1,ES44)+(1-'Lease Cycles'!$BE$10)*(1-INDEX('Lease Cycles'!$FO$10:$FU$10,1,ES44)))),0)</f>
        <v>0.10050251256281408</v>
      </c>
      <c r="ET52" s="24">
        <f>IF(ET46=1,'Lease Cycles'!$D$10*IF(INDEX('Lease Cycles'!$EF$10:$EL$10,1,ET44)=1,(1-'Lease Cycles'!$AJ$10)*INDEX('Lease Cycles'!$EM$10:$ES$10,1,ET44)+(1-'Lease Cycles'!$BE$10)*IF(ET45&lt;INDEX('Lease Cycles'!$FA$10:$FG$10,1,ET44),0,1-INDEX('Lease Cycles'!$EM$10:$ES$10,1,ET44)),IF(OR(INDEX('Lease Cycles'!$DY$10:$EE$10,1,ET44)=1,ET45&gt;0),1,1-INDEX('Lease Cycles'!$DD$10:$DJ$10,1,ET44))*((1-'Lease Cycles'!$AJ$10)*INDEX('Lease Cycles'!$FO$10:$FU$10,1,ET44)+(1-'Lease Cycles'!$BE$10)*(1-INDEX('Lease Cycles'!$FO$10:$FU$10,1,ET44)))),0)</f>
        <v>0.10050251256281408</v>
      </c>
    </row>
    <row r="53">
      <c r="A53" s="103">
        <v>3</v>
      </c>
      <c r="B53" s="23" t="str">
        <f>IF('Lease Cycles'!$B$10="","(empty slot)",'Lease Cycles'!$B$10)</f>
        <v>Sunfield Fitness</v>
      </c>
      <c r="C53" s="23" t="s">
        <v>685</v>
      </c>
      <c r="D53" s="104" t="s">
        <v>686</v>
      </c>
      <c r="E53" s="25">
        <f>'Lease Cycles'!$AL$10</f>
        <v>0</v>
      </c>
      <c r="G53" s="24">
        <f>SUM(S53:AD53)</f>
        <v>0</v>
      </c>
      <c r="H53" s="24">
        <f>SUM(AE53:AP53)</f>
        <v>0</v>
      </c>
      <c r="I53" s="24">
        <f>SUM(AQ53:BB53)</f>
        <v>0</v>
      </c>
      <c r="J53" s="24">
        <f>SUM(BC53:BN53)</f>
        <v>0</v>
      </c>
      <c r="K53" s="24">
        <f>SUM(BO53:BZ53)</f>
        <v>0</v>
      </c>
      <c r="L53" s="24">
        <f>SUM(CA53:CL53)</f>
        <v>0</v>
      </c>
      <c r="M53" s="24">
        <f>SUM(CM53:CX53)</f>
        <v>0</v>
      </c>
      <c r="N53" s="24">
        <f>SUM(CY53:DJ53)</f>
        <v>0</v>
      </c>
      <c r="O53" s="24">
        <f>SUM(DK53:DV53)</f>
        <v>0</v>
      </c>
      <c r="P53" s="24">
        <f>SUM(DW53:EH53)</f>
        <v>0</v>
      </c>
      <c r="Q53" s="24">
        <f>SUM(EI53:ET53)</f>
        <v>0</v>
      </c>
      <c r="S53" s="24">
        <f>IF(S46=1,IF('Lease Cycles'!$AJ$10=1,0,'Lease Cycles'!$D$10*INDEX('Lease Cycles'!$FH$10:$FN$10,1,S44)*IF(INDEX('Lease Cycles'!$EF$10:$EL$10,1,S44)=1,1,IF(OR(INDEX('Lease Cycles'!$DY$10:$EE$10,1,S44)=1,S45&gt;0),1,1-INDEX('Lease Cycles'!$DD$10:$DJ$10,1,S44)))),0)</f>
        <v>0</v>
      </c>
      <c r="T53" s="24">
        <f>IF(T46=1,IF('Lease Cycles'!$AJ$10=1,0,'Lease Cycles'!$D$10*INDEX('Lease Cycles'!$FH$10:$FN$10,1,T44)*IF(INDEX('Lease Cycles'!$EF$10:$EL$10,1,T44)=1,1,IF(OR(INDEX('Lease Cycles'!$DY$10:$EE$10,1,T44)=1,T45&gt;0),1,1-INDEX('Lease Cycles'!$DD$10:$DJ$10,1,T44)))),0)</f>
        <v>0</v>
      </c>
      <c r="U53" s="24">
        <f>IF(U46=1,IF('Lease Cycles'!$AJ$10=1,0,'Lease Cycles'!$D$10*INDEX('Lease Cycles'!$FH$10:$FN$10,1,U44)*IF(INDEX('Lease Cycles'!$EF$10:$EL$10,1,U44)=1,1,IF(OR(INDEX('Lease Cycles'!$DY$10:$EE$10,1,U44)=1,U45&gt;0),1,1-INDEX('Lease Cycles'!$DD$10:$DJ$10,1,U44)))),0)</f>
        <v>0</v>
      </c>
      <c r="V53" s="24">
        <f>IF(V46=1,IF('Lease Cycles'!$AJ$10=1,0,'Lease Cycles'!$D$10*INDEX('Lease Cycles'!$FH$10:$FN$10,1,V44)*IF(INDEX('Lease Cycles'!$EF$10:$EL$10,1,V44)=1,1,IF(OR(INDEX('Lease Cycles'!$DY$10:$EE$10,1,V44)=1,V45&gt;0),1,1-INDEX('Lease Cycles'!$DD$10:$DJ$10,1,V44)))),0)</f>
        <v>0</v>
      </c>
      <c r="W53" s="24">
        <f>IF(W46=1,IF('Lease Cycles'!$AJ$10=1,0,'Lease Cycles'!$D$10*INDEX('Lease Cycles'!$FH$10:$FN$10,1,W44)*IF(INDEX('Lease Cycles'!$EF$10:$EL$10,1,W44)=1,1,IF(OR(INDEX('Lease Cycles'!$DY$10:$EE$10,1,W44)=1,W45&gt;0),1,1-INDEX('Lease Cycles'!$DD$10:$DJ$10,1,W44)))),0)</f>
        <v>0</v>
      </c>
      <c r="X53" s="24">
        <f>IF(X46=1,IF('Lease Cycles'!$AJ$10=1,0,'Lease Cycles'!$D$10*INDEX('Lease Cycles'!$FH$10:$FN$10,1,X44)*IF(INDEX('Lease Cycles'!$EF$10:$EL$10,1,X44)=1,1,IF(OR(INDEX('Lease Cycles'!$DY$10:$EE$10,1,X44)=1,X45&gt;0),1,1-INDEX('Lease Cycles'!$DD$10:$DJ$10,1,X44)))),0)</f>
        <v>0</v>
      </c>
      <c r="Y53" s="24">
        <f>IF(Y46=1,IF('Lease Cycles'!$AJ$10=1,0,'Lease Cycles'!$D$10*INDEX('Lease Cycles'!$FH$10:$FN$10,1,Y44)*IF(INDEX('Lease Cycles'!$EF$10:$EL$10,1,Y44)=1,1,IF(OR(INDEX('Lease Cycles'!$DY$10:$EE$10,1,Y44)=1,Y45&gt;0),1,1-INDEX('Lease Cycles'!$DD$10:$DJ$10,1,Y44)))),0)</f>
        <v>0</v>
      </c>
      <c r="Z53" s="24">
        <f>IF(Z46=1,IF('Lease Cycles'!$AJ$10=1,0,'Lease Cycles'!$D$10*INDEX('Lease Cycles'!$FH$10:$FN$10,1,Z44)*IF(INDEX('Lease Cycles'!$EF$10:$EL$10,1,Z44)=1,1,IF(OR(INDEX('Lease Cycles'!$DY$10:$EE$10,1,Z44)=1,Z45&gt;0),1,1-INDEX('Lease Cycles'!$DD$10:$DJ$10,1,Z44)))),0)</f>
        <v>0</v>
      </c>
      <c r="AA53" s="24">
        <f>IF(AA46=1,IF('Lease Cycles'!$AJ$10=1,0,'Lease Cycles'!$D$10*INDEX('Lease Cycles'!$FH$10:$FN$10,1,AA44)*IF(INDEX('Lease Cycles'!$EF$10:$EL$10,1,AA44)=1,1,IF(OR(INDEX('Lease Cycles'!$DY$10:$EE$10,1,AA44)=1,AA45&gt;0),1,1-INDEX('Lease Cycles'!$DD$10:$DJ$10,1,AA44)))),0)</f>
        <v>0</v>
      </c>
      <c r="AB53" s="24">
        <f>IF(AB46=1,IF('Lease Cycles'!$AJ$10=1,0,'Lease Cycles'!$D$10*INDEX('Lease Cycles'!$FH$10:$FN$10,1,AB44)*IF(INDEX('Lease Cycles'!$EF$10:$EL$10,1,AB44)=1,1,IF(OR(INDEX('Lease Cycles'!$DY$10:$EE$10,1,AB44)=1,AB45&gt;0),1,1-INDEX('Lease Cycles'!$DD$10:$DJ$10,1,AB44)))),0)</f>
        <v>0</v>
      </c>
      <c r="AC53" s="24">
        <f>IF(AC46=1,IF('Lease Cycles'!$AJ$10=1,0,'Lease Cycles'!$D$10*INDEX('Lease Cycles'!$FH$10:$FN$10,1,AC44)*IF(INDEX('Lease Cycles'!$EF$10:$EL$10,1,AC44)=1,1,IF(OR(INDEX('Lease Cycles'!$DY$10:$EE$10,1,AC44)=1,AC45&gt;0),1,1-INDEX('Lease Cycles'!$DD$10:$DJ$10,1,AC44)))),0)</f>
        <v>0</v>
      </c>
      <c r="AD53" s="24">
        <f>IF(AD46=1,IF('Lease Cycles'!$AJ$10=1,0,'Lease Cycles'!$D$10*INDEX('Lease Cycles'!$FH$10:$FN$10,1,AD44)*IF(INDEX('Lease Cycles'!$EF$10:$EL$10,1,AD44)=1,1,IF(OR(INDEX('Lease Cycles'!$DY$10:$EE$10,1,AD44)=1,AD45&gt;0),1,1-INDEX('Lease Cycles'!$DD$10:$DJ$10,1,AD44)))),0)</f>
        <v>0</v>
      </c>
      <c r="AE53" s="24">
        <f>IF(AE46=1,IF('Lease Cycles'!$AJ$10=1,0,'Lease Cycles'!$D$10*INDEX('Lease Cycles'!$FH$10:$FN$10,1,AE44)*IF(INDEX('Lease Cycles'!$EF$10:$EL$10,1,AE44)=1,1,IF(OR(INDEX('Lease Cycles'!$DY$10:$EE$10,1,AE44)=1,AE45&gt;0),1,1-INDEX('Lease Cycles'!$DD$10:$DJ$10,1,AE44)))),0)</f>
        <v>0</v>
      </c>
      <c r="AF53" s="24">
        <f>IF(AF46=1,IF('Lease Cycles'!$AJ$10=1,0,'Lease Cycles'!$D$10*INDEX('Lease Cycles'!$FH$10:$FN$10,1,AF44)*IF(INDEX('Lease Cycles'!$EF$10:$EL$10,1,AF44)=1,1,IF(OR(INDEX('Lease Cycles'!$DY$10:$EE$10,1,AF44)=1,AF45&gt;0),1,1-INDEX('Lease Cycles'!$DD$10:$DJ$10,1,AF44)))),0)</f>
        <v>0</v>
      </c>
      <c r="AG53" s="24">
        <f>IF(AG46=1,IF('Lease Cycles'!$AJ$10=1,0,'Lease Cycles'!$D$10*INDEX('Lease Cycles'!$FH$10:$FN$10,1,AG44)*IF(INDEX('Lease Cycles'!$EF$10:$EL$10,1,AG44)=1,1,IF(OR(INDEX('Lease Cycles'!$DY$10:$EE$10,1,AG44)=1,AG45&gt;0),1,1-INDEX('Lease Cycles'!$DD$10:$DJ$10,1,AG44)))),0)</f>
        <v>0</v>
      </c>
      <c r="AH53" s="24">
        <f>IF(AH46=1,IF('Lease Cycles'!$AJ$10=1,0,'Lease Cycles'!$D$10*INDEX('Lease Cycles'!$FH$10:$FN$10,1,AH44)*IF(INDEX('Lease Cycles'!$EF$10:$EL$10,1,AH44)=1,1,IF(OR(INDEX('Lease Cycles'!$DY$10:$EE$10,1,AH44)=1,AH45&gt;0),1,1-INDEX('Lease Cycles'!$DD$10:$DJ$10,1,AH44)))),0)</f>
        <v>0</v>
      </c>
      <c r="AI53" s="24">
        <f>IF(AI46=1,IF('Lease Cycles'!$AJ$10=1,0,'Lease Cycles'!$D$10*INDEX('Lease Cycles'!$FH$10:$FN$10,1,AI44)*IF(INDEX('Lease Cycles'!$EF$10:$EL$10,1,AI44)=1,1,IF(OR(INDEX('Lease Cycles'!$DY$10:$EE$10,1,AI44)=1,AI45&gt;0),1,1-INDEX('Lease Cycles'!$DD$10:$DJ$10,1,AI44)))),0)</f>
        <v>0</v>
      </c>
      <c r="AJ53" s="24">
        <f>IF(AJ46=1,IF('Lease Cycles'!$AJ$10=1,0,'Lease Cycles'!$D$10*INDEX('Lease Cycles'!$FH$10:$FN$10,1,AJ44)*IF(INDEX('Lease Cycles'!$EF$10:$EL$10,1,AJ44)=1,1,IF(OR(INDEX('Lease Cycles'!$DY$10:$EE$10,1,AJ44)=1,AJ45&gt;0),1,1-INDEX('Lease Cycles'!$DD$10:$DJ$10,1,AJ44)))),0)</f>
        <v>0</v>
      </c>
      <c r="AK53" s="24">
        <f>IF(AK46=1,IF('Lease Cycles'!$AJ$10=1,0,'Lease Cycles'!$D$10*INDEX('Lease Cycles'!$FH$10:$FN$10,1,AK44)*IF(INDEX('Lease Cycles'!$EF$10:$EL$10,1,AK44)=1,1,IF(OR(INDEX('Lease Cycles'!$DY$10:$EE$10,1,AK44)=1,AK45&gt;0),1,1-INDEX('Lease Cycles'!$DD$10:$DJ$10,1,AK44)))),0)</f>
        <v>0</v>
      </c>
      <c r="AL53" s="24">
        <f>IF(AL46=1,IF('Lease Cycles'!$AJ$10=1,0,'Lease Cycles'!$D$10*INDEX('Lease Cycles'!$FH$10:$FN$10,1,AL44)*IF(INDEX('Lease Cycles'!$EF$10:$EL$10,1,AL44)=1,1,IF(OR(INDEX('Lease Cycles'!$DY$10:$EE$10,1,AL44)=1,AL45&gt;0),1,1-INDEX('Lease Cycles'!$DD$10:$DJ$10,1,AL44)))),0)</f>
        <v>0</v>
      </c>
      <c r="AM53" s="24">
        <f>IF(AM46=1,IF('Lease Cycles'!$AJ$10=1,0,'Lease Cycles'!$D$10*INDEX('Lease Cycles'!$FH$10:$FN$10,1,AM44)*IF(INDEX('Lease Cycles'!$EF$10:$EL$10,1,AM44)=1,1,IF(OR(INDEX('Lease Cycles'!$DY$10:$EE$10,1,AM44)=1,AM45&gt;0),1,1-INDEX('Lease Cycles'!$DD$10:$DJ$10,1,AM44)))),0)</f>
        <v>0</v>
      </c>
      <c r="AN53" s="24">
        <f>IF(AN46=1,IF('Lease Cycles'!$AJ$10=1,0,'Lease Cycles'!$D$10*INDEX('Lease Cycles'!$FH$10:$FN$10,1,AN44)*IF(INDEX('Lease Cycles'!$EF$10:$EL$10,1,AN44)=1,1,IF(OR(INDEX('Lease Cycles'!$DY$10:$EE$10,1,AN44)=1,AN45&gt;0),1,1-INDEX('Lease Cycles'!$DD$10:$DJ$10,1,AN44)))),0)</f>
        <v>0</v>
      </c>
      <c r="AO53" s="24">
        <f>IF(AO46=1,IF('Lease Cycles'!$AJ$10=1,0,'Lease Cycles'!$D$10*INDEX('Lease Cycles'!$FH$10:$FN$10,1,AO44)*IF(INDEX('Lease Cycles'!$EF$10:$EL$10,1,AO44)=1,1,IF(OR(INDEX('Lease Cycles'!$DY$10:$EE$10,1,AO44)=1,AO45&gt;0),1,1-INDEX('Lease Cycles'!$DD$10:$DJ$10,1,AO44)))),0)</f>
        <v>0</v>
      </c>
      <c r="AP53" s="24">
        <f>IF(AP46=1,IF('Lease Cycles'!$AJ$10=1,0,'Lease Cycles'!$D$10*INDEX('Lease Cycles'!$FH$10:$FN$10,1,AP44)*IF(INDEX('Lease Cycles'!$EF$10:$EL$10,1,AP44)=1,1,IF(OR(INDEX('Lease Cycles'!$DY$10:$EE$10,1,AP44)=1,AP45&gt;0),1,1-INDEX('Lease Cycles'!$DD$10:$DJ$10,1,AP44)))),0)</f>
        <v>0</v>
      </c>
      <c r="AQ53" s="24">
        <f>IF(AQ46=1,IF('Lease Cycles'!$AJ$10=1,0,'Lease Cycles'!$D$10*INDEX('Lease Cycles'!$FH$10:$FN$10,1,AQ44)*IF(INDEX('Lease Cycles'!$EF$10:$EL$10,1,AQ44)=1,1,IF(OR(INDEX('Lease Cycles'!$DY$10:$EE$10,1,AQ44)=1,AQ45&gt;0),1,1-INDEX('Lease Cycles'!$DD$10:$DJ$10,1,AQ44)))),0)</f>
        <v>0</v>
      </c>
      <c r="AR53" s="24">
        <f>IF(AR46=1,IF('Lease Cycles'!$AJ$10=1,0,'Lease Cycles'!$D$10*INDEX('Lease Cycles'!$FH$10:$FN$10,1,AR44)*IF(INDEX('Lease Cycles'!$EF$10:$EL$10,1,AR44)=1,1,IF(OR(INDEX('Lease Cycles'!$DY$10:$EE$10,1,AR44)=1,AR45&gt;0),1,1-INDEX('Lease Cycles'!$DD$10:$DJ$10,1,AR44)))),0)</f>
        <v>0</v>
      </c>
      <c r="AS53" s="24">
        <f>IF(AS46=1,IF('Lease Cycles'!$AJ$10=1,0,'Lease Cycles'!$D$10*INDEX('Lease Cycles'!$FH$10:$FN$10,1,AS44)*IF(INDEX('Lease Cycles'!$EF$10:$EL$10,1,AS44)=1,1,IF(OR(INDEX('Lease Cycles'!$DY$10:$EE$10,1,AS44)=1,AS45&gt;0),1,1-INDEX('Lease Cycles'!$DD$10:$DJ$10,1,AS44)))),0)</f>
        <v>0</v>
      </c>
      <c r="AT53" s="24">
        <f>IF(AT46=1,IF('Lease Cycles'!$AJ$10=1,0,'Lease Cycles'!$D$10*INDEX('Lease Cycles'!$FH$10:$FN$10,1,AT44)*IF(INDEX('Lease Cycles'!$EF$10:$EL$10,1,AT44)=1,1,IF(OR(INDEX('Lease Cycles'!$DY$10:$EE$10,1,AT44)=1,AT45&gt;0),1,1-INDEX('Lease Cycles'!$DD$10:$DJ$10,1,AT44)))),0)</f>
        <v>0</v>
      </c>
      <c r="AU53" s="24">
        <f>IF(AU46=1,IF('Lease Cycles'!$AJ$10=1,0,'Lease Cycles'!$D$10*INDEX('Lease Cycles'!$FH$10:$FN$10,1,AU44)*IF(INDEX('Lease Cycles'!$EF$10:$EL$10,1,AU44)=1,1,IF(OR(INDEX('Lease Cycles'!$DY$10:$EE$10,1,AU44)=1,AU45&gt;0),1,1-INDEX('Lease Cycles'!$DD$10:$DJ$10,1,AU44)))),0)</f>
        <v>0</v>
      </c>
      <c r="AV53" s="24">
        <f>IF(AV46=1,IF('Lease Cycles'!$AJ$10=1,0,'Lease Cycles'!$D$10*INDEX('Lease Cycles'!$FH$10:$FN$10,1,AV44)*IF(INDEX('Lease Cycles'!$EF$10:$EL$10,1,AV44)=1,1,IF(OR(INDEX('Lease Cycles'!$DY$10:$EE$10,1,AV44)=1,AV45&gt;0),1,1-INDEX('Lease Cycles'!$DD$10:$DJ$10,1,AV44)))),0)</f>
        <v>0</v>
      </c>
      <c r="AW53" s="24">
        <f>IF(AW46=1,IF('Lease Cycles'!$AJ$10=1,0,'Lease Cycles'!$D$10*INDEX('Lease Cycles'!$FH$10:$FN$10,1,AW44)*IF(INDEX('Lease Cycles'!$EF$10:$EL$10,1,AW44)=1,1,IF(OR(INDEX('Lease Cycles'!$DY$10:$EE$10,1,AW44)=1,AW45&gt;0),1,1-INDEX('Lease Cycles'!$DD$10:$DJ$10,1,AW44)))),0)</f>
        <v>0</v>
      </c>
      <c r="AX53" s="24">
        <f>IF(AX46=1,IF('Lease Cycles'!$AJ$10=1,0,'Lease Cycles'!$D$10*INDEX('Lease Cycles'!$FH$10:$FN$10,1,AX44)*IF(INDEX('Lease Cycles'!$EF$10:$EL$10,1,AX44)=1,1,IF(OR(INDEX('Lease Cycles'!$DY$10:$EE$10,1,AX44)=1,AX45&gt;0),1,1-INDEX('Lease Cycles'!$DD$10:$DJ$10,1,AX44)))),0)</f>
        <v>0</v>
      </c>
      <c r="AY53" s="24">
        <f>IF(AY46=1,IF('Lease Cycles'!$AJ$10=1,0,'Lease Cycles'!$D$10*INDEX('Lease Cycles'!$FH$10:$FN$10,1,AY44)*IF(INDEX('Lease Cycles'!$EF$10:$EL$10,1,AY44)=1,1,IF(OR(INDEX('Lease Cycles'!$DY$10:$EE$10,1,AY44)=1,AY45&gt;0),1,1-INDEX('Lease Cycles'!$DD$10:$DJ$10,1,AY44)))),0)</f>
        <v>0</v>
      </c>
      <c r="AZ53" s="24">
        <f>IF(AZ46=1,IF('Lease Cycles'!$AJ$10=1,0,'Lease Cycles'!$D$10*INDEX('Lease Cycles'!$FH$10:$FN$10,1,AZ44)*IF(INDEX('Lease Cycles'!$EF$10:$EL$10,1,AZ44)=1,1,IF(OR(INDEX('Lease Cycles'!$DY$10:$EE$10,1,AZ44)=1,AZ45&gt;0),1,1-INDEX('Lease Cycles'!$DD$10:$DJ$10,1,AZ44)))),0)</f>
        <v>0</v>
      </c>
      <c r="BA53" s="24">
        <f>IF(BA46=1,IF('Lease Cycles'!$AJ$10=1,0,'Lease Cycles'!$D$10*INDEX('Lease Cycles'!$FH$10:$FN$10,1,BA44)*IF(INDEX('Lease Cycles'!$EF$10:$EL$10,1,BA44)=1,1,IF(OR(INDEX('Lease Cycles'!$DY$10:$EE$10,1,BA44)=1,BA45&gt;0),1,1-INDEX('Lease Cycles'!$DD$10:$DJ$10,1,BA44)))),0)</f>
        <v>0</v>
      </c>
      <c r="BB53" s="24">
        <f>IF(BB46=1,IF('Lease Cycles'!$AJ$10=1,0,'Lease Cycles'!$D$10*INDEX('Lease Cycles'!$FH$10:$FN$10,1,BB44)*IF(INDEX('Lease Cycles'!$EF$10:$EL$10,1,BB44)=1,1,IF(OR(INDEX('Lease Cycles'!$DY$10:$EE$10,1,BB44)=1,BB45&gt;0),1,1-INDEX('Lease Cycles'!$DD$10:$DJ$10,1,BB44)))),0)</f>
        <v>0</v>
      </c>
      <c r="BC53" s="24">
        <f>IF(BC46=1,IF('Lease Cycles'!$AJ$10=1,0,'Lease Cycles'!$D$10*INDEX('Lease Cycles'!$FH$10:$FN$10,1,BC44)*IF(INDEX('Lease Cycles'!$EF$10:$EL$10,1,BC44)=1,1,IF(OR(INDEX('Lease Cycles'!$DY$10:$EE$10,1,BC44)=1,BC45&gt;0),1,1-INDEX('Lease Cycles'!$DD$10:$DJ$10,1,BC44)))),0)</f>
        <v>0</v>
      </c>
      <c r="BD53" s="24">
        <f>IF(BD46=1,IF('Lease Cycles'!$AJ$10=1,0,'Lease Cycles'!$D$10*INDEX('Lease Cycles'!$FH$10:$FN$10,1,BD44)*IF(INDEX('Lease Cycles'!$EF$10:$EL$10,1,BD44)=1,1,IF(OR(INDEX('Lease Cycles'!$DY$10:$EE$10,1,BD44)=1,BD45&gt;0),1,1-INDEX('Lease Cycles'!$DD$10:$DJ$10,1,BD44)))),0)</f>
        <v>0</v>
      </c>
      <c r="BE53" s="24">
        <f>IF(BE46=1,IF('Lease Cycles'!$AJ$10=1,0,'Lease Cycles'!$D$10*INDEX('Lease Cycles'!$FH$10:$FN$10,1,BE44)*IF(INDEX('Lease Cycles'!$EF$10:$EL$10,1,BE44)=1,1,IF(OR(INDEX('Lease Cycles'!$DY$10:$EE$10,1,BE44)=1,BE45&gt;0),1,1-INDEX('Lease Cycles'!$DD$10:$DJ$10,1,BE44)))),0)</f>
        <v>0</v>
      </c>
      <c r="BF53" s="24">
        <f>IF(BF46=1,IF('Lease Cycles'!$AJ$10=1,0,'Lease Cycles'!$D$10*INDEX('Lease Cycles'!$FH$10:$FN$10,1,BF44)*IF(INDEX('Lease Cycles'!$EF$10:$EL$10,1,BF44)=1,1,IF(OR(INDEX('Lease Cycles'!$DY$10:$EE$10,1,BF44)=1,BF45&gt;0),1,1-INDEX('Lease Cycles'!$DD$10:$DJ$10,1,BF44)))),0)</f>
        <v>0</v>
      </c>
      <c r="BG53" s="24">
        <f>IF(BG46=1,IF('Lease Cycles'!$AJ$10=1,0,'Lease Cycles'!$D$10*INDEX('Lease Cycles'!$FH$10:$FN$10,1,BG44)*IF(INDEX('Lease Cycles'!$EF$10:$EL$10,1,BG44)=1,1,IF(OR(INDEX('Lease Cycles'!$DY$10:$EE$10,1,BG44)=1,BG45&gt;0),1,1-INDEX('Lease Cycles'!$DD$10:$DJ$10,1,BG44)))),0)</f>
        <v>0</v>
      </c>
      <c r="BH53" s="24">
        <f>IF(BH46=1,IF('Lease Cycles'!$AJ$10=1,0,'Lease Cycles'!$D$10*INDEX('Lease Cycles'!$FH$10:$FN$10,1,BH44)*IF(INDEX('Lease Cycles'!$EF$10:$EL$10,1,BH44)=1,1,IF(OR(INDEX('Lease Cycles'!$DY$10:$EE$10,1,BH44)=1,BH45&gt;0),1,1-INDEX('Lease Cycles'!$DD$10:$DJ$10,1,BH44)))),0)</f>
        <v>0</v>
      </c>
      <c r="BI53" s="24">
        <f>IF(BI46=1,IF('Lease Cycles'!$AJ$10=1,0,'Lease Cycles'!$D$10*INDEX('Lease Cycles'!$FH$10:$FN$10,1,BI44)*IF(INDEX('Lease Cycles'!$EF$10:$EL$10,1,BI44)=1,1,IF(OR(INDEX('Lease Cycles'!$DY$10:$EE$10,1,BI44)=1,BI45&gt;0),1,1-INDEX('Lease Cycles'!$DD$10:$DJ$10,1,BI44)))),0)</f>
        <v>0</v>
      </c>
      <c r="BJ53" s="24">
        <f>IF(BJ46=1,IF('Lease Cycles'!$AJ$10=1,0,'Lease Cycles'!$D$10*INDEX('Lease Cycles'!$FH$10:$FN$10,1,BJ44)*IF(INDEX('Lease Cycles'!$EF$10:$EL$10,1,BJ44)=1,1,IF(OR(INDEX('Lease Cycles'!$DY$10:$EE$10,1,BJ44)=1,BJ45&gt;0),1,1-INDEX('Lease Cycles'!$DD$10:$DJ$10,1,BJ44)))),0)</f>
        <v>0</v>
      </c>
      <c r="BK53" s="24">
        <f>IF(BK46=1,IF('Lease Cycles'!$AJ$10=1,0,'Lease Cycles'!$D$10*INDEX('Lease Cycles'!$FH$10:$FN$10,1,BK44)*IF(INDEX('Lease Cycles'!$EF$10:$EL$10,1,BK44)=1,1,IF(OR(INDEX('Lease Cycles'!$DY$10:$EE$10,1,BK44)=1,BK45&gt;0),1,1-INDEX('Lease Cycles'!$DD$10:$DJ$10,1,BK44)))),0)</f>
        <v>0</v>
      </c>
      <c r="BL53" s="24">
        <f>IF(BL46=1,IF('Lease Cycles'!$AJ$10=1,0,'Lease Cycles'!$D$10*INDEX('Lease Cycles'!$FH$10:$FN$10,1,BL44)*IF(INDEX('Lease Cycles'!$EF$10:$EL$10,1,BL44)=1,1,IF(OR(INDEX('Lease Cycles'!$DY$10:$EE$10,1,BL44)=1,BL45&gt;0),1,1-INDEX('Lease Cycles'!$DD$10:$DJ$10,1,BL44)))),0)</f>
        <v>0</v>
      </c>
      <c r="BM53" s="24">
        <f>IF(BM46=1,IF('Lease Cycles'!$AJ$10=1,0,'Lease Cycles'!$D$10*INDEX('Lease Cycles'!$FH$10:$FN$10,1,BM44)*IF(INDEX('Lease Cycles'!$EF$10:$EL$10,1,BM44)=1,1,IF(OR(INDEX('Lease Cycles'!$DY$10:$EE$10,1,BM44)=1,BM45&gt;0),1,1-INDEX('Lease Cycles'!$DD$10:$DJ$10,1,BM44)))),0)</f>
        <v>0</v>
      </c>
      <c r="BN53" s="24">
        <f>IF(BN46=1,IF('Lease Cycles'!$AJ$10=1,0,'Lease Cycles'!$D$10*INDEX('Lease Cycles'!$FH$10:$FN$10,1,BN44)*IF(INDEX('Lease Cycles'!$EF$10:$EL$10,1,BN44)=1,1,IF(OR(INDEX('Lease Cycles'!$DY$10:$EE$10,1,BN44)=1,BN45&gt;0),1,1-INDEX('Lease Cycles'!$DD$10:$DJ$10,1,BN44)))),0)</f>
        <v>0</v>
      </c>
      <c r="BO53" s="24">
        <f>IF(BO46=1,IF('Lease Cycles'!$AJ$10=1,0,'Lease Cycles'!$D$10*INDEX('Lease Cycles'!$FH$10:$FN$10,1,BO44)*IF(INDEX('Lease Cycles'!$EF$10:$EL$10,1,BO44)=1,1,IF(OR(INDEX('Lease Cycles'!$DY$10:$EE$10,1,BO44)=1,BO45&gt;0),1,1-INDEX('Lease Cycles'!$DD$10:$DJ$10,1,BO44)))),0)</f>
        <v>0</v>
      </c>
      <c r="BP53" s="24">
        <f>IF(BP46=1,IF('Lease Cycles'!$AJ$10=1,0,'Lease Cycles'!$D$10*INDEX('Lease Cycles'!$FH$10:$FN$10,1,BP44)*IF(INDEX('Lease Cycles'!$EF$10:$EL$10,1,BP44)=1,1,IF(OR(INDEX('Lease Cycles'!$DY$10:$EE$10,1,BP44)=1,BP45&gt;0),1,1-INDEX('Lease Cycles'!$DD$10:$DJ$10,1,BP44)))),0)</f>
        <v>0</v>
      </c>
      <c r="BQ53" s="24">
        <f>IF(BQ46=1,IF('Lease Cycles'!$AJ$10=1,0,'Lease Cycles'!$D$10*INDEX('Lease Cycles'!$FH$10:$FN$10,1,BQ44)*IF(INDEX('Lease Cycles'!$EF$10:$EL$10,1,BQ44)=1,1,IF(OR(INDEX('Lease Cycles'!$DY$10:$EE$10,1,BQ44)=1,BQ45&gt;0),1,1-INDEX('Lease Cycles'!$DD$10:$DJ$10,1,BQ44)))),0)</f>
        <v>0</v>
      </c>
      <c r="BR53" s="24">
        <f>IF(BR46=1,IF('Lease Cycles'!$AJ$10=1,0,'Lease Cycles'!$D$10*INDEX('Lease Cycles'!$FH$10:$FN$10,1,BR44)*IF(INDEX('Lease Cycles'!$EF$10:$EL$10,1,BR44)=1,1,IF(OR(INDEX('Lease Cycles'!$DY$10:$EE$10,1,BR44)=1,BR45&gt;0),1,1-INDEX('Lease Cycles'!$DD$10:$DJ$10,1,BR44)))),0)</f>
        <v>0</v>
      </c>
      <c r="BS53" s="24">
        <f>IF(BS46=1,IF('Lease Cycles'!$AJ$10=1,0,'Lease Cycles'!$D$10*INDEX('Lease Cycles'!$FH$10:$FN$10,1,BS44)*IF(INDEX('Lease Cycles'!$EF$10:$EL$10,1,BS44)=1,1,IF(OR(INDEX('Lease Cycles'!$DY$10:$EE$10,1,BS44)=1,BS45&gt;0),1,1-INDEX('Lease Cycles'!$DD$10:$DJ$10,1,BS44)))),0)</f>
        <v>0</v>
      </c>
      <c r="BT53" s="24">
        <f>IF(BT46=1,IF('Lease Cycles'!$AJ$10=1,0,'Lease Cycles'!$D$10*INDEX('Lease Cycles'!$FH$10:$FN$10,1,BT44)*IF(INDEX('Lease Cycles'!$EF$10:$EL$10,1,BT44)=1,1,IF(OR(INDEX('Lease Cycles'!$DY$10:$EE$10,1,BT44)=1,BT45&gt;0),1,1-INDEX('Lease Cycles'!$DD$10:$DJ$10,1,BT44)))),0)</f>
        <v>0</v>
      </c>
      <c r="BU53" s="24">
        <f>IF(BU46=1,IF('Lease Cycles'!$AJ$10=1,0,'Lease Cycles'!$D$10*INDEX('Lease Cycles'!$FH$10:$FN$10,1,BU44)*IF(INDEX('Lease Cycles'!$EF$10:$EL$10,1,BU44)=1,1,IF(OR(INDEX('Lease Cycles'!$DY$10:$EE$10,1,BU44)=1,BU45&gt;0),1,1-INDEX('Lease Cycles'!$DD$10:$DJ$10,1,BU44)))),0)</f>
        <v>0</v>
      </c>
      <c r="BV53" s="24">
        <f>IF(BV46=1,IF('Lease Cycles'!$AJ$10=1,0,'Lease Cycles'!$D$10*INDEX('Lease Cycles'!$FH$10:$FN$10,1,BV44)*IF(INDEX('Lease Cycles'!$EF$10:$EL$10,1,BV44)=1,1,IF(OR(INDEX('Lease Cycles'!$DY$10:$EE$10,1,BV44)=1,BV45&gt;0),1,1-INDEX('Lease Cycles'!$DD$10:$DJ$10,1,BV44)))),0)</f>
        <v>0</v>
      </c>
      <c r="BW53" s="24">
        <f>IF(BW46=1,IF('Lease Cycles'!$AJ$10=1,0,'Lease Cycles'!$D$10*INDEX('Lease Cycles'!$FH$10:$FN$10,1,BW44)*IF(INDEX('Lease Cycles'!$EF$10:$EL$10,1,BW44)=1,1,IF(OR(INDEX('Lease Cycles'!$DY$10:$EE$10,1,BW44)=1,BW45&gt;0),1,1-INDEX('Lease Cycles'!$DD$10:$DJ$10,1,BW44)))),0)</f>
        <v>0</v>
      </c>
      <c r="BX53" s="24">
        <f>IF(BX46=1,IF('Lease Cycles'!$AJ$10=1,0,'Lease Cycles'!$D$10*INDEX('Lease Cycles'!$FH$10:$FN$10,1,BX44)*IF(INDEX('Lease Cycles'!$EF$10:$EL$10,1,BX44)=1,1,IF(OR(INDEX('Lease Cycles'!$DY$10:$EE$10,1,BX44)=1,BX45&gt;0),1,1-INDEX('Lease Cycles'!$DD$10:$DJ$10,1,BX44)))),0)</f>
        <v>0</v>
      </c>
      <c r="BY53" s="24">
        <f>IF(BY46=1,IF('Lease Cycles'!$AJ$10=1,0,'Lease Cycles'!$D$10*INDEX('Lease Cycles'!$FH$10:$FN$10,1,BY44)*IF(INDEX('Lease Cycles'!$EF$10:$EL$10,1,BY44)=1,1,IF(OR(INDEX('Lease Cycles'!$DY$10:$EE$10,1,BY44)=1,BY45&gt;0),1,1-INDEX('Lease Cycles'!$DD$10:$DJ$10,1,BY44)))),0)</f>
        <v>0</v>
      </c>
      <c r="BZ53" s="24">
        <f>IF(BZ46=1,IF('Lease Cycles'!$AJ$10=1,0,'Lease Cycles'!$D$10*INDEX('Lease Cycles'!$FH$10:$FN$10,1,BZ44)*IF(INDEX('Lease Cycles'!$EF$10:$EL$10,1,BZ44)=1,1,IF(OR(INDEX('Lease Cycles'!$DY$10:$EE$10,1,BZ44)=1,BZ45&gt;0),1,1-INDEX('Lease Cycles'!$DD$10:$DJ$10,1,BZ44)))),0)</f>
        <v>0</v>
      </c>
      <c r="CA53" s="24">
        <f>IF(CA46=1,IF('Lease Cycles'!$AJ$10=1,0,'Lease Cycles'!$D$10*INDEX('Lease Cycles'!$FH$10:$FN$10,1,CA44)*IF(INDEX('Lease Cycles'!$EF$10:$EL$10,1,CA44)=1,1,IF(OR(INDEX('Lease Cycles'!$DY$10:$EE$10,1,CA44)=1,CA45&gt;0),1,1-INDEX('Lease Cycles'!$DD$10:$DJ$10,1,CA44)))),0)</f>
        <v>0</v>
      </c>
      <c r="CB53" s="24">
        <f>IF(CB46=1,IF('Lease Cycles'!$AJ$10=1,0,'Lease Cycles'!$D$10*INDEX('Lease Cycles'!$FH$10:$FN$10,1,CB44)*IF(INDEX('Lease Cycles'!$EF$10:$EL$10,1,CB44)=1,1,IF(OR(INDEX('Lease Cycles'!$DY$10:$EE$10,1,CB44)=1,CB45&gt;0),1,1-INDEX('Lease Cycles'!$DD$10:$DJ$10,1,CB44)))),0)</f>
        <v>0</v>
      </c>
      <c r="CC53" s="24">
        <f>IF(CC46=1,IF('Lease Cycles'!$AJ$10=1,0,'Lease Cycles'!$D$10*INDEX('Lease Cycles'!$FH$10:$FN$10,1,CC44)*IF(INDEX('Lease Cycles'!$EF$10:$EL$10,1,CC44)=1,1,IF(OR(INDEX('Lease Cycles'!$DY$10:$EE$10,1,CC44)=1,CC45&gt;0),1,1-INDEX('Lease Cycles'!$DD$10:$DJ$10,1,CC44)))),0)</f>
        <v>0</v>
      </c>
      <c r="CD53" s="24">
        <f>IF(CD46=1,IF('Lease Cycles'!$AJ$10=1,0,'Lease Cycles'!$D$10*INDEX('Lease Cycles'!$FH$10:$FN$10,1,CD44)*IF(INDEX('Lease Cycles'!$EF$10:$EL$10,1,CD44)=1,1,IF(OR(INDEX('Lease Cycles'!$DY$10:$EE$10,1,CD44)=1,CD45&gt;0),1,1-INDEX('Lease Cycles'!$DD$10:$DJ$10,1,CD44)))),0)</f>
        <v>0</v>
      </c>
      <c r="CE53" s="24">
        <f>IF(CE46=1,IF('Lease Cycles'!$AJ$10=1,0,'Lease Cycles'!$D$10*INDEX('Lease Cycles'!$FH$10:$FN$10,1,CE44)*IF(INDEX('Lease Cycles'!$EF$10:$EL$10,1,CE44)=1,1,IF(OR(INDEX('Lease Cycles'!$DY$10:$EE$10,1,CE44)=1,CE45&gt;0),1,1-INDEX('Lease Cycles'!$DD$10:$DJ$10,1,CE44)))),0)</f>
        <v>0</v>
      </c>
      <c r="CF53" s="24">
        <f>IF(CF46=1,IF('Lease Cycles'!$AJ$10=1,0,'Lease Cycles'!$D$10*INDEX('Lease Cycles'!$FH$10:$FN$10,1,CF44)*IF(INDEX('Lease Cycles'!$EF$10:$EL$10,1,CF44)=1,1,IF(OR(INDEX('Lease Cycles'!$DY$10:$EE$10,1,CF44)=1,CF45&gt;0),1,1-INDEX('Lease Cycles'!$DD$10:$DJ$10,1,CF44)))),0)</f>
        <v>0</v>
      </c>
      <c r="CG53" s="24">
        <f>IF(CG46=1,IF('Lease Cycles'!$AJ$10=1,0,'Lease Cycles'!$D$10*INDEX('Lease Cycles'!$FH$10:$FN$10,1,CG44)*IF(INDEX('Lease Cycles'!$EF$10:$EL$10,1,CG44)=1,1,IF(OR(INDEX('Lease Cycles'!$DY$10:$EE$10,1,CG44)=1,CG45&gt;0),1,1-INDEX('Lease Cycles'!$DD$10:$DJ$10,1,CG44)))),0)</f>
        <v>0</v>
      </c>
      <c r="CH53" s="24">
        <f>IF(CH46=1,IF('Lease Cycles'!$AJ$10=1,0,'Lease Cycles'!$D$10*INDEX('Lease Cycles'!$FH$10:$FN$10,1,CH44)*IF(INDEX('Lease Cycles'!$EF$10:$EL$10,1,CH44)=1,1,IF(OR(INDEX('Lease Cycles'!$DY$10:$EE$10,1,CH44)=1,CH45&gt;0),1,1-INDEX('Lease Cycles'!$DD$10:$DJ$10,1,CH44)))),0)</f>
        <v>0</v>
      </c>
      <c r="CI53" s="24">
        <f>IF(CI46=1,IF('Lease Cycles'!$AJ$10=1,0,'Lease Cycles'!$D$10*INDEX('Lease Cycles'!$FH$10:$FN$10,1,CI44)*IF(INDEX('Lease Cycles'!$EF$10:$EL$10,1,CI44)=1,1,IF(OR(INDEX('Lease Cycles'!$DY$10:$EE$10,1,CI44)=1,CI45&gt;0),1,1-INDEX('Lease Cycles'!$DD$10:$DJ$10,1,CI44)))),0)</f>
        <v>0</v>
      </c>
      <c r="CJ53" s="24">
        <f>IF(CJ46=1,IF('Lease Cycles'!$AJ$10=1,0,'Lease Cycles'!$D$10*INDEX('Lease Cycles'!$FH$10:$FN$10,1,CJ44)*IF(INDEX('Lease Cycles'!$EF$10:$EL$10,1,CJ44)=1,1,IF(OR(INDEX('Lease Cycles'!$DY$10:$EE$10,1,CJ44)=1,CJ45&gt;0),1,1-INDEX('Lease Cycles'!$DD$10:$DJ$10,1,CJ44)))),0)</f>
        <v>0</v>
      </c>
      <c r="CK53" s="24">
        <f>IF(CK46=1,IF('Lease Cycles'!$AJ$10=1,0,'Lease Cycles'!$D$10*INDEX('Lease Cycles'!$FH$10:$FN$10,1,CK44)*IF(INDEX('Lease Cycles'!$EF$10:$EL$10,1,CK44)=1,1,IF(OR(INDEX('Lease Cycles'!$DY$10:$EE$10,1,CK44)=1,CK45&gt;0),1,1-INDEX('Lease Cycles'!$DD$10:$DJ$10,1,CK44)))),0)</f>
        <v>0</v>
      </c>
      <c r="CL53" s="24">
        <f>IF(CL46=1,IF('Lease Cycles'!$AJ$10=1,0,'Lease Cycles'!$D$10*INDEX('Lease Cycles'!$FH$10:$FN$10,1,CL44)*IF(INDEX('Lease Cycles'!$EF$10:$EL$10,1,CL44)=1,1,IF(OR(INDEX('Lease Cycles'!$DY$10:$EE$10,1,CL44)=1,CL45&gt;0),1,1-INDEX('Lease Cycles'!$DD$10:$DJ$10,1,CL44)))),0)</f>
        <v>0</v>
      </c>
      <c r="CM53" s="24">
        <f>IF(CM46=1,IF('Lease Cycles'!$AJ$10=1,0,'Lease Cycles'!$D$10*INDEX('Lease Cycles'!$FH$10:$FN$10,1,CM44)*IF(INDEX('Lease Cycles'!$EF$10:$EL$10,1,CM44)=1,1,IF(OR(INDEX('Lease Cycles'!$DY$10:$EE$10,1,CM44)=1,CM45&gt;0),1,1-INDEX('Lease Cycles'!$DD$10:$DJ$10,1,CM44)))),0)</f>
        <v>0</v>
      </c>
      <c r="CN53" s="24">
        <f>IF(CN46=1,IF('Lease Cycles'!$AJ$10=1,0,'Lease Cycles'!$D$10*INDEX('Lease Cycles'!$FH$10:$FN$10,1,CN44)*IF(INDEX('Lease Cycles'!$EF$10:$EL$10,1,CN44)=1,1,IF(OR(INDEX('Lease Cycles'!$DY$10:$EE$10,1,CN44)=1,CN45&gt;0),1,1-INDEX('Lease Cycles'!$DD$10:$DJ$10,1,CN44)))),0)</f>
        <v>0</v>
      </c>
      <c r="CO53" s="24">
        <f>IF(CO46=1,IF('Lease Cycles'!$AJ$10=1,0,'Lease Cycles'!$D$10*INDEX('Lease Cycles'!$FH$10:$FN$10,1,CO44)*IF(INDEX('Lease Cycles'!$EF$10:$EL$10,1,CO44)=1,1,IF(OR(INDEX('Lease Cycles'!$DY$10:$EE$10,1,CO44)=1,CO45&gt;0),1,1-INDEX('Lease Cycles'!$DD$10:$DJ$10,1,CO44)))),0)</f>
        <v>0</v>
      </c>
      <c r="CP53" s="24">
        <f>IF(CP46=1,IF('Lease Cycles'!$AJ$10=1,0,'Lease Cycles'!$D$10*INDEX('Lease Cycles'!$FH$10:$FN$10,1,CP44)*IF(INDEX('Lease Cycles'!$EF$10:$EL$10,1,CP44)=1,1,IF(OR(INDEX('Lease Cycles'!$DY$10:$EE$10,1,CP44)=1,CP45&gt;0),1,1-INDEX('Lease Cycles'!$DD$10:$DJ$10,1,CP44)))),0)</f>
        <v>0</v>
      </c>
      <c r="CQ53" s="24">
        <f>IF(CQ46=1,IF('Lease Cycles'!$AJ$10=1,0,'Lease Cycles'!$D$10*INDEX('Lease Cycles'!$FH$10:$FN$10,1,CQ44)*IF(INDEX('Lease Cycles'!$EF$10:$EL$10,1,CQ44)=1,1,IF(OR(INDEX('Lease Cycles'!$DY$10:$EE$10,1,CQ44)=1,CQ45&gt;0),1,1-INDEX('Lease Cycles'!$DD$10:$DJ$10,1,CQ44)))),0)</f>
        <v>0</v>
      </c>
      <c r="CR53" s="24">
        <f>IF(CR46=1,IF('Lease Cycles'!$AJ$10=1,0,'Lease Cycles'!$D$10*INDEX('Lease Cycles'!$FH$10:$FN$10,1,CR44)*IF(INDEX('Lease Cycles'!$EF$10:$EL$10,1,CR44)=1,1,IF(OR(INDEX('Lease Cycles'!$DY$10:$EE$10,1,CR44)=1,CR45&gt;0),1,1-INDEX('Lease Cycles'!$DD$10:$DJ$10,1,CR44)))),0)</f>
        <v>0</v>
      </c>
      <c r="CS53" s="24">
        <f>IF(CS46=1,IF('Lease Cycles'!$AJ$10=1,0,'Lease Cycles'!$D$10*INDEX('Lease Cycles'!$FH$10:$FN$10,1,CS44)*IF(INDEX('Lease Cycles'!$EF$10:$EL$10,1,CS44)=1,1,IF(OR(INDEX('Lease Cycles'!$DY$10:$EE$10,1,CS44)=1,CS45&gt;0),1,1-INDEX('Lease Cycles'!$DD$10:$DJ$10,1,CS44)))),0)</f>
        <v>0</v>
      </c>
      <c r="CT53" s="24">
        <f>IF(CT46=1,IF('Lease Cycles'!$AJ$10=1,0,'Lease Cycles'!$D$10*INDEX('Lease Cycles'!$FH$10:$FN$10,1,CT44)*IF(INDEX('Lease Cycles'!$EF$10:$EL$10,1,CT44)=1,1,IF(OR(INDEX('Lease Cycles'!$DY$10:$EE$10,1,CT44)=1,CT45&gt;0),1,1-INDEX('Lease Cycles'!$DD$10:$DJ$10,1,CT44)))),0)</f>
        <v>0</v>
      </c>
      <c r="CU53" s="24">
        <f>IF(CU46=1,IF('Lease Cycles'!$AJ$10=1,0,'Lease Cycles'!$D$10*INDEX('Lease Cycles'!$FH$10:$FN$10,1,CU44)*IF(INDEX('Lease Cycles'!$EF$10:$EL$10,1,CU44)=1,1,IF(OR(INDEX('Lease Cycles'!$DY$10:$EE$10,1,CU44)=1,CU45&gt;0),1,1-INDEX('Lease Cycles'!$DD$10:$DJ$10,1,CU44)))),0)</f>
        <v>0</v>
      </c>
      <c r="CV53" s="24">
        <f>IF(CV46=1,IF('Lease Cycles'!$AJ$10=1,0,'Lease Cycles'!$D$10*INDEX('Lease Cycles'!$FH$10:$FN$10,1,CV44)*IF(INDEX('Lease Cycles'!$EF$10:$EL$10,1,CV44)=1,1,IF(OR(INDEX('Lease Cycles'!$DY$10:$EE$10,1,CV44)=1,CV45&gt;0),1,1-INDEX('Lease Cycles'!$DD$10:$DJ$10,1,CV44)))),0)</f>
        <v>0</v>
      </c>
      <c r="CW53" s="24">
        <f>IF(CW46=1,IF('Lease Cycles'!$AJ$10=1,0,'Lease Cycles'!$D$10*INDEX('Lease Cycles'!$FH$10:$FN$10,1,CW44)*IF(INDEX('Lease Cycles'!$EF$10:$EL$10,1,CW44)=1,1,IF(OR(INDEX('Lease Cycles'!$DY$10:$EE$10,1,CW44)=1,CW45&gt;0),1,1-INDEX('Lease Cycles'!$DD$10:$DJ$10,1,CW44)))),0)</f>
        <v>0</v>
      </c>
      <c r="CX53" s="24">
        <f>IF(CX46=1,IF('Lease Cycles'!$AJ$10=1,0,'Lease Cycles'!$D$10*INDEX('Lease Cycles'!$FH$10:$FN$10,1,CX44)*IF(INDEX('Lease Cycles'!$EF$10:$EL$10,1,CX44)=1,1,IF(OR(INDEX('Lease Cycles'!$DY$10:$EE$10,1,CX44)=1,CX45&gt;0),1,1-INDEX('Lease Cycles'!$DD$10:$DJ$10,1,CX44)))),0)</f>
        <v>0</v>
      </c>
      <c r="CY53" s="24">
        <f>IF(CY46=1,IF('Lease Cycles'!$AJ$10=1,0,'Lease Cycles'!$D$10*INDEX('Lease Cycles'!$FH$10:$FN$10,1,CY44)*IF(INDEX('Lease Cycles'!$EF$10:$EL$10,1,CY44)=1,1,IF(OR(INDEX('Lease Cycles'!$DY$10:$EE$10,1,CY44)=1,CY45&gt;0),1,1-INDEX('Lease Cycles'!$DD$10:$DJ$10,1,CY44)))),0)</f>
        <v>0</v>
      </c>
      <c r="CZ53" s="24">
        <f>IF(CZ46=1,IF('Lease Cycles'!$AJ$10=1,0,'Lease Cycles'!$D$10*INDEX('Lease Cycles'!$FH$10:$FN$10,1,CZ44)*IF(INDEX('Lease Cycles'!$EF$10:$EL$10,1,CZ44)=1,1,IF(OR(INDEX('Lease Cycles'!$DY$10:$EE$10,1,CZ44)=1,CZ45&gt;0),1,1-INDEX('Lease Cycles'!$DD$10:$DJ$10,1,CZ44)))),0)</f>
        <v>0</v>
      </c>
      <c r="DA53" s="24">
        <f>IF(DA46=1,IF('Lease Cycles'!$AJ$10=1,0,'Lease Cycles'!$D$10*INDEX('Lease Cycles'!$FH$10:$FN$10,1,DA44)*IF(INDEX('Lease Cycles'!$EF$10:$EL$10,1,DA44)=1,1,IF(OR(INDEX('Lease Cycles'!$DY$10:$EE$10,1,DA44)=1,DA45&gt;0),1,1-INDEX('Lease Cycles'!$DD$10:$DJ$10,1,DA44)))),0)</f>
        <v>0</v>
      </c>
      <c r="DB53" s="24">
        <f>IF(DB46=1,IF('Lease Cycles'!$AJ$10=1,0,'Lease Cycles'!$D$10*INDEX('Lease Cycles'!$FH$10:$FN$10,1,DB44)*IF(INDEX('Lease Cycles'!$EF$10:$EL$10,1,DB44)=1,1,IF(OR(INDEX('Lease Cycles'!$DY$10:$EE$10,1,DB44)=1,DB45&gt;0),1,1-INDEX('Lease Cycles'!$DD$10:$DJ$10,1,DB44)))),0)</f>
        <v>0</v>
      </c>
      <c r="DC53" s="24">
        <f>IF(DC46=1,IF('Lease Cycles'!$AJ$10=1,0,'Lease Cycles'!$D$10*INDEX('Lease Cycles'!$FH$10:$FN$10,1,DC44)*IF(INDEX('Lease Cycles'!$EF$10:$EL$10,1,DC44)=1,1,IF(OR(INDEX('Lease Cycles'!$DY$10:$EE$10,1,DC44)=1,DC45&gt;0),1,1-INDEX('Lease Cycles'!$DD$10:$DJ$10,1,DC44)))),0)</f>
        <v>0</v>
      </c>
      <c r="DD53" s="24">
        <f>IF(DD46=1,IF('Lease Cycles'!$AJ$10=1,0,'Lease Cycles'!$D$10*INDEX('Lease Cycles'!$FH$10:$FN$10,1,DD44)*IF(INDEX('Lease Cycles'!$EF$10:$EL$10,1,DD44)=1,1,IF(OR(INDEX('Lease Cycles'!$DY$10:$EE$10,1,DD44)=1,DD45&gt;0),1,1-INDEX('Lease Cycles'!$DD$10:$DJ$10,1,DD44)))),0)</f>
        <v>0</v>
      </c>
      <c r="DE53" s="24">
        <f>IF(DE46=1,IF('Lease Cycles'!$AJ$10=1,0,'Lease Cycles'!$D$10*INDEX('Lease Cycles'!$FH$10:$FN$10,1,DE44)*IF(INDEX('Lease Cycles'!$EF$10:$EL$10,1,DE44)=1,1,IF(OR(INDEX('Lease Cycles'!$DY$10:$EE$10,1,DE44)=1,DE45&gt;0),1,1-INDEX('Lease Cycles'!$DD$10:$DJ$10,1,DE44)))),0)</f>
        <v>0</v>
      </c>
      <c r="DF53" s="24">
        <f>IF(DF46=1,IF('Lease Cycles'!$AJ$10=1,0,'Lease Cycles'!$D$10*INDEX('Lease Cycles'!$FH$10:$FN$10,1,DF44)*IF(INDEX('Lease Cycles'!$EF$10:$EL$10,1,DF44)=1,1,IF(OR(INDEX('Lease Cycles'!$DY$10:$EE$10,1,DF44)=1,DF45&gt;0),1,1-INDEX('Lease Cycles'!$DD$10:$DJ$10,1,DF44)))),0)</f>
        <v>0</v>
      </c>
      <c r="DG53" s="24">
        <f>IF(DG46=1,IF('Lease Cycles'!$AJ$10=1,0,'Lease Cycles'!$D$10*INDEX('Lease Cycles'!$FH$10:$FN$10,1,DG44)*IF(INDEX('Lease Cycles'!$EF$10:$EL$10,1,DG44)=1,1,IF(OR(INDEX('Lease Cycles'!$DY$10:$EE$10,1,DG44)=1,DG45&gt;0),1,1-INDEX('Lease Cycles'!$DD$10:$DJ$10,1,DG44)))),0)</f>
        <v>0</v>
      </c>
      <c r="DH53" s="24">
        <f>IF(DH46=1,IF('Lease Cycles'!$AJ$10=1,0,'Lease Cycles'!$D$10*INDEX('Lease Cycles'!$FH$10:$FN$10,1,DH44)*IF(INDEX('Lease Cycles'!$EF$10:$EL$10,1,DH44)=1,1,IF(OR(INDEX('Lease Cycles'!$DY$10:$EE$10,1,DH44)=1,DH45&gt;0),1,1-INDEX('Lease Cycles'!$DD$10:$DJ$10,1,DH44)))),0)</f>
        <v>0</v>
      </c>
      <c r="DI53" s="24">
        <f>IF(DI46=1,IF('Lease Cycles'!$AJ$10=1,0,'Lease Cycles'!$D$10*INDEX('Lease Cycles'!$FH$10:$FN$10,1,DI44)*IF(INDEX('Lease Cycles'!$EF$10:$EL$10,1,DI44)=1,1,IF(OR(INDEX('Lease Cycles'!$DY$10:$EE$10,1,DI44)=1,DI45&gt;0),1,1-INDEX('Lease Cycles'!$DD$10:$DJ$10,1,DI44)))),0)</f>
        <v>0</v>
      </c>
      <c r="DJ53" s="24">
        <f>IF(DJ46=1,IF('Lease Cycles'!$AJ$10=1,0,'Lease Cycles'!$D$10*INDEX('Lease Cycles'!$FH$10:$FN$10,1,DJ44)*IF(INDEX('Lease Cycles'!$EF$10:$EL$10,1,DJ44)=1,1,IF(OR(INDEX('Lease Cycles'!$DY$10:$EE$10,1,DJ44)=1,DJ45&gt;0),1,1-INDEX('Lease Cycles'!$DD$10:$DJ$10,1,DJ44)))),0)</f>
        <v>0</v>
      </c>
      <c r="DK53" s="24">
        <f>IF(DK46=1,IF('Lease Cycles'!$AJ$10=1,0,'Lease Cycles'!$D$10*INDEX('Lease Cycles'!$FH$10:$FN$10,1,DK44)*IF(INDEX('Lease Cycles'!$EF$10:$EL$10,1,DK44)=1,1,IF(OR(INDEX('Lease Cycles'!$DY$10:$EE$10,1,DK44)=1,DK45&gt;0),1,1-INDEX('Lease Cycles'!$DD$10:$DJ$10,1,DK44)))),0)</f>
        <v>0</v>
      </c>
      <c r="DL53" s="24">
        <f>IF(DL46=1,IF('Lease Cycles'!$AJ$10=1,0,'Lease Cycles'!$D$10*INDEX('Lease Cycles'!$FH$10:$FN$10,1,DL44)*IF(INDEX('Lease Cycles'!$EF$10:$EL$10,1,DL44)=1,1,IF(OR(INDEX('Lease Cycles'!$DY$10:$EE$10,1,DL44)=1,DL45&gt;0),1,1-INDEX('Lease Cycles'!$DD$10:$DJ$10,1,DL44)))),0)</f>
        <v>0</v>
      </c>
      <c r="DM53" s="24">
        <f>IF(DM46=1,IF('Lease Cycles'!$AJ$10=1,0,'Lease Cycles'!$D$10*INDEX('Lease Cycles'!$FH$10:$FN$10,1,DM44)*IF(INDEX('Lease Cycles'!$EF$10:$EL$10,1,DM44)=1,1,IF(OR(INDEX('Lease Cycles'!$DY$10:$EE$10,1,DM44)=1,DM45&gt;0),1,1-INDEX('Lease Cycles'!$DD$10:$DJ$10,1,DM44)))),0)</f>
        <v>0</v>
      </c>
      <c r="DN53" s="24">
        <f>IF(DN46=1,IF('Lease Cycles'!$AJ$10=1,0,'Lease Cycles'!$D$10*INDEX('Lease Cycles'!$FH$10:$FN$10,1,DN44)*IF(INDEX('Lease Cycles'!$EF$10:$EL$10,1,DN44)=1,1,IF(OR(INDEX('Lease Cycles'!$DY$10:$EE$10,1,DN44)=1,DN45&gt;0),1,1-INDEX('Lease Cycles'!$DD$10:$DJ$10,1,DN44)))),0)</f>
        <v>0</v>
      </c>
      <c r="DO53" s="24">
        <f>IF(DO46=1,IF('Lease Cycles'!$AJ$10=1,0,'Lease Cycles'!$D$10*INDEX('Lease Cycles'!$FH$10:$FN$10,1,DO44)*IF(INDEX('Lease Cycles'!$EF$10:$EL$10,1,DO44)=1,1,IF(OR(INDEX('Lease Cycles'!$DY$10:$EE$10,1,DO44)=1,DO45&gt;0),1,1-INDEX('Lease Cycles'!$DD$10:$DJ$10,1,DO44)))),0)</f>
        <v>0</v>
      </c>
      <c r="DP53" s="24">
        <f>IF(DP46=1,IF('Lease Cycles'!$AJ$10=1,0,'Lease Cycles'!$D$10*INDEX('Lease Cycles'!$FH$10:$FN$10,1,DP44)*IF(INDEX('Lease Cycles'!$EF$10:$EL$10,1,DP44)=1,1,IF(OR(INDEX('Lease Cycles'!$DY$10:$EE$10,1,DP44)=1,DP45&gt;0),1,1-INDEX('Lease Cycles'!$DD$10:$DJ$10,1,DP44)))),0)</f>
        <v>0</v>
      </c>
      <c r="DQ53" s="24">
        <f>IF(DQ46=1,IF('Lease Cycles'!$AJ$10=1,0,'Lease Cycles'!$D$10*INDEX('Lease Cycles'!$FH$10:$FN$10,1,DQ44)*IF(INDEX('Lease Cycles'!$EF$10:$EL$10,1,DQ44)=1,1,IF(OR(INDEX('Lease Cycles'!$DY$10:$EE$10,1,DQ44)=1,DQ45&gt;0),1,1-INDEX('Lease Cycles'!$DD$10:$DJ$10,1,DQ44)))),0)</f>
        <v>0</v>
      </c>
      <c r="DR53" s="24">
        <f>IF(DR46=1,IF('Lease Cycles'!$AJ$10=1,0,'Lease Cycles'!$D$10*INDEX('Lease Cycles'!$FH$10:$FN$10,1,DR44)*IF(INDEX('Lease Cycles'!$EF$10:$EL$10,1,DR44)=1,1,IF(OR(INDEX('Lease Cycles'!$DY$10:$EE$10,1,DR44)=1,DR45&gt;0),1,1-INDEX('Lease Cycles'!$DD$10:$DJ$10,1,DR44)))),0)</f>
        <v>0</v>
      </c>
      <c r="DS53" s="24">
        <f>IF(DS46=1,IF('Lease Cycles'!$AJ$10=1,0,'Lease Cycles'!$D$10*INDEX('Lease Cycles'!$FH$10:$FN$10,1,DS44)*IF(INDEX('Lease Cycles'!$EF$10:$EL$10,1,DS44)=1,1,IF(OR(INDEX('Lease Cycles'!$DY$10:$EE$10,1,DS44)=1,DS45&gt;0),1,1-INDEX('Lease Cycles'!$DD$10:$DJ$10,1,DS44)))),0)</f>
        <v>0</v>
      </c>
      <c r="DT53" s="24">
        <f>IF(DT46=1,IF('Lease Cycles'!$AJ$10=1,0,'Lease Cycles'!$D$10*INDEX('Lease Cycles'!$FH$10:$FN$10,1,DT44)*IF(INDEX('Lease Cycles'!$EF$10:$EL$10,1,DT44)=1,1,IF(OR(INDEX('Lease Cycles'!$DY$10:$EE$10,1,DT44)=1,DT45&gt;0),1,1-INDEX('Lease Cycles'!$DD$10:$DJ$10,1,DT44)))),0)</f>
        <v>0</v>
      </c>
      <c r="DU53" s="24">
        <f>IF(DU46=1,IF('Lease Cycles'!$AJ$10=1,0,'Lease Cycles'!$D$10*INDEX('Lease Cycles'!$FH$10:$FN$10,1,DU44)*IF(INDEX('Lease Cycles'!$EF$10:$EL$10,1,DU44)=1,1,IF(OR(INDEX('Lease Cycles'!$DY$10:$EE$10,1,DU44)=1,DU45&gt;0),1,1-INDEX('Lease Cycles'!$DD$10:$DJ$10,1,DU44)))),0)</f>
        <v>0</v>
      </c>
      <c r="DV53" s="24">
        <f>IF(DV46=1,IF('Lease Cycles'!$AJ$10=1,0,'Lease Cycles'!$D$10*INDEX('Lease Cycles'!$FH$10:$FN$10,1,DV44)*IF(INDEX('Lease Cycles'!$EF$10:$EL$10,1,DV44)=1,1,IF(OR(INDEX('Lease Cycles'!$DY$10:$EE$10,1,DV44)=1,DV45&gt;0),1,1-INDEX('Lease Cycles'!$DD$10:$DJ$10,1,DV44)))),0)</f>
        <v>0</v>
      </c>
      <c r="DW53" s="24">
        <f>IF(DW46=1,IF('Lease Cycles'!$AJ$10=1,0,'Lease Cycles'!$D$10*INDEX('Lease Cycles'!$FH$10:$FN$10,1,DW44)*IF(INDEX('Lease Cycles'!$EF$10:$EL$10,1,DW44)=1,1,IF(OR(INDEX('Lease Cycles'!$DY$10:$EE$10,1,DW44)=1,DW45&gt;0),1,1-INDEX('Lease Cycles'!$DD$10:$DJ$10,1,DW44)))),0)</f>
        <v>0</v>
      </c>
      <c r="DX53" s="24">
        <f>IF(DX46=1,IF('Lease Cycles'!$AJ$10=1,0,'Lease Cycles'!$D$10*INDEX('Lease Cycles'!$FH$10:$FN$10,1,DX44)*IF(INDEX('Lease Cycles'!$EF$10:$EL$10,1,DX44)=1,1,IF(OR(INDEX('Lease Cycles'!$DY$10:$EE$10,1,DX44)=1,DX45&gt;0),1,1-INDEX('Lease Cycles'!$DD$10:$DJ$10,1,DX44)))),0)</f>
        <v>0</v>
      </c>
      <c r="DY53" s="24">
        <f>IF(DY46=1,IF('Lease Cycles'!$AJ$10=1,0,'Lease Cycles'!$D$10*INDEX('Lease Cycles'!$FH$10:$FN$10,1,DY44)*IF(INDEX('Lease Cycles'!$EF$10:$EL$10,1,DY44)=1,1,IF(OR(INDEX('Lease Cycles'!$DY$10:$EE$10,1,DY44)=1,DY45&gt;0),1,1-INDEX('Lease Cycles'!$DD$10:$DJ$10,1,DY44)))),0)</f>
        <v>0</v>
      </c>
      <c r="DZ53" s="24">
        <f>IF(DZ46=1,IF('Lease Cycles'!$AJ$10=1,0,'Lease Cycles'!$D$10*INDEX('Lease Cycles'!$FH$10:$FN$10,1,DZ44)*IF(INDEX('Lease Cycles'!$EF$10:$EL$10,1,DZ44)=1,1,IF(OR(INDEX('Lease Cycles'!$DY$10:$EE$10,1,DZ44)=1,DZ45&gt;0),1,1-INDEX('Lease Cycles'!$DD$10:$DJ$10,1,DZ44)))),0)</f>
        <v>0</v>
      </c>
      <c r="EA53" s="24">
        <f>IF(EA46=1,IF('Lease Cycles'!$AJ$10=1,0,'Lease Cycles'!$D$10*INDEX('Lease Cycles'!$FH$10:$FN$10,1,EA44)*IF(INDEX('Lease Cycles'!$EF$10:$EL$10,1,EA44)=1,1,IF(OR(INDEX('Lease Cycles'!$DY$10:$EE$10,1,EA44)=1,EA45&gt;0),1,1-INDEX('Lease Cycles'!$DD$10:$DJ$10,1,EA44)))),0)</f>
        <v>0</v>
      </c>
      <c r="EB53" s="24">
        <f>IF(EB46=1,IF('Lease Cycles'!$AJ$10=1,0,'Lease Cycles'!$D$10*INDEX('Lease Cycles'!$FH$10:$FN$10,1,EB44)*IF(INDEX('Lease Cycles'!$EF$10:$EL$10,1,EB44)=1,1,IF(OR(INDEX('Lease Cycles'!$DY$10:$EE$10,1,EB44)=1,EB45&gt;0),1,1-INDEX('Lease Cycles'!$DD$10:$DJ$10,1,EB44)))),0)</f>
        <v>0</v>
      </c>
      <c r="EC53" s="24">
        <f>IF(EC46=1,IF('Lease Cycles'!$AJ$10=1,0,'Lease Cycles'!$D$10*INDEX('Lease Cycles'!$FH$10:$FN$10,1,EC44)*IF(INDEX('Lease Cycles'!$EF$10:$EL$10,1,EC44)=1,1,IF(OR(INDEX('Lease Cycles'!$DY$10:$EE$10,1,EC44)=1,EC45&gt;0),1,1-INDEX('Lease Cycles'!$DD$10:$DJ$10,1,EC44)))),0)</f>
        <v>0</v>
      </c>
      <c r="ED53" s="24">
        <f>IF(ED46=1,IF('Lease Cycles'!$AJ$10=1,0,'Lease Cycles'!$D$10*INDEX('Lease Cycles'!$FH$10:$FN$10,1,ED44)*IF(INDEX('Lease Cycles'!$EF$10:$EL$10,1,ED44)=1,1,IF(OR(INDEX('Lease Cycles'!$DY$10:$EE$10,1,ED44)=1,ED45&gt;0),1,1-INDEX('Lease Cycles'!$DD$10:$DJ$10,1,ED44)))),0)</f>
        <v>0</v>
      </c>
      <c r="EE53" s="24">
        <f>IF(EE46=1,IF('Lease Cycles'!$AJ$10=1,0,'Lease Cycles'!$D$10*INDEX('Lease Cycles'!$FH$10:$FN$10,1,EE44)*IF(INDEX('Lease Cycles'!$EF$10:$EL$10,1,EE44)=1,1,IF(OR(INDEX('Lease Cycles'!$DY$10:$EE$10,1,EE44)=1,EE45&gt;0),1,1-INDEX('Lease Cycles'!$DD$10:$DJ$10,1,EE44)))),0)</f>
        <v>0</v>
      </c>
      <c r="EF53" s="24">
        <f>IF(EF46=1,IF('Lease Cycles'!$AJ$10=1,0,'Lease Cycles'!$D$10*INDEX('Lease Cycles'!$FH$10:$FN$10,1,EF44)*IF(INDEX('Lease Cycles'!$EF$10:$EL$10,1,EF44)=1,1,IF(OR(INDEX('Lease Cycles'!$DY$10:$EE$10,1,EF44)=1,EF45&gt;0),1,1-INDEX('Lease Cycles'!$DD$10:$DJ$10,1,EF44)))),0)</f>
        <v>0</v>
      </c>
      <c r="EG53" s="24">
        <f>IF(EG46=1,IF('Lease Cycles'!$AJ$10=1,0,'Lease Cycles'!$D$10*INDEX('Lease Cycles'!$FH$10:$FN$10,1,EG44)*IF(INDEX('Lease Cycles'!$EF$10:$EL$10,1,EG44)=1,1,IF(OR(INDEX('Lease Cycles'!$DY$10:$EE$10,1,EG44)=1,EG45&gt;0),1,1-INDEX('Lease Cycles'!$DD$10:$DJ$10,1,EG44)))),0)</f>
        <v>0</v>
      </c>
      <c r="EH53" s="24">
        <f>IF(EH46=1,IF('Lease Cycles'!$AJ$10=1,0,'Lease Cycles'!$D$10*INDEX('Lease Cycles'!$FH$10:$FN$10,1,EH44)*IF(INDEX('Lease Cycles'!$EF$10:$EL$10,1,EH44)=1,1,IF(OR(INDEX('Lease Cycles'!$DY$10:$EE$10,1,EH44)=1,EH45&gt;0),1,1-INDEX('Lease Cycles'!$DD$10:$DJ$10,1,EH44)))),0)</f>
        <v>0</v>
      </c>
      <c r="EI53" s="24">
        <f>IF(EI46=1,IF('Lease Cycles'!$AJ$10=1,0,'Lease Cycles'!$D$10*INDEX('Lease Cycles'!$FH$10:$FN$10,1,EI44)*IF(INDEX('Lease Cycles'!$EF$10:$EL$10,1,EI44)=1,1,IF(OR(INDEX('Lease Cycles'!$DY$10:$EE$10,1,EI44)=1,EI45&gt;0),1,1-INDEX('Lease Cycles'!$DD$10:$DJ$10,1,EI44)))),0)</f>
        <v>0</v>
      </c>
      <c r="EJ53" s="24">
        <f>IF(EJ46=1,IF('Lease Cycles'!$AJ$10=1,0,'Lease Cycles'!$D$10*INDEX('Lease Cycles'!$FH$10:$FN$10,1,EJ44)*IF(INDEX('Lease Cycles'!$EF$10:$EL$10,1,EJ44)=1,1,IF(OR(INDEX('Lease Cycles'!$DY$10:$EE$10,1,EJ44)=1,EJ45&gt;0),1,1-INDEX('Lease Cycles'!$DD$10:$DJ$10,1,EJ44)))),0)</f>
        <v>0</v>
      </c>
      <c r="EK53" s="24">
        <f>IF(EK46=1,IF('Lease Cycles'!$AJ$10=1,0,'Lease Cycles'!$D$10*INDEX('Lease Cycles'!$FH$10:$FN$10,1,EK44)*IF(INDEX('Lease Cycles'!$EF$10:$EL$10,1,EK44)=1,1,IF(OR(INDEX('Lease Cycles'!$DY$10:$EE$10,1,EK44)=1,EK45&gt;0),1,1-INDEX('Lease Cycles'!$DD$10:$DJ$10,1,EK44)))),0)</f>
        <v>0</v>
      </c>
      <c r="EL53" s="24">
        <f>IF(EL46=1,IF('Lease Cycles'!$AJ$10=1,0,'Lease Cycles'!$D$10*INDEX('Lease Cycles'!$FH$10:$FN$10,1,EL44)*IF(INDEX('Lease Cycles'!$EF$10:$EL$10,1,EL44)=1,1,IF(OR(INDEX('Lease Cycles'!$DY$10:$EE$10,1,EL44)=1,EL45&gt;0),1,1-INDEX('Lease Cycles'!$DD$10:$DJ$10,1,EL44)))),0)</f>
        <v>0</v>
      </c>
      <c r="EM53" s="24">
        <f>IF(EM46=1,IF('Lease Cycles'!$AJ$10=1,0,'Lease Cycles'!$D$10*INDEX('Lease Cycles'!$FH$10:$FN$10,1,EM44)*IF(INDEX('Lease Cycles'!$EF$10:$EL$10,1,EM44)=1,1,IF(OR(INDEX('Lease Cycles'!$DY$10:$EE$10,1,EM44)=1,EM45&gt;0),1,1-INDEX('Lease Cycles'!$DD$10:$DJ$10,1,EM44)))),0)</f>
        <v>0</v>
      </c>
      <c r="EN53" s="24">
        <f>IF(EN46=1,IF('Lease Cycles'!$AJ$10=1,0,'Lease Cycles'!$D$10*INDEX('Lease Cycles'!$FH$10:$FN$10,1,EN44)*IF(INDEX('Lease Cycles'!$EF$10:$EL$10,1,EN44)=1,1,IF(OR(INDEX('Lease Cycles'!$DY$10:$EE$10,1,EN44)=1,EN45&gt;0),1,1-INDEX('Lease Cycles'!$DD$10:$DJ$10,1,EN44)))),0)</f>
        <v>0</v>
      </c>
      <c r="EO53" s="24">
        <f>IF(EO46=1,IF('Lease Cycles'!$AJ$10=1,0,'Lease Cycles'!$D$10*INDEX('Lease Cycles'!$FH$10:$FN$10,1,EO44)*IF(INDEX('Lease Cycles'!$EF$10:$EL$10,1,EO44)=1,1,IF(OR(INDEX('Lease Cycles'!$DY$10:$EE$10,1,EO44)=1,EO45&gt;0),1,1-INDEX('Lease Cycles'!$DD$10:$DJ$10,1,EO44)))),0)</f>
        <v>0</v>
      </c>
      <c r="EP53" s="24">
        <f>IF(EP46=1,IF('Lease Cycles'!$AJ$10=1,0,'Lease Cycles'!$D$10*INDEX('Lease Cycles'!$FH$10:$FN$10,1,EP44)*IF(INDEX('Lease Cycles'!$EF$10:$EL$10,1,EP44)=1,1,IF(OR(INDEX('Lease Cycles'!$DY$10:$EE$10,1,EP44)=1,EP45&gt;0),1,1-INDEX('Lease Cycles'!$DD$10:$DJ$10,1,EP44)))),0)</f>
        <v>0</v>
      </c>
      <c r="EQ53" s="24">
        <f>IF(EQ46=1,IF('Lease Cycles'!$AJ$10=1,0,'Lease Cycles'!$D$10*INDEX('Lease Cycles'!$FH$10:$FN$10,1,EQ44)*IF(INDEX('Lease Cycles'!$EF$10:$EL$10,1,EQ44)=1,1,IF(OR(INDEX('Lease Cycles'!$DY$10:$EE$10,1,EQ44)=1,EQ45&gt;0),1,1-INDEX('Lease Cycles'!$DD$10:$DJ$10,1,EQ44)))),0)</f>
        <v>0</v>
      </c>
      <c r="ER53" s="24">
        <f>IF(ER46=1,IF('Lease Cycles'!$AJ$10=1,0,'Lease Cycles'!$D$10*INDEX('Lease Cycles'!$FH$10:$FN$10,1,ER44)*IF(INDEX('Lease Cycles'!$EF$10:$EL$10,1,ER44)=1,1,IF(OR(INDEX('Lease Cycles'!$DY$10:$EE$10,1,ER44)=1,ER45&gt;0),1,1-INDEX('Lease Cycles'!$DD$10:$DJ$10,1,ER44)))),0)</f>
        <v>0</v>
      </c>
      <c r="ES53" s="24">
        <f>IF(ES46=1,IF('Lease Cycles'!$AJ$10=1,0,'Lease Cycles'!$D$10*INDEX('Lease Cycles'!$FH$10:$FN$10,1,ES44)*IF(INDEX('Lease Cycles'!$EF$10:$EL$10,1,ES44)=1,1,IF(OR(INDEX('Lease Cycles'!$DY$10:$EE$10,1,ES44)=1,ES45&gt;0),1,1-INDEX('Lease Cycles'!$DD$10:$DJ$10,1,ES44)))),0)</f>
        <v>0</v>
      </c>
      <c r="ET53" s="24">
        <f>IF(ET46=1,IF('Lease Cycles'!$AJ$10=1,0,'Lease Cycles'!$D$10*INDEX('Lease Cycles'!$FH$10:$FN$10,1,ET44)*IF(INDEX('Lease Cycles'!$EF$10:$EL$10,1,ET44)=1,1,IF(OR(INDEX('Lease Cycles'!$DY$10:$EE$10,1,ET44)=1,ET45&gt;0),1,1-INDEX('Lease Cycles'!$DD$10:$DJ$10,1,ET44)))),0)</f>
        <v>0</v>
      </c>
    </row>
    <row r="54">
      <c r="A54" s="103">
        <v>3</v>
      </c>
      <c r="B54" s="23" t="str">
        <f>IF('Lease Cycles'!$B$10="","(empty slot)",'Lease Cycles'!$B$10)</f>
        <v>Sunfield Fitness</v>
      </c>
      <c r="C54" s="23" t="s">
        <v>687</v>
      </c>
      <c r="D54" s="104" t="s">
        <v>688</v>
      </c>
      <c r="E54" s="25">
        <f>'Lease Cycles'!$AL$10</f>
        <v>0</v>
      </c>
      <c r="G54" s="24">
        <f>SUM(S54:AD54)</f>
        <v>0</v>
      </c>
      <c r="H54" s="24">
        <f>SUM(AE54:AP54)</f>
        <v>0</v>
      </c>
      <c r="I54" s="24">
        <f>SUM(AQ54:BB54)</f>
        <v>0</v>
      </c>
      <c r="J54" s="24">
        <f>SUM(BC54:BN54)</f>
        <v>0</v>
      </c>
      <c r="K54" s="24">
        <f>SUM(BO54:BZ54)</f>
        <v>0</v>
      </c>
      <c r="L54" s="24">
        <f>SUM(CA54:CL54)</f>
        <v>0</v>
      </c>
      <c r="M54" s="24">
        <f>SUM(CM54:CX54)</f>
        <v>0</v>
      </c>
      <c r="N54" s="24">
        <f>SUM(CY54:DJ54)</f>
        <v>0</v>
      </c>
      <c r="O54" s="24">
        <f>SUM(DK54:DV54)</f>
        <v>0</v>
      </c>
      <c r="P54" s="24">
        <f>SUM(DW54:EH54)</f>
        <v>0</v>
      </c>
      <c r="Q54" s="24">
        <f>SUM(EI54:ET54)</f>
        <v>0</v>
      </c>
      <c r="S54" s="24">
        <f>IF(S46=1,'Lease Cycles'!$D$10*IF(INDEX('Lease Cycles'!$EF$10:$EL$10,1,S44)=1,'Lease Cycles'!$AJ$10*INDEX('Lease Cycles'!$FO$10:$FU$10,1,S44)*INDEX('Lease Cycles'!$EM$10:$ES$10,1,S44)+'Lease Cycles'!$BE$10*IF(S45&lt;INDEX('Lease Cycles'!$FA$10:$FG$10,1,S44),0,1-INDEX('Lease Cycles'!$EM$10:$ES$10,1,S44)),IF(OR(INDEX('Lease Cycles'!$DY$10:$EE$10,1,S44)=1,S45&gt;0),1,1-INDEX('Lease Cycles'!$DD$10:$DJ$10,1,S44))*('Lease Cycles'!$AJ$10*INDEX('Lease Cycles'!$FO$10:$FU$10,1,S44)+'Lease Cycles'!$BE$10*(1-INDEX('Lease Cycles'!$FO$10:$FU$10,1,S44)))),0)</f>
        <v>0</v>
      </c>
      <c r="T54" s="24">
        <f>IF(T46=1,'Lease Cycles'!$D$10*IF(INDEX('Lease Cycles'!$EF$10:$EL$10,1,T44)=1,'Lease Cycles'!$AJ$10*INDEX('Lease Cycles'!$FO$10:$FU$10,1,T44)*INDEX('Lease Cycles'!$EM$10:$ES$10,1,T44)+'Lease Cycles'!$BE$10*IF(T45&lt;INDEX('Lease Cycles'!$FA$10:$FG$10,1,T44),0,1-INDEX('Lease Cycles'!$EM$10:$ES$10,1,T44)),IF(OR(INDEX('Lease Cycles'!$DY$10:$EE$10,1,T44)=1,T45&gt;0),1,1-INDEX('Lease Cycles'!$DD$10:$DJ$10,1,T44))*('Lease Cycles'!$AJ$10*INDEX('Lease Cycles'!$FO$10:$FU$10,1,T44)+'Lease Cycles'!$BE$10*(1-INDEX('Lease Cycles'!$FO$10:$FU$10,1,T44)))),0)</f>
        <v>0</v>
      </c>
      <c r="U54" s="24">
        <f>IF(U46=1,'Lease Cycles'!$D$10*IF(INDEX('Lease Cycles'!$EF$10:$EL$10,1,U44)=1,'Lease Cycles'!$AJ$10*INDEX('Lease Cycles'!$FO$10:$FU$10,1,U44)*INDEX('Lease Cycles'!$EM$10:$ES$10,1,U44)+'Lease Cycles'!$BE$10*IF(U45&lt;INDEX('Lease Cycles'!$FA$10:$FG$10,1,U44),0,1-INDEX('Lease Cycles'!$EM$10:$ES$10,1,U44)),IF(OR(INDEX('Lease Cycles'!$DY$10:$EE$10,1,U44)=1,U45&gt;0),1,1-INDEX('Lease Cycles'!$DD$10:$DJ$10,1,U44))*('Lease Cycles'!$AJ$10*INDEX('Lease Cycles'!$FO$10:$FU$10,1,U44)+'Lease Cycles'!$BE$10*(1-INDEX('Lease Cycles'!$FO$10:$FU$10,1,U44)))),0)</f>
        <v>0</v>
      </c>
      <c r="V54" s="24">
        <f>IF(V46=1,'Lease Cycles'!$D$10*IF(INDEX('Lease Cycles'!$EF$10:$EL$10,1,V44)=1,'Lease Cycles'!$AJ$10*INDEX('Lease Cycles'!$FO$10:$FU$10,1,V44)*INDEX('Lease Cycles'!$EM$10:$ES$10,1,V44)+'Lease Cycles'!$BE$10*IF(V45&lt;INDEX('Lease Cycles'!$FA$10:$FG$10,1,V44),0,1-INDEX('Lease Cycles'!$EM$10:$ES$10,1,V44)),IF(OR(INDEX('Lease Cycles'!$DY$10:$EE$10,1,V44)=1,V45&gt;0),1,1-INDEX('Lease Cycles'!$DD$10:$DJ$10,1,V44))*('Lease Cycles'!$AJ$10*INDEX('Lease Cycles'!$FO$10:$FU$10,1,V44)+'Lease Cycles'!$BE$10*(1-INDEX('Lease Cycles'!$FO$10:$FU$10,1,V44)))),0)</f>
        <v>0</v>
      </c>
      <c r="W54" s="24">
        <f>IF(W46=1,'Lease Cycles'!$D$10*IF(INDEX('Lease Cycles'!$EF$10:$EL$10,1,W44)=1,'Lease Cycles'!$AJ$10*INDEX('Lease Cycles'!$FO$10:$FU$10,1,W44)*INDEX('Lease Cycles'!$EM$10:$ES$10,1,W44)+'Lease Cycles'!$BE$10*IF(W45&lt;INDEX('Lease Cycles'!$FA$10:$FG$10,1,W44),0,1-INDEX('Lease Cycles'!$EM$10:$ES$10,1,W44)),IF(OR(INDEX('Lease Cycles'!$DY$10:$EE$10,1,W44)=1,W45&gt;0),1,1-INDEX('Lease Cycles'!$DD$10:$DJ$10,1,W44))*('Lease Cycles'!$AJ$10*INDEX('Lease Cycles'!$FO$10:$FU$10,1,W44)+'Lease Cycles'!$BE$10*(1-INDEX('Lease Cycles'!$FO$10:$FU$10,1,W44)))),0)</f>
        <v>0</v>
      </c>
      <c r="X54" s="24">
        <f>IF(X46=1,'Lease Cycles'!$D$10*IF(INDEX('Lease Cycles'!$EF$10:$EL$10,1,X44)=1,'Lease Cycles'!$AJ$10*INDEX('Lease Cycles'!$FO$10:$FU$10,1,X44)*INDEX('Lease Cycles'!$EM$10:$ES$10,1,X44)+'Lease Cycles'!$BE$10*IF(X45&lt;INDEX('Lease Cycles'!$FA$10:$FG$10,1,X44),0,1-INDEX('Lease Cycles'!$EM$10:$ES$10,1,X44)),IF(OR(INDEX('Lease Cycles'!$DY$10:$EE$10,1,X44)=1,X45&gt;0),1,1-INDEX('Lease Cycles'!$DD$10:$DJ$10,1,X44))*('Lease Cycles'!$AJ$10*INDEX('Lease Cycles'!$FO$10:$FU$10,1,X44)+'Lease Cycles'!$BE$10*(1-INDEX('Lease Cycles'!$FO$10:$FU$10,1,X44)))),0)</f>
        <v>0</v>
      </c>
      <c r="Y54" s="24">
        <f>IF(Y46=1,'Lease Cycles'!$D$10*IF(INDEX('Lease Cycles'!$EF$10:$EL$10,1,Y44)=1,'Lease Cycles'!$AJ$10*INDEX('Lease Cycles'!$FO$10:$FU$10,1,Y44)*INDEX('Lease Cycles'!$EM$10:$ES$10,1,Y44)+'Lease Cycles'!$BE$10*IF(Y45&lt;INDEX('Lease Cycles'!$FA$10:$FG$10,1,Y44),0,1-INDEX('Lease Cycles'!$EM$10:$ES$10,1,Y44)),IF(OR(INDEX('Lease Cycles'!$DY$10:$EE$10,1,Y44)=1,Y45&gt;0),1,1-INDEX('Lease Cycles'!$DD$10:$DJ$10,1,Y44))*('Lease Cycles'!$AJ$10*INDEX('Lease Cycles'!$FO$10:$FU$10,1,Y44)+'Lease Cycles'!$BE$10*(1-INDEX('Lease Cycles'!$FO$10:$FU$10,1,Y44)))),0)</f>
        <v>0</v>
      </c>
      <c r="Z54" s="24">
        <f>IF(Z46=1,'Lease Cycles'!$D$10*IF(INDEX('Lease Cycles'!$EF$10:$EL$10,1,Z44)=1,'Lease Cycles'!$AJ$10*INDEX('Lease Cycles'!$FO$10:$FU$10,1,Z44)*INDEX('Lease Cycles'!$EM$10:$ES$10,1,Z44)+'Lease Cycles'!$BE$10*IF(Z45&lt;INDEX('Lease Cycles'!$FA$10:$FG$10,1,Z44),0,1-INDEX('Lease Cycles'!$EM$10:$ES$10,1,Z44)),IF(OR(INDEX('Lease Cycles'!$DY$10:$EE$10,1,Z44)=1,Z45&gt;0),1,1-INDEX('Lease Cycles'!$DD$10:$DJ$10,1,Z44))*('Lease Cycles'!$AJ$10*INDEX('Lease Cycles'!$FO$10:$FU$10,1,Z44)+'Lease Cycles'!$BE$10*(1-INDEX('Lease Cycles'!$FO$10:$FU$10,1,Z44)))),0)</f>
        <v>0</v>
      </c>
      <c r="AA54" s="24">
        <f>IF(AA46=1,'Lease Cycles'!$D$10*IF(INDEX('Lease Cycles'!$EF$10:$EL$10,1,AA44)=1,'Lease Cycles'!$AJ$10*INDEX('Lease Cycles'!$FO$10:$FU$10,1,AA44)*INDEX('Lease Cycles'!$EM$10:$ES$10,1,AA44)+'Lease Cycles'!$BE$10*IF(AA45&lt;INDEX('Lease Cycles'!$FA$10:$FG$10,1,AA44),0,1-INDEX('Lease Cycles'!$EM$10:$ES$10,1,AA44)),IF(OR(INDEX('Lease Cycles'!$DY$10:$EE$10,1,AA44)=1,AA45&gt;0),1,1-INDEX('Lease Cycles'!$DD$10:$DJ$10,1,AA44))*('Lease Cycles'!$AJ$10*INDEX('Lease Cycles'!$FO$10:$FU$10,1,AA44)+'Lease Cycles'!$BE$10*(1-INDEX('Lease Cycles'!$FO$10:$FU$10,1,AA44)))),0)</f>
        <v>0</v>
      </c>
      <c r="AB54" s="24">
        <f>IF(AB46=1,'Lease Cycles'!$D$10*IF(INDEX('Lease Cycles'!$EF$10:$EL$10,1,AB44)=1,'Lease Cycles'!$AJ$10*INDEX('Lease Cycles'!$FO$10:$FU$10,1,AB44)*INDEX('Lease Cycles'!$EM$10:$ES$10,1,AB44)+'Lease Cycles'!$BE$10*IF(AB45&lt;INDEX('Lease Cycles'!$FA$10:$FG$10,1,AB44),0,1-INDEX('Lease Cycles'!$EM$10:$ES$10,1,AB44)),IF(OR(INDEX('Lease Cycles'!$DY$10:$EE$10,1,AB44)=1,AB45&gt;0),1,1-INDEX('Lease Cycles'!$DD$10:$DJ$10,1,AB44))*('Lease Cycles'!$AJ$10*INDEX('Lease Cycles'!$FO$10:$FU$10,1,AB44)+'Lease Cycles'!$BE$10*(1-INDEX('Lease Cycles'!$FO$10:$FU$10,1,AB44)))),0)</f>
        <v>0</v>
      </c>
      <c r="AC54" s="24">
        <f>IF(AC46=1,'Lease Cycles'!$D$10*IF(INDEX('Lease Cycles'!$EF$10:$EL$10,1,AC44)=1,'Lease Cycles'!$AJ$10*INDEX('Lease Cycles'!$FO$10:$FU$10,1,AC44)*INDEX('Lease Cycles'!$EM$10:$ES$10,1,AC44)+'Lease Cycles'!$BE$10*IF(AC45&lt;INDEX('Lease Cycles'!$FA$10:$FG$10,1,AC44),0,1-INDEX('Lease Cycles'!$EM$10:$ES$10,1,AC44)),IF(OR(INDEX('Lease Cycles'!$DY$10:$EE$10,1,AC44)=1,AC45&gt;0),1,1-INDEX('Lease Cycles'!$DD$10:$DJ$10,1,AC44))*('Lease Cycles'!$AJ$10*INDEX('Lease Cycles'!$FO$10:$FU$10,1,AC44)+'Lease Cycles'!$BE$10*(1-INDEX('Lease Cycles'!$FO$10:$FU$10,1,AC44)))),0)</f>
        <v>0</v>
      </c>
      <c r="AD54" s="24">
        <f>IF(AD46=1,'Lease Cycles'!$D$10*IF(INDEX('Lease Cycles'!$EF$10:$EL$10,1,AD44)=1,'Lease Cycles'!$AJ$10*INDEX('Lease Cycles'!$FO$10:$FU$10,1,AD44)*INDEX('Lease Cycles'!$EM$10:$ES$10,1,AD44)+'Lease Cycles'!$BE$10*IF(AD45&lt;INDEX('Lease Cycles'!$FA$10:$FG$10,1,AD44),0,1-INDEX('Lease Cycles'!$EM$10:$ES$10,1,AD44)),IF(OR(INDEX('Lease Cycles'!$DY$10:$EE$10,1,AD44)=1,AD45&gt;0),1,1-INDEX('Lease Cycles'!$DD$10:$DJ$10,1,AD44))*('Lease Cycles'!$AJ$10*INDEX('Lease Cycles'!$FO$10:$FU$10,1,AD44)+'Lease Cycles'!$BE$10*(1-INDEX('Lease Cycles'!$FO$10:$FU$10,1,AD44)))),0)</f>
        <v>0</v>
      </c>
      <c r="AE54" s="24">
        <f>IF(AE46=1,'Lease Cycles'!$D$10*IF(INDEX('Lease Cycles'!$EF$10:$EL$10,1,AE44)=1,'Lease Cycles'!$AJ$10*INDEX('Lease Cycles'!$FO$10:$FU$10,1,AE44)*INDEX('Lease Cycles'!$EM$10:$ES$10,1,AE44)+'Lease Cycles'!$BE$10*IF(AE45&lt;INDEX('Lease Cycles'!$FA$10:$FG$10,1,AE44),0,1-INDEX('Lease Cycles'!$EM$10:$ES$10,1,AE44)),IF(OR(INDEX('Lease Cycles'!$DY$10:$EE$10,1,AE44)=1,AE45&gt;0),1,1-INDEX('Lease Cycles'!$DD$10:$DJ$10,1,AE44))*('Lease Cycles'!$AJ$10*INDEX('Lease Cycles'!$FO$10:$FU$10,1,AE44)+'Lease Cycles'!$BE$10*(1-INDEX('Lease Cycles'!$FO$10:$FU$10,1,AE44)))),0)</f>
        <v>0</v>
      </c>
      <c r="AF54" s="24">
        <f>IF(AF46=1,'Lease Cycles'!$D$10*IF(INDEX('Lease Cycles'!$EF$10:$EL$10,1,AF44)=1,'Lease Cycles'!$AJ$10*INDEX('Lease Cycles'!$FO$10:$FU$10,1,AF44)*INDEX('Lease Cycles'!$EM$10:$ES$10,1,AF44)+'Lease Cycles'!$BE$10*IF(AF45&lt;INDEX('Lease Cycles'!$FA$10:$FG$10,1,AF44),0,1-INDEX('Lease Cycles'!$EM$10:$ES$10,1,AF44)),IF(OR(INDEX('Lease Cycles'!$DY$10:$EE$10,1,AF44)=1,AF45&gt;0),1,1-INDEX('Lease Cycles'!$DD$10:$DJ$10,1,AF44))*('Lease Cycles'!$AJ$10*INDEX('Lease Cycles'!$FO$10:$FU$10,1,AF44)+'Lease Cycles'!$BE$10*(1-INDEX('Lease Cycles'!$FO$10:$FU$10,1,AF44)))),0)</f>
        <v>0</v>
      </c>
      <c r="AG54" s="24">
        <f>IF(AG46=1,'Lease Cycles'!$D$10*IF(INDEX('Lease Cycles'!$EF$10:$EL$10,1,AG44)=1,'Lease Cycles'!$AJ$10*INDEX('Lease Cycles'!$FO$10:$FU$10,1,AG44)*INDEX('Lease Cycles'!$EM$10:$ES$10,1,AG44)+'Lease Cycles'!$BE$10*IF(AG45&lt;INDEX('Lease Cycles'!$FA$10:$FG$10,1,AG44),0,1-INDEX('Lease Cycles'!$EM$10:$ES$10,1,AG44)),IF(OR(INDEX('Lease Cycles'!$DY$10:$EE$10,1,AG44)=1,AG45&gt;0),1,1-INDEX('Lease Cycles'!$DD$10:$DJ$10,1,AG44))*('Lease Cycles'!$AJ$10*INDEX('Lease Cycles'!$FO$10:$FU$10,1,AG44)+'Lease Cycles'!$BE$10*(1-INDEX('Lease Cycles'!$FO$10:$FU$10,1,AG44)))),0)</f>
        <v>0</v>
      </c>
      <c r="AH54" s="24">
        <f>IF(AH46=1,'Lease Cycles'!$D$10*IF(INDEX('Lease Cycles'!$EF$10:$EL$10,1,AH44)=1,'Lease Cycles'!$AJ$10*INDEX('Lease Cycles'!$FO$10:$FU$10,1,AH44)*INDEX('Lease Cycles'!$EM$10:$ES$10,1,AH44)+'Lease Cycles'!$BE$10*IF(AH45&lt;INDEX('Lease Cycles'!$FA$10:$FG$10,1,AH44),0,1-INDEX('Lease Cycles'!$EM$10:$ES$10,1,AH44)),IF(OR(INDEX('Lease Cycles'!$DY$10:$EE$10,1,AH44)=1,AH45&gt;0),1,1-INDEX('Lease Cycles'!$DD$10:$DJ$10,1,AH44))*('Lease Cycles'!$AJ$10*INDEX('Lease Cycles'!$FO$10:$FU$10,1,AH44)+'Lease Cycles'!$BE$10*(1-INDEX('Lease Cycles'!$FO$10:$FU$10,1,AH44)))),0)</f>
        <v>0</v>
      </c>
      <c r="AI54" s="24">
        <f>IF(AI46=1,'Lease Cycles'!$D$10*IF(INDEX('Lease Cycles'!$EF$10:$EL$10,1,AI44)=1,'Lease Cycles'!$AJ$10*INDEX('Lease Cycles'!$FO$10:$FU$10,1,AI44)*INDEX('Lease Cycles'!$EM$10:$ES$10,1,AI44)+'Lease Cycles'!$BE$10*IF(AI45&lt;INDEX('Lease Cycles'!$FA$10:$FG$10,1,AI44),0,1-INDEX('Lease Cycles'!$EM$10:$ES$10,1,AI44)),IF(OR(INDEX('Lease Cycles'!$DY$10:$EE$10,1,AI44)=1,AI45&gt;0),1,1-INDEX('Lease Cycles'!$DD$10:$DJ$10,1,AI44))*('Lease Cycles'!$AJ$10*INDEX('Lease Cycles'!$FO$10:$FU$10,1,AI44)+'Lease Cycles'!$BE$10*(1-INDEX('Lease Cycles'!$FO$10:$FU$10,1,AI44)))),0)</f>
        <v>0</v>
      </c>
      <c r="AJ54" s="24">
        <f>IF(AJ46=1,'Lease Cycles'!$D$10*IF(INDEX('Lease Cycles'!$EF$10:$EL$10,1,AJ44)=1,'Lease Cycles'!$AJ$10*INDEX('Lease Cycles'!$FO$10:$FU$10,1,AJ44)*INDEX('Lease Cycles'!$EM$10:$ES$10,1,AJ44)+'Lease Cycles'!$BE$10*IF(AJ45&lt;INDEX('Lease Cycles'!$FA$10:$FG$10,1,AJ44),0,1-INDEX('Lease Cycles'!$EM$10:$ES$10,1,AJ44)),IF(OR(INDEX('Lease Cycles'!$DY$10:$EE$10,1,AJ44)=1,AJ45&gt;0),1,1-INDEX('Lease Cycles'!$DD$10:$DJ$10,1,AJ44))*('Lease Cycles'!$AJ$10*INDEX('Lease Cycles'!$FO$10:$FU$10,1,AJ44)+'Lease Cycles'!$BE$10*(1-INDEX('Lease Cycles'!$FO$10:$FU$10,1,AJ44)))),0)</f>
        <v>0</v>
      </c>
      <c r="AK54" s="24">
        <f>IF(AK46=1,'Lease Cycles'!$D$10*IF(INDEX('Lease Cycles'!$EF$10:$EL$10,1,AK44)=1,'Lease Cycles'!$AJ$10*INDEX('Lease Cycles'!$FO$10:$FU$10,1,AK44)*INDEX('Lease Cycles'!$EM$10:$ES$10,1,AK44)+'Lease Cycles'!$BE$10*IF(AK45&lt;INDEX('Lease Cycles'!$FA$10:$FG$10,1,AK44),0,1-INDEX('Lease Cycles'!$EM$10:$ES$10,1,AK44)),IF(OR(INDEX('Lease Cycles'!$DY$10:$EE$10,1,AK44)=1,AK45&gt;0),1,1-INDEX('Lease Cycles'!$DD$10:$DJ$10,1,AK44))*('Lease Cycles'!$AJ$10*INDEX('Lease Cycles'!$FO$10:$FU$10,1,AK44)+'Lease Cycles'!$BE$10*(1-INDEX('Lease Cycles'!$FO$10:$FU$10,1,AK44)))),0)</f>
        <v>0</v>
      </c>
      <c r="AL54" s="24">
        <f>IF(AL46=1,'Lease Cycles'!$D$10*IF(INDEX('Lease Cycles'!$EF$10:$EL$10,1,AL44)=1,'Lease Cycles'!$AJ$10*INDEX('Lease Cycles'!$FO$10:$FU$10,1,AL44)*INDEX('Lease Cycles'!$EM$10:$ES$10,1,AL44)+'Lease Cycles'!$BE$10*IF(AL45&lt;INDEX('Lease Cycles'!$FA$10:$FG$10,1,AL44),0,1-INDEX('Lease Cycles'!$EM$10:$ES$10,1,AL44)),IF(OR(INDEX('Lease Cycles'!$DY$10:$EE$10,1,AL44)=1,AL45&gt;0),1,1-INDEX('Lease Cycles'!$DD$10:$DJ$10,1,AL44))*('Lease Cycles'!$AJ$10*INDEX('Lease Cycles'!$FO$10:$FU$10,1,AL44)+'Lease Cycles'!$BE$10*(1-INDEX('Lease Cycles'!$FO$10:$FU$10,1,AL44)))),0)</f>
        <v>0</v>
      </c>
      <c r="AM54" s="24">
        <f>IF(AM46=1,'Lease Cycles'!$D$10*IF(INDEX('Lease Cycles'!$EF$10:$EL$10,1,AM44)=1,'Lease Cycles'!$AJ$10*INDEX('Lease Cycles'!$FO$10:$FU$10,1,AM44)*INDEX('Lease Cycles'!$EM$10:$ES$10,1,AM44)+'Lease Cycles'!$BE$10*IF(AM45&lt;INDEX('Lease Cycles'!$FA$10:$FG$10,1,AM44),0,1-INDEX('Lease Cycles'!$EM$10:$ES$10,1,AM44)),IF(OR(INDEX('Lease Cycles'!$DY$10:$EE$10,1,AM44)=1,AM45&gt;0),1,1-INDEX('Lease Cycles'!$DD$10:$DJ$10,1,AM44))*('Lease Cycles'!$AJ$10*INDEX('Lease Cycles'!$FO$10:$FU$10,1,AM44)+'Lease Cycles'!$BE$10*(1-INDEX('Lease Cycles'!$FO$10:$FU$10,1,AM44)))),0)</f>
        <v>0</v>
      </c>
      <c r="AN54" s="24">
        <f>IF(AN46=1,'Lease Cycles'!$D$10*IF(INDEX('Lease Cycles'!$EF$10:$EL$10,1,AN44)=1,'Lease Cycles'!$AJ$10*INDEX('Lease Cycles'!$FO$10:$FU$10,1,AN44)*INDEX('Lease Cycles'!$EM$10:$ES$10,1,AN44)+'Lease Cycles'!$BE$10*IF(AN45&lt;INDEX('Lease Cycles'!$FA$10:$FG$10,1,AN44),0,1-INDEX('Lease Cycles'!$EM$10:$ES$10,1,AN44)),IF(OR(INDEX('Lease Cycles'!$DY$10:$EE$10,1,AN44)=1,AN45&gt;0),1,1-INDEX('Lease Cycles'!$DD$10:$DJ$10,1,AN44))*('Lease Cycles'!$AJ$10*INDEX('Lease Cycles'!$FO$10:$FU$10,1,AN44)+'Lease Cycles'!$BE$10*(1-INDEX('Lease Cycles'!$FO$10:$FU$10,1,AN44)))),0)</f>
        <v>0</v>
      </c>
      <c r="AO54" s="24">
        <f>IF(AO46=1,'Lease Cycles'!$D$10*IF(INDEX('Lease Cycles'!$EF$10:$EL$10,1,AO44)=1,'Lease Cycles'!$AJ$10*INDEX('Lease Cycles'!$FO$10:$FU$10,1,AO44)*INDEX('Lease Cycles'!$EM$10:$ES$10,1,AO44)+'Lease Cycles'!$BE$10*IF(AO45&lt;INDEX('Lease Cycles'!$FA$10:$FG$10,1,AO44),0,1-INDEX('Lease Cycles'!$EM$10:$ES$10,1,AO44)),IF(OR(INDEX('Lease Cycles'!$DY$10:$EE$10,1,AO44)=1,AO45&gt;0),1,1-INDEX('Lease Cycles'!$DD$10:$DJ$10,1,AO44))*('Lease Cycles'!$AJ$10*INDEX('Lease Cycles'!$FO$10:$FU$10,1,AO44)+'Lease Cycles'!$BE$10*(1-INDEX('Lease Cycles'!$FO$10:$FU$10,1,AO44)))),0)</f>
        <v>0</v>
      </c>
      <c r="AP54" s="24">
        <f>IF(AP46=1,'Lease Cycles'!$D$10*IF(INDEX('Lease Cycles'!$EF$10:$EL$10,1,AP44)=1,'Lease Cycles'!$AJ$10*INDEX('Lease Cycles'!$FO$10:$FU$10,1,AP44)*INDEX('Lease Cycles'!$EM$10:$ES$10,1,AP44)+'Lease Cycles'!$BE$10*IF(AP45&lt;INDEX('Lease Cycles'!$FA$10:$FG$10,1,AP44),0,1-INDEX('Lease Cycles'!$EM$10:$ES$10,1,AP44)),IF(OR(INDEX('Lease Cycles'!$DY$10:$EE$10,1,AP44)=1,AP45&gt;0),1,1-INDEX('Lease Cycles'!$DD$10:$DJ$10,1,AP44))*('Lease Cycles'!$AJ$10*INDEX('Lease Cycles'!$FO$10:$FU$10,1,AP44)+'Lease Cycles'!$BE$10*(1-INDEX('Lease Cycles'!$FO$10:$FU$10,1,AP44)))),0)</f>
        <v>0</v>
      </c>
      <c r="AQ54" s="24">
        <f>IF(AQ46=1,'Lease Cycles'!$D$10*IF(INDEX('Lease Cycles'!$EF$10:$EL$10,1,AQ44)=1,'Lease Cycles'!$AJ$10*INDEX('Lease Cycles'!$FO$10:$FU$10,1,AQ44)*INDEX('Lease Cycles'!$EM$10:$ES$10,1,AQ44)+'Lease Cycles'!$BE$10*IF(AQ45&lt;INDEX('Lease Cycles'!$FA$10:$FG$10,1,AQ44),0,1-INDEX('Lease Cycles'!$EM$10:$ES$10,1,AQ44)),IF(OR(INDEX('Lease Cycles'!$DY$10:$EE$10,1,AQ44)=1,AQ45&gt;0),1,1-INDEX('Lease Cycles'!$DD$10:$DJ$10,1,AQ44))*('Lease Cycles'!$AJ$10*INDEX('Lease Cycles'!$FO$10:$FU$10,1,AQ44)+'Lease Cycles'!$BE$10*(1-INDEX('Lease Cycles'!$FO$10:$FU$10,1,AQ44)))),0)</f>
        <v>0</v>
      </c>
      <c r="AR54" s="24">
        <f>IF(AR46=1,'Lease Cycles'!$D$10*IF(INDEX('Lease Cycles'!$EF$10:$EL$10,1,AR44)=1,'Lease Cycles'!$AJ$10*INDEX('Lease Cycles'!$FO$10:$FU$10,1,AR44)*INDEX('Lease Cycles'!$EM$10:$ES$10,1,AR44)+'Lease Cycles'!$BE$10*IF(AR45&lt;INDEX('Lease Cycles'!$FA$10:$FG$10,1,AR44),0,1-INDEX('Lease Cycles'!$EM$10:$ES$10,1,AR44)),IF(OR(INDEX('Lease Cycles'!$DY$10:$EE$10,1,AR44)=1,AR45&gt;0),1,1-INDEX('Lease Cycles'!$DD$10:$DJ$10,1,AR44))*('Lease Cycles'!$AJ$10*INDEX('Lease Cycles'!$FO$10:$FU$10,1,AR44)+'Lease Cycles'!$BE$10*(1-INDEX('Lease Cycles'!$FO$10:$FU$10,1,AR44)))),0)</f>
        <v>0</v>
      </c>
      <c r="AS54" s="24">
        <f>IF(AS46=1,'Lease Cycles'!$D$10*IF(INDEX('Lease Cycles'!$EF$10:$EL$10,1,AS44)=1,'Lease Cycles'!$AJ$10*INDEX('Lease Cycles'!$FO$10:$FU$10,1,AS44)*INDEX('Lease Cycles'!$EM$10:$ES$10,1,AS44)+'Lease Cycles'!$BE$10*IF(AS45&lt;INDEX('Lease Cycles'!$FA$10:$FG$10,1,AS44),0,1-INDEX('Lease Cycles'!$EM$10:$ES$10,1,AS44)),IF(OR(INDEX('Lease Cycles'!$DY$10:$EE$10,1,AS44)=1,AS45&gt;0),1,1-INDEX('Lease Cycles'!$DD$10:$DJ$10,1,AS44))*('Lease Cycles'!$AJ$10*INDEX('Lease Cycles'!$FO$10:$FU$10,1,AS44)+'Lease Cycles'!$BE$10*(1-INDEX('Lease Cycles'!$FO$10:$FU$10,1,AS44)))),0)</f>
        <v>0</v>
      </c>
      <c r="AT54" s="24">
        <f>IF(AT46=1,'Lease Cycles'!$D$10*IF(INDEX('Lease Cycles'!$EF$10:$EL$10,1,AT44)=1,'Lease Cycles'!$AJ$10*INDEX('Lease Cycles'!$FO$10:$FU$10,1,AT44)*INDEX('Lease Cycles'!$EM$10:$ES$10,1,AT44)+'Lease Cycles'!$BE$10*IF(AT45&lt;INDEX('Lease Cycles'!$FA$10:$FG$10,1,AT44),0,1-INDEX('Lease Cycles'!$EM$10:$ES$10,1,AT44)),IF(OR(INDEX('Lease Cycles'!$DY$10:$EE$10,1,AT44)=1,AT45&gt;0),1,1-INDEX('Lease Cycles'!$DD$10:$DJ$10,1,AT44))*('Lease Cycles'!$AJ$10*INDEX('Lease Cycles'!$FO$10:$FU$10,1,AT44)+'Lease Cycles'!$BE$10*(1-INDEX('Lease Cycles'!$FO$10:$FU$10,1,AT44)))),0)</f>
        <v>0</v>
      </c>
      <c r="AU54" s="24">
        <f>IF(AU46=1,'Lease Cycles'!$D$10*IF(INDEX('Lease Cycles'!$EF$10:$EL$10,1,AU44)=1,'Lease Cycles'!$AJ$10*INDEX('Lease Cycles'!$FO$10:$FU$10,1,AU44)*INDEX('Lease Cycles'!$EM$10:$ES$10,1,AU44)+'Lease Cycles'!$BE$10*IF(AU45&lt;INDEX('Lease Cycles'!$FA$10:$FG$10,1,AU44),0,1-INDEX('Lease Cycles'!$EM$10:$ES$10,1,AU44)),IF(OR(INDEX('Lease Cycles'!$DY$10:$EE$10,1,AU44)=1,AU45&gt;0),1,1-INDEX('Lease Cycles'!$DD$10:$DJ$10,1,AU44))*('Lease Cycles'!$AJ$10*INDEX('Lease Cycles'!$FO$10:$FU$10,1,AU44)+'Lease Cycles'!$BE$10*(1-INDEX('Lease Cycles'!$FO$10:$FU$10,1,AU44)))),0)</f>
        <v>0</v>
      </c>
      <c r="AV54" s="24">
        <f>IF(AV46=1,'Lease Cycles'!$D$10*IF(INDEX('Lease Cycles'!$EF$10:$EL$10,1,AV44)=1,'Lease Cycles'!$AJ$10*INDEX('Lease Cycles'!$FO$10:$FU$10,1,AV44)*INDEX('Lease Cycles'!$EM$10:$ES$10,1,AV44)+'Lease Cycles'!$BE$10*IF(AV45&lt;INDEX('Lease Cycles'!$FA$10:$FG$10,1,AV44),0,1-INDEX('Lease Cycles'!$EM$10:$ES$10,1,AV44)),IF(OR(INDEX('Lease Cycles'!$DY$10:$EE$10,1,AV44)=1,AV45&gt;0),1,1-INDEX('Lease Cycles'!$DD$10:$DJ$10,1,AV44))*('Lease Cycles'!$AJ$10*INDEX('Lease Cycles'!$FO$10:$FU$10,1,AV44)+'Lease Cycles'!$BE$10*(1-INDEX('Lease Cycles'!$FO$10:$FU$10,1,AV44)))),0)</f>
        <v>0</v>
      </c>
      <c r="AW54" s="24">
        <f>IF(AW46=1,'Lease Cycles'!$D$10*IF(INDEX('Lease Cycles'!$EF$10:$EL$10,1,AW44)=1,'Lease Cycles'!$AJ$10*INDEX('Lease Cycles'!$FO$10:$FU$10,1,AW44)*INDEX('Lease Cycles'!$EM$10:$ES$10,1,AW44)+'Lease Cycles'!$BE$10*IF(AW45&lt;INDEX('Lease Cycles'!$FA$10:$FG$10,1,AW44),0,1-INDEX('Lease Cycles'!$EM$10:$ES$10,1,AW44)),IF(OR(INDEX('Lease Cycles'!$DY$10:$EE$10,1,AW44)=1,AW45&gt;0),1,1-INDEX('Lease Cycles'!$DD$10:$DJ$10,1,AW44))*('Lease Cycles'!$AJ$10*INDEX('Lease Cycles'!$FO$10:$FU$10,1,AW44)+'Lease Cycles'!$BE$10*(1-INDEX('Lease Cycles'!$FO$10:$FU$10,1,AW44)))),0)</f>
        <v>0</v>
      </c>
      <c r="AX54" s="24">
        <f>IF(AX46=1,'Lease Cycles'!$D$10*IF(INDEX('Lease Cycles'!$EF$10:$EL$10,1,AX44)=1,'Lease Cycles'!$AJ$10*INDEX('Lease Cycles'!$FO$10:$FU$10,1,AX44)*INDEX('Lease Cycles'!$EM$10:$ES$10,1,AX44)+'Lease Cycles'!$BE$10*IF(AX45&lt;INDEX('Lease Cycles'!$FA$10:$FG$10,1,AX44),0,1-INDEX('Lease Cycles'!$EM$10:$ES$10,1,AX44)),IF(OR(INDEX('Lease Cycles'!$DY$10:$EE$10,1,AX44)=1,AX45&gt;0),1,1-INDEX('Lease Cycles'!$DD$10:$DJ$10,1,AX44))*('Lease Cycles'!$AJ$10*INDEX('Lease Cycles'!$FO$10:$FU$10,1,AX44)+'Lease Cycles'!$BE$10*(1-INDEX('Lease Cycles'!$FO$10:$FU$10,1,AX44)))),0)</f>
        <v>0</v>
      </c>
      <c r="AY54" s="24">
        <f>IF(AY46=1,'Lease Cycles'!$D$10*IF(INDEX('Lease Cycles'!$EF$10:$EL$10,1,AY44)=1,'Lease Cycles'!$AJ$10*INDEX('Lease Cycles'!$FO$10:$FU$10,1,AY44)*INDEX('Lease Cycles'!$EM$10:$ES$10,1,AY44)+'Lease Cycles'!$BE$10*IF(AY45&lt;INDEX('Lease Cycles'!$FA$10:$FG$10,1,AY44),0,1-INDEX('Lease Cycles'!$EM$10:$ES$10,1,AY44)),IF(OR(INDEX('Lease Cycles'!$DY$10:$EE$10,1,AY44)=1,AY45&gt;0),1,1-INDEX('Lease Cycles'!$DD$10:$DJ$10,1,AY44))*('Lease Cycles'!$AJ$10*INDEX('Lease Cycles'!$FO$10:$FU$10,1,AY44)+'Lease Cycles'!$BE$10*(1-INDEX('Lease Cycles'!$FO$10:$FU$10,1,AY44)))),0)</f>
        <v>0</v>
      </c>
      <c r="AZ54" s="24">
        <f>IF(AZ46=1,'Lease Cycles'!$D$10*IF(INDEX('Lease Cycles'!$EF$10:$EL$10,1,AZ44)=1,'Lease Cycles'!$AJ$10*INDEX('Lease Cycles'!$FO$10:$FU$10,1,AZ44)*INDEX('Lease Cycles'!$EM$10:$ES$10,1,AZ44)+'Lease Cycles'!$BE$10*IF(AZ45&lt;INDEX('Lease Cycles'!$FA$10:$FG$10,1,AZ44),0,1-INDEX('Lease Cycles'!$EM$10:$ES$10,1,AZ44)),IF(OR(INDEX('Lease Cycles'!$DY$10:$EE$10,1,AZ44)=1,AZ45&gt;0),1,1-INDEX('Lease Cycles'!$DD$10:$DJ$10,1,AZ44))*('Lease Cycles'!$AJ$10*INDEX('Lease Cycles'!$FO$10:$FU$10,1,AZ44)+'Lease Cycles'!$BE$10*(1-INDEX('Lease Cycles'!$FO$10:$FU$10,1,AZ44)))),0)</f>
        <v>0</v>
      </c>
      <c r="BA54" s="24">
        <f>IF(BA46=1,'Lease Cycles'!$D$10*IF(INDEX('Lease Cycles'!$EF$10:$EL$10,1,BA44)=1,'Lease Cycles'!$AJ$10*INDEX('Lease Cycles'!$FO$10:$FU$10,1,BA44)*INDEX('Lease Cycles'!$EM$10:$ES$10,1,BA44)+'Lease Cycles'!$BE$10*IF(BA45&lt;INDEX('Lease Cycles'!$FA$10:$FG$10,1,BA44),0,1-INDEX('Lease Cycles'!$EM$10:$ES$10,1,BA44)),IF(OR(INDEX('Lease Cycles'!$DY$10:$EE$10,1,BA44)=1,BA45&gt;0),1,1-INDEX('Lease Cycles'!$DD$10:$DJ$10,1,BA44))*('Lease Cycles'!$AJ$10*INDEX('Lease Cycles'!$FO$10:$FU$10,1,BA44)+'Lease Cycles'!$BE$10*(1-INDEX('Lease Cycles'!$FO$10:$FU$10,1,BA44)))),0)</f>
        <v>0</v>
      </c>
      <c r="BB54" s="24">
        <f>IF(BB46=1,'Lease Cycles'!$D$10*IF(INDEX('Lease Cycles'!$EF$10:$EL$10,1,BB44)=1,'Lease Cycles'!$AJ$10*INDEX('Lease Cycles'!$FO$10:$FU$10,1,BB44)*INDEX('Lease Cycles'!$EM$10:$ES$10,1,BB44)+'Lease Cycles'!$BE$10*IF(BB45&lt;INDEX('Lease Cycles'!$FA$10:$FG$10,1,BB44),0,1-INDEX('Lease Cycles'!$EM$10:$ES$10,1,BB44)),IF(OR(INDEX('Lease Cycles'!$DY$10:$EE$10,1,BB44)=1,BB45&gt;0),1,1-INDEX('Lease Cycles'!$DD$10:$DJ$10,1,BB44))*('Lease Cycles'!$AJ$10*INDEX('Lease Cycles'!$FO$10:$FU$10,1,BB44)+'Lease Cycles'!$BE$10*(1-INDEX('Lease Cycles'!$FO$10:$FU$10,1,BB44)))),0)</f>
        <v>0</v>
      </c>
      <c r="BC54" s="24">
        <f>IF(BC46=1,'Lease Cycles'!$D$10*IF(INDEX('Lease Cycles'!$EF$10:$EL$10,1,BC44)=1,'Lease Cycles'!$AJ$10*INDEX('Lease Cycles'!$FO$10:$FU$10,1,BC44)*INDEX('Lease Cycles'!$EM$10:$ES$10,1,BC44)+'Lease Cycles'!$BE$10*IF(BC45&lt;INDEX('Lease Cycles'!$FA$10:$FG$10,1,BC44),0,1-INDEX('Lease Cycles'!$EM$10:$ES$10,1,BC44)),IF(OR(INDEX('Lease Cycles'!$DY$10:$EE$10,1,BC44)=1,BC45&gt;0),1,1-INDEX('Lease Cycles'!$DD$10:$DJ$10,1,BC44))*('Lease Cycles'!$AJ$10*INDEX('Lease Cycles'!$FO$10:$FU$10,1,BC44)+'Lease Cycles'!$BE$10*(1-INDEX('Lease Cycles'!$FO$10:$FU$10,1,BC44)))),0)</f>
        <v>0</v>
      </c>
      <c r="BD54" s="24">
        <f>IF(BD46=1,'Lease Cycles'!$D$10*IF(INDEX('Lease Cycles'!$EF$10:$EL$10,1,BD44)=1,'Lease Cycles'!$AJ$10*INDEX('Lease Cycles'!$FO$10:$FU$10,1,BD44)*INDEX('Lease Cycles'!$EM$10:$ES$10,1,BD44)+'Lease Cycles'!$BE$10*IF(BD45&lt;INDEX('Lease Cycles'!$FA$10:$FG$10,1,BD44),0,1-INDEX('Lease Cycles'!$EM$10:$ES$10,1,BD44)),IF(OR(INDEX('Lease Cycles'!$DY$10:$EE$10,1,BD44)=1,BD45&gt;0),1,1-INDEX('Lease Cycles'!$DD$10:$DJ$10,1,BD44))*('Lease Cycles'!$AJ$10*INDEX('Lease Cycles'!$FO$10:$FU$10,1,BD44)+'Lease Cycles'!$BE$10*(1-INDEX('Lease Cycles'!$FO$10:$FU$10,1,BD44)))),0)</f>
        <v>0</v>
      </c>
      <c r="BE54" s="24">
        <f>IF(BE46=1,'Lease Cycles'!$D$10*IF(INDEX('Lease Cycles'!$EF$10:$EL$10,1,BE44)=1,'Lease Cycles'!$AJ$10*INDEX('Lease Cycles'!$FO$10:$FU$10,1,BE44)*INDEX('Lease Cycles'!$EM$10:$ES$10,1,BE44)+'Lease Cycles'!$BE$10*IF(BE45&lt;INDEX('Lease Cycles'!$FA$10:$FG$10,1,BE44),0,1-INDEX('Lease Cycles'!$EM$10:$ES$10,1,BE44)),IF(OR(INDEX('Lease Cycles'!$DY$10:$EE$10,1,BE44)=1,BE45&gt;0),1,1-INDEX('Lease Cycles'!$DD$10:$DJ$10,1,BE44))*('Lease Cycles'!$AJ$10*INDEX('Lease Cycles'!$FO$10:$FU$10,1,BE44)+'Lease Cycles'!$BE$10*(1-INDEX('Lease Cycles'!$FO$10:$FU$10,1,BE44)))),0)</f>
        <v>0</v>
      </c>
      <c r="BF54" s="24">
        <f>IF(BF46=1,'Lease Cycles'!$D$10*IF(INDEX('Lease Cycles'!$EF$10:$EL$10,1,BF44)=1,'Lease Cycles'!$AJ$10*INDEX('Lease Cycles'!$FO$10:$FU$10,1,BF44)*INDEX('Lease Cycles'!$EM$10:$ES$10,1,BF44)+'Lease Cycles'!$BE$10*IF(BF45&lt;INDEX('Lease Cycles'!$FA$10:$FG$10,1,BF44),0,1-INDEX('Lease Cycles'!$EM$10:$ES$10,1,BF44)),IF(OR(INDEX('Lease Cycles'!$DY$10:$EE$10,1,BF44)=1,BF45&gt;0),1,1-INDEX('Lease Cycles'!$DD$10:$DJ$10,1,BF44))*('Lease Cycles'!$AJ$10*INDEX('Lease Cycles'!$FO$10:$FU$10,1,BF44)+'Lease Cycles'!$BE$10*(1-INDEX('Lease Cycles'!$FO$10:$FU$10,1,BF44)))),0)</f>
        <v>0</v>
      </c>
      <c r="BG54" s="24">
        <f>IF(BG46=1,'Lease Cycles'!$D$10*IF(INDEX('Lease Cycles'!$EF$10:$EL$10,1,BG44)=1,'Lease Cycles'!$AJ$10*INDEX('Lease Cycles'!$FO$10:$FU$10,1,BG44)*INDEX('Lease Cycles'!$EM$10:$ES$10,1,BG44)+'Lease Cycles'!$BE$10*IF(BG45&lt;INDEX('Lease Cycles'!$FA$10:$FG$10,1,BG44),0,1-INDEX('Lease Cycles'!$EM$10:$ES$10,1,BG44)),IF(OR(INDEX('Lease Cycles'!$DY$10:$EE$10,1,BG44)=1,BG45&gt;0),1,1-INDEX('Lease Cycles'!$DD$10:$DJ$10,1,BG44))*('Lease Cycles'!$AJ$10*INDEX('Lease Cycles'!$FO$10:$FU$10,1,BG44)+'Lease Cycles'!$BE$10*(1-INDEX('Lease Cycles'!$FO$10:$FU$10,1,BG44)))),0)</f>
        <v>0</v>
      </c>
      <c r="BH54" s="24">
        <f>IF(BH46=1,'Lease Cycles'!$D$10*IF(INDEX('Lease Cycles'!$EF$10:$EL$10,1,BH44)=1,'Lease Cycles'!$AJ$10*INDEX('Lease Cycles'!$FO$10:$FU$10,1,BH44)*INDEX('Lease Cycles'!$EM$10:$ES$10,1,BH44)+'Lease Cycles'!$BE$10*IF(BH45&lt;INDEX('Lease Cycles'!$FA$10:$FG$10,1,BH44),0,1-INDEX('Lease Cycles'!$EM$10:$ES$10,1,BH44)),IF(OR(INDEX('Lease Cycles'!$DY$10:$EE$10,1,BH44)=1,BH45&gt;0),1,1-INDEX('Lease Cycles'!$DD$10:$DJ$10,1,BH44))*('Lease Cycles'!$AJ$10*INDEX('Lease Cycles'!$FO$10:$FU$10,1,BH44)+'Lease Cycles'!$BE$10*(1-INDEX('Lease Cycles'!$FO$10:$FU$10,1,BH44)))),0)</f>
        <v>0</v>
      </c>
      <c r="BI54" s="24">
        <f>IF(BI46=1,'Lease Cycles'!$D$10*IF(INDEX('Lease Cycles'!$EF$10:$EL$10,1,BI44)=1,'Lease Cycles'!$AJ$10*INDEX('Lease Cycles'!$FO$10:$FU$10,1,BI44)*INDEX('Lease Cycles'!$EM$10:$ES$10,1,BI44)+'Lease Cycles'!$BE$10*IF(BI45&lt;INDEX('Lease Cycles'!$FA$10:$FG$10,1,BI44),0,1-INDEX('Lease Cycles'!$EM$10:$ES$10,1,BI44)),IF(OR(INDEX('Lease Cycles'!$DY$10:$EE$10,1,BI44)=1,BI45&gt;0),1,1-INDEX('Lease Cycles'!$DD$10:$DJ$10,1,BI44))*('Lease Cycles'!$AJ$10*INDEX('Lease Cycles'!$FO$10:$FU$10,1,BI44)+'Lease Cycles'!$BE$10*(1-INDEX('Lease Cycles'!$FO$10:$FU$10,1,BI44)))),0)</f>
        <v>0</v>
      </c>
      <c r="BJ54" s="24">
        <f>IF(BJ46=1,'Lease Cycles'!$D$10*IF(INDEX('Lease Cycles'!$EF$10:$EL$10,1,BJ44)=1,'Lease Cycles'!$AJ$10*INDEX('Lease Cycles'!$FO$10:$FU$10,1,BJ44)*INDEX('Lease Cycles'!$EM$10:$ES$10,1,BJ44)+'Lease Cycles'!$BE$10*IF(BJ45&lt;INDEX('Lease Cycles'!$FA$10:$FG$10,1,BJ44),0,1-INDEX('Lease Cycles'!$EM$10:$ES$10,1,BJ44)),IF(OR(INDEX('Lease Cycles'!$DY$10:$EE$10,1,BJ44)=1,BJ45&gt;0),1,1-INDEX('Lease Cycles'!$DD$10:$DJ$10,1,BJ44))*('Lease Cycles'!$AJ$10*INDEX('Lease Cycles'!$FO$10:$FU$10,1,BJ44)+'Lease Cycles'!$BE$10*(1-INDEX('Lease Cycles'!$FO$10:$FU$10,1,BJ44)))),0)</f>
        <v>0</v>
      </c>
      <c r="BK54" s="24">
        <f>IF(BK46=1,'Lease Cycles'!$D$10*IF(INDEX('Lease Cycles'!$EF$10:$EL$10,1,BK44)=1,'Lease Cycles'!$AJ$10*INDEX('Lease Cycles'!$FO$10:$FU$10,1,BK44)*INDEX('Lease Cycles'!$EM$10:$ES$10,1,BK44)+'Lease Cycles'!$BE$10*IF(BK45&lt;INDEX('Lease Cycles'!$FA$10:$FG$10,1,BK44),0,1-INDEX('Lease Cycles'!$EM$10:$ES$10,1,BK44)),IF(OR(INDEX('Lease Cycles'!$DY$10:$EE$10,1,BK44)=1,BK45&gt;0),1,1-INDEX('Lease Cycles'!$DD$10:$DJ$10,1,BK44))*('Lease Cycles'!$AJ$10*INDEX('Lease Cycles'!$FO$10:$FU$10,1,BK44)+'Lease Cycles'!$BE$10*(1-INDEX('Lease Cycles'!$FO$10:$FU$10,1,BK44)))),0)</f>
        <v>0</v>
      </c>
      <c r="BL54" s="24">
        <f>IF(BL46=1,'Lease Cycles'!$D$10*IF(INDEX('Lease Cycles'!$EF$10:$EL$10,1,BL44)=1,'Lease Cycles'!$AJ$10*INDEX('Lease Cycles'!$FO$10:$FU$10,1,BL44)*INDEX('Lease Cycles'!$EM$10:$ES$10,1,BL44)+'Lease Cycles'!$BE$10*IF(BL45&lt;INDEX('Lease Cycles'!$FA$10:$FG$10,1,BL44),0,1-INDEX('Lease Cycles'!$EM$10:$ES$10,1,BL44)),IF(OR(INDEX('Lease Cycles'!$DY$10:$EE$10,1,BL44)=1,BL45&gt;0),1,1-INDEX('Lease Cycles'!$DD$10:$DJ$10,1,BL44))*('Lease Cycles'!$AJ$10*INDEX('Lease Cycles'!$FO$10:$FU$10,1,BL44)+'Lease Cycles'!$BE$10*(1-INDEX('Lease Cycles'!$FO$10:$FU$10,1,BL44)))),0)</f>
        <v>0</v>
      </c>
      <c r="BM54" s="24">
        <f>IF(BM46=1,'Lease Cycles'!$D$10*IF(INDEX('Lease Cycles'!$EF$10:$EL$10,1,BM44)=1,'Lease Cycles'!$AJ$10*INDEX('Lease Cycles'!$FO$10:$FU$10,1,BM44)*INDEX('Lease Cycles'!$EM$10:$ES$10,1,BM44)+'Lease Cycles'!$BE$10*IF(BM45&lt;INDEX('Lease Cycles'!$FA$10:$FG$10,1,BM44),0,1-INDEX('Lease Cycles'!$EM$10:$ES$10,1,BM44)),IF(OR(INDEX('Lease Cycles'!$DY$10:$EE$10,1,BM44)=1,BM45&gt;0),1,1-INDEX('Lease Cycles'!$DD$10:$DJ$10,1,BM44))*('Lease Cycles'!$AJ$10*INDEX('Lease Cycles'!$FO$10:$FU$10,1,BM44)+'Lease Cycles'!$BE$10*(1-INDEX('Lease Cycles'!$FO$10:$FU$10,1,BM44)))),0)</f>
        <v>0</v>
      </c>
      <c r="BN54" s="24">
        <f>IF(BN46=1,'Lease Cycles'!$D$10*IF(INDEX('Lease Cycles'!$EF$10:$EL$10,1,BN44)=1,'Lease Cycles'!$AJ$10*INDEX('Lease Cycles'!$FO$10:$FU$10,1,BN44)*INDEX('Lease Cycles'!$EM$10:$ES$10,1,BN44)+'Lease Cycles'!$BE$10*IF(BN45&lt;INDEX('Lease Cycles'!$FA$10:$FG$10,1,BN44),0,1-INDEX('Lease Cycles'!$EM$10:$ES$10,1,BN44)),IF(OR(INDEX('Lease Cycles'!$DY$10:$EE$10,1,BN44)=1,BN45&gt;0),1,1-INDEX('Lease Cycles'!$DD$10:$DJ$10,1,BN44))*('Lease Cycles'!$AJ$10*INDEX('Lease Cycles'!$FO$10:$FU$10,1,BN44)+'Lease Cycles'!$BE$10*(1-INDEX('Lease Cycles'!$FO$10:$FU$10,1,BN44)))),0)</f>
        <v>0</v>
      </c>
      <c r="BO54" s="24">
        <f>IF(BO46=1,'Lease Cycles'!$D$10*IF(INDEX('Lease Cycles'!$EF$10:$EL$10,1,BO44)=1,'Lease Cycles'!$AJ$10*INDEX('Lease Cycles'!$FO$10:$FU$10,1,BO44)*INDEX('Lease Cycles'!$EM$10:$ES$10,1,BO44)+'Lease Cycles'!$BE$10*IF(BO45&lt;INDEX('Lease Cycles'!$FA$10:$FG$10,1,BO44),0,1-INDEX('Lease Cycles'!$EM$10:$ES$10,1,BO44)),IF(OR(INDEX('Lease Cycles'!$DY$10:$EE$10,1,BO44)=1,BO45&gt;0),1,1-INDEX('Lease Cycles'!$DD$10:$DJ$10,1,BO44))*('Lease Cycles'!$AJ$10*INDEX('Lease Cycles'!$FO$10:$FU$10,1,BO44)+'Lease Cycles'!$BE$10*(1-INDEX('Lease Cycles'!$FO$10:$FU$10,1,BO44)))),0)</f>
        <v>0</v>
      </c>
      <c r="BP54" s="24">
        <f>IF(BP46=1,'Lease Cycles'!$D$10*IF(INDEX('Lease Cycles'!$EF$10:$EL$10,1,BP44)=1,'Lease Cycles'!$AJ$10*INDEX('Lease Cycles'!$FO$10:$FU$10,1,BP44)*INDEX('Lease Cycles'!$EM$10:$ES$10,1,BP44)+'Lease Cycles'!$BE$10*IF(BP45&lt;INDEX('Lease Cycles'!$FA$10:$FG$10,1,BP44),0,1-INDEX('Lease Cycles'!$EM$10:$ES$10,1,BP44)),IF(OR(INDEX('Lease Cycles'!$DY$10:$EE$10,1,BP44)=1,BP45&gt;0),1,1-INDEX('Lease Cycles'!$DD$10:$DJ$10,1,BP44))*('Lease Cycles'!$AJ$10*INDEX('Lease Cycles'!$FO$10:$FU$10,1,BP44)+'Lease Cycles'!$BE$10*(1-INDEX('Lease Cycles'!$FO$10:$FU$10,1,BP44)))),0)</f>
        <v>0</v>
      </c>
      <c r="BQ54" s="24">
        <f>IF(BQ46=1,'Lease Cycles'!$D$10*IF(INDEX('Lease Cycles'!$EF$10:$EL$10,1,BQ44)=1,'Lease Cycles'!$AJ$10*INDEX('Lease Cycles'!$FO$10:$FU$10,1,BQ44)*INDEX('Lease Cycles'!$EM$10:$ES$10,1,BQ44)+'Lease Cycles'!$BE$10*IF(BQ45&lt;INDEX('Lease Cycles'!$FA$10:$FG$10,1,BQ44),0,1-INDEX('Lease Cycles'!$EM$10:$ES$10,1,BQ44)),IF(OR(INDEX('Lease Cycles'!$DY$10:$EE$10,1,BQ44)=1,BQ45&gt;0),1,1-INDEX('Lease Cycles'!$DD$10:$DJ$10,1,BQ44))*('Lease Cycles'!$AJ$10*INDEX('Lease Cycles'!$FO$10:$FU$10,1,BQ44)+'Lease Cycles'!$BE$10*(1-INDEX('Lease Cycles'!$FO$10:$FU$10,1,BQ44)))),0)</f>
        <v>0</v>
      </c>
      <c r="BR54" s="24">
        <f>IF(BR46=1,'Lease Cycles'!$D$10*IF(INDEX('Lease Cycles'!$EF$10:$EL$10,1,BR44)=1,'Lease Cycles'!$AJ$10*INDEX('Lease Cycles'!$FO$10:$FU$10,1,BR44)*INDEX('Lease Cycles'!$EM$10:$ES$10,1,BR44)+'Lease Cycles'!$BE$10*IF(BR45&lt;INDEX('Lease Cycles'!$FA$10:$FG$10,1,BR44),0,1-INDEX('Lease Cycles'!$EM$10:$ES$10,1,BR44)),IF(OR(INDEX('Lease Cycles'!$DY$10:$EE$10,1,BR44)=1,BR45&gt;0),1,1-INDEX('Lease Cycles'!$DD$10:$DJ$10,1,BR44))*('Lease Cycles'!$AJ$10*INDEX('Lease Cycles'!$FO$10:$FU$10,1,BR44)+'Lease Cycles'!$BE$10*(1-INDEX('Lease Cycles'!$FO$10:$FU$10,1,BR44)))),0)</f>
        <v>0</v>
      </c>
      <c r="BS54" s="24">
        <f>IF(BS46=1,'Lease Cycles'!$D$10*IF(INDEX('Lease Cycles'!$EF$10:$EL$10,1,BS44)=1,'Lease Cycles'!$AJ$10*INDEX('Lease Cycles'!$FO$10:$FU$10,1,BS44)*INDEX('Lease Cycles'!$EM$10:$ES$10,1,BS44)+'Lease Cycles'!$BE$10*IF(BS45&lt;INDEX('Lease Cycles'!$FA$10:$FG$10,1,BS44),0,1-INDEX('Lease Cycles'!$EM$10:$ES$10,1,BS44)),IF(OR(INDEX('Lease Cycles'!$DY$10:$EE$10,1,BS44)=1,BS45&gt;0),1,1-INDEX('Lease Cycles'!$DD$10:$DJ$10,1,BS44))*('Lease Cycles'!$AJ$10*INDEX('Lease Cycles'!$FO$10:$FU$10,1,BS44)+'Lease Cycles'!$BE$10*(1-INDEX('Lease Cycles'!$FO$10:$FU$10,1,BS44)))),0)</f>
        <v>0</v>
      </c>
      <c r="BT54" s="24">
        <f>IF(BT46=1,'Lease Cycles'!$D$10*IF(INDEX('Lease Cycles'!$EF$10:$EL$10,1,BT44)=1,'Lease Cycles'!$AJ$10*INDEX('Lease Cycles'!$FO$10:$FU$10,1,BT44)*INDEX('Lease Cycles'!$EM$10:$ES$10,1,BT44)+'Lease Cycles'!$BE$10*IF(BT45&lt;INDEX('Lease Cycles'!$FA$10:$FG$10,1,BT44),0,1-INDEX('Lease Cycles'!$EM$10:$ES$10,1,BT44)),IF(OR(INDEX('Lease Cycles'!$DY$10:$EE$10,1,BT44)=1,BT45&gt;0),1,1-INDEX('Lease Cycles'!$DD$10:$DJ$10,1,BT44))*('Lease Cycles'!$AJ$10*INDEX('Lease Cycles'!$FO$10:$FU$10,1,BT44)+'Lease Cycles'!$BE$10*(1-INDEX('Lease Cycles'!$FO$10:$FU$10,1,BT44)))),0)</f>
        <v>0</v>
      </c>
      <c r="BU54" s="24">
        <f>IF(BU46=1,'Lease Cycles'!$D$10*IF(INDEX('Lease Cycles'!$EF$10:$EL$10,1,BU44)=1,'Lease Cycles'!$AJ$10*INDEX('Lease Cycles'!$FO$10:$FU$10,1,BU44)*INDEX('Lease Cycles'!$EM$10:$ES$10,1,BU44)+'Lease Cycles'!$BE$10*IF(BU45&lt;INDEX('Lease Cycles'!$FA$10:$FG$10,1,BU44),0,1-INDEX('Lease Cycles'!$EM$10:$ES$10,1,BU44)),IF(OR(INDEX('Lease Cycles'!$DY$10:$EE$10,1,BU44)=1,BU45&gt;0),1,1-INDEX('Lease Cycles'!$DD$10:$DJ$10,1,BU44))*('Lease Cycles'!$AJ$10*INDEX('Lease Cycles'!$FO$10:$FU$10,1,BU44)+'Lease Cycles'!$BE$10*(1-INDEX('Lease Cycles'!$FO$10:$FU$10,1,BU44)))),0)</f>
        <v>0</v>
      </c>
      <c r="BV54" s="24">
        <f>IF(BV46=1,'Lease Cycles'!$D$10*IF(INDEX('Lease Cycles'!$EF$10:$EL$10,1,BV44)=1,'Lease Cycles'!$AJ$10*INDEX('Lease Cycles'!$FO$10:$FU$10,1,BV44)*INDEX('Lease Cycles'!$EM$10:$ES$10,1,BV44)+'Lease Cycles'!$BE$10*IF(BV45&lt;INDEX('Lease Cycles'!$FA$10:$FG$10,1,BV44),0,1-INDEX('Lease Cycles'!$EM$10:$ES$10,1,BV44)),IF(OR(INDEX('Lease Cycles'!$DY$10:$EE$10,1,BV44)=1,BV45&gt;0),1,1-INDEX('Lease Cycles'!$DD$10:$DJ$10,1,BV44))*('Lease Cycles'!$AJ$10*INDEX('Lease Cycles'!$FO$10:$FU$10,1,BV44)+'Lease Cycles'!$BE$10*(1-INDEX('Lease Cycles'!$FO$10:$FU$10,1,BV44)))),0)</f>
        <v>0</v>
      </c>
      <c r="BW54" s="24">
        <f>IF(BW46=1,'Lease Cycles'!$D$10*IF(INDEX('Lease Cycles'!$EF$10:$EL$10,1,BW44)=1,'Lease Cycles'!$AJ$10*INDEX('Lease Cycles'!$FO$10:$FU$10,1,BW44)*INDEX('Lease Cycles'!$EM$10:$ES$10,1,BW44)+'Lease Cycles'!$BE$10*IF(BW45&lt;INDEX('Lease Cycles'!$FA$10:$FG$10,1,BW44),0,1-INDEX('Lease Cycles'!$EM$10:$ES$10,1,BW44)),IF(OR(INDEX('Lease Cycles'!$DY$10:$EE$10,1,BW44)=1,BW45&gt;0),1,1-INDEX('Lease Cycles'!$DD$10:$DJ$10,1,BW44))*('Lease Cycles'!$AJ$10*INDEX('Lease Cycles'!$FO$10:$FU$10,1,BW44)+'Lease Cycles'!$BE$10*(1-INDEX('Lease Cycles'!$FO$10:$FU$10,1,BW44)))),0)</f>
        <v>0</v>
      </c>
      <c r="BX54" s="24">
        <f>IF(BX46=1,'Lease Cycles'!$D$10*IF(INDEX('Lease Cycles'!$EF$10:$EL$10,1,BX44)=1,'Lease Cycles'!$AJ$10*INDEX('Lease Cycles'!$FO$10:$FU$10,1,BX44)*INDEX('Lease Cycles'!$EM$10:$ES$10,1,BX44)+'Lease Cycles'!$BE$10*IF(BX45&lt;INDEX('Lease Cycles'!$FA$10:$FG$10,1,BX44),0,1-INDEX('Lease Cycles'!$EM$10:$ES$10,1,BX44)),IF(OR(INDEX('Lease Cycles'!$DY$10:$EE$10,1,BX44)=1,BX45&gt;0),1,1-INDEX('Lease Cycles'!$DD$10:$DJ$10,1,BX44))*('Lease Cycles'!$AJ$10*INDEX('Lease Cycles'!$FO$10:$FU$10,1,BX44)+'Lease Cycles'!$BE$10*(1-INDEX('Lease Cycles'!$FO$10:$FU$10,1,BX44)))),0)</f>
        <v>0</v>
      </c>
      <c r="BY54" s="24">
        <f>IF(BY46=1,'Lease Cycles'!$D$10*IF(INDEX('Lease Cycles'!$EF$10:$EL$10,1,BY44)=1,'Lease Cycles'!$AJ$10*INDEX('Lease Cycles'!$FO$10:$FU$10,1,BY44)*INDEX('Lease Cycles'!$EM$10:$ES$10,1,BY44)+'Lease Cycles'!$BE$10*IF(BY45&lt;INDEX('Lease Cycles'!$FA$10:$FG$10,1,BY44),0,1-INDEX('Lease Cycles'!$EM$10:$ES$10,1,BY44)),IF(OR(INDEX('Lease Cycles'!$DY$10:$EE$10,1,BY44)=1,BY45&gt;0),1,1-INDEX('Lease Cycles'!$DD$10:$DJ$10,1,BY44))*('Lease Cycles'!$AJ$10*INDEX('Lease Cycles'!$FO$10:$FU$10,1,BY44)+'Lease Cycles'!$BE$10*(1-INDEX('Lease Cycles'!$FO$10:$FU$10,1,BY44)))),0)</f>
        <v>0</v>
      </c>
      <c r="BZ54" s="24">
        <f>IF(BZ46=1,'Lease Cycles'!$D$10*IF(INDEX('Lease Cycles'!$EF$10:$EL$10,1,BZ44)=1,'Lease Cycles'!$AJ$10*INDEX('Lease Cycles'!$FO$10:$FU$10,1,BZ44)*INDEX('Lease Cycles'!$EM$10:$ES$10,1,BZ44)+'Lease Cycles'!$BE$10*IF(BZ45&lt;INDEX('Lease Cycles'!$FA$10:$FG$10,1,BZ44),0,1-INDEX('Lease Cycles'!$EM$10:$ES$10,1,BZ44)),IF(OR(INDEX('Lease Cycles'!$DY$10:$EE$10,1,BZ44)=1,BZ45&gt;0),1,1-INDEX('Lease Cycles'!$DD$10:$DJ$10,1,BZ44))*('Lease Cycles'!$AJ$10*INDEX('Lease Cycles'!$FO$10:$FU$10,1,BZ44)+'Lease Cycles'!$BE$10*(1-INDEX('Lease Cycles'!$FO$10:$FU$10,1,BZ44)))),0)</f>
        <v>0</v>
      </c>
      <c r="CA54" s="24">
        <f>IF(CA46=1,'Lease Cycles'!$D$10*IF(INDEX('Lease Cycles'!$EF$10:$EL$10,1,CA44)=1,'Lease Cycles'!$AJ$10*INDEX('Lease Cycles'!$FO$10:$FU$10,1,CA44)*INDEX('Lease Cycles'!$EM$10:$ES$10,1,CA44)+'Lease Cycles'!$BE$10*IF(CA45&lt;INDEX('Lease Cycles'!$FA$10:$FG$10,1,CA44),0,1-INDEX('Lease Cycles'!$EM$10:$ES$10,1,CA44)),IF(OR(INDEX('Lease Cycles'!$DY$10:$EE$10,1,CA44)=1,CA45&gt;0),1,1-INDEX('Lease Cycles'!$DD$10:$DJ$10,1,CA44))*('Lease Cycles'!$AJ$10*INDEX('Lease Cycles'!$FO$10:$FU$10,1,CA44)+'Lease Cycles'!$BE$10*(1-INDEX('Lease Cycles'!$FO$10:$FU$10,1,CA44)))),0)</f>
        <v>0</v>
      </c>
      <c r="CB54" s="24">
        <f>IF(CB46=1,'Lease Cycles'!$D$10*IF(INDEX('Lease Cycles'!$EF$10:$EL$10,1,CB44)=1,'Lease Cycles'!$AJ$10*INDEX('Lease Cycles'!$FO$10:$FU$10,1,CB44)*INDEX('Lease Cycles'!$EM$10:$ES$10,1,CB44)+'Lease Cycles'!$BE$10*IF(CB45&lt;INDEX('Lease Cycles'!$FA$10:$FG$10,1,CB44),0,1-INDEX('Lease Cycles'!$EM$10:$ES$10,1,CB44)),IF(OR(INDEX('Lease Cycles'!$DY$10:$EE$10,1,CB44)=1,CB45&gt;0),1,1-INDEX('Lease Cycles'!$DD$10:$DJ$10,1,CB44))*('Lease Cycles'!$AJ$10*INDEX('Lease Cycles'!$FO$10:$FU$10,1,CB44)+'Lease Cycles'!$BE$10*(1-INDEX('Lease Cycles'!$FO$10:$FU$10,1,CB44)))),0)</f>
        <v>0</v>
      </c>
      <c r="CC54" s="24">
        <f>IF(CC46=1,'Lease Cycles'!$D$10*IF(INDEX('Lease Cycles'!$EF$10:$EL$10,1,CC44)=1,'Lease Cycles'!$AJ$10*INDEX('Lease Cycles'!$FO$10:$FU$10,1,CC44)*INDEX('Lease Cycles'!$EM$10:$ES$10,1,CC44)+'Lease Cycles'!$BE$10*IF(CC45&lt;INDEX('Lease Cycles'!$FA$10:$FG$10,1,CC44),0,1-INDEX('Lease Cycles'!$EM$10:$ES$10,1,CC44)),IF(OR(INDEX('Lease Cycles'!$DY$10:$EE$10,1,CC44)=1,CC45&gt;0),1,1-INDEX('Lease Cycles'!$DD$10:$DJ$10,1,CC44))*('Lease Cycles'!$AJ$10*INDEX('Lease Cycles'!$FO$10:$FU$10,1,CC44)+'Lease Cycles'!$BE$10*(1-INDEX('Lease Cycles'!$FO$10:$FU$10,1,CC44)))),0)</f>
        <v>0</v>
      </c>
      <c r="CD54" s="24">
        <f>IF(CD46=1,'Lease Cycles'!$D$10*IF(INDEX('Lease Cycles'!$EF$10:$EL$10,1,CD44)=1,'Lease Cycles'!$AJ$10*INDEX('Lease Cycles'!$FO$10:$FU$10,1,CD44)*INDEX('Lease Cycles'!$EM$10:$ES$10,1,CD44)+'Lease Cycles'!$BE$10*IF(CD45&lt;INDEX('Lease Cycles'!$FA$10:$FG$10,1,CD44),0,1-INDEX('Lease Cycles'!$EM$10:$ES$10,1,CD44)),IF(OR(INDEX('Lease Cycles'!$DY$10:$EE$10,1,CD44)=1,CD45&gt;0),1,1-INDEX('Lease Cycles'!$DD$10:$DJ$10,1,CD44))*('Lease Cycles'!$AJ$10*INDEX('Lease Cycles'!$FO$10:$FU$10,1,CD44)+'Lease Cycles'!$BE$10*(1-INDEX('Lease Cycles'!$FO$10:$FU$10,1,CD44)))),0)</f>
        <v>0</v>
      </c>
      <c r="CE54" s="24">
        <f>IF(CE46=1,'Lease Cycles'!$D$10*IF(INDEX('Lease Cycles'!$EF$10:$EL$10,1,CE44)=1,'Lease Cycles'!$AJ$10*INDEX('Lease Cycles'!$FO$10:$FU$10,1,CE44)*INDEX('Lease Cycles'!$EM$10:$ES$10,1,CE44)+'Lease Cycles'!$BE$10*IF(CE45&lt;INDEX('Lease Cycles'!$FA$10:$FG$10,1,CE44),0,1-INDEX('Lease Cycles'!$EM$10:$ES$10,1,CE44)),IF(OR(INDEX('Lease Cycles'!$DY$10:$EE$10,1,CE44)=1,CE45&gt;0),1,1-INDEX('Lease Cycles'!$DD$10:$DJ$10,1,CE44))*('Lease Cycles'!$AJ$10*INDEX('Lease Cycles'!$FO$10:$FU$10,1,CE44)+'Lease Cycles'!$BE$10*(1-INDEX('Lease Cycles'!$FO$10:$FU$10,1,CE44)))),0)</f>
        <v>0</v>
      </c>
      <c r="CF54" s="24">
        <f>IF(CF46=1,'Lease Cycles'!$D$10*IF(INDEX('Lease Cycles'!$EF$10:$EL$10,1,CF44)=1,'Lease Cycles'!$AJ$10*INDEX('Lease Cycles'!$FO$10:$FU$10,1,CF44)*INDEX('Lease Cycles'!$EM$10:$ES$10,1,CF44)+'Lease Cycles'!$BE$10*IF(CF45&lt;INDEX('Lease Cycles'!$FA$10:$FG$10,1,CF44),0,1-INDEX('Lease Cycles'!$EM$10:$ES$10,1,CF44)),IF(OR(INDEX('Lease Cycles'!$DY$10:$EE$10,1,CF44)=1,CF45&gt;0),1,1-INDEX('Lease Cycles'!$DD$10:$DJ$10,1,CF44))*('Lease Cycles'!$AJ$10*INDEX('Lease Cycles'!$FO$10:$FU$10,1,CF44)+'Lease Cycles'!$BE$10*(1-INDEX('Lease Cycles'!$FO$10:$FU$10,1,CF44)))),0)</f>
        <v>0</v>
      </c>
      <c r="CG54" s="24">
        <f>IF(CG46=1,'Lease Cycles'!$D$10*IF(INDEX('Lease Cycles'!$EF$10:$EL$10,1,CG44)=1,'Lease Cycles'!$AJ$10*INDEX('Lease Cycles'!$FO$10:$FU$10,1,CG44)*INDEX('Lease Cycles'!$EM$10:$ES$10,1,CG44)+'Lease Cycles'!$BE$10*IF(CG45&lt;INDEX('Lease Cycles'!$FA$10:$FG$10,1,CG44),0,1-INDEX('Lease Cycles'!$EM$10:$ES$10,1,CG44)),IF(OR(INDEX('Lease Cycles'!$DY$10:$EE$10,1,CG44)=1,CG45&gt;0),1,1-INDEX('Lease Cycles'!$DD$10:$DJ$10,1,CG44))*('Lease Cycles'!$AJ$10*INDEX('Lease Cycles'!$FO$10:$FU$10,1,CG44)+'Lease Cycles'!$BE$10*(1-INDEX('Lease Cycles'!$FO$10:$FU$10,1,CG44)))),0)</f>
        <v>0</v>
      </c>
      <c r="CH54" s="24">
        <f>IF(CH46=1,'Lease Cycles'!$D$10*IF(INDEX('Lease Cycles'!$EF$10:$EL$10,1,CH44)=1,'Lease Cycles'!$AJ$10*INDEX('Lease Cycles'!$FO$10:$FU$10,1,CH44)*INDEX('Lease Cycles'!$EM$10:$ES$10,1,CH44)+'Lease Cycles'!$BE$10*IF(CH45&lt;INDEX('Lease Cycles'!$FA$10:$FG$10,1,CH44),0,1-INDEX('Lease Cycles'!$EM$10:$ES$10,1,CH44)),IF(OR(INDEX('Lease Cycles'!$DY$10:$EE$10,1,CH44)=1,CH45&gt;0),1,1-INDEX('Lease Cycles'!$DD$10:$DJ$10,1,CH44))*('Lease Cycles'!$AJ$10*INDEX('Lease Cycles'!$FO$10:$FU$10,1,CH44)+'Lease Cycles'!$BE$10*(1-INDEX('Lease Cycles'!$FO$10:$FU$10,1,CH44)))),0)</f>
        <v>0</v>
      </c>
      <c r="CI54" s="24">
        <f>IF(CI46=1,'Lease Cycles'!$D$10*IF(INDEX('Lease Cycles'!$EF$10:$EL$10,1,CI44)=1,'Lease Cycles'!$AJ$10*INDEX('Lease Cycles'!$FO$10:$FU$10,1,CI44)*INDEX('Lease Cycles'!$EM$10:$ES$10,1,CI44)+'Lease Cycles'!$BE$10*IF(CI45&lt;INDEX('Lease Cycles'!$FA$10:$FG$10,1,CI44),0,1-INDEX('Lease Cycles'!$EM$10:$ES$10,1,CI44)),IF(OR(INDEX('Lease Cycles'!$DY$10:$EE$10,1,CI44)=1,CI45&gt;0),1,1-INDEX('Lease Cycles'!$DD$10:$DJ$10,1,CI44))*('Lease Cycles'!$AJ$10*INDEX('Lease Cycles'!$FO$10:$FU$10,1,CI44)+'Lease Cycles'!$BE$10*(1-INDEX('Lease Cycles'!$FO$10:$FU$10,1,CI44)))),0)</f>
        <v>0</v>
      </c>
      <c r="CJ54" s="24">
        <f>IF(CJ46=1,'Lease Cycles'!$D$10*IF(INDEX('Lease Cycles'!$EF$10:$EL$10,1,CJ44)=1,'Lease Cycles'!$AJ$10*INDEX('Lease Cycles'!$FO$10:$FU$10,1,CJ44)*INDEX('Lease Cycles'!$EM$10:$ES$10,1,CJ44)+'Lease Cycles'!$BE$10*IF(CJ45&lt;INDEX('Lease Cycles'!$FA$10:$FG$10,1,CJ44),0,1-INDEX('Lease Cycles'!$EM$10:$ES$10,1,CJ44)),IF(OR(INDEX('Lease Cycles'!$DY$10:$EE$10,1,CJ44)=1,CJ45&gt;0),1,1-INDEX('Lease Cycles'!$DD$10:$DJ$10,1,CJ44))*('Lease Cycles'!$AJ$10*INDEX('Lease Cycles'!$FO$10:$FU$10,1,CJ44)+'Lease Cycles'!$BE$10*(1-INDEX('Lease Cycles'!$FO$10:$FU$10,1,CJ44)))),0)</f>
        <v>0</v>
      </c>
      <c r="CK54" s="24">
        <f>IF(CK46=1,'Lease Cycles'!$D$10*IF(INDEX('Lease Cycles'!$EF$10:$EL$10,1,CK44)=1,'Lease Cycles'!$AJ$10*INDEX('Lease Cycles'!$FO$10:$FU$10,1,CK44)*INDEX('Lease Cycles'!$EM$10:$ES$10,1,CK44)+'Lease Cycles'!$BE$10*IF(CK45&lt;INDEX('Lease Cycles'!$FA$10:$FG$10,1,CK44),0,1-INDEX('Lease Cycles'!$EM$10:$ES$10,1,CK44)),IF(OR(INDEX('Lease Cycles'!$DY$10:$EE$10,1,CK44)=1,CK45&gt;0),1,1-INDEX('Lease Cycles'!$DD$10:$DJ$10,1,CK44))*('Lease Cycles'!$AJ$10*INDEX('Lease Cycles'!$FO$10:$FU$10,1,CK44)+'Lease Cycles'!$BE$10*(1-INDEX('Lease Cycles'!$FO$10:$FU$10,1,CK44)))),0)</f>
        <v>0</v>
      </c>
      <c r="CL54" s="24">
        <f>IF(CL46=1,'Lease Cycles'!$D$10*IF(INDEX('Lease Cycles'!$EF$10:$EL$10,1,CL44)=1,'Lease Cycles'!$AJ$10*INDEX('Lease Cycles'!$FO$10:$FU$10,1,CL44)*INDEX('Lease Cycles'!$EM$10:$ES$10,1,CL44)+'Lease Cycles'!$BE$10*IF(CL45&lt;INDEX('Lease Cycles'!$FA$10:$FG$10,1,CL44),0,1-INDEX('Lease Cycles'!$EM$10:$ES$10,1,CL44)),IF(OR(INDEX('Lease Cycles'!$DY$10:$EE$10,1,CL44)=1,CL45&gt;0),1,1-INDEX('Lease Cycles'!$DD$10:$DJ$10,1,CL44))*('Lease Cycles'!$AJ$10*INDEX('Lease Cycles'!$FO$10:$FU$10,1,CL44)+'Lease Cycles'!$BE$10*(1-INDEX('Lease Cycles'!$FO$10:$FU$10,1,CL44)))),0)</f>
        <v>0</v>
      </c>
      <c r="CM54" s="24">
        <f>IF(CM46=1,'Lease Cycles'!$D$10*IF(INDEX('Lease Cycles'!$EF$10:$EL$10,1,CM44)=1,'Lease Cycles'!$AJ$10*INDEX('Lease Cycles'!$FO$10:$FU$10,1,CM44)*INDEX('Lease Cycles'!$EM$10:$ES$10,1,CM44)+'Lease Cycles'!$BE$10*IF(CM45&lt;INDEX('Lease Cycles'!$FA$10:$FG$10,1,CM44),0,1-INDEX('Lease Cycles'!$EM$10:$ES$10,1,CM44)),IF(OR(INDEX('Lease Cycles'!$DY$10:$EE$10,1,CM44)=1,CM45&gt;0),1,1-INDEX('Lease Cycles'!$DD$10:$DJ$10,1,CM44))*('Lease Cycles'!$AJ$10*INDEX('Lease Cycles'!$FO$10:$FU$10,1,CM44)+'Lease Cycles'!$BE$10*(1-INDEX('Lease Cycles'!$FO$10:$FU$10,1,CM44)))),0)</f>
        <v>0</v>
      </c>
      <c r="CN54" s="24">
        <f>IF(CN46=1,'Lease Cycles'!$D$10*IF(INDEX('Lease Cycles'!$EF$10:$EL$10,1,CN44)=1,'Lease Cycles'!$AJ$10*INDEX('Lease Cycles'!$FO$10:$FU$10,1,CN44)*INDEX('Lease Cycles'!$EM$10:$ES$10,1,CN44)+'Lease Cycles'!$BE$10*IF(CN45&lt;INDEX('Lease Cycles'!$FA$10:$FG$10,1,CN44),0,1-INDEX('Lease Cycles'!$EM$10:$ES$10,1,CN44)),IF(OR(INDEX('Lease Cycles'!$DY$10:$EE$10,1,CN44)=1,CN45&gt;0),1,1-INDEX('Lease Cycles'!$DD$10:$DJ$10,1,CN44))*('Lease Cycles'!$AJ$10*INDEX('Lease Cycles'!$FO$10:$FU$10,1,CN44)+'Lease Cycles'!$BE$10*(1-INDEX('Lease Cycles'!$FO$10:$FU$10,1,CN44)))),0)</f>
        <v>0</v>
      </c>
      <c r="CO54" s="24">
        <f>IF(CO46=1,'Lease Cycles'!$D$10*IF(INDEX('Lease Cycles'!$EF$10:$EL$10,1,CO44)=1,'Lease Cycles'!$AJ$10*INDEX('Lease Cycles'!$FO$10:$FU$10,1,CO44)*INDEX('Lease Cycles'!$EM$10:$ES$10,1,CO44)+'Lease Cycles'!$BE$10*IF(CO45&lt;INDEX('Lease Cycles'!$FA$10:$FG$10,1,CO44),0,1-INDEX('Lease Cycles'!$EM$10:$ES$10,1,CO44)),IF(OR(INDEX('Lease Cycles'!$DY$10:$EE$10,1,CO44)=1,CO45&gt;0),1,1-INDEX('Lease Cycles'!$DD$10:$DJ$10,1,CO44))*('Lease Cycles'!$AJ$10*INDEX('Lease Cycles'!$FO$10:$FU$10,1,CO44)+'Lease Cycles'!$BE$10*(1-INDEX('Lease Cycles'!$FO$10:$FU$10,1,CO44)))),0)</f>
        <v>0</v>
      </c>
      <c r="CP54" s="24">
        <f>IF(CP46=1,'Lease Cycles'!$D$10*IF(INDEX('Lease Cycles'!$EF$10:$EL$10,1,CP44)=1,'Lease Cycles'!$AJ$10*INDEX('Lease Cycles'!$FO$10:$FU$10,1,CP44)*INDEX('Lease Cycles'!$EM$10:$ES$10,1,CP44)+'Lease Cycles'!$BE$10*IF(CP45&lt;INDEX('Lease Cycles'!$FA$10:$FG$10,1,CP44),0,1-INDEX('Lease Cycles'!$EM$10:$ES$10,1,CP44)),IF(OR(INDEX('Lease Cycles'!$DY$10:$EE$10,1,CP44)=1,CP45&gt;0),1,1-INDEX('Lease Cycles'!$DD$10:$DJ$10,1,CP44))*('Lease Cycles'!$AJ$10*INDEX('Lease Cycles'!$FO$10:$FU$10,1,CP44)+'Lease Cycles'!$BE$10*(1-INDEX('Lease Cycles'!$FO$10:$FU$10,1,CP44)))),0)</f>
        <v>0</v>
      </c>
      <c r="CQ54" s="24">
        <f>IF(CQ46=1,'Lease Cycles'!$D$10*IF(INDEX('Lease Cycles'!$EF$10:$EL$10,1,CQ44)=1,'Lease Cycles'!$AJ$10*INDEX('Lease Cycles'!$FO$10:$FU$10,1,CQ44)*INDEX('Lease Cycles'!$EM$10:$ES$10,1,CQ44)+'Lease Cycles'!$BE$10*IF(CQ45&lt;INDEX('Lease Cycles'!$FA$10:$FG$10,1,CQ44),0,1-INDEX('Lease Cycles'!$EM$10:$ES$10,1,CQ44)),IF(OR(INDEX('Lease Cycles'!$DY$10:$EE$10,1,CQ44)=1,CQ45&gt;0),1,1-INDEX('Lease Cycles'!$DD$10:$DJ$10,1,CQ44))*('Lease Cycles'!$AJ$10*INDEX('Lease Cycles'!$FO$10:$FU$10,1,CQ44)+'Lease Cycles'!$BE$10*(1-INDEX('Lease Cycles'!$FO$10:$FU$10,1,CQ44)))),0)</f>
        <v>0</v>
      </c>
      <c r="CR54" s="24">
        <f>IF(CR46=1,'Lease Cycles'!$D$10*IF(INDEX('Lease Cycles'!$EF$10:$EL$10,1,CR44)=1,'Lease Cycles'!$AJ$10*INDEX('Lease Cycles'!$FO$10:$FU$10,1,CR44)*INDEX('Lease Cycles'!$EM$10:$ES$10,1,CR44)+'Lease Cycles'!$BE$10*IF(CR45&lt;INDEX('Lease Cycles'!$FA$10:$FG$10,1,CR44),0,1-INDEX('Lease Cycles'!$EM$10:$ES$10,1,CR44)),IF(OR(INDEX('Lease Cycles'!$DY$10:$EE$10,1,CR44)=1,CR45&gt;0),1,1-INDEX('Lease Cycles'!$DD$10:$DJ$10,1,CR44))*('Lease Cycles'!$AJ$10*INDEX('Lease Cycles'!$FO$10:$FU$10,1,CR44)+'Lease Cycles'!$BE$10*(1-INDEX('Lease Cycles'!$FO$10:$FU$10,1,CR44)))),0)</f>
        <v>0</v>
      </c>
      <c r="CS54" s="24">
        <f>IF(CS46=1,'Lease Cycles'!$D$10*IF(INDEX('Lease Cycles'!$EF$10:$EL$10,1,CS44)=1,'Lease Cycles'!$AJ$10*INDEX('Lease Cycles'!$FO$10:$FU$10,1,CS44)*INDEX('Lease Cycles'!$EM$10:$ES$10,1,CS44)+'Lease Cycles'!$BE$10*IF(CS45&lt;INDEX('Lease Cycles'!$FA$10:$FG$10,1,CS44),0,1-INDEX('Lease Cycles'!$EM$10:$ES$10,1,CS44)),IF(OR(INDEX('Lease Cycles'!$DY$10:$EE$10,1,CS44)=1,CS45&gt;0),1,1-INDEX('Lease Cycles'!$DD$10:$DJ$10,1,CS44))*('Lease Cycles'!$AJ$10*INDEX('Lease Cycles'!$FO$10:$FU$10,1,CS44)+'Lease Cycles'!$BE$10*(1-INDEX('Lease Cycles'!$FO$10:$FU$10,1,CS44)))),0)</f>
        <v>0</v>
      </c>
      <c r="CT54" s="24">
        <f>IF(CT46=1,'Lease Cycles'!$D$10*IF(INDEX('Lease Cycles'!$EF$10:$EL$10,1,CT44)=1,'Lease Cycles'!$AJ$10*INDEX('Lease Cycles'!$FO$10:$FU$10,1,CT44)*INDEX('Lease Cycles'!$EM$10:$ES$10,1,CT44)+'Lease Cycles'!$BE$10*IF(CT45&lt;INDEX('Lease Cycles'!$FA$10:$FG$10,1,CT44),0,1-INDEX('Lease Cycles'!$EM$10:$ES$10,1,CT44)),IF(OR(INDEX('Lease Cycles'!$DY$10:$EE$10,1,CT44)=1,CT45&gt;0),1,1-INDEX('Lease Cycles'!$DD$10:$DJ$10,1,CT44))*('Lease Cycles'!$AJ$10*INDEX('Lease Cycles'!$FO$10:$FU$10,1,CT44)+'Lease Cycles'!$BE$10*(1-INDEX('Lease Cycles'!$FO$10:$FU$10,1,CT44)))),0)</f>
        <v>0</v>
      </c>
      <c r="CU54" s="24">
        <f>IF(CU46=1,'Lease Cycles'!$D$10*IF(INDEX('Lease Cycles'!$EF$10:$EL$10,1,CU44)=1,'Lease Cycles'!$AJ$10*INDEX('Lease Cycles'!$FO$10:$FU$10,1,CU44)*INDEX('Lease Cycles'!$EM$10:$ES$10,1,CU44)+'Lease Cycles'!$BE$10*IF(CU45&lt;INDEX('Lease Cycles'!$FA$10:$FG$10,1,CU44),0,1-INDEX('Lease Cycles'!$EM$10:$ES$10,1,CU44)),IF(OR(INDEX('Lease Cycles'!$DY$10:$EE$10,1,CU44)=1,CU45&gt;0),1,1-INDEX('Lease Cycles'!$DD$10:$DJ$10,1,CU44))*('Lease Cycles'!$AJ$10*INDEX('Lease Cycles'!$FO$10:$FU$10,1,CU44)+'Lease Cycles'!$BE$10*(1-INDEX('Lease Cycles'!$FO$10:$FU$10,1,CU44)))),0)</f>
        <v>0</v>
      </c>
      <c r="CV54" s="24">
        <f>IF(CV46=1,'Lease Cycles'!$D$10*IF(INDEX('Lease Cycles'!$EF$10:$EL$10,1,CV44)=1,'Lease Cycles'!$AJ$10*INDEX('Lease Cycles'!$FO$10:$FU$10,1,CV44)*INDEX('Lease Cycles'!$EM$10:$ES$10,1,CV44)+'Lease Cycles'!$BE$10*IF(CV45&lt;INDEX('Lease Cycles'!$FA$10:$FG$10,1,CV44),0,1-INDEX('Lease Cycles'!$EM$10:$ES$10,1,CV44)),IF(OR(INDEX('Lease Cycles'!$DY$10:$EE$10,1,CV44)=1,CV45&gt;0),1,1-INDEX('Lease Cycles'!$DD$10:$DJ$10,1,CV44))*('Lease Cycles'!$AJ$10*INDEX('Lease Cycles'!$FO$10:$FU$10,1,CV44)+'Lease Cycles'!$BE$10*(1-INDEX('Lease Cycles'!$FO$10:$FU$10,1,CV44)))),0)</f>
        <v>0</v>
      </c>
      <c r="CW54" s="24">
        <f>IF(CW46=1,'Lease Cycles'!$D$10*IF(INDEX('Lease Cycles'!$EF$10:$EL$10,1,CW44)=1,'Lease Cycles'!$AJ$10*INDEX('Lease Cycles'!$FO$10:$FU$10,1,CW44)*INDEX('Lease Cycles'!$EM$10:$ES$10,1,CW44)+'Lease Cycles'!$BE$10*IF(CW45&lt;INDEX('Lease Cycles'!$FA$10:$FG$10,1,CW44),0,1-INDEX('Lease Cycles'!$EM$10:$ES$10,1,CW44)),IF(OR(INDEX('Lease Cycles'!$DY$10:$EE$10,1,CW44)=1,CW45&gt;0),1,1-INDEX('Lease Cycles'!$DD$10:$DJ$10,1,CW44))*('Lease Cycles'!$AJ$10*INDEX('Lease Cycles'!$FO$10:$FU$10,1,CW44)+'Lease Cycles'!$BE$10*(1-INDEX('Lease Cycles'!$FO$10:$FU$10,1,CW44)))),0)</f>
        <v>0</v>
      </c>
      <c r="CX54" s="24">
        <f>IF(CX46=1,'Lease Cycles'!$D$10*IF(INDEX('Lease Cycles'!$EF$10:$EL$10,1,CX44)=1,'Lease Cycles'!$AJ$10*INDEX('Lease Cycles'!$FO$10:$FU$10,1,CX44)*INDEX('Lease Cycles'!$EM$10:$ES$10,1,CX44)+'Lease Cycles'!$BE$10*IF(CX45&lt;INDEX('Lease Cycles'!$FA$10:$FG$10,1,CX44),0,1-INDEX('Lease Cycles'!$EM$10:$ES$10,1,CX44)),IF(OR(INDEX('Lease Cycles'!$DY$10:$EE$10,1,CX44)=1,CX45&gt;0),1,1-INDEX('Lease Cycles'!$DD$10:$DJ$10,1,CX44))*('Lease Cycles'!$AJ$10*INDEX('Lease Cycles'!$FO$10:$FU$10,1,CX44)+'Lease Cycles'!$BE$10*(1-INDEX('Lease Cycles'!$FO$10:$FU$10,1,CX44)))),0)</f>
        <v>0</v>
      </c>
      <c r="CY54" s="24">
        <f>IF(CY46=1,'Lease Cycles'!$D$10*IF(INDEX('Lease Cycles'!$EF$10:$EL$10,1,CY44)=1,'Lease Cycles'!$AJ$10*INDEX('Lease Cycles'!$FO$10:$FU$10,1,CY44)*INDEX('Lease Cycles'!$EM$10:$ES$10,1,CY44)+'Lease Cycles'!$BE$10*IF(CY45&lt;INDEX('Lease Cycles'!$FA$10:$FG$10,1,CY44),0,1-INDEX('Lease Cycles'!$EM$10:$ES$10,1,CY44)),IF(OR(INDEX('Lease Cycles'!$DY$10:$EE$10,1,CY44)=1,CY45&gt;0),1,1-INDEX('Lease Cycles'!$DD$10:$DJ$10,1,CY44))*('Lease Cycles'!$AJ$10*INDEX('Lease Cycles'!$FO$10:$FU$10,1,CY44)+'Lease Cycles'!$BE$10*(1-INDEX('Lease Cycles'!$FO$10:$FU$10,1,CY44)))),0)</f>
        <v>0</v>
      </c>
      <c r="CZ54" s="24">
        <f>IF(CZ46=1,'Lease Cycles'!$D$10*IF(INDEX('Lease Cycles'!$EF$10:$EL$10,1,CZ44)=1,'Lease Cycles'!$AJ$10*INDEX('Lease Cycles'!$FO$10:$FU$10,1,CZ44)*INDEX('Lease Cycles'!$EM$10:$ES$10,1,CZ44)+'Lease Cycles'!$BE$10*IF(CZ45&lt;INDEX('Lease Cycles'!$FA$10:$FG$10,1,CZ44),0,1-INDEX('Lease Cycles'!$EM$10:$ES$10,1,CZ44)),IF(OR(INDEX('Lease Cycles'!$DY$10:$EE$10,1,CZ44)=1,CZ45&gt;0),1,1-INDEX('Lease Cycles'!$DD$10:$DJ$10,1,CZ44))*('Lease Cycles'!$AJ$10*INDEX('Lease Cycles'!$FO$10:$FU$10,1,CZ44)+'Lease Cycles'!$BE$10*(1-INDEX('Lease Cycles'!$FO$10:$FU$10,1,CZ44)))),0)</f>
        <v>0</v>
      </c>
      <c r="DA54" s="24">
        <f>IF(DA46=1,'Lease Cycles'!$D$10*IF(INDEX('Lease Cycles'!$EF$10:$EL$10,1,DA44)=1,'Lease Cycles'!$AJ$10*INDEX('Lease Cycles'!$FO$10:$FU$10,1,DA44)*INDEX('Lease Cycles'!$EM$10:$ES$10,1,DA44)+'Lease Cycles'!$BE$10*IF(DA45&lt;INDEX('Lease Cycles'!$FA$10:$FG$10,1,DA44),0,1-INDEX('Lease Cycles'!$EM$10:$ES$10,1,DA44)),IF(OR(INDEX('Lease Cycles'!$DY$10:$EE$10,1,DA44)=1,DA45&gt;0),1,1-INDEX('Lease Cycles'!$DD$10:$DJ$10,1,DA44))*('Lease Cycles'!$AJ$10*INDEX('Lease Cycles'!$FO$10:$FU$10,1,DA44)+'Lease Cycles'!$BE$10*(1-INDEX('Lease Cycles'!$FO$10:$FU$10,1,DA44)))),0)</f>
        <v>0</v>
      </c>
      <c r="DB54" s="24">
        <f>IF(DB46=1,'Lease Cycles'!$D$10*IF(INDEX('Lease Cycles'!$EF$10:$EL$10,1,DB44)=1,'Lease Cycles'!$AJ$10*INDEX('Lease Cycles'!$FO$10:$FU$10,1,DB44)*INDEX('Lease Cycles'!$EM$10:$ES$10,1,DB44)+'Lease Cycles'!$BE$10*IF(DB45&lt;INDEX('Lease Cycles'!$FA$10:$FG$10,1,DB44),0,1-INDEX('Lease Cycles'!$EM$10:$ES$10,1,DB44)),IF(OR(INDEX('Lease Cycles'!$DY$10:$EE$10,1,DB44)=1,DB45&gt;0),1,1-INDEX('Lease Cycles'!$DD$10:$DJ$10,1,DB44))*('Lease Cycles'!$AJ$10*INDEX('Lease Cycles'!$FO$10:$FU$10,1,DB44)+'Lease Cycles'!$BE$10*(1-INDEX('Lease Cycles'!$FO$10:$FU$10,1,DB44)))),0)</f>
        <v>0</v>
      </c>
      <c r="DC54" s="24">
        <f>IF(DC46=1,'Lease Cycles'!$D$10*IF(INDEX('Lease Cycles'!$EF$10:$EL$10,1,DC44)=1,'Lease Cycles'!$AJ$10*INDEX('Lease Cycles'!$FO$10:$FU$10,1,DC44)*INDEX('Lease Cycles'!$EM$10:$ES$10,1,DC44)+'Lease Cycles'!$BE$10*IF(DC45&lt;INDEX('Lease Cycles'!$FA$10:$FG$10,1,DC44),0,1-INDEX('Lease Cycles'!$EM$10:$ES$10,1,DC44)),IF(OR(INDEX('Lease Cycles'!$DY$10:$EE$10,1,DC44)=1,DC45&gt;0),1,1-INDEX('Lease Cycles'!$DD$10:$DJ$10,1,DC44))*('Lease Cycles'!$AJ$10*INDEX('Lease Cycles'!$FO$10:$FU$10,1,DC44)+'Lease Cycles'!$BE$10*(1-INDEX('Lease Cycles'!$FO$10:$FU$10,1,DC44)))),0)</f>
        <v>0</v>
      </c>
      <c r="DD54" s="24">
        <f>IF(DD46=1,'Lease Cycles'!$D$10*IF(INDEX('Lease Cycles'!$EF$10:$EL$10,1,DD44)=1,'Lease Cycles'!$AJ$10*INDEX('Lease Cycles'!$FO$10:$FU$10,1,DD44)*INDEX('Lease Cycles'!$EM$10:$ES$10,1,DD44)+'Lease Cycles'!$BE$10*IF(DD45&lt;INDEX('Lease Cycles'!$FA$10:$FG$10,1,DD44),0,1-INDEX('Lease Cycles'!$EM$10:$ES$10,1,DD44)),IF(OR(INDEX('Lease Cycles'!$DY$10:$EE$10,1,DD44)=1,DD45&gt;0),1,1-INDEX('Lease Cycles'!$DD$10:$DJ$10,1,DD44))*('Lease Cycles'!$AJ$10*INDEX('Lease Cycles'!$FO$10:$FU$10,1,DD44)+'Lease Cycles'!$BE$10*(1-INDEX('Lease Cycles'!$FO$10:$FU$10,1,DD44)))),0)</f>
        <v>0</v>
      </c>
      <c r="DE54" s="24">
        <f>IF(DE46=1,'Lease Cycles'!$D$10*IF(INDEX('Lease Cycles'!$EF$10:$EL$10,1,DE44)=1,'Lease Cycles'!$AJ$10*INDEX('Lease Cycles'!$FO$10:$FU$10,1,DE44)*INDEX('Lease Cycles'!$EM$10:$ES$10,1,DE44)+'Lease Cycles'!$BE$10*IF(DE45&lt;INDEX('Lease Cycles'!$FA$10:$FG$10,1,DE44),0,1-INDEX('Lease Cycles'!$EM$10:$ES$10,1,DE44)),IF(OR(INDEX('Lease Cycles'!$DY$10:$EE$10,1,DE44)=1,DE45&gt;0),1,1-INDEX('Lease Cycles'!$DD$10:$DJ$10,1,DE44))*('Lease Cycles'!$AJ$10*INDEX('Lease Cycles'!$FO$10:$FU$10,1,DE44)+'Lease Cycles'!$BE$10*(1-INDEX('Lease Cycles'!$FO$10:$FU$10,1,DE44)))),0)</f>
        <v>0</v>
      </c>
      <c r="DF54" s="24">
        <f>IF(DF46=1,'Lease Cycles'!$D$10*IF(INDEX('Lease Cycles'!$EF$10:$EL$10,1,DF44)=1,'Lease Cycles'!$AJ$10*INDEX('Lease Cycles'!$FO$10:$FU$10,1,DF44)*INDEX('Lease Cycles'!$EM$10:$ES$10,1,DF44)+'Lease Cycles'!$BE$10*IF(DF45&lt;INDEX('Lease Cycles'!$FA$10:$FG$10,1,DF44),0,1-INDEX('Lease Cycles'!$EM$10:$ES$10,1,DF44)),IF(OR(INDEX('Lease Cycles'!$DY$10:$EE$10,1,DF44)=1,DF45&gt;0),1,1-INDEX('Lease Cycles'!$DD$10:$DJ$10,1,DF44))*('Lease Cycles'!$AJ$10*INDEX('Lease Cycles'!$FO$10:$FU$10,1,DF44)+'Lease Cycles'!$BE$10*(1-INDEX('Lease Cycles'!$FO$10:$FU$10,1,DF44)))),0)</f>
        <v>0</v>
      </c>
      <c r="DG54" s="24">
        <f>IF(DG46=1,'Lease Cycles'!$D$10*IF(INDEX('Lease Cycles'!$EF$10:$EL$10,1,DG44)=1,'Lease Cycles'!$AJ$10*INDEX('Lease Cycles'!$FO$10:$FU$10,1,DG44)*INDEX('Lease Cycles'!$EM$10:$ES$10,1,DG44)+'Lease Cycles'!$BE$10*IF(DG45&lt;INDEX('Lease Cycles'!$FA$10:$FG$10,1,DG44),0,1-INDEX('Lease Cycles'!$EM$10:$ES$10,1,DG44)),IF(OR(INDEX('Lease Cycles'!$DY$10:$EE$10,1,DG44)=1,DG45&gt;0),1,1-INDEX('Lease Cycles'!$DD$10:$DJ$10,1,DG44))*('Lease Cycles'!$AJ$10*INDEX('Lease Cycles'!$FO$10:$FU$10,1,DG44)+'Lease Cycles'!$BE$10*(1-INDEX('Lease Cycles'!$FO$10:$FU$10,1,DG44)))),0)</f>
        <v>0</v>
      </c>
      <c r="DH54" s="24">
        <f>IF(DH46=1,'Lease Cycles'!$D$10*IF(INDEX('Lease Cycles'!$EF$10:$EL$10,1,DH44)=1,'Lease Cycles'!$AJ$10*INDEX('Lease Cycles'!$FO$10:$FU$10,1,DH44)*INDEX('Lease Cycles'!$EM$10:$ES$10,1,DH44)+'Lease Cycles'!$BE$10*IF(DH45&lt;INDEX('Lease Cycles'!$FA$10:$FG$10,1,DH44),0,1-INDEX('Lease Cycles'!$EM$10:$ES$10,1,DH44)),IF(OR(INDEX('Lease Cycles'!$DY$10:$EE$10,1,DH44)=1,DH45&gt;0),1,1-INDEX('Lease Cycles'!$DD$10:$DJ$10,1,DH44))*('Lease Cycles'!$AJ$10*INDEX('Lease Cycles'!$FO$10:$FU$10,1,DH44)+'Lease Cycles'!$BE$10*(1-INDEX('Lease Cycles'!$FO$10:$FU$10,1,DH44)))),0)</f>
        <v>0</v>
      </c>
      <c r="DI54" s="24">
        <f>IF(DI46=1,'Lease Cycles'!$D$10*IF(INDEX('Lease Cycles'!$EF$10:$EL$10,1,DI44)=1,'Lease Cycles'!$AJ$10*INDEX('Lease Cycles'!$FO$10:$FU$10,1,DI44)*INDEX('Lease Cycles'!$EM$10:$ES$10,1,DI44)+'Lease Cycles'!$BE$10*IF(DI45&lt;INDEX('Lease Cycles'!$FA$10:$FG$10,1,DI44),0,1-INDEX('Lease Cycles'!$EM$10:$ES$10,1,DI44)),IF(OR(INDEX('Lease Cycles'!$DY$10:$EE$10,1,DI44)=1,DI45&gt;0),1,1-INDEX('Lease Cycles'!$DD$10:$DJ$10,1,DI44))*('Lease Cycles'!$AJ$10*INDEX('Lease Cycles'!$FO$10:$FU$10,1,DI44)+'Lease Cycles'!$BE$10*(1-INDEX('Lease Cycles'!$FO$10:$FU$10,1,DI44)))),0)</f>
        <v>0</v>
      </c>
      <c r="DJ54" s="24">
        <f>IF(DJ46=1,'Lease Cycles'!$D$10*IF(INDEX('Lease Cycles'!$EF$10:$EL$10,1,DJ44)=1,'Lease Cycles'!$AJ$10*INDEX('Lease Cycles'!$FO$10:$FU$10,1,DJ44)*INDEX('Lease Cycles'!$EM$10:$ES$10,1,DJ44)+'Lease Cycles'!$BE$10*IF(DJ45&lt;INDEX('Lease Cycles'!$FA$10:$FG$10,1,DJ44),0,1-INDEX('Lease Cycles'!$EM$10:$ES$10,1,DJ44)),IF(OR(INDEX('Lease Cycles'!$DY$10:$EE$10,1,DJ44)=1,DJ45&gt;0),1,1-INDEX('Lease Cycles'!$DD$10:$DJ$10,1,DJ44))*('Lease Cycles'!$AJ$10*INDEX('Lease Cycles'!$FO$10:$FU$10,1,DJ44)+'Lease Cycles'!$BE$10*(1-INDEX('Lease Cycles'!$FO$10:$FU$10,1,DJ44)))),0)</f>
        <v>0</v>
      </c>
      <c r="DK54" s="24">
        <f>IF(DK46=1,'Lease Cycles'!$D$10*IF(INDEX('Lease Cycles'!$EF$10:$EL$10,1,DK44)=1,'Lease Cycles'!$AJ$10*INDEX('Lease Cycles'!$FO$10:$FU$10,1,DK44)*INDEX('Lease Cycles'!$EM$10:$ES$10,1,DK44)+'Lease Cycles'!$BE$10*IF(DK45&lt;INDEX('Lease Cycles'!$FA$10:$FG$10,1,DK44),0,1-INDEX('Lease Cycles'!$EM$10:$ES$10,1,DK44)),IF(OR(INDEX('Lease Cycles'!$DY$10:$EE$10,1,DK44)=1,DK45&gt;0),1,1-INDEX('Lease Cycles'!$DD$10:$DJ$10,1,DK44))*('Lease Cycles'!$AJ$10*INDEX('Lease Cycles'!$FO$10:$FU$10,1,DK44)+'Lease Cycles'!$BE$10*(1-INDEX('Lease Cycles'!$FO$10:$FU$10,1,DK44)))),0)</f>
        <v>0</v>
      </c>
      <c r="DL54" s="24">
        <f>IF(DL46=1,'Lease Cycles'!$D$10*IF(INDEX('Lease Cycles'!$EF$10:$EL$10,1,DL44)=1,'Lease Cycles'!$AJ$10*INDEX('Lease Cycles'!$FO$10:$FU$10,1,DL44)*INDEX('Lease Cycles'!$EM$10:$ES$10,1,DL44)+'Lease Cycles'!$BE$10*IF(DL45&lt;INDEX('Lease Cycles'!$FA$10:$FG$10,1,DL44),0,1-INDEX('Lease Cycles'!$EM$10:$ES$10,1,DL44)),IF(OR(INDEX('Lease Cycles'!$DY$10:$EE$10,1,DL44)=1,DL45&gt;0),1,1-INDEX('Lease Cycles'!$DD$10:$DJ$10,1,DL44))*('Lease Cycles'!$AJ$10*INDEX('Lease Cycles'!$FO$10:$FU$10,1,DL44)+'Lease Cycles'!$BE$10*(1-INDEX('Lease Cycles'!$FO$10:$FU$10,1,DL44)))),0)</f>
        <v>0</v>
      </c>
      <c r="DM54" s="24">
        <f>IF(DM46=1,'Lease Cycles'!$D$10*IF(INDEX('Lease Cycles'!$EF$10:$EL$10,1,DM44)=1,'Lease Cycles'!$AJ$10*INDEX('Lease Cycles'!$FO$10:$FU$10,1,DM44)*INDEX('Lease Cycles'!$EM$10:$ES$10,1,DM44)+'Lease Cycles'!$BE$10*IF(DM45&lt;INDEX('Lease Cycles'!$FA$10:$FG$10,1,DM44),0,1-INDEX('Lease Cycles'!$EM$10:$ES$10,1,DM44)),IF(OR(INDEX('Lease Cycles'!$DY$10:$EE$10,1,DM44)=1,DM45&gt;0),1,1-INDEX('Lease Cycles'!$DD$10:$DJ$10,1,DM44))*('Lease Cycles'!$AJ$10*INDEX('Lease Cycles'!$FO$10:$FU$10,1,DM44)+'Lease Cycles'!$BE$10*(1-INDEX('Lease Cycles'!$FO$10:$FU$10,1,DM44)))),0)</f>
        <v>0</v>
      </c>
      <c r="DN54" s="24">
        <f>IF(DN46=1,'Lease Cycles'!$D$10*IF(INDEX('Lease Cycles'!$EF$10:$EL$10,1,DN44)=1,'Lease Cycles'!$AJ$10*INDEX('Lease Cycles'!$FO$10:$FU$10,1,DN44)*INDEX('Lease Cycles'!$EM$10:$ES$10,1,DN44)+'Lease Cycles'!$BE$10*IF(DN45&lt;INDEX('Lease Cycles'!$FA$10:$FG$10,1,DN44),0,1-INDEX('Lease Cycles'!$EM$10:$ES$10,1,DN44)),IF(OR(INDEX('Lease Cycles'!$DY$10:$EE$10,1,DN44)=1,DN45&gt;0),1,1-INDEX('Lease Cycles'!$DD$10:$DJ$10,1,DN44))*('Lease Cycles'!$AJ$10*INDEX('Lease Cycles'!$FO$10:$FU$10,1,DN44)+'Lease Cycles'!$BE$10*(1-INDEX('Lease Cycles'!$FO$10:$FU$10,1,DN44)))),0)</f>
        <v>0</v>
      </c>
      <c r="DO54" s="24">
        <f>IF(DO46=1,'Lease Cycles'!$D$10*IF(INDEX('Lease Cycles'!$EF$10:$EL$10,1,DO44)=1,'Lease Cycles'!$AJ$10*INDEX('Lease Cycles'!$FO$10:$FU$10,1,DO44)*INDEX('Lease Cycles'!$EM$10:$ES$10,1,DO44)+'Lease Cycles'!$BE$10*IF(DO45&lt;INDEX('Lease Cycles'!$FA$10:$FG$10,1,DO44),0,1-INDEX('Lease Cycles'!$EM$10:$ES$10,1,DO44)),IF(OR(INDEX('Lease Cycles'!$DY$10:$EE$10,1,DO44)=1,DO45&gt;0),1,1-INDEX('Lease Cycles'!$DD$10:$DJ$10,1,DO44))*('Lease Cycles'!$AJ$10*INDEX('Lease Cycles'!$FO$10:$FU$10,1,DO44)+'Lease Cycles'!$BE$10*(1-INDEX('Lease Cycles'!$FO$10:$FU$10,1,DO44)))),0)</f>
        <v>0</v>
      </c>
      <c r="DP54" s="24">
        <f>IF(DP46=1,'Lease Cycles'!$D$10*IF(INDEX('Lease Cycles'!$EF$10:$EL$10,1,DP44)=1,'Lease Cycles'!$AJ$10*INDEX('Lease Cycles'!$FO$10:$FU$10,1,DP44)*INDEX('Lease Cycles'!$EM$10:$ES$10,1,DP44)+'Lease Cycles'!$BE$10*IF(DP45&lt;INDEX('Lease Cycles'!$FA$10:$FG$10,1,DP44),0,1-INDEX('Lease Cycles'!$EM$10:$ES$10,1,DP44)),IF(OR(INDEX('Lease Cycles'!$DY$10:$EE$10,1,DP44)=1,DP45&gt;0),1,1-INDEX('Lease Cycles'!$DD$10:$DJ$10,1,DP44))*('Lease Cycles'!$AJ$10*INDEX('Lease Cycles'!$FO$10:$FU$10,1,DP44)+'Lease Cycles'!$BE$10*(1-INDEX('Lease Cycles'!$FO$10:$FU$10,1,DP44)))),0)</f>
        <v>0</v>
      </c>
      <c r="DQ54" s="24">
        <f>IF(DQ46=1,'Lease Cycles'!$D$10*IF(INDEX('Lease Cycles'!$EF$10:$EL$10,1,DQ44)=1,'Lease Cycles'!$AJ$10*INDEX('Lease Cycles'!$FO$10:$FU$10,1,DQ44)*INDEX('Lease Cycles'!$EM$10:$ES$10,1,DQ44)+'Lease Cycles'!$BE$10*IF(DQ45&lt;INDEX('Lease Cycles'!$FA$10:$FG$10,1,DQ44),0,1-INDEX('Lease Cycles'!$EM$10:$ES$10,1,DQ44)),IF(OR(INDEX('Lease Cycles'!$DY$10:$EE$10,1,DQ44)=1,DQ45&gt;0),1,1-INDEX('Lease Cycles'!$DD$10:$DJ$10,1,DQ44))*('Lease Cycles'!$AJ$10*INDEX('Lease Cycles'!$FO$10:$FU$10,1,DQ44)+'Lease Cycles'!$BE$10*(1-INDEX('Lease Cycles'!$FO$10:$FU$10,1,DQ44)))),0)</f>
        <v>0</v>
      </c>
      <c r="DR54" s="24">
        <f>IF(DR46=1,'Lease Cycles'!$D$10*IF(INDEX('Lease Cycles'!$EF$10:$EL$10,1,DR44)=1,'Lease Cycles'!$AJ$10*INDEX('Lease Cycles'!$FO$10:$FU$10,1,DR44)*INDEX('Lease Cycles'!$EM$10:$ES$10,1,DR44)+'Lease Cycles'!$BE$10*IF(DR45&lt;INDEX('Lease Cycles'!$FA$10:$FG$10,1,DR44),0,1-INDEX('Lease Cycles'!$EM$10:$ES$10,1,DR44)),IF(OR(INDEX('Lease Cycles'!$DY$10:$EE$10,1,DR44)=1,DR45&gt;0),1,1-INDEX('Lease Cycles'!$DD$10:$DJ$10,1,DR44))*('Lease Cycles'!$AJ$10*INDEX('Lease Cycles'!$FO$10:$FU$10,1,DR44)+'Lease Cycles'!$BE$10*(1-INDEX('Lease Cycles'!$FO$10:$FU$10,1,DR44)))),0)</f>
        <v>0</v>
      </c>
      <c r="DS54" s="24">
        <f>IF(DS46=1,'Lease Cycles'!$D$10*IF(INDEX('Lease Cycles'!$EF$10:$EL$10,1,DS44)=1,'Lease Cycles'!$AJ$10*INDEX('Lease Cycles'!$FO$10:$FU$10,1,DS44)*INDEX('Lease Cycles'!$EM$10:$ES$10,1,DS44)+'Lease Cycles'!$BE$10*IF(DS45&lt;INDEX('Lease Cycles'!$FA$10:$FG$10,1,DS44),0,1-INDEX('Lease Cycles'!$EM$10:$ES$10,1,DS44)),IF(OR(INDEX('Lease Cycles'!$DY$10:$EE$10,1,DS44)=1,DS45&gt;0),1,1-INDEX('Lease Cycles'!$DD$10:$DJ$10,1,DS44))*('Lease Cycles'!$AJ$10*INDEX('Lease Cycles'!$FO$10:$FU$10,1,DS44)+'Lease Cycles'!$BE$10*(1-INDEX('Lease Cycles'!$FO$10:$FU$10,1,DS44)))),0)</f>
        <v>0</v>
      </c>
      <c r="DT54" s="24">
        <f>IF(DT46=1,'Lease Cycles'!$D$10*IF(INDEX('Lease Cycles'!$EF$10:$EL$10,1,DT44)=1,'Lease Cycles'!$AJ$10*INDEX('Lease Cycles'!$FO$10:$FU$10,1,DT44)*INDEX('Lease Cycles'!$EM$10:$ES$10,1,DT44)+'Lease Cycles'!$BE$10*IF(DT45&lt;INDEX('Lease Cycles'!$FA$10:$FG$10,1,DT44),0,1-INDEX('Lease Cycles'!$EM$10:$ES$10,1,DT44)),IF(OR(INDEX('Lease Cycles'!$DY$10:$EE$10,1,DT44)=1,DT45&gt;0),1,1-INDEX('Lease Cycles'!$DD$10:$DJ$10,1,DT44))*('Lease Cycles'!$AJ$10*INDEX('Lease Cycles'!$FO$10:$FU$10,1,DT44)+'Lease Cycles'!$BE$10*(1-INDEX('Lease Cycles'!$FO$10:$FU$10,1,DT44)))),0)</f>
        <v>0</v>
      </c>
      <c r="DU54" s="24">
        <f>IF(DU46=1,'Lease Cycles'!$D$10*IF(INDEX('Lease Cycles'!$EF$10:$EL$10,1,DU44)=1,'Lease Cycles'!$AJ$10*INDEX('Lease Cycles'!$FO$10:$FU$10,1,DU44)*INDEX('Lease Cycles'!$EM$10:$ES$10,1,DU44)+'Lease Cycles'!$BE$10*IF(DU45&lt;INDEX('Lease Cycles'!$FA$10:$FG$10,1,DU44),0,1-INDEX('Lease Cycles'!$EM$10:$ES$10,1,DU44)),IF(OR(INDEX('Lease Cycles'!$DY$10:$EE$10,1,DU44)=1,DU45&gt;0),1,1-INDEX('Lease Cycles'!$DD$10:$DJ$10,1,DU44))*('Lease Cycles'!$AJ$10*INDEX('Lease Cycles'!$FO$10:$FU$10,1,DU44)+'Lease Cycles'!$BE$10*(1-INDEX('Lease Cycles'!$FO$10:$FU$10,1,DU44)))),0)</f>
        <v>0</v>
      </c>
      <c r="DV54" s="24">
        <f>IF(DV46=1,'Lease Cycles'!$D$10*IF(INDEX('Lease Cycles'!$EF$10:$EL$10,1,DV44)=1,'Lease Cycles'!$AJ$10*INDEX('Lease Cycles'!$FO$10:$FU$10,1,DV44)*INDEX('Lease Cycles'!$EM$10:$ES$10,1,DV44)+'Lease Cycles'!$BE$10*IF(DV45&lt;INDEX('Lease Cycles'!$FA$10:$FG$10,1,DV44),0,1-INDEX('Lease Cycles'!$EM$10:$ES$10,1,DV44)),IF(OR(INDEX('Lease Cycles'!$DY$10:$EE$10,1,DV44)=1,DV45&gt;0),1,1-INDEX('Lease Cycles'!$DD$10:$DJ$10,1,DV44))*('Lease Cycles'!$AJ$10*INDEX('Lease Cycles'!$FO$10:$FU$10,1,DV44)+'Lease Cycles'!$BE$10*(1-INDEX('Lease Cycles'!$FO$10:$FU$10,1,DV44)))),0)</f>
        <v>0</v>
      </c>
      <c r="DW54" s="24">
        <f>IF(DW46=1,'Lease Cycles'!$D$10*IF(INDEX('Lease Cycles'!$EF$10:$EL$10,1,DW44)=1,'Lease Cycles'!$AJ$10*INDEX('Lease Cycles'!$FO$10:$FU$10,1,DW44)*INDEX('Lease Cycles'!$EM$10:$ES$10,1,DW44)+'Lease Cycles'!$BE$10*IF(DW45&lt;INDEX('Lease Cycles'!$FA$10:$FG$10,1,DW44),0,1-INDEX('Lease Cycles'!$EM$10:$ES$10,1,DW44)),IF(OR(INDEX('Lease Cycles'!$DY$10:$EE$10,1,DW44)=1,DW45&gt;0),1,1-INDEX('Lease Cycles'!$DD$10:$DJ$10,1,DW44))*('Lease Cycles'!$AJ$10*INDEX('Lease Cycles'!$FO$10:$FU$10,1,DW44)+'Lease Cycles'!$BE$10*(1-INDEX('Lease Cycles'!$FO$10:$FU$10,1,DW44)))),0)</f>
        <v>0</v>
      </c>
      <c r="DX54" s="24">
        <f>IF(DX46=1,'Lease Cycles'!$D$10*IF(INDEX('Lease Cycles'!$EF$10:$EL$10,1,DX44)=1,'Lease Cycles'!$AJ$10*INDEX('Lease Cycles'!$FO$10:$FU$10,1,DX44)*INDEX('Lease Cycles'!$EM$10:$ES$10,1,DX44)+'Lease Cycles'!$BE$10*IF(DX45&lt;INDEX('Lease Cycles'!$FA$10:$FG$10,1,DX44),0,1-INDEX('Lease Cycles'!$EM$10:$ES$10,1,DX44)),IF(OR(INDEX('Lease Cycles'!$DY$10:$EE$10,1,DX44)=1,DX45&gt;0),1,1-INDEX('Lease Cycles'!$DD$10:$DJ$10,1,DX44))*('Lease Cycles'!$AJ$10*INDEX('Lease Cycles'!$FO$10:$FU$10,1,DX44)+'Lease Cycles'!$BE$10*(1-INDEX('Lease Cycles'!$FO$10:$FU$10,1,DX44)))),0)</f>
        <v>0</v>
      </c>
      <c r="DY54" s="24">
        <f>IF(DY46=1,'Lease Cycles'!$D$10*IF(INDEX('Lease Cycles'!$EF$10:$EL$10,1,DY44)=1,'Lease Cycles'!$AJ$10*INDEX('Lease Cycles'!$FO$10:$FU$10,1,DY44)*INDEX('Lease Cycles'!$EM$10:$ES$10,1,DY44)+'Lease Cycles'!$BE$10*IF(DY45&lt;INDEX('Lease Cycles'!$FA$10:$FG$10,1,DY44),0,1-INDEX('Lease Cycles'!$EM$10:$ES$10,1,DY44)),IF(OR(INDEX('Lease Cycles'!$DY$10:$EE$10,1,DY44)=1,DY45&gt;0),1,1-INDEX('Lease Cycles'!$DD$10:$DJ$10,1,DY44))*('Lease Cycles'!$AJ$10*INDEX('Lease Cycles'!$FO$10:$FU$10,1,DY44)+'Lease Cycles'!$BE$10*(1-INDEX('Lease Cycles'!$FO$10:$FU$10,1,DY44)))),0)</f>
        <v>0</v>
      </c>
      <c r="DZ54" s="24">
        <f>IF(DZ46=1,'Lease Cycles'!$D$10*IF(INDEX('Lease Cycles'!$EF$10:$EL$10,1,DZ44)=1,'Lease Cycles'!$AJ$10*INDEX('Lease Cycles'!$FO$10:$FU$10,1,DZ44)*INDEX('Lease Cycles'!$EM$10:$ES$10,1,DZ44)+'Lease Cycles'!$BE$10*IF(DZ45&lt;INDEX('Lease Cycles'!$FA$10:$FG$10,1,DZ44),0,1-INDEX('Lease Cycles'!$EM$10:$ES$10,1,DZ44)),IF(OR(INDEX('Lease Cycles'!$DY$10:$EE$10,1,DZ44)=1,DZ45&gt;0),1,1-INDEX('Lease Cycles'!$DD$10:$DJ$10,1,DZ44))*('Lease Cycles'!$AJ$10*INDEX('Lease Cycles'!$FO$10:$FU$10,1,DZ44)+'Lease Cycles'!$BE$10*(1-INDEX('Lease Cycles'!$FO$10:$FU$10,1,DZ44)))),0)</f>
        <v>0</v>
      </c>
      <c r="EA54" s="24">
        <f>IF(EA46=1,'Lease Cycles'!$D$10*IF(INDEX('Lease Cycles'!$EF$10:$EL$10,1,EA44)=1,'Lease Cycles'!$AJ$10*INDEX('Lease Cycles'!$FO$10:$FU$10,1,EA44)*INDEX('Lease Cycles'!$EM$10:$ES$10,1,EA44)+'Lease Cycles'!$BE$10*IF(EA45&lt;INDEX('Lease Cycles'!$FA$10:$FG$10,1,EA44),0,1-INDEX('Lease Cycles'!$EM$10:$ES$10,1,EA44)),IF(OR(INDEX('Lease Cycles'!$DY$10:$EE$10,1,EA44)=1,EA45&gt;0),1,1-INDEX('Lease Cycles'!$DD$10:$DJ$10,1,EA44))*('Lease Cycles'!$AJ$10*INDEX('Lease Cycles'!$FO$10:$FU$10,1,EA44)+'Lease Cycles'!$BE$10*(1-INDEX('Lease Cycles'!$FO$10:$FU$10,1,EA44)))),0)</f>
        <v>0</v>
      </c>
      <c r="EB54" s="24">
        <f>IF(EB46=1,'Lease Cycles'!$D$10*IF(INDEX('Lease Cycles'!$EF$10:$EL$10,1,EB44)=1,'Lease Cycles'!$AJ$10*INDEX('Lease Cycles'!$FO$10:$FU$10,1,EB44)*INDEX('Lease Cycles'!$EM$10:$ES$10,1,EB44)+'Lease Cycles'!$BE$10*IF(EB45&lt;INDEX('Lease Cycles'!$FA$10:$FG$10,1,EB44),0,1-INDEX('Lease Cycles'!$EM$10:$ES$10,1,EB44)),IF(OR(INDEX('Lease Cycles'!$DY$10:$EE$10,1,EB44)=1,EB45&gt;0),1,1-INDEX('Lease Cycles'!$DD$10:$DJ$10,1,EB44))*('Lease Cycles'!$AJ$10*INDEX('Lease Cycles'!$FO$10:$FU$10,1,EB44)+'Lease Cycles'!$BE$10*(1-INDEX('Lease Cycles'!$FO$10:$FU$10,1,EB44)))),0)</f>
        <v>0</v>
      </c>
      <c r="EC54" s="24">
        <f>IF(EC46=1,'Lease Cycles'!$D$10*IF(INDEX('Lease Cycles'!$EF$10:$EL$10,1,EC44)=1,'Lease Cycles'!$AJ$10*INDEX('Lease Cycles'!$FO$10:$FU$10,1,EC44)*INDEX('Lease Cycles'!$EM$10:$ES$10,1,EC44)+'Lease Cycles'!$BE$10*IF(EC45&lt;INDEX('Lease Cycles'!$FA$10:$FG$10,1,EC44),0,1-INDEX('Lease Cycles'!$EM$10:$ES$10,1,EC44)),IF(OR(INDEX('Lease Cycles'!$DY$10:$EE$10,1,EC44)=1,EC45&gt;0),1,1-INDEX('Lease Cycles'!$DD$10:$DJ$10,1,EC44))*('Lease Cycles'!$AJ$10*INDEX('Lease Cycles'!$FO$10:$FU$10,1,EC44)+'Lease Cycles'!$BE$10*(1-INDEX('Lease Cycles'!$FO$10:$FU$10,1,EC44)))),0)</f>
        <v>0</v>
      </c>
      <c r="ED54" s="24">
        <f>IF(ED46=1,'Lease Cycles'!$D$10*IF(INDEX('Lease Cycles'!$EF$10:$EL$10,1,ED44)=1,'Lease Cycles'!$AJ$10*INDEX('Lease Cycles'!$FO$10:$FU$10,1,ED44)*INDEX('Lease Cycles'!$EM$10:$ES$10,1,ED44)+'Lease Cycles'!$BE$10*IF(ED45&lt;INDEX('Lease Cycles'!$FA$10:$FG$10,1,ED44),0,1-INDEX('Lease Cycles'!$EM$10:$ES$10,1,ED44)),IF(OR(INDEX('Lease Cycles'!$DY$10:$EE$10,1,ED44)=1,ED45&gt;0),1,1-INDEX('Lease Cycles'!$DD$10:$DJ$10,1,ED44))*('Lease Cycles'!$AJ$10*INDEX('Lease Cycles'!$FO$10:$FU$10,1,ED44)+'Lease Cycles'!$BE$10*(1-INDEX('Lease Cycles'!$FO$10:$FU$10,1,ED44)))),0)</f>
        <v>0</v>
      </c>
      <c r="EE54" s="24">
        <f>IF(EE46=1,'Lease Cycles'!$D$10*IF(INDEX('Lease Cycles'!$EF$10:$EL$10,1,EE44)=1,'Lease Cycles'!$AJ$10*INDEX('Lease Cycles'!$FO$10:$FU$10,1,EE44)*INDEX('Lease Cycles'!$EM$10:$ES$10,1,EE44)+'Lease Cycles'!$BE$10*IF(EE45&lt;INDEX('Lease Cycles'!$FA$10:$FG$10,1,EE44),0,1-INDEX('Lease Cycles'!$EM$10:$ES$10,1,EE44)),IF(OR(INDEX('Lease Cycles'!$DY$10:$EE$10,1,EE44)=1,EE45&gt;0),1,1-INDEX('Lease Cycles'!$DD$10:$DJ$10,1,EE44))*('Lease Cycles'!$AJ$10*INDEX('Lease Cycles'!$FO$10:$FU$10,1,EE44)+'Lease Cycles'!$BE$10*(1-INDEX('Lease Cycles'!$FO$10:$FU$10,1,EE44)))),0)</f>
        <v>0</v>
      </c>
      <c r="EF54" s="24">
        <f>IF(EF46=1,'Lease Cycles'!$D$10*IF(INDEX('Lease Cycles'!$EF$10:$EL$10,1,EF44)=1,'Lease Cycles'!$AJ$10*INDEX('Lease Cycles'!$FO$10:$FU$10,1,EF44)*INDEX('Lease Cycles'!$EM$10:$ES$10,1,EF44)+'Lease Cycles'!$BE$10*IF(EF45&lt;INDEX('Lease Cycles'!$FA$10:$FG$10,1,EF44),0,1-INDEX('Lease Cycles'!$EM$10:$ES$10,1,EF44)),IF(OR(INDEX('Lease Cycles'!$DY$10:$EE$10,1,EF44)=1,EF45&gt;0),1,1-INDEX('Lease Cycles'!$DD$10:$DJ$10,1,EF44))*('Lease Cycles'!$AJ$10*INDEX('Lease Cycles'!$FO$10:$FU$10,1,EF44)+'Lease Cycles'!$BE$10*(1-INDEX('Lease Cycles'!$FO$10:$FU$10,1,EF44)))),0)</f>
        <v>0</v>
      </c>
      <c r="EG54" s="24">
        <f>IF(EG46=1,'Lease Cycles'!$D$10*IF(INDEX('Lease Cycles'!$EF$10:$EL$10,1,EG44)=1,'Lease Cycles'!$AJ$10*INDEX('Lease Cycles'!$FO$10:$FU$10,1,EG44)*INDEX('Lease Cycles'!$EM$10:$ES$10,1,EG44)+'Lease Cycles'!$BE$10*IF(EG45&lt;INDEX('Lease Cycles'!$FA$10:$FG$10,1,EG44),0,1-INDEX('Lease Cycles'!$EM$10:$ES$10,1,EG44)),IF(OR(INDEX('Lease Cycles'!$DY$10:$EE$10,1,EG44)=1,EG45&gt;0),1,1-INDEX('Lease Cycles'!$DD$10:$DJ$10,1,EG44))*('Lease Cycles'!$AJ$10*INDEX('Lease Cycles'!$FO$10:$FU$10,1,EG44)+'Lease Cycles'!$BE$10*(1-INDEX('Lease Cycles'!$FO$10:$FU$10,1,EG44)))),0)</f>
        <v>0</v>
      </c>
      <c r="EH54" s="24">
        <f>IF(EH46=1,'Lease Cycles'!$D$10*IF(INDEX('Lease Cycles'!$EF$10:$EL$10,1,EH44)=1,'Lease Cycles'!$AJ$10*INDEX('Lease Cycles'!$FO$10:$FU$10,1,EH44)*INDEX('Lease Cycles'!$EM$10:$ES$10,1,EH44)+'Lease Cycles'!$BE$10*IF(EH45&lt;INDEX('Lease Cycles'!$FA$10:$FG$10,1,EH44),0,1-INDEX('Lease Cycles'!$EM$10:$ES$10,1,EH44)),IF(OR(INDEX('Lease Cycles'!$DY$10:$EE$10,1,EH44)=1,EH45&gt;0),1,1-INDEX('Lease Cycles'!$DD$10:$DJ$10,1,EH44))*('Lease Cycles'!$AJ$10*INDEX('Lease Cycles'!$FO$10:$FU$10,1,EH44)+'Lease Cycles'!$BE$10*(1-INDEX('Lease Cycles'!$FO$10:$FU$10,1,EH44)))),0)</f>
        <v>0</v>
      </c>
      <c r="EI54" s="24">
        <f>IF(EI46=1,'Lease Cycles'!$D$10*IF(INDEX('Lease Cycles'!$EF$10:$EL$10,1,EI44)=1,'Lease Cycles'!$AJ$10*INDEX('Lease Cycles'!$FO$10:$FU$10,1,EI44)*INDEX('Lease Cycles'!$EM$10:$ES$10,1,EI44)+'Lease Cycles'!$BE$10*IF(EI45&lt;INDEX('Lease Cycles'!$FA$10:$FG$10,1,EI44),0,1-INDEX('Lease Cycles'!$EM$10:$ES$10,1,EI44)),IF(OR(INDEX('Lease Cycles'!$DY$10:$EE$10,1,EI44)=1,EI45&gt;0),1,1-INDEX('Lease Cycles'!$DD$10:$DJ$10,1,EI44))*('Lease Cycles'!$AJ$10*INDEX('Lease Cycles'!$FO$10:$FU$10,1,EI44)+'Lease Cycles'!$BE$10*(1-INDEX('Lease Cycles'!$FO$10:$FU$10,1,EI44)))),0)</f>
        <v>0</v>
      </c>
      <c r="EJ54" s="24">
        <f>IF(EJ46=1,'Lease Cycles'!$D$10*IF(INDEX('Lease Cycles'!$EF$10:$EL$10,1,EJ44)=1,'Lease Cycles'!$AJ$10*INDEX('Lease Cycles'!$FO$10:$FU$10,1,EJ44)*INDEX('Lease Cycles'!$EM$10:$ES$10,1,EJ44)+'Lease Cycles'!$BE$10*IF(EJ45&lt;INDEX('Lease Cycles'!$FA$10:$FG$10,1,EJ44),0,1-INDEX('Lease Cycles'!$EM$10:$ES$10,1,EJ44)),IF(OR(INDEX('Lease Cycles'!$DY$10:$EE$10,1,EJ44)=1,EJ45&gt;0),1,1-INDEX('Lease Cycles'!$DD$10:$DJ$10,1,EJ44))*('Lease Cycles'!$AJ$10*INDEX('Lease Cycles'!$FO$10:$FU$10,1,EJ44)+'Lease Cycles'!$BE$10*(1-INDEX('Lease Cycles'!$FO$10:$FU$10,1,EJ44)))),0)</f>
        <v>0</v>
      </c>
      <c r="EK54" s="24">
        <f>IF(EK46=1,'Lease Cycles'!$D$10*IF(INDEX('Lease Cycles'!$EF$10:$EL$10,1,EK44)=1,'Lease Cycles'!$AJ$10*INDEX('Lease Cycles'!$FO$10:$FU$10,1,EK44)*INDEX('Lease Cycles'!$EM$10:$ES$10,1,EK44)+'Lease Cycles'!$BE$10*IF(EK45&lt;INDEX('Lease Cycles'!$FA$10:$FG$10,1,EK44),0,1-INDEX('Lease Cycles'!$EM$10:$ES$10,1,EK44)),IF(OR(INDEX('Lease Cycles'!$DY$10:$EE$10,1,EK44)=1,EK45&gt;0),1,1-INDEX('Lease Cycles'!$DD$10:$DJ$10,1,EK44))*('Lease Cycles'!$AJ$10*INDEX('Lease Cycles'!$FO$10:$FU$10,1,EK44)+'Lease Cycles'!$BE$10*(1-INDEX('Lease Cycles'!$FO$10:$FU$10,1,EK44)))),0)</f>
        <v>0</v>
      </c>
      <c r="EL54" s="24">
        <f>IF(EL46=1,'Lease Cycles'!$D$10*IF(INDEX('Lease Cycles'!$EF$10:$EL$10,1,EL44)=1,'Lease Cycles'!$AJ$10*INDEX('Lease Cycles'!$FO$10:$FU$10,1,EL44)*INDEX('Lease Cycles'!$EM$10:$ES$10,1,EL44)+'Lease Cycles'!$BE$10*IF(EL45&lt;INDEX('Lease Cycles'!$FA$10:$FG$10,1,EL44),0,1-INDEX('Lease Cycles'!$EM$10:$ES$10,1,EL44)),IF(OR(INDEX('Lease Cycles'!$DY$10:$EE$10,1,EL44)=1,EL45&gt;0),1,1-INDEX('Lease Cycles'!$DD$10:$DJ$10,1,EL44))*('Lease Cycles'!$AJ$10*INDEX('Lease Cycles'!$FO$10:$FU$10,1,EL44)+'Lease Cycles'!$BE$10*(1-INDEX('Lease Cycles'!$FO$10:$FU$10,1,EL44)))),0)</f>
        <v>0</v>
      </c>
      <c r="EM54" s="24">
        <f>IF(EM46=1,'Lease Cycles'!$D$10*IF(INDEX('Lease Cycles'!$EF$10:$EL$10,1,EM44)=1,'Lease Cycles'!$AJ$10*INDEX('Lease Cycles'!$FO$10:$FU$10,1,EM44)*INDEX('Lease Cycles'!$EM$10:$ES$10,1,EM44)+'Lease Cycles'!$BE$10*IF(EM45&lt;INDEX('Lease Cycles'!$FA$10:$FG$10,1,EM44),0,1-INDEX('Lease Cycles'!$EM$10:$ES$10,1,EM44)),IF(OR(INDEX('Lease Cycles'!$DY$10:$EE$10,1,EM44)=1,EM45&gt;0),1,1-INDEX('Lease Cycles'!$DD$10:$DJ$10,1,EM44))*('Lease Cycles'!$AJ$10*INDEX('Lease Cycles'!$FO$10:$FU$10,1,EM44)+'Lease Cycles'!$BE$10*(1-INDEX('Lease Cycles'!$FO$10:$FU$10,1,EM44)))),0)</f>
        <v>0</v>
      </c>
      <c r="EN54" s="24">
        <f>IF(EN46=1,'Lease Cycles'!$D$10*IF(INDEX('Lease Cycles'!$EF$10:$EL$10,1,EN44)=1,'Lease Cycles'!$AJ$10*INDEX('Lease Cycles'!$FO$10:$FU$10,1,EN44)*INDEX('Lease Cycles'!$EM$10:$ES$10,1,EN44)+'Lease Cycles'!$BE$10*IF(EN45&lt;INDEX('Lease Cycles'!$FA$10:$FG$10,1,EN44),0,1-INDEX('Lease Cycles'!$EM$10:$ES$10,1,EN44)),IF(OR(INDEX('Lease Cycles'!$DY$10:$EE$10,1,EN44)=1,EN45&gt;0),1,1-INDEX('Lease Cycles'!$DD$10:$DJ$10,1,EN44))*('Lease Cycles'!$AJ$10*INDEX('Lease Cycles'!$FO$10:$FU$10,1,EN44)+'Lease Cycles'!$BE$10*(1-INDEX('Lease Cycles'!$FO$10:$FU$10,1,EN44)))),0)</f>
        <v>0</v>
      </c>
      <c r="EO54" s="24">
        <f>IF(EO46=1,'Lease Cycles'!$D$10*IF(INDEX('Lease Cycles'!$EF$10:$EL$10,1,EO44)=1,'Lease Cycles'!$AJ$10*INDEX('Lease Cycles'!$FO$10:$FU$10,1,EO44)*INDEX('Lease Cycles'!$EM$10:$ES$10,1,EO44)+'Lease Cycles'!$BE$10*IF(EO45&lt;INDEX('Lease Cycles'!$FA$10:$FG$10,1,EO44),0,1-INDEX('Lease Cycles'!$EM$10:$ES$10,1,EO44)),IF(OR(INDEX('Lease Cycles'!$DY$10:$EE$10,1,EO44)=1,EO45&gt;0),1,1-INDEX('Lease Cycles'!$DD$10:$DJ$10,1,EO44))*('Lease Cycles'!$AJ$10*INDEX('Lease Cycles'!$FO$10:$FU$10,1,EO44)+'Lease Cycles'!$BE$10*(1-INDEX('Lease Cycles'!$FO$10:$FU$10,1,EO44)))),0)</f>
        <v>0</v>
      </c>
      <c r="EP54" s="24">
        <f>IF(EP46=1,'Lease Cycles'!$D$10*IF(INDEX('Lease Cycles'!$EF$10:$EL$10,1,EP44)=1,'Lease Cycles'!$AJ$10*INDEX('Lease Cycles'!$FO$10:$FU$10,1,EP44)*INDEX('Lease Cycles'!$EM$10:$ES$10,1,EP44)+'Lease Cycles'!$BE$10*IF(EP45&lt;INDEX('Lease Cycles'!$FA$10:$FG$10,1,EP44),0,1-INDEX('Lease Cycles'!$EM$10:$ES$10,1,EP44)),IF(OR(INDEX('Lease Cycles'!$DY$10:$EE$10,1,EP44)=1,EP45&gt;0),1,1-INDEX('Lease Cycles'!$DD$10:$DJ$10,1,EP44))*('Lease Cycles'!$AJ$10*INDEX('Lease Cycles'!$FO$10:$FU$10,1,EP44)+'Lease Cycles'!$BE$10*(1-INDEX('Lease Cycles'!$FO$10:$FU$10,1,EP44)))),0)</f>
        <v>0</v>
      </c>
      <c r="EQ54" s="24">
        <f>IF(EQ46=1,'Lease Cycles'!$D$10*IF(INDEX('Lease Cycles'!$EF$10:$EL$10,1,EQ44)=1,'Lease Cycles'!$AJ$10*INDEX('Lease Cycles'!$FO$10:$FU$10,1,EQ44)*INDEX('Lease Cycles'!$EM$10:$ES$10,1,EQ44)+'Lease Cycles'!$BE$10*IF(EQ45&lt;INDEX('Lease Cycles'!$FA$10:$FG$10,1,EQ44),0,1-INDEX('Lease Cycles'!$EM$10:$ES$10,1,EQ44)),IF(OR(INDEX('Lease Cycles'!$DY$10:$EE$10,1,EQ44)=1,EQ45&gt;0),1,1-INDEX('Lease Cycles'!$DD$10:$DJ$10,1,EQ44))*('Lease Cycles'!$AJ$10*INDEX('Lease Cycles'!$FO$10:$FU$10,1,EQ44)+'Lease Cycles'!$BE$10*(1-INDEX('Lease Cycles'!$FO$10:$FU$10,1,EQ44)))),0)</f>
        <v>0</v>
      </c>
      <c r="ER54" s="24">
        <f>IF(ER46=1,'Lease Cycles'!$D$10*IF(INDEX('Lease Cycles'!$EF$10:$EL$10,1,ER44)=1,'Lease Cycles'!$AJ$10*INDEX('Lease Cycles'!$FO$10:$FU$10,1,ER44)*INDEX('Lease Cycles'!$EM$10:$ES$10,1,ER44)+'Lease Cycles'!$BE$10*IF(ER45&lt;INDEX('Lease Cycles'!$FA$10:$FG$10,1,ER44),0,1-INDEX('Lease Cycles'!$EM$10:$ES$10,1,ER44)),IF(OR(INDEX('Lease Cycles'!$DY$10:$EE$10,1,ER44)=1,ER45&gt;0),1,1-INDEX('Lease Cycles'!$DD$10:$DJ$10,1,ER44))*('Lease Cycles'!$AJ$10*INDEX('Lease Cycles'!$FO$10:$FU$10,1,ER44)+'Lease Cycles'!$BE$10*(1-INDEX('Lease Cycles'!$FO$10:$FU$10,1,ER44)))),0)</f>
        <v>0</v>
      </c>
      <c r="ES54" s="24">
        <f>IF(ES46=1,'Lease Cycles'!$D$10*IF(INDEX('Lease Cycles'!$EF$10:$EL$10,1,ES44)=1,'Lease Cycles'!$AJ$10*INDEX('Lease Cycles'!$FO$10:$FU$10,1,ES44)*INDEX('Lease Cycles'!$EM$10:$ES$10,1,ES44)+'Lease Cycles'!$BE$10*IF(ES45&lt;INDEX('Lease Cycles'!$FA$10:$FG$10,1,ES44),0,1-INDEX('Lease Cycles'!$EM$10:$ES$10,1,ES44)),IF(OR(INDEX('Lease Cycles'!$DY$10:$EE$10,1,ES44)=1,ES45&gt;0),1,1-INDEX('Lease Cycles'!$DD$10:$DJ$10,1,ES44))*('Lease Cycles'!$AJ$10*INDEX('Lease Cycles'!$FO$10:$FU$10,1,ES44)+'Lease Cycles'!$BE$10*(1-INDEX('Lease Cycles'!$FO$10:$FU$10,1,ES44)))),0)</f>
        <v>0</v>
      </c>
      <c r="ET54" s="24">
        <f>IF(ET46=1,'Lease Cycles'!$D$10*IF(INDEX('Lease Cycles'!$EF$10:$EL$10,1,ET44)=1,'Lease Cycles'!$AJ$10*INDEX('Lease Cycles'!$FO$10:$FU$10,1,ET44)*INDEX('Lease Cycles'!$EM$10:$ES$10,1,ET44)+'Lease Cycles'!$BE$10*IF(ET45&lt;INDEX('Lease Cycles'!$FA$10:$FG$10,1,ET44),0,1-INDEX('Lease Cycles'!$EM$10:$ES$10,1,ET44)),IF(OR(INDEX('Lease Cycles'!$DY$10:$EE$10,1,ET44)=1,ET45&gt;0),1,1-INDEX('Lease Cycles'!$DD$10:$DJ$10,1,ET44))*('Lease Cycles'!$AJ$10*INDEX('Lease Cycles'!$FO$10:$FU$10,1,ET44)+'Lease Cycles'!$BE$10*(1-INDEX('Lease Cycles'!$FO$10:$FU$10,1,ET44)))),0)</f>
        <v>0</v>
      </c>
    </row>
    <row r="55">
      <c r="A55" s="103">
        <v>3</v>
      </c>
      <c r="B55" s="23" t="str">
        <f>IF('Lease Cycles'!$B$10="","(empty slot)",'Lease Cycles'!$B$10)</f>
        <v>Sunfield Fitness</v>
      </c>
      <c r="C55" s="23" t="s">
        <v>689</v>
      </c>
      <c r="D55" s="104" t="s">
        <v>690</v>
      </c>
      <c r="E55" s="25">
        <f>'Lease Cycles'!$AL$10</f>
        <v>0</v>
      </c>
      <c r="G55" s="28">
        <f>SUM(S55:AD55)</f>
        <v>0</v>
      </c>
      <c r="H55" s="28">
        <f>SUM(AE55:AP55)</f>
        <v>0</v>
      </c>
      <c r="I55" s="28">
        <f>SUM(AQ55:BB55)</f>
        <v>0</v>
      </c>
      <c r="J55" s="28">
        <f>SUM(BC55:BN55)</f>
        <v>0</v>
      </c>
      <c r="K55" s="28">
        <f>SUM(BO55:BZ55)</f>
        <v>0</v>
      </c>
      <c r="L55" s="28">
        <f>SUM(CA55:CL55)</f>
        <v>0</v>
      </c>
      <c r="M55" s="28">
        <f>SUM(CM55:CX55)</f>
        <v>0</v>
      </c>
      <c r="N55" s="28">
        <f>SUM(CY55:DJ55)</f>
        <v>0</v>
      </c>
      <c r="O55" s="28">
        <f>SUM(DK55:DV55)</f>
        <v>0</v>
      </c>
      <c r="P55" s="28">
        <f>SUM(DW55:EH55)</f>
        <v>0</v>
      </c>
      <c r="Q55" s="28">
        <f>SUM(EI55:ET55)</f>
        <v>0</v>
      </c>
      <c r="S55" s="28">
        <f>IF(S54=0,0,S54*MAX(0,(INDEX(c_CAMy,1,S$7)-INDEX(c_CAMy,1,INDEX('Lease Cycles'!$GC$10:$GI$10,1,S44)+1))*(1+'Lease Cycles'!$AK$10)+(INDEX(c_TAXy,1,S$7)-INDEX(c_TAXy,1,INDEX('Lease Cycles'!$GC$10:$GI$10,1,S44)+1))+(INDEX(c_INSy,1,S$7)-INDEX(c_INSy,1,INDEX('Lease Cycles'!$GC$10:$GI$10,1,S44)+1)))/12)</f>
        <v>0</v>
      </c>
      <c r="T55" s="28">
        <f>IF(T54=0,0,T54*MAX(0,(INDEX(c_CAMy,1,T$7)-INDEX(c_CAMy,1,INDEX('Lease Cycles'!$GC$10:$GI$10,1,T44)+1))*(1+'Lease Cycles'!$AK$10)+(INDEX(c_TAXy,1,T$7)-INDEX(c_TAXy,1,INDEX('Lease Cycles'!$GC$10:$GI$10,1,T44)+1))+(INDEX(c_INSy,1,T$7)-INDEX(c_INSy,1,INDEX('Lease Cycles'!$GC$10:$GI$10,1,T44)+1)))/12)</f>
        <v>0</v>
      </c>
      <c r="U55" s="28">
        <f>IF(U54=0,0,U54*MAX(0,(INDEX(c_CAMy,1,U$7)-INDEX(c_CAMy,1,INDEX('Lease Cycles'!$GC$10:$GI$10,1,U44)+1))*(1+'Lease Cycles'!$AK$10)+(INDEX(c_TAXy,1,U$7)-INDEX(c_TAXy,1,INDEX('Lease Cycles'!$GC$10:$GI$10,1,U44)+1))+(INDEX(c_INSy,1,U$7)-INDEX(c_INSy,1,INDEX('Lease Cycles'!$GC$10:$GI$10,1,U44)+1)))/12)</f>
        <v>0</v>
      </c>
      <c r="V55" s="28">
        <f>IF(V54=0,0,V54*MAX(0,(INDEX(c_CAMy,1,V$7)-INDEX(c_CAMy,1,INDEX('Lease Cycles'!$GC$10:$GI$10,1,V44)+1))*(1+'Lease Cycles'!$AK$10)+(INDEX(c_TAXy,1,V$7)-INDEX(c_TAXy,1,INDEX('Lease Cycles'!$GC$10:$GI$10,1,V44)+1))+(INDEX(c_INSy,1,V$7)-INDEX(c_INSy,1,INDEX('Lease Cycles'!$GC$10:$GI$10,1,V44)+1)))/12)</f>
        <v>0</v>
      </c>
      <c r="W55" s="28">
        <f>IF(W54=0,0,W54*MAX(0,(INDEX(c_CAMy,1,W$7)-INDEX(c_CAMy,1,INDEX('Lease Cycles'!$GC$10:$GI$10,1,W44)+1))*(1+'Lease Cycles'!$AK$10)+(INDEX(c_TAXy,1,W$7)-INDEX(c_TAXy,1,INDEX('Lease Cycles'!$GC$10:$GI$10,1,W44)+1))+(INDEX(c_INSy,1,W$7)-INDEX(c_INSy,1,INDEX('Lease Cycles'!$GC$10:$GI$10,1,W44)+1)))/12)</f>
        <v>0</v>
      </c>
      <c r="X55" s="28">
        <f>IF(X54=0,0,X54*MAX(0,(INDEX(c_CAMy,1,X$7)-INDEX(c_CAMy,1,INDEX('Lease Cycles'!$GC$10:$GI$10,1,X44)+1))*(1+'Lease Cycles'!$AK$10)+(INDEX(c_TAXy,1,X$7)-INDEX(c_TAXy,1,INDEX('Lease Cycles'!$GC$10:$GI$10,1,X44)+1))+(INDEX(c_INSy,1,X$7)-INDEX(c_INSy,1,INDEX('Lease Cycles'!$GC$10:$GI$10,1,X44)+1)))/12)</f>
        <v>0</v>
      </c>
      <c r="Y55" s="28">
        <f>IF(Y54=0,0,Y54*MAX(0,(INDEX(c_CAMy,1,Y$7)-INDEX(c_CAMy,1,INDEX('Lease Cycles'!$GC$10:$GI$10,1,Y44)+1))*(1+'Lease Cycles'!$AK$10)+(INDEX(c_TAXy,1,Y$7)-INDEX(c_TAXy,1,INDEX('Lease Cycles'!$GC$10:$GI$10,1,Y44)+1))+(INDEX(c_INSy,1,Y$7)-INDEX(c_INSy,1,INDEX('Lease Cycles'!$GC$10:$GI$10,1,Y44)+1)))/12)</f>
        <v>0</v>
      </c>
      <c r="Z55" s="28">
        <f>IF(Z54=0,0,Z54*MAX(0,(INDEX(c_CAMy,1,Z$7)-INDEX(c_CAMy,1,INDEX('Lease Cycles'!$GC$10:$GI$10,1,Z44)+1))*(1+'Lease Cycles'!$AK$10)+(INDEX(c_TAXy,1,Z$7)-INDEX(c_TAXy,1,INDEX('Lease Cycles'!$GC$10:$GI$10,1,Z44)+1))+(INDEX(c_INSy,1,Z$7)-INDEX(c_INSy,1,INDEX('Lease Cycles'!$GC$10:$GI$10,1,Z44)+1)))/12)</f>
        <v>0</v>
      </c>
      <c r="AA55" s="28">
        <f>IF(AA54=0,0,AA54*MAX(0,(INDEX(c_CAMy,1,AA$7)-INDEX(c_CAMy,1,INDEX('Lease Cycles'!$GC$10:$GI$10,1,AA44)+1))*(1+'Lease Cycles'!$AK$10)+(INDEX(c_TAXy,1,AA$7)-INDEX(c_TAXy,1,INDEX('Lease Cycles'!$GC$10:$GI$10,1,AA44)+1))+(INDEX(c_INSy,1,AA$7)-INDEX(c_INSy,1,INDEX('Lease Cycles'!$GC$10:$GI$10,1,AA44)+1)))/12)</f>
        <v>0</v>
      </c>
      <c r="AB55" s="28">
        <f>IF(AB54=0,0,AB54*MAX(0,(INDEX(c_CAMy,1,AB$7)-INDEX(c_CAMy,1,INDEX('Lease Cycles'!$GC$10:$GI$10,1,AB44)+1))*(1+'Lease Cycles'!$AK$10)+(INDEX(c_TAXy,1,AB$7)-INDEX(c_TAXy,1,INDEX('Lease Cycles'!$GC$10:$GI$10,1,AB44)+1))+(INDEX(c_INSy,1,AB$7)-INDEX(c_INSy,1,INDEX('Lease Cycles'!$GC$10:$GI$10,1,AB44)+1)))/12)</f>
        <v>0</v>
      </c>
      <c r="AC55" s="28">
        <f>IF(AC54=0,0,AC54*MAX(0,(INDEX(c_CAMy,1,AC$7)-INDEX(c_CAMy,1,INDEX('Lease Cycles'!$GC$10:$GI$10,1,AC44)+1))*(1+'Lease Cycles'!$AK$10)+(INDEX(c_TAXy,1,AC$7)-INDEX(c_TAXy,1,INDEX('Lease Cycles'!$GC$10:$GI$10,1,AC44)+1))+(INDEX(c_INSy,1,AC$7)-INDEX(c_INSy,1,INDEX('Lease Cycles'!$GC$10:$GI$10,1,AC44)+1)))/12)</f>
        <v>0</v>
      </c>
      <c r="AD55" s="28">
        <f>IF(AD54=0,0,AD54*MAX(0,(INDEX(c_CAMy,1,AD$7)-INDEX(c_CAMy,1,INDEX('Lease Cycles'!$GC$10:$GI$10,1,AD44)+1))*(1+'Lease Cycles'!$AK$10)+(INDEX(c_TAXy,1,AD$7)-INDEX(c_TAXy,1,INDEX('Lease Cycles'!$GC$10:$GI$10,1,AD44)+1))+(INDEX(c_INSy,1,AD$7)-INDEX(c_INSy,1,INDEX('Lease Cycles'!$GC$10:$GI$10,1,AD44)+1)))/12)</f>
        <v>0</v>
      </c>
      <c r="AE55" s="28">
        <f>IF(AE54=0,0,AE54*MAX(0,(INDEX(c_CAMy,1,AE$7)-INDEX(c_CAMy,1,INDEX('Lease Cycles'!$GC$10:$GI$10,1,AE44)+1))*(1+'Lease Cycles'!$AK$10)+(INDEX(c_TAXy,1,AE$7)-INDEX(c_TAXy,1,INDEX('Lease Cycles'!$GC$10:$GI$10,1,AE44)+1))+(INDEX(c_INSy,1,AE$7)-INDEX(c_INSy,1,INDEX('Lease Cycles'!$GC$10:$GI$10,1,AE44)+1)))/12)</f>
        <v>0</v>
      </c>
      <c r="AF55" s="28">
        <f>IF(AF54=0,0,AF54*MAX(0,(INDEX(c_CAMy,1,AF$7)-INDEX(c_CAMy,1,INDEX('Lease Cycles'!$GC$10:$GI$10,1,AF44)+1))*(1+'Lease Cycles'!$AK$10)+(INDEX(c_TAXy,1,AF$7)-INDEX(c_TAXy,1,INDEX('Lease Cycles'!$GC$10:$GI$10,1,AF44)+1))+(INDEX(c_INSy,1,AF$7)-INDEX(c_INSy,1,INDEX('Lease Cycles'!$GC$10:$GI$10,1,AF44)+1)))/12)</f>
        <v>0</v>
      </c>
      <c r="AG55" s="28">
        <f>IF(AG54=0,0,AG54*MAX(0,(INDEX(c_CAMy,1,AG$7)-INDEX(c_CAMy,1,INDEX('Lease Cycles'!$GC$10:$GI$10,1,AG44)+1))*(1+'Lease Cycles'!$AK$10)+(INDEX(c_TAXy,1,AG$7)-INDEX(c_TAXy,1,INDEX('Lease Cycles'!$GC$10:$GI$10,1,AG44)+1))+(INDEX(c_INSy,1,AG$7)-INDEX(c_INSy,1,INDEX('Lease Cycles'!$GC$10:$GI$10,1,AG44)+1)))/12)</f>
        <v>0</v>
      </c>
      <c r="AH55" s="28">
        <f>IF(AH54=0,0,AH54*MAX(0,(INDEX(c_CAMy,1,AH$7)-INDEX(c_CAMy,1,INDEX('Lease Cycles'!$GC$10:$GI$10,1,AH44)+1))*(1+'Lease Cycles'!$AK$10)+(INDEX(c_TAXy,1,AH$7)-INDEX(c_TAXy,1,INDEX('Lease Cycles'!$GC$10:$GI$10,1,AH44)+1))+(INDEX(c_INSy,1,AH$7)-INDEX(c_INSy,1,INDEX('Lease Cycles'!$GC$10:$GI$10,1,AH44)+1)))/12)</f>
        <v>0</v>
      </c>
      <c r="AI55" s="28">
        <f>IF(AI54=0,0,AI54*MAX(0,(INDEX(c_CAMy,1,AI$7)-INDEX(c_CAMy,1,INDEX('Lease Cycles'!$GC$10:$GI$10,1,AI44)+1))*(1+'Lease Cycles'!$AK$10)+(INDEX(c_TAXy,1,AI$7)-INDEX(c_TAXy,1,INDEX('Lease Cycles'!$GC$10:$GI$10,1,AI44)+1))+(INDEX(c_INSy,1,AI$7)-INDEX(c_INSy,1,INDEX('Lease Cycles'!$GC$10:$GI$10,1,AI44)+1)))/12)</f>
        <v>0</v>
      </c>
      <c r="AJ55" s="28">
        <f>IF(AJ54=0,0,AJ54*MAX(0,(INDEX(c_CAMy,1,AJ$7)-INDEX(c_CAMy,1,INDEX('Lease Cycles'!$GC$10:$GI$10,1,AJ44)+1))*(1+'Lease Cycles'!$AK$10)+(INDEX(c_TAXy,1,AJ$7)-INDEX(c_TAXy,1,INDEX('Lease Cycles'!$GC$10:$GI$10,1,AJ44)+1))+(INDEX(c_INSy,1,AJ$7)-INDEX(c_INSy,1,INDEX('Lease Cycles'!$GC$10:$GI$10,1,AJ44)+1)))/12)</f>
        <v>0</v>
      </c>
      <c r="AK55" s="28">
        <f>IF(AK54=0,0,AK54*MAX(0,(INDEX(c_CAMy,1,AK$7)-INDEX(c_CAMy,1,INDEX('Lease Cycles'!$GC$10:$GI$10,1,AK44)+1))*(1+'Lease Cycles'!$AK$10)+(INDEX(c_TAXy,1,AK$7)-INDEX(c_TAXy,1,INDEX('Lease Cycles'!$GC$10:$GI$10,1,AK44)+1))+(INDEX(c_INSy,1,AK$7)-INDEX(c_INSy,1,INDEX('Lease Cycles'!$GC$10:$GI$10,1,AK44)+1)))/12)</f>
        <v>0</v>
      </c>
      <c r="AL55" s="28">
        <f>IF(AL54=0,0,AL54*MAX(0,(INDEX(c_CAMy,1,AL$7)-INDEX(c_CAMy,1,INDEX('Lease Cycles'!$GC$10:$GI$10,1,AL44)+1))*(1+'Lease Cycles'!$AK$10)+(INDEX(c_TAXy,1,AL$7)-INDEX(c_TAXy,1,INDEX('Lease Cycles'!$GC$10:$GI$10,1,AL44)+1))+(INDEX(c_INSy,1,AL$7)-INDEX(c_INSy,1,INDEX('Lease Cycles'!$GC$10:$GI$10,1,AL44)+1)))/12)</f>
        <v>0</v>
      </c>
      <c r="AM55" s="28">
        <f>IF(AM54=0,0,AM54*MAX(0,(INDEX(c_CAMy,1,AM$7)-INDEX(c_CAMy,1,INDEX('Lease Cycles'!$GC$10:$GI$10,1,AM44)+1))*(1+'Lease Cycles'!$AK$10)+(INDEX(c_TAXy,1,AM$7)-INDEX(c_TAXy,1,INDEX('Lease Cycles'!$GC$10:$GI$10,1,AM44)+1))+(INDEX(c_INSy,1,AM$7)-INDEX(c_INSy,1,INDEX('Lease Cycles'!$GC$10:$GI$10,1,AM44)+1)))/12)</f>
        <v>0</v>
      </c>
      <c r="AN55" s="28">
        <f>IF(AN54=0,0,AN54*MAX(0,(INDEX(c_CAMy,1,AN$7)-INDEX(c_CAMy,1,INDEX('Lease Cycles'!$GC$10:$GI$10,1,AN44)+1))*(1+'Lease Cycles'!$AK$10)+(INDEX(c_TAXy,1,AN$7)-INDEX(c_TAXy,1,INDEX('Lease Cycles'!$GC$10:$GI$10,1,AN44)+1))+(INDEX(c_INSy,1,AN$7)-INDEX(c_INSy,1,INDEX('Lease Cycles'!$GC$10:$GI$10,1,AN44)+1)))/12)</f>
        <v>0</v>
      </c>
      <c r="AO55" s="28">
        <f>IF(AO54=0,0,AO54*MAX(0,(INDEX(c_CAMy,1,AO$7)-INDEX(c_CAMy,1,INDEX('Lease Cycles'!$GC$10:$GI$10,1,AO44)+1))*(1+'Lease Cycles'!$AK$10)+(INDEX(c_TAXy,1,AO$7)-INDEX(c_TAXy,1,INDEX('Lease Cycles'!$GC$10:$GI$10,1,AO44)+1))+(INDEX(c_INSy,1,AO$7)-INDEX(c_INSy,1,INDEX('Lease Cycles'!$GC$10:$GI$10,1,AO44)+1)))/12)</f>
        <v>0</v>
      </c>
      <c r="AP55" s="28">
        <f>IF(AP54=0,0,AP54*MAX(0,(INDEX(c_CAMy,1,AP$7)-INDEX(c_CAMy,1,INDEX('Lease Cycles'!$GC$10:$GI$10,1,AP44)+1))*(1+'Lease Cycles'!$AK$10)+(INDEX(c_TAXy,1,AP$7)-INDEX(c_TAXy,1,INDEX('Lease Cycles'!$GC$10:$GI$10,1,AP44)+1))+(INDEX(c_INSy,1,AP$7)-INDEX(c_INSy,1,INDEX('Lease Cycles'!$GC$10:$GI$10,1,AP44)+1)))/12)</f>
        <v>0</v>
      </c>
      <c r="AQ55" s="28">
        <f>IF(AQ54=0,0,AQ54*MAX(0,(INDEX(c_CAMy,1,AQ$7)-INDEX(c_CAMy,1,INDEX('Lease Cycles'!$GC$10:$GI$10,1,AQ44)+1))*(1+'Lease Cycles'!$AK$10)+(INDEX(c_TAXy,1,AQ$7)-INDEX(c_TAXy,1,INDEX('Lease Cycles'!$GC$10:$GI$10,1,AQ44)+1))+(INDEX(c_INSy,1,AQ$7)-INDEX(c_INSy,1,INDEX('Lease Cycles'!$GC$10:$GI$10,1,AQ44)+1)))/12)</f>
        <v>0</v>
      </c>
      <c r="AR55" s="28">
        <f>IF(AR54=0,0,AR54*MAX(0,(INDEX(c_CAMy,1,AR$7)-INDEX(c_CAMy,1,INDEX('Lease Cycles'!$GC$10:$GI$10,1,AR44)+1))*(1+'Lease Cycles'!$AK$10)+(INDEX(c_TAXy,1,AR$7)-INDEX(c_TAXy,1,INDEX('Lease Cycles'!$GC$10:$GI$10,1,AR44)+1))+(INDEX(c_INSy,1,AR$7)-INDEX(c_INSy,1,INDEX('Lease Cycles'!$GC$10:$GI$10,1,AR44)+1)))/12)</f>
        <v>0</v>
      </c>
      <c r="AS55" s="28">
        <f>IF(AS54=0,0,AS54*MAX(0,(INDEX(c_CAMy,1,AS$7)-INDEX(c_CAMy,1,INDEX('Lease Cycles'!$GC$10:$GI$10,1,AS44)+1))*(1+'Lease Cycles'!$AK$10)+(INDEX(c_TAXy,1,AS$7)-INDEX(c_TAXy,1,INDEX('Lease Cycles'!$GC$10:$GI$10,1,AS44)+1))+(INDEX(c_INSy,1,AS$7)-INDEX(c_INSy,1,INDEX('Lease Cycles'!$GC$10:$GI$10,1,AS44)+1)))/12)</f>
        <v>0</v>
      </c>
      <c r="AT55" s="28">
        <f>IF(AT54=0,0,AT54*MAX(0,(INDEX(c_CAMy,1,AT$7)-INDEX(c_CAMy,1,INDEX('Lease Cycles'!$GC$10:$GI$10,1,AT44)+1))*(1+'Lease Cycles'!$AK$10)+(INDEX(c_TAXy,1,AT$7)-INDEX(c_TAXy,1,INDEX('Lease Cycles'!$GC$10:$GI$10,1,AT44)+1))+(INDEX(c_INSy,1,AT$7)-INDEX(c_INSy,1,INDEX('Lease Cycles'!$GC$10:$GI$10,1,AT44)+1)))/12)</f>
        <v>0</v>
      </c>
      <c r="AU55" s="28">
        <f>IF(AU54=0,0,AU54*MAX(0,(INDEX(c_CAMy,1,AU$7)-INDEX(c_CAMy,1,INDEX('Lease Cycles'!$GC$10:$GI$10,1,AU44)+1))*(1+'Lease Cycles'!$AK$10)+(INDEX(c_TAXy,1,AU$7)-INDEX(c_TAXy,1,INDEX('Lease Cycles'!$GC$10:$GI$10,1,AU44)+1))+(INDEX(c_INSy,1,AU$7)-INDEX(c_INSy,1,INDEX('Lease Cycles'!$GC$10:$GI$10,1,AU44)+1)))/12)</f>
        <v>0</v>
      </c>
      <c r="AV55" s="28">
        <f>IF(AV54=0,0,AV54*MAX(0,(INDEX(c_CAMy,1,AV$7)-INDEX(c_CAMy,1,INDEX('Lease Cycles'!$GC$10:$GI$10,1,AV44)+1))*(1+'Lease Cycles'!$AK$10)+(INDEX(c_TAXy,1,AV$7)-INDEX(c_TAXy,1,INDEX('Lease Cycles'!$GC$10:$GI$10,1,AV44)+1))+(INDEX(c_INSy,1,AV$7)-INDEX(c_INSy,1,INDEX('Lease Cycles'!$GC$10:$GI$10,1,AV44)+1)))/12)</f>
        <v>0</v>
      </c>
      <c r="AW55" s="28">
        <f>IF(AW54=0,0,AW54*MAX(0,(INDEX(c_CAMy,1,AW$7)-INDEX(c_CAMy,1,INDEX('Lease Cycles'!$GC$10:$GI$10,1,AW44)+1))*(1+'Lease Cycles'!$AK$10)+(INDEX(c_TAXy,1,AW$7)-INDEX(c_TAXy,1,INDEX('Lease Cycles'!$GC$10:$GI$10,1,AW44)+1))+(INDEX(c_INSy,1,AW$7)-INDEX(c_INSy,1,INDEX('Lease Cycles'!$GC$10:$GI$10,1,AW44)+1)))/12)</f>
        <v>0</v>
      </c>
      <c r="AX55" s="28">
        <f>IF(AX54=0,0,AX54*MAX(0,(INDEX(c_CAMy,1,AX$7)-INDEX(c_CAMy,1,INDEX('Lease Cycles'!$GC$10:$GI$10,1,AX44)+1))*(1+'Lease Cycles'!$AK$10)+(INDEX(c_TAXy,1,AX$7)-INDEX(c_TAXy,1,INDEX('Lease Cycles'!$GC$10:$GI$10,1,AX44)+1))+(INDEX(c_INSy,1,AX$7)-INDEX(c_INSy,1,INDEX('Lease Cycles'!$GC$10:$GI$10,1,AX44)+1)))/12)</f>
        <v>0</v>
      </c>
      <c r="AY55" s="28">
        <f>IF(AY54=0,0,AY54*MAX(0,(INDEX(c_CAMy,1,AY$7)-INDEX(c_CAMy,1,INDEX('Lease Cycles'!$GC$10:$GI$10,1,AY44)+1))*(1+'Lease Cycles'!$AK$10)+(INDEX(c_TAXy,1,AY$7)-INDEX(c_TAXy,1,INDEX('Lease Cycles'!$GC$10:$GI$10,1,AY44)+1))+(INDEX(c_INSy,1,AY$7)-INDEX(c_INSy,1,INDEX('Lease Cycles'!$GC$10:$GI$10,1,AY44)+1)))/12)</f>
        <v>0</v>
      </c>
      <c r="AZ55" s="28">
        <f>IF(AZ54=0,0,AZ54*MAX(0,(INDEX(c_CAMy,1,AZ$7)-INDEX(c_CAMy,1,INDEX('Lease Cycles'!$GC$10:$GI$10,1,AZ44)+1))*(1+'Lease Cycles'!$AK$10)+(INDEX(c_TAXy,1,AZ$7)-INDEX(c_TAXy,1,INDEX('Lease Cycles'!$GC$10:$GI$10,1,AZ44)+1))+(INDEX(c_INSy,1,AZ$7)-INDEX(c_INSy,1,INDEX('Lease Cycles'!$GC$10:$GI$10,1,AZ44)+1)))/12)</f>
        <v>0</v>
      </c>
      <c r="BA55" s="28">
        <f>IF(BA54=0,0,BA54*MAX(0,(INDEX(c_CAMy,1,BA$7)-INDEX(c_CAMy,1,INDEX('Lease Cycles'!$GC$10:$GI$10,1,BA44)+1))*(1+'Lease Cycles'!$AK$10)+(INDEX(c_TAXy,1,BA$7)-INDEX(c_TAXy,1,INDEX('Lease Cycles'!$GC$10:$GI$10,1,BA44)+1))+(INDEX(c_INSy,1,BA$7)-INDEX(c_INSy,1,INDEX('Lease Cycles'!$GC$10:$GI$10,1,BA44)+1)))/12)</f>
        <v>0</v>
      </c>
      <c r="BB55" s="28">
        <f>IF(BB54=0,0,BB54*MAX(0,(INDEX(c_CAMy,1,BB$7)-INDEX(c_CAMy,1,INDEX('Lease Cycles'!$GC$10:$GI$10,1,BB44)+1))*(1+'Lease Cycles'!$AK$10)+(INDEX(c_TAXy,1,BB$7)-INDEX(c_TAXy,1,INDEX('Lease Cycles'!$GC$10:$GI$10,1,BB44)+1))+(INDEX(c_INSy,1,BB$7)-INDEX(c_INSy,1,INDEX('Lease Cycles'!$GC$10:$GI$10,1,BB44)+1)))/12)</f>
        <v>0</v>
      </c>
      <c r="BC55" s="28">
        <f>IF(BC54=0,0,BC54*MAX(0,(INDEX(c_CAMy,1,BC$7)-INDEX(c_CAMy,1,INDEX('Lease Cycles'!$GC$10:$GI$10,1,BC44)+1))*(1+'Lease Cycles'!$AK$10)+(INDEX(c_TAXy,1,BC$7)-INDEX(c_TAXy,1,INDEX('Lease Cycles'!$GC$10:$GI$10,1,BC44)+1))+(INDEX(c_INSy,1,BC$7)-INDEX(c_INSy,1,INDEX('Lease Cycles'!$GC$10:$GI$10,1,BC44)+1)))/12)</f>
        <v>0</v>
      </c>
      <c r="BD55" s="28">
        <f>IF(BD54=0,0,BD54*MAX(0,(INDEX(c_CAMy,1,BD$7)-INDEX(c_CAMy,1,INDEX('Lease Cycles'!$GC$10:$GI$10,1,BD44)+1))*(1+'Lease Cycles'!$AK$10)+(INDEX(c_TAXy,1,BD$7)-INDEX(c_TAXy,1,INDEX('Lease Cycles'!$GC$10:$GI$10,1,BD44)+1))+(INDEX(c_INSy,1,BD$7)-INDEX(c_INSy,1,INDEX('Lease Cycles'!$GC$10:$GI$10,1,BD44)+1)))/12)</f>
        <v>0</v>
      </c>
      <c r="BE55" s="28">
        <f>IF(BE54=0,0,BE54*MAX(0,(INDEX(c_CAMy,1,BE$7)-INDEX(c_CAMy,1,INDEX('Lease Cycles'!$GC$10:$GI$10,1,BE44)+1))*(1+'Lease Cycles'!$AK$10)+(INDEX(c_TAXy,1,BE$7)-INDEX(c_TAXy,1,INDEX('Lease Cycles'!$GC$10:$GI$10,1,BE44)+1))+(INDEX(c_INSy,1,BE$7)-INDEX(c_INSy,1,INDEX('Lease Cycles'!$GC$10:$GI$10,1,BE44)+1)))/12)</f>
        <v>0</v>
      </c>
      <c r="BF55" s="28">
        <f>IF(BF54=0,0,BF54*MAX(0,(INDEX(c_CAMy,1,BF$7)-INDEX(c_CAMy,1,INDEX('Lease Cycles'!$GC$10:$GI$10,1,BF44)+1))*(1+'Lease Cycles'!$AK$10)+(INDEX(c_TAXy,1,BF$7)-INDEX(c_TAXy,1,INDEX('Lease Cycles'!$GC$10:$GI$10,1,BF44)+1))+(INDEX(c_INSy,1,BF$7)-INDEX(c_INSy,1,INDEX('Lease Cycles'!$GC$10:$GI$10,1,BF44)+1)))/12)</f>
        <v>0</v>
      </c>
      <c r="BG55" s="28">
        <f>IF(BG54=0,0,BG54*MAX(0,(INDEX(c_CAMy,1,BG$7)-INDEX(c_CAMy,1,INDEX('Lease Cycles'!$GC$10:$GI$10,1,BG44)+1))*(1+'Lease Cycles'!$AK$10)+(INDEX(c_TAXy,1,BG$7)-INDEX(c_TAXy,1,INDEX('Lease Cycles'!$GC$10:$GI$10,1,BG44)+1))+(INDEX(c_INSy,1,BG$7)-INDEX(c_INSy,1,INDEX('Lease Cycles'!$GC$10:$GI$10,1,BG44)+1)))/12)</f>
        <v>0</v>
      </c>
      <c r="BH55" s="28">
        <f>IF(BH54=0,0,BH54*MAX(0,(INDEX(c_CAMy,1,BH$7)-INDEX(c_CAMy,1,INDEX('Lease Cycles'!$GC$10:$GI$10,1,BH44)+1))*(1+'Lease Cycles'!$AK$10)+(INDEX(c_TAXy,1,BH$7)-INDEX(c_TAXy,1,INDEX('Lease Cycles'!$GC$10:$GI$10,1,BH44)+1))+(INDEX(c_INSy,1,BH$7)-INDEX(c_INSy,1,INDEX('Lease Cycles'!$GC$10:$GI$10,1,BH44)+1)))/12)</f>
        <v>0</v>
      </c>
      <c r="BI55" s="28">
        <f>IF(BI54=0,0,BI54*MAX(0,(INDEX(c_CAMy,1,BI$7)-INDEX(c_CAMy,1,INDEX('Lease Cycles'!$GC$10:$GI$10,1,BI44)+1))*(1+'Lease Cycles'!$AK$10)+(INDEX(c_TAXy,1,BI$7)-INDEX(c_TAXy,1,INDEX('Lease Cycles'!$GC$10:$GI$10,1,BI44)+1))+(INDEX(c_INSy,1,BI$7)-INDEX(c_INSy,1,INDEX('Lease Cycles'!$GC$10:$GI$10,1,BI44)+1)))/12)</f>
        <v>0</v>
      </c>
      <c r="BJ55" s="28">
        <f>IF(BJ54=0,0,BJ54*MAX(0,(INDEX(c_CAMy,1,BJ$7)-INDEX(c_CAMy,1,INDEX('Lease Cycles'!$GC$10:$GI$10,1,BJ44)+1))*(1+'Lease Cycles'!$AK$10)+(INDEX(c_TAXy,1,BJ$7)-INDEX(c_TAXy,1,INDEX('Lease Cycles'!$GC$10:$GI$10,1,BJ44)+1))+(INDEX(c_INSy,1,BJ$7)-INDEX(c_INSy,1,INDEX('Lease Cycles'!$GC$10:$GI$10,1,BJ44)+1)))/12)</f>
        <v>0</v>
      </c>
      <c r="BK55" s="28">
        <f>IF(BK54=0,0,BK54*MAX(0,(INDEX(c_CAMy,1,BK$7)-INDEX(c_CAMy,1,INDEX('Lease Cycles'!$GC$10:$GI$10,1,BK44)+1))*(1+'Lease Cycles'!$AK$10)+(INDEX(c_TAXy,1,BK$7)-INDEX(c_TAXy,1,INDEX('Lease Cycles'!$GC$10:$GI$10,1,BK44)+1))+(INDEX(c_INSy,1,BK$7)-INDEX(c_INSy,1,INDEX('Lease Cycles'!$GC$10:$GI$10,1,BK44)+1)))/12)</f>
        <v>0</v>
      </c>
      <c r="BL55" s="28">
        <f>IF(BL54=0,0,BL54*MAX(0,(INDEX(c_CAMy,1,BL$7)-INDEX(c_CAMy,1,INDEX('Lease Cycles'!$GC$10:$GI$10,1,BL44)+1))*(1+'Lease Cycles'!$AK$10)+(INDEX(c_TAXy,1,BL$7)-INDEX(c_TAXy,1,INDEX('Lease Cycles'!$GC$10:$GI$10,1,BL44)+1))+(INDEX(c_INSy,1,BL$7)-INDEX(c_INSy,1,INDEX('Lease Cycles'!$GC$10:$GI$10,1,BL44)+1)))/12)</f>
        <v>0</v>
      </c>
      <c r="BM55" s="28">
        <f>IF(BM54=0,0,BM54*MAX(0,(INDEX(c_CAMy,1,BM$7)-INDEX(c_CAMy,1,INDEX('Lease Cycles'!$GC$10:$GI$10,1,BM44)+1))*(1+'Lease Cycles'!$AK$10)+(INDEX(c_TAXy,1,BM$7)-INDEX(c_TAXy,1,INDEX('Lease Cycles'!$GC$10:$GI$10,1,BM44)+1))+(INDEX(c_INSy,1,BM$7)-INDEX(c_INSy,1,INDEX('Lease Cycles'!$GC$10:$GI$10,1,BM44)+1)))/12)</f>
        <v>0</v>
      </c>
      <c r="BN55" s="28">
        <f>IF(BN54=0,0,BN54*MAX(0,(INDEX(c_CAMy,1,BN$7)-INDEX(c_CAMy,1,INDEX('Lease Cycles'!$GC$10:$GI$10,1,BN44)+1))*(1+'Lease Cycles'!$AK$10)+(INDEX(c_TAXy,1,BN$7)-INDEX(c_TAXy,1,INDEX('Lease Cycles'!$GC$10:$GI$10,1,BN44)+1))+(INDEX(c_INSy,1,BN$7)-INDEX(c_INSy,1,INDEX('Lease Cycles'!$GC$10:$GI$10,1,BN44)+1)))/12)</f>
        <v>0</v>
      </c>
      <c r="BO55" s="28">
        <f>IF(BO54=0,0,BO54*MAX(0,(INDEX(c_CAMy,1,BO$7)-INDEX(c_CAMy,1,INDEX('Lease Cycles'!$GC$10:$GI$10,1,BO44)+1))*(1+'Lease Cycles'!$AK$10)+(INDEX(c_TAXy,1,BO$7)-INDEX(c_TAXy,1,INDEX('Lease Cycles'!$GC$10:$GI$10,1,BO44)+1))+(INDEX(c_INSy,1,BO$7)-INDEX(c_INSy,1,INDEX('Lease Cycles'!$GC$10:$GI$10,1,BO44)+1)))/12)</f>
        <v>0</v>
      </c>
      <c r="BP55" s="28">
        <f>IF(BP54=0,0,BP54*MAX(0,(INDEX(c_CAMy,1,BP$7)-INDEX(c_CAMy,1,INDEX('Lease Cycles'!$GC$10:$GI$10,1,BP44)+1))*(1+'Lease Cycles'!$AK$10)+(INDEX(c_TAXy,1,BP$7)-INDEX(c_TAXy,1,INDEX('Lease Cycles'!$GC$10:$GI$10,1,BP44)+1))+(INDEX(c_INSy,1,BP$7)-INDEX(c_INSy,1,INDEX('Lease Cycles'!$GC$10:$GI$10,1,BP44)+1)))/12)</f>
        <v>0</v>
      </c>
      <c r="BQ55" s="28">
        <f>IF(BQ54=0,0,BQ54*MAX(0,(INDEX(c_CAMy,1,BQ$7)-INDEX(c_CAMy,1,INDEX('Lease Cycles'!$GC$10:$GI$10,1,BQ44)+1))*(1+'Lease Cycles'!$AK$10)+(INDEX(c_TAXy,1,BQ$7)-INDEX(c_TAXy,1,INDEX('Lease Cycles'!$GC$10:$GI$10,1,BQ44)+1))+(INDEX(c_INSy,1,BQ$7)-INDEX(c_INSy,1,INDEX('Lease Cycles'!$GC$10:$GI$10,1,BQ44)+1)))/12)</f>
        <v>0</v>
      </c>
      <c r="BR55" s="28">
        <f>IF(BR54=0,0,BR54*MAX(0,(INDEX(c_CAMy,1,BR$7)-INDEX(c_CAMy,1,INDEX('Lease Cycles'!$GC$10:$GI$10,1,BR44)+1))*(1+'Lease Cycles'!$AK$10)+(INDEX(c_TAXy,1,BR$7)-INDEX(c_TAXy,1,INDEX('Lease Cycles'!$GC$10:$GI$10,1,BR44)+1))+(INDEX(c_INSy,1,BR$7)-INDEX(c_INSy,1,INDEX('Lease Cycles'!$GC$10:$GI$10,1,BR44)+1)))/12)</f>
        <v>0</v>
      </c>
      <c r="BS55" s="28">
        <f>IF(BS54=0,0,BS54*MAX(0,(INDEX(c_CAMy,1,BS$7)-INDEX(c_CAMy,1,INDEX('Lease Cycles'!$GC$10:$GI$10,1,BS44)+1))*(1+'Lease Cycles'!$AK$10)+(INDEX(c_TAXy,1,BS$7)-INDEX(c_TAXy,1,INDEX('Lease Cycles'!$GC$10:$GI$10,1,BS44)+1))+(INDEX(c_INSy,1,BS$7)-INDEX(c_INSy,1,INDEX('Lease Cycles'!$GC$10:$GI$10,1,BS44)+1)))/12)</f>
        <v>0</v>
      </c>
      <c r="BT55" s="28">
        <f>IF(BT54=0,0,BT54*MAX(0,(INDEX(c_CAMy,1,BT$7)-INDEX(c_CAMy,1,INDEX('Lease Cycles'!$GC$10:$GI$10,1,BT44)+1))*(1+'Lease Cycles'!$AK$10)+(INDEX(c_TAXy,1,BT$7)-INDEX(c_TAXy,1,INDEX('Lease Cycles'!$GC$10:$GI$10,1,BT44)+1))+(INDEX(c_INSy,1,BT$7)-INDEX(c_INSy,1,INDEX('Lease Cycles'!$GC$10:$GI$10,1,BT44)+1)))/12)</f>
        <v>0</v>
      </c>
      <c r="BU55" s="28">
        <f>IF(BU54=0,0,BU54*MAX(0,(INDEX(c_CAMy,1,BU$7)-INDEX(c_CAMy,1,INDEX('Lease Cycles'!$GC$10:$GI$10,1,BU44)+1))*(1+'Lease Cycles'!$AK$10)+(INDEX(c_TAXy,1,BU$7)-INDEX(c_TAXy,1,INDEX('Lease Cycles'!$GC$10:$GI$10,1,BU44)+1))+(INDEX(c_INSy,1,BU$7)-INDEX(c_INSy,1,INDEX('Lease Cycles'!$GC$10:$GI$10,1,BU44)+1)))/12)</f>
        <v>0</v>
      </c>
      <c r="BV55" s="28">
        <f>IF(BV54=0,0,BV54*MAX(0,(INDEX(c_CAMy,1,BV$7)-INDEX(c_CAMy,1,INDEX('Lease Cycles'!$GC$10:$GI$10,1,BV44)+1))*(1+'Lease Cycles'!$AK$10)+(INDEX(c_TAXy,1,BV$7)-INDEX(c_TAXy,1,INDEX('Lease Cycles'!$GC$10:$GI$10,1,BV44)+1))+(INDEX(c_INSy,1,BV$7)-INDEX(c_INSy,1,INDEX('Lease Cycles'!$GC$10:$GI$10,1,BV44)+1)))/12)</f>
        <v>0</v>
      </c>
      <c r="BW55" s="28">
        <f>IF(BW54=0,0,BW54*MAX(0,(INDEX(c_CAMy,1,BW$7)-INDEX(c_CAMy,1,INDEX('Lease Cycles'!$GC$10:$GI$10,1,BW44)+1))*(1+'Lease Cycles'!$AK$10)+(INDEX(c_TAXy,1,BW$7)-INDEX(c_TAXy,1,INDEX('Lease Cycles'!$GC$10:$GI$10,1,BW44)+1))+(INDEX(c_INSy,1,BW$7)-INDEX(c_INSy,1,INDEX('Lease Cycles'!$GC$10:$GI$10,1,BW44)+1)))/12)</f>
        <v>0</v>
      </c>
      <c r="BX55" s="28">
        <f>IF(BX54=0,0,BX54*MAX(0,(INDEX(c_CAMy,1,BX$7)-INDEX(c_CAMy,1,INDEX('Lease Cycles'!$GC$10:$GI$10,1,BX44)+1))*(1+'Lease Cycles'!$AK$10)+(INDEX(c_TAXy,1,BX$7)-INDEX(c_TAXy,1,INDEX('Lease Cycles'!$GC$10:$GI$10,1,BX44)+1))+(INDEX(c_INSy,1,BX$7)-INDEX(c_INSy,1,INDEX('Lease Cycles'!$GC$10:$GI$10,1,BX44)+1)))/12)</f>
        <v>0</v>
      </c>
      <c r="BY55" s="28">
        <f>IF(BY54=0,0,BY54*MAX(0,(INDEX(c_CAMy,1,BY$7)-INDEX(c_CAMy,1,INDEX('Lease Cycles'!$GC$10:$GI$10,1,BY44)+1))*(1+'Lease Cycles'!$AK$10)+(INDEX(c_TAXy,1,BY$7)-INDEX(c_TAXy,1,INDEX('Lease Cycles'!$GC$10:$GI$10,1,BY44)+1))+(INDEX(c_INSy,1,BY$7)-INDEX(c_INSy,1,INDEX('Lease Cycles'!$GC$10:$GI$10,1,BY44)+1)))/12)</f>
        <v>0</v>
      </c>
      <c r="BZ55" s="28">
        <f>IF(BZ54=0,0,BZ54*MAX(0,(INDEX(c_CAMy,1,BZ$7)-INDEX(c_CAMy,1,INDEX('Lease Cycles'!$GC$10:$GI$10,1,BZ44)+1))*(1+'Lease Cycles'!$AK$10)+(INDEX(c_TAXy,1,BZ$7)-INDEX(c_TAXy,1,INDEX('Lease Cycles'!$GC$10:$GI$10,1,BZ44)+1))+(INDEX(c_INSy,1,BZ$7)-INDEX(c_INSy,1,INDEX('Lease Cycles'!$GC$10:$GI$10,1,BZ44)+1)))/12)</f>
        <v>0</v>
      </c>
      <c r="CA55" s="28">
        <f>IF(CA54=0,0,CA54*MAX(0,(INDEX(c_CAMy,1,CA$7)-INDEX(c_CAMy,1,INDEX('Lease Cycles'!$GC$10:$GI$10,1,CA44)+1))*(1+'Lease Cycles'!$AK$10)+(INDEX(c_TAXy,1,CA$7)-INDEX(c_TAXy,1,INDEX('Lease Cycles'!$GC$10:$GI$10,1,CA44)+1))+(INDEX(c_INSy,1,CA$7)-INDEX(c_INSy,1,INDEX('Lease Cycles'!$GC$10:$GI$10,1,CA44)+1)))/12)</f>
        <v>0</v>
      </c>
      <c r="CB55" s="28">
        <f>IF(CB54=0,0,CB54*MAX(0,(INDEX(c_CAMy,1,CB$7)-INDEX(c_CAMy,1,INDEX('Lease Cycles'!$GC$10:$GI$10,1,CB44)+1))*(1+'Lease Cycles'!$AK$10)+(INDEX(c_TAXy,1,CB$7)-INDEX(c_TAXy,1,INDEX('Lease Cycles'!$GC$10:$GI$10,1,CB44)+1))+(INDEX(c_INSy,1,CB$7)-INDEX(c_INSy,1,INDEX('Lease Cycles'!$GC$10:$GI$10,1,CB44)+1)))/12)</f>
        <v>0</v>
      </c>
      <c r="CC55" s="28">
        <f>IF(CC54=0,0,CC54*MAX(0,(INDEX(c_CAMy,1,CC$7)-INDEX(c_CAMy,1,INDEX('Lease Cycles'!$GC$10:$GI$10,1,CC44)+1))*(1+'Lease Cycles'!$AK$10)+(INDEX(c_TAXy,1,CC$7)-INDEX(c_TAXy,1,INDEX('Lease Cycles'!$GC$10:$GI$10,1,CC44)+1))+(INDEX(c_INSy,1,CC$7)-INDEX(c_INSy,1,INDEX('Lease Cycles'!$GC$10:$GI$10,1,CC44)+1)))/12)</f>
        <v>0</v>
      </c>
      <c r="CD55" s="28">
        <f>IF(CD54=0,0,CD54*MAX(0,(INDEX(c_CAMy,1,CD$7)-INDEX(c_CAMy,1,INDEX('Lease Cycles'!$GC$10:$GI$10,1,CD44)+1))*(1+'Lease Cycles'!$AK$10)+(INDEX(c_TAXy,1,CD$7)-INDEX(c_TAXy,1,INDEX('Lease Cycles'!$GC$10:$GI$10,1,CD44)+1))+(INDEX(c_INSy,1,CD$7)-INDEX(c_INSy,1,INDEX('Lease Cycles'!$GC$10:$GI$10,1,CD44)+1)))/12)</f>
        <v>0</v>
      </c>
      <c r="CE55" s="28">
        <f>IF(CE54=0,0,CE54*MAX(0,(INDEX(c_CAMy,1,CE$7)-INDEX(c_CAMy,1,INDEX('Lease Cycles'!$GC$10:$GI$10,1,CE44)+1))*(1+'Lease Cycles'!$AK$10)+(INDEX(c_TAXy,1,CE$7)-INDEX(c_TAXy,1,INDEX('Lease Cycles'!$GC$10:$GI$10,1,CE44)+1))+(INDEX(c_INSy,1,CE$7)-INDEX(c_INSy,1,INDEX('Lease Cycles'!$GC$10:$GI$10,1,CE44)+1)))/12)</f>
        <v>0</v>
      </c>
      <c r="CF55" s="28">
        <f>IF(CF54=0,0,CF54*MAX(0,(INDEX(c_CAMy,1,CF$7)-INDEX(c_CAMy,1,INDEX('Lease Cycles'!$GC$10:$GI$10,1,CF44)+1))*(1+'Lease Cycles'!$AK$10)+(INDEX(c_TAXy,1,CF$7)-INDEX(c_TAXy,1,INDEX('Lease Cycles'!$GC$10:$GI$10,1,CF44)+1))+(INDEX(c_INSy,1,CF$7)-INDEX(c_INSy,1,INDEX('Lease Cycles'!$GC$10:$GI$10,1,CF44)+1)))/12)</f>
        <v>0</v>
      </c>
      <c r="CG55" s="28">
        <f>IF(CG54=0,0,CG54*MAX(0,(INDEX(c_CAMy,1,CG$7)-INDEX(c_CAMy,1,INDEX('Lease Cycles'!$GC$10:$GI$10,1,CG44)+1))*(1+'Lease Cycles'!$AK$10)+(INDEX(c_TAXy,1,CG$7)-INDEX(c_TAXy,1,INDEX('Lease Cycles'!$GC$10:$GI$10,1,CG44)+1))+(INDEX(c_INSy,1,CG$7)-INDEX(c_INSy,1,INDEX('Lease Cycles'!$GC$10:$GI$10,1,CG44)+1)))/12)</f>
        <v>0</v>
      </c>
      <c r="CH55" s="28">
        <f>IF(CH54=0,0,CH54*MAX(0,(INDEX(c_CAMy,1,CH$7)-INDEX(c_CAMy,1,INDEX('Lease Cycles'!$GC$10:$GI$10,1,CH44)+1))*(1+'Lease Cycles'!$AK$10)+(INDEX(c_TAXy,1,CH$7)-INDEX(c_TAXy,1,INDEX('Lease Cycles'!$GC$10:$GI$10,1,CH44)+1))+(INDEX(c_INSy,1,CH$7)-INDEX(c_INSy,1,INDEX('Lease Cycles'!$GC$10:$GI$10,1,CH44)+1)))/12)</f>
        <v>0</v>
      </c>
      <c r="CI55" s="28">
        <f>IF(CI54=0,0,CI54*MAX(0,(INDEX(c_CAMy,1,CI$7)-INDEX(c_CAMy,1,INDEX('Lease Cycles'!$GC$10:$GI$10,1,CI44)+1))*(1+'Lease Cycles'!$AK$10)+(INDEX(c_TAXy,1,CI$7)-INDEX(c_TAXy,1,INDEX('Lease Cycles'!$GC$10:$GI$10,1,CI44)+1))+(INDEX(c_INSy,1,CI$7)-INDEX(c_INSy,1,INDEX('Lease Cycles'!$GC$10:$GI$10,1,CI44)+1)))/12)</f>
        <v>0</v>
      </c>
      <c r="CJ55" s="28">
        <f>IF(CJ54=0,0,CJ54*MAX(0,(INDEX(c_CAMy,1,CJ$7)-INDEX(c_CAMy,1,INDEX('Lease Cycles'!$GC$10:$GI$10,1,CJ44)+1))*(1+'Lease Cycles'!$AK$10)+(INDEX(c_TAXy,1,CJ$7)-INDEX(c_TAXy,1,INDEX('Lease Cycles'!$GC$10:$GI$10,1,CJ44)+1))+(INDEX(c_INSy,1,CJ$7)-INDEX(c_INSy,1,INDEX('Lease Cycles'!$GC$10:$GI$10,1,CJ44)+1)))/12)</f>
        <v>0</v>
      </c>
      <c r="CK55" s="28">
        <f>IF(CK54=0,0,CK54*MAX(0,(INDEX(c_CAMy,1,CK$7)-INDEX(c_CAMy,1,INDEX('Lease Cycles'!$GC$10:$GI$10,1,CK44)+1))*(1+'Lease Cycles'!$AK$10)+(INDEX(c_TAXy,1,CK$7)-INDEX(c_TAXy,1,INDEX('Lease Cycles'!$GC$10:$GI$10,1,CK44)+1))+(INDEX(c_INSy,1,CK$7)-INDEX(c_INSy,1,INDEX('Lease Cycles'!$GC$10:$GI$10,1,CK44)+1)))/12)</f>
        <v>0</v>
      </c>
      <c r="CL55" s="28">
        <f>IF(CL54=0,0,CL54*MAX(0,(INDEX(c_CAMy,1,CL$7)-INDEX(c_CAMy,1,INDEX('Lease Cycles'!$GC$10:$GI$10,1,CL44)+1))*(1+'Lease Cycles'!$AK$10)+(INDEX(c_TAXy,1,CL$7)-INDEX(c_TAXy,1,INDEX('Lease Cycles'!$GC$10:$GI$10,1,CL44)+1))+(INDEX(c_INSy,1,CL$7)-INDEX(c_INSy,1,INDEX('Lease Cycles'!$GC$10:$GI$10,1,CL44)+1)))/12)</f>
        <v>0</v>
      </c>
      <c r="CM55" s="28">
        <f>IF(CM54=0,0,CM54*MAX(0,(INDEX(c_CAMy,1,CM$7)-INDEX(c_CAMy,1,INDEX('Lease Cycles'!$GC$10:$GI$10,1,CM44)+1))*(1+'Lease Cycles'!$AK$10)+(INDEX(c_TAXy,1,CM$7)-INDEX(c_TAXy,1,INDEX('Lease Cycles'!$GC$10:$GI$10,1,CM44)+1))+(INDEX(c_INSy,1,CM$7)-INDEX(c_INSy,1,INDEX('Lease Cycles'!$GC$10:$GI$10,1,CM44)+1)))/12)</f>
        <v>0</v>
      </c>
      <c r="CN55" s="28">
        <f>IF(CN54=0,0,CN54*MAX(0,(INDEX(c_CAMy,1,CN$7)-INDEX(c_CAMy,1,INDEX('Lease Cycles'!$GC$10:$GI$10,1,CN44)+1))*(1+'Lease Cycles'!$AK$10)+(INDEX(c_TAXy,1,CN$7)-INDEX(c_TAXy,1,INDEX('Lease Cycles'!$GC$10:$GI$10,1,CN44)+1))+(INDEX(c_INSy,1,CN$7)-INDEX(c_INSy,1,INDEX('Lease Cycles'!$GC$10:$GI$10,1,CN44)+1)))/12)</f>
        <v>0</v>
      </c>
      <c r="CO55" s="28">
        <f>IF(CO54=0,0,CO54*MAX(0,(INDEX(c_CAMy,1,CO$7)-INDEX(c_CAMy,1,INDEX('Lease Cycles'!$GC$10:$GI$10,1,CO44)+1))*(1+'Lease Cycles'!$AK$10)+(INDEX(c_TAXy,1,CO$7)-INDEX(c_TAXy,1,INDEX('Lease Cycles'!$GC$10:$GI$10,1,CO44)+1))+(INDEX(c_INSy,1,CO$7)-INDEX(c_INSy,1,INDEX('Lease Cycles'!$GC$10:$GI$10,1,CO44)+1)))/12)</f>
        <v>0</v>
      </c>
      <c r="CP55" s="28">
        <f>IF(CP54=0,0,CP54*MAX(0,(INDEX(c_CAMy,1,CP$7)-INDEX(c_CAMy,1,INDEX('Lease Cycles'!$GC$10:$GI$10,1,CP44)+1))*(1+'Lease Cycles'!$AK$10)+(INDEX(c_TAXy,1,CP$7)-INDEX(c_TAXy,1,INDEX('Lease Cycles'!$GC$10:$GI$10,1,CP44)+1))+(INDEX(c_INSy,1,CP$7)-INDEX(c_INSy,1,INDEX('Lease Cycles'!$GC$10:$GI$10,1,CP44)+1)))/12)</f>
        <v>0</v>
      </c>
      <c r="CQ55" s="28">
        <f>IF(CQ54=0,0,CQ54*MAX(0,(INDEX(c_CAMy,1,CQ$7)-INDEX(c_CAMy,1,INDEX('Lease Cycles'!$GC$10:$GI$10,1,CQ44)+1))*(1+'Lease Cycles'!$AK$10)+(INDEX(c_TAXy,1,CQ$7)-INDEX(c_TAXy,1,INDEX('Lease Cycles'!$GC$10:$GI$10,1,CQ44)+1))+(INDEX(c_INSy,1,CQ$7)-INDEX(c_INSy,1,INDEX('Lease Cycles'!$GC$10:$GI$10,1,CQ44)+1)))/12)</f>
        <v>0</v>
      </c>
      <c r="CR55" s="28">
        <f>IF(CR54=0,0,CR54*MAX(0,(INDEX(c_CAMy,1,CR$7)-INDEX(c_CAMy,1,INDEX('Lease Cycles'!$GC$10:$GI$10,1,CR44)+1))*(1+'Lease Cycles'!$AK$10)+(INDEX(c_TAXy,1,CR$7)-INDEX(c_TAXy,1,INDEX('Lease Cycles'!$GC$10:$GI$10,1,CR44)+1))+(INDEX(c_INSy,1,CR$7)-INDEX(c_INSy,1,INDEX('Lease Cycles'!$GC$10:$GI$10,1,CR44)+1)))/12)</f>
        <v>0</v>
      </c>
      <c r="CS55" s="28">
        <f>IF(CS54=0,0,CS54*MAX(0,(INDEX(c_CAMy,1,CS$7)-INDEX(c_CAMy,1,INDEX('Lease Cycles'!$GC$10:$GI$10,1,CS44)+1))*(1+'Lease Cycles'!$AK$10)+(INDEX(c_TAXy,1,CS$7)-INDEX(c_TAXy,1,INDEX('Lease Cycles'!$GC$10:$GI$10,1,CS44)+1))+(INDEX(c_INSy,1,CS$7)-INDEX(c_INSy,1,INDEX('Lease Cycles'!$GC$10:$GI$10,1,CS44)+1)))/12)</f>
        <v>0</v>
      </c>
      <c r="CT55" s="28">
        <f>IF(CT54=0,0,CT54*MAX(0,(INDEX(c_CAMy,1,CT$7)-INDEX(c_CAMy,1,INDEX('Lease Cycles'!$GC$10:$GI$10,1,CT44)+1))*(1+'Lease Cycles'!$AK$10)+(INDEX(c_TAXy,1,CT$7)-INDEX(c_TAXy,1,INDEX('Lease Cycles'!$GC$10:$GI$10,1,CT44)+1))+(INDEX(c_INSy,1,CT$7)-INDEX(c_INSy,1,INDEX('Lease Cycles'!$GC$10:$GI$10,1,CT44)+1)))/12)</f>
        <v>0</v>
      </c>
      <c r="CU55" s="28">
        <f>IF(CU54=0,0,CU54*MAX(0,(INDEX(c_CAMy,1,CU$7)-INDEX(c_CAMy,1,INDEX('Lease Cycles'!$GC$10:$GI$10,1,CU44)+1))*(1+'Lease Cycles'!$AK$10)+(INDEX(c_TAXy,1,CU$7)-INDEX(c_TAXy,1,INDEX('Lease Cycles'!$GC$10:$GI$10,1,CU44)+1))+(INDEX(c_INSy,1,CU$7)-INDEX(c_INSy,1,INDEX('Lease Cycles'!$GC$10:$GI$10,1,CU44)+1)))/12)</f>
        <v>0</v>
      </c>
      <c r="CV55" s="28">
        <f>IF(CV54=0,0,CV54*MAX(0,(INDEX(c_CAMy,1,CV$7)-INDEX(c_CAMy,1,INDEX('Lease Cycles'!$GC$10:$GI$10,1,CV44)+1))*(1+'Lease Cycles'!$AK$10)+(INDEX(c_TAXy,1,CV$7)-INDEX(c_TAXy,1,INDEX('Lease Cycles'!$GC$10:$GI$10,1,CV44)+1))+(INDEX(c_INSy,1,CV$7)-INDEX(c_INSy,1,INDEX('Lease Cycles'!$GC$10:$GI$10,1,CV44)+1)))/12)</f>
        <v>0</v>
      </c>
      <c r="CW55" s="28">
        <f>IF(CW54=0,0,CW54*MAX(0,(INDEX(c_CAMy,1,CW$7)-INDEX(c_CAMy,1,INDEX('Lease Cycles'!$GC$10:$GI$10,1,CW44)+1))*(1+'Lease Cycles'!$AK$10)+(INDEX(c_TAXy,1,CW$7)-INDEX(c_TAXy,1,INDEX('Lease Cycles'!$GC$10:$GI$10,1,CW44)+1))+(INDEX(c_INSy,1,CW$7)-INDEX(c_INSy,1,INDEX('Lease Cycles'!$GC$10:$GI$10,1,CW44)+1)))/12)</f>
        <v>0</v>
      </c>
      <c r="CX55" s="28">
        <f>IF(CX54=0,0,CX54*MAX(0,(INDEX(c_CAMy,1,CX$7)-INDEX(c_CAMy,1,INDEX('Lease Cycles'!$GC$10:$GI$10,1,CX44)+1))*(1+'Lease Cycles'!$AK$10)+(INDEX(c_TAXy,1,CX$7)-INDEX(c_TAXy,1,INDEX('Lease Cycles'!$GC$10:$GI$10,1,CX44)+1))+(INDEX(c_INSy,1,CX$7)-INDEX(c_INSy,1,INDEX('Lease Cycles'!$GC$10:$GI$10,1,CX44)+1)))/12)</f>
        <v>0</v>
      </c>
      <c r="CY55" s="28">
        <f>IF(CY54=0,0,CY54*MAX(0,(INDEX(c_CAMy,1,CY$7)-INDEX(c_CAMy,1,INDEX('Lease Cycles'!$GC$10:$GI$10,1,CY44)+1))*(1+'Lease Cycles'!$AK$10)+(INDEX(c_TAXy,1,CY$7)-INDEX(c_TAXy,1,INDEX('Lease Cycles'!$GC$10:$GI$10,1,CY44)+1))+(INDEX(c_INSy,1,CY$7)-INDEX(c_INSy,1,INDEX('Lease Cycles'!$GC$10:$GI$10,1,CY44)+1)))/12)</f>
        <v>0</v>
      </c>
      <c r="CZ55" s="28">
        <f>IF(CZ54=0,0,CZ54*MAX(0,(INDEX(c_CAMy,1,CZ$7)-INDEX(c_CAMy,1,INDEX('Lease Cycles'!$GC$10:$GI$10,1,CZ44)+1))*(1+'Lease Cycles'!$AK$10)+(INDEX(c_TAXy,1,CZ$7)-INDEX(c_TAXy,1,INDEX('Lease Cycles'!$GC$10:$GI$10,1,CZ44)+1))+(INDEX(c_INSy,1,CZ$7)-INDEX(c_INSy,1,INDEX('Lease Cycles'!$GC$10:$GI$10,1,CZ44)+1)))/12)</f>
        <v>0</v>
      </c>
      <c r="DA55" s="28">
        <f>IF(DA54=0,0,DA54*MAX(0,(INDEX(c_CAMy,1,DA$7)-INDEX(c_CAMy,1,INDEX('Lease Cycles'!$GC$10:$GI$10,1,DA44)+1))*(1+'Lease Cycles'!$AK$10)+(INDEX(c_TAXy,1,DA$7)-INDEX(c_TAXy,1,INDEX('Lease Cycles'!$GC$10:$GI$10,1,DA44)+1))+(INDEX(c_INSy,1,DA$7)-INDEX(c_INSy,1,INDEX('Lease Cycles'!$GC$10:$GI$10,1,DA44)+1)))/12)</f>
        <v>0</v>
      </c>
      <c r="DB55" s="28">
        <f>IF(DB54=0,0,DB54*MAX(0,(INDEX(c_CAMy,1,DB$7)-INDEX(c_CAMy,1,INDEX('Lease Cycles'!$GC$10:$GI$10,1,DB44)+1))*(1+'Lease Cycles'!$AK$10)+(INDEX(c_TAXy,1,DB$7)-INDEX(c_TAXy,1,INDEX('Lease Cycles'!$GC$10:$GI$10,1,DB44)+1))+(INDEX(c_INSy,1,DB$7)-INDEX(c_INSy,1,INDEX('Lease Cycles'!$GC$10:$GI$10,1,DB44)+1)))/12)</f>
        <v>0</v>
      </c>
      <c r="DC55" s="28">
        <f>IF(DC54=0,0,DC54*MAX(0,(INDEX(c_CAMy,1,DC$7)-INDEX(c_CAMy,1,INDEX('Lease Cycles'!$GC$10:$GI$10,1,DC44)+1))*(1+'Lease Cycles'!$AK$10)+(INDEX(c_TAXy,1,DC$7)-INDEX(c_TAXy,1,INDEX('Lease Cycles'!$GC$10:$GI$10,1,DC44)+1))+(INDEX(c_INSy,1,DC$7)-INDEX(c_INSy,1,INDEX('Lease Cycles'!$GC$10:$GI$10,1,DC44)+1)))/12)</f>
        <v>0</v>
      </c>
      <c r="DD55" s="28">
        <f>IF(DD54=0,0,DD54*MAX(0,(INDEX(c_CAMy,1,DD$7)-INDEX(c_CAMy,1,INDEX('Lease Cycles'!$GC$10:$GI$10,1,DD44)+1))*(1+'Lease Cycles'!$AK$10)+(INDEX(c_TAXy,1,DD$7)-INDEX(c_TAXy,1,INDEX('Lease Cycles'!$GC$10:$GI$10,1,DD44)+1))+(INDEX(c_INSy,1,DD$7)-INDEX(c_INSy,1,INDEX('Lease Cycles'!$GC$10:$GI$10,1,DD44)+1)))/12)</f>
        <v>0</v>
      </c>
      <c r="DE55" s="28">
        <f>IF(DE54=0,0,DE54*MAX(0,(INDEX(c_CAMy,1,DE$7)-INDEX(c_CAMy,1,INDEX('Lease Cycles'!$GC$10:$GI$10,1,DE44)+1))*(1+'Lease Cycles'!$AK$10)+(INDEX(c_TAXy,1,DE$7)-INDEX(c_TAXy,1,INDEX('Lease Cycles'!$GC$10:$GI$10,1,DE44)+1))+(INDEX(c_INSy,1,DE$7)-INDEX(c_INSy,1,INDEX('Lease Cycles'!$GC$10:$GI$10,1,DE44)+1)))/12)</f>
        <v>0</v>
      </c>
      <c r="DF55" s="28">
        <f>IF(DF54=0,0,DF54*MAX(0,(INDEX(c_CAMy,1,DF$7)-INDEX(c_CAMy,1,INDEX('Lease Cycles'!$GC$10:$GI$10,1,DF44)+1))*(1+'Lease Cycles'!$AK$10)+(INDEX(c_TAXy,1,DF$7)-INDEX(c_TAXy,1,INDEX('Lease Cycles'!$GC$10:$GI$10,1,DF44)+1))+(INDEX(c_INSy,1,DF$7)-INDEX(c_INSy,1,INDEX('Lease Cycles'!$GC$10:$GI$10,1,DF44)+1)))/12)</f>
        <v>0</v>
      </c>
      <c r="DG55" s="28">
        <f>IF(DG54=0,0,DG54*MAX(0,(INDEX(c_CAMy,1,DG$7)-INDEX(c_CAMy,1,INDEX('Lease Cycles'!$GC$10:$GI$10,1,DG44)+1))*(1+'Lease Cycles'!$AK$10)+(INDEX(c_TAXy,1,DG$7)-INDEX(c_TAXy,1,INDEX('Lease Cycles'!$GC$10:$GI$10,1,DG44)+1))+(INDEX(c_INSy,1,DG$7)-INDEX(c_INSy,1,INDEX('Lease Cycles'!$GC$10:$GI$10,1,DG44)+1)))/12)</f>
        <v>0</v>
      </c>
      <c r="DH55" s="28">
        <f>IF(DH54=0,0,DH54*MAX(0,(INDEX(c_CAMy,1,DH$7)-INDEX(c_CAMy,1,INDEX('Lease Cycles'!$GC$10:$GI$10,1,DH44)+1))*(1+'Lease Cycles'!$AK$10)+(INDEX(c_TAXy,1,DH$7)-INDEX(c_TAXy,1,INDEX('Lease Cycles'!$GC$10:$GI$10,1,DH44)+1))+(INDEX(c_INSy,1,DH$7)-INDEX(c_INSy,1,INDEX('Lease Cycles'!$GC$10:$GI$10,1,DH44)+1)))/12)</f>
        <v>0</v>
      </c>
      <c r="DI55" s="28">
        <f>IF(DI54=0,0,DI54*MAX(0,(INDEX(c_CAMy,1,DI$7)-INDEX(c_CAMy,1,INDEX('Lease Cycles'!$GC$10:$GI$10,1,DI44)+1))*(1+'Lease Cycles'!$AK$10)+(INDEX(c_TAXy,1,DI$7)-INDEX(c_TAXy,1,INDEX('Lease Cycles'!$GC$10:$GI$10,1,DI44)+1))+(INDEX(c_INSy,1,DI$7)-INDEX(c_INSy,1,INDEX('Lease Cycles'!$GC$10:$GI$10,1,DI44)+1)))/12)</f>
        <v>0</v>
      </c>
      <c r="DJ55" s="28">
        <f>IF(DJ54=0,0,DJ54*MAX(0,(INDEX(c_CAMy,1,DJ$7)-INDEX(c_CAMy,1,INDEX('Lease Cycles'!$GC$10:$GI$10,1,DJ44)+1))*(1+'Lease Cycles'!$AK$10)+(INDEX(c_TAXy,1,DJ$7)-INDEX(c_TAXy,1,INDEX('Lease Cycles'!$GC$10:$GI$10,1,DJ44)+1))+(INDEX(c_INSy,1,DJ$7)-INDEX(c_INSy,1,INDEX('Lease Cycles'!$GC$10:$GI$10,1,DJ44)+1)))/12)</f>
        <v>0</v>
      </c>
      <c r="DK55" s="28">
        <f>IF(DK54=0,0,DK54*MAX(0,(INDEX(c_CAMy,1,DK$7)-INDEX(c_CAMy,1,INDEX('Lease Cycles'!$GC$10:$GI$10,1,DK44)+1))*(1+'Lease Cycles'!$AK$10)+(INDEX(c_TAXy,1,DK$7)-INDEX(c_TAXy,1,INDEX('Lease Cycles'!$GC$10:$GI$10,1,DK44)+1))+(INDEX(c_INSy,1,DK$7)-INDEX(c_INSy,1,INDEX('Lease Cycles'!$GC$10:$GI$10,1,DK44)+1)))/12)</f>
        <v>0</v>
      </c>
      <c r="DL55" s="28">
        <f>IF(DL54=0,0,DL54*MAX(0,(INDEX(c_CAMy,1,DL$7)-INDEX(c_CAMy,1,INDEX('Lease Cycles'!$GC$10:$GI$10,1,DL44)+1))*(1+'Lease Cycles'!$AK$10)+(INDEX(c_TAXy,1,DL$7)-INDEX(c_TAXy,1,INDEX('Lease Cycles'!$GC$10:$GI$10,1,DL44)+1))+(INDEX(c_INSy,1,DL$7)-INDEX(c_INSy,1,INDEX('Lease Cycles'!$GC$10:$GI$10,1,DL44)+1)))/12)</f>
        <v>0</v>
      </c>
      <c r="DM55" s="28">
        <f>IF(DM54=0,0,DM54*MAX(0,(INDEX(c_CAMy,1,DM$7)-INDEX(c_CAMy,1,INDEX('Lease Cycles'!$GC$10:$GI$10,1,DM44)+1))*(1+'Lease Cycles'!$AK$10)+(INDEX(c_TAXy,1,DM$7)-INDEX(c_TAXy,1,INDEX('Lease Cycles'!$GC$10:$GI$10,1,DM44)+1))+(INDEX(c_INSy,1,DM$7)-INDEX(c_INSy,1,INDEX('Lease Cycles'!$GC$10:$GI$10,1,DM44)+1)))/12)</f>
        <v>0</v>
      </c>
      <c r="DN55" s="28">
        <f>IF(DN54=0,0,DN54*MAX(0,(INDEX(c_CAMy,1,DN$7)-INDEX(c_CAMy,1,INDEX('Lease Cycles'!$GC$10:$GI$10,1,DN44)+1))*(1+'Lease Cycles'!$AK$10)+(INDEX(c_TAXy,1,DN$7)-INDEX(c_TAXy,1,INDEX('Lease Cycles'!$GC$10:$GI$10,1,DN44)+1))+(INDEX(c_INSy,1,DN$7)-INDEX(c_INSy,1,INDEX('Lease Cycles'!$GC$10:$GI$10,1,DN44)+1)))/12)</f>
        <v>0</v>
      </c>
      <c r="DO55" s="28">
        <f>IF(DO54=0,0,DO54*MAX(0,(INDEX(c_CAMy,1,DO$7)-INDEX(c_CAMy,1,INDEX('Lease Cycles'!$GC$10:$GI$10,1,DO44)+1))*(1+'Lease Cycles'!$AK$10)+(INDEX(c_TAXy,1,DO$7)-INDEX(c_TAXy,1,INDEX('Lease Cycles'!$GC$10:$GI$10,1,DO44)+1))+(INDEX(c_INSy,1,DO$7)-INDEX(c_INSy,1,INDEX('Lease Cycles'!$GC$10:$GI$10,1,DO44)+1)))/12)</f>
        <v>0</v>
      </c>
      <c r="DP55" s="28">
        <f>IF(DP54=0,0,DP54*MAX(0,(INDEX(c_CAMy,1,DP$7)-INDEX(c_CAMy,1,INDEX('Lease Cycles'!$GC$10:$GI$10,1,DP44)+1))*(1+'Lease Cycles'!$AK$10)+(INDEX(c_TAXy,1,DP$7)-INDEX(c_TAXy,1,INDEX('Lease Cycles'!$GC$10:$GI$10,1,DP44)+1))+(INDEX(c_INSy,1,DP$7)-INDEX(c_INSy,1,INDEX('Lease Cycles'!$GC$10:$GI$10,1,DP44)+1)))/12)</f>
        <v>0</v>
      </c>
      <c r="DQ55" s="28">
        <f>IF(DQ54=0,0,DQ54*MAX(0,(INDEX(c_CAMy,1,DQ$7)-INDEX(c_CAMy,1,INDEX('Lease Cycles'!$GC$10:$GI$10,1,DQ44)+1))*(1+'Lease Cycles'!$AK$10)+(INDEX(c_TAXy,1,DQ$7)-INDEX(c_TAXy,1,INDEX('Lease Cycles'!$GC$10:$GI$10,1,DQ44)+1))+(INDEX(c_INSy,1,DQ$7)-INDEX(c_INSy,1,INDEX('Lease Cycles'!$GC$10:$GI$10,1,DQ44)+1)))/12)</f>
        <v>0</v>
      </c>
      <c r="DR55" s="28">
        <f>IF(DR54=0,0,DR54*MAX(0,(INDEX(c_CAMy,1,DR$7)-INDEX(c_CAMy,1,INDEX('Lease Cycles'!$GC$10:$GI$10,1,DR44)+1))*(1+'Lease Cycles'!$AK$10)+(INDEX(c_TAXy,1,DR$7)-INDEX(c_TAXy,1,INDEX('Lease Cycles'!$GC$10:$GI$10,1,DR44)+1))+(INDEX(c_INSy,1,DR$7)-INDEX(c_INSy,1,INDEX('Lease Cycles'!$GC$10:$GI$10,1,DR44)+1)))/12)</f>
        <v>0</v>
      </c>
      <c r="DS55" s="28">
        <f>IF(DS54=0,0,DS54*MAX(0,(INDEX(c_CAMy,1,DS$7)-INDEX(c_CAMy,1,INDEX('Lease Cycles'!$GC$10:$GI$10,1,DS44)+1))*(1+'Lease Cycles'!$AK$10)+(INDEX(c_TAXy,1,DS$7)-INDEX(c_TAXy,1,INDEX('Lease Cycles'!$GC$10:$GI$10,1,DS44)+1))+(INDEX(c_INSy,1,DS$7)-INDEX(c_INSy,1,INDEX('Lease Cycles'!$GC$10:$GI$10,1,DS44)+1)))/12)</f>
        <v>0</v>
      </c>
      <c r="DT55" s="28">
        <f>IF(DT54=0,0,DT54*MAX(0,(INDEX(c_CAMy,1,DT$7)-INDEX(c_CAMy,1,INDEX('Lease Cycles'!$GC$10:$GI$10,1,DT44)+1))*(1+'Lease Cycles'!$AK$10)+(INDEX(c_TAXy,1,DT$7)-INDEX(c_TAXy,1,INDEX('Lease Cycles'!$GC$10:$GI$10,1,DT44)+1))+(INDEX(c_INSy,1,DT$7)-INDEX(c_INSy,1,INDEX('Lease Cycles'!$GC$10:$GI$10,1,DT44)+1)))/12)</f>
        <v>0</v>
      </c>
      <c r="DU55" s="28">
        <f>IF(DU54=0,0,DU54*MAX(0,(INDEX(c_CAMy,1,DU$7)-INDEX(c_CAMy,1,INDEX('Lease Cycles'!$GC$10:$GI$10,1,DU44)+1))*(1+'Lease Cycles'!$AK$10)+(INDEX(c_TAXy,1,DU$7)-INDEX(c_TAXy,1,INDEX('Lease Cycles'!$GC$10:$GI$10,1,DU44)+1))+(INDEX(c_INSy,1,DU$7)-INDEX(c_INSy,1,INDEX('Lease Cycles'!$GC$10:$GI$10,1,DU44)+1)))/12)</f>
        <v>0</v>
      </c>
      <c r="DV55" s="28">
        <f>IF(DV54=0,0,DV54*MAX(0,(INDEX(c_CAMy,1,DV$7)-INDEX(c_CAMy,1,INDEX('Lease Cycles'!$GC$10:$GI$10,1,DV44)+1))*(1+'Lease Cycles'!$AK$10)+(INDEX(c_TAXy,1,DV$7)-INDEX(c_TAXy,1,INDEX('Lease Cycles'!$GC$10:$GI$10,1,DV44)+1))+(INDEX(c_INSy,1,DV$7)-INDEX(c_INSy,1,INDEX('Lease Cycles'!$GC$10:$GI$10,1,DV44)+1)))/12)</f>
        <v>0</v>
      </c>
      <c r="DW55" s="28">
        <f>IF(DW54=0,0,DW54*MAX(0,(INDEX(c_CAMy,1,DW$7)-INDEX(c_CAMy,1,INDEX('Lease Cycles'!$GC$10:$GI$10,1,DW44)+1))*(1+'Lease Cycles'!$AK$10)+(INDEX(c_TAXy,1,DW$7)-INDEX(c_TAXy,1,INDEX('Lease Cycles'!$GC$10:$GI$10,1,DW44)+1))+(INDEX(c_INSy,1,DW$7)-INDEX(c_INSy,1,INDEX('Lease Cycles'!$GC$10:$GI$10,1,DW44)+1)))/12)</f>
        <v>0</v>
      </c>
      <c r="DX55" s="28">
        <f>IF(DX54=0,0,DX54*MAX(0,(INDEX(c_CAMy,1,DX$7)-INDEX(c_CAMy,1,INDEX('Lease Cycles'!$GC$10:$GI$10,1,DX44)+1))*(1+'Lease Cycles'!$AK$10)+(INDEX(c_TAXy,1,DX$7)-INDEX(c_TAXy,1,INDEX('Lease Cycles'!$GC$10:$GI$10,1,DX44)+1))+(INDEX(c_INSy,1,DX$7)-INDEX(c_INSy,1,INDEX('Lease Cycles'!$GC$10:$GI$10,1,DX44)+1)))/12)</f>
        <v>0</v>
      </c>
      <c r="DY55" s="28">
        <f>IF(DY54=0,0,DY54*MAX(0,(INDEX(c_CAMy,1,DY$7)-INDEX(c_CAMy,1,INDEX('Lease Cycles'!$GC$10:$GI$10,1,DY44)+1))*(1+'Lease Cycles'!$AK$10)+(INDEX(c_TAXy,1,DY$7)-INDEX(c_TAXy,1,INDEX('Lease Cycles'!$GC$10:$GI$10,1,DY44)+1))+(INDEX(c_INSy,1,DY$7)-INDEX(c_INSy,1,INDEX('Lease Cycles'!$GC$10:$GI$10,1,DY44)+1)))/12)</f>
        <v>0</v>
      </c>
      <c r="DZ55" s="28">
        <f>IF(DZ54=0,0,DZ54*MAX(0,(INDEX(c_CAMy,1,DZ$7)-INDEX(c_CAMy,1,INDEX('Lease Cycles'!$GC$10:$GI$10,1,DZ44)+1))*(1+'Lease Cycles'!$AK$10)+(INDEX(c_TAXy,1,DZ$7)-INDEX(c_TAXy,1,INDEX('Lease Cycles'!$GC$10:$GI$10,1,DZ44)+1))+(INDEX(c_INSy,1,DZ$7)-INDEX(c_INSy,1,INDEX('Lease Cycles'!$GC$10:$GI$10,1,DZ44)+1)))/12)</f>
        <v>0</v>
      </c>
      <c r="EA55" s="28">
        <f>IF(EA54=0,0,EA54*MAX(0,(INDEX(c_CAMy,1,EA$7)-INDEX(c_CAMy,1,INDEX('Lease Cycles'!$GC$10:$GI$10,1,EA44)+1))*(1+'Lease Cycles'!$AK$10)+(INDEX(c_TAXy,1,EA$7)-INDEX(c_TAXy,1,INDEX('Lease Cycles'!$GC$10:$GI$10,1,EA44)+1))+(INDEX(c_INSy,1,EA$7)-INDEX(c_INSy,1,INDEX('Lease Cycles'!$GC$10:$GI$10,1,EA44)+1)))/12)</f>
        <v>0</v>
      </c>
      <c r="EB55" s="28">
        <f>IF(EB54=0,0,EB54*MAX(0,(INDEX(c_CAMy,1,EB$7)-INDEX(c_CAMy,1,INDEX('Lease Cycles'!$GC$10:$GI$10,1,EB44)+1))*(1+'Lease Cycles'!$AK$10)+(INDEX(c_TAXy,1,EB$7)-INDEX(c_TAXy,1,INDEX('Lease Cycles'!$GC$10:$GI$10,1,EB44)+1))+(INDEX(c_INSy,1,EB$7)-INDEX(c_INSy,1,INDEX('Lease Cycles'!$GC$10:$GI$10,1,EB44)+1)))/12)</f>
        <v>0</v>
      </c>
      <c r="EC55" s="28">
        <f>IF(EC54=0,0,EC54*MAX(0,(INDEX(c_CAMy,1,EC$7)-INDEX(c_CAMy,1,INDEX('Lease Cycles'!$GC$10:$GI$10,1,EC44)+1))*(1+'Lease Cycles'!$AK$10)+(INDEX(c_TAXy,1,EC$7)-INDEX(c_TAXy,1,INDEX('Lease Cycles'!$GC$10:$GI$10,1,EC44)+1))+(INDEX(c_INSy,1,EC$7)-INDEX(c_INSy,1,INDEX('Lease Cycles'!$GC$10:$GI$10,1,EC44)+1)))/12)</f>
        <v>0</v>
      </c>
      <c r="ED55" s="28">
        <f>IF(ED54=0,0,ED54*MAX(0,(INDEX(c_CAMy,1,ED$7)-INDEX(c_CAMy,1,INDEX('Lease Cycles'!$GC$10:$GI$10,1,ED44)+1))*(1+'Lease Cycles'!$AK$10)+(INDEX(c_TAXy,1,ED$7)-INDEX(c_TAXy,1,INDEX('Lease Cycles'!$GC$10:$GI$10,1,ED44)+1))+(INDEX(c_INSy,1,ED$7)-INDEX(c_INSy,1,INDEX('Lease Cycles'!$GC$10:$GI$10,1,ED44)+1)))/12)</f>
        <v>0</v>
      </c>
      <c r="EE55" s="28">
        <f>IF(EE54=0,0,EE54*MAX(0,(INDEX(c_CAMy,1,EE$7)-INDEX(c_CAMy,1,INDEX('Lease Cycles'!$GC$10:$GI$10,1,EE44)+1))*(1+'Lease Cycles'!$AK$10)+(INDEX(c_TAXy,1,EE$7)-INDEX(c_TAXy,1,INDEX('Lease Cycles'!$GC$10:$GI$10,1,EE44)+1))+(INDEX(c_INSy,1,EE$7)-INDEX(c_INSy,1,INDEX('Lease Cycles'!$GC$10:$GI$10,1,EE44)+1)))/12)</f>
        <v>0</v>
      </c>
      <c r="EF55" s="28">
        <f>IF(EF54=0,0,EF54*MAX(0,(INDEX(c_CAMy,1,EF$7)-INDEX(c_CAMy,1,INDEX('Lease Cycles'!$GC$10:$GI$10,1,EF44)+1))*(1+'Lease Cycles'!$AK$10)+(INDEX(c_TAXy,1,EF$7)-INDEX(c_TAXy,1,INDEX('Lease Cycles'!$GC$10:$GI$10,1,EF44)+1))+(INDEX(c_INSy,1,EF$7)-INDEX(c_INSy,1,INDEX('Lease Cycles'!$GC$10:$GI$10,1,EF44)+1)))/12)</f>
        <v>0</v>
      </c>
      <c r="EG55" s="28">
        <f>IF(EG54=0,0,EG54*MAX(0,(INDEX(c_CAMy,1,EG$7)-INDEX(c_CAMy,1,INDEX('Lease Cycles'!$GC$10:$GI$10,1,EG44)+1))*(1+'Lease Cycles'!$AK$10)+(INDEX(c_TAXy,1,EG$7)-INDEX(c_TAXy,1,INDEX('Lease Cycles'!$GC$10:$GI$10,1,EG44)+1))+(INDEX(c_INSy,1,EG$7)-INDEX(c_INSy,1,INDEX('Lease Cycles'!$GC$10:$GI$10,1,EG44)+1)))/12)</f>
        <v>0</v>
      </c>
      <c r="EH55" s="28">
        <f>IF(EH54=0,0,EH54*MAX(0,(INDEX(c_CAMy,1,EH$7)-INDEX(c_CAMy,1,INDEX('Lease Cycles'!$GC$10:$GI$10,1,EH44)+1))*(1+'Lease Cycles'!$AK$10)+(INDEX(c_TAXy,1,EH$7)-INDEX(c_TAXy,1,INDEX('Lease Cycles'!$GC$10:$GI$10,1,EH44)+1))+(INDEX(c_INSy,1,EH$7)-INDEX(c_INSy,1,INDEX('Lease Cycles'!$GC$10:$GI$10,1,EH44)+1)))/12)</f>
        <v>0</v>
      </c>
      <c r="EI55" s="28">
        <f>IF(EI54=0,0,EI54*MAX(0,(INDEX(c_CAMy,1,EI$7)-INDEX(c_CAMy,1,INDEX('Lease Cycles'!$GC$10:$GI$10,1,EI44)+1))*(1+'Lease Cycles'!$AK$10)+(INDEX(c_TAXy,1,EI$7)-INDEX(c_TAXy,1,INDEX('Lease Cycles'!$GC$10:$GI$10,1,EI44)+1))+(INDEX(c_INSy,1,EI$7)-INDEX(c_INSy,1,INDEX('Lease Cycles'!$GC$10:$GI$10,1,EI44)+1)))/12)</f>
        <v>0</v>
      </c>
      <c r="EJ55" s="28">
        <f>IF(EJ54=0,0,EJ54*MAX(0,(INDEX(c_CAMy,1,EJ$7)-INDEX(c_CAMy,1,INDEX('Lease Cycles'!$GC$10:$GI$10,1,EJ44)+1))*(1+'Lease Cycles'!$AK$10)+(INDEX(c_TAXy,1,EJ$7)-INDEX(c_TAXy,1,INDEX('Lease Cycles'!$GC$10:$GI$10,1,EJ44)+1))+(INDEX(c_INSy,1,EJ$7)-INDEX(c_INSy,1,INDEX('Lease Cycles'!$GC$10:$GI$10,1,EJ44)+1)))/12)</f>
        <v>0</v>
      </c>
      <c r="EK55" s="28">
        <f>IF(EK54=0,0,EK54*MAX(0,(INDEX(c_CAMy,1,EK$7)-INDEX(c_CAMy,1,INDEX('Lease Cycles'!$GC$10:$GI$10,1,EK44)+1))*(1+'Lease Cycles'!$AK$10)+(INDEX(c_TAXy,1,EK$7)-INDEX(c_TAXy,1,INDEX('Lease Cycles'!$GC$10:$GI$10,1,EK44)+1))+(INDEX(c_INSy,1,EK$7)-INDEX(c_INSy,1,INDEX('Lease Cycles'!$GC$10:$GI$10,1,EK44)+1)))/12)</f>
        <v>0</v>
      </c>
      <c r="EL55" s="28">
        <f>IF(EL54=0,0,EL54*MAX(0,(INDEX(c_CAMy,1,EL$7)-INDEX(c_CAMy,1,INDEX('Lease Cycles'!$GC$10:$GI$10,1,EL44)+1))*(1+'Lease Cycles'!$AK$10)+(INDEX(c_TAXy,1,EL$7)-INDEX(c_TAXy,1,INDEX('Lease Cycles'!$GC$10:$GI$10,1,EL44)+1))+(INDEX(c_INSy,1,EL$7)-INDEX(c_INSy,1,INDEX('Lease Cycles'!$GC$10:$GI$10,1,EL44)+1)))/12)</f>
        <v>0</v>
      </c>
      <c r="EM55" s="28">
        <f>IF(EM54=0,0,EM54*MAX(0,(INDEX(c_CAMy,1,EM$7)-INDEX(c_CAMy,1,INDEX('Lease Cycles'!$GC$10:$GI$10,1,EM44)+1))*(1+'Lease Cycles'!$AK$10)+(INDEX(c_TAXy,1,EM$7)-INDEX(c_TAXy,1,INDEX('Lease Cycles'!$GC$10:$GI$10,1,EM44)+1))+(INDEX(c_INSy,1,EM$7)-INDEX(c_INSy,1,INDEX('Lease Cycles'!$GC$10:$GI$10,1,EM44)+1)))/12)</f>
        <v>0</v>
      </c>
      <c r="EN55" s="28">
        <f>IF(EN54=0,0,EN54*MAX(0,(INDEX(c_CAMy,1,EN$7)-INDEX(c_CAMy,1,INDEX('Lease Cycles'!$GC$10:$GI$10,1,EN44)+1))*(1+'Lease Cycles'!$AK$10)+(INDEX(c_TAXy,1,EN$7)-INDEX(c_TAXy,1,INDEX('Lease Cycles'!$GC$10:$GI$10,1,EN44)+1))+(INDEX(c_INSy,1,EN$7)-INDEX(c_INSy,1,INDEX('Lease Cycles'!$GC$10:$GI$10,1,EN44)+1)))/12)</f>
        <v>0</v>
      </c>
      <c r="EO55" s="28">
        <f>IF(EO54=0,0,EO54*MAX(0,(INDEX(c_CAMy,1,EO$7)-INDEX(c_CAMy,1,INDEX('Lease Cycles'!$GC$10:$GI$10,1,EO44)+1))*(1+'Lease Cycles'!$AK$10)+(INDEX(c_TAXy,1,EO$7)-INDEX(c_TAXy,1,INDEX('Lease Cycles'!$GC$10:$GI$10,1,EO44)+1))+(INDEX(c_INSy,1,EO$7)-INDEX(c_INSy,1,INDEX('Lease Cycles'!$GC$10:$GI$10,1,EO44)+1)))/12)</f>
        <v>0</v>
      </c>
      <c r="EP55" s="28">
        <f>IF(EP54=0,0,EP54*MAX(0,(INDEX(c_CAMy,1,EP$7)-INDEX(c_CAMy,1,INDEX('Lease Cycles'!$GC$10:$GI$10,1,EP44)+1))*(1+'Lease Cycles'!$AK$10)+(INDEX(c_TAXy,1,EP$7)-INDEX(c_TAXy,1,INDEX('Lease Cycles'!$GC$10:$GI$10,1,EP44)+1))+(INDEX(c_INSy,1,EP$7)-INDEX(c_INSy,1,INDEX('Lease Cycles'!$GC$10:$GI$10,1,EP44)+1)))/12)</f>
        <v>0</v>
      </c>
      <c r="EQ55" s="28">
        <f>IF(EQ54=0,0,EQ54*MAX(0,(INDEX(c_CAMy,1,EQ$7)-INDEX(c_CAMy,1,INDEX('Lease Cycles'!$GC$10:$GI$10,1,EQ44)+1))*(1+'Lease Cycles'!$AK$10)+(INDEX(c_TAXy,1,EQ$7)-INDEX(c_TAXy,1,INDEX('Lease Cycles'!$GC$10:$GI$10,1,EQ44)+1))+(INDEX(c_INSy,1,EQ$7)-INDEX(c_INSy,1,INDEX('Lease Cycles'!$GC$10:$GI$10,1,EQ44)+1)))/12)</f>
        <v>0</v>
      </c>
      <c r="ER55" s="28">
        <f>IF(ER54=0,0,ER54*MAX(0,(INDEX(c_CAMy,1,ER$7)-INDEX(c_CAMy,1,INDEX('Lease Cycles'!$GC$10:$GI$10,1,ER44)+1))*(1+'Lease Cycles'!$AK$10)+(INDEX(c_TAXy,1,ER$7)-INDEX(c_TAXy,1,INDEX('Lease Cycles'!$GC$10:$GI$10,1,ER44)+1))+(INDEX(c_INSy,1,ER$7)-INDEX(c_INSy,1,INDEX('Lease Cycles'!$GC$10:$GI$10,1,ER44)+1)))/12)</f>
        <v>0</v>
      </c>
      <c r="ES55" s="28">
        <f>IF(ES54=0,0,ES54*MAX(0,(INDEX(c_CAMy,1,ES$7)-INDEX(c_CAMy,1,INDEX('Lease Cycles'!$GC$10:$GI$10,1,ES44)+1))*(1+'Lease Cycles'!$AK$10)+(INDEX(c_TAXy,1,ES$7)-INDEX(c_TAXy,1,INDEX('Lease Cycles'!$GC$10:$GI$10,1,ES44)+1))+(INDEX(c_INSy,1,ES$7)-INDEX(c_INSy,1,INDEX('Lease Cycles'!$GC$10:$GI$10,1,ES44)+1)))/12)</f>
        <v>0</v>
      </c>
      <c r="ET55" s="28">
        <f>IF(ET54=0,0,ET54*MAX(0,(INDEX(c_CAMy,1,ET$7)-INDEX(c_CAMy,1,INDEX('Lease Cycles'!$GC$10:$GI$10,1,ET44)+1))*(1+'Lease Cycles'!$AK$10)+(INDEX(c_TAXy,1,ET$7)-INDEX(c_TAXy,1,INDEX('Lease Cycles'!$GC$10:$GI$10,1,ET44)+1))+(INDEX(c_INSy,1,ET$7)-INDEX(c_INSy,1,INDEX('Lease Cycles'!$GC$10:$GI$10,1,ET44)+1)))/12)</f>
        <v>0</v>
      </c>
    </row>
    <row r="56">
      <c r="A56" s="103">
        <v>3</v>
      </c>
      <c r="B56" s="23" t="str">
        <f>IF('Lease Cycles'!$B$10="","(empty slot)",'Lease Cycles'!$B$10)</f>
        <v>Sunfield Fitness</v>
      </c>
      <c r="C56" s="23" t="s">
        <v>530</v>
      </c>
      <c r="D56" s="104" t="s">
        <v>531</v>
      </c>
      <c r="E56" s="25">
        <f>'Lease Cycles'!$AL$10</f>
        <v>0</v>
      </c>
      <c r="G56" s="28">
        <f>SUM(S56:AD56)</f>
        <v>0</v>
      </c>
      <c r="H56" s="28">
        <f>SUM(AE56:AP56)</f>
        <v>0</v>
      </c>
      <c r="I56" s="28">
        <f>SUM(AQ56:BB56)</f>
        <v>0</v>
      </c>
      <c r="J56" s="28">
        <f>SUM(BC56:BN56)</f>
        <v>0</v>
      </c>
      <c r="K56" s="28">
        <f>SUM(BO56:BZ56)</f>
        <v>0</v>
      </c>
      <c r="L56" s="28">
        <f>SUM(CA56:CL56)</f>
        <v>42466.72444455837</v>
      </c>
      <c r="M56" s="28">
        <f>SUM(CM56:CX56)</f>
        <v>0</v>
      </c>
      <c r="N56" s="28">
        <f>SUM(CY56:DJ56)</f>
        <v>0</v>
      </c>
      <c r="O56" s="28">
        <f>SUM(DK56:DV56)</f>
        <v>0</v>
      </c>
      <c r="P56" s="28">
        <f>SUM(DW56:EH56)</f>
        <v>0</v>
      </c>
      <c r="Q56" s="28">
        <f>SUM(EI56:ET56)</f>
        <v>0</v>
      </c>
      <c r="S56" s="28">
        <f>SUMIF('Lease Cycles'!$HL$10:$HR$10,S$6,'Lease Cycles'!$HS$10:$HY$10)</f>
        <v>0</v>
      </c>
      <c r="T56" s="28">
        <f>SUMIF('Lease Cycles'!$HL$10:$HR$10,T$6,'Lease Cycles'!$HS$10:$HY$10)</f>
        <v>0</v>
      </c>
      <c r="U56" s="28">
        <f>SUMIF('Lease Cycles'!$HL$10:$HR$10,U$6,'Lease Cycles'!$HS$10:$HY$10)</f>
        <v>0</v>
      </c>
      <c r="V56" s="28">
        <f>SUMIF('Lease Cycles'!$HL$10:$HR$10,V$6,'Lease Cycles'!$HS$10:$HY$10)</f>
        <v>0</v>
      </c>
      <c r="W56" s="28">
        <f>SUMIF('Lease Cycles'!$HL$10:$HR$10,W$6,'Lease Cycles'!$HS$10:$HY$10)</f>
        <v>0</v>
      </c>
      <c r="X56" s="28">
        <f>SUMIF('Lease Cycles'!$HL$10:$HR$10,X$6,'Lease Cycles'!$HS$10:$HY$10)</f>
        <v>0</v>
      </c>
      <c r="Y56" s="28">
        <f>SUMIF('Lease Cycles'!$HL$10:$HR$10,Y$6,'Lease Cycles'!$HS$10:$HY$10)</f>
        <v>0</v>
      </c>
      <c r="Z56" s="28">
        <f>SUMIF('Lease Cycles'!$HL$10:$HR$10,Z$6,'Lease Cycles'!$HS$10:$HY$10)</f>
        <v>0</v>
      </c>
      <c r="AA56" s="28">
        <f>SUMIF('Lease Cycles'!$HL$10:$HR$10,AA$6,'Lease Cycles'!$HS$10:$HY$10)</f>
        <v>0</v>
      </c>
      <c r="AB56" s="28">
        <f>SUMIF('Lease Cycles'!$HL$10:$HR$10,AB$6,'Lease Cycles'!$HS$10:$HY$10)</f>
        <v>0</v>
      </c>
      <c r="AC56" s="28">
        <f>SUMIF('Lease Cycles'!$HL$10:$HR$10,AC$6,'Lease Cycles'!$HS$10:$HY$10)</f>
        <v>0</v>
      </c>
      <c r="AD56" s="28">
        <f>SUMIF('Lease Cycles'!$HL$10:$HR$10,AD$6,'Lease Cycles'!$HS$10:$HY$10)</f>
        <v>0</v>
      </c>
      <c r="AE56" s="28">
        <f>SUMIF('Lease Cycles'!$HL$10:$HR$10,AE$6,'Lease Cycles'!$HS$10:$HY$10)</f>
        <v>0</v>
      </c>
      <c r="AF56" s="28">
        <f>SUMIF('Lease Cycles'!$HL$10:$HR$10,AF$6,'Lease Cycles'!$HS$10:$HY$10)</f>
        <v>0</v>
      </c>
      <c r="AG56" s="28">
        <f>SUMIF('Lease Cycles'!$HL$10:$HR$10,AG$6,'Lease Cycles'!$HS$10:$HY$10)</f>
        <v>0</v>
      </c>
      <c r="AH56" s="28">
        <f>SUMIF('Lease Cycles'!$HL$10:$HR$10,AH$6,'Lease Cycles'!$HS$10:$HY$10)</f>
        <v>0</v>
      </c>
      <c r="AI56" s="28">
        <f>SUMIF('Lease Cycles'!$HL$10:$HR$10,AI$6,'Lease Cycles'!$HS$10:$HY$10)</f>
        <v>0</v>
      </c>
      <c r="AJ56" s="28">
        <f>SUMIF('Lease Cycles'!$HL$10:$HR$10,AJ$6,'Lease Cycles'!$HS$10:$HY$10)</f>
        <v>0</v>
      </c>
      <c r="AK56" s="28">
        <f>SUMIF('Lease Cycles'!$HL$10:$HR$10,AK$6,'Lease Cycles'!$HS$10:$HY$10)</f>
        <v>0</v>
      </c>
      <c r="AL56" s="28">
        <f>SUMIF('Lease Cycles'!$HL$10:$HR$10,AL$6,'Lease Cycles'!$HS$10:$HY$10)</f>
        <v>0</v>
      </c>
      <c r="AM56" s="28">
        <f>SUMIF('Lease Cycles'!$HL$10:$HR$10,AM$6,'Lease Cycles'!$HS$10:$HY$10)</f>
        <v>0</v>
      </c>
      <c r="AN56" s="28">
        <f>SUMIF('Lease Cycles'!$HL$10:$HR$10,AN$6,'Lease Cycles'!$HS$10:$HY$10)</f>
        <v>0</v>
      </c>
      <c r="AO56" s="28">
        <f>SUMIF('Lease Cycles'!$HL$10:$HR$10,AO$6,'Lease Cycles'!$HS$10:$HY$10)</f>
        <v>0</v>
      </c>
      <c r="AP56" s="28">
        <f>SUMIF('Lease Cycles'!$HL$10:$HR$10,AP$6,'Lease Cycles'!$HS$10:$HY$10)</f>
        <v>0</v>
      </c>
      <c r="AQ56" s="28">
        <f>SUMIF('Lease Cycles'!$HL$10:$HR$10,AQ$6,'Lease Cycles'!$HS$10:$HY$10)</f>
        <v>0</v>
      </c>
      <c r="AR56" s="28">
        <f>SUMIF('Lease Cycles'!$HL$10:$HR$10,AR$6,'Lease Cycles'!$HS$10:$HY$10)</f>
        <v>0</v>
      </c>
      <c r="AS56" s="28">
        <f>SUMIF('Lease Cycles'!$HL$10:$HR$10,AS$6,'Lease Cycles'!$HS$10:$HY$10)</f>
        <v>0</v>
      </c>
      <c r="AT56" s="28">
        <f>SUMIF('Lease Cycles'!$HL$10:$HR$10,AT$6,'Lease Cycles'!$HS$10:$HY$10)</f>
        <v>0</v>
      </c>
      <c r="AU56" s="28">
        <f>SUMIF('Lease Cycles'!$HL$10:$HR$10,AU$6,'Lease Cycles'!$HS$10:$HY$10)</f>
        <v>0</v>
      </c>
      <c r="AV56" s="28">
        <f>SUMIF('Lease Cycles'!$HL$10:$HR$10,AV$6,'Lease Cycles'!$HS$10:$HY$10)</f>
        <v>0</v>
      </c>
      <c r="AW56" s="28">
        <f>SUMIF('Lease Cycles'!$HL$10:$HR$10,AW$6,'Lease Cycles'!$HS$10:$HY$10)</f>
        <v>0</v>
      </c>
      <c r="AX56" s="28">
        <f>SUMIF('Lease Cycles'!$HL$10:$HR$10,AX$6,'Lease Cycles'!$HS$10:$HY$10)</f>
        <v>0</v>
      </c>
      <c r="AY56" s="28">
        <f>SUMIF('Lease Cycles'!$HL$10:$HR$10,AY$6,'Lease Cycles'!$HS$10:$HY$10)</f>
        <v>0</v>
      </c>
      <c r="AZ56" s="28">
        <f>SUMIF('Lease Cycles'!$HL$10:$HR$10,AZ$6,'Lease Cycles'!$HS$10:$HY$10)</f>
        <v>0</v>
      </c>
      <c r="BA56" s="28">
        <f>SUMIF('Lease Cycles'!$HL$10:$HR$10,BA$6,'Lease Cycles'!$HS$10:$HY$10)</f>
        <v>0</v>
      </c>
      <c r="BB56" s="28">
        <f>SUMIF('Lease Cycles'!$HL$10:$HR$10,BB$6,'Lease Cycles'!$HS$10:$HY$10)</f>
        <v>0</v>
      </c>
      <c r="BC56" s="28">
        <f>SUMIF('Lease Cycles'!$HL$10:$HR$10,BC$6,'Lease Cycles'!$HS$10:$HY$10)</f>
        <v>0</v>
      </c>
      <c r="BD56" s="28">
        <f>SUMIF('Lease Cycles'!$HL$10:$HR$10,BD$6,'Lease Cycles'!$HS$10:$HY$10)</f>
        <v>0</v>
      </c>
      <c r="BE56" s="28">
        <f>SUMIF('Lease Cycles'!$HL$10:$HR$10,BE$6,'Lease Cycles'!$HS$10:$HY$10)</f>
        <v>0</v>
      </c>
      <c r="BF56" s="28">
        <f>SUMIF('Lease Cycles'!$HL$10:$HR$10,BF$6,'Lease Cycles'!$HS$10:$HY$10)</f>
        <v>0</v>
      </c>
      <c r="BG56" s="28">
        <f>SUMIF('Lease Cycles'!$HL$10:$HR$10,BG$6,'Lease Cycles'!$HS$10:$HY$10)</f>
        <v>0</v>
      </c>
      <c r="BH56" s="28">
        <f>SUMIF('Lease Cycles'!$HL$10:$HR$10,BH$6,'Lease Cycles'!$HS$10:$HY$10)</f>
        <v>0</v>
      </c>
      <c r="BI56" s="28">
        <f>SUMIF('Lease Cycles'!$HL$10:$HR$10,BI$6,'Lease Cycles'!$HS$10:$HY$10)</f>
        <v>0</v>
      </c>
      <c r="BJ56" s="28">
        <f>SUMIF('Lease Cycles'!$HL$10:$HR$10,BJ$6,'Lease Cycles'!$HS$10:$HY$10)</f>
        <v>0</v>
      </c>
      <c r="BK56" s="28">
        <f>SUMIF('Lease Cycles'!$HL$10:$HR$10,BK$6,'Lease Cycles'!$HS$10:$HY$10)</f>
        <v>0</v>
      </c>
      <c r="BL56" s="28">
        <f>SUMIF('Lease Cycles'!$HL$10:$HR$10,BL$6,'Lease Cycles'!$HS$10:$HY$10)</f>
        <v>0</v>
      </c>
      <c r="BM56" s="28">
        <f>SUMIF('Lease Cycles'!$HL$10:$HR$10,BM$6,'Lease Cycles'!$HS$10:$HY$10)</f>
        <v>0</v>
      </c>
      <c r="BN56" s="28">
        <f>SUMIF('Lease Cycles'!$HL$10:$HR$10,BN$6,'Lease Cycles'!$HS$10:$HY$10)</f>
        <v>0</v>
      </c>
      <c r="BO56" s="28">
        <f>SUMIF('Lease Cycles'!$HL$10:$HR$10,BO$6,'Lease Cycles'!$HS$10:$HY$10)</f>
        <v>0</v>
      </c>
      <c r="BP56" s="28">
        <f>SUMIF('Lease Cycles'!$HL$10:$HR$10,BP$6,'Lease Cycles'!$HS$10:$HY$10)</f>
        <v>0</v>
      </c>
      <c r="BQ56" s="28">
        <f>SUMIF('Lease Cycles'!$HL$10:$HR$10,BQ$6,'Lease Cycles'!$HS$10:$HY$10)</f>
        <v>0</v>
      </c>
      <c r="BR56" s="28">
        <f>SUMIF('Lease Cycles'!$HL$10:$HR$10,BR$6,'Lease Cycles'!$HS$10:$HY$10)</f>
        <v>0</v>
      </c>
      <c r="BS56" s="28">
        <f>SUMIF('Lease Cycles'!$HL$10:$HR$10,BS$6,'Lease Cycles'!$HS$10:$HY$10)</f>
        <v>0</v>
      </c>
      <c r="BT56" s="28">
        <f>SUMIF('Lease Cycles'!$HL$10:$HR$10,BT$6,'Lease Cycles'!$HS$10:$HY$10)</f>
        <v>0</v>
      </c>
      <c r="BU56" s="28">
        <f>SUMIF('Lease Cycles'!$HL$10:$HR$10,BU$6,'Lease Cycles'!$HS$10:$HY$10)</f>
        <v>0</v>
      </c>
      <c r="BV56" s="28">
        <f>SUMIF('Lease Cycles'!$HL$10:$HR$10,BV$6,'Lease Cycles'!$HS$10:$HY$10)</f>
        <v>0</v>
      </c>
      <c r="BW56" s="28">
        <f>SUMIF('Lease Cycles'!$HL$10:$HR$10,BW$6,'Lease Cycles'!$HS$10:$HY$10)</f>
        <v>0</v>
      </c>
      <c r="BX56" s="28">
        <f>SUMIF('Lease Cycles'!$HL$10:$HR$10,BX$6,'Lease Cycles'!$HS$10:$HY$10)</f>
        <v>0</v>
      </c>
      <c r="BY56" s="28">
        <f>SUMIF('Lease Cycles'!$HL$10:$HR$10,BY$6,'Lease Cycles'!$HS$10:$HY$10)</f>
        <v>0</v>
      </c>
      <c r="BZ56" s="28">
        <f>SUMIF('Lease Cycles'!$HL$10:$HR$10,BZ$6,'Lease Cycles'!$HS$10:$HY$10)</f>
        <v>0</v>
      </c>
      <c r="CA56" s="28">
        <f>SUMIF('Lease Cycles'!$HL$10:$HR$10,CA$6,'Lease Cycles'!$HS$10:$HY$10)</f>
        <v>0</v>
      </c>
      <c r="CB56" s="28">
        <f>SUMIF('Lease Cycles'!$HL$10:$HR$10,CB$6,'Lease Cycles'!$HS$10:$HY$10)</f>
        <v>42466.72444455837</v>
      </c>
      <c r="CC56" s="28">
        <f>SUMIF('Lease Cycles'!$HL$10:$HR$10,CC$6,'Lease Cycles'!$HS$10:$HY$10)</f>
        <v>0</v>
      </c>
      <c r="CD56" s="28">
        <f>SUMIF('Lease Cycles'!$HL$10:$HR$10,CD$6,'Lease Cycles'!$HS$10:$HY$10)</f>
        <v>0</v>
      </c>
      <c r="CE56" s="28">
        <f>SUMIF('Lease Cycles'!$HL$10:$HR$10,CE$6,'Lease Cycles'!$HS$10:$HY$10)</f>
        <v>0</v>
      </c>
      <c r="CF56" s="28">
        <f>SUMIF('Lease Cycles'!$HL$10:$HR$10,CF$6,'Lease Cycles'!$HS$10:$HY$10)</f>
        <v>0</v>
      </c>
      <c r="CG56" s="28">
        <f>SUMIF('Lease Cycles'!$HL$10:$HR$10,CG$6,'Lease Cycles'!$HS$10:$HY$10)</f>
        <v>0</v>
      </c>
      <c r="CH56" s="28">
        <f>SUMIF('Lease Cycles'!$HL$10:$HR$10,CH$6,'Lease Cycles'!$HS$10:$HY$10)</f>
        <v>0</v>
      </c>
      <c r="CI56" s="28">
        <f>SUMIF('Lease Cycles'!$HL$10:$HR$10,CI$6,'Lease Cycles'!$HS$10:$HY$10)</f>
        <v>0</v>
      </c>
      <c r="CJ56" s="28">
        <f>SUMIF('Lease Cycles'!$HL$10:$HR$10,CJ$6,'Lease Cycles'!$HS$10:$HY$10)</f>
        <v>0</v>
      </c>
      <c r="CK56" s="28">
        <f>SUMIF('Lease Cycles'!$HL$10:$HR$10,CK$6,'Lease Cycles'!$HS$10:$HY$10)</f>
        <v>0</v>
      </c>
      <c r="CL56" s="28">
        <f>SUMIF('Lease Cycles'!$HL$10:$HR$10,CL$6,'Lease Cycles'!$HS$10:$HY$10)</f>
        <v>0</v>
      </c>
      <c r="CM56" s="28">
        <f>SUMIF('Lease Cycles'!$HL$10:$HR$10,CM$6,'Lease Cycles'!$HS$10:$HY$10)</f>
        <v>0</v>
      </c>
      <c r="CN56" s="28">
        <f>SUMIF('Lease Cycles'!$HL$10:$HR$10,CN$6,'Lease Cycles'!$HS$10:$HY$10)</f>
        <v>0</v>
      </c>
      <c r="CO56" s="28">
        <f>SUMIF('Lease Cycles'!$HL$10:$HR$10,CO$6,'Lease Cycles'!$HS$10:$HY$10)</f>
        <v>0</v>
      </c>
      <c r="CP56" s="28">
        <f>SUMIF('Lease Cycles'!$HL$10:$HR$10,CP$6,'Lease Cycles'!$HS$10:$HY$10)</f>
        <v>0</v>
      </c>
      <c r="CQ56" s="28">
        <f>SUMIF('Lease Cycles'!$HL$10:$HR$10,CQ$6,'Lease Cycles'!$HS$10:$HY$10)</f>
        <v>0</v>
      </c>
      <c r="CR56" s="28">
        <f>SUMIF('Lease Cycles'!$HL$10:$HR$10,CR$6,'Lease Cycles'!$HS$10:$HY$10)</f>
        <v>0</v>
      </c>
      <c r="CS56" s="28">
        <f>SUMIF('Lease Cycles'!$HL$10:$HR$10,CS$6,'Lease Cycles'!$HS$10:$HY$10)</f>
        <v>0</v>
      </c>
      <c r="CT56" s="28">
        <f>SUMIF('Lease Cycles'!$HL$10:$HR$10,CT$6,'Lease Cycles'!$HS$10:$HY$10)</f>
        <v>0</v>
      </c>
      <c r="CU56" s="28">
        <f>SUMIF('Lease Cycles'!$HL$10:$HR$10,CU$6,'Lease Cycles'!$HS$10:$HY$10)</f>
        <v>0</v>
      </c>
      <c r="CV56" s="28">
        <f>SUMIF('Lease Cycles'!$HL$10:$HR$10,CV$6,'Lease Cycles'!$HS$10:$HY$10)</f>
        <v>0</v>
      </c>
      <c r="CW56" s="28">
        <f>SUMIF('Lease Cycles'!$HL$10:$HR$10,CW$6,'Lease Cycles'!$HS$10:$HY$10)</f>
        <v>0</v>
      </c>
      <c r="CX56" s="28">
        <f>SUMIF('Lease Cycles'!$HL$10:$HR$10,CX$6,'Lease Cycles'!$HS$10:$HY$10)</f>
        <v>0</v>
      </c>
      <c r="CY56" s="28">
        <f>SUMIF('Lease Cycles'!$HL$10:$HR$10,CY$6,'Lease Cycles'!$HS$10:$HY$10)</f>
        <v>0</v>
      </c>
      <c r="CZ56" s="28">
        <f>SUMIF('Lease Cycles'!$HL$10:$HR$10,CZ$6,'Lease Cycles'!$HS$10:$HY$10)</f>
        <v>0</v>
      </c>
      <c r="DA56" s="28">
        <f>SUMIF('Lease Cycles'!$HL$10:$HR$10,DA$6,'Lease Cycles'!$HS$10:$HY$10)</f>
        <v>0</v>
      </c>
      <c r="DB56" s="28">
        <f>SUMIF('Lease Cycles'!$HL$10:$HR$10,DB$6,'Lease Cycles'!$HS$10:$HY$10)</f>
        <v>0</v>
      </c>
      <c r="DC56" s="28">
        <f>SUMIF('Lease Cycles'!$HL$10:$HR$10,DC$6,'Lease Cycles'!$HS$10:$HY$10)</f>
        <v>0</v>
      </c>
      <c r="DD56" s="28">
        <f>SUMIF('Lease Cycles'!$HL$10:$HR$10,DD$6,'Lease Cycles'!$HS$10:$HY$10)</f>
        <v>0</v>
      </c>
      <c r="DE56" s="28">
        <f>SUMIF('Lease Cycles'!$HL$10:$HR$10,DE$6,'Lease Cycles'!$HS$10:$HY$10)</f>
        <v>0</v>
      </c>
      <c r="DF56" s="28">
        <f>SUMIF('Lease Cycles'!$HL$10:$HR$10,DF$6,'Lease Cycles'!$HS$10:$HY$10)</f>
        <v>0</v>
      </c>
      <c r="DG56" s="28">
        <f>SUMIF('Lease Cycles'!$HL$10:$HR$10,DG$6,'Lease Cycles'!$HS$10:$HY$10)</f>
        <v>0</v>
      </c>
      <c r="DH56" s="28">
        <f>SUMIF('Lease Cycles'!$HL$10:$HR$10,DH$6,'Lease Cycles'!$HS$10:$HY$10)</f>
        <v>0</v>
      </c>
      <c r="DI56" s="28">
        <f>SUMIF('Lease Cycles'!$HL$10:$HR$10,DI$6,'Lease Cycles'!$HS$10:$HY$10)</f>
        <v>0</v>
      </c>
      <c r="DJ56" s="28">
        <f>SUMIF('Lease Cycles'!$HL$10:$HR$10,DJ$6,'Lease Cycles'!$HS$10:$HY$10)</f>
        <v>0</v>
      </c>
      <c r="DK56" s="28">
        <f>SUMIF('Lease Cycles'!$HL$10:$HR$10,DK$6,'Lease Cycles'!$HS$10:$HY$10)</f>
        <v>0</v>
      </c>
      <c r="DL56" s="28">
        <f>SUMIF('Lease Cycles'!$HL$10:$HR$10,DL$6,'Lease Cycles'!$HS$10:$HY$10)</f>
        <v>0</v>
      </c>
      <c r="DM56" s="28">
        <f>SUMIF('Lease Cycles'!$HL$10:$HR$10,DM$6,'Lease Cycles'!$HS$10:$HY$10)</f>
        <v>0</v>
      </c>
      <c r="DN56" s="28">
        <f>SUMIF('Lease Cycles'!$HL$10:$HR$10,DN$6,'Lease Cycles'!$HS$10:$HY$10)</f>
        <v>0</v>
      </c>
      <c r="DO56" s="28">
        <f>SUMIF('Lease Cycles'!$HL$10:$HR$10,DO$6,'Lease Cycles'!$HS$10:$HY$10)</f>
        <v>0</v>
      </c>
      <c r="DP56" s="28">
        <f>SUMIF('Lease Cycles'!$HL$10:$HR$10,DP$6,'Lease Cycles'!$HS$10:$HY$10)</f>
        <v>0</v>
      </c>
      <c r="DQ56" s="28">
        <f>SUMIF('Lease Cycles'!$HL$10:$HR$10,DQ$6,'Lease Cycles'!$HS$10:$HY$10)</f>
        <v>0</v>
      </c>
      <c r="DR56" s="28">
        <f>SUMIF('Lease Cycles'!$HL$10:$HR$10,DR$6,'Lease Cycles'!$HS$10:$HY$10)</f>
        <v>0</v>
      </c>
      <c r="DS56" s="28">
        <f>SUMIF('Lease Cycles'!$HL$10:$HR$10,DS$6,'Lease Cycles'!$HS$10:$HY$10)</f>
        <v>0</v>
      </c>
      <c r="DT56" s="28">
        <f>SUMIF('Lease Cycles'!$HL$10:$HR$10,DT$6,'Lease Cycles'!$HS$10:$HY$10)</f>
        <v>0</v>
      </c>
      <c r="DU56" s="28">
        <f>SUMIF('Lease Cycles'!$HL$10:$HR$10,DU$6,'Lease Cycles'!$HS$10:$HY$10)</f>
        <v>0</v>
      </c>
      <c r="DV56" s="28">
        <f>SUMIF('Lease Cycles'!$HL$10:$HR$10,DV$6,'Lease Cycles'!$HS$10:$HY$10)</f>
        <v>0</v>
      </c>
      <c r="DW56" s="28">
        <f>SUMIF('Lease Cycles'!$HL$10:$HR$10,DW$6,'Lease Cycles'!$HS$10:$HY$10)</f>
        <v>0</v>
      </c>
      <c r="DX56" s="28">
        <f>SUMIF('Lease Cycles'!$HL$10:$HR$10,DX$6,'Lease Cycles'!$HS$10:$HY$10)</f>
        <v>0</v>
      </c>
      <c r="DY56" s="28">
        <f>SUMIF('Lease Cycles'!$HL$10:$HR$10,DY$6,'Lease Cycles'!$HS$10:$HY$10)</f>
        <v>0</v>
      </c>
      <c r="DZ56" s="28">
        <f>SUMIF('Lease Cycles'!$HL$10:$HR$10,DZ$6,'Lease Cycles'!$HS$10:$HY$10)</f>
        <v>0</v>
      </c>
      <c r="EA56" s="28">
        <f>SUMIF('Lease Cycles'!$HL$10:$HR$10,EA$6,'Lease Cycles'!$HS$10:$HY$10)</f>
        <v>0</v>
      </c>
      <c r="EB56" s="28">
        <f>SUMIF('Lease Cycles'!$HL$10:$HR$10,EB$6,'Lease Cycles'!$HS$10:$HY$10)</f>
        <v>0</v>
      </c>
      <c r="EC56" s="28">
        <f>SUMIF('Lease Cycles'!$HL$10:$HR$10,EC$6,'Lease Cycles'!$HS$10:$HY$10)</f>
        <v>0</v>
      </c>
      <c r="ED56" s="28">
        <f>SUMIF('Lease Cycles'!$HL$10:$HR$10,ED$6,'Lease Cycles'!$HS$10:$HY$10)</f>
        <v>0</v>
      </c>
      <c r="EE56" s="28">
        <f>SUMIF('Lease Cycles'!$HL$10:$HR$10,EE$6,'Lease Cycles'!$HS$10:$HY$10)</f>
        <v>0</v>
      </c>
      <c r="EF56" s="28">
        <f>SUMIF('Lease Cycles'!$HL$10:$HR$10,EF$6,'Lease Cycles'!$HS$10:$HY$10)</f>
        <v>0</v>
      </c>
      <c r="EG56" s="28">
        <f>SUMIF('Lease Cycles'!$HL$10:$HR$10,EG$6,'Lease Cycles'!$HS$10:$HY$10)</f>
        <v>0</v>
      </c>
      <c r="EH56" s="28">
        <f>SUMIF('Lease Cycles'!$HL$10:$HR$10,EH$6,'Lease Cycles'!$HS$10:$HY$10)</f>
        <v>0</v>
      </c>
      <c r="EI56" s="28">
        <f>SUMIF('Lease Cycles'!$HL$10:$HR$10,EI$6,'Lease Cycles'!$HS$10:$HY$10)</f>
        <v>0</v>
      </c>
      <c r="EJ56" s="28">
        <f>SUMIF('Lease Cycles'!$HL$10:$HR$10,EJ$6,'Lease Cycles'!$HS$10:$HY$10)</f>
        <v>0</v>
      </c>
      <c r="EK56" s="28">
        <f>SUMIF('Lease Cycles'!$HL$10:$HR$10,EK$6,'Lease Cycles'!$HS$10:$HY$10)</f>
        <v>0</v>
      </c>
      <c r="EL56" s="28">
        <f>SUMIF('Lease Cycles'!$HL$10:$HR$10,EL$6,'Lease Cycles'!$HS$10:$HY$10)</f>
        <v>0</v>
      </c>
      <c r="EM56" s="28">
        <f>SUMIF('Lease Cycles'!$HL$10:$HR$10,EM$6,'Lease Cycles'!$HS$10:$HY$10)</f>
        <v>0</v>
      </c>
      <c r="EN56" s="28">
        <f>SUMIF('Lease Cycles'!$HL$10:$HR$10,EN$6,'Lease Cycles'!$HS$10:$HY$10)</f>
        <v>0</v>
      </c>
      <c r="EO56" s="28">
        <f>SUMIF('Lease Cycles'!$HL$10:$HR$10,EO$6,'Lease Cycles'!$HS$10:$HY$10)</f>
        <v>0</v>
      </c>
      <c r="EP56" s="28">
        <f>SUMIF('Lease Cycles'!$HL$10:$HR$10,EP$6,'Lease Cycles'!$HS$10:$HY$10)</f>
        <v>0</v>
      </c>
      <c r="EQ56" s="28">
        <f>SUMIF('Lease Cycles'!$HL$10:$HR$10,EQ$6,'Lease Cycles'!$HS$10:$HY$10)</f>
        <v>0</v>
      </c>
      <c r="ER56" s="28">
        <f>SUMIF('Lease Cycles'!$HL$10:$HR$10,ER$6,'Lease Cycles'!$HS$10:$HY$10)</f>
        <v>0</v>
      </c>
      <c r="ES56" s="28">
        <f>SUMIF('Lease Cycles'!$HL$10:$HR$10,ES$6,'Lease Cycles'!$HS$10:$HY$10)</f>
        <v>0</v>
      </c>
      <c r="ET56" s="28">
        <f>SUMIF('Lease Cycles'!$HL$10:$HR$10,ET$6,'Lease Cycles'!$HS$10:$HY$10)</f>
        <v>0</v>
      </c>
    </row>
    <row r="57">
      <c r="A57" s="103">
        <v>3</v>
      </c>
      <c r="B57" s="23" t="str">
        <f>IF('Lease Cycles'!$B$10="","(empty slot)",'Lease Cycles'!$B$10)</f>
        <v>Sunfield Fitness</v>
      </c>
      <c r="C57" s="23" t="s">
        <v>532</v>
      </c>
      <c r="D57" s="104" t="s">
        <v>533</v>
      </c>
      <c r="E57" s="25">
        <f>'Lease Cycles'!$AL$10</f>
        <v>0</v>
      </c>
      <c r="G57" s="28">
        <f>SUM(S57:AD57)</f>
        <v>0</v>
      </c>
      <c r="H57" s="28">
        <f>SUM(AE57:AP57)</f>
        <v>0</v>
      </c>
      <c r="I57" s="28">
        <f>SUM(AQ57:BB57)</f>
        <v>0</v>
      </c>
      <c r="J57" s="28">
        <f>SUM(BC57:BN57)</f>
        <v>0</v>
      </c>
      <c r="K57" s="28">
        <f>SUM(BO57:BZ57)</f>
        <v>0</v>
      </c>
      <c r="L57" s="28">
        <f>SUM(CA57:CL57)</f>
        <v>24271.29508651962</v>
      </c>
      <c r="M57" s="28">
        <f>SUM(CM57:CX57)</f>
        <v>0</v>
      </c>
      <c r="N57" s="28">
        <f>SUM(CY57:DJ57)</f>
        <v>0</v>
      </c>
      <c r="O57" s="28">
        <f>SUM(DK57:DV57)</f>
        <v>0</v>
      </c>
      <c r="P57" s="28">
        <f>SUM(DW57:EH57)</f>
        <v>0</v>
      </c>
      <c r="Q57" s="28">
        <f>SUM(EI57:ET57)</f>
        <v>0</v>
      </c>
      <c r="S57" s="28">
        <f>SUMIF('Lease Cycles'!$HL$10:$HR$10,S$6,'Lease Cycles'!$HZ$10:$IF$10)</f>
        <v>0</v>
      </c>
      <c r="T57" s="28">
        <f>SUMIF('Lease Cycles'!$HL$10:$HR$10,T$6,'Lease Cycles'!$HZ$10:$IF$10)</f>
        <v>0</v>
      </c>
      <c r="U57" s="28">
        <f>SUMIF('Lease Cycles'!$HL$10:$HR$10,U$6,'Lease Cycles'!$HZ$10:$IF$10)</f>
        <v>0</v>
      </c>
      <c r="V57" s="28">
        <f>SUMIF('Lease Cycles'!$HL$10:$HR$10,V$6,'Lease Cycles'!$HZ$10:$IF$10)</f>
        <v>0</v>
      </c>
      <c r="W57" s="28">
        <f>SUMIF('Lease Cycles'!$HL$10:$HR$10,W$6,'Lease Cycles'!$HZ$10:$IF$10)</f>
        <v>0</v>
      </c>
      <c r="X57" s="28">
        <f>SUMIF('Lease Cycles'!$HL$10:$HR$10,X$6,'Lease Cycles'!$HZ$10:$IF$10)</f>
        <v>0</v>
      </c>
      <c r="Y57" s="28">
        <f>SUMIF('Lease Cycles'!$HL$10:$HR$10,Y$6,'Lease Cycles'!$HZ$10:$IF$10)</f>
        <v>0</v>
      </c>
      <c r="Z57" s="28">
        <f>SUMIF('Lease Cycles'!$HL$10:$HR$10,Z$6,'Lease Cycles'!$HZ$10:$IF$10)</f>
        <v>0</v>
      </c>
      <c r="AA57" s="28">
        <f>SUMIF('Lease Cycles'!$HL$10:$HR$10,AA$6,'Lease Cycles'!$HZ$10:$IF$10)</f>
        <v>0</v>
      </c>
      <c r="AB57" s="28">
        <f>SUMIF('Lease Cycles'!$HL$10:$HR$10,AB$6,'Lease Cycles'!$HZ$10:$IF$10)</f>
        <v>0</v>
      </c>
      <c r="AC57" s="28">
        <f>SUMIF('Lease Cycles'!$HL$10:$HR$10,AC$6,'Lease Cycles'!$HZ$10:$IF$10)</f>
        <v>0</v>
      </c>
      <c r="AD57" s="28">
        <f>SUMIF('Lease Cycles'!$HL$10:$HR$10,AD$6,'Lease Cycles'!$HZ$10:$IF$10)</f>
        <v>0</v>
      </c>
      <c r="AE57" s="28">
        <f>SUMIF('Lease Cycles'!$HL$10:$HR$10,AE$6,'Lease Cycles'!$HZ$10:$IF$10)</f>
        <v>0</v>
      </c>
      <c r="AF57" s="28">
        <f>SUMIF('Lease Cycles'!$HL$10:$HR$10,AF$6,'Lease Cycles'!$HZ$10:$IF$10)</f>
        <v>0</v>
      </c>
      <c r="AG57" s="28">
        <f>SUMIF('Lease Cycles'!$HL$10:$HR$10,AG$6,'Lease Cycles'!$HZ$10:$IF$10)</f>
        <v>0</v>
      </c>
      <c r="AH57" s="28">
        <f>SUMIF('Lease Cycles'!$HL$10:$HR$10,AH$6,'Lease Cycles'!$HZ$10:$IF$10)</f>
        <v>0</v>
      </c>
      <c r="AI57" s="28">
        <f>SUMIF('Lease Cycles'!$HL$10:$HR$10,AI$6,'Lease Cycles'!$HZ$10:$IF$10)</f>
        <v>0</v>
      </c>
      <c r="AJ57" s="28">
        <f>SUMIF('Lease Cycles'!$HL$10:$HR$10,AJ$6,'Lease Cycles'!$HZ$10:$IF$10)</f>
        <v>0</v>
      </c>
      <c r="AK57" s="28">
        <f>SUMIF('Lease Cycles'!$HL$10:$HR$10,AK$6,'Lease Cycles'!$HZ$10:$IF$10)</f>
        <v>0</v>
      </c>
      <c r="AL57" s="28">
        <f>SUMIF('Lease Cycles'!$HL$10:$HR$10,AL$6,'Lease Cycles'!$HZ$10:$IF$10)</f>
        <v>0</v>
      </c>
      <c r="AM57" s="28">
        <f>SUMIF('Lease Cycles'!$HL$10:$HR$10,AM$6,'Lease Cycles'!$HZ$10:$IF$10)</f>
        <v>0</v>
      </c>
      <c r="AN57" s="28">
        <f>SUMIF('Lease Cycles'!$HL$10:$HR$10,AN$6,'Lease Cycles'!$HZ$10:$IF$10)</f>
        <v>0</v>
      </c>
      <c r="AO57" s="28">
        <f>SUMIF('Lease Cycles'!$HL$10:$HR$10,AO$6,'Lease Cycles'!$HZ$10:$IF$10)</f>
        <v>0</v>
      </c>
      <c r="AP57" s="28">
        <f>SUMIF('Lease Cycles'!$HL$10:$HR$10,AP$6,'Lease Cycles'!$HZ$10:$IF$10)</f>
        <v>0</v>
      </c>
      <c r="AQ57" s="28">
        <f>SUMIF('Lease Cycles'!$HL$10:$HR$10,AQ$6,'Lease Cycles'!$HZ$10:$IF$10)</f>
        <v>0</v>
      </c>
      <c r="AR57" s="28">
        <f>SUMIF('Lease Cycles'!$HL$10:$HR$10,AR$6,'Lease Cycles'!$HZ$10:$IF$10)</f>
        <v>0</v>
      </c>
      <c r="AS57" s="28">
        <f>SUMIF('Lease Cycles'!$HL$10:$HR$10,AS$6,'Lease Cycles'!$HZ$10:$IF$10)</f>
        <v>0</v>
      </c>
      <c r="AT57" s="28">
        <f>SUMIF('Lease Cycles'!$HL$10:$HR$10,AT$6,'Lease Cycles'!$HZ$10:$IF$10)</f>
        <v>0</v>
      </c>
      <c r="AU57" s="28">
        <f>SUMIF('Lease Cycles'!$HL$10:$HR$10,AU$6,'Lease Cycles'!$HZ$10:$IF$10)</f>
        <v>0</v>
      </c>
      <c r="AV57" s="28">
        <f>SUMIF('Lease Cycles'!$HL$10:$HR$10,AV$6,'Lease Cycles'!$HZ$10:$IF$10)</f>
        <v>0</v>
      </c>
      <c r="AW57" s="28">
        <f>SUMIF('Lease Cycles'!$HL$10:$HR$10,AW$6,'Lease Cycles'!$HZ$10:$IF$10)</f>
        <v>0</v>
      </c>
      <c r="AX57" s="28">
        <f>SUMIF('Lease Cycles'!$HL$10:$HR$10,AX$6,'Lease Cycles'!$HZ$10:$IF$10)</f>
        <v>0</v>
      </c>
      <c r="AY57" s="28">
        <f>SUMIF('Lease Cycles'!$HL$10:$HR$10,AY$6,'Lease Cycles'!$HZ$10:$IF$10)</f>
        <v>0</v>
      </c>
      <c r="AZ57" s="28">
        <f>SUMIF('Lease Cycles'!$HL$10:$HR$10,AZ$6,'Lease Cycles'!$HZ$10:$IF$10)</f>
        <v>0</v>
      </c>
      <c r="BA57" s="28">
        <f>SUMIF('Lease Cycles'!$HL$10:$HR$10,BA$6,'Lease Cycles'!$HZ$10:$IF$10)</f>
        <v>0</v>
      </c>
      <c r="BB57" s="28">
        <f>SUMIF('Lease Cycles'!$HL$10:$HR$10,BB$6,'Lease Cycles'!$HZ$10:$IF$10)</f>
        <v>0</v>
      </c>
      <c r="BC57" s="28">
        <f>SUMIF('Lease Cycles'!$HL$10:$HR$10,BC$6,'Lease Cycles'!$HZ$10:$IF$10)</f>
        <v>0</v>
      </c>
      <c r="BD57" s="28">
        <f>SUMIF('Lease Cycles'!$HL$10:$HR$10,BD$6,'Lease Cycles'!$HZ$10:$IF$10)</f>
        <v>0</v>
      </c>
      <c r="BE57" s="28">
        <f>SUMIF('Lease Cycles'!$HL$10:$HR$10,BE$6,'Lease Cycles'!$HZ$10:$IF$10)</f>
        <v>0</v>
      </c>
      <c r="BF57" s="28">
        <f>SUMIF('Lease Cycles'!$HL$10:$HR$10,BF$6,'Lease Cycles'!$HZ$10:$IF$10)</f>
        <v>0</v>
      </c>
      <c r="BG57" s="28">
        <f>SUMIF('Lease Cycles'!$HL$10:$HR$10,BG$6,'Lease Cycles'!$HZ$10:$IF$10)</f>
        <v>0</v>
      </c>
      <c r="BH57" s="28">
        <f>SUMIF('Lease Cycles'!$HL$10:$HR$10,BH$6,'Lease Cycles'!$HZ$10:$IF$10)</f>
        <v>0</v>
      </c>
      <c r="BI57" s="28">
        <f>SUMIF('Lease Cycles'!$HL$10:$HR$10,BI$6,'Lease Cycles'!$HZ$10:$IF$10)</f>
        <v>0</v>
      </c>
      <c r="BJ57" s="28">
        <f>SUMIF('Lease Cycles'!$HL$10:$HR$10,BJ$6,'Lease Cycles'!$HZ$10:$IF$10)</f>
        <v>0</v>
      </c>
      <c r="BK57" s="28">
        <f>SUMIF('Lease Cycles'!$HL$10:$HR$10,BK$6,'Lease Cycles'!$HZ$10:$IF$10)</f>
        <v>0</v>
      </c>
      <c r="BL57" s="28">
        <f>SUMIF('Lease Cycles'!$HL$10:$HR$10,BL$6,'Lease Cycles'!$HZ$10:$IF$10)</f>
        <v>0</v>
      </c>
      <c r="BM57" s="28">
        <f>SUMIF('Lease Cycles'!$HL$10:$HR$10,BM$6,'Lease Cycles'!$HZ$10:$IF$10)</f>
        <v>0</v>
      </c>
      <c r="BN57" s="28">
        <f>SUMIF('Lease Cycles'!$HL$10:$HR$10,BN$6,'Lease Cycles'!$HZ$10:$IF$10)</f>
        <v>0</v>
      </c>
      <c r="BO57" s="28">
        <f>SUMIF('Lease Cycles'!$HL$10:$HR$10,BO$6,'Lease Cycles'!$HZ$10:$IF$10)</f>
        <v>0</v>
      </c>
      <c r="BP57" s="28">
        <f>SUMIF('Lease Cycles'!$HL$10:$HR$10,BP$6,'Lease Cycles'!$HZ$10:$IF$10)</f>
        <v>0</v>
      </c>
      <c r="BQ57" s="28">
        <f>SUMIF('Lease Cycles'!$HL$10:$HR$10,BQ$6,'Lease Cycles'!$HZ$10:$IF$10)</f>
        <v>0</v>
      </c>
      <c r="BR57" s="28">
        <f>SUMIF('Lease Cycles'!$HL$10:$HR$10,BR$6,'Lease Cycles'!$HZ$10:$IF$10)</f>
        <v>0</v>
      </c>
      <c r="BS57" s="28">
        <f>SUMIF('Lease Cycles'!$HL$10:$HR$10,BS$6,'Lease Cycles'!$HZ$10:$IF$10)</f>
        <v>0</v>
      </c>
      <c r="BT57" s="28">
        <f>SUMIF('Lease Cycles'!$HL$10:$HR$10,BT$6,'Lease Cycles'!$HZ$10:$IF$10)</f>
        <v>0</v>
      </c>
      <c r="BU57" s="28">
        <f>SUMIF('Lease Cycles'!$HL$10:$HR$10,BU$6,'Lease Cycles'!$HZ$10:$IF$10)</f>
        <v>0</v>
      </c>
      <c r="BV57" s="28">
        <f>SUMIF('Lease Cycles'!$HL$10:$HR$10,BV$6,'Lease Cycles'!$HZ$10:$IF$10)</f>
        <v>0</v>
      </c>
      <c r="BW57" s="28">
        <f>SUMIF('Lease Cycles'!$HL$10:$HR$10,BW$6,'Lease Cycles'!$HZ$10:$IF$10)</f>
        <v>0</v>
      </c>
      <c r="BX57" s="28">
        <f>SUMIF('Lease Cycles'!$HL$10:$HR$10,BX$6,'Lease Cycles'!$HZ$10:$IF$10)</f>
        <v>0</v>
      </c>
      <c r="BY57" s="28">
        <f>SUMIF('Lease Cycles'!$HL$10:$HR$10,BY$6,'Lease Cycles'!$HZ$10:$IF$10)</f>
        <v>0</v>
      </c>
      <c r="BZ57" s="28">
        <f>SUMIF('Lease Cycles'!$HL$10:$HR$10,BZ$6,'Lease Cycles'!$HZ$10:$IF$10)</f>
        <v>0</v>
      </c>
      <c r="CA57" s="28">
        <f>SUMIF('Lease Cycles'!$HL$10:$HR$10,CA$6,'Lease Cycles'!$HZ$10:$IF$10)</f>
        <v>0</v>
      </c>
      <c r="CB57" s="28">
        <f>SUMIF('Lease Cycles'!$HL$10:$HR$10,CB$6,'Lease Cycles'!$HZ$10:$IF$10)</f>
        <v>24271.29508651962</v>
      </c>
      <c r="CC57" s="28">
        <f>SUMIF('Lease Cycles'!$HL$10:$HR$10,CC$6,'Lease Cycles'!$HZ$10:$IF$10)</f>
        <v>0</v>
      </c>
      <c r="CD57" s="28">
        <f>SUMIF('Lease Cycles'!$HL$10:$HR$10,CD$6,'Lease Cycles'!$HZ$10:$IF$10)</f>
        <v>0</v>
      </c>
      <c r="CE57" s="28">
        <f>SUMIF('Lease Cycles'!$HL$10:$HR$10,CE$6,'Lease Cycles'!$HZ$10:$IF$10)</f>
        <v>0</v>
      </c>
      <c r="CF57" s="28">
        <f>SUMIF('Lease Cycles'!$HL$10:$HR$10,CF$6,'Lease Cycles'!$HZ$10:$IF$10)</f>
        <v>0</v>
      </c>
      <c r="CG57" s="28">
        <f>SUMIF('Lease Cycles'!$HL$10:$HR$10,CG$6,'Lease Cycles'!$HZ$10:$IF$10)</f>
        <v>0</v>
      </c>
      <c r="CH57" s="28">
        <f>SUMIF('Lease Cycles'!$HL$10:$HR$10,CH$6,'Lease Cycles'!$HZ$10:$IF$10)</f>
        <v>0</v>
      </c>
      <c r="CI57" s="28">
        <f>SUMIF('Lease Cycles'!$HL$10:$HR$10,CI$6,'Lease Cycles'!$HZ$10:$IF$10)</f>
        <v>0</v>
      </c>
      <c r="CJ57" s="28">
        <f>SUMIF('Lease Cycles'!$HL$10:$HR$10,CJ$6,'Lease Cycles'!$HZ$10:$IF$10)</f>
        <v>0</v>
      </c>
      <c r="CK57" s="28">
        <f>SUMIF('Lease Cycles'!$HL$10:$HR$10,CK$6,'Lease Cycles'!$HZ$10:$IF$10)</f>
        <v>0</v>
      </c>
      <c r="CL57" s="28">
        <f>SUMIF('Lease Cycles'!$HL$10:$HR$10,CL$6,'Lease Cycles'!$HZ$10:$IF$10)</f>
        <v>0</v>
      </c>
      <c r="CM57" s="28">
        <f>SUMIF('Lease Cycles'!$HL$10:$HR$10,CM$6,'Lease Cycles'!$HZ$10:$IF$10)</f>
        <v>0</v>
      </c>
      <c r="CN57" s="28">
        <f>SUMIF('Lease Cycles'!$HL$10:$HR$10,CN$6,'Lease Cycles'!$HZ$10:$IF$10)</f>
        <v>0</v>
      </c>
      <c r="CO57" s="28">
        <f>SUMIF('Lease Cycles'!$HL$10:$HR$10,CO$6,'Lease Cycles'!$HZ$10:$IF$10)</f>
        <v>0</v>
      </c>
      <c r="CP57" s="28">
        <f>SUMIF('Lease Cycles'!$HL$10:$HR$10,CP$6,'Lease Cycles'!$HZ$10:$IF$10)</f>
        <v>0</v>
      </c>
      <c r="CQ57" s="28">
        <f>SUMIF('Lease Cycles'!$HL$10:$HR$10,CQ$6,'Lease Cycles'!$HZ$10:$IF$10)</f>
        <v>0</v>
      </c>
      <c r="CR57" s="28">
        <f>SUMIF('Lease Cycles'!$HL$10:$HR$10,CR$6,'Lease Cycles'!$HZ$10:$IF$10)</f>
        <v>0</v>
      </c>
      <c r="CS57" s="28">
        <f>SUMIF('Lease Cycles'!$HL$10:$HR$10,CS$6,'Lease Cycles'!$HZ$10:$IF$10)</f>
        <v>0</v>
      </c>
      <c r="CT57" s="28">
        <f>SUMIF('Lease Cycles'!$HL$10:$HR$10,CT$6,'Lease Cycles'!$HZ$10:$IF$10)</f>
        <v>0</v>
      </c>
      <c r="CU57" s="28">
        <f>SUMIF('Lease Cycles'!$HL$10:$HR$10,CU$6,'Lease Cycles'!$HZ$10:$IF$10)</f>
        <v>0</v>
      </c>
      <c r="CV57" s="28">
        <f>SUMIF('Lease Cycles'!$HL$10:$HR$10,CV$6,'Lease Cycles'!$HZ$10:$IF$10)</f>
        <v>0</v>
      </c>
      <c r="CW57" s="28">
        <f>SUMIF('Lease Cycles'!$HL$10:$HR$10,CW$6,'Lease Cycles'!$HZ$10:$IF$10)</f>
        <v>0</v>
      </c>
      <c r="CX57" s="28">
        <f>SUMIF('Lease Cycles'!$HL$10:$HR$10,CX$6,'Lease Cycles'!$HZ$10:$IF$10)</f>
        <v>0</v>
      </c>
      <c r="CY57" s="28">
        <f>SUMIF('Lease Cycles'!$HL$10:$HR$10,CY$6,'Lease Cycles'!$HZ$10:$IF$10)</f>
        <v>0</v>
      </c>
      <c r="CZ57" s="28">
        <f>SUMIF('Lease Cycles'!$HL$10:$HR$10,CZ$6,'Lease Cycles'!$HZ$10:$IF$10)</f>
        <v>0</v>
      </c>
      <c r="DA57" s="28">
        <f>SUMIF('Lease Cycles'!$HL$10:$HR$10,DA$6,'Lease Cycles'!$HZ$10:$IF$10)</f>
        <v>0</v>
      </c>
      <c r="DB57" s="28">
        <f>SUMIF('Lease Cycles'!$HL$10:$HR$10,DB$6,'Lease Cycles'!$HZ$10:$IF$10)</f>
        <v>0</v>
      </c>
      <c r="DC57" s="28">
        <f>SUMIF('Lease Cycles'!$HL$10:$HR$10,DC$6,'Lease Cycles'!$HZ$10:$IF$10)</f>
        <v>0</v>
      </c>
      <c r="DD57" s="28">
        <f>SUMIF('Lease Cycles'!$HL$10:$HR$10,DD$6,'Lease Cycles'!$HZ$10:$IF$10)</f>
        <v>0</v>
      </c>
      <c r="DE57" s="28">
        <f>SUMIF('Lease Cycles'!$HL$10:$HR$10,DE$6,'Lease Cycles'!$HZ$10:$IF$10)</f>
        <v>0</v>
      </c>
      <c r="DF57" s="28">
        <f>SUMIF('Lease Cycles'!$HL$10:$HR$10,DF$6,'Lease Cycles'!$HZ$10:$IF$10)</f>
        <v>0</v>
      </c>
      <c r="DG57" s="28">
        <f>SUMIF('Lease Cycles'!$HL$10:$HR$10,DG$6,'Lease Cycles'!$HZ$10:$IF$10)</f>
        <v>0</v>
      </c>
      <c r="DH57" s="28">
        <f>SUMIF('Lease Cycles'!$HL$10:$HR$10,DH$6,'Lease Cycles'!$HZ$10:$IF$10)</f>
        <v>0</v>
      </c>
      <c r="DI57" s="28">
        <f>SUMIF('Lease Cycles'!$HL$10:$HR$10,DI$6,'Lease Cycles'!$HZ$10:$IF$10)</f>
        <v>0</v>
      </c>
      <c r="DJ57" s="28">
        <f>SUMIF('Lease Cycles'!$HL$10:$HR$10,DJ$6,'Lease Cycles'!$HZ$10:$IF$10)</f>
        <v>0</v>
      </c>
      <c r="DK57" s="28">
        <f>SUMIF('Lease Cycles'!$HL$10:$HR$10,DK$6,'Lease Cycles'!$HZ$10:$IF$10)</f>
        <v>0</v>
      </c>
      <c r="DL57" s="28">
        <f>SUMIF('Lease Cycles'!$HL$10:$HR$10,DL$6,'Lease Cycles'!$HZ$10:$IF$10)</f>
        <v>0</v>
      </c>
      <c r="DM57" s="28">
        <f>SUMIF('Lease Cycles'!$HL$10:$HR$10,DM$6,'Lease Cycles'!$HZ$10:$IF$10)</f>
        <v>0</v>
      </c>
      <c r="DN57" s="28">
        <f>SUMIF('Lease Cycles'!$HL$10:$HR$10,DN$6,'Lease Cycles'!$HZ$10:$IF$10)</f>
        <v>0</v>
      </c>
      <c r="DO57" s="28">
        <f>SUMIF('Lease Cycles'!$HL$10:$HR$10,DO$6,'Lease Cycles'!$HZ$10:$IF$10)</f>
        <v>0</v>
      </c>
      <c r="DP57" s="28">
        <f>SUMIF('Lease Cycles'!$HL$10:$HR$10,DP$6,'Lease Cycles'!$HZ$10:$IF$10)</f>
        <v>0</v>
      </c>
      <c r="DQ57" s="28">
        <f>SUMIF('Lease Cycles'!$HL$10:$HR$10,DQ$6,'Lease Cycles'!$HZ$10:$IF$10)</f>
        <v>0</v>
      </c>
      <c r="DR57" s="28">
        <f>SUMIF('Lease Cycles'!$HL$10:$HR$10,DR$6,'Lease Cycles'!$HZ$10:$IF$10)</f>
        <v>0</v>
      </c>
      <c r="DS57" s="28">
        <f>SUMIF('Lease Cycles'!$HL$10:$HR$10,DS$6,'Lease Cycles'!$HZ$10:$IF$10)</f>
        <v>0</v>
      </c>
      <c r="DT57" s="28">
        <f>SUMIF('Lease Cycles'!$HL$10:$HR$10,DT$6,'Lease Cycles'!$HZ$10:$IF$10)</f>
        <v>0</v>
      </c>
      <c r="DU57" s="28">
        <f>SUMIF('Lease Cycles'!$HL$10:$HR$10,DU$6,'Lease Cycles'!$HZ$10:$IF$10)</f>
        <v>0</v>
      </c>
      <c r="DV57" s="28">
        <f>SUMIF('Lease Cycles'!$HL$10:$HR$10,DV$6,'Lease Cycles'!$HZ$10:$IF$10)</f>
        <v>0</v>
      </c>
      <c r="DW57" s="28">
        <f>SUMIF('Lease Cycles'!$HL$10:$HR$10,DW$6,'Lease Cycles'!$HZ$10:$IF$10)</f>
        <v>0</v>
      </c>
      <c r="DX57" s="28">
        <f>SUMIF('Lease Cycles'!$HL$10:$HR$10,DX$6,'Lease Cycles'!$HZ$10:$IF$10)</f>
        <v>0</v>
      </c>
      <c r="DY57" s="28">
        <f>SUMIF('Lease Cycles'!$HL$10:$HR$10,DY$6,'Lease Cycles'!$HZ$10:$IF$10)</f>
        <v>0</v>
      </c>
      <c r="DZ57" s="28">
        <f>SUMIF('Lease Cycles'!$HL$10:$HR$10,DZ$6,'Lease Cycles'!$HZ$10:$IF$10)</f>
        <v>0</v>
      </c>
      <c r="EA57" s="28">
        <f>SUMIF('Lease Cycles'!$HL$10:$HR$10,EA$6,'Lease Cycles'!$HZ$10:$IF$10)</f>
        <v>0</v>
      </c>
      <c r="EB57" s="28">
        <f>SUMIF('Lease Cycles'!$HL$10:$HR$10,EB$6,'Lease Cycles'!$HZ$10:$IF$10)</f>
        <v>0</v>
      </c>
      <c r="EC57" s="28">
        <f>SUMIF('Lease Cycles'!$HL$10:$HR$10,EC$6,'Lease Cycles'!$HZ$10:$IF$10)</f>
        <v>0</v>
      </c>
      <c r="ED57" s="28">
        <f>SUMIF('Lease Cycles'!$HL$10:$HR$10,ED$6,'Lease Cycles'!$HZ$10:$IF$10)</f>
        <v>0</v>
      </c>
      <c r="EE57" s="28">
        <f>SUMIF('Lease Cycles'!$HL$10:$HR$10,EE$6,'Lease Cycles'!$HZ$10:$IF$10)</f>
        <v>0</v>
      </c>
      <c r="EF57" s="28">
        <f>SUMIF('Lease Cycles'!$HL$10:$HR$10,EF$6,'Lease Cycles'!$HZ$10:$IF$10)</f>
        <v>0</v>
      </c>
      <c r="EG57" s="28">
        <f>SUMIF('Lease Cycles'!$HL$10:$HR$10,EG$6,'Lease Cycles'!$HZ$10:$IF$10)</f>
        <v>0</v>
      </c>
      <c r="EH57" s="28">
        <f>SUMIF('Lease Cycles'!$HL$10:$HR$10,EH$6,'Lease Cycles'!$HZ$10:$IF$10)</f>
        <v>0</v>
      </c>
      <c r="EI57" s="28">
        <f>SUMIF('Lease Cycles'!$HL$10:$HR$10,EI$6,'Lease Cycles'!$HZ$10:$IF$10)</f>
        <v>0</v>
      </c>
      <c r="EJ57" s="28">
        <f>SUMIF('Lease Cycles'!$HL$10:$HR$10,EJ$6,'Lease Cycles'!$HZ$10:$IF$10)</f>
        <v>0</v>
      </c>
      <c r="EK57" s="28">
        <f>SUMIF('Lease Cycles'!$HL$10:$HR$10,EK$6,'Lease Cycles'!$HZ$10:$IF$10)</f>
        <v>0</v>
      </c>
      <c r="EL57" s="28">
        <f>SUMIF('Lease Cycles'!$HL$10:$HR$10,EL$6,'Lease Cycles'!$HZ$10:$IF$10)</f>
        <v>0</v>
      </c>
      <c r="EM57" s="28">
        <f>SUMIF('Lease Cycles'!$HL$10:$HR$10,EM$6,'Lease Cycles'!$HZ$10:$IF$10)</f>
        <v>0</v>
      </c>
      <c r="EN57" s="28">
        <f>SUMIF('Lease Cycles'!$HL$10:$HR$10,EN$6,'Lease Cycles'!$HZ$10:$IF$10)</f>
        <v>0</v>
      </c>
      <c r="EO57" s="28">
        <f>SUMIF('Lease Cycles'!$HL$10:$HR$10,EO$6,'Lease Cycles'!$HZ$10:$IF$10)</f>
        <v>0</v>
      </c>
      <c r="EP57" s="28">
        <f>SUMIF('Lease Cycles'!$HL$10:$HR$10,EP$6,'Lease Cycles'!$HZ$10:$IF$10)</f>
        <v>0</v>
      </c>
      <c r="EQ57" s="28">
        <f>SUMIF('Lease Cycles'!$HL$10:$HR$10,EQ$6,'Lease Cycles'!$HZ$10:$IF$10)</f>
        <v>0</v>
      </c>
      <c r="ER57" s="28">
        <f>SUMIF('Lease Cycles'!$HL$10:$HR$10,ER$6,'Lease Cycles'!$HZ$10:$IF$10)</f>
        <v>0</v>
      </c>
      <c r="ES57" s="28">
        <f>SUMIF('Lease Cycles'!$HL$10:$HR$10,ES$6,'Lease Cycles'!$HZ$10:$IF$10)</f>
        <v>0</v>
      </c>
      <c r="ET57" s="28">
        <f>SUMIF('Lease Cycles'!$HL$10:$HR$10,ET$6,'Lease Cycles'!$HZ$10:$IF$10)</f>
        <v>0</v>
      </c>
    </row>
    <row r="58">
      <c r="A58" s="103">
        <v>3</v>
      </c>
      <c r="B58" s="23" t="str">
        <f>IF('Lease Cycles'!$B$10="","(empty slot)",'Lease Cycles'!$B$10)</f>
        <v>Sunfield Fitness</v>
      </c>
      <c r="C58" s="23" t="s">
        <v>691</v>
      </c>
      <c r="D58" s="104" t="s">
        <v>692</v>
      </c>
      <c r="E58" s="25">
        <f>'Lease Cycles'!$AL$10</f>
        <v>0</v>
      </c>
      <c r="G58" s="28">
        <f>SUM(S58:AD58)</f>
        <v>0</v>
      </c>
      <c r="H58" s="28">
        <f>SUM(AE58:AP58)</f>
        <v>0</v>
      </c>
      <c r="I58" s="28">
        <f>SUM(AQ58:BB58)</f>
        <v>0</v>
      </c>
      <c r="J58" s="28">
        <f>SUM(BC58:BN58)</f>
        <v>0</v>
      </c>
      <c r="K58" s="28">
        <f>SUM(BO58:BZ58)</f>
        <v>0</v>
      </c>
      <c r="L58" s="28">
        <f>SUM(CA58:CL58)</f>
        <v>0</v>
      </c>
      <c r="M58" s="28">
        <f>SUM(CM58:CX58)</f>
        <v>0</v>
      </c>
      <c r="N58" s="28">
        <f>SUM(CY58:DJ58)</f>
        <v>0</v>
      </c>
      <c r="O58" s="28">
        <f>SUM(DK58:DV58)</f>
        <v>0</v>
      </c>
      <c r="P58" s="28">
        <f>SUM(DW58:EH58)</f>
        <v>0</v>
      </c>
      <c r="Q58" s="28">
        <f>SUM(EI58:ET58)</f>
        <v>0</v>
      </c>
      <c r="S58" s="28">
        <f>IF(S$6='Lease Cycles'!$HL$10,'Lease Cycles'!$HS$10+'Lease Cycles'!$HZ$10,0)</f>
        <v>0</v>
      </c>
      <c r="T58" s="28">
        <f>IF(T$6='Lease Cycles'!$HL$10,'Lease Cycles'!$HS$10+'Lease Cycles'!$HZ$10,0)</f>
        <v>0</v>
      </c>
      <c r="U58" s="28">
        <f>IF(U$6='Lease Cycles'!$HL$10,'Lease Cycles'!$HS$10+'Lease Cycles'!$HZ$10,0)</f>
        <v>0</v>
      </c>
      <c r="V58" s="28">
        <f>IF(V$6='Lease Cycles'!$HL$10,'Lease Cycles'!$HS$10+'Lease Cycles'!$HZ$10,0)</f>
        <v>0</v>
      </c>
      <c r="W58" s="28">
        <f>IF(W$6='Lease Cycles'!$HL$10,'Lease Cycles'!$HS$10+'Lease Cycles'!$HZ$10,0)</f>
        <v>0</v>
      </c>
      <c r="X58" s="28">
        <f>IF(X$6='Lease Cycles'!$HL$10,'Lease Cycles'!$HS$10+'Lease Cycles'!$HZ$10,0)</f>
        <v>0</v>
      </c>
      <c r="Y58" s="28">
        <f>IF(Y$6='Lease Cycles'!$HL$10,'Lease Cycles'!$HS$10+'Lease Cycles'!$HZ$10,0)</f>
        <v>0</v>
      </c>
      <c r="Z58" s="28">
        <f>IF(Z$6='Lease Cycles'!$HL$10,'Lease Cycles'!$HS$10+'Lease Cycles'!$HZ$10,0)</f>
        <v>0</v>
      </c>
      <c r="AA58" s="28">
        <f>IF(AA$6='Lease Cycles'!$HL$10,'Lease Cycles'!$HS$10+'Lease Cycles'!$HZ$10,0)</f>
        <v>0</v>
      </c>
      <c r="AB58" s="28">
        <f>IF(AB$6='Lease Cycles'!$HL$10,'Lease Cycles'!$HS$10+'Lease Cycles'!$HZ$10,0)</f>
        <v>0</v>
      </c>
      <c r="AC58" s="28">
        <f>IF(AC$6='Lease Cycles'!$HL$10,'Lease Cycles'!$HS$10+'Lease Cycles'!$HZ$10,0)</f>
        <v>0</v>
      </c>
      <c r="AD58" s="28">
        <f>IF(AD$6='Lease Cycles'!$HL$10,'Lease Cycles'!$HS$10+'Lease Cycles'!$HZ$10,0)</f>
        <v>0</v>
      </c>
      <c r="AE58" s="28">
        <f>IF(AE$6='Lease Cycles'!$HL$10,'Lease Cycles'!$HS$10+'Lease Cycles'!$HZ$10,0)</f>
        <v>0</v>
      </c>
      <c r="AF58" s="28">
        <f>IF(AF$6='Lease Cycles'!$HL$10,'Lease Cycles'!$HS$10+'Lease Cycles'!$HZ$10,0)</f>
        <v>0</v>
      </c>
      <c r="AG58" s="28">
        <f>IF(AG$6='Lease Cycles'!$HL$10,'Lease Cycles'!$HS$10+'Lease Cycles'!$HZ$10,0)</f>
        <v>0</v>
      </c>
      <c r="AH58" s="28">
        <f>IF(AH$6='Lease Cycles'!$HL$10,'Lease Cycles'!$HS$10+'Lease Cycles'!$HZ$10,0)</f>
        <v>0</v>
      </c>
      <c r="AI58" s="28">
        <f>IF(AI$6='Lease Cycles'!$HL$10,'Lease Cycles'!$HS$10+'Lease Cycles'!$HZ$10,0)</f>
        <v>0</v>
      </c>
      <c r="AJ58" s="28">
        <f>IF(AJ$6='Lease Cycles'!$HL$10,'Lease Cycles'!$HS$10+'Lease Cycles'!$HZ$10,0)</f>
        <v>0</v>
      </c>
      <c r="AK58" s="28">
        <f>IF(AK$6='Lease Cycles'!$HL$10,'Lease Cycles'!$HS$10+'Lease Cycles'!$HZ$10,0)</f>
        <v>0</v>
      </c>
      <c r="AL58" s="28">
        <f>IF(AL$6='Lease Cycles'!$HL$10,'Lease Cycles'!$HS$10+'Lease Cycles'!$HZ$10,0)</f>
        <v>0</v>
      </c>
      <c r="AM58" s="28">
        <f>IF(AM$6='Lease Cycles'!$HL$10,'Lease Cycles'!$HS$10+'Lease Cycles'!$HZ$10,0)</f>
        <v>0</v>
      </c>
      <c r="AN58" s="28">
        <f>IF(AN$6='Lease Cycles'!$HL$10,'Lease Cycles'!$HS$10+'Lease Cycles'!$HZ$10,0)</f>
        <v>0</v>
      </c>
      <c r="AO58" s="28">
        <f>IF(AO$6='Lease Cycles'!$HL$10,'Lease Cycles'!$HS$10+'Lease Cycles'!$HZ$10,0)</f>
        <v>0</v>
      </c>
      <c r="AP58" s="28">
        <f>IF(AP$6='Lease Cycles'!$HL$10,'Lease Cycles'!$HS$10+'Lease Cycles'!$HZ$10,0)</f>
        <v>0</v>
      </c>
      <c r="AQ58" s="28">
        <f>IF(AQ$6='Lease Cycles'!$HL$10,'Lease Cycles'!$HS$10+'Lease Cycles'!$HZ$10,0)</f>
        <v>0</v>
      </c>
      <c r="AR58" s="28">
        <f>IF(AR$6='Lease Cycles'!$HL$10,'Lease Cycles'!$HS$10+'Lease Cycles'!$HZ$10,0)</f>
        <v>0</v>
      </c>
      <c r="AS58" s="28">
        <f>IF(AS$6='Lease Cycles'!$HL$10,'Lease Cycles'!$HS$10+'Lease Cycles'!$HZ$10,0)</f>
        <v>0</v>
      </c>
      <c r="AT58" s="28">
        <f>IF(AT$6='Lease Cycles'!$HL$10,'Lease Cycles'!$HS$10+'Lease Cycles'!$HZ$10,0)</f>
        <v>0</v>
      </c>
      <c r="AU58" s="28">
        <f>IF(AU$6='Lease Cycles'!$HL$10,'Lease Cycles'!$HS$10+'Lease Cycles'!$HZ$10,0)</f>
        <v>0</v>
      </c>
      <c r="AV58" s="28">
        <f>IF(AV$6='Lease Cycles'!$HL$10,'Lease Cycles'!$HS$10+'Lease Cycles'!$HZ$10,0)</f>
        <v>0</v>
      </c>
      <c r="AW58" s="28">
        <f>IF(AW$6='Lease Cycles'!$HL$10,'Lease Cycles'!$HS$10+'Lease Cycles'!$HZ$10,0)</f>
        <v>0</v>
      </c>
      <c r="AX58" s="28">
        <f>IF(AX$6='Lease Cycles'!$HL$10,'Lease Cycles'!$HS$10+'Lease Cycles'!$HZ$10,0)</f>
        <v>0</v>
      </c>
      <c r="AY58" s="28">
        <f>IF(AY$6='Lease Cycles'!$HL$10,'Lease Cycles'!$HS$10+'Lease Cycles'!$HZ$10,0)</f>
        <v>0</v>
      </c>
      <c r="AZ58" s="28">
        <f>IF(AZ$6='Lease Cycles'!$HL$10,'Lease Cycles'!$HS$10+'Lease Cycles'!$HZ$10,0)</f>
        <v>0</v>
      </c>
      <c r="BA58" s="28">
        <f>IF(BA$6='Lease Cycles'!$HL$10,'Lease Cycles'!$HS$10+'Lease Cycles'!$HZ$10,0)</f>
        <v>0</v>
      </c>
      <c r="BB58" s="28">
        <f>IF(BB$6='Lease Cycles'!$HL$10,'Lease Cycles'!$HS$10+'Lease Cycles'!$HZ$10,0)</f>
        <v>0</v>
      </c>
      <c r="BC58" s="28">
        <f>IF(BC$6='Lease Cycles'!$HL$10,'Lease Cycles'!$HS$10+'Lease Cycles'!$HZ$10,0)</f>
        <v>0</v>
      </c>
      <c r="BD58" s="28">
        <f>IF(BD$6='Lease Cycles'!$HL$10,'Lease Cycles'!$HS$10+'Lease Cycles'!$HZ$10,0)</f>
        <v>0</v>
      </c>
      <c r="BE58" s="28">
        <f>IF(BE$6='Lease Cycles'!$HL$10,'Lease Cycles'!$HS$10+'Lease Cycles'!$HZ$10,0)</f>
        <v>0</v>
      </c>
      <c r="BF58" s="28">
        <f>IF(BF$6='Lease Cycles'!$HL$10,'Lease Cycles'!$HS$10+'Lease Cycles'!$HZ$10,0)</f>
        <v>0</v>
      </c>
      <c r="BG58" s="28">
        <f>IF(BG$6='Lease Cycles'!$HL$10,'Lease Cycles'!$HS$10+'Lease Cycles'!$HZ$10,0)</f>
        <v>0</v>
      </c>
      <c r="BH58" s="28">
        <f>IF(BH$6='Lease Cycles'!$HL$10,'Lease Cycles'!$HS$10+'Lease Cycles'!$HZ$10,0)</f>
        <v>0</v>
      </c>
      <c r="BI58" s="28">
        <f>IF(BI$6='Lease Cycles'!$HL$10,'Lease Cycles'!$HS$10+'Lease Cycles'!$HZ$10,0)</f>
        <v>0</v>
      </c>
      <c r="BJ58" s="28">
        <f>IF(BJ$6='Lease Cycles'!$HL$10,'Lease Cycles'!$HS$10+'Lease Cycles'!$HZ$10,0)</f>
        <v>0</v>
      </c>
      <c r="BK58" s="28">
        <f>IF(BK$6='Lease Cycles'!$HL$10,'Lease Cycles'!$HS$10+'Lease Cycles'!$HZ$10,0)</f>
        <v>0</v>
      </c>
      <c r="BL58" s="28">
        <f>IF(BL$6='Lease Cycles'!$HL$10,'Lease Cycles'!$HS$10+'Lease Cycles'!$HZ$10,0)</f>
        <v>0</v>
      </c>
      <c r="BM58" s="28">
        <f>IF(BM$6='Lease Cycles'!$HL$10,'Lease Cycles'!$HS$10+'Lease Cycles'!$HZ$10,0)</f>
        <v>0</v>
      </c>
      <c r="BN58" s="28">
        <f>IF(BN$6='Lease Cycles'!$HL$10,'Lease Cycles'!$HS$10+'Lease Cycles'!$HZ$10,0)</f>
        <v>0</v>
      </c>
      <c r="BO58" s="28">
        <f>IF(BO$6='Lease Cycles'!$HL$10,'Lease Cycles'!$HS$10+'Lease Cycles'!$HZ$10,0)</f>
        <v>0</v>
      </c>
      <c r="BP58" s="28">
        <f>IF(BP$6='Lease Cycles'!$HL$10,'Lease Cycles'!$HS$10+'Lease Cycles'!$HZ$10,0)</f>
        <v>0</v>
      </c>
      <c r="BQ58" s="28">
        <f>IF(BQ$6='Lease Cycles'!$HL$10,'Lease Cycles'!$HS$10+'Lease Cycles'!$HZ$10,0)</f>
        <v>0</v>
      </c>
      <c r="BR58" s="28">
        <f>IF(BR$6='Lease Cycles'!$HL$10,'Lease Cycles'!$HS$10+'Lease Cycles'!$HZ$10,0)</f>
        <v>0</v>
      </c>
      <c r="BS58" s="28">
        <f>IF(BS$6='Lease Cycles'!$HL$10,'Lease Cycles'!$HS$10+'Lease Cycles'!$HZ$10,0)</f>
        <v>0</v>
      </c>
      <c r="BT58" s="28">
        <f>IF(BT$6='Lease Cycles'!$HL$10,'Lease Cycles'!$HS$10+'Lease Cycles'!$HZ$10,0)</f>
        <v>0</v>
      </c>
      <c r="BU58" s="28">
        <f>IF(BU$6='Lease Cycles'!$HL$10,'Lease Cycles'!$HS$10+'Lease Cycles'!$HZ$10,0)</f>
        <v>0</v>
      </c>
      <c r="BV58" s="28">
        <f>IF(BV$6='Lease Cycles'!$HL$10,'Lease Cycles'!$HS$10+'Lease Cycles'!$HZ$10,0)</f>
        <v>0</v>
      </c>
      <c r="BW58" s="28">
        <f>IF(BW$6='Lease Cycles'!$HL$10,'Lease Cycles'!$HS$10+'Lease Cycles'!$HZ$10,0)</f>
        <v>0</v>
      </c>
      <c r="BX58" s="28">
        <f>IF(BX$6='Lease Cycles'!$HL$10,'Lease Cycles'!$HS$10+'Lease Cycles'!$HZ$10,0)</f>
        <v>0</v>
      </c>
      <c r="BY58" s="28">
        <f>IF(BY$6='Lease Cycles'!$HL$10,'Lease Cycles'!$HS$10+'Lease Cycles'!$HZ$10,0)</f>
        <v>0</v>
      </c>
      <c r="BZ58" s="28">
        <f>IF(BZ$6='Lease Cycles'!$HL$10,'Lease Cycles'!$HS$10+'Lease Cycles'!$HZ$10,0)</f>
        <v>0</v>
      </c>
      <c r="CA58" s="28">
        <f>IF(CA$6='Lease Cycles'!$HL$10,'Lease Cycles'!$HS$10+'Lease Cycles'!$HZ$10,0)</f>
        <v>0</v>
      </c>
      <c r="CB58" s="28">
        <f>IF(CB$6='Lease Cycles'!$HL$10,'Lease Cycles'!$HS$10+'Lease Cycles'!$HZ$10,0)</f>
        <v>0</v>
      </c>
      <c r="CC58" s="28">
        <f>IF(CC$6='Lease Cycles'!$HL$10,'Lease Cycles'!$HS$10+'Lease Cycles'!$HZ$10,0)</f>
        <v>0</v>
      </c>
      <c r="CD58" s="28">
        <f>IF(CD$6='Lease Cycles'!$HL$10,'Lease Cycles'!$HS$10+'Lease Cycles'!$HZ$10,0)</f>
        <v>0</v>
      </c>
      <c r="CE58" s="28">
        <f>IF(CE$6='Lease Cycles'!$HL$10,'Lease Cycles'!$HS$10+'Lease Cycles'!$HZ$10,0)</f>
        <v>0</v>
      </c>
      <c r="CF58" s="28">
        <f>IF(CF$6='Lease Cycles'!$HL$10,'Lease Cycles'!$HS$10+'Lease Cycles'!$HZ$10,0)</f>
        <v>0</v>
      </c>
      <c r="CG58" s="28">
        <f>IF(CG$6='Lease Cycles'!$HL$10,'Lease Cycles'!$HS$10+'Lease Cycles'!$HZ$10,0)</f>
        <v>0</v>
      </c>
      <c r="CH58" s="28">
        <f>IF(CH$6='Lease Cycles'!$HL$10,'Lease Cycles'!$HS$10+'Lease Cycles'!$HZ$10,0)</f>
        <v>0</v>
      </c>
      <c r="CI58" s="28">
        <f>IF(CI$6='Lease Cycles'!$HL$10,'Lease Cycles'!$HS$10+'Lease Cycles'!$HZ$10,0)</f>
        <v>0</v>
      </c>
      <c r="CJ58" s="28">
        <f>IF(CJ$6='Lease Cycles'!$HL$10,'Lease Cycles'!$HS$10+'Lease Cycles'!$HZ$10,0)</f>
        <v>0</v>
      </c>
      <c r="CK58" s="28">
        <f>IF(CK$6='Lease Cycles'!$HL$10,'Lease Cycles'!$HS$10+'Lease Cycles'!$HZ$10,0)</f>
        <v>0</v>
      </c>
      <c r="CL58" s="28">
        <f>IF(CL$6='Lease Cycles'!$HL$10,'Lease Cycles'!$HS$10+'Lease Cycles'!$HZ$10,0)</f>
        <v>0</v>
      </c>
      <c r="CM58" s="28">
        <f>IF(CM$6='Lease Cycles'!$HL$10,'Lease Cycles'!$HS$10+'Lease Cycles'!$HZ$10,0)</f>
        <v>0</v>
      </c>
      <c r="CN58" s="28">
        <f>IF(CN$6='Lease Cycles'!$HL$10,'Lease Cycles'!$HS$10+'Lease Cycles'!$HZ$10,0)</f>
        <v>0</v>
      </c>
      <c r="CO58" s="28">
        <f>IF(CO$6='Lease Cycles'!$HL$10,'Lease Cycles'!$HS$10+'Lease Cycles'!$HZ$10,0)</f>
        <v>0</v>
      </c>
      <c r="CP58" s="28">
        <f>IF(CP$6='Lease Cycles'!$HL$10,'Lease Cycles'!$HS$10+'Lease Cycles'!$HZ$10,0)</f>
        <v>0</v>
      </c>
      <c r="CQ58" s="28">
        <f>IF(CQ$6='Lease Cycles'!$HL$10,'Lease Cycles'!$HS$10+'Lease Cycles'!$HZ$10,0)</f>
        <v>0</v>
      </c>
      <c r="CR58" s="28">
        <f>IF(CR$6='Lease Cycles'!$HL$10,'Lease Cycles'!$HS$10+'Lease Cycles'!$HZ$10,0)</f>
        <v>0</v>
      </c>
      <c r="CS58" s="28">
        <f>IF(CS$6='Lease Cycles'!$HL$10,'Lease Cycles'!$HS$10+'Lease Cycles'!$HZ$10,0)</f>
        <v>0</v>
      </c>
      <c r="CT58" s="28">
        <f>IF(CT$6='Lease Cycles'!$HL$10,'Lease Cycles'!$HS$10+'Lease Cycles'!$HZ$10,0)</f>
        <v>0</v>
      </c>
      <c r="CU58" s="28">
        <f>IF(CU$6='Lease Cycles'!$HL$10,'Lease Cycles'!$HS$10+'Lease Cycles'!$HZ$10,0)</f>
        <v>0</v>
      </c>
      <c r="CV58" s="28">
        <f>IF(CV$6='Lease Cycles'!$HL$10,'Lease Cycles'!$HS$10+'Lease Cycles'!$HZ$10,0)</f>
        <v>0</v>
      </c>
      <c r="CW58" s="28">
        <f>IF(CW$6='Lease Cycles'!$HL$10,'Lease Cycles'!$HS$10+'Lease Cycles'!$HZ$10,0)</f>
        <v>0</v>
      </c>
      <c r="CX58" s="28">
        <f>IF(CX$6='Lease Cycles'!$HL$10,'Lease Cycles'!$HS$10+'Lease Cycles'!$HZ$10,0)</f>
        <v>0</v>
      </c>
      <c r="CY58" s="28">
        <f>IF(CY$6='Lease Cycles'!$HL$10,'Lease Cycles'!$HS$10+'Lease Cycles'!$HZ$10,0)</f>
        <v>0</v>
      </c>
      <c r="CZ58" s="28">
        <f>IF(CZ$6='Lease Cycles'!$HL$10,'Lease Cycles'!$HS$10+'Lease Cycles'!$HZ$10,0)</f>
        <v>0</v>
      </c>
      <c r="DA58" s="28">
        <f>IF(DA$6='Lease Cycles'!$HL$10,'Lease Cycles'!$HS$10+'Lease Cycles'!$HZ$10,0)</f>
        <v>0</v>
      </c>
      <c r="DB58" s="28">
        <f>IF(DB$6='Lease Cycles'!$HL$10,'Lease Cycles'!$HS$10+'Lease Cycles'!$HZ$10,0)</f>
        <v>0</v>
      </c>
      <c r="DC58" s="28">
        <f>IF(DC$6='Lease Cycles'!$HL$10,'Lease Cycles'!$HS$10+'Lease Cycles'!$HZ$10,0)</f>
        <v>0</v>
      </c>
      <c r="DD58" s="28">
        <f>IF(DD$6='Lease Cycles'!$HL$10,'Lease Cycles'!$HS$10+'Lease Cycles'!$HZ$10,0)</f>
        <v>0</v>
      </c>
      <c r="DE58" s="28">
        <f>IF(DE$6='Lease Cycles'!$HL$10,'Lease Cycles'!$HS$10+'Lease Cycles'!$HZ$10,0)</f>
        <v>0</v>
      </c>
      <c r="DF58" s="28">
        <f>IF(DF$6='Lease Cycles'!$HL$10,'Lease Cycles'!$HS$10+'Lease Cycles'!$HZ$10,0)</f>
        <v>0</v>
      </c>
      <c r="DG58" s="28">
        <f>IF(DG$6='Lease Cycles'!$HL$10,'Lease Cycles'!$HS$10+'Lease Cycles'!$HZ$10,0)</f>
        <v>0</v>
      </c>
      <c r="DH58" s="28">
        <f>IF(DH$6='Lease Cycles'!$HL$10,'Lease Cycles'!$HS$10+'Lease Cycles'!$HZ$10,0)</f>
        <v>0</v>
      </c>
      <c r="DI58" s="28">
        <f>IF(DI$6='Lease Cycles'!$HL$10,'Lease Cycles'!$HS$10+'Lease Cycles'!$HZ$10,0)</f>
        <v>0</v>
      </c>
      <c r="DJ58" s="28">
        <f>IF(DJ$6='Lease Cycles'!$HL$10,'Lease Cycles'!$HS$10+'Lease Cycles'!$HZ$10,0)</f>
        <v>0</v>
      </c>
      <c r="DK58" s="28">
        <f>IF(DK$6='Lease Cycles'!$HL$10,'Lease Cycles'!$HS$10+'Lease Cycles'!$HZ$10,0)</f>
        <v>0</v>
      </c>
      <c r="DL58" s="28">
        <f>IF(DL$6='Lease Cycles'!$HL$10,'Lease Cycles'!$HS$10+'Lease Cycles'!$HZ$10,0)</f>
        <v>0</v>
      </c>
      <c r="DM58" s="28">
        <f>IF(DM$6='Lease Cycles'!$HL$10,'Lease Cycles'!$HS$10+'Lease Cycles'!$HZ$10,0)</f>
        <v>0</v>
      </c>
      <c r="DN58" s="28">
        <f>IF(DN$6='Lease Cycles'!$HL$10,'Lease Cycles'!$HS$10+'Lease Cycles'!$HZ$10,0)</f>
        <v>0</v>
      </c>
      <c r="DO58" s="28">
        <f>IF(DO$6='Lease Cycles'!$HL$10,'Lease Cycles'!$HS$10+'Lease Cycles'!$HZ$10,0)</f>
        <v>0</v>
      </c>
      <c r="DP58" s="28">
        <f>IF(DP$6='Lease Cycles'!$HL$10,'Lease Cycles'!$HS$10+'Lease Cycles'!$HZ$10,0)</f>
        <v>0</v>
      </c>
      <c r="DQ58" s="28">
        <f>IF(DQ$6='Lease Cycles'!$HL$10,'Lease Cycles'!$HS$10+'Lease Cycles'!$HZ$10,0)</f>
        <v>0</v>
      </c>
      <c r="DR58" s="28">
        <f>IF(DR$6='Lease Cycles'!$HL$10,'Lease Cycles'!$HS$10+'Lease Cycles'!$HZ$10,0)</f>
        <v>0</v>
      </c>
      <c r="DS58" s="28">
        <f>IF(DS$6='Lease Cycles'!$HL$10,'Lease Cycles'!$HS$10+'Lease Cycles'!$HZ$10,0)</f>
        <v>0</v>
      </c>
      <c r="DT58" s="28">
        <f>IF(DT$6='Lease Cycles'!$HL$10,'Lease Cycles'!$HS$10+'Lease Cycles'!$HZ$10,0)</f>
        <v>0</v>
      </c>
      <c r="DU58" s="28">
        <f>IF(DU$6='Lease Cycles'!$HL$10,'Lease Cycles'!$HS$10+'Lease Cycles'!$HZ$10,0)</f>
        <v>0</v>
      </c>
      <c r="DV58" s="28">
        <f>IF(DV$6='Lease Cycles'!$HL$10,'Lease Cycles'!$HS$10+'Lease Cycles'!$HZ$10,0)</f>
        <v>0</v>
      </c>
      <c r="DW58" s="28">
        <f>IF(DW$6='Lease Cycles'!$HL$10,'Lease Cycles'!$HS$10+'Lease Cycles'!$HZ$10,0)</f>
        <v>0</v>
      </c>
      <c r="DX58" s="28">
        <f>IF(DX$6='Lease Cycles'!$HL$10,'Lease Cycles'!$HS$10+'Lease Cycles'!$HZ$10,0)</f>
        <v>0</v>
      </c>
      <c r="DY58" s="28">
        <f>IF(DY$6='Lease Cycles'!$HL$10,'Lease Cycles'!$HS$10+'Lease Cycles'!$HZ$10,0)</f>
        <v>0</v>
      </c>
      <c r="DZ58" s="28">
        <f>IF(DZ$6='Lease Cycles'!$HL$10,'Lease Cycles'!$HS$10+'Lease Cycles'!$HZ$10,0)</f>
        <v>0</v>
      </c>
      <c r="EA58" s="28">
        <f>IF(EA$6='Lease Cycles'!$HL$10,'Lease Cycles'!$HS$10+'Lease Cycles'!$HZ$10,0)</f>
        <v>0</v>
      </c>
      <c r="EB58" s="28">
        <f>IF(EB$6='Lease Cycles'!$HL$10,'Lease Cycles'!$HS$10+'Lease Cycles'!$HZ$10,0)</f>
        <v>0</v>
      </c>
      <c r="EC58" s="28">
        <f>IF(EC$6='Lease Cycles'!$HL$10,'Lease Cycles'!$HS$10+'Lease Cycles'!$HZ$10,0)</f>
        <v>0</v>
      </c>
      <c r="ED58" s="28">
        <f>IF(ED$6='Lease Cycles'!$HL$10,'Lease Cycles'!$HS$10+'Lease Cycles'!$HZ$10,0)</f>
        <v>0</v>
      </c>
      <c r="EE58" s="28">
        <f>IF(EE$6='Lease Cycles'!$HL$10,'Lease Cycles'!$HS$10+'Lease Cycles'!$HZ$10,0)</f>
        <v>0</v>
      </c>
      <c r="EF58" s="28">
        <f>IF(EF$6='Lease Cycles'!$HL$10,'Lease Cycles'!$HS$10+'Lease Cycles'!$HZ$10,0)</f>
        <v>0</v>
      </c>
      <c r="EG58" s="28">
        <f>IF(EG$6='Lease Cycles'!$HL$10,'Lease Cycles'!$HS$10+'Lease Cycles'!$HZ$10,0)</f>
        <v>0</v>
      </c>
      <c r="EH58" s="28">
        <f>IF(EH$6='Lease Cycles'!$HL$10,'Lease Cycles'!$HS$10+'Lease Cycles'!$HZ$10,0)</f>
        <v>0</v>
      </c>
      <c r="EI58" s="28">
        <f>IF(EI$6='Lease Cycles'!$HL$10,'Lease Cycles'!$HS$10+'Lease Cycles'!$HZ$10,0)</f>
        <v>0</v>
      </c>
      <c r="EJ58" s="28">
        <f>IF(EJ$6='Lease Cycles'!$HL$10,'Lease Cycles'!$HS$10+'Lease Cycles'!$HZ$10,0)</f>
        <v>0</v>
      </c>
      <c r="EK58" s="28">
        <f>IF(EK$6='Lease Cycles'!$HL$10,'Lease Cycles'!$HS$10+'Lease Cycles'!$HZ$10,0)</f>
        <v>0</v>
      </c>
      <c r="EL58" s="28">
        <f>IF(EL$6='Lease Cycles'!$HL$10,'Lease Cycles'!$HS$10+'Lease Cycles'!$HZ$10,0)</f>
        <v>0</v>
      </c>
      <c r="EM58" s="28">
        <f>IF(EM$6='Lease Cycles'!$HL$10,'Lease Cycles'!$HS$10+'Lease Cycles'!$HZ$10,0)</f>
        <v>0</v>
      </c>
      <c r="EN58" s="28">
        <f>IF(EN$6='Lease Cycles'!$HL$10,'Lease Cycles'!$HS$10+'Lease Cycles'!$HZ$10,0)</f>
        <v>0</v>
      </c>
      <c r="EO58" s="28">
        <f>IF(EO$6='Lease Cycles'!$HL$10,'Lease Cycles'!$HS$10+'Lease Cycles'!$HZ$10,0)</f>
        <v>0</v>
      </c>
      <c r="EP58" s="28">
        <f>IF(EP$6='Lease Cycles'!$HL$10,'Lease Cycles'!$HS$10+'Lease Cycles'!$HZ$10,0)</f>
        <v>0</v>
      </c>
      <c r="EQ58" s="28">
        <f>IF(EQ$6='Lease Cycles'!$HL$10,'Lease Cycles'!$HS$10+'Lease Cycles'!$HZ$10,0)</f>
        <v>0</v>
      </c>
      <c r="ER58" s="28">
        <f>IF(ER$6='Lease Cycles'!$HL$10,'Lease Cycles'!$HS$10+'Lease Cycles'!$HZ$10,0)</f>
        <v>0</v>
      </c>
      <c r="ES58" s="28">
        <f>IF(ES$6='Lease Cycles'!$HL$10,'Lease Cycles'!$HS$10+'Lease Cycles'!$HZ$10,0)</f>
        <v>0</v>
      </c>
      <c r="ET58" s="28">
        <f>IF(ET$6='Lease Cycles'!$HL$10,'Lease Cycles'!$HS$10+'Lease Cycles'!$HZ$10,0)</f>
        <v>0</v>
      </c>
    </row>
    <row r="59">
      <c r="A59" s="103">
        <v>3</v>
      </c>
      <c r="B59" s="23" t="str">
        <f>IF('Lease Cycles'!$B$10="","(empty slot)",'Lease Cycles'!$B$10)</f>
        <v>Sunfield Fitness</v>
      </c>
      <c r="C59" s="23" t="s">
        <v>499</v>
      </c>
      <c r="D59" s="104" t="s">
        <v>500</v>
      </c>
      <c r="E59" s="25">
        <f>'Lease Cycles'!$AL$10</f>
        <v>0</v>
      </c>
      <c r="G59" s="28">
        <f>MAX(0,'Lease Cycles'!$AN$10*'Lease Cycles'!$C$10*'Lease Cycles'!$AM$10*(1+a_SalesGrowth)^(G$6-1)-G49)</f>
        <v>0</v>
      </c>
      <c r="H59" s="28">
        <f>MAX(0,'Lease Cycles'!$AN$10*'Lease Cycles'!$C$10*'Lease Cycles'!$AM$10*(1+a_SalesGrowth)^(H$6-1)-H49)</f>
        <v>0</v>
      </c>
      <c r="I59" s="28">
        <f>MAX(0,'Lease Cycles'!$AN$10*'Lease Cycles'!$C$10*'Lease Cycles'!$AM$10*(1+a_SalesGrowth)^(I$6-1)-I49)</f>
        <v>0</v>
      </c>
      <c r="J59" s="28">
        <f>MAX(0,'Lease Cycles'!$AN$10*'Lease Cycles'!$C$10*'Lease Cycles'!$AM$10*(1+a_SalesGrowth)^(J$6-1)-J49)</f>
        <v>0</v>
      </c>
      <c r="K59" s="28">
        <f>MAX(0,'Lease Cycles'!$AN$10*'Lease Cycles'!$C$10*'Lease Cycles'!$AM$10*(1+a_SalesGrowth)^(K$6-1)-K49)</f>
        <v>0</v>
      </c>
      <c r="L59" s="28">
        <f>MAX(0,'Lease Cycles'!$AN$10*'Lease Cycles'!$C$10*'Lease Cycles'!$AM$10*(1+a_SalesGrowth)^(L$6-1)-L49)</f>
        <v>0</v>
      </c>
      <c r="M59" s="28">
        <f>MAX(0,'Lease Cycles'!$AN$10*'Lease Cycles'!$C$10*'Lease Cycles'!$AM$10*(1+a_SalesGrowth)^(M$6-1)-M49)</f>
        <v>0</v>
      </c>
      <c r="N59" s="28">
        <f>MAX(0,'Lease Cycles'!$AN$10*'Lease Cycles'!$C$10*'Lease Cycles'!$AM$10*(1+a_SalesGrowth)^(N$6-1)-N49)</f>
        <v>0</v>
      </c>
      <c r="O59" s="28">
        <f>MAX(0,'Lease Cycles'!$AN$10*'Lease Cycles'!$C$10*'Lease Cycles'!$AM$10*(1+a_SalesGrowth)^(O$6-1)-O49)</f>
        <v>0</v>
      </c>
      <c r="P59" s="28">
        <f>MAX(0,'Lease Cycles'!$AN$10*'Lease Cycles'!$C$10*'Lease Cycles'!$AM$10*(1+a_SalesGrowth)^(P$6-1)-P49)</f>
        <v>0</v>
      </c>
      <c r="Q59" s="28">
        <f>MAX(0,'Lease Cycles'!$AN$10*'Lease Cycles'!$C$10*'Lease Cycles'!$AM$10*(1+a_SalesGrowth)^(Q$6-1)-Q49)</f>
        <v>0</v>
      </c>
    </row>
    <row r="61">
      <c r="A61" s="103">
        <v>4</v>
      </c>
      <c r="B61" s="23" t="str">
        <f>IF('Lease Cycles'!$B$11="","(empty slot)",'Lease Cycles'!$B$11)</f>
        <v>Sunfield Dental</v>
      </c>
      <c r="C61" s="23" t="s">
        <v>671</v>
      </c>
      <c r="D61" s="104" t="s">
        <v>672</v>
      </c>
      <c r="E61" s="25">
        <f>'Lease Cycles'!$AL$11</f>
        <v>0</v>
      </c>
      <c r="S61" s="25">
        <f>IF('Lease Cycles'!$C$11&gt;0,COUNTIF('Lease Cycles'!$BG$11:$BM$11,"&lt;="&amp;S$6),0)</f>
        <v>1</v>
      </c>
      <c r="T61" s="25">
        <f>IF('Lease Cycles'!$C$11&gt;0,COUNTIF('Lease Cycles'!$BG$11:$BM$11,"&lt;="&amp;T$6),0)</f>
        <v>1</v>
      </c>
      <c r="U61" s="25">
        <f>IF('Lease Cycles'!$C$11&gt;0,COUNTIF('Lease Cycles'!$BG$11:$BM$11,"&lt;="&amp;U$6),0)</f>
        <v>1</v>
      </c>
      <c r="V61" s="25">
        <f>IF('Lease Cycles'!$C$11&gt;0,COUNTIF('Lease Cycles'!$BG$11:$BM$11,"&lt;="&amp;V$6),0)</f>
        <v>1</v>
      </c>
      <c r="W61" s="25">
        <f>IF('Lease Cycles'!$C$11&gt;0,COUNTIF('Lease Cycles'!$BG$11:$BM$11,"&lt;="&amp;W$6),0)</f>
        <v>1</v>
      </c>
      <c r="X61" s="25">
        <f>IF('Lease Cycles'!$C$11&gt;0,COUNTIF('Lease Cycles'!$BG$11:$BM$11,"&lt;="&amp;X$6),0)</f>
        <v>1</v>
      </c>
      <c r="Y61" s="25">
        <f>IF('Lease Cycles'!$C$11&gt;0,COUNTIF('Lease Cycles'!$BG$11:$BM$11,"&lt;="&amp;Y$6),0)</f>
        <v>1</v>
      </c>
      <c r="Z61" s="25">
        <f>IF('Lease Cycles'!$C$11&gt;0,COUNTIF('Lease Cycles'!$BG$11:$BM$11,"&lt;="&amp;Z$6),0)</f>
        <v>1</v>
      </c>
      <c r="AA61" s="25">
        <f>IF('Lease Cycles'!$C$11&gt;0,COUNTIF('Lease Cycles'!$BG$11:$BM$11,"&lt;="&amp;AA$6),0)</f>
        <v>1</v>
      </c>
      <c r="AB61" s="25">
        <f>IF('Lease Cycles'!$C$11&gt;0,COUNTIF('Lease Cycles'!$BG$11:$BM$11,"&lt;="&amp;AB$6),0)</f>
        <v>1</v>
      </c>
      <c r="AC61" s="25">
        <f>IF('Lease Cycles'!$C$11&gt;0,COUNTIF('Lease Cycles'!$BG$11:$BM$11,"&lt;="&amp;AC$6),0)</f>
        <v>1</v>
      </c>
      <c r="AD61" s="25">
        <f>IF('Lease Cycles'!$C$11&gt;0,COUNTIF('Lease Cycles'!$BG$11:$BM$11,"&lt;="&amp;AD$6),0)</f>
        <v>1</v>
      </c>
      <c r="AE61" s="25">
        <f>IF('Lease Cycles'!$C$11&gt;0,COUNTIF('Lease Cycles'!$BG$11:$BM$11,"&lt;="&amp;AE$6),0)</f>
        <v>1</v>
      </c>
      <c r="AF61" s="25">
        <f>IF('Lease Cycles'!$C$11&gt;0,COUNTIF('Lease Cycles'!$BG$11:$BM$11,"&lt;="&amp;AF$6),0)</f>
        <v>1</v>
      </c>
      <c r="AG61" s="25">
        <f>IF('Lease Cycles'!$C$11&gt;0,COUNTIF('Lease Cycles'!$BG$11:$BM$11,"&lt;="&amp;AG$6),0)</f>
        <v>1</v>
      </c>
      <c r="AH61" s="25">
        <f>IF('Lease Cycles'!$C$11&gt;0,COUNTIF('Lease Cycles'!$BG$11:$BM$11,"&lt;="&amp;AH$6),0)</f>
        <v>1</v>
      </c>
      <c r="AI61" s="25">
        <f>IF('Lease Cycles'!$C$11&gt;0,COUNTIF('Lease Cycles'!$BG$11:$BM$11,"&lt;="&amp;AI$6),0)</f>
        <v>1</v>
      </c>
      <c r="AJ61" s="25">
        <f>IF('Lease Cycles'!$C$11&gt;0,COUNTIF('Lease Cycles'!$BG$11:$BM$11,"&lt;="&amp;AJ$6),0)</f>
        <v>1</v>
      </c>
      <c r="AK61" s="25">
        <f>IF('Lease Cycles'!$C$11&gt;0,COUNTIF('Lease Cycles'!$BG$11:$BM$11,"&lt;="&amp;AK$6),0)</f>
        <v>1</v>
      </c>
      <c r="AL61" s="25">
        <f>IF('Lease Cycles'!$C$11&gt;0,COUNTIF('Lease Cycles'!$BG$11:$BM$11,"&lt;="&amp;AL$6),0)</f>
        <v>1</v>
      </c>
      <c r="AM61" s="25">
        <f>IF('Lease Cycles'!$C$11&gt;0,COUNTIF('Lease Cycles'!$BG$11:$BM$11,"&lt;="&amp;AM$6),0)</f>
        <v>1</v>
      </c>
      <c r="AN61" s="25">
        <f>IF('Lease Cycles'!$C$11&gt;0,COUNTIF('Lease Cycles'!$BG$11:$BM$11,"&lt;="&amp;AN$6),0)</f>
        <v>1</v>
      </c>
      <c r="AO61" s="25">
        <f>IF('Lease Cycles'!$C$11&gt;0,COUNTIF('Lease Cycles'!$BG$11:$BM$11,"&lt;="&amp;AO$6),0)</f>
        <v>1</v>
      </c>
      <c r="AP61" s="25">
        <f>IF('Lease Cycles'!$C$11&gt;0,COUNTIF('Lease Cycles'!$BG$11:$BM$11,"&lt;="&amp;AP$6),0)</f>
        <v>1</v>
      </c>
      <c r="AQ61" s="25">
        <f>IF('Lease Cycles'!$C$11&gt;0,COUNTIF('Lease Cycles'!$BG$11:$BM$11,"&lt;="&amp;AQ$6),0)</f>
        <v>1</v>
      </c>
      <c r="AR61" s="25">
        <f>IF('Lease Cycles'!$C$11&gt;0,COUNTIF('Lease Cycles'!$BG$11:$BM$11,"&lt;="&amp;AR$6),0)</f>
        <v>1</v>
      </c>
      <c r="AS61" s="25">
        <f>IF('Lease Cycles'!$C$11&gt;0,COUNTIF('Lease Cycles'!$BG$11:$BM$11,"&lt;="&amp;AS$6),0)</f>
        <v>1</v>
      </c>
      <c r="AT61" s="25">
        <f>IF('Lease Cycles'!$C$11&gt;0,COUNTIF('Lease Cycles'!$BG$11:$BM$11,"&lt;="&amp;AT$6),0)</f>
        <v>1</v>
      </c>
      <c r="AU61" s="25">
        <f>IF('Lease Cycles'!$C$11&gt;0,COUNTIF('Lease Cycles'!$BG$11:$BM$11,"&lt;="&amp;AU$6),0)</f>
        <v>1</v>
      </c>
      <c r="AV61" s="25">
        <f>IF('Lease Cycles'!$C$11&gt;0,COUNTIF('Lease Cycles'!$BG$11:$BM$11,"&lt;="&amp;AV$6),0)</f>
        <v>1</v>
      </c>
      <c r="AW61" s="25">
        <f>IF('Lease Cycles'!$C$11&gt;0,COUNTIF('Lease Cycles'!$BG$11:$BM$11,"&lt;="&amp;AW$6),0)</f>
        <v>1</v>
      </c>
      <c r="AX61" s="25">
        <f>IF('Lease Cycles'!$C$11&gt;0,COUNTIF('Lease Cycles'!$BG$11:$BM$11,"&lt;="&amp;AX$6),0)</f>
        <v>1</v>
      </c>
      <c r="AY61" s="25">
        <f>IF('Lease Cycles'!$C$11&gt;0,COUNTIF('Lease Cycles'!$BG$11:$BM$11,"&lt;="&amp;AY$6),0)</f>
        <v>1</v>
      </c>
      <c r="AZ61" s="25">
        <f>IF('Lease Cycles'!$C$11&gt;0,COUNTIF('Lease Cycles'!$BG$11:$BM$11,"&lt;="&amp;AZ$6),0)</f>
        <v>1</v>
      </c>
      <c r="BA61" s="25">
        <f>IF('Lease Cycles'!$C$11&gt;0,COUNTIF('Lease Cycles'!$BG$11:$BM$11,"&lt;="&amp;BA$6),0)</f>
        <v>1</v>
      </c>
      <c r="BB61" s="25">
        <f>IF('Lease Cycles'!$C$11&gt;0,COUNTIF('Lease Cycles'!$BG$11:$BM$11,"&lt;="&amp;BB$6),0)</f>
        <v>1</v>
      </c>
      <c r="BC61" s="25">
        <f>IF('Lease Cycles'!$C$11&gt;0,COUNTIF('Lease Cycles'!$BG$11:$BM$11,"&lt;="&amp;BC$6),0)</f>
        <v>1</v>
      </c>
      <c r="BD61" s="25">
        <f>IF('Lease Cycles'!$C$11&gt;0,COUNTIF('Lease Cycles'!$BG$11:$BM$11,"&lt;="&amp;BD$6),0)</f>
        <v>1</v>
      </c>
      <c r="BE61" s="25">
        <f>IF('Lease Cycles'!$C$11&gt;0,COUNTIF('Lease Cycles'!$BG$11:$BM$11,"&lt;="&amp;BE$6),0)</f>
        <v>1</v>
      </c>
      <c r="BF61" s="25">
        <f>IF('Lease Cycles'!$C$11&gt;0,COUNTIF('Lease Cycles'!$BG$11:$BM$11,"&lt;="&amp;BF$6),0)</f>
        <v>1</v>
      </c>
      <c r="BG61" s="25">
        <f>IF('Lease Cycles'!$C$11&gt;0,COUNTIF('Lease Cycles'!$BG$11:$BM$11,"&lt;="&amp;BG$6),0)</f>
        <v>1</v>
      </c>
      <c r="BH61" s="25">
        <f>IF('Lease Cycles'!$C$11&gt;0,COUNTIF('Lease Cycles'!$BG$11:$BM$11,"&lt;="&amp;BH$6),0)</f>
        <v>1</v>
      </c>
      <c r="BI61" s="25">
        <f>IF('Lease Cycles'!$C$11&gt;0,COUNTIF('Lease Cycles'!$BG$11:$BM$11,"&lt;="&amp;BI$6),0)</f>
        <v>1</v>
      </c>
      <c r="BJ61" s="25">
        <f>IF('Lease Cycles'!$C$11&gt;0,COUNTIF('Lease Cycles'!$BG$11:$BM$11,"&lt;="&amp;BJ$6),0)</f>
        <v>1</v>
      </c>
      <c r="BK61" s="25">
        <f>IF('Lease Cycles'!$C$11&gt;0,COUNTIF('Lease Cycles'!$BG$11:$BM$11,"&lt;="&amp;BK$6),0)</f>
        <v>1</v>
      </c>
      <c r="BL61" s="25">
        <f>IF('Lease Cycles'!$C$11&gt;0,COUNTIF('Lease Cycles'!$BG$11:$BM$11,"&lt;="&amp;BL$6),0)</f>
        <v>1</v>
      </c>
      <c r="BM61" s="25">
        <f>IF('Lease Cycles'!$C$11&gt;0,COUNTIF('Lease Cycles'!$BG$11:$BM$11,"&lt;="&amp;BM$6),0)</f>
        <v>1</v>
      </c>
      <c r="BN61" s="25">
        <f>IF('Lease Cycles'!$C$11&gt;0,COUNTIF('Lease Cycles'!$BG$11:$BM$11,"&lt;="&amp;BN$6),0)</f>
        <v>1</v>
      </c>
      <c r="BO61" s="25">
        <f>IF('Lease Cycles'!$C$11&gt;0,COUNTIF('Lease Cycles'!$BG$11:$BM$11,"&lt;="&amp;BO$6),0)</f>
        <v>1</v>
      </c>
      <c r="BP61" s="25">
        <f>IF('Lease Cycles'!$C$11&gt;0,COUNTIF('Lease Cycles'!$BG$11:$BM$11,"&lt;="&amp;BP$6),0)</f>
        <v>1</v>
      </c>
      <c r="BQ61" s="25">
        <f>IF('Lease Cycles'!$C$11&gt;0,COUNTIF('Lease Cycles'!$BG$11:$BM$11,"&lt;="&amp;BQ$6),0)</f>
        <v>1</v>
      </c>
      <c r="BR61" s="25">
        <f>IF('Lease Cycles'!$C$11&gt;0,COUNTIF('Lease Cycles'!$BG$11:$BM$11,"&lt;="&amp;BR$6),0)</f>
        <v>1</v>
      </c>
      <c r="BS61" s="25">
        <f>IF('Lease Cycles'!$C$11&gt;0,COUNTIF('Lease Cycles'!$BG$11:$BM$11,"&lt;="&amp;BS$6),0)</f>
        <v>1</v>
      </c>
      <c r="BT61" s="25">
        <f>IF('Lease Cycles'!$C$11&gt;0,COUNTIF('Lease Cycles'!$BG$11:$BM$11,"&lt;="&amp;BT$6),0)</f>
        <v>1</v>
      </c>
      <c r="BU61" s="25">
        <f>IF('Lease Cycles'!$C$11&gt;0,COUNTIF('Lease Cycles'!$BG$11:$BM$11,"&lt;="&amp;BU$6),0)</f>
        <v>1</v>
      </c>
      <c r="BV61" s="25">
        <f>IF('Lease Cycles'!$C$11&gt;0,COUNTIF('Lease Cycles'!$BG$11:$BM$11,"&lt;="&amp;BV$6),0)</f>
        <v>1</v>
      </c>
      <c r="BW61" s="25">
        <f>IF('Lease Cycles'!$C$11&gt;0,COUNTIF('Lease Cycles'!$BG$11:$BM$11,"&lt;="&amp;BW$6),0)</f>
        <v>1</v>
      </c>
      <c r="BX61" s="25">
        <f>IF('Lease Cycles'!$C$11&gt;0,COUNTIF('Lease Cycles'!$BG$11:$BM$11,"&lt;="&amp;BX$6),0)</f>
        <v>1</v>
      </c>
      <c r="BY61" s="25">
        <f>IF('Lease Cycles'!$C$11&gt;0,COUNTIF('Lease Cycles'!$BG$11:$BM$11,"&lt;="&amp;BY$6),0)</f>
        <v>1</v>
      </c>
      <c r="BZ61" s="25">
        <f>IF('Lease Cycles'!$C$11&gt;0,COUNTIF('Lease Cycles'!$BG$11:$BM$11,"&lt;="&amp;BZ$6),0)</f>
        <v>1</v>
      </c>
      <c r="CA61" s="25">
        <f>IF('Lease Cycles'!$C$11&gt;0,COUNTIF('Lease Cycles'!$BG$11:$BM$11,"&lt;="&amp;CA$6),0)</f>
        <v>1</v>
      </c>
      <c r="CB61" s="25">
        <f>IF('Lease Cycles'!$C$11&gt;0,COUNTIF('Lease Cycles'!$BG$11:$BM$11,"&lt;="&amp;CB$6),0)</f>
        <v>1</v>
      </c>
      <c r="CC61" s="25">
        <f>IF('Lease Cycles'!$C$11&gt;0,COUNTIF('Lease Cycles'!$BG$11:$BM$11,"&lt;="&amp;CC$6),0)</f>
        <v>2</v>
      </c>
      <c r="CD61" s="25">
        <f>IF('Lease Cycles'!$C$11&gt;0,COUNTIF('Lease Cycles'!$BG$11:$BM$11,"&lt;="&amp;CD$6),0)</f>
        <v>3</v>
      </c>
      <c r="CE61" s="25">
        <f>IF('Lease Cycles'!$C$11&gt;0,COUNTIF('Lease Cycles'!$BG$11:$BM$11,"&lt;="&amp;CE$6),0)</f>
        <v>3</v>
      </c>
      <c r="CF61" s="25">
        <f>IF('Lease Cycles'!$C$11&gt;0,COUNTIF('Lease Cycles'!$BG$11:$BM$11,"&lt;="&amp;CF$6),0)</f>
        <v>3</v>
      </c>
      <c r="CG61" s="25">
        <f>IF('Lease Cycles'!$C$11&gt;0,COUNTIF('Lease Cycles'!$BG$11:$BM$11,"&lt;="&amp;CG$6),0)</f>
        <v>3</v>
      </c>
      <c r="CH61" s="25">
        <f>IF('Lease Cycles'!$C$11&gt;0,COUNTIF('Lease Cycles'!$BG$11:$BM$11,"&lt;="&amp;CH$6),0)</f>
        <v>3</v>
      </c>
      <c r="CI61" s="25">
        <f>IF('Lease Cycles'!$C$11&gt;0,COUNTIF('Lease Cycles'!$BG$11:$BM$11,"&lt;="&amp;CI$6),0)</f>
        <v>3</v>
      </c>
      <c r="CJ61" s="25">
        <f>IF('Lease Cycles'!$C$11&gt;0,COUNTIF('Lease Cycles'!$BG$11:$BM$11,"&lt;="&amp;CJ$6),0)</f>
        <v>3</v>
      </c>
      <c r="CK61" s="25">
        <f>IF('Lease Cycles'!$C$11&gt;0,COUNTIF('Lease Cycles'!$BG$11:$BM$11,"&lt;="&amp;CK$6),0)</f>
        <v>3</v>
      </c>
      <c r="CL61" s="25">
        <f>IF('Lease Cycles'!$C$11&gt;0,COUNTIF('Lease Cycles'!$BG$11:$BM$11,"&lt;="&amp;CL$6),0)</f>
        <v>3</v>
      </c>
      <c r="CM61" s="25">
        <f>IF('Lease Cycles'!$C$11&gt;0,COUNTIF('Lease Cycles'!$BG$11:$BM$11,"&lt;="&amp;CM$6),0)</f>
        <v>3</v>
      </c>
      <c r="CN61" s="25">
        <f>IF('Lease Cycles'!$C$11&gt;0,COUNTIF('Lease Cycles'!$BG$11:$BM$11,"&lt;="&amp;CN$6),0)</f>
        <v>3</v>
      </c>
      <c r="CO61" s="25">
        <f>IF('Lease Cycles'!$C$11&gt;0,COUNTIF('Lease Cycles'!$BG$11:$BM$11,"&lt;="&amp;CO$6),0)</f>
        <v>3</v>
      </c>
      <c r="CP61" s="25">
        <f>IF('Lease Cycles'!$C$11&gt;0,COUNTIF('Lease Cycles'!$BG$11:$BM$11,"&lt;="&amp;CP$6),0)</f>
        <v>3</v>
      </c>
      <c r="CQ61" s="25">
        <f>IF('Lease Cycles'!$C$11&gt;0,COUNTIF('Lease Cycles'!$BG$11:$BM$11,"&lt;="&amp;CQ$6),0)</f>
        <v>3</v>
      </c>
      <c r="CR61" s="25">
        <f>IF('Lease Cycles'!$C$11&gt;0,COUNTIF('Lease Cycles'!$BG$11:$BM$11,"&lt;="&amp;CR$6),0)</f>
        <v>3</v>
      </c>
      <c r="CS61" s="25">
        <f>IF('Lease Cycles'!$C$11&gt;0,COUNTIF('Lease Cycles'!$BG$11:$BM$11,"&lt;="&amp;CS$6),0)</f>
        <v>3</v>
      </c>
      <c r="CT61" s="25">
        <f>IF('Lease Cycles'!$C$11&gt;0,COUNTIF('Lease Cycles'!$BG$11:$BM$11,"&lt;="&amp;CT$6),0)</f>
        <v>3</v>
      </c>
      <c r="CU61" s="25">
        <f>IF('Lease Cycles'!$C$11&gt;0,COUNTIF('Lease Cycles'!$BG$11:$BM$11,"&lt;="&amp;CU$6),0)</f>
        <v>3</v>
      </c>
      <c r="CV61" s="25">
        <f>IF('Lease Cycles'!$C$11&gt;0,COUNTIF('Lease Cycles'!$BG$11:$BM$11,"&lt;="&amp;CV$6),0)</f>
        <v>3</v>
      </c>
      <c r="CW61" s="25">
        <f>IF('Lease Cycles'!$C$11&gt;0,COUNTIF('Lease Cycles'!$BG$11:$BM$11,"&lt;="&amp;CW$6),0)</f>
        <v>3</v>
      </c>
      <c r="CX61" s="25">
        <f>IF('Lease Cycles'!$C$11&gt;0,COUNTIF('Lease Cycles'!$BG$11:$BM$11,"&lt;="&amp;CX$6),0)</f>
        <v>3</v>
      </c>
      <c r="CY61" s="25">
        <f>IF('Lease Cycles'!$C$11&gt;0,COUNTIF('Lease Cycles'!$BG$11:$BM$11,"&lt;="&amp;CY$6),0)</f>
        <v>3</v>
      </c>
      <c r="CZ61" s="25">
        <f>IF('Lease Cycles'!$C$11&gt;0,COUNTIF('Lease Cycles'!$BG$11:$BM$11,"&lt;="&amp;CZ$6),0)</f>
        <v>3</v>
      </c>
      <c r="DA61" s="25">
        <f>IF('Lease Cycles'!$C$11&gt;0,COUNTIF('Lease Cycles'!$BG$11:$BM$11,"&lt;="&amp;DA$6),0)</f>
        <v>3</v>
      </c>
      <c r="DB61" s="25">
        <f>IF('Lease Cycles'!$C$11&gt;0,COUNTIF('Lease Cycles'!$BG$11:$BM$11,"&lt;="&amp;DB$6),0)</f>
        <v>3</v>
      </c>
      <c r="DC61" s="25">
        <f>IF('Lease Cycles'!$C$11&gt;0,COUNTIF('Lease Cycles'!$BG$11:$BM$11,"&lt;="&amp;DC$6),0)</f>
        <v>3</v>
      </c>
      <c r="DD61" s="25">
        <f>IF('Lease Cycles'!$C$11&gt;0,COUNTIF('Lease Cycles'!$BG$11:$BM$11,"&lt;="&amp;DD$6),0)</f>
        <v>3</v>
      </c>
      <c r="DE61" s="25">
        <f>IF('Lease Cycles'!$C$11&gt;0,COUNTIF('Lease Cycles'!$BG$11:$BM$11,"&lt;="&amp;DE$6),0)</f>
        <v>3</v>
      </c>
      <c r="DF61" s="25">
        <f>IF('Lease Cycles'!$C$11&gt;0,COUNTIF('Lease Cycles'!$BG$11:$BM$11,"&lt;="&amp;DF$6),0)</f>
        <v>3</v>
      </c>
      <c r="DG61" s="25">
        <f>IF('Lease Cycles'!$C$11&gt;0,COUNTIF('Lease Cycles'!$BG$11:$BM$11,"&lt;="&amp;DG$6),0)</f>
        <v>3</v>
      </c>
      <c r="DH61" s="25">
        <f>IF('Lease Cycles'!$C$11&gt;0,COUNTIF('Lease Cycles'!$BG$11:$BM$11,"&lt;="&amp;DH$6),0)</f>
        <v>3</v>
      </c>
      <c r="DI61" s="25">
        <f>IF('Lease Cycles'!$C$11&gt;0,COUNTIF('Lease Cycles'!$BG$11:$BM$11,"&lt;="&amp;DI$6),0)</f>
        <v>3</v>
      </c>
      <c r="DJ61" s="25">
        <f>IF('Lease Cycles'!$C$11&gt;0,COUNTIF('Lease Cycles'!$BG$11:$BM$11,"&lt;="&amp;DJ$6),0)</f>
        <v>3</v>
      </c>
      <c r="DK61" s="25">
        <f>IF('Lease Cycles'!$C$11&gt;0,COUNTIF('Lease Cycles'!$BG$11:$BM$11,"&lt;="&amp;DK$6),0)</f>
        <v>3</v>
      </c>
      <c r="DL61" s="25">
        <f>IF('Lease Cycles'!$C$11&gt;0,COUNTIF('Lease Cycles'!$BG$11:$BM$11,"&lt;="&amp;DL$6),0)</f>
        <v>3</v>
      </c>
      <c r="DM61" s="25">
        <f>IF('Lease Cycles'!$C$11&gt;0,COUNTIF('Lease Cycles'!$BG$11:$BM$11,"&lt;="&amp;DM$6),0)</f>
        <v>3</v>
      </c>
      <c r="DN61" s="25">
        <f>IF('Lease Cycles'!$C$11&gt;0,COUNTIF('Lease Cycles'!$BG$11:$BM$11,"&lt;="&amp;DN$6),0)</f>
        <v>3</v>
      </c>
      <c r="DO61" s="25">
        <f>IF('Lease Cycles'!$C$11&gt;0,COUNTIF('Lease Cycles'!$BG$11:$BM$11,"&lt;="&amp;DO$6),0)</f>
        <v>3</v>
      </c>
      <c r="DP61" s="25">
        <f>IF('Lease Cycles'!$C$11&gt;0,COUNTIF('Lease Cycles'!$BG$11:$BM$11,"&lt;="&amp;DP$6),0)</f>
        <v>3</v>
      </c>
      <c r="DQ61" s="25">
        <f>IF('Lease Cycles'!$C$11&gt;0,COUNTIF('Lease Cycles'!$BG$11:$BM$11,"&lt;="&amp;DQ$6),0)</f>
        <v>3</v>
      </c>
      <c r="DR61" s="25">
        <f>IF('Lease Cycles'!$C$11&gt;0,COUNTIF('Lease Cycles'!$BG$11:$BM$11,"&lt;="&amp;DR$6),0)</f>
        <v>3</v>
      </c>
      <c r="DS61" s="25">
        <f>IF('Lease Cycles'!$C$11&gt;0,COUNTIF('Lease Cycles'!$BG$11:$BM$11,"&lt;="&amp;DS$6),0)</f>
        <v>3</v>
      </c>
      <c r="DT61" s="25">
        <f>IF('Lease Cycles'!$C$11&gt;0,COUNTIF('Lease Cycles'!$BG$11:$BM$11,"&lt;="&amp;DT$6),0)</f>
        <v>3</v>
      </c>
      <c r="DU61" s="25">
        <f>IF('Lease Cycles'!$C$11&gt;0,COUNTIF('Lease Cycles'!$BG$11:$BM$11,"&lt;="&amp;DU$6),0)</f>
        <v>3</v>
      </c>
      <c r="DV61" s="25">
        <f>IF('Lease Cycles'!$C$11&gt;0,COUNTIF('Lease Cycles'!$BG$11:$BM$11,"&lt;="&amp;DV$6),0)</f>
        <v>3</v>
      </c>
      <c r="DW61" s="25">
        <f>IF('Lease Cycles'!$C$11&gt;0,COUNTIF('Lease Cycles'!$BG$11:$BM$11,"&lt;="&amp;DW$6),0)</f>
        <v>3</v>
      </c>
      <c r="DX61" s="25">
        <f>IF('Lease Cycles'!$C$11&gt;0,COUNTIF('Lease Cycles'!$BG$11:$BM$11,"&lt;="&amp;DX$6),0)</f>
        <v>3</v>
      </c>
      <c r="DY61" s="25">
        <f>IF('Lease Cycles'!$C$11&gt;0,COUNTIF('Lease Cycles'!$BG$11:$BM$11,"&lt;="&amp;DY$6),0)</f>
        <v>3</v>
      </c>
      <c r="DZ61" s="25">
        <f>IF('Lease Cycles'!$C$11&gt;0,COUNTIF('Lease Cycles'!$BG$11:$BM$11,"&lt;="&amp;DZ$6),0)</f>
        <v>3</v>
      </c>
      <c r="EA61" s="25">
        <f>IF('Lease Cycles'!$C$11&gt;0,COUNTIF('Lease Cycles'!$BG$11:$BM$11,"&lt;="&amp;EA$6),0)</f>
        <v>3</v>
      </c>
      <c r="EB61" s="25">
        <f>IF('Lease Cycles'!$C$11&gt;0,COUNTIF('Lease Cycles'!$BG$11:$BM$11,"&lt;="&amp;EB$6),0)</f>
        <v>3</v>
      </c>
      <c r="EC61" s="25">
        <f>IF('Lease Cycles'!$C$11&gt;0,COUNTIF('Lease Cycles'!$BG$11:$BM$11,"&lt;="&amp;EC$6),0)</f>
        <v>3</v>
      </c>
      <c r="ED61" s="25">
        <f>IF('Lease Cycles'!$C$11&gt;0,COUNTIF('Lease Cycles'!$BG$11:$BM$11,"&lt;="&amp;ED$6),0)</f>
        <v>3</v>
      </c>
      <c r="EE61" s="25">
        <f>IF('Lease Cycles'!$C$11&gt;0,COUNTIF('Lease Cycles'!$BG$11:$BM$11,"&lt;="&amp;EE$6),0)</f>
        <v>3</v>
      </c>
      <c r="EF61" s="25">
        <f>IF('Lease Cycles'!$C$11&gt;0,COUNTIF('Lease Cycles'!$BG$11:$BM$11,"&lt;="&amp;EF$6),0)</f>
        <v>3</v>
      </c>
      <c r="EG61" s="25">
        <f>IF('Lease Cycles'!$C$11&gt;0,COUNTIF('Lease Cycles'!$BG$11:$BM$11,"&lt;="&amp;EG$6),0)</f>
        <v>3</v>
      </c>
      <c r="EH61" s="25">
        <f>IF('Lease Cycles'!$C$11&gt;0,COUNTIF('Lease Cycles'!$BG$11:$BM$11,"&lt;="&amp;EH$6),0)</f>
        <v>3</v>
      </c>
      <c r="EI61" s="25">
        <f>IF('Lease Cycles'!$C$11&gt;0,COUNTIF('Lease Cycles'!$BG$11:$BM$11,"&lt;="&amp;EI$6),0)</f>
        <v>3</v>
      </c>
      <c r="EJ61" s="25">
        <f>IF('Lease Cycles'!$C$11&gt;0,COUNTIF('Lease Cycles'!$BG$11:$BM$11,"&lt;="&amp;EJ$6),0)</f>
        <v>3</v>
      </c>
      <c r="EK61" s="25">
        <f>IF('Lease Cycles'!$C$11&gt;0,COUNTIF('Lease Cycles'!$BG$11:$BM$11,"&lt;="&amp;EK$6),0)</f>
        <v>3</v>
      </c>
      <c r="EL61" s="25">
        <f>IF('Lease Cycles'!$C$11&gt;0,COUNTIF('Lease Cycles'!$BG$11:$BM$11,"&lt;="&amp;EL$6),0)</f>
        <v>3</v>
      </c>
      <c r="EM61" s="25">
        <f>IF('Lease Cycles'!$C$11&gt;0,COUNTIF('Lease Cycles'!$BG$11:$BM$11,"&lt;="&amp;EM$6),0)</f>
        <v>3</v>
      </c>
      <c r="EN61" s="25">
        <f>IF('Lease Cycles'!$C$11&gt;0,COUNTIF('Lease Cycles'!$BG$11:$BM$11,"&lt;="&amp;EN$6),0)</f>
        <v>3</v>
      </c>
      <c r="EO61" s="25">
        <f>IF('Lease Cycles'!$C$11&gt;0,COUNTIF('Lease Cycles'!$BG$11:$BM$11,"&lt;="&amp;EO$6),0)</f>
        <v>3</v>
      </c>
      <c r="EP61" s="25">
        <f>IF('Lease Cycles'!$C$11&gt;0,COUNTIF('Lease Cycles'!$BG$11:$BM$11,"&lt;="&amp;EP$6),0)</f>
        <v>3</v>
      </c>
      <c r="EQ61" s="25">
        <f>IF('Lease Cycles'!$C$11&gt;0,COUNTIF('Lease Cycles'!$BG$11:$BM$11,"&lt;="&amp;EQ$6),0)</f>
        <v>3</v>
      </c>
      <c r="ER61" s="25">
        <f>IF('Lease Cycles'!$C$11&gt;0,COUNTIF('Lease Cycles'!$BG$11:$BM$11,"&lt;="&amp;ER$6),0)</f>
        <v>3</v>
      </c>
      <c r="ES61" s="25">
        <f>IF('Lease Cycles'!$C$11&gt;0,COUNTIF('Lease Cycles'!$BG$11:$BM$11,"&lt;="&amp;ES$6),0)</f>
        <v>3</v>
      </c>
      <c r="ET61" s="25">
        <f>IF('Lease Cycles'!$C$11&gt;0,COUNTIF('Lease Cycles'!$BG$11:$BM$11,"&lt;="&amp;ET$6),0)</f>
        <v>3</v>
      </c>
    </row>
    <row r="62">
      <c r="A62" s="103">
        <v>4</v>
      </c>
      <c r="B62" s="23" t="str">
        <f>IF('Lease Cycles'!$B$11="","(empty slot)",'Lease Cycles'!$B$11)</f>
        <v>Sunfield Dental</v>
      </c>
      <c r="C62" s="23" t="s">
        <v>673</v>
      </c>
      <c r="D62" s="104" t="s">
        <v>674</v>
      </c>
      <c r="E62" s="25">
        <f>'Lease Cycles'!$AL$11</f>
        <v>0</v>
      </c>
      <c r="S62" s="25">
        <f>IF(S61=0,-1,S$6-INDEX('Lease Cycles'!$BG$11:$BM$11,1,S61))</f>
        <v>0</v>
      </c>
      <c r="T62" s="25">
        <f>IF(T61=0,-1,T$6-INDEX('Lease Cycles'!$BG$11:$BM$11,1,T61))</f>
        <v>1</v>
      </c>
      <c r="U62" s="25">
        <f>IF(U61=0,-1,U$6-INDEX('Lease Cycles'!$BG$11:$BM$11,1,U61))</f>
        <v>2</v>
      </c>
      <c r="V62" s="25">
        <f>IF(V61=0,-1,V$6-INDEX('Lease Cycles'!$BG$11:$BM$11,1,V61))</f>
        <v>3</v>
      </c>
      <c r="W62" s="25">
        <f>IF(W61=0,-1,W$6-INDEX('Lease Cycles'!$BG$11:$BM$11,1,W61))</f>
        <v>4</v>
      </c>
      <c r="X62" s="25">
        <f>IF(X61=0,-1,X$6-INDEX('Lease Cycles'!$BG$11:$BM$11,1,X61))</f>
        <v>5</v>
      </c>
      <c r="Y62" s="25">
        <f>IF(Y61=0,-1,Y$6-INDEX('Lease Cycles'!$BG$11:$BM$11,1,Y61))</f>
        <v>6</v>
      </c>
      <c r="Z62" s="25">
        <f>IF(Z61=0,-1,Z$6-INDEX('Lease Cycles'!$BG$11:$BM$11,1,Z61))</f>
        <v>7</v>
      </c>
      <c r="AA62" s="25">
        <f>IF(AA61=0,-1,AA$6-INDEX('Lease Cycles'!$BG$11:$BM$11,1,AA61))</f>
        <v>8</v>
      </c>
      <c r="AB62" s="25">
        <f>IF(AB61=0,-1,AB$6-INDEX('Lease Cycles'!$BG$11:$BM$11,1,AB61))</f>
        <v>9</v>
      </c>
      <c r="AC62" s="25">
        <f>IF(AC61=0,-1,AC$6-INDEX('Lease Cycles'!$BG$11:$BM$11,1,AC61))</f>
        <v>10</v>
      </c>
      <c r="AD62" s="25">
        <f>IF(AD61=0,-1,AD$6-INDEX('Lease Cycles'!$BG$11:$BM$11,1,AD61))</f>
        <v>11</v>
      </c>
      <c r="AE62" s="25">
        <f>IF(AE61=0,-1,AE$6-INDEX('Lease Cycles'!$BG$11:$BM$11,1,AE61))</f>
        <v>12</v>
      </c>
      <c r="AF62" s="25">
        <f>IF(AF61=0,-1,AF$6-INDEX('Lease Cycles'!$BG$11:$BM$11,1,AF61))</f>
        <v>13</v>
      </c>
      <c r="AG62" s="25">
        <f>IF(AG61=0,-1,AG$6-INDEX('Lease Cycles'!$BG$11:$BM$11,1,AG61))</f>
        <v>14</v>
      </c>
      <c r="AH62" s="25">
        <f>IF(AH61=0,-1,AH$6-INDEX('Lease Cycles'!$BG$11:$BM$11,1,AH61))</f>
        <v>15</v>
      </c>
      <c r="AI62" s="25">
        <f>IF(AI61=0,-1,AI$6-INDEX('Lease Cycles'!$BG$11:$BM$11,1,AI61))</f>
        <v>16</v>
      </c>
      <c r="AJ62" s="25">
        <f>IF(AJ61=0,-1,AJ$6-INDEX('Lease Cycles'!$BG$11:$BM$11,1,AJ61))</f>
        <v>17</v>
      </c>
      <c r="AK62" s="25">
        <f>IF(AK61=0,-1,AK$6-INDEX('Lease Cycles'!$BG$11:$BM$11,1,AK61))</f>
        <v>18</v>
      </c>
      <c r="AL62" s="25">
        <f>IF(AL61=0,-1,AL$6-INDEX('Lease Cycles'!$BG$11:$BM$11,1,AL61))</f>
        <v>19</v>
      </c>
      <c r="AM62" s="25">
        <f>IF(AM61=0,-1,AM$6-INDEX('Lease Cycles'!$BG$11:$BM$11,1,AM61))</f>
        <v>20</v>
      </c>
      <c r="AN62" s="25">
        <f>IF(AN61=0,-1,AN$6-INDEX('Lease Cycles'!$BG$11:$BM$11,1,AN61))</f>
        <v>21</v>
      </c>
      <c r="AO62" s="25">
        <f>IF(AO61=0,-1,AO$6-INDEX('Lease Cycles'!$BG$11:$BM$11,1,AO61))</f>
        <v>22</v>
      </c>
      <c r="AP62" s="25">
        <f>IF(AP61=0,-1,AP$6-INDEX('Lease Cycles'!$BG$11:$BM$11,1,AP61))</f>
        <v>23</v>
      </c>
      <c r="AQ62" s="25">
        <f>IF(AQ61=0,-1,AQ$6-INDEX('Lease Cycles'!$BG$11:$BM$11,1,AQ61))</f>
        <v>24</v>
      </c>
      <c r="AR62" s="25">
        <f>IF(AR61=0,-1,AR$6-INDEX('Lease Cycles'!$BG$11:$BM$11,1,AR61))</f>
        <v>25</v>
      </c>
      <c r="AS62" s="25">
        <f>IF(AS61=0,-1,AS$6-INDEX('Lease Cycles'!$BG$11:$BM$11,1,AS61))</f>
        <v>26</v>
      </c>
      <c r="AT62" s="25">
        <f>IF(AT61=0,-1,AT$6-INDEX('Lease Cycles'!$BG$11:$BM$11,1,AT61))</f>
        <v>27</v>
      </c>
      <c r="AU62" s="25">
        <f>IF(AU61=0,-1,AU$6-INDEX('Lease Cycles'!$BG$11:$BM$11,1,AU61))</f>
        <v>28</v>
      </c>
      <c r="AV62" s="25">
        <f>IF(AV61=0,-1,AV$6-INDEX('Lease Cycles'!$BG$11:$BM$11,1,AV61))</f>
        <v>29</v>
      </c>
      <c r="AW62" s="25">
        <f>IF(AW61=0,-1,AW$6-INDEX('Lease Cycles'!$BG$11:$BM$11,1,AW61))</f>
        <v>30</v>
      </c>
      <c r="AX62" s="25">
        <f>IF(AX61=0,-1,AX$6-INDEX('Lease Cycles'!$BG$11:$BM$11,1,AX61))</f>
        <v>31</v>
      </c>
      <c r="AY62" s="25">
        <f>IF(AY61=0,-1,AY$6-INDEX('Lease Cycles'!$BG$11:$BM$11,1,AY61))</f>
        <v>32</v>
      </c>
      <c r="AZ62" s="25">
        <f>IF(AZ61=0,-1,AZ$6-INDEX('Lease Cycles'!$BG$11:$BM$11,1,AZ61))</f>
        <v>33</v>
      </c>
      <c r="BA62" s="25">
        <f>IF(BA61=0,-1,BA$6-INDEX('Lease Cycles'!$BG$11:$BM$11,1,BA61))</f>
        <v>34</v>
      </c>
      <c r="BB62" s="25">
        <f>IF(BB61=0,-1,BB$6-INDEX('Lease Cycles'!$BG$11:$BM$11,1,BB61))</f>
        <v>35</v>
      </c>
      <c r="BC62" s="25">
        <f>IF(BC61=0,-1,BC$6-INDEX('Lease Cycles'!$BG$11:$BM$11,1,BC61))</f>
        <v>36</v>
      </c>
      <c r="BD62" s="25">
        <f>IF(BD61=0,-1,BD$6-INDEX('Lease Cycles'!$BG$11:$BM$11,1,BD61))</f>
        <v>37</v>
      </c>
      <c r="BE62" s="25">
        <f>IF(BE61=0,-1,BE$6-INDEX('Lease Cycles'!$BG$11:$BM$11,1,BE61))</f>
        <v>38</v>
      </c>
      <c r="BF62" s="25">
        <f>IF(BF61=0,-1,BF$6-INDEX('Lease Cycles'!$BG$11:$BM$11,1,BF61))</f>
        <v>39</v>
      </c>
      <c r="BG62" s="25">
        <f>IF(BG61=0,-1,BG$6-INDEX('Lease Cycles'!$BG$11:$BM$11,1,BG61))</f>
        <v>40</v>
      </c>
      <c r="BH62" s="25">
        <f>IF(BH61=0,-1,BH$6-INDEX('Lease Cycles'!$BG$11:$BM$11,1,BH61))</f>
        <v>41</v>
      </c>
      <c r="BI62" s="25">
        <f>IF(BI61=0,-1,BI$6-INDEX('Lease Cycles'!$BG$11:$BM$11,1,BI61))</f>
        <v>42</v>
      </c>
      <c r="BJ62" s="25">
        <f>IF(BJ61=0,-1,BJ$6-INDEX('Lease Cycles'!$BG$11:$BM$11,1,BJ61))</f>
        <v>43</v>
      </c>
      <c r="BK62" s="25">
        <f>IF(BK61=0,-1,BK$6-INDEX('Lease Cycles'!$BG$11:$BM$11,1,BK61))</f>
        <v>44</v>
      </c>
      <c r="BL62" s="25">
        <f>IF(BL61=0,-1,BL$6-INDEX('Lease Cycles'!$BG$11:$BM$11,1,BL61))</f>
        <v>45</v>
      </c>
      <c r="BM62" s="25">
        <f>IF(BM61=0,-1,BM$6-INDEX('Lease Cycles'!$BG$11:$BM$11,1,BM61))</f>
        <v>46</v>
      </c>
      <c r="BN62" s="25">
        <f>IF(BN61=0,-1,BN$6-INDEX('Lease Cycles'!$BG$11:$BM$11,1,BN61))</f>
        <v>47</v>
      </c>
      <c r="BO62" s="25">
        <f>IF(BO61=0,-1,BO$6-INDEX('Lease Cycles'!$BG$11:$BM$11,1,BO61))</f>
        <v>48</v>
      </c>
      <c r="BP62" s="25">
        <f>IF(BP61=0,-1,BP$6-INDEX('Lease Cycles'!$BG$11:$BM$11,1,BP61))</f>
        <v>49</v>
      </c>
      <c r="BQ62" s="25">
        <f>IF(BQ61=0,-1,BQ$6-INDEX('Lease Cycles'!$BG$11:$BM$11,1,BQ61))</f>
        <v>50</v>
      </c>
      <c r="BR62" s="25">
        <f>IF(BR61=0,-1,BR$6-INDEX('Lease Cycles'!$BG$11:$BM$11,1,BR61))</f>
        <v>51</v>
      </c>
      <c r="BS62" s="25">
        <f>IF(BS61=0,-1,BS$6-INDEX('Lease Cycles'!$BG$11:$BM$11,1,BS61))</f>
        <v>52</v>
      </c>
      <c r="BT62" s="25">
        <f>IF(BT61=0,-1,BT$6-INDEX('Lease Cycles'!$BG$11:$BM$11,1,BT61))</f>
        <v>53</v>
      </c>
      <c r="BU62" s="25">
        <f>IF(BU61=0,-1,BU$6-INDEX('Lease Cycles'!$BG$11:$BM$11,1,BU61))</f>
        <v>54</v>
      </c>
      <c r="BV62" s="25">
        <f>IF(BV61=0,-1,BV$6-INDEX('Lease Cycles'!$BG$11:$BM$11,1,BV61))</f>
        <v>55</v>
      </c>
      <c r="BW62" s="25">
        <f>IF(BW61=0,-1,BW$6-INDEX('Lease Cycles'!$BG$11:$BM$11,1,BW61))</f>
        <v>56</v>
      </c>
      <c r="BX62" s="25">
        <f>IF(BX61=0,-1,BX$6-INDEX('Lease Cycles'!$BG$11:$BM$11,1,BX61))</f>
        <v>57</v>
      </c>
      <c r="BY62" s="25">
        <f>IF(BY61=0,-1,BY$6-INDEX('Lease Cycles'!$BG$11:$BM$11,1,BY61))</f>
        <v>58</v>
      </c>
      <c r="BZ62" s="25">
        <f>IF(BZ61=0,-1,BZ$6-INDEX('Lease Cycles'!$BG$11:$BM$11,1,BZ61))</f>
        <v>59</v>
      </c>
      <c r="CA62" s="25">
        <f>IF(CA61=0,-1,CA$6-INDEX('Lease Cycles'!$BG$11:$BM$11,1,CA61))</f>
        <v>60</v>
      </c>
      <c r="CB62" s="25">
        <f>IF(CB61=0,-1,CB$6-INDEX('Lease Cycles'!$BG$11:$BM$11,1,CB61))</f>
        <v>61</v>
      </c>
      <c r="CC62" s="25">
        <f>IF(CC61=0,-1,CC$6-INDEX('Lease Cycles'!$BG$11:$BM$11,1,CC61))</f>
        <v>0</v>
      </c>
      <c r="CD62" s="25">
        <f>IF(CD61=0,-1,CD$6-INDEX('Lease Cycles'!$BG$11:$BM$11,1,CD61))</f>
        <v>0</v>
      </c>
      <c r="CE62" s="25">
        <f>IF(CE61=0,-1,CE$6-INDEX('Lease Cycles'!$BG$11:$BM$11,1,CE61))</f>
        <v>1</v>
      </c>
      <c r="CF62" s="25">
        <f>IF(CF61=0,-1,CF$6-INDEX('Lease Cycles'!$BG$11:$BM$11,1,CF61))</f>
        <v>2</v>
      </c>
      <c r="CG62" s="25">
        <f>IF(CG61=0,-1,CG$6-INDEX('Lease Cycles'!$BG$11:$BM$11,1,CG61))</f>
        <v>3</v>
      </c>
      <c r="CH62" s="25">
        <f>IF(CH61=0,-1,CH$6-INDEX('Lease Cycles'!$BG$11:$BM$11,1,CH61))</f>
        <v>4</v>
      </c>
      <c r="CI62" s="25">
        <f>IF(CI61=0,-1,CI$6-INDEX('Lease Cycles'!$BG$11:$BM$11,1,CI61))</f>
        <v>5</v>
      </c>
      <c r="CJ62" s="25">
        <f>IF(CJ61=0,-1,CJ$6-INDEX('Lease Cycles'!$BG$11:$BM$11,1,CJ61))</f>
        <v>6</v>
      </c>
      <c r="CK62" s="25">
        <f>IF(CK61=0,-1,CK$6-INDEX('Lease Cycles'!$BG$11:$BM$11,1,CK61))</f>
        <v>7</v>
      </c>
      <c r="CL62" s="25">
        <f>IF(CL61=0,-1,CL$6-INDEX('Lease Cycles'!$BG$11:$BM$11,1,CL61))</f>
        <v>8</v>
      </c>
      <c r="CM62" s="25">
        <f>IF(CM61=0,-1,CM$6-INDEX('Lease Cycles'!$BG$11:$BM$11,1,CM61))</f>
        <v>9</v>
      </c>
      <c r="CN62" s="25">
        <f>IF(CN61=0,-1,CN$6-INDEX('Lease Cycles'!$BG$11:$BM$11,1,CN61))</f>
        <v>10</v>
      </c>
      <c r="CO62" s="25">
        <f>IF(CO61=0,-1,CO$6-INDEX('Lease Cycles'!$BG$11:$BM$11,1,CO61))</f>
        <v>11</v>
      </c>
      <c r="CP62" s="25">
        <f>IF(CP61=0,-1,CP$6-INDEX('Lease Cycles'!$BG$11:$BM$11,1,CP61))</f>
        <v>12</v>
      </c>
      <c r="CQ62" s="25">
        <f>IF(CQ61=0,-1,CQ$6-INDEX('Lease Cycles'!$BG$11:$BM$11,1,CQ61))</f>
        <v>13</v>
      </c>
      <c r="CR62" s="25">
        <f>IF(CR61=0,-1,CR$6-INDEX('Lease Cycles'!$BG$11:$BM$11,1,CR61))</f>
        <v>14</v>
      </c>
      <c r="CS62" s="25">
        <f>IF(CS61=0,-1,CS$6-INDEX('Lease Cycles'!$BG$11:$BM$11,1,CS61))</f>
        <v>15</v>
      </c>
      <c r="CT62" s="25">
        <f>IF(CT61=0,-1,CT$6-INDEX('Lease Cycles'!$BG$11:$BM$11,1,CT61))</f>
        <v>16</v>
      </c>
      <c r="CU62" s="25">
        <f>IF(CU61=0,-1,CU$6-INDEX('Lease Cycles'!$BG$11:$BM$11,1,CU61))</f>
        <v>17</v>
      </c>
      <c r="CV62" s="25">
        <f>IF(CV61=0,-1,CV$6-INDEX('Lease Cycles'!$BG$11:$BM$11,1,CV61))</f>
        <v>18</v>
      </c>
      <c r="CW62" s="25">
        <f>IF(CW61=0,-1,CW$6-INDEX('Lease Cycles'!$BG$11:$BM$11,1,CW61))</f>
        <v>19</v>
      </c>
      <c r="CX62" s="25">
        <f>IF(CX61=0,-1,CX$6-INDEX('Lease Cycles'!$BG$11:$BM$11,1,CX61))</f>
        <v>20</v>
      </c>
      <c r="CY62" s="25">
        <f>IF(CY61=0,-1,CY$6-INDEX('Lease Cycles'!$BG$11:$BM$11,1,CY61))</f>
        <v>21</v>
      </c>
      <c r="CZ62" s="25">
        <f>IF(CZ61=0,-1,CZ$6-INDEX('Lease Cycles'!$BG$11:$BM$11,1,CZ61))</f>
        <v>22</v>
      </c>
      <c r="DA62" s="25">
        <f>IF(DA61=0,-1,DA$6-INDEX('Lease Cycles'!$BG$11:$BM$11,1,DA61))</f>
        <v>23</v>
      </c>
      <c r="DB62" s="25">
        <f>IF(DB61=0,-1,DB$6-INDEX('Lease Cycles'!$BG$11:$BM$11,1,DB61))</f>
        <v>24</v>
      </c>
      <c r="DC62" s="25">
        <f>IF(DC61=0,-1,DC$6-INDEX('Lease Cycles'!$BG$11:$BM$11,1,DC61))</f>
        <v>25</v>
      </c>
      <c r="DD62" s="25">
        <f>IF(DD61=0,-1,DD$6-INDEX('Lease Cycles'!$BG$11:$BM$11,1,DD61))</f>
        <v>26</v>
      </c>
      <c r="DE62" s="25">
        <f>IF(DE61=0,-1,DE$6-INDEX('Lease Cycles'!$BG$11:$BM$11,1,DE61))</f>
        <v>27</v>
      </c>
      <c r="DF62" s="25">
        <f>IF(DF61=0,-1,DF$6-INDEX('Lease Cycles'!$BG$11:$BM$11,1,DF61))</f>
        <v>28</v>
      </c>
      <c r="DG62" s="25">
        <f>IF(DG61=0,-1,DG$6-INDEX('Lease Cycles'!$BG$11:$BM$11,1,DG61))</f>
        <v>29</v>
      </c>
      <c r="DH62" s="25">
        <f>IF(DH61=0,-1,DH$6-INDEX('Lease Cycles'!$BG$11:$BM$11,1,DH61))</f>
        <v>30</v>
      </c>
      <c r="DI62" s="25">
        <f>IF(DI61=0,-1,DI$6-INDEX('Lease Cycles'!$BG$11:$BM$11,1,DI61))</f>
        <v>31</v>
      </c>
      <c r="DJ62" s="25">
        <f>IF(DJ61=0,-1,DJ$6-INDEX('Lease Cycles'!$BG$11:$BM$11,1,DJ61))</f>
        <v>32</v>
      </c>
      <c r="DK62" s="25">
        <f>IF(DK61=0,-1,DK$6-INDEX('Lease Cycles'!$BG$11:$BM$11,1,DK61))</f>
        <v>33</v>
      </c>
      <c r="DL62" s="25">
        <f>IF(DL61=0,-1,DL$6-INDEX('Lease Cycles'!$BG$11:$BM$11,1,DL61))</f>
        <v>34</v>
      </c>
      <c r="DM62" s="25">
        <f>IF(DM61=0,-1,DM$6-INDEX('Lease Cycles'!$BG$11:$BM$11,1,DM61))</f>
        <v>35</v>
      </c>
      <c r="DN62" s="25">
        <f>IF(DN61=0,-1,DN$6-INDEX('Lease Cycles'!$BG$11:$BM$11,1,DN61))</f>
        <v>36</v>
      </c>
      <c r="DO62" s="25">
        <f>IF(DO61=0,-1,DO$6-INDEX('Lease Cycles'!$BG$11:$BM$11,1,DO61))</f>
        <v>37</v>
      </c>
      <c r="DP62" s="25">
        <f>IF(DP61=0,-1,DP$6-INDEX('Lease Cycles'!$BG$11:$BM$11,1,DP61))</f>
        <v>38</v>
      </c>
      <c r="DQ62" s="25">
        <f>IF(DQ61=0,-1,DQ$6-INDEX('Lease Cycles'!$BG$11:$BM$11,1,DQ61))</f>
        <v>39</v>
      </c>
      <c r="DR62" s="25">
        <f>IF(DR61=0,-1,DR$6-INDEX('Lease Cycles'!$BG$11:$BM$11,1,DR61))</f>
        <v>40</v>
      </c>
      <c r="DS62" s="25">
        <f>IF(DS61=0,-1,DS$6-INDEX('Lease Cycles'!$BG$11:$BM$11,1,DS61))</f>
        <v>41</v>
      </c>
      <c r="DT62" s="25">
        <f>IF(DT61=0,-1,DT$6-INDEX('Lease Cycles'!$BG$11:$BM$11,1,DT61))</f>
        <v>42</v>
      </c>
      <c r="DU62" s="25">
        <f>IF(DU61=0,-1,DU$6-INDEX('Lease Cycles'!$BG$11:$BM$11,1,DU61))</f>
        <v>43</v>
      </c>
      <c r="DV62" s="25">
        <f>IF(DV61=0,-1,DV$6-INDEX('Lease Cycles'!$BG$11:$BM$11,1,DV61))</f>
        <v>44</v>
      </c>
      <c r="DW62" s="25">
        <f>IF(DW61=0,-1,DW$6-INDEX('Lease Cycles'!$BG$11:$BM$11,1,DW61))</f>
        <v>45</v>
      </c>
      <c r="DX62" s="25">
        <f>IF(DX61=0,-1,DX$6-INDEX('Lease Cycles'!$BG$11:$BM$11,1,DX61))</f>
        <v>46</v>
      </c>
      <c r="DY62" s="25">
        <f>IF(DY61=0,-1,DY$6-INDEX('Lease Cycles'!$BG$11:$BM$11,1,DY61))</f>
        <v>47</v>
      </c>
      <c r="DZ62" s="25">
        <f>IF(DZ61=0,-1,DZ$6-INDEX('Lease Cycles'!$BG$11:$BM$11,1,DZ61))</f>
        <v>48</v>
      </c>
      <c r="EA62" s="25">
        <f>IF(EA61=0,-1,EA$6-INDEX('Lease Cycles'!$BG$11:$BM$11,1,EA61))</f>
        <v>49</v>
      </c>
      <c r="EB62" s="25">
        <f>IF(EB61=0,-1,EB$6-INDEX('Lease Cycles'!$BG$11:$BM$11,1,EB61))</f>
        <v>50</v>
      </c>
      <c r="EC62" s="25">
        <f>IF(EC61=0,-1,EC$6-INDEX('Lease Cycles'!$BG$11:$BM$11,1,EC61))</f>
        <v>51</v>
      </c>
      <c r="ED62" s="25">
        <f>IF(ED61=0,-1,ED$6-INDEX('Lease Cycles'!$BG$11:$BM$11,1,ED61))</f>
        <v>52</v>
      </c>
      <c r="EE62" s="25">
        <f>IF(EE61=0,-1,EE$6-INDEX('Lease Cycles'!$BG$11:$BM$11,1,EE61))</f>
        <v>53</v>
      </c>
      <c r="EF62" s="25">
        <f>IF(EF61=0,-1,EF$6-INDEX('Lease Cycles'!$BG$11:$BM$11,1,EF61))</f>
        <v>54</v>
      </c>
      <c r="EG62" s="25">
        <f>IF(EG61=0,-1,EG$6-INDEX('Lease Cycles'!$BG$11:$BM$11,1,EG61))</f>
        <v>55</v>
      </c>
      <c r="EH62" s="25">
        <f>IF(EH61=0,-1,EH$6-INDEX('Lease Cycles'!$BG$11:$BM$11,1,EH61))</f>
        <v>56</v>
      </c>
      <c r="EI62" s="25">
        <f>IF(EI61=0,-1,EI$6-INDEX('Lease Cycles'!$BG$11:$BM$11,1,EI61))</f>
        <v>57</v>
      </c>
      <c r="EJ62" s="25">
        <f>IF(EJ61=0,-1,EJ$6-INDEX('Lease Cycles'!$BG$11:$BM$11,1,EJ61))</f>
        <v>58</v>
      </c>
      <c r="EK62" s="25">
        <f>IF(EK61=0,-1,EK$6-INDEX('Lease Cycles'!$BG$11:$BM$11,1,EK61))</f>
        <v>59</v>
      </c>
      <c r="EL62" s="25">
        <f>IF(EL61=0,-1,EL$6-INDEX('Lease Cycles'!$BG$11:$BM$11,1,EL61))</f>
        <v>60</v>
      </c>
      <c r="EM62" s="25">
        <f>IF(EM61=0,-1,EM$6-INDEX('Lease Cycles'!$BG$11:$BM$11,1,EM61))</f>
        <v>61</v>
      </c>
      <c r="EN62" s="25">
        <f>IF(EN61=0,-1,EN$6-INDEX('Lease Cycles'!$BG$11:$BM$11,1,EN61))</f>
        <v>62</v>
      </c>
      <c r="EO62" s="25">
        <f>IF(EO61=0,-1,EO$6-INDEX('Lease Cycles'!$BG$11:$BM$11,1,EO61))</f>
        <v>63</v>
      </c>
      <c r="EP62" s="25">
        <f>IF(EP61=0,-1,EP$6-INDEX('Lease Cycles'!$BG$11:$BM$11,1,EP61))</f>
        <v>64</v>
      </c>
      <c r="EQ62" s="25">
        <f>IF(EQ61=0,-1,EQ$6-INDEX('Lease Cycles'!$BG$11:$BM$11,1,EQ61))</f>
        <v>65</v>
      </c>
      <c r="ER62" s="25">
        <f>IF(ER61=0,-1,ER$6-INDEX('Lease Cycles'!$BG$11:$BM$11,1,ER61))</f>
        <v>66</v>
      </c>
      <c r="ES62" s="25">
        <f>IF(ES61=0,-1,ES$6-INDEX('Lease Cycles'!$BG$11:$BM$11,1,ES61))</f>
        <v>67</v>
      </c>
      <c r="ET62" s="25">
        <f>IF(ET61=0,-1,ET$6-INDEX('Lease Cycles'!$BG$11:$BM$11,1,ET61))</f>
        <v>68</v>
      </c>
    </row>
    <row r="63">
      <c r="A63" s="103">
        <v>4</v>
      </c>
      <c r="B63" s="23" t="str">
        <f>IF('Lease Cycles'!$B$11="","(empty slot)",'Lease Cycles'!$B$11)</f>
        <v>Sunfield Dental</v>
      </c>
      <c r="C63" s="23" t="s">
        <v>675</v>
      </c>
      <c r="D63" s="104" t="s">
        <v>676</v>
      </c>
      <c r="E63" s="25">
        <f>'Lease Cycles'!$AL$11</f>
        <v>0</v>
      </c>
      <c r="S63" s="25">
        <f>IF(S61=0,0,IF(S62&lt;INDEX('Lease Cycles'!$BN$11:$BT$11,1,S61),1,0))</f>
        <v>1</v>
      </c>
      <c r="T63" s="25">
        <f>IF(T61=0,0,IF(T62&lt;INDEX('Lease Cycles'!$BN$11:$BT$11,1,T61),1,0))</f>
        <v>1</v>
      </c>
      <c r="U63" s="25">
        <f>IF(U61=0,0,IF(U62&lt;INDEX('Lease Cycles'!$BN$11:$BT$11,1,U61),1,0))</f>
        <v>1</v>
      </c>
      <c r="V63" s="25">
        <f>IF(V61=0,0,IF(V62&lt;INDEX('Lease Cycles'!$BN$11:$BT$11,1,V61),1,0))</f>
        <v>1</v>
      </c>
      <c r="W63" s="25">
        <f>IF(W61=0,0,IF(W62&lt;INDEX('Lease Cycles'!$BN$11:$BT$11,1,W61),1,0))</f>
        <v>1</v>
      </c>
      <c r="X63" s="25">
        <f>IF(X61=0,0,IF(X62&lt;INDEX('Lease Cycles'!$BN$11:$BT$11,1,X61),1,0))</f>
        <v>1</v>
      </c>
      <c r="Y63" s="25">
        <f>IF(Y61=0,0,IF(Y62&lt;INDEX('Lease Cycles'!$BN$11:$BT$11,1,Y61),1,0))</f>
        <v>1</v>
      </c>
      <c r="Z63" s="25">
        <f>IF(Z61=0,0,IF(Z62&lt;INDEX('Lease Cycles'!$BN$11:$BT$11,1,Z61),1,0))</f>
        <v>1</v>
      </c>
      <c r="AA63" s="25">
        <f>IF(AA61=0,0,IF(AA62&lt;INDEX('Lease Cycles'!$BN$11:$BT$11,1,AA61),1,0))</f>
        <v>1</v>
      </c>
      <c r="AB63" s="25">
        <f>IF(AB61=0,0,IF(AB62&lt;INDEX('Lease Cycles'!$BN$11:$BT$11,1,AB61),1,0))</f>
        <v>1</v>
      </c>
      <c r="AC63" s="25">
        <f>IF(AC61=0,0,IF(AC62&lt;INDEX('Lease Cycles'!$BN$11:$BT$11,1,AC61),1,0))</f>
        <v>1</v>
      </c>
      <c r="AD63" s="25">
        <f>IF(AD61=0,0,IF(AD62&lt;INDEX('Lease Cycles'!$BN$11:$BT$11,1,AD61),1,0))</f>
        <v>1</v>
      </c>
      <c r="AE63" s="25">
        <f>IF(AE61=0,0,IF(AE62&lt;INDEX('Lease Cycles'!$BN$11:$BT$11,1,AE61),1,0))</f>
        <v>1</v>
      </c>
      <c r="AF63" s="25">
        <f>IF(AF61=0,0,IF(AF62&lt;INDEX('Lease Cycles'!$BN$11:$BT$11,1,AF61),1,0))</f>
        <v>1</v>
      </c>
      <c r="AG63" s="25">
        <f>IF(AG61=0,0,IF(AG62&lt;INDEX('Lease Cycles'!$BN$11:$BT$11,1,AG61),1,0))</f>
        <v>1</v>
      </c>
      <c r="AH63" s="25">
        <f>IF(AH61=0,0,IF(AH62&lt;INDEX('Lease Cycles'!$BN$11:$BT$11,1,AH61),1,0))</f>
        <v>1</v>
      </c>
      <c r="AI63" s="25">
        <f>IF(AI61=0,0,IF(AI62&lt;INDEX('Lease Cycles'!$BN$11:$BT$11,1,AI61),1,0))</f>
        <v>1</v>
      </c>
      <c r="AJ63" s="25">
        <f>IF(AJ61=0,0,IF(AJ62&lt;INDEX('Lease Cycles'!$BN$11:$BT$11,1,AJ61),1,0))</f>
        <v>1</v>
      </c>
      <c r="AK63" s="25">
        <f>IF(AK61=0,0,IF(AK62&lt;INDEX('Lease Cycles'!$BN$11:$BT$11,1,AK61),1,0))</f>
        <v>1</v>
      </c>
      <c r="AL63" s="25">
        <f>IF(AL61=0,0,IF(AL62&lt;INDEX('Lease Cycles'!$BN$11:$BT$11,1,AL61),1,0))</f>
        <v>1</v>
      </c>
      <c r="AM63" s="25">
        <f>IF(AM61=0,0,IF(AM62&lt;INDEX('Lease Cycles'!$BN$11:$BT$11,1,AM61),1,0))</f>
        <v>1</v>
      </c>
      <c r="AN63" s="25">
        <f>IF(AN61=0,0,IF(AN62&lt;INDEX('Lease Cycles'!$BN$11:$BT$11,1,AN61),1,0))</f>
        <v>1</v>
      </c>
      <c r="AO63" s="25">
        <f>IF(AO61=0,0,IF(AO62&lt;INDEX('Lease Cycles'!$BN$11:$BT$11,1,AO61),1,0))</f>
        <v>1</v>
      </c>
      <c r="AP63" s="25">
        <f>IF(AP61=0,0,IF(AP62&lt;INDEX('Lease Cycles'!$BN$11:$BT$11,1,AP61),1,0))</f>
        <v>1</v>
      </c>
      <c r="AQ63" s="25">
        <f>IF(AQ61=0,0,IF(AQ62&lt;INDEX('Lease Cycles'!$BN$11:$BT$11,1,AQ61),1,0))</f>
        <v>1</v>
      </c>
      <c r="AR63" s="25">
        <f>IF(AR61=0,0,IF(AR62&lt;INDEX('Lease Cycles'!$BN$11:$BT$11,1,AR61),1,0))</f>
        <v>1</v>
      </c>
      <c r="AS63" s="25">
        <f>IF(AS61=0,0,IF(AS62&lt;INDEX('Lease Cycles'!$BN$11:$BT$11,1,AS61),1,0))</f>
        <v>1</v>
      </c>
      <c r="AT63" s="25">
        <f>IF(AT61=0,0,IF(AT62&lt;INDEX('Lease Cycles'!$BN$11:$BT$11,1,AT61),1,0))</f>
        <v>1</v>
      </c>
      <c r="AU63" s="25">
        <f>IF(AU61=0,0,IF(AU62&lt;INDEX('Lease Cycles'!$BN$11:$BT$11,1,AU61),1,0))</f>
        <v>1</v>
      </c>
      <c r="AV63" s="25">
        <f>IF(AV61=0,0,IF(AV62&lt;INDEX('Lease Cycles'!$BN$11:$BT$11,1,AV61),1,0))</f>
        <v>1</v>
      </c>
      <c r="AW63" s="25">
        <f>IF(AW61=0,0,IF(AW62&lt;INDEX('Lease Cycles'!$BN$11:$BT$11,1,AW61),1,0))</f>
        <v>1</v>
      </c>
      <c r="AX63" s="25">
        <f>IF(AX61=0,0,IF(AX62&lt;INDEX('Lease Cycles'!$BN$11:$BT$11,1,AX61),1,0))</f>
        <v>1</v>
      </c>
      <c r="AY63" s="25">
        <f>IF(AY61=0,0,IF(AY62&lt;INDEX('Lease Cycles'!$BN$11:$BT$11,1,AY61),1,0))</f>
        <v>1</v>
      </c>
      <c r="AZ63" s="25">
        <f>IF(AZ61=0,0,IF(AZ62&lt;INDEX('Lease Cycles'!$BN$11:$BT$11,1,AZ61),1,0))</f>
        <v>1</v>
      </c>
      <c r="BA63" s="25">
        <f>IF(BA61=0,0,IF(BA62&lt;INDEX('Lease Cycles'!$BN$11:$BT$11,1,BA61),1,0))</f>
        <v>1</v>
      </c>
      <c r="BB63" s="25">
        <f>IF(BB61=0,0,IF(BB62&lt;INDEX('Lease Cycles'!$BN$11:$BT$11,1,BB61),1,0))</f>
        <v>1</v>
      </c>
      <c r="BC63" s="25">
        <f>IF(BC61=0,0,IF(BC62&lt;INDEX('Lease Cycles'!$BN$11:$BT$11,1,BC61),1,0))</f>
        <v>1</v>
      </c>
      <c r="BD63" s="25">
        <f>IF(BD61=0,0,IF(BD62&lt;INDEX('Lease Cycles'!$BN$11:$BT$11,1,BD61),1,0))</f>
        <v>1</v>
      </c>
      <c r="BE63" s="25">
        <f>IF(BE61=0,0,IF(BE62&lt;INDEX('Lease Cycles'!$BN$11:$BT$11,1,BE61),1,0))</f>
        <v>1</v>
      </c>
      <c r="BF63" s="25">
        <f>IF(BF61=0,0,IF(BF62&lt;INDEX('Lease Cycles'!$BN$11:$BT$11,1,BF61),1,0))</f>
        <v>1</v>
      </c>
      <c r="BG63" s="25">
        <f>IF(BG61=0,0,IF(BG62&lt;INDEX('Lease Cycles'!$BN$11:$BT$11,1,BG61),1,0))</f>
        <v>1</v>
      </c>
      <c r="BH63" s="25">
        <f>IF(BH61=0,0,IF(BH62&lt;INDEX('Lease Cycles'!$BN$11:$BT$11,1,BH61),1,0))</f>
        <v>1</v>
      </c>
      <c r="BI63" s="25">
        <f>IF(BI61=0,0,IF(BI62&lt;INDEX('Lease Cycles'!$BN$11:$BT$11,1,BI61),1,0))</f>
        <v>1</v>
      </c>
      <c r="BJ63" s="25">
        <f>IF(BJ61=0,0,IF(BJ62&lt;INDEX('Lease Cycles'!$BN$11:$BT$11,1,BJ61),1,0))</f>
        <v>1</v>
      </c>
      <c r="BK63" s="25">
        <f>IF(BK61=0,0,IF(BK62&lt;INDEX('Lease Cycles'!$BN$11:$BT$11,1,BK61),1,0))</f>
        <v>1</v>
      </c>
      <c r="BL63" s="25">
        <f>IF(BL61=0,0,IF(BL62&lt;INDEX('Lease Cycles'!$BN$11:$BT$11,1,BL61),1,0))</f>
        <v>1</v>
      </c>
      <c r="BM63" s="25">
        <f>IF(BM61=0,0,IF(BM62&lt;INDEX('Lease Cycles'!$BN$11:$BT$11,1,BM61),1,0))</f>
        <v>1</v>
      </c>
      <c r="BN63" s="25">
        <f>IF(BN61=0,0,IF(BN62&lt;INDEX('Lease Cycles'!$BN$11:$BT$11,1,BN61),1,0))</f>
        <v>1</v>
      </c>
      <c r="BO63" s="25">
        <f>IF(BO61=0,0,IF(BO62&lt;INDEX('Lease Cycles'!$BN$11:$BT$11,1,BO61),1,0))</f>
        <v>1</v>
      </c>
      <c r="BP63" s="25">
        <f>IF(BP61=0,0,IF(BP62&lt;INDEX('Lease Cycles'!$BN$11:$BT$11,1,BP61),1,0))</f>
        <v>1</v>
      </c>
      <c r="BQ63" s="25">
        <f>IF(BQ61=0,0,IF(BQ62&lt;INDEX('Lease Cycles'!$BN$11:$BT$11,1,BQ61),1,0))</f>
        <v>1</v>
      </c>
      <c r="BR63" s="25">
        <f>IF(BR61=0,0,IF(BR62&lt;INDEX('Lease Cycles'!$BN$11:$BT$11,1,BR61),1,0))</f>
        <v>1</v>
      </c>
      <c r="BS63" s="25">
        <f>IF(BS61=0,0,IF(BS62&lt;INDEX('Lease Cycles'!$BN$11:$BT$11,1,BS61),1,0))</f>
        <v>1</v>
      </c>
      <c r="BT63" s="25">
        <f>IF(BT61=0,0,IF(BT62&lt;INDEX('Lease Cycles'!$BN$11:$BT$11,1,BT61),1,0))</f>
        <v>1</v>
      </c>
      <c r="BU63" s="25">
        <f>IF(BU61=0,0,IF(BU62&lt;INDEX('Lease Cycles'!$BN$11:$BT$11,1,BU61),1,0))</f>
        <v>1</v>
      </c>
      <c r="BV63" s="25">
        <f>IF(BV61=0,0,IF(BV62&lt;INDEX('Lease Cycles'!$BN$11:$BT$11,1,BV61),1,0))</f>
        <v>1</v>
      </c>
      <c r="BW63" s="25">
        <f>IF(BW61=0,0,IF(BW62&lt;INDEX('Lease Cycles'!$BN$11:$BT$11,1,BW61),1,0))</f>
        <v>1</v>
      </c>
      <c r="BX63" s="25">
        <f>IF(BX61=0,0,IF(BX62&lt;INDEX('Lease Cycles'!$BN$11:$BT$11,1,BX61),1,0))</f>
        <v>1</v>
      </c>
      <c r="BY63" s="25">
        <f>IF(BY61=0,0,IF(BY62&lt;INDEX('Lease Cycles'!$BN$11:$BT$11,1,BY61),1,0))</f>
        <v>1</v>
      </c>
      <c r="BZ63" s="25">
        <f>IF(BZ61=0,0,IF(BZ62&lt;INDEX('Lease Cycles'!$BN$11:$BT$11,1,BZ61),1,0))</f>
        <v>1</v>
      </c>
      <c r="CA63" s="25">
        <f>IF(CA61=0,0,IF(CA62&lt;INDEX('Lease Cycles'!$BN$11:$BT$11,1,CA61),1,0))</f>
        <v>1</v>
      </c>
      <c r="CB63" s="25">
        <f>IF(CB61=0,0,IF(CB62&lt;INDEX('Lease Cycles'!$BN$11:$BT$11,1,CB61),1,0))</f>
        <v>1</v>
      </c>
      <c r="CC63" s="25">
        <f>IF(CC61=0,0,IF(CC62&lt;INDEX('Lease Cycles'!$BN$11:$BT$11,1,CC61),1,0))</f>
        <v>0</v>
      </c>
      <c r="CD63" s="25">
        <f>IF(CD61=0,0,IF(CD62&lt;INDEX('Lease Cycles'!$BN$11:$BT$11,1,CD61),1,0))</f>
        <v>1</v>
      </c>
      <c r="CE63" s="25">
        <f>IF(CE61=0,0,IF(CE62&lt;INDEX('Lease Cycles'!$BN$11:$BT$11,1,CE61),1,0))</f>
        <v>1</v>
      </c>
      <c r="CF63" s="25">
        <f>IF(CF61=0,0,IF(CF62&lt;INDEX('Lease Cycles'!$BN$11:$BT$11,1,CF61),1,0))</f>
        <v>1</v>
      </c>
      <c r="CG63" s="25">
        <f>IF(CG61=0,0,IF(CG62&lt;INDEX('Lease Cycles'!$BN$11:$BT$11,1,CG61),1,0))</f>
        <v>1</v>
      </c>
      <c r="CH63" s="25">
        <f>IF(CH61=0,0,IF(CH62&lt;INDEX('Lease Cycles'!$BN$11:$BT$11,1,CH61),1,0))</f>
        <v>1</v>
      </c>
      <c r="CI63" s="25">
        <f>IF(CI61=0,0,IF(CI62&lt;INDEX('Lease Cycles'!$BN$11:$BT$11,1,CI61),1,0))</f>
        <v>1</v>
      </c>
      <c r="CJ63" s="25">
        <f>IF(CJ61=0,0,IF(CJ62&lt;INDEX('Lease Cycles'!$BN$11:$BT$11,1,CJ61),1,0))</f>
        <v>1</v>
      </c>
      <c r="CK63" s="25">
        <f>IF(CK61=0,0,IF(CK62&lt;INDEX('Lease Cycles'!$BN$11:$BT$11,1,CK61),1,0))</f>
        <v>1</v>
      </c>
      <c r="CL63" s="25">
        <f>IF(CL61=0,0,IF(CL62&lt;INDEX('Lease Cycles'!$BN$11:$BT$11,1,CL61),1,0))</f>
        <v>1</v>
      </c>
      <c r="CM63" s="25">
        <f>IF(CM61=0,0,IF(CM62&lt;INDEX('Lease Cycles'!$BN$11:$BT$11,1,CM61),1,0))</f>
        <v>1</v>
      </c>
      <c r="CN63" s="25">
        <f>IF(CN61=0,0,IF(CN62&lt;INDEX('Lease Cycles'!$BN$11:$BT$11,1,CN61),1,0))</f>
        <v>1</v>
      </c>
      <c r="CO63" s="25">
        <f>IF(CO61=0,0,IF(CO62&lt;INDEX('Lease Cycles'!$BN$11:$BT$11,1,CO61),1,0))</f>
        <v>1</v>
      </c>
      <c r="CP63" s="25">
        <f>IF(CP61=0,0,IF(CP62&lt;INDEX('Lease Cycles'!$BN$11:$BT$11,1,CP61),1,0))</f>
        <v>1</v>
      </c>
      <c r="CQ63" s="25">
        <f>IF(CQ61=0,0,IF(CQ62&lt;INDEX('Lease Cycles'!$BN$11:$BT$11,1,CQ61),1,0))</f>
        <v>1</v>
      </c>
      <c r="CR63" s="25">
        <f>IF(CR61=0,0,IF(CR62&lt;INDEX('Lease Cycles'!$BN$11:$BT$11,1,CR61),1,0))</f>
        <v>1</v>
      </c>
      <c r="CS63" s="25">
        <f>IF(CS61=0,0,IF(CS62&lt;INDEX('Lease Cycles'!$BN$11:$BT$11,1,CS61),1,0))</f>
        <v>1</v>
      </c>
      <c r="CT63" s="25">
        <f>IF(CT61=0,0,IF(CT62&lt;INDEX('Lease Cycles'!$BN$11:$BT$11,1,CT61),1,0))</f>
        <v>1</v>
      </c>
      <c r="CU63" s="25">
        <f>IF(CU61=0,0,IF(CU62&lt;INDEX('Lease Cycles'!$BN$11:$BT$11,1,CU61),1,0))</f>
        <v>1</v>
      </c>
      <c r="CV63" s="25">
        <f>IF(CV61=0,0,IF(CV62&lt;INDEX('Lease Cycles'!$BN$11:$BT$11,1,CV61),1,0))</f>
        <v>1</v>
      </c>
      <c r="CW63" s="25">
        <f>IF(CW61=0,0,IF(CW62&lt;INDEX('Lease Cycles'!$BN$11:$BT$11,1,CW61),1,0))</f>
        <v>1</v>
      </c>
      <c r="CX63" s="25">
        <f>IF(CX61=0,0,IF(CX62&lt;INDEX('Lease Cycles'!$BN$11:$BT$11,1,CX61),1,0))</f>
        <v>1</v>
      </c>
      <c r="CY63" s="25">
        <f>IF(CY61=0,0,IF(CY62&lt;INDEX('Lease Cycles'!$BN$11:$BT$11,1,CY61),1,0))</f>
        <v>1</v>
      </c>
      <c r="CZ63" s="25">
        <f>IF(CZ61=0,0,IF(CZ62&lt;INDEX('Lease Cycles'!$BN$11:$BT$11,1,CZ61),1,0))</f>
        <v>1</v>
      </c>
      <c r="DA63" s="25">
        <f>IF(DA61=0,0,IF(DA62&lt;INDEX('Lease Cycles'!$BN$11:$BT$11,1,DA61),1,0))</f>
        <v>1</v>
      </c>
      <c r="DB63" s="25">
        <f>IF(DB61=0,0,IF(DB62&lt;INDEX('Lease Cycles'!$BN$11:$BT$11,1,DB61),1,0))</f>
        <v>1</v>
      </c>
      <c r="DC63" s="25">
        <f>IF(DC61=0,0,IF(DC62&lt;INDEX('Lease Cycles'!$BN$11:$BT$11,1,DC61),1,0))</f>
        <v>1</v>
      </c>
      <c r="DD63" s="25">
        <f>IF(DD61=0,0,IF(DD62&lt;INDEX('Lease Cycles'!$BN$11:$BT$11,1,DD61),1,0))</f>
        <v>1</v>
      </c>
      <c r="DE63" s="25">
        <f>IF(DE61=0,0,IF(DE62&lt;INDEX('Lease Cycles'!$BN$11:$BT$11,1,DE61),1,0))</f>
        <v>1</v>
      </c>
      <c r="DF63" s="25">
        <f>IF(DF61=0,0,IF(DF62&lt;INDEX('Lease Cycles'!$BN$11:$BT$11,1,DF61),1,0))</f>
        <v>1</v>
      </c>
      <c r="DG63" s="25">
        <f>IF(DG61=0,0,IF(DG62&lt;INDEX('Lease Cycles'!$BN$11:$BT$11,1,DG61),1,0))</f>
        <v>1</v>
      </c>
      <c r="DH63" s="25">
        <f>IF(DH61=0,0,IF(DH62&lt;INDEX('Lease Cycles'!$BN$11:$BT$11,1,DH61),1,0))</f>
        <v>1</v>
      </c>
      <c r="DI63" s="25">
        <f>IF(DI61=0,0,IF(DI62&lt;INDEX('Lease Cycles'!$BN$11:$BT$11,1,DI61),1,0))</f>
        <v>1</v>
      </c>
      <c r="DJ63" s="25">
        <f>IF(DJ61=0,0,IF(DJ62&lt;INDEX('Lease Cycles'!$BN$11:$BT$11,1,DJ61),1,0))</f>
        <v>1</v>
      </c>
      <c r="DK63" s="25">
        <f>IF(DK61=0,0,IF(DK62&lt;INDEX('Lease Cycles'!$BN$11:$BT$11,1,DK61),1,0))</f>
        <v>1</v>
      </c>
      <c r="DL63" s="25">
        <f>IF(DL61=0,0,IF(DL62&lt;INDEX('Lease Cycles'!$BN$11:$BT$11,1,DL61),1,0))</f>
        <v>1</v>
      </c>
      <c r="DM63" s="25">
        <f>IF(DM61=0,0,IF(DM62&lt;INDEX('Lease Cycles'!$BN$11:$BT$11,1,DM61),1,0))</f>
        <v>1</v>
      </c>
      <c r="DN63" s="25">
        <f>IF(DN61=0,0,IF(DN62&lt;INDEX('Lease Cycles'!$BN$11:$BT$11,1,DN61),1,0))</f>
        <v>1</v>
      </c>
      <c r="DO63" s="25">
        <f>IF(DO61=0,0,IF(DO62&lt;INDEX('Lease Cycles'!$BN$11:$BT$11,1,DO61),1,0))</f>
        <v>1</v>
      </c>
      <c r="DP63" s="25">
        <f>IF(DP61=0,0,IF(DP62&lt;INDEX('Lease Cycles'!$BN$11:$BT$11,1,DP61),1,0))</f>
        <v>1</v>
      </c>
      <c r="DQ63" s="25">
        <f>IF(DQ61=0,0,IF(DQ62&lt;INDEX('Lease Cycles'!$BN$11:$BT$11,1,DQ61),1,0))</f>
        <v>1</v>
      </c>
      <c r="DR63" s="25">
        <f>IF(DR61=0,0,IF(DR62&lt;INDEX('Lease Cycles'!$BN$11:$BT$11,1,DR61),1,0))</f>
        <v>1</v>
      </c>
      <c r="DS63" s="25">
        <f>IF(DS61=0,0,IF(DS62&lt;INDEX('Lease Cycles'!$BN$11:$BT$11,1,DS61),1,0))</f>
        <v>1</v>
      </c>
      <c r="DT63" s="25">
        <f>IF(DT61=0,0,IF(DT62&lt;INDEX('Lease Cycles'!$BN$11:$BT$11,1,DT61),1,0))</f>
        <v>1</v>
      </c>
      <c r="DU63" s="25">
        <f>IF(DU61=0,0,IF(DU62&lt;INDEX('Lease Cycles'!$BN$11:$BT$11,1,DU61),1,0))</f>
        <v>1</v>
      </c>
      <c r="DV63" s="25">
        <f>IF(DV61=0,0,IF(DV62&lt;INDEX('Lease Cycles'!$BN$11:$BT$11,1,DV61),1,0))</f>
        <v>1</v>
      </c>
      <c r="DW63" s="25">
        <f>IF(DW61=0,0,IF(DW62&lt;INDEX('Lease Cycles'!$BN$11:$BT$11,1,DW61),1,0))</f>
        <v>1</v>
      </c>
      <c r="DX63" s="25">
        <f>IF(DX61=0,0,IF(DX62&lt;INDEX('Lease Cycles'!$BN$11:$BT$11,1,DX61),1,0))</f>
        <v>1</v>
      </c>
      <c r="DY63" s="25">
        <f>IF(DY61=0,0,IF(DY62&lt;INDEX('Lease Cycles'!$BN$11:$BT$11,1,DY61),1,0))</f>
        <v>1</v>
      </c>
      <c r="DZ63" s="25">
        <f>IF(DZ61=0,0,IF(DZ62&lt;INDEX('Lease Cycles'!$BN$11:$BT$11,1,DZ61),1,0))</f>
        <v>1</v>
      </c>
      <c r="EA63" s="25">
        <f>IF(EA61=0,0,IF(EA62&lt;INDEX('Lease Cycles'!$BN$11:$BT$11,1,EA61),1,0))</f>
        <v>1</v>
      </c>
      <c r="EB63" s="25">
        <f>IF(EB61=0,0,IF(EB62&lt;INDEX('Lease Cycles'!$BN$11:$BT$11,1,EB61),1,0))</f>
        <v>1</v>
      </c>
      <c r="EC63" s="25">
        <f>IF(EC61=0,0,IF(EC62&lt;INDEX('Lease Cycles'!$BN$11:$BT$11,1,EC61),1,0))</f>
        <v>1</v>
      </c>
      <c r="ED63" s="25">
        <f>IF(ED61=0,0,IF(ED62&lt;INDEX('Lease Cycles'!$BN$11:$BT$11,1,ED61),1,0))</f>
        <v>1</v>
      </c>
      <c r="EE63" s="25">
        <f>IF(EE61=0,0,IF(EE62&lt;INDEX('Lease Cycles'!$BN$11:$BT$11,1,EE61),1,0))</f>
        <v>1</v>
      </c>
      <c r="EF63" s="25">
        <f>IF(EF61=0,0,IF(EF62&lt;INDEX('Lease Cycles'!$BN$11:$BT$11,1,EF61),1,0))</f>
        <v>1</v>
      </c>
      <c r="EG63" s="25">
        <f>IF(EG61=0,0,IF(EG62&lt;INDEX('Lease Cycles'!$BN$11:$BT$11,1,EG61),1,0))</f>
        <v>1</v>
      </c>
      <c r="EH63" s="25">
        <f>IF(EH61=0,0,IF(EH62&lt;INDEX('Lease Cycles'!$BN$11:$BT$11,1,EH61),1,0))</f>
        <v>1</v>
      </c>
      <c r="EI63" s="25">
        <f>IF(EI61=0,0,IF(EI62&lt;INDEX('Lease Cycles'!$BN$11:$BT$11,1,EI61),1,0))</f>
        <v>1</v>
      </c>
      <c r="EJ63" s="25">
        <f>IF(EJ61=0,0,IF(EJ62&lt;INDEX('Lease Cycles'!$BN$11:$BT$11,1,EJ61),1,0))</f>
        <v>1</v>
      </c>
      <c r="EK63" s="25">
        <f>IF(EK61=0,0,IF(EK62&lt;INDEX('Lease Cycles'!$BN$11:$BT$11,1,EK61),1,0))</f>
        <v>1</v>
      </c>
      <c r="EL63" s="25">
        <f>IF(EL61=0,0,IF(EL62&lt;INDEX('Lease Cycles'!$BN$11:$BT$11,1,EL61),1,0))</f>
        <v>1</v>
      </c>
      <c r="EM63" s="25">
        <f>IF(EM61=0,0,IF(EM62&lt;INDEX('Lease Cycles'!$BN$11:$BT$11,1,EM61),1,0))</f>
        <v>1</v>
      </c>
      <c r="EN63" s="25">
        <f>IF(EN61=0,0,IF(EN62&lt;INDEX('Lease Cycles'!$BN$11:$BT$11,1,EN61),1,0))</f>
        <v>1</v>
      </c>
      <c r="EO63" s="25">
        <f>IF(EO61=0,0,IF(EO62&lt;INDEX('Lease Cycles'!$BN$11:$BT$11,1,EO61),1,0))</f>
        <v>1</v>
      </c>
      <c r="EP63" s="25">
        <f>IF(EP61=0,0,IF(EP62&lt;INDEX('Lease Cycles'!$BN$11:$BT$11,1,EP61),1,0))</f>
        <v>1</v>
      </c>
      <c r="EQ63" s="25">
        <f>IF(EQ61=0,0,IF(EQ62&lt;INDEX('Lease Cycles'!$BN$11:$BT$11,1,EQ61),1,0))</f>
        <v>1</v>
      </c>
      <c r="ER63" s="25">
        <f>IF(ER61=0,0,IF(ER62&lt;INDEX('Lease Cycles'!$BN$11:$BT$11,1,ER61),1,0))</f>
        <v>1</v>
      </c>
      <c r="ES63" s="25">
        <f>IF(ES61=0,0,IF(ES62&lt;INDEX('Lease Cycles'!$BN$11:$BT$11,1,ES61),1,0))</f>
        <v>1</v>
      </c>
      <c r="ET63" s="25">
        <f>IF(ET61=0,0,IF(ET62&lt;INDEX('Lease Cycles'!$BN$11:$BT$11,1,ET61),1,0))</f>
        <v>1</v>
      </c>
    </row>
    <row r="64">
      <c r="A64" s="103">
        <v>4</v>
      </c>
      <c r="B64" s="23" t="str">
        <f>IF('Lease Cycles'!$B$11="","(empty slot)",'Lease Cycles'!$B$11)</f>
        <v>Sunfield Dental</v>
      </c>
      <c r="C64" s="23" t="s">
        <v>677</v>
      </c>
      <c r="D64" s="104" t="s">
        <v>678</v>
      </c>
      <c r="E64" s="25">
        <f>'Lease Cycles'!$AL$11</f>
        <v>0</v>
      </c>
      <c r="S64" s="28">
        <f>IF(S61=0,IF('Lease Cycles'!$F$11&gt;0,'Lease Cycles'!$C$11*'Lease Cycles'!$E$11/12,0),IF(S63=1,IF('Lease Cycles'!$AT$11&gt;=9999,'Lease Cycles'!$C$11*INDEX('Lease Cycles'!$CB$11:$CH$11,1,S61)*(1+INDEX('Lease Cycles'!$CI$11:$CO$11,1,S61))^INT(INT(S62/12)/INDEX('Lease Cycles'!$CP$11:$CV$11,1,S61))/12,IF(S61=1,IF(S62&gt;=INDEX('Lease Cycles'!$DK$11:$DQ$11,1,S61),IF(S$6&gt;='Lease Cycles'!$AZ$11,'Lease Cycles'!$C$11*'Lease Cycles'!$BA$11/12,IF(S$6&gt;='Lease Cycles'!$AX$11,'Lease Cycles'!$C$11*'Lease Cycles'!$AY$11/12,IF(S$6&gt;='Lease Cycles'!$AV$11,'Lease Cycles'!$C$11*'Lease Cycles'!$AW$11/12,IF(S$6&gt;='Lease Cycles'!$AT$11,'Lease Cycles'!$C$11*'Lease Cycles'!$AU$11/12,'Lease Cycles'!$C$11*INDEX('Lease Cycles'!$CB$11:$CH$11,1,S61)*(1+INDEX('Lease Cycles'!$CI$11:$CO$11,1,S61))^INT(INT(S62/12)/INDEX('Lease Cycles'!$CP$11:$CV$11,1,S61))/12)))),'Lease Cycles'!$C$11*INDEX('Lease Cycles'!$CB$11:$CH$11,1,S61)*(1+INDEX('Lease Cycles'!$CI$11:$CO$11,1,S61))^INT(INT(S62/12)/INDEX('Lease Cycles'!$CP$11:$CV$11,1,S61))/12),IF(INDEX('Lease Cycles'!$EF$11:$EL$11,1,S61)=1,IF(AND('Lease Cycles'!$AZ$11&gt;=INDEX('Lease Cycles'!$BG$11:$BM$11,1,S61),'Lease Cycles'!$AZ$11&lt;=S$6),'Lease Cycles'!$C$11*'Lease Cycles'!$BA$11/12,IF(AND('Lease Cycles'!$AX$11&gt;=INDEX('Lease Cycles'!$BG$11:$BM$11,1,S61),'Lease Cycles'!$AX$11&lt;=S$6),'Lease Cycles'!$C$11*'Lease Cycles'!$AY$11/12,IF(AND('Lease Cycles'!$AV$11&gt;=INDEX('Lease Cycles'!$BG$11:$BM$11,1,S61),'Lease Cycles'!$AV$11&lt;=S$6),'Lease Cycles'!$C$11*'Lease Cycles'!$AW$11/12,IF(AND('Lease Cycles'!$AT$11&gt;=INDEX('Lease Cycles'!$BG$11:$BM$11,1,S61),'Lease Cycles'!$AT$11&lt;=S$6),'Lease Cycles'!$C$11*'Lease Cycles'!$AU$11/12,'Lease Cycles'!$C$11*INDEX('Lease Cycles'!$CB$11:$CH$11,1,S61)*(1+INDEX('Lease Cycles'!$CI$11:$CO$11,1,S61))^INT(INT(S62/12)/INDEX('Lease Cycles'!$CP$11:$CV$11,1,S61))/12)))),'Lease Cycles'!$C$11*INDEX('Lease Cycles'!$CB$11:$CH$11,1,S61)*(1+INDEX('Lease Cycles'!$CI$11:$CO$11,1,S61))^INT(INT(S62/12)/INDEX('Lease Cycles'!$CP$11:$CV$11,1,S61))/12))),IF('Lease Cycles'!$N$11=1,'Lease Cycles'!$C$11*'Lease Cycles'!$E$11*INDEX('Lease Cycles'!$HE$11:$HK$11,1,S61)*(1+INDEX('Lease Cycles'!$GQ$11:$GW$11,1,S61))^INT(INT((S$6-INDEX('Lease Cycles'!$GJ$11:$GP$11,1,S61))/12)/INDEX('Lease Cycles'!$GX$11:$HD$11,1,S61))/12,0)))</f>
        <v>5625</v>
      </c>
      <c r="T64" s="28">
        <f>IF(T61=0,IF('Lease Cycles'!$F$11&gt;0,'Lease Cycles'!$C$11*'Lease Cycles'!$E$11/12,0),IF(T63=1,IF('Lease Cycles'!$AT$11&gt;=9999,'Lease Cycles'!$C$11*INDEX('Lease Cycles'!$CB$11:$CH$11,1,T61)*(1+INDEX('Lease Cycles'!$CI$11:$CO$11,1,T61))^INT(INT(T62/12)/INDEX('Lease Cycles'!$CP$11:$CV$11,1,T61))/12,IF(T61=1,IF(T62&gt;=INDEX('Lease Cycles'!$DK$11:$DQ$11,1,T61),IF(T$6&gt;='Lease Cycles'!$AZ$11,'Lease Cycles'!$C$11*'Lease Cycles'!$BA$11/12,IF(T$6&gt;='Lease Cycles'!$AX$11,'Lease Cycles'!$C$11*'Lease Cycles'!$AY$11/12,IF(T$6&gt;='Lease Cycles'!$AV$11,'Lease Cycles'!$C$11*'Lease Cycles'!$AW$11/12,IF(T$6&gt;='Lease Cycles'!$AT$11,'Lease Cycles'!$C$11*'Lease Cycles'!$AU$11/12,'Lease Cycles'!$C$11*INDEX('Lease Cycles'!$CB$11:$CH$11,1,T61)*(1+INDEX('Lease Cycles'!$CI$11:$CO$11,1,T61))^INT(INT(T62/12)/INDEX('Lease Cycles'!$CP$11:$CV$11,1,T61))/12)))),'Lease Cycles'!$C$11*INDEX('Lease Cycles'!$CB$11:$CH$11,1,T61)*(1+INDEX('Lease Cycles'!$CI$11:$CO$11,1,T61))^INT(INT(T62/12)/INDEX('Lease Cycles'!$CP$11:$CV$11,1,T61))/12),IF(INDEX('Lease Cycles'!$EF$11:$EL$11,1,T61)=1,IF(AND('Lease Cycles'!$AZ$11&gt;=INDEX('Lease Cycles'!$BG$11:$BM$11,1,T61),'Lease Cycles'!$AZ$11&lt;=T$6),'Lease Cycles'!$C$11*'Lease Cycles'!$BA$11/12,IF(AND('Lease Cycles'!$AX$11&gt;=INDEX('Lease Cycles'!$BG$11:$BM$11,1,T61),'Lease Cycles'!$AX$11&lt;=T$6),'Lease Cycles'!$C$11*'Lease Cycles'!$AY$11/12,IF(AND('Lease Cycles'!$AV$11&gt;=INDEX('Lease Cycles'!$BG$11:$BM$11,1,T61),'Lease Cycles'!$AV$11&lt;=T$6),'Lease Cycles'!$C$11*'Lease Cycles'!$AW$11/12,IF(AND('Lease Cycles'!$AT$11&gt;=INDEX('Lease Cycles'!$BG$11:$BM$11,1,T61),'Lease Cycles'!$AT$11&lt;=T$6),'Lease Cycles'!$C$11*'Lease Cycles'!$AU$11/12,'Lease Cycles'!$C$11*INDEX('Lease Cycles'!$CB$11:$CH$11,1,T61)*(1+INDEX('Lease Cycles'!$CI$11:$CO$11,1,T61))^INT(INT(T62/12)/INDEX('Lease Cycles'!$CP$11:$CV$11,1,T61))/12)))),'Lease Cycles'!$C$11*INDEX('Lease Cycles'!$CB$11:$CH$11,1,T61)*(1+INDEX('Lease Cycles'!$CI$11:$CO$11,1,T61))^INT(INT(T62/12)/INDEX('Lease Cycles'!$CP$11:$CV$11,1,T61))/12))),IF('Lease Cycles'!$N$11=1,'Lease Cycles'!$C$11*'Lease Cycles'!$E$11*INDEX('Lease Cycles'!$HE$11:$HK$11,1,T61)*(1+INDEX('Lease Cycles'!$GQ$11:$GW$11,1,T61))^INT(INT((T$6-INDEX('Lease Cycles'!$GJ$11:$GP$11,1,T61))/12)/INDEX('Lease Cycles'!$GX$11:$HD$11,1,T61))/12,0)))</f>
        <v>5625</v>
      </c>
      <c r="U64" s="28">
        <f>IF(U61=0,IF('Lease Cycles'!$F$11&gt;0,'Lease Cycles'!$C$11*'Lease Cycles'!$E$11/12,0),IF(U63=1,IF('Lease Cycles'!$AT$11&gt;=9999,'Lease Cycles'!$C$11*INDEX('Lease Cycles'!$CB$11:$CH$11,1,U61)*(1+INDEX('Lease Cycles'!$CI$11:$CO$11,1,U61))^INT(INT(U62/12)/INDEX('Lease Cycles'!$CP$11:$CV$11,1,U61))/12,IF(U61=1,IF(U62&gt;=INDEX('Lease Cycles'!$DK$11:$DQ$11,1,U61),IF(U$6&gt;='Lease Cycles'!$AZ$11,'Lease Cycles'!$C$11*'Lease Cycles'!$BA$11/12,IF(U$6&gt;='Lease Cycles'!$AX$11,'Lease Cycles'!$C$11*'Lease Cycles'!$AY$11/12,IF(U$6&gt;='Lease Cycles'!$AV$11,'Lease Cycles'!$C$11*'Lease Cycles'!$AW$11/12,IF(U$6&gt;='Lease Cycles'!$AT$11,'Lease Cycles'!$C$11*'Lease Cycles'!$AU$11/12,'Lease Cycles'!$C$11*INDEX('Lease Cycles'!$CB$11:$CH$11,1,U61)*(1+INDEX('Lease Cycles'!$CI$11:$CO$11,1,U61))^INT(INT(U62/12)/INDEX('Lease Cycles'!$CP$11:$CV$11,1,U61))/12)))),'Lease Cycles'!$C$11*INDEX('Lease Cycles'!$CB$11:$CH$11,1,U61)*(1+INDEX('Lease Cycles'!$CI$11:$CO$11,1,U61))^INT(INT(U62/12)/INDEX('Lease Cycles'!$CP$11:$CV$11,1,U61))/12),IF(INDEX('Lease Cycles'!$EF$11:$EL$11,1,U61)=1,IF(AND('Lease Cycles'!$AZ$11&gt;=INDEX('Lease Cycles'!$BG$11:$BM$11,1,U61),'Lease Cycles'!$AZ$11&lt;=U$6),'Lease Cycles'!$C$11*'Lease Cycles'!$BA$11/12,IF(AND('Lease Cycles'!$AX$11&gt;=INDEX('Lease Cycles'!$BG$11:$BM$11,1,U61),'Lease Cycles'!$AX$11&lt;=U$6),'Lease Cycles'!$C$11*'Lease Cycles'!$AY$11/12,IF(AND('Lease Cycles'!$AV$11&gt;=INDEX('Lease Cycles'!$BG$11:$BM$11,1,U61),'Lease Cycles'!$AV$11&lt;=U$6),'Lease Cycles'!$C$11*'Lease Cycles'!$AW$11/12,IF(AND('Lease Cycles'!$AT$11&gt;=INDEX('Lease Cycles'!$BG$11:$BM$11,1,U61),'Lease Cycles'!$AT$11&lt;=U$6),'Lease Cycles'!$C$11*'Lease Cycles'!$AU$11/12,'Lease Cycles'!$C$11*INDEX('Lease Cycles'!$CB$11:$CH$11,1,U61)*(1+INDEX('Lease Cycles'!$CI$11:$CO$11,1,U61))^INT(INT(U62/12)/INDEX('Lease Cycles'!$CP$11:$CV$11,1,U61))/12)))),'Lease Cycles'!$C$11*INDEX('Lease Cycles'!$CB$11:$CH$11,1,U61)*(1+INDEX('Lease Cycles'!$CI$11:$CO$11,1,U61))^INT(INT(U62/12)/INDEX('Lease Cycles'!$CP$11:$CV$11,1,U61))/12))),IF('Lease Cycles'!$N$11=1,'Lease Cycles'!$C$11*'Lease Cycles'!$E$11*INDEX('Lease Cycles'!$HE$11:$HK$11,1,U61)*(1+INDEX('Lease Cycles'!$GQ$11:$GW$11,1,U61))^INT(INT((U$6-INDEX('Lease Cycles'!$GJ$11:$GP$11,1,U61))/12)/INDEX('Lease Cycles'!$GX$11:$HD$11,1,U61))/12,0)))</f>
        <v>5625</v>
      </c>
      <c r="V64" s="28">
        <f>IF(V61=0,IF('Lease Cycles'!$F$11&gt;0,'Lease Cycles'!$C$11*'Lease Cycles'!$E$11/12,0),IF(V63=1,IF('Lease Cycles'!$AT$11&gt;=9999,'Lease Cycles'!$C$11*INDEX('Lease Cycles'!$CB$11:$CH$11,1,V61)*(1+INDEX('Lease Cycles'!$CI$11:$CO$11,1,V61))^INT(INT(V62/12)/INDEX('Lease Cycles'!$CP$11:$CV$11,1,V61))/12,IF(V61=1,IF(V62&gt;=INDEX('Lease Cycles'!$DK$11:$DQ$11,1,V61),IF(V$6&gt;='Lease Cycles'!$AZ$11,'Lease Cycles'!$C$11*'Lease Cycles'!$BA$11/12,IF(V$6&gt;='Lease Cycles'!$AX$11,'Lease Cycles'!$C$11*'Lease Cycles'!$AY$11/12,IF(V$6&gt;='Lease Cycles'!$AV$11,'Lease Cycles'!$C$11*'Lease Cycles'!$AW$11/12,IF(V$6&gt;='Lease Cycles'!$AT$11,'Lease Cycles'!$C$11*'Lease Cycles'!$AU$11/12,'Lease Cycles'!$C$11*INDEX('Lease Cycles'!$CB$11:$CH$11,1,V61)*(1+INDEX('Lease Cycles'!$CI$11:$CO$11,1,V61))^INT(INT(V62/12)/INDEX('Lease Cycles'!$CP$11:$CV$11,1,V61))/12)))),'Lease Cycles'!$C$11*INDEX('Lease Cycles'!$CB$11:$CH$11,1,V61)*(1+INDEX('Lease Cycles'!$CI$11:$CO$11,1,V61))^INT(INT(V62/12)/INDEX('Lease Cycles'!$CP$11:$CV$11,1,V61))/12),IF(INDEX('Lease Cycles'!$EF$11:$EL$11,1,V61)=1,IF(AND('Lease Cycles'!$AZ$11&gt;=INDEX('Lease Cycles'!$BG$11:$BM$11,1,V61),'Lease Cycles'!$AZ$11&lt;=V$6),'Lease Cycles'!$C$11*'Lease Cycles'!$BA$11/12,IF(AND('Lease Cycles'!$AX$11&gt;=INDEX('Lease Cycles'!$BG$11:$BM$11,1,V61),'Lease Cycles'!$AX$11&lt;=V$6),'Lease Cycles'!$C$11*'Lease Cycles'!$AY$11/12,IF(AND('Lease Cycles'!$AV$11&gt;=INDEX('Lease Cycles'!$BG$11:$BM$11,1,V61),'Lease Cycles'!$AV$11&lt;=V$6),'Lease Cycles'!$C$11*'Lease Cycles'!$AW$11/12,IF(AND('Lease Cycles'!$AT$11&gt;=INDEX('Lease Cycles'!$BG$11:$BM$11,1,V61),'Lease Cycles'!$AT$11&lt;=V$6),'Lease Cycles'!$C$11*'Lease Cycles'!$AU$11/12,'Lease Cycles'!$C$11*INDEX('Lease Cycles'!$CB$11:$CH$11,1,V61)*(1+INDEX('Lease Cycles'!$CI$11:$CO$11,1,V61))^INT(INT(V62/12)/INDEX('Lease Cycles'!$CP$11:$CV$11,1,V61))/12)))),'Lease Cycles'!$C$11*INDEX('Lease Cycles'!$CB$11:$CH$11,1,V61)*(1+INDEX('Lease Cycles'!$CI$11:$CO$11,1,V61))^INT(INT(V62/12)/INDEX('Lease Cycles'!$CP$11:$CV$11,1,V61))/12))),IF('Lease Cycles'!$N$11=1,'Lease Cycles'!$C$11*'Lease Cycles'!$E$11*INDEX('Lease Cycles'!$HE$11:$HK$11,1,V61)*(1+INDEX('Lease Cycles'!$GQ$11:$GW$11,1,V61))^INT(INT((V$6-INDEX('Lease Cycles'!$GJ$11:$GP$11,1,V61))/12)/INDEX('Lease Cycles'!$GX$11:$HD$11,1,V61))/12,0)))</f>
        <v>5625</v>
      </c>
      <c r="W64" s="28">
        <f>IF(W61=0,IF('Lease Cycles'!$F$11&gt;0,'Lease Cycles'!$C$11*'Lease Cycles'!$E$11/12,0),IF(W63=1,IF('Lease Cycles'!$AT$11&gt;=9999,'Lease Cycles'!$C$11*INDEX('Lease Cycles'!$CB$11:$CH$11,1,W61)*(1+INDEX('Lease Cycles'!$CI$11:$CO$11,1,W61))^INT(INT(W62/12)/INDEX('Lease Cycles'!$CP$11:$CV$11,1,W61))/12,IF(W61=1,IF(W62&gt;=INDEX('Lease Cycles'!$DK$11:$DQ$11,1,W61),IF(W$6&gt;='Lease Cycles'!$AZ$11,'Lease Cycles'!$C$11*'Lease Cycles'!$BA$11/12,IF(W$6&gt;='Lease Cycles'!$AX$11,'Lease Cycles'!$C$11*'Lease Cycles'!$AY$11/12,IF(W$6&gt;='Lease Cycles'!$AV$11,'Lease Cycles'!$C$11*'Lease Cycles'!$AW$11/12,IF(W$6&gt;='Lease Cycles'!$AT$11,'Lease Cycles'!$C$11*'Lease Cycles'!$AU$11/12,'Lease Cycles'!$C$11*INDEX('Lease Cycles'!$CB$11:$CH$11,1,W61)*(1+INDEX('Lease Cycles'!$CI$11:$CO$11,1,W61))^INT(INT(W62/12)/INDEX('Lease Cycles'!$CP$11:$CV$11,1,W61))/12)))),'Lease Cycles'!$C$11*INDEX('Lease Cycles'!$CB$11:$CH$11,1,W61)*(1+INDEX('Lease Cycles'!$CI$11:$CO$11,1,W61))^INT(INT(W62/12)/INDEX('Lease Cycles'!$CP$11:$CV$11,1,W61))/12),IF(INDEX('Lease Cycles'!$EF$11:$EL$11,1,W61)=1,IF(AND('Lease Cycles'!$AZ$11&gt;=INDEX('Lease Cycles'!$BG$11:$BM$11,1,W61),'Lease Cycles'!$AZ$11&lt;=W$6),'Lease Cycles'!$C$11*'Lease Cycles'!$BA$11/12,IF(AND('Lease Cycles'!$AX$11&gt;=INDEX('Lease Cycles'!$BG$11:$BM$11,1,W61),'Lease Cycles'!$AX$11&lt;=W$6),'Lease Cycles'!$C$11*'Lease Cycles'!$AY$11/12,IF(AND('Lease Cycles'!$AV$11&gt;=INDEX('Lease Cycles'!$BG$11:$BM$11,1,W61),'Lease Cycles'!$AV$11&lt;=W$6),'Lease Cycles'!$C$11*'Lease Cycles'!$AW$11/12,IF(AND('Lease Cycles'!$AT$11&gt;=INDEX('Lease Cycles'!$BG$11:$BM$11,1,W61),'Lease Cycles'!$AT$11&lt;=W$6),'Lease Cycles'!$C$11*'Lease Cycles'!$AU$11/12,'Lease Cycles'!$C$11*INDEX('Lease Cycles'!$CB$11:$CH$11,1,W61)*(1+INDEX('Lease Cycles'!$CI$11:$CO$11,1,W61))^INT(INT(W62/12)/INDEX('Lease Cycles'!$CP$11:$CV$11,1,W61))/12)))),'Lease Cycles'!$C$11*INDEX('Lease Cycles'!$CB$11:$CH$11,1,W61)*(1+INDEX('Lease Cycles'!$CI$11:$CO$11,1,W61))^INT(INT(W62/12)/INDEX('Lease Cycles'!$CP$11:$CV$11,1,W61))/12))),IF('Lease Cycles'!$N$11=1,'Lease Cycles'!$C$11*'Lease Cycles'!$E$11*INDEX('Lease Cycles'!$HE$11:$HK$11,1,W61)*(1+INDEX('Lease Cycles'!$GQ$11:$GW$11,1,W61))^INT(INT((W$6-INDEX('Lease Cycles'!$GJ$11:$GP$11,1,W61))/12)/INDEX('Lease Cycles'!$GX$11:$HD$11,1,W61))/12,0)))</f>
        <v>5625</v>
      </c>
      <c r="X64" s="28">
        <f>IF(X61=0,IF('Lease Cycles'!$F$11&gt;0,'Lease Cycles'!$C$11*'Lease Cycles'!$E$11/12,0),IF(X63=1,IF('Lease Cycles'!$AT$11&gt;=9999,'Lease Cycles'!$C$11*INDEX('Lease Cycles'!$CB$11:$CH$11,1,X61)*(1+INDEX('Lease Cycles'!$CI$11:$CO$11,1,X61))^INT(INT(X62/12)/INDEX('Lease Cycles'!$CP$11:$CV$11,1,X61))/12,IF(X61=1,IF(X62&gt;=INDEX('Lease Cycles'!$DK$11:$DQ$11,1,X61),IF(X$6&gt;='Lease Cycles'!$AZ$11,'Lease Cycles'!$C$11*'Lease Cycles'!$BA$11/12,IF(X$6&gt;='Lease Cycles'!$AX$11,'Lease Cycles'!$C$11*'Lease Cycles'!$AY$11/12,IF(X$6&gt;='Lease Cycles'!$AV$11,'Lease Cycles'!$C$11*'Lease Cycles'!$AW$11/12,IF(X$6&gt;='Lease Cycles'!$AT$11,'Lease Cycles'!$C$11*'Lease Cycles'!$AU$11/12,'Lease Cycles'!$C$11*INDEX('Lease Cycles'!$CB$11:$CH$11,1,X61)*(1+INDEX('Lease Cycles'!$CI$11:$CO$11,1,X61))^INT(INT(X62/12)/INDEX('Lease Cycles'!$CP$11:$CV$11,1,X61))/12)))),'Lease Cycles'!$C$11*INDEX('Lease Cycles'!$CB$11:$CH$11,1,X61)*(1+INDEX('Lease Cycles'!$CI$11:$CO$11,1,X61))^INT(INT(X62/12)/INDEX('Lease Cycles'!$CP$11:$CV$11,1,X61))/12),IF(INDEX('Lease Cycles'!$EF$11:$EL$11,1,X61)=1,IF(AND('Lease Cycles'!$AZ$11&gt;=INDEX('Lease Cycles'!$BG$11:$BM$11,1,X61),'Lease Cycles'!$AZ$11&lt;=X$6),'Lease Cycles'!$C$11*'Lease Cycles'!$BA$11/12,IF(AND('Lease Cycles'!$AX$11&gt;=INDEX('Lease Cycles'!$BG$11:$BM$11,1,X61),'Lease Cycles'!$AX$11&lt;=X$6),'Lease Cycles'!$C$11*'Lease Cycles'!$AY$11/12,IF(AND('Lease Cycles'!$AV$11&gt;=INDEX('Lease Cycles'!$BG$11:$BM$11,1,X61),'Lease Cycles'!$AV$11&lt;=X$6),'Lease Cycles'!$C$11*'Lease Cycles'!$AW$11/12,IF(AND('Lease Cycles'!$AT$11&gt;=INDEX('Lease Cycles'!$BG$11:$BM$11,1,X61),'Lease Cycles'!$AT$11&lt;=X$6),'Lease Cycles'!$C$11*'Lease Cycles'!$AU$11/12,'Lease Cycles'!$C$11*INDEX('Lease Cycles'!$CB$11:$CH$11,1,X61)*(1+INDEX('Lease Cycles'!$CI$11:$CO$11,1,X61))^INT(INT(X62/12)/INDEX('Lease Cycles'!$CP$11:$CV$11,1,X61))/12)))),'Lease Cycles'!$C$11*INDEX('Lease Cycles'!$CB$11:$CH$11,1,X61)*(1+INDEX('Lease Cycles'!$CI$11:$CO$11,1,X61))^INT(INT(X62/12)/INDEX('Lease Cycles'!$CP$11:$CV$11,1,X61))/12))),IF('Lease Cycles'!$N$11=1,'Lease Cycles'!$C$11*'Lease Cycles'!$E$11*INDEX('Lease Cycles'!$HE$11:$HK$11,1,X61)*(1+INDEX('Lease Cycles'!$GQ$11:$GW$11,1,X61))^INT(INT((X$6-INDEX('Lease Cycles'!$GJ$11:$GP$11,1,X61))/12)/INDEX('Lease Cycles'!$GX$11:$HD$11,1,X61))/12,0)))</f>
        <v>5625</v>
      </c>
      <c r="Y64" s="28">
        <f>IF(Y61=0,IF('Lease Cycles'!$F$11&gt;0,'Lease Cycles'!$C$11*'Lease Cycles'!$E$11/12,0),IF(Y63=1,IF('Lease Cycles'!$AT$11&gt;=9999,'Lease Cycles'!$C$11*INDEX('Lease Cycles'!$CB$11:$CH$11,1,Y61)*(1+INDEX('Lease Cycles'!$CI$11:$CO$11,1,Y61))^INT(INT(Y62/12)/INDEX('Lease Cycles'!$CP$11:$CV$11,1,Y61))/12,IF(Y61=1,IF(Y62&gt;=INDEX('Lease Cycles'!$DK$11:$DQ$11,1,Y61),IF(Y$6&gt;='Lease Cycles'!$AZ$11,'Lease Cycles'!$C$11*'Lease Cycles'!$BA$11/12,IF(Y$6&gt;='Lease Cycles'!$AX$11,'Lease Cycles'!$C$11*'Lease Cycles'!$AY$11/12,IF(Y$6&gt;='Lease Cycles'!$AV$11,'Lease Cycles'!$C$11*'Lease Cycles'!$AW$11/12,IF(Y$6&gt;='Lease Cycles'!$AT$11,'Lease Cycles'!$C$11*'Lease Cycles'!$AU$11/12,'Lease Cycles'!$C$11*INDEX('Lease Cycles'!$CB$11:$CH$11,1,Y61)*(1+INDEX('Lease Cycles'!$CI$11:$CO$11,1,Y61))^INT(INT(Y62/12)/INDEX('Lease Cycles'!$CP$11:$CV$11,1,Y61))/12)))),'Lease Cycles'!$C$11*INDEX('Lease Cycles'!$CB$11:$CH$11,1,Y61)*(1+INDEX('Lease Cycles'!$CI$11:$CO$11,1,Y61))^INT(INT(Y62/12)/INDEX('Lease Cycles'!$CP$11:$CV$11,1,Y61))/12),IF(INDEX('Lease Cycles'!$EF$11:$EL$11,1,Y61)=1,IF(AND('Lease Cycles'!$AZ$11&gt;=INDEX('Lease Cycles'!$BG$11:$BM$11,1,Y61),'Lease Cycles'!$AZ$11&lt;=Y$6),'Lease Cycles'!$C$11*'Lease Cycles'!$BA$11/12,IF(AND('Lease Cycles'!$AX$11&gt;=INDEX('Lease Cycles'!$BG$11:$BM$11,1,Y61),'Lease Cycles'!$AX$11&lt;=Y$6),'Lease Cycles'!$C$11*'Lease Cycles'!$AY$11/12,IF(AND('Lease Cycles'!$AV$11&gt;=INDEX('Lease Cycles'!$BG$11:$BM$11,1,Y61),'Lease Cycles'!$AV$11&lt;=Y$6),'Lease Cycles'!$C$11*'Lease Cycles'!$AW$11/12,IF(AND('Lease Cycles'!$AT$11&gt;=INDEX('Lease Cycles'!$BG$11:$BM$11,1,Y61),'Lease Cycles'!$AT$11&lt;=Y$6),'Lease Cycles'!$C$11*'Lease Cycles'!$AU$11/12,'Lease Cycles'!$C$11*INDEX('Lease Cycles'!$CB$11:$CH$11,1,Y61)*(1+INDEX('Lease Cycles'!$CI$11:$CO$11,1,Y61))^INT(INT(Y62/12)/INDEX('Lease Cycles'!$CP$11:$CV$11,1,Y61))/12)))),'Lease Cycles'!$C$11*INDEX('Lease Cycles'!$CB$11:$CH$11,1,Y61)*(1+INDEX('Lease Cycles'!$CI$11:$CO$11,1,Y61))^INT(INT(Y62/12)/INDEX('Lease Cycles'!$CP$11:$CV$11,1,Y61))/12))),IF('Lease Cycles'!$N$11=1,'Lease Cycles'!$C$11*'Lease Cycles'!$E$11*INDEX('Lease Cycles'!$HE$11:$HK$11,1,Y61)*(1+INDEX('Lease Cycles'!$GQ$11:$GW$11,1,Y61))^INT(INT((Y$6-INDEX('Lease Cycles'!$GJ$11:$GP$11,1,Y61))/12)/INDEX('Lease Cycles'!$GX$11:$HD$11,1,Y61))/12,0)))</f>
        <v>5625</v>
      </c>
      <c r="Z64" s="28">
        <f>IF(Z61=0,IF('Lease Cycles'!$F$11&gt;0,'Lease Cycles'!$C$11*'Lease Cycles'!$E$11/12,0),IF(Z63=1,IF('Lease Cycles'!$AT$11&gt;=9999,'Lease Cycles'!$C$11*INDEX('Lease Cycles'!$CB$11:$CH$11,1,Z61)*(1+INDEX('Lease Cycles'!$CI$11:$CO$11,1,Z61))^INT(INT(Z62/12)/INDEX('Lease Cycles'!$CP$11:$CV$11,1,Z61))/12,IF(Z61=1,IF(Z62&gt;=INDEX('Lease Cycles'!$DK$11:$DQ$11,1,Z61),IF(Z$6&gt;='Lease Cycles'!$AZ$11,'Lease Cycles'!$C$11*'Lease Cycles'!$BA$11/12,IF(Z$6&gt;='Lease Cycles'!$AX$11,'Lease Cycles'!$C$11*'Lease Cycles'!$AY$11/12,IF(Z$6&gt;='Lease Cycles'!$AV$11,'Lease Cycles'!$C$11*'Lease Cycles'!$AW$11/12,IF(Z$6&gt;='Lease Cycles'!$AT$11,'Lease Cycles'!$C$11*'Lease Cycles'!$AU$11/12,'Lease Cycles'!$C$11*INDEX('Lease Cycles'!$CB$11:$CH$11,1,Z61)*(1+INDEX('Lease Cycles'!$CI$11:$CO$11,1,Z61))^INT(INT(Z62/12)/INDEX('Lease Cycles'!$CP$11:$CV$11,1,Z61))/12)))),'Lease Cycles'!$C$11*INDEX('Lease Cycles'!$CB$11:$CH$11,1,Z61)*(1+INDEX('Lease Cycles'!$CI$11:$CO$11,1,Z61))^INT(INT(Z62/12)/INDEX('Lease Cycles'!$CP$11:$CV$11,1,Z61))/12),IF(INDEX('Lease Cycles'!$EF$11:$EL$11,1,Z61)=1,IF(AND('Lease Cycles'!$AZ$11&gt;=INDEX('Lease Cycles'!$BG$11:$BM$11,1,Z61),'Lease Cycles'!$AZ$11&lt;=Z$6),'Lease Cycles'!$C$11*'Lease Cycles'!$BA$11/12,IF(AND('Lease Cycles'!$AX$11&gt;=INDEX('Lease Cycles'!$BG$11:$BM$11,1,Z61),'Lease Cycles'!$AX$11&lt;=Z$6),'Lease Cycles'!$C$11*'Lease Cycles'!$AY$11/12,IF(AND('Lease Cycles'!$AV$11&gt;=INDEX('Lease Cycles'!$BG$11:$BM$11,1,Z61),'Lease Cycles'!$AV$11&lt;=Z$6),'Lease Cycles'!$C$11*'Lease Cycles'!$AW$11/12,IF(AND('Lease Cycles'!$AT$11&gt;=INDEX('Lease Cycles'!$BG$11:$BM$11,1,Z61),'Lease Cycles'!$AT$11&lt;=Z$6),'Lease Cycles'!$C$11*'Lease Cycles'!$AU$11/12,'Lease Cycles'!$C$11*INDEX('Lease Cycles'!$CB$11:$CH$11,1,Z61)*(1+INDEX('Lease Cycles'!$CI$11:$CO$11,1,Z61))^INT(INT(Z62/12)/INDEX('Lease Cycles'!$CP$11:$CV$11,1,Z61))/12)))),'Lease Cycles'!$C$11*INDEX('Lease Cycles'!$CB$11:$CH$11,1,Z61)*(1+INDEX('Lease Cycles'!$CI$11:$CO$11,1,Z61))^INT(INT(Z62/12)/INDEX('Lease Cycles'!$CP$11:$CV$11,1,Z61))/12))),IF('Lease Cycles'!$N$11=1,'Lease Cycles'!$C$11*'Lease Cycles'!$E$11*INDEX('Lease Cycles'!$HE$11:$HK$11,1,Z61)*(1+INDEX('Lease Cycles'!$GQ$11:$GW$11,1,Z61))^INT(INT((Z$6-INDEX('Lease Cycles'!$GJ$11:$GP$11,1,Z61))/12)/INDEX('Lease Cycles'!$GX$11:$HD$11,1,Z61))/12,0)))</f>
        <v>5625</v>
      </c>
      <c r="AA64" s="28">
        <f>IF(AA61=0,IF('Lease Cycles'!$F$11&gt;0,'Lease Cycles'!$C$11*'Lease Cycles'!$E$11/12,0),IF(AA63=1,IF('Lease Cycles'!$AT$11&gt;=9999,'Lease Cycles'!$C$11*INDEX('Lease Cycles'!$CB$11:$CH$11,1,AA61)*(1+INDEX('Lease Cycles'!$CI$11:$CO$11,1,AA61))^INT(INT(AA62/12)/INDEX('Lease Cycles'!$CP$11:$CV$11,1,AA61))/12,IF(AA61=1,IF(AA62&gt;=INDEX('Lease Cycles'!$DK$11:$DQ$11,1,AA61),IF(AA$6&gt;='Lease Cycles'!$AZ$11,'Lease Cycles'!$C$11*'Lease Cycles'!$BA$11/12,IF(AA$6&gt;='Lease Cycles'!$AX$11,'Lease Cycles'!$C$11*'Lease Cycles'!$AY$11/12,IF(AA$6&gt;='Lease Cycles'!$AV$11,'Lease Cycles'!$C$11*'Lease Cycles'!$AW$11/12,IF(AA$6&gt;='Lease Cycles'!$AT$11,'Lease Cycles'!$C$11*'Lease Cycles'!$AU$11/12,'Lease Cycles'!$C$11*INDEX('Lease Cycles'!$CB$11:$CH$11,1,AA61)*(1+INDEX('Lease Cycles'!$CI$11:$CO$11,1,AA61))^INT(INT(AA62/12)/INDEX('Lease Cycles'!$CP$11:$CV$11,1,AA61))/12)))),'Lease Cycles'!$C$11*INDEX('Lease Cycles'!$CB$11:$CH$11,1,AA61)*(1+INDEX('Lease Cycles'!$CI$11:$CO$11,1,AA61))^INT(INT(AA62/12)/INDEX('Lease Cycles'!$CP$11:$CV$11,1,AA61))/12),IF(INDEX('Lease Cycles'!$EF$11:$EL$11,1,AA61)=1,IF(AND('Lease Cycles'!$AZ$11&gt;=INDEX('Lease Cycles'!$BG$11:$BM$11,1,AA61),'Lease Cycles'!$AZ$11&lt;=AA$6),'Lease Cycles'!$C$11*'Lease Cycles'!$BA$11/12,IF(AND('Lease Cycles'!$AX$11&gt;=INDEX('Lease Cycles'!$BG$11:$BM$11,1,AA61),'Lease Cycles'!$AX$11&lt;=AA$6),'Lease Cycles'!$C$11*'Lease Cycles'!$AY$11/12,IF(AND('Lease Cycles'!$AV$11&gt;=INDEX('Lease Cycles'!$BG$11:$BM$11,1,AA61),'Lease Cycles'!$AV$11&lt;=AA$6),'Lease Cycles'!$C$11*'Lease Cycles'!$AW$11/12,IF(AND('Lease Cycles'!$AT$11&gt;=INDEX('Lease Cycles'!$BG$11:$BM$11,1,AA61),'Lease Cycles'!$AT$11&lt;=AA$6),'Lease Cycles'!$C$11*'Lease Cycles'!$AU$11/12,'Lease Cycles'!$C$11*INDEX('Lease Cycles'!$CB$11:$CH$11,1,AA61)*(1+INDEX('Lease Cycles'!$CI$11:$CO$11,1,AA61))^INT(INT(AA62/12)/INDEX('Lease Cycles'!$CP$11:$CV$11,1,AA61))/12)))),'Lease Cycles'!$C$11*INDEX('Lease Cycles'!$CB$11:$CH$11,1,AA61)*(1+INDEX('Lease Cycles'!$CI$11:$CO$11,1,AA61))^INT(INT(AA62/12)/INDEX('Lease Cycles'!$CP$11:$CV$11,1,AA61))/12))),IF('Lease Cycles'!$N$11=1,'Lease Cycles'!$C$11*'Lease Cycles'!$E$11*INDEX('Lease Cycles'!$HE$11:$HK$11,1,AA61)*(1+INDEX('Lease Cycles'!$GQ$11:$GW$11,1,AA61))^INT(INT((AA$6-INDEX('Lease Cycles'!$GJ$11:$GP$11,1,AA61))/12)/INDEX('Lease Cycles'!$GX$11:$HD$11,1,AA61))/12,0)))</f>
        <v>5625</v>
      </c>
      <c r="AB64" s="28">
        <f>IF(AB61=0,IF('Lease Cycles'!$F$11&gt;0,'Lease Cycles'!$C$11*'Lease Cycles'!$E$11/12,0),IF(AB63=1,IF('Lease Cycles'!$AT$11&gt;=9999,'Lease Cycles'!$C$11*INDEX('Lease Cycles'!$CB$11:$CH$11,1,AB61)*(1+INDEX('Lease Cycles'!$CI$11:$CO$11,1,AB61))^INT(INT(AB62/12)/INDEX('Lease Cycles'!$CP$11:$CV$11,1,AB61))/12,IF(AB61=1,IF(AB62&gt;=INDEX('Lease Cycles'!$DK$11:$DQ$11,1,AB61),IF(AB$6&gt;='Lease Cycles'!$AZ$11,'Lease Cycles'!$C$11*'Lease Cycles'!$BA$11/12,IF(AB$6&gt;='Lease Cycles'!$AX$11,'Lease Cycles'!$C$11*'Lease Cycles'!$AY$11/12,IF(AB$6&gt;='Lease Cycles'!$AV$11,'Lease Cycles'!$C$11*'Lease Cycles'!$AW$11/12,IF(AB$6&gt;='Lease Cycles'!$AT$11,'Lease Cycles'!$C$11*'Lease Cycles'!$AU$11/12,'Lease Cycles'!$C$11*INDEX('Lease Cycles'!$CB$11:$CH$11,1,AB61)*(1+INDEX('Lease Cycles'!$CI$11:$CO$11,1,AB61))^INT(INT(AB62/12)/INDEX('Lease Cycles'!$CP$11:$CV$11,1,AB61))/12)))),'Lease Cycles'!$C$11*INDEX('Lease Cycles'!$CB$11:$CH$11,1,AB61)*(1+INDEX('Lease Cycles'!$CI$11:$CO$11,1,AB61))^INT(INT(AB62/12)/INDEX('Lease Cycles'!$CP$11:$CV$11,1,AB61))/12),IF(INDEX('Lease Cycles'!$EF$11:$EL$11,1,AB61)=1,IF(AND('Lease Cycles'!$AZ$11&gt;=INDEX('Lease Cycles'!$BG$11:$BM$11,1,AB61),'Lease Cycles'!$AZ$11&lt;=AB$6),'Lease Cycles'!$C$11*'Lease Cycles'!$BA$11/12,IF(AND('Lease Cycles'!$AX$11&gt;=INDEX('Lease Cycles'!$BG$11:$BM$11,1,AB61),'Lease Cycles'!$AX$11&lt;=AB$6),'Lease Cycles'!$C$11*'Lease Cycles'!$AY$11/12,IF(AND('Lease Cycles'!$AV$11&gt;=INDEX('Lease Cycles'!$BG$11:$BM$11,1,AB61),'Lease Cycles'!$AV$11&lt;=AB$6),'Lease Cycles'!$C$11*'Lease Cycles'!$AW$11/12,IF(AND('Lease Cycles'!$AT$11&gt;=INDEX('Lease Cycles'!$BG$11:$BM$11,1,AB61),'Lease Cycles'!$AT$11&lt;=AB$6),'Lease Cycles'!$C$11*'Lease Cycles'!$AU$11/12,'Lease Cycles'!$C$11*INDEX('Lease Cycles'!$CB$11:$CH$11,1,AB61)*(1+INDEX('Lease Cycles'!$CI$11:$CO$11,1,AB61))^INT(INT(AB62/12)/INDEX('Lease Cycles'!$CP$11:$CV$11,1,AB61))/12)))),'Lease Cycles'!$C$11*INDEX('Lease Cycles'!$CB$11:$CH$11,1,AB61)*(1+INDEX('Lease Cycles'!$CI$11:$CO$11,1,AB61))^INT(INT(AB62/12)/INDEX('Lease Cycles'!$CP$11:$CV$11,1,AB61))/12))),IF('Lease Cycles'!$N$11=1,'Lease Cycles'!$C$11*'Lease Cycles'!$E$11*INDEX('Lease Cycles'!$HE$11:$HK$11,1,AB61)*(1+INDEX('Lease Cycles'!$GQ$11:$GW$11,1,AB61))^INT(INT((AB$6-INDEX('Lease Cycles'!$GJ$11:$GP$11,1,AB61))/12)/INDEX('Lease Cycles'!$GX$11:$HD$11,1,AB61))/12,0)))</f>
        <v>5625</v>
      </c>
      <c r="AC64" s="28">
        <f>IF(AC61=0,IF('Lease Cycles'!$F$11&gt;0,'Lease Cycles'!$C$11*'Lease Cycles'!$E$11/12,0),IF(AC63=1,IF('Lease Cycles'!$AT$11&gt;=9999,'Lease Cycles'!$C$11*INDEX('Lease Cycles'!$CB$11:$CH$11,1,AC61)*(1+INDEX('Lease Cycles'!$CI$11:$CO$11,1,AC61))^INT(INT(AC62/12)/INDEX('Lease Cycles'!$CP$11:$CV$11,1,AC61))/12,IF(AC61=1,IF(AC62&gt;=INDEX('Lease Cycles'!$DK$11:$DQ$11,1,AC61),IF(AC$6&gt;='Lease Cycles'!$AZ$11,'Lease Cycles'!$C$11*'Lease Cycles'!$BA$11/12,IF(AC$6&gt;='Lease Cycles'!$AX$11,'Lease Cycles'!$C$11*'Lease Cycles'!$AY$11/12,IF(AC$6&gt;='Lease Cycles'!$AV$11,'Lease Cycles'!$C$11*'Lease Cycles'!$AW$11/12,IF(AC$6&gt;='Lease Cycles'!$AT$11,'Lease Cycles'!$C$11*'Lease Cycles'!$AU$11/12,'Lease Cycles'!$C$11*INDEX('Lease Cycles'!$CB$11:$CH$11,1,AC61)*(1+INDEX('Lease Cycles'!$CI$11:$CO$11,1,AC61))^INT(INT(AC62/12)/INDEX('Lease Cycles'!$CP$11:$CV$11,1,AC61))/12)))),'Lease Cycles'!$C$11*INDEX('Lease Cycles'!$CB$11:$CH$11,1,AC61)*(1+INDEX('Lease Cycles'!$CI$11:$CO$11,1,AC61))^INT(INT(AC62/12)/INDEX('Lease Cycles'!$CP$11:$CV$11,1,AC61))/12),IF(INDEX('Lease Cycles'!$EF$11:$EL$11,1,AC61)=1,IF(AND('Lease Cycles'!$AZ$11&gt;=INDEX('Lease Cycles'!$BG$11:$BM$11,1,AC61),'Lease Cycles'!$AZ$11&lt;=AC$6),'Lease Cycles'!$C$11*'Lease Cycles'!$BA$11/12,IF(AND('Lease Cycles'!$AX$11&gt;=INDEX('Lease Cycles'!$BG$11:$BM$11,1,AC61),'Lease Cycles'!$AX$11&lt;=AC$6),'Lease Cycles'!$C$11*'Lease Cycles'!$AY$11/12,IF(AND('Lease Cycles'!$AV$11&gt;=INDEX('Lease Cycles'!$BG$11:$BM$11,1,AC61),'Lease Cycles'!$AV$11&lt;=AC$6),'Lease Cycles'!$C$11*'Lease Cycles'!$AW$11/12,IF(AND('Lease Cycles'!$AT$11&gt;=INDEX('Lease Cycles'!$BG$11:$BM$11,1,AC61),'Lease Cycles'!$AT$11&lt;=AC$6),'Lease Cycles'!$C$11*'Lease Cycles'!$AU$11/12,'Lease Cycles'!$C$11*INDEX('Lease Cycles'!$CB$11:$CH$11,1,AC61)*(1+INDEX('Lease Cycles'!$CI$11:$CO$11,1,AC61))^INT(INT(AC62/12)/INDEX('Lease Cycles'!$CP$11:$CV$11,1,AC61))/12)))),'Lease Cycles'!$C$11*INDEX('Lease Cycles'!$CB$11:$CH$11,1,AC61)*(1+INDEX('Lease Cycles'!$CI$11:$CO$11,1,AC61))^INT(INT(AC62/12)/INDEX('Lease Cycles'!$CP$11:$CV$11,1,AC61))/12))),IF('Lease Cycles'!$N$11=1,'Lease Cycles'!$C$11*'Lease Cycles'!$E$11*INDEX('Lease Cycles'!$HE$11:$HK$11,1,AC61)*(1+INDEX('Lease Cycles'!$GQ$11:$GW$11,1,AC61))^INT(INT((AC$6-INDEX('Lease Cycles'!$GJ$11:$GP$11,1,AC61))/12)/INDEX('Lease Cycles'!$GX$11:$HD$11,1,AC61))/12,0)))</f>
        <v>5625</v>
      </c>
      <c r="AD64" s="28">
        <f>IF(AD61=0,IF('Lease Cycles'!$F$11&gt;0,'Lease Cycles'!$C$11*'Lease Cycles'!$E$11/12,0),IF(AD63=1,IF('Lease Cycles'!$AT$11&gt;=9999,'Lease Cycles'!$C$11*INDEX('Lease Cycles'!$CB$11:$CH$11,1,AD61)*(1+INDEX('Lease Cycles'!$CI$11:$CO$11,1,AD61))^INT(INT(AD62/12)/INDEX('Lease Cycles'!$CP$11:$CV$11,1,AD61))/12,IF(AD61=1,IF(AD62&gt;=INDEX('Lease Cycles'!$DK$11:$DQ$11,1,AD61),IF(AD$6&gt;='Lease Cycles'!$AZ$11,'Lease Cycles'!$C$11*'Lease Cycles'!$BA$11/12,IF(AD$6&gt;='Lease Cycles'!$AX$11,'Lease Cycles'!$C$11*'Lease Cycles'!$AY$11/12,IF(AD$6&gt;='Lease Cycles'!$AV$11,'Lease Cycles'!$C$11*'Lease Cycles'!$AW$11/12,IF(AD$6&gt;='Lease Cycles'!$AT$11,'Lease Cycles'!$C$11*'Lease Cycles'!$AU$11/12,'Lease Cycles'!$C$11*INDEX('Lease Cycles'!$CB$11:$CH$11,1,AD61)*(1+INDEX('Lease Cycles'!$CI$11:$CO$11,1,AD61))^INT(INT(AD62/12)/INDEX('Lease Cycles'!$CP$11:$CV$11,1,AD61))/12)))),'Lease Cycles'!$C$11*INDEX('Lease Cycles'!$CB$11:$CH$11,1,AD61)*(1+INDEX('Lease Cycles'!$CI$11:$CO$11,1,AD61))^INT(INT(AD62/12)/INDEX('Lease Cycles'!$CP$11:$CV$11,1,AD61))/12),IF(INDEX('Lease Cycles'!$EF$11:$EL$11,1,AD61)=1,IF(AND('Lease Cycles'!$AZ$11&gt;=INDEX('Lease Cycles'!$BG$11:$BM$11,1,AD61),'Lease Cycles'!$AZ$11&lt;=AD$6),'Lease Cycles'!$C$11*'Lease Cycles'!$BA$11/12,IF(AND('Lease Cycles'!$AX$11&gt;=INDEX('Lease Cycles'!$BG$11:$BM$11,1,AD61),'Lease Cycles'!$AX$11&lt;=AD$6),'Lease Cycles'!$C$11*'Lease Cycles'!$AY$11/12,IF(AND('Lease Cycles'!$AV$11&gt;=INDEX('Lease Cycles'!$BG$11:$BM$11,1,AD61),'Lease Cycles'!$AV$11&lt;=AD$6),'Lease Cycles'!$C$11*'Lease Cycles'!$AW$11/12,IF(AND('Lease Cycles'!$AT$11&gt;=INDEX('Lease Cycles'!$BG$11:$BM$11,1,AD61),'Lease Cycles'!$AT$11&lt;=AD$6),'Lease Cycles'!$C$11*'Lease Cycles'!$AU$11/12,'Lease Cycles'!$C$11*INDEX('Lease Cycles'!$CB$11:$CH$11,1,AD61)*(1+INDEX('Lease Cycles'!$CI$11:$CO$11,1,AD61))^INT(INT(AD62/12)/INDEX('Lease Cycles'!$CP$11:$CV$11,1,AD61))/12)))),'Lease Cycles'!$C$11*INDEX('Lease Cycles'!$CB$11:$CH$11,1,AD61)*(1+INDEX('Lease Cycles'!$CI$11:$CO$11,1,AD61))^INT(INT(AD62/12)/INDEX('Lease Cycles'!$CP$11:$CV$11,1,AD61))/12))),IF('Lease Cycles'!$N$11=1,'Lease Cycles'!$C$11*'Lease Cycles'!$E$11*INDEX('Lease Cycles'!$HE$11:$HK$11,1,AD61)*(1+INDEX('Lease Cycles'!$GQ$11:$GW$11,1,AD61))^INT(INT((AD$6-INDEX('Lease Cycles'!$GJ$11:$GP$11,1,AD61))/12)/INDEX('Lease Cycles'!$GX$11:$HD$11,1,AD61))/12,0)))</f>
        <v>5625</v>
      </c>
      <c r="AE64" s="28">
        <f>IF(AE61=0,IF('Lease Cycles'!$F$11&gt;0,'Lease Cycles'!$C$11*'Lease Cycles'!$E$11/12,0),IF(AE63=1,IF('Lease Cycles'!$AT$11&gt;=9999,'Lease Cycles'!$C$11*INDEX('Lease Cycles'!$CB$11:$CH$11,1,AE61)*(1+INDEX('Lease Cycles'!$CI$11:$CO$11,1,AE61))^INT(INT(AE62/12)/INDEX('Lease Cycles'!$CP$11:$CV$11,1,AE61))/12,IF(AE61=1,IF(AE62&gt;=INDEX('Lease Cycles'!$DK$11:$DQ$11,1,AE61),IF(AE$6&gt;='Lease Cycles'!$AZ$11,'Lease Cycles'!$C$11*'Lease Cycles'!$BA$11/12,IF(AE$6&gt;='Lease Cycles'!$AX$11,'Lease Cycles'!$C$11*'Lease Cycles'!$AY$11/12,IF(AE$6&gt;='Lease Cycles'!$AV$11,'Lease Cycles'!$C$11*'Lease Cycles'!$AW$11/12,IF(AE$6&gt;='Lease Cycles'!$AT$11,'Lease Cycles'!$C$11*'Lease Cycles'!$AU$11/12,'Lease Cycles'!$C$11*INDEX('Lease Cycles'!$CB$11:$CH$11,1,AE61)*(1+INDEX('Lease Cycles'!$CI$11:$CO$11,1,AE61))^INT(INT(AE62/12)/INDEX('Lease Cycles'!$CP$11:$CV$11,1,AE61))/12)))),'Lease Cycles'!$C$11*INDEX('Lease Cycles'!$CB$11:$CH$11,1,AE61)*(1+INDEX('Lease Cycles'!$CI$11:$CO$11,1,AE61))^INT(INT(AE62/12)/INDEX('Lease Cycles'!$CP$11:$CV$11,1,AE61))/12),IF(INDEX('Lease Cycles'!$EF$11:$EL$11,1,AE61)=1,IF(AND('Lease Cycles'!$AZ$11&gt;=INDEX('Lease Cycles'!$BG$11:$BM$11,1,AE61),'Lease Cycles'!$AZ$11&lt;=AE$6),'Lease Cycles'!$C$11*'Lease Cycles'!$BA$11/12,IF(AND('Lease Cycles'!$AX$11&gt;=INDEX('Lease Cycles'!$BG$11:$BM$11,1,AE61),'Lease Cycles'!$AX$11&lt;=AE$6),'Lease Cycles'!$C$11*'Lease Cycles'!$AY$11/12,IF(AND('Lease Cycles'!$AV$11&gt;=INDEX('Lease Cycles'!$BG$11:$BM$11,1,AE61),'Lease Cycles'!$AV$11&lt;=AE$6),'Lease Cycles'!$C$11*'Lease Cycles'!$AW$11/12,IF(AND('Lease Cycles'!$AT$11&gt;=INDEX('Lease Cycles'!$BG$11:$BM$11,1,AE61),'Lease Cycles'!$AT$11&lt;=AE$6),'Lease Cycles'!$C$11*'Lease Cycles'!$AU$11/12,'Lease Cycles'!$C$11*INDEX('Lease Cycles'!$CB$11:$CH$11,1,AE61)*(1+INDEX('Lease Cycles'!$CI$11:$CO$11,1,AE61))^INT(INT(AE62/12)/INDEX('Lease Cycles'!$CP$11:$CV$11,1,AE61))/12)))),'Lease Cycles'!$C$11*INDEX('Lease Cycles'!$CB$11:$CH$11,1,AE61)*(1+INDEX('Lease Cycles'!$CI$11:$CO$11,1,AE61))^INT(INT(AE62/12)/INDEX('Lease Cycles'!$CP$11:$CV$11,1,AE61))/12))),IF('Lease Cycles'!$N$11=1,'Lease Cycles'!$C$11*'Lease Cycles'!$E$11*INDEX('Lease Cycles'!$HE$11:$HK$11,1,AE61)*(1+INDEX('Lease Cycles'!$GQ$11:$GW$11,1,AE61))^INT(INT((AE$6-INDEX('Lease Cycles'!$GJ$11:$GP$11,1,AE61))/12)/INDEX('Lease Cycles'!$GX$11:$HD$11,1,AE61))/12,0)))</f>
        <v>5625</v>
      </c>
      <c r="AF64" s="28">
        <f>IF(AF61=0,IF('Lease Cycles'!$F$11&gt;0,'Lease Cycles'!$C$11*'Lease Cycles'!$E$11/12,0),IF(AF63=1,IF('Lease Cycles'!$AT$11&gt;=9999,'Lease Cycles'!$C$11*INDEX('Lease Cycles'!$CB$11:$CH$11,1,AF61)*(1+INDEX('Lease Cycles'!$CI$11:$CO$11,1,AF61))^INT(INT(AF62/12)/INDEX('Lease Cycles'!$CP$11:$CV$11,1,AF61))/12,IF(AF61=1,IF(AF62&gt;=INDEX('Lease Cycles'!$DK$11:$DQ$11,1,AF61),IF(AF$6&gt;='Lease Cycles'!$AZ$11,'Lease Cycles'!$C$11*'Lease Cycles'!$BA$11/12,IF(AF$6&gt;='Lease Cycles'!$AX$11,'Lease Cycles'!$C$11*'Lease Cycles'!$AY$11/12,IF(AF$6&gt;='Lease Cycles'!$AV$11,'Lease Cycles'!$C$11*'Lease Cycles'!$AW$11/12,IF(AF$6&gt;='Lease Cycles'!$AT$11,'Lease Cycles'!$C$11*'Lease Cycles'!$AU$11/12,'Lease Cycles'!$C$11*INDEX('Lease Cycles'!$CB$11:$CH$11,1,AF61)*(1+INDEX('Lease Cycles'!$CI$11:$CO$11,1,AF61))^INT(INT(AF62/12)/INDEX('Lease Cycles'!$CP$11:$CV$11,1,AF61))/12)))),'Lease Cycles'!$C$11*INDEX('Lease Cycles'!$CB$11:$CH$11,1,AF61)*(1+INDEX('Lease Cycles'!$CI$11:$CO$11,1,AF61))^INT(INT(AF62/12)/INDEX('Lease Cycles'!$CP$11:$CV$11,1,AF61))/12),IF(INDEX('Lease Cycles'!$EF$11:$EL$11,1,AF61)=1,IF(AND('Lease Cycles'!$AZ$11&gt;=INDEX('Lease Cycles'!$BG$11:$BM$11,1,AF61),'Lease Cycles'!$AZ$11&lt;=AF$6),'Lease Cycles'!$C$11*'Lease Cycles'!$BA$11/12,IF(AND('Lease Cycles'!$AX$11&gt;=INDEX('Lease Cycles'!$BG$11:$BM$11,1,AF61),'Lease Cycles'!$AX$11&lt;=AF$6),'Lease Cycles'!$C$11*'Lease Cycles'!$AY$11/12,IF(AND('Lease Cycles'!$AV$11&gt;=INDEX('Lease Cycles'!$BG$11:$BM$11,1,AF61),'Lease Cycles'!$AV$11&lt;=AF$6),'Lease Cycles'!$C$11*'Lease Cycles'!$AW$11/12,IF(AND('Lease Cycles'!$AT$11&gt;=INDEX('Lease Cycles'!$BG$11:$BM$11,1,AF61),'Lease Cycles'!$AT$11&lt;=AF$6),'Lease Cycles'!$C$11*'Lease Cycles'!$AU$11/12,'Lease Cycles'!$C$11*INDEX('Lease Cycles'!$CB$11:$CH$11,1,AF61)*(1+INDEX('Lease Cycles'!$CI$11:$CO$11,1,AF61))^INT(INT(AF62/12)/INDEX('Lease Cycles'!$CP$11:$CV$11,1,AF61))/12)))),'Lease Cycles'!$C$11*INDEX('Lease Cycles'!$CB$11:$CH$11,1,AF61)*(1+INDEX('Lease Cycles'!$CI$11:$CO$11,1,AF61))^INT(INT(AF62/12)/INDEX('Lease Cycles'!$CP$11:$CV$11,1,AF61))/12))),IF('Lease Cycles'!$N$11=1,'Lease Cycles'!$C$11*'Lease Cycles'!$E$11*INDEX('Lease Cycles'!$HE$11:$HK$11,1,AF61)*(1+INDEX('Lease Cycles'!$GQ$11:$GW$11,1,AF61))^INT(INT((AF$6-INDEX('Lease Cycles'!$GJ$11:$GP$11,1,AF61))/12)/INDEX('Lease Cycles'!$GX$11:$HD$11,1,AF61))/12,0)))</f>
        <v>5625</v>
      </c>
      <c r="AG64" s="28">
        <f>IF(AG61=0,IF('Lease Cycles'!$F$11&gt;0,'Lease Cycles'!$C$11*'Lease Cycles'!$E$11/12,0),IF(AG63=1,IF('Lease Cycles'!$AT$11&gt;=9999,'Lease Cycles'!$C$11*INDEX('Lease Cycles'!$CB$11:$CH$11,1,AG61)*(1+INDEX('Lease Cycles'!$CI$11:$CO$11,1,AG61))^INT(INT(AG62/12)/INDEX('Lease Cycles'!$CP$11:$CV$11,1,AG61))/12,IF(AG61=1,IF(AG62&gt;=INDEX('Lease Cycles'!$DK$11:$DQ$11,1,AG61),IF(AG$6&gt;='Lease Cycles'!$AZ$11,'Lease Cycles'!$C$11*'Lease Cycles'!$BA$11/12,IF(AG$6&gt;='Lease Cycles'!$AX$11,'Lease Cycles'!$C$11*'Lease Cycles'!$AY$11/12,IF(AG$6&gt;='Lease Cycles'!$AV$11,'Lease Cycles'!$C$11*'Lease Cycles'!$AW$11/12,IF(AG$6&gt;='Lease Cycles'!$AT$11,'Lease Cycles'!$C$11*'Lease Cycles'!$AU$11/12,'Lease Cycles'!$C$11*INDEX('Lease Cycles'!$CB$11:$CH$11,1,AG61)*(1+INDEX('Lease Cycles'!$CI$11:$CO$11,1,AG61))^INT(INT(AG62/12)/INDEX('Lease Cycles'!$CP$11:$CV$11,1,AG61))/12)))),'Lease Cycles'!$C$11*INDEX('Lease Cycles'!$CB$11:$CH$11,1,AG61)*(1+INDEX('Lease Cycles'!$CI$11:$CO$11,1,AG61))^INT(INT(AG62/12)/INDEX('Lease Cycles'!$CP$11:$CV$11,1,AG61))/12),IF(INDEX('Lease Cycles'!$EF$11:$EL$11,1,AG61)=1,IF(AND('Lease Cycles'!$AZ$11&gt;=INDEX('Lease Cycles'!$BG$11:$BM$11,1,AG61),'Lease Cycles'!$AZ$11&lt;=AG$6),'Lease Cycles'!$C$11*'Lease Cycles'!$BA$11/12,IF(AND('Lease Cycles'!$AX$11&gt;=INDEX('Lease Cycles'!$BG$11:$BM$11,1,AG61),'Lease Cycles'!$AX$11&lt;=AG$6),'Lease Cycles'!$C$11*'Lease Cycles'!$AY$11/12,IF(AND('Lease Cycles'!$AV$11&gt;=INDEX('Lease Cycles'!$BG$11:$BM$11,1,AG61),'Lease Cycles'!$AV$11&lt;=AG$6),'Lease Cycles'!$C$11*'Lease Cycles'!$AW$11/12,IF(AND('Lease Cycles'!$AT$11&gt;=INDEX('Lease Cycles'!$BG$11:$BM$11,1,AG61),'Lease Cycles'!$AT$11&lt;=AG$6),'Lease Cycles'!$C$11*'Lease Cycles'!$AU$11/12,'Lease Cycles'!$C$11*INDEX('Lease Cycles'!$CB$11:$CH$11,1,AG61)*(1+INDEX('Lease Cycles'!$CI$11:$CO$11,1,AG61))^INT(INT(AG62/12)/INDEX('Lease Cycles'!$CP$11:$CV$11,1,AG61))/12)))),'Lease Cycles'!$C$11*INDEX('Lease Cycles'!$CB$11:$CH$11,1,AG61)*(1+INDEX('Lease Cycles'!$CI$11:$CO$11,1,AG61))^INT(INT(AG62/12)/INDEX('Lease Cycles'!$CP$11:$CV$11,1,AG61))/12))),IF('Lease Cycles'!$N$11=1,'Lease Cycles'!$C$11*'Lease Cycles'!$E$11*INDEX('Lease Cycles'!$HE$11:$HK$11,1,AG61)*(1+INDEX('Lease Cycles'!$GQ$11:$GW$11,1,AG61))^INT(INT((AG$6-INDEX('Lease Cycles'!$GJ$11:$GP$11,1,AG61))/12)/INDEX('Lease Cycles'!$GX$11:$HD$11,1,AG61))/12,0)))</f>
        <v>5625</v>
      </c>
      <c r="AH64" s="28">
        <f>IF(AH61=0,IF('Lease Cycles'!$F$11&gt;0,'Lease Cycles'!$C$11*'Lease Cycles'!$E$11/12,0),IF(AH63=1,IF('Lease Cycles'!$AT$11&gt;=9999,'Lease Cycles'!$C$11*INDEX('Lease Cycles'!$CB$11:$CH$11,1,AH61)*(1+INDEX('Lease Cycles'!$CI$11:$CO$11,1,AH61))^INT(INT(AH62/12)/INDEX('Lease Cycles'!$CP$11:$CV$11,1,AH61))/12,IF(AH61=1,IF(AH62&gt;=INDEX('Lease Cycles'!$DK$11:$DQ$11,1,AH61),IF(AH$6&gt;='Lease Cycles'!$AZ$11,'Lease Cycles'!$C$11*'Lease Cycles'!$BA$11/12,IF(AH$6&gt;='Lease Cycles'!$AX$11,'Lease Cycles'!$C$11*'Lease Cycles'!$AY$11/12,IF(AH$6&gt;='Lease Cycles'!$AV$11,'Lease Cycles'!$C$11*'Lease Cycles'!$AW$11/12,IF(AH$6&gt;='Lease Cycles'!$AT$11,'Lease Cycles'!$C$11*'Lease Cycles'!$AU$11/12,'Lease Cycles'!$C$11*INDEX('Lease Cycles'!$CB$11:$CH$11,1,AH61)*(1+INDEX('Lease Cycles'!$CI$11:$CO$11,1,AH61))^INT(INT(AH62/12)/INDEX('Lease Cycles'!$CP$11:$CV$11,1,AH61))/12)))),'Lease Cycles'!$C$11*INDEX('Lease Cycles'!$CB$11:$CH$11,1,AH61)*(1+INDEX('Lease Cycles'!$CI$11:$CO$11,1,AH61))^INT(INT(AH62/12)/INDEX('Lease Cycles'!$CP$11:$CV$11,1,AH61))/12),IF(INDEX('Lease Cycles'!$EF$11:$EL$11,1,AH61)=1,IF(AND('Lease Cycles'!$AZ$11&gt;=INDEX('Lease Cycles'!$BG$11:$BM$11,1,AH61),'Lease Cycles'!$AZ$11&lt;=AH$6),'Lease Cycles'!$C$11*'Lease Cycles'!$BA$11/12,IF(AND('Lease Cycles'!$AX$11&gt;=INDEX('Lease Cycles'!$BG$11:$BM$11,1,AH61),'Lease Cycles'!$AX$11&lt;=AH$6),'Lease Cycles'!$C$11*'Lease Cycles'!$AY$11/12,IF(AND('Lease Cycles'!$AV$11&gt;=INDEX('Lease Cycles'!$BG$11:$BM$11,1,AH61),'Lease Cycles'!$AV$11&lt;=AH$6),'Lease Cycles'!$C$11*'Lease Cycles'!$AW$11/12,IF(AND('Lease Cycles'!$AT$11&gt;=INDEX('Lease Cycles'!$BG$11:$BM$11,1,AH61),'Lease Cycles'!$AT$11&lt;=AH$6),'Lease Cycles'!$C$11*'Lease Cycles'!$AU$11/12,'Lease Cycles'!$C$11*INDEX('Lease Cycles'!$CB$11:$CH$11,1,AH61)*(1+INDEX('Lease Cycles'!$CI$11:$CO$11,1,AH61))^INT(INT(AH62/12)/INDEX('Lease Cycles'!$CP$11:$CV$11,1,AH61))/12)))),'Lease Cycles'!$C$11*INDEX('Lease Cycles'!$CB$11:$CH$11,1,AH61)*(1+INDEX('Lease Cycles'!$CI$11:$CO$11,1,AH61))^INT(INT(AH62/12)/INDEX('Lease Cycles'!$CP$11:$CV$11,1,AH61))/12))),IF('Lease Cycles'!$N$11=1,'Lease Cycles'!$C$11*'Lease Cycles'!$E$11*INDEX('Lease Cycles'!$HE$11:$HK$11,1,AH61)*(1+INDEX('Lease Cycles'!$GQ$11:$GW$11,1,AH61))^INT(INT((AH$6-INDEX('Lease Cycles'!$GJ$11:$GP$11,1,AH61))/12)/INDEX('Lease Cycles'!$GX$11:$HD$11,1,AH61))/12,0)))</f>
        <v>5625</v>
      </c>
      <c r="AI64" s="28">
        <f>IF(AI61=0,IF('Lease Cycles'!$F$11&gt;0,'Lease Cycles'!$C$11*'Lease Cycles'!$E$11/12,0),IF(AI63=1,IF('Lease Cycles'!$AT$11&gt;=9999,'Lease Cycles'!$C$11*INDEX('Lease Cycles'!$CB$11:$CH$11,1,AI61)*(1+INDEX('Lease Cycles'!$CI$11:$CO$11,1,AI61))^INT(INT(AI62/12)/INDEX('Lease Cycles'!$CP$11:$CV$11,1,AI61))/12,IF(AI61=1,IF(AI62&gt;=INDEX('Lease Cycles'!$DK$11:$DQ$11,1,AI61),IF(AI$6&gt;='Lease Cycles'!$AZ$11,'Lease Cycles'!$C$11*'Lease Cycles'!$BA$11/12,IF(AI$6&gt;='Lease Cycles'!$AX$11,'Lease Cycles'!$C$11*'Lease Cycles'!$AY$11/12,IF(AI$6&gt;='Lease Cycles'!$AV$11,'Lease Cycles'!$C$11*'Lease Cycles'!$AW$11/12,IF(AI$6&gt;='Lease Cycles'!$AT$11,'Lease Cycles'!$C$11*'Lease Cycles'!$AU$11/12,'Lease Cycles'!$C$11*INDEX('Lease Cycles'!$CB$11:$CH$11,1,AI61)*(1+INDEX('Lease Cycles'!$CI$11:$CO$11,1,AI61))^INT(INT(AI62/12)/INDEX('Lease Cycles'!$CP$11:$CV$11,1,AI61))/12)))),'Lease Cycles'!$C$11*INDEX('Lease Cycles'!$CB$11:$CH$11,1,AI61)*(1+INDEX('Lease Cycles'!$CI$11:$CO$11,1,AI61))^INT(INT(AI62/12)/INDEX('Lease Cycles'!$CP$11:$CV$11,1,AI61))/12),IF(INDEX('Lease Cycles'!$EF$11:$EL$11,1,AI61)=1,IF(AND('Lease Cycles'!$AZ$11&gt;=INDEX('Lease Cycles'!$BG$11:$BM$11,1,AI61),'Lease Cycles'!$AZ$11&lt;=AI$6),'Lease Cycles'!$C$11*'Lease Cycles'!$BA$11/12,IF(AND('Lease Cycles'!$AX$11&gt;=INDEX('Lease Cycles'!$BG$11:$BM$11,1,AI61),'Lease Cycles'!$AX$11&lt;=AI$6),'Lease Cycles'!$C$11*'Lease Cycles'!$AY$11/12,IF(AND('Lease Cycles'!$AV$11&gt;=INDEX('Lease Cycles'!$BG$11:$BM$11,1,AI61),'Lease Cycles'!$AV$11&lt;=AI$6),'Lease Cycles'!$C$11*'Lease Cycles'!$AW$11/12,IF(AND('Lease Cycles'!$AT$11&gt;=INDEX('Lease Cycles'!$BG$11:$BM$11,1,AI61),'Lease Cycles'!$AT$11&lt;=AI$6),'Lease Cycles'!$C$11*'Lease Cycles'!$AU$11/12,'Lease Cycles'!$C$11*INDEX('Lease Cycles'!$CB$11:$CH$11,1,AI61)*(1+INDEX('Lease Cycles'!$CI$11:$CO$11,1,AI61))^INT(INT(AI62/12)/INDEX('Lease Cycles'!$CP$11:$CV$11,1,AI61))/12)))),'Lease Cycles'!$C$11*INDEX('Lease Cycles'!$CB$11:$CH$11,1,AI61)*(1+INDEX('Lease Cycles'!$CI$11:$CO$11,1,AI61))^INT(INT(AI62/12)/INDEX('Lease Cycles'!$CP$11:$CV$11,1,AI61))/12))),IF('Lease Cycles'!$N$11=1,'Lease Cycles'!$C$11*'Lease Cycles'!$E$11*INDEX('Lease Cycles'!$HE$11:$HK$11,1,AI61)*(1+INDEX('Lease Cycles'!$GQ$11:$GW$11,1,AI61))^INT(INT((AI$6-INDEX('Lease Cycles'!$GJ$11:$GP$11,1,AI61))/12)/INDEX('Lease Cycles'!$GX$11:$HD$11,1,AI61))/12,0)))</f>
        <v>5625</v>
      </c>
      <c r="AJ64" s="28">
        <f>IF(AJ61=0,IF('Lease Cycles'!$F$11&gt;0,'Lease Cycles'!$C$11*'Lease Cycles'!$E$11/12,0),IF(AJ63=1,IF('Lease Cycles'!$AT$11&gt;=9999,'Lease Cycles'!$C$11*INDEX('Lease Cycles'!$CB$11:$CH$11,1,AJ61)*(1+INDEX('Lease Cycles'!$CI$11:$CO$11,1,AJ61))^INT(INT(AJ62/12)/INDEX('Lease Cycles'!$CP$11:$CV$11,1,AJ61))/12,IF(AJ61=1,IF(AJ62&gt;=INDEX('Lease Cycles'!$DK$11:$DQ$11,1,AJ61),IF(AJ$6&gt;='Lease Cycles'!$AZ$11,'Lease Cycles'!$C$11*'Lease Cycles'!$BA$11/12,IF(AJ$6&gt;='Lease Cycles'!$AX$11,'Lease Cycles'!$C$11*'Lease Cycles'!$AY$11/12,IF(AJ$6&gt;='Lease Cycles'!$AV$11,'Lease Cycles'!$C$11*'Lease Cycles'!$AW$11/12,IF(AJ$6&gt;='Lease Cycles'!$AT$11,'Lease Cycles'!$C$11*'Lease Cycles'!$AU$11/12,'Lease Cycles'!$C$11*INDEX('Lease Cycles'!$CB$11:$CH$11,1,AJ61)*(1+INDEX('Lease Cycles'!$CI$11:$CO$11,1,AJ61))^INT(INT(AJ62/12)/INDEX('Lease Cycles'!$CP$11:$CV$11,1,AJ61))/12)))),'Lease Cycles'!$C$11*INDEX('Lease Cycles'!$CB$11:$CH$11,1,AJ61)*(1+INDEX('Lease Cycles'!$CI$11:$CO$11,1,AJ61))^INT(INT(AJ62/12)/INDEX('Lease Cycles'!$CP$11:$CV$11,1,AJ61))/12),IF(INDEX('Lease Cycles'!$EF$11:$EL$11,1,AJ61)=1,IF(AND('Lease Cycles'!$AZ$11&gt;=INDEX('Lease Cycles'!$BG$11:$BM$11,1,AJ61),'Lease Cycles'!$AZ$11&lt;=AJ$6),'Lease Cycles'!$C$11*'Lease Cycles'!$BA$11/12,IF(AND('Lease Cycles'!$AX$11&gt;=INDEX('Lease Cycles'!$BG$11:$BM$11,1,AJ61),'Lease Cycles'!$AX$11&lt;=AJ$6),'Lease Cycles'!$C$11*'Lease Cycles'!$AY$11/12,IF(AND('Lease Cycles'!$AV$11&gt;=INDEX('Lease Cycles'!$BG$11:$BM$11,1,AJ61),'Lease Cycles'!$AV$11&lt;=AJ$6),'Lease Cycles'!$C$11*'Lease Cycles'!$AW$11/12,IF(AND('Lease Cycles'!$AT$11&gt;=INDEX('Lease Cycles'!$BG$11:$BM$11,1,AJ61),'Lease Cycles'!$AT$11&lt;=AJ$6),'Lease Cycles'!$C$11*'Lease Cycles'!$AU$11/12,'Lease Cycles'!$C$11*INDEX('Lease Cycles'!$CB$11:$CH$11,1,AJ61)*(1+INDEX('Lease Cycles'!$CI$11:$CO$11,1,AJ61))^INT(INT(AJ62/12)/INDEX('Lease Cycles'!$CP$11:$CV$11,1,AJ61))/12)))),'Lease Cycles'!$C$11*INDEX('Lease Cycles'!$CB$11:$CH$11,1,AJ61)*(1+INDEX('Lease Cycles'!$CI$11:$CO$11,1,AJ61))^INT(INT(AJ62/12)/INDEX('Lease Cycles'!$CP$11:$CV$11,1,AJ61))/12))),IF('Lease Cycles'!$N$11=1,'Lease Cycles'!$C$11*'Lease Cycles'!$E$11*INDEX('Lease Cycles'!$HE$11:$HK$11,1,AJ61)*(1+INDEX('Lease Cycles'!$GQ$11:$GW$11,1,AJ61))^INT(INT((AJ$6-INDEX('Lease Cycles'!$GJ$11:$GP$11,1,AJ61))/12)/INDEX('Lease Cycles'!$GX$11:$HD$11,1,AJ61))/12,0)))</f>
        <v>5625</v>
      </c>
      <c r="AK64" s="28">
        <f>IF(AK61=0,IF('Lease Cycles'!$F$11&gt;0,'Lease Cycles'!$C$11*'Lease Cycles'!$E$11/12,0),IF(AK63=1,IF('Lease Cycles'!$AT$11&gt;=9999,'Lease Cycles'!$C$11*INDEX('Lease Cycles'!$CB$11:$CH$11,1,AK61)*(1+INDEX('Lease Cycles'!$CI$11:$CO$11,1,AK61))^INT(INT(AK62/12)/INDEX('Lease Cycles'!$CP$11:$CV$11,1,AK61))/12,IF(AK61=1,IF(AK62&gt;=INDEX('Lease Cycles'!$DK$11:$DQ$11,1,AK61),IF(AK$6&gt;='Lease Cycles'!$AZ$11,'Lease Cycles'!$C$11*'Lease Cycles'!$BA$11/12,IF(AK$6&gt;='Lease Cycles'!$AX$11,'Lease Cycles'!$C$11*'Lease Cycles'!$AY$11/12,IF(AK$6&gt;='Lease Cycles'!$AV$11,'Lease Cycles'!$C$11*'Lease Cycles'!$AW$11/12,IF(AK$6&gt;='Lease Cycles'!$AT$11,'Lease Cycles'!$C$11*'Lease Cycles'!$AU$11/12,'Lease Cycles'!$C$11*INDEX('Lease Cycles'!$CB$11:$CH$11,1,AK61)*(1+INDEX('Lease Cycles'!$CI$11:$CO$11,1,AK61))^INT(INT(AK62/12)/INDEX('Lease Cycles'!$CP$11:$CV$11,1,AK61))/12)))),'Lease Cycles'!$C$11*INDEX('Lease Cycles'!$CB$11:$CH$11,1,AK61)*(1+INDEX('Lease Cycles'!$CI$11:$CO$11,1,AK61))^INT(INT(AK62/12)/INDEX('Lease Cycles'!$CP$11:$CV$11,1,AK61))/12),IF(INDEX('Lease Cycles'!$EF$11:$EL$11,1,AK61)=1,IF(AND('Lease Cycles'!$AZ$11&gt;=INDEX('Lease Cycles'!$BG$11:$BM$11,1,AK61),'Lease Cycles'!$AZ$11&lt;=AK$6),'Lease Cycles'!$C$11*'Lease Cycles'!$BA$11/12,IF(AND('Lease Cycles'!$AX$11&gt;=INDEX('Lease Cycles'!$BG$11:$BM$11,1,AK61),'Lease Cycles'!$AX$11&lt;=AK$6),'Lease Cycles'!$C$11*'Lease Cycles'!$AY$11/12,IF(AND('Lease Cycles'!$AV$11&gt;=INDEX('Lease Cycles'!$BG$11:$BM$11,1,AK61),'Lease Cycles'!$AV$11&lt;=AK$6),'Lease Cycles'!$C$11*'Lease Cycles'!$AW$11/12,IF(AND('Lease Cycles'!$AT$11&gt;=INDEX('Lease Cycles'!$BG$11:$BM$11,1,AK61),'Lease Cycles'!$AT$11&lt;=AK$6),'Lease Cycles'!$C$11*'Lease Cycles'!$AU$11/12,'Lease Cycles'!$C$11*INDEX('Lease Cycles'!$CB$11:$CH$11,1,AK61)*(1+INDEX('Lease Cycles'!$CI$11:$CO$11,1,AK61))^INT(INT(AK62/12)/INDEX('Lease Cycles'!$CP$11:$CV$11,1,AK61))/12)))),'Lease Cycles'!$C$11*INDEX('Lease Cycles'!$CB$11:$CH$11,1,AK61)*(1+INDEX('Lease Cycles'!$CI$11:$CO$11,1,AK61))^INT(INT(AK62/12)/INDEX('Lease Cycles'!$CP$11:$CV$11,1,AK61))/12))),IF('Lease Cycles'!$N$11=1,'Lease Cycles'!$C$11*'Lease Cycles'!$E$11*INDEX('Lease Cycles'!$HE$11:$HK$11,1,AK61)*(1+INDEX('Lease Cycles'!$GQ$11:$GW$11,1,AK61))^INT(INT((AK$6-INDEX('Lease Cycles'!$GJ$11:$GP$11,1,AK61))/12)/INDEX('Lease Cycles'!$GX$11:$HD$11,1,AK61))/12,0)))</f>
        <v>5625</v>
      </c>
      <c r="AL64" s="28">
        <f>IF(AL61=0,IF('Lease Cycles'!$F$11&gt;0,'Lease Cycles'!$C$11*'Lease Cycles'!$E$11/12,0),IF(AL63=1,IF('Lease Cycles'!$AT$11&gt;=9999,'Lease Cycles'!$C$11*INDEX('Lease Cycles'!$CB$11:$CH$11,1,AL61)*(1+INDEX('Lease Cycles'!$CI$11:$CO$11,1,AL61))^INT(INT(AL62/12)/INDEX('Lease Cycles'!$CP$11:$CV$11,1,AL61))/12,IF(AL61=1,IF(AL62&gt;=INDEX('Lease Cycles'!$DK$11:$DQ$11,1,AL61),IF(AL$6&gt;='Lease Cycles'!$AZ$11,'Lease Cycles'!$C$11*'Lease Cycles'!$BA$11/12,IF(AL$6&gt;='Lease Cycles'!$AX$11,'Lease Cycles'!$C$11*'Lease Cycles'!$AY$11/12,IF(AL$6&gt;='Lease Cycles'!$AV$11,'Lease Cycles'!$C$11*'Lease Cycles'!$AW$11/12,IF(AL$6&gt;='Lease Cycles'!$AT$11,'Lease Cycles'!$C$11*'Lease Cycles'!$AU$11/12,'Lease Cycles'!$C$11*INDEX('Lease Cycles'!$CB$11:$CH$11,1,AL61)*(1+INDEX('Lease Cycles'!$CI$11:$CO$11,1,AL61))^INT(INT(AL62/12)/INDEX('Lease Cycles'!$CP$11:$CV$11,1,AL61))/12)))),'Lease Cycles'!$C$11*INDEX('Lease Cycles'!$CB$11:$CH$11,1,AL61)*(1+INDEX('Lease Cycles'!$CI$11:$CO$11,1,AL61))^INT(INT(AL62/12)/INDEX('Lease Cycles'!$CP$11:$CV$11,1,AL61))/12),IF(INDEX('Lease Cycles'!$EF$11:$EL$11,1,AL61)=1,IF(AND('Lease Cycles'!$AZ$11&gt;=INDEX('Lease Cycles'!$BG$11:$BM$11,1,AL61),'Lease Cycles'!$AZ$11&lt;=AL$6),'Lease Cycles'!$C$11*'Lease Cycles'!$BA$11/12,IF(AND('Lease Cycles'!$AX$11&gt;=INDEX('Lease Cycles'!$BG$11:$BM$11,1,AL61),'Lease Cycles'!$AX$11&lt;=AL$6),'Lease Cycles'!$C$11*'Lease Cycles'!$AY$11/12,IF(AND('Lease Cycles'!$AV$11&gt;=INDEX('Lease Cycles'!$BG$11:$BM$11,1,AL61),'Lease Cycles'!$AV$11&lt;=AL$6),'Lease Cycles'!$C$11*'Lease Cycles'!$AW$11/12,IF(AND('Lease Cycles'!$AT$11&gt;=INDEX('Lease Cycles'!$BG$11:$BM$11,1,AL61),'Lease Cycles'!$AT$11&lt;=AL$6),'Lease Cycles'!$C$11*'Lease Cycles'!$AU$11/12,'Lease Cycles'!$C$11*INDEX('Lease Cycles'!$CB$11:$CH$11,1,AL61)*(1+INDEX('Lease Cycles'!$CI$11:$CO$11,1,AL61))^INT(INT(AL62/12)/INDEX('Lease Cycles'!$CP$11:$CV$11,1,AL61))/12)))),'Lease Cycles'!$C$11*INDEX('Lease Cycles'!$CB$11:$CH$11,1,AL61)*(1+INDEX('Lease Cycles'!$CI$11:$CO$11,1,AL61))^INT(INT(AL62/12)/INDEX('Lease Cycles'!$CP$11:$CV$11,1,AL61))/12))),IF('Lease Cycles'!$N$11=1,'Lease Cycles'!$C$11*'Lease Cycles'!$E$11*INDEX('Lease Cycles'!$HE$11:$HK$11,1,AL61)*(1+INDEX('Lease Cycles'!$GQ$11:$GW$11,1,AL61))^INT(INT((AL$6-INDEX('Lease Cycles'!$GJ$11:$GP$11,1,AL61))/12)/INDEX('Lease Cycles'!$GX$11:$HD$11,1,AL61))/12,0)))</f>
        <v>5625</v>
      </c>
      <c r="AM64" s="28">
        <f>IF(AM61=0,IF('Lease Cycles'!$F$11&gt;0,'Lease Cycles'!$C$11*'Lease Cycles'!$E$11/12,0),IF(AM63=1,IF('Lease Cycles'!$AT$11&gt;=9999,'Lease Cycles'!$C$11*INDEX('Lease Cycles'!$CB$11:$CH$11,1,AM61)*(1+INDEX('Lease Cycles'!$CI$11:$CO$11,1,AM61))^INT(INT(AM62/12)/INDEX('Lease Cycles'!$CP$11:$CV$11,1,AM61))/12,IF(AM61=1,IF(AM62&gt;=INDEX('Lease Cycles'!$DK$11:$DQ$11,1,AM61),IF(AM$6&gt;='Lease Cycles'!$AZ$11,'Lease Cycles'!$C$11*'Lease Cycles'!$BA$11/12,IF(AM$6&gt;='Lease Cycles'!$AX$11,'Lease Cycles'!$C$11*'Lease Cycles'!$AY$11/12,IF(AM$6&gt;='Lease Cycles'!$AV$11,'Lease Cycles'!$C$11*'Lease Cycles'!$AW$11/12,IF(AM$6&gt;='Lease Cycles'!$AT$11,'Lease Cycles'!$C$11*'Lease Cycles'!$AU$11/12,'Lease Cycles'!$C$11*INDEX('Lease Cycles'!$CB$11:$CH$11,1,AM61)*(1+INDEX('Lease Cycles'!$CI$11:$CO$11,1,AM61))^INT(INT(AM62/12)/INDEX('Lease Cycles'!$CP$11:$CV$11,1,AM61))/12)))),'Lease Cycles'!$C$11*INDEX('Lease Cycles'!$CB$11:$CH$11,1,AM61)*(1+INDEX('Lease Cycles'!$CI$11:$CO$11,1,AM61))^INT(INT(AM62/12)/INDEX('Lease Cycles'!$CP$11:$CV$11,1,AM61))/12),IF(INDEX('Lease Cycles'!$EF$11:$EL$11,1,AM61)=1,IF(AND('Lease Cycles'!$AZ$11&gt;=INDEX('Lease Cycles'!$BG$11:$BM$11,1,AM61),'Lease Cycles'!$AZ$11&lt;=AM$6),'Lease Cycles'!$C$11*'Lease Cycles'!$BA$11/12,IF(AND('Lease Cycles'!$AX$11&gt;=INDEX('Lease Cycles'!$BG$11:$BM$11,1,AM61),'Lease Cycles'!$AX$11&lt;=AM$6),'Lease Cycles'!$C$11*'Lease Cycles'!$AY$11/12,IF(AND('Lease Cycles'!$AV$11&gt;=INDEX('Lease Cycles'!$BG$11:$BM$11,1,AM61),'Lease Cycles'!$AV$11&lt;=AM$6),'Lease Cycles'!$C$11*'Lease Cycles'!$AW$11/12,IF(AND('Lease Cycles'!$AT$11&gt;=INDEX('Lease Cycles'!$BG$11:$BM$11,1,AM61),'Lease Cycles'!$AT$11&lt;=AM$6),'Lease Cycles'!$C$11*'Lease Cycles'!$AU$11/12,'Lease Cycles'!$C$11*INDEX('Lease Cycles'!$CB$11:$CH$11,1,AM61)*(1+INDEX('Lease Cycles'!$CI$11:$CO$11,1,AM61))^INT(INT(AM62/12)/INDEX('Lease Cycles'!$CP$11:$CV$11,1,AM61))/12)))),'Lease Cycles'!$C$11*INDEX('Lease Cycles'!$CB$11:$CH$11,1,AM61)*(1+INDEX('Lease Cycles'!$CI$11:$CO$11,1,AM61))^INT(INT(AM62/12)/INDEX('Lease Cycles'!$CP$11:$CV$11,1,AM61))/12))),IF('Lease Cycles'!$N$11=1,'Lease Cycles'!$C$11*'Lease Cycles'!$E$11*INDEX('Lease Cycles'!$HE$11:$HK$11,1,AM61)*(1+INDEX('Lease Cycles'!$GQ$11:$GW$11,1,AM61))^INT(INT((AM$6-INDEX('Lease Cycles'!$GJ$11:$GP$11,1,AM61))/12)/INDEX('Lease Cycles'!$GX$11:$HD$11,1,AM61))/12,0)))</f>
        <v>5625</v>
      </c>
      <c r="AN64" s="28">
        <f>IF(AN61=0,IF('Lease Cycles'!$F$11&gt;0,'Lease Cycles'!$C$11*'Lease Cycles'!$E$11/12,0),IF(AN63=1,IF('Lease Cycles'!$AT$11&gt;=9999,'Lease Cycles'!$C$11*INDEX('Lease Cycles'!$CB$11:$CH$11,1,AN61)*(1+INDEX('Lease Cycles'!$CI$11:$CO$11,1,AN61))^INT(INT(AN62/12)/INDEX('Lease Cycles'!$CP$11:$CV$11,1,AN61))/12,IF(AN61=1,IF(AN62&gt;=INDEX('Lease Cycles'!$DK$11:$DQ$11,1,AN61),IF(AN$6&gt;='Lease Cycles'!$AZ$11,'Lease Cycles'!$C$11*'Lease Cycles'!$BA$11/12,IF(AN$6&gt;='Lease Cycles'!$AX$11,'Lease Cycles'!$C$11*'Lease Cycles'!$AY$11/12,IF(AN$6&gt;='Lease Cycles'!$AV$11,'Lease Cycles'!$C$11*'Lease Cycles'!$AW$11/12,IF(AN$6&gt;='Lease Cycles'!$AT$11,'Lease Cycles'!$C$11*'Lease Cycles'!$AU$11/12,'Lease Cycles'!$C$11*INDEX('Lease Cycles'!$CB$11:$CH$11,1,AN61)*(1+INDEX('Lease Cycles'!$CI$11:$CO$11,1,AN61))^INT(INT(AN62/12)/INDEX('Lease Cycles'!$CP$11:$CV$11,1,AN61))/12)))),'Lease Cycles'!$C$11*INDEX('Lease Cycles'!$CB$11:$CH$11,1,AN61)*(1+INDEX('Lease Cycles'!$CI$11:$CO$11,1,AN61))^INT(INT(AN62/12)/INDEX('Lease Cycles'!$CP$11:$CV$11,1,AN61))/12),IF(INDEX('Lease Cycles'!$EF$11:$EL$11,1,AN61)=1,IF(AND('Lease Cycles'!$AZ$11&gt;=INDEX('Lease Cycles'!$BG$11:$BM$11,1,AN61),'Lease Cycles'!$AZ$11&lt;=AN$6),'Lease Cycles'!$C$11*'Lease Cycles'!$BA$11/12,IF(AND('Lease Cycles'!$AX$11&gt;=INDEX('Lease Cycles'!$BG$11:$BM$11,1,AN61),'Lease Cycles'!$AX$11&lt;=AN$6),'Lease Cycles'!$C$11*'Lease Cycles'!$AY$11/12,IF(AND('Lease Cycles'!$AV$11&gt;=INDEX('Lease Cycles'!$BG$11:$BM$11,1,AN61),'Lease Cycles'!$AV$11&lt;=AN$6),'Lease Cycles'!$C$11*'Lease Cycles'!$AW$11/12,IF(AND('Lease Cycles'!$AT$11&gt;=INDEX('Lease Cycles'!$BG$11:$BM$11,1,AN61),'Lease Cycles'!$AT$11&lt;=AN$6),'Lease Cycles'!$C$11*'Lease Cycles'!$AU$11/12,'Lease Cycles'!$C$11*INDEX('Lease Cycles'!$CB$11:$CH$11,1,AN61)*(1+INDEX('Lease Cycles'!$CI$11:$CO$11,1,AN61))^INT(INT(AN62/12)/INDEX('Lease Cycles'!$CP$11:$CV$11,1,AN61))/12)))),'Lease Cycles'!$C$11*INDEX('Lease Cycles'!$CB$11:$CH$11,1,AN61)*(1+INDEX('Lease Cycles'!$CI$11:$CO$11,1,AN61))^INT(INT(AN62/12)/INDEX('Lease Cycles'!$CP$11:$CV$11,1,AN61))/12))),IF('Lease Cycles'!$N$11=1,'Lease Cycles'!$C$11*'Lease Cycles'!$E$11*INDEX('Lease Cycles'!$HE$11:$HK$11,1,AN61)*(1+INDEX('Lease Cycles'!$GQ$11:$GW$11,1,AN61))^INT(INT((AN$6-INDEX('Lease Cycles'!$GJ$11:$GP$11,1,AN61))/12)/INDEX('Lease Cycles'!$GX$11:$HD$11,1,AN61))/12,0)))</f>
        <v>5625</v>
      </c>
      <c r="AO64" s="28">
        <f>IF(AO61=0,IF('Lease Cycles'!$F$11&gt;0,'Lease Cycles'!$C$11*'Lease Cycles'!$E$11/12,0),IF(AO63=1,IF('Lease Cycles'!$AT$11&gt;=9999,'Lease Cycles'!$C$11*INDEX('Lease Cycles'!$CB$11:$CH$11,1,AO61)*(1+INDEX('Lease Cycles'!$CI$11:$CO$11,1,AO61))^INT(INT(AO62/12)/INDEX('Lease Cycles'!$CP$11:$CV$11,1,AO61))/12,IF(AO61=1,IF(AO62&gt;=INDEX('Lease Cycles'!$DK$11:$DQ$11,1,AO61),IF(AO$6&gt;='Lease Cycles'!$AZ$11,'Lease Cycles'!$C$11*'Lease Cycles'!$BA$11/12,IF(AO$6&gt;='Lease Cycles'!$AX$11,'Lease Cycles'!$C$11*'Lease Cycles'!$AY$11/12,IF(AO$6&gt;='Lease Cycles'!$AV$11,'Lease Cycles'!$C$11*'Lease Cycles'!$AW$11/12,IF(AO$6&gt;='Lease Cycles'!$AT$11,'Lease Cycles'!$C$11*'Lease Cycles'!$AU$11/12,'Lease Cycles'!$C$11*INDEX('Lease Cycles'!$CB$11:$CH$11,1,AO61)*(1+INDEX('Lease Cycles'!$CI$11:$CO$11,1,AO61))^INT(INT(AO62/12)/INDEX('Lease Cycles'!$CP$11:$CV$11,1,AO61))/12)))),'Lease Cycles'!$C$11*INDEX('Lease Cycles'!$CB$11:$CH$11,1,AO61)*(1+INDEX('Lease Cycles'!$CI$11:$CO$11,1,AO61))^INT(INT(AO62/12)/INDEX('Lease Cycles'!$CP$11:$CV$11,1,AO61))/12),IF(INDEX('Lease Cycles'!$EF$11:$EL$11,1,AO61)=1,IF(AND('Lease Cycles'!$AZ$11&gt;=INDEX('Lease Cycles'!$BG$11:$BM$11,1,AO61),'Lease Cycles'!$AZ$11&lt;=AO$6),'Lease Cycles'!$C$11*'Lease Cycles'!$BA$11/12,IF(AND('Lease Cycles'!$AX$11&gt;=INDEX('Lease Cycles'!$BG$11:$BM$11,1,AO61),'Lease Cycles'!$AX$11&lt;=AO$6),'Lease Cycles'!$C$11*'Lease Cycles'!$AY$11/12,IF(AND('Lease Cycles'!$AV$11&gt;=INDEX('Lease Cycles'!$BG$11:$BM$11,1,AO61),'Lease Cycles'!$AV$11&lt;=AO$6),'Lease Cycles'!$C$11*'Lease Cycles'!$AW$11/12,IF(AND('Lease Cycles'!$AT$11&gt;=INDEX('Lease Cycles'!$BG$11:$BM$11,1,AO61),'Lease Cycles'!$AT$11&lt;=AO$6),'Lease Cycles'!$C$11*'Lease Cycles'!$AU$11/12,'Lease Cycles'!$C$11*INDEX('Lease Cycles'!$CB$11:$CH$11,1,AO61)*(1+INDEX('Lease Cycles'!$CI$11:$CO$11,1,AO61))^INT(INT(AO62/12)/INDEX('Lease Cycles'!$CP$11:$CV$11,1,AO61))/12)))),'Lease Cycles'!$C$11*INDEX('Lease Cycles'!$CB$11:$CH$11,1,AO61)*(1+INDEX('Lease Cycles'!$CI$11:$CO$11,1,AO61))^INT(INT(AO62/12)/INDEX('Lease Cycles'!$CP$11:$CV$11,1,AO61))/12))),IF('Lease Cycles'!$N$11=1,'Lease Cycles'!$C$11*'Lease Cycles'!$E$11*INDEX('Lease Cycles'!$HE$11:$HK$11,1,AO61)*(1+INDEX('Lease Cycles'!$GQ$11:$GW$11,1,AO61))^INT(INT((AO$6-INDEX('Lease Cycles'!$GJ$11:$GP$11,1,AO61))/12)/INDEX('Lease Cycles'!$GX$11:$HD$11,1,AO61))/12,0)))</f>
        <v>5625</v>
      </c>
      <c r="AP64" s="28">
        <f>IF(AP61=0,IF('Lease Cycles'!$F$11&gt;0,'Lease Cycles'!$C$11*'Lease Cycles'!$E$11/12,0),IF(AP63=1,IF('Lease Cycles'!$AT$11&gt;=9999,'Lease Cycles'!$C$11*INDEX('Lease Cycles'!$CB$11:$CH$11,1,AP61)*(1+INDEX('Lease Cycles'!$CI$11:$CO$11,1,AP61))^INT(INT(AP62/12)/INDEX('Lease Cycles'!$CP$11:$CV$11,1,AP61))/12,IF(AP61=1,IF(AP62&gt;=INDEX('Lease Cycles'!$DK$11:$DQ$11,1,AP61),IF(AP$6&gt;='Lease Cycles'!$AZ$11,'Lease Cycles'!$C$11*'Lease Cycles'!$BA$11/12,IF(AP$6&gt;='Lease Cycles'!$AX$11,'Lease Cycles'!$C$11*'Lease Cycles'!$AY$11/12,IF(AP$6&gt;='Lease Cycles'!$AV$11,'Lease Cycles'!$C$11*'Lease Cycles'!$AW$11/12,IF(AP$6&gt;='Lease Cycles'!$AT$11,'Lease Cycles'!$C$11*'Lease Cycles'!$AU$11/12,'Lease Cycles'!$C$11*INDEX('Lease Cycles'!$CB$11:$CH$11,1,AP61)*(1+INDEX('Lease Cycles'!$CI$11:$CO$11,1,AP61))^INT(INT(AP62/12)/INDEX('Lease Cycles'!$CP$11:$CV$11,1,AP61))/12)))),'Lease Cycles'!$C$11*INDEX('Lease Cycles'!$CB$11:$CH$11,1,AP61)*(1+INDEX('Lease Cycles'!$CI$11:$CO$11,1,AP61))^INT(INT(AP62/12)/INDEX('Lease Cycles'!$CP$11:$CV$11,1,AP61))/12),IF(INDEX('Lease Cycles'!$EF$11:$EL$11,1,AP61)=1,IF(AND('Lease Cycles'!$AZ$11&gt;=INDEX('Lease Cycles'!$BG$11:$BM$11,1,AP61),'Lease Cycles'!$AZ$11&lt;=AP$6),'Lease Cycles'!$C$11*'Lease Cycles'!$BA$11/12,IF(AND('Lease Cycles'!$AX$11&gt;=INDEX('Lease Cycles'!$BG$11:$BM$11,1,AP61),'Lease Cycles'!$AX$11&lt;=AP$6),'Lease Cycles'!$C$11*'Lease Cycles'!$AY$11/12,IF(AND('Lease Cycles'!$AV$11&gt;=INDEX('Lease Cycles'!$BG$11:$BM$11,1,AP61),'Lease Cycles'!$AV$11&lt;=AP$6),'Lease Cycles'!$C$11*'Lease Cycles'!$AW$11/12,IF(AND('Lease Cycles'!$AT$11&gt;=INDEX('Lease Cycles'!$BG$11:$BM$11,1,AP61),'Lease Cycles'!$AT$11&lt;=AP$6),'Lease Cycles'!$C$11*'Lease Cycles'!$AU$11/12,'Lease Cycles'!$C$11*INDEX('Lease Cycles'!$CB$11:$CH$11,1,AP61)*(1+INDEX('Lease Cycles'!$CI$11:$CO$11,1,AP61))^INT(INT(AP62/12)/INDEX('Lease Cycles'!$CP$11:$CV$11,1,AP61))/12)))),'Lease Cycles'!$C$11*INDEX('Lease Cycles'!$CB$11:$CH$11,1,AP61)*(1+INDEX('Lease Cycles'!$CI$11:$CO$11,1,AP61))^INT(INT(AP62/12)/INDEX('Lease Cycles'!$CP$11:$CV$11,1,AP61))/12))),IF('Lease Cycles'!$N$11=1,'Lease Cycles'!$C$11*'Lease Cycles'!$E$11*INDEX('Lease Cycles'!$HE$11:$HK$11,1,AP61)*(1+INDEX('Lease Cycles'!$GQ$11:$GW$11,1,AP61))^INT(INT((AP$6-INDEX('Lease Cycles'!$GJ$11:$GP$11,1,AP61))/12)/INDEX('Lease Cycles'!$GX$11:$HD$11,1,AP61))/12,0)))</f>
        <v>5625</v>
      </c>
      <c r="AQ64" s="28">
        <f>IF(AQ61=0,IF('Lease Cycles'!$F$11&gt;0,'Lease Cycles'!$C$11*'Lease Cycles'!$E$11/12,0),IF(AQ63=1,IF('Lease Cycles'!$AT$11&gt;=9999,'Lease Cycles'!$C$11*INDEX('Lease Cycles'!$CB$11:$CH$11,1,AQ61)*(1+INDEX('Lease Cycles'!$CI$11:$CO$11,1,AQ61))^INT(INT(AQ62/12)/INDEX('Lease Cycles'!$CP$11:$CV$11,1,AQ61))/12,IF(AQ61=1,IF(AQ62&gt;=INDEX('Lease Cycles'!$DK$11:$DQ$11,1,AQ61),IF(AQ$6&gt;='Lease Cycles'!$AZ$11,'Lease Cycles'!$C$11*'Lease Cycles'!$BA$11/12,IF(AQ$6&gt;='Lease Cycles'!$AX$11,'Lease Cycles'!$C$11*'Lease Cycles'!$AY$11/12,IF(AQ$6&gt;='Lease Cycles'!$AV$11,'Lease Cycles'!$C$11*'Lease Cycles'!$AW$11/12,IF(AQ$6&gt;='Lease Cycles'!$AT$11,'Lease Cycles'!$C$11*'Lease Cycles'!$AU$11/12,'Lease Cycles'!$C$11*INDEX('Lease Cycles'!$CB$11:$CH$11,1,AQ61)*(1+INDEX('Lease Cycles'!$CI$11:$CO$11,1,AQ61))^INT(INT(AQ62/12)/INDEX('Lease Cycles'!$CP$11:$CV$11,1,AQ61))/12)))),'Lease Cycles'!$C$11*INDEX('Lease Cycles'!$CB$11:$CH$11,1,AQ61)*(1+INDEX('Lease Cycles'!$CI$11:$CO$11,1,AQ61))^INT(INT(AQ62/12)/INDEX('Lease Cycles'!$CP$11:$CV$11,1,AQ61))/12),IF(INDEX('Lease Cycles'!$EF$11:$EL$11,1,AQ61)=1,IF(AND('Lease Cycles'!$AZ$11&gt;=INDEX('Lease Cycles'!$BG$11:$BM$11,1,AQ61),'Lease Cycles'!$AZ$11&lt;=AQ$6),'Lease Cycles'!$C$11*'Lease Cycles'!$BA$11/12,IF(AND('Lease Cycles'!$AX$11&gt;=INDEX('Lease Cycles'!$BG$11:$BM$11,1,AQ61),'Lease Cycles'!$AX$11&lt;=AQ$6),'Lease Cycles'!$C$11*'Lease Cycles'!$AY$11/12,IF(AND('Lease Cycles'!$AV$11&gt;=INDEX('Lease Cycles'!$BG$11:$BM$11,1,AQ61),'Lease Cycles'!$AV$11&lt;=AQ$6),'Lease Cycles'!$C$11*'Lease Cycles'!$AW$11/12,IF(AND('Lease Cycles'!$AT$11&gt;=INDEX('Lease Cycles'!$BG$11:$BM$11,1,AQ61),'Lease Cycles'!$AT$11&lt;=AQ$6),'Lease Cycles'!$C$11*'Lease Cycles'!$AU$11/12,'Lease Cycles'!$C$11*INDEX('Lease Cycles'!$CB$11:$CH$11,1,AQ61)*(1+INDEX('Lease Cycles'!$CI$11:$CO$11,1,AQ61))^INT(INT(AQ62/12)/INDEX('Lease Cycles'!$CP$11:$CV$11,1,AQ61))/12)))),'Lease Cycles'!$C$11*INDEX('Lease Cycles'!$CB$11:$CH$11,1,AQ61)*(1+INDEX('Lease Cycles'!$CI$11:$CO$11,1,AQ61))^INT(INT(AQ62/12)/INDEX('Lease Cycles'!$CP$11:$CV$11,1,AQ61))/12))),IF('Lease Cycles'!$N$11=1,'Lease Cycles'!$C$11*'Lease Cycles'!$E$11*INDEX('Lease Cycles'!$HE$11:$HK$11,1,AQ61)*(1+INDEX('Lease Cycles'!$GQ$11:$GW$11,1,AQ61))^INT(INT((AQ$6-INDEX('Lease Cycles'!$GJ$11:$GP$11,1,AQ61))/12)/INDEX('Lease Cycles'!$GX$11:$HD$11,1,AQ61))/12,0)))</f>
        <v>5625</v>
      </c>
      <c r="AR64" s="28">
        <f>IF(AR61=0,IF('Lease Cycles'!$F$11&gt;0,'Lease Cycles'!$C$11*'Lease Cycles'!$E$11/12,0),IF(AR63=1,IF('Lease Cycles'!$AT$11&gt;=9999,'Lease Cycles'!$C$11*INDEX('Lease Cycles'!$CB$11:$CH$11,1,AR61)*(1+INDEX('Lease Cycles'!$CI$11:$CO$11,1,AR61))^INT(INT(AR62/12)/INDEX('Lease Cycles'!$CP$11:$CV$11,1,AR61))/12,IF(AR61=1,IF(AR62&gt;=INDEX('Lease Cycles'!$DK$11:$DQ$11,1,AR61),IF(AR$6&gt;='Lease Cycles'!$AZ$11,'Lease Cycles'!$C$11*'Lease Cycles'!$BA$11/12,IF(AR$6&gt;='Lease Cycles'!$AX$11,'Lease Cycles'!$C$11*'Lease Cycles'!$AY$11/12,IF(AR$6&gt;='Lease Cycles'!$AV$11,'Lease Cycles'!$C$11*'Lease Cycles'!$AW$11/12,IF(AR$6&gt;='Lease Cycles'!$AT$11,'Lease Cycles'!$C$11*'Lease Cycles'!$AU$11/12,'Lease Cycles'!$C$11*INDEX('Lease Cycles'!$CB$11:$CH$11,1,AR61)*(1+INDEX('Lease Cycles'!$CI$11:$CO$11,1,AR61))^INT(INT(AR62/12)/INDEX('Lease Cycles'!$CP$11:$CV$11,1,AR61))/12)))),'Lease Cycles'!$C$11*INDEX('Lease Cycles'!$CB$11:$CH$11,1,AR61)*(1+INDEX('Lease Cycles'!$CI$11:$CO$11,1,AR61))^INT(INT(AR62/12)/INDEX('Lease Cycles'!$CP$11:$CV$11,1,AR61))/12),IF(INDEX('Lease Cycles'!$EF$11:$EL$11,1,AR61)=1,IF(AND('Lease Cycles'!$AZ$11&gt;=INDEX('Lease Cycles'!$BG$11:$BM$11,1,AR61),'Lease Cycles'!$AZ$11&lt;=AR$6),'Lease Cycles'!$C$11*'Lease Cycles'!$BA$11/12,IF(AND('Lease Cycles'!$AX$11&gt;=INDEX('Lease Cycles'!$BG$11:$BM$11,1,AR61),'Lease Cycles'!$AX$11&lt;=AR$6),'Lease Cycles'!$C$11*'Lease Cycles'!$AY$11/12,IF(AND('Lease Cycles'!$AV$11&gt;=INDEX('Lease Cycles'!$BG$11:$BM$11,1,AR61),'Lease Cycles'!$AV$11&lt;=AR$6),'Lease Cycles'!$C$11*'Lease Cycles'!$AW$11/12,IF(AND('Lease Cycles'!$AT$11&gt;=INDEX('Lease Cycles'!$BG$11:$BM$11,1,AR61),'Lease Cycles'!$AT$11&lt;=AR$6),'Lease Cycles'!$C$11*'Lease Cycles'!$AU$11/12,'Lease Cycles'!$C$11*INDEX('Lease Cycles'!$CB$11:$CH$11,1,AR61)*(1+INDEX('Lease Cycles'!$CI$11:$CO$11,1,AR61))^INT(INT(AR62/12)/INDEX('Lease Cycles'!$CP$11:$CV$11,1,AR61))/12)))),'Lease Cycles'!$C$11*INDEX('Lease Cycles'!$CB$11:$CH$11,1,AR61)*(1+INDEX('Lease Cycles'!$CI$11:$CO$11,1,AR61))^INT(INT(AR62/12)/INDEX('Lease Cycles'!$CP$11:$CV$11,1,AR61))/12))),IF('Lease Cycles'!$N$11=1,'Lease Cycles'!$C$11*'Lease Cycles'!$E$11*INDEX('Lease Cycles'!$HE$11:$HK$11,1,AR61)*(1+INDEX('Lease Cycles'!$GQ$11:$GW$11,1,AR61))^INT(INT((AR$6-INDEX('Lease Cycles'!$GJ$11:$GP$11,1,AR61))/12)/INDEX('Lease Cycles'!$GX$11:$HD$11,1,AR61))/12,0)))</f>
        <v>5625</v>
      </c>
      <c r="AS64" s="28">
        <f>IF(AS61=0,IF('Lease Cycles'!$F$11&gt;0,'Lease Cycles'!$C$11*'Lease Cycles'!$E$11/12,0),IF(AS63=1,IF('Lease Cycles'!$AT$11&gt;=9999,'Lease Cycles'!$C$11*INDEX('Lease Cycles'!$CB$11:$CH$11,1,AS61)*(1+INDEX('Lease Cycles'!$CI$11:$CO$11,1,AS61))^INT(INT(AS62/12)/INDEX('Lease Cycles'!$CP$11:$CV$11,1,AS61))/12,IF(AS61=1,IF(AS62&gt;=INDEX('Lease Cycles'!$DK$11:$DQ$11,1,AS61),IF(AS$6&gt;='Lease Cycles'!$AZ$11,'Lease Cycles'!$C$11*'Lease Cycles'!$BA$11/12,IF(AS$6&gt;='Lease Cycles'!$AX$11,'Lease Cycles'!$C$11*'Lease Cycles'!$AY$11/12,IF(AS$6&gt;='Lease Cycles'!$AV$11,'Lease Cycles'!$C$11*'Lease Cycles'!$AW$11/12,IF(AS$6&gt;='Lease Cycles'!$AT$11,'Lease Cycles'!$C$11*'Lease Cycles'!$AU$11/12,'Lease Cycles'!$C$11*INDEX('Lease Cycles'!$CB$11:$CH$11,1,AS61)*(1+INDEX('Lease Cycles'!$CI$11:$CO$11,1,AS61))^INT(INT(AS62/12)/INDEX('Lease Cycles'!$CP$11:$CV$11,1,AS61))/12)))),'Lease Cycles'!$C$11*INDEX('Lease Cycles'!$CB$11:$CH$11,1,AS61)*(1+INDEX('Lease Cycles'!$CI$11:$CO$11,1,AS61))^INT(INT(AS62/12)/INDEX('Lease Cycles'!$CP$11:$CV$11,1,AS61))/12),IF(INDEX('Lease Cycles'!$EF$11:$EL$11,1,AS61)=1,IF(AND('Lease Cycles'!$AZ$11&gt;=INDEX('Lease Cycles'!$BG$11:$BM$11,1,AS61),'Lease Cycles'!$AZ$11&lt;=AS$6),'Lease Cycles'!$C$11*'Lease Cycles'!$BA$11/12,IF(AND('Lease Cycles'!$AX$11&gt;=INDEX('Lease Cycles'!$BG$11:$BM$11,1,AS61),'Lease Cycles'!$AX$11&lt;=AS$6),'Lease Cycles'!$C$11*'Lease Cycles'!$AY$11/12,IF(AND('Lease Cycles'!$AV$11&gt;=INDEX('Lease Cycles'!$BG$11:$BM$11,1,AS61),'Lease Cycles'!$AV$11&lt;=AS$6),'Lease Cycles'!$C$11*'Lease Cycles'!$AW$11/12,IF(AND('Lease Cycles'!$AT$11&gt;=INDEX('Lease Cycles'!$BG$11:$BM$11,1,AS61),'Lease Cycles'!$AT$11&lt;=AS$6),'Lease Cycles'!$C$11*'Lease Cycles'!$AU$11/12,'Lease Cycles'!$C$11*INDEX('Lease Cycles'!$CB$11:$CH$11,1,AS61)*(1+INDEX('Lease Cycles'!$CI$11:$CO$11,1,AS61))^INT(INT(AS62/12)/INDEX('Lease Cycles'!$CP$11:$CV$11,1,AS61))/12)))),'Lease Cycles'!$C$11*INDEX('Lease Cycles'!$CB$11:$CH$11,1,AS61)*(1+INDEX('Lease Cycles'!$CI$11:$CO$11,1,AS61))^INT(INT(AS62/12)/INDEX('Lease Cycles'!$CP$11:$CV$11,1,AS61))/12))),IF('Lease Cycles'!$N$11=1,'Lease Cycles'!$C$11*'Lease Cycles'!$E$11*INDEX('Lease Cycles'!$HE$11:$HK$11,1,AS61)*(1+INDEX('Lease Cycles'!$GQ$11:$GW$11,1,AS61))^INT(INT((AS$6-INDEX('Lease Cycles'!$GJ$11:$GP$11,1,AS61))/12)/INDEX('Lease Cycles'!$GX$11:$HD$11,1,AS61))/12,0)))</f>
        <v>5625</v>
      </c>
      <c r="AT64" s="28">
        <f>IF(AT61=0,IF('Lease Cycles'!$F$11&gt;0,'Lease Cycles'!$C$11*'Lease Cycles'!$E$11/12,0),IF(AT63=1,IF('Lease Cycles'!$AT$11&gt;=9999,'Lease Cycles'!$C$11*INDEX('Lease Cycles'!$CB$11:$CH$11,1,AT61)*(1+INDEX('Lease Cycles'!$CI$11:$CO$11,1,AT61))^INT(INT(AT62/12)/INDEX('Lease Cycles'!$CP$11:$CV$11,1,AT61))/12,IF(AT61=1,IF(AT62&gt;=INDEX('Lease Cycles'!$DK$11:$DQ$11,1,AT61),IF(AT$6&gt;='Lease Cycles'!$AZ$11,'Lease Cycles'!$C$11*'Lease Cycles'!$BA$11/12,IF(AT$6&gt;='Lease Cycles'!$AX$11,'Lease Cycles'!$C$11*'Lease Cycles'!$AY$11/12,IF(AT$6&gt;='Lease Cycles'!$AV$11,'Lease Cycles'!$C$11*'Lease Cycles'!$AW$11/12,IF(AT$6&gt;='Lease Cycles'!$AT$11,'Lease Cycles'!$C$11*'Lease Cycles'!$AU$11/12,'Lease Cycles'!$C$11*INDEX('Lease Cycles'!$CB$11:$CH$11,1,AT61)*(1+INDEX('Lease Cycles'!$CI$11:$CO$11,1,AT61))^INT(INT(AT62/12)/INDEX('Lease Cycles'!$CP$11:$CV$11,1,AT61))/12)))),'Lease Cycles'!$C$11*INDEX('Lease Cycles'!$CB$11:$CH$11,1,AT61)*(1+INDEX('Lease Cycles'!$CI$11:$CO$11,1,AT61))^INT(INT(AT62/12)/INDEX('Lease Cycles'!$CP$11:$CV$11,1,AT61))/12),IF(INDEX('Lease Cycles'!$EF$11:$EL$11,1,AT61)=1,IF(AND('Lease Cycles'!$AZ$11&gt;=INDEX('Lease Cycles'!$BG$11:$BM$11,1,AT61),'Lease Cycles'!$AZ$11&lt;=AT$6),'Lease Cycles'!$C$11*'Lease Cycles'!$BA$11/12,IF(AND('Lease Cycles'!$AX$11&gt;=INDEX('Lease Cycles'!$BG$11:$BM$11,1,AT61),'Lease Cycles'!$AX$11&lt;=AT$6),'Lease Cycles'!$C$11*'Lease Cycles'!$AY$11/12,IF(AND('Lease Cycles'!$AV$11&gt;=INDEX('Lease Cycles'!$BG$11:$BM$11,1,AT61),'Lease Cycles'!$AV$11&lt;=AT$6),'Lease Cycles'!$C$11*'Lease Cycles'!$AW$11/12,IF(AND('Lease Cycles'!$AT$11&gt;=INDEX('Lease Cycles'!$BG$11:$BM$11,1,AT61),'Lease Cycles'!$AT$11&lt;=AT$6),'Lease Cycles'!$C$11*'Lease Cycles'!$AU$11/12,'Lease Cycles'!$C$11*INDEX('Lease Cycles'!$CB$11:$CH$11,1,AT61)*(1+INDEX('Lease Cycles'!$CI$11:$CO$11,1,AT61))^INT(INT(AT62/12)/INDEX('Lease Cycles'!$CP$11:$CV$11,1,AT61))/12)))),'Lease Cycles'!$C$11*INDEX('Lease Cycles'!$CB$11:$CH$11,1,AT61)*(1+INDEX('Lease Cycles'!$CI$11:$CO$11,1,AT61))^INT(INT(AT62/12)/INDEX('Lease Cycles'!$CP$11:$CV$11,1,AT61))/12))),IF('Lease Cycles'!$N$11=1,'Lease Cycles'!$C$11*'Lease Cycles'!$E$11*INDEX('Lease Cycles'!$HE$11:$HK$11,1,AT61)*(1+INDEX('Lease Cycles'!$GQ$11:$GW$11,1,AT61))^INT(INT((AT$6-INDEX('Lease Cycles'!$GJ$11:$GP$11,1,AT61))/12)/INDEX('Lease Cycles'!$GX$11:$HD$11,1,AT61))/12,0)))</f>
        <v>5625</v>
      </c>
      <c r="AU64" s="28">
        <f>IF(AU61=0,IF('Lease Cycles'!$F$11&gt;0,'Lease Cycles'!$C$11*'Lease Cycles'!$E$11/12,0),IF(AU63=1,IF('Lease Cycles'!$AT$11&gt;=9999,'Lease Cycles'!$C$11*INDEX('Lease Cycles'!$CB$11:$CH$11,1,AU61)*(1+INDEX('Lease Cycles'!$CI$11:$CO$11,1,AU61))^INT(INT(AU62/12)/INDEX('Lease Cycles'!$CP$11:$CV$11,1,AU61))/12,IF(AU61=1,IF(AU62&gt;=INDEX('Lease Cycles'!$DK$11:$DQ$11,1,AU61),IF(AU$6&gt;='Lease Cycles'!$AZ$11,'Lease Cycles'!$C$11*'Lease Cycles'!$BA$11/12,IF(AU$6&gt;='Lease Cycles'!$AX$11,'Lease Cycles'!$C$11*'Lease Cycles'!$AY$11/12,IF(AU$6&gt;='Lease Cycles'!$AV$11,'Lease Cycles'!$C$11*'Lease Cycles'!$AW$11/12,IF(AU$6&gt;='Lease Cycles'!$AT$11,'Lease Cycles'!$C$11*'Lease Cycles'!$AU$11/12,'Lease Cycles'!$C$11*INDEX('Lease Cycles'!$CB$11:$CH$11,1,AU61)*(1+INDEX('Lease Cycles'!$CI$11:$CO$11,1,AU61))^INT(INT(AU62/12)/INDEX('Lease Cycles'!$CP$11:$CV$11,1,AU61))/12)))),'Lease Cycles'!$C$11*INDEX('Lease Cycles'!$CB$11:$CH$11,1,AU61)*(1+INDEX('Lease Cycles'!$CI$11:$CO$11,1,AU61))^INT(INT(AU62/12)/INDEX('Lease Cycles'!$CP$11:$CV$11,1,AU61))/12),IF(INDEX('Lease Cycles'!$EF$11:$EL$11,1,AU61)=1,IF(AND('Lease Cycles'!$AZ$11&gt;=INDEX('Lease Cycles'!$BG$11:$BM$11,1,AU61),'Lease Cycles'!$AZ$11&lt;=AU$6),'Lease Cycles'!$C$11*'Lease Cycles'!$BA$11/12,IF(AND('Lease Cycles'!$AX$11&gt;=INDEX('Lease Cycles'!$BG$11:$BM$11,1,AU61),'Lease Cycles'!$AX$11&lt;=AU$6),'Lease Cycles'!$C$11*'Lease Cycles'!$AY$11/12,IF(AND('Lease Cycles'!$AV$11&gt;=INDEX('Lease Cycles'!$BG$11:$BM$11,1,AU61),'Lease Cycles'!$AV$11&lt;=AU$6),'Lease Cycles'!$C$11*'Lease Cycles'!$AW$11/12,IF(AND('Lease Cycles'!$AT$11&gt;=INDEX('Lease Cycles'!$BG$11:$BM$11,1,AU61),'Lease Cycles'!$AT$11&lt;=AU$6),'Lease Cycles'!$C$11*'Lease Cycles'!$AU$11/12,'Lease Cycles'!$C$11*INDEX('Lease Cycles'!$CB$11:$CH$11,1,AU61)*(1+INDEX('Lease Cycles'!$CI$11:$CO$11,1,AU61))^INT(INT(AU62/12)/INDEX('Lease Cycles'!$CP$11:$CV$11,1,AU61))/12)))),'Lease Cycles'!$C$11*INDEX('Lease Cycles'!$CB$11:$CH$11,1,AU61)*(1+INDEX('Lease Cycles'!$CI$11:$CO$11,1,AU61))^INT(INT(AU62/12)/INDEX('Lease Cycles'!$CP$11:$CV$11,1,AU61))/12))),IF('Lease Cycles'!$N$11=1,'Lease Cycles'!$C$11*'Lease Cycles'!$E$11*INDEX('Lease Cycles'!$HE$11:$HK$11,1,AU61)*(1+INDEX('Lease Cycles'!$GQ$11:$GW$11,1,AU61))^INT(INT((AU$6-INDEX('Lease Cycles'!$GJ$11:$GP$11,1,AU61))/12)/INDEX('Lease Cycles'!$GX$11:$HD$11,1,AU61))/12,0)))</f>
        <v>5625</v>
      </c>
      <c r="AV64" s="28">
        <f>IF(AV61=0,IF('Lease Cycles'!$F$11&gt;0,'Lease Cycles'!$C$11*'Lease Cycles'!$E$11/12,0),IF(AV63=1,IF('Lease Cycles'!$AT$11&gt;=9999,'Lease Cycles'!$C$11*INDEX('Lease Cycles'!$CB$11:$CH$11,1,AV61)*(1+INDEX('Lease Cycles'!$CI$11:$CO$11,1,AV61))^INT(INT(AV62/12)/INDEX('Lease Cycles'!$CP$11:$CV$11,1,AV61))/12,IF(AV61=1,IF(AV62&gt;=INDEX('Lease Cycles'!$DK$11:$DQ$11,1,AV61),IF(AV$6&gt;='Lease Cycles'!$AZ$11,'Lease Cycles'!$C$11*'Lease Cycles'!$BA$11/12,IF(AV$6&gt;='Lease Cycles'!$AX$11,'Lease Cycles'!$C$11*'Lease Cycles'!$AY$11/12,IF(AV$6&gt;='Lease Cycles'!$AV$11,'Lease Cycles'!$C$11*'Lease Cycles'!$AW$11/12,IF(AV$6&gt;='Lease Cycles'!$AT$11,'Lease Cycles'!$C$11*'Lease Cycles'!$AU$11/12,'Lease Cycles'!$C$11*INDEX('Lease Cycles'!$CB$11:$CH$11,1,AV61)*(1+INDEX('Lease Cycles'!$CI$11:$CO$11,1,AV61))^INT(INT(AV62/12)/INDEX('Lease Cycles'!$CP$11:$CV$11,1,AV61))/12)))),'Lease Cycles'!$C$11*INDEX('Lease Cycles'!$CB$11:$CH$11,1,AV61)*(1+INDEX('Lease Cycles'!$CI$11:$CO$11,1,AV61))^INT(INT(AV62/12)/INDEX('Lease Cycles'!$CP$11:$CV$11,1,AV61))/12),IF(INDEX('Lease Cycles'!$EF$11:$EL$11,1,AV61)=1,IF(AND('Lease Cycles'!$AZ$11&gt;=INDEX('Lease Cycles'!$BG$11:$BM$11,1,AV61),'Lease Cycles'!$AZ$11&lt;=AV$6),'Lease Cycles'!$C$11*'Lease Cycles'!$BA$11/12,IF(AND('Lease Cycles'!$AX$11&gt;=INDEX('Lease Cycles'!$BG$11:$BM$11,1,AV61),'Lease Cycles'!$AX$11&lt;=AV$6),'Lease Cycles'!$C$11*'Lease Cycles'!$AY$11/12,IF(AND('Lease Cycles'!$AV$11&gt;=INDEX('Lease Cycles'!$BG$11:$BM$11,1,AV61),'Lease Cycles'!$AV$11&lt;=AV$6),'Lease Cycles'!$C$11*'Lease Cycles'!$AW$11/12,IF(AND('Lease Cycles'!$AT$11&gt;=INDEX('Lease Cycles'!$BG$11:$BM$11,1,AV61),'Lease Cycles'!$AT$11&lt;=AV$6),'Lease Cycles'!$C$11*'Lease Cycles'!$AU$11/12,'Lease Cycles'!$C$11*INDEX('Lease Cycles'!$CB$11:$CH$11,1,AV61)*(1+INDEX('Lease Cycles'!$CI$11:$CO$11,1,AV61))^INT(INT(AV62/12)/INDEX('Lease Cycles'!$CP$11:$CV$11,1,AV61))/12)))),'Lease Cycles'!$C$11*INDEX('Lease Cycles'!$CB$11:$CH$11,1,AV61)*(1+INDEX('Lease Cycles'!$CI$11:$CO$11,1,AV61))^INT(INT(AV62/12)/INDEX('Lease Cycles'!$CP$11:$CV$11,1,AV61))/12))),IF('Lease Cycles'!$N$11=1,'Lease Cycles'!$C$11*'Lease Cycles'!$E$11*INDEX('Lease Cycles'!$HE$11:$HK$11,1,AV61)*(1+INDEX('Lease Cycles'!$GQ$11:$GW$11,1,AV61))^INT(INT((AV$6-INDEX('Lease Cycles'!$GJ$11:$GP$11,1,AV61))/12)/INDEX('Lease Cycles'!$GX$11:$HD$11,1,AV61))/12,0)))</f>
        <v>5625</v>
      </c>
      <c r="AW64" s="28">
        <f>IF(AW61=0,IF('Lease Cycles'!$F$11&gt;0,'Lease Cycles'!$C$11*'Lease Cycles'!$E$11/12,0),IF(AW63=1,IF('Lease Cycles'!$AT$11&gt;=9999,'Lease Cycles'!$C$11*INDEX('Lease Cycles'!$CB$11:$CH$11,1,AW61)*(1+INDEX('Lease Cycles'!$CI$11:$CO$11,1,AW61))^INT(INT(AW62/12)/INDEX('Lease Cycles'!$CP$11:$CV$11,1,AW61))/12,IF(AW61=1,IF(AW62&gt;=INDEX('Lease Cycles'!$DK$11:$DQ$11,1,AW61),IF(AW$6&gt;='Lease Cycles'!$AZ$11,'Lease Cycles'!$C$11*'Lease Cycles'!$BA$11/12,IF(AW$6&gt;='Lease Cycles'!$AX$11,'Lease Cycles'!$C$11*'Lease Cycles'!$AY$11/12,IF(AW$6&gt;='Lease Cycles'!$AV$11,'Lease Cycles'!$C$11*'Lease Cycles'!$AW$11/12,IF(AW$6&gt;='Lease Cycles'!$AT$11,'Lease Cycles'!$C$11*'Lease Cycles'!$AU$11/12,'Lease Cycles'!$C$11*INDEX('Lease Cycles'!$CB$11:$CH$11,1,AW61)*(1+INDEX('Lease Cycles'!$CI$11:$CO$11,1,AW61))^INT(INT(AW62/12)/INDEX('Lease Cycles'!$CP$11:$CV$11,1,AW61))/12)))),'Lease Cycles'!$C$11*INDEX('Lease Cycles'!$CB$11:$CH$11,1,AW61)*(1+INDEX('Lease Cycles'!$CI$11:$CO$11,1,AW61))^INT(INT(AW62/12)/INDEX('Lease Cycles'!$CP$11:$CV$11,1,AW61))/12),IF(INDEX('Lease Cycles'!$EF$11:$EL$11,1,AW61)=1,IF(AND('Lease Cycles'!$AZ$11&gt;=INDEX('Lease Cycles'!$BG$11:$BM$11,1,AW61),'Lease Cycles'!$AZ$11&lt;=AW$6),'Lease Cycles'!$C$11*'Lease Cycles'!$BA$11/12,IF(AND('Lease Cycles'!$AX$11&gt;=INDEX('Lease Cycles'!$BG$11:$BM$11,1,AW61),'Lease Cycles'!$AX$11&lt;=AW$6),'Lease Cycles'!$C$11*'Lease Cycles'!$AY$11/12,IF(AND('Lease Cycles'!$AV$11&gt;=INDEX('Lease Cycles'!$BG$11:$BM$11,1,AW61),'Lease Cycles'!$AV$11&lt;=AW$6),'Lease Cycles'!$C$11*'Lease Cycles'!$AW$11/12,IF(AND('Lease Cycles'!$AT$11&gt;=INDEX('Lease Cycles'!$BG$11:$BM$11,1,AW61),'Lease Cycles'!$AT$11&lt;=AW$6),'Lease Cycles'!$C$11*'Lease Cycles'!$AU$11/12,'Lease Cycles'!$C$11*INDEX('Lease Cycles'!$CB$11:$CH$11,1,AW61)*(1+INDEX('Lease Cycles'!$CI$11:$CO$11,1,AW61))^INT(INT(AW62/12)/INDEX('Lease Cycles'!$CP$11:$CV$11,1,AW61))/12)))),'Lease Cycles'!$C$11*INDEX('Lease Cycles'!$CB$11:$CH$11,1,AW61)*(1+INDEX('Lease Cycles'!$CI$11:$CO$11,1,AW61))^INT(INT(AW62/12)/INDEX('Lease Cycles'!$CP$11:$CV$11,1,AW61))/12))),IF('Lease Cycles'!$N$11=1,'Lease Cycles'!$C$11*'Lease Cycles'!$E$11*INDEX('Lease Cycles'!$HE$11:$HK$11,1,AW61)*(1+INDEX('Lease Cycles'!$GQ$11:$GW$11,1,AW61))^INT(INT((AW$6-INDEX('Lease Cycles'!$GJ$11:$GP$11,1,AW61))/12)/INDEX('Lease Cycles'!$GX$11:$HD$11,1,AW61))/12,0)))</f>
        <v>5625</v>
      </c>
      <c r="AX64" s="28">
        <f>IF(AX61=0,IF('Lease Cycles'!$F$11&gt;0,'Lease Cycles'!$C$11*'Lease Cycles'!$E$11/12,0),IF(AX63=1,IF('Lease Cycles'!$AT$11&gt;=9999,'Lease Cycles'!$C$11*INDEX('Lease Cycles'!$CB$11:$CH$11,1,AX61)*(1+INDEX('Lease Cycles'!$CI$11:$CO$11,1,AX61))^INT(INT(AX62/12)/INDEX('Lease Cycles'!$CP$11:$CV$11,1,AX61))/12,IF(AX61=1,IF(AX62&gt;=INDEX('Lease Cycles'!$DK$11:$DQ$11,1,AX61),IF(AX$6&gt;='Lease Cycles'!$AZ$11,'Lease Cycles'!$C$11*'Lease Cycles'!$BA$11/12,IF(AX$6&gt;='Lease Cycles'!$AX$11,'Lease Cycles'!$C$11*'Lease Cycles'!$AY$11/12,IF(AX$6&gt;='Lease Cycles'!$AV$11,'Lease Cycles'!$C$11*'Lease Cycles'!$AW$11/12,IF(AX$6&gt;='Lease Cycles'!$AT$11,'Lease Cycles'!$C$11*'Lease Cycles'!$AU$11/12,'Lease Cycles'!$C$11*INDEX('Lease Cycles'!$CB$11:$CH$11,1,AX61)*(1+INDEX('Lease Cycles'!$CI$11:$CO$11,1,AX61))^INT(INT(AX62/12)/INDEX('Lease Cycles'!$CP$11:$CV$11,1,AX61))/12)))),'Lease Cycles'!$C$11*INDEX('Lease Cycles'!$CB$11:$CH$11,1,AX61)*(1+INDEX('Lease Cycles'!$CI$11:$CO$11,1,AX61))^INT(INT(AX62/12)/INDEX('Lease Cycles'!$CP$11:$CV$11,1,AX61))/12),IF(INDEX('Lease Cycles'!$EF$11:$EL$11,1,AX61)=1,IF(AND('Lease Cycles'!$AZ$11&gt;=INDEX('Lease Cycles'!$BG$11:$BM$11,1,AX61),'Lease Cycles'!$AZ$11&lt;=AX$6),'Lease Cycles'!$C$11*'Lease Cycles'!$BA$11/12,IF(AND('Lease Cycles'!$AX$11&gt;=INDEX('Lease Cycles'!$BG$11:$BM$11,1,AX61),'Lease Cycles'!$AX$11&lt;=AX$6),'Lease Cycles'!$C$11*'Lease Cycles'!$AY$11/12,IF(AND('Lease Cycles'!$AV$11&gt;=INDEX('Lease Cycles'!$BG$11:$BM$11,1,AX61),'Lease Cycles'!$AV$11&lt;=AX$6),'Lease Cycles'!$C$11*'Lease Cycles'!$AW$11/12,IF(AND('Lease Cycles'!$AT$11&gt;=INDEX('Lease Cycles'!$BG$11:$BM$11,1,AX61),'Lease Cycles'!$AT$11&lt;=AX$6),'Lease Cycles'!$C$11*'Lease Cycles'!$AU$11/12,'Lease Cycles'!$C$11*INDEX('Lease Cycles'!$CB$11:$CH$11,1,AX61)*(1+INDEX('Lease Cycles'!$CI$11:$CO$11,1,AX61))^INT(INT(AX62/12)/INDEX('Lease Cycles'!$CP$11:$CV$11,1,AX61))/12)))),'Lease Cycles'!$C$11*INDEX('Lease Cycles'!$CB$11:$CH$11,1,AX61)*(1+INDEX('Lease Cycles'!$CI$11:$CO$11,1,AX61))^INT(INT(AX62/12)/INDEX('Lease Cycles'!$CP$11:$CV$11,1,AX61))/12))),IF('Lease Cycles'!$N$11=1,'Lease Cycles'!$C$11*'Lease Cycles'!$E$11*INDEX('Lease Cycles'!$HE$11:$HK$11,1,AX61)*(1+INDEX('Lease Cycles'!$GQ$11:$GW$11,1,AX61))^INT(INT((AX$6-INDEX('Lease Cycles'!$GJ$11:$GP$11,1,AX61))/12)/INDEX('Lease Cycles'!$GX$11:$HD$11,1,AX61))/12,0)))</f>
        <v>5625</v>
      </c>
      <c r="AY64" s="28">
        <f>IF(AY61=0,IF('Lease Cycles'!$F$11&gt;0,'Lease Cycles'!$C$11*'Lease Cycles'!$E$11/12,0),IF(AY63=1,IF('Lease Cycles'!$AT$11&gt;=9999,'Lease Cycles'!$C$11*INDEX('Lease Cycles'!$CB$11:$CH$11,1,AY61)*(1+INDEX('Lease Cycles'!$CI$11:$CO$11,1,AY61))^INT(INT(AY62/12)/INDEX('Lease Cycles'!$CP$11:$CV$11,1,AY61))/12,IF(AY61=1,IF(AY62&gt;=INDEX('Lease Cycles'!$DK$11:$DQ$11,1,AY61),IF(AY$6&gt;='Lease Cycles'!$AZ$11,'Lease Cycles'!$C$11*'Lease Cycles'!$BA$11/12,IF(AY$6&gt;='Lease Cycles'!$AX$11,'Lease Cycles'!$C$11*'Lease Cycles'!$AY$11/12,IF(AY$6&gt;='Lease Cycles'!$AV$11,'Lease Cycles'!$C$11*'Lease Cycles'!$AW$11/12,IF(AY$6&gt;='Lease Cycles'!$AT$11,'Lease Cycles'!$C$11*'Lease Cycles'!$AU$11/12,'Lease Cycles'!$C$11*INDEX('Lease Cycles'!$CB$11:$CH$11,1,AY61)*(1+INDEX('Lease Cycles'!$CI$11:$CO$11,1,AY61))^INT(INT(AY62/12)/INDEX('Lease Cycles'!$CP$11:$CV$11,1,AY61))/12)))),'Lease Cycles'!$C$11*INDEX('Lease Cycles'!$CB$11:$CH$11,1,AY61)*(1+INDEX('Lease Cycles'!$CI$11:$CO$11,1,AY61))^INT(INT(AY62/12)/INDEX('Lease Cycles'!$CP$11:$CV$11,1,AY61))/12),IF(INDEX('Lease Cycles'!$EF$11:$EL$11,1,AY61)=1,IF(AND('Lease Cycles'!$AZ$11&gt;=INDEX('Lease Cycles'!$BG$11:$BM$11,1,AY61),'Lease Cycles'!$AZ$11&lt;=AY$6),'Lease Cycles'!$C$11*'Lease Cycles'!$BA$11/12,IF(AND('Lease Cycles'!$AX$11&gt;=INDEX('Lease Cycles'!$BG$11:$BM$11,1,AY61),'Lease Cycles'!$AX$11&lt;=AY$6),'Lease Cycles'!$C$11*'Lease Cycles'!$AY$11/12,IF(AND('Lease Cycles'!$AV$11&gt;=INDEX('Lease Cycles'!$BG$11:$BM$11,1,AY61),'Lease Cycles'!$AV$11&lt;=AY$6),'Lease Cycles'!$C$11*'Lease Cycles'!$AW$11/12,IF(AND('Lease Cycles'!$AT$11&gt;=INDEX('Lease Cycles'!$BG$11:$BM$11,1,AY61),'Lease Cycles'!$AT$11&lt;=AY$6),'Lease Cycles'!$C$11*'Lease Cycles'!$AU$11/12,'Lease Cycles'!$C$11*INDEX('Lease Cycles'!$CB$11:$CH$11,1,AY61)*(1+INDEX('Lease Cycles'!$CI$11:$CO$11,1,AY61))^INT(INT(AY62/12)/INDEX('Lease Cycles'!$CP$11:$CV$11,1,AY61))/12)))),'Lease Cycles'!$C$11*INDEX('Lease Cycles'!$CB$11:$CH$11,1,AY61)*(1+INDEX('Lease Cycles'!$CI$11:$CO$11,1,AY61))^INT(INT(AY62/12)/INDEX('Lease Cycles'!$CP$11:$CV$11,1,AY61))/12))),IF('Lease Cycles'!$N$11=1,'Lease Cycles'!$C$11*'Lease Cycles'!$E$11*INDEX('Lease Cycles'!$HE$11:$HK$11,1,AY61)*(1+INDEX('Lease Cycles'!$GQ$11:$GW$11,1,AY61))^INT(INT((AY$6-INDEX('Lease Cycles'!$GJ$11:$GP$11,1,AY61))/12)/INDEX('Lease Cycles'!$GX$11:$HD$11,1,AY61))/12,0)))</f>
        <v>5625</v>
      </c>
      <c r="AZ64" s="28">
        <f>IF(AZ61=0,IF('Lease Cycles'!$F$11&gt;0,'Lease Cycles'!$C$11*'Lease Cycles'!$E$11/12,0),IF(AZ63=1,IF('Lease Cycles'!$AT$11&gt;=9999,'Lease Cycles'!$C$11*INDEX('Lease Cycles'!$CB$11:$CH$11,1,AZ61)*(1+INDEX('Lease Cycles'!$CI$11:$CO$11,1,AZ61))^INT(INT(AZ62/12)/INDEX('Lease Cycles'!$CP$11:$CV$11,1,AZ61))/12,IF(AZ61=1,IF(AZ62&gt;=INDEX('Lease Cycles'!$DK$11:$DQ$11,1,AZ61),IF(AZ$6&gt;='Lease Cycles'!$AZ$11,'Lease Cycles'!$C$11*'Lease Cycles'!$BA$11/12,IF(AZ$6&gt;='Lease Cycles'!$AX$11,'Lease Cycles'!$C$11*'Lease Cycles'!$AY$11/12,IF(AZ$6&gt;='Lease Cycles'!$AV$11,'Lease Cycles'!$C$11*'Lease Cycles'!$AW$11/12,IF(AZ$6&gt;='Lease Cycles'!$AT$11,'Lease Cycles'!$C$11*'Lease Cycles'!$AU$11/12,'Lease Cycles'!$C$11*INDEX('Lease Cycles'!$CB$11:$CH$11,1,AZ61)*(1+INDEX('Lease Cycles'!$CI$11:$CO$11,1,AZ61))^INT(INT(AZ62/12)/INDEX('Lease Cycles'!$CP$11:$CV$11,1,AZ61))/12)))),'Lease Cycles'!$C$11*INDEX('Lease Cycles'!$CB$11:$CH$11,1,AZ61)*(1+INDEX('Lease Cycles'!$CI$11:$CO$11,1,AZ61))^INT(INT(AZ62/12)/INDEX('Lease Cycles'!$CP$11:$CV$11,1,AZ61))/12),IF(INDEX('Lease Cycles'!$EF$11:$EL$11,1,AZ61)=1,IF(AND('Lease Cycles'!$AZ$11&gt;=INDEX('Lease Cycles'!$BG$11:$BM$11,1,AZ61),'Lease Cycles'!$AZ$11&lt;=AZ$6),'Lease Cycles'!$C$11*'Lease Cycles'!$BA$11/12,IF(AND('Lease Cycles'!$AX$11&gt;=INDEX('Lease Cycles'!$BG$11:$BM$11,1,AZ61),'Lease Cycles'!$AX$11&lt;=AZ$6),'Lease Cycles'!$C$11*'Lease Cycles'!$AY$11/12,IF(AND('Lease Cycles'!$AV$11&gt;=INDEX('Lease Cycles'!$BG$11:$BM$11,1,AZ61),'Lease Cycles'!$AV$11&lt;=AZ$6),'Lease Cycles'!$C$11*'Lease Cycles'!$AW$11/12,IF(AND('Lease Cycles'!$AT$11&gt;=INDEX('Lease Cycles'!$BG$11:$BM$11,1,AZ61),'Lease Cycles'!$AT$11&lt;=AZ$6),'Lease Cycles'!$C$11*'Lease Cycles'!$AU$11/12,'Lease Cycles'!$C$11*INDEX('Lease Cycles'!$CB$11:$CH$11,1,AZ61)*(1+INDEX('Lease Cycles'!$CI$11:$CO$11,1,AZ61))^INT(INT(AZ62/12)/INDEX('Lease Cycles'!$CP$11:$CV$11,1,AZ61))/12)))),'Lease Cycles'!$C$11*INDEX('Lease Cycles'!$CB$11:$CH$11,1,AZ61)*(1+INDEX('Lease Cycles'!$CI$11:$CO$11,1,AZ61))^INT(INT(AZ62/12)/INDEX('Lease Cycles'!$CP$11:$CV$11,1,AZ61))/12))),IF('Lease Cycles'!$N$11=1,'Lease Cycles'!$C$11*'Lease Cycles'!$E$11*INDEX('Lease Cycles'!$HE$11:$HK$11,1,AZ61)*(1+INDEX('Lease Cycles'!$GQ$11:$GW$11,1,AZ61))^INT(INT((AZ$6-INDEX('Lease Cycles'!$GJ$11:$GP$11,1,AZ61))/12)/INDEX('Lease Cycles'!$GX$11:$HD$11,1,AZ61))/12,0)))</f>
        <v>5625</v>
      </c>
      <c r="BA64" s="28">
        <f>IF(BA61=0,IF('Lease Cycles'!$F$11&gt;0,'Lease Cycles'!$C$11*'Lease Cycles'!$E$11/12,0),IF(BA63=1,IF('Lease Cycles'!$AT$11&gt;=9999,'Lease Cycles'!$C$11*INDEX('Lease Cycles'!$CB$11:$CH$11,1,BA61)*(1+INDEX('Lease Cycles'!$CI$11:$CO$11,1,BA61))^INT(INT(BA62/12)/INDEX('Lease Cycles'!$CP$11:$CV$11,1,BA61))/12,IF(BA61=1,IF(BA62&gt;=INDEX('Lease Cycles'!$DK$11:$DQ$11,1,BA61),IF(BA$6&gt;='Lease Cycles'!$AZ$11,'Lease Cycles'!$C$11*'Lease Cycles'!$BA$11/12,IF(BA$6&gt;='Lease Cycles'!$AX$11,'Lease Cycles'!$C$11*'Lease Cycles'!$AY$11/12,IF(BA$6&gt;='Lease Cycles'!$AV$11,'Lease Cycles'!$C$11*'Lease Cycles'!$AW$11/12,IF(BA$6&gt;='Lease Cycles'!$AT$11,'Lease Cycles'!$C$11*'Lease Cycles'!$AU$11/12,'Lease Cycles'!$C$11*INDEX('Lease Cycles'!$CB$11:$CH$11,1,BA61)*(1+INDEX('Lease Cycles'!$CI$11:$CO$11,1,BA61))^INT(INT(BA62/12)/INDEX('Lease Cycles'!$CP$11:$CV$11,1,BA61))/12)))),'Lease Cycles'!$C$11*INDEX('Lease Cycles'!$CB$11:$CH$11,1,BA61)*(1+INDEX('Lease Cycles'!$CI$11:$CO$11,1,BA61))^INT(INT(BA62/12)/INDEX('Lease Cycles'!$CP$11:$CV$11,1,BA61))/12),IF(INDEX('Lease Cycles'!$EF$11:$EL$11,1,BA61)=1,IF(AND('Lease Cycles'!$AZ$11&gt;=INDEX('Lease Cycles'!$BG$11:$BM$11,1,BA61),'Lease Cycles'!$AZ$11&lt;=BA$6),'Lease Cycles'!$C$11*'Lease Cycles'!$BA$11/12,IF(AND('Lease Cycles'!$AX$11&gt;=INDEX('Lease Cycles'!$BG$11:$BM$11,1,BA61),'Lease Cycles'!$AX$11&lt;=BA$6),'Lease Cycles'!$C$11*'Lease Cycles'!$AY$11/12,IF(AND('Lease Cycles'!$AV$11&gt;=INDEX('Lease Cycles'!$BG$11:$BM$11,1,BA61),'Lease Cycles'!$AV$11&lt;=BA$6),'Lease Cycles'!$C$11*'Lease Cycles'!$AW$11/12,IF(AND('Lease Cycles'!$AT$11&gt;=INDEX('Lease Cycles'!$BG$11:$BM$11,1,BA61),'Lease Cycles'!$AT$11&lt;=BA$6),'Lease Cycles'!$C$11*'Lease Cycles'!$AU$11/12,'Lease Cycles'!$C$11*INDEX('Lease Cycles'!$CB$11:$CH$11,1,BA61)*(1+INDEX('Lease Cycles'!$CI$11:$CO$11,1,BA61))^INT(INT(BA62/12)/INDEX('Lease Cycles'!$CP$11:$CV$11,1,BA61))/12)))),'Lease Cycles'!$C$11*INDEX('Lease Cycles'!$CB$11:$CH$11,1,BA61)*(1+INDEX('Lease Cycles'!$CI$11:$CO$11,1,BA61))^INT(INT(BA62/12)/INDEX('Lease Cycles'!$CP$11:$CV$11,1,BA61))/12))),IF('Lease Cycles'!$N$11=1,'Lease Cycles'!$C$11*'Lease Cycles'!$E$11*INDEX('Lease Cycles'!$HE$11:$HK$11,1,BA61)*(1+INDEX('Lease Cycles'!$GQ$11:$GW$11,1,BA61))^INT(INT((BA$6-INDEX('Lease Cycles'!$GJ$11:$GP$11,1,BA61))/12)/INDEX('Lease Cycles'!$GX$11:$HD$11,1,BA61))/12,0)))</f>
        <v>5625</v>
      </c>
      <c r="BB64" s="28">
        <f>IF(BB61=0,IF('Lease Cycles'!$F$11&gt;0,'Lease Cycles'!$C$11*'Lease Cycles'!$E$11/12,0),IF(BB63=1,IF('Lease Cycles'!$AT$11&gt;=9999,'Lease Cycles'!$C$11*INDEX('Lease Cycles'!$CB$11:$CH$11,1,BB61)*(1+INDEX('Lease Cycles'!$CI$11:$CO$11,1,BB61))^INT(INT(BB62/12)/INDEX('Lease Cycles'!$CP$11:$CV$11,1,BB61))/12,IF(BB61=1,IF(BB62&gt;=INDEX('Lease Cycles'!$DK$11:$DQ$11,1,BB61),IF(BB$6&gt;='Lease Cycles'!$AZ$11,'Lease Cycles'!$C$11*'Lease Cycles'!$BA$11/12,IF(BB$6&gt;='Lease Cycles'!$AX$11,'Lease Cycles'!$C$11*'Lease Cycles'!$AY$11/12,IF(BB$6&gt;='Lease Cycles'!$AV$11,'Lease Cycles'!$C$11*'Lease Cycles'!$AW$11/12,IF(BB$6&gt;='Lease Cycles'!$AT$11,'Lease Cycles'!$C$11*'Lease Cycles'!$AU$11/12,'Lease Cycles'!$C$11*INDEX('Lease Cycles'!$CB$11:$CH$11,1,BB61)*(1+INDEX('Lease Cycles'!$CI$11:$CO$11,1,BB61))^INT(INT(BB62/12)/INDEX('Lease Cycles'!$CP$11:$CV$11,1,BB61))/12)))),'Lease Cycles'!$C$11*INDEX('Lease Cycles'!$CB$11:$CH$11,1,BB61)*(1+INDEX('Lease Cycles'!$CI$11:$CO$11,1,BB61))^INT(INT(BB62/12)/INDEX('Lease Cycles'!$CP$11:$CV$11,1,BB61))/12),IF(INDEX('Lease Cycles'!$EF$11:$EL$11,1,BB61)=1,IF(AND('Lease Cycles'!$AZ$11&gt;=INDEX('Lease Cycles'!$BG$11:$BM$11,1,BB61),'Lease Cycles'!$AZ$11&lt;=BB$6),'Lease Cycles'!$C$11*'Lease Cycles'!$BA$11/12,IF(AND('Lease Cycles'!$AX$11&gt;=INDEX('Lease Cycles'!$BG$11:$BM$11,1,BB61),'Lease Cycles'!$AX$11&lt;=BB$6),'Lease Cycles'!$C$11*'Lease Cycles'!$AY$11/12,IF(AND('Lease Cycles'!$AV$11&gt;=INDEX('Lease Cycles'!$BG$11:$BM$11,1,BB61),'Lease Cycles'!$AV$11&lt;=BB$6),'Lease Cycles'!$C$11*'Lease Cycles'!$AW$11/12,IF(AND('Lease Cycles'!$AT$11&gt;=INDEX('Lease Cycles'!$BG$11:$BM$11,1,BB61),'Lease Cycles'!$AT$11&lt;=BB$6),'Lease Cycles'!$C$11*'Lease Cycles'!$AU$11/12,'Lease Cycles'!$C$11*INDEX('Lease Cycles'!$CB$11:$CH$11,1,BB61)*(1+INDEX('Lease Cycles'!$CI$11:$CO$11,1,BB61))^INT(INT(BB62/12)/INDEX('Lease Cycles'!$CP$11:$CV$11,1,BB61))/12)))),'Lease Cycles'!$C$11*INDEX('Lease Cycles'!$CB$11:$CH$11,1,BB61)*(1+INDEX('Lease Cycles'!$CI$11:$CO$11,1,BB61))^INT(INT(BB62/12)/INDEX('Lease Cycles'!$CP$11:$CV$11,1,BB61))/12))),IF('Lease Cycles'!$N$11=1,'Lease Cycles'!$C$11*'Lease Cycles'!$E$11*INDEX('Lease Cycles'!$HE$11:$HK$11,1,BB61)*(1+INDEX('Lease Cycles'!$GQ$11:$GW$11,1,BB61))^INT(INT((BB$6-INDEX('Lease Cycles'!$GJ$11:$GP$11,1,BB61))/12)/INDEX('Lease Cycles'!$GX$11:$HD$11,1,BB61))/12,0)))</f>
        <v>5625</v>
      </c>
      <c r="BC64" s="28">
        <f>IF(BC61=0,IF('Lease Cycles'!$F$11&gt;0,'Lease Cycles'!$C$11*'Lease Cycles'!$E$11/12,0),IF(BC63=1,IF('Lease Cycles'!$AT$11&gt;=9999,'Lease Cycles'!$C$11*INDEX('Lease Cycles'!$CB$11:$CH$11,1,BC61)*(1+INDEX('Lease Cycles'!$CI$11:$CO$11,1,BC61))^INT(INT(BC62/12)/INDEX('Lease Cycles'!$CP$11:$CV$11,1,BC61))/12,IF(BC61=1,IF(BC62&gt;=INDEX('Lease Cycles'!$DK$11:$DQ$11,1,BC61),IF(BC$6&gt;='Lease Cycles'!$AZ$11,'Lease Cycles'!$C$11*'Lease Cycles'!$BA$11/12,IF(BC$6&gt;='Lease Cycles'!$AX$11,'Lease Cycles'!$C$11*'Lease Cycles'!$AY$11/12,IF(BC$6&gt;='Lease Cycles'!$AV$11,'Lease Cycles'!$C$11*'Lease Cycles'!$AW$11/12,IF(BC$6&gt;='Lease Cycles'!$AT$11,'Lease Cycles'!$C$11*'Lease Cycles'!$AU$11/12,'Lease Cycles'!$C$11*INDEX('Lease Cycles'!$CB$11:$CH$11,1,BC61)*(1+INDEX('Lease Cycles'!$CI$11:$CO$11,1,BC61))^INT(INT(BC62/12)/INDEX('Lease Cycles'!$CP$11:$CV$11,1,BC61))/12)))),'Lease Cycles'!$C$11*INDEX('Lease Cycles'!$CB$11:$CH$11,1,BC61)*(1+INDEX('Lease Cycles'!$CI$11:$CO$11,1,BC61))^INT(INT(BC62/12)/INDEX('Lease Cycles'!$CP$11:$CV$11,1,BC61))/12),IF(INDEX('Lease Cycles'!$EF$11:$EL$11,1,BC61)=1,IF(AND('Lease Cycles'!$AZ$11&gt;=INDEX('Lease Cycles'!$BG$11:$BM$11,1,BC61),'Lease Cycles'!$AZ$11&lt;=BC$6),'Lease Cycles'!$C$11*'Lease Cycles'!$BA$11/12,IF(AND('Lease Cycles'!$AX$11&gt;=INDEX('Lease Cycles'!$BG$11:$BM$11,1,BC61),'Lease Cycles'!$AX$11&lt;=BC$6),'Lease Cycles'!$C$11*'Lease Cycles'!$AY$11/12,IF(AND('Lease Cycles'!$AV$11&gt;=INDEX('Lease Cycles'!$BG$11:$BM$11,1,BC61),'Lease Cycles'!$AV$11&lt;=BC$6),'Lease Cycles'!$C$11*'Lease Cycles'!$AW$11/12,IF(AND('Lease Cycles'!$AT$11&gt;=INDEX('Lease Cycles'!$BG$11:$BM$11,1,BC61),'Lease Cycles'!$AT$11&lt;=BC$6),'Lease Cycles'!$C$11*'Lease Cycles'!$AU$11/12,'Lease Cycles'!$C$11*INDEX('Lease Cycles'!$CB$11:$CH$11,1,BC61)*(1+INDEX('Lease Cycles'!$CI$11:$CO$11,1,BC61))^INT(INT(BC62/12)/INDEX('Lease Cycles'!$CP$11:$CV$11,1,BC61))/12)))),'Lease Cycles'!$C$11*INDEX('Lease Cycles'!$CB$11:$CH$11,1,BC61)*(1+INDEX('Lease Cycles'!$CI$11:$CO$11,1,BC61))^INT(INT(BC62/12)/INDEX('Lease Cycles'!$CP$11:$CV$11,1,BC61))/12))),IF('Lease Cycles'!$N$11=1,'Lease Cycles'!$C$11*'Lease Cycles'!$E$11*INDEX('Lease Cycles'!$HE$11:$HK$11,1,BC61)*(1+INDEX('Lease Cycles'!$GQ$11:$GW$11,1,BC61))^INT(INT((BC$6-INDEX('Lease Cycles'!$GJ$11:$GP$11,1,BC61))/12)/INDEX('Lease Cycles'!$GX$11:$HD$11,1,BC61))/12,0)))</f>
        <v>5625</v>
      </c>
      <c r="BD64" s="28">
        <f>IF(BD61=0,IF('Lease Cycles'!$F$11&gt;0,'Lease Cycles'!$C$11*'Lease Cycles'!$E$11/12,0),IF(BD63=1,IF('Lease Cycles'!$AT$11&gt;=9999,'Lease Cycles'!$C$11*INDEX('Lease Cycles'!$CB$11:$CH$11,1,BD61)*(1+INDEX('Lease Cycles'!$CI$11:$CO$11,1,BD61))^INT(INT(BD62/12)/INDEX('Lease Cycles'!$CP$11:$CV$11,1,BD61))/12,IF(BD61=1,IF(BD62&gt;=INDEX('Lease Cycles'!$DK$11:$DQ$11,1,BD61),IF(BD$6&gt;='Lease Cycles'!$AZ$11,'Lease Cycles'!$C$11*'Lease Cycles'!$BA$11/12,IF(BD$6&gt;='Lease Cycles'!$AX$11,'Lease Cycles'!$C$11*'Lease Cycles'!$AY$11/12,IF(BD$6&gt;='Lease Cycles'!$AV$11,'Lease Cycles'!$C$11*'Lease Cycles'!$AW$11/12,IF(BD$6&gt;='Lease Cycles'!$AT$11,'Lease Cycles'!$C$11*'Lease Cycles'!$AU$11/12,'Lease Cycles'!$C$11*INDEX('Lease Cycles'!$CB$11:$CH$11,1,BD61)*(1+INDEX('Lease Cycles'!$CI$11:$CO$11,1,BD61))^INT(INT(BD62/12)/INDEX('Lease Cycles'!$CP$11:$CV$11,1,BD61))/12)))),'Lease Cycles'!$C$11*INDEX('Lease Cycles'!$CB$11:$CH$11,1,BD61)*(1+INDEX('Lease Cycles'!$CI$11:$CO$11,1,BD61))^INT(INT(BD62/12)/INDEX('Lease Cycles'!$CP$11:$CV$11,1,BD61))/12),IF(INDEX('Lease Cycles'!$EF$11:$EL$11,1,BD61)=1,IF(AND('Lease Cycles'!$AZ$11&gt;=INDEX('Lease Cycles'!$BG$11:$BM$11,1,BD61),'Lease Cycles'!$AZ$11&lt;=BD$6),'Lease Cycles'!$C$11*'Lease Cycles'!$BA$11/12,IF(AND('Lease Cycles'!$AX$11&gt;=INDEX('Lease Cycles'!$BG$11:$BM$11,1,BD61),'Lease Cycles'!$AX$11&lt;=BD$6),'Lease Cycles'!$C$11*'Lease Cycles'!$AY$11/12,IF(AND('Lease Cycles'!$AV$11&gt;=INDEX('Lease Cycles'!$BG$11:$BM$11,1,BD61),'Lease Cycles'!$AV$11&lt;=BD$6),'Lease Cycles'!$C$11*'Lease Cycles'!$AW$11/12,IF(AND('Lease Cycles'!$AT$11&gt;=INDEX('Lease Cycles'!$BG$11:$BM$11,1,BD61),'Lease Cycles'!$AT$11&lt;=BD$6),'Lease Cycles'!$C$11*'Lease Cycles'!$AU$11/12,'Lease Cycles'!$C$11*INDEX('Lease Cycles'!$CB$11:$CH$11,1,BD61)*(1+INDEX('Lease Cycles'!$CI$11:$CO$11,1,BD61))^INT(INT(BD62/12)/INDEX('Lease Cycles'!$CP$11:$CV$11,1,BD61))/12)))),'Lease Cycles'!$C$11*INDEX('Lease Cycles'!$CB$11:$CH$11,1,BD61)*(1+INDEX('Lease Cycles'!$CI$11:$CO$11,1,BD61))^INT(INT(BD62/12)/INDEX('Lease Cycles'!$CP$11:$CV$11,1,BD61))/12))),IF('Lease Cycles'!$N$11=1,'Lease Cycles'!$C$11*'Lease Cycles'!$E$11*INDEX('Lease Cycles'!$HE$11:$HK$11,1,BD61)*(1+INDEX('Lease Cycles'!$GQ$11:$GW$11,1,BD61))^INT(INT((BD$6-INDEX('Lease Cycles'!$GJ$11:$GP$11,1,BD61))/12)/INDEX('Lease Cycles'!$GX$11:$HD$11,1,BD61))/12,0)))</f>
        <v>5625</v>
      </c>
      <c r="BE64" s="28">
        <f>IF(BE61=0,IF('Lease Cycles'!$F$11&gt;0,'Lease Cycles'!$C$11*'Lease Cycles'!$E$11/12,0),IF(BE63=1,IF('Lease Cycles'!$AT$11&gt;=9999,'Lease Cycles'!$C$11*INDEX('Lease Cycles'!$CB$11:$CH$11,1,BE61)*(1+INDEX('Lease Cycles'!$CI$11:$CO$11,1,BE61))^INT(INT(BE62/12)/INDEX('Lease Cycles'!$CP$11:$CV$11,1,BE61))/12,IF(BE61=1,IF(BE62&gt;=INDEX('Lease Cycles'!$DK$11:$DQ$11,1,BE61),IF(BE$6&gt;='Lease Cycles'!$AZ$11,'Lease Cycles'!$C$11*'Lease Cycles'!$BA$11/12,IF(BE$6&gt;='Lease Cycles'!$AX$11,'Lease Cycles'!$C$11*'Lease Cycles'!$AY$11/12,IF(BE$6&gt;='Lease Cycles'!$AV$11,'Lease Cycles'!$C$11*'Lease Cycles'!$AW$11/12,IF(BE$6&gt;='Lease Cycles'!$AT$11,'Lease Cycles'!$C$11*'Lease Cycles'!$AU$11/12,'Lease Cycles'!$C$11*INDEX('Lease Cycles'!$CB$11:$CH$11,1,BE61)*(1+INDEX('Lease Cycles'!$CI$11:$CO$11,1,BE61))^INT(INT(BE62/12)/INDEX('Lease Cycles'!$CP$11:$CV$11,1,BE61))/12)))),'Lease Cycles'!$C$11*INDEX('Lease Cycles'!$CB$11:$CH$11,1,BE61)*(1+INDEX('Lease Cycles'!$CI$11:$CO$11,1,BE61))^INT(INT(BE62/12)/INDEX('Lease Cycles'!$CP$11:$CV$11,1,BE61))/12),IF(INDEX('Lease Cycles'!$EF$11:$EL$11,1,BE61)=1,IF(AND('Lease Cycles'!$AZ$11&gt;=INDEX('Lease Cycles'!$BG$11:$BM$11,1,BE61),'Lease Cycles'!$AZ$11&lt;=BE$6),'Lease Cycles'!$C$11*'Lease Cycles'!$BA$11/12,IF(AND('Lease Cycles'!$AX$11&gt;=INDEX('Lease Cycles'!$BG$11:$BM$11,1,BE61),'Lease Cycles'!$AX$11&lt;=BE$6),'Lease Cycles'!$C$11*'Lease Cycles'!$AY$11/12,IF(AND('Lease Cycles'!$AV$11&gt;=INDEX('Lease Cycles'!$BG$11:$BM$11,1,BE61),'Lease Cycles'!$AV$11&lt;=BE$6),'Lease Cycles'!$C$11*'Lease Cycles'!$AW$11/12,IF(AND('Lease Cycles'!$AT$11&gt;=INDEX('Lease Cycles'!$BG$11:$BM$11,1,BE61),'Lease Cycles'!$AT$11&lt;=BE$6),'Lease Cycles'!$C$11*'Lease Cycles'!$AU$11/12,'Lease Cycles'!$C$11*INDEX('Lease Cycles'!$CB$11:$CH$11,1,BE61)*(1+INDEX('Lease Cycles'!$CI$11:$CO$11,1,BE61))^INT(INT(BE62/12)/INDEX('Lease Cycles'!$CP$11:$CV$11,1,BE61))/12)))),'Lease Cycles'!$C$11*INDEX('Lease Cycles'!$CB$11:$CH$11,1,BE61)*(1+INDEX('Lease Cycles'!$CI$11:$CO$11,1,BE61))^INT(INT(BE62/12)/INDEX('Lease Cycles'!$CP$11:$CV$11,1,BE61))/12))),IF('Lease Cycles'!$N$11=1,'Lease Cycles'!$C$11*'Lease Cycles'!$E$11*INDEX('Lease Cycles'!$HE$11:$HK$11,1,BE61)*(1+INDEX('Lease Cycles'!$GQ$11:$GW$11,1,BE61))^INT(INT((BE$6-INDEX('Lease Cycles'!$GJ$11:$GP$11,1,BE61))/12)/INDEX('Lease Cycles'!$GX$11:$HD$11,1,BE61))/12,0)))</f>
        <v>5625</v>
      </c>
      <c r="BF64" s="28">
        <f>IF(BF61=0,IF('Lease Cycles'!$F$11&gt;0,'Lease Cycles'!$C$11*'Lease Cycles'!$E$11/12,0),IF(BF63=1,IF('Lease Cycles'!$AT$11&gt;=9999,'Lease Cycles'!$C$11*INDEX('Lease Cycles'!$CB$11:$CH$11,1,BF61)*(1+INDEX('Lease Cycles'!$CI$11:$CO$11,1,BF61))^INT(INT(BF62/12)/INDEX('Lease Cycles'!$CP$11:$CV$11,1,BF61))/12,IF(BF61=1,IF(BF62&gt;=INDEX('Lease Cycles'!$DK$11:$DQ$11,1,BF61),IF(BF$6&gt;='Lease Cycles'!$AZ$11,'Lease Cycles'!$C$11*'Lease Cycles'!$BA$11/12,IF(BF$6&gt;='Lease Cycles'!$AX$11,'Lease Cycles'!$C$11*'Lease Cycles'!$AY$11/12,IF(BF$6&gt;='Lease Cycles'!$AV$11,'Lease Cycles'!$C$11*'Lease Cycles'!$AW$11/12,IF(BF$6&gt;='Lease Cycles'!$AT$11,'Lease Cycles'!$C$11*'Lease Cycles'!$AU$11/12,'Lease Cycles'!$C$11*INDEX('Lease Cycles'!$CB$11:$CH$11,1,BF61)*(1+INDEX('Lease Cycles'!$CI$11:$CO$11,1,BF61))^INT(INT(BF62/12)/INDEX('Lease Cycles'!$CP$11:$CV$11,1,BF61))/12)))),'Lease Cycles'!$C$11*INDEX('Lease Cycles'!$CB$11:$CH$11,1,BF61)*(1+INDEX('Lease Cycles'!$CI$11:$CO$11,1,BF61))^INT(INT(BF62/12)/INDEX('Lease Cycles'!$CP$11:$CV$11,1,BF61))/12),IF(INDEX('Lease Cycles'!$EF$11:$EL$11,1,BF61)=1,IF(AND('Lease Cycles'!$AZ$11&gt;=INDEX('Lease Cycles'!$BG$11:$BM$11,1,BF61),'Lease Cycles'!$AZ$11&lt;=BF$6),'Lease Cycles'!$C$11*'Lease Cycles'!$BA$11/12,IF(AND('Lease Cycles'!$AX$11&gt;=INDEX('Lease Cycles'!$BG$11:$BM$11,1,BF61),'Lease Cycles'!$AX$11&lt;=BF$6),'Lease Cycles'!$C$11*'Lease Cycles'!$AY$11/12,IF(AND('Lease Cycles'!$AV$11&gt;=INDEX('Lease Cycles'!$BG$11:$BM$11,1,BF61),'Lease Cycles'!$AV$11&lt;=BF$6),'Lease Cycles'!$C$11*'Lease Cycles'!$AW$11/12,IF(AND('Lease Cycles'!$AT$11&gt;=INDEX('Lease Cycles'!$BG$11:$BM$11,1,BF61),'Lease Cycles'!$AT$11&lt;=BF$6),'Lease Cycles'!$C$11*'Lease Cycles'!$AU$11/12,'Lease Cycles'!$C$11*INDEX('Lease Cycles'!$CB$11:$CH$11,1,BF61)*(1+INDEX('Lease Cycles'!$CI$11:$CO$11,1,BF61))^INT(INT(BF62/12)/INDEX('Lease Cycles'!$CP$11:$CV$11,1,BF61))/12)))),'Lease Cycles'!$C$11*INDEX('Lease Cycles'!$CB$11:$CH$11,1,BF61)*(1+INDEX('Lease Cycles'!$CI$11:$CO$11,1,BF61))^INT(INT(BF62/12)/INDEX('Lease Cycles'!$CP$11:$CV$11,1,BF61))/12))),IF('Lease Cycles'!$N$11=1,'Lease Cycles'!$C$11*'Lease Cycles'!$E$11*INDEX('Lease Cycles'!$HE$11:$HK$11,1,BF61)*(1+INDEX('Lease Cycles'!$GQ$11:$GW$11,1,BF61))^INT(INT((BF$6-INDEX('Lease Cycles'!$GJ$11:$GP$11,1,BF61))/12)/INDEX('Lease Cycles'!$GX$11:$HD$11,1,BF61))/12,0)))</f>
        <v>5625</v>
      </c>
      <c r="BG64" s="28">
        <f>IF(BG61=0,IF('Lease Cycles'!$F$11&gt;0,'Lease Cycles'!$C$11*'Lease Cycles'!$E$11/12,0),IF(BG63=1,IF('Lease Cycles'!$AT$11&gt;=9999,'Lease Cycles'!$C$11*INDEX('Lease Cycles'!$CB$11:$CH$11,1,BG61)*(1+INDEX('Lease Cycles'!$CI$11:$CO$11,1,BG61))^INT(INT(BG62/12)/INDEX('Lease Cycles'!$CP$11:$CV$11,1,BG61))/12,IF(BG61=1,IF(BG62&gt;=INDEX('Lease Cycles'!$DK$11:$DQ$11,1,BG61),IF(BG$6&gt;='Lease Cycles'!$AZ$11,'Lease Cycles'!$C$11*'Lease Cycles'!$BA$11/12,IF(BG$6&gt;='Lease Cycles'!$AX$11,'Lease Cycles'!$C$11*'Lease Cycles'!$AY$11/12,IF(BG$6&gt;='Lease Cycles'!$AV$11,'Lease Cycles'!$C$11*'Lease Cycles'!$AW$11/12,IF(BG$6&gt;='Lease Cycles'!$AT$11,'Lease Cycles'!$C$11*'Lease Cycles'!$AU$11/12,'Lease Cycles'!$C$11*INDEX('Lease Cycles'!$CB$11:$CH$11,1,BG61)*(1+INDEX('Lease Cycles'!$CI$11:$CO$11,1,BG61))^INT(INT(BG62/12)/INDEX('Lease Cycles'!$CP$11:$CV$11,1,BG61))/12)))),'Lease Cycles'!$C$11*INDEX('Lease Cycles'!$CB$11:$CH$11,1,BG61)*(1+INDEX('Lease Cycles'!$CI$11:$CO$11,1,BG61))^INT(INT(BG62/12)/INDEX('Lease Cycles'!$CP$11:$CV$11,1,BG61))/12),IF(INDEX('Lease Cycles'!$EF$11:$EL$11,1,BG61)=1,IF(AND('Lease Cycles'!$AZ$11&gt;=INDEX('Lease Cycles'!$BG$11:$BM$11,1,BG61),'Lease Cycles'!$AZ$11&lt;=BG$6),'Lease Cycles'!$C$11*'Lease Cycles'!$BA$11/12,IF(AND('Lease Cycles'!$AX$11&gt;=INDEX('Lease Cycles'!$BG$11:$BM$11,1,BG61),'Lease Cycles'!$AX$11&lt;=BG$6),'Lease Cycles'!$C$11*'Lease Cycles'!$AY$11/12,IF(AND('Lease Cycles'!$AV$11&gt;=INDEX('Lease Cycles'!$BG$11:$BM$11,1,BG61),'Lease Cycles'!$AV$11&lt;=BG$6),'Lease Cycles'!$C$11*'Lease Cycles'!$AW$11/12,IF(AND('Lease Cycles'!$AT$11&gt;=INDEX('Lease Cycles'!$BG$11:$BM$11,1,BG61),'Lease Cycles'!$AT$11&lt;=BG$6),'Lease Cycles'!$C$11*'Lease Cycles'!$AU$11/12,'Lease Cycles'!$C$11*INDEX('Lease Cycles'!$CB$11:$CH$11,1,BG61)*(1+INDEX('Lease Cycles'!$CI$11:$CO$11,1,BG61))^INT(INT(BG62/12)/INDEX('Lease Cycles'!$CP$11:$CV$11,1,BG61))/12)))),'Lease Cycles'!$C$11*INDEX('Lease Cycles'!$CB$11:$CH$11,1,BG61)*(1+INDEX('Lease Cycles'!$CI$11:$CO$11,1,BG61))^INT(INT(BG62/12)/INDEX('Lease Cycles'!$CP$11:$CV$11,1,BG61))/12))),IF('Lease Cycles'!$N$11=1,'Lease Cycles'!$C$11*'Lease Cycles'!$E$11*INDEX('Lease Cycles'!$HE$11:$HK$11,1,BG61)*(1+INDEX('Lease Cycles'!$GQ$11:$GW$11,1,BG61))^INT(INT((BG$6-INDEX('Lease Cycles'!$GJ$11:$GP$11,1,BG61))/12)/INDEX('Lease Cycles'!$GX$11:$HD$11,1,BG61))/12,0)))</f>
        <v>5625</v>
      </c>
      <c r="BH64" s="28">
        <f>IF(BH61=0,IF('Lease Cycles'!$F$11&gt;0,'Lease Cycles'!$C$11*'Lease Cycles'!$E$11/12,0),IF(BH63=1,IF('Lease Cycles'!$AT$11&gt;=9999,'Lease Cycles'!$C$11*INDEX('Lease Cycles'!$CB$11:$CH$11,1,BH61)*(1+INDEX('Lease Cycles'!$CI$11:$CO$11,1,BH61))^INT(INT(BH62/12)/INDEX('Lease Cycles'!$CP$11:$CV$11,1,BH61))/12,IF(BH61=1,IF(BH62&gt;=INDEX('Lease Cycles'!$DK$11:$DQ$11,1,BH61),IF(BH$6&gt;='Lease Cycles'!$AZ$11,'Lease Cycles'!$C$11*'Lease Cycles'!$BA$11/12,IF(BH$6&gt;='Lease Cycles'!$AX$11,'Lease Cycles'!$C$11*'Lease Cycles'!$AY$11/12,IF(BH$6&gt;='Lease Cycles'!$AV$11,'Lease Cycles'!$C$11*'Lease Cycles'!$AW$11/12,IF(BH$6&gt;='Lease Cycles'!$AT$11,'Lease Cycles'!$C$11*'Lease Cycles'!$AU$11/12,'Lease Cycles'!$C$11*INDEX('Lease Cycles'!$CB$11:$CH$11,1,BH61)*(1+INDEX('Lease Cycles'!$CI$11:$CO$11,1,BH61))^INT(INT(BH62/12)/INDEX('Lease Cycles'!$CP$11:$CV$11,1,BH61))/12)))),'Lease Cycles'!$C$11*INDEX('Lease Cycles'!$CB$11:$CH$11,1,BH61)*(1+INDEX('Lease Cycles'!$CI$11:$CO$11,1,BH61))^INT(INT(BH62/12)/INDEX('Lease Cycles'!$CP$11:$CV$11,1,BH61))/12),IF(INDEX('Lease Cycles'!$EF$11:$EL$11,1,BH61)=1,IF(AND('Lease Cycles'!$AZ$11&gt;=INDEX('Lease Cycles'!$BG$11:$BM$11,1,BH61),'Lease Cycles'!$AZ$11&lt;=BH$6),'Lease Cycles'!$C$11*'Lease Cycles'!$BA$11/12,IF(AND('Lease Cycles'!$AX$11&gt;=INDEX('Lease Cycles'!$BG$11:$BM$11,1,BH61),'Lease Cycles'!$AX$11&lt;=BH$6),'Lease Cycles'!$C$11*'Lease Cycles'!$AY$11/12,IF(AND('Lease Cycles'!$AV$11&gt;=INDEX('Lease Cycles'!$BG$11:$BM$11,1,BH61),'Lease Cycles'!$AV$11&lt;=BH$6),'Lease Cycles'!$C$11*'Lease Cycles'!$AW$11/12,IF(AND('Lease Cycles'!$AT$11&gt;=INDEX('Lease Cycles'!$BG$11:$BM$11,1,BH61),'Lease Cycles'!$AT$11&lt;=BH$6),'Lease Cycles'!$C$11*'Lease Cycles'!$AU$11/12,'Lease Cycles'!$C$11*INDEX('Lease Cycles'!$CB$11:$CH$11,1,BH61)*(1+INDEX('Lease Cycles'!$CI$11:$CO$11,1,BH61))^INT(INT(BH62/12)/INDEX('Lease Cycles'!$CP$11:$CV$11,1,BH61))/12)))),'Lease Cycles'!$C$11*INDEX('Lease Cycles'!$CB$11:$CH$11,1,BH61)*(1+INDEX('Lease Cycles'!$CI$11:$CO$11,1,BH61))^INT(INT(BH62/12)/INDEX('Lease Cycles'!$CP$11:$CV$11,1,BH61))/12))),IF('Lease Cycles'!$N$11=1,'Lease Cycles'!$C$11*'Lease Cycles'!$E$11*INDEX('Lease Cycles'!$HE$11:$HK$11,1,BH61)*(1+INDEX('Lease Cycles'!$GQ$11:$GW$11,1,BH61))^INT(INT((BH$6-INDEX('Lease Cycles'!$GJ$11:$GP$11,1,BH61))/12)/INDEX('Lease Cycles'!$GX$11:$HD$11,1,BH61))/12,0)))</f>
        <v>5625</v>
      </c>
      <c r="BI64" s="28">
        <f>IF(BI61=0,IF('Lease Cycles'!$F$11&gt;0,'Lease Cycles'!$C$11*'Lease Cycles'!$E$11/12,0),IF(BI63=1,IF('Lease Cycles'!$AT$11&gt;=9999,'Lease Cycles'!$C$11*INDEX('Lease Cycles'!$CB$11:$CH$11,1,BI61)*(1+INDEX('Lease Cycles'!$CI$11:$CO$11,1,BI61))^INT(INT(BI62/12)/INDEX('Lease Cycles'!$CP$11:$CV$11,1,BI61))/12,IF(BI61=1,IF(BI62&gt;=INDEX('Lease Cycles'!$DK$11:$DQ$11,1,BI61),IF(BI$6&gt;='Lease Cycles'!$AZ$11,'Lease Cycles'!$C$11*'Lease Cycles'!$BA$11/12,IF(BI$6&gt;='Lease Cycles'!$AX$11,'Lease Cycles'!$C$11*'Lease Cycles'!$AY$11/12,IF(BI$6&gt;='Lease Cycles'!$AV$11,'Lease Cycles'!$C$11*'Lease Cycles'!$AW$11/12,IF(BI$6&gt;='Lease Cycles'!$AT$11,'Lease Cycles'!$C$11*'Lease Cycles'!$AU$11/12,'Lease Cycles'!$C$11*INDEX('Lease Cycles'!$CB$11:$CH$11,1,BI61)*(1+INDEX('Lease Cycles'!$CI$11:$CO$11,1,BI61))^INT(INT(BI62/12)/INDEX('Lease Cycles'!$CP$11:$CV$11,1,BI61))/12)))),'Lease Cycles'!$C$11*INDEX('Lease Cycles'!$CB$11:$CH$11,1,BI61)*(1+INDEX('Lease Cycles'!$CI$11:$CO$11,1,BI61))^INT(INT(BI62/12)/INDEX('Lease Cycles'!$CP$11:$CV$11,1,BI61))/12),IF(INDEX('Lease Cycles'!$EF$11:$EL$11,1,BI61)=1,IF(AND('Lease Cycles'!$AZ$11&gt;=INDEX('Lease Cycles'!$BG$11:$BM$11,1,BI61),'Lease Cycles'!$AZ$11&lt;=BI$6),'Lease Cycles'!$C$11*'Lease Cycles'!$BA$11/12,IF(AND('Lease Cycles'!$AX$11&gt;=INDEX('Lease Cycles'!$BG$11:$BM$11,1,BI61),'Lease Cycles'!$AX$11&lt;=BI$6),'Lease Cycles'!$C$11*'Lease Cycles'!$AY$11/12,IF(AND('Lease Cycles'!$AV$11&gt;=INDEX('Lease Cycles'!$BG$11:$BM$11,1,BI61),'Lease Cycles'!$AV$11&lt;=BI$6),'Lease Cycles'!$C$11*'Lease Cycles'!$AW$11/12,IF(AND('Lease Cycles'!$AT$11&gt;=INDEX('Lease Cycles'!$BG$11:$BM$11,1,BI61),'Lease Cycles'!$AT$11&lt;=BI$6),'Lease Cycles'!$C$11*'Lease Cycles'!$AU$11/12,'Lease Cycles'!$C$11*INDEX('Lease Cycles'!$CB$11:$CH$11,1,BI61)*(1+INDEX('Lease Cycles'!$CI$11:$CO$11,1,BI61))^INT(INT(BI62/12)/INDEX('Lease Cycles'!$CP$11:$CV$11,1,BI61))/12)))),'Lease Cycles'!$C$11*INDEX('Lease Cycles'!$CB$11:$CH$11,1,BI61)*(1+INDEX('Lease Cycles'!$CI$11:$CO$11,1,BI61))^INT(INT(BI62/12)/INDEX('Lease Cycles'!$CP$11:$CV$11,1,BI61))/12))),IF('Lease Cycles'!$N$11=1,'Lease Cycles'!$C$11*'Lease Cycles'!$E$11*INDEX('Lease Cycles'!$HE$11:$HK$11,1,BI61)*(1+INDEX('Lease Cycles'!$GQ$11:$GW$11,1,BI61))^INT(INT((BI$6-INDEX('Lease Cycles'!$GJ$11:$GP$11,1,BI61))/12)/INDEX('Lease Cycles'!$GX$11:$HD$11,1,BI61))/12,0)))</f>
        <v>5625</v>
      </c>
      <c r="BJ64" s="28">
        <f>IF(BJ61=0,IF('Lease Cycles'!$F$11&gt;0,'Lease Cycles'!$C$11*'Lease Cycles'!$E$11/12,0),IF(BJ63=1,IF('Lease Cycles'!$AT$11&gt;=9999,'Lease Cycles'!$C$11*INDEX('Lease Cycles'!$CB$11:$CH$11,1,BJ61)*(1+INDEX('Lease Cycles'!$CI$11:$CO$11,1,BJ61))^INT(INT(BJ62/12)/INDEX('Lease Cycles'!$CP$11:$CV$11,1,BJ61))/12,IF(BJ61=1,IF(BJ62&gt;=INDEX('Lease Cycles'!$DK$11:$DQ$11,1,BJ61),IF(BJ$6&gt;='Lease Cycles'!$AZ$11,'Lease Cycles'!$C$11*'Lease Cycles'!$BA$11/12,IF(BJ$6&gt;='Lease Cycles'!$AX$11,'Lease Cycles'!$C$11*'Lease Cycles'!$AY$11/12,IF(BJ$6&gt;='Lease Cycles'!$AV$11,'Lease Cycles'!$C$11*'Lease Cycles'!$AW$11/12,IF(BJ$6&gt;='Lease Cycles'!$AT$11,'Lease Cycles'!$C$11*'Lease Cycles'!$AU$11/12,'Lease Cycles'!$C$11*INDEX('Lease Cycles'!$CB$11:$CH$11,1,BJ61)*(1+INDEX('Lease Cycles'!$CI$11:$CO$11,1,BJ61))^INT(INT(BJ62/12)/INDEX('Lease Cycles'!$CP$11:$CV$11,1,BJ61))/12)))),'Lease Cycles'!$C$11*INDEX('Lease Cycles'!$CB$11:$CH$11,1,BJ61)*(1+INDEX('Lease Cycles'!$CI$11:$CO$11,1,BJ61))^INT(INT(BJ62/12)/INDEX('Lease Cycles'!$CP$11:$CV$11,1,BJ61))/12),IF(INDEX('Lease Cycles'!$EF$11:$EL$11,1,BJ61)=1,IF(AND('Lease Cycles'!$AZ$11&gt;=INDEX('Lease Cycles'!$BG$11:$BM$11,1,BJ61),'Lease Cycles'!$AZ$11&lt;=BJ$6),'Lease Cycles'!$C$11*'Lease Cycles'!$BA$11/12,IF(AND('Lease Cycles'!$AX$11&gt;=INDEX('Lease Cycles'!$BG$11:$BM$11,1,BJ61),'Lease Cycles'!$AX$11&lt;=BJ$6),'Lease Cycles'!$C$11*'Lease Cycles'!$AY$11/12,IF(AND('Lease Cycles'!$AV$11&gt;=INDEX('Lease Cycles'!$BG$11:$BM$11,1,BJ61),'Lease Cycles'!$AV$11&lt;=BJ$6),'Lease Cycles'!$C$11*'Lease Cycles'!$AW$11/12,IF(AND('Lease Cycles'!$AT$11&gt;=INDEX('Lease Cycles'!$BG$11:$BM$11,1,BJ61),'Lease Cycles'!$AT$11&lt;=BJ$6),'Lease Cycles'!$C$11*'Lease Cycles'!$AU$11/12,'Lease Cycles'!$C$11*INDEX('Lease Cycles'!$CB$11:$CH$11,1,BJ61)*(1+INDEX('Lease Cycles'!$CI$11:$CO$11,1,BJ61))^INT(INT(BJ62/12)/INDEX('Lease Cycles'!$CP$11:$CV$11,1,BJ61))/12)))),'Lease Cycles'!$C$11*INDEX('Lease Cycles'!$CB$11:$CH$11,1,BJ61)*(1+INDEX('Lease Cycles'!$CI$11:$CO$11,1,BJ61))^INT(INT(BJ62/12)/INDEX('Lease Cycles'!$CP$11:$CV$11,1,BJ61))/12))),IF('Lease Cycles'!$N$11=1,'Lease Cycles'!$C$11*'Lease Cycles'!$E$11*INDEX('Lease Cycles'!$HE$11:$HK$11,1,BJ61)*(1+INDEX('Lease Cycles'!$GQ$11:$GW$11,1,BJ61))^INT(INT((BJ$6-INDEX('Lease Cycles'!$GJ$11:$GP$11,1,BJ61))/12)/INDEX('Lease Cycles'!$GX$11:$HD$11,1,BJ61))/12,0)))</f>
        <v>5625</v>
      </c>
      <c r="BK64" s="28">
        <f>IF(BK61=0,IF('Lease Cycles'!$F$11&gt;0,'Lease Cycles'!$C$11*'Lease Cycles'!$E$11/12,0),IF(BK63=1,IF('Lease Cycles'!$AT$11&gt;=9999,'Lease Cycles'!$C$11*INDEX('Lease Cycles'!$CB$11:$CH$11,1,BK61)*(1+INDEX('Lease Cycles'!$CI$11:$CO$11,1,BK61))^INT(INT(BK62/12)/INDEX('Lease Cycles'!$CP$11:$CV$11,1,BK61))/12,IF(BK61=1,IF(BK62&gt;=INDEX('Lease Cycles'!$DK$11:$DQ$11,1,BK61),IF(BK$6&gt;='Lease Cycles'!$AZ$11,'Lease Cycles'!$C$11*'Lease Cycles'!$BA$11/12,IF(BK$6&gt;='Lease Cycles'!$AX$11,'Lease Cycles'!$C$11*'Lease Cycles'!$AY$11/12,IF(BK$6&gt;='Lease Cycles'!$AV$11,'Lease Cycles'!$C$11*'Lease Cycles'!$AW$11/12,IF(BK$6&gt;='Lease Cycles'!$AT$11,'Lease Cycles'!$C$11*'Lease Cycles'!$AU$11/12,'Lease Cycles'!$C$11*INDEX('Lease Cycles'!$CB$11:$CH$11,1,BK61)*(1+INDEX('Lease Cycles'!$CI$11:$CO$11,1,BK61))^INT(INT(BK62/12)/INDEX('Lease Cycles'!$CP$11:$CV$11,1,BK61))/12)))),'Lease Cycles'!$C$11*INDEX('Lease Cycles'!$CB$11:$CH$11,1,BK61)*(1+INDEX('Lease Cycles'!$CI$11:$CO$11,1,BK61))^INT(INT(BK62/12)/INDEX('Lease Cycles'!$CP$11:$CV$11,1,BK61))/12),IF(INDEX('Lease Cycles'!$EF$11:$EL$11,1,BK61)=1,IF(AND('Lease Cycles'!$AZ$11&gt;=INDEX('Lease Cycles'!$BG$11:$BM$11,1,BK61),'Lease Cycles'!$AZ$11&lt;=BK$6),'Lease Cycles'!$C$11*'Lease Cycles'!$BA$11/12,IF(AND('Lease Cycles'!$AX$11&gt;=INDEX('Lease Cycles'!$BG$11:$BM$11,1,BK61),'Lease Cycles'!$AX$11&lt;=BK$6),'Lease Cycles'!$C$11*'Lease Cycles'!$AY$11/12,IF(AND('Lease Cycles'!$AV$11&gt;=INDEX('Lease Cycles'!$BG$11:$BM$11,1,BK61),'Lease Cycles'!$AV$11&lt;=BK$6),'Lease Cycles'!$C$11*'Lease Cycles'!$AW$11/12,IF(AND('Lease Cycles'!$AT$11&gt;=INDEX('Lease Cycles'!$BG$11:$BM$11,1,BK61),'Lease Cycles'!$AT$11&lt;=BK$6),'Lease Cycles'!$C$11*'Lease Cycles'!$AU$11/12,'Lease Cycles'!$C$11*INDEX('Lease Cycles'!$CB$11:$CH$11,1,BK61)*(1+INDEX('Lease Cycles'!$CI$11:$CO$11,1,BK61))^INT(INT(BK62/12)/INDEX('Lease Cycles'!$CP$11:$CV$11,1,BK61))/12)))),'Lease Cycles'!$C$11*INDEX('Lease Cycles'!$CB$11:$CH$11,1,BK61)*(1+INDEX('Lease Cycles'!$CI$11:$CO$11,1,BK61))^INT(INT(BK62/12)/INDEX('Lease Cycles'!$CP$11:$CV$11,1,BK61))/12))),IF('Lease Cycles'!$N$11=1,'Lease Cycles'!$C$11*'Lease Cycles'!$E$11*INDEX('Lease Cycles'!$HE$11:$HK$11,1,BK61)*(1+INDEX('Lease Cycles'!$GQ$11:$GW$11,1,BK61))^INT(INT((BK$6-INDEX('Lease Cycles'!$GJ$11:$GP$11,1,BK61))/12)/INDEX('Lease Cycles'!$GX$11:$HD$11,1,BK61))/12,0)))</f>
        <v>5625</v>
      </c>
      <c r="BL64" s="28">
        <f>IF(BL61=0,IF('Lease Cycles'!$F$11&gt;0,'Lease Cycles'!$C$11*'Lease Cycles'!$E$11/12,0),IF(BL63=1,IF('Lease Cycles'!$AT$11&gt;=9999,'Lease Cycles'!$C$11*INDEX('Lease Cycles'!$CB$11:$CH$11,1,BL61)*(1+INDEX('Lease Cycles'!$CI$11:$CO$11,1,BL61))^INT(INT(BL62/12)/INDEX('Lease Cycles'!$CP$11:$CV$11,1,BL61))/12,IF(BL61=1,IF(BL62&gt;=INDEX('Lease Cycles'!$DK$11:$DQ$11,1,BL61),IF(BL$6&gt;='Lease Cycles'!$AZ$11,'Lease Cycles'!$C$11*'Lease Cycles'!$BA$11/12,IF(BL$6&gt;='Lease Cycles'!$AX$11,'Lease Cycles'!$C$11*'Lease Cycles'!$AY$11/12,IF(BL$6&gt;='Lease Cycles'!$AV$11,'Lease Cycles'!$C$11*'Lease Cycles'!$AW$11/12,IF(BL$6&gt;='Lease Cycles'!$AT$11,'Lease Cycles'!$C$11*'Lease Cycles'!$AU$11/12,'Lease Cycles'!$C$11*INDEX('Lease Cycles'!$CB$11:$CH$11,1,BL61)*(1+INDEX('Lease Cycles'!$CI$11:$CO$11,1,BL61))^INT(INT(BL62/12)/INDEX('Lease Cycles'!$CP$11:$CV$11,1,BL61))/12)))),'Lease Cycles'!$C$11*INDEX('Lease Cycles'!$CB$11:$CH$11,1,BL61)*(1+INDEX('Lease Cycles'!$CI$11:$CO$11,1,BL61))^INT(INT(BL62/12)/INDEX('Lease Cycles'!$CP$11:$CV$11,1,BL61))/12),IF(INDEX('Lease Cycles'!$EF$11:$EL$11,1,BL61)=1,IF(AND('Lease Cycles'!$AZ$11&gt;=INDEX('Lease Cycles'!$BG$11:$BM$11,1,BL61),'Lease Cycles'!$AZ$11&lt;=BL$6),'Lease Cycles'!$C$11*'Lease Cycles'!$BA$11/12,IF(AND('Lease Cycles'!$AX$11&gt;=INDEX('Lease Cycles'!$BG$11:$BM$11,1,BL61),'Lease Cycles'!$AX$11&lt;=BL$6),'Lease Cycles'!$C$11*'Lease Cycles'!$AY$11/12,IF(AND('Lease Cycles'!$AV$11&gt;=INDEX('Lease Cycles'!$BG$11:$BM$11,1,BL61),'Lease Cycles'!$AV$11&lt;=BL$6),'Lease Cycles'!$C$11*'Lease Cycles'!$AW$11/12,IF(AND('Lease Cycles'!$AT$11&gt;=INDEX('Lease Cycles'!$BG$11:$BM$11,1,BL61),'Lease Cycles'!$AT$11&lt;=BL$6),'Lease Cycles'!$C$11*'Lease Cycles'!$AU$11/12,'Lease Cycles'!$C$11*INDEX('Lease Cycles'!$CB$11:$CH$11,1,BL61)*(1+INDEX('Lease Cycles'!$CI$11:$CO$11,1,BL61))^INT(INT(BL62/12)/INDEX('Lease Cycles'!$CP$11:$CV$11,1,BL61))/12)))),'Lease Cycles'!$C$11*INDEX('Lease Cycles'!$CB$11:$CH$11,1,BL61)*(1+INDEX('Lease Cycles'!$CI$11:$CO$11,1,BL61))^INT(INT(BL62/12)/INDEX('Lease Cycles'!$CP$11:$CV$11,1,BL61))/12))),IF('Lease Cycles'!$N$11=1,'Lease Cycles'!$C$11*'Lease Cycles'!$E$11*INDEX('Lease Cycles'!$HE$11:$HK$11,1,BL61)*(1+INDEX('Lease Cycles'!$GQ$11:$GW$11,1,BL61))^INT(INT((BL$6-INDEX('Lease Cycles'!$GJ$11:$GP$11,1,BL61))/12)/INDEX('Lease Cycles'!$GX$11:$HD$11,1,BL61))/12,0)))</f>
        <v>5625</v>
      </c>
      <c r="BM64" s="28">
        <f>IF(BM61=0,IF('Lease Cycles'!$F$11&gt;0,'Lease Cycles'!$C$11*'Lease Cycles'!$E$11/12,0),IF(BM63=1,IF('Lease Cycles'!$AT$11&gt;=9999,'Lease Cycles'!$C$11*INDEX('Lease Cycles'!$CB$11:$CH$11,1,BM61)*(1+INDEX('Lease Cycles'!$CI$11:$CO$11,1,BM61))^INT(INT(BM62/12)/INDEX('Lease Cycles'!$CP$11:$CV$11,1,BM61))/12,IF(BM61=1,IF(BM62&gt;=INDEX('Lease Cycles'!$DK$11:$DQ$11,1,BM61),IF(BM$6&gt;='Lease Cycles'!$AZ$11,'Lease Cycles'!$C$11*'Lease Cycles'!$BA$11/12,IF(BM$6&gt;='Lease Cycles'!$AX$11,'Lease Cycles'!$C$11*'Lease Cycles'!$AY$11/12,IF(BM$6&gt;='Lease Cycles'!$AV$11,'Lease Cycles'!$C$11*'Lease Cycles'!$AW$11/12,IF(BM$6&gt;='Lease Cycles'!$AT$11,'Lease Cycles'!$C$11*'Lease Cycles'!$AU$11/12,'Lease Cycles'!$C$11*INDEX('Lease Cycles'!$CB$11:$CH$11,1,BM61)*(1+INDEX('Lease Cycles'!$CI$11:$CO$11,1,BM61))^INT(INT(BM62/12)/INDEX('Lease Cycles'!$CP$11:$CV$11,1,BM61))/12)))),'Lease Cycles'!$C$11*INDEX('Lease Cycles'!$CB$11:$CH$11,1,BM61)*(1+INDEX('Lease Cycles'!$CI$11:$CO$11,1,BM61))^INT(INT(BM62/12)/INDEX('Lease Cycles'!$CP$11:$CV$11,1,BM61))/12),IF(INDEX('Lease Cycles'!$EF$11:$EL$11,1,BM61)=1,IF(AND('Lease Cycles'!$AZ$11&gt;=INDEX('Lease Cycles'!$BG$11:$BM$11,1,BM61),'Lease Cycles'!$AZ$11&lt;=BM$6),'Lease Cycles'!$C$11*'Lease Cycles'!$BA$11/12,IF(AND('Lease Cycles'!$AX$11&gt;=INDEX('Lease Cycles'!$BG$11:$BM$11,1,BM61),'Lease Cycles'!$AX$11&lt;=BM$6),'Lease Cycles'!$C$11*'Lease Cycles'!$AY$11/12,IF(AND('Lease Cycles'!$AV$11&gt;=INDEX('Lease Cycles'!$BG$11:$BM$11,1,BM61),'Lease Cycles'!$AV$11&lt;=BM$6),'Lease Cycles'!$C$11*'Lease Cycles'!$AW$11/12,IF(AND('Lease Cycles'!$AT$11&gt;=INDEX('Lease Cycles'!$BG$11:$BM$11,1,BM61),'Lease Cycles'!$AT$11&lt;=BM$6),'Lease Cycles'!$C$11*'Lease Cycles'!$AU$11/12,'Lease Cycles'!$C$11*INDEX('Lease Cycles'!$CB$11:$CH$11,1,BM61)*(1+INDEX('Lease Cycles'!$CI$11:$CO$11,1,BM61))^INT(INT(BM62/12)/INDEX('Lease Cycles'!$CP$11:$CV$11,1,BM61))/12)))),'Lease Cycles'!$C$11*INDEX('Lease Cycles'!$CB$11:$CH$11,1,BM61)*(1+INDEX('Lease Cycles'!$CI$11:$CO$11,1,BM61))^INT(INT(BM62/12)/INDEX('Lease Cycles'!$CP$11:$CV$11,1,BM61))/12))),IF('Lease Cycles'!$N$11=1,'Lease Cycles'!$C$11*'Lease Cycles'!$E$11*INDEX('Lease Cycles'!$HE$11:$HK$11,1,BM61)*(1+INDEX('Lease Cycles'!$GQ$11:$GW$11,1,BM61))^INT(INT((BM$6-INDEX('Lease Cycles'!$GJ$11:$GP$11,1,BM61))/12)/INDEX('Lease Cycles'!$GX$11:$HD$11,1,BM61))/12,0)))</f>
        <v>5625</v>
      </c>
      <c r="BN64" s="28">
        <f>IF(BN61=0,IF('Lease Cycles'!$F$11&gt;0,'Lease Cycles'!$C$11*'Lease Cycles'!$E$11/12,0),IF(BN63=1,IF('Lease Cycles'!$AT$11&gt;=9999,'Lease Cycles'!$C$11*INDEX('Lease Cycles'!$CB$11:$CH$11,1,BN61)*(1+INDEX('Lease Cycles'!$CI$11:$CO$11,1,BN61))^INT(INT(BN62/12)/INDEX('Lease Cycles'!$CP$11:$CV$11,1,BN61))/12,IF(BN61=1,IF(BN62&gt;=INDEX('Lease Cycles'!$DK$11:$DQ$11,1,BN61),IF(BN$6&gt;='Lease Cycles'!$AZ$11,'Lease Cycles'!$C$11*'Lease Cycles'!$BA$11/12,IF(BN$6&gt;='Lease Cycles'!$AX$11,'Lease Cycles'!$C$11*'Lease Cycles'!$AY$11/12,IF(BN$6&gt;='Lease Cycles'!$AV$11,'Lease Cycles'!$C$11*'Lease Cycles'!$AW$11/12,IF(BN$6&gt;='Lease Cycles'!$AT$11,'Lease Cycles'!$C$11*'Lease Cycles'!$AU$11/12,'Lease Cycles'!$C$11*INDEX('Lease Cycles'!$CB$11:$CH$11,1,BN61)*(1+INDEX('Lease Cycles'!$CI$11:$CO$11,1,BN61))^INT(INT(BN62/12)/INDEX('Lease Cycles'!$CP$11:$CV$11,1,BN61))/12)))),'Lease Cycles'!$C$11*INDEX('Lease Cycles'!$CB$11:$CH$11,1,BN61)*(1+INDEX('Lease Cycles'!$CI$11:$CO$11,1,BN61))^INT(INT(BN62/12)/INDEX('Lease Cycles'!$CP$11:$CV$11,1,BN61))/12),IF(INDEX('Lease Cycles'!$EF$11:$EL$11,1,BN61)=1,IF(AND('Lease Cycles'!$AZ$11&gt;=INDEX('Lease Cycles'!$BG$11:$BM$11,1,BN61),'Lease Cycles'!$AZ$11&lt;=BN$6),'Lease Cycles'!$C$11*'Lease Cycles'!$BA$11/12,IF(AND('Lease Cycles'!$AX$11&gt;=INDEX('Lease Cycles'!$BG$11:$BM$11,1,BN61),'Lease Cycles'!$AX$11&lt;=BN$6),'Lease Cycles'!$C$11*'Lease Cycles'!$AY$11/12,IF(AND('Lease Cycles'!$AV$11&gt;=INDEX('Lease Cycles'!$BG$11:$BM$11,1,BN61),'Lease Cycles'!$AV$11&lt;=BN$6),'Lease Cycles'!$C$11*'Lease Cycles'!$AW$11/12,IF(AND('Lease Cycles'!$AT$11&gt;=INDEX('Lease Cycles'!$BG$11:$BM$11,1,BN61),'Lease Cycles'!$AT$11&lt;=BN$6),'Lease Cycles'!$C$11*'Lease Cycles'!$AU$11/12,'Lease Cycles'!$C$11*INDEX('Lease Cycles'!$CB$11:$CH$11,1,BN61)*(1+INDEX('Lease Cycles'!$CI$11:$CO$11,1,BN61))^INT(INT(BN62/12)/INDEX('Lease Cycles'!$CP$11:$CV$11,1,BN61))/12)))),'Lease Cycles'!$C$11*INDEX('Lease Cycles'!$CB$11:$CH$11,1,BN61)*(1+INDEX('Lease Cycles'!$CI$11:$CO$11,1,BN61))^INT(INT(BN62/12)/INDEX('Lease Cycles'!$CP$11:$CV$11,1,BN61))/12))),IF('Lease Cycles'!$N$11=1,'Lease Cycles'!$C$11*'Lease Cycles'!$E$11*INDEX('Lease Cycles'!$HE$11:$HK$11,1,BN61)*(1+INDEX('Lease Cycles'!$GQ$11:$GW$11,1,BN61))^INT(INT((BN$6-INDEX('Lease Cycles'!$GJ$11:$GP$11,1,BN61))/12)/INDEX('Lease Cycles'!$GX$11:$HD$11,1,BN61))/12,0)))</f>
        <v>5625</v>
      </c>
      <c r="BO64" s="28">
        <f>IF(BO61=0,IF('Lease Cycles'!$F$11&gt;0,'Lease Cycles'!$C$11*'Lease Cycles'!$E$11/12,0),IF(BO63=1,IF('Lease Cycles'!$AT$11&gt;=9999,'Lease Cycles'!$C$11*INDEX('Lease Cycles'!$CB$11:$CH$11,1,BO61)*(1+INDEX('Lease Cycles'!$CI$11:$CO$11,1,BO61))^INT(INT(BO62/12)/INDEX('Lease Cycles'!$CP$11:$CV$11,1,BO61))/12,IF(BO61=1,IF(BO62&gt;=INDEX('Lease Cycles'!$DK$11:$DQ$11,1,BO61),IF(BO$6&gt;='Lease Cycles'!$AZ$11,'Lease Cycles'!$C$11*'Lease Cycles'!$BA$11/12,IF(BO$6&gt;='Lease Cycles'!$AX$11,'Lease Cycles'!$C$11*'Lease Cycles'!$AY$11/12,IF(BO$6&gt;='Lease Cycles'!$AV$11,'Lease Cycles'!$C$11*'Lease Cycles'!$AW$11/12,IF(BO$6&gt;='Lease Cycles'!$AT$11,'Lease Cycles'!$C$11*'Lease Cycles'!$AU$11/12,'Lease Cycles'!$C$11*INDEX('Lease Cycles'!$CB$11:$CH$11,1,BO61)*(1+INDEX('Lease Cycles'!$CI$11:$CO$11,1,BO61))^INT(INT(BO62/12)/INDEX('Lease Cycles'!$CP$11:$CV$11,1,BO61))/12)))),'Lease Cycles'!$C$11*INDEX('Lease Cycles'!$CB$11:$CH$11,1,BO61)*(1+INDEX('Lease Cycles'!$CI$11:$CO$11,1,BO61))^INT(INT(BO62/12)/INDEX('Lease Cycles'!$CP$11:$CV$11,1,BO61))/12),IF(INDEX('Lease Cycles'!$EF$11:$EL$11,1,BO61)=1,IF(AND('Lease Cycles'!$AZ$11&gt;=INDEX('Lease Cycles'!$BG$11:$BM$11,1,BO61),'Lease Cycles'!$AZ$11&lt;=BO$6),'Lease Cycles'!$C$11*'Lease Cycles'!$BA$11/12,IF(AND('Lease Cycles'!$AX$11&gt;=INDEX('Lease Cycles'!$BG$11:$BM$11,1,BO61),'Lease Cycles'!$AX$11&lt;=BO$6),'Lease Cycles'!$C$11*'Lease Cycles'!$AY$11/12,IF(AND('Lease Cycles'!$AV$11&gt;=INDEX('Lease Cycles'!$BG$11:$BM$11,1,BO61),'Lease Cycles'!$AV$11&lt;=BO$6),'Lease Cycles'!$C$11*'Lease Cycles'!$AW$11/12,IF(AND('Lease Cycles'!$AT$11&gt;=INDEX('Lease Cycles'!$BG$11:$BM$11,1,BO61),'Lease Cycles'!$AT$11&lt;=BO$6),'Lease Cycles'!$C$11*'Lease Cycles'!$AU$11/12,'Lease Cycles'!$C$11*INDEX('Lease Cycles'!$CB$11:$CH$11,1,BO61)*(1+INDEX('Lease Cycles'!$CI$11:$CO$11,1,BO61))^INT(INT(BO62/12)/INDEX('Lease Cycles'!$CP$11:$CV$11,1,BO61))/12)))),'Lease Cycles'!$C$11*INDEX('Lease Cycles'!$CB$11:$CH$11,1,BO61)*(1+INDEX('Lease Cycles'!$CI$11:$CO$11,1,BO61))^INT(INT(BO62/12)/INDEX('Lease Cycles'!$CP$11:$CV$11,1,BO61))/12))),IF('Lease Cycles'!$N$11=1,'Lease Cycles'!$C$11*'Lease Cycles'!$E$11*INDEX('Lease Cycles'!$HE$11:$HK$11,1,BO61)*(1+INDEX('Lease Cycles'!$GQ$11:$GW$11,1,BO61))^INT(INT((BO$6-INDEX('Lease Cycles'!$GJ$11:$GP$11,1,BO61))/12)/INDEX('Lease Cycles'!$GX$11:$HD$11,1,BO61))/12,0)))</f>
        <v>5625</v>
      </c>
      <c r="BP64" s="28">
        <f>IF(BP61=0,IF('Lease Cycles'!$F$11&gt;0,'Lease Cycles'!$C$11*'Lease Cycles'!$E$11/12,0),IF(BP63=1,IF('Lease Cycles'!$AT$11&gt;=9999,'Lease Cycles'!$C$11*INDEX('Lease Cycles'!$CB$11:$CH$11,1,BP61)*(1+INDEX('Lease Cycles'!$CI$11:$CO$11,1,BP61))^INT(INT(BP62/12)/INDEX('Lease Cycles'!$CP$11:$CV$11,1,BP61))/12,IF(BP61=1,IF(BP62&gt;=INDEX('Lease Cycles'!$DK$11:$DQ$11,1,BP61),IF(BP$6&gt;='Lease Cycles'!$AZ$11,'Lease Cycles'!$C$11*'Lease Cycles'!$BA$11/12,IF(BP$6&gt;='Lease Cycles'!$AX$11,'Lease Cycles'!$C$11*'Lease Cycles'!$AY$11/12,IF(BP$6&gt;='Lease Cycles'!$AV$11,'Lease Cycles'!$C$11*'Lease Cycles'!$AW$11/12,IF(BP$6&gt;='Lease Cycles'!$AT$11,'Lease Cycles'!$C$11*'Lease Cycles'!$AU$11/12,'Lease Cycles'!$C$11*INDEX('Lease Cycles'!$CB$11:$CH$11,1,BP61)*(1+INDEX('Lease Cycles'!$CI$11:$CO$11,1,BP61))^INT(INT(BP62/12)/INDEX('Lease Cycles'!$CP$11:$CV$11,1,BP61))/12)))),'Lease Cycles'!$C$11*INDEX('Lease Cycles'!$CB$11:$CH$11,1,BP61)*(1+INDEX('Lease Cycles'!$CI$11:$CO$11,1,BP61))^INT(INT(BP62/12)/INDEX('Lease Cycles'!$CP$11:$CV$11,1,BP61))/12),IF(INDEX('Lease Cycles'!$EF$11:$EL$11,1,BP61)=1,IF(AND('Lease Cycles'!$AZ$11&gt;=INDEX('Lease Cycles'!$BG$11:$BM$11,1,BP61),'Lease Cycles'!$AZ$11&lt;=BP$6),'Lease Cycles'!$C$11*'Lease Cycles'!$BA$11/12,IF(AND('Lease Cycles'!$AX$11&gt;=INDEX('Lease Cycles'!$BG$11:$BM$11,1,BP61),'Lease Cycles'!$AX$11&lt;=BP$6),'Lease Cycles'!$C$11*'Lease Cycles'!$AY$11/12,IF(AND('Lease Cycles'!$AV$11&gt;=INDEX('Lease Cycles'!$BG$11:$BM$11,1,BP61),'Lease Cycles'!$AV$11&lt;=BP$6),'Lease Cycles'!$C$11*'Lease Cycles'!$AW$11/12,IF(AND('Lease Cycles'!$AT$11&gt;=INDEX('Lease Cycles'!$BG$11:$BM$11,1,BP61),'Lease Cycles'!$AT$11&lt;=BP$6),'Lease Cycles'!$C$11*'Lease Cycles'!$AU$11/12,'Lease Cycles'!$C$11*INDEX('Lease Cycles'!$CB$11:$CH$11,1,BP61)*(1+INDEX('Lease Cycles'!$CI$11:$CO$11,1,BP61))^INT(INT(BP62/12)/INDEX('Lease Cycles'!$CP$11:$CV$11,1,BP61))/12)))),'Lease Cycles'!$C$11*INDEX('Lease Cycles'!$CB$11:$CH$11,1,BP61)*(1+INDEX('Lease Cycles'!$CI$11:$CO$11,1,BP61))^INT(INT(BP62/12)/INDEX('Lease Cycles'!$CP$11:$CV$11,1,BP61))/12))),IF('Lease Cycles'!$N$11=1,'Lease Cycles'!$C$11*'Lease Cycles'!$E$11*INDEX('Lease Cycles'!$HE$11:$HK$11,1,BP61)*(1+INDEX('Lease Cycles'!$GQ$11:$GW$11,1,BP61))^INT(INT((BP$6-INDEX('Lease Cycles'!$GJ$11:$GP$11,1,BP61))/12)/INDEX('Lease Cycles'!$GX$11:$HD$11,1,BP61))/12,0)))</f>
        <v>5625</v>
      </c>
      <c r="BQ64" s="28">
        <f>IF(BQ61=0,IF('Lease Cycles'!$F$11&gt;0,'Lease Cycles'!$C$11*'Lease Cycles'!$E$11/12,0),IF(BQ63=1,IF('Lease Cycles'!$AT$11&gt;=9999,'Lease Cycles'!$C$11*INDEX('Lease Cycles'!$CB$11:$CH$11,1,BQ61)*(1+INDEX('Lease Cycles'!$CI$11:$CO$11,1,BQ61))^INT(INT(BQ62/12)/INDEX('Lease Cycles'!$CP$11:$CV$11,1,BQ61))/12,IF(BQ61=1,IF(BQ62&gt;=INDEX('Lease Cycles'!$DK$11:$DQ$11,1,BQ61),IF(BQ$6&gt;='Lease Cycles'!$AZ$11,'Lease Cycles'!$C$11*'Lease Cycles'!$BA$11/12,IF(BQ$6&gt;='Lease Cycles'!$AX$11,'Lease Cycles'!$C$11*'Lease Cycles'!$AY$11/12,IF(BQ$6&gt;='Lease Cycles'!$AV$11,'Lease Cycles'!$C$11*'Lease Cycles'!$AW$11/12,IF(BQ$6&gt;='Lease Cycles'!$AT$11,'Lease Cycles'!$C$11*'Lease Cycles'!$AU$11/12,'Lease Cycles'!$C$11*INDEX('Lease Cycles'!$CB$11:$CH$11,1,BQ61)*(1+INDEX('Lease Cycles'!$CI$11:$CO$11,1,BQ61))^INT(INT(BQ62/12)/INDEX('Lease Cycles'!$CP$11:$CV$11,1,BQ61))/12)))),'Lease Cycles'!$C$11*INDEX('Lease Cycles'!$CB$11:$CH$11,1,BQ61)*(1+INDEX('Lease Cycles'!$CI$11:$CO$11,1,BQ61))^INT(INT(BQ62/12)/INDEX('Lease Cycles'!$CP$11:$CV$11,1,BQ61))/12),IF(INDEX('Lease Cycles'!$EF$11:$EL$11,1,BQ61)=1,IF(AND('Lease Cycles'!$AZ$11&gt;=INDEX('Lease Cycles'!$BG$11:$BM$11,1,BQ61),'Lease Cycles'!$AZ$11&lt;=BQ$6),'Lease Cycles'!$C$11*'Lease Cycles'!$BA$11/12,IF(AND('Lease Cycles'!$AX$11&gt;=INDEX('Lease Cycles'!$BG$11:$BM$11,1,BQ61),'Lease Cycles'!$AX$11&lt;=BQ$6),'Lease Cycles'!$C$11*'Lease Cycles'!$AY$11/12,IF(AND('Lease Cycles'!$AV$11&gt;=INDEX('Lease Cycles'!$BG$11:$BM$11,1,BQ61),'Lease Cycles'!$AV$11&lt;=BQ$6),'Lease Cycles'!$C$11*'Lease Cycles'!$AW$11/12,IF(AND('Lease Cycles'!$AT$11&gt;=INDEX('Lease Cycles'!$BG$11:$BM$11,1,BQ61),'Lease Cycles'!$AT$11&lt;=BQ$6),'Lease Cycles'!$C$11*'Lease Cycles'!$AU$11/12,'Lease Cycles'!$C$11*INDEX('Lease Cycles'!$CB$11:$CH$11,1,BQ61)*(1+INDEX('Lease Cycles'!$CI$11:$CO$11,1,BQ61))^INT(INT(BQ62/12)/INDEX('Lease Cycles'!$CP$11:$CV$11,1,BQ61))/12)))),'Lease Cycles'!$C$11*INDEX('Lease Cycles'!$CB$11:$CH$11,1,BQ61)*(1+INDEX('Lease Cycles'!$CI$11:$CO$11,1,BQ61))^INT(INT(BQ62/12)/INDEX('Lease Cycles'!$CP$11:$CV$11,1,BQ61))/12))),IF('Lease Cycles'!$N$11=1,'Lease Cycles'!$C$11*'Lease Cycles'!$E$11*INDEX('Lease Cycles'!$HE$11:$HK$11,1,BQ61)*(1+INDEX('Lease Cycles'!$GQ$11:$GW$11,1,BQ61))^INT(INT((BQ$6-INDEX('Lease Cycles'!$GJ$11:$GP$11,1,BQ61))/12)/INDEX('Lease Cycles'!$GX$11:$HD$11,1,BQ61))/12,0)))</f>
        <v>5625</v>
      </c>
      <c r="BR64" s="28">
        <f>IF(BR61=0,IF('Lease Cycles'!$F$11&gt;0,'Lease Cycles'!$C$11*'Lease Cycles'!$E$11/12,0),IF(BR63=1,IF('Lease Cycles'!$AT$11&gt;=9999,'Lease Cycles'!$C$11*INDEX('Lease Cycles'!$CB$11:$CH$11,1,BR61)*(1+INDEX('Lease Cycles'!$CI$11:$CO$11,1,BR61))^INT(INT(BR62/12)/INDEX('Lease Cycles'!$CP$11:$CV$11,1,BR61))/12,IF(BR61=1,IF(BR62&gt;=INDEX('Lease Cycles'!$DK$11:$DQ$11,1,BR61),IF(BR$6&gt;='Lease Cycles'!$AZ$11,'Lease Cycles'!$C$11*'Lease Cycles'!$BA$11/12,IF(BR$6&gt;='Lease Cycles'!$AX$11,'Lease Cycles'!$C$11*'Lease Cycles'!$AY$11/12,IF(BR$6&gt;='Lease Cycles'!$AV$11,'Lease Cycles'!$C$11*'Lease Cycles'!$AW$11/12,IF(BR$6&gt;='Lease Cycles'!$AT$11,'Lease Cycles'!$C$11*'Lease Cycles'!$AU$11/12,'Lease Cycles'!$C$11*INDEX('Lease Cycles'!$CB$11:$CH$11,1,BR61)*(1+INDEX('Lease Cycles'!$CI$11:$CO$11,1,BR61))^INT(INT(BR62/12)/INDEX('Lease Cycles'!$CP$11:$CV$11,1,BR61))/12)))),'Lease Cycles'!$C$11*INDEX('Lease Cycles'!$CB$11:$CH$11,1,BR61)*(1+INDEX('Lease Cycles'!$CI$11:$CO$11,1,BR61))^INT(INT(BR62/12)/INDEX('Lease Cycles'!$CP$11:$CV$11,1,BR61))/12),IF(INDEX('Lease Cycles'!$EF$11:$EL$11,1,BR61)=1,IF(AND('Lease Cycles'!$AZ$11&gt;=INDEX('Lease Cycles'!$BG$11:$BM$11,1,BR61),'Lease Cycles'!$AZ$11&lt;=BR$6),'Lease Cycles'!$C$11*'Lease Cycles'!$BA$11/12,IF(AND('Lease Cycles'!$AX$11&gt;=INDEX('Lease Cycles'!$BG$11:$BM$11,1,BR61),'Lease Cycles'!$AX$11&lt;=BR$6),'Lease Cycles'!$C$11*'Lease Cycles'!$AY$11/12,IF(AND('Lease Cycles'!$AV$11&gt;=INDEX('Lease Cycles'!$BG$11:$BM$11,1,BR61),'Lease Cycles'!$AV$11&lt;=BR$6),'Lease Cycles'!$C$11*'Lease Cycles'!$AW$11/12,IF(AND('Lease Cycles'!$AT$11&gt;=INDEX('Lease Cycles'!$BG$11:$BM$11,1,BR61),'Lease Cycles'!$AT$11&lt;=BR$6),'Lease Cycles'!$C$11*'Lease Cycles'!$AU$11/12,'Lease Cycles'!$C$11*INDEX('Lease Cycles'!$CB$11:$CH$11,1,BR61)*(1+INDEX('Lease Cycles'!$CI$11:$CO$11,1,BR61))^INT(INT(BR62/12)/INDEX('Lease Cycles'!$CP$11:$CV$11,1,BR61))/12)))),'Lease Cycles'!$C$11*INDEX('Lease Cycles'!$CB$11:$CH$11,1,BR61)*(1+INDEX('Lease Cycles'!$CI$11:$CO$11,1,BR61))^INT(INT(BR62/12)/INDEX('Lease Cycles'!$CP$11:$CV$11,1,BR61))/12))),IF('Lease Cycles'!$N$11=1,'Lease Cycles'!$C$11*'Lease Cycles'!$E$11*INDEX('Lease Cycles'!$HE$11:$HK$11,1,BR61)*(1+INDEX('Lease Cycles'!$GQ$11:$GW$11,1,BR61))^INT(INT((BR$6-INDEX('Lease Cycles'!$GJ$11:$GP$11,1,BR61))/12)/INDEX('Lease Cycles'!$GX$11:$HD$11,1,BR61))/12,0)))</f>
        <v>5625</v>
      </c>
      <c r="BS64" s="28">
        <f>IF(BS61=0,IF('Lease Cycles'!$F$11&gt;0,'Lease Cycles'!$C$11*'Lease Cycles'!$E$11/12,0),IF(BS63=1,IF('Lease Cycles'!$AT$11&gt;=9999,'Lease Cycles'!$C$11*INDEX('Lease Cycles'!$CB$11:$CH$11,1,BS61)*(1+INDEX('Lease Cycles'!$CI$11:$CO$11,1,BS61))^INT(INT(BS62/12)/INDEX('Lease Cycles'!$CP$11:$CV$11,1,BS61))/12,IF(BS61=1,IF(BS62&gt;=INDEX('Lease Cycles'!$DK$11:$DQ$11,1,BS61),IF(BS$6&gt;='Lease Cycles'!$AZ$11,'Lease Cycles'!$C$11*'Lease Cycles'!$BA$11/12,IF(BS$6&gt;='Lease Cycles'!$AX$11,'Lease Cycles'!$C$11*'Lease Cycles'!$AY$11/12,IF(BS$6&gt;='Lease Cycles'!$AV$11,'Lease Cycles'!$C$11*'Lease Cycles'!$AW$11/12,IF(BS$6&gt;='Lease Cycles'!$AT$11,'Lease Cycles'!$C$11*'Lease Cycles'!$AU$11/12,'Lease Cycles'!$C$11*INDEX('Lease Cycles'!$CB$11:$CH$11,1,BS61)*(1+INDEX('Lease Cycles'!$CI$11:$CO$11,1,BS61))^INT(INT(BS62/12)/INDEX('Lease Cycles'!$CP$11:$CV$11,1,BS61))/12)))),'Lease Cycles'!$C$11*INDEX('Lease Cycles'!$CB$11:$CH$11,1,BS61)*(1+INDEX('Lease Cycles'!$CI$11:$CO$11,1,BS61))^INT(INT(BS62/12)/INDEX('Lease Cycles'!$CP$11:$CV$11,1,BS61))/12),IF(INDEX('Lease Cycles'!$EF$11:$EL$11,1,BS61)=1,IF(AND('Lease Cycles'!$AZ$11&gt;=INDEX('Lease Cycles'!$BG$11:$BM$11,1,BS61),'Lease Cycles'!$AZ$11&lt;=BS$6),'Lease Cycles'!$C$11*'Lease Cycles'!$BA$11/12,IF(AND('Lease Cycles'!$AX$11&gt;=INDEX('Lease Cycles'!$BG$11:$BM$11,1,BS61),'Lease Cycles'!$AX$11&lt;=BS$6),'Lease Cycles'!$C$11*'Lease Cycles'!$AY$11/12,IF(AND('Lease Cycles'!$AV$11&gt;=INDEX('Lease Cycles'!$BG$11:$BM$11,1,BS61),'Lease Cycles'!$AV$11&lt;=BS$6),'Lease Cycles'!$C$11*'Lease Cycles'!$AW$11/12,IF(AND('Lease Cycles'!$AT$11&gt;=INDEX('Lease Cycles'!$BG$11:$BM$11,1,BS61),'Lease Cycles'!$AT$11&lt;=BS$6),'Lease Cycles'!$C$11*'Lease Cycles'!$AU$11/12,'Lease Cycles'!$C$11*INDEX('Lease Cycles'!$CB$11:$CH$11,1,BS61)*(1+INDEX('Lease Cycles'!$CI$11:$CO$11,1,BS61))^INT(INT(BS62/12)/INDEX('Lease Cycles'!$CP$11:$CV$11,1,BS61))/12)))),'Lease Cycles'!$C$11*INDEX('Lease Cycles'!$CB$11:$CH$11,1,BS61)*(1+INDEX('Lease Cycles'!$CI$11:$CO$11,1,BS61))^INT(INT(BS62/12)/INDEX('Lease Cycles'!$CP$11:$CV$11,1,BS61))/12))),IF('Lease Cycles'!$N$11=1,'Lease Cycles'!$C$11*'Lease Cycles'!$E$11*INDEX('Lease Cycles'!$HE$11:$HK$11,1,BS61)*(1+INDEX('Lease Cycles'!$GQ$11:$GW$11,1,BS61))^INT(INT((BS$6-INDEX('Lease Cycles'!$GJ$11:$GP$11,1,BS61))/12)/INDEX('Lease Cycles'!$GX$11:$HD$11,1,BS61))/12,0)))</f>
        <v>5625</v>
      </c>
      <c r="BT64" s="28">
        <f>IF(BT61=0,IF('Lease Cycles'!$F$11&gt;0,'Lease Cycles'!$C$11*'Lease Cycles'!$E$11/12,0),IF(BT63=1,IF('Lease Cycles'!$AT$11&gt;=9999,'Lease Cycles'!$C$11*INDEX('Lease Cycles'!$CB$11:$CH$11,1,BT61)*(1+INDEX('Lease Cycles'!$CI$11:$CO$11,1,BT61))^INT(INT(BT62/12)/INDEX('Lease Cycles'!$CP$11:$CV$11,1,BT61))/12,IF(BT61=1,IF(BT62&gt;=INDEX('Lease Cycles'!$DK$11:$DQ$11,1,BT61),IF(BT$6&gt;='Lease Cycles'!$AZ$11,'Lease Cycles'!$C$11*'Lease Cycles'!$BA$11/12,IF(BT$6&gt;='Lease Cycles'!$AX$11,'Lease Cycles'!$C$11*'Lease Cycles'!$AY$11/12,IF(BT$6&gt;='Lease Cycles'!$AV$11,'Lease Cycles'!$C$11*'Lease Cycles'!$AW$11/12,IF(BT$6&gt;='Lease Cycles'!$AT$11,'Lease Cycles'!$C$11*'Lease Cycles'!$AU$11/12,'Lease Cycles'!$C$11*INDEX('Lease Cycles'!$CB$11:$CH$11,1,BT61)*(1+INDEX('Lease Cycles'!$CI$11:$CO$11,1,BT61))^INT(INT(BT62/12)/INDEX('Lease Cycles'!$CP$11:$CV$11,1,BT61))/12)))),'Lease Cycles'!$C$11*INDEX('Lease Cycles'!$CB$11:$CH$11,1,BT61)*(1+INDEX('Lease Cycles'!$CI$11:$CO$11,1,BT61))^INT(INT(BT62/12)/INDEX('Lease Cycles'!$CP$11:$CV$11,1,BT61))/12),IF(INDEX('Lease Cycles'!$EF$11:$EL$11,1,BT61)=1,IF(AND('Lease Cycles'!$AZ$11&gt;=INDEX('Lease Cycles'!$BG$11:$BM$11,1,BT61),'Lease Cycles'!$AZ$11&lt;=BT$6),'Lease Cycles'!$C$11*'Lease Cycles'!$BA$11/12,IF(AND('Lease Cycles'!$AX$11&gt;=INDEX('Lease Cycles'!$BG$11:$BM$11,1,BT61),'Lease Cycles'!$AX$11&lt;=BT$6),'Lease Cycles'!$C$11*'Lease Cycles'!$AY$11/12,IF(AND('Lease Cycles'!$AV$11&gt;=INDEX('Lease Cycles'!$BG$11:$BM$11,1,BT61),'Lease Cycles'!$AV$11&lt;=BT$6),'Lease Cycles'!$C$11*'Lease Cycles'!$AW$11/12,IF(AND('Lease Cycles'!$AT$11&gt;=INDEX('Lease Cycles'!$BG$11:$BM$11,1,BT61),'Lease Cycles'!$AT$11&lt;=BT$6),'Lease Cycles'!$C$11*'Lease Cycles'!$AU$11/12,'Lease Cycles'!$C$11*INDEX('Lease Cycles'!$CB$11:$CH$11,1,BT61)*(1+INDEX('Lease Cycles'!$CI$11:$CO$11,1,BT61))^INT(INT(BT62/12)/INDEX('Lease Cycles'!$CP$11:$CV$11,1,BT61))/12)))),'Lease Cycles'!$C$11*INDEX('Lease Cycles'!$CB$11:$CH$11,1,BT61)*(1+INDEX('Lease Cycles'!$CI$11:$CO$11,1,BT61))^INT(INT(BT62/12)/INDEX('Lease Cycles'!$CP$11:$CV$11,1,BT61))/12))),IF('Lease Cycles'!$N$11=1,'Lease Cycles'!$C$11*'Lease Cycles'!$E$11*INDEX('Lease Cycles'!$HE$11:$HK$11,1,BT61)*(1+INDEX('Lease Cycles'!$GQ$11:$GW$11,1,BT61))^INT(INT((BT$6-INDEX('Lease Cycles'!$GJ$11:$GP$11,1,BT61))/12)/INDEX('Lease Cycles'!$GX$11:$HD$11,1,BT61))/12,0)))</f>
        <v>5625</v>
      </c>
      <c r="BU64" s="28">
        <f>IF(BU61=0,IF('Lease Cycles'!$F$11&gt;0,'Lease Cycles'!$C$11*'Lease Cycles'!$E$11/12,0),IF(BU63=1,IF('Lease Cycles'!$AT$11&gt;=9999,'Lease Cycles'!$C$11*INDEX('Lease Cycles'!$CB$11:$CH$11,1,BU61)*(1+INDEX('Lease Cycles'!$CI$11:$CO$11,1,BU61))^INT(INT(BU62/12)/INDEX('Lease Cycles'!$CP$11:$CV$11,1,BU61))/12,IF(BU61=1,IF(BU62&gt;=INDEX('Lease Cycles'!$DK$11:$DQ$11,1,BU61),IF(BU$6&gt;='Lease Cycles'!$AZ$11,'Lease Cycles'!$C$11*'Lease Cycles'!$BA$11/12,IF(BU$6&gt;='Lease Cycles'!$AX$11,'Lease Cycles'!$C$11*'Lease Cycles'!$AY$11/12,IF(BU$6&gt;='Lease Cycles'!$AV$11,'Lease Cycles'!$C$11*'Lease Cycles'!$AW$11/12,IF(BU$6&gt;='Lease Cycles'!$AT$11,'Lease Cycles'!$C$11*'Lease Cycles'!$AU$11/12,'Lease Cycles'!$C$11*INDEX('Lease Cycles'!$CB$11:$CH$11,1,BU61)*(1+INDEX('Lease Cycles'!$CI$11:$CO$11,1,BU61))^INT(INT(BU62/12)/INDEX('Lease Cycles'!$CP$11:$CV$11,1,BU61))/12)))),'Lease Cycles'!$C$11*INDEX('Lease Cycles'!$CB$11:$CH$11,1,BU61)*(1+INDEX('Lease Cycles'!$CI$11:$CO$11,1,BU61))^INT(INT(BU62/12)/INDEX('Lease Cycles'!$CP$11:$CV$11,1,BU61))/12),IF(INDEX('Lease Cycles'!$EF$11:$EL$11,1,BU61)=1,IF(AND('Lease Cycles'!$AZ$11&gt;=INDEX('Lease Cycles'!$BG$11:$BM$11,1,BU61),'Lease Cycles'!$AZ$11&lt;=BU$6),'Lease Cycles'!$C$11*'Lease Cycles'!$BA$11/12,IF(AND('Lease Cycles'!$AX$11&gt;=INDEX('Lease Cycles'!$BG$11:$BM$11,1,BU61),'Lease Cycles'!$AX$11&lt;=BU$6),'Lease Cycles'!$C$11*'Lease Cycles'!$AY$11/12,IF(AND('Lease Cycles'!$AV$11&gt;=INDEX('Lease Cycles'!$BG$11:$BM$11,1,BU61),'Lease Cycles'!$AV$11&lt;=BU$6),'Lease Cycles'!$C$11*'Lease Cycles'!$AW$11/12,IF(AND('Lease Cycles'!$AT$11&gt;=INDEX('Lease Cycles'!$BG$11:$BM$11,1,BU61),'Lease Cycles'!$AT$11&lt;=BU$6),'Lease Cycles'!$C$11*'Lease Cycles'!$AU$11/12,'Lease Cycles'!$C$11*INDEX('Lease Cycles'!$CB$11:$CH$11,1,BU61)*(1+INDEX('Lease Cycles'!$CI$11:$CO$11,1,BU61))^INT(INT(BU62/12)/INDEX('Lease Cycles'!$CP$11:$CV$11,1,BU61))/12)))),'Lease Cycles'!$C$11*INDEX('Lease Cycles'!$CB$11:$CH$11,1,BU61)*(1+INDEX('Lease Cycles'!$CI$11:$CO$11,1,BU61))^INT(INT(BU62/12)/INDEX('Lease Cycles'!$CP$11:$CV$11,1,BU61))/12))),IF('Lease Cycles'!$N$11=1,'Lease Cycles'!$C$11*'Lease Cycles'!$E$11*INDEX('Lease Cycles'!$HE$11:$HK$11,1,BU61)*(1+INDEX('Lease Cycles'!$GQ$11:$GW$11,1,BU61))^INT(INT((BU$6-INDEX('Lease Cycles'!$GJ$11:$GP$11,1,BU61))/12)/INDEX('Lease Cycles'!$GX$11:$HD$11,1,BU61))/12,0)))</f>
        <v>5625</v>
      </c>
      <c r="BV64" s="28">
        <f>IF(BV61=0,IF('Lease Cycles'!$F$11&gt;0,'Lease Cycles'!$C$11*'Lease Cycles'!$E$11/12,0),IF(BV63=1,IF('Lease Cycles'!$AT$11&gt;=9999,'Lease Cycles'!$C$11*INDEX('Lease Cycles'!$CB$11:$CH$11,1,BV61)*(1+INDEX('Lease Cycles'!$CI$11:$CO$11,1,BV61))^INT(INT(BV62/12)/INDEX('Lease Cycles'!$CP$11:$CV$11,1,BV61))/12,IF(BV61=1,IF(BV62&gt;=INDEX('Lease Cycles'!$DK$11:$DQ$11,1,BV61),IF(BV$6&gt;='Lease Cycles'!$AZ$11,'Lease Cycles'!$C$11*'Lease Cycles'!$BA$11/12,IF(BV$6&gt;='Lease Cycles'!$AX$11,'Lease Cycles'!$C$11*'Lease Cycles'!$AY$11/12,IF(BV$6&gt;='Lease Cycles'!$AV$11,'Lease Cycles'!$C$11*'Lease Cycles'!$AW$11/12,IF(BV$6&gt;='Lease Cycles'!$AT$11,'Lease Cycles'!$C$11*'Lease Cycles'!$AU$11/12,'Lease Cycles'!$C$11*INDEX('Lease Cycles'!$CB$11:$CH$11,1,BV61)*(1+INDEX('Lease Cycles'!$CI$11:$CO$11,1,BV61))^INT(INT(BV62/12)/INDEX('Lease Cycles'!$CP$11:$CV$11,1,BV61))/12)))),'Lease Cycles'!$C$11*INDEX('Lease Cycles'!$CB$11:$CH$11,1,BV61)*(1+INDEX('Lease Cycles'!$CI$11:$CO$11,1,BV61))^INT(INT(BV62/12)/INDEX('Lease Cycles'!$CP$11:$CV$11,1,BV61))/12),IF(INDEX('Lease Cycles'!$EF$11:$EL$11,1,BV61)=1,IF(AND('Lease Cycles'!$AZ$11&gt;=INDEX('Lease Cycles'!$BG$11:$BM$11,1,BV61),'Lease Cycles'!$AZ$11&lt;=BV$6),'Lease Cycles'!$C$11*'Lease Cycles'!$BA$11/12,IF(AND('Lease Cycles'!$AX$11&gt;=INDEX('Lease Cycles'!$BG$11:$BM$11,1,BV61),'Lease Cycles'!$AX$11&lt;=BV$6),'Lease Cycles'!$C$11*'Lease Cycles'!$AY$11/12,IF(AND('Lease Cycles'!$AV$11&gt;=INDEX('Lease Cycles'!$BG$11:$BM$11,1,BV61),'Lease Cycles'!$AV$11&lt;=BV$6),'Lease Cycles'!$C$11*'Lease Cycles'!$AW$11/12,IF(AND('Lease Cycles'!$AT$11&gt;=INDEX('Lease Cycles'!$BG$11:$BM$11,1,BV61),'Lease Cycles'!$AT$11&lt;=BV$6),'Lease Cycles'!$C$11*'Lease Cycles'!$AU$11/12,'Lease Cycles'!$C$11*INDEX('Lease Cycles'!$CB$11:$CH$11,1,BV61)*(1+INDEX('Lease Cycles'!$CI$11:$CO$11,1,BV61))^INT(INT(BV62/12)/INDEX('Lease Cycles'!$CP$11:$CV$11,1,BV61))/12)))),'Lease Cycles'!$C$11*INDEX('Lease Cycles'!$CB$11:$CH$11,1,BV61)*(1+INDEX('Lease Cycles'!$CI$11:$CO$11,1,BV61))^INT(INT(BV62/12)/INDEX('Lease Cycles'!$CP$11:$CV$11,1,BV61))/12))),IF('Lease Cycles'!$N$11=1,'Lease Cycles'!$C$11*'Lease Cycles'!$E$11*INDEX('Lease Cycles'!$HE$11:$HK$11,1,BV61)*(1+INDEX('Lease Cycles'!$GQ$11:$GW$11,1,BV61))^INT(INT((BV$6-INDEX('Lease Cycles'!$GJ$11:$GP$11,1,BV61))/12)/INDEX('Lease Cycles'!$GX$11:$HD$11,1,BV61))/12,0)))</f>
        <v>5625</v>
      </c>
      <c r="BW64" s="28">
        <f>IF(BW61=0,IF('Lease Cycles'!$F$11&gt;0,'Lease Cycles'!$C$11*'Lease Cycles'!$E$11/12,0),IF(BW63=1,IF('Lease Cycles'!$AT$11&gt;=9999,'Lease Cycles'!$C$11*INDEX('Lease Cycles'!$CB$11:$CH$11,1,BW61)*(1+INDEX('Lease Cycles'!$CI$11:$CO$11,1,BW61))^INT(INT(BW62/12)/INDEX('Lease Cycles'!$CP$11:$CV$11,1,BW61))/12,IF(BW61=1,IF(BW62&gt;=INDEX('Lease Cycles'!$DK$11:$DQ$11,1,BW61),IF(BW$6&gt;='Lease Cycles'!$AZ$11,'Lease Cycles'!$C$11*'Lease Cycles'!$BA$11/12,IF(BW$6&gt;='Lease Cycles'!$AX$11,'Lease Cycles'!$C$11*'Lease Cycles'!$AY$11/12,IF(BW$6&gt;='Lease Cycles'!$AV$11,'Lease Cycles'!$C$11*'Lease Cycles'!$AW$11/12,IF(BW$6&gt;='Lease Cycles'!$AT$11,'Lease Cycles'!$C$11*'Lease Cycles'!$AU$11/12,'Lease Cycles'!$C$11*INDEX('Lease Cycles'!$CB$11:$CH$11,1,BW61)*(1+INDEX('Lease Cycles'!$CI$11:$CO$11,1,BW61))^INT(INT(BW62/12)/INDEX('Lease Cycles'!$CP$11:$CV$11,1,BW61))/12)))),'Lease Cycles'!$C$11*INDEX('Lease Cycles'!$CB$11:$CH$11,1,BW61)*(1+INDEX('Lease Cycles'!$CI$11:$CO$11,1,BW61))^INT(INT(BW62/12)/INDEX('Lease Cycles'!$CP$11:$CV$11,1,BW61))/12),IF(INDEX('Lease Cycles'!$EF$11:$EL$11,1,BW61)=1,IF(AND('Lease Cycles'!$AZ$11&gt;=INDEX('Lease Cycles'!$BG$11:$BM$11,1,BW61),'Lease Cycles'!$AZ$11&lt;=BW$6),'Lease Cycles'!$C$11*'Lease Cycles'!$BA$11/12,IF(AND('Lease Cycles'!$AX$11&gt;=INDEX('Lease Cycles'!$BG$11:$BM$11,1,BW61),'Lease Cycles'!$AX$11&lt;=BW$6),'Lease Cycles'!$C$11*'Lease Cycles'!$AY$11/12,IF(AND('Lease Cycles'!$AV$11&gt;=INDEX('Lease Cycles'!$BG$11:$BM$11,1,BW61),'Lease Cycles'!$AV$11&lt;=BW$6),'Lease Cycles'!$C$11*'Lease Cycles'!$AW$11/12,IF(AND('Lease Cycles'!$AT$11&gt;=INDEX('Lease Cycles'!$BG$11:$BM$11,1,BW61),'Lease Cycles'!$AT$11&lt;=BW$6),'Lease Cycles'!$C$11*'Lease Cycles'!$AU$11/12,'Lease Cycles'!$C$11*INDEX('Lease Cycles'!$CB$11:$CH$11,1,BW61)*(1+INDEX('Lease Cycles'!$CI$11:$CO$11,1,BW61))^INT(INT(BW62/12)/INDEX('Lease Cycles'!$CP$11:$CV$11,1,BW61))/12)))),'Lease Cycles'!$C$11*INDEX('Lease Cycles'!$CB$11:$CH$11,1,BW61)*(1+INDEX('Lease Cycles'!$CI$11:$CO$11,1,BW61))^INT(INT(BW62/12)/INDEX('Lease Cycles'!$CP$11:$CV$11,1,BW61))/12))),IF('Lease Cycles'!$N$11=1,'Lease Cycles'!$C$11*'Lease Cycles'!$E$11*INDEX('Lease Cycles'!$HE$11:$HK$11,1,BW61)*(1+INDEX('Lease Cycles'!$GQ$11:$GW$11,1,BW61))^INT(INT((BW$6-INDEX('Lease Cycles'!$GJ$11:$GP$11,1,BW61))/12)/INDEX('Lease Cycles'!$GX$11:$HD$11,1,BW61))/12,0)))</f>
        <v>5625</v>
      </c>
      <c r="BX64" s="28">
        <f>IF(BX61=0,IF('Lease Cycles'!$F$11&gt;0,'Lease Cycles'!$C$11*'Lease Cycles'!$E$11/12,0),IF(BX63=1,IF('Lease Cycles'!$AT$11&gt;=9999,'Lease Cycles'!$C$11*INDEX('Lease Cycles'!$CB$11:$CH$11,1,BX61)*(1+INDEX('Lease Cycles'!$CI$11:$CO$11,1,BX61))^INT(INT(BX62/12)/INDEX('Lease Cycles'!$CP$11:$CV$11,1,BX61))/12,IF(BX61=1,IF(BX62&gt;=INDEX('Lease Cycles'!$DK$11:$DQ$11,1,BX61),IF(BX$6&gt;='Lease Cycles'!$AZ$11,'Lease Cycles'!$C$11*'Lease Cycles'!$BA$11/12,IF(BX$6&gt;='Lease Cycles'!$AX$11,'Lease Cycles'!$C$11*'Lease Cycles'!$AY$11/12,IF(BX$6&gt;='Lease Cycles'!$AV$11,'Lease Cycles'!$C$11*'Lease Cycles'!$AW$11/12,IF(BX$6&gt;='Lease Cycles'!$AT$11,'Lease Cycles'!$C$11*'Lease Cycles'!$AU$11/12,'Lease Cycles'!$C$11*INDEX('Lease Cycles'!$CB$11:$CH$11,1,BX61)*(1+INDEX('Lease Cycles'!$CI$11:$CO$11,1,BX61))^INT(INT(BX62/12)/INDEX('Lease Cycles'!$CP$11:$CV$11,1,BX61))/12)))),'Lease Cycles'!$C$11*INDEX('Lease Cycles'!$CB$11:$CH$11,1,BX61)*(1+INDEX('Lease Cycles'!$CI$11:$CO$11,1,BX61))^INT(INT(BX62/12)/INDEX('Lease Cycles'!$CP$11:$CV$11,1,BX61))/12),IF(INDEX('Lease Cycles'!$EF$11:$EL$11,1,BX61)=1,IF(AND('Lease Cycles'!$AZ$11&gt;=INDEX('Lease Cycles'!$BG$11:$BM$11,1,BX61),'Lease Cycles'!$AZ$11&lt;=BX$6),'Lease Cycles'!$C$11*'Lease Cycles'!$BA$11/12,IF(AND('Lease Cycles'!$AX$11&gt;=INDEX('Lease Cycles'!$BG$11:$BM$11,1,BX61),'Lease Cycles'!$AX$11&lt;=BX$6),'Lease Cycles'!$C$11*'Lease Cycles'!$AY$11/12,IF(AND('Lease Cycles'!$AV$11&gt;=INDEX('Lease Cycles'!$BG$11:$BM$11,1,BX61),'Lease Cycles'!$AV$11&lt;=BX$6),'Lease Cycles'!$C$11*'Lease Cycles'!$AW$11/12,IF(AND('Lease Cycles'!$AT$11&gt;=INDEX('Lease Cycles'!$BG$11:$BM$11,1,BX61),'Lease Cycles'!$AT$11&lt;=BX$6),'Lease Cycles'!$C$11*'Lease Cycles'!$AU$11/12,'Lease Cycles'!$C$11*INDEX('Lease Cycles'!$CB$11:$CH$11,1,BX61)*(1+INDEX('Lease Cycles'!$CI$11:$CO$11,1,BX61))^INT(INT(BX62/12)/INDEX('Lease Cycles'!$CP$11:$CV$11,1,BX61))/12)))),'Lease Cycles'!$C$11*INDEX('Lease Cycles'!$CB$11:$CH$11,1,BX61)*(1+INDEX('Lease Cycles'!$CI$11:$CO$11,1,BX61))^INT(INT(BX62/12)/INDEX('Lease Cycles'!$CP$11:$CV$11,1,BX61))/12))),IF('Lease Cycles'!$N$11=1,'Lease Cycles'!$C$11*'Lease Cycles'!$E$11*INDEX('Lease Cycles'!$HE$11:$HK$11,1,BX61)*(1+INDEX('Lease Cycles'!$GQ$11:$GW$11,1,BX61))^INT(INT((BX$6-INDEX('Lease Cycles'!$GJ$11:$GP$11,1,BX61))/12)/INDEX('Lease Cycles'!$GX$11:$HD$11,1,BX61))/12,0)))</f>
        <v>5625</v>
      </c>
      <c r="BY64" s="28">
        <f>IF(BY61=0,IF('Lease Cycles'!$F$11&gt;0,'Lease Cycles'!$C$11*'Lease Cycles'!$E$11/12,0),IF(BY63=1,IF('Lease Cycles'!$AT$11&gt;=9999,'Lease Cycles'!$C$11*INDEX('Lease Cycles'!$CB$11:$CH$11,1,BY61)*(1+INDEX('Lease Cycles'!$CI$11:$CO$11,1,BY61))^INT(INT(BY62/12)/INDEX('Lease Cycles'!$CP$11:$CV$11,1,BY61))/12,IF(BY61=1,IF(BY62&gt;=INDEX('Lease Cycles'!$DK$11:$DQ$11,1,BY61),IF(BY$6&gt;='Lease Cycles'!$AZ$11,'Lease Cycles'!$C$11*'Lease Cycles'!$BA$11/12,IF(BY$6&gt;='Lease Cycles'!$AX$11,'Lease Cycles'!$C$11*'Lease Cycles'!$AY$11/12,IF(BY$6&gt;='Lease Cycles'!$AV$11,'Lease Cycles'!$C$11*'Lease Cycles'!$AW$11/12,IF(BY$6&gt;='Lease Cycles'!$AT$11,'Lease Cycles'!$C$11*'Lease Cycles'!$AU$11/12,'Lease Cycles'!$C$11*INDEX('Lease Cycles'!$CB$11:$CH$11,1,BY61)*(1+INDEX('Lease Cycles'!$CI$11:$CO$11,1,BY61))^INT(INT(BY62/12)/INDEX('Lease Cycles'!$CP$11:$CV$11,1,BY61))/12)))),'Lease Cycles'!$C$11*INDEX('Lease Cycles'!$CB$11:$CH$11,1,BY61)*(1+INDEX('Lease Cycles'!$CI$11:$CO$11,1,BY61))^INT(INT(BY62/12)/INDEX('Lease Cycles'!$CP$11:$CV$11,1,BY61))/12),IF(INDEX('Lease Cycles'!$EF$11:$EL$11,1,BY61)=1,IF(AND('Lease Cycles'!$AZ$11&gt;=INDEX('Lease Cycles'!$BG$11:$BM$11,1,BY61),'Lease Cycles'!$AZ$11&lt;=BY$6),'Lease Cycles'!$C$11*'Lease Cycles'!$BA$11/12,IF(AND('Lease Cycles'!$AX$11&gt;=INDEX('Lease Cycles'!$BG$11:$BM$11,1,BY61),'Lease Cycles'!$AX$11&lt;=BY$6),'Lease Cycles'!$C$11*'Lease Cycles'!$AY$11/12,IF(AND('Lease Cycles'!$AV$11&gt;=INDEX('Lease Cycles'!$BG$11:$BM$11,1,BY61),'Lease Cycles'!$AV$11&lt;=BY$6),'Lease Cycles'!$C$11*'Lease Cycles'!$AW$11/12,IF(AND('Lease Cycles'!$AT$11&gt;=INDEX('Lease Cycles'!$BG$11:$BM$11,1,BY61),'Lease Cycles'!$AT$11&lt;=BY$6),'Lease Cycles'!$C$11*'Lease Cycles'!$AU$11/12,'Lease Cycles'!$C$11*INDEX('Lease Cycles'!$CB$11:$CH$11,1,BY61)*(1+INDEX('Lease Cycles'!$CI$11:$CO$11,1,BY61))^INT(INT(BY62/12)/INDEX('Lease Cycles'!$CP$11:$CV$11,1,BY61))/12)))),'Lease Cycles'!$C$11*INDEX('Lease Cycles'!$CB$11:$CH$11,1,BY61)*(1+INDEX('Lease Cycles'!$CI$11:$CO$11,1,BY61))^INT(INT(BY62/12)/INDEX('Lease Cycles'!$CP$11:$CV$11,1,BY61))/12))),IF('Lease Cycles'!$N$11=1,'Lease Cycles'!$C$11*'Lease Cycles'!$E$11*INDEX('Lease Cycles'!$HE$11:$HK$11,1,BY61)*(1+INDEX('Lease Cycles'!$GQ$11:$GW$11,1,BY61))^INT(INT((BY$6-INDEX('Lease Cycles'!$GJ$11:$GP$11,1,BY61))/12)/INDEX('Lease Cycles'!$GX$11:$HD$11,1,BY61))/12,0)))</f>
        <v>5625</v>
      </c>
      <c r="BZ64" s="28">
        <f>IF(BZ61=0,IF('Lease Cycles'!$F$11&gt;0,'Lease Cycles'!$C$11*'Lease Cycles'!$E$11/12,0),IF(BZ63=1,IF('Lease Cycles'!$AT$11&gt;=9999,'Lease Cycles'!$C$11*INDEX('Lease Cycles'!$CB$11:$CH$11,1,BZ61)*(1+INDEX('Lease Cycles'!$CI$11:$CO$11,1,BZ61))^INT(INT(BZ62/12)/INDEX('Lease Cycles'!$CP$11:$CV$11,1,BZ61))/12,IF(BZ61=1,IF(BZ62&gt;=INDEX('Lease Cycles'!$DK$11:$DQ$11,1,BZ61),IF(BZ$6&gt;='Lease Cycles'!$AZ$11,'Lease Cycles'!$C$11*'Lease Cycles'!$BA$11/12,IF(BZ$6&gt;='Lease Cycles'!$AX$11,'Lease Cycles'!$C$11*'Lease Cycles'!$AY$11/12,IF(BZ$6&gt;='Lease Cycles'!$AV$11,'Lease Cycles'!$C$11*'Lease Cycles'!$AW$11/12,IF(BZ$6&gt;='Lease Cycles'!$AT$11,'Lease Cycles'!$C$11*'Lease Cycles'!$AU$11/12,'Lease Cycles'!$C$11*INDEX('Lease Cycles'!$CB$11:$CH$11,1,BZ61)*(1+INDEX('Lease Cycles'!$CI$11:$CO$11,1,BZ61))^INT(INT(BZ62/12)/INDEX('Lease Cycles'!$CP$11:$CV$11,1,BZ61))/12)))),'Lease Cycles'!$C$11*INDEX('Lease Cycles'!$CB$11:$CH$11,1,BZ61)*(1+INDEX('Lease Cycles'!$CI$11:$CO$11,1,BZ61))^INT(INT(BZ62/12)/INDEX('Lease Cycles'!$CP$11:$CV$11,1,BZ61))/12),IF(INDEX('Lease Cycles'!$EF$11:$EL$11,1,BZ61)=1,IF(AND('Lease Cycles'!$AZ$11&gt;=INDEX('Lease Cycles'!$BG$11:$BM$11,1,BZ61),'Lease Cycles'!$AZ$11&lt;=BZ$6),'Lease Cycles'!$C$11*'Lease Cycles'!$BA$11/12,IF(AND('Lease Cycles'!$AX$11&gt;=INDEX('Lease Cycles'!$BG$11:$BM$11,1,BZ61),'Lease Cycles'!$AX$11&lt;=BZ$6),'Lease Cycles'!$C$11*'Lease Cycles'!$AY$11/12,IF(AND('Lease Cycles'!$AV$11&gt;=INDEX('Lease Cycles'!$BG$11:$BM$11,1,BZ61),'Lease Cycles'!$AV$11&lt;=BZ$6),'Lease Cycles'!$C$11*'Lease Cycles'!$AW$11/12,IF(AND('Lease Cycles'!$AT$11&gt;=INDEX('Lease Cycles'!$BG$11:$BM$11,1,BZ61),'Lease Cycles'!$AT$11&lt;=BZ$6),'Lease Cycles'!$C$11*'Lease Cycles'!$AU$11/12,'Lease Cycles'!$C$11*INDEX('Lease Cycles'!$CB$11:$CH$11,1,BZ61)*(1+INDEX('Lease Cycles'!$CI$11:$CO$11,1,BZ61))^INT(INT(BZ62/12)/INDEX('Lease Cycles'!$CP$11:$CV$11,1,BZ61))/12)))),'Lease Cycles'!$C$11*INDEX('Lease Cycles'!$CB$11:$CH$11,1,BZ61)*(1+INDEX('Lease Cycles'!$CI$11:$CO$11,1,BZ61))^INT(INT(BZ62/12)/INDEX('Lease Cycles'!$CP$11:$CV$11,1,BZ61))/12))),IF('Lease Cycles'!$N$11=1,'Lease Cycles'!$C$11*'Lease Cycles'!$E$11*INDEX('Lease Cycles'!$HE$11:$HK$11,1,BZ61)*(1+INDEX('Lease Cycles'!$GQ$11:$GW$11,1,BZ61))^INT(INT((BZ$6-INDEX('Lease Cycles'!$GJ$11:$GP$11,1,BZ61))/12)/INDEX('Lease Cycles'!$GX$11:$HD$11,1,BZ61))/12,0)))</f>
        <v>5625</v>
      </c>
      <c r="CA64" s="28">
        <f>IF(CA61=0,IF('Lease Cycles'!$F$11&gt;0,'Lease Cycles'!$C$11*'Lease Cycles'!$E$11/12,0),IF(CA63=1,IF('Lease Cycles'!$AT$11&gt;=9999,'Lease Cycles'!$C$11*INDEX('Lease Cycles'!$CB$11:$CH$11,1,CA61)*(1+INDEX('Lease Cycles'!$CI$11:$CO$11,1,CA61))^INT(INT(CA62/12)/INDEX('Lease Cycles'!$CP$11:$CV$11,1,CA61))/12,IF(CA61=1,IF(CA62&gt;=INDEX('Lease Cycles'!$DK$11:$DQ$11,1,CA61),IF(CA$6&gt;='Lease Cycles'!$AZ$11,'Lease Cycles'!$C$11*'Lease Cycles'!$BA$11/12,IF(CA$6&gt;='Lease Cycles'!$AX$11,'Lease Cycles'!$C$11*'Lease Cycles'!$AY$11/12,IF(CA$6&gt;='Lease Cycles'!$AV$11,'Lease Cycles'!$C$11*'Lease Cycles'!$AW$11/12,IF(CA$6&gt;='Lease Cycles'!$AT$11,'Lease Cycles'!$C$11*'Lease Cycles'!$AU$11/12,'Lease Cycles'!$C$11*INDEX('Lease Cycles'!$CB$11:$CH$11,1,CA61)*(1+INDEX('Lease Cycles'!$CI$11:$CO$11,1,CA61))^INT(INT(CA62/12)/INDEX('Lease Cycles'!$CP$11:$CV$11,1,CA61))/12)))),'Lease Cycles'!$C$11*INDEX('Lease Cycles'!$CB$11:$CH$11,1,CA61)*(1+INDEX('Lease Cycles'!$CI$11:$CO$11,1,CA61))^INT(INT(CA62/12)/INDEX('Lease Cycles'!$CP$11:$CV$11,1,CA61))/12),IF(INDEX('Lease Cycles'!$EF$11:$EL$11,1,CA61)=1,IF(AND('Lease Cycles'!$AZ$11&gt;=INDEX('Lease Cycles'!$BG$11:$BM$11,1,CA61),'Lease Cycles'!$AZ$11&lt;=CA$6),'Lease Cycles'!$C$11*'Lease Cycles'!$BA$11/12,IF(AND('Lease Cycles'!$AX$11&gt;=INDEX('Lease Cycles'!$BG$11:$BM$11,1,CA61),'Lease Cycles'!$AX$11&lt;=CA$6),'Lease Cycles'!$C$11*'Lease Cycles'!$AY$11/12,IF(AND('Lease Cycles'!$AV$11&gt;=INDEX('Lease Cycles'!$BG$11:$BM$11,1,CA61),'Lease Cycles'!$AV$11&lt;=CA$6),'Lease Cycles'!$C$11*'Lease Cycles'!$AW$11/12,IF(AND('Lease Cycles'!$AT$11&gt;=INDEX('Lease Cycles'!$BG$11:$BM$11,1,CA61),'Lease Cycles'!$AT$11&lt;=CA$6),'Lease Cycles'!$C$11*'Lease Cycles'!$AU$11/12,'Lease Cycles'!$C$11*INDEX('Lease Cycles'!$CB$11:$CH$11,1,CA61)*(1+INDEX('Lease Cycles'!$CI$11:$CO$11,1,CA61))^INT(INT(CA62/12)/INDEX('Lease Cycles'!$CP$11:$CV$11,1,CA61))/12)))),'Lease Cycles'!$C$11*INDEX('Lease Cycles'!$CB$11:$CH$11,1,CA61)*(1+INDEX('Lease Cycles'!$CI$11:$CO$11,1,CA61))^INT(INT(CA62/12)/INDEX('Lease Cycles'!$CP$11:$CV$11,1,CA61))/12))),IF('Lease Cycles'!$N$11=1,'Lease Cycles'!$C$11*'Lease Cycles'!$E$11*INDEX('Lease Cycles'!$HE$11:$HK$11,1,CA61)*(1+INDEX('Lease Cycles'!$GQ$11:$GW$11,1,CA61))^INT(INT((CA$6-INDEX('Lease Cycles'!$GJ$11:$GP$11,1,CA61))/12)/INDEX('Lease Cycles'!$GX$11:$HD$11,1,CA61))/12,0)))</f>
        <v>5625</v>
      </c>
      <c r="CB64" s="28">
        <f>IF(CB61=0,IF('Lease Cycles'!$F$11&gt;0,'Lease Cycles'!$C$11*'Lease Cycles'!$E$11/12,0),IF(CB63=1,IF('Lease Cycles'!$AT$11&gt;=9999,'Lease Cycles'!$C$11*INDEX('Lease Cycles'!$CB$11:$CH$11,1,CB61)*(1+INDEX('Lease Cycles'!$CI$11:$CO$11,1,CB61))^INT(INT(CB62/12)/INDEX('Lease Cycles'!$CP$11:$CV$11,1,CB61))/12,IF(CB61=1,IF(CB62&gt;=INDEX('Lease Cycles'!$DK$11:$DQ$11,1,CB61),IF(CB$6&gt;='Lease Cycles'!$AZ$11,'Lease Cycles'!$C$11*'Lease Cycles'!$BA$11/12,IF(CB$6&gt;='Lease Cycles'!$AX$11,'Lease Cycles'!$C$11*'Lease Cycles'!$AY$11/12,IF(CB$6&gt;='Lease Cycles'!$AV$11,'Lease Cycles'!$C$11*'Lease Cycles'!$AW$11/12,IF(CB$6&gt;='Lease Cycles'!$AT$11,'Lease Cycles'!$C$11*'Lease Cycles'!$AU$11/12,'Lease Cycles'!$C$11*INDEX('Lease Cycles'!$CB$11:$CH$11,1,CB61)*(1+INDEX('Lease Cycles'!$CI$11:$CO$11,1,CB61))^INT(INT(CB62/12)/INDEX('Lease Cycles'!$CP$11:$CV$11,1,CB61))/12)))),'Lease Cycles'!$C$11*INDEX('Lease Cycles'!$CB$11:$CH$11,1,CB61)*(1+INDEX('Lease Cycles'!$CI$11:$CO$11,1,CB61))^INT(INT(CB62/12)/INDEX('Lease Cycles'!$CP$11:$CV$11,1,CB61))/12),IF(INDEX('Lease Cycles'!$EF$11:$EL$11,1,CB61)=1,IF(AND('Lease Cycles'!$AZ$11&gt;=INDEX('Lease Cycles'!$BG$11:$BM$11,1,CB61),'Lease Cycles'!$AZ$11&lt;=CB$6),'Lease Cycles'!$C$11*'Lease Cycles'!$BA$11/12,IF(AND('Lease Cycles'!$AX$11&gt;=INDEX('Lease Cycles'!$BG$11:$BM$11,1,CB61),'Lease Cycles'!$AX$11&lt;=CB$6),'Lease Cycles'!$C$11*'Lease Cycles'!$AY$11/12,IF(AND('Lease Cycles'!$AV$11&gt;=INDEX('Lease Cycles'!$BG$11:$BM$11,1,CB61),'Lease Cycles'!$AV$11&lt;=CB$6),'Lease Cycles'!$C$11*'Lease Cycles'!$AW$11/12,IF(AND('Lease Cycles'!$AT$11&gt;=INDEX('Lease Cycles'!$BG$11:$BM$11,1,CB61),'Lease Cycles'!$AT$11&lt;=CB$6),'Lease Cycles'!$C$11*'Lease Cycles'!$AU$11/12,'Lease Cycles'!$C$11*INDEX('Lease Cycles'!$CB$11:$CH$11,1,CB61)*(1+INDEX('Lease Cycles'!$CI$11:$CO$11,1,CB61))^INT(INT(CB62/12)/INDEX('Lease Cycles'!$CP$11:$CV$11,1,CB61))/12)))),'Lease Cycles'!$C$11*INDEX('Lease Cycles'!$CB$11:$CH$11,1,CB61)*(1+INDEX('Lease Cycles'!$CI$11:$CO$11,1,CB61))^INT(INT(CB62/12)/INDEX('Lease Cycles'!$CP$11:$CV$11,1,CB61))/12))),IF('Lease Cycles'!$N$11=1,'Lease Cycles'!$C$11*'Lease Cycles'!$E$11*INDEX('Lease Cycles'!$HE$11:$HK$11,1,CB61)*(1+INDEX('Lease Cycles'!$GQ$11:$GW$11,1,CB61))^INT(INT((CB$6-INDEX('Lease Cycles'!$GJ$11:$GP$11,1,CB61))/12)/INDEX('Lease Cycles'!$GX$11:$HD$11,1,CB61))/12,0)))</f>
        <v>5625</v>
      </c>
      <c r="CC64" s="28">
        <f>IF(CC61=0,IF('Lease Cycles'!$F$11&gt;0,'Lease Cycles'!$C$11*'Lease Cycles'!$E$11/12,0),IF(CC63=1,IF('Lease Cycles'!$AT$11&gt;=9999,'Lease Cycles'!$C$11*INDEX('Lease Cycles'!$CB$11:$CH$11,1,CC61)*(1+INDEX('Lease Cycles'!$CI$11:$CO$11,1,CC61))^INT(INT(CC62/12)/INDEX('Lease Cycles'!$CP$11:$CV$11,1,CC61))/12,IF(CC61=1,IF(CC62&gt;=INDEX('Lease Cycles'!$DK$11:$DQ$11,1,CC61),IF(CC$6&gt;='Lease Cycles'!$AZ$11,'Lease Cycles'!$C$11*'Lease Cycles'!$BA$11/12,IF(CC$6&gt;='Lease Cycles'!$AX$11,'Lease Cycles'!$C$11*'Lease Cycles'!$AY$11/12,IF(CC$6&gt;='Lease Cycles'!$AV$11,'Lease Cycles'!$C$11*'Lease Cycles'!$AW$11/12,IF(CC$6&gt;='Lease Cycles'!$AT$11,'Lease Cycles'!$C$11*'Lease Cycles'!$AU$11/12,'Lease Cycles'!$C$11*INDEX('Lease Cycles'!$CB$11:$CH$11,1,CC61)*(1+INDEX('Lease Cycles'!$CI$11:$CO$11,1,CC61))^INT(INT(CC62/12)/INDEX('Lease Cycles'!$CP$11:$CV$11,1,CC61))/12)))),'Lease Cycles'!$C$11*INDEX('Lease Cycles'!$CB$11:$CH$11,1,CC61)*(1+INDEX('Lease Cycles'!$CI$11:$CO$11,1,CC61))^INT(INT(CC62/12)/INDEX('Lease Cycles'!$CP$11:$CV$11,1,CC61))/12),IF(INDEX('Lease Cycles'!$EF$11:$EL$11,1,CC61)=1,IF(AND('Lease Cycles'!$AZ$11&gt;=INDEX('Lease Cycles'!$BG$11:$BM$11,1,CC61),'Lease Cycles'!$AZ$11&lt;=CC$6),'Lease Cycles'!$C$11*'Lease Cycles'!$BA$11/12,IF(AND('Lease Cycles'!$AX$11&gt;=INDEX('Lease Cycles'!$BG$11:$BM$11,1,CC61),'Lease Cycles'!$AX$11&lt;=CC$6),'Lease Cycles'!$C$11*'Lease Cycles'!$AY$11/12,IF(AND('Lease Cycles'!$AV$11&gt;=INDEX('Lease Cycles'!$BG$11:$BM$11,1,CC61),'Lease Cycles'!$AV$11&lt;=CC$6),'Lease Cycles'!$C$11*'Lease Cycles'!$AW$11/12,IF(AND('Lease Cycles'!$AT$11&gt;=INDEX('Lease Cycles'!$BG$11:$BM$11,1,CC61),'Lease Cycles'!$AT$11&lt;=CC$6),'Lease Cycles'!$C$11*'Lease Cycles'!$AU$11/12,'Lease Cycles'!$C$11*INDEX('Lease Cycles'!$CB$11:$CH$11,1,CC61)*(1+INDEX('Lease Cycles'!$CI$11:$CO$11,1,CC61))^INT(INT(CC62/12)/INDEX('Lease Cycles'!$CP$11:$CV$11,1,CC61))/12)))),'Lease Cycles'!$C$11*INDEX('Lease Cycles'!$CB$11:$CH$11,1,CC61)*(1+INDEX('Lease Cycles'!$CI$11:$CO$11,1,CC61))^INT(INT(CC62/12)/INDEX('Lease Cycles'!$CP$11:$CV$11,1,CC61))/12))),IF('Lease Cycles'!$N$11=1,'Lease Cycles'!$C$11*'Lease Cycles'!$E$11*INDEX('Lease Cycles'!$HE$11:$HK$11,1,CC61)*(1+INDEX('Lease Cycles'!$GQ$11:$GW$11,1,CC61))^INT(INT((CC$6-INDEX('Lease Cycles'!$GJ$11:$GP$11,1,CC61))/12)/INDEX('Lease Cycles'!$GX$11:$HD$11,1,CC61))/12,0)))</f>
        <v>6553.121010657377</v>
      </c>
      <c r="CD64" s="28">
        <f>IF(CD61=0,IF('Lease Cycles'!$F$11&gt;0,'Lease Cycles'!$C$11*'Lease Cycles'!$E$11/12,0),IF(CD63=1,IF('Lease Cycles'!$AT$11&gt;=9999,'Lease Cycles'!$C$11*INDEX('Lease Cycles'!$CB$11:$CH$11,1,CD61)*(1+INDEX('Lease Cycles'!$CI$11:$CO$11,1,CD61))^INT(INT(CD62/12)/INDEX('Lease Cycles'!$CP$11:$CV$11,1,CD61))/12,IF(CD61=1,IF(CD62&gt;=INDEX('Lease Cycles'!$DK$11:$DQ$11,1,CD61),IF(CD$6&gt;='Lease Cycles'!$AZ$11,'Lease Cycles'!$C$11*'Lease Cycles'!$BA$11/12,IF(CD$6&gt;='Lease Cycles'!$AX$11,'Lease Cycles'!$C$11*'Lease Cycles'!$AY$11/12,IF(CD$6&gt;='Lease Cycles'!$AV$11,'Lease Cycles'!$C$11*'Lease Cycles'!$AW$11/12,IF(CD$6&gt;='Lease Cycles'!$AT$11,'Lease Cycles'!$C$11*'Lease Cycles'!$AU$11/12,'Lease Cycles'!$C$11*INDEX('Lease Cycles'!$CB$11:$CH$11,1,CD61)*(1+INDEX('Lease Cycles'!$CI$11:$CO$11,1,CD61))^INT(INT(CD62/12)/INDEX('Lease Cycles'!$CP$11:$CV$11,1,CD61))/12)))),'Lease Cycles'!$C$11*INDEX('Lease Cycles'!$CB$11:$CH$11,1,CD61)*(1+INDEX('Lease Cycles'!$CI$11:$CO$11,1,CD61))^INT(INT(CD62/12)/INDEX('Lease Cycles'!$CP$11:$CV$11,1,CD61))/12),IF(INDEX('Lease Cycles'!$EF$11:$EL$11,1,CD61)=1,IF(AND('Lease Cycles'!$AZ$11&gt;=INDEX('Lease Cycles'!$BG$11:$BM$11,1,CD61),'Lease Cycles'!$AZ$11&lt;=CD$6),'Lease Cycles'!$C$11*'Lease Cycles'!$BA$11/12,IF(AND('Lease Cycles'!$AX$11&gt;=INDEX('Lease Cycles'!$BG$11:$BM$11,1,CD61),'Lease Cycles'!$AX$11&lt;=CD$6),'Lease Cycles'!$C$11*'Lease Cycles'!$AY$11/12,IF(AND('Lease Cycles'!$AV$11&gt;=INDEX('Lease Cycles'!$BG$11:$BM$11,1,CD61),'Lease Cycles'!$AV$11&lt;=CD$6),'Lease Cycles'!$C$11*'Lease Cycles'!$AW$11/12,IF(AND('Lease Cycles'!$AT$11&gt;=INDEX('Lease Cycles'!$BG$11:$BM$11,1,CD61),'Lease Cycles'!$AT$11&lt;=CD$6),'Lease Cycles'!$C$11*'Lease Cycles'!$AU$11/12,'Lease Cycles'!$C$11*INDEX('Lease Cycles'!$CB$11:$CH$11,1,CD61)*(1+INDEX('Lease Cycles'!$CI$11:$CO$11,1,CD61))^INT(INT(CD62/12)/INDEX('Lease Cycles'!$CP$11:$CV$11,1,CD61))/12)))),'Lease Cycles'!$C$11*INDEX('Lease Cycles'!$CB$11:$CH$11,1,CD61)*(1+INDEX('Lease Cycles'!$CI$11:$CO$11,1,CD61))^INT(INT(CD62/12)/INDEX('Lease Cycles'!$CP$11:$CV$11,1,CD61))/12))),IF('Lease Cycles'!$N$11=1,'Lease Cycles'!$C$11*'Lease Cycles'!$E$11*INDEX('Lease Cycles'!$HE$11:$HK$11,1,CD61)*(1+INDEX('Lease Cycles'!$GQ$11:$GW$11,1,CD61))^INT(INT((CD$6-INDEX('Lease Cycles'!$GJ$11:$GP$11,1,CD61))/12)/INDEX('Lease Cycles'!$GX$11:$HD$11,1,CD61))/12,0)))</f>
        <v>4501.17523466755</v>
      </c>
      <c r="CE64" s="28">
        <f>IF(CE61=0,IF('Lease Cycles'!$F$11&gt;0,'Lease Cycles'!$C$11*'Lease Cycles'!$E$11/12,0),IF(CE63=1,IF('Lease Cycles'!$AT$11&gt;=9999,'Lease Cycles'!$C$11*INDEX('Lease Cycles'!$CB$11:$CH$11,1,CE61)*(1+INDEX('Lease Cycles'!$CI$11:$CO$11,1,CE61))^INT(INT(CE62/12)/INDEX('Lease Cycles'!$CP$11:$CV$11,1,CE61))/12,IF(CE61=1,IF(CE62&gt;=INDEX('Lease Cycles'!$DK$11:$DQ$11,1,CE61),IF(CE$6&gt;='Lease Cycles'!$AZ$11,'Lease Cycles'!$C$11*'Lease Cycles'!$BA$11/12,IF(CE$6&gt;='Lease Cycles'!$AX$11,'Lease Cycles'!$C$11*'Lease Cycles'!$AY$11/12,IF(CE$6&gt;='Lease Cycles'!$AV$11,'Lease Cycles'!$C$11*'Lease Cycles'!$AW$11/12,IF(CE$6&gt;='Lease Cycles'!$AT$11,'Lease Cycles'!$C$11*'Lease Cycles'!$AU$11/12,'Lease Cycles'!$C$11*INDEX('Lease Cycles'!$CB$11:$CH$11,1,CE61)*(1+INDEX('Lease Cycles'!$CI$11:$CO$11,1,CE61))^INT(INT(CE62/12)/INDEX('Lease Cycles'!$CP$11:$CV$11,1,CE61))/12)))),'Lease Cycles'!$C$11*INDEX('Lease Cycles'!$CB$11:$CH$11,1,CE61)*(1+INDEX('Lease Cycles'!$CI$11:$CO$11,1,CE61))^INT(INT(CE62/12)/INDEX('Lease Cycles'!$CP$11:$CV$11,1,CE61))/12),IF(INDEX('Lease Cycles'!$EF$11:$EL$11,1,CE61)=1,IF(AND('Lease Cycles'!$AZ$11&gt;=INDEX('Lease Cycles'!$BG$11:$BM$11,1,CE61),'Lease Cycles'!$AZ$11&lt;=CE$6),'Lease Cycles'!$C$11*'Lease Cycles'!$BA$11/12,IF(AND('Lease Cycles'!$AX$11&gt;=INDEX('Lease Cycles'!$BG$11:$BM$11,1,CE61),'Lease Cycles'!$AX$11&lt;=CE$6),'Lease Cycles'!$C$11*'Lease Cycles'!$AY$11/12,IF(AND('Lease Cycles'!$AV$11&gt;=INDEX('Lease Cycles'!$BG$11:$BM$11,1,CE61),'Lease Cycles'!$AV$11&lt;=CE$6),'Lease Cycles'!$C$11*'Lease Cycles'!$AW$11/12,IF(AND('Lease Cycles'!$AT$11&gt;=INDEX('Lease Cycles'!$BG$11:$BM$11,1,CE61),'Lease Cycles'!$AT$11&lt;=CE$6),'Lease Cycles'!$C$11*'Lease Cycles'!$AU$11/12,'Lease Cycles'!$C$11*INDEX('Lease Cycles'!$CB$11:$CH$11,1,CE61)*(1+INDEX('Lease Cycles'!$CI$11:$CO$11,1,CE61))^INT(INT(CE62/12)/INDEX('Lease Cycles'!$CP$11:$CV$11,1,CE61))/12)))),'Lease Cycles'!$C$11*INDEX('Lease Cycles'!$CB$11:$CH$11,1,CE61)*(1+INDEX('Lease Cycles'!$CI$11:$CO$11,1,CE61))^INT(INT(CE62/12)/INDEX('Lease Cycles'!$CP$11:$CV$11,1,CE61))/12))),IF('Lease Cycles'!$N$11=1,'Lease Cycles'!$C$11*'Lease Cycles'!$E$11*INDEX('Lease Cycles'!$HE$11:$HK$11,1,CE61)*(1+INDEX('Lease Cycles'!$GQ$11:$GW$11,1,CE61))^INT(INT((CE$6-INDEX('Lease Cycles'!$GJ$11:$GP$11,1,CE61))/12)/INDEX('Lease Cycles'!$GX$11:$HD$11,1,CE61))/12,0)))</f>
        <v>4501.17523466755</v>
      </c>
      <c r="CF64" s="28">
        <f>IF(CF61=0,IF('Lease Cycles'!$F$11&gt;0,'Lease Cycles'!$C$11*'Lease Cycles'!$E$11/12,0),IF(CF63=1,IF('Lease Cycles'!$AT$11&gt;=9999,'Lease Cycles'!$C$11*INDEX('Lease Cycles'!$CB$11:$CH$11,1,CF61)*(1+INDEX('Lease Cycles'!$CI$11:$CO$11,1,CF61))^INT(INT(CF62/12)/INDEX('Lease Cycles'!$CP$11:$CV$11,1,CF61))/12,IF(CF61=1,IF(CF62&gt;=INDEX('Lease Cycles'!$DK$11:$DQ$11,1,CF61),IF(CF$6&gt;='Lease Cycles'!$AZ$11,'Lease Cycles'!$C$11*'Lease Cycles'!$BA$11/12,IF(CF$6&gt;='Lease Cycles'!$AX$11,'Lease Cycles'!$C$11*'Lease Cycles'!$AY$11/12,IF(CF$6&gt;='Lease Cycles'!$AV$11,'Lease Cycles'!$C$11*'Lease Cycles'!$AW$11/12,IF(CF$6&gt;='Lease Cycles'!$AT$11,'Lease Cycles'!$C$11*'Lease Cycles'!$AU$11/12,'Lease Cycles'!$C$11*INDEX('Lease Cycles'!$CB$11:$CH$11,1,CF61)*(1+INDEX('Lease Cycles'!$CI$11:$CO$11,1,CF61))^INT(INT(CF62/12)/INDEX('Lease Cycles'!$CP$11:$CV$11,1,CF61))/12)))),'Lease Cycles'!$C$11*INDEX('Lease Cycles'!$CB$11:$CH$11,1,CF61)*(1+INDEX('Lease Cycles'!$CI$11:$CO$11,1,CF61))^INT(INT(CF62/12)/INDEX('Lease Cycles'!$CP$11:$CV$11,1,CF61))/12),IF(INDEX('Lease Cycles'!$EF$11:$EL$11,1,CF61)=1,IF(AND('Lease Cycles'!$AZ$11&gt;=INDEX('Lease Cycles'!$BG$11:$BM$11,1,CF61),'Lease Cycles'!$AZ$11&lt;=CF$6),'Lease Cycles'!$C$11*'Lease Cycles'!$BA$11/12,IF(AND('Lease Cycles'!$AX$11&gt;=INDEX('Lease Cycles'!$BG$11:$BM$11,1,CF61),'Lease Cycles'!$AX$11&lt;=CF$6),'Lease Cycles'!$C$11*'Lease Cycles'!$AY$11/12,IF(AND('Lease Cycles'!$AV$11&gt;=INDEX('Lease Cycles'!$BG$11:$BM$11,1,CF61),'Lease Cycles'!$AV$11&lt;=CF$6),'Lease Cycles'!$C$11*'Lease Cycles'!$AW$11/12,IF(AND('Lease Cycles'!$AT$11&gt;=INDEX('Lease Cycles'!$BG$11:$BM$11,1,CF61),'Lease Cycles'!$AT$11&lt;=CF$6),'Lease Cycles'!$C$11*'Lease Cycles'!$AU$11/12,'Lease Cycles'!$C$11*INDEX('Lease Cycles'!$CB$11:$CH$11,1,CF61)*(1+INDEX('Lease Cycles'!$CI$11:$CO$11,1,CF61))^INT(INT(CF62/12)/INDEX('Lease Cycles'!$CP$11:$CV$11,1,CF61))/12)))),'Lease Cycles'!$C$11*INDEX('Lease Cycles'!$CB$11:$CH$11,1,CF61)*(1+INDEX('Lease Cycles'!$CI$11:$CO$11,1,CF61))^INT(INT(CF62/12)/INDEX('Lease Cycles'!$CP$11:$CV$11,1,CF61))/12))),IF('Lease Cycles'!$N$11=1,'Lease Cycles'!$C$11*'Lease Cycles'!$E$11*INDEX('Lease Cycles'!$HE$11:$HK$11,1,CF61)*(1+INDEX('Lease Cycles'!$GQ$11:$GW$11,1,CF61))^INT(INT((CF$6-INDEX('Lease Cycles'!$GJ$11:$GP$11,1,CF61))/12)/INDEX('Lease Cycles'!$GX$11:$HD$11,1,CF61))/12,0)))</f>
        <v>4501.17523466755</v>
      </c>
      <c r="CG64" s="28">
        <f>IF(CG61=0,IF('Lease Cycles'!$F$11&gt;0,'Lease Cycles'!$C$11*'Lease Cycles'!$E$11/12,0),IF(CG63=1,IF('Lease Cycles'!$AT$11&gt;=9999,'Lease Cycles'!$C$11*INDEX('Lease Cycles'!$CB$11:$CH$11,1,CG61)*(1+INDEX('Lease Cycles'!$CI$11:$CO$11,1,CG61))^INT(INT(CG62/12)/INDEX('Lease Cycles'!$CP$11:$CV$11,1,CG61))/12,IF(CG61=1,IF(CG62&gt;=INDEX('Lease Cycles'!$DK$11:$DQ$11,1,CG61),IF(CG$6&gt;='Lease Cycles'!$AZ$11,'Lease Cycles'!$C$11*'Lease Cycles'!$BA$11/12,IF(CG$6&gt;='Lease Cycles'!$AX$11,'Lease Cycles'!$C$11*'Lease Cycles'!$AY$11/12,IF(CG$6&gt;='Lease Cycles'!$AV$11,'Lease Cycles'!$C$11*'Lease Cycles'!$AW$11/12,IF(CG$6&gt;='Lease Cycles'!$AT$11,'Lease Cycles'!$C$11*'Lease Cycles'!$AU$11/12,'Lease Cycles'!$C$11*INDEX('Lease Cycles'!$CB$11:$CH$11,1,CG61)*(1+INDEX('Lease Cycles'!$CI$11:$CO$11,1,CG61))^INT(INT(CG62/12)/INDEX('Lease Cycles'!$CP$11:$CV$11,1,CG61))/12)))),'Lease Cycles'!$C$11*INDEX('Lease Cycles'!$CB$11:$CH$11,1,CG61)*(1+INDEX('Lease Cycles'!$CI$11:$CO$11,1,CG61))^INT(INT(CG62/12)/INDEX('Lease Cycles'!$CP$11:$CV$11,1,CG61))/12),IF(INDEX('Lease Cycles'!$EF$11:$EL$11,1,CG61)=1,IF(AND('Lease Cycles'!$AZ$11&gt;=INDEX('Lease Cycles'!$BG$11:$BM$11,1,CG61),'Lease Cycles'!$AZ$11&lt;=CG$6),'Lease Cycles'!$C$11*'Lease Cycles'!$BA$11/12,IF(AND('Lease Cycles'!$AX$11&gt;=INDEX('Lease Cycles'!$BG$11:$BM$11,1,CG61),'Lease Cycles'!$AX$11&lt;=CG$6),'Lease Cycles'!$C$11*'Lease Cycles'!$AY$11/12,IF(AND('Lease Cycles'!$AV$11&gt;=INDEX('Lease Cycles'!$BG$11:$BM$11,1,CG61),'Lease Cycles'!$AV$11&lt;=CG$6),'Lease Cycles'!$C$11*'Lease Cycles'!$AW$11/12,IF(AND('Lease Cycles'!$AT$11&gt;=INDEX('Lease Cycles'!$BG$11:$BM$11,1,CG61),'Lease Cycles'!$AT$11&lt;=CG$6),'Lease Cycles'!$C$11*'Lease Cycles'!$AU$11/12,'Lease Cycles'!$C$11*INDEX('Lease Cycles'!$CB$11:$CH$11,1,CG61)*(1+INDEX('Lease Cycles'!$CI$11:$CO$11,1,CG61))^INT(INT(CG62/12)/INDEX('Lease Cycles'!$CP$11:$CV$11,1,CG61))/12)))),'Lease Cycles'!$C$11*INDEX('Lease Cycles'!$CB$11:$CH$11,1,CG61)*(1+INDEX('Lease Cycles'!$CI$11:$CO$11,1,CG61))^INT(INT(CG62/12)/INDEX('Lease Cycles'!$CP$11:$CV$11,1,CG61))/12))),IF('Lease Cycles'!$N$11=1,'Lease Cycles'!$C$11*'Lease Cycles'!$E$11*INDEX('Lease Cycles'!$HE$11:$HK$11,1,CG61)*(1+INDEX('Lease Cycles'!$GQ$11:$GW$11,1,CG61))^INT(INT((CG$6-INDEX('Lease Cycles'!$GJ$11:$GP$11,1,CG61))/12)/INDEX('Lease Cycles'!$GX$11:$HD$11,1,CG61))/12,0)))</f>
        <v>4501.17523466755</v>
      </c>
      <c r="CH64" s="28">
        <f>IF(CH61=0,IF('Lease Cycles'!$F$11&gt;0,'Lease Cycles'!$C$11*'Lease Cycles'!$E$11/12,0),IF(CH63=1,IF('Lease Cycles'!$AT$11&gt;=9999,'Lease Cycles'!$C$11*INDEX('Lease Cycles'!$CB$11:$CH$11,1,CH61)*(1+INDEX('Lease Cycles'!$CI$11:$CO$11,1,CH61))^INT(INT(CH62/12)/INDEX('Lease Cycles'!$CP$11:$CV$11,1,CH61))/12,IF(CH61=1,IF(CH62&gt;=INDEX('Lease Cycles'!$DK$11:$DQ$11,1,CH61),IF(CH$6&gt;='Lease Cycles'!$AZ$11,'Lease Cycles'!$C$11*'Lease Cycles'!$BA$11/12,IF(CH$6&gt;='Lease Cycles'!$AX$11,'Lease Cycles'!$C$11*'Lease Cycles'!$AY$11/12,IF(CH$6&gt;='Lease Cycles'!$AV$11,'Lease Cycles'!$C$11*'Lease Cycles'!$AW$11/12,IF(CH$6&gt;='Lease Cycles'!$AT$11,'Lease Cycles'!$C$11*'Lease Cycles'!$AU$11/12,'Lease Cycles'!$C$11*INDEX('Lease Cycles'!$CB$11:$CH$11,1,CH61)*(1+INDEX('Lease Cycles'!$CI$11:$CO$11,1,CH61))^INT(INT(CH62/12)/INDEX('Lease Cycles'!$CP$11:$CV$11,1,CH61))/12)))),'Lease Cycles'!$C$11*INDEX('Lease Cycles'!$CB$11:$CH$11,1,CH61)*(1+INDEX('Lease Cycles'!$CI$11:$CO$11,1,CH61))^INT(INT(CH62/12)/INDEX('Lease Cycles'!$CP$11:$CV$11,1,CH61))/12),IF(INDEX('Lease Cycles'!$EF$11:$EL$11,1,CH61)=1,IF(AND('Lease Cycles'!$AZ$11&gt;=INDEX('Lease Cycles'!$BG$11:$BM$11,1,CH61),'Lease Cycles'!$AZ$11&lt;=CH$6),'Lease Cycles'!$C$11*'Lease Cycles'!$BA$11/12,IF(AND('Lease Cycles'!$AX$11&gt;=INDEX('Lease Cycles'!$BG$11:$BM$11,1,CH61),'Lease Cycles'!$AX$11&lt;=CH$6),'Lease Cycles'!$C$11*'Lease Cycles'!$AY$11/12,IF(AND('Lease Cycles'!$AV$11&gt;=INDEX('Lease Cycles'!$BG$11:$BM$11,1,CH61),'Lease Cycles'!$AV$11&lt;=CH$6),'Lease Cycles'!$C$11*'Lease Cycles'!$AW$11/12,IF(AND('Lease Cycles'!$AT$11&gt;=INDEX('Lease Cycles'!$BG$11:$BM$11,1,CH61),'Lease Cycles'!$AT$11&lt;=CH$6),'Lease Cycles'!$C$11*'Lease Cycles'!$AU$11/12,'Lease Cycles'!$C$11*INDEX('Lease Cycles'!$CB$11:$CH$11,1,CH61)*(1+INDEX('Lease Cycles'!$CI$11:$CO$11,1,CH61))^INT(INT(CH62/12)/INDEX('Lease Cycles'!$CP$11:$CV$11,1,CH61))/12)))),'Lease Cycles'!$C$11*INDEX('Lease Cycles'!$CB$11:$CH$11,1,CH61)*(1+INDEX('Lease Cycles'!$CI$11:$CO$11,1,CH61))^INT(INT(CH62/12)/INDEX('Lease Cycles'!$CP$11:$CV$11,1,CH61))/12))),IF('Lease Cycles'!$N$11=1,'Lease Cycles'!$C$11*'Lease Cycles'!$E$11*INDEX('Lease Cycles'!$HE$11:$HK$11,1,CH61)*(1+INDEX('Lease Cycles'!$GQ$11:$GW$11,1,CH61))^INT(INT((CH$6-INDEX('Lease Cycles'!$GJ$11:$GP$11,1,CH61))/12)/INDEX('Lease Cycles'!$GX$11:$HD$11,1,CH61))/12,0)))</f>
        <v>4501.17523466755</v>
      </c>
      <c r="CI64" s="28">
        <f>IF(CI61=0,IF('Lease Cycles'!$F$11&gt;0,'Lease Cycles'!$C$11*'Lease Cycles'!$E$11/12,0),IF(CI63=1,IF('Lease Cycles'!$AT$11&gt;=9999,'Lease Cycles'!$C$11*INDEX('Lease Cycles'!$CB$11:$CH$11,1,CI61)*(1+INDEX('Lease Cycles'!$CI$11:$CO$11,1,CI61))^INT(INT(CI62/12)/INDEX('Lease Cycles'!$CP$11:$CV$11,1,CI61))/12,IF(CI61=1,IF(CI62&gt;=INDEX('Lease Cycles'!$DK$11:$DQ$11,1,CI61),IF(CI$6&gt;='Lease Cycles'!$AZ$11,'Lease Cycles'!$C$11*'Lease Cycles'!$BA$11/12,IF(CI$6&gt;='Lease Cycles'!$AX$11,'Lease Cycles'!$C$11*'Lease Cycles'!$AY$11/12,IF(CI$6&gt;='Lease Cycles'!$AV$11,'Lease Cycles'!$C$11*'Lease Cycles'!$AW$11/12,IF(CI$6&gt;='Lease Cycles'!$AT$11,'Lease Cycles'!$C$11*'Lease Cycles'!$AU$11/12,'Lease Cycles'!$C$11*INDEX('Lease Cycles'!$CB$11:$CH$11,1,CI61)*(1+INDEX('Lease Cycles'!$CI$11:$CO$11,1,CI61))^INT(INT(CI62/12)/INDEX('Lease Cycles'!$CP$11:$CV$11,1,CI61))/12)))),'Lease Cycles'!$C$11*INDEX('Lease Cycles'!$CB$11:$CH$11,1,CI61)*(1+INDEX('Lease Cycles'!$CI$11:$CO$11,1,CI61))^INT(INT(CI62/12)/INDEX('Lease Cycles'!$CP$11:$CV$11,1,CI61))/12),IF(INDEX('Lease Cycles'!$EF$11:$EL$11,1,CI61)=1,IF(AND('Lease Cycles'!$AZ$11&gt;=INDEX('Lease Cycles'!$BG$11:$BM$11,1,CI61),'Lease Cycles'!$AZ$11&lt;=CI$6),'Lease Cycles'!$C$11*'Lease Cycles'!$BA$11/12,IF(AND('Lease Cycles'!$AX$11&gt;=INDEX('Lease Cycles'!$BG$11:$BM$11,1,CI61),'Lease Cycles'!$AX$11&lt;=CI$6),'Lease Cycles'!$C$11*'Lease Cycles'!$AY$11/12,IF(AND('Lease Cycles'!$AV$11&gt;=INDEX('Lease Cycles'!$BG$11:$BM$11,1,CI61),'Lease Cycles'!$AV$11&lt;=CI$6),'Lease Cycles'!$C$11*'Lease Cycles'!$AW$11/12,IF(AND('Lease Cycles'!$AT$11&gt;=INDEX('Lease Cycles'!$BG$11:$BM$11,1,CI61),'Lease Cycles'!$AT$11&lt;=CI$6),'Lease Cycles'!$C$11*'Lease Cycles'!$AU$11/12,'Lease Cycles'!$C$11*INDEX('Lease Cycles'!$CB$11:$CH$11,1,CI61)*(1+INDEX('Lease Cycles'!$CI$11:$CO$11,1,CI61))^INT(INT(CI62/12)/INDEX('Lease Cycles'!$CP$11:$CV$11,1,CI61))/12)))),'Lease Cycles'!$C$11*INDEX('Lease Cycles'!$CB$11:$CH$11,1,CI61)*(1+INDEX('Lease Cycles'!$CI$11:$CO$11,1,CI61))^INT(INT(CI62/12)/INDEX('Lease Cycles'!$CP$11:$CV$11,1,CI61))/12))),IF('Lease Cycles'!$N$11=1,'Lease Cycles'!$C$11*'Lease Cycles'!$E$11*INDEX('Lease Cycles'!$HE$11:$HK$11,1,CI61)*(1+INDEX('Lease Cycles'!$GQ$11:$GW$11,1,CI61))^INT(INT((CI$6-INDEX('Lease Cycles'!$GJ$11:$GP$11,1,CI61))/12)/INDEX('Lease Cycles'!$GX$11:$HD$11,1,CI61))/12,0)))</f>
        <v>4501.17523466755</v>
      </c>
      <c r="CJ64" s="28">
        <f>IF(CJ61=0,IF('Lease Cycles'!$F$11&gt;0,'Lease Cycles'!$C$11*'Lease Cycles'!$E$11/12,0),IF(CJ63=1,IF('Lease Cycles'!$AT$11&gt;=9999,'Lease Cycles'!$C$11*INDEX('Lease Cycles'!$CB$11:$CH$11,1,CJ61)*(1+INDEX('Lease Cycles'!$CI$11:$CO$11,1,CJ61))^INT(INT(CJ62/12)/INDEX('Lease Cycles'!$CP$11:$CV$11,1,CJ61))/12,IF(CJ61=1,IF(CJ62&gt;=INDEX('Lease Cycles'!$DK$11:$DQ$11,1,CJ61),IF(CJ$6&gt;='Lease Cycles'!$AZ$11,'Lease Cycles'!$C$11*'Lease Cycles'!$BA$11/12,IF(CJ$6&gt;='Lease Cycles'!$AX$11,'Lease Cycles'!$C$11*'Lease Cycles'!$AY$11/12,IF(CJ$6&gt;='Lease Cycles'!$AV$11,'Lease Cycles'!$C$11*'Lease Cycles'!$AW$11/12,IF(CJ$6&gt;='Lease Cycles'!$AT$11,'Lease Cycles'!$C$11*'Lease Cycles'!$AU$11/12,'Lease Cycles'!$C$11*INDEX('Lease Cycles'!$CB$11:$CH$11,1,CJ61)*(1+INDEX('Lease Cycles'!$CI$11:$CO$11,1,CJ61))^INT(INT(CJ62/12)/INDEX('Lease Cycles'!$CP$11:$CV$11,1,CJ61))/12)))),'Lease Cycles'!$C$11*INDEX('Lease Cycles'!$CB$11:$CH$11,1,CJ61)*(1+INDEX('Lease Cycles'!$CI$11:$CO$11,1,CJ61))^INT(INT(CJ62/12)/INDEX('Lease Cycles'!$CP$11:$CV$11,1,CJ61))/12),IF(INDEX('Lease Cycles'!$EF$11:$EL$11,1,CJ61)=1,IF(AND('Lease Cycles'!$AZ$11&gt;=INDEX('Lease Cycles'!$BG$11:$BM$11,1,CJ61),'Lease Cycles'!$AZ$11&lt;=CJ$6),'Lease Cycles'!$C$11*'Lease Cycles'!$BA$11/12,IF(AND('Lease Cycles'!$AX$11&gt;=INDEX('Lease Cycles'!$BG$11:$BM$11,1,CJ61),'Lease Cycles'!$AX$11&lt;=CJ$6),'Lease Cycles'!$C$11*'Lease Cycles'!$AY$11/12,IF(AND('Lease Cycles'!$AV$11&gt;=INDEX('Lease Cycles'!$BG$11:$BM$11,1,CJ61),'Lease Cycles'!$AV$11&lt;=CJ$6),'Lease Cycles'!$C$11*'Lease Cycles'!$AW$11/12,IF(AND('Lease Cycles'!$AT$11&gt;=INDEX('Lease Cycles'!$BG$11:$BM$11,1,CJ61),'Lease Cycles'!$AT$11&lt;=CJ$6),'Lease Cycles'!$C$11*'Lease Cycles'!$AU$11/12,'Lease Cycles'!$C$11*INDEX('Lease Cycles'!$CB$11:$CH$11,1,CJ61)*(1+INDEX('Lease Cycles'!$CI$11:$CO$11,1,CJ61))^INT(INT(CJ62/12)/INDEX('Lease Cycles'!$CP$11:$CV$11,1,CJ61))/12)))),'Lease Cycles'!$C$11*INDEX('Lease Cycles'!$CB$11:$CH$11,1,CJ61)*(1+INDEX('Lease Cycles'!$CI$11:$CO$11,1,CJ61))^INT(INT(CJ62/12)/INDEX('Lease Cycles'!$CP$11:$CV$11,1,CJ61))/12))),IF('Lease Cycles'!$N$11=1,'Lease Cycles'!$C$11*'Lease Cycles'!$E$11*INDEX('Lease Cycles'!$HE$11:$HK$11,1,CJ61)*(1+INDEX('Lease Cycles'!$GQ$11:$GW$11,1,CJ61))^INT(INT((CJ$6-INDEX('Lease Cycles'!$GJ$11:$GP$11,1,CJ61))/12)/INDEX('Lease Cycles'!$GX$11:$HD$11,1,CJ61))/12,0)))</f>
        <v>4501.17523466755</v>
      </c>
      <c r="CK64" s="28">
        <f>IF(CK61=0,IF('Lease Cycles'!$F$11&gt;0,'Lease Cycles'!$C$11*'Lease Cycles'!$E$11/12,0),IF(CK63=1,IF('Lease Cycles'!$AT$11&gt;=9999,'Lease Cycles'!$C$11*INDEX('Lease Cycles'!$CB$11:$CH$11,1,CK61)*(1+INDEX('Lease Cycles'!$CI$11:$CO$11,1,CK61))^INT(INT(CK62/12)/INDEX('Lease Cycles'!$CP$11:$CV$11,1,CK61))/12,IF(CK61=1,IF(CK62&gt;=INDEX('Lease Cycles'!$DK$11:$DQ$11,1,CK61),IF(CK$6&gt;='Lease Cycles'!$AZ$11,'Lease Cycles'!$C$11*'Lease Cycles'!$BA$11/12,IF(CK$6&gt;='Lease Cycles'!$AX$11,'Lease Cycles'!$C$11*'Lease Cycles'!$AY$11/12,IF(CK$6&gt;='Lease Cycles'!$AV$11,'Lease Cycles'!$C$11*'Lease Cycles'!$AW$11/12,IF(CK$6&gt;='Lease Cycles'!$AT$11,'Lease Cycles'!$C$11*'Lease Cycles'!$AU$11/12,'Lease Cycles'!$C$11*INDEX('Lease Cycles'!$CB$11:$CH$11,1,CK61)*(1+INDEX('Lease Cycles'!$CI$11:$CO$11,1,CK61))^INT(INT(CK62/12)/INDEX('Lease Cycles'!$CP$11:$CV$11,1,CK61))/12)))),'Lease Cycles'!$C$11*INDEX('Lease Cycles'!$CB$11:$CH$11,1,CK61)*(1+INDEX('Lease Cycles'!$CI$11:$CO$11,1,CK61))^INT(INT(CK62/12)/INDEX('Lease Cycles'!$CP$11:$CV$11,1,CK61))/12),IF(INDEX('Lease Cycles'!$EF$11:$EL$11,1,CK61)=1,IF(AND('Lease Cycles'!$AZ$11&gt;=INDEX('Lease Cycles'!$BG$11:$BM$11,1,CK61),'Lease Cycles'!$AZ$11&lt;=CK$6),'Lease Cycles'!$C$11*'Lease Cycles'!$BA$11/12,IF(AND('Lease Cycles'!$AX$11&gt;=INDEX('Lease Cycles'!$BG$11:$BM$11,1,CK61),'Lease Cycles'!$AX$11&lt;=CK$6),'Lease Cycles'!$C$11*'Lease Cycles'!$AY$11/12,IF(AND('Lease Cycles'!$AV$11&gt;=INDEX('Lease Cycles'!$BG$11:$BM$11,1,CK61),'Lease Cycles'!$AV$11&lt;=CK$6),'Lease Cycles'!$C$11*'Lease Cycles'!$AW$11/12,IF(AND('Lease Cycles'!$AT$11&gt;=INDEX('Lease Cycles'!$BG$11:$BM$11,1,CK61),'Lease Cycles'!$AT$11&lt;=CK$6),'Lease Cycles'!$C$11*'Lease Cycles'!$AU$11/12,'Lease Cycles'!$C$11*INDEX('Lease Cycles'!$CB$11:$CH$11,1,CK61)*(1+INDEX('Lease Cycles'!$CI$11:$CO$11,1,CK61))^INT(INT(CK62/12)/INDEX('Lease Cycles'!$CP$11:$CV$11,1,CK61))/12)))),'Lease Cycles'!$C$11*INDEX('Lease Cycles'!$CB$11:$CH$11,1,CK61)*(1+INDEX('Lease Cycles'!$CI$11:$CO$11,1,CK61))^INT(INT(CK62/12)/INDEX('Lease Cycles'!$CP$11:$CV$11,1,CK61))/12))),IF('Lease Cycles'!$N$11=1,'Lease Cycles'!$C$11*'Lease Cycles'!$E$11*INDEX('Lease Cycles'!$HE$11:$HK$11,1,CK61)*(1+INDEX('Lease Cycles'!$GQ$11:$GW$11,1,CK61))^INT(INT((CK$6-INDEX('Lease Cycles'!$GJ$11:$GP$11,1,CK61))/12)/INDEX('Lease Cycles'!$GX$11:$HD$11,1,CK61))/12,0)))</f>
        <v>4501.17523466755</v>
      </c>
      <c r="CL64" s="28">
        <f>IF(CL61=0,IF('Lease Cycles'!$F$11&gt;0,'Lease Cycles'!$C$11*'Lease Cycles'!$E$11/12,0),IF(CL63=1,IF('Lease Cycles'!$AT$11&gt;=9999,'Lease Cycles'!$C$11*INDEX('Lease Cycles'!$CB$11:$CH$11,1,CL61)*(1+INDEX('Lease Cycles'!$CI$11:$CO$11,1,CL61))^INT(INT(CL62/12)/INDEX('Lease Cycles'!$CP$11:$CV$11,1,CL61))/12,IF(CL61=1,IF(CL62&gt;=INDEX('Lease Cycles'!$DK$11:$DQ$11,1,CL61),IF(CL$6&gt;='Lease Cycles'!$AZ$11,'Lease Cycles'!$C$11*'Lease Cycles'!$BA$11/12,IF(CL$6&gt;='Lease Cycles'!$AX$11,'Lease Cycles'!$C$11*'Lease Cycles'!$AY$11/12,IF(CL$6&gt;='Lease Cycles'!$AV$11,'Lease Cycles'!$C$11*'Lease Cycles'!$AW$11/12,IF(CL$6&gt;='Lease Cycles'!$AT$11,'Lease Cycles'!$C$11*'Lease Cycles'!$AU$11/12,'Lease Cycles'!$C$11*INDEX('Lease Cycles'!$CB$11:$CH$11,1,CL61)*(1+INDEX('Lease Cycles'!$CI$11:$CO$11,1,CL61))^INT(INT(CL62/12)/INDEX('Lease Cycles'!$CP$11:$CV$11,1,CL61))/12)))),'Lease Cycles'!$C$11*INDEX('Lease Cycles'!$CB$11:$CH$11,1,CL61)*(1+INDEX('Lease Cycles'!$CI$11:$CO$11,1,CL61))^INT(INT(CL62/12)/INDEX('Lease Cycles'!$CP$11:$CV$11,1,CL61))/12),IF(INDEX('Lease Cycles'!$EF$11:$EL$11,1,CL61)=1,IF(AND('Lease Cycles'!$AZ$11&gt;=INDEX('Lease Cycles'!$BG$11:$BM$11,1,CL61),'Lease Cycles'!$AZ$11&lt;=CL$6),'Lease Cycles'!$C$11*'Lease Cycles'!$BA$11/12,IF(AND('Lease Cycles'!$AX$11&gt;=INDEX('Lease Cycles'!$BG$11:$BM$11,1,CL61),'Lease Cycles'!$AX$11&lt;=CL$6),'Lease Cycles'!$C$11*'Lease Cycles'!$AY$11/12,IF(AND('Lease Cycles'!$AV$11&gt;=INDEX('Lease Cycles'!$BG$11:$BM$11,1,CL61),'Lease Cycles'!$AV$11&lt;=CL$6),'Lease Cycles'!$C$11*'Lease Cycles'!$AW$11/12,IF(AND('Lease Cycles'!$AT$11&gt;=INDEX('Lease Cycles'!$BG$11:$BM$11,1,CL61),'Lease Cycles'!$AT$11&lt;=CL$6),'Lease Cycles'!$C$11*'Lease Cycles'!$AU$11/12,'Lease Cycles'!$C$11*INDEX('Lease Cycles'!$CB$11:$CH$11,1,CL61)*(1+INDEX('Lease Cycles'!$CI$11:$CO$11,1,CL61))^INT(INT(CL62/12)/INDEX('Lease Cycles'!$CP$11:$CV$11,1,CL61))/12)))),'Lease Cycles'!$C$11*INDEX('Lease Cycles'!$CB$11:$CH$11,1,CL61)*(1+INDEX('Lease Cycles'!$CI$11:$CO$11,1,CL61))^INT(INT(CL62/12)/INDEX('Lease Cycles'!$CP$11:$CV$11,1,CL61))/12))),IF('Lease Cycles'!$N$11=1,'Lease Cycles'!$C$11*'Lease Cycles'!$E$11*INDEX('Lease Cycles'!$HE$11:$HK$11,1,CL61)*(1+INDEX('Lease Cycles'!$GQ$11:$GW$11,1,CL61))^INT(INT((CL$6-INDEX('Lease Cycles'!$GJ$11:$GP$11,1,CL61))/12)/INDEX('Lease Cycles'!$GX$11:$HD$11,1,CL61))/12,0)))</f>
        <v>4501.17523466755</v>
      </c>
      <c r="CM64" s="28">
        <f>IF(CM61=0,IF('Lease Cycles'!$F$11&gt;0,'Lease Cycles'!$C$11*'Lease Cycles'!$E$11/12,0),IF(CM63=1,IF('Lease Cycles'!$AT$11&gt;=9999,'Lease Cycles'!$C$11*INDEX('Lease Cycles'!$CB$11:$CH$11,1,CM61)*(1+INDEX('Lease Cycles'!$CI$11:$CO$11,1,CM61))^INT(INT(CM62/12)/INDEX('Lease Cycles'!$CP$11:$CV$11,1,CM61))/12,IF(CM61=1,IF(CM62&gt;=INDEX('Lease Cycles'!$DK$11:$DQ$11,1,CM61),IF(CM$6&gt;='Lease Cycles'!$AZ$11,'Lease Cycles'!$C$11*'Lease Cycles'!$BA$11/12,IF(CM$6&gt;='Lease Cycles'!$AX$11,'Lease Cycles'!$C$11*'Lease Cycles'!$AY$11/12,IF(CM$6&gt;='Lease Cycles'!$AV$11,'Lease Cycles'!$C$11*'Lease Cycles'!$AW$11/12,IF(CM$6&gt;='Lease Cycles'!$AT$11,'Lease Cycles'!$C$11*'Lease Cycles'!$AU$11/12,'Lease Cycles'!$C$11*INDEX('Lease Cycles'!$CB$11:$CH$11,1,CM61)*(1+INDEX('Lease Cycles'!$CI$11:$CO$11,1,CM61))^INT(INT(CM62/12)/INDEX('Lease Cycles'!$CP$11:$CV$11,1,CM61))/12)))),'Lease Cycles'!$C$11*INDEX('Lease Cycles'!$CB$11:$CH$11,1,CM61)*(1+INDEX('Lease Cycles'!$CI$11:$CO$11,1,CM61))^INT(INT(CM62/12)/INDEX('Lease Cycles'!$CP$11:$CV$11,1,CM61))/12),IF(INDEX('Lease Cycles'!$EF$11:$EL$11,1,CM61)=1,IF(AND('Lease Cycles'!$AZ$11&gt;=INDEX('Lease Cycles'!$BG$11:$BM$11,1,CM61),'Lease Cycles'!$AZ$11&lt;=CM$6),'Lease Cycles'!$C$11*'Lease Cycles'!$BA$11/12,IF(AND('Lease Cycles'!$AX$11&gt;=INDEX('Lease Cycles'!$BG$11:$BM$11,1,CM61),'Lease Cycles'!$AX$11&lt;=CM$6),'Lease Cycles'!$C$11*'Lease Cycles'!$AY$11/12,IF(AND('Lease Cycles'!$AV$11&gt;=INDEX('Lease Cycles'!$BG$11:$BM$11,1,CM61),'Lease Cycles'!$AV$11&lt;=CM$6),'Lease Cycles'!$C$11*'Lease Cycles'!$AW$11/12,IF(AND('Lease Cycles'!$AT$11&gt;=INDEX('Lease Cycles'!$BG$11:$BM$11,1,CM61),'Lease Cycles'!$AT$11&lt;=CM$6),'Lease Cycles'!$C$11*'Lease Cycles'!$AU$11/12,'Lease Cycles'!$C$11*INDEX('Lease Cycles'!$CB$11:$CH$11,1,CM61)*(1+INDEX('Lease Cycles'!$CI$11:$CO$11,1,CM61))^INT(INT(CM62/12)/INDEX('Lease Cycles'!$CP$11:$CV$11,1,CM61))/12)))),'Lease Cycles'!$C$11*INDEX('Lease Cycles'!$CB$11:$CH$11,1,CM61)*(1+INDEX('Lease Cycles'!$CI$11:$CO$11,1,CM61))^INT(INT(CM62/12)/INDEX('Lease Cycles'!$CP$11:$CV$11,1,CM61))/12))),IF('Lease Cycles'!$N$11=1,'Lease Cycles'!$C$11*'Lease Cycles'!$E$11*INDEX('Lease Cycles'!$HE$11:$HK$11,1,CM61)*(1+INDEX('Lease Cycles'!$GQ$11:$GW$11,1,CM61))^INT(INT((CM$6-INDEX('Lease Cycles'!$GJ$11:$GP$11,1,CM61))/12)/INDEX('Lease Cycles'!$GX$11:$HD$11,1,CM61))/12,0)))</f>
        <v>4501.17523466755</v>
      </c>
      <c r="CN64" s="28">
        <f>IF(CN61=0,IF('Lease Cycles'!$F$11&gt;0,'Lease Cycles'!$C$11*'Lease Cycles'!$E$11/12,0),IF(CN63=1,IF('Lease Cycles'!$AT$11&gt;=9999,'Lease Cycles'!$C$11*INDEX('Lease Cycles'!$CB$11:$CH$11,1,CN61)*(1+INDEX('Lease Cycles'!$CI$11:$CO$11,1,CN61))^INT(INT(CN62/12)/INDEX('Lease Cycles'!$CP$11:$CV$11,1,CN61))/12,IF(CN61=1,IF(CN62&gt;=INDEX('Lease Cycles'!$DK$11:$DQ$11,1,CN61),IF(CN$6&gt;='Lease Cycles'!$AZ$11,'Lease Cycles'!$C$11*'Lease Cycles'!$BA$11/12,IF(CN$6&gt;='Lease Cycles'!$AX$11,'Lease Cycles'!$C$11*'Lease Cycles'!$AY$11/12,IF(CN$6&gt;='Lease Cycles'!$AV$11,'Lease Cycles'!$C$11*'Lease Cycles'!$AW$11/12,IF(CN$6&gt;='Lease Cycles'!$AT$11,'Lease Cycles'!$C$11*'Lease Cycles'!$AU$11/12,'Lease Cycles'!$C$11*INDEX('Lease Cycles'!$CB$11:$CH$11,1,CN61)*(1+INDEX('Lease Cycles'!$CI$11:$CO$11,1,CN61))^INT(INT(CN62/12)/INDEX('Lease Cycles'!$CP$11:$CV$11,1,CN61))/12)))),'Lease Cycles'!$C$11*INDEX('Lease Cycles'!$CB$11:$CH$11,1,CN61)*(1+INDEX('Lease Cycles'!$CI$11:$CO$11,1,CN61))^INT(INT(CN62/12)/INDEX('Lease Cycles'!$CP$11:$CV$11,1,CN61))/12),IF(INDEX('Lease Cycles'!$EF$11:$EL$11,1,CN61)=1,IF(AND('Lease Cycles'!$AZ$11&gt;=INDEX('Lease Cycles'!$BG$11:$BM$11,1,CN61),'Lease Cycles'!$AZ$11&lt;=CN$6),'Lease Cycles'!$C$11*'Lease Cycles'!$BA$11/12,IF(AND('Lease Cycles'!$AX$11&gt;=INDEX('Lease Cycles'!$BG$11:$BM$11,1,CN61),'Lease Cycles'!$AX$11&lt;=CN$6),'Lease Cycles'!$C$11*'Lease Cycles'!$AY$11/12,IF(AND('Lease Cycles'!$AV$11&gt;=INDEX('Lease Cycles'!$BG$11:$BM$11,1,CN61),'Lease Cycles'!$AV$11&lt;=CN$6),'Lease Cycles'!$C$11*'Lease Cycles'!$AW$11/12,IF(AND('Lease Cycles'!$AT$11&gt;=INDEX('Lease Cycles'!$BG$11:$BM$11,1,CN61),'Lease Cycles'!$AT$11&lt;=CN$6),'Lease Cycles'!$C$11*'Lease Cycles'!$AU$11/12,'Lease Cycles'!$C$11*INDEX('Lease Cycles'!$CB$11:$CH$11,1,CN61)*(1+INDEX('Lease Cycles'!$CI$11:$CO$11,1,CN61))^INT(INT(CN62/12)/INDEX('Lease Cycles'!$CP$11:$CV$11,1,CN61))/12)))),'Lease Cycles'!$C$11*INDEX('Lease Cycles'!$CB$11:$CH$11,1,CN61)*(1+INDEX('Lease Cycles'!$CI$11:$CO$11,1,CN61))^INT(INT(CN62/12)/INDEX('Lease Cycles'!$CP$11:$CV$11,1,CN61))/12))),IF('Lease Cycles'!$N$11=1,'Lease Cycles'!$C$11*'Lease Cycles'!$E$11*INDEX('Lease Cycles'!$HE$11:$HK$11,1,CN61)*(1+INDEX('Lease Cycles'!$GQ$11:$GW$11,1,CN61))^INT(INT((CN$6-INDEX('Lease Cycles'!$GJ$11:$GP$11,1,CN61))/12)/INDEX('Lease Cycles'!$GX$11:$HD$11,1,CN61))/12,0)))</f>
        <v>4501.17523466755</v>
      </c>
      <c r="CO64" s="28">
        <f>IF(CO61=0,IF('Lease Cycles'!$F$11&gt;0,'Lease Cycles'!$C$11*'Lease Cycles'!$E$11/12,0),IF(CO63=1,IF('Lease Cycles'!$AT$11&gt;=9999,'Lease Cycles'!$C$11*INDEX('Lease Cycles'!$CB$11:$CH$11,1,CO61)*(1+INDEX('Lease Cycles'!$CI$11:$CO$11,1,CO61))^INT(INT(CO62/12)/INDEX('Lease Cycles'!$CP$11:$CV$11,1,CO61))/12,IF(CO61=1,IF(CO62&gt;=INDEX('Lease Cycles'!$DK$11:$DQ$11,1,CO61),IF(CO$6&gt;='Lease Cycles'!$AZ$11,'Lease Cycles'!$C$11*'Lease Cycles'!$BA$11/12,IF(CO$6&gt;='Lease Cycles'!$AX$11,'Lease Cycles'!$C$11*'Lease Cycles'!$AY$11/12,IF(CO$6&gt;='Lease Cycles'!$AV$11,'Lease Cycles'!$C$11*'Lease Cycles'!$AW$11/12,IF(CO$6&gt;='Lease Cycles'!$AT$11,'Lease Cycles'!$C$11*'Lease Cycles'!$AU$11/12,'Lease Cycles'!$C$11*INDEX('Lease Cycles'!$CB$11:$CH$11,1,CO61)*(1+INDEX('Lease Cycles'!$CI$11:$CO$11,1,CO61))^INT(INT(CO62/12)/INDEX('Lease Cycles'!$CP$11:$CV$11,1,CO61))/12)))),'Lease Cycles'!$C$11*INDEX('Lease Cycles'!$CB$11:$CH$11,1,CO61)*(1+INDEX('Lease Cycles'!$CI$11:$CO$11,1,CO61))^INT(INT(CO62/12)/INDEX('Lease Cycles'!$CP$11:$CV$11,1,CO61))/12),IF(INDEX('Lease Cycles'!$EF$11:$EL$11,1,CO61)=1,IF(AND('Lease Cycles'!$AZ$11&gt;=INDEX('Lease Cycles'!$BG$11:$BM$11,1,CO61),'Lease Cycles'!$AZ$11&lt;=CO$6),'Lease Cycles'!$C$11*'Lease Cycles'!$BA$11/12,IF(AND('Lease Cycles'!$AX$11&gt;=INDEX('Lease Cycles'!$BG$11:$BM$11,1,CO61),'Lease Cycles'!$AX$11&lt;=CO$6),'Lease Cycles'!$C$11*'Lease Cycles'!$AY$11/12,IF(AND('Lease Cycles'!$AV$11&gt;=INDEX('Lease Cycles'!$BG$11:$BM$11,1,CO61),'Lease Cycles'!$AV$11&lt;=CO$6),'Lease Cycles'!$C$11*'Lease Cycles'!$AW$11/12,IF(AND('Lease Cycles'!$AT$11&gt;=INDEX('Lease Cycles'!$BG$11:$BM$11,1,CO61),'Lease Cycles'!$AT$11&lt;=CO$6),'Lease Cycles'!$C$11*'Lease Cycles'!$AU$11/12,'Lease Cycles'!$C$11*INDEX('Lease Cycles'!$CB$11:$CH$11,1,CO61)*(1+INDEX('Lease Cycles'!$CI$11:$CO$11,1,CO61))^INT(INT(CO62/12)/INDEX('Lease Cycles'!$CP$11:$CV$11,1,CO61))/12)))),'Lease Cycles'!$C$11*INDEX('Lease Cycles'!$CB$11:$CH$11,1,CO61)*(1+INDEX('Lease Cycles'!$CI$11:$CO$11,1,CO61))^INT(INT(CO62/12)/INDEX('Lease Cycles'!$CP$11:$CV$11,1,CO61))/12))),IF('Lease Cycles'!$N$11=1,'Lease Cycles'!$C$11*'Lease Cycles'!$E$11*INDEX('Lease Cycles'!$HE$11:$HK$11,1,CO61)*(1+INDEX('Lease Cycles'!$GQ$11:$GW$11,1,CO61))^INT(INT((CO$6-INDEX('Lease Cycles'!$GJ$11:$GP$11,1,CO61))/12)/INDEX('Lease Cycles'!$GX$11:$HD$11,1,CO61))/12,0)))</f>
        <v>4501.17523466755</v>
      </c>
      <c r="CP64" s="28">
        <f>IF(CP61=0,IF('Lease Cycles'!$F$11&gt;0,'Lease Cycles'!$C$11*'Lease Cycles'!$E$11/12,0),IF(CP63=1,IF('Lease Cycles'!$AT$11&gt;=9999,'Lease Cycles'!$C$11*INDEX('Lease Cycles'!$CB$11:$CH$11,1,CP61)*(1+INDEX('Lease Cycles'!$CI$11:$CO$11,1,CP61))^INT(INT(CP62/12)/INDEX('Lease Cycles'!$CP$11:$CV$11,1,CP61))/12,IF(CP61=1,IF(CP62&gt;=INDEX('Lease Cycles'!$DK$11:$DQ$11,1,CP61),IF(CP$6&gt;='Lease Cycles'!$AZ$11,'Lease Cycles'!$C$11*'Lease Cycles'!$BA$11/12,IF(CP$6&gt;='Lease Cycles'!$AX$11,'Lease Cycles'!$C$11*'Lease Cycles'!$AY$11/12,IF(CP$6&gt;='Lease Cycles'!$AV$11,'Lease Cycles'!$C$11*'Lease Cycles'!$AW$11/12,IF(CP$6&gt;='Lease Cycles'!$AT$11,'Lease Cycles'!$C$11*'Lease Cycles'!$AU$11/12,'Lease Cycles'!$C$11*INDEX('Lease Cycles'!$CB$11:$CH$11,1,CP61)*(1+INDEX('Lease Cycles'!$CI$11:$CO$11,1,CP61))^INT(INT(CP62/12)/INDEX('Lease Cycles'!$CP$11:$CV$11,1,CP61))/12)))),'Lease Cycles'!$C$11*INDEX('Lease Cycles'!$CB$11:$CH$11,1,CP61)*(1+INDEX('Lease Cycles'!$CI$11:$CO$11,1,CP61))^INT(INT(CP62/12)/INDEX('Lease Cycles'!$CP$11:$CV$11,1,CP61))/12),IF(INDEX('Lease Cycles'!$EF$11:$EL$11,1,CP61)=1,IF(AND('Lease Cycles'!$AZ$11&gt;=INDEX('Lease Cycles'!$BG$11:$BM$11,1,CP61),'Lease Cycles'!$AZ$11&lt;=CP$6),'Lease Cycles'!$C$11*'Lease Cycles'!$BA$11/12,IF(AND('Lease Cycles'!$AX$11&gt;=INDEX('Lease Cycles'!$BG$11:$BM$11,1,CP61),'Lease Cycles'!$AX$11&lt;=CP$6),'Lease Cycles'!$C$11*'Lease Cycles'!$AY$11/12,IF(AND('Lease Cycles'!$AV$11&gt;=INDEX('Lease Cycles'!$BG$11:$BM$11,1,CP61),'Lease Cycles'!$AV$11&lt;=CP$6),'Lease Cycles'!$C$11*'Lease Cycles'!$AW$11/12,IF(AND('Lease Cycles'!$AT$11&gt;=INDEX('Lease Cycles'!$BG$11:$BM$11,1,CP61),'Lease Cycles'!$AT$11&lt;=CP$6),'Lease Cycles'!$C$11*'Lease Cycles'!$AU$11/12,'Lease Cycles'!$C$11*INDEX('Lease Cycles'!$CB$11:$CH$11,1,CP61)*(1+INDEX('Lease Cycles'!$CI$11:$CO$11,1,CP61))^INT(INT(CP62/12)/INDEX('Lease Cycles'!$CP$11:$CV$11,1,CP61))/12)))),'Lease Cycles'!$C$11*INDEX('Lease Cycles'!$CB$11:$CH$11,1,CP61)*(1+INDEX('Lease Cycles'!$CI$11:$CO$11,1,CP61))^INT(INT(CP62/12)/INDEX('Lease Cycles'!$CP$11:$CV$11,1,CP61))/12))),IF('Lease Cycles'!$N$11=1,'Lease Cycles'!$C$11*'Lease Cycles'!$E$11*INDEX('Lease Cycles'!$HE$11:$HK$11,1,CP61)*(1+INDEX('Lease Cycles'!$GQ$11:$GW$11,1,CP61))^INT(INT((CP$6-INDEX('Lease Cycles'!$GJ$11:$GP$11,1,CP61))/12)/INDEX('Lease Cycles'!$GX$11:$HD$11,1,CP61))/12,0)))</f>
        <v>4636.210491707577</v>
      </c>
      <c r="CQ64" s="28">
        <f>IF(CQ61=0,IF('Lease Cycles'!$F$11&gt;0,'Lease Cycles'!$C$11*'Lease Cycles'!$E$11/12,0),IF(CQ63=1,IF('Lease Cycles'!$AT$11&gt;=9999,'Lease Cycles'!$C$11*INDEX('Lease Cycles'!$CB$11:$CH$11,1,CQ61)*(1+INDEX('Lease Cycles'!$CI$11:$CO$11,1,CQ61))^INT(INT(CQ62/12)/INDEX('Lease Cycles'!$CP$11:$CV$11,1,CQ61))/12,IF(CQ61=1,IF(CQ62&gt;=INDEX('Lease Cycles'!$DK$11:$DQ$11,1,CQ61),IF(CQ$6&gt;='Lease Cycles'!$AZ$11,'Lease Cycles'!$C$11*'Lease Cycles'!$BA$11/12,IF(CQ$6&gt;='Lease Cycles'!$AX$11,'Lease Cycles'!$C$11*'Lease Cycles'!$AY$11/12,IF(CQ$6&gt;='Lease Cycles'!$AV$11,'Lease Cycles'!$C$11*'Lease Cycles'!$AW$11/12,IF(CQ$6&gt;='Lease Cycles'!$AT$11,'Lease Cycles'!$C$11*'Lease Cycles'!$AU$11/12,'Lease Cycles'!$C$11*INDEX('Lease Cycles'!$CB$11:$CH$11,1,CQ61)*(1+INDEX('Lease Cycles'!$CI$11:$CO$11,1,CQ61))^INT(INT(CQ62/12)/INDEX('Lease Cycles'!$CP$11:$CV$11,1,CQ61))/12)))),'Lease Cycles'!$C$11*INDEX('Lease Cycles'!$CB$11:$CH$11,1,CQ61)*(1+INDEX('Lease Cycles'!$CI$11:$CO$11,1,CQ61))^INT(INT(CQ62/12)/INDEX('Lease Cycles'!$CP$11:$CV$11,1,CQ61))/12),IF(INDEX('Lease Cycles'!$EF$11:$EL$11,1,CQ61)=1,IF(AND('Lease Cycles'!$AZ$11&gt;=INDEX('Lease Cycles'!$BG$11:$BM$11,1,CQ61),'Lease Cycles'!$AZ$11&lt;=CQ$6),'Lease Cycles'!$C$11*'Lease Cycles'!$BA$11/12,IF(AND('Lease Cycles'!$AX$11&gt;=INDEX('Lease Cycles'!$BG$11:$BM$11,1,CQ61),'Lease Cycles'!$AX$11&lt;=CQ$6),'Lease Cycles'!$C$11*'Lease Cycles'!$AY$11/12,IF(AND('Lease Cycles'!$AV$11&gt;=INDEX('Lease Cycles'!$BG$11:$BM$11,1,CQ61),'Lease Cycles'!$AV$11&lt;=CQ$6),'Lease Cycles'!$C$11*'Lease Cycles'!$AW$11/12,IF(AND('Lease Cycles'!$AT$11&gt;=INDEX('Lease Cycles'!$BG$11:$BM$11,1,CQ61),'Lease Cycles'!$AT$11&lt;=CQ$6),'Lease Cycles'!$C$11*'Lease Cycles'!$AU$11/12,'Lease Cycles'!$C$11*INDEX('Lease Cycles'!$CB$11:$CH$11,1,CQ61)*(1+INDEX('Lease Cycles'!$CI$11:$CO$11,1,CQ61))^INT(INT(CQ62/12)/INDEX('Lease Cycles'!$CP$11:$CV$11,1,CQ61))/12)))),'Lease Cycles'!$C$11*INDEX('Lease Cycles'!$CB$11:$CH$11,1,CQ61)*(1+INDEX('Lease Cycles'!$CI$11:$CO$11,1,CQ61))^INT(INT(CQ62/12)/INDEX('Lease Cycles'!$CP$11:$CV$11,1,CQ61))/12))),IF('Lease Cycles'!$N$11=1,'Lease Cycles'!$C$11*'Lease Cycles'!$E$11*INDEX('Lease Cycles'!$HE$11:$HK$11,1,CQ61)*(1+INDEX('Lease Cycles'!$GQ$11:$GW$11,1,CQ61))^INT(INT((CQ$6-INDEX('Lease Cycles'!$GJ$11:$GP$11,1,CQ61))/12)/INDEX('Lease Cycles'!$GX$11:$HD$11,1,CQ61))/12,0)))</f>
        <v>4636.210491707577</v>
      </c>
      <c r="CR64" s="28">
        <f>IF(CR61=0,IF('Lease Cycles'!$F$11&gt;0,'Lease Cycles'!$C$11*'Lease Cycles'!$E$11/12,0),IF(CR63=1,IF('Lease Cycles'!$AT$11&gt;=9999,'Lease Cycles'!$C$11*INDEX('Lease Cycles'!$CB$11:$CH$11,1,CR61)*(1+INDEX('Lease Cycles'!$CI$11:$CO$11,1,CR61))^INT(INT(CR62/12)/INDEX('Lease Cycles'!$CP$11:$CV$11,1,CR61))/12,IF(CR61=1,IF(CR62&gt;=INDEX('Lease Cycles'!$DK$11:$DQ$11,1,CR61),IF(CR$6&gt;='Lease Cycles'!$AZ$11,'Lease Cycles'!$C$11*'Lease Cycles'!$BA$11/12,IF(CR$6&gt;='Lease Cycles'!$AX$11,'Lease Cycles'!$C$11*'Lease Cycles'!$AY$11/12,IF(CR$6&gt;='Lease Cycles'!$AV$11,'Lease Cycles'!$C$11*'Lease Cycles'!$AW$11/12,IF(CR$6&gt;='Lease Cycles'!$AT$11,'Lease Cycles'!$C$11*'Lease Cycles'!$AU$11/12,'Lease Cycles'!$C$11*INDEX('Lease Cycles'!$CB$11:$CH$11,1,CR61)*(1+INDEX('Lease Cycles'!$CI$11:$CO$11,1,CR61))^INT(INT(CR62/12)/INDEX('Lease Cycles'!$CP$11:$CV$11,1,CR61))/12)))),'Lease Cycles'!$C$11*INDEX('Lease Cycles'!$CB$11:$CH$11,1,CR61)*(1+INDEX('Lease Cycles'!$CI$11:$CO$11,1,CR61))^INT(INT(CR62/12)/INDEX('Lease Cycles'!$CP$11:$CV$11,1,CR61))/12),IF(INDEX('Lease Cycles'!$EF$11:$EL$11,1,CR61)=1,IF(AND('Lease Cycles'!$AZ$11&gt;=INDEX('Lease Cycles'!$BG$11:$BM$11,1,CR61),'Lease Cycles'!$AZ$11&lt;=CR$6),'Lease Cycles'!$C$11*'Lease Cycles'!$BA$11/12,IF(AND('Lease Cycles'!$AX$11&gt;=INDEX('Lease Cycles'!$BG$11:$BM$11,1,CR61),'Lease Cycles'!$AX$11&lt;=CR$6),'Lease Cycles'!$C$11*'Lease Cycles'!$AY$11/12,IF(AND('Lease Cycles'!$AV$11&gt;=INDEX('Lease Cycles'!$BG$11:$BM$11,1,CR61),'Lease Cycles'!$AV$11&lt;=CR$6),'Lease Cycles'!$C$11*'Lease Cycles'!$AW$11/12,IF(AND('Lease Cycles'!$AT$11&gt;=INDEX('Lease Cycles'!$BG$11:$BM$11,1,CR61),'Lease Cycles'!$AT$11&lt;=CR$6),'Lease Cycles'!$C$11*'Lease Cycles'!$AU$11/12,'Lease Cycles'!$C$11*INDEX('Lease Cycles'!$CB$11:$CH$11,1,CR61)*(1+INDEX('Lease Cycles'!$CI$11:$CO$11,1,CR61))^INT(INT(CR62/12)/INDEX('Lease Cycles'!$CP$11:$CV$11,1,CR61))/12)))),'Lease Cycles'!$C$11*INDEX('Lease Cycles'!$CB$11:$CH$11,1,CR61)*(1+INDEX('Lease Cycles'!$CI$11:$CO$11,1,CR61))^INT(INT(CR62/12)/INDEX('Lease Cycles'!$CP$11:$CV$11,1,CR61))/12))),IF('Lease Cycles'!$N$11=1,'Lease Cycles'!$C$11*'Lease Cycles'!$E$11*INDEX('Lease Cycles'!$HE$11:$HK$11,1,CR61)*(1+INDEX('Lease Cycles'!$GQ$11:$GW$11,1,CR61))^INT(INT((CR$6-INDEX('Lease Cycles'!$GJ$11:$GP$11,1,CR61))/12)/INDEX('Lease Cycles'!$GX$11:$HD$11,1,CR61))/12,0)))</f>
        <v>4636.210491707577</v>
      </c>
      <c r="CS64" s="28">
        <f>IF(CS61=0,IF('Lease Cycles'!$F$11&gt;0,'Lease Cycles'!$C$11*'Lease Cycles'!$E$11/12,0),IF(CS63=1,IF('Lease Cycles'!$AT$11&gt;=9999,'Lease Cycles'!$C$11*INDEX('Lease Cycles'!$CB$11:$CH$11,1,CS61)*(1+INDEX('Lease Cycles'!$CI$11:$CO$11,1,CS61))^INT(INT(CS62/12)/INDEX('Lease Cycles'!$CP$11:$CV$11,1,CS61))/12,IF(CS61=1,IF(CS62&gt;=INDEX('Lease Cycles'!$DK$11:$DQ$11,1,CS61),IF(CS$6&gt;='Lease Cycles'!$AZ$11,'Lease Cycles'!$C$11*'Lease Cycles'!$BA$11/12,IF(CS$6&gt;='Lease Cycles'!$AX$11,'Lease Cycles'!$C$11*'Lease Cycles'!$AY$11/12,IF(CS$6&gt;='Lease Cycles'!$AV$11,'Lease Cycles'!$C$11*'Lease Cycles'!$AW$11/12,IF(CS$6&gt;='Lease Cycles'!$AT$11,'Lease Cycles'!$C$11*'Lease Cycles'!$AU$11/12,'Lease Cycles'!$C$11*INDEX('Lease Cycles'!$CB$11:$CH$11,1,CS61)*(1+INDEX('Lease Cycles'!$CI$11:$CO$11,1,CS61))^INT(INT(CS62/12)/INDEX('Lease Cycles'!$CP$11:$CV$11,1,CS61))/12)))),'Lease Cycles'!$C$11*INDEX('Lease Cycles'!$CB$11:$CH$11,1,CS61)*(1+INDEX('Lease Cycles'!$CI$11:$CO$11,1,CS61))^INT(INT(CS62/12)/INDEX('Lease Cycles'!$CP$11:$CV$11,1,CS61))/12),IF(INDEX('Lease Cycles'!$EF$11:$EL$11,1,CS61)=1,IF(AND('Lease Cycles'!$AZ$11&gt;=INDEX('Lease Cycles'!$BG$11:$BM$11,1,CS61),'Lease Cycles'!$AZ$11&lt;=CS$6),'Lease Cycles'!$C$11*'Lease Cycles'!$BA$11/12,IF(AND('Lease Cycles'!$AX$11&gt;=INDEX('Lease Cycles'!$BG$11:$BM$11,1,CS61),'Lease Cycles'!$AX$11&lt;=CS$6),'Lease Cycles'!$C$11*'Lease Cycles'!$AY$11/12,IF(AND('Lease Cycles'!$AV$11&gt;=INDEX('Lease Cycles'!$BG$11:$BM$11,1,CS61),'Lease Cycles'!$AV$11&lt;=CS$6),'Lease Cycles'!$C$11*'Lease Cycles'!$AW$11/12,IF(AND('Lease Cycles'!$AT$11&gt;=INDEX('Lease Cycles'!$BG$11:$BM$11,1,CS61),'Lease Cycles'!$AT$11&lt;=CS$6),'Lease Cycles'!$C$11*'Lease Cycles'!$AU$11/12,'Lease Cycles'!$C$11*INDEX('Lease Cycles'!$CB$11:$CH$11,1,CS61)*(1+INDEX('Lease Cycles'!$CI$11:$CO$11,1,CS61))^INT(INT(CS62/12)/INDEX('Lease Cycles'!$CP$11:$CV$11,1,CS61))/12)))),'Lease Cycles'!$C$11*INDEX('Lease Cycles'!$CB$11:$CH$11,1,CS61)*(1+INDEX('Lease Cycles'!$CI$11:$CO$11,1,CS61))^INT(INT(CS62/12)/INDEX('Lease Cycles'!$CP$11:$CV$11,1,CS61))/12))),IF('Lease Cycles'!$N$11=1,'Lease Cycles'!$C$11*'Lease Cycles'!$E$11*INDEX('Lease Cycles'!$HE$11:$HK$11,1,CS61)*(1+INDEX('Lease Cycles'!$GQ$11:$GW$11,1,CS61))^INT(INT((CS$6-INDEX('Lease Cycles'!$GJ$11:$GP$11,1,CS61))/12)/INDEX('Lease Cycles'!$GX$11:$HD$11,1,CS61))/12,0)))</f>
        <v>4636.210491707577</v>
      </c>
      <c r="CT64" s="28">
        <f>IF(CT61=0,IF('Lease Cycles'!$F$11&gt;0,'Lease Cycles'!$C$11*'Lease Cycles'!$E$11/12,0),IF(CT63=1,IF('Lease Cycles'!$AT$11&gt;=9999,'Lease Cycles'!$C$11*INDEX('Lease Cycles'!$CB$11:$CH$11,1,CT61)*(1+INDEX('Lease Cycles'!$CI$11:$CO$11,1,CT61))^INT(INT(CT62/12)/INDEX('Lease Cycles'!$CP$11:$CV$11,1,CT61))/12,IF(CT61=1,IF(CT62&gt;=INDEX('Lease Cycles'!$DK$11:$DQ$11,1,CT61),IF(CT$6&gt;='Lease Cycles'!$AZ$11,'Lease Cycles'!$C$11*'Lease Cycles'!$BA$11/12,IF(CT$6&gt;='Lease Cycles'!$AX$11,'Lease Cycles'!$C$11*'Lease Cycles'!$AY$11/12,IF(CT$6&gt;='Lease Cycles'!$AV$11,'Lease Cycles'!$C$11*'Lease Cycles'!$AW$11/12,IF(CT$6&gt;='Lease Cycles'!$AT$11,'Lease Cycles'!$C$11*'Lease Cycles'!$AU$11/12,'Lease Cycles'!$C$11*INDEX('Lease Cycles'!$CB$11:$CH$11,1,CT61)*(1+INDEX('Lease Cycles'!$CI$11:$CO$11,1,CT61))^INT(INT(CT62/12)/INDEX('Lease Cycles'!$CP$11:$CV$11,1,CT61))/12)))),'Lease Cycles'!$C$11*INDEX('Lease Cycles'!$CB$11:$CH$11,1,CT61)*(1+INDEX('Lease Cycles'!$CI$11:$CO$11,1,CT61))^INT(INT(CT62/12)/INDEX('Lease Cycles'!$CP$11:$CV$11,1,CT61))/12),IF(INDEX('Lease Cycles'!$EF$11:$EL$11,1,CT61)=1,IF(AND('Lease Cycles'!$AZ$11&gt;=INDEX('Lease Cycles'!$BG$11:$BM$11,1,CT61),'Lease Cycles'!$AZ$11&lt;=CT$6),'Lease Cycles'!$C$11*'Lease Cycles'!$BA$11/12,IF(AND('Lease Cycles'!$AX$11&gt;=INDEX('Lease Cycles'!$BG$11:$BM$11,1,CT61),'Lease Cycles'!$AX$11&lt;=CT$6),'Lease Cycles'!$C$11*'Lease Cycles'!$AY$11/12,IF(AND('Lease Cycles'!$AV$11&gt;=INDEX('Lease Cycles'!$BG$11:$BM$11,1,CT61),'Lease Cycles'!$AV$11&lt;=CT$6),'Lease Cycles'!$C$11*'Lease Cycles'!$AW$11/12,IF(AND('Lease Cycles'!$AT$11&gt;=INDEX('Lease Cycles'!$BG$11:$BM$11,1,CT61),'Lease Cycles'!$AT$11&lt;=CT$6),'Lease Cycles'!$C$11*'Lease Cycles'!$AU$11/12,'Lease Cycles'!$C$11*INDEX('Lease Cycles'!$CB$11:$CH$11,1,CT61)*(1+INDEX('Lease Cycles'!$CI$11:$CO$11,1,CT61))^INT(INT(CT62/12)/INDEX('Lease Cycles'!$CP$11:$CV$11,1,CT61))/12)))),'Lease Cycles'!$C$11*INDEX('Lease Cycles'!$CB$11:$CH$11,1,CT61)*(1+INDEX('Lease Cycles'!$CI$11:$CO$11,1,CT61))^INT(INT(CT62/12)/INDEX('Lease Cycles'!$CP$11:$CV$11,1,CT61))/12))),IF('Lease Cycles'!$N$11=1,'Lease Cycles'!$C$11*'Lease Cycles'!$E$11*INDEX('Lease Cycles'!$HE$11:$HK$11,1,CT61)*(1+INDEX('Lease Cycles'!$GQ$11:$GW$11,1,CT61))^INT(INT((CT$6-INDEX('Lease Cycles'!$GJ$11:$GP$11,1,CT61))/12)/INDEX('Lease Cycles'!$GX$11:$HD$11,1,CT61))/12,0)))</f>
        <v>4636.210491707577</v>
      </c>
      <c r="CU64" s="28">
        <f>IF(CU61=0,IF('Lease Cycles'!$F$11&gt;0,'Lease Cycles'!$C$11*'Lease Cycles'!$E$11/12,0),IF(CU63=1,IF('Lease Cycles'!$AT$11&gt;=9999,'Lease Cycles'!$C$11*INDEX('Lease Cycles'!$CB$11:$CH$11,1,CU61)*(1+INDEX('Lease Cycles'!$CI$11:$CO$11,1,CU61))^INT(INT(CU62/12)/INDEX('Lease Cycles'!$CP$11:$CV$11,1,CU61))/12,IF(CU61=1,IF(CU62&gt;=INDEX('Lease Cycles'!$DK$11:$DQ$11,1,CU61),IF(CU$6&gt;='Lease Cycles'!$AZ$11,'Lease Cycles'!$C$11*'Lease Cycles'!$BA$11/12,IF(CU$6&gt;='Lease Cycles'!$AX$11,'Lease Cycles'!$C$11*'Lease Cycles'!$AY$11/12,IF(CU$6&gt;='Lease Cycles'!$AV$11,'Lease Cycles'!$C$11*'Lease Cycles'!$AW$11/12,IF(CU$6&gt;='Lease Cycles'!$AT$11,'Lease Cycles'!$C$11*'Lease Cycles'!$AU$11/12,'Lease Cycles'!$C$11*INDEX('Lease Cycles'!$CB$11:$CH$11,1,CU61)*(1+INDEX('Lease Cycles'!$CI$11:$CO$11,1,CU61))^INT(INT(CU62/12)/INDEX('Lease Cycles'!$CP$11:$CV$11,1,CU61))/12)))),'Lease Cycles'!$C$11*INDEX('Lease Cycles'!$CB$11:$CH$11,1,CU61)*(1+INDEX('Lease Cycles'!$CI$11:$CO$11,1,CU61))^INT(INT(CU62/12)/INDEX('Lease Cycles'!$CP$11:$CV$11,1,CU61))/12),IF(INDEX('Lease Cycles'!$EF$11:$EL$11,1,CU61)=1,IF(AND('Lease Cycles'!$AZ$11&gt;=INDEX('Lease Cycles'!$BG$11:$BM$11,1,CU61),'Lease Cycles'!$AZ$11&lt;=CU$6),'Lease Cycles'!$C$11*'Lease Cycles'!$BA$11/12,IF(AND('Lease Cycles'!$AX$11&gt;=INDEX('Lease Cycles'!$BG$11:$BM$11,1,CU61),'Lease Cycles'!$AX$11&lt;=CU$6),'Lease Cycles'!$C$11*'Lease Cycles'!$AY$11/12,IF(AND('Lease Cycles'!$AV$11&gt;=INDEX('Lease Cycles'!$BG$11:$BM$11,1,CU61),'Lease Cycles'!$AV$11&lt;=CU$6),'Lease Cycles'!$C$11*'Lease Cycles'!$AW$11/12,IF(AND('Lease Cycles'!$AT$11&gt;=INDEX('Lease Cycles'!$BG$11:$BM$11,1,CU61),'Lease Cycles'!$AT$11&lt;=CU$6),'Lease Cycles'!$C$11*'Lease Cycles'!$AU$11/12,'Lease Cycles'!$C$11*INDEX('Lease Cycles'!$CB$11:$CH$11,1,CU61)*(1+INDEX('Lease Cycles'!$CI$11:$CO$11,1,CU61))^INT(INT(CU62/12)/INDEX('Lease Cycles'!$CP$11:$CV$11,1,CU61))/12)))),'Lease Cycles'!$C$11*INDEX('Lease Cycles'!$CB$11:$CH$11,1,CU61)*(1+INDEX('Lease Cycles'!$CI$11:$CO$11,1,CU61))^INT(INT(CU62/12)/INDEX('Lease Cycles'!$CP$11:$CV$11,1,CU61))/12))),IF('Lease Cycles'!$N$11=1,'Lease Cycles'!$C$11*'Lease Cycles'!$E$11*INDEX('Lease Cycles'!$HE$11:$HK$11,1,CU61)*(1+INDEX('Lease Cycles'!$GQ$11:$GW$11,1,CU61))^INT(INT((CU$6-INDEX('Lease Cycles'!$GJ$11:$GP$11,1,CU61))/12)/INDEX('Lease Cycles'!$GX$11:$HD$11,1,CU61))/12,0)))</f>
        <v>4636.210491707577</v>
      </c>
      <c r="CV64" s="28">
        <f>IF(CV61=0,IF('Lease Cycles'!$F$11&gt;0,'Lease Cycles'!$C$11*'Lease Cycles'!$E$11/12,0),IF(CV63=1,IF('Lease Cycles'!$AT$11&gt;=9999,'Lease Cycles'!$C$11*INDEX('Lease Cycles'!$CB$11:$CH$11,1,CV61)*(1+INDEX('Lease Cycles'!$CI$11:$CO$11,1,CV61))^INT(INT(CV62/12)/INDEX('Lease Cycles'!$CP$11:$CV$11,1,CV61))/12,IF(CV61=1,IF(CV62&gt;=INDEX('Lease Cycles'!$DK$11:$DQ$11,1,CV61),IF(CV$6&gt;='Lease Cycles'!$AZ$11,'Lease Cycles'!$C$11*'Lease Cycles'!$BA$11/12,IF(CV$6&gt;='Lease Cycles'!$AX$11,'Lease Cycles'!$C$11*'Lease Cycles'!$AY$11/12,IF(CV$6&gt;='Lease Cycles'!$AV$11,'Lease Cycles'!$C$11*'Lease Cycles'!$AW$11/12,IF(CV$6&gt;='Lease Cycles'!$AT$11,'Lease Cycles'!$C$11*'Lease Cycles'!$AU$11/12,'Lease Cycles'!$C$11*INDEX('Lease Cycles'!$CB$11:$CH$11,1,CV61)*(1+INDEX('Lease Cycles'!$CI$11:$CO$11,1,CV61))^INT(INT(CV62/12)/INDEX('Lease Cycles'!$CP$11:$CV$11,1,CV61))/12)))),'Lease Cycles'!$C$11*INDEX('Lease Cycles'!$CB$11:$CH$11,1,CV61)*(1+INDEX('Lease Cycles'!$CI$11:$CO$11,1,CV61))^INT(INT(CV62/12)/INDEX('Lease Cycles'!$CP$11:$CV$11,1,CV61))/12),IF(INDEX('Lease Cycles'!$EF$11:$EL$11,1,CV61)=1,IF(AND('Lease Cycles'!$AZ$11&gt;=INDEX('Lease Cycles'!$BG$11:$BM$11,1,CV61),'Lease Cycles'!$AZ$11&lt;=CV$6),'Lease Cycles'!$C$11*'Lease Cycles'!$BA$11/12,IF(AND('Lease Cycles'!$AX$11&gt;=INDEX('Lease Cycles'!$BG$11:$BM$11,1,CV61),'Lease Cycles'!$AX$11&lt;=CV$6),'Lease Cycles'!$C$11*'Lease Cycles'!$AY$11/12,IF(AND('Lease Cycles'!$AV$11&gt;=INDEX('Lease Cycles'!$BG$11:$BM$11,1,CV61),'Lease Cycles'!$AV$11&lt;=CV$6),'Lease Cycles'!$C$11*'Lease Cycles'!$AW$11/12,IF(AND('Lease Cycles'!$AT$11&gt;=INDEX('Lease Cycles'!$BG$11:$BM$11,1,CV61),'Lease Cycles'!$AT$11&lt;=CV$6),'Lease Cycles'!$C$11*'Lease Cycles'!$AU$11/12,'Lease Cycles'!$C$11*INDEX('Lease Cycles'!$CB$11:$CH$11,1,CV61)*(1+INDEX('Lease Cycles'!$CI$11:$CO$11,1,CV61))^INT(INT(CV62/12)/INDEX('Lease Cycles'!$CP$11:$CV$11,1,CV61))/12)))),'Lease Cycles'!$C$11*INDEX('Lease Cycles'!$CB$11:$CH$11,1,CV61)*(1+INDEX('Lease Cycles'!$CI$11:$CO$11,1,CV61))^INT(INT(CV62/12)/INDEX('Lease Cycles'!$CP$11:$CV$11,1,CV61))/12))),IF('Lease Cycles'!$N$11=1,'Lease Cycles'!$C$11*'Lease Cycles'!$E$11*INDEX('Lease Cycles'!$HE$11:$HK$11,1,CV61)*(1+INDEX('Lease Cycles'!$GQ$11:$GW$11,1,CV61))^INT(INT((CV$6-INDEX('Lease Cycles'!$GJ$11:$GP$11,1,CV61))/12)/INDEX('Lease Cycles'!$GX$11:$HD$11,1,CV61))/12,0)))</f>
        <v>4636.210491707577</v>
      </c>
      <c r="CW64" s="28">
        <f>IF(CW61=0,IF('Lease Cycles'!$F$11&gt;0,'Lease Cycles'!$C$11*'Lease Cycles'!$E$11/12,0),IF(CW63=1,IF('Lease Cycles'!$AT$11&gt;=9999,'Lease Cycles'!$C$11*INDEX('Lease Cycles'!$CB$11:$CH$11,1,CW61)*(1+INDEX('Lease Cycles'!$CI$11:$CO$11,1,CW61))^INT(INT(CW62/12)/INDEX('Lease Cycles'!$CP$11:$CV$11,1,CW61))/12,IF(CW61=1,IF(CW62&gt;=INDEX('Lease Cycles'!$DK$11:$DQ$11,1,CW61),IF(CW$6&gt;='Lease Cycles'!$AZ$11,'Lease Cycles'!$C$11*'Lease Cycles'!$BA$11/12,IF(CW$6&gt;='Lease Cycles'!$AX$11,'Lease Cycles'!$C$11*'Lease Cycles'!$AY$11/12,IF(CW$6&gt;='Lease Cycles'!$AV$11,'Lease Cycles'!$C$11*'Lease Cycles'!$AW$11/12,IF(CW$6&gt;='Lease Cycles'!$AT$11,'Lease Cycles'!$C$11*'Lease Cycles'!$AU$11/12,'Lease Cycles'!$C$11*INDEX('Lease Cycles'!$CB$11:$CH$11,1,CW61)*(1+INDEX('Lease Cycles'!$CI$11:$CO$11,1,CW61))^INT(INT(CW62/12)/INDEX('Lease Cycles'!$CP$11:$CV$11,1,CW61))/12)))),'Lease Cycles'!$C$11*INDEX('Lease Cycles'!$CB$11:$CH$11,1,CW61)*(1+INDEX('Lease Cycles'!$CI$11:$CO$11,1,CW61))^INT(INT(CW62/12)/INDEX('Lease Cycles'!$CP$11:$CV$11,1,CW61))/12),IF(INDEX('Lease Cycles'!$EF$11:$EL$11,1,CW61)=1,IF(AND('Lease Cycles'!$AZ$11&gt;=INDEX('Lease Cycles'!$BG$11:$BM$11,1,CW61),'Lease Cycles'!$AZ$11&lt;=CW$6),'Lease Cycles'!$C$11*'Lease Cycles'!$BA$11/12,IF(AND('Lease Cycles'!$AX$11&gt;=INDEX('Lease Cycles'!$BG$11:$BM$11,1,CW61),'Lease Cycles'!$AX$11&lt;=CW$6),'Lease Cycles'!$C$11*'Lease Cycles'!$AY$11/12,IF(AND('Lease Cycles'!$AV$11&gt;=INDEX('Lease Cycles'!$BG$11:$BM$11,1,CW61),'Lease Cycles'!$AV$11&lt;=CW$6),'Lease Cycles'!$C$11*'Lease Cycles'!$AW$11/12,IF(AND('Lease Cycles'!$AT$11&gt;=INDEX('Lease Cycles'!$BG$11:$BM$11,1,CW61),'Lease Cycles'!$AT$11&lt;=CW$6),'Lease Cycles'!$C$11*'Lease Cycles'!$AU$11/12,'Lease Cycles'!$C$11*INDEX('Lease Cycles'!$CB$11:$CH$11,1,CW61)*(1+INDEX('Lease Cycles'!$CI$11:$CO$11,1,CW61))^INT(INT(CW62/12)/INDEX('Lease Cycles'!$CP$11:$CV$11,1,CW61))/12)))),'Lease Cycles'!$C$11*INDEX('Lease Cycles'!$CB$11:$CH$11,1,CW61)*(1+INDEX('Lease Cycles'!$CI$11:$CO$11,1,CW61))^INT(INT(CW62/12)/INDEX('Lease Cycles'!$CP$11:$CV$11,1,CW61))/12))),IF('Lease Cycles'!$N$11=1,'Lease Cycles'!$C$11*'Lease Cycles'!$E$11*INDEX('Lease Cycles'!$HE$11:$HK$11,1,CW61)*(1+INDEX('Lease Cycles'!$GQ$11:$GW$11,1,CW61))^INT(INT((CW$6-INDEX('Lease Cycles'!$GJ$11:$GP$11,1,CW61))/12)/INDEX('Lease Cycles'!$GX$11:$HD$11,1,CW61))/12,0)))</f>
        <v>4636.210491707577</v>
      </c>
      <c r="CX64" s="28">
        <f>IF(CX61=0,IF('Lease Cycles'!$F$11&gt;0,'Lease Cycles'!$C$11*'Lease Cycles'!$E$11/12,0),IF(CX63=1,IF('Lease Cycles'!$AT$11&gt;=9999,'Lease Cycles'!$C$11*INDEX('Lease Cycles'!$CB$11:$CH$11,1,CX61)*(1+INDEX('Lease Cycles'!$CI$11:$CO$11,1,CX61))^INT(INT(CX62/12)/INDEX('Lease Cycles'!$CP$11:$CV$11,1,CX61))/12,IF(CX61=1,IF(CX62&gt;=INDEX('Lease Cycles'!$DK$11:$DQ$11,1,CX61),IF(CX$6&gt;='Lease Cycles'!$AZ$11,'Lease Cycles'!$C$11*'Lease Cycles'!$BA$11/12,IF(CX$6&gt;='Lease Cycles'!$AX$11,'Lease Cycles'!$C$11*'Lease Cycles'!$AY$11/12,IF(CX$6&gt;='Lease Cycles'!$AV$11,'Lease Cycles'!$C$11*'Lease Cycles'!$AW$11/12,IF(CX$6&gt;='Lease Cycles'!$AT$11,'Lease Cycles'!$C$11*'Lease Cycles'!$AU$11/12,'Lease Cycles'!$C$11*INDEX('Lease Cycles'!$CB$11:$CH$11,1,CX61)*(1+INDEX('Lease Cycles'!$CI$11:$CO$11,1,CX61))^INT(INT(CX62/12)/INDEX('Lease Cycles'!$CP$11:$CV$11,1,CX61))/12)))),'Lease Cycles'!$C$11*INDEX('Lease Cycles'!$CB$11:$CH$11,1,CX61)*(1+INDEX('Lease Cycles'!$CI$11:$CO$11,1,CX61))^INT(INT(CX62/12)/INDEX('Lease Cycles'!$CP$11:$CV$11,1,CX61))/12),IF(INDEX('Lease Cycles'!$EF$11:$EL$11,1,CX61)=1,IF(AND('Lease Cycles'!$AZ$11&gt;=INDEX('Lease Cycles'!$BG$11:$BM$11,1,CX61),'Lease Cycles'!$AZ$11&lt;=CX$6),'Lease Cycles'!$C$11*'Lease Cycles'!$BA$11/12,IF(AND('Lease Cycles'!$AX$11&gt;=INDEX('Lease Cycles'!$BG$11:$BM$11,1,CX61),'Lease Cycles'!$AX$11&lt;=CX$6),'Lease Cycles'!$C$11*'Lease Cycles'!$AY$11/12,IF(AND('Lease Cycles'!$AV$11&gt;=INDEX('Lease Cycles'!$BG$11:$BM$11,1,CX61),'Lease Cycles'!$AV$11&lt;=CX$6),'Lease Cycles'!$C$11*'Lease Cycles'!$AW$11/12,IF(AND('Lease Cycles'!$AT$11&gt;=INDEX('Lease Cycles'!$BG$11:$BM$11,1,CX61),'Lease Cycles'!$AT$11&lt;=CX$6),'Lease Cycles'!$C$11*'Lease Cycles'!$AU$11/12,'Lease Cycles'!$C$11*INDEX('Lease Cycles'!$CB$11:$CH$11,1,CX61)*(1+INDEX('Lease Cycles'!$CI$11:$CO$11,1,CX61))^INT(INT(CX62/12)/INDEX('Lease Cycles'!$CP$11:$CV$11,1,CX61))/12)))),'Lease Cycles'!$C$11*INDEX('Lease Cycles'!$CB$11:$CH$11,1,CX61)*(1+INDEX('Lease Cycles'!$CI$11:$CO$11,1,CX61))^INT(INT(CX62/12)/INDEX('Lease Cycles'!$CP$11:$CV$11,1,CX61))/12))),IF('Lease Cycles'!$N$11=1,'Lease Cycles'!$C$11*'Lease Cycles'!$E$11*INDEX('Lease Cycles'!$HE$11:$HK$11,1,CX61)*(1+INDEX('Lease Cycles'!$GQ$11:$GW$11,1,CX61))^INT(INT((CX$6-INDEX('Lease Cycles'!$GJ$11:$GP$11,1,CX61))/12)/INDEX('Lease Cycles'!$GX$11:$HD$11,1,CX61))/12,0)))</f>
        <v>4636.210491707577</v>
      </c>
      <c r="CY64" s="28">
        <f>IF(CY61=0,IF('Lease Cycles'!$F$11&gt;0,'Lease Cycles'!$C$11*'Lease Cycles'!$E$11/12,0),IF(CY63=1,IF('Lease Cycles'!$AT$11&gt;=9999,'Lease Cycles'!$C$11*INDEX('Lease Cycles'!$CB$11:$CH$11,1,CY61)*(1+INDEX('Lease Cycles'!$CI$11:$CO$11,1,CY61))^INT(INT(CY62/12)/INDEX('Lease Cycles'!$CP$11:$CV$11,1,CY61))/12,IF(CY61=1,IF(CY62&gt;=INDEX('Lease Cycles'!$DK$11:$DQ$11,1,CY61),IF(CY$6&gt;='Lease Cycles'!$AZ$11,'Lease Cycles'!$C$11*'Lease Cycles'!$BA$11/12,IF(CY$6&gt;='Lease Cycles'!$AX$11,'Lease Cycles'!$C$11*'Lease Cycles'!$AY$11/12,IF(CY$6&gt;='Lease Cycles'!$AV$11,'Lease Cycles'!$C$11*'Lease Cycles'!$AW$11/12,IF(CY$6&gt;='Lease Cycles'!$AT$11,'Lease Cycles'!$C$11*'Lease Cycles'!$AU$11/12,'Lease Cycles'!$C$11*INDEX('Lease Cycles'!$CB$11:$CH$11,1,CY61)*(1+INDEX('Lease Cycles'!$CI$11:$CO$11,1,CY61))^INT(INT(CY62/12)/INDEX('Lease Cycles'!$CP$11:$CV$11,1,CY61))/12)))),'Lease Cycles'!$C$11*INDEX('Lease Cycles'!$CB$11:$CH$11,1,CY61)*(1+INDEX('Lease Cycles'!$CI$11:$CO$11,1,CY61))^INT(INT(CY62/12)/INDEX('Lease Cycles'!$CP$11:$CV$11,1,CY61))/12),IF(INDEX('Lease Cycles'!$EF$11:$EL$11,1,CY61)=1,IF(AND('Lease Cycles'!$AZ$11&gt;=INDEX('Lease Cycles'!$BG$11:$BM$11,1,CY61),'Lease Cycles'!$AZ$11&lt;=CY$6),'Lease Cycles'!$C$11*'Lease Cycles'!$BA$11/12,IF(AND('Lease Cycles'!$AX$11&gt;=INDEX('Lease Cycles'!$BG$11:$BM$11,1,CY61),'Lease Cycles'!$AX$11&lt;=CY$6),'Lease Cycles'!$C$11*'Lease Cycles'!$AY$11/12,IF(AND('Lease Cycles'!$AV$11&gt;=INDEX('Lease Cycles'!$BG$11:$BM$11,1,CY61),'Lease Cycles'!$AV$11&lt;=CY$6),'Lease Cycles'!$C$11*'Lease Cycles'!$AW$11/12,IF(AND('Lease Cycles'!$AT$11&gt;=INDEX('Lease Cycles'!$BG$11:$BM$11,1,CY61),'Lease Cycles'!$AT$11&lt;=CY$6),'Lease Cycles'!$C$11*'Lease Cycles'!$AU$11/12,'Lease Cycles'!$C$11*INDEX('Lease Cycles'!$CB$11:$CH$11,1,CY61)*(1+INDEX('Lease Cycles'!$CI$11:$CO$11,1,CY61))^INT(INT(CY62/12)/INDEX('Lease Cycles'!$CP$11:$CV$11,1,CY61))/12)))),'Lease Cycles'!$C$11*INDEX('Lease Cycles'!$CB$11:$CH$11,1,CY61)*(1+INDEX('Lease Cycles'!$CI$11:$CO$11,1,CY61))^INT(INT(CY62/12)/INDEX('Lease Cycles'!$CP$11:$CV$11,1,CY61))/12))),IF('Lease Cycles'!$N$11=1,'Lease Cycles'!$C$11*'Lease Cycles'!$E$11*INDEX('Lease Cycles'!$HE$11:$HK$11,1,CY61)*(1+INDEX('Lease Cycles'!$GQ$11:$GW$11,1,CY61))^INT(INT((CY$6-INDEX('Lease Cycles'!$GJ$11:$GP$11,1,CY61))/12)/INDEX('Lease Cycles'!$GX$11:$HD$11,1,CY61))/12,0)))</f>
        <v>4636.210491707577</v>
      </c>
      <c r="CZ64" s="28">
        <f>IF(CZ61=0,IF('Lease Cycles'!$F$11&gt;0,'Lease Cycles'!$C$11*'Lease Cycles'!$E$11/12,0),IF(CZ63=1,IF('Lease Cycles'!$AT$11&gt;=9999,'Lease Cycles'!$C$11*INDEX('Lease Cycles'!$CB$11:$CH$11,1,CZ61)*(1+INDEX('Lease Cycles'!$CI$11:$CO$11,1,CZ61))^INT(INT(CZ62/12)/INDEX('Lease Cycles'!$CP$11:$CV$11,1,CZ61))/12,IF(CZ61=1,IF(CZ62&gt;=INDEX('Lease Cycles'!$DK$11:$DQ$11,1,CZ61),IF(CZ$6&gt;='Lease Cycles'!$AZ$11,'Lease Cycles'!$C$11*'Lease Cycles'!$BA$11/12,IF(CZ$6&gt;='Lease Cycles'!$AX$11,'Lease Cycles'!$C$11*'Lease Cycles'!$AY$11/12,IF(CZ$6&gt;='Lease Cycles'!$AV$11,'Lease Cycles'!$C$11*'Lease Cycles'!$AW$11/12,IF(CZ$6&gt;='Lease Cycles'!$AT$11,'Lease Cycles'!$C$11*'Lease Cycles'!$AU$11/12,'Lease Cycles'!$C$11*INDEX('Lease Cycles'!$CB$11:$CH$11,1,CZ61)*(1+INDEX('Lease Cycles'!$CI$11:$CO$11,1,CZ61))^INT(INT(CZ62/12)/INDEX('Lease Cycles'!$CP$11:$CV$11,1,CZ61))/12)))),'Lease Cycles'!$C$11*INDEX('Lease Cycles'!$CB$11:$CH$11,1,CZ61)*(1+INDEX('Lease Cycles'!$CI$11:$CO$11,1,CZ61))^INT(INT(CZ62/12)/INDEX('Lease Cycles'!$CP$11:$CV$11,1,CZ61))/12),IF(INDEX('Lease Cycles'!$EF$11:$EL$11,1,CZ61)=1,IF(AND('Lease Cycles'!$AZ$11&gt;=INDEX('Lease Cycles'!$BG$11:$BM$11,1,CZ61),'Lease Cycles'!$AZ$11&lt;=CZ$6),'Lease Cycles'!$C$11*'Lease Cycles'!$BA$11/12,IF(AND('Lease Cycles'!$AX$11&gt;=INDEX('Lease Cycles'!$BG$11:$BM$11,1,CZ61),'Lease Cycles'!$AX$11&lt;=CZ$6),'Lease Cycles'!$C$11*'Lease Cycles'!$AY$11/12,IF(AND('Lease Cycles'!$AV$11&gt;=INDEX('Lease Cycles'!$BG$11:$BM$11,1,CZ61),'Lease Cycles'!$AV$11&lt;=CZ$6),'Lease Cycles'!$C$11*'Lease Cycles'!$AW$11/12,IF(AND('Lease Cycles'!$AT$11&gt;=INDEX('Lease Cycles'!$BG$11:$BM$11,1,CZ61),'Lease Cycles'!$AT$11&lt;=CZ$6),'Lease Cycles'!$C$11*'Lease Cycles'!$AU$11/12,'Lease Cycles'!$C$11*INDEX('Lease Cycles'!$CB$11:$CH$11,1,CZ61)*(1+INDEX('Lease Cycles'!$CI$11:$CO$11,1,CZ61))^INT(INT(CZ62/12)/INDEX('Lease Cycles'!$CP$11:$CV$11,1,CZ61))/12)))),'Lease Cycles'!$C$11*INDEX('Lease Cycles'!$CB$11:$CH$11,1,CZ61)*(1+INDEX('Lease Cycles'!$CI$11:$CO$11,1,CZ61))^INT(INT(CZ62/12)/INDEX('Lease Cycles'!$CP$11:$CV$11,1,CZ61))/12))),IF('Lease Cycles'!$N$11=1,'Lease Cycles'!$C$11*'Lease Cycles'!$E$11*INDEX('Lease Cycles'!$HE$11:$HK$11,1,CZ61)*(1+INDEX('Lease Cycles'!$GQ$11:$GW$11,1,CZ61))^INT(INT((CZ$6-INDEX('Lease Cycles'!$GJ$11:$GP$11,1,CZ61))/12)/INDEX('Lease Cycles'!$GX$11:$HD$11,1,CZ61))/12,0)))</f>
        <v>4636.210491707577</v>
      </c>
      <c r="DA64" s="28">
        <f>IF(DA61=0,IF('Lease Cycles'!$F$11&gt;0,'Lease Cycles'!$C$11*'Lease Cycles'!$E$11/12,0),IF(DA63=1,IF('Lease Cycles'!$AT$11&gt;=9999,'Lease Cycles'!$C$11*INDEX('Lease Cycles'!$CB$11:$CH$11,1,DA61)*(1+INDEX('Lease Cycles'!$CI$11:$CO$11,1,DA61))^INT(INT(DA62/12)/INDEX('Lease Cycles'!$CP$11:$CV$11,1,DA61))/12,IF(DA61=1,IF(DA62&gt;=INDEX('Lease Cycles'!$DK$11:$DQ$11,1,DA61),IF(DA$6&gt;='Lease Cycles'!$AZ$11,'Lease Cycles'!$C$11*'Lease Cycles'!$BA$11/12,IF(DA$6&gt;='Lease Cycles'!$AX$11,'Lease Cycles'!$C$11*'Lease Cycles'!$AY$11/12,IF(DA$6&gt;='Lease Cycles'!$AV$11,'Lease Cycles'!$C$11*'Lease Cycles'!$AW$11/12,IF(DA$6&gt;='Lease Cycles'!$AT$11,'Lease Cycles'!$C$11*'Lease Cycles'!$AU$11/12,'Lease Cycles'!$C$11*INDEX('Lease Cycles'!$CB$11:$CH$11,1,DA61)*(1+INDEX('Lease Cycles'!$CI$11:$CO$11,1,DA61))^INT(INT(DA62/12)/INDEX('Lease Cycles'!$CP$11:$CV$11,1,DA61))/12)))),'Lease Cycles'!$C$11*INDEX('Lease Cycles'!$CB$11:$CH$11,1,DA61)*(1+INDEX('Lease Cycles'!$CI$11:$CO$11,1,DA61))^INT(INT(DA62/12)/INDEX('Lease Cycles'!$CP$11:$CV$11,1,DA61))/12),IF(INDEX('Lease Cycles'!$EF$11:$EL$11,1,DA61)=1,IF(AND('Lease Cycles'!$AZ$11&gt;=INDEX('Lease Cycles'!$BG$11:$BM$11,1,DA61),'Lease Cycles'!$AZ$11&lt;=DA$6),'Lease Cycles'!$C$11*'Lease Cycles'!$BA$11/12,IF(AND('Lease Cycles'!$AX$11&gt;=INDEX('Lease Cycles'!$BG$11:$BM$11,1,DA61),'Lease Cycles'!$AX$11&lt;=DA$6),'Lease Cycles'!$C$11*'Lease Cycles'!$AY$11/12,IF(AND('Lease Cycles'!$AV$11&gt;=INDEX('Lease Cycles'!$BG$11:$BM$11,1,DA61),'Lease Cycles'!$AV$11&lt;=DA$6),'Lease Cycles'!$C$11*'Lease Cycles'!$AW$11/12,IF(AND('Lease Cycles'!$AT$11&gt;=INDEX('Lease Cycles'!$BG$11:$BM$11,1,DA61),'Lease Cycles'!$AT$11&lt;=DA$6),'Lease Cycles'!$C$11*'Lease Cycles'!$AU$11/12,'Lease Cycles'!$C$11*INDEX('Lease Cycles'!$CB$11:$CH$11,1,DA61)*(1+INDEX('Lease Cycles'!$CI$11:$CO$11,1,DA61))^INT(INT(DA62/12)/INDEX('Lease Cycles'!$CP$11:$CV$11,1,DA61))/12)))),'Lease Cycles'!$C$11*INDEX('Lease Cycles'!$CB$11:$CH$11,1,DA61)*(1+INDEX('Lease Cycles'!$CI$11:$CO$11,1,DA61))^INT(INT(DA62/12)/INDEX('Lease Cycles'!$CP$11:$CV$11,1,DA61))/12))),IF('Lease Cycles'!$N$11=1,'Lease Cycles'!$C$11*'Lease Cycles'!$E$11*INDEX('Lease Cycles'!$HE$11:$HK$11,1,DA61)*(1+INDEX('Lease Cycles'!$GQ$11:$GW$11,1,DA61))^INT(INT((DA$6-INDEX('Lease Cycles'!$GJ$11:$GP$11,1,DA61))/12)/INDEX('Lease Cycles'!$GX$11:$HD$11,1,DA61))/12,0)))</f>
        <v>4636.210491707577</v>
      </c>
      <c r="DB64" s="28">
        <f>IF(DB61=0,IF('Lease Cycles'!$F$11&gt;0,'Lease Cycles'!$C$11*'Lease Cycles'!$E$11/12,0),IF(DB63=1,IF('Lease Cycles'!$AT$11&gt;=9999,'Lease Cycles'!$C$11*INDEX('Lease Cycles'!$CB$11:$CH$11,1,DB61)*(1+INDEX('Lease Cycles'!$CI$11:$CO$11,1,DB61))^INT(INT(DB62/12)/INDEX('Lease Cycles'!$CP$11:$CV$11,1,DB61))/12,IF(DB61=1,IF(DB62&gt;=INDEX('Lease Cycles'!$DK$11:$DQ$11,1,DB61),IF(DB$6&gt;='Lease Cycles'!$AZ$11,'Lease Cycles'!$C$11*'Lease Cycles'!$BA$11/12,IF(DB$6&gt;='Lease Cycles'!$AX$11,'Lease Cycles'!$C$11*'Lease Cycles'!$AY$11/12,IF(DB$6&gt;='Lease Cycles'!$AV$11,'Lease Cycles'!$C$11*'Lease Cycles'!$AW$11/12,IF(DB$6&gt;='Lease Cycles'!$AT$11,'Lease Cycles'!$C$11*'Lease Cycles'!$AU$11/12,'Lease Cycles'!$C$11*INDEX('Lease Cycles'!$CB$11:$CH$11,1,DB61)*(1+INDEX('Lease Cycles'!$CI$11:$CO$11,1,DB61))^INT(INT(DB62/12)/INDEX('Lease Cycles'!$CP$11:$CV$11,1,DB61))/12)))),'Lease Cycles'!$C$11*INDEX('Lease Cycles'!$CB$11:$CH$11,1,DB61)*(1+INDEX('Lease Cycles'!$CI$11:$CO$11,1,DB61))^INT(INT(DB62/12)/INDEX('Lease Cycles'!$CP$11:$CV$11,1,DB61))/12),IF(INDEX('Lease Cycles'!$EF$11:$EL$11,1,DB61)=1,IF(AND('Lease Cycles'!$AZ$11&gt;=INDEX('Lease Cycles'!$BG$11:$BM$11,1,DB61),'Lease Cycles'!$AZ$11&lt;=DB$6),'Lease Cycles'!$C$11*'Lease Cycles'!$BA$11/12,IF(AND('Lease Cycles'!$AX$11&gt;=INDEX('Lease Cycles'!$BG$11:$BM$11,1,DB61),'Lease Cycles'!$AX$11&lt;=DB$6),'Lease Cycles'!$C$11*'Lease Cycles'!$AY$11/12,IF(AND('Lease Cycles'!$AV$11&gt;=INDEX('Lease Cycles'!$BG$11:$BM$11,1,DB61),'Lease Cycles'!$AV$11&lt;=DB$6),'Lease Cycles'!$C$11*'Lease Cycles'!$AW$11/12,IF(AND('Lease Cycles'!$AT$11&gt;=INDEX('Lease Cycles'!$BG$11:$BM$11,1,DB61),'Lease Cycles'!$AT$11&lt;=DB$6),'Lease Cycles'!$C$11*'Lease Cycles'!$AU$11/12,'Lease Cycles'!$C$11*INDEX('Lease Cycles'!$CB$11:$CH$11,1,DB61)*(1+INDEX('Lease Cycles'!$CI$11:$CO$11,1,DB61))^INT(INT(DB62/12)/INDEX('Lease Cycles'!$CP$11:$CV$11,1,DB61))/12)))),'Lease Cycles'!$C$11*INDEX('Lease Cycles'!$CB$11:$CH$11,1,DB61)*(1+INDEX('Lease Cycles'!$CI$11:$CO$11,1,DB61))^INT(INT(DB62/12)/INDEX('Lease Cycles'!$CP$11:$CV$11,1,DB61))/12))),IF('Lease Cycles'!$N$11=1,'Lease Cycles'!$C$11*'Lease Cycles'!$E$11*INDEX('Lease Cycles'!$HE$11:$HK$11,1,DB61)*(1+INDEX('Lease Cycles'!$GQ$11:$GW$11,1,DB61))^INT(INT((DB$6-INDEX('Lease Cycles'!$GJ$11:$GP$11,1,DB61))/12)/INDEX('Lease Cycles'!$GX$11:$HD$11,1,DB61))/12,0)))</f>
        <v>4775.296806458804</v>
      </c>
      <c r="DC64" s="28">
        <f>IF(DC61=0,IF('Lease Cycles'!$F$11&gt;0,'Lease Cycles'!$C$11*'Lease Cycles'!$E$11/12,0),IF(DC63=1,IF('Lease Cycles'!$AT$11&gt;=9999,'Lease Cycles'!$C$11*INDEX('Lease Cycles'!$CB$11:$CH$11,1,DC61)*(1+INDEX('Lease Cycles'!$CI$11:$CO$11,1,DC61))^INT(INT(DC62/12)/INDEX('Lease Cycles'!$CP$11:$CV$11,1,DC61))/12,IF(DC61=1,IF(DC62&gt;=INDEX('Lease Cycles'!$DK$11:$DQ$11,1,DC61),IF(DC$6&gt;='Lease Cycles'!$AZ$11,'Lease Cycles'!$C$11*'Lease Cycles'!$BA$11/12,IF(DC$6&gt;='Lease Cycles'!$AX$11,'Lease Cycles'!$C$11*'Lease Cycles'!$AY$11/12,IF(DC$6&gt;='Lease Cycles'!$AV$11,'Lease Cycles'!$C$11*'Lease Cycles'!$AW$11/12,IF(DC$6&gt;='Lease Cycles'!$AT$11,'Lease Cycles'!$C$11*'Lease Cycles'!$AU$11/12,'Lease Cycles'!$C$11*INDEX('Lease Cycles'!$CB$11:$CH$11,1,DC61)*(1+INDEX('Lease Cycles'!$CI$11:$CO$11,1,DC61))^INT(INT(DC62/12)/INDEX('Lease Cycles'!$CP$11:$CV$11,1,DC61))/12)))),'Lease Cycles'!$C$11*INDEX('Lease Cycles'!$CB$11:$CH$11,1,DC61)*(1+INDEX('Lease Cycles'!$CI$11:$CO$11,1,DC61))^INT(INT(DC62/12)/INDEX('Lease Cycles'!$CP$11:$CV$11,1,DC61))/12),IF(INDEX('Lease Cycles'!$EF$11:$EL$11,1,DC61)=1,IF(AND('Lease Cycles'!$AZ$11&gt;=INDEX('Lease Cycles'!$BG$11:$BM$11,1,DC61),'Lease Cycles'!$AZ$11&lt;=DC$6),'Lease Cycles'!$C$11*'Lease Cycles'!$BA$11/12,IF(AND('Lease Cycles'!$AX$11&gt;=INDEX('Lease Cycles'!$BG$11:$BM$11,1,DC61),'Lease Cycles'!$AX$11&lt;=DC$6),'Lease Cycles'!$C$11*'Lease Cycles'!$AY$11/12,IF(AND('Lease Cycles'!$AV$11&gt;=INDEX('Lease Cycles'!$BG$11:$BM$11,1,DC61),'Lease Cycles'!$AV$11&lt;=DC$6),'Lease Cycles'!$C$11*'Lease Cycles'!$AW$11/12,IF(AND('Lease Cycles'!$AT$11&gt;=INDEX('Lease Cycles'!$BG$11:$BM$11,1,DC61),'Lease Cycles'!$AT$11&lt;=DC$6),'Lease Cycles'!$C$11*'Lease Cycles'!$AU$11/12,'Lease Cycles'!$C$11*INDEX('Lease Cycles'!$CB$11:$CH$11,1,DC61)*(1+INDEX('Lease Cycles'!$CI$11:$CO$11,1,DC61))^INT(INT(DC62/12)/INDEX('Lease Cycles'!$CP$11:$CV$11,1,DC61))/12)))),'Lease Cycles'!$C$11*INDEX('Lease Cycles'!$CB$11:$CH$11,1,DC61)*(1+INDEX('Lease Cycles'!$CI$11:$CO$11,1,DC61))^INT(INT(DC62/12)/INDEX('Lease Cycles'!$CP$11:$CV$11,1,DC61))/12))),IF('Lease Cycles'!$N$11=1,'Lease Cycles'!$C$11*'Lease Cycles'!$E$11*INDEX('Lease Cycles'!$HE$11:$HK$11,1,DC61)*(1+INDEX('Lease Cycles'!$GQ$11:$GW$11,1,DC61))^INT(INT((DC$6-INDEX('Lease Cycles'!$GJ$11:$GP$11,1,DC61))/12)/INDEX('Lease Cycles'!$GX$11:$HD$11,1,DC61))/12,0)))</f>
        <v>4775.296806458804</v>
      </c>
      <c r="DD64" s="28">
        <f>IF(DD61=0,IF('Lease Cycles'!$F$11&gt;0,'Lease Cycles'!$C$11*'Lease Cycles'!$E$11/12,0),IF(DD63=1,IF('Lease Cycles'!$AT$11&gt;=9999,'Lease Cycles'!$C$11*INDEX('Lease Cycles'!$CB$11:$CH$11,1,DD61)*(1+INDEX('Lease Cycles'!$CI$11:$CO$11,1,DD61))^INT(INT(DD62/12)/INDEX('Lease Cycles'!$CP$11:$CV$11,1,DD61))/12,IF(DD61=1,IF(DD62&gt;=INDEX('Lease Cycles'!$DK$11:$DQ$11,1,DD61),IF(DD$6&gt;='Lease Cycles'!$AZ$11,'Lease Cycles'!$C$11*'Lease Cycles'!$BA$11/12,IF(DD$6&gt;='Lease Cycles'!$AX$11,'Lease Cycles'!$C$11*'Lease Cycles'!$AY$11/12,IF(DD$6&gt;='Lease Cycles'!$AV$11,'Lease Cycles'!$C$11*'Lease Cycles'!$AW$11/12,IF(DD$6&gt;='Lease Cycles'!$AT$11,'Lease Cycles'!$C$11*'Lease Cycles'!$AU$11/12,'Lease Cycles'!$C$11*INDEX('Lease Cycles'!$CB$11:$CH$11,1,DD61)*(1+INDEX('Lease Cycles'!$CI$11:$CO$11,1,DD61))^INT(INT(DD62/12)/INDEX('Lease Cycles'!$CP$11:$CV$11,1,DD61))/12)))),'Lease Cycles'!$C$11*INDEX('Lease Cycles'!$CB$11:$CH$11,1,DD61)*(1+INDEX('Lease Cycles'!$CI$11:$CO$11,1,DD61))^INT(INT(DD62/12)/INDEX('Lease Cycles'!$CP$11:$CV$11,1,DD61))/12),IF(INDEX('Lease Cycles'!$EF$11:$EL$11,1,DD61)=1,IF(AND('Lease Cycles'!$AZ$11&gt;=INDEX('Lease Cycles'!$BG$11:$BM$11,1,DD61),'Lease Cycles'!$AZ$11&lt;=DD$6),'Lease Cycles'!$C$11*'Lease Cycles'!$BA$11/12,IF(AND('Lease Cycles'!$AX$11&gt;=INDEX('Lease Cycles'!$BG$11:$BM$11,1,DD61),'Lease Cycles'!$AX$11&lt;=DD$6),'Lease Cycles'!$C$11*'Lease Cycles'!$AY$11/12,IF(AND('Lease Cycles'!$AV$11&gt;=INDEX('Lease Cycles'!$BG$11:$BM$11,1,DD61),'Lease Cycles'!$AV$11&lt;=DD$6),'Lease Cycles'!$C$11*'Lease Cycles'!$AW$11/12,IF(AND('Lease Cycles'!$AT$11&gt;=INDEX('Lease Cycles'!$BG$11:$BM$11,1,DD61),'Lease Cycles'!$AT$11&lt;=DD$6),'Lease Cycles'!$C$11*'Lease Cycles'!$AU$11/12,'Lease Cycles'!$C$11*INDEX('Lease Cycles'!$CB$11:$CH$11,1,DD61)*(1+INDEX('Lease Cycles'!$CI$11:$CO$11,1,DD61))^INT(INT(DD62/12)/INDEX('Lease Cycles'!$CP$11:$CV$11,1,DD61))/12)))),'Lease Cycles'!$C$11*INDEX('Lease Cycles'!$CB$11:$CH$11,1,DD61)*(1+INDEX('Lease Cycles'!$CI$11:$CO$11,1,DD61))^INT(INT(DD62/12)/INDEX('Lease Cycles'!$CP$11:$CV$11,1,DD61))/12))),IF('Lease Cycles'!$N$11=1,'Lease Cycles'!$C$11*'Lease Cycles'!$E$11*INDEX('Lease Cycles'!$HE$11:$HK$11,1,DD61)*(1+INDEX('Lease Cycles'!$GQ$11:$GW$11,1,DD61))^INT(INT((DD$6-INDEX('Lease Cycles'!$GJ$11:$GP$11,1,DD61))/12)/INDEX('Lease Cycles'!$GX$11:$HD$11,1,DD61))/12,0)))</f>
        <v>4775.296806458804</v>
      </c>
      <c r="DE64" s="28">
        <f>IF(DE61=0,IF('Lease Cycles'!$F$11&gt;0,'Lease Cycles'!$C$11*'Lease Cycles'!$E$11/12,0),IF(DE63=1,IF('Lease Cycles'!$AT$11&gt;=9999,'Lease Cycles'!$C$11*INDEX('Lease Cycles'!$CB$11:$CH$11,1,DE61)*(1+INDEX('Lease Cycles'!$CI$11:$CO$11,1,DE61))^INT(INT(DE62/12)/INDEX('Lease Cycles'!$CP$11:$CV$11,1,DE61))/12,IF(DE61=1,IF(DE62&gt;=INDEX('Lease Cycles'!$DK$11:$DQ$11,1,DE61),IF(DE$6&gt;='Lease Cycles'!$AZ$11,'Lease Cycles'!$C$11*'Lease Cycles'!$BA$11/12,IF(DE$6&gt;='Lease Cycles'!$AX$11,'Lease Cycles'!$C$11*'Lease Cycles'!$AY$11/12,IF(DE$6&gt;='Lease Cycles'!$AV$11,'Lease Cycles'!$C$11*'Lease Cycles'!$AW$11/12,IF(DE$6&gt;='Lease Cycles'!$AT$11,'Lease Cycles'!$C$11*'Lease Cycles'!$AU$11/12,'Lease Cycles'!$C$11*INDEX('Lease Cycles'!$CB$11:$CH$11,1,DE61)*(1+INDEX('Lease Cycles'!$CI$11:$CO$11,1,DE61))^INT(INT(DE62/12)/INDEX('Lease Cycles'!$CP$11:$CV$11,1,DE61))/12)))),'Lease Cycles'!$C$11*INDEX('Lease Cycles'!$CB$11:$CH$11,1,DE61)*(1+INDEX('Lease Cycles'!$CI$11:$CO$11,1,DE61))^INT(INT(DE62/12)/INDEX('Lease Cycles'!$CP$11:$CV$11,1,DE61))/12),IF(INDEX('Lease Cycles'!$EF$11:$EL$11,1,DE61)=1,IF(AND('Lease Cycles'!$AZ$11&gt;=INDEX('Lease Cycles'!$BG$11:$BM$11,1,DE61),'Lease Cycles'!$AZ$11&lt;=DE$6),'Lease Cycles'!$C$11*'Lease Cycles'!$BA$11/12,IF(AND('Lease Cycles'!$AX$11&gt;=INDEX('Lease Cycles'!$BG$11:$BM$11,1,DE61),'Lease Cycles'!$AX$11&lt;=DE$6),'Lease Cycles'!$C$11*'Lease Cycles'!$AY$11/12,IF(AND('Lease Cycles'!$AV$11&gt;=INDEX('Lease Cycles'!$BG$11:$BM$11,1,DE61),'Lease Cycles'!$AV$11&lt;=DE$6),'Lease Cycles'!$C$11*'Lease Cycles'!$AW$11/12,IF(AND('Lease Cycles'!$AT$11&gt;=INDEX('Lease Cycles'!$BG$11:$BM$11,1,DE61),'Lease Cycles'!$AT$11&lt;=DE$6),'Lease Cycles'!$C$11*'Lease Cycles'!$AU$11/12,'Lease Cycles'!$C$11*INDEX('Lease Cycles'!$CB$11:$CH$11,1,DE61)*(1+INDEX('Lease Cycles'!$CI$11:$CO$11,1,DE61))^INT(INT(DE62/12)/INDEX('Lease Cycles'!$CP$11:$CV$11,1,DE61))/12)))),'Lease Cycles'!$C$11*INDEX('Lease Cycles'!$CB$11:$CH$11,1,DE61)*(1+INDEX('Lease Cycles'!$CI$11:$CO$11,1,DE61))^INT(INT(DE62/12)/INDEX('Lease Cycles'!$CP$11:$CV$11,1,DE61))/12))),IF('Lease Cycles'!$N$11=1,'Lease Cycles'!$C$11*'Lease Cycles'!$E$11*INDEX('Lease Cycles'!$HE$11:$HK$11,1,DE61)*(1+INDEX('Lease Cycles'!$GQ$11:$GW$11,1,DE61))^INT(INT((DE$6-INDEX('Lease Cycles'!$GJ$11:$GP$11,1,DE61))/12)/INDEX('Lease Cycles'!$GX$11:$HD$11,1,DE61))/12,0)))</f>
        <v>4775.296806458804</v>
      </c>
      <c r="DF64" s="28">
        <f>IF(DF61=0,IF('Lease Cycles'!$F$11&gt;0,'Lease Cycles'!$C$11*'Lease Cycles'!$E$11/12,0),IF(DF63=1,IF('Lease Cycles'!$AT$11&gt;=9999,'Lease Cycles'!$C$11*INDEX('Lease Cycles'!$CB$11:$CH$11,1,DF61)*(1+INDEX('Lease Cycles'!$CI$11:$CO$11,1,DF61))^INT(INT(DF62/12)/INDEX('Lease Cycles'!$CP$11:$CV$11,1,DF61))/12,IF(DF61=1,IF(DF62&gt;=INDEX('Lease Cycles'!$DK$11:$DQ$11,1,DF61),IF(DF$6&gt;='Lease Cycles'!$AZ$11,'Lease Cycles'!$C$11*'Lease Cycles'!$BA$11/12,IF(DF$6&gt;='Lease Cycles'!$AX$11,'Lease Cycles'!$C$11*'Lease Cycles'!$AY$11/12,IF(DF$6&gt;='Lease Cycles'!$AV$11,'Lease Cycles'!$C$11*'Lease Cycles'!$AW$11/12,IF(DF$6&gt;='Lease Cycles'!$AT$11,'Lease Cycles'!$C$11*'Lease Cycles'!$AU$11/12,'Lease Cycles'!$C$11*INDEX('Lease Cycles'!$CB$11:$CH$11,1,DF61)*(1+INDEX('Lease Cycles'!$CI$11:$CO$11,1,DF61))^INT(INT(DF62/12)/INDEX('Lease Cycles'!$CP$11:$CV$11,1,DF61))/12)))),'Lease Cycles'!$C$11*INDEX('Lease Cycles'!$CB$11:$CH$11,1,DF61)*(1+INDEX('Lease Cycles'!$CI$11:$CO$11,1,DF61))^INT(INT(DF62/12)/INDEX('Lease Cycles'!$CP$11:$CV$11,1,DF61))/12),IF(INDEX('Lease Cycles'!$EF$11:$EL$11,1,DF61)=1,IF(AND('Lease Cycles'!$AZ$11&gt;=INDEX('Lease Cycles'!$BG$11:$BM$11,1,DF61),'Lease Cycles'!$AZ$11&lt;=DF$6),'Lease Cycles'!$C$11*'Lease Cycles'!$BA$11/12,IF(AND('Lease Cycles'!$AX$11&gt;=INDEX('Lease Cycles'!$BG$11:$BM$11,1,DF61),'Lease Cycles'!$AX$11&lt;=DF$6),'Lease Cycles'!$C$11*'Lease Cycles'!$AY$11/12,IF(AND('Lease Cycles'!$AV$11&gt;=INDEX('Lease Cycles'!$BG$11:$BM$11,1,DF61),'Lease Cycles'!$AV$11&lt;=DF$6),'Lease Cycles'!$C$11*'Lease Cycles'!$AW$11/12,IF(AND('Lease Cycles'!$AT$11&gt;=INDEX('Lease Cycles'!$BG$11:$BM$11,1,DF61),'Lease Cycles'!$AT$11&lt;=DF$6),'Lease Cycles'!$C$11*'Lease Cycles'!$AU$11/12,'Lease Cycles'!$C$11*INDEX('Lease Cycles'!$CB$11:$CH$11,1,DF61)*(1+INDEX('Lease Cycles'!$CI$11:$CO$11,1,DF61))^INT(INT(DF62/12)/INDEX('Lease Cycles'!$CP$11:$CV$11,1,DF61))/12)))),'Lease Cycles'!$C$11*INDEX('Lease Cycles'!$CB$11:$CH$11,1,DF61)*(1+INDEX('Lease Cycles'!$CI$11:$CO$11,1,DF61))^INT(INT(DF62/12)/INDEX('Lease Cycles'!$CP$11:$CV$11,1,DF61))/12))),IF('Lease Cycles'!$N$11=1,'Lease Cycles'!$C$11*'Lease Cycles'!$E$11*INDEX('Lease Cycles'!$HE$11:$HK$11,1,DF61)*(1+INDEX('Lease Cycles'!$GQ$11:$GW$11,1,DF61))^INT(INT((DF$6-INDEX('Lease Cycles'!$GJ$11:$GP$11,1,DF61))/12)/INDEX('Lease Cycles'!$GX$11:$HD$11,1,DF61))/12,0)))</f>
        <v>4775.296806458804</v>
      </c>
      <c r="DG64" s="28">
        <f>IF(DG61=0,IF('Lease Cycles'!$F$11&gt;0,'Lease Cycles'!$C$11*'Lease Cycles'!$E$11/12,0),IF(DG63=1,IF('Lease Cycles'!$AT$11&gt;=9999,'Lease Cycles'!$C$11*INDEX('Lease Cycles'!$CB$11:$CH$11,1,DG61)*(1+INDEX('Lease Cycles'!$CI$11:$CO$11,1,DG61))^INT(INT(DG62/12)/INDEX('Lease Cycles'!$CP$11:$CV$11,1,DG61))/12,IF(DG61=1,IF(DG62&gt;=INDEX('Lease Cycles'!$DK$11:$DQ$11,1,DG61),IF(DG$6&gt;='Lease Cycles'!$AZ$11,'Lease Cycles'!$C$11*'Lease Cycles'!$BA$11/12,IF(DG$6&gt;='Lease Cycles'!$AX$11,'Lease Cycles'!$C$11*'Lease Cycles'!$AY$11/12,IF(DG$6&gt;='Lease Cycles'!$AV$11,'Lease Cycles'!$C$11*'Lease Cycles'!$AW$11/12,IF(DG$6&gt;='Lease Cycles'!$AT$11,'Lease Cycles'!$C$11*'Lease Cycles'!$AU$11/12,'Lease Cycles'!$C$11*INDEX('Lease Cycles'!$CB$11:$CH$11,1,DG61)*(1+INDEX('Lease Cycles'!$CI$11:$CO$11,1,DG61))^INT(INT(DG62/12)/INDEX('Lease Cycles'!$CP$11:$CV$11,1,DG61))/12)))),'Lease Cycles'!$C$11*INDEX('Lease Cycles'!$CB$11:$CH$11,1,DG61)*(1+INDEX('Lease Cycles'!$CI$11:$CO$11,1,DG61))^INT(INT(DG62/12)/INDEX('Lease Cycles'!$CP$11:$CV$11,1,DG61))/12),IF(INDEX('Lease Cycles'!$EF$11:$EL$11,1,DG61)=1,IF(AND('Lease Cycles'!$AZ$11&gt;=INDEX('Lease Cycles'!$BG$11:$BM$11,1,DG61),'Lease Cycles'!$AZ$11&lt;=DG$6),'Lease Cycles'!$C$11*'Lease Cycles'!$BA$11/12,IF(AND('Lease Cycles'!$AX$11&gt;=INDEX('Lease Cycles'!$BG$11:$BM$11,1,DG61),'Lease Cycles'!$AX$11&lt;=DG$6),'Lease Cycles'!$C$11*'Lease Cycles'!$AY$11/12,IF(AND('Lease Cycles'!$AV$11&gt;=INDEX('Lease Cycles'!$BG$11:$BM$11,1,DG61),'Lease Cycles'!$AV$11&lt;=DG$6),'Lease Cycles'!$C$11*'Lease Cycles'!$AW$11/12,IF(AND('Lease Cycles'!$AT$11&gt;=INDEX('Lease Cycles'!$BG$11:$BM$11,1,DG61),'Lease Cycles'!$AT$11&lt;=DG$6),'Lease Cycles'!$C$11*'Lease Cycles'!$AU$11/12,'Lease Cycles'!$C$11*INDEX('Lease Cycles'!$CB$11:$CH$11,1,DG61)*(1+INDEX('Lease Cycles'!$CI$11:$CO$11,1,DG61))^INT(INT(DG62/12)/INDEX('Lease Cycles'!$CP$11:$CV$11,1,DG61))/12)))),'Lease Cycles'!$C$11*INDEX('Lease Cycles'!$CB$11:$CH$11,1,DG61)*(1+INDEX('Lease Cycles'!$CI$11:$CO$11,1,DG61))^INT(INT(DG62/12)/INDEX('Lease Cycles'!$CP$11:$CV$11,1,DG61))/12))),IF('Lease Cycles'!$N$11=1,'Lease Cycles'!$C$11*'Lease Cycles'!$E$11*INDEX('Lease Cycles'!$HE$11:$HK$11,1,DG61)*(1+INDEX('Lease Cycles'!$GQ$11:$GW$11,1,DG61))^INT(INT((DG$6-INDEX('Lease Cycles'!$GJ$11:$GP$11,1,DG61))/12)/INDEX('Lease Cycles'!$GX$11:$HD$11,1,DG61))/12,0)))</f>
        <v>4775.296806458804</v>
      </c>
      <c r="DH64" s="28">
        <f>IF(DH61=0,IF('Lease Cycles'!$F$11&gt;0,'Lease Cycles'!$C$11*'Lease Cycles'!$E$11/12,0),IF(DH63=1,IF('Lease Cycles'!$AT$11&gt;=9999,'Lease Cycles'!$C$11*INDEX('Lease Cycles'!$CB$11:$CH$11,1,DH61)*(1+INDEX('Lease Cycles'!$CI$11:$CO$11,1,DH61))^INT(INT(DH62/12)/INDEX('Lease Cycles'!$CP$11:$CV$11,1,DH61))/12,IF(DH61=1,IF(DH62&gt;=INDEX('Lease Cycles'!$DK$11:$DQ$11,1,DH61),IF(DH$6&gt;='Lease Cycles'!$AZ$11,'Lease Cycles'!$C$11*'Lease Cycles'!$BA$11/12,IF(DH$6&gt;='Lease Cycles'!$AX$11,'Lease Cycles'!$C$11*'Lease Cycles'!$AY$11/12,IF(DH$6&gt;='Lease Cycles'!$AV$11,'Lease Cycles'!$C$11*'Lease Cycles'!$AW$11/12,IF(DH$6&gt;='Lease Cycles'!$AT$11,'Lease Cycles'!$C$11*'Lease Cycles'!$AU$11/12,'Lease Cycles'!$C$11*INDEX('Lease Cycles'!$CB$11:$CH$11,1,DH61)*(1+INDEX('Lease Cycles'!$CI$11:$CO$11,1,DH61))^INT(INT(DH62/12)/INDEX('Lease Cycles'!$CP$11:$CV$11,1,DH61))/12)))),'Lease Cycles'!$C$11*INDEX('Lease Cycles'!$CB$11:$CH$11,1,DH61)*(1+INDEX('Lease Cycles'!$CI$11:$CO$11,1,DH61))^INT(INT(DH62/12)/INDEX('Lease Cycles'!$CP$11:$CV$11,1,DH61))/12),IF(INDEX('Lease Cycles'!$EF$11:$EL$11,1,DH61)=1,IF(AND('Lease Cycles'!$AZ$11&gt;=INDEX('Lease Cycles'!$BG$11:$BM$11,1,DH61),'Lease Cycles'!$AZ$11&lt;=DH$6),'Lease Cycles'!$C$11*'Lease Cycles'!$BA$11/12,IF(AND('Lease Cycles'!$AX$11&gt;=INDEX('Lease Cycles'!$BG$11:$BM$11,1,DH61),'Lease Cycles'!$AX$11&lt;=DH$6),'Lease Cycles'!$C$11*'Lease Cycles'!$AY$11/12,IF(AND('Lease Cycles'!$AV$11&gt;=INDEX('Lease Cycles'!$BG$11:$BM$11,1,DH61),'Lease Cycles'!$AV$11&lt;=DH$6),'Lease Cycles'!$C$11*'Lease Cycles'!$AW$11/12,IF(AND('Lease Cycles'!$AT$11&gt;=INDEX('Lease Cycles'!$BG$11:$BM$11,1,DH61),'Lease Cycles'!$AT$11&lt;=DH$6),'Lease Cycles'!$C$11*'Lease Cycles'!$AU$11/12,'Lease Cycles'!$C$11*INDEX('Lease Cycles'!$CB$11:$CH$11,1,DH61)*(1+INDEX('Lease Cycles'!$CI$11:$CO$11,1,DH61))^INT(INT(DH62/12)/INDEX('Lease Cycles'!$CP$11:$CV$11,1,DH61))/12)))),'Lease Cycles'!$C$11*INDEX('Lease Cycles'!$CB$11:$CH$11,1,DH61)*(1+INDEX('Lease Cycles'!$CI$11:$CO$11,1,DH61))^INT(INT(DH62/12)/INDEX('Lease Cycles'!$CP$11:$CV$11,1,DH61))/12))),IF('Lease Cycles'!$N$11=1,'Lease Cycles'!$C$11*'Lease Cycles'!$E$11*INDEX('Lease Cycles'!$HE$11:$HK$11,1,DH61)*(1+INDEX('Lease Cycles'!$GQ$11:$GW$11,1,DH61))^INT(INT((DH$6-INDEX('Lease Cycles'!$GJ$11:$GP$11,1,DH61))/12)/INDEX('Lease Cycles'!$GX$11:$HD$11,1,DH61))/12,0)))</f>
        <v>4775.296806458804</v>
      </c>
      <c r="DI64" s="28">
        <f>IF(DI61=0,IF('Lease Cycles'!$F$11&gt;0,'Lease Cycles'!$C$11*'Lease Cycles'!$E$11/12,0),IF(DI63=1,IF('Lease Cycles'!$AT$11&gt;=9999,'Lease Cycles'!$C$11*INDEX('Lease Cycles'!$CB$11:$CH$11,1,DI61)*(1+INDEX('Lease Cycles'!$CI$11:$CO$11,1,DI61))^INT(INT(DI62/12)/INDEX('Lease Cycles'!$CP$11:$CV$11,1,DI61))/12,IF(DI61=1,IF(DI62&gt;=INDEX('Lease Cycles'!$DK$11:$DQ$11,1,DI61),IF(DI$6&gt;='Lease Cycles'!$AZ$11,'Lease Cycles'!$C$11*'Lease Cycles'!$BA$11/12,IF(DI$6&gt;='Lease Cycles'!$AX$11,'Lease Cycles'!$C$11*'Lease Cycles'!$AY$11/12,IF(DI$6&gt;='Lease Cycles'!$AV$11,'Lease Cycles'!$C$11*'Lease Cycles'!$AW$11/12,IF(DI$6&gt;='Lease Cycles'!$AT$11,'Lease Cycles'!$C$11*'Lease Cycles'!$AU$11/12,'Lease Cycles'!$C$11*INDEX('Lease Cycles'!$CB$11:$CH$11,1,DI61)*(1+INDEX('Lease Cycles'!$CI$11:$CO$11,1,DI61))^INT(INT(DI62/12)/INDEX('Lease Cycles'!$CP$11:$CV$11,1,DI61))/12)))),'Lease Cycles'!$C$11*INDEX('Lease Cycles'!$CB$11:$CH$11,1,DI61)*(1+INDEX('Lease Cycles'!$CI$11:$CO$11,1,DI61))^INT(INT(DI62/12)/INDEX('Lease Cycles'!$CP$11:$CV$11,1,DI61))/12),IF(INDEX('Lease Cycles'!$EF$11:$EL$11,1,DI61)=1,IF(AND('Lease Cycles'!$AZ$11&gt;=INDEX('Lease Cycles'!$BG$11:$BM$11,1,DI61),'Lease Cycles'!$AZ$11&lt;=DI$6),'Lease Cycles'!$C$11*'Lease Cycles'!$BA$11/12,IF(AND('Lease Cycles'!$AX$11&gt;=INDEX('Lease Cycles'!$BG$11:$BM$11,1,DI61),'Lease Cycles'!$AX$11&lt;=DI$6),'Lease Cycles'!$C$11*'Lease Cycles'!$AY$11/12,IF(AND('Lease Cycles'!$AV$11&gt;=INDEX('Lease Cycles'!$BG$11:$BM$11,1,DI61),'Lease Cycles'!$AV$11&lt;=DI$6),'Lease Cycles'!$C$11*'Lease Cycles'!$AW$11/12,IF(AND('Lease Cycles'!$AT$11&gt;=INDEX('Lease Cycles'!$BG$11:$BM$11,1,DI61),'Lease Cycles'!$AT$11&lt;=DI$6),'Lease Cycles'!$C$11*'Lease Cycles'!$AU$11/12,'Lease Cycles'!$C$11*INDEX('Lease Cycles'!$CB$11:$CH$11,1,DI61)*(1+INDEX('Lease Cycles'!$CI$11:$CO$11,1,DI61))^INT(INT(DI62/12)/INDEX('Lease Cycles'!$CP$11:$CV$11,1,DI61))/12)))),'Lease Cycles'!$C$11*INDEX('Lease Cycles'!$CB$11:$CH$11,1,DI61)*(1+INDEX('Lease Cycles'!$CI$11:$CO$11,1,DI61))^INT(INT(DI62/12)/INDEX('Lease Cycles'!$CP$11:$CV$11,1,DI61))/12))),IF('Lease Cycles'!$N$11=1,'Lease Cycles'!$C$11*'Lease Cycles'!$E$11*INDEX('Lease Cycles'!$HE$11:$HK$11,1,DI61)*(1+INDEX('Lease Cycles'!$GQ$11:$GW$11,1,DI61))^INT(INT((DI$6-INDEX('Lease Cycles'!$GJ$11:$GP$11,1,DI61))/12)/INDEX('Lease Cycles'!$GX$11:$HD$11,1,DI61))/12,0)))</f>
        <v>4775.296806458804</v>
      </c>
      <c r="DJ64" s="28">
        <f>IF(DJ61=0,IF('Lease Cycles'!$F$11&gt;0,'Lease Cycles'!$C$11*'Lease Cycles'!$E$11/12,0),IF(DJ63=1,IF('Lease Cycles'!$AT$11&gt;=9999,'Lease Cycles'!$C$11*INDEX('Lease Cycles'!$CB$11:$CH$11,1,DJ61)*(1+INDEX('Lease Cycles'!$CI$11:$CO$11,1,DJ61))^INT(INT(DJ62/12)/INDEX('Lease Cycles'!$CP$11:$CV$11,1,DJ61))/12,IF(DJ61=1,IF(DJ62&gt;=INDEX('Lease Cycles'!$DK$11:$DQ$11,1,DJ61),IF(DJ$6&gt;='Lease Cycles'!$AZ$11,'Lease Cycles'!$C$11*'Lease Cycles'!$BA$11/12,IF(DJ$6&gt;='Lease Cycles'!$AX$11,'Lease Cycles'!$C$11*'Lease Cycles'!$AY$11/12,IF(DJ$6&gt;='Lease Cycles'!$AV$11,'Lease Cycles'!$C$11*'Lease Cycles'!$AW$11/12,IF(DJ$6&gt;='Lease Cycles'!$AT$11,'Lease Cycles'!$C$11*'Lease Cycles'!$AU$11/12,'Lease Cycles'!$C$11*INDEX('Lease Cycles'!$CB$11:$CH$11,1,DJ61)*(1+INDEX('Lease Cycles'!$CI$11:$CO$11,1,DJ61))^INT(INT(DJ62/12)/INDEX('Lease Cycles'!$CP$11:$CV$11,1,DJ61))/12)))),'Lease Cycles'!$C$11*INDEX('Lease Cycles'!$CB$11:$CH$11,1,DJ61)*(1+INDEX('Lease Cycles'!$CI$11:$CO$11,1,DJ61))^INT(INT(DJ62/12)/INDEX('Lease Cycles'!$CP$11:$CV$11,1,DJ61))/12),IF(INDEX('Lease Cycles'!$EF$11:$EL$11,1,DJ61)=1,IF(AND('Lease Cycles'!$AZ$11&gt;=INDEX('Lease Cycles'!$BG$11:$BM$11,1,DJ61),'Lease Cycles'!$AZ$11&lt;=DJ$6),'Lease Cycles'!$C$11*'Lease Cycles'!$BA$11/12,IF(AND('Lease Cycles'!$AX$11&gt;=INDEX('Lease Cycles'!$BG$11:$BM$11,1,DJ61),'Lease Cycles'!$AX$11&lt;=DJ$6),'Lease Cycles'!$C$11*'Lease Cycles'!$AY$11/12,IF(AND('Lease Cycles'!$AV$11&gt;=INDEX('Lease Cycles'!$BG$11:$BM$11,1,DJ61),'Lease Cycles'!$AV$11&lt;=DJ$6),'Lease Cycles'!$C$11*'Lease Cycles'!$AW$11/12,IF(AND('Lease Cycles'!$AT$11&gt;=INDEX('Lease Cycles'!$BG$11:$BM$11,1,DJ61),'Lease Cycles'!$AT$11&lt;=DJ$6),'Lease Cycles'!$C$11*'Lease Cycles'!$AU$11/12,'Lease Cycles'!$C$11*INDEX('Lease Cycles'!$CB$11:$CH$11,1,DJ61)*(1+INDEX('Lease Cycles'!$CI$11:$CO$11,1,DJ61))^INT(INT(DJ62/12)/INDEX('Lease Cycles'!$CP$11:$CV$11,1,DJ61))/12)))),'Lease Cycles'!$C$11*INDEX('Lease Cycles'!$CB$11:$CH$11,1,DJ61)*(1+INDEX('Lease Cycles'!$CI$11:$CO$11,1,DJ61))^INT(INT(DJ62/12)/INDEX('Lease Cycles'!$CP$11:$CV$11,1,DJ61))/12))),IF('Lease Cycles'!$N$11=1,'Lease Cycles'!$C$11*'Lease Cycles'!$E$11*INDEX('Lease Cycles'!$HE$11:$HK$11,1,DJ61)*(1+INDEX('Lease Cycles'!$GQ$11:$GW$11,1,DJ61))^INT(INT((DJ$6-INDEX('Lease Cycles'!$GJ$11:$GP$11,1,DJ61))/12)/INDEX('Lease Cycles'!$GX$11:$HD$11,1,DJ61))/12,0)))</f>
        <v>4775.296806458804</v>
      </c>
      <c r="DK64" s="28">
        <f>IF(DK61=0,IF('Lease Cycles'!$F$11&gt;0,'Lease Cycles'!$C$11*'Lease Cycles'!$E$11/12,0),IF(DK63=1,IF('Lease Cycles'!$AT$11&gt;=9999,'Lease Cycles'!$C$11*INDEX('Lease Cycles'!$CB$11:$CH$11,1,DK61)*(1+INDEX('Lease Cycles'!$CI$11:$CO$11,1,DK61))^INT(INT(DK62/12)/INDEX('Lease Cycles'!$CP$11:$CV$11,1,DK61))/12,IF(DK61=1,IF(DK62&gt;=INDEX('Lease Cycles'!$DK$11:$DQ$11,1,DK61),IF(DK$6&gt;='Lease Cycles'!$AZ$11,'Lease Cycles'!$C$11*'Lease Cycles'!$BA$11/12,IF(DK$6&gt;='Lease Cycles'!$AX$11,'Lease Cycles'!$C$11*'Lease Cycles'!$AY$11/12,IF(DK$6&gt;='Lease Cycles'!$AV$11,'Lease Cycles'!$C$11*'Lease Cycles'!$AW$11/12,IF(DK$6&gt;='Lease Cycles'!$AT$11,'Lease Cycles'!$C$11*'Lease Cycles'!$AU$11/12,'Lease Cycles'!$C$11*INDEX('Lease Cycles'!$CB$11:$CH$11,1,DK61)*(1+INDEX('Lease Cycles'!$CI$11:$CO$11,1,DK61))^INT(INT(DK62/12)/INDEX('Lease Cycles'!$CP$11:$CV$11,1,DK61))/12)))),'Lease Cycles'!$C$11*INDEX('Lease Cycles'!$CB$11:$CH$11,1,DK61)*(1+INDEX('Lease Cycles'!$CI$11:$CO$11,1,DK61))^INT(INT(DK62/12)/INDEX('Lease Cycles'!$CP$11:$CV$11,1,DK61))/12),IF(INDEX('Lease Cycles'!$EF$11:$EL$11,1,DK61)=1,IF(AND('Lease Cycles'!$AZ$11&gt;=INDEX('Lease Cycles'!$BG$11:$BM$11,1,DK61),'Lease Cycles'!$AZ$11&lt;=DK$6),'Lease Cycles'!$C$11*'Lease Cycles'!$BA$11/12,IF(AND('Lease Cycles'!$AX$11&gt;=INDEX('Lease Cycles'!$BG$11:$BM$11,1,DK61),'Lease Cycles'!$AX$11&lt;=DK$6),'Lease Cycles'!$C$11*'Lease Cycles'!$AY$11/12,IF(AND('Lease Cycles'!$AV$11&gt;=INDEX('Lease Cycles'!$BG$11:$BM$11,1,DK61),'Lease Cycles'!$AV$11&lt;=DK$6),'Lease Cycles'!$C$11*'Lease Cycles'!$AW$11/12,IF(AND('Lease Cycles'!$AT$11&gt;=INDEX('Lease Cycles'!$BG$11:$BM$11,1,DK61),'Lease Cycles'!$AT$11&lt;=DK$6),'Lease Cycles'!$C$11*'Lease Cycles'!$AU$11/12,'Lease Cycles'!$C$11*INDEX('Lease Cycles'!$CB$11:$CH$11,1,DK61)*(1+INDEX('Lease Cycles'!$CI$11:$CO$11,1,DK61))^INT(INT(DK62/12)/INDEX('Lease Cycles'!$CP$11:$CV$11,1,DK61))/12)))),'Lease Cycles'!$C$11*INDEX('Lease Cycles'!$CB$11:$CH$11,1,DK61)*(1+INDEX('Lease Cycles'!$CI$11:$CO$11,1,DK61))^INT(INT(DK62/12)/INDEX('Lease Cycles'!$CP$11:$CV$11,1,DK61))/12))),IF('Lease Cycles'!$N$11=1,'Lease Cycles'!$C$11*'Lease Cycles'!$E$11*INDEX('Lease Cycles'!$HE$11:$HK$11,1,DK61)*(1+INDEX('Lease Cycles'!$GQ$11:$GW$11,1,DK61))^INT(INT((DK$6-INDEX('Lease Cycles'!$GJ$11:$GP$11,1,DK61))/12)/INDEX('Lease Cycles'!$GX$11:$HD$11,1,DK61))/12,0)))</f>
        <v>4775.296806458804</v>
      </c>
      <c r="DL64" s="28">
        <f>IF(DL61=0,IF('Lease Cycles'!$F$11&gt;0,'Lease Cycles'!$C$11*'Lease Cycles'!$E$11/12,0),IF(DL63=1,IF('Lease Cycles'!$AT$11&gt;=9999,'Lease Cycles'!$C$11*INDEX('Lease Cycles'!$CB$11:$CH$11,1,DL61)*(1+INDEX('Lease Cycles'!$CI$11:$CO$11,1,DL61))^INT(INT(DL62/12)/INDEX('Lease Cycles'!$CP$11:$CV$11,1,DL61))/12,IF(DL61=1,IF(DL62&gt;=INDEX('Lease Cycles'!$DK$11:$DQ$11,1,DL61),IF(DL$6&gt;='Lease Cycles'!$AZ$11,'Lease Cycles'!$C$11*'Lease Cycles'!$BA$11/12,IF(DL$6&gt;='Lease Cycles'!$AX$11,'Lease Cycles'!$C$11*'Lease Cycles'!$AY$11/12,IF(DL$6&gt;='Lease Cycles'!$AV$11,'Lease Cycles'!$C$11*'Lease Cycles'!$AW$11/12,IF(DL$6&gt;='Lease Cycles'!$AT$11,'Lease Cycles'!$C$11*'Lease Cycles'!$AU$11/12,'Lease Cycles'!$C$11*INDEX('Lease Cycles'!$CB$11:$CH$11,1,DL61)*(1+INDEX('Lease Cycles'!$CI$11:$CO$11,1,DL61))^INT(INT(DL62/12)/INDEX('Lease Cycles'!$CP$11:$CV$11,1,DL61))/12)))),'Lease Cycles'!$C$11*INDEX('Lease Cycles'!$CB$11:$CH$11,1,DL61)*(1+INDEX('Lease Cycles'!$CI$11:$CO$11,1,DL61))^INT(INT(DL62/12)/INDEX('Lease Cycles'!$CP$11:$CV$11,1,DL61))/12),IF(INDEX('Lease Cycles'!$EF$11:$EL$11,1,DL61)=1,IF(AND('Lease Cycles'!$AZ$11&gt;=INDEX('Lease Cycles'!$BG$11:$BM$11,1,DL61),'Lease Cycles'!$AZ$11&lt;=DL$6),'Lease Cycles'!$C$11*'Lease Cycles'!$BA$11/12,IF(AND('Lease Cycles'!$AX$11&gt;=INDEX('Lease Cycles'!$BG$11:$BM$11,1,DL61),'Lease Cycles'!$AX$11&lt;=DL$6),'Lease Cycles'!$C$11*'Lease Cycles'!$AY$11/12,IF(AND('Lease Cycles'!$AV$11&gt;=INDEX('Lease Cycles'!$BG$11:$BM$11,1,DL61),'Lease Cycles'!$AV$11&lt;=DL$6),'Lease Cycles'!$C$11*'Lease Cycles'!$AW$11/12,IF(AND('Lease Cycles'!$AT$11&gt;=INDEX('Lease Cycles'!$BG$11:$BM$11,1,DL61),'Lease Cycles'!$AT$11&lt;=DL$6),'Lease Cycles'!$C$11*'Lease Cycles'!$AU$11/12,'Lease Cycles'!$C$11*INDEX('Lease Cycles'!$CB$11:$CH$11,1,DL61)*(1+INDEX('Lease Cycles'!$CI$11:$CO$11,1,DL61))^INT(INT(DL62/12)/INDEX('Lease Cycles'!$CP$11:$CV$11,1,DL61))/12)))),'Lease Cycles'!$C$11*INDEX('Lease Cycles'!$CB$11:$CH$11,1,DL61)*(1+INDEX('Lease Cycles'!$CI$11:$CO$11,1,DL61))^INT(INT(DL62/12)/INDEX('Lease Cycles'!$CP$11:$CV$11,1,DL61))/12))),IF('Lease Cycles'!$N$11=1,'Lease Cycles'!$C$11*'Lease Cycles'!$E$11*INDEX('Lease Cycles'!$HE$11:$HK$11,1,DL61)*(1+INDEX('Lease Cycles'!$GQ$11:$GW$11,1,DL61))^INT(INT((DL$6-INDEX('Lease Cycles'!$GJ$11:$GP$11,1,DL61))/12)/INDEX('Lease Cycles'!$GX$11:$HD$11,1,DL61))/12,0)))</f>
        <v>4775.296806458804</v>
      </c>
      <c r="DM64" s="28">
        <f>IF(DM61=0,IF('Lease Cycles'!$F$11&gt;0,'Lease Cycles'!$C$11*'Lease Cycles'!$E$11/12,0),IF(DM63=1,IF('Lease Cycles'!$AT$11&gt;=9999,'Lease Cycles'!$C$11*INDEX('Lease Cycles'!$CB$11:$CH$11,1,DM61)*(1+INDEX('Lease Cycles'!$CI$11:$CO$11,1,DM61))^INT(INT(DM62/12)/INDEX('Lease Cycles'!$CP$11:$CV$11,1,DM61))/12,IF(DM61=1,IF(DM62&gt;=INDEX('Lease Cycles'!$DK$11:$DQ$11,1,DM61),IF(DM$6&gt;='Lease Cycles'!$AZ$11,'Lease Cycles'!$C$11*'Lease Cycles'!$BA$11/12,IF(DM$6&gt;='Lease Cycles'!$AX$11,'Lease Cycles'!$C$11*'Lease Cycles'!$AY$11/12,IF(DM$6&gt;='Lease Cycles'!$AV$11,'Lease Cycles'!$C$11*'Lease Cycles'!$AW$11/12,IF(DM$6&gt;='Lease Cycles'!$AT$11,'Lease Cycles'!$C$11*'Lease Cycles'!$AU$11/12,'Lease Cycles'!$C$11*INDEX('Lease Cycles'!$CB$11:$CH$11,1,DM61)*(1+INDEX('Lease Cycles'!$CI$11:$CO$11,1,DM61))^INT(INT(DM62/12)/INDEX('Lease Cycles'!$CP$11:$CV$11,1,DM61))/12)))),'Lease Cycles'!$C$11*INDEX('Lease Cycles'!$CB$11:$CH$11,1,DM61)*(1+INDEX('Lease Cycles'!$CI$11:$CO$11,1,DM61))^INT(INT(DM62/12)/INDEX('Lease Cycles'!$CP$11:$CV$11,1,DM61))/12),IF(INDEX('Lease Cycles'!$EF$11:$EL$11,1,DM61)=1,IF(AND('Lease Cycles'!$AZ$11&gt;=INDEX('Lease Cycles'!$BG$11:$BM$11,1,DM61),'Lease Cycles'!$AZ$11&lt;=DM$6),'Lease Cycles'!$C$11*'Lease Cycles'!$BA$11/12,IF(AND('Lease Cycles'!$AX$11&gt;=INDEX('Lease Cycles'!$BG$11:$BM$11,1,DM61),'Lease Cycles'!$AX$11&lt;=DM$6),'Lease Cycles'!$C$11*'Lease Cycles'!$AY$11/12,IF(AND('Lease Cycles'!$AV$11&gt;=INDEX('Lease Cycles'!$BG$11:$BM$11,1,DM61),'Lease Cycles'!$AV$11&lt;=DM$6),'Lease Cycles'!$C$11*'Lease Cycles'!$AW$11/12,IF(AND('Lease Cycles'!$AT$11&gt;=INDEX('Lease Cycles'!$BG$11:$BM$11,1,DM61),'Lease Cycles'!$AT$11&lt;=DM$6),'Lease Cycles'!$C$11*'Lease Cycles'!$AU$11/12,'Lease Cycles'!$C$11*INDEX('Lease Cycles'!$CB$11:$CH$11,1,DM61)*(1+INDEX('Lease Cycles'!$CI$11:$CO$11,1,DM61))^INT(INT(DM62/12)/INDEX('Lease Cycles'!$CP$11:$CV$11,1,DM61))/12)))),'Lease Cycles'!$C$11*INDEX('Lease Cycles'!$CB$11:$CH$11,1,DM61)*(1+INDEX('Lease Cycles'!$CI$11:$CO$11,1,DM61))^INT(INT(DM62/12)/INDEX('Lease Cycles'!$CP$11:$CV$11,1,DM61))/12))),IF('Lease Cycles'!$N$11=1,'Lease Cycles'!$C$11*'Lease Cycles'!$E$11*INDEX('Lease Cycles'!$HE$11:$HK$11,1,DM61)*(1+INDEX('Lease Cycles'!$GQ$11:$GW$11,1,DM61))^INT(INT((DM$6-INDEX('Lease Cycles'!$GJ$11:$GP$11,1,DM61))/12)/INDEX('Lease Cycles'!$GX$11:$HD$11,1,DM61))/12,0)))</f>
        <v>4775.296806458804</v>
      </c>
      <c r="DN64" s="28">
        <f>IF(DN61=0,IF('Lease Cycles'!$F$11&gt;0,'Lease Cycles'!$C$11*'Lease Cycles'!$E$11/12,0),IF(DN63=1,IF('Lease Cycles'!$AT$11&gt;=9999,'Lease Cycles'!$C$11*INDEX('Lease Cycles'!$CB$11:$CH$11,1,DN61)*(1+INDEX('Lease Cycles'!$CI$11:$CO$11,1,DN61))^INT(INT(DN62/12)/INDEX('Lease Cycles'!$CP$11:$CV$11,1,DN61))/12,IF(DN61=1,IF(DN62&gt;=INDEX('Lease Cycles'!$DK$11:$DQ$11,1,DN61),IF(DN$6&gt;='Lease Cycles'!$AZ$11,'Lease Cycles'!$C$11*'Lease Cycles'!$BA$11/12,IF(DN$6&gt;='Lease Cycles'!$AX$11,'Lease Cycles'!$C$11*'Lease Cycles'!$AY$11/12,IF(DN$6&gt;='Lease Cycles'!$AV$11,'Lease Cycles'!$C$11*'Lease Cycles'!$AW$11/12,IF(DN$6&gt;='Lease Cycles'!$AT$11,'Lease Cycles'!$C$11*'Lease Cycles'!$AU$11/12,'Lease Cycles'!$C$11*INDEX('Lease Cycles'!$CB$11:$CH$11,1,DN61)*(1+INDEX('Lease Cycles'!$CI$11:$CO$11,1,DN61))^INT(INT(DN62/12)/INDEX('Lease Cycles'!$CP$11:$CV$11,1,DN61))/12)))),'Lease Cycles'!$C$11*INDEX('Lease Cycles'!$CB$11:$CH$11,1,DN61)*(1+INDEX('Lease Cycles'!$CI$11:$CO$11,1,DN61))^INT(INT(DN62/12)/INDEX('Lease Cycles'!$CP$11:$CV$11,1,DN61))/12),IF(INDEX('Lease Cycles'!$EF$11:$EL$11,1,DN61)=1,IF(AND('Lease Cycles'!$AZ$11&gt;=INDEX('Lease Cycles'!$BG$11:$BM$11,1,DN61),'Lease Cycles'!$AZ$11&lt;=DN$6),'Lease Cycles'!$C$11*'Lease Cycles'!$BA$11/12,IF(AND('Lease Cycles'!$AX$11&gt;=INDEX('Lease Cycles'!$BG$11:$BM$11,1,DN61),'Lease Cycles'!$AX$11&lt;=DN$6),'Lease Cycles'!$C$11*'Lease Cycles'!$AY$11/12,IF(AND('Lease Cycles'!$AV$11&gt;=INDEX('Lease Cycles'!$BG$11:$BM$11,1,DN61),'Lease Cycles'!$AV$11&lt;=DN$6),'Lease Cycles'!$C$11*'Lease Cycles'!$AW$11/12,IF(AND('Lease Cycles'!$AT$11&gt;=INDEX('Lease Cycles'!$BG$11:$BM$11,1,DN61),'Lease Cycles'!$AT$11&lt;=DN$6),'Lease Cycles'!$C$11*'Lease Cycles'!$AU$11/12,'Lease Cycles'!$C$11*INDEX('Lease Cycles'!$CB$11:$CH$11,1,DN61)*(1+INDEX('Lease Cycles'!$CI$11:$CO$11,1,DN61))^INT(INT(DN62/12)/INDEX('Lease Cycles'!$CP$11:$CV$11,1,DN61))/12)))),'Lease Cycles'!$C$11*INDEX('Lease Cycles'!$CB$11:$CH$11,1,DN61)*(1+INDEX('Lease Cycles'!$CI$11:$CO$11,1,DN61))^INT(INT(DN62/12)/INDEX('Lease Cycles'!$CP$11:$CV$11,1,DN61))/12))),IF('Lease Cycles'!$N$11=1,'Lease Cycles'!$C$11*'Lease Cycles'!$E$11*INDEX('Lease Cycles'!$HE$11:$HK$11,1,DN61)*(1+INDEX('Lease Cycles'!$GQ$11:$GW$11,1,DN61))^INT(INT((DN$6-INDEX('Lease Cycles'!$GJ$11:$GP$11,1,DN61))/12)/INDEX('Lease Cycles'!$GX$11:$HD$11,1,DN61))/12,0)))</f>
        <v>4918.555710652568</v>
      </c>
      <c r="DO64" s="28">
        <f>IF(DO61=0,IF('Lease Cycles'!$F$11&gt;0,'Lease Cycles'!$C$11*'Lease Cycles'!$E$11/12,0),IF(DO63=1,IF('Lease Cycles'!$AT$11&gt;=9999,'Lease Cycles'!$C$11*INDEX('Lease Cycles'!$CB$11:$CH$11,1,DO61)*(1+INDEX('Lease Cycles'!$CI$11:$CO$11,1,DO61))^INT(INT(DO62/12)/INDEX('Lease Cycles'!$CP$11:$CV$11,1,DO61))/12,IF(DO61=1,IF(DO62&gt;=INDEX('Lease Cycles'!$DK$11:$DQ$11,1,DO61),IF(DO$6&gt;='Lease Cycles'!$AZ$11,'Lease Cycles'!$C$11*'Lease Cycles'!$BA$11/12,IF(DO$6&gt;='Lease Cycles'!$AX$11,'Lease Cycles'!$C$11*'Lease Cycles'!$AY$11/12,IF(DO$6&gt;='Lease Cycles'!$AV$11,'Lease Cycles'!$C$11*'Lease Cycles'!$AW$11/12,IF(DO$6&gt;='Lease Cycles'!$AT$11,'Lease Cycles'!$C$11*'Lease Cycles'!$AU$11/12,'Lease Cycles'!$C$11*INDEX('Lease Cycles'!$CB$11:$CH$11,1,DO61)*(1+INDEX('Lease Cycles'!$CI$11:$CO$11,1,DO61))^INT(INT(DO62/12)/INDEX('Lease Cycles'!$CP$11:$CV$11,1,DO61))/12)))),'Lease Cycles'!$C$11*INDEX('Lease Cycles'!$CB$11:$CH$11,1,DO61)*(1+INDEX('Lease Cycles'!$CI$11:$CO$11,1,DO61))^INT(INT(DO62/12)/INDEX('Lease Cycles'!$CP$11:$CV$11,1,DO61))/12),IF(INDEX('Lease Cycles'!$EF$11:$EL$11,1,DO61)=1,IF(AND('Lease Cycles'!$AZ$11&gt;=INDEX('Lease Cycles'!$BG$11:$BM$11,1,DO61),'Lease Cycles'!$AZ$11&lt;=DO$6),'Lease Cycles'!$C$11*'Lease Cycles'!$BA$11/12,IF(AND('Lease Cycles'!$AX$11&gt;=INDEX('Lease Cycles'!$BG$11:$BM$11,1,DO61),'Lease Cycles'!$AX$11&lt;=DO$6),'Lease Cycles'!$C$11*'Lease Cycles'!$AY$11/12,IF(AND('Lease Cycles'!$AV$11&gt;=INDEX('Lease Cycles'!$BG$11:$BM$11,1,DO61),'Lease Cycles'!$AV$11&lt;=DO$6),'Lease Cycles'!$C$11*'Lease Cycles'!$AW$11/12,IF(AND('Lease Cycles'!$AT$11&gt;=INDEX('Lease Cycles'!$BG$11:$BM$11,1,DO61),'Lease Cycles'!$AT$11&lt;=DO$6),'Lease Cycles'!$C$11*'Lease Cycles'!$AU$11/12,'Lease Cycles'!$C$11*INDEX('Lease Cycles'!$CB$11:$CH$11,1,DO61)*(1+INDEX('Lease Cycles'!$CI$11:$CO$11,1,DO61))^INT(INT(DO62/12)/INDEX('Lease Cycles'!$CP$11:$CV$11,1,DO61))/12)))),'Lease Cycles'!$C$11*INDEX('Lease Cycles'!$CB$11:$CH$11,1,DO61)*(1+INDEX('Lease Cycles'!$CI$11:$CO$11,1,DO61))^INT(INT(DO62/12)/INDEX('Lease Cycles'!$CP$11:$CV$11,1,DO61))/12))),IF('Lease Cycles'!$N$11=1,'Lease Cycles'!$C$11*'Lease Cycles'!$E$11*INDEX('Lease Cycles'!$HE$11:$HK$11,1,DO61)*(1+INDEX('Lease Cycles'!$GQ$11:$GW$11,1,DO61))^INT(INT((DO$6-INDEX('Lease Cycles'!$GJ$11:$GP$11,1,DO61))/12)/INDEX('Lease Cycles'!$GX$11:$HD$11,1,DO61))/12,0)))</f>
        <v>4918.555710652568</v>
      </c>
      <c r="DP64" s="28">
        <f>IF(DP61=0,IF('Lease Cycles'!$F$11&gt;0,'Lease Cycles'!$C$11*'Lease Cycles'!$E$11/12,0),IF(DP63=1,IF('Lease Cycles'!$AT$11&gt;=9999,'Lease Cycles'!$C$11*INDEX('Lease Cycles'!$CB$11:$CH$11,1,DP61)*(1+INDEX('Lease Cycles'!$CI$11:$CO$11,1,DP61))^INT(INT(DP62/12)/INDEX('Lease Cycles'!$CP$11:$CV$11,1,DP61))/12,IF(DP61=1,IF(DP62&gt;=INDEX('Lease Cycles'!$DK$11:$DQ$11,1,DP61),IF(DP$6&gt;='Lease Cycles'!$AZ$11,'Lease Cycles'!$C$11*'Lease Cycles'!$BA$11/12,IF(DP$6&gt;='Lease Cycles'!$AX$11,'Lease Cycles'!$C$11*'Lease Cycles'!$AY$11/12,IF(DP$6&gt;='Lease Cycles'!$AV$11,'Lease Cycles'!$C$11*'Lease Cycles'!$AW$11/12,IF(DP$6&gt;='Lease Cycles'!$AT$11,'Lease Cycles'!$C$11*'Lease Cycles'!$AU$11/12,'Lease Cycles'!$C$11*INDEX('Lease Cycles'!$CB$11:$CH$11,1,DP61)*(1+INDEX('Lease Cycles'!$CI$11:$CO$11,1,DP61))^INT(INT(DP62/12)/INDEX('Lease Cycles'!$CP$11:$CV$11,1,DP61))/12)))),'Lease Cycles'!$C$11*INDEX('Lease Cycles'!$CB$11:$CH$11,1,DP61)*(1+INDEX('Lease Cycles'!$CI$11:$CO$11,1,DP61))^INT(INT(DP62/12)/INDEX('Lease Cycles'!$CP$11:$CV$11,1,DP61))/12),IF(INDEX('Lease Cycles'!$EF$11:$EL$11,1,DP61)=1,IF(AND('Lease Cycles'!$AZ$11&gt;=INDEX('Lease Cycles'!$BG$11:$BM$11,1,DP61),'Lease Cycles'!$AZ$11&lt;=DP$6),'Lease Cycles'!$C$11*'Lease Cycles'!$BA$11/12,IF(AND('Lease Cycles'!$AX$11&gt;=INDEX('Lease Cycles'!$BG$11:$BM$11,1,DP61),'Lease Cycles'!$AX$11&lt;=DP$6),'Lease Cycles'!$C$11*'Lease Cycles'!$AY$11/12,IF(AND('Lease Cycles'!$AV$11&gt;=INDEX('Lease Cycles'!$BG$11:$BM$11,1,DP61),'Lease Cycles'!$AV$11&lt;=DP$6),'Lease Cycles'!$C$11*'Lease Cycles'!$AW$11/12,IF(AND('Lease Cycles'!$AT$11&gt;=INDEX('Lease Cycles'!$BG$11:$BM$11,1,DP61),'Lease Cycles'!$AT$11&lt;=DP$6),'Lease Cycles'!$C$11*'Lease Cycles'!$AU$11/12,'Lease Cycles'!$C$11*INDEX('Lease Cycles'!$CB$11:$CH$11,1,DP61)*(1+INDEX('Lease Cycles'!$CI$11:$CO$11,1,DP61))^INT(INT(DP62/12)/INDEX('Lease Cycles'!$CP$11:$CV$11,1,DP61))/12)))),'Lease Cycles'!$C$11*INDEX('Lease Cycles'!$CB$11:$CH$11,1,DP61)*(1+INDEX('Lease Cycles'!$CI$11:$CO$11,1,DP61))^INT(INT(DP62/12)/INDEX('Lease Cycles'!$CP$11:$CV$11,1,DP61))/12))),IF('Lease Cycles'!$N$11=1,'Lease Cycles'!$C$11*'Lease Cycles'!$E$11*INDEX('Lease Cycles'!$HE$11:$HK$11,1,DP61)*(1+INDEX('Lease Cycles'!$GQ$11:$GW$11,1,DP61))^INT(INT((DP$6-INDEX('Lease Cycles'!$GJ$11:$GP$11,1,DP61))/12)/INDEX('Lease Cycles'!$GX$11:$HD$11,1,DP61))/12,0)))</f>
        <v>4918.555710652568</v>
      </c>
      <c r="DQ64" s="28">
        <f>IF(DQ61=0,IF('Lease Cycles'!$F$11&gt;0,'Lease Cycles'!$C$11*'Lease Cycles'!$E$11/12,0),IF(DQ63=1,IF('Lease Cycles'!$AT$11&gt;=9999,'Lease Cycles'!$C$11*INDEX('Lease Cycles'!$CB$11:$CH$11,1,DQ61)*(1+INDEX('Lease Cycles'!$CI$11:$CO$11,1,DQ61))^INT(INT(DQ62/12)/INDEX('Lease Cycles'!$CP$11:$CV$11,1,DQ61))/12,IF(DQ61=1,IF(DQ62&gt;=INDEX('Lease Cycles'!$DK$11:$DQ$11,1,DQ61),IF(DQ$6&gt;='Lease Cycles'!$AZ$11,'Lease Cycles'!$C$11*'Lease Cycles'!$BA$11/12,IF(DQ$6&gt;='Lease Cycles'!$AX$11,'Lease Cycles'!$C$11*'Lease Cycles'!$AY$11/12,IF(DQ$6&gt;='Lease Cycles'!$AV$11,'Lease Cycles'!$C$11*'Lease Cycles'!$AW$11/12,IF(DQ$6&gt;='Lease Cycles'!$AT$11,'Lease Cycles'!$C$11*'Lease Cycles'!$AU$11/12,'Lease Cycles'!$C$11*INDEX('Lease Cycles'!$CB$11:$CH$11,1,DQ61)*(1+INDEX('Lease Cycles'!$CI$11:$CO$11,1,DQ61))^INT(INT(DQ62/12)/INDEX('Lease Cycles'!$CP$11:$CV$11,1,DQ61))/12)))),'Lease Cycles'!$C$11*INDEX('Lease Cycles'!$CB$11:$CH$11,1,DQ61)*(1+INDEX('Lease Cycles'!$CI$11:$CO$11,1,DQ61))^INT(INT(DQ62/12)/INDEX('Lease Cycles'!$CP$11:$CV$11,1,DQ61))/12),IF(INDEX('Lease Cycles'!$EF$11:$EL$11,1,DQ61)=1,IF(AND('Lease Cycles'!$AZ$11&gt;=INDEX('Lease Cycles'!$BG$11:$BM$11,1,DQ61),'Lease Cycles'!$AZ$11&lt;=DQ$6),'Lease Cycles'!$C$11*'Lease Cycles'!$BA$11/12,IF(AND('Lease Cycles'!$AX$11&gt;=INDEX('Lease Cycles'!$BG$11:$BM$11,1,DQ61),'Lease Cycles'!$AX$11&lt;=DQ$6),'Lease Cycles'!$C$11*'Lease Cycles'!$AY$11/12,IF(AND('Lease Cycles'!$AV$11&gt;=INDEX('Lease Cycles'!$BG$11:$BM$11,1,DQ61),'Lease Cycles'!$AV$11&lt;=DQ$6),'Lease Cycles'!$C$11*'Lease Cycles'!$AW$11/12,IF(AND('Lease Cycles'!$AT$11&gt;=INDEX('Lease Cycles'!$BG$11:$BM$11,1,DQ61),'Lease Cycles'!$AT$11&lt;=DQ$6),'Lease Cycles'!$C$11*'Lease Cycles'!$AU$11/12,'Lease Cycles'!$C$11*INDEX('Lease Cycles'!$CB$11:$CH$11,1,DQ61)*(1+INDEX('Lease Cycles'!$CI$11:$CO$11,1,DQ61))^INT(INT(DQ62/12)/INDEX('Lease Cycles'!$CP$11:$CV$11,1,DQ61))/12)))),'Lease Cycles'!$C$11*INDEX('Lease Cycles'!$CB$11:$CH$11,1,DQ61)*(1+INDEX('Lease Cycles'!$CI$11:$CO$11,1,DQ61))^INT(INT(DQ62/12)/INDEX('Lease Cycles'!$CP$11:$CV$11,1,DQ61))/12))),IF('Lease Cycles'!$N$11=1,'Lease Cycles'!$C$11*'Lease Cycles'!$E$11*INDEX('Lease Cycles'!$HE$11:$HK$11,1,DQ61)*(1+INDEX('Lease Cycles'!$GQ$11:$GW$11,1,DQ61))^INT(INT((DQ$6-INDEX('Lease Cycles'!$GJ$11:$GP$11,1,DQ61))/12)/INDEX('Lease Cycles'!$GX$11:$HD$11,1,DQ61))/12,0)))</f>
        <v>4918.555710652568</v>
      </c>
      <c r="DR64" s="28">
        <f>IF(DR61=0,IF('Lease Cycles'!$F$11&gt;0,'Lease Cycles'!$C$11*'Lease Cycles'!$E$11/12,0),IF(DR63=1,IF('Lease Cycles'!$AT$11&gt;=9999,'Lease Cycles'!$C$11*INDEX('Lease Cycles'!$CB$11:$CH$11,1,DR61)*(1+INDEX('Lease Cycles'!$CI$11:$CO$11,1,DR61))^INT(INT(DR62/12)/INDEX('Lease Cycles'!$CP$11:$CV$11,1,DR61))/12,IF(DR61=1,IF(DR62&gt;=INDEX('Lease Cycles'!$DK$11:$DQ$11,1,DR61),IF(DR$6&gt;='Lease Cycles'!$AZ$11,'Lease Cycles'!$C$11*'Lease Cycles'!$BA$11/12,IF(DR$6&gt;='Lease Cycles'!$AX$11,'Lease Cycles'!$C$11*'Lease Cycles'!$AY$11/12,IF(DR$6&gt;='Lease Cycles'!$AV$11,'Lease Cycles'!$C$11*'Lease Cycles'!$AW$11/12,IF(DR$6&gt;='Lease Cycles'!$AT$11,'Lease Cycles'!$C$11*'Lease Cycles'!$AU$11/12,'Lease Cycles'!$C$11*INDEX('Lease Cycles'!$CB$11:$CH$11,1,DR61)*(1+INDEX('Lease Cycles'!$CI$11:$CO$11,1,DR61))^INT(INT(DR62/12)/INDEX('Lease Cycles'!$CP$11:$CV$11,1,DR61))/12)))),'Lease Cycles'!$C$11*INDEX('Lease Cycles'!$CB$11:$CH$11,1,DR61)*(1+INDEX('Lease Cycles'!$CI$11:$CO$11,1,DR61))^INT(INT(DR62/12)/INDEX('Lease Cycles'!$CP$11:$CV$11,1,DR61))/12),IF(INDEX('Lease Cycles'!$EF$11:$EL$11,1,DR61)=1,IF(AND('Lease Cycles'!$AZ$11&gt;=INDEX('Lease Cycles'!$BG$11:$BM$11,1,DR61),'Lease Cycles'!$AZ$11&lt;=DR$6),'Lease Cycles'!$C$11*'Lease Cycles'!$BA$11/12,IF(AND('Lease Cycles'!$AX$11&gt;=INDEX('Lease Cycles'!$BG$11:$BM$11,1,DR61),'Lease Cycles'!$AX$11&lt;=DR$6),'Lease Cycles'!$C$11*'Lease Cycles'!$AY$11/12,IF(AND('Lease Cycles'!$AV$11&gt;=INDEX('Lease Cycles'!$BG$11:$BM$11,1,DR61),'Lease Cycles'!$AV$11&lt;=DR$6),'Lease Cycles'!$C$11*'Lease Cycles'!$AW$11/12,IF(AND('Lease Cycles'!$AT$11&gt;=INDEX('Lease Cycles'!$BG$11:$BM$11,1,DR61),'Lease Cycles'!$AT$11&lt;=DR$6),'Lease Cycles'!$C$11*'Lease Cycles'!$AU$11/12,'Lease Cycles'!$C$11*INDEX('Lease Cycles'!$CB$11:$CH$11,1,DR61)*(1+INDEX('Lease Cycles'!$CI$11:$CO$11,1,DR61))^INT(INT(DR62/12)/INDEX('Lease Cycles'!$CP$11:$CV$11,1,DR61))/12)))),'Lease Cycles'!$C$11*INDEX('Lease Cycles'!$CB$11:$CH$11,1,DR61)*(1+INDEX('Lease Cycles'!$CI$11:$CO$11,1,DR61))^INT(INT(DR62/12)/INDEX('Lease Cycles'!$CP$11:$CV$11,1,DR61))/12))),IF('Lease Cycles'!$N$11=1,'Lease Cycles'!$C$11*'Lease Cycles'!$E$11*INDEX('Lease Cycles'!$HE$11:$HK$11,1,DR61)*(1+INDEX('Lease Cycles'!$GQ$11:$GW$11,1,DR61))^INT(INT((DR$6-INDEX('Lease Cycles'!$GJ$11:$GP$11,1,DR61))/12)/INDEX('Lease Cycles'!$GX$11:$HD$11,1,DR61))/12,0)))</f>
        <v>4918.555710652568</v>
      </c>
      <c r="DS64" s="28">
        <f>IF(DS61=0,IF('Lease Cycles'!$F$11&gt;0,'Lease Cycles'!$C$11*'Lease Cycles'!$E$11/12,0),IF(DS63=1,IF('Lease Cycles'!$AT$11&gt;=9999,'Lease Cycles'!$C$11*INDEX('Lease Cycles'!$CB$11:$CH$11,1,DS61)*(1+INDEX('Lease Cycles'!$CI$11:$CO$11,1,DS61))^INT(INT(DS62/12)/INDEX('Lease Cycles'!$CP$11:$CV$11,1,DS61))/12,IF(DS61=1,IF(DS62&gt;=INDEX('Lease Cycles'!$DK$11:$DQ$11,1,DS61),IF(DS$6&gt;='Lease Cycles'!$AZ$11,'Lease Cycles'!$C$11*'Lease Cycles'!$BA$11/12,IF(DS$6&gt;='Lease Cycles'!$AX$11,'Lease Cycles'!$C$11*'Lease Cycles'!$AY$11/12,IF(DS$6&gt;='Lease Cycles'!$AV$11,'Lease Cycles'!$C$11*'Lease Cycles'!$AW$11/12,IF(DS$6&gt;='Lease Cycles'!$AT$11,'Lease Cycles'!$C$11*'Lease Cycles'!$AU$11/12,'Lease Cycles'!$C$11*INDEX('Lease Cycles'!$CB$11:$CH$11,1,DS61)*(1+INDEX('Lease Cycles'!$CI$11:$CO$11,1,DS61))^INT(INT(DS62/12)/INDEX('Lease Cycles'!$CP$11:$CV$11,1,DS61))/12)))),'Lease Cycles'!$C$11*INDEX('Lease Cycles'!$CB$11:$CH$11,1,DS61)*(1+INDEX('Lease Cycles'!$CI$11:$CO$11,1,DS61))^INT(INT(DS62/12)/INDEX('Lease Cycles'!$CP$11:$CV$11,1,DS61))/12),IF(INDEX('Lease Cycles'!$EF$11:$EL$11,1,DS61)=1,IF(AND('Lease Cycles'!$AZ$11&gt;=INDEX('Lease Cycles'!$BG$11:$BM$11,1,DS61),'Lease Cycles'!$AZ$11&lt;=DS$6),'Lease Cycles'!$C$11*'Lease Cycles'!$BA$11/12,IF(AND('Lease Cycles'!$AX$11&gt;=INDEX('Lease Cycles'!$BG$11:$BM$11,1,DS61),'Lease Cycles'!$AX$11&lt;=DS$6),'Lease Cycles'!$C$11*'Lease Cycles'!$AY$11/12,IF(AND('Lease Cycles'!$AV$11&gt;=INDEX('Lease Cycles'!$BG$11:$BM$11,1,DS61),'Lease Cycles'!$AV$11&lt;=DS$6),'Lease Cycles'!$C$11*'Lease Cycles'!$AW$11/12,IF(AND('Lease Cycles'!$AT$11&gt;=INDEX('Lease Cycles'!$BG$11:$BM$11,1,DS61),'Lease Cycles'!$AT$11&lt;=DS$6),'Lease Cycles'!$C$11*'Lease Cycles'!$AU$11/12,'Lease Cycles'!$C$11*INDEX('Lease Cycles'!$CB$11:$CH$11,1,DS61)*(1+INDEX('Lease Cycles'!$CI$11:$CO$11,1,DS61))^INT(INT(DS62/12)/INDEX('Lease Cycles'!$CP$11:$CV$11,1,DS61))/12)))),'Lease Cycles'!$C$11*INDEX('Lease Cycles'!$CB$11:$CH$11,1,DS61)*(1+INDEX('Lease Cycles'!$CI$11:$CO$11,1,DS61))^INT(INT(DS62/12)/INDEX('Lease Cycles'!$CP$11:$CV$11,1,DS61))/12))),IF('Lease Cycles'!$N$11=1,'Lease Cycles'!$C$11*'Lease Cycles'!$E$11*INDEX('Lease Cycles'!$HE$11:$HK$11,1,DS61)*(1+INDEX('Lease Cycles'!$GQ$11:$GW$11,1,DS61))^INT(INT((DS$6-INDEX('Lease Cycles'!$GJ$11:$GP$11,1,DS61))/12)/INDEX('Lease Cycles'!$GX$11:$HD$11,1,DS61))/12,0)))</f>
        <v>4918.555710652568</v>
      </c>
      <c r="DT64" s="28">
        <f>IF(DT61=0,IF('Lease Cycles'!$F$11&gt;0,'Lease Cycles'!$C$11*'Lease Cycles'!$E$11/12,0),IF(DT63=1,IF('Lease Cycles'!$AT$11&gt;=9999,'Lease Cycles'!$C$11*INDEX('Lease Cycles'!$CB$11:$CH$11,1,DT61)*(1+INDEX('Lease Cycles'!$CI$11:$CO$11,1,DT61))^INT(INT(DT62/12)/INDEX('Lease Cycles'!$CP$11:$CV$11,1,DT61))/12,IF(DT61=1,IF(DT62&gt;=INDEX('Lease Cycles'!$DK$11:$DQ$11,1,DT61),IF(DT$6&gt;='Lease Cycles'!$AZ$11,'Lease Cycles'!$C$11*'Lease Cycles'!$BA$11/12,IF(DT$6&gt;='Lease Cycles'!$AX$11,'Lease Cycles'!$C$11*'Lease Cycles'!$AY$11/12,IF(DT$6&gt;='Lease Cycles'!$AV$11,'Lease Cycles'!$C$11*'Lease Cycles'!$AW$11/12,IF(DT$6&gt;='Lease Cycles'!$AT$11,'Lease Cycles'!$C$11*'Lease Cycles'!$AU$11/12,'Lease Cycles'!$C$11*INDEX('Lease Cycles'!$CB$11:$CH$11,1,DT61)*(1+INDEX('Lease Cycles'!$CI$11:$CO$11,1,DT61))^INT(INT(DT62/12)/INDEX('Lease Cycles'!$CP$11:$CV$11,1,DT61))/12)))),'Lease Cycles'!$C$11*INDEX('Lease Cycles'!$CB$11:$CH$11,1,DT61)*(1+INDEX('Lease Cycles'!$CI$11:$CO$11,1,DT61))^INT(INT(DT62/12)/INDEX('Lease Cycles'!$CP$11:$CV$11,1,DT61))/12),IF(INDEX('Lease Cycles'!$EF$11:$EL$11,1,DT61)=1,IF(AND('Lease Cycles'!$AZ$11&gt;=INDEX('Lease Cycles'!$BG$11:$BM$11,1,DT61),'Lease Cycles'!$AZ$11&lt;=DT$6),'Lease Cycles'!$C$11*'Lease Cycles'!$BA$11/12,IF(AND('Lease Cycles'!$AX$11&gt;=INDEX('Lease Cycles'!$BG$11:$BM$11,1,DT61),'Lease Cycles'!$AX$11&lt;=DT$6),'Lease Cycles'!$C$11*'Lease Cycles'!$AY$11/12,IF(AND('Lease Cycles'!$AV$11&gt;=INDEX('Lease Cycles'!$BG$11:$BM$11,1,DT61),'Lease Cycles'!$AV$11&lt;=DT$6),'Lease Cycles'!$C$11*'Lease Cycles'!$AW$11/12,IF(AND('Lease Cycles'!$AT$11&gt;=INDEX('Lease Cycles'!$BG$11:$BM$11,1,DT61),'Lease Cycles'!$AT$11&lt;=DT$6),'Lease Cycles'!$C$11*'Lease Cycles'!$AU$11/12,'Lease Cycles'!$C$11*INDEX('Lease Cycles'!$CB$11:$CH$11,1,DT61)*(1+INDEX('Lease Cycles'!$CI$11:$CO$11,1,DT61))^INT(INT(DT62/12)/INDEX('Lease Cycles'!$CP$11:$CV$11,1,DT61))/12)))),'Lease Cycles'!$C$11*INDEX('Lease Cycles'!$CB$11:$CH$11,1,DT61)*(1+INDEX('Lease Cycles'!$CI$11:$CO$11,1,DT61))^INT(INT(DT62/12)/INDEX('Lease Cycles'!$CP$11:$CV$11,1,DT61))/12))),IF('Lease Cycles'!$N$11=1,'Lease Cycles'!$C$11*'Lease Cycles'!$E$11*INDEX('Lease Cycles'!$HE$11:$HK$11,1,DT61)*(1+INDEX('Lease Cycles'!$GQ$11:$GW$11,1,DT61))^INT(INT((DT$6-INDEX('Lease Cycles'!$GJ$11:$GP$11,1,DT61))/12)/INDEX('Lease Cycles'!$GX$11:$HD$11,1,DT61))/12,0)))</f>
        <v>4918.555710652568</v>
      </c>
      <c r="DU64" s="28">
        <f>IF(DU61=0,IF('Lease Cycles'!$F$11&gt;0,'Lease Cycles'!$C$11*'Lease Cycles'!$E$11/12,0),IF(DU63=1,IF('Lease Cycles'!$AT$11&gt;=9999,'Lease Cycles'!$C$11*INDEX('Lease Cycles'!$CB$11:$CH$11,1,DU61)*(1+INDEX('Lease Cycles'!$CI$11:$CO$11,1,DU61))^INT(INT(DU62/12)/INDEX('Lease Cycles'!$CP$11:$CV$11,1,DU61))/12,IF(DU61=1,IF(DU62&gt;=INDEX('Lease Cycles'!$DK$11:$DQ$11,1,DU61),IF(DU$6&gt;='Lease Cycles'!$AZ$11,'Lease Cycles'!$C$11*'Lease Cycles'!$BA$11/12,IF(DU$6&gt;='Lease Cycles'!$AX$11,'Lease Cycles'!$C$11*'Lease Cycles'!$AY$11/12,IF(DU$6&gt;='Lease Cycles'!$AV$11,'Lease Cycles'!$C$11*'Lease Cycles'!$AW$11/12,IF(DU$6&gt;='Lease Cycles'!$AT$11,'Lease Cycles'!$C$11*'Lease Cycles'!$AU$11/12,'Lease Cycles'!$C$11*INDEX('Lease Cycles'!$CB$11:$CH$11,1,DU61)*(1+INDEX('Lease Cycles'!$CI$11:$CO$11,1,DU61))^INT(INT(DU62/12)/INDEX('Lease Cycles'!$CP$11:$CV$11,1,DU61))/12)))),'Lease Cycles'!$C$11*INDEX('Lease Cycles'!$CB$11:$CH$11,1,DU61)*(1+INDEX('Lease Cycles'!$CI$11:$CO$11,1,DU61))^INT(INT(DU62/12)/INDEX('Lease Cycles'!$CP$11:$CV$11,1,DU61))/12),IF(INDEX('Lease Cycles'!$EF$11:$EL$11,1,DU61)=1,IF(AND('Lease Cycles'!$AZ$11&gt;=INDEX('Lease Cycles'!$BG$11:$BM$11,1,DU61),'Lease Cycles'!$AZ$11&lt;=DU$6),'Lease Cycles'!$C$11*'Lease Cycles'!$BA$11/12,IF(AND('Lease Cycles'!$AX$11&gt;=INDEX('Lease Cycles'!$BG$11:$BM$11,1,DU61),'Lease Cycles'!$AX$11&lt;=DU$6),'Lease Cycles'!$C$11*'Lease Cycles'!$AY$11/12,IF(AND('Lease Cycles'!$AV$11&gt;=INDEX('Lease Cycles'!$BG$11:$BM$11,1,DU61),'Lease Cycles'!$AV$11&lt;=DU$6),'Lease Cycles'!$C$11*'Lease Cycles'!$AW$11/12,IF(AND('Lease Cycles'!$AT$11&gt;=INDEX('Lease Cycles'!$BG$11:$BM$11,1,DU61),'Lease Cycles'!$AT$11&lt;=DU$6),'Lease Cycles'!$C$11*'Lease Cycles'!$AU$11/12,'Lease Cycles'!$C$11*INDEX('Lease Cycles'!$CB$11:$CH$11,1,DU61)*(1+INDEX('Lease Cycles'!$CI$11:$CO$11,1,DU61))^INT(INT(DU62/12)/INDEX('Lease Cycles'!$CP$11:$CV$11,1,DU61))/12)))),'Lease Cycles'!$C$11*INDEX('Lease Cycles'!$CB$11:$CH$11,1,DU61)*(1+INDEX('Lease Cycles'!$CI$11:$CO$11,1,DU61))^INT(INT(DU62/12)/INDEX('Lease Cycles'!$CP$11:$CV$11,1,DU61))/12))),IF('Lease Cycles'!$N$11=1,'Lease Cycles'!$C$11*'Lease Cycles'!$E$11*INDEX('Lease Cycles'!$HE$11:$HK$11,1,DU61)*(1+INDEX('Lease Cycles'!$GQ$11:$GW$11,1,DU61))^INT(INT((DU$6-INDEX('Lease Cycles'!$GJ$11:$GP$11,1,DU61))/12)/INDEX('Lease Cycles'!$GX$11:$HD$11,1,DU61))/12,0)))</f>
        <v>4918.555710652568</v>
      </c>
      <c r="DV64" s="28">
        <f>IF(DV61=0,IF('Lease Cycles'!$F$11&gt;0,'Lease Cycles'!$C$11*'Lease Cycles'!$E$11/12,0),IF(DV63=1,IF('Lease Cycles'!$AT$11&gt;=9999,'Lease Cycles'!$C$11*INDEX('Lease Cycles'!$CB$11:$CH$11,1,DV61)*(1+INDEX('Lease Cycles'!$CI$11:$CO$11,1,DV61))^INT(INT(DV62/12)/INDEX('Lease Cycles'!$CP$11:$CV$11,1,DV61))/12,IF(DV61=1,IF(DV62&gt;=INDEX('Lease Cycles'!$DK$11:$DQ$11,1,DV61),IF(DV$6&gt;='Lease Cycles'!$AZ$11,'Lease Cycles'!$C$11*'Lease Cycles'!$BA$11/12,IF(DV$6&gt;='Lease Cycles'!$AX$11,'Lease Cycles'!$C$11*'Lease Cycles'!$AY$11/12,IF(DV$6&gt;='Lease Cycles'!$AV$11,'Lease Cycles'!$C$11*'Lease Cycles'!$AW$11/12,IF(DV$6&gt;='Lease Cycles'!$AT$11,'Lease Cycles'!$C$11*'Lease Cycles'!$AU$11/12,'Lease Cycles'!$C$11*INDEX('Lease Cycles'!$CB$11:$CH$11,1,DV61)*(1+INDEX('Lease Cycles'!$CI$11:$CO$11,1,DV61))^INT(INT(DV62/12)/INDEX('Lease Cycles'!$CP$11:$CV$11,1,DV61))/12)))),'Lease Cycles'!$C$11*INDEX('Lease Cycles'!$CB$11:$CH$11,1,DV61)*(1+INDEX('Lease Cycles'!$CI$11:$CO$11,1,DV61))^INT(INT(DV62/12)/INDEX('Lease Cycles'!$CP$11:$CV$11,1,DV61))/12),IF(INDEX('Lease Cycles'!$EF$11:$EL$11,1,DV61)=1,IF(AND('Lease Cycles'!$AZ$11&gt;=INDEX('Lease Cycles'!$BG$11:$BM$11,1,DV61),'Lease Cycles'!$AZ$11&lt;=DV$6),'Lease Cycles'!$C$11*'Lease Cycles'!$BA$11/12,IF(AND('Lease Cycles'!$AX$11&gt;=INDEX('Lease Cycles'!$BG$11:$BM$11,1,DV61),'Lease Cycles'!$AX$11&lt;=DV$6),'Lease Cycles'!$C$11*'Lease Cycles'!$AY$11/12,IF(AND('Lease Cycles'!$AV$11&gt;=INDEX('Lease Cycles'!$BG$11:$BM$11,1,DV61),'Lease Cycles'!$AV$11&lt;=DV$6),'Lease Cycles'!$C$11*'Lease Cycles'!$AW$11/12,IF(AND('Lease Cycles'!$AT$11&gt;=INDEX('Lease Cycles'!$BG$11:$BM$11,1,DV61),'Lease Cycles'!$AT$11&lt;=DV$6),'Lease Cycles'!$C$11*'Lease Cycles'!$AU$11/12,'Lease Cycles'!$C$11*INDEX('Lease Cycles'!$CB$11:$CH$11,1,DV61)*(1+INDEX('Lease Cycles'!$CI$11:$CO$11,1,DV61))^INT(INT(DV62/12)/INDEX('Lease Cycles'!$CP$11:$CV$11,1,DV61))/12)))),'Lease Cycles'!$C$11*INDEX('Lease Cycles'!$CB$11:$CH$11,1,DV61)*(1+INDEX('Lease Cycles'!$CI$11:$CO$11,1,DV61))^INT(INT(DV62/12)/INDEX('Lease Cycles'!$CP$11:$CV$11,1,DV61))/12))),IF('Lease Cycles'!$N$11=1,'Lease Cycles'!$C$11*'Lease Cycles'!$E$11*INDEX('Lease Cycles'!$HE$11:$HK$11,1,DV61)*(1+INDEX('Lease Cycles'!$GQ$11:$GW$11,1,DV61))^INT(INT((DV$6-INDEX('Lease Cycles'!$GJ$11:$GP$11,1,DV61))/12)/INDEX('Lease Cycles'!$GX$11:$HD$11,1,DV61))/12,0)))</f>
        <v>4918.555710652568</v>
      </c>
      <c r="DW64" s="28">
        <f>IF(DW61=0,IF('Lease Cycles'!$F$11&gt;0,'Lease Cycles'!$C$11*'Lease Cycles'!$E$11/12,0),IF(DW63=1,IF('Lease Cycles'!$AT$11&gt;=9999,'Lease Cycles'!$C$11*INDEX('Lease Cycles'!$CB$11:$CH$11,1,DW61)*(1+INDEX('Lease Cycles'!$CI$11:$CO$11,1,DW61))^INT(INT(DW62/12)/INDEX('Lease Cycles'!$CP$11:$CV$11,1,DW61))/12,IF(DW61=1,IF(DW62&gt;=INDEX('Lease Cycles'!$DK$11:$DQ$11,1,DW61),IF(DW$6&gt;='Lease Cycles'!$AZ$11,'Lease Cycles'!$C$11*'Lease Cycles'!$BA$11/12,IF(DW$6&gt;='Lease Cycles'!$AX$11,'Lease Cycles'!$C$11*'Lease Cycles'!$AY$11/12,IF(DW$6&gt;='Lease Cycles'!$AV$11,'Lease Cycles'!$C$11*'Lease Cycles'!$AW$11/12,IF(DW$6&gt;='Lease Cycles'!$AT$11,'Lease Cycles'!$C$11*'Lease Cycles'!$AU$11/12,'Lease Cycles'!$C$11*INDEX('Lease Cycles'!$CB$11:$CH$11,1,DW61)*(1+INDEX('Lease Cycles'!$CI$11:$CO$11,1,DW61))^INT(INT(DW62/12)/INDEX('Lease Cycles'!$CP$11:$CV$11,1,DW61))/12)))),'Lease Cycles'!$C$11*INDEX('Lease Cycles'!$CB$11:$CH$11,1,DW61)*(1+INDEX('Lease Cycles'!$CI$11:$CO$11,1,DW61))^INT(INT(DW62/12)/INDEX('Lease Cycles'!$CP$11:$CV$11,1,DW61))/12),IF(INDEX('Lease Cycles'!$EF$11:$EL$11,1,DW61)=1,IF(AND('Lease Cycles'!$AZ$11&gt;=INDEX('Lease Cycles'!$BG$11:$BM$11,1,DW61),'Lease Cycles'!$AZ$11&lt;=DW$6),'Lease Cycles'!$C$11*'Lease Cycles'!$BA$11/12,IF(AND('Lease Cycles'!$AX$11&gt;=INDEX('Lease Cycles'!$BG$11:$BM$11,1,DW61),'Lease Cycles'!$AX$11&lt;=DW$6),'Lease Cycles'!$C$11*'Lease Cycles'!$AY$11/12,IF(AND('Lease Cycles'!$AV$11&gt;=INDEX('Lease Cycles'!$BG$11:$BM$11,1,DW61),'Lease Cycles'!$AV$11&lt;=DW$6),'Lease Cycles'!$C$11*'Lease Cycles'!$AW$11/12,IF(AND('Lease Cycles'!$AT$11&gt;=INDEX('Lease Cycles'!$BG$11:$BM$11,1,DW61),'Lease Cycles'!$AT$11&lt;=DW$6),'Lease Cycles'!$C$11*'Lease Cycles'!$AU$11/12,'Lease Cycles'!$C$11*INDEX('Lease Cycles'!$CB$11:$CH$11,1,DW61)*(1+INDEX('Lease Cycles'!$CI$11:$CO$11,1,DW61))^INT(INT(DW62/12)/INDEX('Lease Cycles'!$CP$11:$CV$11,1,DW61))/12)))),'Lease Cycles'!$C$11*INDEX('Lease Cycles'!$CB$11:$CH$11,1,DW61)*(1+INDEX('Lease Cycles'!$CI$11:$CO$11,1,DW61))^INT(INT(DW62/12)/INDEX('Lease Cycles'!$CP$11:$CV$11,1,DW61))/12))),IF('Lease Cycles'!$N$11=1,'Lease Cycles'!$C$11*'Lease Cycles'!$E$11*INDEX('Lease Cycles'!$HE$11:$HK$11,1,DW61)*(1+INDEX('Lease Cycles'!$GQ$11:$GW$11,1,DW61))^INT(INT((DW$6-INDEX('Lease Cycles'!$GJ$11:$GP$11,1,DW61))/12)/INDEX('Lease Cycles'!$GX$11:$HD$11,1,DW61))/12,0)))</f>
        <v>4918.555710652568</v>
      </c>
      <c r="DX64" s="28">
        <f>IF(DX61=0,IF('Lease Cycles'!$F$11&gt;0,'Lease Cycles'!$C$11*'Lease Cycles'!$E$11/12,0),IF(DX63=1,IF('Lease Cycles'!$AT$11&gt;=9999,'Lease Cycles'!$C$11*INDEX('Lease Cycles'!$CB$11:$CH$11,1,DX61)*(1+INDEX('Lease Cycles'!$CI$11:$CO$11,1,DX61))^INT(INT(DX62/12)/INDEX('Lease Cycles'!$CP$11:$CV$11,1,DX61))/12,IF(DX61=1,IF(DX62&gt;=INDEX('Lease Cycles'!$DK$11:$DQ$11,1,DX61),IF(DX$6&gt;='Lease Cycles'!$AZ$11,'Lease Cycles'!$C$11*'Lease Cycles'!$BA$11/12,IF(DX$6&gt;='Lease Cycles'!$AX$11,'Lease Cycles'!$C$11*'Lease Cycles'!$AY$11/12,IF(DX$6&gt;='Lease Cycles'!$AV$11,'Lease Cycles'!$C$11*'Lease Cycles'!$AW$11/12,IF(DX$6&gt;='Lease Cycles'!$AT$11,'Lease Cycles'!$C$11*'Lease Cycles'!$AU$11/12,'Lease Cycles'!$C$11*INDEX('Lease Cycles'!$CB$11:$CH$11,1,DX61)*(1+INDEX('Lease Cycles'!$CI$11:$CO$11,1,DX61))^INT(INT(DX62/12)/INDEX('Lease Cycles'!$CP$11:$CV$11,1,DX61))/12)))),'Lease Cycles'!$C$11*INDEX('Lease Cycles'!$CB$11:$CH$11,1,DX61)*(1+INDEX('Lease Cycles'!$CI$11:$CO$11,1,DX61))^INT(INT(DX62/12)/INDEX('Lease Cycles'!$CP$11:$CV$11,1,DX61))/12),IF(INDEX('Lease Cycles'!$EF$11:$EL$11,1,DX61)=1,IF(AND('Lease Cycles'!$AZ$11&gt;=INDEX('Lease Cycles'!$BG$11:$BM$11,1,DX61),'Lease Cycles'!$AZ$11&lt;=DX$6),'Lease Cycles'!$C$11*'Lease Cycles'!$BA$11/12,IF(AND('Lease Cycles'!$AX$11&gt;=INDEX('Lease Cycles'!$BG$11:$BM$11,1,DX61),'Lease Cycles'!$AX$11&lt;=DX$6),'Lease Cycles'!$C$11*'Lease Cycles'!$AY$11/12,IF(AND('Lease Cycles'!$AV$11&gt;=INDEX('Lease Cycles'!$BG$11:$BM$11,1,DX61),'Lease Cycles'!$AV$11&lt;=DX$6),'Lease Cycles'!$C$11*'Lease Cycles'!$AW$11/12,IF(AND('Lease Cycles'!$AT$11&gt;=INDEX('Lease Cycles'!$BG$11:$BM$11,1,DX61),'Lease Cycles'!$AT$11&lt;=DX$6),'Lease Cycles'!$C$11*'Lease Cycles'!$AU$11/12,'Lease Cycles'!$C$11*INDEX('Lease Cycles'!$CB$11:$CH$11,1,DX61)*(1+INDEX('Lease Cycles'!$CI$11:$CO$11,1,DX61))^INT(INT(DX62/12)/INDEX('Lease Cycles'!$CP$11:$CV$11,1,DX61))/12)))),'Lease Cycles'!$C$11*INDEX('Lease Cycles'!$CB$11:$CH$11,1,DX61)*(1+INDEX('Lease Cycles'!$CI$11:$CO$11,1,DX61))^INT(INT(DX62/12)/INDEX('Lease Cycles'!$CP$11:$CV$11,1,DX61))/12))),IF('Lease Cycles'!$N$11=1,'Lease Cycles'!$C$11*'Lease Cycles'!$E$11*INDEX('Lease Cycles'!$HE$11:$HK$11,1,DX61)*(1+INDEX('Lease Cycles'!$GQ$11:$GW$11,1,DX61))^INT(INT((DX$6-INDEX('Lease Cycles'!$GJ$11:$GP$11,1,DX61))/12)/INDEX('Lease Cycles'!$GX$11:$HD$11,1,DX61))/12,0)))</f>
        <v>4918.555710652568</v>
      </c>
      <c r="DY64" s="28">
        <f>IF(DY61=0,IF('Lease Cycles'!$F$11&gt;0,'Lease Cycles'!$C$11*'Lease Cycles'!$E$11/12,0),IF(DY63=1,IF('Lease Cycles'!$AT$11&gt;=9999,'Lease Cycles'!$C$11*INDEX('Lease Cycles'!$CB$11:$CH$11,1,DY61)*(1+INDEX('Lease Cycles'!$CI$11:$CO$11,1,DY61))^INT(INT(DY62/12)/INDEX('Lease Cycles'!$CP$11:$CV$11,1,DY61))/12,IF(DY61=1,IF(DY62&gt;=INDEX('Lease Cycles'!$DK$11:$DQ$11,1,DY61),IF(DY$6&gt;='Lease Cycles'!$AZ$11,'Lease Cycles'!$C$11*'Lease Cycles'!$BA$11/12,IF(DY$6&gt;='Lease Cycles'!$AX$11,'Lease Cycles'!$C$11*'Lease Cycles'!$AY$11/12,IF(DY$6&gt;='Lease Cycles'!$AV$11,'Lease Cycles'!$C$11*'Lease Cycles'!$AW$11/12,IF(DY$6&gt;='Lease Cycles'!$AT$11,'Lease Cycles'!$C$11*'Lease Cycles'!$AU$11/12,'Lease Cycles'!$C$11*INDEX('Lease Cycles'!$CB$11:$CH$11,1,DY61)*(1+INDEX('Lease Cycles'!$CI$11:$CO$11,1,DY61))^INT(INT(DY62/12)/INDEX('Lease Cycles'!$CP$11:$CV$11,1,DY61))/12)))),'Lease Cycles'!$C$11*INDEX('Lease Cycles'!$CB$11:$CH$11,1,DY61)*(1+INDEX('Lease Cycles'!$CI$11:$CO$11,1,DY61))^INT(INT(DY62/12)/INDEX('Lease Cycles'!$CP$11:$CV$11,1,DY61))/12),IF(INDEX('Lease Cycles'!$EF$11:$EL$11,1,DY61)=1,IF(AND('Lease Cycles'!$AZ$11&gt;=INDEX('Lease Cycles'!$BG$11:$BM$11,1,DY61),'Lease Cycles'!$AZ$11&lt;=DY$6),'Lease Cycles'!$C$11*'Lease Cycles'!$BA$11/12,IF(AND('Lease Cycles'!$AX$11&gt;=INDEX('Lease Cycles'!$BG$11:$BM$11,1,DY61),'Lease Cycles'!$AX$11&lt;=DY$6),'Lease Cycles'!$C$11*'Lease Cycles'!$AY$11/12,IF(AND('Lease Cycles'!$AV$11&gt;=INDEX('Lease Cycles'!$BG$11:$BM$11,1,DY61),'Lease Cycles'!$AV$11&lt;=DY$6),'Lease Cycles'!$C$11*'Lease Cycles'!$AW$11/12,IF(AND('Lease Cycles'!$AT$11&gt;=INDEX('Lease Cycles'!$BG$11:$BM$11,1,DY61),'Lease Cycles'!$AT$11&lt;=DY$6),'Lease Cycles'!$C$11*'Lease Cycles'!$AU$11/12,'Lease Cycles'!$C$11*INDEX('Lease Cycles'!$CB$11:$CH$11,1,DY61)*(1+INDEX('Lease Cycles'!$CI$11:$CO$11,1,DY61))^INT(INT(DY62/12)/INDEX('Lease Cycles'!$CP$11:$CV$11,1,DY61))/12)))),'Lease Cycles'!$C$11*INDEX('Lease Cycles'!$CB$11:$CH$11,1,DY61)*(1+INDEX('Lease Cycles'!$CI$11:$CO$11,1,DY61))^INT(INT(DY62/12)/INDEX('Lease Cycles'!$CP$11:$CV$11,1,DY61))/12))),IF('Lease Cycles'!$N$11=1,'Lease Cycles'!$C$11*'Lease Cycles'!$E$11*INDEX('Lease Cycles'!$HE$11:$HK$11,1,DY61)*(1+INDEX('Lease Cycles'!$GQ$11:$GW$11,1,DY61))^INT(INT((DY$6-INDEX('Lease Cycles'!$GJ$11:$GP$11,1,DY61))/12)/INDEX('Lease Cycles'!$GX$11:$HD$11,1,DY61))/12,0)))</f>
        <v>4918.555710652568</v>
      </c>
      <c r="DZ64" s="28">
        <f>IF(DZ61=0,IF('Lease Cycles'!$F$11&gt;0,'Lease Cycles'!$C$11*'Lease Cycles'!$E$11/12,0),IF(DZ63=1,IF('Lease Cycles'!$AT$11&gt;=9999,'Lease Cycles'!$C$11*INDEX('Lease Cycles'!$CB$11:$CH$11,1,DZ61)*(1+INDEX('Lease Cycles'!$CI$11:$CO$11,1,DZ61))^INT(INT(DZ62/12)/INDEX('Lease Cycles'!$CP$11:$CV$11,1,DZ61))/12,IF(DZ61=1,IF(DZ62&gt;=INDEX('Lease Cycles'!$DK$11:$DQ$11,1,DZ61),IF(DZ$6&gt;='Lease Cycles'!$AZ$11,'Lease Cycles'!$C$11*'Lease Cycles'!$BA$11/12,IF(DZ$6&gt;='Lease Cycles'!$AX$11,'Lease Cycles'!$C$11*'Lease Cycles'!$AY$11/12,IF(DZ$6&gt;='Lease Cycles'!$AV$11,'Lease Cycles'!$C$11*'Lease Cycles'!$AW$11/12,IF(DZ$6&gt;='Lease Cycles'!$AT$11,'Lease Cycles'!$C$11*'Lease Cycles'!$AU$11/12,'Lease Cycles'!$C$11*INDEX('Lease Cycles'!$CB$11:$CH$11,1,DZ61)*(1+INDEX('Lease Cycles'!$CI$11:$CO$11,1,DZ61))^INT(INT(DZ62/12)/INDEX('Lease Cycles'!$CP$11:$CV$11,1,DZ61))/12)))),'Lease Cycles'!$C$11*INDEX('Lease Cycles'!$CB$11:$CH$11,1,DZ61)*(1+INDEX('Lease Cycles'!$CI$11:$CO$11,1,DZ61))^INT(INT(DZ62/12)/INDEX('Lease Cycles'!$CP$11:$CV$11,1,DZ61))/12),IF(INDEX('Lease Cycles'!$EF$11:$EL$11,1,DZ61)=1,IF(AND('Lease Cycles'!$AZ$11&gt;=INDEX('Lease Cycles'!$BG$11:$BM$11,1,DZ61),'Lease Cycles'!$AZ$11&lt;=DZ$6),'Lease Cycles'!$C$11*'Lease Cycles'!$BA$11/12,IF(AND('Lease Cycles'!$AX$11&gt;=INDEX('Lease Cycles'!$BG$11:$BM$11,1,DZ61),'Lease Cycles'!$AX$11&lt;=DZ$6),'Lease Cycles'!$C$11*'Lease Cycles'!$AY$11/12,IF(AND('Lease Cycles'!$AV$11&gt;=INDEX('Lease Cycles'!$BG$11:$BM$11,1,DZ61),'Lease Cycles'!$AV$11&lt;=DZ$6),'Lease Cycles'!$C$11*'Lease Cycles'!$AW$11/12,IF(AND('Lease Cycles'!$AT$11&gt;=INDEX('Lease Cycles'!$BG$11:$BM$11,1,DZ61),'Lease Cycles'!$AT$11&lt;=DZ$6),'Lease Cycles'!$C$11*'Lease Cycles'!$AU$11/12,'Lease Cycles'!$C$11*INDEX('Lease Cycles'!$CB$11:$CH$11,1,DZ61)*(1+INDEX('Lease Cycles'!$CI$11:$CO$11,1,DZ61))^INT(INT(DZ62/12)/INDEX('Lease Cycles'!$CP$11:$CV$11,1,DZ61))/12)))),'Lease Cycles'!$C$11*INDEX('Lease Cycles'!$CB$11:$CH$11,1,DZ61)*(1+INDEX('Lease Cycles'!$CI$11:$CO$11,1,DZ61))^INT(INT(DZ62/12)/INDEX('Lease Cycles'!$CP$11:$CV$11,1,DZ61))/12))),IF('Lease Cycles'!$N$11=1,'Lease Cycles'!$C$11*'Lease Cycles'!$E$11*INDEX('Lease Cycles'!$HE$11:$HK$11,1,DZ61)*(1+INDEX('Lease Cycles'!$GQ$11:$GW$11,1,DZ61))^INT(INT((DZ$6-INDEX('Lease Cycles'!$GJ$11:$GP$11,1,DZ61))/12)/INDEX('Lease Cycles'!$GX$11:$HD$11,1,DZ61))/12,0)))</f>
        <v>5066.112381972146</v>
      </c>
      <c r="EA64" s="28">
        <f>IF(EA61=0,IF('Lease Cycles'!$F$11&gt;0,'Lease Cycles'!$C$11*'Lease Cycles'!$E$11/12,0),IF(EA63=1,IF('Lease Cycles'!$AT$11&gt;=9999,'Lease Cycles'!$C$11*INDEX('Lease Cycles'!$CB$11:$CH$11,1,EA61)*(1+INDEX('Lease Cycles'!$CI$11:$CO$11,1,EA61))^INT(INT(EA62/12)/INDEX('Lease Cycles'!$CP$11:$CV$11,1,EA61))/12,IF(EA61=1,IF(EA62&gt;=INDEX('Lease Cycles'!$DK$11:$DQ$11,1,EA61),IF(EA$6&gt;='Lease Cycles'!$AZ$11,'Lease Cycles'!$C$11*'Lease Cycles'!$BA$11/12,IF(EA$6&gt;='Lease Cycles'!$AX$11,'Lease Cycles'!$C$11*'Lease Cycles'!$AY$11/12,IF(EA$6&gt;='Lease Cycles'!$AV$11,'Lease Cycles'!$C$11*'Lease Cycles'!$AW$11/12,IF(EA$6&gt;='Lease Cycles'!$AT$11,'Lease Cycles'!$C$11*'Lease Cycles'!$AU$11/12,'Lease Cycles'!$C$11*INDEX('Lease Cycles'!$CB$11:$CH$11,1,EA61)*(1+INDEX('Lease Cycles'!$CI$11:$CO$11,1,EA61))^INT(INT(EA62/12)/INDEX('Lease Cycles'!$CP$11:$CV$11,1,EA61))/12)))),'Lease Cycles'!$C$11*INDEX('Lease Cycles'!$CB$11:$CH$11,1,EA61)*(1+INDEX('Lease Cycles'!$CI$11:$CO$11,1,EA61))^INT(INT(EA62/12)/INDEX('Lease Cycles'!$CP$11:$CV$11,1,EA61))/12),IF(INDEX('Lease Cycles'!$EF$11:$EL$11,1,EA61)=1,IF(AND('Lease Cycles'!$AZ$11&gt;=INDEX('Lease Cycles'!$BG$11:$BM$11,1,EA61),'Lease Cycles'!$AZ$11&lt;=EA$6),'Lease Cycles'!$C$11*'Lease Cycles'!$BA$11/12,IF(AND('Lease Cycles'!$AX$11&gt;=INDEX('Lease Cycles'!$BG$11:$BM$11,1,EA61),'Lease Cycles'!$AX$11&lt;=EA$6),'Lease Cycles'!$C$11*'Lease Cycles'!$AY$11/12,IF(AND('Lease Cycles'!$AV$11&gt;=INDEX('Lease Cycles'!$BG$11:$BM$11,1,EA61),'Lease Cycles'!$AV$11&lt;=EA$6),'Lease Cycles'!$C$11*'Lease Cycles'!$AW$11/12,IF(AND('Lease Cycles'!$AT$11&gt;=INDEX('Lease Cycles'!$BG$11:$BM$11,1,EA61),'Lease Cycles'!$AT$11&lt;=EA$6),'Lease Cycles'!$C$11*'Lease Cycles'!$AU$11/12,'Lease Cycles'!$C$11*INDEX('Lease Cycles'!$CB$11:$CH$11,1,EA61)*(1+INDEX('Lease Cycles'!$CI$11:$CO$11,1,EA61))^INT(INT(EA62/12)/INDEX('Lease Cycles'!$CP$11:$CV$11,1,EA61))/12)))),'Lease Cycles'!$C$11*INDEX('Lease Cycles'!$CB$11:$CH$11,1,EA61)*(1+INDEX('Lease Cycles'!$CI$11:$CO$11,1,EA61))^INT(INT(EA62/12)/INDEX('Lease Cycles'!$CP$11:$CV$11,1,EA61))/12))),IF('Lease Cycles'!$N$11=1,'Lease Cycles'!$C$11*'Lease Cycles'!$E$11*INDEX('Lease Cycles'!$HE$11:$HK$11,1,EA61)*(1+INDEX('Lease Cycles'!$GQ$11:$GW$11,1,EA61))^INT(INT((EA$6-INDEX('Lease Cycles'!$GJ$11:$GP$11,1,EA61))/12)/INDEX('Lease Cycles'!$GX$11:$HD$11,1,EA61))/12,0)))</f>
        <v>5066.112381972146</v>
      </c>
      <c r="EB64" s="28">
        <f>IF(EB61=0,IF('Lease Cycles'!$F$11&gt;0,'Lease Cycles'!$C$11*'Lease Cycles'!$E$11/12,0),IF(EB63=1,IF('Lease Cycles'!$AT$11&gt;=9999,'Lease Cycles'!$C$11*INDEX('Lease Cycles'!$CB$11:$CH$11,1,EB61)*(1+INDEX('Lease Cycles'!$CI$11:$CO$11,1,EB61))^INT(INT(EB62/12)/INDEX('Lease Cycles'!$CP$11:$CV$11,1,EB61))/12,IF(EB61=1,IF(EB62&gt;=INDEX('Lease Cycles'!$DK$11:$DQ$11,1,EB61),IF(EB$6&gt;='Lease Cycles'!$AZ$11,'Lease Cycles'!$C$11*'Lease Cycles'!$BA$11/12,IF(EB$6&gt;='Lease Cycles'!$AX$11,'Lease Cycles'!$C$11*'Lease Cycles'!$AY$11/12,IF(EB$6&gt;='Lease Cycles'!$AV$11,'Lease Cycles'!$C$11*'Lease Cycles'!$AW$11/12,IF(EB$6&gt;='Lease Cycles'!$AT$11,'Lease Cycles'!$C$11*'Lease Cycles'!$AU$11/12,'Lease Cycles'!$C$11*INDEX('Lease Cycles'!$CB$11:$CH$11,1,EB61)*(1+INDEX('Lease Cycles'!$CI$11:$CO$11,1,EB61))^INT(INT(EB62/12)/INDEX('Lease Cycles'!$CP$11:$CV$11,1,EB61))/12)))),'Lease Cycles'!$C$11*INDEX('Lease Cycles'!$CB$11:$CH$11,1,EB61)*(1+INDEX('Lease Cycles'!$CI$11:$CO$11,1,EB61))^INT(INT(EB62/12)/INDEX('Lease Cycles'!$CP$11:$CV$11,1,EB61))/12),IF(INDEX('Lease Cycles'!$EF$11:$EL$11,1,EB61)=1,IF(AND('Lease Cycles'!$AZ$11&gt;=INDEX('Lease Cycles'!$BG$11:$BM$11,1,EB61),'Lease Cycles'!$AZ$11&lt;=EB$6),'Lease Cycles'!$C$11*'Lease Cycles'!$BA$11/12,IF(AND('Lease Cycles'!$AX$11&gt;=INDEX('Lease Cycles'!$BG$11:$BM$11,1,EB61),'Lease Cycles'!$AX$11&lt;=EB$6),'Lease Cycles'!$C$11*'Lease Cycles'!$AY$11/12,IF(AND('Lease Cycles'!$AV$11&gt;=INDEX('Lease Cycles'!$BG$11:$BM$11,1,EB61),'Lease Cycles'!$AV$11&lt;=EB$6),'Lease Cycles'!$C$11*'Lease Cycles'!$AW$11/12,IF(AND('Lease Cycles'!$AT$11&gt;=INDEX('Lease Cycles'!$BG$11:$BM$11,1,EB61),'Lease Cycles'!$AT$11&lt;=EB$6),'Lease Cycles'!$C$11*'Lease Cycles'!$AU$11/12,'Lease Cycles'!$C$11*INDEX('Lease Cycles'!$CB$11:$CH$11,1,EB61)*(1+INDEX('Lease Cycles'!$CI$11:$CO$11,1,EB61))^INT(INT(EB62/12)/INDEX('Lease Cycles'!$CP$11:$CV$11,1,EB61))/12)))),'Lease Cycles'!$C$11*INDEX('Lease Cycles'!$CB$11:$CH$11,1,EB61)*(1+INDEX('Lease Cycles'!$CI$11:$CO$11,1,EB61))^INT(INT(EB62/12)/INDEX('Lease Cycles'!$CP$11:$CV$11,1,EB61))/12))),IF('Lease Cycles'!$N$11=1,'Lease Cycles'!$C$11*'Lease Cycles'!$E$11*INDEX('Lease Cycles'!$HE$11:$HK$11,1,EB61)*(1+INDEX('Lease Cycles'!$GQ$11:$GW$11,1,EB61))^INT(INT((EB$6-INDEX('Lease Cycles'!$GJ$11:$GP$11,1,EB61))/12)/INDEX('Lease Cycles'!$GX$11:$HD$11,1,EB61))/12,0)))</f>
        <v>5066.112381972146</v>
      </c>
      <c r="EC64" s="28">
        <f>IF(EC61=0,IF('Lease Cycles'!$F$11&gt;0,'Lease Cycles'!$C$11*'Lease Cycles'!$E$11/12,0),IF(EC63=1,IF('Lease Cycles'!$AT$11&gt;=9999,'Lease Cycles'!$C$11*INDEX('Lease Cycles'!$CB$11:$CH$11,1,EC61)*(1+INDEX('Lease Cycles'!$CI$11:$CO$11,1,EC61))^INT(INT(EC62/12)/INDEX('Lease Cycles'!$CP$11:$CV$11,1,EC61))/12,IF(EC61=1,IF(EC62&gt;=INDEX('Lease Cycles'!$DK$11:$DQ$11,1,EC61),IF(EC$6&gt;='Lease Cycles'!$AZ$11,'Lease Cycles'!$C$11*'Lease Cycles'!$BA$11/12,IF(EC$6&gt;='Lease Cycles'!$AX$11,'Lease Cycles'!$C$11*'Lease Cycles'!$AY$11/12,IF(EC$6&gt;='Lease Cycles'!$AV$11,'Lease Cycles'!$C$11*'Lease Cycles'!$AW$11/12,IF(EC$6&gt;='Lease Cycles'!$AT$11,'Lease Cycles'!$C$11*'Lease Cycles'!$AU$11/12,'Lease Cycles'!$C$11*INDEX('Lease Cycles'!$CB$11:$CH$11,1,EC61)*(1+INDEX('Lease Cycles'!$CI$11:$CO$11,1,EC61))^INT(INT(EC62/12)/INDEX('Lease Cycles'!$CP$11:$CV$11,1,EC61))/12)))),'Lease Cycles'!$C$11*INDEX('Lease Cycles'!$CB$11:$CH$11,1,EC61)*(1+INDEX('Lease Cycles'!$CI$11:$CO$11,1,EC61))^INT(INT(EC62/12)/INDEX('Lease Cycles'!$CP$11:$CV$11,1,EC61))/12),IF(INDEX('Lease Cycles'!$EF$11:$EL$11,1,EC61)=1,IF(AND('Lease Cycles'!$AZ$11&gt;=INDEX('Lease Cycles'!$BG$11:$BM$11,1,EC61),'Lease Cycles'!$AZ$11&lt;=EC$6),'Lease Cycles'!$C$11*'Lease Cycles'!$BA$11/12,IF(AND('Lease Cycles'!$AX$11&gt;=INDEX('Lease Cycles'!$BG$11:$BM$11,1,EC61),'Lease Cycles'!$AX$11&lt;=EC$6),'Lease Cycles'!$C$11*'Lease Cycles'!$AY$11/12,IF(AND('Lease Cycles'!$AV$11&gt;=INDEX('Lease Cycles'!$BG$11:$BM$11,1,EC61),'Lease Cycles'!$AV$11&lt;=EC$6),'Lease Cycles'!$C$11*'Lease Cycles'!$AW$11/12,IF(AND('Lease Cycles'!$AT$11&gt;=INDEX('Lease Cycles'!$BG$11:$BM$11,1,EC61),'Lease Cycles'!$AT$11&lt;=EC$6),'Lease Cycles'!$C$11*'Lease Cycles'!$AU$11/12,'Lease Cycles'!$C$11*INDEX('Lease Cycles'!$CB$11:$CH$11,1,EC61)*(1+INDEX('Lease Cycles'!$CI$11:$CO$11,1,EC61))^INT(INT(EC62/12)/INDEX('Lease Cycles'!$CP$11:$CV$11,1,EC61))/12)))),'Lease Cycles'!$C$11*INDEX('Lease Cycles'!$CB$11:$CH$11,1,EC61)*(1+INDEX('Lease Cycles'!$CI$11:$CO$11,1,EC61))^INT(INT(EC62/12)/INDEX('Lease Cycles'!$CP$11:$CV$11,1,EC61))/12))),IF('Lease Cycles'!$N$11=1,'Lease Cycles'!$C$11*'Lease Cycles'!$E$11*INDEX('Lease Cycles'!$HE$11:$HK$11,1,EC61)*(1+INDEX('Lease Cycles'!$GQ$11:$GW$11,1,EC61))^INT(INT((EC$6-INDEX('Lease Cycles'!$GJ$11:$GP$11,1,EC61))/12)/INDEX('Lease Cycles'!$GX$11:$HD$11,1,EC61))/12,0)))</f>
        <v>5066.112381972146</v>
      </c>
      <c r="ED64" s="28">
        <f>IF(ED61=0,IF('Lease Cycles'!$F$11&gt;0,'Lease Cycles'!$C$11*'Lease Cycles'!$E$11/12,0),IF(ED63=1,IF('Lease Cycles'!$AT$11&gt;=9999,'Lease Cycles'!$C$11*INDEX('Lease Cycles'!$CB$11:$CH$11,1,ED61)*(1+INDEX('Lease Cycles'!$CI$11:$CO$11,1,ED61))^INT(INT(ED62/12)/INDEX('Lease Cycles'!$CP$11:$CV$11,1,ED61))/12,IF(ED61=1,IF(ED62&gt;=INDEX('Lease Cycles'!$DK$11:$DQ$11,1,ED61),IF(ED$6&gt;='Lease Cycles'!$AZ$11,'Lease Cycles'!$C$11*'Lease Cycles'!$BA$11/12,IF(ED$6&gt;='Lease Cycles'!$AX$11,'Lease Cycles'!$C$11*'Lease Cycles'!$AY$11/12,IF(ED$6&gt;='Lease Cycles'!$AV$11,'Lease Cycles'!$C$11*'Lease Cycles'!$AW$11/12,IF(ED$6&gt;='Lease Cycles'!$AT$11,'Lease Cycles'!$C$11*'Lease Cycles'!$AU$11/12,'Lease Cycles'!$C$11*INDEX('Lease Cycles'!$CB$11:$CH$11,1,ED61)*(1+INDEX('Lease Cycles'!$CI$11:$CO$11,1,ED61))^INT(INT(ED62/12)/INDEX('Lease Cycles'!$CP$11:$CV$11,1,ED61))/12)))),'Lease Cycles'!$C$11*INDEX('Lease Cycles'!$CB$11:$CH$11,1,ED61)*(1+INDEX('Lease Cycles'!$CI$11:$CO$11,1,ED61))^INT(INT(ED62/12)/INDEX('Lease Cycles'!$CP$11:$CV$11,1,ED61))/12),IF(INDEX('Lease Cycles'!$EF$11:$EL$11,1,ED61)=1,IF(AND('Lease Cycles'!$AZ$11&gt;=INDEX('Lease Cycles'!$BG$11:$BM$11,1,ED61),'Lease Cycles'!$AZ$11&lt;=ED$6),'Lease Cycles'!$C$11*'Lease Cycles'!$BA$11/12,IF(AND('Lease Cycles'!$AX$11&gt;=INDEX('Lease Cycles'!$BG$11:$BM$11,1,ED61),'Lease Cycles'!$AX$11&lt;=ED$6),'Lease Cycles'!$C$11*'Lease Cycles'!$AY$11/12,IF(AND('Lease Cycles'!$AV$11&gt;=INDEX('Lease Cycles'!$BG$11:$BM$11,1,ED61),'Lease Cycles'!$AV$11&lt;=ED$6),'Lease Cycles'!$C$11*'Lease Cycles'!$AW$11/12,IF(AND('Lease Cycles'!$AT$11&gt;=INDEX('Lease Cycles'!$BG$11:$BM$11,1,ED61),'Lease Cycles'!$AT$11&lt;=ED$6),'Lease Cycles'!$C$11*'Lease Cycles'!$AU$11/12,'Lease Cycles'!$C$11*INDEX('Lease Cycles'!$CB$11:$CH$11,1,ED61)*(1+INDEX('Lease Cycles'!$CI$11:$CO$11,1,ED61))^INT(INT(ED62/12)/INDEX('Lease Cycles'!$CP$11:$CV$11,1,ED61))/12)))),'Lease Cycles'!$C$11*INDEX('Lease Cycles'!$CB$11:$CH$11,1,ED61)*(1+INDEX('Lease Cycles'!$CI$11:$CO$11,1,ED61))^INT(INT(ED62/12)/INDEX('Lease Cycles'!$CP$11:$CV$11,1,ED61))/12))),IF('Lease Cycles'!$N$11=1,'Lease Cycles'!$C$11*'Lease Cycles'!$E$11*INDEX('Lease Cycles'!$HE$11:$HK$11,1,ED61)*(1+INDEX('Lease Cycles'!$GQ$11:$GW$11,1,ED61))^INT(INT((ED$6-INDEX('Lease Cycles'!$GJ$11:$GP$11,1,ED61))/12)/INDEX('Lease Cycles'!$GX$11:$HD$11,1,ED61))/12,0)))</f>
        <v>5066.112381972146</v>
      </c>
      <c r="EE64" s="28">
        <f>IF(EE61=0,IF('Lease Cycles'!$F$11&gt;0,'Lease Cycles'!$C$11*'Lease Cycles'!$E$11/12,0),IF(EE63=1,IF('Lease Cycles'!$AT$11&gt;=9999,'Lease Cycles'!$C$11*INDEX('Lease Cycles'!$CB$11:$CH$11,1,EE61)*(1+INDEX('Lease Cycles'!$CI$11:$CO$11,1,EE61))^INT(INT(EE62/12)/INDEX('Lease Cycles'!$CP$11:$CV$11,1,EE61))/12,IF(EE61=1,IF(EE62&gt;=INDEX('Lease Cycles'!$DK$11:$DQ$11,1,EE61),IF(EE$6&gt;='Lease Cycles'!$AZ$11,'Lease Cycles'!$C$11*'Lease Cycles'!$BA$11/12,IF(EE$6&gt;='Lease Cycles'!$AX$11,'Lease Cycles'!$C$11*'Lease Cycles'!$AY$11/12,IF(EE$6&gt;='Lease Cycles'!$AV$11,'Lease Cycles'!$C$11*'Lease Cycles'!$AW$11/12,IF(EE$6&gt;='Lease Cycles'!$AT$11,'Lease Cycles'!$C$11*'Lease Cycles'!$AU$11/12,'Lease Cycles'!$C$11*INDEX('Lease Cycles'!$CB$11:$CH$11,1,EE61)*(1+INDEX('Lease Cycles'!$CI$11:$CO$11,1,EE61))^INT(INT(EE62/12)/INDEX('Lease Cycles'!$CP$11:$CV$11,1,EE61))/12)))),'Lease Cycles'!$C$11*INDEX('Lease Cycles'!$CB$11:$CH$11,1,EE61)*(1+INDEX('Lease Cycles'!$CI$11:$CO$11,1,EE61))^INT(INT(EE62/12)/INDEX('Lease Cycles'!$CP$11:$CV$11,1,EE61))/12),IF(INDEX('Lease Cycles'!$EF$11:$EL$11,1,EE61)=1,IF(AND('Lease Cycles'!$AZ$11&gt;=INDEX('Lease Cycles'!$BG$11:$BM$11,1,EE61),'Lease Cycles'!$AZ$11&lt;=EE$6),'Lease Cycles'!$C$11*'Lease Cycles'!$BA$11/12,IF(AND('Lease Cycles'!$AX$11&gt;=INDEX('Lease Cycles'!$BG$11:$BM$11,1,EE61),'Lease Cycles'!$AX$11&lt;=EE$6),'Lease Cycles'!$C$11*'Lease Cycles'!$AY$11/12,IF(AND('Lease Cycles'!$AV$11&gt;=INDEX('Lease Cycles'!$BG$11:$BM$11,1,EE61),'Lease Cycles'!$AV$11&lt;=EE$6),'Lease Cycles'!$C$11*'Lease Cycles'!$AW$11/12,IF(AND('Lease Cycles'!$AT$11&gt;=INDEX('Lease Cycles'!$BG$11:$BM$11,1,EE61),'Lease Cycles'!$AT$11&lt;=EE$6),'Lease Cycles'!$C$11*'Lease Cycles'!$AU$11/12,'Lease Cycles'!$C$11*INDEX('Lease Cycles'!$CB$11:$CH$11,1,EE61)*(1+INDEX('Lease Cycles'!$CI$11:$CO$11,1,EE61))^INT(INT(EE62/12)/INDEX('Lease Cycles'!$CP$11:$CV$11,1,EE61))/12)))),'Lease Cycles'!$C$11*INDEX('Lease Cycles'!$CB$11:$CH$11,1,EE61)*(1+INDEX('Lease Cycles'!$CI$11:$CO$11,1,EE61))^INT(INT(EE62/12)/INDEX('Lease Cycles'!$CP$11:$CV$11,1,EE61))/12))),IF('Lease Cycles'!$N$11=1,'Lease Cycles'!$C$11*'Lease Cycles'!$E$11*INDEX('Lease Cycles'!$HE$11:$HK$11,1,EE61)*(1+INDEX('Lease Cycles'!$GQ$11:$GW$11,1,EE61))^INT(INT((EE$6-INDEX('Lease Cycles'!$GJ$11:$GP$11,1,EE61))/12)/INDEX('Lease Cycles'!$GX$11:$HD$11,1,EE61))/12,0)))</f>
        <v>5066.112381972146</v>
      </c>
      <c r="EF64" s="28">
        <f>IF(EF61=0,IF('Lease Cycles'!$F$11&gt;0,'Lease Cycles'!$C$11*'Lease Cycles'!$E$11/12,0),IF(EF63=1,IF('Lease Cycles'!$AT$11&gt;=9999,'Lease Cycles'!$C$11*INDEX('Lease Cycles'!$CB$11:$CH$11,1,EF61)*(1+INDEX('Lease Cycles'!$CI$11:$CO$11,1,EF61))^INT(INT(EF62/12)/INDEX('Lease Cycles'!$CP$11:$CV$11,1,EF61))/12,IF(EF61=1,IF(EF62&gt;=INDEX('Lease Cycles'!$DK$11:$DQ$11,1,EF61),IF(EF$6&gt;='Lease Cycles'!$AZ$11,'Lease Cycles'!$C$11*'Lease Cycles'!$BA$11/12,IF(EF$6&gt;='Lease Cycles'!$AX$11,'Lease Cycles'!$C$11*'Lease Cycles'!$AY$11/12,IF(EF$6&gt;='Lease Cycles'!$AV$11,'Lease Cycles'!$C$11*'Lease Cycles'!$AW$11/12,IF(EF$6&gt;='Lease Cycles'!$AT$11,'Lease Cycles'!$C$11*'Lease Cycles'!$AU$11/12,'Lease Cycles'!$C$11*INDEX('Lease Cycles'!$CB$11:$CH$11,1,EF61)*(1+INDEX('Lease Cycles'!$CI$11:$CO$11,1,EF61))^INT(INT(EF62/12)/INDEX('Lease Cycles'!$CP$11:$CV$11,1,EF61))/12)))),'Lease Cycles'!$C$11*INDEX('Lease Cycles'!$CB$11:$CH$11,1,EF61)*(1+INDEX('Lease Cycles'!$CI$11:$CO$11,1,EF61))^INT(INT(EF62/12)/INDEX('Lease Cycles'!$CP$11:$CV$11,1,EF61))/12),IF(INDEX('Lease Cycles'!$EF$11:$EL$11,1,EF61)=1,IF(AND('Lease Cycles'!$AZ$11&gt;=INDEX('Lease Cycles'!$BG$11:$BM$11,1,EF61),'Lease Cycles'!$AZ$11&lt;=EF$6),'Lease Cycles'!$C$11*'Lease Cycles'!$BA$11/12,IF(AND('Lease Cycles'!$AX$11&gt;=INDEX('Lease Cycles'!$BG$11:$BM$11,1,EF61),'Lease Cycles'!$AX$11&lt;=EF$6),'Lease Cycles'!$C$11*'Lease Cycles'!$AY$11/12,IF(AND('Lease Cycles'!$AV$11&gt;=INDEX('Lease Cycles'!$BG$11:$BM$11,1,EF61),'Lease Cycles'!$AV$11&lt;=EF$6),'Lease Cycles'!$C$11*'Lease Cycles'!$AW$11/12,IF(AND('Lease Cycles'!$AT$11&gt;=INDEX('Lease Cycles'!$BG$11:$BM$11,1,EF61),'Lease Cycles'!$AT$11&lt;=EF$6),'Lease Cycles'!$C$11*'Lease Cycles'!$AU$11/12,'Lease Cycles'!$C$11*INDEX('Lease Cycles'!$CB$11:$CH$11,1,EF61)*(1+INDEX('Lease Cycles'!$CI$11:$CO$11,1,EF61))^INT(INT(EF62/12)/INDEX('Lease Cycles'!$CP$11:$CV$11,1,EF61))/12)))),'Lease Cycles'!$C$11*INDEX('Lease Cycles'!$CB$11:$CH$11,1,EF61)*(1+INDEX('Lease Cycles'!$CI$11:$CO$11,1,EF61))^INT(INT(EF62/12)/INDEX('Lease Cycles'!$CP$11:$CV$11,1,EF61))/12))),IF('Lease Cycles'!$N$11=1,'Lease Cycles'!$C$11*'Lease Cycles'!$E$11*INDEX('Lease Cycles'!$HE$11:$HK$11,1,EF61)*(1+INDEX('Lease Cycles'!$GQ$11:$GW$11,1,EF61))^INT(INT((EF$6-INDEX('Lease Cycles'!$GJ$11:$GP$11,1,EF61))/12)/INDEX('Lease Cycles'!$GX$11:$HD$11,1,EF61))/12,0)))</f>
        <v>5066.112381972146</v>
      </c>
      <c r="EG64" s="28">
        <f>IF(EG61=0,IF('Lease Cycles'!$F$11&gt;0,'Lease Cycles'!$C$11*'Lease Cycles'!$E$11/12,0),IF(EG63=1,IF('Lease Cycles'!$AT$11&gt;=9999,'Lease Cycles'!$C$11*INDEX('Lease Cycles'!$CB$11:$CH$11,1,EG61)*(1+INDEX('Lease Cycles'!$CI$11:$CO$11,1,EG61))^INT(INT(EG62/12)/INDEX('Lease Cycles'!$CP$11:$CV$11,1,EG61))/12,IF(EG61=1,IF(EG62&gt;=INDEX('Lease Cycles'!$DK$11:$DQ$11,1,EG61),IF(EG$6&gt;='Lease Cycles'!$AZ$11,'Lease Cycles'!$C$11*'Lease Cycles'!$BA$11/12,IF(EG$6&gt;='Lease Cycles'!$AX$11,'Lease Cycles'!$C$11*'Lease Cycles'!$AY$11/12,IF(EG$6&gt;='Lease Cycles'!$AV$11,'Lease Cycles'!$C$11*'Lease Cycles'!$AW$11/12,IF(EG$6&gt;='Lease Cycles'!$AT$11,'Lease Cycles'!$C$11*'Lease Cycles'!$AU$11/12,'Lease Cycles'!$C$11*INDEX('Lease Cycles'!$CB$11:$CH$11,1,EG61)*(1+INDEX('Lease Cycles'!$CI$11:$CO$11,1,EG61))^INT(INT(EG62/12)/INDEX('Lease Cycles'!$CP$11:$CV$11,1,EG61))/12)))),'Lease Cycles'!$C$11*INDEX('Lease Cycles'!$CB$11:$CH$11,1,EG61)*(1+INDEX('Lease Cycles'!$CI$11:$CO$11,1,EG61))^INT(INT(EG62/12)/INDEX('Lease Cycles'!$CP$11:$CV$11,1,EG61))/12),IF(INDEX('Lease Cycles'!$EF$11:$EL$11,1,EG61)=1,IF(AND('Lease Cycles'!$AZ$11&gt;=INDEX('Lease Cycles'!$BG$11:$BM$11,1,EG61),'Lease Cycles'!$AZ$11&lt;=EG$6),'Lease Cycles'!$C$11*'Lease Cycles'!$BA$11/12,IF(AND('Lease Cycles'!$AX$11&gt;=INDEX('Lease Cycles'!$BG$11:$BM$11,1,EG61),'Lease Cycles'!$AX$11&lt;=EG$6),'Lease Cycles'!$C$11*'Lease Cycles'!$AY$11/12,IF(AND('Lease Cycles'!$AV$11&gt;=INDEX('Lease Cycles'!$BG$11:$BM$11,1,EG61),'Lease Cycles'!$AV$11&lt;=EG$6),'Lease Cycles'!$C$11*'Lease Cycles'!$AW$11/12,IF(AND('Lease Cycles'!$AT$11&gt;=INDEX('Lease Cycles'!$BG$11:$BM$11,1,EG61),'Lease Cycles'!$AT$11&lt;=EG$6),'Lease Cycles'!$C$11*'Lease Cycles'!$AU$11/12,'Lease Cycles'!$C$11*INDEX('Lease Cycles'!$CB$11:$CH$11,1,EG61)*(1+INDEX('Lease Cycles'!$CI$11:$CO$11,1,EG61))^INT(INT(EG62/12)/INDEX('Lease Cycles'!$CP$11:$CV$11,1,EG61))/12)))),'Lease Cycles'!$C$11*INDEX('Lease Cycles'!$CB$11:$CH$11,1,EG61)*(1+INDEX('Lease Cycles'!$CI$11:$CO$11,1,EG61))^INT(INT(EG62/12)/INDEX('Lease Cycles'!$CP$11:$CV$11,1,EG61))/12))),IF('Lease Cycles'!$N$11=1,'Lease Cycles'!$C$11*'Lease Cycles'!$E$11*INDEX('Lease Cycles'!$HE$11:$HK$11,1,EG61)*(1+INDEX('Lease Cycles'!$GQ$11:$GW$11,1,EG61))^INT(INT((EG$6-INDEX('Lease Cycles'!$GJ$11:$GP$11,1,EG61))/12)/INDEX('Lease Cycles'!$GX$11:$HD$11,1,EG61))/12,0)))</f>
        <v>5066.112381972146</v>
      </c>
      <c r="EH64" s="28">
        <f>IF(EH61=0,IF('Lease Cycles'!$F$11&gt;0,'Lease Cycles'!$C$11*'Lease Cycles'!$E$11/12,0),IF(EH63=1,IF('Lease Cycles'!$AT$11&gt;=9999,'Lease Cycles'!$C$11*INDEX('Lease Cycles'!$CB$11:$CH$11,1,EH61)*(1+INDEX('Lease Cycles'!$CI$11:$CO$11,1,EH61))^INT(INT(EH62/12)/INDEX('Lease Cycles'!$CP$11:$CV$11,1,EH61))/12,IF(EH61=1,IF(EH62&gt;=INDEX('Lease Cycles'!$DK$11:$DQ$11,1,EH61),IF(EH$6&gt;='Lease Cycles'!$AZ$11,'Lease Cycles'!$C$11*'Lease Cycles'!$BA$11/12,IF(EH$6&gt;='Lease Cycles'!$AX$11,'Lease Cycles'!$C$11*'Lease Cycles'!$AY$11/12,IF(EH$6&gt;='Lease Cycles'!$AV$11,'Lease Cycles'!$C$11*'Lease Cycles'!$AW$11/12,IF(EH$6&gt;='Lease Cycles'!$AT$11,'Lease Cycles'!$C$11*'Lease Cycles'!$AU$11/12,'Lease Cycles'!$C$11*INDEX('Lease Cycles'!$CB$11:$CH$11,1,EH61)*(1+INDEX('Lease Cycles'!$CI$11:$CO$11,1,EH61))^INT(INT(EH62/12)/INDEX('Lease Cycles'!$CP$11:$CV$11,1,EH61))/12)))),'Lease Cycles'!$C$11*INDEX('Lease Cycles'!$CB$11:$CH$11,1,EH61)*(1+INDEX('Lease Cycles'!$CI$11:$CO$11,1,EH61))^INT(INT(EH62/12)/INDEX('Lease Cycles'!$CP$11:$CV$11,1,EH61))/12),IF(INDEX('Lease Cycles'!$EF$11:$EL$11,1,EH61)=1,IF(AND('Lease Cycles'!$AZ$11&gt;=INDEX('Lease Cycles'!$BG$11:$BM$11,1,EH61),'Lease Cycles'!$AZ$11&lt;=EH$6),'Lease Cycles'!$C$11*'Lease Cycles'!$BA$11/12,IF(AND('Lease Cycles'!$AX$11&gt;=INDEX('Lease Cycles'!$BG$11:$BM$11,1,EH61),'Lease Cycles'!$AX$11&lt;=EH$6),'Lease Cycles'!$C$11*'Lease Cycles'!$AY$11/12,IF(AND('Lease Cycles'!$AV$11&gt;=INDEX('Lease Cycles'!$BG$11:$BM$11,1,EH61),'Lease Cycles'!$AV$11&lt;=EH$6),'Lease Cycles'!$C$11*'Lease Cycles'!$AW$11/12,IF(AND('Lease Cycles'!$AT$11&gt;=INDEX('Lease Cycles'!$BG$11:$BM$11,1,EH61),'Lease Cycles'!$AT$11&lt;=EH$6),'Lease Cycles'!$C$11*'Lease Cycles'!$AU$11/12,'Lease Cycles'!$C$11*INDEX('Lease Cycles'!$CB$11:$CH$11,1,EH61)*(1+INDEX('Lease Cycles'!$CI$11:$CO$11,1,EH61))^INT(INT(EH62/12)/INDEX('Lease Cycles'!$CP$11:$CV$11,1,EH61))/12)))),'Lease Cycles'!$C$11*INDEX('Lease Cycles'!$CB$11:$CH$11,1,EH61)*(1+INDEX('Lease Cycles'!$CI$11:$CO$11,1,EH61))^INT(INT(EH62/12)/INDEX('Lease Cycles'!$CP$11:$CV$11,1,EH61))/12))),IF('Lease Cycles'!$N$11=1,'Lease Cycles'!$C$11*'Lease Cycles'!$E$11*INDEX('Lease Cycles'!$HE$11:$HK$11,1,EH61)*(1+INDEX('Lease Cycles'!$GQ$11:$GW$11,1,EH61))^INT(INT((EH$6-INDEX('Lease Cycles'!$GJ$11:$GP$11,1,EH61))/12)/INDEX('Lease Cycles'!$GX$11:$HD$11,1,EH61))/12,0)))</f>
        <v>5066.112381972146</v>
      </c>
      <c r="EI64" s="28">
        <f>IF(EI61=0,IF('Lease Cycles'!$F$11&gt;0,'Lease Cycles'!$C$11*'Lease Cycles'!$E$11/12,0),IF(EI63=1,IF('Lease Cycles'!$AT$11&gt;=9999,'Lease Cycles'!$C$11*INDEX('Lease Cycles'!$CB$11:$CH$11,1,EI61)*(1+INDEX('Lease Cycles'!$CI$11:$CO$11,1,EI61))^INT(INT(EI62/12)/INDEX('Lease Cycles'!$CP$11:$CV$11,1,EI61))/12,IF(EI61=1,IF(EI62&gt;=INDEX('Lease Cycles'!$DK$11:$DQ$11,1,EI61),IF(EI$6&gt;='Lease Cycles'!$AZ$11,'Lease Cycles'!$C$11*'Lease Cycles'!$BA$11/12,IF(EI$6&gt;='Lease Cycles'!$AX$11,'Lease Cycles'!$C$11*'Lease Cycles'!$AY$11/12,IF(EI$6&gt;='Lease Cycles'!$AV$11,'Lease Cycles'!$C$11*'Lease Cycles'!$AW$11/12,IF(EI$6&gt;='Lease Cycles'!$AT$11,'Lease Cycles'!$C$11*'Lease Cycles'!$AU$11/12,'Lease Cycles'!$C$11*INDEX('Lease Cycles'!$CB$11:$CH$11,1,EI61)*(1+INDEX('Lease Cycles'!$CI$11:$CO$11,1,EI61))^INT(INT(EI62/12)/INDEX('Lease Cycles'!$CP$11:$CV$11,1,EI61))/12)))),'Lease Cycles'!$C$11*INDEX('Lease Cycles'!$CB$11:$CH$11,1,EI61)*(1+INDEX('Lease Cycles'!$CI$11:$CO$11,1,EI61))^INT(INT(EI62/12)/INDEX('Lease Cycles'!$CP$11:$CV$11,1,EI61))/12),IF(INDEX('Lease Cycles'!$EF$11:$EL$11,1,EI61)=1,IF(AND('Lease Cycles'!$AZ$11&gt;=INDEX('Lease Cycles'!$BG$11:$BM$11,1,EI61),'Lease Cycles'!$AZ$11&lt;=EI$6),'Lease Cycles'!$C$11*'Lease Cycles'!$BA$11/12,IF(AND('Lease Cycles'!$AX$11&gt;=INDEX('Lease Cycles'!$BG$11:$BM$11,1,EI61),'Lease Cycles'!$AX$11&lt;=EI$6),'Lease Cycles'!$C$11*'Lease Cycles'!$AY$11/12,IF(AND('Lease Cycles'!$AV$11&gt;=INDEX('Lease Cycles'!$BG$11:$BM$11,1,EI61),'Lease Cycles'!$AV$11&lt;=EI$6),'Lease Cycles'!$C$11*'Lease Cycles'!$AW$11/12,IF(AND('Lease Cycles'!$AT$11&gt;=INDEX('Lease Cycles'!$BG$11:$BM$11,1,EI61),'Lease Cycles'!$AT$11&lt;=EI$6),'Lease Cycles'!$C$11*'Lease Cycles'!$AU$11/12,'Lease Cycles'!$C$11*INDEX('Lease Cycles'!$CB$11:$CH$11,1,EI61)*(1+INDEX('Lease Cycles'!$CI$11:$CO$11,1,EI61))^INT(INT(EI62/12)/INDEX('Lease Cycles'!$CP$11:$CV$11,1,EI61))/12)))),'Lease Cycles'!$C$11*INDEX('Lease Cycles'!$CB$11:$CH$11,1,EI61)*(1+INDEX('Lease Cycles'!$CI$11:$CO$11,1,EI61))^INT(INT(EI62/12)/INDEX('Lease Cycles'!$CP$11:$CV$11,1,EI61))/12))),IF('Lease Cycles'!$N$11=1,'Lease Cycles'!$C$11*'Lease Cycles'!$E$11*INDEX('Lease Cycles'!$HE$11:$HK$11,1,EI61)*(1+INDEX('Lease Cycles'!$GQ$11:$GW$11,1,EI61))^INT(INT((EI$6-INDEX('Lease Cycles'!$GJ$11:$GP$11,1,EI61))/12)/INDEX('Lease Cycles'!$GX$11:$HD$11,1,EI61))/12,0)))</f>
        <v>5066.112381972146</v>
      </c>
      <c r="EJ64" s="28">
        <f>IF(EJ61=0,IF('Lease Cycles'!$F$11&gt;0,'Lease Cycles'!$C$11*'Lease Cycles'!$E$11/12,0),IF(EJ63=1,IF('Lease Cycles'!$AT$11&gt;=9999,'Lease Cycles'!$C$11*INDEX('Lease Cycles'!$CB$11:$CH$11,1,EJ61)*(1+INDEX('Lease Cycles'!$CI$11:$CO$11,1,EJ61))^INT(INT(EJ62/12)/INDEX('Lease Cycles'!$CP$11:$CV$11,1,EJ61))/12,IF(EJ61=1,IF(EJ62&gt;=INDEX('Lease Cycles'!$DK$11:$DQ$11,1,EJ61),IF(EJ$6&gt;='Lease Cycles'!$AZ$11,'Lease Cycles'!$C$11*'Lease Cycles'!$BA$11/12,IF(EJ$6&gt;='Lease Cycles'!$AX$11,'Lease Cycles'!$C$11*'Lease Cycles'!$AY$11/12,IF(EJ$6&gt;='Lease Cycles'!$AV$11,'Lease Cycles'!$C$11*'Lease Cycles'!$AW$11/12,IF(EJ$6&gt;='Lease Cycles'!$AT$11,'Lease Cycles'!$C$11*'Lease Cycles'!$AU$11/12,'Lease Cycles'!$C$11*INDEX('Lease Cycles'!$CB$11:$CH$11,1,EJ61)*(1+INDEX('Lease Cycles'!$CI$11:$CO$11,1,EJ61))^INT(INT(EJ62/12)/INDEX('Lease Cycles'!$CP$11:$CV$11,1,EJ61))/12)))),'Lease Cycles'!$C$11*INDEX('Lease Cycles'!$CB$11:$CH$11,1,EJ61)*(1+INDEX('Lease Cycles'!$CI$11:$CO$11,1,EJ61))^INT(INT(EJ62/12)/INDEX('Lease Cycles'!$CP$11:$CV$11,1,EJ61))/12),IF(INDEX('Lease Cycles'!$EF$11:$EL$11,1,EJ61)=1,IF(AND('Lease Cycles'!$AZ$11&gt;=INDEX('Lease Cycles'!$BG$11:$BM$11,1,EJ61),'Lease Cycles'!$AZ$11&lt;=EJ$6),'Lease Cycles'!$C$11*'Lease Cycles'!$BA$11/12,IF(AND('Lease Cycles'!$AX$11&gt;=INDEX('Lease Cycles'!$BG$11:$BM$11,1,EJ61),'Lease Cycles'!$AX$11&lt;=EJ$6),'Lease Cycles'!$C$11*'Lease Cycles'!$AY$11/12,IF(AND('Lease Cycles'!$AV$11&gt;=INDEX('Lease Cycles'!$BG$11:$BM$11,1,EJ61),'Lease Cycles'!$AV$11&lt;=EJ$6),'Lease Cycles'!$C$11*'Lease Cycles'!$AW$11/12,IF(AND('Lease Cycles'!$AT$11&gt;=INDEX('Lease Cycles'!$BG$11:$BM$11,1,EJ61),'Lease Cycles'!$AT$11&lt;=EJ$6),'Lease Cycles'!$C$11*'Lease Cycles'!$AU$11/12,'Lease Cycles'!$C$11*INDEX('Lease Cycles'!$CB$11:$CH$11,1,EJ61)*(1+INDEX('Lease Cycles'!$CI$11:$CO$11,1,EJ61))^INT(INT(EJ62/12)/INDEX('Lease Cycles'!$CP$11:$CV$11,1,EJ61))/12)))),'Lease Cycles'!$C$11*INDEX('Lease Cycles'!$CB$11:$CH$11,1,EJ61)*(1+INDEX('Lease Cycles'!$CI$11:$CO$11,1,EJ61))^INT(INT(EJ62/12)/INDEX('Lease Cycles'!$CP$11:$CV$11,1,EJ61))/12))),IF('Lease Cycles'!$N$11=1,'Lease Cycles'!$C$11*'Lease Cycles'!$E$11*INDEX('Lease Cycles'!$HE$11:$HK$11,1,EJ61)*(1+INDEX('Lease Cycles'!$GQ$11:$GW$11,1,EJ61))^INT(INT((EJ$6-INDEX('Lease Cycles'!$GJ$11:$GP$11,1,EJ61))/12)/INDEX('Lease Cycles'!$GX$11:$HD$11,1,EJ61))/12,0)))</f>
        <v>5066.112381972146</v>
      </c>
      <c r="EK64" s="28">
        <f>IF(EK61=0,IF('Lease Cycles'!$F$11&gt;0,'Lease Cycles'!$C$11*'Lease Cycles'!$E$11/12,0),IF(EK63=1,IF('Lease Cycles'!$AT$11&gt;=9999,'Lease Cycles'!$C$11*INDEX('Lease Cycles'!$CB$11:$CH$11,1,EK61)*(1+INDEX('Lease Cycles'!$CI$11:$CO$11,1,EK61))^INT(INT(EK62/12)/INDEX('Lease Cycles'!$CP$11:$CV$11,1,EK61))/12,IF(EK61=1,IF(EK62&gt;=INDEX('Lease Cycles'!$DK$11:$DQ$11,1,EK61),IF(EK$6&gt;='Lease Cycles'!$AZ$11,'Lease Cycles'!$C$11*'Lease Cycles'!$BA$11/12,IF(EK$6&gt;='Lease Cycles'!$AX$11,'Lease Cycles'!$C$11*'Lease Cycles'!$AY$11/12,IF(EK$6&gt;='Lease Cycles'!$AV$11,'Lease Cycles'!$C$11*'Lease Cycles'!$AW$11/12,IF(EK$6&gt;='Lease Cycles'!$AT$11,'Lease Cycles'!$C$11*'Lease Cycles'!$AU$11/12,'Lease Cycles'!$C$11*INDEX('Lease Cycles'!$CB$11:$CH$11,1,EK61)*(1+INDEX('Lease Cycles'!$CI$11:$CO$11,1,EK61))^INT(INT(EK62/12)/INDEX('Lease Cycles'!$CP$11:$CV$11,1,EK61))/12)))),'Lease Cycles'!$C$11*INDEX('Lease Cycles'!$CB$11:$CH$11,1,EK61)*(1+INDEX('Lease Cycles'!$CI$11:$CO$11,1,EK61))^INT(INT(EK62/12)/INDEX('Lease Cycles'!$CP$11:$CV$11,1,EK61))/12),IF(INDEX('Lease Cycles'!$EF$11:$EL$11,1,EK61)=1,IF(AND('Lease Cycles'!$AZ$11&gt;=INDEX('Lease Cycles'!$BG$11:$BM$11,1,EK61),'Lease Cycles'!$AZ$11&lt;=EK$6),'Lease Cycles'!$C$11*'Lease Cycles'!$BA$11/12,IF(AND('Lease Cycles'!$AX$11&gt;=INDEX('Lease Cycles'!$BG$11:$BM$11,1,EK61),'Lease Cycles'!$AX$11&lt;=EK$6),'Lease Cycles'!$C$11*'Lease Cycles'!$AY$11/12,IF(AND('Lease Cycles'!$AV$11&gt;=INDEX('Lease Cycles'!$BG$11:$BM$11,1,EK61),'Lease Cycles'!$AV$11&lt;=EK$6),'Lease Cycles'!$C$11*'Lease Cycles'!$AW$11/12,IF(AND('Lease Cycles'!$AT$11&gt;=INDEX('Lease Cycles'!$BG$11:$BM$11,1,EK61),'Lease Cycles'!$AT$11&lt;=EK$6),'Lease Cycles'!$C$11*'Lease Cycles'!$AU$11/12,'Lease Cycles'!$C$11*INDEX('Lease Cycles'!$CB$11:$CH$11,1,EK61)*(1+INDEX('Lease Cycles'!$CI$11:$CO$11,1,EK61))^INT(INT(EK62/12)/INDEX('Lease Cycles'!$CP$11:$CV$11,1,EK61))/12)))),'Lease Cycles'!$C$11*INDEX('Lease Cycles'!$CB$11:$CH$11,1,EK61)*(1+INDEX('Lease Cycles'!$CI$11:$CO$11,1,EK61))^INT(INT(EK62/12)/INDEX('Lease Cycles'!$CP$11:$CV$11,1,EK61))/12))),IF('Lease Cycles'!$N$11=1,'Lease Cycles'!$C$11*'Lease Cycles'!$E$11*INDEX('Lease Cycles'!$HE$11:$HK$11,1,EK61)*(1+INDEX('Lease Cycles'!$GQ$11:$GW$11,1,EK61))^INT(INT((EK$6-INDEX('Lease Cycles'!$GJ$11:$GP$11,1,EK61))/12)/INDEX('Lease Cycles'!$GX$11:$HD$11,1,EK61))/12,0)))</f>
        <v>5066.112381972146</v>
      </c>
      <c r="EL64" s="28">
        <f>IF(EL61=0,IF('Lease Cycles'!$F$11&gt;0,'Lease Cycles'!$C$11*'Lease Cycles'!$E$11/12,0),IF(EL63=1,IF('Lease Cycles'!$AT$11&gt;=9999,'Lease Cycles'!$C$11*INDEX('Lease Cycles'!$CB$11:$CH$11,1,EL61)*(1+INDEX('Lease Cycles'!$CI$11:$CO$11,1,EL61))^INT(INT(EL62/12)/INDEX('Lease Cycles'!$CP$11:$CV$11,1,EL61))/12,IF(EL61=1,IF(EL62&gt;=INDEX('Lease Cycles'!$DK$11:$DQ$11,1,EL61),IF(EL$6&gt;='Lease Cycles'!$AZ$11,'Lease Cycles'!$C$11*'Lease Cycles'!$BA$11/12,IF(EL$6&gt;='Lease Cycles'!$AX$11,'Lease Cycles'!$C$11*'Lease Cycles'!$AY$11/12,IF(EL$6&gt;='Lease Cycles'!$AV$11,'Lease Cycles'!$C$11*'Lease Cycles'!$AW$11/12,IF(EL$6&gt;='Lease Cycles'!$AT$11,'Lease Cycles'!$C$11*'Lease Cycles'!$AU$11/12,'Lease Cycles'!$C$11*INDEX('Lease Cycles'!$CB$11:$CH$11,1,EL61)*(1+INDEX('Lease Cycles'!$CI$11:$CO$11,1,EL61))^INT(INT(EL62/12)/INDEX('Lease Cycles'!$CP$11:$CV$11,1,EL61))/12)))),'Lease Cycles'!$C$11*INDEX('Lease Cycles'!$CB$11:$CH$11,1,EL61)*(1+INDEX('Lease Cycles'!$CI$11:$CO$11,1,EL61))^INT(INT(EL62/12)/INDEX('Lease Cycles'!$CP$11:$CV$11,1,EL61))/12),IF(INDEX('Lease Cycles'!$EF$11:$EL$11,1,EL61)=1,IF(AND('Lease Cycles'!$AZ$11&gt;=INDEX('Lease Cycles'!$BG$11:$BM$11,1,EL61),'Lease Cycles'!$AZ$11&lt;=EL$6),'Lease Cycles'!$C$11*'Lease Cycles'!$BA$11/12,IF(AND('Lease Cycles'!$AX$11&gt;=INDEX('Lease Cycles'!$BG$11:$BM$11,1,EL61),'Lease Cycles'!$AX$11&lt;=EL$6),'Lease Cycles'!$C$11*'Lease Cycles'!$AY$11/12,IF(AND('Lease Cycles'!$AV$11&gt;=INDEX('Lease Cycles'!$BG$11:$BM$11,1,EL61),'Lease Cycles'!$AV$11&lt;=EL$6),'Lease Cycles'!$C$11*'Lease Cycles'!$AW$11/12,IF(AND('Lease Cycles'!$AT$11&gt;=INDEX('Lease Cycles'!$BG$11:$BM$11,1,EL61),'Lease Cycles'!$AT$11&lt;=EL$6),'Lease Cycles'!$C$11*'Lease Cycles'!$AU$11/12,'Lease Cycles'!$C$11*INDEX('Lease Cycles'!$CB$11:$CH$11,1,EL61)*(1+INDEX('Lease Cycles'!$CI$11:$CO$11,1,EL61))^INT(INT(EL62/12)/INDEX('Lease Cycles'!$CP$11:$CV$11,1,EL61))/12)))),'Lease Cycles'!$C$11*INDEX('Lease Cycles'!$CB$11:$CH$11,1,EL61)*(1+INDEX('Lease Cycles'!$CI$11:$CO$11,1,EL61))^INT(INT(EL62/12)/INDEX('Lease Cycles'!$CP$11:$CV$11,1,EL61))/12))),IF('Lease Cycles'!$N$11=1,'Lease Cycles'!$C$11*'Lease Cycles'!$E$11*INDEX('Lease Cycles'!$HE$11:$HK$11,1,EL61)*(1+INDEX('Lease Cycles'!$GQ$11:$GW$11,1,EL61))^INT(INT((EL$6-INDEX('Lease Cycles'!$GJ$11:$GP$11,1,EL61))/12)/INDEX('Lease Cycles'!$GX$11:$HD$11,1,EL61))/12,0)))</f>
        <v>5218.09575343131</v>
      </c>
      <c r="EM64" s="28">
        <f>IF(EM61=0,IF('Lease Cycles'!$F$11&gt;0,'Lease Cycles'!$C$11*'Lease Cycles'!$E$11/12,0),IF(EM63=1,IF('Lease Cycles'!$AT$11&gt;=9999,'Lease Cycles'!$C$11*INDEX('Lease Cycles'!$CB$11:$CH$11,1,EM61)*(1+INDEX('Lease Cycles'!$CI$11:$CO$11,1,EM61))^INT(INT(EM62/12)/INDEX('Lease Cycles'!$CP$11:$CV$11,1,EM61))/12,IF(EM61=1,IF(EM62&gt;=INDEX('Lease Cycles'!$DK$11:$DQ$11,1,EM61),IF(EM$6&gt;='Lease Cycles'!$AZ$11,'Lease Cycles'!$C$11*'Lease Cycles'!$BA$11/12,IF(EM$6&gt;='Lease Cycles'!$AX$11,'Lease Cycles'!$C$11*'Lease Cycles'!$AY$11/12,IF(EM$6&gt;='Lease Cycles'!$AV$11,'Lease Cycles'!$C$11*'Lease Cycles'!$AW$11/12,IF(EM$6&gt;='Lease Cycles'!$AT$11,'Lease Cycles'!$C$11*'Lease Cycles'!$AU$11/12,'Lease Cycles'!$C$11*INDEX('Lease Cycles'!$CB$11:$CH$11,1,EM61)*(1+INDEX('Lease Cycles'!$CI$11:$CO$11,1,EM61))^INT(INT(EM62/12)/INDEX('Lease Cycles'!$CP$11:$CV$11,1,EM61))/12)))),'Lease Cycles'!$C$11*INDEX('Lease Cycles'!$CB$11:$CH$11,1,EM61)*(1+INDEX('Lease Cycles'!$CI$11:$CO$11,1,EM61))^INT(INT(EM62/12)/INDEX('Lease Cycles'!$CP$11:$CV$11,1,EM61))/12),IF(INDEX('Lease Cycles'!$EF$11:$EL$11,1,EM61)=1,IF(AND('Lease Cycles'!$AZ$11&gt;=INDEX('Lease Cycles'!$BG$11:$BM$11,1,EM61),'Lease Cycles'!$AZ$11&lt;=EM$6),'Lease Cycles'!$C$11*'Lease Cycles'!$BA$11/12,IF(AND('Lease Cycles'!$AX$11&gt;=INDEX('Lease Cycles'!$BG$11:$BM$11,1,EM61),'Lease Cycles'!$AX$11&lt;=EM$6),'Lease Cycles'!$C$11*'Lease Cycles'!$AY$11/12,IF(AND('Lease Cycles'!$AV$11&gt;=INDEX('Lease Cycles'!$BG$11:$BM$11,1,EM61),'Lease Cycles'!$AV$11&lt;=EM$6),'Lease Cycles'!$C$11*'Lease Cycles'!$AW$11/12,IF(AND('Lease Cycles'!$AT$11&gt;=INDEX('Lease Cycles'!$BG$11:$BM$11,1,EM61),'Lease Cycles'!$AT$11&lt;=EM$6),'Lease Cycles'!$C$11*'Lease Cycles'!$AU$11/12,'Lease Cycles'!$C$11*INDEX('Lease Cycles'!$CB$11:$CH$11,1,EM61)*(1+INDEX('Lease Cycles'!$CI$11:$CO$11,1,EM61))^INT(INT(EM62/12)/INDEX('Lease Cycles'!$CP$11:$CV$11,1,EM61))/12)))),'Lease Cycles'!$C$11*INDEX('Lease Cycles'!$CB$11:$CH$11,1,EM61)*(1+INDEX('Lease Cycles'!$CI$11:$CO$11,1,EM61))^INT(INT(EM62/12)/INDEX('Lease Cycles'!$CP$11:$CV$11,1,EM61))/12))),IF('Lease Cycles'!$N$11=1,'Lease Cycles'!$C$11*'Lease Cycles'!$E$11*INDEX('Lease Cycles'!$HE$11:$HK$11,1,EM61)*(1+INDEX('Lease Cycles'!$GQ$11:$GW$11,1,EM61))^INT(INT((EM$6-INDEX('Lease Cycles'!$GJ$11:$GP$11,1,EM61))/12)/INDEX('Lease Cycles'!$GX$11:$HD$11,1,EM61))/12,0)))</f>
        <v>5218.09575343131</v>
      </c>
      <c r="EN64" s="28">
        <f>IF(EN61=0,IF('Lease Cycles'!$F$11&gt;0,'Lease Cycles'!$C$11*'Lease Cycles'!$E$11/12,0),IF(EN63=1,IF('Lease Cycles'!$AT$11&gt;=9999,'Lease Cycles'!$C$11*INDEX('Lease Cycles'!$CB$11:$CH$11,1,EN61)*(1+INDEX('Lease Cycles'!$CI$11:$CO$11,1,EN61))^INT(INT(EN62/12)/INDEX('Lease Cycles'!$CP$11:$CV$11,1,EN61))/12,IF(EN61=1,IF(EN62&gt;=INDEX('Lease Cycles'!$DK$11:$DQ$11,1,EN61),IF(EN$6&gt;='Lease Cycles'!$AZ$11,'Lease Cycles'!$C$11*'Lease Cycles'!$BA$11/12,IF(EN$6&gt;='Lease Cycles'!$AX$11,'Lease Cycles'!$C$11*'Lease Cycles'!$AY$11/12,IF(EN$6&gt;='Lease Cycles'!$AV$11,'Lease Cycles'!$C$11*'Lease Cycles'!$AW$11/12,IF(EN$6&gt;='Lease Cycles'!$AT$11,'Lease Cycles'!$C$11*'Lease Cycles'!$AU$11/12,'Lease Cycles'!$C$11*INDEX('Lease Cycles'!$CB$11:$CH$11,1,EN61)*(1+INDEX('Lease Cycles'!$CI$11:$CO$11,1,EN61))^INT(INT(EN62/12)/INDEX('Lease Cycles'!$CP$11:$CV$11,1,EN61))/12)))),'Lease Cycles'!$C$11*INDEX('Lease Cycles'!$CB$11:$CH$11,1,EN61)*(1+INDEX('Lease Cycles'!$CI$11:$CO$11,1,EN61))^INT(INT(EN62/12)/INDEX('Lease Cycles'!$CP$11:$CV$11,1,EN61))/12),IF(INDEX('Lease Cycles'!$EF$11:$EL$11,1,EN61)=1,IF(AND('Lease Cycles'!$AZ$11&gt;=INDEX('Lease Cycles'!$BG$11:$BM$11,1,EN61),'Lease Cycles'!$AZ$11&lt;=EN$6),'Lease Cycles'!$C$11*'Lease Cycles'!$BA$11/12,IF(AND('Lease Cycles'!$AX$11&gt;=INDEX('Lease Cycles'!$BG$11:$BM$11,1,EN61),'Lease Cycles'!$AX$11&lt;=EN$6),'Lease Cycles'!$C$11*'Lease Cycles'!$AY$11/12,IF(AND('Lease Cycles'!$AV$11&gt;=INDEX('Lease Cycles'!$BG$11:$BM$11,1,EN61),'Lease Cycles'!$AV$11&lt;=EN$6),'Lease Cycles'!$C$11*'Lease Cycles'!$AW$11/12,IF(AND('Lease Cycles'!$AT$11&gt;=INDEX('Lease Cycles'!$BG$11:$BM$11,1,EN61),'Lease Cycles'!$AT$11&lt;=EN$6),'Lease Cycles'!$C$11*'Lease Cycles'!$AU$11/12,'Lease Cycles'!$C$11*INDEX('Lease Cycles'!$CB$11:$CH$11,1,EN61)*(1+INDEX('Lease Cycles'!$CI$11:$CO$11,1,EN61))^INT(INT(EN62/12)/INDEX('Lease Cycles'!$CP$11:$CV$11,1,EN61))/12)))),'Lease Cycles'!$C$11*INDEX('Lease Cycles'!$CB$11:$CH$11,1,EN61)*(1+INDEX('Lease Cycles'!$CI$11:$CO$11,1,EN61))^INT(INT(EN62/12)/INDEX('Lease Cycles'!$CP$11:$CV$11,1,EN61))/12))),IF('Lease Cycles'!$N$11=1,'Lease Cycles'!$C$11*'Lease Cycles'!$E$11*INDEX('Lease Cycles'!$HE$11:$HK$11,1,EN61)*(1+INDEX('Lease Cycles'!$GQ$11:$GW$11,1,EN61))^INT(INT((EN$6-INDEX('Lease Cycles'!$GJ$11:$GP$11,1,EN61))/12)/INDEX('Lease Cycles'!$GX$11:$HD$11,1,EN61))/12,0)))</f>
        <v>5218.09575343131</v>
      </c>
      <c r="EO64" s="28">
        <f>IF(EO61=0,IF('Lease Cycles'!$F$11&gt;0,'Lease Cycles'!$C$11*'Lease Cycles'!$E$11/12,0),IF(EO63=1,IF('Lease Cycles'!$AT$11&gt;=9999,'Lease Cycles'!$C$11*INDEX('Lease Cycles'!$CB$11:$CH$11,1,EO61)*(1+INDEX('Lease Cycles'!$CI$11:$CO$11,1,EO61))^INT(INT(EO62/12)/INDEX('Lease Cycles'!$CP$11:$CV$11,1,EO61))/12,IF(EO61=1,IF(EO62&gt;=INDEX('Lease Cycles'!$DK$11:$DQ$11,1,EO61),IF(EO$6&gt;='Lease Cycles'!$AZ$11,'Lease Cycles'!$C$11*'Lease Cycles'!$BA$11/12,IF(EO$6&gt;='Lease Cycles'!$AX$11,'Lease Cycles'!$C$11*'Lease Cycles'!$AY$11/12,IF(EO$6&gt;='Lease Cycles'!$AV$11,'Lease Cycles'!$C$11*'Lease Cycles'!$AW$11/12,IF(EO$6&gt;='Lease Cycles'!$AT$11,'Lease Cycles'!$C$11*'Lease Cycles'!$AU$11/12,'Lease Cycles'!$C$11*INDEX('Lease Cycles'!$CB$11:$CH$11,1,EO61)*(1+INDEX('Lease Cycles'!$CI$11:$CO$11,1,EO61))^INT(INT(EO62/12)/INDEX('Lease Cycles'!$CP$11:$CV$11,1,EO61))/12)))),'Lease Cycles'!$C$11*INDEX('Lease Cycles'!$CB$11:$CH$11,1,EO61)*(1+INDEX('Lease Cycles'!$CI$11:$CO$11,1,EO61))^INT(INT(EO62/12)/INDEX('Lease Cycles'!$CP$11:$CV$11,1,EO61))/12),IF(INDEX('Lease Cycles'!$EF$11:$EL$11,1,EO61)=1,IF(AND('Lease Cycles'!$AZ$11&gt;=INDEX('Lease Cycles'!$BG$11:$BM$11,1,EO61),'Lease Cycles'!$AZ$11&lt;=EO$6),'Lease Cycles'!$C$11*'Lease Cycles'!$BA$11/12,IF(AND('Lease Cycles'!$AX$11&gt;=INDEX('Lease Cycles'!$BG$11:$BM$11,1,EO61),'Lease Cycles'!$AX$11&lt;=EO$6),'Lease Cycles'!$C$11*'Lease Cycles'!$AY$11/12,IF(AND('Lease Cycles'!$AV$11&gt;=INDEX('Lease Cycles'!$BG$11:$BM$11,1,EO61),'Lease Cycles'!$AV$11&lt;=EO$6),'Lease Cycles'!$C$11*'Lease Cycles'!$AW$11/12,IF(AND('Lease Cycles'!$AT$11&gt;=INDEX('Lease Cycles'!$BG$11:$BM$11,1,EO61),'Lease Cycles'!$AT$11&lt;=EO$6),'Lease Cycles'!$C$11*'Lease Cycles'!$AU$11/12,'Lease Cycles'!$C$11*INDEX('Lease Cycles'!$CB$11:$CH$11,1,EO61)*(1+INDEX('Lease Cycles'!$CI$11:$CO$11,1,EO61))^INT(INT(EO62/12)/INDEX('Lease Cycles'!$CP$11:$CV$11,1,EO61))/12)))),'Lease Cycles'!$C$11*INDEX('Lease Cycles'!$CB$11:$CH$11,1,EO61)*(1+INDEX('Lease Cycles'!$CI$11:$CO$11,1,EO61))^INT(INT(EO62/12)/INDEX('Lease Cycles'!$CP$11:$CV$11,1,EO61))/12))),IF('Lease Cycles'!$N$11=1,'Lease Cycles'!$C$11*'Lease Cycles'!$E$11*INDEX('Lease Cycles'!$HE$11:$HK$11,1,EO61)*(1+INDEX('Lease Cycles'!$GQ$11:$GW$11,1,EO61))^INT(INT((EO$6-INDEX('Lease Cycles'!$GJ$11:$GP$11,1,EO61))/12)/INDEX('Lease Cycles'!$GX$11:$HD$11,1,EO61))/12,0)))</f>
        <v>5218.09575343131</v>
      </c>
      <c r="EP64" s="28">
        <f>IF(EP61=0,IF('Lease Cycles'!$F$11&gt;0,'Lease Cycles'!$C$11*'Lease Cycles'!$E$11/12,0),IF(EP63=1,IF('Lease Cycles'!$AT$11&gt;=9999,'Lease Cycles'!$C$11*INDEX('Lease Cycles'!$CB$11:$CH$11,1,EP61)*(1+INDEX('Lease Cycles'!$CI$11:$CO$11,1,EP61))^INT(INT(EP62/12)/INDEX('Lease Cycles'!$CP$11:$CV$11,1,EP61))/12,IF(EP61=1,IF(EP62&gt;=INDEX('Lease Cycles'!$DK$11:$DQ$11,1,EP61),IF(EP$6&gt;='Lease Cycles'!$AZ$11,'Lease Cycles'!$C$11*'Lease Cycles'!$BA$11/12,IF(EP$6&gt;='Lease Cycles'!$AX$11,'Lease Cycles'!$C$11*'Lease Cycles'!$AY$11/12,IF(EP$6&gt;='Lease Cycles'!$AV$11,'Lease Cycles'!$C$11*'Lease Cycles'!$AW$11/12,IF(EP$6&gt;='Lease Cycles'!$AT$11,'Lease Cycles'!$C$11*'Lease Cycles'!$AU$11/12,'Lease Cycles'!$C$11*INDEX('Lease Cycles'!$CB$11:$CH$11,1,EP61)*(1+INDEX('Lease Cycles'!$CI$11:$CO$11,1,EP61))^INT(INT(EP62/12)/INDEX('Lease Cycles'!$CP$11:$CV$11,1,EP61))/12)))),'Lease Cycles'!$C$11*INDEX('Lease Cycles'!$CB$11:$CH$11,1,EP61)*(1+INDEX('Lease Cycles'!$CI$11:$CO$11,1,EP61))^INT(INT(EP62/12)/INDEX('Lease Cycles'!$CP$11:$CV$11,1,EP61))/12),IF(INDEX('Lease Cycles'!$EF$11:$EL$11,1,EP61)=1,IF(AND('Lease Cycles'!$AZ$11&gt;=INDEX('Lease Cycles'!$BG$11:$BM$11,1,EP61),'Lease Cycles'!$AZ$11&lt;=EP$6),'Lease Cycles'!$C$11*'Lease Cycles'!$BA$11/12,IF(AND('Lease Cycles'!$AX$11&gt;=INDEX('Lease Cycles'!$BG$11:$BM$11,1,EP61),'Lease Cycles'!$AX$11&lt;=EP$6),'Lease Cycles'!$C$11*'Lease Cycles'!$AY$11/12,IF(AND('Lease Cycles'!$AV$11&gt;=INDEX('Lease Cycles'!$BG$11:$BM$11,1,EP61),'Lease Cycles'!$AV$11&lt;=EP$6),'Lease Cycles'!$C$11*'Lease Cycles'!$AW$11/12,IF(AND('Lease Cycles'!$AT$11&gt;=INDEX('Lease Cycles'!$BG$11:$BM$11,1,EP61),'Lease Cycles'!$AT$11&lt;=EP$6),'Lease Cycles'!$C$11*'Lease Cycles'!$AU$11/12,'Lease Cycles'!$C$11*INDEX('Lease Cycles'!$CB$11:$CH$11,1,EP61)*(1+INDEX('Lease Cycles'!$CI$11:$CO$11,1,EP61))^INT(INT(EP62/12)/INDEX('Lease Cycles'!$CP$11:$CV$11,1,EP61))/12)))),'Lease Cycles'!$C$11*INDEX('Lease Cycles'!$CB$11:$CH$11,1,EP61)*(1+INDEX('Lease Cycles'!$CI$11:$CO$11,1,EP61))^INT(INT(EP62/12)/INDEX('Lease Cycles'!$CP$11:$CV$11,1,EP61))/12))),IF('Lease Cycles'!$N$11=1,'Lease Cycles'!$C$11*'Lease Cycles'!$E$11*INDEX('Lease Cycles'!$HE$11:$HK$11,1,EP61)*(1+INDEX('Lease Cycles'!$GQ$11:$GW$11,1,EP61))^INT(INT((EP$6-INDEX('Lease Cycles'!$GJ$11:$GP$11,1,EP61))/12)/INDEX('Lease Cycles'!$GX$11:$HD$11,1,EP61))/12,0)))</f>
        <v>5218.09575343131</v>
      </c>
      <c r="EQ64" s="28">
        <f>IF(EQ61=0,IF('Lease Cycles'!$F$11&gt;0,'Lease Cycles'!$C$11*'Lease Cycles'!$E$11/12,0),IF(EQ63=1,IF('Lease Cycles'!$AT$11&gt;=9999,'Lease Cycles'!$C$11*INDEX('Lease Cycles'!$CB$11:$CH$11,1,EQ61)*(1+INDEX('Lease Cycles'!$CI$11:$CO$11,1,EQ61))^INT(INT(EQ62/12)/INDEX('Lease Cycles'!$CP$11:$CV$11,1,EQ61))/12,IF(EQ61=1,IF(EQ62&gt;=INDEX('Lease Cycles'!$DK$11:$DQ$11,1,EQ61),IF(EQ$6&gt;='Lease Cycles'!$AZ$11,'Lease Cycles'!$C$11*'Lease Cycles'!$BA$11/12,IF(EQ$6&gt;='Lease Cycles'!$AX$11,'Lease Cycles'!$C$11*'Lease Cycles'!$AY$11/12,IF(EQ$6&gt;='Lease Cycles'!$AV$11,'Lease Cycles'!$C$11*'Lease Cycles'!$AW$11/12,IF(EQ$6&gt;='Lease Cycles'!$AT$11,'Lease Cycles'!$C$11*'Lease Cycles'!$AU$11/12,'Lease Cycles'!$C$11*INDEX('Lease Cycles'!$CB$11:$CH$11,1,EQ61)*(1+INDEX('Lease Cycles'!$CI$11:$CO$11,1,EQ61))^INT(INT(EQ62/12)/INDEX('Lease Cycles'!$CP$11:$CV$11,1,EQ61))/12)))),'Lease Cycles'!$C$11*INDEX('Lease Cycles'!$CB$11:$CH$11,1,EQ61)*(1+INDEX('Lease Cycles'!$CI$11:$CO$11,1,EQ61))^INT(INT(EQ62/12)/INDEX('Lease Cycles'!$CP$11:$CV$11,1,EQ61))/12),IF(INDEX('Lease Cycles'!$EF$11:$EL$11,1,EQ61)=1,IF(AND('Lease Cycles'!$AZ$11&gt;=INDEX('Lease Cycles'!$BG$11:$BM$11,1,EQ61),'Lease Cycles'!$AZ$11&lt;=EQ$6),'Lease Cycles'!$C$11*'Lease Cycles'!$BA$11/12,IF(AND('Lease Cycles'!$AX$11&gt;=INDEX('Lease Cycles'!$BG$11:$BM$11,1,EQ61),'Lease Cycles'!$AX$11&lt;=EQ$6),'Lease Cycles'!$C$11*'Lease Cycles'!$AY$11/12,IF(AND('Lease Cycles'!$AV$11&gt;=INDEX('Lease Cycles'!$BG$11:$BM$11,1,EQ61),'Lease Cycles'!$AV$11&lt;=EQ$6),'Lease Cycles'!$C$11*'Lease Cycles'!$AW$11/12,IF(AND('Lease Cycles'!$AT$11&gt;=INDEX('Lease Cycles'!$BG$11:$BM$11,1,EQ61),'Lease Cycles'!$AT$11&lt;=EQ$6),'Lease Cycles'!$C$11*'Lease Cycles'!$AU$11/12,'Lease Cycles'!$C$11*INDEX('Lease Cycles'!$CB$11:$CH$11,1,EQ61)*(1+INDEX('Lease Cycles'!$CI$11:$CO$11,1,EQ61))^INT(INT(EQ62/12)/INDEX('Lease Cycles'!$CP$11:$CV$11,1,EQ61))/12)))),'Lease Cycles'!$C$11*INDEX('Lease Cycles'!$CB$11:$CH$11,1,EQ61)*(1+INDEX('Lease Cycles'!$CI$11:$CO$11,1,EQ61))^INT(INT(EQ62/12)/INDEX('Lease Cycles'!$CP$11:$CV$11,1,EQ61))/12))),IF('Lease Cycles'!$N$11=1,'Lease Cycles'!$C$11*'Lease Cycles'!$E$11*INDEX('Lease Cycles'!$HE$11:$HK$11,1,EQ61)*(1+INDEX('Lease Cycles'!$GQ$11:$GW$11,1,EQ61))^INT(INT((EQ$6-INDEX('Lease Cycles'!$GJ$11:$GP$11,1,EQ61))/12)/INDEX('Lease Cycles'!$GX$11:$HD$11,1,EQ61))/12,0)))</f>
        <v>5218.09575343131</v>
      </c>
      <c r="ER64" s="28">
        <f>IF(ER61=0,IF('Lease Cycles'!$F$11&gt;0,'Lease Cycles'!$C$11*'Lease Cycles'!$E$11/12,0),IF(ER63=1,IF('Lease Cycles'!$AT$11&gt;=9999,'Lease Cycles'!$C$11*INDEX('Lease Cycles'!$CB$11:$CH$11,1,ER61)*(1+INDEX('Lease Cycles'!$CI$11:$CO$11,1,ER61))^INT(INT(ER62/12)/INDEX('Lease Cycles'!$CP$11:$CV$11,1,ER61))/12,IF(ER61=1,IF(ER62&gt;=INDEX('Lease Cycles'!$DK$11:$DQ$11,1,ER61),IF(ER$6&gt;='Lease Cycles'!$AZ$11,'Lease Cycles'!$C$11*'Lease Cycles'!$BA$11/12,IF(ER$6&gt;='Lease Cycles'!$AX$11,'Lease Cycles'!$C$11*'Lease Cycles'!$AY$11/12,IF(ER$6&gt;='Lease Cycles'!$AV$11,'Lease Cycles'!$C$11*'Lease Cycles'!$AW$11/12,IF(ER$6&gt;='Lease Cycles'!$AT$11,'Lease Cycles'!$C$11*'Lease Cycles'!$AU$11/12,'Lease Cycles'!$C$11*INDEX('Lease Cycles'!$CB$11:$CH$11,1,ER61)*(1+INDEX('Lease Cycles'!$CI$11:$CO$11,1,ER61))^INT(INT(ER62/12)/INDEX('Lease Cycles'!$CP$11:$CV$11,1,ER61))/12)))),'Lease Cycles'!$C$11*INDEX('Lease Cycles'!$CB$11:$CH$11,1,ER61)*(1+INDEX('Lease Cycles'!$CI$11:$CO$11,1,ER61))^INT(INT(ER62/12)/INDEX('Lease Cycles'!$CP$11:$CV$11,1,ER61))/12),IF(INDEX('Lease Cycles'!$EF$11:$EL$11,1,ER61)=1,IF(AND('Lease Cycles'!$AZ$11&gt;=INDEX('Lease Cycles'!$BG$11:$BM$11,1,ER61),'Lease Cycles'!$AZ$11&lt;=ER$6),'Lease Cycles'!$C$11*'Lease Cycles'!$BA$11/12,IF(AND('Lease Cycles'!$AX$11&gt;=INDEX('Lease Cycles'!$BG$11:$BM$11,1,ER61),'Lease Cycles'!$AX$11&lt;=ER$6),'Lease Cycles'!$C$11*'Lease Cycles'!$AY$11/12,IF(AND('Lease Cycles'!$AV$11&gt;=INDEX('Lease Cycles'!$BG$11:$BM$11,1,ER61),'Lease Cycles'!$AV$11&lt;=ER$6),'Lease Cycles'!$C$11*'Lease Cycles'!$AW$11/12,IF(AND('Lease Cycles'!$AT$11&gt;=INDEX('Lease Cycles'!$BG$11:$BM$11,1,ER61),'Lease Cycles'!$AT$11&lt;=ER$6),'Lease Cycles'!$C$11*'Lease Cycles'!$AU$11/12,'Lease Cycles'!$C$11*INDEX('Lease Cycles'!$CB$11:$CH$11,1,ER61)*(1+INDEX('Lease Cycles'!$CI$11:$CO$11,1,ER61))^INT(INT(ER62/12)/INDEX('Lease Cycles'!$CP$11:$CV$11,1,ER61))/12)))),'Lease Cycles'!$C$11*INDEX('Lease Cycles'!$CB$11:$CH$11,1,ER61)*(1+INDEX('Lease Cycles'!$CI$11:$CO$11,1,ER61))^INT(INT(ER62/12)/INDEX('Lease Cycles'!$CP$11:$CV$11,1,ER61))/12))),IF('Lease Cycles'!$N$11=1,'Lease Cycles'!$C$11*'Lease Cycles'!$E$11*INDEX('Lease Cycles'!$HE$11:$HK$11,1,ER61)*(1+INDEX('Lease Cycles'!$GQ$11:$GW$11,1,ER61))^INT(INT((ER$6-INDEX('Lease Cycles'!$GJ$11:$GP$11,1,ER61))/12)/INDEX('Lease Cycles'!$GX$11:$HD$11,1,ER61))/12,0)))</f>
        <v>5218.09575343131</v>
      </c>
      <c r="ES64" s="28">
        <f>IF(ES61=0,IF('Lease Cycles'!$F$11&gt;0,'Lease Cycles'!$C$11*'Lease Cycles'!$E$11/12,0),IF(ES63=1,IF('Lease Cycles'!$AT$11&gt;=9999,'Lease Cycles'!$C$11*INDEX('Lease Cycles'!$CB$11:$CH$11,1,ES61)*(1+INDEX('Lease Cycles'!$CI$11:$CO$11,1,ES61))^INT(INT(ES62/12)/INDEX('Lease Cycles'!$CP$11:$CV$11,1,ES61))/12,IF(ES61=1,IF(ES62&gt;=INDEX('Lease Cycles'!$DK$11:$DQ$11,1,ES61),IF(ES$6&gt;='Lease Cycles'!$AZ$11,'Lease Cycles'!$C$11*'Lease Cycles'!$BA$11/12,IF(ES$6&gt;='Lease Cycles'!$AX$11,'Lease Cycles'!$C$11*'Lease Cycles'!$AY$11/12,IF(ES$6&gt;='Lease Cycles'!$AV$11,'Lease Cycles'!$C$11*'Lease Cycles'!$AW$11/12,IF(ES$6&gt;='Lease Cycles'!$AT$11,'Lease Cycles'!$C$11*'Lease Cycles'!$AU$11/12,'Lease Cycles'!$C$11*INDEX('Lease Cycles'!$CB$11:$CH$11,1,ES61)*(1+INDEX('Lease Cycles'!$CI$11:$CO$11,1,ES61))^INT(INT(ES62/12)/INDEX('Lease Cycles'!$CP$11:$CV$11,1,ES61))/12)))),'Lease Cycles'!$C$11*INDEX('Lease Cycles'!$CB$11:$CH$11,1,ES61)*(1+INDEX('Lease Cycles'!$CI$11:$CO$11,1,ES61))^INT(INT(ES62/12)/INDEX('Lease Cycles'!$CP$11:$CV$11,1,ES61))/12),IF(INDEX('Lease Cycles'!$EF$11:$EL$11,1,ES61)=1,IF(AND('Lease Cycles'!$AZ$11&gt;=INDEX('Lease Cycles'!$BG$11:$BM$11,1,ES61),'Lease Cycles'!$AZ$11&lt;=ES$6),'Lease Cycles'!$C$11*'Lease Cycles'!$BA$11/12,IF(AND('Lease Cycles'!$AX$11&gt;=INDEX('Lease Cycles'!$BG$11:$BM$11,1,ES61),'Lease Cycles'!$AX$11&lt;=ES$6),'Lease Cycles'!$C$11*'Lease Cycles'!$AY$11/12,IF(AND('Lease Cycles'!$AV$11&gt;=INDEX('Lease Cycles'!$BG$11:$BM$11,1,ES61),'Lease Cycles'!$AV$11&lt;=ES$6),'Lease Cycles'!$C$11*'Lease Cycles'!$AW$11/12,IF(AND('Lease Cycles'!$AT$11&gt;=INDEX('Lease Cycles'!$BG$11:$BM$11,1,ES61),'Lease Cycles'!$AT$11&lt;=ES$6),'Lease Cycles'!$C$11*'Lease Cycles'!$AU$11/12,'Lease Cycles'!$C$11*INDEX('Lease Cycles'!$CB$11:$CH$11,1,ES61)*(1+INDEX('Lease Cycles'!$CI$11:$CO$11,1,ES61))^INT(INT(ES62/12)/INDEX('Lease Cycles'!$CP$11:$CV$11,1,ES61))/12)))),'Lease Cycles'!$C$11*INDEX('Lease Cycles'!$CB$11:$CH$11,1,ES61)*(1+INDEX('Lease Cycles'!$CI$11:$CO$11,1,ES61))^INT(INT(ES62/12)/INDEX('Lease Cycles'!$CP$11:$CV$11,1,ES61))/12))),IF('Lease Cycles'!$N$11=1,'Lease Cycles'!$C$11*'Lease Cycles'!$E$11*INDEX('Lease Cycles'!$HE$11:$HK$11,1,ES61)*(1+INDEX('Lease Cycles'!$GQ$11:$GW$11,1,ES61))^INT(INT((ES$6-INDEX('Lease Cycles'!$GJ$11:$GP$11,1,ES61))/12)/INDEX('Lease Cycles'!$GX$11:$HD$11,1,ES61))/12,0)))</f>
        <v>5218.09575343131</v>
      </c>
      <c r="ET64" s="28">
        <f>IF(ET61=0,IF('Lease Cycles'!$F$11&gt;0,'Lease Cycles'!$C$11*'Lease Cycles'!$E$11/12,0),IF(ET63=1,IF('Lease Cycles'!$AT$11&gt;=9999,'Lease Cycles'!$C$11*INDEX('Lease Cycles'!$CB$11:$CH$11,1,ET61)*(1+INDEX('Lease Cycles'!$CI$11:$CO$11,1,ET61))^INT(INT(ET62/12)/INDEX('Lease Cycles'!$CP$11:$CV$11,1,ET61))/12,IF(ET61=1,IF(ET62&gt;=INDEX('Lease Cycles'!$DK$11:$DQ$11,1,ET61),IF(ET$6&gt;='Lease Cycles'!$AZ$11,'Lease Cycles'!$C$11*'Lease Cycles'!$BA$11/12,IF(ET$6&gt;='Lease Cycles'!$AX$11,'Lease Cycles'!$C$11*'Lease Cycles'!$AY$11/12,IF(ET$6&gt;='Lease Cycles'!$AV$11,'Lease Cycles'!$C$11*'Lease Cycles'!$AW$11/12,IF(ET$6&gt;='Lease Cycles'!$AT$11,'Lease Cycles'!$C$11*'Lease Cycles'!$AU$11/12,'Lease Cycles'!$C$11*INDEX('Lease Cycles'!$CB$11:$CH$11,1,ET61)*(1+INDEX('Lease Cycles'!$CI$11:$CO$11,1,ET61))^INT(INT(ET62/12)/INDEX('Lease Cycles'!$CP$11:$CV$11,1,ET61))/12)))),'Lease Cycles'!$C$11*INDEX('Lease Cycles'!$CB$11:$CH$11,1,ET61)*(1+INDEX('Lease Cycles'!$CI$11:$CO$11,1,ET61))^INT(INT(ET62/12)/INDEX('Lease Cycles'!$CP$11:$CV$11,1,ET61))/12),IF(INDEX('Lease Cycles'!$EF$11:$EL$11,1,ET61)=1,IF(AND('Lease Cycles'!$AZ$11&gt;=INDEX('Lease Cycles'!$BG$11:$BM$11,1,ET61),'Lease Cycles'!$AZ$11&lt;=ET$6),'Lease Cycles'!$C$11*'Lease Cycles'!$BA$11/12,IF(AND('Lease Cycles'!$AX$11&gt;=INDEX('Lease Cycles'!$BG$11:$BM$11,1,ET61),'Lease Cycles'!$AX$11&lt;=ET$6),'Lease Cycles'!$C$11*'Lease Cycles'!$AY$11/12,IF(AND('Lease Cycles'!$AV$11&gt;=INDEX('Lease Cycles'!$BG$11:$BM$11,1,ET61),'Lease Cycles'!$AV$11&lt;=ET$6),'Lease Cycles'!$C$11*'Lease Cycles'!$AW$11/12,IF(AND('Lease Cycles'!$AT$11&gt;=INDEX('Lease Cycles'!$BG$11:$BM$11,1,ET61),'Lease Cycles'!$AT$11&lt;=ET$6),'Lease Cycles'!$C$11*'Lease Cycles'!$AU$11/12,'Lease Cycles'!$C$11*INDEX('Lease Cycles'!$CB$11:$CH$11,1,ET61)*(1+INDEX('Lease Cycles'!$CI$11:$CO$11,1,ET61))^INT(INT(ET62/12)/INDEX('Lease Cycles'!$CP$11:$CV$11,1,ET61))/12)))),'Lease Cycles'!$C$11*INDEX('Lease Cycles'!$CB$11:$CH$11,1,ET61)*(1+INDEX('Lease Cycles'!$CI$11:$CO$11,1,ET61))^INT(INT(ET62/12)/INDEX('Lease Cycles'!$CP$11:$CV$11,1,ET61))/12))),IF('Lease Cycles'!$N$11=1,'Lease Cycles'!$C$11*'Lease Cycles'!$E$11*INDEX('Lease Cycles'!$HE$11:$HK$11,1,ET61)*(1+INDEX('Lease Cycles'!$GQ$11:$GW$11,1,ET61))^INT(INT((ET$6-INDEX('Lease Cycles'!$GJ$11:$GP$11,1,ET61))/12)/INDEX('Lease Cycles'!$GX$11:$HD$11,1,ET61))/12,0)))</f>
        <v>5218.09575343131</v>
      </c>
    </row>
    <row r="65">
      <c r="A65" s="103">
        <v>4</v>
      </c>
      <c r="B65" s="23" t="str">
        <f>IF('Lease Cycles'!$B$11="","(empty slot)",'Lease Cycles'!$B$11)</f>
        <v>Sunfield Dental</v>
      </c>
      <c r="C65" s="23" t="s">
        <v>679</v>
      </c>
      <c r="D65" s="104" t="s">
        <v>680</v>
      </c>
      <c r="E65" s="25">
        <f>'Lease Cycles'!$AL$11</f>
        <v>0</v>
      </c>
      <c r="S65" s="28">
        <f>IF(S63=1,IF(INDEX('Lease Cycles'!$EF$11:$EL$11,1,S61)=1,'Lease Cycles'!$C$11*INDEX('Lease Cycles'!$ET$11:$EZ$11,1,S61)*(1+'Lease Cycles'!$V$11)^INT(INT(S62/12)/'Lease Cycles'!$W$11)/12,0),0)</f>
        <v>0</v>
      </c>
      <c r="T65" s="28">
        <f>IF(T63=1,IF(INDEX('Lease Cycles'!$EF$11:$EL$11,1,T61)=1,'Lease Cycles'!$C$11*INDEX('Lease Cycles'!$ET$11:$EZ$11,1,T61)*(1+'Lease Cycles'!$V$11)^INT(INT(T62/12)/'Lease Cycles'!$W$11)/12,0),0)</f>
        <v>0</v>
      </c>
      <c r="U65" s="28">
        <f>IF(U63=1,IF(INDEX('Lease Cycles'!$EF$11:$EL$11,1,U61)=1,'Lease Cycles'!$C$11*INDEX('Lease Cycles'!$ET$11:$EZ$11,1,U61)*(1+'Lease Cycles'!$V$11)^INT(INT(U62/12)/'Lease Cycles'!$W$11)/12,0),0)</f>
        <v>0</v>
      </c>
      <c r="V65" s="28">
        <f>IF(V63=1,IF(INDEX('Lease Cycles'!$EF$11:$EL$11,1,V61)=1,'Lease Cycles'!$C$11*INDEX('Lease Cycles'!$ET$11:$EZ$11,1,V61)*(1+'Lease Cycles'!$V$11)^INT(INT(V62/12)/'Lease Cycles'!$W$11)/12,0),0)</f>
        <v>0</v>
      </c>
      <c r="W65" s="28">
        <f>IF(W63=1,IF(INDEX('Lease Cycles'!$EF$11:$EL$11,1,W61)=1,'Lease Cycles'!$C$11*INDEX('Lease Cycles'!$ET$11:$EZ$11,1,W61)*(1+'Lease Cycles'!$V$11)^INT(INT(W62/12)/'Lease Cycles'!$W$11)/12,0),0)</f>
        <v>0</v>
      </c>
      <c r="X65" s="28">
        <f>IF(X63=1,IF(INDEX('Lease Cycles'!$EF$11:$EL$11,1,X61)=1,'Lease Cycles'!$C$11*INDEX('Lease Cycles'!$ET$11:$EZ$11,1,X61)*(1+'Lease Cycles'!$V$11)^INT(INT(X62/12)/'Lease Cycles'!$W$11)/12,0),0)</f>
        <v>0</v>
      </c>
      <c r="Y65" s="28">
        <f>IF(Y63=1,IF(INDEX('Lease Cycles'!$EF$11:$EL$11,1,Y61)=1,'Lease Cycles'!$C$11*INDEX('Lease Cycles'!$ET$11:$EZ$11,1,Y61)*(1+'Lease Cycles'!$V$11)^INT(INT(Y62/12)/'Lease Cycles'!$W$11)/12,0),0)</f>
        <v>0</v>
      </c>
      <c r="Z65" s="28">
        <f>IF(Z63=1,IF(INDEX('Lease Cycles'!$EF$11:$EL$11,1,Z61)=1,'Lease Cycles'!$C$11*INDEX('Lease Cycles'!$ET$11:$EZ$11,1,Z61)*(1+'Lease Cycles'!$V$11)^INT(INT(Z62/12)/'Lease Cycles'!$W$11)/12,0),0)</f>
        <v>0</v>
      </c>
      <c r="AA65" s="28">
        <f>IF(AA63=1,IF(INDEX('Lease Cycles'!$EF$11:$EL$11,1,AA61)=1,'Lease Cycles'!$C$11*INDEX('Lease Cycles'!$ET$11:$EZ$11,1,AA61)*(1+'Lease Cycles'!$V$11)^INT(INT(AA62/12)/'Lease Cycles'!$W$11)/12,0),0)</f>
        <v>0</v>
      </c>
      <c r="AB65" s="28">
        <f>IF(AB63=1,IF(INDEX('Lease Cycles'!$EF$11:$EL$11,1,AB61)=1,'Lease Cycles'!$C$11*INDEX('Lease Cycles'!$ET$11:$EZ$11,1,AB61)*(1+'Lease Cycles'!$V$11)^INT(INT(AB62/12)/'Lease Cycles'!$W$11)/12,0),0)</f>
        <v>0</v>
      </c>
      <c r="AC65" s="28">
        <f>IF(AC63=1,IF(INDEX('Lease Cycles'!$EF$11:$EL$11,1,AC61)=1,'Lease Cycles'!$C$11*INDEX('Lease Cycles'!$ET$11:$EZ$11,1,AC61)*(1+'Lease Cycles'!$V$11)^INT(INT(AC62/12)/'Lease Cycles'!$W$11)/12,0),0)</f>
        <v>0</v>
      </c>
      <c r="AD65" s="28">
        <f>IF(AD63=1,IF(INDEX('Lease Cycles'!$EF$11:$EL$11,1,AD61)=1,'Lease Cycles'!$C$11*INDEX('Lease Cycles'!$ET$11:$EZ$11,1,AD61)*(1+'Lease Cycles'!$V$11)^INT(INT(AD62/12)/'Lease Cycles'!$W$11)/12,0),0)</f>
        <v>0</v>
      </c>
      <c r="AE65" s="28">
        <f>IF(AE63=1,IF(INDEX('Lease Cycles'!$EF$11:$EL$11,1,AE61)=1,'Lease Cycles'!$C$11*INDEX('Lease Cycles'!$ET$11:$EZ$11,1,AE61)*(1+'Lease Cycles'!$V$11)^INT(INT(AE62/12)/'Lease Cycles'!$W$11)/12,0),0)</f>
        <v>0</v>
      </c>
      <c r="AF65" s="28">
        <f>IF(AF63=1,IF(INDEX('Lease Cycles'!$EF$11:$EL$11,1,AF61)=1,'Lease Cycles'!$C$11*INDEX('Lease Cycles'!$ET$11:$EZ$11,1,AF61)*(1+'Lease Cycles'!$V$11)^INT(INT(AF62/12)/'Lease Cycles'!$W$11)/12,0),0)</f>
        <v>0</v>
      </c>
      <c r="AG65" s="28">
        <f>IF(AG63=1,IF(INDEX('Lease Cycles'!$EF$11:$EL$11,1,AG61)=1,'Lease Cycles'!$C$11*INDEX('Lease Cycles'!$ET$11:$EZ$11,1,AG61)*(1+'Lease Cycles'!$V$11)^INT(INT(AG62/12)/'Lease Cycles'!$W$11)/12,0),0)</f>
        <v>0</v>
      </c>
      <c r="AH65" s="28">
        <f>IF(AH63=1,IF(INDEX('Lease Cycles'!$EF$11:$EL$11,1,AH61)=1,'Lease Cycles'!$C$11*INDEX('Lease Cycles'!$ET$11:$EZ$11,1,AH61)*(1+'Lease Cycles'!$V$11)^INT(INT(AH62/12)/'Lease Cycles'!$W$11)/12,0),0)</f>
        <v>0</v>
      </c>
      <c r="AI65" s="28">
        <f>IF(AI63=1,IF(INDEX('Lease Cycles'!$EF$11:$EL$11,1,AI61)=1,'Lease Cycles'!$C$11*INDEX('Lease Cycles'!$ET$11:$EZ$11,1,AI61)*(1+'Lease Cycles'!$V$11)^INT(INT(AI62/12)/'Lease Cycles'!$W$11)/12,0),0)</f>
        <v>0</v>
      </c>
      <c r="AJ65" s="28">
        <f>IF(AJ63=1,IF(INDEX('Lease Cycles'!$EF$11:$EL$11,1,AJ61)=1,'Lease Cycles'!$C$11*INDEX('Lease Cycles'!$ET$11:$EZ$11,1,AJ61)*(1+'Lease Cycles'!$V$11)^INT(INT(AJ62/12)/'Lease Cycles'!$W$11)/12,0),0)</f>
        <v>0</v>
      </c>
      <c r="AK65" s="28">
        <f>IF(AK63=1,IF(INDEX('Lease Cycles'!$EF$11:$EL$11,1,AK61)=1,'Lease Cycles'!$C$11*INDEX('Lease Cycles'!$ET$11:$EZ$11,1,AK61)*(1+'Lease Cycles'!$V$11)^INT(INT(AK62/12)/'Lease Cycles'!$W$11)/12,0),0)</f>
        <v>0</v>
      </c>
      <c r="AL65" s="28">
        <f>IF(AL63=1,IF(INDEX('Lease Cycles'!$EF$11:$EL$11,1,AL61)=1,'Lease Cycles'!$C$11*INDEX('Lease Cycles'!$ET$11:$EZ$11,1,AL61)*(1+'Lease Cycles'!$V$11)^INT(INT(AL62/12)/'Lease Cycles'!$W$11)/12,0),0)</f>
        <v>0</v>
      </c>
      <c r="AM65" s="28">
        <f>IF(AM63=1,IF(INDEX('Lease Cycles'!$EF$11:$EL$11,1,AM61)=1,'Lease Cycles'!$C$11*INDEX('Lease Cycles'!$ET$11:$EZ$11,1,AM61)*(1+'Lease Cycles'!$V$11)^INT(INT(AM62/12)/'Lease Cycles'!$W$11)/12,0),0)</f>
        <v>0</v>
      </c>
      <c r="AN65" s="28">
        <f>IF(AN63=1,IF(INDEX('Lease Cycles'!$EF$11:$EL$11,1,AN61)=1,'Lease Cycles'!$C$11*INDEX('Lease Cycles'!$ET$11:$EZ$11,1,AN61)*(1+'Lease Cycles'!$V$11)^INT(INT(AN62/12)/'Lease Cycles'!$W$11)/12,0),0)</f>
        <v>0</v>
      </c>
      <c r="AO65" s="28">
        <f>IF(AO63=1,IF(INDEX('Lease Cycles'!$EF$11:$EL$11,1,AO61)=1,'Lease Cycles'!$C$11*INDEX('Lease Cycles'!$ET$11:$EZ$11,1,AO61)*(1+'Lease Cycles'!$V$11)^INT(INT(AO62/12)/'Lease Cycles'!$W$11)/12,0),0)</f>
        <v>0</v>
      </c>
      <c r="AP65" s="28">
        <f>IF(AP63=1,IF(INDEX('Lease Cycles'!$EF$11:$EL$11,1,AP61)=1,'Lease Cycles'!$C$11*INDEX('Lease Cycles'!$ET$11:$EZ$11,1,AP61)*(1+'Lease Cycles'!$V$11)^INT(INT(AP62/12)/'Lease Cycles'!$W$11)/12,0),0)</f>
        <v>0</v>
      </c>
      <c r="AQ65" s="28">
        <f>IF(AQ63=1,IF(INDEX('Lease Cycles'!$EF$11:$EL$11,1,AQ61)=1,'Lease Cycles'!$C$11*INDEX('Lease Cycles'!$ET$11:$EZ$11,1,AQ61)*(1+'Lease Cycles'!$V$11)^INT(INT(AQ62/12)/'Lease Cycles'!$W$11)/12,0),0)</f>
        <v>0</v>
      </c>
      <c r="AR65" s="28">
        <f>IF(AR63=1,IF(INDEX('Lease Cycles'!$EF$11:$EL$11,1,AR61)=1,'Lease Cycles'!$C$11*INDEX('Lease Cycles'!$ET$11:$EZ$11,1,AR61)*(1+'Lease Cycles'!$V$11)^INT(INT(AR62/12)/'Lease Cycles'!$W$11)/12,0),0)</f>
        <v>0</v>
      </c>
      <c r="AS65" s="28">
        <f>IF(AS63=1,IF(INDEX('Lease Cycles'!$EF$11:$EL$11,1,AS61)=1,'Lease Cycles'!$C$11*INDEX('Lease Cycles'!$ET$11:$EZ$11,1,AS61)*(1+'Lease Cycles'!$V$11)^INT(INT(AS62/12)/'Lease Cycles'!$W$11)/12,0),0)</f>
        <v>0</v>
      </c>
      <c r="AT65" s="28">
        <f>IF(AT63=1,IF(INDEX('Lease Cycles'!$EF$11:$EL$11,1,AT61)=1,'Lease Cycles'!$C$11*INDEX('Lease Cycles'!$ET$11:$EZ$11,1,AT61)*(1+'Lease Cycles'!$V$11)^INT(INT(AT62/12)/'Lease Cycles'!$W$11)/12,0),0)</f>
        <v>0</v>
      </c>
      <c r="AU65" s="28">
        <f>IF(AU63=1,IF(INDEX('Lease Cycles'!$EF$11:$EL$11,1,AU61)=1,'Lease Cycles'!$C$11*INDEX('Lease Cycles'!$ET$11:$EZ$11,1,AU61)*(1+'Lease Cycles'!$V$11)^INT(INT(AU62/12)/'Lease Cycles'!$W$11)/12,0),0)</f>
        <v>0</v>
      </c>
      <c r="AV65" s="28">
        <f>IF(AV63=1,IF(INDEX('Lease Cycles'!$EF$11:$EL$11,1,AV61)=1,'Lease Cycles'!$C$11*INDEX('Lease Cycles'!$ET$11:$EZ$11,1,AV61)*(1+'Lease Cycles'!$V$11)^INT(INT(AV62/12)/'Lease Cycles'!$W$11)/12,0),0)</f>
        <v>0</v>
      </c>
      <c r="AW65" s="28">
        <f>IF(AW63=1,IF(INDEX('Lease Cycles'!$EF$11:$EL$11,1,AW61)=1,'Lease Cycles'!$C$11*INDEX('Lease Cycles'!$ET$11:$EZ$11,1,AW61)*(1+'Lease Cycles'!$V$11)^INT(INT(AW62/12)/'Lease Cycles'!$W$11)/12,0),0)</f>
        <v>0</v>
      </c>
      <c r="AX65" s="28">
        <f>IF(AX63=1,IF(INDEX('Lease Cycles'!$EF$11:$EL$11,1,AX61)=1,'Lease Cycles'!$C$11*INDEX('Lease Cycles'!$ET$11:$EZ$11,1,AX61)*(1+'Lease Cycles'!$V$11)^INT(INT(AX62/12)/'Lease Cycles'!$W$11)/12,0),0)</f>
        <v>0</v>
      </c>
      <c r="AY65" s="28">
        <f>IF(AY63=1,IF(INDEX('Lease Cycles'!$EF$11:$EL$11,1,AY61)=1,'Lease Cycles'!$C$11*INDEX('Lease Cycles'!$ET$11:$EZ$11,1,AY61)*(1+'Lease Cycles'!$V$11)^INT(INT(AY62/12)/'Lease Cycles'!$W$11)/12,0),0)</f>
        <v>0</v>
      </c>
      <c r="AZ65" s="28">
        <f>IF(AZ63=1,IF(INDEX('Lease Cycles'!$EF$11:$EL$11,1,AZ61)=1,'Lease Cycles'!$C$11*INDEX('Lease Cycles'!$ET$11:$EZ$11,1,AZ61)*(1+'Lease Cycles'!$V$11)^INT(INT(AZ62/12)/'Lease Cycles'!$W$11)/12,0),0)</f>
        <v>0</v>
      </c>
      <c r="BA65" s="28">
        <f>IF(BA63=1,IF(INDEX('Lease Cycles'!$EF$11:$EL$11,1,BA61)=1,'Lease Cycles'!$C$11*INDEX('Lease Cycles'!$ET$11:$EZ$11,1,BA61)*(1+'Lease Cycles'!$V$11)^INT(INT(BA62/12)/'Lease Cycles'!$W$11)/12,0),0)</f>
        <v>0</v>
      </c>
      <c r="BB65" s="28">
        <f>IF(BB63=1,IF(INDEX('Lease Cycles'!$EF$11:$EL$11,1,BB61)=1,'Lease Cycles'!$C$11*INDEX('Lease Cycles'!$ET$11:$EZ$11,1,BB61)*(1+'Lease Cycles'!$V$11)^INT(INT(BB62/12)/'Lease Cycles'!$W$11)/12,0),0)</f>
        <v>0</v>
      </c>
      <c r="BC65" s="28">
        <f>IF(BC63=1,IF(INDEX('Lease Cycles'!$EF$11:$EL$11,1,BC61)=1,'Lease Cycles'!$C$11*INDEX('Lease Cycles'!$ET$11:$EZ$11,1,BC61)*(1+'Lease Cycles'!$V$11)^INT(INT(BC62/12)/'Lease Cycles'!$W$11)/12,0),0)</f>
        <v>0</v>
      </c>
      <c r="BD65" s="28">
        <f>IF(BD63=1,IF(INDEX('Lease Cycles'!$EF$11:$EL$11,1,BD61)=1,'Lease Cycles'!$C$11*INDEX('Lease Cycles'!$ET$11:$EZ$11,1,BD61)*(1+'Lease Cycles'!$V$11)^INT(INT(BD62/12)/'Lease Cycles'!$W$11)/12,0),0)</f>
        <v>0</v>
      </c>
      <c r="BE65" s="28">
        <f>IF(BE63=1,IF(INDEX('Lease Cycles'!$EF$11:$EL$11,1,BE61)=1,'Lease Cycles'!$C$11*INDEX('Lease Cycles'!$ET$11:$EZ$11,1,BE61)*(1+'Lease Cycles'!$V$11)^INT(INT(BE62/12)/'Lease Cycles'!$W$11)/12,0),0)</f>
        <v>0</v>
      </c>
      <c r="BF65" s="28">
        <f>IF(BF63=1,IF(INDEX('Lease Cycles'!$EF$11:$EL$11,1,BF61)=1,'Lease Cycles'!$C$11*INDEX('Lease Cycles'!$ET$11:$EZ$11,1,BF61)*(1+'Lease Cycles'!$V$11)^INT(INT(BF62/12)/'Lease Cycles'!$W$11)/12,0),0)</f>
        <v>0</v>
      </c>
      <c r="BG65" s="28">
        <f>IF(BG63=1,IF(INDEX('Lease Cycles'!$EF$11:$EL$11,1,BG61)=1,'Lease Cycles'!$C$11*INDEX('Lease Cycles'!$ET$11:$EZ$11,1,BG61)*(1+'Lease Cycles'!$V$11)^INT(INT(BG62/12)/'Lease Cycles'!$W$11)/12,0),0)</f>
        <v>0</v>
      </c>
      <c r="BH65" s="28">
        <f>IF(BH63=1,IF(INDEX('Lease Cycles'!$EF$11:$EL$11,1,BH61)=1,'Lease Cycles'!$C$11*INDEX('Lease Cycles'!$ET$11:$EZ$11,1,BH61)*(1+'Lease Cycles'!$V$11)^INT(INT(BH62/12)/'Lease Cycles'!$W$11)/12,0),0)</f>
        <v>0</v>
      </c>
      <c r="BI65" s="28">
        <f>IF(BI63=1,IF(INDEX('Lease Cycles'!$EF$11:$EL$11,1,BI61)=1,'Lease Cycles'!$C$11*INDEX('Lease Cycles'!$ET$11:$EZ$11,1,BI61)*(1+'Lease Cycles'!$V$11)^INT(INT(BI62/12)/'Lease Cycles'!$W$11)/12,0),0)</f>
        <v>0</v>
      </c>
      <c r="BJ65" s="28">
        <f>IF(BJ63=1,IF(INDEX('Lease Cycles'!$EF$11:$EL$11,1,BJ61)=1,'Lease Cycles'!$C$11*INDEX('Lease Cycles'!$ET$11:$EZ$11,1,BJ61)*(1+'Lease Cycles'!$V$11)^INT(INT(BJ62/12)/'Lease Cycles'!$W$11)/12,0),0)</f>
        <v>0</v>
      </c>
      <c r="BK65" s="28">
        <f>IF(BK63=1,IF(INDEX('Lease Cycles'!$EF$11:$EL$11,1,BK61)=1,'Lease Cycles'!$C$11*INDEX('Lease Cycles'!$ET$11:$EZ$11,1,BK61)*(1+'Lease Cycles'!$V$11)^INT(INT(BK62/12)/'Lease Cycles'!$W$11)/12,0),0)</f>
        <v>0</v>
      </c>
      <c r="BL65" s="28">
        <f>IF(BL63=1,IF(INDEX('Lease Cycles'!$EF$11:$EL$11,1,BL61)=1,'Lease Cycles'!$C$11*INDEX('Lease Cycles'!$ET$11:$EZ$11,1,BL61)*(1+'Lease Cycles'!$V$11)^INT(INT(BL62/12)/'Lease Cycles'!$W$11)/12,0),0)</f>
        <v>0</v>
      </c>
      <c r="BM65" s="28">
        <f>IF(BM63=1,IF(INDEX('Lease Cycles'!$EF$11:$EL$11,1,BM61)=1,'Lease Cycles'!$C$11*INDEX('Lease Cycles'!$ET$11:$EZ$11,1,BM61)*(1+'Lease Cycles'!$V$11)^INT(INT(BM62/12)/'Lease Cycles'!$W$11)/12,0),0)</f>
        <v>0</v>
      </c>
      <c r="BN65" s="28">
        <f>IF(BN63=1,IF(INDEX('Lease Cycles'!$EF$11:$EL$11,1,BN61)=1,'Lease Cycles'!$C$11*INDEX('Lease Cycles'!$ET$11:$EZ$11,1,BN61)*(1+'Lease Cycles'!$V$11)^INT(INT(BN62/12)/'Lease Cycles'!$W$11)/12,0),0)</f>
        <v>0</v>
      </c>
      <c r="BO65" s="28">
        <f>IF(BO63=1,IF(INDEX('Lease Cycles'!$EF$11:$EL$11,1,BO61)=1,'Lease Cycles'!$C$11*INDEX('Lease Cycles'!$ET$11:$EZ$11,1,BO61)*(1+'Lease Cycles'!$V$11)^INT(INT(BO62/12)/'Lease Cycles'!$W$11)/12,0),0)</f>
        <v>0</v>
      </c>
      <c r="BP65" s="28">
        <f>IF(BP63=1,IF(INDEX('Lease Cycles'!$EF$11:$EL$11,1,BP61)=1,'Lease Cycles'!$C$11*INDEX('Lease Cycles'!$ET$11:$EZ$11,1,BP61)*(1+'Lease Cycles'!$V$11)^INT(INT(BP62/12)/'Lease Cycles'!$W$11)/12,0),0)</f>
        <v>0</v>
      </c>
      <c r="BQ65" s="28">
        <f>IF(BQ63=1,IF(INDEX('Lease Cycles'!$EF$11:$EL$11,1,BQ61)=1,'Lease Cycles'!$C$11*INDEX('Lease Cycles'!$ET$11:$EZ$11,1,BQ61)*(1+'Lease Cycles'!$V$11)^INT(INT(BQ62/12)/'Lease Cycles'!$W$11)/12,0),0)</f>
        <v>0</v>
      </c>
      <c r="BR65" s="28">
        <f>IF(BR63=1,IF(INDEX('Lease Cycles'!$EF$11:$EL$11,1,BR61)=1,'Lease Cycles'!$C$11*INDEX('Lease Cycles'!$ET$11:$EZ$11,1,BR61)*(1+'Lease Cycles'!$V$11)^INT(INT(BR62/12)/'Lease Cycles'!$W$11)/12,0),0)</f>
        <v>0</v>
      </c>
      <c r="BS65" s="28">
        <f>IF(BS63=1,IF(INDEX('Lease Cycles'!$EF$11:$EL$11,1,BS61)=1,'Lease Cycles'!$C$11*INDEX('Lease Cycles'!$ET$11:$EZ$11,1,BS61)*(1+'Lease Cycles'!$V$11)^INT(INT(BS62/12)/'Lease Cycles'!$W$11)/12,0),0)</f>
        <v>0</v>
      </c>
      <c r="BT65" s="28">
        <f>IF(BT63=1,IF(INDEX('Lease Cycles'!$EF$11:$EL$11,1,BT61)=1,'Lease Cycles'!$C$11*INDEX('Lease Cycles'!$ET$11:$EZ$11,1,BT61)*(1+'Lease Cycles'!$V$11)^INT(INT(BT62/12)/'Lease Cycles'!$W$11)/12,0),0)</f>
        <v>0</v>
      </c>
      <c r="BU65" s="28">
        <f>IF(BU63=1,IF(INDEX('Lease Cycles'!$EF$11:$EL$11,1,BU61)=1,'Lease Cycles'!$C$11*INDEX('Lease Cycles'!$ET$11:$EZ$11,1,BU61)*(1+'Lease Cycles'!$V$11)^INT(INT(BU62/12)/'Lease Cycles'!$W$11)/12,0),0)</f>
        <v>0</v>
      </c>
      <c r="BV65" s="28">
        <f>IF(BV63=1,IF(INDEX('Lease Cycles'!$EF$11:$EL$11,1,BV61)=1,'Lease Cycles'!$C$11*INDEX('Lease Cycles'!$ET$11:$EZ$11,1,BV61)*(1+'Lease Cycles'!$V$11)^INT(INT(BV62/12)/'Lease Cycles'!$W$11)/12,0),0)</f>
        <v>0</v>
      </c>
      <c r="BW65" s="28">
        <f>IF(BW63=1,IF(INDEX('Lease Cycles'!$EF$11:$EL$11,1,BW61)=1,'Lease Cycles'!$C$11*INDEX('Lease Cycles'!$ET$11:$EZ$11,1,BW61)*(1+'Lease Cycles'!$V$11)^INT(INT(BW62/12)/'Lease Cycles'!$W$11)/12,0),0)</f>
        <v>0</v>
      </c>
      <c r="BX65" s="28">
        <f>IF(BX63=1,IF(INDEX('Lease Cycles'!$EF$11:$EL$11,1,BX61)=1,'Lease Cycles'!$C$11*INDEX('Lease Cycles'!$ET$11:$EZ$11,1,BX61)*(1+'Lease Cycles'!$V$11)^INT(INT(BX62/12)/'Lease Cycles'!$W$11)/12,0),0)</f>
        <v>0</v>
      </c>
      <c r="BY65" s="28">
        <f>IF(BY63=1,IF(INDEX('Lease Cycles'!$EF$11:$EL$11,1,BY61)=1,'Lease Cycles'!$C$11*INDEX('Lease Cycles'!$ET$11:$EZ$11,1,BY61)*(1+'Lease Cycles'!$V$11)^INT(INT(BY62/12)/'Lease Cycles'!$W$11)/12,0),0)</f>
        <v>0</v>
      </c>
      <c r="BZ65" s="28">
        <f>IF(BZ63=1,IF(INDEX('Lease Cycles'!$EF$11:$EL$11,1,BZ61)=1,'Lease Cycles'!$C$11*INDEX('Lease Cycles'!$ET$11:$EZ$11,1,BZ61)*(1+'Lease Cycles'!$V$11)^INT(INT(BZ62/12)/'Lease Cycles'!$W$11)/12,0),0)</f>
        <v>0</v>
      </c>
      <c r="CA65" s="28">
        <f>IF(CA63=1,IF(INDEX('Lease Cycles'!$EF$11:$EL$11,1,CA61)=1,'Lease Cycles'!$C$11*INDEX('Lease Cycles'!$ET$11:$EZ$11,1,CA61)*(1+'Lease Cycles'!$V$11)^INT(INT(CA62/12)/'Lease Cycles'!$W$11)/12,0),0)</f>
        <v>0</v>
      </c>
      <c r="CB65" s="28">
        <f>IF(CB63=1,IF(INDEX('Lease Cycles'!$EF$11:$EL$11,1,CB61)=1,'Lease Cycles'!$C$11*INDEX('Lease Cycles'!$ET$11:$EZ$11,1,CB61)*(1+'Lease Cycles'!$V$11)^INT(INT(CB62/12)/'Lease Cycles'!$W$11)/12,0),0)</f>
        <v>0</v>
      </c>
      <c r="CC65" s="28">
        <f>IF(CC63=1,IF(INDEX('Lease Cycles'!$EF$11:$EL$11,1,CC61)=1,'Lease Cycles'!$C$11*INDEX('Lease Cycles'!$ET$11:$EZ$11,1,CC61)*(1+'Lease Cycles'!$V$11)^INT(INT(CC62/12)/'Lease Cycles'!$W$11)/12,0),0)</f>
        <v>0</v>
      </c>
      <c r="CD65" s="28">
        <f>IF(CD63=1,IF(INDEX('Lease Cycles'!$EF$11:$EL$11,1,CD61)=1,'Lease Cycles'!$C$11*INDEX('Lease Cycles'!$ET$11:$EZ$11,1,CD61)*(1+'Lease Cycles'!$V$11)^INT(INT(CD62/12)/'Lease Cycles'!$W$11)/12,0),0)</f>
        <v>0</v>
      </c>
      <c r="CE65" s="28">
        <f>IF(CE63=1,IF(INDEX('Lease Cycles'!$EF$11:$EL$11,1,CE61)=1,'Lease Cycles'!$C$11*INDEX('Lease Cycles'!$ET$11:$EZ$11,1,CE61)*(1+'Lease Cycles'!$V$11)^INT(INT(CE62/12)/'Lease Cycles'!$W$11)/12,0),0)</f>
        <v>0</v>
      </c>
      <c r="CF65" s="28">
        <f>IF(CF63=1,IF(INDEX('Lease Cycles'!$EF$11:$EL$11,1,CF61)=1,'Lease Cycles'!$C$11*INDEX('Lease Cycles'!$ET$11:$EZ$11,1,CF61)*(1+'Lease Cycles'!$V$11)^INT(INT(CF62/12)/'Lease Cycles'!$W$11)/12,0),0)</f>
        <v>0</v>
      </c>
      <c r="CG65" s="28">
        <f>IF(CG63=1,IF(INDEX('Lease Cycles'!$EF$11:$EL$11,1,CG61)=1,'Lease Cycles'!$C$11*INDEX('Lease Cycles'!$ET$11:$EZ$11,1,CG61)*(1+'Lease Cycles'!$V$11)^INT(INT(CG62/12)/'Lease Cycles'!$W$11)/12,0),0)</f>
        <v>0</v>
      </c>
      <c r="CH65" s="28">
        <f>IF(CH63=1,IF(INDEX('Lease Cycles'!$EF$11:$EL$11,1,CH61)=1,'Lease Cycles'!$C$11*INDEX('Lease Cycles'!$ET$11:$EZ$11,1,CH61)*(1+'Lease Cycles'!$V$11)^INT(INT(CH62/12)/'Lease Cycles'!$W$11)/12,0),0)</f>
        <v>0</v>
      </c>
      <c r="CI65" s="28">
        <f>IF(CI63=1,IF(INDEX('Lease Cycles'!$EF$11:$EL$11,1,CI61)=1,'Lease Cycles'!$C$11*INDEX('Lease Cycles'!$ET$11:$EZ$11,1,CI61)*(1+'Lease Cycles'!$V$11)^INT(INT(CI62/12)/'Lease Cycles'!$W$11)/12,0),0)</f>
        <v>0</v>
      </c>
      <c r="CJ65" s="28">
        <f>IF(CJ63=1,IF(INDEX('Lease Cycles'!$EF$11:$EL$11,1,CJ61)=1,'Lease Cycles'!$C$11*INDEX('Lease Cycles'!$ET$11:$EZ$11,1,CJ61)*(1+'Lease Cycles'!$V$11)^INT(INT(CJ62/12)/'Lease Cycles'!$W$11)/12,0),0)</f>
        <v>0</v>
      </c>
      <c r="CK65" s="28">
        <f>IF(CK63=1,IF(INDEX('Lease Cycles'!$EF$11:$EL$11,1,CK61)=1,'Lease Cycles'!$C$11*INDEX('Lease Cycles'!$ET$11:$EZ$11,1,CK61)*(1+'Lease Cycles'!$V$11)^INT(INT(CK62/12)/'Lease Cycles'!$W$11)/12,0),0)</f>
        <v>0</v>
      </c>
      <c r="CL65" s="28">
        <f>IF(CL63=1,IF(INDEX('Lease Cycles'!$EF$11:$EL$11,1,CL61)=1,'Lease Cycles'!$C$11*INDEX('Lease Cycles'!$ET$11:$EZ$11,1,CL61)*(1+'Lease Cycles'!$V$11)^INT(INT(CL62/12)/'Lease Cycles'!$W$11)/12,0),0)</f>
        <v>0</v>
      </c>
      <c r="CM65" s="28">
        <f>IF(CM63=1,IF(INDEX('Lease Cycles'!$EF$11:$EL$11,1,CM61)=1,'Lease Cycles'!$C$11*INDEX('Lease Cycles'!$ET$11:$EZ$11,1,CM61)*(1+'Lease Cycles'!$V$11)^INT(INT(CM62/12)/'Lease Cycles'!$W$11)/12,0),0)</f>
        <v>0</v>
      </c>
      <c r="CN65" s="28">
        <f>IF(CN63=1,IF(INDEX('Lease Cycles'!$EF$11:$EL$11,1,CN61)=1,'Lease Cycles'!$C$11*INDEX('Lease Cycles'!$ET$11:$EZ$11,1,CN61)*(1+'Lease Cycles'!$V$11)^INT(INT(CN62/12)/'Lease Cycles'!$W$11)/12,0),0)</f>
        <v>0</v>
      </c>
      <c r="CO65" s="28">
        <f>IF(CO63=1,IF(INDEX('Lease Cycles'!$EF$11:$EL$11,1,CO61)=1,'Lease Cycles'!$C$11*INDEX('Lease Cycles'!$ET$11:$EZ$11,1,CO61)*(1+'Lease Cycles'!$V$11)^INT(INT(CO62/12)/'Lease Cycles'!$W$11)/12,0),0)</f>
        <v>0</v>
      </c>
      <c r="CP65" s="28">
        <f>IF(CP63=1,IF(INDEX('Lease Cycles'!$EF$11:$EL$11,1,CP61)=1,'Lease Cycles'!$C$11*INDEX('Lease Cycles'!$ET$11:$EZ$11,1,CP61)*(1+'Lease Cycles'!$V$11)^INT(INT(CP62/12)/'Lease Cycles'!$W$11)/12,0),0)</f>
        <v>0</v>
      </c>
      <c r="CQ65" s="28">
        <f>IF(CQ63=1,IF(INDEX('Lease Cycles'!$EF$11:$EL$11,1,CQ61)=1,'Lease Cycles'!$C$11*INDEX('Lease Cycles'!$ET$11:$EZ$11,1,CQ61)*(1+'Lease Cycles'!$V$11)^INT(INT(CQ62/12)/'Lease Cycles'!$W$11)/12,0),0)</f>
        <v>0</v>
      </c>
      <c r="CR65" s="28">
        <f>IF(CR63=1,IF(INDEX('Lease Cycles'!$EF$11:$EL$11,1,CR61)=1,'Lease Cycles'!$C$11*INDEX('Lease Cycles'!$ET$11:$EZ$11,1,CR61)*(1+'Lease Cycles'!$V$11)^INT(INT(CR62/12)/'Lease Cycles'!$W$11)/12,0),0)</f>
        <v>0</v>
      </c>
      <c r="CS65" s="28">
        <f>IF(CS63=1,IF(INDEX('Lease Cycles'!$EF$11:$EL$11,1,CS61)=1,'Lease Cycles'!$C$11*INDEX('Lease Cycles'!$ET$11:$EZ$11,1,CS61)*(1+'Lease Cycles'!$V$11)^INT(INT(CS62/12)/'Lease Cycles'!$W$11)/12,0),0)</f>
        <v>0</v>
      </c>
      <c r="CT65" s="28">
        <f>IF(CT63=1,IF(INDEX('Lease Cycles'!$EF$11:$EL$11,1,CT61)=1,'Lease Cycles'!$C$11*INDEX('Lease Cycles'!$ET$11:$EZ$11,1,CT61)*(1+'Lease Cycles'!$V$11)^INT(INT(CT62/12)/'Lease Cycles'!$W$11)/12,0),0)</f>
        <v>0</v>
      </c>
      <c r="CU65" s="28">
        <f>IF(CU63=1,IF(INDEX('Lease Cycles'!$EF$11:$EL$11,1,CU61)=1,'Lease Cycles'!$C$11*INDEX('Lease Cycles'!$ET$11:$EZ$11,1,CU61)*(1+'Lease Cycles'!$V$11)^INT(INT(CU62/12)/'Lease Cycles'!$W$11)/12,0),0)</f>
        <v>0</v>
      </c>
      <c r="CV65" s="28">
        <f>IF(CV63=1,IF(INDEX('Lease Cycles'!$EF$11:$EL$11,1,CV61)=1,'Lease Cycles'!$C$11*INDEX('Lease Cycles'!$ET$11:$EZ$11,1,CV61)*(1+'Lease Cycles'!$V$11)^INT(INT(CV62/12)/'Lease Cycles'!$W$11)/12,0),0)</f>
        <v>0</v>
      </c>
      <c r="CW65" s="28">
        <f>IF(CW63=1,IF(INDEX('Lease Cycles'!$EF$11:$EL$11,1,CW61)=1,'Lease Cycles'!$C$11*INDEX('Lease Cycles'!$ET$11:$EZ$11,1,CW61)*(1+'Lease Cycles'!$V$11)^INT(INT(CW62/12)/'Lease Cycles'!$W$11)/12,0),0)</f>
        <v>0</v>
      </c>
      <c r="CX65" s="28">
        <f>IF(CX63=1,IF(INDEX('Lease Cycles'!$EF$11:$EL$11,1,CX61)=1,'Lease Cycles'!$C$11*INDEX('Lease Cycles'!$ET$11:$EZ$11,1,CX61)*(1+'Lease Cycles'!$V$11)^INT(INT(CX62/12)/'Lease Cycles'!$W$11)/12,0),0)</f>
        <v>0</v>
      </c>
      <c r="CY65" s="28">
        <f>IF(CY63=1,IF(INDEX('Lease Cycles'!$EF$11:$EL$11,1,CY61)=1,'Lease Cycles'!$C$11*INDEX('Lease Cycles'!$ET$11:$EZ$11,1,CY61)*(1+'Lease Cycles'!$V$11)^INT(INT(CY62/12)/'Lease Cycles'!$W$11)/12,0),0)</f>
        <v>0</v>
      </c>
      <c r="CZ65" s="28">
        <f>IF(CZ63=1,IF(INDEX('Lease Cycles'!$EF$11:$EL$11,1,CZ61)=1,'Lease Cycles'!$C$11*INDEX('Lease Cycles'!$ET$11:$EZ$11,1,CZ61)*(1+'Lease Cycles'!$V$11)^INT(INT(CZ62/12)/'Lease Cycles'!$W$11)/12,0),0)</f>
        <v>0</v>
      </c>
      <c r="DA65" s="28">
        <f>IF(DA63=1,IF(INDEX('Lease Cycles'!$EF$11:$EL$11,1,DA61)=1,'Lease Cycles'!$C$11*INDEX('Lease Cycles'!$ET$11:$EZ$11,1,DA61)*(1+'Lease Cycles'!$V$11)^INT(INT(DA62/12)/'Lease Cycles'!$W$11)/12,0),0)</f>
        <v>0</v>
      </c>
      <c r="DB65" s="28">
        <f>IF(DB63=1,IF(INDEX('Lease Cycles'!$EF$11:$EL$11,1,DB61)=1,'Lease Cycles'!$C$11*INDEX('Lease Cycles'!$ET$11:$EZ$11,1,DB61)*(1+'Lease Cycles'!$V$11)^INT(INT(DB62/12)/'Lease Cycles'!$W$11)/12,0),0)</f>
        <v>0</v>
      </c>
      <c r="DC65" s="28">
        <f>IF(DC63=1,IF(INDEX('Lease Cycles'!$EF$11:$EL$11,1,DC61)=1,'Lease Cycles'!$C$11*INDEX('Lease Cycles'!$ET$11:$EZ$11,1,DC61)*(1+'Lease Cycles'!$V$11)^INT(INT(DC62/12)/'Lease Cycles'!$W$11)/12,0),0)</f>
        <v>0</v>
      </c>
      <c r="DD65" s="28">
        <f>IF(DD63=1,IF(INDEX('Lease Cycles'!$EF$11:$EL$11,1,DD61)=1,'Lease Cycles'!$C$11*INDEX('Lease Cycles'!$ET$11:$EZ$11,1,DD61)*(1+'Lease Cycles'!$V$11)^INT(INT(DD62/12)/'Lease Cycles'!$W$11)/12,0),0)</f>
        <v>0</v>
      </c>
      <c r="DE65" s="28">
        <f>IF(DE63=1,IF(INDEX('Lease Cycles'!$EF$11:$EL$11,1,DE61)=1,'Lease Cycles'!$C$11*INDEX('Lease Cycles'!$ET$11:$EZ$11,1,DE61)*(1+'Lease Cycles'!$V$11)^INT(INT(DE62/12)/'Lease Cycles'!$W$11)/12,0),0)</f>
        <v>0</v>
      </c>
      <c r="DF65" s="28">
        <f>IF(DF63=1,IF(INDEX('Lease Cycles'!$EF$11:$EL$11,1,DF61)=1,'Lease Cycles'!$C$11*INDEX('Lease Cycles'!$ET$11:$EZ$11,1,DF61)*(1+'Lease Cycles'!$V$11)^INT(INT(DF62/12)/'Lease Cycles'!$W$11)/12,0),0)</f>
        <v>0</v>
      </c>
      <c r="DG65" s="28">
        <f>IF(DG63=1,IF(INDEX('Lease Cycles'!$EF$11:$EL$11,1,DG61)=1,'Lease Cycles'!$C$11*INDEX('Lease Cycles'!$ET$11:$EZ$11,1,DG61)*(1+'Lease Cycles'!$V$11)^INT(INT(DG62/12)/'Lease Cycles'!$W$11)/12,0),0)</f>
        <v>0</v>
      </c>
      <c r="DH65" s="28">
        <f>IF(DH63=1,IF(INDEX('Lease Cycles'!$EF$11:$EL$11,1,DH61)=1,'Lease Cycles'!$C$11*INDEX('Lease Cycles'!$ET$11:$EZ$11,1,DH61)*(1+'Lease Cycles'!$V$11)^INT(INT(DH62/12)/'Lease Cycles'!$W$11)/12,0),0)</f>
        <v>0</v>
      </c>
      <c r="DI65" s="28">
        <f>IF(DI63=1,IF(INDEX('Lease Cycles'!$EF$11:$EL$11,1,DI61)=1,'Lease Cycles'!$C$11*INDEX('Lease Cycles'!$ET$11:$EZ$11,1,DI61)*(1+'Lease Cycles'!$V$11)^INT(INT(DI62/12)/'Lease Cycles'!$W$11)/12,0),0)</f>
        <v>0</v>
      </c>
      <c r="DJ65" s="28">
        <f>IF(DJ63=1,IF(INDEX('Lease Cycles'!$EF$11:$EL$11,1,DJ61)=1,'Lease Cycles'!$C$11*INDEX('Lease Cycles'!$ET$11:$EZ$11,1,DJ61)*(1+'Lease Cycles'!$V$11)^INT(INT(DJ62/12)/'Lease Cycles'!$W$11)/12,0),0)</f>
        <v>0</v>
      </c>
      <c r="DK65" s="28">
        <f>IF(DK63=1,IF(INDEX('Lease Cycles'!$EF$11:$EL$11,1,DK61)=1,'Lease Cycles'!$C$11*INDEX('Lease Cycles'!$ET$11:$EZ$11,1,DK61)*(1+'Lease Cycles'!$V$11)^INT(INT(DK62/12)/'Lease Cycles'!$W$11)/12,0),0)</f>
        <v>0</v>
      </c>
      <c r="DL65" s="28">
        <f>IF(DL63=1,IF(INDEX('Lease Cycles'!$EF$11:$EL$11,1,DL61)=1,'Lease Cycles'!$C$11*INDEX('Lease Cycles'!$ET$11:$EZ$11,1,DL61)*(1+'Lease Cycles'!$V$11)^INT(INT(DL62/12)/'Lease Cycles'!$W$11)/12,0),0)</f>
        <v>0</v>
      </c>
      <c r="DM65" s="28">
        <f>IF(DM63=1,IF(INDEX('Lease Cycles'!$EF$11:$EL$11,1,DM61)=1,'Lease Cycles'!$C$11*INDEX('Lease Cycles'!$ET$11:$EZ$11,1,DM61)*(1+'Lease Cycles'!$V$11)^INT(INT(DM62/12)/'Lease Cycles'!$W$11)/12,0),0)</f>
        <v>0</v>
      </c>
      <c r="DN65" s="28">
        <f>IF(DN63=1,IF(INDEX('Lease Cycles'!$EF$11:$EL$11,1,DN61)=1,'Lease Cycles'!$C$11*INDEX('Lease Cycles'!$ET$11:$EZ$11,1,DN61)*(1+'Lease Cycles'!$V$11)^INT(INT(DN62/12)/'Lease Cycles'!$W$11)/12,0),0)</f>
        <v>0</v>
      </c>
      <c r="DO65" s="28">
        <f>IF(DO63=1,IF(INDEX('Lease Cycles'!$EF$11:$EL$11,1,DO61)=1,'Lease Cycles'!$C$11*INDEX('Lease Cycles'!$ET$11:$EZ$11,1,DO61)*(1+'Lease Cycles'!$V$11)^INT(INT(DO62/12)/'Lease Cycles'!$W$11)/12,0),0)</f>
        <v>0</v>
      </c>
      <c r="DP65" s="28">
        <f>IF(DP63=1,IF(INDEX('Lease Cycles'!$EF$11:$EL$11,1,DP61)=1,'Lease Cycles'!$C$11*INDEX('Lease Cycles'!$ET$11:$EZ$11,1,DP61)*(1+'Lease Cycles'!$V$11)^INT(INT(DP62/12)/'Lease Cycles'!$W$11)/12,0),0)</f>
        <v>0</v>
      </c>
      <c r="DQ65" s="28">
        <f>IF(DQ63=1,IF(INDEX('Lease Cycles'!$EF$11:$EL$11,1,DQ61)=1,'Lease Cycles'!$C$11*INDEX('Lease Cycles'!$ET$11:$EZ$11,1,DQ61)*(1+'Lease Cycles'!$V$11)^INT(INT(DQ62/12)/'Lease Cycles'!$W$11)/12,0),0)</f>
        <v>0</v>
      </c>
      <c r="DR65" s="28">
        <f>IF(DR63=1,IF(INDEX('Lease Cycles'!$EF$11:$EL$11,1,DR61)=1,'Lease Cycles'!$C$11*INDEX('Lease Cycles'!$ET$11:$EZ$11,1,DR61)*(1+'Lease Cycles'!$V$11)^INT(INT(DR62/12)/'Lease Cycles'!$W$11)/12,0),0)</f>
        <v>0</v>
      </c>
      <c r="DS65" s="28">
        <f>IF(DS63=1,IF(INDEX('Lease Cycles'!$EF$11:$EL$11,1,DS61)=1,'Lease Cycles'!$C$11*INDEX('Lease Cycles'!$ET$11:$EZ$11,1,DS61)*(1+'Lease Cycles'!$V$11)^INT(INT(DS62/12)/'Lease Cycles'!$W$11)/12,0),0)</f>
        <v>0</v>
      </c>
      <c r="DT65" s="28">
        <f>IF(DT63=1,IF(INDEX('Lease Cycles'!$EF$11:$EL$11,1,DT61)=1,'Lease Cycles'!$C$11*INDEX('Lease Cycles'!$ET$11:$EZ$11,1,DT61)*(1+'Lease Cycles'!$V$11)^INT(INT(DT62/12)/'Lease Cycles'!$W$11)/12,0),0)</f>
        <v>0</v>
      </c>
      <c r="DU65" s="28">
        <f>IF(DU63=1,IF(INDEX('Lease Cycles'!$EF$11:$EL$11,1,DU61)=1,'Lease Cycles'!$C$11*INDEX('Lease Cycles'!$ET$11:$EZ$11,1,DU61)*(1+'Lease Cycles'!$V$11)^INT(INT(DU62/12)/'Lease Cycles'!$W$11)/12,0),0)</f>
        <v>0</v>
      </c>
      <c r="DV65" s="28">
        <f>IF(DV63=1,IF(INDEX('Lease Cycles'!$EF$11:$EL$11,1,DV61)=1,'Lease Cycles'!$C$11*INDEX('Lease Cycles'!$ET$11:$EZ$11,1,DV61)*(1+'Lease Cycles'!$V$11)^INT(INT(DV62/12)/'Lease Cycles'!$W$11)/12,0),0)</f>
        <v>0</v>
      </c>
      <c r="DW65" s="28">
        <f>IF(DW63=1,IF(INDEX('Lease Cycles'!$EF$11:$EL$11,1,DW61)=1,'Lease Cycles'!$C$11*INDEX('Lease Cycles'!$ET$11:$EZ$11,1,DW61)*(1+'Lease Cycles'!$V$11)^INT(INT(DW62/12)/'Lease Cycles'!$W$11)/12,0),0)</f>
        <v>0</v>
      </c>
      <c r="DX65" s="28">
        <f>IF(DX63=1,IF(INDEX('Lease Cycles'!$EF$11:$EL$11,1,DX61)=1,'Lease Cycles'!$C$11*INDEX('Lease Cycles'!$ET$11:$EZ$11,1,DX61)*(1+'Lease Cycles'!$V$11)^INT(INT(DX62/12)/'Lease Cycles'!$W$11)/12,0),0)</f>
        <v>0</v>
      </c>
      <c r="DY65" s="28">
        <f>IF(DY63=1,IF(INDEX('Lease Cycles'!$EF$11:$EL$11,1,DY61)=1,'Lease Cycles'!$C$11*INDEX('Lease Cycles'!$ET$11:$EZ$11,1,DY61)*(1+'Lease Cycles'!$V$11)^INT(INT(DY62/12)/'Lease Cycles'!$W$11)/12,0),0)</f>
        <v>0</v>
      </c>
      <c r="DZ65" s="28">
        <f>IF(DZ63=1,IF(INDEX('Lease Cycles'!$EF$11:$EL$11,1,DZ61)=1,'Lease Cycles'!$C$11*INDEX('Lease Cycles'!$ET$11:$EZ$11,1,DZ61)*(1+'Lease Cycles'!$V$11)^INT(INT(DZ62/12)/'Lease Cycles'!$W$11)/12,0),0)</f>
        <v>0</v>
      </c>
      <c r="EA65" s="28">
        <f>IF(EA63=1,IF(INDEX('Lease Cycles'!$EF$11:$EL$11,1,EA61)=1,'Lease Cycles'!$C$11*INDEX('Lease Cycles'!$ET$11:$EZ$11,1,EA61)*(1+'Lease Cycles'!$V$11)^INT(INT(EA62/12)/'Lease Cycles'!$W$11)/12,0),0)</f>
        <v>0</v>
      </c>
      <c r="EB65" s="28">
        <f>IF(EB63=1,IF(INDEX('Lease Cycles'!$EF$11:$EL$11,1,EB61)=1,'Lease Cycles'!$C$11*INDEX('Lease Cycles'!$ET$11:$EZ$11,1,EB61)*(1+'Lease Cycles'!$V$11)^INT(INT(EB62/12)/'Lease Cycles'!$W$11)/12,0),0)</f>
        <v>0</v>
      </c>
      <c r="EC65" s="28">
        <f>IF(EC63=1,IF(INDEX('Lease Cycles'!$EF$11:$EL$11,1,EC61)=1,'Lease Cycles'!$C$11*INDEX('Lease Cycles'!$ET$11:$EZ$11,1,EC61)*(1+'Lease Cycles'!$V$11)^INT(INT(EC62/12)/'Lease Cycles'!$W$11)/12,0),0)</f>
        <v>0</v>
      </c>
      <c r="ED65" s="28">
        <f>IF(ED63=1,IF(INDEX('Lease Cycles'!$EF$11:$EL$11,1,ED61)=1,'Lease Cycles'!$C$11*INDEX('Lease Cycles'!$ET$11:$EZ$11,1,ED61)*(1+'Lease Cycles'!$V$11)^INT(INT(ED62/12)/'Lease Cycles'!$W$11)/12,0),0)</f>
        <v>0</v>
      </c>
      <c r="EE65" s="28">
        <f>IF(EE63=1,IF(INDEX('Lease Cycles'!$EF$11:$EL$11,1,EE61)=1,'Lease Cycles'!$C$11*INDEX('Lease Cycles'!$ET$11:$EZ$11,1,EE61)*(1+'Lease Cycles'!$V$11)^INT(INT(EE62/12)/'Lease Cycles'!$W$11)/12,0),0)</f>
        <v>0</v>
      </c>
      <c r="EF65" s="28">
        <f>IF(EF63=1,IF(INDEX('Lease Cycles'!$EF$11:$EL$11,1,EF61)=1,'Lease Cycles'!$C$11*INDEX('Lease Cycles'!$ET$11:$EZ$11,1,EF61)*(1+'Lease Cycles'!$V$11)^INT(INT(EF62/12)/'Lease Cycles'!$W$11)/12,0),0)</f>
        <v>0</v>
      </c>
      <c r="EG65" s="28">
        <f>IF(EG63=1,IF(INDEX('Lease Cycles'!$EF$11:$EL$11,1,EG61)=1,'Lease Cycles'!$C$11*INDEX('Lease Cycles'!$ET$11:$EZ$11,1,EG61)*(1+'Lease Cycles'!$V$11)^INT(INT(EG62/12)/'Lease Cycles'!$W$11)/12,0),0)</f>
        <v>0</v>
      </c>
      <c r="EH65" s="28">
        <f>IF(EH63=1,IF(INDEX('Lease Cycles'!$EF$11:$EL$11,1,EH61)=1,'Lease Cycles'!$C$11*INDEX('Lease Cycles'!$ET$11:$EZ$11,1,EH61)*(1+'Lease Cycles'!$V$11)^INT(INT(EH62/12)/'Lease Cycles'!$W$11)/12,0),0)</f>
        <v>0</v>
      </c>
      <c r="EI65" s="28">
        <f>IF(EI63=1,IF(INDEX('Lease Cycles'!$EF$11:$EL$11,1,EI61)=1,'Lease Cycles'!$C$11*INDEX('Lease Cycles'!$ET$11:$EZ$11,1,EI61)*(1+'Lease Cycles'!$V$11)^INT(INT(EI62/12)/'Lease Cycles'!$W$11)/12,0),0)</f>
        <v>0</v>
      </c>
      <c r="EJ65" s="28">
        <f>IF(EJ63=1,IF(INDEX('Lease Cycles'!$EF$11:$EL$11,1,EJ61)=1,'Lease Cycles'!$C$11*INDEX('Lease Cycles'!$ET$11:$EZ$11,1,EJ61)*(1+'Lease Cycles'!$V$11)^INT(INT(EJ62/12)/'Lease Cycles'!$W$11)/12,0),0)</f>
        <v>0</v>
      </c>
      <c r="EK65" s="28">
        <f>IF(EK63=1,IF(INDEX('Lease Cycles'!$EF$11:$EL$11,1,EK61)=1,'Lease Cycles'!$C$11*INDEX('Lease Cycles'!$ET$11:$EZ$11,1,EK61)*(1+'Lease Cycles'!$V$11)^INT(INT(EK62/12)/'Lease Cycles'!$W$11)/12,0),0)</f>
        <v>0</v>
      </c>
      <c r="EL65" s="28">
        <f>IF(EL63=1,IF(INDEX('Lease Cycles'!$EF$11:$EL$11,1,EL61)=1,'Lease Cycles'!$C$11*INDEX('Lease Cycles'!$ET$11:$EZ$11,1,EL61)*(1+'Lease Cycles'!$V$11)^INT(INT(EL62/12)/'Lease Cycles'!$W$11)/12,0),0)</f>
        <v>0</v>
      </c>
      <c r="EM65" s="28">
        <f>IF(EM63=1,IF(INDEX('Lease Cycles'!$EF$11:$EL$11,1,EM61)=1,'Lease Cycles'!$C$11*INDEX('Lease Cycles'!$ET$11:$EZ$11,1,EM61)*(1+'Lease Cycles'!$V$11)^INT(INT(EM62/12)/'Lease Cycles'!$W$11)/12,0),0)</f>
        <v>0</v>
      </c>
      <c r="EN65" s="28">
        <f>IF(EN63=1,IF(INDEX('Lease Cycles'!$EF$11:$EL$11,1,EN61)=1,'Lease Cycles'!$C$11*INDEX('Lease Cycles'!$ET$11:$EZ$11,1,EN61)*(1+'Lease Cycles'!$V$11)^INT(INT(EN62/12)/'Lease Cycles'!$W$11)/12,0),0)</f>
        <v>0</v>
      </c>
      <c r="EO65" s="28">
        <f>IF(EO63=1,IF(INDEX('Lease Cycles'!$EF$11:$EL$11,1,EO61)=1,'Lease Cycles'!$C$11*INDEX('Lease Cycles'!$ET$11:$EZ$11,1,EO61)*(1+'Lease Cycles'!$V$11)^INT(INT(EO62/12)/'Lease Cycles'!$W$11)/12,0),0)</f>
        <v>0</v>
      </c>
      <c r="EP65" s="28">
        <f>IF(EP63=1,IF(INDEX('Lease Cycles'!$EF$11:$EL$11,1,EP61)=1,'Lease Cycles'!$C$11*INDEX('Lease Cycles'!$ET$11:$EZ$11,1,EP61)*(1+'Lease Cycles'!$V$11)^INT(INT(EP62/12)/'Lease Cycles'!$W$11)/12,0),0)</f>
        <v>0</v>
      </c>
      <c r="EQ65" s="28">
        <f>IF(EQ63=1,IF(INDEX('Lease Cycles'!$EF$11:$EL$11,1,EQ61)=1,'Lease Cycles'!$C$11*INDEX('Lease Cycles'!$ET$11:$EZ$11,1,EQ61)*(1+'Lease Cycles'!$V$11)^INT(INT(EQ62/12)/'Lease Cycles'!$W$11)/12,0),0)</f>
        <v>0</v>
      </c>
      <c r="ER65" s="28">
        <f>IF(ER63=1,IF(INDEX('Lease Cycles'!$EF$11:$EL$11,1,ER61)=1,'Lease Cycles'!$C$11*INDEX('Lease Cycles'!$ET$11:$EZ$11,1,ER61)*(1+'Lease Cycles'!$V$11)^INT(INT(ER62/12)/'Lease Cycles'!$W$11)/12,0),0)</f>
        <v>0</v>
      </c>
      <c r="ES65" s="28">
        <f>IF(ES63=1,IF(INDEX('Lease Cycles'!$EF$11:$EL$11,1,ES61)=1,'Lease Cycles'!$C$11*INDEX('Lease Cycles'!$ET$11:$EZ$11,1,ES61)*(1+'Lease Cycles'!$V$11)^INT(INT(ES62/12)/'Lease Cycles'!$W$11)/12,0),0)</f>
        <v>0</v>
      </c>
      <c r="ET65" s="28">
        <f>IF(ET63=1,IF(INDEX('Lease Cycles'!$EF$11:$EL$11,1,ET61)=1,'Lease Cycles'!$C$11*INDEX('Lease Cycles'!$ET$11:$EZ$11,1,ET61)*(1+'Lease Cycles'!$V$11)^INT(INT(ET62/12)/'Lease Cycles'!$W$11)/12,0),0)</f>
        <v>0</v>
      </c>
    </row>
    <row r="66">
      <c r="A66" s="103">
        <v>4</v>
      </c>
      <c r="B66" s="23" t="str">
        <f>IF('Lease Cycles'!$B$11="","(empty slot)",'Lease Cycles'!$B$11)</f>
        <v>Sunfield Dental</v>
      </c>
      <c r="C66" s="23" t="s">
        <v>681</v>
      </c>
      <c r="D66" s="104" t="s">
        <v>490</v>
      </c>
      <c r="E66" s="25">
        <f>'Lease Cycles'!$AL$11</f>
        <v>0</v>
      </c>
      <c r="G66" s="28">
        <f>SUM(S66:AD66)</f>
        <v>67500</v>
      </c>
      <c r="H66" s="28">
        <f>SUM(AE66:AP66)</f>
        <v>67500</v>
      </c>
      <c r="I66" s="28">
        <f>SUM(AQ66:BB66)</f>
        <v>67500</v>
      </c>
      <c r="J66" s="28">
        <f>SUM(BC66:BN66)</f>
        <v>67500</v>
      </c>
      <c r="K66" s="28">
        <f>SUM(BO66:BZ66)</f>
        <v>67500</v>
      </c>
      <c r="L66" s="28">
        <f>SUM(CA66:CL66)</f>
        <v>58313.69812266533</v>
      </c>
      <c r="M66" s="28">
        <f>SUM(CM66:CX66)</f>
        <v>55229.42012937084</v>
      </c>
      <c r="N66" s="28">
        <f>SUM(CY66:DJ66)</f>
        <v>56886.30273325196</v>
      </c>
      <c r="O66" s="28">
        <f>SUM(DK66:DV66)</f>
        <v>58592.89181524953</v>
      </c>
      <c r="P66" s="28">
        <f>SUM(DW66:EH66)</f>
        <v>60350.67856970702</v>
      </c>
      <c r="Q66" s="28">
        <f>SUM(EI66:ET66)</f>
        <v>62161.19892679823</v>
      </c>
      <c r="S66" s="28">
        <f>IF(S63=1,IF(INDEX('Lease Cycles'!$EF$11:$EL$11,1,S61)=1,S64*INDEX('Lease Cycles'!$EM$11:$ES$11,1,S61)+S65*(1-INDEX('Lease Cycles'!$EM$11:$ES$11,1,S61)),S64),S64)</f>
        <v>5625</v>
      </c>
      <c r="T66" s="28">
        <f>IF(T63=1,IF(INDEX('Lease Cycles'!$EF$11:$EL$11,1,T61)=1,T64*INDEX('Lease Cycles'!$EM$11:$ES$11,1,T61)+T65*(1-INDEX('Lease Cycles'!$EM$11:$ES$11,1,T61)),T64),T64)</f>
        <v>5625</v>
      </c>
      <c r="U66" s="28">
        <f>IF(U63=1,IF(INDEX('Lease Cycles'!$EF$11:$EL$11,1,U61)=1,U64*INDEX('Lease Cycles'!$EM$11:$ES$11,1,U61)+U65*(1-INDEX('Lease Cycles'!$EM$11:$ES$11,1,U61)),U64),U64)</f>
        <v>5625</v>
      </c>
      <c r="V66" s="28">
        <f>IF(V63=1,IF(INDEX('Lease Cycles'!$EF$11:$EL$11,1,V61)=1,V64*INDEX('Lease Cycles'!$EM$11:$ES$11,1,V61)+V65*(1-INDEX('Lease Cycles'!$EM$11:$ES$11,1,V61)),V64),V64)</f>
        <v>5625</v>
      </c>
      <c r="W66" s="28">
        <f>IF(W63=1,IF(INDEX('Lease Cycles'!$EF$11:$EL$11,1,W61)=1,W64*INDEX('Lease Cycles'!$EM$11:$ES$11,1,W61)+W65*(1-INDEX('Lease Cycles'!$EM$11:$ES$11,1,W61)),W64),W64)</f>
        <v>5625</v>
      </c>
      <c r="X66" s="28">
        <f>IF(X63=1,IF(INDEX('Lease Cycles'!$EF$11:$EL$11,1,X61)=1,X64*INDEX('Lease Cycles'!$EM$11:$ES$11,1,X61)+X65*(1-INDEX('Lease Cycles'!$EM$11:$ES$11,1,X61)),X64),X64)</f>
        <v>5625</v>
      </c>
      <c r="Y66" s="28">
        <f>IF(Y63=1,IF(INDEX('Lease Cycles'!$EF$11:$EL$11,1,Y61)=1,Y64*INDEX('Lease Cycles'!$EM$11:$ES$11,1,Y61)+Y65*(1-INDEX('Lease Cycles'!$EM$11:$ES$11,1,Y61)),Y64),Y64)</f>
        <v>5625</v>
      </c>
      <c r="Z66" s="28">
        <f>IF(Z63=1,IF(INDEX('Lease Cycles'!$EF$11:$EL$11,1,Z61)=1,Z64*INDEX('Lease Cycles'!$EM$11:$ES$11,1,Z61)+Z65*(1-INDEX('Lease Cycles'!$EM$11:$ES$11,1,Z61)),Z64),Z64)</f>
        <v>5625</v>
      </c>
      <c r="AA66" s="28">
        <f>IF(AA63=1,IF(INDEX('Lease Cycles'!$EF$11:$EL$11,1,AA61)=1,AA64*INDEX('Lease Cycles'!$EM$11:$ES$11,1,AA61)+AA65*(1-INDEX('Lease Cycles'!$EM$11:$ES$11,1,AA61)),AA64),AA64)</f>
        <v>5625</v>
      </c>
      <c r="AB66" s="28">
        <f>IF(AB63=1,IF(INDEX('Lease Cycles'!$EF$11:$EL$11,1,AB61)=1,AB64*INDEX('Lease Cycles'!$EM$11:$ES$11,1,AB61)+AB65*(1-INDEX('Lease Cycles'!$EM$11:$ES$11,1,AB61)),AB64),AB64)</f>
        <v>5625</v>
      </c>
      <c r="AC66" s="28">
        <f>IF(AC63=1,IF(INDEX('Lease Cycles'!$EF$11:$EL$11,1,AC61)=1,AC64*INDEX('Lease Cycles'!$EM$11:$ES$11,1,AC61)+AC65*(1-INDEX('Lease Cycles'!$EM$11:$ES$11,1,AC61)),AC64),AC64)</f>
        <v>5625</v>
      </c>
      <c r="AD66" s="28">
        <f>IF(AD63=1,IF(INDEX('Lease Cycles'!$EF$11:$EL$11,1,AD61)=1,AD64*INDEX('Lease Cycles'!$EM$11:$ES$11,1,AD61)+AD65*(1-INDEX('Lease Cycles'!$EM$11:$ES$11,1,AD61)),AD64),AD64)</f>
        <v>5625</v>
      </c>
      <c r="AE66" s="28">
        <f>IF(AE63=1,IF(INDEX('Lease Cycles'!$EF$11:$EL$11,1,AE61)=1,AE64*INDEX('Lease Cycles'!$EM$11:$ES$11,1,AE61)+AE65*(1-INDEX('Lease Cycles'!$EM$11:$ES$11,1,AE61)),AE64),AE64)</f>
        <v>5625</v>
      </c>
      <c r="AF66" s="28">
        <f>IF(AF63=1,IF(INDEX('Lease Cycles'!$EF$11:$EL$11,1,AF61)=1,AF64*INDEX('Lease Cycles'!$EM$11:$ES$11,1,AF61)+AF65*(1-INDEX('Lease Cycles'!$EM$11:$ES$11,1,AF61)),AF64),AF64)</f>
        <v>5625</v>
      </c>
      <c r="AG66" s="28">
        <f>IF(AG63=1,IF(INDEX('Lease Cycles'!$EF$11:$EL$11,1,AG61)=1,AG64*INDEX('Lease Cycles'!$EM$11:$ES$11,1,AG61)+AG65*(1-INDEX('Lease Cycles'!$EM$11:$ES$11,1,AG61)),AG64),AG64)</f>
        <v>5625</v>
      </c>
      <c r="AH66" s="28">
        <f>IF(AH63=1,IF(INDEX('Lease Cycles'!$EF$11:$EL$11,1,AH61)=1,AH64*INDEX('Lease Cycles'!$EM$11:$ES$11,1,AH61)+AH65*(1-INDEX('Lease Cycles'!$EM$11:$ES$11,1,AH61)),AH64),AH64)</f>
        <v>5625</v>
      </c>
      <c r="AI66" s="28">
        <f>IF(AI63=1,IF(INDEX('Lease Cycles'!$EF$11:$EL$11,1,AI61)=1,AI64*INDEX('Lease Cycles'!$EM$11:$ES$11,1,AI61)+AI65*(1-INDEX('Lease Cycles'!$EM$11:$ES$11,1,AI61)),AI64),AI64)</f>
        <v>5625</v>
      </c>
      <c r="AJ66" s="28">
        <f>IF(AJ63=1,IF(INDEX('Lease Cycles'!$EF$11:$EL$11,1,AJ61)=1,AJ64*INDEX('Lease Cycles'!$EM$11:$ES$11,1,AJ61)+AJ65*(1-INDEX('Lease Cycles'!$EM$11:$ES$11,1,AJ61)),AJ64),AJ64)</f>
        <v>5625</v>
      </c>
      <c r="AK66" s="28">
        <f>IF(AK63=1,IF(INDEX('Lease Cycles'!$EF$11:$EL$11,1,AK61)=1,AK64*INDEX('Lease Cycles'!$EM$11:$ES$11,1,AK61)+AK65*(1-INDEX('Lease Cycles'!$EM$11:$ES$11,1,AK61)),AK64),AK64)</f>
        <v>5625</v>
      </c>
      <c r="AL66" s="28">
        <f>IF(AL63=1,IF(INDEX('Lease Cycles'!$EF$11:$EL$11,1,AL61)=1,AL64*INDEX('Lease Cycles'!$EM$11:$ES$11,1,AL61)+AL65*(1-INDEX('Lease Cycles'!$EM$11:$ES$11,1,AL61)),AL64),AL64)</f>
        <v>5625</v>
      </c>
      <c r="AM66" s="28">
        <f>IF(AM63=1,IF(INDEX('Lease Cycles'!$EF$11:$EL$11,1,AM61)=1,AM64*INDEX('Lease Cycles'!$EM$11:$ES$11,1,AM61)+AM65*(1-INDEX('Lease Cycles'!$EM$11:$ES$11,1,AM61)),AM64),AM64)</f>
        <v>5625</v>
      </c>
      <c r="AN66" s="28">
        <f>IF(AN63=1,IF(INDEX('Lease Cycles'!$EF$11:$EL$11,1,AN61)=1,AN64*INDEX('Lease Cycles'!$EM$11:$ES$11,1,AN61)+AN65*(1-INDEX('Lease Cycles'!$EM$11:$ES$11,1,AN61)),AN64),AN64)</f>
        <v>5625</v>
      </c>
      <c r="AO66" s="28">
        <f>IF(AO63=1,IF(INDEX('Lease Cycles'!$EF$11:$EL$11,1,AO61)=1,AO64*INDEX('Lease Cycles'!$EM$11:$ES$11,1,AO61)+AO65*(1-INDEX('Lease Cycles'!$EM$11:$ES$11,1,AO61)),AO64),AO64)</f>
        <v>5625</v>
      </c>
      <c r="AP66" s="28">
        <f>IF(AP63=1,IF(INDEX('Lease Cycles'!$EF$11:$EL$11,1,AP61)=1,AP64*INDEX('Lease Cycles'!$EM$11:$ES$11,1,AP61)+AP65*(1-INDEX('Lease Cycles'!$EM$11:$ES$11,1,AP61)),AP64),AP64)</f>
        <v>5625</v>
      </c>
      <c r="AQ66" s="28">
        <f>IF(AQ63=1,IF(INDEX('Lease Cycles'!$EF$11:$EL$11,1,AQ61)=1,AQ64*INDEX('Lease Cycles'!$EM$11:$ES$11,1,AQ61)+AQ65*(1-INDEX('Lease Cycles'!$EM$11:$ES$11,1,AQ61)),AQ64),AQ64)</f>
        <v>5625</v>
      </c>
      <c r="AR66" s="28">
        <f>IF(AR63=1,IF(INDEX('Lease Cycles'!$EF$11:$EL$11,1,AR61)=1,AR64*INDEX('Lease Cycles'!$EM$11:$ES$11,1,AR61)+AR65*(1-INDEX('Lease Cycles'!$EM$11:$ES$11,1,AR61)),AR64),AR64)</f>
        <v>5625</v>
      </c>
      <c r="AS66" s="28">
        <f>IF(AS63=1,IF(INDEX('Lease Cycles'!$EF$11:$EL$11,1,AS61)=1,AS64*INDEX('Lease Cycles'!$EM$11:$ES$11,1,AS61)+AS65*(1-INDEX('Lease Cycles'!$EM$11:$ES$11,1,AS61)),AS64),AS64)</f>
        <v>5625</v>
      </c>
      <c r="AT66" s="28">
        <f>IF(AT63=1,IF(INDEX('Lease Cycles'!$EF$11:$EL$11,1,AT61)=1,AT64*INDEX('Lease Cycles'!$EM$11:$ES$11,1,AT61)+AT65*(1-INDEX('Lease Cycles'!$EM$11:$ES$11,1,AT61)),AT64),AT64)</f>
        <v>5625</v>
      </c>
      <c r="AU66" s="28">
        <f>IF(AU63=1,IF(INDEX('Lease Cycles'!$EF$11:$EL$11,1,AU61)=1,AU64*INDEX('Lease Cycles'!$EM$11:$ES$11,1,AU61)+AU65*(1-INDEX('Lease Cycles'!$EM$11:$ES$11,1,AU61)),AU64),AU64)</f>
        <v>5625</v>
      </c>
      <c r="AV66" s="28">
        <f>IF(AV63=1,IF(INDEX('Lease Cycles'!$EF$11:$EL$11,1,AV61)=1,AV64*INDEX('Lease Cycles'!$EM$11:$ES$11,1,AV61)+AV65*(1-INDEX('Lease Cycles'!$EM$11:$ES$11,1,AV61)),AV64),AV64)</f>
        <v>5625</v>
      </c>
      <c r="AW66" s="28">
        <f>IF(AW63=1,IF(INDEX('Lease Cycles'!$EF$11:$EL$11,1,AW61)=1,AW64*INDEX('Lease Cycles'!$EM$11:$ES$11,1,AW61)+AW65*(1-INDEX('Lease Cycles'!$EM$11:$ES$11,1,AW61)),AW64),AW64)</f>
        <v>5625</v>
      </c>
      <c r="AX66" s="28">
        <f>IF(AX63=1,IF(INDEX('Lease Cycles'!$EF$11:$EL$11,1,AX61)=1,AX64*INDEX('Lease Cycles'!$EM$11:$ES$11,1,AX61)+AX65*(1-INDEX('Lease Cycles'!$EM$11:$ES$11,1,AX61)),AX64),AX64)</f>
        <v>5625</v>
      </c>
      <c r="AY66" s="28">
        <f>IF(AY63=1,IF(INDEX('Lease Cycles'!$EF$11:$EL$11,1,AY61)=1,AY64*INDEX('Lease Cycles'!$EM$11:$ES$11,1,AY61)+AY65*(1-INDEX('Lease Cycles'!$EM$11:$ES$11,1,AY61)),AY64),AY64)</f>
        <v>5625</v>
      </c>
      <c r="AZ66" s="28">
        <f>IF(AZ63=1,IF(INDEX('Lease Cycles'!$EF$11:$EL$11,1,AZ61)=1,AZ64*INDEX('Lease Cycles'!$EM$11:$ES$11,1,AZ61)+AZ65*(1-INDEX('Lease Cycles'!$EM$11:$ES$11,1,AZ61)),AZ64),AZ64)</f>
        <v>5625</v>
      </c>
      <c r="BA66" s="28">
        <f>IF(BA63=1,IF(INDEX('Lease Cycles'!$EF$11:$EL$11,1,BA61)=1,BA64*INDEX('Lease Cycles'!$EM$11:$ES$11,1,BA61)+BA65*(1-INDEX('Lease Cycles'!$EM$11:$ES$11,1,BA61)),BA64),BA64)</f>
        <v>5625</v>
      </c>
      <c r="BB66" s="28">
        <f>IF(BB63=1,IF(INDEX('Lease Cycles'!$EF$11:$EL$11,1,BB61)=1,BB64*INDEX('Lease Cycles'!$EM$11:$ES$11,1,BB61)+BB65*(1-INDEX('Lease Cycles'!$EM$11:$ES$11,1,BB61)),BB64),BB64)</f>
        <v>5625</v>
      </c>
      <c r="BC66" s="28">
        <f>IF(BC63=1,IF(INDEX('Lease Cycles'!$EF$11:$EL$11,1,BC61)=1,BC64*INDEX('Lease Cycles'!$EM$11:$ES$11,1,BC61)+BC65*(1-INDEX('Lease Cycles'!$EM$11:$ES$11,1,BC61)),BC64),BC64)</f>
        <v>5625</v>
      </c>
      <c r="BD66" s="28">
        <f>IF(BD63=1,IF(INDEX('Lease Cycles'!$EF$11:$EL$11,1,BD61)=1,BD64*INDEX('Lease Cycles'!$EM$11:$ES$11,1,BD61)+BD65*(1-INDEX('Lease Cycles'!$EM$11:$ES$11,1,BD61)),BD64),BD64)</f>
        <v>5625</v>
      </c>
      <c r="BE66" s="28">
        <f>IF(BE63=1,IF(INDEX('Lease Cycles'!$EF$11:$EL$11,1,BE61)=1,BE64*INDEX('Lease Cycles'!$EM$11:$ES$11,1,BE61)+BE65*(1-INDEX('Lease Cycles'!$EM$11:$ES$11,1,BE61)),BE64),BE64)</f>
        <v>5625</v>
      </c>
      <c r="BF66" s="28">
        <f>IF(BF63=1,IF(INDEX('Lease Cycles'!$EF$11:$EL$11,1,BF61)=1,BF64*INDEX('Lease Cycles'!$EM$11:$ES$11,1,BF61)+BF65*(1-INDEX('Lease Cycles'!$EM$11:$ES$11,1,BF61)),BF64),BF64)</f>
        <v>5625</v>
      </c>
      <c r="BG66" s="28">
        <f>IF(BG63=1,IF(INDEX('Lease Cycles'!$EF$11:$EL$11,1,BG61)=1,BG64*INDEX('Lease Cycles'!$EM$11:$ES$11,1,BG61)+BG65*(1-INDEX('Lease Cycles'!$EM$11:$ES$11,1,BG61)),BG64),BG64)</f>
        <v>5625</v>
      </c>
      <c r="BH66" s="28">
        <f>IF(BH63=1,IF(INDEX('Lease Cycles'!$EF$11:$EL$11,1,BH61)=1,BH64*INDEX('Lease Cycles'!$EM$11:$ES$11,1,BH61)+BH65*(1-INDEX('Lease Cycles'!$EM$11:$ES$11,1,BH61)),BH64),BH64)</f>
        <v>5625</v>
      </c>
      <c r="BI66" s="28">
        <f>IF(BI63=1,IF(INDEX('Lease Cycles'!$EF$11:$EL$11,1,BI61)=1,BI64*INDEX('Lease Cycles'!$EM$11:$ES$11,1,BI61)+BI65*(1-INDEX('Lease Cycles'!$EM$11:$ES$11,1,BI61)),BI64),BI64)</f>
        <v>5625</v>
      </c>
      <c r="BJ66" s="28">
        <f>IF(BJ63=1,IF(INDEX('Lease Cycles'!$EF$11:$EL$11,1,BJ61)=1,BJ64*INDEX('Lease Cycles'!$EM$11:$ES$11,1,BJ61)+BJ65*(1-INDEX('Lease Cycles'!$EM$11:$ES$11,1,BJ61)),BJ64),BJ64)</f>
        <v>5625</v>
      </c>
      <c r="BK66" s="28">
        <f>IF(BK63=1,IF(INDEX('Lease Cycles'!$EF$11:$EL$11,1,BK61)=1,BK64*INDEX('Lease Cycles'!$EM$11:$ES$11,1,BK61)+BK65*(1-INDEX('Lease Cycles'!$EM$11:$ES$11,1,BK61)),BK64),BK64)</f>
        <v>5625</v>
      </c>
      <c r="BL66" s="28">
        <f>IF(BL63=1,IF(INDEX('Lease Cycles'!$EF$11:$EL$11,1,BL61)=1,BL64*INDEX('Lease Cycles'!$EM$11:$ES$11,1,BL61)+BL65*(1-INDEX('Lease Cycles'!$EM$11:$ES$11,1,BL61)),BL64),BL64)</f>
        <v>5625</v>
      </c>
      <c r="BM66" s="28">
        <f>IF(BM63=1,IF(INDEX('Lease Cycles'!$EF$11:$EL$11,1,BM61)=1,BM64*INDEX('Lease Cycles'!$EM$11:$ES$11,1,BM61)+BM65*(1-INDEX('Lease Cycles'!$EM$11:$ES$11,1,BM61)),BM64),BM64)</f>
        <v>5625</v>
      </c>
      <c r="BN66" s="28">
        <f>IF(BN63=1,IF(INDEX('Lease Cycles'!$EF$11:$EL$11,1,BN61)=1,BN64*INDEX('Lease Cycles'!$EM$11:$ES$11,1,BN61)+BN65*(1-INDEX('Lease Cycles'!$EM$11:$ES$11,1,BN61)),BN64),BN64)</f>
        <v>5625</v>
      </c>
      <c r="BO66" s="28">
        <f>IF(BO63=1,IF(INDEX('Lease Cycles'!$EF$11:$EL$11,1,BO61)=1,BO64*INDEX('Lease Cycles'!$EM$11:$ES$11,1,BO61)+BO65*(1-INDEX('Lease Cycles'!$EM$11:$ES$11,1,BO61)),BO64),BO64)</f>
        <v>5625</v>
      </c>
      <c r="BP66" s="28">
        <f>IF(BP63=1,IF(INDEX('Lease Cycles'!$EF$11:$EL$11,1,BP61)=1,BP64*INDEX('Lease Cycles'!$EM$11:$ES$11,1,BP61)+BP65*(1-INDEX('Lease Cycles'!$EM$11:$ES$11,1,BP61)),BP64),BP64)</f>
        <v>5625</v>
      </c>
      <c r="BQ66" s="28">
        <f>IF(BQ63=1,IF(INDEX('Lease Cycles'!$EF$11:$EL$11,1,BQ61)=1,BQ64*INDEX('Lease Cycles'!$EM$11:$ES$11,1,BQ61)+BQ65*(1-INDEX('Lease Cycles'!$EM$11:$ES$11,1,BQ61)),BQ64),BQ64)</f>
        <v>5625</v>
      </c>
      <c r="BR66" s="28">
        <f>IF(BR63=1,IF(INDEX('Lease Cycles'!$EF$11:$EL$11,1,BR61)=1,BR64*INDEX('Lease Cycles'!$EM$11:$ES$11,1,BR61)+BR65*(1-INDEX('Lease Cycles'!$EM$11:$ES$11,1,BR61)),BR64),BR64)</f>
        <v>5625</v>
      </c>
      <c r="BS66" s="28">
        <f>IF(BS63=1,IF(INDEX('Lease Cycles'!$EF$11:$EL$11,1,BS61)=1,BS64*INDEX('Lease Cycles'!$EM$11:$ES$11,1,BS61)+BS65*(1-INDEX('Lease Cycles'!$EM$11:$ES$11,1,BS61)),BS64),BS64)</f>
        <v>5625</v>
      </c>
      <c r="BT66" s="28">
        <f>IF(BT63=1,IF(INDEX('Lease Cycles'!$EF$11:$EL$11,1,BT61)=1,BT64*INDEX('Lease Cycles'!$EM$11:$ES$11,1,BT61)+BT65*(1-INDEX('Lease Cycles'!$EM$11:$ES$11,1,BT61)),BT64),BT64)</f>
        <v>5625</v>
      </c>
      <c r="BU66" s="28">
        <f>IF(BU63=1,IF(INDEX('Lease Cycles'!$EF$11:$EL$11,1,BU61)=1,BU64*INDEX('Lease Cycles'!$EM$11:$ES$11,1,BU61)+BU65*(1-INDEX('Lease Cycles'!$EM$11:$ES$11,1,BU61)),BU64),BU64)</f>
        <v>5625</v>
      </c>
      <c r="BV66" s="28">
        <f>IF(BV63=1,IF(INDEX('Lease Cycles'!$EF$11:$EL$11,1,BV61)=1,BV64*INDEX('Lease Cycles'!$EM$11:$ES$11,1,BV61)+BV65*(1-INDEX('Lease Cycles'!$EM$11:$ES$11,1,BV61)),BV64),BV64)</f>
        <v>5625</v>
      </c>
      <c r="BW66" s="28">
        <f>IF(BW63=1,IF(INDEX('Lease Cycles'!$EF$11:$EL$11,1,BW61)=1,BW64*INDEX('Lease Cycles'!$EM$11:$ES$11,1,BW61)+BW65*(1-INDEX('Lease Cycles'!$EM$11:$ES$11,1,BW61)),BW64),BW64)</f>
        <v>5625</v>
      </c>
      <c r="BX66" s="28">
        <f>IF(BX63=1,IF(INDEX('Lease Cycles'!$EF$11:$EL$11,1,BX61)=1,BX64*INDEX('Lease Cycles'!$EM$11:$ES$11,1,BX61)+BX65*(1-INDEX('Lease Cycles'!$EM$11:$ES$11,1,BX61)),BX64),BX64)</f>
        <v>5625</v>
      </c>
      <c r="BY66" s="28">
        <f>IF(BY63=1,IF(INDEX('Lease Cycles'!$EF$11:$EL$11,1,BY61)=1,BY64*INDEX('Lease Cycles'!$EM$11:$ES$11,1,BY61)+BY65*(1-INDEX('Lease Cycles'!$EM$11:$ES$11,1,BY61)),BY64),BY64)</f>
        <v>5625</v>
      </c>
      <c r="BZ66" s="28">
        <f>IF(BZ63=1,IF(INDEX('Lease Cycles'!$EF$11:$EL$11,1,BZ61)=1,BZ64*INDEX('Lease Cycles'!$EM$11:$ES$11,1,BZ61)+BZ65*(1-INDEX('Lease Cycles'!$EM$11:$ES$11,1,BZ61)),BZ64),BZ64)</f>
        <v>5625</v>
      </c>
      <c r="CA66" s="28">
        <f>IF(CA63=1,IF(INDEX('Lease Cycles'!$EF$11:$EL$11,1,CA61)=1,CA64*INDEX('Lease Cycles'!$EM$11:$ES$11,1,CA61)+CA65*(1-INDEX('Lease Cycles'!$EM$11:$ES$11,1,CA61)),CA64),CA64)</f>
        <v>5625</v>
      </c>
      <c r="CB66" s="28">
        <f>IF(CB63=1,IF(INDEX('Lease Cycles'!$EF$11:$EL$11,1,CB61)=1,CB64*INDEX('Lease Cycles'!$EM$11:$ES$11,1,CB61)+CB65*(1-INDEX('Lease Cycles'!$EM$11:$ES$11,1,CB61)),CB64),CB64)</f>
        <v>5625</v>
      </c>
      <c r="CC66" s="28">
        <f>IF(CC63=1,IF(INDEX('Lease Cycles'!$EF$11:$EL$11,1,CC61)=1,CC64*INDEX('Lease Cycles'!$EM$11:$ES$11,1,CC61)+CC65*(1-INDEX('Lease Cycles'!$EM$11:$ES$11,1,CC61)),CC64),CC64)</f>
        <v>6553.121010657377</v>
      </c>
      <c r="CD66" s="28">
        <f>IF(CD63=1,IF(INDEX('Lease Cycles'!$EF$11:$EL$11,1,CD61)=1,CD64*INDEX('Lease Cycles'!$EM$11:$ES$11,1,CD61)+CD65*(1-INDEX('Lease Cycles'!$EM$11:$ES$11,1,CD61)),CD64),CD64)</f>
        <v>4501.17523466755</v>
      </c>
      <c r="CE66" s="28">
        <f>IF(CE63=1,IF(INDEX('Lease Cycles'!$EF$11:$EL$11,1,CE61)=1,CE64*INDEX('Lease Cycles'!$EM$11:$ES$11,1,CE61)+CE65*(1-INDEX('Lease Cycles'!$EM$11:$ES$11,1,CE61)),CE64),CE64)</f>
        <v>4501.17523466755</v>
      </c>
      <c r="CF66" s="28">
        <f>IF(CF63=1,IF(INDEX('Lease Cycles'!$EF$11:$EL$11,1,CF61)=1,CF64*INDEX('Lease Cycles'!$EM$11:$ES$11,1,CF61)+CF65*(1-INDEX('Lease Cycles'!$EM$11:$ES$11,1,CF61)),CF64),CF64)</f>
        <v>4501.17523466755</v>
      </c>
      <c r="CG66" s="28">
        <f>IF(CG63=1,IF(INDEX('Lease Cycles'!$EF$11:$EL$11,1,CG61)=1,CG64*INDEX('Lease Cycles'!$EM$11:$ES$11,1,CG61)+CG65*(1-INDEX('Lease Cycles'!$EM$11:$ES$11,1,CG61)),CG64),CG64)</f>
        <v>4501.17523466755</v>
      </c>
      <c r="CH66" s="28">
        <f>IF(CH63=1,IF(INDEX('Lease Cycles'!$EF$11:$EL$11,1,CH61)=1,CH64*INDEX('Lease Cycles'!$EM$11:$ES$11,1,CH61)+CH65*(1-INDEX('Lease Cycles'!$EM$11:$ES$11,1,CH61)),CH64),CH64)</f>
        <v>4501.17523466755</v>
      </c>
      <c r="CI66" s="28">
        <f>IF(CI63=1,IF(INDEX('Lease Cycles'!$EF$11:$EL$11,1,CI61)=1,CI64*INDEX('Lease Cycles'!$EM$11:$ES$11,1,CI61)+CI65*(1-INDEX('Lease Cycles'!$EM$11:$ES$11,1,CI61)),CI64),CI64)</f>
        <v>4501.17523466755</v>
      </c>
      <c r="CJ66" s="28">
        <f>IF(CJ63=1,IF(INDEX('Lease Cycles'!$EF$11:$EL$11,1,CJ61)=1,CJ64*INDEX('Lease Cycles'!$EM$11:$ES$11,1,CJ61)+CJ65*(1-INDEX('Lease Cycles'!$EM$11:$ES$11,1,CJ61)),CJ64),CJ64)</f>
        <v>4501.17523466755</v>
      </c>
      <c r="CK66" s="28">
        <f>IF(CK63=1,IF(INDEX('Lease Cycles'!$EF$11:$EL$11,1,CK61)=1,CK64*INDEX('Lease Cycles'!$EM$11:$ES$11,1,CK61)+CK65*(1-INDEX('Lease Cycles'!$EM$11:$ES$11,1,CK61)),CK64),CK64)</f>
        <v>4501.17523466755</v>
      </c>
      <c r="CL66" s="28">
        <f>IF(CL63=1,IF(INDEX('Lease Cycles'!$EF$11:$EL$11,1,CL61)=1,CL64*INDEX('Lease Cycles'!$EM$11:$ES$11,1,CL61)+CL65*(1-INDEX('Lease Cycles'!$EM$11:$ES$11,1,CL61)),CL64),CL64)</f>
        <v>4501.17523466755</v>
      </c>
      <c r="CM66" s="28">
        <f>IF(CM63=1,IF(INDEX('Lease Cycles'!$EF$11:$EL$11,1,CM61)=1,CM64*INDEX('Lease Cycles'!$EM$11:$ES$11,1,CM61)+CM65*(1-INDEX('Lease Cycles'!$EM$11:$ES$11,1,CM61)),CM64),CM64)</f>
        <v>4501.17523466755</v>
      </c>
      <c r="CN66" s="28">
        <f>IF(CN63=1,IF(INDEX('Lease Cycles'!$EF$11:$EL$11,1,CN61)=1,CN64*INDEX('Lease Cycles'!$EM$11:$ES$11,1,CN61)+CN65*(1-INDEX('Lease Cycles'!$EM$11:$ES$11,1,CN61)),CN64),CN64)</f>
        <v>4501.17523466755</v>
      </c>
      <c r="CO66" s="28">
        <f>IF(CO63=1,IF(INDEX('Lease Cycles'!$EF$11:$EL$11,1,CO61)=1,CO64*INDEX('Lease Cycles'!$EM$11:$ES$11,1,CO61)+CO65*(1-INDEX('Lease Cycles'!$EM$11:$ES$11,1,CO61)),CO64),CO64)</f>
        <v>4501.17523466755</v>
      </c>
      <c r="CP66" s="28">
        <f>IF(CP63=1,IF(INDEX('Lease Cycles'!$EF$11:$EL$11,1,CP61)=1,CP64*INDEX('Lease Cycles'!$EM$11:$ES$11,1,CP61)+CP65*(1-INDEX('Lease Cycles'!$EM$11:$ES$11,1,CP61)),CP64),CP64)</f>
        <v>4636.210491707577</v>
      </c>
      <c r="CQ66" s="28">
        <f>IF(CQ63=1,IF(INDEX('Lease Cycles'!$EF$11:$EL$11,1,CQ61)=1,CQ64*INDEX('Lease Cycles'!$EM$11:$ES$11,1,CQ61)+CQ65*(1-INDEX('Lease Cycles'!$EM$11:$ES$11,1,CQ61)),CQ64),CQ64)</f>
        <v>4636.210491707577</v>
      </c>
      <c r="CR66" s="28">
        <f>IF(CR63=1,IF(INDEX('Lease Cycles'!$EF$11:$EL$11,1,CR61)=1,CR64*INDEX('Lease Cycles'!$EM$11:$ES$11,1,CR61)+CR65*(1-INDEX('Lease Cycles'!$EM$11:$ES$11,1,CR61)),CR64),CR64)</f>
        <v>4636.210491707577</v>
      </c>
      <c r="CS66" s="28">
        <f>IF(CS63=1,IF(INDEX('Lease Cycles'!$EF$11:$EL$11,1,CS61)=1,CS64*INDEX('Lease Cycles'!$EM$11:$ES$11,1,CS61)+CS65*(1-INDEX('Lease Cycles'!$EM$11:$ES$11,1,CS61)),CS64),CS64)</f>
        <v>4636.210491707577</v>
      </c>
      <c r="CT66" s="28">
        <f>IF(CT63=1,IF(INDEX('Lease Cycles'!$EF$11:$EL$11,1,CT61)=1,CT64*INDEX('Lease Cycles'!$EM$11:$ES$11,1,CT61)+CT65*(1-INDEX('Lease Cycles'!$EM$11:$ES$11,1,CT61)),CT64),CT64)</f>
        <v>4636.210491707577</v>
      </c>
      <c r="CU66" s="28">
        <f>IF(CU63=1,IF(INDEX('Lease Cycles'!$EF$11:$EL$11,1,CU61)=1,CU64*INDEX('Lease Cycles'!$EM$11:$ES$11,1,CU61)+CU65*(1-INDEX('Lease Cycles'!$EM$11:$ES$11,1,CU61)),CU64),CU64)</f>
        <v>4636.210491707577</v>
      </c>
      <c r="CV66" s="28">
        <f>IF(CV63=1,IF(INDEX('Lease Cycles'!$EF$11:$EL$11,1,CV61)=1,CV64*INDEX('Lease Cycles'!$EM$11:$ES$11,1,CV61)+CV65*(1-INDEX('Lease Cycles'!$EM$11:$ES$11,1,CV61)),CV64),CV64)</f>
        <v>4636.210491707577</v>
      </c>
      <c r="CW66" s="28">
        <f>IF(CW63=1,IF(INDEX('Lease Cycles'!$EF$11:$EL$11,1,CW61)=1,CW64*INDEX('Lease Cycles'!$EM$11:$ES$11,1,CW61)+CW65*(1-INDEX('Lease Cycles'!$EM$11:$ES$11,1,CW61)),CW64),CW64)</f>
        <v>4636.210491707577</v>
      </c>
      <c r="CX66" s="28">
        <f>IF(CX63=1,IF(INDEX('Lease Cycles'!$EF$11:$EL$11,1,CX61)=1,CX64*INDEX('Lease Cycles'!$EM$11:$ES$11,1,CX61)+CX65*(1-INDEX('Lease Cycles'!$EM$11:$ES$11,1,CX61)),CX64),CX64)</f>
        <v>4636.210491707577</v>
      </c>
      <c r="CY66" s="28">
        <f>IF(CY63=1,IF(INDEX('Lease Cycles'!$EF$11:$EL$11,1,CY61)=1,CY64*INDEX('Lease Cycles'!$EM$11:$ES$11,1,CY61)+CY65*(1-INDEX('Lease Cycles'!$EM$11:$ES$11,1,CY61)),CY64),CY64)</f>
        <v>4636.210491707577</v>
      </c>
      <c r="CZ66" s="28">
        <f>IF(CZ63=1,IF(INDEX('Lease Cycles'!$EF$11:$EL$11,1,CZ61)=1,CZ64*INDEX('Lease Cycles'!$EM$11:$ES$11,1,CZ61)+CZ65*(1-INDEX('Lease Cycles'!$EM$11:$ES$11,1,CZ61)),CZ64),CZ64)</f>
        <v>4636.210491707577</v>
      </c>
      <c r="DA66" s="28">
        <f>IF(DA63=1,IF(INDEX('Lease Cycles'!$EF$11:$EL$11,1,DA61)=1,DA64*INDEX('Lease Cycles'!$EM$11:$ES$11,1,DA61)+DA65*(1-INDEX('Lease Cycles'!$EM$11:$ES$11,1,DA61)),DA64),DA64)</f>
        <v>4636.210491707577</v>
      </c>
      <c r="DB66" s="28">
        <f>IF(DB63=1,IF(INDEX('Lease Cycles'!$EF$11:$EL$11,1,DB61)=1,DB64*INDEX('Lease Cycles'!$EM$11:$ES$11,1,DB61)+DB65*(1-INDEX('Lease Cycles'!$EM$11:$ES$11,1,DB61)),DB64),DB64)</f>
        <v>4775.296806458804</v>
      </c>
      <c r="DC66" s="28">
        <f>IF(DC63=1,IF(INDEX('Lease Cycles'!$EF$11:$EL$11,1,DC61)=1,DC64*INDEX('Lease Cycles'!$EM$11:$ES$11,1,DC61)+DC65*(1-INDEX('Lease Cycles'!$EM$11:$ES$11,1,DC61)),DC64),DC64)</f>
        <v>4775.296806458804</v>
      </c>
      <c r="DD66" s="28">
        <f>IF(DD63=1,IF(INDEX('Lease Cycles'!$EF$11:$EL$11,1,DD61)=1,DD64*INDEX('Lease Cycles'!$EM$11:$ES$11,1,DD61)+DD65*(1-INDEX('Lease Cycles'!$EM$11:$ES$11,1,DD61)),DD64),DD64)</f>
        <v>4775.296806458804</v>
      </c>
      <c r="DE66" s="28">
        <f>IF(DE63=1,IF(INDEX('Lease Cycles'!$EF$11:$EL$11,1,DE61)=1,DE64*INDEX('Lease Cycles'!$EM$11:$ES$11,1,DE61)+DE65*(1-INDEX('Lease Cycles'!$EM$11:$ES$11,1,DE61)),DE64),DE64)</f>
        <v>4775.296806458804</v>
      </c>
      <c r="DF66" s="28">
        <f>IF(DF63=1,IF(INDEX('Lease Cycles'!$EF$11:$EL$11,1,DF61)=1,DF64*INDEX('Lease Cycles'!$EM$11:$ES$11,1,DF61)+DF65*(1-INDEX('Lease Cycles'!$EM$11:$ES$11,1,DF61)),DF64),DF64)</f>
        <v>4775.296806458804</v>
      </c>
      <c r="DG66" s="28">
        <f>IF(DG63=1,IF(INDEX('Lease Cycles'!$EF$11:$EL$11,1,DG61)=1,DG64*INDEX('Lease Cycles'!$EM$11:$ES$11,1,DG61)+DG65*(1-INDEX('Lease Cycles'!$EM$11:$ES$11,1,DG61)),DG64),DG64)</f>
        <v>4775.296806458804</v>
      </c>
      <c r="DH66" s="28">
        <f>IF(DH63=1,IF(INDEX('Lease Cycles'!$EF$11:$EL$11,1,DH61)=1,DH64*INDEX('Lease Cycles'!$EM$11:$ES$11,1,DH61)+DH65*(1-INDEX('Lease Cycles'!$EM$11:$ES$11,1,DH61)),DH64),DH64)</f>
        <v>4775.296806458804</v>
      </c>
      <c r="DI66" s="28">
        <f>IF(DI63=1,IF(INDEX('Lease Cycles'!$EF$11:$EL$11,1,DI61)=1,DI64*INDEX('Lease Cycles'!$EM$11:$ES$11,1,DI61)+DI65*(1-INDEX('Lease Cycles'!$EM$11:$ES$11,1,DI61)),DI64),DI64)</f>
        <v>4775.296806458804</v>
      </c>
      <c r="DJ66" s="28">
        <f>IF(DJ63=1,IF(INDEX('Lease Cycles'!$EF$11:$EL$11,1,DJ61)=1,DJ64*INDEX('Lease Cycles'!$EM$11:$ES$11,1,DJ61)+DJ65*(1-INDEX('Lease Cycles'!$EM$11:$ES$11,1,DJ61)),DJ64),DJ64)</f>
        <v>4775.296806458804</v>
      </c>
      <c r="DK66" s="28">
        <f>IF(DK63=1,IF(INDEX('Lease Cycles'!$EF$11:$EL$11,1,DK61)=1,DK64*INDEX('Lease Cycles'!$EM$11:$ES$11,1,DK61)+DK65*(1-INDEX('Lease Cycles'!$EM$11:$ES$11,1,DK61)),DK64),DK64)</f>
        <v>4775.296806458804</v>
      </c>
      <c r="DL66" s="28">
        <f>IF(DL63=1,IF(INDEX('Lease Cycles'!$EF$11:$EL$11,1,DL61)=1,DL64*INDEX('Lease Cycles'!$EM$11:$ES$11,1,DL61)+DL65*(1-INDEX('Lease Cycles'!$EM$11:$ES$11,1,DL61)),DL64),DL64)</f>
        <v>4775.296806458804</v>
      </c>
      <c r="DM66" s="28">
        <f>IF(DM63=1,IF(INDEX('Lease Cycles'!$EF$11:$EL$11,1,DM61)=1,DM64*INDEX('Lease Cycles'!$EM$11:$ES$11,1,DM61)+DM65*(1-INDEX('Lease Cycles'!$EM$11:$ES$11,1,DM61)),DM64),DM64)</f>
        <v>4775.296806458804</v>
      </c>
      <c r="DN66" s="28">
        <f>IF(DN63=1,IF(INDEX('Lease Cycles'!$EF$11:$EL$11,1,DN61)=1,DN64*INDEX('Lease Cycles'!$EM$11:$ES$11,1,DN61)+DN65*(1-INDEX('Lease Cycles'!$EM$11:$ES$11,1,DN61)),DN64),DN64)</f>
        <v>4918.555710652568</v>
      </c>
      <c r="DO66" s="28">
        <f>IF(DO63=1,IF(INDEX('Lease Cycles'!$EF$11:$EL$11,1,DO61)=1,DO64*INDEX('Lease Cycles'!$EM$11:$ES$11,1,DO61)+DO65*(1-INDEX('Lease Cycles'!$EM$11:$ES$11,1,DO61)),DO64),DO64)</f>
        <v>4918.555710652568</v>
      </c>
      <c r="DP66" s="28">
        <f>IF(DP63=1,IF(INDEX('Lease Cycles'!$EF$11:$EL$11,1,DP61)=1,DP64*INDEX('Lease Cycles'!$EM$11:$ES$11,1,DP61)+DP65*(1-INDEX('Lease Cycles'!$EM$11:$ES$11,1,DP61)),DP64),DP64)</f>
        <v>4918.555710652568</v>
      </c>
      <c r="DQ66" s="28">
        <f>IF(DQ63=1,IF(INDEX('Lease Cycles'!$EF$11:$EL$11,1,DQ61)=1,DQ64*INDEX('Lease Cycles'!$EM$11:$ES$11,1,DQ61)+DQ65*(1-INDEX('Lease Cycles'!$EM$11:$ES$11,1,DQ61)),DQ64),DQ64)</f>
        <v>4918.555710652568</v>
      </c>
      <c r="DR66" s="28">
        <f>IF(DR63=1,IF(INDEX('Lease Cycles'!$EF$11:$EL$11,1,DR61)=1,DR64*INDEX('Lease Cycles'!$EM$11:$ES$11,1,DR61)+DR65*(1-INDEX('Lease Cycles'!$EM$11:$ES$11,1,DR61)),DR64),DR64)</f>
        <v>4918.555710652568</v>
      </c>
      <c r="DS66" s="28">
        <f>IF(DS63=1,IF(INDEX('Lease Cycles'!$EF$11:$EL$11,1,DS61)=1,DS64*INDEX('Lease Cycles'!$EM$11:$ES$11,1,DS61)+DS65*(1-INDEX('Lease Cycles'!$EM$11:$ES$11,1,DS61)),DS64),DS64)</f>
        <v>4918.555710652568</v>
      </c>
      <c r="DT66" s="28">
        <f>IF(DT63=1,IF(INDEX('Lease Cycles'!$EF$11:$EL$11,1,DT61)=1,DT64*INDEX('Lease Cycles'!$EM$11:$ES$11,1,DT61)+DT65*(1-INDEX('Lease Cycles'!$EM$11:$ES$11,1,DT61)),DT64),DT64)</f>
        <v>4918.555710652568</v>
      </c>
      <c r="DU66" s="28">
        <f>IF(DU63=1,IF(INDEX('Lease Cycles'!$EF$11:$EL$11,1,DU61)=1,DU64*INDEX('Lease Cycles'!$EM$11:$ES$11,1,DU61)+DU65*(1-INDEX('Lease Cycles'!$EM$11:$ES$11,1,DU61)),DU64),DU64)</f>
        <v>4918.555710652568</v>
      </c>
      <c r="DV66" s="28">
        <f>IF(DV63=1,IF(INDEX('Lease Cycles'!$EF$11:$EL$11,1,DV61)=1,DV64*INDEX('Lease Cycles'!$EM$11:$ES$11,1,DV61)+DV65*(1-INDEX('Lease Cycles'!$EM$11:$ES$11,1,DV61)),DV64),DV64)</f>
        <v>4918.555710652568</v>
      </c>
      <c r="DW66" s="28">
        <f>IF(DW63=1,IF(INDEX('Lease Cycles'!$EF$11:$EL$11,1,DW61)=1,DW64*INDEX('Lease Cycles'!$EM$11:$ES$11,1,DW61)+DW65*(1-INDEX('Lease Cycles'!$EM$11:$ES$11,1,DW61)),DW64),DW64)</f>
        <v>4918.555710652568</v>
      </c>
      <c r="DX66" s="28">
        <f>IF(DX63=1,IF(INDEX('Lease Cycles'!$EF$11:$EL$11,1,DX61)=1,DX64*INDEX('Lease Cycles'!$EM$11:$ES$11,1,DX61)+DX65*(1-INDEX('Lease Cycles'!$EM$11:$ES$11,1,DX61)),DX64),DX64)</f>
        <v>4918.555710652568</v>
      </c>
      <c r="DY66" s="28">
        <f>IF(DY63=1,IF(INDEX('Lease Cycles'!$EF$11:$EL$11,1,DY61)=1,DY64*INDEX('Lease Cycles'!$EM$11:$ES$11,1,DY61)+DY65*(1-INDEX('Lease Cycles'!$EM$11:$ES$11,1,DY61)),DY64),DY64)</f>
        <v>4918.555710652568</v>
      </c>
      <c r="DZ66" s="28">
        <f>IF(DZ63=1,IF(INDEX('Lease Cycles'!$EF$11:$EL$11,1,DZ61)=1,DZ64*INDEX('Lease Cycles'!$EM$11:$ES$11,1,DZ61)+DZ65*(1-INDEX('Lease Cycles'!$EM$11:$ES$11,1,DZ61)),DZ64),DZ64)</f>
        <v>5066.112381972146</v>
      </c>
      <c r="EA66" s="28">
        <f>IF(EA63=1,IF(INDEX('Lease Cycles'!$EF$11:$EL$11,1,EA61)=1,EA64*INDEX('Lease Cycles'!$EM$11:$ES$11,1,EA61)+EA65*(1-INDEX('Lease Cycles'!$EM$11:$ES$11,1,EA61)),EA64),EA64)</f>
        <v>5066.112381972146</v>
      </c>
      <c r="EB66" s="28">
        <f>IF(EB63=1,IF(INDEX('Lease Cycles'!$EF$11:$EL$11,1,EB61)=1,EB64*INDEX('Lease Cycles'!$EM$11:$ES$11,1,EB61)+EB65*(1-INDEX('Lease Cycles'!$EM$11:$ES$11,1,EB61)),EB64),EB64)</f>
        <v>5066.112381972146</v>
      </c>
      <c r="EC66" s="28">
        <f>IF(EC63=1,IF(INDEX('Lease Cycles'!$EF$11:$EL$11,1,EC61)=1,EC64*INDEX('Lease Cycles'!$EM$11:$ES$11,1,EC61)+EC65*(1-INDEX('Lease Cycles'!$EM$11:$ES$11,1,EC61)),EC64),EC64)</f>
        <v>5066.112381972146</v>
      </c>
      <c r="ED66" s="28">
        <f>IF(ED63=1,IF(INDEX('Lease Cycles'!$EF$11:$EL$11,1,ED61)=1,ED64*INDEX('Lease Cycles'!$EM$11:$ES$11,1,ED61)+ED65*(1-INDEX('Lease Cycles'!$EM$11:$ES$11,1,ED61)),ED64),ED64)</f>
        <v>5066.112381972146</v>
      </c>
      <c r="EE66" s="28">
        <f>IF(EE63=1,IF(INDEX('Lease Cycles'!$EF$11:$EL$11,1,EE61)=1,EE64*INDEX('Lease Cycles'!$EM$11:$ES$11,1,EE61)+EE65*(1-INDEX('Lease Cycles'!$EM$11:$ES$11,1,EE61)),EE64),EE64)</f>
        <v>5066.112381972146</v>
      </c>
      <c r="EF66" s="28">
        <f>IF(EF63=1,IF(INDEX('Lease Cycles'!$EF$11:$EL$11,1,EF61)=1,EF64*INDEX('Lease Cycles'!$EM$11:$ES$11,1,EF61)+EF65*(1-INDEX('Lease Cycles'!$EM$11:$ES$11,1,EF61)),EF64),EF64)</f>
        <v>5066.112381972146</v>
      </c>
      <c r="EG66" s="28">
        <f>IF(EG63=1,IF(INDEX('Lease Cycles'!$EF$11:$EL$11,1,EG61)=1,EG64*INDEX('Lease Cycles'!$EM$11:$ES$11,1,EG61)+EG65*(1-INDEX('Lease Cycles'!$EM$11:$ES$11,1,EG61)),EG64),EG64)</f>
        <v>5066.112381972146</v>
      </c>
      <c r="EH66" s="28">
        <f>IF(EH63=1,IF(INDEX('Lease Cycles'!$EF$11:$EL$11,1,EH61)=1,EH64*INDEX('Lease Cycles'!$EM$11:$ES$11,1,EH61)+EH65*(1-INDEX('Lease Cycles'!$EM$11:$ES$11,1,EH61)),EH64),EH64)</f>
        <v>5066.112381972146</v>
      </c>
      <c r="EI66" s="28">
        <f>IF(EI63=1,IF(INDEX('Lease Cycles'!$EF$11:$EL$11,1,EI61)=1,EI64*INDEX('Lease Cycles'!$EM$11:$ES$11,1,EI61)+EI65*(1-INDEX('Lease Cycles'!$EM$11:$ES$11,1,EI61)),EI64),EI64)</f>
        <v>5066.112381972146</v>
      </c>
      <c r="EJ66" s="28">
        <f>IF(EJ63=1,IF(INDEX('Lease Cycles'!$EF$11:$EL$11,1,EJ61)=1,EJ64*INDEX('Lease Cycles'!$EM$11:$ES$11,1,EJ61)+EJ65*(1-INDEX('Lease Cycles'!$EM$11:$ES$11,1,EJ61)),EJ64),EJ64)</f>
        <v>5066.112381972146</v>
      </c>
      <c r="EK66" s="28">
        <f>IF(EK63=1,IF(INDEX('Lease Cycles'!$EF$11:$EL$11,1,EK61)=1,EK64*INDEX('Lease Cycles'!$EM$11:$ES$11,1,EK61)+EK65*(1-INDEX('Lease Cycles'!$EM$11:$ES$11,1,EK61)),EK64),EK64)</f>
        <v>5066.112381972146</v>
      </c>
      <c r="EL66" s="28">
        <f>IF(EL63=1,IF(INDEX('Lease Cycles'!$EF$11:$EL$11,1,EL61)=1,EL64*INDEX('Lease Cycles'!$EM$11:$ES$11,1,EL61)+EL65*(1-INDEX('Lease Cycles'!$EM$11:$ES$11,1,EL61)),EL64),EL64)</f>
        <v>5218.09575343131</v>
      </c>
      <c r="EM66" s="28">
        <f>IF(EM63=1,IF(INDEX('Lease Cycles'!$EF$11:$EL$11,1,EM61)=1,EM64*INDEX('Lease Cycles'!$EM$11:$ES$11,1,EM61)+EM65*(1-INDEX('Lease Cycles'!$EM$11:$ES$11,1,EM61)),EM64),EM64)</f>
        <v>5218.09575343131</v>
      </c>
      <c r="EN66" s="28">
        <f>IF(EN63=1,IF(INDEX('Lease Cycles'!$EF$11:$EL$11,1,EN61)=1,EN64*INDEX('Lease Cycles'!$EM$11:$ES$11,1,EN61)+EN65*(1-INDEX('Lease Cycles'!$EM$11:$ES$11,1,EN61)),EN64),EN64)</f>
        <v>5218.09575343131</v>
      </c>
      <c r="EO66" s="28">
        <f>IF(EO63=1,IF(INDEX('Lease Cycles'!$EF$11:$EL$11,1,EO61)=1,EO64*INDEX('Lease Cycles'!$EM$11:$ES$11,1,EO61)+EO65*(1-INDEX('Lease Cycles'!$EM$11:$ES$11,1,EO61)),EO64),EO64)</f>
        <v>5218.09575343131</v>
      </c>
      <c r="EP66" s="28">
        <f>IF(EP63=1,IF(INDEX('Lease Cycles'!$EF$11:$EL$11,1,EP61)=1,EP64*INDEX('Lease Cycles'!$EM$11:$ES$11,1,EP61)+EP65*(1-INDEX('Lease Cycles'!$EM$11:$ES$11,1,EP61)),EP64),EP64)</f>
        <v>5218.09575343131</v>
      </c>
      <c r="EQ66" s="28">
        <f>IF(EQ63=1,IF(INDEX('Lease Cycles'!$EF$11:$EL$11,1,EQ61)=1,EQ64*INDEX('Lease Cycles'!$EM$11:$ES$11,1,EQ61)+EQ65*(1-INDEX('Lease Cycles'!$EM$11:$ES$11,1,EQ61)),EQ64),EQ64)</f>
        <v>5218.09575343131</v>
      </c>
      <c r="ER66" s="28">
        <f>IF(ER63=1,IF(INDEX('Lease Cycles'!$EF$11:$EL$11,1,ER61)=1,ER64*INDEX('Lease Cycles'!$EM$11:$ES$11,1,ER61)+ER65*(1-INDEX('Lease Cycles'!$EM$11:$ES$11,1,ER61)),ER64),ER64)</f>
        <v>5218.09575343131</v>
      </c>
      <c r="ES66" s="28">
        <f>IF(ES63=1,IF(INDEX('Lease Cycles'!$EF$11:$EL$11,1,ES61)=1,ES64*INDEX('Lease Cycles'!$EM$11:$ES$11,1,ES61)+ES65*(1-INDEX('Lease Cycles'!$EM$11:$ES$11,1,ES61)),ES64),ES64)</f>
        <v>5218.09575343131</v>
      </c>
      <c r="ET66" s="28">
        <f>IF(ET63=1,IF(INDEX('Lease Cycles'!$EF$11:$EL$11,1,ET61)=1,ET64*INDEX('Lease Cycles'!$EM$11:$ES$11,1,ET61)+ET65*(1-INDEX('Lease Cycles'!$EM$11:$ES$11,1,ET61)),ET64),ET64)</f>
        <v>5218.09575343131</v>
      </c>
    </row>
    <row r="67">
      <c r="A67" s="103">
        <v>4</v>
      </c>
      <c r="B67" s="23" t="str">
        <f>IF('Lease Cycles'!$B$11="","(empty slot)",'Lease Cycles'!$B$11)</f>
        <v>Sunfield Dental</v>
      </c>
      <c r="C67" s="23" t="s">
        <v>682</v>
      </c>
      <c r="D67" s="104" t="s">
        <v>495</v>
      </c>
      <c r="E67" s="25">
        <f>'Lease Cycles'!$AL$11</f>
        <v>0</v>
      </c>
      <c r="G67" s="28">
        <f>SUM(S67:AD67)</f>
        <v>67500</v>
      </c>
      <c r="H67" s="28">
        <f>SUM(AE67:AP67)</f>
        <v>67500</v>
      </c>
      <c r="I67" s="28">
        <f>SUM(AQ67:BB67)</f>
        <v>67500</v>
      </c>
      <c r="J67" s="28">
        <f>SUM(BC67:BN67)</f>
        <v>67500</v>
      </c>
      <c r="K67" s="28">
        <f>SUM(BO67:BZ67)</f>
        <v>67500</v>
      </c>
      <c r="L67" s="28">
        <f>SUM(CA67:CL67)</f>
        <v>48159.6369242739</v>
      </c>
      <c r="M67" s="28">
        <f>SUM(CM67:CX67)</f>
        <v>55229.42012937084</v>
      </c>
      <c r="N67" s="28">
        <f>SUM(CY67:DJ67)</f>
        <v>56886.30273325196</v>
      </c>
      <c r="O67" s="28">
        <f>SUM(DK67:DV67)</f>
        <v>58592.89181524953</v>
      </c>
      <c r="P67" s="28">
        <f>SUM(DW67:EH67)</f>
        <v>60350.67856970702</v>
      </c>
      <c r="Q67" s="28">
        <f>SUM(EI67:ET67)</f>
        <v>62161.19892679823</v>
      </c>
      <c r="S67" s="28">
        <f>IF(S63=1,IF(INDEX('Lease Cycles'!$EF$11:$EL$11,1,S61)=1,S64*INDEX('Lease Cycles'!$EM$11:$ES$11,1,S61)+S65*IF(S62&lt;INDEX('Lease Cycles'!$FA$11:$FG$11,1,S61),0,1-INDEX('Lease Cycles'!$EM$11:$ES$11,1,S61)),S64*IF(S62&lt;INDEX('Lease Cycles'!$DK$11:$DQ$11,1,S61),0,IF(S62=INDEX('Lease Cycles'!$DK$11:$DQ$11,1,S61),1-INDEX('Lease Cycles'!$DR$11:$DX$11,1,S61),1))),0)</f>
        <v>5625</v>
      </c>
      <c r="T67" s="28">
        <f>IF(T63=1,IF(INDEX('Lease Cycles'!$EF$11:$EL$11,1,T61)=1,T64*INDEX('Lease Cycles'!$EM$11:$ES$11,1,T61)+T65*IF(T62&lt;INDEX('Lease Cycles'!$FA$11:$FG$11,1,T61),0,1-INDEX('Lease Cycles'!$EM$11:$ES$11,1,T61)),T64*IF(T62&lt;INDEX('Lease Cycles'!$DK$11:$DQ$11,1,T61),0,IF(T62=INDEX('Lease Cycles'!$DK$11:$DQ$11,1,T61),1-INDEX('Lease Cycles'!$DR$11:$DX$11,1,T61),1))),0)</f>
        <v>5625</v>
      </c>
      <c r="U67" s="28">
        <f>IF(U63=1,IF(INDEX('Lease Cycles'!$EF$11:$EL$11,1,U61)=1,U64*INDEX('Lease Cycles'!$EM$11:$ES$11,1,U61)+U65*IF(U62&lt;INDEX('Lease Cycles'!$FA$11:$FG$11,1,U61),0,1-INDEX('Lease Cycles'!$EM$11:$ES$11,1,U61)),U64*IF(U62&lt;INDEX('Lease Cycles'!$DK$11:$DQ$11,1,U61),0,IF(U62=INDEX('Lease Cycles'!$DK$11:$DQ$11,1,U61),1-INDEX('Lease Cycles'!$DR$11:$DX$11,1,U61),1))),0)</f>
        <v>5625</v>
      </c>
      <c r="V67" s="28">
        <f>IF(V63=1,IF(INDEX('Lease Cycles'!$EF$11:$EL$11,1,V61)=1,V64*INDEX('Lease Cycles'!$EM$11:$ES$11,1,V61)+V65*IF(V62&lt;INDEX('Lease Cycles'!$FA$11:$FG$11,1,V61),0,1-INDEX('Lease Cycles'!$EM$11:$ES$11,1,V61)),V64*IF(V62&lt;INDEX('Lease Cycles'!$DK$11:$DQ$11,1,V61),0,IF(V62=INDEX('Lease Cycles'!$DK$11:$DQ$11,1,V61),1-INDEX('Lease Cycles'!$DR$11:$DX$11,1,V61),1))),0)</f>
        <v>5625</v>
      </c>
      <c r="W67" s="28">
        <f>IF(W63=1,IF(INDEX('Lease Cycles'!$EF$11:$EL$11,1,W61)=1,W64*INDEX('Lease Cycles'!$EM$11:$ES$11,1,W61)+W65*IF(W62&lt;INDEX('Lease Cycles'!$FA$11:$FG$11,1,W61),0,1-INDEX('Lease Cycles'!$EM$11:$ES$11,1,W61)),W64*IF(W62&lt;INDEX('Lease Cycles'!$DK$11:$DQ$11,1,W61),0,IF(W62=INDEX('Lease Cycles'!$DK$11:$DQ$11,1,W61),1-INDEX('Lease Cycles'!$DR$11:$DX$11,1,W61),1))),0)</f>
        <v>5625</v>
      </c>
      <c r="X67" s="28">
        <f>IF(X63=1,IF(INDEX('Lease Cycles'!$EF$11:$EL$11,1,X61)=1,X64*INDEX('Lease Cycles'!$EM$11:$ES$11,1,X61)+X65*IF(X62&lt;INDEX('Lease Cycles'!$FA$11:$FG$11,1,X61),0,1-INDEX('Lease Cycles'!$EM$11:$ES$11,1,X61)),X64*IF(X62&lt;INDEX('Lease Cycles'!$DK$11:$DQ$11,1,X61),0,IF(X62=INDEX('Lease Cycles'!$DK$11:$DQ$11,1,X61),1-INDEX('Lease Cycles'!$DR$11:$DX$11,1,X61),1))),0)</f>
        <v>5625</v>
      </c>
      <c r="Y67" s="28">
        <f>IF(Y63=1,IF(INDEX('Lease Cycles'!$EF$11:$EL$11,1,Y61)=1,Y64*INDEX('Lease Cycles'!$EM$11:$ES$11,1,Y61)+Y65*IF(Y62&lt;INDEX('Lease Cycles'!$FA$11:$FG$11,1,Y61),0,1-INDEX('Lease Cycles'!$EM$11:$ES$11,1,Y61)),Y64*IF(Y62&lt;INDEX('Lease Cycles'!$DK$11:$DQ$11,1,Y61),0,IF(Y62=INDEX('Lease Cycles'!$DK$11:$DQ$11,1,Y61),1-INDEX('Lease Cycles'!$DR$11:$DX$11,1,Y61),1))),0)</f>
        <v>5625</v>
      </c>
      <c r="Z67" s="28">
        <f>IF(Z63=1,IF(INDEX('Lease Cycles'!$EF$11:$EL$11,1,Z61)=1,Z64*INDEX('Lease Cycles'!$EM$11:$ES$11,1,Z61)+Z65*IF(Z62&lt;INDEX('Lease Cycles'!$FA$11:$FG$11,1,Z61),0,1-INDEX('Lease Cycles'!$EM$11:$ES$11,1,Z61)),Z64*IF(Z62&lt;INDEX('Lease Cycles'!$DK$11:$DQ$11,1,Z61),0,IF(Z62=INDEX('Lease Cycles'!$DK$11:$DQ$11,1,Z61),1-INDEX('Lease Cycles'!$DR$11:$DX$11,1,Z61),1))),0)</f>
        <v>5625</v>
      </c>
      <c r="AA67" s="28">
        <f>IF(AA63=1,IF(INDEX('Lease Cycles'!$EF$11:$EL$11,1,AA61)=1,AA64*INDEX('Lease Cycles'!$EM$11:$ES$11,1,AA61)+AA65*IF(AA62&lt;INDEX('Lease Cycles'!$FA$11:$FG$11,1,AA61),0,1-INDEX('Lease Cycles'!$EM$11:$ES$11,1,AA61)),AA64*IF(AA62&lt;INDEX('Lease Cycles'!$DK$11:$DQ$11,1,AA61),0,IF(AA62=INDEX('Lease Cycles'!$DK$11:$DQ$11,1,AA61),1-INDEX('Lease Cycles'!$DR$11:$DX$11,1,AA61),1))),0)</f>
        <v>5625</v>
      </c>
      <c r="AB67" s="28">
        <f>IF(AB63=1,IF(INDEX('Lease Cycles'!$EF$11:$EL$11,1,AB61)=1,AB64*INDEX('Lease Cycles'!$EM$11:$ES$11,1,AB61)+AB65*IF(AB62&lt;INDEX('Lease Cycles'!$FA$11:$FG$11,1,AB61),0,1-INDEX('Lease Cycles'!$EM$11:$ES$11,1,AB61)),AB64*IF(AB62&lt;INDEX('Lease Cycles'!$DK$11:$DQ$11,1,AB61),0,IF(AB62=INDEX('Lease Cycles'!$DK$11:$DQ$11,1,AB61),1-INDEX('Lease Cycles'!$DR$11:$DX$11,1,AB61),1))),0)</f>
        <v>5625</v>
      </c>
      <c r="AC67" s="28">
        <f>IF(AC63=1,IF(INDEX('Lease Cycles'!$EF$11:$EL$11,1,AC61)=1,AC64*INDEX('Lease Cycles'!$EM$11:$ES$11,1,AC61)+AC65*IF(AC62&lt;INDEX('Lease Cycles'!$FA$11:$FG$11,1,AC61),0,1-INDEX('Lease Cycles'!$EM$11:$ES$11,1,AC61)),AC64*IF(AC62&lt;INDEX('Lease Cycles'!$DK$11:$DQ$11,1,AC61),0,IF(AC62=INDEX('Lease Cycles'!$DK$11:$DQ$11,1,AC61),1-INDEX('Lease Cycles'!$DR$11:$DX$11,1,AC61),1))),0)</f>
        <v>5625</v>
      </c>
      <c r="AD67" s="28">
        <f>IF(AD63=1,IF(INDEX('Lease Cycles'!$EF$11:$EL$11,1,AD61)=1,AD64*INDEX('Lease Cycles'!$EM$11:$ES$11,1,AD61)+AD65*IF(AD62&lt;INDEX('Lease Cycles'!$FA$11:$FG$11,1,AD61),0,1-INDEX('Lease Cycles'!$EM$11:$ES$11,1,AD61)),AD64*IF(AD62&lt;INDEX('Lease Cycles'!$DK$11:$DQ$11,1,AD61),0,IF(AD62=INDEX('Lease Cycles'!$DK$11:$DQ$11,1,AD61),1-INDEX('Lease Cycles'!$DR$11:$DX$11,1,AD61),1))),0)</f>
        <v>5625</v>
      </c>
      <c r="AE67" s="28">
        <f>IF(AE63=1,IF(INDEX('Lease Cycles'!$EF$11:$EL$11,1,AE61)=1,AE64*INDEX('Lease Cycles'!$EM$11:$ES$11,1,AE61)+AE65*IF(AE62&lt;INDEX('Lease Cycles'!$FA$11:$FG$11,1,AE61),0,1-INDEX('Lease Cycles'!$EM$11:$ES$11,1,AE61)),AE64*IF(AE62&lt;INDEX('Lease Cycles'!$DK$11:$DQ$11,1,AE61),0,IF(AE62=INDEX('Lease Cycles'!$DK$11:$DQ$11,1,AE61),1-INDEX('Lease Cycles'!$DR$11:$DX$11,1,AE61),1))),0)</f>
        <v>5625</v>
      </c>
      <c r="AF67" s="28">
        <f>IF(AF63=1,IF(INDEX('Lease Cycles'!$EF$11:$EL$11,1,AF61)=1,AF64*INDEX('Lease Cycles'!$EM$11:$ES$11,1,AF61)+AF65*IF(AF62&lt;INDEX('Lease Cycles'!$FA$11:$FG$11,1,AF61),0,1-INDEX('Lease Cycles'!$EM$11:$ES$11,1,AF61)),AF64*IF(AF62&lt;INDEX('Lease Cycles'!$DK$11:$DQ$11,1,AF61),0,IF(AF62=INDEX('Lease Cycles'!$DK$11:$DQ$11,1,AF61),1-INDEX('Lease Cycles'!$DR$11:$DX$11,1,AF61),1))),0)</f>
        <v>5625</v>
      </c>
      <c r="AG67" s="28">
        <f>IF(AG63=1,IF(INDEX('Lease Cycles'!$EF$11:$EL$11,1,AG61)=1,AG64*INDEX('Lease Cycles'!$EM$11:$ES$11,1,AG61)+AG65*IF(AG62&lt;INDEX('Lease Cycles'!$FA$11:$FG$11,1,AG61),0,1-INDEX('Lease Cycles'!$EM$11:$ES$11,1,AG61)),AG64*IF(AG62&lt;INDEX('Lease Cycles'!$DK$11:$DQ$11,1,AG61),0,IF(AG62=INDEX('Lease Cycles'!$DK$11:$DQ$11,1,AG61),1-INDEX('Lease Cycles'!$DR$11:$DX$11,1,AG61),1))),0)</f>
        <v>5625</v>
      </c>
      <c r="AH67" s="28">
        <f>IF(AH63=1,IF(INDEX('Lease Cycles'!$EF$11:$EL$11,1,AH61)=1,AH64*INDEX('Lease Cycles'!$EM$11:$ES$11,1,AH61)+AH65*IF(AH62&lt;INDEX('Lease Cycles'!$FA$11:$FG$11,1,AH61),0,1-INDEX('Lease Cycles'!$EM$11:$ES$11,1,AH61)),AH64*IF(AH62&lt;INDEX('Lease Cycles'!$DK$11:$DQ$11,1,AH61),0,IF(AH62=INDEX('Lease Cycles'!$DK$11:$DQ$11,1,AH61),1-INDEX('Lease Cycles'!$DR$11:$DX$11,1,AH61),1))),0)</f>
        <v>5625</v>
      </c>
      <c r="AI67" s="28">
        <f>IF(AI63=1,IF(INDEX('Lease Cycles'!$EF$11:$EL$11,1,AI61)=1,AI64*INDEX('Lease Cycles'!$EM$11:$ES$11,1,AI61)+AI65*IF(AI62&lt;INDEX('Lease Cycles'!$FA$11:$FG$11,1,AI61),0,1-INDEX('Lease Cycles'!$EM$11:$ES$11,1,AI61)),AI64*IF(AI62&lt;INDEX('Lease Cycles'!$DK$11:$DQ$11,1,AI61),0,IF(AI62=INDEX('Lease Cycles'!$DK$11:$DQ$11,1,AI61),1-INDEX('Lease Cycles'!$DR$11:$DX$11,1,AI61),1))),0)</f>
        <v>5625</v>
      </c>
      <c r="AJ67" s="28">
        <f>IF(AJ63=1,IF(INDEX('Lease Cycles'!$EF$11:$EL$11,1,AJ61)=1,AJ64*INDEX('Lease Cycles'!$EM$11:$ES$11,1,AJ61)+AJ65*IF(AJ62&lt;INDEX('Lease Cycles'!$FA$11:$FG$11,1,AJ61),0,1-INDEX('Lease Cycles'!$EM$11:$ES$11,1,AJ61)),AJ64*IF(AJ62&lt;INDEX('Lease Cycles'!$DK$11:$DQ$11,1,AJ61),0,IF(AJ62=INDEX('Lease Cycles'!$DK$11:$DQ$11,1,AJ61),1-INDEX('Lease Cycles'!$DR$11:$DX$11,1,AJ61),1))),0)</f>
        <v>5625</v>
      </c>
      <c r="AK67" s="28">
        <f>IF(AK63=1,IF(INDEX('Lease Cycles'!$EF$11:$EL$11,1,AK61)=1,AK64*INDEX('Lease Cycles'!$EM$11:$ES$11,1,AK61)+AK65*IF(AK62&lt;INDEX('Lease Cycles'!$FA$11:$FG$11,1,AK61),0,1-INDEX('Lease Cycles'!$EM$11:$ES$11,1,AK61)),AK64*IF(AK62&lt;INDEX('Lease Cycles'!$DK$11:$DQ$11,1,AK61),0,IF(AK62=INDEX('Lease Cycles'!$DK$11:$DQ$11,1,AK61),1-INDEX('Lease Cycles'!$DR$11:$DX$11,1,AK61),1))),0)</f>
        <v>5625</v>
      </c>
      <c r="AL67" s="28">
        <f>IF(AL63=1,IF(INDEX('Lease Cycles'!$EF$11:$EL$11,1,AL61)=1,AL64*INDEX('Lease Cycles'!$EM$11:$ES$11,1,AL61)+AL65*IF(AL62&lt;INDEX('Lease Cycles'!$FA$11:$FG$11,1,AL61),0,1-INDEX('Lease Cycles'!$EM$11:$ES$11,1,AL61)),AL64*IF(AL62&lt;INDEX('Lease Cycles'!$DK$11:$DQ$11,1,AL61),0,IF(AL62=INDEX('Lease Cycles'!$DK$11:$DQ$11,1,AL61),1-INDEX('Lease Cycles'!$DR$11:$DX$11,1,AL61),1))),0)</f>
        <v>5625</v>
      </c>
      <c r="AM67" s="28">
        <f>IF(AM63=1,IF(INDEX('Lease Cycles'!$EF$11:$EL$11,1,AM61)=1,AM64*INDEX('Lease Cycles'!$EM$11:$ES$11,1,AM61)+AM65*IF(AM62&lt;INDEX('Lease Cycles'!$FA$11:$FG$11,1,AM61),0,1-INDEX('Lease Cycles'!$EM$11:$ES$11,1,AM61)),AM64*IF(AM62&lt;INDEX('Lease Cycles'!$DK$11:$DQ$11,1,AM61),0,IF(AM62=INDEX('Lease Cycles'!$DK$11:$DQ$11,1,AM61),1-INDEX('Lease Cycles'!$DR$11:$DX$11,1,AM61),1))),0)</f>
        <v>5625</v>
      </c>
      <c r="AN67" s="28">
        <f>IF(AN63=1,IF(INDEX('Lease Cycles'!$EF$11:$EL$11,1,AN61)=1,AN64*INDEX('Lease Cycles'!$EM$11:$ES$11,1,AN61)+AN65*IF(AN62&lt;INDEX('Lease Cycles'!$FA$11:$FG$11,1,AN61),0,1-INDEX('Lease Cycles'!$EM$11:$ES$11,1,AN61)),AN64*IF(AN62&lt;INDEX('Lease Cycles'!$DK$11:$DQ$11,1,AN61),0,IF(AN62=INDEX('Lease Cycles'!$DK$11:$DQ$11,1,AN61),1-INDEX('Lease Cycles'!$DR$11:$DX$11,1,AN61),1))),0)</f>
        <v>5625</v>
      </c>
      <c r="AO67" s="28">
        <f>IF(AO63=1,IF(INDEX('Lease Cycles'!$EF$11:$EL$11,1,AO61)=1,AO64*INDEX('Lease Cycles'!$EM$11:$ES$11,1,AO61)+AO65*IF(AO62&lt;INDEX('Lease Cycles'!$FA$11:$FG$11,1,AO61),0,1-INDEX('Lease Cycles'!$EM$11:$ES$11,1,AO61)),AO64*IF(AO62&lt;INDEX('Lease Cycles'!$DK$11:$DQ$11,1,AO61),0,IF(AO62=INDEX('Lease Cycles'!$DK$11:$DQ$11,1,AO61),1-INDEX('Lease Cycles'!$DR$11:$DX$11,1,AO61),1))),0)</f>
        <v>5625</v>
      </c>
      <c r="AP67" s="28">
        <f>IF(AP63=1,IF(INDEX('Lease Cycles'!$EF$11:$EL$11,1,AP61)=1,AP64*INDEX('Lease Cycles'!$EM$11:$ES$11,1,AP61)+AP65*IF(AP62&lt;INDEX('Lease Cycles'!$FA$11:$FG$11,1,AP61),0,1-INDEX('Lease Cycles'!$EM$11:$ES$11,1,AP61)),AP64*IF(AP62&lt;INDEX('Lease Cycles'!$DK$11:$DQ$11,1,AP61),0,IF(AP62=INDEX('Lease Cycles'!$DK$11:$DQ$11,1,AP61),1-INDEX('Lease Cycles'!$DR$11:$DX$11,1,AP61),1))),0)</f>
        <v>5625</v>
      </c>
      <c r="AQ67" s="28">
        <f>IF(AQ63=1,IF(INDEX('Lease Cycles'!$EF$11:$EL$11,1,AQ61)=1,AQ64*INDEX('Lease Cycles'!$EM$11:$ES$11,1,AQ61)+AQ65*IF(AQ62&lt;INDEX('Lease Cycles'!$FA$11:$FG$11,1,AQ61),0,1-INDEX('Lease Cycles'!$EM$11:$ES$11,1,AQ61)),AQ64*IF(AQ62&lt;INDEX('Lease Cycles'!$DK$11:$DQ$11,1,AQ61),0,IF(AQ62=INDEX('Lease Cycles'!$DK$11:$DQ$11,1,AQ61),1-INDEX('Lease Cycles'!$DR$11:$DX$11,1,AQ61),1))),0)</f>
        <v>5625</v>
      </c>
      <c r="AR67" s="28">
        <f>IF(AR63=1,IF(INDEX('Lease Cycles'!$EF$11:$EL$11,1,AR61)=1,AR64*INDEX('Lease Cycles'!$EM$11:$ES$11,1,AR61)+AR65*IF(AR62&lt;INDEX('Lease Cycles'!$FA$11:$FG$11,1,AR61),0,1-INDEX('Lease Cycles'!$EM$11:$ES$11,1,AR61)),AR64*IF(AR62&lt;INDEX('Lease Cycles'!$DK$11:$DQ$11,1,AR61),0,IF(AR62=INDEX('Lease Cycles'!$DK$11:$DQ$11,1,AR61),1-INDEX('Lease Cycles'!$DR$11:$DX$11,1,AR61),1))),0)</f>
        <v>5625</v>
      </c>
      <c r="AS67" s="28">
        <f>IF(AS63=1,IF(INDEX('Lease Cycles'!$EF$11:$EL$11,1,AS61)=1,AS64*INDEX('Lease Cycles'!$EM$11:$ES$11,1,AS61)+AS65*IF(AS62&lt;INDEX('Lease Cycles'!$FA$11:$FG$11,1,AS61),0,1-INDEX('Lease Cycles'!$EM$11:$ES$11,1,AS61)),AS64*IF(AS62&lt;INDEX('Lease Cycles'!$DK$11:$DQ$11,1,AS61),0,IF(AS62=INDEX('Lease Cycles'!$DK$11:$DQ$11,1,AS61),1-INDEX('Lease Cycles'!$DR$11:$DX$11,1,AS61),1))),0)</f>
        <v>5625</v>
      </c>
      <c r="AT67" s="28">
        <f>IF(AT63=1,IF(INDEX('Lease Cycles'!$EF$11:$EL$11,1,AT61)=1,AT64*INDEX('Lease Cycles'!$EM$11:$ES$11,1,AT61)+AT65*IF(AT62&lt;INDEX('Lease Cycles'!$FA$11:$FG$11,1,AT61),0,1-INDEX('Lease Cycles'!$EM$11:$ES$11,1,AT61)),AT64*IF(AT62&lt;INDEX('Lease Cycles'!$DK$11:$DQ$11,1,AT61),0,IF(AT62=INDEX('Lease Cycles'!$DK$11:$DQ$11,1,AT61),1-INDEX('Lease Cycles'!$DR$11:$DX$11,1,AT61),1))),0)</f>
        <v>5625</v>
      </c>
      <c r="AU67" s="28">
        <f>IF(AU63=1,IF(INDEX('Lease Cycles'!$EF$11:$EL$11,1,AU61)=1,AU64*INDEX('Lease Cycles'!$EM$11:$ES$11,1,AU61)+AU65*IF(AU62&lt;INDEX('Lease Cycles'!$FA$11:$FG$11,1,AU61),0,1-INDEX('Lease Cycles'!$EM$11:$ES$11,1,AU61)),AU64*IF(AU62&lt;INDEX('Lease Cycles'!$DK$11:$DQ$11,1,AU61),0,IF(AU62=INDEX('Lease Cycles'!$DK$11:$DQ$11,1,AU61),1-INDEX('Lease Cycles'!$DR$11:$DX$11,1,AU61),1))),0)</f>
        <v>5625</v>
      </c>
      <c r="AV67" s="28">
        <f>IF(AV63=1,IF(INDEX('Lease Cycles'!$EF$11:$EL$11,1,AV61)=1,AV64*INDEX('Lease Cycles'!$EM$11:$ES$11,1,AV61)+AV65*IF(AV62&lt;INDEX('Lease Cycles'!$FA$11:$FG$11,1,AV61),0,1-INDEX('Lease Cycles'!$EM$11:$ES$11,1,AV61)),AV64*IF(AV62&lt;INDEX('Lease Cycles'!$DK$11:$DQ$11,1,AV61),0,IF(AV62=INDEX('Lease Cycles'!$DK$11:$DQ$11,1,AV61),1-INDEX('Lease Cycles'!$DR$11:$DX$11,1,AV61),1))),0)</f>
        <v>5625</v>
      </c>
      <c r="AW67" s="28">
        <f>IF(AW63=1,IF(INDEX('Lease Cycles'!$EF$11:$EL$11,1,AW61)=1,AW64*INDEX('Lease Cycles'!$EM$11:$ES$11,1,AW61)+AW65*IF(AW62&lt;INDEX('Lease Cycles'!$FA$11:$FG$11,1,AW61),0,1-INDEX('Lease Cycles'!$EM$11:$ES$11,1,AW61)),AW64*IF(AW62&lt;INDEX('Lease Cycles'!$DK$11:$DQ$11,1,AW61),0,IF(AW62=INDEX('Lease Cycles'!$DK$11:$DQ$11,1,AW61),1-INDEX('Lease Cycles'!$DR$11:$DX$11,1,AW61),1))),0)</f>
        <v>5625</v>
      </c>
      <c r="AX67" s="28">
        <f>IF(AX63=1,IF(INDEX('Lease Cycles'!$EF$11:$EL$11,1,AX61)=1,AX64*INDEX('Lease Cycles'!$EM$11:$ES$11,1,AX61)+AX65*IF(AX62&lt;INDEX('Lease Cycles'!$FA$11:$FG$11,1,AX61),0,1-INDEX('Lease Cycles'!$EM$11:$ES$11,1,AX61)),AX64*IF(AX62&lt;INDEX('Lease Cycles'!$DK$11:$DQ$11,1,AX61),0,IF(AX62=INDEX('Lease Cycles'!$DK$11:$DQ$11,1,AX61),1-INDEX('Lease Cycles'!$DR$11:$DX$11,1,AX61),1))),0)</f>
        <v>5625</v>
      </c>
      <c r="AY67" s="28">
        <f>IF(AY63=1,IF(INDEX('Lease Cycles'!$EF$11:$EL$11,1,AY61)=1,AY64*INDEX('Lease Cycles'!$EM$11:$ES$11,1,AY61)+AY65*IF(AY62&lt;INDEX('Lease Cycles'!$FA$11:$FG$11,1,AY61),0,1-INDEX('Lease Cycles'!$EM$11:$ES$11,1,AY61)),AY64*IF(AY62&lt;INDEX('Lease Cycles'!$DK$11:$DQ$11,1,AY61),0,IF(AY62=INDEX('Lease Cycles'!$DK$11:$DQ$11,1,AY61),1-INDEX('Lease Cycles'!$DR$11:$DX$11,1,AY61),1))),0)</f>
        <v>5625</v>
      </c>
      <c r="AZ67" s="28">
        <f>IF(AZ63=1,IF(INDEX('Lease Cycles'!$EF$11:$EL$11,1,AZ61)=1,AZ64*INDEX('Lease Cycles'!$EM$11:$ES$11,1,AZ61)+AZ65*IF(AZ62&lt;INDEX('Lease Cycles'!$FA$11:$FG$11,1,AZ61),0,1-INDEX('Lease Cycles'!$EM$11:$ES$11,1,AZ61)),AZ64*IF(AZ62&lt;INDEX('Lease Cycles'!$DK$11:$DQ$11,1,AZ61),0,IF(AZ62=INDEX('Lease Cycles'!$DK$11:$DQ$11,1,AZ61),1-INDEX('Lease Cycles'!$DR$11:$DX$11,1,AZ61),1))),0)</f>
        <v>5625</v>
      </c>
      <c r="BA67" s="28">
        <f>IF(BA63=1,IF(INDEX('Lease Cycles'!$EF$11:$EL$11,1,BA61)=1,BA64*INDEX('Lease Cycles'!$EM$11:$ES$11,1,BA61)+BA65*IF(BA62&lt;INDEX('Lease Cycles'!$FA$11:$FG$11,1,BA61),0,1-INDEX('Lease Cycles'!$EM$11:$ES$11,1,BA61)),BA64*IF(BA62&lt;INDEX('Lease Cycles'!$DK$11:$DQ$11,1,BA61),0,IF(BA62=INDEX('Lease Cycles'!$DK$11:$DQ$11,1,BA61),1-INDEX('Lease Cycles'!$DR$11:$DX$11,1,BA61),1))),0)</f>
        <v>5625</v>
      </c>
      <c r="BB67" s="28">
        <f>IF(BB63=1,IF(INDEX('Lease Cycles'!$EF$11:$EL$11,1,BB61)=1,BB64*INDEX('Lease Cycles'!$EM$11:$ES$11,1,BB61)+BB65*IF(BB62&lt;INDEX('Lease Cycles'!$FA$11:$FG$11,1,BB61),0,1-INDEX('Lease Cycles'!$EM$11:$ES$11,1,BB61)),BB64*IF(BB62&lt;INDEX('Lease Cycles'!$DK$11:$DQ$11,1,BB61),0,IF(BB62=INDEX('Lease Cycles'!$DK$11:$DQ$11,1,BB61),1-INDEX('Lease Cycles'!$DR$11:$DX$11,1,BB61),1))),0)</f>
        <v>5625</v>
      </c>
      <c r="BC67" s="28">
        <f>IF(BC63=1,IF(INDEX('Lease Cycles'!$EF$11:$EL$11,1,BC61)=1,BC64*INDEX('Lease Cycles'!$EM$11:$ES$11,1,BC61)+BC65*IF(BC62&lt;INDEX('Lease Cycles'!$FA$11:$FG$11,1,BC61),0,1-INDEX('Lease Cycles'!$EM$11:$ES$11,1,BC61)),BC64*IF(BC62&lt;INDEX('Lease Cycles'!$DK$11:$DQ$11,1,BC61),0,IF(BC62=INDEX('Lease Cycles'!$DK$11:$DQ$11,1,BC61),1-INDEX('Lease Cycles'!$DR$11:$DX$11,1,BC61),1))),0)</f>
        <v>5625</v>
      </c>
      <c r="BD67" s="28">
        <f>IF(BD63=1,IF(INDEX('Lease Cycles'!$EF$11:$EL$11,1,BD61)=1,BD64*INDEX('Lease Cycles'!$EM$11:$ES$11,1,BD61)+BD65*IF(BD62&lt;INDEX('Lease Cycles'!$FA$11:$FG$11,1,BD61),0,1-INDEX('Lease Cycles'!$EM$11:$ES$11,1,BD61)),BD64*IF(BD62&lt;INDEX('Lease Cycles'!$DK$11:$DQ$11,1,BD61),0,IF(BD62=INDEX('Lease Cycles'!$DK$11:$DQ$11,1,BD61),1-INDEX('Lease Cycles'!$DR$11:$DX$11,1,BD61),1))),0)</f>
        <v>5625</v>
      </c>
      <c r="BE67" s="28">
        <f>IF(BE63=1,IF(INDEX('Lease Cycles'!$EF$11:$EL$11,1,BE61)=1,BE64*INDEX('Lease Cycles'!$EM$11:$ES$11,1,BE61)+BE65*IF(BE62&lt;INDEX('Lease Cycles'!$FA$11:$FG$11,1,BE61),0,1-INDEX('Lease Cycles'!$EM$11:$ES$11,1,BE61)),BE64*IF(BE62&lt;INDEX('Lease Cycles'!$DK$11:$DQ$11,1,BE61),0,IF(BE62=INDEX('Lease Cycles'!$DK$11:$DQ$11,1,BE61),1-INDEX('Lease Cycles'!$DR$11:$DX$11,1,BE61),1))),0)</f>
        <v>5625</v>
      </c>
      <c r="BF67" s="28">
        <f>IF(BF63=1,IF(INDEX('Lease Cycles'!$EF$11:$EL$11,1,BF61)=1,BF64*INDEX('Lease Cycles'!$EM$11:$ES$11,1,BF61)+BF65*IF(BF62&lt;INDEX('Lease Cycles'!$FA$11:$FG$11,1,BF61),0,1-INDEX('Lease Cycles'!$EM$11:$ES$11,1,BF61)),BF64*IF(BF62&lt;INDEX('Lease Cycles'!$DK$11:$DQ$11,1,BF61),0,IF(BF62=INDEX('Lease Cycles'!$DK$11:$DQ$11,1,BF61),1-INDEX('Lease Cycles'!$DR$11:$DX$11,1,BF61),1))),0)</f>
        <v>5625</v>
      </c>
      <c r="BG67" s="28">
        <f>IF(BG63=1,IF(INDEX('Lease Cycles'!$EF$11:$EL$11,1,BG61)=1,BG64*INDEX('Lease Cycles'!$EM$11:$ES$11,1,BG61)+BG65*IF(BG62&lt;INDEX('Lease Cycles'!$FA$11:$FG$11,1,BG61),0,1-INDEX('Lease Cycles'!$EM$11:$ES$11,1,BG61)),BG64*IF(BG62&lt;INDEX('Lease Cycles'!$DK$11:$DQ$11,1,BG61),0,IF(BG62=INDEX('Lease Cycles'!$DK$11:$DQ$11,1,BG61),1-INDEX('Lease Cycles'!$DR$11:$DX$11,1,BG61),1))),0)</f>
        <v>5625</v>
      </c>
      <c r="BH67" s="28">
        <f>IF(BH63=1,IF(INDEX('Lease Cycles'!$EF$11:$EL$11,1,BH61)=1,BH64*INDEX('Lease Cycles'!$EM$11:$ES$11,1,BH61)+BH65*IF(BH62&lt;INDEX('Lease Cycles'!$FA$11:$FG$11,1,BH61),0,1-INDEX('Lease Cycles'!$EM$11:$ES$11,1,BH61)),BH64*IF(BH62&lt;INDEX('Lease Cycles'!$DK$11:$DQ$11,1,BH61),0,IF(BH62=INDEX('Lease Cycles'!$DK$11:$DQ$11,1,BH61),1-INDEX('Lease Cycles'!$DR$11:$DX$11,1,BH61),1))),0)</f>
        <v>5625</v>
      </c>
      <c r="BI67" s="28">
        <f>IF(BI63=1,IF(INDEX('Lease Cycles'!$EF$11:$EL$11,1,BI61)=1,BI64*INDEX('Lease Cycles'!$EM$11:$ES$11,1,BI61)+BI65*IF(BI62&lt;INDEX('Lease Cycles'!$FA$11:$FG$11,1,BI61),0,1-INDEX('Lease Cycles'!$EM$11:$ES$11,1,BI61)),BI64*IF(BI62&lt;INDEX('Lease Cycles'!$DK$11:$DQ$11,1,BI61),0,IF(BI62=INDEX('Lease Cycles'!$DK$11:$DQ$11,1,BI61),1-INDEX('Lease Cycles'!$DR$11:$DX$11,1,BI61),1))),0)</f>
        <v>5625</v>
      </c>
      <c r="BJ67" s="28">
        <f>IF(BJ63=1,IF(INDEX('Lease Cycles'!$EF$11:$EL$11,1,BJ61)=1,BJ64*INDEX('Lease Cycles'!$EM$11:$ES$11,1,BJ61)+BJ65*IF(BJ62&lt;INDEX('Lease Cycles'!$FA$11:$FG$11,1,BJ61),0,1-INDEX('Lease Cycles'!$EM$11:$ES$11,1,BJ61)),BJ64*IF(BJ62&lt;INDEX('Lease Cycles'!$DK$11:$DQ$11,1,BJ61),0,IF(BJ62=INDEX('Lease Cycles'!$DK$11:$DQ$11,1,BJ61),1-INDEX('Lease Cycles'!$DR$11:$DX$11,1,BJ61),1))),0)</f>
        <v>5625</v>
      </c>
      <c r="BK67" s="28">
        <f>IF(BK63=1,IF(INDEX('Lease Cycles'!$EF$11:$EL$11,1,BK61)=1,BK64*INDEX('Lease Cycles'!$EM$11:$ES$11,1,BK61)+BK65*IF(BK62&lt;INDEX('Lease Cycles'!$FA$11:$FG$11,1,BK61),0,1-INDEX('Lease Cycles'!$EM$11:$ES$11,1,BK61)),BK64*IF(BK62&lt;INDEX('Lease Cycles'!$DK$11:$DQ$11,1,BK61),0,IF(BK62=INDEX('Lease Cycles'!$DK$11:$DQ$11,1,BK61),1-INDEX('Lease Cycles'!$DR$11:$DX$11,1,BK61),1))),0)</f>
        <v>5625</v>
      </c>
      <c r="BL67" s="28">
        <f>IF(BL63=1,IF(INDEX('Lease Cycles'!$EF$11:$EL$11,1,BL61)=1,BL64*INDEX('Lease Cycles'!$EM$11:$ES$11,1,BL61)+BL65*IF(BL62&lt;INDEX('Lease Cycles'!$FA$11:$FG$11,1,BL61),0,1-INDEX('Lease Cycles'!$EM$11:$ES$11,1,BL61)),BL64*IF(BL62&lt;INDEX('Lease Cycles'!$DK$11:$DQ$11,1,BL61),0,IF(BL62=INDEX('Lease Cycles'!$DK$11:$DQ$11,1,BL61),1-INDEX('Lease Cycles'!$DR$11:$DX$11,1,BL61),1))),0)</f>
        <v>5625</v>
      </c>
      <c r="BM67" s="28">
        <f>IF(BM63=1,IF(INDEX('Lease Cycles'!$EF$11:$EL$11,1,BM61)=1,BM64*INDEX('Lease Cycles'!$EM$11:$ES$11,1,BM61)+BM65*IF(BM62&lt;INDEX('Lease Cycles'!$FA$11:$FG$11,1,BM61),0,1-INDEX('Lease Cycles'!$EM$11:$ES$11,1,BM61)),BM64*IF(BM62&lt;INDEX('Lease Cycles'!$DK$11:$DQ$11,1,BM61),0,IF(BM62=INDEX('Lease Cycles'!$DK$11:$DQ$11,1,BM61),1-INDEX('Lease Cycles'!$DR$11:$DX$11,1,BM61),1))),0)</f>
        <v>5625</v>
      </c>
      <c r="BN67" s="28">
        <f>IF(BN63=1,IF(INDEX('Lease Cycles'!$EF$11:$EL$11,1,BN61)=1,BN64*INDEX('Lease Cycles'!$EM$11:$ES$11,1,BN61)+BN65*IF(BN62&lt;INDEX('Lease Cycles'!$FA$11:$FG$11,1,BN61),0,1-INDEX('Lease Cycles'!$EM$11:$ES$11,1,BN61)),BN64*IF(BN62&lt;INDEX('Lease Cycles'!$DK$11:$DQ$11,1,BN61),0,IF(BN62=INDEX('Lease Cycles'!$DK$11:$DQ$11,1,BN61),1-INDEX('Lease Cycles'!$DR$11:$DX$11,1,BN61),1))),0)</f>
        <v>5625</v>
      </c>
      <c r="BO67" s="28">
        <f>IF(BO63=1,IF(INDEX('Lease Cycles'!$EF$11:$EL$11,1,BO61)=1,BO64*INDEX('Lease Cycles'!$EM$11:$ES$11,1,BO61)+BO65*IF(BO62&lt;INDEX('Lease Cycles'!$FA$11:$FG$11,1,BO61),0,1-INDEX('Lease Cycles'!$EM$11:$ES$11,1,BO61)),BO64*IF(BO62&lt;INDEX('Lease Cycles'!$DK$11:$DQ$11,1,BO61),0,IF(BO62=INDEX('Lease Cycles'!$DK$11:$DQ$11,1,BO61),1-INDEX('Lease Cycles'!$DR$11:$DX$11,1,BO61),1))),0)</f>
        <v>5625</v>
      </c>
      <c r="BP67" s="28">
        <f>IF(BP63=1,IF(INDEX('Lease Cycles'!$EF$11:$EL$11,1,BP61)=1,BP64*INDEX('Lease Cycles'!$EM$11:$ES$11,1,BP61)+BP65*IF(BP62&lt;INDEX('Lease Cycles'!$FA$11:$FG$11,1,BP61),0,1-INDEX('Lease Cycles'!$EM$11:$ES$11,1,BP61)),BP64*IF(BP62&lt;INDEX('Lease Cycles'!$DK$11:$DQ$11,1,BP61),0,IF(BP62=INDEX('Lease Cycles'!$DK$11:$DQ$11,1,BP61),1-INDEX('Lease Cycles'!$DR$11:$DX$11,1,BP61),1))),0)</f>
        <v>5625</v>
      </c>
      <c r="BQ67" s="28">
        <f>IF(BQ63=1,IF(INDEX('Lease Cycles'!$EF$11:$EL$11,1,BQ61)=1,BQ64*INDEX('Lease Cycles'!$EM$11:$ES$11,1,BQ61)+BQ65*IF(BQ62&lt;INDEX('Lease Cycles'!$FA$11:$FG$11,1,BQ61),0,1-INDEX('Lease Cycles'!$EM$11:$ES$11,1,BQ61)),BQ64*IF(BQ62&lt;INDEX('Lease Cycles'!$DK$11:$DQ$11,1,BQ61),0,IF(BQ62=INDEX('Lease Cycles'!$DK$11:$DQ$11,1,BQ61),1-INDEX('Lease Cycles'!$DR$11:$DX$11,1,BQ61),1))),0)</f>
        <v>5625</v>
      </c>
      <c r="BR67" s="28">
        <f>IF(BR63=1,IF(INDEX('Lease Cycles'!$EF$11:$EL$11,1,BR61)=1,BR64*INDEX('Lease Cycles'!$EM$11:$ES$11,1,BR61)+BR65*IF(BR62&lt;INDEX('Lease Cycles'!$FA$11:$FG$11,1,BR61),0,1-INDEX('Lease Cycles'!$EM$11:$ES$11,1,BR61)),BR64*IF(BR62&lt;INDEX('Lease Cycles'!$DK$11:$DQ$11,1,BR61),0,IF(BR62=INDEX('Lease Cycles'!$DK$11:$DQ$11,1,BR61),1-INDEX('Lease Cycles'!$DR$11:$DX$11,1,BR61),1))),0)</f>
        <v>5625</v>
      </c>
      <c r="BS67" s="28">
        <f>IF(BS63=1,IF(INDEX('Lease Cycles'!$EF$11:$EL$11,1,BS61)=1,BS64*INDEX('Lease Cycles'!$EM$11:$ES$11,1,BS61)+BS65*IF(BS62&lt;INDEX('Lease Cycles'!$FA$11:$FG$11,1,BS61),0,1-INDEX('Lease Cycles'!$EM$11:$ES$11,1,BS61)),BS64*IF(BS62&lt;INDEX('Lease Cycles'!$DK$11:$DQ$11,1,BS61),0,IF(BS62=INDEX('Lease Cycles'!$DK$11:$DQ$11,1,BS61),1-INDEX('Lease Cycles'!$DR$11:$DX$11,1,BS61),1))),0)</f>
        <v>5625</v>
      </c>
      <c r="BT67" s="28">
        <f>IF(BT63=1,IF(INDEX('Lease Cycles'!$EF$11:$EL$11,1,BT61)=1,BT64*INDEX('Lease Cycles'!$EM$11:$ES$11,1,BT61)+BT65*IF(BT62&lt;INDEX('Lease Cycles'!$FA$11:$FG$11,1,BT61),0,1-INDEX('Lease Cycles'!$EM$11:$ES$11,1,BT61)),BT64*IF(BT62&lt;INDEX('Lease Cycles'!$DK$11:$DQ$11,1,BT61),0,IF(BT62=INDEX('Lease Cycles'!$DK$11:$DQ$11,1,BT61),1-INDEX('Lease Cycles'!$DR$11:$DX$11,1,BT61),1))),0)</f>
        <v>5625</v>
      </c>
      <c r="BU67" s="28">
        <f>IF(BU63=1,IF(INDEX('Lease Cycles'!$EF$11:$EL$11,1,BU61)=1,BU64*INDEX('Lease Cycles'!$EM$11:$ES$11,1,BU61)+BU65*IF(BU62&lt;INDEX('Lease Cycles'!$FA$11:$FG$11,1,BU61),0,1-INDEX('Lease Cycles'!$EM$11:$ES$11,1,BU61)),BU64*IF(BU62&lt;INDEX('Lease Cycles'!$DK$11:$DQ$11,1,BU61),0,IF(BU62=INDEX('Lease Cycles'!$DK$11:$DQ$11,1,BU61),1-INDEX('Lease Cycles'!$DR$11:$DX$11,1,BU61),1))),0)</f>
        <v>5625</v>
      </c>
      <c r="BV67" s="28">
        <f>IF(BV63=1,IF(INDEX('Lease Cycles'!$EF$11:$EL$11,1,BV61)=1,BV64*INDEX('Lease Cycles'!$EM$11:$ES$11,1,BV61)+BV65*IF(BV62&lt;INDEX('Lease Cycles'!$FA$11:$FG$11,1,BV61),0,1-INDEX('Lease Cycles'!$EM$11:$ES$11,1,BV61)),BV64*IF(BV62&lt;INDEX('Lease Cycles'!$DK$11:$DQ$11,1,BV61),0,IF(BV62=INDEX('Lease Cycles'!$DK$11:$DQ$11,1,BV61),1-INDEX('Lease Cycles'!$DR$11:$DX$11,1,BV61),1))),0)</f>
        <v>5625</v>
      </c>
      <c r="BW67" s="28">
        <f>IF(BW63=1,IF(INDEX('Lease Cycles'!$EF$11:$EL$11,1,BW61)=1,BW64*INDEX('Lease Cycles'!$EM$11:$ES$11,1,BW61)+BW65*IF(BW62&lt;INDEX('Lease Cycles'!$FA$11:$FG$11,1,BW61),0,1-INDEX('Lease Cycles'!$EM$11:$ES$11,1,BW61)),BW64*IF(BW62&lt;INDEX('Lease Cycles'!$DK$11:$DQ$11,1,BW61),0,IF(BW62=INDEX('Lease Cycles'!$DK$11:$DQ$11,1,BW61),1-INDEX('Lease Cycles'!$DR$11:$DX$11,1,BW61),1))),0)</f>
        <v>5625</v>
      </c>
      <c r="BX67" s="28">
        <f>IF(BX63=1,IF(INDEX('Lease Cycles'!$EF$11:$EL$11,1,BX61)=1,BX64*INDEX('Lease Cycles'!$EM$11:$ES$11,1,BX61)+BX65*IF(BX62&lt;INDEX('Lease Cycles'!$FA$11:$FG$11,1,BX61),0,1-INDEX('Lease Cycles'!$EM$11:$ES$11,1,BX61)),BX64*IF(BX62&lt;INDEX('Lease Cycles'!$DK$11:$DQ$11,1,BX61),0,IF(BX62=INDEX('Lease Cycles'!$DK$11:$DQ$11,1,BX61),1-INDEX('Lease Cycles'!$DR$11:$DX$11,1,BX61),1))),0)</f>
        <v>5625</v>
      </c>
      <c r="BY67" s="28">
        <f>IF(BY63=1,IF(INDEX('Lease Cycles'!$EF$11:$EL$11,1,BY61)=1,BY64*INDEX('Lease Cycles'!$EM$11:$ES$11,1,BY61)+BY65*IF(BY62&lt;INDEX('Lease Cycles'!$FA$11:$FG$11,1,BY61),0,1-INDEX('Lease Cycles'!$EM$11:$ES$11,1,BY61)),BY64*IF(BY62&lt;INDEX('Lease Cycles'!$DK$11:$DQ$11,1,BY61),0,IF(BY62=INDEX('Lease Cycles'!$DK$11:$DQ$11,1,BY61),1-INDEX('Lease Cycles'!$DR$11:$DX$11,1,BY61),1))),0)</f>
        <v>5625</v>
      </c>
      <c r="BZ67" s="28">
        <f>IF(BZ63=1,IF(INDEX('Lease Cycles'!$EF$11:$EL$11,1,BZ61)=1,BZ64*INDEX('Lease Cycles'!$EM$11:$ES$11,1,BZ61)+BZ65*IF(BZ62&lt;INDEX('Lease Cycles'!$FA$11:$FG$11,1,BZ61),0,1-INDEX('Lease Cycles'!$EM$11:$ES$11,1,BZ61)),BZ64*IF(BZ62&lt;INDEX('Lease Cycles'!$DK$11:$DQ$11,1,BZ61),0,IF(BZ62=INDEX('Lease Cycles'!$DK$11:$DQ$11,1,BZ61),1-INDEX('Lease Cycles'!$DR$11:$DX$11,1,BZ61),1))),0)</f>
        <v>5625</v>
      </c>
      <c r="CA67" s="28">
        <f>IF(CA63=1,IF(INDEX('Lease Cycles'!$EF$11:$EL$11,1,CA61)=1,CA64*INDEX('Lease Cycles'!$EM$11:$ES$11,1,CA61)+CA65*IF(CA62&lt;INDEX('Lease Cycles'!$FA$11:$FG$11,1,CA61),0,1-INDEX('Lease Cycles'!$EM$11:$ES$11,1,CA61)),CA64*IF(CA62&lt;INDEX('Lease Cycles'!$DK$11:$DQ$11,1,CA61),0,IF(CA62=INDEX('Lease Cycles'!$DK$11:$DQ$11,1,CA61),1-INDEX('Lease Cycles'!$DR$11:$DX$11,1,CA61),1))),0)</f>
        <v>5625</v>
      </c>
      <c r="CB67" s="28">
        <f>IF(CB63=1,IF(INDEX('Lease Cycles'!$EF$11:$EL$11,1,CB61)=1,CB64*INDEX('Lease Cycles'!$EM$11:$ES$11,1,CB61)+CB65*IF(CB62&lt;INDEX('Lease Cycles'!$FA$11:$FG$11,1,CB61),0,1-INDEX('Lease Cycles'!$EM$11:$ES$11,1,CB61)),CB64*IF(CB62&lt;INDEX('Lease Cycles'!$DK$11:$DQ$11,1,CB61),0,IF(CB62=INDEX('Lease Cycles'!$DK$11:$DQ$11,1,CB61),1-INDEX('Lease Cycles'!$DR$11:$DX$11,1,CB61),1))),0)</f>
        <v>5625</v>
      </c>
      <c r="CC67" s="28">
        <f>IF(CC63=1,IF(INDEX('Lease Cycles'!$EF$11:$EL$11,1,CC61)=1,CC64*INDEX('Lease Cycles'!$EM$11:$ES$11,1,CC61)+CC65*IF(CC62&lt;INDEX('Lease Cycles'!$FA$11:$FG$11,1,CC61),0,1-INDEX('Lease Cycles'!$EM$11:$ES$11,1,CC61)),CC64*IF(CC62&lt;INDEX('Lease Cycles'!$DK$11:$DQ$11,1,CC61),0,IF(CC62=INDEX('Lease Cycles'!$DK$11:$DQ$11,1,CC61),1-INDEX('Lease Cycles'!$DR$11:$DX$11,1,CC61),1))),0)</f>
        <v>0</v>
      </c>
      <c r="CD67" s="28">
        <f>IF(CD63=1,IF(INDEX('Lease Cycles'!$EF$11:$EL$11,1,CD61)=1,CD64*INDEX('Lease Cycles'!$EM$11:$ES$11,1,CD61)+CD65*IF(CD62&lt;INDEX('Lease Cycles'!$FA$11:$FG$11,1,CD61),0,1-INDEX('Lease Cycles'!$EM$11:$ES$11,1,CD61)),CD64*IF(CD62&lt;INDEX('Lease Cycles'!$DK$11:$DQ$11,1,CD61),0,IF(CD62=INDEX('Lease Cycles'!$DK$11:$DQ$11,1,CD61),1-INDEX('Lease Cycles'!$DR$11:$DX$11,1,CD61),1))),0)</f>
        <v>900.2350469334979</v>
      </c>
      <c r="CE67" s="28">
        <f>IF(CE63=1,IF(INDEX('Lease Cycles'!$EF$11:$EL$11,1,CE61)=1,CE64*INDEX('Lease Cycles'!$EM$11:$ES$11,1,CE61)+CE65*IF(CE62&lt;INDEX('Lease Cycles'!$FA$11:$FG$11,1,CE61),0,1-INDEX('Lease Cycles'!$EM$11:$ES$11,1,CE61)),CE64*IF(CE62&lt;INDEX('Lease Cycles'!$DK$11:$DQ$11,1,CE61),0,IF(CE62=INDEX('Lease Cycles'!$DK$11:$DQ$11,1,CE61),1-INDEX('Lease Cycles'!$DR$11:$DX$11,1,CE61),1))),0)</f>
        <v>4501.17523466755</v>
      </c>
      <c r="CF67" s="28">
        <f>IF(CF63=1,IF(INDEX('Lease Cycles'!$EF$11:$EL$11,1,CF61)=1,CF64*INDEX('Lease Cycles'!$EM$11:$ES$11,1,CF61)+CF65*IF(CF62&lt;INDEX('Lease Cycles'!$FA$11:$FG$11,1,CF61),0,1-INDEX('Lease Cycles'!$EM$11:$ES$11,1,CF61)),CF64*IF(CF62&lt;INDEX('Lease Cycles'!$DK$11:$DQ$11,1,CF61),0,IF(CF62=INDEX('Lease Cycles'!$DK$11:$DQ$11,1,CF61),1-INDEX('Lease Cycles'!$DR$11:$DX$11,1,CF61),1))),0)</f>
        <v>4501.17523466755</v>
      </c>
      <c r="CG67" s="28">
        <f>IF(CG63=1,IF(INDEX('Lease Cycles'!$EF$11:$EL$11,1,CG61)=1,CG64*INDEX('Lease Cycles'!$EM$11:$ES$11,1,CG61)+CG65*IF(CG62&lt;INDEX('Lease Cycles'!$FA$11:$FG$11,1,CG61),0,1-INDEX('Lease Cycles'!$EM$11:$ES$11,1,CG61)),CG64*IF(CG62&lt;INDEX('Lease Cycles'!$DK$11:$DQ$11,1,CG61),0,IF(CG62=INDEX('Lease Cycles'!$DK$11:$DQ$11,1,CG61),1-INDEX('Lease Cycles'!$DR$11:$DX$11,1,CG61),1))),0)</f>
        <v>4501.17523466755</v>
      </c>
      <c r="CH67" s="28">
        <f>IF(CH63=1,IF(INDEX('Lease Cycles'!$EF$11:$EL$11,1,CH61)=1,CH64*INDEX('Lease Cycles'!$EM$11:$ES$11,1,CH61)+CH65*IF(CH62&lt;INDEX('Lease Cycles'!$FA$11:$FG$11,1,CH61),0,1-INDEX('Lease Cycles'!$EM$11:$ES$11,1,CH61)),CH64*IF(CH62&lt;INDEX('Lease Cycles'!$DK$11:$DQ$11,1,CH61),0,IF(CH62=INDEX('Lease Cycles'!$DK$11:$DQ$11,1,CH61),1-INDEX('Lease Cycles'!$DR$11:$DX$11,1,CH61),1))),0)</f>
        <v>4501.17523466755</v>
      </c>
      <c r="CI67" s="28">
        <f>IF(CI63=1,IF(INDEX('Lease Cycles'!$EF$11:$EL$11,1,CI61)=1,CI64*INDEX('Lease Cycles'!$EM$11:$ES$11,1,CI61)+CI65*IF(CI62&lt;INDEX('Lease Cycles'!$FA$11:$FG$11,1,CI61),0,1-INDEX('Lease Cycles'!$EM$11:$ES$11,1,CI61)),CI64*IF(CI62&lt;INDEX('Lease Cycles'!$DK$11:$DQ$11,1,CI61),0,IF(CI62=INDEX('Lease Cycles'!$DK$11:$DQ$11,1,CI61),1-INDEX('Lease Cycles'!$DR$11:$DX$11,1,CI61),1))),0)</f>
        <v>4501.17523466755</v>
      </c>
      <c r="CJ67" s="28">
        <f>IF(CJ63=1,IF(INDEX('Lease Cycles'!$EF$11:$EL$11,1,CJ61)=1,CJ64*INDEX('Lease Cycles'!$EM$11:$ES$11,1,CJ61)+CJ65*IF(CJ62&lt;INDEX('Lease Cycles'!$FA$11:$FG$11,1,CJ61),0,1-INDEX('Lease Cycles'!$EM$11:$ES$11,1,CJ61)),CJ64*IF(CJ62&lt;INDEX('Lease Cycles'!$DK$11:$DQ$11,1,CJ61),0,IF(CJ62=INDEX('Lease Cycles'!$DK$11:$DQ$11,1,CJ61),1-INDEX('Lease Cycles'!$DR$11:$DX$11,1,CJ61),1))),0)</f>
        <v>4501.17523466755</v>
      </c>
      <c r="CK67" s="28">
        <f>IF(CK63=1,IF(INDEX('Lease Cycles'!$EF$11:$EL$11,1,CK61)=1,CK64*INDEX('Lease Cycles'!$EM$11:$ES$11,1,CK61)+CK65*IF(CK62&lt;INDEX('Lease Cycles'!$FA$11:$FG$11,1,CK61),0,1-INDEX('Lease Cycles'!$EM$11:$ES$11,1,CK61)),CK64*IF(CK62&lt;INDEX('Lease Cycles'!$DK$11:$DQ$11,1,CK61),0,IF(CK62=INDEX('Lease Cycles'!$DK$11:$DQ$11,1,CK61),1-INDEX('Lease Cycles'!$DR$11:$DX$11,1,CK61),1))),0)</f>
        <v>4501.17523466755</v>
      </c>
      <c r="CL67" s="28">
        <f>IF(CL63=1,IF(INDEX('Lease Cycles'!$EF$11:$EL$11,1,CL61)=1,CL64*INDEX('Lease Cycles'!$EM$11:$ES$11,1,CL61)+CL65*IF(CL62&lt;INDEX('Lease Cycles'!$FA$11:$FG$11,1,CL61),0,1-INDEX('Lease Cycles'!$EM$11:$ES$11,1,CL61)),CL64*IF(CL62&lt;INDEX('Lease Cycles'!$DK$11:$DQ$11,1,CL61),0,IF(CL62=INDEX('Lease Cycles'!$DK$11:$DQ$11,1,CL61),1-INDEX('Lease Cycles'!$DR$11:$DX$11,1,CL61),1))),0)</f>
        <v>4501.17523466755</v>
      </c>
      <c r="CM67" s="28">
        <f>IF(CM63=1,IF(INDEX('Lease Cycles'!$EF$11:$EL$11,1,CM61)=1,CM64*INDEX('Lease Cycles'!$EM$11:$ES$11,1,CM61)+CM65*IF(CM62&lt;INDEX('Lease Cycles'!$FA$11:$FG$11,1,CM61),0,1-INDEX('Lease Cycles'!$EM$11:$ES$11,1,CM61)),CM64*IF(CM62&lt;INDEX('Lease Cycles'!$DK$11:$DQ$11,1,CM61),0,IF(CM62=INDEX('Lease Cycles'!$DK$11:$DQ$11,1,CM61),1-INDEX('Lease Cycles'!$DR$11:$DX$11,1,CM61),1))),0)</f>
        <v>4501.17523466755</v>
      </c>
      <c r="CN67" s="28">
        <f>IF(CN63=1,IF(INDEX('Lease Cycles'!$EF$11:$EL$11,1,CN61)=1,CN64*INDEX('Lease Cycles'!$EM$11:$ES$11,1,CN61)+CN65*IF(CN62&lt;INDEX('Lease Cycles'!$FA$11:$FG$11,1,CN61),0,1-INDEX('Lease Cycles'!$EM$11:$ES$11,1,CN61)),CN64*IF(CN62&lt;INDEX('Lease Cycles'!$DK$11:$DQ$11,1,CN61),0,IF(CN62=INDEX('Lease Cycles'!$DK$11:$DQ$11,1,CN61),1-INDEX('Lease Cycles'!$DR$11:$DX$11,1,CN61),1))),0)</f>
        <v>4501.17523466755</v>
      </c>
      <c r="CO67" s="28">
        <f>IF(CO63=1,IF(INDEX('Lease Cycles'!$EF$11:$EL$11,1,CO61)=1,CO64*INDEX('Lease Cycles'!$EM$11:$ES$11,1,CO61)+CO65*IF(CO62&lt;INDEX('Lease Cycles'!$FA$11:$FG$11,1,CO61),0,1-INDEX('Lease Cycles'!$EM$11:$ES$11,1,CO61)),CO64*IF(CO62&lt;INDEX('Lease Cycles'!$DK$11:$DQ$11,1,CO61),0,IF(CO62=INDEX('Lease Cycles'!$DK$11:$DQ$11,1,CO61),1-INDEX('Lease Cycles'!$DR$11:$DX$11,1,CO61),1))),0)</f>
        <v>4501.17523466755</v>
      </c>
      <c r="CP67" s="28">
        <f>IF(CP63=1,IF(INDEX('Lease Cycles'!$EF$11:$EL$11,1,CP61)=1,CP64*INDEX('Lease Cycles'!$EM$11:$ES$11,1,CP61)+CP65*IF(CP62&lt;INDEX('Lease Cycles'!$FA$11:$FG$11,1,CP61),0,1-INDEX('Lease Cycles'!$EM$11:$ES$11,1,CP61)),CP64*IF(CP62&lt;INDEX('Lease Cycles'!$DK$11:$DQ$11,1,CP61),0,IF(CP62=INDEX('Lease Cycles'!$DK$11:$DQ$11,1,CP61),1-INDEX('Lease Cycles'!$DR$11:$DX$11,1,CP61),1))),0)</f>
        <v>4636.210491707577</v>
      </c>
      <c r="CQ67" s="28">
        <f>IF(CQ63=1,IF(INDEX('Lease Cycles'!$EF$11:$EL$11,1,CQ61)=1,CQ64*INDEX('Lease Cycles'!$EM$11:$ES$11,1,CQ61)+CQ65*IF(CQ62&lt;INDEX('Lease Cycles'!$FA$11:$FG$11,1,CQ61),0,1-INDEX('Lease Cycles'!$EM$11:$ES$11,1,CQ61)),CQ64*IF(CQ62&lt;INDEX('Lease Cycles'!$DK$11:$DQ$11,1,CQ61),0,IF(CQ62=INDEX('Lease Cycles'!$DK$11:$DQ$11,1,CQ61),1-INDEX('Lease Cycles'!$DR$11:$DX$11,1,CQ61),1))),0)</f>
        <v>4636.210491707577</v>
      </c>
      <c r="CR67" s="28">
        <f>IF(CR63=1,IF(INDEX('Lease Cycles'!$EF$11:$EL$11,1,CR61)=1,CR64*INDEX('Lease Cycles'!$EM$11:$ES$11,1,CR61)+CR65*IF(CR62&lt;INDEX('Lease Cycles'!$FA$11:$FG$11,1,CR61),0,1-INDEX('Lease Cycles'!$EM$11:$ES$11,1,CR61)),CR64*IF(CR62&lt;INDEX('Lease Cycles'!$DK$11:$DQ$11,1,CR61),0,IF(CR62=INDEX('Lease Cycles'!$DK$11:$DQ$11,1,CR61),1-INDEX('Lease Cycles'!$DR$11:$DX$11,1,CR61),1))),0)</f>
        <v>4636.210491707577</v>
      </c>
      <c r="CS67" s="28">
        <f>IF(CS63=1,IF(INDEX('Lease Cycles'!$EF$11:$EL$11,1,CS61)=1,CS64*INDEX('Lease Cycles'!$EM$11:$ES$11,1,CS61)+CS65*IF(CS62&lt;INDEX('Lease Cycles'!$FA$11:$FG$11,1,CS61),0,1-INDEX('Lease Cycles'!$EM$11:$ES$11,1,CS61)),CS64*IF(CS62&lt;INDEX('Lease Cycles'!$DK$11:$DQ$11,1,CS61),0,IF(CS62=INDEX('Lease Cycles'!$DK$11:$DQ$11,1,CS61),1-INDEX('Lease Cycles'!$DR$11:$DX$11,1,CS61),1))),0)</f>
        <v>4636.210491707577</v>
      </c>
      <c r="CT67" s="28">
        <f>IF(CT63=1,IF(INDEX('Lease Cycles'!$EF$11:$EL$11,1,CT61)=1,CT64*INDEX('Lease Cycles'!$EM$11:$ES$11,1,CT61)+CT65*IF(CT62&lt;INDEX('Lease Cycles'!$FA$11:$FG$11,1,CT61),0,1-INDEX('Lease Cycles'!$EM$11:$ES$11,1,CT61)),CT64*IF(CT62&lt;INDEX('Lease Cycles'!$DK$11:$DQ$11,1,CT61),0,IF(CT62=INDEX('Lease Cycles'!$DK$11:$DQ$11,1,CT61),1-INDEX('Lease Cycles'!$DR$11:$DX$11,1,CT61),1))),0)</f>
        <v>4636.210491707577</v>
      </c>
      <c r="CU67" s="28">
        <f>IF(CU63=1,IF(INDEX('Lease Cycles'!$EF$11:$EL$11,1,CU61)=1,CU64*INDEX('Lease Cycles'!$EM$11:$ES$11,1,CU61)+CU65*IF(CU62&lt;INDEX('Lease Cycles'!$FA$11:$FG$11,1,CU61),0,1-INDEX('Lease Cycles'!$EM$11:$ES$11,1,CU61)),CU64*IF(CU62&lt;INDEX('Lease Cycles'!$DK$11:$DQ$11,1,CU61),0,IF(CU62=INDEX('Lease Cycles'!$DK$11:$DQ$11,1,CU61),1-INDEX('Lease Cycles'!$DR$11:$DX$11,1,CU61),1))),0)</f>
        <v>4636.210491707577</v>
      </c>
      <c r="CV67" s="28">
        <f>IF(CV63=1,IF(INDEX('Lease Cycles'!$EF$11:$EL$11,1,CV61)=1,CV64*INDEX('Lease Cycles'!$EM$11:$ES$11,1,CV61)+CV65*IF(CV62&lt;INDEX('Lease Cycles'!$FA$11:$FG$11,1,CV61),0,1-INDEX('Lease Cycles'!$EM$11:$ES$11,1,CV61)),CV64*IF(CV62&lt;INDEX('Lease Cycles'!$DK$11:$DQ$11,1,CV61),0,IF(CV62=INDEX('Lease Cycles'!$DK$11:$DQ$11,1,CV61),1-INDEX('Lease Cycles'!$DR$11:$DX$11,1,CV61),1))),0)</f>
        <v>4636.210491707577</v>
      </c>
      <c r="CW67" s="28">
        <f>IF(CW63=1,IF(INDEX('Lease Cycles'!$EF$11:$EL$11,1,CW61)=1,CW64*INDEX('Lease Cycles'!$EM$11:$ES$11,1,CW61)+CW65*IF(CW62&lt;INDEX('Lease Cycles'!$FA$11:$FG$11,1,CW61),0,1-INDEX('Lease Cycles'!$EM$11:$ES$11,1,CW61)),CW64*IF(CW62&lt;INDEX('Lease Cycles'!$DK$11:$DQ$11,1,CW61),0,IF(CW62=INDEX('Lease Cycles'!$DK$11:$DQ$11,1,CW61),1-INDEX('Lease Cycles'!$DR$11:$DX$11,1,CW61),1))),0)</f>
        <v>4636.210491707577</v>
      </c>
      <c r="CX67" s="28">
        <f>IF(CX63=1,IF(INDEX('Lease Cycles'!$EF$11:$EL$11,1,CX61)=1,CX64*INDEX('Lease Cycles'!$EM$11:$ES$11,1,CX61)+CX65*IF(CX62&lt;INDEX('Lease Cycles'!$FA$11:$FG$11,1,CX61),0,1-INDEX('Lease Cycles'!$EM$11:$ES$11,1,CX61)),CX64*IF(CX62&lt;INDEX('Lease Cycles'!$DK$11:$DQ$11,1,CX61),0,IF(CX62=INDEX('Lease Cycles'!$DK$11:$DQ$11,1,CX61),1-INDEX('Lease Cycles'!$DR$11:$DX$11,1,CX61),1))),0)</f>
        <v>4636.210491707577</v>
      </c>
      <c r="CY67" s="28">
        <f>IF(CY63=1,IF(INDEX('Lease Cycles'!$EF$11:$EL$11,1,CY61)=1,CY64*INDEX('Lease Cycles'!$EM$11:$ES$11,1,CY61)+CY65*IF(CY62&lt;INDEX('Lease Cycles'!$FA$11:$FG$11,1,CY61),0,1-INDEX('Lease Cycles'!$EM$11:$ES$11,1,CY61)),CY64*IF(CY62&lt;INDEX('Lease Cycles'!$DK$11:$DQ$11,1,CY61),0,IF(CY62=INDEX('Lease Cycles'!$DK$11:$DQ$11,1,CY61),1-INDEX('Lease Cycles'!$DR$11:$DX$11,1,CY61),1))),0)</f>
        <v>4636.210491707577</v>
      </c>
      <c r="CZ67" s="28">
        <f>IF(CZ63=1,IF(INDEX('Lease Cycles'!$EF$11:$EL$11,1,CZ61)=1,CZ64*INDEX('Lease Cycles'!$EM$11:$ES$11,1,CZ61)+CZ65*IF(CZ62&lt;INDEX('Lease Cycles'!$FA$11:$FG$11,1,CZ61),0,1-INDEX('Lease Cycles'!$EM$11:$ES$11,1,CZ61)),CZ64*IF(CZ62&lt;INDEX('Lease Cycles'!$DK$11:$DQ$11,1,CZ61),0,IF(CZ62=INDEX('Lease Cycles'!$DK$11:$DQ$11,1,CZ61),1-INDEX('Lease Cycles'!$DR$11:$DX$11,1,CZ61),1))),0)</f>
        <v>4636.210491707577</v>
      </c>
      <c r="DA67" s="28">
        <f>IF(DA63=1,IF(INDEX('Lease Cycles'!$EF$11:$EL$11,1,DA61)=1,DA64*INDEX('Lease Cycles'!$EM$11:$ES$11,1,DA61)+DA65*IF(DA62&lt;INDEX('Lease Cycles'!$FA$11:$FG$11,1,DA61),0,1-INDEX('Lease Cycles'!$EM$11:$ES$11,1,DA61)),DA64*IF(DA62&lt;INDEX('Lease Cycles'!$DK$11:$DQ$11,1,DA61),0,IF(DA62=INDEX('Lease Cycles'!$DK$11:$DQ$11,1,DA61),1-INDEX('Lease Cycles'!$DR$11:$DX$11,1,DA61),1))),0)</f>
        <v>4636.210491707577</v>
      </c>
      <c r="DB67" s="28">
        <f>IF(DB63=1,IF(INDEX('Lease Cycles'!$EF$11:$EL$11,1,DB61)=1,DB64*INDEX('Lease Cycles'!$EM$11:$ES$11,1,DB61)+DB65*IF(DB62&lt;INDEX('Lease Cycles'!$FA$11:$FG$11,1,DB61),0,1-INDEX('Lease Cycles'!$EM$11:$ES$11,1,DB61)),DB64*IF(DB62&lt;INDEX('Lease Cycles'!$DK$11:$DQ$11,1,DB61),0,IF(DB62=INDEX('Lease Cycles'!$DK$11:$DQ$11,1,DB61),1-INDEX('Lease Cycles'!$DR$11:$DX$11,1,DB61),1))),0)</f>
        <v>4775.296806458804</v>
      </c>
      <c r="DC67" s="28">
        <f>IF(DC63=1,IF(INDEX('Lease Cycles'!$EF$11:$EL$11,1,DC61)=1,DC64*INDEX('Lease Cycles'!$EM$11:$ES$11,1,DC61)+DC65*IF(DC62&lt;INDEX('Lease Cycles'!$FA$11:$FG$11,1,DC61),0,1-INDEX('Lease Cycles'!$EM$11:$ES$11,1,DC61)),DC64*IF(DC62&lt;INDEX('Lease Cycles'!$DK$11:$DQ$11,1,DC61),0,IF(DC62=INDEX('Lease Cycles'!$DK$11:$DQ$11,1,DC61),1-INDEX('Lease Cycles'!$DR$11:$DX$11,1,DC61),1))),0)</f>
        <v>4775.296806458804</v>
      </c>
      <c r="DD67" s="28">
        <f>IF(DD63=1,IF(INDEX('Lease Cycles'!$EF$11:$EL$11,1,DD61)=1,DD64*INDEX('Lease Cycles'!$EM$11:$ES$11,1,DD61)+DD65*IF(DD62&lt;INDEX('Lease Cycles'!$FA$11:$FG$11,1,DD61),0,1-INDEX('Lease Cycles'!$EM$11:$ES$11,1,DD61)),DD64*IF(DD62&lt;INDEX('Lease Cycles'!$DK$11:$DQ$11,1,DD61),0,IF(DD62=INDEX('Lease Cycles'!$DK$11:$DQ$11,1,DD61),1-INDEX('Lease Cycles'!$DR$11:$DX$11,1,DD61),1))),0)</f>
        <v>4775.296806458804</v>
      </c>
      <c r="DE67" s="28">
        <f>IF(DE63=1,IF(INDEX('Lease Cycles'!$EF$11:$EL$11,1,DE61)=1,DE64*INDEX('Lease Cycles'!$EM$11:$ES$11,1,DE61)+DE65*IF(DE62&lt;INDEX('Lease Cycles'!$FA$11:$FG$11,1,DE61),0,1-INDEX('Lease Cycles'!$EM$11:$ES$11,1,DE61)),DE64*IF(DE62&lt;INDEX('Lease Cycles'!$DK$11:$DQ$11,1,DE61),0,IF(DE62=INDEX('Lease Cycles'!$DK$11:$DQ$11,1,DE61),1-INDEX('Lease Cycles'!$DR$11:$DX$11,1,DE61),1))),0)</f>
        <v>4775.296806458804</v>
      </c>
      <c r="DF67" s="28">
        <f>IF(DF63=1,IF(INDEX('Lease Cycles'!$EF$11:$EL$11,1,DF61)=1,DF64*INDEX('Lease Cycles'!$EM$11:$ES$11,1,DF61)+DF65*IF(DF62&lt;INDEX('Lease Cycles'!$FA$11:$FG$11,1,DF61),0,1-INDEX('Lease Cycles'!$EM$11:$ES$11,1,DF61)),DF64*IF(DF62&lt;INDEX('Lease Cycles'!$DK$11:$DQ$11,1,DF61),0,IF(DF62=INDEX('Lease Cycles'!$DK$11:$DQ$11,1,DF61),1-INDEX('Lease Cycles'!$DR$11:$DX$11,1,DF61),1))),0)</f>
        <v>4775.296806458804</v>
      </c>
      <c r="DG67" s="28">
        <f>IF(DG63=1,IF(INDEX('Lease Cycles'!$EF$11:$EL$11,1,DG61)=1,DG64*INDEX('Lease Cycles'!$EM$11:$ES$11,1,DG61)+DG65*IF(DG62&lt;INDEX('Lease Cycles'!$FA$11:$FG$11,1,DG61),0,1-INDEX('Lease Cycles'!$EM$11:$ES$11,1,DG61)),DG64*IF(DG62&lt;INDEX('Lease Cycles'!$DK$11:$DQ$11,1,DG61),0,IF(DG62=INDEX('Lease Cycles'!$DK$11:$DQ$11,1,DG61),1-INDEX('Lease Cycles'!$DR$11:$DX$11,1,DG61),1))),0)</f>
        <v>4775.296806458804</v>
      </c>
      <c r="DH67" s="28">
        <f>IF(DH63=1,IF(INDEX('Lease Cycles'!$EF$11:$EL$11,1,DH61)=1,DH64*INDEX('Lease Cycles'!$EM$11:$ES$11,1,DH61)+DH65*IF(DH62&lt;INDEX('Lease Cycles'!$FA$11:$FG$11,1,DH61),0,1-INDEX('Lease Cycles'!$EM$11:$ES$11,1,DH61)),DH64*IF(DH62&lt;INDEX('Lease Cycles'!$DK$11:$DQ$11,1,DH61),0,IF(DH62=INDEX('Lease Cycles'!$DK$11:$DQ$11,1,DH61),1-INDEX('Lease Cycles'!$DR$11:$DX$11,1,DH61),1))),0)</f>
        <v>4775.296806458804</v>
      </c>
      <c r="DI67" s="28">
        <f>IF(DI63=1,IF(INDEX('Lease Cycles'!$EF$11:$EL$11,1,DI61)=1,DI64*INDEX('Lease Cycles'!$EM$11:$ES$11,1,DI61)+DI65*IF(DI62&lt;INDEX('Lease Cycles'!$FA$11:$FG$11,1,DI61),0,1-INDEX('Lease Cycles'!$EM$11:$ES$11,1,DI61)),DI64*IF(DI62&lt;INDEX('Lease Cycles'!$DK$11:$DQ$11,1,DI61),0,IF(DI62=INDEX('Lease Cycles'!$DK$11:$DQ$11,1,DI61),1-INDEX('Lease Cycles'!$DR$11:$DX$11,1,DI61),1))),0)</f>
        <v>4775.296806458804</v>
      </c>
      <c r="DJ67" s="28">
        <f>IF(DJ63=1,IF(INDEX('Lease Cycles'!$EF$11:$EL$11,1,DJ61)=1,DJ64*INDEX('Lease Cycles'!$EM$11:$ES$11,1,DJ61)+DJ65*IF(DJ62&lt;INDEX('Lease Cycles'!$FA$11:$FG$11,1,DJ61),0,1-INDEX('Lease Cycles'!$EM$11:$ES$11,1,DJ61)),DJ64*IF(DJ62&lt;INDEX('Lease Cycles'!$DK$11:$DQ$11,1,DJ61),0,IF(DJ62=INDEX('Lease Cycles'!$DK$11:$DQ$11,1,DJ61),1-INDEX('Lease Cycles'!$DR$11:$DX$11,1,DJ61),1))),0)</f>
        <v>4775.296806458804</v>
      </c>
      <c r="DK67" s="28">
        <f>IF(DK63=1,IF(INDEX('Lease Cycles'!$EF$11:$EL$11,1,DK61)=1,DK64*INDEX('Lease Cycles'!$EM$11:$ES$11,1,DK61)+DK65*IF(DK62&lt;INDEX('Lease Cycles'!$FA$11:$FG$11,1,DK61),0,1-INDEX('Lease Cycles'!$EM$11:$ES$11,1,DK61)),DK64*IF(DK62&lt;INDEX('Lease Cycles'!$DK$11:$DQ$11,1,DK61),0,IF(DK62=INDEX('Lease Cycles'!$DK$11:$DQ$11,1,DK61),1-INDEX('Lease Cycles'!$DR$11:$DX$11,1,DK61),1))),0)</f>
        <v>4775.296806458804</v>
      </c>
      <c r="DL67" s="28">
        <f>IF(DL63=1,IF(INDEX('Lease Cycles'!$EF$11:$EL$11,1,DL61)=1,DL64*INDEX('Lease Cycles'!$EM$11:$ES$11,1,DL61)+DL65*IF(DL62&lt;INDEX('Lease Cycles'!$FA$11:$FG$11,1,DL61),0,1-INDEX('Lease Cycles'!$EM$11:$ES$11,1,DL61)),DL64*IF(DL62&lt;INDEX('Lease Cycles'!$DK$11:$DQ$11,1,DL61),0,IF(DL62=INDEX('Lease Cycles'!$DK$11:$DQ$11,1,DL61),1-INDEX('Lease Cycles'!$DR$11:$DX$11,1,DL61),1))),0)</f>
        <v>4775.296806458804</v>
      </c>
      <c r="DM67" s="28">
        <f>IF(DM63=1,IF(INDEX('Lease Cycles'!$EF$11:$EL$11,1,DM61)=1,DM64*INDEX('Lease Cycles'!$EM$11:$ES$11,1,DM61)+DM65*IF(DM62&lt;INDEX('Lease Cycles'!$FA$11:$FG$11,1,DM61),0,1-INDEX('Lease Cycles'!$EM$11:$ES$11,1,DM61)),DM64*IF(DM62&lt;INDEX('Lease Cycles'!$DK$11:$DQ$11,1,DM61),0,IF(DM62=INDEX('Lease Cycles'!$DK$11:$DQ$11,1,DM61),1-INDEX('Lease Cycles'!$DR$11:$DX$11,1,DM61),1))),0)</f>
        <v>4775.296806458804</v>
      </c>
      <c r="DN67" s="28">
        <f>IF(DN63=1,IF(INDEX('Lease Cycles'!$EF$11:$EL$11,1,DN61)=1,DN64*INDEX('Lease Cycles'!$EM$11:$ES$11,1,DN61)+DN65*IF(DN62&lt;INDEX('Lease Cycles'!$FA$11:$FG$11,1,DN61),0,1-INDEX('Lease Cycles'!$EM$11:$ES$11,1,DN61)),DN64*IF(DN62&lt;INDEX('Lease Cycles'!$DK$11:$DQ$11,1,DN61),0,IF(DN62=INDEX('Lease Cycles'!$DK$11:$DQ$11,1,DN61),1-INDEX('Lease Cycles'!$DR$11:$DX$11,1,DN61),1))),0)</f>
        <v>4918.555710652568</v>
      </c>
      <c r="DO67" s="28">
        <f>IF(DO63=1,IF(INDEX('Lease Cycles'!$EF$11:$EL$11,1,DO61)=1,DO64*INDEX('Lease Cycles'!$EM$11:$ES$11,1,DO61)+DO65*IF(DO62&lt;INDEX('Lease Cycles'!$FA$11:$FG$11,1,DO61),0,1-INDEX('Lease Cycles'!$EM$11:$ES$11,1,DO61)),DO64*IF(DO62&lt;INDEX('Lease Cycles'!$DK$11:$DQ$11,1,DO61),0,IF(DO62=INDEX('Lease Cycles'!$DK$11:$DQ$11,1,DO61),1-INDEX('Lease Cycles'!$DR$11:$DX$11,1,DO61),1))),0)</f>
        <v>4918.555710652568</v>
      </c>
      <c r="DP67" s="28">
        <f>IF(DP63=1,IF(INDEX('Lease Cycles'!$EF$11:$EL$11,1,DP61)=1,DP64*INDEX('Lease Cycles'!$EM$11:$ES$11,1,DP61)+DP65*IF(DP62&lt;INDEX('Lease Cycles'!$FA$11:$FG$11,1,DP61),0,1-INDEX('Lease Cycles'!$EM$11:$ES$11,1,DP61)),DP64*IF(DP62&lt;INDEX('Lease Cycles'!$DK$11:$DQ$11,1,DP61),0,IF(DP62=INDEX('Lease Cycles'!$DK$11:$DQ$11,1,DP61),1-INDEX('Lease Cycles'!$DR$11:$DX$11,1,DP61),1))),0)</f>
        <v>4918.555710652568</v>
      </c>
      <c r="DQ67" s="28">
        <f>IF(DQ63=1,IF(INDEX('Lease Cycles'!$EF$11:$EL$11,1,DQ61)=1,DQ64*INDEX('Lease Cycles'!$EM$11:$ES$11,1,DQ61)+DQ65*IF(DQ62&lt;INDEX('Lease Cycles'!$FA$11:$FG$11,1,DQ61),0,1-INDEX('Lease Cycles'!$EM$11:$ES$11,1,DQ61)),DQ64*IF(DQ62&lt;INDEX('Lease Cycles'!$DK$11:$DQ$11,1,DQ61),0,IF(DQ62=INDEX('Lease Cycles'!$DK$11:$DQ$11,1,DQ61),1-INDEX('Lease Cycles'!$DR$11:$DX$11,1,DQ61),1))),0)</f>
        <v>4918.555710652568</v>
      </c>
      <c r="DR67" s="28">
        <f>IF(DR63=1,IF(INDEX('Lease Cycles'!$EF$11:$EL$11,1,DR61)=1,DR64*INDEX('Lease Cycles'!$EM$11:$ES$11,1,DR61)+DR65*IF(DR62&lt;INDEX('Lease Cycles'!$FA$11:$FG$11,1,DR61),0,1-INDEX('Lease Cycles'!$EM$11:$ES$11,1,DR61)),DR64*IF(DR62&lt;INDEX('Lease Cycles'!$DK$11:$DQ$11,1,DR61),0,IF(DR62=INDEX('Lease Cycles'!$DK$11:$DQ$11,1,DR61),1-INDEX('Lease Cycles'!$DR$11:$DX$11,1,DR61),1))),0)</f>
        <v>4918.555710652568</v>
      </c>
      <c r="DS67" s="28">
        <f>IF(DS63=1,IF(INDEX('Lease Cycles'!$EF$11:$EL$11,1,DS61)=1,DS64*INDEX('Lease Cycles'!$EM$11:$ES$11,1,DS61)+DS65*IF(DS62&lt;INDEX('Lease Cycles'!$FA$11:$FG$11,1,DS61),0,1-INDEX('Lease Cycles'!$EM$11:$ES$11,1,DS61)),DS64*IF(DS62&lt;INDEX('Lease Cycles'!$DK$11:$DQ$11,1,DS61),0,IF(DS62=INDEX('Lease Cycles'!$DK$11:$DQ$11,1,DS61),1-INDEX('Lease Cycles'!$DR$11:$DX$11,1,DS61),1))),0)</f>
        <v>4918.555710652568</v>
      </c>
      <c r="DT67" s="28">
        <f>IF(DT63=1,IF(INDEX('Lease Cycles'!$EF$11:$EL$11,1,DT61)=1,DT64*INDEX('Lease Cycles'!$EM$11:$ES$11,1,DT61)+DT65*IF(DT62&lt;INDEX('Lease Cycles'!$FA$11:$FG$11,1,DT61),0,1-INDEX('Lease Cycles'!$EM$11:$ES$11,1,DT61)),DT64*IF(DT62&lt;INDEX('Lease Cycles'!$DK$11:$DQ$11,1,DT61),0,IF(DT62=INDEX('Lease Cycles'!$DK$11:$DQ$11,1,DT61),1-INDEX('Lease Cycles'!$DR$11:$DX$11,1,DT61),1))),0)</f>
        <v>4918.555710652568</v>
      </c>
      <c r="DU67" s="28">
        <f>IF(DU63=1,IF(INDEX('Lease Cycles'!$EF$11:$EL$11,1,DU61)=1,DU64*INDEX('Lease Cycles'!$EM$11:$ES$11,1,DU61)+DU65*IF(DU62&lt;INDEX('Lease Cycles'!$FA$11:$FG$11,1,DU61),0,1-INDEX('Lease Cycles'!$EM$11:$ES$11,1,DU61)),DU64*IF(DU62&lt;INDEX('Lease Cycles'!$DK$11:$DQ$11,1,DU61),0,IF(DU62=INDEX('Lease Cycles'!$DK$11:$DQ$11,1,DU61),1-INDEX('Lease Cycles'!$DR$11:$DX$11,1,DU61),1))),0)</f>
        <v>4918.555710652568</v>
      </c>
      <c r="DV67" s="28">
        <f>IF(DV63=1,IF(INDEX('Lease Cycles'!$EF$11:$EL$11,1,DV61)=1,DV64*INDEX('Lease Cycles'!$EM$11:$ES$11,1,DV61)+DV65*IF(DV62&lt;INDEX('Lease Cycles'!$FA$11:$FG$11,1,DV61),0,1-INDEX('Lease Cycles'!$EM$11:$ES$11,1,DV61)),DV64*IF(DV62&lt;INDEX('Lease Cycles'!$DK$11:$DQ$11,1,DV61),0,IF(DV62=INDEX('Lease Cycles'!$DK$11:$DQ$11,1,DV61),1-INDEX('Lease Cycles'!$DR$11:$DX$11,1,DV61),1))),0)</f>
        <v>4918.555710652568</v>
      </c>
      <c r="DW67" s="28">
        <f>IF(DW63=1,IF(INDEX('Lease Cycles'!$EF$11:$EL$11,1,DW61)=1,DW64*INDEX('Lease Cycles'!$EM$11:$ES$11,1,DW61)+DW65*IF(DW62&lt;INDEX('Lease Cycles'!$FA$11:$FG$11,1,DW61),0,1-INDEX('Lease Cycles'!$EM$11:$ES$11,1,DW61)),DW64*IF(DW62&lt;INDEX('Lease Cycles'!$DK$11:$DQ$11,1,DW61),0,IF(DW62=INDEX('Lease Cycles'!$DK$11:$DQ$11,1,DW61),1-INDEX('Lease Cycles'!$DR$11:$DX$11,1,DW61),1))),0)</f>
        <v>4918.555710652568</v>
      </c>
      <c r="DX67" s="28">
        <f>IF(DX63=1,IF(INDEX('Lease Cycles'!$EF$11:$EL$11,1,DX61)=1,DX64*INDEX('Lease Cycles'!$EM$11:$ES$11,1,DX61)+DX65*IF(DX62&lt;INDEX('Lease Cycles'!$FA$11:$FG$11,1,DX61),0,1-INDEX('Lease Cycles'!$EM$11:$ES$11,1,DX61)),DX64*IF(DX62&lt;INDEX('Lease Cycles'!$DK$11:$DQ$11,1,DX61),0,IF(DX62=INDEX('Lease Cycles'!$DK$11:$DQ$11,1,DX61),1-INDEX('Lease Cycles'!$DR$11:$DX$11,1,DX61),1))),0)</f>
        <v>4918.555710652568</v>
      </c>
      <c r="DY67" s="28">
        <f>IF(DY63=1,IF(INDEX('Lease Cycles'!$EF$11:$EL$11,1,DY61)=1,DY64*INDEX('Lease Cycles'!$EM$11:$ES$11,1,DY61)+DY65*IF(DY62&lt;INDEX('Lease Cycles'!$FA$11:$FG$11,1,DY61),0,1-INDEX('Lease Cycles'!$EM$11:$ES$11,1,DY61)),DY64*IF(DY62&lt;INDEX('Lease Cycles'!$DK$11:$DQ$11,1,DY61),0,IF(DY62=INDEX('Lease Cycles'!$DK$11:$DQ$11,1,DY61),1-INDEX('Lease Cycles'!$DR$11:$DX$11,1,DY61),1))),0)</f>
        <v>4918.555710652568</v>
      </c>
      <c r="DZ67" s="28">
        <f>IF(DZ63=1,IF(INDEX('Lease Cycles'!$EF$11:$EL$11,1,DZ61)=1,DZ64*INDEX('Lease Cycles'!$EM$11:$ES$11,1,DZ61)+DZ65*IF(DZ62&lt;INDEX('Lease Cycles'!$FA$11:$FG$11,1,DZ61),0,1-INDEX('Lease Cycles'!$EM$11:$ES$11,1,DZ61)),DZ64*IF(DZ62&lt;INDEX('Lease Cycles'!$DK$11:$DQ$11,1,DZ61),0,IF(DZ62=INDEX('Lease Cycles'!$DK$11:$DQ$11,1,DZ61),1-INDEX('Lease Cycles'!$DR$11:$DX$11,1,DZ61),1))),0)</f>
        <v>5066.112381972146</v>
      </c>
      <c r="EA67" s="28">
        <f>IF(EA63=1,IF(INDEX('Lease Cycles'!$EF$11:$EL$11,1,EA61)=1,EA64*INDEX('Lease Cycles'!$EM$11:$ES$11,1,EA61)+EA65*IF(EA62&lt;INDEX('Lease Cycles'!$FA$11:$FG$11,1,EA61),0,1-INDEX('Lease Cycles'!$EM$11:$ES$11,1,EA61)),EA64*IF(EA62&lt;INDEX('Lease Cycles'!$DK$11:$DQ$11,1,EA61),0,IF(EA62=INDEX('Lease Cycles'!$DK$11:$DQ$11,1,EA61),1-INDEX('Lease Cycles'!$DR$11:$DX$11,1,EA61),1))),0)</f>
        <v>5066.112381972146</v>
      </c>
      <c r="EB67" s="28">
        <f>IF(EB63=1,IF(INDEX('Lease Cycles'!$EF$11:$EL$11,1,EB61)=1,EB64*INDEX('Lease Cycles'!$EM$11:$ES$11,1,EB61)+EB65*IF(EB62&lt;INDEX('Lease Cycles'!$FA$11:$FG$11,1,EB61),0,1-INDEX('Lease Cycles'!$EM$11:$ES$11,1,EB61)),EB64*IF(EB62&lt;INDEX('Lease Cycles'!$DK$11:$DQ$11,1,EB61),0,IF(EB62=INDEX('Lease Cycles'!$DK$11:$DQ$11,1,EB61),1-INDEX('Lease Cycles'!$DR$11:$DX$11,1,EB61),1))),0)</f>
        <v>5066.112381972146</v>
      </c>
      <c r="EC67" s="28">
        <f>IF(EC63=1,IF(INDEX('Lease Cycles'!$EF$11:$EL$11,1,EC61)=1,EC64*INDEX('Lease Cycles'!$EM$11:$ES$11,1,EC61)+EC65*IF(EC62&lt;INDEX('Lease Cycles'!$FA$11:$FG$11,1,EC61),0,1-INDEX('Lease Cycles'!$EM$11:$ES$11,1,EC61)),EC64*IF(EC62&lt;INDEX('Lease Cycles'!$DK$11:$DQ$11,1,EC61),0,IF(EC62=INDEX('Lease Cycles'!$DK$11:$DQ$11,1,EC61),1-INDEX('Lease Cycles'!$DR$11:$DX$11,1,EC61),1))),0)</f>
        <v>5066.112381972146</v>
      </c>
      <c r="ED67" s="28">
        <f>IF(ED63=1,IF(INDEX('Lease Cycles'!$EF$11:$EL$11,1,ED61)=1,ED64*INDEX('Lease Cycles'!$EM$11:$ES$11,1,ED61)+ED65*IF(ED62&lt;INDEX('Lease Cycles'!$FA$11:$FG$11,1,ED61),0,1-INDEX('Lease Cycles'!$EM$11:$ES$11,1,ED61)),ED64*IF(ED62&lt;INDEX('Lease Cycles'!$DK$11:$DQ$11,1,ED61),0,IF(ED62=INDEX('Lease Cycles'!$DK$11:$DQ$11,1,ED61),1-INDEX('Lease Cycles'!$DR$11:$DX$11,1,ED61),1))),0)</f>
        <v>5066.112381972146</v>
      </c>
      <c r="EE67" s="28">
        <f>IF(EE63=1,IF(INDEX('Lease Cycles'!$EF$11:$EL$11,1,EE61)=1,EE64*INDEX('Lease Cycles'!$EM$11:$ES$11,1,EE61)+EE65*IF(EE62&lt;INDEX('Lease Cycles'!$FA$11:$FG$11,1,EE61),0,1-INDEX('Lease Cycles'!$EM$11:$ES$11,1,EE61)),EE64*IF(EE62&lt;INDEX('Lease Cycles'!$DK$11:$DQ$11,1,EE61),0,IF(EE62=INDEX('Lease Cycles'!$DK$11:$DQ$11,1,EE61),1-INDEX('Lease Cycles'!$DR$11:$DX$11,1,EE61),1))),0)</f>
        <v>5066.112381972146</v>
      </c>
      <c r="EF67" s="28">
        <f>IF(EF63=1,IF(INDEX('Lease Cycles'!$EF$11:$EL$11,1,EF61)=1,EF64*INDEX('Lease Cycles'!$EM$11:$ES$11,1,EF61)+EF65*IF(EF62&lt;INDEX('Lease Cycles'!$FA$11:$FG$11,1,EF61),0,1-INDEX('Lease Cycles'!$EM$11:$ES$11,1,EF61)),EF64*IF(EF62&lt;INDEX('Lease Cycles'!$DK$11:$DQ$11,1,EF61),0,IF(EF62=INDEX('Lease Cycles'!$DK$11:$DQ$11,1,EF61),1-INDEX('Lease Cycles'!$DR$11:$DX$11,1,EF61),1))),0)</f>
        <v>5066.112381972146</v>
      </c>
      <c r="EG67" s="28">
        <f>IF(EG63=1,IF(INDEX('Lease Cycles'!$EF$11:$EL$11,1,EG61)=1,EG64*INDEX('Lease Cycles'!$EM$11:$ES$11,1,EG61)+EG65*IF(EG62&lt;INDEX('Lease Cycles'!$FA$11:$FG$11,1,EG61),0,1-INDEX('Lease Cycles'!$EM$11:$ES$11,1,EG61)),EG64*IF(EG62&lt;INDEX('Lease Cycles'!$DK$11:$DQ$11,1,EG61),0,IF(EG62=INDEX('Lease Cycles'!$DK$11:$DQ$11,1,EG61),1-INDEX('Lease Cycles'!$DR$11:$DX$11,1,EG61),1))),0)</f>
        <v>5066.112381972146</v>
      </c>
      <c r="EH67" s="28">
        <f>IF(EH63=1,IF(INDEX('Lease Cycles'!$EF$11:$EL$11,1,EH61)=1,EH64*INDEX('Lease Cycles'!$EM$11:$ES$11,1,EH61)+EH65*IF(EH62&lt;INDEX('Lease Cycles'!$FA$11:$FG$11,1,EH61),0,1-INDEX('Lease Cycles'!$EM$11:$ES$11,1,EH61)),EH64*IF(EH62&lt;INDEX('Lease Cycles'!$DK$11:$DQ$11,1,EH61),0,IF(EH62=INDEX('Lease Cycles'!$DK$11:$DQ$11,1,EH61),1-INDEX('Lease Cycles'!$DR$11:$DX$11,1,EH61),1))),0)</f>
        <v>5066.112381972146</v>
      </c>
      <c r="EI67" s="28">
        <f>IF(EI63=1,IF(INDEX('Lease Cycles'!$EF$11:$EL$11,1,EI61)=1,EI64*INDEX('Lease Cycles'!$EM$11:$ES$11,1,EI61)+EI65*IF(EI62&lt;INDEX('Lease Cycles'!$FA$11:$FG$11,1,EI61),0,1-INDEX('Lease Cycles'!$EM$11:$ES$11,1,EI61)),EI64*IF(EI62&lt;INDEX('Lease Cycles'!$DK$11:$DQ$11,1,EI61),0,IF(EI62=INDEX('Lease Cycles'!$DK$11:$DQ$11,1,EI61),1-INDEX('Lease Cycles'!$DR$11:$DX$11,1,EI61),1))),0)</f>
        <v>5066.112381972146</v>
      </c>
      <c r="EJ67" s="28">
        <f>IF(EJ63=1,IF(INDEX('Lease Cycles'!$EF$11:$EL$11,1,EJ61)=1,EJ64*INDEX('Lease Cycles'!$EM$11:$ES$11,1,EJ61)+EJ65*IF(EJ62&lt;INDEX('Lease Cycles'!$FA$11:$FG$11,1,EJ61),0,1-INDEX('Lease Cycles'!$EM$11:$ES$11,1,EJ61)),EJ64*IF(EJ62&lt;INDEX('Lease Cycles'!$DK$11:$DQ$11,1,EJ61),0,IF(EJ62=INDEX('Lease Cycles'!$DK$11:$DQ$11,1,EJ61),1-INDEX('Lease Cycles'!$DR$11:$DX$11,1,EJ61),1))),0)</f>
        <v>5066.112381972146</v>
      </c>
      <c r="EK67" s="28">
        <f>IF(EK63=1,IF(INDEX('Lease Cycles'!$EF$11:$EL$11,1,EK61)=1,EK64*INDEX('Lease Cycles'!$EM$11:$ES$11,1,EK61)+EK65*IF(EK62&lt;INDEX('Lease Cycles'!$FA$11:$FG$11,1,EK61),0,1-INDEX('Lease Cycles'!$EM$11:$ES$11,1,EK61)),EK64*IF(EK62&lt;INDEX('Lease Cycles'!$DK$11:$DQ$11,1,EK61),0,IF(EK62=INDEX('Lease Cycles'!$DK$11:$DQ$11,1,EK61),1-INDEX('Lease Cycles'!$DR$11:$DX$11,1,EK61),1))),0)</f>
        <v>5066.112381972146</v>
      </c>
      <c r="EL67" s="28">
        <f>IF(EL63=1,IF(INDEX('Lease Cycles'!$EF$11:$EL$11,1,EL61)=1,EL64*INDEX('Lease Cycles'!$EM$11:$ES$11,1,EL61)+EL65*IF(EL62&lt;INDEX('Lease Cycles'!$FA$11:$FG$11,1,EL61),0,1-INDEX('Lease Cycles'!$EM$11:$ES$11,1,EL61)),EL64*IF(EL62&lt;INDEX('Lease Cycles'!$DK$11:$DQ$11,1,EL61),0,IF(EL62=INDEX('Lease Cycles'!$DK$11:$DQ$11,1,EL61),1-INDEX('Lease Cycles'!$DR$11:$DX$11,1,EL61),1))),0)</f>
        <v>5218.09575343131</v>
      </c>
      <c r="EM67" s="28">
        <f>IF(EM63=1,IF(INDEX('Lease Cycles'!$EF$11:$EL$11,1,EM61)=1,EM64*INDEX('Lease Cycles'!$EM$11:$ES$11,1,EM61)+EM65*IF(EM62&lt;INDEX('Lease Cycles'!$FA$11:$FG$11,1,EM61),0,1-INDEX('Lease Cycles'!$EM$11:$ES$11,1,EM61)),EM64*IF(EM62&lt;INDEX('Lease Cycles'!$DK$11:$DQ$11,1,EM61),0,IF(EM62=INDEX('Lease Cycles'!$DK$11:$DQ$11,1,EM61),1-INDEX('Lease Cycles'!$DR$11:$DX$11,1,EM61),1))),0)</f>
        <v>5218.09575343131</v>
      </c>
      <c r="EN67" s="28">
        <f>IF(EN63=1,IF(INDEX('Lease Cycles'!$EF$11:$EL$11,1,EN61)=1,EN64*INDEX('Lease Cycles'!$EM$11:$ES$11,1,EN61)+EN65*IF(EN62&lt;INDEX('Lease Cycles'!$FA$11:$FG$11,1,EN61),0,1-INDEX('Lease Cycles'!$EM$11:$ES$11,1,EN61)),EN64*IF(EN62&lt;INDEX('Lease Cycles'!$DK$11:$DQ$11,1,EN61),0,IF(EN62=INDEX('Lease Cycles'!$DK$11:$DQ$11,1,EN61),1-INDEX('Lease Cycles'!$DR$11:$DX$11,1,EN61),1))),0)</f>
        <v>5218.09575343131</v>
      </c>
      <c r="EO67" s="28">
        <f>IF(EO63=1,IF(INDEX('Lease Cycles'!$EF$11:$EL$11,1,EO61)=1,EO64*INDEX('Lease Cycles'!$EM$11:$ES$11,1,EO61)+EO65*IF(EO62&lt;INDEX('Lease Cycles'!$FA$11:$FG$11,1,EO61),0,1-INDEX('Lease Cycles'!$EM$11:$ES$11,1,EO61)),EO64*IF(EO62&lt;INDEX('Lease Cycles'!$DK$11:$DQ$11,1,EO61),0,IF(EO62=INDEX('Lease Cycles'!$DK$11:$DQ$11,1,EO61),1-INDEX('Lease Cycles'!$DR$11:$DX$11,1,EO61),1))),0)</f>
        <v>5218.09575343131</v>
      </c>
      <c r="EP67" s="28">
        <f>IF(EP63=1,IF(INDEX('Lease Cycles'!$EF$11:$EL$11,1,EP61)=1,EP64*INDEX('Lease Cycles'!$EM$11:$ES$11,1,EP61)+EP65*IF(EP62&lt;INDEX('Lease Cycles'!$FA$11:$FG$11,1,EP61),0,1-INDEX('Lease Cycles'!$EM$11:$ES$11,1,EP61)),EP64*IF(EP62&lt;INDEX('Lease Cycles'!$DK$11:$DQ$11,1,EP61),0,IF(EP62=INDEX('Lease Cycles'!$DK$11:$DQ$11,1,EP61),1-INDEX('Lease Cycles'!$DR$11:$DX$11,1,EP61),1))),0)</f>
        <v>5218.09575343131</v>
      </c>
      <c r="EQ67" s="28">
        <f>IF(EQ63=1,IF(INDEX('Lease Cycles'!$EF$11:$EL$11,1,EQ61)=1,EQ64*INDEX('Lease Cycles'!$EM$11:$ES$11,1,EQ61)+EQ65*IF(EQ62&lt;INDEX('Lease Cycles'!$FA$11:$FG$11,1,EQ61),0,1-INDEX('Lease Cycles'!$EM$11:$ES$11,1,EQ61)),EQ64*IF(EQ62&lt;INDEX('Lease Cycles'!$DK$11:$DQ$11,1,EQ61),0,IF(EQ62=INDEX('Lease Cycles'!$DK$11:$DQ$11,1,EQ61),1-INDEX('Lease Cycles'!$DR$11:$DX$11,1,EQ61),1))),0)</f>
        <v>5218.09575343131</v>
      </c>
      <c r="ER67" s="28">
        <f>IF(ER63=1,IF(INDEX('Lease Cycles'!$EF$11:$EL$11,1,ER61)=1,ER64*INDEX('Lease Cycles'!$EM$11:$ES$11,1,ER61)+ER65*IF(ER62&lt;INDEX('Lease Cycles'!$FA$11:$FG$11,1,ER61),0,1-INDEX('Lease Cycles'!$EM$11:$ES$11,1,ER61)),ER64*IF(ER62&lt;INDEX('Lease Cycles'!$DK$11:$DQ$11,1,ER61),0,IF(ER62=INDEX('Lease Cycles'!$DK$11:$DQ$11,1,ER61),1-INDEX('Lease Cycles'!$DR$11:$DX$11,1,ER61),1))),0)</f>
        <v>5218.09575343131</v>
      </c>
      <c r="ES67" s="28">
        <f>IF(ES63=1,IF(INDEX('Lease Cycles'!$EF$11:$EL$11,1,ES61)=1,ES64*INDEX('Lease Cycles'!$EM$11:$ES$11,1,ES61)+ES65*IF(ES62&lt;INDEX('Lease Cycles'!$FA$11:$FG$11,1,ES61),0,1-INDEX('Lease Cycles'!$EM$11:$ES$11,1,ES61)),ES64*IF(ES62&lt;INDEX('Lease Cycles'!$DK$11:$DQ$11,1,ES61),0,IF(ES62=INDEX('Lease Cycles'!$DK$11:$DQ$11,1,ES61),1-INDEX('Lease Cycles'!$DR$11:$DX$11,1,ES61),1))),0)</f>
        <v>5218.09575343131</v>
      </c>
      <c r="ET67" s="28">
        <f>IF(ET63=1,IF(INDEX('Lease Cycles'!$EF$11:$EL$11,1,ET61)=1,ET64*INDEX('Lease Cycles'!$EM$11:$ES$11,1,ET61)+ET65*IF(ET62&lt;INDEX('Lease Cycles'!$FA$11:$FG$11,1,ET61),0,1-INDEX('Lease Cycles'!$EM$11:$ES$11,1,ET61)),ET64*IF(ET62&lt;INDEX('Lease Cycles'!$DK$11:$DQ$11,1,ET61),0,IF(ET62=INDEX('Lease Cycles'!$DK$11:$DQ$11,1,ET61),1-INDEX('Lease Cycles'!$DR$11:$DX$11,1,ET61),1))),0)</f>
        <v>5218.09575343131</v>
      </c>
    </row>
    <row r="68">
      <c r="A68" s="103">
        <v>4</v>
      </c>
      <c r="B68" s="23" t="str">
        <f>IF('Lease Cycles'!$B$11="","(empty slot)",'Lease Cycles'!$B$11)</f>
        <v>Sunfield Dental</v>
      </c>
      <c r="C68" s="23" t="s">
        <v>493</v>
      </c>
      <c r="D68" s="104" t="s">
        <v>494</v>
      </c>
      <c r="E68" s="25">
        <f>'Lease Cycles'!$AL$11</f>
        <v>0</v>
      </c>
      <c r="G68" s="28">
        <f>SUM(S68:AD68)</f>
        <v>0</v>
      </c>
      <c r="H68" s="28">
        <f>SUM(AE68:AP68)</f>
        <v>0</v>
      </c>
      <c r="I68" s="28">
        <f>SUM(AQ68:BB68)</f>
        <v>0</v>
      </c>
      <c r="J68" s="28">
        <f>SUM(BC68:BN68)</f>
        <v>0</v>
      </c>
      <c r="K68" s="28">
        <f>SUM(BO68:BZ68)</f>
        <v>0</v>
      </c>
      <c r="L68" s="28">
        <f>SUM(CA68:CL68)</f>
        <v>2700.7051408005295</v>
      </c>
      <c r="M68" s="28">
        <f>SUM(CM68:CX68)</f>
        <v>0</v>
      </c>
      <c r="N68" s="28">
        <f>SUM(CY68:DJ68)</f>
        <v>0</v>
      </c>
      <c r="O68" s="28">
        <f>SUM(DK68:DV68)</f>
        <v>0</v>
      </c>
      <c r="P68" s="28">
        <f>SUM(DW68:EH68)</f>
        <v>0</v>
      </c>
      <c r="Q68" s="28">
        <f>SUM(EI68:ET68)</f>
        <v>0</v>
      </c>
      <c r="S68" s="28">
        <f>IF(S63=1,IF(INDEX('Lease Cycles'!$EF$11:$EL$11,1,S61)=1,0,S64*(1-IF(S62&lt;INDEX('Lease Cycles'!$DK$11:$DQ$11,1,S61),0,IF(S62=INDEX('Lease Cycles'!$DK$11:$DQ$11,1,S61),1-INDEX('Lease Cycles'!$DR$11:$DX$11,1,S61),1))-IF(S62=0,INDEX('Lease Cycles'!$DD$11:$DJ$11,1,S61),0))),0)</f>
        <v>0</v>
      </c>
      <c r="T68" s="28">
        <f>IF(T63=1,IF(INDEX('Lease Cycles'!$EF$11:$EL$11,1,T61)=1,0,T64*(1-IF(T62&lt;INDEX('Lease Cycles'!$DK$11:$DQ$11,1,T61),0,IF(T62=INDEX('Lease Cycles'!$DK$11:$DQ$11,1,T61),1-INDEX('Lease Cycles'!$DR$11:$DX$11,1,T61),1))-IF(T62=0,INDEX('Lease Cycles'!$DD$11:$DJ$11,1,T61),0))),0)</f>
        <v>0</v>
      </c>
      <c r="U68" s="28">
        <f>IF(U63=1,IF(INDEX('Lease Cycles'!$EF$11:$EL$11,1,U61)=1,0,U64*(1-IF(U62&lt;INDEX('Lease Cycles'!$DK$11:$DQ$11,1,U61),0,IF(U62=INDEX('Lease Cycles'!$DK$11:$DQ$11,1,U61),1-INDEX('Lease Cycles'!$DR$11:$DX$11,1,U61),1))-IF(U62=0,INDEX('Lease Cycles'!$DD$11:$DJ$11,1,U61),0))),0)</f>
        <v>0</v>
      </c>
      <c r="V68" s="28">
        <f>IF(V63=1,IF(INDEX('Lease Cycles'!$EF$11:$EL$11,1,V61)=1,0,V64*(1-IF(V62&lt;INDEX('Lease Cycles'!$DK$11:$DQ$11,1,V61),0,IF(V62=INDEX('Lease Cycles'!$DK$11:$DQ$11,1,V61),1-INDEX('Lease Cycles'!$DR$11:$DX$11,1,V61),1))-IF(V62=0,INDEX('Lease Cycles'!$DD$11:$DJ$11,1,V61),0))),0)</f>
        <v>0</v>
      </c>
      <c r="W68" s="28">
        <f>IF(W63=1,IF(INDEX('Lease Cycles'!$EF$11:$EL$11,1,W61)=1,0,W64*(1-IF(W62&lt;INDEX('Lease Cycles'!$DK$11:$DQ$11,1,W61),0,IF(W62=INDEX('Lease Cycles'!$DK$11:$DQ$11,1,W61),1-INDEX('Lease Cycles'!$DR$11:$DX$11,1,W61),1))-IF(W62=0,INDEX('Lease Cycles'!$DD$11:$DJ$11,1,W61),0))),0)</f>
        <v>0</v>
      </c>
      <c r="X68" s="28">
        <f>IF(X63=1,IF(INDEX('Lease Cycles'!$EF$11:$EL$11,1,X61)=1,0,X64*(1-IF(X62&lt;INDEX('Lease Cycles'!$DK$11:$DQ$11,1,X61),0,IF(X62=INDEX('Lease Cycles'!$DK$11:$DQ$11,1,X61),1-INDEX('Lease Cycles'!$DR$11:$DX$11,1,X61),1))-IF(X62=0,INDEX('Lease Cycles'!$DD$11:$DJ$11,1,X61),0))),0)</f>
        <v>0</v>
      </c>
      <c r="Y68" s="28">
        <f>IF(Y63=1,IF(INDEX('Lease Cycles'!$EF$11:$EL$11,1,Y61)=1,0,Y64*(1-IF(Y62&lt;INDEX('Lease Cycles'!$DK$11:$DQ$11,1,Y61),0,IF(Y62=INDEX('Lease Cycles'!$DK$11:$DQ$11,1,Y61),1-INDEX('Lease Cycles'!$DR$11:$DX$11,1,Y61),1))-IF(Y62=0,INDEX('Lease Cycles'!$DD$11:$DJ$11,1,Y61),0))),0)</f>
        <v>0</v>
      </c>
      <c r="Z68" s="28">
        <f>IF(Z63=1,IF(INDEX('Lease Cycles'!$EF$11:$EL$11,1,Z61)=1,0,Z64*(1-IF(Z62&lt;INDEX('Lease Cycles'!$DK$11:$DQ$11,1,Z61),0,IF(Z62=INDEX('Lease Cycles'!$DK$11:$DQ$11,1,Z61),1-INDEX('Lease Cycles'!$DR$11:$DX$11,1,Z61),1))-IF(Z62=0,INDEX('Lease Cycles'!$DD$11:$DJ$11,1,Z61),0))),0)</f>
        <v>0</v>
      </c>
      <c r="AA68" s="28">
        <f>IF(AA63=1,IF(INDEX('Lease Cycles'!$EF$11:$EL$11,1,AA61)=1,0,AA64*(1-IF(AA62&lt;INDEX('Lease Cycles'!$DK$11:$DQ$11,1,AA61),0,IF(AA62=INDEX('Lease Cycles'!$DK$11:$DQ$11,1,AA61),1-INDEX('Lease Cycles'!$DR$11:$DX$11,1,AA61),1))-IF(AA62=0,INDEX('Lease Cycles'!$DD$11:$DJ$11,1,AA61),0))),0)</f>
        <v>0</v>
      </c>
      <c r="AB68" s="28">
        <f>IF(AB63=1,IF(INDEX('Lease Cycles'!$EF$11:$EL$11,1,AB61)=1,0,AB64*(1-IF(AB62&lt;INDEX('Lease Cycles'!$DK$11:$DQ$11,1,AB61),0,IF(AB62=INDEX('Lease Cycles'!$DK$11:$DQ$11,1,AB61),1-INDEX('Lease Cycles'!$DR$11:$DX$11,1,AB61),1))-IF(AB62=0,INDEX('Lease Cycles'!$DD$11:$DJ$11,1,AB61),0))),0)</f>
        <v>0</v>
      </c>
      <c r="AC68" s="28">
        <f>IF(AC63=1,IF(INDEX('Lease Cycles'!$EF$11:$EL$11,1,AC61)=1,0,AC64*(1-IF(AC62&lt;INDEX('Lease Cycles'!$DK$11:$DQ$11,1,AC61),0,IF(AC62=INDEX('Lease Cycles'!$DK$11:$DQ$11,1,AC61),1-INDEX('Lease Cycles'!$DR$11:$DX$11,1,AC61),1))-IF(AC62=0,INDEX('Lease Cycles'!$DD$11:$DJ$11,1,AC61),0))),0)</f>
        <v>0</v>
      </c>
      <c r="AD68" s="28">
        <f>IF(AD63=1,IF(INDEX('Lease Cycles'!$EF$11:$EL$11,1,AD61)=1,0,AD64*(1-IF(AD62&lt;INDEX('Lease Cycles'!$DK$11:$DQ$11,1,AD61),0,IF(AD62=INDEX('Lease Cycles'!$DK$11:$DQ$11,1,AD61),1-INDEX('Lease Cycles'!$DR$11:$DX$11,1,AD61),1))-IF(AD62=0,INDEX('Lease Cycles'!$DD$11:$DJ$11,1,AD61),0))),0)</f>
        <v>0</v>
      </c>
      <c r="AE68" s="28">
        <f>IF(AE63=1,IF(INDEX('Lease Cycles'!$EF$11:$EL$11,1,AE61)=1,0,AE64*(1-IF(AE62&lt;INDEX('Lease Cycles'!$DK$11:$DQ$11,1,AE61),0,IF(AE62=INDEX('Lease Cycles'!$DK$11:$DQ$11,1,AE61),1-INDEX('Lease Cycles'!$DR$11:$DX$11,1,AE61),1))-IF(AE62=0,INDEX('Lease Cycles'!$DD$11:$DJ$11,1,AE61),0))),0)</f>
        <v>0</v>
      </c>
      <c r="AF68" s="28">
        <f>IF(AF63=1,IF(INDEX('Lease Cycles'!$EF$11:$EL$11,1,AF61)=1,0,AF64*(1-IF(AF62&lt;INDEX('Lease Cycles'!$DK$11:$DQ$11,1,AF61),0,IF(AF62=INDEX('Lease Cycles'!$DK$11:$DQ$11,1,AF61),1-INDEX('Lease Cycles'!$DR$11:$DX$11,1,AF61),1))-IF(AF62=0,INDEX('Lease Cycles'!$DD$11:$DJ$11,1,AF61),0))),0)</f>
        <v>0</v>
      </c>
      <c r="AG68" s="28">
        <f>IF(AG63=1,IF(INDEX('Lease Cycles'!$EF$11:$EL$11,1,AG61)=1,0,AG64*(1-IF(AG62&lt;INDEX('Lease Cycles'!$DK$11:$DQ$11,1,AG61),0,IF(AG62=INDEX('Lease Cycles'!$DK$11:$DQ$11,1,AG61),1-INDEX('Lease Cycles'!$DR$11:$DX$11,1,AG61),1))-IF(AG62=0,INDEX('Lease Cycles'!$DD$11:$DJ$11,1,AG61),0))),0)</f>
        <v>0</v>
      </c>
      <c r="AH68" s="28">
        <f>IF(AH63=1,IF(INDEX('Lease Cycles'!$EF$11:$EL$11,1,AH61)=1,0,AH64*(1-IF(AH62&lt;INDEX('Lease Cycles'!$DK$11:$DQ$11,1,AH61),0,IF(AH62=INDEX('Lease Cycles'!$DK$11:$DQ$11,1,AH61),1-INDEX('Lease Cycles'!$DR$11:$DX$11,1,AH61),1))-IF(AH62=0,INDEX('Lease Cycles'!$DD$11:$DJ$11,1,AH61),0))),0)</f>
        <v>0</v>
      </c>
      <c r="AI68" s="28">
        <f>IF(AI63=1,IF(INDEX('Lease Cycles'!$EF$11:$EL$11,1,AI61)=1,0,AI64*(1-IF(AI62&lt;INDEX('Lease Cycles'!$DK$11:$DQ$11,1,AI61),0,IF(AI62=INDEX('Lease Cycles'!$DK$11:$DQ$11,1,AI61),1-INDEX('Lease Cycles'!$DR$11:$DX$11,1,AI61),1))-IF(AI62=0,INDEX('Lease Cycles'!$DD$11:$DJ$11,1,AI61),0))),0)</f>
        <v>0</v>
      </c>
      <c r="AJ68" s="28">
        <f>IF(AJ63=1,IF(INDEX('Lease Cycles'!$EF$11:$EL$11,1,AJ61)=1,0,AJ64*(1-IF(AJ62&lt;INDEX('Lease Cycles'!$DK$11:$DQ$11,1,AJ61),0,IF(AJ62=INDEX('Lease Cycles'!$DK$11:$DQ$11,1,AJ61),1-INDEX('Lease Cycles'!$DR$11:$DX$11,1,AJ61),1))-IF(AJ62=0,INDEX('Lease Cycles'!$DD$11:$DJ$11,1,AJ61),0))),0)</f>
        <v>0</v>
      </c>
      <c r="AK68" s="28">
        <f>IF(AK63=1,IF(INDEX('Lease Cycles'!$EF$11:$EL$11,1,AK61)=1,0,AK64*(1-IF(AK62&lt;INDEX('Lease Cycles'!$DK$11:$DQ$11,1,AK61),0,IF(AK62=INDEX('Lease Cycles'!$DK$11:$DQ$11,1,AK61),1-INDEX('Lease Cycles'!$DR$11:$DX$11,1,AK61),1))-IF(AK62=0,INDEX('Lease Cycles'!$DD$11:$DJ$11,1,AK61),0))),0)</f>
        <v>0</v>
      </c>
      <c r="AL68" s="28">
        <f>IF(AL63=1,IF(INDEX('Lease Cycles'!$EF$11:$EL$11,1,AL61)=1,0,AL64*(1-IF(AL62&lt;INDEX('Lease Cycles'!$DK$11:$DQ$11,1,AL61),0,IF(AL62=INDEX('Lease Cycles'!$DK$11:$DQ$11,1,AL61),1-INDEX('Lease Cycles'!$DR$11:$DX$11,1,AL61),1))-IF(AL62=0,INDEX('Lease Cycles'!$DD$11:$DJ$11,1,AL61),0))),0)</f>
        <v>0</v>
      </c>
      <c r="AM68" s="28">
        <f>IF(AM63=1,IF(INDEX('Lease Cycles'!$EF$11:$EL$11,1,AM61)=1,0,AM64*(1-IF(AM62&lt;INDEX('Lease Cycles'!$DK$11:$DQ$11,1,AM61),0,IF(AM62=INDEX('Lease Cycles'!$DK$11:$DQ$11,1,AM61),1-INDEX('Lease Cycles'!$DR$11:$DX$11,1,AM61),1))-IF(AM62=0,INDEX('Lease Cycles'!$DD$11:$DJ$11,1,AM61),0))),0)</f>
        <v>0</v>
      </c>
      <c r="AN68" s="28">
        <f>IF(AN63=1,IF(INDEX('Lease Cycles'!$EF$11:$EL$11,1,AN61)=1,0,AN64*(1-IF(AN62&lt;INDEX('Lease Cycles'!$DK$11:$DQ$11,1,AN61),0,IF(AN62=INDEX('Lease Cycles'!$DK$11:$DQ$11,1,AN61),1-INDEX('Lease Cycles'!$DR$11:$DX$11,1,AN61),1))-IF(AN62=0,INDEX('Lease Cycles'!$DD$11:$DJ$11,1,AN61),0))),0)</f>
        <v>0</v>
      </c>
      <c r="AO68" s="28">
        <f>IF(AO63=1,IF(INDEX('Lease Cycles'!$EF$11:$EL$11,1,AO61)=1,0,AO64*(1-IF(AO62&lt;INDEX('Lease Cycles'!$DK$11:$DQ$11,1,AO61),0,IF(AO62=INDEX('Lease Cycles'!$DK$11:$DQ$11,1,AO61),1-INDEX('Lease Cycles'!$DR$11:$DX$11,1,AO61),1))-IF(AO62=0,INDEX('Lease Cycles'!$DD$11:$DJ$11,1,AO61),0))),0)</f>
        <v>0</v>
      </c>
      <c r="AP68" s="28">
        <f>IF(AP63=1,IF(INDEX('Lease Cycles'!$EF$11:$EL$11,1,AP61)=1,0,AP64*(1-IF(AP62&lt;INDEX('Lease Cycles'!$DK$11:$DQ$11,1,AP61),0,IF(AP62=INDEX('Lease Cycles'!$DK$11:$DQ$11,1,AP61),1-INDEX('Lease Cycles'!$DR$11:$DX$11,1,AP61),1))-IF(AP62=0,INDEX('Lease Cycles'!$DD$11:$DJ$11,1,AP61),0))),0)</f>
        <v>0</v>
      </c>
      <c r="AQ68" s="28">
        <f>IF(AQ63=1,IF(INDEX('Lease Cycles'!$EF$11:$EL$11,1,AQ61)=1,0,AQ64*(1-IF(AQ62&lt;INDEX('Lease Cycles'!$DK$11:$DQ$11,1,AQ61),0,IF(AQ62=INDEX('Lease Cycles'!$DK$11:$DQ$11,1,AQ61),1-INDEX('Lease Cycles'!$DR$11:$DX$11,1,AQ61),1))-IF(AQ62=0,INDEX('Lease Cycles'!$DD$11:$DJ$11,1,AQ61),0))),0)</f>
        <v>0</v>
      </c>
      <c r="AR68" s="28">
        <f>IF(AR63=1,IF(INDEX('Lease Cycles'!$EF$11:$EL$11,1,AR61)=1,0,AR64*(1-IF(AR62&lt;INDEX('Lease Cycles'!$DK$11:$DQ$11,1,AR61),0,IF(AR62=INDEX('Lease Cycles'!$DK$11:$DQ$11,1,AR61),1-INDEX('Lease Cycles'!$DR$11:$DX$11,1,AR61),1))-IF(AR62=0,INDEX('Lease Cycles'!$DD$11:$DJ$11,1,AR61),0))),0)</f>
        <v>0</v>
      </c>
      <c r="AS68" s="28">
        <f>IF(AS63=1,IF(INDEX('Lease Cycles'!$EF$11:$EL$11,1,AS61)=1,0,AS64*(1-IF(AS62&lt;INDEX('Lease Cycles'!$DK$11:$DQ$11,1,AS61),0,IF(AS62=INDEX('Lease Cycles'!$DK$11:$DQ$11,1,AS61),1-INDEX('Lease Cycles'!$DR$11:$DX$11,1,AS61),1))-IF(AS62=0,INDEX('Lease Cycles'!$DD$11:$DJ$11,1,AS61),0))),0)</f>
        <v>0</v>
      </c>
      <c r="AT68" s="28">
        <f>IF(AT63=1,IF(INDEX('Lease Cycles'!$EF$11:$EL$11,1,AT61)=1,0,AT64*(1-IF(AT62&lt;INDEX('Lease Cycles'!$DK$11:$DQ$11,1,AT61),0,IF(AT62=INDEX('Lease Cycles'!$DK$11:$DQ$11,1,AT61),1-INDEX('Lease Cycles'!$DR$11:$DX$11,1,AT61),1))-IF(AT62=0,INDEX('Lease Cycles'!$DD$11:$DJ$11,1,AT61),0))),0)</f>
        <v>0</v>
      </c>
      <c r="AU68" s="28">
        <f>IF(AU63=1,IF(INDEX('Lease Cycles'!$EF$11:$EL$11,1,AU61)=1,0,AU64*(1-IF(AU62&lt;INDEX('Lease Cycles'!$DK$11:$DQ$11,1,AU61),0,IF(AU62=INDEX('Lease Cycles'!$DK$11:$DQ$11,1,AU61),1-INDEX('Lease Cycles'!$DR$11:$DX$11,1,AU61),1))-IF(AU62=0,INDEX('Lease Cycles'!$DD$11:$DJ$11,1,AU61),0))),0)</f>
        <v>0</v>
      </c>
      <c r="AV68" s="28">
        <f>IF(AV63=1,IF(INDEX('Lease Cycles'!$EF$11:$EL$11,1,AV61)=1,0,AV64*(1-IF(AV62&lt;INDEX('Lease Cycles'!$DK$11:$DQ$11,1,AV61),0,IF(AV62=INDEX('Lease Cycles'!$DK$11:$DQ$11,1,AV61),1-INDEX('Lease Cycles'!$DR$11:$DX$11,1,AV61),1))-IF(AV62=0,INDEX('Lease Cycles'!$DD$11:$DJ$11,1,AV61),0))),0)</f>
        <v>0</v>
      </c>
      <c r="AW68" s="28">
        <f>IF(AW63=1,IF(INDEX('Lease Cycles'!$EF$11:$EL$11,1,AW61)=1,0,AW64*(1-IF(AW62&lt;INDEX('Lease Cycles'!$DK$11:$DQ$11,1,AW61),0,IF(AW62=INDEX('Lease Cycles'!$DK$11:$DQ$11,1,AW61),1-INDEX('Lease Cycles'!$DR$11:$DX$11,1,AW61),1))-IF(AW62=0,INDEX('Lease Cycles'!$DD$11:$DJ$11,1,AW61),0))),0)</f>
        <v>0</v>
      </c>
      <c r="AX68" s="28">
        <f>IF(AX63=1,IF(INDEX('Lease Cycles'!$EF$11:$EL$11,1,AX61)=1,0,AX64*(1-IF(AX62&lt;INDEX('Lease Cycles'!$DK$11:$DQ$11,1,AX61),0,IF(AX62=INDEX('Lease Cycles'!$DK$11:$DQ$11,1,AX61),1-INDEX('Lease Cycles'!$DR$11:$DX$11,1,AX61),1))-IF(AX62=0,INDEX('Lease Cycles'!$DD$11:$DJ$11,1,AX61),0))),0)</f>
        <v>0</v>
      </c>
      <c r="AY68" s="28">
        <f>IF(AY63=1,IF(INDEX('Lease Cycles'!$EF$11:$EL$11,1,AY61)=1,0,AY64*(1-IF(AY62&lt;INDEX('Lease Cycles'!$DK$11:$DQ$11,1,AY61),0,IF(AY62=INDEX('Lease Cycles'!$DK$11:$DQ$11,1,AY61),1-INDEX('Lease Cycles'!$DR$11:$DX$11,1,AY61),1))-IF(AY62=0,INDEX('Lease Cycles'!$DD$11:$DJ$11,1,AY61),0))),0)</f>
        <v>0</v>
      </c>
      <c r="AZ68" s="28">
        <f>IF(AZ63=1,IF(INDEX('Lease Cycles'!$EF$11:$EL$11,1,AZ61)=1,0,AZ64*(1-IF(AZ62&lt;INDEX('Lease Cycles'!$DK$11:$DQ$11,1,AZ61),0,IF(AZ62=INDEX('Lease Cycles'!$DK$11:$DQ$11,1,AZ61),1-INDEX('Lease Cycles'!$DR$11:$DX$11,1,AZ61),1))-IF(AZ62=0,INDEX('Lease Cycles'!$DD$11:$DJ$11,1,AZ61),0))),0)</f>
        <v>0</v>
      </c>
      <c r="BA68" s="28">
        <f>IF(BA63=1,IF(INDEX('Lease Cycles'!$EF$11:$EL$11,1,BA61)=1,0,BA64*(1-IF(BA62&lt;INDEX('Lease Cycles'!$DK$11:$DQ$11,1,BA61),0,IF(BA62=INDEX('Lease Cycles'!$DK$11:$DQ$11,1,BA61),1-INDEX('Lease Cycles'!$DR$11:$DX$11,1,BA61),1))-IF(BA62=0,INDEX('Lease Cycles'!$DD$11:$DJ$11,1,BA61),0))),0)</f>
        <v>0</v>
      </c>
      <c r="BB68" s="28">
        <f>IF(BB63=1,IF(INDEX('Lease Cycles'!$EF$11:$EL$11,1,BB61)=1,0,BB64*(1-IF(BB62&lt;INDEX('Lease Cycles'!$DK$11:$DQ$11,1,BB61),0,IF(BB62=INDEX('Lease Cycles'!$DK$11:$DQ$11,1,BB61),1-INDEX('Lease Cycles'!$DR$11:$DX$11,1,BB61),1))-IF(BB62=0,INDEX('Lease Cycles'!$DD$11:$DJ$11,1,BB61),0))),0)</f>
        <v>0</v>
      </c>
      <c r="BC68" s="28">
        <f>IF(BC63=1,IF(INDEX('Lease Cycles'!$EF$11:$EL$11,1,BC61)=1,0,BC64*(1-IF(BC62&lt;INDEX('Lease Cycles'!$DK$11:$DQ$11,1,BC61),0,IF(BC62=INDEX('Lease Cycles'!$DK$11:$DQ$11,1,BC61),1-INDEX('Lease Cycles'!$DR$11:$DX$11,1,BC61),1))-IF(BC62=0,INDEX('Lease Cycles'!$DD$11:$DJ$11,1,BC61),0))),0)</f>
        <v>0</v>
      </c>
      <c r="BD68" s="28">
        <f>IF(BD63=1,IF(INDEX('Lease Cycles'!$EF$11:$EL$11,1,BD61)=1,0,BD64*(1-IF(BD62&lt;INDEX('Lease Cycles'!$DK$11:$DQ$11,1,BD61),0,IF(BD62=INDEX('Lease Cycles'!$DK$11:$DQ$11,1,BD61),1-INDEX('Lease Cycles'!$DR$11:$DX$11,1,BD61),1))-IF(BD62=0,INDEX('Lease Cycles'!$DD$11:$DJ$11,1,BD61),0))),0)</f>
        <v>0</v>
      </c>
      <c r="BE68" s="28">
        <f>IF(BE63=1,IF(INDEX('Lease Cycles'!$EF$11:$EL$11,1,BE61)=1,0,BE64*(1-IF(BE62&lt;INDEX('Lease Cycles'!$DK$11:$DQ$11,1,BE61),0,IF(BE62=INDEX('Lease Cycles'!$DK$11:$DQ$11,1,BE61),1-INDEX('Lease Cycles'!$DR$11:$DX$11,1,BE61),1))-IF(BE62=0,INDEX('Lease Cycles'!$DD$11:$DJ$11,1,BE61),0))),0)</f>
        <v>0</v>
      </c>
      <c r="BF68" s="28">
        <f>IF(BF63=1,IF(INDEX('Lease Cycles'!$EF$11:$EL$11,1,BF61)=1,0,BF64*(1-IF(BF62&lt;INDEX('Lease Cycles'!$DK$11:$DQ$11,1,BF61),0,IF(BF62=INDEX('Lease Cycles'!$DK$11:$DQ$11,1,BF61),1-INDEX('Lease Cycles'!$DR$11:$DX$11,1,BF61),1))-IF(BF62=0,INDEX('Lease Cycles'!$DD$11:$DJ$11,1,BF61),0))),0)</f>
        <v>0</v>
      </c>
      <c r="BG68" s="28">
        <f>IF(BG63=1,IF(INDEX('Lease Cycles'!$EF$11:$EL$11,1,BG61)=1,0,BG64*(1-IF(BG62&lt;INDEX('Lease Cycles'!$DK$11:$DQ$11,1,BG61),0,IF(BG62=INDEX('Lease Cycles'!$DK$11:$DQ$11,1,BG61),1-INDEX('Lease Cycles'!$DR$11:$DX$11,1,BG61),1))-IF(BG62=0,INDEX('Lease Cycles'!$DD$11:$DJ$11,1,BG61),0))),0)</f>
        <v>0</v>
      </c>
      <c r="BH68" s="28">
        <f>IF(BH63=1,IF(INDEX('Lease Cycles'!$EF$11:$EL$11,1,BH61)=1,0,BH64*(1-IF(BH62&lt;INDEX('Lease Cycles'!$DK$11:$DQ$11,1,BH61),0,IF(BH62=INDEX('Lease Cycles'!$DK$11:$DQ$11,1,BH61),1-INDEX('Lease Cycles'!$DR$11:$DX$11,1,BH61),1))-IF(BH62=0,INDEX('Lease Cycles'!$DD$11:$DJ$11,1,BH61),0))),0)</f>
        <v>0</v>
      </c>
      <c r="BI68" s="28">
        <f>IF(BI63=1,IF(INDEX('Lease Cycles'!$EF$11:$EL$11,1,BI61)=1,0,BI64*(1-IF(BI62&lt;INDEX('Lease Cycles'!$DK$11:$DQ$11,1,BI61),0,IF(BI62=INDEX('Lease Cycles'!$DK$11:$DQ$11,1,BI61),1-INDEX('Lease Cycles'!$DR$11:$DX$11,1,BI61),1))-IF(BI62=0,INDEX('Lease Cycles'!$DD$11:$DJ$11,1,BI61),0))),0)</f>
        <v>0</v>
      </c>
      <c r="BJ68" s="28">
        <f>IF(BJ63=1,IF(INDEX('Lease Cycles'!$EF$11:$EL$11,1,BJ61)=1,0,BJ64*(1-IF(BJ62&lt;INDEX('Lease Cycles'!$DK$11:$DQ$11,1,BJ61),0,IF(BJ62=INDEX('Lease Cycles'!$DK$11:$DQ$11,1,BJ61),1-INDEX('Lease Cycles'!$DR$11:$DX$11,1,BJ61),1))-IF(BJ62=0,INDEX('Lease Cycles'!$DD$11:$DJ$11,1,BJ61),0))),0)</f>
        <v>0</v>
      </c>
      <c r="BK68" s="28">
        <f>IF(BK63=1,IF(INDEX('Lease Cycles'!$EF$11:$EL$11,1,BK61)=1,0,BK64*(1-IF(BK62&lt;INDEX('Lease Cycles'!$DK$11:$DQ$11,1,BK61),0,IF(BK62=INDEX('Lease Cycles'!$DK$11:$DQ$11,1,BK61),1-INDEX('Lease Cycles'!$DR$11:$DX$11,1,BK61),1))-IF(BK62=0,INDEX('Lease Cycles'!$DD$11:$DJ$11,1,BK61),0))),0)</f>
        <v>0</v>
      </c>
      <c r="BL68" s="28">
        <f>IF(BL63=1,IF(INDEX('Lease Cycles'!$EF$11:$EL$11,1,BL61)=1,0,BL64*(1-IF(BL62&lt;INDEX('Lease Cycles'!$DK$11:$DQ$11,1,BL61),0,IF(BL62=INDEX('Lease Cycles'!$DK$11:$DQ$11,1,BL61),1-INDEX('Lease Cycles'!$DR$11:$DX$11,1,BL61),1))-IF(BL62=0,INDEX('Lease Cycles'!$DD$11:$DJ$11,1,BL61),0))),0)</f>
        <v>0</v>
      </c>
      <c r="BM68" s="28">
        <f>IF(BM63=1,IF(INDEX('Lease Cycles'!$EF$11:$EL$11,1,BM61)=1,0,BM64*(1-IF(BM62&lt;INDEX('Lease Cycles'!$DK$11:$DQ$11,1,BM61),0,IF(BM62=INDEX('Lease Cycles'!$DK$11:$DQ$11,1,BM61),1-INDEX('Lease Cycles'!$DR$11:$DX$11,1,BM61),1))-IF(BM62=0,INDEX('Lease Cycles'!$DD$11:$DJ$11,1,BM61),0))),0)</f>
        <v>0</v>
      </c>
      <c r="BN68" s="28">
        <f>IF(BN63=1,IF(INDEX('Lease Cycles'!$EF$11:$EL$11,1,BN61)=1,0,BN64*(1-IF(BN62&lt;INDEX('Lease Cycles'!$DK$11:$DQ$11,1,BN61),0,IF(BN62=INDEX('Lease Cycles'!$DK$11:$DQ$11,1,BN61),1-INDEX('Lease Cycles'!$DR$11:$DX$11,1,BN61),1))-IF(BN62=0,INDEX('Lease Cycles'!$DD$11:$DJ$11,1,BN61),0))),0)</f>
        <v>0</v>
      </c>
      <c r="BO68" s="28">
        <f>IF(BO63=1,IF(INDEX('Lease Cycles'!$EF$11:$EL$11,1,BO61)=1,0,BO64*(1-IF(BO62&lt;INDEX('Lease Cycles'!$DK$11:$DQ$11,1,BO61),0,IF(BO62=INDEX('Lease Cycles'!$DK$11:$DQ$11,1,BO61),1-INDEX('Lease Cycles'!$DR$11:$DX$11,1,BO61),1))-IF(BO62=0,INDEX('Lease Cycles'!$DD$11:$DJ$11,1,BO61),0))),0)</f>
        <v>0</v>
      </c>
      <c r="BP68" s="28">
        <f>IF(BP63=1,IF(INDEX('Lease Cycles'!$EF$11:$EL$11,1,BP61)=1,0,BP64*(1-IF(BP62&lt;INDEX('Lease Cycles'!$DK$11:$DQ$11,1,BP61),0,IF(BP62=INDEX('Lease Cycles'!$DK$11:$DQ$11,1,BP61),1-INDEX('Lease Cycles'!$DR$11:$DX$11,1,BP61),1))-IF(BP62=0,INDEX('Lease Cycles'!$DD$11:$DJ$11,1,BP61),0))),0)</f>
        <v>0</v>
      </c>
      <c r="BQ68" s="28">
        <f>IF(BQ63=1,IF(INDEX('Lease Cycles'!$EF$11:$EL$11,1,BQ61)=1,0,BQ64*(1-IF(BQ62&lt;INDEX('Lease Cycles'!$DK$11:$DQ$11,1,BQ61),0,IF(BQ62=INDEX('Lease Cycles'!$DK$11:$DQ$11,1,BQ61),1-INDEX('Lease Cycles'!$DR$11:$DX$11,1,BQ61),1))-IF(BQ62=0,INDEX('Lease Cycles'!$DD$11:$DJ$11,1,BQ61),0))),0)</f>
        <v>0</v>
      </c>
      <c r="BR68" s="28">
        <f>IF(BR63=1,IF(INDEX('Lease Cycles'!$EF$11:$EL$11,1,BR61)=1,0,BR64*(1-IF(BR62&lt;INDEX('Lease Cycles'!$DK$11:$DQ$11,1,BR61),0,IF(BR62=INDEX('Lease Cycles'!$DK$11:$DQ$11,1,BR61),1-INDEX('Lease Cycles'!$DR$11:$DX$11,1,BR61),1))-IF(BR62=0,INDEX('Lease Cycles'!$DD$11:$DJ$11,1,BR61),0))),0)</f>
        <v>0</v>
      </c>
      <c r="BS68" s="28">
        <f>IF(BS63=1,IF(INDEX('Lease Cycles'!$EF$11:$EL$11,1,BS61)=1,0,BS64*(1-IF(BS62&lt;INDEX('Lease Cycles'!$DK$11:$DQ$11,1,BS61),0,IF(BS62=INDEX('Lease Cycles'!$DK$11:$DQ$11,1,BS61),1-INDEX('Lease Cycles'!$DR$11:$DX$11,1,BS61),1))-IF(BS62=0,INDEX('Lease Cycles'!$DD$11:$DJ$11,1,BS61),0))),0)</f>
        <v>0</v>
      </c>
      <c r="BT68" s="28">
        <f>IF(BT63=1,IF(INDEX('Lease Cycles'!$EF$11:$EL$11,1,BT61)=1,0,BT64*(1-IF(BT62&lt;INDEX('Lease Cycles'!$DK$11:$DQ$11,1,BT61),0,IF(BT62=INDEX('Lease Cycles'!$DK$11:$DQ$11,1,BT61),1-INDEX('Lease Cycles'!$DR$11:$DX$11,1,BT61),1))-IF(BT62=0,INDEX('Lease Cycles'!$DD$11:$DJ$11,1,BT61),0))),0)</f>
        <v>0</v>
      </c>
      <c r="BU68" s="28">
        <f>IF(BU63=1,IF(INDEX('Lease Cycles'!$EF$11:$EL$11,1,BU61)=1,0,BU64*(1-IF(BU62&lt;INDEX('Lease Cycles'!$DK$11:$DQ$11,1,BU61),0,IF(BU62=INDEX('Lease Cycles'!$DK$11:$DQ$11,1,BU61),1-INDEX('Lease Cycles'!$DR$11:$DX$11,1,BU61),1))-IF(BU62=0,INDEX('Lease Cycles'!$DD$11:$DJ$11,1,BU61),0))),0)</f>
        <v>0</v>
      </c>
      <c r="BV68" s="28">
        <f>IF(BV63=1,IF(INDEX('Lease Cycles'!$EF$11:$EL$11,1,BV61)=1,0,BV64*(1-IF(BV62&lt;INDEX('Lease Cycles'!$DK$11:$DQ$11,1,BV61),0,IF(BV62=INDEX('Lease Cycles'!$DK$11:$DQ$11,1,BV61),1-INDEX('Lease Cycles'!$DR$11:$DX$11,1,BV61),1))-IF(BV62=0,INDEX('Lease Cycles'!$DD$11:$DJ$11,1,BV61),0))),0)</f>
        <v>0</v>
      </c>
      <c r="BW68" s="28">
        <f>IF(BW63=1,IF(INDEX('Lease Cycles'!$EF$11:$EL$11,1,BW61)=1,0,BW64*(1-IF(BW62&lt;INDEX('Lease Cycles'!$DK$11:$DQ$11,1,BW61),0,IF(BW62=INDEX('Lease Cycles'!$DK$11:$DQ$11,1,BW61),1-INDEX('Lease Cycles'!$DR$11:$DX$11,1,BW61),1))-IF(BW62=0,INDEX('Lease Cycles'!$DD$11:$DJ$11,1,BW61),0))),0)</f>
        <v>0</v>
      </c>
      <c r="BX68" s="28">
        <f>IF(BX63=1,IF(INDEX('Lease Cycles'!$EF$11:$EL$11,1,BX61)=1,0,BX64*(1-IF(BX62&lt;INDEX('Lease Cycles'!$DK$11:$DQ$11,1,BX61),0,IF(BX62=INDEX('Lease Cycles'!$DK$11:$DQ$11,1,BX61),1-INDEX('Lease Cycles'!$DR$11:$DX$11,1,BX61),1))-IF(BX62=0,INDEX('Lease Cycles'!$DD$11:$DJ$11,1,BX61),0))),0)</f>
        <v>0</v>
      </c>
      <c r="BY68" s="28">
        <f>IF(BY63=1,IF(INDEX('Lease Cycles'!$EF$11:$EL$11,1,BY61)=1,0,BY64*(1-IF(BY62&lt;INDEX('Lease Cycles'!$DK$11:$DQ$11,1,BY61),0,IF(BY62=INDEX('Lease Cycles'!$DK$11:$DQ$11,1,BY61),1-INDEX('Lease Cycles'!$DR$11:$DX$11,1,BY61),1))-IF(BY62=0,INDEX('Lease Cycles'!$DD$11:$DJ$11,1,BY61),0))),0)</f>
        <v>0</v>
      </c>
      <c r="BZ68" s="28">
        <f>IF(BZ63=1,IF(INDEX('Lease Cycles'!$EF$11:$EL$11,1,BZ61)=1,0,BZ64*(1-IF(BZ62&lt;INDEX('Lease Cycles'!$DK$11:$DQ$11,1,BZ61),0,IF(BZ62=INDEX('Lease Cycles'!$DK$11:$DQ$11,1,BZ61),1-INDEX('Lease Cycles'!$DR$11:$DX$11,1,BZ61),1))-IF(BZ62=0,INDEX('Lease Cycles'!$DD$11:$DJ$11,1,BZ61),0))),0)</f>
        <v>0</v>
      </c>
      <c r="CA68" s="28">
        <f>IF(CA63=1,IF(INDEX('Lease Cycles'!$EF$11:$EL$11,1,CA61)=1,0,CA64*(1-IF(CA62&lt;INDEX('Lease Cycles'!$DK$11:$DQ$11,1,CA61),0,IF(CA62=INDEX('Lease Cycles'!$DK$11:$DQ$11,1,CA61),1-INDEX('Lease Cycles'!$DR$11:$DX$11,1,CA61),1))-IF(CA62=0,INDEX('Lease Cycles'!$DD$11:$DJ$11,1,CA61),0))),0)</f>
        <v>0</v>
      </c>
      <c r="CB68" s="28">
        <f>IF(CB63=1,IF(INDEX('Lease Cycles'!$EF$11:$EL$11,1,CB61)=1,0,CB64*(1-IF(CB62&lt;INDEX('Lease Cycles'!$DK$11:$DQ$11,1,CB61),0,IF(CB62=INDEX('Lease Cycles'!$DK$11:$DQ$11,1,CB61),1-INDEX('Lease Cycles'!$DR$11:$DX$11,1,CB61),1))-IF(CB62=0,INDEX('Lease Cycles'!$DD$11:$DJ$11,1,CB61),0))),0)</f>
        <v>0</v>
      </c>
      <c r="CC68" s="28">
        <f>IF(CC63=1,IF(INDEX('Lease Cycles'!$EF$11:$EL$11,1,CC61)=1,0,CC64*(1-IF(CC62&lt;INDEX('Lease Cycles'!$DK$11:$DQ$11,1,CC61),0,IF(CC62=INDEX('Lease Cycles'!$DK$11:$DQ$11,1,CC61),1-INDEX('Lease Cycles'!$DR$11:$DX$11,1,CC61),1))-IF(CC62=0,INDEX('Lease Cycles'!$DD$11:$DJ$11,1,CC61),0))),0)</f>
        <v>0</v>
      </c>
      <c r="CD68" s="28">
        <f>IF(CD63=1,IF(INDEX('Lease Cycles'!$EF$11:$EL$11,1,CD61)=1,0,CD64*(1-IF(CD62&lt;INDEX('Lease Cycles'!$DK$11:$DQ$11,1,CD61),0,IF(CD62=INDEX('Lease Cycles'!$DK$11:$DQ$11,1,CD61),1-INDEX('Lease Cycles'!$DR$11:$DX$11,1,CD61),1))-IF(CD62=0,INDEX('Lease Cycles'!$DD$11:$DJ$11,1,CD61),0))),0)</f>
        <v>2700.7051408005295</v>
      </c>
      <c r="CE68" s="28">
        <f>IF(CE63=1,IF(INDEX('Lease Cycles'!$EF$11:$EL$11,1,CE61)=1,0,CE64*(1-IF(CE62&lt;INDEX('Lease Cycles'!$DK$11:$DQ$11,1,CE61),0,IF(CE62=INDEX('Lease Cycles'!$DK$11:$DQ$11,1,CE61),1-INDEX('Lease Cycles'!$DR$11:$DX$11,1,CE61),1))-IF(CE62=0,INDEX('Lease Cycles'!$DD$11:$DJ$11,1,CE61),0))),0)</f>
        <v>0</v>
      </c>
      <c r="CF68" s="28">
        <f>IF(CF63=1,IF(INDEX('Lease Cycles'!$EF$11:$EL$11,1,CF61)=1,0,CF64*(1-IF(CF62&lt;INDEX('Lease Cycles'!$DK$11:$DQ$11,1,CF61),0,IF(CF62=INDEX('Lease Cycles'!$DK$11:$DQ$11,1,CF61),1-INDEX('Lease Cycles'!$DR$11:$DX$11,1,CF61),1))-IF(CF62=0,INDEX('Lease Cycles'!$DD$11:$DJ$11,1,CF61),0))),0)</f>
        <v>0</v>
      </c>
      <c r="CG68" s="28">
        <f>IF(CG63=1,IF(INDEX('Lease Cycles'!$EF$11:$EL$11,1,CG61)=1,0,CG64*(1-IF(CG62&lt;INDEX('Lease Cycles'!$DK$11:$DQ$11,1,CG61),0,IF(CG62=INDEX('Lease Cycles'!$DK$11:$DQ$11,1,CG61),1-INDEX('Lease Cycles'!$DR$11:$DX$11,1,CG61),1))-IF(CG62=0,INDEX('Lease Cycles'!$DD$11:$DJ$11,1,CG61),0))),0)</f>
        <v>0</v>
      </c>
      <c r="CH68" s="28">
        <f>IF(CH63=1,IF(INDEX('Lease Cycles'!$EF$11:$EL$11,1,CH61)=1,0,CH64*(1-IF(CH62&lt;INDEX('Lease Cycles'!$DK$11:$DQ$11,1,CH61),0,IF(CH62=INDEX('Lease Cycles'!$DK$11:$DQ$11,1,CH61),1-INDEX('Lease Cycles'!$DR$11:$DX$11,1,CH61),1))-IF(CH62=0,INDEX('Lease Cycles'!$DD$11:$DJ$11,1,CH61),0))),0)</f>
        <v>0</v>
      </c>
      <c r="CI68" s="28">
        <f>IF(CI63=1,IF(INDEX('Lease Cycles'!$EF$11:$EL$11,1,CI61)=1,0,CI64*(1-IF(CI62&lt;INDEX('Lease Cycles'!$DK$11:$DQ$11,1,CI61),0,IF(CI62=INDEX('Lease Cycles'!$DK$11:$DQ$11,1,CI61),1-INDEX('Lease Cycles'!$DR$11:$DX$11,1,CI61),1))-IF(CI62=0,INDEX('Lease Cycles'!$DD$11:$DJ$11,1,CI61),0))),0)</f>
        <v>0</v>
      </c>
      <c r="CJ68" s="28">
        <f>IF(CJ63=1,IF(INDEX('Lease Cycles'!$EF$11:$EL$11,1,CJ61)=1,0,CJ64*(1-IF(CJ62&lt;INDEX('Lease Cycles'!$DK$11:$DQ$11,1,CJ61),0,IF(CJ62=INDEX('Lease Cycles'!$DK$11:$DQ$11,1,CJ61),1-INDEX('Lease Cycles'!$DR$11:$DX$11,1,CJ61),1))-IF(CJ62=0,INDEX('Lease Cycles'!$DD$11:$DJ$11,1,CJ61),0))),0)</f>
        <v>0</v>
      </c>
      <c r="CK68" s="28">
        <f>IF(CK63=1,IF(INDEX('Lease Cycles'!$EF$11:$EL$11,1,CK61)=1,0,CK64*(1-IF(CK62&lt;INDEX('Lease Cycles'!$DK$11:$DQ$11,1,CK61),0,IF(CK62=INDEX('Lease Cycles'!$DK$11:$DQ$11,1,CK61),1-INDEX('Lease Cycles'!$DR$11:$DX$11,1,CK61),1))-IF(CK62=0,INDEX('Lease Cycles'!$DD$11:$DJ$11,1,CK61),0))),0)</f>
        <v>0</v>
      </c>
      <c r="CL68" s="28">
        <f>IF(CL63=1,IF(INDEX('Lease Cycles'!$EF$11:$EL$11,1,CL61)=1,0,CL64*(1-IF(CL62&lt;INDEX('Lease Cycles'!$DK$11:$DQ$11,1,CL61),0,IF(CL62=INDEX('Lease Cycles'!$DK$11:$DQ$11,1,CL61),1-INDEX('Lease Cycles'!$DR$11:$DX$11,1,CL61),1))-IF(CL62=0,INDEX('Lease Cycles'!$DD$11:$DJ$11,1,CL61),0))),0)</f>
        <v>0</v>
      </c>
      <c r="CM68" s="28">
        <f>IF(CM63=1,IF(INDEX('Lease Cycles'!$EF$11:$EL$11,1,CM61)=1,0,CM64*(1-IF(CM62&lt;INDEX('Lease Cycles'!$DK$11:$DQ$11,1,CM61),0,IF(CM62=INDEX('Lease Cycles'!$DK$11:$DQ$11,1,CM61),1-INDEX('Lease Cycles'!$DR$11:$DX$11,1,CM61),1))-IF(CM62=0,INDEX('Lease Cycles'!$DD$11:$DJ$11,1,CM61),0))),0)</f>
        <v>0</v>
      </c>
      <c r="CN68" s="28">
        <f>IF(CN63=1,IF(INDEX('Lease Cycles'!$EF$11:$EL$11,1,CN61)=1,0,CN64*(1-IF(CN62&lt;INDEX('Lease Cycles'!$DK$11:$DQ$11,1,CN61),0,IF(CN62=INDEX('Lease Cycles'!$DK$11:$DQ$11,1,CN61),1-INDEX('Lease Cycles'!$DR$11:$DX$11,1,CN61),1))-IF(CN62=0,INDEX('Lease Cycles'!$DD$11:$DJ$11,1,CN61),0))),0)</f>
        <v>0</v>
      </c>
      <c r="CO68" s="28">
        <f>IF(CO63=1,IF(INDEX('Lease Cycles'!$EF$11:$EL$11,1,CO61)=1,0,CO64*(1-IF(CO62&lt;INDEX('Lease Cycles'!$DK$11:$DQ$11,1,CO61),0,IF(CO62=INDEX('Lease Cycles'!$DK$11:$DQ$11,1,CO61),1-INDEX('Lease Cycles'!$DR$11:$DX$11,1,CO61),1))-IF(CO62=0,INDEX('Lease Cycles'!$DD$11:$DJ$11,1,CO61),0))),0)</f>
        <v>0</v>
      </c>
      <c r="CP68" s="28">
        <f>IF(CP63=1,IF(INDEX('Lease Cycles'!$EF$11:$EL$11,1,CP61)=1,0,CP64*(1-IF(CP62&lt;INDEX('Lease Cycles'!$DK$11:$DQ$11,1,CP61),0,IF(CP62=INDEX('Lease Cycles'!$DK$11:$DQ$11,1,CP61),1-INDEX('Lease Cycles'!$DR$11:$DX$11,1,CP61),1))-IF(CP62=0,INDEX('Lease Cycles'!$DD$11:$DJ$11,1,CP61),0))),0)</f>
        <v>0</v>
      </c>
      <c r="CQ68" s="28">
        <f>IF(CQ63=1,IF(INDEX('Lease Cycles'!$EF$11:$EL$11,1,CQ61)=1,0,CQ64*(1-IF(CQ62&lt;INDEX('Lease Cycles'!$DK$11:$DQ$11,1,CQ61),0,IF(CQ62=INDEX('Lease Cycles'!$DK$11:$DQ$11,1,CQ61),1-INDEX('Lease Cycles'!$DR$11:$DX$11,1,CQ61),1))-IF(CQ62=0,INDEX('Lease Cycles'!$DD$11:$DJ$11,1,CQ61),0))),0)</f>
        <v>0</v>
      </c>
      <c r="CR68" s="28">
        <f>IF(CR63=1,IF(INDEX('Lease Cycles'!$EF$11:$EL$11,1,CR61)=1,0,CR64*(1-IF(CR62&lt;INDEX('Lease Cycles'!$DK$11:$DQ$11,1,CR61),0,IF(CR62=INDEX('Lease Cycles'!$DK$11:$DQ$11,1,CR61),1-INDEX('Lease Cycles'!$DR$11:$DX$11,1,CR61),1))-IF(CR62=0,INDEX('Lease Cycles'!$DD$11:$DJ$11,1,CR61),0))),0)</f>
        <v>0</v>
      </c>
      <c r="CS68" s="28">
        <f>IF(CS63=1,IF(INDEX('Lease Cycles'!$EF$11:$EL$11,1,CS61)=1,0,CS64*(1-IF(CS62&lt;INDEX('Lease Cycles'!$DK$11:$DQ$11,1,CS61),0,IF(CS62=INDEX('Lease Cycles'!$DK$11:$DQ$11,1,CS61),1-INDEX('Lease Cycles'!$DR$11:$DX$11,1,CS61),1))-IF(CS62=0,INDEX('Lease Cycles'!$DD$11:$DJ$11,1,CS61),0))),0)</f>
        <v>0</v>
      </c>
      <c r="CT68" s="28">
        <f>IF(CT63=1,IF(INDEX('Lease Cycles'!$EF$11:$EL$11,1,CT61)=1,0,CT64*(1-IF(CT62&lt;INDEX('Lease Cycles'!$DK$11:$DQ$11,1,CT61),0,IF(CT62=INDEX('Lease Cycles'!$DK$11:$DQ$11,1,CT61),1-INDEX('Lease Cycles'!$DR$11:$DX$11,1,CT61),1))-IF(CT62=0,INDEX('Lease Cycles'!$DD$11:$DJ$11,1,CT61),0))),0)</f>
        <v>0</v>
      </c>
      <c r="CU68" s="28">
        <f>IF(CU63=1,IF(INDEX('Lease Cycles'!$EF$11:$EL$11,1,CU61)=1,0,CU64*(1-IF(CU62&lt;INDEX('Lease Cycles'!$DK$11:$DQ$11,1,CU61),0,IF(CU62=INDEX('Lease Cycles'!$DK$11:$DQ$11,1,CU61),1-INDEX('Lease Cycles'!$DR$11:$DX$11,1,CU61),1))-IF(CU62=0,INDEX('Lease Cycles'!$DD$11:$DJ$11,1,CU61),0))),0)</f>
        <v>0</v>
      </c>
      <c r="CV68" s="28">
        <f>IF(CV63=1,IF(INDEX('Lease Cycles'!$EF$11:$EL$11,1,CV61)=1,0,CV64*(1-IF(CV62&lt;INDEX('Lease Cycles'!$DK$11:$DQ$11,1,CV61),0,IF(CV62=INDEX('Lease Cycles'!$DK$11:$DQ$11,1,CV61),1-INDEX('Lease Cycles'!$DR$11:$DX$11,1,CV61),1))-IF(CV62=0,INDEX('Lease Cycles'!$DD$11:$DJ$11,1,CV61),0))),0)</f>
        <v>0</v>
      </c>
      <c r="CW68" s="28">
        <f>IF(CW63=1,IF(INDEX('Lease Cycles'!$EF$11:$EL$11,1,CW61)=1,0,CW64*(1-IF(CW62&lt;INDEX('Lease Cycles'!$DK$11:$DQ$11,1,CW61),0,IF(CW62=INDEX('Lease Cycles'!$DK$11:$DQ$11,1,CW61),1-INDEX('Lease Cycles'!$DR$11:$DX$11,1,CW61),1))-IF(CW62=0,INDEX('Lease Cycles'!$DD$11:$DJ$11,1,CW61),0))),0)</f>
        <v>0</v>
      </c>
      <c r="CX68" s="28">
        <f>IF(CX63=1,IF(INDEX('Lease Cycles'!$EF$11:$EL$11,1,CX61)=1,0,CX64*(1-IF(CX62&lt;INDEX('Lease Cycles'!$DK$11:$DQ$11,1,CX61),0,IF(CX62=INDEX('Lease Cycles'!$DK$11:$DQ$11,1,CX61),1-INDEX('Lease Cycles'!$DR$11:$DX$11,1,CX61),1))-IF(CX62=0,INDEX('Lease Cycles'!$DD$11:$DJ$11,1,CX61),0))),0)</f>
        <v>0</v>
      </c>
      <c r="CY68" s="28">
        <f>IF(CY63=1,IF(INDEX('Lease Cycles'!$EF$11:$EL$11,1,CY61)=1,0,CY64*(1-IF(CY62&lt;INDEX('Lease Cycles'!$DK$11:$DQ$11,1,CY61),0,IF(CY62=INDEX('Lease Cycles'!$DK$11:$DQ$11,1,CY61),1-INDEX('Lease Cycles'!$DR$11:$DX$11,1,CY61),1))-IF(CY62=0,INDEX('Lease Cycles'!$DD$11:$DJ$11,1,CY61),0))),0)</f>
        <v>0</v>
      </c>
      <c r="CZ68" s="28">
        <f>IF(CZ63=1,IF(INDEX('Lease Cycles'!$EF$11:$EL$11,1,CZ61)=1,0,CZ64*(1-IF(CZ62&lt;INDEX('Lease Cycles'!$DK$11:$DQ$11,1,CZ61),0,IF(CZ62=INDEX('Lease Cycles'!$DK$11:$DQ$11,1,CZ61),1-INDEX('Lease Cycles'!$DR$11:$DX$11,1,CZ61),1))-IF(CZ62=0,INDEX('Lease Cycles'!$DD$11:$DJ$11,1,CZ61),0))),0)</f>
        <v>0</v>
      </c>
      <c r="DA68" s="28">
        <f>IF(DA63=1,IF(INDEX('Lease Cycles'!$EF$11:$EL$11,1,DA61)=1,0,DA64*(1-IF(DA62&lt;INDEX('Lease Cycles'!$DK$11:$DQ$11,1,DA61),0,IF(DA62=INDEX('Lease Cycles'!$DK$11:$DQ$11,1,DA61),1-INDEX('Lease Cycles'!$DR$11:$DX$11,1,DA61),1))-IF(DA62=0,INDEX('Lease Cycles'!$DD$11:$DJ$11,1,DA61),0))),0)</f>
        <v>0</v>
      </c>
      <c r="DB68" s="28">
        <f>IF(DB63=1,IF(INDEX('Lease Cycles'!$EF$11:$EL$11,1,DB61)=1,0,DB64*(1-IF(DB62&lt;INDEX('Lease Cycles'!$DK$11:$DQ$11,1,DB61),0,IF(DB62=INDEX('Lease Cycles'!$DK$11:$DQ$11,1,DB61),1-INDEX('Lease Cycles'!$DR$11:$DX$11,1,DB61),1))-IF(DB62=0,INDEX('Lease Cycles'!$DD$11:$DJ$11,1,DB61),0))),0)</f>
        <v>0</v>
      </c>
      <c r="DC68" s="28">
        <f>IF(DC63=1,IF(INDEX('Lease Cycles'!$EF$11:$EL$11,1,DC61)=1,0,DC64*(1-IF(DC62&lt;INDEX('Lease Cycles'!$DK$11:$DQ$11,1,DC61),0,IF(DC62=INDEX('Lease Cycles'!$DK$11:$DQ$11,1,DC61),1-INDEX('Lease Cycles'!$DR$11:$DX$11,1,DC61),1))-IF(DC62=0,INDEX('Lease Cycles'!$DD$11:$DJ$11,1,DC61),0))),0)</f>
        <v>0</v>
      </c>
      <c r="DD68" s="28">
        <f>IF(DD63=1,IF(INDEX('Lease Cycles'!$EF$11:$EL$11,1,DD61)=1,0,DD64*(1-IF(DD62&lt;INDEX('Lease Cycles'!$DK$11:$DQ$11,1,DD61),0,IF(DD62=INDEX('Lease Cycles'!$DK$11:$DQ$11,1,DD61),1-INDEX('Lease Cycles'!$DR$11:$DX$11,1,DD61),1))-IF(DD62=0,INDEX('Lease Cycles'!$DD$11:$DJ$11,1,DD61),0))),0)</f>
        <v>0</v>
      </c>
      <c r="DE68" s="28">
        <f>IF(DE63=1,IF(INDEX('Lease Cycles'!$EF$11:$EL$11,1,DE61)=1,0,DE64*(1-IF(DE62&lt;INDEX('Lease Cycles'!$DK$11:$DQ$11,1,DE61),0,IF(DE62=INDEX('Lease Cycles'!$DK$11:$DQ$11,1,DE61),1-INDEX('Lease Cycles'!$DR$11:$DX$11,1,DE61),1))-IF(DE62=0,INDEX('Lease Cycles'!$DD$11:$DJ$11,1,DE61),0))),0)</f>
        <v>0</v>
      </c>
      <c r="DF68" s="28">
        <f>IF(DF63=1,IF(INDEX('Lease Cycles'!$EF$11:$EL$11,1,DF61)=1,0,DF64*(1-IF(DF62&lt;INDEX('Lease Cycles'!$DK$11:$DQ$11,1,DF61),0,IF(DF62=INDEX('Lease Cycles'!$DK$11:$DQ$11,1,DF61),1-INDEX('Lease Cycles'!$DR$11:$DX$11,1,DF61),1))-IF(DF62=0,INDEX('Lease Cycles'!$DD$11:$DJ$11,1,DF61),0))),0)</f>
        <v>0</v>
      </c>
      <c r="DG68" s="28">
        <f>IF(DG63=1,IF(INDEX('Lease Cycles'!$EF$11:$EL$11,1,DG61)=1,0,DG64*(1-IF(DG62&lt;INDEX('Lease Cycles'!$DK$11:$DQ$11,1,DG61),0,IF(DG62=INDEX('Lease Cycles'!$DK$11:$DQ$11,1,DG61),1-INDEX('Lease Cycles'!$DR$11:$DX$11,1,DG61),1))-IF(DG62=0,INDEX('Lease Cycles'!$DD$11:$DJ$11,1,DG61),0))),0)</f>
        <v>0</v>
      </c>
      <c r="DH68" s="28">
        <f>IF(DH63=1,IF(INDEX('Lease Cycles'!$EF$11:$EL$11,1,DH61)=1,0,DH64*(1-IF(DH62&lt;INDEX('Lease Cycles'!$DK$11:$DQ$11,1,DH61),0,IF(DH62=INDEX('Lease Cycles'!$DK$11:$DQ$11,1,DH61),1-INDEX('Lease Cycles'!$DR$11:$DX$11,1,DH61),1))-IF(DH62=0,INDEX('Lease Cycles'!$DD$11:$DJ$11,1,DH61),0))),0)</f>
        <v>0</v>
      </c>
      <c r="DI68" s="28">
        <f>IF(DI63=1,IF(INDEX('Lease Cycles'!$EF$11:$EL$11,1,DI61)=1,0,DI64*(1-IF(DI62&lt;INDEX('Lease Cycles'!$DK$11:$DQ$11,1,DI61),0,IF(DI62=INDEX('Lease Cycles'!$DK$11:$DQ$11,1,DI61),1-INDEX('Lease Cycles'!$DR$11:$DX$11,1,DI61),1))-IF(DI62=0,INDEX('Lease Cycles'!$DD$11:$DJ$11,1,DI61),0))),0)</f>
        <v>0</v>
      </c>
      <c r="DJ68" s="28">
        <f>IF(DJ63=1,IF(INDEX('Lease Cycles'!$EF$11:$EL$11,1,DJ61)=1,0,DJ64*(1-IF(DJ62&lt;INDEX('Lease Cycles'!$DK$11:$DQ$11,1,DJ61),0,IF(DJ62=INDEX('Lease Cycles'!$DK$11:$DQ$11,1,DJ61),1-INDEX('Lease Cycles'!$DR$11:$DX$11,1,DJ61),1))-IF(DJ62=0,INDEX('Lease Cycles'!$DD$11:$DJ$11,1,DJ61),0))),0)</f>
        <v>0</v>
      </c>
      <c r="DK68" s="28">
        <f>IF(DK63=1,IF(INDEX('Lease Cycles'!$EF$11:$EL$11,1,DK61)=1,0,DK64*(1-IF(DK62&lt;INDEX('Lease Cycles'!$DK$11:$DQ$11,1,DK61),0,IF(DK62=INDEX('Lease Cycles'!$DK$11:$DQ$11,1,DK61),1-INDEX('Lease Cycles'!$DR$11:$DX$11,1,DK61),1))-IF(DK62=0,INDEX('Lease Cycles'!$DD$11:$DJ$11,1,DK61),0))),0)</f>
        <v>0</v>
      </c>
      <c r="DL68" s="28">
        <f>IF(DL63=1,IF(INDEX('Lease Cycles'!$EF$11:$EL$11,1,DL61)=1,0,DL64*(1-IF(DL62&lt;INDEX('Lease Cycles'!$DK$11:$DQ$11,1,DL61),0,IF(DL62=INDEX('Lease Cycles'!$DK$11:$DQ$11,1,DL61),1-INDEX('Lease Cycles'!$DR$11:$DX$11,1,DL61),1))-IF(DL62=0,INDEX('Lease Cycles'!$DD$11:$DJ$11,1,DL61),0))),0)</f>
        <v>0</v>
      </c>
      <c r="DM68" s="28">
        <f>IF(DM63=1,IF(INDEX('Lease Cycles'!$EF$11:$EL$11,1,DM61)=1,0,DM64*(1-IF(DM62&lt;INDEX('Lease Cycles'!$DK$11:$DQ$11,1,DM61),0,IF(DM62=INDEX('Lease Cycles'!$DK$11:$DQ$11,1,DM61),1-INDEX('Lease Cycles'!$DR$11:$DX$11,1,DM61),1))-IF(DM62=0,INDEX('Lease Cycles'!$DD$11:$DJ$11,1,DM61),0))),0)</f>
        <v>0</v>
      </c>
      <c r="DN68" s="28">
        <f>IF(DN63=1,IF(INDEX('Lease Cycles'!$EF$11:$EL$11,1,DN61)=1,0,DN64*(1-IF(DN62&lt;INDEX('Lease Cycles'!$DK$11:$DQ$11,1,DN61),0,IF(DN62=INDEX('Lease Cycles'!$DK$11:$DQ$11,1,DN61),1-INDEX('Lease Cycles'!$DR$11:$DX$11,1,DN61),1))-IF(DN62=0,INDEX('Lease Cycles'!$DD$11:$DJ$11,1,DN61),0))),0)</f>
        <v>0</v>
      </c>
      <c r="DO68" s="28">
        <f>IF(DO63=1,IF(INDEX('Lease Cycles'!$EF$11:$EL$11,1,DO61)=1,0,DO64*(1-IF(DO62&lt;INDEX('Lease Cycles'!$DK$11:$DQ$11,1,DO61),0,IF(DO62=INDEX('Lease Cycles'!$DK$11:$DQ$11,1,DO61),1-INDEX('Lease Cycles'!$DR$11:$DX$11,1,DO61),1))-IF(DO62=0,INDEX('Lease Cycles'!$DD$11:$DJ$11,1,DO61),0))),0)</f>
        <v>0</v>
      </c>
      <c r="DP68" s="28">
        <f>IF(DP63=1,IF(INDEX('Lease Cycles'!$EF$11:$EL$11,1,DP61)=1,0,DP64*(1-IF(DP62&lt;INDEX('Lease Cycles'!$DK$11:$DQ$11,1,DP61),0,IF(DP62=INDEX('Lease Cycles'!$DK$11:$DQ$11,1,DP61),1-INDEX('Lease Cycles'!$DR$11:$DX$11,1,DP61),1))-IF(DP62=0,INDEX('Lease Cycles'!$DD$11:$DJ$11,1,DP61),0))),0)</f>
        <v>0</v>
      </c>
      <c r="DQ68" s="28">
        <f>IF(DQ63=1,IF(INDEX('Lease Cycles'!$EF$11:$EL$11,1,DQ61)=1,0,DQ64*(1-IF(DQ62&lt;INDEX('Lease Cycles'!$DK$11:$DQ$11,1,DQ61),0,IF(DQ62=INDEX('Lease Cycles'!$DK$11:$DQ$11,1,DQ61),1-INDEX('Lease Cycles'!$DR$11:$DX$11,1,DQ61),1))-IF(DQ62=0,INDEX('Lease Cycles'!$DD$11:$DJ$11,1,DQ61),0))),0)</f>
        <v>0</v>
      </c>
      <c r="DR68" s="28">
        <f>IF(DR63=1,IF(INDEX('Lease Cycles'!$EF$11:$EL$11,1,DR61)=1,0,DR64*(1-IF(DR62&lt;INDEX('Lease Cycles'!$DK$11:$DQ$11,1,DR61),0,IF(DR62=INDEX('Lease Cycles'!$DK$11:$DQ$11,1,DR61),1-INDEX('Lease Cycles'!$DR$11:$DX$11,1,DR61),1))-IF(DR62=0,INDEX('Lease Cycles'!$DD$11:$DJ$11,1,DR61),0))),0)</f>
        <v>0</v>
      </c>
      <c r="DS68" s="28">
        <f>IF(DS63=1,IF(INDEX('Lease Cycles'!$EF$11:$EL$11,1,DS61)=1,0,DS64*(1-IF(DS62&lt;INDEX('Lease Cycles'!$DK$11:$DQ$11,1,DS61),0,IF(DS62=INDEX('Lease Cycles'!$DK$11:$DQ$11,1,DS61),1-INDEX('Lease Cycles'!$DR$11:$DX$11,1,DS61),1))-IF(DS62=0,INDEX('Lease Cycles'!$DD$11:$DJ$11,1,DS61),0))),0)</f>
        <v>0</v>
      </c>
      <c r="DT68" s="28">
        <f>IF(DT63=1,IF(INDEX('Lease Cycles'!$EF$11:$EL$11,1,DT61)=1,0,DT64*(1-IF(DT62&lt;INDEX('Lease Cycles'!$DK$11:$DQ$11,1,DT61),0,IF(DT62=INDEX('Lease Cycles'!$DK$11:$DQ$11,1,DT61),1-INDEX('Lease Cycles'!$DR$11:$DX$11,1,DT61),1))-IF(DT62=0,INDEX('Lease Cycles'!$DD$11:$DJ$11,1,DT61),0))),0)</f>
        <v>0</v>
      </c>
      <c r="DU68" s="28">
        <f>IF(DU63=1,IF(INDEX('Lease Cycles'!$EF$11:$EL$11,1,DU61)=1,0,DU64*(1-IF(DU62&lt;INDEX('Lease Cycles'!$DK$11:$DQ$11,1,DU61),0,IF(DU62=INDEX('Lease Cycles'!$DK$11:$DQ$11,1,DU61),1-INDEX('Lease Cycles'!$DR$11:$DX$11,1,DU61),1))-IF(DU62=0,INDEX('Lease Cycles'!$DD$11:$DJ$11,1,DU61),0))),0)</f>
        <v>0</v>
      </c>
      <c r="DV68" s="28">
        <f>IF(DV63=1,IF(INDEX('Lease Cycles'!$EF$11:$EL$11,1,DV61)=1,0,DV64*(1-IF(DV62&lt;INDEX('Lease Cycles'!$DK$11:$DQ$11,1,DV61),0,IF(DV62=INDEX('Lease Cycles'!$DK$11:$DQ$11,1,DV61),1-INDEX('Lease Cycles'!$DR$11:$DX$11,1,DV61),1))-IF(DV62=0,INDEX('Lease Cycles'!$DD$11:$DJ$11,1,DV61),0))),0)</f>
        <v>0</v>
      </c>
      <c r="DW68" s="28">
        <f>IF(DW63=1,IF(INDEX('Lease Cycles'!$EF$11:$EL$11,1,DW61)=1,0,DW64*(1-IF(DW62&lt;INDEX('Lease Cycles'!$DK$11:$DQ$11,1,DW61),0,IF(DW62=INDEX('Lease Cycles'!$DK$11:$DQ$11,1,DW61),1-INDEX('Lease Cycles'!$DR$11:$DX$11,1,DW61),1))-IF(DW62=0,INDEX('Lease Cycles'!$DD$11:$DJ$11,1,DW61),0))),0)</f>
        <v>0</v>
      </c>
      <c r="DX68" s="28">
        <f>IF(DX63=1,IF(INDEX('Lease Cycles'!$EF$11:$EL$11,1,DX61)=1,0,DX64*(1-IF(DX62&lt;INDEX('Lease Cycles'!$DK$11:$DQ$11,1,DX61),0,IF(DX62=INDEX('Lease Cycles'!$DK$11:$DQ$11,1,DX61),1-INDEX('Lease Cycles'!$DR$11:$DX$11,1,DX61),1))-IF(DX62=0,INDEX('Lease Cycles'!$DD$11:$DJ$11,1,DX61),0))),0)</f>
        <v>0</v>
      </c>
      <c r="DY68" s="28">
        <f>IF(DY63=1,IF(INDEX('Lease Cycles'!$EF$11:$EL$11,1,DY61)=1,0,DY64*(1-IF(DY62&lt;INDEX('Lease Cycles'!$DK$11:$DQ$11,1,DY61),0,IF(DY62=INDEX('Lease Cycles'!$DK$11:$DQ$11,1,DY61),1-INDEX('Lease Cycles'!$DR$11:$DX$11,1,DY61),1))-IF(DY62=0,INDEX('Lease Cycles'!$DD$11:$DJ$11,1,DY61),0))),0)</f>
        <v>0</v>
      </c>
      <c r="DZ68" s="28">
        <f>IF(DZ63=1,IF(INDEX('Lease Cycles'!$EF$11:$EL$11,1,DZ61)=1,0,DZ64*(1-IF(DZ62&lt;INDEX('Lease Cycles'!$DK$11:$DQ$11,1,DZ61),0,IF(DZ62=INDEX('Lease Cycles'!$DK$11:$DQ$11,1,DZ61),1-INDEX('Lease Cycles'!$DR$11:$DX$11,1,DZ61),1))-IF(DZ62=0,INDEX('Lease Cycles'!$DD$11:$DJ$11,1,DZ61),0))),0)</f>
        <v>0</v>
      </c>
      <c r="EA68" s="28">
        <f>IF(EA63=1,IF(INDEX('Lease Cycles'!$EF$11:$EL$11,1,EA61)=1,0,EA64*(1-IF(EA62&lt;INDEX('Lease Cycles'!$DK$11:$DQ$11,1,EA61),0,IF(EA62=INDEX('Lease Cycles'!$DK$11:$DQ$11,1,EA61),1-INDEX('Lease Cycles'!$DR$11:$DX$11,1,EA61),1))-IF(EA62=0,INDEX('Lease Cycles'!$DD$11:$DJ$11,1,EA61),0))),0)</f>
        <v>0</v>
      </c>
      <c r="EB68" s="28">
        <f>IF(EB63=1,IF(INDEX('Lease Cycles'!$EF$11:$EL$11,1,EB61)=1,0,EB64*(1-IF(EB62&lt;INDEX('Lease Cycles'!$DK$11:$DQ$11,1,EB61),0,IF(EB62=INDEX('Lease Cycles'!$DK$11:$DQ$11,1,EB61),1-INDEX('Lease Cycles'!$DR$11:$DX$11,1,EB61),1))-IF(EB62=0,INDEX('Lease Cycles'!$DD$11:$DJ$11,1,EB61),0))),0)</f>
        <v>0</v>
      </c>
      <c r="EC68" s="28">
        <f>IF(EC63=1,IF(INDEX('Lease Cycles'!$EF$11:$EL$11,1,EC61)=1,0,EC64*(1-IF(EC62&lt;INDEX('Lease Cycles'!$DK$11:$DQ$11,1,EC61),0,IF(EC62=INDEX('Lease Cycles'!$DK$11:$DQ$11,1,EC61),1-INDEX('Lease Cycles'!$DR$11:$DX$11,1,EC61),1))-IF(EC62=0,INDEX('Lease Cycles'!$DD$11:$DJ$11,1,EC61),0))),0)</f>
        <v>0</v>
      </c>
      <c r="ED68" s="28">
        <f>IF(ED63=1,IF(INDEX('Lease Cycles'!$EF$11:$EL$11,1,ED61)=1,0,ED64*(1-IF(ED62&lt;INDEX('Lease Cycles'!$DK$11:$DQ$11,1,ED61),0,IF(ED62=INDEX('Lease Cycles'!$DK$11:$DQ$11,1,ED61),1-INDEX('Lease Cycles'!$DR$11:$DX$11,1,ED61),1))-IF(ED62=0,INDEX('Lease Cycles'!$DD$11:$DJ$11,1,ED61),0))),0)</f>
        <v>0</v>
      </c>
      <c r="EE68" s="28">
        <f>IF(EE63=1,IF(INDEX('Lease Cycles'!$EF$11:$EL$11,1,EE61)=1,0,EE64*(1-IF(EE62&lt;INDEX('Lease Cycles'!$DK$11:$DQ$11,1,EE61),0,IF(EE62=INDEX('Lease Cycles'!$DK$11:$DQ$11,1,EE61),1-INDEX('Lease Cycles'!$DR$11:$DX$11,1,EE61),1))-IF(EE62=0,INDEX('Lease Cycles'!$DD$11:$DJ$11,1,EE61),0))),0)</f>
        <v>0</v>
      </c>
      <c r="EF68" s="28">
        <f>IF(EF63=1,IF(INDEX('Lease Cycles'!$EF$11:$EL$11,1,EF61)=1,0,EF64*(1-IF(EF62&lt;INDEX('Lease Cycles'!$DK$11:$DQ$11,1,EF61),0,IF(EF62=INDEX('Lease Cycles'!$DK$11:$DQ$11,1,EF61),1-INDEX('Lease Cycles'!$DR$11:$DX$11,1,EF61),1))-IF(EF62=0,INDEX('Lease Cycles'!$DD$11:$DJ$11,1,EF61),0))),0)</f>
        <v>0</v>
      </c>
      <c r="EG68" s="28">
        <f>IF(EG63=1,IF(INDEX('Lease Cycles'!$EF$11:$EL$11,1,EG61)=1,0,EG64*(1-IF(EG62&lt;INDEX('Lease Cycles'!$DK$11:$DQ$11,1,EG61),0,IF(EG62=INDEX('Lease Cycles'!$DK$11:$DQ$11,1,EG61),1-INDEX('Lease Cycles'!$DR$11:$DX$11,1,EG61),1))-IF(EG62=0,INDEX('Lease Cycles'!$DD$11:$DJ$11,1,EG61),0))),0)</f>
        <v>0</v>
      </c>
      <c r="EH68" s="28">
        <f>IF(EH63=1,IF(INDEX('Lease Cycles'!$EF$11:$EL$11,1,EH61)=1,0,EH64*(1-IF(EH62&lt;INDEX('Lease Cycles'!$DK$11:$DQ$11,1,EH61),0,IF(EH62=INDEX('Lease Cycles'!$DK$11:$DQ$11,1,EH61),1-INDEX('Lease Cycles'!$DR$11:$DX$11,1,EH61),1))-IF(EH62=0,INDEX('Lease Cycles'!$DD$11:$DJ$11,1,EH61),0))),0)</f>
        <v>0</v>
      </c>
      <c r="EI68" s="28">
        <f>IF(EI63=1,IF(INDEX('Lease Cycles'!$EF$11:$EL$11,1,EI61)=1,0,EI64*(1-IF(EI62&lt;INDEX('Lease Cycles'!$DK$11:$DQ$11,1,EI61),0,IF(EI62=INDEX('Lease Cycles'!$DK$11:$DQ$11,1,EI61),1-INDEX('Lease Cycles'!$DR$11:$DX$11,1,EI61),1))-IF(EI62=0,INDEX('Lease Cycles'!$DD$11:$DJ$11,1,EI61),0))),0)</f>
        <v>0</v>
      </c>
      <c r="EJ68" s="28">
        <f>IF(EJ63=1,IF(INDEX('Lease Cycles'!$EF$11:$EL$11,1,EJ61)=1,0,EJ64*(1-IF(EJ62&lt;INDEX('Lease Cycles'!$DK$11:$DQ$11,1,EJ61),0,IF(EJ62=INDEX('Lease Cycles'!$DK$11:$DQ$11,1,EJ61),1-INDEX('Lease Cycles'!$DR$11:$DX$11,1,EJ61),1))-IF(EJ62=0,INDEX('Lease Cycles'!$DD$11:$DJ$11,1,EJ61),0))),0)</f>
        <v>0</v>
      </c>
      <c r="EK68" s="28">
        <f>IF(EK63=1,IF(INDEX('Lease Cycles'!$EF$11:$EL$11,1,EK61)=1,0,EK64*(1-IF(EK62&lt;INDEX('Lease Cycles'!$DK$11:$DQ$11,1,EK61),0,IF(EK62=INDEX('Lease Cycles'!$DK$11:$DQ$11,1,EK61),1-INDEX('Lease Cycles'!$DR$11:$DX$11,1,EK61),1))-IF(EK62=0,INDEX('Lease Cycles'!$DD$11:$DJ$11,1,EK61),0))),0)</f>
        <v>0</v>
      </c>
      <c r="EL68" s="28">
        <f>IF(EL63=1,IF(INDEX('Lease Cycles'!$EF$11:$EL$11,1,EL61)=1,0,EL64*(1-IF(EL62&lt;INDEX('Lease Cycles'!$DK$11:$DQ$11,1,EL61),0,IF(EL62=INDEX('Lease Cycles'!$DK$11:$DQ$11,1,EL61),1-INDEX('Lease Cycles'!$DR$11:$DX$11,1,EL61),1))-IF(EL62=0,INDEX('Lease Cycles'!$DD$11:$DJ$11,1,EL61),0))),0)</f>
        <v>0</v>
      </c>
      <c r="EM68" s="28">
        <f>IF(EM63=1,IF(INDEX('Lease Cycles'!$EF$11:$EL$11,1,EM61)=1,0,EM64*(1-IF(EM62&lt;INDEX('Lease Cycles'!$DK$11:$DQ$11,1,EM61),0,IF(EM62=INDEX('Lease Cycles'!$DK$11:$DQ$11,1,EM61),1-INDEX('Lease Cycles'!$DR$11:$DX$11,1,EM61),1))-IF(EM62=0,INDEX('Lease Cycles'!$DD$11:$DJ$11,1,EM61),0))),0)</f>
        <v>0</v>
      </c>
      <c r="EN68" s="28">
        <f>IF(EN63=1,IF(INDEX('Lease Cycles'!$EF$11:$EL$11,1,EN61)=1,0,EN64*(1-IF(EN62&lt;INDEX('Lease Cycles'!$DK$11:$DQ$11,1,EN61),0,IF(EN62=INDEX('Lease Cycles'!$DK$11:$DQ$11,1,EN61),1-INDEX('Lease Cycles'!$DR$11:$DX$11,1,EN61),1))-IF(EN62=0,INDEX('Lease Cycles'!$DD$11:$DJ$11,1,EN61),0))),0)</f>
        <v>0</v>
      </c>
      <c r="EO68" s="28">
        <f>IF(EO63=1,IF(INDEX('Lease Cycles'!$EF$11:$EL$11,1,EO61)=1,0,EO64*(1-IF(EO62&lt;INDEX('Lease Cycles'!$DK$11:$DQ$11,1,EO61),0,IF(EO62=INDEX('Lease Cycles'!$DK$11:$DQ$11,1,EO61),1-INDEX('Lease Cycles'!$DR$11:$DX$11,1,EO61),1))-IF(EO62=0,INDEX('Lease Cycles'!$DD$11:$DJ$11,1,EO61),0))),0)</f>
        <v>0</v>
      </c>
      <c r="EP68" s="28">
        <f>IF(EP63=1,IF(INDEX('Lease Cycles'!$EF$11:$EL$11,1,EP61)=1,0,EP64*(1-IF(EP62&lt;INDEX('Lease Cycles'!$DK$11:$DQ$11,1,EP61),0,IF(EP62=INDEX('Lease Cycles'!$DK$11:$DQ$11,1,EP61),1-INDEX('Lease Cycles'!$DR$11:$DX$11,1,EP61),1))-IF(EP62=0,INDEX('Lease Cycles'!$DD$11:$DJ$11,1,EP61),0))),0)</f>
        <v>0</v>
      </c>
      <c r="EQ68" s="28">
        <f>IF(EQ63=1,IF(INDEX('Lease Cycles'!$EF$11:$EL$11,1,EQ61)=1,0,EQ64*(1-IF(EQ62&lt;INDEX('Lease Cycles'!$DK$11:$DQ$11,1,EQ61),0,IF(EQ62=INDEX('Lease Cycles'!$DK$11:$DQ$11,1,EQ61),1-INDEX('Lease Cycles'!$DR$11:$DX$11,1,EQ61),1))-IF(EQ62=0,INDEX('Lease Cycles'!$DD$11:$DJ$11,1,EQ61),0))),0)</f>
        <v>0</v>
      </c>
      <c r="ER68" s="28">
        <f>IF(ER63=1,IF(INDEX('Lease Cycles'!$EF$11:$EL$11,1,ER61)=1,0,ER64*(1-IF(ER62&lt;INDEX('Lease Cycles'!$DK$11:$DQ$11,1,ER61),0,IF(ER62=INDEX('Lease Cycles'!$DK$11:$DQ$11,1,ER61),1-INDEX('Lease Cycles'!$DR$11:$DX$11,1,ER61),1))-IF(ER62=0,INDEX('Lease Cycles'!$DD$11:$DJ$11,1,ER61),0))),0)</f>
        <v>0</v>
      </c>
      <c r="ES68" s="28">
        <f>IF(ES63=1,IF(INDEX('Lease Cycles'!$EF$11:$EL$11,1,ES61)=1,0,ES64*(1-IF(ES62&lt;INDEX('Lease Cycles'!$DK$11:$DQ$11,1,ES61),0,IF(ES62=INDEX('Lease Cycles'!$DK$11:$DQ$11,1,ES61),1-INDEX('Lease Cycles'!$DR$11:$DX$11,1,ES61),1))-IF(ES62=0,INDEX('Lease Cycles'!$DD$11:$DJ$11,1,ES61),0))),0)</f>
        <v>0</v>
      </c>
      <c r="ET68" s="28">
        <f>IF(ET63=1,IF(INDEX('Lease Cycles'!$EF$11:$EL$11,1,ET61)=1,0,ET64*(1-IF(ET62&lt;INDEX('Lease Cycles'!$DK$11:$DQ$11,1,ET61),0,IF(ET62=INDEX('Lease Cycles'!$DK$11:$DQ$11,1,ET61),1-INDEX('Lease Cycles'!$DR$11:$DX$11,1,ET61),1))-IF(ET62=0,INDEX('Lease Cycles'!$DD$11:$DJ$11,1,ET61),0))),0)</f>
        <v>0</v>
      </c>
    </row>
    <row r="69">
      <c r="A69" s="103">
        <v>4</v>
      </c>
      <c r="B69" s="23" t="str">
        <f>IF('Lease Cycles'!$B$11="","(empty slot)",'Lease Cycles'!$B$11)</f>
        <v>Sunfield Dental</v>
      </c>
      <c r="C69" s="23" t="s">
        <v>683</v>
      </c>
      <c r="D69" s="104" t="s">
        <v>684</v>
      </c>
      <c r="E69" s="25">
        <f>'Lease Cycles'!$AL$11</f>
        <v>0</v>
      </c>
      <c r="G69" s="24">
        <f>SUM(S69:AD69)</f>
        <v>0.5025125628140704</v>
      </c>
      <c r="H69" s="24">
        <f>SUM(AE69:AP69)</f>
        <v>0.5025125628140704</v>
      </c>
      <c r="I69" s="24">
        <f>SUM(AQ69:BB69)</f>
        <v>0.5025125628140704</v>
      </c>
      <c r="J69" s="24">
        <f>SUM(BC69:BN69)</f>
        <v>0.5025125628140704</v>
      </c>
      <c r="K69" s="24">
        <f>SUM(BO69:BZ69)</f>
        <v>0.5025125628140704</v>
      </c>
      <c r="L69" s="24">
        <f>SUM(CA69:CL69)</f>
        <v>0.4522613065326632</v>
      </c>
      <c r="M69" s="24">
        <f>SUM(CM69:CX69)</f>
        <v>0.5025125628140704</v>
      </c>
      <c r="N69" s="24">
        <f>SUM(CY69:DJ69)</f>
        <v>0.5025125628140704</v>
      </c>
      <c r="O69" s="24">
        <f>SUM(DK69:DV69)</f>
        <v>0.5025125628140704</v>
      </c>
      <c r="P69" s="24">
        <f>SUM(DW69:EH69)</f>
        <v>0.5025125628140704</v>
      </c>
      <c r="Q69" s="24">
        <f>SUM(EI69:ET69)</f>
        <v>0.5025125628140704</v>
      </c>
      <c r="S69" s="24">
        <f>IF(S63=1,'Lease Cycles'!$D$11*IF(INDEX('Lease Cycles'!$EF$11:$EL$11,1,S61)=1,(1-'Lease Cycles'!$AJ$11)*INDEX('Lease Cycles'!$EM$11:$ES$11,1,S61)+(1-'Lease Cycles'!$BE$11)*IF(S62&lt;INDEX('Lease Cycles'!$FA$11:$FG$11,1,S61),0,1-INDEX('Lease Cycles'!$EM$11:$ES$11,1,S61)),IF(OR(INDEX('Lease Cycles'!$DY$11:$EE$11,1,S61)=1,S62&gt;0),1,1-INDEX('Lease Cycles'!$DD$11:$DJ$11,1,S61))*((1-'Lease Cycles'!$AJ$11)*INDEX('Lease Cycles'!$FO$11:$FU$11,1,S61)+(1-'Lease Cycles'!$BE$11)*(1-INDEX('Lease Cycles'!$FO$11:$FU$11,1,S61)))),0)</f>
        <v>0.04187604690117253</v>
      </c>
      <c r="T69" s="24">
        <f>IF(T63=1,'Lease Cycles'!$D$11*IF(INDEX('Lease Cycles'!$EF$11:$EL$11,1,T61)=1,(1-'Lease Cycles'!$AJ$11)*INDEX('Lease Cycles'!$EM$11:$ES$11,1,T61)+(1-'Lease Cycles'!$BE$11)*IF(T62&lt;INDEX('Lease Cycles'!$FA$11:$FG$11,1,T61),0,1-INDEX('Lease Cycles'!$EM$11:$ES$11,1,T61)),IF(OR(INDEX('Lease Cycles'!$DY$11:$EE$11,1,T61)=1,T62&gt;0),1,1-INDEX('Lease Cycles'!$DD$11:$DJ$11,1,T61))*((1-'Lease Cycles'!$AJ$11)*INDEX('Lease Cycles'!$FO$11:$FU$11,1,T61)+(1-'Lease Cycles'!$BE$11)*(1-INDEX('Lease Cycles'!$FO$11:$FU$11,1,T61)))),0)</f>
        <v>0.04187604690117253</v>
      </c>
      <c r="U69" s="24">
        <f>IF(U63=1,'Lease Cycles'!$D$11*IF(INDEX('Lease Cycles'!$EF$11:$EL$11,1,U61)=1,(1-'Lease Cycles'!$AJ$11)*INDEX('Lease Cycles'!$EM$11:$ES$11,1,U61)+(1-'Lease Cycles'!$BE$11)*IF(U62&lt;INDEX('Lease Cycles'!$FA$11:$FG$11,1,U61),0,1-INDEX('Lease Cycles'!$EM$11:$ES$11,1,U61)),IF(OR(INDEX('Lease Cycles'!$DY$11:$EE$11,1,U61)=1,U62&gt;0),1,1-INDEX('Lease Cycles'!$DD$11:$DJ$11,1,U61))*((1-'Lease Cycles'!$AJ$11)*INDEX('Lease Cycles'!$FO$11:$FU$11,1,U61)+(1-'Lease Cycles'!$BE$11)*(1-INDEX('Lease Cycles'!$FO$11:$FU$11,1,U61)))),0)</f>
        <v>0.04187604690117253</v>
      </c>
      <c r="V69" s="24">
        <f>IF(V63=1,'Lease Cycles'!$D$11*IF(INDEX('Lease Cycles'!$EF$11:$EL$11,1,V61)=1,(1-'Lease Cycles'!$AJ$11)*INDEX('Lease Cycles'!$EM$11:$ES$11,1,V61)+(1-'Lease Cycles'!$BE$11)*IF(V62&lt;INDEX('Lease Cycles'!$FA$11:$FG$11,1,V61),0,1-INDEX('Lease Cycles'!$EM$11:$ES$11,1,V61)),IF(OR(INDEX('Lease Cycles'!$DY$11:$EE$11,1,V61)=1,V62&gt;0),1,1-INDEX('Lease Cycles'!$DD$11:$DJ$11,1,V61))*((1-'Lease Cycles'!$AJ$11)*INDEX('Lease Cycles'!$FO$11:$FU$11,1,V61)+(1-'Lease Cycles'!$BE$11)*(1-INDEX('Lease Cycles'!$FO$11:$FU$11,1,V61)))),0)</f>
        <v>0.04187604690117253</v>
      </c>
      <c r="W69" s="24">
        <f>IF(W63=1,'Lease Cycles'!$D$11*IF(INDEX('Lease Cycles'!$EF$11:$EL$11,1,W61)=1,(1-'Lease Cycles'!$AJ$11)*INDEX('Lease Cycles'!$EM$11:$ES$11,1,W61)+(1-'Lease Cycles'!$BE$11)*IF(W62&lt;INDEX('Lease Cycles'!$FA$11:$FG$11,1,W61),0,1-INDEX('Lease Cycles'!$EM$11:$ES$11,1,W61)),IF(OR(INDEX('Lease Cycles'!$DY$11:$EE$11,1,W61)=1,W62&gt;0),1,1-INDEX('Lease Cycles'!$DD$11:$DJ$11,1,W61))*((1-'Lease Cycles'!$AJ$11)*INDEX('Lease Cycles'!$FO$11:$FU$11,1,W61)+(1-'Lease Cycles'!$BE$11)*(1-INDEX('Lease Cycles'!$FO$11:$FU$11,1,W61)))),0)</f>
        <v>0.04187604690117253</v>
      </c>
      <c r="X69" s="24">
        <f>IF(X63=1,'Lease Cycles'!$D$11*IF(INDEX('Lease Cycles'!$EF$11:$EL$11,1,X61)=1,(1-'Lease Cycles'!$AJ$11)*INDEX('Lease Cycles'!$EM$11:$ES$11,1,X61)+(1-'Lease Cycles'!$BE$11)*IF(X62&lt;INDEX('Lease Cycles'!$FA$11:$FG$11,1,X61),0,1-INDEX('Lease Cycles'!$EM$11:$ES$11,1,X61)),IF(OR(INDEX('Lease Cycles'!$DY$11:$EE$11,1,X61)=1,X62&gt;0),1,1-INDEX('Lease Cycles'!$DD$11:$DJ$11,1,X61))*((1-'Lease Cycles'!$AJ$11)*INDEX('Lease Cycles'!$FO$11:$FU$11,1,X61)+(1-'Lease Cycles'!$BE$11)*(1-INDEX('Lease Cycles'!$FO$11:$FU$11,1,X61)))),0)</f>
        <v>0.04187604690117253</v>
      </c>
      <c r="Y69" s="24">
        <f>IF(Y63=1,'Lease Cycles'!$D$11*IF(INDEX('Lease Cycles'!$EF$11:$EL$11,1,Y61)=1,(1-'Lease Cycles'!$AJ$11)*INDEX('Lease Cycles'!$EM$11:$ES$11,1,Y61)+(1-'Lease Cycles'!$BE$11)*IF(Y62&lt;INDEX('Lease Cycles'!$FA$11:$FG$11,1,Y61),0,1-INDEX('Lease Cycles'!$EM$11:$ES$11,1,Y61)),IF(OR(INDEX('Lease Cycles'!$DY$11:$EE$11,1,Y61)=1,Y62&gt;0),1,1-INDEX('Lease Cycles'!$DD$11:$DJ$11,1,Y61))*((1-'Lease Cycles'!$AJ$11)*INDEX('Lease Cycles'!$FO$11:$FU$11,1,Y61)+(1-'Lease Cycles'!$BE$11)*(1-INDEX('Lease Cycles'!$FO$11:$FU$11,1,Y61)))),0)</f>
        <v>0.04187604690117253</v>
      </c>
      <c r="Z69" s="24">
        <f>IF(Z63=1,'Lease Cycles'!$D$11*IF(INDEX('Lease Cycles'!$EF$11:$EL$11,1,Z61)=1,(1-'Lease Cycles'!$AJ$11)*INDEX('Lease Cycles'!$EM$11:$ES$11,1,Z61)+(1-'Lease Cycles'!$BE$11)*IF(Z62&lt;INDEX('Lease Cycles'!$FA$11:$FG$11,1,Z61),0,1-INDEX('Lease Cycles'!$EM$11:$ES$11,1,Z61)),IF(OR(INDEX('Lease Cycles'!$DY$11:$EE$11,1,Z61)=1,Z62&gt;0),1,1-INDEX('Lease Cycles'!$DD$11:$DJ$11,1,Z61))*((1-'Lease Cycles'!$AJ$11)*INDEX('Lease Cycles'!$FO$11:$FU$11,1,Z61)+(1-'Lease Cycles'!$BE$11)*(1-INDEX('Lease Cycles'!$FO$11:$FU$11,1,Z61)))),0)</f>
        <v>0.04187604690117253</v>
      </c>
      <c r="AA69" s="24">
        <f>IF(AA63=1,'Lease Cycles'!$D$11*IF(INDEX('Lease Cycles'!$EF$11:$EL$11,1,AA61)=1,(1-'Lease Cycles'!$AJ$11)*INDEX('Lease Cycles'!$EM$11:$ES$11,1,AA61)+(1-'Lease Cycles'!$BE$11)*IF(AA62&lt;INDEX('Lease Cycles'!$FA$11:$FG$11,1,AA61),0,1-INDEX('Lease Cycles'!$EM$11:$ES$11,1,AA61)),IF(OR(INDEX('Lease Cycles'!$DY$11:$EE$11,1,AA61)=1,AA62&gt;0),1,1-INDEX('Lease Cycles'!$DD$11:$DJ$11,1,AA61))*((1-'Lease Cycles'!$AJ$11)*INDEX('Lease Cycles'!$FO$11:$FU$11,1,AA61)+(1-'Lease Cycles'!$BE$11)*(1-INDEX('Lease Cycles'!$FO$11:$FU$11,1,AA61)))),0)</f>
        <v>0.04187604690117253</v>
      </c>
      <c r="AB69" s="24">
        <f>IF(AB63=1,'Lease Cycles'!$D$11*IF(INDEX('Lease Cycles'!$EF$11:$EL$11,1,AB61)=1,(1-'Lease Cycles'!$AJ$11)*INDEX('Lease Cycles'!$EM$11:$ES$11,1,AB61)+(1-'Lease Cycles'!$BE$11)*IF(AB62&lt;INDEX('Lease Cycles'!$FA$11:$FG$11,1,AB61),0,1-INDEX('Lease Cycles'!$EM$11:$ES$11,1,AB61)),IF(OR(INDEX('Lease Cycles'!$DY$11:$EE$11,1,AB61)=1,AB62&gt;0),1,1-INDEX('Lease Cycles'!$DD$11:$DJ$11,1,AB61))*((1-'Lease Cycles'!$AJ$11)*INDEX('Lease Cycles'!$FO$11:$FU$11,1,AB61)+(1-'Lease Cycles'!$BE$11)*(1-INDEX('Lease Cycles'!$FO$11:$FU$11,1,AB61)))),0)</f>
        <v>0.04187604690117253</v>
      </c>
      <c r="AC69" s="24">
        <f>IF(AC63=1,'Lease Cycles'!$D$11*IF(INDEX('Lease Cycles'!$EF$11:$EL$11,1,AC61)=1,(1-'Lease Cycles'!$AJ$11)*INDEX('Lease Cycles'!$EM$11:$ES$11,1,AC61)+(1-'Lease Cycles'!$BE$11)*IF(AC62&lt;INDEX('Lease Cycles'!$FA$11:$FG$11,1,AC61),0,1-INDEX('Lease Cycles'!$EM$11:$ES$11,1,AC61)),IF(OR(INDEX('Lease Cycles'!$DY$11:$EE$11,1,AC61)=1,AC62&gt;0),1,1-INDEX('Lease Cycles'!$DD$11:$DJ$11,1,AC61))*((1-'Lease Cycles'!$AJ$11)*INDEX('Lease Cycles'!$FO$11:$FU$11,1,AC61)+(1-'Lease Cycles'!$BE$11)*(1-INDEX('Lease Cycles'!$FO$11:$FU$11,1,AC61)))),0)</f>
        <v>0.04187604690117253</v>
      </c>
      <c r="AD69" s="24">
        <f>IF(AD63=1,'Lease Cycles'!$D$11*IF(INDEX('Lease Cycles'!$EF$11:$EL$11,1,AD61)=1,(1-'Lease Cycles'!$AJ$11)*INDEX('Lease Cycles'!$EM$11:$ES$11,1,AD61)+(1-'Lease Cycles'!$BE$11)*IF(AD62&lt;INDEX('Lease Cycles'!$FA$11:$FG$11,1,AD61),0,1-INDEX('Lease Cycles'!$EM$11:$ES$11,1,AD61)),IF(OR(INDEX('Lease Cycles'!$DY$11:$EE$11,1,AD61)=1,AD62&gt;0),1,1-INDEX('Lease Cycles'!$DD$11:$DJ$11,1,AD61))*((1-'Lease Cycles'!$AJ$11)*INDEX('Lease Cycles'!$FO$11:$FU$11,1,AD61)+(1-'Lease Cycles'!$BE$11)*(1-INDEX('Lease Cycles'!$FO$11:$FU$11,1,AD61)))),0)</f>
        <v>0.04187604690117253</v>
      </c>
      <c r="AE69" s="24">
        <f>IF(AE63=1,'Lease Cycles'!$D$11*IF(INDEX('Lease Cycles'!$EF$11:$EL$11,1,AE61)=1,(1-'Lease Cycles'!$AJ$11)*INDEX('Lease Cycles'!$EM$11:$ES$11,1,AE61)+(1-'Lease Cycles'!$BE$11)*IF(AE62&lt;INDEX('Lease Cycles'!$FA$11:$FG$11,1,AE61),0,1-INDEX('Lease Cycles'!$EM$11:$ES$11,1,AE61)),IF(OR(INDEX('Lease Cycles'!$DY$11:$EE$11,1,AE61)=1,AE62&gt;0),1,1-INDEX('Lease Cycles'!$DD$11:$DJ$11,1,AE61))*((1-'Lease Cycles'!$AJ$11)*INDEX('Lease Cycles'!$FO$11:$FU$11,1,AE61)+(1-'Lease Cycles'!$BE$11)*(1-INDEX('Lease Cycles'!$FO$11:$FU$11,1,AE61)))),0)</f>
        <v>0.04187604690117253</v>
      </c>
      <c r="AF69" s="24">
        <f>IF(AF63=1,'Lease Cycles'!$D$11*IF(INDEX('Lease Cycles'!$EF$11:$EL$11,1,AF61)=1,(1-'Lease Cycles'!$AJ$11)*INDEX('Lease Cycles'!$EM$11:$ES$11,1,AF61)+(1-'Lease Cycles'!$BE$11)*IF(AF62&lt;INDEX('Lease Cycles'!$FA$11:$FG$11,1,AF61),0,1-INDEX('Lease Cycles'!$EM$11:$ES$11,1,AF61)),IF(OR(INDEX('Lease Cycles'!$DY$11:$EE$11,1,AF61)=1,AF62&gt;0),1,1-INDEX('Lease Cycles'!$DD$11:$DJ$11,1,AF61))*((1-'Lease Cycles'!$AJ$11)*INDEX('Lease Cycles'!$FO$11:$FU$11,1,AF61)+(1-'Lease Cycles'!$BE$11)*(1-INDEX('Lease Cycles'!$FO$11:$FU$11,1,AF61)))),0)</f>
        <v>0.04187604690117253</v>
      </c>
      <c r="AG69" s="24">
        <f>IF(AG63=1,'Lease Cycles'!$D$11*IF(INDEX('Lease Cycles'!$EF$11:$EL$11,1,AG61)=1,(1-'Lease Cycles'!$AJ$11)*INDEX('Lease Cycles'!$EM$11:$ES$11,1,AG61)+(1-'Lease Cycles'!$BE$11)*IF(AG62&lt;INDEX('Lease Cycles'!$FA$11:$FG$11,1,AG61),0,1-INDEX('Lease Cycles'!$EM$11:$ES$11,1,AG61)),IF(OR(INDEX('Lease Cycles'!$DY$11:$EE$11,1,AG61)=1,AG62&gt;0),1,1-INDEX('Lease Cycles'!$DD$11:$DJ$11,1,AG61))*((1-'Lease Cycles'!$AJ$11)*INDEX('Lease Cycles'!$FO$11:$FU$11,1,AG61)+(1-'Lease Cycles'!$BE$11)*(1-INDEX('Lease Cycles'!$FO$11:$FU$11,1,AG61)))),0)</f>
        <v>0.04187604690117253</v>
      </c>
      <c r="AH69" s="24">
        <f>IF(AH63=1,'Lease Cycles'!$D$11*IF(INDEX('Lease Cycles'!$EF$11:$EL$11,1,AH61)=1,(1-'Lease Cycles'!$AJ$11)*INDEX('Lease Cycles'!$EM$11:$ES$11,1,AH61)+(1-'Lease Cycles'!$BE$11)*IF(AH62&lt;INDEX('Lease Cycles'!$FA$11:$FG$11,1,AH61),0,1-INDEX('Lease Cycles'!$EM$11:$ES$11,1,AH61)),IF(OR(INDEX('Lease Cycles'!$DY$11:$EE$11,1,AH61)=1,AH62&gt;0),1,1-INDEX('Lease Cycles'!$DD$11:$DJ$11,1,AH61))*((1-'Lease Cycles'!$AJ$11)*INDEX('Lease Cycles'!$FO$11:$FU$11,1,AH61)+(1-'Lease Cycles'!$BE$11)*(1-INDEX('Lease Cycles'!$FO$11:$FU$11,1,AH61)))),0)</f>
        <v>0.04187604690117253</v>
      </c>
      <c r="AI69" s="24">
        <f>IF(AI63=1,'Lease Cycles'!$D$11*IF(INDEX('Lease Cycles'!$EF$11:$EL$11,1,AI61)=1,(1-'Lease Cycles'!$AJ$11)*INDEX('Lease Cycles'!$EM$11:$ES$11,1,AI61)+(1-'Lease Cycles'!$BE$11)*IF(AI62&lt;INDEX('Lease Cycles'!$FA$11:$FG$11,1,AI61),0,1-INDEX('Lease Cycles'!$EM$11:$ES$11,1,AI61)),IF(OR(INDEX('Lease Cycles'!$DY$11:$EE$11,1,AI61)=1,AI62&gt;0),1,1-INDEX('Lease Cycles'!$DD$11:$DJ$11,1,AI61))*((1-'Lease Cycles'!$AJ$11)*INDEX('Lease Cycles'!$FO$11:$FU$11,1,AI61)+(1-'Lease Cycles'!$BE$11)*(1-INDEX('Lease Cycles'!$FO$11:$FU$11,1,AI61)))),0)</f>
        <v>0.04187604690117253</v>
      </c>
      <c r="AJ69" s="24">
        <f>IF(AJ63=1,'Lease Cycles'!$D$11*IF(INDEX('Lease Cycles'!$EF$11:$EL$11,1,AJ61)=1,(1-'Lease Cycles'!$AJ$11)*INDEX('Lease Cycles'!$EM$11:$ES$11,1,AJ61)+(1-'Lease Cycles'!$BE$11)*IF(AJ62&lt;INDEX('Lease Cycles'!$FA$11:$FG$11,1,AJ61),0,1-INDEX('Lease Cycles'!$EM$11:$ES$11,1,AJ61)),IF(OR(INDEX('Lease Cycles'!$DY$11:$EE$11,1,AJ61)=1,AJ62&gt;0),1,1-INDEX('Lease Cycles'!$DD$11:$DJ$11,1,AJ61))*((1-'Lease Cycles'!$AJ$11)*INDEX('Lease Cycles'!$FO$11:$FU$11,1,AJ61)+(1-'Lease Cycles'!$BE$11)*(1-INDEX('Lease Cycles'!$FO$11:$FU$11,1,AJ61)))),0)</f>
        <v>0.04187604690117253</v>
      </c>
      <c r="AK69" s="24">
        <f>IF(AK63=1,'Lease Cycles'!$D$11*IF(INDEX('Lease Cycles'!$EF$11:$EL$11,1,AK61)=1,(1-'Lease Cycles'!$AJ$11)*INDEX('Lease Cycles'!$EM$11:$ES$11,1,AK61)+(1-'Lease Cycles'!$BE$11)*IF(AK62&lt;INDEX('Lease Cycles'!$FA$11:$FG$11,1,AK61),0,1-INDEX('Lease Cycles'!$EM$11:$ES$11,1,AK61)),IF(OR(INDEX('Lease Cycles'!$DY$11:$EE$11,1,AK61)=1,AK62&gt;0),1,1-INDEX('Lease Cycles'!$DD$11:$DJ$11,1,AK61))*((1-'Lease Cycles'!$AJ$11)*INDEX('Lease Cycles'!$FO$11:$FU$11,1,AK61)+(1-'Lease Cycles'!$BE$11)*(1-INDEX('Lease Cycles'!$FO$11:$FU$11,1,AK61)))),0)</f>
        <v>0.04187604690117253</v>
      </c>
      <c r="AL69" s="24">
        <f>IF(AL63=1,'Lease Cycles'!$D$11*IF(INDEX('Lease Cycles'!$EF$11:$EL$11,1,AL61)=1,(1-'Lease Cycles'!$AJ$11)*INDEX('Lease Cycles'!$EM$11:$ES$11,1,AL61)+(1-'Lease Cycles'!$BE$11)*IF(AL62&lt;INDEX('Lease Cycles'!$FA$11:$FG$11,1,AL61),0,1-INDEX('Lease Cycles'!$EM$11:$ES$11,1,AL61)),IF(OR(INDEX('Lease Cycles'!$DY$11:$EE$11,1,AL61)=1,AL62&gt;0),1,1-INDEX('Lease Cycles'!$DD$11:$DJ$11,1,AL61))*((1-'Lease Cycles'!$AJ$11)*INDEX('Lease Cycles'!$FO$11:$FU$11,1,AL61)+(1-'Lease Cycles'!$BE$11)*(1-INDEX('Lease Cycles'!$FO$11:$FU$11,1,AL61)))),0)</f>
        <v>0.04187604690117253</v>
      </c>
      <c r="AM69" s="24">
        <f>IF(AM63=1,'Lease Cycles'!$D$11*IF(INDEX('Lease Cycles'!$EF$11:$EL$11,1,AM61)=1,(1-'Lease Cycles'!$AJ$11)*INDEX('Lease Cycles'!$EM$11:$ES$11,1,AM61)+(1-'Lease Cycles'!$BE$11)*IF(AM62&lt;INDEX('Lease Cycles'!$FA$11:$FG$11,1,AM61),0,1-INDEX('Lease Cycles'!$EM$11:$ES$11,1,AM61)),IF(OR(INDEX('Lease Cycles'!$DY$11:$EE$11,1,AM61)=1,AM62&gt;0),1,1-INDEX('Lease Cycles'!$DD$11:$DJ$11,1,AM61))*((1-'Lease Cycles'!$AJ$11)*INDEX('Lease Cycles'!$FO$11:$FU$11,1,AM61)+(1-'Lease Cycles'!$BE$11)*(1-INDEX('Lease Cycles'!$FO$11:$FU$11,1,AM61)))),0)</f>
        <v>0.04187604690117253</v>
      </c>
      <c r="AN69" s="24">
        <f>IF(AN63=1,'Lease Cycles'!$D$11*IF(INDEX('Lease Cycles'!$EF$11:$EL$11,1,AN61)=1,(1-'Lease Cycles'!$AJ$11)*INDEX('Lease Cycles'!$EM$11:$ES$11,1,AN61)+(1-'Lease Cycles'!$BE$11)*IF(AN62&lt;INDEX('Lease Cycles'!$FA$11:$FG$11,1,AN61),0,1-INDEX('Lease Cycles'!$EM$11:$ES$11,1,AN61)),IF(OR(INDEX('Lease Cycles'!$DY$11:$EE$11,1,AN61)=1,AN62&gt;0),1,1-INDEX('Lease Cycles'!$DD$11:$DJ$11,1,AN61))*((1-'Lease Cycles'!$AJ$11)*INDEX('Lease Cycles'!$FO$11:$FU$11,1,AN61)+(1-'Lease Cycles'!$BE$11)*(1-INDEX('Lease Cycles'!$FO$11:$FU$11,1,AN61)))),0)</f>
        <v>0.04187604690117253</v>
      </c>
      <c r="AO69" s="24">
        <f>IF(AO63=1,'Lease Cycles'!$D$11*IF(INDEX('Lease Cycles'!$EF$11:$EL$11,1,AO61)=1,(1-'Lease Cycles'!$AJ$11)*INDEX('Lease Cycles'!$EM$11:$ES$11,1,AO61)+(1-'Lease Cycles'!$BE$11)*IF(AO62&lt;INDEX('Lease Cycles'!$FA$11:$FG$11,1,AO61),0,1-INDEX('Lease Cycles'!$EM$11:$ES$11,1,AO61)),IF(OR(INDEX('Lease Cycles'!$DY$11:$EE$11,1,AO61)=1,AO62&gt;0),1,1-INDEX('Lease Cycles'!$DD$11:$DJ$11,1,AO61))*((1-'Lease Cycles'!$AJ$11)*INDEX('Lease Cycles'!$FO$11:$FU$11,1,AO61)+(1-'Lease Cycles'!$BE$11)*(1-INDEX('Lease Cycles'!$FO$11:$FU$11,1,AO61)))),0)</f>
        <v>0.04187604690117253</v>
      </c>
      <c r="AP69" s="24">
        <f>IF(AP63=1,'Lease Cycles'!$D$11*IF(INDEX('Lease Cycles'!$EF$11:$EL$11,1,AP61)=1,(1-'Lease Cycles'!$AJ$11)*INDEX('Lease Cycles'!$EM$11:$ES$11,1,AP61)+(1-'Lease Cycles'!$BE$11)*IF(AP62&lt;INDEX('Lease Cycles'!$FA$11:$FG$11,1,AP61),0,1-INDEX('Lease Cycles'!$EM$11:$ES$11,1,AP61)),IF(OR(INDEX('Lease Cycles'!$DY$11:$EE$11,1,AP61)=1,AP62&gt;0),1,1-INDEX('Lease Cycles'!$DD$11:$DJ$11,1,AP61))*((1-'Lease Cycles'!$AJ$11)*INDEX('Lease Cycles'!$FO$11:$FU$11,1,AP61)+(1-'Lease Cycles'!$BE$11)*(1-INDEX('Lease Cycles'!$FO$11:$FU$11,1,AP61)))),0)</f>
        <v>0.04187604690117253</v>
      </c>
      <c r="AQ69" s="24">
        <f>IF(AQ63=1,'Lease Cycles'!$D$11*IF(INDEX('Lease Cycles'!$EF$11:$EL$11,1,AQ61)=1,(1-'Lease Cycles'!$AJ$11)*INDEX('Lease Cycles'!$EM$11:$ES$11,1,AQ61)+(1-'Lease Cycles'!$BE$11)*IF(AQ62&lt;INDEX('Lease Cycles'!$FA$11:$FG$11,1,AQ61),0,1-INDEX('Lease Cycles'!$EM$11:$ES$11,1,AQ61)),IF(OR(INDEX('Lease Cycles'!$DY$11:$EE$11,1,AQ61)=1,AQ62&gt;0),1,1-INDEX('Lease Cycles'!$DD$11:$DJ$11,1,AQ61))*((1-'Lease Cycles'!$AJ$11)*INDEX('Lease Cycles'!$FO$11:$FU$11,1,AQ61)+(1-'Lease Cycles'!$BE$11)*(1-INDEX('Lease Cycles'!$FO$11:$FU$11,1,AQ61)))),0)</f>
        <v>0.04187604690117253</v>
      </c>
      <c r="AR69" s="24">
        <f>IF(AR63=1,'Lease Cycles'!$D$11*IF(INDEX('Lease Cycles'!$EF$11:$EL$11,1,AR61)=1,(1-'Lease Cycles'!$AJ$11)*INDEX('Lease Cycles'!$EM$11:$ES$11,1,AR61)+(1-'Lease Cycles'!$BE$11)*IF(AR62&lt;INDEX('Lease Cycles'!$FA$11:$FG$11,1,AR61),0,1-INDEX('Lease Cycles'!$EM$11:$ES$11,1,AR61)),IF(OR(INDEX('Lease Cycles'!$DY$11:$EE$11,1,AR61)=1,AR62&gt;0),1,1-INDEX('Lease Cycles'!$DD$11:$DJ$11,1,AR61))*((1-'Lease Cycles'!$AJ$11)*INDEX('Lease Cycles'!$FO$11:$FU$11,1,AR61)+(1-'Lease Cycles'!$BE$11)*(1-INDEX('Lease Cycles'!$FO$11:$FU$11,1,AR61)))),0)</f>
        <v>0.04187604690117253</v>
      </c>
      <c r="AS69" s="24">
        <f>IF(AS63=1,'Lease Cycles'!$D$11*IF(INDEX('Lease Cycles'!$EF$11:$EL$11,1,AS61)=1,(1-'Lease Cycles'!$AJ$11)*INDEX('Lease Cycles'!$EM$11:$ES$11,1,AS61)+(1-'Lease Cycles'!$BE$11)*IF(AS62&lt;INDEX('Lease Cycles'!$FA$11:$FG$11,1,AS61),0,1-INDEX('Lease Cycles'!$EM$11:$ES$11,1,AS61)),IF(OR(INDEX('Lease Cycles'!$DY$11:$EE$11,1,AS61)=1,AS62&gt;0),1,1-INDEX('Lease Cycles'!$DD$11:$DJ$11,1,AS61))*((1-'Lease Cycles'!$AJ$11)*INDEX('Lease Cycles'!$FO$11:$FU$11,1,AS61)+(1-'Lease Cycles'!$BE$11)*(1-INDEX('Lease Cycles'!$FO$11:$FU$11,1,AS61)))),0)</f>
        <v>0.04187604690117253</v>
      </c>
      <c r="AT69" s="24">
        <f>IF(AT63=1,'Lease Cycles'!$D$11*IF(INDEX('Lease Cycles'!$EF$11:$EL$11,1,AT61)=1,(1-'Lease Cycles'!$AJ$11)*INDEX('Lease Cycles'!$EM$11:$ES$11,1,AT61)+(1-'Lease Cycles'!$BE$11)*IF(AT62&lt;INDEX('Lease Cycles'!$FA$11:$FG$11,1,AT61),0,1-INDEX('Lease Cycles'!$EM$11:$ES$11,1,AT61)),IF(OR(INDEX('Lease Cycles'!$DY$11:$EE$11,1,AT61)=1,AT62&gt;0),1,1-INDEX('Lease Cycles'!$DD$11:$DJ$11,1,AT61))*((1-'Lease Cycles'!$AJ$11)*INDEX('Lease Cycles'!$FO$11:$FU$11,1,AT61)+(1-'Lease Cycles'!$BE$11)*(1-INDEX('Lease Cycles'!$FO$11:$FU$11,1,AT61)))),0)</f>
        <v>0.04187604690117253</v>
      </c>
      <c r="AU69" s="24">
        <f>IF(AU63=1,'Lease Cycles'!$D$11*IF(INDEX('Lease Cycles'!$EF$11:$EL$11,1,AU61)=1,(1-'Lease Cycles'!$AJ$11)*INDEX('Lease Cycles'!$EM$11:$ES$11,1,AU61)+(1-'Lease Cycles'!$BE$11)*IF(AU62&lt;INDEX('Lease Cycles'!$FA$11:$FG$11,1,AU61),0,1-INDEX('Lease Cycles'!$EM$11:$ES$11,1,AU61)),IF(OR(INDEX('Lease Cycles'!$DY$11:$EE$11,1,AU61)=1,AU62&gt;0),1,1-INDEX('Lease Cycles'!$DD$11:$DJ$11,1,AU61))*((1-'Lease Cycles'!$AJ$11)*INDEX('Lease Cycles'!$FO$11:$FU$11,1,AU61)+(1-'Lease Cycles'!$BE$11)*(1-INDEX('Lease Cycles'!$FO$11:$FU$11,1,AU61)))),0)</f>
        <v>0.04187604690117253</v>
      </c>
      <c r="AV69" s="24">
        <f>IF(AV63=1,'Lease Cycles'!$D$11*IF(INDEX('Lease Cycles'!$EF$11:$EL$11,1,AV61)=1,(1-'Lease Cycles'!$AJ$11)*INDEX('Lease Cycles'!$EM$11:$ES$11,1,AV61)+(1-'Lease Cycles'!$BE$11)*IF(AV62&lt;INDEX('Lease Cycles'!$FA$11:$FG$11,1,AV61),0,1-INDEX('Lease Cycles'!$EM$11:$ES$11,1,AV61)),IF(OR(INDEX('Lease Cycles'!$DY$11:$EE$11,1,AV61)=1,AV62&gt;0),1,1-INDEX('Lease Cycles'!$DD$11:$DJ$11,1,AV61))*((1-'Lease Cycles'!$AJ$11)*INDEX('Lease Cycles'!$FO$11:$FU$11,1,AV61)+(1-'Lease Cycles'!$BE$11)*(1-INDEX('Lease Cycles'!$FO$11:$FU$11,1,AV61)))),0)</f>
        <v>0.04187604690117253</v>
      </c>
      <c r="AW69" s="24">
        <f>IF(AW63=1,'Lease Cycles'!$D$11*IF(INDEX('Lease Cycles'!$EF$11:$EL$11,1,AW61)=1,(1-'Lease Cycles'!$AJ$11)*INDEX('Lease Cycles'!$EM$11:$ES$11,1,AW61)+(1-'Lease Cycles'!$BE$11)*IF(AW62&lt;INDEX('Lease Cycles'!$FA$11:$FG$11,1,AW61),0,1-INDEX('Lease Cycles'!$EM$11:$ES$11,1,AW61)),IF(OR(INDEX('Lease Cycles'!$DY$11:$EE$11,1,AW61)=1,AW62&gt;0),1,1-INDEX('Lease Cycles'!$DD$11:$DJ$11,1,AW61))*((1-'Lease Cycles'!$AJ$11)*INDEX('Lease Cycles'!$FO$11:$FU$11,1,AW61)+(1-'Lease Cycles'!$BE$11)*(1-INDEX('Lease Cycles'!$FO$11:$FU$11,1,AW61)))),0)</f>
        <v>0.04187604690117253</v>
      </c>
      <c r="AX69" s="24">
        <f>IF(AX63=1,'Lease Cycles'!$D$11*IF(INDEX('Lease Cycles'!$EF$11:$EL$11,1,AX61)=1,(1-'Lease Cycles'!$AJ$11)*INDEX('Lease Cycles'!$EM$11:$ES$11,1,AX61)+(1-'Lease Cycles'!$BE$11)*IF(AX62&lt;INDEX('Lease Cycles'!$FA$11:$FG$11,1,AX61),0,1-INDEX('Lease Cycles'!$EM$11:$ES$11,1,AX61)),IF(OR(INDEX('Lease Cycles'!$DY$11:$EE$11,1,AX61)=1,AX62&gt;0),1,1-INDEX('Lease Cycles'!$DD$11:$DJ$11,1,AX61))*((1-'Lease Cycles'!$AJ$11)*INDEX('Lease Cycles'!$FO$11:$FU$11,1,AX61)+(1-'Lease Cycles'!$BE$11)*(1-INDEX('Lease Cycles'!$FO$11:$FU$11,1,AX61)))),0)</f>
        <v>0.04187604690117253</v>
      </c>
      <c r="AY69" s="24">
        <f>IF(AY63=1,'Lease Cycles'!$D$11*IF(INDEX('Lease Cycles'!$EF$11:$EL$11,1,AY61)=1,(1-'Lease Cycles'!$AJ$11)*INDEX('Lease Cycles'!$EM$11:$ES$11,1,AY61)+(1-'Lease Cycles'!$BE$11)*IF(AY62&lt;INDEX('Lease Cycles'!$FA$11:$FG$11,1,AY61),0,1-INDEX('Lease Cycles'!$EM$11:$ES$11,1,AY61)),IF(OR(INDEX('Lease Cycles'!$DY$11:$EE$11,1,AY61)=1,AY62&gt;0),1,1-INDEX('Lease Cycles'!$DD$11:$DJ$11,1,AY61))*((1-'Lease Cycles'!$AJ$11)*INDEX('Lease Cycles'!$FO$11:$FU$11,1,AY61)+(1-'Lease Cycles'!$BE$11)*(1-INDEX('Lease Cycles'!$FO$11:$FU$11,1,AY61)))),0)</f>
        <v>0.04187604690117253</v>
      </c>
      <c r="AZ69" s="24">
        <f>IF(AZ63=1,'Lease Cycles'!$D$11*IF(INDEX('Lease Cycles'!$EF$11:$EL$11,1,AZ61)=1,(1-'Lease Cycles'!$AJ$11)*INDEX('Lease Cycles'!$EM$11:$ES$11,1,AZ61)+(1-'Lease Cycles'!$BE$11)*IF(AZ62&lt;INDEX('Lease Cycles'!$FA$11:$FG$11,1,AZ61),0,1-INDEX('Lease Cycles'!$EM$11:$ES$11,1,AZ61)),IF(OR(INDEX('Lease Cycles'!$DY$11:$EE$11,1,AZ61)=1,AZ62&gt;0),1,1-INDEX('Lease Cycles'!$DD$11:$DJ$11,1,AZ61))*((1-'Lease Cycles'!$AJ$11)*INDEX('Lease Cycles'!$FO$11:$FU$11,1,AZ61)+(1-'Lease Cycles'!$BE$11)*(1-INDEX('Lease Cycles'!$FO$11:$FU$11,1,AZ61)))),0)</f>
        <v>0.04187604690117253</v>
      </c>
      <c r="BA69" s="24">
        <f>IF(BA63=1,'Lease Cycles'!$D$11*IF(INDEX('Lease Cycles'!$EF$11:$EL$11,1,BA61)=1,(1-'Lease Cycles'!$AJ$11)*INDEX('Lease Cycles'!$EM$11:$ES$11,1,BA61)+(1-'Lease Cycles'!$BE$11)*IF(BA62&lt;INDEX('Lease Cycles'!$FA$11:$FG$11,1,BA61),0,1-INDEX('Lease Cycles'!$EM$11:$ES$11,1,BA61)),IF(OR(INDEX('Lease Cycles'!$DY$11:$EE$11,1,BA61)=1,BA62&gt;0),1,1-INDEX('Lease Cycles'!$DD$11:$DJ$11,1,BA61))*((1-'Lease Cycles'!$AJ$11)*INDEX('Lease Cycles'!$FO$11:$FU$11,1,BA61)+(1-'Lease Cycles'!$BE$11)*(1-INDEX('Lease Cycles'!$FO$11:$FU$11,1,BA61)))),0)</f>
        <v>0.04187604690117253</v>
      </c>
      <c r="BB69" s="24">
        <f>IF(BB63=1,'Lease Cycles'!$D$11*IF(INDEX('Lease Cycles'!$EF$11:$EL$11,1,BB61)=1,(1-'Lease Cycles'!$AJ$11)*INDEX('Lease Cycles'!$EM$11:$ES$11,1,BB61)+(1-'Lease Cycles'!$BE$11)*IF(BB62&lt;INDEX('Lease Cycles'!$FA$11:$FG$11,1,BB61),0,1-INDEX('Lease Cycles'!$EM$11:$ES$11,1,BB61)),IF(OR(INDEX('Lease Cycles'!$DY$11:$EE$11,1,BB61)=1,BB62&gt;0),1,1-INDEX('Lease Cycles'!$DD$11:$DJ$11,1,BB61))*((1-'Lease Cycles'!$AJ$11)*INDEX('Lease Cycles'!$FO$11:$FU$11,1,BB61)+(1-'Lease Cycles'!$BE$11)*(1-INDEX('Lease Cycles'!$FO$11:$FU$11,1,BB61)))),0)</f>
        <v>0.04187604690117253</v>
      </c>
      <c r="BC69" s="24">
        <f>IF(BC63=1,'Lease Cycles'!$D$11*IF(INDEX('Lease Cycles'!$EF$11:$EL$11,1,BC61)=1,(1-'Lease Cycles'!$AJ$11)*INDEX('Lease Cycles'!$EM$11:$ES$11,1,BC61)+(1-'Lease Cycles'!$BE$11)*IF(BC62&lt;INDEX('Lease Cycles'!$FA$11:$FG$11,1,BC61),0,1-INDEX('Lease Cycles'!$EM$11:$ES$11,1,BC61)),IF(OR(INDEX('Lease Cycles'!$DY$11:$EE$11,1,BC61)=1,BC62&gt;0),1,1-INDEX('Lease Cycles'!$DD$11:$DJ$11,1,BC61))*((1-'Lease Cycles'!$AJ$11)*INDEX('Lease Cycles'!$FO$11:$FU$11,1,BC61)+(1-'Lease Cycles'!$BE$11)*(1-INDEX('Lease Cycles'!$FO$11:$FU$11,1,BC61)))),0)</f>
        <v>0.04187604690117253</v>
      </c>
      <c r="BD69" s="24">
        <f>IF(BD63=1,'Lease Cycles'!$D$11*IF(INDEX('Lease Cycles'!$EF$11:$EL$11,1,BD61)=1,(1-'Lease Cycles'!$AJ$11)*INDEX('Lease Cycles'!$EM$11:$ES$11,1,BD61)+(1-'Lease Cycles'!$BE$11)*IF(BD62&lt;INDEX('Lease Cycles'!$FA$11:$FG$11,1,BD61),0,1-INDEX('Lease Cycles'!$EM$11:$ES$11,1,BD61)),IF(OR(INDEX('Lease Cycles'!$DY$11:$EE$11,1,BD61)=1,BD62&gt;0),1,1-INDEX('Lease Cycles'!$DD$11:$DJ$11,1,BD61))*((1-'Lease Cycles'!$AJ$11)*INDEX('Lease Cycles'!$FO$11:$FU$11,1,BD61)+(1-'Lease Cycles'!$BE$11)*(1-INDEX('Lease Cycles'!$FO$11:$FU$11,1,BD61)))),0)</f>
        <v>0.04187604690117253</v>
      </c>
      <c r="BE69" s="24">
        <f>IF(BE63=1,'Lease Cycles'!$D$11*IF(INDEX('Lease Cycles'!$EF$11:$EL$11,1,BE61)=1,(1-'Lease Cycles'!$AJ$11)*INDEX('Lease Cycles'!$EM$11:$ES$11,1,BE61)+(1-'Lease Cycles'!$BE$11)*IF(BE62&lt;INDEX('Lease Cycles'!$FA$11:$FG$11,1,BE61),0,1-INDEX('Lease Cycles'!$EM$11:$ES$11,1,BE61)),IF(OR(INDEX('Lease Cycles'!$DY$11:$EE$11,1,BE61)=1,BE62&gt;0),1,1-INDEX('Lease Cycles'!$DD$11:$DJ$11,1,BE61))*((1-'Lease Cycles'!$AJ$11)*INDEX('Lease Cycles'!$FO$11:$FU$11,1,BE61)+(1-'Lease Cycles'!$BE$11)*(1-INDEX('Lease Cycles'!$FO$11:$FU$11,1,BE61)))),0)</f>
        <v>0.04187604690117253</v>
      </c>
      <c r="BF69" s="24">
        <f>IF(BF63=1,'Lease Cycles'!$D$11*IF(INDEX('Lease Cycles'!$EF$11:$EL$11,1,BF61)=1,(1-'Lease Cycles'!$AJ$11)*INDEX('Lease Cycles'!$EM$11:$ES$11,1,BF61)+(1-'Lease Cycles'!$BE$11)*IF(BF62&lt;INDEX('Lease Cycles'!$FA$11:$FG$11,1,BF61),0,1-INDEX('Lease Cycles'!$EM$11:$ES$11,1,BF61)),IF(OR(INDEX('Lease Cycles'!$DY$11:$EE$11,1,BF61)=1,BF62&gt;0),1,1-INDEX('Lease Cycles'!$DD$11:$DJ$11,1,BF61))*((1-'Lease Cycles'!$AJ$11)*INDEX('Lease Cycles'!$FO$11:$FU$11,1,BF61)+(1-'Lease Cycles'!$BE$11)*(1-INDEX('Lease Cycles'!$FO$11:$FU$11,1,BF61)))),0)</f>
        <v>0.04187604690117253</v>
      </c>
      <c r="BG69" s="24">
        <f>IF(BG63=1,'Lease Cycles'!$D$11*IF(INDEX('Lease Cycles'!$EF$11:$EL$11,1,BG61)=1,(1-'Lease Cycles'!$AJ$11)*INDEX('Lease Cycles'!$EM$11:$ES$11,1,BG61)+(1-'Lease Cycles'!$BE$11)*IF(BG62&lt;INDEX('Lease Cycles'!$FA$11:$FG$11,1,BG61),0,1-INDEX('Lease Cycles'!$EM$11:$ES$11,1,BG61)),IF(OR(INDEX('Lease Cycles'!$DY$11:$EE$11,1,BG61)=1,BG62&gt;0),1,1-INDEX('Lease Cycles'!$DD$11:$DJ$11,1,BG61))*((1-'Lease Cycles'!$AJ$11)*INDEX('Lease Cycles'!$FO$11:$FU$11,1,BG61)+(1-'Lease Cycles'!$BE$11)*(1-INDEX('Lease Cycles'!$FO$11:$FU$11,1,BG61)))),0)</f>
        <v>0.04187604690117253</v>
      </c>
      <c r="BH69" s="24">
        <f>IF(BH63=1,'Lease Cycles'!$D$11*IF(INDEX('Lease Cycles'!$EF$11:$EL$11,1,BH61)=1,(1-'Lease Cycles'!$AJ$11)*INDEX('Lease Cycles'!$EM$11:$ES$11,1,BH61)+(1-'Lease Cycles'!$BE$11)*IF(BH62&lt;INDEX('Lease Cycles'!$FA$11:$FG$11,1,BH61),0,1-INDEX('Lease Cycles'!$EM$11:$ES$11,1,BH61)),IF(OR(INDEX('Lease Cycles'!$DY$11:$EE$11,1,BH61)=1,BH62&gt;0),1,1-INDEX('Lease Cycles'!$DD$11:$DJ$11,1,BH61))*((1-'Lease Cycles'!$AJ$11)*INDEX('Lease Cycles'!$FO$11:$FU$11,1,BH61)+(1-'Lease Cycles'!$BE$11)*(1-INDEX('Lease Cycles'!$FO$11:$FU$11,1,BH61)))),0)</f>
        <v>0.04187604690117253</v>
      </c>
      <c r="BI69" s="24">
        <f>IF(BI63=1,'Lease Cycles'!$D$11*IF(INDEX('Lease Cycles'!$EF$11:$EL$11,1,BI61)=1,(1-'Lease Cycles'!$AJ$11)*INDEX('Lease Cycles'!$EM$11:$ES$11,1,BI61)+(1-'Lease Cycles'!$BE$11)*IF(BI62&lt;INDEX('Lease Cycles'!$FA$11:$FG$11,1,BI61),0,1-INDEX('Lease Cycles'!$EM$11:$ES$11,1,BI61)),IF(OR(INDEX('Lease Cycles'!$DY$11:$EE$11,1,BI61)=1,BI62&gt;0),1,1-INDEX('Lease Cycles'!$DD$11:$DJ$11,1,BI61))*((1-'Lease Cycles'!$AJ$11)*INDEX('Lease Cycles'!$FO$11:$FU$11,1,BI61)+(1-'Lease Cycles'!$BE$11)*(1-INDEX('Lease Cycles'!$FO$11:$FU$11,1,BI61)))),0)</f>
        <v>0.04187604690117253</v>
      </c>
      <c r="BJ69" s="24">
        <f>IF(BJ63=1,'Lease Cycles'!$D$11*IF(INDEX('Lease Cycles'!$EF$11:$EL$11,1,BJ61)=1,(1-'Lease Cycles'!$AJ$11)*INDEX('Lease Cycles'!$EM$11:$ES$11,1,BJ61)+(1-'Lease Cycles'!$BE$11)*IF(BJ62&lt;INDEX('Lease Cycles'!$FA$11:$FG$11,1,BJ61),0,1-INDEX('Lease Cycles'!$EM$11:$ES$11,1,BJ61)),IF(OR(INDEX('Lease Cycles'!$DY$11:$EE$11,1,BJ61)=1,BJ62&gt;0),1,1-INDEX('Lease Cycles'!$DD$11:$DJ$11,1,BJ61))*((1-'Lease Cycles'!$AJ$11)*INDEX('Lease Cycles'!$FO$11:$FU$11,1,BJ61)+(1-'Lease Cycles'!$BE$11)*(1-INDEX('Lease Cycles'!$FO$11:$FU$11,1,BJ61)))),0)</f>
        <v>0.04187604690117253</v>
      </c>
      <c r="BK69" s="24">
        <f>IF(BK63=1,'Lease Cycles'!$D$11*IF(INDEX('Lease Cycles'!$EF$11:$EL$11,1,BK61)=1,(1-'Lease Cycles'!$AJ$11)*INDEX('Lease Cycles'!$EM$11:$ES$11,1,BK61)+(1-'Lease Cycles'!$BE$11)*IF(BK62&lt;INDEX('Lease Cycles'!$FA$11:$FG$11,1,BK61),0,1-INDEX('Lease Cycles'!$EM$11:$ES$11,1,BK61)),IF(OR(INDEX('Lease Cycles'!$DY$11:$EE$11,1,BK61)=1,BK62&gt;0),1,1-INDEX('Lease Cycles'!$DD$11:$DJ$11,1,BK61))*((1-'Lease Cycles'!$AJ$11)*INDEX('Lease Cycles'!$FO$11:$FU$11,1,BK61)+(1-'Lease Cycles'!$BE$11)*(1-INDEX('Lease Cycles'!$FO$11:$FU$11,1,BK61)))),0)</f>
        <v>0.04187604690117253</v>
      </c>
      <c r="BL69" s="24">
        <f>IF(BL63=1,'Lease Cycles'!$D$11*IF(INDEX('Lease Cycles'!$EF$11:$EL$11,1,BL61)=1,(1-'Lease Cycles'!$AJ$11)*INDEX('Lease Cycles'!$EM$11:$ES$11,1,BL61)+(1-'Lease Cycles'!$BE$11)*IF(BL62&lt;INDEX('Lease Cycles'!$FA$11:$FG$11,1,BL61),0,1-INDEX('Lease Cycles'!$EM$11:$ES$11,1,BL61)),IF(OR(INDEX('Lease Cycles'!$DY$11:$EE$11,1,BL61)=1,BL62&gt;0),1,1-INDEX('Lease Cycles'!$DD$11:$DJ$11,1,BL61))*((1-'Lease Cycles'!$AJ$11)*INDEX('Lease Cycles'!$FO$11:$FU$11,1,BL61)+(1-'Lease Cycles'!$BE$11)*(1-INDEX('Lease Cycles'!$FO$11:$FU$11,1,BL61)))),0)</f>
        <v>0.04187604690117253</v>
      </c>
      <c r="BM69" s="24">
        <f>IF(BM63=1,'Lease Cycles'!$D$11*IF(INDEX('Lease Cycles'!$EF$11:$EL$11,1,BM61)=1,(1-'Lease Cycles'!$AJ$11)*INDEX('Lease Cycles'!$EM$11:$ES$11,1,BM61)+(1-'Lease Cycles'!$BE$11)*IF(BM62&lt;INDEX('Lease Cycles'!$FA$11:$FG$11,1,BM61),0,1-INDEX('Lease Cycles'!$EM$11:$ES$11,1,BM61)),IF(OR(INDEX('Lease Cycles'!$DY$11:$EE$11,1,BM61)=1,BM62&gt;0),1,1-INDEX('Lease Cycles'!$DD$11:$DJ$11,1,BM61))*((1-'Lease Cycles'!$AJ$11)*INDEX('Lease Cycles'!$FO$11:$FU$11,1,BM61)+(1-'Lease Cycles'!$BE$11)*(1-INDEX('Lease Cycles'!$FO$11:$FU$11,1,BM61)))),0)</f>
        <v>0.04187604690117253</v>
      </c>
      <c r="BN69" s="24">
        <f>IF(BN63=1,'Lease Cycles'!$D$11*IF(INDEX('Lease Cycles'!$EF$11:$EL$11,1,BN61)=1,(1-'Lease Cycles'!$AJ$11)*INDEX('Lease Cycles'!$EM$11:$ES$11,1,BN61)+(1-'Lease Cycles'!$BE$11)*IF(BN62&lt;INDEX('Lease Cycles'!$FA$11:$FG$11,1,BN61),0,1-INDEX('Lease Cycles'!$EM$11:$ES$11,1,BN61)),IF(OR(INDEX('Lease Cycles'!$DY$11:$EE$11,1,BN61)=1,BN62&gt;0),1,1-INDEX('Lease Cycles'!$DD$11:$DJ$11,1,BN61))*((1-'Lease Cycles'!$AJ$11)*INDEX('Lease Cycles'!$FO$11:$FU$11,1,BN61)+(1-'Lease Cycles'!$BE$11)*(1-INDEX('Lease Cycles'!$FO$11:$FU$11,1,BN61)))),0)</f>
        <v>0.04187604690117253</v>
      </c>
      <c r="BO69" s="24">
        <f>IF(BO63=1,'Lease Cycles'!$D$11*IF(INDEX('Lease Cycles'!$EF$11:$EL$11,1,BO61)=1,(1-'Lease Cycles'!$AJ$11)*INDEX('Lease Cycles'!$EM$11:$ES$11,1,BO61)+(1-'Lease Cycles'!$BE$11)*IF(BO62&lt;INDEX('Lease Cycles'!$FA$11:$FG$11,1,BO61),0,1-INDEX('Lease Cycles'!$EM$11:$ES$11,1,BO61)),IF(OR(INDEX('Lease Cycles'!$DY$11:$EE$11,1,BO61)=1,BO62&gt;0),1,1-INDEX('Lease Cycles'!$DD$11:$DJ$11,1,BO61))*((1-'Lease Cycles'!$AJ$11)*INDEX('Lease Cycles'!$FO$11:$FU$11,1,BO61)+(1-'Lease Cycles'!$BE$11)*(1-INDEX('Lease Cycles'!$FO$11:$FU$11,1,BO61)))),0)</f>
        <v>0.04187604690117253</v>
      </c>
      <c r="BP69" s="24">
        <f>IF(BP63=1,'Lease Cycles'!$D$11*IF(INDEX('Lease Cycles'!$EF$11:$EL$11,1,BP61)=1,(1-'Lease Cycles'!$AJ$11)*INDEX('Lease Cycles'!$EM$11:$ES$11,1,BP61)+(1-'Lease Cycles'!$BE$11)*IF(BP62&lt;INDEX('Lease Cycles'!$FA$11:$FG$11,1,BP61),0,1-INDEX('Lease Cycles'!$EM$11:$ES$11,1,BP61)),IF(OR(INDEX('Lease Cycles'!$DY$11:$EE$11,1,BP61)=1,BP62&gt;0),1,1-INDEX('Lease Cycles'!$DD$11:$DJ$11,1,BP61))*((1-'Lease Cycles'!$AJ$11)*INDEX('Lease Cycles'!$FO$11:$FU$11,1,BP61)+(1-'Lease Cycles'!$BE$11)*(1-INDEX('Lease Cycles'!$FO$11:$FU$11,1,BP61)))),0)</f>
        <v>0.04187604690117253</v>
      </c>
      <c r="BQ69" s="24">
        <f>IF(BQ63=1,'Lease Cycles'!$D$11*IF(INDEX('Lease Cycles'!$EF$11:$EL$11,1,BQ61)=1,(1-'Lease Cycles'!$AJ$11)*INDEX('Lease Cycles'!$EM$11:$ES$11,1,BQ61)+(1-'Lease Cycles'!$BE$11)*IF(BQ62&lt;INDEX('Lease Cycles'!$FA$11:$FG$11,1,BQ61),0,1-INDEX('Lease Cycles'!$EM$11:$ES$11,1,BQ61)),IF(OR(INDEX('Lease Cycles'!$DY$11:$EE$11,1,BQ61)=1,BQ62&gt;0),1,1-INDEX('Lease Cycles'!$DD$11:$DJ$11,1,BQ61))*((1-'Lease Cycles'!$AJ$11)*INDEX('Lease Cycles'!$FO$11:$FU$11,1,BQ61)+(1-'Lease Cycles'!$BE$11)*(1-INDEX('Lease Cycles'!$FO$11:$FU$11,1,BQ61)))),0)</f>
        <v>0.04187604690117253</v>
      </c>
      <c r="BR69" s="24">
        <f>IF(BR63=1,'Lease Cycles'!$D$11*IF(INDEX('Lease Cycles'!$EF$11:$EL$11,1,BR61)=1,(1-'Lease Cycles'!$AJ$11)*INDEX('Lease Cycles'!$EM$11:$ES$11,1,BR61)+(1-'Lease Cycles'!$BE$11)*IF(BR62&lt;INDEX('Lease Cycles'!$FA$11:$FG$11,1,BR61),0,1-INDEX('Lease Cycles'!$EM$11:$ES$11,1,BR61)),IF(OR(INDEX('Lease Cycles'!$DY$11:$EE$11,1,BR61)=1,BR62&gt;0),1,1-INDEX('Lease Cycles'!$DD$11:$DJ$11,1,BR61))*((1-'Lease Cycles'!$AJ$11)*INDEX('Lease Cycles'!$FO$11:$FU$11,1,BR61)+(1-'Lease Cycles'!$BE$11)*(1-INDEX('Lease Cycles'!$FO$11:$FU$11,1,BR61)))),0)</f>
        <v>0.04187604690117253</v>
      </c>
      <c r="BS69" s="24">
        <f>IF(BS63=1,'Lease Cycles'!$D$11*IF(INDEX('Lease Cycles'!$EF$11:$EL$11,1,BS61)=1,(1-'Lease Cycles'!$AJ$11)*INDEX('Lease Cycles'!$EM$11:$ES$11,1,BS61)+(1-'Lease Cycles'!$BE$11)*IF(BS62&lt;INDEX('Lease Cycles'!$FA$11:$FG$11,1,BS61),0,1-INDEX('Lease Cycles'!$EM$11:$ES$11,1,BS61)),IF(OR(INDEX('Lease Cycles'!$DY$11:$EE$11,1,BS61)=1,BS62&gt;0),1,1-INDEX('Lease Cycles'!$DD$11:$DJ$11,1,BS61))*((1-'Lease Cycles'!$AJ$11)*INDEX('Lease Cycles'!$FO$11:$FU$11,1,BS61)+(1-'Lease Cycles'!$BE$11)*(1-INDEX('Lease Cycles'!$FO$11:$FU$11,1,BS61)))),0)</f>
        <v>0.04187604690117253</v>
      </c>
      <c r="BT69" s="24">
        <f>IF(BT63=1,'Lease Cycles'!$D$11*IF(INDEX('Lease Cycles'!$EF$11:$EL$11,1,BT61)=1,(1-'Lease Cycles'!$AJ$11)*INDEX('Lease Cycles'!$EM$11:$ES$11,1,BT61)+(1-'Lease Cycles'!$BE$11)*IF(BT62&lt;INDEX('Lease Cycles'!$FA$11:$FG$11,1,BT61),0,1-INDEX('Lease Cycles'!$EM$11:$ES$11,1,BT61)),IF(OR(INDEX('Lease Cycles'!$DY$11:$EE$11,1,BT61)=1,BT62&gt;0),1,1-INDEX('Lease Cycles'!$DD$11:$DJ$11,1,BT61))*((1-'Lease Cycles'!$AJ$11)*INDEX('Lease Cycles'!$FO$11:$FU$11,1,BT61)+(1-'Lease Cycles'!$BE$11)*(1-INDEX('Lease Cycles'!$FO$11:$FU$11,1,BT61)))),0)</f>
        <v>0.04187604690117253</v>
      </c>
      <c r="BU69" s="24">
        <f>IF(BU63=1,'Lease Cycles'!$D$11*IF(INDEX('Lease Cycles'!$EF$11:$EL$11,1,BU61)=1,(1-'Lease Cycles'!$AJ$11)*INDEX('Lease Cycles'!$EM$11:$ES$11,1,BU61)+(1-'Lease Cycles'!$BE$11)*IF(BU62&lt;INDEX('Lease Cycles'!$FA$11:$FG$11,1,BU61),0,1-INDEX('Lease Cycles'!$EM$11:$ES$11,1,BU61)),IF(OR(INDEX('Lease Cycles'!$DY$11:$EE$11,1,BU61)=1,BU62&gt;0),1,1-INDEX('Lease Cycles'!$DD$11:$DJ$11,1,BU61))*((1-'Lease Cycles'!$AJ$11)*INDEX('Lease Cycles'!$FO$11:$FU$11,1,BU61)+(1-'Lease Cycles'!$BE$11)*(1-INDEX('Lease Cycles'!$FO$11:$FU$11,1,BU61)))),0)</f>
        <v>0.04187604690117253</v>
      </c>
      <c r="BV69" s="24">
        <f>IF(BV63=1,'Lease Cycles'!$D$11*IF(INDEX('Lease Cycles'!$EF$11:$EL$11,1,BV61)=1,(1-'Lease Cycles'!$AJ$11)*INDEX('Lease Cycles'!$EM$11:$ES$11,1,BV61)+(1-'Lease Cycles'!$BE$11)*IF(BV62&lt;INDEX('Lease Cycles'!$FA$11:$FG$11,1,BV61),0,1-INDEX('Lease Cycles'!$EM$11:$ES$11,1,BV61)),IF(OR(INDEX('Lease Cycles'!$DY$11:$EE$11,1,BV61)=1,BV62&gt;0),1,1-INDEX('Lease Cycles'!$DD$11:$DJ$11,1,BV61))*((1-'Lease Cycles'!$AJ$11)*INDEX('Lease Cycles'!$FO$11:$FU$11,1,BV61)+(1-'Lease Cycles'!$BE$11)*(1-INDEX('Lease Cycles'!$FO$11:$FU$11,1,BV61)))),0)</f>
        <v>0.04187604690117253</v>
      </c>
      <c r="BW69" s="24">
        <f>IF(BW63=1,'Lease Cycles'!$D$11*IF(INDEX('Lease Cycles'!$EF$11:$EL$11,1,BW61)=1,(1-'Lease Cycles'!$AJ$11)*INDEX('Lease Cycles'!$EM$11:$ES$11,1,BW61)+(1-'Lease Cycles'!$BE$11)*IF(BW62&lt;INDEX('Lease Cycles'!$FA$11:$FG$11,1,BW61),0,1-INDEX('Lease Cycles'!$EM$11:$ES$11,1,BW61)),IF(OR(INDEX('Lease Cycles'!$DY$11:$EE$11,1,BW61)=1,BW62&gt;0),1,1-INDEX('Lease Cycles'!$DD$11:$DJ$11,1,BW61))*((1-'Lease Cycles'!$AJ$11)*INDEX('Lease Cycles'!$FO$11:$FU$11,1,BW61)+(1-'Lease Cycles'!$BE$11)*(1-INDEX('Lease Cycles'!$FO$11:$FU$11,1,BW61)))),0)</f>
        <v>0.04187604690117253</v>
      </c>
      <c r="BX69" s="24">
        <f>IF(BX63=1,'Lease Cycles'!$D$11*IF(INDEX('Lease Cycles'!$EF$11:$EL$11,1,BX61)=1,(1-'Lease Cycles'!$AJ$11)*INDEX('Lease Cycles'!$EM$11:$ES$11,1,BX61)+(1-'Lease Cycles'!$BE$11)*IF(BX62&lt;INDEX('Lease Cycles'!$FA$11:$FG$11,1,BX61),0,1-INDEX('Lease Cycles'!$EM$11:$ES$11,1,BX61)),IF(OR(INDEX('Lease Cycles'!$DY$11:$EE$11,1,BX61)=1,BX62&gt;0),1,1-INDEX('Lease Cycles'!$DD$11:$DJ$11,1,BX61))*((1-'Lease Cycles'!$AJ$11)*INDEX('Lease Cycles'!$FO$11:$FU$11,1,BX61)+(1-'Lease Cycles'!$BE$11)*(1-INDEX('Lease Cycles'!$FO$11:$FU$11,1,BX61)))),0)</f>
        <v>0.04187604690117253</v>
      </c>
      <c r="BY69" s="24">
        <f>IF(BY63=1,'Lease Cycles'!$D$11*IF(INDEX('Lease Cycles'!$EF$11:$EL$11,1,BY61)=1,(1-'Lease Cycles'!$AJ$11)*INDEX('Lease Cycles'!$EM$11:$ES$11,1,BY61)+(1-'Lease Cycles'!$BE$11)*IF(BY62&lt;INDEX('Lease Cycles'!$FA$11:$FG$11,1,BY61),0,1-INDEX('Lease Cycles'!$EM$11:$ES$11,1,BY61)),IF(OR(INDEX('Lease Cycles'!$DY$11:$EE$11,1,BY61)=1,BY62&gt;0),1,1-INDEX('Lease Cycles'!$DD$11:$DJ$11,1,BY61))*((1-'Lease Cycles'!$AJ$11)*INDEX('Lease Cycles'!$FO$11:$FU$11,1,BY61)+(1-'Lease Cycles'!$BE$11)*(1-INDEX('Lease Cycles'!$FO$11:$FU$11,1,BY61)))),0)</f>
        <v>0.04187604690117253</v>
      </c>
      <c r="BZ69" s="24">
        <f>IF(BZ63=1,'Lease Cycles'!$D$11*IF(INDEX('Lease Cycles'!$EF$11:$EL$11,1,BZ61)=1,(1-'Lease Cycles'!$AJ$11)*INDEX('Lease Cycles'!$EM$11:$ES$11,1,BZ61)+(1-'Lease Cycles'!$BE$11)*IF(BZ62&lt;INDEX('Lease Cycles'!$FA$11:$FG$11,1,BZ61),0,1-INDEX('Lease Cycles'!$EM$11:$ES$11,1,BZ61)),IF(OR(INDEX('Lease Cycles'!$DY$11:$EE$11,1,BZ61)=1,BZ62&gt;0),1,1-INDEX('Lease Cycles'!$DD$11:$DJ$11,1,BZ61))*((1-'Lease Cycles'!$AJ$11)*INDEX('Lease Cycles'!$FO$11:$FU$11,1,BZ61)+(1-'Lease Cycles'!$BE$11)*(1-INDEX('Lease Cycles'!$FO$11:$FU$11,1,BZ61)))),0)</f>
        <v>0.04187604690117253</v>
      </c>
      <c r="CA69" s="24">
        <f>IF(CA63=1,'Lease Cycles'!$D$11*IF(INDEX('Lease Cycles'!$EF$11:$EL$11,1,CA61)=1,(1-'Lease Cycles'!$AJ$11)*INDEX('Lease Cycles'!$EM$11:$ES$11,1,CA61)+(1-'Lease Cycles'!$BE$11)*IF(CA62&lt;INDEX('Lease Cycles'!$FA$11:$FG$11,1,CA61),0,1-INDEX('Lease Cycles'!$EM$11:$ES$11,1,CA61)),IF(OR(INDEX('Lease Cycles'!$DY$11:$EE$11,1,CA61)=1,CA62&gt;0),1,1-INDEX('Lease Cycles'!$DD$11:$DJ$11,1,CA61))*((1-'Lease Cycles'!$AJ$11)*INDEX('Lease Cycles'!$FO$11:$FU$11,1,CA61)+(1-'Lease Cycles'!$BE$11)*(1-INDEX('Lease Cycles'!$FO$11:$FU$11,1,CA61)))),0)</f>
        <v>0.04187604690117253</v>
      </c>
      <c r="CB69" s="24">
        <f>IF(CB63=1,'Lease Cycles'!$D$11*IF(INDEX('Lease Cycles'!$EF$11:$EL$11,1,CB61)=1,(1-'Lease Cycles'!$AJ$11)*INDEX('Lease Cycles'!$EM$11:$ES$11,1,CB61)+(1-'Lease Cycles'!$BE$11)*IF(CB62&lt;INDEX('Lease Cycles'!$FA$11:$FG$11,1,CB61),0,1-INDEX('Lease Cycles'!$EM$11:$ES$11,1,CB61)),IF(OR(INDEX('Lease Cycles'!$DY$11:$EE$11,1,CB61)=1,CB62&gt;0),1,1-INDEX('Lease Cycles'!$DD$11:$DJ$11,1,CB61))*((1-'Lease Cycles'!$AJ$11)*INDEX('Lease Cycles'!$FO$11:$FU$11,1,CB61)+(1-'Lease Cycles'!$BE$11)*(1-INDEX('Lease Cycles'!$FO$11:$FU$11,1,CB61)))),0)</f>
        <v>0.04187604690117253</v>
      </c>
      <c r="CC69" s="24">
        <f>IF(CC63=1,'Lease Cycles'!$D$11*IF(INDEX('Lease Cycles'!$EF$11:$EL$11,1,CC61)=1,(1-'Lease Cycles'!$AJ$11)*INDEX('Lease Cycles'!$EM$11:$ES$11,1,CC61)+(1-'Lease Cycles'!$BE$11)*IF(CC62&lt;INDEX('Lease Cycles'!$FA$11:$FG$11,1,CC61),0,1-INDEX('Lease Cycles'!$EM$11:$ES$11,1,CC61)),IF(OR(INDEX('Lease Cycles'!$DY$11:$EE$11,1,CC61)=1,CC62&gt;0),1,1-INDEX('Lease Cycles'!$DD$11:$DJ$11,1,CC61))*((1-'Lease Cycles'!$AJ$11)*INDEX('Lease Cycles'!$FO$11:$FU$11,1,CC61)+(1-'Lease Cycles'!$BE$11)*(1-INDEX('Lease Cycles'!$FO$11:$FU$11,1,CC61)))),0)</f>
        <v>0</v>
      </c>
      <c r="CD69" s="24">
        <f>IF(CD63=1,'Lease Cycles'!$D$11*IF(INDEX('Lease Cycles'!$EF$11:$EL$11,1,CD61)=1,(1-'Lease Cycles'!$AJ$11)*INDEX('Lease Cycles'!$EM$11:$ES$11,1,CD61)+(1-'Lease Cycles'!$BE$11)*IF(CD62&lt;INDEX('Lease Cycles'!$FA$11:$FG$11,1,CD61),0,1-INDEX('Lease Cycles'!$EM$11:$ES$11,1,CD61)),IF(OR(INDEX('Lease Cycles'!$DY$11:$EE$11,1,CD61)=1,CD62&gt;0),1,1-INDEX('Lease Cycles'!$DD$11:$DJ$11,1,CD61))*((1-'Lease Cycles'!$AJ$11)*INDEX('Lease Cycles'!$FO$11:$FU$11,1,CD61)+(1-'Lease Cycles'!$BE$11)*(1-INDEX('Lease Cycles'!$FO$11:$FU$11,1,CD61)))),0)</f>
        <v>0.03350083752093791</v>
      </c>
      <c r="CE69" s="24">
        <f>IF(CE63=1,'Lease Cycles'!$D$11*IF(INDEX('Lease Cycles'!$EF$11:$EL$11,1,CE61)=1,(1-'Lease Cycles'!$AJ$11)*INDEX('Lease Cycles'!$EM$11:$ES$11,1,CE61)+(1-'Lease Cycles'!$BE$11)*IF(CE62&lt;INDEX('Lease Cycles'!$FA$11:$FG$11,1,CE61),0,1-INDEX('Lease Cycles'!$EM$11:$ES$11,1,CE61)),IF(OR(INDEX('Lease Cycles'!$DY$11:$EE$11,1,CE61)=1,CE62&gt;0),1,1-INDEX('Lease Cycles'!$DD$11:$DJ$11,1,CE61))*((1-'Lease Cycles'!$AJ$11)*INDEX('Lease Cycles'!$FO$11:$FU$11,1,CE61)+(1-'Lease Cycles'!$BE$11)*(1-INDEX('Lease Cycles'!$FO$11:$FU$11,1,CE61)))),0)</f>
        <v>0.04187604690117253</v>
      </c>
      <c r="CF69" s="24">
        <f>IF(CF63=1,'Lease Cycles'!$D$11*IF(INDEX('Lease Cycles'!$EF$11:$EL$11,1,CF61)=1,(1-'Lease Cycles'!$AJ$11)*INDEX('Lease Cycles'!$EM$11:$ES$11,1,CF61)+(1-'Lease Cycles'!$BE$11)*IF(CF62&lt;INDEX('Lease Cycles'!$FA$11:$FG$11,1,CF61),0,1-INDEX('Lease Cycles'!$EM$11:$ES$11,1,CF61)),IF(OR(INDEX('Lease Cycles'!$DY$11:$EE$11,1,CF61)=1,CF62&gt;0),1,1-INDEX('Lease Cycles'!$DD$11:$DJ$11,1,CF61))*((1-'Lease Cycles'!$AJ$11)*INDEX('Lease Cycles'!$FO$11:$FU$11,1,CF61)+(1-'Lease Cycles'!$BE$11)*(1-INDEX('Lease Cycles'!$FO$11:$FU$11,1,CF61)))),0)</f>
        <v>0.04187604690117253</v>
      </c>
      <c r="CG69" s="24">
        <f>IF(CG63=1,'Lease Cycles'!$D$11*IF(INDEX('Lease Cycles'!$EF$11:$EL$11,1,CG61)=1,(1-'Lease Cycles'!$AJ$11)*INDEX('Lease Cycles'!$EM$11:$ES$11,1,CG61)+(1-'Lease Cycles'!$BE$11)*IF(CG62&lt;INDEX('Lease Cycles'!$FA$11:$FG$11,1,CG61),0,1-INDEX('Lease Cycles'!$EM$11:$ES$11,1,CG61)),IF(OR(INDEX('Lease Cycles'!$DY$11:$EE$11,1,CG61)=1,CG62&gt;0),1,1-INDEX('Lease Cycles'!$DD$11:$DJ$11,1,CG61))*((1-'Lease Cycles'!$AJ$11)*INDEX('Lease Cycles'!$FO$11:$FU$11,1,CG61)+(1-'Lease Cycles'!$BE$11)*(1-INDEX('Lease Cycles'!$FO$11:$FU$11,1,CG61)))),0)</f>
        <v>0.04187604690117253</v>
      </c>
      <c r="CH69" s="24">
        <f>IF(CH63=1,'Lease Cycles'!$D$11*IF(INDEX('Lease Cycles'!$EF$11:$EL$11,1,CH61)=1,(1-'Lease Cycles'!$AJ$11)*INDEX('Lease Cycles'!$EM$11:$ES$11,1,CH61)+(1-'Lease Cycles'!$BE$11)*IF(CH62&lt;INDEX('Lease Cycles'!$FA$11:$FG$11,1,CH61),0,1-INDEX('Lease Cycles'!$EM$11:$ES$11,1,CH61)),IF(OR(INDEX('Lease Cycles'!$DY$11:$EE$11,1,CH61)=1,CH62&gt;0),1,1-INDEX('Lease Cycles'!$DD$11:$DJ$11,1,CH61))*((1-'Lease Cycles'!$AJ$11)*INDEX('Lease Cycles'!$FO$11:$FU$11,1,CH61)+(1-'Lease Cycles'!$BE$11)*(1-INDEX('Lease Cycles'!$FO$11:$FU$11,1,CH61)))),0)</f>
        <v>0.04187604690117253</v>
      </c>
      <c r="CI69" s="24">
        <f>IF(CI63=1,'Lease Cycles'!$D$11*IF(INDEX('Lease Cycles'!$EF$11:$EL$11,1,CI61)=1,(1-'Lease Cycles'!$AJ$11)*INDEX('Lease Cycles'!$EM$11:$ES$11,1,CI61)+(1-'Lease Cycles'!$BE$11)*IF(CI62&lt;INDEX('Lease Cycles'!$FA$11:$FG$11,1,CI61),0,1-INDEX('Lease Cycles'!$EM$11:$ES$11,1,CI61)),IF(OR(INDEX('Lease Cycles'!$DY$11:$EE$11,1,CI61)=1,CI62&gt;0),1,1-INDEX('Lease Cycles'!$DD$11:$DJ$11,1,CI61))*((1-'Lease Cycles'!$AJ$11)*INDEX('Lease Cycles'!$FO$11:$FU$11,1,CI61)+(1-'Lease Cycles'!$BE$11)*(1-INDEX('Lease Cycles'!$FO$11:$FU$11,1,CI61)))),0)</f>
        <v>0.04187604690117253</v>
      </c>
      <c r="CJ69" s="24">
        <f>IF(CJ63=1,'Lease Cycles'!$D$11*IF(INDEX('Lease Cycles'!$EF$11:$EL$11,1,CJ61)=1,(1-'Lease Cycles'!$AJ$11)*INDEX('Lease Cycles'!$EM$11:$ES$11,1,CJ61)+(1-'Lease Cycles'!$BE$11)*IF(CJ62&lt;INDEX('Lease Cycles'!$FA$11:$FG$11,1,CJ61),0,1-INDEX('Lease Cycles'!$EM$11:$ES$11,1,CJ61)),IF(OR(INDEX('Lease Cycles'!$DY$11:$EE$11,1,CJ61)=1,CJ62&gt;0),1,1-INDEX('Lease Cycles'!$DD$11:$DJ$11,1,CJ61))*((1-'Lease Cycles'!$AJ$11)*INDEX('Lease Cycles'!$FO$11:$FU$11,1,CJ61)+(1-'Lease Cycles'!$BE$11)*(1-INDEX('Lease Cycles'!$FO$11:$FU$11,1,CJ61)))),0)</f>
        <v>0.04187604690117253</v>
      </c>
      <c r="CK69" s="24">
        <f>IF(CK63=1,'Lease Cycles'!$D$11*IF(INDEX('Lease Cycles'!$EF$11:$EL$11,1,CK61)=1,(1-'Lease Cycles'!$AJ$11)*INDEX('Lease Cycles'!$EM$11:$ES$11,1,CK61)+(1-'Lease Cycles'!$BE$11)*IF(CK62&lt;INDEX('Lease Cycles'!$FA$11:$FG$11,1,CK61),0,1-INDEX('Lease Cycles'!$EM$11:$ES$11,1,CK61)),IF(OR(INDEX('Lease Cycles'!$DY$11:$EE$11,1,CK61)=1,CK62&gt;0),1,1-INDEX('Lease Cycles'!$DD$11:$DJ$11,1,CK61))*((1-'Lease Cycles'!$AJ$11)*INDEX('Lease Cycles'!$FO$11:$FU$11,1,CK61)+(1-'Lease Cycles'!$BE$11)*(1-INDEX('Lease Cycles'!$FO$11:$FU$11,1,CK61)))),0)</f>
        <v>0.04187604690117253</v>
      </c>
      <c r="CL69" s="24">
        <f>IF(CL63=1,'Lease Cycles'!$D$11*IF(INDEX('Lease Cycles'!$EF$11:$EL$11,1,CL61)=1,(1-'Lease Cycles'!$AJ$11)*INDEX('Lease Cycles'!$EM$11:$ES$11,1,CL61)+(1-'Lease Cycles'!$BE$11)*IF(CL62&lt;INDEX('Lease Cycles'!$FA$11:$FG$11,1,CL61),0,1-INDEX('Lease Cycles'!$EM$11:$ES$11,1,CL61)),IF(OR(INDEX('Lease Cycles'!$DY$11:$EE$11,1,CL61)=1,CL62&gt;0),1,1-INDEX('Lease Cycles'!$DD$11:$DJ$11,1,CL61))*((1-'Lease Cycles'!$AJ$11)*INDEX('Lease Cycles'!$FO$11:$FU$11,1,CL61)+(1-'Lease Cycles'!$BE$11)*(1-INDEX('Lease Cycles'!$FO$11:$FU$11,1,CL61)))),0)</f>
        <v>0.04187604690117253</v>
      </c>
      <c r="CM69" s="24">
        <f>IF(CM63=1,'Lease Cycles'!$D$11*IF(INDEX('Lease Cycles'!$EF$11:$EL$11,1,CM61)=1,(1-'Lease Cycles'!$AJ$11)*INDEX('Lease Cycles'!$EM$11:$ES$11,1,CM61)+(1-'Lease Cycles'!$BE$11)*IF(CM62&lt;INDEX('Lease Cycles'!$FA$11:$FG$11,1,CM61),0,1-INDEX('Lease Cycles'!$EM$11:$ES$11,1,CM61)),IF(OR(INDEX('Lease Cycles'!$DY$11:$EE$11,1,CM61)=1,CM62&gt;0),1,1-INDEX('Lease Cycles'!$DD$11:$DJ$11,1,CM61))*((1-'Lease Cycles'!$AJ$11)*INDEX('Lease Cycles'!$FO$11:$FU$11,1,CM61)+(1-'Lease Cycles'!$BE$11)*(1-INDEX('Lease Cycles'!$FO$11:$FU$11,1,CM61)))),0)</f>
        <v>0.04187604690117253</v>
      </c>
      <c r="CN69" s="24">
        <f>IF(CN63=1,'Lease Cycles'!$D$11*IF(INDEX('Lease Cycles'!$EF$11:$EL$11,1,CN61)=1,(1-'Lease Cycles'!$AJ$11)*INDEX('Lease Cycles'!$EM$11:$ES$11,1,CN61)+(1-'Lease Cycles'!$BE$11)*IF(CN62&lt;INDEX('Lease Cycles'!$FA$11:$FG$11,1,CN61),0,1-INDEX('Lease Cycles'!$EM$11:$ES$11,1,CN61)),IF(OR(INDEX('Lease Cycles'!$DY$11:$EE$11,1,CN61)=1,CN62&gt;0),1,1-INDEX('Lease Cycles'!$DD$11:$DJ$11,1,CN61))*((1-'Lease Cycles'!$AJ$11)*INDEX('Lease Cycles'!$FO$11:$FU$11,1,CN61)+(1-'Lease Cycles'!$BE$11)*(1-INDEX('Lease Cycles'!$FO$11:$FU$11,1,CN61)))),0)</f>
        <v>0.04187604690117253</v>
      </c>
      <c r="CO69" s="24">
        <f>IF(CO63=1,'Lease Cycles'!$D$11*IF(INDEX('Lease Cycles'!$EF$11:$EL$11,1,CO61)=1,(1-'Lease Cycles'!$AJ$11)*INDEX('Lease Cycles'!$EM$11:$ES$11,1,CO61)+(1-'Lease Cycles'!$BE$11)*IF(CO62&lt;INDEX('Lease Cycles'!$FA$11:$FG$11,1,CO61),0,1-INDEX('Lease Cycles'!$EM$11:$ES$11,1,CO61)),IF(OR(INDEX('Lease Cycles'!$DY$11:$EE$11,1,CO61)=1,CO62&gt;0),1,1-INDEX('Lease Cycles'!$DD$11:$DJ$11,1,CO61))*((1-'Lease Cycles'!$AJ$11)*INDEX('Lease Cycles'!$FO$11:$FU$11,1,CO61)+(1-'Lease Cycles'!$BE$11)*(1-INDEX('Lease Cycles'!$FO$11:$FU$11,1,CO61)))),0)</f>
        <v>0.04187604690117253</v>
      </c>
      <c r="CP69" s="24">
        <f>IF(CP63=1,'Lease Cycles'!$D$11*IF(INDEX('Lease Cycles'!$EF$11:$EL$11,1,CP61)=1,(1-'Lease Cycles'!$AJ$11)*INDEX('Lease Cycles'!$EM$11:$ES$11,1,CP61)+(1-'Lease Cycles'!$BE$11)*IF(CP62&lt;INDEX('Lease Cycles'!$FA$11:$FG$11,1,CP61),0,1-INDEX('Lease Cycles'!$EM$11:$ES$11,1,CP61)),IF(OR(INDEX('Lease Cycles'!$DY$11:$EE$11,1,CP61)=1,CP62&gt;0),1,1-INDEX('Lease Cycles'!$DD$11:$DJ$11,1,CP61))*((1-'Lease Cycles'!$AJ$11)*INDEX('Lease Cycles'!$FO$11:$FU$11,1,CP61)+(1-'Lease Cycles'!$BE$11)*(1-INDEX('Lease Cycles'!$FO$11:$FU$11,1,CP61)))),0)</f>
        <v>0.04187604690117253</v>
      </c>
      <c r="CQ69" s="24">
        <f>IF(CQ63=1,'Lease Cycles'!$D$11*IF(INDEX('Lease Cycles'!$EF$11:$EL$11,1,CQ61)=1,(1-'Lease Cycles'!$AJ$11)*INDEX('Lease Cycles'!$EM$11:$ES$11,1,CQ61)+(1-'Lease Cycles'!$BE$11)*IF(CQ62&lt;INDEX('Lease Cycles'!$FA$11:$FG$11,1,CQ61),0,1-INDEX('Lease Cycles'!$EM$11:$ES$11,1,CQ61)),IF(OR(INDEX('Lease Cycles'!$DY$11:$EE$11,1,CQ61)=1,CQ62&gt;0),1,1-INDEX('Lease Cycles'!$DD$11:$DJ$11,1,CQ61))*((1-'Lease Cycles'!$AJ$11)*INDEX('Lease Cycles'!$FO$11:$FU$11,1,CQ61)+(1-'Lease Cycles'!$BE$11)*(1-INDEX('Lease Cycles'!$FO$11:$FU$11,1,CQ61)))),0)</f>
        <v>0.04187604690117253</v>
      </c>
      <c r="CR69" s="24">
        <f>IF(CR63=1,'Lease Cycles'!$D$11*IF(INDEX('Lease Cycles'!$EF$11:$EL$11,1,CR61)=1,(1-'Lease Cycles'!$AJ$11)*INDEX('Lease Cycles'!$EM$11:$ES$11,1,CR61)+(1-'Lease Cycles'!$BE$11)*IF(CR62&lt;INDEX('Lease Cycles'!$FA$11:$FG$11,1,CR61),0,1-INDEX('Lease Cycles'!$EM$11:$ES$11,1,CR61)),IF(OR(INDEX('Lease Cycles'!$DY$11:$EE$11,1,CR61)=1,CR62&gt;0),1,1-INDEX('Lease Cycles'!$DD$11:$DJ$11,1,CR61))*((1-'Lease Cycles'!$AJ$11)*INDEX('Lease Cycles'!$FO$11:$FU$11,1,CR61)+(1-'Lease Cycles'!$BE$11)*(1-INDEX('Lease Cycles'!$FO$11:$FU$11,1,CR61)))),0)</f>
        <v>0.04187604690117253</v>
      </c>
      <c r="CS69" s="24">
        <f>IF(CS63=1,'Lease Cycles'!$D$11*IF(INDEX('Lease Cycles'!$EF$11:$EL$11,1,CS61)=1,(1-'Lease Cycles'!$AJ$11)*INDEX('Lease Cycles'!$EM$11:$ES$11,1,CS61)+(1-'Lease Cycles'!$BE$11)*IF(CS62&lt;INDEX('Lease Cycles'!$FA$11:$FG$11,1,CS61),0,1-INDEX('Lease Cycles'!$EM$11:$ES$11,1,CS61)),IF(OR(INDEX('Lease Cycles'!$DY$11:$EE$11,1,CS61)=1,CS62&gt;0),1,1-INDEX('Lease Cycles'!$DD$11:$DJ$11,1,CS61))*((1-'Lease Cycles'!$AJ$11)*INDEX('Lease Cycles'!$FO$11:$FU$11,1,CS61)+(1-'Lease Cycles'!$BE$11)*(1-INDEX('Lease Cycles'!$FO$11:$FU$11,1,CS61)))),0)</f>
        <v>0.04187604690117253</v>
      </c>
      <c r="CT69" s="24">
        <f>IF(CT63=1,'Lease Cycles'!$D$11*IF(INDEX('Lease Cycles'!$EF$11:$EL$11,1,CT61)=1,(1-'Lease Cycles'!$AJ$11)*INDEX('Lease Cycles'!$EM$11:$ES$11,1,CT61)+(1-'Lease Cycles'!$BE$11)*IF(CT62&lt;INDEX('Lease Cycles'!$FA$11:$FG$11,1,CT61),0,1-INDEX('Lease Cycles'!$EM$11:$ES$11,1,CT61)),IF(OR(INDEX('Lease Cycles'!$DY$11:$EE$11,1,CT61)=1,CT62&gt;0),1,1-INDEX('Lease Cycles'!$DD$11:$DJ$11,1,CT61))*((1-'Lease Cycles'!$AJ$11)*INDEX('Lease Cycles'!$FO$11:$FU$11,1,CT61)+(1-'Lease Cycles'!$BE$11)*(1-INDEX('Lease Cycles'!$FO$11:$FU$11,1,CT61)))),0)</f>
        <v>0.04187604690117253</v>
      </c>
      <c r="CU69" s="24">
        <f>IF(CU63=1,'Lease Cycles'!$D$11*IF(INDEX('Lease Cycles'!$EF$11:$EL$11,1,CU61)=1,(1-'Lease Cycles'!$AJ$11)*INDEX('Lease Cycles'!$EM$11:$ES$11,1,CU61)+(1-'Lease Cycles'!$BE$11)*IF(CU62&lt;INDEX('Lease Cycles'!$FA$11:$FG$11,1,CU61),0,1-INDEX('Lease Cycles'!$EM$11:$ES$11,1,CU61)),IF(OR(INDEX('Lease Cycles'!$DY$11:$EE$11,1,CU61)=1,CU62&gt;0),1,1-INDEX('Lease Cycles'!$DD$11:$DJ$11,1,CU61))*((1-'Lease Cycles'!$AJ$11)*INDEX('Lease Cycles'!$FO$11:$FU$11,1,CU61)+(1-'Lease Cycles'!$BE$11)*(1-INDEX('Lease Cycles'!$FO$11:$FU$11,1,CU61)))),0)</f>
        <v>0.04187604690117253</v>
      </c>
      <c r="CV69" s="24">
        <f>IF(CV63=1,'Lease Cycles'!$D$11*IF(INDEX('Lease Cycles'!$EF$11:$EL$11,1,CV61)=1,(1-'Lease Cycles'!$AJ$11)*INDEX('Lease Cycles'!$EM$11:$ES$11,1,CV61)+(1-'Lease Cycles'!$BE$11)*IF(CV62&lt;INDEX('Lease Cycles'!$FA$11:$FG$11,1,CV61),0,1-INDEX('Lease Cycles'!$EM$11:$ES$11,1,CV61)),IF(OR(INDEX('Lease Cycles'!$DY$11:$EE$11,1,CV61)=1,CV62&gt;0),1,1-INDEX('Lease Cycles'!$DD$11:$DJ$11,1,CV61))*((1-'Lease Cycles'!$AJ$11)*INDEX('Lease Cycles'!$FO$11:$FU$11,1,CV61)+(1-'Lease Cycles'!$BE$11)*(1-INDEX('Lease Cycles'!$FO$11:$FU$11,1,CV61)))),0)</f>
        <v>0.04187604690117253</v>
      </c>
      <c r="CW69" s="24">
        <f>IF(CW63=1,'Lease Cycles'!$D$11*IF(INDEX('Lease Cycles'!$EF$11:$EL$11,1,CW61)=1,(1-'Lease Cycles'!$AJ$11)*INDEX('Lease Cycles'!$EM$11:$ES$11,1,CW61)+(1-'Lease Cycles'!$BE$11)*IF(CW62&lt;INDEX('Lease Cycles'!$FA$11:$FG$11,1,CW61),0,1-INDEX('Lease Cycles'!$EM$11:$ES$11,1,CW61)),IF(OR(INDEX('Lease Cycles'!$DY$11:$EE$11,1,CW61)=1,CW62&gt;0),1,1-INDEX('Lease Cycles'!$DD$11:$DJ$11,1,CW61))*((1-'Lease Cycles'!$AJ$11)*INDEX('Lease Cycles'!$FO$11:$FU$11,1,CW61)+(1-'Lease Cycles'!$BE$11)*(1-INDEX('Lease Cycles'!$FO$11:$FU$11,1,CW61)))),0)</f>
        <v>0.04187604690117253</v>
      </c>
      <c r="CX69" s="24">
        <f>IF(CX63=1,'Lease Cycles'!$D$11*IF(INDEX('Lease Cycles'!$EF$11:$EL$11,1,CX61)=1,(1-'Lease Cycles'!$AJ$11)*INDEX('Lease Cycles'!$EM$11:$ES$11,1,CX61)+(1-'Lease Cycles'!$BE$11)*IF(CX62&lt;INDEX('Lease Cycles'!$FA$11:$FG$11,1,CX61),0,1-INDEX('Lease Cycles'!$EM$11:$ES$11,1,CX61)),IF(OR(INDEX('Lease Cycles'!$DY$11:$EE$11,1,CX61)=1,CX62&gt;0),1,1-INDEX('Lease Cycles'!$DD$11:$DJ$11,1,CX61))*((1-'Lease Cycles'!$AJ$11)*INDEX('Lease Cycles'!$FO$11:$FU$11,1,CX61)+(1-'Lease Cycles'!$BE$11)*(1-INDEX('Lease Cycles'!$FO$11:$FU$11,1,CX61)))),0)</f>
        <v>0.04187604690117253</v>
      </c>
      <c r="CY69" s="24">
        <f>IF(CY63=1,'Lease Cycles'!$D$11*IF(INDEX('Lease Cycles'!$EF$11:$EL$11,1,CY61)=1,(1-'Lease Cycles'!$AJ$11)*INDEX('Lease Cycles'!$EM$11:$ES$11,1,CY61)+(1-'Lease Cycles'!$BE$11)*IF(CY62&lt;INDEX('Lease Cycles'!$FA$11:$FG$11,1,CY61),0,1-INDEX('Lease Cycles'!$EM$11:$ES$11,1,CY61)),IF(OR(INDEX('Lease Cycles'!$DY$11:$EE$11,1,CY61)=1,CY62&gt;0),1,1-INDEX('Lease Cycles'!$DD$11:$DJ$11,1,CY61))*((1-'Lease Cycles'!$AJ$11)*INDEX('Lease Cycles'!$FO$11:$FU$11,1,CY61)+(1-'Lease Cycles'!$BE$11)*(1-INDEX('Lease Cycles'!$FO$11:$FU$11,1,CY61)))),0)</f>
        <v>0.04187604690117253</v>
      </c>
      <c r="CZ69" s="24">
        <f>IF(CZ63=1,'Lease Cycles'!$D$11*IF(INDEX('Lease Cycles'!$EF$11:$EL$11,1,CZ61)=1,(1-'Lease Cycles'!$AJ$11)*INDEX('Lease Cycles'!$EM$11:$ES$11,1,CZ61)+(1-'Lease Cycles'!$BE$11)*IF(CZ62&lt;INDEX('Lease Cycles'!$FA$11:$FG$11,1,CZ61),0,1-INDEX('Lease Cycles'!$EM$11:$ES$11,1,CZ61)),IF(OR(INDEX('Lease Cycles'!$DY$11:$EE$11,1,CZ61)=1,CZ62&gt;0),1,1-INDEX('Lease Cycles'!$DD$11:$DJ$11,1,CZ61))*((1-'Lease Cycles'!$AJ$11)*INDEX('Lease Cycles'!$FO$11:$FU$11,1,CZ61)+(1-'Lease Cycles'!$BE$11)*(1-INDEX('Lease Cycles'!$FO$11:$FU$11,1,CZ61)))),0)</f>
        <v>0.04187604690117253</v>
      </c>
      <c r="DA69" s="24">
        <f>IF(DA63=1,'Lease Cycles'!$D$11*IF(INDEX('Lease Cycles'!$EF$11:$EL$11,1,DA61)=1,(1-'Lease Cycles'!$AJ$11)*INDEX('Lease Cycles'!$EM$11:$ES$11,1,DA61)+(1-'Lease Cycles'!$BE$11)*IF(DA62&lt;INDEX('Lease Cycles'!$FA$11:$FG$11,1,DA61),0,1-INDEX('Lease Cycles'!$EM$11:$ES$11,1,DA61)),IF(OR(INDEX('Lease Cycles'!$DY$11:$EE$11,1,DA61)=1,DA62&gt;0),1,1-INDEX('Lease Cycles'!$DD$11:$DJ$11,1,DA61))*((1-'Lease Cycles'!$AJ$11)*INDEX('Lease Cycles'!$FO$11:$FU$11,1,DA61)+(1-'Lease Cycles'!$BE$11)*(1-INDEX('Lease Cycles'!$FO$11:$FU$11,1,DA61)))),0)</f>
        <v>0.04187604690117253</v>
      </c>
      <c r="DB69" s="24">
        <f>IF(DB63=1,'Lease Cycles'!$D$11*IF(INDEX('Lease Cycles'!$EF$11:$EL$11,1,DB61)=1,(1-'Lease Cycles'!$AJ$11)*INDEX('Lease Cycles'!$EM$11:$ES$11,1,DB61)+(1-'Lease Cycles'!$BE$11)*IF(DB62&lt;INDEX('Lease Cycles'!$FA$11:$FG$11,1,DB61),0,1-INDEX('Lease Cycles'!$EM$11:$ES$11,1,DB61)),IF(OR(INDEX('Lease Cycles'!$DY$11:$EE$11,1,DB61)=1,DB62&gt;0),1,1-INDEX('Lease Cycles'!$DD$11:$DJ$11,1,DB61))*((1-'Lease Cycles'!$AJ$11)*INDEX('Lease Cycles'!$FO$11:$FU$11,1,DB61)+(1-'Lease Cycles'!$BE$11)*(1-INDEX('Lease Cycles'!$FO$11:$FU$11,1,DB61)))),0)</f>
        <v>0.04187604690117253</v>
      </c>
      <c r="DC69" s="24">
        <f>IF(DC63=1,'Lease Cycles'!$D$11*IF(INDEX('Lease Cycles'!$EF$11:$EL$11,1,DC61)=1,(1-'Lease Cycles'!$AJ$11)*INDEX('Lease Cycles'!$EM$11:$ES$11,1,DC61)+(1-'Lease Cycles'!$BE$11)*IF(DC62&lt;INDEX('Lease Cycles'!$FA$11:$FG$11,1,DC61),0,1-INDEX('Lease Cycles'!$EM$11:$ES$11,1,DC61)),IF(OR(INDEX('Lease Cycles'!$DY$11:$EE$11,1,DC61)=1,DC62&gt;0),1,1-INDEX('Lease Cycles'!$DD$11:$DJ$11,1,DC61))*((1-'Lease Cycles'!$AJ$11)*INDEX('Lease Cycles'!$FO$11:$FU$11,1,DC61)+(1-'Lease Cycles'!$BE$11)*(1-INDEX('Lease Cycles'!$FO$11:$FU$11,1,DC61)))),0)</f>
        <v>0.04187604690117253</v>
      </c>
      <c r="DD69" s="24">
        <f>IF(DD63=1,'Lease Cycles'!$D$11*IF(INDEX('Lease Cycles'!$EF$11:$EL$11,1,DD61)=1,(1-'Lease Cycles'!$AJ$11)*INDEX('Lease Cycles'!$EM$11:$ES$11,1,DD61)+(1-'Lease Cycles'!$BE$11)*IF(DD62&lt;INDEX('Lease Cycles'!$FA$11:$FG$11,1,DD61),0,1-INDEX('Lease Cycles'!$EM$11:$ES$11,1,DD61)),IF(OR(INDEX('Lease Cycles'!$DY$11:$EE$11,1,DD61)=1,DD62&gt;0),1,1-INDEX('Lease Cycles'!$DD$11:$DJ$11,1,DD61))*((1-'Lease Cycles'!$AJ$11)*INDEX('Lease Cycles'!$FO$11:$FU$11,1,DD61)+(1-'Lease Cycles'!$BE$11)*(1-INDEX('Lease Cycles'!$FO$11:$FU$11,1,DD61)))),0)</f>
        <v>0.04187604690117253</v>
      </c>
      <c r="DE69" s="24">
        <f>IF(DE63=1,'Lease Cycles'!$D$11*IF(INDEX('Lease Cycles'!$EF$11:$EL$11,1,DE61)=1,(1-'Lease Cycles'!$AJ$11)*INDEX('Lease Cycles'!$EM$11:$ES$11,1,DE61)+(1-'Lease Cycles'!$BE$11)*IF(DE62&lt;INDEX('Lease Cycles'!$FA$11:$FG$11,1,DE61),0,1-INDEX('Lease Cycles'!$EM$11:$ES$11,1,DE61)),IF(OR(INDEX('Lease Cycles'!$DY$11:$EE$11,1,DE61)=1,DE62&gt;0),1,1-INDEX('Lease Cycles'!$DD$11:$DJ$11,1,DE61))*((1-'Lease Cycles'!$AJ$11)*INDEX('Lease Cycles'!$FO$11:$FU$11,1,DE61)+(1-'Lease Cycles'!$BE$11)*(1-INDEX('Lease Cycles'!$FO$11:$FU$11,1,DE61)))),0)</f>
        <v>0.04187604690117253</v>
      </c>
      <c r="DF69" s="24">
        <f>IF(DF63=1,'Lease Cycles'!$D$11*IF(INDEX('Lease Cycles'!$EF$11:$EL$11,1,DF61)=1,(1-'Lease Cycles'!$AJ$11)*INDEX('Lease Cycles'!$EM$11:$ES$11,1,DF61)+(1-'Lease Cycles'!$BE$11)*IF(DF62&lt;INDEX('Lease Cycles'!$FA$11:$FG$11,1,DF61),0,1-INDEX('Lease Cycles'!$EM$11:$ES$11,1,DF61)),IF(OR(INDEX('Lease Cycles'!$DY$11:$EE$11,1,DF61)=1,DF62&gt;0),1,1-INDEX('Lease Cycles'!$DD$11:$DJ$11,1,DF61))*((1-'Lease Cycles'!$AJ$11)*INDEX('Lease Cycles'!$FO$11:$FU$11,1,DF61)+(1-'Lease Cycles'!$BE$11)*(1-INDEX('Lease Cycles'!$FO$11:$FU$11,1,DF61)))),0)</f>
        <v>0.04187604690117253</v>
      </c>
      <c r="DG69" s="24">
        <f>IF(DG63=1,'Lease Cycles'!$D$11*IF(INDEX('Lease Cycles'!$EF$11:$EL$11,1,DG61)=1,(1-'Lease Cycles'!$AJ$11)*INDEX('Lease Cycles'!$EM$11:$ES$11,1,DG61)+(1-'Lease Cycles'!$BE$11)*IF(DG62&lt;INDEX('Lease Cycles'!$FA$11:$FG$11,1,DG61),0,1-INDEX('Lease Cycles'!$EM$11:$ES$11,1,DG61)),IF(OR(INDEX('Lease Cycles'!$DY$11:$EE$11,1,DG61)=1,DG62&gt;0),1,1-INDEX('Lease Cycles'!$DD$11:$DJ$11,1,DG61))*((1-'Lease Cycles'!$AJ$11)*INDEX('Lease Cycles'!$FO$11:$FU$11,1,DG61)+(1-'Lease Cycles'!$BE$11)*(1-INDEX('Lease Cycles'!$FO$11:$FU$11,1,DG61)))),0)</f>
        <v>0.04187604690117253</v>
      </c>
      <c r="DH69" s="24">
        <f>IF(DH63=1,'Lease Cycles'!$D$11*IF(INDEX('Lease Cycles'!$EF$11:$EL$11,1,DH61)=1,(1-'Lease Cycles'!$AJ$11)*INDEX('Lease Cycles'!$EM$11:$ES$11,1,DH61)+(1-'Lease Cycles'!$BE$11)*IF(DH62&lt;INDEX('Lease Cycles'!$FA$11:$FG$11,1,DH61),0,1-INDEX('Lease Cycles'!$EM$11:$ES$11,1,DH61)),IF(OR(INDEX('Lease Cycles'!$DY$11:$EE$11,1,DH61)=1,DH62&gt;0),1,1-INDEX('Lease Cycles'!$DD$11:$DJ$11,1,DH61))*((1-'Lease Cycles'!$AJ$11)*INDEX('Lease Cycles'!$FO$11:$FU$11,1,DH61)+(1-'Lease Cycles'!$BE$11)*(1-INDEX('Lease Cycles'!$FO$11:$FU$11,1,DH61)))),0)</f>
        <v>0.04187604690117253</v>
      </c>
      <c r="DI69" s="24">
        <f>IF(DI63=1,'Lease Cycles'!$D$11*IF(INDEX('Lease Cycles'!$EF$11:$EL$11,1,DI61)=1,(1-'Lease Cycles'!$AJ$11)*INDEX('Lease Cycles'!$EM$11:$ES$11,1,DI61)+(1-'Lease Cycles'!$BE$11)*IF(DI62&lt;INDEX('Lease Cycles'!$FA$11:$FG$11,1,DI61),0,1-INDEX('Lease Cycles'!$EM$11:$ES$11,1,DI61)),IF(OR(INDEX('Lease Cycles'!$DY$11:$EE$11,1,DI61)=1,DI62&gt;0),1,1-INDEX('Lease Cycles'!$DD$11:$DJ$11,1,DI61))*((1-'Lease Cycles'!$AJ$11)*INDEX('Lease Cycles'!$FO$11:$FU$11,1,DI61)+(1-'Lease Cycles'!$BE$11)*(1-INDEX('Lease Cycles'!$FO$11:$FU$11,1,DI61)))),0)</f>
        <v>0.04187604690117253</v>
      </c>
      <c r="DJ69" s="24">
        <f>IF(DJ63=1,'Lease Cycles'!$D$11*IF(INDEX('Lease Cycles'!$EF$11:$EL$11,1,DJ61)=1,(1-'Lease Cycles'!$AJ$11)*INDEX('Lease Cycles'!$EM$11:$ES$11,1,DJ61)+(1-'Lease Cycles'!$BE$11)*IF(DJ62&lt;INDEX('Lease Cycles'!$FA$11:$FG$11,1,DJ61),0,1-INDEX('Lease Cycles'!$EM$11:$ES$11,1,DJ61)),IF(OR(INDEX('Lease Cycles'!$DY$11:$EE$11,1,DJ61)=1,DJ62&gt;0),1,1-INDEX('Lease Cycles'!$DD$11:$DJ$11,1,DJ61))*((1-'Lease Cycles'!$AJ$11)*INDEX('Lease Cycles'!$FO$11:$FU$11,1,DJ61)+(1-'Lease Cycles'!$BE$11)*(1-INDEX('Lease Cycles'!$FO$11:$FU$11,1,DJ61)))),0)</f>
        <v>0.04187604690117253</v>
      </c>
      <c r="DK69" s="24">
        <f>IF(DK63=1,'Lease Cycles'!$D$11*IF(INDEX('Lease Cycles'!$EF$11:$EL$11,1,DK61)=1,(1-'Lease Cycles'!$AJ$11)*INDEX('Lease Cycles'!$EM$11:$ES$11,1,DK61)+(1-'Lease Cycles'!$BE$11)*IF(DK62&lt;INDEX('Lease Cycles'!$FA$11:$FG$11,1,DK61),0,1-INDEX('Lease Cycles'!$EM$11:$ES$11,1,DK61)),IF(OR(INDEX('Lease Cycles'!$DY$11:$EE$11,1,DK61)=1,DK62&gt;0),1,1-INDEX('Lease Cycles'!$DD$11:$DJ$11,1,DK61))*((1-'Lease Cycles'!$AJ$11)*INDEX('Lease Cycles'!$FO$11:$FU$11,1,DK61)+(1-'Lease Cycles'!$BE$11)*(1-INDEX('Lease Cycles'!$FO$11:$FU$11,1,DK61)))),0)</f>
        <v>0.04187604690117253</v>
      </c>
      <c r="DL69" s="24">
        <f>IF(DL63=1,'Lease Cycles'!$D$11*IF(INDEX('Lease Cycles'!$EF$11:$EL$11,1,DL61)=1,(1-'Lease Cycles'!$AJ$11)*INDEX('Lease Cycles'!$EM$11:$ES$11,1,DL61)+(1-'Lease Cycles'!$BE$11)*IF(DL62&lt;INDEX('Lease Cycles'!$FA$11:$FG$11,1,DL61),0,1-INDEX('Lease Cycles'!$EM$11:$ES$11,1,DL61)),IF(OR(INDEX('Lease Cycles'!$DY$11:$EE$11,1,DL61)=1,DL62&gt;0),1,1-INDEX('Lease Cycles'!$DD$11:$DJ$11,1,DL61))*((1-'Lease Cycles'!$AJ$11)*INDEX('Lease Cycles'!$FO$11:$FU$11,1,DL61)+(1-'Lease Cycles'!$BE$11)*(1-INDEX('Lease Cycles'!$FO$11:$FU$11,1,DL61)))),0)</f>
        <v>0.04187604690117253</v>
      </c>
      <c r="DM69" s="24">
        <f>IF(DM63=1,'Lease Cycles'!$D$11*IF(INDEX('Lease Cycles'!$EF$11:$EL$11,1,DM61)=1,(1-'Lease Cycles'!$AJ$11)*INDEX('Lease Cycles'!$EM$11:$ES$11,1,DM61)+(1-'Lease Cycles'!$BE$11)*IF(DM62&lt;INDEX('Lease Cycles'!$FA$11:$FG$11,1,DM61),0,1-INDEX('Lease Cycles'!$EM$11:$ES$11,1,DM61)),IF(OR(INDEX('Lease Cycles'!$DY$11:$EE$11,1,DM61)=1,DM62&gt;0),1,1-INDEX('Lease Cycles'!$DD$11:$DJ$11,1,DM61))*((1-'Lease Cycles'!$AJ$11)*INDEX('Lease Cycles'!$FO$11:$FU$11,1,DM61)+(1-'Lease Cycles'!$BE$11)*(1-INDEX('Lease Cycles'!$FO$11:$FU$11,1,DM61)))),0)</f>
        <v>0.04187604690117253</v>
      </c>
      <c r="DN69" s="24">
        <f>IF(DN63=1,'Lease Cycles'!$D$11*IF(INDEX('Lease Cycles'!$EF$11:$EL$11,1,DN61)=1,(1-'Lease Cycles'!$AJ$11)*INDEX('Lease Cycles'!$EM$11:$ES$11,1,DN61)+(1-'Lease Cycles'!$BE$11)*IF(DN62&lt;INDEX('Lease Cycles'!$FA$11:$FG$11,1,DN61),0,1-INDEX('Lease Cycles'!$EM$11:$ES$11,1,DN61)),IF(OR(INDEX('Lease Cycles'!$DY$11:$EE$11,1,DN61)=1,DN62&gt;0),1,1-INDEX('Lease Cycles'!$DD$11:$DJ$11,1,DN61))*((1-'Lease Cycles'!$AJ$11)*INDEX('Lease Cycles'!$FO$11:$FU$11,1,DN61)+(1-'Lease Cycles'!$BE$11)*(1-INDEX('Lease Cycles'!$FO$11:$FU$11,1,DN61)))),0)</f>
        <v>0.04187604690117253</v>
      </c>
      <c r="DO69" s="24">
        <f>IF(DO63=1,'Lease Cycles'!$D$11*IF(INDEX('Lease Cycles'!$EF$11:$EL$11,1,DO61)=1,(1-'Lease Cycles'!$AJ$11)*INDEX('Lease Cycles'!$EM$11:$ES$11,1,DO61)+(1-'Lease Cycles'!$BE$11)*IF(DO62&lt;INDEX('Lease Cycles'!$FA$11:$FG$11,1,DO61),0,1-INDEX('Lease Cycles'!$EM$11:$ES$11,1,DO61)),IF(OR(INDEX('Lease Cycles'!$DY$11:$EE$11,1,DO61)=1,DO62&gt;0),1,1-INDEX('Lease Cycles'!$DD$11:$DJ$11,1,DO61))*((1-'Lease Cycles'!$AJ$11)*INDEX('Lease Cycles'!$FO$11:$FU$11,1,DO61)+(1-'Lease Cycles'!$BE$11)*(1-INDEX('Lease Cycles'!$FO$11:$FU$11,1,DO61)))),0)</f>
        <v>0.04187604690117253</v>
      </c>
      <c r="DP69" s="24">
        <f>IF(DP63=1,'Lease Cycles'!$D$11*IF(INDEX('Lease Cycles'!$EF$11:$EL$11,1,DP61)=1,(1-'Lease Cycles'!$AJ$11)*INDEX('Lease Cycles'!$EM$11:$ES$11,1,DP61)+(1-'Lease Cycles'!$BE$11)*IF(DP62&lt;INDEX('Lease Cycles'!$FA$11:$FG$11,1,DP61),0,1-INDEX('Lease Cycles'!$EM$11:$ES$11,1,DP61)),IF(OR(INDEX('Lease Cycles'!$DY$11:$EE$11,1,DP61)=1,DP62&gt;0),1,1-INDEX('Lease Cycles'!$DD$11:$DJ$11,1,DP61))*((1-'Lease Cycles'!$AJ$11)*INDEX('Lease Cycles'!$FO$11:$FU$11,1,DP61)+(1-'Lease Cycles'!$BE$11)*(1-INDEX('Lease Cycles'!$FO$11:$FU$11,1,DP61)))),0)</f>
        <v>0.04187604690117253</v>
      </c>
      <c r="DQ69" s="24">
        <f>IF(DQ63=1,'Lease Cycles'!$D$11*IF(INDEX('Lease Cycles'!$EF$11:$EL$11,1,DQ61)=1,(1-'Lease Cycles'!$AJ$11)*INDEX('Lease Cycles'!$EM$11:$ES$11,1,DQ61)+(1-'Lease Cycles'!$BE$11)*IF(DQ62&lt;INDEX('Lease Cycles'!$FA$11:$FG$11,1,DQ61),0,1-INDEX('Lease Cycles'!$EM$11:$ES$11,1,DQ61)),IF(OR(INDEX('Lease Cycles'!$DY$11:$EE$11,1,DQ61)=1,DQ62&gt;0),1,1-INDEX('Lease Cycles'!$DD$11:$DJ$11,1,DQ61))*((1-'Lease Cycles'!$AJ$11)*INDEX('Lease Cycles'!$FO$11:$FU$11,1,DQ61)+(1-'Lease Cycles'!$BE$11)*(1-INDEX('Lease Cycles'!$FO$11:$FU$11,1,DQ61)))),0)</f>
        <v>0.04187604690117253</v>
      </c>
      <c r="DR69" s="24">
        <f>IF(DR63=1,'Lease Cycles'!$D$11*IF(INDEX('Lease Cycles'!$EF$11:$EL$11,1,DR61)=1,(1-'Lease Cycles'!$AJ$11)*INDEX('Lease Cycles'!$EM$11:$ES$11,1,DR61)+(1-'Lease Cycles'!$BE$11)*IF(DR62&lt;INDEX('Lease Cycles'!$FA$11:$FG$11,1,DR61),0,1-INDEX('Lease Cycles'!$EM$11:$ES$11,1,DR61)),IF(OR(INDEX('Lease Cycles'!$DY$11:$EE$11,1,DR61)=1,DR62&gt;0),1,1-INDEX('Lease Cycles'!$DD$11:$DJ$11,1,DR61))*((1-'Lease Cycles'!$AJ$11)*INDEX('Lease Cycles'!$FO$11:$FU$11,1,DR61)+(1-'Lease Cycles'!$BE$11)*(1-INDEX('Lease Cycles'!$FO$11:$FU$11,1,DR61)))),0)</f>
        <v>0.04187604690117253</v>
      </c>
      <c r="DS69" s="24">
        <f>IF(DS63=1,'Lease Cycles'!$D$11*IF(INDEX('Lease Cycles'!$EF$11:$EL$11,1,DS61)=1,(1-'Lease Cycles'!$AJ$11)*INDEX('Lease Cycles'!$EM$11:$ES$11,1,DS61)+(1-'Lease Cycles'!$BE$11)*IF(DS62&lt;INDEX('Lease Cycles'!$FA$11:$FG$11,1,DS61),0,1-INDEX('Lease Cycles'!$EM$11:$ES$11,1,DS61)),IF(OR(INDEX('Lease Cycles'!$DY$11:$EE$11,1,DS61)=1,DS62&gt;0),1,1-INDEX('Lease Cycles'!$DD$11:$DJ$11,1,DS61))*((1-'Lease Cycles'!$AJ$11)*INDEX('Lease Cycles'!$FO$11:$FU$11,1,DS61)+(1-'Lease Cycles'!$BE$11)*(1-INDEX('Lease Cycles'!$FO$11:$FU$11,1,DS61)))),0)</f>
        <v>0.04187604690117253</v>
      </c>
      <c r="DT69" s="24">
        <f>IF(DT63=1,'Lease Cycles'!$D$11*IF(INDEX('Lease Cycles'!$EF$11:$EL$11,1,DT61)=1,(1-'Lease Cycles'!$AJ$11)*INDEX('Lease Cycles'!$EM$11:$ES$11,1,DT61)+(1-'Lease Cycles'!$BE$11)*IF(DT62&lt;INDEX('Lease Cycles'!$FA$11:$FG$11,1,DT61),0,1-INDEX('Lease Cycles'!$EM$11:$ES$11,1,DT61)),IF(OR(INDEX('Lease Cycles'!$DY$11:$EE$11,1,DT61)=1,DT62&gt;0),1,1-INDEX('Lease Cycles'!$DD$11:$DJ$11,1,DT61))*((1-'Lease Cycles'!$AJ$11)*INDEX('Lease Cycles'!$FO$11:$FU$11,1,DT61)+(1-'Lease Cycles'!$BE$11)*(1-INDEX('Lease Cycles'!$FO$11:$FU$11,1,DT61)))),0)</f>
        <v>0.04187604690117253</v>
      </c>
      <c r="DU69" s="24">
        <f>IF(DU63=1,'Lease Cycles'!$D$11*IF(INDEX('Lease Cycles'!$EF$11:$EL$11,1,DU61)=1,(1-'Lease Cycles'!$AJ$11)*INDEX('Lease Cycles'!$EM$11:$ES$11,1,DU61)+(1-'Lease Cycles'!$BE$11)*IF(DU62&lt;INDEX('Lease Cycles'!$FA$11:$FG$11,1,DU61),0,1-INDEX('Lease Cycles'!$EM$11:$ES$11,1,DU61)),IF(OR(INDEX('Lease Cycles'!$DY$11:$EE$11,1,DU61)=1,DU62&gt;0),1,1-INDEX('Lease Cycles'!$DD$11:$DJ$11,1,DU61))*((1-'Lease Cycles'!$AJ$11)*INDEX('Lease Cycles'!$FO$11:$FU$11,1,DU61)+(1-'Lease Cycles'!$BE$11)*(1-INDEX('Lease Cycles'!$FO$11:$FU$11,1,DU61)))),0)</f>
        <v>0.04187604690117253</v>
      </c>
      <c r="DV69" s="24">
        <f>IF(DV63=1,'Lease Cycles'!$D$11*IF(INDEX('Lease Cycles'!$EF$11:$EL$11,1,DV61)=1,(1-'Lease Cycles'!$AJ$11)*INDEX('Lease Cycles'!$EM$11:$ES$11,1,DV61)+(1-'Lease Cycles'!$BE$11)*IF(DV62&lt;INDEX('Lease Cycles'!$FA$11:$FG$11,1,DV61),0,1-INDEX('Lease Cycles'!$EM$11:$ES$11,1,DV61)),IF(OR(INDEX('Lease Cycles'!$DY$11:$EE$11,1,DV61)=1,DV62&gt;0),1,1-INDEX('Lease Cycles'!$DD$11:$DJ$11,1,DV61))*((1-'Lease Cycles'!$AJ$11)*INDEX('Lease Cycles'!$FO$11:$FU$11,1,DV61)+(1-'Lease Cycles'!$BE$11)*(1-INDEX('Lease Cycles'!$FO$11:$FU$11,1,DV61)))),0)</f>
        <v>0.04187604690117253</v>
      </c>
      <c r="DW69" s="24">
        <f>IF(DW63=1,'Lease Cycles'!$D$11*IF(INDEX('Lease Cycles'!$EF$11:$EL$11,1,DW61)=1,(1-'Lease Cycles'!$AJ$11)*INDEX('Lease Cycles'!$EM$11:$ES$11,1,DW61)+(1-'Lease Cycles'!$BE$11)*IF(DW62&lt;INDEX('Lease Cycles'!$FA$11:$FG$11,1,DW61),0,1-INDEX('Lease Cycles'!$EM$11:$ES$11,1,DW61)),IF(OR(INDEX('Lease Cycles'!$DY$11:$EE$11,1,DW61)=1,DW62&gt;0),1,1-INDEX('Lease Cycles'!$DD$11:$DJ$11,1,DW61))*((1-'Lease Cycles'!$AJ$11)*INDEX('Lease Cycles'!$FO$11:$FU$11,1,DW61)+(1-'Lease Cycles'!$BE$11)*(1-INDEX('Lease Cycles'!$FO$11:$FU$11,1,DW61)))),0)</f>
        <v>0.04187604690117253</v>
      </c>
      <c r="DX69" s="24">
        <f>IF(DX63=1,'Lease Cycles'!$D$11*IF(INDEX('Lease Cycles'!$EF$11:$EL$11,1,DX61)=1,(1-'Lease Cycles'!$AJ$11)*INDEX('Lease Cycles'!$EM$11:$ES$11,1,DX61)+(1-'Lease Cycles'!$BE$11)*IF(DX62&lt;INDEX('Lease Cycles'!$FA$11:$FG$11,1,DX61),0,1-INDEX('Lease Cycles'!$EM$11:$ES$11,1,DX61)),IF(OR(INDEX('Lease Cycles'!$DY$11:$EE$11,1,DX61)=1,DX62&gt;0),1,1-INDEX('Lease Cycles'!$DD$11:$DJ$11,1,DX61))*((1-'Lease Cycles'!$AJ$11)*INDEX('Lease Cycles'!$FO$11:$FU$11,1,DX61)+(1-'Lease Cycles'!$BE$11)*(1-INDEX('Lease Cycles'!$FO$11:$FU$11,1,DX61)))),0)</f>
        <v>0.04187604690117253</v>
      </c>
      <c r="DY69" s="24">
        <f>IF(DY63=1,'Lease Cycles'!$D$11*IF(INDEX('Lease Cycles'!$EF$11:$EL$11,1,DY61)=1,(1-'Lease Cycles'!$AJ$11)*INDEX('Lease Cycles'!$EM$11:$ES$11,1,DY61)+(1-'Lease Cycles'!$BE$11)*IF(DY62&lt;INDEX('Lease Cycles'!$FA$11:$FG$11,1,DY61),0,1-INDEX('Lease Cycles'!$EM$11:$ES$11,1,DY61)),IF(OR(INDEX('Lease Cycles'!$DY$11:$EE$11,1,DY61)=1,DY62&gt;0),1,1-INDEX('Lease Cycles'!$DD$11:$DJ$11,1,DY61))*((1-'Lease Cycles'!$AJ$11)*INDEX('Lease Cycles'!$FO$11:$FU$11,1,DY61)+(1-'Lease Cycles'!$BE$11)*(1-INDEX('Lease Cycles'!$FO$11:$FU$11,1,DY61)))),0)</f>
        <v>0.04187604690117253</v>
      </c>
      <c r="DZ69" s="24">
        <f>IF(DZ63=1,'Lease Cycles'!$D$11*IF(INDEX('Lease Cycles'!$EF$11:$EL$11,1,DZ61)=1,(1-'Lease Cycles'!$AJ$11)*INDEX('Lease Cycles'!$EM$11:$ES$11,1,DZ61)+(1-'Lease Cycles'!$BE$11)*IF(DZ62&lt;INDEX('Lease Cycles'!$FA$11:$FG$11,1,DZ61),0,1-INDEX('Lease Cycles'!$EM$11:$ES$11,1,DZ61)),IF(OR(INDEX('Lease Cycles'!$DY$11:$EE$11,1,DZ61)=1,DZ62&gt;0),1,1-INDEX('Lease Cycles'!$DD$11:$DJ$11,1,DZ61))*((1-'Lease Cycles'!$AJ$11)*INDEX('Lease Cycles'!$FO$11:$FU$11,1,DZ61)+(1-'Lease Cycles'!$BE$11)*(1-INDEX('Lease Cycles'!$FO$11:$FU$11,1,DZ61)))),0)</f>
        <v>0.04187604690117253</v>
      </c>
      <c r="EA69" s="24">
        <f>IF(EA63=1,'Lease Cycles'!$D$11*IF(INDEX('Lease Cycles'!$EF$11:$EL$11,1,EA61)=1,(1-'Lease Cycles'!$AJ$11)*INDEX('Lease Cycles'!$EM$11:$ES$11,1,EA61)+(1-'Lease Cycles'!$BE$11)*IF(EA62&lt;INDEX('Lease Cycles'!$FA$11:$FG$11,1,EA61),0,1-INDEX('Lease Cycles'!$EM$11:$ES$11,1,EA61)),IF(OR(INDEX('Lease Cycles'!$DY$11:$EE$11,1,EA61)=1,EA62&gt;0),1,1-INDEX('Lease Cycles'!$DD$11:$DJ$11,1,EA61))*((1-'Lease Cycles'!$AJ$11)*INDEX('Lease Cycles'!$FO$11:$FU$11,1,EA61)+(1-'Lease Cycles'!$BE$11)*(1-INDEX('Lease Cycles'!$FO$11:$FU$11,1,EA61)))),0)</f>
        <v>0.04187604690117253</v>
      </c>
      <c r="EB69" s="24">
        <f>IF(EB63=1,'Lease Cycles'!$D$11*IF(INDEX('Lease Cycles'!$EF$11:$EL$11,1,EB61)=1,(1-'Lease Cycles'!$AJ$11)*INDEX('Lease Cycles'!$EM$11:$ES$11,1,EB61)+(1-'Lease Cycles'!$BE$11)*IF(EB62&lt;INDEX('Lease Cycles'!$FA$11:$FG$11,1,EB61),0,1-INDEX('Lease Cycles'!$EM$11:$ES$11,1,EB61)),IF(OR(INDEX('Lease Cycles'!$DY$11:$EE$11,1,EB61)=1,EB62&gt;0),1,1-INDEX('Lease Cycles'!$DD$11:$DJ$11,1,EB61))*((1-'Lease Cycles'!$AJ$11)*INDEX('Lease Cycles'!$FO$11:$FU$11,1,EB61)+(1-'Lease Cycles'!$BE$11)*(1-INDEX('Lease Cycles'!$FO$11:$FU$11,1,EB61)))),0)</f>
        <v>0.04187604690117253</v>
      </c>
      <c r="EC69" s="24">
        <f>IF(EC63=1,'Lease Cycles'!$D$11*IF(INDEX('Lease Cycles'!$EF$11:$EL$11,1,EC61)=1,(1-'Lease Cycles'!$AJ$11)*INDEX('Lease Cycles'!$EM$11:$ES$11,1,EC61)+(1-'Lease Cycles'!$BE$11)*IF(EC62&lt;INDEX('Lease Cycles'!$FA$11:$FG$11,1,EC61),0,1-INDEX('Lease Cycles'!$EM$11:$ES$11,1,EC61)),IF(OR(INDEX('Lease Cycles'!$DY$11:$EE$11,1,EC61)=1,EC62&gt;0),1,1-INDEX('Lease Cycles'!$DD$11:$DJ$11,1,EC61))*((1-'Lease Cycles'!$AJ$11)*INDEX('Lease Cycles'!$FO$11:$FU$11,1,EC61)+(1-'Lease Cycles'!$BE$11)*(1-INDEX('Lease Cycles'!$FO$11:$FU$11,1,EC61)))),0)</f>
        <v>0.04187604690117253</v>
      </c>
      <c r="ED69" s="24">
        <f>IF(ED63=1,'Lease Cycles'!$D$11*IF(INDEX('Lease Cycles'!$EF$11:$EL$11,1,ED61)=1,(1-'Lease Cycles'!$AJ$11)*INDEX('Lease Cycles'!$EM$11:$ES$11,1,ED61)+(1-'Lease Cycles'!$BE$11)*IF(ED62&lt;INDEX('Lease Cycles'!$FA$11:$FG$11,1,ED61),0,1-INDEX('Lease Cycles'!$EM$11:$ES$11,1,ED61)),IF(OR(INDEX('Lease Cycles'!$DY$11:$EE$11,1,ED61)=1,ED62&gt;0),1,1-INDEX('Lease Cycles'!$DD$11:$DJ$11,1,ED61))*((1-'Lease Cycles'!$AJ$11)*INDEX('Lease Cycles'!$FO$11:$FU$11,1,ED61)+(1-'Lease Cycles'!$BE$11)*(1-INDEX('Lease Cycles'!$FO$11:$FU$11,1,ED61)))),0)</f>
        <v>0.04187604690117253</v>
      </c>
      <c r="EE69" s="24">
        <f>IF(EE63=1,'Lease Cycles'!$D$11*IF(INDEX('Lease Cycles'!$EF$11:$EL$11,1,EE61)=1,(1-'Lease Cycles'!$AJ$11)*INDEX('Lease Cycles'!$EM$11:$ES$11,1,EE61)+(1-'Lease Cycles'!$BE$11)*IF(EE62&lt;INDEX('Lease Cycles'!$FA$11:$FG$11,1,EE61),0,1-INDEX('Lease Cycles'!$EM$11:$ES$11,1,EE61)),IF(OR(INDEX('Lease Cycles'!$DY$11:$EE$11,1,EE61)=1,EE62&gt;0),1,1-INDEX('Lease Cycles'!$DD$11:$DJ$11,1,EE61))*((1-'Lease Cycles'!$AJ$11)*INDEX('Lease Cycles'!$FO$11:$FU$11,1,EE61)+(1-'Lease Cycles'!$BE$11)*(1-INDEX('Lease Cycles'!$FO$11:$FU$11,1,EE61)))),0)</f>
        <v>0.04187604690117253</v>
      </c>
      <c r="EF69" s="24">
        <f>IF(EF63=1,'Lease Cycles'!$D$11*IF(INDEX('Lease Cycles'!$EF$11:$EL$11,1,EF61)=1,(1-'Lease Cycles'!$AJ$11)*INDEX('Lease Cycles'!$EM$11:$ES$11,1,EF61)+(1-'Lease Cycles'!$BE$11)*IF(EF62&lt;INDEX('Lease Cycles'!$FA$11:$FG$11,1,EF61),0,1-INDEX('Lease Cycles'!$EM$11:$ES$11,1,EF61)),IF(OR(INDEX('Lease Cycles'!$DY$11:$EE$11,1,EF61)=1,EF62&gt;0),1,1-INDEX('Lease Cycles'!$DD$11:$DJ$11,1,EF61))*((1-'Lease Cycles'!$AJ$11)*INDEX('Lease Cycles'!$FO$11:$FU$11,1,EF61)+(1-'Lease Cycles'!$BE$11)*(1-INDEX('Lease Cycles'!$FO$11:$FU$11,1,EF61)))),0)</f>
        <v>0.04187604690117253</v>
      </c>
      <c r="EG69" s="24">
        <f>IF(EG63=1,'Lease Cycles'!$D$11*IF(INDEX('Lease Cycles'!$EF$11:$EL$11,1,EG61)=1,(1-'Lease Cycles'!$AJ$11)*INDEX('Lease Cycles'!$EM$11:$ES$11,1,EG61)+(1-'Lease Cycles'!$BE$11)*IF(EG62&lt;INDEX('Lease Cycles'!$FA$11:$FG$11,1,EG61),0,1-INDEX('Lease Cycles'!$EM$11:$ES$11,1,EG61)),IF(OR(INDEX('Lease Cycles'!$DY$11:$EE$11,1,EG61)=1,EG62&gt;0),1,1-INDEX('Lease Cycles'!$DD$11:$DJ$11,1,EG61))*((1-'Lease Cycles'!$AJ$11)*INDEX('Lease Cycles'!$FO$11:$FU$11,1,EG61)+(1-'Lease Cycles'!$BE$11)*(1-INDEX('Lease Cycles'!$FO$11:$FU$11,1,EG61)))),0)</f>
        <v>0.04187604690117253</v>
      </c>
      <c r="EH69" s="24">
        <f>IF(EH63=1,'Lease Cycles'!$D$11*IF(INDEX('Lease Cycles'!$EF$11:$EL$11,1,EH61)=1,(1-'Lease Cycles'!$AJ$11)*INDEX('Lease Cycles'!$EM$11:$ES$11,1,EH61)+(1-'Lease Cycles'!$BE$11)*IF(EH62&lt;INDEX('Lease Cycles'!$FA$11:$FG$11,1,EH61),0,1-INDEX('Lease Cycles'!$EM$11:$ES$11,1,EH61)),IF(OR(INDEX('Lease Cycles'!$DY$11:$EE$11,1,EH61)=1,EH62&gt;0),1,1-INDEX('Lease Cycles'!$DD$11:$DJ$11,1,EH61))*((1-'Lease Cycles'!$AJ$11)*INDEX('Lease Cycles'!$FO$11:$FU$11,1,EH61)+(1-'Lease Cycles'!$BE$11)*(1-INDEX('Lease Cycles'!$FO$11:$FU$11,1,EH61)))),0)</f>
        <v>0.04187604690117253</v>
      </c>
      <c r="EI69" s="24">
        <f>IF(EI63=1,'Lease Cycles'!$D$11*IF(INDEX('Lease Cycles'!$EF$11:$EL$11,1,EI61)=1,(1-'Lease Cycles'!$AJ$11)*INDEX('Lease Cycles'!$EM$11:$ES$11,1,EI61)+(1-'Lease Cycles'!$BE$11)*IF(EI62&lt;INDEX('Lease Cycles'!$FA$11:$FG$11,1,EI61),0,1-INDEX('Lease Cycles'!$EM$11:$ES$11,1,EI61)),IF(OR(INDEX('Lease Cycles'!$DY$11:$EE$11,1,EI61)=1,EI62&gt;0),1,1-INDEX('Lease Cycles'!$DD$11:$DJ$11,1,EI61))*((1-'Lease Cycles'!$AJ$11)*INDEX('Lease Cycles'!$FO$11:$FU$11,1,EI61)+(1-'Lease Cycles'!$BE$11)*(1-INDEX('Lease Cycles'!$FO$11:$FU$11,1,EI61)))),0)</f>
        <v>0.04187604690117253</v>
      </c>
      <c r="EJ69" s="24">
        <f>IF(EJ63=1,'Lease Cycles'!$D$11*IF(INDEX('Lease Cycles'!$EF$11:$EL$11,1,EJ61)=1,(1-'Lease Cycles'!$AJ$11)*INDEX('Lease Cycles'!$EM$11:$ES$11,1,EJ61)+(1-'Lease Cycles'!$BE$11)*IF(EJ62&lt;INDEX('Lease Cycles'!$FA$11:$FG$11,1,EJ61),0,1-INDEX('Lease Cycles'!$EM$11:$ES$11,1,EJ61)),IF(OR(INDEX('Lease Cycles'!$DY$11:$EE$11,1,EJ61)=1,EJ62&gt;0),1,1-INDEX('Lease Cycles'!$DD$11:$DJ$11,1,EJ61))*((1-'Lease Cycles'!$AJ$11)*INDEX('Lease Cycles'!$FO$11:$FU$11,1,EJ61)+(1-'Lease Cycles'!$BE$11)*(1-INDEX('Lease Cycles'!$FO$11:$FU$11,1,EJ61)))),0)</f>
        <v>0.04187604690117253</v>
      </c>
      <c r="EK69" s="24">
        <f>IF(EK63=1,'Lease Cycles'!$D$11*IF(INDEX('Lease Cycles'!$EF$11:$EL$11,1,EK61)=1,(1-'Lease Cycles'!$AJ$11)*INDEX('Lease Cycles'!$EM$11:$ES$11,1,EK61)+(1-'Lease Cycles'!$BE$11)*IF(EK62&lt;INDEX('Lease Cycles'!$FA$11:$FG$11,1,EK61),0,1-INDEX('Lease Cycles'!$EM$11:$ES$11,1,EK61)),IF(OR(INDEX('Lease Cycles'!$DY$11:$EE$11,1,EK61)=1,EK62&gt;0),1,1-INDEX('Lease Cycles'!$DD$11:$DJ$11,1,EK61))*((1-'Lease Cycles'!$AJ$11)*INDEX('Lease Cycles'!$FO$11:$FU$11,1,EK61)+(1-'Lease Cycles'!$BE$11)*(1-INDEX('Lease Cycles'!$FO$11:$FU$11,1,EK61)))),0)</f>
        <v>0.04187604690117253</v>
      </c>
      <c r="EL69" s="24">
        <f>IF(EL63=1,'Lease Cycles'!$D$11*IF(INDEX('Lease Cycles'!$EF$11:$EL$11,1,EL61)=1,(1-'Lease Cycles'!$AJ$11)*INDEX('Lease Cycles'!$EM$11:$ES$11,1,EL61)+(1-'Lease Cycles'!$BE$11)*IF(EL62&lt;INDEX('Lease Cycles'!$FA$11:$FG$11,1,EL61),0,1-INDEX('Lease Cycles'!$EM$11:$ES$11,1,EL61)),IF(OR(INDEX('Lease Cycles'!$DY$11:$EE$11,1,EL61)=1,EL62&gt;0),1,1-INDEX('Lease Cycles'!$DD$11:$DJ$11,1,EL61))*((1-'Lease Cycles'!$AJ$11)*INDEX('Lease Cycles'!$FO$11:$FU$11,1,EL61)+(1-'Lease Cycles'!$BE$11)*(1-INDEX('Lease Cycles'!$FO$11:$FU$11,1,EL61)))),0)</f>
        <v>0.04187604690117253</v>
      </c>
      <c r="EM69" s="24">
        <f>IF(EM63=1,'Lease Cycles'!$D$11*IF(INDEX('Lease Cycles'!$EF$11:$EL$11,1,EM61)=1,(1-'Lease Cycles'!$AJ$11)*INDEX('Lease Cycles'!$EM$11:$ES$11,1,EM61)+(1-'Lease Cycles'!$BE$11)*IF(EM62&lt;INDEX('Lease Cycles'!$FA$11:$FG$11,1,EM61),0,1-INDEX('Lease Cycles'!$EM$11:$ES$11,1,EM61)),IF(OR(INDEX('Lease Cycles'!$DY$11:$EE$11,1,EM61)=1,EM62&gt;0),1,1-INDEX('Lease Cycles'!$DD$11:$DJ$11,1,EM61))*((1-'Lease Cycles'!$AJ$11)*INDEX('Lease Cycles'!$FO$11:$FU$11,1,EM61)+(1-'Lease Cycles'!$BE$11)*(1-INDEX('Lease Cycles'!$FO$11:$FU$11,1,EM61)))),0)</f>
        <v>0.04187604690117253</v>
      </c>
      <c r="EN69" s="24">
        <f>IF(EN63=1,'Lease Cycles'!$D$11*IF(INDEX('Lease Cycles'!$EF$11:$EL$11,1,EN61)=1,(1-'Lease Cycles'!$AJ$11)*INDEX('Lease Cycles'!$EM$11:$ES$11,1,EN61)+(1-'Lease Cycles'!$BE$11)*IF(EN62&lt;INDEX('Lease Cycles'!$FA$11:$FG$11,1,EN61),0,1-INDEX('Lease Cycles'!$EM$11:$ES$11,1,EN61)),IF(OR(INDEX('Lease Cycles'!$DY$11:$EE$11,1,EN61)=1,EN62&gt;0),1,1-INDEX('Lease Cycles'!$DD$11:$DJ$11,1,EN61))*((1-'Lease Cycles'!$AJ$11)*INDEX('Lease Cycles'!$FO$11:$FU$11,1,EN61)+(1-'Lease Cycles'!$BE$11)*(1-INDEX('Lease Cycles'!$FO$11:$FU$11,1,EN61)))),0)</f>
        <v>0.04187604690117253</v>
      </c>
      <c r="EO69" s="24">
        <f>IF(EO63=1,'Lease Cycles'!$D$11*IF(INDEX('Lease Cycles'!$EF$11:$EL$11,1,EO61)=1,(1-'Lease Cycles'!$AJ$11)*INDEX('Lease Cycles'!$EM$11:$ES$11,1,EO61)+(1-'Lease Cycles'!$BE$11)*IF(EO62&lt;INDEX('Lease Cycles'!$FA$11:$FG$11,1,EO61),0,1-INDEX('Lease Cycles'!$EM$11:$ES$11,1,EO61)),IF(OR(INDEX('Lease Cycles'!$DY$11:$EE$11,1,EO61)=1,EO62&gt;0),1,1-INDEX('Lease Cycles'!$DD$11:$DJ$11,1,EO61))*((1-'Lease Cycles'!$AJ$11)*INDEX('Lease Cycles'!$FO$11:$FU$11,1,EO61)+(1-'Lease Cycles'!$BE$11)*(1-INDEX('Lease Cycles'!$FO$11:$FU$11,1,EO61)))),0)</f>
        <v>0.04187604690117253</v>
      </c>
      <c r="EP69" s="24">
        <f>IF(EP63=1,'Lease Cycles'!$D$11*IF(INDEX('Lease Cycles'!$EF$11:$EL$11,1,EP61)=1,(1-'Lease Cycles'!$AJ$11)*INDEX('Lease Cycles'!$EM$11:$ES$11,1,EP61)+(1-'Lease Cycles'!$BE$11)*IF(EP62&lt;INDEX('Lease Cycles'!$FA$11:$FG$11,1,EP61),0,1-INDEX('Lease Cycles'!$EM$11:$ES$11,1,EP61)),IF(OR(INDEX('Lease Cycles'!$DY$11:$EE$11,1,EP61)=1,EP62&gt;0),1,1-INDEX('Lease Cycles'!$DD$11:$DJ$11,1,EP61))*((1-'Lease Cycles'!$AJ$11)*INDEX('Lease Cycles'!$FO$11:$FU$11,1,EP61)+(1-'Lease Cycles'!$BE$11)*(1-INDEX('Lease Cycles'!$FO$11:$FU$11,1,EP61)))),0)</f>
        <v>0.04187604690117253</v>
      </c>
      <c r="EQ69" s="24">
        <f>IF(EQ63=1,'Lease Cycles'!$D$11*IF(INDEX('Lease Cycles'!$EF$11:$EL$11,1,EQ61)=1,(1-'Lease Cycles'!$AJ$11)*INDEX('Lease Cycles'!$EM$11:$ES$11,1,EQ61)+(1-'Lease Cycles'!$BE$11)*IF(EQ62&lt;INDEX('Lease Cycles'!$FA$11:$FG$11,1,EQ61),0,1-INDEX('Lease Cycles'!$EM$11:$ES$11,1,EQ61)),IF(OR(INDEX('Lease Cycles'!$DY$11:$EE$11,1,EQ61)=1,EQ62&gt;0),1,1-INDEX('Lease Cycles'!$DD$11:$DJ$11,1,EQ61))*((1-'Lease Cycles'!$AJ$11)*INDEX('Lease Cycles'!$FO$11:$FU$11,1,EQ61)+(1-'Lease Cycles'!$BE$11)*(1-INDEX('Lease Cycles'!$FO$11:$FU$11,1,EQ61)))),0)</f>
        <v>0.04187604690117253</v>
      </c>
      <c r="ER69" s="24">
        <f>IF(ER63=1,'Lease Cycles'!$D$11*IF(INDEX('Lease Cycles'!$EF$11:$EL$11,1,ER61)=1,(1-'Lease Cycles'!$AJ$11)*INDEX('Lease Cycles'!$EM$11:$ES$11,1,ER61)+(1-'Lease Cycles'!$BE$11)*IF(ER62&lt;INDEX('Lease Cycles'!$FA$11:$FG$11,1,ER61),0,1-INDEX('Lease Cycles'!$EM$11:$ES$11,1,ER61)),IF(OR(INDEX('Lease Cycles'!$DY$11:$EE$11,1,ER61)=1,ER62&gt;0),1,1-INDEX('Lease Cycles'!$DD$11:$DJ$11,1,ER61))*((1-'Lease Cycles'!$AJ$11)*INDEX('Lease Cycles'!$FO$11:$FU$11,1,ER61)+(1-'Lease Cycles'!$BE$11)*(1-INDEX('Lease Cycles'!$FO$11:$FU$11,1,ER61)))),0)</f>
        <v>0.04187604690117253</v>
      </c>
      <c r="ES69" s="24">
        <f>IF(ES63=1,'Lease Cycles'!$D$11*IF(INDEX('Lease Cycles'!$EF$11:$EL$11,1,ES61)=1,(1-'Lease Cycles'!$AJ$11)*INDEX('Lease Cycles'!$EM$11:$ES$11,1,ES61)+(1-'Lease Cycles'!$BE$11)*IF(ES62&lt;INDEX('Lease Cycles'!$FA$11:$FG$11,1,ES61),0,1-INDEX('Lease Cycles'!$EM$11:$ES$11,1,ES61)),IF(OR(INDEX('Lease Cycles'!$DY$11:$EE$11,1,ES61)=1,ES62&gt;0),1,1-INDEX('Lease Cycles'!$DD$11:$DJ$11,1,ES61))*((1-'Lease Cycles'!$AJ$11)*INDEX('Lease Cycles'!$FO$11:$FU$11,1,ES61)+(1-'Lease Cycles'!$BE$11)*(1-INDEX('Lease Cycles'!$FO$11:$FU$11,1,ES61)))),0)</f>
        <v>0.04187604690117253</v>
      </c>
      <c r="ET69" s="24">
        <f>IF(ET63=1,'Lease Cycles'!$D$11*IF(INDEX('Lease Cycles'!$EF$11:$EL$11,1,ET61)=1,(1-'Lease Cycles'!$AJ$11)*INDEX('Lease Cycles'!$EM$11:$ES$11,1,ET61)+(1-'Lease Cycles'!$BE$11)*IF(ET62&lt;INDEX('Lease Cycles'!$FA$11:$FG$11,1,ET61),0,1-INDEX('Lease Cycles'!$EM$11:$ES$11,1,ET61)),IF(OR(INDEX('Lease Cycles'!$DY$11:$EE$11,1,ET61)=1,ET62&gt;0),1,1-INDEX('Lease Cycles'!$DD$11:$DJ$11,1,ET61))*((1-'Lease Cycles'!$AJ$11)*INDEX('Lease Cycles'!$FO$11:$FU$11,1,ET61)+(1-'Lease Cycles'!$BE$11)*(1-INDEX('Lease Cycles'!$FO$11:$FU$11,1,ET61)))),0)</f>
        <v>0.04187604690117253</v>
      </c>
    </row>
    <row r="70">
      <c r="A70" s="103">
        <v>4</v>
      </c>
      <c r="B70" s="23" t="str">
        <f>IF('Lease Cycles'!$B$11="","(empty slot)",'Lease Cycles'!$B$11)</f>
        <v>Sunfield Dental</v>
      </c>
      <c r="C70" s="23" t="s">
        <v>685</v>
      </c>
      <c r="D70" s="104" t="s">
        <v>686</v>
      </c>
      <c r="E70" s="25">
        <f>'Lease Cycles'!$AL$11</f>
        <v>0</v>
      </c>
      <c r="G70" s="24">
        <f>SUM(S70:AD70)</f>
        <v>0</v>
      </c>
      <c r="H70" s="24">
        <f>SUM(AE70:AP70)</f>
        <v>0</v>
      </c>
      <c r="I70" s="24">
        <f>SUM(AQ70:BB70)</f>
        <v>0</v>
      </c>
      <c r="J70" s="24">
        <f>SUM(BC70:BN70)</f>
        <v>0</v>
      </c>
      <c r="K70" s="24">
        <f>SUM(BO70:BZ70)</f>
        <v>0</v>
      </c>
      <c r="L70" s="24">
        <f>SUM(CA70:CL70)</f>
        <v>0</v>
      </c>
      <c r="M70" s="24">
        <f>SUM(CM70:CX70)</f>
        <v>0</v>
      </c>
      <c r="N70" s="24">
        <f>SUM(CY70:DJ70)</f>
        <v>0</v>
      </c>
      <c r="O70" s="24">
        <f>SUM(DK70:DV70)</f>
        <v>0</v>
      </c>
      <c r="P70" s="24">
        <f>SUM(DW70:EH70)</f>
        <v>0</v>
      </c>
      <c r="Q70" s="24">
        <f>SUM(EI70:ET70)</f>
        <v>0</v>
      </c>
      <c r="S70" s="24">
        <f>IF(S63=1,IF('Lease Cycles'!$AJ$11=1,0,'Lease Cycles'!$D$11*INDEX('Lease Cycles'!$FH$11:$FN$11,1,S61)*IF(INDEX('Lease Cycles'!$EF$11:$EL$11,1,S61)=1,1,IF(OR(INDEX('Lease Cycles'!$DY$11:$EE$11,1,S61)=1,S62&gt;0),1,1-INDEX('Lease Cycles'!$DD$11:$DJ$11,1,S61)))),0)</f>
        <v>0</v>
      </c>
      <c r="T70" s="24">
        <f>IF(T63=1,IF('Lease Cycles'!$AJ$11=1,0,'Lease Cycles'!$D$11*INDEX('Lease Cycles'!$FH$11:$FN$11,1,T61)*IF(INDEX('Lease Cycles'!$EF$11:$EL$11,1,T61)=1,1,IF(OR(INDEX('Lease Cycles'!$DY$11:$EE$11,1,T61)=1,T62&gt;0),1,1-INDEX('Lease Cycles'!$DD$11:$DJ$11,1,T61)))),0)</f>
        <v>0</v>
      </c>
      <c r="U70" s="24">
        <f>IF(U63=1,IF('Lease Cycles'!$AJ$11=1,0,'Lease Cycles'!$D$11*INDEX('Lease Cycles'!$FH$11:$FN$11,1,U61)*IF(INDEX('Lease Cycles'!$EF$11:$EL$11,1,U61)=1,1,IF(OR(INDEX('Lease Cycles'!$DY$11:$EE$11,1,U61)=1,U62&gt;0),1,1-INDEX('Lease Cycles'!$DD$11:$DJ$11,1,U61)))),0)</f>
        <v>0</v>
      </c>
      <c r="V70" s="24">
        <f>IF(V63=1,IF('Lease Cycles'!$AJ$11=1,0,'Lease Cycles'!$D$11*INDEX('Lease Cycles'!$FH$11:$FN$11,1,V61)*IF(INDEX('Lease Cycles'!$EF$11:$EL$11,1,V61)=1,1,IF(OR(INDEX('Lease Cycles'!$DY$11:$EE$11,1,V61)=1,V62&gt;0),1,1-INDEX('Lease Cycles'!$DD$11:$DJ$11,1,V61)))),0)</f>
        <v>0</v>
      </c>
      <c r="W70" s="24">
        <f>IF(W63=1,IF('Lease Cycles'!$AJ$11=1,0,'Lease Cycles'!$D$11*INDEX('Lease Cycles'!$FH$11:$FN$11,1,W61)*IF(INDEX('Lease Cycles'!$EF$11:$EL$11,1,W61)=1,1,IF(OR(INDEX('Lease Cycles'!$DY$11:$EE$11,1,W61)=1,W62&gt;0),1,1-INDEX('Lease Cycles'!$DD$11:$DJ$11,1,W61)))),0)</f>
        <v>0</v>
      </c>
      <c r="X70" s="24">
        <f>IF(X63=1,IF('Lease Cycles'!$AJ$11=1,0,'Lease Cycles'!$D$11*INDEX('Lease Cycles'!$FH$11:$FN$11,1,X61)*IF(INDEX('Lease Cycles'!$EF$11:$EL$11,1,X61)=1,1,IF(OR(INDEX('Lease Cycles'!$DY$11:$EE$11,1,X61)=1,X62&gt;0),1,1-INDEX('Lease Cycles'!$DD$11:$DJ$11,1,X61)))),0)</f>
        <v>0</v>
      </c>
      <c r="Y70" s="24">
        <f>IF(Y63=1,IF('Lease Cycles'!$AJ$11=1,0,'Lease Cycles'!$D$11*INDEX('Lease Cycles'!$FH$11:$FN$11,1,Y61)*IF(INDEX('Lease Cycles'!$EF$11:$EL$11,1,Y61)=1,1,IF(OR(INDEX('Lease Cycles'!$DY$11:$EE$11,1,Y61)=1,Y62&gt;0),1,1-INDEX('Lease Cycles'!$DD$11:$DJ$11,1,Y61)))),0)</f>
        <v>0</v>
      </c>
      <c r="Z70" s="24">
        <f>IF(Z63=1,IF('Lease Cycles'!$AJ$11=1,0,'Lease Cycles'!$D$11*INDEX('Lease Cycles'!$FH$11:$FN$11,1,Z61)*IF(INDEX('Lease Cycles'!$EF$11:$EL$11,1,Z61)=1,1,IF(OR(INDEX('Lease Cycles'!$DY$11:$EE$11,1,Z61)=1,Z62&gt;0),1,1-INDEX('Lease Cycles'!$DD$11:$DJ$11,1,Z61)))),0)</f>
        <v>0</v>
      </c>
      <c r="AA70" s="24">
        <f>IF(AA63=1,IF('Lease Cycles'!$AJ$11=1,0,'Lease Cycles'!$D$11*INDEX('Lease Cycles'!$FH$11:$FN$11,1,AA61)*IF(INDEX('Lease Cycles'!$EF$11:$EL$11,1,AA61)=1,1,IF(OR(INDEX('Lease Cycles'!$DY$11:$EE$11,1,AA61)=1,AA62&gt;0),1,1-INDEX('Lease Cycles'!$DD$11:$DJ$11,1,AA61)))),0)</f>
        <v>0</v>
      </c>
      <c r="AB70" s="24">
        <f>IF(AB63=1,IF('Lease Cycles'!$AJ$11=1,0,'Lease Cycles'!$D$11*INDEX('Lease Cycles'!$FH$11:$FN$11,1,AB61)*IF(INDEX('Lease Cycles'!$EF$11:$EL$11,1,AB61)=1,1,IF(OR(INDEX('Lease Cycles'!$DY$11:$EE$11,1,AB61)=1,AB62&gt;0),1,1-INDEX('Lease Cycles'!$DD$11:$DJ$11,1,AB61)))),0)</f>
        <v>0</v>
      </c>
      <c r="AC70" s="24">
        <f>IF(AC63=1,IF('Lease Cycles'!$AJ$11=1,0,'Lease Cycles'!$D$11*INDEX('Lease Cycles'!$FH$11:$FN$11,1,AC61)*IF(INDEX('Lease Cycles'!$EF$11:$EL$11,1,AC61)=1,1,IF(OR(INDEX('Lease Cycles'!$DY$11:$EE$11,1,AC61)=1,AC62&gt;0),1,1-INDEX('Lease Cycles'!$DD$11:$DJ$11,1,AC61)))),0)</f>
        <v>0</v>
      </c>
      <c r="AD70" s="24">
        <f>IF(AD63=1,IF('Lease Cycles'!$AJ$11=1,0,'Lease Cycles'!$D$11*INDEX('Lease Cycles'!$FH$11:$FN$11,1,AD61)*IF(INDEX('Lease Cycles'!$EF$11:$EL$11,1,AD61)=1,1,IF(OR(INDEX('Lease Cycles'!$DY$11:$EE$11,1,AD61)=1,AD62&gt;0),1,1-INDEX('Lease Cycles'!$DD$11:$DJ$11,1,AD61)))),0)</f>
        <v>0</v>
      </c>
      <c r="AE70" s="24">
        <f>IF(AE63=1,IF('Lease Cycles'!$AJ$11=1,0,'Lease Cycles'!$D$11*INDEX('Lease Cycles'!$FH$11:$FN$11,1,AE61)*IF(INDEX('Lease Cycles'!$EF$11:$EL$11,1,AE61)=1,1,IF(OR(INDEX('Lease Cycles'!$DY$11:$EE$11,1,AE61)=1,AE62&gt;0),1,1-INDEX('Lease Cycles'!$DD$11:$DJ$11,1,AE61)))),0)</f>
        <v>0</v>
      </c>
      <c r="AF70" s="24">
        <f>IF(AF63=1,IF('Lease Cycles'!$AJ$11=1,0,'Lease Cycles'!$D$11*INDEX('Lease Cycles'!$FH$11:$FN$11,1,AF61)*IF(INDEX('Lease Cycles'!$EF$11:$EL$11,1,AF61)=1,1,IF(OR(INDEX('Lease Cycles'!$DY$11:$EE$11,1,AF61)=1,AF62&gt;0),1,1-INDEX('Lease Cycles'!$DD$11:$DJ$11,1,AF61)))),0)</f>
        <v>0</v>
      </c>
      <c r="AG70" s="24">
        <f>IF(AG63=1,IF('Lease Cycles'!$AJ$11=1,0,'Lease Cycles'!$D$11*INDEX('Lease Cycles'!$FH$11:$FN$11,1,AG61)*IF(INDEX('Lease Cycles'!$EF$11:$EL$11,1,AG61)=1,1,IF(OR(INDEX('Lease Cycles'!$DY$11:$EE$11,1,AG61)=1,AG62&gt;0),1,1-INDEX('Lease Cycles'!$DD$11:$DJ$11,1,AG61)))),0)</f>
        <v>0</v>
      </c>
      <c r="AH70" s="24">
        <f>IF(AH63=1,IF('Lease Cycles'!$AJ$11=1,0,'Lease Cycles'!$D$11*INDEX('Lease Cycles'!$FH$11:$FN$11,1,AH61)*IF(INDEX('Lease Cycles'!$EF$11:$EL$11,1,AH61)=1,1,IF(OR(INDEX('Lease Cycles'!$DY$11:$EE$11,1,AH61)=1,AH62&gt;0),1,1-INDEX('Lease Cycles'!$DD$11:$DJ$11,1,AH61)))),0)</f>
        <v>0</v>
      </c>
      <c r="AI70" s="24">
        <f>IF(AI63=1,IF('Lease Cycles'!$AJ$11=1,0,'Lease Cycles'!$D$11*INDEX('Lease Cycles'!$FH$11:$FN$11,1,AI61)*IF(INDEX('Lease Cycles'!$EF$11:$EL$11,1,AI61)=1,1,IF(OR(INDEX('Lease Cycles'!$DY$11:$EE$11,1,AI61)=1,AI62&gt;0),1,1-INDEX('Lease Cycles'!$DD$11:$DJ$11,1,AI61)))),0)</f>
        <v>0</v>
      </c>
      <c r="AJ70" s="24">
        <f>IF(AJ63=1,IF('Lease Cycles'!$AJ$11=1,0,'Lease Cycles'!$D$11*INDEX('Lease Cycles'!$FH$11:$FN$11,1,AJ61)*IF(INDEX('Lease Cycles'!$EF$11:$EL$11,1,AJ61)=1,1,IF(OR(INDEX('Lease Cycles'!$DY$11:$EE$11,1,AJ61)=1,AJ62&gt;0),1,1-INDEX('Lease Cycles'!$DD$11:$DJ$11,1,AJ61)))),0)</f>
        <v>0</v>
      </c>
      <c r="AK70" s="24">
        <f>IF(AK63=1,IF('Lease Cycles'!$AJ$11=1,0,'Lease Cycles'!$D$11*INDEX('Lease Cycles'!$FH$11:$FN$11,1,AK61)*IF(INDEX('Lease Cycles'!$EF$11:$EL$11,1,AK61)=1,1,IF(OR(INDEX('Lease Cycles'!$DY$11:$EE$11,1,AK61)=1,AK62&gt;0),1,1-INDEX('Lease Cycles'!$DD$11:$DJ$11,1,AK61)))),0)</f>
        <v>0</v>
      </c>
      <c r="AL70" s="24">
        <f>IF(AL63=1,IF('Lease Cycles'!$AJ$11=1,0,'Lease Cycles'!$D$11*INDEX('Lease Cycles'!$FH$11:$FN$11,1,AL61)*IF(INDEX('Lease Cycles'!$EF$11:$EL$11,1,AL61)=1,1,IF(OR(INDEX('Lease Cycles'!$DY$11:$EE$11,1,AL61)=1,AL62&gt;0),1,1-INDEX('Lease Cycles'!$DD$11:$DJ$11,1,AL61)))),0)</f>
        <v>0</v>
      </c>
      <c r="AM70" s="24">
        <f>IF(AM63=1,IF('Lease Cycles'!$AJ$11=1,0,'Lease Cycles'!$D$11*INDEX('Lease Cycles'!$FH$11:$FN$11,1,AM61)*IF(INDEX('Lease Cycles'!$EF$11:$EL$11,1,AM61)=1,1,IF(OR(INDEX('Lease Cycles'!$DY$11:$EE$11,1,AM61)=1,AM62&gt;0),1,1-INDEX('Lease Cycles'!$DD$11:$DJ$11,1,AM61)))),0)</f>
        <v>0</v>
      </c>
      <c r="AN70" s="24">
        <f>IF(AN63=1,IF('Lease Cycles'!$AJ$11=1,0,'Lease Cycles'!$D$11*INDEX('Lease Cycles'!$FH$11:$FN$11,1,AN61)*IF(INDEX('Lease Cycles'!$EF$11:$EL$11,1,AN61)=1,1,IF(OR(INDEX('Lease Cycles'!$DY$11:$EE$11,1,AN61)=1,AN62&gt;0),1,1-INDEX('Lease Cycles'!$DD$11:$DJ$11,1,AN61)))),0)</f>
        <v>0</v>
      </c>
      <c r="AO70" s="24">
        <f>IF(AO63=1,IF('Lease Cycles'!$AJ$11=1,0,'Lease Cycles'!$D$11*INDEX('Lease Cycles'!$FH$11:$FN$11,1,AO61)*IF(INDEX('Lease Cycles'!$EF$11:$EL$11,1,AO61)=1,1,IF(OR(INDEX('Lease Cycles'!$DY$11:$EE$11,1,AO61)=1,AO62&gt;0),1,1-INDEX('Lease Cycles'!$DD$11:$DJ$11,1,AO61)))),0)</f>
        <v>0</v>
      </c>
      <c r="AP70" s="24">
        <f>IF(AP63=1,IF('Lease Cycles'!$AJ$11=1,0,'Lease Cycles'!$D$11*INDEX('Lease Cycles'!$FH$11:$FN$11,1,AP61)*IF(INDEX('Lease Cycles'!$EF$11:$EL$11,1,AP61)=1,1,IF(OR(INDEX('Lease Cycles'!$DY$11:$EE$11,1,AP61)=1,AP62&gt;0),1,1-INDEX('Lease Cycles'!$DD$11:$DJ$11,1,AP61)))),0)</f>
        <v>0</v>
      </c>
      <c r="AQ70" s="24">
        <f>IF(AQ63=1,IF('Lease Cycles'!$AJ$11=1,0,'Lease Cycles'!$D$11*INDEX('Lease Cycles'!$FH$11:$FN$11,1,AQ61)*IF(INDEX('Lease Cycles'!$EF$11:$EL$11,1,AQ61)=1,1,IF(OR(INDEX('Lease Cycles'!$DY$11:$EE$11,1,AQ61)=1,AQ62&gt;0),1,1-INDEX('Lease Cycles'!$DD$11:$DJ$11,1,AQ61)))),0)</f>
        <v>0</v>
      </c>
      <c r="AR70" s="24">
        <f>IF(AR63=1,IF('Lease Cycles'!$AJ$11=1,0,'Lease Cycles'!$D$11*INDEX('Lease Cycles'!$FH$11:$FN$11,1,AR61)*IF(INDEX('Lease Cycles'!$EF$11:$EL$11,1,AR61)=1,1,IF(OR(INDEX('Lease Cycles'!$DY$11:$EE$11,1,AR61)=1,AR62&gt;0),1,1-INDEX('Lease Cycles'!$DD$11:$DJ$11,1,AR61)))),0)</f>
        <v>0</v>
      </c>
      <c r="AS70" s="24">
        <f>IF(AS63=1,IF('Lease Cycles'!$AJ$11=1,0,'Lease Cycles'!$D$11*INDEX('Lease Cycles'!$FH$11:$FN$11,1,AS61)*IF(INDEX('Lease Cycles'!$EF$11:$EL$11,1,AS61)=1,1,IF(OR(INDEX('Lease Cycles'!$DY$11:$EE$11,1,AS61)=1,AS62&gt;0),1,1-INDEX('Lease Cycles'!$DD$11:$DJ$11,1,AS61)))),0)</f>
        <v>0</v>
      </c>
      <c r="AT70" s="24">
        <f>IF(AT63=1,IF('Lease Cycles'!$AJ$11=1,0,'Lease Cycles'!$D$11*INDEX('Lease Cycles'!$FH$11:$FN$11,1,AT61)*IF(INDEX('Lease Cycles'!$EF$11:$EL$11,1,AT61)=1,1,IF(OR(INDEX('Lease Cycles'!$DY$11:$EE$11,1,AT61)=1,AT62&gt;0),1,1-INDEX('Lease Cycles'!$DD$11:$DJ$11,1,AT61)))),0)</f>
        <v>0</v>
      </c>
      <c r="AU70" s="24">
        <f>IF(AU63=1,IF('Lease Cycles'!$AJ$11=1,0,'Lease Cycles'!$D$11*INDEX('Lease Cycles'!$FH$11:$FN$11,1,AU61)*IF(INDEX('Lease Cycles'!$EF$11:$EL$11,1,AU61)=1,1,IF(OR(INDEX('Lease Cycles'!$DY$11:$EE$11,1,AU61)=1,AU62&gt;0),1,1-INDEX('Lease Cycles'!$DD$11:$DJ$11,1,AU61)))),0)</f>
        <v>0</v>
      </c>
      <c r="AV70" s="24">
        <f>IF(AV63=1,IF('Lease Cycles'!$AJ$11=1,0,'Lease Cycles'!$D$11*INDEX('Lease Cycles'!$FH$11:$FN$11,1,AV61)*IF(INDEX('Lease Cycles'!$EF$11:$EL$11,1,AV61)=1,1,IF(OR(INDEX('Lease Cycles'!$DY$11:$EE$11,1,AV61)=1,AV62&gt;0),1,1-INDEX('Lease Cycles'!$DD$11:$DJ$11,1,AV61)))),0)</f>
        <v>0</v>
      </c>
      <c r="AW70" s="24">
        <f>IF(AW63=1,IF('Lease Cycles'!$AJ$11=1,0,'Lease Cycles'!$D$11*INDEX('Lease Cycles'!$FH$11:$FN$11,1,AW61)*IF(INDEX('Lease Cycles'!$EF$11:$EL$11,1,AW61)=1,1,IF(OR(INDEX('Lease Cycles'!$DY$11:$EE$11,1,AW61)=1,AW62&gt;0),1,1-INDEX('Lease Cycles'!$DD$11:$DJ$11,1,AW61)))),0)</f>
        <v>0</v>
      </c>
      <c r="AX70" s="24">
        <f>IF(AX63=1,IF('Lease Cycles'!$AJ$11=1,0,'Lease Cycles'!$D$11*INDEX('Lease Cycles'!$FH$11:$FN$11,1,AX61)*IF(INDEX('Lease Cycles'!$EF$11:$EL$11,1,AX61)=1,1,IF(OR(INDEX('Lease Cycles'!$DY$11:$EE$11,1,AX61)=1,AX62&gt;0),1,1-INDEX('Lease Cycles'!$DD$11:$DJ$11,1,AX61)))),0)</f>
        <v>0</v>
      </c>
      <c r="AY70" s="24">
        <f>IF(AY63=1,IF('Lease Cycles'!$AJ$11=1,0,'Lease Cycles'!$D$11*INDEX('Lease Cycles'!$FH$11:$FN$11,1,AY61)*IF(INDEX('Lease Cycles'!$EF$11:$EL$11,1,AY61)=1,1,IF(OR(INDEX('Lease Cycles'!$DY$11:$EE$11,1,AY61)=1,AY62&gt;0),1,1-INDEX('Lease Cycles'!$DD$11:$DJ$11,1,AY61)))),0)</f>
        <v>0</v>
      </c>
      <c r="AZ70" s="24">
        <f>IF(AZ63=1,IF('Lease Cycles'!$AJ$11=1,0,'Lease Cycles'!$D$11*INDEX('Lease Cycles'!$FH$11:$FN$11,1,AZ61)*IF(INDEX('Lease Cycles'!$EF$11:$EL$11,1,AZ61)=1,1,IF(OR(INDEX('Lease Cycles'!$DY$11:$EE$11,1,AZ61)=1,AZ62&gt;0),1,1-INDEX('Lease Cycles'!$DD$11:$DJ$11,1,AZ61)))),0)</f>
        <v>0</v>
      </c>
      <c r="BA70" s="24">
        <f>IF(BA63=1,IF('Lease Cycles'!$AJ$11=1,0,'Lease Cycles'!$D$11*INDEX('Lease Cycles'!$FH$11:$FN$11,1,BA61)*IF(INDEX('Lease Cycles'!$EF$11:$EL$11,1,BA61)=1,1,IF(OR(INDEX('Lease Cycles'!$DY$11:$EE$11,1,BA61)=1,BA62&gt;0),1,1-INDEX('Lease Cycles'!$DD$11:$DJ$11,1,BA61)))),0)</f>
        <v>0</v>
      </c>
      <c r="BB70" s="24">
        <f>IF(BB63=1,IF('Lease Cycles'!$AJ$11=1,0,'Lease Cycles'!$D$11*INDEX('Lease Cycles'!$FH$11:$FN$11,1,BB61)*IF(INDEX('Lease Cycles'!$EF$11:$EL$11,1,BB61)=1,1,IF(OR(INDEX('Lease Cycles'!$DY$11:$EE$11,1,BB61)=1,BB62&gt;0),1,1-INDEX('Lease Cycles'!$DD$11:$DJ$11,1,BB61)))),0)</f>
        <v>0</v>
      </c>
      <c r="BC70" s="24">
        <f>IF(BC63=1,IF('Lease Cycles'!$AJ$11=1,0,'Lease Cycles'!$D$11*INDEX('Lease Cycles'!$FH$11:$FN$11,1,BC61)*IF(INDEX('Lease Cycles'!$EF$11:$EL$11,1,BC61)=1,1,IF(OR(INDEX('Lease Cycles'!$DY$11:$EE$11,1,BC61)=1,BC62&gt;0),1,1-INDEX('Lease Cycles'!$DD$11:$DJ$11,1,BC61)))),0)</f>
        <v>0</v>
      </c>
      <c r="BD70" s="24">
        <f>IF(BD63=1,IF('Lease Cycles'!$AJ$11=1,0,'Lease Cycles'!$D$11*INDEX('Lease Cycles'!$FH$11:$FN$11,1,BD61)*IF(INDEX('Lease Cycles'!$EF$11:$EL$11,1,BD61)=1,1,IF(OR(INDEX('Lease Cycles'!$DY$11:$EE$11,1,BD61)=1,BD62&gt;0),1,1-INDEX('Lease Cycles'!$DD$11:$DJ$11,1,BD61)))),0)</f>
        <v>0</v>
      </c>
      <c r="BE70" s="24">
        <f>IF(BE63=1,IF('Lease Cycles'!$AJ$11=1,0,'Lease Cycles'!$D$11*INDEX('Lease Cycles'!$FH$11:$FN$11,1,BE61)*IF(INDEX('Lease Cycles'!$EF$11:$EL$11,1,BE61)=1,1,IF(OR(INDEX('Lease Cycles'!$DY$11:$EE$11,1,BE61)=1,BE62&gt;0),1,1-INDEX('Lease Cycles'!$DD$11:$DJ$11,1,BE61)))),0)</f>
        <v>0</v>
      </c>
      <c r="BF70" s="24">
        <f>IF(BF63=1,IF('Lease Cycles'!$AJ$11=1,0,'Lease Cycles'!$D$11*INDEX('Lease Cycles'!$FH$11:$FN$11,1,BF61)*IF(INDEX('Lease Cycles'!$EF$11:$EL$11,1,BF61)=1,1,IF(OR(INDEX('Lease Cycles'!$DY$11:$EE$11,1,BF61)=1,BF62&gt;0),1,1-INDEX('Lease Cycles'!$DD$11:$DJ$11,1,BF61)))),0)</f>
        <v>0</v>
      </c>
      <c r="BG70" s="24">
        <f>IF(BG63=1,IF('Lease Cycles'!$AJ$11=1,0,'Lease Cycles'!$D$11*INDEX('Lease Cycles'!$FH$11:$FN$11,1,BG61)*IF(INDEX('Lease Cycles'!$EF$11:$EL$11,1,BG61)=1,1,IF(OR(INDEX('Lease Cycles'!$DY$11:$EE$11,1,BG61)=1,BG62&gt;0),1,1-INDEX('Lease Cycles'!$DD$11:$DJ$11,1,BG61)))),0)</f>
        <v>0</v>
      </c>
      <c r="BH70" s="24">
        <f>IF(BH63=1,IF('Lease Cycles'!$AJ$11=1,0,'Lease Cycles'!$D$11*INDEX('Lease Cycles'!$FH$11:$FN$11,1,BH61)*IF(INDEX('Lease Cycles'!$EF$11:$EL$11,1,BH61)=1,1,IF(OR(INDEX('Lease Cycles'!$DY$11:$EE$11,1,BH61)=1,BH62&gt;0),1,1-INDEX('Lease Cycles'!$DD$11:$DJ$11,1,BH61)))),0)</f>
        <v>0</v>
      </c>
      <c r="BI70" s="24">
        <f>IF(BI63=1,IF('Lease Cycles'!$AJ$11=1,0,'Lease Cycles'!$D$11*INDEX('Lease Cycles'!$FH$11:$FN$11,1,BI61)*IF(INDEX('Lease Cycles'!$EF$11:$EL$11,1,BI61)=1,1,IF(OR(INDEX('Lease Cycles'!$DY$11:$EE$11,1,BI61)=1,BI62&gt;0),1,1-INDEX('Lease Cycles'!$DD$11:$DJ$11,1,BI61)))),0)</f>
        <v>0</v>
      </c>
      <c r="BJ70" s="24">
        <f>IF(BJ63=1,IF('Lease Cycles'!$AJ$11=1,0,'Lease Cycles'!$D$11*INDEX('Lease Cycles'!$FH$11:$FN$11,1,BJ61)*IF(INDEX('Lease Cycles'!$EF$11:$EL$11,1,BJ61)=1,1,IF(OR(INDEX('Lease Cycles'!$DY$11:$EE$11,1,BJ61)=1,BJ62&gt;0),1,1-INDEX('Lease Cycles'!$DD$11:$DJ$11,1,BJ61)))),0)</f>
        <v>0</v>
      </c>
      <c r="BK70" s="24">
        <f>IF(BK63=1,IF('Lease Cycles'!$AJ$11=1,0,'Lease Cycles'!$D$11*INDEX('Lease Cycles'!$FH$11:$FN$11,1,BK61)*IF(INDEX('Lease Cycles'!$EF$11:$EL$11,1,BK61)=1,1,IF(OR(INDEX('Lease Cycles'!$DY$11:$EE$11,1,BK61)=1,BK62&gt;0),1,1-INDEX('Lease Cycles'!$DD$11:$DJ$11,1,BK61)))),0)</f>
        <v>0</v>
      </c>
      <c r="BL70" s="24">
        <f>IF(BL63=1,IF('Lease Cycles'!$AJ$11=1,0,'Lease Cycles'!$D$11*INDEX('Lease Cycles'!$FH$11:$FN$11,1,BL61)*IF(INDEX('Lease Cycles'!$EF$11:$EL$11,1,BL61)=1,1,IF(OR(INDEX('Lease Cycles'!$DY$11:$EE$11,1,BL61)=1,BL62&gt;0),1,1-INDEX('Lease Cycles'!$DD$11:$DJ$11,1,BL61)))),0)</f>
        <v>0</v>
      </c>
      <c r="BM70" s="24">
        <f>IF(BM63=1,IF('Lease Cycles'!$AJ$11=1,0,'Lease Cycles'!$D$11*INDEX('Lease Cycles'!$FH$11:$FN$11,1,BM61)*IF(INDEX('Lease Cycles'!$EF$11:$EL$11,1,BM61)=1,1,IF(OR(INDEX('Lease Cycles'!$DY$11:$EE$11,1,BM61)=1,BM62&gt;0),1,1-INDEX('Lease Cycles'!$DD$11:$DJ$11,1,BM61)))),0)</f>
        <v>0</v>
      </c>
      <c r="BN70" s="24">
        <f>IF(BN63=1,IF('Lease Cycles'!$AJ$11=1,0,'Lease Cycles'!$D$11*INDEX('Lease Cycles'!$FH$11:$FN$11,1,BN61)*IF(INDEX('Lease Cycles'!$EF$11:$EL$11,1,BN61)=1,1,IF(OR(INDEX('Lease Cycles'!$DY$11:$EE$11,1,BN61)=1,BN62&gt;0),1,1-INDEX('Lease Cycles'!$DD$11:$DJ$11,1,BN61)))),0)</f>
        <v>0</v>
      </c>
      <c r="BO70" s="24">
        <f>IF(BO63=1,IF('Lease Cycles'!$AJ$11=1,0,'Lease Cycles'!$D$11*INDEX('Lease Cycles'!$FH$11:$FN$11,1,BO61)*IF(INDEX('Lease Cycles'!$EF$11:$EL$11,1,BO61)=1,1,IF(OR(INDEX('Lease Cycles'!$DY$11:$EE$11,1,BO61)=1,BO62&gt;0),1,1-INDEX('Lease Cycles'!$DD$11:$DJ$11,1,BO61)))),0)</f>
        <v>0</v>
      </c>
      <c r="BP70" s="24">
        <f>IF(BP63=1,IF('Lease Cycles'!$AJ$11=1,0,'Lease Cycles'!$D$11*INDEX('Lease Cycles'!$FH$11:$FN$11,1,BP61)*IF(INDEX('Lease Cycles'!$EF$11:$EL$11,1,BP61)=1,1,IF(OR(INDEX('Lease Cycles'!$DY$11:$EE$11,1,BP61)=1,BP62&gt;0),1,1-INDEX('Lease Cycles'!$DD$11:$DJ$11,1,BP61)))),0)</f>
        <v>0</v>
      </c>
      <c r="BQ70" s="24">
        <f>IF(BQ63=1,IF('Lease Cycles'!$AJ$11=1,0,'Lease Cycles'!$D$11*INDEX('Lease Cycles'!$FH$11:$FN$11,1,BQ61)*IF(INDEX('Lease Cycles'!$EF$11:$EL$11,1,BQ61)=1,1,IF(OR(INDEX('Lease Cycles'!$DY$11:$EE$11,1,BQ61)=1,BQ62&gt;0),1,1-INDEX('Lease Cycles'!$DD$11:$DJ$11,1,BQ61)))),0)</f>
        <v>0</v>
      </c>
      <c r="BR70" s="24">
        <f>IF(BR63=1,IF('Lease Cycles'!$AJ$11=1,0,'Lease Cycles'!$D$11*INDEX('Lease Cycles'!$FH$11:$FN$11,1,BR61)*IF(INDEX('Lease Cycles'!$EF$11:$EL$11,1,BR61)=1,1,IF(OR(INDEX('Lease Cycles'!$DY$11:$EE$11,1,BR61)=1,BR62&gt;0),1,1-INDEX('Lease Cycles'!$DD$11:$DJ$11,1,BR61)))),0)</f>
        <v>0</v>
      </c>
      <c r="BS70" s="24">
        <f>IF(BS63=1,IF('Lease Cycles'!$AJ$11=1,0,'Lease Cycles'!$D$11*INDEX('Lease Cycles'!$FH$11:$FN$11,1,BS61)*IF(INDEX('Lease Cycles'!$EF$11:$EL$11,1,BS61)=1,1,IF(OR(INDEX('Lease Cycles'!$DY$11:$EE$11,1,BS61)=1,BS62&gt;0),1,1-INDEX('Lease Cycles'!$DD$11:$DJ$11,1,BS61)))),0)</f>
        <v>0</v>
      </c>
      <c r="BT70" s="24">
        <f>IF(BT63=1,IF('Lease Cycles'!$AJ$11=1,0,'Lease Cycles'!$D$11*INDEX('Lease Cycles'!$FH$11:$FN$11,1,BT61)*IF(INDEX('Lease Cycles'!$EF$11:$EL$11,1,BT61)=1,1,IF(OR(INDEX('Lease Cycles'!$DY$11:$EE$11,1,BT61)=1,BT62&gt;0),1,1-INDEX('Lease Cycles'!$DD$11:$DJ$11,1,BT61)))),0)</f>
        <v>0</v>
      </c>
      <c r="BU70" s="24">
        <f>IF(BU63=1,IF('Lease Cycles'!$AJ$11=1,0,'Lease Cycles'!$D$11*INDEX('Lease Cycles'!$FH$11:$FN$11,1,BU61)*IF(INDEX('Lease Cycles'!$EF$11:$EL$11,1,BU61)=1,1,IF(OR(INDEX('Lease Cycles'!$DY$11:$EE$11,1,BU61)=1,BU62&gt;0),1,1-INDEX('Lease Cycles'!$DD$11:$DJ$11,1,BU61)))),0)</f>
        <v>0</v>
      </c>
      <c r="BV70" s="24">
        <f>IF(BV63=1,IF('Lease Cycles'!$AJ$11=1,0,'Lease Cycles'!$D$11*INDEX('Lease Cycles'!$FH$11:$FN$11,1,BV61)*IF(INDEX('Lease Cycles'!$EF$11:$EL$11,1,BV61)=1,1,IF(OR(INDEX('Lease Cycles'!$DY$11:$EE$11,1,BV61)=1,BV62&gt;0),1,1-INDEX('Lease Cycles'!$DD$11:$DJ$11,1,BV61)))),0)</f>
        <v>0</v>
      </c>
      <c r="BW70" s="24">
        <f>IF(BW63=1,IF('Lease Cycles'!$AJ$11=1,0,'Lease Cycles'!$D$11*INDEX('Lease Cycles'!$FH$11:$FN$11,1,BW61)*IF(INDEX('Lease Cycles'!$EF$11:$EL$11,1,BW61)=1,1,IF(OR(INDEX('Lease Cycles'!$DY$11:$EE$11,1,BW61)=1,BW62&gt;0),1,1-INDEX('Lease Cycles'!$DD$11:$DJ$11,1,BW61)))),0)</f>
        <v>0</v>
      </c>
      <c r="BX70" s="24">
        <f>IF(BX63=1,IF('Lease Cycles'!$AJ$11=1,0,'Lease Cycles'!$D$11*INDEX('Lease Cycles'!$FH$11:$FN$11,1,BX61)*IF(INDEX('Lease Cycles'!$EF$11:$EL$11,1,BX61)=1,1,IF(OR(INDEX('Lease Cycles'!$DY$11:$EE$11,1,BX61)=1,BX62&gt;0),1,1-INDEX('Lease Cycles'!$DD$11:$DJ$11,1,BX61)))),0)</f>
        <v>0</v>
      </c>
      <c r="BY70" s="24">
        <f>IF(BY63=1,IF('Lease Cycles'!$AJ$11=1,0,'Lease Cycles'!$D$11*INDEX('Lease Cycles'!$FH$11:$FN$11,1,BY61)*IF(INDEX('Lease Cycles'!$EF$11:$EL$11,1,BY61)=1,1,IF(OR(INDEX('Lease Cycles'!$DY$11:$EE$11,1,BY61)=1,BY62&gt;0),1,1-INDEX('Lease Cycles'!$DD$11:$DJ$11,1,BY61)))),0)</f>
        <v>0</v>
      </c>
      <c r="BZ70" s="24">
        <f>IF(BZ63=1,IF('Lease Cycles'!$AJ$11=1,0,'Lease Cycles'!$D$11*INDEX('Lease Cycles'!$FH$11:$FN$11,1,BZ61)*IF(INDEX('Lease Cycles'!$EF$11:$EL$11,1,BZ61)=1,1,IF(OR(INDEX('Lease Cycles'!$DY$11:$EE$11,1,BZ61)=1,BZ62&gt;0),1,1-INDEX('Lease Cycles'!$DD$11:$DJ$11,1,BZ61)))),0)</f>
        <v>0</v>
      </c>
      <c r="CA70" s="24">
        <f>IF(CA63=1,IF('Lease Cycles'!$AJ$11=1,0,'Lease Cycles'!$D$11*INDEX('Lease Cycles'!$FH$11:$FN$11,1,CA61)*IF(INDEX('Lease Cycles'!$EF$11:$EL$11,1,CA61)=1,1,IF(OR(INDEX('Lease Cycles'!$DY$11:$EE$11,1,CA61)=1,CA62&gt;0),1,1-INDEX('Lease Cycles'!$DD$11:$DJ$11,1,CA61)))),0)</f>
        <v>0</v>
      </c>
      <c r="CB70" s="24">
        <f>IF(CB63=1,IF('Lease Cycles'!$AJ$11=1,0,'Lease Cycles'!$D$11*INDEX('Lease Cycles'!$FH$11:$FN$11,1,CB61)*IF(INDEX('Lease Cycles'!$EF$11:$EL$11,1,CB61)=1,1,IF(OR(INDEX('Lease Cycles'!$DY$11:$EE$11,1,CB61)=1,CB62&gt;0),1,1-INDEX('Lease Cycles'!$DD$11:$DJ$11,1,CB61)))),0)</f>
        <v>0</v>
      </c>
      <c r="CC70" s="24">
        <f>IF(CC63=1,IF('Lease Cycles'!$AJ$11=1,0,'Lease Cycles'!$D$11*INDEX('Lease Cycles'!$FH$11:$FN$11,1,CC61)*IF(INDEX('Lease Cycles'!$EF$11:$EL$11,1,CC61)=1,1,IF(OR(INDEX('Lease Cycles'!$DY$11:$EE$11,1,CC61)=1,CC62&gt;0),1,1-INDEX('Lease Cycles'!$DD$11:$DJ$11,1,CC61)))),0)</f>
        <v>0</v>
      </c>
      <c r="CD70" s="24">
        <f>IF(CD63=1,IF('Lease Cycles'!$AJ$11=1,0,'Lease Cycles'!$D$11*INDEX('Lease Cycles'!$FH$11:$FN$11,1,CD61)*IF(INDEX('Lease Cycles'!$EF$11:$EL$11,1,CD61)=1,1,IF(OR(INDEX('Lease Cycles'!$DY$11:$EE$11,1,CD61)=1,CD62&gt;0),1,1-INDEX('Lease Cycles'!$DD$11:$DJ$11,1,CD61)))),0)</f>
        <v>0</v>
      </c>
      <c r="CE70" s="24">
        <f>IF(CE63=1,IF('Lease Cycles'!$AJ$11=1,0,'Lease Cycles'!$D$11*INDEX('Lease Cycles'!$FH$11:$FN$11,1,CE61)*IF(INDEX('Lease Cycles'!$EF$11:$EL$11,1,CE61)=1,1,IF(OR(INDEX('Lease Cycles'!$DY$11:$EE$11,1,CE61)=1,CE62&gt;0),1,1-INDEX('Lease Cycles'!$DD$11:$DJ$11,1,CE61)))),0)</f>
        <v>0</v>
      </c>
      <c r="CF70" s="24">
        <f>IF(CF63=1,IF('Lease Cycles'!$AJ$11=1,0,'Lease Cycles'!$D$11*INDEX('Lease Cycles'!$FH$11:$FN$11,1,CF61)*IF(INDEX('Lease Cycles'!$EF$11:$EL$11,1,CF61)=1,1,IF(OR(INDEX('Lease Cycles'!$DY$11:$EE$11,1,CF61)=1,CF62&gt;0),1,1-INDEX('Lease Cycles'!$DD$11:$DJ$11,1,CF61)))),0)</f>
        <v>0</v>
      </c>
      <c r="CG70" s="24">
        <f>IF(CG63=1,IF('Lease Cycles'!$AJ$11=1,0,'Lease Cycles'!$D$11*INDEX('Lease Cycles'!$FH$11:$FN$11,1,CG61)*IF(INDEX('Lease Cycles'!$EF$11:$EL$11,1,CG61)=1,1,IF(OR(INDEX('Lease Cycles'!$DY$11:$EE$11,1,CG61)=1,CG62&gt;0),1,1-INDEX('Lease Cycles'!$DD$11:$DJ$11,1,CG61)))),0)</f>
        <v>0</v>
      </c>
      <c r="CH70" s="24">
        <f>IF(CH63=1,IF('Lease Cycles'!$AJ$11=1,0,'Lease Cycles'!$D$11*INDEX('Lease Cycles'!$FH$11:$FN$11,1,CH61)*IF(INDEX('Lease Cycles'!$EF$11:$EL$11,1,CH61)=1,1,IF(OR(INDEX('Lease Cycles'!$DY$11:$EE$11,1,CH61)=1,CH62&gt;0),1,1-INDEX('Lease Cycles'!$DD$11:$DJ$11,1,CH61)))),0)</f>
        <v>0</v>
      </c>
      <c r="CI70" s="24">
        <f>IF(CI63=1,IF('Lease Cycles'!$AJ$11=1,0,'Lease Cycles'!$D$11*INDEX('Lease Cycles'!$FH$11:$FN$11,1,CI61)*IF(INDEX('Lease Cycles'!$EF$11:$EL$11,1,CI61)=1,1,IF(OR(INDEX('Lease Cycles'!$DY$11:$EE$11,1,CI61)=1,CI62&gt;0),1,1-INDEX('Lease Cycles'!$DD$11:$DJ$11,1,CI61)))),0)</f>
        <v>0</v>
      </c>
      <c r="CJ70" s="24">
        <f>IF(CJ63=1,IF('Lease Cycles'!$AJ$11=1,0,'Lease Cycles'!$D$11*INDEX('Lease Cycles'!$FH$11:$FN$11,1,CJ61)*IF(INDEX('Lease Cycles'!$EF$11:$EL$11,1,CJ61)=1,1,IF(OR(INDEX('Lease Cycles'!$DY$11:$EE$11,1,CJ61)=1,CJ62&gt;0),1,1-INDEX('Lease Cycles'!$DD$11:$DJ$11,1,CJ61)))),0)</f>
        <v>0</v>
      </c>
      <c r="CK70" s="24">
        <f>IF(CK63=1,IF('Lease Cycles'!$AJ$11=1,0,'Lease Cycles'!$D$11*INDEX('Lease Cycles'!$FH$11:$FN$11,1,CK61)*IF(INDEX('Lease Cycles'!$EF$11:$EL$11,1,CK61)=1,1,IF(OR(INDEX('Lease Cycles'!$DY$11:$EE$11,1,CK61)=1,CK62&gt;0),1,1-INDEX('Lease Cycles'!$DD$11:$DJ$11,1,CK61)))),0)</f>
        <v>0</v>
      </c>
      <c r="CL70" s="24">
        <f>IF(CL63=1,IF('Lease Cycles'!$AJ$11=1,0,'Lease Cycles'!$D$11*INDEX('Lease Cycles'!$FH$11:$FN$11,1,CL61)*IF(INDEX('Lease Cycles'!$EF$11:$EL$11,1,CL61)=1,1,IF(OR(INDEX('Lease Cycles'!$DY$11:$EE$11,1,CL61)=1,CL62&gt;0),1,1-INDEX('Lease Cycles'!$DD$11:$DJ$11,1,CL61)))),0)</f>
        <v>0</v>
      </c>
      <c r="CM70" s="24">
        <f>IF(CM63=1,IF('Lease Cycles'!$AJ$11=1,0,'Lease Cycles'!$D$11*INDEX('Lease Cycles'!$FH$11:$FN$11,1,CM61)*IF(INDEX('Lease Cycles'!$EF$11:$EL$11,1,CM61)=1,1,IF(OR(INDEX('Lease Cycles'!$DY$11:$EE$11,1,CM61)=1,CM62&gt;0),1,1-INDEX('Lease Cycles'!$DD$11:$DJ$11,1,CM61)))),0)</f>
        <v>0</v>
      </c>
      <c r="CN70" s="24">
        <f>IF(CN63=1,IF('Lease Cycles'!$AJ$11=1,0,'Lease Cycles'!$D$11*INDEX('Lease Cycles'!$FH$11:$FN$11,1,CN61)*IF(INDEX('Lease Cycles'!$EF$11:$EL$11,1,CN61)=1,1,IF(OR(INDEX('Lease Cycles'!$DY$11:$EE$11,1,CN61)=1,CN62&gt;0),1,1-INDEX('Lease Cycles'!$DD$11:$DJ$11,1,CN61)))),0)</f>
        <v>0</v>
      </c>
      <c r="CO70" s="24">
        <f>IF(CO63=1,IF('Lease Cycles'!$AJ$11=1,0,'Lease Cycles'!$D$11*INDEX('Lease Cycles'!$FH$11:$FN$11,1,CO61)*IF(INDEX('Lease Cycles'!$EF$11:$EL$11,1,CO61)=1,1,IF(OR(INDEX('Lease Cycles'!$DY$11:$EE$11,1,CO61)=1,CO62&gt;0),1,1-INDEX('Lease Cycles'!$DD$11:$DJ$11,1,CO61)))),0)</f>
        <v>0</v>
      </c>
      <c r="CP70" s="24">
        <f>IF(CP63=1,IF('Lease Cycles'!$AJ$11=1,0,'Lease Cycles'!$D$11*INDEX('Lease Cycles'!$FH$11:$FN$11,1,CP61)*IF(INDEX('Lease Cycles'!$EF$11:$EL$11,1,CP61)=1,1,IF(OR(INDEX('Lease Cycles'!$DY$11:$EE$11,1,CP61)=1,CP62&gt;0),1,1-INDEX('Lease Cycles'!$DD$11:$DJ$11,1,CP61)))),0)</f>
        <v>0</v>
      </c>
      <c r="CQ70" s="24">
        <f>IF(CQ63=1,IF('Lease Cycles'!$AJ$11=1,0,'Lease Cycles'!$D$11*INDEX('Lease Cycles'!$FH$11:$FN$11,1,CQ61)*IF(INDEX('Lease Cycles'!$EF$11:$EL$11,1,CQ61)=1,1,IF(OR(INDEX('Lease Cycles'!$DY$11:$EE$11,1,CQ61)=1,CQ62&gt;0),1,1-INDEX('Lease Cycles'!$DD$11:$DJ$11,1,CQ61)))),0)</f>
        <v>0</v>
      </c>
      <c r="CR70" s="24">
        <f>IF(CR63=1,IF('Lease Cycles'!$AJ$11=1,0,'Lease Cycles'!$D$11*INDEX('Lease Cycles'!$FH$11:$FN$11,1,CR61)*IF(INDEX('Lease Cycles'!$EF$11:$EL$11,1,CR61)=1,1,IF(OR(INDEX('Lease Cycles'!$DY$11:$EE$11,1,CR61)=1,CR62&gt;0),1,1-INDEX('Lease Cycles'!$DD$11:$DJ$11,1,CR61)))),0)</f>
        <v>0</v>
      </c>
      <c r="CS70" s="24">
        <f>IF(CS63=1,IF('Lease Cycles'!$AJ$11=1,0,'Lease Cycles'!$D$11*INDEX('Lease Cycles'!$FH$11:$FN$11,1,CS61)*IF(INDEX('Lease Cycles'!$EF$11:$EL$11,1,CS61)=1,1,IF(OR(INDEX('Lease Cycles'!$DY$11:$EE$11,1,CS61)=1,CS62&gt;0),1,1-INDEX('Lease Cycles'!$DD$11:$DJ$11,1,CS61)))),0)</f>
        <v>0</v>
      </c>
      <c r="CT70" s="24">
        <f>IF(CT63=1,IF('Lease Cycles'!$AJ$11=1,0,'Lease Cycles'!$D$11*INDEX('Lease Cycles'!$FH$11:$FN$11,1,CT61)*IF(INDEX('Lease Cycles'!$EF$11:$EL$11,1,CT61)=1,1,IF(OR(INDEX('Lease Cycles'!$DY$11:$EE$11,1,CT61)=1,CT62&gt;0),1,1-INDEX('Lease Cycles'!$DD$11:$DJ$11,1,CT61)))),0)</f>
        <v>0</v>
      </c>
      <c r="CU70" s="24">
        <f>IF(CU63=1,IF('Lease Cycles'!$AJ$11=1,0,'Lease Cycles'!$D$11*INDEX('Lease Cycles'!$FH$11:$FN$11,1,CU61)*IF(INDEX('Lease Cycles'!$EF$11:$EL$11,1,CU61)=1,1,IF(OR(INDEX('Lease Cycles'!$DY$11:$EE$11,1,CU61)=1,CU62&gt;0),1,1-INDEX('Lease Cycles'!$DD$11:$DJ$11,1,CU61)))),0)</f>
        <v>0</v>
      </c>
      <c r="CV70" s="24">
        <f>IF(CV63=1,IF('Lease Cycles'!$AJ$11=1,0,'Lease Cycles'!$D$11*INDEX('Lease Cycles'!$FH$11:$FN$11,1,CV61)*IF(INDEX('Lease Cycles'!$EF$11:$EL$11,1,CV61)=1,1,IF(OR(INDEX('Lease Cycles'!$DY$11:$EE$11,1,CV61)=1,CV62&gt;0),1,1-INDEX('Lease Cycles'!$DD$11:$DJ$11,1,CV61)))),0)</f>
        <v>0</v>
      </c>
      <c r="CW70" s="24">
        <f>IF(CW63=1,IF('Lease Cycles'!$AJ$11=1,0,'Lease Cycles'!$D$11*INDEX('Lease Cycles'!$FH$11:$FN$11,1,CW61)*IF(INDEX('Lease Cycles'!$EF$11:$EL$11,1,CW61)=1,1,IF(OR(INDEX('Lease Cycles'!$DY$11:$EE$11,1,CW61)=1,CW62&gt;0),1,1-INDEX('Lease Cycles'!$DD$11:$DJ$11,1,CW61)))),0)</f>
        <v>0</v>
      </c>
      <c r="CX70" s="24">
        <f>IF(CX63=1,IF('Lease Cycles'!$AJ$11=1,0,'Lease Cycles'!$D$11*INDEX('Lease Cycles'!$FH$11:$FN$11,1,CX61)*IF(INDEX('Lease Cycles'!$EF$11:$EL$11,1,CX61)=1,1,IF(OR(INDEX('Lease Cycles'!$DY$11:$EE$11,1,CX61)=1,CX62&gt;0),1,1-INDEX('Lease Cycles'!$DD$11:$DJ$11,1,CX61)))),0)</f>
        <v>0</v>
      </c>
      <c r="CY70" s="24">
        <f>IF(CY63=1,IF('Lease Cycles'!$AJ$11=1,0,'Lease Cycles'!$D$11*INDEX('Lease Cycles'!$FH$11:$FN$11,1,CY61)*IF(INDEX('Lease Cycles'!$EF$11:$EL$11,1,CY61)=1,1,IF(OR(INDEX('Lease Cycles'!$DY$11:$EE$11,1,CY61)=1,CY62&gt;0),1,1-INDEX('Lease Cycles'!$DD$11:$DJ$11,1,CY61)))),0)</f>
        <v>0</v>
      </c>
      <c r="CZ70" s="24">
        <f>IF(CZ63=1,IF('Lease Cycles'!$AJ$11=1,0,'Lease Cycles'!$D$11*INDEX('Lease Cycles'!$FH$11:$FN$11,1,CZ61)*IF(INDEX('Lease Cycles'!$EF$11:$EL$11,1,CZ61)=1,1,IF(OR(INDEX('Lease Cycles'!$DY$11:$EE$11,1,CZ61)=1,CZ62&gt;0),1,1-INDEX('Lease Cycles'!$DD$11:$DJ$11,1,CZ61)))),0)</f>
        <v>0</v>
      </c>
      <c r="DA70" s="24">
        <f>IF(DA63=1,IF('Lease Cycles'!$AJ$11=1,0,'Lease Cycles'!$D$11*INDEX('Lease Cycles'!$FH$11:$FN$11,1,DA61)*IF(INDEX('Lease Cycles'!$EF$11:$EL$11,1,DA61)=1,1,IF(OR(INDEX('Lease Cycles'!$DY$11:$EE$11,1,DA61)=1,DA62&gt;0),1,1-INDEX('Lease Cycles'!$DD$11:$DJ$11,1,DA61)))),0)</f>
        <v>0</v>
      </c>
      <c r="DB70" s="24">
        <f>IF(DB63=1,IF('Lease Cycles'!$AJ$11=1,0,'Lease Cycles'!$D$11*INDEX('Lease Cycles'!$FH$11:$FN$11,1,DB61)*IF(INDEX('Lease Cycles'!$EF$11:$EL$11,1,DB61)=1,1,IF(OR(INDEX('Lease Cycles'!$DY$11:$EE$11,1,DB61)=1,DB62&gt;0),1,1-INDEX('Lease Cycles'!$DD$11:$DJ$11,1,DB61)))),0)</f>
        <v>0</v>
      </c>
      <c r="DC70" s="24">
        <f>IF(DC63=1,IF('Lease Cycles'!$AJ$11=1,0,'Lease Cycles'!$D$11*INDEX('Lease Cycles'!$FH$11:$FN$11,1,DC61)*IF(INDEX('Lease Cycles'!$EF$11:$EL$11,1,DC61)=1,1,IF(OR(INDEX('Lease Cycles'!$DY$11:$EE$11,1,DC61)=1,DC62&gt;0),1,1-INDEX('Lease Cycles'!$DD$11:$DJ$11,1,DC61)))),0)</f>
        <v>0</v>
      </c>
      <c r="DD70" s="24">
        <f>IF(DD63=1,IF('Lease Cycles'!$AJ$11=1,0,'Lease Cycles'!$D$11*INDEX('Lease Cycles'!$FH$11:$FN$11,1,DD61)*IF(INDEX('Lease Cycles'!$EF$11:$EL$11,1,DD61)=1,1,IF(OR(INDEX('Lease Cycles'!$DY$11:$EE$11,1,DD61)=1,DD62&gt;0),1,1-INDEX('Lease Cycles'!$DD$11:$DJ$11,1,DD61)))),0)</f>
        <v>0</v>
      </c>
      <c r="DE70" s="24">
        <f>IF(DE63=1,IF('Lease Cycles'!$AJ$11=1,0,'Lease Cycles'!$D$11*INDEX('Lease Cycles'!$FH$11:$FN$11,1,DE61)*IF(INDEX('Lease Cycles'!$EF$11:$EL$11,1,DE61)=1,1,IF(OR(INDEX('Lease Cycles'!$DY$11:$EE$11,1,DE61)=1,DE62&gt;0),1,1-INDEX('Lease Cycles'!$DD$11:$DJ$11,1,DE61)))),0)</f>
        <v>0</v>
      </c>
      <c r="DF70" s="24">
        <f>IF(DF63=1,IF('Lease Cycles'!$AJ$11=1,0,'Lease Cycles'!$D$11*INDEX('Lease Cycles'!$FH$11:$FN$11,1,DF61)*IF(INDEX('Lease Cycles'!$EF$11:$EL$11,1,DF61)=1,1,IF(OR(INDEX('Lease Cycles'!$DY$11:$EE$11,1,DF61)=1,DF62&gt;0),1,1-INDEX('Lease Cycles'!$DD$11:$DJ$11,1,DF61)))),0)</f>
        <v>0</v>
      </c>
      <c r="DG70" s="24">
        <f>IF(DG63=1,IF('Lease Cycles'!$AJ$11=1,0,'Lease Cycles'!$D$11*INDEX('Lease Cycles'!$FH$11:$FN$11,1,DG61)*IF(INDEX('Lease Cycles'!$EF$11:$EL$11,1,DG61)=1,1,IF(OR(INDEX('Lease Cycles'!$DY$11:$EE$11,1,DG61)=1,DG62&gt;0),1,1-INDEX('Lease Cycles'!$DD$11:$DJ$11,1,DG61)))),0)</f>
        <v>0</v>
      </c>
      <c r="DH70" s="24">
        <f>IF(DH63=1,IF('Lease Cycles'!$AJ$11=1,0,'Lease Cycles'!$D$11*INDEX('Lease Cycles'!$FH$11:$FN$11,1,DH61)*IF(INDEX('Lease Cycles'!$EF$11:$EL$11,1,DH61)=1,1,IF(OR(INDEX('Lease Cycles'!$DY$11:$EE$11,1,DH61)=1,DH62&gt;0),1,1-INDEX('Lease Cycles'!$DD$11:$DJ$11,1,DH61)))),0)</f>
        <v>0</v>
      </c>
      <c r="DI70" s="24">
        <f>IF(DI63=1,IF('Lease Cycles'!$AJ$11=1,0,'Lease Cycles'!$D$11*INDEX('Lease Cycles'!$FH$11:$FN$11,1,DI61)*IF(INDEX('Lease Cycles'!$EF$11:$EL$11,1,DI61)=1,1,IF(OR(INDEX('Lease Cycles'!$DY$11:$EE$11,1,DI61)=1,DI62&gt;0),1,1-INDEX('Lease Cycles'!$DD$11:$DJ$11,1,DI61)))),0)</f>
        <v>0</v>
      </c>
      <c r="DJ70" s="24">
        <f>IF(DJ63=1,IF('Lease Cycles'!$AJ$11=1,0,'Lease Cycles'!$D$11*INDEX('Lease Cycles'!$FH$11:$FN$11,1,DJ61)*IF(INDEX('Lease Cycles'!$EF$11:$EL$11,1,DJ61)=1,1,IF(OR(INDEX('Lease Cycles'!$DY$11:$EE$11,1,DJ61)=1,DJ62&gt;0),1,1-INDEX('Lease Cycles'!$DD$11:$DJ$11,1,DJ61)))),0)</f>
        <v>0</v>
      </c>
      <c r="DK70" s="24">
        <f>IF(DK63=1,IF('Lease Cycles'!$AJ$11=1,0,'Lease Cycles'!$D$11*INDEX('Lease Cycles'!$FH$11:$FN$11,1,DK61)*IF(INDEX('Lease Cycles'!$EF$11:$EL$11,1,DK61)=1,1,IF(OR(INDEX('Lease Cycles'!$DY$11:$EE$11,1,DK61)=1,DK62&gt;0),1,1-INDEX('Lease Cycles'!$DD$11:$DJ$11,1,DK61)))),0)</f>
        <v>0</v>
      </c>
      <c r="DL70" s="24">
        <f>IF(DL63=1,IF('Lease Cycles'!$AJ$11=1,0,'Lease Cycles'!$D$11*INDEX('Lease Cycles'!$FH$11:$FN$11,1,DL61)*IF(INDEX('Lease Cycles'!$EF$11:$EL$11,1,DL61)=1,1,IF(OR(INDEX('Lease Cycles'!$DY$11:$EE$11,1,DL61)=1,DL62&gt;0),1,1-INDEX('Lease Cycles'!$DD$11:$DJ$11,1,DL61)))),0)</f>
        <v>0</v>
      </c>
      <c r="DM70" s="24">
        <f>IF(DM63=1,IF('Lease Cycles'!$AJ$11=1,0,'Lease Cycles'!$D$11*INDEX('Lease Cycles'!$FH$11:$FN$11,1,DM61)*IF(INDEX('Lease Cycles'!$EF$11:$EL$11,1,DM61)=1,1,IF(OR(INDEX('Lease Cycles'!$DY$11:$EE$11,1,DM61)=1,DM62&gt;0),1,1-INDEX('Lease Cycles'!$DD$11:$DJ$11,1,DM61)))),0)</f>
        <v>0</v>
      </c>
      <c r="DN70" s="24">
        <f>IF(DN63=1,IF('Lease Cycles'!$AJ$11=1,0,'Lease Cycles'!$D$11*INDEX('Lease Cycles'!$FH$11:$FN$11,1,DN61)*IF(INDEX('Lease Cycles'!$EF$11:$EL$11,1,DN61)=1,1,IF(OR(INDEX('Lease Cycles'!$DY$11:$EE$11,1,DN61)=1,DN62&gt;0),1,1-INDEX('Lease Cycles'!$DD$11:$DJ$11,1,DN61)))),0)</f>
        <v>0</v>
      </c>
      <c r="DO70" s="24">
        <f>IF(DO63=1,IF('Lease Cycles'!$AJ$11=1,0,'Lease Cycles'!$D$11*INDEX('Lease Cycles'!$FH$11:$FN$11,1,DO61)*IF(INDEX('Lease Cycles'!$EF$11:$EL$11,1,DO61)=1,1,IF(OR(INDEX('Lease Cycles'!$DY$11:$EE$11,1,DO61)=1,DO62&gt;0),1,1-INDEX('Lease Cycles'!$DD$11:$DJ$11,1,DO61)))),0)</f>
        <v>0</v>
      </c>
      <c r="DP70" s="24">
        <f>IF(DP63=1,IF('Lease Cycles'!$AJ$11=1,0,'Lease Cycles'!$D$11*INDEX('Lease Cycles'!$FH$11:$FN$11,1,DP61)*IF(INDEX('Lease Cycles'!$EF$11:$EL$11,1,DP61)=1,1,IF(OR(INDEX('Lease Cycles'!$DY$11:$EE$11,1,DP61)=1,DP62&gt;0),1,1-INDEX('Lease Cycles'!$DD$11:$DJ$11,1,DP61)))),0)</f>
        <v>0</v>
      </c>
      <c r="DQ70" s="24">
        <f>IF(DQ63=1,IF('Lease Cycles'!$AJ$11=1,0,'Lease Cycles'!$D$11*INDEX('Lease Cycles'!$FH$11:$FN$11,1,DQ61)*IF(INDEX('Lease Cycles'!$EF$11:$EL$11,1,DQ61)=1,1,IF(OR(INDEX('Lease Cycles'!$DY$11:$EE$11,1,DQ61)=1,DQ62&gt;0),1,1-INDEX('Lease Cycles'!$DD$11:$DJ$11,1,DQ61)))),0)</f>
        <v>0</v>
      </c>
      <c r="DR70" s="24">
        <f>IF(DR63=1,IF('Lease Cycles'!$AJ$11=1,0,'Lease Cycles'!$D$11*INDEX('Lease Cycles'!$FH$11:$FN$11,1,DR61)*IF(INDEX('Lease Cycles'!$EF$11:$EL$11,1,DR61)=1,1,IF(OR(INDEX('Lease Cycles'!$DY$11:$EE$11,1,DR61)=1,DR62&gt;0),1,1-INDEX('Lease Cycles'!$DD$11:$DJ$11,1,DR61)))),0)</f>
        <v>0</v>
      </c>
      <c r="DS70" s="24">
        <f>IF(DS63=1,IF('Lease Cycles'!$AJ$11=1,0,'Lease Cycles'!$D$11*INDEX('Lease Cycles'!$FH$11:$FN$11,1,DS61)*IF(INDEX('Lease Cycles'!$EF$11:$EL$11,1,DS61)=1,1,IF(OR(INDEX('Lease Cycles'!$DY$11:$EE$11,1,DS61)=1,DS62&gt;0),1,1-INDEX('Lease Cycles'!$DD$11:$DJ$11,1,DS61)))),0)</f>
        <v>0</v>
      </c>
      <c r="DT70" s="24">
        <f>IF(DT63=1,IF('Lease Cycles'!$AJ$11=1,0,'Lease Cycles'!$D$11*INDEX('Lease Cycles'!$FH$11:$FN$11,1,DT61)*IF(INDEX('Lease Cycles'!$EF$11:$EL$11,1,DT61)=1,1,IF(OR(INDEX('Lease Cycles'!$DY$11:$EE$11,1,DT61)=1,DT62&gt;0),1,1-INDEX('Lease Cycles'!$DD$11:$DJ$11,1,DT61)))),0)</f>
        <v>0</v>
      </c>
      <c r="DU70" s="24">
        <f>IF(DU63=1,IF('Lease Cycles'!$AJ$11=1,0,'Lease Cycles'!$D$11*INDEX('Lease Cycles'!$FH$11:$FN$11,1,DU61)*IF(INDEX('Lease Cycles'!$EF$11:$EL$11,1,DU61)=1,1,IF(OR(INDEX('Lease Cycles'!$DY$11:$EE$11,1,DU61)=1,DU62&gt;0),1,1-INDEX('Lease Cycles'!$DD$11:$DJ$11,1,DU61)))),0)</f>
        <v>0</v>
      </c>
      <c r="DV70" s="24">
        <f>IF(DV63=1,IF('Lease Cycles'!$AJ$11=1,0,'Lease Cycles'!$D$11*INDEX('Lease Cycles'!$FH$11:$FN$11,1,DV61)*IF(INDEX('Lease Cycles'!$EF$11:$EL$11,1,DV61)=1,1,IF(OR(INDEX('Lease Cycles'!$DY$11:$EE$11,1,DV61)=1,DV62&gt;0),1,1-INDEX('Lease Cycles'!$DD$11:$DJ$11,1,DV61)))),0)</f>
        <v>0</v>
      </c>
      <c r="DW70" s="24">
        <f>IF(DW63=1,IF('Lease Cycles'!$AJ$11=1,0,'Lease Cycles'!$D$11*INDEX('Lease Cycles'!$FH$11:$FN$11,1,DW61)*IF(INDEX('Lease Cycles'!$EF$11:$EL$11,1,DW61)=1,1,IF(OR(INDEX('Lease Cycles'!$DY$11:$EE$11,1,DW61)=1,DW62&gt;0),1,1-INDEX('Lease Cycles'!$DD$11:$DJ$11,1,DW61)))),0)</f>
        <v>0</v>
      </c>
      <c r="DX70" s="24">
        <f>IF(DX63=1,IF('Lease Cycles'!$AJ$11=1,0,'Lease Cycles'!$D$11*INDEX('Lease Cycles'!$FH$11:$FN$11,1,DX61)*IF(INDEX('Lease Cycles'!$EF$11:$EL$11,1,DX61)=1,1,IF(OR(INDEX('Lease Cycles'!$DY$11:$EE$11,1,DX61)=1,DX62&gt;0),1,1-INDEX('Lease Cycles'!$DD$11:$DJ$11,1,DX61)))),0)</f>
        <v>0</v>
      </c>
      <c r="DY70" s="24">
        <f>IF(DY63=1,IF('Lease Cycles'!$AJ$11=1,0,'Lease Cycles'!$D$11*INDEX('Lease Cycles'!$FH$11:$FN$11,1,DY61)*IF(INDEX('Lease Cycles'!$EF$11:$EL$11,1,DY61)=1,1,IF(OR(INDEX('Lease Cycles'!$DY$11:$EE$11,1,DY61)=1,DY62&gt;0),1,1-INDEX('Lease Cycles'!$DD$11:$DJ$11,1,DY61)))),0)</f>
        <v>0</v>
      </c>
      <c r="DZ70" s="24">
        <f>IF(DZ63=1,IF('Lease Cycles'!$AJ$11=1,0,'Lease Cycles'!$D$11*INDEX('Lease Cycles'!$FH$11:$FN$11,1,DZ61)*IF(INDEX('Lease Cycles'!$EF$11:$EL$11,1,DZ61)=1,1,IF(OR(INDEX('Lease Cycles'!$DY$11:$EE$11,1,DZ61)=1,DZ62&gt;0),1,1-INDEX('Lease Cycles'!$DD$11:$DJ$11,1,DZ61)))),0)</f>
        <v>0</v>
      </c>
      <c r="EA70" s="24">
        <f>IF(EA63=1,IF('Lease Cycles'!$AJ$11=1,0,'Lease Cycles'!$D$11*INDEX('Lease Cycles'!$FH$11:$FN$11,1,EA61)*IF(INDEX('Lease Cycles'!$EF$11:$EL$11,1,EA61)=1,1,IF(OR(INDEX('Lease Cycles'!$DY$11:$EE$11,1,EA61)=1,EA62&gt;0),1,1-INDEX('Lease Cycles'!$DD$11:$DJ$11,1,EA61)))),0)</f>
        <v>0</v>
      </c>
      <c r="EB70" s="24">
        <f>IF(EB63=1,IF('Lease Cycles'!$AJ$11=1,0,'Lease Cycles'!$D$11*INDEX('Lease Cycles'!$FH$11:$FN$11,1,EB61)*IF(INDEX('Lease Cycles'!$EF$11:$EL$11,1,EB61)=1,1,IF(OR(INDEX('Lease Cycles'!$DY$11:$EE$11,1,EB61)=1,EB62&gt;0),1,1-INDEX('Lease Cycles'!$DD$11:$DJ$11,1,EB61)))),0)</f>
        <v>0</v>
      </c>
      <c r="EC70" s="24">
        <f>IF(EC63=1,IF('Lease Cycles'!$AJ$11=1,0,'Lease Cycles'!$D$11*INDEX('Lease Cycles'!$FH$11:$FN$11,1,EC61)*IF(INDEX('Lease Cycles'!$EF$11:$EL$11,1,EC61)=1,1,IF(OR(INDEX('Lease Cycles'!$DY$11:$EE$11,1,EC61)=1,EC62&gt;0),1,1-INDEX('Lease Cycles'!$DD$11:$DJ$11,1,EC61)))),0)</f>
        <v>0</v>
      </c>
      <c r="ED70" s="24">
        <f>IF(ED63=1,IF('Lease Cycles'!$AJ$11=1,0,'Lease Cycles'!$D$11*INDEX('Lease Cycles'!$FH$11:$FN$11,1,ED61)*IF(INDEX('Lease Cycles'!$EF$11:$EL$11,1,ED61)=1,1,IF(OR(INDEX('Lease Cycles'!$DY$11:$EE$11,1,ED61)=1,ED62&gt;0),1,1-INDEX('Lease Cycles'!$DD$11:$DJ$11,1,ED61)))),0)</f>
        <v>0</v>
      </c>
      <c r="EE70" s="24">
        <f>IF(EE63=1,IF('Lease Cycles'!$AJ$11=1,0,'Lease Cycles'!$D$11*INDEX('Lease Cycles'!$FH$11:$FN$11,1,EE61)*IF(INDEX('Lease Cycles'!$EF$11:$EL$11,1,EE61)=1,1,IF(OR(INDEX('Lease Cycles'!$DY$11:$EE$11,1,EE61)=1,EE62&gt;0),1,1-INDEX('Lease Cycles'!$DD$11:$DJ$11,1,EE61)))),0)</f>
        <v>0</v>
      </c>
      <c r="EF70" s="24">
        <f>IF(EF63=1,IF('Lease Cycles'!$AJ$11=1,0,'Lease Cycles'!$D$11*INDEX('Lease Cycles'!$FH$11:$FN$11,1,EF61)*IF(INDEX('Lease Cycles'!$EF$11:$EL$11,1,EF61)=1,1,IF(OR(INDEX('Lease Cycles'!$DY$11:$EE$11,1,EF61)=1,EF62&gt;0),1,1-INDEX('Lease Cycles'!$DD$11:$DJ$11,1,EF61)))),0)</f>
        <v>0</v>
      </c>
      <c r="EG70" s="24">
        <f>IF(EG63=1,IF('Lease Cycles'!$AJ$11=1,0,'Lease Cycles'!$D$11*INDEX('Lease Cycles'!$FH$11:$FN$11,1,EG61)*IF(INDEX('Lease Cycles'!$EF$11:$EL$11,1,EG61)=1,1,IF(OR(INDEX('Lease Cycles'!$DY$11:$EE$11,1,EG61)=1,EG62&gt;0),1,1-INDEX('Lease Cycles'!$DD$11:$DJ$11,1,EG61)))),0)</f>
        <v>0</v>
      </c>
      <c r="EH70" s="24">
        <f>IF(EH63=1,IF('Lease Cycles'!$AJ$11=1,0,'Lease Cycles'!$D$11*INDEX('Lease Cycles'!$FH$11:$FN$11,1,EH61)*IF(INDEX('Lease Cycles'!$EF$11:$EL$11,1,EH61)=1,1,IF(OR(INDEX('Lease Cycles'!$DY$11:$EE$11,1,EH61)=1,EH62&gt;0),1,1-INDEX('Lease Cycles'!$DD$11:$DJ$11,1,EH61)))),0)</f>
        <v>0</v>
      </c>
      <c r="EI70" s="24">
        <f>IF(EI63=1,IF('Lease Cycles'!$AJ$11=1,0,'Lease Cycles'!$D$11*INDEX('Lease Cycles'!$FH$11:$FN$11,1,EI61)*IF(INDEX('Lease Cycles'!$EF$11:$EL$11,1,EI61)=1,1,IF(OR(INDEX('Lease Cycles'!$DY$11:$EE$11,1,EI61)=1,EI62&gt;0),1,1-INDEX('Lease Cycles'!$DD$11:$DJ$11,1,EI61)))),0)</f>
        <v>0</v>
      </c>
      <c r="EJ70" s="24">
        <f>IF(EJ63=1,IF('Lease Cycles'!$AJ$11=1,0,'Lease Cycles'!$D$11*INDEX('Lease Cycles'!$FH$11:$FN$11,1,EJ61)*IF(INDEX('Lease Cycles'!$EF$11:$EL$11,1,EJ61)=1,1,IF(OR(INDEX('Lease Cycles'!$DY$11:$EE$11,1,EJ61)=1,EJ62&gt;0),1,1-INDEX('Lease Cycles'!$DD$11:$DJ$11,1,EJ61)))),0)</f>
        <v>0</v>
      </c>
      <c r="EK70" s="24">
        <f>IF(EK63=1,IF('Lease Cycles'!$AJ$11=1,0,'Lease Cycles'!$D$11*INDEX('Lease Cycles'!$FH$11:$FN$11,1,EK61)*IF(INDEX('Lease Cycles'!$EF$11:$EL$11,1,EK61)=1,1,IF(OR(INDEX('Lease Cycles'!$DY$11:$EE$11,1,EK61)=1,EK62&gt;0),1,1-INDEX('Lease Cycles'!$DD$11:$DJ$11,1,EK61)))),0)</f>
        <v>0</v>
      </c>
      <c r="EL70" s="24">
        <f>IF(EL63=1,IF('Lease Cycles'!$AJ$11=1,0,'Lease Cycles'!$D$11*INDEX('Lease Cycles'!$FH$11:$FN$11,1,EL61)*IF(INDEX('Lease Cycles'!$EF$11:$EL$11,1,EL61)=1,1,IF(OR(INDEX('Lease Cycles'!$DY$11:$EE$11,1,EL61)=1,EL62&gt;0),1,1-INDEX('Lease Cycles'!$DD$11:$DJ$11,1,EL61)))),0)</f>
        <v>0</v>
      </c>
      <c r="EM70" s="24">
        <f>IF(EM63=1,IF('Lease Cycles'!$AJ$11=1,0,'Lease Cycles'!$D$11*INDEX('Lease Cycles'!$FH$11:$FN$11,1,EM61)*IF(INDEX('Lease Cycles'!$EF$11:$EL$11,1,EM61)=1,1,IF(OR(INDEX('Lease Cycles'!$DY$11:$EE$11,1,EM61)=1,EM62&gt;0),1,1-INDEX('Lease Cycles'!$DD$11:$DJ$11,1,EM61)))),0)</f>
        <v>0</v>
      </c>
      <c r="EN70" s="24">
        <f>IF(EN63=1,IF('Lease Cycles'!$AJ$11=1,0,'Lease Cycles'!$D$11*INDEX('Lease Cycles'!$FH$11:$FN$11,1,EN61)*IF(INDEX('Lease Cycles'!$EF$11:$EL$11,1,EN61)=1,1,IF(OR(INDEX('Lease Cycles'!$DY$11:$EE$11,1,EN61)=1,EN62&gt;0),1,1-INDEX('Lease Cycles'!$DD$11:$DJ$11,1,EN61)))),0)</f>
        <v>0</v>
      </c>
      <c r="EO70" s="24">
        <f>IF(EO63=1,IF('Lease Cycles'!$AJ$11=1,0,'Lease Cycles'!$D$11*INDEX('Lease Cycles'!$FH$11:$FN$11,1,EO61)*IF(INDEX('Lease Cycles'!$EF$11:$EL$11,1,EO61)=1,1,IF(OR(INDEX('Lease Cycles'!$DY$11:$EE$11,1,EO61)=1,EO62&gt;0),1,1-INDEX('Lease Cycles'!$DD$11:$DJ$11,1,EO61)))),0)</f>
        <v>0</v>
      </c>
      <c r="EP70" s="24">
        <f>IF(EP63=1,IF('Lease Cycles'!$AJ$11=1,0,'Lease Cycles'!$D$11*INDEX('Lease Cycles'!$FH$11:$FN$11,1,EP61)*IF(INDEX('Lease Cycles'!$EF$11:$EL$11,1,EP61)=1,1,IF(OR(INDEX('Lease Cycles'!$DY$11:$EE$11,1,EP61)=1,EP62&gt;0),1,1-INDEX('Lease Cycles'!$DD$11:$DJ$11,1,EP61)))),0)</f>
        <v>0</v>
      </c>
      <c r="EQ70" s="24">
        <f>IF(EQ63=1,IF('Lease Cycles'!$AJ$11=1,0,'Lease Cycles'!$D$11*INDEX('Lease Cycles'!$FH$11:$FN$11,1,EQ61)*IF(INDEX('Lease Cycles'!$EF$11:$EL$11,1,EQ61)=1,1,IF(OR(INDEX('Lease Cycles'!$DY$11:$EE$11,1,EQ61)=1,EQ62&gt;0),1,1-INDEX('Lease Cycles'!$DD$11:$DJ$11,1,EQ61)))),0)</f>
        <v>0</v>
      </c>
      <c r="ER70" s="24">
        <f>IF(ER63=1,IF('Lease Cycles'!$AJ$11=1,0,'Lease Cycles'!$D$11*INDEX('Lease Cycles'!$FH$11:$FN$11,1,ER61)*IF(INDEX('Lease Cycles'!$EF$11:$EL$11,1,ER61)=1,1,IF(OR(INDEX('Lease Cycles'!$DY$11:$EE$11,1,ER61)=1,ER62&gt;0),1,1-INDEX('Lease Cycles'!$DD$11:$DJ$11,1,ER61)))),0)</f>
        <v>0</v>
      </c>
      <c r="ES70" s="24">
        <f>IF(ES63=1,IF('Lease Cycles'!$AJ$11=1,0,'Lease Cycles'!$D$11*INDEX('Lease Cycles'!$FH$11:$FN$11,1,ES61)*IF(INDEX('Lease Cycles'!$EF$11:$EL$11,1,ES61)=1,1,IF(OR(INDEX('Lease Cycles'!$DY$11:$EE$11,1,ES61)=1,ES62&gt;0),1,1-INDEX('Lease Cycles'!$DD$11:$DJ$11,1,ES61)))),0)</f>
        <v>0</v>
      </c>
      <c r="ET70" s="24">
        <f>IF(ET63=1,IF('Lease Cycles'!$AJ$11=1,0,'Lease Cycles'!$D$11*INDEX('Lease Cycles'!$FH$11:$FN$11,1,ET61)*IF(INDEX('Lease Cycles'!$EF$11:$EL$11,1,ET61)=1,1,IF(OR(INDEX('Lease Cycles'!$DY$11:$EE$11,1,ET61)=1,ET62&gt;0),1,1-INDEX('Lease Cycles'!$DD$11:$DJ$11,1,ET61)))),0)</f>
        <v>0</v>
      </c>
    </row>
    <row r="71">
      <c r="A71" s="103">
        <v>4</v>
      </c>
      <c r="B71" s="23" t="str">
        <f>IF('Lease Cycles'!$B$11="","(empty slot)",'Lease Cycles'!$B$11)</f>
        <v>Sunfield Dental</v>
      </c>
      <c r="C71" s="23" t="s">
        <v>687</v>
      </c>
      <c r="D71" s="104" t="s">
        <v>688</v>
      </c>
      <c r="E71" s="25">
        <f>'Lease Cycles'!$AL$11</f>
        <v>0</v>
      </c>
      <c r="G71" s="24">
        <f>SUM(S71:AD71)</f>
        <v>0</v>
      </c>
      <c r="H71" s="24">
        <f>SUM(AE71:AP71)</f>
        <v>0</v>
      </c>
      <c r="I71" s="24">
        <f>SUM(AQ71:BB71)</f>
        <v>0</v>
      </c>
      <c r="J71" s="24">
        <f>SUM(BC71:BN71)</f>
        <v>0</v>
      </c>
      <c r="K71" s="24">
        <f>SUM(BO71:BZ71)</f>
        <v>0</v>
      </c>
      <c r="L71" s="24">
        <f>SUM(CA71:CL71)</f>
        <v>0</v>
      </c>
      <c r="M71" s="24">
        <f>SUM(CM71:CX71)</f>
        <v>0</v>
      </c>
      <c r="N71" s="24">
        <f>SUM(CY71:DJ71)</f>
        <v>0</v>
      </c>
      <c r="O71" s="24">
        <f>SUM(DK71:DV71)</f>
        <v>0</v>
      </c>
      <c r="P71" s="24">
        <f>SUM(DW71:EH71)</f>
        <v>0</v>
      </c>
      <c r="Q71" s="24">
        <f>SUM(EI71:ET71)</f>
        <v>0</v>
      </c>
      <c r="S71" s="24">
        <f>IF(S63=1,'Lease Cycles'!$D$11*IF(INDEX('Lease Cycles'!$EF$11:$EL$11,1,S61)=1,'Lease Cycles'!$AJ$11*INDEX('Lease Cycles'!$FO$11:$FU$11,1,S61)*INDEX('Lease Cycles'!$EM$11:$ES$11,1,S61)+'Lease Cycles'!$BE$11*IF(S62&lt;INDEX('Lease Cycles'!$FA$11:$FG$11,1,S61),0,1-INDEX('Lease Cycles'!$EM$11:$ES$11,1,S61)),IF(OR(INDEX('Lease Cycles'!$DY$11:$EE$11,1,S61)=1,S62&gt;0),1,1-INDEX('Lease Cycles'!$DD$11:$DJ$11,1,S61))*('Lease Cycles'!$AJ$11*INDEX('Lease Cycles'!$FO$11:$FU$11,1,S61)+'Lease Cycles'!$BE$11*(1-INDEX('Lease Cycles'!$FO$11:$FU$11,1,S61)))),0)</f>
        <v>0</v>
      </c>
      <c r="T71" s="24">
        <f>IF(T63=1,'Lease Cycles'!$D$11*IF(INDEX('Lease Cycles'!$EF$11:$EL$11,1,T61)=1,'Lease Cycles'!$AJ$11*INDEX('Lease Cycles'!$FO$11:$FU$11,1,T61)*INDEX('Lease Cycles'!$EM$11:$ES$11,1,T61)+'Lease Cycles'!$BE$11*IF(T62&lt;INDEX('Lease Cycles'!$FA$11:$FG$11,1,T61),0,1-INDEX('Lease Cycles'!$EM$11:$ES$11,1,T61)),IF(OR(INDEX('Lease Cycles'!$DY$11:$EE$11,1,T61)=1,T62&gt;0),1,1-INDEX('Lease Cycles'!$DD$11:$DJ$11,1,T61))*('Lease Cycles'!$AJ$11*INDEX('Lease Cycles'!$FO$11:$FU$11,1,T61)+'Lease Cycles'!$BE$11*(1-INDEX('Lease Cycles'!$FO$11:$FU$11,1,T61)))),0)</f>
        <v>0</v>
      </c>
      <c r="U71" s="24">
        <f>IF(U63=1,'Lease Cycles'!$D$11*IF(INDEX('Lease Cycles'!$EF$11:$EL$11,1,U61)=1,'Lease Cycles'!$AJ$11*INDEX('Lease Cycles'!$FO$11:$FU$11,1,U61)*INDEX('Lease Cycles'!$EM$11:$ES$11,1,U61)+'Lease Cycles'!$BE$11*IF(U62&lt;INDEX('Lease Cycles'!$FA$11:$FG$11,1,U61),0,1-INDEX('Lease Cycles'!$EM$11:$ES$11,1,U61)),IF(OR(INDEX('Lease Cycles'!$DY$11:$EE$11,1,U61)=1,U62&gt;0),1,1-INDEX('Lease Cycles'!$DD$11:$DJ$11,1,U61))*('Lease Cycles'!$AJ$11*INDEX('Lease Cycles'!$FO$11:$FU$11,1,U61)+'Lease Cycles'!$BE$11*(1-INDEX('Lease Cycles'!$FO$11:$FU$11,1,U61)))),0)</f>
        <v>0</v>
      </c>
      <c r="V71" s="24">
        <f>IF(V63=1,'Lease Cycles'!$D$11*IF(INDEX('Lease Cycles'!$EF$11:$EL$11,1,V61)=1,'Lease Cycles'!$AJ$11*INDEX('Lease Cycles'!$FO$11:$FU$11,1,V61)*INDEX('Lease Cycles'!$EM$11:$ES$11,1,V61)+'Lease Cycles'!$BE$11*IF(V62&lt;INDEX('Lease Cycles'!$FA$11:$FG$11,1,V61),0,1-INDEX('Lease Cycles'!$EM$11:$ES$11,1,V61)),IF(OR(INDEX('Lease Cycles'!$DY$11:$EE$11,1,V61)=1,V62&gt;0),1,1-INDEX('Lease Cycles'!$DD$11:$DJ$11,1,V61))*('Lease Cycles'!$AJ$11*INDEX('Lease Cycles'!$FO$11:$FU$11,1,V61)+'Lease Cycles'!$BE$11*(1-INDEX('Lease Cycles'!$FO$11:$FU$11,1,V61)))),0)</f>
        <v>0</v>
      </c>
      <c r="W71" s="24">
        <f>IF(W63=1,'Lease Cycles'!$D$11*IF(INDEX('Lease Cycles'!$EF$11:$EL$11,1,W61)=1,'Lease Cycles'!$AJ$11*INDEX('Lease Cycles'!$FO$11:$FU$11,1,W61)*INDEX('Lease Cycles'!$EM$11:$ES$11,1,W61)+'Lease Cycles'!$BE$11*IF(W62&lt;INDEX('Lease Cycles'!$FA$11:$FG$11,1,W61),0,1-INDEX('Lease Cycles'!$EM$11:$ES$11,1,W61)),IF(OR(INDEX('Lease Cycles'!$DY$11:$EE$11,1,W61)=1,W62&gt;0),1,1-INDEX('Lease Cycles'!$DD$11:$DJ$11,1,W61))*('Lease Cycles'!$AJ$11*INDEX('Lease Cycles'!$FO$11:$FU$11,1,W61)+'Lease Cycles'!$BE$11*(1-INDEX('Lease Cycles'!$FO$11:$FU$11,1,W61)))),0)</f>
        <v>0</v>
      </c>
      <c r="X71" s="24">
        <f>IF(X63=1,'Lease Cycles'!$D$11*IF(INDEX('Lease Cycles'!$EF$11:$EL$11,1,X61)=1,'Lease Cycles'!$AJ$11*INDEX('Lease Cycles'!$FO$11:$FU$11,1,X61)*INDEX('Lease Cycles'!$EM$11:$ES$11,1,X61)+'Lease Cycles'!$BE$11*IF(X62&lt;INDEX('Lease Cycles'!$FA$11:$FG$11,1,X61),0,1-INDEX('Lease Cycles'!$EM$11:$ES$11,1,X61)),IF(OR(INDEX('Lease Cycles'!$DY$11:$EE$11,1,X61)=1,X62&gt;0),1,1-INDEX('Lease Cycles'!$DD$11:$DJ$11,1,X61))*('Lease Cycles'!$AJ$11*INDEX('Lease Cycles'!$FO$11:$FU$11,1,X61)+'Lease Cycles'!$BE$11*(1-INDEX('Lease Cycles'!$FO$11:$FU$11,1,X61)))),0)</f>
        <v>0</v>
      </c>
      <c r="Y71" s="24">
        <f>IF(Y63=1,'Lease Cycles'!$D$11*IF(INDEX('Lease Cycles'!$EF$11:$EL$11,1,Y61)=1,'Lease Cycles'!$AJ$11*INDEX('Lease Cycles'!$FO$11:$FU$11,1,Y61)*INDEX('Lease Cycles'!$EM$11:$ES$11,1,Y61)+'Lease Cycles'!$BE$11*IF(Y62&lt;INDEX('Lease Cycles'!$FA$11:$FG$11,1,Y61),0,1-INDEX('Lease Cycles'!$EM$11:$ES$11,1,Y61)),IF(OR(INDEX('Lease Cycles'!$DY$11:$EE$11,1,Y61)=1,Y62&gt;0),1,1-INDEX('Lease Cycles'!$DD$11:$DJ$11,1,Y61))*('Lease Cycles'!$AJ$11*INDEX('Lease Cycles'!$FO$11:$FU$11,1,Y61)+'Lease Cycles'!$BE$11*(1-INDEX('Lease Cycles'!$FO$11:$FU$11,1,Y61)))),0)</f>
        <v>0</v>
      </c>
      <c r="Z71" s="24">
        <f>IF(Z63=1,'Lease Cycles'!$D$11*IF(INDEX('Lease Cycles'!$EF$11:$EL$11,1,Z61)=1,'Lease Cycles'!$AJ$11*INDEX('Lease Cycles'!$FO$11:$FU$11,1,Z61)*INDEX('Lease Cycles'!$EM$11:$ES$11,1,Z61)+'Lease Cycles'!$BE$11*IF(Z62&lt;INDEX('Lease Cycles'!$FA$11:$FG$11,1,Z61),0,1-INDEX('Lease Cycles'!$EM$11:$ES$11,1,Z61)),IF(OR(INDEX('Lease Cycles'!$DY$11:$EE$11,1,Z61)=1,Z62&gt;0),1,1-INDEX('Lease Cycles'!$DD$11:$DJ$11,1,Z61))*('Lease Cycles'!$AJ$11*INDEX('Lease Cycles'!$FO$11:$FU$11,1,Z61)+'Lease Cycles'!$BE$11*(1-INDEX('Lease Cycles'!$FO$11:$FU$11,1,Z61)))),0)</f>
        <v>0</v>
      </c>
      <c r="AA71" s="24">
        <f>IF(AA63=1,'Lease Cycles'!$D$11*IF(INDEX('Lease Cycles'!$EF$11:$EL$11,1,AA61)=1,'Lease Cycles'!$AJ$11*INDEX('Lease Cycles'!$FO$11:$FU$11,1,AA61)*INDEX('Lease Cycles'!$EM$11:$ES$11,1,AA61)+'Lease Cycles'!$BE$11*IF(AA62&lt;INDEX('Lease Cycles'!$FA$11:$FG$11,1,AA61),0,1-INDEX('Lease Cycles'!$EM$11:$ES$11,1,AA61)),IF(OR(INDEX('Lease Cycles'!$DY$11:$EE$11,1,AA61)=1,AA62&gt;0),1,1-INDEX('Lease Cycles'!$DD$11:$DJ$11,1,AA61))*('Lease Cycles'!$AJ$11*INDEX('Lease Cycles'!$FO$11:$FU$11,1,AA61)+'Lease Cycles'!$BE$11*(1-INDEX('Lease Cycles'!$FO$11:$FU$11,1,AA61)))),0)</f>
        <v>0</v>
      </c>
      <c r="AB71" s="24">
        <f>IF(AB63=1,'Lease Cycles'!$D$11*IF(INDEX('Lease Cycles'!$EF$11:$EL$11,1,AB61)=1,'Lease Cycles'!$AJ$11*INDEX('Lease Cycles'!$FO$11:$FU$11,1,AB61)*INDEX('Lease Cycles'!$EM$11:$ES$11,1,AB61)+'Lease Cycles'!$BE$11*IF(AB62&lt;INDEX('Lease Cycles'!$FA$11:$FG$11,1,AB61),0,1-INDEX('Lease Cycles'!$EM$11:$ES$11,1,AB61)),IF(OR(INDEX('Lease Cycles'!$DY$11:$EE$11,1,AB61)=1,AB62&gt;0),1,1-INDEX('Lease Cycles'!$DD$11:$DJ$11,1,AB61))*('Lease Cycles'!$AJ$11*INDEX('Lease Cycles'!$FO$11:$FU$11,1,AB61)+'Lease Cycles'!$BE$11*(1-INDEX('Lease Cycles'!$FO$11:$FU$11,1,AB61)))),0)</f>
        <v>0</v>
      </c>
      <c r="AC71" s="24">
        <f>IF(AC63=1,'Lease Cycles'!$D$11*IF(INDEX('Lease Cycles'!$EF$11:$EL$11,1,AC61)=1,'Lease Cycles'!$AJ$11*INDEX('Lease Cycles'!$FO$11:$FU$11,1,AC61)*INDEX('Lease Cycles'!$EM$11:$ES$11,1,AC61)+'Lease Cycles'!$BE$11*IF(AC62&lt;INDEX('Lease Cycles'!$FA$11:$FG$11,1,AC61),0,1-INDEX('Lease Cycles'!$EM$11:$ES$11,1,AC61)),IF(OR(INDEX('Lease Cycles'!$DY$11:$EE$11,1,AC61)=1,AC62&gt;0),1,1-INDEX('Lease Cycles'!$DD$11:$DJ$11,1,AC61))*('Lease Cycles'!$AJ$11*INDEX('Lease Cycles'!$FO$11:$FU$11,1,AC61)+'Lease Cycles'!$BE$11*(1-INDEX('Lease Cycles'!$FO$11:$FU$11,1,AC61)))),0)</f>
        <v>0</v>
      </c>
      <c r="AD71" s="24">
        <f>IF(AD63=1,'Lease Cycles'!$D$11*IF(INDEX('Lease Cycles'!$EF$11:$EL$11,1,AD61)=1,'Lease Cycles'!$AJ$11*INDEX('Lease Cycles'!$FO$11:$FU$11,1,AD61)*INDEX('Lease Cycles'!$EM$11:$ES$11,1,AD61)+'Lease Cycles'!$BE$11*IF(AD62&lt;INDEX('Lease Cycles'!$FA$11:$FG$11,1,AD61),0,1-INDEX('Lease Cycles'!$EM$11:$ES$11,1,AD61)),IF(OR(INDEX('Lease Cycles'!$DY$11:$EE$11,1,AD61)=1,AD62&gt;0),1,1-INDEX('Lease Cycles'!$DD$11:$DJ$11,1,AD61))*('Lease Cycles'!$AJ$11*INDEX('Lease Cycles'!$FO$11:$FU$11,1,AD61)+'Lease Cycles'!$BE$11*(1-INDEX('Lease Cycles'!$FO$11:$FU$11,1,AD61)))),0)</f>
        <v>0</v>
      </c>
      <c r="AE71" s="24">
        <f>IF(AE63=1,'Lease Cycles'!$D$11*IF(INDEX('Lease Cycles'!$EF$11:$EL$11,1,AE61)=1,'Lease Cycles'!$AJ$11*INDEX('Lease Cycles'!$FO$11:$FU$11,1,AE61)*INDEX('Lease Cycles'!$EM$11:$ES$11,1,AE61)+'Lease Cycles'!$BE$11*IF(AE62&lt;INDEX('Lease Cycles'!$FA$11:$FG$11,1,AE61),0,1-INDEX('Lease Cycles'!$EM$11:$ES$11,1,AE61)),IF(OR(INDEX('Lease Cycles'!$DY$11:$EE$11,1,AE61)=1,AE62&gt;0),1,1-INDEX('Lease Cycles'!$DD$11:$DJ$11,1,AE61))*('Lease Cycles'!$AJ$11*INDEX('Lease Cycles'!$FO$11:$FU$11,1,AE61)+'Lease Cycles'!$BE$11*(1-INDEX('Lease Cycles'!$FO$11:$FU$11,1,AE61)))),0)</f>
        <v>0</v>
      </c>
      <c r="AF71" s="24">
        <f>IF(AF63=1,'Lease Cycles'!$D$11*IF(INDEX('Lease Cycles'!$EF$11:$EL$11,1,AF61)=1,'Lease Cycles'!$AJ$11*INDEX('Lease Cycles'!$FO$11:$FU$11,1,AF61)*INDEX('Lease Cycles'!$EM$11:$ES$11,1,AF61)+'Lease Cycles'!$BE$11*IF(AF62&lt;INDEX('Lease Cycles'!$FA$11:$FG$11,1,AF61),0,1-INDEX('Lease Cycles'!$EM$11:$ES$11,1,AF61)),IF(OR(INDEX('Lease Cycles'!$DY$11:$EE$11,1,AF61)=1,AF62&gt;0),1,1-INDEX('Lease Cycles'!$DD$11:$DJ$11,1,AF61))*('Lease Cycles'!$AJ$11*INDEX('Lease Cycles'!$FO$11:$FU$11,1,AF61)+'Lease Cycles'!$BE$11*(1-INDEX('Lease Cycles'!$FO$11:$FU$11,1,AF61)))),0)</f>
        <v>0</v>
      </c>
      <c r="AG71" s="24">
        <f>IF(AG63=1,'Lease Cycles'!$D$11*IF(INDEX('Lease Cycles'!$EF$11:$EL$11,1,AG61)=1,'Lease Cycles'!$AJ$11*INDEX('Lease Cycles'!$FO$11:$FU$11,1,AG61)*INDEX('Lease Cycles'!$EM$11:$ES$11,1,AG61)+'Lease Cycles'!$BE$11*IF(AG62&lt;INDEX('Lease Cycles'!$FA$11:$FG$11,1,AG61),0,1-INDEX('Lease Cycles'!$EM$11:$ES$11,1,AG61)),IF(OR(INDEX('Lease Cycles'!$DY$11:$EE$11,1,AG61)=1,AG62&gt;0),1,1-INDEX('Lease Cycles'!$DD$11:$DJ$11,1,AG61))*('Lease Cycles'!$AJ$11*INDEX('Lease Cycles'!$FO$11:$FU$11,1,AG61)+'Lease Cycles'!$BE$11*(1-INDEX('Lease Cycles'!$FO$11:$FU$11,1,AG61)))),0)</f>
        <v>0</v>
      </c>
      <c r="AH71" s="24">
        <f>IF(AH63=1,'Lease Cycles'!$D$11*IF(INDEX('Lease Cycles'!$EF$11:$EL$11,1,AH61)=1,'Lease Cycles'!$AJ$11*INDEX('Lease Cycles'!$FO$11:$FU$11,1,AH61)*INDEX('Lease Cycles'!$EM$11:$ES$11,1,AH61)+'Lease Cycles'!$BE$11*IF(AH62&lt;INDEX('Lease Cycles'!$FA$11:$FG$11,1,AH61),0,1-INDEX('Lease Cycles'!$EM$11:$ES$11,1,AH61)),IF(OR(INDEX('Lease Cycles'!$DY$11:$EE$11,1,AH61)=1,AH62&gt;0),1,1-INDEX('Lease Cycles'!$DD$11:$DJ$11,1,AH61))*('Lease Cycles'!$AJ$11*INDEX('Lease Cycles'!$FO$11:$FU$11,1,AH61)+'Lease Cycles'!$BE$11*(1-INDEX('Lease Cycles'!$FO$11:$FU$11,1,AH61)))),0)</f>
        <v>0</v>
      </c>
      <c r="AI71" s="24">
        <f>IF(AI63=1,'Lease Cycles'!$D$11*IF(INDEX('Lease Cycles'!$EF$11:$EL$11,1,AI61)=1,'Lease Cycles'!$AJ$11*INDEX('Lease Cycles'!$FO$11:$FU$11,1,AI61)*INDEX('Lease Cycles'!$EM$11:$ES$11,1,AI61)+'Lease Cycles'!$BE$11*IF(AI62&lt;INDEX('Lease Cycles'!$FA$11:$FG$11,1,AI61),0,1-INDEX('Lease Cycles'!$EM$11:$ES$11,1,AI61)),IF(OR(INDEX('Lease Cycles'!$DY$11:$EE$11,1,AI61)=1,AI62&gt;0),1,1-INDEX('Lease Cycles'!$DD$11:$DJ$11,1,AI61))*('Lease Cycles'!$AJ$11*INDEX('Lease Cycles'!$FO$11:$FU$11,1,AI61)+'Lease Cycles'!$BE$11*(1-INDEX('Lease Cycles'!$FO$11:$FU$11,1,AI61)))),0)</f>
        <v>0</v>
      </c>
      <c r="AJ71" s="24">
        <f>IF(AJ63=1,'Lease Cycles'!$D$11*IF(INDEX('Lease Cycles'!$EF$11:$EL$11,1,AJ61)=1,'Lease Cycles'!$AJ$11*INDEX('Lease Cycles'!$FO$11:$FU$11,1,AJ61)*INDEX('Lease Cycles'!$EM$11:$ES$11,1,AJ61)+'Lease Cycles'!$BE$11*IF(AJ62&lt;INDEX('Lease Cycles'!$FA$11:$FG$11,1,AJ61),0,1-INDEX('Lease Cycles'!$EM$11:$ES$11,1,AJ61)),IF(OR(INDEX('Lease Cycles'!$DY$11:$EE$11,1,AJ61)=1,AJ62&gt;0),1,1-INDEX('Lease Cycles'!$DD$11:$DJ$11,1,AJ61))*('Lease Cycles'!$AJ$11*INDEX('Lease Cycles'!$FO$11:$FU$11,1,AJ61)+'Lease Cycles'!$BE$11*(1-INDEX('Lease Cycles'!$FO$11:$FU$11,1,AJ61)))),0)</f>
        <v>0</v>
      </c>
      <c r="AK71" s="24">
        <f>IF(AK63=1,'Lease Cycles'!$D$11*IF(INDEX('Lease Cycles'!$EF$11:$EL$11,1,AK61)=1,'Lease Cycles'!$AJ$11*INDEX('Lease Cycles'!$FO$11:$FU$11,1,AK61)*INDEX('Lease Cycles'!$EM$11:$ES$11,1,AK61)+'Lease Cycles'!$BE$11*IF(AK62&lt;INDEX('Lease Cycles'!$FA$11:$FG$11,1,AK61),0,1-INDEX('Lease Cycles'!$EM$11:$ES$11,1,AK61)),IF(OR(INDEX('Lease Cycles'!$DY$11:$EE$11,1,AK61)=1,AK62&gt;0),1,1-INDEX('Lease Cycles'!$DD$11:$DJ$11,1,AK61))*('Lease Cycles'!$AJ$11*INDEX('Lease Cycles'!$FO$11:$FU$11,1,AK61)+'Lease Cycles'!$BE$11*(1-INDEX('Lease Cycles'!$FO$11:$FU$11,1,AK61)))),0)</f>
        <v>0</v>
      </c>
      <c r="AL71" s="24">
        <f>IF(AL63=1,'Lease Cycles'!$D$11*IF(INDEX('Lease Cycles'!$EF$11:$EL$11,1,AL61)=1,'Lease Cycles'!$AJ$11*INDEX('Lease Cycles'!$FO$11:$FU$11,1,AL61)*INDEX('Lease Cycles'!$EM$11:$ES$11,1,AL61)+'Lease Cycles'!$BE$11*IF(AL62&lt;INDEX('Lease Cycles'!$FA$11:$FG$11,1,AL61),0,1-INDEX('Lease Cycles'!$EM$11:$ES$11,1,AL61)),IF(OR(INDEX('Lease Cycles'!$DY$11:$EE$11,1,AL61)=1,AL62&gt;0),1,1-INDEX('Lease Cycles'!$DD$11:$DJ$11,1,AL61))*('Lease Cycles'!$AJ$11*INDEX('Lease Cycles'!$FO$11:$FU$11,1,AL61)+'Lease Cycles'!$BE$11*(1-INDEX('Lease Cycles'!$FO$11:$FU$11,1,AL61)))),0)</f>
        <v>0</v>
      </c>
      <c r="AM71" s="24">
        <f>IF(AM63=1,'Lease Cycles'!$D$11*IF(INDEX('Lease Cycles'!$EF$11:$EL$11,1,AM61)=1,'Lease Cycles'!$AJ$11*INDEX('Lease Cycles'!$FO$11:$FU$11,1,AM61)*INDEX('Lease Cycles'!$EM$11:$ES$11,1,AM61)+'Lease Cycles'!$BE$11*IF(AM62&lt;INDEX('Lease Cycles'!$FA$11:$FG$11,1,AM61),0,1-INDEX('Lease Cycles'!$EM$11:$ES$11,1,AM61)),IF(OR(INDEX('Lease Cycles'!$DY$11:$EE$11,1,AM61)=1,AM62&gt;0),1,1-INDEX('Lease Cycles'!$DD$11:$DJ$11,1,AM61))*('Lease Cycles'!$AJ$11*INDEX('Lease Cycles'!$FO$11:$FU$11,1,AM61)+'Lease Cycles'!$BE$11*(1-INDEX('Lease Cycles'!$FO$11:$FU$11,1,AM61)))),0)</f>
        <v>0</v>
      </c>
      <c r="AN71" s="24">
        <f>IF(AN63=1,'Lease Cycles'!$D$11*IF(INDEX('Lease Cycles'!$EF$11:$EL$11,1,AN61)=1,'Lease Cycles'!$AJ$11*INDEX('Lease Cycles'!$FO$11:$FU$11,1,AN61)*INDEX('Lease Cycles'!$EM$11:$ES$11,1,AN61)+'Lease Cycles'!$BE$11*IF(AN62&lt;INDEX('Lease Cycles'!$FA$11:$FG$11,1,AN61),0,1-INDEX('Lease Cycles'!$EM$11:$ES$11,1,AN61)),IF(OR(INDEX('Lease Cycles'!$DY$11:$EE$11,1,AN61)=1,AN62&gt;0),1,1-INDEX('Lease Cycles'!$DD$11:$DJ$11,1,AN61))*('Lease Cycles'!$AJ$11*INDEX('Lease Cycles'!$FO$11:$FU$11,1,AN61)+'Lease Cycles'!$BE$11*(1-INDEX('Lease Cycles'!$FO$11:$FU$11,1,AN61)))),0)</f>
        <v>0</v>
      </c>
      <c r="AO71" s="24">
        <f>IF(AO63=1,'Lease Cycles'!$D$11*IF(INDEX('Lease Cycles'!$EF$11:$EL$11,1,AO61)=1,'Lease Cycles'!$AJ$11*INDEX('Lease Cycles'!$FO$11:$FU$11,1,AO61)*INDEX('Lease Cycles'!$EM$11:$ES$11,1,AO61)+'Lease Cycles'!$BE$11*IF(AO62&lt;INDEX('Lease Cycles'!$FA$11:$FG$11,1,AO61),0,1-INDEX('Lease Cycles'!$EM$11:$ES$11,1,AO61)),IF(OR(INDEX('Lease Cycles'!$DY$11:$EE$11,1,AO61)=1,AO62&gt;0),1,1-INDEX('Lease Cycles'!$DD$11:$DJ$11,1,AO61))*('Lease Cycles'!$AJ$11*INDEX('Lease Cycles'!$FO$11:$FU$11,1,AO61)+'Lease Cycles'!$BE$11*(1-INDEX('Lease Cycles'!$FO$11:$FU$11,1,AO61)))),0)</f>
        <v>0</v>
      </c>
      <c r="AP71" s="24">
        <f>IF(AP63=1,'Lease Cycles'!$D$11*IF(INDEX('Lease Cycles'!$EF$11:$EL$11,1,AP61)=1,'Lease Cycles'!$AJ$11*INDEX('Lease Cycles'!$FO$11:$FU$11,1,AP61)*INDEX('Lease Cycles'!$EM$11:$ES$11,1,AP61)+'Lease Cycles'!$BE$11*IF(AP62&lt;INDEX('Lease Cycles'!$FA$11:$FG$11,1,AP61),0,1-INDEX('Lease Cycles'!$EM$11:$ES$11,1,AP61)),IF(OR(INDEX('Lease Cycles'!$DY$11:$EE$11,1,AP61)=1,AP62&gt;0),1,1-INDEX('Lease Cycles'!$DD$11:$DJ$11,1,AP61))*('Lease Cycles'!$AJ$11*INDEX('Lease Cycles'!$FO$11:$FU$11,1,AP61)+'Lease Cycles'!$BE$11*(1-INDEX('Lease Cycles'!$FO$11:$FU$11,1,AP61)))),0)</f>
        <v>0</v>
      </c>
      <c r="AQ71" s="24">
        <f>IF(AQ63=1,'Lease Cycles'!$D$11*IF(INDEX('Lease Cycles'!$EF$11:$EL$11,1,AQ61)=1,'Lease Cycles'!$AJ$11*INDEX('Lease Cycles'!$FO$11:$FU$11,1,AQ61)*INDEX('Lease Cycles'!$EM$11:$ES$11,1,AQ61)+'Lease Cycles'!$BE$11*IF(AQ62&lt;INDEX('Lease Cycles'!$FA$11:$FG$11,1,AQ61),0,1-INDEX('Lease Cycles'!$EM$11:$ES$11,1,AQ61)),IF(OR(INDEX('Lease Cycles'!$DY$11:$EE$11,1,AQ61)=1,AQ62&gt;0),1,1-INDEX('Lease Cycles'!$DD$11:$DJ$11,1,AQ61))*('Lease Cycles'!$AJ$11*INDEX('Lease Cycles'!$FO$11:$FU$11,1,AQ61)+'Lease Cycles'!$BE$11*(1-INDEX('Lease Cycles'!$FO$11:$FU$11,1,AQ61)))),0)</f>
        <v>0</v>
      </c>
      <c r="AR71" s="24">
        <f>IF(AR63=1,'Lease Cycles'!$D$11*IF(INDEX('Lease Cycles'!$EF$11:$EL$11,1,AR61)=1,'Lease Cycles'!$AJ$11*INDEX('Lease Cycles'!$FO$11:$FU$11,1,AR61)*INDEX('Lease Cycles'!$EM$11:$ES$11,1,AR61)+'Lease Cycles'!$BE$11*IF(AR62&lt;INDEX('Lease Cycles'!$FA$11:$FG$11,1,AR61),0,1-INDEX('Lease Cycles'!$EM$11:$ES$11,1,AR61)),IF(OR(INDEX('Lease Cycles'!$DY$11:$EE$11,1,AR61)=1,AR62&gt;0),1,1-INDEX('Lease Cycles'!$DD$11:$DJ$11,1,AR61))*('Lease Cycles'!$AJ$11*INDEX('Lease Cycles'!$FO$11:$FU$11,1,AR61)+'Lease Cycles'!$BE$11*(1-INDEX('Lease Cycles'!$FO$11:$FU$11,1,AR61)))),0)</f>
        <v>0</v>
      </c>
      <c r="AS71" s="24">
        <f>IF(AS63=1,'Lease Cycles'!$D$11*IF(INDEX('Lease Cycles'!$EF$11:$EL$11,1,AS61)=1,'Lease Cycles'!$AJ$11*INDEX('Lease Cycles'!$FO$11:$FU$11,1,AS61)*INDEX('Lease Cycles'!$EM$11:$ES$11,1,AS61)+'Lease Cycles'!$BE$11*IF(AS62&lt;INDEX('Lease Cycles'!$FA$11:$FG$11,1,AS61),0,1-INDEX('Lease Cycles'!$EM$11:$ES$11,1,AS61)),IF(OR(INDEX('Lease Cycles'!$DY$11:$EE$11,1,AS61)=1,AS62&gt;0),1,1-INDEX('Lease Cycles'!$DD$11:$DJ$11,1,AS61))*('Lease Cycles'!$AJ$11*INDEX('Lease Cycles'!$FO$11:$FU$11,1,AS61)+'Lease Cycles'!$BE$11*(1-INDEX('Lease Cycles'!$FO$11:$FU$11,1,AS61)))),0)</f>
        <v>0</v>
      </c>
      <c r="AT71" s="24">
        <f>IF(AT63=1,'Lease Cycles'!$D$11*IF(INDEX('Lease Cycles'!$EF$11:$EL$11,1,AT61)=1,'Lease Cycles'!$AJ$11*INDEX('Lease Cycles'!$FO$11:$FU$11,1,AT61)*INDEX('Lease Cycles'!$EM$11:$ES$11,1,AT61)+'Lease Cycles'!$BE$11*IF(AT62&lt;INDEX('Lease Cycles'!$FA$11:$FG$11,1,AT61),0,1-INDEX('Lease Cycles'!$EM$11:$ES$11,1,AT61)),IF(OR(INDEX('Lease Cycles'!$DY$11:$EE$11,1,AT61)=1,AT62&gt;0),1,1-INDEX('Lease Cycles'!$DD$11:$DJ$11,1,AT61))*('Lease Cycles'!$AJ$11*INDEX('Lease Cycles'!$FO$11:$FU$11,1,AT61)+'Lease Cycles'!$BE$11*(1-INDEX('Lease Cycles'!$FO$11:$FU$11,1,AT61)))),0)</f>
        <v>0</v>
      </c>
      <c r="AU71" s="24">
        <f>IF(AU63=1,'Lease Cycles'!$D$11*IF(INDEX('Lease Cycles'!$EF$11:$EL$11,1,AU61)=1,'Lease Cycles'!$AJ$11*INDEX('Lease Cycles'!$FO$11:$FU$11,1,AU61)*INDEX('Lease Cycles'!$EM$11:$ES$11,1,AU61)+'Lease Cycles'!$BE$11*IF(AU62&lt;INDEX('Lease Cycles'!$FA$11:$FG$11,1,AU61),0,1-INDEX('Lease Cycles'!$EM$11:$ES$11,1,AU61)),IF(OR(INDEX('Lease Cycles'!$DY$11:$EE$11,1,AU61)=1,AU62&gt;0),1,1-INDEX('Lease Cycles'!$DD$11:$DJ$11,1,AU61))*('Lease Cycles'!$AJ$11*INDEX('Lease Cycles'!$FO$11:$FU$11,1,AU61)+'Lease Cycles'!$BE$11*(1-INDEX('Lease Cycles'!$FO$11:$FU$11,1,AU61)))),0)</f>
        <v>0</v>
      </c>
      <c r="AV71" s="24">
        <f>IF(AV63=1,'Lease Cycles'!$D$11*IF(INDEX('Lease Cycles'!$EF$11:$EL$11,1,AV61)=1,'Lease Cycles'!$AJ$11*INDEX('Lease Cycles'!$FO$11:$FU$11,1,AV61)*INDEX('Lease Cycles'!$EM$11:$ES$11,1,AV61)+'Lease Cycles'!$BE$11*IF(AV62&lt;INDEX('Lease Cycles'!$FA$11:$FG$11,1,AV61),0,1-INDEX('Lease Cycles'!$EM$11:$ES$11,1,AV61)),IF(OR(INDEX('Lease Cycles'!$DY$11:$EE$11,1,AV61)=1,AV62&gt;0),1,1-INDEX('Lease Cycles'!$DD$11:$DJ$11,1,AV61))*('Lease Cycles'!$AJ$11*INDEX('Lease Cycles'!$FO$11:$FU$11,1,AV61)+'Lease Cycles'!$BE$11*(1-INDEX('Lease Cycles'!$FO$11:$FU$11,1,AV61)))),0)</f>
        <v>0</v>
      </c>
      <c r="AW71" s="24">
        <f>IF(AW63=1,'Lease Cycles'!$D$11*IF(INDEX('Lease Cycles'!$EF$11:$EL$11,1,AW61)=1,'Lease Cycles'!$AJ$11*INDEX('Lease Cycles'!$FO$11:$FU$11,1,AW61)*INDEX('Lease Cycles'!$EM$11:$ES$11,1,AW61)+'Lease Cycles'!$BE$11*IF(AW62&lt;INDEX('Lease Cycles'!$FA$11:$FG$11,1,AW61),0,1-INDEX('Lease Cycles'!$EM$11:$ES$11,1,AW61)),IF(OR(INDEX('Lease Cycles'!$DY$11:$EE$11,1,AW61)=1,AW62&gt;0),1,1-INDEX('Lease Cycles'!$DD$11:$DJ$11,1,AW61))*('Lease Cycles'!$AJ$11*INDEX('Lease Cycles'!$FO$11:$FU$11,1,AW61)+'Lease Cycles'!$BE$11*(1-INDEX('Lease Cycles'!$FO$11:$FU$11,1,AW61)))),0)</f>
        <v>0</v>
      </c>
      <c r="AX71" s="24">
        <f>IF(AX63=1,'Lease Cycles'!$D$11*IF(INDEX('Lease Cycles'!$EF$11:$EL$11,1,AX61)=1,'Lease Cycles'!$AJ$11*INDEX('Lease Cycles'!$FO$11:$FU$11,1,AX61)*INDEX('Lease Cycles'!$EM$11:$ES$11,1,AX61)+'Lease Cycles'!$BE$11*IF(AX62&lt;INDEX('Lease Cycles'!$FA$11:$FG$11,1,AX61),0,1-INDEX('Lease Cycles'!$EM$11:$ES$11,1,AX61)),IF(OR(INDEX('Lease Cycles'!$DY$11:$EE$11,1,AX61)=1,AX62&gt;0),1,1-INDEX('Lease Cycles'!$DD$11:$DJ$11,1,AX61))*('Lease Cycles'!$AJ$11*INDEX('Lease Cycles'!$FO$11:$FU$11,1,AX61)+'Lease Cycles'!$BE$11*(1-INDEX('Lease Cycles'!$FO$11:$FU$11,1,AX61)))),0)</f>
        <v>0</v>
      </c>
      <c r="AY71" s="24">
        <f>IF(AY63=1,'Lease Cycles'!$D$11*IF(INDEX('Lease Cycles'!$EF$11:$EL$11,1,AY61)=1,'Lease Cycles'!$AJ$11*INDEX('Lease Cycles'!$FO$11:$FU$11,1,AY61)*INDEX('Lease Cycles'!$EM$11:$ES$11,1,AY61)+'Lease Cycles'!$BE$11*IF(AY62&lt;INDEX('Lease Cycles'!$FA$11:$FG$11,1,AY61),0,1-INDEX('Lease Cycles'!$EM$11:$ES$11,1,AY61)),IF(OR(INDEX('Lease Cycles'!$DY$11:$EE$11,1,AY61)=1,AY62&gt;0),1,1-INDEX('Lease Cycles'!$DD$11:$DJ$11,1,AY61))*('Lease Cycles'!$AJ$11*INDEX('Lease Cycles'!$FO$11:$FU$11,1,AY61)+'Lease Cycles'!$BE$11*(1-INDEX('Lease Cycles'!$FO$11:$FU$11,1,AY61)))),0)</f>
        <v>0</v>
      </c>
      <c r="AZ71" s="24">
        <f>IF(AZ63=1,'Lease Cycles'!$D$11*IF(INDEX('Lease Cycles'!$EF$11:$EL$11,1,AZ61)=1,'Lease Cycles'!$AJ$11*INDEX('Lease Cycles'!$FO$11:$FU$11,1,AZ61)*INDEX('Lease Cycles'!$EM$11:$ES$11,1,AZ61)+'Lease Cycles'!$BE$11*IF(AZ62&lt;INDEX('Lease Cycles'!$FA$11:$FG$11,1,AZ61),0,1-INDEX('Lease Cycles'!$EM$11:$ES$11,1,AZ61)),IF(OR(INDEX('Lease Cycles'!$DY$11:$EE$11,1,AZ61)=1,AZ62&gt;0),1,1-INDEX('Lease Cycles'!$DD$11:$DJ$11,1,AZ61))*('Lease Cycles'!$AJ$11*INDEX('Lease Cycles'!$FO$11:$FU$11,1,AZ61)+'Lease Cycles'!$BE$11*(1-INDEX('Lease Cycles'!$FO$11:$FU$11,1,AZ61)))),0)</f>
        <v>0</v>
      </c>
      <c r="BA71" s="24">
        <f>IF(BA63=1,'Lease Cycles'!$D$11*IF(INDEX('Lease Cycles'!$EF$11:$EL$11,1,BA61)=1,'Lease Cycles'!$AJ$11*INDEX('Lease Cycles'!$FO$11:$FU$11,1,BA61)*INDEX('Lease Cycles'!$EM$11:$ES$11,1,BA61)+'Lease Cycles'!$BE$11*IF(BA62&lt;INDEX('Lease Cycles'!$FA$11:$FG$11,1,BA61),0,1-INDEX('Lease Cycles'!$EM$11:$ES$11,1,BA61)),IF(OR(INDEX('Lease Cycles'!$DY$11:$EE$11,1,BA61)=1,BA62&gt;0),1,1-INDEX('Lease Cycles'!$DD$11:$DJ$11,1,BA61))*('Lease Cycles'!$AJ$11*INDEX('Lease Cycles'!$FO$11:$FU$11,1,BA61)+'Lease Cycles'!$BE$11*(1-INDEX('Lease Cycles'!$FO$11:$FU$11,1,BA61)))),0)</f>
        <v>0</v>
      </c>
      <c r="BB71" s="24">
        <f>IF(BB63=1,'Lease Cycles'!$D$11*IF(INDEX('Lease Cycles'!$EF$11:$EL$11,1,BB61)=1,'Lease Cycles'!$AJ$11*INDEX('Lease Cycles'!$FO$11:$FU$11,1,BB61)*INDEX('Lease Cycles'!$EM$11:$ES$11,1,BB61)+'Lease Cycles'!$BE$11*IF(BB62&lt;INDEX('Lease Cycles'!$FA$11:$FG$11,1,BB61),0,1-INDEX('Lease Cycles'!$EM$11:$ES$11,1,BB61)),IF(OR(INDEX('Lease Cycles'!$DY$11:$EE$11,1,BB61)=1,BB62&gt;0),1,1-INDEX('Lease Cycles'!$DD$11:$DJ$11,1,BB61))*('Lease Cycles'!$AJ$11*INDEX('Lease Cycles'!$FO$11:$FU$11,1,BB61)+'Lease Cycles'!$BE$11*(1-INDEX('Lease Cycles'!$FO$11:$FU$11,1,BB61)))),0)</f>
        <v>0</v>
      </c>
      <c r="BC71" s="24">
        <f>IF(BC63=1,'Lease Cycles'!$D$11*IF(INDEX('Lease Cycles'!$EF$11:$EL$11,1,BC61)=1,'Lease Cycles'!$AJ$11*INDEX('Lease Cycles'!$FO$11:$FU$11,1,BC61)*INDEX('Lease Cycles'!$EM$11:$ES$11,1,BC61)+'Lease Cycles'!$BE$11*IF(BC62&lt;INDEX('Lease Cycles'!$FA$11:$FG$11,1,BC61),0,1-INDEX('Lease Cycles'!$EM$11:$ES$11,1,BC61)),IF(OR(INDEX('Lease Cycles'!$DY$11:$EE$11,1,BC61)=1,BC62&gt;0),1,1-INDEX('Lease Cycles'!$DD$11:$DJ$11,1,BC61))*('Lease Cycles'!$AJ$11*INDEX('Lease Cycles'!$FO$11:$FU$11,1,BC61)+'Lease Cycles'!$BE$11*(1-INDEX('Lease Cycles'!$FO$11:$FU$11,1,BC61)))),0)</f>
        <v>0</v>
      </c>
      <c r="BD71" s="24">
        <f>IF(BD63=1,'Lease Cycles'!$D$11*IF(INDEX('Lease Cycles'!$EF$11:$EL$11,1,BD61)=1,'Lease Cycles'!$AJ$11*INDEX('Lease Cycles'!$FO$11:$FU$11,1,BD61)*INDEX('Lease Cycles'!$EM$11:$ES$11,1,BD61)+'Lease Cycles'!$BE$11*IF(BD62&lt;INDEX('Lease Cycles'!$FA$11:$FG$11,1,BD61),0,1-INDEX('Lease Cycles'!$EM$11:$ES$11,1,BD61)),IF(OR(INDEX('Lease Cycles'!$DY$11:$EE$11,1,BD61)=1,BD62&gt;0),1,1-INDEX('Lease Cycles'!$DD$11:$DJ$11,1,BD61))*('Lease Cycles'!$AJ$11*INDEX('Lease Cycles'!$FO$11:$FU$11,1,BD61)+'Lease Cycles'!$BE$11*(1-INDEX('Lease Cycles'!$FO$11:$FU$11,1,BD61)))),0)</f>
        <v>0</v>
      </c>
      <c r="BE71" s="24">
        <f>IF(BE63=1,'Lease Cycles'!$D$11*IF(INDEX('Lease Cycles'!$EF$11:$EL$11,1,BE61)=1,'Lease Cycles'!$AJ$11*INDEX('Lease Cycles'!$FO$11:$FU$11,1,BE61)*INDEX('Lease Cycles'!$EM$11:$ES$11,1,BE61)+'Lease Cycles'!$BE$11*IF(BE62&lt;INDEX('Lease Cycles'!$FA$11:$FG$11,1,BE61),0,1-INDEX('Lease Cycles'!$EM$11:$ES$11,1,BE61)),IF(OR(INDEX('Lease Cycles'!$DY$11:$EE$11,1,BE61)=1,BE62&gt;0),1,1-INDEX('Lease Cycles'!$DD$11:$DJ$11,1,BE61))*('Lease Cycles'!$AJ$11*INDEX('Lease Cycles'!$FO$11:$FU$11,1,BE61)+'Lease Cycles'!$BE$11*(1-INDEX('Lease Cycles'!$FO$11:$FU$11,1,BE61)))),0)</f>
        <v>0</v>
      </c>
      <c r="BF71" s="24">
        <f>IF(BF63=1,'Lease Cycles'!$D$11*IF(INDEX('Lease Cycles'!$EF$11:$EL$11,1,BF61)=1,'Lease Cycles'!$AJ$11*INDEX('Lease Cycles'!$FO$11:$FU$11,1,BF61)*INDEX('Lease Cycles'!$EM$11:$ES$11,1,BF61)+'Lease Cycles'!$BE$11*IF(BF62&lt;INDEX('Lease Cycles'!$FA$11:$FG$11,1,BF61),0,1-INDEX('Lease Cycles'!$EM$11:$ES$11,1,BF61)),IF(OR(INDEX('Lease Cycles'!$DY$11:$EE$11,1,BF61)=1,BF62&gt;0),1,1-INDEX('Lease Cycles'!$DD$11:$DJ$11,1,BF61))*('Lease Cycles'!$AJ$11*INDEX('Lease Cycles'!$FO$11:$FU$11,1,BF61)+'Lease Cycles'!$BE$11*(1-INDEX('Lease Cycles'!$FO$11:$FU$11,1,BF61)))),0)</f>
        <v>0</v>
      </c>
      <c r="BG71" s="24">
        <f>IF(BG63=1,'Lease Cycles'!$D$11*IF(INDEX('Lease Cycles'!$EF$11:$EL$11,1,BG61)=1,'Lease Cycles'!$AJ$11*INDEX('Lease Cycles'!$FO$11:$FU$11,1,BG61)*INDEX('Lease Cycles'!$EM$11:$ES$11,1,BG61)+'Lease Cycles'!$BE$11*IF(BG62&lt;INDEX('Lease Cycles'!$FA$11:$FG$11,1,BG61),0,1-INDEX('Lease Cycles'!$EM$11:$ES$11,1,BG61)),IF(OR(INDEX('Lease Cycles'!$DY$11:$EE$11,1,BG61)=1,BG62&gt;0),1,1-INDEX('Lease Cycles'!$DD$11:$DJ$11,1,BG61))*('Lease Cycles'!$AJ$11*INDEX('Lease Cycles'!$FO$11:$FU$11,1,BG61)+'Lease Cycles'!$BE$11*(1-INDEX('Lease Cycles'!$FO$11:$FU$11,1,BG61)))),0)</f>
        <v>0</v>
      </c>
      <c r="BH71" s="24">
        <f>IF(BH63=1,'Lease Cycles'!$D$11*IF(INDEX('Lease Cycles'!$EF$11:$EL$11,1,BH61)=1,'Lease Cycles'!$AJ$11*INDEX('Lease Cycles'!$FO$11:$FU$11,1,BH61)*INDEX('Lease Cycles'!$EM$11:$ES$11,1,BH61)+'Lease Cycles'!$BE$11*IF(BH62&lt;INDEX('Lease Cycles'!$FA$11:$FG$11,1,BH61),0,1-INDEX('Lease Cycles'!$EM$11:$ES$11,1,BH61)),IF(OR(INDEX('Lease Cycles'!$DY$11:$EE$11,1,BH61)=1,BH62&gt;0),1,1-INDEX('Lease Cycles'!$DD$11:$DJ$11,1,BH61))*('Lease Cycles'!$AJ$11*INDEX('Lease Cycles'!$FO$11:$FU$11,1,BH61)+'Lease Cycles'!$BE$11*(1-INDEX('Lease Cycles'!$FO$11:$FU$11,1,BH61)))),0)</f>
        <v>0</v>
      </c>
      <c r="BI71" s="24">
        <f>IF(BI63=1,'Lease Cycles'!$D$11*IF(INDEX('Lease Cycles'!$EF$11:$EL$11,1,BI61)=1,'Lease Cycles'!$AJ$11*INDEX('Lease Cycles'!$FO$11:$FU$11,1,BI61)*INDEX('Lease Cycles'!$EM$11:$ES$11,1,BI61)+'Lease Cycles'!$BE$11*IF(BI62&lt;INDEX('Lease Cycles'!$FA$11:$FG$11,1,BI61),0,1-INDEX('Lease Cycles'!$EM$11:$ES$11,1,BI61)),IF(OR(INDEX('Lease Cycles'!$DY$11:$EE$11,1,BI61)=1,BI62&gt;0),1,1-INDEX('Lease Cycles'!$DD$11:$DJ$11,1,BI61))*('Lease Cycles'!$AJ$11*INDEX('Lease Cycles'!$FO$11:$FU$11,1,BI61)+'Lease Cycles'!$BE$11*(1-INDEX('Lease Cycles'!$FO$11:$FU$11,1,BI61)))),0)</f>
        <v>0</v>
      </c>
      <c r="BJ71" s="24">
        <f>IF(BJ63=1,'Lease Cycles'!$D$11*IF(INDEX('Lease Cycles'!$EF$11:$EL$11,1,BJ61)=1,'Lease Cycles'!$AJ$11*INDEX('Lease Cycles'!$FO$11:$FU$11,1,BJ61)*INDEX('Lease Cycles'!$EM$11:$ES$11,1,BJ61)+'Lease Cycles'!$BE$11*IF(BJ62&lt;INDEX('Lease Cycles'!$FA$11:$FG$11,1,BJ61),0,1-INDEX('Lease Cycles'!$EM$11:$ES$11,1,BJ61)),IF(OR(INDEX('Lease Cycles'!$DY$11:$EE$11,1,BJ61)=1,BJ62&gt;0),1,1-INDEX('Lease Cycles'!$DD$11:$DJ$11,1,BJ61))*('Lease Cycles'!$AJ$11*INDEX('Lease Cycles'!$FO$11:$FU$11,1,BJ61)+'Lease Cycles'!$BE$11*(1-INDEX('Lease Cycles'!$FO$11:$FU$11,1,BJ61)))),0)</f>
        <v>0</v>
      </c>
      <c r="BK71" s="24">
        <f>IF(BK63=1,'Lease Cycles'!$D$11*IF(INDEX('Lease Cycles'!$EF$11:$EL$11,1,BK61)=1,'Lease Cycles'!$AJ$11*INDEX('Lease Cycles'!$FO$11:$FU$11,1,BK61)*INDEX('Lease Cycles'!$EM$11:$ES$11,1,BK61)+'Lease Cycles'!$BE$11*IF(BK62&lt;INDEX('Lease Cycles'!$FA$11:$FG$11,1,BK61),0,1-INDEX('Lease Cycles'!$EM$11:$ES$11,1,BK61)),IF(OR(INDEX('Lease Cycles'!$DY$11:$EE$11,1,BK61)=1,BK62&gt;0),1,1-INDEX('Lease Cycles'!$DD$11:$DJ$11,1,BK61))*('Lease Cycles'!$AJ$11*INDEX('Lease Cycles'!$FO$11:$FU$11,1,BK61)+'Lease Cycles'!$BE$11*(1-INDEX('Lease Cycles'!$FO$11:$FU$11,1,BK61)))),0)</f>
        <v>0</v>
      </c>
      <c r="BL71" s="24">
        <f>IF(BL63=1,'Lease Cycles'!$D$11*IF(INDEX('Lease Cycles'!$EF$11:$EL$11,1,BL61)=1,'Lease Cycles'!$AJ$11*INDEX('Lease Cycles'!$FO$11:$FU$11,1,BL61)*INDEX('Lease Cycles'!$EM$11:$ES$11,1,BL61)+'Lease Cycles'!$BE$11*IF(BL62&lt;INDEX('Lease Cycles'!$FA$11:$FG$11,1,BL61),0,1-INDEX('Lease Cycles'!$EM$11:$ES$11,1,BL61)),IF(OR(INDEX('Lease Cycles'!$DY$11:$EE$11,1,BL61)=1,BL62&gt;0),1,1-INDEX('Lease Cycles'!$DD$11:$DJ$11,1,BL61))*('Lease Cycles'!$AJ$11*INDEX('Lease Cycles'!$FO$11:$FU$11,1,BL61)+'Lease Cycles'!$BE$11*(1-INDEX('Lease Cycles'!$FO$11:$FU$11,1,BL61)))),0)</f>
        <v>0</v>
      </c>
      <c r="BM71" s="24">
        <f>IF(BM63=1,'Lease Cycles'!$D$11*IF(INDEX('Lease Cycles'!$EF$11:$EL$11,1,BM61)=1,'Lease Cycles'!$AJ$11*INDEX('Lease Cycles'!$FO$11:$FU$11,1,BM61)*INDEX('Lease Cycles'!$EM$11:$ES$11,1,BM61)+'Lease Cycles'!$BE$11*IF(BM62&lt;INDEX('Lease Cycles'!$FA$11:$FG$11,1,BM61),0,1-INDEX('Lease Cycles'!$EM$11:$ES$11,1,BM61)),IF(OR(INDEX('Lease Cycles'!$DY$11:$EE$11,1,BM61)=1,BM62&gt;0),1,1-INDEX('Lease Cycles'!$DD$11:$DJ$11,1,BM61))*('Lease Cycles'!$AJ$11*INDEX('Lease Cycles'!$FO$11:$FU$11,1,BM61)+'Lease Cycles'!$BE$11*(1-INDEX('Lease Cycles'!$FO$11:$FU$11,1,BM61)))),0)</f>
        <v>0</v>
      </c>
      <c r="BN71" s="24">
        <f>IF(BN63=1,'Lease Cycles'!$D$11*IF(INDEX('Lease Cycles'!$EF$11:$EL$11,1,BN61)=1,'Lease Cycles'!$AJ$11*INDEX('Lease Cycles'!$FO$11:$FU$11,1,BN61)*INDEX('Lease Cycles'!$EM$11:$ES$11,1,BN61)+'Lease Cycles'!$BE$11*IF(BN62&lt;INDEX('Lease Cycles'!$FA$11:$FG$11,1,BN61),0,1-INDEX('Lease Cycles'!$EM$11:$ES$11,1,BN61)),IF(OR(INDEX('Lease Cycles'!$DY$11:$EE$11,1,BN61)=1,BN62&gt;0),1,1-INDEX('Lease Cycles'!$DD$11:$DJ$11,1,BN61))*('Lease Cycles'!$AJ$11*INDEX('Lease Cycles'!$FO$11:$FU$11,1,BN61)+'Lease Cycles'!$BE$11*(1-INDEX('Lease Cycles'!$FO$11:$FU$11,1,BN61)))),0)</f>
        <v>0</v>
      </c>
      <c r="BO71" s="24">
        <f>IF(BO63=1,'Lease Cycles'!$D$11*IF(INDEX('Lease Cycles'!$EF$11:$EL$11,1,BO61)=1,'Lease Cycles'!$AJ$11*INDEX('Lease Cycles'!$FO$11:$FU$11,1,BO61)*INDEX('Lease Cycles'!$EM$11:$ES$11,1,BO61)+'Lease Cycles'!$BE$11*IF(BO62&lt;INDEX('Lease Cycles'!$FA$11:$FG$11,1,BO61),0,1-INDEX('Lease Cycles'!$EM$11:$ES$11,1,BO61)),IF(OR(INDEX('Lease Cycles'!$DY$11:$EE$11,1,BO61)=1,BO62&gt;0),1,1-INDEX('Lease Cycles'!$DD$11:$DJ$11,1,BO61))*('Lease Cycles'!$AJ$11*INDEX('Lease Cycles'!$FO$11:$FU$11,1,BO61)+'Lease Cycles'!$BE$11*(1-INDEX('Lease Cycles'!$FO$11:$FU$11,1,BO61)))),0)</f>
        <v>0</v>
      </c>
      <c r="BP71" s="24">
        <f>IF(BP63=1,'Lease Cycles'!$D$11*IF(INDEX('Lease Cycles'!$EF$11:$EL$11,1,BP61)=1,'Lease Cycles'!$AJ$11*INDEX('Lease Cycles'!$FO$11:$FU$11,1,BP61)*INDEX('Lease Cycles'!$EM$11:$ES$11,1,BP61)+'Lease Cycles'!$BE$11*IF(BP62&lt;INDEX('Lease Cycles'!$FA$11:$FG$11,1,BP61),0,1-INDEX('Lease Cycles'!$EM$11:$ES$11,1,BP61)),IF(OR(INDEX('Lease Cycles'!$DY$11:$EE$11,1,BP61)=1,BP62&gt;0),1,1-INDEX('Lease Cycles'!$DD$11:$DJ$11,1,BP61))*('Lease Cycles'!$AJ$11*INDEX('Lease Cycles'!$FO$11:$FU$11,1,BP61)+'Lease Cycles'!$BE$11*(1-INDEX('Lease Cycles'!$FO$11:$FU$11,1,BP61)))),0)</f>
        <v>0</v>
      </c>
      <c r="BQ71" s="24">
        <f>IF(BQ63=1,'Lease Cycles'!$D$11*IF(INDEX('Lease Cycles'!$EF$11:$EL$11,1,BQ61)=1,'Lease Cycles'!$AJ$11*INDEX('Lease Cycles'!$FO$11:$FU$11,1,BQ61)*INDEX('Lease Cycles'!$EM$11:$ES$11,1,BQ61)+'Lease Cycles'!$BE$11*IF(BQ62&lt;INDEX('Lease Cycles'!$FA$11:$FG$11,1,BQ61),0,1-INDEX('Lease Cycles'!$EM$11:$ES$11,1,BQ61)),IF(OR(INDEX('Lease Cycles'!$DY$11:$EE$11,1,BQ61)=1,BQ62&gt;0),1,1-INDEX('Lease Cycles'!$DD$11:$DJ$11,1,BQ61))*('Lease Cycles'!$AJ$11*INDEX('Lease Cycles'!$FO$11:$FU$11,1,BQ61)+'Lease Cycles'!$BE$11*(1-INDEX('Lease Cycles'!$FO$11:$FU$11,1,BQ61)))),0)</f>
        <v>0</v>
      </c>
      <c r="BR71" s="24">
        <f>IF(BR63=1,'Lease Cycles'!$D$11*IF(INDEX('Lease Cycles'!$EF$11:$EL$11,1,BR61)=1,'Lease Cycles'!$AJ$11*INDEX('Lease Cycles'!$FO$11:$FU$11,1,BR61)*INDEX('Lease Cycles'!$EM$11:$ES$11,1,BR61)+'Lease Cycles'!$BE$11*IF(BR62&lt;INDEX('Lease Cycles'!$FA$11:$FG$11,1,BR61),0,1-INDEX('Lease Cycles'!$EM$11:$ES$11,1,BR61)),IF(OR(INDEX('Lease Cycles'!$DY$11:$EE$11,1,BR61)=1,BR62&gt;0),1,1-INDEX('Lease Cycles'!$DD$11:$DJ$11,1,BR61))*('Lease Cycles'!$AJ$11*INDEX('Lease Cycles'!$FO$11:$FU$11,1,BR61)+'Lease Cycles'!$BE$11*(1-INDEX('Lease Cycles'!$FO$11:$FU$11,1,BR61)))),0)</f>
        <v>0</v>
      </c>
      <c r="BS71" s="24">
        <f>IF(BS63=1,'Lease Cycles'!$D$11*IF(INDEX('Lease Cycles'!$EF$11:$EL$11,1,BS61)=1,'Lease Cycles'!$AJ$11*INDEX('Lease Cycles'!$FO$11:$FU$11,1,BS61)*INDEX('Lease Cycles'!$EM$11:$ES$11,1,BS61)+'Lease Cycles'!$BE$11*IF(BS62&lt;INDEX('Lease Cycles'!$FA$11:$FG$11,1,BS61),0,1-INDEX('Lease Cycles'!$EM$11:$ES$11,1,BS61)),IF(OR(INDEX('Lease Cycles'!$DY$11:$EE$11,1,BS61)=1,BS62&gt;0),1,1-INDEX('Lease Cycles'!$DD$11:$DJ$11,1,BS61))*('Lease Cycles'!$AJ$11*INDEX('Lease Cycles'!$FO$11:$FU$11,1,BS61)+'Lease Cycles'!$BE$11*(1-INDEX('Lease Cycles'!$FO$11:$FU$11,1,BS61)))),0)</f>
        <v>0</v>
      </c>
      <c r="BT71" s="24">
        <f>IF(BT63=1,'Lease Cycles'!$D$11*IF(INDEX('Lease Cycles'!$EF$11:$EL$11,1,BT61)=1,'Lease Cycles'!$AJ$11*INDEX('Lease Cycles'!$FO$11:$FU$11,1,BT61)*INDEX('Lease Cycles'!$EM$11:$ES$11,1,BT61)+'Lease Cycles'!$BE$11*IF(BT62&lt;INDEX('Lease Cycles'!$FA$11:$FG$11,1,BT61),0,1-INDEX('Lease Cycles'!$EM$11:$ES$11,1,BT61)),IF(OR(INDEX('Lease Cycles'!$DY$11:$EE$11,1,BT61)=1,BT62&gt;0),1,1-INDEX('Lease Cycles'!$DD$11:$DJ$11,1,BT61))*('Lease Cycles'!$AJ$11*INDEX('Lease Cycles'!$FO$11:$FU$11,1,BT61)+'Lease Cycles'!$BE$11*(1-INDEX('Lease Cycles'!$FO$11:$FU$11,1,BT61)))),0)</f>
        <v>0</v>
      </c>
      <c r="BU71" s="24">
        <f>IF(BU63=1,'Lease Cycles'!$D$11*IF(INDEX('Lease Cycles'!$EF$11:$EL$11,1,BU61)=1,'Lease Cycles'!$AJ$11*INDEX('Lease Cycles'!$FO$11:$FU$11,1,BU61)*INDEX('Lease Cycles'!$EM$11:$ES$11,1,BU61)+'Lease Cycles'!$BE$11*IF(BU62&lt;INDEX('Lease Cycles'!$FA$11:$FG$11,1,BU61),0,1-INDEX('Lease Cycles'!$EM$11:$ES$11,1,BU61)),IF(OR(INDEX('Lease Cycles'!$DY$11:$EE$11,1,BU61)=1,BU62&gt;0),1,1-INDEX('Lease Cycles'!$DD$11:$DJ$11,1,BU61))*('Lease Cycles'!$AJ$11*INDEX('Lease Cycles'!$FO$11:$FU$11,1,BU61)+'Lease Cycles'!$BE$11*(1-INDEX('Lease Cycles'!$FO$11:$FU$11,1,BU61)))),0)</f>
        <v>0</v>
      </c>
      <c r="BV71" s="24">
        <f>IF(BV63=1,'Lease Cycles'!$D$11*IF(INDEX('Lease Cycles'!$EF$11:$EL$11,1,BV61)=1,'Lease Cycles'!$AJ$11*INDEX('Lease Cycles'!$FO$11:$FU$11,1,BV61)*INDEX('Lease Cycles'!$EM$11:$ES$11,1,BV61)+'Lease Cycles'!$BE$11*IF(BV62&lt;INDEX('Lease Cycles'!$FA$11:$FG$11,1,BV61),0,1-INDEX('Lease Cycles'!$EM$11:$ES$11,1,BV61)),IF(OR(INDEX('Lease Cycles'!$DY$11:$EE$11,1,BV61)=1,BV62&gt;0),1,1-INDEX('Lease Cycles'!$DD$11:$DJ$11,1,BV61))*('Lease Cycles'!$AJ$11*INDEX('Lease Cycles'!$FO$11:$FU$11,1,BV61)+'Lease Cycles'!$BE$11*(1-INDEX('Lease Cycles'!$FO$11:$FU$11,1,BV61)))),0)</f>
        <v>0</v>
      </c>
      <c r="BW71" s="24">
        <f>IF(BW63=1,'Lease Cycles'!$D$11*IF(INDEX('Lease Cycles'!$EF$11:$EL$11,1,BW61)=1,'Lease Cycles'!$AJ$11*INDEX('Lease Cycles'!$FO$11:$FU$11,1,BW61)*INDEX('Lease Cycles'!$EM$11:$ES$11,1,BW61)+'Lease Cycles'!$BE$11*IF(BW62&lt;INDEX('Lease Cycles'!$FA$11:$FG$11,1,BW61),0,1-INDEX('Lease Cycles'!$EM$11:$ES$11,1,BW61)),IF(OR(INDEX('Lease Cycles'!$DY$11:$EE$11,1,BW61)=1,BW62&gt;0),1,1-INDEX('Lease Cycles'!$DD$11:$DJ$11,1,BW61))*('Lease Cycles'!$AJ$11*INDEX('Lease Cycles'!$FO$11:$FU$11,1,BW61)+'Lease Cycles'!$BE$11*(1-INDEX('Lease Cycles'!$FO$11:$FU$11,1,BW61)))),0)</f>
        <v>0</v>
      </c>
      <c r="BX71" s="24">
        <f>IF(BX63=1,'Lease Cycles'!$D$11*IF(INDEX('Lease Cycles'!$EF$11:$EL$11,1,BX61)=1,'Lease Cycles'!$AJ$11*INDEX('Lease Cycles'!$FO$11:$FU$11,1,BX61)*INDEX('Lease Cycles'!$EM$11:$ES$11,1,BX61)+'Lease Cycles'!$BE$11*IF(BX62&lt;INDEX('Lease Cycles'!$FA$11:$FG$11,1,BX61),0,1-INDEX('Lease Cycles'!$EM$11:$ES$11,1,BX61)),IF(OR(INDEX('Lease Cycles'!$DY$11:$EE$11,1,BX61)=1,BX62&gt;0),1,1-INDEX('Lease Cycles'!$DD$11:$DJ$11,1,BX61))*('Lease Cycles'!$AJ$11*INDEX('Lease Cycles'!$FO$11:$FU$11,1,BX61)+'Lease Cycles'!$BE$11*(1-INDEX('Lease Cycles'!$FO$11:$FU$11,1,BX61)))),0)</f>
        <v>0</v>
      </c>
      <c r="BY71" s="24">
        <f>IF(BY63=1,'Lease Cycles'!$D$11*IF(INDEX('Lease Cycles'!$EF$11:$EL$11,1,BY61)=1,'Lease Cycles'!$AJ$11*INDEX('Lease Cycles'!$FO$11:$FU$11,1,BY61)*INDEX('Lease Cycles'!$EM$11:$ES$11,1,BY61)+'Lease Cycles'!$BE$11*IF(BY62&lt;INDEX('Lease Cycles'!$FA$11:$FG$11,1,BY61),0,1-INDEX('Lease Cycles'!$EM$11:$ES$11,1,BY61)),IF(OR(INDEX('Lease Cycles'!$DY$11:$EE$11,1,BY61)=1,BY62&gt;0),1,1-INDEX('Lease Cycles'!$DD$11:$DJ$11,1,BY61))*('Lease Cycles'!$AJ$11*INDEX('Lease Cycles'!$FO$11:$FU$11,1,BY61)+'Lease Cycles'!$BE$11*(1-INDEX('Lease Cycles'!$FO$11:$FU$11,1,BY61)))),0)</f>
        <v>0</v>
      </c>
      <c r="BZ71" s="24">
        <f>IF(BZ63=1,'Lease Cycles'!$D$11*IF(INDEX('Lease Cycles'!$EF$11:$EL$11,1,BZ61)=1,'Lease Cycles'!$AJ$11*INDEX('Lease Cycles'!$FO$11:$FU$11,1,BZ61)*INDEX('Lease Cycles'!$EM$11:$ES$11,1,BZ61)+'Lease Cycles'!$BE$11*IF(BZ62&lt;INDEX('Lease Cycles'!$FA$11:$FG$11,1,BZ61),0,1-INDEX('Lease Cycles'!$EM$11:$ES$11,1,BZ61)),IF(OR(INDEX('Lease Cycles'!$DY$11:$EE$11,1,BZ61)=1,BZ62&gt;0),1,1-INDEX('Lease Cycles'!$DD$11:$DJ$11,1,BZ61))*('Lease Cycles'!$AJ$11*INDEX('Lease Cycles'!$FO$11:$FU$11,1,BZ61)+'Lease Cycles'!$BE$11*(1-INDEX('Lease Cycles'!$FO$11:$FU$11,1,BZ61)))),0)</f>
        <v>0</v>
      </c>
      <c r="CA71" s="24">
        <f>IF(CA63=1,'Lease Cycles'!$D$11*IF(INDEX('Lease Cycles'!$EF$11:$EL$11,1,CA61)=1,'Lease Cycles'!$AJ$11*INDEX('Lease Cycles'!$FO$11:$FU$11,1,CA61)*INDEX('Lease Cycles'!$EM$11:$ES$11,1,CA61)+'Lease Cycles'!$BE$11*IF(CA62&lt;INDEX('Lease Cycles'!$FA$11:$FG$11,1,CA61),0,1-INDEX('Lease Cycles'!$EM$11:$ES$11,1,CA61)),IF(OR(INDEX('Lease Cycles'!$DY$11:$EE$11,1,CA61)=1,CA62&gt;0),1,1-INDEX('Lease Cycles'!$DD$11:$DJ$11,1,CA61))*('Lease Cycles'!$AJ$11*INDEX('Lease Cycles'!$FO$11:$FU$11,1,CA61)+'Lease Cycles'!$BE$11*(1-INDEX('Lease Cycles'!$FO$11:$FU$11,1,CA61)))),0)</f>
        <v>0</v>
      </c>
      <c r="CB71" s="24">
        <f>IF(CB63=1,'Lease Cycles'!$D$11*IF(INDEX('Lease Cycles'!$EF$11:$EL$11,1,CB61)=1,'Lease Cycles'!$AJ$11*INDEX('Lease Cycles'!$FO$11:$FU$11,1,CB61)*INDEX('Lease Cycles'!$EM$11:$ES$11,1,CB61)+'Lease Cycles'!$BE$11*IF(CB62&lt;INDEX('Lease Cycles'!$FA$11:$FG$11,1,CB61),0,1-INDEX('Lease Cycles'!$EM$11:$ES$11,1,CB61)),IF(OR(INDEX('Lease Cycles'!$DY$11:$EE$11,1,CB61)=1,CB62&gt;0),1,1-INDEX('Lease Cycles'!$DD$11:$DJ$11,1,CB61))*('Lease Cycles'!$AJ$11*INDEX('Lease Cycles'!$FO$11:$FU$11,1,CB61)+'Lease Cycles'!$BE$11*(1-INDEX('Lease Cycles'!$FO$11:$FU$11,1,CB61)))),0)</f>
        <v>0</v>
      </c>
      <c r="CC71" s="24">
        <f>IF(CC63=1,'Lease Cycles'!$D$11*IF(INDEX('Lease Cycles'!$EF$11:$EL$11,1,CC61)=1,'Lease Cycles'!$AJ$11*INDEX('Lease Cycles'!$FO$11:$FU$11,1,CC61)*INDEX('Lease Cycles'!$EM$11:$ES$11,1,CC61)+'Lease Cycles'!$BE$11*IF(CC62&lt;INDEX('Lease Cycles'!$FA$11:$FG$11,1,CC61),0,1-INDEX('Lease Cycles'!$EM$11:$ES$11,1,CC61)),IF(OR(INDEX('Lease Cycles'!$DY$11:$EE$11,1,CC61)=1,CC62&gt;0),1,1-INDEX('Lease Cycles'!$DD$11:$DJ$11,1,CC61))*('Lease Cycles'!$AJ$11*INDEX('Lease Cycles'!$FO$11:$FU$11,1,CC61)+'Lease Cycles'!$BE$11*(1-INDEX('Lease Cycles'!$FO$11:$FU$11,1,CC61)))),0)</f>
        <v>0</v>
      </c>
      <c r="CD71" s="24">
        <f>IF(CD63=1,'Lease Cycles'!$D$11*IF(INDEX('Lease Cycles'!$EF$11:$EL$11,1,CD61)=1,'Lease Cycles'!$AJ$11*INDEX('Lease Cycles'!$FO$11:$FU$11,1,CD61)*INDEX('Lease Cycles'!$EM$11:$ES$11,1,CD61)+'Lease Cycles'!$BE$11*IF(CD62&lt;INDEX('Lease Cycles'!$FA$11:$FG$11,1,CD61),0,1-INDEX('Lease Cycles'!$EM$11:$ES$11,1,CD61)),IF(OR(INDEX('Lease Cycles'!$DY$11:$EE$11,1,CD61)=1,CD62&gt;0),1,1-INDEX('Lease Cycles'!$DD$11:$DJ$11,1,CD61))*('Lease Cycles'!$AJ$11*INDEX('Lease Cycles'!$FO$11:$FU$11,1,CD61)+'Lease Cycles'!$BE$11*(1-INDEX('Lease Cycles'!$FO$11:$FU$11,1,CD61)))),0)</f>
        <v>0</v>
      </c>
      <c r="CE71" s="24">
        <f>IF(CE63=1,'Lease Cycles'!$D$11*IF(INDEX('Lease Cycles'!$EF$11:$EL$11,1,CE61)=1,'Lease Cycles'!$AJ$11*INDEX('Lease Cycles'!$FO$11:$FU$11,1,CE61)*INDEX('Lease Cycles'!$EM$11:$ES$11,1,CE61)+'Lease Cycles'!$BE$11*IF(CE62&lt;INDEX('Lease Cycles'!$FA$11:$FG$11,1,CE61),0,1-INDEX('Lease Cycles'!$EM$11:$ES$11,1,CE61)),IF(OR(INDEX('Lease Cycles'!$DY$11:$EE$11,1,CE61)=1,CE62&gt;0),1,1-INDEX('Lease Cycles'!$DD$11:$DJ$11,1,CE61))*('Lease Cycles'!$AJ$11*INDEX('Lease Cycles'!$FO$11:$FU$11,1,CE61)+'Lease Cycles'!$BE$11*(1-INDEX('Lease Cycles'!$FO$11:$FU$11,1,CE61)))),0)</f>
        <v>0</v>
      </c>
      <c r="CF71" s="24">
        <f>IF(CF63=1,'Lease Cycles'!$D$11*IF(INDEX('Lease Cycles'!$EF$11:$EL$11,1,CF61)=1,'Lease Cycles'!$AJ$11*INDEX('Lease Cycles'!$FO$11:$FU$11,1,CF61)*INDEX('Lease Cycles'!$EM$11:$ES$11,1,CF61)+'Lease Cycles'!$BE$11*IF(CF62&lt;INDEX('Lease Cycles'!$FA$11:$FG$11,1,CF61),0,1-INDEX('Lease Cycles'!$EM$11:$ES$11,1,CF61)),IF(OR(INDEX('Lease Cycles'!$DY$11:$EE$11,1,CF61)=1,CF62&gt;0),1,1-INDEX('Lease Cycles'!$DD$11:$DJ$11,1,CF61))*('Lease Cycles'!$AJ$11*INDEX('Lease Cycles'!$FO$11:$FU$11,1,CF61)+'Lease Cycles'!$BE$11*(1-INDEX('Lease Cycles'!$FO$11:$FU$11,1,CF61)))),0)</f>
        <v>0</v>
      </c>
      <c r="CG71" s="24">
        <f>IF(CG63=1,'Lease Cycles'!$D$11*IF(INDEX('Lease Cycles'!$EF$11:$EL$11,1,CG61)=1,'Lease Cycles'!$AJ$11*INDEX('Lease Cycles'!$FO$11:$FU$11,1,CG61)*INDEX('Lease Cycles'!$EM$11:$ES$11,1,CG61)+'Lease Cycles'!$BE$11*IF(CG62&lt;INDEX('Lease Cycles'!$FA$11:$FG$11,1,CG61),0,1-INDEX('Lease Cycles'!$EM$11:$ES$11,1,CG61)),IF(OR(INDEX('Lease Cycles'!$DY$11:$EE$11,1,CG61)=1,CG62&gt;0),1,1-INDEX('Lease Cycles'!$DD$11:$DJ$11,1,CG61))*('Lease Cycles'!$AJ$11*INDEX('Lease Cycles'!$FO$11:$FU$11,1,CG61)+'Lease Cycles'!$BE$11*(1-INDEX('Lease Cycles'!$FO$11:$FU$11,1,CG61)))),0)</f>
        <v>0</v>
      </c>
      <c r="CH71" s="24">
        <f>IF(CH63=1,'Lease Cycles'!$D$11*IF(INDEX('Lease Cycles'!$EF$11:$EL$11,1,CH61)=1,'Lease Cycles'!$AJ$11*INDEX('Lease Cycles'!$FO$11:$FU$11,1,CH61)*INDEX('Lease Cycles'!$EM$11:$ES$11,1,CH61)+'Lease Cycles'!$BE$11*IF(CH62&lt;INDEX('Lease Cycles'!$FA$11:$FG$11,1,CH61),0,1-INDEX('Lease Cycles'!$EM$11:$ES$11,1,CH61)),IF(OR(INDEX('Lease Cycles'!$DY$11:$EE$11,1,CH61)=1,CH62&gt;0),1,1-INDEX('Lease Cycles'!$DD$11:$DJ$11,1,CH61))*('Lease Cycles'!$AJ$11*INDEX('Lease Cycles'!$FO$11:$FU$11,1,CH61)+'Lease Cycles'!$BE$11*(1-INDEX('Lease Cycles'!$FO$11:$FU$11,1,CH61)))),0)</f>
        <v>0</v>
      </c>
      <c r="CI71" s="24">
        <f>IF(CI63=1,'Lease Cycles'!$D$11*IF(INDEX('Lease Cycles'!$EF$11:$EL$11,1,CI61)=1,'Lease Cycles'!$AJ$11*INDEX('Lease Cycles'!$FO$11:$FU$11,1,CI61)*INDEX('Lease Cycles'!$EM$11:$ES$11,1,CI61)+'Lease Cycles'!$BE$11*IF(CI62&lt;INDEX('Lease Cycles'!$FA$11:$FG$11,1,CI61),0,1-INDEX('Lease Cycles'!$EM$11:$ES$11,1,CI61)),IF(OR(INDEX('Lease Cycles'!$DY$11:$EE$11,1,CI61)=1,CI62&gt;0),1,1-INDEX('Lease Cycles'!$DD$11:$DJ$11,1,CI61))*('Lease Cycles'!$AJ$11*INDEX('Lease Cycles'!$FO$11:$FU$11,1,CI61)+'Lease Cycles'!$BE$11*(1-INDEX('Lease Cycles'!$FO$11:$FU$11,1,CI61)))),0)</f>
        <v>0</v>
      </c>
      <c r="CJ71" s="24">
        <f>IF(CJ63=1,'Lease Cycles'!$D$11*IF(INDEX('Lease Cycles'!$EF$11:$EL$11,1,CJ61)=1,'Lease Cycles'!$AJ$11*INDEX('Lease Cycles'!$FO$11:$FU$11,1,CJ61)*INDEX('Lease Cycles'!$EM$11:$ES$11,1,CJ61)+'Lease Cycles'!$BE$11*IF(CJ62&lt;INDEX('Lease Cycles'!$FA$11:$FG$11,1,CJ61),0,1-INDEX('Lease Cycles'!$EM$11:$ES$11,1,CJ61)),IF(OR(INDEX('Lease Cycles'!$DY$11:$EE$11,1,CJ61)=1,CJ62&gt;0),1,1-INDEX('Lease Cycles'!$DD$11:$DJ$11,1,CJ61))*('Lease Cycles'!$AJ$11*INDEX('Lease Cycles'!$FO$11:$FU$11,1,CJ61)+'Lease Cycles'!$BE$11*(1-INDEX('Lease Cycles'!$FO$11:$FU$11,1,CJ61)))),0)</f>
        <v>0</v>
      </c>
      <c r="CK71" s="24">
        <f>IF(CK63=1,'Lease Cycles'!$D$11*IF(INDEX('Lease Cycles'!$EF$11:$EL$11,1,CK61)=1,'Lease Cycles'!$AJ$11*INDEX('Lease Cycles'!$FO$11:$FU$11,1,CK61)*INDEX('Lease Cycles'!$EM$11:$ES$11,1,CK61)+'Lease Cycles'!$BE$11*IF(CK62&lt;INDEX('Lease Cycles'!$FA$11:$FG$11,1,CK61),0,1-INDEX('Lease Cycles'!$EM$11:$ES$11,1,CK61)),IF(OR(INDEX('Lease Cycles'!$DY$11:$EE$11,1,CK61)=1,CK62&gt;0),1,1-INDEX('Lease Cycles'!$DD$11:$DJ$11,1,CK61))*('Lease Cycles'!$AJ$11*INDEX('Lease Cycles'!$FO$11:$FU$11,1,CK61)+'Lease Cycles'!$BE$11*(1-INDEX('Lease Cycles'!$FO$11:$FU$11,1,CK61)))),0)</f>
        <v>0</v>
      </c>
      <c r="CL71" s="24">
        <f>IF(CL63=1,'Lease Cycles'!$D$11*IF(INDEX('Lease Cycles'!$EF$11:$EL$11,1,CL61)=1,'Lease Cycles'!$AJ$11*INDEX('Lease Cycles'!$FO$11:$FU$11,1,CL61)*INDEX('Lease Cycles'!$EM$11:$ES$11,1,CL61)+'Lease Cycles'!$BE$11*IF(CL62&lt;INDEX('Lease Cycles'!$FA$11:$FG$11,1,CL61),0,1-INDEX('Lease Cycles'!$EM$11:$ES$11,1,CL61)),IF(OR(INDEX('Lease Cycles'!$DY$11:$EE$11,1,CL61)=1,CL62&gt;0),1,1-INDEX('Lease Cycles'!$DD$11:$DJ$11,1,CL61))*('Lease Cycles'!$AJ$11*INDEX('Lease Cycles'!$FO$11:$FU$11,1,CL61)+'Lease Cycles'!$BE$11*(1-INDEX('Lease Cycles'!$FO$11:$FU$11,1,CL61)))),0)</f>
        <v>0</v>
      </c>
      <c r="CM71" s="24">
        <f>IF(CM63=1,'Lease Cycles'!$D$11*IF(INDEX('Lease Cycles'!$EF$11:$EL$11,1,CM61)=1,'Lease Cycles'!$AJ$11*INDEX('Lease Cycles'!$FO$11:$FU$11,1,CM61)*INDEX('Lease Cycles'!$EM$11:$ES$11,1,CM61)+'Lease Cycles'!$BE$11*IF(CM62&lt;INDEX('Lease Cycles'!$FA$11:$FG$11,1,CM61),0,1-INDEX('Lease Cycles'!$EM$11:$ES$11,1,CM61)),IF(OR(INDEX('Lease Cycles'!$DY$11:$EE$11,1,CM61)=1,CM62&gt;0),1,1-INDEX('Lease Cycles'!$DD$11:$DJ$11,1,CM61))*('Lease Cycles'!$AJ$11*INDEX('Lease Cycles'!$FO$11:$FU$11,1,CM61)+'Lease Cycles'!$BE$11*(1-INDEX('Lease Cycles'!$FO$11:$FU$11,1,CM61)))),0)</f>
        <v>0</v>
      </c>
      <c r="CN71" s="24">
        <f>IF(CN63=1,'Lease Cycles'!$D$11*IF(INDEX('Lease Cycles'!$EF$11:$EL$11,1,CN61)=1,'Lease Cycles'!$AJ$11*INDEX('Lease Cycles'!$FO$11:$FU$11,1,CN61)*INDEX('Lease Cycles'!$EM$11:$ES$11,1,CN61)+'Lease Cycles'!$BE$11*IF(CN62&lt;INDEX('Lease Cycles'!$FA$11:$FG$11,1,CN61),0,1-INDEX('Lease Cycles'!$EM$11:$ES$11,1,CN61)),IF(OR(INDEX('Lease Cycles'!$DY$11:$EE$11,1,CN61)=1,CN62&gt;0),1,1-INDEX('Lease Cycles'!$DD$11:$DJ$11,1,CN61))*('Lease Cycles'!$AJ$11*INDEX('Lease Cycles'!$FO$11:$FU$11,1,CN61)+'Lease Cycles'!$BE$11*(1-INDEX('Lease Cycles'!$FO$11:$FU$11,1,CN61)))),0)</f>
        <v>0</v>
      </c>
      <c r="CO71" s="24">
        <f>IF(CO63=1,'Lease Cycles'!$D$11*IF(INDEX('Lease Cycles'!$EF$11:$EL$11,1,CO61)=1,'Lease Cycles'!$AJ$11*INDEX('Lease Cycles'!$FO$11:$FU$11,1,CO61)*INDEX('Lease Cycles'!$EM$11:$ES$11,1,CO61)+'Lease Cycles'!$BE$11*IF(CO62&lt;INDEX('Lease Cycles'!$FA$11:$FG$11,1,CO61),0,1-INDEX('Lease Cycles'!$EM$11:$ES$11,1,CO61)),IF(OR(INDEX('Lease Cycles'!$DY$11:$EE$11,1,CO61)=1,CO62&gt;0),1,1-INDEX('Lease Cycles'!$DD$11:$DJ$11,1,CO61))*('Lease Cycles'!$AJ$11*INDEX('Lease Cycles'!$FO$11:$FU$11,1,CO61)+'Lease Cycles'!$BE$11*(1-INDEX('Lease Cycles'!$FO$11:$FU$11,1,CO61)))),0)</f>
        <v>0</v>
      </c>
      <c r="CP71" s="24">
        <f>IF(CP63=1,'Lease Cycles'!$D$11*IF(INDEX('Lease Cycles'!$EF$11:$EL$11,1,CP61)=1,'Lease Cycles'!$AJ$11*INDEX('Lease Cycles'!$FO$11:$FU$11,1,CP61)*INDEX('Lease Cycles'!$EM$11:$ES$11,1,CP61)+'Lease Cycles'!$BE$11*IF(CP62&lt;INDEX('Lease Cycles'!$FA$11:$FG$11,1,CP61),0,1-INDEX('Lease Cycles'!$EM$11:$ES$11,1,CP61)),IF(OR(INDEX('Lease Cycles'!$DY$11:$EE$11,1,CP61)=1,CP62&gt;0),1,1-INDEX('Lease Cycles'!$DD$11:$DJ$11,1,CP61))*('Lease Cycles'!$AJ$11*INDEX('Lease Cycles'!$FO$11:$FU$11,1,CP61)+'Lease Cycles'!$BE$11*(1-INDEX('Lease Cycles'!$FO$11:$FU$11,1,CP61)))),0)</f>
        <v>0</v>
      </c>
      <c r="CQ71" s="24">
        <f>IF(CQ63=1,'Lease Cycles'!$D$11*IF(INDEX('Lease Cycles'!$EF$11:$EL$11,1,CQ61)=1,'Lease Cycles'!$AJ$11*INDEX('Lease Cycles'!$FO$11:$FU$11,1,CQ61)*INDEX('Lease Cycles'!$EM$11:$ES$11,1,CQ61)+'Lease Cycles'!$BE$11*IF(CQ62&lt;INDEX('Lease Cycles'!$FA$11:$FG$11,1,CQ61),0,1-INDEX('Lease Cycles'!$EM$11:$ES$11,1,CQ61)),IF(OR(INDEX('Lease Cycles'!$DY$11:$EE$11,1,CQ61)=1,CQ62&gt;0),1,1-INDEX('Lease Cycles'!$DD$11:$DJ$11,1,CQ61))*('Lease Cycles'!$AJ$11*INDEX('Lease Cycles'!$FO$11:$FU$11,1,CQ61)+'Lease Cycles'!$BE$11*(1-INDEX('Lease Cycles'!$FO$11:$FU$11,1,CQ61)))),0)</f>
        <v>0</v>
      </c>
      <c r="CR71" s="24">
        <f>IF(CR63=1,'Lease Cycles'!$D$11*IF(INDEX('Lease Cycles'!$EF$11:$EL$11,1,CR61)=1,'Lease Cycles'!$AJ$11*INDEX('Lease Cycles'!$FO$11:$FU$11,1,CR61)*INDEX('Lease Cycles'!$EM$11:$ES$11,1,CR61)+'Lease Cycles'!$BE$11*IF(CR62&lt;INDEX('Lease Cycles'!$FA$11:$FG$11,1,CR61),0,1-INDEX('Lease Cycles'!$EM$11:$ES$11,1,CR61)),IF(OR(INDEX('Lease Cycles'!$DY$11:$EE$11,1,CR61)=1,CR62&gt;0),1,1-INDEX('Lease Cycles'!$DD$11:$DJ$11,1,CR61))*('Lease Cycles'!$AJ$11*INDEX('Lease Cycles'!$FO$11:$FU$11,1,CR61)+'Lease Cycles'!$BE$11*(1-INDEX('Lease Cycles'!$FO$11:$FU$11,1,CR61)))),0)</f>
        <v>0</v>
      </c>
      <c r="CS71" s="24">
        <f>IF(CS63=1,'Lease Cycles'!$D$11*IF(INDEX('Lease Cycles'!$EF$11:$EL$11,1,CS61)=1,'Lease Cycles'!$AJ$11*INDEX('Lease Cycles'!$FO$11:$FU$11,1,CS61)*INDEX('Lease Cycles'!$EM$11:$ES$11,1,CS61)+'Lease Cycles'!$BE$11*IF(CS62&lt;INDEX('Lease Cycles'!$FA$11:$FG$11,1,CS61),0,1-INDEX('Lease Cycles'!$EM$11:$ES$11,1,CS61)),IF(OR(INDEX('Lease Cycles'!$DY$11:$EE$11,1,CS61)=1,CS62&gt;0),1,1-INDEX('Lease Cycles'!$DD$11:$DJ$11,1,CS61))*('Lease Cycles'!$AJ$11*INDEX('Lease Cycles'!$FO$11:$FU$11,1,CS61)+'Lease Cycles'!$BE$11*(1-INDEX('Lease Cycles'!$FO$11:$FU$11,1,CS61)))),0)</f>
        <v>0</v>
      </c>
      <c r="CT71" s="24">
        <f>IF(CT63=1,'Lease Cycles'!$D$11*IF(INDEX('Lease Cycles'!$EF$11:$EL$11,1,CT61)=1,'Lease Cycles'!$AJ$11*INDEX('Lease Cycles'!$FO$11:$FU$11,1,CT61)*INDEX('Lease Cycles'!$EM$11:$ES$11,1,CT61)+'Lease Cycles'!$BE$11*IF(CT62&lt;INDEX('Lease Cycles'!$FA$11:$FG$11,1,CT61),0,1-INDEX('Lease Cycles'!$EM$11:$ES$11,1,CT61)),IF(OR(INDEX('Lease Cycles'!$DY$11:$EE$11,1,CT61)=1,CT62&gt;0),1,1-INDEX('Lease Cycles'!$DD$11:$DJ$11,1,CT61))*('Lease Cycles'!$AJ$11*INDEX('Lease Cycles'!$FO$11:$FU$11,1,CT61)+'Lease Cycles'!$BE$11*(1-INDEX('Lease Cycles'!$FO$11:$FU$11,1,CT61)))),0)</f>
        <v>0</v>
      </c>
      <c r="CU71" s="24">
        <f>IF(CU63=1,'Lease Cycles'!$D$11*IF(INDEX('Lease Cycles'!$EF$11:$EL$11,1,CU61)=1,'Lease Cycles'!$AJ$11*INDEX('Lease Cycles'!$FO$11:$FU$11,1,CU61)*INDEX('Lease Cycles'!$EM$11:$ES$11,1,CU61)+'Lease Cycles'!$BE$11*IF(CU62&lt;INDEX('Lease Cycles'!$FA$11:$FG$11,1,CU61),0,1-INDEX('Lease Cycles'!$EM$11:$ES$11,1,CU61)),IF(OR(INDEX('Lease Cycles'!$DY$11:$EE$11,1,CU61)=1,CU62&gt;0),1,1-INDEX('Lease Cycles'!$DD$11:$DJ$11,1,CU61))*('Lease Cycles'!$AJ$11*INDEX('Lease Cycles'!$FO$11:$FU$11,1,CU61)+'Lease Cycles'!$BE$11*(1-INDEX('Lease Cycles'!$FO$11:$FU$11,1,CU61)))),0)</f>
        <v>0</v>
      </c>
      <c r="CV71" s="24">
        <f>IF(CV63=1,'Lease Cycles'!$D$11*IF(INDEX('Lease Cycles'!$EF$11:$EL$11,1,CV61)=1,'Lease Cycles'!$AJ$11*INDEX('Lease Cycles'!$FO$11:$FU$11,1,CV61)*INDEX('Lease Cycles'!$EM$11:$ES$11,1,CV61)+'Lease Cycles'!$BE$11*IF(CV62&lt;INDEX('Lease Cycles'!$FA$11:$FG$11,1,CV61),0,1-INDEX('Lease Cycles'!$EM$11:$ES$11,1,CV61)),IF(OR(INDEX('Lease Cycles'!$DY$11:$EE$11,1,CV61)=1,CV62&gt;0),1,1-INDEX('Lease Cycles'!$DD$11:$DJ$11,1,CV61))*('Lease Cycles'!$AJ$11*INDEX('Lease Cycles'!$FO$11:$FU$11,1,CV61)+'Lease Cycles'!$BE$11*(1-INDEX('Lease Cycles'!$FO$11:$FU$11,1,CV61)))),0)</f>
        <v>0</v>
      </c>
      <c r="CW71" s="24">
        <f>IF(CW63=1,'Lease Cycles'!$D$11*IF(INDEX('Lease Cycles'!$EF$11:$EL$11,1,CW61)=1,'Lease Cycles'!$AJ$11*INDEX('Lease Cycles'!$FO$11:$FU$11,1,CW61)*INDEX('Lease Cycles'!$EM$11:$ES$11,1,CW61)+'Lease Cycles'!$BE$11*IF(CW62&lt;INDEX('Lease Cycles'!$FA$11:$FG$11,1,CW61),0,1-INDEX('Lease Cycles'!$EM$11:$ES$11,1,CW61)),IF(OR(INDEX('Lease Cycles'!$DY$11:$EE$11,1,CW61)=1,CW62&gt;0),1,1-INDEX('Lease Cycles'!$DD$11:$DJ$11,1,CW61))*('Lease Cycles'!$AJ$11*INDEX('Lease Cycles'!$FO$11:$FU$11,1,CW61)+'Lease Cycles'!$BE$11*(1-INDEX('Lease Cycles'!$FO$11:$FU$11,1,CW61)))),0)</f>
        <v>0</v>
      </c>
      <c r="CX71" s="24">
        <f>IF(CX63=1,'Lease Cycles'!$D$11*IF(INDEX('Lease Cycles'!$EF$11:$EL$11,1,CX61)=1,'Lease Cycles'!$AJ$11*INDEX('Lease Cycles'!$FO$11:$FU$11,1,CX61)*INDEX('Lease Cycles'!$EM$11:$ES$11,1,CX61)+'Lease Cycles'!$BE$11*IF(CX62&lt;INDEX('Lease Cycles'!$FA$11:$FG$11,1,CX61),0,1-INDEX('Lease Cycles'!$EM$11:$ES$11,1,CX61)),IF(OR(INDEX('Lease Cycles'!$DY$11:$EE$11,1,CX61)=1,CX62&gt;0),1,1-INDEX('Lease Cycles'!$DD$11:$DJ$11,1,CX61))*('Lease Cycles'!$AJ$11*INDEX('Lease Cycles'!$FO$11:$FU$11,1,CX61)+'Lease Cycles'!$BE$11*(1-INDEX('Lease Cycles'!$FO$11:$FU$11,1,CX61)))),0)</f>
        <v>0</v>
      </c>
      <c r="CY71" s="24">
        <f>IF(CY63=1,'Lease Cycles'!$D$11*IF(INDEX('Lease Cycles'!$EF$11:$EL$11,1,CY61)=1,'Lease Cycles'!$AJ$11*INDEX('Lease Cycles'!$FO$11:$FU$11,1,CY61)*INDEX('Lease Cycles'!$EM$11:$ES$11,1,CY61)+'Lease Cycles'!$BE$11*IF(CY62&lt;INDEX('Lease Cycles'!$FA$11:$FG$11,1,CY61),0,1-INDEX('Lease Cycles'!$EM$11:$ES$11,1,CY61)),IF(OR(INDEX('Lease Cycles'!$DY$11:$EE$11,1,CY61)=1,CY62&gt;0),1,1-INDEX('Lease Cycles'!$DD$11:$DJ$11,1,CY61))*('Lease Cycles'!$AJ$11*INDEX('Lease Cycles'!$FO$11:$FU$11,1,CY61)+'Lease Cycles'!$BE$11*(1-INDEX('Lease Cycles'!$FO$11:$FU$11,1,CY61)))),0)</f>
        <v>0</v>
      </c>
      <c r="CZ71" s="24">
        <f>IF(CZ63=1,'Lease Cycles'!$D$11*IF(INDEX('Lease Cycles'!$EF$11:$EL$11,1,CZ61)=1,'Lease Cycles'!$AJ$11*INDEX('Lease Cycles'!$FO$11:$FU$11,1,CZ61)*INDEX('Lease Cycles'!$EM$11:$ES$11,1,CZ61)+'Lease Cycles'!$BE$11*IF(CZ62&lt;INDEX('Lease Cycles'!$FA$11:$FG$11,1,CZ61),0,1-INDEX('Lease Cycles'!$EM$11:$ES$11,1,CZ61)),IF(OR(INDEX('Lease Cycles'!$DY$11:$EE$11,1,CZ61)=1,CZ62&gt;0),1,1-INDEX('Lease Cycles'!$DD$11:$DJ$11,1,CZ61))*('Lease Cycles'!$AJ$11*INDEX('Lease Cycles'!$FO$11:$FU$11,1,CZ61)+'Lease Cycles'!$BE$11*(1-INDEX('Lease Cycles'!$FO$11:$FU$11,1,CZ61)))),0)</f>
        <v>0</v>
      </c>
      <c r="DA71" s="24">
        <f>IF(DA63=1,'Lease Cycles'!$D$11*IF(INDEX('Lease Cycles'!$EF$11:$EL$11,1,DA61)=1,'Lease Cycles'!$AJ$11*INDEX('Lease Cycles'!$FO$11:$FU$11,1,DA61)*INDEX('Lease Cycles'!$EM$11:$ES$11,1,DA61)+'Lease Cycles'!$BE$11*IF(DA62&lt;INDEX('Lease Cycles'!$FA$11:$FG$11,1,DA61),0,1-INDEX('Lease Cycles'!$EM$11:$ES$11,1,DA61)),IF(OR(INDEX('Lease Cycles'!$DY$11:$EE$11,1,DA61)=1,DA62&gt;0),1,1-INDEX('Lease Cycles'!$DD$11:$DJ$11,1,DA61))*('Lease Cycles'!$AJ$11*INDEX('Lease Cycles'!$FO$11:$FU$11,1,DA61)+'Lease Cycles'!$BE$11*(1-INDEX('Lease Cycles'!$FO$11:$FU$11,1,DA61)))),0)</f>
        <v>0</v>
      </c>
      <c r="DB71" s="24">
        <f>IF(DB63=1,'Lease Cycles'!$D$11*IF(INDEX('Lease Cycles'!$EF$11:$EL$11,1,DB61)=1,'Lease Cycles'!$AJ$11*INDEX('Lease Cycles'!$FO$11:$FU$11,1,DB61)*INDEX('Lease Cycles'!$EM$11:$ES$11,1,DB61)+'Lease Cycles'!$BE$11*IF(DB62&lt;INDEX('Lease Cycles'!$FA$11:$FG$11,1,DB61),0,1-INDEX('Lease Cycles'!$EM$11:$ES$11,1,DB61)),IF(OR(INDEX('Lease Cycles'!$DY$11:$EE$11,1,DB61)=1,DB62&gt;0),1,1-INDEX('Lease Cycles'!$DD$11:$DJ$11,1,DB61))*('Lease Cycles'!$AJ$11*INDEX('Lease Cycles'!$FO$11:$FU$11,1,DB61)+'Lease Cycles'!$BE$11*(1-INDEX('Lease Cycles'!$FO$11:$FU$11,1,DB61)))),0)</f>
        <v>0</v>
      </c>
      <c r="DC71" s="24">
        <f>IF(DC63=1,'Lease Cycles'!$D$11*IF(INDEX('Lease Cycles'!$EF$11:$EL$11,1,DC61)=1,'Lease Cycles'!$AJ$11*INDEX('Lease Cycles'!$FO$11:$FU$11,1,DC61)*INDEX('Lease Cycles'!$EM$11:$ES$11,1,DC61)+'Lease Cycles'!$BE$11*IF(DC62&lt;INDEX('Lease Cycles'!$FA$11:$FG$11,1,DC61),0,1-INDEX('Lease Cycles'!$EM$11:$ES$11,1,DC61)),IF(OR(INDEX('Lease Cycles'!$DY$11:$EE$11,1,DC61)=1,DC62&gt;0),1,1-INDEX('Lease Cycles'!$DD$11:$DJ$11,1,DC61))*('Lease Cycles'!$AJ$11*INDEX('Lease Cycles'!$FO$11:$FU$11,1,DC61)+'Lease Cycles'!$BE$11*(1-INDEX('Lease Cycles'!$FO$11:$FU$11,1,DC61)))),0)</f>
        <v>0</v>
      </c>
      <c r="DD71" s="24">
        <f>IF(DD63=1,'Lease Cycles'!$D$11*IF(INDEX('Lease Cycles'!$EF$11:$EL$11,1,DD61)=1,'Lease Cycles'!$AJ$11*INDEX('Lease Cycles'!$FO$11:$FU$11,1,DD61)*INDEX('Lease Cycles'!$EM$11:$ES$11,1,DD61)+'Lease Cycles'!$BE$11*IF(DD62&lt;INDEX('Lease Cycles'!$FA$11:$FG$11,1,DD61),0,1-INDEX('Lease Cycles'!$EM$11:$ES$11,1,DD61)),IF(OR(INDEX('Lease Cycles'!$DY$11:$EE$11,1,DD61)=1,DD62&gt;0),1,1-INDEX('Lease Cycles'!$DD$11:$DJ$11,1,DD61))*('Lease Cycles'!$AJ$11*INDEX('Lease Cycles'!$FO$11:$FU$11,1,DD61)+'Lease Cycles'!$BE$11*(1-INDEX('Lease Cycles'!$FO$11:$FU$11,1,DD61)))),0)</f>
        <v>0</v>
      </c>
      <c r="DE71" s="24">
        <f>IF(DE63=1,'Lease Cycles'!$D$11*IF(INDEX('Lease Cycles'!$EF$11:$EL$11,1,DE61)=1,'Lease Cycles'!$AJ$11*INDEX('Lease Cycles'!$FO$11:$FU$11,1,DE61)*INDEX('Lease Cycles'!$EM$11:$ES$11,1,DE61)+'Lease Cycles'!$BE$11*IF(DE62&lt;INDEX('Lease Cycles'!$FA$11:$FG$11,1,DE61),0,1-INDEX('Lease Cycles'!$EM$11:$ES$11,1,DE61)),IF(OR(INDEX('Lease Cycles'!$DY$11:$EE$11,1,DE61)=1,DE62&gt;0),1,1-INDEX('Lease Cycles'!$DD$11:$DJ$11,1,DE61))*('Lease Cycles'!$AJ$11*INDEX('Lease Cycles'!$FO$11:$FU$11,1,DE61)+'Lease Cycles'!$BE$11*(1-INDEX('Lease Cycles'!$FO$11:$FU$11,1,DE61)))),0)</f>
        <v>0</v>
      </c>
      <c r="DF71" s="24">
        <f>IF(DF63=1,'Lease Cycles'!$D$11*IF(INDEX('Lease Cycles'!$EF$11:$EL$11,1,DF61)=1,'Lease Cycles'!$AJ$11*INDEX('Lease Cycles'!$FO$11:$FU$11,1,DF61)*INDEX('Lease Cycles'!$EM$11:$ES$11,1,DF61)+'Lease Cycles'!$BE$11*IF(DF62&lt;INDEX('Lease Cycles'!$FA$11:$FG$11,1,DF61),0,1-INDEX('Lease Cycles'!$EM$11:$ES$11,1,DF61)),IF(OR(INDEX('Lease Cycles'!$DY$11:$EE$11,1,DF61)=1,DF62&gt;0),1,1-INDEX('Lease Cycles'!$DD$11:$DJ$11,1,DF61))*('Lease Cycles'!$AJ$11*INDEX('Lease Cycles'!$FO$11:$FU$11,1,DF61)+'Lease Cycles'!$BE$11*(1-INDEX('Lease Cycles'!$FO$11:$FU$11,1,DF61)))),0)</f>
        <v>0</v>
      </c>
      <c r="DG71" s="24">
        <f>IF(DG63=1,'Lease Cycles'!$D$11*IF(INDEX('Lease Cycles'!$EF$11:$EL$11,1,DG61)=1,'Lease Cycles'!$AJ$11*INDEX('Lease Cycles'!$FO$11:$FU$11,1,DG61)*INDEX('Lease Cycles'!$EM$11:$ES$11,1,DG61)+'Lease Cycles'!$BE$11*IF(DG62&lt;INDEX('Lease Cycles'!$FA$11:$FG$11,1,DG61),0,1-INDEX('Lease Cycles'!$EM$11:$ES$11,1,DG61)),IF(OR(INDEX('Lease Cycles'!$DY$11:$EE$11,1,DG61)=1,DG62&gt;0),1,1-INDEX('Lease Cycles'!$DD$11:$DJ$11,1,DG61))*('Lease Cycles'!$AJ$11*INDEX('Lease Cycles'!$FO$11:$FU$11,1,DG61)+'Lease Cycles'!$BE$11*(1-INDEX('Lease Cycles'!$FO$11:$FU$11,1,DG61)))),0)</f>
        <v>0</v>
      </c>
      <c r="DH71" s="24">
        <f>IF(DH63=1,'Lease Cycles'!$D$11*IF(INDEX('Lease Cycles'!$EF$11:$EL$11,1,DH61)=1,'Lease Cycles'!$AJ$11*INDEX('Lease Cycles'!$FO$11:$FU$11,1,DH61)*INDEX('Lease Cycles'!$EM$11:$ES$11,1,DH61)+'Lease Cycles'!$BE$11*IF(DH62&lt;INDEX('Lease Cycles'!$FA$11:$FG$11,1,DH61),0,1-INDEX('Lease Cycles'!$EM$11:$ES$11,1,DH61)),IF(OR(INDEX('Lease Cycles'!$DY$11:$EE$11,1,DH61)=1,DH62&gt;0),1,1-INDEX('Lease Cycles'!$DD$11:$DJ$11,1,DH61))*('Lease Cycles'!$AJ$11*INDEX('Lease Cycles'!$FO$11:$FU$11,1,DH61)+'Lease Cycles'!$BE$11*(1-INDEX('Lease Cycles'!$FO$11:$FU$11,1,DH61)))),0)</f>
        <v>0</v>
      </c>
      <c r="DI71" s="24">
        <f>IF(DI63=1,'Lease Cycles'!$D$11*IF(INDEX('Lease Cycles'!$EF$11:$EL$11,1,DI61)=1,'Lease Cycles'!$AJ$11*INDEX('Lease Cycles'!$FO$11:$FU$11,1,DI61)*INDEX('Lease Cycles'!$EM$11:$ES$11,1,DI61)+'Lease Cycles'!$BE$11*IF(DI62&lt;INDEX('Lease Cycles'!$FA$11:$FG$11,1,DI61),0,1-INDEX('Lease Cycles'!$EM$11:$ES$11,1,DI61)),IF(OR(INDEX('Lease Cycles'!$DY$11:$EE$11,1,DI61)=1,DI62&gt;0),1,1-INDEX('Lease Cycles'!$DD$11:$DJ$11,1,DI61))*('Lease Cycles'!$AJ$11*INDEX('Lease Cycles'!$FO$11:$FU$11,1,DI61)+'Lease Cycles'!$BE$11*(1-INDEX('Lease Cycles'!$FO$11:$FU$11,1,DI61)))),0)</f>
        <v>0</v>
      </c>
      <c r="DJ71" s="24">
        <f>IF(DJ63=1,'Lease Cycles'!$D$11*IF(INDEX('Lease Cycles'!$EF$11:$EL$11,1,DJ61)=1,'Lease Cycles'!$AJ$11*INDEX('Lease Cycles'!$FO$11:$FU$11,1,DJ61)*INDEX('Lease Cycles'!$EM$11:$ES$11,1,DJ61)+'Lease Cycles'!$BE$11*IF(DJ62&lt;INDEX('Lease Cycles'!$FA$11:$FG$11,1,DJ61),0,1-INDEX('Lease Cycles'!$EM$11:$ES$11,1,DJ61)),IF(OR(INDEX('Lease Cycles'!$DY$11:$EE$11,1,DJ61)=1,DJ62&gt;0),1,1-INDEX('Lease Cycles'!$DD$11:$DJ$11,1,DJ61))*('Lease Cycles'!$AJ$11*INDEX('Lease Cycles'!$FO$11:$FU$11,1,DJ61)+'Lease Cycles'!$BE$11*(1-INDEX('Lease Cycles'!$FO$11:$FU$11,1,DJ61)))),0)</f>
        <v>0</v>
      </c>
      <c r="DK71" s="24">
        <f>IF(DK63=1,'Lease Cycles'!$D$11*IF(INDEX('Lease Cycles'!$EF$11:$EL$11,1,DK61)=1,'Lease Cycles'!$AJ$11*INDEX('Lease Cycles'!$FO$11:$FU$11,1,DK61)*INDEX('Lease Cycles'!$EM$11:$ES$11,1,DK61)+'Lease Cycles'!$BE$11*IF(DK62&lt;INDEX('Lease Cycles'!$FA$11:$FG$11,1,DK61),0,1-INDEX('Lease Cycles'!$EM$11:$ES$11,1,DK61)),IF(OR(INDEX('Lease Cycles'!$DY$11:$EE$11,1,DK61)=1,DK62&gt;0),1,1-INDEX('Lease Cycles'!$DD$11:$DJ$11,1,DK61))*('Lease Cycles'!$AJ$11*INDEX('Lease Cycles'!$FO$11:$FU$11,1,DK61)+'Lease Cycles'!$BE$11*(1-INDEX('Lease Cycles'!$FO$11:$FU$11,1,DK61)))),0)</f>
        <v>0</v>
      </c>
      <c r="DL71" s="24">
        <f>IF(DL63=1,'Lease Cycles'!$D$11*IF(INDEX('Lease Cycles'!$EF$11:$EL$11,1,DL61)=1,'Lease Cycles'!$AJ$11*INDEX('Lease Cycles'!$FO$11:$FU$11,1,DL61)*INDEX('Lease Cycles'!$EM$11:$ES$11,1,DL61)+'Lease Cycles'!$BE$11*IF(DL62&lt;INDEX('Lease Cycles'!$FA$11:$FG$11,1,DL61),0,1-INDEX('Lease Cycles'!$EM$11:$ES$11,1,DL61)),IF(OR(INDEX('Lease Cycles'!$DY$11:$EE$11,1,DL61)=1,DL62&gt;0),1,1-INDEX('Lease Cycles'!$DD$11:$DJ$11,1,DL61))*('Lease Cycles'!$AJ$11*INDEX('Lease Cycles'!$FO$11:$FU$11,1,DL61)+'Lease Cycles'!$BE$11*(1-INDEX('Lease Cycles'!$FO$11:$FU$11,1,DL61)))),0)</f>
        <v>0</v>
      </c>
      <c r="DM71" s="24">
        <f>IF(DM63=1,'Lease Cycles'!$D$11*IF(INDEX('Lease Cycles'!$EF$11:$EL$11,1,DM61)=1,'Lease Cycles'!$AJ$11*INDEX('Lease Cycles'!$FO$11:$FU$11,1,DM61)*INDEX('Lease Cycles'!$EM$11:$ES$11,1,DM61)+'Lease Cycles'!$BE$11*IF(DM62&lt;INDEX('Lease Cycles'!$FA$11:$FG$11,1,DM61),0,1-INDEX('Lease Cycles'!$EM$11:$ES$11,1,DM61)),IF(OR(INDEX('Lease Cycles'!$DY$11:$EE$11,1,DM61)=1,DM62&gt;0),1,1-INDEX('Lease Cycles'!$DD$11:$DJ$11,1,DM61))*('Lease Cycles'!$AJ$11*INDEX('Lease Cycles'!$FO$11:$FU$11,1,DM61)+'Lease Cycles'!$BE$11*(1-INDEX('Lease Cycles'!$FO$11:$FU$11,1,DM61)))),0)</f>
        <v>0</v>
      </c>
      <c r="DN71" s="24">
        <f>IF(DN63=1,'Lease Cycles'!$D$11*IF(INDEX('Lease Cycles'!$EF$11:$EL$11,1,DN61)=1,'Lease Cycles'!$AJ$11*INDEX('Lease Cycles'!$FO$11:$FU$11,1,DN61)*INDEX('Lease Cycles'!$EM$11:$ES$11,1,DN61)+'Lease Cycles'!$BE$11*IF(DN62&lt;INDEX('Lease Cycles'!$FA$11:$FG$11,1,DN61),0,1-INDEX('Lease Cycles'!$EM$11:$ES$11,1,DN61)),IF(OR(INDEX('Lease Cycles'!$DY$11:$EE$11,1,DN61)=1,DN62&gt;0),1,1-INDEX('Lease Cycles'!$DD$11:$DJ$11,1,DN61))*('Lease Cycles'!$AJ$11*INDEX('Lease Cycles'!$FO$11:$FU$11,1,DN61)+'Lease Cycles'!$BE$11*(1-INDEX('Lease Cycles'!$FO$11:$FU$11,1,DN61)))),0)</f>
        <v>0</v>
      </c>
      <c r="DO71" s="24">
        <f>IF(DO63=1,'Lease Cycles'!$D$11*IF(INDEX('Lease Cycles'!$EF$11:$EL$11,1,DO61)=1,'Lease Cycles'!$AJ$11*INDEX('Lease Cycles'!$FO$11:$FU$11,1,DO61)*INDEX('Lease Cycles'!$EM$11:$ES$11,1,DO61)+'Lease Cycles'!$BE$11*IF(DO62&lt;INDEX('Lease Cycles'!$FA$11:$FG$11,1,DO61),0,1-INDEX('Lease Cycles'!$EM$11:$ES$11,1,DO61)),IF(OR(INDEX('Lease Cycles'!$DY$11:$EE$11,1,DO61)=1,DO62&gt;0),1,1-INDEX('Lease Cycles'!$DD$11:$DJ$11,1,DO61))*('Lease Cycles'!$AJ$11*INDEX('Lease Cycles'!$FO$11:$FU$11,1,DO61)+'Lease Cycles'!$BE$11*(1-INDEX('Lease Cycles'!$FO$11:$FU$11,1,DO61)))),0)</f>
        <v>0</v>
      </c>
      <c r="DP71" s="24">
        <f>IF(DP63=1,'Lease Cycles'!$D$11*IF(INDEX('Lease Cycles'!$EF$11:$EL$11,1,DP61)=1,'Lease Cycles'!$AJ$11*INDEX('Lease Cycles'!$FO$11:$FU$11,1,DP61)*INDEX('Lease Cycles'!$EM$11:$ES$11,1,DP61)+'Lease Cycles'!$BE$11*IF(DP62&lt;INDEX('Lease Cycles'!$FA$11:$FG$11,1,DP61),0,1-INDEX('Lease Cycles'!$EM$11:$ES$11,1,DP61)),IF(OR(INDEX('Lease Cycles'!$DY$11:$EE$11,1,DP61)=1,DP62&gt;0),1,1-INDEX('Lease Cycles'!$DD$11:$DJ$11,1,DP61))*('Lease Cycles'!$AJ$11*INDEX('Lease Cycles'!$FO$11:$FU$11,1,DP61)+'Lease Cycles'!$BE$11*(1-INDEX('Lease Cycles'!$FO$11:$FU$11,1,DP61)))),0)</f>
        <v>0</v>
      </c>
      <c r="DQ71" s="24">
        <f>IF(DQ63=1,'Lease Cycles'!$D$11*IF(INDEX('Lease Cycles'!$EF$11:$EL$11,1,DQ61)=1,'Lease Cycles'!$AJ$11*INDEX('Lease Cycles'!$FO$11:$FU$11,1,DQ61)*INDEX('Lease Cycles'!$EM$11:$ES$11,1,DQ61)+'Lease Cycles'!$BE$11*IF(DQ62&lt;INDEX('Lease Cycles'!$FA$11:$FG$11,1,DQ61),0,1-INDEX('Lease Cycles'!$EM$11:$ES$11,1,DQ61)),IF(OR(INDEX('Lease Cycles'!$DY$11:$EE$11,1,DQ61)=1,DQ62&gt;0),1,1-INDEX('Lease Cycles'!$DD$11:$DJ$11,1,DQ61))*('Lease Cycles'!$AJ$11*INDEX('Lease Cycles'!$FO$11:$FU$11,1,DQ61)+'Lease Cycles'!$BE$11*(1-INDEX('Lease Cycles'!$FO$11:$FU$11,1,DQ61)))),0)</f>
        <v>0</v>
      </c>
      <c r="DR71" s="24">
        <f>IF(DR63=1,'Lease Cycles'!$D$11*IF(INDEX('Lease Cycles'!$EF$11:$EL$11,1,DR61)=1,'Lease Cycles'!$AJ$11*INDEX('Lease Cycles'!$FO$11:$FU$11,1,DR61)*INDEX('Lease Cycles'!$EM$11:$ES$11,1,DR61)+'Lease Cycles'!$BE$11*IF(DR62&lt;INDEX('Lease Cycles'!$FA$11:$FG$11,1,DR61),0,1-INDEX('Lease Cycles'!$EM$11:$ES$11,1,DR61)),IF(OR(INDEX('Lease Cycles'!$DY$11:$EE$11,1,DR61)=1,DR62&gt;0),1,1-INDEX('Lease Cycles'!$DD$11:$DJ$11,1,DR61))*('Lease Cycles'!$AJ$11*INDEX('Lease Cycles'!$FO$11:$FU$11,1,DR61)+'Lease Cycles'!$BE$11*(1-INDEX('Lease Cycles'!$FO$11:$FU$11,1,DR61)))),0)</f>
        <v>0</v>
      </c>
      <c r="DS71" s="24">
        <f>IF(DS63=1,'Lease Cycles'!$D$11*IF(INDEX('Lease Cycles'!$EF$11:$EL$11,1,DS61)=1,'Lease Cycles'!$AJ$11*INDEX('Lease Cycles'!$FO$11:$FU$11,1,DS61)*INDEX('Lease Cycles'!$EM$11:$ES$11,1,DS61)+'Lease Cycles'!$BE$11*IF(DS62&lt;INDEX('Lease Cycles'!$FA$11:$FG$11,1,DS61),0,1-INDEX('Lease Cycles'!$EM$11:$ES$11,1,DS61)),IF(OR(INDEX('Lease Cycles'!$DY$11:$EE$11,1,DS61)=1,DS62&gt;0),1,1-INDEX('Lease Cycles'!$DD$11:$DJ$11,1,DS61))*('Lease Cycles'!$AJ$11*INDEX('Lease Cycles'!$FO$11:$FU$11,1,DS61)+'Lease Cycles'!$BE$11*(1-INDEX('Lease Cycles'!$FO$11:$FU$11,1,DS61)))),0)</f>
        <v>0</v>
      </c>
      <c r="DT71" s="24">
        <f>IF(DT63=1,'Lease Cycles'!$D$11*IF(INDEX('Lease Cycles'!$EF$11:$EL$11,1,DT61)=1,'Lease Cycles'!$AJ$11*INDEX('Lease Cycles'!$FO$11:$FU$11,1,DT61)*INDEX('Lease Cycles'!$EM$11:$ES$11,1,DT61)+'Lease Cycles'!$BE$11*IF(DT62&lt;INDEX('Lease Cycles'!$FA$11:$FG$11,1,DT61),0,1-INDEX('Lease Cycles'!$EM$11:$ES$11,1,DT61)),IF(OR(INDEX('Lease Cycles'!$DY$11:$EE$11,1,DT61)=1,DT62&gt;0),1,1-INDEX('Lease Cycles'!$DD$11:$DJ$11,1,DT61))*('Lease Cycles'!$AJ$11*INDEX('Lease Cycles'!$FO$11:$FU$11,1,DT61)+'Lease Cycles'!$BE$11*(1-INDEX('Lease Cycles'!$FO$11:$FU$11,1,DT61)))),0)</f>
        <v>0</v>
      </c>
      <c r="DU71" s="24">
        <f>IF(DU63=1,'Lease Cycles'!$D$11*IF(INDEX('Lease Cycles'!$EF$11:$EL$11,1,DU61)=1,'Lease Cycles'!$AJ$11*INDEX('Lease Cycles'!$FO$11:$FU$11,1,DU61)*INDEX('Lease Cycles'!$EM$11:$ES$11,1,DU61)+'Lease Cycles'!$BE$11*IF(DU62&lt;INDEX('Lease Cycles'!$FA$11:$FG$11,1,DU61),0,1-INDEX('Lease Cycles'!$EM$11:$ES$11,1,DU61)),IF(OR(INDEX('Lease Cycles'!$DY$11:$EE$11,1,DU61)=1,DU62&gt;0),1,1-INDEX('Lease Cycles'!$DD$11:$DJ$11,1,DU61))*('Lease Cycles'!$AJ$11*INDEX('Lease Cycles'!$FO$11:$FU$11,1,DU61)+'Lease Cycles'!$BE$11*(1-INDEX('Lease Cycles'!$FO$11:$FU$11,1,DU61)))),0)</f>
        <v>0</v>
      </c>
      <c r="DV71" s="24">
        <f>IF(DV63=1,'Lease Cycles'!$D$11*IF(INDEX('Lease Cycles'!$EF$11:$EL$11,1,DV61)=1,'Lease Cycles'!$AJ$11*INDEX('Lease Cycles'!$FO$11:$FU$11,1,DV61)*INDEX('Lease Cycles'!$EM$11:$ES$11,1,DV61)+'Lease Cycles'!$BE$11*IF(DV62&lt;INDEX('Lease Cycles'!$FA$11:$FG$11,1,DV61),0,1-INDEX('Lease Cycles'!$EM$11:$ES$11,1,DV61)),IF(OR(INDEX('Lease Cycles'!$DY$11:$EE$11,1,DV61)=1,DV62&gt;0),1,1-INDEX('Lease Cycles'!$DD$11:$DJ$11,1,DV61))*('Lease Cycles'!$AJ$11*INDEX('Lease Cycles'!$FO$11:$FU$11,1,DV61)+'Lease Cycles'!$BE$11*(1-INDEX('Lease Cycles'!$FO$11:$FU$11,1,DV61)))),0)</f>
        <v>0</v>
      </c>
      <c r="DW71" s="24">
        <f>IF(DW63=1,'Lease Cycles'!$D$11*IF(INDEX('Lease Cycles'!$EF$11:$EL$11,1,DW61)=1,'Lease Cycles'!$AJ$11*INDEX('Lease Cycles'!$FO$11:$FU$11,1,DW61)*INDEX('Lease Cycles'!$EM$11:$ES$11,1,DW61)+'Lease Cycles'!$BE$11*IF(DW62&lt;INDEX('Lease Cycles'!$FA$11:$FG$11,1,DW61),0,1-INDEX('Lease Cycles'!$EM$11:$ES$11,1,DW61)),IF(OR(INDEX('Lease Cycles'!$DY$11:$EE$11,1,DW61)=1,DW62&gt;0),1,1-INDEX('Lease Cycles'!$DD$11:$DJ$11,1,DW61))*('Lease Cycles'!$AJ$11*INDEX('Lease Cycles'!$FO$11:$FU$11,1,DW61)+'Lease Cycles'!$BE$11*(1-INDEX('Lease Cycles'!$FO$11:$FU$11,1,DW61)))),0)</f>
        <v>0</v>
      </c>
      <c r="DX71" s="24">
        <f>IF(DX63=1,'Lease Cycles'!$D$11*IF(INDEX('Lease Cycles'!$EF$11:$EL$11,1,DX61)=1,'Lease Cycles'!$AJ$11*INDEX('Lease Cycles'!$FO$11:$FU$11,1,DX61)*INDEX('Lease Cycles'!$EM$11:$ES$11,1,DX61)+'Lease Cycles'!$BE$11*IF(DX62&lt;INDEX('Lease Cycles'!$FA$11:$FG$11,1,DX61),0,1-INDEX('Lease Cycles'!$EM$11:$ES$11,1,DX61)),IF(OR(INDEX('Lease Cycles'!$DY$11:$EE$11,1,DX61)=1,DX62&gt;0),1,1-INDEX('Lease Cycles'!$DD$11:$DJ$11,1,DX61))*('Lease Cycles'!$AJ$11*INDEX('Lease Cycles'!$FO$11:$FU$11,1,DX61)+'Lease Cycles'!$BE$11*(1-INDEX('Lease Cycles'!$FO$11:$FU$11,1,DX61)))),0)</f>
        <v>0</v>
      </c>
      <c r="DY71" s="24">
        <f>IF(DY63=1,'Lease Cycles'!$D$11*IF(INDEX('Lease Cycles'!$EF$11:$EL$11,1,DY61)=1,'Lease Cycles'!$AJ$11*INDEX('Lease Cycles'!$FO$11:$FU$11,1,DY61)*INDEX('Lease Cycles'!$EM$11:$ES$11,1,DY61)+'Lease Cycles'!$BE$11*IF(DY62&lt;INDEX('Lease Cycles'!$FA$11:$FG$11,1,DY61),0,1-INDEX('Lease Cycles'!$EM$11:$ES$11,1,DY61)),IF(OR(INDEX('Lease Cycles'!$DY$11:$EE$11,1,DY61)=1,DY62&gt;0),1,1-INDEX('Lease Cycles'!$DD$11:$DJ$11,1,DY61))*('Lease Cycles'!$AJ$11*INDEX('Lease Cycles'!$FO$11:$FU$11,1,DY61)+'Lease Cycles'!$BE$11*(1-INDEX('Lease Cycles'!$FO$11:$FU$11,1,DY61)))),0)</f>
        <v>0</v>
      </c>
      <c r="DZ71" s="24">
        <f>IF(DZ63=1,'Lease Cycles'!$D$11*IF(INDEX('Lease Cycles'!$EF$11:$EL$11,1,DZ61)=1,'Lease Cycles'!$AJ$11*INDEX('Lease Cycles'!$FO$11:$FU$11,1,DZ61)*INDEX('Lease Cycles'!$EM$11:$ES$11,1,DZ61)+'Lease Cycles'!$BE$11*IF(DZ62&lt;INDEX('Lease Cycles'!$FA$11:$FG$11,1,DZ61),0,1-INDEX('Lease Cycles'!$EM$11:$ES$11,1,DZ61)),IF(OR(INDEX('Lease Cycles'!$DY$11:$EE$11,1,DZ61)=1,DZ62&gt;0),1,1-INDEX('Lease Cycles'!$DD$11:$DJ$11,1,DZ61))*('Lease Cycles'!$AJ$11*INDEX('Lease Cycles'!$FO$11:$FU$11,1,DZ61)+'Lease Cycles'!$BE$11*(1-INDEX('Lease Cycles'!$FO$11:$FU$11,1,DZ61)))),0)</f>
        <v>0</v>
      </c>
      <c r="EA71" s="24">
        <f>IF(EA63=1,'Lease Cycles'!$D$11*IF(INDEX('Lease Cycles'!$EF$11:$EL$11,1,EA61)=1,'Lease Cycles'!$AJ$11*INDEX('Lease Cycles'!$FO$11:$FU$11,1,EA61)*INDEX('Lease Cycles'!$EM$11:$ES$11,1,EA61)+'Lease Cycles'!$BE$11*IF(EA62&lt;INDEX('Lease Cycles'!$FA$11:$FG$11,1,EA61),0,1-INDEX('Lease Cycles'!$EM$11:$ES$11,1,EA61)),IF(OR(INDEX('Lease Cycles'!$DY$11:$EE$11,1,EA61)=1,EA62&gt;0),1,1-INDEX('Lease Cycles'!$DD$11:$DJ$11,1,EA61))*('Lease Cycles'!$AJ$11*INDEX('Lease Cycles'!$FO$11:$FU$11,1,EA61)+'Lease Cycles'!$BE$11*(1-INDEX('Lease Cycles'!$FO$11:$FU$11,1,EA61)))),0)</f>
        <v>0</v>
      </c>
      <c r="EB71" s="24">
        <f>IF(EB63=1,'Lease Cycles'!$D$11*IF(INDEX('Lease Cycles'!$EF$11:$EL$11,1,EB61)=1,'Lease Cycles'!$AJ$11*INDEX('Lease Cycles'!$FO$11:$FU$11,1,EB61)*INDEX('Lease Cycles'!$EM$11:$ES$11,1,EB61)+'Lease Cycles'!$BE$11*IF(EB62&lt;INDEX('Lease Cycles'!$FA$11:$FG$11,1,EB61),0,1-INDEX('Lease Cycles'!$EM$11:$ES$11,1,EB61)),IF(OR(INDEX('Lease Cycles'!$DY$11:$EE$11,1,EB61)=1,EB62&gt;0),1,1-INDEX('Lease Cycles'!$DD$11:$DJ$11,1,EB61))*('Lease Cycles'!$AJ$11*INDEX('Lease Cycles'!$FO$11:$FU$11,1,EB61)+'Lease Cycles'!$BE$11*(1-INDEX('Lease Cycles'!$FO$11:$FU$11,1,EB61)))),0)</f>
        <v>0</v>
      </c>
      <c r="EC71" s="24">
        <f>IF(EC63=1,'Lease Cycles'!$D$11*IF(INDEX('Lease Cycles'!$EF$11:$EL$11,1,EC61)=1,'Lease Cycles'!$AJ$11*INDEX('Lease Cycles'!$FO$11:$FU$11,1,EC61)*INDEX('Lease Cycles'!$EM$11:$ES$11,1,EC61)+'Lease Cycles'!$BE$11*IF(EC62&lt;INDEX('Lease Cycles'!$FA$11:$FG$11,1,EC61),0,1-INDEX('Lease Cycles'!$EM$11:$ES$11,1,EC61)),IF(OR(INDEX('Lease Cycles'!$DY$11:$EE$11,1,EC61)=1,EC62&gt;0),1,1-INDEX('Lease Cycles'!$DD$11:$DJ$11,1,EC61))*('Lease Cycles'!$AJ$11*INDEX('Lease Cycles'!$FO$11:$FU$11,1,EC61)+'Lease Cycles'!$BE$11*(1-INDEX('Lease Cycles'!$FO$11:$FU$11,1,EC61)))),0)</f>
        <v>0</v>
      </c>
      <c r="ED71" s="24">
        <f>IF(ED63=1,'Lease Cycles'!$D$11*IF(INDEX('Lease Cycles'!$EF$11:$EL$11,1,ED61)=1,'Lease Cycles'!$AJ$11*INDEX('Lease Cycles'!$FO$11:$FU$11,1,ED61)*INDEX('Lease Cycles'!$EM$11:$ES$11,1,ED61)+'Lease Cycles'!$BE$11*IF(ED62&lt;INDEX('Lease Cycles'!$FA$11:$FG$11,1,ED61),0,1-INDEX('Lease Cycles'!$EM$11:$ES$11,1,ED61)),IF(OR(INDEX('Lease Cycles'!$DY$11:$EE$11,1,ED61)=1,ED62&gt;0),1,1-INDEX('Lease Cycles'!$DD$11:$DJ$11,1,ED61))*('Lease Cycles'!$AJ$11*INDEX('Lease Cycles'!$FO$11:$FU$11,1,ED61)+'Lease Cycles'!$BE$11*(1-INDEX('Lease Cycles'!$FO$11:$FU$11,1,ED61)))),0)</f>
        <v>0</v>
      </c>
      <c r="EE71" s="24">
        <f>IF(EE63=1,'Lease Cycles'!$D$11*IF(INDEX('Lease Cycles'!$EF$11:$EL$11,1,EE61)=1,'Lease Cycles'!$AJ$11*INDEX('Lease Cycles'!$FO$11:$FU$11,1,EE61)*INDEX('Lease Cycles'!$EM$11:$ES$11,1,EE61)+'Lease Cycles'!$BE$11*IF(EE62&lt;INDEX('Lease Cycles'!$FA$11:$FG$11,1,EE61),0,1-INDEX('Lease Cycles'!$EM$11:$ES$11,1,EE61)),IF(OR(INDEX('Lease Cycles'!$DY$11:$EE$11,1,EE61)=1,EE62&gt;0),1,1-INDEX('Lease Cycles'!$DD$11:$DJ$11,1,EE61))*('Lease Cycles'!$AJ$11*INDEX('Lease Cycles'!$FO$11:$FU$11,1,EE61)+'Lease Cycles'!$BE$11*(1-INDEX('Lease Cycles'!$FO$11:$FU$11,1,EE61)))),0)</f>
        <v>0</v>
      </c>
      <c r="EF71" s="24">
        <f>IF(EF63=1,'Lease Cycles'!$D$11*IF(INDEX('Lease Cycles'!$EF$11:$EL$11,1,EF61)=1,'Lease Cycles'!$AJ$11*INDEX('Lease Cycles'!$FO$11:$FU$11,1,EF61)*INDEX('Lease Cycles'!$EM$11:$ES$11,1,EF61)+'Lease Cycles'!$BE$11*IF(EF62&lt;INDEX('Lease Cycles'!$FA$11:$FG$11,1,EF61),0,1-INDEX('Lease Cycles'!$EM$11:$ES$11,1,EF61)),IF(OR(INDEX('Lease Cycles'!$DY$11:$EE$11,1,EF61)=1,EF62&gt;0),1,1-INDEX('Lease Cycles'!$DD$11:$DJ$11,1,EF61))*('Lease Cycles'!$AJ$11*INDEX('Lease Cycles'!$FO$11:$FU$11,1,EF61)+'Lease Cycles'!$BE$11*(1-INDEX('Lease Cycles'!$FO$11:$FU$11,1,EF61)))),0)</f>
        <v>0</v>
      </c>
      <c r="EG71" s="24">
        <f>IF(EG63=1,'Lease Cycles'!$D$11*IF(INDEX('Lease Cycles'!$EF$11:$EL$11,1,EG61)=1,'Lease Cycles'!$AJ$11*INDEX('Lease Cycles'!$FO$11:$FU$11,1,EG61)*INDEX('Lease Cycles'!$EM$11:$ES$11,1,EG61)+'Lease Cycles'!$BE$11*IF(EG62&lt;INDEX('Lease Cycles'!$FA$11:$FG$11,1,EG61),0,1-INDEX('Lease Cycles'!$EM$11:$ES$11,1,EG61)),IF(OR(INDEX('Lease Cycles'!$DY$11:$EE$11,1,EG61)=1,EG62&gt;0),1,1-INDEX('Lease Cycles'!$DD$11:$DJ$11,1,EG61))*('Lease Cycles'!$AJ$11*INDEX('Lease Cycles'!$FO$11:$FU$11,1,EG61)+'Lease Cycles'!$BE$11*(1-INDEX('Lease Cycles'!$FO$11:$FU$11,1,EG61)))),0)</f>
        <v>0</v>
      </c>
      <c r="EH71" s="24">
        <f>IF(EH63=1,'Lease Cycles'!$D$11*IF(INDEX('Lease Cycles'!$EF$11:$EL$11,1,EH61)=1,'Lease Cycles'!$AJ$11*INDEX('Lease Cycles'!$FO$11:$FU$11,1,EH61)*INDEX('Lease Cycles'!$EM$11:$ES$11,1,EH61)+'Lease Cycles'!$BE$11*IF(EH62&lt;INDEX('Lease Cycles'!$FA$11:$FG$11,1,EH61),0,1-INDEX('Lease Cycles'!$EM$11:$ES$11,1,EH61)),IF(OR(INDEX('Lease Cycles'!$DY$11:$EE$11,1,EH61)=1,EH62&gt;0),1,1-INDEX('Lease Cycles'!$DD$11:$DJ$11,1,EH61))*('Lease Cycles'!$AJ$11*INDEX('Lease Cycles'!$FO$11:$FU$11,1,EH61)+'Lease Cycles'!$BE$11*(1-INDEX('Lease Cycles'!$FO$11:$FU$11,1,EH61)))),0)</f>
        <v>0</v>
      </c>
      <c r="EI71" s="24">
        <f>IF(EI63=1,'Lease Cycles'!$D$11*IF(INDEX('Lease Cycles'!$EF$11:$EL$11,1,EI61)=1,'Lease Cycles'!$AJ$11*INDEX('Lease Cycles'!$FO$11:$FU$11,1,EI61)*INDEX('Lease Cycles'!$EM$11:$ES$11,1,EI61)+'Lease Cycles'!$BE$11*IF(EI62&lt;INDEX('Lease Cycles'!$FA$11:$FG$11,1,EI61),0,1-INDEX('Lease Cycles'!$EM$11:$ES$11,1,EI61)),IF(OR(INDEX('Lease Cycles'!$DY$11:$EE$11,1,EI61)=1,EI62&gt;0),1,1-INDEX('Lease Cycles'!$DD$11:$DJ$11,1,EI61))*('Lease Cycles'!$AJ$11*INDEX('Lease Cycles'!$FO$11:$FU$11,1,EI61)+'Lease Cycles'!$BE$11*(1-INDEX('Lease Cycles'!$FO$11:$FU$11,1,EI61)))),0)</f>
        <v>0</v>
      </c>
      <c r="EJ71" s="24">
        <f>IF(EJ63=1,'Lease Cycles'!$D$11*IF(INDEX('Lease Cycles'!$EF$11:$EL$11,1,EJ61)=1,'Lease Cycles'!$AJ$11*INDEX('Lease Cycles'!$FO$11:$FU$11,1,EJ61)*INDEX('Lease Cycles'!$EM$11:$ES$11,1,EJ61)+'Lease Cycles'!$BE$11*IF(EJ62&lt;INDEX('Lease Cycles'!$FA$11:$FG$11,1,EJ61),0,1-INDEX('Lease Cycles'!$EM$11:$ES$11,1,EJ61)),IF(OR(INDEX('Lease Cycles'!$DY$11:$EE$11,1,EJ61)=1,EJ62&gt;0),1,1-INDEX('Lease Cycles'!$DD$11:$DJ$11,1,EJ61))*('Lease Cycles'!$AJ$11*INDEX('Lease Cycles'!$FO$11:$FU$11,1,EJ61)+'Lease Cycles'!$BE$11*(1-INDEX('Lease Cycles'!$FO$11:$FU$11,1,EJ61)))),0)</f>
        <v>0</v>
      </c>
      <c r="EK71" s="24">
        <f>IF(EK63=1,'Lease Cycles'!$D$11*IF(INDEX('Lease Cycles'!$EF$11:$EL$11,1,EK61)=1,'Lease Cycles'!$AJ$11*INDEX('Lease Cycles'!$FO$11:$FU$11,1,EK61)*INDEX('Lease Cycles'!$EM$11:$ES$11,1,EK61)+'Lease Cycles'!$BE$11*IF(EK62&lt;INDEX('Lease Cycles'!$FA$11:$FG$11,1,EK61),0,1-INDEX('Lease Cycles'!$EM$11:$ES$11,1,EK61)),IF(OR(INDEX('Lease Cycles'!$DY$11:$EE$11,1,EK61)=1,EK62&gt;0),1,1-INDEX('Lease Cycles'!$DD$11:$DJ$11,1,EK61))*('Lease Cycles'!$AJ$11*INDEX('Lease Cycles'!$FO$11:$FU$11,1,EK61)+'Lease Cycles'!$BE$11*(1-INDEX('Lease Cycles'!$FO$11:$FU$11,1,EK61)))),0)</f>
        <v>0</v>
      </c>
      <c r="EL71" s="24">
        <f>IF(EL63=1,'Lease Cycles'!$D$11*IF(INDEX('Lease Cycles'!$EF$11:$EL$11,1,EL61)=1,'Lease Cycles'!$AJ$11*INDEX('Lease Cycles'!$FO$11:$FU$11,1,EL61)*INDEX('Lease Cycles'!$EM$11:$ES$11,1,EL61)+'Lease Cycles'!$BE$11*IF(EL62&lt;INDEX('Lease Cycles'!$FA$11:$FG$11,1,EL61),0,1-INDEX('Lease Cycles'!$EM$11:$ES$11,1,EL61)),IF(OR(INDEX('Lease Cycles'!$DY$11:$EE$11,1,EL61)=1,EL62&gt;0),1,1-INDEX('Lease Cycles'!$DD$11:$DJ$11,1,EL61))*('Lease Cycles'!$AJ$11*INDEX('Lease Cycles'!$FO$11:$FU$11,1,EL61)+'Lease Cycles'!$BE$11*(1-INDEX('Lease Cycles'!$FO$11:$FU$11,1,EL61)))),0)</f>
        <v>0</v>
      </c>
      <c r="EM71" s="24">
        <f>IF(EM63=1,'Lease Cycles'!$D$11*IF(INDEX('Lease Cycles'!$EF$11:$EL$11,1,EM61)=1,'Lease Cycles'!$AJ$11*INDEX('Lease Cycles'!$FO$11:$FU$11,1,EM61)*INDEX('Lease Cycles'!$EM$11:$ES$11,1,EM61)+'Lease Cycles'!$BE$11*IF(EM62&lt;INDEX('Lease Cycles'!$FA$11:$FG$11,1,EM61),0,1-INDEX('Lease Cycles'!$EM$11:$ES$11,1,EM61)),IF(OR(INDEX('Lease Cycles'!$DY$11:$EE$11,1,EM61)=1,EM62&gt;0),1,1-INDEX('Lease Cycles'!$DD$11:$DJ$11,1,EM61))*('Lease Cycles'!$AJ$11*INDEX('Lease Cycles'!$FO$11:$FU$11,1,EM61)+'Lease Cycles'!$BE$11*(1-INDEX('Lease Cycles'!$FO$11:$FU$11,1,EM61)))),0)</f>
        <v>0</v>
      </c>
      <c r="EN71" s="24">
        <f>IF(EN63=1,'Lease Cycles'!$D$11*IF(INDEX('Lease Cycles'!$EF$11:$EL$11,1,EN61)=1,'Lease Cycles'!$AJ$11*INDEX('Lease Cycles'!$FO$11:$FU$11,1,EN61)*INDEX('Lease Cycles'!$EM$11:$ES$11,1,EN61)+'Lease Cycles'!$BE$11*IF(EN62&lt;INDEX('Lease Cycles'!$FA$11:$FG$11,1,EN61),0,1-INDEX('Lease Cycles'!$EM$11:$ES$11,1,EN61)),IF(OR(INDEX('Lease Cycles'!$DY$11:$EE$11,1,EN61)=1,EN62&gt;0),1,1-INDEX('Lease Cycles'!$DD$11:$DJ$11,1,EN61))*('Lease Cycles'!$AJ$11*INDEX('Lease Cycles'!$FO$11:$FU$11,1,EN61)+'Lease Cycles'!$BE$11*(1-INDEX('Lease Cycles'!$FO$11:$FU$11,1,EN61)))),0)</f>
        <v>0</v>
      </c>
      <c r="EO71" s="24">
        <f>IF(EO63=1,'Lease Cycles'!$D$11*IF(INDEX('Lease Cycles'!$EF$11:$EL$11,1,EO61)=1,'Lease Cycles'!$AJ$11*INDEX('Lease Cycles'!$FO$11:$FU$11,1,EO61)*INDEX('Lease Cycles'!$EM$11:$ES$11,1,EO61)+'Lease Cycles'!$BE$11*IF(EO62&lt;INDEX('Lease Cycles'!$FA$11:$FG$11,1,EO61),0,1-INDEX('Lease Cycles'!$EM$11:$ES$11,1,EO61)),IF(OR(INDEX('Lease Cycles'!$DY$11:$EE$11,1,EO61)=1,EO62&gt;0),1,1-INDEX('Lease Cycles'!$DD$11:$DJ$11,1,EO61))*('Lease Cycles'!$AJ$11*INDEX('Lease Cycles'!$FO$11:$FU$11,1,EO61)+'Lease Cycles'!$BE$11*(1-INDEX('Lease Cycles'!$FO$11:$FU$11,1,EO61)))),0)</f>
        <v>0</v>
      </c>
      <c r="EP71" s="24">
        <f>IF(EP63=1,'Lease Cycles'!$D$11*IF(INDEX('Lease Cycles'!$EF$11:$EL$11,1,EP61)=1,'Lease Cycles'!$AJ$11*INDEX('Lease Cycles'!$FO$11:$FU$11,1,EP61)*INDEX('Lease Cycles'!$EM$11:$ES$11,1,EP61)+'Lease Cycles'!$BE$11*IF(EP62&lt;INDEX('Lease Cycles'!$FA$11:$FG$11,1,EP61),0,1-INDEX('Lease Cycles'!$EM$11:$ES$11,1,EP61)),IF(OR(INDEX('Lease Cycles'!$DY$11:$EE$11,1,EP61)=1,EP62&gt;0),1,1-INDEX('Lease Cycles'!$DD$11:$DJ$11,1,EP61))*('Lease Cycles'!$AJ$11*INDEX('Lease Cycles'!$FO$11:$FU$11,1,EP61)+'Lease Cycles'!$BE$11*(1-INDEX('Lease Cycles'!$FO$11:$FU$11,1,EP61)))),0)</f>
        <v>0</v>
      </c>
      <c r="EQ71" s="24">
        <f>IF(EQ63=1,'Lease Cycles'!$D$11*IF(INDEX('Lease Cycles'!$EF$11:$EL$11,1,EQ61)=1,'Lease Cycles'!$AJ$11*INDEX('Lease Cycles'!$FO$11:$FU$11,1,EQ61)*INDEX('Lease Cycles'!$EM$11:$ES$11,1,EQ61)+'Lease Cycles'!$BE$11*IF(EQ62&lt;INDEX('Lease Cycles'!$FA$11:$FG$11,1,EQ61),0,1-INDEX('Lease Cycles'!$EM$11:$ES$11,1,EQ61)),IF(OR(INDEX('Lease Cycles'!$DY$11:$EE$11,1,EQ61)=1,EQ62&gt;0),1,1-INDEX('Lease Cycles'!$DD$11:$DJ$11,1,EQ61))*('Lease Cycles'!$AJ$11*INDEX('Lease Cycles'!$FO$11:$FU$11,1,EQ61)+'Lease Cycles'!$BE$11*(1-INDEX('Lease Cycles'!$FO$11:$FU$11,1,EQ61)))),0)</f>
        <v>0</v>
      </c>
      <c r="ER71" s="24">
        <f>IF(ER63=1,'Lease Cycles'!$D$11*IF(INDEX('Lease Cycles'!$EF$11:$EL$11,1,ER61)=1,'Lease Cycles'!$AJ$11*INDEX('Lease Cycles'!$FO$11:$FU$11,1,ER61)*INDEX('Lease Cycles'!$EM$11:$ES$11,1,ER61)+'Lease Cycles'!$BE$11*IF(ER62&lt;INDEX('Lease Cycles'!$FA$11:$FG$11,1,ER61),0,1-INDEX('Lease Cycles'!$EM$11:$ES$11,1,ER61)),IF(OR(INDEX('Lease Cycles'!$DY$11:$EE$11,1,ER61)=1,ER62&gt;0),1,1-INDEX('Lease Cycles'!$DD$11:$DJ$11,1,ER61))*('Lease Cycles'!$AJ$11*INDEX('Lease Cycles'!$FO$11:$FU$11,1,ER61)+'Lease Cycles'!$BE$11*(1-INDEX('Lease Cycles'!$FO$11:$FU$11,1,ER61)))),0)</f>
        <v>0</v>
      </c>
      <c r="ES71" s="24">
        <f>IF(ES63=1,'Lease Cycles'!$D$11*IF(INDEX('Lease Cycles'!$EF$11:$EL$11,1,ES61)=1,'Lease Cycles'!$AJ$11*INDEX('Lease Cycles'!$FO$11:$FU$11,1,ES61)*INDEX('Lease Cycles'!$EM$11:$ES$11,1,ES61)+'Lease Cycles'!$BE$11*IF(ES62&lt;INDEX('Lease Cycles'!$FA$11:$FG$11,1,ES61),0,1-INDEX('Lease Cycles'!$EM$11:$ES$11,1,ES61)),IF(OR(INDEX('Lease Cycles'!$DY$11:$EE$11,1,ES61)=1,ES62&gt;0),1,1-INDEX('Lease Cycles'!$DD$11:$DJ$11,1,ES61))*('Lease Cycles'!$AJ$11*INDEX('Lease Cycles'!$FO$11:$FU$11,1,ES61)+'Lease Cycles'!$BE$11*(1-INDEX('Lease Cycles'!$FO$11:$FU$11,1,ES61)))),0)</f>
        <v>0</v>
      </c>
      <c r="ET71" s="24">
        <f>IF(ET63=1,'Lease Cycles'!$D$11*IF(INDEX('Lease Cycles'!$EF$11:$EL$11,1,ET61)=1,'Lease Cycles'!$AJ$11*INDEX('Lease Cycles'!$FO$11:$FU$11,1,ET61)*INDEX('Lease Cycles'!$EM$11:$ES$11,1,ET61)+'Lease Cycles'!$BE$11*IF(ET62&lt;INDEX('Lease Cycles'!$FA$11:$FG$11,1,ET61),0,1-INDEX('Lease Cycles'!$EM$11:$ES$11,1,ET61)),IF(OR(INDEX('Lease Cycles'!$DY$11:$EE$11,1,ET61)=1,ET62&gt;0),1,1-INDEX('Lease Cycles'!$DD$11:$DJ$11,1,ET61))*('Lease Cycles'!$AJ$11*INDEX('Lease Cycles'!$FO$11:$FU$11,1,ET61)+'Lease Cycles'!$BE$11*(1-INDEX('Lease Cycles'!$FO$11:$FU$11,1,ET61)))),0)</f>
        <v>0</v>
      </c>
    </row>
    <row r="72">
      <c r="A72" s="103">
        <v>4</v>
      </c>
      <c r="B72" s="23" t="str">
        <f>IF('Lease Cycles'!$B$11="","(empty slot)",'Lease Cycles'!$B$11)</f>
        <v>Sunfield Dental</v>
      </c>
      <c r="C72" s="23" t="s">
        <v>689</v>
      </c>
      <c r="D72" s="104" t="s">
        <v>690</v>
      </c>
      <c r="E72" s="25">
        <f>'Lease Cycles'!$AL$11</f>
        <v>0</v>
      </c>
      <c r="G72" s="28">
        <f>SUM(S72:AD72)</f>
        <v>0</v>
      </c>
      <c r="H72" s="28">
        <f>SUM(AE72:AP72)</f>
        <v>0</v>
      </c>
      <c r="I72" s="28">
        <f>SUM(AQ72:BB72)</f>
        <v>0</v>
      </c>
      <c r="J72" s="28">
        <f>SUM(BC72:BN72)</f>
        <v>0</v>
      </c>
      <c r="K72" s="28">
        <f>SUM(BO72:BZ72)</f>
        <v>0</v>
      </c>
      <c r="L72" s="28">
        <f>SUM(CA72:CL72)</f>
        <v>0</v>
      </c>
      <c r="M72" s="28">
        <f>SUM(CM72:CX72)</f>
        <v>0</v>
      </c>
      <c r="N72" s="28">
        <f>SUM(CY72:DJ72)</f>
        <v>0</v>
      </c>
      <c r="O72" s="28">
        <f>SUM(DK72:DV72)</f>
        <v>0</v>
      </c>
      <c r="P72" s="28">
        <f>SUM(DW72:EH72)</f>
        <v>0</v>
      </c>
      <c r="Q72" s="28">
        <f>SUM(EI72:ET72)</f>
        <v>0</v>
      </c>
      <c r="S72" s="28">
        <f>IF(S71=0,0,S71*MAX(0,(INDEX(c_CAMy,1,S$7)-INDEX(c_CAMy,1,INDEX('Lease Cycles'!$GC$11:$GI$11,1,S61)+1))*(1+'Lease Cycles'!$AK$11)+(INDEX(c_TAXy,1,S$7)-INDEX(c_TAXy,1,INDEX('Lease Cycles'!$GC$11:$GI$11,1,S61)+1))+(INDEX(c_INSy,1,S$7)-INDEX(c_INSy,1,INDEX('Lease Cycles'!$GC$11:$GI$11,1,S61)+1)))/12)</f>
        <v>0</v>
      </c>
      <c r="T72" s="28">
        <f>IF(T71=0,0,T71*MAX(0,(INDEX(c_CAMy,1,T$7)-INDEX(c_CAMy,1,INDEX('Lease Cycles'!$GC$11:$GI$11,1,T61)+1))*(1+'Lease Cycles'!$AK$11)+(INDEX(c_TAXy,1,T$7)-INDEX(c_TAXy,1,INDEX('Lease Cycles'!$GC$11:$GI$11,1,T61)+1))+(INDEX(c_INSy,1,T$7)-INDEX(c_INSy,1,INDEX('Lease Cycles'!$GC$11:$GI$11,1,T61)+1)))/12)</f>
        <v>0</v>
      </c>
      <c r="U72" s="28">
        <f>IF(U71=0,0,U71*MAX(0,(INDEX(c_CAMy,1,U$7)-INDEX(c_CAMy,1,INDEX('Lease Cycles'!$GC$11:$GI$11,1,U61)+1))*(1+'Lease Cycles'!$AK$11)+(INDEX(c_TAXy,1,U$7)-INDEX(c_TAXy,1,INDEX('Lease Cycles'!$GC$11:$GI$11,1,U61)+1))+(INDEX(c_INSy,1,U$7)-INDEX(c_INSy,1,INDEX('Lease Cycles'!$GC$11:$GI$11,1,U61)+1)))/12)</f>
        <v>0</v>
      </c>
      <c r="V72" s="28">
        <f>IF(V71=0,0,V71*MAX(0,(INDEX(c_CAMy,1,V$7)-INDEX(c_CAMy,1,INDEX('Lease Cycles'!$GC$11:$GI$11,1,V61)+1))*(1+'Lease Cycles'!$AK$11)+(INDEX(c_TAXy,1,V$7)-INDEX(c_TAXy,1,INDEX('Lease Cycles'!$GC$11:$GI$11,1,V61)+1))+(INDEX(c_INSy,1,V$7)-INDEX(c_INSy,1,INDEX('Lease Cycles'!$GC$11:$GI$11,1,V61)+1)))/12)</f>
        <v>0</v>
      </c>
      <c r="W72" s="28">
        <f>IF(W71=0,0,W71*MAX(0,(INDEX(c_CAMy,1,W$7)-INDEX(c_CAMy,1,INDEX('Lease Cycles'!$GC$11:$GI$11,1,W61)+1))*(1+'Lease Cycles'!$AK$11)+(INDEX(c_TAXy,1,W$7)-INDEX(c_TAXy,1,INDEX('Lease Cycles'!$GC$11:$GI$11,1,W61)+1))+(INDEX(c_INSy,1,W$7)-INDEX(c_INSy,1,INDEX('Lease Cycles'!$GC$11:$GI$11,1,W61)+1)))/12)</f>
        <v>0</v>
      </c>
      <c r="X72" s="28">
        <f>IF(X71=0,0,X71*MAX(0,(INDEX(c_CAMy,1,X$7)-INDEX(c_CAMy,1,INDEX('Lease Cycles'!$GC$11:$GI$11,1,X61)+1))*(1+'Lease Cycles'!$AK$11)+(INDEX(c_TAXy,1,X$7)-INDEX(c_TAXy,1,INDEX('Lease Cycles'!$GC$11:$GI$11,1,X61)+1))+(INDEX(c_INSy,1,X$7)-INDEX(c_INSy,1,INDEX('Lease Cycles'!$GC$11:$GI$11,1,X61)+1)))/12)</f>
        <v>0</v>
      </c>
      <c r="Y72" s="28">
        <f>IF(Y71=0,0,Y71*MAX(0,(INDEX(c_CAMy,1,Y$7)-INDEX(c_CAMy,1,INDEX('Lease Cycles'!$GC$11:$GI$11,1,Y61)+1))*(1+'Lease Cycles'!$AK$11)+(INDEX(c_TAXy,1,Y$7)-INDEX(c_TAXy,1,INDEX('Lease Cycles'!$GC$11:$GI$11,1,Y61)+1))+(INDEX(c_INSy,1,Y$7)-INDEX(c_INSy,1,INDEX('Lease Cycles'!$GC$11:$GI$11,1,Y61)+1)))/12)</f>
        <v>0</v>
      </c>
      <c r="Z72" s="28">
        <f>IF(Z71=0,0,Z71*MAX(0,(INDEX(c_CAMy,1,Z$7)-INDEX(c_CAMy,1,INDEX('Lease Cycles'!$GC$11:$GI$11,1,Z61)+1))*(1+'Lease Cycles'!$AK$11)+(INDEX(c_TAXy,1,Z$7)-INDEX(c_TAXy,1,INDEX('Lease Cycles'!$GC$11:$GI$11,1,Z61)+1))+(INDEX(c_INSy,1,Z$7)-INDEX(c_INSy,1,INDEX('Lease Cycles'!$GC$11:$GI$11,1,Z61)+1)))/12)</f>
        <v>0</v>
      </c>
      <c r="AA72" s="28">
        <f>IF(AA71=0,0,AA71*MAX(0,(INDEX(c_CAMy,1,AA$7)-INDEX(c_CAMy,1,INDEX('Lease Cycles'!$GC$11:$GI$11,1,AA61)+1))*(1+'Lease Cycles'!$AK$11)+(INDEX(c_TAXy,1,AA$7)-INDEX(c_TAXy,1,INDEX('Lease Cycles'!$GC$11:$GI$11,1,AA61)+1))+(INDEX(c_INSy,1,AA$7)-INDEX(c_INSy,1,INDEX('Lease Cycles'!$GC$11:$GI$11,1,AA61)+1)))/12)</f>
        <v>0</v>
      </c>
      <c r="AB72" s="28">
        <f>IF(AB71=0,0,AB71*MAX(0,(INDEX(c_CAMy,1,AB$7)-INDEX(c_CAMy,1,INDEX('Lease Cycles'!$GC$11:$GI$11,1,AB61)+1))*(1+'Lease Cycles'!$AK$11)+(INDEX(c_TAXy,1,AB$7)-INDEX(c_TAXy,1,INDEX('Lease Cycles'!$GC$11:$GI$11,1,AB61)+1))+(INDEX(c_INSy,1,AB$7)-INDEX(c_INSy,1,INDEX('Lease Cycles'!$GC$11:$GI$11,1,AB61)+1)))/12)</f>
        <v>0</v>
      </c>
      <c r="AC72" s="28">
        <f>IF(AC71=0,0,AC71*MAX(0,(INDEX(c_CAMy,1,AC$7)-INDEX(c_CAMy,1,INDEX('Lease Cycles'!$GC$11:$GI$11,1,AC61)+1))*(1+'Lease Cycles'!$AK$11)+(INDEX(c_TAXy,1,AC$7)-INDEX(c_TAXy,1,INDEX('Lease Cycles'!$GC$11:$GI$11,1,AC61)+1))+(INDEX(c_INSy,1,AC$7)-INDEX(c_INSy,1,INDEX('Lease Cycles'!$GC$11:$GI$11,1,AC61)+1)))/12)</f>
        <v>0</v>
      </c>
      <c r="AD72" s="28">
        <f>IF(AD71=0,0,AD71*MAX(0,(INDEX(c_CAMy,1,AD$7)-INDEX(c_CAMy,1,INDEX('Lease Cycles'!$GC$11:$GI$11,1,AD61)+1))*(1+'Lease Cycles'!$AK$11)+(INDEX(c_TAXy,1,AD$7)-INDEX(c_TAXy,1,INDEX('Lease Cycles'!$GC$11:$GI$11,1,AD61)+1))+(INDEX(c_INSy,1,AD$7)-INDEX(c_INSy,1,INDEX('Lease Cycles'!$GC$11:$GI$11,1,AD61)+1)))/12)</f>
        <v>0</v>
      </c>
      <c r="AE72" s="28">
        <f>IF(AE71=0,0,AE71*MAX(0,(INDEX(c_CAMy,1,AE$7)-INDEX(c_CAMy,1,INDEX('Lease Cycles'!$GC$11:$GI$11,1,AE61)+1))*(1+'Lease Cycles'!$AK$11)+(INDEX(c_TAXy,1,AE$7)-INDEX(c_TAXy,1,INDEX('Lease Cycles'!$GC$11:$GI$11,1,AE61)+1))+(INDEX(c_INSy,1,AE$7)-INDEX(c_INSy,1,INDEX('Lease Cycles'!$GC$11:$GI$11,1,AE61)+1)))/12)</f>
        <v>0</v>
      </c>
      <c r="AF72" s="28">
        <f>IF(AF71=0,0,AF71*MAX(0,(INDEX(c_CAMy,1,AF$7)-INDEX(c_CAMy,1,INDEX('Lease Cycles'!$GC$11:$GI$11,1,AF61)+1))*(1+'Lease Cycles'!$AK$11)+(INDEX(c_TAXy,1,AF$7)-INDEX(c_TAXy,1,INDEX('Lease Cycles'!$GC$11:$GI$11,1,AF61)+1))+(INDEX(c_INSy,1,AF$7)-INDEX(c_INSy,1,INDEX('Lease Cycles'!$GC$11:$GI$11,1,AF61)+1)))/12)</f>
        <v>0</v>
      </c>
      <c r="AG72" s="28">
        <f>IF(AG71=0,0,AG71*MAX(0,(INDEX(c_CAMy,1,AG$7)-INDEX(c_CAMy,1,INDEX('Lease Cycles'!$GC$11:$GI$11,1,AG61)+1))*(1+'Lease Cycles'!$AK$11)+(INDEX(c_TAXy,1,AG$7)-INDEX(c_TAXy,1,INDEX('Lease Cycles'!$GC$11:$GI$11,1,AG61)+1))+(INDEX(c_INSy,1,AG$7)-INDEX(c_INSy,1,INDEX('Lease Cycles'!$GC$11:$GI$11,1,AG61)+1)))/12)</f>
        <v>0</v>
      </c>
      <c r="AH72" s="28">
        <f>IF(AH71=0,0,AH71*MAX(0,(INDEX(c_CAMy,1,AH$7)-INDEX(c_CAMy,1,INDEX('Lease Cycles'!$GC$11:$GI$11,1,AH61)+1))*(1+'Lease Cycles'!$AK$11)+(INDEX(c_TAXy,1,AH$7)-INDEX(c_TAXy,1,INDEX('Lease Cycles'!$GC$11:$GI$11,1,AH61)+1))+(INDEX(c_INSy,1,AH$7)-INDEX(c_INSy,1,INDEX('Lease Cycles'!$GC$11:$GI$11,1,AH61)+1)))/12)</f>
        <v>0</v>
      </c>
      <c r="AI72" s="28">
        <f>IF(AI71=0,0,AI71*MAX(0,(INDEX(c_CAMy,1,AI$7)-INDEX(c_CAMy,1,INDEX('Lease Cycles'!$GC$11:$GI$11,1,AI61)+1))*(1+'Lease Cycles'!$AK$11)+(INDEX(c_TAXy,1,AI$7)-INDEX(c_TAXy,1,INDEX('Lease Cycles'!$GC$11:$GI$11,1,AI61)+1))+(INDEX(c_INSy,1,AI$7)-INDEX(c_INSy,1,INDEX('Lease Cycles'!$GC$11:$GI$11,1,AI61)+1)))/12)</f>
        <v>0</v>
      </c>
      <c r="AJ72" s="28">
        <f>IF(AJ71=0,0,AJ71*MAX(0,(INDEX(c_CAMy,1,AJ$7)-INDEX(c_CAMy,1,INDEX('Lease Cycles'!$GC$11:$GI$11,1,AJ61)+1))*(1+'Lease Cycles'!$AK$11)+(INDEX(c_TAXy,1,AJ$7)-INDEX(c_TAXy,1,INDEX('Lease Cycles'!$GC$11:$GI$11,1,AJ61)+1))+(INDEX(c_INSy,1,AJ$7)-INDEX(c_INSy,1,INDEX('Lease Cycles'!$GC$11:$GI$11,1,AJ61)+1)))/12)</f>
        <v>0</v>
      </c>
      <c r="AK72" s="28">
        <f>IF(AK71=0,0,AK71*MAX(0,(INDEX(c_CAMy,1,AK$7)-INDEX(c_CAMy,1,INDEX('Lease Cycles'!$GC$11:$GI$11,1,AK61)+1))*(1+'Lease Cycles'!$AK$11)+(INDEX(c_TAXy,1,AK$7)-INDEX(c_TAXy,1,INDEX('Lease Cycles'!$GC$11:$GI$11,1,AK61)+1))+(INDEX(c_INSy,1,AK$7)-INDEX(c_INSy,1,INDEX('Lease Cycles'!$GC$11:$GI$11,1,AK61)+1)))/12)</f>
        <v>0</v>
      </c>
      <c r="AL72" s="28">
        <f>IF(AL71=0,0,AL71*MAX(0,(INDEX(c_CAMy,1,AL$7)-INDEX(c_CAMy,1,INDEX('Lease Cycles'!$GC$11:$GI$11,1,AL61)+1))*(1+'Lease Cycles'!$AK$11)+(INDEX(c_TAXy,1,AL$7)-INDEX(c_TAXy,1,INDEX('Lease Cycles'!$GC$11:$GI$11,1,AL61)+1))+(INDEX(c_INSy,1,AL$7)-INDEX(c_INSy,1,INDEX('Lease Cycles'!$GC$11:$GI$11,1,AL61)+1)))/12)</f>
        <v>0</v>
      </c>
      <c r="AM72" s="28">
        <f>IF(AM71=0,0,AM71*MAX(0,(INDEX(c_CAMy,1,AM$7)-INDEX(c_CAMy,1,INDEX('Lease Cycles'!$GC$11:$GI$11,1,AM61)+1))*(1+'Lease Cycles'!$AK$11)+(INDEX(c_TAXy,1,AM$7)-INDEX(c_TAXy,1,INDEX('Lease Cycles'!$GC$11:$GI$11,1,AM61)+1))+(INDEX(c_INSy,1,AM$7)-INDEX(c_INSy,1,INDEX('Lease Cycles'!$GC$11:$GI$11,1,AM61)+1)))/12)</f>
        <v>0</v>
      </c>
      <c r="AN72" s="28">
        <f>IF(AN71=0,0,AN71*MAX(0,(INDEX(c_CAMy,1,AN$7)-INDEX(c_CAMy,1,INDEX('Lease Cycles'!$GC$11:$GI$11,1,AN61)+1))*(1+'Lease Cycles'!$AK$11)+(INDEX(c_TAXy,1,AN$7)-INDEX(c_TAXy,1,INDEX('Lease Cycles'!$GC$11:$GI$11,1,AN61)+1))+(INDEX(c_INSy,1,AN$7)-INDEX(c_INSy,1,INDEX('Lease Cycles'!$GC$11:$GI$11,1,AN61)+1)))/12)</f>
        <v>0</v>
      </c>
      <c r="AO72" s="28">
        <f>IF(AO71=0,0,AO71*MAX(0,(INDEX(c_CAMy,1,AO$7)-INDEX(c_CAMy,1,INDEX('Lease Cycles'!$GC$11:$GI$11,1,AO61)+1))*(1+'Lease Cycles'!$AK$11)+(INDEX(c_TAXy,1,AO$7)-INDEX(c_TAXy,1,INDEX('Lease Cycles'!$GC$11:$GI$11,1,AO61)+1))+(INDEX(c_INSy,1,AO$7)-INDEX(c_INSy,1,INDEX('Lease Cycles'!$GC$11:$GI$11,1,AO61)+1)))/12)</f>
        <v>0</v>
      </c>
      <c r="AP72" s="28">
        <f>IF(AP71=0,0,AP71*MAX(0,(INDEX(c_CAMy,1,AP$7)-INDEX(c_CAMy,1,INDEX('Lease Cycles'!$GC$11:$GI$11,1,AP61)+1))*(1+'Lease Cycles'!$AK$11)+(INDEX(c_TAXy,1,AP$7)-INDEX(c_TAXy,1,INDEX('Lease Cycles'!$GC$11:$GI$11,1,AP61)+1))+(INDEX(c_INSy,1,AP$7)-INDEX(c_INSy,1,INDEX('Lease Cycles'!$GC$11:$GI$11,1,AP61)+1)))/12)</f>
        <v>0</v>
      </c>
      <c r="AQ72" s="28">
        <f>IF(AQ71=0,0,AQ71*MAX(0,(INDEX(c_CAMy,1,AQ$7)-INDEX(c_CAMy,1,INDEX('Lease Cycles'!$GC$11:$GI$11,1,AQ61)+1))*(1+'Lease Cycles'!$AK$11)+(INDEX(c_TAXy,1,AQ$7)-INDEX(c_TAXy,1,INDEX('Lease Cycles'!$GC$11:$GI$11,1,AQ61)+1))+(INDEX(c_INSy,1,AQ$7)-INDEX(c_INSy,1,INDEX('Lease Cycles'!$GC$11:$GI$11,1,AQ61)+1)))/12)</f>
        <v>0</v>
      </c>
      <c r="AR72" s="28">
        <f>IF(AR71=0,0,AR71*MAX(0,(INDEX(c_CAMy,1,AR$7)-INDEX(c_CAMy,1,INDEX('Lease Cycles'!$GC$11:$GI$11,1,AR61)+1))*(1+'Lease Cycles'!$AK$11)+(INDEX(c_TAXy,1,AR$7)-INDEX(c_TAXy,1,INDEX('Lease Cycles'!$GC$11:$GI$11,1,AR61)+1))+(INDEX(c_INSy,1,AR$7)-INDEX(c_INSy,1,INDEX('Lease Cycles'!$GC$11:$GI$11,1,AR61)+1)))/12)</f>
        <v>0</v>
      </c>
      <c r="AS72" s="28">
        <f>IF(AS71=0,0,AS71*MAX(0,(INDEX(c_CAMy,1,AS$7)-INDEX(c_CAMy,1,INDEX('Lease Cycles'!$GC$11:$GI$11,1,AS61)+1))*(1+'Lease Cycles'!$AK$11)+(INDEX(c_TAXy,1,AS$7)-INDEX(c_TAXy,1,INDEX('Lease Cycles'!$GC$11:$GI$11,1,AS61)+1))+(INDEX(c_INSy,1,AS$7)-INDEX(c_INSy,1,INDEX('Lease Cycles'!$GC$11:$GI$11,1,AS61)+1)))/12)</f>
        <v>0</v>
      </c>
      <c r="AT72" s="28">
        <f>IF(AT71=0,0,AT71*MAX(0,(INDEX(c_CAMy,1,AT$7)-INDEX(c_CAMy,1,INDEX('Lease Cycles'!$GC$11:$GI$11,1,AT61)+1))*(1+'Lease Cycles'!$AK$11)+(INDEX(c_TAXy,1,AT$7)-INDEX(c_TAXy,1,INDEX('Lease Cycles'!$GC$11:$GI$11,1,AT61)+1))+(INDEX(c_INSy,1,AT$7)-INDEX(c_INSy,1,INDEX('Lease Cycles'!$GC$11:$GI$11,1,AT61)+1)))/12)</f>
        <v>0</v>
      </c>
      <c r="AU72" s="28">
        <f>IF(AU71=0,0,AU71*MAX(0,(INDEX(c_CAMy,1,AU$7)-INDEX(c_CAMy,1,INDEX('Lease Cycles'!$GC$11:$GI$11,1,AU61)+1))*(1+'Lease Cycles'!$AK$11)+(INDEX(c_TAXy,1,AU$7)-INDEX(c_TAXy,1,INDEX('Lease Cycles'!$GC$11:$GI$11,1,AU61)+1))+(INDEX(c_INSy,1,AU$7)-INDEX(c_INSy,1,INDEX('Lease Cycles'!$GC$11:$GI$11,1,AU61)+1)))/12)</f>
        <v>0</v>
      </c>
      <c r="AV72" s="28">
        <f>IF(AV71=0,0,AV71*MAX(0,(INDEX(c_CAMy,1,AV$7)-INDEX(c_CAMy,1,INDEX('Lease Cycles'!$GC$11:$GI$11,1,AV61)+1))*(1+'Lease Cycles'!$AK$11)+(INDEX(c_TAXy,1,AV$7)-INDEX(c_TAXy,1,INDEX('Lease Cycles'!$GC$11:$GI$11,1,AV61)+1))+(INDEX(c_INSy,1,AV$7)-INDEX(c_INSy,1,INDEX('Lease Cycles'!$GC$11:$GI$11,1,AV61)+1)))/12)</f>
        <v>0</v>
      </c>
      <c r="AW72" s="28">
        <f>IF(AW71=0,0,AW71*MAX(0,(INDEX(c_CAMy,1,AW$7)-INDEX(c_CAMy,1,INDEX('Lease Cycles'!$GC$11:$GI$11,1,AW61)+1))*(1+'Lease Cycles'!$AK$11)+(INDEX(c_TAXy,1,AW$7)-INDEX(c_TAXy,1,INDEX('Lease Cycles'!$GC$11:$GI$11,1,AW61)+1))+(INDEX(c_INSy,1,AW$7)-INDEX(c_INSy,1,INDEX('Lease Cycles'!$GC$11:$GI$11,1,AW61)+1)))/12)</f>
        <v>0</v>
      </c>
      <c r="AX72" s="28">
        <f>IF(AX71=0,0,AX71*MAX(0,(INDEX(c_CAMy,1,AX$7)-INDEX(c_CAMy,1,INDEX('Lease Cycles'!$GC$11:$GI$11,1,AX61)+1))*(1+'Lease Cycles'!$AK$11)+(INDEX(c_TAXy,1,AX$7)-INDEX(c_TAXy,1,INDEX('Lease Cycles'!$GC$11:$GI$11,1,AX61)+1))+(INDEX(c_INSy,1,AX$7)-INDEX(c_INSy,1,INDEX('Lease Cycles'!$GC$11:$GI$11,1,AX61)+1)))/12)</f>
        <v>0</v>
      </c>
      <c r="AY72" s="28">
        <f>IF(AY71=0,0,AY71*MAX(0,(INDEX(c_CAMy,1,AY$7)-INDEX(c_CAMy,1,INDEX('Lease Cycles'!$GC$11:$GI$11,1,AY61)+1))*(1+'Lease Cycles'!$AK$11)+(INDEX(c_TAXy,1,AY$7)-INDEX(c_TAXy,1,INDEX('Lease Cycles'!$GC$11:$GI$11,1,AY61)+1))+(INDEX(c_INSy,1,AY$7)-INDEX(c_INSy,1,INDEX('Lease Cycles'!$GC$11:$GI$11,1,AY61)+1)))/12)</f>
        <v>0</v>
      </c>
      <c r="AZ72" s="28">
        <f>IF(AZ71=0,0,AZ71*MAX(0,(INDEX(c_CAMy,1,AZ$7)-INDEX(c_CAMy,1,INDEX('Lease Cycles'!$GC$11:$GI$11,1,AZ61)+1))*(1+'Lease Cycles'!$AK$11)+(INDEX(c_TAXy,1,AZ$7)-INDEX(c_TAXy,1,INDEX('Lease Cycles'!$GC$11:$GI$11,1,AZ61)+1))+(INDEX(c_INSy,1,AZ$7)-INDEX(c_INSy,1,INDEX('Lease Cycles'!$GC$11:$GI$11,1,AZ61)+1)))/12)</f>
        <v>0</v>
      </c>
      <c r="BA72" s="28">
        <f>IF(BA71=0,0,BA71*MAX(0,(INDEX(c_CAMy,1,BA$7)-INDEX(c_CAMy,1,INDEX('Lease Cycles'!$GC$11:$GI$11,1,BA61)+1))*(1+'Lease Cycles'!$AK$11)+(INDEX(c_TAXy,1,BA$7)-INDEX(c_TAXy,1,INDEX('Lease Cycles'!$GC$11:$GI$11,1,BA61)+1))+(INDEX(c_INSy,1,BA$7)-INDEX(c_INSy,1,INDEX('Lease Cycles'!$GC$11:$GI$11,1,BA61)+1)))/12)</f>
        <v>0</v>
      </c>
      <c r="BB72" s="28">
        <f>IF(BB71=0,0,BB71*MAX(0,(INDEX(c_CAMy,1,BB$7)-INDEX(c_CAMy,1,INDEX('Lease Cycles'!$GC$11:$GI$11,1,BB61)+1))*(1+'Lease Cycles'!$AK$11)+(INDEX(c_TAXy,1,BB$7)-INDEX(c_TAXy,1,INDEX('Lease Cycles'!$GC$11:$GI$11,1,BB61)+1))+(INDEX(c_INSy,1,BB$7)-INDEX(c_INSy,1,INDEX('Lease Cycles'!$GC$11:$GI$11,1,BB61)+1)))/12)</f>
        <v>0</v>
      </c>
      <c r="BC72" s="28">
        <f>IF(BC71=0,0,BC71*MAX(0,(INDEX(c_CAMy,1,BC$7)-INDEX(c_CAMy,1,INDEX('Lease Cycles'!$GC$11:$GI$11,1,BC61)+1))*(1+'Lease Cycles'!$AK$11)+(INDEX(c_TAXy,1,BC$7)-INDEX(c_TAXy,1,INDEX('Lease Cycles'!$GC$11:$GI$11,1,BC61)+1))+(INDEX(c_INSy,1,BC$7)-INDEX(c_INSy,1,INDEX('Lease Cycles'!$GC$11:$GI$11,1,BC61)+1)))/12)</f>
        <v>0</v>
      </c>
      <c r="BD72" s="28">
        <f>IF(BD71=0,0,BD71*MAX(0,(INDEX(c_CAMy,1,BD$7)-INDEX(c_CAMy,1,INDEX('Lease Cycles'!$GC$11:$GI$11,1,BD61)+1))*(1+'Lease Cycles'!$AK$11)+(INDEX(c_TAXy,1,BD$7)-INDEX(c_TAXy,1,INDEX('Lease Cycles'!$GC$11:$GI$11,1,BD61)+1))+(INDEX(c_INSy,1,BD$7)-INDEX(c_INSy,1,INDEX('Lease Cycles'!$GC$11:$GI$11,1,BD61)+1)))/12)</f>
        <v>0</v>
      </c>
      <c r="BE72" s="28">
        <f>IF(BE71=0,0,BE71*MAX(0,(INDEX(c_CAMy,1,BE$7)-INDEX(c_CAMy,1,INDEX('Lease Cycles'!$GC$11:$GI$11,1,BE61)+1))*(1+'Lease Cycles'!$AK$11)+(INDEX(c_TAXy,1,BE$7)-INDEX(c_TAXy,1,INDEX('Lease Cycles'!$GC$11:$GI$11,1,BE61)+1))+(INDEX(c_INSy,1,BE$7)-INDEX(c_INSy,1,INDEX('Lease Cycles'!$GC$11:$GI$11,1,BE61)+1)))/12)</f>
        <v>0</v>
      </c>
      <c r="BF72" s="28">
        <f>IF(BF71=0,0,BF71*MAX(0,(INDEX(c_CAMy,1,BF$7)-INDEX(c_CAMy,1,INDEX('Lease Cycles'!$GC$11:$GI$11,1,BF61)+1))*(1+'Lease Cycles'!$AK$11)+(INDEX(c_TAXy,1,BF$7)-INDEX(c_TAXy,1,INDEX('Lease Cycles'!$GC$11:$GI$11,1,BF61)+1))+(INDEX(c_INSy,1,BF$7)-INDEX(c_INSy,1,INDEX('Lease Cycles'!$GC$11:$GI$11,1,BF61)+1)))/12)</f>
        <v>0</v>
      </c>
      <c r="BG72" s="28">
        <f>IF(BG71=0,0,BG71*MAX(0,(INDEX(c_CAMy,1,BG$7)-INDEX(c_CAMy,1,INDEX('Lease Cycles'!$GC$11:$GI$11,1,BG61)+1))*(1+'Lease Cycles'!$AK$11)+(INDEX(c_TAXy,1,BG$7)-INDEX(c_TAXy,1,INDEX('Lease Cycles'!$GC$11:$GI$11,1,BG61)+1))+(INDEX(c_INSy,1,BG$7)-INDEX(c_INSy,1,INDEX('Lease Cycles'!$GC$11:$GI$11,1,BG61)+1)))/12)</f>
        <v>0</v>
      </c>
      <c r="BH72" s="28">
        <f>IF(BH71=0,0,BH71*MAX(0,(INDEX(c_CAMy,1,BH$7)-INDEX(c_CAMy,1,INDEX('Lease Cycles'!$GC$11:$GI$11,1,BH61)+1))*(1+'Lease Cycles'!$AK$11)+(INDEX(c_TAXy,1,BH$7)-INDEX(c_TAXy,1,INDEX('Lease Cycles'!$GC$11:$GI$11,1,BH61)+1))+(INDEX(c_INSy,1,BH$7)-INDEX(c_INSy,1,INDEX('Lease Cycles'!$GC$11:$GI$11,1,BH61)+1)))/12)</f>
        <v>0</v>
      </c>
      <c r="BI72" s="28">
        <f>IF(BI71=0,0,BI71*MAX(0,(INDEX(c_CAMy,1,BI$7)-INDEX(c_CAMy,1,INDEX('Lease Cycles'!$GC$11:$GI$11,1,BI61)+1))*(1+'Lease Cycles'!$AK$11)+(INDEX(c_TAXy,1,BI$7)-INDEX(c_TAXy,1,INDEX('Lease Cycles'!$GC$11:$GI$11,1,BI61)+1))+(INDEX(c_INSy,1,BI$7)-INDEX(c_INSy,1,INDEX('Lease Cycles'!$GC$11:$GI$11,1,BI61)+1)))/12)</f>
        <v>0</v>
      </c>
      <c r="BJ72" s="28">
        <f>IF(BJ71=0,0,BJ71*MAX(0,(INDEX(c_CAMy,1,BJ$7)-INDEX(c_CAMy,1,INDEX('Lease Cycles'!$GC$11:$GI$11,1,BJ61)+1))*(1+'Lease Cycles'!$AK$11)+(INDEX(c_TAXy,1,BJ$7)-INDEX(c_TAXy,1,INDEX('Lease Cycles'!$GC$11:$GI$11,1,BJ61)+1))+(INDEX(c_INSy,1,BJ$7)-INDEX(c_INSy,1,INDEX('Lease Cycles'!$GC$11:$GI$11,1,BJ61)+1)))/12)</f>
        <v>0</v>
      </c>
      <c r="BK72" s="28">
        <f>IF(BK71=0,0,BK71*MAX(0,(INDEX(c_CAMy,1,BK$7)-INDEX(c_CAMy,1,INDEX('Lease Cycles'!$GC$11:$GI$11,1,BK61)+1))*(1+'Lease Cycles'!$AK$11)+(INDEX(c_TAXy,1,BK$7)-INDEX(c_TAXy,1,INDEX('Lease Cycles'!$GC$11:$GI$11,1,BK61)+1))+(INDEX(c_INSy,1,BK$7)-INDEX(c_INSy,1,INDEX('Lease Cycles'!$GC$11:$GI$11,1,BK61)+1)))/12)</f>
        <v>0</v>
      </c>
      <c r="BL72" s="28">
        <f>IF(BL71=0,0,BL71*MAX(0,(INDEX(c_CAMy,1,BL$7)-INDEX(c_CAMy,1,INDEX('Lease Cycles'!$GC$11:$GI$11,1,BL61)+1))*(1+'Lease Cycles'!$AK$11)+(INDEX(c_TAXy,1,BL$7)-INDEX(c_TAXy,1,INDEX('Lease Cycles'!$GC$11:$GI$11,1,BL61)+1))+(INDEX(c_INSy,1,BL$7)-INDEX(c_INSy,1,INDEX('Lease Cycles'!$GC$11:$GI$11,1,BL61)+1)))/12)</f>
        <v>0</v>
      </c>
      <c r="BM72" s="28">
        <f>IF(BM71=0,0,BM71*MAX(0,(INDEX(c_CAMy,1,BM$7)-INDEX(c_CAMy,1,INDEX('Lease Cycles'!$GC$11:$GI$11,1,BM61)+1))*(1+'Lease Cycles'!$AK$11)+(INDEX(c_TAXy,1,BM$7)-INDEX(c_TAXy,1,INDEX('Lease Cycles'!$GC$11:$GI$11,1,BM61)+1))+(INDEX(c_INSy,1,BM$7)-INDEX(c_INSy,1,INDEX('Lease Cycles'!$GC$11:$GI$11,1,BM61)+1)))/12)</f>
        <v>0</v>
      </c>
      <c r="BN72" s="28">
        <f>IF(BN71=0,0,BN71*MAX(0,(INDEX(c_CAMy,1,BN$7)-INDEX(c_CAMy,1,INDEX('Lease Cycles'!$GC$11:$GI$11,1,BN61)+1))*(1+'Lease Cycles'!$AK$11)+(INDEX(c_TAXy,1,BN$7)-INDEX(c_TAXy,1,INDEX('Lease Cycles'!$GC$11:$GI$11,1,BN61)+1))+(INDEX(c_INSy,1,BN$7)-INDEX(c_INSy,1,INDEX('Lease Cycles'!$GC$11:$GI$11,1,BN61)+1)))/12)</f>
        <v>0</v>
      </c>
      <c r="BO72" s="28">
        <f>IF(BO71=0,0,BO71*MAX(0,(INDEX(c_CAMy,1,BO$7)-INDEX(c_CAMy,1,INDEX('Lease Cycles'!$GC$11:$GI$11,1,BO61)+1))*(1+'Lease Cycles'!$AK$11)+(INDEX(c_TAXy,1,BO$7)-INDEX(c_TAXy,1,INDEX('Lease Cycles'!$GC$11:$GI$11,1,BO61)+1))+(INDEX(c_INSy,1,BO$7)-INDEX(c_INSy,1,INDEX('Lease Cycles'!$GC$11:$GI$11,1,BO61)+1)))/12)</f>
        <v>0</v>
      </c>
      <c r="BP72" s="28">
        <f>IF(BP71=0,0,BP71*MAX(0,(INDEX(c_CAMy,1,BP$7)-INDEX(c_CAMy,1,INDEX('Lease Cycles'!$GC$11:$GI$11,1,BP61)+1))*(1+'Lease Cycles'!$AK$11)+(INDEX(c_TAXy,1,BP$7)-INDEX(c_TAXy,1,INDEX('Lease Cycles'!$GC$11:$GI$11,1,BP61)+1))+(INDEX(c_INSy,1,BP$7)-INDEX(c_INSy,1,INDEX('Lease Cycles'!$GC$11:$GI$11,1,BP61)+1)))/12)</f>
        <v>0</v>
      </c>
      <c r="BQ72" s="28">
        <f>IF(BQ71=0,0,BQ71*MAX(0,(INDEX(c_CAMy,1,BQ$7)-INDEX(c_CAMy,1,INDEX('Lease Cycles'!$GC$11:$GI$11,1,BQ61)+1))*(1+'Lease Cycles'!$AK$11)+(INDEX(c_TAXy,1,BQ$7)-INDEX(c_TAXy,1,INDEX('Lease Cycles'!$GC$11:$GI$11,1,BQ61)+1))+(INDEX(c_INSy,1,BQ$7)-INDEX(c_INSy,1,INDEX('Lease Cycles'!$GC$11:$GI$11,1,BQ61)+1)))/12)</f>
        <v>0</v>
      </c>
      <c r="BR72" s="28">
        <f>IF(BR71=0,0,BR71*MAX(0,(INDEX(c_CAMy,1,BR$7)-INDEX(c_CAMy,1,INDEX('Lease Cycles'!$GC$11:$GI$11,1,BR61)+1))*(1+'Lease Cycles'!$AK$11)+(INDEX(c_TAXy,1,BR$7)-INDEX(c_TAXy,1,INDEX('Lease Cycles'!$GC$11:$GI$11,1,BR61)+1))+(INDEX(c_INSy,1,BR$7)-INDEX(c_INSy,1,INDEX('Lease Cycles'!$GC$11:$GI$11,1,BR61)+1)))/12)</f>
        <v>0</v>
      </c>
      <c r="BS72" s="28">
        <f>IF(BS71=0,0,BS71*MAX(0,(INDEX(c_CAMy,1,BS$7)-INDEX(c_CAMy,1,INDEX('Lease Cycles'!$GC$11:$GI$11,1,BS61)+1))*(1+'Lease Cycles'!$AK$11)+(INDEX(c_TAXy,1,BS$7)-INDEX(c_TAXy,1,INDEX('Lease Cycles'!$GC$11:$GI$11,1,BS61)+1))+(INDEX(c_INSy,1,BS$7)-INDEX(c_INSy,1,INDEX('Lease Cycles'!$GC$11:$GI$11,1,BS61)+1)))/12)</f>
        <v>0</v>
      </c>
      <c r="BT72" s="28">
        <f>IF(BT71=0,0,BT71*MAX(0,(INDEX(c_CAMy,1,BT$7)-INDEX(c_CAMy,1,INDEX('Lease Cycles'!$GC$11:$GI$11,1,BT61)+1))*(1+'Lease Cycles'!$AK$11)+(INDEX(c_TAXy,1,BT$7)-INDEX(c_TAXy,1,INDEX('Lease Cycles'!$GC$11:$GI$11,1,BT61)+1))+(INDEX(c_INSy,1,BT$7)-INDEX(c_INSy,1,INDEX('Lease Cycles'!$GC$11:$GI$11,1,BT61)+1)))/12)</f>
        <v>0</v>
      </c>
      <c r="BU72" s="28">
        <f>IF(BU71=0,0,BU71*MAX(0,(INDEX(c_CAMy,1,BU$7)-INDEX(c_CAMy,1,INDEX('Lease Cycles'!$GC$11:$GI$11,1,BU61)+1))*(1+'Lease Cycles'!$AK$11)+(INDEX(c_TAXy,1,BU$7)-INDEX(c_TAXy,1,INDEX('Lease Cycles'!$GC$11:$GI$11,1,BU61)+1))+(INDEX(c_INSy,1,BU$7)-INDEX(c_INSy,1,INDEX('Lease Cycles'!$GC$11:$GI$11,1,BU61)+1)))/12)</f>
        <v>0</v>
      </c>
      <c r="BV72" s="28">
        <f>IF(BV71=0,0,BV71*MAX(0,(INDEX(c_CAMy,1,BV$7)-INDEX(c_CAMy,1,INDEX('Lease Cycles'!$GC$11:$GI$11,1,BV61)+1))*(1+'Lease Cycles'!$AK$11)+(INDEX(c_TAXy,1,BV$7)-INDEX(c_TAXy,1,INDEX('Lease Cycles'!$GC$11:$GI$11,1,BV61)+1))+(INDEX(c_INSy,1,BV$7)-INDEX(c_INSy,1,INDEX('Lease Cycles'!$GC$11:$GI$11,1,BV61)+1)))/12)</f>
        <v>0</v>
      </c>
      <c r="BW72" s="28">
        <f>IF(BW71=0,0,BW71*MAX(0,(INDEX(c_CAMy,1,BW$7)-INDEX(c_CAMy,1,INDEX('Lease Cycles'!$GC$11:$GI$11,1,BW61)+1))*(1+'Lease Cycles'!$AK$11)+(INDEX(c_TAXy,1,BW$7)-INDEX(c_TAXy,1,INDEX('Lease Cycles'!$GC$11:$GI$11,1,BW61)+1))+(INDEX(c_INSy,1,BW$7)-INDEX(c_INSy,1,INDEX('Lease Cycles'!$GC$11:$GI$11,1,BW61)+1)))/12)</f>
        <v>0</v>
      </c>
      <c r="BX72" s="28">
        <f>IF(BX71=0,0,BX71*MAX(0,(INDEX(c_CAMy,1,BX$7)-INDEX(c_CAMy,1,INDEX('Lease Cycles'!$GC$11:$GI$11,1,BX61)+1))*(1+'Lease Cycles'!$AK$11)+(INDEX(c_TAXy,1,BX$7)-INDEX(c_TAXy,1,INDEX('Lease Cycles'!$GC$11:$GI$11,1,BX61)+1))+(INDEX(c_INSy,1,BX$7)-INDEX(c_INSy,1,INDEX('Lease Cycles'!$GC$11:$GI$11,1,BX61)+1)))/12)</f>
        <v>0</v>
      </c>
      <c r="BY72" s="28">
        <f>IF(BY71=0,0,BY71*MAX(0,(INDEX(c_CAMy,1,BY$7)-INDEX(c_CAMy,1,INDEX('Lease Cycles'!$GC$11:$GI$11,1,BY61)+1))*(1+'Lease Cycles'!$AK$11)+(INDEX(c_TAXy,1,BY$7)-INDEX(c_TAXy,1,INDEX('Lease Cycles'!$GC$11:$GI$11,1,BY61)+1))+(INDEX(c_INSy,1,BY$7)-INDEX(c_INSy,1,INDEX('Lease Cycles'!$GC$11:$GI$11,1,BY61)+1)))/12)</f>
        <v>0</v>
      </c>
      <c r="BZ72" s="28">
        <f>IF(BZ71=0,0,BZ71*MAX(0,(INDEX(c_CAMy,1,BZ$7)-INDEX(c_CAMy,1,INDEX('Lease Cycles'!$GC$11:$GI$11,1,BZ61)+1))*(1+'Lease Cycles'!$AK$11)+(INDEX(c_TAXy,1,BZ$7)-INDEX(c_TAXy,1,INDEX('Lease Cycles'!$GC$11:$GI$11,1,BZ61)+1))+(INDEX(c_INSy,1,BZ$7)-INDEX(c_INSy,1,INDEX('Lease Cycles'!$GC$11:$GI$11,1,BZ61)+1)))/12)</f>
        <v>0</v>
      </c>
      <c r="CA72" s="28">
        <f>IF(CA71=0,0,CA71*MAX(0,(INDEX(c_CAMy,1,CA$7)-INDEX(c_CAMy,1,INDEX('Lease Cycles'!$GC$11:$GI$11,1,CA61)+1))*(1+'Lease Cycles'!$AK$11)+(INDEX(c_TAXy,1,CA$7)-INDEX(c_TAXy,1,INDEX('Lease Cycles'!$GC$11:$GI$11,1,CA61)+1))+(INDEX(c_INSy,1,CA$7)-INDEX(c_INSy,1,INDEX('Lease Cycles'!$GC$11:$GI$11,1,CA61)+1)))/12)</f>
        <v>0</v>
      </c>
      <c r="CB72" s="28">
        <f>IF(CB71=0,0,CB71*MAX(0,(INDEX(c_CAMy,1,CB$7)-INDEX(c_CAMy,1,INDEX('Lease Cycles'!$GC$11:$GI$11,1,CB61)+1))*(1+'Lease Cycles'!$AK$11)+(INDEX(c_TAXy,1,CB$7)-INDEX(c_TAXy,1,INDEX('Lease Cycles'!$GC$11:$GI$11,1,CB61)+1))+(INDEX(c_INSy,1,CB$7)-INDEX(c_INSy,1,INDEX('Lease Cycles'!$GC$11:$GI$11,1,CB61)+1)))/12)</f>
        <v>0</v>
      </c>
      <c r="CC72" s="28">
        <f>IF(CC71=0,0,CC71*MAX(0,(INDEX(c_CAMy,1,CC$7)-INDEX(c_CAMy,1,INDEX('Lease Cycles'!$GC$11:$GI$11,1,CC61)+1))*(1+'Lease Cycles'!$AK$11)+(INDEX(c_TAXy,1,CC$7)-INDEX(c_TAXy,1,INDEX('Lease Cycles'!$GC$11:$GI$11,1,CC61)+1))+(INDEX(c_INSy,1,CC$7)-INDEX(c_INSy,1,INDEX('Lease Cycles'!$GC$11:$GI$11,1,CC61)+1)))/12)</f>
        <v>0</v>
      </c>
      <c r="CD72" s="28">
        <f>IF(CD71=0,0,CD71*MAX(0,(INDEX(c_CAMy,1,CD$7)-INDEX(c_CAMy,1,INDEX('Lease Cycles'!$GC$11:$GI$11,1,CD61)+1))*(1+'Lease Cycles'!$AK$11)+(INDEX(c_TAXy,1,CD$7)-INDEX(c_TAXy,1,INDEX('Lease Cycles'!$GC$11:$GI$11,1,CD61)+1))+(INDEX(c_INSy,1,CD$7)-INDEX(c_INSy,1,INDEX('Lease Cycles'!$GC$11:$GI$11,1,CD61)+1)))/12)</f>
        <v>0</v>
      </c>
      <c r="CE72" s="28">
        <f>IF(CE71=0,0,CE71*MAX(0,(INDEX(c_CAMy,1,CE$7)-INDEX(c_CAMy,1,INDEX('Lease Cycles'!$GC$11:$GI$11,1,CE61)+1))*(1+'Lease Cycles'!$AK$11)+(INDEX(c_TAXy,1,CE$7)-INDEX(c_TAXy,1,INDEX('Lease Cycles'!$GC$11:$GI$11,1,CE61)+1))+(INDEX(c_INSy,1,CE$7)-INDEX(c_INSy,1,INDEX('Lease Cycles'!$GC$11:$GI$11,1,CE61)+1)))/12)</f>
        <v>0</v>
      </c>
      <c r="CF72" s="28">
        <f>IF(CF71=0,0,CF71*MAX(0,(INDEX(c_CAMy,1,CF$7)-INDEX(c_CAMy,1,INDEX('Lease Cycles'!$GC$11:$GI$11,1,CF61)+1))*(1+'Lease Cycles'!$AK$11)+(INDEX(c_TAXy,1,CF$7)-INDEX(c_TAXy,1,INDEX('Lease Cycles'!$GC$11:$GI$11,1,CF61)+1))+(INDEX(c_INSy,1,CF$7)-INDEX(c_INSy,1,INDEX('Lease Cycles'!$GC$11:$GI$11,1,CF61)+1)))/12)</f>
        <v>0</v>
      </c>
      <c r="CG72" s="28">
        <f>IF(CG71=0,0,CG71*MAX(0,(INDEX(c_CAMy,1,CG$7)-INDEX(c_CAMy,1,INDEX('Lease Cycles'!$GC$11:$GI$11,1,CG61)+1))*(1+'Lease Cycles'!$AK$11)+(INDEX(c_TAXy,1,CG$7)-INDEX(c_TAXy,1,INDEX('Lease Cycles'!$GC$11:$GI$11,1,CG61)+1))+(INDEX(c_INSy,1,CG$7)-INDEX(c_INSy,1,INDEX('Lease Cycles'!$GC$11:$GI$11,1,CG61)+1)))/12)</f>
        <v>0</v>
      </c>
      <c r="CH72" s="28">
        <f>IF(CH71=0,0,CH71*MAX(0,(INDEX(c_CAMy,1,CH$7)-INDEX(c_CAMy,1,INDEX('Lease Cycles'!$GC$11:$GI$11,1,CH61)+1))*(1+'Lease Cycles'!$AK$11)+(INDEX(c_TAXy,1,CH$7)-INDEX(c_TAXy,1,INDEX('Lease Cycles'!$GC$11:$GI$11,1,CH61)+1))+(INDEX(c_INSy,1,CH$7)-INDEX(c_INSy,1,INDEX('Lease Cycles'!$GC$11:$GI$11,1,CH61)+1)))/12)</f>
        <v>0</v>
      </c>
      <c r="CI72" s="28">
        <f>IF(CI71=0,0,CI71*MAX(0,(INDEX(c_CAMy,1,CI$7)-INDEX(c_CAMy,1,INDEX('Lease Cycles'!$GC$11:$GI$11,1,CI61)+1))*(1+'Lease Cycles'!$AK$11)+(INDEX(c_TAXy,1,CI$7)-INDEX(c_TAXy,1,INDEX('Lease Cycles'!$GC$11:$GI$11,1,CI61)+1))+(INDEX(c_INSy,1,CI$7)-INDEX(c_INSy,1,INDEX('Lease Cycles'!$GC$11:$GI$11,1,CI61)+1)))/12)</f>
        <v>0</v>
      </c>
      <c r="CJ72" s="28">
        <f>IF(CJ71=0,0,CJ71*MAX(0,(INDEX(c_CAMy,1,CJ$7)-INDEX(c_CAMy,1,INDEX('Lease Cycles'!$GC$11:$GI$11,1,CJ61)+1))*(1+'Lease Cycles'!$AK$11)+(INDEX(c_TAXy,1,CJ$7)-INDEX(c_TAXy,1,INDEX('Lease Cycles'!$GC$11:$GI$11,1,CJ61)+1))+(INDEX(c_INSy,1,CJ$7)-INDEX(c_INSy,1,INDEX('Lease Cycles'!$GC$11:$GI$11,1,CJ61)+1)))/12)</f>
        <v>0</v>
      </c>
      <c r="CK72" s="28">
        <f>IF(CK71=0,0,CK71*MAX(0,(INDEX(c_CAMy,1,CK$7)-INDEX(c_CAMy,1,INDEX('Lease Cycles'!$GC$11:$GI$11,1,CK61)+1))*(1+'Lease Cycles'!$AK$11)+(INDEX(c_TAXy,1,CK$7)-INDEX(c_TAXy,1,INDEX('Lease Cycles'!$GC$11:$GI$11,1,CK61)+1))+(INDEX(c_INSy,1,CK$7)-INDEX(c_INSy,1,INDEX('Lease Cycles'!$GC$11:$GI$11,1,CK61)+1)))/12)</f>
        <v>0</v>
      </c>
      <c r="CL72" s="28">
        <f>IF(CL71=0,0,CL71*MAX(0,(INDEX(c_CAMy,1,CL$7)-INDEX(c_CAMy,1,INDEX('Lease Cycles'!$GC$11:$GI$11,1,CL61)+1))*(1+'Lease Cycles'!$AK$11)+(INDEX(c_TAXy,1,CL$7)-INDEX(c_TAXy,1,INDEX('Lease Cycles'!$GC$11:$GI$11,1,CL61)+1))+(INDEX(c_INSy,1,CL$7)-INDEX(c_INSy,1,INDEX('Lease Cycles'!$GC$11:$GI$11,1,CL61)+1)))/12)</f>
        <v>0</v>
      </c>
      <c r="CM72" s="28">
        <f>IF(CM71=0,0,CM71*MAX(0,(INDEX(c_CAMy,1,CM$7)-INDEX(c_CAMy,1,INDEX('Lease Cycles'!$GC$11:$GI$11,1,CM61)+1))*(1+'Lease Cycles'!$AK$11)+(INDEX(c_TAXy,1,CM$7)-INDEX(c_TAXy,1,INDEX('Lease Cycles'!$GC$11:$GI$11,1,CM61)+1))+(INDEX(c_INSy,1,CM$7)-INDEX(c_INSy,1,INDEX('Lease Cycles'!$GC$11:$GI$11,1,CM61)+1)))/12)</f>
        <v>0</v>
      </c>
      <c r="CN72" s="28">
        <f>IF(CN71=0,0,CN71*MAX(0,(INDEX(c_CAMy,1,CN$7)-INDEX(c_CAMy,1,INDEX('Lease Cycles'!$GC$11:$GI$11,1,CN61)+1))*(1+'Lease Cycles'!$AK$11)+(INDEX(c_TAXy,1,CN$7)-INDEX(c_TAXy,1,INDEX('Lease Cycles'!$GC$11:$GI$11,1,CN61)+1))+(INDEX(c_INSy,1,CN$7)-INDEX(c_INSy,1,INDEX('Lease Cycles'!$GC$11:$GI$11,1,CN61)+1)))/12)</f>
        <v>0</v>
      </c>
      <c r="CO72" s="28">
        <f>IF(CO71=0,0,CO71*MAX(0,(INDEX(c_CAMy,1,CO$7)-INDEX(c_CAMy,1,INDEX('Lease Cycles'!$GC$11:$GI$11,1,CO61)+1))*(1+'Lease Cycles'!$AK$11)+(INDEX(c_TAXy,1,CO$7)-INDEX(c_TAXy,1,INDEX('Lease Cycles'!$GC$11:$GI$11,1,CO61)+1))+(INDEX(c_INSy,1,CO$7)-INDEX(c_INSy,1,INDEX('Lease Cycles'!$GC$11:$GI$11,1,CO61)+1)))/12)</f>
        <v>0</v>
      </c>
      <c r="CP72" s="28">
        <f>IF(CP71=0,0,CP71*MAX(0,(INDEX(c_CAMy,1,CP$7)-INDEX(c_CAMy,1,INDEX('Lease Cycles'!$GC$11:$GI$11,1,CP61)+1))*(1+'Lease Cycles'!$AK$11)+(INDEX(c_TAXy,1,CP$7)-INDEX(c_TAXy,1,INDEX('Lease Cycles'!$GC$11:$GI$11,1,CP61)+1))+(INDEX(c_INSy,1,CP$7)-INDEX(c_INSy,1,INDEX('Lease Cycles'!$GC$11:$GI$11,1,CP61)+1)))/12)</f>
        <v>0</v>
      </c>
      <c r="CQ72" s="28">
        <f>IF(CQ71=0,0,CQ71*MAX(0,(INDEX(c_CAMy,1,CQ$7)-INDEX(c_CAMy,1,INDEX('Lease Cycles'!$GC$11:$GI$11,1,CQ61)+1))*(1+'Lease Cycles'!$AK$11)+(INDEX(c_TAXy,1,CQ$7)-INDEX(c_TAXy,1,INDEX('Lease Cycles'!$GC$11:$GI$11,1,CQ61)+1))+(INDEX(c_INSy,1,CQ$7)-INDEX(c_INSy,1,INDEX('Lease Cycles'!$GC$11:$GI$11,1,CQ61)+1)))/12)</f>
        <v>0</v>
      </c>
      <c r="CR72" s="28">
        <f>IF(CR71=0,0,CR71*MAX(0,(INDEX(c_CAMy,1,CR$7)-INDEX(c_CAMy,1,INDEX('Lease Cycles'!$GC$11:$GI$11,1,CR61)+1))*(1+'Lease Cycles'!$AK$11)+(INDEX(c_TAXy,1,CR$7)-INDEX(c_TAXy,1,INDEX('Lease Cycles'!$GC$11:$GI$11,1,CR61)+1))+(INDEX(c_INSy,1,CR$7)-INDEX(c_INSy,1,INDEX('Lease Cycles'!$GC$11:$GI$11,1,CR61)+1)))/12)</f>
        <v>0</v>
      </c>
      <c r="CS72" s="28">
        <f>IF(CS71=0,0,CS71*MAX(0,(INDEX(c_CAMy,1,CS$7)-INDEX(c_CAMy,1,INDEX('Lease Cycles'!$GC$11:$GI$11,1,CS61)+1))*(1+'Lease Cycles'!$AK$11)+(INDEX(c_TAXy,1,CS$7)-INDEX(c_TAXy,1,INDEX('Lease Cycles'!$GC$11:$GI$11,1,CS61)+1))+(INDEX(c_INSy,1,CS$7)-INDEX(c_INSy,1,INDEX('Lease Cycles'!$GC$11:$GI$11,1,CS61)+1)))/12)</f>
        <v>0</v>
      </c>
      <c r="CT72" s="28">
        <f>IF(CT71=0,0,CT71*MAX(0,(INDEX(c_CAMy,1,CT$7)-INDEX(c_CAMy,1,INDEX('Lease Cycles'!$GC$11:$GI$11,1,CT61)+1))*(1+'Lease Cycles'!$AK$11)+(INDEX(c_TAXy,1,CT$7)-INDEX(c_TAXy,1,INDEX('Lease Cycles'!$GC$11:$GI$11,1,CT61)+1))+(INDEX(c_INSy,1,CT$7)-INDEX(c_INSy,1,INDEX('Lease Cycles'!$GC$11:$GI$11,1,CT61)+1)))/12)</f>
        <v>0</v>
      </c>
      <c r="CU72" s="28">
        <f>IF(CU71=0,0,CU71*MAX(0,(INDEX(c_CAMy,1,CU$7)-INDEX(c_CAMy,1,INDEX('Lease Cycles'!$GC$11:$GI$11,1,CU61)+1))*(1+'Lease Cycles'!$AK$11)+(INDEX(c_TAXy,1,CU$7)-INDEX(c_TAXy,1,INDEX('Lease Cycles'!$GC$11:$GI$11,1,CU61)+1))+(INDEX(c_INSy,1,CU$7)-INDEX(c_INSy,1,INDEX('Lease Cycles'!$GC$11:$GI$11,1,CU61)+1)))/12)</f>
        <v>0</v>
      </c>
      <c r="CV72" s="28">
        <f>IF(CV71=0,0,CV71*MAX(0,(INDEX(c_CAMy,1,CV$7)-INDEX(c_CAMy,1,INDEX('Lease Cycles'!$GC$11:$GI$11,1,CV61)+1))*(1+'Lease Cycles'!$AK$11)+(INDEX(c_TAXy,1,CV$7)-INDEX(c_TAXy,1,INDEX('Lease Cycles'!$GC$11:$GI$11,1,CV61)+1))+(INDEX(c_INSy,1,CV$7)-INDEX(c_INSy,1,INDEX('Lease Cycles'!$GC$11:$GI$11,1,CV61)+1)))/12)</f>
        <v>0</v>
      </c>
      <c r="CW72" s="28">
        <f>IF(CW71=0,0,CW71*MAX(0,(INDEX(c_CAMy,1,CW$7)-INDEX(c_CAMy,1,INDEX('Lease Cycles'!$GC$11:$GI$11,1,CW61)+1))*(1+'Lease Cycles'!$AK$11)+(INDEX(c_TAXy,1,CW$7)-INDEX(c_TAXy,1,INDEX('Lease Cycles'!$GC$11:$GI$11,1,CW61)+1))+(INDEX(c_INSy,1,CW$7)-INDEX(c_INSy,1,INDEX('Lease Cycles'!$GC$11:$GI$11,1,CW61)+1)))/12)</f>
        <v>0</v>
      </c>
      <c r="CX72" s="28">
        <f>IF(CX71=0,0,CX71*MAX(0,(INDEX(c_CAMy,1,CX$7)-INDEX(c_CAMy,1,INDEX('Lease Cycles'!$GC$11:$GI$11,1,CX61)+1))*(1+'Lease Cycles'!$AK$11)+(INDEX(c_TAXy,1,CX$7)-INDEX(c_TAXy,1,INDEX('Lease Cycles'!$GC$11:$GI$11,1,CX61)+1))+(INDEX(c_INSy,1,CX$7)-INDEX(c_INSy,1,INDEX('Lease Cycles'!$GC$11:$GI$11,1,CX61)+1)))/12)</f>
        <v>0</v>
      </c>
      <c r="CY72" s="28">
        <f>IF(CY71=0,0,CY71*MAX(0,(INDEX(c_CAMy,1,CY$7)-INDEX(c_CAMy,1,INDEX('Lease Cycles'!$GC$11:$GI$11,1,CY61)+1))*(1+'Lease Cycles'!$AK$11)+(INDEX(c_TAXy,1,CY$7)-INDEX(c_TAXy,1,INDEX('Lease Cycles'!$GC$11:$GI$11,1,CY61)+1))+(INDEX(c_INSy,1,CY$7)-INDEX(c_INSy,1,INDEX('Lease Cycles'!$GC$11:$GI$11,1,CY61)+1)))/12)</f>
        <v>0</v>
      </c>
      <c r="CZ72" s="28">
        <f>IF(CZ71=0,0,CZ71*MAX(0,(INDEX(c_CAMy,1,CZ$7)-INDEX(c_CAMy,1,INDEX('Lease Cycles'!$GC$11:$GI$11,1,CZ61)+1))*(1+'Lease Cycles'!$AK$11)+(INDEX(c_TAXy,1,CZ$7)-INDEX(c_TAXy,1,INDEX('Lease Cycles'!$GC$11:$GI$11,1,CZ61)+1))+(INDEX(c_INSy,1,CZ$7)-INDEX(c_INSy,1,INDEX('Lease Cycles'!$GC$11:$GI$11,1,CZ61)+1)))/12)</f>
        <v>0</v>
      </c>
      <c r="DA72" s="28">
        <f>IF(DA71=0,0,DA71*MAX(0,(INDEX(c_CAMy,1,DA$7)-INDEX(c_CAMy,1,INDEX('Lease Cycles'!$GC$11:$GI$11,1,DA61)+1))*(1+'Lease Cycles'!$AK$11)+(INDEX(c_TAXy,1,DA$7)-INDEX(c_TAXy,1,INDEX('Lease Cycles'!$GC$11:$GI$11,1,DA61)+1))+(INDEX(c_INSy,1,DA$7)-INDEX(c_INSy,1,INDEX('Lease Cycles'!$GC$11:$GI$11,1,DA61)+1)))/12)</f>
        <v>0</v>
      </c>
      <c r="DB72" s="28">
        <f>IF(DB71=0,0,DB71*MAX(0,(INDEX(c_CAMy,1,DB$7)-INDEX(c_CAMy,1,INDEX('Lease Cycles'!$GC$11:$GI$11,1,DB61)+1))*(1+'Lease Cycles'!$AK$11)+(INDEX(c_TAXy,1,DB$7)-INDEX(c_TAXy,1,INDEX('Lease Cycles'!$GC$11:$GI$11,1,DB61)+1))+(INDEX(c_INSy,1,DB$7)-INDEX(c_INSy,1,INDEX('Lease Cycles'!$GC$11:$GI$11,1,DB61)+1)))/12)</f>
        <v>0</v>
      </c>
      <c r="DC72" s="28">
        <f>IF(DC71=0,0,DC71*MAX(0,(INDEX(c_CAMy,1,DC$7)-INDEX(c_CAMy,1,INDEX('Lease Cycles'!$GC$11:$GI$11,1,DC61)+1))*(1+'Lease Cycles'!$AK$11)+(INDEX(c_TAXy,1,DC$7)-INDEX(c_TAXy,1,INDEX('Lease Cycles'!$GC$11:$GI$11,1,DC61)+1))+(INDEX(c_INSy,1,DC$7)-INDEX(c_INSy,1,INDEX('Lease Cycles'!$GC$11:$GI$11,1,DC61)+1)))/12)</f>
        <v>0</v>
      </c>
      <c r="DD72" s="28">
        <f>IF(DD71=0,0,DD71*MAX(0,(INDEX(c_CAMy,1,DD$7)-INDEX(c_CAMy,1,INDEX('Lease Cycles'!$GC$11:$GI$11,1,DD61)+1))*(1+'Lease Cycles'!$AK$11)+(INDEX(c_TAXy,1,DD$7)-INDEX(c_TAXy,1,INDEX('Lease Cycles'!$GC$11:$GI$11,1,DD61)+1))+(INDEX(c_INSy,1,DD$7)-INDEX(c_INSy,1,INDEX('Lease Cycles'!$GC$11:$GI$11,1,DD61)+1)))/12)</f>
        <v>0</v>
      </c>
      <c r="DE72" s="28">
        <f>IF(DE71=0,0,DE71*MAX(0,(INDEX(c_CAMy,1,DE$7)-INDEX(c_CAMy,1,INDEX('Lease Cycles'!$GC$11:$GI$11,1,DE61)+1))*(1+'Lease Cycles'!$AK$11)+(INDEX(c_TAXy,1,DE$7)-INDEX(c_TAXy,1,INDEX('Lease Cycles'!$GC$11:$GI$11,1,DE61)+1))+(INDEX(c_INSy,1,DE$7)-INDEX(c_INSy,1,INDEX('Lease Cycles'!$GC$11:$GI$11,1,DE61)+1)))/12)</f>
        <v>0</v>
      </c>
      <c r="DF72" s="28">
        <f>IF(DF71=0,0,DF71*MAX(0,(INDEX(c_CAMy,1,DF$7)-INDEX(c_CAMy,1,INDEX('Lease Cycles'!$GC$11:$GI$11,1,DF61)+1))*(1+'Lease Cycles'!$AK$11)+(INDEX(c_TAXy,1,DF$7)-INDEX(c_TAXy,1,INDEX('Lease Cycles'!$GC$11:$GI$11,1,DF61)+1))+(INDEX(c_INSy,1,DF$7)-INDEX(c_INSy,1,INDEX('Lease Cycles'!$GC$11:$GI$11,1,DF61)+1)))/12)</f>
        <v>0</v>
      </c>
      <c r="DG72" s="28">
        <f>IF(DG71=0,0,DG71*MAX(0,(INDEX(c_CAMy,1,DG$7)-INDEX(c_CAMy,1,INDEX('Lease Cycles'!$GC$11:$GI$11,1,DG61)+1))*(1+'Lease Cycles'!$AK$11)+(INDEX(c_TAXy,1,DG$7)-INDEX(c_TAXy,1,INDEX('Lease Cycles'!$GC$11:$GI$11,1,DG61)+1))+(INDEX(c_INSy,1,DG$7)-INDEX(c_INSy,1,INDEX('Lease Cycles'!$GC$11:$GI$11,1,DG61)+1)))/12)</f>
        <v>0</v>
      </c>
      <c r="DH72" s="28">
        <f>IF(DH71=0,0,DH71*MAX(0,(INDEX(c_CAMy,1,DH$7)-INDEX(c_CAMy,1,INDEX('Lease Cycles'!$GC$11:$GI$11,1,DH61)+1))*(1+'Lease Cycles'!$AK$11)+(INDEX(c_TAXy,1,DH$7)-INDEX(c_TAXy,1,INDEX('Lease Cycles'!$GC$11:$GI$11,1,DH61)+1))+(INDEX(c_INSy,1,DH$7)-INDEX(c_INSy,1,INDEX('Lease Cycles'!$GC$11:$GI$11,1,DH61)+1)))/12)</f>
        <v>0</v>
      </c>
      <c r="DI72" s="28">
        <f>IF(DI71=0,0,DI71*MAX(0,(INDEX(c_CAMy,1,DI$7)-INDEX(c_CAMy,1,INDEX('Lease Cycles'!$GC$11:$GI$11,1,DI61)+1))*(1+'Lease Cycles'!$AK$11)+(INDEX(c_TAXy,1,DI$7)-INDEX(c_TAXy,1,INDEX('Lease Cycles'!$GC$11:$GI$11,1,DI61)+1))+(INDEX(c_INSy,1,DI$7)-INDEX(c_INSy,1,INDEX('Lease Cycles'!$GC$11:$GI$11,1,DI61)+1)))/12)</f>
        <v>0</v>
      </c>
      <c r="DJ72" s="28">
        <f>IF(DJ71=0,0,DJ71*MAX(0,(INDEX(c_CAMy,1,DJ$7)-INDEX(c_CAMy,1,INDEX('Lease Cycles'!$GC$11:$GI$11,1,DJ61)+1))*(1+'Lease Cycles'!$AK$11)+(INDEX(c_TAXy,1,DJ$7)-INDEX(c_TAXy,1,INDEX('Lease Cycles'!$GC$11:$GI$11,1,DJ61)+1))+(INDEX(c_INSy,1,DJ$7)-INDEX(c_INSy,1,INDEX('Lease Cycles'!$GC$11:$GI$11,1,DJ61)+1)))/12)</f>
        <v>0</v>
      </c>
      <c r="DK72" s="28">
        <f>IF(DK71=0,0,DK71*MAX(0,(INDEX(c_CAMy,1,DK$7)-INDEX(c_CAMy,1,INDEX('Lease Cycles'!$GC$11:$GI$11,1,DK61)+1))*(1+'Lease Cycles'!$AK$11)+(INDEX(c_TAXy,1,DK$7)-INDEX(c_TAXy,1,INDEX('Lease Cycles'!$GC$11:$GI$11,1,DK61)+1))+(INDEX(c_INSy,1,DK$7)-INDEX(c_INSy,1,INDEX('Lease Cycles'!$GC$11:$GI$11,1,DK61)+1)))/12)</f>
        <v>0</v>
      </c>
      <c r="DL72" s="28">
        <f>IF(DL71=0,0,DL71*MAX(0,(INDEX(c_CAMy,1,DL$7)-INDEX(c_CAMy,1,INDEX('Lease Cycles'!$GC$11:$GI$11,1,DL61)+1))*(1+'Lease Cycles'!$AK$11)+(INDEX(c_TAXy,1,DL$7)-INDEX(c_TAXy,1,INDEX('Lease Cycles'!$GC$11:$GI$11,1,DL61)+1))+(INDEX(c_INSy,1,DL$7)-INDEX(c_INSy,1,INDEX('Lease Cycles'!$GC$11:$GI$11,1,DL61)+1)))/12)</f>
        <v>0</v>
      </c>
      <c r="DM72" s="28">
        <f>IF(DM71=0,0,DM71*MAX(0,(INDEX(c_CAMy,1,DM$7)-INDEX(c_CAMy,1,INDEX('Lease Cycles'!$GC$11:$GI$11,1,DM61)+1))*(1+'Lease Cycles'!$AK$11)+(INDEX(c_TAXy,1,DM$7)-INDEX(c_TAXy,1,INDEX('Lease Cycles'!$GC$11:$GI$11,1,DM61)+1))+(INDEX(c_INSy,1,DM$7)-INDEX(c_INSy,1,INDEX('Lease Cycles'!$GC$11:$GI$11,1,DM61)+1)))/12)</f>
        <v>0</v>
      </c>
      <c r="DN72" s="28">
        <f>IF(DN71=0,0,DN71*MAX(0,(INDEX(c_CAMy,1,DN$7)-INDEX(c_CAMy,1,INDEX('Lease Cycles'!$GC$11:$GI$11,1,DN61)+1))*(1+'Lease Cycles'!$AK$11)+(INDEX(c_TAXy,1,DN$7)-INDEX(c_TAXy,1,INDEX('Lease Cycles'!$GC$11:$GI$11,1,DN61)+1))+(INDEX(c_INSy,1,DN$7)-INDEX(c_INSy,1,INDEX('Lease Cycles'!$GC$11:$GI$11,1,DN61)+1)))/12)</f>
        <v>0</v>
      </c>
      <c r="DO72" s="28">
        <f>IF(DO71=0,0,DO71*MAX(0,(INDEX(c_CAMy,1,DO$7)-INDEX(c_CAMy,1,INDEX('Lease Cycles'!$GC$11:$GI$11,1,DO61)+1))*(1+'Lease Cycles'!$AK$11)+(INDEX(c_TAXy,1,DO$7)-INDEX(c_TAXy,1,INDEX('Lease Cycles'!$GC$11:$GI$11,1,DO61)+1))+(INDEX(c_INSy,1,DO$7)-INDEX(c_INSy,1,INDEX('Lease Cycles'!$GC$11:$GI$11,1,DO61)+1)))/12)</f>
        <v>0</v>
      </c>
      <c r="DP72" s="28">
        <f>IF(DP71=0,0,DP71*MAX(0,(INDEX(c_CAMy,1,DP$7)-INDEX(c_CAMy,1,INDEX('Lease Cycles'!$GC$11:$GI$11,1,DP61)+1))*(1+'Lease Cycles'!$AK$11)+(INDEX(c_TAXy,1,DP$7)-INDEX(c_TAXy,1,INDEX('Lease Cycles'!$GC$11:$GI$11,1,DP61)+1))+(INDEX(c_INSy,1,DP$7)-INDEX(c_INSy,1,INDEX('Lease Cycles'!$GC$11:$GI$11,1,DP61)+1)))/12)</f>
        <v>0</v>
      </c>
      <c r="DQ72" s="28">
        <f>IF(DQ71=0,0,DQ71*MAX(0,(INDEX(c_CAMy,1,DQ$7)-INDEX(c_CAMy,1,INDEX('Lease Cycles'!$GC$11:$GI$11,1,DQ61)+1))*(1+'Lease Cycles'!$AK$11)+(INDEX(c_TAXy,1,DQ$7)-INDEX(c_TAXy,1,INDEX('Lease Cycles'!$GC$11:$GI$11,1,DQ61)+1))+(INDEX(c_INSy,1,DQ$7)-INDEX(c_INSy,1,INDEX('Lease Cycles'!$GC$11:$GI$11,1,DQ61)+1)))/12)</f>
        <v>0</v>
      </c>
      <c r="DR72" s="28">
        <f>IF(DR71=0,0,DR71*MAX(0,(INDEX(c_CAMy,1,DR$7)-INDEX(c_CAMy,1,INDEX('Lease Cycles'!$GC$11:$GI$11,1,DR61)+1))*(1+'Lease Cycles'!$AK$11)+(INDEX(c_TAXy,1,DR$7)-INDEX(c_TAXy,1,INDEX('Lease Cycles'!$GC$11:$GI$11,1,DR61)+1))+(INDEX(c_INSy,1,DR$7)-INDEX(c_INSy,1,INDEX('Lease Cycles'!$GC$11:$GI$11,1,DR61)+1)))/12)</f>
        <v>0</v>
      </c>
      <c r="DS72" s="28">
        <f>IF(DS71=0,0,DS71*MAX(0,(INDEX(c_CAMy,1,DS$7)-INDEX(c_CAMy,1,INDEX('Lease Cycles'!$GC$11:$GI$11,1,DS61)+1))*(1+'Lease Cycles'!$AK$11)+(INDEX(c_TAXy,1,DS$7)-INDEX(c_TAXy,1,INDEX('Lease Cycles'!$GC$11:$GI$11,1,DS61)+1))+(INDEX(c_INSy,1,DS$7)-INDEX(c_INSy,1,INDEX('Lease Cycles'!$GC$11:$GI$11,1,DS61)+1)))/12)</f>
        <v>0</v>
      </c>
      <c r="DT72" s="28">
        <f>IF(DT71=0,0,DT71*MAX(0,(INDEX(c_CAMy,1,DT$7)-INDEX(c_CAMy,1,INDEX('Lease Cycles'!$GC$11:$GI$11,1,DT61)+1))*(1+'Lease Cycles'!$AK$11)+(INDEX(c_TAXy,1,DT$7)-INDEX(c_TAXy,1,INDEX('Lease Cycles'!$GC$11:$GI$11,1,DT61)+1))+(INDEX(c_INSy,1,DT$7)-INDEX(c_INSy,1,INDEX('Lease Cycles'!$GC$11:$GI$11,1,DT61)+1)))/12)</f>
        <v>0</v>
      </c>
      <c r="DU72" s="28">
        <f>IF(DU71=0,0,DU71*MAX(0,(INDEX(c_CAMy,1,DU$7)-INDEX(c_CAMy,1,INDEX('Lease Cycles'!$GC$11:$GI$11,1,DU61)+1))*(1+'Lease Cycles'!$AK$11)+(INDEX(c_TAXy,1,DU$7)-INDEX(c_TAXy,1,INDEX('Lease Cycles'!$GC$11:$GI$11,1,DU61)+1))+(INDEX(c_INSy,1,DU$7)-INDEX(c_INSy,1,INDEX('Lease Cycles'!$GC$11:$GI$11,1,DU61)+1)))/12)</f>
        <v>0</v>
      </c>
      <c r="DV72" s="28">
        <f>IF(DV71=0,0,DV71*MAX(0,(INDEX(c_CAMy,1,DV$7)-INDEX(c_CAMy,1,INDEX('Lease Cycles'!$GC$11:$GI$11,1,DV61)+1))*(1+'Lease Cycles'!$AK$11)+(INDEX(c_TAXy,1,DV$7)-INDEX(c_TAXy,1,INDEX('Lease Cycles'!$GC$11:$GI$11,1,DV61)+1))+(INDEX(c_INSy,1,DV$7)-INDEX(c_INSy,1,INDEX('Lease Cycles'!$GC$11:$GI$11,1,DV61)+1)))/12)</f>
        <v>0</v>
      </c>
      <c r="DW72" s="28">
        <f>IF(DW71=0,0,DW71*MAX(0,(INDEX(c_CAMy,1,DW$7)-INDEX(c_CAMy,1,INDEX('Lease Cycles'!$GC$11:$GI$11,1,DW61)+1))*(1+'Lease Cycles'!$AK$11)+(INDEX(c_TAXy,1,DW$7)-INDEX(c_TAXy,1,INDEX('Lease Cycles'!$GC$11:$GI$11,1,DW61)+1))+(INDEX(c_INSy,1,DW$7)-INDEX(c_INSy,1,INDEX('Lease Cycles'!$GC$11:$GI$11,1,DW61)+1)))/12)</f>
        <v>0</v>
      </c>
      <c r="DX72" s="28">
        <f>IF(DX71=0,0,DX71*MAX(0,(INDEX(c_CAMy,1,DX$7)-INDEX(c_CAMy,1,INDEX('Lease Cycles'!$GC$11:$GI$11,1,DX61)+1))*(1+'Lease Cycles'!$AK$11)+(INDEX(c_TAXy,1,DX$7)-INDEX(c_TAXy,1,INDEX('Lease Cycles'!$GC$11:$GI$11,1,DX61)+1))+(INDEX(c_INSy,1,DX$7)-INDEX(c_INSy,1,INDEX('Lease Cycles'!$GC$11:$GI$11,1,DX61)+1)))/12)</f>
        <v>0</v>
      </c>
      <c r="DY72" s="28">
        <f>IF(DY71=0,0,DY71*MAX(0,(INDEX(c_CAMy,1,DY$7)-INDEX(c_CAMy,1,INDEX('Lease Cycles'!$GC$11:$GI$11,1,DY61)+1))*(1+'Lease Cycles'!$AK$11)+(INDEX(c_TAXy,1,DY$7)-INDEX(c_TAXy,1,INDEX('Lease Cycles'!$GC$11:$GI$11,1,DY61)+1))+(INDEX(c_INSy,1,DY$7)-INDEX(c_INSy,1,INDEX('Lease Cycles'!$GC$11:$GI$11,1,DY61)+1)))/12)</f>
        <v>0</v>
      </c>
      <c r="DZ72" s="28">
        <f>IF(DZ71=0,0,DZ71*MAX(0,(INDEX(c_CAMy,1,DZ$7)-INDEX(c_CAMy,1,INDEX('Lease Cycles'!$GC$11:$GI$11,1,DZ61)+1))*(1+'Lease Cycles'!$AK$11)+(INDEX(c_TAXy,1,DZ$7)-INDEX(c_TAXy,1,INDEX('Lease Cycles'!$GC$11:$GI$11,1,DZ61)+1))+(INDEX(c_INSy,1,DZ$7)-INDEX(c_INSy,1,INDEX('Lease Cycles'!$GC$11:$GI$11,1,DZ61)+1)))/12)</f>
        <v>0</v>
      </c>
      <c r="EA72" s="28">
        <f>IF(EA71=0,0,EA71*MAX(0,(INDEX(c_CAMy,1,EA$7)-INDEX(c_CAMy,1,INDEX('Lease Cycles'!$GC$11:$GI$11,1,EA61)+1))*(1+'Lease Cycles'!$AK$11)+(INDEX(c_TAXy,1,EA$7)-INDEX(c_TAXy,1,INDEX('Lease Cycles'!$GC$11:$GI$11,1,EA61)+1))+(INDEX(c_INSy,1,EA$7)-INDEX(c_INSy,1,INDEX('Lease Cycles'!$GC$11:$GI$11,1,EA61)+1)))/12)</f>
        <v>0</v>
      </c>
      <c r="EB72" s="28">
        <f>IF(EB71=0,0,EB71*MAX(0,(INDEX(c_CAMy,1,EB$7)-INDEX(c_CAMy,1,INDEX('Lease Cycles'!$GC$11:$GI$11,1,EB61)+1))*(1+'Lease Cycles'!$AK$11)+(INDEX(c_TAXy,1,EB$7)-INDEX(c_TAXy,1,INDEX('Lease Cycles'!$GC$11:$GI$11,1,EB61)+1))+(INDEX(c_INSy,1,EB$7)-INDEX(c_INSy,1,INDEX('Lease Cycles'!$GC$11:$GI$11,1,EB61)+1)))/12)</f>
        <v>0</v>
      </c>
      <c r="EC72" s="28">
        <f>IF(EC71=0,0,EC71*MAX(0,(INDEX(c_CAMy,1,EC$7)-INDEX(c_CAMy,1,INDEX('Lease Cycles'!$GC$11:$GI$11,1,EC61)+1))*(1+'Lease Cycles'!$AK$11)+(INDEX(c_TAXy,1,EC$7)-INDEX(c_TAXy,1,INDEX('Lease Cycles'!$GC$11:$GI$11,1,EC61)+1))+(INDEX(c_INSy,1,EC$7)-INDEX(c_INSy,1,INDEX('Lease Cycles'!$GC$11:$GI$11,1,EC61)+1)))/12)</f>
        <v>0</v>
      </c>
      <c r="ED72" s="28">
        <f>IF(ED71=0,0,ED71*MAX(0,(INDEX(c_CAMy,1,ED$7)-INDEX(c_CAMy,1,INDEX('Lease Cycles'!$GC$11:$GI$11,1,ED61)+1))*(1+'Lease Cycles'!$AK$11)+(INDEX(c_TAXy,1,ED$7)-INDEX(c_TAXy,1,INDEX('Lease Cycles'!$GC$11:$GI$11,1,ED61)+1))+(INDEX(c_INSy,1,ED$7)-INDEX(c_INSy,1,INDEX('Lease Cycles'!$GC$11:$GI$11,1,ED61)+1)))/12)</f>
        <v>0</v>
      </c>
      <c r="EE72" s="28">
        <f>IF(EE71=0,0,EE71*MAX(0,(INDEX(c_CAMy,1,EE$7)-INDEX(c_CAMy,1,INDEX('Lease Cycles'!$GC$11:$GI$11,1,EE61)+1))*(1+'Lease Cycles'!$AK$11)+(INDEX(c_TAXy,1,EE$7)-INDEX(c_TAXy,1,INDEX('Lease Cycles'!$GC$11:$GI$11,1,EE61)+1))+(INDEX(c_INSy,1,EE$7)-INDEX(c_INSy,1,INDEX('Lease Cycles'!$GC$11:$GI$11,1,EE61)+1)))/12)</f>
        <v>0</v>
      </c>
      <c r="EF72" s="28">
        <f>IF(EF71=0,0,EF71*MAX(0,(INDEX(c_CAMy,1,EF$7)-INDEX(c_CAMy,1,INDEX('Lease Cycles'!$GC$11:$GI$11,1,EF61)+1))*(1+'Lease Cycles'!$AK$11)+(INDEX(c_TAXy,1,EF$7)-INDEX(c_TAXy,1,INDEX('Lease Cycles'!$GC$11:$GI$11,1,EF61)+1))+(INDEX(c_INSy,1,EF$7)-INDEX(c_INSy,1,INDEX('Lease Cycles'!$GC$11:$GI$11,1,EF61)+1)))/12)</f>
        <v>0</v>
      </c>
      <c r="EG72" s="28">
        <f>IF(EG71=0,0,EG71*MAX(0,(INDEX(c_CAMy,1,EG$7)-INDEX(c_CAMy,1,INDEX('Lease Cycles'!$GC$11:$GI$11,1,EG61)+1))*(1+'Lease Cycles'!$AK$11)+(INDEX(c_TAXy,1,EG$7)-INDEX(c_TAXy,1,INDEX('Lease Cycles'!$GC$11:$GI$11,1,EG61)+1))+(INDEX(c_INSy,1,EG$7)-INDEX(c_INSy,1,INDEX('Lease Cycles'!$GC$11:$GI$11,1,EG61)+1)))/12)</f>
        <v>0</v>
      </c>
      <c r="EH72" s="28">
        <f>IF(EH71=0,0,EH71*MAX(0,(INDEX(c_CAMy,1,EH$7)-INDEX(c_CAMy,1,INDEX('Lease Cycles'!$GC$11:$GI$11,1,EH61)+1))*(1+'Lease Cycles'!$AK$11)+(INDEX(c_TAXy,1,EH$7)-INDEX(c_TAXy,1,INDEX('Lease Cycles'!$GC$11:$GI$11,1,EH61)+1))+(INDEX(c_INSy,1,EH$7)-INDEX(c_INSy,1,INDEX('Lease Cycles'!$GC$11:$GI$11,1,EH61)+1)))/12)</f>
        <v>0</v>
      </c>
      <c r="EI72" s="28">
        <f>IF(EI71=0,0,EI71*MAX(0,(INDEX(c_CAMy,1,EI$7)-INDEX(c_CAMy,1,INDEX('Lease Cycles'!$GC$11:$GI$11,1,EI61)+1))*(1+'Lease Cycles'!$AK$11)+(INDEX(c_TAXy,1,EI$7)-INDEX(c_TAXy,1,INDEX('Lease Cycles'!$GC$11:$GI$11,1,EI61)+1))+(INDEX(c_INSy,1,EI$7)-INDEX(c_INSy,1,INDEX('Lease Cycles'!$GC$11:$GI$11,1,EI61)+1)))/12)</f>
        <v>0</v>
      </c>
      <c r="EJ72" s="28">
        <f>IF(EJ71=0,0,EJ71*MAX(0,(INDEX(c_CAMy,1,EJ$7)-INDEX(c_CAMy,1,INDEX('Lease Cycles'!$GC$11:$GI$11,1,EJ61)+1))*(1+'Lease Cycles'!$AK$11)+(INDEX(c_TAXy,1,EJ$7)-INDEX(c_TAXy,1,INDEX('Lease Cycles'!$GC$11:$GI$11,1,EJ61)+1))+(INDEX(c_INSy,1,EJ$7)-INDEX(c_INSy,1,INDEX('Lease Cycles'!$GC$11:$GI$11,1,EJ61)+1)))/12)</f>
        <v>0</v>
      </c>
      <c r="EK72" s="28">
        <f>IF(EK71=0,0,EK71*MAX(0,(INDEX(c_CAMy,1,EK$7)-INDEX(c_CAMy,1,INDEX('Lease Cycles'!$GC$11:$GI$11,1,EK61)+1))*(1+'Lease Cycles'!$AK$11)+(INDEX(c_TAXy,1,EK$7)-INDEX(c_TAXy,1,INDEX('Lease Cycles'!$GC$11:$GI$11,1,EK61)+1))+(INDEX(c_INSy,1,EK$7)-INDEX(c_INSy,1,INDEX('Lease Cycles'!$GC$11:$GI$11,1,EK61)+1)))/12)</f>
        <v>0</v>
      </c>
      <c r="EL72" s="28">
        <f>IF(EL71=0,0,EL71*MAX(0,(INDEX(c_CAMy,1,EL$7)-INDEX(c_CAMy,1,INDEX('Lease Cycles'!$GC$11:$GI$11,1,EL61)+1))*(1+'Lease Cycles'!$AK$11)+(INDEX(c_TAXy,1,EL$7)-INDEX(c_TAXy,1,INDEX('Lease Cycles'!$GC$11:$GI$11,1,EL61)+1))+(INDEX(c_INSy,1,EL$7)-INDEX(c_INSy,1,INDEX('Lease Cycles'!$GC$11:$GI$11,1,EL61)+1)))/12)</f>
        <v>0</v>
      </c>
      <c r="EM72" s="28">
        <f>IF(EM71=0,0,EM71*MAX(0,(INDEX(c_CAMy,1,EM$7)-INDEX(c_CAMy,1,INDEX('Lease Cycles'!$GC$11:$GI$11,1,EM61)+1))*(1+'Lease Cycles'!$AK$11)+(INDEX(c_TAXy,1,EM$7)-INDEX(c_TAXy,1,INDEX('Lease Cycles'!$GC$11:$GI$11,1,EM61)+1))+(INDEX(c_INSy,1,EM$7)-INDEX(c_INSy,1,INDEX('Lease Cycles'!$GC$11:$GI$11,1,EM61)+1)))/12)</f>
        <v>0</v>
      </c>
      <c r="EN72" s="28">
        <f>IF(EN71=0,0,EN71*MAX(0,(INDEX(c_CAMy,1,EN$7)-INDEX(c_CAMy,1,INDEX('Lease Cycles'!$GC$11:$GI$11,1,EN61)+1))*(1+'Lease Cycles'!$AK$11)+(INDEX(c_TAXy,1,EN$7)-INDEX(c_TAXy,1,INDEX('Lease Cycles'!$GC$11:$GI$11,1,EN61)+1))+(INDEX(c_INSy,1,EN$7)-INDEX(c_INSy,1,INDEX('Lease Cycles'!$GC$11:$GI$11,1,EN61)+1)))/12)</f>
        <v>0</v>
      </c>
      <c r="EO72" s="28">
        <f>IF(EO71=0,0,EO71*MAX(0,(INDEX(c_CAMy,1,EO$7)-INDEX(c_CAMy,1,INDEX('Lease Cycles'!$GC$11:$GI$11,1,EO61)+1))*(1+'Lease Cycles'!$AK$11)+(INDEX(c_TAXy,1,EO$7)-INDEX(c_TAXy,1,INDEX('Lease Cycles'!$GC$11:$GI$11,1,EO61)+1))+(INDEX(c_INSy,1,EO$7)-INDEX(c_INSy,1,INDEX('Lease Cycles'!$GC$11:$GI$11,1,EO61)+1)))/12)</f>
        <v>0</v>
      </c>
      <c r="EP72" s="28">
        <f>IF(EP71=0,0,EP71*MAX(0,(INDEX(c_CAMy,1,EP$7)-INDEX(c_CAMy,1,INDEX('Lease Cycles'!$GC$11:$GI$11,1,EP61)+1))*(1+'Lease Cycles'!$AK$11)+(INDEX(c_TAXy,1,EP$7)-INDEX(c_TAXy,1,INDEX('Lease Cycles'!$GC$11:$GI$11,1,EP61)+1))+(INDEX(c_INSy,1,EP$7)-INDEX(c_INSy,1,INDEX('Lease Cycles'!$GC$11:$GI$11,1,EP61)+1)))/12)</f>
        <v>0</v>
      </c>
      <c r="EQ72" s="28">
        <f>IF(EQ71=0,0,EQ71*MAX(0,(INDEX(c_CAMy,1,EQ$7)-INDEX(c_CAMy,1,INDEX('Lease Cycles'!$GC$11:$GI$11,1,EQ61)+1))*(1+'Lease Cycles'!$AK$11)+(INDEX(c_TAXy,1,EQ$7)-INDEX(c_TAXy,1,INDEX('Lease Cycles'!$GC$11:$GI$11,1,EQ61)+1))+(INDEX(c_INSy,1,EQ$7)-INDEX(c_INSy,1,INDEX('Lease Cycles'!$GC$11:$GI$11,1,EQ61)+1)))/12)</f>
        <v>0</v>
      </c>
      <c r="ER72" s="28">
        <f>IF(ER71=0,0,ER71*MAX(0,(INDEX(c_CAMy,1,ER$7)-INDEX(c_CAMy,1,INDEX('Lease Cycles'!$GC$11:$GI$11,1,ER61)+1))*(1+'Lease Cycles'!$AK$11)+(INDEX(c_TAXy,1,ER$7)-INDEX(c_TAXy,1,INDEX('Lease Cycles'!$GC$11:$GI$11,1,ER61)+1))+(INDEX(c_INSy,1,ER$7)-INDEX(c_INSy,1,INDEX('Lease Cycles'!$GC$11:$GI$11,1,ER61)+1)))/12)</f>
        <v>0</v>
      </c>
      <c r="ES72" s="28">
        <f>IF(ES71=0,0,ES71*MAX(0,(INDEX(c_CAMy,1,ES$7)-INDEX(c_CAMy,1,INDEX('Lease Cycles'!$GC$11:$GI$11,1,ES61)+1))*(1+'Lease Cycles'!$AK$11)+(INDEX(c_TAXy,1,ES$7)-INDEX(c_TAXy,1,INDEX('Lease Cycles'!$GC$11:$GI$11,1,ES61)+1))+(INDEX(c_INSy,1,ES$7)-INDEX(c_INSy,1,INDEX('Lease Cycles'!$GC$11:$GI$11,1,ES61)+1)))/12)</f>
        <v>0</v>
      </c>
      <c r="ET72" s="28">
        <f>IF(ET71=0,0,ET71*MAX(0,(INDEX(c_CAMy,1,ET$7)-INDEX(c_CAMy,1,INDEX('Lease Cycles'!$GC$11:$GI$11,1,ET61)+1))*(1+'Lease Cycles'!$AK$11)+(INDEX(c_TAXy,1,ET$7)-INDEX(c_TAXy,1,INDEX('Lease Cycles'!$GC$11:$GI$11,1,ET61)+1))+(INDEX(c_INSy,1,ET$7)-INDEX(c_INSy,1,INDEX('Lease Cycles'!$GC$11:$GI$11,1,ET61)+1)))/12)</f>
        <v>0</v>
      </c>
    </row>
    <row r="73">
      <c r="A73" s="103">
        <v>4</v>
      </c>
      <c r="B73" s="23" t="str">
        <f>IF('Lease Cycles'!$B$11="","(empty slot)",'Lease Cycles'!$B$11)</f>
        <v>Sunfield Dental</v>
      </c>
      <c r="C73" s="23" t="s">
        <v>530</v>
      </c>
      <c r="D73" s="104" t="s">
        <v>531</v>
      </c>
      <c r="E73" s="25">
        <f>'Lease Cycles'!$AL$11</f>
        <v>0</v>
      </c>
      <c r="G73" s="28">
        <f>SUM(S73:AD73)</f>
        <v>0</v>
      </c>
      <c r="H73" s="28">
        <f>SUM(AE73:AP73)</f>
        <v>0</v>
      </c>
      <c r="I73" s="28">
        <f>SUM(AQ73:BB73)</f>
        <v>0</v>
      </c>
      <c r="J73" s="28">
        <f>SUM(BC73:BN73)</f>
        <v>0</v>
      </c>
      <c r="K73" s="28">
        <f>SUM(BO73:BZ73)</f>
        <v>0</v>
      </c>
      <c r="L73" s="28">
        <f>SUM(CA73:CL73)</f>
        <v>19417.304911857464</v>
      </c>
      <c r="M73" s="28">
        <f>SUM(CM73:CX73)</f>
        <v>0</v>
      </c>
      <c r="N73" s="28">
        <f>SUM(CY73:DJ73)</f>
        <v>0</v>
      </c>
      <c r="O73" s="28">
        <f>SUM(DK73:DV73)</f>
        <v>0</v>
      </c>
      <c r="P73" s="28">
        <f>SUM(DW73:EH73)</f>
        <v>0</v>
      </c>
      <c r="Q73" s="28">
        <f>SUM(EI73:ET73)</f>
        <v>0</v>
      </c>
      <c r="S73" s="28">
        <f>SUMIF('Lease Cycles'!$HL$11:$HR$11,S$6,'Lease Cycles'!$HS$11:$HY$11)</f>
        <v>0</v>
      </c>
      <c r="T73" s="28">
        <f>SUMIF('Lease Cycles'!$HL$11:$HR$11,T$6,'Lease Cycles'!$HS$11:$HY$11)</f>
        <v>0</v>
      </c>
      <c r="U73" s="28">
        <f>SUMIF('Lease Cycles'!$HL$11:$HR$11,U$6,'Lease Cycles'!$HS$11:$HY$11)</f>
        <v>0</v>
      </c>
      <c r="V73" s="28">
        <f>SUMIF('Lease Cycles'!$HL$11:$HR$11,V$6,'Lease Cycles'!$HS$11:$HY$11)</f>
        <v>0</v>
      </c>
      <c r="W73" s="28">
        <f>SUMIF('Lease Cycles'!$HL$11:$HR$11,W$6,'Lease Cycles'!$HS$11:$HY$11)</f>
        <v>0</v>
      </c>
      <c r="X73" s="28">
        <f>SUMIF('Lease Cycles'!$HL$11:$HR$11,X$6,'Lease Cycles'!$HS$11:$HY$11)</f>
        <v>0</v>
      </c>
      <c r="Y73" s="28">
        <f>SUMIF('Lease Cycles'!$HL$11:$HR$11,Y$6,'Lease Cycles'!$HS$11:$HY$11)</f>
        <v>0</v>
      </c>
      <c r="Z73" s="28">
        <f>SUMIF('Lease Cycles'!$HL$11:$HR$11,Z$6,'Lease Cycles'!$HS$11:$HY$11)</f>
        <v>0</v>
      </c>
      <c r="AA73" s="28">
        <f>SUMIF('Lease Cycles'!$HL$11:$HR$11,AA$6,'Lease Cycles'!$HS$11:$HY$11)</f>
        <v>0</v>
      </c>
      <c r="AB73" s="28">
        <f>SUMIF('Lease Cycles'!$HL$11:$HR$11,AB$6,'Lease Cycles'!$HS$11:$HY$11)</f>
        <v>0</v>
      </c>
      <c r="AC73" s="28">
        <f>SUMIF('Lease Cycles'!$HL$11:$HR$11,AC$6,'Lease Cycles'!$HS$11:$HY$11)</f>
        <v>0</v>
      </c>
      <c r="AD73" s="28">
        <f>SUMIF('Lease Cycles'!$HL$11:$HR$11,AD$6,'Lease Cycles'!$HS$11:$HY$11)</f>
        <v>0</v>
      </c>
      <c r="AE73" s="28">
        <f>SUMIF('Lease Cycles'!$HL$11:$HR$11,AE$6,'Lease Cycles'!$HS$11:$HY$11)</f>
        <v>0</v>
      </c>
      <c r="AF73" s="28">
        <f>SUMIF('Lease Cycles'!$HL$11:$HR$11,AF$6,'Lease Cycles'!$HS$11:$HY$11)</f>
        <v>0</v>
      </c>
      <c r="AG73" s="28">
        <f>SUMIF('Lease Cycles'!$HL$11:$HR$11,AG$6,'Lease Cycles'!$HS$11:$HY$11)</f>
        <v>0</v>
      </c>
      <c r="AH73" s="28">
        <f>SUMIF('Lease Cycles'!$HL$11:$HR$11,AH$6,'Lease Cycles'!$HS$11:$HY$11)</f>
        <v>0</v>
      </c>
      <c r="AI73" s="28">
        <f>SUMIF('Lease Cycles'!$HL$11:$HR$11,AI$6,'Lease Cycles'!$HS$11:$HY$11)</f>
        <v>0</v>
      </c>
      <c r="AJ73" s="28">
        <f>SUMIF('Lease Cycles'!$HL$11:$HR$11,AJ$6,'Lease Cycles'!$HS$11:$HY$11)</f>
        <v>0</v>
      </c>
      <c r="AK73" s="28">
        <f>SUMIF('Lease Cycles'!$HL$11:$HR$11,AK$6,'Lease Cycles'!$HS$11:$HY$11)</f>
        <v>0</v>
      </c>
      <c r="AL73" s="28">
        <f>SUMIF('Lease Cycles'!$HL$11:$HR$11,AL$6,'Lease Cycles'!$HS$11:$HY$11)</f>
        <v>0</v>
      </c>
      <c r="AM73" s="28">
        <f>SUMIF('Lease Cycles'!$HL$11:$HR$11,AM$6,'Lease Cycles'!$HS$11:$HY$11)</f>
        <v>0</v>
      </c>
      <c r="AN73" s="28">
        <f>SUMIF('Lease Cycles'!$HL$11:$HR$11,AN$6,'Lease Cycles'!$HS$11:$HY$11)</f>
        <v>0</v>
      </c>
      <c r="AO73" s="28">
        <f>SUMIF('Lease Cycles'!$HL$11:$HR$11,AO$6,'Lease Cycles'!$HS$11:$HY$11)</f>
        <v>0</v>
      </c>
      <c r="AP73" s="28">
        <f>SUMIF('Lease Cycles'!$HL$11:$HR$11,AP$6,'Lease Cycles'!$HS$11:$HY$11)</f>
        <v>0</v>
      </c>
      <c r="AQ73" s="28">
        <f>SUMIF('Lease Cycles'!$HL$11:$HR$11,AQ$6,'Lease Cycles'!$HS$11:$HY$11)</f>
        <v>0</v>
      </c>
      <c r="AR73" s="28">
        <f>SUMIF('Lease Cycles'!$HL$11:$HR$11,AR$6,'Lease Cycles'!$HS$11:$HY$11)</f>
        <v>0</v>
      </c>
      <c r="AS73" s="28">
        <f>SUMIF('Lease Cycles'!$HL$11:$HR$11,AS$6,'Lease Cycles'!$HS$11:$HY$11)</f>
        <v>0</v>
      </c>
      <c r="AT73" s="28">
        <f>SUMIF('Lease Cycles'!$HL$11:$HR$11,AT$6,'Lease Cycles'!$HS$11:$HY$11)</f>
        <v>0</v>
      </c>
      <c r="AU73" s="28">
        <f>SUMIF('Lease Cycles'!$HL$11:$HR$11,AU$6,'Lease Cycles'!$HS$11:$HY$11)</f>
        <v>0</v>
      </c>
      <c r="AV73" s="28">
        <f>SUMIF('Lease Cycles'!$HL$11:$HR$11,AV$6,'Lease Cycles'!$HS$11:$HY$11)</f>
        <v>0</v>
      </c>
      <c r="AW73" s="28">
        <f>SUMIF('Lease Cycles'!$HL$11:$HR$11,AW$6,'Lease Cycles'!$HS$11:$HY$11)</f>
        <v>0</v>
      </c>
      <c r="AX73" s="28">
        <f>SUMIF('Lease Cycles'!$HL$11:$HR$11,AX$6,'Lease Cycles'!$HS$11:$HY$11)</f>
        <v>0</v>
      </c>
      <c r="AY73" s="28">
        <f>SUMIF('Lease Cycles'!$HL$11:$HR$11,AY$6,'Lease Cycles'!$HS$11:$HY$11)</f>
        <v>0</v>
      </c>
      <c r="AZ73" s="28">
        <f>SUMIF('Lease Cycles'!$HL$11:$HR$11,AZ$6,'Lease Cycles'!$HS$11:$HY$11)</f>
        <v>0</v>
      </c>
      <c r="BA73" s="28">
        <f>SUMIF('Lease Cycles'!$HL$11:$HR$11,BA$6,'Lease Cycles'!$HS$11:$HY$11)</f>
        <v>0</v>
      </c>
      <c r="BB73" s="28">
        <f>SUMIF('Lease Cycles'!$HL$11:$HR$11,BB$6,'Lease Cycles'!$HS$11:$HY$11)</f>
        <v>0</v>
      </c>
      <c r="BC73" s="28">
        <f>SUMIF('Lease Cycles'!$HL$11:$HR$11,BC$6,'Lease Cycles'!$HS$11:$HY$11)</f>
        <v>0</v>
      </c>
      <c r="BD73" s="28">
        <f>SUMIF('Lease Cycles'!$HL$11:$HR$11,BD$6,'Lease Cycles'!$HS$11:$HY$11)</f>
        <v>0</v>
      </c>
      <c r="BE73" s="28">
        <f>SUMIF('Lease Cycles'!$HL$11:$HR$11,BE$6,'Lease Cycles'!$HS$11:$HY$11)</f>
        <v>0</v>
      </c>
      <c r="BF73" s="28">
        <f>SUMIF('Lease Cycles'!$HL$11:$HR$11,BF$6,'Lease Cycles'!$HS$11:$HY$11)</f>
        <v>0</v>
      </c>
      <c r="BG73" s="28">
        <f>SUMIF('Lease Cycles'!$HL$11:$HR$11,BG$6,'Lease Cycles'!$HS$11:$HY$11)</f>
        <v>0</v>
      </c>
      <c r="BH73" s="28">
        <f>SUMIF('Lease Cycles'!$HL$11:$HR$11,BH$6,'Lease Cycles'!$HS$11:$HY$11)</f>
        <v>0</v>
      </c>
      <c r="BI73" s="28">
        <f>SUMIF('Lease Cycles'!$HL$11:$HR$11,BI$6,'Lease Cycles'!$HS$11:$HY$11)</f>
        <v>0</v>
      </c>
      <c r="BJ73" s="28">
        <f>SUMIF('Lease Cycles'!$HL$11:$HR$11,BJ$6,'Lease Cycles'!$HS$11:$HY$11)</f>
        <v>0</v>
      </c>
      <c r="BK73" s="28">
        <f>SUMIF('Lease Cycles'!$HL$11:$HR$11,BK$6,'Lease Cycles'!$HS$11:$HY$11)</f>
        <v>0</v>
      </c>
      <c r="BL73" s="28">
        <f>SUMIF('Lease Cycles'!$HL$11:$HR$11,BL$6,'Lease Cycles'!$HS$11:$HY$11)</f>
        <v>0</v>
      </c>
      <c r="BM73" s="28">
        <f>SUMIF('Lease Cycles'!$HL$11:$HR$11,BM$6,'Lease Cycles'!$HS$11:$HY$11)</f>
        <v>0</v>
      </c>
      <c r="BN73" s="28">
        <f>SUMIF('Lease Cycles'!$HL$11:$HR$11,BN$6,'Lease Cycles'!$HS$11:$HY$11)</f>
        <v>0</v>
      </c>
      <c r="BO73" s="28">
        <f>SUMIF('Lease Cycles'!$HL$11:$HR$11,BO$6,'Lease Cycles'!$HS$11:$HY$11)</f>
        <v>0</v>
      </c>
      <c r="BP73" s="28">
        <f>SUMIF('Lease Cycles'!$HL$11:$HR$11,BP$6,'Lease Cycles'!$HS$11:$HY$11)</f>
        <v>0</v>
      </c>
      <c r="BQ73" s="28">
        <f>SUMIF('Lease Cycles'!$HL$11:$HR$11,BQ$6,'Lease Cycles'!$HS$11:$HY$11)</f>
        <v>0</v>
      </c>
      <c r="BR73" s="28">
        <f>SUMIF('Lease Cycles'!$HL$11:$HR$11,BR$6,'Lease Cycles'!$HS$11:$HY$11)</f>
        <v>0</v>
      </c>
      <c r="BS73" s="28">
        <f>SUMIF('Lease Cycles'!$HL$11:$HR$11,BS$6,'Lease Cycles'!$HS$11:$HY$11)</f>
        <v>0</v>
      </c>
      <c r="BT73" s="28">
        <f>SUMIF('Lease Cycles'!$HL$11:$HR$11,BT$6,'Lease Cycles'!$HS$11:$HY$11)</f>
        <v>0</v>
      </c>
      <c r="BU73" s="28">
        <f>SUMIF('Lease Cycles'!$HL$11:$HR$11,BU$6,'Lease Cycles'!$HS$11:$HY$11)</f>
        <v>0</v>
      </c>
      <c r="BV73" s="28">
        <f>SUMIF('Lease Cycles'!$HL$11:$HR$11,BV$6,'Lease Cycles'!$HS$11:$HY$11)</f>
        <v>0</v>
      </c>
      <c r="BW73" s="28">
        <f>SUMIF('Lease Cycles'!$HL$11:$HR$11,BW$6,'Lease Cycles'!$HS$11:$HY$11)</f>
        <v>0</v>
      </c>
      <c r="BX73" s="28">
        <f>SUMIF('Lease Cycles'!$HL$11:$HR$11,BX$6,'Lease Cycles'!$HS$11:$HY$11)</f>
        <v>0</v>
      </c>
      <c r="BY73" s="28">
        <f>SUMIF('Lease Cycles'!$HL$11:$HR$11,BY$6,'Lease Cycles'!$HS$11:$HY$11)</f>
        <v>0</v>
      </c>
      <c r="BZ73" s="28">
        <f>SUMIF('Lease Cycles'!$HL$11:$HR$11,BZ$6,'Lease Cycles'!$HS$11:$HY$11)</f>
        <v>0</v>
      </c>
      <c r="CA73" s="28">
        <f>SUMIF('Lease Cycles'!$HL$11:$HR$11,CA$6,'Lease Cycles'!$HS$11:$HY$11)</f>
        <v>0</v>
      </c>
      <c r="CB73" s="28">
        <f>SUMIF('Lease Cycles'!$HL$11:$HR$11,CB$6,'Lease Cycles'!$HS$11:$HY$11)</f>
        <v>0</v>
      </c>
      <c r="CC73" s="28">
        <f>SUMIF('Lease Cycles'!$HL$11:$HR$11,CC$6,'Lease Cycles'!$HS$11:$HY$11)</f>
        <v>0</v>
      </c>
      <c r="CD73" s="28">
        <f>SUMIF('Lease Cycles'!$HL$11:$HR$11,CD$6,'Lease Cycles'!$HS$11:$HY$11)</f>
        <v>19417.304911857464</v>
      </c>
      <c r="CE73" s="28">
        <f>SUMIF('Lease Cycles'!$HL$11:$HR$11,CE$6,'Lease Cycles'!$HS$11:$HY$11)</f>
        <v>0</v>
      </c>
      <c r="CF73" s="28">
        <f>SUMIF('Lease Cycles'!$HL$11:$HR$11,CF$6,'Lease Cycles'!$HS$11:$HY$11)</f>
        <v>0</v>
      </c>
      <c r="CG73" s="28">
        <f>SUMIF('Lease Cycles'!$HL$11:$HR$11,CG$6,'Lease Cycles'!$HS$11:$HY$11)</f>
        <v>0</v>
      </c>
      <c r="CH73" s="28">
        <f>SUMIF('Lease Cycles'!$HL$11:$HR$11,CH$6,'Lease Cycles'!$HS$11:$HY$11)</f>
        <v>0</v>
      </c>
      <c r="CI73" s="28">
        <f>SUMIF('Lease Cycles'!$HL$11:$HR$11,CI$6,'Lease Cycles'!$HS$11:$HY$11)</f>
        <v>0</v>
      </c>
      <c r="CJ73" s="28">
        <f>SUMIF('Lease Cycles'!$HL$11:$HR$11,CJ$6,'Lease Cycles'!$HS$11:$HY$11)</f>
        <v>0</v>
      </c>
      <c r="CK73" s="28">
        <f>SUMIF('Lease Cycles'!$HL$11:$HR$11,CK$6,'Lease Cycles'!$HS$11:$HY$11)</f>
        <v>0</v>
      </c>
      <c r="CL73" s="28">
        <f>SUMIF('Lease Cycles'!$HL$11:$HR$11,CL$6,'Lease Cycles'!$HS$11:$HY$11)</f>
        <v>0</v>
      </c>
      <c r="CM73" s="28">
        <f>SUMIF('Lease Cycles'!$HL$11:$HR$11,CM$6,'Lease Cycles'!$HS$11:$HY$11)</f>
        <v>0</v>
      </c>
      <c r="CN73" s="28">
        <f>SUMIF('Lease Cycles'!$HL$11:$HR$11,CN$6,'Lease Cycles'!$HS$11:$HY$11)</f>
        <v>0</v>
      </c>
      <c r="CO73" s="28">
        <f>SUMIF('Lease Cycles'!$HL$11:$HR$11,CO$6,'Lease Cycles'!$HS$11:$HY$11)</f>
        <v>0</v>
      </c>
      <c r="CP73" s="28">
        <f>SUMIF('Lease Cycles'!$HL$11:$HR$11,CP$6,'Lease Cycles'!$HS$11:$HY$11)</f>
        <v>0</v>
      </c>
      <c r="CQ73" s="28">
        <f>SUMIF('Lease Cycles'!$HL$11:$HR$11,CQ$6,'Lease Cycles'!$HS$11:$HY$11)</f>
        <v>0</v>
      </c>
      <c r="CR73" s="28">
        <f>SUMIF('Lease Cycles'!$HL$11:$HR$11,CR$6,'Lease Cycles'!$HS$11:$HY$11)</f>
        <v>0</v>
      </c>
      <c r="CS73" s="28">
        <f>SUMIF('Lease Cycles'!$HL$11:$HR$11,CS$6,'Lease Cycles'!$HS$11:$HY$11)</f>
        <v>0</v>
      </c>
      <c r="CT73" s="28">
        <f>SUMIF('Lease Cycles'!$HL$11:$HR$11,CT$6,'Lease Cycles'!$HS$11:$HY$11)</f>
        <v>0</v>
      </c>
      <c r="CU73" s="28">
        <f>SUMIF('Lease Cycles'!$HL$11:$HR$11,CU$6,'Lease Cycles'!$HS$11:$HY$11)</f>
        <v>0</v>
      </c>
      <c r="CV73" s="28">
        <f>SUMIF('Lease Cycles'!$HL$11:$HR$11,CV$6,'Lease Cycles'!$HS$11:$HY$11)</f>
        <v>0</v>
      </c>
      <c r="CW73" s="28">
        <f>SUMIF('Lease Cycles'!$HL$11:$HR$11,CW$6,'Lease Cycles'!$HS$11:$HY$11)</f>
        <v>0</v>
      </c>
      <c r="CX73" s="28">
        <f>SUMIF('Lease Cycles'!$HL$11:$HR$11,CX$6,'Lease Cycles'!$HS$11:$HY$11)</f>
        <v>0</v>
      </c>
      <c r="CY73" s="28">
        <f>SUMIF('Lease Cycles'!$HL$11:$HR$11,CY$6,'Lease Cycles'!$HS$11:$HY$11)</f>
        <v>0</v>
      </c>
      <c r="CZ73" s="28">
        <f>SUMIF('Lease Cycles'!$HL$11:$HR$11,CZ$6,'Lease Cycles'!$HS$11:$HY$11)</f>
        <v>0</v>
      </c>
      <c r="DA73" s="28">
        <f>SUMIF('Lease Cycles'!$HL$11:$HR$11,DA$6,'Lease Cycles'!$HS$11:$HY$11)</f>
        <v>0</v>
      </c>
      <c r="DB73" s="28">
        <f>SUMIF('Lease Cycles'!$HL$11:$HR$11,DB$6,'Lease Cycles'!$HS$11:$HY$11)</f>
        <v>0</v>
      </c>
      <c r="DC73" s="28">
        <f>SUMIF('Lease Cycles'!$HL$11:$HR$11,DC$6,'Lease Cycles'!$HS$11:$HY$11)</f>
        <v>0</v>
      </c>
      <c r="DD73" s="28">
        <f>SUMIF('Lease Cycles'!$HL$11:$HR$11,DD$6,'Lease Cycles'!$HS$11:$HY$11)</f>
        <v>0</v>
      </c>
      <c r="DE73" s="28">
        <f>SUMIF('Lease Cycles'!$HL$11:$HR$11,DE$6,'Lease Cycles'!$HS$11:$HY$11)</f>
        <v>0</v>
      </c>
      <c r="DF73" s="28">
        <f>SUMIF('Lease Cycles'!$HL$11:$HR$11,DF$6,'Lease Cycles'!$HS$11:$HY$11)</f>
        <v>0</v>
      </c>
      <c r="DG73" s="28">
        <f>SUMIF('Lease Cycles'!$HL$11:$HR$11,DG$6,'Lease Cycles'!$HS$11:$HY$11)</f>
        <v>0</v>
      </c>
      <c r="DH73" s="28">
        <f>SUMIF('Lease Cycles'!$HL$11:$HR$11,DH$6,'Lease Cycles'!$HS$11:$HY$11)</f>
        <v>0</v>
      </c>
      <c r="DI73" s="28">
        <f>SUMIF('Lease Cycles'!$HL$11:$HR$11,DI$6,'Lease Cycles'!$HS$11:$HY$11)</f>
        <v>0</v>
      </c>
      <c r="DJ73" s="28">
        <f>SUMIF('Lease Cycles'!$HL$11:$HR$11,DJ$6,'Lease Cycles'!$HS$11:$HY$11)</f>
        <v>0</v>
      </c>
      <c r="DK73" s="28">
        <f>SUMIF('Lease Cycles'!$HL$11:$HR$11,DK$6,'Lease Cycles'!$HS$11:$HY$11)</f>
        <v>0</v>
      </c>
      <c r="DL73" s="28">
        <f>SUMIF('Lease Cycles'!$HL$11:$HR$11,DL$6,'Lease Cycles'!$HS$11:$HY$11)</f>
        <v>0</v>
      </c>
      <c r="DM73" s="28">
        <f>SUMIF('Lease Cycles'!$HL$11:$HR$11,DM$6,'Lease Cycles'!$HS$11:$HY$11)</f>
        <v>0</v>
      </c>
      <c r="DN73" s="28">
        <f>SUMIF('Lease Cycles'!$HL$11:$HR$11,DN$6,'Lease Cycles'!$HS$11:$HY$11)</f>
        <v>0</v>
      </c>
      <c r="DO73" s="28">
        <f>SUMIF('Lease Cycles'!$HL$11:$HR$11,DO$6,'Lease Cycles'!$HS$11:$HY$11)</f>
        <v>0</v>
      </c>
      <c r="DP73" s="28">
        <f>SUMIF('Lease Cycles'!$HL$11:$HR$11,DP$6,'Lease Cycles'!$HS$11:$HY$11)</f>
        <v>0</v>
      </c>
      <c r="DQ73" s="28">
        <f>SUMIF('Lease Cycles'!$HL$11:$HR$11,DQ$6,'Lease Cycles'!$HS$11:$HY$11)</f>
        <v>0</v>
      </c>
      <c r="DR73" s="28">
        <f>SUMIF('Lease Cycles'!$HL$11:$HR$11,DR$6,'Lease Cycles'!$HS$11:$HY$11)</f>
        <v>0</v>
      </c>
      <c r="DS73" s="28">
        <f>SUMIF('Lease Cycles'!$HL$11:$HR$11,DS$6,'Lease Cycles'!$HS$11:$HY$11)</f>
        <v>0</v>
      </c>
      <c r="DT73" s="28">
        <f>SUMIF('Lease Cycles'!$HL$11:$HR$11,DT$6,'Lease Cycles'!$HS$11:$HY$11)</f>
        <v>0</v>
      </c>
      <c r="DU73" s="28">
        <f>SUMIF('Lease Cycles'!$HL$11:$HR$11,DU$6,'Lease Cycles'!$HS$11:$HY$11)</f>
        <v>0</v>
      </c>
      <c r="DV73" s="28">
        <f>SUMIF('Lease Cycles'!$HL$11:$HR$11,DV$6,'Lease Cycles'!$HS$11:$HY$11)</f>
        <v>0</v>
      </c>
      <c r="DW73" s="28">
        <f>SUMIF('Lease Cycles'!$HL$11:$HR$11,DW$6,'Lease Cycles'!$HS$11:$HY$11)</f>
        <v>0</v>
      </c>
      <c r="DX73" s="28">
        <f>SUMIF('Lease Cycles'!$HL$11:$HR$11,DX$6,'Lease Cycles'!$HS$11:$HY$11)</f>
        <v>0</v>
      </c>
      <c r="DY73" s="28">
        <f>SUMIF('Lease Cycles'!$HL$11:$HR$11,DY$6,'Lease Cycles'!$HS$11:$HY$11)</f>
        <v>0</v>
      </c>
      <c r="DZ73" s="28">
        <f>SUMIF('Lease Cycles'!$HL$11:$HR$11,DZ$6,'Lease Cycles'!$HS$11:$HY$11)</f>
        <v>0</v>
      </c>
      <c r="EA73" s="28">
        <f>SUMIF('Lease Cycles'!$HL$11:$HR$11,EA$6,'Lease Cycles'!$HS$11:$HY$11)</f>
        <v>0</v>
      </c>
      <c r="EB73" s="28">
        <f>SUMIF('Lease Cycles'!$HL$11:$HR$11,EB$6,'Lease Cycles'!$HS$11:$HY$11)</f>
        <v>0</v>
      </c>
      <c r="EC73" s="28">
        <f>SUMIF('Lease Cycles'!$HL$11:$HR$11,EC$6,'Lease Cycles'!$HS$11:$HY$11)</f>
        <v>0</v>
      </c>
      <c r="ED73" s="28">
        <f>SUMIF('Lease Cycles'!$HL$11:$HR$11,ED$6,'Lease Cycles'!$HS$11:$HY$11)</f>
        <v>0</v>
      </c>
      <c r="EE73" s="28">
        <f>SUMIF('Lease Cycles'!$HL$11:$HR$11,EE$6,'Lease Cycles'!$HS$11:$HY$11)</f>
        <v>0</v>
      </c>
      <c r="EF73" s="28">
        <f>SUMIF('Lease Cycles'!$HL$11:$HR$11,EF$6,'Lease Cycles'!$HS$11:$HY$11)</f>
        <v>0</v>
      </c>
      <c r="EG73" s="28">
        <f>SUMIF('Lease Cycles'!$HL$11:$HR$11,EG$6,'Lease Cycles'!$HS$11:$HY$11)</f>
        <v>0</v>
      </c>
      <c r="EH73" s="28">
        <f>SUMIF('Lease Cycles'!$HL$11:$HR$11,EH$6,'Lease Cycles'!$HS$11:$HY$11)</f>
        <v>0</v>
      </c>
      <c r="EI73" s="28">
        <f>SUMIF('Lease Cycles'!$HL$11:$HR$11,EI$6,'Lease Cycles'!$HS$11:$HY$11)</f>
        <v>0</v>
      </c>
      <c r="EJ73" s="28">
        <f>SUMIF('Lease Cycles'!$HL$11:$HR$11,EJ$6,'Lease Cycles'!$HS$11:$HY$11)</f>
        <v>0</v>
      </c>
      <c r="EK73" s="28">
        <f>SUMIF('Lease Cycles'!$HL$11:$HR$11,EK$6,'Lease Cycles'!$HS$11:$HY$11)</f>
        <v>0</v>
      </c>
      <c r="EL73" s="28">
        <f>SUMIF('Lease Cycles'!$HL$11:$HR$11,EL$6,'Lease Cycles'!$HS$11:$HY$11)</f>
        <v>0</v>
      </c>
      <c r="EM73" s="28">
        <f>SUMIF('Lease Cycles'!$HL$11:$HR$11,EM$6,'Lease Cycles'!$HS$11:$HY$11)</f>
        <v>0</v>
      </c>
      <c r="EN73" s="28">
        <f>SUMIF('Lease Cycles'!$HL$11:$HR$11,EN$6,'Lease Cycles'!$HS$11:$HY$11)</f>
        <v>0</v>
      </c>
      <c r="EO73" s="28">
        <f>SUMIF('Lease Cycles'!$HL$11:$HR$11,EO$6,'Lease Cycles'!$HS$11:$HY$11)</f>
        <v>0</v>
      </c>
      <c r="EP73" s="28">
        <f>SUMIF('Lease Cycles'!$HL$11:$HR$11,EP$6,'Lease Cycles'!$HS$11:$HY$11)</f>
        <v>0</v>
      </c>
      <c r="EQ73" s="28">
        <f>SUMIF('Lease Cycles'!$HL$11:$HR$11,EQ$6,'Lease Cycles'!$HS$11:$HY$11)</f>
        <v>0</v>
      </c>
      <c r="ER73" s="28">
        <f>SUMIF('Lease Cycles'!$HL$11:$HR$11,ER$6,'Lease Cycles'!$HS$11:$HY$11)</f>
        <v>0</v>
      </c>
      <c r="ES73" s="28">
        <f>SUMIF('Lease Cycles'!$HL$11:$HR$11,ES$6,'Lease Cycles'!$HS$11:$HY$11)</f>
        <v>0</v>
      </c>
      <c r="ET73" s="28">
        <f>SUMIF('Lease Cycles'!$HL$11:$HR$11,ET$6,'Lease Cycles'!$HS$11:$HY$11)</f>
        <v>0</v>
      </c>
    </row>
    <row r="74">
      <c r="A74" s="103">
        <v>4</v>
      </c>
      <c r="B74" s="23" t="str">
        <f>IF('Lease Cycles'!$B$11="","(empty slot)",'Lease Cycles'!$B$11)</f>
        <v>Sunfield Dental</v>
      </c>
      <c r="C74" s="23" t="s">
        <v>532</v>
      </c>
      <c r="D74" s="104" t="s">
        <v>533</v>
      </c>
      <c r="E74" s="25">
        <f>'Lease Cycles'!$AL$11</f>
        <v>0</v>
      </c>
      <c r="G74" s="28">
        <f>SUM(S74:AD74)</f>
        <v>0</v>
      </c>
      <c r="H74" s="28">
        <f>SUM(AE74:AP74)</f>
        <v>0</v>
      </c>
      <c r="I74" s="28">
        <f>SUM(AQ74:BB74)</f>
        <v>0</v>
      </c>
      <c r="J74" s="28">
        <f>SUM(BC74:BN74)</f>
        <v>0</v>
      </c>
      <c r="K74" s="28">
        <f>SUM(BO74:BZ74)</f>
        <v>0</v>
      </c>
      <c r="L74" s="28">
        <f>SUM(CA74:CL74)</f>
        <v>12488.100390398731</v>
      </c>
      <c r="M74" s="28">
        <f>SUM(CM74:CX74)</f>
        <v>0</v>
      </c>
      <c r="N74" s="28">
        <f>SUM(CY74:DJ74)</f>
        <v>0</v>
      </c>
      <c r="O74" s="28">
        <f>SUM(DK74:DV74)</f>
        <v>0</v>
      </c>
      <c r="P74" s="28">
        <f>SUM(DW74:EH74)</f>
        <v>0</v>
      </c>
      <c r="Q74" s="28">
        <f>SUM(EI74:ET74)</f>
        <v>0</v>
      </c>
      <c r="S74" s="28">
        <f>SUMIF('Lease Cycles'!$HL$11:$HR$11,S$6,'Lease Cycles'!$HZ$11:$IF$11)</f>
        <v>0</v>
      </c>
      <c r="T74" s="28">
        <f>SUMIF('Lease Cycles'!$HL$11:$HR$11,T$6,'Lease Cycles'!$HZ$11:$IF$11)</f>
        <v>0</v>
      </c>
      <c r="U74" s="28">
        <f>SUMIF('Lease Cycles'!$HL$11:$HR$11,U$6,'Lease Cycles'!$HZ$11:$IF$11)</f>
        <v>0</v>
      </c>
      <c r="V74" s="28">
        <f>SUMIF('Lease Cycles'!$HL$11:$HR$11,V$6,'Lease Cycles'!$HZ$11:$IF$11)</f>
        <v>0</v>
      </c>
      <c r="W74" s="28">
        <f>SUMIF('Lease Cycles'!$HL$11:$HR$11,W$6,'Lease Cycles'!$HZ$11:$IF$11)</f>
        <v>0</v>
      </c>
      <c r="X74" s="28">
        <f>SUMIF('Lease Cycles'!$HL$11:$HR$11,X$6,'Lease Cycles'!$HZ$11:$IF$11)</f>
        <v>0</v>
      </c>
      <c r="Y74" s="28">
        <f>SUMIF('Lease Cycles'!$HL$11:$HR$11,Y$6,'Lease Cycles'!$HZ$11:$IF$11)</f>
        <v>0</v>
      </c>
      <c r="Z74" s="28">
        <f>SUMIF('Lease Cycles'!$HL$11:$HR$11,Z$6,'Lease Cycles'!$HZ$11:$IF$11)</f>
        <v>0</v>
      </c>
      <c r="AA74" s="28">
        <f>SUMIF('Lease Cycles'!$HL$11:$HR$11,AA$6,'Lease Cycles'!$HZ$11:$IF$11)</f>
        <v>0</v>
      </c>
      <c r="AB74" s="28">
        <f>SUMIF('Lease Cycles'!$HL$11:$HR$11,AB$6,'Lease Cycles'!$HZ$11:$IF$11)</f>
        <v>0</v>
      </c>
      <c r="AC74" s="28">
        <f>SUMIF('Lease Cycles'!$HL$11:$HR$11,AC$6,'Lease Cycles'!$HZ$11:$IF$11)</f>
        <v>0</v>
      </c>
      <c r="AD74" s="28">
        <f>SUMIF('Lease Cycles'!$HL$11:$HR$11,AD$6,'Lease Cycles'!$HZ$11:$IF$11)</f>
        <v>0</v>
      </c>
      <c r="AE74" s="28">
        <f>SUMIF('Lease Cycles'!$HL$11:$HR$11,AE$6,'Lease Cycles'!$HZ$11:$IF$11)</f>
        <v>0</v>
      </c>
      <c r="AF74" s="28">
        <f>SUMIF('Lease Cycles'!$HL$11:$HR$11,AF$6,'Lease Cycles'!$HZ$11:$IF$11)</f>
        <v>0</v>
      </c>
      <c r="AG74" s="28">
        <f>SUMIF('Lease Cycles'!$HL$11:$HR$11,AG$6,'Lease Cycles'!$HZ$11:$IF$11)</f>
        <v>0</v>
      </c>
      <c r="AH74" s="28">
        <f>SUMIF('Lease Cycles'!$HL$11:$HR$11,AH$6,'Lease Cycles'!$HZ$11:$IF$11)</f>
        <v>0</v>
      </c>
      <c r="AI74" s="28">
        <f>SUMIF('Lease Cycles'!$HL$11:$HR$11,AI$6,'Lease Cycles'!$HZ$11:$IF$11)</f>
        <v>0</v>
      </c>
      <c r="AJ74" s="28">
        <f>SUMIF('Lease Cycles'!$HL$11:$HR$11,AJ$6,'Lease Cycles'!$HZ$11:$IF$11)</f>
        <v>0</v>
      </c>
      <c r="AK74" s="28">
        <f>SUMIF('Lease Cycles'!$HL$11:$HR$11,AK$6,'Lease Cycles'!$HZ$11:$IF$11)</f>
        <v>0</v>
      </c>
      <c r="AL74" s="28">
        <f>SUMIF('Lease Cycles'!$HL$11:$HR$11,AL$6,'Lease Cycles'!$HZ$11:$IF$11)</f>
        <v>0</v>
      </c>
      <c r="AM74" s="28">
        <f>SUMIF('Lease Cycles'!$HL$11:$HR$11,AM$6,'Lease Cycles'!$HZ$11:$IF$11)</f>
        <v>0</v>
      </c>
      <c r="AN74" s="28">
        <f>SUMIF('Lease Cycles'!$HL$11:$HR$11,AN$6,'Lease Cycles'!$HZ$11:$IF$11)</f>
        <v>0</v>
      </c>
      <c r="AO74" s="28">
        <f>SUMIF('Lease Cycles'!$HL$11:$HR$11,AO$6,'Lease Cycles'!$HZ$11:$IF$11)</f>
        <v>0</v>
      </c>
      <c r="AP74" s="28">
        <f>SUMIF('Lease Cycles'!$HL$11:$HR$11,AP$6,'Lease Cycles'!$HZ$11:$IF$11)</f>
        <v>0</v>
      </c>
      <c r="AQ74" s="28">
        <f>SUMIF('Lease Cycles'!$HL$11:$HR$11,AQ$6,'Lease Cycles'!$HZ$11:$IF$11)</f>
        <v>0</v>
      </c>
      <c r="AR74" s="28">
        <f>SUMIF('Lease Cycles'!$HL$11:$HR$11,AR$6,'Lease Cycles'!$HZ$11:$IF$11)</f>
        <v>0</v>
      </c>
      <c r="AS74" s="28">
        <f>SUMIF('Lease Cycles'!$HL$11:$HR$11,AS$6,'Lease Cycles'!$HZ$11:$IF$11)</f>
        <v>0</v>
      </c>
      <c r="AT74" s="28">
        <f>SUMIF('Lease Cycles'!$HL$11:$HR$11,AT$6,'Lease Cycles'!$HZ$11:$IF$11)</f>
        <v>0</v>
      </c>
      <c r="AU74" s="28">
        <f>SUMIF('Lease Cycles'!$HL$11:$HR$11,AU$6,'Lease Cycles'!$HZ$11:$IF$11)</f>
        <v>0</v>
      </c>
      <c r="AV74" s="28">
        <f>SUMIF('Lease Cycles'!$HL$11:$HR$11,AV$6,'Lease Cycles'!$HZ$11:$IF$11)</f>
        <v>0</v>
      </c>
      <c r="AW74" s="28">
        <f>SUMIF('Lease Cycles'!$HL$11:$HR$11,AW$6,'Lease Cycles'!$HZ$11:$IF$11)</f>
        <v>0</v>
      </c>
      <c r="AX74" s="28">
        <f>SUMIF('Lease Cycles'!$HL$11:$HR$11,AX$6,'Lease Cycles'!$HZ$11:$IF$11)</f>
        <v>0</v>
      </c>
      <c r="AY74" s="28">
        <f>SUMIF('Lease Cycles'!$HL$11:$HR$11,AY$6,'Lease Cycles'!$HZ$11:$IF$11)</f>
        <v>0</v>
      </c>
      <c r="AZ74" s="28">
        <f>SUMIF('Lease Cycles'!$HL$11:$HR$11,AZ$6,'Lease Cycles'!$HZ$11:$IF$11)</f>
        <v>0</v>
      </c>
      <c r="BA74" s="28">
        <f>SUMIF('Lease Cycles'!$HL$11:$HR$11,BA$6,'Lease Cycles'!$HZ$11:$IF$11)</f>
        <v>0</v>
      </c>
      <c r="BB74" s="28">
        <f>SUMIF('Lease Cycles'!$HL$11:$HR$11,BB$6,'Lease Cycles'!$HZ$11:$IF$11)</f>
        <v>0</v>
      </c>
      <c r="BC74" s="28">
        <f>SUMIF('Lease Cycles'!$HL$11:$HR$11,BC$6,'Lease Cycles'!$HZ$11:$IF$11)</f>
        <v>0</v>
      </c>
      <c r="BD74" s="28">
        <f>SUMIF('Lease Cycles'!$HL$11:$HR$11,BD$6,'Lease Cycles'!$HZ$11:$IF$11)</f>
        <v>0</v>
      </c>
      <c r="BE74" s="28">
        <f>SUMIF('Lease Cycles'!$HL$11:$HR$11,BE$6,'Lease Cycles'!$HZ$11:$IF$11)</f>
        <v>0</v>
      </c>
      <c r="BF74" s="28">
        <f>SUMIF('Lease Cycles'!$HL$11:$HR$11,BF$6,'Lease Cycles'!$HZ$11:$IF$11)</f>
        <v>0</v>
      </c>
      <c r="BG74" s="28">
        <f>SUMIF('Lease Cycles'!$HL$11:$HR$11,BG$6,'Lease Cycles'!$HZ$11:$IF$11)</f>
        <v>0</v>
      </c>
      <c r="BH74" s="28">
        <f>SUMIF('Lease Cycles'!$HL$11:$HR$11,BH$6,'Lease Cycles'!$HZ$11:$IF$11)</f>
        <v>0</v>
      </c>
      <c r="BI74" s="28">
        <f>SUMIF('Lease Cycles'!$HL$11:$HR$11,BI$6,'Lease Cycles'!$HZ$11:$IF$11)</f>
        <v>0</v>
      </c>
      <c r="BJ74" s="28">
        <f>SUMIF('Lease Cycles'!$HL$11:$HR$11,BJ$6,'Lease Cycles'!$HZ$11:$IF$11)</f>
        <v>0</v>
      </c>
      <c r="BK74" s="28">
        <f>SUMIF('Lease Cycles'!$HL$11:$HR$11,BK$6,'Lease Cycles'!$HZ$11:$IF$11)</f>
        <v>0</v>
      </c>
      <c r="BL74" s="28">
        <f>SUMIF('Lease Cycles'!$HL$11:$HR$11,BL$6,'Lease Cycles'!$HZ$11:$IF$11)</f>
        <v>0</v>
      </c>
      <c r="BM74" s="28">
        <f>SUMIF('Lease Cycles'!$HL$11:$HR$11,BM$6,'Lease Cycles'!$HZ$11:$IF$11)</f>
        <v>0</v>
      </c>
      <c r="BN74" s="28">
        <f>SUMIF('Lease Cycles'!$HL$11:$HR$11,BN$6,'Lease Cycles'!$HZ$11:$IF$11)</f>
        <v>0</v>
      </c>
      <c r="BO74" s="28">
        <f>SUMIF('Lease Cycles'!$HL$11:$HR$11,BO$6,'Lease Cycles'!$HZ$11:$IF$11)</f>
        <v>0</v>
      </c>
      <c r="BP74" s="28">
        <f>SUMIF('Lease Cycles'!$HL$11:$HR$11,BP$6,'Lease Cycles'!$HZ$11:$IF$11)</f>
        <v>0</v>
      </c>
      <c r="BQ74" s="28">
        <f>SUMIF('Lease Cycles'!$HL$11:$HR$11,BQ$6,'Lease Cycles'!$HZ$11:$IF$11)</f>
        <v>0</v>
      </c>
      <c r="BR74" s="28">
        <f>SUMIF('Lease Cycles'!$HL$11:$HR$11,BR$6,'Lease Cycles'!$HZ$11:$IF$11)</f>
        <v>0</v>
      </c>
      <c r="BS74" s="28">
        <f>SUMIF('Lease Cycles'!$HL$11:$HR$11,BS$6,'Lease Cycles'!$HZ$11:$IF$11)</f>
        <v>0</v>
      </c>
      <c r="BT74" s="28">
        <f>SUMIF('Lease Cycles'!$HL$11:$HR$11,BT$6,'Lease Cycles'!$HZ$11:$IF$11)</f>
        <v>0</v>
      </c>
      <c r="BU74" s="28">
        <f>SUMIF('Lease Cycles'!$HL$11:$HR$11,BU$6,'Lease Cycles'!$HZ$11:$IF$11)</f>
        <v>0</v>
      </c>
      <c r="BV74" s="28">
        <f>SUMIF('Lease Cycles'!$HL$11:$HR$11,BV$6,'Lease Cycles'!$HZ$11:$IF$11)</f>
        <v>0</v>
      </c>
      <c r="BW74" s="28">
        <f>SUMIF('Lease Cycles'!$HL$11:$HR$11,BW$6,'Lease Cycles'!$HZ$11:$IF$11)</f>
        <v>0</v>
      </c>
      <c r="BX74" s="28">
        <f>SUMIF('Lease Cycles'!$HL$11:$HR$11,BX$6,'Lease Cycles'!$HZ$11:$IF$11)</f>
        <v>0</v>
      </c>
      <c r="BY74" s="28">
        <f>SUMIF('Lease Cycles'!$HL$11:$HR$11,BY$6,'Lease Cycles'!$HZ$11:$IF$11)</f>
        <v>0</v>
      </c>
      <c r="BZ74" s="28">
        <f>SUMIF('Lease Cycles'!$HL$11:$HR$11,BZ$6,'Lease Cycles'!$HZ$11:$IF$11)</f>
        <v>0</v>
      </c>
      <c r="CA74" s="28">
        <f>SUMIF('Lease Cycles'!$HL$11:$HR$11,CA$6,'Lease Cycles'!$HZ$11:$IF$11)</f>
        <v>0</v>
      </c>
      <c r="CB74" s="28">
        <f>SUMIF('Lease Cycles'!$HL$11:$HR$11,CB$6,'Lease Cycles'!$HZ$11:$IF$11)</f>
        <v>0</v>
      </c>
      <c r="CC74" s="28">
        <f>SUMIF('Lease Cycles'!$HL$11:$HR$11,CC$6,'Lease Cycles'!$HZ$11:$IF$11)</f>
        <v>0</v>
      </c>
      <c r="CD74" s="28">
        <f>SUMIF('Lease Cycles'!$HL$11:$HR$11,CD$6,'Lease Cycles'!$HZ$11:$IF$11)</f>
        <v>12488.100390398731</v>
      </c>
      <c r="CE74" s="28">
        <f>SUMIF('Lease Cycles'!$HL$11:$HR$11,CE$6,'Lease Cycles'!$HZ$11:$IF$11)</f>
        <v>0</v>
      </c>
      <c r="CF74" s="28">
        <f>SUMIF('Lease Cycles'!$HL$11:$HR$11,CF$6,'Lease Cycles'!$HZ$11:$IF$11)</f>
        <v>0</v>
      </c>
      <c r="CG74" s="28">
        <f>SUMIF('Lease Cycles'!$HL$11:$HR$11,CG$6,'Lease Cycles'!$HZ$11:$IF$11)</f>
        <v>0</v>
      </c>
      <c r="CH74" s="28">
        <f>SUMIF('Lease Cycles'!$HL$11:$HR$11,CH$6,'Lease Cycles'!$HZ$11:$IF$11)</f>
        <v>0</v>
      </c>
      <c r="CI74" s="28">
        <f>SUMIF('Lease Cycles'!$HL$11:$HR$11,CI$6,'Lease Cycles'!$HZ$11:$IF$11)</f>
        <v>0</v>
      </c>
      <c r="CJ74" s="28">
        <f>SUMIF('Lease Cycles'!$HL$11:$HR$11,CJ$6,'Lease Cycles'!$HZ$11:$IF$11)</f>
        <v>0</v>
      </c>
      <c r="CK74" s="28">
        <f>SUMIF('Lease Cycles'!$HL$11:$HR$11,CK$6,'Lease Cycles'!$HZ$11:$IF$11)</f>
        <v>0</v>
      </c>
      <c r="CL74" s="28">
        <f>SUMIF('Lease Cycles'!$HL$11:$HR$11,CL$6,'Lease Cycles'!$HZ$11:$IF$11)</f>
        <v>0</v>
      </c>
      <c r="CM74" s="28">
        <f>SUMIF('Lease Cycles'!$HL$11:$HR$11,CM$6,'Lease Cycles'!$HZ$11:$IF$11)</f>
        <v>0</v>
      </c>
      <c r="CN74" s="28">
        <f>SUMIF('Lease Cycles'!$HL$11:$HR$11,CN$6,'Lease Cycles'!$HZ$11:$IF$11)</f>
        <v>0</v>
      </c>
      <c r="CO74" s="28">
        <f>SUMIF('Lease Cycles'!$HL$11:$HR$11,CO$6,'Lease Cycles'!$HZ$11:$IF$11)</f>
        <v>0</v>
      </c>
      <c r="CP74" s="28">
        <f>SUMIF('Lease Cycles'!$HL$11:$HR$11,CP$6,'Lease Cycles'!$HZ$11:$IF$11)</f>
        <v>0</v>
      </c>
      <c r="CQ74" s="28">
        <f>SUMIF('Lease Cycles'!$HL$11:$HR$11,CQ$6,'Lease Cycles'!$HZ$11:$IF$11)</f>
        <v>0</v>
      </c>
      <c r="CR74" s="28">
        <f>SUMIF('Lease Cycles'!$HL$11:$HR$11,CR$6,'Lease Cycles'!$HZ$11:$IF$11)</f>
        <v>0</v>
      </c>
      <c r="CS74" s="28">
        <f>SUMIF('Lease Cycles'!$HL$11:$HR$11,CS$6,'Lease Cycles'!$HZ$11:$IF$11)</f>
        <v>0</v>
      </c>
      <c r="CT74" s="28">
        <f>SUMIF('Lease Cycles'!$HL$11:$HR$11,CT$6,'Lease Cycles'!$HZ$11:$IF$11)</f>
        <v>0</v>
      </c>
      <c r="CU74" s="28">
        <f>SUMIF('Lease Cycles'!$HL$11:$HR$11,CU$6,'Lease Cycles'!$HZ$11:$IF$11)</f>
        <v>0</v>
      </c>
      <c r="CV74" s="28">
        <f>SUMIF('Lease Cycles'!$HL$11:$HR$11,CV$6,'Lease Cycles'!$HZ$11:$IF$11)</f>
        <v>0</v>
      </c>
      <c r="CW74" s="28">
        <f>SUMIF('Lease Cycles'!$HL$11:$HR$11,CW$6,'Lease Cycles'!$HZ$11:$IF$11)</f>
        <v>0</v>
      </c>
      <c r="CX74" s="28">
        <f>SUMIF('Lease Cycles'!$HL$11:$HR$11,CX$6,'Lease Cycles'!$HZ$11:$IF$11)</f>
        <v>0</v>
      </c>
      <c r="CY74" s="28">
        <f>SUMIF('Lease Cycles'!$HL$11:$HR$11,CY$6,'Lease Cycles'!$HZ$11:$IF$11)</f>
        <v>0</v>
      </c>
      <c r="CZ74" s="28">
        <f>SUMIF('Lease Cycles'!$HL$11:$HR$11,CZ$6,'Lease Cycles'!$HZ$11:$IF$11)</f>
        <v>0</v>
      </c>
      <c r="DA74" s="28">
        <f>SUMIF('Lease Cycles'!$HL$11:$HR$11,DA$6,'Lease Cycles'!$HZ$11:$IF$11)</f>
        <v>0</v>
      </c>
      <c r="DB74" s="28">
        <f>SUMIF('Lease Cycles'!$HL$11:$HR$11,DB$6,'Lease Cycles'!$HZ$11:$IF$11)</f>
        <v>0</v>
      </c>
      <c r="DC74" s="28">
        <f>SUMIF('Lease Cycles'!$HL$11:$HR$11,DC$6,'Lease Cycles'!$HZ$11:$IF$11)</f>
        <v>0</v>
      </c>
      <c r="DD74" s="28">
        <f>SUMIF('Lease Cycles'!$HL$11:$HR$11,DD$6,'Lease Cycles'!$HZ$11:$IF$11)</f>
        <v>0</v>
      </c>
      <c r="DE74" s="28">
        <f>SUMIF('Lease Cycles'!$HL$11:$HR$11,DE$6,'Lease Cycles'!$HZ$11:$IF$11)</f>
        <v>0</v>
      </c>
      <c r="DF74" s="28">
        <f>SUMIF('Lease Cycles'!$HL$11:$HR$11,DF$6,'Lease Cycles'!$HZ$11:$IF$11)</f>
        <v>0</v>
      </c>
      <c r="DG74" s="28">
        <f>SUMIF('Lease Cycles'!$HL$11:$HR$11,DG$6,'Lease Cycles'!$HZ$11:$IF$11)</f>
        <v>0</v>
      </c>
      <c r="DH74" s="28">
        <f>SUMIF('Lease Cycles'!$HL$11:$HR$11,DH$6,'Lease Cycles'!$HZ$11:$IF$11)</f>
        <v>0</v>
      </c>
      <c r="DI74" s="28">
        <f>SUMIF('Lease Cycles'!$HL$11:$HR$11,DI$6,'Lease Cycles'!$HZ$11:$IF$11)</f>
        <v>0</v>
      </c>
      <c r="DJ74" s="28">
        <f>SUMIF('Lease Cycles'!$HL$11:$HR$11,DJ$6,'Lease Cycles'!$HZ$11:$IF$11)</f>
        <v>0</v>
      </c>
      <c r="DK74" s="28">
        <f>SUMIF('Lease Cycles'!$HL$11:$HR$11,DK$6,'Lease Cycles'!$HZ$11:$IF$11)</f>
        <v>0</v>
      </c>
      <c r="DL74" s="28">
        <f>SUMIF('Lease Cycles'!$HL$11:$HR$11,DL$6,'Lease Cycles'!$HZ$11:$IF$11)</f>
        <v>0</v>
      </c>
      <c r="DM74" s="28">
        <f>SUMIF('Lease Cycles'!$HL$11:$HR$11,DM$6,'Lease Cycles'!$HZ$11:$IF$11)</f>
        <v>0</v>
      </c>
      <c r="DN74" s="28">
        <f>SUMIF('Lease Cycles'!$HL$11:$HR$11,DN$6,'Lease Cycles'!$HZ$11:$IF$11)</f>
        <v>0</v>
      </c>
      <c r="DO74" s="28">
        <f>SUMIF('Lease Cycles'!$HL$11:$HR$11,DO$6,'Lease Cycles'!$HZ$11:$IF$11)</f>
        <v>0</v>
      </c>
      <c r="DP74" s="28">
        <f>SUMIF('Lease Cycles'!$HL$11:$HR$11,DP$6,'Lease Cycles'!$HZ$11:$IF$11)</f>
        <v>0</v>
      </c>
      <c r="DQ74" s="28">
        <f>SUMIF('Lease Cycles'!$HL$11:$HR$11,DQ$6,'Lease Cycles'!$HZ$11:$IF$11)</f>
        <v>0</v>
      </c>
      <c r="DR74" s="28">
        <f>SUMIF('Lease Cycles'!$HL$11:$HR$11,DR$6,'Lease Cycles'!$HZ$11:$IF$11)</f>
        <v>0</v>
      </c>
      <c r="DS74" s="28">
        <f>SUMIF('Lease Cycles'!$HL$11:$HR$11,DS$6,'Lease Cycles'!$HZ$11:$IF$11)</f>
        <v>0</v>
      </c>
      <c r="DT74" s="28">
        <f>SUMIF('Lease Cycles'!$HL$11:$HR$11,DT$6,'Lease Cycles'!$HZ$11:$IF$11)</f>
        <v>0</v>
      </c>
      <c r="DU74" s="28">
        <f>SUMIF('Lease Cycles'!$HL$11:$HR$11,DU$6,'Lease Cycles'!$HZ$11:$IF$11)</f>
        <v>0</v>
      </c>
      <c r="DV74" s="28">
        <f>SUMIF('Lease Cycles'!$HL$11:$HR$11,DV$6,'Lease Cycles'!$HZ$11:$IF$11)</f>
        <v>0</v>
      </c>
      <c r="DW74" s="28">
        <f>SUMIF('Lease Cycles'!$HL$11:$HR$11,DW$6,'Lease Cycles'!$HZ$11:$IF$11)</f>
        <v>0</v>
      </c>
      <c r="DX74" s="28">
        <f>SUMIF('Lease Cycles'!$HL$11:$HR$11,DX$6,'Lease Cycles'!$HZ$11:$IF$11)</f>
        <v>0</v>
      </c>
      <c r="DY74" s="28">
        <f>SUMIF('Lease Cycles'!$HL$11:$HR$11,DY$6,'Lease Cycles'!$HZ$11:$IF$11)</f>
        <v>0</v>
      </c>
      <c r="DZ74" s="28">
        <f>SUMIF('Lease Cycles'!$HL$11:$HR$11,DZ$6,'Lease Cycles'!$HZ$11:$IF$11)</f>
        <v>0</v>
      </c>
      <c r="EA74" s="28">
        <f>SUMIF('Lease Cycles'!$HL$11:$HR$11,EA$6,'Lease Cycles'!$HZ$11:$IF$11)</f>
        <v>0</v>
      </c>
      <c r="EB74" s="28">
        <f>SUMIF('Lease Cycles'!$HL$11:$HR$11,EB$6,'Lease Cycles'!$HZ$11:$IF$11)</f>
        <v>0</v>
      </c>
      <c r="EC74" s="28">
        <f>SUMIF('Lease Cycles'!$HL$11:$HR$11,EC$6,'Lease Cycles'!$HZ$11:$IF$11)</f>
        <v>0</v>
      </c>
      <c r="ED74" s="28">
        <f>SUMIF('Lease Cycles'!$HL$11:$HR$11,ED$6,'Lease Cycles'!$HZ$11:$IF$11)</f>
        <v>0</v>
      </c>
      <c r="EE74" s="28">
        <f>SUMIF('Lease Cycles'!$HL$11:$HR$11,EE$6,'Lease Cycles'!$HZ$11:$IF$11)</f>
        <v>0</v>
      </c>
      <c r="EF74" s="28">
        <f>SUMIF('Lease Cycles'!$HL$11:$HR$11,EF$6,'Lease Cycles'!$HZ$11:$IF$11)</f>
        <v>0</v>
      </c>
      <c r="EG74" s="28">
        <f>SUMIF('Lease Cycles'!$HL$11:$HR$11,EG$6,'Lease Cycles'!$HZ$11:$IF$11)</f>
        <v>0</v>
      </c>
      <c r="EH74" s="28">
        <f>SUMIF('Lease Cycles'!$HL$11:$HR$11,EH$6,'Lease Cycles'!$HZ$11:$IF$11)</f>
        <v>0</v>
      </c>
      <c r="EI74" s="28">
        <f>SUMIF('Lease Cycles'!$HL$11:$HR$11,EI$6,'Lease Cycles'!$HZ$11:$IF$11)</f>
        <v>0</v>
      </c>
      <c r="EJ74" s="28">
        <f>SUMIF('Lease Cycles'!$HL$11:$HR$11,EJ$6,'Lease Cycles'!$HZ$11:$IF$11)</f>
        <v>0</v>
      </c>
      <c r="EK74" s="28">
        <f>SUMIF('Lease Cycles'!$HL$11:$HR$11,EK$6,'Lease Cycles'!$HZ$11:$IF$11)</f>
        <v>0</v>
      </c>
      <c r="EL74" s="28">
        <f>SUMIF('Lease Cycles'!$HL$11:$HR$11,EL$6,'Lease Cycles'!$HZ$11:$IF$11)</f>
        <v>0</v>
      </c>
      <c r="EM74" s="28">
        <f>SUMIF('Lease Cycles'!$HL$11:$HR$11,EM$6,'Lease Cycles'!$HZ$11:$IF$11)</f>
        <v>0</v>
      </c>
      <c r="EN74" s="28">
        <f>SUMIF('Lease Cycles'!$HL$11:$HR$11,EN$6,'Lease Cycles'!$HZ$11:$IF$11)</f>
        <v>0</v>
      </c>
      <c r="EO74" s="28">
        <f>SUMIF('Lease Cycles'!$HL$11:$HR$11,EO$6,'Lease Cycles'!$HZ$11:$IF$11)</f>
        <v>0</v>
      </c>
      <c r="EP74" s="28">
        <f>SUMIF('Lease Cycles'!$HL$11:$HR$11,EP$6,'Lease Cycles'!$HZ$11:$IF$11)</f>
        <v>0</v>
      </c>
      <c r="EQ74" s="28">
        <f>SUMIF('Lease Cycles'!$HL$11:$HR$11,EQ$6,'Lease Cycles'!$HZ$11:$IF$11)</f>
        <v>0</v>
      </c>
      <c r="ER74" s="28">
        <f>SUMIF('Lease Cycles'!$HL$11:$HR$11,ER$6,'Lease Cycles'!$HZ$11:$IF$11)</f>
        <v>0</v>
      </c>
      <c r="ES74" s="28">
        <f>SUMIF('Lease Cycles'!$HL$11:$HR$11,ES$6,'Lease Cycles'!$HZ$11:$IF$11)</f>
        <v>0</v>
      </c>
      <c r="ET74" s="28">
        <f>SUMIF('Lease Cycles'!$HL$11:$HR$11,ET$6,'Lease Cycles'!$HZ$11:$IF$11)</f>
        <v>0</v>
      </c>
    </row>
    <row r="75">
      <c r="A75" s="103">
        <v>4</v>
      </c>
      <c r="B75" s="23" t="str">
        <f>IF('Lease Cycles'!$B$11="","(empty slot)",'Lease Cycles'!$B$11)</f>
        <v>Sunfield Dental</v>
      </c>
      <c r="C75" s="23" t="s">
        <v>691</v>
      </c>
      <c r="D75" s="104" t="s">
        <v>692</v>
      </c>
      <c r="E75" s="25">
        <f>'Lease Cycles'!$AL$11</f>
        <v>0</v>
      </c>
      <c r="G75" s="28">
        <f>SUM(S75:AD75)</f>
        <v>0</v>
      </c>
      <c r="H75" s="28">
        <f>SUM(AE75:AP75)</f>
        <v>0</v>
      </c>
      <c r="I75" s="28">
        <f>SUM(AQ75:BB75)</f>
        <v>0</v>
      </c>
      <c r="J75" s="28">
        <f>SUM(BC75:BN75)</f>
        <v>0</v>
      </c>
      <c r="K75" s="28">
        <f>SUM(BO75:BZ75)</f>
        <v>0</v>
      </c>
      <c r="L75" s="28">
        <f>SUM(CA75:CL75)</f>
        <v>0</v>
      </c>
      <c r="M75" s="28">
        <f>SUM(CM75:CX75)</f>
        <v>0</v>
      </c>
      <c r="N75" s="28">
        <f>SUM(CY75:DJ75)</f>
        <v>0</v>
      </c>
      <c r="O75" s="28">
        <f>SUM(DK75:DV75)</f>
        <v>0</v>
      </c>
      <c r="P75" s="28">
        <f>SUM(DW75:EH75)</f>
        <v>0</v>
      </c>
      <c r="Q75" s="28">
        <f>SUM(EI75:ET75)</f>
        <v>0</v>
      </c>
      <c r="S75" s="28">
        <f>IF(S$6='Lease Cycles'!$HL$11,'Lease Cycles'!$HS$11+'Lease Cycles'!$HZ$11,0)</f>
        <v>0</v>
      </c>
      <c r="T75" s="28">
        <f>IF(T$6='Lease Cycles'!$HL$11,'Lease Cycles'!$HS$11+'Lease Cycles'!$HZ$11,0)</f>
        <v>0</v>
      </c>
      <c r="U75" s="28">
        <f>IF(U$6='Lease Cycles'!$HL$11,'Lease Cycles'!$HS$11+'Lease Cycles'!$HZ$11,0)</f>
        <v>0</v>
      </c>
      <c r="V75" s="28">
        <f>IF(V$6='Lease Cycles'!$HL$11,'Lease Cycles'!$HS$11+'Lease Cycles'!$HZ$11,0)</f>
        <v>0</v>
      </c>
      <c r="W75" s="28">
        <f>IF(W$6='Lease Cycles'!$HL$11,'Lease Cycles'!$HS$11+'Lease Cycles'!$HZ$11,0)</f>
        <v>0</v>
      </c>
      <c r="X75" s="28">
        <f>IF(X$6='Lease Cycles'!$HL$11,'Lease Cycles'!$HS$11+'Lease Cycles'!$HZ$11,0)</f>
        <v>0</v>
      </c>
      <c r="Y75" s="28">
        <f>IF(Y$6='Lease Cycles'!$HL$11,'Lease Cycles'!$HS$11+'Lease Cycles'!$HZ$11,0)</f>
        <v>0</v>
      </c>
      <c r="Z75" s="28">
        <f>IF(Z$6='Lease Cycles'!$HL$11,'Lease Cycles'!$HS$11+'Lease Cycles'!$HZ$11,0)</f>
        <v>0</v>
      </c>
      <c r="AA75" s="28">
        <f>IF(AA$6='Lease Cycles'!$HL$11,'Lease Cycles'!$HS$11+'Lease Cycles'!$HZ$11,0)</f>
        <v>0</v>
      </c>
      <c r="AB75" s="28">
        <f>IF(AB$6='Lease Cycles'!$HL$11,'Lease Cycles'!$HS$11+'Lease Cycles'!$HZ$11,0)</f>
        <v>0</v>
      </c>
      <c r="AC75" s="28">
        <f>IF(AC$6='Lease Cycles'!$HL$11,'Lease Cycles'!$HS$11+'Lease Cycles'!$HZ$11,0)</f>
        <v>0</v>
      </c>
      <c r="AD75" s="28">
        <f>IF(AD$6='Lease Cycles'!$HL$11,'Lease Cycles'!$HS$11+'Lease Cycles'!$HZ$11,0)</f>
        <v>0</v>
      </c>
      <c r="AE75" s="28">
        <f>IF(AE$6='Lease Cycles'!$HL$11,'Lease Cycles'!$HS$11+'Lease Cycles'!$HZ$11,0)</f>
        <v>0</v>
      </c>
      <c r="AF75" s="28">
        <f>IF(AF$6='Lease Cycles'!$HL$11,'Lease Cycles'!$HS$11+'Lease Cycles'!$HZ$11,0)</f>
        <v>0</v>
      </c>
      <c r="AG75" s="28">
        <f>IF(AG$6='Lease Cycles'!$HL$11,'Lease Cycles'!$HS$11+'Lease Cycles'!$HZ$11,0)</f>
        <v>0</v>
      </c>
      <c r="AH75" s="28">
        <f>IF(AH$6='Lease Cycles'!$HL$11,'Lease Cycles'!$HS$11+'Lease Cycles'!$HZ$11,0)</f>
        <v>0</v>
      </c>
      <c r="AI75" s="28">
        <f>IF(AI$6='Lease Cycles'!$HL$11,'Lease Cycles'!$HS$11+'Lease Cycles'!$HZ$11,0)</f>
        <v>0</v>
      </c>
      <c r="AJ75" s="28">
        <f>IF(AJ$6='Lease Cycles'!$HL$11,'Lease Cycles'!$HS$11+'Lease Cycles'!$HZ$11,0)</f>
        <v>0</v>
      </c>
      <c r="AK75" s="28">
        <f>IF(AK$6='Lease Cycles'!$HL$11,'Lease Cycles'!$HS$11+'Lease Cycles'!$HZ$11,0)</f>
        <v>0</v>
      </c>
      <c r="AL75" s="28">
        <f>IF(AL$6='Lease Cycles'!$HL$11,'Lease Cycles'!$HS$11+'Lease Cycles'!$HZ$11,0)</f>
        <v>0</v>
      </c>
      <c r="AM75" s="28">
        <f>IF(AM$6='Lease Cycles'!$HL$11,'Lease Cycles'!$HS$11+'Lease Cycles'!$HZ$11,0)</f>
        <v>0</v>
      </c>
      <c r="AN75" s="28">
        <f>IF(AN$6='Lease Cycles'!$HL$11,'Lease Cycles'!$HS$11+'Lease Cycles'!$HZ$11,0)</f>
        <v>0</v>
      </c>
      <c r="AO75" s="28">
        <f>IF(AO$6='Lease Cycles'!$HL$11,'Lease Cycles'!$HS$11+'Lease Cycles'!$HZ$11,0)</f>
        <v>0</v>
      </c>
      <c r="AP75" s="28">
        <f>IF(AP$6='Lease Cycles'!$HL$11,'Lease Cycles'!$HS$11+'Lease Cycles'!$HZ$11,0)</f>
        <v>0</v>
      </c>
      <c r="AQ75" s="28">
        <f>IF(AQ$6='Lease Cycles'!$HL$11,'Lease Cycles'!$HS$11+'Lease Cycles'!$HZ$11,0)</f>
        <v>0</v>
      </c>
      <c r="AR75" s="28">
        <f>IF(AR$6='Lease Cycles'!$HL$11,'Lease Cycles'!$HS$11+'Lease Cycles'!$HZ$11,0)</f>
        <v>0</v>
      </c>
      <c r="AS75" s="28">
        <f>IF(AS$6='Lease Cycles'!$HL$11,'Lease Cycles'!$HS$11+'Lease Cycles'!$HZ$11,0)</f>
        <v>0</v>
      </c>
      <c r="AT75" s="28">
        <f>IF(AT$6='Lease Cycles'!$HL$11,'Lease Cycles'!$HS$11+'Lease Cycles'!$HZ$11,0)</f>
        <v>0</v>
      </c>
      <c r="AU75" s="28">
        <f>IF(AU$6='Lease Cycles'!$HL$11,'Lease Cycles'!$HS$11+'Lease Cycles'!$HZ$11,0)</f>
        <v>0</v>
      </c>
      <c r="AV75" s="28">
        <f>IF(AV$6='Lease Cycles'!$HL$11,'Lease Cycles'!$HS$11+'Lease Cycles'!$HZ$11,0)</f>
        <v>0</v>
      </c>
      <c r="AW75" s="28">
        <f>IF(AW$6='Lease Cycles'!$HL$11,'Lease Cycles'!$HS$11+'Lease Cycles'!$HZ$11,0)</f>
        <v>0</v>
      </c>
      <c r="AX75" s="28">
        <f>IF(AX$6='Lease Cycles'!$HL$11,'Lease Cycles'!$HS$11+'Lease Cycles'!$HZ$11,0)</f>
        <v>0</v>
      </c>
      <c r="AY75" s="28">
        <f>IF(AY$6='Lease Cycles'!$HL$11,'Lease Cycles'!$HS$11+'Lease Cycles'!$HZ$11,0)</f>
        <v>0</v>
      </c>
      <c r="AZ75" s="28">
        <f>IF(AZ$6='Lease Cycles'!$HL$11,'Lease Cycles'!$HS$11+'Lease Cycles'!$HZ$11,0)</f>
        <v>0</v>
      </c>
      <c r="BA75" s="28">
        <f>IF(BA$6='Lease Cycles'!$HL$11,'Lease Cycles'!$HS$11+'Lease Cycles'!$HZ$11,0)</f>
        <v>0</v>
      </c>
      <c r="BB75" s="28">
        <f>IF(BB$6='Lease Cycles'!$HL$11,'Lease Cycles'!$HS$11+'Lease Cycles'!$HZ$11,0)</f>
        <v>0</v>
      </c>
      <c r="BC75" s="28">
        <f>IF(BC$6='Lease Cycles'!$HL$11,'Lease Cycles'!$HS$11+'Lease Cycles'!$HZ$11,0)</f>
        <v>0</v>
      </c>
      <c r="BD75" s="28">
        <f>IF(BD$6='Lease Cycles'!$HL$11,'Lease Cycles'!$HS$11+'Lease Cycles'!$HZ$11,0)</f>
        <v>0</v>
      </c>
      <c r="BE75" s="28">
        <f>IF(BE$6='Lease Cycles'!$HL$11,'Lease Cycles'!$HS$11+'Lease Cycles'!$HZ$11,0)</f>
        <v>0</v>
      </c>
      <c r="BF75" s="28">
        <f>IF(BF$6='Lease Cycles'!$HL$11,'Lease Cycles'!$HS$11+'Lease Cycles'!$HZ$11,0)</f>
        <v>0</v>
      </c>
      <c r="BG75" s="28">
        <f>IF(BG$6='Lease Cycles'!$HL$11,'Lease Cycles'!$HS$11+'Lease Cycles'!$HZ$11,0)</f>
        <v>0</v>
      </c>
      <c r="BH75" s="28">
        <f>IF(BH$6='Lease Cycles'!$HL$11,'Lease Cycles'!$HS$11+'Lease Cycles'!$HZ$11,0)</f>
        <v>0</v>
      </c>
      <c r="BI75" s="28">
        <f>IF(BI$6='Lease Cycles'!$HL$11,'Lease Cycles'!$HS$11+'Lease Cycles'!$HZ$11,0)</f>
        <v>0</v>
      </c>
      <c r="BJ75" s="28">
        <f>IF(BJ$6='Lease Cycles'!$HL$11,'Lease Cycles'!$HS$11+'Lease Cycles'!$HZ$11,0)</f>
        <v>0</v>
      </c>
      <c r="BK75" s="28">
        <f>IF(BK$6='Lease Cycles'!$HL$11,'Lease Cycles'!$HS$11+'Lease Cycles'!$HZ$11,0)</f>
        <v>0</v>
      </c>
      <c r="BL75" s="28">
        <f>IF(BL$6='Lease Cycles'!$HL$11,'Lease Cycles'!$HS$11+'Lease Cycles'!$HZ$11,0)</f>
        <v>0</v>
      </c>
      <c r="BM75" s="28">
        <f>IF(BM$6='Lease Cycles'!$HL$11,'Lease Cycles'!$HS$11+'Lease Cycles'!$HZ$11,0)</f>
        <v>0</v>
      </c>
      <c r="BN75" s="28">
        <f>IF(BN$6='Lease Cycles'!$HL$11,'Lease Cycles'!$HS$11+'Lease Cycles'!$HZ$11,0)</f>
        <v>0</v>
      </c>
      <c r="BO75" s="28">
        <f>IF(BO$6='Lease Cycles'!$HL$11,'Lease Cycles'!$HS$11+'Lease Cycles'!$HZ$11,0)</f>
        <v>0</v>
      </c>
      <c r="BP75" s="28">
        <f>IF(BP$6='Lease Cycles'!$HL$11,'Lease Cycles'!$HS$11+'Lease Cycles'!$HZ$11,0)</f>
        <v>0</v>
      </c>
      <c r="BQ75" s="28">
        <f>IF(BQ$6='Lease Cycles'!$HL$11,'Lease Cycles'!$HS$11+'Lease Cycles'!$HZ$11,0)</f>
        <v>0</v>
      </c>
      <c r="BR75" s="28">
        <f>IF(BR$6='Lease Cycles'!$HL$11,'Lease Cycles'!$HS$11+'Lease Cycles'!$HZ$11,0)</f>
        <v>0</v>
      </c>
      <c r="BS75" s="28">
        <f>IF(BS$6='Lease Cycles'!$HL$11,'Lease Cycles'!$HS$11+'Lease Cycles'!$HZ$11,0)</f>
        <v>0</v>
      </c>
      <c r="BT75" s="28">
        <f>IF(BT$6='Lease Cycles'!$HL$11,'Lease Cycles'!$HS$11+'Lease Cycles'!$HZ$11,0)</f>
        <v>0</v>
      </c>
      <c r="BU75" s="28">
        <f>IF(BU$6='Lease Cycles'!$HL$11,'Lease Cycles'!$HS$11+'Lease Cycles'!$HZ$11,0)</f>
        <v>0</v>
      </c>
      <c r="BV75" s="28">
        <f>IF(BV$6='Lease Cycles'!$HL$11,'Lease Cycles'!$HS$11+'Lease Cycles'!$HZ$11,0)</f>
        <v>0</v>
      </c>
      <c r="BW75" s="28">
        <f>IF(BW$6='Lease Cycles'!$HL$11,'Lease Cycles'!$HS$11+'Lease Cycles'!$HZ$11,0)</f>
        <v>0</v>
      </c>
      <c r="BX75" s="28">
        <f>IF(BX$6='Lease Cycles'!$HL$11,'Lease Cycles'!$HS$11+'Lease Cycles'!$HZ$11,0)</f>
        <v>0</v>
      </c>
      <c r="BY75" s="28">
        <f>IF(BY$6='Lease Cycles'!$HL$11,'Lease Cycles'!$HS$11+'Lease Cycles'!$HZ$11,0)</f>
        <v>0</v>
      </c>
      <c r="BZ75" s="28">
        <f>IF(BZ$6='Lease Cycles'!$HL$11,'Lease Cycles'!$HS$11+'Lease Cycles'!$HZ$11,0)</f>
        <v>0</v>
      </c>
      <c r="CA75" s="28">
        <f>IF(CA$6='Lease Cycles'!$HL$11,'Lease Cycles'!$HS$11+'Lease Cycles'!$HZ$11,0)</f>
        <v>0</v>
      </c>
      <c r="CB75" s="28">
        <f>IF(CB$6='Lease Cycles'!$HL$11,'Lease Cycles'!$HS$11+'Lease Cycles'!$HZ$11,0)</f>
        <v>0</v>
      </c>
      <c r="CC75" s="28">
        <f>IF(CC$6='Lease Cycles'!$HL$11,'Lease Cycles'!$HS$11+'Lease Cycles'!$HZ$11,0)</f>
        <v>0</v>
      </c>
      <c r="CD75" s="28">
        <f>IF(CD$6='Lease Cycles'!$HL$11,'Lease Cycles'!$HS$11+'Lease Cycles'!$HZ$11,0)</f>
        <v>0</v>
      </c>
      <c r="CE75" s="28">
        <f>IF(CE$6='Lease Cycles'!$HL$11,'Lease Cycles'!$HS$11+'Lease Cycles'!$HZ$11,0)</f>
        <v>0</v>
      </c>
      <c r="CF75" s="28">
        <f>IF(CF$6='Lease Cycles'!$HL$11,'Lease Cycles'!$HS$11+'Lease Cycles'!$HZ$11,0)</f>
        <v>0</v>
      </c>
      <c r="CG75" s="28">
        <f>IF(CG$6='Lease Cycles'!$HL$11,'Lease Cycles'!$HS$11+'Lease Cycles'!$HZ$11,0)</f>
        <v>0</v>
      </c>
      <c r="CH75" s="28">
        <f>IF(CH$6='Lease Cycles'!$HL$11,'Lease Cycles'!$HS$11+'Lease Cycles'!$HZ$11,0)</f>
        <v>0</v>
      </c>
      <c r="CI75" s="28">
        <f>IF(CI$6='Lease Cycles'!$HL$11,'Lease Cycles'!$HS$11+'Lease Cycles'!$HZ$11,0)</f>
        <v>0</v>
      </c>
      <c r="CJ75" s="28">
        <f>IF(CJ$6='Lease Cycles'!$HL$11,'Lease Cycles'!$HS$11+'Lease Cycles'!$HZ$11,0)</f>
        <v>0</v>
      </c>
      <c r="CK75" s="28">
        <f>IF(CK$6='Lease Cycles'!$HL$11,'Lease Cycles'!$HS$11+'Lease Cycles'!$HZ$11,0)</f>
        <v>0</v>
      </c>
      <c r="CL75" s="28">
        <f>IF(CL$6='Lease Cycles'!$HL$11,'Lease Cycles'!$HS$11+'Lease Cycles'!$HZ$11,0)</f>
        <v>0</v>
      </c>
      <c r="CM75" s="28">
        <f>IF(CM$6='Lease Cycles'!$HL$11,'Lease Cycles'!$HS$11+'Lease Cycles'!$HZ$11,0)</f>
        <v>0</v>
      </c>
      <c r="CN75" s="28">
        <f>IF(CN$6='Lease Cycles'!$HL$11,'Lease Cycles'!$HS$11+'Lease Cycles'!$HZ$11,0)</f>
        <v>0</v>
      </c>
      <c r="CO75" s="28">
        <f>IF(CO$6='Lease Cycles'!$HL$11,'Lease Cycles'!$HS$11+'Lease Cycles'!$HZ$11,0)</f>
        <v>0</v>
      </c>
      <c r="CP75" s="28">
        <f>IF(CP$6='Lease Cycles'!$HL$11,'Lease Cycles'!$HS$11+'Lease Cycles'!$HZ$11,0)</f>
        <v>0</v>
      </c>
      <c r="CQ75" s="28">
        <f>IF(CQ$6='Lease Cycles'!$HL$11,'Lease Cycles'!$HS$11+'Lease Cycles'!$HZ$11,0)</f>
        <v>0</v>
      </c>
      <c r="CR75" s="28">
        <f>IF(CR$6='Lease Cycles'!$HL$11,'Lease Cycles'!$HS$11+'Lease Cycles'!$HZ$11,0)</f>
        <v>0</v>
      </c>
      <c r="CS75" s="28">
        <f>IF(CS$6='Lease Cycles'!$HL$11,'Lease Cycles'!$HS$11+'Lease Cycles'!$HZ$11,0)</f>
        <v>0</v>
      </c>
      <c r="CT75" s="28">
        <f>IF(CT$6='Lease Cycles'!$HL$11,'Lease Cycles'!$HS$11+'Lease Cycles'!$HZ$11,0)</f>
        <v>0</v>
      </c>
      <c r="CU75" s="28">
        <f>IF(CU$6='Lease Cycles'!$HL$11,'Lease Cycles'!$HS$11+'Lease Cycles'!$HZ$11,0)</f>
        <v>0</v>
      </c>
      <c r="CV75" s="28">
        <f>IF(CV$6='Lease Cycles'!$HL$11,'Lease Cycles'!$HS$11+'Lease Cycles'!$HZ$11,0)</f>
        <v>0</v>
      </c>
      <c r="CW75" s="28">
        <f>IF(CW$6='Lease Cycles'!$HL$11,'Lease Cycles'!$HS$11+'Lease Cycles'!$HZ$11,0)</f>
        <v>0</v>
      </c>
      <c r="CX75" s="28">
        <f>IF(CX$6='Lease Cycles'!$HL$11,'Lease Cycles'!$HS$11+'Lease Cycles'!$HZ$11,0)</f>
        <v>0</v>
      </c>
      <c r="CY75" s="28">
        <f>IF(CY$6='Lease Cycles'!$HL$11,'Lease Cycles'!$HS$11+'Lease Cycles'!$HZ$11,0)</f>
        <v>0</v>
      </c>
      <c r="CZ75" s="28">
        <f>IF(CZ$6='Lease Cycles'!$HL$11,'Lease Cycles'!$HS$11+'Lease Cycles'!$HZ$11,0)</f>
        <v>0</v>
      </c>
      <c r="DA75" s="28">
        <f>IF(DA$6='Lease Cycles'!$HL$11,'Lease Cycles'!$HS$11+'Lease Cycles'!$HZ$11,0)</f>
        <v>0</v>
      </c>
      <c r="DB75" s="28">
        <f>IF(DB$6='Lease Cycles'!$HL$11,'Lease Cycles'!$HS$11+'Lease Cycles'!$HZ$11,0)</f>
        <v>0</v>
      </c>
      <c r="DC75" s="28">
        <f>IF(DC$6='Lease Cycles'!$HL$11,'Lease Cycles'!$HS$11+'Lease Cycles'!$HZ$11,0)</f>
        <v>0</v>
      </c>
      <c r="DD75" s="28">
        <f>IF(DD$6='Lease Cycles'!$HL$11,'Lease Cycles'!$HS$11+'Lease Cycles'!$HZ$11,0)</f>
        <v>0</v>
      </c>
      <c r="DE75" s="28">
        <f>IF(DE$6='Lease Cycles'!$HL$11,'Lease Cycles'!$HS$11+'Lease Cycles'!$HZ$11,0)</f>
        <v>0</v>
      </c>
      <c r="DF75" s="28">
        <f>IF(DF$6='Lease Cycles'!$HL$11,'Lease Cycles'!$HS$11+'Lease Cycles'!$HZ$11,0)</f>
        <v>0</v>
      </c>
      <c r="DG75" s="28">
        <f>IF(DG$6='Lease Cycles'!$HL$11,'Lease Cycles'!$HS$11+'Lease Cycles'!$HZ$11,0)</f>
        <v>0</v>
      </c>
      <c r="DH75" s="28">
        <f>IF(DH$6='Lease Cycles'!$HL$11,'Lease Cycles'!$HS$11+'Lease Cycles'!$HZ$11,0)</f>
        <v>0</v>
      </c>
      <c r="DI75" s="28">
        <f>IF(DI$6='Lease Cycles'!$HL$11,'Lease Cycles'!$HS$11+'Lease Cycles'!$HZ$11,0)</f>
        <v>0</v>
      </c>
      <c r="DJ75" s="28">
        <f>IF(DJ$6='Lease Cycles'!$HL$11,'Lease Cycles'!$HS$11+'Lease Cycles'!$HZ$11,0)</f>
        <v>0</v>
      </c>
      <c r="DK75" s="28">
        <f>IF(DK$6='Lease Cycles'!$HL$11,'Lease Cycles'!$HS$11+'Lease Cycles'!$HZ$11,0)</f>
        <v>0</v>
      </c>
      <c r="DL75" s="28">
        <f>IF(DL$6='Lease Cycles'!$HL$11,'Lease Cycles'!$HS$11+'Lease Cycles'!$HZ$11,0)</f>
        <v>0</v>
      </c>
      <c r="DM75" s="28">
        <f>IF(DM$6='Lease Cycles'!$HL$11,'Lease Cycles'!$HS$11+'Lease Cycles'!$HZ$11,0)</f>
        <v>0</v>
      </c>
      <c r="DN75" s="28">
        <f>IF(DN$6='Lease Cycles'!$HL$11,'Lease Cycles'!$HS$11+'Lease Cycles'!$HZ$11,0)</f>
        <v>0</v>
      </c>
      <c r="DO75" s="28">
        <f>IF(DO$6='Lease Cycles'!$HL$11,'Lease Cycles'!$HS$11+'Lease Cycles'!$HZ$11,0)</f>
        <v>0</v>
      </c>
      <c r="DP75" s="28">
        <f>IF(DP$6='Lease Cycles'!$HL$11,'Lease Cycles'!$HS$11+'Lease Cycles'!$HZ$11,0)</f>
        <v>0</v>
      </c>
      <c r="DQ75" s="28">
        <f>IF(DQ$6='Lease Cycles'!$HL$11,'Lease Cycles'!$HS$11+'Lease Cycles'!$HZ$11,0)</f>
        <v>0</v>
      </c>
      <c r="DR75" s="28">
        <f>IF(DR$6='Lease Cycles'!$HL$11,'Lease Cycles'!$HS$11+'Lease Cycles'!$HZ$11,0)</f>
        <v>0</v>
      </c>
      <c r="DS75" s="28">
        <f>IF(DS$6='Lease Cycles'!$HL$11,'Lease Cycles'!$HS$11+'Lease Cycles'!$HZ$11,0)</f>
        <v>0</v>
      </c>
      <c r="DT75" s="28">
        <f>IF(DT$6='Lease Cycles'!$HL$11,'Lease Cycles'!$HS$11+'Lease Cycles'!$HZ$11,0)</f>
        <v>0</v>
      </c>
      <c r="DU75" s="28">
        <f>IF(DU$6='Lease Cycles'!$HL$11,'Lease Cycles'!$HS$11+'Lease Cycles'!$HZ$11,0)</f>
        <v>0</v>
      </c>
      <c r="DV75" s="28">
        <f>IF(DV$6='Lease Cycles'!$HL$11,'Lease Cycles'!$HS$11+'Lease Cycles'!$HZ$11,0)</f>
        <v>0</v>
      </c>
      <c r="DW75" s="28">
        <f>IF(DW$6='Lease Cycles'!$HL$11,'Lease Cycles'!$HS$11+'Lease Cycles'!$HZ$11,0)</f>
        <v>0</v>
      </c>
      <c r="DX75" s="28">
        <f>IF(DX$6='Lease Cycles'!$HL$11,'Lease Cycles'!$HS$11+'Lease Cycles'!$HZ$11,0)</f>
        <v>0</v>
      </c>
      <c r="DY75" s="28">
        <f>IF(DY$6='Lease Cycles'!$HL$11,'Lease Cycles'!$HS$11+'Lease Cycles'!$HZ$11,0)</f>
        <v>0</v>
      </c>
      <c r="DZ75" s="28">
        <f>IF(DZ$6='Lease Cycles'!$HL$11,'Lease Cycles'!$HS$11+'Lease Cycles'!$HZ$11,0)</f>
        <v>0</v>
      </c>
      <c r="EA75" s="28">
        <f>IF(EA$6='Lease Cycles'!$HL$11,'Lease Cycles'!$HS$11+'Lease Cycles'!$HZ$11,0)</f>
        <v>0</v>
      </c>
      <c r="EB75" s="28">
        <f>IF(EB$6='Lease Cycles'!$HL$11,'Lease Cycles'!$HS$11+'Lease Cycles'!$HZ$11,0)</f>
        <v>0</v>
      </c>
      <c r="EC75" s="28">
        <f>IF(EC$6='Lease Cycles'!$HL$11,'Lease Cycles'!$HS$11+'Lease Cycles'!$HZ$11,0)</f>
        <v>0</v>
      </c>
      <c r="ED75" s="28">
        <f>IF(ED$6='Lease Cycles'!$HL$11,'Lease Cycles'!$HS$11+'Lease Cycles'!$HZ$11,0)</f>
        <v>0</v>
      </c>
      <c r="EE75" s="28">
        <f>IF(EE$6='Lease Cycles'!$HL$11,'Lease Cycles'!$HS$11+'Lease Cycles'!$HZ$11,0)</f>
        <v>0</v>
      </c>
      <c r="EF75" s="28">
        <f>IF(EF$6='Lease Cycles'!$HL$11,'Lease Cycles'!$HS$11+'Lease Cycles'!$HZ$11,0)</f>
        <v>0</v>
      </c>
      <c r="EG75" s="28">
        <f>IF(EG$6='Lease Cycles'!$HL$11,'Lease Cycles'!$HS$11+'Lease Cycles'!$HZ$11,0)</f>
        <v>0</v>
      </c>
      <c r="EH75" s="28">
        <f>IF(EH$6='Lease Cycles'!$HL$11,'Lease Cycles'!$HS$11+'Lease Cycles'!$HZ$11,0)</f>
        <v>0</v>
      </c>
      <c r="EI75" s="28">
        <f>IF(EI$6='Lease Cycles'!$HL$11,'Lease Cycles'!$HS$11+'Lease Cycles'!$HZ$11,0)</f>
        <v>0</v>
      </c>
      <c r="EJ75" s="28">
        <f>IF(EJ$6='Lease Cycles'!$HL$11,'Lease Cycles'!$HS$11+'Lease Cycles'!$HZ$11,0)</f>
        <v>0</v>
      </c>
      <c r="EK75" s="28">
        <f>IF(EK$6='Lease Cycles'!$HL$11,'Lease Cycles'!$HS$11+'Lease Cycles'!$HZ$11,0)</f>
        <v>0</v>
      </c>
      <c r="EL75" s="28">
        <f>IF(EL$6='Lease Cycles'!$HL$11,'Lease Cycles'!$HS$11+'Lease Cycles'!$HZ$11,0)</f>
        <v>0</v>
      </c>
      <c r="EM75" s="28">
        <f>IF(EM$6='Lease Cycles'!$HL$11,'Lease Cycles'!$HS$11+'Lease Cycles'!$HZ$11,0)</f>
        <v>0</v>
      </c>
      <c r="EN75" s="28">
        <f>IF(EN$6='Lease Cycles'!$HL$11,'Lease Cycles'!$HS$11+'Lease Cycles'!$HZ$11,0)</f>
        <v>0</v>
      </c>
      <c r="EO75" s="28">
        <f>IF(EO$6='Lease Cycles'!$HL$11,'Lease Cycles'!$HS$11+'Lease Cycles'!$HZ$11,0)</f>
        <v>0</v>
      </c>
      <c r="EP75" s="28">
        <f>IF(EP$6='Lease Cycles'!$HL$11,'Lease Cycles'!$HS$11+'Lease Cycles'!$HZ$11,0)</f>
        <v>0</v>
      </c>
      <c r="EQ75" s="28">
        <f>IF(EQ$6='Lease Cycles'!$HL$11,'Lease Cycles'!$HS$11+'Lease Cycles'!$HZ$11,0)</f>
        <v>0</v>
      </c>
      <c r="ER75" s="28">
        <f>IF(ER$6='Lease Cycles'!$HL$11,'Lease Cycles'!$HS$11+'Lease Cycles'!$HZ$11,0)</f>
        <v>0</v>
      </c>
      <c r="ES75" s="28">
        <f>IF(ES$6='Lease Cycles'!$HL$11,'Lease Cycles'!$HS$11+'Lease Cycles'!$HZ$11,0)</f>
        <v>0</v>
      </c>
      <c r="ET75" s="28">
        <f>IF(ET$6='Lease Cycles'!$HL$11,'Lease Cycles'!$HS$11+'Lease Cycles'!$HZ$11,0)</f>
        <v>0</v>
      </c>
    </row>
    <row r="76">
      <c r="A76" s="103">
        <v>4</v>
      </c>
      <c r="B76" s="23" t="str">
        <f>IF('Lease Cycles'!$B$11="","(empty slot)",'Lease Cycles'!$B$11)</f>
        <v>Sunfield Dental</v>
      </c>
      <c r="C76" s="23" t="s">
        <v>499</v>
      </c>
      <c r="D76" s="104" t="s">
        <v>500</v>
      </c>
      <c r="E76" s="25">
        <f>'Lease Cycles'!$AL$11</f>
        <v>0</v>
      </c>
      <c r="G76" s="28">
        <f>MAX(0,'Lease Cycles'!$AN$11*'Lease Cycles'!$C$11*'Lease Cycles'!$AM$11*(1+a_SalesGrowth)^(G$6-1)-G66)</f>
        <v>0</v>
      </c>
      <c r="H76" s="28">
        <f>MAX(0,'Lease Cycles'!$AN$11*'Lease Cycles'!$C$11*'Lease Cycles'!$AM$11*(1+a_SalesGrowth)^(H$6-1)-H66)</f>
        <v>0</v>
      </c>
      <c r="I76" s="28">
        <f>MAX(0,'Lease Cycles'!$AN$11*'Lease Cycles'!$C$11*'Lease Cycles'!$AM$11*(1+a_SalesGrowth)^(I$6-1)-I66)</f>
        <v>0</v>
      </c>
      <c r="J76" s="28">
        <f>MAX(0,'Lease Cycles'!$AN$11*'Lease Cycles'!$C$11*'Lease Cycles'!$AM$11*(1+a_SalesGrowth)^(J$6-1)-J66)</f>
        <v>0</v>
      </c>
      <c r="K76" s="28">
        <f>MAX(0,'Lease Cycles'!$AN$11*'Lease Cycles'!$C$11*'Lease Cycles'!$AM$11*(1+a_SalesGrowth)^(K$6-1)-K66)</f>
        <v>0</v>
      </c>
      <c r="L76" s="28">
        <f>MAX(0,'Lease Cycles'!$AN$11*'Lease Cycles'!$C$11*'Lease Cycles'!$AM$11*(1+a_SalesGrowth)^(L$6-1)-L66)</f>
        <v>0</v>
      </c>
      <c r="M76" s="28">
        <f>MAX(0,'Lease Cycles'!$AN$11*'Lease Cycles'!$C$11*'Lease Cycles'!$AM$11*(1+a_SalesGrowth)^(M$6-1)-M66)</f>
        <v>0</v>
      </c>
      <c r="N76" s="28">
        <f>MAX(0,'Lease Cycles'!$AN$11*'Lease Cycles'!$C$11*'Lease Cycles'!$AM$11*(1+a_SalesGrowth)^(N$6-1)-N66)</f>
        <v>0</v>
      </c>
      <c r="O76" s="28">
        <f>MAX(0,'Lease Cycles'!$AN$11*'Lease Cycles'!$C$11*'Lease Cycles'!$AM$11*(1+a_SalesGrowth)^(O$6-1)-O66)</f>
        <v>0</v>
      </c>
      <c r="P76" s="28">
        <f>MAX(0,'Lease Cycles'!$AN$11*'Lease Cycles'!$C$11*'Lease Cycles'!$AM$11*(1+a_SalesGrowth)^(P$6-1)-P66)</f>
        <v>0</v>
      </c>
      <c r="Q76" s="28">
        <f>MAX(0,'Lease Cycles'!$AN$11*'Lease Cycles'!$C$11*'Lease Cycles'!$AM$11*(1+a_SalesGrowth)^(Q$6-1)-Q66)</f>
        <v>0</v>
      </c>
    </row>
    <row r="78">
      <c r="A78" s="103">
        <v>5</v>
      </c>
      <c r="B78" s="23" t="str">
        <f>IF('Lease Cycles'!$B$12="","(empty slot)",'Lease Cycles'!$B$12)</f>
        <v>Sunfield Pizza</v>
      </c>
      <c r="C78" s="23" t="s">
        <v>671</v>
      </c>
      <c r="D78" s="104" t="s">
        <v>672</v>
      </c>
      <c r="E78" s="25">
        <f>'Lease Cycles'!$AL$12</f>
        <v>0</v>
      </c>
      <c r="S78" s="25">
        <f>IF('Lease Cycles'!$C$12&gt;0,COUNTIF('Lease Cycles'!$BG$12:$BM$12,"&lt;="&amp;S$6),0)</f>
        <v>1</v>
      </c>
      <c r="T78" s="25">
        <f>IF('Lease Cycles'!$C$12&gt;0,COUNTIF('Lease Cycles'!$BG$12:$BM$12,"&lt;="&amp;T$6),0)</f>
        <v>1</v>
      </c>
      <c r="U78" s="25">
        <f>IF('Lease Cycles'!$C$12&gt;0,COUNTIF('Lease Cycles'!$BG$12:$BM$12,"&lt;="&amp;U$6),0)</f>
        <v>1</v>
      </c>
      <c r="V78" s="25">
        <f>IF('Lease Cycles'!$C$12&gt;0,COUNTIF('Lease Cycles'!$BG$12:$BM$12,"&lt;="&amp;V$6),0)</f>
        <v>1</v>
      </c>
      <c r="W78" s="25">
        <f>IF('Lease Cycles'!$C$12&gt;0,COUNTIF('Lease Cycles'!$BG$12:$BM$12,"&lt;="&amp;W$6),0)</f>
        <v>1</v>
      </c>
      <c r="X78" s="25">
        <f>IF('Lease Cycles'!$C$12&gt;0,COUNTIF('Lease Cycles'!$BG$12:$BM$12,"&lt;="&amp;X$6),0)</f>
        <v>1</v>
      </c>
      <c r="Y78" s="25">
        <f>IF('Lease Cycles'!$C$12&gt;0,COUNTIF('Lease Cycles'!$BG$12:$BM$12,"&lt;="&amp;Y$6),0)</f>
        <v>1</v>
      </c>
      <c r="Z78" s="25">
        <f>IF('Lease Cycles'!$C$12&gt;0,COUNTIF('Lease Cycles'!$BG$12:$BM$12,"&lt;="&amp;Z$6),0)</f>
        <v>1</v>
      </c>
      <c r="AA78" s="25">
        <f>IF('Lease Cycles'!$C$12&gt;0,COUNTIF('Lease Cycles'!$BG$12:$BM$12,"&lt;="&amp;AA$6),0)</f>
        <v>1</v>
      </c>
      <c r="AB78" s="25">
        <f>IF('Lease Cycles'!$C$12&gt;0,COUNTIF('Lease Cycles'!$BG$12:$BM$12,"&lt;="&amp;AB$6),0)</f>
        <v>1</v>
      </c>
      <c r="AC78" s="25">
        <f>IF('Lease Cycles'!$C$12&gt;0,COUNTIF('Lease Cycles'!$BG$12:$BM$12,"&lt;="&amp;AC$6),0)</f>
        <v>1</v>
      </c>
      <c r="AD78" s="25">
        <f>IF('Lease Cycles'!$C$12&gt;0,COUNTIF('Lease Cycles'!$BG$12:$BM$12,"&lt;="&amp;AD$6),0)</f>
        <v>1</v>
      </c>
      <c r="AE78" s="25">
        <f>IF('Lease Cycles'!$C$12&gt;0,COUNTIF('Lease Cycles'!$BG$12:$BM$12,"&lt;="&amp;AE$6),0)</f>
        <v>1</v>
      </c>
      <c r="AF78" s="25">
        <f>IF('Lease Cycles'!$C$12&gt;0,COUNTIF('Lease Cycles'!$BG$12:$BM$12,"&lt;="&amp;AF$6),0)</f>
        <v>1</v>
      </c>
      <c r="AG78" s="25">
        <f>IF('Lease Cycles'!$C$12&gt;0,COUNTIF('Lease Cycles'!$BG$12:$BM$12,"&lt;="&amp;AG$6),0)</f>
        <v>1</v>
      </c>
      <c r="AH78" s="25">
        <f>IF('Lease Cycles'!$C$12&gt;0,COUNTIF('Lease Cycles'!$BG$12:$BM$12,"&lt;="&amp;AH$6),0)</f>
        <v>1</v>
      </c>
      <c r="AI78" s="25">
        <f>IF('Lease Cycles'!$C$12&gt;0,COUNTIF('Lease Cycles'!$BG$12:$BM$12,"&lt;="&amp;AI$6),0)</f>
        <v>1</v>
      </c>
      <c r="AJ78" s="25">
        <f>IF('Lease Cycles'!$C$12&gt;0,COUNTIF('Lease Cycles'!$BG$12:$BM$12,"&lt;="&amp;AJ$6),0)</f>
        <v>1</v>
      </c>
      <c r="AK78" s="25">
        <f>IF('Lease Cycles'!$C$12&gt;0,COUNTIF('Lease Cycles'!$BG$12:$BM$12,"&lt;="&amp;AK$6),0)</f>
        <v>1</v>
      </c>
      <c r="AL78" s="25">
        <f>IF('Lease Cycles'!$C$12&gt;0,COUNTIF('Lease Cycles'!$BG$12:$BM$12,"&lt;="&amp;AL$6),0)</f>
        <v>1</v>
      </c>
      <c r="AM78" s="25">
        <f>IF('Lease Cycles'!$C$12&gt;0,COUNTIF('Lease Cycles'!$BG$12:$BM$12,"&lt;="&amp;AM$6),0)</f>
        <v>1</v>
      </c>
      <c r="AN78" s="25">
        <f>IF('Lease Cycles'!$C$12&gt;0,COUNTIF('Lease Cycles'!$BG$12:$BM$12,"&lt;="&amp;AN$6),0)</f>
        <v>1</v>
      </c>
      <c r="AO78" s="25">
        <f>IF('Lease Cycles'!$C$12&gt;0,COUNTIF('Lease Cycles'!$BG$12:$BM$12,"&lt;="&amp;AO$6),0)</f>
        <v>2</v>
      </c>
      <c r="AP78" s="25">
        <f>IF('Lease Cycles'!$C$12&gt;0,COUNTIF('Lease Cycles'!$BG$12:$BM$12,"&lt;="&amp;AP$6),0)</f>
        <v>3</v>
      </c>
      <c r="AQ78" s="25">
        <f>IF('Lease Cycles'!$C$12&gt;0,COUNTIF('Lease Cycles'!$BG$12:$BM$12,"&lt;="&amp;AQ$6),0)</f>
        <v>3</v>
      </c>
      <c r="AR78" s="25">
        <f>IF('Lease Cycles'!$C$12&gt;0,COUNTIF('Lease Cycles'!$BG$12:$BM$12,"&lt;="&amp;AR$6),0)</f>
        <v>3</v>
      </c>
      <c r="AS78" s="25">
        <f>IF('Lease Cycles'!$C$12&gt;0,COUNTIF('Lease Cycles'!$BG$12:$BM$12,"&lt;="&amp;AS$6),0)</f>
        <v>3</v>
      </c>
      <c r="AT78" s="25">
        <f>IF('Lease Cycles'!$C$12&gt;0,COUNTIF('Lease Cycles'!$BG$12:$BM$12,"&lt;="&amp;AT$6),0)</f>
        <v>3</v>
      </c>
      <c r="AU78" s="25">
        <f>IF('Lease Cycles'!$C$12&gt;0,COUNTIF('Lease Cycles'!$BG$12:$BM$12,"&lt;="&amp;AU$6),0)</f>
        <v>3</v>
      </c>
      <c r="AV78" s="25">
        <f>IF('Lease Cycles'!$C$12&gt;0,COUNTIF('Lease Cycles'!$BG$12:$BM$12,"&lt;="&amp;AV$6),0)</f>
        <v>3</v>
      </c>
      <c r="AW78" s="25">
        <f>IF('Lease Cycles'!$C$12&gt;0,COUNTIF('Lease Cycles'!$BG$12:$BM$12,"&lt;="&amp;AW$6),0)</f>
        <v>3</v>
      </c>
      <c r="AX78" s="25">
        <f>IF('Lease Cycles'!$C$12&gt;0,COUNTIF('Lease Cycles'!$BG$12:$BM$12,"&lt;="&amp;AX$6),0)</f>
        <v>3</v>
      </c>
      <c r="AY78" s="25">
        <f>IF('Lease Cycles'!$C$12&gt;0,COUNTIF('Lease Cycles'!$BG$12:$BM$12,"&lt;="&amp;AY$6),0)</f>
        <v>3</v>
      </c>
      <c r="AZ78" s="25">
        <f>IF('Lease Cycles'!$C$12&gt;0,COUNTIF('Lease Cycles'!$BG$12:$BM$12,"&lt;="&amp;AZ$6),0)</f>
        <v>3</v>
      </c>
      <c r="BA78" s="25">
        <f>IF('Lease Cycles'!$C$12&gt;0,COUNTIF('Lease Cycles'!$BG$12:$BM$12,"&lt;="&amp;BA$6),0)</f>
        <v>3</v>
      </c>
      <c r="BB78" s="25">
        <f>IF('Lease Cycles'!$C$12&gt;0,COUNTIF('Lease Cycles'!$BG$12:$BM$12,"&lt;="&amp;BB$6),0)</f>
        <v>3</v>
      </c>
      <c r="BC78" s="25">
        <f>IF('Lease Cycles'!$C$12&gt;0,COUNTIF('Lease Cycles'!$BG$12:$BM$12,"&lt;="&amp;BC$6),0)</f>
        <v>3</v>
      </c>
      <c r="BD78" s="25">
        <f>IF('Lease Cycles'!$C$12&gt;0,COUNTIF('Lease Cycles'!$BG$12:$BM$12,"&lt;="&amp;BD$6),0)</f>
        <v>3</v>
      </c>
      <c r="BE78" s="25">
        <f>IF('Lease Cycles'!$C$12&gt;0,COUNTIF('Lease Cycles'!$BG$12:$BM$12,"&lt;="&amp;BE$6),0)</f>
        <v>3</v>
      </c>
      <c r="BF78" s="25">
        <f>IF('Lease Cycles'!$C$12&gt;0,COUNTIF('Lease Cycles'!$BG$12:$BM$12,"&lt;="&amp;BF$6),0)</f>
        <v>3</v>
      </c>
      <c r="BG78" s="25">
        <f>IF('Lease Cycles'!$C$12&gt;0,COUNTIF('Lease Cycles'!$BG$12:$BM$12,"&lt;="&amp;BG$6),0)</f>
        <v>3</v>
      </c>
      <c r="BH78" s="25">
        <f>IF('Lease Cycles'!$C$12&gt;0,COUNTIF('Lease Cycles'!$BG$12:$BM$12,"&lt;="&amp;BH$6),0)</f>
        <v>3</v>
      </c>
      <c r="BI78" s="25">
        <f>IF('Lease Cycles'!$C$12&gt;0,COUNTIF('Lease Cycles'!$BG$12:$BM$12,"&lt;="&amp;BI$6),0)</f>
        <v>3</v>
      </c>
      <c r="BJ78" s="25">
        <f>IF('Lease Cycles'!$C$12&gt;0,COUNTIF('Lease Cycles'!$BG$12:$BM$12,"&lt;="&amp;BJ$6),0)</f>
        <v>3</v>
      </c>
      <c r="BK78" s="25">
        <f>IF('Lease Cycles'!$C$12&gt;0,COUNTIF('Lease Cycles'!$BG$12:$BM$12,"&lt;="&amp;BK$6),0)</f>
        <v>3</v>
      </c>
      <c r="BL78" s="25">
        <f>IF('Lease Cycles'!$C$12&gt;0,COUNTIF('Lease Cycles'!$BG$12:$BM$12,"&lt;="&amp;BL$6),0)</f>
        <v>3</v>
      </c>
      <c r="BM78" s="25">
        <f>IF('Lease Cycles'!$C$12&gt;0,COUNTIF('Lease Cycles'!$BG$12:$BM$12,"&lt;="&amp;BM$6),0)</f>
        <v>3</v>
      </c>
      <c r="BN78" s="25">
        <f>IF('Lease Cycles'!$C$12&gt;0,COUNTIF('Lease Cycles'!$BG$12:$BM$12,"&lt;="&amp;BN$6),0)</f>
        <v>3</v>
      </c>
      <c r="BO78" s="25">
        <f>IF('Lease Cycles'!$C$12&gt;0,COUNTIF('Lease Cycles'!$BG$12:$BM$12,"&lt;="&amp;BO$6),0)</f>
        <v>3</v>
      </c>
      <c r="BP78" s="25">
        <f>IF('Lease Cycles'!$C$12&gt;0,COUNTIF('Lease Cycles'!$BG$12:$BM$12,"&lt;="&amp;BP$6),0)</f>
        <v>3</v>
      </c>
      <c r="BQ78" s="25">
        <f>IF('Lease Cycles'!$C$12&gt;0,COUNTIF('Lease Cycles'!$BG$12:$BM$12,"&lt;="&amp;BQ$6),0)</f>
        <v>3</v>
      </c>
      <c r="BR78" s="25">
        <f>IF('Lease Cycles'!$C$12&gt;0,COUNTIF('Lease Cycles'!$BG$12:$BM$12,"&lt;="&amp;BR$6),0)</f>
        <v>3</v>
      </c>
      <c r="BS78" s="25">
        <f>IF('Lease Cycles'!$C$12&gt;0,COUNTIF('Lease Cycles'!$BG$12:$BM$12,"&lt;="&amp;BS$6),0)</f>
        <v>3</v>
      </c>
      <c r="BT78" s="25">
        <f>IF('Lease Cycles'!$C$12&gt;0,COUNTIF('Lease Cycles'!$BG$12:$BM$12,"&lt;="&amp;BT$6),0)</f>
        <v>3</v>
      </c>
      <c r="BU78" s="25">
        <f>IF('Lease Cycles'!$C$12&gt;0,COUNTIF('Lease Cycles'!$BG$12:$BM$12,"&lt;="&amp;BU$6),0)</f>
        <v>3</v>
      </c>
      <c r="BV78" s="25">
        <f>IF('Lease Cycles'!$C$12&gt;0,COUNTIF('Lease Cycles'!$BG$12:$BM$12,"&lt;="&amp;BV$6),0)</f>
        <v>3</v>
      </c>
      <c r="BW78" s="25">
        <f>IF('Lease Cycles'!$C$12&gt;0,COUNTIF('Lease Cycles'!$BG$12:$BM$12,"&lt;="&amp;BW$6),0)</f>
        <v>3</v>
      </c>
      <c r="BX78" s="25">
        <f>IF('Lease Cycles'!$C$12&gt;0,COUNTIF('Lease Cycles'!$BG$12:$BM$12,"&lt;="&amp;BX$6),0)</f>
        <v>3</v>
      </c>
      <c r="BY78" s="25">
        <f>IF('Lease Cycles'!$C$12&gt;0,COUNTIF('Lease Cycles'!$BG$12:$BM$12,"&lt;="&amp;BY$6),0)</f>
        <v>3</v>
      </c>
      <c r="BZ78" s="25">
        <f>IF('Lease Cycles'!$C$12&gt;0,COUNTIF('Lease Cycles'!$BG$12:$BM$12,"&lt;="&amp;BZ$6),0)</f>
        <v>3</v>
      </c>
      <c r="CA78" s="25">
        <f>IF('Lease Cycles'!$C$12&gt;0,COUNTIF('Lease Cycles'!$BG$12:$BM$12,"&lt;="&amp;CA$6),0)</f>
        <v>3</v>
      </c>
      <c r="CB78" s="25">
        <f>IF('Lease Cycles'!$C$12&gt;0,COUNTIF('Lease Cycles'!$BG$12:$BM$12,"&lt;="&amp;CB$6),0)</f>
        <v>3</v>
      </c>
      <c r="CC78" s="25">
        <f>IF('Lease Cycles'!$C$12&gt;0,COUNTIF('Lease Cycles'!$BG$12:$BM$12,"&lt;="&amp;CC$6),0)</f>
        <v>3</v>
      </c>
      <c r="CD78" s="25">
        <f>IF('Lease Cycles'!$C$12&gt;0,COUNTIF('Lease Cycles'!$BG$12:$BM$12,"&lt;="&amp;CD$6),0)</f>
        <v>3</v>
      </c>
      <c r="CE78" s="25">
        <f>IF('Lease Cycles'!$C$12&gt;0,COUNTIF('Lease Cycles'!$BG$12:$BM$12,"&lt;="&amp;CE$6),0)</f>
        <v>3</v>
      </c>
      <c r="CF78" s="25">
        <f>IF('Lease Cycles'!$C$12&gt;0,COUNTIF('Lease Cycles'!$BG$12:$BM$12,"&lt;="&amp;CF$6),0)</f>
        <v>3</v>
      </c>
      <c r="CG78" s="25">
        <f>IF('Lease Cycles'!$C$12&gt;0,COUNTIF('Lease Cycles'!$BG$12:$BM$12,"&lt;="&amp;CG$6),0)</f>
        <v>3</v>
      </c>
      <c r="CH78" s="25">
        <f>IF('Lease Cycles'!$C$12&gt;0,COUNTIF('Lease Cycles'!$BG$12:$BM$12,"&lt;="&amp;CH$6),0)</f>
        <v>3</v>
      </c>
      <c r="CI78" s="25">
        <f>IF('Lease Cycles'!$C$12&gt;0,COUNTIF('Lease Cycles'!$BG$12:$BM$12,"&lt;="&amp;CI$6),0)</f>
        <v>3</v>
      </c>
      <c r="CJ78" s="25">
        <f>IF('Lease Cycles'!$C$12&gt;0,COUNTIF('Lease Cycles'!$BG$12:$BM$12,"&lt;="&amp;CJ$6),0)</f>
        <v>3</v>
      </c>
      <c r="CK78" s="25">
        <f>IF('Lease Cycles'!$C$12&gt;0,COUNTIF('Lease Cycles'!$BG$12:$BM$12,"&lt;="&amp;CK$6),0)</f>
        <v>3</v>
      </c>
      <c r="CL78" s="25">
        <f>IF('Lease Cycles'!$C$12&gt;0,COUNTIF('Lease Cycles'!$BG$12:$BM$12,"&lt;="&amp;CL$6),0)</f>
        <v>3</v>
      </c>
      <c r="CM78" s="25">
        <f>IF('Lease Cycles'!$C$12&gt;0,COUNTIF('Lease Cycles'!$BG$12:$BM$12,"&lt;="&amp;CM$6),0)</f>
        <v>3</v>
      </c>
      <c r="CN78" s="25">
        <f>IF('Lease Cycles'!$C$12&gt;0,COUNTIF('Lease Cycles'!$BG$12:$BM$12,"&lt;="&amp;CN$6),0)</f>
        <v>3</v>
      </c>
      <c r="CO78" s="25">
        <f>IF('Lease Cycles'!$C$12&gt;0,COUNTIF('Lease Cycles'!$BG$12:$BM$12,"&lt;="&amp;CO$6),0)</f>
        <v>3</v>
      </c>
      <c r="CP78" s="25">
        <f>IF('Lease Cycles'!$C$12&gt;0,COUNTIF('Lease Cycles'!$BG$12:$BM$12,"&lt;="&amp;CP$6),0)</f>
        <v>3</v>
      </c>
      <c r="CQ78" s="25">
        <f>IF('Lease Cycles'!$C$12&gt;0,COUNTIF('Lease Cycles'!$BG$12:$BM$12,"&lt;="&amp;CQ$6),0)</f>
        <v>3</v>
      </c>
      <c r="CR78" s="25">
        <f>IF('Lease Cycles'!$C$12&gt;0,COUNTIF('Lease Cycles'!$BG$12:$BM$12,"&lt;="&amp;CR$6),0)</f>
        <v>3</v>
      </c>
      <c r="CS78" s="25">
        <f>IF('Lease Cycles'!$C$12&gt;0,COUNTIF('Lease Cycles'!$BG$12:$BM$12,"&lt;="&amp;CS$6),0)</f>
        <v>3</v>
      </c>
      <c r="CT78" s="25">
        <f>IF('Lease Cycles'!$C$12&gt;0,COUNTIF('Lease Cycles'!$BG$12:$BM$12,"&lt;="&amp;CT$6),0)</f>
        <v>3</v>
      </c>
      <c r="CU78" s="25">
        <f>IF('Lease Cycles'!$C$12&gt;0,COUNTIF('Lease Cycles'!$BG$12:$BM$12,"&lt;="&amp;CU$6),0)</f>
        <v>3</v>
      </c>
      <c r="CV78" s="25">
        <f>IF('Lease Cycles'!$C$12&gt;0,COUNTIF('Lease Cycles'!$BG$12:$BM$12,"&lt;="&amp;CV$6),0)</f>
        <v>3</v>
      </c>
      <c r="CW78" s="25">
        <f>IF('Lease Cycles'!$C$12&gt;0,COUNTIF('Lease Cycles'!$BG$12:$BM$12,"&lt;="&amp;CW$6),0)</f>
        <v>3</v>
      </c>
      <c r="CX78" s="25">
        <f>IF('Lease Cycles'!$C$12&gt;0,COUNTIF('Lease Cycles'!$BG$12:$BM$12,"&lt;="&amp;CX$6),0)</f>
        <v>3</v>
      </c>
      <c r="CY78" s="25">
        <f>IF('Lease Cycles'!$C$12&gt;0,COUNTIF('Lease Cycles'!$BG$12:$BM$12,"&lt;="&amp;CY$6),0)</f>
        <v>3</v>
      </c>
      <c r="CZ78" s="25">
        <f>IF('Lease Cycles'!$C$12&gt;0,COUNTIF('Lease Cycles'!$BG$12:$BM$12,"&lt;="&amp;CZ$6),0)</f>
        <v>3</v>
      </c>
      <c r="DA78" s="25">
        <f>IF('Lease Cycles'!$C$12&gt;0,COUNTIF('Lease Cycles'!$BG$12:$BM$12,"&lt;="&amp;DA$6),0)</f>
        <v>3</v>
      </c>
      <c r="DB78" s="25">
        <f>IF('Lease Cycles'!$C$12&gt;0,COUNTIF('Lease Cycles'!$BG$12:$BM$12,"&lt;="&amp;DB$6),0)</f>
        <v>3</v>
      </c>
      <c r="DC78" s="25">
        <f>IF('Lease Cycles'!$C$12&gt;0,COUNTIF('Lease Cycles'!$BG$12:$BM$12,"&lt;="&amp;DC$6),0)</f>
        <v>3</v>
      </c>
      <c r="DD78" s="25">
        <f>IF('Lease Cycles'!$C$12&gt;0,COUNTIF('Lease Cycles'!$BG$12:$BM$12,"&lt;="&amp;DD$6),0)</f>
        <v>3</v>
      </c>
      <c r="DE78" s="25">
        <f>IF('Lease Cycles'!$C$12&gt;0,COUNTIF('Lease Cycles'!$BG$12:$BM$12,"&lt;="&amp;DE$6),0)</f>
        <v>3</v>
      </c>
      <c r="DF78" s="25">
        <f>IF('Lease Cycles'!$C$12&gt;0,COUNTIF('Lease Cycles'!$BG$12:$BM$12,"&lt;="&amp;DF$6),0)</f>
        <v>3</v>
      </c>
      <c r="DG78" s="25">
        <f>IF('Lease Cycles'!$C$12&gt;0,COUNTIF('Lease Cycles'!$BG$12:$BM$12,"&lt;="&amp;DG$6),0)</f>
        <v>3</v>
      </c>
      <c r="DH78" s="25">
        <f>IF('Lease Cycles'!$C$12&gt;0,COUNTIF('Lease Cycles'!$BG$12:$BM$12,"&lt;="&amp;DH$6),0)</f>
        <v>3</v>
      </c>
      <c r="DI78" s="25">
        <f>IF('Lease Cycles'!$C$12&gt;0,COUNTIF('Lease Cycles'!$BG$12:$BM$12,"&lt;="&amp;DI$6),0)</f>
        <v>3</v>
      </c>
      <c r="DJ78" s="25">
        <f>IF('Lease Cycles'!$C$12&gt;0,COUNTIF('Lease Cycles'!$BG$12:$BM$12,"&lt;="&amp;DJ$6),0)</f>
        <v>3</v>
      </c>
      <c r="DK78" s="25">
        <f>IF('Lease Cycles'!$C$12&gt;0,COUNTIF('Lease Cycles'!$BG$12:$BM$12,"&lt;="&amp;DK$6),0)</f>
        <v>3</v>
      </c>
      <c r="DL78" s="25">
        <f>IF('Lease Cycles'!$C$12&gt;0,COUNTIF('Lease Cycles'!$BG$12:$BM$12,"&lt;="&amp;DL$6),0)</f>
        <v>3</v>
      </c>
      <c r="DM78" s="25">
        <f>IF('Lease Cycles'!$C$12&gt;0,COUNTIF('Lease Cycles'!$BG$12:$BM$12,"&lt;="&amp;DM$6),0)</f>
        <v>3</v>
      </c>
      <c r="DN78" s="25">
        <f>IF('Lease Cycles'!$C$12&gt;0,COUNTIF('Lease Cycles'!$BG$12:$BM$12,"&lt;="&amp;DN$6),0)</f>
        <v>3</v>
      </c>
      <c r="DO78" s="25">
        <f>IF('Lease Cycles'!$C$12&gt;0,COUNTIF('Lease Cycles'!$BG$12:$BM$12,"&lt;="&amp;DO$6),0)</f>
        <v>3</v>
      </c>
      <c r="DP78" s="25">
        <f>IF('Lease Cycles'!$C$12&gt;0,COUNTIF('Lease Cycles'!$BG$12:$BM$12,"&lt;="&amp;DP$6),0)</f>
        <v>3</v>
      </c>
      <c r="DQ78" s="25">
        <f>IF('Lease Cycles'!$C$12&gt;0,COUNTIF('Lease Cycles'!$BG$12:$BM$12,"&lt;="&amp;DQ$6),0)</f>
        <v>3</v>
      </c>
      <c r="DR78" s="25">
        <f>IF('Lease Cycles'!$C$12&gt;0,COUNTIF('Lease Cycles'!$BG$12:$BM$12,"&lt;="&amp;DR$6),0)</f>
        <v>3</v>
      </c>
      <c r="DS78" s="25">
        <f>IF('Lease Cycles'!$C$12&gt;0,COUNTIF('Lease Cycles'!$BG$12:$BM$12,"&lt;="&amp;DS$6),0)</f>
        <v>3</v>
      </c>
      <c r="DT78" s="25">
        <f>IF('Lease Cycles'!$C$12&gt;0,COUNTIF('Lease Cycles'!$BG$12:$BM$12,"&lt;="&amp;DT$6),0)</f>
        <v>3</v>
      </c>
      <c r="DU78" s="25">
        <f>IF('Lease Cycles'!$C$12&gt;0,COUNTIF('Lease Cycles'!$BG$12:$BM$12,"&lt;="&amp;DU$6),0)</f>
        <v>3</v>
      </c>
      <c r="DV78" s="25">
        <f>IF('Lease Cycles'!$C$12&gt;0,COUNTIF('Lease Cycles'!$BG$12:$BM$12,"&lt;="&amp;DV$6),0)</f>
        <v>3</v>
      </c>
      <c r="DW78" s="25">
        <f>IF('Lease Cycles'!$C$12&gt;0,COUNTIF('Lease Cycles'!$BG$12:$BM$12,"&lt;="&amp;DW$6),0)</f>
        <v>3</v>
      </c>
      <c r="DX78" s="25">
        <f>IF('Lease Cycles'!$C$12&gt;0,COUNTIF('Lease Cycles'!$BG$12:$BM$12,"&lt;="&amp;DX$6),0)</f>
        <v>3</v>
      </c>
      <c r="DY78" s="25">
        <f>IF('Lease Cycles'!$C$12&gt;0,COUNTIF('Lease Cycles'!$BG$12:$BM$12,"&lt;="&amp;DY$6),0)</f>
        <v>3</v>
      </c>
      <c r="DZ78" s="25">
        <f>IF('Lease Cycles'!$C$12&gt;0,COUNTIF('Lease Cycles'!$BG$12:$BM$12,"&lt;="&amp;DZ$6),0)</f>
        <v>4</v>
      </c>
      <c r="EA78" s="25">
        <f>IF('Lease Cycles'!$C$12&gt;0,COUNTIF('Lease Cycles'!$BG$12:$BM$12,"&lt;="&amp;EA$6),0)</f>
        <v>4</v>
      </c>
      <c r="EB78" s="25">
        <f>IF('Lease Cycles'!$C$12&gt;0,COUNTIF('Lease Cycles'!$BG$12:$BM$12,"&lt;="&amp;EB$6),0)</f>
        <v>4</v>
      </c>
      <c r="EC78" s="25">
        <f>IF('Lease Cycles'!$C$12&gt;0,COUNTIF('Lease Cycles'!$BG$12:$BM$12,"&lt;="&amp;EC$6),0)</f>
        <v>4</v>
      </c>
      <c r="ED78" s="25">
        <f>IF('Lease Cycles'!$C$12&gt;0,COUNTIF('Lease Cycles'!$BG$12:$BM$12,"&lt;="&amp;ED$6),0)</f>
        <v>4</v>
      </c>
      <c r="EE78" s="25">
        <f>IF('Lease Cycles'!$C$12&gt;0,COUNTIF('Lease Cycles'!$BG$12:$BM$12,"&lt;="&amp;EE$6),0)</f>
        <v>4</v>
      </c>
      <c r="EF78" s="25">
        <f>IF('Lease Cycles'!$C$12&gt;0,COUNTIF('Lease Cycles'!$BG$12:$BM$12,"&lt;="&amp;EF$6),0)</f>
        <v>4</v>
      </c>
      <c r="EG78" s="25">
        <f>IF('Lease Cycles'!$C$12&gt;0,COUNTIF('Lease Cycles'!$BG$12:$BM$12,"&lt;="&amp;EG$6),0)</f>
        <v>4</v>
      </c>
      <c r="EH78" s="25">
        <f>IF('Lease Cycles'!$C$12&gt;0,COUNTIF('Lease Cycles'!$BG$12:$BM$12,"&lt;="&amp;EH$6),0)</f>
        <v>4</v>
      </c>
      <c r="EI78" s="25">
        <f>IF('Lease Cycles'!$C$12&gt;0,COUNTIF('Lease Cycles'!$BG$12:$BM$12,"&lt;="&amp;EI$6),0)</f>
        <v>4</v>
      </c>
      <c r="EJ78" s="25">
        <f>IF('Lease Cycles'!$C$12&gt;0,COUNTIF('Lease Cycles'!$BG$12:$BM$12,"&lt;="&amp;EJ$6),0)</f>
        <v>4</v>
      </c>
      <c r="EK78" s="25">
        <f>IF('Lease Cycles'!$C$12&gt;0,COUNTIF('Lease Cycles'!$BG$12:$BM$12,"&lt;="&amp;EK$6),0)</f>
        <v>4</v>
      </c>
      <c r="EL78" s="25">
        <f>IF('Lease Cycles'!$C$12&gt;0,COUNTIF('Lease Cycles'!$BG$12:$BM$12,"&lt;="&amp;EL$6),0)</f>
        <v>4</v>
      </c>
      <c r="EM78" s="25">
        <f>IF('Lease Cycles'!$C$12&gt;0,COUNTIF('Lease Cycles'!$BG$12:$BM$12,"&lt;="&amp;EM$6),0)</f>
        <v>4</v>
      </c>
      <c r="EN78" s="25">
        <f>IF('Lease Cycles'!$C$12&gt;0,COUNTIF('Lease Cycles'!$BG$12:$BM$12,"&lt;="&amp;EN$6),0)</f>
        <v>4</v>
      </c>
      <c r="EO78" s="25">
        <f>IF('Lease Cycles'!$C$12&gt;0,COUNTIF('Lease Cycles'!$BG$12:$BM$12,"&lt;="&amp;EO$6),0)</f>
        <v>4</v>
      </c>
      <c r="EP78" s="25">
        <f>IF('Lease Cycles'!$C$12&gt;0,COUNTIF('Lease Cycles'!$BG$12:$BM$12,"&lt;="&amp;EP$6),0)</f>
        <v>4</v>
      </c>
      <c r="EQ78" s="25">
        <f>IF('Lease Cycles'!$C$12&gt;0,COUNTIF('Lease Cycles'!$BG$12:$BM$12,"&lt;="&amp;EQ$6),0)</f>
        <v>4</v>
      </c>
      <c r="ER78" s="25">
        <f>IF('Lease Cycles'!$C$12&gt;0,COUNTIF('Lease Cycles'!$BG$12:$BM$12,"&lt;="&amp;ER$6),0)</f>
        <v>4</v>
      </c>
      <c r="ES78" s="25">
        <f>IF('Lease Cycles'!$C$12&gt;0,COUNTIF('Lease Cycles'!$BG$12:$BM$12,"&lt;="&amp;ES$6),0)</f>
        <v>4</v>
      </c>
      <c r="ET78" s="25">
        <f>IF('Lease Cycles'!$C$12&gt;0,COUNTIF('Lease Cycles'!$BG$12:$BM$12,"&lt;="&amp;ET$6),0)</f>
        <v>4</v>
      </c>
    </row>
    <row r="79">
      <c r="A79" s="103">
        <v>5</v>
      </c>
      <c r="B79" s="23" t="str">
        <f>IF('Lease Cycles'!$B$12="","(empty slot)",'Lease Cycles'!$B$12)</f>
        <v>Sunfield Pizza</v>
      </c>
      <c r="C79" s="23" t="s">
        <v>673</v>
      </c>
      <c r="D79" s="104" t="s">
        <v>674</v>
      </c>
      <c r="E79" s="25">
        <f>'Lease Cycles'!$AL$12</f>
        <v>0</v>
      </c>
      <c r="S79" s="25">
        <f>IF(S78=0,-1,S$6-INDEX('Lease Cycles'!$BG$12:$BM$12,1,S78))</f>
        <v>0</v>
      </c>
      <c r="T79" s="25">
        <f>IF(T78=0,-1,T$6-INDEX('Lease Cycles'!$BG$12:$BM$12,1,T78))</f>
        <v>1</v>
      </c>
      <c r="U79" s="25">
        <f>IF(U78=0,-1,U$6-INDEX('Lease Cycles'!$BG$12:$BM$12,1,U78))</f>
        <v>2</v>
      </c>
      <c r="V79" s="25">
        <f>IF(V78=0,-1,V$6-INDEX('Lease Cycles'!$BG$12:$BM$12,1,V78))</f>
        <v>3</v>
      </c>
      <c r="W79" s="25">
        <f>IF(W78=0,-1,W$6-INDEX('Lease Cycles'!$BG$12:$BM$12,1,W78))</f>
        <v>4</v>
      </c>
      <c r="X79" s="25">
        <f>IF(X78=0,-1,X$6-INDEX('Lease Cycles'!$BG$12:$BM$12,1,X78))</f>
        <v>5</v>
      </c>
      <c r="Y79" s="25">
        <f>IF(Y78=0,-1,Y$6-INDEX('Lease Cycles'!$BG$12:$BM$12,1,Y78))</f>
        <v>6</v>
      </c>
      <c r="Z79" s="25">
        <f>IF(Z78=0,-1,Z$6-INDEX('Lease Cycles'!$BG$12:$BM$12,1,Z78))</f>
        <v>7</v>
      </c>
      <c r="AA79" s="25">
        <f>IF(AA78=0,-1,AA$6-INDEX('Lease Cycles'!$BG$12:$BM$12,1,AA78))</f>
        <v>8</v>
      </c>
      <c r="AB79" s="25">
        <f>IF(AB78=0,-1,AB$6-INDEX('Lease Cycles'!$BG$12:$BM$12,1,AB78))</f>
        <v>9</v>
      </c>
      <c r="AC79" s="25">
        <f>IF(AC78=0,-1,AC$6-INDEX('Lease Cycles'!$BG$12:$BM$12,1,AC78))</f>
        <v>10</v>
      </c>
      <c r="AD79" s="25">
        <f>IF(AD78=0,-1,AD$6-INDEX('Lease Cycles'!$BG$12:$BM$12,1,AD78))</f>
        <v>11</v>
      </c>
      <c r="AE79" s="25">
        <f>IF(AE78=0,-1,AE$6-INDEX('Lease Cycles'!$BG$12:$BM$12,1,AE78))</f>
        <v>12</v>
      </c>
      <c r="AF79" s="25">
        <f>IF(AF78=0,-1,AF$6-INDEX('Lease Cycles'!$BG$12:$BM$12,1,AF78))</f>
        <v>13</v>
      </c>
      <c r="AG79" s="25">
        <f>IF(AG78=0,-1,AG$6-INDEX('Lease Cycles'!$BG$12:$BM$12,1,AG78))</f>
        <v>14</v>
      </c>
      <c r="AH79" s="25">
        <f>IF(AH78=0,-1,AH$6-INDEX('Lease Cycles'!$BG$12:$BM$12,1,AH78))</f>
        <v>15</v>
      </c>
      <c r="AI79" s="25">
        <f>IF(AI78=0,-1,AI$6-INDEX('Lease Cycles'!$BG$12:$BM$12,1,AI78))</f>
        <v>16</v>
      </c>
      <c r="AJ79" s="25">
        <f>IF(AJ78=0,-1,AJ$6-INDEX('Lease Cycles'!$BG$12:$BM$12,1,AJ78))</f>
        <v>17</v>
      </c>
      <c r="AK79" s="25">
        <f>IF(AK78=0,-1,AK$6-INDEX('Lease Cycles'!$BG$12:$BM$12,1,AK78))</f>
        <v>18</v>
      </c>
      <c r="AL79" s="25">
        <f>IF(AL78=0,-1,AL$6-INDEX('Lease Cycles'!$BG$12:$BM$12,1,AL78))</f>
        <v>19</v>
      </c>
      <c r="AM79" s="25">
        <f>IF(AM78=0,-1,AM$6-INDEX('Lease Cycles'!$BG$12:$BM$12,1,AM78))</f>
        <v>20</v>
      </c>
      <c r="AN79" s="25">
        <f>IF(AN78=0,-1,AN$6-INDEX('Lease Cycles'!$BG$12:$BM$12,1,AN78))</f>
        <v>21</v>
      </c>
      <c r="AO79" s="25">
        <f>IF(AO78=0,-1,AO$6-INDEX('Lease Cycles'!$BG$12:$BM$12,1,AO78))</f>
        <v>0</v>
      </c>
      <c r="AP79" s="25">
        <f>IF(AP78=0,-1,AP$6-INDEX('Lease Cycles'!$BG$12:$BM$12,1,AP78))</f>
        <v>0</v>
      </c>
      <c r="AQ79" s="25">
        <f>IF(AQ78=0,-1,AQ$6-INDEX('Lease Cycles'!$BG$12:$BM$12,1,AQ78))</f>
        <v>1</v>
      </c>
      <c r="AR79" s="25">
        <f>IF(AR78=0,-1,AR$6-INDEX('Lease Cycles'!$BG$12:$BM$12,1,AR78))</f>
        <v>2</v>
      </c>
      <c r="AS79" s="25">
        <f>IF(AS78=0,-1,AS$6-INDEX('Lease Cycles'!$BG$12:$BM$12,1,AS78))</f>
        <v>3</v>
      </c>
      <c r="AT79" s="25">
        <f>IF(AT78=0,-1,AT$6-INDEX('Lease Cycles'!$BG$12:$BM$12,1,AT78))</f>
        <v>4</v>
      </c>
      <c r="AU79" s="25">
        <f>IF(AU78=0,-1,AU$6-INDEX('Lease Cycles'!$BG$12:$BM$12,1,AU78))</f>
        <v>5</v>
      </c>
      <c r="AV79" s="25">
        <f>IF(AV78=0,-1,AV$6-INDEX('Lease Cycles'!$BG$12:$BM$12,1,AV78))</f>
        <v>6</v>
      </c>
      <c r="AW79" s="25">
        <f>IF(AW78=0,-1,AW$6-INDEX('Lease Cycles'!$BG$12:$BM$12,1,AW78))</f>
        <v>7</v>
      </c>
      <c r="AX79" s="25">
        <f>IF(AX78=0,-1,AX$6-INDEX('Lease Cycles'!$BG$12:$BM$12,1,AX78))</f>
        <v>8</v>
      </c>
      <c r="AY79" s="25">
        <f>IF(AY78=0,-1,AY$6-INDEX('Lease Cycles'!$BG$12:$BM$12,1,AY78))</f>
        <v>9</v>
      </c>
      <c r="AZ79" s="25">
        <f>IF(AZ78=0,-1,AZ$6-INDEX('Lease Cycles'!$BG$12:$BM$12,1,AZ78))</f>
        <v>10</v>
      </c>
      <c r="BA79" s="25">
        <f>IF(BA78=0,-1,BA$6-INDEX('Lease Cycles'!$BG$12:$BM$12,1,BA78))</f>
        <v>11</v>
      </c>
      <c r="BB79" s="25">
        <f>IF(BB78=0,-1,BB$6-INDEX('Lease Cycles'!$BG$12:$BM$12,1,BB78))</f>
        <v>12</v>
      </c>
      <c r="BC79" s="25">
        <f>IF(BC78=0,-1,BC$6-INDEX('Lease Cycles'!$BG$12:$BM$12,1,BC78))</f>
        <v>13</v>
      </c>
      <c r="BD79" s="25">
        <f>IF(BD78=0,-1,BD$6-INDEX('Lease Cycles'!$BG$12:$BM$12,1,BD78))</f>
        <v>14</v>
      </c>
      <c r="BE79" s="25">
        <f>IF(BE78=0,-1,BE$6-INDEX('Lease Cycles'!$BG$12:$BM$12,1,BE78))</f>
        <v>15</v>
      </c>
      <c r="BF79" s="25">
        <f>IF(BF78=0,-1,BF$6-INDEX('Lease Cycles'!$BG$12:$BM$12,1,BF78))</f>
        <v>16</v>
      </c>
      <c r="BG79" s="25">
        <f>IF(BG78=0,-1,BG$6-INDEX('Lease Cycles'!$BG$12:$BM$12,1,BG78))</f>
        <v>17</v>
      </c>
      <c r="BH79" s="25">
        <f>IF(BH78=0,-1,BH$6-INDEX('Lease Cycles'!$BG$12:$BM$12,1,BH78))</f>
        <v>18</v>
      </c>
      <c r="BI79" s="25">
        <f>IF(BI78=0,-1,BI$6-INDEX('Lease Cycles'!$BG$12:$BM$12,1,BI78))</f>
        <v>19</v>
      </c>
      <c r="BJ79" s="25">
        <f>IF(BJ78=0,-1,BJ$6-INDEX('Lease Cycles'!$BG$12:$BM$12,1,BJ78))</f>
        <v>20</v>
      </c>
      <c r="BK79" s="25">
        <f>IF(BK78=0,-1,BK$6-INDEX('Lease Cycles'!$BG$12:$BM$12,1,BK78))</f>
        <v>21</v>
      </c>
      <c r="BL79" s="25">
        <f>IF(BL78=0,-1,BL$6-INDEX('Lease Cycles'!$BG$12:$BM$12,1,BL78))</f>
        <v>22</v>
      </c>
      <c r="BM79" s="25">
        <f>IF(BM78=0,-1,BM$6-INDEX('Lease Cycles'!$BG$12:$BM$12,1,BM78))</f>
        <v>23</v>
      </c>
      <c r="BN79" s="25">
        <f>IF(BN78=0,-1,BN$6-INDEX('Lease Cycles'!$BG$12:$BM$12,1,BN78))</f>
        <v>24</v>
      </c>
      <c r="BO79" s="25">
        <f>IF(BO78=0,-1,BO$6-INDEX('Lease Cycles'!$BG$12:$BM$12,1,BO78))</f>
        <v>25</v>
      </c>
      <c r="BP79" s="25">
        <f>IF(BP78=0,-1,BP$6-INDEX('Lease Cycles'!$BG$12:$BM$12,1,BP78))</f>
        <v>26</v>
      </c>
      <c r="BQ79" s="25">
        <f>IF(BQ78=0,-1,BQ$6-INDEX('Lease Cycles'!$BG$12:$BM$12,1,BQ78))</f>
        <v>27</v>
      </c>
      <c r="BR79" s="25">
        <f>IF(BR78=0,-1,BR$6-INDEX('Lease Cycles'!$BG$12:$BM$12,1,BR78))</f>
        <v>28</v>
      </c>
      <c r="BS79" s="25">
        <f>IF(BS78=0,-1,BS$6-INDEX('Lease Cycles'!$BG$12:$BM$12,1,BS78))</f>
        <v>29</v>
      </c>
      <c r="BT79" s="25">
        <f>IF(BT78=0,-1,BT$6-INDEX('Lease Cycles'!$BG$12:$BM$12,1,BT78))</f>
        <v>30</v>
      </c>
      <c r="BU79" s="25">
        <f>IF(BU78=0,-1,BU$6-INDEX('Lease Cycles'!$BG$12:$BM$12,1,BU78))</f>
        <v>31</v>
      </c>
      <c r="BV79" s="25">
        <f>IF(BV78=0,-1,BV$6-INDEX('Lease Cycles'!$BG$12:$BM$12,1,BV78))</f>
        <v>32</v>
      </c>
      <c r="BW79" s="25">
        <f>IF(BW78=0,-1,BW$6-INDEX('Lease Cycles'!$BG$12:$BM$12,1,BW78))</f>
        <v>33</v>
      </c>
      <c r="BX79" s="25">
        <f>IF(BX78=0,-1,BX$6-INDEX('Lease Cycles'!$BG$12:$BM$12,1,BX78))</f>
        <v>34</v>
      </c>
      <c r="BY79" s="25">
        <f>IF(BY78=0,-1,BY$6-INDEX('Lease Cycles'!$BG$12:$BM$12,1,BY78))</f>
        <v>35</v>
      </c>
      <c r="BZ79" s="25">
        <f>IF(BZ78=0,-1,BZ$6-INDEX('Lease Cycles'!$BG$12:$BM$12,1,BZ78))</f>
        <v>36</v>
      </c>
      <c r="CA79" s="25">
        <f>IF(CA78=0,-1,CA$6-INDEX('Lease Cycles'!$BG$12:$BM$12,1,CA78))</f>
        <v>37</v>
      </c>
      <c r="CB79" s="25">
        <f>IF(CB78=0,-1,CB$6-INDEX('Lease Cycles'!$BG$12:$BM$12,1,CB78))</f>
        <v>38</v>
      </c>
      <c r="CC79" s="25">
        <f>IF(CC78=0,-1,CC$6-INDEX('Lease Cycles'!$BG$12:$BM$12,1,CC78))</f>
        <v>39</v>
      </c>
      <c r="CD79" s="25">
        <f>IF(CD78=0,-1,CD$6-INDEX('Lease Cycles'!$BG$12:$BM$12,1,CD78))</f>
        <v>40</v>
      </c>
      <c r="CE79" s="25">
        <f>IF(CE78=0,-1,CE$6-INDEX('Lease Cycles'!$BG$12:$BM$12,1,CE78))</f>
        <v>41</v>
      </c>
      <c r="CF79" s="25">
        <f>IF(CF78=0,-1,CF$6-INDEX('Lease Cycles'!$BG$12:$BM$12,1,CF78))</f>
        <v>42</v>
      </c>
      <c r="CG79" s="25">
        <f>IF(CG78=0,-1,CG$6-INDEX('Lease Cycles'!$BG$12:$BM$12,1,CG78))</f>
        <v>43</v>
      </c>
      <c r="CH79" s="25">
        <f>IF(CH78=0,-1,CH$6-INDEX('Lease Cycles'!$BG$12:$BM$12,1,CH78))</f>
        <v>44</v>
      </c>
      <c r="CI79" s="25">
        <f>IF(CI78=0,-1,CI$6-INDEX('Lease Cycles'!$BG$12:$BM$12,1,CI78))</f>
        <v>45</v>
      </c>
      <c r="CJ79" s="25">
        <f>IF(CJ78=0,-1,CJ$6-INDEX('Lease Cycles'!$BG$12:$BM$12,1,CJ78))</f>
        <v>46</v>
      </c>
      <c r="CK79" s="25">
        <f>IF(CK78=0,-1,CK$6-INDEX('Lease Cycles'!$BG$12:$BM$12,1,CK78))</f>
        <v>47</v>
      </c>
      <c r="CL79" s="25">
        <f>IF(CL78=0,-1,CL$6-INDEX('Lease Cycles'!$BG$12:$BM$12,1,CL78))</f>
        <v>48</v>
      </c>
      <c r="CM79" s="25">
        <f>IF(CM78=0,-1,CM$6-INDEX('Lease Cycles'!$BG$12:$BM$12,1,CM78))</f>
        <v>49</v>
      </c>
      <c r="CN79" s="25">
        <f>IF(CN78=0,-1,CN$6-INDEX('Lease Cycles'!$BG$12:$BM$12,1,CN78))</f>
        <v>50</v>
      </c>
      <c r="CO79" s="25">
        <f>IF(CO78=0,-1,CO$6-INDEX('Lease Cycles'!$BG$12:$BM$12,1,CO78))</f>
        <v>51</v>
      </c>
      <c r="CP79" s="25">
        <f>IF(CP78=0,-1,CP$6-INDEX('Lease Cycles'!$BG$12:$BM$12,1,CP78))</f>
        <v>52</v>
      </c>
      <c r="CQ79" s="25">
        <f>IF(CQ78=0,-1,CQ$6-INDEX('Lease Cycles'!$BG$12:$BM$12,1,CQ78))</f>
        <v>53</v>
      </c>
      <c r="CR79" s="25">
        <f>IF(CR78=0,-1,CR$6-INDEX('Lease Cycles'!$BG$12:$BM$12,1,CR78))</f>
        <v>54</v>
      </c>
      <c r="CS79" s="25">
        <f>IF(CS78=0,-1,CS$6-INDEX('Lease Cycles'!$BG$12:$BM$12,1,CS78))</f>
        <v>55</v>
      </c>
      <c r="CT79" s="25">
        <f>IF(CT78=0,-1,CT$6-INDEX('Lease Cycles'!$BG$12:$BM$12,1,CT78))</f>
        <v>56</v>
      </c>
      <c r="CU79" s="25">
        <f>IF(CU78=0,-1,CU$6-INDEX('Lease Cycles'!$BG$12:$BM$12,1,CU78))</f>
        <v>57</v>
      </c>
      <c r="CV79" s="25">
        <f>IF(CV78=0,-1,CV$6-INDEX('Lease Cycles'!$BG$12:$BM$12,1,CV78))</f>
        <v>58</v>
      </c>
      <c r="CW79" s="25">
        <f>IF(CW78=0,-1,CW$6-INDEX('Lease Cycles'!$BG$12:$BM$12,1,CW78))</f>
        <v>59</v>
      </c>
      <c r="CX79" s="25">
        <f>IF(CX78=0,-1,CX$6-INDEX('Lease Cycles'!$BG$12:$BM$12,1,CX78))</f>
        <v>60</v>
      </c>
      <c r="CY79" s="25">
        <f>IF(CY78=0,-1,CY$6-INDEX('Lease Cycles'!$BG$12:$BM$12,1,CY78))</f>
        <v>61</v>
      </c>
      <c r="CZ79" s="25">
        <f>IF(CZ78=0,-1,CZ$6-INDEX('Lease Cycles'!$BG$12:$BM$12,1,CZ78))</f>
        <v>62</v>
      </c>
      <c r="DA79" s="25">
        <f>IF(DA78=0,-1,DA$6-INDEX('Lease Cycles'!$BG$12:$BM$12,1,DA78))</f>
        <v>63</v>
      </c>
      <c r="DB79" s="25">
        <f>IF(DB78=0,-1,DB$6-INDEX('Lease Cycles'!$BG$12:$BM$12,1,DB78))</f>
        <v>64</v>
      </c>
      <c r="DC79" s="25">
        <f>IF(DC78=0,-1,DC$6-INDEX('Lease Cycles'!$BG$12:$BM$12,1,DC78))</f>
        <v>65</v>
      </c>
      <c r="DD79" s="25">
        <f>IF(DD78=0,-1,DD$6-INDEX('Lease Cycles'!$BG$12:$BM$12,1,DD78))</f>
        <v>66</v>
      </c>
      <c r="DE79" s="25">
        <f>IF(DE78=0,-1,DE$6-INDEX('Lease Cycles'!$BG$12:$BM$12,1,DE78))</f>
        <v>67</v>
      </c>
      <c r="DF79" s="25">
        <f>IF(DF78=0,-1,DF$6-INDEX('Lease Cycles'!$BG$12:$BM$12,1,DF78))</f>
        <v>68</v>
      </c>
      <c r="DG79" s="25">
        <f>IF(DG78=0,-1,DG$6-INDEX('Lease Cycles'!$BG$12:$BM$12,1,DG78))</f>
        <v>69</v>
      </c>
      <c r="DH79" s="25">
        <f>IF(DH78=0,-1,DH$6-INDEX('Lease Cycles'!$BG$12:$BM$12,1,DH78))</f>
        <v>70</v>
      </c>
      <c r="DI79" s="25">
        <f>IF(DI78=0,-1,DI$6-INDEX('Lease Cycles'!$BG$12:$BM$12,1,DI78))</f>
        <v>71</v>
      </c>
      <c r="DJ79" s="25">
        <f>IF(DJ78=0,-1,DJ$6-INDEX('Lease Cycles'!$BG$12:$BM$12,1,DJ78))</f>
        <v>72</v>
      </c>
      <c r="DK79" s="25">
        <f>IF(DK78=0,-1,DK$6-INDEX('Lease Cycles'!$BG$12:$BM$12,1,DK78))</f>
        <v>73</v>
      </c>
      <c r="DL79" s="25">
        <f>IF(DL78=0,-1,DL$6-INDEX('Lease Cycles'!$BG$12:$BM$12,1,DL78))</f>
        <v>74</v>
      </c>
      <c r="DM79" s="25">
        <f>IF(DM78=0,-1,DM$6-INDEX('Lease Cycles'!$BG$12:$BM$12,1,DM78))</f>
        <v>75</v>
      </c>
      <c r="DN79" s="25">
        <f>IF(DN78=0,-1,DN$6-INDEX('Lease Cycles'!$BG$12:$BM$12,1,DN78))</f>
        <v>76</v>
      </c>
      <c r="DO79" s="25">
        <f>IF(DO78=0,-1,DO$6-INDEX('Lease Cycles'!$BG$12:$BM$12,1,DO78))</f>
        <v>77</v>
      </c>
      <c r="DP79" s="25">
        <f>IF(DP78=0,-1,DP$6-INDEX('Lease Cycles'!$BG$12:$BM$12,1,DP78))</f>
        <v>78</v>
      </c>
      <c r="DQ79" s="25">
        <f>IF(DQ78=0,-1,DQ$6-INDEX('Lease Cycles'!$BG$12:$BM$12,1,DQ78))</f>
        <v>79</v>
      </c>
      <c r="DR79" s="25">
        <f>IF(DR78=0,-1,DR$6-INDEX('Lease Cycles'!$BG$12:$BM$12,1,DR78))</f>
        <v>80</v>
      </c>
      <c r="DS79" s="25">
        <f>IF(DS78=0,-1,DS$6-INDEX('Lease Cycles'!$BG$12:$BM$12,1,DS78))</f>
        <v>81</v>
      </c>
      <c r="DT79" s="25">
        <f>IF(DT78=0,-1,DT$6-INDEX('Lease Cycles'!$BG$12:$BM$12,1,DT78))</f>
        <v>82</v>
      </c>
      <c r="DU79" s="25">
        <f>IF(DU78=0,-1,DU$6-INDEX('Lease Cycles'!$BG$12:$BM$12,1,DU78))</f>
        <v>83</v>
      </c>
      <c r="DV79" s="25">
        <f>IF(DV78=0,-1,DV$6-INDEX('Lease Cycles'!$BG$12:$BM$12,1,DV78))</f>
        <v>84</v>
      </c>
      <c r="DW79" s="25">
        <f>IF(DW78=0,-1,DW$6-INDEX('Lease Cycles'!$BG$12:$BM$12,1,DW78))</f>
        <v>85</v>
      </c>
      <c r="DX79" s="25">
        <f>IF(DX78=0,-1,DX$6-INDEX('Lease Cycles'!$BG$12:$BM$12,1,DX78))</f>
        <v>86</v>
      </c>
      <c r="DY79" s="25">
        <f>IF(DY78=0,-1,DY$6-INDEX('Lease Cycles'!$BG$12:$BM$12,1,DY78))</f>
        <v>87</v>
      </c>
      <c r="DZ79" s="25">
        <f>IF(DZ78=0,-1,DZ$6-INDEX('Lease Cycles'!$BG$12:$BM$12,1,DZ78))</f>
        <v>0</v>
      </c>
      <c r="EA79" s="25">
        <f>IF(EA78=0,-1,EA$6-INDEX('Lease Cycles'!$BG$12:$BM$12,1,EA78))</f>
        <v>1</v>
      </c>
      <c r="EB79" s="25">
        <f>IF(EB78=0,-1,EB$6-INDEX('Lease Cycles'!$BG$12:$BM$12,1,EB78))</f>
        <v>2</v>
      </c>
      <c r="EC79" s="25">
        <f>IF(EC78=0,-1,EC$6-INDEX('Lease Cycles'!$BG$12:$BM$12,1,EC78))</f>
        <v>3</v>
      </c>
      <c r="ED79" s="25">
        <f>IF(ED78=0,-1,ED$6-INDEX('Lease Cycles'!$BG$12:$BM$12,1,ED78))</f>
        <v>4</v>
      </c>
      <c r="EE79" s="25">
        <f>IF(EE78=0,-1,EE$6-INDEX('Lease Cycles'!$BG$12:$BM$12,1,EE78))</f>
        <v>5</v>
      </c>
      <c r="EF79" s="25">
        <f>IF(EF78=0,-1,EF$6-INDEX('Lease Cycles'!$BG$12:$BM$12,1,EF78))</f>
        <v>6</v>
      </c>
      <c r="EG79" s="25">
        <f>IF(EG78=0,-1,EG$6-INDEX('Lease Cycles'!$BG$12:$BM$12,1,EG78))</f>
        <v>7</v>
      </c>
      <c r="EH79" s="25">
        <f>IF(EH78=0,-1,EH$6-INDEX('Lease Cycles'!$BG$12:$BM$12,1,EH78))</f>
        <v>8</v>
      </c>
      <c r="EI79" s="25">
        <f>IF(EI78=0,-1,EI$6-INDEX('Lease Cycles'!$BG$12:$BM$12,1,EI78))</f>
        <v>9</v>
      </c>
      <c r="EJ79" s="25">
        <f>IF(EJ78=0,-1,EJ$6-INDEX('Lease Cycles'!$BG$12:$BM$12,1,EJ78))</f>
        <v>10</v>
      </c>
      <c r="EK79" s="25">
        <f>IF(EK78=0,-1,EK$6-INDEX('Lease Cycles'!$BG$12:$BM$12,1,EK78))</f>
        <v>11</v>
      </c>
      <c r="EL79" s="25">
        <f>IF(EL78=0,-1,EL$6-INDEX('Lease Cycles'!$BG$12:$BM$12,1,EL78))</f>
        <v>12</v>
      </c>
      <c r="EM79" s="25">
        <f>IF(EM78=0,-1,EM$6-INDEX('Lease Cycles'!$BG$12:$BM$12,1,EM78))</f>
        <v>13</v>
      </c>
      <c r="EN79" s="25">
        <f>IF(EN78=0,-1,EN$6-INDEX('Lease Cycles'!$BG$12:$BM$12,1,EN78))</f>
        <v>14</v>
      </c>
      <c r="EO79" s="25">
        <f>IF(EO78=0,-1,EO$6-INDEX('Lease Cycles'!$BG$12:$BM$12,1,EO78))</f>
        <v>15</v>
      </c>
      <c r="EP79" s="25">
        <f>IF(EP78=0,-1,EP$6-INDEX('Lease Cycles'!$BG$12:$BM$12,1,EP78))</f>
        <v>16</v>
      </c>
      <c r="EQ79" s="25">
        <f>IF(EQ78=0,-1,EQ$6-INDEX('Lease Cycles'!$BG$12:$BM$12,1,EQ78))</f>
        <v>17</v>
      </c>
      <c r="ER79" s="25">
        <f>IF(ER78=0,-1,ER$6-INDEX('Lease Cycles'!$BG$12:$BM$12,1,ER78))</f>
        <v>18</v>
      </c>
      <c r="ES79" s="25">
        <f>IF(ES78=0,-1,ES$6-INDEX('Lease Cycles'!$BG$12:$BM$12,1,ES78))</f>
        <v>19</v>
      </c>
      <c r="ET79" s="25">
        <f>IF(ET78=0,-1,ET$6-INDEX('Lease Cycles'!$BG$12:$BM$12,1,ET78))</f>
        <v>20</v>
      </c>
    </row>
    <row r="80">
      <c r="A80" s="103">
        <v>5</v>
      </c>
      <c r="B80" s="23" t="str">
        <f>IF('Lease Cycles'!$B$12="","(empty slot)",'Lease Cycles'!$B$12)</f>
        <v>Sunfield Pizza</v>
      </c>
      <c r="C80" s="23" t="s">
        <v>675</v>
      </c>
      <c r="D80" s="104" t="s">
        <v>676</v>
      </c>
      <c r="E80" s="25">
        <f>'Lease Cycles'!$AL$12</f>
        <v>0</v>
      </c>
      <c r="S80" s="25">
        <f>IF(S78=0,0,IF(S79&lt;INDEX('Lease Cycles'!$BN$12:$BT$12,1,S78),1,0))</f>
        <v>1</v>
      </c>
      <c r="T80" s="25">
        <f>IF(T78=0,0,IF(T79&lt;INDEX('Lease Cycles'!$BN$12:$BT$12,1,T78),1,0))</f>
        <v>1</v>
      </c>
      <c r="U80" s="25">
        <f>IF(U78=0,0,IF(U79&lt;INDEX('Lease Cycles'!$BN$12:$BT$12,1,U78),1,0))</f>
        <v>1</v>
      </c>
      <c r="V80" s="25">
        <f>IF(V78=0,0,IF(V79&lt;INDEX('Lease Cycles'!$BN$12:$BT$12,1,V78),1,0))</f>
        <v>1</v>
      </c>
      <c r="W80" s="25">
        <f>IF(W78=0,0,IF(W79&lt;INDEX('Lease Cycles'!$BN$12:$BT$12,1,W78),1,0))</f>
        <v>1</v>
      </c>
      <c r="X80" s="25">
        <f>IF(X78=0,0,IF(X79&lt;INDEX('Lease Cycles'!$BN$12:$BT$12,1,X78),1,0))</f>
        <v>1</v>
      </c>
      <c r="Y80" s="25">
        <f>IF(Y78=0,0,IF(Y79&lt;INDEX('Lease Cycles'!$BN$12:$BT$12,1,Y78),1,0))</f>
        <v>1</v>
      </c>
      <c r="Z80" s="25">
        <f>IF(Z78=0,0,IF(Z79&lt;INDEX('Lease Cycles'!$BN$12:$BT$12,1,Z78),1,0))</f>
        <v>1</v>
      </c>
      <c r="AA80" s="25">
        <f>IF(AA78=0,0,IF(AA79&lt;INDEX('Lease Cycles'!$BN$12:$BT$12,1,AA78),1,0))</f>
        <v>1</v>
      </c>
      <c r="AB80" s="25">
        <f>IF(AB78=0,0,IF(AB79&lt;INDEX('Lease Cycles'!$BN$12:$BT$12,1,AB78),1,0))</f>
        <v>1</v>
      </c>
      <c r="AC80" s="25">
        <f>IF(AC78=0,0,IF(AC79&lt;INDEX('Lease Cycles'!$BN$12:$BT$12,1,AC78),1,0))</f>
        <v>1</v>
      </c>
      <c r="AD80" s="25">
        <f>IF(AD78=0,0,IF(AD79&lt;INDEX('Lease Cycles'!$BN$12:$BT$12,1,AD78),1,0))</f>
        <v>1</v>
      </c>
      <c r="AE80" s="25">
        <f>IF(AE78=0,0,IF(AE79&lt;INDEX('Lease Cycles'!$BN$12:$BT$12,1,AE78),1,0))</f>
        <v>1</v>
      </c>
      <c r="AF80" s="25">
        <f>IF(AF78=0,0,IF(AF79&lt;INDEX('Lease Cycles'!$BN$12:$BT$12,1,AF78),1,0))</f>
        <v>1</v>
      </c>
      <c r="AG80" s="25">
        <f>IF(AG78=0,0,IF(AG79&lt;INDEX('Lease Cycles'!$BN$12:$BT$12,1,AG78),1,0))</f>
        <v>1</v>
      </c>
      <c r="AH80" s="25">
        <f>IF(AH78=0,0,IF(AH79&lt;INDEX('Lease Cycles'!$BN$12:$BT$12,1,AH78),1,0))</f>
        <v>1</v>
      </c>
      <c r="AI80" s="25">
        <f>IF(AI78=0,0,IF(AI79&lt;INDEX('Lease Cycles'!$BN$12:$BT$12,1,AI78),1,0))</f>
        <v>1</v>
      </c>
      <c r="AJ80" s="25">
        <f>IF(AJ78=0,0,IF(AJ79&lt;INDEX('Lease Cycles'!$BN$12:$BT$12,1,AJ78),1,0))</f>
        <v>1</v>
      </c>
      <c r="AK80" s="25">
        <f>IF(AK78=0,0,IF(AK79&lt;INDEX('Lease Cycles'!$BN$12:$BT$12,1,AK78),1,0))</f>
        <v>1</v>
      </c>
      <c r="AL80" s="25">
        <f>IF(AL78=0,0,IF(AL79&lt;INDEX('Lease Cycles'!$BN$12:$BT$12,1,AL78),1,0))</f>
        <v>1</v>
      </c>
      <c r="AM80" s="25">
        <f>IF(AM78=0,0,IF(AM79&lt;INDEX('Lease Cycles'!$BN$12:$BT$12,1,AM78),1,0))</f>
        <v>1</v>
      </c>
      <c r="AN80" s="25">
        <f>IF(AN78=0,0,IF(AN79&lt;INDEX('Lease Cycles'!$BN$12:$BT$12,1,AN78),1,0))</f>
        <v>1</v>
      </c>
      <c r="AO80" s="25">
        <f>IF(AO78=0,0,IF(AO79&lt;INDEX('Lease Cycles'!$BN$12:$BT$12,1,AO78),1,0))</f>
        <v>0</v>
      </c>
      <c r="AP80" s="25">
        <f>IF(AP78=0,0,IF(AP79&lt;INDEX('Lease Cycles'!$BN$12:$BT$12,1,AP78),1,0))</f>
        <v>1</v>
      </c>
      <c r="AQ80" s="25">
        <f>IF(AQ78=0,0,IF(AQ79&lt;INDEX('Lease Cycles'!$BN$12:$BT$12,1,AQ78),1,0))</f>
        <v>1</v>
      </c>
      <c r="AR80" s="25">
        <f>IF(AR78=0,0,IF(AR79&lt;INDEX('Lease Cycles'!$BN$12:$BT$12,1,AR78),1,0))</f>
        <v>1</v>
      </c>
      <c r="AS80" s="25">
        <f>IF(AS78=0,0,IF(AS79&lt;INDEX('Lease Cycles'!$BN$12:$BT$12,1,AS78),1,0))</f>
        <v>1</v>
      </c>
      <c r="AT80" s="25">
        <f>IF(AT78=0,0,IF(AT79&lt;INDEX('Lease Cycles'!$BN$12:$BT$12,1,AT78),1,0))</f>
        <v>1</v>
      </c>
      <c r="AU80" s="25">
        <f>IF(AU78=0,0,IF(AU79&lt;INDEX('Lease Cycles'!$BN$12:$BT$12,1,AU78),1,0))</f>
        <v>1</v>
      </c>
      <c r="AV80" s="25">
        <f>IF(AV78=0,0,IF(AV79&lt;INDEX('Lease Cycles'!$BN$12:$BT$12,1,AV78),1,0))</f>
        <v>1</v>
      </c>
      <c r="AW80" s="25">
        <f>IF(AW78=0,0,IF(AW79&lt;INDEX('Lease Cycles'!$BN$12:$BT$12,1,AW78),1,0))</f>
        <v>1</v>
      </c>
      <c r="AX80" s="25">
        <f>IF(AX78=0,0,IF(AX79&lt;INDEX('Lease Cycles'!$BN$12:$BT$12,1,AX78),1,0))</f>
        <v>1</v>
      </c>
      <c r="AY80" s="25">
        <f>IF(AY78=0,0,IF(AY79&lt;INDEX('Lease Cycles'!$BN$12:$BT$12,1,AY78),1,0))</f>
        <v>1</v>
      </c>
      <c r="AZ80" s="25">
        <f>IF(AZ78=0,0,IF(AZ79&lt;INDEX('Lease Cycles'!$BN$12:$BT$12,1,AZ78),1,0))</f>
        <v>1</v>
      </c>
      <c r="BA80" s="25">
        <f>IF(BA78=0,0,IF(BA79&lt;INDEX('Lease Cycles'!$BN$12:$BT$12,1,BA78),1,0))</f>
        <v>1</v>
      </c>
      <c r="BB80" s="25">
        <f>IF(BB78=0,0,IF(BB79&lt;INDEX('Lease Cycles'!$BN$12:$BT$12,1,BB78),1,0))</f>
        <v>1</v>
      </c>
      <c r="BC80" s="25">
        <f>IF(BC78=0,0,IF(BC79&lt;INDEX('Lease Cycles'!$BN$12:$BT$12,1,BC78),1,0))</f>
        <v>1</v>
      </c>
      <c r="BD80" s="25">
        <f>IF(BD78=0,0,IF(BD79&lt;INDEX('Lease Cycles'!$BN$12:$BT$12,1,BD78),1,0))</f>
        <v>1</v>
      </c>
      <c r="BE80" s="25">
        <f>IF(BE78=0,0,IF(BE79&lt;INDEX('Lease Cycles'!$BN$12:$BT$12,1,BE78),1,0))</f>
        <v>1</v>
      </c>
      <c r="BF80" s="25">
        <f>IF(BF78=0,0,IF(BF79&lt;INDEX('Lease Cycles'!$BN$12:$BT$12,1,BF78),1,0))</f>
        <v>1</v>
      </c>
      <c r="BG80" s="25">
        <f>IF(BG78=0,0,IF(BG79&lt;INDEX('Lease Cycles'!$BN$12:$BT$12,1,BG78),1,0))</f>
        <v>1</v>
      </c>
      <c r="BH80" s="25">
        <f>IF(BH78=0,0,IF(BH79&lt;INDEX('Lease Cycles'!$BN$12:$BT$12,1,BH78),1,0))</f>
        <v>1</v>
      </c>
      <c r="BI80" s="25">
        <f>IF(BI78=0,0,IF(BI79&lt;INDEX('Lease Cycles'!$BN$12:$BT$12,1,BI78),1,0))</f>
        <v>1</v>
      </c>
      <c r="BJ80" s="25">
        <f>IF(BJ78=0,0,IF(BJ79&lt;INDEX('Lease Cycles'!$BN$12:$BT$12,1,BJ78),1,0))</f>
        <v>1</v>
      </c>
      <c r="BK80" s="25">
        <f>IF(BK78=0,0,IF(BK79&lt;INDEX('Lease Cycles'!$BN$12:$BT$12,1,BK78),1,0))</f>
        <v>1</v>
      </c>
      <c r="BL80" s="25">
        <f>IF(BL78=0,0,IF(BL79&lt;INDEX('Lease Cycles'!$BN$12:$BT$12,1,BL78),1,0))</f>
        <v>1</v>
      </c>
      <c r="BM80" s="25">
        <f>IF(BM78=0,0,IF(BM79&lt;INDEX('Lease Cycles'!$BN$12:$BT$12,1,BM78),1,0))</f>
        <v>1</v>
      </c>
      <c r="BN80" s="25">
        <f>IF(BN78=0,0,IF(BN79&lt;INDEX('Lease Cycles'!$BN$12:$BT$12,1,BN78),1,0))</f>
        <v>1</v>
      </c>
      <c r="BO80" s="25">
        <f>IF(BO78=0,0,IF(BO79&lt;INDEX('Lease Cycles'!$BN$12:$BT$12,1,BO78),1,0))</f>
        <v>1</v>
      </c>
      <c r="BP80" s="25">
        <f>IF(BP78=0,0,IF(BP79&lt;INDEX('Lease Cycles'!$BN$12:$BT$12,1,BP78),1,0))</f>
        <v>1</v>
      </c>
      <c r="BQ80" s="25">
        <f>IF(BQ78=0,0,IF(BQ79&lt;INDEX('Lease Cycles'!$BN$12:$BT$12,1,BQ78),1,0))</f>
        <v>1</v>
      </c>
      <c r="BR80" s="25">
        <f>IF(BR78=0,0,IF(BR79&lt;INDEX('Lease Cycles'!$BN$12:$BT$12,1,BR78),1,0))</f>
        <v>1</v>
      </c>
      <c r="BS80" s="25">
        <f>IF(BS78=0,0,IF(BS79&lt;INDEX('Lease Cycles'!$BN$12:$BT$12,1,BS78),1,0))</f>
        <v>1</v>
      </c>
      <c r="BT80" s="25">
        <f>IF(BT78=0,0,IF(BT79&lt;INDEX('Lease Cycles'!$BN$12:$BT$12,1,BT78),1,0))</f>
        <v>1</v>
      </c>
      <c r="BU80" s="25">
        <f>IF(BU78=0,0,IF(BU79&lt;INDEX('Lease Cycles'!$BN$12:$BT$12,1,BU78),1,0))</f>
        <v>1</v>
      </c>
      <c r="BV80" s="25">
        <f>IF(BV78=0,0,IF(BV79&lt;INDEX('Lease Cycles'!$BN$12:$BT$12,1,BV78),1,0))</f>
        <v>1</v>
      </c>
      <c r="BW80" s="25">
        <f>IF(BW78=0,0,IF(BW79&lt;INDEX('Lease Cycles'!$BN$12:$BT$12,1,BW78),1,0))</f>
        <v>1</v>
      </c>
      <c r="BX80" s="25">
        <f>IF(BX78=0,0,IF(BX79&lt;INDEX('Lease Cycles'!$BN$12:$BT$12,1,BX78),1,0))</f>
        <v>1</v>
      </c>
      <c r="BY80" s="25">
        <f>IF(BY78=0,0,IF(BY79&lt;INDEX('Lease Cycles'!$BN$12:$BT$12,1,BY78),1,0))</f>
        <v>1</v>
      </c>
      <c r="BZ80" s="25">
        <f>IF(BZ78=0,0,IF(BZ79&lt;INDEX('Lease Cycles'!$BN$12:$BT$12,1,BZ78),1,0))</f>
        <v>1</v>
      </c>
      <c r="CA80" s="25">
        <f>IF(CA78=0,0,IF(CA79&lt;INDEX('Lease Cycles'!$BN$12:$BT$12,1,CA78),1,0))</f>
        <v>1</v>
      </c>
      <c r="CB80" s="25">
        <f>IF(CB78=0,0,IF(CB79&lt;INDEX('Lease Cycles'!$BN$12:$BT$12,1,CB78),1,0))</f>
        <v>1</v>
      </c>
      <c r="CC80" s="25">
        <f>IF(CC78=0,0,IF(CC79&lt;INDEX('Lease Cycles'!$BN$12:$BT$12,1,CC78),1,0))</f>
        <v>1</v>
      </c>
      <c r="CD80" s="25">
        <f>IF(CD78=0,0,IF(CD79&lt;INDEX('Lease Cycles'!$BN$12:$BT$12,1,CD78),1,0))</f>
        <v>1</v>
      </c>
      <c r="CE80" s="25">
        <f>IF(CE78=0,0,IF(CE79&lt;INDEX('Lease Cycles'!$BN$12:$BT$12,1,CE78),1,0))</f>
        <v>1</v>
      </c>
      <c r="CF80" s="25">
        <f>IF(CF78=0,0,IF(CF79&lt;INDEX('Lease Cycles'!$BN$12:$BT$12,1,CF78),1,0))</f>
        <v>1</v>
      </c>
      <c r="CG80" s="25">
        <f>IF(CG78=0,0,IF(CG79&lt;INDEX('Lease Cycles'!$BN$12:$BT$12,1,CG78),1,0))</f>
        <v>1</v>
      </c>
      <c r="CH80" s="25">
        <f>IF(CH78=0,0,IF(CH79&lt;INDEX('Lease Cycles'!$BN$12:$BT$12,1,CH78),1,0))</f>
        <v>1</v>
      </c>
      <c r="CI80" s="25">
        <f>IF(CI78=0,0,IF(CI79&lt;INDEX('Lease Cycles'!$BN$12:$BT$12,1,CI78),1,0))</f>
        <v>1</v>
      </c>
      <c r="CJ80" s="25">
        <f>IF(CJ78=0,0,IF(CJ79&lt;INDEX('Lease Cycles'!$BN$12:$BT$12,1,CJ78),1,0))</f>
        <v>1</v>
      </c>
      <c r="CK80" s="25">
        <f>IF(CK78=0,0,IF(CK79&lt;INDEX('Lease Cycles'!$BN$12:$BT$12,1,CK78),1,0))</f>
        <v>1</v>
      </c>
      <c r="CL80" s="25">
        <f>IF(CL78=0,0,IF(CL79&lt;INDEX('Lease Cycles'!$BN$12:$BT$12,1,CL78),1,0))</f>
        <v>1</v>
      </c>
      <c r="CM80" s="25">
        <f>IF(CM78=0,0,IF(CM79&lt;INDEX('Lease Cycles'!$BN$12:$BT$12,1,CM78),1,0))</f>
        <v>1</v>
      </c>
      <c r="CN80" s="25">
        <f>IF(CN78=0,0,IF(CN79&lt;INDEX('Lease Cycles'!$BN$12:$BT$12,1,CN78),1,0))</f>
        <v>1</v>
      </c>
      <c r="CO80" s="25">
        <f>IF(CO78=0,0,IF(CO79&lt;INDEX('Lease Cycles'!$BN$12:$BT$12,1,CO78),1,0))</f>
        <v>1</v>
      </c>
      <c r="CP80" s="25">
        <f>IF(CP78=0,0,IF(CP79&lt;INDEX('Lease Cycles'!$BN$12:$BT$12,1,CP78),1,0))</f>
        <v>1</v>
      </c>
      <c r="CQ80" s="25">
        <f>IF(CQ78=0,0,IF(CQ79&lt;INDEX('Lease Cycles'!$BN$12:$BT$12,1,CQ78),1,0))</f>
        <v>1</v>
      </c>
      <c r="CR80" s="25">
        <f>IF(CR78=0,0,IF(CR79&lt;INDEX('Lease Cycles'!$BN$12:$BT$12,1,CR78),1,0))</f>
        <v>1</v>
      </c>
      <c r="CS80" s="25">
        <f>IF(CS78=0,0,IF(CS79&lt;INDEX('Lease Cycles'!$BN$12:$BT$12,1,CS78),1,0))</f>
        <v>1</v>
      </c>
      <c r="CT80" s="25">
        <f>IF(CT78=0,0,IF(CT79&lt;INDEX('Lease Cycles'!$BN$12:$BT$12,1,CT78),1,0))</f>
        <v>1</v>
      </c>
      <c r="CU80" s="25">
        <f>IF(CU78=0,0,IF(CU79&lt;INDEX('Lease Cycles'!$BN$12:$BT$12,1,CU78),1,0))</f>
        <v>1</v>
      </c>
      <c r="CV80" s="25">
        <f>IF(CV78=0,0,IF(CV79&lt;INDEX('Lease Cycles'!$BN$12:$BT$12,1,CV78),1,0))</f>
        <v>1</v>
      </c>
      <c r="CW80" s="25">
        <f>IF(CW78=0,0,IF(CW79&lt;INDEX('Lease Cycles'!$BN$12:$BT$12,1,CW78),1,0))</f>
        <v>1</v>
      </c>
      <c r="CX80" s="25">
        <f>IF(CX78=0,0,IF(CX79&lt;INDEX('Lease Cycles'!$BN$12:$BT$12,1,CX78),1,0))</f>
        <v>1</v>
      </c>
      <c r="CY80" s="25">
        <f>IF(CY78=0,0,IF(CY79&lt;INDEX('Lease Cycles'!$BN$12:$BT$12,1,CY78),1,0))</f>
        <v>1</v>
      </c>
      <c r="CZ80" s="25">
        <f>IF(CZ78=0,0,IF(CZ79&lt;INDEX('Lease Cycles'!$BN$12:$BT$12,1,CZ78),1,0))</f>
        <v>1</v>
      </c>
      <c r="DA80" s="25">
        <f>IF(DA78=0,0,IF(DA79&lt;INDEX('Lease Cycles'!$BN$12:$BT$12,1,DA78),1,0))</f>
        <v>1</v>
      </c>
      <c r="DB80" s="25">
        <f>IF(DB78=0,0,IF(DB79&lt;INDEX('Lease Cycles'!$BN$12:$BT$12,1,DB78),1,0))</f>
        <v>1</v>
      </c>
      <c r="DC80" s="25">
        <f>IF(DC78=0,0,IF(DC79&lt;INDEX('Lease Cycles'!$BN$12:$BT$12,1,DC78),1,0))</f>
        <v>1</v>
      </c>
      <c r="DD80" s="25">
        <f>IF(DD78=0,0,IF(DD79&lt;INDEX('Lease Cycles'!$BN$12:$BT$12,1,DD78),1,0))</f>
        <v>1</v>
      </c>
      <c r="DE80" s="25">
        <f>IF(DE78=0,0,IF(DE79&lt;INDEX('Lease Cycles'!$BN$12:$BT$12,1,DE78),1,0))</f>
        <v>1</v>
      </c>
      <c r="DF80" s="25">
        <f>IF(DF78=0,0,IF(DF79&lt;INDEX('Lease Cycles'!$BN$12:$BT$12,1,DF78),1,0))</f>
        <v>1</v>
      </c>
      <c r="DG80" s="25">
        <f>IF(DG78=0,0,IF(DG79&lt;INDEX('Lease Cycles'!$BN$12:$BT$12,1,DG78),1,0))</f>
        <v>1</v>
      </c>
      <c r="DH80" s="25">
        <f>IF(DH78=0,0,IF(DH79&lt;INDEX('Lease Cycles'!$BN$12:$BT$12,1,DH78),1,0))</f>
        <v>1</v>
      </c>
      <c r="DI80" s="25">
        <f>IF(DI78=0,0,IF(DI79&lt;INDEX('Lease Cycles'!$BN$12:$BT$12,1,DI78),1,0))</f>
        <v>1</v>
      </c>
      <c r="DJ80" s="25">
        <f>IF(DJ78=0,0,IF(DJ79&lt;INDEX('Lease Cycles'!$BN$12:$BT$12,1,DJ78),1,0))</f>
        <v>1</v>
      </c>
      <c r="DK80" s="25">
        <f>IF(DK78=0,0,IF(DK79&lt;INDEX('Lease Cycles'!$BN$12:$BT$12,1,DK78),1,0))</f>
        <v>1</v>
      </c>
      <c r="DL80" s="25">
        <f>IF(DL78=0,0,IF(DL79&lt;INDEX('Lease Cycles'!$BN$12:$BT$12,1,DL78),1,0))</f>
        <v>1</v>
      </c>
      <c r="DM80" s="25">
        <f>IF(DM78=0,0,IF(DM79&lt;INDEX('Lease Cycles'!$BN$12:$BT$12,1,DM78),1,0))</f>
        <v>1</v>
      </c>
      <c r="DN80" s="25">
        <f>IF(DN78=0,0,IF(DN79&lt;INDEX('Lease Cycles'!$BN$12:$BT$12,1,DN78),1,0))</f>
        <v>1</v>
      </c>
      <c r="DO80" s="25">
        <f>IF(DO78=0,0,IF(DO79&lt;INDEX('Lease Cycles'!$BN$12:$BT$12,1,DO78),1,0))</f>
        <v>1</v>
      </c>
      <c r="DP80" s="25">
        <f>IF(DP78=0,0,IF(DP79&lt;INDEX('Lease Cycles'!$BN$12:$BT$12,1,DP78),1,0))</f>
        <v>1</v>
      </c>
      <c r="DQ80" s="25">
        <f>IF(DQ78=0,0,IF(DQ79&lt;INDEX('Lease Cycles'!$BN$12:$BT$12,1,DQ78),1,0))</f>
        <v>1</v>
      </c>
      <c r="DR80" s="25">
        <f>IF(DR78=0,0,IF(DR79&lt;INDEX('Lease Cycles'!$BN$12:$BT$12,1,DR78),1,0))</f>
        <v>1</v>
      </c>
      <c r="DS80" s="25">
        <f>IF(DS78=0,0,IF(DS79&lt;INDEX('Lease Cycles'!$BN$12:$BT$12,1,DS78),1,0))</f>
        <v>1</v>
      </c>
      <c r="DT80" s="25">
        <f>IF(DT78=0,0,IF(DT79&lt;INDEX('Lease Cycles'!$BN$12:$BT$12,1,DT78),1,0))</f>
        <v>1</v>
      </c>
      <c r="DU80" s="25">
        <f>IF(DU78=0,0,IF(DU79&lt;INDEX('Lease Cycles'!$BN$12:$BT$12,1,DU78),1,0))</f>
        <v>1</v>
      </c>
      <c r="DV80" s="25">
        <f>IF(DV78=0,0,IF(DV79&lt;INDEX('Lease Cycles'!$BN$12:$BT$12,1,DV78),1,0))</f>
        <v>1</v>
      </c>
      <c r="DW80" s="25">
        <f>IF(DW78=0,0,IF(DW79&lt;INDEX('Lease Cycles'!$BN$12:$BT$12,1,DW78),1,0))</f>
        <v>1</v>
      </c>
      <c r="DX80" s="25">
        <f>IF(DX78=0,0,IF(DX79&lt;INDEX('Lease Cycles'!$BN$12:$BT$12,1,DX78),1,0))</f>
        <v>1</v>
      </c>
      <c r="DY80" s="25">
        <f>IF(DY78=0,0,IF(DY79&lt;INDEX('Lease Cycles'!$BN$12:$BT$12,1,DY78),1,0))</f>
        <v>0</v>
      </c>
      <c r="DZ80" s="25">
        <f>IF(DZ78=0,0,IF(DZ79&lt;INDEX('Lease Cycles'!$BN$12:$BT$12,1,DZ78),1,0))</f>
        <v>1</v>
      </c>
      <c r="EA80" s="25">
        <f>IF(EA78=0,0,IF(EA79&lt;INDEX('Lease Cycles'!$BN$12:$BT$12,1,EA78),1,0))</f>
        <v>1</v>
      </c>
      <c r="EB80" s="25">
        <f>IF(EB78=0,0,IF(EB79&lt;INDEX('Lease Cycles'!$BN$12:$BT$12,1,EB78),1,0))</f>
        <v>1</v>
      </c>
      <c r="EC80" s="25">
        <f>IF(EC78=0,0,IF(EC79&lt;INDEX('Lease Cycles'!$BN$12:$BT$12,1,EC78),1,0))</f>
        <v>1</v>
      </c>
      <c r="ED80" s="25">
        <f>IF(ED78=0,0,IF(ED79&lt;INDEX('Lease Cycles'!$BN$12:$BT$12,1,ED78),1,0))</f>
        <v>1</v>
      </c>
      <c r="EE80" s="25">
        <f>IF(EE78=0,0,IF(EE79&lt;INDEX('Lease Cycles'!$BN$12:$BT$12,1,EE78),1,0))</f>
        <v>1</v>
      </c>
      <c r="EF80" s="25">
        <f>IF(EF78=0,0,IF(EF79&lt;INDEX('Lease Cycles'!$BN$12:$BT$12,1,EF78),1,0))</f>
        <v>1</v>
      </c>
      <c r="EG80" s="25">
        <f>IF(EG78=0,0,IF(EG79&lt;INDEX('Lease Cycles'!$BN$12:$BT$12,1,EG78),1,0))</f>
        <v>1</v>
      </c>
      <c r="EH80" s="25">
        <f>IF(EH78=0,0,IF(EH79&lt;INDEX('Lease Cycles'!$BN$12:$BT$12,1,EH78),1,0))</f>
        <v>1</v>
      </c>
      <c r="EI80" s="25">
        <f>IF(EI78=0,0,IF(EI79&lt;INDEX('Lease Cycles'!$BN$12:$BT$12,1,EI78),1,0))</f>
        <v>1</v>
      </c>
      <c r="EJ80" s="25">
        <f>IF(EJ78=0,0,IF(EJ79&lt;INDEX('Lease Cycles'!$BN$12:$BT$12,1,EJ78),1,0))</f>
        <v>1</v>
      </c>
      <c r="EK80" s="25">
        <f>IF(EK78=0,0,IF(EK79&lt;INDEX('Lease Cycles'!$BN$12:$BT$12,1,EK78),1,0))</f>
        <v>1</v>
      </c>
      <c r="EL80" s="25">
        <f>IF(EL78=0,0,IF(EL79&lt;INDEX('Lease Cycles'!$BN$12:$BT$12,1,EL78),1,0))</f>
        <v>1</v>
      </c>
      <c r="EM80" s="25">
        <f>IF(EM78=0,0,IF(EM79&lt;INDEX('Lease Cycles'!$BN$12:$BT$12,1,EM78),1,0))</f>
        <v>1</v>
      </c>
      <c r="EN80" s="25">
        <f>IF(EN78=0,0,IF(EN79&lt;INDEX('Lease Cycles'!$BN$12:$BT$12,1,EN78),1,0))</f>
        <v>1</v>
      </c>
      <c r="EO80" s="25">
        <f>IF(EO78=0,0,IF(EO79&lt;INDEX('Lease Cycles'!$BN$12:$BT$12,1,EO78),1,0))</f>
        <v>1</v>
      </c>
      <c r="EP80" s="25">
        <f>IF(EP78=0,0,IF(EP79&lt;INDEX('Lease Cycles'!$BN$12:$BT$12,1,EP78),1,0))</f>
        <v>1</v>
      </c>
      <c r="EQ80" s="25">
        <f>IF(EQ78=0,0,IF(EQ79&lt;INDEX('Lease Cycles'!$BN$12:$BT$12,1,EQ78),1,0))</f>
        <v>1</v>
      </c>
      <c r="ER80" s="25">
        <f>IF(ER78=0,0,IF(ER79&lt;INDEX('Lease Cycles'!$BN$12:$BT$12,1,ER78),1,0))</f>
        <v>1</v>
      </c>
      <c r="ES80" s="25">
        <f>IF(ES78=0,0,IF(ES79&lt;INDEX('Lease Cycles'!$BN$12:$BT$12,1,ES78),1,0))</f>
        <v>1</v>
      </c>
      <c r="ET80" s="25">
        <f>IF(ET78=0,0,IF(ET79&lt;INDEX('Lease Cycles'!$BN$12:$BT$12,1,ET78),1,0))</f>
        <v>1</v>
      </c>
    </row>
    <row r="81">
      <c r="A81" s="103">
        <v>5</v>
      </c>
      <c r="B81" s="23" t="str">
        <f>IF('Lease Cycles'!$B$12="","(empty slot)",'Lease Cycles'!$B$12)</f>
        <v>Sunfield Pizza</v>
      </c>
      <c r="C81" s="23" t="s">
        <v>677</v>
      </c>
      <c r="D81" s="104" t="s">
        <v>678</v>
      </c>
      <c r="E81" s="25">
        <f>'Lease Cycles'!$AL$12</f>
        <v>0</v>
      </c>
      <c r="S81" s="28">
        <f>IF(S78=0,IF('Lease Cycles'!$F$12&gt;0,'Lease Cycles'!$C$12*'Lease Cycles'!$E$12/12,0),IF(S80=1,IF('Lease Cycles'!$AT$12&gt;=9999,'Lease Cycles'!$C$12*INDEX('Lease Cycles'!$CB$12:$CH$12,1,S78)*(1+INDEX('Lease Cycles'!$CI$12:$CO$12,1,S78))^INT(INT(S79/12)/INDEX('Lease Cycles'!$CP$12:$CV$12,1,S78))/12,IF(S78=1,IF(S79&gt;=INDEX('Lease Cycles'!$DK$12:$DQ$12,1,S78),IF(S$6&gt;='Lease Cycles'!$AZ$12,'Lease Cycles'!$C$12*'Lease Cycles'!$BA$12/12,IF(S$6&gt;='Lease Cycles'!$AX$12,'Lease Cycles'!$C$12*'Lease Cycles'!$AY$12/12,IF(S$6&gt;='Lease Cycles'!$AV$12,'Lease Cycles'!$C$12*'Lease Cycles'!$AW$12/12,IF(S$6&gt;='Lease Cycles'!$AT$12,'Lease Cycles'!$C$12*'Lease Cycles'!$AU$12/12,'Lease Cycles'!$C$12*INDEX('Lease Cycles'!$CB$12:$CH$12,1,S78)*(1+INDEX('Lease Cycles'!$CI$12:$CO$12,1,S78))^INT(INT(S79/12)/INDEX('Lease Cycles'!$CP$12:$CV$12,1,S78))/12)))),'Lease Cycles'!$C$12*INDEX('Lease Cycles'!$CB$12:$CH$12,1,S78)*(1+INDEX('Lease Cycles'!$CI$12:$CO$12,1,S78))^INT(INT(S79/12)/INDEX('Lease Cycles'!$CP$12:$CV$12,1,S78))/12),IF(INDEX('Lease Cycles'!$EF$12:$EL$12,1,S78)=1,IF(AND('Lease Cycles'!$AZ$12&gt;=INDEX('Lease Cycles'!$BG$12:$BM$12,1,S78),'Lease Cycles'!$AZ$12&lt;=S$6),'Lease Cycles'!$C$12*'Lease Cycles'!$BA$12/12,IF(AND('Lease Cycles'!$AX$12&gt;=INDEX('Lease Cycles'!$BG$12:$BM$12,1,S78),'Lease Cycles'!$AX$12&lt;=S$6),'Lease Cycles'!$C$12*'Lease Cycles'!$AY$12/12,IF(AND('Lease Cycles'!$AV$12&gt;=INDEX('Lease Cycles'!$BG$12:$BM$12,1,S78),'Lease Cycles'!$AV$12&lt;=S$6),'Lease Cycles'!$C$12*'Lease Cycles'!$AW$12/12,IF(AND('Lease Cycles'!$AT$12&gt;=INDEX('Lease Cycles'!$BG$12:$BM$12,1,S78),'Lease Cycles'!$AT$12&lt;=S$6),'Lease Cycles'!$C$12*'Lease Cycles'!$AU$12/12,'Lease Cycles'!$C$12*INDEX('Lease Cycles'!$CB$12:$CH$12,1,S78)*(1+INDEX('Lease Cycles'!$CI$12:$CO$12,1,S78))^INT(INT(S79/12)/INDEX('Lease Cycles'!$CP$12:$CV$12,1,S78))/12)))),'Lease Cycles'!$C$12*INDEX('Lease Cycles'!$CB$12:$CH$12,1,S78)*(1+INDEX('Lease Cycles'!$CI$12:$CO$12,1,S78))^INT(INT(S79/12)/INDEX('Lease Cycles'!$CP$12:$CV$12,1,S78))/12))),IF('Lease Cycles'!$N$12=1,'Lease Cycles'!$C$12*'Lease Cycles'!$E$12*INDEX('Lease Cycles'!$HE$12:$HK$12,1,S78)*(1+INDEX('Lease Cycles'!$GQ$12:$GW$12,1,S78))^INT(INT((S$6-INDEX('Lease Cycles'!$GJ$12:$GP$12,1,S78))/12)/INDEX('Lease Cycles'!$GX$12:$HD$12,1,S78))/12,0)))</f>
        <v>5000</v>
      </c>
      <c r="T81" s="28">
        <f>IF(T78=0,IF('Lease Cycles'!$F$12&gt;0,'Lease Cycles'!$C$12*'Lease Cycles'!$E$12/12,0),IF(T80=1,IF('Lease Cycles'!$AT$12&gt;=9999,'Lease Cycles'!$C$12*INDEX('Lease Cycles'!$CB$12:$CH$12,1,T78)*(1+INDEX('Lease Cycles'!$CI$12:$CO$12,1,T78))^INT(INT(T79/12)/INDEX('Lease Cycles'!$CP$12:$CV$12,1,T78))/12,IF(T78=1,IF(T79&gt;=INDEX('Lease Cycles'!$DK$12:$DQ$12,1,T78),IF(T$6&gt;='Lease Cycles'!$AZ$12,'Lease Cycles'!$C$12*'Lease Cycles'!$BA$12/12,IF(T$6&gt;='Lease Cycles'!$AX$12,'Lease Cycles'!$C$12*'Lease Cycles'!$AY$12/12,IF(T$6&gt;='Lease Cycles'!$AV$12,'Lease Cycles'!$C$12*'Lease Cycles'!$AW$12/12,IF(T$6&gt;='Lease Cycles'!$AT$12,'Lease Cycles'!$C$12*'Lease Cycles'!$AU$12/12,'Lease Cycles'!$C$12*INDEX('Lease Cycles'!$CB$12:$CH$12,1,T78)*(1+INDEX('Lease Cycles'!$CI$12:$CO$12,1,T78))^INT(INT(T79/12)/INDEX('Lease Cycles'!$CP$12:$CV$12,1,T78))/12)))),'Lease Cycles'!$C$12*INDEX('Lease Cycles'!$CB$12:$CH$12,1,T78)*(1+INDEX('Lease Cycles'!$CI$12:$CO$12,1,T78))^INT(INT(T79/12)/INDEX('Lease Cycles'!$CP$12:$CV$12,1,T78))/12),IF(INDEX('Lease Cycles'!$EF$12:$EL$12,1,T78)=1,IF(AND('Lease Cycles'!$AZ$12&gt;=INDEX('Lease Cycles'!$BG$12:$BM$12,1,T78),'Lease Cycles'!$AZ$12&lt;=T$6),'Lease Cycles'!$C$12*'Lease Cycles'!$BA$12/12,IF(AND('Lease Cycles'!$AX$12&gt;=INDEX('Lease Cycles'!$BG$12:$BM$12,1,T78),'Lease Cycles'!$AX$12&lt;=T$6),'Lease Cycles'!$C$12*'Lease Cycles'!$AY$12/12,IF(AND('Lease Cycles'!$AV$12&gt;=INDEX('Lease Cycles'!$BG$12:$BM$12,1,T78),'Lease Cycles'!$AV$12&lt;=T$6),'Lease Cycles'!$C$12*'Lease Cycles'!$AW$12/12,IF(AND('Lease Cycles'!$AT$12&gt;=INDEX('Lease Cycles'!$BG$12:$BM$12,1,T78),'Lease Cycles'!$AT$12&lt;=T$6),'Lease Cycles'!$C$12*'Lease Cycles'!$AU$12/12,'Lease Cycles'!$C$12*INDEX('Lease Cycles'!$CB$12:$CH$12,1,T78)*(1+INDEX('Lease Cycles'!$CI$12:$CO$12,1,T78))^INT(INT(T79/12)/INDEX('Lease Cycles'!$CP$12:$CV$12,1,T78))/12)))),'Lease Cycles'!$C$12*INDEX('Lease Cycles'!$CB$12:$CH$12,1,T78)*(1+INDEX('Lease Cycles'!$CI$12:$CO$12,1,T78))^INT(INT(T79/12)/INDEX('Lease Cycles'!$CP$12:$CV$12,1,T78))/12))),IF('Lease Cycles'!$N$12=1,'Lease Cycles'!$C$12*'Lease Cycles'!$E$12*INDEX('Lease Cycles'!$HE$12:$HK$12,1,T78)*(1+INDEX('Lease Cycles'!$GQ$12:$GW$12,1,T78))^INT(INT((T$6-INDEX('Lease Cycles'!$GJ$12:$GP$12,1,T78))/12)/INDEX('Lease Cycles'!$GX$12:$HD$12,1,T78))/12,0)))</f>
        <v>5000</v>
      </c>
      <c r="U81" s="28">
        <f>IF(U78=0,IF('Lease Cycles'!$F$12&gt;0,'Lease Cycles'!$C$12*'Lease Cycles'!$E$12/12,0),IF(U80=1,IF('Lease Cycles'!$AT$12&gt;=9999,'Lease Cycles'!$C$12*INDEX('Lease Cycles'!$CB$12:$CH$12,1,U78)*(1+INDEX('Lease Cycles'!$CI$12:$CO$12,1,U78))^INT(INT(U79/12)/INDEX('Lease Cycles'!$CP$12:$CV$12,1,U78))/12,IF(U78=1,IF(U79&gt;=INDEX('Lease Cycles'!$DK$12:$DQ$12,1,U78),IF(U$6&gt;='Lease Cycles'!$AZ$12,'Lease Cycles'!$C$12*'Lease Cycles'!$BA$12/12,IF(U$6&gt;='Lease Cycles'!$AX$12,'Lease Cycles'!$C$12*'Lease Cycles'!$AY$12/12,IF(U$6&gt;='Lease Cycles'!$AV$12,'Lease Cycles'!$C$12*'Lease Cycles'!$AW$12/12,IF(U$6&gt;='Lease Cycles'!$AT$12,'Lease Cycles'!$C$12*'Lease Cycles'!$AU$12/12,'Lease Cycles'!$C$12*INDEX('Lease Cycles'!$CB$12:$CH$12,1,U78)*(1+INDEX('Lease Cycles'!$CI$12:$CO$12,1,U78))^INT(INT(U79/12)/INDEX('Lease Cycles'!$CP$12:$CV$12,1,U78))/12)))),'Lease Cycles'!$C$12*INDEX('Lease Cycles'!$CB$12:$CH$12,1,U78)*(1+INDEX('Lease Cycles'!$CI$12:$CO$12,1,U78))^INT(INT(U79/12)/INDEX('Lease Cycles'!$CP$12:$CV$12,1,U78))/12),IF(INDEX('Lease Cycles'!$EF$12:$EL$12,1,U78)=1,IF(AND('Lease Cycles'!$AZ$12&gt;=INDEX('Lease Cycles'!$BG$12:$BM$12,1,U78),'Lease Cycles'!$AZ$12&lt;=U$6),'Lease Cycles'!$C$12*'Lease Cycles'!$BA$12/12,IF(AND('Lease Cycles'!$AX$12&gt;=INDEX('Lease Cycles'!$BG$12:$BM$12,1,U78),'Lease Cycles'!$AX$12&lt;=U$6),'Lease Cycles'!$C$12*'Lease Cycles'!$AY$12/12,IF(AND('Lease Cycles'!$AV$12&gt;=INDEX('Lease Cycles'!$BG$12:$BM$12,1,U78),'Lease Cycles'!$AV$12&lt;=U$6),'Lease Cycles'!$C$12*'Lease Cycles'!$AW$12/12,IF(AND('Lease Cycles'!$AT$12&gt;=INDEX('Lease Cycles'!$BG$12:$BM$12,1,U78),'Lease Cycles'!$AT$12&lt;=U$6),'Lease Cycles'!$C$12*'Lease Cycles'!$AU$12/12,'Lease Cycles'!$C$12*INDEX('Lease Cycles'!$CB$12:$CH$12,1,U78)*(1+INDEX('Lease Cycles'!$CI$12:$CO$12,1,U78))^INT(INT(U79/12)/INDEX('Lease Cycles'!$CP$12:$CV$12,1,U78))/12)))),'Lease Cycles'!$C$12*INDEX('Lease Cycles'!$CB$12:$CH$12,1,U78)*(1+INDEX('Lease Cycles'!$CI$12:$CO$12,1,U78))^INT(INT(U79/12)/INDEX('Lease Cycles'!$CP$12:$CV$12,1,U78))/12))),IF('Lease Cycles'!$N$12=1,'Lease Cycles'!$C$12*'Lease Cycles'!$E$12*INDEX('Lease Cycles'!$HE$12:$HK$12,1,U78)*(1+INDEX('Lease Cycles'!$GQ$12:$GW$12,1,U78))^INT(INT((U$6-INDEX('Lease Cycles'!$GJ$12:$GP$12,1,U78))/12)/INDEX('Lease Cycles'!$GX$12:$HD$12,1,U78))/12,0)))</f>
        <v>5000</v>
      </c>
      <c r="V81" s="28">
        <f>IF(V78=0,IF('Lease Cycles'!$F$12&gt;0,'Lease Cycles'!$C$12*'Lease Cycles'!$E$12/12,0),IF(V80=1,IF('Lease Cycles'!$AT$12&gt;=9999,'Lease Cycles'!$C$12*INDEX('Lease Cycles'!$CB$12:$CH$12,1,V78)*(1+INDEX('Lease Cycles'!$CI$12:$CO$12,1,V78))^INT(INT(V79/12)/INDEX('Lease Cycles'!$CP$12:$CV$12,1,V78))/12,IF(V78=1,IF(V79&gt;=INDEX('Lease Cycles'!$DK$12:$DQ$12,1,V78),IF(V$6&gt;='Lease Cycles'!$AZ$12,'Lease Cycles'!$C$12*'Lease Cycles'!$BA$12/12,IF(V$6&gt;='Lease Cycles'!$AX$12,'Lease Cycles'!$C$12*'Lease Cycles'!$AY$12/12,IF(V$6&gt;='Lease Cycles'!$AV$12,'Lease Cycles'!$C$12*'Lease Cycles'!$AW$12/12,IF(V$6&gt;='Lease Cycles'!$AT$12,'Lease Cycles'!$C$12*'Lease Cycles'!$AU$12/12,'Lease Cycles'!$C$12*INDEX('Lease Cycles'!$CB$12:$CH$12,1,V78)*(1+INDEX('Lease Cycles'!$CI$12:$CO$12,1,V78))^INT(INT(V79/12)/INDEX('Lease Cycles'!$CP$12:$CV$12,1,V78))/12)))),'Lease Cycles'!$C$12*INDEX('Lease Cycles'!$CB$12:$CH$12,1,V78)*(1+INDEX('Lease Cycles'!$CI$12:$CO$12,1,V78))^INT(INT(V79/12)/INDEX('Lease Cycles'!$CP$12:$CV$12,1,V78))/12),IF(INDEX('Lease Cycles'!$EF$12:$EL$12,1,V78)=1,IF(AND('Lease Cycles'!$AZ$12&gt;=INDEX('Lease Cycles'!$BG$12:$BM$12,1,V78),'Lease Cycles'!$AZ$12&lt;=V$6),'Lease Cycles'!$C$12*'Lease Cycles'!$BA$12/12,IF(AND('Lease Cycles'!$AX$12&gt;=INDEX('Lease Cycles'!$BG$12:$BM$12,1,V78),'Lease Cycles'!$AX$12&lt;=V$6),'Lease Cycles'!$C$12*'Lease Cycles'!$AY$12/12,IF(AND('Lease Cycles'!$AV$12&gt;=INDEX('Lease Cycles'!$BG$12:$BM$12,1,V78),'Lease Cycles'!$AV$12&lt;=V$6),'Lease Cycles'!$C$12*'Lease Cycles'!$AW$12/12,IF(AND('Lease Cycles'!$AT$12&gt;=INDEX('Lease Cycles'!$BG$12:$BM$12,1,V78),'Lease Cycles'!$AT$12&lt;=V$6),'Lease Cycles'!$C$12*'Lease Cycles'!$AU$12/12,'Lease Cycles'!$C$12*INDEX('Lease Cycles'!$CB$12:$CH$12,1,V78)*(1+INDEX('Lease Cycles'!$CI$12:$CO$12,1,V78))^INT(INT(V79/12)/INDEX('Lease Cycles'!$CP$12:$CV$12,1,V78))/12)))),'Lease Cycles'!$C$12*INDEX('Lease Cycles'!$CB$12:$CH$12,1,V78)*(1+INDEX('Lease Cycles'!$CI$12:$CO$12,1,V78))^INT(INT(V79/12)/INDEX('Lease Cycles'!$CP$12:$CV$12,1,V78))/12))),IF('Lease Cycles'!$N$12=1,'Lease Cycles'!$C$12*'Lease Cycles'!$E$12*INDEX('Lease Cycles'!$HE$12:$HK$12,1,V78)*(1+INDEX('Lease Cycles'!$GQ$12:$GW$12,1,V78))^INT(INT((V$6-INDEX('Lease Cycles'!$GJ$12:$GP$12,1,V78))/12)/INDEX('Lease Cycles'!$GX$12:$HD$12,1,V78))/12,0)))</f>
        <v>5000</v>
      </c>
      <c r="W81" s="28">
        <f>IF(W78=0,IF('Lease Cycles'!$F$12&gt;0,'Lease Cycles'!$C$12*'Lease Cycles'!$E$12/12,0),IF(W80=1,IF('Lease Cycles'!$AT$12&gt;=9999,'Lease Cycles'!$C$12*INDEX('Lease Cycles'!$CB$12:$CH$12,1,W78)*(1+INDEX('Lease Cycles'!$CI$12:$CO$12,1,W78))^INT(INT(W79/12)/INDEX('Lease Cycles'!$CP$12:$CV$12,1,W78))/12,IF(W78=1,IF(W79&gt;=INDEX('Lease Cycles'!$DK$12:$DQ$12,1,W78),IF(W$6&gt;='Lease Cycles'!$AZ$12,'Lease Cycles'!$C$12*'Lease Cycles'!$BA$12/12,IF(W$6&gt;='Lease Cycles'!$AX$12,'Lease Cycles'!$C$12*'Lease Cycles'!$AY$12/12,IF(W$6&gt;='Lease Cycles'!$AV$12,'Lease Cycles'!$C$12*'Lease Cycles'!$AW$12/12,IF(W$6&gt;='Lease Cycles'!$AT$12,'Lease Cycles'!$C$12*'Lease Cycles'!$AU$12/12,'Lease Cycles'!$C$12*INDEX('Lease Cycles'!$CB$12:$CH$12,1,W78)*(1+INDEX('Lease Cycles'!$CI$12:$CO$12,1,W78))^INT(INT(W79/12)/INDEX('Lease Cycles'!$CP$12:$CV$12,1,W78))/12)))),'Lease Cycles'!$C$12*INDEX('Lease Cycles'!$CB$12:$CH$12,1,W78)*(1+INDEX('Lease Cycles'!$CI$12:$CO$12,1,W78))^INT(INT(W79/12)/INDEX('Lease Cycles'!$CP$12:$CV$12,1,W78))/12),IF(INDEX('Lease Cycles'!$EF$12:$EL$12,1,W78)=1,IF(AND('Lease Cycles'!$AZ$12&gt;=INDEX('Lease Cycles'!$BG$12:$BM$12,1,W78),'Lease Cycles'!$AZ$12&lt;=W$6),'Lease Cycles'!$C$12*'Lease Cycles'!$BA$12/12,IF(AND('Lease Cycles'!$AX$12&gt;=INDEX('Lease Cycles'!$BG$12:$BM$12,1,W78),'Lease Cycles'!$AX$12&lt;=W$6),'Lease Cycles'!$C$12*'Lease Cycles'!$AY$12/12,IF(AND('Lease Cycles'!$AV$12&gt;=INDEX('Lease Cycles'!$BG$12:$BM$12,1,W78),'Lease Cycles'!$AV$12&lt;=W$6),'Lease Cycles'!$C$12*'Lease Cycles'!$AW$12/12,IF(AND('Lease Cycles'!$AT$12&gt;=INDEX('Lease Cycles'!$BG$12:$BM$12,1,W78),'Lease Cycles'!$AT$12&lt;=W$6),'Lease Cycles'!$C$12*'Lease Cycles'!$AU$12/12,'Lease Cycles'!$C$12*INDEX('Lease Cycles'!$CB$12:$CH$12,1,W78)*(1+INDEX('Lease Cycles'!$CI$12:$CO$12,1,W78))^INT(INT(W79/12)/INDEX('Lease Cycles'!$CP$12:$CV$12,1,W78))/12)))),'Lease Cycles'!$C$12*INDEX('Lease Cycles'!$CB$12:$CH$12,1,W78)*(1+INDEX('Lease Cycles'!$CI$12:$CO$12,1,W78))^INT(INT(W79/12)/INDEX('Lease Cycles'!$CP$12:$CV$12,1,W78))/12))),IF('Lease Cycles'!$N$12=1,'Lease Cycles'!$C$12*'Lease Cycles'!$E$12*INDEX('Lease Cycles'!$HE$12:$HK$12,1,W78)*(1+INDEX('Lease Cycles'!$GQ$12:$GW$12,1,W78))^INT(INT((W$6-INDEX('Lease Cycles'!$GJ$12:$GP$12,1,W78))/12)/INDEX('Lease Cycles'!$GX$12:$HD$12,1,W78))/12,0)))</f>
        <v>5000</v>
      </c>
      <c r="X81" s="28">
        <f>IF(X78=0,IF('Lease Cycles'!$F$12&gt;0,'Lease Cycles'!$C$12*'Lease Cycles'!$E$12/12,0),IF(X80=1,IF('Lease Cycles'!$AT$12&gt;=9999,'Lease Cycles'!$C$12*INDEX('Lease Cycles'!$CB$12:$CH$12,1,X78)*(1+INDEX('Lease Cycles'!$CI$12:$CO$12,1,X78))^INT(INT(X79/12)/INDEX('Lease Cycles'!$CP$12:$CV$12,1,X78))/12,IF(X78=1,IF(X79&gt;=INDEX('Lease Cycles'!$DK$12:$DQ$12,1,X78),IF(X$6&gt;='Lease Cycles'!$AZ$12,'Lease Cycles'!$C$12*'Lease Cycles'!$BA$12/12,IF(X$6&gt;='Lease Cycles'!$AX$12,'Lease Cycles'!$C$12*'Lease Cycles'!$AY$12/12,IF(X$6&gt;='Lease Cycles'!$AV$12,'Lease Cycles'!$C$12*'Lease Cycles'!$AW$12/12,IF(X$6&gt;='Lease Cycles'!$AT$12,'Lease Cycles'!$C$12*'Lease Cycles'!$AU$12/12,'Lease Cycles'!$C$12*INDEX('Lease Cycles'!$CB$12:$CH$12,1,X78)*(1+INDEX('Lease Cycles'!$CI$12:$CO$12,1,X78))^INT(INT(X79/12)/INDEX('Lease Cycles'!$CP$12:$CV$12,1,X78))/12)))),'Lease Cycles'!$C$12*INDEX('Lease Cycles'!$CB$12:$CH$12,1,X78)*(1+INDEX('Lease Cycles'!$CI$12:$CO$12,1,X78))^INT(INT(X79/12)/INDEX('Lease Cycles'!$CP$12:$CV$12,1,X78))/12),IF(INDEX('Lease Cycles'!$EF$12:$EL$12,1,X78)=1,IF(AND('Lease Cycles'!$AZ$12&gt;=INDEX('Lease Cycles'!$BG$12:$BM$12,1,X78),'Lease Cycles'!$AZ$12&lt;=X$6),'Lease Cycles'!$C$12*'Lease Cycles'!$BA$12/12,IF(AND('Lease Cycles'!$AX$12&gt;=INDEX('Lease Cycles'!$BG$12:$BM$12,1,X78),'Lease Cycles'!$AX$12&lt;=X$6),'Lease Cycles'!$C$12*'Lease Cycles'!$AY$12/12,IF(AND('Lease Cycles'!$AV$12&gt;=INDEX('Lease Cycles'!$BG$12:$BM$12,1,X78),'Lease Cycles'!$AV$12&lt;=X$6),'Lease Cycles'!$C$12*'Lease Cycles'!$AW$12/12,IF(AND('Lease Cycles'!$AT$12&gt;=INDEX('Lease Cycles'!$BG$12:$BM$12,1,X78),'Lease Cycles'!$AT$12&lt;=X$6),'Lease Cycles'!$C$12*'Lease Cycles'!$AU$12/12,'Lease Cycles'!$C$12*INDEX('Lease Cycles'!$CB$12:$CH$12,1,X78)*(1+INDEX('Lease Cycles'!$CI$12:$CO$12,1,X78))^INT(INT(X79/12)/INDEX('Lease Cycles'!$CP$12:$CV$12,1,X78))/12)))),'Lease Cycles'!$C$12*INDEX('Lease Cycles'!$CB$12:$CH$12,1,X78)*(1+INDEX('Lease Cycles'!$CI$12:$CO$12,1,X78))^INT(INT(X79/12)/INDEX('Lease Cycles'!$CP$12:$CV$12,1,X78))/12))),IF('Lease Cycles'!$N$12=1,'Lease Cycles'!$C$12*'Lease Cycles'!$E$12*INDEX('Lease Cycles'!$HE$12:$HK$12,1,X78)*(1+INDEX('Lease Cycles'!$GQ$12:$GW$12,1,X78))^INT(INT((X$6-INDEX('Lease Cycles'!$GJ$12:$GP$12,1,X78))/12)/INDEX('Lease Cycles'!$GX$12:$HD$12,1,X78))/12,0)))</f>
        <v>5000</v>
      </c>
      <c r="Y81" s="28">
        <f>IF(Y78=0,IF('Lease Cycles'!$F$12&gt;0,'Lease Cycles'!$C$12*'Lease Cycles'!$E$12/12,0),IF(Y80=1,IF('Lease Cycles'!$AT$12&gt;=9999,'Lease Cycles'!$C$12*INDEX('Lease Cycles'!$CB$12:$CH$12,1,Y78)*(1+INDEX('Lease Cycles'!$CI$12:$CO$12,1,Y78))^INT(INT(Y79/12)/INDEX('Lease Cycles'!$CP$12:$CV$12,1,Y78))/12,IF(Y78=1,IF(Y79&gt;=INDEX('Lease Cycles'!$DK$12:$DQ$12,1,Y78),IF(Y$6&gt;='Lease Cycles'!$AZ$12,'Lease Cycles'!$C$12*'Lease Cycles'!$BA$12/12,IF(Y$6&gt;='Lease Cycles'!$AX$12,'Lease Cycles'!$C$12*'Lease Cycles'!$AY$12/12,IF(Y$6&gt;='Lease Cycles'!$AV$12,'Lease Cycles'!$C$12*'Lease Cycles'!$AW$12/12,IF(Y$6&gt;='Lease Cycles'!$AT$12,'Lease Cycles'!$C$12*'Lease Cycles'!$AU$12/12,'Lease Cycles'!$C$12*INDEX('Lease Cycles'!$CB$12:$CH$12,1,Y78)*(1+INDEX('Lease Cycles'!$CI$12:$CO$12,1,Y78))^INT(INT(Y79/12)/INDEX('Lease Cycles'!$CP$12:$CV$12,1,Y78))/12)))),'Lease Cycles'!$C$12*INDEX('Lease Cycles'!$CB$12:$CH$12,1,Y78)*(1+INDEX('Lease Cycles'!$CI$12:$CO$12,1,Y78))^INT(INT(Y79/12)/INDEX('Lease Cycles'!$CP$12:$CV$12,1,Y78))/12),IF(INDEX('Lease Cycles'!$EF$12:$EL$12,1,Y78)=1,IF(AND('Lease Cycles'!$AZ$12&gt;=INDEX('Lease Cycles'!$BG$12:$BM$12,1,Y78),'Lease Cycles'!$AZ$12&lt;=Y$6),'Lease Cycles'!$C$12*'Lease Cycles'!$BA$12/12,IF(AND('Lease Cycles'!$AX$12&gt;=INDEX('Lease Cycles'!$BG$12:$BM$12,1,Y78),'Lease Cycles'!$AX$12&lt;=Y$6),'Lease Cycles'!$C$12*'Lease Cycles'!$AY$12/12,IF(AND('Lease Cycles'!$AV$12&gt;=INDEX('Lease Cycles'!$BG$12:$BM$12,1,Y78),'Lease Cycles'!$AV$12&lt;=Y$6),'Lease Cycles'!$C$12*'Lease Cycles'!$AW$12/12,IF(AND('Lease Cycles'!$AT$12&gt;=INDEX('Lease Cycles'!$BG$12:$BM$12,1,Y78),'Lease Cycles'!$AT$12&lt;=Y$6),'Lease Cycles'!$C$12*'Lease Cycles'!$AU$12/12,'Lease Cycles'!$C$12*INDEX('Lease Cycles'!$CB$12:$CH$12,1,Y78)*(1+INDEX('Lease Cycles'!$CI$12:$CO$12,1,Y78))^INT(INT(Y79/12)/INDEX('Lease Cycles'!$CP$12:$CV$12,1,Y78))/12)))),'Lease Cycles'!$C$12*INDEX('Lease Cycles'!$CB$12:$CH$12,1,Y78)*(1+INDEX('Lease Cycles'!$CI$12:$CO$12,1,Y78))^INT(INT(Y79/12)/INDEX('Lease Cycles'!$CP$12:$CV$12,1,Y78))/12))),IF('Lease Cycles'!$N$12=1,'Lease Cycles'!$C$12*'Lease Cycles'!$E$12*INDEX('Lease Cycles'!$HE$12:$HK$12,1,Y78)*(1+INDEX('Lease Cycles'!$GQ$12:$GW$12,1,Y78))^INT(INT((Y$6-INDEX('Lease Cycles'!$GJ$12:$GP$12,1,Y78))/12)/INDEX('Lease Cycles'!$GX$12:$HD$12,1,Y78))/12,0)))</f>
        <v>5000</v>
      </c>
      <c r="Z81" s="28">
        <f>IF(Z78=0,IF('Lease Cycles'!$F$12&gt;0,'Lease Cycles'!$C$12*'Lease Cycles'!$E$12/12,0),IF(Z80=1,IF('Lease Cycles'!$AT$12&gt;=9999,'Lease Cycles'!$C$12*INDEX('Lease Cycles'!$CB$12:$CH$12,1,Z78)*(1+INDEX('Lease Cycles'!$CI$12:$CO$12,1,Z78))^INT(INT(Z79/12)/INDEX('Lease Cycles'!$CP$12:$CV$12,1,Z78))/12,IF(Z78=1,IF(Z79&gt;=INDEX('Lease Cycles'!$DK$12:$DQ$12,1,Z78),IF(Z$6&gt;='Lease Cycles'!$AZ$12,'Lease Cycles'!$C$12*'Lease Cycles'!$BA$12/12,IF(Z$6&gt;='Lease Cycles'!$AX$12,'Lease Cycles'!$C$12*'Lease Cycles'!$AY$12/12,IF(Z$6&gt;='Lease Cycles'!$AV$12,'Lease Cycles'!$C$12*'Lease Cycles'!$AW$12/12,IF(Z$6&gt;='Lease Cycles'!$AT$12,'Lease Cycles'!$C$12*'Lease Cycles'!$AU$12/12,'Lease Cycles'!$C$12*INDEX('Lease Cycles'!$CB$12:$CH$12,1,Z78)*(1+INDEX('Lease Cycles'!$CI$12:$CO$12,1,Z78))^INT(INT(Z79/12)/INDEX('Lease Cycles'!$CP$12:$CV$12,1,Z78))/12)))),'Lease Cycles'!$C$12*INDEX('Lease Cycles'!$CB$12:$CH$12,1,Z78)*(1+INDEX('Lease Cycles'!$CI$12:$CO$12,1,Z78))^INT(INT(Z79/12)/INDEX('Lease Cycles'!$CP$12:$CV$12,1,Z78))/12),IF(INDEX('Lease Cycles'!$EF$12:$EL$12,1,Z78)=1,IF(AND('Lease Cycles'!$AZ$12&gt;=INDEX('Lease Cycles'!$BG$12:$BM$12,1,Z78),'Lease Cycles'!$AZ$12&lt;=Z$6),'Lease Cycles'!$C$12*'Lease Cycles'!$BA$12/12,IF(AND('Lease Cycles'!$AX$12&gt;=INDEX('Lease Cycles'!$BG$12:$BM$12,1,Z78),'Lease Cycles'!$AX$12&lt;=Z$6),'Lease Cycles'!$C$12*'Lease Cycles'!$AY$12/12,IF(AND('Lease Cycles'!$AV$12&gt;=INDEX('Lease Cycles'!$BG$12:$BM$12,1,Z78),'Lease Cycles'!$AV$12&lt;=Z$6),'Lease Cycles'!$C$12*'Lease Cycles'!$AW$12/12,IF(AND('Lease Cycles'!$AT$12&gt;=INDEX('Lease Cycles'!$BG$12:$BM$12,1,Z78),'Lease Cycles'!$AT$12&lt;=Z$6),'Lease Cycles'!$C$12*'Lease Cycles'!$AU$12/12,'Lease Cycles'!$C$12*INDEX('Lease Cycles'!$CB$12:$CH$12,1,Z78)*(1+INDEX('Lease Cycles'!$CI$12:$CO$12,1,Z78))^INT(INT(Z79/12)/INDEX('Lease Cycles'!$CP$12:$CV$12,1,Z78))/12)))),'Lease Cycles'!$C$12*INDEX('Lease Cycles'!$CB$12:$CH$12,1,Z78)*(1+INDEX('Lease Cycles'!$CI$12:$CO$12,1,Z78))^INT(INT(Z79/12)/INDEX('Lease Cycles'!$CP$12:$CV$12,1,Z78))/12))),IF('Lease Cycles'!$N$12=1,'Lease Cycles'!$C$12*'Lease Cycles'!$E$12*INDEX('Lease Cycles'!$HE$12:$HK$12,1,Z78)*(1+INDEX('Lease Cycles'!$GQ$12:$GW$12,1,Z78))^INT(INT((Z$6-INDEX('Lease Cycles'!$GJ$12:$GP$12,1,Z78))/12)/INDEX('Lease Cycles'!$GX$12:$HD$12,1,Z78))/12,0)))</f>
        <v>5000</v>
      </c>
      <c r="AA81" s="28">
        <f>IF(AA78=0,IF('Lease Cycles'!$F$12&gt;0,'Lease Cycles'!$C$12*'Lease Cycles'!$E$12/12,0),IF(AA80=1,IF('Lease Cycles'!$AT$12&gt;=9999,'Lease Cycles'!$C$12*INDEX('Lease Cycles'!$CB$12:$CH$12,1,AA78)*(1+INDEX('Lease Cycles'!$CI$12:$CO$12,1,AA78))^INT(INT(AA79/12)/INDEX('Lease Cycles'!$CP$12:$CV$12,1,AA78))/12,IF(AA78=1,IF(AA79&gt;=INDEX('Lease Cycles'!$DK$12:$DQ$12,1,AA78),IF(AA$6&gt;='Lease Cycles'!$AZ$12,'Lease Cycles'!$C$12*'Lease Cycles'!$BA$12/12,IF(AA$6&gt;='Lease Cycles'!$AX$12,'Lease Cycles'!$C$12*'Lease Cycles'!$AY$12/12,IF(AA$6&gt;='Lease Cycles'!$AV$12,'Lease Cycles'!$C$12*'Lease Cycles'!$AW$12/12,IF(AA$6&gt;='Lease Cycles'!$AT$12,'Lease Cycles'!$C$12*'Lease Cycles'!$AU$12/12,'Lease Cycles'!$C$12*INDEX('Lease Cycles'!$CB$12:$CH$12,1,AA78)*(1+INDEX('Lease Cycles'!$CI$12:$CO$12,1,AA78))^INT(INT(AA79/12)/INDEX('Lease Cycles'!$CP$12:$CV$12,1,AA78))/12)))),'Lease Cycles'!$C$12*INDEX('Lease Cycles'!$CB$12:$CH$12,1,AA78)*(1+INDEX('Lease Cycles'!$CI$12:$CO$12,1,AA78))^INT(INT(AA79/12)/INDEX('Lease Cycles'!$CP$12:$CV$12,1,AA78))/12),IF(INDEX('Lease Cycles'!$EF$12:$EL$12,1,AA78)=1,IF(AND('Lease Cycles'!$AZ$12&gt;=INDEX('Lease Cycles'!$BG$12:$BM$12,1,AA78),'Lease Cycles'!$AZ$12&lt;=AA$6),'Lease Cycles'!$C$12*'Lease Cycles'!$BA$12/12,IF(AND('Lease Cycles'!$AX$12&gt;=INDEX('Lease Cycles'!$BG$12:$BM$12,1,AA78),'Lease Cycles'!$AX$12&lt;=AA$6),'Lease Cycles'!$C$12*'Lease Cycles'!$AY$12/12,IF(AND('Lease Cycles'!$AV$12&gt;=INDEX('Lease Cycles'!$BG$12:$BM$12,1,AA78),'Lease Cycles'!$AV$12&lt;=AA$6),'Lease Cycles'!$C$12*'Lease Cycles'!$AW$12/12,IF(AND('Lease Cycles'!$AT$12&gt;=INDEX('Lease Cycles'!$BG$12:$BM$12,1,AA78),'Lease Cycles'!$AT$12&lt;=AA$6),'Lease Cycles'!$C$12*'Lease Cycles'!$AU$12/12,'Lease Cycles'!$C$12*INDEX('Lease Cycles'!$CB$12:$CH$12,1,AA78)*(1+INDEX('Lease Cycles'!$CI$12:$CO$12,1,AA78))^INT(INT(AA79/12)/INDEX('Lease Cycles'!$CP$12:$CV$12,1,AA78))/12)))),'Lease Cycles'!$C$12*INDEX('Lease Cycles'!$CB$12:$CH$12,1,AA78)*(1+INDEX('Lease Cycles'!$CI$12:$CO$12,1,AA78))^INT(INT(AA79/12)/INDEX('Lease Cycles'!$CP$12:$CV$12,1,AA78))/12))),IF('Lease Cycles'!$N$12=1,'Lease Cycles'!$C$12*'Lease Cycles'!$E$12*INDEX('Lease Cycles'!$HE$12:$HK$12,1,AA78)*(1+INDEX('Lease Cycles'!$GQ$12:$GW$12,1,AA78))^INT(INT((AA$6-INDEX('Lease Cycles'!$GJ$12:$GP$12,1,AA78))/12)/INDEX('Lease Cycles'!$GX$12:$HD$12,1,AA78))/12,0)))</f>
        <v>5000</v>
      </c>
      <c r="AB81" s="28">
        <f>IF(AB78=0,IF('Lease Cycles'!$F$12&gt;0,'Lease Cycles'!$C$12*'Lease Cycles'!$E$12/12,0),IF(AB80=1,IF('Lease Cycles'!$AT$12&gt;=9999,'Lease Cycles'!$C$12*INDEX('Lease Cycles'!$CB$12:$CH$12,1,AB78)*(1+INDEX('Lease Cycles'!$CI$12:$CO$12,1,AB78))^INT(INT(AB79/12)/INDEX('Lease Cycles'!$CP$12:$CV$12,1,AB78))/12,IF(AB78=1,IF(AB79&gt;=INDEX('Lease Cycles'!$DK$12:$DQ$12,1,AB78),IF(AB$6&gt;='Lease Cycles'!$AZ$12,'Lease Cycles'!$C$12*'Lease Cycles'!$BA$12/12,IF(AB$6&gt;='Lease Cycles'!$AX$12,'Lease Cycles'!$C$12*'Lease Cycles'!$AY$12/12,IF(AB$6&gt;='Lease Cycles'!$AV$12,'Lease Cycles'!$C$12*'Lease Cycles'!$AW$12/12,IF(AB$6&gt;='Lease Cycles'!$AT$12,'Lease Cycles'!$C$12*'Lease Cycles'!$AU$12/12,'Lease Cycles'!$C$12*INDEX('Lease Cycles'!$CB$12:$CH$12,1,AB78)*(1+INDEX('Lease Cycles'!$CI$12:$CO$12,1,AB78))^INT(INT(AB79/12)/INDEX('Lease Cycles'!$CP$12:$CV$12,1,AB78))/12)))),'Lease Cycles'!$C$12*INDEX('Lease Cycles'!$CB$12:$CH$12,1,AB78)*(1+INDEX('Lease Cycles'!$CI$12:$CO$12,1,AB78))^INT(INT(AB79/12)/INDEX('Lease Cycles'!$CP$12:$CV$12,1,AB78))/12),IF(INDEX('Lease Cycles'!$EF$12:$EL$12,1,AB78)=1,IF(AND('Lease Cycles'!$AZ$12&gt;=INDEX('Lease Cycles'!$BG$12:$BM$12,1,AB78),'Lease Cycles'!$AZ$12&lt;=AB$6),'Lease Cycles'!$C$12*'Lease Cycles'!$BA$12/12,IF(AND('Lease Cycles'!$AX$12&gt;=INDEX('Lease Cycles'!$BG$12:$BM$12,1,AB78),'Lease Cycles'!$AX$12&lt;=AB$6),'Lease Cycles'!$C$12*'Lease Cycles'!$AY$12/12,IF(AND('Lease Cycles'!$AV$12&gt;=INDEX('Lease Cycles'!$BG$12:$BM$12,1,AB78),'Lease Cycles'!$AV$12&lt;=AB$6),'Lease Cycles'!$C$12*'Lease Cycles'!$AW$12/12,IF(AND('Lease Cycles'!$AT$12&gt;=INDEX('Lease Cycles'!$BG$12:$BM$12,1,AB78),'Lease Cycles'!$AT$12&lt;=AB$6),'Lease Cycles'!$C$12*'Lease Cycles'!$AU$12/12,'Lease Cycles'!$C$12*INDEX('Lease Cycles'!$CB$12:$CH$12,1,AB78)*(1+INDEX('Lease Cycles'!$CI$12:$CO$12,1,AB78))^INT(INT(AB79/12)/INDEX('Lease Cycles'!$CP$12:$CV$12,1,AB78))/12)))),'Lease Cycles'!$C$12*INDEX('Lease Cycles'!$CB$12:$CH$12,1,AB78)*(1+INDEX('Lease Cycles'!$CI$12:$CO$12,1,AB78))^INT(INT(AB79/12)/INDEX('Lease Cycles'!$CP$12:$CV$12,1,AB78))/12))),IF('Lease Cycles'!$N$12=1,'Lease Cycles'!$C$12*'Lease Cycles'!$E$12*INDEX('Lease Cycles'!$HE$12:$HK$12,1,AB78)*(1+INDEX('Lease Cycles'!$GQ$12:$GW$12,1,AB78))^INT(INT((AB$6-INDEX('Lease Cycles'!$GJ$12:$GP$12,1,AB78))/12)/INDEX('Lease Cycles'!$GX$12:$HD$12,1,AB78))/12,0)))</f>
        <v>5000</v>
      </c>
      <c r="AC81" s="28">
        <f>IF(AC78=0,IF('Lease Cycles'!$F$12&gt;0,'Lease Cycles'!$C$12*'Lease Cycles'!$E$12/12,0),IF(AC80=1,IF('Lease Cycles'!$AT$12&gt;=9999,'Lease Cycles'!$C$12*INDEX('Lease Cycles'!$CB$12:$CH$12,1,AC78)*(1+INDEX('Lease Cycles'!$CI$12:$CO$12,1,AC78))^INT(INT(AC79/12)/INDEX('Lease Cycles'!$CP$12:$CV$12,1,AC78))/12,IF(AC78=1,IF(AC79&gt;=INDEX('Lease Cycles'!$DK$12:$DQ$12,1,AC78),IF(AC$6&gt;='Lease Cycles'!$AZ$12,'Lease Cycles'!$C$12*'Lease Cycles'!$BA$12/12,IF(AC$6&gt;='Lease Cycles'!$AX$12,'Lease Cycles'!$C$12*'Lease Cycles'!$AY$12/12,IF(AC$6&gt;='Lease Cycles'!$AV$12,'Lease Cycles'!$C$12*'Lease Cycles'!$AW$12/12,IF(AC$6&gt;='Lease Cycles'!$AT$12,'Lease Cycles'!$C$12*'Lease Cycles'!$AU$12/12,'Lease Cycles'!$C$12*INDEX('Lease Cycles'!$CB$12:$CH$12,1,AC78)*(1+INDEX('Lease Cycles'!$CI$12:$CO$12,1,AC78))^INT(INT(AC79/12)/INDEX('Lease Cycles'!$CP$12:$CV$12,1,AC78))/12)))),'Lease Cycles'!$C$12*INDEX('Lease Cycles'!$CB$12:$CH$12,1,AC78)*(1+INDEX('Lease Cycles'!$CI$12:$CO$12,1,AC78))^INT(INT(AC79/12)/INDEX('Lease Cycles'!$CP$12:$CV$12,1,AC78))/12),IF(INDEX('Lease Cycles'!$EF$12:$EL$12,1,AC78)=1,IF(AND('Lease Cycles'!$AZ$12&gt;=INDEX('Lease Cycles'!$BG$12:$BM$12,1,AC78),'Lease Cycles'!$AZ$12&lt;=AC$6),'Lease Cycles'!$C$12*'Lease Cycles'!$BA$12/12,IF(AND('Lease Cycles'!$AX$12&gt;=INDEX('Lease Cycles'!$BG$12:$BM$12,1,AC78),'Lease Cycles'!$AX$12&lt;=AC$6),'Lease Cycles'!$C$12*'Lease Cycles'!$AY$12/12,IF(AND('Lease Cycles'!$AV$12&gt;=INDEX('Lease Cycles'!$BG$12:$BM$12,1,AC78),'Lease Cycles'!$AV$12&lt;=AC$6),'Lease Cycles'!$C$12*'Lease Cycles'!$AW$12/12,IF(AND('Lease Cycles'!$AT$12&gt;=INDEX('Lease Cycles'!$BG$12:$BM$12,1,AC78),'Lease Cycles'!$AT$12&lt;=AC$6),'Lease Cycles'!$C$12*'Lease Cycles'!$AU$12/12,'Lease Cycles'!$C$12*INDEX('Lease Cycles'!$CB$12:$CH$12,1,AC78)*(1+INDEX('Lease Cycles'!$CI$12:$CO$12,1,AC78))^INT(INT(AC79/12)/INDEX('Lease Cycles'!$CP$12:$CV$12,1,AC78))/12)))),'Lease Cycles'!$C$12*INDEX('Lease Cycles'!$CB$12:$CH$12,1,AC78)*(1+INDEX('Lease Cycles'!$CI$12:$CO$12,1,AC78))^INT(INT(AC79/12)/INDEX('Lease Cycles'!$CP$12:$CV$12,1,AC78))/12))),IF('Lease Cycles'!$N$12=1,'Lease Cycles'!$C$12*'Lease Cycles'!$E$12*INDEX('Lease Cycles'!$HE$12:$HK$12,1,AC78)*(1+INDEX('Lease Cycles'!$GQ$12:$GW$12,1,AC78))^INT(INT((AC$6-INDEX('Lease Cycles'!$GJ$12:$GP$12,1,AC78))/12)/INDEX('Lease Cycles'!$GX$12:$HD$12,1,AC78))/12,0)))</f>
        <v>5000</v>
      </c>
      <c r="AD81" s="28">
        <f>IF(AD78=0,IF('Lease Cycles'!$F$12&gt;0,'Lease Cycles'!$C$12*'Lease Cycles'!$E$12/12,0),IF(AD80=1,IF('Lease Cycles'!$AT$12&gt;=9999,'Lease Cycles'!$C$12*INDEX('Lease Cycles'!$CB$12:$CH$12,1,AD78)*(1+INDEX('Lease Cycles'!$CI$12:$CO$12,1,AD78))^INT(INT(AD79/12)/INDEX('Lease Cycles'!$CP$12:$CV$12,1,AD78))/12,IF(AD78=1,IF(AD79&gt;=INDEX('Lease Cycles'!$DK$12:$DQ$12,1,AD78),IF(AD$6&gt;='Lease Cycles'!$AZ$12,'Lease Cycles'!$C$12*'Lease Cycles'!$BA$12/12,IF(AD$6&gt;='Lease Cycles'!$AX$12,'Lease Cycles'!$C$12*'Lease Cycles'!$AY$12/12,IF(AD$6&gt;='Lease Cycles'!$AV$12,'Lease Cycles'!$C$12*'Lease Cycles'!$AW$12/12,IF(AD$6&gt;='Lease Cycles'!$AT$12,'Lease Cycles'!$C$12*'Lease Cycles'!$AU$12/12,'Lease Cycles'!$C$12*INDEX('Lease Cycles'!$CB$12:$CH$12,1,AD78)*(1+INDEX('Lease Cycles'!$CI$12:$CO$12,1,AD78))^INT(INT(AD79/12)/INDEX('Lease Cycles'!$CP$12:$CV$12,1,AD78))/12)))),'Lease Cycles'!$C$12*INDEX('Lease Cycles'!$CB$12:$CH$12,1,AD78)*(1+INDEX('Lease Cycles'!$CI$12:$CO$12,1,AD78))^INT(INT(AD79/12)/INDEX('Lease Cycles'!$CP$12:$CV$12,1,AD78))/12),IF(INDEX('Lease Cycles'!$EF$12:$EL$12,1,AD78)=1,IF(AND('Lease Cycles'!$AZ$12&gt;=INDEX('Lease Cycles'!$BG$12:$BM$12,1,AD78),'Lease Cycles'!$AZ$12&lt;=AD$6),'Lease Cycles'!$C$12*'Lease Cycles'!$BA$12/12,IF(AND('Lease Cycles'!$AX$12&gt;=INDEX('Lease Cycles'!$BG$12:$BM$12,1,AD78),'Lease Cycles'!$AX$12&lt;=AD$6),'Lease Cycles'!$C$12*'Lease Cycles'!$AY$12/12,IF(AND('Lease Cycles'!$AV$12&gt;=INDEX('Lease Cycles'!$BG$12:$BM$12,1,AD78),'Lease Cycles'!$AV$12&lt;=AD$6),'Lease Cycles'!$C$12*'Lease Cycles'!$AW$12/12,IF(AND('Lease Cycles'!$AT$12&gt;=INDEX('Lease Cycles'!$BG$12:$BM$12,1,AD78),'Lease Cycles'!$AT$12&lt;=AD$6),'Lease Cycles'!$C$12*'Lease Cycles'!$AU$12/12,'Lease Cycles'!$C$12*INDEX('Lease Cycles'!$CB$12:$CH$12,1,AD78)*(1+INDEX('Lease Cycles'!$CI$12:$CO$12,1,AD78))^INT(INT(AD79/12)/INDEX('Lease Cycles'!$CP$12:$CV$12,1,AD78))/12)))),'Lease Cycles'!$C$12*INDEX('Lease Cycles'!$CB$12:$CH$12,1,AD78)*(1+INDEX('Lease Cycles'!$CI$12:$CO$12,1,AD78))^INT(INT(AD79/12)/INDEX('Lease Cycles'!$CP$12:$CV$12,1,AD78))/12))),IF('Lease Cycles'!$N$12=1,'Lease Cycles'!$C$12*'Lease Cycles'!$E$12*INDEX('Lease Cycles'!$HE$12:$HK$12,1,AD78)*(1+INDEX('Lease Cycles'!$GQ$12:$GW$12,1,AD78))^INT(INT((AD$6-INDEX('Lease Cycles'!$GJ$12:$GP$12,1,AD78))/12)/INDEX('Lease Cycles'!$GX$12:$HD$12,1,AD78))/12,0)))</f>
        <v>5000</v>
      </c>
      <c r="AE81" s="28">
        <f>IF(AE78=0,IF('Lease Cycles'!$F$12&gt;0,'Lease Cycles'!$C$12*'Lease Cycles'!$E$12/12,0),IF(AE80=1,IF('Lease Cycles'!$AT$12&gt;=9999,'Lease Cycles'!$C$12*INDEX('Lease Cycles'!$CB$12:$CH$12,1,AE78)*(1+INDEX('Lease Cycles'!$CI$12:$CO$12,1,AE78))^INT(INT(AE79/12)/INDEX('Lease Cycles'!$CP$12:$CV$12,1,AE78))/12,IF(AE78=1,IF(AE79&gt;=INDEX('Lease Cycles'!$DK$12:$DQ$12,1,AE78),IF(AE$6&gt;='Lease Cycles'!$AZ$12,'Lease Cycles'!$C$12*'Lease Cycles'!$BA$12/12,IF(AE$6&gt;='Lease Cycles'!$AX$12,'Lease Cycles'!$C$12*'Lease Cycles'!$AY$12/12,IF(AE$6&gt;='Lease Cycles'!$AV$12,'Lease Cycles'!$C$12*'Lease Cycles'!$AW$12/12,IF(AE$6&gt;='Lease Cycles'!$AT$12,'Lease Cycles'!$C$12*'Lease Cycles'!$AU$12/12,'Lease Cycles'!$C$12*INDEX('Lease Cycles'!$CB$12:$CH$12,1,AE78)*(1+INDEX('Lease Cycles'!$CI$12:$CO$12,1,AE78))^INT(INT(AE79/12)/INDEX('Lease Cycles'!$CP$12:$CV$12,1,AE78))/12)))),'Lease Cycles'!$C$12*INDEX('Lease Cycles'!$CB$12:$CH$12,1,AE78)*(1+INDEX('Lease Cycles'!$CI$12:$CO$12,1,AE78))^INT(INT(AE79/12)/INDEX('Lease Cycles'!$CP$12:$CV$12,1,AE78))/12),IF(INDEX('Lease Cycles'!$EF$12:$EL$12,1,AE78)=1,IF(AND('Lease Cycles'!$AZ$12&gt;=INDEX('Lease Cycles'!$BG$12:$BM$12,1,AE78),'Lease Cycles'!$AZ$12&lt;=AE$6),'Lease Cycles'!$C$12*'Lease Cycles'!$BA$12/12,IF(AND('Lease Cycles'!$AX$12&gt;=INDEX('Lease Cycles'!$BG$12:$BM$12,1,AE78),'Lease Cycles'!$AX$12&lt;=AE$6),'Lease Cycles'!$C$12*'Lease Cycles'!$AY$12/12,IF(AND('Lease Cycles'!$AV$12&gt;=INDEX('Lease Cycles'!$BG$12:$BM$12,1,AE78),'Lease Cycles'!$AV$12&lt;=AE$6),'Lease Cycles'!$C$12*'Lease Cycles'!$AW$12/12,IF(AND('Lease Cycles'!$AT$12&gt;=INDEX('Lease Cycles'!$BG$12:$BM$12,1,AE78),'Lease Cycles'!$AT$12&lt;=AE$6),'Lease Cycles'!$C$12*'Lease Cycles'!$AU$12/12,'Lease Cycles'!$C$12*INDEX('Lease Cycles'!$CB$12:$CH$12,1,AE78)*(1+INDEX('Lease Cycles'!$CI$12:$CO$12,1,AE78))^INT(INT(AE79/12)/INDEX('Lease Cycles'!$CP$12:$CV$12,1,AE78))/12)))),'Lease Cycles'!$C$12*INDEX('Lease Cycles'!$CB$12:$CH$12,1,AE78)*(1+INDEX('Lease Cycles'!$CI$12:$CO$12,1,AE78))^INT(INT(AE79/12)/INDEX('Lease Cycles'!$CP$12:$CV$12,1,AE78))/12))),IF('Lease Cycles'!$N$12=1,'Lease Cycles'!$C$12*'Lease Cycles'!$E$12*INDEX('Lease Cycles'!$HE$12:$HK$12,1,AE78)*(1+INDEX('Lease Cycles'!$GQ$12:$GW$12,1,AE78))^INT(INT((AE$6-INDEX('Lease Cycles'!$GJ$12:$GP$12,1,AE78))/12)/INDEX('Lease Cycles'!$GX$12:$HD$12,1,AE78))/12,0)))</f>
        <v>5000</v>
      </c>
      <c r="AF81" s="28">
        <f>IF(AF78=0,IF('Lease Cycles'!$F$12&gt;0,'Lease Cycles'!$C$12*'Lease Cycles'!$E$12/12,0),IF(AF80=1,IF('Lease Cycles'!$AT$12&gt;=9999,'Lease Cycles'!$C$12*INDEX('Lease Cycles'!$CB$12:$CH$12,1,AF78)*(1+INDEX('Lease Cycles'!$CI$12:$CO$12,1,AF78))^INT(INT(AF79/12)/INDEX('Lease Cycles'!$CP$12:$CV$12,1,AF78))/12,IF(AF78=1,IF(AF79&gt;=INDEX('Lease Cycles'!$DK$12:$DQ$12,1,AF78),IF(AF$6&gt;='Lease Cycles'!$AZ$12,'Lease Cycles'!$C$12*'Lease Cycles'!$BA$12/12,IF(AF$6&gt;='Lease Cycles'!$AX$12,'Lease Cycles'!$C$12*'Lease Cycles'!$AY$12/12,IF(AF$6&gt;='Lease Cycles'!$AV$12,'Lease Cycles'!$C$12*'Lease Cycles'!$AW$12/12,IF(AF$6&gt;='Lease Cycles'!$AT$12,'Lease Cycles'!$C$12*'Lease Cycles'!$AU$12/12,'Lease Cycles'!$C$12*INDEX('Lease Cycles'!$CB$12:$CH$12,1,AF78)*(1+INDEX('Lease Cycles'!$CI$12:$CO$12,1,AF78))^INT(INT(AF79/12)/INDEX('Lease Cycles'!$CP$12:$CV$12,1,AF78))/12)))),'Lease Cycles'!$C$12*INDEX('Lease Cycles'!$CB$12:$CH$12,1,AF78)*(1+INDEX('Lease Cycles'!$CI$12:$CO$12,1,AF78))^INT(INT(AF79/12)/INDEX('Lease Cycles'!$CP$12:$CV$12,1,AF78))/12),IF(INDEX('Lease Cycles'!$EF$12:$EL$12,1,AF78)=1,IF(AND('Lease Cycles'!$AZ$12&gt;=INDEX('Lease Cycles'!$BG$12:$BM$12,1,AF78),'Lease Cycles'!$AZ$12&lt;=AF$6),'Lease Cycles'!$C$12*'Lease Cycles'!$BA$12/12,IF(AND('Lease Cycles'!$AX$12&gt;=INDEX('Lease Cycles'!$BG$12:$BM$12,1,AF78),'Lease Cycles'!$AX$12&lt;=AF$6),'Lease Cycles'!$C$12*'Lease Cycles'!$AY$12/12,IF(AND('Lease Cycles'!$AV$12&gt;=INDEX('Lease Cycles'!$BG$12:$BM$12,1,AF78),'Lease Cycles'!$AV$12&lt;=AF$6),'Lease Cycles'!$C$12*'Lease Cycles'!$AW$12/12,IF(AND('Lease Cycles'!$AT$12&gt;=INDEX('Lease Cycles'!$BG$12:$BM$12,1,AF78),'Lease Cycles'!$AT$12&lt;=AF$6),'Lease Cycles'!$C$12*'Lease Cycles'!$AU$12/12,'Lease Cycles'!$C$12*INDEX('Lease Cycles'!$CB$12:$CH$12,1,AF78)*(1+INDEX('Lease Cycles'!$CI$12:$CO$12,1,AF78))^INT(INT(AF79/12)/INDEX('Lease Cycles'!$CP$12:$CV$12,1,AF78))/12)))),'Lease Cycles'!$C$12*INDEX('Lease Cycles'!$CB$12:$CH$12,1,AF78)*(1+INDEX('Lease Cycles'!$CI$12:$CO$12,1,AF78))^INT(INT(AF79/12)/INDEX('Lease Cycles'!$CP$12:$CV$12,1,AF78))/12))),IF('Lease Cycles'!$N$12=1,'Lease Cycles'!$C$12*'Lease Cycles'!$E$12*INDEX('Lease Cycles'!$HE$12:$HK$12,1,AF78)*(1+INDEX('Lease Cycles'!$GQ$12:$GW$12,1,AF78))^INT(INT((AF$6-INDEX('Lease Cycles'!$GJ$12:$GP$12,1,AF78))/12)/INDEX('Lease Cycles'!$GX$12:$HD$12,1,AF78))/12,0)))</f>
        <v>5000</v>
      </c>
      <c r="AG81" s="28">
        <f>IF(AG78=0,IF('Lease Cycles'!$F$12&gt;0,'Lease Cycles'!$C$12*'Lease Cycles'!$E$12/12,0),IF(AG80=1,IF('Lease Cycles'!$AT$12&gt;=9999,'Lease Cycles'!$C$12*INDEX('Lease Cycles'!$CB$12:$CH$12,1,AG78)*(1+INDEX('Lease Cycles'!$CI$12:$CO$12,1,AG78))^INT(INT(AG79/12)/INDEX('Lease Cycles'!$CP$12:$CV$12,1,AG78))/12,IF(AG78=1,IF(AG79&gt;=INDEX('Lease Cycles'!$DK$12:$DQ$12,1,AG78),IF(AG$6&gt;='Lease Cycles'!$AZ$12,'Lease Cycles'!$C$12*'Lease Cycles'!$BA$12/12,IF(AG$6&gt;='Lease Cycles'!$AX$12,'Lease Cycles'!$C$12*'Lease Cycles'!$AY$12/12,IF(AG$6&gt;='Lease Cycles'!$AV$12,'Lease Cycles'!$C$12*'Lease Cycles'!$AW$12/12,IF(AG$6&gt;='Lease Cycles'!$AT$12,'Lease Cycles'!$C$12*'Lease Cycles'!$AU$12/12,'Lease Cycles'!$C$12*INDEX('Lease Cycles'!$CB$12:$CH$12,1,AG78)*(1+INDEX('Lease Cycles'!$CI$12:$CO$12,1,AG78))^INT(INT(AG79/12)/INDEX('Lease Cycles'!$CP$12:$CV$12,1,AG78))/12)))),'Lease Cycles'!$C$12*INDEX('Lease Cycles'!$CB$12:$CH$12,1,AG78)*(1+INDEX('Lease Cycles'!$CI$12:$CO$12,1,AG78))^INT(INT(AG79/12)/INDEX('Lease Cycles'!$CP$12:$CV$12,1,AG78))/12),IF(INDEX('Lease Cycles'!$EF$12:$EL$12,1,AG78)=1,IF(AND('Lease Cycles'!$AZ$12&gt;=INDEX('Lease Cycles'!$BG$12:$BM$12,1,AG78),'Lease Cycles'!$AZ$12&lt;=AG$6),'Lease Cycles'!$C$12*'Lease Cycles'!$BA$12/12,IF(AND('Lease Cycles'!$AX$12&gt;=INDEX('Lease Cycles'!$BG$12:$BM$12,1,AG78),'Lease Cycles'!$AX$12&lt;=AG$6),'Lease Cycles'!$C$12*'Lease Cycles'!$AY$12/12,IF(AND('Lease Cycles'!$AV$12&gt;=INDEX('Lease Cycles'!$BG$12:$BM$12,1,AG78),'Lease Cycles'!$AV$12&lt;=AG$6),'Lease Cycles'!$C$12*'Lease Cycles'!$AW$12/12,IF(AND('Lease Cycles'!$AT$12&gt;=INDEX('Lease Cycles'!$BG$12:$BM$12,1,AG78),'Lease Cycles'!$AT$12&lt;=AG$6),'Lease Cycles'!$C$12*'Lease Cycles'!$AU$12/12,'Lease Cycles'!$C$12*INDEX('Lease Cycles'!$CB$12:$CH$12,1,AG78)*(1+INDEX('Lease Cycles'!$CI$12:$CO$12,1,AG78))^INT(INT(AG79/12)/INDEX('Lease Cycles'!$CP$12:$CV$12,1,AG78))/12)))),'Lease Cycles'!$C$12*INDEX('Lease Cycles'!$CB$12:$CH$12,1,AG78)*(1+INDEX('Lease Cycles'!$CI$12:$CO$12,1,AG78))^INT(INT(AG79/12)/INDEX('Lease Cycles'!$CP$12:$CV$12,1,AG78))/12))),IF('Lease Cycles'!$N$12=1,'Lease Cycles'!$C$12*'Lease Cycles'!$E$12*INDEX('Lease Cycles'!$HE$12:$HK$12,1,AG78)*(1+INDEX('Lease Cycles'!$GQ$12:$GW$12,1,AG78))^INT(INT((AG$6-INDEX('Lease Cycles'!$GJ$12:$GP$12,1,AG78))/12)/INDEX('Lease Cycles'!$GX$12:$HD$12,1,AG78))/12,0)))</f>
        <v>5000</v>
      </c>
      <c r="AH81" s="28">
        <f>IF(AH78=0,IF('Lease Cycles'!$F$12&gt;0,'Lease Cycles'!$C$12*'Lease Cycles'!$E$12/12,0),IF(AH80=1,IF('Lease Cycles'!$AT$12&gt;=9999,'Lease Cycles'!$C$12*INDEX('Lease Cycles'!$CB$12:$CH$12,1,AH78)*(1+INDEX('Lease Cycles'!$CI$12:$CO$12,1,AH78))^INT(INT(AH79/12)/INDEX('Lease Cycles'!$CP$12:$CV$12,1,AH78))/12,IF(AH78=1,IF(AH79&gt;=INDEX('Lease Cycles'!$DK$12:$DQ$12,1,AH78),IF(AH$6&gt;='Lease Cycles'!$AZ$12,'Lease Cycles'!$C$12*'Lease Cycles'!$BA$12/12,IF(AH$6&gt;='Lease Cycles'!$AX$12,'Lease Cycles'!$C$12*'Lease Cycles'!$AY$12/12,IF(AH$6&gt;='Lease Cycles'!$AV$12,'Lease Cycles'!$C$12*'Lease Cycles'!$AW$12/12,IF(AH$6&gt;='Lease Cycles'!$AT$12,'Lease Cycles'!$C$12*'Lease Cycles'!$AU$12/12,'Lease Cycles'!$C$12*INDEX('Lease Cycles'!$CB$12:$CH$12,1,AH78)*(1+INDEX('Lease Cycles'!$CI$12:$CO$12,1,AH78))^INT(INT(AH79/12)/INDEX('Lease Cycles'!$CP$12:$CV$12,1,AH78))/12)))),'Lease Cycles'!$C$12*INDEX('Lease Cycles'!$CB$12:$CH$12,1,AH78)*(1+INDEX('Lease Cycles'!$CI$12:$CO$12,1,AH78))^INT(INT(AH79/12)/INDEX('Lease Cycles'!$CP$12:$CV$12,1,AH78))/12),IF(INDEX('Lease Cycles'!$EF$12:$EL$12,1,AH78)=1,IF(AND('Lease Cycles'!$AZ$12&gt;=INDEX('Lease Cycles'!$BG$12:$BM$12,1,AH78),'Lease Cycles'!$AZ$12&lt;=AH$6),'Lease Cycles'!$C$12*'Lease Cycles'!$BA$12/12,IF(AND('Lease Cycles'!$AX$12&gt;=INDEX('Lease Cycles'!$BG$12:$BM$12,1,AH78),'Lease Cycles'!$AX$12&lt;=AH$6),'Lease Cycles'!$C$12*'Lease Cycles'!$AY$12/12,IF(AND('Lease Cycles'!$AV$12&gt;=INDEX('Lease Cycles'!$BG$12:$BM$12,1,AH78),'Lease Cycles'!$AV$12&lt;=AH$6),'Lease Cycles'!$C$12*'Lease Cycles'!$AW$12/12,IF(AND('Lease Cycles'!$AT$12&gt;=INDEX('Lease Cycles'!$BG$12:$BM$12,1,AH78),'Lease Cycles'!$AT$12&lt;=AH$6),'Lease Cycles'!$C$12*'Lease Cycles'!$AU$12/12,'Lease Cycles'!$C$12*INDEX('Lease Cycles'!$CB$12:$CH$12,1,AH78)*(1+INDEX('Lease Cycles'!$CI$12:$CO$12,1,AH78))^INT(INT(AH79/12)/INDEX('Lease Cycles'!$CP$12:$CV$12,1,AH78))/12)))),'Lease Cycles'!$C$12*INDEX('Lease Cycles'!$CB$12:$CH$12,1,AH78)*(1+INDEX('Lease Cycles'!$CI$12:$CO$12,1,AH78))^INT(INT(AH79/12)/INDEX('Lease Cycles'!$CP$12:$CV$12,1,AH78))/12))),IF('Lease Cycles'!$N$12=1,'Lease Cycles'!$C$12*'Lease Cycles'!$E$12*INDEX('Lease Cycles'!$HE$12:$HK$12,1,AH78)*(1+INDEX('Lease Cycles'!$GQ$12:$GW$12,1,AH78))^INT(INT((AH$6-INDEX('Lease Cycles'!$GJ$12:$GP$12,1,AH78))/12)/INDEX('Lease Cycles'!$GX$12:$HD$12,1,AH78))/12,0)))</f>
        <v>5000</v>
      </c>
      <c r="AI81" s="28">
        <f>IF(AI78=0,IF('Lease Cycles'!$F$12&gt;0,'Lease Cycles'!$C$12*'Lease Cycles'!$E$12/12,0),IF(AI80=1,IF('Lease Cycles'!$AT$12&gt;=9999,'Lease Cycles'!$C$12*INDEX('Lease Cycles'!$CB$12:$CH$12,1,AI78)*(1+INDEX('Lease Cycles'!$CI$12:$CO$12,1,AI78))^INT(INT(AI79/12)/INDEX('Lease Cycles'!$CP$12:$CV$12,1,AI78))/12,IF(AI78=1,IF(AI79&gt;=INDEX('Lease Cycles'!$DK$12:$DQ$12,1,AI78),IF(AI$6&gt;='Lease Cycles'!$AZ$12,'Lease Cycles'!$C$12*'Lease Cycles'!$BA$12/12,IF(AI$6&gt;='Lease Cycles'!$AX$12,'Lease Cycles'!$C$12*'Lease Cycles'!$AY$12/12,IF(AI$6&gt;='Lease Cycles'!$AV$12,'Lease Cycles'!$C$12*'Lease Cycles'!$AW$12/12,IF(AI$6&gt;='Lease Cycles'!$AT$12,'Lease Cycles'!$C$12*'Lease Cycles'!$AU$12/12,'Lease Cycles'!$C$12*INDEX('Lease Cycles'!$CB$12:$CH$12,1,AI78)*(1+INDEX('Lease Cycles'!$CI$12:$CO$12,1,AI78))^INT(INT(AI79/12)/INDEX('Lease Cycles'!$CP$12:$CV$12,1,AI78))/12)))),'Lease Cycles'!$C$12*INDEX('Lease Cycles'!$CB$12:$CH$12,1,AI78)*(1+INDEX('Lease Cycles'!$CI$12:$CO$12,1,AI78))^INT(INT(AI79/12)/INDEX('Lease Cycles'!$CP$12:$CV$12,1,AI78))/12),IF(INDEX('Lease Cycles'!$EF$12:$EL$12,1,AI78)=1,IF(AND('Lease Cycles'!$AZ$12&gt;=INDEX('Lease Cycles'!$BG$12:$BM$12,1,AI78),'Lease Cycles'!$AZ$12&lt;=AI$6),'Lease Cycles'!$C$12*'Lease Cycles'!$BA$12/12,IF(AND('Lease Cycles'!$AX$12&gt;=INDEX('Lease Cycles'!$BG$12:$BM$12,1,AI78),'Lease Cycles'!$AX$12&lt;=AI$6),'Lease Cycles'!$C$12*'Lease Cycles'!$AY$12/12,IF(AND('Lease Cycles'!$AV$12&gt;=INDEX('Lease Cycles'!$BG$12:$BM$12,1,AI78),'Lease Cycles'!$AV$12&lt;=AI$6),'Lease Cycles'!$C$12*'Lease Cycles'!$AW$12/12,IF(AND('Lease Cycles'!$AT$12&gt;=INDEX('Lease Cycles'!$BG$12:$BM$12,1,AI78),'Lease Cycles'!$AT$12&lt;=AI$6),'Lease Cycles'!$C$12*'Lease Cycles'!$AU$12/12,'Lease Cycles'!$C$12*INDEX('Lease Cycles'!$CB$12:$CH$12,1,AI78)*(1+INDEX('Lease Cycles'!$CI$12:$CO$12,1,AI78))^INT(INT(AI79/12)/INDEX('Lease Cycles'!$CP$12:$CV$12,1,AI78))/12)))),'Lease Cycles'!$C$12*INDEX('Lease Cycles'!$CB$12:$CH$12,1,AI78)*(1+INDEX('Lease Cycles'!$CI$12:$CO$12,1,AI78))^INT(INT(AI79/12)/INDEX('Lease Cycles'!$CP$12:$CV$12,1,AI78))/12))),IF('Lease Cycles'!$N$12=1,'Lease Cycles'!$C$12*'Lease Cycles'!$E$12*INDEX('Lease Cycles'!$HE$12:$HK$12,1,AI78)*(1+INDEX('Lease Cycles'!$GQ$12:$GW$12,1,AI78))^INT(INT((AI$6-INDEX('Lease Cycles'!$GJ$12:$GP$12,1,AI78))/12)/INDEX('Lease Cycles'!$GX$12:$HD$12,1,AI78))/12,0)))</f>
        <v>5000</v>
      </c>
      <c r="AJ81" s="28">
        <f>IF(AJ78=0,IF('Lease Cycles'!$F$12&gt;0,'Lease Cycles'!$C$12*'Lease Cycles'!$E$12/12,0),IF(AJ80=1,IF('Lease Cycles'!$AT$12&gt;=9999,'Lease Cycles'!$C$12*INDEX('Lease Cycles'!$CB$12:$CH$12,1,AJ78)*(1+INDEX('Lease Cycles'!$CI$12:$CO$12,1,AJ78))^INT(INT(AJ79/12)/INDEX('Lease Cycles'!$CP$12:$CV$12,1,AJ78))/12,IF(AJ78=1,IF(AJ79&gt;=INDEX('Lease Cycles'!$DK$12:$DQ$12,1,AJ78),IF(AJ$6&gt;='Lease Cycles'!$AZ$12,'Lease Cycles'!$C$12*'Lease Cycles'!$BA$12/12,IF(AJ$6&gt;='Lease Cycles'!$AX$12,'Lease Cycles'!$C$12*'Lease Cycles'!$AY$12/12,IF(AJ$6&gt;='Lease Cycles'!$AV$12,'Lease Cycles'!$C$12*'Lease Cycles'!$AW$12/12,IF(AJ$6&gt;='Lease Cycles'!$AT$12,'Lease Cycles'!$C$12*'Lease Cycles'!$AU$12/12,'Lease Cycles'!$C$12*INDEX('Lease Cycles'!$CB$12:$CH$12,1,AJ78)*(1+INDEX('Lease Cycles'!$CI$12:$CO$12,1,AJ78))^INT(INT(AJ79/12)/INDEX('Lease Cycles'!$CP$12:$CV$12,1,AJ78))/12)))),'Lease Cycles'!$C$12*INDEX('Lease Cycles'!$CB$12:$CH$12,1,AJ78)*(1+INDEX('Lease Cycles'!$CI$12:$CO$12,1,AJ78))^INT(INT(AJ79/12)/INDEX('Lease Cycles'!$CP$12:$CV$12,1,AJ78))/12),IF(INDEX('Lease Cycles'!$EF$12:$EL$12,1,AJ78)=1,IF(AND('Lease Cycles'!$AZ$12&gt;=INDEX('Lease Cycles'!$BG$12:$BM$12,1,AJ78),'Lease Cycles'!$AZ$12&lt;=AJ$6),'Lease Cycles'!$C$12*'Lease Cycles'!$BA$12/12,IF(AND('Lease Cycles'!$AX$12&gt;=INDEX('Lease Cycles'!$BG$12:$BM$12,1,AJ78),'Lease Cycles'!$AX$12&lt;=AJ$6),'Lease Cycles'!$C$12*'Lease Cycles'!$AY$12/12,IF(AND('Lease Cycles'!$AV$12&gt;=INDEX('Lease Cycles'!$BG$12:$BM$12,1,AJ78),'Lease Cycles'!$AV$12&lt;=AJ$6),'Lease Cycles'!$C$12*'Lease Cycles'!$AW$12/12,IF(AND('Lease Cycles'!$AT$12&gt;=INDEX('Lease Cycles'!$BG$12:$BM$12,1,AJ78),'Lease Cycles'!$AT$12&lt;=AJ$6),'Lease Cycles'!$C$12*'Lease Cycles'!$AU$12/12,'Lease Cycles'!$C$12*INDEX('Lease Cycles'!$CB$12:$CH$12,1,AJ78)*(1+INDEX('Lease Cycles'!$CI$12:$CO$12,1,AJ78))^INT(INT(AJ79/12)/INDEX('Lease Cycles'!$CP$12:$CV$12,1,AJ78))/12)))),'Lease Cycles'!$C$12*INDEX('Lease Cycles'!$CB$12:$CH$12,1,AJ78)*(1+INDEX('Lease Cycles'!$CI$12:$CO$12,1,AJ78))^INT(INT(AJ79/12)/INDEX('Lease Cycles'!$CP$12:$CV$12,1,AJ78))/12))),IF('Lease Cycles'!$N$12=1,'Lease Cycles'!$C$12*'Lease Cycles'!$E$12*INDEX('Lease Cycles'!$HE$12:$HK$12,1,AJ78)*(1+INDEX('Lease Cycles'!$GQ$12:$GW$12,1,AJ78))^INT(INT((AJ$6-INDEX('Lease Cycles'!$GJ$12:$GP$12,1,AJ78))/12)/INDEX('Lease Cycles'!$GX$12:$HD$12,1,AJ78))/12,0)))</f>
        <v>5000</v>
      </c>
      <c r="AK81" s="28">
        <f>IF(AK78=0,IF('Lease Cycles'!$F$12&gt;0,'Lease Cycles'!$C$12*'Lease Cycles'!$E$12/12,0),IF(AK80=1,IF('Lease Cycles'!$AT$12&gt;=9999,'Lease Cycles'!$C$12*INDEX('Lease Cycles'!$CB$12:$CH$12,1,AK78)*(1+INDEX('Lease Cycles'!$CI$12:$CO$12,1,AK78))^INT(INT(AK79/12)/INDEX('Lease Cycles'!$CP$12:$CV$12,1,AK78))/12,IF(AK78=1,IF(AK79&gt;=INDEX('Lease Cycles'!$DK$12:$DQ$12,1,AK78),IF(AK$6&gt;='Lease Cycles'!$AZ$12,'Lease Cycles'!$C$12*'Lease Cycles'!$BA$12/12,IF(AK$6&gt;='Lease Cycles'!$AX$12,'Lease Cycles'!$C$12*'Lease Cycles'!$AY$12/12,IF(AK$6&gt;='Lease Cycles'!$AV$12,'Lease Cycles'!$C$12*'Lease Cycles'!$AW$12/12,IF(AK$6&gt;='Lease Cycles'!$AT$12,'Lease Cycles'!$C$12*'Lease Cycles'!$AU$12/12,'Lease Cycles'!$C$12*INDEX('Lease Cycles'!$CB$12:$CH$12,1,AK78)*(1+INDEX('Lease Cycles'!$CI$12:$CO$12,1,AK78))^INT(INT(AK79/12)/INDEX('Lease Cycles'!$CP$12:$CV$12,1,AK78))/12)))),'Lease Cycles'!$C$12*INDEX('Lease Cycles'!$CB$12:$CH$12,1,AK78)*(1+INDEX('Lease Cycles'!$CI$12:$CO$12,1,AK78))^INT(INT(AK79/12)/INDEX('Lease Cycles'!$CP$12:$CV$12,1,AK78))/12),IF(INDEX('Lease Cycles'!$EF$12:$EL$12,1,AK78)=1,IF(AND('Lease Cycles'!$AZ$12&gt;=INDEX('Lease Cycles'!$BG$12:$BM$12,1,AK78),'Lease Cycles'!$AZ$12&lt;=AK$6),'Lease Cycles'!$C$12*'Lease Cycles'!$BA$12/12,IF(AND('Lease Cycles'!$AX$12&gt;=INDEX('Lease Cycles'!$BG$12:$BM$12,1,AK78),'Lease Cycles'!$AX$12&lt;=AK$6),'Lease Cycles'!$C$12*'Lease Cycles'!$AY$12/12,IF(AND('Lease Cycles'!$AV$12&gt;=INDEX('Lease Cycles'!$BG$12:$BM$12,1,AK78),'Lease Cycles'!$AV$12&lt;=AK$6),'Lease Cycles'!$C$12*'Lease Cycles'!$AW$12/12,IF(AND('Lease Cycles'!$AT$12&gt;=INDEX('Lease Cycles'!$BG$12:$BM$12,1,AK78),'Lease Cycles'!$AT$12&lt;=AK$6),'Lease Cycles'!$C$12*'Lease Cycles'!$AU$12/12,'Lease Cycles'!$C$12*INDEX('Lease Cycles'!$CB$12:$CH$12,1,AK78)*(1+INDEX('Lease Cycles'!$CI$12:$CO$12,1,AK78))^INT(INT(AK79/12)/INDEX('Lease Cycles'!$CP$12:$CV$12,1,AK78))/12)))),'Lease Cycles'!$C$12*INDEX('Lease Cycles'!$CB$12:$CH$12,1,AK78)*(1+INDEX('Lease Cycles'!$CI$12:$CO$12,1,AK78))^INT(INT(AK79/12)/INDEX('Lease Cycles'!$CP$12:$CV$12,1,AK78))/12))),IF('Lease Cycles'!$N$12=1,'Lease Cycles'!$C$12*'Lease Cycles'!$E$12*INDEX('Lease Cycles'!$HE$12:$HK$12,1,AK78)*(1+INDEX('Lease Cycles'!$GQ$12:$GW$12,1,AK78))^INT(INT((AK$6-INDEX('Lease Cycles'!$GJ$12:$GP$12,1,AK78))/12)/INDEX('Lease Cycles'!$GX$12:$HD$12,1,AK78))/12,0)))</f>
        <v>5000</v>
      </c>
      <c r="AL81" s="28">
        <f>IF(AL78=0,IF('Lease Cycles'!$F$12&gt;0,'Lease Cycles'!$C$12*'Lease Cycles'!$E$12/12,0),IF(AL80=1,IF('Lease Cycles'!$AT$12&gt;=9999,'Lease Cycles'!$C$12*INDEX('Lease Cycles'!$CB$12:$CH$12,1,AL78)*(1+INDEX('Lease Cycles'!$CI$12:$CO$12,1,AL78))^INT(INT(AL79/12)/INDEX('Lease Cycles'!$CP$12:$CV$12,1,AL78))/12,IF(AL78=1,IF(AL79&gt;=INDEX('Lease Cycles'!$DK$12:$DQ$12,1,AL78),IF(AL$6&gt;='Lease Cycles'!$AZ$12,'Lease Cycles'!$C$12*'Lease Cycles'!$BA$12/12,IF(AL$6&gt;='Lease Cycles'!$AX$12,'Lease Cycles'!$C$12*'Lease Cycles'!$AY$12/12,IF(AL$6&gt;='Lease Cycles'!$AV$12,'Lease Cycles'!$C$12*'Lease Cycles'!$AW$12/12,IF(AL$6&gt;='Lease Cycles'!$AT$12,'Lease Cycles'!$C$12*'Lease Cycles'!$AU$12/12,'Lease Cycles'!$C$12*INDEX('Lease Cycles'!$CB$12:$CH$12,1,AL78)*(1+INDEX('Lease Cycles'!$CI$12:$CO$12,1,AL78))^INT(INT(AL79/12)/INDEX('Lease Cycles'!$CP$12:$CV$12,1,AL78))/12)))),'Lease Cycles'!$C$12*INDEX('Lease Cycles'!$CB$12:$CH$12,1,AL78)*(1+INDEX('Lease Cycles'!$CI$12:$CO$12,1,AL78))^INT(INT(AL79/12)/INDEX('Lease Cycles'!$CP$12:$CV$12,1,AL78))/12),IF(INDEX('Lease Cycles'!$EF$12:$EL$12,1,AL78)=1,IF(AND('Lease Cycles'!$AZ$12&gt;=INDEX('Lease Cycles'!$BG$12:$BM$12,1,AL78),'Lease Cycles'!$AZ$12&lt;=AL$6),'Lease Cycles'!$C$12*'Lease Cycles'!$BA$12/12,IF(AND('Lease Cycles'!$AX$12&gt;=INDEX('Lease Cycles'!$BG$12:$BM$12,1,AL78),'Lease Cycles'!$AX$12&lt;=AL$6),'Lease Cycles'!$C$12*'Lease Cycles'!$AY$12/12,IF(AND('Lease Cycles'!$AV$12&gt;=INDEX('Lease Cycles'!$BG$12:$BM$12,1,AL78),'Lease Cycles'!$AV$12&lt;=AL$6),'Lease Cycles'!$C$12*'Lease Cycles'!$AW$12/12,IF(AND('Lease Cycles'!$AT$12&gt;=INDEX('Lease Cycles'!$BG$12:$BM$12,1,AL78),'Lease Cycles'!$AT$12&lt;=AL$6),'Lease Cycles'!$C$12*'Lease Cycles'!$AU$12/12,'Lease Cycles'!$C$12*INDEX('Lease Cycles'!$CB$12:$CH$12,1,AL78)*(1+INDEX('Lease Cycles'!$CI$12:$CO$12,1,AL78))^INT(INT(AL79/12)/INDEX('Lease Cycles'!$CP$12:$CV$12,1,AL78))/12)))),'Lease Cycles'!$C$12*INDEX('Lease Cycles'!$CB$12:$CH$12,1,AL78)*(1+INDEX('Lease Cycles'!$CI$12:$CO$12,1,AL78))^INT(INT(AL79/12)/INDEX('Lease Cycles'!$CP$12:$CV$12,1,AL78))/12))),IF('Lease Cycles'!$N$12=1,'Lease Cycles'!$C$12*'Lease Cycles'!$E$12*INDEX('Lease Cycles'!$HE$12:$HK$12,1,AL78)*(1+INDEX('Lease Cycles'!$GQ$12:$GW$12,1,AL78))^INT(INT((AL$6-INDEX('Lease Cycles'!$GJ$12:$GP$12,1,AL78))/12)/INDEX('Lease Cycles'!$GX$12:$HD$12,1,AL78))/12,0)))</f>
        <v>5000</v>
      </c>
      <c r="AM81" s="28">
        <f>IF(AM78=0,IF('Lease Cycles'!$F$12&gt;0,'Lease Cycles'!$C$12*'Lease Cycles'!$E$12/12,0),IF(AM80=1,IF('Lease Cycles'!$AT$12&gt;=9999,'Lease Cycles'!$C$12*INDEX('Lease Cycles'!$CB$12:$CH$12,1,AM78)*(1+INDEX('Lease Cycles'!$CI$12:$CO$12,1,AM78))^INT(INT(AM79/12)/INDEX('Lease Cycles'!$CP$12:$CV$12,1,AM78))/12,IF(AM78=1,IF(AM79&gt;=INDEX('Lease Cycles'!$DK$12:$DQ$12,1,AM78),IF(AM$6&gt;='Lease Cycles'!$AZ$12,'Lease Cycles'!$C$12*'Lease Cycles'!$BA$12/12,IF(AM$6&gt;='Lease Cycles'!$AX$12,'Lease Cycles'!$C$12*'Lease Cycles'!$AY$12/12,IF(AM$6&gt;='Lease Cycles'!$AV$12,'Lease Cycles'!$C$12*'Lease Cycles'!$AW$12/12,IF(AM$6&gt;='Lease Cycles'!$AT$12,'Lease Cycles'!$C$12*'Lease Cycles'!$AU$12/12,'Lease Cycles'!$C$12*INDEX('Lease Cycles'!$CB$12:$CH$12,1,AM78)*(1+INDEX('Lease Cycles'!$CI$12:$CO$12,1,AM78))^INT(INT(AM79/12)/INDEX('Lease Cycles'!$CP$12:$CV$12,1,AM78))/12)))),'Lease Cycles'!$C$12*INDEX('Lease Cycles'!$CB$12:$CH$12,1,AM78)*(1+INDEX('Lease Cycles'!$CI$12:$CO$12,1,AM78))^INT(INT(AM79/12)/INDEX('Lease Cycles'!$CP$12:$CV$12,1,AM78))/12),IF(INDEX('Lease Cycles'!$EF$12:$EL$12,1,AM78)=1,IF(AND('Lease Cycles'!$AZ$12&gt;=INDEX('Lease Cycles'!$BG$12:$BM$12,1,AM78),'Lease Cycles'!$AZ$12&lt;=AM$6),'Lease Cycles'!$C$12*'Lease Cycles'!$BA$12/12,IF(AND('Lease Cycles'!$AX$12&gt;=INDEX('Lease Cycles'!$BG$12:$BM$12,1,AM78),'Lease Cycles'!$AX$12&lt;=AM$6),'Lease Cycles'!$C$12*'Lease Cycles'!$AY$12/12,IF(AND('Lease Cycles'!$AV$12&gt;=INDEX('Lease Cycles'!$BG$12:$BM$12,1,AM78),'Lease Cycles'!$AV$12&lt;=AM$6),'Lease Cycles'!$C$12*'Lease Cycles'!$AW$12/12,IF(AND('Lease Cycles'!$AT$12&gt;=INDEX('Lease Cycles'!$BG$12:$BM$12,1,AM78),'Lease Cycles'!$AT$12&lt;=AM$6),'Lease Cycles'!$C$12*'Lease Cycles'!$AU$12/12,'Lease Cycles'!$C$12*INDEX('Lease Cycles'!$CB$12:$CH$12,1,AM78)*(1+INDEX('Lease Cycles'!$CI$12:$CO$12,1,AM78))^INT(INT(AM79/12)/INDEX('Lease Cycles'!$CP$12:$CV$12,1,AM78))/12)))),'Lease Cycles'!$C$12*INDEX('Lease Cycles'!$CB$12:$CH$12,1,AM78)*(1+INDEX('Lease Cycles'!$CI$12:$CO$12,1,AM78))^INT(INT(AM79/12)/INDEX('Lease Cycles'!$CP$12:$CV$12,1,AM78))/12))),IF('Lease Cycles'!$N$12=1,'Lease Cycles'!$C$12*'Lease Cycles'!$E$12*INDEX('Lease Cycles'!$HE$12:$HK$12,1,AM78)*(1+INDEX('Lease Cycles'!$GQ$12:$GW$12,1,AM78))^INT(INT((AM$6-INDEX('Lease Cycles'!$GJ$12:$GP$12,1,AM78))/12)/INDEX('Lease Cycles'!$GX$12:$HD$12,1,AM78))/12,0)))</f>
        <v>5000</v>
      </c>
      <c r="AN81" s="28">
        <f>IF(AN78=0,IF('Lease Cycles'!$F$12&gt;0,'Lease Cycles'!$C$12*'Lease Cycles'!$E$12/12,0),IF(AN80=1,IF('Lease Cycles'!$AT$12&gt;=9999,'Lease Cycles'!$C$12*INDEX('Lease Cycles'!$CB$12:$CH$12,1,AN78)*(1+INDEX('Lease Cycles'!$CI$12:$CO$12,1,AN78))^INT(INT(AN79/12)/INDEX('Lease Cycles'!$CP$12:$CV$12,1,AN78))/12,IF(AN78=1,IF(AN79&gt;=INDEX('Lease Cycles'!$DK$12:$DQ$12,1,AN78),IF(AN$6&gt;='Lease Cycles'!$AZ$12,'Lease Cycles'!$C$12*'Lease Cycles'!$BA$12/12,IF(AN$6&gt;='Lease Cycles'!$AX$12,'Lease Cycles'!$C$12*'Lease Cycles'!$AY$12/12,IF(AN$6&gt;='Lease Cycles'!$AV$12,'Lease Cycles'!$C$12*'Lease Cycles'!$AW$12/12,IF(AN$6&gt;='Lease Cycles'!$AT$12,'Lease Cycles'!$C$12*'Lease Cycles'!$AU$12/12,'Lease Cycles'!$C$12*INDEX('Lease Cycles'!$CB$12:$CH$12,1,AN78)*(1+INDEX('Lease Cycles'!$CI$12:$CO$12,1,AN78))^INT(INT(AN79/12)/INDEX('Lease Cycles'!$CP$12:$CV$12,1,AN78))/12)))),'Lease Cycles'!$C$12*INDEX('Lease Cycles'!$CB$12:$CH$12,1,AN78)*(1+INDEX('Lease Cycles'!$CI$12:$CO$12,1,AN78))^INT(INT(AN79/12)/INDEX('Lease Cycles'!$CP$12:$CV$12,1,AN78))/12),IF(INDEX('Lease Cycles'!$EF$12:$EL$12,1,AN78)=1,IF(AND('Lease Cycles'!$AZ$12&gt;=INDEX('Lease Cycles'!$BG$12:$BM$12,1,AN78),'Lease Cycles'!$AZ$12&lt;=AN$6),'Lease Cycles'!$C$12*'Lease Cycles'!$BA$12/12,IF(AND('Lease Cycles'!$AX$12&gt;=INDEX('Lease Cycles'!$BG$12:$BM$12,1,AN78),'Lease Cycles'!$AX$12&lt;=AN$6),'Lease Cycles'!$C$12*'Lease Cycles'!$AY$12/12,IF(AND('Lease Cycles'!$AV$12&gt;=INDEX('Lease Cycles'!$BG$12:$BM$12,1,AN78),'Lease Cycles'!$AV$12&lt;=AN$6),'Lease Cycles'!$C$12*'Lease Cycles'!$AW$12/12,IF(AND('Lease Cycles'!$AT$12&gt;=INDEX('Lease Cycles'!$BG$12:$BM$12,1,AN78),'Lease Cycles'!$AT$12&lt;=AN$6),'Lease Cycles'!$C$12*'Lease Cycles'!$AU$12/12,'Lease Cycles'!$C$12*INDEX('Lease Cycles'!$CB$12:$CH$12,1,AN78)*(1+INDEX('Lease Cycles'!$CI$12:$CO$12,1,AN78))^INT(INT(AN79/12)/INDEX('Lease Cycles'!$CP$12:$CV$12,1,AN78))/12)))),'Lease Cycles'!$C$12*INDEX('Lease Cycles'!$CB$12:$CH$12,1,AN78)*(1+INDEX('Lease Cycles'!$CI$12:$CO$12,1,AN78))^INT(INT(AN79/12)/INDEX('Lease Cycles'!$CP$12:$CV$12,1,AN78))/12))),IF('Lease Cycles'!$N$12=1,'Lease Cycles'!$C$12*'Lease Cycles'!$E$12*INDEX('Lease Cycles'!$HE$12:$HK$12,1,AN78)*(1+INDEX('Lease Cycles'!$GQ$12:$GW$12,1,AN78))^INT(INT((AN$6-INDEX('Lease Cycles'!$GJ$12:$GP$12,1,AN78))/12)/INDEX('Lease Cycles'!$GX$12:$HD$12,1,AN78))/12,0)))</f>
        <v>5000</v>
      </c>
      <c r="AO81" s="28">
        <f>IF(AO78=0,IF('Lease Cycles'!$F$12&gt;0,'Lease Cycles'!$C$12*'Lease Cycles'!$E$12/12,0),IF(AO80=1,IF('Lease Cycles'!$AT$12&gt;=9999,'Lease Cycles'!$C$12*INDEX('Lease Cycles'!$CB$12:$CH$12,1,AO78)*(1+INDEX('Lease Cycles'!$CI$12:$CO$12,1,AO78))^INT(INT(AO79/12)/INDEX('Lease Cycles'!$CP$12:$CV$12,1,AO78))/12,IF(AO78=1,IF(AO79&gt;=INDEX('Lease Cycles'!$DK$12:$DQ$12,1,AO78),IF(AO$6&gt;='Lease Cycles'!$AZ$12,'Lease Cycles'!$C$12*'Lease Cycles'!$BA$12/12,IF(AO$6&gt;='Lease Cycles'!$AX$12,'Lease Cycles'!$C$12*'Lease Cycles'!$AY$12/12,IF(AO$6&gt;='Lease Cycles'!$AV$12,'Lease Cycles'!$C$12*'Lease Cycles'!$AW$12/12,IF(AO$6&gt;='Lease Cycles'!$AT$12,'Lease Cycles'!$C$12*'Lease Cycles'!$AU$12/12,'Lease Cycles'!$C$12*INDEX('Lease Cycles'!$CB$12:$CH$12,1,AO78)*(1+INDEX('Lease Cycles'!$CI$12:$CO$12,1,AO78))^INT(INT(AO79/12)/INDEX('Lease Cycles'!$CP$12:$CV$12,1,AO78))/12)))),'Lease Cycles'!$C$12*INDEX('Lease Cycles'!$CB$12:$CH$12,1,AO78)*(1+INDEX('Lease Cycles'!$CI$12:$CO$12,1,AO78))^INT(INT(AO79/12)/INDEX('Lease Cycles'!$CP$12:$CV$12,1,AO78))/12),IF(INDEX('Lease Cycles'!$EF$12:$EL$12,1,AO78)=1,IF(AND('Lease Cycles'!$AZ$12&gt;=INDEX('Lease Cycles'!$BG$12:$BM$12,1,AO78),'Lease Cycles'!$AZ$12&lt;=AO$6),'Lease Cycles'!$C$12*'Lease Cycles'!$BA$12/12,IF(AND('Lease Cycles'!$AX$12&gt;=INDEX('Lease Cycles'!$BG$12:$BM$12,1,AO78),'Lease Cycles'!$AX$12&lt;=AO$6),'Lease Cycles'!$C$12*'Lease Cycles'!$AY$12/12,IF(AND('Lease Cycles'!$AV$12&gt;=INDEX('Lease Cycles'!$BG$12:$BM$12,1,AO78),'Lease Cycles'!$AV$12&lt;=AO$6),'Lease Cycles'!$C$12*'Lease Cycles'!$AW$12/12,IF(AND('Lease Cycles'!$AT$12&gt;=INDEX('Lease Cycles'!$BG$12:$BM$12,1,AO78),'Lease Cycles'!$AT$12&lt;=AO$6),'Lease Cycles'!$C$12*'Lease Cycles'!$AU$12/12,'Lease Cycles'!$C$12*INDEX('Lease Cycles'!$CB$12:$CH$12,1,AO78)*(1+INDEX('Lease Cycles'!$CI$12:$CO$12,1,AO78))^INT(INT(AO79/12)/INDEX('Lease Cycles'!$CP$12:$CV$12,1,AO78))/12)))),'Lease Cycles'!$C$12*INDEX('Lease Cycles'!$CB$12:$CH$12,1,AO78)*(1+INDEX('Lease Cycles'!$CI$12:$CO$12,1,AO78))^INT(INT(AO79/12)/INDEX('Lease Cycles'!$CP$12:$CV$12,1,AO78))/12))),IF('Lease Cycles'!$N$12=1,'Lease Cycles'!$C$12*'Lease Cycles'!$E$12*INDEX('Lease Cycles'!$HE$12:$HK$12,1,AO78)*(1+INDEX('Lease Cycles'!$GQ$12:$GW$12,1,AO78))^INT(INT((AO$6-INDEX('Lease Cycles'!$GJ$12:$GP$12,1,AO78))/12)/INDEX('Lease Cycles'!$GX$12:$HD$12,1,AO78))/12,0)))</f>
        <v>5278.431820321987</v>
      </c>
      <c r="AP81" s="28">
        <f>IF(AP78=0,IF('Lease Cycles'!$F$12&gt;0,'Lease Cycles'!$C$12*'Lease Cycles'!$E$12/12,0),IF(AP80=1,IF('Lease Cycles'!$AT$12&gt;=9999,'Lease Cycles'!$C$12*INDEX('Lease Cycles'!$CB$12:$CH$12,1,AP78)*(1+INDEX('Lease Cycles'!$CI$12:$CO$12,1,AP78))^INT(INT(AP79/12)/INDEX('Lease Cycles'!$CP$12:$CV$12,1,AP78))/12,IF(AP78=1,IF(AP79&gt;=INDEX('Lease Cycles'!$DK$12:$DQ$12,1,AP78),IF(AP$6&gt;='Lease Cycles'!$AZ$12,'Lease Cycles'!$C$12*'Lease Cycles'!$BA$12/12,IF(AP$6&gt;='Lease Cycles'!$AX$12,'Lease Cycles'!$C$12*'Lease Cycles'!$AY$12/12,IF(AP$6&gt;='Lease Cycles'!$AV$12,'Lease Cycles'!$C$12*'Lease Cycles'!$AW$12/12,IF(AP$6&gt;='Lease Cycles'!$AT$12,'Lease Cycles'!$C$12*'Lease Cycles'!$AU$12/12,'Lease Cycles'!$C$12*INDEX('Lease Cycles'!$CB$12:$CH$12,1,AP78)*(1+INDEX('Lease Cycles'!$CI$12:$CO$12,1,AP78))^INT(INT(AP79/12)/INDEX('Lease Cycles'!$CP$12:$CV$12,1,AP78))/12)))),'Lease Cycles'!$C$12*INDEX('Lease Cycles'!$CB$12:$CH$12,1,AP78)*(1+INDEX('Lease Cycles'!$CI$12:$CO$12,1,AP78))^INT(INT(AP79/12)/INDEX('Lease Cycles'!$CP$12:$CV$12,1,AP78))/12),IF(INDEX('Lease Cycles'!$EF$12:$EL$12,1,AP78)=1,IF(AND('Lease Cycles'!$AZ$12&gt;=INDEX('Lease Cycles'!$BG$12:$BM$12,1,AP78),'Lease Cycles'!$AZ$12&lt;=AP$6),'Lease Cycles'!$C$12*'Lease Cycles'!$BA$12/12,IF(AND('Lease Cycles'!$AX$12&gt;=INDEX('Lease Cycles'!$BG$12:$BM$12,1,AP78),'Lease Cycles'!$AX$12&lt;=AP$6),'Lease Cycles'!$C$12*'Lease Cycles'!$AY$12/12,IF(AND('Lease Cycles'!$AV$12&gt;=INDEX('Lease Cycles'!$BG$12:$BM$12,1,AP78),'Lease Cycles'!$AV$12&lt;=AP$6),'Lease Cycles'!$C$12*'Lease Cycles'!$AW$12/12,IF(AND('Lease Cycles'!$AT$12&gt;=INDEX('Lease Cycles'!$BG$12:$BM$12,1,AP78),'Lease Cycles'!$AT$12&lt;=AP$6),'Lease Cycles'!$C$12*'Lease Cycles'!$AU$12/12,'Lease Cycles'!$C$12*INDEX('Lease Cycles'!$CB$12:$CH$12,1,AP78)*(1+INDEX('Lease Cycles'!$CI$12:$CO$12,1,AP78))^INT(INT(AP79/12)/INDEX('Lease Cycles'!$CP$12:$CV$12,1,AP78))/12)))),'Lease Cycles'!$C$12*INDEX('Lease Cycles'!$CB$12:$CH$12,1,AP78)*(1+INDEX('Lease Cycles'!$CI$12:$CO$12,1,AP78))^INT(INT(AP79/12)/INDEX('Lease Cycles'!$CP$12:$CV$12,1,AP78))/12))),IF('Lease Cycles'!$N$12=1,'Lease Cycles'!$C$12*'Lease Cycles'!$E$12*INDEX('Lease Cycles'!$HE$12:$HK$12,1,AP78)*(1+INDEX('Lease Cycles'!$GQ$12:$GW$12,1,AP78))^INT(INT((AP$6-INDEX('Lease Cycles'!$GJ$12:$GP$12,1,AP78))/12)/INDEX('Lease Cycles'!$GX$12:$HD$12,1,AP78))/12,0)))</f>
        <v>3263.060745252127</v>
      </c>
      <c r="AQ81" s="28">
        <f>IF(AQ78=0,IF('Lease Cycles'!$F$12&gt;0,'Lease Cycles'!$C$12*'Lease Cycles'!$E$12/12,0),IF(AQ80=1,IF('Lease Cycles'!$AT$12&gt;=9999,'Lease Cycles'!$C$12*INDEX('Lease Cycles'!$CB$12:$CH$12,1,AQ78)*(1+INDEX('Lease Cycles'!$CI$12:$CO$12,1,AQ78))^INT(INT(AQ79/12)/INDEX('Lease Cycles'!$CP$12:$CV$12,1,AQ78))/12,IF(AQ78=1,IF(AQ79&gt;=INDEX('Lease Cycles'!$DK$12:$DQ$12,1,AQ78),IF(AQ$6&gt;='Lease Cycles'!$AZ$12,'Lease Cycles'!$C$12*'Lease Cycles'!$BA$12/12,IF(AQ$6&gt;='Lease Cycles'!$AX$12,'Lease Cycles'!$C$12*'Lease Cycles'!$AY$12/12,IF(AQ$6&gt;='Lease Cycles'!$AV$12,'Lease Cycles'!$C$12*'Lease Cycles'!$AW$12/12,IF(AQ$6&gt;='Lease Cycles'!$AT$12,'Lease Cycles'!$C$12*'Lease Cycles'!$AU$12/12,'Lease Cycles'!$C$12*INDEX('Lease Cycles'!$CB$12:$CH$12,1,AQ78)*(1+INDEX('Lease Cycles'!$CI$12:$CO$12,1,AQ78))^INT(INT(AQ79/12)/INDEX('Lease Cycles'!$CP$12:$CV$12,1,AQ78))/12)))),'Lease Cycles'!$C$12*INDEX('Lease Cycles'!$CB$12:$CH$12,1,AQ78)*(1+INDEX('Lease Cycles'!$CI$12:$CO$12,1,AQ78))^INT(INT(AQ79/12)/INDEX('Lease Cycles'!$CP$12:$CV$12,1,AQ78))/12),IF(INDEX('Lease Cycles'!$EF$12:$EL$12,1,AQ78)=1,IF(AND('Lease Cycles'!$AZ$12&gt;=INDEX('Lease Cycles'!$BG$12:$BM$12,1,AQ78),'Lease Cycles'!$AZ$12&lt;=AQ$6),'Lease Cycles'!$C$12*'Lease Cycles'!$BA$12/12,IF(AND('Lease Cycles'!$AX$12&gt;=INDEX('Lease Cycles'!$BG$12:$BM$12,1,AQ78),'Lease Cycles'!$AX$12&lt;=AQ$6),'Lease Cycles'!$C$12*'Lease Cycles'!$AY$12/12,IF(AND('Lease Cycles'!$AV$12&gt;=INDEX('Lease Cycles'!$BG$12:$BM$12,1,AQ78),'Lease Cycles'!$AV$12&lt;=AQ$6),'Lease Cycles'!$C$12*'Lease Cycles'!$AW$12/12,IF(AND('Lease Cycles'!$AT$12&gt;=INDEX('Lease Cycles'!$BG$12:$BM$12,1,AQ78),'Lease Cycles'!$AT$12&lt;=AQ$6),'Lease Cycles'!$C$12*'Lease Cycles'!$AU$12/12,'Lease Cycles'!$C$12*INDEX('Lease Cycles'!$CB$12:$CH$12,1,AQ78)*(1+INDEX('Lease Cycles'!$CI$12:$CO$12,1,AQ78))^INT(INT(AQ79/12)/INDEX('Lease Cycles'!$CP$12:$CV$12,1,AQ78))/12)))),'Lease Cycles'!$C$12*INDEX('Lease Cycles'!$CB$12:$CH$12,1,AQ78)*(1+INDEX('Lease Cycles'!$CI$12:$CO$12,1,AQ78))^INT(INT(AQ79/12)/INDEX('Lease Cycles'!$CP$12:$CV$12,1,AQ78))/12))),IF('Lease Cycles'!$N$12=1,'Lease Cycles'!$C$12*'Lease Cycles'!$E$12*INDEX('Lease Cycles'!$HE$12:$HK$12,1,AQ78)*(1+INDEX('Lease Cycles'!$GQ$12:$GW$12,1,AQ78))^INT(INT((AQ$6-INDEX('Lease Cycles'!$GJ$12:$GP$12,1,AQ78))/12)/INDEX('Lease Cycles'!$GX$12:$HD$12,1,AQ78))/12,0)))</f>
        <v>3263.060745252127</v>
      </c>
      <c r="AR81" s="28">
        <f>IF(AR78=0,IF('Lease Cycles'!$F$12&gt;0,'Lease Cycles'!$C$12*'Lease Cycles'!$E$12/12,0),IF(AR80=1,IF('Lease Cycles'!$AT$12&gt;=9999,'Lease Cycles'!$C$12*INDEX('Lease Cycles'!$CB$12:$CH$12,1,AR78)*(1+INDEX('Lease Cycles'!$CI$12:$CO$12,1,AR78))^INT(INT(AR79/12)/INDEX('Lease Cycles'!$CP$12:$CV$12,1,AR78))/12,IF(AR78=1,IF(AR79&gt;=INDEX('Lease Cycles'!$DK$12:$DQ$12,1,AR78),IF(AR$6&gt;='Lease Cycles'!$AZ$12,'Lease Cycles'!$C$12*'Lease Cycles'!$BA$12/12,IF(AR$6&gt;='Lease Cycles'!$AX$12,'Lease Cycles'!$C$12*'Lease Cycles'!$AY$12/12,IF(AR$6&gt;='Lease Cycles'!$AV$12,'Lease Cycles'!$C$12*'Lease Cycles'!$AW$12/12,IF(AR$6&gt;='Lease Cycles'!$AT$12,'Lease Cycles'!$C$12*'Lease Cycles'!$AU$12/12,'Lease Cycles'!$C$12*INDEX('Lease Cycles'!$CB$12:$CH$12,1,AR78)*(1+INDEX('Lease Cycles'!$CI$12:$CO$12,1,AR78))^INT(INT(AR79/12)/INDEX('Lease Cycles'!$CP$12:$CV$12,1,AR78))/12)))),'Lease Cycles'!$C$12*INDEX('Lease Cycles'!$CB$12:$CH$12,1,AR78)*(1+INDEX('Lease Cycles'!$CI$12:$CO$12,1,AR78))^INT(INT(AR79/12)/INDEX('Lease Cycles'!$CP$12:$CV$12,1,AR78))/12),IF(INDEX('Lease Cycles'!$EF$12:$EL$12,1,AR78)=1,IF(AND('Lease Cycles'!$AZ$12&gt;=INDEX('Lease Cycles'!$BG$12:$BM$12,1,AR78),'Lease Cycles'!$AZ$12&lt;=AR$6),'Lease Cycles'!$C$12*'Lease Cycles'!$BA$12/12,IF(AND('Lease Cycles'!$AX$12&gt;=INDEX('Lease Cycles'!$BG$12:$BM$12,1,AR78),'Lease Cycles'!$AX$12&lt;=AR$6),'Lease Cycles'!$C$12*'Lease Cycles'!$AY$12/12,IF(AND('Lease Cycles'!$AV$12&gt;=INDEX('Lease Cycles'!$BG$12:$BM$12,1,AR78),'Lease Cycles'!$AV$12&lt;=AR$6),'Lease Cycles'!$C$12*'Lease Cycles'!$AW$12/12,IF(AND('Lease Cycles'!$AT$12&gt;=INDEX('Lease Cycles'!$BG$12:$BM$12,1,AR78),'Lease Cycles'!$AT$12&lt;=AR$6),'Lease Cycles'!$C$12*'Lease Cycles'!$AU$12/12,'Lease Cycles'!$C$12*INDEX('Lease Cycles'!$CB$12:$CH$12,1,AR78)*(1+INDEX('Lease Cycles'!$CI$12:$CO$12,1,AR78))^INT(INT(AR79/12)/INDEX('Lease Cycles'!$CP$12:$CV$12,1,AR78))/12)))),'Lease Cycles'!$C$12*INDEX('Lease Cycles'!$CB$12:$CH$12,1,AR78)*(1+INDEX('Lease Cycles'!$CI$12:$CO$12,1,AR78))^INT(INT(AR79/12)/INDEX('Lease Cycles'!$CP$12:$CV$12,1,AR78))/12))),IF('Lease Cycles'!$N$12=1,'Lease Cycles'!$C$12*'Lease Cycles'!$E$12*INDEX('Lease Cycles'!$HE$12:$HK$12,1,AR78)*(1+INDEX('Lease Cycles'!$GQ$12:$GW$12,1,AR78))^INT(INT((AR$6-INDEX('Lease Cycles'!$GJ$12:$GP$12,1,AR78))/12)/INDEX('Lease Cycles'!$GX$12:$HD$12,1,AR78))/12,0)))</f>
        <v>3263.060745252127</v>
      </c>
      <c r="AS81" s="28">
        <f>IF(AS78=0,IF('Lease Cycles'!$F$12&gt;0,'Lease Cycles'!$C$12*'Lease Cycles'!$E$12/12,0),IF(AS80=1,IF('Lease Cycles'!$AT$12&gt;=9999,'Lease Cycles'!$C$12*INDEX('Lease Cycles'!$CB$12:$CH$12,1,AS78)*(1+INDEX('Lease Cycles'!$CI$12:$CO$12,1,AS78))^INT(INT(AS79/12)/INDEX('Lease Cycles'!$CP$12:$CV$12,1,AS78))/12,IF(AS78=1,IF(AS79&gt;=INDEX('Lease Cycles'!$DK$12:$DQ$12,1,AS78),IF(AS$6&gt;='Lease Cycles'!$AZ$12,'Lease Cycles'!$C$12*'Lease Cycles'!$BA$12/12,IF(AS$6&gt;='Lease Cycles'!$AX$12,'Lease Cycles'!$C$12*'Lease Cycles'!$AY$12/12,IF(AS$6&gt;='Lease Cycles'!$AV$12,'Lease Cycles'!$C$12*'Lease Cycles'!$AW$12/12,IF(AS$6&gt;='Lease Cycles'!$AT$12,'Lease Cycles'!$C$12*'Lease Cycles'!$AU$12/12,'Lease Cycles'!$C$12*INDEX('Lease Cycles'!$CB$12:$CH$12,1,AS78)*(1+INDEX('Lease Cycles'!$CI$12:$CO$12,1,AS78))^INT(INT(AS79/12)/INDEX('Lease Cycles'!$CP$12:$CV$12,1,AS78))/12)))),'Lease Cycles'!$C$12*INDEX('Lease Cycles'!$CB$12:$CH$12,1,AS78)*(1+INDEX('Lease Cycles'!$CI$12:$CO$12,1,AS78))^INT(INT(AS79/12)/INDEX('Lease Cycles'!$CP$12:$CV$12,1,AS78))/12),IF(INDEX('Lease Cycles'!$EF$12:$EL$12,1,AS78)=1,IF(AND('Lease Cycles'!$AZ$12&gt;=INDEX('Lease Cycles'!$BG$12:$BM$12,1,AS78),'Lease Cycles'!$AZ$12&lt;=AS$6),'Lease Cycles'!$C$12*'Lease Cycles'!$BA$12/12,IF(AND('Lease Cycles'!$AX$12&gt;=INDEX('Lease Cycles'!$BG$12:$BM$12,1,AS78),'Lease Cycles'!$AX$12&lt;=AS$6),'Lease Cycles'!$C$12*'Lease Cycles'!$AY$12/12,IF(AND('Lease Cycles'!$AV$12&gt;=INDEX('Lease Cycles'!$BG$12:$BM$12,1,AS78),'Lease Cycles'!$AV$12&lt;=AS$6),'Lease Cycles'!$C$12*'Lease Cycles'!$AW$12/12,IF(AND('Lease Cycles'!$AT$12&gt;=INDEX('Lease Cycles'!$BG$12:$BM$12,1,AS78),'Lease Cycles'!$AT$12&lt;=AS$6),'Lease Cycles'!$C$12*'Lease Cycles'!$AU$12/12,'Lease Cycles'!$C$12*INDEX('Lease Cycles'!$CB$12:$CH$12,1,AS78)*(1+INDEX('Lease Cycles'!$CI$12:$CO$12,1,AS78))^INT(INT(AS79/12)/INDEX('Lease Cycles'!$CP$12:$CV$12,1,AS78))/12)))),'Lease Cycles'!$C$12*INDEX('Lease Cycles'!$CB$12:$CH$12,1,AS78)*(1+INDEX('Lease Cycles'!$CI$12:$CO$12,1,AS78))^INT(INT(AS79/12)/INDEX('Lease Cycles'!$CP$12:$CV$12,1,AS78))/12))),IF('Lease Cycles'!$N$12=1,'Lease Cycles'!$C$12*'Lease Cycles'!$E$12*INDEX('Lease Cycles'!$HE$12:$HK$12,1,AS78)*(1+INDEX('Lease Cycles'!$GQ$12:$GW$12,1,AS78))^INT(INT((AS$6-INDEX('Lease Cycles'!$GJ$12:$GP$12,1,AS78))/12)/INDEX('Lease Cycles'!$GX$12:$HD$12,1,AS78))/12,0)))</f>
        <v>3263.060745252127</v>
      </c>
      <c r="AT81" s="28">
        <f>IF(AT78=0,IF('Lease Cycles'!$F$12&gt;0,'Lease Cycles'!$C$12*'Lease Cycles'!$E$12/12,0),IF(AT80=1,IF('Lease Cycles'!$AT$12&gt;=9999,'Lease Cycles'!$C$12*INDEX('Lease Cycles'!$CB$12:$CH$12,1,AT78)*(1+INDEX('Lease Cycles'!$CI$12:$CO$12,1,AT78))^INT(INT(AT79/12)/INDEX('Lease Cycles'!$CP$12:$CV$12,1,AT78))/12,IF(AT78=1,IF(AT79&gt;=INDEX('Lease Cycles'!$DK$12:$DQ$12,1,AT78),IF(AT$6&gt;='Lease Cycles'!$AZ$12,'Lease Cycles'!$C$12*'Lease Cycles'!$BA$12/12,IF(AT$6&gt;='Lease Cycles'!$AX$12,'Lease Cycles'!$C$12*'Lease Cycles'!$AY$12/12,IF(AT$6&gt;='Lease Cycles'!$AV$12,'Lease Cycles'!$C$12*'Lease Cycles'!$AW$12/12,IF(AT$6&gt;='Lease Cycles'!$AT$12,'Lease Cycles'!$C$12*'Lease Cycles'!$AU$12/12,'Lease Cycles'!$C$12*INDEX('Lease Cycles'!$CB$12:$CH$12,1,AT78)*(1+INDEX('Lease Cycles'!$CI$12:$CO$12,1,AT78))^INT(INT(AT79/12)/INDEX('Lease Cycles'!$CP$12:$CV$12,1,AT78))/12)))),'Lease Cycles'!$C$12*INDEX('Lease Cycles'!$CB$12:$CH$12,1,AT78)*(1+INDEX('Lease Cycles'!$CI$12:$CO$12,1,AT78))^INT(INT(AT79/12)/INDEX('Lease Cycles'!$CP$12:$CV$12,1,AT78))/12),IF(INDEX('Lease Cycles'!$EF$12:$EL$12,1,AT78)=1,IF(AND('Lease Cycles'!$AZ$12&gt;=INDEX('Lease Cycles'!$BG$12:$BM$12,1,AT78),'Lease Cycles'!$AZ$12&lt;=AT$6),'Lease Cycles'!$C$12*'Lease Cycles'!$BA$12/12,IF(AND('Lease Cycles'!$AX$12&gt;=INDEX('Lease Cycles'!$BG$12:$BM$12,1,AT78),'Lease Cycles'!$AX$12&lt;=AT$6),'Lease Cycles'!$C$12*'Lease Cycles'!$AY$12/12,IF(AND('Lease Cycles'!$AV$12&gt;=INDEX('Lease Cycles'!$BG$12:$BM$12,1,AT78),'Lease Cycles'!$AV$12&lt;=AT$6),'Lease Cycles'!$C$12*'Lease Cycles'!$AW$12/12,IF(AND('Lease Cycles'!$AT$12&gt;=INDEX('Lease Cycles'!$BG$12:$BM$12,1,AT78),'Lease Cycles'!$AT$12&lt;=AT$6),'Lease Cycles'!$C$12*'Lease Cycles'!$AU$12/12,'Lease Cycles'!$C$12*INDEX('Lease Cycles'!$CB$12:$CH$12,1,AT78)*(1+INDEX('Lease Cycles'!$CI$12:$CO$12,1,AT78))^INT(INT(AT79/12)/INDEX('Lease Cycles'!$CP$12:$CV$12,1,AT78))/12)))),'Lease Cycles'!$C$12*INDEX('Lease Cycles'!$CB$12:$CH$12,1,AT78)*(1+INDEX('Lease Cycles'!$CI$12:$CO$12,1,AT78))^INT(INT(AT79/12)/INDEX('Lease Cycles'!$CP$12:$CV$12,1,AT78))/12))),IF('Lease Cycles'!$N$12=1,'Lease Cycles'!$C$12*'Lease Cycles'!$E$12*INDEX('Lease Cycles'!$HE$12:$HK$12,1,AT78)*(1+INDEX('Lease Cycles'!$GQ$12:$GW$12,1,AT78))^INT(INT((AT$6-INDEX('Lease Cycles'!$GJ$12:$GP$12,1,AT78))/12)/INDEX('Lease Cycles'!$GX$12:$HD$12,1,AT78))/12,0)))</f>
        <v>3263.060745252127</v>
      </c>
      <c r="AU81" s="28">
        <f>IF(AU78=0,IF('Lease Cycles'!$F$12&gt;0,'Lease Cycles'!$C$12*'Lease Cycles'!$E$12/12,0),IF(AU80=1,IF('Lease Cycles'!$AT$12&gt;=9999,'Lease Cycles'!$C$12*INDEX('Lease Cycles'!$CB$12:$CH$12,1,AU78)*(1+INDEX('Lease Cycles'!$CI$12:$CO$12,1,AU78))^INT(INT(AU79/12)/INDEX('Lease Cycles'!$CP$12:$CV$12,1,AU78))/12,IF(AU78=1,IF(AU79&gt;=INDEX('Lease Cycles'!$DK$12:$DQ$12,1,AU78),IF(AU$6&gt;='Lease Cycles'!$AZ$12,'Lease Cycles'!$C$12*'Lease Cycles'!$BA$12/12,IF(AU$6&gt;='Lease Cycles'!$AX$12,'Lease Cycles'!$C$12*'Lease Cycles'!$AY$12/12,IF(AU$6&gt;='Lease Cycles'!$AV$12,'Lease Cycles'!$C$12*'Lease Cycles'!$AW$12/12,IF(AU$6&gt;='Lease Cycles'!$AT$12,'Lease Cycles'!$C$12*'Lease Cycles'!$AU$12/12,'Lease Cycles'!$C$12*INDEX('Lease Cycles'!$CB$12:$CH$12,1,AU78)*(1+INDEX('Lease Cycles'!$CI$12:$CO$12,1,AU78))^INT(INT(AU79/12)/INDEX('Lease Cycles'!$CP$12:$CV$12,1,AU78))/12)))),'Lease Cycles'!$C$12*INDEX('Lease Cycles'!$CB$12:$CH$12,1,AU78)*(1+INDEX('Lease Cycles'!$CI$12:$CO$12,1,AU78))^INT(INT(AU79/12)/INDEX('Lease Cycles'!$CP$12:$CV$12,1,AU78))/12),IF(INDEX('Lease Cycles'!$EF$12:$EL$12,1,AU78)=1,IF(AND('Lease Cycles'!$AZ$12&gt;=INDEX('Lease Cycles'!$BG$12:$BM$12,1,AU78),'Lease Cycles'!$AZ$12&lt;=AU$6),'Lease Cycles'!$C$12*'Lease Cycles'!$BA$12/12,IF(AND('Lease Cycles'!$AX$12&gt;=INDEX('Lease Cycles'!$BG$12:$BM$12,1,AU78),'Lease Cycles'!$AX$12&lt;=AU$6),'Lease Cycles'!$C$12*'Lease Cycles'!$AY$12/12,IF(AND('Lease Cycles'!$AV$12&gt;=INDEX('Lease Cycles'!$BG$12:$BM$12,1,AU78),'Lease Cycles'!$AV$12&lt;=AU$6),'Lease Cycles'!$C$12*'Lease Cycles'!$AW$12/12,IF(AND('Lease Cycles'!$AT$12&gt;=INDEX('Lease Cycles'!$BG$12:$BM$12,1,AU78),'Lease Cycles'!$AT$12&lt;=AU$6),'Lease Cycles'!$C$12*'Lease Cycles'!$AU$12/12,'Lease Cycles'!$C$12*INDEX('Lease Cycles'!$CB$12:$CH$12,1,AU78)*(1+INDEX('Lease Cycles'!$CI$12:$CO$12,1,AU78))^INT(INT(AU79/12)/INDEX('Lease Cycles'!$CP$12:$CV$12,1,AU78))/12)))),'Lease Cycles'!$C$12*INDEX('Lease Cycles'!$CB$12:$CH$12,1,AU78)*(1+INDEX('Lease Cycles'!$CI$12:$CO$12,1,AU78))^INT(INT(AU79/12)/INDEX('Lease Cycles'!$CP$12:$CV$12,1,AU78))/12))),IF('Lease Cycles'!$N$12=1,'Lease Cycles'!$C$12*'Lease Cycles'!$E$12*INDEX('Lease Cycles'!$HE$12:$HK$12,1,AU78)*(1+INDEX('Lease Cycles'!$GQ$12:$GW$12,1,AU78))^INT(INT((AU$6-INDEX('Lease Cycles'!$GJ$12:$GP$12,1,AU78))/12)/INDEX('Lease Cycles'!$GX$12:$HD$12,1,AU78))/12,0)))</f>
        <v>3263.060745252127</v>
      </c>
      <c r="AV81" s="28">
        <f>IF(AV78=0,IF('Lease Cycles'!$F$12&gt;0,'Lease Cycles'!$C$12*'Lease Cycles'!$E$12/12,0),IF(AV80=1,IF('Lease Cycles'!$AT$12&gt;=9999,'Lease Cycles'!$C$12*INDEX('Lease Cycles'!$CB$12:$CH$12,1,AV78)*(1+INDEX('Lease Cycles'!$CI$12:$CO$12,1,AV78))^INT(INT(AV79/12)/INDEX('Lease Cycles'!$CP$12:$CV$12,1,AV78))/12,IF(AV78=1,IF(AV79&gt;=INDEX('Lease Cycles'!$DK$12:$DQ$12,1,AV78),IF(AV$6&gt;='Lease Cycles'!$AZ$12,'Lease Cycles'!$C$12*'Lease Cycles'!$BA$12/12,IF(AV$6&gt;='Lease Cycles'!$AX$12,'Lease Cycles'!$C$12*'Lease Cycles'!$AY$12/12,IF(AV$6&gt;='Lease Cycles'!$AV$12,'Lease Cycles'!$C$12*'Lease Cycles'!$AW$12/12,IF(AV$6&gt;='Lease Cycles'!$AT$12,'Lease Cycles'!$C$12*'Lease Cycles'!$AU$12/12,'Lease Cycles'!$C$12*INDEX('Lease Cycles'!$CB$12:$CH$12,1,AV78)*(1+INDEX('Lease Cycles'!$CI$12:$CO$12,1,AV78))^INT(INT(AV79/12)/INDEX('Lease Cycles'!$CP$12:$CV$12,1,AV78))/12)))),'Lease Cycles'!$C$12*INDEX('Lease Cycles'!$CB$12:$CH$12,1,AV78)*(1+INDEX('Lease Cycles'!$CI$12:$CO$12,1,AV78))^INT(INT(AV79/12)/INDEX('Lease Cycles'!$CP$12:$CV$12,1,AV78))/12),IF(INDEX('Lease Cycles'!$EF$12:$EL$12,1,AV78)=1,IF(AND('Lease Cycles'!$AZ$12&gt;=INDEX('Lease Cycles'!$BG$12:$BM$12,1,AV78),'Lease Cycles'!$AZ$12&lt;=AV$6),'Lease Cycles'!$C$12*'Lease Cycles'!$BA$12/12,IF(AND('Lease Cycles'!$AX$12&gt;=INDEX('Lease Cycles'!$BG$12:$BM$12,1,AV78),'Lease Cycles'!$AX$12&lt;=AV$6),'Lease Cycles'!$C$12*'Lease Cycles'!$AY$12/12,IF(AND('Lease Cycles'!$AV$12&gt;=INDEX('Lease Cycles'!$BG$12:$BM$12,1,AV78),'Lease Cycles'!$AV$12&lt;=AV$6),'Lease Cycles'!$C$12*'Lease Cycles'!$AW$12/12,IF(AND('Lease Cycles'!$AT$12&gt;=INDEX('Lease Cycles'!$BG$12:$BM$12,1,AV78),'Lease Cycles'!$AT$12&lt;=AV$6),'Lease Cycles'!$C$12*'Lease Cycles'!$AU$12/12,'Lease Cycles'!$C$12*INDEX('Lease Cycles'!$CB$12:$CH$12,1,AV78)*(1+INDEX('Lease Cycles'!$CI$12:$CO$12,1,AV78))^INT(INT(AV79/12)/INDEX('Lease Cycles'!$CP$12:$CV$12,1,AV78))/12)))),'Lease Cycles'!$C$12*INDEX('Lease Cycles'!$CB$12:$CH$12,1,AV78)*(1+INDEX('Lease Cycles'!$CI$12:$CO$12,1,AV78))^INT(INT(AV79/12)/INDEX('Lease Cycles'!$CP$12:$CV$12,1,AV78))/12))),IF('Lease Cycles'!$N$12=1,'Lease Cycles'!$C$12*'Lease Cycles'!$E$12*INDEX('Lease Cycles'!$HE$12:$HK$12,1,AV78)*(1+INDEX('Lease Cycles'!$GQ$12:$GW$12,1,AV78))^INT(INT((AV$6-INDEX('Lease Cycles'!$GJ$12:$GP$12,1,AV78))/12)/INDEX('Lease Cycles'!$GX$12:$HD$12,1,AV78))/12,0)))</f>
        <v>3263.060745252127</v>
      </c>
      <c r="AW81" s="28">
        <f>IF(AW78=0,IF('Lease Cycles'!$F$12&gt;0,'Lease Cycles'!$C$12*'Lease Cycles'!$E$12/12,0),IF(AW80=1,IF('Lease Cycles'!$AT$12&gt;=9999,'Lease Cycles'!$C$12*INDEX('Lease Cycles'!$CB$12:$CH$12,1,AW78)*(1+INDEX('Lease Cycles'!$CI$12:$CO$12,1,AW78))^INT(INT(AW79/12)/INDEX('Lease Cycles'!$CP$12:$CV$12,1,AW78))/12,IF(AW78=1,IF(AW79&gt;=INDEX('Lease Cycles'!$DK$12:$DQ$12,1,AW78),IF(AW$6&gt;='Lease Cycles'!$AZ$12,'Lease Cycles'!$C$12*'Lease Cycles'!$BA$12/12,IF(AW$6&gt;='Lease Cycles'!$AX$12,'Lease Cycles'!$C$12*'Lease Cycles'!$AY$12/12,IF(AW$6&gt;='Lease Cycles'!$AV$12,'Lease Cycles'!$C$12*'Lease Cycles'!$AW$12/12,IF(AW$6&gt;='Lease Cycles'!$AT$12,'Lease Cycles'!$C$12*'Lease Cycles'!$AU$12/12,'Lease Cycles'!$C$12*INDEX('Lease Cycles'!$CB$12:$CH$12,1,AW78)*(1+INDEX('Lease Cycles'!$CI$12:$CO$12,1,AW78))^INT(INT(AW79/12)/INDEX('Lease Cycles'!$CP$12:$CV$12,1,AW78))/12)))),'Lease Cycles'!$C$12*INDEX('Lease Cycles'!$CB$12:$CH$12,1,AW78)*(1+INDEX('Lease Cycles'!$CI$12:$CO$12,1,AW78))^INT(INT(AW79/12)/INDEX('Lease Cycles'!$CP$12:$CV$12,1,AW78))/12),IF(INDEX('Lease Cycles'!$EF$12:$EL$12,1,AW78)=1,IF(AND('Lease Cycles'!$AZ$12&gt;=INDEX('Lease Cycles'!$BG$12:$BM$12,1,AW78),'Lease Cycles'!$AZ$12&lt;=AW$6),'Lease Cycles'!$C$12*'Lease Cycles'!$BA$12/12,IF(AND('Lease Cycles'!$AX$12&gt;=INDEX('Lease Cycles'!$BG$12:$BM$12,1,AW78),'Lease Cycles'!$AX$12&lt;=AW$6),'Lease Cycles'!$C$12*'Lease Cycles'!$AY$12/12,IF(AND('Lease Cycles'!$AV$12&gt;=INDEX('Lease Cycles'!$BG$12:$BM$12,1,AW78),'Lease Cycles'!$AV$12&lt;=AW$6),'Lease Cycles'!$C$12*'Lease Cycles'!$AW$12/12,IF(AND('Lease Cycles'!$AT$12&gt;=INDEX('Lease Cycles'!$BG$12:$BM$12,1,AW78),'Lease Cycles'!$AT$12&lt;=AW$6),'Lease Cycles'!$C$12*'Lease Cycles'!$AU$12/12,'Lease Cycles'!$C$12*INDEX('Lease Cycles'!$CB$12:$CH$12,1,AW78)*(1+INDEX('Lease Cycles'!$CI$12:$CO$12,1,AW78))^INT(INT(AW79/12)/INDEX('Lease Cycles'!$CP$12:$CV$12,1,AW78))/12)))),'Lease Cycles'!$C$12*INDEX('Lease Cycles'!$CB$12:$CH$12,1,AW78)*(1+INDEX('Lease Cycles'!$CI$12:$CO$12,1,AW78))^INT(INT(AW79/12)/INDEX('Lease Cycles'!$CP$12:$CV$12,1,AW78))/12))),IF('Lease Cycles'!$N$12=1,'Lease Cycles'!$C$12*'Lease Cycles'!$E$12*INDEX('Lease Cycles'!$HE$12:$HK$12,1,AW78)*(1+INDEX('Lease Cycles'!$GQ$12:$GW$12,1,AW78))^INT(INT((AW$6-INDEX('Lease Cycles'!$GJ$12:$GP$12,1,AW78))/12)/INDEX('Lease Cycles'!$GX$12:$HD$12,1,AW78))/12,0)))</f>
        <v>3263.060745252127</v>
      </c>
      <c r="AX81" s="28">
        <f>IF(AX78=0,IF('Lease Cycles'!$F$12&gt;0,'Lease Cycles'!$C$12*'Lease Cycles'!$E$12/12,0),IF(AX80=1,IF('Lease Cycles'!$AT$12&gt;=9999,'Lease Cycles'!$C$12*INDEX('Lease Cycles'!$CB$12:$CH$12,1,AX78)*(1+INDEX('Lease Cycles'!$CI$12:$CO$12,1,AX78))^INT(INT(AX79/12)/INDEX('Lease Cycles'!$CP$12:$CV$12,1,AX78))/12,IF(AX78=1,IF(AX79&gt;=INDEX('Lease Cycles'!$DK$12:$DQ$12,1,AX78),IF(AX$6&gt;='Lease Cycles'!$AZ$12,'Lease Cycles'!$C$12*'Lease Cycles'!$BA$12/12,IF(AX$6&gt;='Lease Cycles'!$AX$12,'Lease Cycles'!$C$12*'Lease Cycles'!$AY$12/12,IF(AX$6&gt;='Lease Cycles'!$AV$12,'Lease Cycles'!$C$12*'Lease Cycles'!$AW$12/12,IF(AX$6&gt;='Lease Cycles'!$AT$12,'Lease Cycles'!$C$12*'Lease Cycles'!$AU$12/12,'Lease Cycles'!$C$12*INDEX('Lease Cycles'!$CB$12:$CH$12,1,AX78)*(1+INDEX('Lease Cycles'!$CI$12:$CO$12,1,AX78))^INT(INT(AX79/12)/INDEX('Lease Cycles'!$CP$12:$CV$12,1,AX78))/12)))),'Lease Cycles'!$C$12*INDEX('Lease Cycles'!$CB$12:$CH$12,1,AX78)*(1+INDEX('Lease Cycles'!$CI$12:$CO$12,1,AX78))^INT(INT(AX79/12)/INDEX('Lease Cycles'!$CP$12:$CV$12,1,AX78))/12),IF(INDEX('Lease Cycles'!$EF$12:$EL$12,1,AX78)=1,IF(AND('Lease Cycles'!$AZ$12&gt;=INDEX('Lease Cycles'!$BG$12:$BM$12,1,AX78),'Lease Cycles'!$AZ$12&lt;=AX$6),'Lease Cycles'!$C$12*'Lease Cycles'!$BA$12/12,IF(AND('Lease Cycles'!$AX$12&gt;=INDEX('Lease Cycles'!$BG$12:$BM$12,1,AX78),'Lease Cycles'!$AX$12&lt;=AX$6),'Lease Cycles'!$C$12*'Lease Cycles'!$AY$12/12,IF(AND('Lease Cycles'!$AV$12&gt;=INDEX('Lease Cycles'!$BG$12:$BM$12,1,AX78),'Lease Cycles'!$AV$12&lt;=AX$6),'Lease Cycles'!$C$12*'Lease Cycles'!$AW$12/12,IF(AND('Lease Cycles'!$AT$12&gt;=INDEX('Lease Cycles'!$BG$12:$BM$12,1,AX78),'Lease Cycles'!$AT$12&lt;=AX$6),'Lease Cycles'!$C$12*'Lease Cycles'!$AU$12/12,'Lease Cycles'!$C$12*INDEX('Lease Cycles'!$CB$12:$CH$12,1,AX78)*(1+INDEX('Lease Cycles'!$CI$12:$CO$12,1,AX78))^INT(INT(AX79/12)/INDEX('Lease Cycles'!$CP$12:$CV$12,1,AX78))/12)))),'Lease Cycles'!$C$12*INDEX('Lease Cycles'!$CB$12:$CH$12,1,AX78)*(1+INDEX('Lease Cycles'!$CI$12:$CO$12,1,AX78))^INT(INT(AX79/12)/INDEX('Lease Cycles'!$CP$12:$CV$12,1,AX78))/12))),IF('Lease Cycles'!$N$12=1,'Lease Cycles'!$C$12*'Lease Cycles'!$E$12*INDEX('Lease Cycles'!$HE$12:$HK$12,1,AX78)*(1+INDEX('Lease Cycles'!$GQ$12:$GW$12,1,AX78))^INT(INT((AX$6-INDEX('Lease Cycles'!$GJ$12:$GP$12,1,AX78))/12)/INDEX('Lease Cycles'!$GX$12:$HD$12,1,AX78))/12,0)))</f>
        <v>3263.060745252127</v>
      </c>
      <c r="AY81" s="28">
        <f>IF(AY78=0,IF('Lease Cycles'!$F$12&gt;0,'Lease Cycles'!$C$12*'Lease Cycles'!$E$12/12,0),IF(AY80=1,IF('Lease Cycles'!$AT$12&gt;=9999,'Lease Cycles'!$C$12*INDEX('Lease Cycles'!$CB$12:$CH$12,1,AY78)*(1+INDEX('Lease Cycles'!$CI$12:$CO$12,1,AY78))^INT(INT(AY79/12)/INDEX('Lease Cycles'!$CP$12:$CV$12,1,AY78))/12,IF(AY78=1,IF(AY79&gt;=INDEX('Lease Cycles'!$DK$12:$DQ$12,1,AY78),IF(AY$6&gt;='Lease Cycles'!$AZ$12,'Lease Cycles'!$C$12*'Lease Cycles'!$BA$12/12,IF(AY$6&gt;='Lease Cycles'!$AX$12,'Lease Cycles'!$C$12*'Lease Cycles'!$AY$12/12,IF(AY$6&gt;='Lease Cycles'!$AV$12,'Lease Cycles'!$C$12*'Lease Cycles'!$AW$12/12,IF(AY$6&gt;='Lease Cycles'!$AT$12,'Lease Cycles'!$C$12*'Lease Cycles'!$AU$12/12,'Lease Cycles'!$C$12*INDEX('Lease Cycles'!$CB$12:$CH$12,1,AY78)*(1+INDEX('Lease Cycles'!$CI$12:$CO$12,1,AY78))^INT(INT(AY79/12)/INDEX('Lease Cycles'!$CP$12:$CV$12,1,AY78))/12)))),'Lease Cycles'!$C$12*INDEX('Lease Cycles'!$CB$12:$CH$12,1,AY78)*(1+INDEX('Lease Cycles'!$CI$12:$CO$12,1,AY78))^INT(INT(AY79/12)/INDEX('Lease Cycles'!$CP$12:$CV$12,1,AY78))/12),IF(INDEX('Lease Cycles'!$EF$12:$EL$12,1,AY78)=1,IF(AND('Lease Cycles'!$AZ$12&gt;=INDEX('Lease Cycles'!$BG$12:$BM$12,1,AY78),'Lease Cycles'!$AZ$12&lt;=AY$6),'Lease Cycles'!$C$12*'Lease Cycles'!$BA$12/12,IF(AND('Lease Cycles'!$AX$12&gt;=INDEX('Lease Cycles'!$BG$12:$BM$12,1,AY78),'Lease Cycles'!$AX$12&lt;=AY$6),'Lease Cycles'!$C$12*'Lease Cycles'!$AY$12/12,IF(AND('Lease Cycles'!$AV$12&gt;=INDEX('Lease Cycles'!$BG$12:$BM$12,1,AY78),'Lease Cycles'!$AV$12&lt;=AY$6),'Lease Cycles'!$C$12*'Lease Cycles'!$AW$12/12,IF(AND('Lease Cycles'!$AT$12&gt;=INDEX('Lease Cycles'!$BG$12:$BM$12,1,AY78),'Lease Cycles'!$AT$12&lt;=AY$6),'Lease Cycles'!$C$12*'Lease Cycles'!$AU$12/12,'Lease Cycles'!$C$12*INDEX('Lease Cycles'!$CB$12:$CH$12,1,AY78)*(1+INDEX('Lease Cycles'!$CI$12:$CO$12,1,AY78))^INT(INT(AY79/12)/INDEX('Lease Cycles'!$CP$12:$CV$12,1,AY78))/12)))),'Lease Cycles'!$C$12*INDEX('Lease Cycles'!$CB$12:$CH$12,1,AY78)*(1+INDEX('Lease Cycles'!$CI$12:$CO$12,1,AY78))^INT(INT(AY79/12)/INDEX('Lease Cycles'!$CP$12:$CV$12,1,AY78))/12))),IF('Lease Cycles'!$N$12=1,'Lease Cycles'!$C$12*'Lease Cycles'!$E$12*INDEX('Lease Cycles'!$HE$12:$HK$12,1,AY78)*(1+INDEX('Lease Cycles'!$GQ$12:$GW$12,1,AY78))^INT(INT((AY$6-INDEX('Lease Cycles'!$GJ$12:$GP$12,1,AY78))/12)/INDEX('Lease Cycles'!$GX$12:$HD$12,1,AY78))/12,0)))</f>
        <v>3263.060745252127</v>
      </c>
      <c r="AZ81" s="28">
        <f>IF(AZ78=0,IF('Lease Cycles'!$F$12&gt;0,'Lease Cycles'!$C$12*'Lease Cycles'!$E$12/12,0),IF(AZ80=1,IF('Lease Cycles'!$AT$12&gt;=9999,'Lease Cycles'!$C$12*INDEX('Lease Cycles'!$CB$12:$CH$12,1,AZ78)*(1+INDEX('Lease Cycles'!$CI$12:$CO$12,1,AZ78))^INT(INT(AZ79/12)/INDEX('Lease Cycles'!$CP$12:$CV$12,1,AZ78))/12,IF(AZ78=1,IF(AZ79&gt;=INDEX('Lease Cycles'!$DK$12:$DQ$12,1,AZ78),IF(AZ$6&gt;='Lease Cycles'!$AZ$12,'Lease Cycles'!$C$12*'Lease Cycles'!$BA$12/12,IF(AZ$6&gt;='Lease Cycles'!$AX$12,'Lease Cycles'!$C$12*'Lease Cycles'!$AY$12/12,IF(AZ$6&gt;='Lease Cycles'!$AV$12,'Lease Cycles'!$C$12*'Lease Cycles'!$AW$12/12,IF(AZ$6&gt;='Lease Cycles'!$AT$12,'Lease Cycles'!$C$12*'Lease Cycles'!$AU$12/12,'Lease Cycles'!$C$12*INDEX('Lease Cycles'!$CB$12:$CH$12,1,AZ78)*(1+INDEX('Lease Cycles'!$CI$12:$CO$12,1,AZ78))^INT(INT(AZ79/12)/INDEX('Lease Cycles'!$CP$12:$CV$12,1,AZ78))/12)))),'Lease Cycles'!$C$12*INDEX('Lease Cycles'!$CB$12:$CH$12,1,AZ78)*(1+INDEX('Lease Cycles'!$CI$12:$CO$12,1,AZ78))^INT(INT(AZ79/12)/INDEX('Lease Cycles'!$CP$12:$CV$12,1,AZ78))/12),IF(INDEX('Lease Cycles'!$EF$12:$EL$12,1,AZ78)=1,IF(AND('Lease Cycles'!$AZ$12&gt;=INDEX('Lease Cycles'!$BG$12:$BM$12,1,AZ78),'Lease Cycles'!$AZ$12&lt;=AZ$6),'Lease Cycles'!$C$12*'Lease Cycles'!$BA$12/12,IF(AND('Lease Cycles'!$AX$12&gt;=INDEX('Lease Cycles'!$BG$12:$BM$12,1,AZ78),'Lease Cycles'!$AX$12&lt;=AZ$6),'Lease Cycles'!$C$12*'Lease Cycles'!$AY$12/12,IF(AND('Lease Cycles'!$AV$12&gt;=INDEX('Lease Cycles'!$BG$12:$BM$12,1,AZ78),'Lease Cycles'!$AV$12&lt;=AZ$6),'Lease Cycles'!$C$12*'Lease Cycles'!$AW$12/12,IF(AND('Lease Cycles'!$AT$12&gt;=INDEX('Lease Cycles'!$BG$12:$BM$12,1,AZ78),'Lease Cycles'!$AT$12&lt;=AZ$6),'Lease Cycles'!$C$12*'Lease Cycles'!$AU$12/12,'Lease Cycles'!$C$12*INDEX('Lease Cycles'!$CB$12:$CH$12,1,AZ78)*(1+INDEX('Lease Cycles'!$CI$12:$CO$12,1,AZ78))^INT(INT(AZ79/12)/INDEX('Lease Cycles'!$CP$12:$CV$12,1,AZ78))/12)))),'Lease Cycles'!$C$12*INDEX('Lease Cycles'!$CB$12:$CH$12,1,AZ78)*(1+INDEX('Lease Cycles'!$CI$12:$CO$12,1,AZ78))^INT(INT(AZ79/12)/INDEX('Lease Cycles'!$CP$12:$CV$12,1,AZ78))/12))),IF('Lease Cycles'!$N$12=1,'Lease Cycles'!$C$12*'Lease Cycles'!$E$12*INDEX('Lease Cycles'!$HE$12:$HK$12,1,AZ78)*(1+INDEX('Lease Cycles'!$GQ$12:$GW$12,1,AZ78))^INT(INT((AZ$6-INDEX('Lease Cycles'!$GJ$12:$GP$12,1,AZ78))/12)/INDEX('Lease Cycles'!$GX$12:$HD$12,1,AZ78))/12,0)))</f>
        <v>3263.060745252127</v>
      </c>
      <c r="BA81" s="28">
        <f>IF(BA78=0,IF('Lease Cycles'!$F$12&gt;0,'Lease Cycles'!$C$12*'Lease Cycles'!$E$12/12,0),IF(BA80=1,IF('Lease Cycles'!$AT$12&gt;=9999,'Lease Cycles'!$C$12*INDEX('Lease Cycles'!$CB$12:$CH$12,1,BA78)*(1+INDEX('Lease Cycles'!$CI$12:$CO$12,1,BA78))^INT(INT(BA79/12)/INDEX('Lease Cycles'!$CP$12:$CV$12,1,BA78))/12,IF(BA78=1,IF(BA79&gt;=INDEX('Lease Cycles'!$DK$12:$DQ$12,1,BA78),IF(BA$6&gt;='Lease Cycles'!$AZ$12,'Lease Cycles'!$C$12*'Lease Cycles'!$BA$12/12,IF(BA$6&gt;='Lease Cycles'!$AX$12,'Lease Cycles'!$C$12*'Lease Cycles'!$AY$12/12,IF(BA$6&gt;='Lease Cycles'!$AV$12,'Lease Cycles'!$C$12*'Lease Cycles'!$AW$12/12,IF(BA$6&gt;='Lease Cycles'!$AT$12,'Lease Cycles'!$C$12*'Lease Cycles'!$AU$12/12,'Lease Cycles'!$C$12*INDEX('Lease Cycles'!$CB$12:$CH$12,1,BA78)*(1+INDEX('Lease Cycles'!$CI$12:$CO$12,1,BA78))^INT(INT(BA79/12)/INDEX('Lease Cycles'!$CP$12:$CV$12,1,BA78))/12)))),'Lease Cycles'!$C$12*INDEX('Lease Cycles'!$CB$12:$CH$12,1,BA78)*(1+INDEX('Lease Cycles'!$CI$12:$CO$12,1,BA78))^INT(INT(BA79/12)/INDEX('Lease Cycles'!$CP$12:$CV$12,1,BA78))/12),IF(INDEX('Lease Cycles'!$EF$12:$EL$12,1,BA78)=1,IF(AND('Lease Cycles'!$AZ$12&gt;=INDEX('Lease Cycles'!$BG$12:$BM$12,1,BA78),'Lease Cycles'!$AZ$12&lt;=BA$6),'Lease Cycles'!$C$12*'Lease Cycles'!$BA$12/12,IF(AND('Lease Cycles'!$AX$12&gt;=INDEX('Lease Cycles'!$BG$12:$BM$12,1,BA78),'Lease Cycles'!$AX$12&lt;=BA$6),'Lease Cycles'!$C$12*'Lease Cycles'!$AY$12/12,IF(AND('Lease Cycles'!$AV$12&gt;=INDEX('Lease Cycles'!$BG$12:$BM$12,1,BA78),'Lease Cycles'!$AV$12&lt;=BA$6),'Lease Cycles'!$C$12*'Lease Cycles'!$AW$12/12,IF(AND('Lease Cycles'!$AT$12&gt;=INDEX('Lease Cycles'!$BG$12:$BM$12,1,BA78),'Lease Cycles'!$AT$12&lt;=BA$6),'Lease Cycles'!$C$12*'Lease Cycles'!$AU$12/12,'Lease Cycles'!$C$12*INDEX('Lease Cycles'!$CB$12:$CH$12,1,BA78)*(1+INDEX('Lease Cycles'!$CI$12:$CO$12,1,BA78))^INT(INT(BA79/12)/INDEX('Lease Cycles'!$CP$12:$CV$12,1,BA78))/12)))),'Lease Cycles'!$C$12*INDEX('Lease Cycles'!$CB$12:$CH$12,1,BA78)*(1+INDEX('Lease Cycles'!$CI$12:$CO$12,1,BA78))^INT(INT(BA79/12)/INDEX('Lease Cycles'!$CP$12:$CV$12,1,BA78))/12))),IF('Lease Cycles'!$N$12=1,'Lease Cycles'!$C$12*'Lease Cycles'!$E$12*INDEX('Lease Cycles'!$HE$12:$HK$12,1,BA78)*(1+INDEX('Lease Cycles'!$GQ$12:$GW$12,1,BA78))^INT(INT((BA$6-INDEX('Lease Cycles'!$GJ$12:$GP$12,1,BA78))/12)/INDEX('Lease Cycles'!$GX$12:$HD$12,1,BA78))/12,0)))</f>
        <v>3263.060745252127</v>
      </c>
      <c r="BB81" s="28">
        <f>IF(BB78=0,IF('Lease Cycles'!$F$12&gt;0,'Lease Cycles'!$C$12*'Lease Cycles'!$E$12/12,0),IF(BB80=1,IF('Lease Cycles'!$AT$12&gt;=9999,'Lease Cycles'!$C$12*INDEX('Lease Cycles'!$CB$12:$CH$12,1,BB78)*(1+INDEX('Lease Cycles'!$CI$12:$CO$12,1,BB78))^INT(INT(BB79/12)/INDEX('Lease Cycles'!$CP$12:$CV$12,1,BB78))/12,IF(BB78=1,IF(BB79&gt;=INDEX('Lease Cycles'!$DK$12:$DQ$12,1,BB78),IF(BB$6&gt;='Lease Cycles'!$AZ$12,'Lease Cycles'!$C$12*'Lease Cycles'!$BA$12/12,IF(BB$6&gt;='Lease Cycles'!$AX$12,'Lease Cycles'!$C$12*'Lease Cycles'!$AY$12/12,IF(BB$6&gt;='Lease Cycles'!$AV$12,'Lease Cycles'!$C$12*'Lease Cycles'!$AW$12/12,IF(BB$6&gt;='Lease Cycles'!$AT$12,'Lease Cycles'!$C$12*'Lease Cycles'!$AU$12/12,'Lease Cycles'!$C$12*INDEX('Lease Cycles'!$CB$12:$CH$12,1,BB78)*(1+INDEX('Lease Cycles'!$CI$12:$CO$12,1,BB78))^INT(INT(BB79/12)/INDEX('Lease Cycles'!$CP$12:$CV$12,1,BB78))/12)))),'Lease Cycles'!$C$12*INDEX('Lease Cycles'!$CB$12:$CH$12,1,BB78)*(1+INDEX('Lease Cycles'!$CI$12:$CO$12,1,BB78))^INT(INT(BB79/12)/INDEX('Lease Cycles'!$CP$12:$CV$12,1,BB78))/12),IF(INDEX('Lease Cycles'!$EF$12:$EL$12,1,BB78)=1,IF(AND('Lease Cycles'!$AZ$12&gt;=INDEX('Lease Cycles'!$BG$12:$BM$12,1,BB78),'Lease Cycles'!$AZ$12&lt;=BB$6),'Lease Cycles'!$C$12*'Lease Cycles'!$BA$12/12,IF(AND('Lease Cycles'!$AX$12&gt;=INDEX('Lease Cycles'!$BG$12:$BM$12,1,BB78),'Lease Cycles'!$AX$12&lt;=BB$6),'Lease Cycles'!$C$12*'Lease Cycles'!$AY$12/12,IF(AND('Lease Cycles'!$AV$12&gt;=INDEX('Lease Cycles'!$BG$12:$BM$12,1,BB78),'Lease Cycles'!$AV$12&lt;=BB$6),'Lease Cycles'!$C$12*'Lease Cycles'!$AW$12/12,IF(AND('Lease Cycles'!$AT$12&gt;=INDEX('Lease Cycles'!$BG$12:$BM$12,1,BB78),'Lease Cycles'!$AT$12&lt;=BB$6),'Lease Cycles'!$C$12*'Lease Cycles'!$AU$12/12,'Lease Cycles'!$C$12*INDEX('Lease Cycles'!$CB$12:$CH$12,1,BB78)*(1+INDEX('Lease Cycles'!$CI$12:$CO$12,1,BB78))^INT(INT(BB79/12)/INDEX('Lease Cycles'!$CP$12:$CV$12,1,BB78))/12)))),'Lease Cycles'!$C$12*INDEX('Lease Cycles'!$CB$12:$CH$12,1,BB78)*(1+INDEX('Lease Cycles'!$CI$12:$CO$12,1,BB78))^INT(INT(BB79/12)/INDEX('Lease Cycles'!$CP$12:$CV$12,1,BB78))/12))),IF('Lease Cycles'!$N$12=1,'Lease Cycles'!$C$12*'Lease Cycles'!$E$12*INDEX('Lease Cycles'!$HE$12:$HK$12,1,BB78)*(1+INDEX('Lease Cycles'!$GQ$12:$GW$12,1,BB78))^INT(INT((BB$6-INDEX('Lease Cycles'!$GJ$12:$GP$12,1,BB78))/12)/INDEX('Lease Cycles'!$GX$12:$HD$12,1,BB78))/12,0)))</f>
        <v>3360.952567609691</v>
      </c>
      <c r="BC81" s="28">
        <f>IF(BC78=0,IF('Lease Cycles'!$F$12&gt;0,'Lease Cycles'!$C$12*'Lease Cycles'!$E$12/12,0),IF(BC80=1,IF('Lease Cycles'!$AT$12&gt;=9999,'Lease Cycles'!$C$12*INDEX('Lease Cycles'!$CB$12:$CH$12,1,BC78)*(1+INDEX('Lease Cycles'!$CI$12:$CO$12,1,BC78))^INT(INT(BC79/12)/INDEX('Lease Cycles'!$CP$12:$CV$12,1,BC78))/12,IF(BC78=1,IF(BC79&gt;=INDEX('Lease Cycles'!$DK$12:$DQ$12,1,BC78),IF(BC$6&gt;='Lease Cycles'!$AZ$12,'Lease Cycles'!$C$12*'Lease Cycles'!$BA$12/12,IF(BC$6&gt;='Lease Cycles'!$AX$12,'Lease Cycles'!$C$12*'Lease Cycles'!$AY$12/12,IF(BC$6&gt;='Lease Cycles'!$AV$12,'Lease Cycles'!$C$12*'Lease Cycles'!$AW$12/12,IF(BC$6&gt;='Lease Cycles'!$AT$12,'Lease Cycles'!$C$12*'Lease Cycles'!$AU$12/12,'Lease Cycles'!$C$12*INDEX('Lease Cycles'!$CB$12:$CH$12,1,BC78)*(1+INDEX('Lease Cycles'!$CI$12:$CO$12,1,BC78))^INT(INT(BC79/12)/INDEX('Lease Cycles'!$CP$12:$CV$12,1,BC78))/12)))),'Lease Cycles'!$C$12*INDEX('Lease Cycles'!$CB$12:$CH$12,1,BC78)*(1+INDEX('Lease Cycles'!$CI$12:$CO$12,1,BC78))^INT(INT(BC79/12)/INDEX('Lease Cycles'!$CP$12:$CV$12,1,BC78))/12),IF(INDEX('Lease Cycles'!$EF$12:$EL$12,1,BC78)=1,IF(AND('Lease Cycles'!$AZ$12&gt;=INDEX('Lease Cycles'!$BG$12:$BM$12,1,BC78),'Lease Cycles'!$AZ$12&lt;=BC$6),'Lease Cycles'!$C$12*'Lease Cycles'!$BA$12/12,IF(AND('Lease Cycles'!$AX$12&gt;=INDEX('Lease Cycles'!$BG$12:$BM$12,1,BC78),'Lease Cycles'!$AX$12&lt;=BC$6),'Lease Cycles'!$C$12*'Lease Cycles'!$AY$12/12,IF(AND('Lease Cycles'!$AV$12&gt;=INDEX('Lease Cycles'!$BG$12:$BM$12,1,BC78),'Lease Cycles'!$AV$12&lt;=BC$6),'Lease Cycles'!$C$12*'Lease Cycles'!$AW$12/12,IF(AND('Lease Cycles'!$AT$12&gt;=INDEX('Lease Cycles'!$BG$12:$BM$12,1,BC78),'Lease Cycles'!$AT$12&lt;=BC$6),'Lease Cycles'!$C$12*'Lease Cycles'!$AU$12/12,'Lease Cycles'!$C$12*INDEX('Lease Cycles'!$CB$12:$CH$12,1,BC78)*(1+INDEX('Lease Cycles'!$CI$12:$CO$12,1,BC78))^INT(INT(BC79/12)/INDEX('Lease Cycles'!$CP$12:$CV$12,1,BC78))/12)))),'Lease Cycles'!$C$12*INDEX('Lease Cycles'!$CB$12:$CH$12,1,BC78)*(1+INDEX('Lease Cycles'!$CI$12:$CO$12,1,BC78))^INT(INT(BC79/12)/INDEX('Lease Cycles'!$CP$12:$CV$12,1,BC78))/12))),IF('Lease Cycles'!$N$12=1,'Lease Cycles'!$C$12*'Lease Cycles'!$E$12*INDEX('Lease Cycles'!$HE$12:$HK$12,1,BC78)*(1+INDEX('Lease Cycles'!$GQ$12:$GW$12,1,BC78))^INT(INT((BC$6-INDEX('Lease Cycles'!$GJ$12:$GP$12,1,BC78))/12)/INDEX('Lease Cycles'!$GX$12:$HD$12,1,BC78))/12,0)))</f>
        <v>3360.952567609691</v>
      </c>
      <c r="BD81" s="28">
        <f>IF(BD78=0,IF('Lease Cycles'!$F$12&gt;0,'Lease Cycles'!$C$12*'Lease Cycles'!$E$12/12,0),IF(BD80=1,IF('Lease Cycles'!$AT$12&gt;=9999,'Lease Cycles'!$C$12*INDEX('Lease Cycles'!$CB$12:$CH$12,1,BD78)*(1+INDEX('Lease Cycles'!$CI$12:$CO$12,1,BD78))^INT(INT(BD79/12)/INDEX('Lease Cycles'!$CP$12:$CV$12,1,BD78))/12,IF(BD78=1,IF(BD79&gt;=INDEX('Lease Cycles'!$DK$12:$DQ$12,1,BD78),IF(BD$6&gt;='Lease Cycles'!$AZ$12,'Lease Cycles'!$C$12*'Lease Cycles'!$BA$12/12,IF(BD$6&gt;='Lease Cycles'!$AX$12,'Lease Cycles'!$C$12*'Lease Cycles'!$AY$12/12,IF(BD$6&gt;='Lease Cycles'!$AV$12,'Lease Cycles'!$C$12*'Lease Cycles'!$AW$12/12,IF(BD$6&gt;='Lease Cycles'!$AT$12,'Lease Cycles'!$C$12*'Lease Cycles'!$AU$12/12,'Lease Cycles'!$C$12*INDEX('Lease Cycles'!$CB$12:$CH$12,1,BD78)*(1+INDEX('Lease Cycles'!$CI$12:$CO$12,1,BD78))^INT(INT(BD79/12)/INDEX('Lease Cycles'!$CP$12:$CV$12,1,BD78))/12)))),'Lease Cycles'!$C$12*INDEX('Lease Cycles'!$CB$12:$CH$12,1,BD78)*(1+INDEX('Lease Cycles'!$CI$12:$CO$12,1,BD78))^INT(INT(BD79/12)/INDEX('Lease Cycles'!$CP$12:$CV$12,1,BD78))/12),IF(INDEX('Lease Cycles'!$EF$12:$EL$12,1,BD78)=1,IF(AND('Lease Cycles'!$AZ$12&gt;=INDEX('Lease Cycles'!$BG$12:$BM$12,1,BD78),'Lease Cycles'!$AZ$12&lt;=BD$6),'Lease Cycles'!$C$12*'Lease Cycles'!$BA$12/12,IF(AND('Lease Cycles'!$AX$12&gt;=INDEX('Lease Cycles'!$BG$12:$BM$12,1,BD78),'Lease Cycles'!$AX$12&lt;=BD$6),'Lease Cycles'!$C$12*'Lease Cycles'!$AY$12/12,IF(AND('Lease Cycles'!$AV$12&gt;=INDEX('Lease Cycles'!$BG$12:$BM$12,1,BD78),'Lease Cycles'!$AV$12&lt;=BD$6),'Lease Cycles'!$C$12*'Lease Cycles'!$AW$12/12,IF(AND('Lease Cycles'!$AT$12&gt;=INDEX('Lease Cycles'!$BG$12:$BM$12,1,BD78),'Lease Cycles'!$AT$12&lt;=BD$6),'Lease Cycles'!$C$12*'Lease Cycles'!$AU$12/12,'Lease Cycles'!$C$12*INDEX('Lease Cycles'!$CB$12:$CH$12,1,BD78)*(1+INDEX('Lease Cycles'!$CI$12:$CO$12,1,BD78))^INT(INT(BD79/12)/INDEX('Lease Cycles'!$CP$12:$CV$12,1,BD78))/12)))),'Lease Cycles'!$C$12*INDEX('Lease Cycles'!$CB$12:$CH$12,1,BD78)*(1+INDEX('Lease Cycles'!$CI$12:$CO$12,1,BD78))^INT(INT(BD79/12)/INDEX('Lease Cycles'!$CP$12:$CV$12,1,BD78))/12))),IF('Lease Cycles'!$N$12=1,'Lease Cycles'!$C$12*'Lease Cycles'!$E$12*INDEX('Lease Cycles'!$HE$12:$HK$12,1,BD78)*(1+INDEX('Lease Cycles'!$GQ$12:$GW$12,1,BD78))^INT(INT((BD$6-INDEX('Lease Cycles'!$GJ$12:$GP$12,1,BD78))/12)/INDEX('Lease Cycles'!$GX$12:$HD$12,1,BD78))/12,0)))</f>
        <v>3360.952567609691</v>
      </c>
      <c r="BE81" s="28">
        <f>IF(BE78=0,IF('Lease Cycles'!$F$12&gt;0,'Lease Cycles'!$C$12*'Lease Cycles'!$E$12/12,0),IF(BE80=1,IF('Lease Cycles'!$AT$12&gt;=9999,'Lease Cycles'!$C$12*INDEX('Lease Cycles'!$CB$12:$CH$12,1,BE78)*(1+INDEX('Lease Cycles'!$CI$12:$CO$12,1,BE78))^INT(INT(BE79/12)/INDEX('Lease Cycles'!$CP$12:$CV$12,1,BE78))/12,IF(BE78=1,IF(BE79&gt;=INDEX('Lease Cycles'!$DK$12:$DQ$12,1,BE78),IF(BE$6&gt;='Lease Cycles'!$AZ$12,'Lease Cycles'!$C$12*'Lease Cycles'!$BA$12/12,IF(BE$6&gt;='Lease Cycles'!$AX$12,'Lease Cycles'!$C$12*'Lease Cycles'!$AY$12/12,IF(BE$6&gt;='Lease Cycles'!$AV$12,'Lease Cycles'!$C$12*'Lease Cycles'!$AW$12/12,IF(BE$6&gt;='Lease Cycles'!$AT$12,'Lease Cycles'!$C$12*'Lease Cycles'!$AU$12/12,'Lease Cycles'!$C$12*INDEX('Lease Cycles'!$CB$12:$CH$12,1,BE78)*(1+INDEX('Lease Cycles'!$CI$12:$CO$12,1,BE78))^INT(INT(BE79/12)/INDEX('Lease Cycles'!$CP$12:$CV$12,1,BE78))/12)))),'Lease Cycles'!$C$12*INDEX('Lease Cycles'!$CB$12:$CH$12,1,BE78)*(1+INDEX('Lease Cycles'!$CI$12:$CO$12,1,BE78))^INT(INT(BE79/12)/INDEX('Lease Cycles'!$CP$12:$CV$12,1,BE78))/12),IF(INDEX('Lease Cycles'!$EF$12:$EL$12,1,BE78)=1,IF(AND('Lease Cycles'!$AZ$12&gt;=INDEX('Lease Cycles'!$BG$12:$BM$12,1,BE78),'Lease Cycles'!$AZ$12&lt;=BE$6),'Lease Cycles'!$C$12*'Lease Cycles'!$BA$12/12,IF(AND('Lease Cycles'!$AX$12&gt;=INDEX('Lease Cycles'!$BG$12:$BM$12,1,BE78),'Lease Cycles'!$AX$12&lt;=BE$6),'Lease Cycles'!$C$12*'Lease Cycles'!$AY$12/12,IF(AND('Lease Cycles'!$AV$12&gt;=INDEX('Lease Cycles'!$BG$12:$BM$12,1,BE78),'Lease Cycles'!$AV$12&lt;=BE$6),'Lease Cycles'!$C$12*'Lease Cycles'!$AW$12/12,IF(AND('Lease Cycles'!$AT$12&gt;=INDEX('Lease Cycles'!$BG$12:$BM$12,1,BE78),'Lease Cycles'!$AT$12&lt;=BE$6),'Lease Cycles'!$C$12*'Lease Cycles'!$AU$12/12,'Lease Cycles'!$C$12*INDEX('Lease Cycles'!$CB$12:$CH$12,1,BE78)*(1+INDEX('Lease Cycles'!$CI$12:$CO$12,1,BE78))^INT(INT(BE79/12)/INDEX('Lease Cycles'!$CP$12:$CV$12,1,BE78))/12)))),'Lease Cycles'!$C$12*INDEX('Lease Cycles'!$CB$12:$CH$12,1,BE78)*(1+INDEX('Lease Cycles'!$CI$12:$CO$12,1,BE78))^INT(INT(BE79/12)/INDEX('Lease Cycles'!$CP$12:$CV$12,1,BE78))/12))),IF('Lease Cycles'!$N$12=1,'Lease Cycles'!$C$12*'Lease Cycles'!$E$12*INDEX('Lease Cycles'!$HE$12:$HK$12,1,BE78)*(1+INDEX('Lease Cycles'!$GQ$12:$GW$12,1,BE78))^INT(INT((BE$6-INDEX('Lease Cycles'!$GJ$12:$GP$12,1,BE78))/12)/INDEX('Lease Cycles'!$GX$12:$HD$12,1,BE78))/12,0)))</f>
        <v>3360.952567609691</v>
      </c>
      <c r="BF81" s="28">
        <f>IF(BF78=0,IF('Lease Cycles'!$F$12&gt;0,'Lease Cycles'!$C$12*'Lease Cycles'!$E$12/12,0),IF(BF80=1,IF('Lease Cycles'!$AT$12&gt;=9999,'Lease Cycles'!$C$12*INDEX('Lease Cycles'!$CB$12:$CH$12,1,BF78)*(1+INDEX('Lease Cycles'!$CI$12:$CO$12,1,BF78))^INT(INT(BF79/12)/INDEX('Lease Cycles'!$CP$12:$CV$12,1,BF78))/12,IF(BF78=1,IF(BF79&gt;=INDEX('Lease Cycles'!$DK$12:$DQ$12,1,BF78),IF(BF$6&gt;='Lease Cycles'!$AZ$12,'Lease Cycles'!$C$12*'Lease Cycles'!$BA$12/12,IF(BF$6&gt;='Lease Cycles'!$AX$12,'Lease Cycles'!$C$12*'Lease Cycles'!$AY$12/12,IF(BF$6&gt;='Lease Cycles'!$AV$12,'Lease Cycles'!$C$12*'Lease Cycles'!$AW$12/12,IF(BF$6&gt;='Lease Cycles'!$AT$12,'Lease Cycles'!$C$12*'Lease Cycles'!$AU$12/12,'Lease Cycles'!$C$12*INDEX('Lease Cycles'!$CB$12:$CH$12,1,BF78)*(1+INDEX('Lease Cycles'!$CI$12:$CO$12,1,BF78))^INT(INT(BF79/12)/INDEX('Lease Cycles'!$CP$12:$CV$12,1,BF78))/12)))),'Lease Cycles'!$C$12*INDEX('Lease Cycles'!$CB$12:$CH$12,1,BF78)*(1+INDEX('Lease Cycles'!$CI$12:$CO$12,1,BF78))^INT(INT(BF79/12)/INDEX('Lease Cycles'!$CP$12:$CV$12,1,BF78))/12),IF(INDEX('Lease Cycles'!$EF$12:$EL$12,1,BF78)=1,IF(AND('Lease Cycles'!$AZ$12&gt;=INDEX('Lease Cycles'!$BG$12:$BM$12,1,BF78),'Lease Cycles'!$AZ$12&lt;=BF$6),'Lease Cycles'!$C$12*'Lease Cycles'!$BA$12/12,IF(AND('Lease Cycles'!$AX$12&gt;=INDEX('Lease Cycles'!$BG$12:$BM$12,1,BF78),'Lease Cycles'!$AX$12&lt;=BF$6),'Lease Cycles'!$C$12*'Lease Cycles'!$AY$12/12,IF(AND('Lease Cycles'!$AV$12&gt;=INDEX('Lease Cycles'!$BG$12:$BM$12,1,BF78),'Lease Cycles'!$AV$12&lt;=BF$6),'Lease Cycles'!$C$12*'Lease Cycles'!$AW$12/12,IF(AND('Lease Cycles'!$AT$12&gt;=INDEX('Lease Cycles'!$BG$12:$BM$12,1,BF78),'Lease Cycles'!$AT$12&lt;=BF$6),'Lease Cycles'!$C$12*'Lease Cycles'!$AU$12/12,'Lease Cycles'!$C$12*INDEX('Lease Cycles'!$CB$12:$CH$12,1,BF78)*(1+INDEX('Lease Cycles'!$CI$12:$CO$12,1,BF78))^INT(INT(BF79/12)/INDEX('Lease Cycles'!$CP$12:$CV$12,1,BF78))/12)))),'Lease Cycles'!$C$12*INDEX('Lease Cycles'!$CB$12:$CH$12,1,BF78)*(1+INDEX('Lease Cycles'!$CI$12:$CO$12,1,BF78))^INT(INT(BF79/12)/INDEX('Lease Cycles'!$CP$12:$CV$12,1,BF78))/12))),IF('Lease Cycles'!$N$12=1,'Lease Cycles'!$C$12*'Lease Cycles'!$E$12*INDEX('Lease Cycles'!$HE$12:$HK$12,1,BF78)*(1+INDEX('Lease Cycles'!$GQ$12:$GW$12,1,BF78))^INT(INT((BF$6-INDEX('Lease Cycles'!$GJ$12:$GP$12,1,BF78))/12)/INDEX('Lease Cycles'!$GX$12:$HD$12,1,BF78))/12,0)))</f>
        <v>3360.952567609691</v>
      </c>
      <c r="BG81" s="28">
        <f>IF(BG78=0,IF('Lease Cycles'!$F$12&gt;0,'Lease Cycles'!$C$12*'Lease Cycles'!$E$12/12,0),IF(BG80=1,IF('Lease Cycles'!$AT$12&gt;=9999,'Lease Cycles'!$C$12*INDEX('Lease Cycles'!$CB$12:$CH$12,1,BG78)*(1+INDEX('Lease Cycles'!$CI$12:$CO$12,1,BG78))^INT(INT(BG79/12)/INDEX('Lease Cycles'!$CP$12:$CV$12,1,BG78))/12,IF(BG78=1,IF(BG79&gt;=INDEX('Lease Cycles'!$DK$12:$DQ$12,1,BG78),IF(BG$6&gt;='Lease Cycles'!$AZ$12,'Lease Cycles'!$C$12*'Lease Cycles'!$BA$12/12,IF(BG$6&gt;='Lease Cycles'!$AX$12,'Lease Cycles'!$C$12*'Lease Cycles'!$AY$12/12,IF(BG$6&gt;='Lease Cycles'!$AV$12,'Lease Cycles'!$C$12*'Lease Cycles'!$AW$12/12,IF(BG$6&gt;='Lease Cycles'!$AT$12,'Lease Cycles'!$C$12*'Lease Cycles'!$AU$12/12,'Lease Cycles'!$C$12*INDEX('Lease Cycles'!$CB$12:$CH$12,1,BG78)*(1+INDEX('Lease Cycles'!$CI$12:$CO$12,1,BG78))^INT(INT(BG79/12)/INDEX('Lease Cycles'!$CP$12:$CV$12,1,BG78))/12)))),'Lease Cycles'!$C$12*INDEX('Lease Cycles'!$CB$12:$CH$12,1,BG78)*(1+INDEX('Lease Cycles'!$CI$12:$CO$12,1,BG78))^INT(INT(BG79/12)/INDEX('Lease Cycles'!$CP$12:$CV$12,1,BG78))/12),IF(INDEX('Lease Cycles'!$EF$12:$EL$12,1,BG78)=1,IF(AND('Lease Cycles'!$AZ$12&gt;=INDEX('Lease Cycles'!$BG$12:$BM$12,1,BG78),'Lease Cycles'!$AZ$12&lt;=BG$6),'Lease Cycles'!$C$12*'Lease Cycles'!$BA$12/12,IF(AND('Lease Cycles'!$AX$12&gt;=INDEX('Lease Cycles'!$BG$12:$BM$12,1,BG78),'Lease Cycles'!$AX$12&lt;=BG$6),'Lease Cycles'!$C$12*'Lease Cycles'!$AY$12/12,IF(AND('Lease Cycles'!$AV$12&gt;=INDEX('Lease Cycles'!$BG$12:$BM$12,1,BG78),'Lease Cycles'!$AV$12&lt;=BG$6),'Lease Cycles'!$C$12*'Lease Cycles'!$AW$12/12,IF(AND('Lease Cycles'!$AT$12&gt;=INDEX('Lease Cycles'!$BG$12:$BM$12,1,BG78),'Lease Cycles'!$AT$12&lt;=BG$6),'Lease Cycles'!$C$12*'Lease Cycles'!$AU$12/12,'Lease Cycles'!$C$12*INDEX('Lease Cycles'!$CB$12:$CH$12,1,BG78)*(1+INDEX('Lease Cycles'!$CI$12:$CO$12,1,BG78))^INT(INT(BG79/12)/INDEX('Lease Cycles'!$CP$12:$CV$12,1,BG78))/12)))),'Lease Cycles'!$C$12*INDEX('Lease Cycles'!$CB$12:$CH$12,1,BG78)*(1+INDEX('Lease Cycles'!$CI$12:$CO$12,1,BG78))^INT(INT(BG79/12)/INDEX('Lease Cycles'!$CP$12:$CV$12,1,BG78))/12))),IF('Lease Cycles'!$N$12=1,'Lease Cycles'!$C$12*'Lease Cycles'!$E$12*INDEX('Lease Cycles'!$HE$12:$HK$12,1,BG78)*(1+INDEX('Lease Cycles'!$GQ$12:$GW$12,1,BG78))^INT(INT((BG$6-INDEX('Lease Cycles'!$GJ$12:$GP$12,1,BG78))/12)/INDEX('Lease Cycles'!$GX$12:$HD$12,1,BG78))/12,0)))</f>
        <v>3360.952567609691</v>
      </c>
      <c r="BH81" s="28">
        <f>IF(BH78=0,IF('Lease Cycles'!$F$12&gt;0,'Lease Cycles'!$C$12*'Lease Cycles'!$E$12/12,0),IF(BH80=1,IF('Lease Cycles'!$AT$12&gt;=9999,'Lease Cycles'!$C$12*INDEX('Lease Cycles'!$CB$12:$CH$12,1,BH78)*(1+INDEX('Lease Cycles'!$CI$12:$CO$12,1,BH78))^INT(INT(BH79/12)/INDEX('Lease Cycles'!$CP$12:$CV$12,1,BH78))/12,IF(BH78=1,IF(BH79&gt;=INDEX('Lease Cycles'!$DK$12:$DQ$12,1,BH78),IF(BH$6&gt;='Lease Cycles'!$AZ$12,'Lease Cycles'!$C$12*'Lease Cycles'!$BA$12/12,IF(BH$6&gt;='Lease Cycles'!$AX$12,'Lease Cycles'!$C$12*'Lease Cycles'!$AY$12/12,IF(BH$6&gt;='Lease Cycles'!$AV$12,'Lease Cycles'!$C$12*'Lease Cycles'!$AW$12/12,IF(BH$6&gt;='Lease Cycles'!$AT$12,'Lease Cycles'!$C$12*'Lease Cycles'!$AU$12/12,'Lease Cycles'!$C$12*INDEX('Lease Cycles'!$CB$12:$CH$12,1,BH78)*(1+INDEX('Lease Cycles'!$CI$12:$CO$12,1,BH78))^INT(INT(BH79/12)/INDEX('Lease Cycles'!$CP$12:$CV$12,1,BH78))/12)))),'Lease Cycles'!$C$12*INDEX('Lease Cycles'!$CB$12:$CH$12,1,BH78)*(1+INDEX('Lease Cycles'!$CI$12:$CO$12,1,BH78))^INT(INT(BH79/12)/INDEX('Lease Cycles'!$CP$12:$CV$12,1,BH78))/12),IF(INDEX('Lease Cycles'!$EF$12:$EL$12,1,BH78)=1,IF(AND('Lease Cycles'!$AZ$12&gt;=INDEX('Lease Cycles'!$BG$12:$BM$12,1,BH78),'Lease Cycles'!$AZ$12&lt;=BH$6),'Lease Cycles'!$C$12*'Lease Cycles'!$BA$12/12,IF(AND('Lease Cycles'!$AX$12&gt;=INDEX('Lease Cycles'!$BG$12:$BM$12,1,BH78),'Lease Cycles'!$AX$12&lt;=BH$6),'Lease Cycles'!$C$12*'Lease Cycles'!$AY$12/12,IF(AND('Lease Cycles'!$AV$12&gt;=INDEX('Lease Cycles'!$BG$12:$BM$12,1,BH78),'Lease Cycles'!$AV$12&lt;=BH$6),'Lease Cycles'!$C$12*'Lease Cycles'!$AW$12/12,IF(AND('Lease Cycles'!$AT$12&gt;=INDEX('Lease Cycles'!$BG$12:$BM$12,1,BH78),'Lease Cycles'!$AT$12&lt;=BH$6),'Lease Cycles'!$C$12*'Lease Cycles'!$AU$12/12,'Lease Cycles'!$C$12*INDEX('Lease Cycles'!$CB$12:$CH$12,1,BH78)*(1+INDEX('Lease Cycles'!$CI$12:$CO$12,1,BH78))^INT(INT(BH79/12)/INDEX('Lease Cycles'!$CP$12:$CV$12,1,BH78))/12)))),'Lease Cycles'!$C$12*INDEX('Lease Cycles'!$CB$12:$CH$12,1,BH78)*(1+INDEX('Lease Cycles'!$CI$12:$CO$12,1,BH78))^INT(INT(BH79/12)/INDEX('Lease Cycles'!$CP$12:$CV$12,1,BH78))/12))),IF('Lease Cycles'!$N$12=1,'Lease Cycles'!$C$12*'Lease Cycles'!$E$12*INDEX('Lease Cycles'!$HE$12:$HK$12,1,BH78)*(1+INDEX('Lease Cycles'!$GQ$12:$GW$12,1,BH78))^INT(INT((BH$6-INDEX('Lease Cycles'!$GJ$12:$GP$12,1,BH78))/12)/INDEX('Lease Cycles'!$GX$12:$HD$12,1,BH78))/12,0)))</f>
        <v>3360.952567609691</v>
      </c>
      <c r="BI81" s="28">
        <f>IF(BI78=0,IF('Lease Cycles'!$F$12&gt;0,'Lease Cycles'!$C$12*'Lease Cycles'!$E$12/12,0),IF(BI80=1,IF('Lease Cycles'!$AT$12&gt;=9999,'Lease Cycles'!$C$12*INDEX('Lease Cycles'!$CB$12:$CH$12,1,BI78)*(1+INDEX('Lease Cycles'!$CI$12:$CO$12,1,BI78))^INT(INT(BI79/12)/INDEX('Lease Cycles'!$CP$12:$CV$12,1,BI78))/12,IF(BI78=1,IF(BI79&gt;=INDEX('Lease Cycles'!$DK$12:$DQ$12,1,BI78),IF(BI$6&gt;='Lease Cycles'!$AZ$12,'Lease Cycles'!$C$12*'Lease Cycles'!$BA$12/12,IF(BI$6&gt;='Lease Cycles'!$AX$12,'Lease Cycles'!$C$12*'Lease Cycles'!$AY$12/12,IF(BI$6&gt;='Lease Cycles'!$AV$12,'Lease Cycles'!$C$12*'Lease Cycles'!$AW$12/12,IF(BI$6&gt;='Lease Cycles'!$AT$12,'Lease Cycles'!$C$12*'Lease Cycles'!$AU$12/12,'Lease Cycles'!$C$12*INDEX('Lease Cycles'!$CB$12:$CH$12,1,BI78)*(1+INDEX('Lease Cycles'!$CI$12:$CO$12,1,BI78))^INT(INT(BI79/12)/INDEX('Lease Cycles'!$CP$12:$CV$12,1,BI78))/12)))),'Lease Cycles'!$C$12*INDEX('Lease Cycles'!$CB$12:$CH$12,1,BI78)*(1+INDEX('Lease Cycles'!$CI$12:$CO$12,1,BI78))^INT(INT(BI79/12)/INDEX('Lease Cycles'!$CP$12:$CV$12,1,BI78))/12),IF(INDEX('Lease Cycles'!$EF$12:$EL$12,1,BI78)=1,IF(AND('Lease Cycles'!$AZ$12&gt;=INDEX('Lease Cycles'!$BG$12:$BM$12,1,BI78),'Lease Cycles'!$AZ$12&lt;=BI$6),'Lease Cycles'!$C$12*'Lease Cycles'!$BA$12/12,IF(AND('Lease Cycles'!$AX$12&gt;=INDEX('Lease Cycles'!$BG$12:$BM$12,1,BI78),'Lease Cycles'!$AX$12&lt;=BI$6),'Lease Cycles'!$C$12*'Lease Cycles'!$AY$12/12,IF(AND('Lease Cycles'!$AV$12&gt;=INDEX('Lease Cycles'!$BG$12:$BM$12,1,BI78),'Lease Cycles'!$AV$12&lt;=BI$6),'Lease Cycles'!$C$12*'Lease Cycles'!$AW$12/12,IF(AND('Lease Cycles'!$AT$12&gt;=INDEX('Lease Cycles'!$BG$12:$BM$12,1,BI78),'Lease Cycles'!$AT$12&lt;=BI$6),'Lease Cycles'!$C$12*'Lease Cycles'!$AU$12/12,'Lease Cycles'!$C$12*INDEX('Lease Cycles'!$CB$12:$CH$12,1,BI78)*(1+INDEX('Lease Cycles'!$CI$12:$CO$12,1,BI78))^INT(INT(BI79/12)/INDEX('Lease Cycles'!$CP$12:$CV$12,1,BI78))/12)))),'Lease Cycles'!$C$12*INDEX('Lease Cycles'!$CB$12:$CH$12,1,BI78)*(1+INDEX('Lease Cycles'!$CI$12:$CO$12,1,BI78))^INT(INT(BI79/12)/INDEX('Lease Cycles'!$CP$12:$CV$12,1,BI78))/12))),IF('Lease Cycles'!$N$12=1,'Lease Cycles'!$C$12*'Lease Cycles'!$E$12*INDEX('Lease Cycles'!$HE$12:$HK$12,1,BI78)*(1+INDEX('Lease Cycles'!$GQ$12:$GW$12,1,BI78))^INT(INT((BI$6-INDEX('Lease Cycles'!$GJ$12:$GP$12,1,BI78))/12)/INDEX('Lease Cycles'!$GX$12:$HD$12,1,BI78))/12,0)))</f>
        <v>3360.952567609691</v>
      </c>
      <c r="BJ81" s="28">
        <f>IF(BJ78=0,IF('Lease Cycles'!$F$12&gt;0,'Lease Cycles'!$C$12*'Lease Cycles'!$E$12/12,0),IF(BJ80=1,IF('Lease Cycles'!$AT$12&gt;=9999,'Lease Cycles'!$C$12*INDEX('Lease Cycles'!$CB$12:$CH$12,1,BJ78)*(1+INDEX('Lease Cycles'!$CI$12:$CO$12,1,BJ78))^INT(INT(BJ79/12)/INDEX('Lease Cycles'!$CP$12:$CV$12,1,BJ78))/12,IF(BJ78=1,IF(BJ79&gt;=INDEX('Lease Cycles'!$DK$12:$DQ$12,1,BJ78),IF(BJ$6&gt;='Lease Cycles'!$AZ$12,'Lease Cycles'!$C$12*'Lease Cycles'!$BA$12/12,IF(BJ$6&gt;='Lease Cycles'!$AX$12,'Lease Cycles'!$C$12*'Lease Cycles'!$AY$12/12,IF(BJ$6&gt;='Lease Cycles'!$AV$12,'Lease Cycles'!$C$12*'Lease Cycles'!$AW$12/12,IF(BJ$6&gt;='Lease Cycles'!$AT$12,'Lease Cycles'!$C$12*'Lease Cycles'!$AU$12/12,'Lease Cycles'!$C$12*INDEX('Lease Cycles'!$CB$12:$CH$12,1,BJ78)*(1+INDEX('Lease Cycles'!$CI$12:$CO$12,1,BJ78))^INT(INT(BJ79/12)/INDEX('Lease Cycles'!$CP$12:$CV$12,1,BJ78))/12)))),'Lease Cycles'!$C$12*INDEX('Lease Cycles'!$CB$12:$CH$12,1,BJ78)*(1+INDEX('Lease Cycles'!$CI$12:$CO$12,1,BJ78))^INT(INT(BJ79/12)/INDEX('Lease Cycles'!$CP$12:$CV$12,1,BJ78))/12),IF(INDEX('Lease Cycles'!$EF$12:$EL$12,1,BJ78)=1,IF(AND('Lease Cycles'!$AZ$12&gt;=INDEX('Lease Cycles'!$BG$12:$BM$12,1,BJ78),'Lease Cycles'!$AZ$12&lt;=BJ$6),'Lease Cycles'!$C$12*'Lease Cycles'!$BA$12/12,IF(AND('Lease Cycles'!$AX$12&gt;=INDEX('Lease Cycles'!$BG$12:$BM$12,1,BJ78),'Lease Cycles'!$AX$12&lt;=BJ$6),'Lease Cycles'!$C$12*'Lease Cycles'!$AY$12/12,IF(AND('Lease Cycles'!$AV$12&gt;=INDEX('Lease Cycles'!$BG$12:$BM$12,1,BJ78),'Lease Cycles'!$AV$12&lt;=BJ$6),'Lease Cycles'!$C$12*'Lease Cycles'!$AW$12/12,IF(AND('Lease Cycles'!$AT$12&gt;=INDEX('Lease Cycles'!$BG$12:$BM$12,1,BJ78),'Lease Cycles'!$AT$12&lt;=BJ$6),'Lease Cycles'!$C$12*'Lease Cycles'!$AU$12/12,'Lease Cycles'!$C$12*INDEX('Lease Cycles'!$CB$12:$CH$12,1,BJ78)*(1+INDEX('Lease Cycles'!$CI$12:$CO$12,1,BJ78))^INT(INT(BJ79/12)/INDEX('Lease Cycles'!$CP$12:$CV$12,1,BJ78))/12)))),'Lease Cycles'!$C$12*INDEX('Lease Cycles'!$CB$12:$CH$12,1,BJ78)*(1+INDEX('Lease Cycles'!$CI$12:$CO$12,1,BJ78))^INT(INT(BJ79/12)/INDEX('Lease Cycles'!$CP$12:$CV$12,1,BJ78))/12))),IF('Lease Cycles'!$N$12=1,'Lease Cycles'!$C$12*'Lease Cycles'!$E$12*INDEX('Lease Cycles'!$HE$12:$HK$12,1,BJ78)*(1+INDEX('Lease Cycles'!$GQ$12:$GW$12,1,BJ78))^INT(INT((BJ$6-INDEX('Lease Cycles'!$GJ$12:$GP$12,1,BJ78))/12)/INDEX('Lease Cycles'!$GX$12:$HD$12,1,BJ78))/12,0)))</f>
        <v>3360.952567609691</v>
      </c>
      <c r="BK81" s="28">
        <f>IF(BK78=0,IF('Lease Cycles'!$F$12&gt;0,'Lease Cycles'!$C$12*'Lease Cycles'!$E$12/12,0),IF(BK80=1,IF('Lease Cycles'!$AT$12&gt;=9999,'Lease Cycles'!$C$12*INDEX('Lease Cycles'!$CB$12:$CH$12,1,BK78)*(1+INDEX('Lease Cycles'!$CI$12:$CO$12,1,BK78))^INT(INT(BK79/12)/INDEX('Lease Cycles'!$CP$12:$CV$12,1,BK78))/12,IF(BK78=1,IF(BK79&gt;=INDEX('Lease Cycles'!$DK$12:$DQ$12,1,BK78),IF(BK$6&gt;='Lease Cycles'!$AZ$12,'Lease Cycles'!$C$12*'Lease Cycles'!$BA$12/12,IF(BK$6&gt;='Lease Cycles'!$AX$12,'Lease Cycles'!$C$12*'Lease Cycles'!$AY$12/12,IF(BK$6&gt;='Lease Cycles'!$AV$12,'Lease Cycles'!$C$12*'Lease Cycles'!$AW$12/12,IF(BK$6&gt;='Lease Cycles'!$AT$12,'Lease Cycles'!$C$12*'Lease Cycles'!$AU$12/12,'Lease Cycles'!$C$12*INDEX('Lease Cycles'!$CB$12:$CH$12,1,BK78)*(1+INDEX('Lease Cycles'!$CI$12:$CO$12,1,BK78))^INT(INT(BK79/12)/INDEX('Lease Cycles'!$CP$12:$CV$12,1,BK78))/12)))),'Lease Cycles'!$C$12*INDEX('Lease Cycles'!$CB$12:$CH$12,1,BK78)*(1+INDEX('Lease Cycles'!$CI$12:$CO$12,1,BK78))^INT(INT(BK79/12)/INDEX('Lease Cycles'!$CP$12:$CV$12,1,BK78))/12),IF(INDEX('Lease Cycles'!$EF$12:$EL$12,1,BK78)=1,IF(AND('Lease Cycles'!$AZ$12&gt;=INDEX('Lease Cycles'!$BG$12:$BM$12,1,BK78),'Lease Cycles'!$AZ$12&lt;=BK$6),'Lease Cycles'!$C$12*'Lease Cycles'!$BA$12/12,IF(AND('Lease Cycles'!$AX$12&gt;=INDEX('Lease Cycles'!$BG$12:$BM$12,1,BK78),'Lease Cycles'!$AX$12&lt;=BK$6),'Lease Cycles'!$C$12*'Lease Cycles'!$AY$12/12,IF(AND('Lease Cycles'!$AV$12&gt;=INDEX('Lease Cycles'!$BG$12:$BM$12,1,BK78),'Lease Cycles'!$AV$12&lt;=BK$6),'Lease Cycles'!$C$12*'Lease Cycles'!$AW$12/12,IF(AND('Lease Cycles'!$AT$12&gt;=INDEX('Lease Cycles'!$BG$12:$BM$12,1,BK78),'Lease Cycles'!$AT$12&lt;=BK$6),'Lease Cycles'!$C$12*'Lease Cycles'!$AU$12/12,'Lease Cycles'!$C$12*INDEX('Lease Cycles'!$CB$12:$CH$12,1,BK78)*(1+INDEX('Lease Cycles'!$CI$12:$CO$12,1,BK78))^INT(INT(BK79/12)/INDEX('Lease Cycles'!$CP$12:$CV$12,1,BK78))/12)))),'Lease Cycles'!$C$12*INDEX('Lease Cycles'!$CB$12:$CH$12,1,BK78)*(1+INDEX('Lease Cycles'!$CI$12:$CO$12,1,BK78))^INT(INT(BK79/12)/INDEX('Lease Cycles'!$CP$12:$CV$12,1,BK78))/12))),IF('Lease Cycles'!$N$12=1,'Lease Cycles'!$C$12*'Lease Cycles'!$E$12*INDEX('Lease Cycles'!$HE$12:$HK$12,1,BK78)*(1+INDEX('Lease Cycles'!$GQ$12:$GW$12,1,BK78))^INT(INT((BK$6-INDEX('Lease Cycles'!$GJ$12:$GP$12,1,BK78))/12)/INDEX('Lease Cycles'!$GX$12:$HD$12,1,BK78))/12,0)))</f>
        <v>3360.952567609691</v>
      </c>
      <c r="BL81" s="28">
        <f>IF(BL78=0,IF('Lease Cycles'!$F$12&gt;0,'Lease Cycles'!$C$12*'Lease Cycles'!$E$12/12,0),IF(BL80=1,IF('Lease Cycles'!$AT$12&gt;=9999,'Lease Cycles'!$C$12*INDEX('Lease Cycles'!$CB$12:$CH$12,1,BL78)*(1+INDEX('Lease Cycles'!$CI$12:$CO$12,1,BL78))^INT(INT(BL79/12)/INDEX('Lease Cycles'!$CP$12:$CV$12,1,BL78))/12,IF(BL78=1,IF(BL79&gt;=INDEX('Lease Cycles'!$DK$12:$DQ$12,1,BL78),IF(BL$6&gt;='Lease Cycles'!$AZ$12,'Lease Cycles'!$C$12*'Lease Cycles'!$BA$12/12,IF(BL$6&gt;='Lease Cycles'!$AX$12,'Lease Cycles'!$C$12*'Lease Cycles'!$AY$12/12,IF(BL$6&gt;='Lease Cycles'!$AV$12,'Lease Cycles'!$C$12*'Lease Cycles'!$AW$12/12,IF(BL$6&gt;='Lease Cycles'!$AT$12,'Lease Cycles'!$C$12*'Lease Cycles'!$AU$12/12,'Lease Cycles'!$C$12*INDEX('Lease Cycles'!$CB$12:$CH$12,1,BL78)*(1+INDEX('Lease Cycles'!$CI$12:$CO$12,1,BL78))^INT(INT(BL79/12)/INDEX('Lease Cycles'!$CP$12:$CV$12,1,BL78))/12)))),'Lease Cycles'!$C$12*INDEX('Lease Cycles'!$CB$12:$CH$12,1,BL78)*(1+INDEX('Lease Cycles'!$CI$12:$CO$12,1,BL78))^INT(INT(BL79/12)/INDEX('Lease Cycles'!$CP$12:$CV$12,1,BL78))/12),IF(INDEX('Lease Cycles'!$EF$12:$EL$12,1,BL78)=1,IF(AND('Lease Cycles'!$AZ$12&gt;=INDEX('Lease Cycles'!$BG$12:$BM$12,1,BL78),'Lease Cycles'!$AZ$12&lt;=BL$6),'Lease Cycles'!$C$12*'Lease Cycles'!$BA$12/12,IF(AND('Lease Cycles'!$AX$12&gt;=INDEX('Lease Cycles'!$BG$12:$BM$12,1,BL78),'Lease Cycles'!$AX$12&lt;=BL$6),'Lease Cycles'!$C$12*'Lease Cycles'!$AY$12/12,IF(AND('Lease Cycles'!$AV$12&gt;=INDEX('Lease Cycles'!$BG$12:$BM$12,1,BL78),'Lease Cycles'!$AV$12&lt;=BL$6),'Lease Cycles'!$C$12*'Lease Cycles'!$AW$12/12,IF(AND('Lease Cycles'!$AT$12&gt;=INDEX('Lease Cycles'!$BG$12:$BM$12,1,BL78),'Lease Cycles'!$AT$12&lt;=BL$6),'Lease Cycles'!$C$12*'Lease Cycles'!$AU$12/12,'Lease Cycles'!$C$12*INDEX('Lease Cycles'!$CB$12:$CH$12,1,BL78)*(1+INDEX('Lease Cycles'!$CI$12:$CO$12,1,BL78))^INT(INT(BL79/12)/INDEX('Lease Cycles'!$CP$12:$CV$12,1,BL78))/12)))),'Lease Cycles'!$C$12*INDEX('Lease Cycles'!$CB$12:$CH$12,1,BL78)*(1+INDEX('Lease Cycles'!$CI$12:$CO$12,1,BL78))^INT(INT(BL79/12)/INDEX('Lease Cycles'!$CP$12:$CV$12,1,BL78))/12))),IF('Lease Cycles'!$N$12=1,'Lease Cycles'!$C$12*'Lease Cycles'!$E$12*INDEX('Lease Cycles'!$HE$12:$HK$12,1,BL78)*(1+INDEX('Lease Cycles'!$GQ$12:$GW$12,1,BL78))^INT(INT((BL$6-INDEX('Lease Cycles'!$GJ$12:$GP$12,1,BL78))/12)/INDEX('Lease Cycles'!$GX$12:$HD$12,1,BL78))/12,0)))</f>
        <v>3360.952567609691</v>
      </c>
      <c r="BM81" s="28">
        <f>IF(BM78=0,IF('Lease Cycles'!$F$12&gt;0,'Lease Cycles'!$C$12*'Lease Cycles'!$E$12/12,0),IF(BM80=1,IF('Lease Cycles'!$AT$12&gt;=9999,'Lease Cycles'!$C$12*INDEX('Lease Cycles'!$CB$12:$CH$12,1,BM78)*(1+INDEX('Lease Cycles'!$CI$12:$CO$12,1,BM78))^INT(INT(BM79/12)/INDEX('Lease Cycles'!$CP$12:$CV$12,1,BM78))/12,IF(BM78=1,IF(BM79&gt;=INDEX('Lease Cycles'!$DK$12:$DQ$12,1,BM78),IF(BM$6&gt;='Lease Cycles'!$AZ$12,'Lease Cycles'!$C$12*'Lease Cycles'!$BA$12/12,IF(BM$6&gt;='Lease Cycles'!$AX$12,'Lease Cycles'!$C$12*'Lease Cycles'!$AY$12/12,IF(BM$6&gt;='Lease Cycles'!$AV$12,'Lease Cycles'!$C$12*'Lease Cycles'!$AW$12/12,IF(BM$6&gt;='Lease Cycles'!$AT$12,'Lease Cycles'!$C$12*'Lease Cycles'!$AU$12/12,'Lease Cycles'!$C$12*INDEX('Lease Cycles'!$CB$12:$CH$12,1,BM78)*(1+INDEX('Lease Cycles'!$CI$12:$CO$12,1,BM78))^INT(INT(BM79/12)/INDEX('Lease Cycles'!$CP$12:$CV$12,1,BM78))/12)))),'Lease Cycles'!$C$12*INDEX('Lease Cycles'!$CB$12:$CH$12,1,BM78)*(1+INDEX('Lease Cycles'!$CI$12:$CO$12,1,BM78))^INT(INT(BM79/12)/INDEX('Lease Cycles'!$CP$12:$CV$12,1,BM78))/12),IF(INDEX('Lease Cycles'!$EF$12:$EL$12,1,BM78)=1,IF(AND('Lease Cycles'!$AZ$12&gt;=INDEX('Lease Cycles'!$BG$12:$BM$12,1,BM78),'Lease Cycles'!$AZ$12&lt;=BM$6),'Lease Cycles'!$C$12*'Lease Cycles'!$BA$12/12,IF(AND('Lease Cycles'!$AX$12&gt;=INDEX('Lease Cycles'!$BG$12:$BM$12,1,BM78),'Lease Cycles'!$AX$12&lt;=BM$6),'Lease Cycles'!$C$12*'Lease Cycles'!$AY$12/12,IF(AND('Lease Cycles'!$AV$12&gt;=INDEX('Lease Cycles'!$BG$12:$BM$12,1,BM78),'Lease Cycles'!$AV$12&lt;=BM$6),'Lease Cycles'!$C$12*'Lease Cycles'!$AW$12/12,IF(AND('Lease Cycles'!$AT$12&gt;=INDEX('Lease Cycles'!$BG$12:$BM$12,1,BM78),'Lease Cycles'!$AT$12&lt;=BM$6),'Lease Cycles'!$C$12*'Lease Cycles'!$AU$12/12,'Lease Cycles'!$C$12*INDEX('Lease Cycles'!$CB$12:$CH$12,1,BM78)*(1+INDEX('Lease Cycles'!$CI$12:$CO$12,1,BM78))^INT(INT(BM79/12)/INDEX('Lease Cycles'!$CP$12:$CV$12,1,BM78))/12)))),'Lease Cycles'!$C$12*INDEX('Lease Cycles'!$CB$12:$CH$12,1,BM78)*(1+INDEX('Lease Cycles'!$CI$12:$CO$12,1,BM78))^INT(INT(BM79/12)/INDEX('Lease Cycles'!$CP$12:$CV$12,1,BM78))/12))),IF('Lease Cycles'!$N$12=1,'Lease Cycles'!$C$12*'Lease Cycles'!$E$12*INDEX('Lease Cycles'!$HE$12:$HK$12,1,BM78)*(1+INDEX('Lease Cycles'!$GQ$12:$GW$12,1,BM78))^INT(INT((BM$6-INDEX('Lease Cycles'!$GJ$12:$GP$12,1,BM78))/12)/INDEX('Lease Cycles'!$GX$12:$HD$12,1,BM78))/12,0)))</f>
        <v>3360.952567609691</v>
      </c>
      <c r="BN81" s="28">
        <f>IF(BN78=0,IF('Lease Cycles'!$F$12&gt;0,'Lease Cycles'!$C$12*'Lease Cycles'!$E$12/12,0),IF(BN80=1,IF('Lease Cycles'!$AT$12&gt;=9999,'Lease Cycles'!$C$12*INDEX('Lease Cycles'!$CB$12:$CH$12,1,BN78)*(1+INDEX('Lease Cycles'!$CI$12:$CO$12,1,BN78))^INT(INT(BN79/12)/INDEX('Lease Cycles'!$CP$12:$CV$12,1,BN78))/12,IF(BN78=1,IF(BN79&gt;=INDEX('Lease Cycles'!$DK$12:$DQ$12,1,BN78),IF(BN$6&gt;='Lease Cycles'!$AZ$12,'Lease Cycles'!$C$12*'Lease Cycles'!$BA$12/12,IF(BN$6&gt;='Lease Cycles'!$AX$12,'Lease Cycles'!$C$12*'Lease Cycles'!$AY$12/12,IF(BN$6&gt;='Lease Cycles'!$AV$12,'Lease Cycles'!$C$12*'Lease Cycles'!$AW$12/12,IF(BN$6&gt;='Lease Cycles'!$AT$12,'Lease Cycles'!$C$12*'Lease Cycles'!$AU$12/12,'Lease Cycles'!$C$12*INDEX('Lease Cycles'!$CB$12:$CH$12,1,BN78)*(1+INDEX('Lease Cycles'!$CI$12:$CO$12,1,BN78))^INT(INT(BN79/12)/INDEX('Lease Cycles'!$CP$12:$CV$12,1,BN78))/12)))),'Lease Cycles'!$C$12*INDEX('Lease Cycles'!$CB$12:$CH$12,1,BN78)*(1+INDEX('Lease Cycles'!$CI$12:$CO$12,1,BN78))^INT(INT(BN79/12)/INDEX('Lease Cycles'!$CP$12:$CV$12,1,BN78))/12),IF(INDEX('Lease Cycles'!$EF$12:$EL$12,1,BN78)=1,IF(AND('Lease Cycles'!$AZ$12&gt;=INDEX('Lease Cycles'!$BG$12:$BM$12,1,BN78),'Lease Cycles'!$AZ$12&lt;=BN$6),'Lease Cycles'!$C$12*'Lease Cycles'!$BA$12/12,IF(AND('Lease Cycles'!$AX$12&gt;=INDEX('Lease Cycles'!$BG$12:$BM$12,1,BN78),'Lease Cycles'!$AX$12&lt;=BN$6),'Lease Cycles'!$C$12*'Lease Cycles'!$AY$12/12,IF(AND('Lease Cycles'!$AV$12&gt;=INDEX('Lease Cycles'!$BG$12:$BM$12,1,BN78),'Lease Cycles'!$AV$12&lt;=BN$6),'Lease Cycles'!$C$12*'Lease Cycles'!$AW$12/12,IF(AND('Lease Cycles'!$AT$12&gt;=INDEX('Lease Cycles'!$BG$12:$BM$12,1,BN78),'Lease Cycles'!$AT$12&lt;=BN$6),'Lease Cycles'!$C$12*'Lease Cycles'!$AU$12/12,'Lease Cycles'!$C$12*INDEX('Lease Cycles'!$CB$12:$CH$12,1,BN78)*(1+INDEX('Lease Cycles'!$CI$12:$CO$12,1,BN78))^INT(INT(BN79/12)/INDEX('Lease Cycles'!$CP$12:$CV$12,1,BN78))/12)))),'Lease Cycles'!$C$12*INDEX('Lease Cycles'!$CB$12:$CH$12,1,BN78)*(1+INDEX('Lease Cycles'!$CI$12:$CO$12,1,BN78))^INT(INT(BN79/12)/INDEX('Lease Cycles'!$CP$12:$CV$12,1,BN78))/12))),IF('Lease Cycles'!$N$12=1,'Lease Cycles'!$C$12*'Lease Cycles'!$E$12*INDEX('Lease Cycles'!$HE$12:$HK$12,1,BN78)*(1+INDEX('Lease Cycles'!$GQ$12:$GW$12,1,BN78))^INT(INT((BN$6-INDEX('Lease Cycles'!$GJ$12:$GP$12,1,BN78))/12)/INDEX('Lease Cycles'!$GX$12:$HD$12,1,BN78))/12,0)))</f>
        <v>3461.7811446379815</v>
      </c>
      <c r="BO81" s="28">
        <f>IF(BO78=0,IF('Lease Cycles'!$F$12&gt;0,'Lease Cycles'!$C$12*'Lease Cycles'!$E$12/12,0),IF(BO80=1,IF('Lease Cycles'!$AT$12&gt;=9999,'Lease Cycles'!$C$12*INDEX('Lease Cycles'!$CB$12:$CH$12,1,BO78)*(1+INDEX('Lease Cycles'!$CI$12:$CO$12,1,BO78))^INT(INT(BO79/12)/INDEX('Lease Cycles'!$CP$12:$CV$12,1,BO78))/12,IF(BO78=1,IF(BO79&gt;=INDEX('Lease Cycles'!$DK$12:$DQ$12,1,BO78),IF(BO$6&gt;='Lease Cycles'!$AZ$12,'Lease Cycles'!$C$12*'Lease Cycles'!$BA$12/12,IF(BO$6&gt;='Lease Cycles'!$AX$12,'Lease Cycles'!$C$12*'Lease Cycles'!$AY$12/12,IF(BO$6&gt;='Lease Cycles'!$AV$12,'Lease Cycles'!$C$12*'Lease Cycles'!$AW$12/12,IF(BO$6&gt;='Lease Cycles'!$AT$12,'Lease Cycles'!$C$12*'Lease Cycles'!$AU$12/12,'Lease Cycles'!$C$12*INDEX('Lease Cycles'!$CB$12:$CH$12,1,BO78)*(1+INDEX('Lease Cycles'!$CI$12:$CO$12,1,BO78))^INT(INT(BO79/12)/INDEX('Lease Cycles'!$CP$12:$CV$12,1,BO78))/12)))),'Lease Cycles'!$C$12*INDEX('Lease Cycles'!$CB$12:$CH$12,1,BO78)*(1+INDEX('Lease Cycles'!$CI$12:$CO$12,1,BO78))^INT(INT(BO79/12)/INDEX('Lease Cycles'!$CP$12:$CV$12,1,BO78))/12),IF(INDEX('Lease Cycles'!$EF$12:$EL$12,1,BO78)=1,IF(AND('Lease Cycles'!$AZ$12&gt;=INDEX('Lease Cycles'!$BG$12:$BM$12,1,BO78),'Lease Cycles'!$AZ$12&lt;=BO$6),'Lease Cycles'!$C$12*'Lease Cycles'!$BA$12/12,IF(AND('Lease Cycles'!$AX$12&gt;=INDEX('Lease Cycles'!$BG$12:$BM$12,1,BO78),'Lease Cycles'!$AX$12&lt;=BO$6),'Lease Cycles'!$C$12*'Lease Cycles'!$AY$12/12,IF(AND('Lease Cycles'!$AV$12&gt;=INDEX('Lease Cycles'!$BG$12:$BM$12,1,BO78),'Lease Cycles'!$AV$12&lt;=BO$6),'Lease Cycles'!$C$12*'Lease Cycles'!$AW$12/12,IF(AND('Lease Cycles'!$AT$12&gt;=INDEX('Lease Cycles'!$BG$12:$BM$12,1,BO78),'Lease Cycles'!$AT$12&lt;=BO$6),'Lease Cycles'!$C$12*'Lease Cycles'!$AU$12/12,'Lease Cycles'!$C$12*INDEX('Lease Cycles'!$CB$12:$CH$12,1,BO78)*(1+INDEX('Lease Cycles'!$CI$12:$CO$12,1,BO78))^INT(INT(BO79/12)/INDEX('Lease Cycles'!$CP$12:$CV$12,1,BO78))/12)))),'Lease Cycles'!$C$12*INDEX('Lease Cycles'!$CB$12:$CH$12,1,BO78)*(1+INDEX('Lease Cycles'!$CI$12:$CO$12,1,BO78))^INT(INT(BO79/12)/INDEX('Lease Cycles'!$CP$12:$CV$12,1,BO78))/12))),IF('Lease Cycles'!$N$12=1,'Lease Cycles'!$C$12*'Lease Cycles'!$E$12*INDEX('Lease Cycles'!$HE$12:$HK$12,1,BO78)*(1+INDEX('Lease Cycles'!$GQ$12:$GW$12,1,BO78))^INT(INT((BO$6-INDEX('Lease Cycles'!$GJ$12:$GP$12,1,BO78))/12)/INDEX('Lease Cycles'!$GX$12:$HD$12,1,BO78))/12,0)))</f>
        <v>3461.7811446379815</v>
      </c>
      <c r="BP81" s="28">
        <f>IF(BP78=0,IF('Lease Cycles'!$F$12&gt;0,'Lease Cycles'!$C$12*'Lease Cycles'!$E$12/12,0),IF(BP80=1,IF('Lease Cycles'!$AT$12&gt;=9999,'Lease Cycles'!$C$12*INDEX('Lease Cycles'!$CB$12:$CH$12,1,BP78)*(1+INDEX('Lease Cycles'!$CI$12:$CO$12,1,BP78))^INT(INT(BP79/12)/INDEX('Lease Cycles'!$CP$12:$CV$12,1,BP78))/12,IF(BP78=1,IF(BP79&gt;=INDEX('Lease Cycles'!$DK$12:$DQ$12,1,BP78),IF(BP$6&gt;='Lease Cycles'!$AZ$12,'Lease Cycles'!$C$12*'Lease Cycles'!$BA$12/12,IF(BP$6&gt;='Lease Cycles'!$AX$12,'Lease Cycles'!$C$12*'Lease Cycles'!$AY$12/12,IF(BP$6&gt;='Lease Cycles'!$AV$12,'Lease Cycles'!$C$12*'Lease Cycles'!$AW$12/12,IF(BP$6&gt;='Lease Cycles'!$AT$12,'Lease Cycles'!$C$12*'Lease Cycles'!$AU$12/12,'Lease Cycles'!$C$12*INDEX('Lease Cycles'!$CB$12:$CH$12,1,BP78)*(1+INDEX('Lease Cycles'!$CI$12:$CO$12,1,BP78))^INT(INT(BP79/12)/INDEX('Lease Cycles'!$CP$12:$CV$12,1,BP78))/12)))),'Lease Cycles'!$C$12*INDEX('Lease Cycles'!$CB$12:$CH$12,1,BP78)*(1+INDEX('Lease Cycles'!$CI$12:$CO$12,1,BP78))^INT(INT(BP79/12)/INDEX('Lease Cycles'!$CP$12:$CV$12,1,BP78))/12),IF(INDEX('Lease Cycles'!$EF$12:$EL$12,1,BP78)=1,IF(AND('Lease Cycles'!$AZ$12&gt;=INDEX('Lease Cycles'!$BG$12:$BM$12,1,BP78),'Lease Cycles'!$AZ$12&lt;=BP$6),'Lease Cycles'!$C$12*'Lease Cycles'!$BA$12/12,IF(AND('Lease Cycles'!$AX$12&gt;=INDEX('Lease Cycles'!$BG$12:$BM$12,1,BP78),'Lease Cycles'!$AX$12&lt;=BP$6),'Lease Cycles'!$C$12*'Lease Cycles'!$AY$12/12,IF(AND('Lease Cycles'!$AV$12&gt;=INDEX('Lease Cycles'!$BG$12:$BM$12,1,BP78),'Lease Cycles'!$AV$12&lt;=BP$6),'Lease Cycles'!$C$12*'Lease Cycles'!$AW$12/12,IF(AND('Lease Cycles'!$AT$12&gt;=INDEX('Lease Cycles'!$BG$12:$BM$12,1,BP78),'Lease Cycles'!$AT$12&lt;=BP$6),'Lease Cycles'!$C$12*'Lease Cycles'!$AU$12/12,'Lease Cycles'!$C$12*INDEX('Lease Cycles'!$CB$12:$CH$12,1,BP78)*(1+INDEX('Lease Cycles'!$CI$12:$CO$12,1,BP78))^INT(INT(BP79/12)/INDEX('Lease Cycles'!$CP$12:$CV$12,1,BP78))/12)))),'Lease Cycles'!$C$12*INDEX('Lease Cycles'!$CB$12:$CH$12,1,BP78)*(1+INDEX('Lease Cycles'!$CI$12:$CO$12,1,BP78))^INT(INT(BP79/12)/INDEX('Lease Cycles'!$CP$12:$CV$12,1,BP78))/12))),IF('Lease Cycles'!$N$12=1,'Lease Cycles'!$C$12*'Lease Cycles'!$E$12*INDEX('Lease Cycles'!$HE$12:$HK$12,1,BP78)*(1+INDEX('Lease Cycles'!$GQ$12:$GW$12,1,BP78))^INT(INT((BP$6-INDEX('Lease Cycles'!$GJ$12:$GP$12,1,BP78))/12)/INDEX('Lease Cycles'!$GX$12:$HD$12,1,BP78))/12,0)))</f>
        <v>3461.7811446379815</v>
      </c>
      <c r="BQ81" s="28">
        <f>IF(BQ78=0,IF('Lease Cycles'!$F$12&gt;0,'Lease Cycles'!$C$12*'Lease Cycles'!$E$12/12,0),IF(BQ80=1,IF('Lease Cycles'!$AT$12&gt;=9999,'Lease Cycles'!$C$12*INDEX('Lease Cycles'!$CB$12:$CH$12,1,BQ78)*(1+INDEX('Lease Cycles'!$CI$12:$CO$12,1,BQ78))^INT(INT(BQ79/12)/INDEX('Lease Cycles'!$CP$12:$CV$12,1,BQ78))/12,IF(BQ78=1,IF(BQ79&gt;=INDEX('Lease Cycles'!$DK$12:$DQ$12,1,BQ78),IF(BQ$6&gt;='Lease Cycles'!$AZ$12,'Lease Cycles'!$C$12*'Lease Cycles'!$BA$12/12,IF(BQ$6&gt;='Lease Cycles'!$AX$12,'Lease Cycles'!$C$12*'Lease Cycles'!$AY$12/12,IF(BQ$6&gt;='Lease Cycles'!$AV$12,'Lease Cycles'!$C$12*'Lease Cycles'!$AW$12/12,IF(BQ$6&gt;='Lease Cycles'!$AT$12,'Lease Cycles'!$C$12*'Lease Cycles'!$AU$12/12,'Lease Cycles'!$C$12*INDEX('Lease Cycles'!$CB$12:$CH$12,1,BQ78)*(1+INDEX('Lease Cycles'!$CI$12:$CO$12,1,BQ78))^INT(INT(BQ79/12)/INDEX('Lease Cycles'!$CP$12:$CV$12,1,BQ78))/12)))),'Lease Cycles'!$C$12*INDEX('Lease Cycles'!$CB$12:$CH$12,1,BQ78)*(1+INDEX('Lease Cycles'!$CI$12:$CO$12,1,BQ78))^INT(INT(BQ79/12)/INDEX('Lease Cycles'!$CP$12:$CV$12,1,BQ78))/12),IF(INDEX('Lease Cycles'!$EF$12:$EL$12,1,BQ78)=1,IF(AND('Lease Cycles'!$AZ$12&gt;=INDEX('Lease Cycles'!$BG$12:$BM$12,1,BQ78),'Lease Cycles'!$AZ$12&lt;=BQ$6),'Lease Cycles'!$C$12*'Lease Cycles'!$BA$12/12,IF(AND('Lease Cycles'!$AX$12&gt;=INDEX('Lease Cycles'!$BG$12:$BM$12,1,BQ78),'Lease Cycles'!$AX$12&lt;=BQ$6),'Lease Cycles'!$C$12*'Lease Cycles'!$AY$12/12,IF(AND('Lease Cycles'!$AV$12&gt;=INDEX('Lease Cycles'!$BG$12:$BM$12,1,BQ78),'Lease Cycles'!$AV$12&lt;=BQ$6),'Lease Cycles'!$C$12*'Lease Cycles'!$AW$12/12,IF(AND('Lease Cycles'!$AT$12&gt;=INDEX('Lease Cycles'!$BG$12:$BM$12,1,BQ78),'Lease Cycles'!$AT$12&lt;=BQ$6),'Lease Cycles'!$C$12*'Lease Cycles'!$AU$12/12,'Lease Cycles'!$C$12*INDEX('Lease Cycles'!$CB$12:$CH$12,1,BQ78)*(1+INDEX('Lease Cycles'!$CI$12:$CO$12,1,BQ78))^INT(INT(BQ79/12)/INDEX('Lease Cycles'!$CP$12:$CV$12,1,BQ78))/12)))),'Lease Cycles'!$C$12*INDEX('Lease Cycles'!$CB$12:$CH$12,1,BQ78)*(1+INDEX('Lease Cycles'!$CI$12:$CO$12,1,BQ78))^INT(INT(BQ79/12)/INDEX('Lease Cycles'!$CP$12:$CV$12,1,BQ78))/12))),IF('Lease Cycles'!$N$12=1,'Lease Cycles'!$C$12*'Lease Cycles'!$E$12*INDEX('Lease Cycles'!$HE$12:$HK$12,1,BQ78)*(1+INDEX('Lease Cycles'!$GQ$12:$GW$12,1,BQ78))^INT(INT((BQ$6-INDEX('Lease Cycles'!$GJ$12:$GP$12,1,BQ78))/12)/INDEX('Lease Cycles'!$GX$12:$HD$12,1,BQ78))/12,0)))</f>
        <v>3461.7811446379815</v>
      </c>
      <c r="BR81" s="28">
        <f>IF(BR78=0,IF('Lease Cycles'!$F$12&gt;0,'Lease Cycles'!$C$12*'Lease Cycles'!$E$12/12,0),IF(BR80=1,IF('Lease Cycles'!$AT$12&gt;=9999,'Lease Cycles'!$C$12*INDEX('Lease Cycles'!$CB$12:$CH$12,1,BR78)*(1+INDEX('Lease Cycles'!$CI$12:$CO$12,1,BR78))^INT(INT(BR79/12)/INDEX('Lease Cycles'!$CP$12:$CV$12,1,BR78))/12,IF(BR78=1,IF(BR79&gt;=INDEX('Lease Cycles'!$DK$12:$DQ$12,1,BR78),IF(BR$6&gt;='Lease Cycles'!$AZ$12,'Lease Cycles'!$C$12*'Lease Cycles'!$BA$12/12,IF(BR$6&gt;='Lease Cycles'!$AX$12,'Lease Cycles'!$C$12*'Lease Cycles'!$AY$12/12,IF(BR$6&gt;='Lease Cycles'!$AV$12,'Lease Cycles'!$C$12*'Lease Cycles'!$AW$12/12,IF(BR$6&gt;='Lease Cycles'!$AT$12,'Lease Cycles'!$C$12*'Lease Cycles'!$AU$12/12,'Lease Cycles'!$C$12*INDEX('Lease Cycles'!$CB$12:$CH$12,1,BR78)*(1+INDEX('Lease Cycles'!$CI$12:$CO$12,1,BR78))^INT(INT(BR79/12)/INDEX('Lease Cycles'!$CP$12:$CV$12,1,BR78))/12)))),'Lease Cycles'!$C$12*INDEX('Lease Cycles'!$CB$12:$CH$12,1,BR78)*(1+INDEX('Lease Cycles'!$CI$12:$CO$12,1,BR78))^INT(INT(BR79/12)/INDEX('Lease Cycles'!$CP$12:$CV$12,1,BR78))/12),IF(INDEX('Lease Cycles'!$EF$12:$EL$12,1,BR78)=1,IF(AND('Lease Cycles'!$AZ$12&gt;=INDEX('Lease Cycles'!$BG$12:$BM$12,1,BR78),'Lease Cycles'!$AZ$12&lt;=BR$6),'Lease Cycles'!$C$12*'Lease Cycles'!$BA$12/12,IF(AND('Lease Cycles'!$AX$12&gt;=INDEX('Lease Cycles'!$BG$12:$BM$12,1,BR78),'Lease Cycles'!$AX$12&lt;=BR$6),'Lease Cycles'!$C$12*'Lease Cycles'!$AY$12/12,IF(AND('Lease Cycles'!$AV$12&gt;=INDEX('Lease Cycles'!$BG$12:$BM$12,1,BR78),'Lease Cycles'!$AV$12&lt;=BR$6),'Lease Cycles'!$C$12*'Lease Cycles'!$AW$12/12,IF(AND('Lease Cycles'!$AT$12&gt;=INDEX('Lease Cycles'!$BG$12:$BM$12,1,BR78),'Lease Cycles'!$AT$12&lt;=BR$6),'Lease Cycles'!$C$12*'Lease Cycles'!$AU$12/12,'Lease Cycles'!$C$12*INDEX('Lease Cycles'!$CB$12:$CH$12,1,BR78)*(1+INDEX('Lease Cycles'!$CI$12:$CO$12,1,BR78))^INT(INT(BR79/12)/INDEX('Lease Cycles'!$CP$12:$CV$12,1,BR78))/12)))),'Lease Cycles'!$C$12*INDEX('Lease Cycles'!$CB$12:$CH$12,1,BR78)*(1+INDEX('Lease Cycles'!$CI$12:$CO$12,1,BR78))^INT(INT(BR79/12)/INDEX('Lease Cycles'!$CP$12:$CV$12,1,BR78))/12))),IF('Lease Cycles'!$N$12=1,'Lease Cycles'!$C$12*'Lease Cycles'!$E$12*INDEX('Lease Cycles'!$HE$12:$HK$12,1,BR78)*(1+INDEX('Lease Cycles'!$GQ$12:$GW$12,1,BR78))^INT(INT((BR$6-INDEX('Lease Cycles'!$GJ$12:$GP$12,1,BR78))/12)/INDEX('Lease Cycles'!$GX$12:$HD$12,1,BR78))/12,0)))</f>
        <v>3461.7811446379815</v>
      </c>
      <c r="BS81" s="28">
        <f>IF(BS78=0,IF('Lease Cycles'!$F$12&gt;0,'Lease Cycles'!$C$12*'Lease Cycles'!$E$12/12,0),IF(BS80=1,IF('Lease Cycles'!$AT$12&gt;=9999,'Lease Cycles'!$C$12*INDEX('Lease Cycles'!$CB$12:$CH$12,1,BS78)*(1+INDEX('Lease Cycles'!$CI$12:$CO$12,1,BS78))^INT(INT(BS79/12)/INDEX('Lease Cycles'!$CP$12:$CV$12,1,BS78))/12,IF(BS78=1,IF(BS79&gt;=INDEX('Lease Cycles'!$DK$12:$DQ$12,1,BS78),IF(BS$6&gt;='Lease Cycles'!$AZ$12,'Lease Cycles'!$C$12*'Lease Cycles'!$BA$12/12,IF(BS$6&gt;='Lease Cycles'!$AX$12,'Lease Cycles'!$C$12*'Lease Cycles'!$AY$12/12,IF(BS$6&gt;='Lease Cycles'!$AV$12,'Lease Cycles'!$C$12*'Lease Cycles'!$AW$12/12,IF(BS$6&gt;='Lease Cycles'!$AT$12,'Lease Cycles'!$C$12*'Lease Cycles'!$AU$12/12,'Lease Cycles'!$C$12*INDEX('Lease Cycles'!$CB$12:$CH$12,1,BS78)*(1+INDEX('Lease Cycles'!$CI$12:$CO$12,1,BS78))^INT(INT(BS79/12)/INDEX('Lease Cycles'!$CP$12:$CV$12,1,BS78))/12)))),'Lease Cycles'!$C$12*INDEX('Lease Cycles'!$CB$12:$CH$12,1,BS78)*(1+INDEX('Lease Cycles'!$CI$12:$CO$12,1,BS78))^INT(INT(BS79/12)/INDEX('Lease Cycles'!$CP$12:$CV$12,1,BS78))/12),IF(INDEX('Lease Cycles'!$EF$12:$EL$12,1,BS78)=1,IF(AND('Lease Cycles'!$AZ$12&gt;=INDEX('Lease Cycles'!$BG$12:$BM$12,1,BS78),'Lease Cycles'!$AZ$12&lt;=BS$6),'Lease Cycles'!$C$12*'Lease Cycles'!$BA$12/12,IF(AND('Lease Cycles'!$AX$12&gt;=INDEX('Lease Cycles'!$BG$12:$BM$12,1,BS78),'Lease Cycles'!$AX$12&lt;=BS$6),'Lease Cycles'!$C$12*'Lease Cycles'!$AY$12/12,IF(AND('Lease Cycles'!$AV$12&gt;=INDEX('Lease Cycles'!$BG$12:$BM$12,1,BS78),'Lease Cycles'!$AV$12&lt;=BS$6),'Lease Cycles'!$C$12*'Lease Cycles'!$AW$12/12,IF(AND('Lease Cycles'!$AT$12&gt;=INDEX('Lease Cycles'!$BG$12:$BM$12,1,BS78),'Lease Cycles'!$AT$12&lt;=BS$6),'Lease Cycles'!$C$12*'Lease Cycles'!$AU$12/12,'Lease Cycles'!$C$12*INDEX('Lease Cycles'!$CB$12:$CH$12,1,BS78)*(1+INDEX('Lease Cycles'!$CI$12:$CO$12,1,BS78))^INT(INT(BS79/12)/INDEX('Lease Cycles'!$CP$12:$CV$12,1,BS78))/12)))),'Lease Cycles'!$C$12*INDEX('Lease Cycles'!$CB$12:$CH$12,1,BS78)*(1+INDEX('Lease Cycles'!$CI$12:$CO$12,1,BS78))^INT(INT(BS79/12)/INDEX('Lease Cycles'!$CP$12:$CV$12,1,BS78))/12))),IF('Lease Cycles'!$N$12=1,'Lease Cycles'!$C$12*'Lease Cycles'!$E$12*INDEX('Lease Cycles'!$HE$12:$HK$12,1,BS78)*(1+INDEX('Lease Cycles'!$GQ$12:$GW$12,1,BS78))^INT(INT((BS$6-INDEX('Lease Cycles'!$GJ$12:$GP$12,1,BS78))/12)/INDEX('Lease Cycles'!$GX$12:$HD$12,1,BS78))/12,0)))</f>
        <v>3461.7811446379815</v>
      </c>
      <c r="BT81" s="28">
        <f>IF(BT78=0,IF('Lease Cycles'!$F$12&gt;0,'Lease Cycles'!$C$12*'Lease Cycles'!$E$12/12,0),IF(BT80=1,IF('Lease Cycles'!$AT$12&gt;=9999,'Lease Cycles'!$C$12*INDEX('Lease Cycles'!$CB$12:$CH$12,1,BT78)*(1+INDEX('Lease Cycles'!$CI$12:$CO$12,1,BT78))^INT(INT(BT79/12)/INDEX('Lease Cycles'!$CP$12:$CV$12,1,BT78))/12,IF(BT78=1,IF(BT79&gt;=INDEX('Lease Cycles'!$DK$12:$DQ$12,1,BT78),IF(BT$6&gt;='Lease Cycles'!$AZ$12,'Lease Cycles'!$C$12*'Lease Cycles'!$BA$12/12,IF(BT$6&gt;='Lease Cycles'!$AX$12,'Lease Cycles'!$C$12*'Lease Cycles'!$AY$12/12,IF(BT$6&gt;='Lease Cycles'!$AV$12,'Lease Cycles'!$C$12*'Lease Cycles'!$AW$12/12,IF(BT$6&gt;='Lease Cycles'!$AT$12,'Lease Cycles'!$C$12*'Lease Cycles'!$AU$12/12,'Lease Cycles'!$C$12*INDEX('Lease Cycles'!$CB$12:$CH$12,1,BT78)*(1+INDEX('Lease Cycles'!$CI$12:$CO$12,1,BT78))^INT(INT(BT79/12)/INDEX('Lease Cycles'!$CP$12:$CV$12,1,BT78))/12)))),'Lease Cycles'!$C$12*INDEX('Lease Cycles'!$CB$12:$CH$12,1,BT78)*(1+INDEX('Lease Cycles'!$CI$12:$CO$12,1,BT78))^INT(INT(BT79/12)/INDEX('Lease Cycles'!$CP$12:$CV$12,1,BT78))/12),IF(INDEX('Lease Cycles'!$EF$12:$EL$12,1,BT78)=1,IF(AND('Lease Cycles'!$AZ$12&gt;=INDEX('Lease Cycles'!$BG$12:$BM$12,1,BT78),'Lease Cycles'!$AZ$12&lt;=BT$6),'Lease Cycles'!$C$12*'Lease Cycles'!$BA$12/12,IF(AND('Lease Cycles'!$AX$12&gt;=INDEX('Lease Cycles'!$BG$12:$BM$12,1,BT78),'Lease Cycles'!$AX$12&lt;=BT$6),'Lease Cycles'!$C$12*'Lease Cycles'!$AY$12/12,IF(AND('Lease Cycles'!$AV$12&gt;=INDEX('Lease Cycles'!$BG$12:$BM$12,1,BT78),'Lease Cycles'!$AV$12&lt;=BT$6),'Lease Cycles'!$C$12*'Lease Cycles'!$AW$12/12,IF(AND('Lease Cycles'!$AT$12&gt;=INDEX('Lease Cycles'!$BG$12:$BM$12,1,BT78),'Lease Cycles'!$AT$12&lt;=BT$6),'Lease Cycles'!$C$12*'Lease Cycles'!$AU$12/12,'Lease Cycles'!$C$12*INDEX('Lease Cycles'!$CB$12:$CH$12,1,BT78)*(1+INDEX('Lease Cycles'!$CI$12:$CO$12,1,BT78))^INT(INT(BT79/12)/INDEX('Lease Cycles'!$CP$12:$CV$12,1,BT78))/12)))),'Lease Cycles'!$C$12*INDEX('Lease Cycles'!$CB$12:$CH$12,1,BT78)*(1+INDEX('Lease Cycles'!$CI$12:$CO$12,1,BT78))^INT(INT(BT79/12)/INDEX('Lease Cycles'!$CP$12:$CV$12,1,BT78))/12))),IF('Lease Cycles'!$N$12=1,'Lease Cycles'!$C$12*'Lease Cycles'!$E$12*INDEX('Lease Cycles'!$HE$12:$HK$12,1,BT78)*(1+INDEX('Lease Cycles'!$GQ$12:$GW$12,1,BT78))^INT(INT((BT$6-INDEX('Lease Cycles'!$GJ$12:$GP$12,1,BT78))/12)/INDEX('Lease Cycles'!$GX$12:$HD$12,1,BT78))/12,0)))</f>
        <v>3461.7811446379815</v>
      </c>
      <c r="BU81" s="28">
        <f>IF(BU78=0,IF('Lease Cycles'!$F$12&gt;0,'Lease Cycles'!$C$12*'Lease Cycles'!$E$12/12,0),IF(BU80=1,IF('Lease Cycles'!$AT$12&gt;=9999,'Lease Cycles'!$C$12*INDEX('Lease Cycles'!$CB$12:$CH$12,1,BU78)*(1+INDEX('Lease Cycles'!$CI$12:$CO$12,1,BU78))^INT(INT(BU79/12)/INDEX('Lease Cycles'!$CP$12:$CV$12,1,BU78))/12,IF(BU78=1,IF(BU79&gt;=INDEX('Lease Cycles'!$DK$12:$DQ$12,1,BU78),IF(BU$6&gt;='Lease Cycles'!$AZ$12,'Lease Cycles'!$C$12*'Lease Cycles'!$BA$12/12,IF(BU$6&gt;='Lease Cycles'!$AX$12,'Lease Cycles'!$C$12*'Lease Cycles'!$AY$12/12,IF(BU$6&gt;='Lease Cycles'!$AV$12,'Lease Cycles'!$C$12*'Lease Cycles'!$AW$12/12,IF(BU$6&gt;='Lease Cycles'!$AT$12,'Lease Cycles'!$C$12*'Lease Cycles'!$AU$12/12,'Lease Cycles'!$C$12*INDEX('Lease Cycles'!$CB$12:$CH$12,1,BU78)*(1+INDEX('Lease Cycles'!$CI$12:$CO$12,1,BU78))^INT(INT(BU79/12)/INDEX('Lease Cycles'!$CP$12:$CV$12,1,BU78))/12)))),'Lease Cycles'!$C$12*INDEX('Lease Cycles'!$CB$12:$CH$12,1,BU78)*(1+INDEX('Lease Cycles'!$CI$12:$CO$12,1,BU78))^INT(INT(BU79/12)/INDEX('Lease Cycles'!$CP$12:$CV$12,1,BU78))/12),IF(INDEX('Lease Cycles'!$EF$12:$EL$12,1,BU78)=1,IF(AND('Lease Cycles'!$AZ$12&gt;=INDEX('Lease Cycles'!$BG$12:$BM$12,1,BU78),'Lease Cycles'!$AZ$12&lt;=BU$6),'Lease Cycles'!$C$12*'Lease Cycles'!$BA$12/12,IF(AND('Lease Cycles'!$AX$12&gt;=INDEX('Lease Cycles'!$BG$12:$BM$12,1,BU78),'Lease Cycles'!$AX$12&lt;=BU$6),'Lease Cycles'!$C$12*'Lease Cycles'!$AY$12/12,IF(AND('Lease Cycles'!$AV$12&gt;=INDEX('Lease Cycles'!$BG$12:$BM$12,1,BU78),'Lease Cycles'!$AV$12&lt;=BU$6),'Lease Cycles'!$C$12*'Lease Cycles'!$AW$12/12,IF(AND('Lease Cycles'!$AT$12&gt;=INDEX('Lease Cycles'!$BG$12:$BM$12,1,BU78),'Lease Cycles'!$AT$12&lt;=BU$6),'Lease Cycles'!$C$12*'Lease Cycles'!$AU$12/12,'Lease Cycles'!$C$12*INDEX('Lease Cycles'!$CB$12:$CH$12,1,BU78)*(1+INDEX('Lease Cycles'!$CI$12:$CO$12,1,BU78))^INT(INT(BU79/12)/INDEX('Lease Cycles'!$CP$12:$CV$12,1,BU78))/12)))),'Lease Cycles'!$C$12*INDEX('Lease Cycles'!$CB$12:$CH$12,1,BU78)*(1+INDEX('Lease Cycles'!$CI$12:$CO$12,1,BU78))^INT(INT(BU79/12)/INDEX('Lease Cycles'!$CP$12:$CV$12,1,BU78))/12))),IF('Lease Cycles'!$N$12=1,'Lease Cycles'!$C$12*'Lease Cycles'!$E$12*INDEX('Lease Cycles'!$HE$12:$HK$12,1,BU78)*(1+INDEX('Lease Cycles'!$GQ$12:$GW$12,1,BU78))^INT(INT((BU$6-INDEX('Lease Cycles'!$GJ$12:$GP$12,1,BU78))/12)/INDEX('Lease Cycles'!$GX$12:$HD$12,1,BU78))/12,0)))</f>
        <v>3461.7811446379815</v>
      </c>
      <c r="BV81" s="28">
        <f>IF(BV78=0,IF('Lease Cycles'!$F$12&gt;0,'Lease Cycles'!$C$12*'Lease Cycles'!$E$12/12,0),IF(BV80=1,IF('Lease Cycles'!$AT$12&gt;=9999,'Lease Cycles'!$C$12*INDEX('Lease Cycles'!$CB$12:$CH$12,1,BV78)*(1+INDEX('Lease Cycles'!$CI$12:$CO$12,1,BV78))^INT(INT(BV79/12)/INDEX('Lease Cycles'!$CP$12:$CV$12,1,BV78))/12,IF(BV78=1,IF(BV79&gt;=INDEX('Lease Cycles'!$DK$12:$DQ$12,1,BV78),IF(BV$6&gt;='Lease Cycles'!$AZ$12,'Lease Cycles'!$C$12*'Lease Cycles'!$BA$12/12,IF(BV$6&gt;='Lease Cycles'!$AX$12,'Lease Cycles'!$C$12*'Lease Cycles'!$AY$12/12,IF(BV$6&gt;='Lease Cycles'!$AV$12,'Lease Cycles'!$C$12*'Lease Cycles'!$AW$12/12,IF(BV$6&gt;='Lease Cycles'!$AT$12,'Lease Cycles'!$C$12*'Lease Cycles'!$AU$12/12,'Lease Cycles'!$C$12*INDEX('Lease Cycles'!$CB$12:$CH$12,1,BV78)*(1+INDEX('Lease Cycles'!$CI$12:$CO$12,1,BV78))^INT(INT(BV79/12)/INDEX('Lease Cycles'!$CP$12:$CV$12,1,BV78))/12)))),'Lease Cycles'!$C$12*INDEX('Lease Cycles'!$CB$12:$CH$12,1,BV78)*(1+INDEX('Lease Cycles'!$CI$12:$CO$12,1,BV78))^INT(INT(BV79/12)/INDEX('Lease Cycles'!$CP$12:$CV$12,1,BV78))/12),IF(INDEX('Lease Cycles'!$EF$12:$EL$12,1,BV78)=1,IF(AND('Lease Cycles'!$AZ$12&gt;=INDEX('Lease Cycles'!$BG$12:$BM$12,1,BV78),'Lease Cycles'!$AZ$12&lt;=BV$6),'Lease Cycles'!$C$12*'Lease Cycles'!$BA$12/12,IF(AND('Lease Cycles'!$AX$12&gt;=INDEX('Lease Cycles'!$BG$12:$BM$12,1,BV78),'Lease Cycles'!$AX$12&lt;=BV$6),'Lease Cycles'!$C$12*'Lease Cycles'!$AY$12/12,IF(AND('Lease Cycles'!$AV$12&gt;=INDEX('Lease Cycles'!$BG$12:$BM$12,1,BV78),'Lease Cycles'!$AV$12&lt;=BV$6),'Lease Cycles'!$C$12*'Lease Cycles'!$AW$12/12,IF(AND('Lease Cycles'!$AT$12&gt;=INDEX('Lease Cycles'!$BG$12:$BM$12,1,BV78),'Lease Cycles'!$AT$12&lt;=BV$6),'Lease Cycles'!$C$12*'Lease Cycles'!$AU$12/12,'Lease Cycles'!$C$12*INDEX('Lease Cycles'!$CB$12:$CH$12,1,BV78)*(1+INDEX('Lease Cycles'!$CI$12:$CO$12,1,BV78))^INT(INT(BV79/12)/INDEX('Lease Cycles'!$CP$12:$CV$12,1,BV78))/12)))),'Lease Cycles'!$C$12*INDEX('Lease Cycles'!$CB$12:$CH$12,1,BV78)*(1+INDEX('Lease Cycles'!$CI$12:$CO$12,1,BV78))^INT(INT(BV79/12)/INDEX('Lease Cycles'!$CP$12:$CV$12,1,BV78))/12))),IF('Lease Cycles'!$N$12=1,'Lease Cycles'!$C$12*'Lease Cycles'!$E$12*INDEX('Lease Cycles'!$HE$12:$HK$12,1,BV78)*(1+INDEX('Lease Cycles'!$GQ$12:$GW$12,1,BV78))^INT(INT((BV$6-INDEX('Lease Cycles'!$GJ$12:$GP$12,1,BV78))/12)/INDEX('Lease Cycles'!$GX$12:$HD$12,1,BV78))/12,0)))</f>
        <v>3461.7811446379815</v>
      </c>
      <c r="BW81" s="28">
        <f>IF(BW78=0,IF('Lease Cycles'!$F$12&gt;0,'Lease Cycles'!$C$12*'Lease Cycles'!$E$12/12,0),IF(BW80=1,IF('Lease Cycles'!$AT$12&gt;=9999,'Lease Cycles'!$C$12*INDEX('Lease Cycles'!$CB$12:$CH$12,1,BW78)*(1+INDEX('Lease Cycles'!$CI$12:$CO$12,1,BW78))^INT(INT(BW79/12)/INDEX('Lease Cycles'!$CP$12:$CV$12,1,BW78))/12,IF(BW78=1,IF(BW79&gt;=INDEX('Lease Cycles'!$DK$12:$DQ$12,1,BW78),IF(BW$6&gt;='Lease Cycles'!$AZ$12,'Lease Cycles'!$C$12*'Lease Cycles'!$BA$12/12,IF(BW$6&gt;='Lease Cycles'!$AX$12,'Lease Cycles'!$C$12*'Lease Cycles'!$AY$12/12,IF(BW$6&gt;='Lease Cycles'!$AV$12,'Lease Cycles'!$C$12*'Lease Cycles'!$AW$12/12,IF(BW$6&gt;='Lease Cycles'!$AT$12,'Lease Cycles'!$C$12*'Lease Cycles'!$AU$12/12,'Lease Cycles'!$C$12*INDEX('Lease Cycles'!$CB$12:$CH$12,1,BW78)*(1+INDEX('Lease Cycles'!$CI$12:$CO$12,1,BW78))^INT(INT(BW79/12)/INDEX('Lease Cycles'!$CP$12:$CV$12,1,BW78))/12)))),'Lease Cycles'!$C$12*INDEX('Lease Cycles'!$CB$12:$CH$12,1,BW78)*(1+INDEX('Lease Cycles'!$CI$12:$CO$12,1,BW78))^INT(INT(BW79/12)/INDEX('Lease Cycles'!$CP$12:$CV$12,1,BW78))/12),IF(INDEX('Lease Cycles'!$EF$12:$EL$12,1,BW78)=1,IF(AND('Lease Cycles'!$AZ$12&gt;=INDEX('Lease Cycles'!$BG$12:$BM$12,1,BW78),'Lease Cycles'!$AZ$12&lt;=BW$6),'Lease Cycles'!$C$12*'Lease Cycles'!$BA$12/12,IF(AND('Lease Cycles'!$AX$12&gt;=INDEX('Lease Cycles'!$BG$12:$BM$12,1,BW78),'Lease Cycles'!$AX$12&lt;=BW$6),'Lease Cycles'!$C$12*'Lease Cycles'!$AY$12/12,IF(AND('Lease Cycles'!$AV$12&gt;=INDEX('Lease Cycles'!$BG$12:$BM$12,1,BW78),'Lease Cycles'!$AV$12&lt;=BW$6),'Lease Cycles'!$C$12*'Lease Cycles'!$AW$12/12,IF(AND('Lease Cycles'!$AT$12&gt;=INDEX('Lease Cycles'!$BG$12:$BM$12,1,BW78),'Lease Cycles'!$AT$12&lt;=BW$6),'Lease Cycles'!$C$12*'Lease Cycles'!$AU$12/12,'Lease Cycles'!$C$12*INDEX('Lease Cycles'!$CB$12:$CH$12,1,BW78)*(1+INDEX('Lease Cycles'!$CI$12:$CO$12,1,BW78))^INT(INT(BW79/12)/INDEX('Lease Cycles'!$CP$12:$CV$12,1,BW78))/12)))),'Lease Cycles'!$C$12*INDEX('Lease Cycles'!$CB$12:$CH$12,1,BW78)*(1+INDEX('Lease Cycles'!$CI$12:$CO$12,1,BW78))^INT(INT(BW79/12)/INDEX('Lease Cycles'!$CP$12:$CV$12,1,BW78))/12))),IF('Lease Cycles'!$N$12=1,'Lease Cycles'!$C$12*'Lease Cycles'!$E$12*INDEX('Lease Cycles'!$HE$12:$HK$12,1,BW78)*(1+INDEX('Lease Cycles'!$GQ$12:$GW$12,1,BW78))^INT(INT((BW$6-INDEX('Lease Cycles'!$GJ$12:$GP$12,1,BW78))/12)/INDEX('Lease Cycles'!$GX$12:$HD$12,1,BW78))/12,0)))</f>
        <v>3461.7811446379815</v>
      </c>
      <c r="BX81" s="28">
        <f>IF(BX78=0,IF('Lease Cycles'!$F$12&gt;0,'Lease Cycles'!$C$12*'Lease Cycles'!$E$12/12,0),IF(BX80=1,IF('Lease Cycles'!$AT$12&gt;=9999,'Lease Cycles'!$C$12*INDEX('Lease Cycles'!$CB$12:$CH$12,1,BX78)*(1+INDEX('Lease Cycles'!$CI$12:$CO$12,1,BX78))^INT(INT(BX79/12)/INDEX('Lease Cycles'!$CP$12:$CV$12,1,BX78))/12,IF(BX78=1,IF(BX79&gt;=INDEX('Lease Cycles'!$DK$12:$DQ$12,1,BX78),IF(BX$6&gt;='Lease Cycles'!$AZ$12,'Lease Cycles'!$C$12*'Lease Cycles'!$BA$12/12,IF(BX$6&gt;='Lease Cycles'!$AX$12,'Lease Cycles'!$C$12*'Lease Cycles'!$AY$12/12,IF(BX$6&gt;='Lease Cycles'!$AV$12,'Lease Cycles'!$C$12*'Lease Cycles'!$AW$12/12,IF(BX$6&gt;='Lease Cycles'!$AT$12,'Lease Cycles'!$C$12*'Lease Cycles'!$AU$12/12,'Lease Cycles'!$C$12*INDEX('Lease Cycles'!$CB$12:$CH$12,1,BX78)*(1+INDEX('Lease Cycles'!$CI$12:$CO$12,1,BX78))^INT(INT(BX79/12)/INDEX('Lease Cycles'!$CP$12:$CV$12,1,BX78))/12)))),'Lease Cycles'!$C$12*INDEX('Lease Cycles'!$CB$12:$CH$12,1,BX78)*(1+INDEX('Lease Cycles'!$CI$12:$CO$12,1,BX78))^INT(INT(BX79/12)/INDEX('Lease Cycles'!$CP$12:$CV$12,1,BX78))/12),IF(INDEX('Lease Cycles'!$EF$12:$EL$12,1,BX78)=1,IF(AND('Lease Cycles'!$AZ$12&gt;=INDEX('Lease Cycles'!$BG$12:$BM$12,1,BX78),'Lease Cycles'!$AZ$12&lt;=BX$6),'Lease Cycles'!$C$12*'Lease Cycles'!$BA$12/12,IF(AND('Lease Cycles'!$AX$12&gt;=INDEX('Lease Cycles'!$BG$12:$BM$12,1,BX78),'Lease Cycles'!$AX$12&lt;=BX$6),'Lease Cycles'!$C$12*'Lease Cycles'!$AY$12/12,IF(AND('Lease Cycles'!$AV$12&gt;=INDEX('Lease Cycles'!$BG$12:$BM$12,1,BX78),'Lease Cycles'!$AV$12&lt;=BX$6),'Lease Cycles'!$C$12*'Lease Cycles'!$AW$12/12,IF(AND('Lease Cycles'!$AT$12&gt;=INDEX('Lease Cycles'!$BG$12:$BM$12,1,BX78),'Lease Cycles'!$AT$12&lt;=BX$6),'Lease Cycles'!$C$12*'Lease Cycles'!$AU$12/12,'Lease Cycles'!$C$12*INDEX('Lease Cycles'!$CB$12:$CH$12,1,BX78)*(1+INDEX('Lease Cycles'!$CI$12:$CO$12,1,BX78))^INT(INT(BX79/12)/INDEX('Lease Cycles'!$CP$12:$CV$12,1,BX78))/12)))),'Lease Cycles'!$C$12*INDEX('Lease Cycles'!$CB$12:$CH$12,1,BX78)*(1+INDEX('Lease Cycles'!$CI$12:$CO$12,1,BX78))^INT(INT(BX79/12)/INDEX('Lease Cycles'!$CP$12:$CV$12,1,BX78))/12))),IF('Lease Cycles'!$N$12=1,'Lease Cycles'!$C$12*'Lease Cycles'!$E$12*INDEX('Lease Cycles'!$HE$12:$HK$12,1,BX78)*(1+INDEX('Lease Cycles'!$GQ$12:$GW$12,1,BX78))^INT(INT((BX$6-INDEX('Lease Cycles'!$GJ$12:$GP$12,1,BX78))/12)/INDEX('Lease Cycles'!$GX$12:$HD$12,1,BX78))/12,0)))</f>
        <v>3461.7811446379815</v>
      </c>
      <c r="BY81" s="28">
        <f>IF(BY78=0,IF('Lease Cycles'!$F$12&gt;0,'Lease Cycles'!$C$12*'Lease Cycles'!$E$12/12,0),IF(BY80=1,IF('Lease Cycles'!$AT$12&gt;=9999,'Lease Cycles'!$C$12*INDEX('Lease Cycles'!$CB$12:$CH$12,1,BY78)*(1+INDEX('Lease Cycles'!$CI$12:$CO$12,1,BY78))^INT(INT(BY79/12)/INDEX('Lease Cycles'!$CP$12:$CV$12,1,BY78))/12,IF(BY78=1,IF(BY79&gt;=INDEX('Lease Cycles'!$DK$12:$DQ$12,1,BY78),IF(BY$6&gt;='Lease Cycles'!$AZ$12,'Lease Cycles'!$C$12*'Lease Cycles'!$BA$12/12,IF(BY$6&gt;='Lease Cycles'!$AX$12,'Lease Cycles'!$C$12*'Lease Cycles'!$AY$12/12,IF(BY$6&gt;='Lease Cycles'!$AV$12,'Lease Cycles'!$C$12*'Lease Cycles'!$AW$12/12,IF(BY$6&gt;='Lease Cycles'!$AT$12,'Lease Cycles'!$C$12*'Lease Cycles'!$AU$12/12,'Lease Cycles'!$C$12*INDEX('Lease Cycles'!$CB$12:$CH$12,1,BY78)*(1+INDEX('Lease Cycles'!$CI$12:$CO$12,1,BY78))^INT(INT(BY79/12)/INDEX('Lease Cycles'!$CP$12:$CV$12,1,BY78))/12)))),'Lease Cycles'!$C$12*INDEX('Lease Cycles'!$CB$12:$CH$12,1,BY78)*(1+INDEX('Lease Cycles'!$CI$12:$CO$12,1,BY78))^INT(INT(BY79/12)/INDEX('Lease Cycles'!$CP$12:$CV$12,1,BY78))/12),IF(INDEX('Lease Cycles'!$EF$12:$EL$12,1,BY78)=1,IF(AND('Lease Cycles'!$AZ$12&gt;=INDEX('Lease Cycles'!$BG$12:$BM$12,1,BY78),'Lease Cycles'!$AZ$12&lt;=BY$6),'Lease Cycles'!$C$12*'Lease Cycles'!$BA$12/12,IF(AND('Lease Cycles'!$AX$12&gt;=INDEX('Lease Cycles'!$BG$12:$BM$12,1,BY78),'Lease Cycles'!$AX$12&lt;=BY$6),'Lease Cycles'!$C$12*'Lease Cycles'!$AY$12/12,IF(AND('Lease Cycles'!$AV$12&gt;=INDEX('Lease Cycles'!$BG$12:$BM$12,1,BY78),'Lease Cycles'!$AV$12&lt;=BY$6),'Lease Cycles'!$C$12*'Lease Cycles'!$AW$12/12,IF(AND('Lease Cycles'!$AT$12&gt;=INDEX('Lease Cycles'!$BG$12:$BM$12,1,BY78),'Lease Cycles'!$AT$12&lt;=BY$6),'Lease Cycles'!$C$12*'Lease Cycles'!$AU$12/12,'Lease Cycles'!$C$12*INDEX('Lease Cycles'!$CB$12:$CH$12,1,BY78)*(1+INDEX('Lease Cycles'!$CI$12:$CO$12,1,BY78))^INT(INT(BY79/12)/INDEX('Lease Cycles'!$CP$12:$CV$12,1,BY78))/12)))),'Lease Cycles'!$C$12*INDEX('Lease Cycles'!$CB$12:$CH$12,1,BY78)*(1+INDEX('Lease Cycles'!$CI$12:$CO$12,1,BY78))^INT(INT(BY79/12)/INDEX('Lease Cycles'!$CP$12:$CV$12,1,BY78))/12))),IF('Lease Cycles'!$N$12=1,'Lease Cycles'!$C$12*'Lease Cycles'!$E$12*INDEX('Lease Cycles'!$HE$12:$HK$12,1,BY78)*(1+INDEX('Lease Cycles'!$GQ$12:$GW$12,1,BY78))^INT(INT((BY$6-INDEX('Lease Cycles'!$GJ$12:$GP$12,1,BY78))/12)/INDEX('Lease Cycles'!$GX$12:$HD$12,1,BY78))/12,0)))</f>
        <v>3461.7811446379815</v>
      </c>
      <c r="BZ81" s="28">
        <f>IF(BZ78=0,IF('Lease Cycles'!$F$12&gt;0,'Lease Cycles'!$C$12*'Lease Cycles'!$E$12/12,0),IF(BZ80=1,IF('Lease Cycles'!$AT$12&gt;=9999,'Lease Cycles'!$C$12*INDEX('Lease Cycles'!$CB$12:$CH$12,1,BZ78)*(1+INDEX('Lease Cycles'!$CI$12:$CO$12,1,BZ78))^INT(INT(BZ79/12)/INDEX('Lease Cycles'!$CP$12:$CV$12,1,BZ78))/12,IF(BZ78=1,IF(BZ79&gt;=INDEX('Lease Cycles'!$DK$12:$DQ$12,1,BZ78),IF(BZ$6&gt;='Lease Cycles'!$AZ$12,'Lease Cycles'!$C$12*'Lease Cycles'!$BA$12/12,IF(BZ$6&gt;='Lease Cycles'!$AX$12,'Lease Cycles'!$C$12*'Lease Cycles'!$AY$12/12,IF(BZ$6&gt;='Lease Cycles'!$AV$12,'Lease Cycles'!$C$12*'Lease Cycles'!$AW$12/12,IF(BZ$6&gt;='Lease Cycles'!$AT$12,'Lease Cycles'!$C$12*'Lease Cycles'!$AU$12/12,'Lease Cycles'!$C$12*INDEX('Lease Cycles'!$CB$12:$CH$12,1,BZ78)*(1+INDEX('Lease Cycles'!$CI$12:$CO$12,1,BZ78))^INT(INT(BZ79/12)/INDEX('Lease Cycles'!$CP$12:$CV$12,1,BZ78))/12)))),'Lease Cycles'!$C$12*INDEX('Lease Cycles'!$CB$12:$CH$12,1,BZ78)*(1+INDEX('Lease Cycles'!$CI$12:$CO$12,1,BZ78))^INT(INT(BZ79/12)/INDEX('Lease Cycles'!$CP$12:$CV$12,1,BZ78))/12),IF(INDEX('Lease Cycles'!$EF$12:$EL$12,1,BZ78)=1,IF(AND('Lease Cycles'!$AZ$12&gt;=INDEX('Lease Cycles'!$BG$12:$BM$12,1,BZ78),'Lease Cycles'!$AZ$12&lt;=BZ$6),'Lease Cycles'!$C$12*'Lease Cycles'!$BA$12/12,IF(AND('Lease Cycles'!$AX$12&gt;=INDEX('Lease Cycles'!$BG$12:$BM$12,1,BZ78),'Lease Cycles'!$AX$12&lt;=BZ$6),'Lease Cycles'!$C$12*'Lease Cycles'!$AY$12/12,IF(AND('Lease Cycles'!$AV$12&gt;=INDEX('Lease Cycles'!$BG$12:$BM$12,1,BZ78),'Lease Cycles'!$AV$12&lt;=BZ$6),'Lease Cycles'!$C$12*'Lease Cycles'!$AW$12/12,IF(AND('Lease Cycles'!$AT$12&gt;=INDEX('Lease Cycles'!$BG$12:$BM$12,1,BZ78),'Lease Cycles'!$AT$12&lt;=BZ$6),'Lease Cycles'!$C$12*'Lease Cycles'!$AU$12/12,'Lease Cycles'!$C$12*INDEX('Lease Cycles'!$CB$12:$CH$12,1,BZ78)*(1+INDEX('Lease Cycles'!$CI$12:$CO$12,1,BZ78))^INT(INT(BZ79/12)/INDEX('Lease Cycles'!$CP$12:$CV$12,1,BZ78))/12)))),'Lease Cycles'!$C$12*INDEX('Lease Cycles'!$CB$12:$CH$12,1,BZ78)*(1+INDEX('Lease Cycles'!$CI$12:$CO$12,1,BZ78))^INT(INT(BZ79/12)/INDEX('Lease Cycles'!$CP$12:$CV$12,1,BZ78))/12))),IF('Lease Cycles'!$N$12=1,'Lease Cycles'!$C$12*'Lease Cycles'!$E$12*INDEX('Lease Cycles'!$HE$12:$HK$12,1,BZ78)*(1+INDEX('Lease Cycles'!$GQ$12:$GW$12,1,BZ78))^INT(INT((BZ$6-INDEX('Lease Cycles'!$GJ$12:$GP$12,1,BZ78))/12)/INDEX('Lease Cycles'!$GX$12:$HD$12,1,BZ78))/12,0)))</f>
        <v>3565.634578977121</v>
      </c>
      <c r="CA81" s="28">
        <f>IF(CA78=0,IF('Lease Cycles'!$F$12&gt;0,'Lease Cycles'!$C$12*'Lease Cycles'!$E$12/12,0),IF(CA80=1,IF('Lease Cycles'!$AT$12&gt;=9999,'Lease Cycles'!$C$12*INDEX('Lease Cycles'!$CB$12:$CH$12,1,CA78)*(1+INDEX('Lease Cycles'!$CI$12:$CO$12,1,CA78))^INT(INT(CA79/12)/INDEX('Lease Cycles'!$CP$12:$CV$12,1,CA78))/12,IF(CA78=1,IF(CA79&gt;=INDEX('Lease Cycles'!$DK$12:$DQ$12,1,CA78),IF(CA$6&gt;='Lease Cycles'!$AZ$12,'Lease Cycles'!$C$12*'Lease Cycles'!$BA$12/12,IF(CA$6&gt;='Lease Cycles'!$AX$12,'Lease Cycles'!$C$12*'Lease Cycles'!$AY$12/12,IF(CA$6&gt;='Lease Cycles'!$AV$12,'Lease Cycles'!$C$12*'Lease Cycles'!$AW$12/12,IF(CA$6&gt;='Lease Cycles'!$AT$12,'Lease Cycles'!$C$12*'Lease Cycles'!$AU$12/12,'Lease Cycles'!$C$12*INDEX('Lease Cycles'!$CB$12:$CH$12,1,CA78)*(1+INDEX('Lease Cycles'!$CI$12:$CO$12,1,CA78))^INT(INT(CA79/12)/INDEX('Lease Cycles'!$CP$12:$CV$12,1,CA78))/12)))),'Lease Cycles'!$C$12*INDEX('Lease Cycles'!$CB$12:$CH$12,1,CA78)*(1+INDEX('Lease Cycles'!$CI$12:$CO$12,1,CA78))^INT(INT(CA79/12)/INDEX('Lease Cycles'!$CP$12:$CV$12,1,CA78))/12),IF(INDEX('Lease Cycles'!$EF$12:$EL$12,1,CA78)=1,IF(AND('Lease Cycles'!$AZ$12&gt;=INDEX('Lease Cycles'!$BG$12:$BM$12,1,CA78),'Lease Cycles'!$AZ$12&lt;=CA$6),'Lease Cycles'!$C$12*'Lease Cycles'!$BA$12/12,IF(AND('Lease Cycles'!$AX$12&gt;=INDEX('Lease Cycles'!$BG$12:$BM$12,1,CA78),'Lease Cycles'!$AX$12&lt;=CA$6),'Lease Cycles'!$C$12*'Lease Cycles'!$AY$12/12,IF(AND('Lease Cycles'!$AV$12&gt;=INDEX('Lease Cycles'!$BG$12:$BM$12,1,CA78),'Lease Cycles'!$AV$12&lt;=CA$6),'Lease Cycles'!$C$12*'Lease Cycles'!$AW$12/12,IF(AND('Lease Cycles'!$AT$12&gt;=INDEX('Lease Cycles'!$BG$12:$BM$12,1,CA78),'Lease Cycles'!$AT$12&lt;=CA$6),'Lease Cycles'!$C$12*'Lease Cycles'!$AU$12/12,'Lease Cycles'!$C$12*INDEX('Lease Cycles'!$CB$12:$CH$12,1,CA78)*(1+INDEX('Lease Cycles'!$CI$12:$CO$12,1,CA78))^INT(INT(CA79/12)/INDEX('Lease Cycles'!$CP$12:$CV$12,1,CA78))/12)))),'Lease Cycles'!$C$12*INDEX('Lease Cycles'!$CB$12:$CH$12,1,CA78)*(1+INDEX('Lease Cycles'!$CI$12:$CO$12,1,CA78))^INT(INT(CA79/12)/INDEX('Lease Cycles'!$CP$12:$CV$12,1,CA78))/12))),IF('Lease Cycles'!$N$12=1,'Lease Cycles'!$C$12*'Lease Cycles'!$E$12*INDEX('Lease Cycles'!$HE$12:$HK$12,1,CA78)*(1+INDEX('Lease Cycles'!$GQ$12:$GW$12,1,CA78))^INT(INT((CA$6-INDEX('Lease Cycles'!$GJ$12:$GP$12,1,CA78))/12)/INDEX('Lease Cycles'!$GX$12:$HD$12,1,CA78))/12,0)))</f>
        <v>3565.634578977121</v>
      </c>
      <c r="CB81" s="28">
        <f>IF(CB78=0,IF('Lease Cycles'!$F$12&gt;0,'Lease Cycles'!$C$12*'Lease Cycles'!$E$12/12,0),IF(CB80=1,IF('Lease Cycles'!$AT$12&gt;=9999,'Lease Cycles'!$C$12*INDEX('Lease Cycles'!$CB$12:$CH$12,1,CB78)*(1+INDEX('Lease Cycles'!$CI$12:$CO$12,1,CB78))^INT(INT(CB79/12)/INDEX('Lease Cycles'!$CP$12:$CV$12,1,CB78))/12,IF(CB78=1,IF(CB79&gt;=INDEX('Lease Cycles'!$DK$12:$DQ$12,1,CB78),IF(CB$6&gt;='Lease Cycles'!$AZ$12,'Lease Cycles'!$C$12*'Lease Cycles'!$BA$12/12,IF(CB$6&gt;='Lease Cycles'!$AX$12,'Lease Cycles'!$C$12*'Lease Cycles'!$AY$12/12,IF(CB$6&gt;='Lease Cycles'!$AV$12,'Lease Cycles'!$C$12*'Lease Cycles'!$AW$12/12,IF(CB$6&gt;='Lease Cycles'!$AT$12,'Lease Cycles'!$C$12*'Lease Cycles'!$AU$12/12,'Lease Cycles'!$C$12*INDEX('Lease Cycles'!$CB$12:$CH$12,1,CB78)*(1+INDEX('Lease Cycles'!$CI$12:$CO$12,1,CB78))^INT(INT(CB79/12)/INDEX('Lease Cycles'!$CP$12:$CV$12,1,CB78))/12)))),'Lease Cycles'!$C$12*INDEX('Lease Cycles'!$CB$12:$CH$12,1,CB78)*(1+INDEX('Lease Cycles'!$CI$12:$CO$12,1,CB78))^INT(INT(CB79/12)/INDEX('Lease Cycles'!$CP$12:$CV$12,1,CB78))/12),IF(INDEX('Lease Cycles'!$EF$12:$EL$12,1,CB78)=1,IF(AND('Lease Cycles'!$AZ$12&gt;=INDEX('Lease Cycles'!$BG$12:$BM$12,1,CB78),'Lease Cycles'!$AZ$12&lt;=CB$6),'Lease Cycles'!$C$12*'Lease Cycles'!$BA$12/12,IF(AND('Lease Cycles'!$AX$12&gt;=INDEX('Lease Cycles'!$BG$12:$BM$12,1,CB78),'Lease Cycles'!$AX$12&lt;=CB$6),'Lease Cycles'!$C$12*'Lease Cycles'!$AY$12/12,IF(AND('Lease Cycles'!$AV$12&gt;=INDEX('Lease Cycles'!$BG$12:$BM$12,1,CB78),'Lease Cycles'!$AV$12&lt;=CB$6),'Lease Cycles'!$C$12*'Lease Cycles'!$AW$12/12,IF(AND('Lease Cycles'!$AT$12&gt;=INDEX('Lease Cycles'!$BG$12:$BM$12,1,CB78),'Lease Cycles'!$AT$12&lt;=CB$6),'Lease Cycles'!$C$12*'Lease Cycles'!$AU$12/12,'Lease Cycles'!$C$12*INDEX('Lease Cycles'!$CB$12:$CH$12,1,CB78)*(1+INDEX('Lease Cycles'!$CI$12:$CO$12,1,CB78))^INT(INT(CB79/12)/INDEX('Lease Cycles'!$CP$12:$CV$12,1,CB78))/12)))),'Lease Cycles'!$C$12*INDEX('Lease Cycles'!$CB$12:$CH$12,1,CB78)*(1+INDEX('Lease Cycles'!$CI$12:$CO$12,1,CB78))^INT(INT(CB79/12)/INDEX('Lease Cycles'!$CP$12:$CV$12,1,CB78))/12))),IF('Lease Cycles'!$N$12=1,'Lease Cycles'!$C$12*'Lease Cycles'!$E$12*INDEX('Lease Cycles'!$HE$12:$HK$12,1,CB78)*(1+INDEX('Lease Cycles'!$GQ$12:$GW$12,1,CB78))^INT(INT((CB$6-INDEX('Lease Cycles'!$GJ$12:$GP$12,1,CB78))/12)/INDEX('Lease Cycles'!$GX$12:$HD$12,1,CB78))/12,0)))</f>
        <v>3565.634578977121</v>
      </c>
      <c r="CC81" s="28">
        <f>IF(CC78=0,IF('Lease Cycles'!$F$12&gt;0,'Lease Cycles'!$C$12*'Lease Cycles'!$E$12/12,0),IF(CC80=1,IF('Lease Cycles'!$AT$12&gt;=9999,'Lease Cycles'!$C$12*INDEX('Lease Cycles'!$CB$12:$CH$12,1,CC78)*(1+INDEX('Lease Cycles'!$CI$12:$CO$12,1,CC78))^INT(INT(CC79/12)/INDEX('Lease Cycles'!$CP$12:$CV$12,1,CC78))/12,IF(CC78=1,IF(CC79&gt;=INDEX('Lease Cycles'!$DK$12:$DQ$12,1,CC78),IF(CC$6&gt;='Lease Cycles'!$AZ$12,'Lease Cycles'!$C$12*'Lease Cycles'!$BA$12/12,IF(CC$6&gt;='Lease Cycles'!$AX$12,'Lease Cycles'!$C$12*'Lease Cycles'!$AY$12/12,IF(CC$6&gt;='Lease Cycles'!$AV$12,'Lease Cycles'!$C$12*'Lease Cycles'!$AW$12/12,IF(CC$6&gt;='Lease Cycles'!$AT$12,'Lease Cycles'!$C$12*'Lease Cycles'!$AU$12/12,'Lease Cycles'!$C$12*INDEX('Lease Cycles'!$CB$12:$CH$12,1,CC78)*(1+INDEX('Lease Cycles'!$CI$12:$CO$12,1,CC78))^INT(INT(CC79/12)/INDEX('Lease Cycles'!$CP$12:$CV$12,1,CC78))/12)))),'Lease Cycles'!$C$12*INDEX('Lease Cycles'!$CB$12:$CH$12,1,CC78)*(1+INDEX('Lease Cycles'!$CI$12:$CO$12,1,CC78))^INT(INT(CC79/12)/INDEX('Lease Cycles'!$CP$12:$CV$12,1,CC78))/12),IF(INDEX('Lease Cycles'!$EF$12:$EL$12,1,CC78)=1,IF(AND('Lease Cycles'!$AZ$12&gt;=INDEX('Lease Cycles'!$BG$12:$BM$12,1,CC78),'Lease Cycles'!$AZ$12&lt;=CC$6),'Lease Cycles'!$C$12*'Lease Cycles'!$BA$12/12,IF(AND('Lease Cycles'!$AX$12&gt;=INDEX('Lease Cycles'!$BG$12:$BM$12,1,CC78),'Lease Cycles'!$AX$12&lt;=CC$6),'Lease Cycles'!$C$12*'Lease Cycles'!$AY$12/12,IF(AND('Lease Cycles'!$AV$12&gt;=INDEX('Lease Cycles'!$BG$12:$BM$12,1,CC78),'Lease Cycles'!$AV$12&lt;=CC$6),'Lease Cycles'!$C$12*'Lease Cycles'!$AW$12/12,IF(AND('Lease Cycles'!$AT$12&gt;=INDEX('Lease Cycles'!$BG$12:$BM$12,1,CC78),'Lease Cycles'!$AT$12&lt;=CC$6),'Lease Cycles'!$C$12*'Lease Cycles'!$AU$12/12,'Lease Cycles'!$C$12*INDEX('Lease Cycles'!$CB$12:$CH$12,1,CC78)*(1+INDEX('Lease Cycles'!$CI$12:$CO$12,1,CC78))^INT(INT(CC79/12)/INDEX('Lease Cycles'!$CP$12:$CV$12,1,CC78))/12)))),'Lease Cycles'!$C$12*INDEX('Lease Cycles'!$CB$12:$CH$12,1,CC78)*(1+INDEX('Lease Cycles'!$CI$12:$CO$12,1,CC78))^INT(INT(CC79/12)/INDEX('Lease Cycles'!$CP$12:$CV$12,1,CC78))/12))),IF('Lease Cycles'!$N$12=1,'Lease Cycles'!$C$12*'Lease Cycles'!$E$12*INDEX('Lease Cycles'!$HE$12:$HK$12,1,CC78)*(1+INDEX('Lease Cycles'!$GQ$12:$GW$12,1,CC78))^INT(INT((CC$6-INDEX('Lease Cycles'!$GJ$12:$GP$12,1,CC78))/12)/INDEX('Lease Cycles'!$GX$12:$HD$12,1,CC78))/12,0)))</f>
        <v>3565.634578977121</v>
      </c>
      <c r="CD81" s="28">
        <f>IF(CD78=0,IF('Lease Cycles'!$F$12&gt;0,'Lease Cycles'!$C$12*'Lease Cycles'!$E$12/12,0),IF(CD80=1,IF('Lease Cycles'!$AT$12&gt;=9999,'Lease Cycles'!$C$12*INDEX('Lease Cycles'!$CB$12:$CH$12,1,CD78)*(1+INDEX('Lease Cycles'!$CI$12:$CO$12,1,CD78))^INT(INT(CD79/12)/INDEX('Lease Cycles'!$CP$12:$CV$12,1,CD78))/12,IF(CD78=1,IF(CD79&gt;=INDEX('Lease Cycles'!$DK$12:$DQ$12,1,CD78),IF(CD$6&gt;='Lease Cycles'!$AZ$12,'Lease Cycles'!$C$12*'Lease Cycles'!$BA$12/12,IF(CD$6&gt;='Lease Cycles'!$AX$12,'Lease Cycles'!$C$12*'Lease Cycles'!$AY$12/12,IF(CD$6&gt;='Lease Cycles'!$AV$12,'Lease Cycles'!$C$12*'Lease Cycles'!$AW$12/12,IF(CD$6&gt;='Lease Cycles'!$AT$12,'Lease Cycles'!$C$12*'Lease Cycles'!$AU$12/12,'Lease Cycles'!$C$12*INDEX('Lease Cycles'!$CB$12:$CH$12,1,CD78)*(1+INDEX('Lease Cycles'!$CI$12:$CO$12,1,CD78))^INT(INT(CD79/12)/INDEX('Lease Cycles'!$CP$12:$CV$12,1,CD78))/12)))),'Lease Cycles'!$C$12*INDEX('Lease Cycles'!$CB$12:$CH$12,1,CD78)*(1+INDEX('Lease Cycles'!$CI$12:$CO$12,1,CD78))^INT(INT(CD79/12)/INDEX('Lease Cycles'!$CP$12:$CV$12,1,CD78))/12),IF(INDEX('Lease Cycles'!$EF$12:$EL$12,1,CD78)=1,IF(AND('Lease Cycles'!$AZ$12&gt;=INDEX('Lease Cycles'!$BG$12:$BM$12,1,CD78),'Lease Cycles'!$AZ$12&lt;=CD$6),'Lease Cycles'!$C$12*'Lease Cycles'!$BA$12/12,IF(AND('Lease Cycles'!$AX$12&gt;=INDEX('Lease Cycles'!$BG$12:$BM$12,1,CD78),'Lease Cycles'!$AX$12&lt;=CD$6),'Lease Cycles'!$C$12*'Lease Cycles'!$AY$12/12,IF(AND('Lease Cycles'!$AV$12&gt;=INDEX('Lease Cycles'!$BG$12:$BM$12,1,CD78),'Lease Cycles'!$AV$12&lt;=CD$6),'Lease Cycles'!$C$12*'Lease Cycles'!$AW$12/12,IF(AND('Lease Cycles'!$AT$12&gt;=INDEX('Lease Cycles'!$BG$12:$BM$12,1,CD78),'Lease Cycles'!$AT$12&lt;=CD$6),'Lease Cycles'!$C$12*'Lease Cycles'!$AU$12/12,'Lease Cycles'!$C$12*INDEX('Lease Cycles'!$CB$12:$CH$12,1,CD78)*(1+INDEX('Lease Cycles'!$CI$12:$CO$12,1,CD78))^INT(INT(CD79/12)/INDEX('Lease Cycles'!$CP$12:$CV$12,1,CD78))/12)))),'Lease Cycles'!$C$12*INDEX('Lease Cycles'!$CB$12:$CH$12,1,CD78)*(1+INDEX('Lease Cycles'!$CI$12:$CO$12,1,CD78))^INT(INT(CD79/12)/INDEX('Lease Cycles'!$CP$12:$CV$12,1,CD78))/12))),IF('Lease Cycles'!$N$12=1,'Lease Cycles'!$C$12*'Lease Cycles'!$E$12*INDEX('Lease Cycles'!$HE$12:$HK$12,1,CD78)*(1+INDEX('Lease Cycles'!$GQ$12:$GW$12,1,CD78))^INT(INT((CD$6-INDEX('Lease Cycles'!$GJ$12:$GP$12,1,CD78))/12)/INDEX('Lease Cycles'!$GX$12:$HD$12,1,CD78))/12,0)))</f>
        <v>3565.634578977121</v>
      </c>
      <c r="CE81" s="28">
        <f>IF(CE78=0,IF('Lease Cycles'!$F$12&gt;0,'Lease Cycles'!$C$12*'Lease Cycles'!$E$12/12,0),IF(CE80=1,IF('Lease Cycles'!$AT$12&gt;=9999,'Lease Cycles'!$C$12*INDEX('Lease Cycles'!$CB$12:$CH$12,1,CE78)*(1+INDEX('Lease Cycles'!$CI$12:$CO$12,1,CE78))^INT(INT(CE79/12)/INDEX('Lease Cycles'!$CP$12:$CV$12,1,CE78))/12,IF(CE78=1,IF(CE79&gt;=INDEX('Lease Cycles'!$DK$12:$DQ$12,1,CE78),IF(CE$6&gt;='Lease Cycles'!$AZ$12,'Lease Cycles'!$C$12*'Lease Cycles'!$BA$12/12,IF(CE$6&gt;='Lease Cycles'!$AX$12,'Lease Cycles'!$C$12*'Lease Cycles'!$AY$12/12,IF(CE$6&gt;='Lease Cycles'!$AV$12,'Lease Cycles'!$C$12*'Lease Cycles'!$AW$12/12,IF(CE$6&gt;='Lease Cycles'!$AT$12,'Lease Cycles'!$C$12*'Lease Cycles'!$AU$12/12,'Lease Cycles'!$C$12*INDEX('Lease Cycles'!$CB$12:$CH$12,1,CE78)*(1+INDEX('Lease Cycles'!$CI$12:$CO$12,1,CE78))^INT(INT(CE79/12)/INDEX('Lease Cycles'!$CP$12:$CV$12,1,CE78))/12)))),'Lease Cycles'!$C$12*INDEX('Lease Cycles'!$CB$12:$CH$12,1,CE78)*(1+INDEX('Lease Cycles'!$CI$12:$CO$12,1,CE78))^INT(INT(CE79/12)/INDEX('Lease Cycles'!$CP$12:$CV$12,1,CE78))/12),IF(INDEX('Lease Cycles'!$EF$12:$EL$12,1,CE78)=1,IF(AND('Lease Cycles'!$AZ$12&gt;=INDEX('Lease Cycles'!$BG$12:$BM$12,1,CE78),'Lease Cycles'!$AZ$12&lt;=CE$6),'Lease Cycles'!$C$12*'Lease Cycles'!$BA$12/12,IF(AND('Lease Cycles'!$AX$12&gt;=INDEX('Lease Cycles'!$BG$12:$BM$12,1,CE78),'Lease Cycles'!$AX$12&lt;=CE$6),'Lease Cycles'!$C$12*'Lease Cycles'!$AY$12/12,IF(AND('Lease Cycles'!$AV$12&gt;=INDEX('Lease Cycles'!$BG$12:$BM$12,1,CE78),'Lease Cycles'!$AV$12&lt;=CE$6),'Lease Cycles'!$C$12*'Lease Cycles'!$AW$12/12,IF(AND('Lease Cycles'!$AT$12&gt;=INDEX('Lease Cycles'!$BG$12:$BM$12,1,CE78),'Lease Cycles'!$AT$12&lt;=CE$6),'Lease Cycles'!$C$12*'Lease Cycles'!$AU$12/12,'Lease Cycles'!$C$12*INDEX('Lease Cycles'!$CB$12:$CH$12,1,CE78)*(1+INDEX('Lease Cycles'!$CI$12:$CO$12,1,CE78))^INT(INT(CE79/12)/INDEX('Lease Cycles'!$CP$12:$CV$12,1,CE78))/12)))),'Lease Cycles'!$C$12*INDEX('Lease Cycles'!$CB$12:$CH$12,1,CE78)*(1+INDEX('Lease Cycles'!$CI$12:$CO$12,1,CE78))^INT(INT(CE79/12)/INDEX('Lease Cycles'!$CP$12:$CV$12,1,CE78))/12))),IF('Lease Cycles'!$N$12=1,'Lease Cycles'!$C$12*'Lease Cycles'!$E$12*INDEX('Lease Cycles'!$HE$12:$HK$12,1,CE78)*(1+INDEX('Lease Cycles'!$GQ$12:$GW$12,1,CE78))^INT(INT((CE$6-INDEX('Lease Cycles'!$GJ$12:$GP$12,1,CE78))/12)/INDEX('Lease Cycles'!$GX$12:$HD$12,1,CE78))/12,0)))</f>
        <v>3565.634578977121</v>
      </c>
      <c r="CF81" s="28">
        <f>IF(CF78=0,IF('Lease Cycles'!$F$12&gt;0,'Lease Cycles'!$C$12*'Lease Cycles'!$E$12/12,0),IF(CF80=1,IF('Lease Cycles'!$AT$12&gt;=9999,'Lease Cycles'!$C$12*INDEX('Lease Cycles'!$CB$12:$CH$12,1,CF78)*(1+INDEX('Lease Cycles'!$CI$12:$CO$12,1,CF78))^INT(INT(CF79/12)/INDEX('Lease Cycles'!$CP$12:$CV$12,1,CF78))/12,IF(CF78=1,IF(CF79&gt;=INDEX('Lease Cycles'!$DK$12:$DQ$12,1,CF78),IF(CF$6&gt;='Lease Cycles'!$AZ$12,'Lease Cycles'!$C$12*'Lease Cycles'!$BA$12/12,IF(CF$6&gt;='Lease Cycles'!$AX$12,'Lease Cycles'!$C$12*'Lease Cycles'!$AY$12/12,IF(CF$6&gt;='Lease Cycles'!$AV$12,'Lease Cycles'!$C$12*'Lease Cycles'!$AW$12/12,IF(CF$6&gt;='Lease Cycles'!$AT$12,'Lease Cycles'!$C$12*'Lease Cycles'!$AU$12/12,'Lease Cycles'!$C$12*INDEX('Lease Cycles'!$CB$12:$CH$12,1,CF78)*(1+INDEX('Lease Cycles'!$CI$12:$CO$12,1,CF78))^INT(INT(CF79/12)/INDEX('Lease Cycles'!$CP$12:$CV$12,1,CF78))/12)))),'Lease Cycles'!$C$12*INDEX('Lease Cycles'!$CB$12:$CH$12,1,CF78)*(1+INDEX('Lease Cycles'!$CI$12:$CO$12,1,CF78))^INT(INT(CF79/12)/INDEX('Lease Cycles'!$CP$12:$CV$12,1,CF78))/12),IF(INDEX('Lease Cycles'!$EF$12:$EL$12,1,CF78)=1,IF(AND('Lease Cycles'!$AZ$12&gt;=INDEX('Lease Cycles'!$BG$12:$BM$12,1,CF78),'Lease Cycles'!$AZ$12&lt;=CF$6),'Lease Cycles'!$C$12*'Lease Cycles'!$BA$12/12,IF(AND('Lease Cycles'!$AX$12&gt;=INDEX('Lease Cycles'!$BG$12:$BM$12,1,CF78),'Lease Cycles'!$AX$12&lt;=CF$6),'Lease Cycles'!$C$12*'Lease Cycles'!$AY$12/12,IF(AND('Lease Cycles'!$AV$12&gt;=INDEX('Lease Cycles'!$BG$12:$BM$12,1,CF78),'Lease Cycles'!$AV$12&lt;=CF$6),'Lease Cycles'!$C$12*'Lease Cycles'!$AW$12/12,IF(AND('Lease Cycles'!$AT$12&gt;=INDEX('Lease Cycles'!$BG$12:$BM$12,1,CF78),'Lease Cycles'!$AT$12&lt;=CF$6),'Lease Cycles'!$C$12*'Lease Cycles'!$AU$12/12,'Lease Cycles'!$C$12*INDEX('Lease Cycles'!$CB$12:$CH$12,1,CF78)*(1+INDEX('Lease Cycles'!$CI$12:$CO$12,1,CF78))^INT(INT(CF79/12)/INDEX('Lease Cycles'!$CP$12:$CV$12,1,CF78))/12)))),'Lease Cycles'!$C$12*INDEX('Lease Cycles'!$CB$12:$CH$12,1,CF78)*(1+INDEX('Lease Cycles'!$CI$12:$CO$12,1,CF78))^INT(INT(CF79/12)/INDEX('Lease Cycles'!$CP$12:$CV$12,1,CF78))/12))),IF('Lease Cycles'!$N$12=1,'Lease Cycles'!$C$12*'Lease Cycles'!$E$12*INDEX('Lease Cycles'!$HE$12:$HK$12,1,CF78)*(1+INDEX('Lease Cycles'!$GQ$12:$GW$12,1,CF78))^INT(INT((CF$6-INDEX('Lease Cycles'!$GJ$12:$GP$12,1,CF78))/12)/INDEX('Lease Cycles'!$GX$12:$HD$12,1,CF78))/12,0)))</f>
        <v>3565.634578977121</v>
      </c>
      <c r="CG81" s="28">
        <f>IF(CG78=0,IF('Lease Cycles'!$F$12&gt;0,'Lease Cycles'!$C$12*'Lease Cycles'!$E$12/12,0),IF(CG80=1,IF('Lease Cycles'!$AT$12&gt;=9999,'Lease Cycles'!$C$12*INDEX('Lease Cycles'!$CB$12:$CH$12,1,CG78)*(1+INDEX('Lease Cycles'!$CI$12:$CO$12,1,CG78))^INT(INT(CG79/12)/INDEX('Lease Cycles'!$CP$12:$CV$12,1,CG78))/12,IF(CG78=1,IF(CG79&gt;=INDEX('Lease Cycles'!$DK$12:$DQ$12,1,CG78),IF(CG$6&gt;='Lease Cycles'!$AZ$12,'Lease Cycles'!$C$12*'Lease Cycles'!$BA$12/12,IF(CG$6&gt;='Lease Cycles'!$AX$12,'Lease Cycles'!$C$12*'Lease Cycles'!$AY$12/12,IF(CG$6&gt;='Lease Cycles'!$AV$12,'Lease Cycles'!$C$12*'Lease Cycles'!$AW$12/12,IF(CG$6&gt;='Lease Cycles'!$AT$12,'Lease Cycles'!$C$12*'Lease Cycles'!$AU$12/12,'Lease Cycles'!$C$12*INDEX('Lease Cycles'!$CB$12:$CH$12,1,CG78)*(1+INDEX('Lease Cycles'!$CI$12:$CO$12,1,CG78))^INT(INT(CG79/12)/INDEX('Lease Cycles'!$CP$12:$CV$12,1,CG78))/12)))),'Lease Cycles'!$C$12*INDEX('Lease Cycles'!$CB$12:$CH$12,1,CG78)*(1+INDEX('Lease Cycles'!$CI$12:$CO$12,1,CG78))^INT(INT(CG79/12)/INDEX('Lease Cycles'!$CP$12:$CV$12,1,CG78))/12),IF(INDEX('Lease Cycles'!$EF$12:$EL$12,1,CG78)=1,IF(AND('Lease Cycles'!$AZ$12&gt;=INDEX('Lease Cycles'!$BG$12:$BM$12,1,CG78),'Lease Cycles'!$AZ$12&lt;=CG$6),'Lease Cycles'!$C$12*'Lease Cycles'!$BA$12/12,IF(AND('Lease Cycles'!$AX$12&gt;=INDEX('Lease Cycles'!$BG$12:$BM$12,1,CG78),'Lease Cycles'!$AX$12&lt;=CG$6),'Lease Cycles'!$C$12*'Lease Cycles'!$AY$12/12,IF(AND('Lease Cycles'!$AV$12&gt;=INDEX('Lease Cycles'!$BG$12:$BM$12,1,CG78),'Lease Cycles'!$AV$12&lt;=CG$6),'Lease Cycles'!$C$12*'Lease Cycles'!$AW$12/12,IF(AND('Lease Cycles'!$AT$12&gt;=INDEX('Lease Cycles'!$BG$12:$BM$12,1,CG78),'Lease Cycles'!$AT$12&lt;=CG$6),'Lease Cycles'!$C$12*'Lease Cycles'!$AU$12/12,'Lease Cycles'!$C$12*INDEX('Lease Cycles'!$CB$12:$CH$12,1,CG78)*(1+INDEX('Lease Cycles'!$CI$12:$CO$12,1,CG78))^INT(INT(CG79/12)/INDEX('Lease Cycles'!$CP$12:$CV$12,1,CG78))/12)))),'Lease Cycles'!$C$12*INDEX('Lease Cycles'!$CB$12:$CH$12,1,CG78)*(1+INDEX('Lease Cycles'!$CI$12:$CO$12,1,CG78))^INT(INT(CG79/12)/INDEX('Lease Cycles'!$CP$12:$CV$12,1,CG78))/12))),IF('Lease Cycles'!$N$12=1,'Lease Cycles'!$C$12*'Lease Cycles'!$E$12*INDEX('Lease Cycles'!$HE$12:$HK$12,1,CG78)*(1+INDEX('Lease Cycles'!$GQ$12:$GW$12,1,CG78))^INT(INT((CG$6-INDEX('Lease Cycles'!$GJ$12:$GP$12,1,CG78))/12)/INDEX('Lease Cycles'!$GX$12:$HD$12,1,CG78))/12,0)))</f>
        <v>3565.634578977121</v>
      </c>
      <c r="CH81" s="28">
        <f>IF(CH78=0,IF('Lease Cycles'!$F$12&gt;0,'Lease Cycles'!$C$12*'Lease Cycles'!$E$12/12,0),IF(CH80=1,IF('Lease Cycles'!$AT$12&gt;=9999,'Lease Cycles'!$C$12*INDEX('Lease Cycles'!$CB$12:$CH$12,1,CH78)*(1+INDEX('Lease Cycles'!$CI$12:$CO$12,1,CH78))^INT(INT(CH79/12)/INDEX('Lease Cycles'!$CP$12:$CV$12,1,CH78))/12,IF(CH78=1,IF(CH79&gt;=INDEX('Lease Cycles'!$DK$12:$DQ$12,1,CH78),IF(CH$6&gt;='Lease Cycles'!$AZ$12,'Lease Cycles'!$C$12*'Lease Cycles'!$BA$12/12,IF(CH$6&gt;='Lease Cycles'!$AX$12,'Lease Cycles'!$C$12*'Lease Cycles'!$AY$12/12,IF(CH$6&gt;='Lease Cycles'!$AV$12,'Lease Cycles'!$C$12*'Lease Cycles'!$AW$12/12,IF(CH$6&gt;='Lease Cycles'!$AT$12,'Lease Cycles'!$C$12*'Lease Cycles'!$AU$12/12,'Lease Cycles'!$C$12*INDEX('Lease Cycles'!$CB$12:$CH$12,1,CH78)*(1+INDEX('Lease Cycles'!$CI$12:$CO$12,1,CH78))^INT(INT(CH79/12)/INDEX('Lease Cycles'!$CP$12:$CV$12,1,CH78))/12)))),'Lease Cycles'!$C$12*INDEX('Lease Cycles'!$CB$12:$CH$12,1,CH78)*(1+INDEX('Lease Cycles'!$CI$12:$CO$12,1,CH78))^INT(INT(CH79/12)/INDEX('Lease Cycles'!$CP$12:$CV$12,1,CH78))/12),IF(INDEX('Lease Cycles'!$EF$12:$EL$12,1,CH78)=1,IF(AND('Lease Cycles'!$AZ$12&gt;=INDEX('Lease Cycles'!$BG$12:$BM$12,1,CH78),'Lease Cycles'!$AZ$12&lt;=CH$6),'Lease Cycles'!$C$12*'Lease Cycles'!$BA$12/12,IF(AND('Lease Cycles'!$AX$12&gt;=INDEX('Lease Cycles'!$BG$12:$BM$12,1,CH78),'Lease Cycles'!$AX$12&lt;=CH$6),'Lease Cycles'!$C$12*'Lease Cycles'!$AY$12/12,IF(AND('Lease Cycles'!$AV$12&gt;=INDEX('Lease Cycles'!$BG$12:$BM$12,1,CH78),'Lease Cycles'!$AV$12&lt;=CH$6),'Lease Cycles'!$C$12*'Lease Cycles'!$AW$12/12,IF(AND('Lease Cycles'!$AT$12&gt;=INDEX('Lease Cycles'!$BG$12:$BM$12,1,CH78),'Lease Cycles'!$AT$12&lt;=CH$6),'Lease Cycles'!$C$12*'Lease Cycles'!$AU$12/12,'Lease Cycles'!$C$12*INDEX('Lease Cycles'!$CB$12:$CH$12,1,CH78)*(1+INDEX('Lease Cycles'!$CI$12:$CO$12,1,CH78))^INT(INT(CH79/12)/INDEX('Lease Cycles'!$CP$12:$CV$12,1,CH78))/12)))),'Lease Cycles'!$C$12*INDEX('Lease Cycles'!$CB$12:$CH$12,1,CH78)*(1+INDEX('Lease Cycles'!$CI$12:$CO$12,1,CH78))^INT(INT(CH79/12)/INDEX('Lease Cycles'!$CP$12:$CV$12,1,CH78))/12))),IF('Lease Cycles'!$N$12=1,'Lease Cycles'!$C$12*'Lease Cycles'!$E$12*INDEX('Lease Cycles'!$HE$12:$HK$12,1,CH78)*(1+INDEX('Lease Cycles'!$GQ$12:$GW$12,1,CH78))^INT(INT((CH$6-INDEX('Lease Cycles'!$GJ$12:$GP$12,1,CH78))/12)/INDEX('Lease Cycles'!$GX$12:$HD$12,1,CH78))/12,0)))</f>
        <v>3565.634578977121</v>
      </c>
      <c r="CI81" s="28">
        <f>IF(CI78=0,IF('Lease Cycles'!$F$12&gt;0,'Lease Cycles'!$C$12*'Lease Cycles'!$E$12/12,0),IF(CI80=1,IF('Lease Cycles'!$AT$12&gt;=9999,'Lease Cycles'!$C$12*INDEX('Lease Cycles'!$CB$12:$CH$12,1,CI78)*(1+INDEX('Lease Cycles'!$CI$12:$CO$12,1,CI78))^INT(INT(CI79/12)/INDEX('Lease Cycles'!$CP$12:$CV$12,1,CI78))/12,IF(CI78=1,IF(CI79&gt;=INDEX('Lease Cycles'!$DK$12:$DQ$12,1,CI78),IF(CI$6&gt;='Lease Cycles'!$AZ$12,'Lease Cycles'!$C$12*'Lease Cycles'!$BA$12/12,IF(CI$6&gt;='Lease Cycles'!$AX$12,'Lease Cycles'!$C$12*'Lease Cycles'!$AY$12/12,IF(CI$6&gt;='Lease Cycles'!$AV$12,'Lease Cycles'!$C$12*'Lease Cycles'!$AW$12/12,IF(CI$6&gt;='Lease Cycles'!$AT$12,'Lease Cycles'!$C$12*'Lease Cycles'!$AU$12/12,'Lease Cycles'!$C$12*INDEX('Lease Cycles'!$CB$12:$CH$12,1,CI78)*(1+INDEX('Lease Cycles'!$CI$12:$CO$12,1,CI78))^INT(INT(CI79/12)/INDEX('Lease Cycles'!$CP$12:$CV$12,1,CI78))/12)))),'Lease Cycles'!$C$12*INDEX('Lease Cycles'!$CB$12:$CH$12,1,CI78)*(1+INDEX('Lease Cycles'!$CI$12:$CO$12,1,CI78))^INT(INT(CI79/12)/INDEX('Lease Cycles'!$CP$12:$CV$12,1,CI78))/12),IF(INDEX('Lease Cycles'!$EF$12:$EL$12,1,CI78)=1,IF(AND('Lease Cycles'!$AZ$12&gt;=INDEX('Lease Cycles'!$BG$12:$BM$12,1,CI78),'Lease Cycles'!$AZ$12&lt;=CI$6),'Lease Cycles'!$C$12*'Lease Cycles'!$BA$12/12,IF(AND('Lease Cycles'!$AX$12&gt;=INDEX('Lease Cycles'!$BG$12:$BM$12,1,CI78),'Lease Cycles'!$AX$12&lt;=CI$6),'Lease Cycles'!$C$12*'Lease Cycles'!$AY$12/12,IF(AND('Lease Cycles'!$AV$12&gt;=INDEX('Lease Cycles'!$BG$12:$BM$12,1,CI78),'Lease Cycles'!$AV$12&lt;=CI$6),'Lease Cycles'!$C$12*'Lease Cycles'!$AW$12/12,IF(AND('Lease Cycles'!$AT$12&gt;=INDEX('Lease Cycles'!$BG$12:$BM$12,1,CI78),'Lease Cycles'!$AT$12&lt;=CI$6),'Lease Cycles'!$C$12*'Lease Cycles'!$AU$12/12,'Lease Cycles'!$C$12*INDEX('Lease Cycles'!$CB$12:$CH$12,1,CI78)*(1+INDEX('Lease Cycles'!$CI$12:$CO$12,1,CI78))^INT(INT(CI79/12)/INDEX('Lease Cycles'!$CP$12:$CV$12,1,CI78))/12)))),'Lease Cycles'!$C$12*INDEX('Lease Cycles'!$CB$12:$CH$12,1,CI78)*(1+INDEX('Lease Cycles'!$CI$12:$CO$12,1,CI78))^INT(INT(CI79/12)/INDEX('Lease Cycles'!$CP$12:$CV$12,1,CI78))/12))),IF('Lease Cycles'!$N$12=1,'Lease Cycles'!$C$12*'Lease Cycles'!$E$12*INDEX('Lease Cycles'!$HE$12:$HK$12,1,CI78)*(1+INDEX('Lease Cycles'!$GQ$12:$GW$12,1,CI78))^INT(INT((CI$6-INDEX('Lease Cycles'!$GJ$12:$GP$12,1,CI78))/12)/INDEX('Lease Cycles'!$GX$12:$HD$12,1,CI78))/12,0)))</f>
        <v>3565.634578977121</v>
      </c>
      <c r="CJ81" s="28">
        <f>IF(CJ78=0,IF('Lease Cycles'!$F$12&gt;0,'Lease Cycles'!$C$12*'Lease Cycles'!$E$12/12,0),IF(CJ80=1,IF('Lease Cycles'!$AT$12&gt;=9999,'Lease Cycles'!$C$12*INDEX('Lease Cycles'!$CB$12:$CH$12,1,CJ78)*(1+INDEX('Lease Cycles'!$CI$12:$CO$12,1,CJ78))^INT(INT(CJ79/12)/INDEX('Lease Cycles'!$CP$12:$CV$12,1,CJ78))/12,IF(CJ78=1,IF(CJ79&gt;=INDEX('Lease Cycles'!$DK$12:$DQ$12,1,CJ78),IF(CJ$6&gt;='Lease Cycles'!$AZ$12,'Lease Cycles'!$C$12*'Lease Cycles'!$BA$12/12,IF(CJ$6&gt;='Lease Cycles'!$AX$12,'Lease Cycles'!$C$12*'Lease Cycles'!$AY$12/12,IF(CJ$6&gt;='Lease Cycles'!$AV$12,'Lease Cycles'!$C$12*'Lease Cycles'!$AW$12/12,IF(CJ$6&gt;='Lease Cycles'!$AT$12,'Lease Cycles'!$C$12*'Lease Cycles'!$AU$12/12,'Lease Cycles'!$C$12*INDEX('Lease Cycles'!$CB$12:$CH$12,1,CJ78)*(1+INDEX('Lease Cycles'!$CI$12:$CO$12,1,CJ78))^INT(INT(CJ79/12)/INDEX('Lease Cycles'!$CP$12:$CV$12,1,CJ78))/12)))),'Lease Cycles'!$C$12*INDEX('Lease Cycles'!$CB$12:$CH$12,1,CJ78)*(1+INDEX('Lease Cycles'!$CI$12:$CO$12,1,CJ78))^INT(INT(CJ79/12)/INDEX('Lease Cycles'!$CP$12:$CV$12,1,CJ78))/12),IF(INDEX('Lease Cycles'!$EF$12:$EL$12,1,CJ78)=1,IF(AND('Lease Cycles'!$AZ$12&gt;=INDEX('Lease Cycles'!$BG$12:$BM$12,1,CJ78),'Lease Cycles'!$AZ$12&lt;=CJ$6),'Lease Cycles'!$C$12*'Lease Cycles'!$BA$12/12,IF(AND('Lease Cycles'!$AX$12&gt;=INDEX('Lease Cycles'!$BG$12:$BM$12,1,CJ78),'Lease Cycles'!$AX$12&lt;=CJ$6),'Lease Cycles'!$C$12*'Lease Cycles'!$AY$12/12,IF(AND('Lease Cycles'!$AV$12&gt;=INDEX('Lease Cycles'!$BG$12:$BM$12,1,CJ78),'Lease Cycles'!$AV$12&lt;=CJ$6),'Lease Cycles'!$C$12*'Lease Cycles'!$AW$12/12,IF(AND('Lease Cycles'!$AT$12&gt;=INDEX('Lease Cycles'!$BG$12:$BM$12,1,CJ78),'Lease Cycles'!$AT$12&lt;=CJ$6),'Lease Cycles'!$C$12*'Lease Cycles'!$AU$12/12,'Lease Cycles'!$C$12*INDEX('Lease Cycles'!$CB$12:$CH$12,1,CJ78)*(1+INDEX('Lease Cycles'!$CI$12:$CO$12,1,CJ78))^INT(INT(CJ79/12)/INDEX('Lease Cycles'!$CP$12:$CV$12,1,CJ78))/12)))),'Lease Cycles'!$C$12*INDEX('Lease Cycles'!$CB$12:$CH$12,1,CJ78)*(1+INDEX('Lease Cycles'!$CI$12:$CO$12,1,CJ78))^INT(INT(CJ79/12)/INDEX('Lease Cycles'!$CP$12:$CV$12,1,CJ78))/12))),IF('Lease Cycles'!$N$12=1,'Lease Cycles'!$C$12*'Lease Cycles'!$E$12*INDEX('Lease Cycles'!$HE$12:$HK$12,1,CJ78)*(1+INDEX('Lease Cycles'!$GQ$12:$GW$12,1,CJ78))^INT(INT((CJ$6-INDEX('Lease Cycles'!$GJ$12:$GP$12,1,CJ78))/12)/INDEX('Lease Cycles'!$GX$12:$HD$12,1,CJ78))/12,0)))</f>
        <v>3565.634578977121</v>
      </c>
      <c r="CK81" s="28">
        <f>IF(CK78=0,IF('Lease Cycles'!$F$12&gt;0,'Lease Cycles'!$C$12*'Lease Cycles'!$E$12/12,0),IF(CK80=1,IF('Lease Cycles'!$AT$12&gt;=9999,'Lease Cycles'!$C$12*INDEX('Lease Cycles'!$CB$12:$CH$12,1,CK78)*(1+INDEX('Lease Cycles'!$CI$12:$CO$12,1,CK78))^INT(INT(CK79/12)/INDEX('Lease Cycles'!$CP$12:$CV$12,1,CK78))/12,IF(CK78=1,IF(CK79&gt;=INDEX('Lease Cycles'!$DK$12:$DQ$12,1,CK78),IF(CK$6&gt;='Lease Cycles'!$AZ$12,'Lease Cycles'!$C$12*'Lease Cycles'!$BA$12/12,IF(CK$6&gt;='Lease Cycles'!$AX$12,'Lease Cycles'!$C$12*'Lease Cycles'!$AY$12/12,IF(CK$6&gt;='Lease Cycles'!$AV$12,'Lease Cycles'!$C$12*'Lease Cycles'!$AW$12/12,IF(CK$6&gt;='Lease Cycles'!$AT$12,'Lease Cycles'!$C$12*'Lease Cycles'!$AU$12/12,'Lease Cycles'!$C$12*INDEX('Lease Cycles'!$CB$12:$CH$12,1,CK78)*(1+INDEX('Lease Cycles'!$CI$12:$CO$12,1,CK78))^INT(INT(CK79/12)/INDEX('Lease Cycles'!$CP$12:$CV$12,1,CK78))/12)))),'Lease Cycles'!$C$12*INDEX('Lease Cycles'!$CB$12:$CH$12,1,CK78)*(1+INDEX('Lease Cycles'!$CI$12:$CO$12,1,CK78))^INT(INT(CK79/12)/INDEX('Lease Cycles'!$CP$12:$CV$12,1,CK78))/12),IF(INDEX('Lease Cycles'!$EF$12:$EL$12,1,CK78)=1,IF(AND('Lease Cycles'!$AZ$12&gt;=INDEX('Lease Cycles'!$BG$12:$BM$12,1,CK78),'Lease Cycles'!$AZ$12&lt;=CK$6),'Lease Cycles'!$C$12*'Lease Cycles'!$BA$12/12,IF(AND('Lease Cycles'!$AX$12&gt;=INDEX('Lease Cycles'!$BG$12:$BM$12,1,CK78),'Lease Cycles'!$AX$12&lt;=CK$6),'Lease Cycles'!$C$12*'Lease Cycles'!$AY$12/12,IF(AND('Lease Cycles'!$AV$12&gt;=INDEX('Lease Cycles'!$BG$12:$BM$12,1,CK78),'Lease Cycles'!$AV$12&lt;=CK$6),'Lease Cycles'!$C$12*'Lease Cycles'!$AW$12/12,IF(AND('Lease Cycles'!$AT$12&gt;=INDEX('Lease Cycles'!$BG$12:$BM$12,1,CK78),'Lease Cycles'!$AT$12&lt;=CK$6),'Lease Cycles'!$C$12*'Lease Cycles'!$AU$12/12,'Lease Cycles'!$C$12*INDEX('Lease Cycles'!$CB$12:$CH$12,1,CK78)*(1+INDEX('Lease Cycles'!$CI$12:$CO$12,1,CK78))^INT(INT(CK79/12)/INDEX('Lease Cycles'!$CP$12:$CV$12,1,CK78))/12)))),'Lease Cycles'!$C$12*INDEX('Lease Cycles'!$CB$12:$CH$12,1,CK78)*(1+INDEX('Lease Cycles'!$CI$12:$CO$12,1,CK78))^INT(INT(CK79/12)/INDEX('Lease Cycles'!$CP$12:$CV$12,1,CK78))/12))),IF('Lease Cycles'!$N$12=1,'Lease Cycles'!$C$12*'Lease Cycles'!$E$12*INDEX('Lease Cycles'!$HE$12:$HK$12,1,CK78)*(1+INDEX('Lease Cycles'!$GQ$12:$GW$12,1,CK78))^INT(INT((CK$6-INDEX('Lease Cycles'!$GJ$12:$GP$12,1,CK78))/12)/INDEX('Lease Cycles'!$GX$12:$HD$12,1,CK78))/12,0)))</f>
        <v>3565.634578977121</v>
      </c>
      <c r="CL81" s="28">
        <f>IF(CL78=0,IF('Lease Cycles'!$F$12&gt;0,'Lease Cycles'!$C$12*'Lease Cycles'!$E$12/12,0),IF(CL80=1,IF('Lease Cycles'!$AT$12&gt;=9999,'Lease Cycles'!$C$12*INDEX('Lease Cycles'!$CB$12:$CH$12,1,CL78)*(1+INDEX('Lease Cycles'!$CI$12:$CO$12,1,CL78))^INT(INT(CL79/12)/INDEX('Lease Cycles'!$CP$12:$CV$12,1,CL78))/12,IF(CL78=1,IF(CL79&gt;=INDEX('Lease Cycles'!$DK$12:$DQ$12,1,CL78),IF(CL$6&gt;='Lease Cycles'!$AZ$12,'Lease Cycles'!$C$12*'Lease Cycles'!$BA$12/12,IF(CL$6&gt;='Lease Cycles'!$AX$12,'Lease Cycles'!$C$12*'Lease Cycles'!$AY$12/12,IF(CL$6&gt;='Lease Cycles'!$AV$12,'Lease Cycles'!$C$12*'Lease Cycles'!$AW$12/12,IF(CL$6&gt;='Lease Cycles'!$AT$12,'Lease Cycles'!$C$12*'Lease Cycles'!$AU$12/12,'Lease Cycles'!$C$12*INDEX('Lease Cycles'!$CB$12:$CH$12,1,CL78)*(1+INDEX('Lease Cycles'!$CI$12:$CO$12,1,CL78))^INT(INT(CL79/12)/INDEX('Lease Cycles'!$CP$12:$CV$12,1,CL78))/12)))),'Lease Cycles'!$C$12*INDEX('Lease Cycles'!$CB$12:$CH$12,1,CL78)*(1+INDEX('Lease Cycles'!$CI$12:$CO$12,1,CL78))^INT(INT(CL79/12)/INDEX('Lease Cycles'!$CP$12:$CV$12,1,CL78))/12),IF(INDEX('Lease Cycles'!$EF$12:$EL$12,1,CL78)=1,IF(AND('Lease Cycles'!$AZ$12&gt;=INDEX('Lease Cycles'!$BG$12:$BM$12,1,CL78),'Lease Cycles'!$AZ$12&lt;=CL$6),'Lease Cycles'!$C$12*'Lease Cycles'!$BA$12/12,IF(AND('Lease Cycles'!$AX$12&gt;=INDEX('Lease Cycles'!$BG$12:$BM$12,1,CL78),'Lease Cycles'!$AX$12&lt;=CL$6),'Lease Cycles'!$C$12*'Lease Cycles'!$AY$12/12,IF(AND('Lease Cycles'!$AV$12&gt;=INDEX('Lease Cycles'!$BG$12:$BM$12,1,CL78),'Lease Cycles'!$AV$12&lt;=CL$6),'Lease Cycles'!$C$12*'Lease Cycles'!$AW$12/12,IF(AND('Lease Cycles'!$AT$12&gt;=INDEX('Lease Cycles'!$BG$12:$BM$12,1,CL78),'Lease Cycles'!$AT$12&lt;=CL$6),'Lease Cycles'!$C$12*'Lease Cycles'!$AU$12/12,'Lease Cycles'!$C$12*INDEX('Lease Cycles'!$CB$12:$CH$12,1,CL78)*(1+INDEX('Lease Cycles'!$CI$12:$CO$12,1,CL78))^INT(INT(CL79/12)/INDEX('Lease Cycles'!$CP$12:$CV$12,1,CL78))/12)))),'Lease Cycles'!$C$12*INDEX('Lease Cycles'!$CB$12:$CH$12,1,CL78)*(1+INDEX('Lease Cycles'!$CI$12:$CO$12,1,CL78))^INT(INT(CL79/12)/INDEX('Lease Cycles'!$CP$12:$CV$12,1,CL78))/12))),IF('Lease Cycles'!$N$12=1,'Lease Cycles'!$C$12*'Lease Cycles'!$E$12*INDEX('Lease Cycles'!$HE$12:$HK$12,1,CL78)*(1+INDEX('Lease Cycles'!$GQ$12:$GW$12,1,CL78))^INT(INT((CL$6-INDEX('Lease Cycles'!$GJ$12:$GP$12,1,CL78))/12)/INDEX('Lease Cycles'!$GX$12:$HD$12,1,CL78))/12,0)))</f>
        <v>3672.6036163464355</v>
      </c>
      <c r="CM81" s="28">
        <f>IF(CM78=0,IF('Lease Cycles'!$F$12&gt;0,'Lease Cycles'!$C$12*'Lease Cycles'!$E$12/12,0),IF(CM80=1,IF('Lease Cycles'!$AT$12&gt;=9999,'Lease Cycles'!$C$12*INDEX('Lease Cycles'!$CB$12:$CH$12,1,CM78)*(1+INDEX('Lease Cycles'!$CI$12:$CO$12,1,CM78))^INT(INT(CM79/12)/INDEX('Lease Cycles'!$CP$12:$CV$12,1,CM78))/12,IF(CM78=1,IF(CM79&gt;=INDEX('Lease Cycles'!$DK$12:$DQ$12,1,CM78),IF(CM$6&gt;='Lease Cycles'!$AZ$12,'Lease Cycles'!$C$12*'Lease Cycles'!$BA$12/12,IF(CM$6&gt;='Lease Cycles'!$AX$12,'Lease Cycles'!$C$12*'Lease Cycles'!$AY$12/12,IF(CM$6&gt;='Lease Cycles'!$AV$12,'Lease Cycles'!$C$12*'Lease Cycles'!$AW$12/12,IF(CM$6&gt;='Lease Cycles'!$AT$12,'Lease Cycles'!$C$12*'Lease Cycles'!$AU$12/12,'Lease Cycles'!$C$12*INDEX('Lease Cycles'!$CB$12:$CH$12,1,CM78)*(1+INDEX('Lease Cycles'!$CI$12:$CO$12,1,CM78))^INT(INT(CM79/12)/INDEX('Lease Cycles'!$CP$12:$CV$12,1,CM78))/12)))),'Lease Cycles'!$C$12*INDEX('Lease Cycles'!$CB$12:$CH$12,1,CM78)*(1+INDEX('Lease Cycles'!$CI$12:$CO$12,1,CM78))^INT(INT(CM79/12)/INDEX('Lease Cycles'!$CP$12:$CV$12,1,CM78))/12),IF(INDEX('Lease Cycles'!$EF$12:$EL$12,1,CM78)=1,IF(AND('Lease Cycles'!$AZ$12&gt;=INDEX('Lease Cycles'!$BG$12:$BM$12,1,CM78),'Lease Cycles'!$AZ$12&lt;=CM$6),'Lease Cycles'!$C$12*'Lease Cycles'!$BA$12/12,IF(AND('Lease Cycles'!$AX$12&gt;=INDEX('Lease Cycles'!$BG$12:$BM$12,1,CM78),'Lease Cycles'!$AX$12&lt;=CM$6),'Lease Cycles'!$C$12*'Lease Cycles'!$AY$12/12,IF(AND('Lease Cycles'!$AV$12&gt;=INDEX('Lease Cycles'!$BG$12:$BM$12,1,CM78),'Lease Cycles'!$AV$12&lt;=CM$6),'Lease Cycles'!$C$12*'Lease Cycles'!$AW$12/12,IF(AND('Lease Cycles'!$AT$12&gt;=INDEX('Lease Cycles'!$BG$12:$BM$12,1,CM78),'Lease Cycles'!$AT$12&lt;=CM$6),'Lease Cycles'!$C$12*'Lease Cycles'!$AU$12/12,'Lease Cycles'!$C$12*INDEX('Lease Cycles'!$CB$12:$CH$12,1,CM78)*(1+INDEX('Lease Cycles'!$CI$12:$CO$12,1,CM78))^INT(INT(CM79/12)/INDEX('Lease Cycles'!$CP$12:$CV$12,1,CM78))/12)))),'Lease Cycles'!$C$12*INDEX('Lease Cycles'!$CB$12:$CH$12,1,CM78)*(1+INDEX('Lease Cycles'!$CI$12:$CO$12,1,CM78))^INT(INT(CM79/12)/INDEX('Lease Cycles'!$CP$12:$CV$12,1,CM78))/12))),IF('Lease Cycles'!$N$12=1,'Lease Cycles'!$C$12*'Lease Cycles'!$E$12*INDEX('Lease Cycles'!$HE$12:$HK$12,1,CM78)*(1+INDEX('Lease Cycles'!$GQ$12:$GW$12,1,CM78))^INT(INT((CM$6-INDEX('Lease Cycles'!$GJ$12:$GP$12,1,CM78))/12)/INDEX('Lease Cycles'!$GX$12:$HD$12,1,CM78))/12,0)))</f>
        <v>3672.6036163464355</v>
      </c>
      <c r="CN81" s="28">
        <f>IF(CN78=0,IF('Lease Cycles'!$F$12&gt;0,'Lease Cycles'!$C$12*'Lease Cycles'!$E$12/12,0),IF(CN80=1,IF('Lease Cycles'!$AT$12&gt;=9999,'Lease Cycles'!$C$12*INDEX('Lease Cycles'!$CB$12:$CH$12,1,CN78)*(1+INDEX('Lease Cycles'!$CI$12:$CO$12,1,CN78))^INT(INT(CN79/12)/INDEX('Lease Cycles'!$CP$12:$CV$12,1,CN78))/12,IF(CN78=1,IF(CN79&gt;=INDEX('Lease Cycles'!$DK$12:$DQ$12,1,CN78),IF(CN$6&gt;='Lease Cycles'!$AZ$12,'Lease Cycles'!$C$12*'Lease Cycles'!$BA$12/12,IF(CN$6&gt;='Lease Cycles'!$AX$12,'Lease Cycles'!$C$12*'Lease Cycles'!$AY$12/12,IF(CN$6&gt;='Lease Cycles'!$AV$12,'Lease Cycles'!$C$12*'Lease Cycles'!$AW$12/12,IF(CN$6&gt;='Lease Cycles'!$AT$12,'Lease Cycles'!$C$12*'Lease Cycles'!$AU$12/12,'Lease Cycles'!$C$12*INDEX('Lease Cycles'!$CB$12:$CH$12,1,CN78)*(1+INDEX('Lease Cycles'!$CI$12:$CO$12,1,CN78))^INT(INT(CN79/12)/INDEX('Lease Cycles'!$CP$12:$CV$12,1,CN78))/12)))),'Lease Cycles'!$C$12*INDEX('Lease Cycles'!$CB$12:$CH$12,1,CN78)*(1+INDEX('Lease Cycles'!$CI$12:$CO$12,1,CN78))^INT(INT(CN79/12)/INDEX('Lease Cycles'!$CP$12:$CV$12,1,CN78))/12),IF(INDEX('Lease Cycles'!$EF$12:$EL$12,1,CN78)=1,IF(AND('Lease Cycles'!$AZ$12&gt;=INDEX('Lease Cycles'!$BG$12:$BM$12,1,CN78),'Lease Cycles'!$AZ$12&lt;=CN$6),'Lease Cycles'!$C$12*'Lease Cycles'!$BA$12/12,IF(AND('Lease Cycles'!$AX$12&gt;=INDEX('Lease Cycles'!$BG$12:$BM$12,1,CN78),'Lease Cycles'!$AX$12&lt;=CN$6),'Lease Cycles'!$C$12*'Lease Cycles'!$AY$12/12,IF(AND('Lease Cycles'!$AV$12&gt;=INDEX('Lease Cycles'!$BG$12:$BM$12,1,CN78),'Lease Cycles'!$AV$12&lt;=CN$6),'Lease Cycles'!$C$12*'Lease Cycles'!$AW$12/12,IF(AND('Lease Cycles'!$AT$12&gt;=INDEX('Lease Cycles'!$BG$12:$BM$12,1,CN78),'Lease Cycles'!$AT$12&lt;=CN$6),'Lease Cycles'!$C$12*'Lease Cycles'!$AU$12/12,'Lease Cycles'!$C$12*INDEX('Lease Cycles'!$CB$12:$CH$12,1,CN78)*(1+INDEX('Lease Cycles'!$CI$12:$CO$12,1,CN78))^INT(INT(CN79/12)/INDEX('Lease Cycles'!$CP$12:$CV$12,1,CN78))/12)))),'Lease Cycles'!$C$12*INDEX('Lease Cycles'!$CB$12:$CH$12,1,CN78)*(1+INDEX('Lease Cycles'!$CI$12:$CO$12,1,CN78))^INT(INT(CN79/12)/INDEX('Lease Cycles'!$CP$12:$CV$12,1,CN78))/12))),IF('Lease Cycles'!$N$12=1,'Lease Cycles'!$C$12*'Lease Cycles'!$E$12*INDEX('Lease Cycles'!$HE$12:$HK$12,1,CN78)*(1+INDEX('Lease Cycles'!$GQ$12:$GW$12,1,CN78))^INT(INT((CN$6-INDEX('Lease Cycles'!$GJ$12:$GP$12,1,CN78))/12)/INDEX('Lease Cycles'!$GX$12:$HD$12,1,CN78))/12,0)))</f>
        <v>3672.6036163464355</v>
      </c>
      <c r="CO81" s="28">
        <f>IF(CO78=0,IF('Lease Cycles'!$F$12&gt;0,'Lease Cycles'!$C$12*'Lease Cycles'!$E$12/12,0),IF(CO80=1,IF('Lease Cycles'!$AT$12&gt;=9999,'Lease Cycles'!$C$12*INDEX('Lease Cycles'!$CB$12:$CH$12,1,CO78)*(1+INDEX('Lease Cycles'!$CI$12:$CO$12,1,CO78))^INT(INT(CO79/12)/INDEX('Lease Cycles'!$CP$12:$CV$12,1,CO78))/12,IF(CO78=1,IF(CO79&gt;=INDEX('Lease Cycles'!$DK$12:$DQ$12,1,CO78),IF(CO$6&gt;='Lease Cycles'!$AZ$12,'Lease Cycles'!$C$12*'Lease Cycles'!$BA$12/12,IF(CO$6&gt;='Lease Cycles'!$AX$12,'Lease Cycles'!$C$12*'Lease Cycles'!$AY$12/12,IF(CO$6&gt;='Lease Cycles'!$AV$12,'Lease Cycles'!$C$12*'Lease Cycles'!$AW$12/12,IF(CO$6&gt;='Lease Cycles'!$AT$12,'Lease Cycles'!$C$12*'Lease Cycles'!$AU$12/12,'Lease Cycles'!$C$12*INDEX('Lease Cycles'!$CB$12:$CH$12,1,CO78)*(1+INDEX('Lease Cycles'!$CI$12:$CO$12,1,CO78))^INT(INT(CO79/12)/INDEX('Lease Cycles'!$CP$12:$CV$12,1,CO78))/12)))),'Lease Cycles'!$C$12*INDEX('Lease Cycles'!$CB$12:$CH$12,1,CO78)*(1+INDEX('Lease Cycles'!$CI$12:$CO$12,1,CO78))^INT(INT(CO79/12)/INDEX('Lease Cycles'!$CP$12:$CV$12,1,CO78))/12),IF(INDEX('Lease Cycles'!$EF$12:$EL$12,1,CO78)=1,IF(AND('Lease Cycles'!$AZ$12&gt;=INDEX('Lease Cycles'!$BG$12:$BM$12,1,CO78),'Lease Cycles'!$AZ$12&lt;=CO$6),'Lease Cycles'!$C$12*'Lease Cycles'!$BA$12/12,IF(AND('Lease Cycles'!$AX$12&gt;=INDEX('Lease Cycles'!$BG$12:$BM$12,1,CO78),'Lease Cycles'!$AX$12&lt;=CO$6),'Lease Cycles'!$C$12*'Lease Cycles'!$AY$12/12,IF(AND('Lease Cycles'!$AV$12&gt;=INDEX('Lease Cycles'!$BG$12:$BM$12,1,CO78),'Lease Cycles'!$AV$12&lt;=CO$6),'Lease Cycles'!$C$12*'Lease Cycles'!$AW$12/12,IF(AND('Lease Cycles'!$AT$12&gt;=INDEX('Lease Cycles'!$BG$12:$BM$12,1,CO78),'Lease Cycles'!$AT$12&lt;=CO$6),'Lease Cycles'!$C$12*'Lease Cycles'!$AU$12/12,'Lease Cycles'!$C$12*INDEX('Lease Cycles'!$CB$12:$CH$12,1,CO78)*(1+INDEX('Lease Cycles'!$CI$12:$CO$12,1,CO78))^INT(INT(CO79/12)/INDEX('Lease Cycles'!$CP$12:$CV$12,1,CO78))/12)))),'Lease Cycles'!$C$12*INDEX('Lease Cycles'!$CB$12:$CH$12,1,CO78)*(1+INDEX('Lease Cycles'!$CI$12:$CO$12,1,CO78))^INT(INT(CO79/12)/INDEX('Lease Cycles'!$CP$12:$CV$12,1,CO78))/12))),IF('Lease Cycles'!$N$12=1,'Lease Cycles'!$C$12*'Lease Cycles'!$E$12*INDEX('Lease Cycles'!$HE$12:$HK$12,1,CO78)*(1+INDEX('Lease Cycles'!$GQ$12:$GW$12,1,CO78))^INT(INT((CO$6-INDEX('Lease Cycles'!$GJ$12:$GP$12,1,CO78))/12)/INDEX('Lease Cycles'!$GX$12:$HD$12,1,CO78))/12,0)))</f>
        <v>3672.6036163464355</v>
      </c>
      <c r="CP81" s="28">
        <f>IF(CP78=0,IF('Lease Cycles'!$F$12&gt;0,'Lease Cycles'!$C$12*'Lease Cycles'!$E$12/12,0),IF(CP80=1,IF('Lease Cycles'!$AT$12&gt;=9999,'Lease Cycles'!$C$12*INDEX('Lease Cycles'!$CB$12:$CH$12,1,CP78)*(1+INDEX('Lease Cycles'!$CI$12:$CO$12,1,CP78))^INT(INT(CP79/12)/INDEX('Lease Cycles'!$CP$12:$CV$12,1,CP78))/12,IF(CP78=1,IF(CP79&gt;=INDEX('Lease Cycles'!$DK$12:$DQ$12,1,CP78),IF(CP$6&gt;='Lease Cycles'!$AZ$12,'Lease Cycles'!$C$12*'Lease Cycles'!$BA$12/12,IF(CP$6&gt;='Lease Cycles'!$AX$12,'Lease Cycles'!$C$12*'Lease Cycles'!$AY$12/12,IF(CP$6&gt;='Lease Cycles'!$AV$12,'Lease Cycles'!$C$12*'Lease Cycles'!$AW$12/12,IF(CP$6&gt;='Lease Cycles'!$AT$12,'Lease Cycles'!$C$12*'Lease Cycles'!$AU$12/12,'Lease Cycles'!$C$12*INDEX('Lease Cycles'!$CB$12:$CH$12,1,CP78)*(1+INDEX('Lease Cycles'!$CI$12:$CO$12,1,CP78))^INT(INT(CP79/12)/INDEX('Lease Cycles'!$CP$12:$CV$12,1,CP78))/12)))),'Lease Cycles'!$C$12*INDEX('Lease Cycles'!$CB$12:$CH$12,1,CP78)*(1+INDEX('Lease Cycles'!$CI$12:$CO$12,1,CP78))^INT(INT(CP79/12)/INDEX('Lease Cycles'!$CP$12:$CV$12,1,CP78))/12),IF(INDEX('Lease Cycles'!$EF$12:$EL$12,1,CP78)=1,IF(AND('Lease Cycles'!$AZ$12&gt;=INDEX('Lease Cycles'!$BG$12:$BM$12,1,CP78),'Lease Cycles'!$AZ$12&lt;=CP$6),'Lease Cycles'!$C$12*'Lease Cycles'!$BA$12/12,IF(AND('Lease Cycles'!$AX$12&gt;=INDEX('Lease Cycles'!$BG$12:$BM$12,1,CP78),'Lease Cycles'!$AX$12&lt;=CP$6),'Lease Cycles'!$C$12*'Lease Cycles'!$AY$12/12,IF(AND('Lease Cycles'!$AV$12&gt;=INDEX('Lease Cycles'!$BG$12:$BM$12,1,CP78),'Lease Cycles'!$AV$12&lt;=CP$6),'Lease Cycles'!$C$12*'Lease Cycles'!$AW$12/12,IF(AND('Lease Cycles'!$AT$12&gt;=INDEX('Lease Cycles'!$BG$12:$BM$12,1,CP78),'Lease Cycles'!$AT$12&lt;=CP$6),'Lease Cycles'!$C$12*'Lease Cycles'!$AU$12/12,'Lease Cycles'!$C$12*INDEX('Lease Cycles'!$CB$12:$CH$12,1,CP78)*(1+INDEX('Lease Cycles'!$CI$12:$CO$12,1,CP78))^INT(INT(CP79/12)/INDEX('Lease Cycles'!$CP$12:$CV$12,1,CP78))/12)))),'Lease Cycles'!$C$12*INDEX('Lease Cycles'!$CB$12:$CH$12,1,CP78)*(1+INDEX('Lease Cycles'!$CI$12:$CO$12,1,CP78))^INT(INT(CP79/12)/INDEX('Lease Cycles'!$CP$12:$CV$12,1,CP78))/12))),IF('Lease Cycles'!$N$12=1,'Lease Cycles'!$C$12*'Lease Cycles'!$E$12*INDEX('Lease Cycles'!$HE$12:$HK$12,1,CP78)*(1+INDEX('Lease Cycles'!$GQ$12:$GW$12,1,CP78))^INT(INT((CP$6-INDEX('Lease Cycles'!$GJ$12:$GP$12,1,CP78))/12)/INDEX('Lease Cycles'!$GX$12:$HD$12,1,CP78))/12,0)))</f>
        <v>3672.6036163464355</v>
      </c>
      <c r="CQ81" s="28">
        <f>IF(CQ78=0,IF('Lease Cycles'!$F$12&gt;0,'Lease Cycles'!$C$12*'Lease Cycles'!$E$12/12,0),IF(CQ80=1,IF('Lease Cycles'!$AT$12&gt;=9999,'Lease Cycles'!$C$12*INDEX('Lease Cycles'!$CB$12:$CH$12,1,CQ78)*(1+INDEX('Lease Cycles'!$CI$12:$CO$12,1,CQ78))^INT(INT(CQ79/12)/INDEX('Lease Cycles'!$CP$12:$CV$12,1,CQ78))/12,IF(CQ78=1,IF(CQ79&gt;=INDEX('Lease Cycles'!$DK$12:$DQ$12,1,CQ78),IF(CQ$6&gt;='Lease Cycles'!$AZ$12,'Lease Cycles'!$C$12*'Lease Cycles'!$BA$12/12,IF(CQ$6&gt;='Lease Cycles'!$AX$12,'Lease Cycles'!$C$12*'Lease Cycles'!$AY$12/12,IF(CQ$6&gt;='Lease Cycles'!$AV$12,'Lease Cycles'!$C$12*'Lease Cycles'!$AW$12/12,IF(CQ$6&gt;='Lease Cycles'!$AT$12,'Lease Cycles'!$C$12*'Lease Cycles'!$AU$12/12,'Lease Cycles'!$C$12*INDEX('Lease Cycles'!$CB$12:$CH$12,1,CQ78)*(1+INDEX('Lease Cycles'!$CI$12:$CO$12,1,CQ78))^INT(INT(CQ79/12)/INDEX('Lease Cycles'!$CP$12:$CV$12,1,CQ78))/12)))),'Lease Cycles'!$C$12*INDEX('Lease Cycles'!$CB$12:$CH$12,1,CQ78)*(1+INDEX('Lease Cycles'!$CI$12:$CO$12,1,CQ78))^INT(INT(CQ79/12)/INDEX('Lease Cycles'!$CP$12:$CV$12,1,CQ78))/12),IF(INDEX('Lease Cycles'!$EF$12:$EL$12,1,CQ78)=1,IF(AND('Lease Cycles'!$AZ$12&gt;=INDEX('Lease Cycles'!$BG$12:$BM$12,1,CQ78),'Lease Cycles'!$AZ$12&lt;=CQ$6),'Lease Cycles'!$C$12*'Lease Cycles'!$BA$12/12,IF(AND('Lease Cycles'!$AX$12&gt;=INDEX('Lease Cycles'!$BG$12:$BM$12,1,CQ78),'Lease Cycles'!$AX$12&lt;=CQ$6),'Lease Cycles'!$C$12*'Lease Cycles'!$AY$12/12,IF(AND('Lease Cycles'!$AV$12&gt;=INDEX('Lease Cycles'!$BG$12:$BM$12,1,CQ78),'Lease Cycles'!$AV$12&lt;=CQ$6),'Lease Cycles'!$C$12*'Lease Cycles'!$AW$12/12,IF(AND('Lease Cycles'!$AT$12&gt;=INDEX('Lease Cycles'!$BG$12:$BM$12,1,CQ78),'Lease Cycles'!$AT$12&lt;=CQ$6),'Lease Cycles'!$C$12*'Lease Cycles'!$AU$12/12,'Lease Cycles'!$C$12*INDEX('Lease Cycles'!$CB$12:$CH$12,1,CQ78)*(1+INDEX('Lease Cycles'!$CI$12:$CO$12,1,CQ78))^INT(INT(CQ79/12)/INDEX('Lease Cycles'!$CP$12:$CV$12,1,CQ78))/12)))),'Lease Cycles'!$C$12*INDEX('Lease Cycles'!$CB$12:$CH$12,1,CQ78)*(1+INDEX('Lease Cycles'!$CI$12:$CO$12,1,CQ78))^INT(INT(CQ79/12)/INDEX('Lease Cycles'!$CP$12:$CV$12,1,CQ78))/12))),IF('Lease Cycles'!$N$12=1,'Lease Cycles'!$C$12*'Lease Cycles'!$E$12*INDEX('Lease Cycles'!$HE$12:$HK$12,1,CQ78)*(1+INDEX('Lease Cycles'!$GQ$12:$GW$12,1,CQ78))^INT(INT((CQ$6-INDEX('Lease Cycles'!$GJ$12:$GP$12,1,CQ78))/12)/INDEX('Lease Cycles'!$GX$12:$HD$12,1,CQ78))/12,0)))</f>
        <v>3672.6036163464355</v>
      </c>
      <c r="CR81" s="28">
        <f>IF(CR78=0,IF('Lease Cycles'!$F$12&gt;0,'Lease Cycles'!$C$12*'Lease Cycles'!$E$12/12,0),IF(CR80=1,IF('Lease Cycles'!$AT$12&gt;=9999,'Lease Cycles'!$C$12*INDEX('Lease Cycles'!$CB$12:$CH$12,1,CR78)*(1+INDEX('Lease Cycles'!$CI$12:$CO$12,1,CR78))^INT(INT(CR79/12)/INDEX('Lease Cycles'!$CP$12:$CV$12,1,CR78))/12,IF(CR78=1,IF(CR79&gt;=INDEX('Lease Cycles'!$DK$12:$DQ$12,1,CR78),IF(CR$6&gt;='Lease Cycles'!$AZ$12,'Lease Cycles'!$C$12*'Lease Cycles'!$BA$12/12,IF(CR$6&gt;='Lease Cycles'!$AX$12,'Lease Cycles'!$C$12*'Lease Cycles'!$AY$12/12,IF(CR$6&gt;='Lease Cycles'!$AV$12,'Lease Cycles'!$C$12*'Lease Cycles'!$AW$12/12,IF(CR$6&gt;='Lease Cycles'!$AT$12,'Lease Cycles'!$C$12*'Lease Cycles'!$AU$12/12,'Lease Cycles'!$C$12*INDEX('Lease Cycles'!$CB$12:$CH$12,1,CR78)*(1+INDEX('Lease Cycles'!$CI$12:$CO$12,1,CR78))^INT(INT(CR79/12)/INDEX('Lease Cycles'!$CP$12:$CV$12,1,CR78))/12)))),'Lease Cycles'!$C$12*INDEX('Lease Cycles'!$CB$12:$CH$12,1,CR78)*(1+INDEX('Lease Cycles'!$CI$12:$CO$12,1,CR78))^INT(INT(CR79/12)/INDEX('Lease Cycles'!$CP$12:$CV$12,1,CR78))/12),IF(INDEX('Lease Cycles'!$EF$12:$EL$12,1,CR78)=1,IF(AND('Lease Cycles'!$AZ$12&gt;=INDEX('Lease Cycles'!$BG$12:$BM$12,1,CR78),'Lease Cycles'!$AZ$12&lt;=CR$6),'Lease Cycles'!$C$12*'Lease Cycles'!$BA$12/12,IF(AND('Lease Cycles'!$AX$12&gt;=INDEX('Lease Cycles'!$BG$12:$BM$12,1,CR78),'Lease Cycles'!$AX$12&lt;=CR$6),'Lease Cycles'!$C$12*'Lease Cycles'!$AY$12/12,IF(AND('Lease Cycles'!$AV$12&gt;=INDEX('Lease Cycles'!$BG$12:$BM$12,1,CR78),'Lease Cycles'!$AV$12&lt;=CR$6),'Lease Cycles'!$C$12*'Lease Cycles'!$AW$12/12,IF(AND('Lease Cycles'!$AT$12&gt;=INDEX('Lease Cycles'!$BG$12:$BM$12,1,CR78),'Lease Cycles'!$AT$12&lt;=CR$6),'Lease Cycles'!$C$12*'Lease Cycles'!$AU$12/12,'Lease Cycles'!$C$12*INDEX('Lease Cycles'!$CB$12:$CH$12,1,CR78)*(1+INDEX('Lease Cycles'!$CI$12:$CO$12,1,CR78))^INT(INT(CR79/12)/INDEX('Lease Cycles'!$CP$12:$CV$12,1,CR78))/12)))),'Lease Cycles'!$C$12*INDEX('Lease Cycles'!$CB$12:$CH$12,1,CR78)*(1+INDEX('Lease Cycles'!$CI$12:$CO$12,1,CR78))^INT(INT(CR79/12)/INDEX('Lease Cycles'!$CP$12:$CV$12,1,CR78))/12))),IF('Lease Cycles'!$N$12=1,'Lease Cycles'!$C$12*'Lease Cycles'!$E$12*INDEX('Lease Cycles'!$HE$12:$HK$12,1,CR78)*(1+INDEX('Lease Cycles'!$GQ$12:$GW$12,1,CR78))^INT(INT((CR$6-INDEX('Lease Cycles'!$GJ$12:$GP$12,1,CR78))/12)/INDEX('Lease Cycles'!$GX$12:$HD$12,1,CR78))/12,0)))</f>
        <v>3672.6036163464355</v>
      </c>
      <c r="CS81" s="28">
        <f>IF(CS78=0,IF('Lease Cycles'!$F$12&gt;0,'Lease Cycles'!$C$12*'Lease Cycles'!$E$12/12,0),IF(CS80=1,IF('Lease Cycles'!$AT$12&gt;=9999,'Lease Cycles'!$C$12*INDEX('Lease Cycles'!$CB$12:$CH$12,1,CS78)*(1+INDEX('Lease Cycles'!$CI$12:$CO$12,1,CS78))^INT(INT(CS79/12)/INDEX('Lease Cycles'!$CP$12:$CV$12,1,CS78))/12,IF(CS78=1,IF(CS79&gt;=INDEX('Lease Cycles'!$DK$12:$DQ$12,1,CS78),IF(CS$6&gt;='Lease Cycles'!$AZ$12,'Lease Cycles'!$C$12*'Lease Cycles'!$BA$12/12,IF(CS$6&gt;='Lease Cycles'!$AX$12,'Lease Cycles'!$C$12*'Lease Cycles'!$AY$12/12,IF(CS$6&gt;='Lease Cycles'!$AV$12,'Lease Cycles'!$C$12*'Lease Cycles'!$AW$12/12,IF(CS$6&gt;='Lease Cycles'!$AT$12,'Lease Cycles'!$C$12*'Lease Cycles'!$AU$12/12,'Lease Cycles'!$C$12*INDEX('Lease Cycles'!$CB$12:$CH$12,1,CS78)*(1+INDEX('Lease Cycles'!$CI$12:$CO$12,1,CS78))^INT(INT(CS79/12)/INDEX('Lease Cycles'!$CP$12:$CV$12,1,CS78))/12)))),'Lease Cycles'!$C$12*INDEX('Lease Cycles'!$CB$12:$CH$12,1,CS78)*(1+INDEX('Lease Cycles'!$CI$12:$CO$12,1,CS78))^INT(INT(CS79/12)/INDEX('Lease Cycles'!$CP$12:$CV$12,1,CS78))/12),IF(INDEX('Lease Cycles'!$EF$12:$EL$12,1,CS78)=1,IF(AND('Lease Cycles'!$AZ$12&gt;=INDEX('Lease Cycles'!$BG$12:$BM$12,1,CS78),'Lease Cycles'!$AZ$12&lt;=CS$6),'Lease Cycles'!$C$12*'Lease Cycles'!$BA$12/12,IF(AND('Lease Cycles'!$AX$12&gt;=INDEX('Lease Cycles'!$BG$12:$BM$12,1,CS78),'Lease Cycles'!$AX$12&lt;=CS$6),'Lease Cycles'!$C$12*'Lease Cycles'!$AY$12/12,IF(AND('Lease Cycles'!$AV$12&gt;=INDEX('Lease Cycles'!$BG$12:$BM$12,1,CS78),'Lease Cycles'!$AV$12&lt;=CS$6),'Lease Cycles'!$C$12*'Lease Cycles'!$AW$12/12,IF(AND('Lease Cycles'!$AT$12&gt;=INDEX('Lease Cycles'!$BG$12:$BM$12,1,CS78),'Lease Cycles'!$AT$12&lt;=CS$6),'Lease Cycles'!$C$12*'Lease Cycles'!$AU$12/12,'Lease Cycles'!$C$12*INDEX('Lease Cycles'!$CB$12:$CH$12,1,CS78)*(1+INDEX('Lease Cycles'!$CI$12:$CO$12,1,CS78))^INT(INT(CS79/12)/INDEX('Lease Cycles'!$CP$12:$CV$12,1,CS78))/12)))),'Lease Cycles'!$C$12*INDEX('Lease Cycles'!$CB$12:$CH$12,1,CS78)*(1+INDEX('Lease Cycles'!$CI$12:$CO$12,1,CS78))^INT(INT(CS79/12)/INDEX('Lease Cycles'!$CP$12:$CV$12,1,CS78))/12))),IF('Lease Cycles'!$N$12=1,'Lease Cycles'!$C$12*'Lease Cycles'!$E$12*INDEX('Lease Cycles'!$HE$12:$HK$12,1,CS78)*(1+INDEX('Lease Cycles'!$GQ$12:$GW$12,1,CS78))^INT(INT((CS$6-INDEX('Lease Cycles'!$GJ$12:$GP$12,1,CS78))/12)/INDEX('Lease Cycles'!$GX$12:$HD$12,1,CS78))/12,0)))</f>
        <v>3672.6036163464355</v>
      </c>
      <c r="CT81" s="28">
        <f>IF(CT78=0,IF('Lease Cycles'!$F$12&gt;0,'Lease Cycles'!$C$12*'Lease Cycles'!$E$12/12,0),IF(CT80=1,IF('Lease Cycles'!$AT$12&gt;=9999,'Lease Cycles'!$C$12*INDEX('Lease Cycles'!$CB$12:$CH$12,1,CT78)*(1+INDEX('Lease Cycles'!$CI$12:$CO$12,1,CT78))^INT(INT(CT79/12)/INDEX('Lease Cycles'!$CP$12:$CV$12,1,CT78))/12,IF(CT78=1,IF(CT79&gt;=INDEX('Lease Cycles'!$DK$12:$DQ$12,1,CT78),IF(CT$6&gt;='Lease Cycles'!$AZ$12,'Lease Cycles'!$C$12*'Lease Cycles'!$BA$12/12,IF(CT$6&gt;='Lease Cycles'!$AX$12,'Lease Cycles'!$C$12*'Lease Cycles'!$AY$12/12,IF(CT$6&gt;='Lease Cycles'!$AV$12,'Lease Cycles'!$C$12*'Lease Cycles'!$AW$12/12,IF(CT$6&gt;='Lease Cycles'!$AT$12,'Lease Cycles'!$C$12*'Lease Cycles'!$AU$12/12,'Lease Cycles'!$C$12*INDEX('Lease Cycles'!$CB$12:$CH$12,1,CT78)*(1+INDEX('Lease Cycles'!$CI$12:$CO$12,1,CT78))^INT(INT(CT79/12)/INDEX('Lease Cycles'!$CP$12:$CV$12,1,CT78))/12)))),'Lease Cycles'!$C$12*INDEX('Lease Cycles'!$CB$12:$CH$12,1,CT78)*(1+INDEX('Lease Cycles'!$CI$12:$CO$12,1,CT78))^INT(INT(CT79/12)/INDEX('Lease Cycles'!$CP$12:$CV$12,1,CT78))/12),IF(INDEX('Lease Cycles'!$EF$12:$EL$12,1,CT78)=1,IF(AND('Lease Cycles'!$AZ$12&gt;=INDEX('Lease Cycles'!$BG$12:$BM$12,1,CT78),'Lease Cycles'!$AZ$12&lt;=CT$6),'Lease Cycles'!$C$12*'Lease Cycles'!$BA$12/12,IF(AND('Lease Cycles'!$AX$12&gt;=INDEX('Lease Cycles'!$BG$12:$BM$12,1,CT78),'Lease Cycles'!$AX$12&lt;=CT$6),'Lease Cycles'!$C$12*'Lease Cycles'!$AY$12/12,IF(AND('Lease Cycles'!$AV$12&gt;=INDEX('Lease Cycles'!$BG$12:$BM$12,1,CT78),'Lease Cycles'!$AV$12&lt;=CT$6),'Lease Cycles'!$C$12*'Lease Cycles'!$AW$12/12,IF(AND('Lease Cycles'!$AT$12&gt;=INDEX('Lease Cycles'!$BG$12:$BM$12,1,CT78),'Lease Cycles'!$AT$12&lt;=CT$6),'Lease Cycles'!$C$12*'Lease Cycles'!$AU$12/12,'Lease Cycles'!$C$12*INDEX('Lease Cycles'!$CB$12:$CH$12,1,CT78)*(1+INDEX('Lease Cycles'!$CI$12:$CO$12,1,CT78))^INT(INT(CT79/12)/INDEX('Lease Cycles'!$CP$12:$CV$12,1,CT78))/12)))),'Lease Cycles'!$C$12*INDEX('Lease Cycles'!$CB$12:$CH$12,1,CT78)*(1+INDEX('Lease Cycles'!$CI$12:$CO$12,1,CT78))^INT(INT(CT79/12)/INDEX('Lease Cycles'!$CP$12:$CV$12,1,CT78))/12))),IF('Lease Cycles'!$N$12=1,'Lease Cycles'!$C$12*'Lease Cycles'!$E$12*INDEX('Lease Cycles'!$HE$12:$HK$12,1,CT78)*(1+INDEX('Lease Cycles'!$GQ$12:$GW$12,1,CT78))^INT(INT((CT$6-INDEX('Lease Cycles'!$GJ$12:$GP$12,1,CT78))/12)/INDEX('Lease Cycles'!$GX$12:$HD$12,1,CT78))/12,0)))</f>
        <v>3672.6036163464355</v>
      </c>
      <c r="CU81" s="28">
        <f>IF(CU78=0,IF('Lease Cycles'!$F$12&gt;0,'Lease Cycles'!$C$12*'Lease Cycles'!$E$12/12,0),IF(CU80=1,IF('Lease Cycles'!$AT$12&gt;=9999,'Lease Cycles'!$C$12*INDEX('Lease Cycles'!$CB$12:$CH$12,1,CU78)*(1+INDEX('Lease Cycles'!$CI$12:$CO$12,1,CU78))^INT(INT(CU79/12)/INDEX('Lease Cycles'!$CP$12:$CV$12,1,CU78))/12,IF(CU78=1,IF(CU79&gt;=INDEX('Lease Cycles'!$DK$12:$DQ$12,1,CU78),IF(CU$6&gt;='Lease Cycles'!$AZ$12,'Lease Cycles'!$C$12*'Lease Cycles'!$BA$12/12,IF(CU$6&gt;='Lease Cycles'!$AX$12,'Lease Cycles'!$C$12*'Lease Cycles'!$AY$12/12,IF(CU$6&gt;='Lease Cycles'!$AV$12,'Lease Cycles'!$C$12*'Lease Cycles'!$AW$12/12,IF(CU$6&gt;='Lease Cycles'!$AT$12,'Lease Cycles'!$C$12*'Lease Cycles'!$AU$12/12,'Lease Cycles'!$C$12*INDEX('Lease Cycles'!$CB$12:$CH$12,1,CU78)*(1+INDEX('Lease Cycles'!$CI$12:$CO$12,1,CU78))^INT(INT(CU79/12)/INDEX('Lease Cycles'!$CP$12:$CV$12,1,CU78))/12)))),'Lease Cycles'!$C$12*INDEX('Lease Cycles'!$CB$12:$CH$12,1,CU78)*(1+INDEX('Lease Cycles'!$CI$12:$CO$12,1,CU78))^INT(INT(CU79/12)/INDEX('Lease Cycles'!$CP$12:$CV$12,1,CU78))/12),IF(INDEX('Lease Cycles'!$EF$12:$EL$12,1,CU78)=1,IF(AND('Lease Cycles'!$AZ$12&gt;=INDEX('Lease Cycles'!$BG$12:$BM$12,1,CU78),'Lease Cycles'!$AZ$12&lt;=CU$6),'Lease Cycles'!$C$12*'Lease Cycles'!$BA$12/12,IF(AND('Lease Cycles'!$AX$12&gt;=INDEX('Lease Cycles'!$BG$12:$BM$12,1,CU78),'Lease Cycles'!$AX$12&lt;=CU$6),'Lease Cycles'!$C$12*'Lease Cycles'!$AY$12/12,IF(AND('Lease Cycles'!$AV$12&gt;=INDEX('Lease Cycles'!$BG$12:$BM$12,1,CU78),'Lease Cycles'!$AV$12&lt;=CU$6),'Lease Cycles'!$C$12*'Lease Cycles'!$AW$12/12,IF(AND('Lease Cycles'!$AT$12&gt;=INDEX('Lease Cycles'!$BG$12:$BM$12,1,CU78),'Lease Cycles'!$AT$12&lt;=CU$6),'Lease Cycles'!$C$12*'Lease Cycles'!$AU$12/12,'Lease Cycles'!$C$12*INDEX('Lease Cycles'!$CB$12:$CH$12,1,CU78)*(1+INDEX('Lease Cycles'!$CI$12:$CO$12,1,CU78))^INT(INT(CU79/12)/INDEX('Lease Cycles'!$CP$12:$CV$12,1,CU78))/12)))),'Lease Cycles'!$C$12*INDEX('Lease Cycles'!$CB$12:$CH$12,1,CU78)*(1+INDEX('Lease Cycles'!$CI$12:$CO$12,1,CU78))^INT(INT(CU79/12)/INDEX('Lease Cycles'!$CP$12:$CV$12,1,CU78))/12))),IF('Lease Cycles'!$N$12=1,'Lease Cycles'!$C$12*'Lease Cycles'!$E$12*INDEX('Lease Cycles'!$HE$12:$HK$12,1,CU78)*(1+INDEX('Lease Cycles'!$GQ$12:$GW$12,1,CU78))^INT(INT((CU$6-INDEX('Lease Cycles'!$GJ$12:$GP$12,1,CU78))/12)/INDEX('Lease Cycles'!$GX$12:$HD$12,1,CU78))/12,0)))</f>
        <v>3672.6036163464355</v>
      </c>
      <c r="CV81" s="28">
        <f>IF(CV78=0,IF('Lease Cycles'!$F$12&gt;0,'Lease Cycles'!$C$12*'Lease Cycles'!$E$12/12,0),IF(CV80=1,IF('Lease Cycles'!$AT$12&gt;=9999,'Lease Cycles'!$C$12*INDEX('Lease Cycles'!$CB$12:$CH$12,1,CV78)*(1+INDEX('Lease Cycles'!$CI$12:$CO$12,1,CV78))^INT(INT(CV79/12)/INDEX('Lease Cycles'!$CP$12:$CV$12,1,CV78))/12,IF(CV78=1,IF(CV79&gt;=INDEX('Lease Cycles'!$DK$12:$DQ$12,1,CV78),IF(CV$6&gt;='Lease Cycles'!$AZ$12,'Lease Cycles'!$C$12*'Lease Cycles'!$BA$12/12,IF(CV$6&gt;='Lease Cycles'!$AX$12,'Lease Cycles'!$C$12*'Lease Cycles'!$AY$12/12,IF(CV$6&gt;='Lease Cycles'!$AV$12,'Lease Cycles'!$C$12*'Lease Cycles'!$AW$12/12,IF(CV$6&gt;='Lease Cycles'!$AT$12,'Lease Cycles'!$C$12*'Lease Cycles'!$AU$12/12,'Lease Cycles'!$C$12*INDEX('Lease Cycles'!$CB$12:$CH$12,1,CV78)*(1+INDEX('Lease Cycles'!$CI$12:$CO$12,1,CV78))^INT(INT(CV79/12)/INDEX('Lease Cycles'!$CP$12:$CV$12,1,CV78))/12)))),'Lease Cycles'!$C$12*INDEX('Lease Cycles'!$CB$12:$CH$12,1,CV78)*(1+INDEX('Lease Cycles'!$CI$12:$CO$12,1,CV78))^INT(INT(CV79/12)/INDEX('Lease Cycles'!$CP$12:$CV$12,1,CV78))/12),IF(INDEX('Lease Cycles'!$EF$12:$EL$12,1,CV78)=1,IF(AND('Lease Cycles'!$AZ$12&gt;=INDEX('Lease Cycles'!$BG$12:$BM$12,1,CV78),'Lease Cycles'!$AZ$12&lt;=CV$6),'Lease Cycles'!$C$12*'Lease Cycles'!$BA$12/12,IF(AND('Lease Cycles'!$AX$12&gt;=INDEX('Lease Cycles'!$BG$12:$BM$12,1,CV78),'Lease Cycles'!$AX$12&lt;=CV$6),'Lease Cycles'!$C$12*'Lease Cycles'!$AY$12/12,IF(AND('Lease Cycles'!$AV$12&gt;=INDEX('Lease Cycles'!$BG$12:$BM$12,1,CV78),'Lease Cycles'!$AV$12&lt;=CV$6),'Lease Cycles'!$C$12*'Lease Cycles'!$AW$12/12,IF(AND('Lease Cycles'!$AT$12&gt;=INDEX('Lease Cycles'!$BG$12:$BM$12,1,CV78),'Lease Cycles'!$AT$12&lt;=CV$6),'Lease Cycles'!$C$12*'Lease Cycles'!$AU$12/12,'Lease Cycles'!$C$12*INDEX('Lease Cycles'!$CB$12:$CH$12,1,CV78)*(1+INDEX('Lease Cycles'!$CI$12:$CO$12,1,CV78))^INT(INT(CV79/12)/INDEX('Lease Cycles'!$CP$12:$CV$12,1,CV78))/12)))),'Lease Cycles'!$C$12*INDEX('Lease Cycles'!$CB$12:$CH$12,1,CV78)*(1+INDEX('Lease Cycles'!$CI$12:$CO$12,1,CV78))^INT(INT(CV79/12)/INDEX('Lease Cycles'!$CP$12:$CV$12,1,CV78))/12))),IF('Lease Cycles'!$N$12=1,'Lease Cycles'!$C$12*'Lease Cycles'!$E$12*INDEX('Lease Cycles'!$HE$12:$HK$12,1,CV78)*(1+INDEX('Lease Cycles'!$GQ$12:$GW$12,1,CV78))^INT(INT((CV$6-INDEX('Lease Cycles'!$GJ$12:$GP$12,1,CV78))/12)/INDEX('Lease Cycles'!$GX$12:$HD$12,1,CV78))/12,0)))</f>
        <v>3672.6036163464355</v>
      </c>
      <c r="CW81" s="28">
        <f>IF(CW78=0,IF('Lease Cycles'!$F$12&gt;0,'Lease Cycles'!$C$12*'Lease Cycles'!$E$12/12,0),IF(CW80=1,IF('Lease Cycles'!$AT$12&gt;=9999,'Lease Cycles'!$C$12*INDEX('Lease Cycles'!$CB$12:$CH$12,1,CW78)*(1+INDEX('Lease Cycles'!$CI$12:$CO$12,1,CW78))^INT(INT(CW79/12)/INDEX('Lease Cycles'!$CP$12:$CV$12,1,CW78))/12,IF(CW78=1,IF(CW79&gt;=INDEX('Lease Cycles'!$DK$12:$DQ$12,1,CW78),IF(CW$6&gt;='Lease Cycles'!$AZ$12,'Lease Cycles'!$C$12*'Lease Cycles'!$BA$12/12,IF(CW$6&gt;='Lease Cycles'!$AX$12,'Lease Cycles'!$C$12*'Lease Cycles'!$AY$12/12,IF(CW$6&gt;='Lease Cycles'!$AV$12,'Lease Cycles'!$C$12*'Lease Cycles'!$AW$12/12,IF(CW$6&gt;='Lease Cycles'!$AT$12,'Lease Cycles'!$C$12*'Lease Cycles'!$AU$12/12,'Lease Cycles'!$C$12*INDEX('Lease Cycles'!$CB$12:$CH$12,1,CW78)*(1+INDEX('Lease Cycles'!$CI$12:$CO$12,1,CW78))^INT(INT(CW79/12)/INDEX('Lease Cycles'!$CP$12:$CV$12,1,CW78))/12)))),'Lease Cycles'!$C$12*INDEX('Lease Cycles'!$CB$12:$CH$12,1,CW78)*(1+INDEX('Lease Cycles'!$CI$12:$CO$12,1,CW78))^INT(INT(CW79/12)/INDEX('Lease Cycles'!$CP$12:$CV$12,1,CW78))/12),IF(INDEX('Lease Cycles'!$EF$12:$EL$12,1,CW78)=1,IF(AND('Lease Cycles'!$AZ$12&gt;=INDEX('Lease Cycles'!$BG$12:$BM$12,1,CW78),'Lease Cycles'!$AZ$12&lt;=CW$6),'Lease Cycles'!$C$12*'Lease Cycles'!$BA$12/12,IF(AND('Lease Cycles'!$AX$12&gt;=INDEX('Lease Cycles'!$BG$12:$BM$12,1,CW78),'Lease Cycles'!$AX$12&lt;=CW$6),'Lease Cycles'!$C$12*'Lease Cycles'!$AY$12/12,IF(AND('Lease Cycles'!$AV$12&gt;=INDEX('Lease Cycles'!$BG$12:$BM$12,1,CW78),'Lease Cycles'!$AV$12&lt;=CW$6),'Lease Cycles'!$C$12*'Lease Cycles'!$AW$12/12,IF(AND('Lease Cycles'!$AT$12&gt;=INDEX('Lease Cycles'!$BG$12:$BM$12,1,CW78),'Lease Cycles'!$AT$12&lt;=CW$6),'Lease Cycles'!$C$12*'Lease Cycles'!$AU$12/12,'Lease Cycles'!$C$12*INDEX('Lease Cycles'!$CB$12:$CH$12,1,CW78)*(1+INDEX('Lease Cycles'!$CI$12:$CO$12,1,CW78))^INT(INT(CW79/12)/INDEX('Lease Cycles'!$CP$12:$CV$12,1,CW78))/12)))),'Lease Cycles'!$C$12*INDEX('Lease Cycles'!$CB$12:$CH$12,1,CW78)*(1+INDEX('Lease Cycles'!$CI$12:$CO$12,1,CW78))^INT(INT(CW79/12)/INDEX('Lease Cycles'!$CP$12:$CV$12,1,CW78))/12))),IF('Lease Cycles'!$N$12=1,'Lease Cycles'!$C$12*'Lease Cycles'!$E$12*INDEX('Lease Cycles'!$HE$12:$HK$12,1,CW78)*(1+INDEX('Lease Cycles'!$GQ$12:$GW$12,1,CW78))^INT(INT((CW$6-INDEX('Lease Cycles'!$GJ$12:$GP$12,1,CW78))/12)/INDEX('Lease Cycles'!$GX$12:$HD$12,1,CW78))/12,0)))</f>
        <v>3672.6036163464355</v>
      </c>
      <c r="CX81" s="28">
        <f>IF(CX78=0,IF('Lease Cycles'!$F$12&gt;0,'Lease Cycles'!$C$12*'Lease Cycles'!$E$12/12,0),IF(CX80=1,IF('Lease Cycles'!$AT$12&gt;=9999,'Lease Cycles'!$C$12*INDEX('Lease Cycles'!$CB$12:$CH$12,1,CX78)*(1+INDEX('Lease Cycles'!$CI$12:$CO$12,1,CX78))^INT(INT(CX79/12)/INDEX('Lease Cycles'!$CP$12:$CV$12,1,CX78))/12,IF(CX78=1,IF(CX79&gt;=INDEX('Lease Cycles'!$DK$12:$DQ$12,1,CX78),IF(CX$6&gt;='Lease Cycles'!$AZ$12,'Lease Cycles'!$C$12*'Lease Cycles'!$BA$12/12,IF(CX$6&gt;='Lease Cycles'!$AX$12,'Lease Cycles'!$C$12*'Lease Cycles'!$AY$12/12,IF(CX$6&gt;='Lease Cycles'!$AV$12,'Lease Cycles'!$C$12*'Lease Cycles'!$AW$12/12,IF(CX$6&gt;='Lease Cycles'!$AT$12,'Lease Cycles'!$C$12*'Lease Cycles'!$AU$12/12,'Lease Cycles'!$C$12*INDEX('Lease Cycles'!$CB$12:$CH$12,1,CX78)*(1+INDEX('Lease Cycles'!$CI$12:$CO$12,1,CX78))^INT(INT(CX79/12)/INDEX('Lease Cycles'!$CP$12:$CV$12,1,CX78))/12)))),'Lease Cycles'!$C$12*INDEX('Lease Cycles'!$CB$12:$CH$12,1,CX78)*(1+INDEX('Lease Cycles'!$CI$12:$CO$12,1,CX78))^INT(INT(CX79/12)/INDEX('Lease Cycles'!$CP$12:$CV$12,1,CX78))/12),IF(INDEX('Lease Cycles'!$EF$12:$EL$12,1,CX78)=1,IF(AND('Lease Cycles'!$AZ$12&gt;=INDEX('Lease Cycles'!$BG$12:$BM$12,1,CX78),'Lease Cycles'!$AZ$12&lt;=CX$6),'Lease Cycles'!$C$12*'Lease Cycles'!$BA$12/12,IF(AND('Lease Cycles'!$AX$12&gt;=INDEX('Lease Cycles'!$BG$12:$BM$12,1,CX78),'Lease Cycles'!$AX$12&lt;=CX$6),'Lease Cycles'!$C$12*'Lease Cycles'!$AY$12/12,IF(AND('Lease Cycles'!$AV$12&gt;=INDEX('Lease Cycles'!$BG$12:$BM$12,1,CX78),'Lease Cycles'!$AV$12&lt;=CX$6),'Lease Cycles'!$C$12*'Lease Cycles'!$AW$12/12,IF(AND('Lease Cycles'!$AT$12&gt;=INDEX('Lease Cycles'!$BG$12:$BM$12,1,CX78),'Lease Cycles'!$AT$12&lt;=CX$6),'Lease Cycles'!$C$12*'Lease Cycles'!$AU$12/12,'Lease Cycles'!$C$12*INDEX('Lease Cycles'!$CB$12:$CH$12,1,CX78)*(1+INDEX('Lease Cycles'!$CI$12:$CO$12,1,CX78))^INT(INT(CX79/12)/INDEX('Lease Cycles'!$CP$12:$CV$12,1,CX78))/12)))),'Lease Cycles'!$C$12*INDEX('Lease Cycles'!$CB$12:$CH$12,1,CX78)*(1+INDEX('Lease Cycles'!$CI$12:$CO$12,1,CX78))^INT(INT(CX79/12)/INDEX('Lease Cycles'!$CP$12:$CV$12,1,CX78))/12))),IF('Lease Cycles'!$N$12=1,'Lease Cycles'!$C$12*'Lease Cycles'!$E$12*INDEX('Lease Cycles'!$HE$12:$HK$12,1,CX78)*(1+INDEX('Lease Cycles'!$GQ$12:$GW$12,1,CX78))^INT(INT((CX$6-INDEX('Lease Cycles'!$GJ$12:$GP$12,1,CX78))/12)/INDEX('Lease Cycles'!$GX$12:$HD$12,1,CX78))/12,0)))</f>
        <v>3782.7817248368283</v>
      </c>
      <c r="CY81" s="28">
        <f>IF(CY78=0,IF('Lease Cycles'!$F$12&gt;0,'Lease Cycles'!$C$12*'Lease Cycles'!$E$12/12,0),IF(CY80=1,IF('Lease Cycles'!$AT$12&gt;=9999,'Lease Cycles'!$C$12*INDEX('Lease Cycles'!$CB$12:$CH$12,1,CY78)*(1+INDEX('Lease Cycles'!$CI$12:$CO$12,1,CY78))^INT(INT(CY79/12)/INDEX('Lease Cycles'!$CP$12:$CV$12,1,CY78))/12,IF(CY78=1,IF(CY79&gt;=INDEX('Lease Cycles'!$DK$12:$DQ$12,1,CY78),IF(CY$6&gt;='Lease Cycles'!$AZ$12,'Lease Cycles'!$C$12*'Lease Cycles'!$BA$12/12,IF(CY$6&gt;='Lease Cycles'!$AX$12,'Lease Cycles'!$C$12*'Lease Cycles'!$AY$12/12,IF(CY$6&gt;='Lease Cycles'!$AV$12,'Lease Cycles'!$C$12*'Lease Cycles'!$AW$12/12,IF(CY$6&gt;='Lease Cycles'!$AT$12,'Lease Cycles'!$C$12*'Lease Cycles'!$AU$12/12,'Lease Cycles'!$C$12*INDEX('Lease Cycles'!$CB$12:$CH$12,1,CY78)*(1+INDEX('Lease Cycles'!$CI$12:$CO$12,1,CY78))^INT(INT(CY79/12)/INDEX('Lease Cycles'!$CP$12:$CV$12,1,CY78))/12)))),'Lease Cycles'!$C$12*INDEX('Lease Cycles'!$CB$12:$CH$12,1,CY78)*(1+INDEX('Lease Cycles'!$CI$12:$CO$12,1,CY78))^INT(INT(CY79/12)/INDEX('Lease Cycles'!$CP$12:$CV$12,1,CY78))/12),IF(INDEX('Lease Cycles'!$EF$12:$EL$12,1,CY78)=1,IF(AND('Lease Cycles'!$AZ$12&gt;=INDEX('Lease Cycles'!$BG$12:$BM$12,1,CY78),'Lease Cycles'!$AZ$12&lt;=CY$6),'Lease Cycles'!$C$12*'Lease Cycles'!$BA$12/12,IF(AND('Lease Cycles'!$AX$12&gt;=INDEX('Lease Cycles'!$BG$12:$BM$12,1,CY78),'Lease Cycles'!$AX$12&lt;=CY$6),'Lease Cycles'!$C$12*'Lease Cycles'!$AY$12/12,IF(AND('Lease Cycles'!$AV$12&gt;=INDEX('Lease Cycles'!$BG$12:$BM$12,1,CY78),'Lease Cycles'!$AV$12&lt;=CY$6),'Lease Cycles'!$C$12*'Lease Cycles'!$AW$12/12,IF(AND('Lease Cycles'!$AT$12&gt;=INDEX('Lease Cycles'!$BG$12:$BM$12,1,CY78),'Lease Cycles'!$AT$12&lt;=CY$6),'Lease Cycles'!$C$12*'Lease Cycles'!$AU$12/12,'Lease Cycles'!$C$12*INDEX('Lease Cycles'!$CB$12:$CH$12,1,CY78)*(1+INDEX('Lease Cycles'!$CI$12:$CO$12,1,CY78))^INT(INT(CY79/12)/INDEX('Lease Cycles'!$CP$12:$CV$12,1,CY78))/12)))),'Lease Cycles'!$C$12*INDEX('Lease Cycles'!$CB$12:$CH$12,1,CY78)*(1+INDEX('Lease Cycles'!$CI$12:$CO$12,1,CY78))^INT(INT(CY79/12)/INDEX('Lease Cycles'!$CP$12:$CV$12,1,CY78))/12))),IF('Lease Cycles'!$N$12=1,'Lease Cycles'!$C$12*'Lease Cycles'!$E$12*INDEX('Lease Cycles'!$HE$12:$HK$12,1,CY78)*(1+INDEX('Lease Cycles'!$GQ$12:$GW$12,1,CY78))^INT(INT((CY$6-INDEX('Lease Cycles'!$GJ$12:$GP$12,1,CY78))/12)/INDEX('Lease Cycles'!$GX$12:$HD$12,1,CY78))/12,0)))</f>
        <v>3782.7817248368283</v>
      </c>
      <c r="CZ81" s="28">
        <f>IF(CZ78=0,IF('Lease Cycles'!$F$12&gt;0,'Lease Cycles'!$C$12*'Lease Cycles'!$E$12/12,0),IF(CZ80=1,IF('Lease Cycles'!$AT$12&gt;=9999,'Lease Cycles'!$C$12*INDEX('Lease Cycles'!$CB$12:$CH$12,1,CZ78)*(1+INDEX('Lease Cycles'!$CI$12:$CO$12,1,CZ78))^INT(INT(CZ79/12)/INDEX('Lease Cycles'!$CP$12:$CV$12,1,CZ78))/12,IF(CZ78=1,IF(CZ79&gt;=INDEX('Lease Cycles'!$DK$12:$DQ$12,1,CZ78),IF(CZ$6&gt;='Lease Cycles'!$AZ$12,'Lease Cycles'!$C$12*'Lease Cycles'!$BA$12/12,IF(CZ$6&gt;='Lease Cycles'!$AX$12,'Lease Cycles'!$C$12*'Lease Cycles'!$AY$12/12,IF(CZ$6&gt;='Lease Cycles'!$AV$12,'Lease Cycles'!$C$12*'Lease Cycles'!$AW$12/12,IF(CZ$6&gt;='Lease Cycles'!$AT$12,'Lease Cycles'!$C$12*'Lease Cycles'!$AU$12/12,'Lease Cycles'!$C$12*INDEX('Lease Cycles'!$CB$12:$CH$12,1,CZ78)*(1+INDEX('Lease Cycles'!$CI$12:$CO$12,1,CZ78))^INT(INT(CZ79/12)/INDEX('Lease Cycles'!$CP$12:$CV$12,1,CZ78))/12)))),'Lease Cycles'!$C$12*INDEX('Lease Cycles'!$CB$12:$CH$12,1,CZ78)*(1+INDEX('Lease Cycles'!$CI$12:$CO$12,1,CZ78))^INT(INT(CZ79/12)/INDEX('Lease Cycles'!$CP$12:$CV$12,1,CZ78))/12),IF(INDEX('Lease Cycles'!$EF$12:$EL$12,1,CZ78)=1,IF(AND('Lease Cycles'!$AZ$12&gt;=INDEX('Lease Cycles'!$BG$12:$BM$12,1,CZ78),'Lease Cycles'!$AZ$12&lt;=CZ$6),'Lease Cycles'!$C$12*'Lease Cycles'!$BA$12/12,IF(AND('Lease Cycles'!$AX$12&gt;=INDEX('Lease Cycles'!$BG$12:$BM$12,1,CZ78),'Lease Cycles'!$AX$12&lt;=CZ$6),'Lease Cycles'!$C$12*'Lease Cycles'!$AY$12/12,IF(AND('Lease Cycles'!$AV$12&gt;=INDEX('Lease Cycles'!$BG$12:$BM$12,1,CZ78),'Lease Cycles'!$AV$12&lt;=CZ$6),'Lease Cycles'!$C$12*'Lease Cycles'!$AW$12/12,IF(AND('Lease Cycles'!$AT$12&gt;=INDEX('Lease Cycles'!$BG$12:$BM$12,1,CZ78),'Lease Cycles'!$AT$12&lt;=CZ$6),'Lease Cycles'!$C$12*'Lease Cycles'!$AU$12/12,'Lease Cycles'!$C$12*INDEX('Lease Cycles'!$CB$12:$CH$12,1,CZ78)*(1+INDEX('Lease Cycles'!$CI$12:$CO$12,1,CZ78))^INT(INT(CZ79/12)/INDEX('Lease Cycles'!$CP$12:$CV$12,1,CZ78))/12)))),'Lease Cycles'!$C$12*INDEX('Lease Cycles'!$CB$12:$CH$12,1,CZ78)*(1+INDEX('Lease Cycles'!$CI$12:$CO$12,1,CZ78))^INT(INT(CZ79/12)/INDEX('Lease Cycles'!$CP$12:$CV$12,1,CZ78))/12))),IF('Lease Cycles'!$N$12=1,'Lease Cycles'!$C$12*'Lease Cycles'!$E$12*INDEX('Lease Cycles'!$HE$12:$HK$12,1,CZ78)*(1+INDEX('Lease Cycles'!$GQ$12:$GW$12,1,CZ78))^INT(INT((CZ$6-INDEX('Lease Cycles'!$GJ$12:$GP$12,1,CZ78))/12)/INDEX('Lease Cycles'!$GX$12:$HD$12,1,CZ78))/12,0)))</f>
        <v>3782.7817248368283</v>
      </c>
      <c r="DA81" s="28">
        <f>IF(DA78=0,IF('Lease Cycles'!$F$12&gt;0,'Lease Cycles'!$C$12*'Lease Cycles'!$E$12/12,0),IF(DA80=1,IF('Lease Cycles'!$AT$12&gt;=9999,'Lease Cycles'!$C$12*INDEX('Lease Cycles'!$CB$12:$CH$12,1,DA78)*(1+INDEX('Lease Cycles'!$CI$12:$CO$12,1,DA78))^INT(INT(DA79/12)/INDEX('Lease Cycles'!$CP$12:$CV$12,1,DA78))/12,IF(DA78=1,IF(DA79&gt;=INDEX('Lease Cycles'!$DK$12:$DQ$12,1,DA78),IF(DA$6&gt;='Lease Cycles'!$AZ$12,'Lease Cycles'!$C$12*'Lease Cycles'!$BA$12/12,IF(DA$6&gt;='Lease Cycles'!$AX$12,'Lease Cycles'!$C$12*'Lease Cycles'!$AY$12/12,IF(DA$6&gt;='Lease Cycles'!$AV$12,'Lease Cycles'!$C$12*'Lease Cycles'!$AW$12/12,IF(DA$6&gt;='Lease Cycles'!$AT$12,'Lease Cycles'!$C$12*'Lease Cycles'!$AU$12/12,'Lease Cycles'!$C$12*INDEX('Lease Cycles'!$CB$12:$CH$12,1,DA78)*(1+INDEX('Lease Cycles'!$CI$12:$CO$12,1,DA78))^INT(INT(DA79/12)/INDEX('Lease Cycles'!$CP$12:$CV$12,1,DA78))/12)))),'Lease Cycles'!$C$12*INDEX('Lease Cycles'!$CB$12:$CH$12,1,DA78)*(1+INDEX('Lease Cycles'!$CI$12:$CO$12,1,DA78))^INT(INT(DA79/12)/INDEX('Lease Cycles'!$CP$12:$CV$12,1,DA78))/12),IF(INDEX('Lease Cycles'!$EF$12:$EL$12,1,DA78)=1,IF(AND('Lease Cycles'!$AZ$12&gt;=INDEX('Lease Cycles'!$BG$12:$BM$12,1,DA78),'Lease Cycles'!$AZ$12&lt;=DA$6),'Lease Cycles'!$C$12*'Lease Cycles'!$BA$12/12,IF(AND('Lease Cycles'!$AX$12&gt;=INDEX('Lease Cycles'!$BG$12:$BM$12,1,DA78),'Lease Cycles'!$AX$12&lt;=DA$6),'Lease Cycles'!$C$12*'Lease Cycles'!$AY$12/12,IF(AND('Lease Cycles'!$AV$12&gt;=INDEX('Lease Cycles'!$BG$12:$BM$12,1,DA78),'Lease Cycles'!$AV$12&lt;=DA$6),'Lease Cycles'!$C$12*'Lease Cycles'!$AW$12/12,IF(AND('Lease Cycles'!$AT$12&gt;=INDEX('Lease Cycles'!$BG$12:$BM$12,1,DA78),'Lease Cycles'!$AT$12&lt;=DA$6),'Lease Cycles'!$C$12*'Lease Cycles'!$AU$12/12,'Lease Cycles'!$C$12*INDEX('Lease Cycles'!$CB$12:$CH$12,1,DA78)*(1+INDEX('Lease Cycles'!$CI$12:$CO$12,1,DA78))^INT(INT(DA79/12)/INDEX('Lease Cycles'!$CP$12:$CV$12,1,DA78))/12)))),'Lease Cycles'!$C$12*INDEX('Lease Cycles'!$CB$12:$CH$12,1,DA78)*(1+INDEX('Lease Cycles'!$CI$12:$CO$12,1,DA78))^INT(INT(DA79/12)/INDEX('Lease Cycles'!$CP$12:$CV$12,1,DA78))/12))),IF('Lease Cycles'!$N$12=1,'Lease Cycles'!$C$12*'Lease Cycles'!$E$12*INDEX('Lease Cycles'!$HE$12:$HK$12,1,DA78)*(1+INDEX('Lease Cycles'!$GQ$12:$GW$12,1,DA78))^INT(INT((DA$6-INDEX('Lease Cycles'!$GJ$12:$GP$12,1,DA78))/12)/INDEX('Lease Cycles'!$GX$12:$HD$12,1,DA78))/12,0)))</f>
        <v>3782.7817248368283</v>
      </c>
      <c r="DB81" s="28">
        <f>IF(DB78=0,IF('Lease Cycles'!$F$12&gt;0,'Lease Cycles'!$C$12*'Lease Cycles'!$E$12/12,0),IF(DB80=1,IF('Lease Cycles'!$AT$12&gt;=9999,'Lease Cycles'!$C$12*INDEX('Lease Cycles'!$CB$12:$CH$12,1,DB78)*(1+INDEX('Lease Cycles'!$CI$12:$CO$12,1,DB78))^INT(INT(DB79/12)/INDEX('Lease Cycles'!$CP$12:$CV$12,1,DB78))/12,IF(DB78=1,IF(DB79&gt;=INDEX('Lease Cycles'!$DK$12:$DQ$12,1,DB78),IF(DB$6&gt;='Lease Cycles'!$AZ$12,'Lease Cycles'!$C$12*'Lease Cycles'!$BA$12/12,IF(DB$6&gt;='Lease Cycles'!$AX$12,'Lease Cycles'!$C$12*'Lease Cycles'!$AY$12/12,IF(DB$6&gt;='Lease Cycles'!$AV$12,'Lease Cycles'!$C$12*'Lease Cycles'!$AW$12/12,IF(DB$6&gt;='Lease Cycles'!$AT$12,'Lease Cycles'!$C$12*'Lease Cycles'!$AU$12/12,'Lease Cycles'!$C$12*INDEX('Lease Cycles'!$CB$12:$CH$12,1,DB78)*(1+INDEX('Lease Cycles'!$CI$12:$CO$12,1,DB78))^INT(INT(DB79/12)/INDEX('Lease Cycles'!$CP$12:$CV$12,1,DB78))/12)))),'Lease Cycles'!$C$12*INDEX('Lease Cycles'!$CB$12:$CH$12,1,DB78)*(1+INDEX('Lease Cycles'!$CI$12:$CO$12,1,DB78))^INT(INT(DB79/12)/INDEX('Lease Cycles'!$CP$12:$CV$12,1,DB78))/12),IF(INDEX('Lease Cycles'!$EF$12:$EL$12,1,DB78)=1,IF(AND('Lease Cycles'!$AZ$12&gt;=INDEX('Lease Cycles'!$BG$12:$BM$12,1,DB78),'Lease Cycles'!$AZ$12&lt;=DB$6),'Lease Cycles'!$C$12*'Lease Cycles'!$BA$12/12,IF(AND('Lease Cycles'!$AX$12&gt;=INDEX('Lease Cycles'!$BG$12:$BM$12,1,DB78),'Lease Cycles'!$AX$12&lt;=DB$6),'Lease Cycles'!$C$12*'Lease Cycles'!$AY$12/12,IF(AND('Lease Cycles'!$AV$12&gt;=INDEX('Lease Cycles'!$BG$12:$BM$12,1,DB78),'Lease Cycles'!$AV$12&lt;=DB$6),'Lease Cycles'!$C$12*'Lease Cycles'!$AW$12/12,IF(AND('Lease Cycles'!$AT$12&gt;=INDEX('Lease Cycles'!$BG$12:$BM$12,1,DB78),'Lease Cycles'!$AT$12&lt;=DB$6),'Lease Cycles'!$C$12*'Lease Cycles'!$AU$12/12,'Lease Cycles'!$C$12*INDEX('Lease Cycles'!$CB$12:$CH$12,1,DB78)*(1+INDEX('Lease Cycles'!$CI$12:$CO$12,1,DB78))^INT(INT(DB79/12)/INDEX('Lease Cycles'!$CP$12:$CV$12,1,DB78))/12)))),'Lease Cycles'!$C$12*INDEX('Lease Cycles'!$CB$12:$CH$12,1,DB78)*(1+INDEX('Lease Cycles'!$CI$12:$CO$12,1,DB78))^INT(INT(DB79/12)/INDEX('Lease Cycles'!$CP$12:$CV$12,1,DB78))/12))),IF('Lease Cycles'!$N$12=1,'Lease Cycles'!$C$12*'Lease Cycles'!$E$12*INDEX('Lease Cycles'!$HE$12:$HK$12,1,DB78)*(1+INDEX('Lease Cycles'!$GQ$12:$GW$12,1,DB78))^INT(INT((DB$6-INDEX('Lease Cycles'!$GJ$12:$GP$12,1,DB78))/12)/INDEX('Lease Cycles'!$GX$12:$HD$12,1,DB78))/12,0)))</f>
        <v>3782.7817248368283</v>
      </c>
      <c r="DC81" s="28">
        <f>IF(DC78=0,IF('Lease Cycles'!$F$12&gt;0,'Lease Cycles'!$C$12*'Lease Cycles'!$E$12/12,0),IF(DC80=1,IF('Lease Cycles'!$AT$12&gt;=9999,'Lease Cycles'!$C$12*INDEX('Lease Cycles'!$CB$12:$CH$12,1,DC78)*(1+INDEX('Lease Cycles'!$CI$12:$CO$12,1,DC78))^INT(INT(DC79/12)/INDEX('Lease Cycles'!$CP$12:$CV$12,1,DC78))/12,IF(DC78=1,IF(DC79&gt;=INDEX('Lease Cycles'!$DK$12:$DQ$12,1,DC78),IF(DC$6&gt;='Lease Cycles'!$AZ$12,'Lease Cycles'!$C$12*'Lease Cycles'!$BA$12/12,IF(DC$6&gt;='Lease Cycles'!$AX$12,'Lease Cycles'!$C$12*'Lease Cycles'!$AY$12/12,IF(DC$6&gt;='Lease Cycles'!$AV$12,'Lease Cycles'!$C$12*'Lease Cycles'!$AW$12/12,IF(DC$6&gt;='Lease Cycles'!$AT$12,'Lease Cycles'!$C$12*'Lease Cycles'!$AU$12/12,'Lease Cycles'!$C$12*INDEX('Lease Cycles'!$CB$12:$CH$12,1,DC78)*(1+INDEX('Lease Cycles'!$CI$12:$CO$12,1,DC78))^INT(INT(DC79/12)/INDEX('Lease Cycles'!$CP$12:$CV$12,1,DC78))/12)))),'Lease Cycles'!$C$12*INDEX('Lease Cycles'!$CB$12:$CH$12,1,DC78)*(1+INDEX('Lease Cycles'!$CI$12:$CO$12,1,DC78))^INT(INT(DC79/12)/INDEX('Lease Cycles'!$CP$12:$CV$12,1,DC78))/12),IF(INDEX('Lease Cycles'!$EF$12:$EL$12,1,DC78)=1,IF(AND('Lease Cycles'!$AZ$12&gt;=INDEX('Lease Cycles'!$BG$12:$BM$12,1,DC78),'Lease Cycles'!$AZ$12&lt;=DC$6),'Lease Cycles'!$C$12*'Lease Cycles'!$BA$12/12,IF(AND('Lease Cycles'!$AX$12&gt;=INDEX('Lease Cycles'!$BG$12:$BM$12,1,DC78),'Lease Cycles'!$AX$12&lt;=DC$6),'Lease Cycles'!$C$12*'Lease Cycles'!$AY$12/12,IF(AND('Lease Cycles'!$AV$12&gt;=INDEX('Lease Cycles'!$BG$12:$BM$12,1,DC78),'Lease Cycles'!$AV$12&lt;=DC$6),'Lease Cycles'!$C$12*'Lease Cycles'!$AW$12/12,IF(AND('Lease Cycles'!$AT$12&gt;=INDEX('Lease Cycles'!$BG$12:$BM$12,1,DC78),'Lease Cycles'!$AT$12&lt;=DC$6),'Lease Cycles'!$C$12*'Lease Cycles'!$AU$12/12,'Lease Cycles'!$C$12*INDEX('Lease Cycles'!$CB$12:$CH$12,1,DC78)*(1+INDEX('Lease Cycles'!$CI$12:$CO$12,1,DC78))^INT(INT(DC79/12)/INDEX('Lease Cycles'!$CP$12:$CV$12,1,DC78))/12)))),'Lease Cycles'!$C$12*INDEX('Lease Cycles'!$CB$12:$CH$12,1,DC78)*(1+INDEX('Lease Cycles'!$CI$12:$CO$12,1,DC78))^INT(INT(DC79/12)/INDEX('Lease Cycles'!$CP$12:$CV$12,1,DC78))/12))),IF('Lease Cycles'!$N$12=1,'Lease Cycles'!$C$12*'Lease Cycles'!$E$12*INDEX('Lease Cycles'!$HE$12:$HK$12,1,DC78)*(1+INDEX('Lease Cycles'!$GQ$12:$GW$12,1,DC78))^INT(INT((DC$6-INDEX('Lease Cycles'!$GJ$12:$GP$12,1,DC78))/12)/INDEX('Lease Cycles'!$GX$12:$HD$12,1,DC78))/12,0)))</f>
        <v>3782.7817248368283</v>
      </c>
      <c r="DD81" s="28">
        <f>IF(DD78=0,IF('Lease Cycles'!$F$12&gt;0,'Lease Cycles'!$C$12*'Lease Cycles'!$E$12/12,0),IF(DD80=1,IF('Lease Cycles'!$AT$12&gt;=9999,'Lease Cycles'!$C$12*INDEX('Lease Cycles'!$CB$12:$CH$12,1,DD78)*(1+INDEX('Lease Cycles'!$CI$12:$CO$12,1,DD78))^INT(INT(DD79/12)/INDEX('Lease Cycles'!$CP$12:$CV$12,1,DD78))/12,IF(DD78=1,IF(DD79&gt;=INDEX('Lease Cycles'!$DK$12:$DQ$12,1,DD78),IF(DD$6&gt;='Lease Cycles'!$AZ$12,'Lease Cycles'!$C$12*'Lease Cycles'!$BA$12/12,IF(DD$6&gt;='Lease Cycles'!$AX$12,'Lease Cycles'!$C$12*'Lease Cycles'!$AY$12/12,IF(DD$6&gt;='Lease Cycles'!$AV$12,'Lease Cycles'!$C$12*'Lease Cycles'!$AW$12/12,IF(DD$6&gt;='Lease Cycles'!$AT$12,'Lease Cycles'!$C$12*'Lease Cycles'!$AU$12/12,'Lease Cycles'!$C$12*INDEX('Lease Cycles'!$CB$12:$CH$12,1,DD78)*(1+INDEX('Lease Cycles'!$CI$12:$CO$12,1,DD78))^INT(INT(DD79/12)/INDEX('Lease Cycles'!$CP$12:$CV$12,1,DD78))/12)))),'Lease Cycles'!$C$12*INDEX('Lease Cycles'!$CB$12:$CH$12,1,DD78)*(1+INDEX('Lease Cycles'!$CI$12:$CO$12,1,DD78))^INT(INT(DD79/12)/INDEX('Lease Cycles'!$CP$12:$CV$12,1,DD78))/12),IF(INDEX('Lease Cycles'!$EF$12:$EL$12,1,DD78)=1,IF(AND('Lease Cycles'!$AZ$12&gt;=INDEX('Lease Cycles'!$BG$12:$BM$12,1,DD78),'Lease Cycles'!$AZ$12&lt;=DD$6),'Lease Cycles'!$C$12*'Lease Cycles'!$BA$12/12,IF(AND('Lease Cycles'!$AX$12&gt;=INDEX('Lease Cycles'!$BG$12:$BM$12,1,DD78),'Lease Cycles'!$AX$12&lt;=DD$6),'Lease Cycles'!$C$12*'Lease Cycles'!$AY$12/12,IF(AND('Lease Cycles'!$AV$12&gt;=INDEX('Lease Cycles'!$BG$12:$BM$12,1,DD78),'Lease Cycles'!$AV$12&lt;=DD$6),'Lease Cycles'!$C$12*'Lease Cycles'!$AW$12/12,IF(AND('Lease Cycles'!$AT$12&gt;=INDEX('Lease Cycles'!$BG$12:$BM$12,1,DD78),'Lease Cycles'!$AT$12&lt;=DD$6),'Lease Cycles'!$C$12*'Lease Cycles'!$AU$12/12,'Lease Cycles'!$C$12*INDEX('Lease Cycles'!$CB$12:$CH$12,1,DD78)*(1+INDEX('Lease Cycles'!$CI$12:$CO$12,1,DD78))^INT(INT(DD79/12)/INDEX('Lease Cycles'!$CP$12:$CV$12,1,DD78))/12)))),'Lease Cycles'!$C$12*INDEX('Lease Cycles'!$CB$12:$CH$12,1,DD78)*(1+INDEX('Lease Cycles'!$CI$12:$CO$12,1,DD78))^INT(INT(DD79/12)/INDEX('Lease Cycles'!$CP$12:$CV$12,1,DD78))/12))),IF('Lease Cycles'!$N$12=1,'Lease Cycles'!$C$12*'Lease Cycles'!$E$12*INDEX('Lease Cycles'!$HE$12:$HK$12,1,DD78)*(1+INDEX('Lease Cycles'!$GQ$12:$GW$12,1,DD78))^INT(INT((DD$6-INDEX('Lease Cycles'!$GJ$12:$GP$12,1,DD78))/12)/INDEX('Lease Cycles'!$GX$12:$HD$12,1,DD78))/12,0)))</f>
        <v>3782.7817248368283</v>
      </c>
      <c r="DE81" s="28">
        <f>IF(DE78=0,IF('Lease Cycles'!$F$12&gt;0,'Lease Cycles'!$C$12*'Lease Cycles'!$E$12/12,0),IF(DE80=1,IF('Lease Cycles'!$AT$12&gt;=9999,'Lease Cycles'!$C$12*INDEX('Lease Cycles'!$CB$12:$CH$12,1,DE78)*(1+INDEX('Lease Cycles'!$CI$12:$CO$12,1,DE78))^INT(INT(DE79/12)/INDEX('Lease Cycles'!$CP$12:$CV$12,1,DE78))/12,IF(DE78=1,IF(DE79&gt;=INDEX('Lease Cycles'!$DK$12:$DQ$12,1,DE78),IF(DE$6&gt;='Lease Cycles'!$AZ$12,'Lease Cycles'!$C$12*'Lease Cycles'!$BA$12/12,IF(DE$6&gt;='Lease Cycles'!$AX$12,'Lease Cycles'!$C$12*'Lease Cycles'!$AY$12/12,IF(DE$6&gt;='Lease Cycles'!$AV$12,'Lease Cycles'!$C$12*'Lease Cycles'!$AW$12/12,IF(DE$6&gt;='Lease Cycles'!$AT$12,'Lease Cycles'!$C$12*'Lease Cycles'!$AU$12/12,'Lease Cycles'!$C$12*INDEX('Lease Cycles'!$CB$12:$CH$12,1,DE78)*(1+INDEX('Lease Cycles'!$CI$12:$CO$12,1,DE78))^INT(INT(DE79/12)/INDEX('Lease Cycles'!$CP$12:$CV$12,1,DE78))/12)))),'Lease Cycles'!$C$12*INDEX('Lease Cycles'!$CB$12:$CH$12,1,DE78)*(1+INDEX('Lease Cycles'!$CI$12:$CO$12,1,DE78))^INT(INT(DE79/12)/INDEX('Lease Cycles'!$CP$12:$CV$12,1,DE78))/12),IF(INDEX('Lease Cycles'!$EF$12:$EL$12,1,DE78)=1,IF(AND('Lease Cycles'!$AZ$12&gt;=INDEX('Lease Cycles'!$BG$12:$BM$12,1,DE78),'Lease Cycles'!$AZ$12&lt;=DE$6),'Lease Cycles'!$C$12*'Lease Cycles'!$BA$12/12,IF(AND('Lease Cycles'!$AX$12&gt;=INDEX('Lease Cycles'!$BG$12:$BM$12,1,DE78),'Lease Cycles'!$AX$12&lt;=DE$6),'Lease Cycles'!$C$12*'Lease Cycles'!$AY$12/12,IF(AND('Lease Cycles'!$AV$12&gt;=INDEX('Lease Cycles'!$BG$12:$BM$12,1,DE78),'Lease Cycles'!$AV$12&lt;=DE$6),'Lease Cycles'!$C$12*'Lease Cycles'!$AW$12/12,IF(AND('Lease Cycles'!$AT$12&gt;=INDEX('Lease Cycles'!$BG$12:$BM$12,1,DE78),'Lease Cycles'!$AT$12&lt;=DE$6),'Lease Cycles'!$C$12*'Lease Cycles'!$AU$12/12,'Lease Cycles'!$C$12*INDEX('Lease Cycles'!$CB$12:$CH$12,1,DE78)*(1+INDEX('Lease Cycles'!$CI$12:$CO$12,1,DE78))^INT(INT(DE79/12)/INDEX('Lease Cycles'!$CP$12:$CV$12,1,DE78))/12)))),'Lease Cycles'!$C$12*INDEX('Lease Cycles'!$CB$12:$CH$12,1,DE78)*(1+INDEX('Lease Cycles'!$CI$12:$CO$12,1,DE78))^INT(INT(DE79/12)/INDEX('Lease Cycles'!$CP$12:$CV$12,1,DE78))/12))),IF('Lease Cycles'!$N$12=1,'Lease Cycles'!$C$12*'Lease Cycles'!$E$12*INDEX('Lease Cycles'!$HE$12:$HK$12,1,DE78)*(1+INDEX('Lease Cycles'!$GQ$12:$GW$12,1,DE78))^INT(INT((DE$6-INDEX('Lease Cycles'!$GJ$12:$GP$12,1,DE78))/12)/INDEX('Lease Cycles'!$GX$12:$HD$12,1,DE78))/12,0)))</f>
        <v>3782.7817248368283</v>
      </c>
      <c r="DF81" s="28">
        <f>IF(DF78=0,IF('Lease Cycles'!$F$12&gt;0,'Lease Cycles'!$C$12*'Lease Cycles'!$E$12/12,0),IF(DF80=1,IF('Lease Cycles'!$AT$12&gt;=9999,'Lease Cycles'!$C$12*INDEX('Lease Cycles'!$CB$12:$CH$12,1,DF78)*(1+INDEX('Lease Cycles'!$CI$12:$CO$12,1,DF78))^INT(INT(DF79/12)/INDEX('Lease Cycles'!$CP$12:$CV$12,1,DF78))/12,IF(DF78=1,IF(DF79&gt;=INDEX('Lease Cycles'!$DK$12:$DQ$12,1,DF78),IF(DF$6&gt;='Lease Cycles'!$AZ$12,'Lease Cycles'!$C$12*'Lease Cycles'!$BA$12/12,IF(DF$6&gt;='Lease Cycles'!$AX$12,'Lease Cycles'!$C$12*'Lease Cycles'!$AY$12/12,IF(DF$6&gt;='Lease Cycles'!$AV$12,'Lease Cycles'!$C$12*'Lease Cycles'!$AW$12/12,IF(DF$6&gt;='Lease Cycles'!$AT$12,'Lease Cycles'!$C$12*'Lease Cycles'!$AU$12/12,'Lease Cycles'!$C$12*INDEX('Lease Cycles'!$CB$12:$CH$12,1,DF78)*(1+INDEX('Lease Cycles'!$CI$12:$CO$12,1,DF78))^INT(INT(DF79/12)/INDEX('Lease Cycles'!$CP$12:$CV$12,1,DF78))/12)))),'Lease Cycles'!$C$12*INDEX('Lease Cycles'!$CB$12:$CH$12,1,DF78)*(1+INDEX('Lease Cycles'!$CI$12:$CO$12,1,DF78))^INT(INT(DF79/12)/INDEX('Lease Cycles'!$CP$12:$CV$12,1,DF78))/12),IF(INDEX('Lease Cycles'!$EF$12:$EL$12,1,DF78)=1,IF(AND('Lease Cycles'!$AZ$12&gt;=INDEX('Lease Cycles'!$BG$12:$BM$12,1,DF78),'Lease Cycles'!$AZ$12&lt;=DF$6),'Lease Cycles'!$C$12*'Lease Cycles'!$BA$12/12,IF(AND('Lease Cycles'!$AX$12&gt;=INDEX('Lease Cycles'!$BG$12:$BM$12,1,DF78),'Lease Cycles'!$AX$12&lt;=DF$6),'Lease Cycles'!$C$12*'Lease Cycles'!$AY$12/12,IF(AND('Lease Cycles'!$AV$12&gt;=INDEX('Lease Cycles'!$BG$12:$BM$12,1,DF78),'Lease Cycles'!$AV$12&lt;=DF$6),'Lease Cycles'!$C$12*'Lease Cycles'!$AW$12/12,IF(AND('Lease Cycles'!$AT$12&gt;=INDEX('Lease Cycles'!$BG$12:$BM$12,1,DF78),'Lease Cycles'!$AT$12&lt;=DF$6),'Lease Cycles'!$C$12*'Lease Cycles'!$AU$12/12,'Lease Cycles'!$C$12*INDEX('Lease Cycles'!$CB$12:$CH$12,1,DF78)*(1+INDEX('Lease Cycles'!$CI$12:$CO$12,1,DF78))^INT(INT(DF79/12)/INDEX('Lease Cycles'!$CP$12:$CV$12,1,DF78))/12)))),'Lease Cycles'!$C$12*INDEX('Lease Cycles'!$CB$12:$CH$12,1,DF78)*(1+INDEX('Lease Cycles'!$CI$12:$CO$12,1,DF78))^INT(INT(DF79/12)/INDEX('Lease Cycles'!$CP$12:$CV$12,1,DF78))/12))),IF('Lease Cycles'!$N$12=1,'Lease Cycles'!$C$12*'Lease Cycles'!$E$12*INDEX('Lease Cycles'!$HE$12:$HK$12,1,DF78)*(1+INDEX('Lease Cycles'!$GQ$12:$GW$12,1,DF78))^INT(INT((DF$6-INDEX('Lease Cycles'!$GJ$12:$GP$12,1,DF78))/12)/INDEX('Lease Cycles'!$GX$12:$HD$12,1,DF78))/12,0)))</f>
        <v>3782.7817248368283</v>
      </c>
      <c r="DG81" s="28">
        <f>IF(DG78=0,IF('Lease Cycles'!$F$12&gt;0,'Lease Cycles'!$C$12*'Lease Cycles'!$E$12/12,0),IF(DG80=1,IF('Lease Cycles'!$AT$12&gt;=9999,'Lease Cycles'!$C$12*INDEX('Lease Cycles'!$CB$12:$CH$12,1,DG78)*(1+INDEX('Lease Cycles'!$CI$12:$CO$12,1,DG78))^INT(INT(DG79/12)/INDEX('Lease Cycles'!$CP$12:$CV$12,1,DG78))/12,IF(DG78=1,IF(DG79&gt;=INDEX('Lease Cycles'!$DK$12:$DQ$12,1,DG78),IF(DG$6&gt;='Lease Cycles'!$AZ$12,'Lease Cycles'!$C$12*'Lease Cycles'!$BA$12/12,IF(DG$6&gt;='Lease Cycles'!$AX$12,'Lease Cycles'!$C$12*'Lease Cycles'!$AY$12/12,IF(DG$6&gt;='Lease Cycles'!$AV$12,'Lease Cycles'!$C$12*'Lease Cycles'!$AW$12/12,IF(DG$6&gt;='Lease Cycles'!$AT$12,'Lease Cycles'!$C$12*'Lease Cycles'!$AU$12/12,'Lease Cycles'!$C$12*INDEX('Lease Cycles'!$CB$12:$CH$12,1,DG78)*(1+INDEX('Lease Cycles'!$CI$12:$CO$12,1,DG78))^INT(INT(DG79/12)/INDEX('Lease Cycles'!$CP$12:$CV$12,1,DG78))/12)))),'Lease Cycles'!$C$12*INDEX('Lease Cycles'!$CB$12:$CH$12,1,DG78)*(1+INDEX('Lease Cycles'!$CI$12:$CO$12,1,DG78))^INT(INT(DG79/12)/INDEX('Lease Cycles'!$CP$12:$CV$12,1,DG78))/12),IF(INDEX('Lease Cycles'!$EF$12:$EL$12,1,DG78)=1,IF(AND('Lease Cycles'!$AZ$12&gt;=INDEX('Lease Cycles'!$BG$12:$BM$12,1,DG78),'Lease Cycles'!$AZ$12&lt;=DG$6),'Lease Cycles'!$C$12*'Lease Cycles'!$BA$12/12,IF(AND('Lease Cycles'!$AX$12&gt;=INDEX('Lease Cycles'!$BG$12:$BM$12,1,DG78),'Lease Cycles'!$AX$12&lt;=DG$6),'Lease Cycles'!$C$12*'Lease Cycles'!$AY$12/12,IF(AND('Lease Cycles'!$AV$12&gt;=INDEX('Lease Cycles'!$BG$12:$BM$12,1,DG78),'Lease Cycles'!$AV$12&lt;=DG$6),'Lease Cycles'!$C$12*'Lease Cycles'!$AW$12/12,IF(AND('Lease Cycles'!$AT$12&gt;=INDEX('Lease Cycles'!$BG$12:$BM$12,1,DG78),'Lease Cycles'!$AT$12&lt;=DG$6),'Lease Cycles'!$C$12*'Lease Cycles'!$AU$12/12,'Lease Cycles'!$C$12*INDEX('Lease Cycles'!$CB$12:$CH$12,1,DG78)*(1+INDEX('Lease Cycles'!$CI$12:$CO$12,1,DG78))^INT(INT(DG79/12)/INDEX('Lease Cycles'!$CP$12:$CV$12,1,DG78))/12)))),'Lease Cycles'!$C$12*INDEX('Lease Cycles'!$CB$12:$CH$12,1,DG78)*(1+INDEX('Lease Cycles'!$CI$12:$CO$12,1,DG78))^INT(INT(DG79/12)/INDEX('Lease Cycles'!$CP$12:$CV$12,1,DG78))/12))),IF('Lease Cycles'!$N$12=1,'Lease Cycles'!$C$12*'Lease Cycles'!$E$12*INDEX('Lease Cycles'!$HE$12:$HK$12,1,DG78)*(1+INDEX('Lease Cycles'!$GQ$12:$GW$12,1,DG78))^INT(INT((DG$6-INDEX('Lease Cycles'!$GJ$12:$GP$12,1,DG78))/12)/INDEX('Lease Cycles'!$GX$12:$HD$12,1,DG78))/12,0)))</f>
        <v>3782.7817248368283</v>
      </c>
      <c r="DH81" s="28">
        <f>IF(DH78=0,IF('Lease Cycles'!$F$12&gt;0,'Lease Cycles'!$C$12*'Lease Cycles'!$E$12/12,0),IF(DH80=1,IF('Lease Cycles'!$AT$12&gt;=9999,'Lease Cycles'!$C$12*INDEX('Lease Cycles'!$CB$12:$CH$12,1,DH78)*(1+INDEX('Lease Cycles'!$CI$12:$CO$12,1,DH78))^INT(INT(DH79/12)/INDEX('Lease Cycles'!$CP$12:$CV$12,1,DH78))/12,IF(DH78=1,IF(DH79&gt;=INDEX('Lease Cycles'!$DK$12:$DQ$12,1,DH78),IF(DH$6&gt;='Lease Cycles'!$AZ$12,'Lease Cycles'!$C$12*'Lease Cycles'!$BA$12/12,IF(DH$6&gt;='Lease Cycles'!$AX$12,'Lease Cycles'!$C$12*'Lease Cycles'!$AY$12/12,IF(DH$6&gt;='Lease Cycles'!$AV$12,'Lease Cycles'!$C$12*'Lease Cycles'!$AW$12/12,IF(DH$6&gt;='Lease Cycles'!$AT$12,'Lease Cycles'!$C$12*'Lease Cycles'!$AU$12/12,'Lease Cycles'!$C$12*INDEX('Lease Cycles'!$CB$12:$CH$12,1,DH78)*(1+INDEX('Lease Cycles'!$CI$12:$CO$12,1,DH78))^INT(INT(DH79/12)/INDEX('Lease Cycles'!$CP$12:$CV$12,1,DH78))/12)))),'Lease Cycles'!$C$12*INDEX('Lease Cycles'!$CB$12:$CH$12,1,DH78)*(1+INDEX('Lease Cycles'!$CI$12:$CO$12,1,DH78))^INT(INT(DH79/12)/INDEX('Lease Cycles'!$CP$12:$CV$12,1,DH78))/12),IF(INDEX('Lease Cycles'!$EF$12:$EL$12,1,DH78)=1,IF(AND('Lease Cycles'!$AZ$12&gt;=INDEX('Lease Cycles'!$BG$12:$BM$12,1,DH78),'Lease Cycles'!$AZ$12&lt;=DH$6),'Lease Cycles'!$C$12*'Lease Cycles'!$BA$12/12,IF(AND('Lease Cycles'!$AX$12&gt;=INDEX('Lease Cycles'!$BG$12:$BM$12,1,DH78),'Lease Cycles'!$AX$12&lt;=DH$6),'Lease Cycles'!$C$12*'Lease Cycles'!$AY$12/12,IF(AND('Lease Cycles'!$AV$12&gt;=INDEX('Lease Cycles'!$BG$12:$BM$12,1,DH78),'Lease Cycles'!$AV$12&lt;=DH$6),'Lease Cycles'!$C$12*'Lease Cycles'!$AW$12/12,IF(AND('Lease Cycles'!$AT$12&gt;=INDEX('Lease Cycles'!$BG$12:$BM$12,1,DH78),'Lease Cycles'!$AT$12&lt;=DH$6),'Lease Cycles'!$C$12*'Lease Cycles'!$AU$12/12,'Lease Cycles'!$C$12*INDEX('Lease Cycles'!$CB$12:$CH$12,1,DH78)*(1+INDEX('Lease Cycles'!$CI$12:$CO$12,1,DH78))^INT(INT(DH79/12)/INDEX('Lease Cycles'!$CP$12:$CV$12,1,DH78))/12)))),'Lease Cycles'!$C$12*INDEX('Lease Cycles'!$CB$12:$CH$12,1,DH78)*(1+INDEX('Lease Cycles'!$CI$12:$CO$12,1,DH78))^INT(INT(DH79/12)/INDEX('Lease Cycles'!$CP$12:$CV$12,1,DH78))/12))),IF('Lease Cycles'!$N$12=1,'Lease Cycles'!$C$12*'Lease Cycles'!$E$12*INDEX('Lease Cycles'!$HE$12:$HK$12,1,DH78)*(1+INDEX('Lease Cycles'!$GQ$12:$GW$12,1,DH78))^INT(INT((DH$6-INDEX('Lease Cycles'!$GJ$12:$GP$12,1,DH78))/12)/INDEX('Lease Cycles'!$GX$12:$HD$12,1,DH78))/12,0)))</f>
        <v>3782.7817248368283</v>
      </c>
      <c r="DI81" s="28">
        <f>IF(DI78=0,IF('Lease Cycles'!$F$12&gt;0,'Lease Cycles'!$C$12*'Lease Cycles'!$E$12/12,0),IF(DI80=1,IF('Lease Cycles'!$AT$12&gt;=9999,'Lease Cycles'!$C$12*INDEX('Lease Cycles'!$CB$12:$CH$12,1,DI78)*(1+INDEX('Lease Cycles'!$CI$12:$CO$12,1,DI78))^INT(INT(DI79/12)/INDEX('Lease Cycles'!$CP$12:$CV$12,1,DI78))/12,IF(DI78=1,IF(DI79&gt;=INDEX('Lease Cycles'!$DK$12:$DQ$12,1,DI78),IF(DI$6&gt;='Lease Cycles'!$AZ$12,'Lease Cycles'!$C$12*'Lease Cycles'!$BA$12/12,IF(DI$6&gt;='Lease Cycles'!$AX$12,'Lease Cycles'!$C$12*'Lease Cycles'!$AY$12/12,IF(DI$6&gt;='Lease Cycles'!$AV$12,'Lease Cycles'!$C$12*'Lease Cycles'!$AW$12/12,IF(DI$6&gt;='Lease Cycles'!$AT$12,'Lease Cycles'!$C$12*'Lease Cycles'!$AU$12/12,'Lease Cycles'!$C$12*INDEX('Lease Cycles'!$CB$12:$CH$12,1,DI78)*(1+INDEX('Lease Cycles'!$CI$12:$CO$12,1,DI78))^INT(INT(DI79/12)/INDEX('Lease Cycles'!$CP$12:$CV$12,1,DI78))/12)))),'Lease Cycles'!$C$12*INDEX('Lease Cycles'!$CB$12:$CH$12,1,DI78)*(1+INDEX('Lease Cycles'!$CI$12:$CO$12,1,DI78))^INT(INT(DI79/12)/INDEX('Lease Cycles'!$CP$12:$CV$12,1,DI78))/12),IF(INDEX('Lease Cycles'!$EF$12:$EL$12,1,DI78)=1,IF(AND('Lease Cycles'!$AZ$12&gt;=INDEX('Lease Cycles'!$BG$12:$BM$12,1,DI78),'Lease Cycles'!$AZ$12&lt;=DI$6),'Lease Cycles'!$C$12*'Lease Cycles'!$BA$12/12,IF(AND('Lease Cycles'!$AX$12&gt;=INDEX('Lease Cycles'!$BG$12:$BM$12,1,DI78),'Lease Cycles'!$AX$12&lt;=DI$6),'Lease Cycles'!$C$12*'Lease Cycles'!$AY$12/12,IF(AND('Lease Cycles'!$AV$12&gt;=INDEX('Lease Cycles'!$BG$12:$BM$12,1,DI78),'Lease Cycles'!$AV$12&lt;=DI$6),'Lease Cycles'!$C$12*'Lease Cycles'!$AW$12/12,IF(AND('Lease Cycles'!$AT$12&gt;=INDEX('Lease Cycles'!$BG$12:$BM$12,1,DI78),'Lease Cycles'!$AT$12&lt;=DI$6),'Lease Cycles'!$C$12*'Lease Cycles'!$AU$12/12,'Lease Cycles'!$C$12*INDEX('Lease Cycles'!$CB$12:$CH$12,1,DI78)*(1+INDEX('Lease Cycles'!$CI$12:$CO$12,1,DI78))^INT(INT(DI79/12)/INDEX('Lease Cycles'!$CP$12:$CV$12,1,DI78))/12)))),'Lease Cycles'!$C$12*INDEX('Lease Cycles'!$CB$12:$CH$12,1,DI78)*(1+INDEX('Lease Cycles'!$CI$12:$CO$12,1,DI78))^INT(INT(DI79/12)/INDEX('Lease Cycles'!$CP$12:$CV$12,1,DI78))/12))),IF('Lease Cycles'!$N$12=1,'Lease Cycles'!$C$12*'Lease Cycles'!$E$12*INDEX('Lease Cycles'!$HE$12:$HK$12,1,DI78)*(1+INDEX('Lease Cycles'!$GQ$12:$GW$12,1,DI78))^INT(INT((DI$6-INDEX('Lease Cycles'!$GJ$12:$GP$12,1,DI78))/12)/INDEX('Lease Cycles'!$GX$12:$HD$12,1,DI78))/12,0)))</f>
        <v>3782.7817248368283</v>
      </c>
      <c r="DJ81" s="28">
        <f>IF(DJ78=0,IF('Lease Cycles'!$F$12&gt;0,'Lease Cycles'!$C$12*'Lease Cycles'!$E$12/12,0),IF(DJ80=1,IF('Lease Cycles'!$AT$12&gt;=9999,'Lease Cycles'!$C$12*INDEX('Lease Cycles'!$CB$12:$CH$12,1,DJ78)*(1+INDEX('Lease Cycles'!$CI$12:$CO$12,1,DJ78))^INT(INT(DJ79/12)/INDEX('Lease Cycles'!$CP$12:$CV$12,1,DJ78))/12,IF(DJ78=1,IF(DJ79&gt;=INDEX('Lease Cycles'!$DK$12:$DQ$12,1,DJ78),IF(DJ$6&gt;='Lease Cycles'!$AZ$12,'Lease Cycles'!$C$12*'Lease Cycles'!$BA$12/12,IF(DJ$6&gt;='Lease Cycles'!$AX$12,'Lease Cycles'!$C$12*'Lease Cycles'!$AY$12/12,IF(DJ$6&gt;='Lease Cycles'!$AV$12,'Lease Cycles'!$C$12*'Lease Cycles'!$AW$12/12,IF(DJ$6&gt;='Lease Cycles'!$AT$12,'Lease Cycles'!$C$12*'Lease Cycles'!$AU$12/12,'Lease Cycles'!$C$12*INDEX('Lease Cycles'!$CB$12:$CH$12,1,DJ78)*(1+INDEX('Lease Cycles'!$CI$12:$CO$12,1,DJ78))^INT(INT(DJ79/12)/INDEX('Lease Cycles'!$CP$12:$CV$12,1,DJ78))/12)))),'Lease Cycles'!$C$12*INDEX('Lease Cycles'!$CB$12:$CH$12,1,DJ78)*(1+INDEX('Lease Cycles'!$CI$12:$CO$12,1,DJ78))^INT(INT(DJ79/12)/INDEX('Lease Cycles'!$CP$12:$CV$12,1,DJ78))/12),IF(INDEX('Lease Cycles'!$EF$12:$EL$12,1,DJ78)=1,IF(AND('Lease Cycles'!$AZ$12&gt;=INDEX('Lease Cycles'!$BG$12:$BM$12,1,DJ78),'Lease Cycles'!$AZ$12&lt;=DJ$6),'Lease Cycles'!$C$12*'Lease Cycles'!$BA$12/12,IF(AND('Lease Cycles'!$AX$12&gt;=INDEX('Lease Cycles'!$BG$12:$BM$12,1,DJ78),'Lease Cycles'!$AX$12&lt;=DJ$6),'Lease Cycles'!$C$12*'Lease Cycles'!$AY$12/12,IF(AND('Lease Cycles'!$AV$12&gt;=INDEX('Lease Cycles'!$BG$12:$BM$12,1,DJ78),'Lease Cycles'!$AV$12&lt;=DJ$6),'Lease Cycles'!$C$12*'Lease Cycles'!$AW$12/12,IF(AND('Lease Cycles'!$AT$12&gt;=INDEX('Lease Cycles'!$BG$12:$BM$12,1,DJ78),'Lease Cycles'!$AT$12&lt;=DJ$6),'Lease Cycles'!$C$12*'Lease Cycles'!$AU$12/12,'Lease Cycles'!$C$12*INDEX('Lease Cycles'!$CB$12:$CH$12,1,DJ78)*(1+INDEX('Lease Cycles'!$CI$12:$CO$12,1,DJ78))^INT(INT(DJ79/12)/INDEX('Lease Cycles'!$CP$12:$CV$12,1,DJ78))/12)))),'Lease Cycles'!$C$12*INDEX('Lease Cycles'!$CB$12:$CH$12,1,DJ78)*(1+INDEX('Lease Cycles'!$CI$12:$CO$12,1,DJ78))^INT(INT(DJ79/12)/INDEX('Lease Cycles'!$CP$12:$CV$12,1,DJ78))/12))),IF('Lease Cycles'!$N$12=1,'Lease Cycles'!$C$12*'Lease Cycles'!$E$12*INDEX('Lease Cycles'!$HE$12:$HK$12,1,DJ78)*(1+INDEX('Lease Cycles'!$GQ$12:$GW$12,1,DJ78))^INT(INT((DJ$6-INDEX('Lease Cycles'!$GJ$12:$GP$12,1,DJ78))/12)/INDEX('Lease Cycles'!$GX$12:$HD$12,1,DJ78))/12,0)))</f>
        <v>3896.2651765819332</v>
      </c>
      <c r="DK81" s="28">
        <f>IF(DK78=0,IF('Lease Cycles'!$F$12&gt;0,'Lease Cycles'!$C$12*'Lease Cycles'!$E$12/12,0),IF(DK80=1,IF('Lease Cycles'!$AT$12&gt;=9999,'Lease Cycles'!$C$12*INDEX('Lease Cycles'!$CB$12:$CH$12,1,DK78)*(1+INDEX('Lease Cycles'!$CI$12:$CO$12,1,DK78))^INT(INT(DK79/12)/INDEX('Lease Cycles'!$CP$12:$CV$12,1,DK78))/12,IF(DK78=1,IF(DK79&gt;=INDEX('Lease Cycles'!$DK$12:$DQ$12,1,DK78),IF(DK$6&gt;='Lease Cycles'!$AZ$12,'Lease Cycles'!$C$12*'Lease Cycles'!$BA$12/12,IF(DK$6&gt;='Lease Cycles'!$AX$12,'Lease Cycles'!$C$12*'Lease Cycles'!$AY$12/12,IF(DK$6&gt;='Lease Cycles'!$AV$12,'Lease Cycles'!$C$12*'Lease Cycles'!$AW$12/12,IF(DK$6&gt;='Lease Cycles'!$AT$12,'Lease Cycles'!$C$12*'Lease Cycles'!$AU$12/12,'Lease Cycles'!$C$12*INDEX('Lease Cycles'!$CB$12:$CH$12,1,DK78)*(1+INDEX('Lease Cycles'!$CI$12:$CO$12,1,DK78))^INT(INT(DK79/12)/INDEX('Lease Cycles'!$CP$12:$CV$12,1,DK78))/12)))),'Lease Cycles'!$C$12*INDEX('Lease Cycles'!$CB$12:$CH$12,1,DK78)*(1+INDEX('Lease Cycles'!$CI$12:$CO$12,1,DK78))^INT(INT(DK79/12)/INDEX('Lease Cycles'!$CP$12:$CV$12,1,DK78))/12),IF(INDEX('Lease Cycles'!$EF$12:$EL$12,1,DK78)=1,IF(AND('Lease Cycles'!$AZ$12&gt;=INDEX('Lease Cycles'!$BG$12:$BM$12,1,DK78),'Lease Cycles'!$AZ$12&lt;=DK$6),'Lease Cycles'!$C$12*'Lease Cycles'!$BA$12/12,IF(AND('Lease Cycles'!$AX$12&gt;=INDEX('Lease Cycles'!$BG$12:$BM$12,1,DK78),'Lease Cycles'!$AX$12&lt;=DK$6),'Lease Cycles'!$C$12*'Lease Cycles'!$AY$12/12,IF(AND('Lease Cycles'!$AV$12&gt;=INDEX('Lease Cycles'!$BG$12:$BM$12,1,DK78),'Lease Cycles'!$AV$12&lt;=DK$6),'Lease Cycles'!$C$12*'Lease Cycles'!$AW$12/12,IF(AND('Lease Cycles'!$AT$12&gt;=INDEX('Lease Cycles'!$BG$12:$BM$12,1,DK78),'Lease Cycles'!$AT$12&lt;=DK$6),'Lease Cycles'!$C$12*'Lease Cycles'!$AU$12/12,'Lease Cycles'!$C$12*INDEX('Lease Cycles'!$CB$12:$CH$12,1,DK78)*(1+INDEX('Lease Cycles'!$CI$12:$CO$12,1,DK78))^INT(INT(DK79/12)/INDEX('Lease Cycles'!$CP$12:$CV$12,1,DK78))/12)))),'Lease Cycles'!$C$12*INDEX('Lease Cycles'!$CB$12:$CH$12,1,DK78)*(1+INDEX('Lease Cycles'!$CI$12:$CO$12,1,DK78))^INT(INT(DK79/12)/INDEX('Lease Cycles'!$CP$12:$CV$12,1,DK78))/12))),IF('Lease Cycles'!$N$12=1,'Lease Cycles'!$C$12*'Lease Cycles'!$E$12*INDEX('Lease Cycles'!$HE$12:$HK$12,1,DK78)*(1+INDEX('Lease Cycles'!$GQ$12:$GW$12,1,DK78))^INT(INT((DK$6-INDEX('Lease Cycles'!$GJ$12:$GP$12,1,DK78))/12)/INDEX('Lease Cycles'!$GX$12:$HD$12,1,DK78))/12,0)))</f>
        <v>3896.2651765819332</v>
      </c>
      <c r="DL81" s="28">
        <f>IF(DL78=0,IF('Lease Cycles'!$F$12&gt;0,'Lease Cycles'!$C$12*'Lease Cycles'!$E$12/12,0),IF(DL80=1,IF('Lease Cycles'!$AT$12&gt;=9999,'Lease Cycles'!$C$12*INDEX('Lease Cycles'!$CB$12:$CH$12,1,DL78)*(1+INDEX('Lease Cycles'!$CI$12:$CO$12,1,DL78))^INT(INT(DL79/12)/INDEX('Lease Cycles'!$CP$12:$CV$12,1,DL78))/12,IF(DL78=1,IF(DL79&gt;=INDEX('Lease Cycles'!$DK$12:$DQ$12,1,DL78),IF(DL$6&gt;='Lease Cycles'!$AZ$12,'Lease Cycles'!$C$12*'Lease Cycles'!$BA$12/12,IF(DL$6&gt;='Lease Cycles'!$AX$12,'Lease Cycles'!$C$12*'Lease Cycles'!$AY$12/12,IF(DL$6&gt;='Lease Cycles'!$AV$12,'Lease Cycles'!$C$12*'Lease Cycles'!$AW$12/12,IF(DL$6&gt;='Lease Cycles'!$AT$12,'Lease Cycles'!$C$12*'Lease Cycles'!$AU$12/12,'Lease Cycles'!$C$12*INDEX('Lease Cycles'!$CB$12:$CH$12,1,DL78)*(1+INDEX('Lease Cycles'!$CI$12:$CO$12,1,DL78))^INT(INT(DL79/12)/INDEX('Lease Cycles'!$CP$12:$CV$12,1,DL78))/12)))),'Lease Cycles'!$C$12*INDEX('Lease Cycles'!$CB$12:$CH$12,1,DL78)*(1+INDEX('Lease Cycles'!$CI$12:$CO$12,1,DL78))^INT(INT(DL79/12)/INDEX('Lease Cycles'!$CP$12:$CV$12,1,DL78))/12),IF(INDEX('Lease Cycles'!$EF$12:$EL$12,1,DL78)=1,IF(AND('Lease Cycles'!$AZ$12&gt;=INDEX('Lease Cycles'!$BG$12:$BM$12,1,DL78),'Lease Cycles'!$AZ$12&lt;=DL$6),'Lease Cycles'!$C$12*'Lease Cycles'!$BA$12/12,IF(AND('Lease Cycles'!$AX$12&gt;=INDEX('Lease Cycles'!$BG$12:$BM$12,1,DL78),'Lease Cycles'!$AX$12&lt;=DL$6),'Lease Cycles'!$C$12*'Lease Cycles'!$AY$12/12,IF(AND('Lease Cycles'!$AV$12&gt;=INDEX('Lease Cycles'!$BG$12:$BM$12,1,DL78),'Lease Cycles'!$AV$12&lt;=DL$6),'Lease Cycles'!$C$12*'Lease Cycles'!$AW$12/12,IF(AND('Lease Cycles'!$AT$12&gt;=INDEX('Lease Cycles'!$BG$12:$BM$12,1,DL78),'Lease Cycles'!$AT$12&lt;=DL$6),'Lease Cycles'!$C$12*'Lease Cycles'!$AU$12/12,'Lease Cycles'!$C$12*INDEX('Lease Cycles'!$CB$12:$CH$12,1,DL78)*(1+INDEX('Lease Cycles'!$CI$12:$CO$12,1,DL78))^INT(INT(DL79/12)/INDEX('Lease Cycles'!$CP$12:$CV$12,1,DL78))/12)))),'Lease Cycles'!$C$12*INDEX('Lease Cycles'!$CB$12:$CH$12,1,DL78)*(1+INDEX('Lease Cycles'!$CI$12:$CO$12,1,DL78))^INT(INT(DL79/12)/INDEX('Lease Cycles'!$CP$12:$CV$12,1,DL78))/12))),IF('Lease Cycles'!$N$12=1,'Lease Cycles'!$C$12*'Lease Cycles'!$E$12*INDEX('Lease Cycles'!$HE$12:$HK$12,1,DL78)*(1+INDEX('Lease Cycles'!$GQ$12:$GW$12,1,DL78))^INT(INT((DL$6-INDEX('Lease Cycles'!$GJ$12:$GP$12,1,DL78))/12)/INDEX('Lease Cycles'!$GX$12:$HD$12,1,DL78))/12,0)))</f>
        <v>3896.2651765819332</v>
      </c>
      <c r="DM81" s="28">
        <f>IF(DM78=0,IF('Lease Cycles'!$F$12&gt;0,'Lease Cycles'!$C$12*'Lease Cycles'!$E$12/12,0),IF(DM80=1,IF('Lease Cycles'!$AT$12&gt;=9999,'Lease Cycles'!$C$12*INDEX('Lease Cycles'!$CB$12:$CH$12,1,DM78)*(1+INDEX('Lease Cycles'!$CI$12:$CO$12,1,DM78))^INT(INT(DM79/12)/INDEX('Lease Cycles'!$CP$12:$CV$12,1,DM78))/12,IF(DM78=1,IF(DM79&gt;=INDEX('Lease Cycles'!$DK$12:$DQ$12,1,DM78),IF(DM$6&gt;='Lease Cycles'!$AZ$12,'Lease Cycles'!$C$12*'Lease Cycles'!$BA$12/12,IF(DM$6&gt;='Lease Cycles'!$AX$12,'Lease Cycles'!$C$12*'Lease Cycles'!$AY$12/12,IF(DM$6&gt;='Lease Cycles'!$AV$12,'Lease Cycles'!$C$12*'Lease Cycles'!$AW$12/12,IF(DM$6&gt;='Lease Cycles'!$AT$12,'Lease Cycles'!$C$12*'Lease Cycles'!$AU$12/12,'Lease Cycles'!$C$12*INDEX('Lease Cycles'!$CB$12:$CH$12,1,DM78)*(1+INDEX('Lease Cycles'!$CI$12:$CO$12,1,DM78))^INT(INT(DM79/12)/INDEX('Lease Cycles'!$CP$12:$CV$12,1,DM78))/12)))),'Lease Cycles'!$C$12*INDEX('Lease Cycles'!$CB$12:$CH$12,1,DM78)*(1+INDEX('Lease Cycles'!$CI$12:$CO$12,1,DM78))^INT(INT(DM79/12)/INDEX('Lease Cycles'!$CP$12:$CV$12,1,DM78))/12),IF(INDEX('Lease Cycles'!$EF$12:$EL$12,1,DM78)=1,IF(AND('Lease Cycles'!$AZ$12&gt;=INDEX('Lease Cycles'!$BG$12:$BM$12,1,DM78),'Lease Cycles'!$AZ$12&lt;=DM$6),'Lease Cycles'!$C$12*'Lease Cycles'!$BA$12/12,IF(AND('Lease Cycles'!$AX$12&gt;=INDEX('Lease Cycles'!$BG$12:$BM$12,1,DM78),'Lease Cycles'!$AX$12&lt;=DM$6),'Lease Cycles'!$C$12*'Lease Cycles'!$AY$12/12,IF(AND('Lease Cycles'!$AV$12&gt;=INDEX('Lease Cycles'!$BG$12:$BM$12,1,DM78),'Lease Cycles'!$AV$12&lt;=DM$6),'Lease Cycles'!$C$12*'Lease Cycles'!$AW$12/12,IF(AND('Lease Cycles'!$AT$12&gt;=INDEX('Lease Cycles'!$BG$12:$BM$12,1,DM78),'Lease Cycles'!$AT$12&lt;=DM$6),'Lease Cycles'!$C$12*'Lease Cycles'!$AU$12/12,'Lease Cycles'!$C$12*INDEX('Lease Cycles'!$CB$12:$CH$12,1,DM78)*(1+INDEX('Lease Cycles'!$CI$12:$CO$12,1,DM78))^INT(INT(DM79/12)/INDEX('Lease Cycles'!$CP$12:$CV$12,1,DM78))/12)))),'Lease Cycles'!$C$12*INDEX('Lease Cycles'!$CB$12:$CH$12,1,DM78)*(1+INDEX('Lease Cycles'!$CI$12:$CO$12,1,DM78))^INT(INT(DM79/12)/INDEX('Lease Cycles'!$CP$12:$CV$12,1,DM78))/12))),IF('Lease Cycles'!$N$12=1,'Lease Cycles'!$C$12*'Lease Cycles'!$E$12*INDEX('Lease Cycles'!$HE$12:$HK$12,1,DM78)*(1+INDEX('Lease Cycles'!$GQ$12:$GW$12,1,DM78))^INT(INT((DM$6-INDEX('Lease Cycles'!$GJ$12:$GP$12,1,DM78))/12)/INDEX('Lease Cycles'!$GX$12:$HD$12,1,DM78))/12,0)))</f>
        <v>3896.2651765819332</v>
      </c>
      <c r="DN81" s="28">
        <f>IF(DN78=0,IF('Lease Cycles'!$F$12&gt;0,'Lease Cycles'!$C$12*'Lease Cycles'!$E$12/12,0),IF(DN80=1,IF('Lease Cycles'!$AT$12&gt;=9999,'Lease Cycles'!$C$12*INDEX('Lease Cycles'!$CB$12:$CH$12,1,DN78)*(1+INDEX('Lease Cycles'!$CI$12:$CO$12,1,DN78))^INT(INT(DN79/12)/INDEX('Lease Cycles'!$CP$12:$CV$12,1,DN78))/12,IF(DN78=1,IF(DN79&gt;=INDEX('Lease Cycles'!$DK$12:$DQ$12,1,DN78),IF(DN$6&gt;='Lease Cycles'!$AZ$12,'Lease Cycles'!$C$12*'Lease Cycles'!$BA$12/12,IF(DN$6&gt;='Lease Cycles'!$AX$12,'Lease Cycles'!$C$12*'Lease Cycles'!$AY$12/12,IF(DN$6&gt;='Lease Cycles'!$AV$12,'Lease Cycles'!$C$12*'Lease Cycles'!$AW$12/12,IF(DN$6&gt;='Lease Cycles'!$AT$12,'Lease Cycles'!$C$12*'Lease Cycles'!$AU$12/12,'Lease Cycles'!$C$12*INDEX('Lease Cycles'!$CB$12:$CH$12,1,DN78)*(1+INDEX('Lease Cycles'!$CI$12:$CO$12,1,DN78))^INT(INT(DN79/12)/INDEX('Lease Cycles'!$CP$12:$CV$12,1,DN78))/12)))),'Lease Cycles'!$C$12*INDEX('Lease Cycles'!$CB$12:$CH$12,1,DN78)*(1+INDEX('Lease Cycles'!$CI$12:$CO$12,1,DN78))^INT(INT(DN79/12)/INDEX('Lease Cycles'!$CP$12:$CV$12,1,DN78))/12),IF(INDEX('Lease Cycles'!$EF$12:$EL$12,1,DN78)=1,IF(AND('Lease Cycles'!$AZ$12&gt;=INDEX('Lease Cycles'!$BG$12:$BM$12,1,DN78),'Lease Cycles'!$AZ$12&lt;=DN$6),'Lease Cycles'!$C$12*'Lease Cycles'!$BA$12/12,IF(AND('Lease Cycles'!$AX$12&gt;=INDEX('Lease Cycles'!$BG$12:$BM$12,1,DN78),'Lease Cycles'!$AX$12&lt;=DN$6),'Lease Cycles'!$C$12*'Lease Cycles'!$AY$12/12,IF(AND('Lease Cycles'!$AV$12&gt;=INDEX('Lease Cycles'!$BG$12:$BM$12,1,DN78),'Lease Cycles'!$AV$12&lt;=DN$6),'Lease Cycles'!$C$12*'Lease Cycles'!$AW$12/12,IF(AND('Lease Cycles'!$AT$12&gt;=INDEX('Lease Cycles'!$BG$12:$BM$12,1,DN78),'Lease Cycles'!$AT$12&lt;=DN$6),'Lease Cycles'!$C$12*'Lease Cycles'!$AU$12/12,'Lease Cycles'!$C$12*INDEX('Lease Cycles'!$CB$12:$CH$12,1,DN78)*(1+INDEX('Lease Cycles'!$CI$12:$CO$12,1,DN78))^INT(INT(DN79/12)/INDEX('Lease Cycles'!$CP$12:$CV$12,1,DN78))/12)))),'Lease Cycles'!$C$12*INDEX('Lease Cycles'!$CB$12:$CH$12,1,DN78)*(1+INDEX('Lease Cycles'!$CI$12:$CO$12,1,DN78))^INT(INT(DN79/12)/INDEX('Lease Cycles'!$CP$12:$CV$12,1,DN78))/12))),IF('Lease Cycles'!$N$12=1,'Lease Cycles'!$C$12*'Lease Cycles'!$E$12*INDEX('Lease Cycles'!$HE$12:$HK$12,1,DN78)*(1+INDEX('Lease Cycles'!$GQ$12:$GW$12,1,DN78))^INT(INT((DN$6-INDEX('Lease Cycles'!$GJ$12:$GP$12,1,DN78))/12)/INDEX('Lease Cycles'!$GX$12:$HD$12,1,DN78))/12,0)))</f>
        <v>3896.2651765819332</v>
      </c>
      <c r="DO81" s="28">
        <f>IF(DO78=0,IF('Lease Cycles'!$F$12&gt;0,'Lease Cycles'!$C$12*'Lease Cycles'!$E$12/12,0),IF(DO80=1,IF('Lease Cycles'!$AT$12&gt;=9999,'Lease Cycles'!$C$12*INDEX('Lease Cycles'!$CB$12:$CH$12,1,DO78)*(1+INDEX('Lease Cycles'!$CI$12:$CO$12,1,DO78))^INT(INT(DO79/12)/INDEX('Lease Cycles'!$CP$12:$CV$12,1,DO78))/12,IF(DO78=1,IF(DO79&gt;=INDEX('Lease Cycles'!$DK$12:$DQ$12,1,DO78),IF(DO$6&gt;='Lease Cycles'!$AZ$12,'Lease Cycles'!$C$12*'Lease Cycles'!$BA$12/12,IF(DO$6&gt;='Lease Cycles'!$AX$12,'Lease Cycles'!$C$12*'Lease Cycles'!$AY$12/12,IF(DO$6&gt;='Lease Cycles'!$AV$12,'Lease Cycles'!$C$12*'Lease Cycles'!$AW$12/12,IF(DO$6&gt;='Lease Cycles'!$AT$12,'Lease Cycles'!$C$12*'Lease Cycles'!$AU$12/12,'Lease Cycles'!$C$12*INDEX('Lease Cycles'!$CB$12:$CH$12,1,DO78)*(1+INDEX('Lease Cycles'!$CI$12:$CO$12,1,DO78))^INT(INT(DO79/12)/INDEX('Lease Cycles'!$CP$12:$CV$12,1,DO78))/12)))),'Lease Cycles'!$C$12*INDEX('Lease Cycles'!$CB$12:$CH$12,1,DO78)*(1+INDEX('Lease Cycles'!$CI$12:$CO$12,1,DO78))^INT(INT(DO79/12)/INDEX('Lease Cycles'!$CP$12:$CV$12,1,DO78))/12),IF(INDEX('Lease Cycles'!$EF$12:$EL$12,1,DO78)=1,IF(AND('Lease Cycles'!$AZ$12&gt;=INDEX('Lease Cycles'!$BG$12:$BM$12,1,DO78),'Lease Cycles'!$AZ$12&lt;=DO$6),'Lease Cycles'!$C$12*'Lease Cycles'!$BA$12/12,IF(AND('Lease Cycles'!$AX$12&gt;=INDEX('Lease Cycles'!$BG$12:$BM$12,1,DO78),'Lease Cycles'!$AX$12&lt;=DO$6),'Lease Cycles'!$C$12*'Lease Cycles'!$AY$12/12,IF(AND('Lease Cycles'!$AV$12&gt;=INDEX('Lease Cycles'!$BG$12:$BM$12,1,DO78),'Lease Cycles'!$AV$12&lt;=DO$6),'Lease Cycles'!$C$12*'Lease Cycles'!$AW$12/12,IF(AND('Lease Cycles'!$AT$12&gt;=INDEX('Lease Cycles'!$BG$12:$BM$12,1,DO78),'Lease Cycles'!$AT$12&lt;=DO$6),'Lease Cycles'!$C$12*'Lease Cycles'!$AU$12/12,'Lease Cycles'!$C$12*INDEX('Lease Cycles'!$CB$12:$CH$12,1,DO78)*(1+INDEX('Lease Cycles'!$CI$12:$CO$12,1,DO78))^INT(INT(DO79/12)/INDEX('Lease Cycles'!$CP$12:$CV$12,1,DO78))/12)))),'Lease Cycles'!$C$12*INDEX('Lease Cycles'!$CB$12:$CH$12,1,DO78)*(1+INDEX('Lease Cycles'!$CI$12:$CO$12,1,DO78))^INT(INT(DO79/12)/INDEX('Lease Cycles'!$CP$12:$CV$12,1,DO78))/12))),IF('Lease Cycles'!$N$12=1,'Lease Cycles'!$C$12*'Lease Cycles'!$E$12*INDEX('Lease Cycles'!$HE$12:$HK$12,1,DO78)*(1+INDEX('Lease Cycles'!$GQ$12:$GW$12,1,DO78))^INT(INT((DO$6-INDEX('Lease Cycles'!$GJ$12:$GP$12,1,DO78))/12)/INDEX('Lease Cycles'!$GX$12:$HD$12,1,DO78))/12,0)))</f>
        <v>3896.2651765819332</v>
      </c>
      <c r="DP81" s="28">
        <f>IF(DP78=0,IF('Lease Cycles'!$F$12&gt;0,'Lease Cycles'!$C$12*'Lease Cycles'!$E$12/12,0),IF(DP80=1,IF('Lease Cycles'!$AT$12&gt;=9999,'Lease Cycles'!$C$12*INDEX('Lease Cycles'!$CB$12:$CH$12,1,DP78)*(1+INDEX('Lease Cycles'!$CI$12:$CO$12,1,DP78))^INT(INT(DP79/12)/INDEX('Lease Cycles'!$CP$12:$CV$12,1,DP78))/12,IF(DP78=1,IF(DP79&gt;=INDEX('Lease Cycles'!$DK$12:$DQ$12,1,DP78),IF(DP$6&gt;='Lease Cycles'!$AZ$12,'Lease Cycles'!$C$12*'Lease Cycles'!$BA$12/12,IF(DP$6&gt;='Lease Cycles'!$AX$12,'Lease Cycles'!$C$12*'Lease Cycles'!$AY$12/12,IF(DP$6&gt;='Lease Cycles'!$AV$12,'Lease Cycles'!$C$12*'Lease Cycles'!$AW$12/12,IF(DP$6&gt;='Lease Cycles'!$AT$12,'Lease Cycles'!$C$12*'Lease Cycles'!$AU$12/12,'Lease Cycles'!$C$12*INDEX('Lease Cycles'!$CB$12:$CH$12,1,DP78)*(1+INDEX('Lease Cycles'!$CI$12:$CO$12,1,DP78))^INT(INT(DP79/12)/INDEX('Lease Cycles'!$CP$12:$CV$12,1,DP78))/12)))),'Lease Cycles'!$C$12*INDEX('Lease Cycles'!$CB$12:$CH$12,1,DP78)*(1+INDEX('Lease Cycles'!$CI$12:$CO$12,1,DP78))^INT(INT(DP79/12)/INDEX('Lease Cycles'!$CP$12:$CV$12,1,DP78))/12),IF(INDEX('Lease Cycles'!$EF$12:$EL$12,1,DP78)=1,IF(AND('Lease Cycles'!$AZ$12&gt;=INDEX('Lease Cycles'!$BG$12:$BM$12,1,DP78),'Lease Cycles'!$AZ$12&lt;=DP$6),'Lease Cycles'!$C$12*'Lease Cycles'!$BA$12/12,IF(AND('Lease Cycles'!$AX$12&gt;=INDEX('Lease Cycles'!$BG$12:$BM$12,1,DP78),'Lease Cycles'!$AX$12&lt;=DP$6),'Lease Cycles'!$C$12*'Lease Cycles'!$AY$12/12,IF(AND('Lease Cycles'!$AV$12&gt;=INDEX('Lease Cycles'!$BG$12:$BM$12,1,DP78),'Lease Cycles'!$AV$12&lt;=DP$6),'Lease Cycles'!$C$12*'Lease Cycles'!$AW$12/12,IF(AND('Lease Cycles'!$AT$12&gt;=INDEX('Lease Cycles'!$BG$12:$BM$12,1,DP78),'Lease Cycles'!$AT$12&lt;=DP$6),'Lease Cycles'!$C$12*'Lease Cycles'!$AU$12/12,'Lease Cycles'!$C$12*INDEX('Lease Cycles'!$CB$12:$CH$12,1,DP78)*(1+INDEX('Lease Cycles'!$CI$12:$CO$12,1,DP78))^INT(INT(DP79/12)/INDEX('Lease Cycles'!$CP$12:$CV$12,1,DP78))/12)))),'Lease Cycles'!$C$12*INDEX('Lease Cycles'!$CB$12:$CH$12,1,DP78)*(1+INDEX('Lease Cycles'!$CI$12:$CO$12,1,DP78))^INT(INT(DP79/12)/INDEX('Lease Cycles'!$CP$12:$CV$12,1,DP78))/12))),IF('Lease Cycles'!$N$12=1,'Lease Cycles'!$C$12*'Lease Cycles'!$E$12*INDEX('Lease Cycles'!$HE$12:$HK$12,1,DP78)*(1+INDEX('Lease Cycles'!$GQ$12:$GW$12,1,DP78))^INT(INT((DP$6-INDEX('Lease Cycles'!$GJ$12:$GP$12,1,DP78))/12)/INDEX('Lease Cycles'!$GX$12:$HD$12,1,DP78))/12,0)))</f>
        <v>3896.2651765819332</v>
      </c>
      <c r="DQ81" s="28">
        <f>IF(DQ78=0,IF('Lease Cycles'!$F$12&gt;0,'Lease Cycles'!$C$12*'Lease Cycles'!$E$12/12,0),IF(DQ80=1,IF('Lease Cycles'!$AT$12&gt;=9999,'Lease Cycles'!$C$12*INDEX('Lease Cycles'!$CB$12:$CH$12,1,DQ78)*(1+INDEX('Lease Cycles'!$CI$12:$CO$12,1,DQ78))^INT(INT(DQ79/12)/INDEX('Lease Cycles'!$CP$12:$CV$12,1,DQ78))/12,IF(DQ78=1,IF(DQ79&gt;=INDEX('Lease Cycles'!$DK$12:$DQ$12,1,DQ78),IF(DQ$6&gt;='Lease Cycles'!$AZ$12,'Lease Cycles'!$C$12*'Lease Cycles'!$BA$12/12,IF(DQ$6&gt;='Lease Cycles'!$AX$12,'Lease Cycles'!$C$12*'Lease Cycles'!$AY$12/12,IF(DQ$6&gt;='Lease Cycles'!$AV$12,'Lease Cycles'!$C$12*'Lease Cycles'!$AW$12/12,IF(DQ$6&gt;='Lease Cycles'!$AT$12,'Lease Cycles'!$C$12*'Lease Cycles'!$AU$12/12,'Lease Cycles'!$C$12*INDEX('Lease Cycles'!$CB$12:$CH$12,1,DQ78)*(1+INDEX('Lease Cycles'!$CI$12:$CO$12,1,DQ78))^INT(INT(DQ79/12)/INDEX('Lease Cycles'!$CP$12:$CV$12,1,DQ78))/12)))),'Lease Cycles'!$C$12*INDEX('Lease Cycles'!$CB$12:$CH$12,1,DQ78)*(1+INDEX('Lease Cycles'!$CI$12:$CO$12,1,DQ78))^INT(INT(DQ79/12)/INDEX('Lease Cycles'!$CP$12:$CV$12,1,DQ78))/12),IF(INDEX('Lease Cycles'!$EF$12:$EL$12,1,DQ78)=1,IF(AND('Lease Cycles'!$AZ$12&gt;=INDEX('Lease Cycles'!$BG$12:$BM$12,1,DQ78),'Lease Cycles'!$AZ$12&lt;=DQ$6),'Lease Cycles'!$C$12*'Lease Cycles'!$BA$12/12,IF(AND('Lease Cycles'!$AX$12&gt;=INDEX('Lease Cycles'!$BG$12:$BM$12,1,DQ78),'Lease Cycles'!$AX$12&lt;=DQ$6),'Lease Cycles'!$C$12*'Lease Cycles'!$AY$12/12,IF(AND('Lease Cycles'!$AV$12&gt;=INDEX('Lease Cycles'!$BG$12:$BM$12,1,DQ78),'Lease Cycles'!$AV$12&lt;=DQ$6),'Lease Cycles'!$C$12*'Lease Cycles'!$AW$12/12,IF(AND('Lease Cycles'!$AT$12&gt;=INDEX('Lease Cycles'!$BG$12:$BM$12,1,DQ78),'Lease Cycles'!$AT$12&lt;=DQ$6),'Lease Cycles'!$C$12*'Lease Cycles'!$AU$12/12,'Lease Cycles'!$C$12*INDEX('Lease Cycles'!$CB$12:$CH$12,1,DQ78)*(1+INDEX('Lease Cycles'!$CI$12:$CO$12,1,DQ78))^INT(INT(DQ79/12)/INDEX('Lease Cycles'!$CP$12:$CV$12,1,DQ78))/12)))),'Lease Cycles'!$C$12*INDEX('Lease Cycles'!$CB$12:$CH$12,1,DQ78)*(1+INDEX('Lease Cycles'!$CI$12:$CO$12,1,DQ78))^INT(INT(DQ79/12)/INDEX('Lease Cycles'!$CP$12:$CV$12,1,DQ78))/12))),IF('Lease Cycles'!$N$12=1,'Lease Cycles'!$C$12*'Lease Cycles'!$E$12*INDEX('Lease Cycles'!$HE$12:$HK$12,1,DQ78)*(1+INDEX('Lease Cycles'!$GQ$12:$GW$12,1,DQ78))^INT(INT((DQ$6-INDEX('Lease Cycles'!$GJ$12:$GP$12,1,DQ78))/12)/INDEX('Lease Cycles'!$GX$12:$HD$12,1,DQ78))/12,0)))</f>
        <v>3896.2651765819332</v>
      </c>
      <c r="DR81" s="28">
        <f>IF(DR78=0,IF('Lease Cycles'!$F$12&gt;0,'Lease Cycles'!$C$12*'Lease Cycles'!$E$12/12,0),IF(DR80=1,IF('Lease Cycles'!$AT$12&gt;=9999,'Lease Cycles'!$C$12*INDEX('Lease Cycles'!$CB$12:$CH$12,1,DR78)*(1+INDEX('Lease Cycles'!$CI$12:$CO$12,1,DR78))^INT(INT(DR79/12)/INDEX('Lease Cycles'!$CP$12:$CV$12,1,DR78))/12,IF(DR78=1,IF(DR79&gt;=INDEX('Lease Cycles'!$DK$12:$DQ$12,1,DR78),IF(DR$6&gt;='Lease Cycles'!$AZ$12,'Lease Cycles'!$C$12*'Lease Cycles'!$BA$12/12,IF(DR$6&gt;='Lease Cycles'!$AX$12,'Lease Cycles'!$C$12*'Lease Cycles'!$AY$12/12,IF(DR$6&gt;='Lease Cycles'!$AV$12,'Lease Cycles'!$C$12*'Lease Cycles'!$AW$12/12,IF(DR$6&gt;='Lease Cycles'!$AT$12,'Lease Cycles'!$C$12*'Lease Cycles'!$AU$12/12,'Lease Cycles'!$C$12*INDEX('Lease Cycles'!$CB$12:$CH$12,1,DR78)*(1+INDEX('Lease Cycles'!$CI$12:$CO$12,1,DR78))^INT(INT(DR79/12)/INDEX('Lease Cycles'!$CP$12:$CV$12,1,DR78))/12)))),'Lease Cycles'!$C$12*INDEX('Lease Cycles'!$CB$12:$CH$12,1,DR78)*(1+INDEX('Lease Cycles'!$CI$12:$CO$12,1,DR78))^INT(INT(DR79/12)/INDEX('Lease Cycles'!$CP$12:$CV$12,1,DR78))/12),IF(INDEX('Lease Cycles'!$EF$12:$EL$12,1,DR78)=1,IF(AND('Lease Cycles'!$AZ$12&gt;=INDEX('Lease Cycles'!$BG$12:$BM$12,1,DR78),'Lease Cycles'!$AZ$12&lt;=DR$6),'Lease Cycles'!$C$12*'Lease Cycles'!$BA$12/12,IF(AND('Lease Cycles'!$AX$12&gt;=INDEX('Lease Cycles'!$BG$12:$BM$12,1,DR78),'Lease Cycles'!$AX$12&lt;=DR$6),'Lease Cycles'!$C$12*'Lease Cycles'!$AY$12/12,IF(AND('Lease Cycles'!$AV$12&gt;=INDEX('Lease Cycles'!$BG$12:$BM$12,1,DR78),'Lease Cycles'!$AV$12&lt;=DR$6),'Lease Cycles'!$C$12*'Lease Cycles'!$AW$12/12,IF(AND('Lease Cycles'!$AT$12&gt;=INDEX('Lease Cycles'!$BG$12:$BM$12,1,DR78),'Lease Cycles'!$AT$12&lt;=DR$6),'Lease Cycles'!$C$12*'Lease Cycles'!$AU$12/12,'Lease Cycles'!$C$12*INDEX('Lease Cycles'!$CB$12:$CH$12,1,DR78)*(1+INDEX('Lease Cycles'!$CI$12:$CO$12,1,DR78))^INT(INT(DR79/12)/INDEX('Lease Cycles'!$CP$12:$CV$12,1,DR78))/12)))),'Lease Cycles'!$C$12*INDEX('Lease Cycles'!$CB$12:$CH$12,1,DR78)*(1+INDEX('Lease Cycles'!$CI$12:$CO$12,1,DR78))^INT(INT(DR79/12)/INDEX('Lease Cycles'!$CP$12:$CV$12,1,DR78))/12))),IF('Lease Cycles'!$N$12=1,'Lease Cycles'!$C$12*'Lease Cycles'!$E$12*INDEX('Lease Cycles'!$HE$12:$HK$12,1,DR78)*(1+INDEX('Lease Cycles'!$GQ$12:$GW$12,1,DR78))^INT(INT((DR$6-INDEX('Lease Cycles'!$GJ$12:$GP$12,1,DR78))/12)/INDEX('Lease Cycles'!$GX$12:$HD$12,1,DR78))/12,0)))</f>
        <v>3896.2651765819332</v>
      </c>
      <c r="DS81" s="28">
        <f>IF(DS78=0,IF('Lease Cycles'!$F$12&gt;0,'Lease Cycles'!$C$12*'Lease Cycles'!$E$12/12,0),IF(DS80=1,IF('Lease Cycles'!$AT$12&gt;=9999,'Lease Cycles'!$C$12*INDEX('Lease Cycles'!$CB$12:$CH$12,1,DS78)*(1+INDEX('Lease Cycles'!$CI$12:$CO$12,1,DS78))^INT(INT(DS79/12)/INDEX('Lease Cycles'!$CP$12:$CV$12,1,DS78))/12,IF(DS78=1,IF(DS79&gt;=INDEX('Lease Cycles'!$DK$12:$DQ$12,1,DS78),IF(DS$6&gt;='Lease Cycles'!$AZ$12,'Lease Cycles'!$C$12*'Lease Cycles'!$BA$12/12,IF(DS$6&gt;='Lease Cycles'!$AX$12,'Lease Cycles'!$C$12*'Lease Cycles'!$AY$12/12,IF(DS$6&gt;='Lease Cycles'!$AV$12,'Lease Cycles'!$C$12*'Lease Cycles'!$AW$12/12,IF(DS$6&gt;='Lease Cycles'!$AT$12,'Lease Cycles'!$C$12*'Lease Cycles'!$AU$12/12,'Lease Cycles'!$C$12*INDEX('Lease Cycles'!$CB$12:$CH$12,1,DS78)*(1+INDEX('Lease Cycles'!$CI$12:$CO$12,1,DS78))^INT(INT(DS79/12)/INDEX('Lease Cycles'!$CP$12:$CV$12,1,DS78))/12)))),'Lease Cycles'!$C$12*INDEX('Lease Cycles'!$CB$12:$CH$12,1,DS78)*(1+INDEX('Lease Cycles'!$CI$12:$CO$12,1,DS78))^INT(INT(DS79/12)/INDEX('Lease Cycles'!$CP$12:$CV$12,1,DS78))/12),IF(INDEX('Lease Cycles'!$EF$12:$EL$12,1,DS78)=1,IF(AND('Lease Cycles'!$AZ$12&gt;=INDEX('Lease Cycles'!$BG$12:$BM$12,1,DS78),'Lease Cycles'!$AZ$12&lt;=DS$6),'Lease Cycles'!$C$12*'Lease Cycles'!$BA$12/12,IF(AND('Lease Cycles'!$AX$12&gt;=INDEX('Lease Cycles'!$BG$12:$BM$12,1,DS78),'Lease Cycles'!$AX$12&lt;=DS$6),'Lease Cycles'!$C$12*'Lease Cycles'!$AY$12/12,IF(AND('Lease Cycles'!$AV$12&gt;=INDEX('Lease Cycles'!$BG$12:$BM$12,1,DS78),'Lease Cycles'!$AV$12&lt;=DS$6),'Lease Cycles'!$C$12*'Lease Cycles'!$AW$12/12,IF(AND('Lease Cycles'!$AT$12&gt;=INDEX('Lease Cycles'!$BG$12:$BM$12,1,DS78),'Lease Cycles'!$AT$12&lt;=DS$6),'Lease Cycles'!$C$12*'Lease Cycles'!$AU$12/12,'Lease Cycles'!$C$12*INDEX('Lease Cycles'!$CB$12:$CH$12,1,DS78)*(1+INDEX('Lease Cycles'!$CI$12:$CO$12,1,DS78))^INT(INT(DS79/12)/INDEX('Lease Cycles'!$CP$12:$CV$12,1,DS78))/12)))),'Lease Cycles'!$C$12*INDEX('Lease Cycles'!$CB$12:$CH$12,1,DS78)*(1+INDEX('Lease Cycles'!$CI$12:$CO$12,1,DS78))^INT(INT(DS79/12)/INDEX('Lease Cycles'!$CP$12:$CV$12,1,DS78))/12))),IF('Lease Cycles'!$N$12=1,'Lease Cycles'!$C$12*'Lease Cycles'!$E$12*INDEX('Lease Cycles'!$HE$12:$HK$12,1,DS78)*(1+INDEX('Lease Cycles'!$GQ$12:$GW$12,1,DS78))^INT(INT((DS$6-INDEX('Lease Cycles'!$GJ$12:$GP$12,1,DS78))/12)/INDEX('Lease Cycles'!$GX$12:$HD$12,1,DS78))/12,0)))</f>
        <v>3896.2651765819332</v>
      </c>
      <c r="DT81" s="28">
        <f>IF(DT78=0,IF('Lease Cycles'!$F$12&gt;0,'Lease Cycles'!$C$12*'Lease Cycles'!$E$12/12,0),IF(DT80=1,IF('Lease Cycles'!$AT$12&gt;=9999,'Lease Cycles'!$C$12*INDEX('Lease Cycles'!$CB$12:$CH$12,1,DT78)*(1+INDEX('Lease Cycles'!$CI$12:$CO$12,1,DT78))^INT(INT(DT79/12)/INDEX('Lease Cycles'!$CP$12:$CV$12,1,DT78))/12,IF(DT78=1,IF(DT79&gt;=INDEX('Lease Cycles'!$DK$12:$DQ$12,1,DT78),IF(DT$6&gt;='Lease Cycles'!$AZ$12,'Lease Cycles'!$C$12*'Lease Cycles'!$BA$12/12,IF(DT$6&gt;='Lease Cycles'!$AX$12,'Lease Cycles'!$C$12*'Lease Cycles'!$AY$12/12,IF(DT$6&gt;='Lease Cycles'!$AV$12,'Lease Cycles'!$C$12*'Lease Cycles'!$AW$12/12,IF(DT$6&gt;='Lease Cycles'!$AT$12,'Lease Cycles'!$C$12*'Lease Cycles'!$AU$12/12,'Lease Cycles'!$C$12*INDEX('Lease Cycles'!$CB$12:$CH$12,1,DT78)*(1+INDEX('Lease Cycles'!$CI$12:$CO$12,1,DT78))^INT(INT(DT79/12)/INDEX('Lease Cycles'!$CP$12:$CV$12,1,DT78))/12)))),'Lease Cycles'!$C$12*INDEX('Lease Cycles'!$CB$12:$CH$12,1,DT78)*(1+INDEX('Lease Cycles'!$CI$12:$CO$12,1,DT78))^INT(INT(DT79/12)/INDEX('Lease Cycles'!$CP$12:$CV$12,1,DT78))/12),IF(INDEX('Lease Cycles'!$EF$12:$EL$12,1,DT78)=1,IF(AND('Lease Cycles'!$AZ$12&gt;=INDEX('Lease Cycles'!$BG$12:$BM$12,1,DT78),'Lease Cycles'!$AZ$12&lt;=DT$6),'Lease Cycles'!$C$12*'Lease Cycles'!$BA$12/12,IF(AND('Lease Cycles'!$AX$12&gt;=INDEX('Lease Cycles'!$BG$12:$BM$12,1,DT78),'Lease Cycles'!$AX$12&lt;=DT$6),'Lease Cycles'!$C$12*'Lease Cycles'!$AY$12/12,IF(AND('Lease Cycles'!$AV$12&gt;=INDEX('Lease Cycles'!$BG$12:$BM$12,1,DT78),'Lease Cycles'!$AV$12&lt;=DT$6),'Lease Cycles'!$C$12*'Lease Cycles'!$AW$12/12,IF(AND('Lease Cycles'!$AT$12&gt;=INDEX('Lease Cycles'!$BG$12:$BM$12,1,DT78),'Lease Cycles'!$AT$12&lt;=DT$6),'Lease Cycles'!$C$12*'Lease Cycles'!$AU$12/12,'Lease Cycles'!$C$12*INDEX('Lease Cycles'!$CB$12:$CH$12,1,DT78)*(1+INDEX('Lease Cycles'!$CI$12:$CO$12,1,DT78))^INT(INT(DT79/12)/INDEX('Lease Cycles'!$CP$12:$CV$12,1,DT78))/12)))),'Lease Cycles'!$C$12*INDEX('Lease Cycles'!$CB$12:$CH$12,1,DT78)*(1+INDEX('Lease Cycles'!$CI$12:$CO$12,1,DT78))^INT(INT(DT79/12)/INDEX('Lease Cycles'!$CP$12:$CV$12,1,DT78))/12))),IF('Lease Cycles'!$N$12=1,'Lease Cycles'!$C$12*'Lease Cycles'!$E$12*INDEX('Lease Cycles'!$HE$12:$HK$12,1,DT78)*(1+INDEX('Lease Cycles'!$GQ$12:$GW$12,1,DT78))^INT(INT((DT$6-INDEX('Lease Cycles'!$GJ$12:$GP$12,1,DT78))/12)/INDEX('Lease Cycles'!$GX$12:$HD$12,1,DT78))/12,0)))</f>
        <v>3896.2651765819332</v>
      </c>
      <c r="DU81" s="28">
        <f>IF(DU78=0,IF('Lease Cycles'!$F$12&gt;0,'Lease Cycles'!$C$12*'Lease Cycles'!$E$12/12,0),IF(DU80=1,IF('Lease Cycles'!$AT$12&gt;=9999,'Lease Cycles'!$C$12*INDEX('Lease Cycles'!$CB$12:$CH$12,1,DU78)*(1+INDEX('Lease Cycles'!$CI$12:$CO$12,1,DU78))^INT(INT(DU79/12)/INDEX('Lease Cycles'!$CP$12:$CV$12,1,DU78))/12,IF(DU78=1,IF(DU79&gt;=INDEX('Lease Cycles'!$DK$12:$DQ$12,1,DU78),IF(DU$6&gt;='Lease Cycles'!$AZ$12,'Lease Cycles'!$C$12*'Lease Cycles'!$BA$12/12,IF(DU$6&gt;='Lease Cycles'!$AX$12,'Lease Cycles'!$C$12*'Lease Cycles'!$AY$12/12,IF(DU$6&gt;='Lease Cycles'!$AV$12,'Lease Cycles'!$C$12*'Lease Cycles'!$AW$12/12,IF(DU$6&gt;='Lease Cycles'!$AT$12,'Lease Cycles'!$C$12*'Lease Cycles'!$AU$12/12,'Lease Cycles'!$C$12*INDEX('Lease Cycles'!$CB$12:$CH$12,1,DU78)*(1+INDEX('Lease Cycles'!$CI$12:$CO$12,1,DU78))^INT(INT(DU79/12)/INDEX('Lease Cycles'!$CP$12:$CV$12,1,DU78))/12)))),'Lease Cycles'!$C$12*INDEX('Lease Cycles'!$CB$12:$CH$12,1,DU78)*(1+INDEX('Lease Cycles'!$CI$12:$CO$12,1,DU78))^INT(INT(DU79/12)/INDEX('Lease Cycles'!$CP$12:$CV$12,1,DU78))/12),IF(INDEX('Lease Cycles'!$EF$12:$EL$12,1,DU78)=1,IF(AND('Lease Cycles'!$AZ$12&gt;=INDEX('Lease Cycles'!$BG$12:$BM$12,1,DU78),'Lease Cycles'!$AZ$12&lt;=DU$6),'Lease Cycles'!$C$12*'Lease Cycles'!$BA$12/12,IF(AND('Lease Cycles'!$AX$12&gt;=INDEX('Lease Cycles'!$BG$12:$BM$12,1,DU78),'Lease Cycles'!$AX$12&lt;=DU$6),'Lease Cycles'!$C$12*'Lease Cycles'!$AY$12/12,IF(AND('Lease Cycles'!$AV$12&gt;=INDEX('Lease Cycles'!$BG$12:$BM$12,1,DU78),'Lease Cycles'!$AV$12&lt;=DU$6),'Lease Cycles'!$C$12*'Lease Cycles'!$AW$12/12,IF(AND('Lease Cycles'!$AT$12&gt;=INDEX('Lease Cycles'!$BG$12:$BM$12,1,DU78),'Lease Cycles'!$AT$12&lt;=DU$6),'Lease Cycles'!$C$12*'Lease Cycles'!$AU$12/12,'Lease Cycles'!$C$12*INDEX('Lease Cycles'!$CB$12:$CH$12,1,DU78)*(1+INDEX('Lease Cycles'!$CI$12:$CO$12,1,DU78))^INT(INT(DU79/12)/INDEX('Lease Cycles'!$CP$12:$CV$12,1,DU78))/12)))),'Lease Cycles'!$C$12*INDEX('Lease Cycles'!$CB$12:$CH$12,1,DU78)*(1+INDEX('Lease Cycles'!$CI$12:$CO$12,1,DU78))^INT(INT(DU79/12)/INDEX('Lease Cycles'!$CP$12:$CV$12,1,DU78))/12))),IF('Lease Cycles'!$N$12=1,'Lease Cycles'!$C$12*'Lease Cycles'!$E$12*INDEX('Lease Cycles'!$HE$12:$HK$12,1,DU78)*(1+INDEX('Lease Cycles'!$GQ$12:$GW$12,1,DU78))^INT(INT((DU$6-INDEX('Lease Cycles'!$GJ$12:$GP$12,1,DU78))/12)/INDEX('Lease Cycles'!$GX$12:$HD$12,1,DU78))/12,0)))</f>
        <v>3896.2651765819332</v>
      </c>
      <c r="DV81" s="28">
        <f>IF(DV78=0,IF('Lease Cycles'!$F$12&gt;0,'Lease Cycles'!$C$12*'Lease Cycles'!$E$12/12,0),IF(DV80=1,IF('Lease Cycles'!$AT$12&gt;=9999,'Lease Cycles'!$C$12*INDEX('Lease Cycles'!$CB$12:$CH$12,1,DV78)*(1+INDEX('Lease Cycles'!$CI$12:$CO$12,1,DV78))^INT(INT(DV79/12)/INDEX('Lease Cycles'!$CP$12:$CV$12,1,DV78))/12,IF(DV78=1,IF(DV79&gt;=INDEX('Lease Cycles'!$DK$12:$DQ$12,1,DV78),IF(DV$6&gt;='Lease Cycles'!$AZ$12,'Lease Cycles'!$C$12*'Lease Cycles'!$BA$12/12,IF(DV$6&gt;='Lease Cycles'!$AX$12,'Lease Cycles'!$C$12*'Lease Cycles'!$AY$12/12,IF(DV$6&gt;='Lease Cycles'!$AV$12,'Lease Cycles'!$C$12*'Lease Cycles'!$AW$12/12,IF(DV$6&gt;='Lease Cycles'!$AT$12,'Lease Cycles'!$C$12*'Lease Cycles'!$AU$12/12,'Lease Cycles'!$C$12*INDEX('Lease Cycles'!$CB$12:$CH$12,1,DV78)*(1+INDEX('Lease Cycles'!$CI$12:$CO$12,1,DV78))^INT(INT(DV79/12)/INDEX('Lease Cycles'!$CP$12:$CV$12,1,DV78))/12)))),'Lease Cycles'!$C$12*INDEX('Lease Cycles'!$CB$12:$CH$12,1,DV78)*(1+INDEX('Lease Cycles'!$CI$12:$CO$12,1,DV78))^INT(INT(DV79/12)/INDEX('Lease Cycles'!$CP$12:$CV$12,1,DV78))/12),IF(INDEX('Lease Cycles'!$EF$12:$EL$12,1,DV78)=1,IF(AND('Lease Cycles'!$AZ$12&gt;=INDEX('Lease Cycles'!$BG$12:$BM$12,1,DV78),'Lease Cycles'!$AZ$12&lt;=DV$6),'Lease Cycles'!$C$12*'Lease Cycles'!$BA$12/12,IF(AND('Lease Cycles'!$AX$12&gt;=INDEX('Lease Cycles'!$BG$12:$BM$12,1,DV78),'Lease Cycles'!$AX$12&lt;=DV$6),'Lease Cycles'!$C$12*'Lease Cycles'!$AY$12/12,IF(AND('Lease Cycles'!$AV$12&gt;=INDEX('Lease Cycles'!$BG$12:$BM$12,1,DV78),'Lease Cycles'!$AV$12&lt;=DV$6),'Lease Cycles'!$C$12*'Lease Cycles'!$AW$12/12,IF(AND('Lease Cycles'!$AT$12&gt;=INDEX('Lease Cycles'!$BG$12:$BM$12,1,DV78),'Lease Cycles'!$AT$12&lt;=DV$6),'Lease Cycles'!$C$12*'Lease Cycles'!$AU$12/12,'Lease Cycles'!$C$12*INDEX('Lease Cycles'!$CB$12:$CH$12,1,DV78)*(1+INDEX('Lease Cycles'!$CI$12:$CO$12,1,DV78))^INT(INT(DV79/12)/INDEX('Lease Cycles'!$CP$12:$CV$12,1,DV78))/12)))),'Lease Cycles'!$C$12*INDEX('Lease Cycles'!$CB$12:$CH$12,1,DV78)*(1+INDEX('Lease Cycles'!$CI$12:$CO$12,1,DV78))^INT(INT(DV79/12)/INDEX('Lease Cycles'!$CP$12:$CV$12,1,DV78))/12))),IF('Lease Cycles'!$N$12=1,'Lease Cycles'!$C$12*'Lease Cycles'!$E$12*INDEX('Lease Cycles'!$HE$12:$HK$12,1,DV78)*(1+INDEX('Lease Cycles'!$GQ$12:$GW$12,1,DV78))^INT(INT((DV$6-INDEX('Lease Cycles'!$GJ$12:$GP$12,1,DV78))/12)/INDEX('Lease Cycles'!$GX$12:$HD$12,1,DV78))/12,0)))</f>
        <v>4013.1531318793914</v>
      </c>
      <c r="DW81" s="28">
        <f>IF(DW78=0,IF('Lease Cycles'!$F$12&gt;0,'Lease Cycles'!$C$12*'Lease Cycles'!$E$12/12,0),IF(DW80=1,IF('Lease Cycles'!$AT$12&gt;=9999,'Lease Cycles'!$C$12*INDEX('Lease Cycles'!$CB$12:$CH$12,1,DW78)*(1+INDEX('Lease Cycles'!$CI$12:$CO$12,1,DW78))^INT(INT(DW79/12)/INDEX('Lease Cycles'!$CP$12:$CV$12,1,DW78))/12,IF(DW78=1,IF(DW79&gt;=INDEX('Lease Cycles'!$DK$12:$DQ$12,1,DW78),IF(DW$6&gt;='Lease Cycles'!$AZ$12,'Lease Cycles'!$C$12*'Lease Cycles'!$BA$12/12,IF(DW$6&gt;='Lease Cycles'!$AX$12,'Lease Cycles'!$C$12*'Lease Cycles'!$AY$12/12,IF(DW$6&gt;='Lease Cycles'!$AV$12,'Lease Cycles'!$C$12*'Lease Cycles'!$AW$12/12,IF(DW$6&gt;='Lease Cycles'!$AT$12,'Lease Cycles'!$C$12*'Lease Cycles'!$AU$12/12,'Lease Cycles'!$C$12*INDEX('Lease Cycles'!$CB$12:$CH$12,1,DW78)*(1+INDEX('Lease Cycles'!$CI$12:$CO$12,1,DW78))^INT(INT(DW79/12)/INDEX('Lease Cycles'!$CP$12:$CV$12,1,DW78))/12)))),'Lease Cycles'!$C$12*INDEX('Lease Cycles'!$CB$12:$CH$12,1,DW78)*(1+INDEX('Lease Cycles'!$CI$12:$CO$12,1,DW78))^INT(INT(DW79/12)/INDEX('Lease Cycles'!$CP$12:$CV$12,1,DW78))/12),IF(INDEX('Lease Cycles'!$EF$12:$EL$12,1,DW78)=1,IF(AND('Lease Cycles'!$AZ$12&gt;=INDEX('Lease Cycles'!$BG$12:$BM$12,1,DW78),'Lease Cycles'!$AZ$12&lt;=DW$6),'Lease Cycles'!$C$12*'Lease Cycles'!$BA$12/12,IF(AND('Lease Cycles'!$AX$12&gt;=INDEX('Lease Cycles'!$BG$12:$BM$12,1,DW78),'Lease Cycles'!$AX$12&lt;=DW$6),'Lease Cycles'!$C$12*'Lease Cycles'!$AY$12/12,IF(AND('Lease Cycles'!$AV$12&gt;=INDEX('Lease Cycles'!$BG$12:$BM$12,1,DW78),'Lease Cycles'!$AV$12&lt;=DW$6),'Lease Cycles'!$C$12*'Lease Cycles'!$AW$12/12,IF(AND('Lease Cycles'!$AT$12&gt;=INDEX('Lease Cycles'!$BG$12:$BM$12,1,DW78),'Lease Cycles'!$AT$12&lt;=DW$6),'Lease Cycles'!$C$12*'Lease Cycles'!$AU$12/12,'Lease Cycles'!$C$12*INDEX('Lease Cycles'!$CB$12:$CH$12,1,DW78)*(1+INDEX('Lease Cycles'!$CI$12:$CO$12,1,DW78))^INT(INT(DW79/12)/INDEX('Lease Cycles'!$CP$12:$CV$12,1,DW78))/12)))),'Lease Cycles'!$C$12*INDEX('Lease Cycles'!$CB$12:$CH$12,1,DW78)*(1+INDEX('Lease Cycles'!$CI$12:$CO$12,1,DW78))^INT(INT(DW79/12)/INDEX('Lease Cycles'!$CP$12:$CV$12,1,DW78))/12))),IF('Lease Cycles'!$N$12=1,'Lease Cycles'!$C$12*'Lease Cycles'!$E$12*INDEX('Lease Cycles'!$HE$12:$HK$12,1,DW78)*(1+INDEX('Lease Cycles'!$GQ$12:$GW$12,1,DW78))^INT(INT((DW$6-INDEX('Lease Cycles'!$GJ$12:$GP$12,1,DW78))/12)/INDEX('Lease Cycles'!$GX$12:$HD$12,1,DW78))/12,0)))</f>
        <v>4013.1531318793914</v>
      </c>
      <c r="DX81" s="28">
        <f>IF(DX78=0,IF('Lease Cycles'!$F$12&gt;0,'Lease Cycles'!$C$12*'Lease Cycles'!$E$12/12,0),IF(DX80=1,IF('Lease Cycles'!$AT$12&gt;=9999,'Lease Cycles'!$C$12*INDEX('Lease Cycles'!$CB$12:$CH$12,1,DX78)*(1+INDEX('Lease Cycles'!$CI$12:$CO$12,1,DX78))^INT(INT(DX79/12)/INDEX('Lease Cycles'!$CP$12:$CV$12,1,DX78))/12,IF(DX78=1,IF(DX79&gt;=INDEX('Lease Cycles'!$DK$12:$DQ$12,1,DX78),IF(DX$6&gt;='Lease Cycles'!$AZ$12,'Lease Cycles'!$C$12*'Lease Cycles'!$BA$12/12,IF(DX$6&gt;='Lease Cycles'!$AX$12,'Lease Cycles'!$C$12*'Lease Cycles'!$AY$12/12,IF(DX$6&gt;='Lease Cycles'!$AV$12,'Lease Cycles'!$C$12*'Lease Cycles'!$AW$12/12,IF(DX$6&gt;='Lease Cycles'!$AT$12,'Lease Cycles'!$C$12*'Lease Cycles'!$AU$12/12,'Lease Cycles'!$C$12*INDEX('Lease Cycles'!$CB$12:$CH$12,1,DX78)*(1+INDEX('Lease Cycles'!$CI$12:$CO$12,1,DX78))^INT(INT(DX79/12)/INDEX('Lease Cycles'!$CP$12:$CV$12,1,DX78))/12)))),'Lease Cycles'!$C$12*INDEX('Lease Cycles'!$CB$12:$CH$12,1,DX78)*(1+INDEX('Lease Cycles'!$CI$12:$CO$12,1,DX78))^INT(INT(DX79/12)/INDEX('Lease Cycles'!$CP$12:$CV$12,1,DX78))/12),IF(INDEX('Lease Cycles'!$EF$12:$EL$12,1,DX78)=1,IF(AND('Lease Cycles'!$AZ$12&gt;=INDEX('Lease Cycles'!$BG$12:$BM$12,1,DX78),'Lease Cycles'!$AZ$12&lt;=DX$6),'Lease Cycles'!$C$12*'Lease Cycles'!$BA$12/12,IF(AND('Lease Cycles'!$AX$12&gt;=INDEX('Lease Cycles'!$BG$12:$BM$12,1,DX78),'Lease Cycles'!$AX$12&lt;=DX$6),'Lease Cycles'!$C$12*'Lease Cycles'!$AY$12/12,IF(AND('Lease Cycles'!$AV$12&gt;=INDEX('Lease Cycles'!$BG$12:$BM$12,1,DX78),'Lease Cycles'!$AV$12&lt;=DX$6),'Lease Cycles'!$C$12*'Lease Cycles'!$AW$12/12,IF(AND('Lease Cycles'!$AT$12&gt;=INDEX('Lease Cycles'!$BG$12:$BM$12,1,DX78),'Lease Cycles'!$AT$12&lt;=DX$6),'Lease Cycles'!$C$12*'Lease Cycles'!$AU$12/12,'Lease Cycles'!$C$12*INDEX('Lease Cycles'!$CB$12:$CH$12,1,DX78)*(1+INDEX('Lease Cycles'!$CI$12:$CO$12,1,DX78))^INT(INT(DX79/12)/INDEX('Lease Cycles'!$CP$12:$CV$12,1,DX78))/12)))),'Lease Cycles'!$C$12*INDEX('Lease Cycles'!$CB$12:$CH$12,1,DX78)*(1+INDEX('Lease Cycles'!$CI$12:$CO$12,1,DX78))^INT(INT(DX79/12)/INDEX('Lease Cycles'!$CP$12:$CV$12,1,DX78))/12))),IF('Lease Cycles'!$N$12=1,'Lease Cycles'!$C$12*'Lease Cycles'!$E$12*INDEX('Lease Cycles'!$HE$12:$HK$12,1,DX78)*(1+INDEX('Lease Cycles'!$GQ$12:$GW$12,1,DX78))^INT(INT((DX$6-INDEX('Lease Cycles'!$GJ$12:$GP$12,1,DX78))/12)/INDEX('Lease Cycles'!$GX$12:$HD$12,1,DX78))/12,0)))</f>
        <v>4013.1531318793914</v>
      </c>
      <c r="DY81" s="28">
        <f>IF(DY78=0,IF('Lease Cycles'!$F$12&gt;0,'Lease Cycles'!$C$12*'Lease Cycles'!$E$12/12,0),IF(DY80=1,IF('Lease Cycles'!$AT$12&gt;=9999,'Lease Cycles'!$C$12*INDEX('Lease Cycles'!$CB$12:$CH$12,1,DY78)*(1+INDEX('Lease Cycles'!$CI$12:$CO$12,1,DY78))^INT(INT(DY79/12)/INDEX('Lease Cycles'!$CP$12:$CV$12,1,DY78))/12,IF(DY78=1,IF(DY79&gt;=INDEX('Lease Cycles'!$DK$12:$DQ$12,1,DY78),IF(DY$6&gt;='Lease Cycles'!$AZ$12,'Lease Cycles'!$C$12*'Lease Cycles'!$BA$12/12,IF(DY$6&gt;='Lease Cycles'!$AX$12,'Lease Cycles'!$C$12*'Lease Cycles'!$AY$12/12,IF(DY$6&gt;='Lease Cycles'!$AV$12,'Lease Cycles'!$C$12*'Lease Cycles'!$AW$12/12,IF(DY$6&gt;='Lease Cycles'!$AT$12,'Lease Cycles'!$C$12*'Lease Cycles'!$AU$12/12,'Lease Cycles'!$C$12*INDEX('Lease Cycles'!$CB$12:$CH$12,1,DY78)*(1+INDEX('Lease Cycles'!$CI$12:$CO$12,1,DY78))^INT(INT(DY79/12)/INDEX('Lease Cycles'!$CP$12:$CV$12,1,DY78))/12)))),'Lease Cycles'!$C$12*INDEX('Lease Cycles'!$CB$12:$CH$12,1,DY78)*(1+INDEX('Lease Cycles'!$CI$12:$CO$12,1,DY78))^INT(INT(DY79/12)/INDEX('Lease Cycles'!$CP$12:$CV$12,1,DY78))/12),IF(INDEX('Lease Cycles'!$EF$12:$EL$12,1,DY78)=1,IF(AND('Lease Cycles'!$AZ$12&gt;=INDEX('Lease Cycles'!$BG$12:$BM$12,1,DY78),'Lease Cycles'!$AZ$12&lt;=DY$6),'Lease Cycles'!$C$12*'Lease Cycles'!$BA$12/12,IF(AND('Lease Cycles'!$AX$12&gt;=INDEX('Lease Cycles'!$BG$12:$BM$12,1,DY78),'Lease Cycles'!$AX$12&lt;=DY$6),'Lease Cycles'!$C$12*'Lease Cycles'!$AY$12/12,IF(AND('Lease Cycles'!$AV$12&gt;=INDEX('Lease Cycles'!$BG$12:$BM$12,1,DY78),'Lease Cycles'!$AV$12&lt;=DY$6),'Lease Cycles'!$C$12*'Lease Cycles'!$AW$12/12,IF(AND('Lease Cycles'!$AT$12&gt;=INDEX('Lease Cycles'!$BG$12:$BM$12,1,DY78),'Lease Cycles'!$AT$12&lt;=DY$6),'Lease Cycles'!$C$12*'Lease Cycles'!$AU$12/12,'Lease Cycles'!$C$12*INDEX('Lease Cycles'!$CB$12:$CH$12,1,DY78)*(1+INDEX('Lease Cycles'!$CI$12:$CO$12,1,DY78))^INT(INT(DY79/12)/INDEX('Lease Cycles'!$CP$12:$CV$12,1,DY78))/12)))),'Lease Cycles'!$C$12*INDEX('Lease Cycles'!$CB$12:$CH$12,1,DY78)*(1+INDEX('Lease Cycles'!$CI$12:$CO$12,1,DY78))^INT(INT(DY79/12)/INDEX('Lease Cycles'!$CP$12:$CV$12,1,DY78))/12))),IF('Lease Cycles'!$N$12=1,'Lease Cycles'!$C$12*'Lease Cycles'!$E$12*INDEX('Lease Cycles'!$HE$12:$HK$12,1,DY78)*(1+INDEX('Lease Cycles'!$GQ$12:$GW$12,1,DY78))^INT(INT((DY$6-INDEX('Lease Cycles'!$GJ$12:$GP$12,1,DY78))/12)/INDEX('Lease Cycles'!$GX$12:$HD$12,1,DY78))/12,0)))</f>
        <v>8063.157388362625</v>
      </c>
      <c r="DZ81" s="28">
        <f>IF(DZ78=0,IF('Lease Cycles'!$F$12&gt;0,'Lease Cycles'!$C$12*'Lease Cycles'!$E$12/12,0),IF(DZ80=1,IF('Lease Cycles'!$AT$12&gt;=9999,'Lease Cycles'!$C$12*INDEX('Lease Cycles'!$CB$12:$CH$12,1,DZ78)*(1+INDEX('Lease Cycles'!$CI$12:$CO$12,1,DZ78))^INT(INT(DZ79/12)/INDEX('Lease Cycles'!$CP$12:$CV$12,1,DZ78))/12,IF(DZ78=1,IF(DZ79&gt;=INDEX('Lease Cycles'!$DK$12:$DQ$12,1,DZ78),IF(DZ$6&gt;='Lease Cycles'!$AZ$12,'Lease Cycles'!$C$12*'Lease Cycles'!$BA$12/12,IF(DZ$6&gt;='Lease Cycles'!$AX$12,'Lease Cycles'!$C$12*'Lease Cycles'!$AY$12/12,IF(DZ$6&gt;='Lease Cycles'!$AV$12,'Lease Cycles'!$C$12*'Lease Cycles'!$AW$12/12,IF(DZ$6&gt;='Lease Cycles'!$AT$12,'Lease Cycles'!$C$12*'Lease Cycles'!$AU$12/12,'Lease Cycles'!$C$12*INDEX('Lease Cycles'!$CB$12:$CH$12,1,DZ78)*(1+INDEX('Lease Cycles'!$CI$12:$CO$12,1,DZ78))^INT(INT(DZ79/12)/INDEX('Lease Cycles'!$CP$12:$CV$12,1,DZ78))/12)))),'Lease Cycles'!$C$12*INDEX('Lease Cycles'!$CB$12:$CH$12,1,DZ78)*(1+INDEX('Lease Cycles'!$CI$12:$CO$12,1,DZ78))^INT(INT(DZ79/12)/INDEX('Lease Cycles'!$CP$12:$CV$12,1,DZ78))/12),IF(INDEX('Lease Cycles'!$EF$12:$EL$12,1,DZ78)=1,IF(AND('Lease Cycles'!$AZ$12&gt;=INDEX('Lease Cycles'!$BG$12:$BM$12,1,DZ78),'Lease Cycles'!$AZ$12&lt;=DZ$6),'Lease Cycles'!$C$12*'Lease Cycles'!$BA$12/12,IF(AND('Lease Cycles'!$AX$12&gt;=INDEX('Lease Cycles'!$BG$12:$BM$12,1,DZ78),'Lease Cycles'!$AX$12&lt;=DZ$6),'Lease Cycles'!$C$12*'Lease Cycles'!$AY$12/12,IF(AND('Lease Cycles'!$AV$12&gt;=INDEX('Lease Cycles'!$BG$12:$BM$12,1,DZ78),'Lease Cycles'!$AV$12&lt;=DZ$6),'Lease Cycles'!$C$12*'Lease Cycles'!$AW$12/12,IF(AND('Lease Cycles'!$AT$12&gt;=INDEX('Lease Cycles'!$BG$12:$BM$12,1,DZ78),'Lease Cycles'!$AT$12&lt;=DZ$6),'Lease Cycles'!$C$12*'Lease Cycles'!$AU$12/12,'Lease Cycles'!$C$12*INDEX('Lease Cycles'!$CB$12:$CH$12,1,DZ78)*(1+INDEX('Lease Cycles'!$CI$12:$CO$12,1,DZ78))^INT(INT(DZ79/12)/INDEX('Lease Cycles'!$CP$12:$CV$12,1,DZ78))/12)))),'Lease Cycles'!$C$12*INDEX('Lease Cycles'!$CB$12:$CH$12,1,DZ78)*(1+INDEX('Lease Cycles'!$CI$12:$CO$12,1,DZ78))^INT(INT(DZ79/12)/INDEX('Lease Cycles'!$CP$12:$CV$12,1,DZ78))/12))),IF('Lease Cycles'!$N$12=1,'Lease Cycles'!$C$12*'Lease Cycles'!$E$12*INDEX('Lease Cycles'!$HE$12:$HK$12,1,DZ78)*(1+INDEX('Lease Cycles'!$GQ$12:$GW$12,1,DZ78))^INT(INT((DZ$6-INDEX('Lease Cycles'!$GJ$12:$GP$12,1,DZ78))/12)/INDEX('Lease Cycles'!$GX$12:$HD$12,1,DZ78))/12,0)))</f>
        <v>4052.8899055777165</v>
      </c>
      <c r="EA81" s="28">
        <f>IF(EA78=0,IF('Lease Cycles'!$F$12&gt;0,'Lease Cycles'!$C$12*'Lease Cycles'!$E$12/12,0),IF(EA80=1,IF('Lease Cycles'!$AT$12&gt;=9999,'Lease Cycles'!$C$12*INDEX('Lease Cycles'!$CB$12:$CH$12,1,EA78)*(1+INDEX('Lease Cycles'!$CI$12:$CO$12,1,EA78))^INT(INT(EA79/12)/INDEX('Lease Cycles'!$CP$12:$CV$12,1,EA78))/12,IF(EA78=1,IF(EA79&gt;=INDEX('Lease Cycles'!$DK$12:$DQ$12,1,EA78),IF(EA$6&gt;='Lease Cycles'!$AZ$12,'Lease Cycles'!$C$12*'Lease Cycles'!$BA$12/12,IF(EA$6&gt;='Lease Cycles'!$AX$12,'Lease Cycles'!$C$12*'Lease Cycles'!$AY$12/12,IF(EA$6&gt;='Lease Cycles'!$AV$12,'Lease Cycles'!$C$12*'Lease Cycles'!$AW$12/12,IF(EA$6&gt;='Lease Cycles'!$AT$12,'Lease Cycles'!$C$12*'Lease Cycles'!$AU$12/12,'Lease Cycles'!$C$12*INDEX('Lease Cycles'!$CB$12:$CH$12,1,EA78)*(1+INDEX('Lease Cycles'!$CI$12:$CO$12,1,EA78))^INT(INT(EA79/12)/INDEX('Lease Cycles'!$CP$12:$CV$12,1,EA78))/12)))),'Lease Cycles'!$C$12*INDEX('Lease Cycles'!$CB$12:$CH$12,1,EA78)*(1+INDEX('Lease Cycles'!$CI$12:$CO$12,1,EA78))^INT(INT(EA79/12)/INDEX('Lease Cycles'!$CP$12:$CV$12,1,EA78))/12),IF(INDEX('Lease Cycles'!$EF$12:$EL$12,1,EA78)=1,IF(AND('Lease Cycles'!$AZ$12&gt;=INDEX('Lease Cycles'!$BG$12:$BM$12,1,EA78),'Lease Cycles'!$AZ$12&lt;=EA$6),'Lease Cycles'!$C$12*'Lease Cycles'!$BA$12/12,IF(AND('Lease Cycles'!$AX$12&gt;=INDEX('Lease Cycles'!$BG$12:$BM$12,1,EA78),'Lease Cycles'!$AX$12&lt;=EA$6),'Lease Cycles'!$C$12*'Lease Cycles'!$AY$12/12,IF(AND('Lease Cycles'!$AV$12&gt;=INDEX('Lease Cycles'!$BG$12:$BM$12,1,EA78),'Lease Cycles'!$AV$12&lt;=EA$6),'Lease Cycles'!$C$12*'Lease Cycles'!$AW$12/12,IF(AND('Lease Cycles'!$AT$12&gt;=INDEX('Lease Cycles'!$BG$12:$BM$12,1,EA78),'Lease Cycles'!$AT$12&lt;=EA$6),'Lease Cycles'!$C$12*'Lease Cycles'!$AU$12/12,'Lease Cycles'!$C$12*INDEX('Lease Cycles'!$CB$12:$CH$12,1,EA78)*(1+INDEX('Lease Cycles'!$CI$12:$CO$12,1,EA78))^INT(INT(EA79/12)/INDEX('Lease Cycles'!$CP$12:$CV$12,1,EA78))/12)))),'Lease Cycles'!$C$12*INDEX('Lease Cycles'!$CB$12:$CH$12,1,EA78)*(1+INDEX('Lease Cycles'!$CI$12:$CO$12,1,EA78))^INT(INT(EA79/12)/INDEX('Lease Cycles'!$CP$12:$CV$12,1,EA78))/12))),IF('Lease Cycles'!$N$12=1,'Lease Cycles'!$C$12*'Lease Cycles'!$E$12*INDEX('Lease Cycles'!$HE$12:$HK$12,1,EA78)*(1+INDEX('Lease Cycles'!$GQ$12:$GW$12,1,EA78))^INT(INT((EA$6-INDEX('Lease Cycles'!$GJ$12:$GP$12,1,EA78))/12)/INDEX('Lease Cycles'!$GX$12:$HD$12,1,EA78))/12,0)))</f>
        <v>4052.8899055777165</v>
      </c>
      <c r="EB81" s="28">
        <f>IF(EB78=0,IF('Lease Cycles'!$F$12&gt;0,'Lease Cycles'!$C$12*'Lease Cycles'!$E$12/12,0),IF(EB80=1,IF('Lease Cycles'!$AT$12&gt;=9999,'Lease Cycles'!$C$12*INDEX('Lease Cycles'!$CB$12:$CH$12,1,EB78)*(1+INDEX('Lease Cycles'!$CI$12:$CO$12,1,EB78))^INT(INT(EB79/12)/INDEX('Lease Cycles'!$CP$12:$CV$12,1,EB78))/12,IF(EB78=1,IF(EB79&gt;=INDEX('Lease Cycles'!$DK$12:$DQ$12,1,EB78),IF(EB$6&gt;='Lease Cycles'!$AZ$12,'Lease Cycles'!$C$12*'Lease Cycles'!$BA$12/12,IF(EB$6&gt;='Lease Cycles'!$AX$12,'Lease Cycles'!$C$12*'Lease Cycles'!$AY$12/12,IF(EB$6&gt;='Lease Cycles'!$AV$12,'Lease Cycles'!$C$12*'Lease Cycles'!$AW$12/12,IF(EB$6&gt;='Lease Cycles'!$AT$12,'Lease Cycles'!$C$12*'Lease Cycles'!$AU$12/12,'Lease Cycles'!$C$12*INDEX('Lease Cycles'!$CB$12:$CH$12,1,EB78)*(1+INDEX('Lease Cycles'!$CI$12:$CO$12,1,EB78))^INT(INT(EB79/12)/INDEX('Lease Cycles'!$CP$12:$CV$12,1,EB78))/12)))),'Lease Cycles'!$C$12*INDEX('Lease Cycles'!$CB$12:$CH$12,1,EB78)*(1+INDEX('Lease Cycles'!$CI$12:$CO$12,1,EB78))^INT(INT(EB79/12)/INDEX('Lease Cycles'!$CP$12:$CV$12,1,EB78))/12),IF(INDEX('Lease Cycles'!$EF$12:$EL$12,1,EB78)=1,IF(AND('Lease Cycles'!$AZ$12&gt;=INDEX('Lease Cycles'!$BG$12:$BM$12,1,EB78),'Lease Cycles'!$AZ$12&lt;=EB$6),'Lease Cycles'!$C$12*'Lease Cycles'!$BA$12/12,IF(AND('Lease Cycles'!$AX$12&gt;=INDEX('Lease Cycles'!$BG$12:$BM$12,1,EB78),'Lease Cycles'!$AX$12&lt;=EB$6),'Lease Cycles'!$C$12*'Lease Cycles'!$AY$12/12,IF(AND('Lease Cycles'!$AV$12&gt;=INDEX('Lease Cycles'!$BG$12:$BM$12,1,EB78),'Lease Cycles'!$AV$12&lt;=EB$6),'Lease Cycles'!$C$12*'Lease Cycles'!$AW$12/12,IF(AND('Lease Cycles'!$AT$12&gt;=INDEX('Lease Cycles'!$BG$12:$BM$12,1,EB78),'Lease Cycles'!$AT$12&lt;=EB$6),'Lease Cycles'!$C$12*'Lease Cycles'!$AU$12/12,'Lease Cycles'!$C$12*INDEX('Lease Cycles'!$CB$12:$CH$12,1,EB78)*(1+INDEX('Lease Cycles'!$CI$12:$CO$12,1,EB78))^INT(INT(EB79/12)/INDEX('Lease Cycles'!$CP$12:$CV$12,1,EB78))/12)))),'Lease Cycles'!$C$12*INDEX('Lease Cycles'!$CB$12:$CH$12,1,EB78)*(1+INDEX('Lease Cycles'!$CI$12:$CO$12,1,EB78))^INT(INT(EB79/12)/INDEX('Lease Cycles'!$CP$12:$CV$12,1,EB78))/12))),IF('Lease Cycles'!$N$12=1,'Lease Cycles'!$C$12*'Lease Cycles'!$E$12*INDEX('Lease Cycles'!$HE$12:$HK$12,1,EB78)*(1+INDEX('Lease Cycles'!$GQ$12:$GW$12,1,EB78))^INT(INT((EB$6-INDEX('Lease Cycles'!$GJ$12:$GP$12,1,EB78))/12)/INDEX('Lease Cycles'!$GX$12:$HD$12,1,EB78))/12,0)))</f>
        <v>4052.8899055777165</v>
      </c>
      <c r="EC81" s="28">
        <f>IF(EC78=0,IF('Lease Cycles'!$F$12&gt;0,'Lease Cycles'!$C$12*'Lease Cycles'!$E$12/12,0),IF(EC80=1,IF('Lease Cycles'!$AT$12&gt;=9999,'Lease Cycles'!$C$12*INDEX('Lease Cycles'!$CB$12:$CH$12,1,EC78)*(1+INDEX('Lease Cycles'!$CI$12:$CO$12,1,EC78))^INT(INT(EC79/12)/INDEX('Lease Cycles'!$CP$12:$CV$12,1,EC78))/12,IF(EC78=1,IF(EC79&gt;=INDEX('Lease Cycles'!$DK$12:$DQ$12,1,EC78),IF(EC$6&gt;='Lease Cycles'!$AZ$12,'Lease Cycles'!$C$12*'Lease Cycles'!$BA$12/12,IF(EC$6&gt;='Lease Cycles'!$AX$12,'Lease Cycles'!$C$12*'Lease Cycles'!$AY$12/12,IF(EC$6&gt;='Lease Cycles'!$AV$12,'Lease Cycles'!$C$12*'Lease Cycles'!$AW$12/12,IF(EC$6&gt;='Lease Cycles'!$AT$12,'Lease Cycles'!$C$12*'Lease Cycles'!$AU$12/12,'Lease Cycles'!$C$12*INDEX('Lease Cycles'!$CB$12:$CH$12,1,EC78)*(1+INDEX('Lease Cycles'!$CI$12:$CO$12,1,EC78))^INT(INT(EC79/12)/INDEX('Lease Cycles'!$CP$12:$CV$12,1,EC78))/12)))),'Lease Cycles'!$C$12*INDEX('Lease Cycles'!$CB$12:$CH$12,1,EC78)*(1+INDEX('Lease Cycles'!$CI$12:$CO$12,1,EC78))^INT(INT(EC79/12)/INDEX('Lease Cycles'!$CP$12:$CV$12,1,EC78))/12),IF(INDEX('Lease Cycles'!$EF$12:$EL$12,1,EC78)=1,IF(AND('Lease Cycles'!$AZ$12&gt;=INDEX('Lease Cycles'!$BG$12:$BM$12,1,EC78),'Lease Cycles'!$AZ$12&lt;=EC$6),'Lease Cycles'!$C$12*'Lease Cycles'!$BA$12/12,IF(AND('Lease Cycles'!$AX$12&gt;=INDEX('Lease Cycles'!$BG$12:$BM$12,1,EC78),'Lease Cycles'!$AX$12&lt;=EC$6),'Lease Cycles'!$C$12*'Lease Cycles'!$AY$12/12,IF(AND('Lease Cycles'!$AV$12&gt;=INDEX('Lease Cycles'!$BG$12:$BM$12,1,EC78),'Lease Cycles'!$AV$12&lt;=EC$6),'Lease Cycles'!$C$12*'Lease Cycles'!$AW$12/12,IF(AND('Lease Cycles'!$AT$12&gt;=INDEX('Lease Cycles'!$BG$12:$BM$12,1,EC78),'Lease Cycles'!$AT$12&lt;=EC$6),'Lease Cycles'!$C$12*'Lease Cycles'!$AU$12/12,'Lease Cycles'!$C$12*INDEX('Lease Cycles'!$CB$12:$CH$12,1,EC78)*(1+INDEX('Lease Cycles'!$CI$12:$CO$12,1,EC78))^INT(INT(EC79/12)/INDEX('Lease Cycles'!$CP$12:$CV$12,1,EC78))/12)))),'Lease Cycles'!$C$12*INDEX('Lease Cycles'!$CB$12:$CH$12,1,EC78)*(1+INDEX('Lease Cycles'!$CI$12:$CO$12,1,EC78))^INT(INT(EC79/12)/INDEX('Lease Cycles'!$CP$12:$CV$12,1,EC78))/12))),IF('Lease Cycles'!$N$12=1,'Lease Cycles'!$C$12*'Lease Cycles'!$E$12*INDEX('Lease Cycles'!$HE$12:$HK$12,1,EC78)*(1+INDEX('Lease Cycles'!$GQ$12:$GW$12,1,EC78))^INT(INT((EC$6-INDEX('Lease Cycles'!$GJ$12:$GP$12,1,EC78))/12)/INDEX('Lease Cycles'!$GX$12:$HD$12,1,EC78))/12,0)))</f>
        <v>4052.8899055777165</v>
      </c>
      <c r="ED81" s="28">
        <f>IF(ED78=0,IF('Lease Cycles'!$F$12&gt;0,'Lease Cycles'!$C$12*'Lease Cycles'!$E$12/12,0),IF(ED80=1,IF('Lease Cycles'!$AT$12&gt;=9999,'Lease Cycles'!$C$12*INDEX('Lease Cycles'!$CB$12:$CH$12,1,ED78)*(1+INDEX('Lease Cycles'!$CI$12:$CO$12,1,ED78))^INT(INT(ED79/12)/INDEX('Lease Cycles'!$CP$12:$CV$12,1,ED78))/12,IF(ED78=1,IF(ED79&gt;=INDEX('Lease Cycles'!$DK$12:$DQ$12,1,ED78),IF(ED$6&gt;='Lease Cycles'!$AZ$12,'Lease Cycles'!$C$12*'Lease Cycles'!$BA$12/12,IF(ED$6&gt;='Lease Cycles'!$AX$12,'Lease Cycles'!$C$12*'Lease Cycles'!$AY$12/12,IF(ED$6&gt;='Lease Cycles'!$AV$12,'Lease Cycles'!$C$12*'Lease Cycles'!$AW$12/12,IF(ED$6&gt;='Lease Cycles'!$AT$12,'Lease Cycles'!$C$12*'Lease Cycles'!$AU$12/12,'Lease Cycles'!$C$12*INDEX('Lease Cycles'!$CB$12:$CH$12,1,ED78)*(1+INDEX('Lease Cycles'!$CI$12:$CO$12,1,ED78))^INT(INT(ED79/12)/INDEX('Lease Cycles'!$CP$12:$CV$12,1,ED78))/12)))),'Lease Cycles'!$C$12*INDEX('Lease Cycles'!$CB$12:$CH$12,1,ED78)*(1+INDEX('Lease Cycles'!$CI$12:$CO$12,1,ED78))^INT(INT(ED79/12)/INDEX('Lease Cycles'!$CP$12:$CV$12,1,ED78))/12),IF(INDEX('Lease Cycles'!$EF$12:$EL$12,1,ED78)=1,IF(AND('Lease Cycles'!$AZ$12&gt;=INDEX('Lease Cycles'!$BG$12:$BM$12,1,ED78),'Lease Cycles'!$AZ$12&lt;=ED$6),'Lease Cycles'!$C$12*'Lease Cycles'!$BA$12/12,IF(AND('Lease Cycles'!$AX$12&gt;=INDEX('Lease Cycles'!$BG$12:$BM$12,1,ED78),'Lease Cycles'!$AX$12&lt;=ED$6),'Lease Cycles'!$C$12*'Lease Cycles'!$AY$12/12,IF(AND('Lease Cycles'!$AV$12&gt;=INDEX('Lease Cycles'!$BG$12:$BM$12,1,ED78),'Lease Cycles'!$AV$12&lt;=ED$6),'Lease Cycles'!$C$12*'Lease Cycles'!$AW$12/12,IF(AND('Lease Cycles'!$AT$12&gt;=INDEX('Lease Cycles'!$BG$12:$BM$12,1,ED78),'Lease Cycles'!$AT$12&lt;=ED$6),'Lease Cycles'!$C$12*'Lease Cycles'!$AU$12/12,'Lease Cycles'!$C$12*INDEX('Lease Cycles'!$CB$12:$CH$12,1,ED78)*(1+INDEX('Lease Cycles'!$CI$12:$CO$12,1,ED78))^INT(INT(ED79/12)/INDEX('Lease Cycles'!$CP$12:$CV$12,1,ED78))/12)))),'Lease Cycles'!$C$12*INDEX('Lease Cycles'!$CB$12:$CH$12,1,ED78)*(1+INDEX('Lease Cycles'!$CI$12:$CO$12,1,ED78))^INT(INT(ED79/12)/INDEX('Lease Cycles'!$CP$12:$CV$12,1,ED78))/12))),IF('Lease Cycles'!$N$12=1,'Lease Cycles'!$C$12*'Lease Cycles'!$E$12*INDEX('Lease Cycles'!$HE$12:$HK$12,1,ED78)*(1+INDEX('Lease Cycles'!$GQ$12:$GW$12,1,ED78))^INT(INT((ED$6-INDEX('Lease Cycles'!$GJ$12:$GP$12,1,ED78))/12)/INDEX('Lease Cycles'!$GX$12:$HD$12,1,ED78))/12,0)))</f>
        <v>4052.8899055777165</v>
      </c>
      <c r="EE81" s="28">
        <f>IF(EE78=0,IF('Lease Cycles'!$F$12&gt;0,'Lease Cycles'!$C$12*'Lease Cycles'!$E$12/12,0),IF(EE80=1,IF('Lease Cycles'!$AT$12&gt;=9999,'Lease Cycles'!$C$12*INDEX('Lease Cycles'!$CB$12:$CH$12,1,EE78)*(1+INDEX('Lease Cycles'!$CI$12:$CO$12,1,EE78))^INT(INT(EE79/12)/INDEX('Lease Cycles'!$CP$12:$CV$12,1,EE78))/12,IF(EE78=1,IF(EE79&gt;=INDEX('Lease Cycles'!$DK$12:$DQ$12,1,EE78),IF(EE$6&gt;='Lease Cycles'!$AZ$12,'Lease Cycles'!$C$12*'Lease Cycles'!$BA$12/12,IF(EE$6&gt;='Lease Cycles'!$AX$12,'Lease Cycles'!$C$12*'Lease Cycles'!$AY$12/12,IF(EE$6&gt;='Lease Cycles'!$AV$12,'Lease Cycles'!$C$12*'Lease Cycles'!$AW$12/12,IF(EE$6&gt;='Lease Cycles'!$AT$12,'Lease Cycles'!$C$12*'Lease Cycles'!$AU$12/12,'Lease Cycles'!$C$12*INDEX('Lease Cycles'!$CB$12:$CH$12,1,EE78)*(1+INDEX('Lease Cycles'!$CI$12:$CO$12,1,EE78))^INT(INT(EE79/12)/INDEX('Lease Cycles'!$CP$12:$CV$12,1,EE78))/12)))),'Lease Cycles'!$C$12*INDEX('Lease Cycles'!$CB$12:$CH$12,1,EE78)*(1+INDEX('Lease Cycles'!$CI$12:$CO$12,1,EE78))^INT(INT(EE79/12)/INDEX('Lease Cycles'!$CP$12:$CV$12,1,EE78))/12),IF(INDEX('Lease Cycles'!$EF$12:$EL$12,1,EE78)=1,IF(AND('Lease Cycles'!$AZ$12&gt;=INDEX('Lease Cycles'!$BG$12:$BM$12,1,EE78),'Lease Cycles'!$AZ$12&lt;=EE$6),'Lease Cycles'!$C$12*'Lease Cycles'!$BA$12/12,IF(AND('Lease Cycles'!$AX$12&gt;=INDEX('Lease Cycles'!$BG$12:$BM$12,1,EE78),'Lease Cycles'!$AX$12&lt;=EE$6),'Lease Cycles'!$C$12*'Lease Cycles'!$AY$12/12,IF(AND('Lease Cycles'!$AV$12&gt;=INDEX('Lease Cycles'!$BG$12:$BM$12,1,EE78),'Lease Cycles'!$AV$12&lt;=EE$6),'Lease Cycles'!$C$12*'Lease Cycles'!$AW$12/12,IF(AND('Lease Cycles'!$AT$12&gt;=INDEX('Lease Cycles'!$BG$12:$BM$12,1,EE78),'Lease Cycles'!$AT$12&lt;=EE$6),'Lease Cycles'!$C$12*'Lease Cycles'!$AU$12/12,'Lease Cycles'!$C$12*INDEX('Lease Cycles'!$CB$12:$CH$12,1,EE78)*(1+INDEX('Lease Cycles'!$CI$12:$CO$12,1,EE78))^INT(INT(EE79/12)/INDEX('Lease Cycles'!$CP$12:$CV$12,1,EE78))/12)))),'Lease Cycles'!$C$12*INDEX('Lease Cycles'!$CB$12:$CH$12,1,EE78)*(1+INDEX('Lease Cycles'!$CI$12:$CO$12,1,EE78))^INT(INT(EE79/12)/INDEX('Lease Cycles'!$CP$12:$CV$12,1,EE78))/12))),IF('Lease Cycles'!$N$12=1,'Lease Cycles'!$C$12*'Lease Cycles'!$E$12*INDEX('Lease Cycles'!$HE$12:$HK$12,1,EE78)*(1+INDEX('Lease Cycles'!$GQ$12:$GW$12,1,EE78))^INT(INT((EE$6-INDEX('Lease Cycles'!$GJ$12:$GP$12,1,EE78))/12)/INDEX('Lease Cycles'!$GX$12:$HD$12,1,EE78))/12,0)))</f>
        <v>4052.8899055777165</v>
      </c>
      <c r="EF81" s="28">
        <f>IF(EF78=0,IF('Lease Cycles'!$F$12&gt;0,'Lease Cycles'!$C$12*'Lease Cycles'!$E$12/12,0),IF(EF80=1,IF('Lease Cycles'!$AT$12&gt;=9999,'Lease Cycles'!$C$12*INDEX('Lease Cycles'!$CB$12:$CH$12,1,EF78)*(1+INDEX('Lease Cycles'!$CI$12:$CO$12,1,EF78))^INT(INT(EF79/12)/INDEX('Lease Cycles'!$CP$12:$CV$12,1,EF78))/12,IF(EF78=1,IF(EF79&gt;=INDEX('Lease Cycles'!$DK$12:$DQ$12,1,EF78),IF(EF$6&gt;='Lease Cycles'!$AZ$12,'Lease Cycles'!$C$12*'Lease Cycles'!$BA$12/12,IF(EF$6&gt;='Lease Cycles'!$AX$12,'Lease Cycles'!$C$12*'Lease Cycles'!$AY$12/12,IF(EF$6&gt;='Lease Cycles'!$AV$12,'Lease Cycles'!$C$12*'Lease Cycles'!$AW$12/12,IF(EF$6&gt;='Lease Cycles'!$AT$12,'Lease Cycles'!$C$12*'Lease Cycles'!$AU$12/12,'Lease Cycles'!$C$12*INDEX('Lease Cycles'!$CB$12:$CH$12,1,EF78)*(1+INDEX('Lease Cycles'!$CI$12:$CO$12,1,EF78))^INT(INT(EF79/12)/INDEX('Lease Cycles'!$CP$12:$CV$12,1,EF78))/12)))),'Lease Cycles'!$C$12*INDEX('Lease Cycles'!$CB$12:$CH$12,1,EF78)*(1+INDEX('Lease Cycles'!$CI$12:$CO$12,1,EF78))^INT(INT(EF79/12)/INDEX('Lease Cycles'!$CP$12:$CV$12,1,EF78))/12),IF(INDEX('Lease Cycles'!$EF$12:$EL$12,1,EF78)=1,IF(AND('Lease Cycles'!$AZ$12&gt;=INDEX('Lease Cycles'!$BG$12:$BM$12,1,EF78),'Lease Cycles'!$AZ$12&lt;=EF$6),'Lease Cycles'!$C$12*'Lease Cycles'!$BA$12/12,IF(AND('Lease Cycles'!$AX$12&gt;=INDEX('Lease Cycles'!$BG$12:$BM$12,1,EF78),'Lease Cycles'!$AX$12&lt;=EF$6),'Lease Cycles'!$C$12*'Lease Cycles'!$AY$12/12,IF(AND('Lease Cycles'!$AV$12&gt;=INDEX('Lease Cycles'!$BG$12:$BM$12,1,EF78),'Lease Cycles'!$AV$12&lt;=EF$6),'Lease Cycles'!$C$12*'Lease Cycles'!$AW$12/12,IF(AND('Lease Cycles'!$AT$12&gt;=INDEX('Lease Cycles'!$BG$12:$BM$12,1,EF78),'Lease Cycles'!$AT$12&lt;=EF$6),'Lease Cycles'!$C$12*'Lease Cycles'!$AU$12/12,'Lease Cycles'!$C$12*INDEX('Lease Cycles'!$CB$12:$CH$12,1,EF78)*(1+INDEX('Lease Cycles'!$CI$12:$CO$12,1,EF78))^INT(INT(EF79/12)/INDEX('Lease Cycles'!$CP$12:$CV$12,1,EF78))/12)))),'Lease Cycles'!$C$12*INDEX('Lease Cycles'!$CB$12:$CH$12,1,EF78)*(1+INDEX('Lease Cycles'!$CI$12:$CO$12,1,EF78))^INT(INT(EF79/12)/INDEX('Lease Cycles'!$CP$12:$CV$12,1,EF78))/12))),IF('Lease Cycles'!$N$12=1,'Lease Cycles'!$C$12*'Lease Cycles'!$E$12*INDEX('Lease Cycles'!$HE$12:$HK$12,1,EF78)*(1+INDEX('Lease Cycles'!$GQ$12:$GW$12,1,EF78))^INT(INT((EF$6-INDEX('Lease Cycles'!$GJ$12:$GP$12,1,EF78))/12)/INDEX('Lease Cycles'!$GX$12:$HD$12,1,EF78))/12,0)))</f>
        <v>4052.8899055777165</v>
      </c>
      <c r="EG81" s="28">
        <f>IF(EG78=0,IF('Lease Cycles'!$F$12&gt;0,'Lease Cycles'!$C$12*'Lease Cycles'!$E$12/12,0),IF(EG80=1,IF('Lease Cycles'!$AT$12&gt;=9999,'Lease Cycles'!$C$12*INDEX('Lease Cycles'!$CB$12:$CH$12,1,EG78)*(1+INDEX('Lease Cycles'!$CI$12:$CO$12,1,EG78))^INT(INT(EG79/12)/INDEX('Lease Cycles'!$CP$12:$CV$12,1,EG78))/12,IF(EG78=1,IF(EG79&gt;=INDEX('Lease Cycles'!$DK$12:$DQ$12,1,EG78),IF(EG$6&gt;='Lease Cycles'!$AZ$12,'Lease Cycles'!$C$12*'Lease Cycles'!$BA$12/12,IF(EG$6&gt;='Lease Cycles'!$AX$12,'Lease Cycles'!$C$12*'Lease Cycles'!$AY$12/12,IF(EG$6&gt;='Lease Cycles'!$AV$12,'Lease Cycles'!$C$12*'Lease Cycles'!$AW$12/12,IF(EG$6&gt;='Lease Cycles'!$AT$12,'Lease Cycles'!$C$12*'Lease Cycles'!$AU$12/12,'Lease Cycles'!$C$12*INDEX('Lease Cycles'!$CB$12:$CH$12,1,EG78)*(1+INDEX('Lease Cycles'!$CI$12:$CO$12,1,EG78))^INT(INT(EG79/12)/INDEX('Lease Cycles'!$CP$12:$CV$12,1,EG78))/12)))),'Lease Cycles'!$C$12*INDEX('Lease Cycles'!$CB$12:$CH$12,1,EG78)*(1+INDEX('Lease Cycles'!$CI$12:$CO$12,1,EG78))^INT(INT(EG79/12)/INDEX('Lease Cycles'!$CP$12:$CV$12,1,EG78))/12),IF(INDEX('Lease Cycles'!$EF$12:$EL$12,1,EG78)=1,IF(AND('Lease Cycles'!$AZ$12&gt;=INDEX('Lease Cycles'!$BG$12:$BM$12,1,EG78),'Lease Cycles'!$AZ$12&lt;=EG$6),'Lease Cycles'!$C$12*'Lease Cycles'!$BA$12/12,IF(AND('Lease Cycles'!$AX$12&gt;=INDEX('Lease Cycles'!$BG$12:$BM$12,1,EG78),'Lease Cycles'!$AX$12&lt;=EG$6),'Lease Cycles'!$C$12*'Lease Cycles'!$AY$12/12,IF(AND('Lease Cycles'!$AV$12&gt;=INDEX('Lease Cycles'!$BG$12:$BM$12,1,EG78),'Lease Cycles'!$AV$12&lt;=EG$6),'Lease Cycles'!$C$12*'Lease Cycles'!$AW$12/12,IF(AND('Lease Cycles'!$AT$12&gt;=INDEX('Lease Cycles'!$BG$12:$BM$12,1,EG78),'Lease Cycles'!$AT$12&lt;=EG$6),'Lease Cycles'!$C$12*'Lease Cycles'!$AU$12/12,'Lease Cycles'!$C$12*INDEX('Lease Cycles'!$CB$12:$CH$12,1,EG78)*(1+INDEX('Lease Cycles'!$CI$12:$CO$12,1,EG78))^INT(INT(EG79/12)/INDEX('Lease Cycles'!$CP$12:$CV$12,1,EG78))/12)))),'Lease Cycles'!$C$12*INDEX('Lease Cycles'!$CB$12:$CH$12,1,EG78)*(1+INDEX('Lease Cycles'!$CI$12:$CO$12,1,EG78))^INT(INT(EG79/12)/INDEX('Lease Cycles'!$CP$12:$CV$12,1,EG78))/12))),IF('Lease Cycles'!$N$12=1,'Lease Cycles'!$C$12*'Lease Cycles'!$E$12*INDEX('Lease Cycles'!$HE$12:$HK$12,1,EG78)*(1+INDEX('Lease Cycles'!$GQ$12:$GW$12,1,EG78))^INT(INT((EG$6-INDEX('Lease Cycles'!$GJ$12:$GP$12,1,EG78))/12)/INDEX('Lease Cycles'!$GX$12:$HD$12,1,EG78))/12,0)))</f>
        <v>4052.8899055777165</v>
      </c>
      <c r="EH81" s="28">
        <f>IF(EH78=0,IF('Lease Cycles'!$F$12&gt;0,'Lease Cycles'!$C$12*'Lease Cycles'!$E$12/12,0),IF(EH80=1,IF('Lease Cycles'!$AT$12&gt;=9999,'Lease Cycles'!$C$12*INDEX('Lease Cycles'!$CB$12:$CH$12,1,EH78)*(1+INDEX('Lease Cycles'!$CI$12:$CO$12,1,EH78))^INT(INT(EH79/12)/INDEX('Lease Cycles'!$CP$12:$CV$12,1,EH78))/12,IF(EH78=1,IF(EH79&gt;=INDEX('Lease Cycles'!$DK$12:$DQ$12,1,EH78),IF(EH$6&gt;='Lease Cycles'!$AZ$12,'Lease Cycles'!$C$12*'Lease Cycles'!$BA$12/12,IF(EH$6&gt;='Lease Cycles'!$AX$12,'Lease Cycles'!$C$12*'Lease Cycles'!$AY$12/12,IF(EH$6&gt;='Lease Cycles'!$AV$12,'Lease Cycles'!$C$12*'Lease Cycles'!$AW$12/12,IF(EH$6&gt;='Lease Cycles'!$AT$12,'Lease Cycles'!$C$12*'Lease Cycles'!$AU$12/12,'Lease Cycles'!$C$12*INDEX('Lease Cycles'!$CB$12:$CH$12,1,EH78)*(1+INDEX('Lease Cycles'!$CI$12:$CO$12,1,EH78))^INT(INT(EH79/12)/INDEX('Lease Cycles'!$CP$12:$CV$12,1,EH78))/12)))),'Lease Cycles'!$C$12*INDEX('Lease Cycles'!$CB$12:$CH$12,1,EH78)*(1+INDEX('Lease Cycles'!$CI$12:$CO$12,1,EH78))^INT(INT(EH79/12)/INDEX('Lease Cycles'!$CP$12:$CV$12,1,EH78))/12),IF(INDEX('Lease Cycles'!$EF$12:$EL$12,1,EH78)=1,IF(AND('Lease Cycles'!$AZ$12&gt;=INDEX('Lease Cycles'!$BG$12:$BM$12,1,EH78),'Lease Cycles'!$AZ$12&lt;=EH$6),'Lease Cycles'!$C$12*'Lease Cycles'!$BA$12/12,IF(AND('Lease Cycles'!$AX$12&gt;=INDEX('Lease Cycles'!$BG$12:$BM$12,1,EH78),'Lease Cycles'!$AX$12&lt;=EH$6),'Lease Cycles'!$C$12*'Lease Cycles'!$AY$12/12,IF(AND('Lease Cycles'!$AV$12&gt;=INDEX('Lease Cycles'!$BG$12:$BM$12,1,EH78),'Lease Cycles'!$AV$12&lt;=EH$6),'Lease Cycles'!$C$12*'Lease Cycles'!$AW$12/12,IF(AND('Lease Cycles'!$AT$12&gt;=INDEX('Lease Cycles'!$BG$12:$BM$12,1,EH78),'Lease Cycles'!$AT$12&lt;=EH$6),'Lease Cycles'!$C$12*'Lease Cycles'!$AU$12/12,'Lease Cycles'!$C$12*INDEX('Lease Cycles'!$CB$12:$CH$12,1,EH78)*(1+INDEX('Lease Cycles'!$CI$12:$CO$12,1,EH78))^INT(INT(EH79/12)/INDEX('Lease Cycles'!$CP$12:$CV$12,1,EH78))/12)))),'Lease Cycles'!$C$12*INDEX('Lease Cycles'!$CB$12:$CH$12,1,EH78)*(1+INDEX('Lease Cycles'!$CI$12:$CO$12,1,EH78))^INT(INT(EH79/12)/INDEX('Lease Cycles'!$CP$12:$CV$12,1,EH78))/12))),IF('Lease Cycles'!$N$12=1,'Lease Cycles'!$C$12*'Lease Cycles'!$E$12*INDEX('Lease Cycles'!$HE$12:$HK$12,1,EH78)*(1+INDEX('Lease Cycles'!$GQ$12:$GW$12,1,EH78))^INT(INT((EH$6-INDEX('Lease Cycles'!$GJ$12:$GP$12,1,EH78))/12)/INDEX('Lease Cycles'!$GX$12:$HD$12,1,EH78))/12,0)))</f>
        <v>4052.8899055777165</v>
      </c>
      <c r="EI81" s="28">
        <f>IF(EI78=0,IF('Lease Cycles'!$F$12&gt;0,'Lease Cycles'!$C$12*'Lease Cycles'!$E$12/12,0),IF(EI80=1,IF('Lease Cycles'!$AT$12&gt;=9999,'Lease Cycles'!$C$12*INDEX('Lease Cycles'!$CB$12:$CH$12,1,EI78)*(1+INDEX('Lease Cycles'!$CI$12:$CO$12,1,EI78))^INT(INT(EI79/12)/INDEX('Lease Cycles'!$CP$12:$CV$12,1,EI78))/12,IF(EI78=1,IF(EI79&gt;=INDEX('Lease Cycles'!$DK$12:$DQ$12,1,EI78),IF(EI$6&gt;='Lease Cycles'!$AZ$12,'Lease Cycles'!$C$12*'Lease Cycles'!$BA$12/12,IF(EI$6&gt;='Lease Cycles'!$AX$12,'Lease Cycles'!$C$12*'Lease Cycles'!$AY$12/12,IF(EI$6&gt;='Lease Cycles'!$AV$12,'Lease Cycles'!$C$12*'Lease Cycles'!$AW$12/12,IF(EI$6&gt;='Lease Cycles'!$AT$12,'Lease Cycles'!$C$12*'Lease Cycles'!$AU$12/12,'Lease Cycles'!$C$12*INDEX('Lease Cycles'!$CB$12:$CH$12,1,EI78)*(1+INDEX('Lease Cycles'!$CI$12:$CO$12,1,EI78))^INT(INT(EI79/12)/INDEX('Lease Cycles'!$CP$12:$CV$12,1,EI78))/12)))),'Lease Cycles'!$C$12*INDEX('Lease Cycles'!$CB$12:$CH$12,1,EI78)*(1+INDEX('Lease Cycles'!$CI$12:$CO$12,1,EI78))^INT(INT(EI79/12)/INDEX('Lease Cycles'!$CP$12:$CV$12,1,EI78))/12),IF(INDEX('Lease Cycles'!$EF$12:$EL$12,1,EI78)=1,IF(AND('Lease Cycles'!$AZ$12&gt;=INDEX('Lease Cycles'!$BG$12:$BM$12,1,EI78),'Lease Cycles'!$AZ$12&lt;=EI$6),'Lease Cycles'!$C$12*'Lease Cycles'!$BA$12/12,IF(AND('Lease Cycles'!$AX$12&gt;=INDEX('Lease Cycles'!$BG$12:$BM$12,1,EI78),'Lease Cycles'!$AX$12&lt;=EI$6),'Lease Cycles'!$C$12*'Lease Cycles'!$AY$12/12,IF(AND('Lease Cycles'!$AV$12&gt;=INDEX('Lease Cycles'!$BG$12:$BM$12,1,EI78),'Lease Cycles'!$AV$12&lt;=EI$6),'Lease Cycles'!$C$12*'Lease Cycles'!$AW$12/12,IF(AND('Lease Cycles'!$AT$12&gt;=INDEX('Lease Cycles'!$BG$12:$BM$12,1,EI78),'Lease Cycles'!$AT$12&lt;=EI$6),'Lease Cycles'!$C$12*'Lease Cycles'!$AU$12/12,'Lease Cycles'!$C$12*INDEX('Lease Cycles'!$CB$12:$CH$12,1,EI78)*(1+INDEX('Lease Cycles'!$CI$12:$CO$12,1,EI78))^INT(INT(EI79/12)/INDEX('Lease Cycles'!$CP$12:$CV$12,1,EI78))/12)))),'Lease Cycles'!$C$12*INDEX('Lease Cycles'!$CB$12:$CH$12,1,EI78)*(1+INDEX('Lease Cycles'!$CI$12:$CO$12,1,EI78))^INT(INT(EI79/12)/INDEX('Lease Cycles'!$CP$12:$CV$12,1,EI78))/12))),IF('Lease Cycles'!$N$12=1,'Lease Cycles'!$C$12*'Lease Cycles'!$E$12*INDEX('Lease Cycles'!$HE$12:$HK$12,1,EI78)*(1+INDEX('Lease Cycles'!$GQ$12:$GW$12,1,EI78))^INT(INT((EI$6-INDEX('Lease Cycles'!$GJ$12:$GP$12,1,EI78))/12)/INDEX('Lease Cycles'!$GX$12:$HD$12,1,EI78))/12,0)))</f>
        <v>4052.8899055777165</v>
      </c>
      <c r="EJ81" s="28">
        <f>IF(EJ78=0,IF('Lease Cycles'!$F$12&gt;0,'Lease Cycles'!$C$12*'Lease Cycles'!$E$12/12,0),IF(EJ80=1,IF('Lease Cycles'!$AT$12&gt;=9999,'Lease Cycles'!$C$12*INDEX('Lease Cycles'!$CB$12:$CH$12,1,EJ78)*(1+INDEX('Lease Cycles'!$CI$12:$CO$12,1,EJ78))^INT(INT(EJ79/12)/INDEX('Lease Cycles'!$CP$12:$CV$12,1,EJ78))/12,IF(EJ78=1,IF(EJ79&gt;=INDEX('Lease Cycles'!$DK$12:$DQ$12,1,EJ78),IF(EJ$6&gt;='Lease Cycles'!$AZ$12,'Lease Cycles'!$C$12*'Lease Cycles'!$BA$12/12,IF(EJ$6&gt;='Lease Cycles'!$AX$12,'Lease Cycles'!$C$12*'Lease Cycles'!$AY$12/12,IF(EJ$6&gt;='Lease Cycles'!$AV$12,'Lease Cycles'!$C$12*'Lease Cycles'!$AW$12/12,IF(EJ$6&gt;='Lease Cycles'!$AT$12,'Lease Cycles'!$C$12*'Lease Cycles'!$AU$12/12,'Lease Cycles'!$C$12*INDEX('Lease Cycles'!$CB$12:$CH$12,1,EJ78)*(1+INDEX('Lease Cycles'!$CI$12:$CO$12,1,EJ78))^INT(INT(EJ79/12)/INDEX('Lease Cycles'!$CP$12:$CV$12,1,EJ78))/12)))),'Lease Cycles'!$C$12*INDEX('Lease Cycles'!$CB$12:$CH$12,1,EJ78)*(1+INDEX('Lease Cycles'!$CI$12:$CO$12,1,EJ78))^INT(INT(EJ79/12)/INDEX('Lease Cycles'!$CP$12:$CV$12,1,EJ78))/12),IF(INDEX('Lease Cycles'!$EF$12:$EL$12,1,EJ78)=1,IF(AND('Lease Cycles'!$AZ$12&gt;=INDEX('Lease Cycles'!$BG$12:$BM$12,1,EJ78),'Lease Cycles'!$AZ$12&lt;=EJ$6),'Lease Cycles'!$C$12*'Lease Cycles'!$BA$12/12,IF(AND('Lease Cycles'!$AX$12&gt;=INDEX('Lease Cycles'!$BG$12:$BM$12,1,EJ78),'Lease Cycles'!$AX$12&lt;=EJ$6),'Lease Cycles'!$C$12*'Lease Cycles'!$AY$12/12,IF(AND('Lease Cycles'!$AV$12&gt;=INDEX('Lease Cycles'!$BG$12:$BM$12,1,EJ78),'Lease Cycles'!$AV$12&lt;=EJ$6),'Lease Cycles'!$C$12*'Lease Cycles'!$AW$12/12,IF(AND('Lease Cycles'!$AT$12&gt;=INDEX('Lease Cycles'!$BG$12:$BM$12,1,EJ78),'Lease Cycles'!$AT$12&lt;=EJ$6),'Lease Cycles'!$C$12*'Lease Cycles'!$AU$12/12,'Lease Cycles'!$C$12*INDEX('Lease Cycles'!$CB$12:$CH$12,1,EJ78)*(1+INDEX('Lease Cycles'!$CI$12:$CO$12,1,EJ78))^INT(INT(EJ79/12)/INDEX('Lease Cycles'!$CP$12:$CV$12,1,EJ78))/12)))),'Lease Cycles'!$C$12*INDEX('Lease Cycles'!$CB$12:$CH$12,1,EJ78)*(1+INDEX('Lease Cycles'!$CI$12:$CO$12,1,EJ78))^INT(INT(EJ79/12)/INDEX('Lease Cycles'!$CP$12:$CV$12,1,EJ78))/12))),IF('Lease Cycles'!$N$12=1,'Lease Cycles'!$C$12*'Lease Cycles'!$E$12*INDEX('Lease Cycles'!$HE$12:$HK$12,1,EJ78)*(1+INDEX('Lease Cycles'!$GQ$12:$GW$12,1,EJ78))^INT(INT((EJ$6-INDEX('Lease Cycles'!$GJ$12:$GP$12,1,EJ78))/12)/INDEX('Lease Cycles'!$GX$12:$HD$12,1,EJ78))/12,0)))</f>
        <v>4052.8899055777165</v>
      </c>
      <c r="EK81" s="28">
        <f>IF(EK78=0,IF('Lease Cycles'!$F$12&gt;0,'Lease Cycles'!$C$12*'Lease Cycles'!$E$12/12,0),IF(EK80=1,IF('Lease Cycles'!$AT$12&gt;=9999,'Lease Cycles'!$C$12*INDEX('Lease Cycles'!$CB$12:$CH$12,1,EK78)*(1+INDEX('Lease Cycles'!$CI$12:$CO$12,1,EK78))^INT(INT(EK79/12)/INDEX('Lease Cycles'!$CP$12:$CV$12,1,EK78))/12,IF(EK78=1,IF(EK79&gt;=INDEX('Lease Cycles'!$DK$12:$DQ$12,1,EK78),IF(EK$6&gt;='Lease Cycles'!$AZ$12,'Lease Cycles'!$C$12*'Lease Cycles'!$BA$12/12,IF(EK$6&gt;='Lease Cycles'!$AX$12,'Lease Cycles'!$C$12*'Lease Cycles'!$AY$12/12,IF(EK$6&gt;='Lease Cycles'!$AV$12,'Lease Cycles'!$C$12*'Lease Cycles'!$AW$12/12,IF(EK$6&gt;='Lease Cycles'!$AT$12,'Lease Cycles'!$C$12*'Lease Cycles'!$AU$12/12,'Lease Cycles'!$C$12*INDEX('Lease Cycles'!$CB$12:$CH$12,1,EK78)*(1+INDEX('Lease Cycles'!$CI$12:$CO$12,1,EK78))^INT(INT(EK79/12)/INDEX('Lease Cycles'!$CP$12:$CV$12,1,EK78))/12)))),'Lease Cycles'!$C$12*INDEX('Lease Cycles'!$CB$12:$CH$12,1,EK78)*(1+INDEX('Lease Cycles'!$CI$12:$CO$12,1,EK78))^INT(INT(EK79/12)/INDEX('Lease Cycles'!$CP$12:$CV$12,1,EK78))/12),IF(INDEX('Lease Cycles'!$EF$12:$EL$12,1,EK78)=1,IF(AND('Lease Cycles'!$AZ$12&gt;=INDEX('Lease Cycles'!$BG$12:$BM$12,1,EK78),'Lease Cycles'!$AZ$12&lt;=EK$6),'Lease Cycles'!$C$12*'Lease Cycles'!$BA$12/12,IF(AND('Lease Cycles'!$AX$12&gt;=INDEX('Lease Cycles'!$BG$12:$BM$12,1,EK78),'Lease Cycles'!$AX$12&lt;=EK$6),'Lease Cycles'!$C$12*'Lease Cycles'!$AY$12/12,IF(AND('Lease Cycles'!$AV$12&gt;=INDEX('Lease Cycles'!$BG$12:$BM$12,1,EK78),'Lease Cycles'!$AV$12&lt;=EK$6),'Lease Cycles'!$C$12*'Lease Cycles'!$AW$12/12,IF(AND('Lease Cycles'!$AT$12&gt;=INDEX('Lease Cycles'!$BG$12:$BM$12,1,EK78),'Lease Cycles'!$AT$12&lt;=EK$6),'Lease Cycles'!$C$12*'Lease Cycles'!$AU$12/12,'Lease Cycles'!$C$12*INDEX('Lease Cycles'!$CB$12:$CH$12,1,EK78)*(1+INDEX('Lease Cycles'!$CI$12:$CO$12,1,EK78))^INT(INT(EK79/12)/INDEX('Lease Cycles'!$CP$12:$CV$12,1,EK78))/12)))),'Lease Cycles'!$C$12*INDEX('Lease Cycles'!$CB$12:$CH$12,1,EK78)*(1+INDEX('Lease Cycles'!$CI$12:$CO$12,1,EK78))^INT(INT(EK79/12)/INDEX('Lease Cycles'!$CP$12:$CV$12,1,EK78))/12))),IF('Lease Cycles'!$N$12=1,'Lease Cycles'!$C$12*'Lease Cycles'!$E$12*INDEX('Lease Cycles'!$HE$12:$HK$12,1,EK78)*(1+INDEX('Lease Cycles'!$GQ$12:$GW$12,1,EK78))^INT(INT((EK$6-INDEX('Lease Cycles'!$GJ$12:$GP$12,1,EK78))/12)/INDEX('Lease Cycles'!$GX$12:$HD$12,1,EK78))/12,0)))</f>
        <v>4052.8899055777165</v>
      </c>
      <c r="EL81" s="28">
        <f>IF(EL78=0,IF('Lease Cycles'!$F$12&gt;0,'Lease Cycles'!$C$12*'Lease Cycles'!$E$12/12,0),IF(EL80=1,IF('Lease Cycles'!$AT$12&gt;=9999,'Lease Cycles'!$C$12*INDEX('Lease Cycles'!$CB$12:$CH$12,1,EL78)*(1+INDEX('Lease Cycles'!$CI$12:$CO$12,1,EL78))^INT(INT(EL79/12)/INDEX('Lease Cycles'!$CP$12:$CV$12,1,EL78))/12,IF(EL78=1,IF(EL79&gt;=INDEX('Lease Cycles'!$DK$12:$DQ$12,1,EL78),IF(EL$6&gt;='Lease Cycles'!$AZ$12,'Lease Cycles'!$C$12*'Lease Cycles'!$BA$12/12,IF(EL$6&gt;='Lease Cycles'!$AX$12,'Lease Cycles'!$C$12*'Lease Cycles'!$AY$12/12,IF(EL$6&gt;='Lease Cycles'!$AV$12,'Lease Cycles'!$C$12*'Lease Cycles'!$AW$12/12,IF(EL$6&gt;='Lease Cycles'!$AT$12,'Lease Cycles'!$C$12*'Lease Cycles'!$AU$12/12,'Lease Cycles'!$C$12*INDEX('Lease Cycles'!$CB$12:$CH$12,1,EL78)*(1+INDEX('Lease Cycles'!$CI$12:$CO$12,1,EL78))^INT(INT(EL79/12)/INDEX('Lease Cycles'!$CP$12:$CV$12,1,EL78))/12)))),'Lease Cycles'!$C$12*INDEX('Lease Cycles'!$CB$12:$CH$12,1,EL78)*(1+INDEX('Lease Cycles'!$CI$12:$CO$12,1,EL78))^INT(INT(EL79/12)/INDEX('Lease Cycles'!$CP$12:$CV$12,1,EL78))/12),IF(INDEX('Lease Cycles'!$EF$12:$EL$12,1,EL78)=1,IF(AND('Lease Cycles'!$AZ$12&gt;=INDEX('Lease Cycles'!$BG$12:$BM$12,1,EL78),'Lease Cycles'!$AZ$12&lt;=EL$6),'Lease Cycles'!$C$12*'Lease Cycles'!$BA$12/12,IF(AND('Lease Cycles'!$AX$12&gt;=INDEX('Lease Cycles'!$BG$12:$BM$12,1,EL78),'Lease Cycles'!$AX$12&lt;=EL$6),'Lease Cycles'!$C$12*'Lease Cycles'!$AY$12/12,IF(AND('Lease Cycles'!$AV$12&gt;=INDEX('Lease Cycles'!$BG$12:$BM$12,1,EL78),'Lease Cycles'!$AV$12&lt;=EL$6),'Lease Cycles'!$C$12*'Lease Cycles'!$AW$12/12,IF(AND('Lease Cycles'!$AT$12&gt;=INDEX('Lease Cycles'!$BG$12:$BM$12,1,EL78),'Lease Cycles'!$AT$12&lt;=EL$6),'Lease Cycles'!$C$12*'Lease Cycles'!$AU$12/12,'Lease Cycles'!$C$12*INDEX('Lease Cycles'!$CB$12:$CH$12,1,EL78)*(1+INDEX('Lease Cycles'!$CI$12:$CO$12,1,EL78))^INT(INT(EL79/12)/INDEX('Lease Cycles'!$CP$12:$CV$12,1,EL78))/12)))),'Lease Cycles'!$C$12*INDEX('Lease Cycles'!$CB$12:$CH$12,1,EL78)*(1+INDEX('Lease Cycles'!$CI$12:$CO$12,1,EL78))^INT(INT(EL79/12)/INDEX('Lease Cycles'!$CP$12:$CV$12,1,EL78))/12))),IF('Lease Cycles'!$N$12=1,'Lease Cycles'!$C$12*'Lease Cycles'!$E$12*INDEX('Lease Cycles'!$HE$12:$HK$12,1,EL78)*(1+INDEX('Lease Cycles'!$GQ$12:$GW$12,1,EL78))^INT(INT((EL$6-INDEX('Lease Cycles'!$GJ$12:$GP$12,1,EL78))/12)/INDEX('Lease Cycles'!$GX$12:$HD$12,1,EL78))/12,0)))</f>
        <v>4174.476602745049</v>
      </c>
      <c r="EM81" s="28">
        <f>IF(EM78=0,IF('Lease Cycles'!$F$12&gt;0,'Lease Cycles'!$C$12*'Lease Cycles'!$E$12/12,0),IF(EM80=1,IF('Lease Cycles'!$AT$12&gt;=9999,'Lease Cycles'!$C$12*INDEX('Lease Cycles'!$CB$12:$CH$12,1,EM78)*(1+INDEX('Lease Cycles'!$CI$12:$CO$12,1,EM78))^INT(INT(EM79/12)/INDEX('Lease Cycles'!$CP$12:$CV$12,1,EM78))/12,IF(EM78=1,IF(EM79&gt;=INDEX('Lease Cycles'!$DK$12:$DQ$12,1,EM78),IF(EM$6&gt;='Lease Cycles'!$AZ$12,'Lease Cycles'!$C$12*'Lease Cycles'!$BA$12/12,IF(EM$6&gt;='Lease Cycles'!$AX$12,'Lease Cycles'!$C$12*'Lease Cycles'!$AY$12/12,IF(EM$6&gt;='Lease Cycles'!$AV$12,'Lease Cycles'!$C$12*'Lease Cycles'!$AW$12/12,IF(EM$6&gt;='Lease Cycles'!$AT$12,'Lease Cycles'!$C$12*'Lease Cycles'!$AU$12/12,'Lease Cycles'!$C$12*INDEX('Lease Cycles'!$CB$12:$CH$12,1,EM78)*(1+INDEX('Lease Cycles'!$CI$12:$CO$12,1,EM78))^INT(INT(EM79/12)/INDEX('Lease Cycles'!$CP$12:$CV$12,1,EM78))/12)))),'Lease Cycles'!$C$12*INDEX('Lease Cycles'!$CB$12:$CH$12,1,EM78)*(1+INDEX('Lease Cycles'!$CI$12:$CO$12,1,EM78))^INT(INT(EM79/12)/INDEX('Lease Cycles'!$CP$12:$CV$12,1,EM78))/12),IF(INDEX('Lease Cycles'!$EF$12:$EL$12,1,EM78)=1,IF(AND('Lease Cycles'!$AZ$12&gt;=INDEX('Lease Cycles'!$BG$12:$BM$12,1,EM78),'Lease Cycles'!$AZ$12&lt;=EM$6),'Lease Cycles'!$C$12*'Lease Cycles'!$BA$12/12,IF(AND('Lease Cycles'!$AX$12&gt;=INDEX('Lease Cycles'!$BG$12:$BM$12,1,EM78),'Lease Cycles'!$AX$12&lt;=EM$6),'Lease Cycles'!$C$12*'Lease Cycles'!$AY$12/12,IF(AND('Lease Cycles'!$AV$12&gt;=INDEX('Lease Cycles'!$BG$12:$BM$12,1,EM78),'Lease Cycles'!$AV$12&lt;=EM$6),'Lease Cycles'!$C$12*'Lease Cycles'!$AW$12/12,IF(AND('Lease Cycles'!$AT$12&gt;=INDEX('Lease Cycles'!$BG$12:$BM$12,1,EM78),'Lease Cycles'!$AT$12&lt;=EM$6),'Lease Cycles'!$C$12*'Lease Cycles'!$AU$12/12,'Lease Cycles'!$C$12*INDEX('Lease Cycles'!$CB$12:$CH$12,1,EM78)*(1+INDEX('Lease Cycles'!$CI$12:$CO$12,1,EM78))^INT(INT(EM79/12)/INDEX('Lease Cycles'!$CP$12:$CV$12,1,EM78))/12)))),'Lease Cycles'!$C$12*INDEX('Lease Cycles'!$CB$12:$CH$12,1,EM78)*(1+INDEX('Lease Cycles'!$CI$12:$CO$12,1,EM78))^INT(INT(EM79/12)/INDEX('Lease Cycles'!$CP$12:$CV$12,1,EM78))/12))),IF('Lease Cycles'!$N$12=1,'Lease Cycles'!$C$12*'Lease Cycles'!$E$12*INDEX('Lease Cycles'!$HE$12:$HK$12,1,EM78)*(1+INDEX('Lease Cycles'!$GQ$12:$GW$12,1,EM78))^INT(INT((EM$6-INDEX('Lease Cycles'!$GJ$12:$GP$12,1,EM78))/12)/INDEX('Lease Cycles'!$GX$12:$HD$12,1,EM78))/12,0)))</f>
        <v>4174.476602745049</v>
      </c>
      <c r="EN81" s="28">
        <f>IF(EN78=0,IF('Lease Cycles'!$F$12&gt;0,'Lease Cycles'!$C$12*'Lease Cycles'!$E$12/12,0),IF(EN80=1,IF('Lease Cycles'!$AT$12&gt;=9999,'Lease Cycles'!$C$12*INDEX('Lease Cycles'!$CB$12:$CH$12,1,EN78)*(1+INDEX('Lease Cycles'!$CI$12:$CO$12,1,EN78))^INT(INT(EN79/12)/INDEX('Lease Cycles'!$CP$12:$CV$12,1,EN78))/12,IF(EN78=1,IF(EN79&gt;=INDEX('Lease Cycles'!$DK$12:$DQ$12,1,EN78),IF(EN$6&gt;='Lease Cycles'!$AZ$12,'Lease Cycles'!$C$12*'Lease Cycles'!$BA$12/12,IF(EN$6&gt;='Lease Cycles'!$AX$12,'Lease Cycles'!$C$12*'Lease Cycles'!$AY$12/12,IF(EN$6&gt;='Lease Cycles'!$AV$12,'Lease Cycles'!$C$12*'Lease Cycles'!$AW$12/12,IF(EN$6&gt;='Lease Cycles'!$AT$12,'Lease Cycles'!$C$12*'Lease Cycles'!$AU$12/12,'Lease Cycles'!$C$12*INDEX('Lease Cycles'!$CB$12:$CH$12,1,EN78)*(1+INDEX('Lease Cycles'!$CI$12:$CO$12,1,EN78))^INT(INT(EN79/12)/INDEX('Lease Cycles'!$CP$12:$CV$12,1,EN78))/12)))),'Lease Cycles'!$C$12*INDEX('Lease Cycles'!$CB$12:$CH$12,1,EN78)*(1+INDEX('Lease Cycles'!$CI$12:$CO$12,1,EN78))^INT(INT(EN79/12)/INDEX('Lease Cycles'!$CP$12:$CV$12,1,EN78))/12),IF(INDEX('Lease Cycles'!$EF$12:$EL$12,1,EN78)=1,IF(AND('Lease Cycles'!$AZ$12&gt;=INDEX('Lease Cycles'!$BG$12:$BM$12,1,EN78),'Lease Cycles'!$AZ$12&lt;=EN$6),'Lease Cycles'!$C$12*'Lease Cycles'!$BA$12/12,IF(AND('Lease Cycles'!$AX$12&gt;=INDEX('Lease Cycles'!$BG$12:$BM$12,1,EN78),'Lease Cycles'!$AX$12&lt;=EN$6),'Lease Cycles'!$C$12*'Lease Cycles'!$AY$12/12,IF(AND('Lease Cycles'!$AV$12&gt;=INDEX('Lease Cycles'!$BG$12:$BM$12,1,EN78),'Lease Cycles'!$AV$12&lt;=EN$6),'Lease Cycles'!$C$12*'Lease Cycles'!$AW$12/12,IF(AND('Lease Cycles'!$AT$12&gt;=INDEX('Lease Cycles'!$BG$12:$BM$12,1,EN78),'Lease Cycles'!$AT$12&lt;=EN$6),'Lease Cycles'!$C$12*'Lease Cycles'!$AU$12/12,'Lease Cycles'!$C$12*INDEX('Lease Cycles'!$CB$12:$CH$12,1,EN78)*(1+INDEX('Lease Cycles'!$CI$12:$CO$12,1,EN78))^INT(INT(EN79/12)/INDEX('Lease Cycles'!$CP$12:$CV$12,1,EN78))/12)))),'Lease Cycles'!$C$12*INDEX('Lease Cycles'!$CB$12:$CH$12,1,EN78)*(1+INDEX('Lease Cycles'!$CI$12:$CO$12,1,EN78))^INT(INT(EN79/12)/INDEX('Lease Cycles'!$CP$12:$CV$12,1,EN78))/12))),IF('Lease Cycles'!$N$12=1,'Lease Cycles'!$C$12*'Lease Cycles'!$E$12*INDEX('Lease Cycles'!$HE$12:$HK$12,1,EN78)*(1+INDEX('Lease Cycles'!$GQ$12:$GW$12,1,EN78))^INT(INT((EN$6-INDEX('Lease Cycles'!$GJ$12:$GP$12,1,EN78))/12)/INDEX('Lease Cycles'!$GX$12:$HD$12,1,EN78))/12,0)))</f>
        <v>4174.476602745049</v>
      </c>
      <c r="EO81" s="28">
        <f>IF(EO78=0,IF('Lease Cycles'!$F$12&gt;0,'Lease Cycles'!$C$12*'Lease Cycles'!$E$12/12,0),IF(EO80=1,IF('Lease Cycles'!$AT$12&gt;=9999,'Lease Cycles'!$C$12*INDEX('Lease Cycles'!$CB$12:$CH$12,1,EO78)*(1+INDEX('Lease Cycles'!$CI$12:$CO$12,1,EO78))^INT(INT(EO79/12)/INDEX('Lease Cycles'!$CP$12:$CV$12,1,EO78))/12,IF(EO78=1,IF(EO79&gt;=INDEX('Lease Cycles'!$DK$12:$DQ$12,1,EO78),IF(EO$6&gt;='Lease Cycles'!$AZ$12,'Lease Cycles'!$C$12*'Lease Cycles'!$BA$12/12,IF(EO$6&gt;='Lease Cycles'!$AX$12,'Lease Cycles'!$C$12*'Lease Cycles'!$AY$12/12,IF(EO$6&gt;='Lease Cycles'!$AV$12,'Lease Cycles'!$C$12*'Lease Cycles'!$AW$12/12,IF(EO$6&gt;='Lease Cycles'!$AT$12,'Lease Cycles'!$C$12*'Lease Cycles'!$AU$12/12,'Lease Cycles'!$C$12*INDEX('Lease Cycles'!$CB$12:$CH$12,1,EO78)*(1+INDEX('Lease Cycles'!$CI$12:$CO$12,1,EO78))^INT(INT(EO79/12)/INDEX('Lease Cycles'!$CP$12:$CV$12,1,EO78))/12)))),'Lease Cycles'!$C$12*INDEX('Lease Cycles'!$CB$12:$CH$12,1,EO78)*(1+INDEX('Lease Cycles'!$CI$12:$CO$12,1,EO78))^INT(INT(EO79/12)/INDEX('Lease Cycles'!$CP$12:$CV$12,1,EO78))/12),IF(INDEX('Lease Cycles'!$EF$12:$EL$12,1,EO78)=1,IF(AND('Lease Cycles'!$AZ$12&gt;=INDEX('Lease Cycles'!$BG$12:$BM$12,1,EO78),'Lease Cycles'!$AZ$12&lt;=EO$6),'Lease Cycles'!$C$12*'Lease Cycles'!$BA$12/12,IF(AND('Lease Cycles'!$AX$12&gt;=INDEX('Lease Cycles'!$BG$12:$BM$12,1,EO78),'Lease Cycles'!$AX$12&lt;=EO$6),'Lease Cycles'!$C$12*'Lease Cycles'!$AY$12/12,IF(AND('Lease Cycles'!$AV$12&gt;=INDEX('Lease Cycles'!$BG$12:$BM$12,1,EO78),'Lease Cycles'!$AV$12&lt;=EO$6),'Lease Cycles'!$C$12*'Lease Cycles'!$AW$12/12,IF(AND('Lease Cycles'!$AT$12&gt;=INDEX('Lease Cycles'!$BG$12:$BM$12,1,EO78),'Lease Cycles'!$AT$12&lt;=EO$6),'Lease Cycles'!$C$12*'Lease Cycles'!$AU$12/12,'Lease Cycles'!$C$12*INDEX('Lease Cycles'!$CB$12:$CH$12,1,EO78)*(1+INDEX('Lease Cycles'!$CI$12:$CO$12,1,EO78))^INT(INT(EO79/12)/INDEX('Lease Cycles'!$CP$12:$CV$12,1,EO78))/12)))),'Lease Cycles'!$C$12*INDEX('Lease Cycles'!$CB$12:$CH$12,1,EO78)*(1+INDEX('Lease Cycles'!$CI$12:$CO$12,1,EO78))^INT(INT(EO79/12)/INDEX('Lease Cycles'!$CP$12:$CV$12,1,EO78))/12))),IF('Lease Cycles'!$N$12=1,'Lease Cycles'!$C$12*'Lease Cycles'!$E$12*INDEX('Lease Cycles'!$HE$12:$HK$12,1,EO78)*(1+INDEX('Lease Cycles'!$GQ$12:$GW$12,1,EO78))^INT(INT((EO$6-INDEX('Lease Cycles'!$GJ$12:$GP$12,1,EO78))/12)/INDEX('Lease Cycles'!$GX$12:$HD$12,1,EO78))/12,0)))</f>
        <v>4174.476602745049</v>
      </c>
      <c r="EP81" s="28">
        <f>IF(EP78=0,IF('Lease Cycles'!$F$12&gt;0,'Lease Cycles'!$C$12*'Lease Cycles'!$E$12/12,0),IF(EP80=1,IF('Lease Cycles'!$AT$12&gt;=9999,'Lease Cycles'!$C$12*INDEX('Lease Cycles'!$CB$12:$CH$12,1,EP78)*(1+INDEX('Lease Cycles'!$CI$12:$CO$12,1,EP78))^INT(INT(EP79/12)/INDEX('Lease Cycles'!$CP$12:$CV$12,1,EP78))/12,IF(EP78=1,IF(EP79&gt;=INDEX('Lease Cycles'!$DK$12:$DQ$12,1,EP78),IF(EP$6&gt;='Lease Cycles'!$AZ$12,'Lease Cycles'!$C$12*'Lease Cycles'!$BA$12/12,IF(EP$6&gt;='Lease Cycles'!$AX$12,'Lease Cycles'!$C$12*'Lease Cycles'!$AY$12/12,IF(EP$6&gt;='Lease Cycles'!$AV$12,'Lease Cycles'!$C$12*'Lease Cycles'!$AW$12/12,IF(EP$6&gt;='Lease Cycles'!$AT$12,'Lease Cycles'!$C$12*'Lease Cycles'!$AU$12/12,'Lease Cycles'!$C$12*INDEX('Lease Cycles'!$CB$12:$CH$12,1,EP78)*(1+INDEX('Lease Cycles'!$CI$12:$CO$12,1,EP78))^INT(INT(EP79/12)/INDEX('Lease Cycles'!$CP$12:$CV$12,1,EP78))/12)))),'Lease Cycles'!$C$12*INDEX('Lease Cycles'!$CB$12:$CH$12,1,EP78)*(1+INDEX('Lease Cycles'!$CI$12:$CO$12,1,EP78))^INT(INT(EP79/12)/INDEX('Lease Cycles'!$CP$12:$CV$12,1,EP78))/12),IF(INDEX('Lease Cycles'!$EF$12:$EL$12,1,EP78)=1,IF(AND('Lease Cycles'!$AZ$12&gt;=INDEX('Lease Cycles'!$BG$12:$BM$12,1,EP78),'Lease Cycles'!$AZ$12&lt;=EP$6),'Lease Cycles'!$C$12*'Lease Cycles'!$BA$12/12,IF(AND('Lease Cycles'!$AX$12&gt;=INDEX('Lease Cycles'!$BG$12:$BM$12,1,EP78),'Lease Cycles'!$AX$12&lt;=EP$6),'Lease Cycles'!$C$12*'Lease Cycles'!$AY$12/12,IF(AND('Lease Cycles'!$AV$12&gt;=INDEX('Lease Cycles'!$BG$12:$BM$12,1,EP78),'Lease Cycles'!$AV$12&lt;=EP$6),'Lease Cycles'!$C$12*'Lease Cycles'!$AW$12/12,IF(AND('Lease Cycles'!$AT$12&gt;=INDEX('Lease Cycles'!$BG$12:$BM$12,1,EP78),'Lease Cycles'!$AT$12&lt;=EP$6),'Lease Cycles'!$C$12*'Lease Cycles'!$AU$12/12,'Lease Cycles'!$C$12*INDEX('Lease Cycles'!$CB$12:$CH$12,1,EP78)*(1+INDEX('Lease Cycles'!$CI$12:$CO$12,1,EP78))^INT(INT(EP79/12)/INDEX('Lease Cycles'!$CP$12:$CV$12,1,EP78))/12)))),'Lease Cycles'!$C$12*INDEX('Lease Cycles'!$CB$12:$CH$12,1,EP78)*(1+INDEX('Lease Cycles'!$CI$12:$CO$12,1,EP78))^INT(INT(EP79/12)/INDEX('Lease Cycles'!$CP$12:$CV$12,1,EP78))/12))),IF('Lease Cycles'!$N$12=1,'Lease Cycles'!$C$12*'Lease Cycles'!$E$12*INDEX('Lease Cycles'!$HE$12:$HK$12,1,EP78)*(1+INDEX('Lease Cycles'!$GQ$12:$GW$12,1,EP78))^INT(INT((EP$6-INDEX('Lease Cycles'!$GJ$12:$GP$12,1,EP78))/12)/INDEX('Lease Cycles'!$GX$12:$HD$12,1,EP78))/12,0)))</f>
        <v>4174.476602745049</v>
      </c>
      <c r="EQ81" s="28">
        <f>IF(EQ78=0,IF('Lease Cycles'!$F$12&gt;0,'Lease Cycles'!$C$12*'Lease Cycles'!$E$12/12,0),IF(EQ80=1,IF('Lease Cycles'!$AT$12&gt;=9999,'Lease Cycles'!$C$12*INDEX('Lease Cycles'!$CB$12:$CH$12,1,EQ78)*(1+INDEX('Lease Cycles'!$CI$12:$CO$12,1,EQ78))^INT(INT(EQ79/12)/INDEX('Lease Cycles'!$CP$12:$CV$12,1,EQ78))/12,IF(EQ78=1,IF(EQ79&gt;=INDEX('Lease Cycles'!$DK$12:$DQ$12,1,EQ78),IF(EQ$6&gt;='Lease Cycles'!$AZ$12,'Lease Cycles'!$C$12*'Lease Cycles'!$BA$12/12,IF(EQ$6&gt;='Lease Cycles'!$AX$12,'Lease Cycles'!$C$12*'Lease Cycles'!$AY$12/12,IF(EQ$6&gt;='Lease Cycles'!$AV$12,'Lease Cycles'!$C$12*'Lease Cycles'!$AW$12/12,IF(EQ$6&gt;='Lease Cycles'!$AT$12,'Lease Cycles'!$C$12*'Lease Cycles'!$AU$12/12,'Lease Cycles'!$C$12*INDEX('Lease Cycles'!$CB$12:$CH$12,1,EQ78)*(1+INDEX('Lease Cycles'!$CI$12:$CO$12,1,EQ78))^INT(INT(EQ79/12)/INDEX('Lease Cycles'!$CP$12:$CV$12,1,EQ78))/12)))),'Lease Cycles'!$C$12*INDEX('Lease Cycles'!$CB$12:$CH$12,1,EQ78)*(1+INDEX('Lease Cycles'!$CI$12:$CO$12,1,EQ78))^INT(INT(EQ79/12)/INDEX('Lease Cycles'!$CP$12:$CV$12,1,EQ78))/12),IF(INDEX('Lease Cycles'!$EF$12:$EL$12,1,EQ78)=1,IF(AND('Lease Cycles'!$AZ$12&gt;=INDEX('Lease Cycles'!$BG$12:$BM$12,1,EQ78),'Lease Cycles'!$AZ$12&lt;=EQ$6),'Lease Cycles'!$C$12*'Lease Cycles'!$BA$12/12,IF(AND('Lease Cycles'!$AX$12&gt;=INDEX('Lease Cycles'!$BG$12:$BM$12,1,EQ78),'Lease Cycles'!$AX$12&lt;=EQ$6),'Lease Cycles'!$C$12*'Lease Cycles'!$AY$12/12,IF(AND('Lease Cycles'!$AV$12&gt;=INDEX('Lease Cycles'!$BG$12:$BM$12,1,EQ78),'Lease Cycles'!$AV$12&lt;=EQ$6),'Lease Cycles'!$C$12*'Lease Cycles'!$AW$12/12,IF(AND('Lease Cycles'!$AT$12&gt;=INDEX('Lease Cycles'!$BG$12:$BM$12,1,EQ78),'Lease Cycles'!$AT$12&lt;=EQ$6),'Lease Cycles'!$C$12*'Lease Cycles'!$AU$12/12,'Lease Cycles'!$C$12*INDEX('Lease Cycles'!$CB$12:$CH$12,1,EQ78)*(1+INDEX('Lease Cycles'!$CI$12:$CO$12,1,EQ78))^INT(INT(EQ79/12)/INDEX('Lease Cycles'!$CP$12:$CV$12,1,EQ78))/12)))),'Lease Cycles'!$C$12*INDEX('Lease Cycles'!$CB$12:$CH$12,1,EQ78)*(1+INDEX('Lease Cycles'!$CI$12:$CO$12,1,EQ78))^INT(INT(EQ79/12)/INDEX('Lease Cycles'!$CP$12:$CV$12,1,EQ78))/12))),IF('Lease Cycles'!$N$12=1,'Lease Cycles'!$C$12*'Lease Cycles'!$E$12*INDEX('Lease Cycles'!$HE$12:$HK$12,1,EQ78)*(1+INDEX('Lease Cycles'!$GQ$12:$GW$12,1,EQ78))^INT(INT((EQ$6-INDEX('Lease Cycles'!$GJ$12:$GP$12,1,EQ78))/12)/INDEX('Lease Cycles'!$GX$12:$HD$12,1,EQ78))/12,0)))</f>
        <v>4174.476602745049</v>
      </c>
      <c r="ER81" s="28">
        <f>IF(ER78=0,IF('Lease Cycles'!$F$12&gt;0,'Lease Cycles'!$C$12*'Lease Cycles'!$E$12/12,0),IF(ER80=1,IF('Lease Cycles'!$AT$12&gt;=9999,'Lease Cycles'!$C$12*INDEX('Lease Cycles'!$CB$12:$CH$12,1,ER78)*(1+INDEX('Lease Cycles'!$CI$12:$CO$12,1,ER78))^INT(INT(ER79/12)/INDEX('Lease Cycles'!$CP$12:$CV$12,1,ER78))/12,IF(ER78=1,IF(ER79&gt;=INDEX('Lease Cycles'!$DK$12:$DQ$12,1,ER78),IF(ER$6&gt;='Lease Cycles'!$AZ$12,'Lease Cycles'!$C$12*'Lease Cycles'!$BA$12/12,IF(ER$6&gt;='Lease Cycles'!$AX$12,'Lease Cycles'!$C$12*'Lease Cycles'!$AY$12/12,IF(ER$6&gt;='Lease Cycles'!$AV$12,'Lease Cycles'!$C$12*'Lease Cycles'!$AW$12/12,IF(ER$6&gt;='Lease Cycles'!$AT$12,'Lease Cycles'!$C$12*'Lease Cycles'!$AU$12/12,'Lease Cycles'!$C$12*INDEX('Lease Cycles'!$CB$12:$CH$12,1,ER78)*(1+INDEX('Lease Cycles'!$CI$12:$CO$12,1,ER78))^INT(INT(ER79/12)/INDEX('Lease Cycles'!$CP$12:$CV$12,1,ER78))/12)))),'Lease Cycles'!$C$12*INDEX('Lease Cycles'!$CB$12:$CH$12,1,ER78)*(1+INDEX('Lease Cycles'!$CI$12:$CO$12,1,ER78))^INT(INT(ER79/12)/INDEX('Lease Cycles'!$CP$12:$CV$12,1,ER78))/12),IF(INDEX('Lease Cycles'!$EF$12:$EL$12,1,ER78)=1,IF(AND('Lease Cycles'!$AZ$12&gt;=INDEX('Lease Cycles'!$BG$12:$BM$12,1,ER78),'Lease Cycles'!$AZ$12&lt;=ER$6),'Lease Cycles'!$C$12*'Lease Cycles'!$BA$12/12,IF(AND('Lease Cycles'!$AX$12&gt;=INDEX('Lease Cycles'!$BG$12:$BM$12,1,ER78),'Lease Cycles'!$AX$12&lt;=ER$6),'Lease Cycles'!$C$12*'Lease Cycles'!$AY$12/12,IF(AND('Lease Cycles'!$AV$12&gt;=INDEX('Lease Cycles'!$BG$12:$BM$12,1,ER78),'Lease Cycles'!$AV$12&lt;=ER$6),'Lease Cycles'!$C$12*'Lease Cycles'!$AW$12/12,IF(AND('Lease Cycles'!$AT$12&gt;=INDEX('Lease Cycles'!$BG$12:$BM$12,1,ER78),'Lease Cycles'!$AT$12&lt;=ER$6),'Lease Cycles'!$C$12*'Lease Cycles'!$AU$12/12,'Lease Cycles'!$C$12*INDEX('Lease Cycles'!$CB$12:$CH$12,1,ER78)*(1+INDEX('Lease Cycles'!$CI$12:$CO$12,1,ER78))^INT(INT(ER79/12)/INDEX('Lease Cycles'!$CP$12:$CV$12,1,ER78))/12)))),'Lease Cycles'!$C$12*INDEX('Lease Cycles'!$CB$12:$CH$12,1,ER78)*(1+INDEX('Lease Cycles'!$CI$12:$CO$12,1,ER78))^INT(INT(ER79/12)/INDEX('Lease Cycles'!$CP$12:$CV$12,1,ER78))/12))),IF('Lease Cycles'!$N$12=1,'Lease Cycles'!$C$12*'Lease Cycles'!$E$12*INDEX('Lease Cycles'!$HE$12:$HK$12,1,ER78)*(1+INDEX('Lease Cycles'!$GQ$12:$GW$12,1,ER78))^INT(INT((ER$6-INDEX('Lease Cycles'!$GJ$12:$GP$12,1,ER78))/12)/INDEX('Lease Cycles'!$GX$12:$HD$12,1,ER78))/12,0)))</f>
        <v>4174.476602745049</v>
      </c>
      <c r="ES81" s="28">
        <f>IF(ES78=0,IF('Lease Cycles'!$F$12&gt;0,'Lease Cycles'!$C$12*'Lease Cycles'!$E$12/12,0),IF(ES80=1,IF('Lease Cycles'!$AT$12&gt;=9999,'Lease Cycles'!$C$12*INDEX('Lease Cycles'!$CB$12:$CH$12,1,ES78)*(1+INDEX('Lease Cycles'!$CI$12:$CO$12,1,ES78))^INT(INT(ES79/12)/INDEX('Lease Cycles'!$CP$12:$CV$12,1,ES78))/12,IF(ES78=1,IF(ES79&gt;=INDEX('Lease Cycles'!$DK$12:$DQ$12,1,ES78),IF(ES$6&gt;='Lease Cycles'!$AZ$12,'Lease Cycles'!$C$12*'Lease Cycles'!$BA$12/12,IF(ES$6&gt;='Lease Cycles'!$AX$12,'Lease Cycles'!$C$12*'Lease Cycles'!$AY$12/12,IF(ES$6&gt;='Lease Cycles'!$AV$12,'Lease Cycles'!$C$12*'Lease Cycles'!$AW$12/12,IF(ES$6&gt;='Lease Cycles'!$AT$12,'Lease Cycles'!$C$12*'Lease Cycles'!$AU$12/12,'Lease Cycles'!$C$12*INDEX('Lease Cycles'!$CB$12:$CH$12,1,ES78)*(1+INDEX('Lease Cycles'!$CI$12:$CO$12,1,ES78))^INT(INT(ES79/12)/INDEX('Lease Cycles'!$CP$12:$CV$12,1,ES78))/12)))),'Lease Cycles'!$C$12*INDEX('Lease Cycles'!$CB$12:$CH$12,1,ES78)*(1+INDEX('Lease Cycles'!$CI$12:$CO$12,1,ES78))^INT(INT(ES79/12)/INDEX('Lease Cycles'!$CP$12:$CV$12,1,ES78))/12),IF(INDEX('Lease Cycles'!$EF$12:$EL$12,1,ES78)=1,IF(AND('Lease Cycles'!$AZ$12&gt;=INDEX('Lease Cycles'!$BG$12:$BM$12,1,ES78),'Lease Cycles'!$AZ$12&lt;=ES$6),'Lease Cycles'!$C$12*'Lease Cycles'!$BA$12/12,IF(AND('Lease Cycles'!$AX$12&gt;=INDEX('Lease Cycles'!$BG$12:$BM$12,1,ES78),'Lease Cycles'!$AX$12&lt;=ES$6),'Lease Cycles'!$C$12*'Lease Cycles'!$AY$12/12,IF(AND('Lease Cycles'!$AV$12&gt;=INDEX('Lease Cycles'!$BG$12:$BM$12,1,ES78),'Lease Cycles'!$AV$12&lt;=ES$6),'Lease Cycles'!$C$12*'Lease Cycles'!$AW$12/12,IF(AND('Lease Cycles'!$AT$12&gt;=INDEX('Lease Cycles'!$BG$12:$BM$12,1,ES78),'Lease Cycles'!$AT$12&lt;=ES$6),'Lease Cycles'!$C$12*'Lease Cycles'!$AU$12/12,'Lease Cycles'!$C$12*INDEX('Lease Cycles'!$CB$12:$CH$12,1,ES78)*(1+INDEX('Lease Cycles'!$CI$12:$CO$12,1,ES78))^INT(INT(ES79/12)/INDEX('Lease Cycles'!$CP$12:$CV$12,1,ES78))/12)))),'Lease Cycles'!$C$12*INDEX('Lease Cycles'!$CB$12:$CH$12,1,ES78)*(1+INDEX('Lease Cycles'!$CI$12:$CO$12,1,ES78))^INT(INT(ES79/12)/INDEX('Lease Cycles'!$CP$12:$CV$12,1,ES78))/12))),IF('Lease Cycles'!$N$12=1,'Lease Cycles'!$C$12*'Lease Cycles'!$E$12*INDEX('Lease Cycles'!$HE$12:$HK$12,1,ES78)*(1+INDEX('Lease Cycles'!$GQ$12:$GW$12,1,ES78))^INT(INT((ES$6-INDEX('Lease Cycles'!$GJ$12:$GP$12,1,ES78))/12)/INDEX('Lease Cycles'!$GX$12:$HD$12,1,ES78))/12,0)))</f>
        <v>4174.476602745049</v>
      </c>
      <c r="ET81" s="28">
        <f>IF(ET78=0,IF('Lease Cycles'!$F$12&gt;0,'Lease Cycles'!$C$12*'Lease Cycles'!$E$12/12,0),IF(ET80=1,IF('Lease Cycles'!$AT$12&gt;=9999,'Lease Cycles'!$C$12*INDEX('Lease Cycles'!$CB$12:$CH$12,1,ET78)*(1+INDEX('Lease Cycles'!$CI$12:$CO$12,1,ET78))^INT(INT(ET79/12)/INDEX('Lease Cycles'!$CP$12:$CV$12,1,ET78))/12,IF(ET78=1,IF(ET79&gt;=INDEX('Lease Cycles'!$DK$12:$DQ$12,1,ET78),IF(ET$6&gt;='Lease Cycles'!$AZ$12,'Lease Cycles'!$C$12*'Lease Cycles'!$BA$12/12,IF(ET$6&gt;='Lease Cycles'!$AX$12,'Lease Cycles'!$C$12*'Lease Cycles'!$AY$12/12,IF(ET$6&gt;='Lease Cycles'!$AV$12,'Lease Cycles'!$C$12*'Lease Cycles'!$AW$12/12,IF(ET$6&gt;='Lease Cycles'!$AT$12,'Lease Cycles'!$C$12*'Lease Cycles'!$AU$12/12,'Lease Cycles'!$C$12*INDEX('Lease Cycles'!$CB$12:$CH$12,1,ET78)*(1+INDEX('Lease Cycles'!$CI$12:$CO$12,1,ET78))^INT(INT(ET79/12)/INDEX('Lease Cycles'!$CP$12:$CV$12,1,ET78))/12)))),'Lease Cycles'!$C$12*INDEX('Lease Cycles'!$CB$12:$CH$12,1,ET78)*(1+INDEX('Lease Cycles'!$CI$12:$CO$12,1,ET78))^INT(INT(ET79/12)/INDEX('Lease Cycles'!$CP$12:$CV$12,1,ET78))/12),IF(INDEX('Lease Cycles'!$EF$12:$EL$12,1,ET78)=1,IF(AND('Lease Cycles'!$AZ$12&gt;=INDEX('Lease Cycles'!$BG$12:$BM$12,1,ET78),'Lease Cycles'!$AZ$12&lt;=ET$6),'Lease Cycles'!$C$12*'Lease Cycles'!$BA$12/12,IF(AND('Lease Cycles'!$AX$12&gt;=INDEX('Lease Cycles'!$BG$12:$BM$12,1,ET78),'Lease Cycles'!$AX$12&lt;=ET$6),'Lease Cycles'!$C$12*'Lease Cycles'!$AY$12/12,IF(AND('Lease Cycles'!$AV$12&gt;=INDEX('Lease Cycles'!$BG$12:$BM$12,1,ET78),'Lease Cycles'!$AV$12&lt;=ET$6),'Lease Cycles'!$C$12*'Lease Cycles'!$AW$12/12,IF(AND('Lease Cycles'!$AT$12&gt;=INDEX('Lease Cycles'!$BG$12:$BM$12,1,ET78),'Lease Cycles'!$AT$12&lt;=ET$6),'Lease Cycles'!$C$12*'Lease Cycles'!$AU$12/12,'Lease Cycles'!$C$12*INDEX('Lease Cycles'!$CB$12:$CH$12,1,ET78)*(1+INDEX('Lease Cycles'!$CI$12:$CO$12,1,ET78))^INT(INT(ET79/12)/INDEX('Lease Cycles'!$CP$12:$CV$12,1,ET78))/12)))),'Lease Cycles'!$C$12*INDEX('Lease Cycles'!$CB$12:$CH$12,1,ET78)*(1+INDEX('Lease Cycles'!$CI$12:$CO$12,1,ET78))^INT(INT(ET79/12)/INDEX('Lease Cycles'!$CP$12:$CV$12,1,ET78))/12))),IF('Lease Cycles'!$N$12=1,'Lease Cycles'!$C$12*'Lease Cycles'!$E$12*INDEX('Lease Cycles'!$HE$12:$HK$12,1,ET78)*(1+INDEX('Lease Cycles'!$GQ$12:$GW$12,1,ET78))^INT(INT((ET$6-INDEX('Lease Cycles'!$GJ$12:$GP$12,1,ET78))/12)/INDEX('Lease Cycles'!$GX$12:$HD$12,1,ET78))/12,0)))</f>
        <v>4174.476602745049</v>
      </c>
    </row>
    <row r="82">
      <c r="A82" s="103">
        <v>5</v>
      </c>
      <c r="B82" s="23" t="str">
        <f>IF('Lease Cycles'!$B$12="","(empty slot)",'Lease Cycles'!$B$12)</f>
        <v>Sunfield Pizza</v>
      </c>
      <c r="C82" s="23" t="s">
        <v>679</v>
      </c>
      <c r="D82" s="104" t="s">
        <v>680</v>
      </c>
      <c r="E82" s="25">
        <f>'Lease Cycles'!$AL$12</f>
        <v>0</v>
      </c>
      <c r="S82" s="28">
        <f>IF(S80=1,IF(INDEX('Lease Cycles'!$EF$12:$EL$12,1,S78)=1,'Lease Cycles'!$C$12*INDEX('Lease Cycles'!$ET$12:$EZ$12,1,S78)*(1+'Lease Cycles'!$V$12)^INT(INT(S79/12)/'Lease Cycles'!$W$12)/12,0),0)</f>
        <v>0</v>
      </c>
      <c r="T82" s="28">
        <f>IF(T80=1,IF(INDEX('Lease Cycles'!$EF$12:$EL$12,1,T78)=1,'Lease Cycles'!$C$12*INDEX('Lease Cycles'!$ET$12:$EZ$12,1,T78)*(1+'Lease Cycles'!$V$12)^INT(INT(T79/12)/'Lease Cycles'!$W$12)/12,0),0)</f>
        <v>0</v>
      </c>
      <c r="U82" s="28">
        <f>IF(U80=1,IF(INDEX('Lease Cycles'!$EF$12:$EL$12,1,U78)=1,'Lease Cycles'!$C$12*INDEX('Lease Cycles'!$ET$12:$EZ$12,1,U78)*(1+'Lease Cycles'!$V$12)^INT(INT(U79/12)/'Lease Cycles'!$W$12)/12,0),0)</f>
        <v>0</v>
      </c>
      <c r="V82" s="28">
        <f>IF(V80=1,IF(INDEX('Lease Cycles'!$EF$12:$EL$12,1,V78)=1,'Lease Cycles'!$C$12*INDEX('Lease Cycles'!$ET$12:$EZ$12,1,V78)*(1+'Lease Cycles'!$V$12)^INT(INT(V79/12)/'Lease Cycles'!$W$12)/12,0),0)</f>
        <v>0</v>
      </c>
      <c r="W82" s="28">
        <f>IF(W80=1,IF(INDEX('Lease Cycles'!$EF$12:$EL$12,1,W78)=1,'Lease Cycles'!$C$12*INDEX('Lease Cycles'!$ET$12:$EZ$12,1,W78)*(1+'Lease Cycles'!$V$12)^INT(INT(W79/12)/'Lease Cycles'!$W$12)/12,0),0)</f>
        <v>0</v>
      </c>
      <c r="X82" s="28">
        <f>IF(X80=1,IF(INDEX('Lease Cycles'!$EF$12:$EL$12,1,X78)=1,'Lease Cycles'!$C$12*INDEX('Lease Cycles'!$ET$12:$EZ$12,1,X78)*(1+'Lease Cycles'!$V$12)^INT(INT(X79/12)/'Lease Cycles'!$W$12)/12,0),0)</f>
        <v>0</v>
      </c>
      <c r="Y82" s="28">
        <f>IF(Y80=1,IF(INDEX('Lease Cycles'!$EF$12:$EL$12,1,Y78)=1,'Lease Cycles'!$C$12*INDEX('Lease Cycles'!$ET$12:$EZ$12,1,Y78)*(1+'Lease Cycles'!$V$12)^INT(INT(Y79/12)/'Lease Cycles'!$W$12)/12,0),0)</f>
        <v>0</v>
      </c>
      <c r="Z82" s="28">
        <f>IF(Z80=1,IF(INDEX('Lease Cycles'!$EF$12:$EL$12,1,Z78)=1,'Lease Cycles'!$C$12*INDEX('Lease Cycles'!$ET$12:$EZ$12,1,Z78)*(1+'Lease Cycles'!$V$12)^INT(INT(Z79/12)/'Lease Cycles'!$W$12)/12,0),0)</f>
        <v>0</v>
      </c>
      <c r="AA82" s="28">
        <f>IF(AA80=1,IF(INDEX('Lease Cycles'!$EF$12:$EL$12,1,AA78)=1,'Lease Cycles'!$C$12*INDEX('Lease Cycles'!$ET$12:$EZ$12,1,AA78)*(1+'Lease Cycles'!$V$12)^INT(INT(AA79/12)/'Lease Cycles'!$W$12)/12,0),0)</f>
        <v>0</v>
      </c>
      <c r="AB82" s="28">
        <f>IF(AB80=1,IF(INDEX('Lease Cycles'!$EF$12:$EL$12,1,AB78)=1,'Lease Cycles'!$C$12*INDEX('Lease Cycles'!$ET$12:$EZ$12,1,AB78)*(1+'Lease Cycles'!$V$12)^INT(INT(AB79/12)/'Lease Cycles'!$W$12)/12,0),0)</f>
        <v>0</v>
      </c>
      <c r="AC82" s="28">
        <f>IF(AC80=1,IF(INDEX('Lease Cycles'!$EF$12:$EL$12,1,AC78)=1,'Lease Cycles'!$C$12*INDEX('Lease Cycles'!$ET$12:$EZ$12,1,AC78)*(1+'Lease Cycles'!$V$12)^INT(INT(AC79/12)/'Lease Cycles'!$W$12)/12,0),0)</f>
        <v>0</v>
      </c>
      <c r="AD82" s="28">
        <f>IF(AD80=1,IF(INDEX('Lease Cycles'!$EF$12:$EL$12,1,AD78)=1,'Lease Cycles'!$C$12*INDEX('Lease Cycles'!$ET$12:$EZ$12,1,AD78)*(1+'Lease Cycles'!$V$12)^INT(INT(AD79/12)/'Lease Cycles'!$W$12)/12,0),0)</f>
        <v>0</v>
      </c>
      <c r="AE82" s="28">
        <f>IF(AE80=1,IF(INDEX('Lease Cycles'!$EF$12:$EL$12,1,AE78)=1,'Lease Cycles'!$C$12*INDEX('Lease Cycles'!$ET$12:$EZ$12,1,AE78)*(1+'Lease Cycles'!$V$12)^INT(INT(AE79/12)/'Lease Cycles'!$W$12)/12,0),0)</f>
        <v>0</v>
      </c>
      <c r="AF82" s="28">
        <f>IF(AF80=1,IF(INDEX('Lease Cycles'!$EF$12:$EL$12,1,AF78)=1,'Lease Cycles'!$C$12*INDEX('Lease Cycles'!$ET$12:$EZ$12,1,AF78)*(1+'Lease Cycles'!$V$12)^INT(INT(AF79/12)/'Lease Cycles'!$W$12)/12,0),0)</f>
        <v>0</v>
      </c>
      <c r="AG82" s="28">
        <f>IF(AG80=1,IF(INDEX('Lease Cycles'!$EF$12:$EL$12,1,AG78)=1,'Lease Cycles'!$C$12*INDEX('Lease Cycles'!$ET$12:$EZ$12,1,AG78)*(1+'Lease Cycles'!$V$12)^INT(INT(AG79/12)/'Lease Cycles'!$W$12)/12,0),0)</f>
        <v>0</v>
      </c>
      <c r="AH82" s="28">
        <f>IF(AH80=1,IF(INDEX('Lease Cycles'!$EF$12:$EL$12,1,AH78)=1,'Lease Cycles'!$C$12*INDEX('Lease Cycles'!$ET$12:$EZ$12,1,AH78)*(1+'Lease Cycles'!$V$12)^INT(INT(AH79/12)/'Lease Cycles'!$W$12)/12,0),0)</f>
        <v>0</v>
      </c>
      <c r="AI82" s="28">
        <f>IF(AI80=1,IF(INDEX('Lease Cycles'!$EF$12:$EL$12,1,AI78)=1,'Lease Cycles'!$C$12*INDEX('Lease Cycles'!$ET$12:$EZ$12,1,AI78)*(1+'Lease Cycles'!$V$12)^INT(INT(AI79/12)/'Lease Cycles'!$W$12)/12,0),0)</f>
        <v>0</v>
      </c>
      <c r="AJ82" s="28">
        <f>IF(AJ80=1,IF(INDEX('Lease Cycles'!$EF$12:$EL$12,1,AJ78)=1,'Lease Cycles'!$C$12*INDEX('Lease Cycles'!$ET$12:$EZ$12,1,AJ78)*(1+'Lease Cycles'!$V$12)^INT(INT(AJ79/12)/'Lease Cycles'!$W$12)/12,0),0)</f>
        <v>0</v>
      </c>
      <c r="AK82" s="28">
        <f>IF(AK80=1,IF(INDEX('Lease Cycles'!$EF$12:$EL$12,1,AK78)=1,'Lease Cycles'!$C$12*INDEX('Lease Cycles'!$ET$12:$EZ$12,1,AK78)*(1+'Lease Cycles'!$V$12)^INT(INT(AK79/12)/'Lease Cycles'!$W$12)/12,0),0)</f>
        <v>0</v>
      </c>
      <c r="AL82" s="28">
        <f>IF(AL80=1,IF(INDEX('Lease Cycles'!$EF$12:$EL$12,1,AL78)=1,'Lease Cycles'!$C$12*INDEX('Lease Cycles'!$ET$12:$EZ$12,1,AL78)*(1+'Lease Cycles'!$V$12)^INT(INT(AL79/12)/'Lease Cycles'!$W$12)/12,0),0)</f>
        <v>0</v>
      </c>
      <c r="AM82" s="28">
        <f>IF(AM80=1,IF(INDEX('Lease Cycles'!$EF$12:$EL$12,1,AM78)=1,'Lease Cycles'!$C$12*INDEX('Lease Cycles'!$ET$12:$EZ$12,1,AM78)*(1+'Lease Cycles'!$V$12)^INT(INT(AM79/12)/'Lease Cycles'!$W$12)/12,0),0)</f>
        <v>0</v>
      </c>
      <c r="AN82" s="28">
        <f>IF(AN80=1,IF(INDEX('Lease Cycles'!$EF$12:$EL$12,1,AN78)=1,'Lease Cycles'!$C$12*INDEX('Lease Cycles'!$ET$12:$EZ$12,1,AN78)*(1+'Lease Cycles'!$V$12)^INT(INT(AN79/12)/'Lease Cycles'!$W$12)/12,0),0)</f>
        <v>0</v>
      </c>
      <c r="AO82" s="28">
        <f>IF(AO80=1,IF(INDEX('Lease Cycles'!$EF$12:$EL$12,1,AO78)=1,'Lease Cycles'!$C$12*INDEX('Lease Cycles'!$ET$12:$EZ$12,1,AO78)*(1+'Lease Cycles'!$V$12)^INT(INT(AO79/12)/'Lease Cycles'!$W$12)/12,0),0)</f>
        <v>0</v>
      </c>
      <c r="AP82" s="28">
        <f>IF(AP80=1,IF(INDEX('Lease Cycles'!$EF$12:$EL$12,1,AP78)=1,'Lease Cycles'!$C$12*INDEX('Lease Cycles'!$ET$12:$EZ$12,1,AP78)*(1+'Lease Cycles'!$V$12)^INT(INT(AP79/12)/'Lease Cycles'!$W$12)/12,0),0)</f>
        <v>0</v>
      </c>
      <c r="AQ82" s="28">
        <f>IF(AQ80=1,IF(INDEX('Lease Cycles'!$EF$12:$EL$12,1,AQ78)=1,'Lease Cycles'!$C$12*INDEX('Lease Cycles'!$ET$12:$EZ$12,1,AQ78)*(1+'Lease Cycles'!$V$12)^INT(INT(AQ79/12)/'Lease Cycles'!$W$12)/12,0),0)</f>
        <v>0</v>
      </c>
      <c r="AR82" s="28">
        <f>IF(AR80=1,IF(INDEX('Lease Cycles'!$EF$12:$EL$12,1,AR78)=1,'Lease Cycles'!$C$12*INDEX('Lease Cycles'!$ET$12:$EZ$12,1,AR78)*(1+'Lease Cycles'!$V$12)^INT(INT(AR79/12)/'Lease Cycles'!$W$12)/12,0),0)</f>
        <v>0</v>
      </c>
      <c r="AS82" s="28">
        <f>IF(AS80=1,IF(INDEX('Lease Cycles'!$EF$12:$EL$12,1,AS78)=1,'Lease Cycles'!$C$12*INDEX('Lease Cycles'!$ET$12:$EZ$12,1,AS78)*(1+'Lease Cycles'!$V$12)^INT(INT(AS79/12)/'Lease Cycles'!$W$12)/12,0),0)</f>
        <v>0</v>
      </c>
      <c r="AT82" s="28">
        <f>IF(AT80=1,IF(INDEX('Lease Cycles'!$EF$12:$EL$12,1,AT78)=1,'Lease Cycles'!$C$12*INDEX('Lease Cycles'!$ET$12:$EZ$12,1,AT78)*(1+'Lease Cycles'!$V$12)^INT(INT(AT79/12)/'Lease Cycles'!$W$12)/12,0),0)</f>
        <v>0</v>
      </c>
      <c r="AU82" s="28">
        <f>IF(AU80=1,IF(INDEX('Lease Cycles'!$EF$12:$EL$12,1,AU78)=1,'Lease Cycles'!$C$12*INDEX('Lease Cycles'!$ET$12:$EZ$12,1,AU78)*(1+'Lease Cycles'!$V$12)^INT(INT(AU79/12)/'Lease Cycles'!$W$12)/12,0),0)</f>
        <v>0</v>
      </c>
      <c r="AV82" s="28">
        <f>IF(AV80=1,IF(INDEX('Lease Cycles'!$EF$12:$EL$12,1,AV78)=1,'Lease Cycles'!$C$12*INDEX('Lease Cycles'!$ET$12:$EZ$12,1,AV78)*(1+'Lease Cycles'!$V$12)^INT(INT(AV79/12)/'Lease Cycles'!$W$12)/12,0),0)</f>
        <v>0</v>
      </c>
      <c r="AW82" s="28">
        <f>IF(AW80=1,IF(INDEX('Lease Cycles'!$EF$12:$EL$12,1,AW78)=1,'Lease Cycles'!$C$12*INDEX('Lease Cycles'!$ET$12:$EZ$12,1,AW78)*(1+'Lease Cycles'!$V$12)^INT(INT(AW79/12)/'Lease Cycles'!$W$12)/12,0),0)</f>
        <v>0</v>
      </c>
      <c r="AX82" s="28">
        <f>IF(AX80=1,IF(INDEX('Lease Cycles'!$EF$12:$EL$12,1,AX78)=1,'Lease Cycles'!$C$12*INDEX('Lease Cycles'!$ET$12:$EZ$12,1,AX78)*(1+'Lease Cycles'!$V$12)^INT(INT(AX79/12)/'Lease Cycles'!$W$12)/12,0),0)</f>
        <v>0</v>
      </c>
      <c r="AY82" s="28">
        <f>IF(AY80=1,IF(INDEX('Lease Cycles'!$EF$12:$EL$12,1,AY78)=1,'Lease Cycles'!$C$12*INDEX('Lease Cycles'!$ET$12:$EZ$12,1,AY78)*(1+'Lease Cycles'!$V$12)^INT(INT(AY79/12)/'Lease Cycles'!$W$12)/12,0),0)</f>
        <v>0</v>
      </c>
      <c r="AZ82" s="28">
        <f>IF(AZ80=1,IF(INDEX('Lease Cycles'!$EF$12:$EL$12,1,AZ78)=1,'Lease Cycles'!$C$12*INDEX('Lease Cycles'!$ET$12:$EZ$12,1,AZ78)*(1+'Lease Cycles'!$V$12)^INT(INT(AZ79/12)/'Lease Cycles'!$W$12)/12,0),0)</f>
        <v>0</v>
      </c>
      <c r="BA82" s="28">
        <f>IF(BA80=1,IF(INDEX('Lease Cycles'!$EF$12:$EL$12,1,BA78)=1,'Lease Cycles'!$C$12*INDEX('Lease Cycles'!$ET$12:$EZ$12,1,BA78)*(1+'Lease Cycles'!$V$12)^INT(INT(BA79/12)/'Lease Cycles'!$W$12)/12,0),0)</f>
        <v>0</v>
      </c>
      <c r="BB82" s="28">
        <f>IF(BB80=1,IF(INDEX('Lease Cycles'!$EF$12:$EL$12,1,BB78)=1,'Lease Cycles'!$C$12*INDEX('Lease Cycles'!$ET$12:$EZ$12,1,BB78)*(1+'Lease Cycles'!$V$12)^INT(INT(BB79/12)/'Lease Cycles'!$W$12)/12,0),0)</f>
        <v>0</v>
      </c>
      <c r="BC82" s="28">
        <f>IF(BC80=1,IF(INDEX('Lease Cycles'!$EF$12:$EL$12,1,BC78)=1,'Lease Cycles'!$C$12*INDEX('Lease Cycles'!$ET$12:$EZ$12,1,BC78)*(1+'Lease Cycles'!$V$12)^INT(INT(BC79/12)/'Lease Cycles'!$W$12)/12,0),0)</f>
        <v>0</v>
      </c>
      <c r="BD82" s="28">
        <f>IF(BD80=1,IF(INDEX('Lease Cycles'!$EF$12:$EL$12,1,BD78)=1,'Lease Cycles'!$C$12*INDEX('Lease Cycles'!$ET$12:$EZ$12,1,BD78)*(1+'Lease Cycles'!$V$12)^INT(INT(BD79/12)/'Lease Cycles'!$W$12)/12,0),0)</f>
        <v>0</v>
      </c>
      <c r="BE82" s="28">
        <f>IF(BE80=1,IF(INDEX('Lease Cycles'!$EF$12:$EL$12,1,BE78)=1,'Lease Cycles'!$C$12*INDEX('Lease Cycles'!$ET$12:$EZ$12,1,BE78)*(1+'Lease Cycles'!$V$12)^INT(INT(BE79/12)/'Lease Cycles'!$W$12)/12,0),0)</f>
        <v>0</v>
      </c>
      <c r="BF82" s="28">
        <f>IF(BF80=1,IF(INDEX('Lease Cycles'!$EF$12:$EL$12,1,BF78)=1,'Lease Cycles'!$C$12*INDEX('Lease Cycles'!$ET$12:$EZ$12,1,BF78)*(1+'Lease Cycles'!$V$12)^INT(INT(BF79/12)/'Lease Cycles'!$W$12)/12,0),0)</f>
        <v>0</v>
      </c>
      <c r="BG82" s="28">
        <f>IF(BG80=1,IF(INDEX('Lease Cycles'!$EF$12:$EL$12,1,BG78)=1,'Lease Cycles'!$C$12*INDEX('Lease Cycles'!$ET$12:$EZ$12,1,BG78)*(1+'Lease Cycles'!$V$12)^INT(INT(BG79/12)/'Lease Cycles'!$W$12)/12,0),0)</f>
        <v>0</v>
      </c>
      <c r="BH82" s="28">
        <f>IF(BH80=1,IF(INDEX('Lease Cycles'!$EF$12:$EL$12,1,BH78)=1,'Lease Cycles'!$C$12*INDEX('Lease Cycles'!$ET$12:$EZ$12,1,BH78)*(1+'Lease Cycles'!$V$12)^INT(INT(BH79/12)/'Lease Cycles'!$W$12)/12,0),0)</f>
        <v>0</v>
      </c>
      <c r="BI82" s="28">
        <f>IF(BI80=1,IF(INDEX('Lease Cycles'!$EF$12:$EL$12,1,BI78)=1,'Lease Cycles'!$C$12*INDEX('Lease Cycles'!$ET$12:$EZ$12,1,BI78)*(1+'Lease Cycles'!$V$12)^INT(INT(BI79/12)/'Lease Cycles'!$W$12)/12,0),0)</f>
        <v>0</v>
      </c>
      <c r="BJ82" s="28">
        <f>IF(BJ80=1,IF(INDEX('Lease Cycles'!$EF$12:$EL$12,1,BJ78)=1,'Lease Cycles'!$C$12*INDEX('Lease Cycles'!$ET$12:$EZ$12,1,BJ78)*(1+'Lease Cycles'!$V$12)^INT(INT(BJ79/12)/'Lease Cycles'!$W$12)/12,0),0)</f>
        <v>0</v>
      </c>
      <c r="BK82" s="28">
        <f>IF(BK80=1,IF(INDEX('Lease Cycles'!$EF$12:$EL$12,1,BK78)=1,'Lease Cycles'!$C$12*INDEX('Lease Cycles'!$ET$12:$EZ$12,1,BK78)*(1+'Lease Cycles'!$V$12)^INT(INT(BK79/12)/'Lease Cycles'!$W$12)/12,0),0)</f>
        <v>0</v>
      </c>
      <c r="BL82" s="28">
        <f>IF(BL80=1,IF(INDEX('Lease Cycles'!$EF$12:$EL$12,1,BL78)=1,'Lease Cycles'!$C$12*INDEX('Lease Cycles'!$ET$12:$EZ$12,1,BL78)*(1+'Lease Cycles'!$V$12)^INT(INT(BL79/12)/'Lease Cycles'!$W$12)/12,0),0)</f>
        <v>0</v>
      </c>
      <c r="BM82" s="28">
        <f>IF(BM80=1,IF(INDEX('Lease Cycles'!$EF$12:$EL$12,1,BM78)=1,'Lease Cycles'!$C$12*INDEX('Lease Cycles'!$ET$12:$EZ$12,1,BM78)*(1+'Lease Cycles'!$V$12)^INT(INT(BM79/12)/'Lease Cycles'!$W$12)/12,0),0)</f>
        <v>0</v>
      </c>
      <c r="BN82" s="28">
        <f>IF(BN80=1,IF(INDEX('Lease Cycles'!$EF$12:$EL$12,1,BN78)=1,'Lease Cycles'!$C$12*INDEX('Lease Cycles'!$ET$12:$EZ$12,1,BN78)*(1+'Lease Cycles'!$V$12)^INT(INT(BN79/12)/'Lease Cycles'!$W$12)/12,0),0)</f>
        <v>0</v>
      </c>
      <c r="BO82" s="28">
        <f>IF(BO80=1,IF(INDEX('Lease Cycles'!$EF$12:$EL$12,1,BO78)=1,'Lease Cycles'!$C$12*INDEX('Lease Cycles'!$ET$12:$EZ$12,1,BO78)*(1+'Lease Cycles'!$V$12)^INT(INT(BO79/12)/'Lease Cycles'!$W$12)/12,0),0)</f>
        <v>0</v>
      </c>
      <c r="BP82" s="28">
        <f>IF(BP80=1,IF(INDEX('Lease Cycles'!$EF$12:$EL$12,1,BP78)=1,'Lease Cycles'!$C$12*INDEX('Lease Cycles'!$ET$12:$EZ$12,1,BP78)*(1+'Lease Cycles'!$V$12)^INT(INT(BP79/12)/'Lease Cycles'!$W$12)/12,0),0)</f>
        <v>0</v>
      </c>
      <c r="BQ82" s="28">
        <f>IF(BQ80=1,IF(INDEX('Lease Cycles'!$EF$12:$EL$12,1,BQ78)=1,'Lease Cycles'!$C$12*INDEX('Lease Cycles'!$ET$12:$EZ$12,1,BQ78)*(1+'Lease Cycles'!$V$12)^INT(INT(BQ79/12)/'Lease Cycles'!$W$12)/12,0),0)</f>
        <v>0</v>
      </c>
      <c r="BR82" s="28">
        <f>IF(BR80=1,IF(INDEX('Lease Cycles'!$EF$12:$EL$12,1,BR78)=1,'Lease Cycles'!$C$12*INDEX('Lease Cycles'!$ET$12:$EZ$12,1,BR78)*(1+'Lease Cycles'!$V$12)^INT(INT(BR79/12)/'Lease Cycles'!$W$12)/12,0),0)</f>
        <v>0</v>
      </c>
      <c r="BS82" s="28">
        <f>IF(BS80=1,IF(INDEX('Lease Cycles'!$EF$12:$EL$12,1,BS78)=1,'Lease Cycles'!$C$12*INDEX('Lease Cycles'!$ET$12:$EZ$12,1,BS78)*(1+'Lease Cycles'!$V$12)^INT(INT(BS79/12)/'Lease Cycles'!$W$12)/12,0),0)</f>
        <v>0</v>
      </c>
      <c r="BT82" s="28">
        <f>IF(BT80=1,IF(INDEX('Lease Cycles'!$EF$12:$EL$12,1,BT78)=1,'Lease Cycles'!$C$12*INDEX('Lease Cycles'!$ET$12:$EZ$12,1,BT78)*(1+'Lease Cycles'!$V$12)^INT(INT(BT79/12)/'Lease Cycles'!$W$12)/12,0),0)</f>
        <v>0</v>
      </c>
      <c r="BU82" s="28">
        <f>IF(BU80=1,IF(INDEX('Lease Cycles'!$EF$12:$EL$12,1,BU78)=1,'Lease Cycles'!$C$12*INDEX('Lease Cycles'!$ET$12:$EZ$12,1,BU78)*(1+'Lease Cycles'!$V$12)^INT(INT(BU79/12)/'Lease Cycles'!$W$12)/12,0),0)</f>
        <v>0</v>
      </c>
      <c r="BV82" s="28">
        <f>IF(BV80=1,IF(INDEX('Lease Cycles'!$EF$12:$EL$12,1,BV78)=1,'Lease Cycles'!$C$12*INDEX('Lease Cycles'!$ET$12:$EZ$12,1,BV78)*(1+'Lease Cycles'!$V$12)^INT(INT(BV79/12)/'Lease Cycles'!$W$12)/12,0),0)</f>
        <v>0</v>
      </c>
      <c r="BW82" s="28">
        <f>IF(BW80=1,IF(INDEX('Lease Cycles'!$EF$12:$EL$12,1,BW78)=1,'Lease Cycles'!$C$12*INDEX('Lease Cycles'!$ET$12:$EZ$12,1,BW78)*(1+'Lease Cycles'!$V$12)^INT(INT(BW79/12)/'Lease Cycles'!$W$12)/12,0),0)</f>
        <v>0</v>
      </c>
      <c r="BX82" s="28">
        <f>IF(BX80=1,IF(INDEX('Lease Cycles'!$EF$12:$EL$12,1,BX78)=1,'Lease Cycles'!$C$12*INDEX('Lease Cycles'!$ET$12:$EZ$12,1,BX78)*(1+'Lease Cycles'!$V$12)^INT(INT(BX79/12)/'Lease Cycles'!$W$12)/12,0),0)</f>
        <v>0</v>
      </c>
      <c r="BY82" s="28">
        <f>IF(BY80=1,IF(INDEX('Lease Cycles'!$EF$12:$EL$12,1,BY78)=1,'Lease Cycles'!$C$12*INDEX('Lease Cycles'!$ET$12:$EZ$12,1,BY78)*(1+'Lease Cycles'!$V$12)^INT(INT(BY79/12)/'Lease Cycles'!$W$12)/12,0),0)</f>
        <v>0</v>
      </c>
      <c r="BZ82" s="28">
        <f>IF(BZ80=1,IF(INDEX('Lease Cycles'!$EF$12:$EL$12,1,BZ78)=1,'Lease Cycles'!$C$12*INDEX('Lease Cycles'!$ET$12:$EZ$12,1,BZ78)*(1+'Lease Cycles'!$V$12)^INT(INT(BZ79/12)/'Lease Cycles'!$W$12)/12,0),0)</f>
        <v>0</v>
      </c>
      <c r="CA82" s="28">
        <f>IF(CA80=1,IF(INDEX('Lease Cycles'!$EF$12:$EL$12,1,CA78)=1,'Lease Cycles'!$C$12*INDEX('Lease Cycles'!$ET$12:$EZ$12,1,CA78)*(1+'Lease Cycles'!$V$12)^INT(INT(CA79/12)/'Lease Cycles'!$W$12)/12,0),0)</f>
        <v>0</v>
      </c>
      <c r="CB82" s="28">
        <f>IF(CB80=1,IF(INDEX('Lease Cycles'!$EF$12:$EL$12,1,CB78)=1,'Lease Cycles'!$C$12*INDEX('Lease Cycles'!$ET$12:$EZ$12,1,CB78)*(1+'Lease Cycles'!$V$12)^INT(INT(CB79/12)/'Lease Cycles'!$W$12)/12,0),0)</f>
        <v>0</v>
      </c>
      <c r="CC82" s="28">
        <f>IF(CC80=1,IF(INDEX('Lease Cycles'!$EF$12:$EL$12,1,CC78)=1,'Lease Cycles'!$C$12*INDEX('Lease Cycles'!$ET$12:$EZ$12,1,CC78)*(1+'Lease Cycles'!$V$12)^INT(INT(CC79/12)/'Lease Cycles'!$W$12)/12,0),0)</f>
        <v>0</v>
      </c>
      <c r="CD82" s="28">
        <f>IF(CD80=1,IF(INDEX('Lease Cycles'!$EF$12:$EL$12,1,CD78)=1,'Lease Cycles'!$C$12*INDEX('Lease Cycles'!$ET$12:$EZ$12,1,CD78)*(1+'Lease Cycles'!$V$12)^INT(INT(CD79/12)/'Lease Cycles'!$W$12)/12,0),0)</f>
        <v>0</v>
      </c>
      <c r="CE82" s="28">
        <f>IF(CE80=1,IF(INDEX('Lease Cycles'!$EF$12:$EL$12,1,CE78)=1,'Lease Cycles'!$C$12*INDEX('Lease Cycles'!$ET$12:$EZ$12,1,CE78)*(1+'Lease Cycles'!$V$12)^INT(INT(CE79/12)/'Lease Cycles'!$W$12)/12,0),0)</f>
        <v>0</v>
      </c>
      <c r="CF82" s="28">
        <f>IF(CF80=1,IF(INDEX('Lease Cycles'!$EF$12:$EL$12,1,CF78)=1,'Lease Cycles'!$C$12*INDEX('Lease Cycles'!$ET$12:$EZ$12,1,CF78)*(1+'Lease Cycles'!$V$12)^INT(INT(CF79/12)/'Lease Cycles'!$W$12)/12,0),0)</f>
        <v>0</v>
      </c>
      <c r="CG82" s="28">
        <f>IF(CG80=1,IF(INDEX('Lease Cycles'!$EF$12:$EL$12,1,CG78)=1,'Lease Cycles'!$C$12*INDEX('Lease Cycles'!$ET$12:$EZ$12,1,CG78)*(1+'Lease Cycles'!$V$12)^INT(INT(CG79/12)/'Lease Cycles'!$W$12)/12,0),0)</f>
        <v>0</v>
      </c>
      <c r="CH82" s="28">
        <f>IF(CH80=1,IF(INDEX('Lease Cycles'!$EF$12:$EL$12,1,CH78)=1,'Lease Cycles'!$C$12*INDEX('Lease Cycles'!$ET$12:$EZ$12,1,CH78)*(1+'Lease Cycles'!$V$12)^INT(INT(CH79/12)/'Lease Cycles'!$W$12)/12,0),0)</f>
        <v>0</v>
      </c>
      <c r="CI82" s="28">
        <f>IF(CI80=1,IF(INDEX('Lease Cycles'!$EF$12:$EL$12,1,CI78)=1,'Lease Cycles'!$C$12*INDEX('Lease Cycles'!$ET$12:$EZ$12,1,CI78)*(1+'Lease Cycles'!$V$12)^INT(INT(CI79/12)/'Lease Cycles'!$W$12)/12,0),0)</f>
        <v>0</v>
      </c>
      <c r="CJ82" s="28">
        <f>IF(CJ80=1,IF(INDEX('Lease Cycles'!$EF$12:$EL$12,1,CJ78)=1,'Lease Cycles'!$C$12*INDEX('Lease Cycles'!$ET$12:$EZ$12,1,CJ78)*(1+'Lease Cycles'!$V$12)^INT(INT(CJ79/12)/'Lease Cycles'!$W$12)/12,0),0)</f>
        <v>0</v>
      </c>
      <c r="CK82" s="28">
        <f>IF(CK80=1,IF(INDEX('Lease Cycles'!$EF$12:$EL$12,1,CK78)=1,'Lease Cycles'!$C$12*INDEX('Lease Cycles'!$ET$12:$EZ$12,1,CK78)*(1+'Lease Cycles'!$V$12)^INT(INT(CK79/12)/'Lease Cycles'!$W$12)/12,0),0)</f>
        <v>0</v>
      </c>
      <c r="CL82" s="28">
        <f>IF(CL80=1,IF(INDEX('Lease Cycles'!$EF$12:$EL$12,1,CL78)=1,'Lease Cycles'!$C$12*INDEX('Lease Cycles'!$ET$12:$EZ$12,1,CL78)*(1+'Lease Cycles'!$V$12)^INT(INT(CL79/12)/'Lease Cycles'!$W$12)/12,0),0)</f>
        <v>0</v>
      </c>
      <c r="CM82" s="28">
        <f>IF(CM80=1,IF(INDEX('Lease Cycles'!$EF$12:$EL$12,1,CM78)=1,'Lease Cycles'!$C$12*INDEX('Lease Cycles'!$ET$12:$EZ$12,1,CM78)*(1+'Lease Cycles'!$V$12)^INT(INT(CM79/12)/'Lease Cycles'!$W$12)/12,0),0)</f>
        <v>0</v>
      </c>
      <c r="CN82" s="28">
        <f>IF(CN80=1,IF(INDEX('Lease Cycles'!$EF$12:$EL$12,1,CN78)=1,'Lease Cycles'!$C$12*INDEX('Lease Cycles'!$ET$12:$EZ$12,1,CN78)*(1+'Lease Cycles'!$V$12)^INT(INT(CN79/12)/'Lease Cycles'!$W$12)/12,0),0)</f>
        <v>0</v>
      </c>
      <c r="CO82" s="28">
        <f>IF(CO80=1,IF(INDEX('Lease Cycles'!$EF$12:$EL$12,1,CO78)=1,'Lease Cycles'!$C$12*INDEX('Lease Cycles'!$ET$12:$EZ$12,1,CO78)*(1+'Lease Cycles'!$V$12)^INT(INT(CO79/12)/'Lease Cycles'!$W$12)/12,0),0)</f>
        <v>0</v>
      </c>
      <c r="CP82" s="28">
        <f>IF(CP80=1,IF(INDEX('Lease Cycles'!$EF$12:$EL$12,1,CP78)=1,'Lease Cycles'!$C$12*INDEX('Lease Cycles'!$ET$12:$EZ$12,1,CP78)*(1+'Lease Cycles'!$V$12)^INT(INT(CP79/12)/'Lease Cycles'!$W$12)/12,0),0)</f>
        <v>0</v>
      </c>
      <c r="CQ82" s="28">
        <f>IF(CQ80=1,IF(INDEX('Lease Cycles'!$EF$12:$EL$12,1,CQ78)=1,'Lease Cycles'!$C$12*INDEX('Lease Cycles'!$ET$12:$EZ$12,1,CQ78)*(1+'Lease Cycles'!$V$12)^INT(INT(CQ79/12)/'Lease Cycles'!$W$12)/12,0),0)</f>
        <v>0</v>
      </c>
      <c r="CR82" s="28">
        <f>IF(CR80=1,IF(INDEX('Lease Cycles'!$EF$12:$EL$12,1,CR78)=1,'Lease Cycles'!$C$12*INDEX('Lease Cycles'!$ET$12:$EZ$12,1,CR78)*(1+'Lease Cycles'!$V$12)^INT(INT(CR79/12)/'Lease Cycles'!$W$12)/12,0),0)</f>
        <v>0</v>
      </c>
      <c r="CS82" s="28">
        <f>IF(CS80=1,IF(INDEX('Lease Cycles'!$EF$12:$EL$12,1,CS78)=1,'Lease Cycles'!$C$12*INDEX('Lease Cycles'!$ET$12:$EZ$12,1,CS78)*(1+'Lease Cycles'!$V$12)^INT(INT(CS79/12)/'Lease Cycles'!$W$12)/12,0),0)</f>
        <v>0</v>
      </c>
      <c r="CT82" s="28">
        <f>IF(CT80=1,IF(INDEX('Lease Cycles'!$EF$12:$EL$12,1,CT78)=1,'Lease Cycles'!$C$12*INDEX('Lease Cycles'!$ET$12:$EZ$12,1,CT78)*(1+'Lease Cycles'!$V$12)^INT(INT(CT79/12)/'Lease Cycles'!$W$12)/12,0),0)</f>
        <v>0</v>
      </c>
      <c r="CU82" s="28">
        <f>IF(CU80=1,IF(INDEX('Lease Cycles'!$EF$12:$EL$12,1,CU78)=1,'Lease Cycles'!$C$12*INDEX('Lease Cycles'!$ET$12:$EZ$12,1,CU78)*(1+'Lease Cycles'!$V$12)^INT(INT(CU79/12)/'Lease Cycles'!$W$12)/12,0),0)</f>
        <v>0</v>
      </c>
      <c r="CV82" s="28">
        <f>IF(CV80=1,IF(INDEX('Lease Cycles'!$EF$12:$EL$12,1,CV78)=1,'Lease Cycles'!$C$12*INDEX('Lease Cycles'!$ET$12:$EZ$12,1,CV78)*(1+'Lease Cycles'!$V$12)^INT(INT(CV79/12)/'Lease Cycles'!$W$12)/12,0),0)</f>
        <v>0</v>
      </c>
      <c r="CW82" s="28">
        <f>IF(CW80=1,IF(INDEX('Lease Cycles'!$EF$12:$EL$12,1,CW78)=1,'Lease Cycles'!$C$12*INDEX('Lease Cycles'!$ET$12:$EZ$12,1,CW78)*(1+'Lease Cycles'!$V$12)^INT(INT(CW79/12)/'Lease Cycles'!$W$12)/12,0),0)</f>
        <v>0</v>
      </c>
      <c r="CX82" s="28">
        <f>IF(CX80=1,IF(INDEX('Lease Cycles'!$EF$12:$EL$12,1,CX78)=1,'Lease Cycles'!$C$12*INDEX('Lease Cycles'!$ET$12:$EZ$12,1,CX78)*(1+'Lease Cycles'!$V$12)^INT(INT(CX79/12)/'Lease Cycles'!$W$12)/12,0),0)</f>
        <v>0</v>
      </c>
      <c r="CY82" s="28">
        <f>IF(CY80=1,IF(INDEX('Lease Cycles'!$EF$12:$EL$12,1,CY78)=1,'Lease Cycles'!$C$12*INDEX('Lease Cycles'!$ET$12:$EZ$12,1,CY78)*(1+'Lease Cycles'!$V$12)^INT(INT(CY79/12)/'Lease Cycles'!$W$12)/12,0),0)</f>
        <v>0</v>
      </c>
      <c r="CZ82" s="28">
        <f>IF(CZ80=1,IF(INDEX('Lease Cycles'!$EF$12:$EL$12,1,CZ78)=1,'Lease Cycles'!$C$12*INDEX('Lease Cycles'!$ET$12:$EZ$12,1,CZ78)*(1+'Lease Cycles'!$V$12)^INT(INT(CZ79/12)/'Lease Cycles'!$W$12)/12,0),0)</f>
        <v>0</v>
      </c>
      <c r="DA82" s="28">
        <f>IF(DA80=1,IF(INDEX('Lease Cycles'!$EF$12:$EL$12,1,DA78)=1,'Lease Cycles'!$C$12*INDEX('Lease Cycles'!$ET$12:$EZ$12,1,DA78)*(1+'Lease Cycles'!$V$12)^INT(INT(DA79/12)/'Lease Cycles'!$W$12)/12,0),0)</f>
        <v>0</v>
      </c>
      <c r="DB82" s="28">
        <f>IF(DB80=1,IF(INDEX('Lease Cycles'!$EF$12:$EL$12,1,DB78)=1,'Lease Cycles'!$C$12*INDEX('Lease Cycles'!$ET$12:$EZ$12,1,DB78)*(1+'Lease Cycles'!$V$12)^INT(INT(DB79/12)/'Lease Cycles'!$W$12)/12,0),0)</f>
        <v>0</v>
      </c>
      <c r="DC82" s="28">
        <f>IF(DC80=1,IF(INDEX('Lease Cycles'!$EF$12:$EL$12,1,DC78)=1,'Lease Cycles'!$C$12*INDEX('Lease Cycles'!$ET$12:$EZ$12,1,DC78)*(1+'Lease Cycles'!$V$12)^INT(INT(DC79/12)/'Lease Cycles'!$W$12)/12,0),0)</f>
        <v>0</v>
      </c>
      <c r="DD82" s="28">
        <f>IF(DD80=1,IF(INDEX('Lease Cycles'!$EF$12:$EL$12,1,DD78)=1,'Lease Cycles'!$C$12*INDEX('Lease Cycles'!$ET$12:$EZ$12,1,DD78)*(1+'Lease Cycles'!$V$12)^INT(INT(DD79/12)/'Lease Cycles'!$W$12)/12,0),0)</f>
        <v>0</v>
      </c>
      <c r="DE82" s="28">
        <f>IF(DE80=1,IF(INDEX('Lease Cycles'!$EF$12:$EL$12,1,DE78)=1,'Lease Cycles'!$C$12*INDEX('Lease Cycles'!$ET$12:$EZ$12,1,DE78)*(1+'Lease Cycles'!$V$12)^INT(INT(DE79/12)/'Lease Cycles'!$W$12)/12,0),0)</f>
        <v>0</v>
      </c>
      <c r="DF82" s="28">
        <f>IF(DF80=1,IF(INDEX('Lease Cycles'!$EF$12:$EL$12,1,DF78)=1,'Lease Cycles'!$C$12*INDEX('Lease Cycles'!$ET$12:$EZ$12,1,DF78)*(1+'Lease Cycles'!$V$12)^INT(INT(DF79/12)/'Lease Cycles'!$W$12)/12,0),0)</f>
        <v>0</v>
      </c>
      <c r="DG82" s="28">
        <f>IF(DG80=1,IF(INDEX('Lease Cycles'!$EF$12:$EL$12,1,DG78)=1,'Lease Cycles'!$C$12*INDEX('Lease Cycles'!$ET$12:$EZ$12,1,DG78)*(1+'Lease Cycles'!$V$12)^INT(INT(DG79/12)/'Lease Cycles'!$W$12)/12,0),0)</f>
        <v>0</v>
      </c>
      <c r="DH82" s="28">
        <f>IF(DH80=1,IF(INDEX('Lease Cycles'!$EF$12:$EL$12,1,DH78)=1,'Lease Cycles'!$C$12*INDEX('Lease Cycles'!$ET$12:$EZ$12,1,DH78)*(1+'Lease Cycles'!$V$12)^INT(INT(DH79/12)/'Lease Cycles'!$W$12)/12,0),0)</f>
        <v>0</v>
      </c>
      <c r="DI82" s="28">
        <f>IF(DI80=1,IF(INDEX('Lease Cycles'!$EF$12:$EL$12,1,DI78)=1,'Lease Cycles'!$C$12*INDEX('Lease Cycles'!$ET$12:$EZ$12,1,DI78)*(1+'Lease Cycles'!$V$12)^INT(INT(DI79/12)/'Lease Cycles'!$W$12)/12,0),0)</f>
        <v>0</v>
      </c>
      <c r="DJ82" s="28">
        <f>IF(DJ80=1,IF(INDEX('Lease Cycles'!$EF$12:$EL$12,1,DJ78)=1,'Lease Cycles'!$C$12*INDEX('Lease Cycles'!$ET$12:$EZ$12,1,DJ78)*(1+'Lease Cycles'!$V$12)^INT(INT(DJ79/12)/'Lease Cycles'!$W$12)/12,0),0)</f>
        <v>0</v>
      </c>
      <c r="DK82" s="28">
        <f>IF(DK80=1,IF(INDEX('Lease Cycles'!$EF$12:$EL$12,1,DK78)=1,'Lease Cycles'!$C$12*INDEX('Lease Cycles'!$ET$12:$EZ$12,1,DK78)*(1+'Lease Cycles'!$V$12)^INT(INT(DK79/12)/'Lease Cycles'!$W$12)/12,0),0)</f>
        <v>0</v>
      </c>
      <c r="DL82" s="28">
        <f>IF(DL80=1,IF(INDEX('Lease Cycles'!$EF$12:$EL$12,1,DL78)=1,'Lease Cycles'!$C$12*INDEX('Lease Cycles'!$ET$12:$EZ$12,1,DL78)*(1+'Lease Cycles'!$V$12)^INT(INT(DL79/12)/'Lease Cycles'!$W$12)/12,0),0)</f>
        <v>0</v>
      </c>
      <c r="DM82" s="28">
        <f>IF(DM80=1,IF(INDEX('Lease Cycles'!$EF$12:$EL$12,1,DM78)=1,'Lease Cycles'!$C$12*INDEX('Lease Cycles'!$ET$12:$EZ$12,1,DM78)*(1+'Lease Cycles'!$V$12)^INT(INT(DM79/12)/'Lease Cycles'!$W$12)/12,0),0)</f>
        <v>0</v>
      </c>
      <c r="DN82" s="28">
        <f>IF(DN80=1,IF(INDEX('Lease Cycles'!$EF$12:$EL$12,1,DN78)=1,'Lease Cycles'!$C$12*INDEX('Lease Cycles'!$ET$12:$EZ$12,1,DN78)*(1+'Lease Cycles'!$V$12)^INT(INT(DN79/12)/'Lease Cycles'!$W$12)/12,0),0)</f>
        <v>0</v>
      </c>
      <c r="DO82" s="28">
        <f>IF(DO80=1,IF(INDEX('Lease Cycles'!$EF$12:$EL$12,1,DO78)=1,'Lease Cycles'!$C$12*INDEX('Lease Cycles'!$ET$12:$EZ$12,1,DO78)*(1+'Lease Cycles'!$V$12)^INT(INT(DO79/12)/'Lease Cycles'!$W$12)/12,0),0)</f>
        <v>0</v>
      </c>
      <c r="DP82" s="28">
        <f>IF(DP80=1,IF(INDEX('Lease Cycles'!$EF$12:$EL$12,1,DP78)=1,'Lease Cycles'!$C$12*INDEX('Lease Cycles'!$ET$12:$EZ$12,1,DP78)*(1+'Lease Cycles'!$V$12)^INT(INT(DP79/12)/'Lease Cycles'!$W$12)/12,0),0)</f>
        <v>0</v>
      </c>
      <c r="DQ82" s="28">
        <f>IF(DQ80=1,IF(INDEX('Lease Cycles'!$EF$12:$EL$12,1,DQ78)=1,'Lease Cycles'!$C$12*INDEX('Lease Cycles'!$ET$12:$EZ$12,1,DQ78)*(1+'Lease Cycles'!$V$12)^INT(INT(DQ79/12)/'Lease Cycles'!$W$12)/12,0),0)</f>
        <v>0</v>
      </c>
      <c r="DR82" s="28">
        <f>IF(DR80=1,IF(INDEX('Lease Cycles'!$EF$12:$EL$12,1,DR78)=1,'Lease Cycles'!$C$12*INDEX('Lease Cycles'!$ET$12:$EZ$12,1,DR78)*(1+'Lease Cycles'!$V$12)^INT(INT(DR79/12)/'Lease Cycles'!$W$12)/12,0),0)</f>
        <v>0</v>
      </c>
      <c r="DS82" s="28">
        <f>IF(DS80=1,IF(INDEX('Lease Cycles'!$EF$12:$EL$12,1,DS78)=1,'Lease Cycles'!$C$12*INDEX('Lease Cycles'!$ET$12:$EZ$12,1,DS78)*(1+'Lease Cycles'!$V$12)^INT(INT(DS79/12)/'Lease Cycles'!$W$12)/12,0),0)</f>
        <v>0</v>
      </c>
      <c r="DT82" s="28">
        <f>IF(DT80=1,IF(INDEX('Lease Cycles'!$EF$12:$EL$12,1,DT78)=1,'Lease Cycles'!$C$12*INDEX('Lease Cycles'!$ET$12:$EZ$12,1,DT78)*(1+'Lease Cycles'!$V$12)^INT(INT(DT79/12)/'Lease Cycles'!$W$12)/12,0),0)</f>
        <v>0</v>
      </c>
      <c r="DU82" s="28">
        <f>IF(DU80=1,IF(INDEX('Lease Cycles'!$EF$12:$EL$12,1,DU78)=1,'Lease Cycles'!$C$12*INDEX('Lease Cycles'!$ET$12:$EZ$12,1,DU78)*(1+'Lease Cycles'!$V$12)^INT(INT(DU79/12)/'Lease Cycles'!$W$12)/12,0),0)</f>
        <v>0</v>
      </c>
      <c r="DV82" s="28">
        <f>IF(DV80=1,IF(INDEX('Lease Cycles'!$EF$12:$EL$12,1,DV78)=1,'Lease Cycles'!$C$12*INDEX('Lease Cycles'!$ET$12:$EZ$12,1,DV78)*(1+'Lease Cycles'!$V$12)^INT(INT(DV79/12)/'Lease Cycles'!$W$12)/12,0),0)</f>
        <v>0</v>
      </c>
      <c r="DW82" s="28">
        <f>IF(DW80=1,IF(INDEX('Lease Cycles'!$EF$12:$EL$12,1,DW78)=1,'Lease Cycles'!$C$12*INDEX('Lease Cycles'!$ET$12:$EZ$12,1,DW78)*(1+'Lease Cycles'!$V$12)^INT(INT(DW79/12)/'Lease Cycles'!$W$12)/12,0),0)</f>
        <v>0</v>
      </c>
      <c r="DX82" s="28">
        <f>IF(DX80=1,IF(INDEX('Lease Cycles'!$EF$12:$EL$12,1,DX78)=1,'Lease Cycles'!$C$12*INDEX('Lease Cycles'!$ET$12:$EZ$12,1,DX78)*(1+'Lease Cycles'!$V$12)^INT(INT(DX79/12)/'Lease Cycles'!$W$12)/12,0),0)</f>
        <v>0</v>
      </c>
      <c r="DY82" s="28">
        <f>IF(DY80=1,IF(INDEX('Lease Cycles'!$EF$12:$EL$12,1,DY78)=1,'Lease Cycles'!$C$12*INDEX('Lease Cycles'!$ET$12:$EZ$12,1,DY78)*(1+'Lease Cycles'!$V$12)^INT(INT(DY79/12)/'Lease Cycles'!$W$12)/12,0),0)</f>
        <v>0</v>
      </c>
      <c r="DZ82" s="28">
        <f>IF(DZ80=1,IF(INDEX('Lease Cycles'!$EF$12:$EL$12,1,DZ78)=1,'Lease Cycles'!$C$12*INDEX('Lease Cycles'!$ET$12:$EZ$12,1,DZ78)*(1+'Lease Cycles'!$V$12)^INT(INT(DZ79/12)/'Lease Cycles'!$W$12)/12,0),0)</f>
        <v>0</v>
      </c>
      <c r="EA82" s="28">
        <f>IF(EA80=1,IF(INDEX('Lease Cycles'!$EF$12:$EL$12,1,EA78)=1,'Lease Cycles'!$C$12*INDEX('Lease Cycles'!$ET$12:$EZ$12,1,EA78)*(1+'Lease Cycles'!$V$12)^INT(INT(EA79/12)/'Lease Cycles'!$W$12)/12,0),0)</f>
        <v>0</v>
      </c>
      <c r="EB82" s="28">
        <f>IF(EB80=1,IF(INDEX('Lease Cycles'!$EF$12:$EL$12,1,EB78)=1,'Lease Cycles'!$C$12*INDEX('Lease Cycles'!$ET$12:$EZ$12,1,EB78)*(1+'Lease Cycles'!$V$12)^INT(INT(EB79/12)/'Lease Cycles'!$W$12)/12,0),0)</f>
        <v>0</v>
      </c>
      <c r="EC82" s="28">
        <f>IF(EC80=1,IF(INDEX('Lease Cycles'!$EF$12:$EL$12,1,EC78)=1,'Lease Cycles'!$C$12*INDEX('Lease Cycles'!$ET$12:$EZ$12,1,EC78)*(1+'Lease Cycles'!$V$12)^INT(INT(EC79/12)/'Lease Cycles'!$W$12)/12,0),0)</f>
        <v>0</v>
      </c>
      <c r="ED82" s="28">
        <f>IF(ED80=1,IF(INDEX('Lease Cycles'!$EF$12:$EL$12,1,ED78)=1,'Lease Cycles'!$C$12*INDEX('Lease Cycles'!$ET$12:$EZ$12,1,ED78)*(1+'Lease Cycles'!$V$12)^INT(INT(ED79/12)/'Lease Cycles'!$W$12)/12,0),0)</f>
        <v>0</v>
      </c>
      <c r="EE82" s="28">
        <f>IF(EE80=1,IF(INDEX('Lease Cycles'!$EF$12:$EL$12,1,EE78)=1,'Lease Cycles'!$C$12*INDEX('Lease Cycles'!$ET$12:$EZ$12,1,EE78)*(1+'Lease Cycles'!$V$12)^INT(INT(EE79/12)/'Lease Cycles'!$W$12)/12,0),0)</f>
        <v>0</v>
      </c>
      <c r="EF82" s="28">
        <f>IF(EF80=1,IF(INDEX('Lease Cycles'!$EF$12:$EL$12,1,EF78)=1,'Lease Cycles'!$C$12*INDEX('Lease Cycles'!$ET$12:$EZ$12,1,EF78)*(1+'Lease Cycles'!$V$12)^INT(INT(EF79/12)/'Lease Cycles'!$W$12)/12,0),0)</f>
        <v>0</v>
      </c>
      <c r="EG82" s="28">
        <f>IF(EG80=1,IF(INDEX('Lease Cycles'!$EF$12:$EL$12,1,EG78)=1,'Lease Cycles'!$C$12*INDEX('Lease Cycles'!$ET$12:$EZ$12,1,EG78)*(1+'Lease Cycles'!$V$12)^INT(INT(EG79/12)/'Lease Cycles'!$W$12)/12,0),0)</f>
        <v>0</v>
      </c>
      <c r="EH82" s="28">
        <f>IF(EH80=1,IF(INDEX('Lease Cycles'!$EF$12:$EL$12,1,EH78)=1,'Lease Cycles'!$C$12*INDEX('Lease Cycles'!$ET$12:$EZ$12,1,EH78)*(1+'Lease Cycles'!$V$12)^INT(INT(EH79/12)/'Lease Cycles'!$W$12)/12,0),0)</f>
        <v>0</v>
      </c>
      <c r="EI82" s="28">
        <f>IF(EI80=1,IF(INDEX('Lease Cycles'!$EF$12:$EL$12,1,EI78)=1,'Lease Cycles'!$C$12*INDEX('Lease Cycles'!$ET$12:$EZ$12,1,EI78)*(1+'Lease Cycles'!$V$12)^INT(INT(EI79/12)/'Lease Cycles'!$W$12)/12,0),0)</f>
        <v>0</v>
      </c>
      <c r="EJ82" s="28">
        <f>IF(EJ80=1,IF(INDEX('Lease Cycles'!$EF$12:$EL$12,1,EJ78)=1,'Lease Cycles'!$C$12*INDEX('Lease Cycles'!$ET$12:$EZ$12,1,EJ78)*(1+'Lease Cycles'!$V$12)^INT(INT(EJ79/12)/'Lease Cycles'!$W$12)/12,0),0)</f>
        <v>0</v>
      </c>
      <c r="EK82" s="28">
        <f>IF(EK80=1,IF(INDEX('Lease Cycles'!$EF$12:$EL$12,1,EK78)=1,'Lease Cycles'!$C$12*INDEX('Lease Cycles'!$ET$12:$EZ$12,1,EK78)*(1+'Lease Cycles'!$V$12)^INT(INT(EK79/12)/'Lease Cycles'!$W$12)/12,0),0)</f>
        <v>0</v>
      </c>
      <c r="EL82" s="28">
        <f>IF(EL80=1,IF(INDEX('Lease Cycles'!$EF$12:$EL$12,1,EL78)=1,'Lease Cycles'!$C$12*INDEX('Lease Cycles'!$ET$12:$EZ$12,1,EL78)*(1+'Lease Cycles'!$V$12)^INT(INT(EL79/12)/'Lease Cycles'!$W$12)/12,0),0)</f>
        <v>0</v>
      </c>
      <c r="EM82" s="28">
        <f>IF(EM80=1,IF(INDEX('Lease Cycles'!$EF$12:$EL$12,1,EM78)=1,'Lease Cycles'!$C$12*INDEX('Lease Cycles'!$ET$12:$EZ$12,1,EM78)*(1+'Lease Cycles'!$V$12)^INT(INT(EM79/12)/'Lease Cycles'!$W$12)/12,0),0)</f>
        <v>0</v>
      </c>
      <c r="EN82" s="28">
        <f>IF(EN80=1,IF(INDEX('Lease Cycles'!$EF$12:$EL$12,1,EN78)=1,'Lease Cycles'!$C$12*INDEX('Lease Cycles'!$ET$12:$EZ$12,1,EN78)*(1+'Lease Cycles'!$V$12)^INT(INT(EN79/12)/'Lease Cycles'!$W$12)/12,0),0)</f>
        <v>0</v>
      </c>
      <c r="EO82" s="28">
        <f>IF(EO80=1,IF(INDEX('Lease Cycles'!$EF$12:$EL$12,1,EO78)=1,'Lease Cycles'!$C$12*INDEX('Lease Cycles'!$ET$12:$EZ$12,1,EO78)*(1+'Lease Cycles'!$V$12)^INT(INT(EO79/12)/'Lease Cycles'!$W$12)/12,0),0)</f>
        <v>0</v>
      </c>
      <c r="EP82" s="28">
        <f>IF(EP80=1,IF(INDEX('Lease Cycles'!$EF$12:$EL$12,1,EP78)=1,'Lease Cycles'!$C$12*INDEX('Lease Cycles'!$ET$12:$EZ$12,1,EP78)*(1+'Lease Cycles'!$V$12)^INT(INT(EP79/12)/'Lease Cycles'!$W$12)/12,0),0)</f>
        <v>0</v>
      </c>
      <c r="EQ82" s="28">
        <f>IF(EQ80=1,IF(INDEX('Lease Cycles'!$EF$12:$EL$12,1,EQ78)=1,'Lease Cycles'!$C$12*INDEX('Lease Cycles'!$ET$12:$EZ$12,1,EQ78)*(1+'Lease Cycles'!$V$12)^INT(INT(EQ79/12)/'Lease Cycles'!$W$12)/12,0),0)</f>
        <v>0</v>
      </c>
      <c r="ER82" s="28">
        <f>IF(ER80=1,IF(INDEX('Lease Cycles'!$EF$12:$EL$12,1,ER78)=1,'Lease Cycles'!$C$12*INDEX('Lease Cycles'!$ET$12:$EZ$12,1,ER78)*(1+'Lease Cycles'!$V$12)^INT(INT(ER79/12)/'Lease Cycles'!$W$12)/12,0),0)</f>
        <v>0</v>
      </c>
      <c r="ES82" s="28">
        <f>IF(ES80=1,IF(INDEX('Lease Cycles'!$EF$12:$EL$12,1,ES78)=1,'Lease Cycles'!$C$12*INDEX('Lease Cycles'!$ET$12:$EZ$12,1,ES78)*(1+'Lease Cycles'!$V$12)^INT(INT(ES79/12)/'Lease Cycles'!$W$12)/12,0),0)</f>
        <v>0</v>
      </c>
      <c r="ET82" s="28">
        <f>IF(ET80=1,IF(INDEX('Lease Cycles'!$EF$12:$EL$12,1,ET78)=1,'Lease Cycles'!$C$12*INDEX('Lease Cycles'!$ET$12:$EZ$12,1,ET78)*(1+'Lease Cycles'!$V$12)^INT(INT(ET79/12)/'Lease Cycles'!$W$12)/12,0),0)</f>
        <v>0</v>
      </c>
    </row>
    <row r="83">
      <c r="A83" s="103">
        <v>5</v>
      </c>
      <c r="B83" s="23" t="str">
        <f>IF('Lease Cycles'!$B$12="","(empty slot)",'Lease Cycles'!$B$12)</f>
        <v>Sunfield Pizza</v>
      </c>
      <c r="C83" s="23" t="s">
        <v>681</v>
      </c>
      <c r="D83" s="104" t="s">
        <v>490</v>
      </c>
      <c r="E83" s="25">
        <f>'Lease Cycles'!$AL$12</f>
        <v>0</v>
      </c>
      <c r="G83" s="28">
        <f>SUM(S83:AD83)</f>
        <v>60000</v>
      </c>
      <c r="H83" s="28">
        <f>SUM(AE83:AP83)</f>
        <v>58541.49256557412</v>
      </c>
      <c r="I83" s="28">
        <f>SUM(AQ83:BB83)</f>
        <v>39254.62076538309</v>
      </c>
      <c r="J83" s="28">
        <f>SUM(BC83:BN83)</f>
        <v>40432.25938834458</v>
      </c>
      <c r="K83" s="28">
        <f>SUM(BO83:BZ83)</f>
        <v>41645.22716999492</v>
      </c>
      <c r="L83" s="28">
        <f>SUM(CA83:CL83)</f>
        <v>42894.58398509477</v>
      </c>
      <c r="M83" s="28">
        <f>SUM(CM83:CX83)</f>
        <v>44181.42150464762</v>
      </c>
      <c r="N83" s="28">
        <f>SUM(CY83:DJ83)</f>
        <v>45506.86414978704</v>
      </c>
      <c r="O83" s="28">
        <f>SUM(DK83:DV83)</f>
        <v>46872.07007428066</v>
      </c>
      <c r="P83" s="28">
        <f>SUM(DW83:EH83)</f>
        <v>52565.47280232086</v>
      </c>
      <c r="Q83" s="28">
        <f>SUM(EI83:ET83)</f>
        <v>49728.95914143859</v>
      </c>
      <c r="S83" s="28">
        <f>IF(S80=1,IF(INDEX('Lease Cycles'!$EF$12:$EL$12,1,S78)=1,S81*INDEX('Lease Cycles'!$EM$12:$ES$12,1,S78)+S82*(1-INDEX('Lease Cycles'!$EM$12:$ES$12,1,S78)),S81),S81)</f>
        <v>5000</v>
      </c>
      <c r="T83" s="28">
        <f>IF(T80=1,IF(INDEX('Lease Cycles'!$EF$12:$EL$12,1,T78)=1,T81*INDEX('Lease Cycles'!$EM$12:$ES$12,1,T78)+T82*(1-INDEX('Lease Cycles'!$EM$12:$ES$12,1,T78)),T81),T81)</f>
        <v>5000</v>
      </c>
      <c r="U83" s="28">
        <f>IF(U80=1,IF(INDEX('Lease Cycles'!$EF$12:$EL$12,1,U78)=1,U81*INDEX('Lease Cycles'!$EM$12:$ES$12,1,U78)+U82*(1-INDEX('Lease Cycles'!$EM$12:$ES$12,1,U78)),U81),U81)</f>
        <v>5000</v>
      </c>
      <c r="V83" s="28">
        <f>IF(V80=1,IF(INDEX('Lease Cycles'!$EF$12:$EL$12,1,V78)=1,V81*INDEX('Lease Cycles'!$EM$12:$ES$12,1,V78)+V82*(1-INDEX('Lease Cycles'!$EM$12:$ES$12,1,V78)),V81),V81)</f>
        <v>5000</v>
      </c>
      <c r="W83" s="28">
        <f>IF(W80=1,IF(INDEX('Lease Cycles'!$EF$12:$EL$12,1,W78)=1,W81*INDEX('Lease Cycles'!$EM$12:$ES$12,1,W78)+W82*(1-INDEX('Lease Cycles'!$EM$12:$ES$12,1,W78)),W81),W81)</f>
        <v>5000</v>
      </c>
      <c r="X83" s="28">
        <f>IF(X80=1,IF(INDEX('Lease Cycles'!$EF$12:$EL$12,1,X78)=1,X81*INDEX('Lease Cycles'!$EM$12:$ES$12,1,X78)+X82*(1-INDEX('Lease Cycles'!$EM$12:$ES$12,1,X78)),X81),X81)</f>
        <v>5000</v>
      </c>
      <c r="Y83" s="28">
        <f>IF(Y80=1,IF(INDEX('Lease Cycles'!$EF$12:$EL$12,1,Y78)=1,Y81*INDEX('Lease Cycles'!$EM$12:$ES$12,1,Y78)+Y82*(1-INDEX('Lease Cycles'!$EM$12:$ES$12,1,Y78)),Y81),Y81)</f>
        <v>5000</v>
      </c>
      <c r="Z83" s="28">
        <f>IF(Z80=1,IF(INDEX('Lease Cycles'!$EF$12:$EL$12,1,Z78)=1,Z81*INDEX('Lease Cycles'!$EM$12:$ES$12,1,Z78)+Z82*(1-INDEX('Lease Cycles'!$EM$12:$ES$12,1,Z78)),Z81),Z81)</f>
        <v>5000</v>
      </c>
      <c r="AA83" s="28">
        <f>IF(AA80=1,IF(INDEX('Lease Cycles'!$EF$12:$EL$12,1,AA78)=1,AA81*INDEX('Lease Cycles'!$EM$12:$ES$12,1,AA78)+AA82*(1-INDEX('Lease Cycles'!$EM$12:$ES$12,1,AA78)),AA81),AA81)</f>
        <v>5000</v>
      </c>
      <c r="AB83" s="28">
        <f>IF(AB80=1,IF(INDEX('Lease Cycles'!$EF$12:$EL$12,1,AB78)=1,AB81*INDEX('Lease Cycles'!$EM$12:$ES$12,1,AB78)+AB82*(1-INDEX('Lease Cycles'!$EM$12:$ES$12,1,AB78)),AB81),AB81)</f>
        <v>5000</v>
      </c>
      <c r="AC83" s="28">
        <f>IF(AC80=1,IF(INDEX('Lease Cycles'!$EF$12:$EL$12,1,AC78)=1,AC81*INDEX('Lease Cycles'!$EM$12:$ES$12,1,AC78)+AC82*(1-INDEX('Lease Cycles'!$EM$12:$ES$12,1,AC78)),AC81),AC81)</f>
        <v>5000</v>
      </c>
      <c r="AD83" s="28">
        <f>IF(AD80=1,IF(INDEX('Lease Cycles'!$EF$12:$EL$12,1,AD78)=1,AD81*INDEX('Lease Cycles'!$EM$12:$ES$12,1,AD78)+AD82*(1-INDEX('Lease Cycles'!$EM$12:$ES$12,1,AD78)),AD81),AD81)</f>
        <v>5000</v>
      </c>
      <c r="AE83" s="28">
        <f>IF(AE80=1,IF(INDEX('Lease Cycles'!$EF$12:$EL$12,1,AE78)=1,AE81*INDEX('Lease Cycles'!$EM$12:$ES$12,1,AE78)+AE82*(1-INDEX('Lease Cycles'!$EM$12:$ES$12,1,AE78)),AE81),AE81)</f>
        <v>5000</v>
      </c>
      <c r="AF83" s="28">
        <f>IF(AF80=1,IF(INDEX('Lease Cycles'!$EF$12:$EL$12,1,AF78)=1,AF81*INDEX('Lease Cycles'!$EM$12:$ES$12,1,AF78)+AF82*(1-INDEX('Lease Cycles'!$EM$12:$ES$12,1,AF78)),AF81),AF81)</f>
        <v>5000</v>
      </c>
      <c r="AG83" s="28">
        <f>IF(AG80=1,IF(INDEX('Lease Cycles'!$EF$12:$EL$12,1,AG78)=1,AG81*INDEX('Lease Cycles'!$EM$12:$ES$12,1,AG78)+AG82*(1-INDEX('Lease Cycles'!$EM$12:$ES$12,1,AG78)),AG81),AG81)</f>
        <v>5000</v>
      </c>
      <c r="AH83" s="28">
        <f>IF(AH80=1,IF(INDEX('Lease Cycles'!$EF$12:$EL$12,1,AH78)=1,AH81*INDEX('Lease Cycles'!$EM$12:$ES$12,1,AH78)+AH82*(1-INDEX('Lease Cycles'!$EM$12:$ES$12,1,AH78)),AH81),AH81)</f>
        <v>5000</v>
      </c>
      <c r="AI83" s="28">
        <f>IF(AI80=1,IF(INDEX('Lease Cycles'!$EF$12:$EL$12,1,AI78)=1,AI81*INDEX('Lease Cycles'!$EM$12:$ES$12,1,AI78)+AI82*(1-INDEX('Lease Cycles'!$EM$12:$ES$12,1,AI78)),AI81),AI81)</f>
        <v>5000</v>
      </c>
      <c r="AJ83" s="28">
        <f>IF(AJ80=1,IF(INDEX('Lease Cycles'!$EF$12:$EL$12,1,AJ78)=1,AJ81*INDEX('Lease Cycles'!$EM$12:$ES$12,1,AJ78)+AJ82*(1-INDEX('Lease Cycles'!$EM$12:$ES$12,1,AJ78)),AJ81),AJ81)</f>
        <v>5000</v>
      </c>
      <c r="AK83" s="28">
        <f>IF(AK80=1,IF(INDEX('Lease Cycles'!$EF$12:$EL$12,1,AK78)=1,AK81*INDEX('Lease Cycles'!$EM$12:$ES$12,1,AK78)+AK82*(1-INDEX('Lease Cycles'!$EM$12:$ES$12,1,AK78)),AK81),AK81)</f>
        <v>5000</v>
      </c>
      <c r="AL83" s="28">
        <f>IF(AL80=1,IF(INDEX('Lease Cycles'!$EF$12:$EL$12,1,AL78)=1,AL81*INDEX('Lease Cycles'!$EM$12:$ES$12,1,AL78)+AL82*(1-INDEX('Lease Cycles'!$EM$12:$ES$12,1,AL78)),AL81),AL81)</f>
        <v>5000</v>
      </c>
      <c r="AM83" s="28">
        <f>IF(AM80=1,IF(INDEX('Lease Cycles'!$EF$12:$EL$12,1,AM78)=1,AM81*INDEX('Lease Cycles'!$EM$12:$ES$12,1,AM78)+AM82*(1-INDEX('Lease Cycles'!$EM$12:$ES$12,1,AM78)),AM81),AM81)</f>
        <v>5000</v>
      </c>
      <c r="AN83" s="28">
        <f>IF(AN80=1,IF(INDEX('Lease Cycles'!$EF$12:$EL$12,1,AN78)=1,AN81*INDEX('Lease Cycles'!$EM$12:$ES$12,1,AN78)+AN82*(1-INDEX('Lease Cycles'!$EM$12:$ES$12,1,AN78)),AN81),AN81)</f>
        <v>5000</v>
      </c>
      <c r="AO83" s="28">
        <f>IF(AO80=1,IF(INDEX('Lease Cycles'!$EF$12:$EL$12,1,AO78)=1,AO81*INDEX('Lease Cycles'!$EM$12:$ES$12,1,AO78)+AO82*(1-INDEX('Lease Cycles'!$EM$12:$ES$12,1,AO78)),AO81),AO81)</f>
        <v>5278.431820321987</v>
      </c>
      <c r="AP83" s="28">
        <f>IF(AP80=1,IF(INDEX('Lease Cycles'!$EF$12:$EL$12,1,AP78)=1,AP81*INDEX('Lease Cycles'!$EM$12:$ES$12,1,AP78)+AP82*(1-INDEX('Lease Cycles'!$EM$12:$ES$12,1,AP78)),AP81),AP81)</f>
        <v>3263.060745252127</v>
      </c>
      <c r="AQ83" s="28">
        <f>IF(AQ80=1,IF(INDEX('Lease Cycles'!$EF$12:$EL$12,1,AQ78)=1,AQ81*INDEX('Lease Cycles'!$EM$12:$ES$12,1,AQ78)+AQ82*(1-INDEX('Lease Cycles'!$EM$12:$ES$12,1,AQ78)),AQ81),AQ81)</f>
        <v>3263.060745252127</v>
      </c>
      <c r="AR83" s="28">
        <f>IF(AR80=1,IF(INDEX('Lease Cycles'!$EF$12:$EL$12,1,AR78)=1,AR81*INDEX('Lease Cycles'!$EM$12:$ES$12,1,AR78)+AR82*(1-INDEX('Lease Cycles'!$EM$12:$ES$12,1,AR78)),AR81),AR81)</f>
        <v>3263.060745252127</v>
      </c>
      <c r="AS83" s="28">
        <f>IF(AS80=1,IF(INDEX('Lease Cycles'!$EF$12:$EL$12,1,AS78)=1,AS81*INDEX('Lease Cycles'!$EM$12:$ES$12,1,AS78)+AS82*(1-INDEX('Lease Cycles'!$EM$12:$ES$12,1,AS78)),AS81),AS81)</f>
        <v>3263.060745252127</v>
      </c>
      <c r="AT83" s="28">
        <f>IF(AT80=1,IF(INDEX('Lease Cycles'!$EF$12:$EL$12,1,AT78)=1,AT81*INDEX('Lease Cycles'!$EM$12:$ES$12,1,AT78)+AT82*(1-INDEX('Lease Cycles'!$EM$12:$ES$12,1,AT78)),AT81),AT81)</f>
        <v>3263.060745252127</v>
      </c>
      <c r="AU83" s="28">
        <f>IF(AU80=1,IF(INDEX('Lease Cycles'!$EF$12:$EL$12,1,AU78)=1,AU81*INDEX('Lease Cycles'!$EM$12:$ES$12,1,AU78)+AU82*(1-INDEX('Lease Cycles'!$EM$12:$ES$12,1,AU78)),AU81),AU81)</f>
        <v>3263.060745252127</v>
      </c>
      <c r="AV83" s="28">
        <f>IF(AV80=1,IF(INDEX('Lease Cycles'!$EF$12:$EL$12,1,AV78)=1,AV81*INDEX('Lease Cycles'!$EM$12:$ES$12,1,AV78)+AV82*(1-INDEX('Lease Cycles'!$EM$12:$ES$12,1,AV78)),AV81),AV81)</f>
        <v>3263.060745252127</v>
      </c>
      <c r="AW83" s="28">
        <f>IF(AW80=1,IF(INDEX('Lease Cycles'!$EF$12:$EL$12,1,AW78)=1,AW81*INDEX('Lease Cycles'!$EM$12:$ES$12,1,AW78)+AW82*(1-INDEX('Lease Cycles'!$EM$12:$ES$12,1,AW78)),AW81),AW81)</f>
        <v>3263.060745252127</v>
      </c>
      <c r="AX83" s="28">
        <f>IF(AX80=1,IF(INDEX('Lease Cycles'!$EF$12:$EL$12,1,AX78)=1,AX81*INDEX('Lease Cycles'!$EM$12:$ES$12,1,AX78)+AX82*(1-INDEX('Lease Cycles'!$EM$12:$ES$12,1,AX78)),AX81),AX81)</f>
        <v>3263.060745252127</v>
      </c>
      <c r="AY83" s="28">
        <f>IF(AY80=1,IF(INDEX('Lease Cycles'!$EF$12:$EL$12,1,AY78)=1,AY81*INDEX('Lease Cycles'!$EM$12:$ES$12,1,AY78)+AY82*(1-INDEX('Lease Cycles'!$EM$12:$ES$12,1,AY78)),AY81),AY81)</f>
        <v>3263.060745252127</v>
      </c>
      <c r="AZ83" s="28">
        <f>IF(AZ80=1,IF(INDEX('Lease Cycles'!$EF$12:$EL$12,1,AZ78)=1,AZ81*INDEX('Lease Cycles'!$EM$12:$ES$12,1,AZ78)+AZ82*(1-INDEX('Lease Cycles'!$EM$12:$ES$12,1,AZ78)),AZ81),AZ81)</f>
        <v>3263.060745252127</v>
      </c>
      <c r="BA83" s="28">
        <f>IF(BA80=1,IF(INDEX('Lease Cycles'!$EF$12:$EL$12,1,BA78)=1,BA81*INDEX('Lease Cycles'!$EM$12:$ES$12,1,BA78)+BA82*(1-INDEX('Lease Cycles'!$EM$12:$ES$12,1,BA78)),BA81),BA81)</f>
        <v>3263.060745252127</v>
      </c>
      <c r="BB83" s="28">
        <f>IF(BB80=1,IF(INDEX('Lease Cycles'!$EF$12:$EL$12,1,BB78)=1,BB81*INDEX('Lease Cycles'!$EM$12:$ES$12,1,BB78)+BB82*(1-INDEX('Lease Cycles'!$EM$12:$ES$12,1,BB78)),BB81),BB81)</f>
        <v>3360.952567609691</v>
      </c>
      <c r="BC83" s="28">
        <f>IF(BC80=1,IF(INDEX('Lease Cycles'!$EF$12:$EL$12,1,BC78)=1,BC81*INDEX('Lease Cycles'!$EM$12:$ES$12,1,BC78)+BC82*(1-INDEX('Lease Cycles'!$EM$12:$ES$12,1,BC78)),BC81),BC81)</f>
        <v>3360.952567609691</v>
      </c>
      <c r="BD83" s="28">
        <f>IF(BD80=1,IF(INDEX('Lease Cycles'!$EF$12:$EL$12,1,BD78)=1,BD81*INDEX('Lease Cycles'!$EM$12:$ES$12,1,BD78)+BD82*(1-INDEX('Lease Cycles'!$EM$12:$ES$12,1,BD78)),BD81),BD81)</f>
        <v>3360.952567609691</v>
      </c>
      <c r="BE83" s="28">
        <f>IF(BE80=1,IF(INDEX('Lease Cycles'!$EF$12:$EL$12,1,BE78)=1,BE81*INDEX('Lease Cycles'!$EM$12:$ES$12,1,BE78)+BE82*(1-INDEX('Lease Cycles'!$EM$12:$ES$12,1,BE78)),BE81),BE81)</f>
        <v>3360.952567609691</v>
      </c>
      <c r="BF83" s="28">
        <f>IF(BF80=1,IF(INDEX('Lease Cycles'!$EF$12:$EL$12,1,BF78)=1,BF81*INDEX('Lease Cycles'!$EM$12:$ES$12,1,BF78)+BF82*(1-INDEX('Lease Cycles'!$EM$12:$ES$12,1,BF78)),BF81),BF81)</f>
        <v>3360.952567609691</v>
      </c>
      <c r="BG83" s="28">
        <f>IF(BG80=1,IF(INDEX('Lease Cycles'!$EF$12:$EL$12,1,BG78)=1,BG81*INDEX('Lease Cycles'!$EM$12:$ES$12,1,BG78)+BG82*(1-INDEX('Lease Cycles'!$EM$12:$ES$12,1,BG78)),BG81),BG81)</f>
        <v>3360.952567609691</v>
      </c>
      <c r="BH83" s="28">
        <f>IF(BH80=1,IF(INDEX('Lease Cycles'!$EF$12:$EL$12,1,BH78)=1,BH81*INDEX('Lease Cycles'!$EM$12:$ES$12,1,BH78)+BH82*(1-INDEX('Lease Cycles'!$EM$12:$ES$12,1,BH78)),BH81),BH81)</f>
        <v>3360.952567609691</v>
      </c>
      <c r="BI83" s="28">
        <f>IF(BI80=1,IF(INDEX('Lease Cycles'!$EF$12:$EL$12,1,BI78)=1,BI81*INDEX('Lease Cycles'!$EM$12:$ES$12,1,BI78)+BI82*(1-INDEX('Lease Cycles'!$EM$12:$ES$12,1,BI78)),BI81),BI81)</f>
        <v>3360.952567609691</v>
      </c>
      <c r="BJ83" s="28">
        <f>IF(BJ80=1,IF(INDEX('Lease Cycles'!$EF$12:$EL$12,1,BJ78)=1,BJ81*INDEX('Lease Cycles'!$EM$12:$ES$12,1,BJ78)+BJ82*(1-INDEX('Lease Cycles'!$EM$12:$ES$12,1,BJ78)),BJ81),BJ81)</f>
        <v>3360.952567609691</v>
      </c>
      <c r="BK83" s="28">
        <f>IF(BK80=1,IF(INDEX('Lease Cycles'!$EF$12:$EL$12,1,BK78)=1,BK81*INDEX('Lease Cycles'!$EM$12:$ES$12,1,BK78)+BK82*(1-INDEX('Lease Cycles'!$EM$12:$ES$12,1,BK78)),BK81),BK81)</f>
        <v>3360.952567609691</v>
      </c>
      <c r="BL83" s="28">
        <f>IF(BL80=1,IF(INDEX('Lease Cycles'!$EF$12:$EL$12,1,BL78)=1,BL81*INDEX('Lease Cycles'!$EM$12:$ES$12,1,BL78)+BL82*(1-INDEX('Lease Cycles'!$EM$12:$ES$12,1,BL78)),BL81),BL81)</f>
        <v>3360.952567609691</v>
      </c>
      <c r="BM83" s="28">
        <f>IF(BM80=1,IF(INDEX('Lease Cycles'!$EF$12:$EL$12,1,BM78)=1,BM81*INDEX('Lease Cycles'!$EM$12:$ES$12,1,BM78)+BM82*(1-INDEX('Lease Cycles'!$EM$12:$ES$12,1,BM78)),BM81),BM81)</f>
        <v>3360.952567609691</v>
      </c>
      <c r="BN83" s="28">
        <f>IF(BN80=1,IF(INDEX('Lease Cycles'!$EF$12:$EL$12,1,BN78)=1,BN81*INDEX('Lease Cycles'!$EM$12:$ES$12,1,BN78)+BN82*(1-INDEX('Lease Cycles'!$EM$12:$ES$12,1,BN78)),BN81),BN81)</f>
        <v>3461.7811446379815</v>
      </c>
      <c r="BO83" s="28">
        <f>IF(BO80=1,IF(INDEX('Lease Cycles'!$EF$12:$EL$12,1,BO78)=1,BO81*INDEX('Lease Cycles'!$EM$12:$ES$12,1,BO78)+BO82*(1-INDEX('Lease Cycles'!$EM$12:$ES$12,1,BO78)),BO81),BO81)</f>
        <v>3461.7811446379815</v>
      </c>
      <c r="BP83" s="28">
        <f>IF(BP80=1,IF(INDEX('Lease Cycles'!$EF$12:$EL$12,1,BP78)=1,BP81*INDEX('Lease Cycles'!$EM$12:$ES$12,1,BP78)+BP82*(1-INDEX('Lease Cycles'!$EM$12:$ES$12,1,BP78)),BP81),BP81)</f>
        <v>3461.7811446379815</v>
      </c>
      <c r="BQ83" s="28">
        <f>IF(BQ80=1,IF(INDEX('Lease Cycles'!$EF$12:$EL$12,1,BQ78)=1,BQ81*INDEX('Lease Cycles'!$EM$12:$ES$12,1,BQ78)+BQ82*(1-INDEX('Lease Cycles'!$EM$12:$ES$12,1,BQ78)),BQ81),BQ81)</f>
        <v>3461.7811446379815</v>
      </c>
      <c r="BR83" s="28">
        <f>IF(BR80=1,IF(INDEX('Lease Cycles'!$EF$12:$EL$12,1,BR78)=1,BR81*INDEX('Lease Cycles'!$EM$12:$ES$12,1,BR78)+BR82*(1-INDEX('Lease Cycles'!$EM$12:$ES$12,1,BR78)),BR81),BR81)</f>
        <v>3461.7811446379815</v>
      </c>
      <c r="BS83" s="28">
        <f>IF(BS80=1,IF(INDEX('Lease Cycles'!$EF$12:$EL$12,1,BS78)=1,BS81*INDEX('Lease Cycles'!$EM$12:$ES$12,1,BS78)+BS82*(1-INDEX('Lease Cycles'!$EM$12:$ES$12,1,BS78)),BS81),BS81)</f>
        <v>3461.7811446379815</v>
      </c>
      <c r="BT83" s="28">
        <f>IF(BT80=1,IF(INDEX('Lease Cycles'!$EF$12:$EL$12,1,BT78)=1,BT81*INDEX('Lease Cycles'!$EM$12:$ES$12,1,BT78)+BT82*(1-INDEX('Lease Cycles'!$EM$12:$ES$12,1,BT78)),BT81),BT81)</f>
        <v>3461.7811446379815</v>
      </c>
      <c r="BU83" s="28">
        <f>IF(BU80=1,IF(INDEX('Lease Cycles'!$EF$12:$EL$12,1,BU78)=1,BU81*INDEX('Lease Cycles'!$EM$12:$ES$12,1,BU78)+BU82*(1-INDEX('Lease Cycles'!$EM$12:$ES$12,1,BU78)),BU81),BU81)</f>
        <v>3461.7811446379815</v>
      </c>
      <c r="BV83" s="28">
        <f>IF(BV80=1,IF(INDEX('Lease Cycles'!$EF$12:$EL$12,1,BV78)=1,BV81*INDEX('Lease Cycles'!$EM$12:$ES$12,1,BV78)+BV82*(1-INDEX('Lease Cycles'!$EM$12:$ES$12,1,BV78)),BV81),BV81)</f>
        <v>3461.7811446379815</v>
      </c>
      <c r="BW83" s="28">
        <f>IF(BW80=1,IF(INDEX('Lease Cycles'!$EF$12:$EL$12,1,BW78)=1,BW81*INDEX('Lease Cycles'!$EM$12:$ES$12,1,BW78)+BW82*(1-INDEX('Lease Cycles'!$EM$12:$ES$12,1,BW78)),BW81),BW81)</f>
        <v>3461.7811446379815</v>
      </c>
      <c r="BX83" s="28">
        <f>IF(BX80=1,IF(INDEX('Lease Cycles'!$EF$12:$EL$12,1,BX78)=1,BX81*INDEX('Lease Cycles'!$EM$12:$ES$12,1,BX78)+BX82*(1-INDEX('Lease Cycles'!$EM$12:$ES$12,1,BX78)),BX81),BX81)</f>
        <v>3461.7811446379815</v>
      </c>
      <c r="BY83" s="28">
        <f>IF(BY80=1,IF(INDEX('Lease Cycles'!$EF$12:$EL$12,1,BY78)=1,BY81*INDEX('Lease Cycles'!$EM$12:$ES$12,1,BY78)+BY82*(1-INDEX('Lease Cycles'!$EM$12:$ES$12,1,BY78)),BY81),BY81)</f>
        <v>3461.7811446379815</v>
      </c>
      <c r="BZ83" s="28">
        <f>IF(BZ80=1,IF(INDEX('Lease Cycles'!$EF$12:$EL$12,1,BZ78)=1,BZ81*INDEX('Lease Cycles'!$EM$12:$ES$12,1,BZ78)+BZ82*(1-INDEX('Lease Cycles'!$EM$12:$ES$12,1,BZ78)),BZ81),BZ81)</f>
        <v>3565.634578977121</v>
      </c>
      <c r="CA83" s="28">
        <f>IF(CA80=1,IF(INDEX('Lease Cycles'!$EF$12:$EL$12,1,CA78)=1,CA81*INDEX('Lease Cycles'!$EM$12:$ES$12,1,CA78)+CA82*(1-INDEX('Lease Cycles'!$EM$12:$ES$12,1,CA78)),CA81),CA81)</f>
        <v>3565.634578977121</v>
      </c>
      <c r="CB83" s="28">
        <f>IF(CB80=1,IF(INDEX('Lease Cycles'!$EF$12:$EL$12,1,CB78)=1,CB81*INDEX('Lease Cycles'!$EM$12:$ES$12,1,CB78)+CB82*(1-INDEX('Lease Cycles'!$EM$12:$ES$12,1,CB78)),CB81),CB81)</f>
        <v>3565.634578977121</v>
      </c>
      <c r="CC83" s="28">
        <f>IF(CC80=1,IF(INDEX('Lease Cycles'!$EF$12:$EL$12,1,CC78)=1,CC81*INDEX('Lease Cycles'!$EM$12:$ES$12,1,CC78)+CC82*(1-INDEX('Lease Cycles'!$EM$12:$ES$12,1,CC78)),CC81),CC81)</f>
        <v>3565.634578977121</v>
      </c>
      <c r="CD83" s="28">
        <f>IF(CD80=1,IF(INDEX('Lease Cycles'!$EF$12:$EL$12,1,CD78)=1,CD81*INDEX('Lease Cycles'!$EM$12:$ES$12,1,CD78)+CD82*(1-INDEX('Lease Cycles'!$EM$12:$ES$12,1,CD78)),CD81),CD81)</f>
        <v>3565.634578977121</v>
      </c>
      <c r="CE83" s="28">
        <f>IF(CE80=1,IF(INDEX('Lease Cycles'!$EF$12:$EL$12,1,CE78)=1,CE81*INDEX('Lease Cycles'!$EM$12:$ES$12,1,CE78)+CE82*(1-INDEX('Lease Cycles'!$EM$12:$ES$12,1,CE78)),CE81),CE81)</f>
        <v>3565.634578977121</v>
      </c>
      <c r="CF83" s="28">
        <f>IF(CF80=1,IF(INDEX('Lease Cycles'!$EF$12:$EL$12,1,CF78)=1,CF81*INDEX('Lease Cycles'!$EM$12:$ES$12,1,CF78)+CF82*(1-INDEX('Lease Cycles'!$EM$12:$ES$12,1,CF78)),CF81),CF81)</f>
        <v>3565.634578977121</v>
      </c>
      <c r="CG83" s="28">
        <f>IF(CG80=1,IF(INDEX('Lease Cycles'!$EF$12:$EL$12,1,CG78)=1,CG81*INDEX('Lease Cycles'!$EM$12:$ES$12,1,CG78)+CG82*(1-INDEX('Lease Cycles'!$EM$12:$ES$12,1,CG78)),CG81),CG81)</f>
        <v>3565.634578977121</v>
      </c>
      <c r="CH83" s="28">
        <f>IF(CH80=1,IF(INDEX('Lease Cycles'!$EF$12:$EL$12,1,CH78)=1,CH81*INDEX('Lease Cycles'!$EM$12:$ES$12,1,CH78)+CH82*(1-INDEX('Lease Cycles'!$EM$12:$ES$12,1,CH78)),CH81),CH81)</f>
        <v>3565.634578977121</v>
      </c>
      <c r="CI83" s="28">
        <f>IF(CI80=1,IF(INDEX('Lease Cycles'!$EF$12:$EL$12,1,CI78)=1,CI81*INDEX('Lease Cycles'!$EM$12:$ES$12,1,CI78)+CI82*(1-INDEX('Lease Cycles'!$EM$12:$ES$12,1,CI78)),CI81),CI81)</f>
        <v>3565.634578977121</v>
      </c>
      <c r="CJ83" s="28">
        <f>IF(CJ80=1,IF(INDEX('Lease Cycles'!$EF$12:$EL$12,1,CJ78)=1,CJ81*INDEX('Lease Cycles'!$EM$12:$ES$12,1,CJ78)+CJ82*(1-INDEX('Lease Cycles'!$EM$12:$ES$12,1,CJ78)),CJ81),CJ81)</f>
        <v>3565.634578977121</v>
      </c>
      <c r="CK83" s="28">
        <f>IF(CK80=1,IF(INDEX('Lease Cycles'!$EF$12:$EL$12,1,CK78)=1,CK81*INDEX('Lease Cycles'!$EM$12:$ES$12,1,CK78)+CK82*(1-INDEX('Lease Cycles'!$EM$12:$ES$12,1,CK78)),CK81),CK81)</f>
        <v>3565.634578977121</v>
      </c>
      <c r="CL83" s="28">
        <f>IF(CL80=1,IF(INDEX('Lease Cycles'!$EF$12:$EL$12,1,CL78)=1,CL81*INDEX('Lease Cycles'!$EM$12:$ES$12,1,CL78)+CL82*(1-INDEX('Lease Cycles'!$EM$12:$ES$12,1,CL78)),CL81),CL81)</f>
        <v>3672.6036163464355</v>
      </c>
      <c r="CM83" s="28">
        <f>IF(CM80=1,IF(INDEX('Lease Cycles'!$EF$12:$EL$12,1,CM78)=1,CM81*INDEX('Lease Cycles'!$EM$12:$ES$12,1,CM78)+CM82*(1-INDEX('Lease Cycles'!$EM$12:$ES$12,1,CM78)),CM81),CM81)</f>
        <v>3672.6036163464355</v>
      </c>
      <c r="CN83" s="28">
        <f>IF(CN80=1,IF(INDEX('Lease Cycles'!$EF$12:$EL$12,1,CN78)=1,CN81*INDEX('Lease Cycles'!$EM$12:$ES$12,1,CN78)+CN82*(1-INDEX('Lease Cycles'!$EM$12:$ES$12,1,CN78)),CN81),CN81)</f>
        <v>3672.6036163464355</v>
      </c>
      <c r="CO83" s="28">
        <f>IF(CO80=1,IF(INDEX('Lease Cycles'!$EF$12:$EL$12,1,CO78)=1,CO81*INDEX('Lease Cycles'!$EM$12:$ES$12,1,CO78)+CO82*(1-INDEX('Lease Cycles'!$EM$12:$ES$12,1,CO78)),CO81),CO81)</f>
        <v>3672.6036163464355</v>
      </c>
      <c r="CP83" s="28">
        <f>IF(CP80=1,IF(INDEX('Lease Cycles'!$EF$12:$EL$12,1,CP78)=1,CP81*INDEX('Lease Cycles'!$EM$12:$ES$12,1,CP78)+CP82*(1-INDEX('Lease Cycles'!$EM$12:$ES$12,1,CP78)),CP81),CP81)</f>
        <v>3672.6036163464355</v>
      </c>
      <c r="CQ83" s="28">
        <f>IF(CQ80=1,IF(INDEX('Lease Cycles'!$EF$12:$EL$12,1,CQ78)=1,CQ81*INDEX('Lease Cycles'!$EM$12:$ES$12,1,CQ78)+CQ82*(1-INDEX('Lease Cycles'!$EM$12:$ES$12,1,CQ78)),CQ81),CQ81)</f>
        <v>3672.6036163464355</v>
      </c>
      <c r="CR83" s="28">
        <f>IF(CR80=1,IF(INDEX('Lease Cycles'!$EF$12:$EL$12,1,CR78)=1,CR81*INDEX('Lease Cycles'!$EM$12:$ES$12,1,CR78)+CR82*(1-INDEX('Lease Cycles'!$EM$12:$ES$12,1,CR78)),CR81),CR81)</f>
        <v>3672.6036163464355</v>
      </c>
      <c r="CS83" s="28">
        <f>IF(CS80=1,IF(INDEX('Lease Cycles'!$EF$12:$EL$12,1,CS78)=1,CS81*INDEX('Lease Cycles'!$EM$12:$ES$12,1,CS78)+CS82*(1-INDEX('Lease Cycles'!$EM$12:$ES$12,1,CS78)),CS81),CS81)</f>
        <v>3672.6036163464355</v>
      </c>
      <c r="CT83" s="28">
        <f>IF(CT80=1,IF(INDEX('Lease Cycles'!$EF$12:$EL$12,1,CT78)=1,CT81*INDEX('Lease Cycles'!$EM$12:$ES$12,1,CT78)+CT82*(1-INDEX('Lease Cycles'!$EM$12:$ES$12,1,CT78)),CT81),CT81)</f>
        <v>3672.6036163464355</v>
      </c>
      <c r="CU83" s="28">
        <f>IF(CU80=1,IF(INDEX('Lease Cycles'!$EF$12:$EL$12,1,CU78)=1,CU81*INDEX('Lease Cycles'!$EM$12:$ES$12,1,CU78)+CU82*(1-INDEX('Lease Cycles'!$EM$12:$ES$12,1,CU78)),CU81),CU81)</f>
        <v>3672.6036163464355</v>
      </c>
      <c r="CV83" s="28">
        <f>IF(CV80=1,IF(INDEX('Lease Cycles'!$EF$12:$EL$12,1,CV78)=1,CV81*INDEX('Lease Cycles'!$EM$12:$ES$12,1,CV78)+CV82*(1-INDEX('Lease Cycles'!$EM$12:$ES$12,1,CV78)),CV81),CV81)</f>
        <v>3672.6036163464355</v>
      </c>
      <c r="CW83" s="28">
        <f>IF(CW80=1,IF(INDEX('Lease Cycles'!$EF$12:$EL$12,1,CW78)=1,CW81*INDEX('Lease Cycles'!$EM$12:$ES$12,1,CW78)+CW82*(1-INDEX('Lease Cycles'!$EM$12:$ES$12,1,CW78)),CW81),CW81)</f>
        <v>3672.6036163464355</v>
      </c>
      <c r="CX83" s="28">
        <f>IF(CX80=1,IF(INDEX('Lease Cycles'!$EF$12:$EL$12,1,CX78)=1,CX81*INDEX('Lease Cycles'!$EM$12:$ES$12,1,CX78)+CX82*(1-INDEX('Lease Cycles'!$EM$12:$ES$12,1,CX78)),CX81),CX81)</f>
        <v>3782.7817248368283</v>
      </c>
      <c r="CY83" s="28">
        <f>IF(CY80=1,IF(INDEX('Lease Cycles'!$EF$12:$EL$12,1,CY78)=1,CY81*INDEX('Lease Cycles'!$EM$12:$ES$12,1,CY78)+CY82*(1-INDEX('Lease Cycles'!$EM$12:$ES$12,1,CY78)),CY81),CY81)</f>
        <v>3782.7817248368283</v>
      </c>
      <c r="CZ83" s="28">
        <f>IF(CZ80=1,IF(INDEX('Lease Cycles'!$EF$12:$EL$12,1,CZ78)=1,CZ81*INDEX('Lease Cycles'!$EM$12:$ES$12,1,CZ78)+CZ82*(1-INDEX('Lease Cycles'!$EM$12:$ES$12,1,CZ78)),CZ81),CZ81)</f>
        <v>3782.7817248368283</v>
      </c>
      <c r="DA83" s="28">
        <f>IF(DA80=1,IF(INDEX('Lease Cycles'!$EF$12:$EL$12,1,DA78)=1,DA81*INDEX('Lease Cycles'!$EM$12:$ES$12,1,DA78)+DA82*(1-INDEX('Lease Cycles'!$EM$12:$ES$12,1,DA78)),DA81),DA81)</f>
        <v>3782.7817248368283</v>
      </c>
      <c r="DB83" s="28">
        <f>IF(DB80=1,IF(INDEX('Lease Cycles'!$EF$12:$EL$12,1,DB78)=1,DB81*INDEX('Lease Cycles'!$EM$12:$ES$12,1,DB78)+DB82*(1-INDEX('Lease Cycles'!$EM$12:$ES$12,1,DB78)),DB81),DB81)</f>
        <v>3782.7817248368283</v>
      </c>
      <c r="DC83" s="28">
        <f>IF(DC80=1,IF(INDEX('Lease Cycles'!$EF$12:$EL$12,1,DC78)=1,DC81*INDEX('Lease Cycles'!$EM$12:$ES$12,1,DC78)+DC82*(1-INDEX('Lease Cycles'!$EM$12:$ES$12,1,DC78)),DC81),DC81)</f>
        <v>3782.7817248368283</v>
      </c>
      <c r="DD83" s="28">
        <f>IF(DD80=1,IF(INDEX('Lease Cycles'!$EF$12:$EL$12,1,DD78)=1,DD81*INDEX('Lease Cycles'!$EM$12:$ES$12,1,DD78)+DD82*(1-INDEX('Lease Cycles'!$EM$12:$ES$12,1,DD78)),DD81),DD81)</f>
        <v>3782.7817248368283</v>
      </c>
      <c r="DE83" s="28">
        <f>IF(DE80=1,IF(INDEX('Lease Cycles'!$EF$12:$EL$12,1,DE78)=1,DE81*INDEX('Lease Cycles'!$EM$12:$ES$12,1,DE78)+DE82*(1-INDEX('Lease Cycles'!$EM$12:$ES$12,1,DE78)),DE81),DE81)</f>
        <v>3782.7817248368283</v>
      </c>
      <c r="DF83" s="28">
        <f>IF(DF80=1,IF(INDEX('Lease Cycles'!$EF$12:$EL$12,1,DF78)=1,DF81*INDEX('Lease Cycles'!$EM$12:$ES$12,1,DF78)+DF82*(1-INDEX('Lease Cycles'!$EM$12:$ES$12,1,DF78)),DF81),DF81)</f>
        <v>3782.7817248368283</v>
      </c>
      <c r="DG83" s="28">
        <f>IF(DG80=1,IF(INDEX('Lease Cycles'!$EF$12:$EL$12,1,DG78)=1,DG81*INDEX('Lease Cycles'!$EM$12:$ES$12,1,DG78)+DG82*(1-INDEX('Lease Cycles'!$EM$12:$ES$12,1,DG78)),DG81),DG81)</f>
        <v>3782.7817248368283</v>
      </c>
      <c r="DH83" s="28">
        <f>IF(DH80=1,IF(INDEX('Lease Cycles'!$EF$12:$EL$12,1,DH78)=1,DH81*INDEX('Lease Cycles'!$EM$12:$ES$12,1,DH78)+DH82*(1-INDEX('Lease Cycles'!$EM$12:$ES$12,1,DH78)),DH81),DH81)</f>
        <v>3782.7817248368283</v>
      </c>
      <c r="DI83" s="28">
        <f>IF(DI80=1,IF(INDEX('Lease Cycles'!$EF$12:$EL$12,1,DI78)=1,DI81*INDEX('Lease Cycles'!$EM$12:$ES$12,1,DI78)+DI82*(1-INDEX('Lease Cycles'!$EM$12:$ES$12,1,DI78)),DI81),DI81)</f>
        <v>3782.7817248368283</v>
      </c>
      <c r="DJ83" s="28">
        <f>IF(DJ80=1,IF(INDEX('Lease Cycles'!$EF$12:$EL$12,1,DJ78)=1,DJ81*INDEX('Lease Cycles'!$EM$12:$ES$12,1,DJ78)+DJ82*(1-INDEX('Lease Cycles'!$EM$12:$ES$12,1,DJ78)),DJ81),DJ81)</f>
        <v>3896.2651765819332</v>
      </c>
      <c r="DK83" s="28">
        <f>IF(DK80=1,IF(INDEX('Lease Cycles'!$EF$12:$EL$12,1,DK78)=1,DK81*INDEX('Lease Cycles'!$EM$12:$ES$12,1,DK78)+DK82*(1-INDEX('Lease Cycles'!$EM$12:$ES$12,1,DK78)),DK81),DK81)</f>
        <v>3896.2651765819332</v>
      </c>
      <c r="DL83" s="28">
        <f>IF(DL80=1,IF(INDEX('Lease Cycles'!$EF$12:$EL$12,1,DL78)=1,DL81*INDEX('Lease Cycles'!$EM$12:$ES$12,1,DL78)+DL82*(1-INDEX('Lease Cycles'!$EM$12:$ES$12,1,DL78)),DL81),DL81)</f>
        <v>3896.2651765819332</v>
      </c>
      <c r="DM83" s="28">
        <f>IF(DM80=1,IF(INDEX('Lease Cycles'!$EF$12:$EL$12,1,DM78)=1,DM81*INDEX('Lease Cycles'!$EM$12:$ES$12,1,DM78)+DM82*(1-INDEX('Lease Cycles'!$EM$12:$ES$12,1,DM78)),DM81),DM81)</f>
        <v>3896.2651765819332</v>
      </c>
      <c r="DN83" s="28">
        <f>IF(DN80=1,IF(INDEX('Lease Cycles'!$EF$12:$EL$12,1,DN78)=1,DN81*INDEX('Lease Cycles'!$EM$12:$ES$12,1,DN78)+DN82*(1-INDEX('Lease Cycles'!$EM$12:$ES$12,1,DN78)),DN81),DN81)</f>
        <v>3896.2651765819332</v>
      </c>
      <c r="DO83" s="28">
        <f>IF(DO80=1,IF(INDEX('Lease Cycles'!$EF$12:$EL$12,1,DO78)=1,DO81*INDEX('Lease Cycles'!$EM$12:$ES$12,1,DO78)+DO82*(1-INDEX('Lease Cycles'!$EM$12:$ES$12,1,DO78)),DO81),DO81)</f>
        <v>3896.2651765819332</v>
      </c>
      <c r="DP83" s="28">
        <f>IF(DP80=1,IF(INDEX('Lease Cycles'!$EF$12:$EL$12,1,DP78)=1,DP81*INDEX('Lease Cycles'!$EM$12:$ES$12,1,DP78)+DP82*(1-INDEX('Lease Cycles'!$EM$12:$ES$12,1,DP78)),DP81),DP81)</f>
        <v>3896.2651765819332</v>
      </c>
      <c r="DQ83" s="28">
        <f>IF(DQ80=1,IF(INDEX('Lease Cycles'!$EF$12:$EL$12,1,DQ78)=1,DQ81*INDEX('Lease Cycles'!$EM$12:$ES$12,1,DQ78)+DQ82*(1-INDEX('Lease Cycles'!$EM$12:$ES$12,1,DQ78)),DQ81),DQ81)</f>
        <v>3896.2651765819332</v>
      </c>
      <c r="DR83" s="28">
        <f>IF(DR80=1,IF(INDEX('Lease Cycles'!$EF$12:$EL$12,1,DR78)=1,DR81*INDEX('Lease Cycles'!$EM$12:$ES$12,1,DR78)+DR82*(1-INDEX('Lease Cycles'!$EM$12:$ES$12,1,DR78)),DR81),DR81)</f>
        <v>3896.2651765819332</v>
      </c>
      <c r="DS83" s="28">
        <f>IF(DS80=1,IF(INDEX('Lease Cycles'!$EF$12:$EL$12,1,DS78)=1,DS81*INDEX('Lease Cycles'!$EM$12:$ES$12,1,DS78)+DS82*(1-INDEX('Lease Cycles'!$EM$12:$ES$12,1,DS78)),DS81),DS81)</f>
        <v>3896.2651765819332</v>
      </c>
      <c r="DT83" s="28">
        <f>IF(DT80=1,IF(INDEX('Lease Cycles'!$EF$12:$EL$12,1,DT78)=1,DT81*INDEX('Lease Cycles'!$EM$12:$ES$12,1,DT78)+DT82*(1-INDEX('Lease Cycles'!$EM$12:$ES$12,1,DT78)),DT81),DT81)</f>
        <v>3896.2651765819332</v>
      </c>
      <c r="DU83" s="28">
        <f>IF(DU80=1,IF(INDEX('Lease Cycles'!$EF$12:$EL$12,1,DU78)=1,DU81*INDEX('Lease Cycles'!$EM$12:$ES$12,1,DU78)+DU82*(1-INDEX('Lease Cycles'!$EM$12:$ES$12,1,DU78)),DU81),DU81)</f>
        <v>3896.2651765819332</v>
      </c>
      <c r="DV83" s="28">
        <f>IF(DV80=1,IF(INDEX('Lease Cycles'!$EF$12:$EL$12,1,DV78)=1,DV81*INDEX('Lease Cycles'!$EM$12:$ES$12,1,DV78)+DV82*(1-INDEX('Lease Cycles'!$EM$12:$ES$12,1,DV78)),DV81),DV81)</f>
        <v>4013.1531318793914</v>
      </c>
      <c r="DW83" s="28">
        <f>IF(DW80=1,IF(INDEX('Lease Cycles'!$EF$12:$EL$12,1,DW78)=1,DW81*INDEX('Lease Cycles'!$EM$12:$ES$12,1,DW78)+DW82*(1-INDEX('Lease Cycles'!$EM$12:$ES$12,1,DW78)),DW81),DW81)</f>
        <v>4013.1531318793914</v>
      </c>
      <c r="DX83" s="28">
        <f>IF(DX80=1,IF(INDEX('Lease Cycles'!$EF$12:$EL$12,1,DX78)=1,DX81*INDEX('Lease Cycles'!$EM$12:$ES$12,1,DX78)+DX82*(1-INDEX('Lease Cycles'!$EM$12:$ES$12,1,DX78)),DX81),DX81)</f>
        <v>4013.1531318793914</v>
      </c>
      <c r="DY83" s="28">
        <f>IF(DY80=1,IF(INDEX('Lease Cycles'!$EF$12:$EL$12,1,DY78)=1,DY81*INDEX('Lease Cycles'!$EM$12:$ES$12,1,DY78)+DY82*(1-INDEX('Lease Cycles'!$EM$12:$ES$12,1,DY78)),DY81),DY81)</f>
        <v>8063.157388362625</v>
      </c>
      <c r="DZ83" s="28">
        <f>IF(DZ80=1,IF(INDEX('Lease Cycles'!$EF$12:$EL$12,1,DZ78)=1,DZ81*INDEX('Lease Cycles'!$EM$12:$ES$12,1,DZ78)+DZ82*(1-INDEX('Lease Cycles'!$EM$12:$ES$12,1,DZ78)),DZ81),DZ81)</f>
        <v>4052.8899055777165</v>
      </c>
      <c r="EA83" s="28">
        <f>IF(EA80=1,IF(INDEX('Lease Cycles'!$EF$12:$EL$12,1,EA78)=1,EA81*INDEX('Lease Cycles'!$EM$12:$ES$12,1,EA78)+EA82*(1-INDEX('Lease Cycles'!$EM$12:$ES$12,1,EA78)),EA81),EA81)</f>
        <v>4052.8899055777165</v>
      </c>
      <c r="EB83" s="28">
        <f>IF(EB80=1,IF(INDEX('Lease Cycles'!$EF$12:$EL$12,1,EB78)=1,EB81*INDEX('Lease Cycles'!$EM$12:$ES$12,1,EB78)+EB82*(1-INDEX('Lease Cycles'!$EM$12:$ES$12,1,EB78)),EB81),EB81)</f>
        <v>4052.8899055777165</v>
      </c>
      <c r="EC83" s="28">
        <f>IF(EC80=1,IF(INDEX('Lease Cycles'!$EF$12:$EL$12,1,EC78)=1,EC81*INDEX('Lease Cycles'!$EM$12:$ES$12,1,EC78)+EC82*(1-INDEX('Lease Cycles'!$EM$12:$ES$12,1,EC78)),EC81),EC81)</f>
        <v>4052.8899055777165</v>
      </c>
      <c r="ED83" s="28">
        <f>IF(ED80=1,IF(INDEX('Lease Cycles'!$EF$12:$EL$12,1,ED78)=1,ED81*INDEX('Lease Cycles'!$EM$12:$ES$12,1,ED78)+ED82*(1-INDEX('Lease Cycles'!$EM$12:$ES$12,1,ED78)),ED81),ED81)</f>
        <v>4052.8899055777165</v>
      </c>
      <c r="EE83" s="28">
        <f>IF(EE80=1,IF(INDEX('Lease Cycles'!$EF$12:$EL$12,1,EE78)=1,EE81*INDEX('Lease Cycles'!$EM$12:$ES$12,1,EE78)+EE82*(1-INDEX('Lease Cycles'!$EM$12:$ES$12,1,EE78)),EE81),EE81)</f>
        <v>4052.8899055777165</v>
      </c>
      <c r="EF83" s="28">
        <f>IF(EF80=1,IF(INDEX('Lease Cycles'!$EF$12:$EL$12,1,EF78)=1,EF81*INDEX('Lease Cycles'!$EM$12:$ES$12,1,EF78)+EF82*(1-INDEX('Lease Cycles'!$EM$12:$ES$12,1,EF78)),EF81),EF81)</f>
        <v>4052.8899055777165</v>
      </c>
      <c r="EG83" s="28">
        <f>IF(EG80=1,IF(INDEX('Lease Cycles'!$EF$12:$EL$12,1,EG78)=1,EG81*INDEX('Lease Cycles'!$EM$12:$ES$12,1,EG78)+EG82*(1-INDEX('Lease Cycles'!$EM$12:$ES$12,1,EG78)),EG81),EG81)</f>
        <v>4052.8899055777165</v>
      </c>
      <c r="EH83" s="28">
        <f>IF(EH80=1,IF(INDEX('Lease Cycles'!$EF$12:$EL$12,1,EH78)=1,EH81*INDEX('Lease Cycles'!$EM$12:$ES$12,1,EH78)+EH82*(1-INDEX('Lease Cycles'!$EM$12:$ES$12,1,EH78)),EH81),EH81)</f>
        <v>4052.8899055777165</v>
      </c>
      <c r="EI83" s="28">
        <f>IF(EI80=1,IF(INDEX('Lease Cycles'!$EF$12:$EL$12,1,EI78)=1,EI81*INDEX('Lease Cycles'!$EM$12:$ES$12,1,EI78)+EI82*(1-INDEX('Lease Cycles'!$EM$12:$ES$12,1,EI78)),EI81),EI81)</f>
        <v>4052.8899055777165</v>
      </c>
      <c r="EJ83" s="28">
        <f>IF(EJ80=1,IF(INDEX('Lease Cycles'!$EF$12:$EL$12,1,EJ78)=1,EJ81*INDEX('Lease Cycles'!$EM$12:$ES$12,1,EJ78)+EJ82*(1-INDEX('Lease Cycles'!$EM$12:$ES$12,1,EJ78)),EJ81),EJ81)</f>
        <v>4052.8899055777165</v>
      </c>
      <c r="EK83" s="28">
        <f>IF(EK80=1,IF(INDEX('Lease Cycles'!$EF$12:$EL$12,1,EK78)=1,EK81*INDEX('Lease Cycles'!$EM$12:$ES$12,1,EK78)+EK82*(1-INDEX('Lease Cycles'!$EM$12:$ES$12,1,EK78)),EK81),EK81)</f>
        <v>4052.8899055777165</v>
      </c>
      <c r="EL83" s="28">
        <f>IF(EL80=1,IF(INDEX('Lease Cycles'!$EF$12:$EL$12,1,EL78)=1,EL81*INDEX('Lease Cycles'!$EM$12:$ES$12,1,EL78)+EL82*(1-INDEX('Lease Cycles'!$EM$12:$ES$12,1,EL78)),EL81),EL81)</f>
        <v>4174.476602745049</v>
      </c>
      <c r="EM83" s="28">
        <f>IF(EM80=1,IF(INDEX('Lease Cycles'!$EF$12:$EL$12,1,EM78)=1,EM81*INDEX('Lease Cycles'!$EM$12:$ES$12,1,EM78)+EM82*(1-INDEX('Lease Cycles'!$EM$12:$ES$12,1,EM78)),EM81),EM81)</f>
        <v>4174.476602745049</v>
      </c>
      <c r="EN83" s="28">
        <f>IF(EN80=1,IF(INDEX('Lease Cycles'!$EF$12:$EL$12,1,EN78)=1,EN81*INDEX('Lease Cycles'!$EM$12:$ES$12,1,EN78)+EN82*(1-INDEX('Lease Cycles'!$EM$12:$ES$12,1,EN78)),EN81),EN81)</f>
        <v>4174.476602745049</v>
      </c>
      <c r="EO83" s="28">
        <f>IF(EO80=1,IF(INDEX('Lease Cycles'!$EF$12:$EL$12,1,EO78)=1,EO81*INDEX('Lease Cycles'!$EM$12:$ES$12,1,EO78)+EO82*(1-INDEX('Lease Cycles'!$EM$12:$ES$12,1,EO78)),EO81),EO81)</f>
        <v>4174.476602745049</v>
      </c>
      <c r="EP83" s="28">
        <f>IF(EP80=1,IF(INDEX('Lease Cycles'!$EF$12:$EL$12,1,EP78)=1,EP81*INDEX('Lease Cycles'!$EM$12:$ES$12,1,EP78)+EP82*(1-INDEX('Lease Cycles'!$EM$12:$ES$12,1,EP78)),EP81),EP81)</f>
        <v>4174.476602745049</v>
      </c>
      <c r="EQ83" s="28">
        <f>IF(EQ80=1,IF(INDEX('Lease Cycles'!$EF$12:$EL$12,1,EQ78)=1,EQ81*INDEX('Lease Cycles'!$EM$12:$ES$12,1,EQ78)+EQ82*(1-INDEX('Lease Cycles'!$EM$12:$ES$12,1,EQ78)),EQ81),EQ81)</f>
        <v>4174.476602745049</v>
      </c>
      <c r="ER83" s="28">
        <f>IF(ER80=1,IF(INDEX('Lease Cycles'!$EF$12:$EL$12,1,ER78)=1,ER81*INDEX('Lease Cycles'!$EM$12:$ES$12,1,ER78)+ER82*(1-INDEX('Lease Cycles'!$EM$12:$ES$12,1,ER78)),ER81),ER81)</f>
        <v>4174.476602745049</v>
      </c>
      <c r="ES83" s="28">
        <f>IF(ES80=1,IF(INDEX('Lease Cycles'!$EF$12:$EL$12,1,ES78)=1,ES81*INDEX('Lease Cycles'!$EM$12:$ES$12,1,ES78)+ES82*(1-INDEX('Lease Cycles'!$EM$12:$ES$12,1,ES78)),ES81),ES81)</f>
        <v>4174.476602745049</v>
      </c>
      <c r="ET83" s="28">
        <f>IF(ET80=1,IF(INDEX('Lease Cycles'!$EF$12:$EL$12,1,ET78)=1,ET81*INDEX('Lease Cycles'!$EM$12:$ES$12,1,ET78)+ET82*(1-INDEX('Lease Cycles'!$EM$12:$ES$12,1,ET78)),ET81),ET81)</f>
        <v>4174.476602745049</v>
      </c>
    </row>
    <row r="84">
      <c r="A84" s="103">
        <v>5</v>
      </c>
      <c r="B84" s="23" t="str">
        <f>IF('Lease Cycles'!$B$12="","(empty slot)",'Lease Cycles'!$B$12)</f>
        <v>Sunfield Pizza</v>
      </c>
      <c r="C84" s="23" t="s">
        <v>682</v>
      </c>
      <c r="D84" s="104" t="s">
        <v>495</v>
      </c>
      <c r="E84" s="25">
        <f>'Lease Cycles'!$AL$12</f>
        <v>0</v>
      </c>
      <c r="G84" s="28">
        <f>SUM(S84:AD84)</f>
        <v>60000</v>
      </c>
      <c r="H84" s="28">
        <f>SUM(AE84:AP84)</f>
        <v>50652.61214905043</v>
      </c>
      <c r="I84" s="28">
        <f>SUM(AQ84:BB84)</f>
        <v>39254.62076538309</v>
      </c>
      <c r="J84" s="28">
        <f>SUM(BC84:BN84)</f>
        <v>40432.25938834458</v>
      </c>
      <c r="K84" s="28">
        <f>SUM(BO84:BZ84)</f>
        <v>41645.22716999492</v>
      </c>
      <c r="L84" s="28">
        <f>SUM(CA84:CL84)</f>
        <v>42894.58398509477</v>
      </c>
      <c r="M84" s="28">
        <f>SUM(CM84:CX84)</f>
        <v>44181.42150464762</v>
      </c>
      <c r="N84" s="28">
        <f>SUM(CY84:DJ84)</f>
        <v>45506.86414978704</v>
      </c>
      <c r="O84" s="28">
        <f>SUM(DK84:DV84)</f>
        <v>46872.07007428066</v>
      </c>
      <c r="P84" s="28">
        <f>SUM(DW84:EH84)</f>
        <v>41260.00348949605</v>
      </c>
      <c r="Q84" s="28">
        <f>SUM(EI84:ET84)</f>
        <v>49728.95914143859</v>
      </c>
      <c r="S84" s="28">
        <f>IF(S80=1,IF(INDEX('Lease Cycles'!$EF$12:$EL$12,1,S78)=1,S81*INDEX('Lease Cycles'!$EM$12:$ES$12,1,S78)+S82*IF(S79&lt;INDEX('Lease Cycles'!$FA$12:$FG$12,1,S78),0,1-INDEX('Lease Cycles'!$EM$12:$ES$12,1,S78)),S81*IF(S79&lt;INDEX('Lease Cycles'!$DK$12:$DQ$12,1,S78),0,IF(S79=INDEX('Lease Cycles'!$DK$12:$DQ$12,1,S78),1-INDEX('Lease Cycles'!$DR$12:$DX$12,1,S78),1))),0)</f>
        <v>5000</v>
      </c>
      <c r="T84" s="28">
        <f>IF(T80=1,IF(INDEX('Lease Cycles'!$EF$12:$EL$12,1,T78)=1,T81*INDEX('Lease Cycles'!$EM$12:$ES$12,1,T78)+T82*IF(T79&lt;INDEX('Lease Cycles'!$FA$12:$FG$12,1,T78),0,1-INDEX('Lease Cycles'!$EM$12:$ES$12,1,T78)),T81*IF(T79&lt;INDEX('Lease Cycles'!$DK$12:$DQ$12,1,T78),0,IF(T79=INDEX('Lease Cycles'!$DK$12:$DQ$12,1,T78),1-INDEX('Lease Cycles'!$DR$12:$DX$12,1,T78),1))),0)</f>
        <v>5000</v>
      </c>
      <c r="U84" s="28">
        <f>IF(U80=1,IF(INDEX('Lease Cycles'!$EF$12:$EL$12,1,U78)=1,U81*INDEX('Lease Cycles'!$EM$12:$ES$12,1,U78)+U82*IF(U79&lt;INDEX('Lease Cycles'!$FA$12:$FG$12,1,U78),0,1-INDEX('Lease Cycles'!$EM$12:$ES$12,1,U78)),U81*IF(U79&lt;INDEX('Lease Cycles'!$DK$12:$DQ$12,1,U78),0,IF(U79=INDEX('Lease Cycles'!$DK$12:$DQ$12,1,U78),1-INDEX('Lease Cycles'!$DR$12:$DX$12,1,U78),1))),0)</f>
        <v>5000</v>
      </c>
      <c r="V84" s="28">
        <f>IF(V80=1,IF(INDEX('Lease Cycles'!$EF$12:$EL$12,1,V78)=1,V81*INDEX('Lease Cycles'!$EM$12:$ES$12,1,V78)+V82*IF(V79&lt;INDEX('Lease Cycles'!$FA$12:$FG$12,1,V78),0,1-INDEX('Lease Cycles'!$EM$12:$ES$12,1,V78)),V81*IF(V79&lt;INDEX('Lease Cycles'!$DK$12:$DQ$12,1,V78),0,IF(V79=INDEX('Lease Cycles'!$DK$12:$DQ$12,1,V78),1-INDEX('Lease Cycles'!$DR$12:$DX$12,1,V78),1))),0)</f>
        <v>5000</v>
      </c>
      <c r="W84" s="28">
        <f>IF(W80=1,IF(INDEX('Lease Cycles'!$EF$12:$EL$12,1,W78)=1,W81*INDEX('Lease Cycles'!$EM$12:$ES$12,1,W78)+W82*IF(W79&lt;INDEX('Lease Cycles'!$FA$12:$FG$12,1,W78),0,1-INDEX('Lease Cycles'!$EM$12:$ES$12,1,W78)),W81*IF(W79&lt;INDEX('Lease Cycles'!$DK$12:$DQ$12,1,W78),0,IF(W79=INDEX('Lease Cycles'!$DK$12:$DQ$12,1,W78),1-INDEX('Lease Cycles'!$DR$12:$DX$12,1,W78),1))),0)</f>
        <v>5000</v>
      </c>
      <c r="X84" s="28">
        <f>IF(X80=1,IF(INDEX('Lease Cycles'!$EF$12:$EL$12,1,X78)=1,X81*INDEX('Lease Cycles'!$EM$12:$ES$12,1,X78)+X82*IF(X79&lt;INDEX('Lease Cycles'!$FA$12:$FG$12,1,X78),0,1-INDEX('Lease Cycles'!$EM$12:$ES$12,1,X78)),X81*IF(X79&lt;INDEX('Lease Cycles'!$DK$12:$DQ$12,1,X78),0,IF(X79=INDEX('Lease Cycles'!$DK$12:$DQ$12,1,X78),1-INDEX('Lease Cycles'!$DR$12:$DX$12,1,X78),1))),0)</f>
        <v>5000</v>
      </c>
      <c r="Y84" s="28">
        <f>IF(Y80=1,IF(INDEX('Lease Cycles'!$EF$12:$EL$12,1,Y78)=1,Y81*INDEX('Lease Cycles'!$EM$12:$ES$12,1,Y78)+Y82*IF(Y79&lt;INDEX('Lease Cycles'!$FA$12:$FG$12,1,Y78),0,1-INDEX('Lease Cycles'!$EM$12:$ES$12,1,Y78)),Y81*IF(Y79&lt;INDEX('Lease Cycles'!$DK$12:$DQ$12,1,Y78),0,IF(Y79=INDEX('Lease Cycles'!$DK$12:$DQ$12,1,Y78),1-INDEX('Lease Cycles'!$DR$12:$DX$12,1,Y78),1))),0)</f>
        <v>5000</v>
      </c>
      <c r="Z84" s="28">
        <f>IF(Z80=1,IF(INDEX('Lease Cycles'!$EF$12:$EL$12,1,Z78)=1,Z81*INDEX('Lease Cycles'!$EM$12:$ES$12,1,Z78)+Z82*IF(Z79&lt;INDEX('Lease Cycles'!$FA$12:$FG$12,1,Z78),0,1-INDEX('Lease Cycles'!$EM$12:$ES$12,1,Z78)),Z81*IF(Z79&lt;INDEX('Lease Cycles'!$DK$12:$DQ$12,1,Z78),0,IF(Z79=INDEX('Lease Cycles'!$DK$12:$DQ$12,1,Z78),1-INDEX('Lease Cycles'!$DR$12:$DX$12,1,Z78),1))),0)</f>
        <v>5000</v>
      </c>
      <c r="AA84" s="28">
        <f>IF(AA80=1,IF(INDEX('Lease Cycles'!$EF$12:$EL$12,1,AA78)=1,AA81*INDEX('Lease Cycles'!$EM$12:$ES$12,1,AA78)+AA82*IF(AA79&lt;INDEX('Lease Cycles'!$FA$12:$FG$12,1,AA78),0,1-INDEX('Lease Cycles'!$EM$12:$ES$12,1,AA78)),AA81*IF(AA79&lt;INDEX('Lease Cycles'!$DK$12:$DQ$12,1,AA78),0,IF(AA79=INDEX('Lease Cycles'!$DK$12:$DQ$12,1,AA78),1-INDEX('Lease Cycles'!$DR$12:$DX$12,1,AA78),1))),0)</f>
        <v>5000</v>
      </c>
      <c r="AB84" s="28">
        <f>IF(AB80=1,IF(INDEX('Lease Cycles'!$EF$12:$EL$12,1,AB78)=1,AB81*INDEX('Lease Cycles'!$EM$12:$ES$12,1,AB78)+AB82*IF(AB79&lt;INDEX('Lease Cycles'!$FA$12:$FG$12,1,AB78),0,1-INDEX('Lease Cycles'!$EM$12:$ES$12,1,AB78)),AB81*IF(AB79&lt;INDEX('Lease Cycles'!$DK$12:$DQ$12,1,AB78),0,IF(AB79=INDEX('Lease Cycles'!$DK$12:$DQ$12,1,AB78),1-INDEX('Lease Cycles'!$DR$12:$DX$12,1,AB78),1))),0)</f>
        <v>5000</v>
      </c>
      <c r="AC84" s="28">
        <f>IF(AC80=1,IF(INDEX('Lease Cycles'!$EF$12:$EL$12,1,AC78)=1,AC81*INDEX('Lease Cycles'!$EM$12:$ES$12,1,AC78)+AC82*IF(AC79&lt;INDEX('Lease Cycles'!$FA$12:$FG$12,1,AC78),0,1-INDEX('Lease Cycles'!$EM$12:$ES$12,1,AC78)),AC81*IF(AC79&lt;INDEX('Lease Cycles'!$DK$12:$DQ$12,1,AC78),0,IF(AC79=INDEX('Lease Cycles'!$DK$12:$DQ$12,1,AC78),1-INDEX('Lease Cycles'!$DR$12:$DX$12,1,AC78),1))),0)</f>
        <v>5000</v>
      </c>
      <c r="AD84" s="28">
        <f>IF(AD80=1,IF(INDEX('Lease Cycles'!$EF$12:$EL$12,1,AD78)=1,AD81*INDEX('Lease Cycles'!$EM$12:$ES$12,1,AD78)+AD82*IF(AD79&lt;INDEX('Lease Cycles'!$FA$12:$FG$12,1,AD78),0,1-INDEX('Lease Cycles'!$EM$12:$ES$12,1,AD78)),AD81*IF(AD79&lt;INDEX('Lease Cycles'!$DK$12:$DQ$12,1,AD78),0,IF(AD79=INDEX('Lease Cycles'!$DK$12:$DQ$12,1,AD78),1-INDEX('Lease Cycles'!$DR$12:$DX$12,1,AD78),1))),0)</f>
        <v>5000</v>
      </c>
      <c r="AE84" s="28">
        <f>IF(AE80=1,IF(INDEX('Lease Cycles'!$EF$12:$EL$12,1,AE78)=1,AE81*INDEX('Lease Cycles'!$EM$12:$ES$12,1,AE78)+AE82*IF(AE79&lt;INDEX('Lease Cycles'!$FA$12:$FG$12,1,AE78),0,1-INDEX('Lease Cycles'!$EM$12:$ES$12,1,AE78)),AE81*IF(AE79&lt;INDEX('Lease Cycles'!$DK$12:$DQ$12,1,AE78),0,IF(AE79=INDEX('Lease Cycles'!$DK$12:$DQ$12,1,AE78),1-INDEX('Lease Cycles'!$DR$12:$DX$12,1,AE78),1))),0)</f>
        <v>5000</v>
      </c>
      <c r="AF84" s="28">
        <f>IF(AF80=1,IF(INDEX('Lease Cycles'!$EF$12:$EL$12,1,AF78)=1,AF81*INDEX('Lease Cycles'!$EM$12:$ES$12,1,AF78)+AF82*IF(AF79&lt;INDEX('Lease Cycles'!$FA$12:$FG$12,1,AF78),0,1-INDEX('Lease Cycles'!$EM$12:$ES$12,1,AF78)),AF81*IF(AF79&lt;INDEX('Lease Cycles'!$DK$12:$DQ$12,1,AF78),0,IF(AF79=INDEX('Lease Cycles'!$DK$12:$DQ$12,1,AF78),1-INDEX('Lease Cycles'!$DR$12:$DX$12,1,AF78),1))),0)</f>
        <v>5000</v>
      </c>
      <c r="AG84" s="28">
        <f>IF(AG80=1,IF(INDEX('Lease Cycles'!$EF$12:$EL$12,1,AG78)=1,AG81*INDEX('Lease Cycles'!$EM$12:$ES$12,1,AG78)+AG82*IF(AG79&lt;INDEX('Lease Cycles'!$FA$12:$FG$12,1,AG78),0,1-INDEX('Lease Cycles'!$EM$12:$ES$12,1,AG78)),AG81*IF(AG79&lt;INDEX('Lease Cycles'!$DK$12:$DQ$12,1,AG78),0,IF(AG79=INDEX('Lease Cycles'!$DK$12:$DQ$12,1,AG78),1-INDEX('Lease Cycles'!$DR$12:$DX$12,1,AG78),1))),0)</f>
        <v>5000</v>
      </c>
      <c r="AH84" s="28">
        <f>IF(AH80=1,IF(INDEX('Lease Cycles'!$EF$12:$EL$12,1,AH78)=1,AH81*INDEX('Lease Cycles'!$EM$12:$ES$12,1,AH78)+AH82*IF(AH79&lt;INDEX('Lease Cycles'!$FA$12:$FG$12,1,AH78),0,1-INDEX('Lease Cycles'!$EM$12:$ES$12,1,AH78)),AH81*IF(AH79&lt;INDEX('Lease Cycles'!$DK$12:$DQ$12,1,AH78),0,IF(AH79=INDEX('Lease Cycles'!$DK$12:$DQ$12,1,AH78),1-INDEX('Lease Cycles'!$DR$12:$DX$12,1,AH78),1))),0)</f>
        <v>5000</v>
      </c>
      <c r="AI84" s="28">
        <f>IF(AI80=1,IF(INDEX('Lease Cycles'!$EF$12:$EL$12,1,AI78)=1,AI81*INDEX('Lease Cycles'!$EM$12:$ES$12,1,AI78)+AI82*IF(AI79&lt;INDEX('Lease Cycles'!$FA$12:$FG$12,1,AI78),0,1-INDEX('Lease Cycles'!$EM$12:$ES$12,1,AI78)),AI81*IF(AI79&lt;INDEX('Lease Cycles'!$DK$12:$DQ$12,1,AI78),0,IF(AI79=INDEX('Lease Cycles'!$DK$12:$DQ$12,1,AI78),1-INDEX('Lease Cycles'!$DR$12:$DX$12,1,AI78),1))),0)</f>
        <v>5000</v>
      </c>
      <c r="AJ84" s="28">
        <f>IF(AJ80=1,IF(INDEX('Lease Cycles'!$EF$12:$EL$12,1,AJ78)=1,AJ81*INDEX('Lease Cycles'!$EM$12:$ES$12,1,AJ78)+AJ82*IF(AJ79&lt;INDEX('Lease Cycles'!$FA$12:$FG$12,1,AJ78),0,1-INDEX('Lease Cycles'!$EM$12:$ES$12,1,AJ78)),AJ81*IF(AJ79&lt;INDEX('Lease Cycles'!$DK$12:$DQ$12,1,AJ78),0,IF(AJ79=INDEX('Lease Cycles'!$DK$12:$DQ$12,1,AJ78),1-INDEX('Lease Cycles'!$DR$12:$DX$12,1,AJ78),1))),0)</f>
        <v>5000</v>
      </c>
      <c r="AK84" s="28">
        <f>IF(AK80=1,IF(INDEX('Lease Cycles'!$EF$12:$EL$12,1,AK78)=1,AK81*INDEX('Lease Cycles'!$EM$12:$ES$12,1,AK78)+AK82*IF(AK79&lt;INDEX('Lease Cycles'!$FA$12:$FG$12,1,AK78),0,1-INDEX('Lease Cycles'!$EM$12:$ES$12,1,AK78)),AK81*IF(AK79&lt;INDEX('Lease Cycles'!$DK$12:$DQ$12,1,AK78),0,IF(AK79=INDEX('Lease Cycles'!$DK$12:$DQ$12,1,AK78),1-INDEX('Lease Cycles'!$DR$12:$DX$12,1,AK78),1))),0)</f>
        <v>5000</v>
      </c>
      <c r="AL84" s="28">
        <f>IF(AL80=1,IF(INDEX('Lease Cycles'!$EF$12:$EL$12,1,AL78)=1,AL81*INDEX('Lease Cycles'!$EM$12:$ES$12,1,AL78)+AL82*IF(AL79&lt;INDEX('Lease Cycles'!$FA$12:$FG$12,1,AL78),0,1-INDEX('Lease Cycles'!$EM$12:$ES$12,1,AL78)),AL81*IF(AL79&lt;INDEX('Lease Cycles'!$DK$12:$DQ$12,1,AL78),0,IF(AL79=INDEX('Lease Cycles'!$DK$12:$DQ$12,1,AL78),1-INDEX('Lease Cycles'!$DR$12:$DX$12,1,AL78),1))),0)</f>
        <v>5000</v>
      </c>
      <c r="AM84" s="28">
        <f>IF(AM80=1,IF(INDEX('Lease Cycles'!$EF$12:$EL$12,1,AM78)=1,AM81*INDEX('Lease Cycles'!$EM$12:$ES$12,1,AM78)+AM82*IF(AM79&lt;INDEX('Lease Cycles'!$FA$12:$FG$12,1,AM78),0,1-INDEX('Lease Cycles'!$EM$12:$ES$12,1,AM78)),AM81*IF(AM79&lt;INDEX('Lease Cycles'!$DK$12:$DQ$12,1,AM78),0,IF(AM79=INDEX('Lease Cycles'!$DK$12:$DQ$12,1,AM78),1-INDEX('Lease Cycles'!$DR$12:$DX$12,1,AM78),1))),0)</f>
        <v>5000</v>
      </c>
      <c r="AN84" s="28">
        <f>IF(AN80=1,IF(INDEX('Lease Cycles'!$EF$12:$EL$12,1,AN78)=1,AN81*INDEX('Lease Cycles'!$EM$12:$ES$12,1,AN78)+AN82*IF(AN79&lt;INDEX('Lease Cycles'!$FA$12:$FG$12,1,AN78),0,1-INDEX('Lease Cycles'!$EM$12:$ES$12,1,AN78)),AN81*IF(AN79&lt;INDEX('Lease Cycles'!$DK$12:$DQ$12,1,AN78),0,IF(AN79=INDEX('Lease Cycles'!$DK$12:$DQ$12,1,AN78),1-INDEX('Lease Cycles'!$DR$12:$DX$12,1,AN78),1))),0)</f>
        <v>5000</v>
      </c>
      <c r="AO84" s="28">
        <f>IF(AO80=1,IF(INDEX('Lease Cycles'!$EF$12:$EL$12,1,AO78)=1,AO81*INDEX('Lease Cycles'!$EM$12:$ES$12,1,AO78)+AO82*IF(AO79&lt;INDEX('Lease Cycles'!$FA$12:$FG$12,1,AO78),0,1-INDEX('Lease Cycles'!$EM$12:$ES$12,1,AO78)),AO81*IF(AO79&lt;INDEX('Lease Cycles'!$DK$12:$DQ$12,1,AO78),0,IF(AO79=INDEX('Lease Cycles'!$DK$12:$DQ$12,1,AO78),1-INDEX('Lease Cycles'!$DR$12:$DX$12,1,AO78),1))),0)</f>
        <v>0</v>
      </c>
      <c r="AP84" s="28">
        <f>IF(AP80=1,IF(INDEX('Lease Cycles'!$EF$12:$EL$12,1,AP78)=1,AP81*INDEX('Lease Cycles'!$EM$12:$ES$12,1,AP78)+AP82*IF(AP79&lt;INDEX('Lease Cycles'!$FA$12:$FG$12,1,AP78),0,1-INDEX('Lease Cycles'!$EM$12:$ES$12,1,AP78)),AP81*IF(AP79&lt;INDEX('Lease Cycles'!$DK$12:$DQ$12,1,AP78),0,IF(AP79=INDEX('Lease Cycles'!$DK$12:$DQ$12,1,AP78),1-INDEX('Lease Cycles'!$DR$12:$DX$12,1,AP78),1))),0)</f>
        <v>652.6121490504282</v>
      </c>
      <c r="AQ84" s="28">
        <f>IF(AQ80=1,IF(INDEX('Lease Cycles'!$EF$12:$EL$12,1,AQ78)=1,AQ81*INDEX('Lease Cycles'!$EM$12:$ES$12,1,AQ78)+AQ82*IF(AQ79&lt;INDEX('Lease Cycles'!$FA$12:$FG$12,1,AQ78),0,1-INDEX('Lease Cycles'!$EM$12:$ES$12,1,AQ78)),AQ81*IF(AQ79&lt;INDEX('Lease Cycles'!$DK$12:$DQ$12,1,AQ78),0,IF(AQ79=INDEX('Lease Cycles'!$DK$12:$DQ$12,1,AQ78),1-INDEX('Lease Cycles'!$DR$12:$DX$12,1,AQ78),1))),0)</f>
        <v>3263.060745252127</v>
      </c>
      <c r="AR84" s="28">
        <f>IF(AR80=1,IF(INDEX('Lease Cycles'!$EF$12:$EL$12,1,AR78)=1,AR81*INDEX('Lease Cycles'!$EM$12:$ES$12,1,AR78)+AR82*IF(AR79&lt;INDEX('Lease Cycles'!$FA$12:$FG$12,1,AR78),0,1-INDEX('Lease Cycles'!$EM$12:$ES$12,1,AR78)),AR81*IF(AR79&lt;INDEX('Lease Cycles'!$DK$12:$DQ$12,1,AR78),0,IF(AR79=INDEX('Lease Cycles'!$DK$12:$DQ$12,1,AR78),1-INDEX('Lease Cycles'!$DR$12:$DX$12,1,AR78),1))),0)</f>
        <v>3263.060745252127</v>
      </c>
      <c r="AS84" s="28">
        <f>IF(AS80=1,IF(INDEX('Lease Cycles'!$EF$12:$EL$12,1,AS78)=1,AS81*INDEX('Lease Cycles'!$EM$12:$ES$12,1,AS78)+AS82*IF(AS79&lt;INDEX('Lease Cycles'!$FA$12:$FG$12,1,AS78),0,1-INDEX('Lease Cycles'!$EM$12:$ES$12,1,AS78)),AS81*IF(AS79&lt;INDEX('Lease Cycles'!$DK$12:$DQ$12,1,AS78),0,IF(AS79=INDEX('Lease Cycles'!$DK$12:$DQ$12,1,AS78),1-INDEX('Lease Cycles'!$DR$12:$DX$12,1,AS78),1))),0)</f>
        <v>3263.060745252127</v>
      </c>
      <c r="AT84" s="28">
        <f>IF(AT80=1,IF(INDEX('Lease Cycles'!$EF$12:$EL$12,1,AT78)=1,AT81*INDEX('Lease Cycles'!$EM$12:$ES$12,1,AT78)+AT82*IF(AT79&lt;INDEX('Lease Cycles'!$FA$12:$FG$12,1,AT78),0,1-INDEX('Lease Cycles'!$EM$12:$ES$12,1,AT78)),AT81*IF(AT79&lt;INDEX('Lease Cycles'!$DK$12:$DQ$12,1,AT78),0,IF(AT79=INDEX('Lease Cycles'!$DK$12:$DQ$12,1,AT78),1-INDEX('Lease Cycles'!$DR$12:$DX$12,1,AT78),1))),0)</f>
        <v>3263.060745252127</v>
      </c>
      <c r="AU84" s="28">
        <f>IF(AU80=1,IF(INDEX('Lease Cycles'!$EF$12:$EL$12,1,AU78)=1,AU81*INDEX('Lease Cycles'!$EM$12:$ES$12,1,AU78)+AU82*IF(AU79&lt;INDEX('Lease Cycles'!$FA$12:$FG$12,1,AU78),0,1-INDEX('Lease Cycles'!$EM$12:$ES$12,1,AU78)),AU81*IF(AU79&lt;INDEX('Lease Cycles'!$DK$12:$DQ$12,1,AU78),0,IF(AU79=INDEX('Lease Cycles'!$DK$12:$DQ$12,1,AU78),1-INDEX('Lease Cycles'!$DR$12:$DX$12,1,AU78),1))),0)</f>
        <v>3263.060745252127</v>
      </c>
      <c r="AV84" s="28">
        <f>IF(AV80=1,IF(INDEX('Lease Cycles'!$EF$12:$EL$12,1,AV78)=1,AV81*INDEX('Lease Cycles'!$EM$12:$ES$12,1,AV78)+AV82*IF(AV79&lt;INDEX('Lease Cycles'!$FA$12:$FG$12,1,AV78),0,1-INDEX('Lease Cycles'!$EM$12:$ES$12,1,AV78)),AV81*IF(AV79&lt;INDEX('Lease Cycles'!$DK$12:$DQ$12,1,AV78),0,IF(AV79=INDEX('Lease Cycles'!$DK$12:$DQ$12,1,AV78),1-INDEX('Lease Cycles'!$DR$12:$DX$12,1,AV78),1))),0)</f>
        <v>3263.060745252127</v>
      </c>
      <c r="AW84" s="28">
        <f>IF(AW80=1,IF(INDEX('Lease Cycles'!$EF$12:$EL$12,1,AW78)=1,AW81*INDEX('Lease Cycles'!$EM$12:$ES$12,1,AW78)+AW82*IF(AW79&lt;INDEX('Lease Cycles'!$FA$12:$FG$12,1,AW78),0,1-INDEX('Lease Cycles'!$EM$12:$ES$12,1,AW78)),AW81*IF(AW79&lt;INDEX('Lease Cycles'!$DK$12:$DQ$12,1,AW78),0,IF(AW79=INDEX('Lease Cycles'!$DK$12:$DQ$12,1,AW78),1-INDEX('Lease Cycles'!$DR$12:$DX$12,1,AW78),1))),0)</f>
        <v>3263.060745252127</v>
      </c>
      <c r="AX84" s="28">
        <f>IF(AX80=1,IF(INDEX('Lease Cycles'!$EF$12:$EL$12,1,AX78)=1,AX81*INDEX('Lease Cycles'!$EM$12:$ES$12,1,AX78)+AX82*IF(AX79&lt;INDEX('Lease Cycles'!$FA$12:$FG$12,1,AX78),0,1-INDEX('Lease Cycles'!$EM$12:$ES$12,1,AX78)),AX81*IF(AX79&lt;INDEX('Lease Cycles'!$DK$12:$DQ$12,1,AX78),0,IF(AX79=INDEX('Lease Cycles'!$DK$12:$DQ$12,1,AX78),1-INDEX('Lease Cycles'!$DR$12:$DX$12,1,AX78),1))),0)</f>
        <v>3263.060745252127</v>
      </c>
      <c r="AY84" s="28">
        <f>IF(AY80=1,IF(INDEX('Lease Cycles'!$EF$12:$EL$12,1,AY78)=1,AY81*INDEX('Lease Cycles'!$EM$12:$ES$12,1,AY78)+AY82*IF(AY79&lt;INDEX('Lease Cycles'!$FA$12:$FG$12,1,AY78),0,1-INDEX('Lease Cycles'!$EM$12:$ES$12,1,AY78)),AY81*IF(AY79&lt;INDEX('Lease Cycles'!$DK$12:$DQ$12,1,AY78),0,IF(AY79=INDEX('Lease Cycles'!$DK$12:$DQ$12,1,AY78),1-INDEX('Lease Cycles'!$DR$12:$DX$12,1,AY78),1))),0)</f>
        <v>3263.060745252127</v>
      </c>
      <c r="AZ84" s="28">
        <f>IF(AZ80=1,IF(INDEX('Lease Cycles'!$EF$12:$EL$12,1,AZ78)=1,AZ81*INDEX('Lease Cycles'!$EM$12:$ES$12,1,AZ78)+AZ82*IF(AZ79&lt;INDEX('Lease Cycles'!$FA$12:$FG$12,1,AZ78),0,1-INDEX('Lease Cycles'!$EM$12:$ES$12,1,AZ78)),AZ81*IF(AZ79&lt;INDEX('Lease Cycles'!$DK$12:$DQ$12,1,AZ78),0,IF(AZ79=INDEX('Lease Cycles'!$DK$12:$DQ$12,1,AZ78),1-INDEX('Lease Cycles'!$DR$12:$DX$12,1,AZ78),1))),0)</f>
        <v>3263.060745252127</v>
      </c>
      <c r="BA84" s="28">
        <f>IF(BA80=1,IF(INDEX('Lease Cycles'!$EF$12:$EL$12,1,BA78)=1,BA81*INDEX('Lease Cycles'!$EM$12:$ES$12,1,BA78)+BA82*IF(BA79&lt;INDEX('Lease Cycles'!$FA$12:$FG$12,1,BA78),0,1-INDEX('Lease Cycles'!$EM$12:$ES$12,1,BA78)),BA81*IF(BA79&lt;INDEX('Lease Cycles'!$DK$12:$DQ$12,1,BA78),0,IF(BA79=INDEX('Lease Cycles'!$DK$12:$DQ$12,1,BA78),1-INDEX('Lease Cycles'!$DR$12:$DX$12,1,BA78),1))),0)</f>
        <v>3263.060745252127</v>
      </c>
      <c r="BB84" s="28">
        <f>IF(BB80=1,IF(INDEX('Lease Cycles'!$EF$12:$EL$12,1,BB78)=1,BB81*INDEX('Lease Cycles'!$EM$12:$ES$12,1,BB78)+BB82*IF(BB79&lt;INDEX('Lease Cycles'!$FA$12:$FG$12,1,BB78),0,1-INDEX('Lease Cycles'!$EM$12:$ES$12,1,BB78)),BB81*IF(BB79&lt;INDEX('Lease Cycles'!$DK$12:$DQ$12,1,BB78),0,IF(BB79=INDEX('Lease Cycles'!$DK$12:$DQ$12,1,BB78),1-INDEX('Lease Cycles'!$DR$12:$DX$12,1,BB78),1))),0)</f>
        <v>3360.952567609691</v>
      </c>
      <c r="BC84" s="28">
        <f>IF(BC80=1,IF(INDEX('Lease Cycles'!$EF$12:$EL$12,1,BC78)=1,BC81*INDEX('Lease Cycles'!$EM$12:$ES$12,1,BC78)+BC82*IF(BC79&lt;INDEX('Lease Cycles'!$FA$12:$FG$12,1,BC78),0,1-INDEX('Lease Cycles'!$EM$12:$ES$12,1,BC78)),BC81*IF(BC79&lt;INDEX('Lease Cycles'!$DK$12:$DQ$12,1,BC78),0,IF(BC79=INDEX('Lease Cycles'!$DK$12:$DQ$12,1,BC78),1-INDEX('Lease Cycles'!$DR$12:$DX$12,1,BC78),1))),0)</f>
        <v>3360.952567609691</v>
      </c>
      <c r="BD84" s="28">
        <f>IF(BD80=1,IF(INDEX('Lease Cycles'!$EF$12:$EL$12,1,BD78)=1,BD81*INDEX('Lease Cycles'!$EM$12:$ES$12,1,BD78)+BD82*IF(BD79&lt;INDEX('Lease Cycles'!$FA$12:$FG$12,1,BD78),0,1-INDEX('Lease Cycles'!$EM$12:$ES$12,1,BD78)),BD81*IF(BD79&lt;INDEX('Lease Cycles'!$DK$12:$DQ$12,1,BD78),0,IF(BD79=INDEX('Lease Cycles'!$DK$12:$DQ$12,1,BD78),1-INDEX('Lease Cycles'!$DR$12:$DX$12,1,BD78),1))),0)</f>
        <v>3360.952567609691</v>
      </c>
      <c r="BE84" s="28">
        <f>IF(BE80=1,IF(INDEX('Lease Cycles'!$EF$12:$EL$12,1,BE78)=1,BE81*INDEX('Lease Cycles'!$EM$12:$ES$12,1,BE78)+BE82*IF(BE79&lt;INDEX('Lease Cycles'!$FA$12:$FG$12,1,BE78),0,1-INDEX('Lease Cycles'!$EM$12:$ES$12,1,BE78)),BE81*IF(BE79&lt;INDEX('Lease Cycles'!$DK$12:$DQ$12,1,BE78),0,IF(BE79=INDEX('Lease Cycles'!$DK$12:$DQ$12,1,BE78),1-INDEX('Lease Cycles'!$DR$12:$DX$12,1,BE78),1))),0)</f>
        <v>3360.952567609691</v>
      </c>
      <c r="BF84" s="28">
        <f>IF(BF80=1,IF(INDEX('Lease Cycles'!$EF$12:$EL$12,1,BF78)=1,BF81*INDEX('Lease Cycles'!$EM$12:$ES$12,1,BF78)+BF82*IF(BF79&lt;INDEX('Lease Cycles'!$FA$12:$FG$12,1,BF78),0,1-INDEX('Lease Cycles'!$EM$12:$ES$12,1,BF78)),BF81*IF(BF79&lt;INDEX('Lease Cycles'!$DK$12:$DQ$12,1,BF78),0,IF(BF79=INDEX('Lease Cycles'!$DK$12:$DQ$12,1,BF78),1-INDEX('Lease Cycles'!$DR$12:$DX$12,1,BF78),1))),0)</f>
        <v>3360.952567609691</v>
      </c>
      <c r="BG84" s="28">
        <f>IF(BG80=1,IF(INDEX('Lease Cycles'!$EF$12:$EL$12,1,BG78)=1,BG81*INDEX('Lease Cycles'!$EM$12:$ES$12,1,BG78)+BG82*IF(BG79&lt;INDEX('Lease Cycles'!$FA$12:$FG$12,1,BG78),0,1-INDEX('Lease Cycles'!$EM$12:$ES$12,1,BG78)),BG81*IF(BG79&lt;INDEX('Lease Cycles'!$DK$12:$DQ$12,1,BG78),0,IF(BG79=INDEX('Lease Cycles'!$DK$12:$DQ$12,1,BG78),1-INDEX('Lease Cycles'!$DR$12:$DX$12,1,BG78),1))),0)</f>
        <v>3360.952567609691</v>
      </c>
      <c r="BH84" s="28">
        <f>IF(BH80=1,IF(INDEX('Lease Cycles'!$EF$12:$EL$12,1,BH78)=1,BH81*INDEX('Lease Cycles'!$EM$12:$ES$12,1,BH78)+BH82*IF(BH79&lt;INDEX('Lease Cycles'!$FA$12:$FG$12,1,BH78),0,1-INDEX('Lease Cycles'!$EM$12:$ES$12,1,BH78)),BH81*IF(BH79&lt;INDEX('Lease Cycles'!$DK$12:$DQ$12,1,BH78),0,IF(BH79=INDEX('Lease Cycles'!$DK$12:$DQ$12,1,BH78),1-INDEX('Lease Cycles'!$DR$12:$DX$12,1,BH78),1))),0)</f>
        <v>3360.952567609691</v>
      </c>
      <c r="BI84" s="28">
        <f>IF(BI80=1,IF(INDEX('Lease Cycles'!$EF$12:$EL$12,1,BI78)=1,BI81*INDEX('Lease Cycles'!$EM$12:$ES$12,1,BI78)+BI82*IF(BI79&lt;INDEX('Lease Cycles'!$FA$12:$FG$12,1,BI78),0,1-INDEX('Lease Cycles'!$EM$12:$ES$12,1,BI78)),BI81*IF(BI79&lt;INDEX('Lease Cycles'!$DK$12:$DQ$12,1,BI78),0,IF(BI79=INDEX('Lease Cycles'!$DK$12:$DQ$12,1,BI78),1-INDEX('Lease Cycles'!$DR$12:$DX$12,1,BI78),1))),0)</f>
        <v>3360.952567609691</v>
      </c>
      <c r="BJ84" s="28">
        <f>IF(BJ80=1,IF(INDEX('Lease Cycles'!$EF$12:$EL$12,1,BJ78)=1,BJ81*INDEX('Lease Cycles'!$EM$12:$ES$12,1,BJ78)+BJ82*IF(BJ79&lt;INDEX('Lease Cycles'!$FA$12:$FG$12,1,BJ78),0,1-INDEX('Lease Cycles'!$EM$12:$ES$12,1,BJ78)),BJ81*IF(BJ79&lt;INDEX('Lease Cycles'!$DK$12:$DQ$12,1,BJ78),0,IF(BJ79=INDEX('Lease Cycles'!$DK$12:$DQ$12,1,BJ78),1-INDEX('Lease Cycles'!$DR$12:$DX$12,1,BJ78),1))),0)</f>
        <v>3360.952567609691</v>
      </c>
      <c r="BK84" s="28">
        <f>IF(BK80=1,IF(INDEX('Lease Cycles'!$EF$12:$EL$12,1,BK78)=1,BK81*INDEX('Lease Cycles'!$EM$12:$ES$12,1,BK78)+BK82*IF(BK79&lt;INDEX('Lease Cycles'!$FA$12:$FG$12,1,BK78),0,1-INDEX('Lease Cycles'!$EM$12:$ES$12,1,BK78)),BK81*IF(BK79&lt;INDEX('Lease Cycles'!$DK$12:$DQ$12,1,BK78),0,IF(BK79=INDEX('Lease Cycles'!$DK$12:$DQ$12,1,BK78),1-INDEX('Lease Cycles'!$DR$12:$DX$12,1,BK78),1))),0)</f>
        <v>3360.952567609691</v>
      </c>
      <c r="BL84" s="28">
        <f>IF(BL80=1,IF(INDEX('Lease Cycles'!$EF$12:$EL$12,1,BL78)=1,BL81*INDEX('Lease Cycles'!$EM$12:$ES$12,1,BL78)+BL82*IF(BL79&lt;INDEX('Lease Cycles'!$FA$12:$FG$12,1,BL78),0,1-INDEX('Lease Cycles'!$EM$12:$ES$12,1,BL78)),BL81*IF(BL79&lt;INDEX('Lease Cycles'!$DK$12:$DQ$12,1,BL78),0,IF(BL79=INDEX('Lease Cycles'!$DK$12:$DQ$12,1,BL78),1-INDEX('Lease Cycles'!$DR$12:$DX$12,1,BL78),1))),0)</f>
        <v>3360.952567609691</v>
      </c>
      <c r="BM84" s="28">
        <f>IF(BM80=1,IF(INDEX('Lease Cycles'!$EF$12:$EL$12,1,BM78)=1,BM81*INDEX('Lease Cycles'!$EM$12:$ES$12,1,BM78)+BM82*IF(BM79&lt;INDEX('Lease Cycles'!$FA$12:$FG$12,1,BM78),0,1-INDEX('Lease Cycles'!$EM$12:$ES$12,1,BM78)),BM81*IF(BM79&lt;INDEX('Lease Cycles'!$DK$12:$DQ$12,1,BM78),0,IF(BM79=INDEX('Lease Cycles'!$DK$12:$DQ$12,1,BM78),1-INDEX('Lease Cycles'!$DR$12:$DX$12,1,BM78),1))),0)</f>
        <v>3360.952567609691</v>
      </c>
      <c r="BN84" s="28">
        <f>IF(BN80=1,IF(INDEX('Lease Cycles'!$EF$12:$EL$12,1,BN78)=1,BN81*INDEX('Lease Cycles'!$EM$12:$ES$12,1,BN78)+BN82*IF(BN79&lt;INDEX('Lease Cycles'!$FA$12:$FG$12,1,BN78),0,1-INDEX('Lease Cycles'!$EM$12:$ES$12,1,BN78)),BN81*IF(BN79&lt;INDEX('Lease Cycles'!$DK$12:$DQ$12,1,BN78),0,IF(BN79=INDEX('Lease Cycles'!$DK$12:$DQ$12,1,BN78),1-INDEX('Lease Cycles'!$DR$12:$DX$12,1,BN78),1))),0)</f>
        <v>3461.7811446379815</v>
      </c>
      <c r="BO84" s="28">
        <f>IF(BO80=1,IF(INDEX('Lease Cycles'!$EF$12:$EL$12,1,BO78)=1,BO81*INDEX('Lease Cycles'!$EM$12:$ES$12,1,BO78)+BO82*IF(BO79&lt;INDEX('Lease Cycles'!$FA$12:$FG$12,1,BO78),0,1-INDEX('Lease Cycles'!$EM$12:$ES$12,1,BO78)),BO81*IF(BO79&lt;INDEX('Lease Cycles'!$DK$12:$DQ$12,1,BO78),0,IF(BO79=INDEX('Lease Cycles'!$DK$12:$DQ$12,1,BO78),1-INDEX('Lease Cycles'!$DR$12:$DX$12,1,BO78),1))),0)</f>
        <v>3461.7811446379815</v>
      </c>
      <c r="BP84" s="28">
        <f>IF(BP80=1,IF(INDEX('Lease Cycles'!$EF$12:$EL$12,1,BP78)=1,BP81*INDEX('Lease Cycles'!$EM$12:$ES$12,1,BP78)+BP82*IF(BP79&lt;INDEX('Lease Cycles'!$FA$12:$FG$12,1,BP78),0,1-INDEX('Lease Cycles'!$EM$12:$ES$12,1,BP78)),BP81*IF(BP79&lt;INDEX('Lease Cycles'!$DK$12:$DQ$12,1,BP78),0,IF(BP79=INDEX('Lease Cycles'!$DK$12:$DQ$12,1,BP78),1-INDEX('Lease Cycles'!$DR$12:$DX$12,1,BP78),1))),0)</f>
        <v>3461.7811446379815</v>
      </c>
      <c r="BQ84" s="28">
        <f>IF(BQ80=1,IF(INDEX('Lease Cycles'!$EF$12:$EL$12,1,BQ78)=1,BQ81*INDEX('Lease Cycles'!$EM$12:$ES$12,1,BQ78)+BQ82*IF(BQ79&lt;INDEX('Lease Cycles'!$FA$12:$FG$12,1,BQ78),0,1-INDEX('Lease Cycles'!$EM$12:$ES$12,1,BQ78)),BQ81*IF(BQ79&lt;INDEX('Lease Cycles'!$DK$12:$DQ$12,1,BQ78),0,IF(BQ79=INDEX('Lease Cycles'!$DK$12:$DQ$12,1,BQ78),1-INDEX('Lease Cycles'!$DR$12:$DX$12,1,BQ78),1))),0)</f>
        <v>3461.7811446379815</v>
      </c>
      <c r="BR84" s="28">
        <f>IF(BR80=1,IF(INDEX('Lease Cycles'!$EF$12:$EL$12,1,BR78)=1,BR81*INDEX('Lease Cycles'!$EM$12:$ES$12,1,BR78)+BR82*IF(BR79&lt;INDEX('Lease Cycles'!$FA$12:$FG$12,1,BR78),0,1-INDEX('Lease Cycles'!$EM$12:$ES$12,1,BR78)),BR81*IF(BR79&lt;INDEX('Lease Cycles'!$DK$12:$DQ$12,1,BR78),0,IF(BR79=INDEX('Lease Cycles'!$DK$12:$DQ$12,1,BR78),1-INDEX('Lease Cycles'!$DR$12:$DX$12,1,BR78),1))),0)</f>
        <v>3461.7811446379815</v>
      </c>
      <c r="BS84" s="28">
        <f>IF(BS80=1,IF(INDEX('Lease Cycles'!$EF$12:$EL$12,1,BS78)=1,BS81*INDEX('Lease Cycles'!$EM$12:$ES$12,1,BS78)+BS82*IF(BS79&lt;INDEX('Lease Cycles'!$FA$12:$FG$12,1,BS78),0,1-INDEX('Lease Cycles'!$EM$12:$ES$12,1,BS78)),BS81*IF(BS79&lt;INDEX('Lease Cycles'!$DK$12:$DQ$12,1,BS78),0,IF(BS79=INDEX('Lease Cycles'!$DK$12:$DQ$12,1,BS78),1-INDEX('Lease Cycles'!$DR$12:$DX$12,1,BS78),1))),0)</f>
        <v>3461.7811446379815</v>
      </c>
      <c r="BT84" s="28">
        <f>IF(BT80=1,IF(INDEX('Lease Cycles'!$EF$12:$EL$12,1,BT78)=1,BT81*INDEX('Lease Cycles'!$EM$12:$ES$12,1,BT78)+BT82*IF(BT79&lt;INDEX('Lease Cycles'!$FA$12:$FG$12,1,BT78),0,1-INDEX('Lease Cycles'!$EM$12:$ES$12,1,BT78)),BT81*IF(BT79&lt;INDEX('Lease Cycles'!$DK$12:$DQ$12,1,BT78),0,IF(BT79=INDEX('Lease Cycles'!$DK$12:$DQ$12,1,BT78),1-INDEX('Lease Cycles'!$DR$12:$DX$12,1,BT78),1))),0)</f>
        <v>3461.7811446379815</v>
      </c>
      <c r="BU84" s="28">
        <f>IF(BU80=1,IF(INDEX('Lease Cycles'!$EF$12:$EL$12,1,BU78)=1,BU81*INDEX('Lease Cycles'!$EM$12:$ES$12,1,BU78)+BU82*IF(BU79&lt;INDEX('Lease Cycles'!$FA$12:$FG$12,1,BU78),0,1-INDEX('Lease Cycles'!$EM$12:$ES$12,1,BU78)),BU81*IF(BU79&lt;INDEX('Lease Cycles'!$DK$12:$DQ$12,1,BU78),0,IF(BU79=INDEX('Lease Cycles'!$DK$12:$DQ$12,1,BU78),1-INDEX('Lease Cycles'!$DR$12:$DX$12,1,BU78),1))),0)</f>
        <v>3461.7811446379815</v>
      </c>
      <c r="BV84" s="28">
        <f>IF(BV80=1,IF(INDEX('Lease Cycles'!$EF$12:$EL$12,1,BV78)=1,BV81*INDEX('Lease Cycles'!$EM$12:$ES$12,1,BV78)+BV82*IF(BV79&lt;INDEX('Lease Cycles'!$FA$12:$FG$12,1,BV78),0,1-INDEX('Lease Cycles'!$EM$12:$ES$12,1,BV78)),BV81*IF(BV79&lt;INDEX('Lease Cycles'!$DK$12:$DQ$12,1,BV78),0,IF(BV79=INDEX('Lease Cycles'!$DK$12:$DQ$12,1,BV78),1-INDEX('Lease Cycles'!$DR$12:$DX$12,1,BV78),1))),0)</f>
        <v>3461.7811446379815</v>
      </c>
      <c r="BW84" s="28">
        <f>IF(BW80=1,IF(INDEX('Lease Cycles'!$EF$12:$EL$12,1,BW78)=1,BW81*INDEX('Lease Cycles'!$EM$12:$ES$12,1,BW78)+BW82*IF(BW79&lt;INDEX('Lease Cycles'!$FA$12:$FG$12,1,BW78),0,1-INDEX('Lease Cycles'!$EM$12:$ES$12,1,BW78)),BW81*IF(BW79&lt;INDEX('Lease Cycles'!$DK$12:$DQ$12,1,BW78),0,IF(BW79=INDEX('Lease Cycles'!$DK$12:$DQ$12,1,BW78),1-INDEX('Lease Cycles'!$DR$12:$DX$12,1,BW78),1))),0)</f>
        <v>3461.7811446379815</v>
      </c>
      <c r="BX84" s="28">
        <f>IF(BX80=1,IF(INDEX('Lease Cycles'!$EF$12:$EL$12,1,BX78)=1,BX81*INDEX('Lease Cycles'!$EM$12:$ES$12,1,BX78)+BX82*IF(BX79&lt;INDEX('Lease Cycles'!$FA$12:$FG$12,1,BX78),0,1-INDEX('Lease Cycles'!$EM$12:$ES$12,1,BX78)),BX81*IF(BX79&lt;INDEX('Lease Cycles'!$DK$12:$DQ$12,1,BX78),0,IF(BX79=INDEX('Lease Cycles'!$DK$12:$DQ$12,1,BX78),1-INDEX('Lease Cycles'!$DR$12:$DX$12,1,BX78),1))),0)</f>
        <v>3461.7811446379815</v>
      </c>
      <c r="BY84" s="28">
        <f>IF(BY80=1,IF(INDEX('Lease Cycles'!$EF$12:$EL$12,1,BY78)=1,BY81*INDEX('Lease Cycles'!$EM$12:$ES$12,1,BY78)+BY82*IF(BY79&lt;INDEX('Lease Cycles'!$FA$12:$FG$12,1,BY78),0,1-INDEX('Lease Cycles'!$EM$12:$ES$12,1,BY78)),BY81*IF(BY79&lt;INDEX('Lease Cycles'!$DK$12:$DQ$12,1,BY78),0,IF(BY79=INDEX('Lease Cycles'!$DK$12:$DQ$12,1,BY78),1-INDEX('Lease Cycles'!$DR$12:$DX$12,1,BY78),1))),0)</f>
        <v>3461.7811446379815</v>
      </c>
      <c r="BZ84" s="28">
        <f>IF(BZ80=1,IF(INDEX('Lease Cycles'!$EF$12:$EL$12,1,BZ78)=1,BZ81*INDEX('Lease Cycles'!$EM$12:$ES$12,1,BZ78)+BZ82*IF(BZ79&lt;INDEX('Lease Cycles'!$FA$12:$FG$12,1,BZ78),0,1-INDEX('Lease Cycles'!$EM$12:$ES$12,1,BZ78)),BZ81*IF(BZ79&lt;INDEX('Lease Cycles'!$DK$12:$DQ$12,1,BZ78),0,IF(BZ79=INDEX('Lease Cycles'!$DK$12:$DQ$12,1,BZ78),1-INDEX('Lease Cycles'!$DR$12:$DX$12,1,BZ78),1))),0)</f>
        <v>3565.634578977121</v>
      </c>
      <c r="CA84" s="28">
        <f>IF(CA80=1,IF(INDEX('Lease Cycles'!$EF$12:$EL$12,1,CA78)=1,CA81*INDEX('Lease Cycles'!$EM$12:$ES$12,1,CA78)+CA82*IF(CA79&lt;INDEX('Lease Cycles'!$FA$12:$FG$12,1,CA78),0,1-INDEX('Lease Cycles'!$EM$12:$ES$12,1,CA78)),CA81*IF(CA79&lt;INDEX('Lease Cycles'!$DK$12:$DQ$12,1,CA78),0,IF(CA79=INDEX('Lease Cycles'!$DK$12:$DQ$12,1,CA78),1-INDEX('Lease Cycles'!$DR$12:$DX$12,1,CA78),1))),0)</f>
        <v>3565.634578977121</v>
      </c>
      <c r="CB84" s="28">
        <f>IF(CB80=1,IF(INDEX('Lease Cycles'!$EF$12:$EL$12,1,CB78)=1,CB81*INDEX('Lease Cycles'!$EM$12:$ES$12,1,CB78)+CB82*IF(CB79&lt;INDEX('Lease Cycles'!$FA$12:$FG$12,1,CB78),0,1-INDEX('Lease Cycles'!$EM$12:$ES$12,1,CB78)),CB81*IF(CB79&lt;INDEX('Lease Cycles'!$DK$12:$DQ$12,1,CB78),0,IF(CB79=INDEX('Lease Cycles'!$DK$12:$DQ$12,1,CB78),1-INDEX('Lease Cycles'!$DR$12:$DX$12,1,CB78),1))),0)</f>
        <v>3565.634578977121</v>
      </c>
      <c r="CC84" s="28">
        <f>IF(CC80=1,IF(INDEX('Lease Cycles'!$EF$12:$EL$12,1,CC78)=1,CC81*INDEX('Lease Cycles'!$EM$12:$ES$12,1,CC78)+CC82*IF(CC79&lt;INDEX('Lease Cycles'!$FA$12:$FG$12,1,CC78),0,1-INDEX('Lease Cycles'!$EM$12:$ES$12,1,CC78)),CC81*IF(CC79&lt;INDEX('Lease Cycles'!$DK$12:$DQ$12,1,CC78),0,IF(CC79=INDEX('Lease Cycles'!$DK$12:$DQ$12,1,CC78),1-INDEX('Lease Cycles'!$DR$12:$DX$12,1,CC78),1))),0)</f>
        <v>3565.634578977121</v>
      </c>
      <c r="CD84" s="28">
        <f>IF(CD80=1,IF(INDEX('Lease Cycles'!$EF$12:$EL$12,1,CD78)=1,CD81*INDEX('Lease Cycles'!$EM$12:$ES$12,1,CD78)+CD82*IF(CD79&lt;INDEX('Lease Cycles'!$FA$12:$FG$12,1,CD78),0,1-INDEX('Lease Cycles'!$EM$12:$ES$12,1,CD78)),CD81*IF(CD79&lt;INDEX('Lease Cycles'!$DK$12:$DQ$12,1,CD78),0,IF(CD79=INDEX('Lease Cycles'!$DK$12:$DQ$12,1,CD78),1-INDEX('Lease Cycles'!$DR$12:$DX$12,1,CD78),1))),0)</f>
        <v>3565.634578977121</v>
      </c>
      <c r="CE84" s="28">
        <f>IF(CE80=1,IF(INDEX('Lease Cycles'!$EF$12:$EL$12,1,CE78)=1,CE81*INDEX('Lease Cycles'!$EM$12:$ES$12,1,CE78)+CE82*IF(CE79&lt;INDEX('Lease Cycles'!$FA$12:$FG$12,1,CE78),0,1-INDEX('Lease Cycles'!$EM$12:$ES$12,1,CE78)),CE81*IF(CE79&lt;INDEX('Lease Cycles'!$DK$12:$DQ$12,1,CE78),0,IF(CE79=INDEX('Lease Cycles'!$DK$12:$DQ$12,1,CE78),1-INDEX('Lease Cycles'!$DR$12:$DX$12,1,CE78),1))),0)</f>
        <v>3565.634578977121</v>
      </c>
      <c r="CF84" s="28">
        <f>IF(CF80=1,IF(INDEX('Lease Cycles'!$EF$12:$EL$12,1,CF78)=1,CF81*INDEX('Lease Cycles'!$EM$12:$ES$12,1,CF78)+CF82*IF(CF79&lt;INDEX('Lease Cycles'!$FA$12:$FG$12,1,CF78),0,1-INDEX('Lease Cycles'!$EM$12:$ES$12,1,CF78)),CF81*IF(CF79&lt;INDEX('Lease Cycles'!$DK$12:$DQ$12,1,CF78),0,IF(CF79=INDEX('Lease Cycles'!$DK$12:$DQ$12,1,CF78),1-INDEX('Lease Cycles'!$DR$12:$DX$12,1,CF78),1))),0)</f>
        <v>3565.634578977121</v>
      </c>
      <c r="CG84" s="28">
        <f>IF(CG80=1,IF(INDEX('Lease Cycles'!$EF$12:$EL$12,1,CG78)=1,CG81*INDEX('Lease Cycles'!$EM$12:$ES$12,1,CG78)+CG82*IF(CG79&lt;INDEX('Lease Cycles'!$FA$12:$FG$12,1,CG78),0,1-INDEX('Lease Cycles'!$EM$12:$ES$12,1,CG78)),CG81*IF(CG79&lt;INDEX('Lease Cycles'!$DK$12:$DQ$12,1,CG78),0,IF(CG79=INDEX('Lease Cycles'!$DK$12:$DQ$12,1,CG78),1-INDEX('Lease Cycles'!$DR$12:$DX$12,1,CG78),1))),0)</f>
        <v>3565.634578977121</v>
      </c>
      <c r="CH84" s="28">
        <f>IF(CH80=1,IF(INDEX('Lease Cycles'!$EF$12:$EL$12,1,CH78)=1,CH81*INDEX('Lease Cycles'!$EM$12:$ES$12,1,CH78)+CH82*IF(CH79&lt;INDEX('Lease Cycles'!$FA$12:$FG$12,1,CH78),0,1-INDEX('Lease Cycles'!$EM$12:$ES$12,1,CH78)),CH81*IF(CH79&lt;INDEX('Lease Cycles'!$DK$12:$DQ$12,1,CH78),0,IF(CH79=INDEX('Lease Cycles'!$DK$12:$DQ$12,1,CH78),1-INDEX('Lease Cycles'!$DR$12:$DX$12,1,CH78),1))),0)</f>
        <v>3565.634578977121</v>
      </c>
      <c r="CI84" s="28">
        <f>IF(CI80=1,IF(INDEX('Lease Cycles'!$EF$12:$EL$12,1,CI78)=1,CI81*INDEX('Lease Cycles'!$EM$12:$ES$12,1,CI78)+CI82*IF(CI79&lt;INDEX('Lease Cycles'!$FA$12:$FG$12,1,CI78),0,1-INDEX('Lease Cycles'!$EM$12:$ES$12,1,CI78)),CI81*IF(CI79&lt;INDEX('Lease Cycles'!$DK$12:$DQ$12,1,CI78),0,IF(CI79=INDEX('Lease Cycles'!$DK$12:$DQ$12,1,CI78),1-INDEX('Lease Cycles'!$DR$12:$DX$12,1,CI78),1))),0)</f>
        <v>3565.634578977121</v>
      </c>
      <c r="CJ84" s="28">
        <f>IF(CJ80=1,IF(INDEX('Lease Cycles'!$EF$12:$EL$12,1,CJ78)=1,CJ81*INDEX('Lease Cycles'!$EM$12:$ES$12,1,CJ78)+CJ82*IF(CJ79&lt;INDEX('Lease Cycles'!$FA$12:$FG$12,1,CJ78),0,1-INDEX('Lease Cycles'!$EM$12:$ES$12,1,CJ78)),CJ81*IF(CJ79&lt;INDEX('Lease Cycles'!$DK$12:$DQ$12,1,CJ78),0,IF(CJ79=INDEX('Lease Cycles'!$DK$12:$DQ$12,1,CJ78),1-INDEX('Lease Cycles'!$DR$12:$DX$12,1,CJ78),1))),0)</f>
        <v>3565.634578977121</v>
      </c>
      <c r="CK84" s="28">
        <f>IF(CK80=1,IF(INDEX('Lease Cycles'!$EF$12:$EL$12,1,CK78)=1,CK81*INDEX('Lease Cycles'!$EM$12:$ES$12,1,CK78)+CK82*IF(CK79&lt;INDEX('Lease Cycles'!$FA$12:$FG$12,1,CK78),0,1-INDEX('Lease Cycles'!$EM$12:$ES$12,1,CK78)),CK81*IF(CK79&lt;INDEX('Lease Cycles'!$DK$12:$DQ$12,1,CK78),0,IF(CK79=INDEX('Lease Cycles'!$DK$12:$DQ$12,1,CK78),1-INDEX('Lease Cycles'!$DR$12:$DX$12,1,CK78),1))),0)</f>
        <v>3565.634578977121</v>
      </c>
      <c r="CL84" s="28">
        <f>IF(CL80=1,IF(INDEX('Lease Cycles'!$EF$12:$EL$12,1,CL78)=1,CL81*INDEX('Lease Cycles'!$EM$12:$ES$12,1,CL78)+CL82*IF(CL79&lt;INDEX('Lease Cycles'!$FA$12:$FG$12,1,CL78),0,1-INDEX('Lease Cycles'!$EM$12:$ES$12,1,CL78)),CL81*IF(CL79&lt;INDEX('Lease Cycles'!$DK$12:$DQ$12,1,CL78),0,IF(CL79=INDEX('Lease Cycles'!$DK$12:$DQ$12,1,CL78),1-INDEX('Lease Cycles'!$DR$12:$DX$12,1,CL78),1))),0)</f>
        <v>3672.6036163464355</v>
      </c>
      <c r="CM84" s="28">
        <f>IF(CM80=1,IF(INDEX('Lease Cycles'!$EF$12:$EL$12,1,CM78)=1,CM81*INDEX('Lease Cycles'!$EM$12:$ES$12,1,CM78)+CM82*IF(CM79&lt;INDEX('Lease Cycles'!$FA$12:$FG$12,1,CM78),0,1-INDEX('Lease Cycles'!$EM$12:$ES$12,1,CM78)),CM81*IF(CM79&lt;INDEX('Lease Cycles'!$DK$12:$DQ$12,1,CM78),0,IF(CM79=INDEX('Lease Cycles'!$DK$12:$DQ$12,1,CM78),1-INDEX('Lease Cycles'!$DR$12:$DX$12,1,CM78),1))),0)</f>
        <v>3672.6036163464355</v>
      </c>
      <c r="CN84" s="28">
        <f>IF(CN80=1,IF(INDEX('Lease Cycles'!$EF$12:$EL$12,1,CN78)=1,CN81*INDEX('Lease Cycles'!$EM$12:$ES$12,1,CN78)+CN82*IF(CN79&lt;INDEX('Lease Cycles'!$FA$12:$FG$12,1,CN78),0,1-INDEX('Lease Cycles'!$EM$12:$ES$12,1,CN78)),CN81*IF(CN79&lt;INDEX('Lease Cycles'!$DK$12:$DQ$12,1,CN78),0,IF(CN79=INDEX('Lease Cycles'!$DK$12:$DQ$12,1,CN78),1-INDEX('Lease Cycles'!$DR$12:$DX$12,1,CN78),1))),0)</f>
        <v>3672.6036163464355</v>
      </c>
      <c r="CO84" s="28">
        <f>IF(CO80=1,IF(INDEX('Lease Cycles'!$EF$12:$EL$12,1,CO78)=1,CO81*INDEX('Lease Cycles'!$EM$12:$ES$12,1,CO78)+CO82*IF(CO79&lt;INDEX('Lease Cycles'!$FA$12:$FG$12,1,CO78),0,1-INDEX('Lease Cycles'!$EM$12:$ES$12,1,CO78)),CO81*IF(CO79&lt;INDEX('Lease Cycles'!$DK$12:$DQ$12,1,CO78),0,IF(CO79=INDEX('Lease Cycles'!$DK$12:$DQ$12,1,CO78),1-INDEX('Lease Cycles'!$DR$12:$DX$12,1,CO78),1))),0)</f>
        <v>3672.6036163464355</v>
      </c>
      <c r="CP84" s="28">
        <f>IF(CP80=1,IF(INDEX('Lease Cycles'!$EF$12:$EL$12,1,CP78)=1,CP81*INDEX('Lease Cycles'!$EM$12:$ES$12,1,CP78)+CP82*IF(CP79&lt;INDEX('Lease Cycles'!$FA$12:$FG$12,1,CP78),0,1-INDEX('Lease Cycles'!$EM$12:$ES$12,1,CP78)),CP81*IF(CP79&lt;INDEX('Lease Cycles'!$DK$12:$DQ$12,1,CP78),0,IF(CP79=INDEX('Lease Cycles'!$DK$12:$DQ$12,1,CP78),1-INDEX('Lease Cycles'!$DR$12:$DX$12,1,CP78),1))),0)</f>
        <v>3672.6036163464355</v>
      </c>
      <c r="CQ84" s="28">
        <f>IF(CQ80=1,IF(INDEX('Lease Cycles'!$EF$12:$EL$12,1,CQ78)=1,CQ81*INDEX('Lease Cycles'!$EM$12:$ES$12,1,CQ78)+CQ82*IF(CQ79&lt;INDEX('Lease Cycles'!$FA$12:$FG$12,1,CQ78),0,1-INDEX('Lease Cycles'!$EM$12:$ES$12,1,CQ78)),CQ81*IF(CQ79&lt;INDEX('Lease Cycles'!$DK$12:$DQ$12,1,CQ78),0,IF(CQ79=INDEX('Lease Cycles'!$DK$12:$DQ$12,1,CQ78),1-INDEX('Lease Cycles'!$DR$12:$DX$12,1,CQ78),1))),0)</f>
        <v>3672.6036163464355</v>
      </c>
      <c r="CR84" s="28">
        <f>IF(CR80=1,IF(INDEX('Lease Cycles'!$EF$12:$EL$12,1,CR78)=1,CR81*INDEX('Lease Cycles'!$EM$12:$ES$12,1,CR78)+CR82*IF(CR79&lt;INDEX('Lease Cycles'!$FA$12:$FG$12,1,CR78),0,1-INDEX('Lease Cycles'!$EM$12:$ES$12,1,CR78)),CR81*IF(CR79&lt;INDEX('Lease Cycles'!$DK$12:$DQ$12,1,CR78),0,IF(CR79=INDEX('Lease Cycles'!$DK$12:$DQ$12,1,CR78),1-INDEX('Lease Cycles'!$DR$12:$DX$12,1,CR78),1))),0)</f>
        <v>3672.6036163464355</v>
      </c>
      <c r="CS84" s="28">
        <f>IF(CS80=1,IF(INDEX('Lease Cycles'!$EF$12:$EL$12,1,CS78)=1,CS81*INDEX('Lease Cycles'!$EM$12:$ES$12,1,CS78)+CS82*IF(CS79&lt;INDEX('Lease Cycles'!$FA$12:$FG$12,1,CS78),0,1-INDEX('Lease Cycles'!$EM$12:$ES$12,1,CS78)),CS81*IF(CS79&lt;INDEX('Lease Cycles'!$DK$12:$DQ$12,1,CS78),0,IF(CS79=INDEX('Lease Cycles'!$DK$12:$DQ$12,1,CS78),1-INDEX('Lease Cycles'!$DR$12:$DX$12,1,CS78),1))),0)</f>
        <v>3672.6036163464355</v>
      </c>
      <c r="CT84" s="28">
        <f>IF(CT80=1,IF(INDEX('Lease Cycles'!$EF$12:$EL$12,1,CT78)=1,CT81*INDEX('Lease Cycles'!$EM$12:$ES$12,1,CT78)+CT82*IF(CT79&lt;INDEX('Lease Cycles'!$FA$12:$FG$12,1,CT78),0,1-INDEX('Lease Cycles'!$EM$12:$ES$12,1,CT78)),CT81*IF(CT79&lt;INDEX('Lease Cycles'!$DK$12:$DQ$12,1,CT78),0,IF(CT79=INDEX('Lease Cycles'!$DK$12:$DQ$12,1,CT78),1-INDEX('Lease Cycles'!$DR$12:$DX$12,1,CT78),1))),0)</f>
        <v>3672.6036163464355</v>
      </c>
      <c r="CU84" s="28">
        <f>IF(CU80=1,IF(INDEX('Lease Cycles'!$EF$12:$EL$12,1,CU78)=1,CU81*INDEX('Lease Cycles'!$EM$12:$ES$12,1,CU78)+CU82*IF(CU79&lt;INDEX('Lease Cycles'!$FA$12:$FG$12,1,CU78),0,1-INDEX('Lease Cycles'!$EM$12:$ES$12,1,CU78)),CU81*IF(CU79&lt;INDEX('Lease Cycles'!$DK$12:$DQ$12,1,CU78),0,IF(CU79=INDEX('Lease Cycles'!$DK$12:$DQ$12,1,CU78),1-INDEX('Lease Cycles'!$DR$12:$DX$12,1,CU78),1))),0)</f>
        <v>3672.6036163464355</v>
      </c>
      <c r="CV84" s="28">
        <f>IF(CV80=1,IF(INDEX('Lease Cycles'!$EF$12:$EL$12,1,CV78)=1,CV81*INDEX('Lease Cycles'!$EM$12:$ES$12,1,CV78)+CV82*IF(CV79&lt;INDEX('Lease Cycles'!$FA$12:$FG$12,1,CV78),0,1-INDEX('Lease Cycles'!$EM$12:$ES$12,1,CV78)),CV81*IF(CV79&lt;INDEX('Lease Cycles'!$DK$12:$DQ$12,1,CV78),0,IF(CV79=INDEX('Lease Cycles'!$DK$12:$DQ$12,1,CV78),1-INDEX('Lease Cycles'!$DR$12:$DX$12,1,CV78),1))),0)</f>
        <v>3672.6036163464355</v>
      </c>
      <c r="CW84" s="28">
        <f>IF(CW80=1,IF(INDEX('Lease Cycles'!$EF$12:$EL$12,1,CW78)=1,CW81*INDEX('Lease Cycles'!$EM$12:$ES$12,1,CW78)+CW82*IF(CW79&lt;INDEX('Lease Cycles'!$FA$12:$FG$12,1,CW78),0,1-INDEX('Lease Cycles'!$EM$12:$ES$12,1,CW78)),CW81*IF(CW79&lt;INDEX('Lease Cycles'!$DK$12:$DQ$12,1,CW78),0,IF(CW79=INDEX('Lease Cycles'!$DK$12:$DQ$12,1,CW78),1-INDEX('Lease Cycles'!$DR$12:$DX$12,1,CW78),1))),0)</f>
        <v>3672.6036163464355</v>
      </c>
      <c r="CX84" s="28">
        <f>IF(CX80=1,IF(INDEX('Lease Cycles'!$EF$12:$EL$12,1,CX78)=1,CX81*INDEX('Lease Cycles'!$EM$12:$ES$12,1,CX78)+CX82*IF(CX79&lt;INDEX('Lease Cycles'!$FA$12:$FG$12,1,CX78),0,1-INDEX('Lease Cycles'!$EM$12:$ES$12,1,CX78)),CX81*IF(CX79&lt;INDEX('Lease Cycles'!$DK$12:$DQ$12,1,CX78),0,IF(CX79=INDEX('Lease Cycles'!$DK$12:$DQ$12,1,CX78),1-INDEX('Lease Cycles'!$DR$12:$DX$12,1,CX78),1))),0)</f>
        <v>3782.7817248368283</v>
      </c>
      <c r="CY84" s="28">
        <f>IF(CY80=1,IF(INDEX('Lease Cycles'!$EF$12:$EL$12,1,CY78)=1,CY81*INDEX('Lease Cycles'!$EM$12:$ES$12,1,CY78)+CY82*IF(CY79&lt;INDEX('Lease Cycles'!$FA$12:$FG$12,1,CY78),0,1-INDEX('Lease Cycles'!$EM$12:$ES$12,1,CY78)),CY81*IF(CY79&lt;INDEX('Lease Cycles'!$DK$12:$DQ$12,1,CY78),0,IF(CY79=INDEX('Lease Cycles'!$DK$12:$DQ$12,1,CY78),1-INDEX('Lease Cycles'!$DR$12:$DX$12,1,CY78),1))),0)</f>
        <v>3782.7817248368283</v>
      </c>
      <c r="CZ84" s="28">
        <f>IF(CZ80=1,IF(INDEX('Lease Cycles'!$EF$12:$EL$12,1,CZ78)=1,CZ81*INDEX('Lease Cycles'!$EM$12:$ES$12,1,CZ78)+CZ82*IF(CZ79&lt;INDEX('Lease Cycles'!$FA$12:$FG$12,1,CZ78),0,1-INDEX('Lease Cycles'!$EM$12:$ES$12,1,CZ78)),CZ81*IF(CZ79&lt;INDEX('Lease Cycles'!$DK$12:$DQ$12,1,CZ78),0,IF(CZ79=INDEX('Lease Cycles'!$DK$12:$DQ$12,1,CZ78),1-INDEX('Lease Cycles'!$DR$12:$DX$12,1,CZ78),1))),0)</f>
        <v>3782.7817248368283</v>
      </c>
      <c r="DA84" s="28">
        <f>IF(DA80=1,IF(INDEX('Lease Cycles'!$EF$12:$EL$12,1,DA78)=1,DA81*INDEX('Lease Cycles'!$EM$12:$ES$12,1,DA78)+DA82*IF(DA79&lt;INDEX('Lease Cycles'!$FA$12:$FG$12,1,DA78),0,1-INDEX('Lease Cycles'!$EM$12:$ES$12,1,DA78)),DA81*IF(DA79&lt;INDEX('Lease Cycles'!$DK$12:$DQ$12,1,DA78),0,IF(DA79=INDEX('Lease Cycles'!$DK$12:$DQ$12,1,DA78),1-INDEX('Lease Cycles'!$DR$12:$DX$12,1,DA78),1))),0)</f>
        <v>3782.7817248368283</v>
      </c>
      <c r="DB84" s="28">
        <f>IF(DB80=1,IF(INDEX('Lease Cycles'!$EF$12:$EL$12,1,DB78)=1,DB81*INDEX('Lease Cycles'!$EM$12:$ES$12,1,DB78)+DB82*IF(DB79&lt;INDEX('Lease Cycles'!$FA$12:$FG$12,1,DB78),0,1-INDEX('Lease Cycles'!$EM$12:$ES$12,1,DB78)),DB81*IF(DB79&lt;INDEX('Lease Cycles'!$DK$12:$DQ$12,1,DB78),0,IF(DB79=INDEX('Lease Cycles'!$DK$12:$DQ$12,1,DB78),1-INDEX('Lease Cycles'!$DR$12:$DX$12,1,DB78),1))),0)</f>
        <v>3782.7817248368283</v>
      </c>
      <c r="DC84" s="28">
        <f>IF(DC80=1,IF(INDEX('Lease Cycles'!$EF$12:$EL$12,1,DC78)=1,DC81*INDEX('Lease Cycles'!$EM$12:$ES$12,1,DC78)+DC82*IF(DC79&lt;INDEX('Lease Cycles'!$FA$12:$FG$12,1,DC78),0,1-INDEX('Lease Cycles'!$EM$12:$ES$12,1,DC78)),DC81*IF(DC79&lt;INDEX('Lease Cycles'!$DK$12:$DQ$12,1,DC78),0,IF(DC79=INDEX('Lease Cycles'!$DK$12:$DQ$12,1,DC78),1-INDEX('Lease Cycles'!$DR$12:$DX$12,1,DC78),1))),0)</f>
        <v>3782.7817248368283</v>
      </c>
      <c r="DD84" s="28">
        <f>IF(DD80=1,IF(INDEX('Lease Cycles'!$EF$12:$EL$12,1,DD78)=1,DD81*INDEX('Lease Cycles'!$EM$12:$ES$12,1,DD78)+DD82*IF(DD79&lt;INDEX('Lease Cycles'!$FA$12:$FG$12,1,DD78),0,1-INDEX('Lease Cycles'!$EM$12:$ES$12,1,DD78)),DD81*IF(DD79&lt;INDEX('Lease Cycles'!$DK$12:$DQ$12,1,DD78),0,IF(DD79=INDEX('Lease Cycles'!$DK$12:$DQ$12,1,DD78),1-INDEX('Lease Cycles'!$DR$12:$DX$12,1,DD78),1))),0)</f>
        <v>3782.7817248368283</v>
      </c>
      <c r="DE84" s="28">
        <f>IF(DE80=1,IF(INDEX('Lease Cycles'!$EF$12:$EL$12,1,DE78)=1,DE81*INDEX('Lease Cycles'!$EM$12:$ES$12,1,DE78)+DE82*IF(DE79&lt;INDEX('Lease Cycles'!$FA$12:$FG$12,1,DE78),0,1-INDEX('Lease Cycles'!$EM$12:$ES$12,1,DE78)),DE81*IF(DE79&lt;INDEX('Lease Cycles'!$DK$12:$DQ$12,1,DE78),0,IF(DE79=INDEX('Lease Cycles'!$DK$12:$DQ$12,1,DE78),1-INDEX('Lease Cycles'!$DR$12:$DX$12,1,DE78),1))),0)</f>
        <v>3782.7817248368283</v>
      </c>
      <c r="DF84" s="28">
        <f>IF(DF80=1,IF(INDEX('Lease Cycles'!$EF$12:$EL$12,1,DF78)=1,DF81*INDEX('Lease Cycles'!$EM$12:$ES$12,1,DF78)+DF82*IF(DF79&lt;INDEX('Lease Cycles'!$FA$12:$FG$12,1,DF78),0,1-INDEX('Lease Cycles'!$EM$12:$ES$12,1,DF78)),DF81*IF(DF79&lt;INDEX('Lease Cycles'!$DK$12:$DQ$12,1,DF78),0,IF(DF79=INDEX('Lease Cycles'!$DK$12:$DQ$12,1,DF78),1-INDEX('Lease Cycles'!$DR$12:$DX$12,1,DF78),1))),0)</f>
        <v>3782.7817248368283</v>
      </c>
      <c r="DG84" s="28">
        <f>IF(DG80=1,IF(INDEX('Lease Cycles'!$EF$12:$EL$12,1,DG78)=1,DG81*INDEX('Lease Cycles'!$EM$12:$ES$12,1,DG78)+DG82*IF(DG79&lt;INDEX('Lease Cycles'!$FA$12:$FG$12,1,DG78),0,1-INDEX('Lease Cycles'!$EM$12:$ES$12,1,DG78)),DG81*IF(DG79&lt;INDEX('Lease Cycles'!$DK$12:$DQ$12,1,DG78),0,IF(DG79=INDEX('Lease Cycles'!$DK$12:$DQ$12,1,DG78),1-INDEX('Lease Cycles'!$DR$12:$DX$12,1,DG78),1))),0)</f>
        <v>3782.7817248368283</v>
      </c>
      <c r="DH84" s="28">
        <f>IF(DH80=1,IF(INDEX('Lease Cycles'!$EF$12:$EL$12,1,DH78)=1,DH81*INDEX('Lease Cycles'!$EM$12:$ES$12,1,DH78)+DH82*IF(DH79&lt;INDEX('Lease Cycles'!$FA$12:$FG$12,1,DH78),0,1-INDEX('Lease Cycles'!$EM$12:$ES$12,1,DH78)),DH81*IF(DH79&lt;INDEX('Lease Cycles'!$DK$12:$DQ$12,1,DH78),0,IF(DH79=INDEX('Lease Cycles'!$DK$12:$DQ$12,1,DH78),1-INDEX('Lease Cycles'!$DR$12:$DX$12,1,DH78),1))),0)</f>
        <v>3782.7817248368283</v>
      </c>
      <c r="DI84" s="28">
        <f>IF(DI80=1,IF(INDEX('Lease Cycles'!$EF$12:$EL$12,1,DI78)=1,DI81*INDEX('Lease Cycles'!$EM$12:$ES$12,1,DI78)+DI82*IF(DI79&lt;INDEX('Lease Cycles'!$FA$12:$FG$12,1,DI78),0,1-INDEX('Lease Cycles'!$EM$12:$ES$12,1,DI78)),DI81*IF(DI79&lt;INDEX('Lease Cycles'!$DK$12:$DQ$12,1,DI78),0,IF(DI79=INDEX('Lease Cycles'!$DK$12:$DQ$12,1,DI78),1-INDEX('Lease Cycles'!$DR$12:$DX$12,1,DI78),1))),0)</f>
        <v>3782.7817248368283</v>
      </c>
      <c r="DJ84" s="28">
        <f>IF(DJ80=1,IF(INDEX('Lease Cycles'!$EF$12:$EL$12,1,DJ78)=1,DJ81*INDEX('Lease Cycles'!$EM$12:$ES$12,1,DJ78)+DJ82*IF(DJ79&lt;INDEX('Lease Cycles'!$FA$12:$FG$12,1,DJ78),0,1-INDEX('Lease Cycles'!$EM$12:$ES$12,1,DJ78)),DJ81*IF(DJ79&lt;INDEX('Lease Cycles'!$DK$12:$DQ$12,1,DJ78),0,IF(DJ79=INDEX('Lease Cycles'!$DK$12:$DQ$12,1,DJ78),1-INDEX('Lease Cycles'!$DR$12:$DX$12,1,DJ78),1))),0)</f>
        <v>3896.2651765819332</v>
      </c>
      <c r="DK84" s="28">
        <f>IF(DK80=1,IF(INDEX('Lease Cycles'!$EF$12:$EL$12,1,DK78)=1,DK81*INDEX('Lease Cycles'!$EM$12:$ES$12,1,DK78)+DK82*IF(DK79&lt;INDEX('Lease Cycles'!$FA$12:$FG$12,1,DK78),0,1-INDEX('Lease Cycles'!$EM$12:$ES$12,1,DK78)),DK81*IF(DK79&lt;INDEX('Lease Cycles'!$DK$12:$DQ$12,1,DK78),0,IF(DK79=INDEX('Lease Cycles'!$DK$12:$DQ$12,1,DK78),1-INDEX('Lease Cycles'!$DR$12:$DX$12,1,DK78),1))),0)</f>
        <v>3896.2651765819332</v>
      </c>
      <c r="DL84" s="28">
        <f>IF(DL80=1,IF(INDEX('Lease Cycles'!$EF$12:$EL$12,1,DL78)=1,DL81*INDEX('Lease Cycles'!$EM$12:$ES$12,1,DL78)+DL82*IF(DL79&lt;INDEX('Lease Cycles'!$FA$12:$FG$12,1,DL78),0,1-INDEX('Lease Cycles'!$EM$12:$ES$12,1,DL78)),DL81*IF(DL79&lt;INDEX('Lease Cycles'!$DK$12:$DQ$12,1,DL78),0,IF(DL79=INDEX('Lease Cycles'!$DK$12:$DQ$12,1,DL78),1-INDEX('Lease Cycles'!$DR$12:$DX$12,1,DL78),1))),0)</f>
        <v>3896.2651765819332</v>
      </c>
      <c r="DM84" s="28">
        <f>IF(DM80=1,IF(INDEX('Lease Cycles'!$EF$12:$EL$12,1,DM78)=1,DM81*INDEX('Lease Cycles'!$EM$12:$ES$12,1,DM78)+DM82*IF(DM79&lt;INDEX('Lease Cycles'!$FA$12:$FG$12,1,DM78),0,1-INDEX('Lease Cycles'!$EM$12:$ES$12,1,DM78)),DM81*IF(DM79&lt;INDEX('Lease Cycles'!$DK$12:$DQ$12,1,DM78),0,IF(DM79=INDEX('Lease Cycles'!$DK$12:$DQ$12,1,DM78),1-INDEX('Lease Cycles'!$DR$12:$DX$12,1,DM78),1))),0)</f>
        <v>3896.2651765819332</v>
      </c>
      <c r="DN84" s="28">
        <f>IF(DN80=1,IF(INDEX('Lease Cycles'!$EF$12:$EL$12,1,DN78)=1,DN81*INDEX('Lease Cycles'!$EM$12:$ES$12,1,DN78)+DN82*IF(DN79&lt;INDEX('Lease Cycles'!$FA$12:$FG$12,1,DN78),0,1-INDEX('Lease Cycles'!$EM$12:$ES$12,1,DN78)),DN81*IF(DN79&lt;INDEX('Lease Cycles'!$DK$12:$DQ$12,1,DN78),0,IF(DN79=INDEX('Lease Cycles'!$DK$12:$DQ$12,1,DN78),1-INDEX('Lease Cycles'!$DR$12:$DX$12,1,DN78),1))),0)</f>
        <v>3896.2651765819332</v>
      </c>
      <c r="DO84" s="28">
        <f>IF(DO80=1,IF(INDEX('Lease Cycles'!$EF$12:$EL$12,1,DO78)=1,DO81*INDEX('Lease Cycles'!$EM$12:$ES$12,1,DO78)+DO82*IF(DO79&lt;INDEX('Lease Cycles'!$FA$12:$FG$12,1,DO78),0,1-INDEX('Lease Cycles'!$EM$12:$ES$12,1,DO78)),DO81*IF(DO79&lt;INDEX('Lease Cycles'!$DK$12:$DQ$12,1,DO78),0,IF(DO79=INDEX('Lease Cycles'!$DK$12:$DQ$12,1,DO78),1-INDEX('Lease Cycles'!$DR$12:$DX$12,1,DO78),1))),0)</f>
        <v>3896.2651765819332</v>
      </c>
      <c r="DP84" s="28">
        <f>IF(DP80=1,IF(INDEX('Lease Cycles'!$EF$12:$EL$12,1,DP78)=1,DP81*INDEX('Lease Cycles'!$EM$12:$ES$12,1,DP78)+DP82*IF(DP79&lt;INDEX('Lease Cycles'!$FA$12:$FG$12,1,DP78),0,1-INDEX('Lease Cycles'!$EM$12:$ES$12,1,DP78)),DP81*IF(DP79&lt;INDEX('Lease Cycles'!$DK$12:$DQ$12,1,DP78),0,IF(DP79=INDEX('Lease Cycles'!$DK$12:$DQ$12,1,DP78),1-INDEX('Lease Cycles'!$DR$12:$DX$12,1,DP78),1))),0)</f>
        <v>3896.2651765819332</v>
      </c>
      <c r="DQ84" s="28">
        <f>IF(DQ80=1,IF(INDEX('Lease Cycles'!$EF$12:$EL$12,1,DQ78)=1,DQ81*INDEX('Lease Cycles'!$EM$12:$ES$12,1,DQ78)+DQ82*IF(DQ79&lt;INDEX('Lease Cycles'!$FA$12:$FG$12,1,DQ78),0,1-INDEX('Lease Cycles'!$EM$12:$ES$12,1,DQ78)),DQ81*IF(DQ79&lt;INDEX('Lease Cycles'!$DK$12:$DQ$12,1,DQ78),0,IF(DQ79=INDEX('Lease Cycles'!$DK$12:$DQ$12,1,DQ78),1-INDEX('Lease Cycles'!$DR$12:$DX$12,1,DQ78),1))),0)</f>
        <v>3896.2651765819332</v>
      </c>
      <c r="DR84" s="28">
        <f>IF(DR80=1,IF(INDEX('Lease Cycles'!$EF$12:$EL$12,1,DR78)=1,DR81*INDEX('Lease Cycles'!$EM$12:$ES$12,1,DR78)+DR82*IF(DR79&lt;INDEX('Lease Cycles'!$FA$12:$FG$12,1,DR78),0,1-INDEX('Lease Cycles'!$EM$12:$ES$12,1,DR78)),DR81*IF(DR79&lt;INDEX('Lease Cycles'!$DK$12:$DQ$12,1,DR78),0,IF(DR79=INDEX('Lease Cycles'!$DK$12:$DQ$12,1,DR78),1-INDEX('Lease Cycles'!$DR$12:$DX$12,1,DR78),1))),0)</f>
        <v>3896.2651765819332</v>
      </c>
      <c r="DS84" s="28">
        <f>IF(DS80=1,IF(INDEX('Lease Cycles'!$EF$12:$EL$12,1,DS78)=1,DS81*INDEX('Lease Cycles'!$EM$12:$ES$12,1,DS78)+DS82*IF(DS79&lt;INDEX('Lease Cycles'!$FA$12:$FG$12,1,DS78),0,1-INDEX('Lease Cycles'!$EM$12:$ES$12,1,DS78)),DS81*IF(DS79&lt;INDEX('Lease Cycles'!$DK$12:$DQ$12,1,DS78),0,IF(DS79=INDEX('Lease Cycles'!$DK$12:$DQ$12,1,DS78),1-INDEX('Lease Cycles'!$DR$12:$DX$12,1,DS78),1))),0)</f>
        <v>3896.2651765819332</v>
      </c>
      <c r="DT84" s="28">
        <f>IF(DT80=1,IF(INDEX('Lease Cycles'!$EF$12:$EL$12,1,DT78)=1,DT81*INDEX('Lease Cycles'!$EM$12:$ES$12,1,DT78)+DT82*IF(DT79&lt;INDEX('Lease Cycles'!$FA$12:$FG$12,1,DT78),0,1-INDEX('Lease Cycles'!$EM$12:$ES$12,1,DT78)),DT81*IF(DT79&lt;INDEX('Lease Cycles'!$DK$12:$DQ$12,1,DT78),0,IF(DT79=INDEX('Lease Cycles'!$DK$12:$DQ$12,1,DT78),1-INDEX('Lease Cycles'!$DR$12:$DX$12,1,DT78),1))),0)</f>
        <v>3896.2651765819332</v>
      </c>
      <c r="DU84" s="28">
        <f>IF(DU80=1,IF(INDEX('Lease Cycles'!$EF$12:$EL$12,1,DU78)=1,DU81*INDEX('Lease Cycles'!$EM$12:$ES$12,1,DU78)+DU82*IF(DU79&lt;INDEX('Lease Cycles'!$FA$12:$FG$12,1,DU78),0,1-INDEX('Lease Cycles'!$EM$12:$ES$12,1,DU78)),DU81*IF(DU79&lt;INDEX('Lease Cycles'!$DK$12:$DQ$12,1,DU78),0,IF(DU79=INDEX('Lease Cycles'!$DK$12:$DQ$12,1,DU78),1-INDEX('Lease Cycles'!$DR$12:$DX$12,1,DU78),1))),0)</f>
        <v>3896.2651765819332</v>
      </c>
      <c r="DV84" s="28">
        <f>IF(DV80=1,IF(INDEX('Lease Cycles'!$EF$12:$EL$12,1,DV78)=1,DV81*INDEX('Lease Cycles'!$EM$12:$ES$12,1,DV78)+DV82*IF(DV79&lt;INDEX('Lease Cycles'!$FA$12:$FG$12,1,DV78),0,1-INDEX('Lease Cycles'!$EM$12:$ES$12,1,DV78)),DV81*IF(DV79&lt;INDEX('Lease Cycles'!$DK$12:$DQ$12,1,DV78),0,IF(DV79=INDEX('Lease Cycles'!$DK$12:$DQ$12,1,DV78),1-INDEX('Lease Cycles'!$DR$12:$DX$12,1,DV78),1))),0)</f>
        <v>4013.1531318793914</v>
      </c>
      <c r="DW84" s="28">
        <f>IF(DW80=1,IF(INDEX('Lease Cycles'!$EF$12:$EL$12,1,DW78)=1,DW81*INDEX('Lease Cycles'!$EM$12:$ES$12,1,DW78)+DW82*IF(DW79&lt;INDEX('Lease Cycles'!$FA$12:$FG$12,1,DW78),0,1-INDEX('Lease Cycles'!$EM$12:$ES$12,1,DW78)),DW81*IF(DW79&lt;INDEX('Lease Cycles'!$DK$12:$DQ$12,1,DW78),0,IF(DW79=INDEX('Lease Cycles'!$DK$12:$DQ$12,1,DW78),1-INDEX('Lease Cycles'!$DR$12:$DX$12,1,DW78),1))),0)</f>
        <v>4013.1531318793914</v>
      </c>
      <c r="DX84" s="28">
        <f>IF(DX80=1,IF(INDEX('Lease Cycles'!$EF$12:$EL$12,1,DX78)=1,DX81*INDEX('Lease Cycles'!$EM$12:$ES$12,1,DX78)+DX82*IF(DX79&lt;INDEX('Lease Cycles'!$FA$12:$FG$12,1,DX78),0,1-INDEX('Lease Cycles'!$EM$12:$ES$12,1,DX78)),DX81*IF(DX79&lt;INDEX('Lease Cycles'!$DK$12:$DQ$12,1,DX78),0,IF(DX79=INDEX('Lease Cycles'!$DK$12:$DQ$12,1,DX78),1-INDEX('Lease Cycles'!$DR$12:$DX$12,1,DX78),1))),0)</f>
        <v>4013.1531318793914</v>
      </c>
      <c r="DY84" s="28">
        <f>IF(DY80=1,IF(INDEX('Lease Cycles'!$EF$12:$EL$12,1,DY78)=1,DY81*INDEX('Lease Cycles'!$EM$12:$ES$12,1,DY78)+DY82*IF(DY79&lt;INDEX('Lease Cycles'!$FA$12:$FG$12,1,DY78),0,1-INDEX('Lease Cycles'!$EM$12:$ES$12,1,DY78)),DY81*IF(DY79&lt;INDEX('Lease Cycles'!$DK$12:$DQ$12,1,DY78),0,IF(DY79=INDEX('Lease Cycles'!$DK$12:$DQ$12,1,DY78),1-INDEX('Lease Cycles'!$DR$12:$DX$12,1,DY78),1))),0)</f>
        <v>0</v>
      </c>
      <c r="DZ84" s="28">
        <f>IF(DZ80=1,IF(INDEX('Lease Cycles'!$EF$12:$EL$12,1,DZ78)=1,DZ81*INDEX('Lease Cycles'!$EM$12:$ES$12,1,DZ78)+DZ82*IF(DZ79&lt;INDEX('Lease Cycles'!$FA$12:$FG$12,1,DZ78),0,1-INDEX('Lease Cycles'!$EM$12:$ES$12,1,DZ78)),DZ81*IF(DZ79&lt;INDEX('Lease Cycles'!$DK$12:$DQ$12,1,DZ78),0,IF(DZ79=INDEX('Lease Cycles'!$DK$12:$DQ$12,1,DZ78),1-INDEX('Lease Cycles'!$DR$12:$DX$12,1,DZ78),1))),0)</f>
        <v>810.5779811155323</v>
      </c>
      <c r="EA84" s="28">
        <f>IF(EA80=1,IF(INDEX('Lease Cycles'!$EF$12:$EL$12,1,EA78)=1,EA81*INDEX('Lease Cycles'!$EM$12:$ES$12,1,EA78)+EA82*IF(EA79&lt;INDEX('Lease Cycles'!$FA$12:$FG$12,1,EA78),0,1-INDEX('Lease Cycles'!$EM$12:$ES$12,1,EA78)),EA81*IF(EA79&lt;INDEX('Lease Cycles'!$DK$12:$DQ$12,1,EA78),0,IF(EA79=INDEX('Lease Cycles'!$DK$12:$DQ$12,1,EA78),1-INDEX('Lease Cycles'!$DR$12:$DX$12,1,EA78),1))),0)</f>
        <v>4052.8899055777165</v>
      </c>
      <c r="EB84" s="28">
        <f>IF(EB80=1,IF(INDEX('Lease Cycles'!$EF$12:$EL$12,1,EB78)=1,EB81*INDEX('Lease Cycles'!$EM$12:$ES$12,1,EB78)+EB82*IF(EB79&lt;INDEX('Lease Cycles'!$FA$12:$FG$12,1,EB78),0,1-INDEX('Lease Cycles'!$EM$12:$ES$12,1,EB78)),EB81*IF(EB79&lt;INDEX('Lease Cycles'!$DK$12:$DQ$12,1,EB78),0,IF(EB79=INDEX('Lease Cycles'!$DK$12:$DQ$12,1,EB78),1-INDEX('Lease Cycles'!$DR$12:$DX$12,1,EB78),1))),0)</f>
        <v>4052.8899055777165</v>
      </c>
      <c r="EC84" s="28">
        <f>IF(EC80=1,IF(INDEX('Lease Cycles'!$EF$12:$EL$12,1,EC78)=1,EC81*INDEX('Lease Cycles'!$EM$12:$ES$12,1,EC78)+EC82*IF(EC79&lt;INDEX('Lease Cycles'!$FA$12:$FG$12,1,EC78),0,1-INDEX('Lease Cycles'!$EM$12:$ES$12,1,EC78)),EC81*IF(EC79&lt;INDEX('Lease Cycles'!$DK$12:$DQ$12,1,EC78),0,IF(EC79=INDEX('Lease Cycles'!$DK$12:$DQ$12,1,EC78),1-INDEX('Lease Cycles'!$DR$12:$DX$12,1,EC78),1))),0)</f>
        <v>4052.8899055777165</v>
      </c>
      <c r="ED84" s="28">
        <f>IF(ED80=1,IF(INDEX('Lease Cycles'!$EF$12:$EL$12,1,ED78)=1,ED81*INDEX('Lease Cycles'!$EM$12:$ES$12,1,ED78)+ED82*IF(ED79&lt;INDEX('Lease Cycles'!$FA$12:$FG$12,1,ED78),0,1-INDEX('Lease Cycles'!$EM$12:$ES$12,1,ED78)),ED81*IF(ED79&lt;INDEX('Lease Cycles'!$DK$12:$DQ$12,1,ED78),0,IF(ED79=INDEX('Lease Cycles'!$DK$12:$DQ$12,1,ED78),1-INDEX('Lease Cycles'!$DR$12:$DX$12,1,ED78),1))),0)</f>
        <v>4052.8899055777165</v>
      </c>
      <c r="EE84" s="28">
        <f>IF(EE80=1,IF(INDEX('Lease Cycles'!$EF$12:$EL$12,1,EE78)=1,EE81*INDEX('Lease Cycles'!$EM$12:$ES$12,1,EE78)+EE82*IF(EE79&lt;INDEX('Lease Cycles'!$FA$12:$FG$12,1,EE78),0,1-INDEX('Lease Cycles'!$EM$12:$ES$12,1,EE78)),EE81*IF(EE79&lt;INDEX('Lease Cycles'!$DK$12:$DQ$12,1,EE78),0,IF(EE79=INDEX('Lease Cycles'!$DK$12:$DQ$12,1,EE78),1-INDEX('Lease Cycles'!$DR$12:$DX$12,1,EE78),1))),0)</f>
        <v>4052.8899055777165</v>
      </c>
      <c r="EF84" s="28">
        <f>IF(EF80=1,IF(INDEX('Lease Cycles'!$EF$12:$EL$12,1,EF78)=1,EF81*INDEX('Lease Cycles'!$EM$12:$ES$12,1,EF78)+EF82*IF(EF79&lt;INDEX('Lease Cycles'!$FA$12:$FG$12,1,EF78),0,1-INDEX('Lease Cycles'!$EM$12:$ES$12,1,EF78)),EF81*IF(EF79&lt;INDEX('Lease Cycles'!$DK$12:$DQ$12,1,EF78),0,IF(EF79=INDEX('Lease Cycles'!$DK$12:$DQ$12,1,EF78),1-INDEX('Lease Cycles'!$DR$12:$DX$12,1,EF78),1))),0)</f>
        <v>4052.8899055777165</v>
      </c>
      <c r="EG84" s="28">
        <f>IF(EG80=1,IF(INDEX('Lease Cycles'!$EF$12:$EL$12,1,EG78)=1,EG81*INDEX('Lease Cycles'!$EM$12:$ES$12,1,EG78)+EG82*IF(EG79&lt;INDEX('Lease Cycles'!$FA$12:$FG$12,1,EG78),0,1-INDEX('Lease Cycles'!$EM$12:$ES$12,1,EG78)),EG81*IF(EG79&lt;INDEX('Lease Cycles'!$DK$12:$DQ$12,1,EG78),0,IF(EG79=INDEX('Lease Cycles'!$DK$12:$DQ$12,1,EG78),1-INDEX('Lease Cycles'!$DR$12:$DX$12,1,EG78),1))),0)</f>
        <v>4052.8899055777165</v>
      </c>
      <c r="EH84" s="28">
        <f>IF(EH80=1,IF(INDEX('Lease Cycles'!$EF$12:$EL$12,1,EH78)=1,EH81*INDEX('Lease Cycles'!$EM$12:$ES$12,1,EH78)+EH82*IF(EH79&lt;INDEX('Lease Cycles'!$FA$12:$FG$12,1,EH78),0,1-INDEX('Lease Cycles'!$EM$12:$ES$12,1,EH78)),EH81*IF(EH79&lt;INDEX('Lease Cycles'!$DK$12:$DQ$12,1,EH78),0,IF(EH79=INDEX('Lease Cycles'!$DK$12:$DQ$12,1,EH78),1-INDEX('Lease Cycles'!$DR$12:$DX$12,1,EH78),1))),0)</f>
        <v>4052.8899055777165</v>
      </c>
      <c r="EI84" s="28">
        <f>IF(EI80=1,IF(INDEX('Lease Cycles'!$EF$12:$EL$12,1,EI78)=1,EI81*INDEX('Lease Cycles'!$EM$12:$ES$12,1,EI78)+EI82*IF(EI79&lt;INDEX('Lease Cycles'!$FA$12:$FG$12,1,EI78),0,1-INDEX('Lease Cycles'!$EM$12:$ES$12,1,EI78)),EI81*IF(EI79&lt;INDEX('Lease Cycles'!$DK$12:$DQ$12,1,EI78),0,IF(EI79=INDEX('Lease Cycles'!$DK$12:$DQ$12,1,EI78),1-INDEX('Lease Cycles'!$DR$12:$DX$12,1,EI78),1))),0)</f>
        <v>4052.8899055777165</v>
      </c>
      <c r="EJ84" s="28">
        <f>IF(EJ80=1,IF(INDEX('Lease Cycles'!$EF$12:$EL$12,1,EJ78)=1,EJ81*INDEX('Lease Cycles'!$EM$12:$ES$12,1,EJ78)+EJ82*IF(EJ79&lt;INDEX('Lease Cycles'!$FA$12:$FG$12,1,EJ78),0,1-INDEX('Lease Cycles'!$EM$12:$ES$12,1,EJ78)),EJ81*IF(EJ79&lt;INDEX('Lease Cycles'!$DK$12:$DQ$12,1,EJ78),0,IF(EJ79=INDEX('Lease Cycles'!$DK$12:$DQ$12,1,EJ78),1-INDEX('Lease Cycles'!$DR$12:$DX$12,1,EJ78),1))),0)</f>
        <v>4052.8899055777165</v>
      </c>
      <c r="EK84" s="28">
        <f>IF(EK80=1,IF(INDEX('Lease Cycles'!$EF$12:$EL$12,1,EK78)=1,EK81*INDEX('Lease Cycles'!$EM$12:$ES$12,1,EK78)+EK82*IF(EK79&lt;INDEX('Lease Cycles'!$FA$12:$FG$12,1,EK78),0,1-INDEX('Lease Cycles'!$EM$12:$ES$12,1,EK78)),EK81*IF(EK79&lt;INDEX('Lease Cycles'!$DK$12:$DQ$12,1,EK78),0,IF(EK79=INDEX('Lease Cycles'!$DK$12:$DQ$12,1,EK78),1-INDEX('Lease Cycles'!$DR$12:$DX$12,1,EK78),1))),0)</f>
        <v>4052.8899055777165</v>
      </c>
      <c r="EL84" s="28">
        <f>IF(EL80=1,IF(INDEX('Lease Cycles'!$EF$12:$EL$12,1,EL78)=1,EL81*INDEX('Lease Cycles'!$EM$12:$ES$12,1,EL78)+EL82*IF(EL79&lt;INDEX('Lease Cycles'!$FA$12:$FG$12,1,EL78),0,1-INDEX('Lease Cycles'!$EM$12:$ES$12,1,EL78)),EL81*IF(EL79&lt;INDEX('Lease Cycles'!$DK$12:$DQ$12,1,EL78),0,IF(EL79=INDEX('Lease Cycles'!$DK$12:$DQ$12,1,EL78),1-INDEX('Lease Cycles'!$DR$12:$DX$12,1,EL78),1))),0)</f>
        <v>4174.476602745049</v>
      </c>
      <c r="EM84" s="28">
        <f>IF(EM80=1,IF(INDEX('Lease Cycles'!$EF$12:$EL$12,1,EM78)=1,EM81*INDEX('Lease Cycles'!$EM$12:$ES$12,1,EM78)+EM82*IF(EM79&lt;INDEX('Lease Cycles'!$FA$12:$FG$12,1,EM78),0,1-INDEX('Lease Cycles'!$EM$12:$ES$12,1,EM78)),EM81*IF(EM79&lt;INDEX('Lease Cycles'!$DK$12:$DQ$12,1,EM78),0,IF(EM79=INDEX('Lease Cycles'!$DK$12:$DQ$12,1,EM78),1-INDEX('Lease Cycles'!$DR$12:$DX$12,1,EM78),1))),0)</f>
        <v>4174.476602745049</v>
      </c>
      <c r="EN84" s="28">
        <f>IF(EN80=1,IF(INDEX('Lease Cycles'!$EF$12:$EL$12,1,EN78)=1,EN81*INDEX('Lease Cycles'!$EM$12:$ES$12,1,EN78)+EN82*IF(EN79&lt;INDEX('Lease Cycles'!$FA$12:$FG$12,1,EN78),0,1-INDEX('Lease Cycles'!$EM$12:$ES$12,1,EN78)),EN81*IF(EN79&lt;INDEX('Lease Cycles'!$DK$12:$DQ$12,1,EN78),0,IF(EN79=INDEX('Lease Cycles'!$DK$12:$DQ$12,1,EN78),1-INDEX('Lease Cycles'!$DR$12:$DX$12,1,EN78),1))),0)</f>
        <v>4174.476602745049</v>
      </c>
      <c r="EO84" s="28">
        <f>IF(EO80=1,IF(INDEX('Lease Cycles'!$EF$12:$EL$12,1,EO78)=1,EO81*INDEX('Lease Cycles'!$EM$12:$ES$12,1,EO78)+EO82*IF(EO79&lt;INDEX('Lease Cycles'!$FA$12:$FG$12,1,EO78),0,1-INDEX('Lease Cycles'!$EM$12:$ES$12,1,EO78)),EO81*IF(EO79&lt;INDEX('Lease Cycles'!$DK$12:$DQ$12,1,EO78),0,IF(EO79=INDEX('Lease Cycles'!$DK$12:$DQ$12,1,EO78),1-INDEX('Lease Cycles'!$DR$12:$DX$12,1,EO78),1))),0)</f>
        <v>4174.476602745049</v>
      </c>
      <c r="EP84" s="28">
        <f>IF(EP80=1,IF(INDEX('Lease Cycles'!$EF$12:$EL$12,1,EP78)=1,EP81*INDEX('Lease Cycles'!$EM$12:$ES$12,1,EP78)+EP82*IF(EP79&lt;INDEX('Lease Cycles'!$FA$12:$FG$12,1,EP78),0,1-INDEX('Lease Cycles'!$EM$12:$ES$12,1,EP78)),EP81*IF(EP79&lt;INDEX('Lease Cycles'!$DK$12:$DQ$12,1,EP78),0,IF(EP79=INDEX('Lease Cycles'!$DK$12:$DQ$12,1,EP78),1-INDEX('Lease Cycles'!$DR$12:$DX$12,1,EP78),1))),0)</f>
        <v>4174.476602745049</v>
      </c>
      <c r="EQ84" s="28">
        <f>IF(EQ80=1,IF(INDEX('Lease Cycles'!$EF$12:$EL$12,1,EQ78)=1,EQ81*INDEX('Lease Cycles'!$EM$12:$ES$12,1,EQ78)+EQ82*IF(EQ79&lt;INDEX('Lease Cycles'!$FA$12:$FG$12,1,EQ78),0,1-INDEX('Lease Cycles'!$EM$12:$ES$12,1,EQ78)),EQ81*IF(EQ79&lt;INDEX('Lease Cycles'!$DK$12:$DQ$12,1,EQ78),0,IF(EQ79=INDEX('Lease Cycles'!$DK$12:$DQ$12,1,EQ78),1-INDEX('Lease Cycles'!$DR$12:$DX$12,1,EQ78),1))),0)</f>
        <v>4174.476602745049</v>
      </c>
      <c r="ER84" s="28">
        <f>IF(ER80=1,IF(INDEX('Lease Cycles'!$EF$12:$EL$12,1,ER78)=1,ER81*INDEX('Lease Cycles'!$EM$12:$ES$12,1,ER78)+ER82*IF(ER79&lt;INDEX('Lease Cycles'!$FA$12:$FG$12,1,ER78),0,1-INDEX('Lease Cycles'!$EM$12:$ES$12,1,ER78)),ER81*IF(ER79&lt;INDEX('Lease Cycles'!$DK$12:$DQ$12,1,ER78),0,IF(ER79=INDEX('Lease Cycles'!$DK$12:$DQ$12,1,ER78),1-INDEX('Lease Cycles'!$DR$12:$DX$12,1,ER78),1))),0)</f>
        <v>4174.476602745049</v>
      </c>
      <c r="ES84" s="28">
        <f>IF(ES80=1,IF(INDEX('Lease Cycles'!$EF$12:$EL$12,1,ES78)=1,ES81*INDEX('Lease Cycles'!$EM$12:$ES$12,1,ES78)+ES82*IF(ES79&lt;INDEX('Lease Cycles'!$FA$12:$FG$12,1,ES78),0,1-INDEX('Lease Cycles'!$EM$12:$ES$12,1,ES78)),ES81*IF(ES79&lt;INDEX('Lease Cycles'!$DK$12:$DQ$12,1,ES78),0,IF(ES79=INDEX('Lease Cycles'!$DK$12:$DQ$12,1,ES78),1-INDEX('Lease Cycles'!$DR$12:$DX$12,1,ES78),1))),0)</f>
        <v>4174.476602745049</v>
      </c>
      <c r="ET84" s="28">
        <f>IF(ET80=1,IF(INDEX('Lease Cycles'!$EF$12:$EL$12,1,ET78)=1,ET81*INDEX('Lease Cycles'!$EM$12:$ES$12,1,ET78)+ET82*IF(ET79&lt;INDEX('Lease Cycles'!$FA$12:$FG$12,1,ET78),0,1-INDEX('Lease Cycles'!$EM$12:$ES$12,1,ET78)),ET81*IF(ET79&lt;INDEX('Lease Cycles'!$DK$12:$DQ$12,1,ET78),0,IF(ET79=INDEX('Lease Cycles'!$DK$12:$DQ$12,1,ET78),1-INDEX('Lease Cycles'!$DR$12:$DX$12,1,ET78),1))),0)</f>
        <v>4174.476602745049</v>
      </c>
    </row>
    <row r="85">
      <c r="A85" s="103">
        <v>5</v>
      </c>
      <c r="B85" s="23" t="str">
        <f>IF('Lease Cycles'!$B$12="","(empty slot)",'Lease Cycles'!$B$12)</f>
        <v>Sunfield Pizza</v>
      </c>
      <c r="C85" s="23" t="s">
        <v>493</v>
      </c>
      <c r="D85" s="104" t="s">
        <v>494</v>
      </c>
      <c r="E85" s="25">
        <f>'Lease Cycles'!$AL$12</f>
        <v>0</v>
      </c>
      <c r="G85" s="28">
        <f>SUM(S85:AD85)</f>
        <v>0</v>
      </c>
      <c r="H85" s="28">
        <f>SUM(AE85:AP85)</f>
        <v>1957.836447151276</v>
      </c>
      <c r="I85" s="28">
        <f>SUM(AQ85:BB85)</f>
        <v>0</v>
      </c>
      <c r="J85" s="28">
        <f>SUM(BC85:BN85)</f>
        <v>0</v>
      </c>
      <c r="K85" s="28">
        <f>SUM(BO85:BZ85)</f>
        <v>0</v>
      </c>
      <c r="L85" s="28">
        <f>SUM(CA85:CL85)</f>
        <v>0</v>
      </c>
      <c r="M85" s="28">
        <f>SUM(CM85:CX85)</f>
        <v>0</v>
      </c>
      <c r="N85" s="28">
        <f>SUM(CY85:DJ85)</f>
        <v>0</v>
      </c>
      <c r="O85" s="28">
        <f>SUM(DK85:DV85)</f>
        <v>0</v>
      </c>
      <c r="P85" s="28">
        <f>SUM(DW85:EH85)</f>
        <v>2431.7339433466295</v>
      </c>
      <c r="Q85" s="28">
        <f>SUM(EI85:ET85)</f>
        <v>0</v>
      </c>
      <c r="S85" s="28">
        <f>IF(S80=1,IF(INDEX('Lease Cycles'!$EF$12:$EL$12,1,S78)=1,0,S81*(1-IF(S79&lt;INDEX('Lease Cycles'!$DK$12:$DQ$12,1,S78),0,IF(S79=INDEX('Lease Cycles'!$DK$12:$DQ$12,1,S78),1-INDEX('Lease Cycles'!$DR$12:$DX$12,1,S78),1))-IF(S79=0,INDEX('Lease Cycles'!$DD$12:$DJ$12,1,S78),0))),0)</f>
        <v>0</v>
      </c>
      <c r="T85" s="28">
        <f>IF(T80=1,IF(INDEX('Lease Cycles'!$EF$12:$EL$12,1,T78)=1,0,T81*(1-IF(T79&lt;INDEX('Lease Cycles'!$DK$12:$DQ$12,1,T78),0,IF(T79=INDEX('Lease Cycles'!$DK$12:$DQ$12,1,T78),1-INDEX('Lease Cycles'!$DR$12:$DX$12,1,T78),1))-IF(T79=0,INDEX('Lease Cycles'!$DD$12:$DJ$12,1,T78),0))),0)</f>
        <v>0</v>
      </c>
      <c r="U85" s="28">
        <f>IF(U80=1,IF(INDEX('Lease Cycles'!$EF$12:$EL$12,1,U78)=1,0,U81*(1-IF(U79&lt;INDEX('Lease Cycles'!$DK$12:$DQ$12,1,U78),0,IF(U79=INDEX('Lease Cycles'!$DK$12:$DQ$12,1,U78),1-INDEX('Lease Cycles'!$DR$12:$DX$12,1,U78),1))-IF(U79=0,INDEX('Lease Cycles'!$DD$12:$DJ$12,1,U78),0))),0)</f>
        <v>0</v>
      </c>
      <c r="V85" s="28">
        <f>IF(V80=1,IF(INDEX('Lease Cycles'!$EF$12:$EL$12,1,V78)=1,0,V81*(1-IF(V79&lt;INDEX('Lease Cycles'!$DK$12:$DQ$12,1,V78),0,IF(V79=INDEX('Lease Cycles'!$DK$12:$DQ$12,1,V78),1-INDEX('Lease Cycles'!$DR$12:$DX$12,1,V78),1))-IF(V79=0,INDEX('Lease Cycles'!$DD$12:$DJ$12,1,V78),0))),0)</f>
        <v>0</v>
      </c>
      <c r="W85" s="28">
        <f>IF(W80=1,IF(INDEX('Lease Cycles'!$EF$12:$EL$12,1,W78)=1,0,W81*(1-IF(W79&lt;INDEX('Lease Cycles'!$DK$12:$DQ$12,1,W78),0,IF(W79=INDEX('Lease Cycles'!$DK$12:$DQ$12,1,W78),1-INDEX('Lease Cycles'!$DR$12:$DX$12,1,W78),1))-IF(W79=0,INDEX('Lease Cycles'!$DD$12:$DJ$12,1,W78),0))),0)</f>
        <v>0</v>
      </c>
      <c r="X85" s="28">
        <f>IF(X80=1,IF(INDEX('Lease Cycles'!$EF$12:$EL$12,1,X78)=1,0,X81*(1-IF(X79&lt;INDEX('Lease Cycles'!$DK$12:$DQ$12,1,X78),0,IF(X79=INDEX('Lease Cycles'!$DK$12:$DQ$12,1,X78),1-INDEX('Lease Cycles'!$DR$12:$DX$12,1,X78),1))-IF(X79=0,INDEX('Lease Cycles'!$DD$12:$DJ$12,1,X78),0))),0)</f>
        <v>0</v>
      </c>
      <c r="Y85" s="28">
        <f>IF(Y80=1,IF(INDEX('Lease Cycles'!$EF$12:$EL$12,1,Y78)=1,0,Y81*(1-IF(Y79&lt;INDEX('Lease Cycles'!$DK$12:$DQ$12,1,Y78),0,IF(Y79=INDEX('Lease Cycles'!$DK$12:$DQ$12,1,Y78),1-INDEX('Lease Cycles'!$DR$12:$DX$12,1,Y78),1))-IF(Y79=0,INDEX('Lease Cycles'!$DD$12:$DJ$12,1,Y78),0))),0)</f>
        <v>0</v>
      </c>
      <c r="Z85" s="28">
        <f>IF(Z80=1,IF(INDEX('Lease Cycles'!$EF$12:$EL$12,1,Z78)=1,0,Z81*(1-IF(Z79&lt;INDEX('Lease Cycles'!$DK$12:$DQ$12,1,Z78),0,IF(Z79=INDEX('Lease Cycles'!$DK$12:$DQ$12,1,Z78),1-INDEX('Lease Cycles'!$DR$12:$DX$12,1,Z78),1))-IF(Z79=0,INDEX('Lease Cycles'!$DD$12:$DJ$12,1,Z78),0))),0)</f>
        <v>0</v>
      </c>
      <c r="AA85" s="28">
        <f>IF(AA80=1,IF(INDEX('Lease Cycles'!$EF$12:$EL$12,1,AA78)=1,0,AA81*(1-IF(AA79&lt;INDEX('Lease Cycles'!$DK$12:$DQ$12,1,AA78),0,IF(AA79=INDEX('Lease Cycles'!$DK$12:$DQ$12,1,AA78),1-INDEX('Lease Cycles'!$DR$12:$DX$12,1,AA78),1))-IF(AA79=0,INDEX('Lease Cycles'!$DD$12:$DJ$12,1,AA78),0))),0)</f>
        <v>0</v>
      </c>
      <c r="AB85" s="28">
        <f>IF(AB80=1,IF(INDEX('Lease Cycles'!$EF$12:$EL$12,1,AB78)=1,0,AB81*(1-IF(AB79&lt;INDEX('Lease Cycles'!$DK$12:$DQ$12,1,AB78),0,IF(AB79=INDEX('Lease Cycles'!$DK$12:$DQ$12,1,AB78),1-INDEX('Lease Cycles'!$DR$12:$DX$12,1,AB78),1))-IF(AB79=0,INDEX('Lease Cycles'!$DD$12:$DJ$12,1,AB78),0))),0)</f>
        <v>0</v>
      </c>
      <c r="AC85" s="28">
        <f>IF(AC80=1,IF(INDEX('Lease Cycles'!$EF$12:$EL$12,1,AC78)=1,0,AC81*(1-IF(AC79&lt;INDEX('Lease Cycles'!$DK$12:$DQ$12,1,AC78),0,IF(AC79=INDEX('Lease Cycles'!$DK$12:$DQ$12,1,AC78),1-INDEX('Lease Cycles'!$DR$12:$DX$12,1,AC78),1))-IF(AC79=0,INDEX('Lease Cycles'!$DD$12:$DJ$12,1,AC78),0))),0)</f>
        <v>0</v>
      </c>
      <c r="AD85" s="28">
        <f>IF(AD80=1,IF(INDEX('Lease Cycles'!$EF$12:$EL$12,1,AD78)=1,0,AD81*(1-IF(AD79&lt;INDEX('Lease Cycles'!$DK$12:$DQ$12,1,AD78),0,IF(AD79=INDEX('Lease Cycles'!$DK$12:$DQ$12,1,AD78),1-INDEX('Lease Cycles'!$DR$12:$DX$12,1,AD78),1))-IF(AD79=0,INDEX('Lease Cycles'!$DD$12:$DJ$12,1,AD78),0))),0)</f>
        <v>0</v>
      </c>
      <c r="AE85" s="28">
        <f>IF(AE80=1,IF(INDEX('Lease Cycles'!$EF$12:$EL$12,1,AE78)=1,0,AE81*(1-IF(AE79&lt;INDEX('Lease Cycles'!$DK$12:$DQ$12,1,AE78),0,IF(AE79=INDEX('Lease Cycles'!$DK$12:$DQ$12,1,AE78),1-INDEX('Lease Cycles'!$DR$12:$DX$12,1,AE78),1))-IF(AE79=0,INDEX('Lease Cycles'!$DD$12:$DJ$12,1,AE78),0))),0)</f>
        <v>0</v>
      </c>
      <c r="AF85" s="28">
        <f>IF(AF80=1,IF(INDEX('Lease Cycles'!$EF$12:$EL$12,1,AF78)=1,0,AF81*(1-IF(AF79&lt;INDEX('Lease Cycles'!$DK$12:$DQ$12,1,AF78),0,IF(AF79=INDEX('Lease Cycles'!$DK$12:$DQ$12,1,AF78),1-INDEX('Lease Cycles'!$DR$12:$DX$12,1,AF78),1))-IF(AF79=0,INDEX('Lease Cycles'!$DD$12:$DJ$12,1,AF78),0))),0)</f>
        <v>0</v>
      </c>
      <c r="AG85" s="28">
        <f>IF(AG80=1,IF(INDEX('Lease Cycles'!$EF$12:$EL$12,1,AG78)=1,0,AG81*(1-IF(AG79&lt;INDEX('Lease Cycles'!$DK$12:$DQ$12,1,AG78),0,IF(AG79=INDEX('Lease Cycles'!$DK$12:$DQ$12,1,AG78),1-INDEX('Lease Cycles'!$DR$12:$DX$12,1,AG78),1))-IF(AG79=0,INDEX('Lease Cycles'!$DD$12:$DJ$12,1,AG78),0))),0)</f>
        <v>0</v>
      </c>
      <c r="AH85" s="28">
        <f>IF(AH80=1,IF(INDEX('Lease Cycles'!$EF$12:$EL$12,1,AH78)=1,0,AH81*(1-IF(AH79&lt;INDEX('Lease Cycles'!$DK$12:$DQ$12,1,AH78),0,IF(AH79=INDEX('Lease Cycles'!$DK$12:$DQ$12,1,AH78),1-INDEX('Lease Cycles'!$DR$12:$DX$12,1,AH78),1))-IF(AH79=0,INDEX('Lease Cycles'!$DD$12:$DJ$12,1,AH78),0))),0)</f>
        <v>0</v>
      </c>
      <c r="AI85" s="28">
        <f>IF(AI80=1,IF(INDEX('Lease Cycles'!$EF$12:$EL$12,1,AI78)=1,0,AI81*(1-IF(AI79&lt;INDEX('Lease Cycles'!$DK$12:$DQ$12,1,AI78),0,IF(AI79=INDEX('Lease Cycles'!$DK$12:$DQ$12,1,AI78),1-INDEX('Lease Cycles'!$DR$12:$DX$12,1,AI78),1))-IF(AI79=0,INDEX('Lease Cycles'!$DD$12:$DJ$12,1,AI78),0))),0)</f>
        <v>0</v>
      </c>
      <c r="AJ85" s="28">
        <f>IF(AJ80=1,IF(INDEX('Lease Cycles'!$EF$12:$EL$12,1,AJ78)=1,0,AJ81*(1-IF(AJ79&lt;INDEX('Lease Cycles'!$DK$12:$DQ$12,1,AJ78),0,IF(AJ79=INDEX('Lease Cycles'!$DK$12:$DQ$12,1,AJ78),1-INDEX('Lease Cycles'!$DR$12:$DX$12,1,AJ78),1))-IF(AJ79=0,INDEX('Lease Cycles'!$DD$12:$DJ$12,1,AJ78),0))),0)</f>
        <v>0</v>
      </c>
      <c r="AK85" s="28">
        <f>IF(AK80=1,IF(INDEX('Lease Cycles'!$EF$12:$EL$12,1,AK78)=1,0,AK81*(1-IF(AK79&lt;INDEX('Lease Cycles'!$DK$12:$DQ$12,1,AK78),0,IF(AK79=INDEX('Lease Cycles'!$DK$12:$DQ$12,1,AK78),1-INDEX('Lease Cycles'!$DR$12:$DX$12,1,AK78),1))-IF(AK79=0,INDEX('Lease Cycles'!$DD$12:$DJ$12,1,AK78),0))),0)</f>
        <v>0</v>
      </c>
      <c r="AL85" s="28">
        <f>IF(AL80=1,IF(INDEX('Lease Cycles'!$EF$12:$EL$12,1,AL78)=1,0,AL81*(1-IF(AL79&lt;INDEX('Lease Cycles'!$DK$12:$DQ$12,1,AL78),0,IF(AL79=INDEX('Lease Cycles'!$DK$12:$DQ$12,1,AL78),1-INDEX('Lease Cycles'!$DR$12:$DX$12,1,AL78),1))-IF(AL79=0,INDEX('Lease Cycles'!$DD$12:$DJ$12,1,AL78),0))),0)</f>
        <v>0</v>
      </c>
      <c r="AM85" s="28">
        <f>IF(AM80=1,IF(INDEX('Lease Cycles'!$EF$12:$EL$12,1,AM78)=1,0,AM81*(1-IF(AM79&lt;INDEX('Lease Cycles'!$DK$12:$DQ$12,1,AM78),0,IF(AM79=INDEX('Lease Cycles'!$DK$12:$DQ$12,1,AM78),1-INDEX('Lease Cycles'!$DR$12:$DX$12,1,AM78),1))-IF(AM79=0,INDEX('Lease Cycles'!$DD$12:$DJ$12,1,AM78),0))),0)</f>
        <v>0</v>
      </c>
      <c r="AN85" s="28">
        <f>IF(AN80=1,IF(INDEX('Lease Cycles'!$EF$12:$EL$12,1,AN78)=1,0,AN81*(1-IF(AN79&lt;INDEX('Lease Cycles'!$DK$12:$DQ$12,1,AN78),0,IF(AN79=INDEX('Lease Cycles'!$DK$12:$DQ$12,1,AN78),1-INDEX('Lease Cycles'!$DR$12:$DX$12,1,AN78),1))-IF(AN79=0,INDEX('Lease Cycles'!$DD$12:$DJ$12,1,AN78),0))),0)</f>
        <v>0</v>
      </c>
      <c r="AO85" s="28">
        <f>IF(AO80=1,IF(INDEX('Lease Cycles'!$EF$12:$EL$12,1,AO78)=1,0,AO81*(1-IF(AO79&lt;INDEX('Lease Cycles'!$DK$12:$DQ$12,1,AO78),0,IF(AO79=INDEX('Lease Cycles'!$DK$12:$DQ$12,1,AO78),1-INDEX('Lease Cycles'!$DR$12:$DX$12,1,AO78),1))-IF(AO79=0,INDEX('Lease Cycles'!$DD$12:$DJ$12,1,AO78),0))),0)</f>
        <v>0</v>
      </c>
      <c r="AP85" s="28">
        <f>IF(AP80=1,IF(INDEX('Lease Cycles'!$EF$12:$EL$12,1,AP78)=1,0,AP81*(1-IF(AP79&lt;INDEX('Lease Cycles'!$DK$12:$DQ$12,1,AP78),0,IF(AP79=INDEX('Lease Cycles'!$DK$12:$DQ$12,1,AP78),1-INDEX('Lease Cycles'!$DR$12:$DX$12,1,AP78),1))-IF(AP79=0,INDEX('Lease Cycles'!$DD$12:$DJ$12,1,AP78),0))),0)</f>
        <v>1957.836447151276</v>
      </c>
      <c r="AQ85" s="28">
        <f>IF(AQ80=1,IF(INDEX('Lease Cycles'!$EF$12:$EL$12,1,AQ78)=1,0,AQ81*(1-IF(AQ79&lt;INDEX('Lease Cycles'!$DK$12:$DQ$12,1,AQ78),0,IF(AQ79=INDEX('Lease Cycles'!$DK$12:$DQ$12,1,AQ78),1-INDEX('Lease Cycles'!$DR$12:$DX$12,1,AQ78),1))-IF(AQ79=0,INDEX('Lease Cycles'!$DD$12:$DJ$12,1,AQ78),0))),0)</f>
        <v>0</v>
      </c>
      <c r="AR85" s="28">
        <f>IF(AR80=1,IF(INDEX('Lease Cycles'!$EF$12:$EL$12,1,AR78)=1,0,AR81*(1-IF(AR79&lt;INDEX('Lease Cycles'!$DK$12:$DQ$12,1,AR78),0,IF(AR79=INDEX('Lease Cycles'!$DK$12:$DQ$12,1,AR78),1-INDEX('Lease Cycles'!$DR$12:$DX$12,1,AR78),1))-IF(AR79=0,INDEX('Lease Cycles'!$DD$12:$DJ$12,1,AR78),0))),0)</f>
        <v>0</v>
      </c>
      <c r="AS85" s="28">
        <f>IF(AS80=1,IF(INDEX('Lease Cycles'!$EF$12:$EL$12,1,AS78)=1,0,AS81*(1-IF(AS79&lt;INDEX('Lease Cycles'!$DK$12:$DQ$12,1,AS78),0,IF(AS79=INDEX('Lease Cycles'!$DK$12:$DQ$12,1,AS78),1-INDEX('Lease Cycles'!$DR$12:$DX$12,1,AS78),1))-IF(AS79=0,INDEX('Lease Cycles'!$DD$12:$DJ$12,1,AS78),0))),0)</f>
        <v>0</v>
      </c>
      <c r="AT85" s="28">
        <f>IF(AT80=1,IF(INDEX('Lease Cycles'!$EF$12:$EL$12,1,AT78)=1,0,AT81*(1-IF(AT79&lt;INDEX('Lease Cycles'!$DK$12:$DQ$12,1,AT78),0,IF(AT79=INDEX('Lease Cycles'!$DK$12:$DQ$12,1,AT78),1-INDEX('Lease Cycles'!$DR$12:$DX$12,1,AT78),1))-IF(AT79=0,INDEX('Lease Cycles'!$DD$12:$DJ$12,1,AT78),0))),0)</f>
        <v>0</v>
      </c>
      <c r="AU85" s="28">
        <f>IF(AU80=1,IF(INDEX('Lease Cycles'!$EF$12:$EL$12,1,AU78)=1,0,AU81*(1-IF(AU79&lt;INDEX('Lease Cycles'!$DK$12:$DQ$12,1,AU78),0,IF(AU79=INDEX('Lease Cycles'!$DK$12:$DQ$12,1,AU78),1-INDEX('Lease Cycles'!$DR$12:$DX$12,1,AU78),1))-IF(AU79=0,INDEX('Lease Cycles'!$DD$12:$DJ$12,1,AU78),0))),0)</f>
        <v>0</v>
      </c>
      <c r="AV85" s="28">
        <f>IF(AV80=1,IF(INDEX('Lease Cycles'!$EF$12:$EL$12,1,AV78)=1,0,AV81*(1-IF(AV79&lt;INDEX('Lease Cycles'!$DK$12:$DQ$12,1,AV78),0,IF(AV79=INDEX('Lease Cycles'!$DK$12:$DQ$12,1,AV78),1-INDEX('Lease Cycles'!$DR$12:$DX$12,1,AV78),1))-IF(AV79=0,INDEX('Lease Cycles'!$DD$12:$DJ$12,1,AV78),0))),0)</f>
        <v>0</v>
      </c>
      <c r="AW85" s="28">
        <f>IF(AW80=1,IF(INDEX('Lease Cycles'!$EF$12:$EL$12,1,AW78)=1,0,AW81*(1-IF(AW79&lt;INDEX('Lease Cycles'!$DK$12:$DQ$12,1,AW78),0,IF(AW79=INDEX('Lease Cycles'!$DK$12:$DQ$12,1,AW78),1-INDEX('Lease Cycles'!$DR$12:$DX$12,1,AW78),1))-IF(AW79=0,INDEX('Lease Cycles'!$DD$12:$DJ$12,1,AW78),0))),0)</f>
        <v>0</v>
      </c>
      <c r="AX85" s="28">
        <f>IF(AX80=1,IF(INDEX('Lease Cycles'!$EF$12:$EL$12,1,AX78)=1,0,AX81*(1-IF(AX79&lt;INDEX('Lease Cycles'!$DK$12:$DQ$12,1,AX78),0,IF(AX79=INDEX('Lease Cycles'!$DK$12:$DQ$12,1,AX78),1-INDEX('Lease Cycles'!$DR$12:$DX$12,1,AX78),1))-IF(AX79=0,INDEX('Lease Cycles'!$DD$12:$DJ$12,1,AX78),0))),0)</f>
        <v>0</v>
      </c>
      <c r="AY85" s="28">
        <f>IF(AY80=1,IF(INDEX('Lease Cycles'!$EF$12:$EL$12,1,AY78)=1,0,AY81*(1-IF(AY79&lt;INDEX('Lease Cycles'!$DK$12:$DQ$12,1,AY78),0,IF(AY79=INDEX('Lease Cycles'!$DK$12:$DQ$12,1,AY78),1-INDEX('Lease Cycles'!$DR$12:$DX$12,1,AY78),1))-IF(AY79=0,INDEX('Lease Cycles'!$DD$12:$DJ$12,1,AY78),0))),0)</f>
        <v>0</v>
      </c>
      <c r="AZ85" s="28">
        <f>IF(AZ80=1,IF(INDEX('Lease Cycles'!$EF$12:$EL$12,1,AZ78)=1,0,AZ81*(1-IF(AZ79&lt;INDEX('Lease Cycles'!$DK$12:$DQ$12,1,AZ78),0,IF(AZ79=INDEX('Lease Cycles'!$DK$12:$DQ$12,1,AZ78),1-INDEX('Lease Cycles'!$DR$12:$DX$12,1,AZ78),1))-IF(AZ79=0,INDEX('Lease Cycles'!$DD$12:$DJ$12,1,AZ78),0))),0)</f>
        <v>0</v>
      </c>
      <c r="BA85" s="28">
        <f>IF(BA80=1,IF(INDEX('Lease Cycles'!$EF$12:$EL$12,1,BA78)=1,0,BA81*(1-IF(BA79&lt;INDEX('Lease Cycles'!$DK$12:$DQ$12,1,BA78),0,IF(BA79=INDEX('Lease Cycles'!$DK$12:$DQ$12,1,BA78),1-INDEX('Lease Cycles'!$DR$12:$DX$12,1,BA78),1))-IF(BA79=0,INDEX('Lease Cycles'!$DD$12:$DJ$12,1,BA78),0))),0)</f>
        <v>0</v>
      </c>
      <c r="BB85" s="28">
        <f>IF(BB80=1,IF(INDEX('Lease Cycles'!$EF$12:$EL$12,1,BB78)=1,0,BB81*(1-IF(BB79&lt;INDEX('Lease Cycles'!$DK$12:$DQ$12,1,BB78),0,IF(BB79=INDEX('Lease Cycles'!$DK$12:$DQ$12,1,BB78),1-INDEX('Lease Cycles'!$DR$12:$DX$12,1,BB78),1))-IF(BB79=0,INDEX('Lease Cycles'!$DD$12:$DJ$12,1,BB78),0))),0)</f>
        <v>0</v>
      </c>
      <c r="BC85" s="28">
        <f>IF(BC80=1,IF(INDEX('Lease Cycles'!$EF$12:$EL$12,1,BC78)=1,0,BC81*(1-IF(BC79&lt;INDEX('Lease Cycles'!$DK$12:$DQ$12,1,BC78),0,IF(BC79=INDEX('Lease Cycles'!$DK$12:$DQ$12,1,BC78),1-INDEX('Lease Cycles'!$DR$12:$DX$12,1,BC78),1))-IF(BC79=0,INDEX('Lease Cycles'!$DD$12:$DJ$12,1,BC78),0))),0)</f>
        <v>0</v>
      </c>
      <c r="BD85" s="28">
        <f>IF(BD80=1,IF(INDEX('Lease Cycles'!$EF$12:$EL$12,1,BD78)=1,0,BD81*(1-IF(BD79&lt;INDEX('Lease Cycles'!$DK$12:$DQ$12,1,BD78),0,IF(BD79=INDEX('Lease Cycles'!$DK$12:$DQ$12,1,BD78),1-INDEX('Lease Cycles'!$DR$12:$DX$12,1,BD78),1))-IF(BD79=0,INDEX('Lease Cycles'!$DD$12:$DJ$12,1,BD78),0))),0)</f>
        <v>0</v>
      </c>
      <c r="BE85" s="28">
        <f>IF(BE80=1,IF(INDEX('Lease Cycles'!$EF$12:$EL$12,1,BE78)=1,0,BE81*(1-IF(BE79&lt;INDEX('Lease Cycles'!$DK$12:$DQ$12,1,BE78),0,IF(BE79=INDEX('Lease Cycles'!$DK$12:$DQ$12,1,BE78),1-INDEX('Lease Cycles'!$DR$12:$DX$12,1,BE78),1))-IF(BE79=0,INDEX('Lease Cycles'!$DD$12:$DJ$12,1,BE78),0))),0)</f>
        <v>0</v>
      </c>
      <c r="BF85" s="28">
        <f>IF(BF80=1,IF(INDEX('Lease Cycles'!$EF$12:$EL$12,1,BF78)=1,0,BF81*(1-IF(BF79&lt;INDEX('Lease Cycles'!$DK$12:$DQ$12,1,BF78),0,IF(BF79=INDEX('Lease Cycles'!$DK$12:$DQ$12,1,BF78),1-INDEX('Lease Cycles'!$DR$12:$DX$12,1,BF78),1))-IF(BF79=0,INDEX('Lease Cycles'!$DD$12:$DJ$12,1,BF78),0))),0)</f>
        <v>0</v>
      </c>
      <c r="BG85" s="28">
        <f>IF(BG80=1,IF(INDEX('Lease Cycles'!$EF$12:$EL$12,1,BG78)=1,0,BG81*(1-IF(BG79&lt;INDEX('Lease Cycles'!$DK$12:$DQ$12,1,BG78),0,IF(BG79=INDEX('Lease Cycles'!$DK$12:$DQ$12,1,BG78),1-INDEX('Lease Cycles'!$DR$12:$DX$12,1,BG78),1))-IF(BG79=0,INDEX('Lease Cycles'!$DD$12:$DJ$12,1,BG78),0))),0)</f>
        <v>0</v>
      </c>
      <c r="BH85" s="28">
        <f>IF(BH80=1,IF(INDEX('Lease Cycles'!$EF$12:$EL$12,1,BH78)=1,0,BH81*(1-IF(BH79&lt;INDEX('Lease Cycles'!$DK$12:$DQ$12,1,BH78),0,IF(BH79=INDEX('Lease Cycles'!$DK$12:$DQ$12,1,BH78),1-INDEX('Lease Cycles'!$DR$12:$DX$12,1,BH78),1))-IF(BH79=0,INDEX('Lease Cycles'!$DD$12:$DJ$12,1,BH78),0))),0)</f>
        <v>0</v>
      </c>
      <c r="BI85" s="28">
        <f>IF(BI80=1,IF(INDEX('Lease Cycles'!$EF$12:$EL$12,1,BI78)=1,0,BI81*(1-IF(BI79&lt;INDEX('Lease Cycles'!$DK$12:$DQ$12,1,BI78),0,IF(BI79=INDEX('Lease Cycles'!$DK$12:$DQ$12,1,BI78),1-INDEX('Lease Cycles'!$DR$12:$DX$12,1,BI78),1))-IF(BI79=0,INDEX('Lease Cycles'!$DD$12:$DJ$12,1,BI78),0))),0)</f>
        <v>0</v>
      </c>
      <c r="BJ85" s="28">
        <f>IF(BJ80=1,IF(INDEX('Lease Cycles'!$EF$12:$EL$12,1,BJ78)=1,0,BJ81*(1-IF(BJ79&lt;INDEX('Lease Cycles'!$DK$12:$DQ$12,1,BJ78),0,IF(BJ79=INDEX('Lease Cycles'!$DK$12:$DQ$12,1,BJ78),1-INDEX('Lease Cycles'!$DR$12:$DX$12,1,BJ78),1))-IF(BJ79=0,INDEX('Lease Cycles'!$DD$12:$DJ$12,1,BJ78),0))),0)</f>
        <v>0</v>
      </c>
      <c r="BK85" s="28">
        <f>IF(BK80=1,IF(INDEX('Lease Cycles'!$EF$12:$EL$12,1,BK78)=1,0,BK81*(1-IF(BK79&lt;INDEX('Lease Cycles'!$DK$12:$DQ$12,1,BK78),0,IF(BK79=INDEX('Lease Cycles'!$DK$12:$DQ$12,1,BK78),1-INDEX('Lease Cycles'!$DR$12:$DX$12,1,BK78),1))-IF(BK79=0,INDEX('Lease Cycles'!$DD$12:$DJ$12,1,BK78),0))),0)</f>
        <v>0</v>
      </c>
      <c r="BL85" s="28">
        <f>IF(BL80=1,IF(INDEX('Lease Cycles'!$EF$12:$EL$12,1,BL78)=1,0,BL81*(1-IF(BL79&lt;INDEX('Lease Cycles'!$DK$12:$DQ$12,1,BL78),0,IF(BL79=INDEX('Lease Cycles'!$DK$12:$DQ$12,1,BL78),1-INDEX('Lease Cycles'!$DR$12:$DX$12,1,BL78),1))-IF(BL79=0,INDEX('Lease Cycles'!$DD$12:$DJ$12,1,BL78),0))),0)</f>
        <v>0</v>
      </c>
      <c r="BM85" s="28">
        <f>IF(BM80=1,IF(INDEX('Lease Cycles'!$EF$12:$EL$12,1,BM78)=1,0,BM81*(1-IF(BM79&lt;INDEX('Lease Cycles'!$DK$12:$DQ$12,1,BM78),0,IF(BM79=INDEX('Lease Cycles'!$DK$12:$DQ$12,1,BM78),1-INDEX('Lease Cycles'!$DR$12:$DX$12,1,BM78),1))-IF(BM79=0,INDEX('Lease Cycles'!$DD$12:$DJ$12,1,BM78),0))),0)</f>
        <v>0</v>
      </c>
      <c r="BN85" s="28">
        <f>IF(BN80=1,IF(INDEX('Lease Cycles'!$EF$12:$EL$12,1,BN78)=1,0,BN81*(1-IF(BN79&lt;INDEX('Lease Cycles'!$DK$12:$DQ$12,1,BN78),0,IF(BN79=INDEX('Lease Cycles'!$DK$12:$DQ$12,1,BN78),1-INDEX('Lease Cycles'!$DR$12:$DX$12,1,BN78),1))-IF(BN79=0,INDEX('Lease Cycles'!$DD$12:$DJ$12,1,BN78),0))),0)</f>
        <v>0</v>
      </c>
      <c r="BO85" s="28">
        <f>IF(BO80=1,IF(INDEX('Lease Cycles'!$EF$12:$EL$12,1,BO78)=1,0,BO81*(1-IF(BO79&lt;INDEX('Lease Cycles'!$DK$12:$DQ$12,1,BO78),0,IF(BO79=INDEX('Lease Cycles'!$DK$12:$DQ$12,1,BO78),1-INDEX('Lease Cycles'!$DR$12:$DX$12,1,BO78),1))-IF(BO79=0,INDEX('Lease Cycles'!$DD$12:$DJ$12,1,BO78),0))),0)</f>
        <v>0</v>
      </c>
      <c r="BP85" s="28">
        <f>IF(BP80=1,IF(INDEX('Lease Cycles'!$EF$12:$EL$12,1,BP78)=1,0,BP81*(1-IF(BP79&lt;INDEX('Lease Cycles'!$DK$12:$DQ$12,1,BP78),0,IF(BP79=INDEX('Lease Cycles'!$DK$12:$DQ$12,1,BP78),1-INDEX('Lease Cycles'!$DR$12:$DX$12,1,BP78),1))-IF(BP79=0,INDEX('Lease Cycles'!$DD$12:$DJ$12,1,BP78),0))),0)</f>
        <v>0</v>
      </c>
      <c r="BQ85" s="28">
        <f>IF(BQ80=1,IF(INDEX('Lease Cycles'!$EF$12:$EL$12,1,BQ78)=1,0,BQ81*(1-IF(BQ79&lt;INDEX('Lease Cycles'!$DK$12:$DQ$12,1,BQ78),0,IF(BQ79=INDEX('Lease Cycles'!$DK$12:$DQ$12,1,BQ78),1-INDEX('Lease Cycles'!$DR$12:$DX$12,1,BQ78),1))-IF(BQ79=0,INDEX('Lease Cycles'!$DD$12:$DJ$12,1,BQ78),0))),0)</f>
        <v>0</v>
      </c>
      <c r="BR85" s="28">
        <f>IF(BR80=1,IF(INDEX('Lease Cycles'!$EF$12:$EL$12,1,BR78)=1,0,BR81*(1-IF(BR79&lt;INDEX('Lease Cycles'!$DK$12:$DQ$12,1,BR78),0,IF(BR79=INDEX('Lease Cycles'!$DK$12:$DQ$12,1,BR78),1-INDEX('Lease Cycles'!$DR$12:$DX$12,1,BR78),1))-IF(BR79=0,INDEX('Lease Cycles'!$DD$12:$DJ$12,1,BR78),0))),0)</f>
        <v>0</v>
      </c>
      <c r="BS85" s="28">
        <f>IF(BS80=1,IF(INDEX('Lease Cycles'!$EF$12:$EL$12,1,BS78)=1,0,BS81*(1-IF(BS79&lt;INDEX('Lease Cycles'!$DK$12:$DQ$12,1,BS78),0,IF(BS79=INDEX('Lease Cycles'!$DK$12:$DQ$12,1,BS78),1-INDEX('Lease Cycles'!$DR$12:$DX$12,1,BS78),1))-IF(BS79=0,INDEX('Lease Cycles'!$DD$12:$DJ$12,1,BS78),0))),0)</f>
        <v>0</v>
      </c>
      <c r="BT85" s="28">
        <f>IF(BT80=1,IF(INDEX('Lease Cycles'!$EF$12:$EL$12,1,BT78)=1,0,BT81*(1-IF(BT79&lt;INDEX('Lease Cycles'!$DK$12:$DQ$12,1,BT78),0,IF(BT79=INDEX('Lease Cycles'!$DK$12:$DQ$12,1,BT78),1-INDEX('Lease Cycles'!$DR$12:$DX$12,1,BT78),1))-IF(BT79=0,INDEX('Lease Cycles'!$DD$12:$DJ$12,1,BT78),0))),0)</f>
        <v>0</v>
      </c>
      <c r="BU85" s="28">
        <f>IF(BU80=1,IF(INDEX('Lease Cycles'!$EF$12:$EL$12,1,BU78)=1,0,BU81*(1-IF(BU79&lt;INDEX('Lease Cycles'!$DK$12:$DQ$12,1,BU78),0,IF(BU79=INDEX('Lease Cycles'!$DK$12:$DQ$12,1,BU78),1-INDEX('Lease Cycles'!$DR$12:$DX$12,1,BU78),1))-IF(BU79=0,INDEX('Lease Cycles'!$DD$12:$DJ$12,1,BU78),0))),0)</f>
        <v>0</v>
      </c>
      <c r="BV85" s="28">
        <f>IF(BV80=1,IF(INDEX('Lease Cycles'!$EF$12:$EL$12,1,BV78)=1,0,BV81*(1-IF(BV79&lt;INDEX('Lease Cycles'!$DK$12:$DQ$12,1,BV78),0,IF(BV79=INDEX('Lease Cycles'!$DK$12:$DQ$12,1,BV78),1-INDEX('Lease Cycles'!$DR$12:$DX$12,1,BV78),1))-IF(BV79=0,INDEX('Lease Cycles'!$DD$12:$DJ$12,1,BV78),0))),0)</f>
        <v>0</v>
      </c>
      <c r="BW85" s="28">
        <f>IF(BW80=1,IF(INDEX('Lease Cycles'!$EF$12:$EL$12,1,BW78)=1,0,BW81*(1-IF(BW79&lt;INDEX('Lease Cycles'!$DK$12:$DQ$12,1,BW78),0,IF(BW79=INDEX('Lease Cycles'!$DK$12:$DQ$12,1,BW78),1-INDEX('Lease Cycles'!$DR$12:$DX$12,1,BW78),1))-IF(BW79=0,INDEX('Lease Cycles'!$DD$12:$DJ$12,1,BW78),0))),0)</f>
        <v>0</v>
      </c>
      <c r="BX85" s="28">
        <f>IF(BX80=1,IF(INDEX('Lease Cycles'!$EF$12:$EL$12,1,BX78)=1,0,BX81*(1-IF(BX79&lt;INDEX('Lease Cycles'!$DK$12:$DQ$12,1,BX78),0,IF(BX79=INDEX('Lease Cycles'!$DK$12:$DQ$12,1,BX78),1-INDEX('Lease Cycles'!$DR$12:$DX$12,1,BX78),1))-IF(BX79=0,INDEX('Lease Cycles'!$DD$12:$DJ$12,1,BX78),0))),0)</f>
        <v>0</v>
      </c>
      <c r="BY85" s="28">
        <f>IF(BY80=1,IF(INDEX('Lease Cycles'!$EF$12:$EL$12,1,BY78)=1,0,BY81*(1-IF(BY79&lt;INDEX('Lease Cycles'!$DK$12:$DQ$12,1,BY78),0,IF(BY79=INDEX('Lease Cycles'!$DK$12:$DQ$12,1,BY78),1-INDEX('Lease Cycles'!$DR$12:$DX$12,1,BY78),1))-IF(BY79=0,INDEX('Lease Cycles'!$DD$12:$DJ$12,1,BY78),0))),0)</f>
        <v>0</v>
      </c>
      <c r="BZ85" s="28">
        <f>IF(BZ80=1,IF(INDEX('Lease Cycles'!$EF$12:$EL$12,1,BZ78)=1,0,BZ81*(1-IF(BZ79&lt;INDEX('Lease Cycles'!$DK$12:$DQ$12,1,BZ78),0,IF(BZ79=INDEX('Lease Cycles'!$DK$12:$DQ$12,1,BZ78),1-INDEX('Lease Cycles'!$DR$12:$DX$12,1,BZ78),1))-IF(BZ79=0,INDEX('Lease Cycles'!$DD$12:$DJ$12,1,BZ78),0))),0)</f>
        <v>0</v>
      </c>
      <c r="CA85" s="28">
        <f>IF(CA80=1,IF(INDEX('Lease Cycles'!$EF$12:$EL$12,1,CA78)=1,0,CA81*(1-IF(CA79&lt;INDEX('Lease Cycles'!$DK$12:$DQ$12,1,CA78),0,IF(CA79=INDEX('Lease Cycles'!$DK$12:$DQ$12,1,CA78),1-INDEX('Lease Cycles'!$DR$12:$DX$12,1,CA78),1))-IF(CA79=0,INDEX('Lease Cycles'!$DD$12:$DJ$12,1,CA78),0))),0)</f>
        <v>0</v>
      </c>
      <c r="CB85" s="28">
        <f>IF(CB80=1,IF(INDEX('Lease Cycles'!$EF$12:$EL$12,1,CB78)=1,0,CB81*(1-IF(CB79&lt;INDEX('Lease Cycles'!$DK$12:$DQ$12,1,CB78),0,IF(CB79=INDEX('Lease Cycles'!$DK$12:$DQ$12,1,CB78),1-INDEX('Lease Cycles'!$DR$12:$DX$12,1,CB78),1))-IF(CB79=0,INDEX('Lease Cycles'!$DD$12:$DJ$12,1,CB78),0))),0)</f>
        <v>0</v>
      </c>
      <c r="CC85" s="28">
        <f>IF(CC80=1,IF(INDEX('Lease Cycles'!$EF$12:$EL$12,1,CC78)=1,0,CC81*(1-IF(CC79&lt;INDEX('Lease Cycles'!$DK$12:$DQ$12,1,CC78),0,IF(CC79=INDEX('Lease Cycles'!$DK$12:$DQ$12,1,CC78),1-INDEX('Lease Cycles'!$DR$12:$DX$12,1,CC78),1))-IF(CC79=0,INDEX('Lease Cycles'!$DD$12:$DJ$12,1,CC78),0))),0)</f>
        <v>0</v>
      </c>
      <c r="CD85" s="28">
        <f>IF(CD80=1,IF(INDEX('Lease Cycles'!$EF$12:$EL$12,1,CD78)=1,0,CD81*(1-IF(CD79&lt;INDEX('Lease Cycles'!$DK$12:$DQ$12,1,CD78),0,IF(CD79=INDEX('Lease Cycles'!$DK$12:$DQ$12,1,CD78),1-INDEX('Lease Cycles'!$DR$12:$DX$12,1,CD78),1))-IF(CD79=0,INDEX('Lease Cycles'!$DD$12:$DJ$12,1,CD78),0))),0)</f>
        <v>0</v>
      </c>
      <c r="CE85" s="28">
        <f>IF(CE80=1,IF(INDEX('Lease Cycles'!$EF$12:$EL$12,1,CE78)=1,0,CE81*(1-IF(CE79&lt;INDEX('Lease Cycles'!$DK$12:$DQ$12,1,CE78),0,IF(CE79=INDEX('Lease Cycles'!$DK$12:$DQ$12,1,CE78),1-INDEX('Lease Cycles'!$DR$12:$DX$12,1,CE78),1))-IF(CE79=0,INDEX('Lease Cycles'!$DD$12:$DJ$12,1,CE78),0))),0)</f>
        <v>0</v>
      </c>
      <c r="CF85" s="28">
        <f>IF(CF80=1,IF(INDEX('Lease Cycles'!$EF$12:$EL$12,1,CF78)=1,0,CF81*(1-IF(CF79&lt;INDEX('Lease Cycles'!$DK$12:$DQ$12,1,CF78),0,IF(CF79=INDEX('Lease Cycles'!$DK$12:$DQ$12,1,CF78),1-INDEX('Lease Cycles'!$DR$12:$DX$12,1,CF78),1))-IF(CF79=0,INDEX('Lease Cycles'!$DD$12:$DJ$12,1,CF78),0))),0)</f>
        <v>0</v>
      </c>
      <c r="CG85" s="28">
        <f>IF(CG80=1,IF(INDEX('Lease Cycles'!$EF$12:$EL$12,1,CG78)=1,0,CG81*(1-IF(CG79&lt;INDEX('Lease Cycles'!$DK$12:$DQ$12,1,CG78),0,IF(CG79=INDEX('Lease Cycles'!$DK$12:$DQ$12,1,CG78),1-INDEX('Lease Cycles'!$DR$12:$DX$12,1,CG78),1))-IF(CG79=0,INDEX('Lease Cycles'!$DD$12:$DJ$12,1,CG78),0))),0)</f>
        <v>0</v>
      </c>
      <c r="CH85" s="28">
        <f>IF(CH80=1,IF(INDEX('Lease Cycles'!$EF$12:$EL$12,1,CH78)=1,0,CH81*(1-IF(CH79&lt;INDEX('Lease Cycles'!$DK$12:$DQ$12,1,CH78),0,IF(CH79=INDEX('Lease Cycles'!$DK$12:$DQ$12,1,CH78),1-INDEX('Lease Cycles'!$DR$12:$DX$12,1,CH78),1))-IF(CH79=0,INDEX('Lease Cycles'!$DD$12:$DJ$12,1,CH78),0))),0)</f>
        <v>0</v>
      </c>
      <c r="CI85" s="28">
        <f>IF(CI80=1,IF(INDEX('Lease Cycles'!$EF$12:$EL$12,1,CI78)=1,0,CI81*(1-IF(CI79&lt;INDEX('Lease Cycles'!$DK$12:$DQ$12,1,CI78),0,IF(CI79=INDEX('Lease Cycles'!$DK$12:$DQ$12,1,CI78),1-INDEX('Lease Cycles'!$DR$12:$DX$12,1,CI78),1))-IF(CI79=0,INDEX('Lease Cycles'!$DD$12:$DJ$12,1,CI78),0))),0)</f>
        <v>0</v>
      </c>
      <c r="CJ85" s="28">
        <f>IF(CJ80=1,IF(INDEX('Lease Cycles'!$EF$12:$EL$12,1,CJ78)=1,0,CJ81*(1-IF(CJ79&lt;INDEX('Lease Cycles'!$DK$12:$DQ$12,1,CJ78),0,IF(CJ79=INDEX('Lease Cycles'!$DK$12:$DQ$12,1,CJ78),1-INDEX('Lease Cycles'!$DR$12:$DX$12,1,CJ78),1))-IF(CJ79=0,INDEX('Lease Cycles'!$DD$12:$DJ$12,1,CJ78),0))),0)</f>
        <v>0</v>
      </c>
      <c r="CK85" s="28">
        <f>IF(CK80=1,IF(INDEX('Lease Cycles'!$EF$12:$EL$12,1,CK78)=1,0,CK81*(1-IF(CK79&lt;INDEX('Lease Cycles'!$DK$12:$DQ$12,1,CK78),0,IF(CK79=INDEX('Lease Cycles'!$DK$12:$DQ$12,1,CK78),1-INDEX('Lease Cycles'!$DR$12:$DX$12,1,CK78),1))-IF(CK79=0,INDEX('Lease Cycles'!$DD$12:$DJ$12,1,CK78),0))),0)</f>
        <v>0</v>
      </c>
      <c r="CL85" s="28">
        <f>IF(CL80=1,IF(INDEX('Lease Cycles'!$EF$12:$EL$12,1,CL78)=1,0,CL81*(1-IF(CL79&lt;INDEX('Lease Cycles'!$DK$12:$DQ$12,1,CL78),0,IF(CL79=INDEX('Lease Cycles'!$DK$12:$DQ$12,1,CL78),1-INDEX('Lease Cycles'!$DR$12:$DX$12,1,CL78),1))-IF(CL79=0,INDEX('Lease Cycles'!$DD$12:$DJ$12,1,CL78),0))),0)</f>
        <v>0</v>
      </c>
      <c r="CM85" s="28">
        <f>IF(CM80=1,IF(INDEX('Lease Cycles'!$EF$12:$EL$12,1,CM78)=1,0,CM81*(1-IF(CM79&lt;INDEX('Lease Cycles'!$DK$12:$DQ$12,1,CM78),0,IF(CM79=INDEX('Lease Cycles'!$DK$12:$DQ$12,1,CM78),1-INDEX('Lease Cycles'!$DR$12:$DX$12,1,CM78),1))-IF(CM79=0,INDEX('Lease Cycles'!$DD$12:$DJ$12,1,CM78),0))),0)</f>
        <v>0</v>
      </c>
      <c r="CN85" s="28">
        <f>IF(CN80=1,IF(INDEX('Lease Cycles'!$EF$12:$EL$12,1,CN78)=1,0,CN81*(1-IF(CN79&lt;INDEX('Lease Cycles'!$DK$12:$DQ$12,1,CN78),0,IF(CN79=INDEX('Lease Cycles'!$DK$12:$DQ$12,1,CN78),1-INDEX('Lease Cycles'!$DR$12:$DX$12,1,CN78),1))-IF(CN79=0,INDEX('Lease Cycles'!$DD$12:$DJ$12,1,CN78),0))),0)</f>
        <v>0</v>
      </c>
      <c r="CO85" s="28">
        <f>IF(CO80=1,IF(INDEX('Lease Cycles'!$EF$12:$EL$12,1,CO78)=1,0,CO81*(1-IF(CO79&lt;INDEX('Lease Cycles'!$DK$12:$DQ$12,1,CO78),0,IF(CO79=INDEX('Lease Cycles'!$DK$12:$DQ$12,1,CO78),1-INDEX('Lease Cycles'!$DR$12:$DX$12,1,CO78),1))-IF(CO79=0,INDEX('Lease Cycles'!$DD$12:$DJ$12,1,CO78),0))),0)</f>
        <v>0</v>
      </c>
      <c r="CP85" s="28">
        <f>IF(CP80=1,IF(INDEX('Lease Cycles'!$EF$12:$EL$12,1,CP78)=1,0,CP81*(1-IF(CP79&lt;INDEX('Lease Cycles'!$DK$12:$DQ$12,1,CP78),0,IF(CP79=INDEX('Lease Cycles'!$DK$12:$DQ$12,1,CP78),1-INDEX('Lease Cycles'!$DR$12:$DX$12,1,CP78),1))-IF(CP79=0,INDEX('Lease Cycles'!$DD$12:$DJ$12,1,CP78),0))),0)</f>
        <v>0</v>
      </c>
      <c r="CQ85" s="28">
        <f>IF(CQ80=1,IF(INDEX('Lease Cycles'!$EF$12:$EL$12,1,CQ78)=1,0,CQ81*(1-IF(CQ79&lt;INDEX('Lease Cycles'!$DK$12:$DQ$12,1,CQ78),0,IF(CQ79=INDEX('Lease Cycles'!$DK$12:$DQ$12,1,CQ78),1-INDEX('Lease Cycles'!$DR$12:$DX$12,1,CQ78),1))-IF(CQ79=0,INDEX('Lease Cycles'!$DD$12:$DJ$12,1,CQ78),0))),0)</f>
        <v>0</v>
      </c>
      <c r="CR85" s="28">
        <f>IF(CR80=1,IF(INDEX('Lease Cycles'!$EF$12:$EL$12,1,CR78)=1,0,CR81*(1-IF(CR79&lt;INDEX('Lease Cycles'!$DK$12:$DQ$12,1,CR78),0,IF(CR79=INDEX('Lease Cycles'!$DK$12:$DQ$12,1,CR78),1-INDEX('Lease Cycles'!$DR$12:$DX$12,1,CR78),1))-IF(CR79=0,INDEX('Lease Cycles'!$DD$12:$DJ$12,1,CR78),0))),0)</f>
        <v>0</v>
      </c>
      <c r="CS85" s="28">
        <f>IF(CS80=1,IF(INDEX('Lease Cycles'!$EF$12:$EL$12,1,CS78)=1,0,CS81*(1-IF(CS79&lt;INDEX('Lease Cycles'!$DK$12:$DQ$12,1,CS78),0,IF(CS79=INDEX('Lease Cycles'!$DK$12:$DQ$12,1,CS78),1-INDEX('Lease Cycles'!$DR$12:$DX$12,1,CS78),1))-IF(CS79=0,INDEX('Lease Cycles'!$DD$12:$DJ$12,1,CS78),0))),0)</f>
        <v>0</v>
      </c>
      <c r="CT85" s="28">
        <f>IF(CT80=1,IF(INDEX('Lease Cycles'!$EF$12:$EL$12,1,CT78)=1,0,CT81*(1-IF(CT79&lt;INDEX('Lease Cycles'!$DK$12:$DQ$12,1,CT78),0,IF(CT79=INDEX('Lease Cycles'!$DK$12:$DQ$12,1,CT78),1-INDEX('Lease Cycles'!$DR$12:$DX$12,1,CT78),1))-IF(CT79=0,INDEX('Lease Cycles'!$DD$12:$DJ$12,1,CT78),0))),0)</f>
        <v>0</v>
      </c>
      <c r="CU85" s="28">
        <f>IF(CU80=1,IF(INDEX('Lease Cycles'!$EF$12:$EL$12,1,CU78)=1,0,CU81*(1-IF(CU79&lt;INDEX('Lease Cycles'!$DK$12:$DQ$12,1,CU78),0,IF(CU79=INDEX('Lease Cycles'!$DK$12:$DQ$12,1,CU78),1-INDEX('Lease Cycles'!$DR$12:$DX$12,1,CU78),1))-IF(CU79=0,INDEX('Lease Cycles'!$DD$12:$DJ$12,1,CU78),0))),0)</f>
        <v>0</v>
      </c>
      <c r="CV85" s="28">
        <f>IF(CV80=1,IF(INDEX('Lease Cycles'!$EF$12:$EL$12,1,CV78)=1,0,CV81*(1-IF(CV79&lt;INDEX('Lease Cycles'!$DK$12:$DQ$12,1,CV78),0,IF(CV79=INDEX('Lease Cycles'!$DK$12:$DQ$12,1,CV78),1-INDEX('Lease Cycles'!$DR$12:$DX$12,1,CV78),1))-IF(CV79=0,INDEX('Lease Cycles'!$DD$12:$DJ$12,1,CV78),0))),0)</f>
        <v>0</v>
      </c>
      <c r="CW85" s="28">
        <f>IF(CW80=1,IF(INDEX('Lease Cycles'!$EF$12:$EL$12,1,CW78)=1,0,CW81*(1-IF(CW79&lt;INDEX('Lease Cycles'!$DK$12:$DQ$12,1,CW78),0,IF(CW79=INDEX('Lease Cycles'!$DK$12:$DQ$12,1,CW78),1-INDEX('Lease Cycles'!$DR$12:$DX$12,1,CW78),1))-IF(CW79=0,INDEX('Lease Cycles'!$DD$12:$DJ$12,1,CW78),0))),0)</f>
        <v>0</v>
      </c>
      <c r="CX85" s="28">
        <f>IF(CX80=1,IF(INDEX('Lease Cycles'!$EF$12:$EL$12,1,CX78)=1,0,CX81*(1-IF(CX79&lt;INDEX('Lease Cycles'!$DK$12:$DQ$12,1,CX78),0,IF(CX79=INDEX('Lease Cycles'!$DK$12:$DQ$12,1,CX78),1-INDEX('Lease Cycles'!$DR$12:$DX$12,1,CX78),1))-IF(CX79=0,INDEX('Lease Cycles'!$DD$12:$DJ$12,1,CX78),0))),0)</f>
        <v>0</v>
      </c>
      <c r="CY85" s="28">
        <f>IF(CY80=1,IF(INDEX('Lease Cycles'!$EF$12:$EL$12,1,CY78)=1,0,CY81*(1-IF(CY79&lt;INDEX('Lease Cycles'!$DK$12:$DQ$12,1,CY78),0,IF(CY79=INDEX('Lease Cycles'!$DK$12:$DQ$12,1,CY78),1-INDEX('Lease Cycles'!$DR$12:$DX$12,1,CY78),1))-IF(CY79=0,INDEX('Lease Cycles'!$DD$12:$DJ$12,1,CY78),0))),0)</f>
        <v>0</v>
      </c>
      <c r="CZ85" s="28">
        <f>IF(CZ80=1,IF(INDEX('Lease Cycles'!$EF$12:$EL$12,1,CZ78)=1,0,CZ81*(1-IF(CZ79&lt;INDEX('Lease Cycles'!$DK$12:$DQ$12,1,CZ78),0,IF(CZ79=INDEX('Lease Cycles'!$DK$12:$DQ$12,1,CZ78),1-INDEX('Lease Cycles'!$DR$12:$DX$12,1,CZ78),1))-IF(CZ79=0,INDEX('Lease Cycles'!$DD$12:$DJ$12,1,CZ78),0))),0)</f>
        <v>0</v>
      </c>
      <c r="DA85" s="28">
        <f>IF(DA80=1,IF(INDEX('Lease Cycles'!$EF$12:$EL$12,1,DA78)=1,0,DA81*(1-IF(DA79&lt;INDEX('Lease Cycles'!$DK$12:$DQ$12,1,DA78),0,IF(DA79=INDEX('Lease Cycles'!$DK$12:$DQ$12,1,DA78),1-INDEX('Lease Cycles'!$DR$12:$DX$12,1,DA78),1))-IF(DA79=0,INDEX('Lease Cycles'!$DD$12:$DJ$12,1,DA78),0))),0)</f>
        <v>0</v>
      </c>
      <c r="DB85" s="28">
        <f>IF(DB80=1,IF(INDEX('Lease Cycles'!$EF$12:$EL$12,1,DB78)=1,0,DB81*(1-IF(DB79&lt;INDEX('Lease Cycles'!$DK$12:$DQ$12,1,DB78),0,IF(DB79=INDEX('Lease Cycles'!$DK$12:$DQ$12,1,DB78),1-INDEX('Lease Cycles'!$DR$12:$DX$12,1,DB78),1))-IF(DB79=0,INDEX('Lease Cycles'!$DD$12:$DJ$12,1,DB78),0))),0)</f>
        <v>0</v>
      </c>
      <c r="DC85" s="28">
        <f>IF(DC80=1,IF(INDEX('Lease Cycles'!$EF$12:$EL$12,1,DC78)=1,0,DC81*(1-IF(DC79&lt;INDEX('Lease Cycles'!$DK$12:$DQ$12,1,DC78),0,IF(DC79=INDEX('Lease Cycles'!$DK$12:$DQ$12,1,DC78),1-INDEX('Lease Cycles'!$DR$12:$DX$12,1,DC78),1))-IF(DC79=0,INDEX('Lease Cycles'!$DD$12:$DJ$12,1,DC78),0))),0)</f>
        <v>0</v>
      </c>
      <c r="DD85" s="28">
        <f>IF(DD80=1,IF(INDEX('Lease Cycles'!$EF$12:$EL$12,1,DD78)=1,0,DD81*(1-IF(DD79&lt;INDEX('Lease Cycles'!$DK$12:$DQ$12,1,DD78),0,IF(DD79=INDEX('Lease Cycles'!$DK$12:$DQ$12,1,DD78),1-INDEX('Lease Cycles'!$DR$12:$DX$12,1,DD78),1))-IF(DD79=0,INDEX('Lease Cycles'!$DD$12:$DJ$12,1,DD78),0))),0)</f>
        <v>0</v>
      </c>
      <c r="DE85" s="28">
        <f>IF(DE80=1,IF(INDEX('Lease Cycles'!$EF$12:$EL$12,1,DE78)=1,0,DE81*(1-IF(DE79&lt;INDEX('Lease Cycles'!$DK$12:$DQ$12,1,DE78),0,IF(DE79=INDEX('Lease Cycles'!$DK$12:$DQ$12,1,DE78),1-INDEX('Lease Cycles'!$DR$12:$DX$12,1,DE78),1))-IF(DE79=0,INDEX('Lease Cycles'!$DD$12:$DJ$12,1,DE78),0))),0)</f>
        <v>0</v>
      </c>
      <c r="DF85" s="28">
        <f>IF(DF80=1,IF(INDEX('Lease Cycles'!$EF$12:$EL$12,1,DF78)=1,0,DF81*(1-IF(DF79&lt;INDEX('Lease Cycles'!$DK$12:$DQ$12,1,DF78),0,IF(DF79=INDEX('Lease Cycles'!$DK$12:$DQ$12,1,DF78),1-INDEX('Lease Cycles'!$DR$12:$DX$12,1,DF78),1))-IF(DF79=0,INDEX('Lease Cycles'!$DD$12:$DJ$12,1,DF78),0))),0)</f>
        <v>0</v>
      </c>
      <c r="DG85" s="28">
        <f>IF(DG80=1,IF(INDEX('Lease Cycles'!$EF$12:$EL$12,1,DG78)=1,0,DG81*(1-IF(DG79&lt;INDEX('Lease Cycles'!$DK$12:$DQ$12,1,DG78),0,IF(DG79=INDEX('Lease Cycles'!$DK$12:$DQ$12,1,DG78),1-INDEX('Lease Cycles'!$DR$12:$DX$12,1,DG78),1))-IF(DG79=0,INDEX('Lease Cycles'!$DD$12:$DJ$12,1,DG78),0))),0)</f>
        <v>0</v>
      </c>
      <c r="DH85" s="28">
        <f>IF(DH80=1,IF(INDEX('Lease Cycles'!$EF$12:$EL$12,1,DH78)=1,0,DH81*(1-IF(DH79&lt;INDEX('Lease Cycles'!$DK$12:$DQ$12,1,DH78),0,IF(DH79=INDEX('Lease Cycles'!$DK$12:$DQ$12,1,DH78),1-INDEX('Lease Cycles'!$DR$12:$DX$12,1,DH78),1))-IF(DH79=0,INDEX('Lease Cycles'!$DD$12:$DJ$12,1,DH78),0))),0)</f>
        <v>0</v>
      </c>
      <c r="DI85" s="28">
        <f>IF(DI80=1,IF(INDEX('Lease Cycles'!$EF$12:$EL$12,1,DI78)=1,0,DI81*(1-IF(DI79&lt;INDEX('Lease Cycles'!$DK$12:$DQ$12,1,DI78),0,IF(DI79=INDEX('Lease Cycles'!$DK$12:$DQ$12,1,DI78),1-INDEX('Lease Cycles'!$DR$12:$DX$12,1,DI78),1))-IF(DI79=0,INDEX('Lease Cycles'!$DD$12:$DJ$12,1,DI78),0))),0)</f>
        <v>0</v>
      </c>
      <c r="DJ85" s="28">
        <f>IF(DJ80=1,IF(INDEX('Lease Cycles'!$EF$12:$EL$12,1,DJ78)=1,0,DJ81*(1-IF(DJ79&lt;INDEX('Lease Cycles'!$DK$12:$DQ$12,1,DJ78),0,IF(DJ79=INDEX('Lease Cycles'!$DK$12:$DQ$12,1,DJ78),1-INDEX('Lease Cycles'!$DR$12:$DX$12,1,DJ78),1))-IF(DJ79=0,INDEX('Lease Cycles'!$DD$12:$DJ$12,1,DJ78),0))),0)</f>
        <v>0</v>
      </c>
      <c r="DK85" s="28">
        <f>IF(DK80=1,IF(INDEX('Lease Cycles'!$EF$12:$EL$12,1,DK78)=1,0,DK81*(1-IF(DK79&lt;INDEX('Lease Cycles'!$DK$12:$DQ$12,1,DK78),0,IF(DK79=INDEX('Lease Cycles'!$DK$12:$DQ$12,1,DK78),1-INDEX('Lease Cycles'!$DR$12:$DX$12,1,DK78),1))-IF(DK79=0,INDEX('Lease Cycles'!$DD$12:$DJ$12,1,DK78),0))),0)</f>
        <v>0</v>
      </c>
      <c r="DL85" s="28">
        <f>IF(DL80=1,IF(INDEX('Lease Cycles'!$EF$12:$EL$12,1,DL78)=1,0,DL81*(1-IF(DL79&lt;INDEX('Lease Cycles'!$DK$12:$DQ$12,1,DL78),0,IF(DL79=INDEX('Lease Cycles'!$DK$12:$DQ$12,1,DL78),1-INDEX('Lease Cycles'!$DR$12:$DX$12,1,DL78),1))-IF(DL79=0,INDEX('Lease Cycles'!$DD$12:$DJ$12,1,DL78),0))),0)</f>
        <v>0</v>
      </c>
      <c r="DM85" s="28">
        <f>IF(DM80=1,IF(INDEX('Lease Cycles'!$EF$12:$EL$12,1,DM78)=1,0,DM81*(1-IF(DM79&lt;INDEX('Lease Cycles'!$DK$12:$DQ$12,1,DM78),0,IF(DM79=INDEX('Lease Cycles'!$DK$12:$DQ$12,1,DM78),1-INDEX('Lease Cycles'!$DR$12:$DX$12,1,DM78),1))-IF(DM79=0,INDEX('Lease Cycles'!$DD$12:$DJ$12,1,DM78),0))),0)</f>
        <v>0</v>
      </c>
      <c r="DN85" s="28">
        <f>IF(DN80=1,IF(INDEX('Lease Cycles'!$EF$12:$EL$12,1,DN78)=1,0,DN81*(1-IF(DN79&lt;INDEX('Lease Cycles'!$DK$12:$DQ$12,1,DN78),0,IF(DN79=INDEX('Lease Cycles'!$DK$12:$DQ$12,1,DN78),1-INDEX('Lease Cycles'!$DR$12:$DX$12,1,DN78),1))-IF(DN79=0,INDEX('Lease Cycles'!$DD$12:$DJ$12,1,DN78),0))),0)</f>
        <v>0</v>
      </c>
      <c r="DO85" s="28">
        <f>IF(DO80=1,IF(INDEX('Lease Cycles'!$EF$12:$EL$12,1,DO78)=1,0,DO81*(1-IF(DO79&lt;INDEX('Lease Cycles'!$DK$12:$DQ$12,1,DO78),0,IF(DO79=INDEX('Lease Cycles'!$DK$12:$DQ$12,1,DO78),1-INDEX('Lease Cycles'!$DR$12:$DX$12,1,DO78),1))-IF(DO79=0,INDEX('Lease Cycles'!$DD$12:$DJ$12,1,DO78),0))),0)</f>
        <v>0</v>
      </c>
      <c r="DP85" s="28">
        <f>IF(DP80=1,IF(INDEX('Lease Cycles'!$EF$12:$EL$12,1,DP78)=1,0,DP81*(1-IF(DP79&lt;INDEX('Lease Cycles'!$DK$12:$DQ$12,1,DP78),0,IF(DP79=INDEX('Lease Cycles'!$DK$12:$DQ$12,1,DP78),1-INDEX('Lease Cycles'!$DR$12:$DX$12,1,DP78),1))-IF(DP79=0,INDEX('Lease Cycles'!$DD$12:$DJ$12,1,DP78),0))),0)</f>
        <v>0</v>
      </c>
      <c r="DQ85" s="28">
        <f>IF(DQ80=1,IF(INDEX('Lease Cycles'!$EF$12:$EL$12,1,DQ78)=1,0,DQ81*(1-IF(DQ79&lt;INDEX('Lease Cycles'!$DK$12:$DQ$12,1,DQ78),0,IF(DQ79=INDEX('Lease Cycles'!$DK$12:$DQ$12,1,DQ78),1-INDEX('Lease Cycles'!$DR$12:$DX$12,1,DQ78),1))-IF(DQ79=0,INDEX('Lease Cycles'!$DD$12:$DJ$12,1,DQ78),0))),0)</f>
        <v>0</v>
      </c>
      <c r="DR85" s="28">
        <f>IF(DR80=1,IF(INDEX('Lease Cycles'!$EF$12:$EL$12,1,DR78)=1,0,DR81*(1-IF(DR79&lt;INDEX('Lease Cycles'!$DK$12:$DQ$12,1,DR78),0,IF(DR79=INDEX('Lease Cycles'!$DK$12:$DQ$12,1,DR78),1-INDEX('Lease Cycles'!$DR$12:$DX$12,1,DR78),1))-IF(DR79=0,INDEX('Lease Cycles'!$DD$12:$DJ$12,1,DR78),0))),0)</f>
        <v>0</v>
      </c>
      <c r="DS85" s="28">
        <f>IF(DS80=1,IF(INDEX('Lease Cycles'!$EF$12:$EL$12,1,DS78)=1,0,DS81*(1-IF(DS79&lt;INDEX('Lease Cycles'!$DK$12:$DQ$12,1,DS78),0,IF(DS79=INDEX('Lease Cycles'!$DK$12:$DQ$12,1,DS78),1-INDEX('Lease Cycles'!$DR$12:$DX$12,1,DS78),1))-IF(DS79=0,INDEX('Lease Cycles'!$DD$12:$DJ$12,1,DS78),0))),0)</f>
        <v>0</v>
      </c>
      <c r="DT85" s="28">
        <f>IF(DT80=1,IF(INDEX('Lease Cycles'!$EF$12:$EL$12,1,DT78)=1,0,DT81*(1-IF(DT79&lt;INDEX('Lease Cycles'!$DK$12:$DQ$12,1,DT78),0,IF(DT79=INDEX('Lease Cycles'!$DK$12:$DQ$12,1,DT78),1-INDEX('Lease Cycles'!$DR$12:$DX$12,1,DT78),1))-IF(DT79=0,INDEX('Lease Cycles'!$DD$12:$DJ$12,1,DT78),0))),0)</f>
        <v>0</v>
      </c>
      <c r="DU85" s="28">
        <f>IF(DU80=1,IF(INDEX('Lease Cycles'!$EF$12:$EL$12,1,DU78)=1,0,DU81*(1-IF(DU79&lt;INDEX('Lease Cycles'!$DK$12:$DQ$12,1,DU78),0,IF(DU79=INDEX('Lease Cycles'!$DK$12:$DQ$12,1,DU78),1-INDEX('Lease Cycles'!$DR$12:$DX$12,1,DU78),1))-IF(DU79=0,INDEX('Lease Cycles'!$DD$12:$DJ$12,1,DU78),0))),0)</f>
        <v>0</v>
      </c>
      <c r="DV85" s="28">
        <f>IF(DV80=1,IF(INDEX('Lease Cycles'!$EF$12:$EL$12,1,DV78)=1,0,DV81*(1-IF(DV79&lt;INDEX('Lease Cycles'!$DK$12:$DQ$12,1,DV78),0,IF(DV79=INDEX('Lease Cycles'!$DK$12:$DQ$12,1,DV78),1-INDEX('Lease Cycles'!$DR$12:$DX$12,1,DV78),1))-IF(DV79=0,INDEX('Lease Cycles'!$DD$12:$DJ$12,1,DV78),0))),0)</f>
        <v>0</v>
      </c>
      <c r="DW85" s="28">
        <f>IF(DW80=1,IF(INDEX('Lease Cycles'!$EF$12:$EL$12,1,DW78)=1,0,DW81*(1-IF(DW79&lt;INDEX('Lease Cycles'!$DK$12:$DQ$12,1,DW78),0,IF(DW79=INDEX('Lease Cycles'!$DK$12:$DQ$12,1,DW78),1-INDEX('Lease Cycles'!$DR$12:$DX$12,1,DW78),1))-IF(DW79=0,INDEX('Lease Cycles'!$DD$12:$DJ$12,1,DW78),0))),0)</f>
        <v>0</v>
      </c>
      <c r="DX85" s="28">
        <f>IF(DX80=1,IF(INDEX('Lease Cycles'!$EF$12:$EL$12,1,DX78)=1,0,DX81*(1-IF(DX79&lt;INDEX('Lease Cycles'!$DK$12:$DQ$12,1,DX78),0,IF(DX79=INDEX('Lease Cycles'!$DK$12:$DQ$12,1,DX78),1-INDEX('Lease Cycles'!$DR$12:$DX$12,1,DX78),1))-IF(DX79=0,INDEX('Lease Cycles'!$DD$12:$DJ$12,1,DX78),0))),0)</f>
        <v>0</v>
      </c>
      <c r="DY85" s="28">
        <f>IF(DY80=1,IF(INDEX('Lease Cycles'!$EF$12:$EL$12,1,DY78)=1,0,DY81*(1-IF(DY79&lt;INDEX('Lease Cycles'!$DK$12:$DQ$12,1,DY78),0,IF(DY79=INDEX('Lease Cycles'!$DK$12:$DQ$12,1,DY78),1-INDEX('Lease Cycles'!$DR$12:$DX$12,1,DY78),1))-IF(DY79=0,INDEX('Lease Cycles'!$DD$12:$DJ$12,1,DY78),0))),0)</f>
        <v>0</v>
      </c>
      <c r="DZ85" s="28">
        <f>IF(DZ80=1,IF(INDEX('Lease Cycles'!$EF$12:$EL$12,1,DZ78)=1,0,DZ81*(1-IF(DZ79&lt;INDEX('Lease Cycles'!$DK$12:$DQ$12,1,DZ78),0,IF(DZ79=INDEX('Lease Cycles'!$DK$12:$DQ$12,1,DZ78),1-INDEX('Lease Cycles'!$DR$12:$DX$12,1,DZ78),1))-IF(DZ79=0,INDEX('Lease Cycles'!$DD$12:$DJ$12,1,DZ78),0))),0)</f>
        <v>2431.7339433466295</v>
      </c>
      <c r="EA85" s="28">
        <f>IF(EA80=1,IF(INDEX('Lease Cycles'!$EF$12:$EL$12,1,EA78)=1,0,EA81*(1-IF(EA79&lt;INDEX('Lease Cycles'!$DK$12:$DQ$12,1,EA78),0,IF(EA79=INDEX('Lease Cycles'!$DK$12:$DQ$12,1,EA78),1-INDEX('Lease Cycles'!$DR$12:$DX$12,1,EA78),1))-IF(EA79=0,INDEX('Lease Cycles'!$DD$12:$DJ$12,1,EA78),0))),0)</f>
        <v>0</v>
      </c>
      <c r="EB85" s="28">
        <f>IF(EB80=1,IF(INDEX('Lease Cycles'!$EF$12:$EL$12,1,EB78)=1,0,EB81*(1-IF(EB79&lt;INDEX('Lease Cycles'!$DK$12:$DQ$12,1,EB78),0,IF(EB79=INDEX('Lease Cycles'!$DK$12:$DQ$12,1,EB78),1-INDEX('Lease Cycles'!$DR$12:$DX$12,1,EB78),1))-IF(EB79=0,INDEX('Lease Cycles'!$DD$12:$DJ$12,1,EB78),0))),0)</f>
        <v>0</v>
      </c>
      <c r="EC85" s="28">
        <f>IF(EC80=1,IF(INDEX('Lease Cycles'!$EF$12:$EL$12,1,EC78)=1,0,EC81*(1-IF(EC79&lt;INDEX('Lease Cycles'!$DK$12:$DQ$12,1,EC78),0,IF(EC79=INDEX('Lease Cycles'!$DK$12:$DQ$12,1,EC78),1-INDEX('Lease Cycles'!$DR$12:$DX$12,1,EC78),1))-IF(EC79=0,INDEX('Lease Cycles'!$DD$12:$DJ$12,1,EC78),0))),0)</f>
        <v>0</v>
      </c>
      <c r="ED85" s="28">
        <f>IF(ED80=1,IF(INDEX('Lease Cycles'!$EF$12:$EL$12,1,ED78)=1,0,ED81*(1-IF(ED79&lt;INDEX('Lease Cycles'!$DK$12:$DQ$12,1,ED78),0,IF(ED79=INDEX('Lease Cycles'!$DK$12:$DQ$12,1,ED78),1-INDEX('Lease Cycles'!$DR$12:$DX$12,1,ED78),1))-IF(ED79=0,INDEX('Lease Cycles'!$DD$12:$DJ$12,1,ED78),0))),0)</f>
        <v>0</v>
      </c>
      <c r="EE85" s="28">
        <f>IF(EE80=1,IF(INDEX('Lease Cycles'!$EF$12:$EL$12,1,EE78)=1,0,EE81*(1-IF(EE79&lt;INDEX('Lease Cycles'!$DK$12:$DQ$12,1,EE78),0,IF(EE79=INDEX('Lease Cycles'!$DK$12:$DQ$12,1,EE78),1-INDEX('Lease Cycles'!$DR$12:$DX$12,1,EE78),1))-IF(EE79=0,INDEX('Lease Cycles'!$DD$12:$DJ$12,1,EE78),0))),0)</f>
        <v>0</v>
      </c>
      <c r="EF85" s="28">
        <f>IF(EF80=1,IF(INDEX('Lease Cycles'!$EF$12:$EL$12,1,EF78)=1,0,EF81*(1-IF(EF79&lt;INDEX('Lease Cycles'!$DK$12:$DQ$12,1,EF78),0,IF(EF79=INDEX('Lease Cycles'!$DK$12:$DQ$12,1,EF78),1-INDEX('Lease Cycles'!$DR$12:$DX$12,1,EF78),1))-IF(EF79=0,INDEX('Lease Cycles'!$DD$12:$DJ$12,1,EF78),0))),0)</f>
        <v>0</v>
      </c>
      <c r="EG85" s="28">
        <f>IF(EG80=1,IF(INDEX('Lease Cycles'!$EF$12:$EL$12,1,EG78)=1,0,EG81*(1-IF(EG79&lt;INDEX('Lease Cycles'!$DK$12:$DQ$12,1,EG78),0,IF(EG79=INDEX('Lease Cycles'!$DK$12:$DQ$12,1,EG78),1-INDEX('Lease Cycles'!$DR$12:$DX$12,1,EG78),1))-IF(EG79=0,INDEX('Lease Cycles'!$DD$12:$DJ$12,1,EG78),0))),0)</f>
        <v>0</v>
      </c>
      <c r="EH85" s="28">
        <f>IF(EH80=1,IF(INDEX('Lease Cycles'!$EF$12:$EL$12,1,EH78)=1,0,EH81*(1-IF(EH79&lt;INDEX('Lease Cycles'!$DK$12:$DQ$12,1,EH78),0,IF(EH79=INDEX('Lease Cycles'!$DK$12:$DQ$12,1,EH78),1-INDEX('Lease Cycles'!$DR$12:$DX$12,1,EH78),1))-IF(EH79=0,INDEX('Lease Cycles'!$DD$12:$DJ$12,1,EH78),0))),0)</f>
        <v>0</v>
      </c>
      <c r="EI85" s="28">
        <f>IF(EI80=1,IF(INDEX('Lease Cycles'!$EF$12:$EL$12,1,EI78)=1,0,EI81*(1-IF(EI79&lt;INDEX('Lease Cycles'!$DK$12:$DQ$12,1,EI78),0,IF(EI79=INDEX('Lease Cycles'!$DK$12:$DQ$12,1,EI78),1-INDEX('Lease Cycles'!$DR$12:$DX$12,1,EI78),1))-IF(EI79=0,INDEX('Lease Cycles'!$DD$12:$DJ$12,1,EI78),0))),0)</f>
        <v>0</v>
      </c>
      <c r="EJ85" s="28">
        <f>IF(EJ80=1,IF(INDEX('Lease Cycles'!$EF$12:$EL$12,1,EJ78)=1,0,EJ81*(1-IF(EJ79&lt;INDEX('Lease Cycles'!$DK$12:$DQ$12,1,EJ78),0,IF(EJ79=INDEX('Lease Cycles'!$DK$12:$DQ$12,1,EJ78),1-INDEX('Lease Cycles'!$DR$12:$DX$12,1,EJ78),1))-IF(EJ79=0,INDEX('Lease Cycles'!$DD$12:$DJ$12,1,EJ78),0))),0)</f>
        <v>0</v>
      </c>
      <c r="EK85" s="28">
        <f>IF(EK80=1,IF(INDEX('Lease Cycles'!$EF$12:$EL$12,1,EK78)=1,0,EK81*(1-IF(EK79&lt;INDEX('Lease Cycles'!$DK$12:$DQ$12,1,EK78),0,IF(EK79=INDEX('Lease Cycles'!$DK$12:$DQ$12,1,EK78),1-INDEX('Lease Cycles'!$DR$12:$DX$12,1,EK78),1))-IF(EK79=0,INDEX('Lease Cycles'!$DD$12:$DJ$12,1,EK78),0))),0)</f>
        <v>0</v>
      </c>
      <c r="EL85" s="28">
        <f>IF(EL80=1,IF(INDEX('Lease Cycles'!$EF$12:$EL$12,1,EL78)=1,0,EL81*(1-IF(EL79&lt;INDEX('Lease Cycles'!$DK$12:$DQ$12,1,EL78),0,IF(EL79=INDEX('Lease Cycles'!$DK$12:$DQ$12,1,EL78),1-INDEX('Lease Cycles'!$DR$12:$DX$12,1,EL78),1))-IF(EL79=0,INDEX('Lease Cycles'!$DD$12:$DJ$12,1,EL78),0))),0)</f>
        <v>0</v>
      </c>
      <c r="EM85" s="28">
        <f>IF(EM80=1,IF(INDEX('Lease Cycles'!$EF$12:$EL$12,1,EM78)=1,0,EM81*(1-IF(EM79&lt;INDEX('Lease Cycles'!$DK$12:$DQ$12,1,EM78),0,IF(EM79=INDEX('Lease Cycles'!$DK$12:$DQ$12,1,EM78),1-INDEX('Lease Cycles'!$DR$12:$DX$12,1,EM78),1))-IF(EM79=0,INDEX('Lease Cycles'!$DD$12:$DJ$12,1,EM78),0))),0)</f>
        <v>0</v>
      </c>
      <c r="EN85" s="28">
        <f>IF(EN80=1,IF(INDEX('Lease Cycles'!$EF$12:$EL$12,1,EN78)=1,0,EN81*(1-IF(EN79&lt;INDEX('Lease Cycles'!$DK$12:$DQ$12,1,EN78),0,IF(EN79=INDEX('Lease Cycles'!$DK$12:$DQ$12,1,EN78),1-INDEX('Lease Cycles'!$DR$12:$DX$12,1,EN78),1))-IF(EN79=0,INDEX('Lease Cycles'!$DD$12:$DJ$12,1,EN78),0))),0)</f>
        <v>0</v>
      </c>
      <c r="EO85" s="28">
        <f>IF(EO80=1,IF(INDEX('Lease Cycles'!$EF$12:$EL$12,1,EO78)=1,0,EO81*(1-IF(EO79&lt;INDEX('Lease Cycles'!$DK$12:$DQ$12,1,EO78),0,IF(EO79=INDEX('Lease Cycles'!$DK$12:$DQ$12,1,EO78),1-INDEX('Lease Cycles'!$DR$12:$DX$12,1,EO78),1))-IF(EO79=0,INDEX('Lease Cycles'!$DD$12:$DJ$12,1,EO78),0))),0)</f>
        <v>0</v>
      </c>
      <c r="EP85" s="28">
        <f>IF(EP80=1,IF(INDEX('Lease Cycles'!$EF$12:$EL$12,1,EP78)=1,0,EP81*(1-IF(EP79&lt;INDEX('Lease Cycles'!$DK$12:$DQ$12,1,EP78),0,IF(EP79=INDEX('Lease Cycles'!$DK$12:$DQ$12,1,EP78),1-INDEX('Lease Cycles'!$DR$12:$DX$12,1,EP78),1))-IF(EP79=0,INDEX('Lease Cycles'!$DD$12:$DJ$12,1,EP78),0))),0)</f>
        <v>0</v>
      </c>
      <c r="EQ85" s="28">
        <f>IF(EQ80=1,IF(INDEX('Lease Cycles'!$EF$12:$EL$12,1,EQ78)=1,0,EQ81*(1-IF(EQ79&lt;INDEX('Lease Cycles'!$DK$12:$DQ$12,1,EQ78),0,IF(EQ79=INDEX('Lease Cycles'!$DK$12:$DQ$12,1,EQ78),1-INDEX('Lease Cycles'!$DR$12:$DX$12,1,EQ78),1))-IF(EQ79=0,INDEX('Lease Cycles'!$DD$12:$DJ$12,1,EQ78),0))),0)</f>
        <v>0</v>
      </c>
      <c r="ER85" s="28">
        <f>IF(ER80=1,IF(INDEX('Lease Cycles'!$EF$12:$EL$12,1,ER78)=1,0,ER81*(1-IF(ER79&lt;INDEX('Lease Cycles'!$DK$12:$DQ$12,1,ER78),0,IF(ER79=INDEX('Lease Cycles'!$DK$12:$DQ$12,1,ER78),1-INDEX('Lease Cycles'!$DR$12:$DX$12,1,ER78),1))-IF(ER79=0,INDEX('Lease Cycles'!$DD$12:$DJ$12,1,ER78),0))),0)</f>
        <v>0</v>
      </c>
      <c r="ES85" s="28">
        <f>IF(ES80=1,IF(INDEX('Lease Cycles'!$EF$12:$EL$12,1,ES78)=1,0,ES81*(1-IF(ES79&lt;INDEX('Lease Cycles'!$DK$12:$DQ$12,1,ES78),0,IF(ES79=INDEX('Lease Cycles'!$DK$12:$DQ$12,1,ES78),1-INDEX('Lease Cycles'!$DR$12:$DX$12,1,ES78),1))-IF(ES79=0,INDEX('Lease Cycles'!$DD$12:$DJ$12,1,ES78),0))),0)</f>
        <v>0</v>
      </c>
      <c r="ET85" s="28">
        <f>IF(ET80=1,IF(INDEX('Lease Cycles'!$EF$12:$EL$12,1,ET78)=1,0,ET81*(1-IF(ET79&lt;INDEX('Lease Cycles'!$DK$12:$DQ$12,1,ET78),0,IF(ET79=INDEX('Lease Cycles'!$DK$12:$DQ$12,1,ET78),1-INDEX('Lease Cycles'!$DR$12:$DX$12,1,ET78),1))-IF(ET79=0,INDEX('Lease Cycles'!$DD$12:$DJ$12,1,ET78),0))),0)</f>
        <v>0</v>
      </c>
    </row>
    <row r="86">
      <c r="A86" s="103">
        <v>5</v>
      </c>
      <c r="B86" s="23" t="str">
        <f>IF('Lease Cycles'!$B$12="","(empty slot)",'Lease Cycles'!$B$12)</f>
        <v>Sunfield Pizza</v>
      </c>
      <c r="C86" s="23" t="s">
        <v>683</v>
      </c>
      <c r="D86" s="104" t="s">
        <v>684</v>
      </c>
      <c r="E86" s="25">
        <f>'Lease Cycles'!$AL$12</f>
        <v>0</v>
      </c>
      <c r="G86" s="24">
        <f>SUM(S86:AD86)</f>
        <v>0.40201005025125625</v>
      </c>
      <c r="H86" s="24">
        <f>SUM(AE86:AP86)</f>
        <v>0.36180904522613067</v>
      </c>
      <c r="I86" s="24">
        <f>SUM(AQ86:BB86)</f>
        <v>0.40201005025125625</v>
      </c>
      <c r="J86" s="24">
        <f>SUM(BC86:BN86)</f>
        <v>0.40201005025125625</v>
      </c>
      <c r="K86" s="24">
        <f>SUM(BO86:BZ86)</f>
        <v>0.40201005025125625</v>
      </c>
      <c r="L86" s="24">
        <f>SUM(CA86:CL86)</f>
        <v>0.40201005025125625</v>
      </c>
      <c r="M86" s="24">
        <f>SUM(CM86:CX86)</f>
        <v>0.40201005025125625</v>
      </c>
      <c r="N86" s="24">
        <f>SUM(CY86:DJ86)</f>
        <v>0.40201005025125625</v>
      </c>
      <c r="O86" s="24">
        <f>SUM(DK86:DV86)</f>
        <v>0.40201005025125625</v>
      </c>
      <c r="P86" s="24">
        <f>SUM(DW86:EH86)</f>
        <v>0.36180904522613055</v>
      </c>
      <c r="Q86" s="24">
        <f>SUM(EI86:ET86)</f>
        <v>0.40201005025125625</v>
      </c>
      <c r="S86" s="24">
        <f>IF(S80=1,'Lease Cycles'!$D$12*IF(INDEX('Lease Cycles'!$EF$12:$EL$12,1,S78)=1,(1-'Lease Cycles'!$AJ$12)*INDEX('Lease Cycles'!$EM$12:$ES$12,1,S78)+(1-'Lease Cycles'!$BE$12)*IF(S79&lt;INDEX('Lease Cycles'!$FA$12:$FG$12,1,S78),0,1-INDEX('Lease Cycles'!$EM$12:$ES$12,1,S78)),IF(OR(INDEX('Lease Cycles'!$DY$12:$EE$12,1,S78)=1,S79&gt;0),1,1-INDEX('Lease Cycles'!$DD$12:$DJ$12,1,S78))*((1-'Lease Cycles'!$AJ$12)*INDEX('Lease Cycles'!$FO$12:$FU$12,1,S78)+(1-'Lease Cycles'!$BE$12)*(1-INDEX('Lease Cycles'!$FO$12:$FU$12,1,S78)))),0)</f>
        <v>0.03350083752093802</v>
      </c>
      <c r="T86" s="24">
        <f>IF(T80=1,'Lease Cycles'!$D$12*IF(INDEX('Lease Cycles'!$EF$12:$EL$12,1,T78)=1,(1-'Lease Cycles'!$AJ$12)*INDEX('Lease Cycles'!$EM$12:$ES$12,1,T78)+(1-'Lease Cycles'!$BE$12)*IF(T79&lt;INDEX('Lease Cycles'!$FA$12:$FG$12,1,T78),0,1-INDEX('Lease Cycles'!$EM$12:$ES$12,1,T78)),IF(OR(INDEX('Lease Cycles'!$DY$12:$EE$12,1,T78)=1,T79&gt;0),1,1-INDEX('Lease Cycles'!$DD$12:$DJ$12,1,T78))*((1-'Lease Cycles'!$AJ$12)*INDEX('Lease Cycles'!$FO$12:$FU$12,1,T78)+(1-'Lease Cycles'!$BE$12)*(1-INDEX('Lease Cycles'!$FO$12:$FU$12,1,T78)))),0)</f>
        <v>0.03350083752093802</v>
      </c>
      <c r="U86" s="24">
        <f>IF(U80=1,'Lease Cycles'!$D$12*IF(INDEX('Lease Cycles'!$EF$12:$EL$12,1,U78)=1,(1-'Lease Cycles'!$AJ$12)*INDEX('Lease Cycles'!$EM$12:$ES$12,1,U78)+(1-'Lease Cycles'!$BE$12)*IF(U79&lt;INDEX('Lease Cycles'!$FA$12:$FG$12,1,U78),0,1-INDEX('Lease Cycles'!$EM$12:$ES$12,1,U78)),IF(OR(INDEX('Lease Cycles'!$DY$12:$EE$12,1,U78)=1,U79&gt;0),1,1-INDEX('Lease Cycles'!$DD$12:$DJ$12,1,U78))*((1-'Lease Cycles'!$AJ$12)*INDEX('Lease Cycles'!$FO$12:$FU$12,1,U78)+(1-'Lease Cycles'!$BE$12)*(1-INDEX('Lease Cycles'!$FO$12:$FU$12,1,U78)))),0)</f>
        <v>0.03350083752093802</v>
      </c>
      <c r="V86" s="24">
        <f>IF(V80=1,'Lease Cycles'!$D$12*IF(INDEX('Lease Cycles'!$EF$12:$EL$12,1,V78)=1,(1-'Lease Cycles'!$AJ$12)*INDEX('Lease Cycles'!$EM$12:$ES$12,1,V78)+(1-'Lease Cycles'!$BE$12)*IF(V79&lt;INDEX('Lease Cycles'!$FA$12:$FG$12,1,V78),0,1-INDEX('Lease Cycles'!$EM$12:$ES$12,1,V78)),IF(OR(INDEX('Lease Cycles'!$DY$12:$EE$12,1,V78)=1,V79&gt;0),1,1-INDEX('Lease Cycles'!$DD$12:$DJ$12,1,V78))*((1-'Lease Cycles'!$AJ$12)*INDEX('Lease Cycles'!$FO$12:$FU$12,1,V78)+(1-'Lease Cycles'!$BE$12)*(1-INDEX('Lease Cycles'!$FO$12:$FU$12,1,V78)))),0)</f>
        <v>0.03350083752093802</v>
      </c>
      <c r="W86" s="24">
        <f>IF(W80=1,'Lease Cycles'!$D$12*IF(INDEX('Lease Cycles'!$EF$12:$EL$12,1,W78)=1,(1-'Lease Cycles'!$AJ$12)*INDEX('Lease Cycles'!$EM$12:$ES$12,1,W78)+(1-'Lease Cycles'!$BE$12)*IF(W79&lt;INDEX('Lease Cycles'!$FA$12:$FG$12,1,W78),0,1-INDEX('Lease Cycles'!$EM$12:$ES$12,1,W78)),IF(OR(INDEX('Lease Cycles'!$DY$12:$EE$12,1,W78)=1,W79&gt;0),1,1-INDEX('Lease Cycles'!$DD$12:$DJ$12,1,W78))*((1-'Lease Cycles'!$AJ$12)*INDEX('Lease Cycles'!$FO$12:$FU$12,1,W78)+(1-'Lease Cycles'!$BE$12)*(1-INDEX('Lease Cycles'!$FO$12:$FU$12,1,W78)))),0)</f>
        <v>0.03350083752093802</v>
      </c>
      <c r="X86" s="24">
        <f>IF(X80=1,'Lease Cycles'!$D$12*IF(INDEX('Lease Cycles'!$EF$12:$EL$12,1,X78)=1,(1-'Lease Cycles'!$AJ$12)*INDEX('Lease Cycles'!$EM$12:$ES$12,1,X78)+(1-'Lease Cycles'!$BE$12)*IF(X79&lt;INDEX('Lease Cycles'!$FA$12:$FG$12,1,X78),0,1-INDEX('Lease Cycles'!$EM$12:$ES$12,1,X78)),IF(OR(INDEX('Lease Cycles'!$DY$12:$EE$12,1,X78)=1,X79&gt;0),1,1-INDEX('Lease Cycles'!$DD$12:$DJ$12,1,X78))*((1-'Lease Cycles'!$AJ$12)*INDEX('Lease Cycles'!$FO$12:$FU$12,1,X78)+(1-'Lease Cycles'!$BE$12)*(1-INDEX('Lease Cycles'!$FO$12:$FU$12,1,X78)))),0)</f>
        <v>0.03350083752093802</v>
      </c>
      <c r="Y86" s="24">
        <f>IF(Y80=1,'Lease Cycles'!$D$12*IF(INDEX('Lease Cycles'!$EF$12:$EL$12,1,Y78)=1,(1-'Lease Cycles'!$AJ$12)*INDEX('Lease Cycles'!$EM$12:$ES$12,1,Y78)+(1-'Lease Cycles'!$BE$12)*IF(Y79&lt;INDEX('Lease Cycles'!$FA$12:$FG$12,1,Y78),0,1-INDEX('Lease Cycles'!$EM$12:$ES$12,1,Y78)),IF(OR(INDEX('Lease Cycles'!$DY$12:$EE$12,1,Y78)=1,Y79&gt;0),1,1-INDEX('Lease Cycles'!$DD$12:$DJ$12,1,Y78))*((1-'Lease Cycles'!$AJ$12)*INDEX('Lease Cycles'!$FO$12:$FU$12,1,Y78)+(1-'Lease Cycles'!$BE$12)*(1-INDEX('Lease Cycles'!$FO$12:$FU$12,1,Y78)))),0)</f>
        <v>0.03350083752093802</v>
      </c>
      <c r="Z86" s="24">
        <f>IF(Z80=1,'Lease Cycles'!$D$12*IF(INDEX('Lease Cycles'!$EF$12:$EL$12,1,Z78)=1,(1-'Lease Cycles'!$AJ$12)*INDEX('Lease Cycles'!$EM$12:$ES$12,1,Z78)+(1-'Lease Cycles'!$BE$12)*IF(Z79&lt;INDEX('Lease Cycles'!$FA$12:$FG$12,1,Z78),0,1-INDEX('Lease Cycles'!$EM$12:$ES$12,1,Z78)),IF(OR(INDEX('Lease Cycles'!$DY$12:$EE$12,1,Z78)=1,Z79&gt;0),1,1-INDEX('Lease Cycles'!$DD$12:$DJ$12,1,Z78))*((1-'Lease Cycles'!$AJ$12)*INDEX('Lease Cycles'!$FO$12:$FU$12,1,Z78)+(1-'Lease Cycles'!$BE$12)*(1-INDEX('Lease Cycles'!$FO$12:$FU$12,1,Z78)))),0)</f>
        <v>0.03350083752093802</v>
      </c>
      <c r="AA86" s="24">
        <f>IF(AA80=1,'Lease Cycles'!$D$12*IF(INDEX('Lease Cycles'!$EF$12:$EL$12,1,AA78)=1,(1-'Lease Cycles'!$AJ$12)*INDEX('Lease Cycles'!$EM$12:$ES$12,1,AA78)+(1-'Lease Cycles'!$BE$12)*IF(AA79&lt;INDEX('Lease Cycles'!$FA$12:$FG$12,1,AA78),0,1-INDEX('Lease Cycles'!$EM$12:$ES$12,1,AA78)),IF(OR(INDEX('Lease Cycles'!$DY$12:$EE$12,1,AA78)=1,AA79&gt;0),1,1-INDEX('Lease Cycles'!$DD$12:$DJ$12,1,AA78))*((1-'Lease Cycles'!$AJ$12)*INDEX('Lease Cycles'!$FO$12:$FU$12,1,AA78)+(1-'Lease Cycles'!$BE$12)*(1-INDEX('Lease Cycles'!$FO$12:$FU$12,1,AA78)))),0)</f>
        <v>0.03350083752093802</v>
      </c>
      <c r="AB86" s="24">
        <f>IF(AB80=1,'Lease Cycles'!$D$12*IF(INDEX('Lease Cycles'!$EF$12:$EL$12,1,AB78)=1,(1-'Lease Cycles'!$AJ$12)*INDEX('Lease Cycles'!$EM$12:$ES$12,1,AB78)+(1-'Lease Cycles'!$BE$12)*IF(AB79&lt;INDEX('Lease Cycles'!$FA$12:$FG$12,1,AB78),0,1-INDEX('Lease Cycles'!$EM$12:$ES$12,1,AB78)),IF(OR(INDEX('Lease Cycles'!$DY$12:$EE$12,1,AB78)=1,AB79&gt;0),1,1-INDEX('Lease Cycles'!$DD$12:$DJ$12,1,AB78))*((1-'Lease Cycles'!$AJ$12)*INDEX('Lease Cycles'!$FO$12:$FU$12,1,AB78)+(1-'Lease Cycles'!$BE$12)*(1-INDEX('Lease Cycles'!$FO$12:$FU$12,1,AB78)))),0)</f>
        <v>0.03350083752093802</v>
      </c>
      <c r="AC86" s="24">
        <f>IF(AC80=1,'Lease Cycles'!$D$12*IF(INDEX('Lease Cycles'!$EF$12:$EL$12,1,AC78)=1,(1-'Lease Cycles'!$AJ$12)*INDEX('Lease Cycles'!$EM$12:$ES$12,1,AC78)+(1-'Lease Cycles'!$BE$12)*IF(AC79&lt;INDEX('Lease Cycles'!$FA$12:$FG$12,1,AC78),0,1-INDEX('Lease Cycles'!$EM$12:$ES$12,1,AC78)),IF(OR(INDEX('Lease Cycles'!$DY$12:$EE$12,1,AC78)=1,AC79&gt;0),1,1-INDEX('Lease Cycles'!$DD$12:$DJ$12,1,AC78))*((1-'Lease Cycles'!$AJ$12)*INDEX('Lease Cycles'!$FO$12:$FU$12,1,AC78)+(1-'Lease Cycles'!$BE$12)*(1-INDEX('Lease Cycles'!$FO$12:$FU$12,1,AC78)))),0)</f>
        <v>0.03350083752093802</v>
      </c>
      <c r="AD86" s="24">
        <f>IF(AD80=1,'Lease Cycles'!$D$12*IF(INDEX('Lease Cycles'!$EF$12:$EL$12,1,AD78)=1,(1-'Lease Cycles'!$AJ$12)*INDEX('Lease Cycles'!$EM$12:$ES$12,1,AD78)+(1-'Lease Cycles'!$BE$12)*IF(AD79&lt;INDEX('Lease Cycles'!$FA$12:$FG$12,1,AD78),0,1-INDEX('Lease Cycles'!$EM$12:$ES$12,1,AD78)),IF(OR(INDEX('Lease Cycles'!$DY$12:$EE$12,1,AD78)=1,AD79&gt;0),1,1-INDEX('Lease Cycles'!$DD$12:$DJ$12,1,AD78))*((1-'Lease Cycles'!$AJ$12)*INDEX('Lease Cycles'!$FO$12:$FU$12,1,AD78)+(1-'Lease Cycles'!$BE$12)*(1-INDEX('Lease Cycles'!$FO$12:$FU$12,1,AD78)))),0)</f>
        <v>0.03350083752093802</v>
      </c>
      <c r="AE86" s="24">
        <f>IF(AE80=1,'Lease Cycles'!$D$12*IF(INDEX('Lease Cycles'!$EF$12:$EL$12,1,AE78)=1,(1-'Lease Cycles'!$AJ$12)*INDEX('Lease Cycles'!$EM$12:$ES$12,1,AE78)+(1-'Lease Cycles'!$BE$12)*IF(AE79&lt;INDEX('Lease Cycles'!$FA$12:$FG$12,1,AE78),0,1-INDEX('Lease Cycles'!$EM$12:$ES$12,1,AE78)),IF(OR(INDEX('Lease Cycles'!$DY$12:$EE$12,1,AE78)=1,AE79&gt;0),1,1-INDEX('Lease Cycles'!$DD$12:$DJ$12,1,AE78))*((1-'Lease Cycles'!$AJ$12)*INDEX('Lease Cycles'!$FO$12:$FU$12,1,AE78)+(1-'Lease Cycles'!$BE$12)*(1-INDEX('Lease Cycles'!$FO$12:$FU$12,1,AE78)))),0)</f>
        <v>0.03350083752093802</v>
      </c>
      <c r="AF86" s="24">
        <f>IF(AF80=1,'Lease Cycles'!$D$12*IF(INDEX('Lease Cycles'!$EF$12:$EL$12,1,AF78)=1,(1-'Lease Cycles'!$AJ$12)*INDEX('Lease Cycles'!$EM$12:$ES$12,1,AF78)+(1-'Lease Cycles'!$BE$12)*IF(AF79&lt;INDEX('Lease Cycles'!$FA$12:$FG$12,1,AF78),0,1-INDEX('Lease Cycles'!$EM$12:$ES$12,1,AF78)),IF(OR(INDEX('Lease Cycles'!$DY$12:$EE$12,1,AF78)=1,AF79&gt;0),1,1-INDEX('Lease Cycles'!$DD$12:$DJ$12,1,AF78))*((1-'Lease Cycles'!$AJ$12)*INDEX('Lease Cycles'!$FO$12:$FU$12,1,AF78)+(1-'Lease Cycles'!$BE$12)*(1-INDEX('Lease Cycles'!$FO$12:$FU$12,1,AF78)))),0)</f>
        <v>0.03350083752093802</v>
      </c>
      <c r="AG86" s="24">
        <f>IF(AG80=1,'Lease Cycles'!$D$12*IF(INDEX('Lease Cycles'!$EF$12:$EL$12,1,AG78)=1,(1-'Lease Cycles'!$AJ$12)*INDEX('Lease Cycles'!$EM$12:$ES$12,1,AG78)+(1-'Lease Cycles'!$BE$12)*IF(AG79&lt;INDEX('Lease Cycles'!$FA$12:$FG$12,1,AG78),0,1-INDEX('Lease Cycles'!$EM$12:$ES$12,1,AG78)),IF(OR(INDEX('Lease Cycles'!$DY$12:$EE$12,1,AG78)=1,AG79&gt;0),1,1-INDEX('Lease Cycles'!$DD$12:$DJ$12,1,AG78))*((1-'Lease Cycles'!$AJ$12)*INDEX('Lease Cycles'!$FO$12:$FU$12,1,AG78)+(1-'Lease Cycles'!$BE$12)*(1-INDEX('Lease Cycles'!$FO$12:$FU$12,1,AG78)))),0)</f>
        <v>0.03350083752093802</v>
      </c>
      <c r="AH86" s="24">
        <f>IF(AH80=1,'Lease Cycles'!$D$12*IF(INDEX('Lease Cycles'!$EF$12:$EL$12,1,AH78)=1,(1-'Lease Cycles'!$AJ$12)*INDEX('Lease Cycles'!$EM$12:$ES$12,1,AH78)+(1-'Lease Cycles'!$BE$12)*IF(AH79&lt;INDEX('Lease Cycles'!$FA$12:$FG$12,1,AH78),0,1-INDEX('Lease Cycles'!$EM$12:$ES$12,1,AH78)),IF(OR(INDEX('Lease Cycles'!$DY$12:$EE$12,1,AH78)=1,AH79&gt;0),1,1-INDEX('Lease Cycles'!$DD$12:$DJ$12,1,AH78))*((1-'Lease Cycles'!$AJ$12)*INDEX('Lease Cycles'!$FO$12:$FU$12,1,AH78)+(1-'Lease Cycles'!$BE$12)*(1-INDEX('Lease Cycles'!$FO$12:$FU$12,1,AH78)))),0)</f>
        <v>0.03350083752093802</v>
      </c>
      <c r="AI86" s="24">
        <f>IF(AI80=1,'Lease Cycles'!$D$12*IF(INDEX('Lease Cycles'!$EF$12:$EL$12,1,AI78)=1,(1-'Lease Cycles'!$AJ$12)*INDEX('Lease Cycles'!$EM$12:$ES$12,1,AI78)+(1-'Lease Cycles'!$BE$12)*IF(AI79&lt;INDEX('Lease Cycles'!$FA$12:$FG$12,1,AI78),0,1-INDEX('Lease Cycles'!$EM$12:$ES$12,1,AI78)),IF(OR(INDEX('Lease Cycles'!$DY$12:$EE$12,1,AI78)=1,AI79&gt;0),1,1-INDEX('Lease Cycles'!$DD$12:$DJ$12,1,AI78))*((1-'Lease Cycles'!$AJ$12)*INDEX('Lease Cycles'!$FO$12:$FU$12,1,AI78)+(1-'Lease Cycles'!$BE$12)*(1-INDEX('Lease Cycles'!$FO$12:$FU$12,1,AI78)))),0)</f>
        <v>0.03350083752093802</v>
      </c>
      <c r="AJ86" s="24">
        <f>IF(AJ80=1,'Lease Cycles'!$D$12*IF(INDEX('Lease Cycles'!$EF$12:$EL$12,1,AJ78)=1,(1-'Lease Cycles'!$AJ$12)*INDEX('Lease Cycles'!$EM$12:$ES$12,1,AJ78)+(1-'Lease Cycles'!$BE$12)*IF(AJ79&lt;INDEX('Lease Cycles'!$FA$12:$FG$12,1,AJ78),0,1-INDEX('Lease Cycles'!$EM$12:$ES$12,1,AJ78)),IF(OR(INDEX('Lease Cycles'!$DY$12:$EE$12,1,AJ78)=1,AJ79&gt;0),1,1-INDEX('Lease Cycles'!$DD$12:$DJ$12,1,AJ78))*((1-'Lease Cycles'!$AJ$12)*INDEX('Lease Cycles'!$FO$12:$FU$12,1,AJ78)+(1-'Lease Cycles'!$BE$12)*(1-INDEX('Lease Cycles'!$FO$12:$FU$12,1,AJ78)))),0)</f>
        <v>0.03350083752093802</v>
      </c>
      <c r="AK86" s="24">
        <f>IF(AK80=1,'Lease Cycles'!$D$12*IF(INDEX('Lease Cycles'!$EF$12:$EL$12,1,AK78)=1,(1-'Lease Cycles'!$AJ$12)*INDEX('Lease Cycles'!$EM$12:$ES$12,1,AK78)+(1-'Lease Cycles'!$BE$12)*IF(AK79&lt;INDEX('Lease Cycles'!$FA$12:$FG$12,1,AK78),0,1-INDEX('Lease Cycles'!$EM$12:$ES$12,1,AK78)),IF(OR(INDEX('Lease Cycles'!$DY$12:$EE$12,1,AK78)=1,AK79&gt;0),1,1-INDEX('Lease Cycles'!$DD$12:$DJ$12,1,AK78))*((1-'Lease Cycles'!$AJ$12)*INDEX('Lease Cycles'!$FO$12:$FU$12,1,AK78)+(1-'Lease Cycles'!$BE$12)*(1-INDEX('Lease Cycles'!$FO$12:$FU$12,1,AK78)))),0)</f>
        <v>0.03350083752093802</v>
      </c>
      <c r="AL86" s="24">
        <f>IF(AL80=1,'Lease Cycles'!$D$12*IF(INDEX('Lease Cycles'!$EF$12:$EL$12,1,AL78)=1,(1-'Lease Cycles'!$AJ$12)*INDEX('Lease Cycles'!$EM$12:$ES$12,1,AL78)+(1-'Lease Cycles'!$BE$12)*IF(AL79&lt;INDEX('Lease Cycles'!$FA$12:$FG$12,1,AL78),0,1-INDEX('Lease Cycles'!$EM$12:$ES$12,1,AL78)),IF(OR(INDEX('Lease Cycles'!$DY$12:$EE$12,1,AL78)=1,AL79&gt;0),1,1-INDEX('Lease Cycles'!$DD$12:$DJ$12,1,AL78))*((1-'Lease Cycles'!$AJ$12)*INDEX('Lease Cycles'!$FO$12:$FU$12,1,AL78)+(1-'Lease Cycles'!$BE$12)*(1-INDEX('Lease Cycles'!$FO$12:$FU$12,1,AL78)))),0)</f>
        <v>0.03350083752093802</v>
      </c>
      <c r="AM86" s="24">
        <f>IF(AM80=1,'Lease Cycles'!$D$12*IF(INDEX('Lease Cycles'!$EF$12:$EL$12,1,AM78)=1,(1-'Lease Cycles'!$AJ$12)*INDEX('Lease Cycles'!$EM$12:$ES$12,1,AM78)+(1-'Lease Cycles'!$BE$12)*IF(AM79&lt;INDEX('Lease Cycles'!$FA$12:$FG$12,1,AM78),0,1-INDEX('Lease Cycles'!$EM$12:$ES$12,1,AM78)),IF(OR(INDEX('Lease Cycles'!$DY$12:$EE$12,1,AM78)=1,AM79&gt;0),1,1-INDEX('Lease Cycles'!$DD$12:$DJ$12,1,AM78))*((1-'Lease Cycles'!$AJ$12)*INDEX('Lease Cycles'!$FO$12:$FU$12,1,AM78)+(1-'Lease Cycles'!$BE$12)*(1-INDEX('Lease Cycles'!$FO$12:$FU$12,1,AM78)))),0)</f>
        <v>0.03350083752093802</v>
      </c>
      <c r="AN86" s="24">
        <f>IF(AN80=1,'Lease Cycles'!$D$12*IF(INDEX('Lease Cycles'!$EF$12:$EL$12,1,AN78)=1,(1-'Lease Cycles'!$AJ$12)*INDEX('Lease Cycles'!$EM$12:$ES$12,1,AN78)+(1-'Lease Cycles'!$BE$12)*IF(AN79&lt;INDEX('Lease Cycles'!$FA$12:$FG$12,1,AN78),0,1-INDEX('Lease Cycles'!$EM$12:$ES$12,1,AN78)),IF(OR(INDEX('Lease Cycles'!$DY$12:$EE$12,1,AN78)=1,AN79&gt;0),1,1-INDEX('Lease Cycles'!$DD$12:$DJ$12,1,AN78))*((1-'Lease Cycles'!$AJ$12)*INDEX('Lease Cycles'!$FO$12:$FU$12,1,AN78)+(1-'Lease Cycles'!$BE$12)*(1-INDEX('Lease Cycles'!$FO$12:$FU$12,1,AN78)))),0)</f>
        <v>0.03350083752093802</v>
      </c>
      <c r="AO86" s="24">
        <f>IF(AO80=1,'Lease Cycles'!$D$12*IF(INDEX('Lease Cycles'!$EF$12:$EL$12,1,AO78)=1,(1-'Lease Cycles'!$AJ$12)*INDEX('Lease Cycles'!$EM$12:$ES$12,1,AO78)+(1-'Lease Cycles'!$BE$12)*IF(AO79&lt;INDEX('Lease Cycles'!$FA$12:$FG$12,1,AO78),0,1-INDEX('Lease Cycles'!$EM$12:$ES$12,1,AO78)),IF(OR(INDEX('Lease Cycles'!$DY$12:$EE$12,1,AO78)=1,AO79&gt;0),1,1-INDEX('Lease Cycles'!$DD$12:$DJ$12,1,AO78))*((1-'Lease Cycles'!$AJ$12)*INDEX('Lease Cycles'!$FO$12:$FU$12,1,AO78)+(1-'Lease Cycles'!$BE$12)*(1-INDEX('Lease Cycles'!$FO$12:$FU$12,1,AO78)))),0)</f>
        <v>0</v>
      </c>
      <c r="AP86" s="24">
        <f>IF(AP80=1,'Lease Cycles'!$D$12*IF(INDEX('Lease Cycles'!$EF$12:$EL$12,1,AP78)=1,(1-'Lease Cycles'!$AJ$12)*INDEX('Lease Cycles'!$EM$12:$ES$12,1,AP78)+(1-'Lease Cycles'!$BE$12)*IF(AP79&lt;INDEX('Lease Cycles'!$FA$12:$FG$12,1,AP78),0,1-INDEX('Lease Cycles'!$EM$12:$ES$12,1,AP78)),IF(OR(INDEX('Lease Cycles'!$DY$12:$EE$12,1,AP78)=1,AP79&gt;0),1,1-INDEX('Lease Cycles'!$DD$12:$DJ$12,1,AP78))*((1-'Lease Cycles'!$AJ$12)*INDEX('Lease Cycles'!$FO$12:$FU$12,1,AP78)+(1-'Lease Cycles'!$BE$12)*(1-INDEX('Lease Cycles'!$FO$12:$FU$12,1,AP78)))),0)</f>
        <v>0.02680067001675044</v>
      </c>
      <c r="AQ86" s="24">
        <f>IF(AQ80=1,'Lease Cycles'!$D$12*IF(INDEX('Lease Cycles'!$EF$12:$EL$12,1,AQ78)=1,(1-'Lease Cycles'!$AJ$12)*INDEX('Lease Cycles'!$EM$12:$ES$12,1,AQ78)+(1-'Lease Cycles'!$BE$12)*IF(AQ79&lt;INDEX('Lease Cycles'!$FA$12:$FG$12,1,AQ78),0,1-INDEX('Lease Cycles'!$EM$12:$ES$12,1,AQ78)),IF(OR(INDEX('Lease Cycles'!$DY$12:$EE$12,1,AQ78)=1,AQ79&gt;0),1,1-INDEX('Lease Cycles'!$DD$12:$DJ$12,1,AQ78))*((1-'Lease Cycles'!$AJ$12)*INDEX('Lease Cycles'!$FO$12:$FU$12,1,AQ78)+(1-'Lease Cycles'!$BE$12)*(1-INDEX('Lease Cycles'!$FO$12:$FU$12,1,AQ78)))),0)</f>
        <v>0.03350083752093802</v>
      </c>
      <c r="AR86" s="24">
        <f>IF(AR80=1,'Lease Cycles'!$D$12*IF(INDEX('Lease Cycles'!$EF$12:$EL$12,1,AR78)=1,(1-'Lease Cycles'!$AJ$12)*INDEX('Lease Cycles'!$EM$12:$ES$12,1,AR78)+(1-'Lease Cycles'!$BE$12)*IF(AR79&lt;INDEX('Lease Cycles'!$FA$12:$FG$12,1,AR78),0,1-INDEX('Lease Cycles'!$EM$12:$ES$12,1,AR78)),IF(OR(INDEX('Lease Cycles'!$DY$12:$EE$12,1,AR78)=1,AR79&gt;0),1,1-INDEX('Lease Cycles'!$DD$12:$DJ$12,1,AR78))*((1-'Lease Cycles'!$AJ$12)*INDEX('Lease Cycles'!$FO$12:$FU$12,1,AR78)+(1-'Lease Cycles'!$BE$12)*(1-INDEX('Lease Cycles'!$FO$12:$FU$12,1,AR78)))),0)</f>
        <v>0.03350083752093802</v>
      </c>
      <c r="AS86" s="24">
        <f>IF(AS80=1,'Lease Cycles'!$D$12*IF(INDEX('Lease Cycles'!$EF$12:$EL$12,1,AS78)=1,(1-'Lease Cycles'!$AJ$12)*INDEX('Lease Cycles'!$EM$12:$ES$12,1,AS78)+(1-'Lease Cycles'!$BE$12)*IF(AS79&lt;INDEX('Lease Cycles'!$FA$12:$FG$12,1,AS78),0,1-INDEX('Lease Cycles'!$EM$12:$ES$12,1,AS78)),IF(OR(INDEX('Lease Cycles'!$DY$12:$EE$12,1,AS78)=1,AS79&gt;0),1,1-INDEX('Lease Cycles'!$DD$12:$DJ$12,1,AS78))*((1-'Lease Cycles'!$AJ$12)*INDEX('Lease Cycles'!$FO$12:$FU$12,1,AS78)+(1-'Lease Cycles'!$BE$12)*(1-INDEX('Lease Cycles'!$FO$12:$FU$12,1,AS78)))),0)</f>
        <v>0.03350083752093802</v>
      </c>
      <c r="AT86" s="24">
        <f>IF(AT80=1,'Lease Cycles'!$D$12*IF(INDEX('Lease Cycles'!$EF$12:$EL$12,1,AT78)=1,(1-'Lease Cycles'!$AJ$12)*INDEX('Lease Cycles'!$EM$12:$ES$12,1,AT78)+(1-'Lease Cycles'!$BE$12)*IF(AT79&lt;INDEX('Lease Cycles'!$FA$12:$FG$12,1,AT78),0,1-INDEX('Lease Cycles'!$EM$12:$ES$12,1,AT78)),IF(OR(INDEX('Lease Cycles'!$DY$12:$EE$12,1,AT78)=1,AT79&gt;0),1,1-INDEX('Lease Cycles'!$DD$12:$DJ$12,1,AT78))*((1-'Lease Cycles'!$AJ$12)*INDEX('Lease Cycles'!$FO$12:$FU$12,1,AT78)+(1-'Lease Cycles'!$BE$12)*(1-INDEX('Lease Cycles'!$FO$12:$FU$12,1,AT78)))),0)</f>
        <v>0.03350083752093802</v>
      </c>
      <c r="AU86" s="24">
        <f>IF(AU80=1,'Lease Cycles'!$D$12*IF(INDEX('Lease Cycles'!$EF$12:$EL$12,1,AU78)=1,(1-'Lease Cycles'!$AJ$12)*INDEX('Lease Cycles'!$EM$12:$ES$12,1,AU78)+(1-'Lease Cycles'!$BE$12)*IF(AU79&lt;INDEX('Lease Cycles'!$FA$12:$FG$12,1,AU78),0,1-INDEX('Lease Cycles'!$EM$12:$ES$12,1,AU78)),IF(OR(INDEX('Lease Cycles'!$DY$12:$EE$12,1,AU78)=1,AU79&gt;0),1,1-INDEX('Lease Cycles'!$DD$12:$DJ$12,1,AU78))*((1-'Lease Cycles'!$AJ$12)*INDEX('Lease Cycles'!$FO$12:$FU$12,1,AU78)+(1-'Lease Cycles'!$BE$12)*(1-INDEX('Lease Cycles'!$FO$12:$FU$12,1,AU78)))),0)</f>
        <v>0.03350083752093802</v>
      </c>
      <c r="AV86" s="24">
        <f>IF(AV80=1,'Lease Cycles'!$D$12*IF(INDEX('Lease Cycles'!$EF$12:$EL$12,1,AV78)=1,(1-'Lease Cycles'!$AJ$12)*INDEX('Lease Cycles'!$EM$12:$ES$12,1,AV78)+(1-'Lease Cycles'!$BE$12)*IF(AV79&lt;INDEX('Lease Cycles'!$FA$12:$FG$12,1,AV78),0,1-INDEX('Lease Cycles'!$EM$12:$ES$12,1,AV78)),IF(OR(INDEX('Lease Cycles'!$DY$12:$EE$12,1,AV78)=1,AV79&gt;0),1,1-INDEX('Lease Cycles'!$DD$12:$DJ$12,1,AV78))*((1-'Lease Cycles'!$AJ$12)*INDEX('Lease Cycles'!$FO$12:$FU$12,1,AV78)+(1-'Lease Cycles'!$BE$12)*(1-INDEX('Lease Cycles'!$FO$12:$FU$12,1,AV78)))),0)</f>
        <v>0.03350083752093802</v>
      </c>
      <c r="AW86" s="24">
        <f>IF(AW80=1,'Lease Cycles'!$D$12*IF(INDEX('Lease Cycles'!$EF$12:$EL$12,1,AW78)=1,(1-'Lease Cycles'!$AJ$12)*INDEX('Lease Cycles'!$EM$12:$ES$12,1,AW78)+(1-'Lease Cycles'!$BE$12)*IF(AW79&lt;INDEX('Lease Cycles'!$FA$12:$FG$12,1,AW78),0,1-INDEX('Lease Cycles'!$EM$12:$ES$12,1,AW78)),IF(OR(INDEX('Lease Cycles'!$DY$12:$EE$12,1,AW78)=1,AW79&gt;0),1,1-INDEX('Lease Cycles'!$DD$12:$DJ$12,1,AW78))*((1-'Lease Cycles'!$AJ$12)*INDEX('Lease Cycles'!$FO$12:$FU$12,1,AW78)+(1-'Lease Cycles'!$BE$12)*(1-INDEX('Lease Cycles'!$FO$12:$FU$12,1,AW78)))),0)</f>
        <v>0.03350083752093802</v>
      </c>
      <c r="AX86" s="24">
        <f>IF(AX80=1,'Lease Cycles'!$D$12*IF(INDEX('Lease Cycles'!$EF$12:$EL$12,1,AX78)=1,(1-'Lease Cycles'!$AJ$12)*INDEX('Lease Cycles'!$EM$12:$ES$12,1,AX78)+(1-'Lease Cycles'!$BE$12)*IF(AX79&lt;INDEX('Lease Cycles'!$FA$12:$FG$12,1,AX78),0,1-INDEX('Lease Cycles'!$EM$12:$ES$12,1,AX78)),IF(OR(INDEX('Lease Cycles'!$DY$12:$EE$12,1,AX78)=1,AX79&gt;0),1,1-INDEX('Lease Cycles'!$DD$12:$DJ$12,1,AX78))*((1-'Lease Cycles'!$AJ$12)*INDEX('Lease Cycles'!$FO$12:$FU$12,1,AX78)+(1-'Lease Cycles'!$BE$12)*(1-INDEX('Lease Cycles'!$FO$12:$FU$12,1,AX78)))),0)</f>
        <v>0.03350083752093802</v>
      </c>
      <c r="AY86" s="24">
        <f>IF(AY80=1,'Lease Cycles'!$D$12*IF(INDEX('Lease Cycles'!$EF$12:$EL$12,1,AY78)=1,(1-'Lease Cycles'!$AJ$12)*INDEX('Lease Cycles'!$EM$12:$ES$12,1,AY78)+(1-'Lease Cycles'!$BE$12)*IF(AY79&lt;INDEX('Lease Cycles'!$FA$12:$FG$12,1,AY78),0,1-INDEX('Lease Cycles'!$EM$12:$ES$12,1,AY78)),IF(OR(INDEX('Lease Cycles'!$DY$12:$EE$12,1,AY78)=1,AY79&gt;0),1,1-INDEX('Lease Cycles'!$DD$12:$DJ$12,1,AY78))*((1-'Lease Cycles'!$AJ$12)*INDEX('Lease Cycles'!$FO$12:$FU$12,1,AY78)+(1-'Lease Cycles'!$BE$12)*(1-INDEX('Lease Cycles'!$FO$12:$FU$12,1,AY78)))),0)</f>
        <v>0.03350083752093802</v>
      </c>
      <c r="AZ86" s="24">
        <f>IF(AZ80=1,'Lease Cycles'!$D$12*IF(INDEX('Lease Cycles'!$EF$12:$EL$12,1,AZ78)=1,(1-'Lease Cycles'!$AJ$12)*INDEX('Lease Cycles'!$EM$12:$ES$12,1,AZ78)+(1-'Lease Cycles'!$BE$12)*IF(AZ79&lt;INDEX('Lease Cycles'!$FA$12:$FG$12,1,AZ78),0,1-INDEX('Lease Cycles'!$EM$12:$ES$12,1,AZ78)),IF(OR(INDEX('Lease Cycles'!$DY$12:$EE$12,1,AZ78)=1,AZ79&gt;0),1,1-INDEX('Lease Cycles'!$DD$12:$DJ$12,1,AZ78))*((1-'Lease Cycles'!$AJ$12)*INDEX('Lease Cycles'!$FO$12:$FU$12,1,AZ78)+(1-'Lease Cycles'!$BE$12)*(1-INDEX('Lease Cycles'!$FO$12:$FU$12,1,AZ78)))),0)</f>
        <v>0.03350083752093802</v>
      </c>
      <c r="BA86" s="24">
        <f>IF(BA80=1,'Lease Cycles'!$D$12*IF(INDEX('Lease Cycles'!$EF$12:$EL$12,1,BA78)=1,(1-'Lease Cycles'!$AJ$12)*INDEX('Lease Cycles'!$EM$12:$ES$12,1,BA78)+(1-'Lease Cycles'!$BE$12)*IF(BA79&lt;INDEX('Lease Cycles'!$FA$12:$FG$12,1,BA78),0,1-INDEX('Lease Cycles'!$EM$12:$ES$12,1,BA78)),IF(OR(INDEX('Lease Cycles'!$DY$12:$EE$12,1,BA78)=1,BA79&gt;0),1,1-INDEX('Lease Cycles'!$DD$12:$DJ$12,1,BA78))*((1-'Lease Cycles'!$AJ$12)*INDEX('Lease Cycles'!$FO$12:$FU$12,1,BA78)+(1-'Lease Cycles'!$BE$12)*(1-INDEX('Lease Cycles'!$FO$12:$FU$12,1,BA78)))),0)</f>
        <v>0.03350083752093802</v>
      </c>
      <c r="BB86" s="24">
        <f>IF(BB80=1,'Lease Cycles'!$D$12*IF(INDEX('Lease Cycles'!$EF$12:$EL$12,1,BB78)=1,(1-'Lease Cycles'!$AJ$12)*INDEX('Lease Cycles'!$EM$12:$ES$12,1,BB78)+(1-'Lease Cycles'!$BE$12)*IF(BB79&lt;INDEX('Lease Cycles'!$FA$12:$FG$12,1,BB78),0,1-INDEX('Lease Cycles'!$EM$12:$ES$12,1,BB78)),IF(OR(INDEX('Lease Cycles'!$DY$12:$EE$12,1,BB78)=1,BB79&gt;0),1,1-INDEX('Lease Cycles'!$DD$12:$DJ$12,1,BB78))*((1-'Lease Cycles'!$AJ$12)*INDEX('Lease Cycles'!$FO$12:$FU$12,1,BB78)+(1-'Lease Cycles'!$BE$12)*(1-INDEX('Lease Cycles'!$FO$12:$FU$12,1,BB78)))),0)</f>
        <v>0.03350083752093802</v>
      </c>
      <c r="BC86" s="24">
        <f>IF(BC80=1,'Lease Cycles'!$D$12*IF(INDEX('Lease Cycles'!$EF$12:$EL$12,1,BC78)=1,(1-'Lease Cycles'!$AJ$12)*INDEX('Lease Cycles'!$EM$12:$ES$12,1,BC78)+(1-'Lease Cycles'!$BE$12)*IF(BC79&lt;INDEX('Lease Cycles'!$FA$12:$FG$12,1,BC78),0,1-INDEX('Lease Cycles'!$EM$12:$ES$12,1,BC78)),IF(OR(INDEX('Lease Cycles'!$DY$12:$EE$12,1,BC78)=1,BC79&gt;0),1,1-INDEX('Lease Cycles'!$DD$12:$DJ$12,1,BC78))*((1-'Lease Cycles'!$AJ$12)*INDEX('Lease Cycles'!$FO$12:$FU$12,1,BC78)+(1-'Lease Cycles'!$BE$12)*(1-INDEX('Lease Cycles'!$FO$12:$FU$12,1,BC78)))),0)</f>
        <v>0.03350083752093802</v>
      </c>
      <c r="BD86" s="24">
        <f>IF(BD80=1,'Lease Cycles'!$D$12*IF(INDEX('Lease Cycles'!$EF$12:$EL$12,1,BD78)=1,(1-'Lease Cycles'!$AJ$12)*INDEX('Lease Cycles'!$EM$12:$ES$12,1,BD78)+(1-'Lease Cycles'!$BE$12)*IF(BD79&lt;INDEX('Lease Cycles'!$FA$12:$FG$12,1,BD78),0,1-INDEX('Lease Cycles'!$EM$12:$ES$12,1,BD78)),IF(OR(INDEX('Lease Cycles'!$DY$12:$EE$12,1,BD78)=1,BD79&gt;0),1,1-INDEX('Lease Cycles'!$DD$12:$DJ$12,1,BD78))*((1-'Lease Cycles'!$AJ$12)*INDEX('Lease Cycles'!$FO$12:$FU$12,1,BD78)+(1-'Lease Cycles'!$BE$12)*(1-INDEX('Lease Cycles'!$FO$12:$FU$12,1,BD78)))),0)</f>
        <v>0.03350083752093802</v>
      </c>
      <c r="BE86" s="24">
        <f>IF(BE80=1,'Lease Cycles'!$D$12*IF(INDEX('Lease Cycles'!$EF$12:$EL$12,1,BE78)=1,(1-'Lease Cycles'!$AJ$12)*INDEX('Lease Cycles'!$EM$12:$ES$12,1,BE78)+(1-'Lease Cycles'!$BE$12)*IF(BE79&lt;INDEX('Lease Cycles'!$FA$12:$FG$12,1,BE78),0,1-INDEX('Lease Cycles'!$EM$12:$ES$12,1,BE78)),IF(OR(INDEX('Lease Cycles'!$DY$12:$EE$12,1,BE78)=1,BE79&gt;0),1,1-INDEX('Lease Cycles'!$DD$12:$DJ$12,1,BE78))*((1-'Lease Cycles'!$AJ$12)*INDEX('Lease Cycles'!$FO$12:$FU$12,1,BE78)+(1-'Lease Cycles'!$BE$12)*(1-INDEX('Lease Cycles'!$FO$12:$FU$12,1,BE78)))),0)</f>
        <v>0.03350083752093802</v>
      </c>
      <c r="BF86" s="24">
        <f>IF(BF80=1,'Lease Cycles'!$D$12*IF(INDEX('Lease Cycles'!$EF$12:$EL$12,1,BF78)=1,(1-'Lease Cycles'!$AJ$12)*INDEX('Lease Cycles'!$EM$12:$ES$12,1,BF78)+(1-'Lease Cycles'!$BE$12)*IF(BF79&lt;INDEX('Lease Cycles'!$FA$12:$FG$12,1,BF78),0,1-INDEX('Lease Cycles'!$EM$12:$ES$12,1,BF78)),IF(OR(INDEX('Lease Cycles'!$DY$12:$EE$12,1,BF78)=1,BF79&gt;0),1,1-INDEX('Lease Cycles'!$DD$12:$DJ$12,1,BF78))*((1-'Lease Cycles'!$AJ$12)*INDEX('Lease Cycles'!$FO$12:$FU$12,1,BF78)+(1-'Lease Cycles'!$BE$12)*(1-INDEX('Lease Cycles'!$FO$12:$FU$12,1,BF78)))),0)</f>
        <v>0.03350083752093802</v>
      </c>
      <c r="BG86" s="24">
        <f>IF(BG80=1,'Lease Cycles'!$D$12*IF(INDEX('Lease Cycles'!$EF$12:$EL$12,1,BG78)=1,(1-'Lease Cycles'!$AJ$12)*INDEX('Lease Cycles'!$EM$12:$ES$12,1,BG78)+(1-'Lease Cycles'!$BE$12)*IF(BG79&lt;INDEX('Lease Cycles'!$FA$12:$FG$12,1,BG78),0,1-INDEX('Lease Cycles'!$EM$12:$ES$12,1,BG78)),IF(OR(INDEX('Lease Cycles'!$DY$12:$EE$12,1,BG78)=1,BG79&gt;0),1,1-INDEX('Lease Cycles'!$DD$12:$DJ$12,1,BG78))*((1-'Lease Cycles'!$AJ$12)*INDEX('Lease Cycles'!$FO$12:$FU$12,1,BG78)+(1-'Lease Cycles'!$BE$12)*(1-INDEX('Lease Cycles'!$FO$12:$FU$12,1,BG78)))),0)</f>
        <v>0.03350083752093802</v>
      </c>
      <c r="BH86" s="24">
        <f>IF(BH80=1,'Lease Cycles'!$D$12*IF(INDEX('Lease Cycles'!$EF$12:$EL$12,1,BH78)=1,(1-'Lease Cycles'!$AJ$12)*INDEX('Lease Cycles'!$EM$12:$ES$12,1,BH78)+(1-'Lease Cycles'!$BE$12)*IF(BH79&lt;INDEX('Lease Cycles'!$FA$12:$FG$12,1,BH78),0,1-INDEX('Lease Cycles'!$EM$12:$ES$12,1,BH78)),IF(OR(INDEX('Lease Cycles'!$DY$12:$EE$12,1,BH78)=1,BH79&gt;0),1,1-INDEX('Lease Cycles'!$DD$12:$DJ$12,1,BH78))*((1-'Lease Cycles'!$AJ$12)*INDEX('Lease Cycles'!$FO$12:$FU$12,1,BH78)+(1-'Lease Cycles'!$BE$12)*(1-INDEX('Lease Cycles'!$FO$12:$FU$12,1,BH78)))),0)</f>
        <v>0.03350083752093802</v>
      </c>
      <c r="BI86" s="24">
        <f>IF(BI80=1,'Lease Cycles'!$D$12*IF(INDEX('Lease Cycles'!$EF$12:$EL$12,1,BI78)=1,(1-'Lease Cycles'!$AJ$12)*INDEX('Lease Cycles'!$EM$12:$ES$12,1,BI78)+(1-'Lease Cycles'!$BE$12)*IF(BI79&lt;INDEX('Lease Cycles'!$FA$12:$FG$12,1,BI78),0,1-INDEX('Lease Cycles'!$EM$12:$ES$12,1,BI78)),IF(OR(INDEX('Lease Cycles'!$DY$12:$EE$12,1,BI78)=1,BI79&gt;0),1,1-INDEX('Lease Cycles'!$DD$12:$DJ$12,1,BI78))*((1-'Lease Cycles'!$AJ$12)*INDEX('Lease Cycles'!$FO$12:$FU$12,1,BI78)+(1-'Lease Cycles'!$BE$12)*(1-INDEX('Lease Cycles'!$FO$12:$FU$12,1,BI78)))),0)</f>
        <v>0.03350083752093802</v>
      </c>
      <c r="BJ86" s="24">
        <f>IF(BJ80=1,'Lease Cycles'!$D$12*IF(INDEX('Lease Cycles'!$EF$12:$EL$12,1,BJ78)=1,(1-'Lease Cycles'!$AJ$12)*INDEX('Lease Cycles'!$EM$12:$ES$12,1,BJ78)+(1-'Lease Cycles'!$BE$12)*IF(BJ79&lt;INDEX('Lease Cycles'!$FA$12:$FG$12,1,BJ78),0,1-INDEX('Lease Cycles'!$EM$12:$ES$12,1,BJ78)),IF(OR(INDEX('Lease Cycles'!$DY$12:$EE$12,1,BJ78)=1,BJ79&gt;0),1,1-INDEX('Lease Cycles'!$DD$12:$DJ$12,1,BJ78))*((1-'Lease Cycles'!$AJ$12)*INDEX('Lease Cycles'!$FO$12:$FU$12,1,BJ78)+(1-'Lease Cycles'!$BE$12)*(1-INDEX('Lease Cycles'!$FO$12:$FU$12,1,BJ78)))),0)</f>
        <v>0.03350083752093802</v>
      </c>
      <c r="BK86" s="24">
        <f>IF(BK80=1,'Lease Cycles'!$D$12*IF(INDEX('Lease Cycles'!$EF$12:$EL$12,1,BK78)=1,(1-'Lease Cycles'!$AJ$12)*INDEX('Lease Cycles'!$EM$12:$ES$12,1,BK78)+(1-'Lease Cycles'!$BE$12)*IF(BK79&lt;INDEX('Lease Cycles'!$FA$12:$FG$12,1,BK78),0,1-INDEX('Lease Cycles'!$EM$12:$ES$12,1,BK78)),IF(OR(INDEX('Lease Cycles'!$DY$12:$EE$12,1,BK78)=1,BK79&gt;0),1,1-INDEX('Lease Cycles'!$DD$12:$DJ$12,1,BK78))*((1-'Lease Cycles'!$AJ$12)*INDEX('Lease Cycles'!$FO$12:$FU$12,1,BK78)+(1-'Lease Cycles'!$BE$12)*(1-INDEX('Lease Cycles'!$FO$12:$FU$12,1,BK78)))),0)</f>
        <v>0.03350083752093802</v>
      </c>
      <c r="BL86" s="24">
        <f>IF(BL80=1,'Lease Cycles'!$D$12*IF(INDEX('Lease Cycles'!$EF$12:$EL$12,1,BL78)=1,(1-'Lease Cycles'!$AJ$12)*INDEX('Lease Cycles'!$EM$12:$ES$12,1,BL78)+(1-'Lease Cycles'!$BE$12)*IF(BL79&lt;INDEX('Lease Cycles'!$FA$12:$FG$12,1,BL78),0,1-INDEX('Lease Cycles'!$EM$12:$ES$12,1,BL78)),IF(OR(INDEX('Lease Cycles'!$DY$12:$EE$12,1,BL78)=1,BL79&gt;0),1,1-INDEX('Lease Cycles'!$DD$12:$DJ$12,1,BL78))*((1-'Lease Cycles'!$AJ$12)*INDEX('Lease Cycles'!$FO$12:$FU$12,1,BL78)+(1-'Lease Cycles'!$BE$12)*(1-INDEX('Lease Cycles'!$FO$12:$FU$12,1,BL78)))),0)</f>
        <v>0.03350083752093802</v>
      </c>
      <c r="BM86" s="24">
        <f>IF(BM80=1,'Lease Cycles'!$D$12*IF(INDEX('Lease Cycles'!$EF$12:$EL$12,1,BM78)=1,(1-'Lease Cycles'!$AJ$12)*INDEX('Lease Cycles'!$EM$12:$ES$12,1,BM78)+(1-'Lease Cycles'!$BE$12)*IF(BM79&lt;INDEX('Lease Cycles'!$FA$12:$FG$12,1,BM78),0,1-INDEX('Lease Cycles'!$EM$12:$ES$12,1,BM78)),IF(OR(INDEX('Lease Cycles'!$DY$12:$EE$12,1,BM78)=1,BM79&gt;0),1,1-INDEX('Lease Cycles'!$DD$12:$DJ$12,1,BM78))*((1-'Lease Cycles'!$AJ$12)*INDEX('Lease Cycles'!$FO$12:$FU$12,1,BM78)+(1-'Lease Cycles'!$BE$12)*(1-INDEX('Lease Cycles'!$FO$12:$FU$12,1,BM78)))),0)</f>
        <v>0.03350083752093802</v>
      </c>
      <c r="BN86" s="24">
        <f>IF(BN80=1,'Lease Cycles'!$D$12*IF(INDEX('Lease Cycles'!$EF$12:$EL$12,1,BN78)=1,(1-'Lease Cycles'!$AJ$12)*INDEX('Lease Cycles'!$EM$12:$ES$12,1,BN78)+(1-'Lease Cycles'!$BE$12)*IF(BN79&lt;INDEX('Lease Cycles'!$FA$12:$FG$12,1,BN78),0,1-INDEX('Lease Cycles'!$EM$12:$ES$12,1,BN78)),IF(OR(INDEX('Lease Cycles'!$DY$12:$EE$12,1,BN78)=1,BN79&gt;0),1,1-INDEX('Lease Cycles'!$DD$12:$DJ$12,1,BN78))*((1-'Lease Cycles'!$AJ$12)*INDEX('Lease Cycles'!$FO$12:$FU$12,1,BN78)+(1-'Lease Cycles'!$BE$12)*(1-INDEX('Lease Cycles'!$FO$12:$FU$12,1,BN78)))),0)</f>
        <v>0.03350083752093802</v>
      </c>
      <c r="BO86" s="24">
        <f>IF(BO80=1,'Lease Cycles'!$D$12*IF(INDEX('Lease Cycles'!$EF$12:$EL$12,1,BO78)=1,(1-'Lease Cycles'!$AJ$12)*INDEX('Lease Cycles'!$EM$12:$ES$12,1,BO78)+(1-'Lease Cycles'!$BE$12)*IF(BO79&lt;INDEX('Lease Cycles'!$FA$12:$FG$12,1,BO78),0,1-INDEX('Lease Cycles'!$EM$12:$ES$12,1,BO78)),IF(OR(INDEX('Lease Cycles'!$DY$12:$EE$12,1,BO78)=1,BO79&gt;0),1,1-INDEX('Lease Cycles'!$DD$12:$DJ$12,1,BO78))*((1-'Lease Cycles'!$AJ$12)*INDEX('Lease Cycles'!$FO$12:$FU$12,1,BO78)+(1-'Lease Cycles'!$BE$12)*(1-INDEX('Lease Cycles'!$FO$12:$FU$12,1,BO78)))),0)</f>
        <v>0.03350083752093802</v>
      </c>
      <c r="BP86" s="24">
        <f>IF(BP80=1,'Lease Cycles'!$D$12*IF(INDEX('Lease Cycles'!$EF$12:$EL$12,1,BP78)=1,(1-'Lease Cycles'!$AJ$12)*INDEX('Lease Cycles'!$EM$12:$ES$12,1,BP78)+(1-'Lease Cycles'!$BE$12)*IF(BP79&lt;INDEX('Lease Cycles'!$FA$12:$FG$12,1,BP78),0,1-INDEX('Lease Cycles'!$EM$12:$ES$12,1,BP78)),IF(OR(INDEX('Lease Cycles'!$DY$12:$EE$12,1,BP78)=1,BP79&gt;0),1,1-INDEX('Lease Cycles'!$DD$12:$DJ$12,1,BP78))*((1-'Lease Cycles'!$AJ$12)*INDEX('Lease Cycles'!$FO$12:$FU$12,1,BP78)+(1-'Lease Cycles'!$BE$12)*(1-INDEX('Lease Cycles'!$FO$12:$FU$12,1,BP78)))),0)</f>
        <v>0.03350083752093802</v>
      </c>
      <c r="BQ86" s="24">
        <f>IF(BQ80=1,'Lease Cycles'!$D$12*IF(INDEX('Lease Cycles'!$EF$12:$EL$12,1,BQ78)=1,(1-'Lease Cycles'!$AJ$12)*INDEX('Lease Cycles'!$EM$12:$ES$12,1,BQ78)+(1-'Lease Cycles'!$BE$12)*IF(BQ79&lt;INDEX('Lease Cycles'!$FA$12:$FG$12,1,BQ78),0,1-INDEX('Lease Cycles'!$EM$12:$ES$12,1,BQ78)),IF(OR(INDEX('Lease Cycles'!$DY$12:$EE$12,1,BQ78)=1,BQ79&gt;0),1,1-INDEX('Lease Cycles'!$DD$12:$DJ$12,1,BQ78))*((1-'Lease Cycles'!$AJ$12)*INDEX('Lease Cycles'!$FO$12:$FU$12,1,BQ78)+(1-'Lease Cycles'!$BE$12)*(1-INDEX('Lease Cycles'!$FO$12:$FU$12,1,BQ78)))),0)</f>
        <v>0.03350083752093802</v>
      </c>
      <c r="BR86" s="24">
        <f>IF(BR80=1,'Lease Cycles'!$D$12*IF(INDEX('Lease Cycles'!$EF$12:$EL$12,1,BR78)=1,(1-'Lease Cycles'!$AJ$12)*INDEX('Lease Cycles'!$EM$12:$ES$12,1,BR78)+(1-'Lease Cycles'!$BE$12)*IF(BR79&lt;INDEX('Lease Cycles'!$FA$12:$FG$12,1,BR78),0,1-INDEX('Lease Cycles'!$EM$12:$ES$12,1,BR78)),IF(OR(INDEX('Lease Cycles'!$DY$12:$EE$12,1,BR78)=1,BR79&gt;0),1,1-INDEX('Lease Cycles'!$DD$12:$DJ$12,1,BR78))*((1-'Lease Cycles'!$AJ$12)*INDEX('Lease Cycles'!$FO$12:$FU$12,1,BR78)+(1-'Lease Cycles'!$BE$12)*(1-INDEX('Lease Cycles'!$FO$12:$FU$12,1,BR78)))),0)</f>
        <v>0.03350083752093802</v>
      </c>
      <c r="BS86" s="24">
        <f>IF(BS80=1,'Lease Cycles'!$D$12*IF(INDEX('Lease Cycles'!$EF$12:$EL$12,1,BS78)=1,(1-'Lease Cycles'!$AJ$12)*INDEX('Lease Cycles'!$EM$12:$ES$12,1,BS78)+(1-'Lease Cycles'!$BE$12)*IF(BS79&lt;INDEX('Lease Cycles'!$FA$12:$FG$12,1,BS78),0,1-INDEX('Lease Cycles'!$EM$12:$ES$12,1,BS78)),IF(OR(INDEX('Lease Cycles'!$DY$12:$EE$12,1,BS78)=1,BS79&gt;0),1,1-INDEX('Lease Cycles'!$DD$12:$DJ$12,1,BS78))*((1-'Lease Cycles'!$AJ$12)*INDEX('Lease Cycles'!$FO$12:$FU$12,1,BS78)+(1-'Lease Cycles'!$BE$12)*(1-INDEX('Lease Cycles'!$FO$12:$FU$12,1,BS78)))),0)</f>
        <v>0.03350083752093802</v>
      </c>
      <c r="BT86" s="24">
        <f>IF(BT80=1,'Lease Cycles'!$D$12*IF(INDEX('Lease Cycles'!$EF$12:$EL$12,1,BT78)=1,(1-'Lease Cycles'!$AJ$12)*INDEX('Lease Cycles'!$EM$12:$ES$12,1,BT78)+(1-'Lease Cycles'!$BE$12)*IF(BT79&lt;INDEX('Lease Cycles'!$FA$12:$FG$12,1,BT78),0,1-INDEX('Lease Cycles'!$EM$12:$ES$12,1,BT78)),IF(OR(INDEX('Lease Cycles'!$DY$12:$EE$12,1,BT78)=1,BT79&gt;0),1,1-INDEX('Lease Cycles'!$DD$12:$DJ$12,1,BT78))*((1-'Lease Cycles'!$AJ$12)*INDEX('Lease Cycles'!$FO$12:$FU$12,1,BT78)+(1-'Lease Cycles'!$BE$12)*(1-INDEX('Lease Cycles'!$FO$12:$FU$12,1,BT78)))),0)</f>
        <v>0.03350083752093802</v>
      </c>
      <c r="BU86" s="24">
        <f>IF(BU80=1,'Lease Cycles'!$D$12*IF(INDEX('Lease Cycles'!$EF$12:$EL$12,1,BU78)=1,(1-'Lease Cycles'!$AJ$12)*INDEX('Lease Cycles'!$EM$12:$ES$12,1,BU78)+(1-'Lease Cycles'!$BE$12)*IF(BU79&lt;INDEX('Lease Cycles'!$FA$12:$FG$12,1,BU78),0,1-INDEX('Lease Cycles'!$EM$12:$ES$12,1,BU78)),IF(OR(INDEX('Lease Cycles'!$DY$12:$EE$12,1,BU78)=1,BU79&gt;0),1,1-INDEX('Lease Cycles'!$DD$12:$DJ$12,1,BU78))*((1-'Lease Cycles'!$AJ$12)*INDEX('Lease Cycles'!$FO$12:$FU$12,1,BU78)+(1-'Lease Cycles'!$BE$12)*(1-INDEX('Lease Cycles'!$FO$12:$FU$12,1,BU78)))),0)</f>
        <v>0.03350083752093802</v>
      </c>
      <c r="BV86" s="24">
        <f>IF(BV80=1,'Lease Cycles'!$D$12*IF(INDEX('Lease Cycles'!$EF$12:$EL$12,1,BV78)=1,(1-'Lease Cycles'!$AJ$12)*INDEX('Lease Cycles'!$EM$12:$ES$12,1,BV78)+(1-'Lease Cycles'!$BE$12)*IF(BV79&lt;INDEX('Lease Cycles'!$FA$12:$FG$12,1,BV78),0,1-INDEX('Lease Cycles'!$EM$12:$ES$12,1,BV78)),IF(OR(INDEX('Lease Cycles'!$DY$12:$EE$12,1,BV78)=1,BV79&gt;0),1,1-INDEX('Lease Cycles'!$DD$12:$DJ$12,1,BV78))*((1-'Lease Cycles'!$AJ$12)*INDEX('Lease Cycles'!$FO$12:$FU$12,1,BV78)+(1-'Lease Cycles'!$BE$12)*(1-INDEX('Lease Cycles'!$FO$12:$FU$12,1,BV78)))),0)</f>
        <v>0.03350083752093802</v>
      </c>
      <c r="BW86" s="24">
        <f>IF(BW80=1,'Lease Cycles'!$D$12*IF(INDEX('Lease Cycles'!$EF$12:$EL$12,1,BW78)=1,(1-'Lease Cycles'!$AJ$12)*INDEX('Lease Cycles'!$EM$12:$ES$12,1,BW78)+(1-'Lease Cycles'!$BE$12)*IF(BW79&lt;INDEX('Lease Cycles'!$FA$12:$FG$12,1,BW78),0,1-INDEX('Lease Cycles'!$EM$12:$ES$12,1,BW78)),IF(OR(INDEX('Lease Cycles'!$DY$12:$EE$12,1,BW78)=1,BW79&gt;0),1,1-INDEX('Lease Cycles'!$DD$12:$DJ$12,1,BW78))*((1-'Lease Cycles'!$AJ$12)*INDEX('Lease Cycles'!$FO$12:$FU$12,1,BW78)+(1-'Lease Cycles'!$BE$12)*(1-INDEX('Lease Cycles'!$FO$12:$FU$12,1,BW78)))),0)</f>
        <v>0.03350083752093802</v>
      </c>
      <c r="BX86" s="24">
        <f>IF(BX80=1,'Lease Cycles'!$D$12*IF(INDEX('Lease Cycles'!$EF$12:$EL$12,1,BX78)=1,(1-'Lease Cycles'!$AJ$12)*INDEX('Lease Cycles'!$EM$12:$ES$12,1,BX78)+(1-'Lease Cycles'!$BE$12)*IF(BX79&lt;INDEX('Lease Cycles'!$FA$12:$FG$12,1,BX78),0,1-INDEX('Lease Cycles'!$EM$12:$ES$12,1,BX78)),IF(OR(INDEX('Lease Cycles'!$DY$12:$EE$12,1,BX78)=1,BX79&gt;0),1,1-INDEX('Lease Cycles'!$DD$12:$DJ$12,1,BX78))*((1-'Lease Cycles'!$AJ$12)*INDEX('Lease Cycles'!$FO$12:$FU$12,1,BX78)+(1-'Lease Cycles'!$BE$12)*(1-INDEX('Lease Cycles'!$FO$12:$FU$12,1,BX78)))),0)</f>
        <v>0.03350083752093802</v>
      </c>
      <c r="BY86" s="24">
        <f>IF(BY80=1,'Lease Cycles'!$D$12*IF(INDEX('Lease Cycles'!$EF$12:$EL$12,1,BY78)=1,(1-'Lease Cycles'!$AJ$12)*INDEX('Lease Cycles'!$EM$12:$ES$12,1,BY78)+(1-'Lease Cycles'!$BE$12)*IF(BY79&lt;INDEX('Lease Cycles'!$FA$12:$FG$12,1,BY78),0,1-INDEX('Lease Cycles'!$EM$12:$ES$12,1,BY78)),IF(OR(INDEX('Lease Cycles'!$DY$12:$EE$12,1,BY78)=1,BY79&gt;0),1,1-INDEX('Lease Cycles'!$DD$12:$DJ$12,1,BY78))*((1-'Lease Cycles'!$AJ$12)*INDEX('Lease Cycles'!$FO$12:$FU$12,1,BY78)+(1-'Lease Cycles'!$BE$12)*(1-INDEX('Lease Cycles'!$FO$12:$FU$12,1,BY78)))),0)</f>
        <v>0.03350083752093802</v>
      </c>
      <c r="BZ86" s="24">
        <f>IF(BZ80=1,'Lease Cycles'!$D$12*IF(INDEX('Lease Cycles'!$EF$12:$EL$12,1,BZ78)=1,(1-'Lease Cycles'!$AJ$12)*INDEX('Lease Cycles'!$EM$12:$ES$12,1,BZ78)+(1-'Lease Cycles'!$BE$12)*IF(BZ79&lt;INDEX('Lease Cycles'!$FA$12:$FG$12,1,BZ78),0,1-INDEX('Lease Cycles'!$EM$12:$ES$12,1,BZ78)),IF(OR(INDEX('Lease Cycles'!$DY$12:$EE$12,1,BZ78)=1,BZ79&gt;0),1,1-INDEX('Lease Cycles'!$DD$12:$DJ$12,1,BZ78))*((1-'Lease Cycles'!$AJ$12)*INDEX('Lease Cycles'!$FO$12:$FU$12,1,BZ78)+(1-'Lease Cycles'!$BE$12)*(1-INDEX('Lease Cycles'!$FO$12:$FU$12,1,BZ78)))),0)</f>
        <v>0.03350083752093802</v>
      </c>
      <c r="CA86" s="24">
        <f>IF(CA80=1,'Lease Cycles'!$D$12*IF(INDEX('Lease Cycles'!$EF$12:$EL$12,1,CA78)=1,(1-'Lease Cycles'!$AJ$12)*INDEX('Lease Cycles'!$EM$12:$ES$12,1,CA78)+(1-'Lease Cycles'!$BE$12)*IF(CA79&lt;INDEX('Lease Cycles'!$FA$12:$FG$12,1,CA78),0,1-INDEX('Lease Cycles'!$EM$12:$ES$12,1,CA78)),IF(OR(INDEX('Lease Cycles'!$DY$12:$EE$12,1,CA78)=1,CA79&gt;0),1,1-INDEX('Lease Cycles'!$DD$12:$DJ$12,1,CA78))*((1-'Lease Cycles'!$AJ$12)*INDEX('Lease Cycles'!$FO$12:$FU$12,1,CA78)+(1-'Lease Cycles'!$BE$12)*(1-INDEX('Lease Cycles'!$FO$12:$FU$12,1,CA78)))),0)</f>
        <v>0.03350083752093802</v>
      </c>
      <c r="CB86" s="24">
        <f>IF(CB80=1,'Lease Cycles'!$D$12*IF(INDEX('Lease Cycles'!$EF$12:$EL$12,1,CB78)=1,(1-'Lease Cycles'!$AJ$12)*INDEX('Lease Cycles'!$EM$12:$ES$12,1,CB78)+(1-'Lease Cycles'!$BE$12)*IF(CB79&lt;INDEX('Lease Cycles'!$FA$12:$FG$12,1,CB78),0,1-INDEX('Lease Cycles'!$EM$12:$ES$12,1,CB78)),IF(OR(INDEX('Lease Cycles'!$DY$12:$EE$12,1,CB78)=1,CB79&gt;0),1,1-INDEX('Lease Cycles'!$DD$12:$DJ$12,1,CB78))*((1-'Lease Cycles'!$AJ$12)*INDEX('Lease Cycles'!$FO$12:$FU$12,1,CB78)+(1-'Lease Cycles'!$BE$12)*(1-INDEX('Lease Cycles'!$FO$12:$FU$12,1,CB78)))),0)</f>
        <v>0.03350083752093802</v>
      </c>
      <c r="CC86" s="24">
        <f>IF(CC80=1,'Lease Cycles'!$D$12*IF(INDEX('Lease Cycles'!$EF$12:$EL$12,1,CC78)=1,(1-'Lease Cycles'!$AJ$12)*INDEX('Lease Cycles'!$EM$12:$ES$12,1,CC78)+(1-'Lease Cycles'!$BE$12)*IF(CC79&lt;INDEX('Lease Cycles'!$FA$12:$FG$12,1,CC78),0,1-INDEX('Lease Cycles'!$EM$12:$ES$12,1,CC78)),IF(OR(INDEX('Lease Cycles'!$DY$12:$EE$12,1,CC78)=1,CC79&gt;0),1,1-INDEX('Lease Cycles'!$DD$12:$DJ$12,1,CC78))*((1-'Lease Cycles'!$AJ$12)*INDEX('Lease Cycles'!$FO$12:$FU$12,1,CC78)+(1-'Lease Cycles'!$BE$12)*(1-INDEX('Lease Cycles'!$FO$12:$FU$12,1,CC78)))),0)</f>
        <v>0.03350083752093802</v>
      </c>
      <c r="CD86" s="24">
        <f>IF(CD80=1,'Lease Cycles'!$D$12*IF(INDEX('Lease Cycles'!$EF$12:$EL$12,1,CD78)=1,(1-'Lease Cycles'!$AJ$12)*INDEX('Lease Cycles'!$EM$12:$ES$12,1,CD78)+(1-'Lease Cycles'!$BE$12)*IF(CD79&lt;INDEX('Lease Cycles'!$FA$12:$FG$12,1,CD78),0,1-INDEX('Lease Cycles'!$EM$12:$ES$12,1,CD78)),IF(OR(INDEX('Lease Cycles'!$DY$12:$EE$12,1,CD78)=1,CD79&gt;0),1,1-INDEX('Lease Cycles'!$DD$12:$DJ$12,1,CD78))*((1-'Lease Cycles'!$AJ$12)*INDEX('Lease Cycles'!$FO$12:$FU$12,1,CD78)+(1-'Lease Cycles'!$BE$12)*(1-INDEX('Lease Cycles'!$FO$12:$FU$12,1,CD78)))),0)</f>
        <v>0.03350083752093802</v>
      </c>
      <c r="CE86" s="24">
        <f>IF(CE80=1,'Lease Cycles'!$D$12*IF(INDEX('Lease Cycles'!$EF$12:$EL$12,1,CE78)=1,(1-'Lease Cycles'!$AJ$12)*INDEX('Lease Cycles'!$EM$12:$ES$12,1,CE78)+(1-'Lease Cycles'!$BE$12)*IF(CE79&lt;INDEX('Lease Cycles'!$FA$12:$FG$12,1,CE78),0,1-INDEX('Lease Cycles'!$EM$12:$ES$12,1,CE78)),IF(OR(INDEX('Lease Cycles'!$DY$12:$EE$12,1,CE78)=1,CE79&gt;0),1,1-INDEX('Lease Cycles'!$DD$12:$DJ$12,1,CE78))*((1-'Lease Cycles'!$AJ$12)*INDEX('Lease Cycles'!$FO$12:$FU$12,1,CE78)+(1-'Lease Cycles'!$BE$12)*(1-INDEX('Lease Cycles'!$FO$12:$FU$12,1,CE78)))),0)</f>
        <v>0.03350083752093802</v>
      </c>
      <c r="CF86" s="24">
        <f>IF(CF80=1,'Lease Cycles'!$D$12*IF(INDEX('Lease Cycles'!$EF$12:$EL$12,1,CF78)=1,(1-'Lease Cycles'!$AJ$12)*INDEX('Lease Cycles'!$EM$12:$ES$12,1,CF78)+(1-'Lease Cycles'!$BE$12)*IF(CF79&lt;INDEX('Lease Cycles'!$FA$12:$FG$12,1,CF78),0,1-INDEX('Lease Cycles'!$EM$12:$ES$12,1,CF78)),IF(OR(INDEX('Lease Cycles'!$DY$12:$EE$12,1,CF78)=1,CF79&gt;0),1,1-INDEX('Lease Cycles'!$DD$12:$DJ$12,1,CF78))*((1-'Lease Cycles'!$AJ$12)*INDEX('Lease Cycles'!$FO$12:$FU$12,1,CF78)+(1-'Lease Cycles'!$BE$12)*(1-INDEX('Lease Cycles'!$FO$12:$FU$12,1,CF78)))),0)</f>
        <v>0.03350083752093802</v>
      </c>
      <c r="CG86" s="24">
        <f>IF(CG80=1,'Lease Cycles'!$D$12*IF(INDEX('Lease Cycles'!$EF$12:$EL$12,1,CG78)=1,(1-'Lease Cycles'!$AJ$12)*INDEX('Lease Cycles'!$EM$12:$ES$12,1,CG78)+(1-'Lease Cycles'!$BE$12)*IF(CG79&lt;INDEX('Lease Cycles'!$FA$12:$FG$12,1,CG78),0,1-INDEX('Lease Cycles'!$EM$12:$ES$12,1,CG78)),IF(OR(INDEX('Lease Cycles'!$DY$12:$EE$12,1,CG78)=1,CG79&gt;0),1,1-INDEX('Lease Cycles'!$DD$12:$DJ$12,1,CG78))*((1-'Lease Cycles'!$AJ$12)*INDEX('Lease Cycles'!$FO$12:$FU$12,1,CG78)+(1-'Lease Cycles'!$BE$12)*(1-INDEX('Lease Cycles'!$FO$12:$FU$12,1,CG78)))),0)</f>
        <v>0.03350083752093802</v>
      </c>
      <c r="CH86" s="24">
        <f>IF(CH80=1,'Lease Cycles'!$D$12*IF(INDEX('Lease Cycles'!$EF$12:$EL$12,1,CH78)=1,(1-'Lease Cycles'!$AJ$12)*INDEX('Lease Cycles'!$EM$12:$ES$12,1,CH78)+(1-'Lease Cycles'!$BE$12)*IF(CH79&lt;INDEX('Lease Cycles'!$FA$12:$FG$12,1,CH78),0,1-INDEX('Lease Cycles'!$EM$12:$ES$12,1,CH78)),IF(OR(INDEX('Lease Cycles'!$DY$12:$EE$12,1,CH78)=1,CH79&gt;0),1,1-INDEX('Lease Cycles'!$DD$12:$DJ$12,1,CH78))*((1-'Lease Cycles'!$AJ$12)*INDEX('Lease Cycles'!$FO$12:$FU$12,1,CH78)+(1-'Lease Cycles'!$BE$12)*(1-INDEX('Lease Cycles'!$FO$12:$FU$12,1,CH78)))),0)</f>
        <v>0.03350083752093802</v>
      </c>
      <c r="CI86" s="24">
        <f>IF(CI80=1,'Lease Cycles'!$D$12*IF(INDEX('Lease Cycles'!$EF$12:$EL$12,1,CI78)=1,(1-'Lease Cycles'!$AJ$12)*INDEX('Lease Cycles'!$EM$12:$ES$12,1,CI78)+(1-'Lease Cycles'!$BE$12)*IF(CI79&lt;INDEX('Lease Cycles'!$FA$12:$FG$12,1,CI78),0,1-INDEX('Lease Cycles'!$EM$12:$ES$12,1,CI78)),IF(OR(INDEX('Lease Cycles'!$DY$12:$EE$12,1,CI78)=1,CI79&gt;0),1,1-INDEX('Lease Cycles'!$DD$12:$DJ$12,1,CI78))*((1-'Lease Cycles'!$AJ$12)*INDEX('Lease Cycles'!$FO$12:$FU$12,1,CI78)+(1-'Lease Cycles'!$BE$12)*(1-INDEX('Lease Cycles'!$FO$12:$FU$12,1,CI78)))),0)</f>
        <v>0.03350083752093802</v>
      </c>
      <c r="CJ86" s="24">
        <f>IF(CJ80=1,'Lease Cycles'!$D$12*IF(INDEX('Lease Cycles'!$EF$12:$EL$12,1,CJ78)=1,(1-'Lease Cycles'!$AJ$12)*INDEX('Lease Cycles'!$EM$12:$ES$12,1,CJ78)+(1-'Lease Cycles'!$BE$12)*IF(CJ79&lt;INDEX('Lease Cycles'!$FA$12:$FG$12,1,CJ78),0,1-INDEX('Lease Cycles'!$EM$12:$ES$12,1,CJ78)),IF(OR(INDEX('Lease Cycles'!$DY$12:$EE$12,1,CJ78)=1,CJ79&gt;0),1,1-INDEX('Lease Cycles'!$DD$12:$DJ$12,1,CJ78))*((1-'Lease Cycles'!$AJ$12)*INDEX('Lease Cycles'!$FO$12:$FU$12,1,CJ78)+(1-'Lease Cycles'!$BE$12)*(1-INDEX('Lease Cycles'!$FO$12:$FU$12,1,CJ78)))),0)</f>
        <v>0.03350083752093802</v>
      </c>
      <c r="CK86" s="24">
        <f>IF(CK80=1,'Lease Cycles'!$D$12*IF(INDEX('Lease Cycles'!$EF$12:$EL$12,1,CK78)=1,(1-'Lease Cycles'!$AJ$12)*INDEX('Lease Cycles'!$EM$12:$ES$12,1,CK78)+(1-'Lease Cycles'!$BE$12)*IF(CK79&lt;INDEX('Lease Cycles'!$FA$12:$FG$12,1,CK78),0,1-INDEX('Lease Cycles'!$EM$12:$ES$12,1,CK78)),IF(OR(INDEX('Lease Cycles'!$DY$12:$EE$12,1,CK78)=1,CK79&gt;0),1,1-INDEX('Lease Cycles'!$DD$12:$DJ$12,1,CK78))*((1-'Lease Cycles'!$AJ$12)*INDEX('Lease Cycles'!$FO$12:$FU$12,1,CK78)+(1-'Lease Cycles'!$BE$12)*(1-INDEX('Lease Cycles'!$FO$12:$FU$12,1,CK78)))),0)</f>
        <v>0.03350083752093802</v>
      </c>
      <c r="CL86" s="24">
        <f>IF(CL80=1,'Lease Cycles'!$D$12*IF(INDEX('Lease Cycles'!$EF$12:$EL$12,1,CL78)=1,(1-'Lease Cycles'!$AJ$12)*INDEX('Lease Cycles'!$EM$12:$ES$12,1,CL78)+(1-'Lease Cycles'!$BE$12)*IF(CL79&lt;INDEX('Lease Cycles'!$FA$12:$FG$12,1,CL78),0,1-INDEX('Lease Cycles'!$EM$12:$ES$12,1,CL78)),IF(OR(INDEX('Lease Cycles'!$DY$12:$EE$12,1,CL78)=1,CL79&gt;0),1,1-INDEX('Lease Cycles'!$DD$12:$DJ$12,1,CL78))*((1-'Lease Cycles'!$AJ$12)*INDEX('Lease Cycles'!$FO$12:$FU$12,1,CL78)+(1-'Lease Cycles'!$BE$12)*(1-INDEX('Lease Cycles'!$FO$12:$FU$12,1,CL78)))),0)</f>
        <v>0.03350083752093802</v>
      </c>
      <c r="CM86" s="24">
        <f>IF(CM80=1,'Lease Cycles'!$D$12*IF(INDEX('Lease Cycles'!$EF$12:$EL$12,1,CM78)=1,(1-'Lease Cycles'!$AJ$12)*INDEX('Lease Cycles'!$EM$12:$ES$12,1,CM78)+(1-'Lease Cycles'!$BE$12)*IF(CM79&lt;INDEX('Lease Cycles'!$FA$12:$FG$12,1,CM78),0,1-INDEX('Lease Cycles'!$EM$12:$ES$12,1,CM78)),IF(OR(INDEX('Lease Cycles'!$DY$12:$EE$12,1,CM78)=1,CM79&gt;0),1,1-INDEX('Lease Cycles'!$DD$12:$DJ$12,1,CM78))*((1-'Lease Cycles'!$AJ$12)*INDEX('Lease Cycles'!$FO$12:$FU$12,1,CM78)+(1-'Lease Cycles'!$BE$12)*(1-INDEX('Lease Cycles'!$FO$12:$FU$12,1,CM78)))),0)</f>
        <v>0.03350083752093802</v>
      </c>
      <c r="CN86" s="24">
        <f>IF(CN80=1,'Lease Cycles'!$D$12*IF(INDEX('Lease Cycles'!$EF$12:$EL$12,1,CN78)=1,(1-'Lease Cycles'!$AJ$12)*INDEX('Lease Cycles'!$EM$12:$ES$12,1,CN78)+(1-'Lease Cycles'!$BE$12)*IF(CN79&lt;INDEX('Lease Cycles'!$FA$12:$FG$12,1,CN78),0,1-INDEX('Lease Cycles'!$EM$12:$ES$12,1,CN78)),IF(OR(INDEX('Lease Cycles'!$DY$12:$EE$12,1,CN78)=1,CN79&gt;0),1,1-INDEX('Lease Cycles'!$DD$12:$DJ$12,1,CN78))*((1-'Lease Cycles'!$AJ$12)*INDEX('Lease Cycles'!$FO$12:$FU$12,1,CN78)+(1-'Lease Cycles'!$BE$12)*(1-INDEX('Lease Cycles'!$FO$12:$FU$12,1,CN78)))),0)</f>
        <v>0.03350083752093802</v>
      </c>
      <c r="CO86" s="24">
        <f>IF(CO80=1,'Lease Cycles'!$D$12*IF(INDEX('Lease Cycles'!$EF$12:$EL$12,1,CO78)=1,(1-'Lease Cycles'!$AJ$12)*INDEX('Lease Cycles'!$EM$12:$ES$12,1,CO78)+(1-'Lease Cycles'!$BE$12)*IF(CO79&lt;INDEX('Lease Cycles'!$FA$12:$FG$12,1,CO78),0,1-INDEX('Lease Cycles'!$EM$12:$ES$12,1,CO78)),IF(OR(INDEX('Lease Cycles'!$DY$12:$EE$12,1,CO78)=1,CO79&gt;0),1,1-INDEX('Lease Cycles'!$DD$12:$DJ$12,1,CO78))*((1-'Lease Cycles'!$AJ$12)*INDEX('Lease Cycles'!$FO$12:$FU$12,1,CO78)+(1-'Lease Cycles'!$BE$12)*(1-INDEX('Lease Cycles'!$FO$12:$FU$12,1,CO78)))),0)</f>
        <v>0.03350083752093802</v>
      </c>
      <c r="CP86" s="24">
        <f>IF(CP80=1,'Lease Cycles'!$D$12*IF(INDEX('Lease Cycles'!$EF$12:$EL$12,1,CP78)=1,(1-'Lease Cycles'!$AJ$12)*INDEX('Lease Cycles'!$EM$12:$ES$12,1,CP78)+(1-'Lease Cycles'!$BE$12)*IF(CP79&lt;INDEX('Lease Cycles'!$FA$12:$FG$12,1,CP78),0,1-INDEX('Lease Cycles'!$EM$12:$ES$12,1,CP78)),IF(OR(INDEX('Lease Cycles'!$DY$12:$EE$12,1,CP78)=1,CP79&gt;0),1,1-INDEX('Lease Cycles'!$DD$12:$DJ$12,1,CP78))*((1-'Lease Cycles'!$AJ$12)*INDEX('Lease Cycles'!$FO$12:$FU$12,1,CP78)+(1-'Lease Cycles'!$BE$12)*(1-INDEX('Lease Cycles'!$FO$12:$FU$12,1,CP78)))),0)</f>
        <v>0.03350083752093802</v>
      </c>
      <c r="CQ86" s="24">
        <f>IF(CQ80=1,'Lease Cycles'!$D$12*IF(INDEX('Lease Cycles'!$EF$12:$EL$12,1,CQ78)=1,(1-'Lease Cycles'!$AJ$12)*INDEX('Lease Cycles'!$EM$12:$ES$12,1,CQ78)+(1-'Lease Cycles'!$BE$12)*IF(CQ79&lt;INDEX('Lease Cycles'!$FA$12:$FG$12,1,CQ78),0,1-INDEX('Lease Cycles'!$EM$12:$ES$12,1,CQ78)),IF(OR(INDEX('Lease Cycles'!$DY$12:$EE$12,1,CQ78)=1,CQ79&gt;0),1,1-INDEX('Lease Cycles'!$DD$12:$DJ$12,1,CQ78))*((1-'Lease Cycles'!$AJ$12)*INDEX('Lease Cycles'!$FO$12:$FU$12,1,CQ78)+(1-'Lease Cycles'!$BE$12)*(1-INDEX('Lease Cycles'!$FO$12:$FU$12,1,CQ78)))),0)</f>
        <v>0.03350083752093802</v>
      </c>
      <c r="CR86" s="24">
        <f>IF(CR80=1,'Lease Cycles'!$D$12*IF(INDEX('Lease Cycles'!$EF$12:$EL$12,1,CR78)=1,(1-'Lease Cycles'!$AJ$12)*INDEX('Lease Cycles'!$EM$12:$ES$12,1,CR78)+(1-'Lease Cycles'!$BE$12)*IF(CR79&lt;INDEX('Lease Cycles'!$FA$12:$FG$12,1,CR78),0,1-INDEX('Lease Cycles'!$EM$12:$ES$12,1,CR78)),IF(OR(INDEX('Lease Cycles'!$DY$12:$EE$12,1,CR78)=1,CR79&gt;0),1,1-INDEX('Lease Cycles'!$DD$12:$DJ$12,1,CR78))*((1-'Lease Cycles'!$AJ$12)*INDEX('Lease Cycles'!$FO$12:$FU$12,1,CR78)+(1-'Lease Cycles'!$BE$12)*(1-INDEX('Lease Cycles'!$FO$12:$FU$12,1,CR78)))),0)</f>
        <v>0.03350083752093802</v>
      </c>
      <c r="CS86" s="24">
        <f>IF(CS80=1,'Lease Cycles'!$D$12*IF(INDEX('Lease Cycles'!$EF$12:$EL$12,1,CS78)=1,(1-'Lease Cycles'!$AJ$12)*INDEX('Lease Cycles'!$EM$12:$ES$12,1,CS78)+(1-'Lease Cycles'!$BE$12)*IF(CS79&lt;INDEX('Lease Cycles'!$FA$12:$FG$12,1,CS78),0,1-INDEX('Lease Cycles'!$EM$12:$ES$12,1,CS78)),IF(OR(INDEX('Lease Cycles'!$DY$12:$EE$12,1,CS78)=1,CS79&gt;0),1,1-INDEX('Lease Cycles'!$DD$12:$DJ$12,1,CS78))*((1-'Lease Cycles'!$AJ$12)*INDEX('Lease Cycles'!$FO$12:$FU$12,1,CS78)+(1-'Lease Cycles'!$BE$12)*(1-INDEX('Lease Cycles'!$FO$12:$FU$12,1,CS78)))),0)</f>
        <v>0.03350083752093802</v>
      </c>
      <c r="CT86" s="24">
        <f>IF(CT80=1,'Lease Cycles'!$D$12*IF(INDEX('Lease Cycles'!$EF$12:$EL$12,1,CT78)=1,(1-'Lease Cycles'!$AJ$12)*INDEX('Lease Cycles'!$EM$12:$ES$12,1,CT78)+(1-'Lease Cycles'!$BE$12)*IF(CT79&lt;INDEX('Lease Cycles'!$FA$12:$FG$12,1,CT78),0,1-INDEX('Lease Cycles'!$EM$12:$ES$12,1,CT78)),IF(OR(INDEX('Lease Cycles'!$DY$12:$EE$12,1,CT78)=1,CT79&gt;0),1,1-INDEX('Lease Cycles'!$DD$12:$DJ$12,1,CT78))*((1-'Lease Cycles'!$AJ$12)*INDEX('Lease Cycles'!$FO$12:$FU$12,1,CT78)+(1-'Lease Cycles'!$BE$12)*(1-INDEX('Lease Cycles'!$FO$12:$FU$12,1,CT78)))),0)</f>
        <v>0.03350083752093802</v>
      </c>
      <c r="CU86" s="24">
        <f>IF(CU80=1,'Lease Cycles'!$D$12*IF(INDEX('Lease Cycles'!$EF$12:$EL$12,1,CU78)=1,(1-'Lease Cycles'!$AJ$12)*INDEX('Lease Cycles'!$EM$12:$ES$12,1,CU78)+(1-'Lease Cycles'!$BE$12)*IF(CU79&lt;INDEX('Lease Cycles'!$FA$12:$FG$12,1,CU78),0,1-INDEX('Lease Cycles'!$EM$12:$ES$12,1,CU78)),IF(OR(INDEX('Lease Cycles'!$DY$12:$EE$12,1,CU78)=1,CU79&gt;0),1,1-INDEX('Lease Cycles'!$DD$12:$DJ$12,1,CU78))*((1-'Lease Cycles'!$AJ$12)*INDEX('Lease Cycles'!$FO$12:$FU$12,1,CU78)+(1-'Lease Cycles'!$BE$12)*(1-INDEX('Lease Cycles'!$FO$12:$FU$12,1,CU78)))),0)</f>
        <v>0.03350083752093802</v>
      </c>
      <c r="CV86" s="24">
        <f>IF(CV80=1,'Lease Cycles'!$D$12*IF(INDEX('Lease Cycles'!$EF$12:$EL$12,1,CV78)=1,(1-'Lease Cycles'!$AJ$12)*INDEX('Lease Cycles'!$EM$12:$ES$12,1,CV78)+(1-'Lease Cycles'!$BE$12)*IF(CV79&lt;INDEX('Lease Cycles'!$FA$12:$FG$12,1,CV78),0,1-INDEX('Lease Cycles'!$EM$12:$ES$12,1,CV78)),IF(OR(INDEX('Lease Cycles'!$DY$12:$EE$12,1,CV78)=1,CV79&gt;0),1,1-INDEX('Lease Cycles'!$DD$12:$DJ$12,1,CV78))*((1-'Lease Cycles'!$AJ$12)*INDEX('Lease Cycles'!$FO$12:$FU$12,1,CV78)+(1-'Lease Cycles'!$BE$12)*(1-INDEX('Lease Cycles'!$FO$12:$FU$12,1,CV78)))),0)</f>
        <v>0.03350083752093802</v>
      </c>
      <c r="CW86" s="24">
        <f>IF(CW80=1,'Lease Cycles'!$D$12*IF(INDEX('Lease Cycles'!$EF$12:$EL$12,1,CW78)=1,(1-'Lease Cycles'!$AJ$12)*INDEX('Lease Cycles'!$EM$12:$ES$12,1,CW78)+(1-'Lease Cycles'!$BE$12)*IF(CW79&lt;INDEX('Lease Cycles'!$FA$12:$FG$12,1,CW78),0,1-INDEX('Lease Cycles'!$EM$12:$ES$12,1,CW78)),IF(OR(INDEX('Lease Cycles'!$DY$12:$EE$12,1,CW78)=1,CW79&gt;0),1,1-INDEX('Lease Cycles'!$DD$12:$DJ$12,1,CW78))*((1-'Lease Cycles'!$AJ$12)*INDEX('Lease Cycles'!$FO$12:$FU$12,1,CW78)+(1-'Lease Cycles'!$BE$12)*(1-INDEX('Lease Cycles'!$FO$12:$FU$12,1,CW78)))),0)</f>
        <v>0.03350083752093802</v>
      </c>
      <c r="CX86" s="24">
        <f>IF(CX80=1,'Lease Cycles'!$D$12*IF(INDEX('Lease Cycles'!$EF$12:$EL$12,1,CX78)=1,(1-'Lease Cycles'!$AJ$12)*INDEX('Lease Cycles'!$EM$12:$ES$12,1,CX78)+(1-'Lease Cycles'!$BE$12)*IF(CX79&lt;INDEX('Lease Cycles'!$FA$12:$FG$12,1,CX78),0,1-INDEX('Lease Cycles'!$EM$12:$ES$12,1,CX78)),IF(OR(INDEX('Lease Cycles'!$DY$12:$EE$12,1,CX78)=1,CX79&gt;0),1,1-INDEX('Lease Cycles'!$DD$12:$DJ$12,1,CX78))*((1-'Lease Cycles'!$AJ$12)*INDEX('Lease Cycles'!$FO$12:$FU$12,1,CX78)+(1-'Lease Cycles'!$BE$12)*(1-INDEX('Lease Cycles'!$FO$12:$FU$12,1,CX78)))),0)</f>
        <v>0.03350083752093802</v>
      </c>
      <c r="CY86" s="24">
        <f>IF(CY80=1,'Lease Cycles'!$D$12*IF(INDEX('Lease Cycles'!$EF$12:$EL$12,1,CY78)=1,(1-'Lease Cycles'!$AJ$12)*INDEX('Lease Cycles'!$EM$12:$ES$12,1,CY78)+(1-'Lease Cycles'!$BE$12)*IF(CY79&lt;INDEX('Lease Cycles'!$FA$12:$FG$12,1,CY78),0,1-INDEX('Lease Cycles'!$EM$12:$ES$12,1,CY78)),IF(OR(INDEX('Lease Cycles'!$DY$12:$EE$12,1,CY78)=1,CY79&gt;0),1,1-INDEX('Lease Cycles'!$DD$12:$DJ$12,1,CY78))*((1-'Lease Cycles'!$AJ$12)*INDEX('Lease Cycles'!$FO$12:$FU$12,1,CY78)+(1-'Lease Cycles'!$BE$12)*(1-INDEX('Lease Cycles'!$FO$12:$FU$12,1,CY78)))),0)</f>
        <v>0.03350083752093802</v>
      </c>
      <c r="CZ86" s="24">
        <f>IF(CZ80=1,'Lease Cycles'!$D$12*IF(INDEX('Lease Cycles'!$EF$12:$EL$12,1,CZ78)=1,(1-'Lease Cycles'!$AJ$12)*INDEX('Lease Cycles'!$EM$12:$ES$12,1,CZ78)+(1-'Lease Cycles'!$BE$12)*IF(CZ79&lt;INDEX('Lease Cycles'!$FA$12:$FG$12,1,CZ78),0,1-INDEX('Lease Cycles'!$EM$12:$ES$12,1,CZ78)),IF(OR(INDEX('Lease Cycles'!$DY$12:$EE$12,1,CZ78)=1,CZ79&gt;0),1,1-INDEX('Lease Cycles'!$DD$12:$DJ$12,1,CZ78))*((1-'Lease Cycles'!$AJ$12)*INDEX('Lease Cycles'!$FO$12:$FU$12,1,CZ78)+(1-'Lease Cycles'!$BE$12)*(1-INDEX('Lease Cycles'!$FO$12:$FU$12,1,CZ78)))),0)</f>
        <v>0.03350083752093802</v>
      </c>
      <c r="DA86" s="24">
        <f>IF(DA80=1,'Lease Cycles'!$D$12*IF(INDEX('Lease Cycles'!$EF$12:$EL$12,1,DA78)=1,(1-'Lease Cycles'!$AJ$12)*INDEX('Lease Cycles'!$EM$12:$ES$12,1,DA78)+(1-'Lease Cycles'!$BE$12)*IF(DA79&lt;INDEX('Lease Cycles'!$FA$12:$FG$12,1,DA78),0,1-INDEX('Lease Cycles'!$EM$12:$ES$12,1,DA78)),IF(OR(INDEX('Lease Cycles'!$DY$12:$EE$12,1,DA78)=1,DA79&gt;0),1,1-INDEX('Lease Cycles'!$DD$12:$DJ$12,1,DA78))*((1-'Lease Cycles'!$AJ$12)*INDEX('Lease Cycles'!$FO$12:$FU$12,1,DA78)+(1-'Lease Cycles'!$BE$12)*(1-INDEX('Lease Cycles'!$FO$12:$FU$12,1,DA78)))),0)</f>
        <v>0.03350083752093802</v>
      </c>
      <c r="DB86" s="24">
        <f>IF(DB80=1,'Lease Cycles'!$D$12*IF(INDEX('Lease Cycles'!$EF$12:$EL$12,1,DB78)=1,(1-'Lease Cycles'!$AJ$12)*INDEX('Lease Cycles'!$EM$12:$ES$12,1,DB78)+(1-'Lease Cycles'!$BE$12)*IF(DB79&lt;INDEX('Lease Cycles'!$FA$12:$FG$12,1,DB78),0,1-INDEX('Lease Cycles'!$EM$12:$ES$12,1,DB78)),IF(OR(INDEX('Lease Cycles'!$DY$12:$EE$12,1,DB78)=1,DB79&gt;0),1,1-INDEX('Lease Cycles'!$DD$12:$DJ$12,1,DB78))*((1-'Lease Cycles'!$AJ$12)*INDEX('Lease Cycles'!$FO$12:$FU$12,1,DB78)+(1-'Lease Cycles'!$BE$12)*(1-INDEX('Lease Cycles'!$FO$12:$FU$12,1,DB78)))),0)</f>
        <v>0.03350083752093802</v>
      </c>
      <c r="DC86" s="24">
        <f>IF(DC80=1,'Lease Cycles'!$D$12*IF(INDEX('Lease Cycles'!$EF$12:$EL$12,1,DC78)=1,(1-'Lease Cycles'!$AJ$12)*INDEX('Lease Cycles'!$EM$12:$ES$12,1,DC78)+(1-'Lease Cycles'!$BE$12)*IF(DC79&lt;INDEX('Lease Cycles'!$FA$12:$FG$12,1,DC78),0,1-INDEX('Lease Cycles'!$EM$12:$ES$12,1,DC78)),IF(OR(INDEX('Lease Cycles'!$DY$12:$EE$12,1,DC78)=1,DC79&gt;0),1,1-INDEX('Lease Cycles'!$DD$12:$DJ$12,1,DC78))*((1-'Lease Cycles'!$AJ$12)*INDEX('Lease Cycles'!$FO$12:$FU$12,1,DC78)+(1-'Lease Cycles'!$BE$12)*(1-INDEX('Lease Cycles'!$FO$12:$FU$12,1,DC78)))),0)</f>
        <v>0.03350083752093802</v>
      </c>
      <c r="DD86" s="24">
        <f>IF(DD80=1,'Lease Cycles'!$D$12*IF(INDEX('Lease Cycles'!$EF$12:$EL$12,1,DD78)=1,(1-'Lease Cycles'!$AJ$12)*INDEX('Lease Cycles'!$EM$12:$ES$12,1,DD78)+(1-'Lease Cycles'!$BE$12)*IF(DD79&lt;INDEX('Lease Cycles'!$FA$12:$FG$12,1,DD78),0,1-INDEX('Lease Cycles'!$EM$12:$ES$12,1,DD78)),IF(OR(INDEX('Lease Cycles'!$DY$12:$EE$12,1,DD78)=1,DD79&gt;0),1,1-INDEX('Lease Cycles'!$DD$12:$DJ$12,1,DD78))*((1-'Lease Cycles'!$AJ$12)*INDEX('Lease Cycles'!$FO$12:$FU$12,1,DD78)+(1-'Lease Cycles'!$BE$12)*(1-INDEX('Lease Cycles'!$FO$12:$FU$12,1,DD78)))),0)</f>
        <v>0.03350083752093802</v>
      </c>
      <c r="DE86" s="24">
        <f>IF(DE80=1,'Lease Cycles'!$D$12*IF(INDEX('Lease Cycles'!$EF$12:$EL$12,1,DE78)=1,(1-'Lease Cycles'!$AJ$12)*INDEX('Lease Cycles'!$EM$12:$ES$12,1,DE78)+(1-'Lease Cycles'!$BE$12)*IF(DE79&lt;INDEX('Lease Cycles'!$FA$12:$FG$12,1,DE78),0,1-INDEX('Lease Cycles'!$EM$12:$ES$12,1,DE78)),IF(OR(INDEX('Lease Cycles'!$DY$12:$EE$12,1,DE78)=1,DE79&gt;0),1,1-INDEX('Lease Cycles'!$DD$12:$DJ$12,1,DE78))*((1-'Lease Cycles'!$AJ$12)*INDEX('Lease Cycles'!$FO$12:$FU$12,1,DE78)+(1-'Lease Cycles'!$BE$12)*(1-INDEX('Lease Cycles'!$FO$12:$FU$12,1,DE78)))),0)</f>
        <v>0.03350083752093802</v>
      </c>
      <c r="DF86" s="24">
        <f>IF(DF80=1,'Lease Cycles'!$D$12*IF(INDEX('Lease Cycles'!$EF$12:$EL$12,1,DF78)=1,(1-'Lease Cycles'!$AJ$12)*INDEX('Lease Cycles'!$EM$12:$ES$12,1,DF78)+(1-'Lease Cycles'!$BE$12)*IF(DF79&lt;INDEX('Lease Cycles'!$FA$12:$FG$12,1,DF78),0,1-INDEX('Lease Cycles'!$EM$12:$ES$12,1,DF78)),IF(OR(INDEX('Lease Cycles'!$DY$12:$EE$12,1,DF78)=1,DF79&gt;0),1,1-INDEX('Lease Cycles'!$DD$12:$DJ$12,1,DF78))*((1-'Lease Cycles'!$AJ$12)*INDEX('Lease Cycles'!$FO$12:$FU$12,1,DF78)+(1-'Lease Cycles'!$BE$12)*(1-INDEX('Lease Cycles'!$FO$12:$FU$12,1,DF78)))),0)</f>
        <v>0.03350083752093802</v>
      </c>
      <c r="DG86" s="24">
        <f>IF(DG80=1,'Lease Cycles'!$D$12*IF(INDEX('Lease Cycles'!$EF$12:$EL$12,1,DG78)=1,(1-'Lease Cycles'!$AJ$12)*INDEX('Lease Cycles'!$EM$12:$ES$12,1,DG78)+(1-'Lease Cycles'!$BE$12)*IF(DG79&lt;INDEX('Lease Cycles'!$FA$12:$FG$12,1,DG78),0,1-INDEX('Lease Cycles'!$EM$12:$ES$12,1,DG78)),IF(OR(INDEX('Lease Cycles'!$DY$12:$EE$12,1,DG78)=1,DG79&gt;0),1,1-INDEX('Lease Cycles'!$DD$12:$DJ$12,1,DG78))*((1-'Lease Cycles'!$AJ$12)*INDEX('Lease Cycles'!$FO$12:$FU$12,1,DG78)+(1-'Lease Cycles'!$BE$12)*(1-INDEX('Lease Cycles'!$FO$12:$FU$12,1,DG78)))),0)</f>
        <v>0.03350083752093802</v>
      </c>
      <c r="DH86" s="24">
        <f>IF(DH80=1,'Lease Cycles'!$D$12*IF(INDEX('Lease Cycles'!$EF$12:$EL$12,1,DH78)=1,(1-'Lease Cycles'!$AJ$12)*INDEX('Lease Cycles'!$EM$12:$ES$12,1,DH78)+(1-'Lease Cycles'!$BE$12)*IF(DH79&lt;INDEX('Lease Cycles'!$FA$12:$FG$12,1,DH78),0,1-INDEX('Lease Cycles'!$EM$12:$ES$12,1,DH78)),IF(OR(INDEX('Lease Cycles'!$DY$12:$EE$12,1,DH78)=1,DH79&gt;0),1,1-INDEX('Lease Cycles'!$DD$12:$DJ$12,1,DH78))*((1-'Lease Cycles'!$AJ$12)*INDEX('Lease Cycles'!$FO$12:$FU$12,1,DH78)+(1-'Lease Cycles'!$BE$12)*(1-INDEX('Lease Cycles'!$FO$12:$FU$12,1,DH78)))),0)</f>
        <v>0.03350083752093802</v>
      </c>
      <c r="DI86" s="24">
        <f>IF(DI80=1,'Lease Cycles'!$D$12*IF(INDEX('Lease Cycles'!$EF$12:$EL$12,1,DI78)=1,(1-'Lease Cycles'!$AJ$12)*INDEX('Lease Cycles'!$EM$12:$ES$12,1,DI78)+(1-'Lease Cycles'!$BE$12)*IF(DI79&lt;INDEX('Lease Cycles'!$FA$12:$FG$12,1,DI78),0,1-INDEX('Lease Cycles'!$EM$12:$ES$12,1,DI78)),IF(OR(INDEX('Lease Cycles'!$DY$12:$EE$12,1,DI78)=1,DI79&gt;0),1,1-INDEX('Lease Cycles'!$DD$12:$DJ$12,1,DI78))*((1-'Lease Cycles'!$AJ$12)*INDEX('Lease Cycles'!$FO$12:$FU$12,1,DI78)+(1-'Lease Cycles'!$BE$12)*(1-INDEX('Lease Cycles'!$FO$12:$FU$12,1,DI78)))),0)</f>
        <v>0.03350083752093802</v>
      </c>
      <c r="DJ86" s="24">
        <f>IF(DJ80=1,'Lease Cycles'!$D$12*IF(INDEX('Lease Cycles'!$EF$12:$EL$12,1,DJ78)=1,(1-'Lease Cycles'!$AJ$12)*INDEX('Lease Cycles'!$EM$12:$ES$12,1,DJ78)+(1-'Lease Cycles'!$BE$12)*IF(DJ79&lt;INDEX('Lease Cycles'!$FA$12:$FG$12,1,DJ78),0,1-INDEX('Lease Cycles'!$EM$12:$ES$12,1,DJ78)),IF(OR(INDEX('Lease Cycles'!$DY$12:$EE$12,1,DJ78)=1,DJ79&gt;0),1,1-INDEX('Lease Cycles'!$DD$12:$DJ$12,1,DJ78))*((1-'Lease Cycles'!$AJ$12)*INDEX('Lease Cycles'!$FO$12:$FU$12,1,DJ78)+(1-'Lease Cycles'!$BE$12)*(1-INDEX('Lease Cycles'!$FO$12:$FU$12,1,DJ78)))),0)</f>
        <v>0.03350083752093802</v>
      </c>
      <c r="DK86" s="24">
        <f>IF(DK80=1,'Lease Cycles'!$D$12*IF(INDEX('Lease Cycles'!$EF$12:$EL$12,1,DK78)=1,(1-'Lease Cycles'!$AJ$12)*INDEX('Lease Cycles'!$EM$12:$ES$12,1,DK78)+(1-'Lease Cycles'!$BE$12)*IF(DK79&lt;INDEX('Lease Cycles'!$FA$12:$FG$12,1,DK78),0,1-INDEX('Lease Cycles'!$EM$12:$ES$12,1,DK78)),IF(OR(INDEX('Lease Cycles'!$DY$12:$EE$12,1,DK78)=1,DK79&gt;0),1,1-INDEX('Lease Cycles'!$DD$12:$DJ$12,1,DK78))*((1-'Lease Cycles'!$AJ$12)*INDEX('Lease Cycles'!$FO$12:$FU$12,1,DK78)+(1-'Lease Cycles'!$BE$12)*(1-INDEX('Lease Cycles'!$FO$12:$FU$12,1,DK78)))),0)</f>
        <v>0.03350083752093802</v>
      </c>
      <c r="DL86" s="24">
        <f>IF(DL80=1,'Lease Cycles'!$D$12*IF(INDEX('Lease Cycles'!$EF$12:$EL$12,1,DL78)=1,(1-'Lease Cycles'!$AJ$12)*INDEX('Lease Cycles'!$EM$12:$ES$12,1,DL78)+(1-'Lease Cycles'!$BE$12)*IF(DL79&lt;INDEX('Lease Cycles'!$FA$12:$FG$12,1,DL78),0,1-INDEX('Lease Cycles'!$EM$12:$ES$12,1,DL78)),IF(OR(INDEX('Lease Cycles'!$DY$12:$EE$12,1,DL78)=1,DL79&gt;0),1,1-INDEX('Lease Cycles'!$DD$12:$DJ$12,1,DL78))*((1-'Lease Cycles'!$AJ$12)*INDEX('Lease Cycles'!$FO$12:$FU$12,1,DL78)+(1-'Lease Cycles'!$BE$12)*(1-INDEX('Lease Cycles'!$FO$12:$FU$12,1,DL78)))),0)</f>
        <v>0.03350083752093802</v>
      </c>
      <c r="DM86" s="24">
        <f>IF(DM80=1,'Lease Cycles'!$D$12*IF(INDEX('Lease Cycles'!$EF$12:$EL$12,1,DM78)=1,(1-'Lease Cycles'!$AJ$12)*INDEX('Lease Cycles'!$EM$12:$ES$12,1,DM78)+(1-'Lease Cycles'!$BE$12)*IF(DM79&lt;INDEX('Lease Cycles'!$FA$12:$FG$12,1,DM78),0,1-INDEX('Lease Cycles'!$EM$12:$ES$12,1,DM78)),IF(OR(INDEX('Lease Cycles'!$DY$12:$EE$12,1,DM78)=1,DM79&gt;0),1,1-INDEX('Lease Cycles'!$DD$12:$DJ$12,1,DM78))*((1-'Lease Cycles'!$AJ$12)*INDEX('Lease Cycles'!$FO$12:$FU$12,1,DM78)+(1-'Lease Cycles'!$BE$12)*(1-INDEX('Lease Cycles'!$FO$12:$FU$12,1,DM78)))),0)</f>
        <v>0.03350083752093802</v>
      </c>
      <c r="DN86" s="24">
        <f>IF(DN80=1,'Lease Cycles'!$D$12*IF(INDEX('Lease Cycles'!$EF$12:$EL$12,1,DN78)=1,(1-'Lease Cycles'!$AJ$12)*INDEX('Lease Cycles'!$EM$12:$ES$12,1,DN78)+(1-'Lease Cycles'!$BE$12)*IF(DN79&lt;INDEX('Lease Cycles'!$FA$12:$FG$12,1,DN78),0,1-INDEX('Lease Cycles'!$EM$12:$ES$12,1,DN78)),IF(OR(INDEX('Lease Cycles'!$DY$12:$EE$12,1,DN78)=1,DN79&gt;0),1,1-INDEX('Lease Cycles'!$DD$12:$DJ$12,1,DN78))*((1-'Lease Cycles'!$AJ$12)*INDEX('Lease Cycles'!$FO$12:$FU$12,1,DN78)+(1-'Lease Cycles'!$BE$12)*(1-INDEX('Lease Cycles'!$FO$12:$FU$12,1,DN78)))),0)</f>
        <v>0.03350083752093802</v>
      </c>
      <c r="DO86" s="24">
        <f>IF(DO80=1,'Lease Cycles'!$D$12*IF(INDEX('Lease Cycles'!$EF$12:$EL$12,1,DO78)=1,(1-'Lease Cycles'!$AJ$12)*INDEX('Lease Cycles'!$EM$12:$ES$12,1,DO78)+(1-'Lease Cycles'!$BE$12)*IF(DO79&lt;INDEX('Lease Cycles'!$FA$12:$FG$12,1,DO78),0,1-INDEX('Lease Cycles'!$EM$12:$ES$12,1,DO78)),IF(OR(INDEX('Lease Cycles'!$DY$12:$EE$12,1,DO78)=1,DO79&gt;0),1,1-INDEX('Lease Cycles'!$DD$12:$DJ$12,1,DO78))*((1-'Lease Cycles'!$AJ$12)*INDEX('Lease Cycles'!$FO$12:$FU$12,1,DO78)+(1-'Lease Cycles'!$BE$12)*(1-INDEX('Lease Cycles'!$FO$12:$FU$12,1,DO78)))),0)</f>
        <v>0.03350083752093802</v>
      </c>
      <c r="DP86" s="24">
        <f>IF(DP80=1,'Lease Cycles'!$D$12*IF(INDEX('Lease Cycles'!$EF$12:$EL$12,1,DP78)=1,(1-'Lease Cycles'!$AJ$12)*INDEX('Lease Cycles'!$EM$12:$ES$12,1,DP78)+(1-'Lease Cycles'!$BE$12)*IF(DP79&lt;INDEX('Lease Cycles'!$FA$12:$FG$12,1,DP78),0,1-INDEX('Lease Cycles'!$EM$12:$ES$12,1,DP78)),IF(OR(INDEX('Lease Cycles'!$DY$12:$EE$12,1,DP78)=1,DP79&gt;0),1,1-INDEX('Lease Cycles'!$DD$12:$DJ$12,1,DP78))*((1-'Lease Cycles'!$AJ$12)*INDEX('Lease Cycles'!$FO$12:$FU$12,1,DP78)+(1-'Lease Cycles'!$BE$12)*(1-INDEX('Lease Cycles'!$FO$12:$FU$12,1,DP78)))),0)</f>
        <v>0.03350083752093802</v>
      </c>
      <c r="DQ86" s="24">
        <f>IF(DQ80=1,'Lease Cycles'!$D$12*IF(INDEX('Lease Cycles'!$EF$12:$EL$12,1,DQ78)=1,(1-'Lease Cycles'!$AJ$12)*INDEX('Lease Cycles'!$EM$12:$ES$12,1,DQ78)+(1-'Lease Cycles'!$BE$12)*IF(DQ79&lt;INDEX('Lease Cycles'!$FA$12:$FG$12,1,DQ78),0,1-INDEX('Lease Cycles'!$EM$12:$ES$12,1,DQ78)),IF(OR(INDEX('Lease Cycles'!$DY$12:$EE$12,1,DQ78)=1,DQ79&gt;0),1,1-INDEX('Lease Cycles'!$DD$12:$DJ$12,1,DQ78))*((1-'Lease Cycles'!$AJ$12)*INDEX('Lease Cycles'!$FO$12:$FU$12,1,DQ78)+(1-'Lease Cycles'!$BE$12)*(1-INDEX('Lease Cycles'!$FO$12:$FU$12,1,DQ78)))),0)</f>
        <v>0.03350083752093802</v>
      </c>
      <c r="DR86" s="24">
        <f>IF(DR80=1,'Lease Cycles'!$D$12*IF(INDEX('Lease Cycles'!$EF$12:$EL$12,1,DR78)=1,(1-'Lease Cycles'!$AJ$12)*INDEX('Lease Cycles'!$EM$12:$ES$12,1,DR78)+(1-'Lease Cycles'!$BE$12)*IF(DR79&lt;INDEX('Lease Cycles'!$FA$12:$FG$12,1,DR78),0,1-INDEX('Lease Cycles'!$EM$12:$ES$12,1,DR78)),IF(OR(INDEX('Lease Cycles'!$DY$12:$EE$12,1,DR78)=1,DR79&gt;0),1,1-INDEX('Lease Cycles'!$DD$12:$DJ$12,1,DR78))*((1-'Lease Cycles'!$AJ$12)*INDEX('Lease Cycles'!$FO$12:$FU$12,1,DR78)+(1-'Lease Cycles'!$BE$12)*(1-INDEX('Lease Cycles'!$FO$12:$FU$12,1,DR78)))),0)</f>
        <v>0.03350083752093802</v>
      </c>
      <c r="DS86" s="24">
        <f>IF(DS80=1,'Lease Cycles'!$D$12*IF(INDEX('Lease Cycles'!$EF$12:$EL$12,1,DS78)=1,(1-'Lease Cycles'!$AJ$12)*INDEX('Lease Cycles'!$EM$12:$ES$12,1,DS78)+(1-'Lease Cycles'!$BE$12)*IF(DS79&lt;INDEX('Lease Cycles'!$FA$12:$FG$12,1,DS78),0,1-INDEX('Lease Cycles'!$EM$12:$ES$12,1,DS78)),IF(OR(INDEX('Lease Cycles'!$DY$12:$EE$12,1,DS78)=1,DS79&gt;0),1,1-INDEX('Lease Cycles'!$DD$12:$DJ$12,1,DS78))*((1-'Lease Cycles'!$AJ$12)*INDEX('Lease Cycles'!$FO$12:$FU$12,1,DS78)+(1-'Lease Cycles'!$BE$12)*(1-INDEX('Lease Cycles'!$FO$12:$FU$12,1,DS78)))),0)</f>
        <v>0.03350083752093802</v>
      </c>
      <c r="DT86" s="24">
        <f>IF(DT80=1,'Lease Cycles'!$D$12*IF(INDEX('Lease Cycles'!$EF$12:$EL$12,1,DT78)=1,(1-'Lease Cycles'!$AJ$12)*INDEX('Lease Cycles'!$EM$12:$ES$12,1,DT78)+(1-'Lease Cycles'!$BE$12)*IF(DT79&lt;INDEX('Lease Cycles'!$FA$12:$FG$12,1,DT78),0,1-INDEX('Lease Cycles'!$EM$12:$ES$12,1,DT78)),IF(OR(INDEX('Lease Cycles'!$DY$12:$EE$12,1,DT78)=1,DT79&gt;0),1,1-INDEX('Lease Cycles'!$DD$12:$DJ$12,1,DT78))*((1-'Lease Cycles'!$AJ$12)*INDEX('Lease Cycles'!$FO$12:$FU$12,1,DT78)+(1-'Lease Cycles'!$BE$12)*(1-INDEX('Lease Cycles'!$FO$12:$FU$12,1,DT78)))),0)</f>
        <v>0.03350083752093802</v>
      </c>
      <c r="DU86" s="24">
        <f>IF(DU80=1,'Lease Cycles'!$D$12*IF(INDEX('Lease Cycles'!$EF$12:$EL$12,1,DU78)=1,(1-'Lease Cycles'!$AJ$12)*INDEX('Lease Cycles'!$EM$12:$ES$12,1,DU78)+(1-'Lease Cycles'!$BE$12)*IF(DU79&lt;INDEX('Lease Cycles'!$FA$12:$FG$12,1,DU78),0,1-INDEX('Lease Cycles'!$EM$12:$ES$12,1,DU78)),IF(OR(INDEX('Lease Cycles'!$DY$12:$EE$12,1,DU78)=1,DU79&gt;0),1,1-INDEX('Lease Cycles'!$DD$12:$DJ$12,1,DU78))*((1-'Lease Cycles'!$AJ$12)*INDEX('Lease Cycles'!$FO$12:$FU$12,1,DU78)+(1-'Lease Cycles'!$BE$12)*(1-INDEX('Lease Cycles'!$FO$12:$FU$12,1,DU78)))),0)</f>
        <v>0.03350083752093802</v>
      </c>
      <c r="DV86" s="24">
        <f>IF(DV80=1,'Lease Cycles'!$D$12*IF(INDEX('Lease Cycles'!$EF$12:$EL$12,1,DV78)=1,(1-'Lease Cycles'!$AJ$12)*INDEX('Lease Cycles'!$EM$12:$ES$12,1,DV78)+(1-'Lease Cycles'!$BE$12)*IF(DV79&lt;INDEX('Lease Cycles'!$FA$12:$FG$12,1,DV78),0,1-INDEX('Lease Cycles'!$EM$12:$ES$12,1,DV78)),IF(OR(INDEX('Lease Cycles'!$DY$12:$EE$12,1,DV78)=1,DV79&gt;0),1,1-INDEX('Lease Cycles'!$DD$12:$DJ$12,1,DV78))*((1-'Lease Cycles'!$AJ$12)*INDEX('Lease Cycles'!$FO$12:$FU$12,1,DV78)+(1-'Lease Cycles'!$BE$12)*(1-INDEX('Lease Cycles'!$FO$12:$FU$12,1,DV78)))),0)</f>
        <v>0.03350083752093802</v>
      </c>
      <c r="DW86" s="24">
        <f>IF(DW80=1,'Lease Cycles'!$D$12*IF(INDEX('Lease Cycles'!$EF$12:$EL$12,1,DW78)=1,(1-'Lease Cycles'!$AJ$12)*INDEX('Lease Cycles'!$EM$12:$ES$12,1,DW78)+(1-'Lease Cycles'!$BE$12)*IF(DW79&lt;INDEX('Lease Cycles'!$FA$12:$FG$12,1,DW78),0,1-INDEX('Lease Cycles'!$EM$12:$ES$12,1,DW78)),IF(OR(INDEX('Lease Cycles'!$DY$12:$EE$12,1,DW78)=1,DW79&gt;0),1,1-INDEX('Lease Cycles'!$DD$12:$DJ$12,1,DW78))*((1-'Lease Cycles'!$AJ$12)*INDEX('Lease Cycles'!$FO$12:$FU$12,1,DW78)+(1-'Lease Cycles'!$BE$12)*(1-INDEX('Lease Cycles'!$FO$12:$FU$12,1,DW78)))),0)</f>
        <v>0.03350083752093802</v>
      </c>
      <c r="DX86" s="24">
        <f>IF(DX80=1,'Lease Cycles'!$D$12*IF(INDEX('Lease Cycles'!$EF$12:$EL$12,1,DX78)=1,(1-'Lease Cycles'!$AJ$12)*INDEX('Lease Cycles'!$EM$12:$ES$12,1,DX78)+(1-'Lease Cycles'!$BE$12)*IF(DX79&lt;INDEX('Lease Cycles'!$FA$12:$FG$12,1,DX78),0,1-INDEX('Lease Cycles'!$EM$12:$ES$12,1,DX78)),IF(OR(INDEX('Lease Cycles'!$DY$12:$EE$12,1,DX78)=1,DX79&gt;0),1,1-INDEX('Lease Cycles'!$DD$12:$DJ$12,1,DX78))*((1-'Lease Cycles'!$AJ$12)*INDEX('Lease Cycles'!$FO$12:$FU$12,1,DX78)+(1-'Lease Cycles'!$BE$12)*(1-INDEX('Lease Cycles'!$FO$12:$FU$12,1,DX78)))),0)</f>
        <v>0.03350083752093802</v>
      </c>
      <c r="DY86" s="24">
        <f>IF(DY80=1,'Lease Cycles'!$D$12*IF(INDEX('Lease Cycles'!$EF$12:$EL$12,1,DY78)=1,(1-'Lease Cycles'!$AJ$12)*INDEX('Lease Cycles'!$EM$12:$ES$12,1,DY78)+(1-'Lease Cycles'!$BE$12)*IF(DY79&lt;INDEX('Lease Cycles'!$FA$12:$FG$12,1,DY78),0,1-INDEX('Lease Cycles'!$EM$12:$ES$12,1,DY78)),IF(OR(INDEX('Lease Cycles'!$DY$12:$EE$12,1,DY78)=1,DY79&gt;0),1,1-INDEX('Lease Cycles'!$DD$12:$DJ$12,1,DY78))*((1-'Lease Cycles'!$AJ$12)*INDEX('Lease Cycles'!$FO$12:$FU$12,1,DY78)+(1-'Lease Cycles'!$BE$12)*(1-INDEX('Lease Cycles'!$FO$12:$FU$12,1,DY78)))),0)</f>
        <v>0</v>
      </c>
      <c r="DZ86" s="24">
        <f>IF(DZ80=1,'Lease Cycles'!$D$12*IF(INDEX('Lease Cycles'!$EF$12:$EL$12,1,DZ78)=1,(1-'Lease Cycles'!$AJ$12)*INDEX('Lease Cycles'!$EM$12:$ES$12,1,DZ78)+(1-'Lease Cycles'!$BE$12)*IF(DZ79&lt;INDEX('Lease Cycles'!$FA$12:$FG$12,1,DZ78),0,1-INDEX('Lease Cycles'!$EM$12:$ES$12,1,DZ78)),IF(OR(INDEX('Lease Cycles'!$DY$12:$EE$12,1,DZ78)=1,DZ79&gt;0),1,1-INDEX('Lease Cycles'!$DD$12:$DJ$12,1,DZ78))*((1-'Lease Cycles'!$AJ$12)*INDEX('Lease Cycles'!$FO$12:$FU$12,1,DZ78)+(1-'Lease Cycles'!$BE$12)*(1-INDEX('Lease Cycles'!$FO$12:$FU$12,1,DZ78)))),0)</f>
        <v>0.026800670016750322</v>
      </c>
      <c r="EA86" s="24">
        <f>IF(EA80=1,'Lease Cycles'!$D$12*IF(INDEX('Lease Cycles'!$EF$12:$EL$12,1,EA78)=1,(1-'Lease Cycles'!$AJ$12)*INDEX('Lease Cycles'!$EM$12:$ES$12,1,EA78)+(1-'Lease Cycles'!$BE$12)*IF(EA79&lt;INDEX('Lease Cycles'!$FA$12:$FG$12,1,EA78),0,1-INDEX('Lease Cycles'!$EM$12:$ES$12,1,EA78)),IF(OR(INDEX('Lease Cycles'!$DY$12:$EE$12,1,EA78)=1,EA79&gt;0),1,1-INDEX('Lease Cycles'!$DD$12:$DJ$12,1,EA78))*((1-'Lease Cycles'!$AJ$12)*INDEX('Lease Cycles'!$FO$12:$FU$12,1,EA78)+(1-'Lease Cycles'!$BE$12)*(1-INDEX('Lease Cycles'!$FO$12:$FU$12,1,EA78)))),0)</f>
        <v>0.03350083752093802</v>
      </c>
      <c r="EB86" s="24">
        <f>IF(EB80=1,'Lease Cycles'!$D$12*IF(INDEX('Lease Cycles'!$EF$12:$EL$12,1,EB78)=1,(1-'Lease Cycles'!$AJ$12)*INDEX('Lease Cycles'!$EM$12:$ES$12,1,EB78)+(1-'Lease Cycles'!$BE$12)*IF(EB79&lt;INDEX('Lease Cycles'!$FA$12:$FG$12,1,EB78),0,1-INDEX('Lease Cycles'!$EM$12:$ES$12,1,EB78)),IF(OR(INDEX('Lease Cycles'!$DY$12:$EE$12,1,EB78)=1,EB79&gt;0),1,1-INDEX('Lease Cycles'!$DD$12:$DJ$12,1,EB78))*((1-'Lease Cycles'!$AJ$12)*INDEX('Lease Cycles'!$FO$12:$FU$12,1,EB78)+(1-'Lease Cycles'!$BE$12)*(1-INDEX('Lease Cycles'!$FO$12:$FU$12,1,EB78)))),0)</f>
        <v>0.03350083752093802</v>
      </c>
      <c r="EC86" s="24">
        <f>IF(EC80=1,'Lease Cycles'!$D$12*IF(INDEX('Lease Cycles'!$EF$12:$EL$12,1,EC78)=1,(1-'Lease Cycles'!$AJ$12)*INDEX('Lease Cycles'!$EM$12:$ES$12,1,EC78)+(1-'Lease Cycles'!$BE$12)*IF(EC79&lt;INDEX('Lease Cycles'!$FA$12:$FG$12,1,EC78),0,1-INDEX('Lease Cycles'!$EM$12:$ES$12,1,EC78)),IF(OR(INDEX('Lease Cycles'!$DY$12:$EE$12,1,EC78)=1,EC79&gt;0),1,1-INDEX('Lease Cycles'!$DD$12:$DJ$12,1,EC78))*((1-'Lease Cycles'!$AJ$12)*INDEX('Lease Cycles'!$FO$12:$FU$12,1,EC78)+(1-'Lease Cycles'!$BE$12)*(1-INDEX('Lease Cycles'!$FO$12:$FU$12,1,EC78)))),0)</f>
        <v>0.03350083752093802</v>
      </c>
      <c r="ED86" s="24">
        <f>IF(ED80=1,'Lease Cycles'!$D$12*IF(INDEX('Lease Cycles'!$EF$12:$EL$12,1,ED78)=1,(1-'Lease Cycles'!$AJ$12)*INDEX('Lease Cycles'!$EM$12:$ES$12,1,ED78)+(1-'Lease Cycles'!$BE$12)*IF(ED79&lt;INDEX('Lease Cycles'!$FA$12:$FG$12,1,ED78),0,1-INDEX('Lease Cycles'!$EM$12:$ES$12,1,ED78)),IF(OR(INDEX('Lease Cycles'!$DY$12:$EE$12,1,ED78)=1,ED79&gt;0),1,1-INDEX('Lease Cycles'!$DD$12:$DJ$12,1,ED78))*((1-'Lease Cycles'!$AJ$12)*INDEX('Lease Cycles'!$FO$12:$FU$12,1,ED78)+(1-'Lease Cycles'!$BE$12)*(1-INDEX('Lease Cycles'!$FO$12:$FU$12,1,ED78)))),0)</f>
        <v>0.03350083752093802</v>
      </c>
      <c r="EE86" s="24">
        <f>IF(EE80=1,'Lease Cycles'!$D$12*IF(INDEX('Lease Cycles'!$EF$12:$EL$12,1,EE78)=1,(1-'Lease Cycles'!$AJ$12)*INDEX('Lease Cycles'!$EM$12:$ES$12,1,EE78)+(1-'Lease Cycles'!$BE$12)*IF(EE79&lt;INDEX('Lease Cycles'!$FA$12:$FG$12,1,EE78),0,1-INDEX('Lease Cycles'!$EM$12:$ES$12,1,EE78)),IF(OR(INDEX('Lease Cycles'!$DY$12:$EE$12,1,EE78)=1,EE79&gt;0),1,1-INDEX('Lease Cycles'!$DD$12:$DJ$12,1,EE78))*((1-'Lease Cycles'!$AJ$12)*INDEX('Lease Cycles'!$FO$12:$FU$12,1,EE78)+(1-'Lease Cycles'!$BE$12)*(1-INDEX('Lease Cycles'!$FO$12:$FU$12,1,EE78)))),0)</f>
        <v>0.03350083752093802</v>
      </c>
      <c r="EF86" s="24">
        <f>IF(EF80=1,'Lease Cycles'!$D$12*IF(INDEX('Lease Cycles'!$EF$12:$EL$12,1,EF78)=1,(1-'Lease Cycles'!$AJ$12)*INDEX('Lease Cycles'!$EM$12:$ES$12,1,EF78)+(1-'Lease Cycles'!$BE$12)*IF(EF79&lt;INDEX('Lease Cycles'!$FA$12:$FG$12,1,EF78),0,1-INDEX('Lease Cycles'!$EM$12:$ES$12,1,EF78)),IF(OR(INDEX('Lease Cycles'!$DY$12:$EE$12,1,EF78)=1,EF79&gt;0),1,1-INDEX('Lease Cycles'!$DD$12:$DJ$12,1,EF78))*((1-'Lease Cycles'!$AJ$12)*INDEX('Lease Cycles'!$FO$12:$FU$12,1,EF78)+(1-'Lease Cycles'!$BE$12)*(1-INDEX('Lease Cycles'!$FO$12:$FU$12,1,EF78)))),0)</f>
        <v>0.03350083752093802</v>
      </c>
      <c r="EG86" s="24">
        <f>IF(EG80=1,'Lease Cycles'!$D$12*IF(INDEX('Lease Cycles'!$EF$12:$EL$12,1,EG78)=1,(1-'Lease Cycles'!$AJ$12)*INDEX('Lease Cycles'!$EM$12:$ES$12,1,EG78)+(1-'Lease Cycles'!$BE$12)*IF(EG79&lt;INDEX('Lease Cycles'!$FA$12:$FG$12,1,EG78),0,1-INDEX('Lease Cycles'!$EM$12:$ES$12,1,EG78)),IF(OR(INDEX('Lease Cycles'!$DY$12:$EE$12,1,EG78)=1,EG79&gt;0),1,1-INDEX('Lease Cycles'!$DD$12:$DJ$12,1,EG78))*((1-'Lease Cycles'!$AJ$12)*INDEX('Lease Cycles'!$FO$12:$FU$12,1,EG78)+(1-'Lease Cycles'!$BE$12)*(1-INDEX('Lease Cycles'!$FO$12:$FU$12,1,EG78)))),0)</f>
        <v>0.03350083752093802</v>
      </c>
      <c r="EH86" s="24">
        <f>IF(EH80=1,'Lease Cycles'!$D$12*IF(INDEX('Lease Cycles'!$EF$12:$EL$12,1,EH78)=1,(1-'Lease Cycles'!$AJ$12)*INDEX('Lease Cycles'!$EM$12:$ES$12,1,EH78)+(1-'Lease Cycles'!$BE$12)*IF(EH79&lt;INDEX('Lease Cycles'!$FA$12:$FG$12,1,EH78),0,1-INDEX('Lease Cycles'!$EM$12:$ES$12,1,EH78)),IF(OR(INDEX('Lease Cycles'!$DY$12:$EE$12,1,EH78)=1,EH79&gt;0),1,1-INDEX('Lease Cycles'!$DD$12:$DJ$12,1,EH78))*((1-'Lease Cycles'!$AJ$12)*INDEX('Lease Cycles'!$FO$12:$FU$12,1,EH78)+(1-'Lease Cycles'!$BE$12)*(1-INDEX('Lease Cycles'!$FO$12:$FU$12,1,EH78)))),0)</f>
        <v>0.03350083752093802</v>
      </c>
      <c r="EI86" s="24">
        <f>IF(EI80=1,'Lease Cycles'!$D$12*IF(INDEX('Lease Cycles'!$EF$12:$EL$12,1,EI78)=1,(1-'Lease Cycles'!$AJ$12)*INDEX('Lease Cycles'!$EM$12:$ES$12,1,EI78)+(1-'Lease Cycles'!$BE$12)*IF(EI79&lt;INDEX('Lease Cycles'!$FA$12:$FG$12,1,EI78),0,1-INDEX('Lease Cycles'!$EM$12:$ES$12,1,EI78)),IF(OR(INDEX('Lease Cycles'!$DY$12:$EE$12,1,EI78)=1,EI79&gt;0),1,1-INDEX('Lease Cycles'!$DD$12:$DJ$12,1,EI78))*((1-'Lease Cycles'!$AJ$12)*INDEX('Lease Cycles'!$FO$12:$FU$12,1,EI78)+(1-'Lease Cycles'!$BE$12)*(1-INDEX('Lease Cycles'!$FO$12:$FU$12,1,EI78)))),0)</f>
        <v>0.03350083752093802</v>
      </c>
      <c r="EJ86" s="24">
        <f>IF(EJ80=1,'Lease Cycles'!$D$12*IF(INDEX('Lease Cycles'!$EF$12:$EL$12,1,EJ78)=1,(1-'Lease Cycles'!$AJ$12)*INDEX('Lease Cycles'!$EM$12:$ES$12,1,EJ78)+(1-'Lease Cycles'!$BE$12)*IF(EJ79&lt;INDEX('Lease Cycles'!$FA$12:$FG$12,1,EJ78),0,1-INDEX('Lease Cycles'!$EM$12:$ES$12,1,EJ78)),IF(OR(INDEX('Lease Cycles'!$DY$12:$EE$12,1,EJ78)=1,EJ79&gt;0),1,1-INDEX('Lease Cycles'!$DD$12:$DJ$12,1,EJ78))*((1-'Lease Cycles'!$AJ$12)*INDEX('Lease Cycles'!$FO$12:$FU$12,1,EJ78)+(1-'Lease Cycles'!$BE$12)*(1-INDEX('Lease Cycles'!$FO$12:$FU$12,1,EJ78)))),0)</f>
        <v>0.03350083752093802</v>
      </c>
      <c r="EK86" s="24">
        <f>IF(EK80=1,'Lease Cycles'!$D$12*IF(INDEX('Lease Cycles'!$EF$12:$EL$12,1,EK78)=1,(1-'Lease Cycles'!$AJ$12)*INDEX('Lease Cycles'!$EM$12:$ES$12,1,EK78)+(1-'Lease Cycles'!$BE$12)*IF(EK79&lt;INDEX('Lease Cycles'!$FA$12:$FG$12,1,EK78),0,1-INDEX('Lease Cycles'!$EM$12:$ES$12,1,EK78)),IF(OR(INDEX('Lease Cycles'!$DY$12:$EE$12,1,EK78)=1,EK79&gt;0),1,1-INDEX('Lease Cycles'!$DD$12:$DJ$12,1,EK78))*((1-'Lease Cycles'!$AJ$12)*INDEX('Lease Cycles'!$FO$12:$FU$12,1,EK78)+(1-'Lease Cycles'!$BE$12)*(1-INDEX('Lease Cycles'!$FO$12:$FU$12,1,EK78)))),0)</f>
        <v>0.03350083752093802</v>
      </c>
      <c r="EL86" s="24">
        <f>IF(EL80=1,'Lease Cycles'!$D$12*IF(INDEX('Lease Cycles'!$EF$12:$EL$12,1,EL78)=1,(1-'Lease Cycles'!$AJ$12)*INDEX('Lease Cycles'!$EM$12:$ES$12,1,EL78)+(1-'Lease Cycles'!$BE$12)*IF(EL79&lt;INDEX('Lease Cycles'!$FA$12:$FG$12,1,EL78),0,1-INDEX('Lease Cycles'!$EM$12:$ES$12,1,EL78)),IF(OR(INDEX('Lease Cycles'!$DY$12:$EE$12,1,EL78)=1,EL79&gt;0),1,1-INDEX('Lease Cycles'!$DD$12:$DJ$12,1,EL78))*((1-'Lease Cycles'!$AJ$12)*INDEX('Lease Cycles'!$FO$12:$FU$12,1,EL78)+(1-'Lease Cycles'!$BE$12)*(1-INDEX('Lease Cycles'!$FO$12:$FU$12,1,EL78)))),0)</f>
        <v>0.03350083752093802</v>
      </c>
      <c r="EM86" s="24">
        <f>IF(EM80=1,'Lease Cycles'!$D$12*IF(INDEX('Lease Cycles'!$EF$12:$EL$12,1,EM78)=1,(1-'Lease Cycles'!$AJ$12)*INDEX('Lease Cycles'!$EM$12:$ES$12,1,EM78)+(1-'Lease Cycles'!$BE$12)*IF(EM79&lt;INDEX('Lease Cycles'!$FA$12:$FG$12,1,EM78),0,1-INDEX('Lease Cycles'!$EM$12:$ES$12,1,EM78)),IF(OR(INDEX('Lease Cycles'!$DY$12:$EE$12,1,EM78)=1,EM79&gt;0),1,1-INDEX('Lease Cycles'!$DD$12:$DJ$12,1,EM78))*((1-'Lease Cycles'!$AJ$12)*INDEX('Lease Cycles'!$FO$12:$FU$12,1,EM78)+(1-'Lease Cycles'!$BE$12)*(1-INDEX('Lease Cycles'!$FO$12:$FU$12,1,EM78)))),0)</f>
        <v>0.03350083752093802</v>
      </c>
      <c r="EN86" s="24">
        <f>IF(EN80=1,'Lease Cycles'!$D$12*IF(INDEX('Lease Cycles'!$EF$12:$EL$12,1,EN78)=1,(1-'Lease Cycles'!$AJ$12)*INDEX('Lease Cycles'!$EM$12:$ES$12,1,EN78)+(1-'Lease Cycles'!$BE$12)*IF(EN79&lt;INDEX('Lease Cycles'!$FA$12:$FG$12,1,EN78),0,1-INDEX('Lease Cycles'!$EM$12:$ES$12,1,EN78)),IF(OR(INDEX('Lease Cycles'!$DY$12:$EE$12,1,EN78)=1,EN79&gt;0),1,1-INDEX('Lease Cycles'!$DD$12:$DJ$12,1,EN78))*((1-'Lease Cycles'!$AJ$12)*INDEX('Lease Cycles'!$FO$12:$FU$12,1,EN78)+(1-'Lease Cycles'!$BE$12)*(1-INDEX('Lease Cycles'!$FO$12:$FU$12,1,EN78)))),0)</f>
        <v>0.03350083752093802</v>
      </c>
      <c r="EO86" s="24">
        <f>IF(EO80=1,'Lease Cycles'!$D$12*IF(INDEX('Lease Cycles'!$EF$12:$EL$12,1,EO78)=1,(1-'Lease Cycles'!$AJ$12)*INDEX('Lease Cycles'!$EM$12:$ES$12,1,EO78)+(1-'Lease Cycles'!$BE$12)*IF(EO79&lt;INDEX('Lease Cycles'!$FA$12:$FG$12,1,EO78),0,1-INDEX('Lease Cycles'!$EM$12:$ES$12,1,EO78)),IF(OR(INDEX('Lease Cycles'!$DY$12:$EE$12,1,EO78)=1,EO79&gt;0),1,1-INDEX('Lease Cycles'!$DD$12:$DJ$12,1,EO78))*((1-'Lease Cycles'!$AJ$12)*INDEX('Lease Cycles'!$FO$12:$FU$12,1,EO78)+(1-'Lease Cycles'!$BE$12)*(1-INDEX('Lease Cycles'!$FO$12:$FU$12,1,EO78)))),0)</f>
        <v>0.03350083752093802</v>
      </c>
      <c r="EP86" s="24">
        <f>IF(EP80=1,'Lease Cycles'!$D$12*IF(INDEX('Lease Cycles'!$EF$12:$EL$12,1,EP78)=1,(1-'Lease Cycles'!$AJ$12)*INDEX('Lease Cycles'!$EM$12:$ES$12,1,EP78)+(1-'Lease Cycles'!$BE$12)*IF(EP79&lt;INDEX('Lease Cycles'!$FA$12:$FG$12,1,EP78),0,1-INDEX('Lease Cycles'!$EM$12:$ES$12,1,EP78)),IF(OR(INDEX('Lease Cycles'!$DY$12:$EE$12,1,EP78)=1,EP79&gt;0),1,1-INDEX('Lease Cycles'!$DD$12:$DJ$12,1,EP78))*((1-'Lease Cycles'!$AJ$12)*INDEX('Lease Cycles'!$FO$12:$FU$12,1,EP78)+(1-'Lease Cycles'!$BE$12)*(1-INDEX('Lease Cycles'!$FO$12:$FU$12,1,EP78)))),0)</f>
        <v>0.03350083752093802</v>
      </c>
      <c r="EQ86" s="24">
        <f>IF(EQ80=1,'Lease Cycles'!$D$12*IF(INDEX('Lease Cycles'!$EF$12:$EL$12,1,EQ78)=1,(1-'Lease Cycles'!$AJ$12)*INDEX('Lease Cycles'!$EM$12:$ES$12,1,EQ78)+(1-'Lease Cycles'!$BE$12)*IF(EQ79&lt;INDEX('Lease Cycles'!$FA$12:$FG$12,1,EQ78),0,1-INDEX('Lease Cycles'!$EM$12:$ES$12,1,EQ78)),IF(OR(INDEX('Lease Cycles'!$DY$12:$EE$12,1,EQ78)=1,EQ79&gt;0),1,1-INDEX('Lease Cycles'!$DD$12:$DJ$12,1,EQ78))*((1-'Lease Cycles'!$AJ$12)*INDEX('Lease Cycles'!$FO$12:$FU$12,1,EQ78)+(1-'Lease Cycles'!$BE$12)*(1-INDEX('Lease Cycles'!$FO$12:$FU$12,1,EQ78)))),0)</f>
        <v>0.03350083752093802</v>
      </c>
      <c r="ER86" s="24">
        <f>IF(ER80=1,'Lease Cycles'!$D$12*IF(INDEX('Lease Cycles'!$EF$12:$EL$12,1,ER78)=1,(1-'Lease Cycles'!$AJ$12)*INDEX('Lease Cycles'!$EM$12:$ES$12,1,ER78)+(1-'Lease Cycles'!$BE$12)*IF(ER79&lt;INDEX('Lease Cycles'!$FA$12:$FG$12,1,ER78),0,1-INDEX('Lease Cycles'!$EM$12:$ES$12,1,ER78)),IF(OR(INDEX('Lease Cycles'!$DY$12:$EE$12,1,ER78)=1,ER79&gt;0),1,1-INDEX('Lease Cycles'!$DD$12:$DJ$12,1,ER78))*((1-'Lease Cycles'!$AJ$12)*INDEX('Lease Cycles'!$FO$12:$FU$12,1,ER78)+(1-'Lease Cycles'!$BE$12)*(1-INDEX('Lease Cycles'!$FO$12:$FU$12,1,ER78)))),0)</f>
        <v>0.03350083752093802</v>
      </c>
      <c r="ES86" s="24">
        <f>IF(ES80=1,'Lease Cycles'!$D$12*IF(INDEX('Lease Cycles'!$EF$12:$EL$12,1,ES78)=1,(1-'Lease Cycles'!$AJ$12)*INDEX('Lease Cycles'!$EM$12:$ES$12,1,ES78)+(1-'Lease Cycles'!$BE$12)*IF(ES79&lt;INDEX('Lease Cycles'!$FA$12:$FG$12,1,ES78),0,1-INDEX('Lease Cycles'!$EM$12:$ES$12,1,ES78)),IF(OR(INDEX('Lease Cycles'!$DY$12:$EE$12,1,ES78)=1,ES79&gt;0),1,1-INDEX('Lease Cycles'!$DD$12:$DJ$12,1,ES78))*((1-'Lease Cycles'!$AJ$12)*INDEX('Lease Cycles'!$FO$12:$FU$12,1,ES78)+(1-'Lease Cycles'!$BE$12)*(1-INDEX('Lease Cycles'!$FO$12:$FU$12,1,ES78)))),0)</f>
        <v>0.03350083752093802</v>
      </c>
      <c r="ET86" s="24">
        <f>IF(ET80=1,'Lease Cycles'!$D$12*IF(INDEX('Lease Cycles'!$EF$12:$EL$12,1,ET78)=1,(1-'Lease Cycles'!$AJ$12)*INDEX('Lease Cycles'!$EM$12:$ES$12,1,ET78)+(1-'Lease Cycles'!$BE$12)*IF(ET79&lt;INDEX('Lease Cycles'!$FA$12:$FG$12,1,ET78),0,1-INDEX('Lease Cycles'!$EM$12:$ES$12,1,ET78)),IF(OR(INDEX('Lease Cycles'!$DY$12:$EE$12,1,ET78)=1,ET79&gt;0),1,1-INDEX('Lease Cycles'!$DD$12:$DJ$12,1,ET78))*((1-'Lease Cycles'!$AJ$12)*INDEX('Lease Cycles'!$FO$12:$FU$12,1,ET78)+(1-'Lease Cycles'!$BE$12)*(1-INDEX('Lease Cycles'!$FO$12:$FU$12,1,ET78)))),0)</f>
        <v>0.03350083752093802</v>
      </c>
    </row>
    <row r="87">
      <c r="A87" s="103">
        <v>5</v>
      </c>
      <c r="B87" s="23" t="str">
        <f>IF('Lease Cycles'!$B$12="","(empty slot)",'Lease Cycles'!$B$12)</f>
        <v>Sunfield Pizza</v>
      </c>
      <c r="C87" s="23" t="s">
        <v>685</v>
      </c>
      <c r="D87" s="104" t="s">
        <v>686</v>
      </c>
      <c r="E87" s="25">
        <f>'Lease Cycles'!$AL$12</f>
        <v>0</v>
      </c>
      <c r="G87" s="24">
        <f>SUM(S87:AD87)</f>
        <v>0</v>
      </c>
      <c r="H87" s="24">
        <f>SUM(AE87:AP87)</f>
        <v>0</v>
      </c>
      <c r="I87" s="24">
        <f>SUM(AQ87:BB87)</f>
        <v>0</v>
      </c>
      <c r="J87" s="24">
        <f>SUM(BC87:BN87)</f>
        <v>0</v>
      </c>
      <c r="K87" s="24">
        <f>SUM(BO87:BZ87)</f>
        <v>0</v>
      </c>
      <c r="L87" s="24">
        <f>SUM(CA87:CL87)</f>
        <v>0</v>
      </c>
      <c r="M87" s="24">
        <f>SUM(CM87:CX87)</f>
        <v>0</v>
      </c>
      <c r="N87" s="24">
        <f>SUM(CY87:DJ87)</f>
        <v>0</v>
      </c>
      <c r="O87" s="24">
        <f>SUM(DK87:DV87)</f>
        <v>0</v>
      </c>
      <c r="P87" s="24">
        <f>SUM(DW87:EH87)</f>
        <v>0</v>
      </c>
      <c r="Q87" s="24">
        <f>SUM(EI87:ET87)</f>
        <v>0</v>
      </c>
      <c r="S87" s="24">
        <f>IF(S80=1,IF('Lease Cycles'!$AJ$12=1,0,'Lease Cycles'!$D$12*INDEX('Lease Cycles'!$FH$12:$FN$12,1,S78)*IF(INDEX('Lease Cycles'!$EF$12:$EL$12,1,S78)=1,1,IF(OR(INDEX('Lease Cycles'!$DY$12:$EE$12,1,S78)=1,S79&gt;0),1,1-INDEX('Lease Cycles'!$DD$12:$DJ$12,1,S78)))),0)</f>
        <v>0</v>
      </c>
      <c r="T87" s="24">
        <f>IF(T80=1,IF('Lease Cycles'!$AJ$12=1,0,'Lease Cycles'!$D$12*INDEX('Lease Cycles'!$FH$12:$FN$12,1,T78)*IF(INDEX('Lease Cycles'!$EF$12:$EL$12,1,T78)=1,1,IF(OR(INDEX('Lease Cycles'!$DY$12:$EE$12,1,T78)=1,T79&gt;0),1,1-INDEX('Lease Cycles'!$DD$12:$DJ$12,1,T78)))),0)</f>
        <v>0</v>
      </c>
      <c r="U87" s="24">
        <f>IF(U80=1,IF('Lease Cycles'!$AJ$12=1,0,'Lease Cycles'!$D$12*INDEX('Lease Cycles'!$FH$12:$FN$12,1,U78)*IF(INDEX('Lease Cycles'!$EF$12:$EL$12,1,U78)=1,1,IF(OR(INDEX('Lease Cycles'!$DY$12:$EE$12,1,U78)=1,U79&gt;0),1,1-INDEX('Lease Cycles'!$DD$12:$DJ$12,1,U78)))),0)</f>
        <v>0</v>
      </c>
      <c r="V87" s="24">
        <f>IF(V80=1,IF('Lease Cycles'!$AJ$12=1,0,'Lease Cycles'!$D$12*INDEX('Lease Cycles'!$FH$12:$FN$12,1,V78)*IF(INDEX('Lease Cycles'!$EF$12:$EL$12,1,V78)=1,1,IF(OR(INDEX('Lease Cycles'!$DY$12:$EE$12,1,V78)=1,V79&gt;0),1,1-INDEX('Lease Cycles'!$DD$12:$DJ$12,1,V78)))),0)</f>
        <v>0</v>
      </c>
      <c r="W87" s="24">
        <f>IF(W80=1,IF('Lease Cycles'!$AJ$12=1,0,'Lease Cycles'!$D$12*INDEX('Lease Cycles'!$FH$12:$FN$12,1,W78)*IF(INDEX('Lease Cycles'!$EF$12:$EL$12,1,W78)=1,1,IF(OR(INDEX('Lease Cycles'!$DY$12:$EE$12,1,W78)=1,W79&gt;0),1,1-INDEX('Lease Cycles'!$DD$12:$DJ$12,1,W78)))),0)</f>
        <v>0</v>
      </c>
      <c r="X87" s="24">
        <f>IF(X80=1,IF('Lease Cycles'!$AJ$12=1,0,'Lease Cycles'!$D$12*INDEX('Lease Cycles'!$FH$12:$FN$12,1,X78)*IF(INDEX('Lease Cycles'!$EF$12:$EL$12,1,X78)=1,1,IF(OR(INDEX('Lease Cycles'!$DY$12:$EE$12,1,X78)=1,X79&gt;0),1,1-INDEX('Lease Cycles'!$DD$12:$DJ$12,1,X78)))),0)</f>
        <v>0</v>
      </c>
      <c r="Y87" s="24">
        <f>IF(Y80=1,IF('Lease Cycles'!$AJ$12=1,0,'Lease Cycles'!$D$12*INDEX('Lease Cycles'!$FH$12:$FN$12,1,Y78)*IF(INDEX('Lease Cycles'!$EF$12:$EL$12,1,Y78)=1,1,IF(OR(INDEX('Lease Cycles'!$DY$12:$EE$12,1,Y78)=1,Y79&gt;0),1,1-INDEX('Lease Cycles'!$DD$12:$DJ$12,1,Y78)))),0)</f>
        <v>0</v>
      </c>
      <c r="Z87" s="24">
        <f>IF(Z80=1,IF('Lease Cycles'!$AJ$12=1,0,'Lease Cycles'!$D$12*INDEX('Lease Cycles'!$FH$12:$FN$12,1,Z78)*IF(INDEX('Lease Cycles'!$EF$12:$EL$12,1,Z78)=1,1,IF(OR(INDEX('Lease Cycles'!$DY$12:$EE$12,1,Z78)=1,Z79&gt;0),1,1-INDEX('Lease Cycles'!$DD$12:$DJ$12,1,Z78)))),0)</f>
        <v>0</v>
      </c>
      <c r="AA87" s="24">
        <f>IF(AA80=1,IF('Lease Cycles'!$AJ$12=1,0,'Lease Cycles'!$D$12*INDEX('Lease Cycles'!$FH$12:$FN$12,1,AA78)*IF(INDEX('Lease Cycles'!$EF$12:$EL$12,1,AA78)=1,1,IF(OR(INDEX('Lease Cycles'!$DY$12:$EE$12,1,AA78)=1,AA79&gt;0),1,1-INDEX('Lease Cycles'!$DD$12:$DJ$12,1,AA78)))),0)</f>
        <v>0</v>
      </c>
      <c r="AB87" s="24">
        <f>IF(AB80=1,IF('Lease Cycles'!$AJ$12=1,0,'Lease Cycles'!$D$12*INDEX('Lease Cycles'!$FH$12:$FN$12,1,AB78)*IF(INDEX('Lease Cycles'!$EF$12:$EL$12,1,AB78)=1,1,IF(OR(INDEX('Lease Cycles'!$DY$12:$EE$12,1,AB78)=1,AB79&gt;0),1,1-INDEX('Lease Cycles'!$DD$12:$DJ$12,1,AB78)))),0)</f>
        <v>0</v>
      </c>
      <c r="AC87" s="24">
        <f>IF(AC80=1,IF('Lease Cycles'!$AJ$12=1,0,'Lease Cycles'!$D$12*INDEX('Lease Cycles'!$FH$12:$FN$12,1,AC78)*IF(INDEX('Lease Cycles'!$EF$12:$EL$12,1,AC78)=1,1,IF(OR(INDEX('Lease Cycles'!$DY$12:$EE$12,1,AC78)=1,AC79&gt;0),1,1-INDEX('Lease Cycles'!$DD$12:$DJ$12,1,AC78)))),0)</f>
        <v>0</v>
      </c>
      <c r="AD87" s="24">
        <f>IF(AD80=1,IF('Lease Cycles'!$AJ$12=1,0,'Lease Cycles'!$D$12*INDEX('Lease Cycles'!$FH$12:$FN$12,1,AD78)*IF(INDEX('Lease Cycles'!$EF$12:$EL$12,1,AD78)=1,1,IF(OR(INDEX('Lease Cycles'!$DY$12:$EE$12,1,AD78)=1,AD79&gt;0),1,1-INDEX('Lease Cycles'!$DD$12:$DJ$12,1,AD78)))),0)</f>
        <v>0</v>
      </c>
      <c r="AE87" s="24">
        <f>IF(AE80=1,IF('Lease Cycles'!$AJ$12=1,0,'Lease Cycles'!$D$12*INDEX('Lease Cycles'!$FH$12:$FN$12,1,AE78)*IF(INDEX('Lease Cycles'!$EF$12:$EL$12,1,AE78)=1,1,IF(OR(INDEX('Lease Cycles'!$DY$12:$EE$12,1,AE78)=1,AE79&gt;0),1,1-INDEX('Lease Cycles'!$DD$12:$DJ$12,1,AE78)))),0)</f>
        <v>0</v>
      </c>
      <c r="AF87" s="24">
        <f>IF(AF80=1,IF('Lease Cycles'!$AJ$12=1,0,'Lease Cycles'!$D$12*INDEX('Lease Cycles'!$FH$12:$FN$12,1,AF78)*IF(INDEX('Lease Cycles'!$EF$12:$EL$12,1,AF78)=1,1,IF(OR(INDEX('Lease Cycles'!$DY$12:$EE$12,1,AF78)=1,AF79&gt;0),1,1-INDEX('Lease Cycles'!$DD$12:$DJ$12,1,AF78)))),0)</f>
        <v>0</v>
      </c>
      <c r="AG87" s="24">
        <f>IF(AG80=1,IF('Lease Cycles'!$AJ$12=1,0,'Lease Cycles'!$D$12*INDEX('Lease Cycles'!$FH$12:$FN$12,1,AG78)*IF(INDEX('Lease Cycles'!$EF$12:$EL$12,1,AG78)=1,1,IF(OR(INDEX('Lease Cycles'!$DY$12:$EE$12,1,AG78)=1,AG79&gt;0),1,1-INDEX('Lease Cycles'!$DD$12:$DJ$12,1,AG78)))),0)</f>
        <v>0</v>
      </c>
      <c r="AH87" s="24">
        <f>IF(AH80=1,IF('Lease Cycles'!$AJ$12=1,0,'Lease Cycles'!$D$12*INDEX('Lease Cycles'!$FH$12:$FN$12,1,AH78)*IF(INDEX('Lease Cycles'!$EF$12:$EL$12,1,AH78)=1,1,IF(OR(INDEX('Lease Cycles'!$DY$12:$EE$12,1,AH78)=1,AH79&gt;0),1,1-INDEX('Lease Cycles'!$DD$12:$DJ$12,1,AH78)))),0)</f>
        <v>0</v>
      </c>
      <c r="AI87" s="24">
        <f>IF(AI80=1,IF('Lease Cycles'!$AJ$12=1,0,'Lease Cycles'!$D$12*INDEX('Lease Cycles'!$FH$12:$FN$12,1,AI78)*IF(INDEX('Lease Cycles'!$EF$12:$EL$12,1,AI78)=1,1,IF(OR(INDEX('Lease Cycles'!$DY$12:$EE$12,1,AI78)=1,AI79&gt;0),1,1-INDEX('Lease Cycles'!$DD$12:$DJ$12,1,AI78)))),0)</f>
        <v>0</v>
      </c>
      <c r="AJ87" s="24">
        <f>IF(AJ80=1,IF('Lease Cycles'!$AJ$12=1,0,'Lease Cycles'!$D$12*INDEX('Lease Cycles'!$FH$12:$FN$12,1,AJ78)*IF(INDEX('Lease Cycles'!$EF$12:$EL$12,1,AJ78)=1,1,IF(OR(INDEX('Lease Cycles'!$DY$12:$EE$12,1,AJ78)=1,AJ79&gt;0),1,1-INDEX('Lease Cycles'!$DD$12:$DJ$12,1,AJ78)))),0)</f>
        <v>0</v>
      </c>
      <c r="AK87" s="24">
        <f>IF(AK80=1,IF('Lease Cycles'!$AJ$12=1,0,'Lease Cycles'!$D$12*INDEX('Lease Cycles'!$FH$12:$FN$12,1,AK78)*IF(INDEX('Lease Cycles'!$EF$12:$EL$12,1,AK78)=1,1,IF(OR(INDEX('Lease Cycles'!$DY$12:$EE$12,1,AK78)=1,AK79&gt;0),1,1-INDEX('Lease Cycles'!$DD$12:$DJ$12,1,AK78)))),0)</f>
        <v>0</v>
      </c>
      <c r="AL87" s="24">
        <f>IF(AL80=1,IF('Lease Cycles'!$AJ$12=1,0,'Lease Cycles'!$D$12*INDEX('Lease Cycles'!$FH$12:$FN$12,1,AL78)*IF(INDEX('Lease Cycles'!$EF$12:$EL$12,1,AL78)=1,1,IF(OR(INDEX('Lease Cycles'!$DY$12:$EE$12,1,AL78)=1,AL79&gt;0),1,1-INDEX('Lease Cycles'!$DD$12:$DJ$12,1,AL78)))),0)</f>
        <v>0</v>
      </c>
      <c r="AM87" s="24">
        <f>IF(AM80=1,IF('Lease Cycles'!$AJ$12=1,0,'Lease Cycles'!$D$12*INDEX('Lease Cycles'!$FH$12:$FN$12,1,AM78)*IF(INDEX('Lease Cycles'!$EF$12:$EL$12,1,AM78)=1,1,IF(OR(INDEX('Lease Cycles'!$DY$12:$EE$12,1,AM78)=1,AM79&gt;0),1,1-INDEX('Lease Cycles'!$DD$12:$DJ$12,1,AM78)))),0)</f>
        <v>0</v>
      </c>
      <c r="AN87" s="24">
        <f>IF(AN80=1,IF('Lease Cycles'!$AJ$12=1,0,'Lease Cycles'!$D$12*INDEX('Lease Cycles'!$FH$12:$FN$12,1,AN78)*IF(INDEX('Lease Cycles'!$EF$12:$EL$12,1,AN78)=1,1,IF(OR(INDEX('Lease Cycles'!$DY$12:$EE$12,1,AN78)=1,AN79&gt;0),1,1-INDEX('Lease Cycles'!$DD$12:$DJ$12,1,AN78)))),0)</f>
        <v>0</v>
      </c>
      <c r="AO87" s="24">
        <f>IF(AO80=1,IF('Lease Cycles'!$AJ$12=1,0,'Lease Cycles'!$D$12*INDEX('Lease Cycles'!$FH$12:$FN$12,1,AO78)*IF(INDEX('Lease Cycles'!$EF$12:$EL$12,1,AO78)=1,1,IF(OR(INDEX('Lease Cycles'!$DY$12:$EE$12,1,AO78)=1,AO79&gt;0),1,1-INDEX('Lease Cycles'!$DD$12:$DJ$12,1,AO78)))),0)</f>
        <v>0</v>
      </c>
      <c r="AP87" s="24">
        <f>IF(AP80=1,IF('Lease Cycles'!$AJ$12=1,0,'Lease Cycles'!$D$12*INDEX('Lease Cycles'!$FH$12:$FN$12,1,AP78)*IF(INDEX('Lease Cycles'!$EF$12:$EL$12,1,AP78)=1,1,IF(OR(INDEX('Lease Cycles'!$DY$12:$EE$12,1,AP78)=1,AP79&gt;0),1,1-INDEX('Lease Cycles'!$DD$12:$DJ$12,1,AP78)))),0)</f>
        <v>0</v>
      </c>
      <c r="AQ87" s="24">
        <f>IF(AQ80=1,IF('Lease Cycles'!$AJ$12=1,0,'Lease Cycles'!$D$12*INDEX('Lease Cycles'!$FH$12:$FN$12,1,AQ78)*IF(INDEX('Lease Cycles'!$EF$12:$EL$12,1,AQ78)=1,1,IF(OR(INDEX('Lease Cycles'!$DY$12:$EE$12,1,AQ78)=1,AQ79&gt;0),1,1-INDEX('Lease Cycles'!$DD$12:$DJ$12,1,AQ78)))),0)</f>
        <v>0</v>
      </c>
      <c r="AR87" s="24">
        <f>IF(AR80=1,IF('Lease Cycles'!$AJ$12=1,0,'Lease Cycles'!$D$12*INDEX('Lease Cycles'!$FH$12:$FN$12,1,AR78)*IF(INDEX('Lease Cycles'!$EF$12:$EL$12,1,AR78)=1,1,IF(OR(INDEX('Lease Cycles'!$DY$12:$EE$12,1,AR78)=1,AR79&gt;0),1,1-INDEX('Lease Cycles'!$DD$12:$DJ$12,1,AR78)))),0)</f>
        <v>0</v>
      </c>
      <c r="AS87" s="24">
        <f>IF(AS80=1,IF('Lease Cycles'!$AJ$12=1,0,'Lease Cycles'!$D$12*INDEX('Lease Cycles'!$FH$12:$FN$12,1,AS78)*IF(INDEX('Lease Cycles'!$EF$12:$EL$12,1,AS78)=1,1,IF(OR(INDEX('Lease Cycles'!$DY$12:$EE$12,1,AS78)=1,AS79&gt;0),1,1-INDEX('Lease Cycles'!$DD$12:$DJ$12,1,AS78)))),0)</f>
        <v>0</v>
      </c>
      <c r="AT87" s="24">
        <f>IF(AT80=1,IF('Lease Cycles'!$AJ$12=1,0,'Lease Cycles'!$D$12*INDEX('Lease Cycles'!$FH$12:$FN$12,1,AT78)*IF(INDEX('Lease Cycles'!$EF$12:$EL$12,1,AT78)=1,1,IF(OR(INDEX('Lease Cycles'!$DY$12:$EE$12,1,AT78)=1,AT79&gt;0),1,1-INDEX('Lease Cycles'!$DD$12:$DJ$12,1,AT78)))),0)</f>
        <v>0</v>
      </c>
      <c r="AU87" s="24">
        <f>IF(AU80=1,IF('Lease Cycles'!$AJ$12=1,0,'Lease Cycles'!$D$12*INDEX('Lease Cycles'!$FH$12:$FN$12,1,AU78)*IF(INDEX('Lease Cycles'!$EF$12:$EL$12,1,AU78)=1,1,IF(OR(INDEX('Lease Cycles'!$DY$12:$EE$12,1,AU78)=1,AU79&gt;0),1,1-INDEX('Lease Cycles'!$DD$12:$DJ$12,1,AU78)))),0)</f>
        <v>0</v>
      </c>
      <c r="AV87" s="24">
        <f>IF(AV80=1,IF('Lease Cycles'!$AJ$12=1,0,'Lease Cycles'!$D$12*INDEX('Lease Cycles'!$FH$12:$FN$12,1,AV78)*IF(INDEX('Lease Cycles'!$EF$12:$EL$12,1,AV78)=1,1,IF(OR(INDEX('Lease Cycles'!$DY$12:$EE$12,1,AV78)=1,AV79&gt;0),1,1-INDEX('Lease Cycles'!$DD$12:$DJ$12,1,AV78)))),0)</f>
        <v>0</v>
      </c>
      <c r="AW87" s="24">
        <f>IF(AW80=1,IF('Lease Cycles'!$AJ$12=1,0,'Lease Cycles'!$D$12*INDEX('Lease Cycles'!$FH$12:$FN$12,1,AW78)*IF(INDEX('Lease Cycles'!$EF$12:$EL$12,1,AW78)=1,1,IF(OR(INDEX('Lease Cycles'!$DY$12:$EE$12,1,AW78)=1,AW79&gt;0),1,1-INDEX('Lease Cycles'!$DD$12:$DJ$12,1,AW78)))),0)</f>
        <v>0</v>
      </c>
      <c r="AX87" s="24">
        <f>IF(AX80=1,IF('Lease Cycles'!$AJ$12=1,0,'Lease Cycles'!$D$12*INDEX('Lease Cycles'!$FH$12:$FN$12,1,AX78)*IF(INDEX('Lease Cycles'!$EF$12:$EL$12,1,AX78)=1,1,IF(OR(INDEX('Lease Cycles'!$DY$12:$EE$12,1,AX78)=1,AX79&gt;0),1,1-INDEX('Lease Cycles'!$DD$12:$DJ$12,1,AX78)))),0)</f>
        <v>0</v>
      </c>
      <c r="AY87" s="24">
        <f>IF(AY80=1,IF('Lease Cycles'!$AJ$12=1,0,'Lease Cycles'!$D$12*INDEX('Lease Cycles'!$FH$12:$FN$12,1,AY78)*IF(INDEX('Lease Cycles'!$EF$12:$EL$12,1,AY78)=1,1,IF(OR(INDEX('Lease Cycles'!$DY$12:$EE$12,1,AY78)=1,AY79&gt;0),1,1-INDEX('Lease Cycles'!$DD$12:$DJ$12,1,AY78)))),0)</f>
        <v>0</v>
      </c>
      <c r="AZ87" s="24">
        <f>IF(AZ80=1,IF('Lease Cycles'!$AJ$12=1,0,'Lease Cycles'!$D$12*INDEX('Lease Cycles'!$FH$12:$FN$12,1,AZ78)*IF(INDEX('Lease Cycles'!$EF$12:$EL$12,1,AZ78)=1,1,IF(OR(INDEX('Lease Cycles'!$DY$12:$EE$12,1,AZ78)=1,AZ79&gt;0),1,1-INDEX('Lease Cycles'!$DD$12:$DJ$12,1,AZ78)))),0)</f>
        <v>0</v>
      </c>
      <c r="BA87" s="24">
        <f>IF(BA80=1,IF('Lease Cycles'!$AJ$12=1,0,'Lease Cycles'!$D$12*INDEX('Lease Cycles'!$FH$12:$FN$12,1,BA78)*IF(INDEX('Lease Cycles'!$EF$12:$EL$12,1,BA78)=1,1,IF(OR(INDEX('Lease Cycles'!$DY$12:$EE$12,1,BA78)=1,BA79&gt;0),1,1-INDEX('Lease Cycles'!$DD$12:$DJ$12,1,BA78)))),0)</f>
        <v>0</v>
      </c>
      <c r="BB87" s="24">
        <f>IF(BB80=1,IF('Lease Cycles'!$AJ$12=1,0,'Lease Cycles'!$D$12*INDEX('Lease Cycles'!$FH$12:$FN$12,1,BB78)*IF(INDEX('Lease Cycles'!$EF$12:$EL$12,1,BB78)=1,1,IF(OR(INDEX('Lease Cycles'!$DY$12:$EE$12,1,BB78)=1,BB79&gt;0),1,1-INDEX('Lease Cycles'!$DD$12:$DJ$12,1,BB78)))),0)</f>
        <v>0</v>
      </c>
      <c r="BC87" s="24">
        <f>IF(BC80=1,IF('Lease Cycles'!$AJ$12=1,0,'Lease Cycles'!$D$12*INDEX('Lease Cycles'!$FH$12:$FN$12,1,BC78)*IF(INDEX('Lease Cycles'!$EF$12:$EL$12,1,BC78)=1,1,IF(OR(INDEX('Lease Cycles'!$DY$12:$EE$12,1,BC78)=1,BC79&gt;0),1,1-INDEX('Lease Cycles'!$DD$12:$DJ$12,1,BC78)))),0)</f>
        <v>0</v>
      </c>
      <c r="BD87" s="24">
        <f>IF(BD80=1,IF('Lease Cycles'!$AJ$12=1,0,'Lease Cycles'!$D$12*INDEX('Lease Cycles'!$FH$12:$FN$12,1,BD78)*IF(INDEX('Lease Cycles'!$EF$12:$EL$12,1,BD78)=1,1,IF(OR(INDEX('Lease Cycles'!$DY$12:$EE$12,1,BD78)=1,BD79&gt;0),1,1-INDEX('Lease Cycles'!$DD$12:$DJ$12,1,BD78)))),0)</f>
        <v>0</v>
      </c>
      <c r="BE87" s="24">
        <f>IF(BE80=1,IF('Lease Cycles'!$AJ$12=1,0,'Lease Cycles'!$D$12*INDEX('Lease Cycles'!$FH$12:$FN$12,1,BE78)*IF(INDEX('Lease Cycles'!$EF$12:$EL$12,1,BE78)=1,1,IF(OR(INDEX('Lease Cycles'!$DY$12:$EE$12,1,BE78)=1,BE79&gt;0),1,1-INDEX('Lease Cycles'!$DD$12:$DJ$12,1,BE78)))),0)</f>
        <v>0</v>
      </c>
      <c r="BF87" s="24">
        <f>IF(BF80=1,IF('Lease Cycles'!$AJ$12=1,0,'Lease Cycles'!$D$12*INDEX('Lease Cycles'!$FH$12:$FN$12,1,BF78)*IF(INDEX('Lease Cycles'!$EF$12:$EL$12,1,BF78)=1,1,IF(OR(INDEX('Lease Cycles'!$DY$12:$EE$12,1,BF78)=1,BF79&gt;0),1,1-INDEX('Lease Cycles'!$DD$12:$DJ$12,1,BF78)))),0)</f>
        <v>0</v>
      </c>
      <c r="BG87" s="24">
        <f>IF(BG80=1,IF('Lease Cycles'!$AJ$12=1,0,'Lease Cycles'!$D$12*INDEX('Lease Cycles'!$FH$12:$FN$12,1,BG78)*IF(INDEX('Lease Cycles'!$EF$12:$EL$12,1,BG78)=1,1,IF(OR(INDEX('Lease Cycles'!$DY$12:$EE$12,1,BG78)=1,BG79&gt;0),1,1-INDEX('Lease Cycles'!$DD$12:$DJ$12,1,BG78)))),0)</f>
        <v>0</v>
      </c>
      <c r="BH87" s="24">
        <f>IF(BH80=1,IF('Lease Cycles'!$AJ$12=1,0,'Lease Cycles'!$D$12*INDEX('Lease Cycles'!$FH$12:$FN$12,1,BH78)*IF(INDEX('Lease Cycles'!$EF$12:$EL$12,1,BH78)=1,1,IF(OR(INDEX('Lease Cycles'!$DY$12:$EE$12,1,BH78)=1,BH79&gt;0),1,1-INDEX('Lease Cycles'!$DD$12:$DJ$12,1,BH78)))),0)</f>
        <v>0</v>
      </c>
      <c r="BI87" s="24">
        <f>IF(BI80=1,IF('Lease Cycles'!$AJ$12=1,0,'Lease Cycles'!$D$12*INDEX('Lease Cycles'!$FH$12:$FN$12,1,BI78)*IF(INDEX('Lease Cycles'!$EF$12:$EL$12,1,BI78)=1,1,IF(OR(INDEX('Lease Cycles'!$DY$12:$EE$12,1,BI78)=1,BI79&gt;0),1,1-INDEX('Lease Cycles'!$DD$12:$DJ$12,1,BI78)))),0)</f>
        <v>0</v>
      </c>
      <c r="BJ87" s="24">
        <f>IF(BJ80=1,IF('Lease Cycles'!$AJ$12=1,0,'Lease Cycles'!$D$12*INDEX('Lease Cycles'!$FH$12:$FN$12,1,BJ78)*IF(INDEX('Lease Cycles'!$EF$12:$EL$12,1,BJ78)=1,1,IF(OR(INDEX('Lease Cycles'!$DY$12:$EE$12,1,BJ78)=1,BJ79&gt;0),1,1-INDEX('Lease Cycles'!$DD$12:$DJ$12,1,BJ78)))),0)</f>
        <v>0</v>
      </c>
      <c r="BK87" s="24">
        <f>IF(BK80=1,IF('Lease Cycles'!$AJ$12=1,0,'Lease Cycles'!$D$12*INDEX('Lease Cycles'!$FH$12:$FN$12,1,BK78)*IF(INDEX('Lease Cycles'!$EF$12:$EL$12,1,BK78)=1,1,IF(OR(INDEX('Lease Cycles'!$DY$12:$EE$12,1,BK78)=1,BK79&gt;0),1,1-INDEX('Lease Cycles'!$DD$12:$DJ$12,1,BK78)))),0)</f>
        <v>0</v>
      </c>
      <c r="BL87" s="24">
        <f>IF(BL80=1,IF('Lease Cycles'!$AJ$12=1,0,'Lease Cycles'!$D$12*INDEX('Lease Cycles'!$FH$12:$FN$12,1,BL78)*IF(INDEX('Lease Cycles'!$EF$12:$EL$12,1,BL78)=1,1,IF(OR(INDEX('Lease Cycles'!$DY$12:$EE$12,1,BL78)=1,BL79&gt;0),1,1-INDEX('Lease Cycles'!$DD$12:$DJ$12,1,BL78)))),0)</f>
        <v>0</v>
      </c>
      <c r="BM87" s="24">
        <f>IF(BM80=1,IF('Lease Cycles'!$AJ$12=1,0,'Lease Cycles'!$D$12*INDEX('Lease Cycles'!$FH$12:$FN$12,1,BM78)*IF(INDEX('Lease Cycles'!$EF$12:$EL$12,1,BM78)=1,1,IF(OR(INDEX('Lease Cycles'!$DY$12:$EE$12,1,BM78)=1,BM79&gt;0),1,1-INDEX('Lease Cycles'!$DD$12:$DJ$12,1,BM78)))),0)</f>
        <v>0</v>
      </c>
      <c r="BN87" s="24">
        <f>IF(BN80=1,IF('Lease Cycles'!$AJ$12=1,0,'Lease Cycles'!$D$12*INDEX('Lease Cycles'!$FH$12:$FN$12,1,BN78)*IF(INDEX('Lease Cycles'!$EF$12:$EL$12,1,BN78)=1,1,IF(OR(INDEX('Lease Cycles'!$DY$12:$EE$12,1,BN78)=1,BN79&gt;0),1,1-INDEX('Lease Cycles'!$DD$12:$DJ$12,1,BN78)))),0)</f>
        <v>0</v>
      </c>
      <c r="BO87" s="24">
        <f>IF(BO80=1,IF('Lease Cycles'!$AJ$12=1,0,'Lease Cycles'!$D$12*INDEX('Lease Cycles'!$FH$12:$FN$12,1,BO78)*IF(INDEX('Lease Cycles'!$EF$12:$EL$12,1,BO78)=1,1,IF(OR(INDEX('Lease Cycles'!$DY$12:$EE$12,1,BO78)=1,BO79&gt;0),1,1-INDEX('Lease Cycles'!$DD$12:$DJ$12,1,BO78)))),0)</f>
        <v>0</v>
      </c>
      <c r="BP87" s="24">
        <f>IF(BP80=1,IF('Lease Cycles'!$AJ$12=1,0,'Lease Cycles'!$D$12*INDEX('Lease Cycles'!$FH$12:$FN$12,1,BP78)*IF(INDEX('Lease Cycles'!$EF$12:$EL$12,1,BP78)=1,1,IF(OR(INDEX('Lease Cycles'!$DY$12:$EE$12,1,BP78)=1,BP79&gt;0),1,1-INDEX('Lease Cycles'!$DD$12:$DJ$12,1,BP78)))),0)</f>
        <v>0</v>
      </c>
      <c r="BQ87" s="24">
        <f>IF(BQ80=1,IF('Lease Cycles'!$AJ$12=1,0,'Lease Cycles'!$D$12*INDEX('Lease Cycles'!$FH$12:$FN$12,1,BQ78)*IF(INDEX('Lease Cycles'!$EF$12:$EL$12,1,BQ78)=1,1,IF(OR(INDEX('Lease Cycles'!$DY$12:$EE$12,1,BQ78)=1,BQ79&gt;0),1,1-INDEX('Lease Cycles'!$DD$12:$DJ$12,1,BQ78)))),0)</f>
        <v>0</v>
      </c>
      <c r="BR87" s="24">
        <f>IF(BR80=1,IF('Lease Cycles'!$AJ$12=1,0,'Lease Cycles'!$D$12*INDEX('Lease Cycles'!$FH$12:$FN$12,1,BR78)*IF(INDEX('Lease Cycles'!$EF$12:$EL$12,1,BR78)=1,1,IF(OR(INDEX('Lease Cycles'!$DY$12:$EE$12,1,BR78)=1,BR79&gt;0),1,1-INDEX('Lease Cycles'!$DD$12:$DJ$12,1,BR78)))),0)</f>
        <v>0</v>
      </c>
      <c r="BS87" s="24">
        <f>IF(BS80=1,IF('Lease Cycles'!$AJ$12=1,0,'Lease Cycles'!$D$12*INDEX('Lease Cycles'!$FH$12:$FN$12,1,BS78)*IF(INDEX('Lease Cycles'!$EF$12:$EL$12,1,BS78)=1,1,IF(OR(INDEX('Lease Cycles'!$DY$12:$EE$12,1,BS78)=1,BS79&gt;0),1,1-INDEX('Lease Cycles'!$DD$12:$DJ$12,1,BS78)))),0)</f>
        <v>0</v>
      </c>
      <c r="BT87" s="24">
        <f>IF(BT80=1,IF('Lease Cycles'!$AJ$12=1,0,'Lease Cycles'!$D$12*INDEX('Lease Cycles'!$FH$12:$FN$12,1,BT78)*IF(INDEX('Lease Cycles'!$EF$12:$EL$12,1,BT78)=1,1,IF(OR(INDEX('Lease Cycles'!$DY$12:$EE$12,1,BT78)=1,BT79&gt;0),1,1-INDEX('Lease Cycles'!$DD$12:$DJ$12,1,BT78)))),0)</f>
        <v>0</v>
      </c>
      <c r="BU87" s="24">
        <f>IF(BU80=1,IF('Lease Cycles'!$AJ$12=1,0,'Lease Cycles'!$D$12*INDEX('Lease Cycles'!$FH$12:$FN$12,1,BU78)*IF(INDEX('Lease Cycles'!$EF$12:$EL$12,1,BU78)=1,1,IF(OR(INDEX('Lease Cycles'!$DY$12:$EE$12,1,BU78)=1,BU79&gt;0),1,1-INDEX('Lease Cycles'!$DD$12:$DJ$12,1,BU78)))),0)</f>
        <v>0</v>
      </c>
      <c r="BV87" s="24">
        <f>IF(BV80=1,IF('Lease Cycles'!$AJ$12=1,0,'Lease Cycles'!$D$12*INDEX('Lease Cycles'!$FH$12:$FN$12,1,BV78)*IF(INDEX('Lease Cycles'!$EF$12:$EL$12,1,BV78)=1,1,IF(OR(INDEX('Lease Cycles'!$DY$12:$EE$12,1,BV78)=1,BV79&gt;0),1,1-INDEX('Lease Cycles'!$DD$12:$DJ$12,1,BV78)))),0)</f>
        <v>0</v>
      </c>
      <c r="BW87" s="24">
        <f>IF(BW80=1,IF('Lease Cycles'!$AJ$12=1,0,'Lease Cycles'!$D$12*INDEX('Lease Cycles'!$FH$12:$FN$12,1,BW78)*IF(INDEX('Lease Cycles'!$EF$12:$EL$12,1,BW78)=1,1,IF(OR(INDEX('Lease Cycles'!$DY$12:$EE$12,1,BW78)=1,BW79&gt;0),1,1-INDEX('Lease Cycles'!$DD$12:$DJ$12,1,BW78)))),0)</f>
        <v>0</v>
      </c>
      <c r="BX87" s="24">
        <f>IF(BX80=1,IF('Lease Cycles'!$AJ$12=1,0,'Lease Cycles'!$D$12*INDEX('Lease Cycles'!$FH$12:$FN$12,1,BX78)*IF(INDEX('Lease Cycles'!$EF$12:$EL$12,1,BX78)=1,1,IF(OR(INDEX('Lease Cycles'!$DY$12:$EE$12,1,BX78)=1,BX79&gt;0),1,1-INDEX('Lease Cycles'!$DD$12:$DJ$12,1,BX78)))),0)</f>
        <v>0</v>
      </c>
      <c r="BY87" s="24">
        <f>IF(BY80=1,IF('Lease Cycles'!$AJ$12=1,0,'Lease Cycles'!$D$12*INDEX('Lease Cycles'!$FH$12:$FN$12,1,BY78)*IF(INDEX('Lease Cycles'!$EF$12:$EL$12,1,BY78)=1,1,IF(OR(INDEX('Lease Cycles'!$DY$12:$EE$12,1,BY78)=1,BY79&gt;0),1,1-INDEX('Lease Cycles'!$DD$12:$DJ$12,1,BY78)))),0)</f>
        <v>0</v>
      </c>
      <c r="BZ87" s="24">
        <f>IF(BZ80=1,IF('Lease Cycles'!$AJ$12=1,0,'Lease Cycles'!$D$12*INDEX('Lease Cycles'!$FH$12:$FN$12,1,BZ78)*IF(INDEX('Lease Cycles'!$EF$12:$EL$12,1,BZ78)=1,1,IF(OR(INDEX('Lease Cycles'!$DY$12:$EE$12,1,BZ78)=1,BZ79&gt;0),1,1-INDEX('Lease Cycles'!$DD$12:$DJ$12,1,BZ78)))),0)</f>
        <v>0</v>
      </c>
      <c r="CA87" s="24">
        <f>IF(CA80=1,IF('Lease Cycles'!$AJ$12=1,0,'Lease Cycles'!$D$12*INDEX('Lease Cycles'!$FH$12:$FN$12,1,CA78)*IF(INDEX('Lease Cycles'!$EF$12:$EL$12,1,CA78)=1,1,IF(OR(INDEX('Lease Cycles'!$DY$12:$EE$12,1,CA78)=1,CA79&gt;0),1,1-INDEX('Lease Cycles'!$DD$12:$DJ$12,1,CA78)))),0)</f>
        <v>0</v>
      </c>
      <c r="CB87" s="24">
        <f>IF(CB80=1,IF('Lease Cycles'!$AJ$12=1,0,'Lease Cycles'!$D$12*INDEX('Lease Cycles'!$FH$12:$FN$12,1,CB78)*IF(INDEX('Lease Cycles'!$EF$12:$EL$12,1,CB78)=1,1,IF(OR(INDEX('Lease Cycles'!$DY$12:$EE$12,1,CB78)=1,CB79&gt;0),1,1-INDEX('Lease Cycles'!$DD$12:$DJ$12,1,CB78)))),0)</f>
        <v>0</v>
      </c>
      <c r="CC87" s="24">
        <f>IF(CC80=1,IF('Lease Cycles'!$AJ$12=1,0,'Lease Cycles'!$D$12*INDEX('Lease Cycles'!$FH$12:$FN$12,1,CC78)*IF(INDEX('Lease Cycles'!$EF$12:$EL$12,1,CC78)=1,1,IF(OR(INDEX('Lease Cycles'!$DY$12:$EE$12,1,CC78)=1,CC79&gt;0),1,1-INDEX('Lease Cycles'!$DD$12:$DJ$12,1,CC78)))),0)</f>
        <v>0</v>
      </c>
      <c r="CD87" s="24">
        <f>IF(CD80=1,IF('Lease Cycles'!$AJ$12=1,0,'Lease Cycles'!$D$12*INDEX('Lease Cycles'!$FH$12:$FN$12,1,CD78)*IF(INDEX('Lease Cycles'!$EF$12:$EL$12,1,CD78)=1,1,IF(OR(INDEX('Lease Cycles'!$DY$12:$EE$12,1,CD78)=1,CD79&gt;0),1,1-INDEX('Lease Cycles'!$DD$12:$DJ$12,1,CD78)))),0)</f>
        <v>0</v>
      </c>
      <c r="CE87" s="24">
        <f>IF(CE80=1,IF('Lease Cycles'!$AJ$12=1,0,'Lease Cycles'!$D$12*INDEX('Lease Cycles'!$FH$12:$FN$12,1,CE78)*IF(INDEX('Lease Cycles'!$EF$12:$EL$12,1,CE78)=1,1,IF(OR(INDEX('Lease Cycles'!$DY$12:$EE$12,1,CE78)=1,CE79&gt;0),1,1-INDEX('Lease Cycles'!$DD$12:$DJ$12,1,CE78)))),0)</f>
        <v>0</v>
      </c>
      <c r="CF87" s="24">
        <f>IF(CF80=1,IF('Lease Cycles'!$AJ$12=1,0,'Lease Cycles'!$D$12*INDEX('Lease Cycles'!$FH$12:$FN$12,1,CF78)*IF(INDEX('Lease Cycles'!$EF$12:$EL$12,1,CF78)=1,1,IF(OR(INDEX('Lease Cycles'!$DY$12:$EE$12,1,CF78)=1,CF79&gt;0),1,1-INDEX('Lease Cycles'!$DD$12:$DJ$12,1,CF78)))),0)</f>
        <v>0</v>
      </c>
      <c r="CG87" s="24">
        <f>IF(CG80=1,IF('Lease Cycles'!$AJ$12=1,0,'Lease Cycles'!$D$12*INDEX('Lease Cycles'!$FH$12:$FN$12,1,CG78)*IF(INDEX('Lease Cycles'!$EF$12:$EL$12,1,CG78)=1,1,IF(OR(INDEX('Lease Cycles'!$DY$12:$EE$12,1,CG78)=1,CG79&gt;0),1,1-INDEX('Lease Cycles'!$DD$12:$DJ$12,1,CG78)))),0)</f>
        <v>0</v>
      </c>
      <c r="CH87" s="24">
        <f>IF(CH80=1,IF('Lease Cycles'!$AJ$12=1,0,'Lease Cycles'!$D$12*INDEX('Lease Cycles'!$FH$12:$FN$12,1,CH78)*IF(INDEX('Lease Cycles'!$EF$12:$EL$12,1,CH78)=1,1,IF(OR(INDEX('Lease Cycles'!$DY$12:$EE$12,1,CH78)=1,CH79&gt;0),1,1-INDEX('Lease Cycles'!$DD$12:$DJ$12,1,CH78)))),0)</f>
        <v>0</v>
      </c>
      <c r="CI87" s="24">
        <f>IF(CI80=1,IF('Lease Cycles'!$AJ$12=1,0,'Lease Cycles'!$D$12*INDEX('Lease Cycles'!$FH$12:$FN$12,1,CI78)*IF(INDEX('Lease Cycles'!$EF$12:$EL$12,1,CI78)=1,1,IF(OR(INDEX('Lease Cycles'!$DY$12:$EE$12,1,CI78)=1,CI79&gt;0),1,1-INDEX('Lease Cycles'!$DD$12:$DJ$12,1,CI78)))),0)</f>
        <v>0</v>
      </c>
      <c r="CJ87" s="24">
        <f>IF(CJ80=1,IF('Lease Cycles'!$AJ$12=1,0,'Lease Cycles'!$D$12*INDEX('Lease Cycles'!$FH$12:$FN$12,1,CJ78)*IF(INDEX('Lease Cycles'!$EF$12:$EL$12,1,CJ78)=1,1,IF(OR(INDEX('Lease Cycles'!$DY$12:$EE$12,1,CJ78)=1,CJ79&gt;0),1,1-INDEX('Lease Cycles'!$DD$12:$DJ$12,1,CJ78)))),0)</f>
        <v>0</v>
      </c>
      <c r="CK87" s="24">
        <f>IF(CK80=1,IF('Lease Cycles'!$AJ$12=1,0,'Lease Cycles'!$D$12*INDEX('Lease Cycles'!$FH$12:$FN$12,1,CK78)*IF(INDEX('Lease Cycles'!$EF$12:$EL$12,1,CK78)=1,1,IF(OR(INDEX('Lease Cycles'!$DY$12:$EE$12,1,CK78)=1,CK79&gt;0),1,1-INDEX('Lease Cycles'!$DD$12:$DJ$12,1,CK78)))),0)</f>
        <v>0</v>
      </c>
      <c r="CL87" s="24">
        <f>IF(CL80=1,IF('Lease Cycles'!$AJ$12=1,0,'Lease Cycles'!$D$12*INDEX('Lease Cycles'!$FH$12:$FN$12,1,CL78)*IF(INDEX('Lease Cycles'!$EF$12:$EL$12,1,CL78)=1,1,IF(OR(INDEX('Lease Cycles'!$DY$12:$EE$12,1,CL78)=1,CL79&gt;0),1,1-INDEX('Lease Cycles'!$DD$12:$DJ$12,1,CL78)))),0)</f>
        <v>0</v>
      </c>
      <c r="CM87" s="24">
        <f>IF(CM80=1,IF('Lease Cycles'!$AJ$12=1,0,'Lease Cycles'!$D$12*INDEX('Lease Cycles'!$FH$12:$FN$12,1,CM78)*IF(INDEX('Lease Cycles'!$EF$12:$EL$12,1,CM78)=1,1,IF(OR(INDEX('Lease Cycles'!$DY$12:$EE$12,1,CM78)=1,CM79&gt;0),1,1-INDEX('Lease Cycles'!$DD$12:$DJ$12,1,CM78)))),0)</f>
        <v>0</v>
      </c>
      <c r="CN87" s="24">
        <f>IF(CN80=1,IF('Lease Cycles'!$AJ$12=1,0,'Lease Cycles'!$D$12*INDEX('Lease Cycles'!$FH$12:$FN$12,1,CN78)*IF(INDEX('Lease Cycles'!$EF$12:$EL$12,1,CN78)=1,1,IF(OR(INDEX('Lease Cycles'!$DY$12:$EE$12,1,CN78)=1,CN79&gt;0),1,1-INDEX('Lease Cycles'!$DD$12:$DJ$12,1,CN78)))),0)</f>
        <v>0</v>
      </c>
      <c r="CO87" s="24">
        <f>IF(CO80=1,IF('Lease Cycles'!$AJ$12=1,0,'Lease Cycles'!$D$12*INDEX('Lease Cycles'!$FH$12:$FN$12,1,CO78)*IF(INDEX('Lease Cycles'!$EF$12:$EL$12,1,CO78)=1,1,IF(OR(INDEX('Lease Cycles'!$DY$12:$EE$12,1,CO78)=1,CO79&gt;0),1,1-INDEX('Lease Cycles'!$DD$12:$DJ$12,1,CO78)))),0)</f>
        <v>0</v>
      </c>
      <c r="CP87" s="24">
        <f>IF(CP80=1,IF('Lease Cycles'!$AJ$12=1,0,'Lease Cycles'!$D$12*INDEX('Lease Cycles'!$FH$12:$FN$12,1,CP78)*IF(INDEX('Lease Cycles'!$EF$12:$EL$12,1,CP78)=1,1,IF(OR(INDEX('Lease Cycles'!$DY$12:$EE$12,1,CP78)=1,CP79&gt;0),1,1-INDEX('Lease Cycles'!$DD$12:$DJ$12,1,CP78)))),0)</f>
        <v>0</v>
      </c>
      <c r="CQ87" s="24">
        <f>IF(CQ80=1,IF('Lease Cycles'!$AJ$12=1,0,'Lease Cycles'!$D$12*INDEX('Lease Cycles'!$FH$12:$FN$12,1,CQ78)*IF(INDEX('Lease Cycles'!$EF$12:$EL$12,1,CQ78)=1,1,IF(OR(INDEX('Lease Cycles'!$DY$12:$EE$12,1,CQ78)=1,CQ79&gt;0),1,1-INDEX('Lease Cycles'!$DD$12:$DJ$12,1,CQ78)))),0)</f>
        <v>0</v>
      </c>
      <c r="CR87" s="24">
        <f>IF(CR80=1,IF('Lease Cycles'!$AJ$12=1,0,'Lease Cycles'!$D$12*INDEX('Lease Cycles'!$FH$12:$FN$12,1,CR78)*IF(INDEX('Lease Cycles'!$EF$12:$EL$12,1,CR78)=1,1,IF(OR(INDEX('Lease Cycles'!$DY$12:$EE$12,1,CR78)=1,CR79&gt;0),1,1-INDEX('Lease Cycles'!$DD$12:$DJ$12,1,CR78)))),0)</f>
        <v>0</v>
      </c>
      <c r="CS87" s="24">
        <f>IF(CS80=1,IF('Lease Cycles'!$AJ$12=1,0,'Lease Cycles'!$D$12*INDEX('Lease Cycles'!$FH$12:$FN$12,1,CS78)*IF(INDEX('Lease Cycles'!$EF$12:$EL$12,1,CS78)=1,1,IF(OR(INDEX('Lease Cycles'!$DY$12:$EE$12,1,CS78)=1,CS79&gt;0),1,1-INDEX('Lease Cycles'!$DD$12:$DJ$12,1,CS78)))),0)</f>
        <v>0</v>
      </c>
      <c r="CT87" s="24">
        <f>IF(CT80=1,IF('Lease Cycles'!$AJ$12=1,0,'Lease Cycles'!$D$12*INDEX('Lease Cycles'!$FH$12:$FN$12,1,CT78)*IF(INDEX('Lease Cycles'!$EF$12:$EL$12,1,CT78)=1,1,IF(OR(INDEX('Lease Cycles'!$DY$12:$EE$12,1,CT78)=1,CT79&gt;0),1,1-INDEX('Lease Cycles'!$DD$12:$DJ$12,1,CT78)))),0)</f>
        <v>0</v>
      </c>
      <c r="CU87" s="24">
        <f>IF(CU80=1,IF('Lease Cycles'!$AJ$12=1,0,'Lease Cycles'!$D$12*INDEX('Lease Cycles'!$FH$12:$FN$12,1,CU78)*IF(INDEX('Lease Cycles'!$EF$12:$EL$12,1,CU78)=1,1,IF(OR(INDEX('Lease Cycles'!$DY$12:$EE$12,1,CU78)=1,CU79&gt;0),1,1-INDEX('Lease Cycles'!$DD$12:$DJ$12,1,CU78)))),0)</f>
        <v>0</v>
      </c>
      <c r="CV87" s="24">
        <f>IF(CV80=1,IF('Lease Cycles'!$AJ$12=1,0,'Lease Cycles'!$D$12*INDEX('Lease Cycles'!$FH$12:$FN$12,1,CV78)*IF(INDEX('Lease Cycles'!$EF$12:$EL$12,1,CV78)=1,1,IF(OR(INDEX('Lease Cycles'!$DY$12:$EE$12,1,CV78)=1,CV79&gt;0),1,1-INDEX('Lease Cycles'!$DD$12:$DJ$12,1,CV78)))),0)</f>
        <v>0</v>
      </c>
      <c r="CW87" s="24">
        <f>IF(CW80=1,IF('Lease Cycles'!$AJ$12=1,0,'Lease Cycles'!$D$12*INDEX('Lease Cycles'!$FH$12:$FN$12,1,CW78)*IF(INDEX('Lease Cycles'!$EF$12:$EL$12,1,CW78)=1,1,IF(OR(INDEX('Lease Cycles'!$DY$12:$EE$12,1,CW78)=1,CW79&gt;0),1,1-INDEX('Lease Cycles'!$DD$12:$DJ$12,1,CW78)))),0)</f>
        <v>0</v>
      </c>
      <c r="CX87" s="24">
        <f>IF(CX80=1,IF('Lease Cycles'!$AJ$12=1,0,'Lease Cycles'!$D$12*INDEX('Lease Cycles'!$FH$12:$FN$12,1,CX78)*IF(INDEX('Lease Cycles'!$EF$12:$EL$12,1,CX78)=1,1,IF(OR(INDEX('Lease Cycles'!$DY$12:$EE$12,1,CX78)=1,CX79&gt;0),1,1-INDEX('Lease Cycles'!$DD$12:$DJ$12,1,CX78)))),0)</f>
        <v>0</v>
      </c>
      <c r="CY87" s="24">
        <f>IF(CY80=1,IF('Lease Cycles'!$AJ$12=1,0,'Lease Cycles'!$D$12*INDEX('Lease Cycles'!$FH$12:$FN$12,1,CY78)*IF(INDEX('Lease Cycles'!$EF$12:$EL$12,1,CY78)=1,1,IF(OR(INDEX('Lease Cycles'!$DY$12:$EE$12,1,CY78)=1,CY79&gt;0),1,1-INDEX('Lease Cycles'!$DD$12:$DJ$12,1,CY78)))),0)</f>
        <v>0</v>
      </c>
      <c r="CZ87" s="24">
        <f>IF(CZ80=1,IF('Lease Cycles'!$AJ$12=1,0,'Lease Cycles'!$D$12*INDEX('Lease Cycles'!$FH$12:$FN$12,1,CZ78)*IF(INDEX('Lease Cycles'!$EF$12:$EL$12,1,CZ78)=1,1,IF(OR(INDEX('Lease Cycles'!$DY$12:$EE$12,1,CZ78)=1,CZ79&gt;0),1,1-INDEX('Lease Cycles'!$DD$12:$DJ$12,1,CZ78)))),0)</f>
        <v>0</v>
      </c>
      <c r="DA87" s="24">
        <f>IF(DA80=1,IF('Lease Cycles'!$AJ$12=1,0,'Lease Cycles'!$D$12*INDEX('Lease Cycles'!$FH$12:$FN$12,1,DA78)*IF(INDEX('Lease Cycles'!$EF$12:$EL$12,1,DA78)=1,1,IF(OR(INDEX('Lease Cycles'!$DY$12:$EE$12,1,DA78)=1,DA79&gt;0),1,1-INDEX('Lease Cycles'!$DD$12:$DJ$12,1,DA78)))),0)</f>
        <v>0</v>
      </c>
      <c r="DB87" s="24">
        <f>IF(DB80=1,IF('Lease Cycles'!$AJ$12=1,0,'Lease Cycles'!$D$12*INDEX('Lease Cycles'!$FH$12:$FN$12,1,DB78)*IF(INDEX('Lease Cycles'!$EF$12:$EL$12,1,DB78)=1,1,IF(OR(INDEX('Lease Cycles'!$DY$12:$EE$12,1,DB78)=1,DB79&gt;0),1,1-INDEX('Lease Cycles'!$DD$12:$DJ$12,1,DB78)))),0)</f>
        <v>0</v>
      </c>
      <c r="DC87" s="24">
        <f>IF(DC80=1,IF('Lease Cycles'!$AJ$12=1,0,'Lease Cycles'!$D$12*INDEX('Lease Cycles'!$FH$12:$FN$12,1,DC78)*IF(INDEX('Lease Cycles'!$EF$12:$EL$12,1,DC78)=1,1,IF(OR(INDEX('Lease Cycles'!$DY$12:$EE$12,1,DC78)=1,DC79&gt;0),1,1-INDEX('Lease Cycles'!$DD$12:$DJ$12,1,DC78)))),0)</f>
        <v>0</v>
      </c>
      <c r="DD87" s="24">
        <f>IF(DD80=1,IF('Lease Cycles'!$AJ$12=1,0,'Lease Cycles'!$D$12*INDEX('Lease Cycles'!$FH$12:$FN$12,1,DD78)*IF(INDEX('Lease Cycles'!$EF$12:$EL$12,1,DD78)=1,1,IF(OR(INDEX('Lease Cycles'!$DY$12:$EE$12,1,DD78)=1,DD79&gt;0),1,1-INDEX('Lease Cycles'!$DD$12:$DJ$12,1,DD78)))),0)</f>
        <v>0</v>
      </c>
      <c r="DE87" s="24">
        <f>IF(DE80=1,IF('Lease Cycles'!$AJ$12=1,0,'Lease Cycles'!$D$12*INDEX('Lease Cycles'!$FH$12:$FN$12,1,DE78)*IF(INDEX('Lease Cycles'!$EF$12:$EL$12,1,DE78)=1,1,IF(OR(INDEX('Lease Cycles'!$DY$12:$EE$12,1,DE78)=1,DE79&gt;0),1,1-INDEX('Lease Cycles'!$DD$12:$DJ$12,1,DE78)))),0)</f>
        <v>0</v>
      </c>
      <c r="DF87" s="24">
        <f>IF(DF80=1,IF('Lease Cycles'!$AJ$12=1,0,'Lease Cycles'!$D$12*INDEX('Lease Cycles'!$FH$12:$FN$12,1,DF78)*IF(INDEX('Lease Cycles'!$EF$12:$EL$12,1,DF78)=1,1,IF(OR(INDEX('Lease Cycles'!$DY$12:$EE$12,1,DF78)=1,DF79&gt;0),1,1-INDEX('Lease Cycles'!$DD$12:$DJ$12,1,DF78)))),0)</f>
        <v>0</v>
      </c>
      <c r="DG87" s="24">
        <f>IF(DG80=1,IF('Lease Cycles'!$AJ$12=1,0,'Lease Cycles'!$D$12*INDEX('Lease Cycles'!$FH$12:$FN$12,1,DG78)*IF(INDEX('Lease Cycles'!$EF$12:$EL$12,1,DG78)=1,1,IF(OR(INDEX('Lease Cycles'!$DY$12:$EE$12,1,DG78)=1,DG79&gt;0),1,1-INDEX('Lease Cycles'!$DD$12:$DJ$12,1,DG78)))),0)</f>
        <v>0</v>
      </c>
      <c r="DH87" s="24">
        <f>IF(DH80=1,IF('Lease Cycles'!$AJ$12=1,0,'Lease Cycles'!$D$12*INDEX('Lease Cycles'!$FH$12:$FN$12,1,DH78)*IF(INDEX('Lease Cycles'!$EF$12:$EL$12,1,DH78)=1,1,IF(OR(INDEX('Lease Cycles'!$DY$12:$EE$12,1,DH78)=1,DH79&gt;0),1,1-INDEX('Lease Cycles'!$DD$12:$DJ$12,1,DH78)))),0)</f>
        <v>0</v>
      </c>
      <c r="DI87" s="24">
        <f>IF(DI80=1,IF('Lease Cycles'!$AJ$12=1,0,'Lease Cycles'!$D$12*INDEX('Lease Cycles'!$FH$12:$FN$12,1,DI78)*IF(INDEX('Lease Cycles'!$EF$12:$EL$12,1,DI78)=1,1,IF(OR(INDEX('Lease Cycles'!$DY$12:$EE$12,1,DI78)=1,DI79&gt;0),1,1-INDEX('Lease Cycles'!$DD$12:$DJ$12,1,DI78)))),0)</f>
        <v>0</v>
      </c>
      <c r="DJ87" s="24">
        <f>IF(DJ80=1,IF('Lease Cycles'!$AJ$12=1,0,'Lease Cycles'!$D$12*INDEX('Lease Cycles'!$FH$12:$FN$12,1,DJ78)*IF(INDEX('Lease Cycles'!$EF$12:$EL$12,1,DJ78)=1,1,IF(OR(INDEX('Lease Cycles'!$DY$12:$EE$12,1,DJ78)=1,DJ79&gt;0),1,1-INDEX('Lease Cycles'!$DD$12:$DJ$12,1,DJ78)))),0)</f>
        <v>0</v>
      </c>
      <c r="DK87" s="24">
        <f>IF(DK80=1,IF('Lease Cycles'!$AJ$12=1,0,'Lease Cycles'!$D$12*INDEX('Lease Cycles'!$FH$12:$FN$12,1,DK78)*IF(INDEX('Lease Cycles'!$EF$12:$EL$12,1,DK78)=1,1,IF(OR(INDEX('Lease Cycles'!$DY$12:$EE$12,1,DK78)=1,DK79&gt;0),1,1-INDEX('Lease Cycles'!$DD$12:$DJ$12,1,DK78)))),0)</f>
        <v>0</v>
      </c>
      <c r="DL87" s="24">
        <f>IF(DL80=1,IF('Lease Cycles'!$AJ$12=1,0,'Lease Cycles'!$D$12*INDEX('Lease Cycles'!$FH$12:$FN$12,1,DL78)*IF(INDEX('Lease Cycles'!$EF$12:$EL$12,1,DL78)=1,1,IF(OR(INDEX('Lease Cycles'!$DY$12:$EE$12,1,DL78)=1,DL79&gt;0),1,1-INDEX('Lease Cycles'!$DD$12:$DJ$12,1,DL78)))),0)</f>
        <v>0</v>
      </c>
      <c r="DM87" s="24">
        <f>IF(DM80=1,IF('Lease Cycles'!$AJ$12=1,0,'Lease Cycles'!$D$12*INDEX('Lease Cycles'!$FH$12:$FN$12,1,DM78)*IF(INDEX('Lease Cycles'!$EF$12:$EL$12,1,DM78)=1,1,IF(OR(INDEX('Lease Cycles'!$DY$12:$EE$12,1,DM78)=1,DM79&gt;0),1,1-INDEX('Lease Cycles'!$DD$12:$DJ$12,1,DM78)))),0)</f>
        <v>0</v>
      </c>
      <c r="DN87" s="24">
        <f>IF(DN80=1,IF('Lease Cycles'!$AJ$12=1,0,'Lease Cycles'!$D$12*INDEX('Lease Cycles'!$FH$12:$FN$12,1,DN78)*IF(INDEX('Lease Cycles'!$EF$12:$EL$12,1,DN78)=1,1,IF(OR(INDEX('Lease Cycles'!$DY$12:$EE$12,1,DN78)=1,DN79&gt;0),1,1-INDEX('Lease Cycles'!$DD$12:$DJ$12,1,DN78)))),0)</f>
        <v>0</v>
      </c>
      <c r="DO87" s="24">
        <f>IF(DO80=1,IF('Lease Cycles'!$AJ$12=1,0,'Lease Cycles'!$D$12*INDEX('Lease Cycles'!$FH$12:$FN$12,1,DO78)*IF(INDEX('Lease Cycles'!$EF$12:$EL$12,1,DO78)=1,1,IF(OR(INDEX('Lease Cycles'!$DY$12:$EE$12,1,DO78)=1,DO79&gt;0),1,1-INDEX('Lease Cycles'!$DD$12:$DJ$12,1,DO78)))),0)</f>
        <v>0</v>
      </c>
      <c r="DP87" s="24">
        <f>IF(DP80=1,IF('Lease Cycles'!$AJ$12=1,0,'Lease Cycles'!$D$12*INDEX('Lease Cycles'!$FH$12:$FN$12,1,DP78)*IF(INDEX('Lease Cycles'!$EF$12:$EL$12,1,DP78)=1,1,IF(OR(INDEX('Lease Cycles'!$DY$12:$EE$12,1,DP78)=1,DP79&gt;0),1,1-INDEX('Lease Cycles'!$DD$12:$DJ$12,1,DP78)))),0)</f>
        <v>0</v>
      </c>
      <c r="DQ87" s="24">
        <f>IF(DQ80=1,IF('Lease Cycles'!$AJ$12=1,0,'Lease Cycles'!$D$12*INDEX('Lease Cycles'!$FH$12:$FN$12,1,DQ78)*IF(INDEX('Lease Cycles'!$EF$12:$EL$12,1,DQ78)=1,1,IF(OR(INDEX('Lease Cycles'!$DY$12:$EE$12,1,DQ78)=1,DQ79&gt;0),1,1-INDEX('Lease Cycles'!$DD$12:$DJ$12,1,DQ78)))),0)</f>
        <v>0</v>
      </c>
      <c r="DR87" s="24">
        <f>IF(DR80=1,IF('Lease Cycles'!$AJ$12=1,0,'Lease Cycles'!$D$12*INDEX('Lease Cycles'!$FH$12:$FN$12,1,DR78)*IF(INDEX('Lease Cycles'!$EF$12:$EL$12,1,DR78)=1,1,IF(OR(INDEX('Lease Cycles'!$DY$12:$EE$12,1,DR78)=1,DR79&gt;0),1,1-INDEX('Lease Cycles'!$DD$12:$DJ$12,1,DR78)))),0)</f>
        <v>0</v>
      </c>
      <c r="DS87" s="24">
        <f>IF(DS80=1,IF('Lease Cycles'!$AJ$12=1,0,'Lease Cycles'!$D$12*INDEX('Lease Cycles'!$FH$12:$FN$12,1,DS78)*IF(INDEX('Lease Cycles'!$EF$12:$EL$12,1,DS78)=1,1,IF(OR(INDEX('Lease Cycles'!$DY$12:$EE$12,1,DS78)=1,DS79&gt;0),1,1-INDEX('Lease Cycles'!$DD$12:$DJ$12,1,DS78)))),0)</f>
        <v>0</v>
      </c>
      <c r="DT87" s="24">
        <f>IF(DT80=1,IF('Lease Cycles'!$AJ$12=1,0,'Lease Cycles'!$D$12*INDEX('Lease Cycles'!$FH$12:$FN$12,1,DT78)*IF(INDEX('Lease Cycles'!$EF$12:$EL$12,1,DT78)=1,1,IF(OR(INDEX('Lease Cycles'!$DY$12:$EE$12,1,DT78)=1,DT79&gt;0),1,1-INDEX('Lease Cycles'!$DD$12:$DJ$12,1,DT78)))),0)</f>
        <v>0</v>
      </c>
      <c r="DU87" s="24">
        <f>IF(DU80=1,IF('Lease Cycles'!$AJ$12=1,0,'Lease Cycles'!$D$12*INDEX('Lease Cycles'!$FH$12:$FN$12,1,DU78)*IF(INDEX('Lease Cycles'!$EF$12:$EL$12,1,DU78)=1,1,IF(OR(INDEX('Lease Cycles'!$DY$12:$EE$12,1,DU78)=1,DU79&gt;0),1,1-INDEX('Lease Cycles'!$DD$12:$DJ$12,1,DU78)))),0)</f>
        <v>0</v>
      </c>
      <c r="DV87" s="24">
        <f>IF(DV80=1,IF('Lease Cycles'!$AJ$12=1,0,'Lease Cycles'!$D$12*INDEX('Lease Cycles'!$FH$12:$FN$12,1,DV78)*IF(INDEX('Lease Cycles'!$EF$12:$EL$12,1,DV78)=1,1,IF(OR(INDEX('Lease Cycles'!$DY$12:$EE$12,1,DV78)=1,DV79&gt;0),1,1-INDEX('Lease Cycles'!$DD$12:$DJ$12,1,DV78)))),0)</f>
        <v>0</v>
      </c>
      <c r="DW87" s="24">
        <f>IF(DW80=1,IF('Lease Cycles'!$AJ$12=1,0,'Lease Cycles'!$D$12*INDEX('Lease Cycles'!$FH$12:$FN$12,1,DW78)*IF(INDEX('Lease Cycles'!$EF$12:$EL$12,1,DW78)=1,1,IF(OR(INDEX('Lease Cycles'!$DY$12:$EE$12,1,DW78)=1,DW79&gt;0),1,1-INDEX('Lease Cycles'!$DD$12:$DJ$12,1,DW78)))),0)</f>
        <v>0</v>
      </c>
      <c r="DX87" s="24">
        <f>IF(DX80=1,IF('Lease Cycles'!$AJ$12=1,0,'Lease Cycles'!$D$12*INDEX('Lease Cycles'!$FH$12:$FN$12,1,DX78)*IF(INDEX('Lease Cycles'!$EF$12:$EL$12,1,DX78)=1,1,IF(OR(INDEX('Lease Cycles'!$DY$12:$EE$12,1,DX78)=1,DX79&gt;0),1,1-INDEX('Lease Cycles'!$DD$12:$DJ$12,1,DX78)))),0)</f>
        <v>0</v>
      </c>
      <c r="DY87" s="24">
        <f>IF(DY80=1,IF('Lease Cycles'!$AJ$12=1,0,'Lease Cycles'!$D$12*INDEX('Lease Cycles'!$FH$12:$FN$12,1,DY78)*IF(INDEX('Lease Cycles'!$EF$12:$EL$12,1,DY78)=1,1,IF(OR(INDEX('Lease Cycles'!$DY$12:$EE$12,1,DY78)=1,DY79&gt;0),1,1-INDEX('Lease Cycles'!$DD$12:$DJ$12,1,DY78)))),0)</f>
        <v>0</v>
      </c>
      <c r="DZ87" s="24">
        <f>IF(DZ80=1,IF('Lease Cycles'!$AJ$12=1,0,'Lease Cycles'!$D$12*INDEX('Lease Cycles'!$FH$12:$FN$12,1,DZ78)*IF(INDEX('Lease Cycles'!$EF$12:$EL$12,1,DZ78)=1,1,IF(OR(INDEX('Lease Cycles'!$DY$12:$EE$12,1,DZ78)=1,DZ79&gt;0),1,1-INDEX('Lease Cycles'!$DD$12:$DJ$12,1,DZ78)))),0)</f>
        <v>0</v>
      </c>
      <c r="EA87" s="24">
        <f>IF(EA80=1,IF('Lease Cycles'!$AJ$12=1,0,'Lease Cycles'!$D$12*INDEX('Lease Cycles'!$FH$12:$FN$12,1,EA78)*IF(INDEX('Lease Cycles'!$EF$12:$EL$12,1,EA78)=1,1,IF(OR(INDEX('Lease Cycles'!$DY$12:$EE$12,1,EA78)=1,EA79&gt;0),1,1-INDEX('Lease Cycles'!$DD$12:$DJ$12,1,EA78)))),0)</f>
        <v>0</v>
      </c>
      <c r="EB87" s="24">
        <f>IF(EB80=1,IF('Lease Cycles'!$AJ$12=1,0,'Lease Cycles'!$D$12*INDEX('Lease Cycles'!$FH$12:$FN$12,1,EB78)*IF(INDEX('Lease Cycles'!$EF$12:$EL$12,1,EB78)=1,1,IF(OR(INDEX('Lease Cycles'!$DY$12:$EE$12,1,EB78)=1,EB79&gt;0),1,1-INDEX('Lease Cycles'!$DD$12:$DJ$12,1,EB78)))),0)</f>
        <v>0</v>
      </c>
      <c r="EC87" s="24">
        <f>IF(EC80=1,IF('Lease Cycles'!$AJ$12=1,0,'Lease Cycles'!$D$12*INDEX('Lease Cycles'!$FH$12:$FN$12,1,EC78)*IF(INDEX('Lease Cycles'!$EF$12:$EL$12,1,EC78)=1,1,IF(OR(INDEX('Lease Cycles'!$DY$12:$EE$12,1,EC78)=1,EC79&gt;0),1,1-INDEX('Lease Cycles'!$DD$12:$DJ$12,1,EC78)))),0)</f>
        <v>0</v>
      </c>
      <c r="ED87" s="24">
        <f>IF(ED80=1,IF('Lease Cycles'!$AJ$12=1,0,'Lease Cycles'!$D$12*INDEX('Lease Cycles'!$FH$12:$FN$12,1,ED78)*IF(INDEX('Lease Cycles'!$EF$12:$EL$12,1,ED78)=1,1,IF(OR(INDEX('Lease Cycles'!$DY$12:$EE$12,1,ED78)=1,ED79&gt;0),1,1-INDEX('Lease Cycles'!$DD$12:$DJ$12,1,ED78)))),0)</f>
        <v>0</v>
      </c>
      <c r="EE87" s="24">
        <f>IF(EE80=1,IF('Lease Cycles'!$AJ$12=1,0,'Lease Cycles'!$D$12*INDEX('Lease Cycles'!$FH$12:$FN$12,1,EE78)*IF(INDEX('Lease Cycles'!$EF$12:$EL$12,1,EE78)=1,1,IF(OR(INDEX('Lease Cycles'!$DY$12:$EE$12,1,EE78)=1,EE79&gt;0),1,1-INDEX('Lease Cycles'!$DD$12:$DJ$12,1,EE78)))),0)</f>
        <v>0</v>
      </c>
      <c r="EF87" s="24">
        <f>IF(EF80=1,IF('Lease Cycles'!$AJ$12=1,0,'Lease Cycles'!$D$12*INDEX('Lease Cycles'!$FH$12:$FN$12,1,EF78)*IF(INDEX('Lease Cycles'!$EF$12:$EL$12,1,EF78)=1,1,IF(OR(INDEX('Lease Cycles'!$DY$12:$EE$12,1,EF78)=1,EF79&gt;0),1,1-INDEX('Lease Cycles'!$DD$12:$DJ$12,1,EF78)))),0)</f>
        <v>0</v>
      </c>
      <c r="EG87" s="24">
        <f>IF(EG80=1,IF('Lease Cycles'!$AJ$12=1,0,'Lease Cycles'!$D$12*INDEX('Lease Cycles'!$FH$12:$FN$12,1,EG78)*IF(INDEX('Lease Cycles'!$EF$12:$EL$12,1,EG78)=1,1,IF(OR(INDEX('Lease Cycles'!$DY$12:$EE$12,1,EG78)=1,EG79&gt;0),1,1-INDEX('Lease Cycles'!$DD$12:$DJ$12,1,EG78)))),0)</f>
        <v>0</v>
      </c>
      <c r="EH87" s="24">
        <f>IF(EH80=1,IF('Lease Cycles'!$AJ$12=1,0,'Lease Cycles'!$D$12*INDEX('Lease Cycles'!$FH$12:$FN$12,1,EH78)*IF(INDEX('Lease Cycles'!$EF$12:$EL$12,1,EH78)=1,1,IF(OR(INDEX('Lease Cycles'!$DY$12:$EE$12,1,EH78)=1,EH79&gt;0),1,1-INDEX('Lease Cycles'!$DD$12:$DJ$12,1,EH78)))),0)</f>
        <v>0</v>
      </c>
      <c r="EI87" s="24">
        <f>IF(EI80=1,IF('Lease Cycles'!$AJ$12=1,0,'Lease Cycles'!$D$12*INDEX('Lease Cycles'!$FH$12:$FN$12,1,EI78)*IF(INDEX('Lease Cycles'!$EF$12:$EL$12,1,EI78)=1,1,IF(OR(INDEX('Lease Cycles'!$DY$12:$EE$12,1,EI78)=1,EI79&gt;0),1,1-INDEX('Lease Cycles'!$DD$12:$DJ$12,1,EI78)))),0)</f>
        <v>0</v>
      </c>
      <c r="EJ87" s="24">
        <f>IF(EJ80=1,IF('Lease Cycles'!$AJ$12=1,0,'Lease Cycles'!$D$12*INDEX('Lease Cycles'!$FH$12:$FN$12,1,EJ78)*IF(INDEX('Lease Cycles'!$EF$12:$EL$12,1,EJ78)=1,1,IF(OR(INDEX('Lease Cycles'!$DY$12:$EE$12,1,EJ78)=1,EJ79&gt;0),1,1-INDEX('Lease Cycles'!$DD$12:$DJ$12,1,EJ78)))),0)</f>
        <v>0</v>
      </c>
      <c r="EK87" s="24">
        <f>IF(EK80=1,IF('Lease Cycles'!$AJ$12=1,0,'Lease Cycles'!$D$12*INDEX('Lease Cycles'!$FH$12:$FN$12,1,EK78)*IF(INDEX('Lease Cycles'!$EF$12:$EL$12,1,EK78)=1,1,IF(OR(INDEX('Lease Cycles'!$DY$12:$EE$12,1,EK78)=1,EK79&gt;0),1,1-INDEX('Lease Cycles'!$DD$12:$DJ$12,1,EK78)))),0)</f>
        <v>0</v>
      </c>
      <c r="EL87" s="24">
        <f>IF(EL80=1,IF('Lease Cycles'!$AJ$12=1,0,'Lease Cycles'!$D$12*INDEX('Lease Cycles'!$FH$12:$FN$12,1,EL78)*IF(INDEX('Lease Cycles'!$EF$12:$EL$12,1,EL78)=1,1,IF(OR(INDEX('Lease Cycles'!$DY$12:$EE$12,1,EL78)=1,EL79&gt;0),1,1-INDEX('Lease Cycles'!$DD$12:$DJ$12,1,EL78)))),0)</f>
        <v>0</v>
      </c>
      <c r="EM87" s="24">
        <f>IF(EM80=1,IF('Lease Cycles'!$AJ$12=1,0,'Lease Cycles'!$D$12*INDEX('Lease Cycles'!$FH$12:$FN$12,1,EM78)*IF(INDEX('Lease Cycles'!$EF$12:$EL$12,1,EM78)=1,1,IF(OR(INDEX('Lease Cycles'!$DY$12:$EE$12,1,EM78)=1,EM79&gt;0),1,1-INDEX('Lease Cycles'!$DD$12:$DJ$12,1,EM78)))),0)</f>
        <v>0</v>
      </c>
      <c r="EN87" s="24">
        <f>IF(EN80=1,IF('Lease Cycles'!$AJ$12=1,0,'Lease Cycles'!$D$12*INDEX('Lease Cycles'!$FH$12:$FN$12,1,EN78)*IF(INDEX('Lease Cycles'!$EF$12:$EL$12,1,EN78)=1,1,IF(OR(INDEX('Lease Cycles'!$DY$12:$EE$12,1,EN78)=1,EN79&gt;0),1,1-INDEX('Lease Cycles'!$DD$12:$DJ$12,1,EN78)))),0)</f>
        <v>0</v>
      </c>
      <c r="EO87" s="24">
        <f>IF(EO80=1,IF('Lease Cycles'!$AJ$12=1,0,'Lease Cycles'!$D$12*INDEX('Lease Cycles'!$FH$12:$FN$12,1,EO78)*IF(INDEX('Lease Cycles'!$EF$12:$EL$12,1,EO78)=1,1,IF(OR(INDEX('Lease Cycles'!$DY$12:$EE$12,1,EO78)=1,EO79&gt;0),1,1-INDEX('Lease Cycles'!$DD$12:$DJ$12,1,EO78)))),0)</f>
        <v>0</v>
      </c>
      <c r="EP87" s="24">
        <f>IF(EP80=1,IF('Lease Cycles'!$AJ$12=1,0,'Lease Cycles'!$D$12*INDEX('Lease Cycles'!$FH$12:$FN$12,1,EP78)*IF(INDEX('Lease Cycles'!$EF$12:$EL$12,1,EP78)=1,1,IF(OR(INDEX('Lease Cycles'!$DY$12:$EE$12,1,EP78)=1,EP79&gt;0),1,1-INDEX('Lease Cycles'!$DD$12:$DJ$12,1,EP78)))),0)</f>
        <v>0</v>
      </c>
      <c r="EQ87" s="24">
        <f>IF(EQ80=1,IF('Lease Cycles'!$AJ$12=1,0,'Lease Cycles'!$D$12*INDEX('Lease Cycles'!$FH$12:$FN$12,1,EQ78)*IF(INDEX('Lease Cycles'!$EF$12:$EL$12,1,EQ78)=1,1,IF(OR(INDEX('Lease Cycles'!$DY$12:$EE$12,1,EQ78)=1,EQ79&gt;0),1,1-INDEX('Lease Cycles'!$DD$12:$DJ$12,1,EQ78)))),0)</f>
        <v>0</v>
      </c>
      <c r="ER87" s="24">
        <f>IF(ER80=1,IF('Lease Cycles'!$AJ$12=1,0,'Lease Cycles'!$D$12*INDEX('Lease Cycles'!$FH$12:$FN$12,1,ER78)*IF(INDEX('Lease Cycles'!$EF$12:$EL$12,1,ER78)=1,1,IF(OR(INDEX('Lease Cycles'!$DY$12:$EE$12,1,ER78)=1,ER79&gt;0),1,1-INDEX('Lease Cycles'!$DD$12:$DJ$12,1,ER78)))),0)</f>
        <v>0</v>
      </c>
      <c r="ES87" s="24">
        <f>IF(ES80=1,IF('Lease Cycles'!$AJ$12=1,0,'Lease Cycles'!$D$12*INDEX('Lease Cycles'!$FH$12:$FN$12,1,ES78)*IF(INDEX('Lease Cycles'!$EF$12:$EL$12,1,ES78)=1,1,IF(OR(INDEX('Lease Cycles'!$DY$12:$EE$12,1,ES78)=1,ES79&gt;0),1,1-INDEX('Lease Cycles'!$DD$12:$DJ$12,1,ES78)))),0)</f>
        <v>0</v>
      </c>
      <c r="ET87" s="24">
        <f>IF(ET80=1,IF('Lease Cycles'!$AJ$12=1,0,'Lease Cycles'!$D$12*INDEX('Lease Cycles'!$FH$12:$FN$12,1,ET78)*IF(INDEX('Lease Cycles'!$EF$12:$EL$12,1,ET78)=1,1,IF(OR(INDEX('Lease Cycles'!$DY$12:$EE$12,1,ET78)=1,ET79&gt;0),1,1-INDEX('Lease Cycles'!$DD$12:$DJ$12,1,ET78)))),0)</f>
        <v>0</v>
      </c>
    </row>
    <row r="88">
      <c r="A88" s="103">
        <v>5</v>
      </c>
      <c r="B88" s="23" t="str">
        <f>IF('Lease Cycles'!$B$12="","(empty slot)",'Lease Cycles'!$B$12)</f>
        <v>Sunfield Pizza</v>
      </c>
      <c r="C88" s="23" t="s">
        <v>687</v>
      </c>
      <c r="D88" s="104" t="s">
        <v>688</v>
      </c>
      <c r="E88" s="25">
        <f>'Lease Cycles'!$AL$12</f>
        <v>0</v>
      </c>
      <c r="G88" s="24">
        <f>SUM(S88:AD88)</f>
        <v>0</v>
      </c>
      <c r="H88" s="24">
        <f>SUM(AE88:AP88)</f>
        <v>0</v>
      </c>
      <c r="I88" s="24">
        <f>SUM(AQ88:BB88)</f>
        <v>0</v>
      </c>
      <c r="J88" s="24">
        <f>SUM(BC88:BN88)</f>
        <v>0</v>
      </c>
      <c r="K88" s="24">
        <f>SUM(BO88:BZ88)</f>
        <v>0</v>
      </c>
      <c r="L88" s="24">
        <f>SUM(CA88:CL88)</f>
        <v>0</v>
      </c>
      <c r="M88" s="24">
        <f>SUM(CM88:CX88)</f>
        <v>0</v>
      </c>
      <c r="N88" s="24">
        <f>SUM(CY88:DJ88)</f>
        <v>0</v>
      </c>
      <c r="O88" s="24">
        <f>SUM(DK88:DV88)</f>
        <v>0</v>
      </c>
      <c r="P88" s="24">
        <f>SUM(DW88:EH88)</f>
        <v>0</v>
      </c>
      <c r="Q88" s="24">
        <f>SUM(EI88:ET88)</f>
        <v>0</v>
      </c>
      <c r="S88" s="24">
        <f>IF(S80=1,'Lease Cycles'!$D$12*IF(INDEX('Lease Cycles'!$EF$12:$EL$12,1,S78)=1,'Lease Cycles'!$AJ$12*INDEX('Lease Cycles'!$FO$12:$FU$12,1,S78)*INDEX('Lease Cycles'!$EM$12:$ES$12,1,S78)+'Lease Cycles'!$BE$12*IF(S79&lt;INDEX('Lease Cycles'!$FA$12:$FG$12,1,S78),0,1-INDEX('Lease Cycles'!$EM$12:$ES$12,1,S78)),IF(OR(INDEX('Lease Cycles'!$DY$12:$EE$12,1,S78)=1,S79&gt;0),1,1-INDEX('Lease Cycles'!$DD$12:$DJ$12,1,S78))*('Lease Cycles'!$AJ$12*INDEX('Lease Cycles'!$FO$12:$FU$12,1,S78)+'Lease Cycles'!$BE$12*(1-INDEX('Lease Cycles'!$FO$12:$FU$12,1,S78)))),0)</f>
        <v>0</v>
      </c>
      <c r="T88" s="24">
        <f>IF(T80=1,'Lease Cycles'!$D$12*IF(INDEX('Lease Cycles'!$EF$12:$EL$12,1,T78)=1,'Lease Cycles'!$AJ$12*INDEX('Lease Cycles'!$FO$12:$FU$12,1,T78)*INDEX('Lease Cycles'!$EM$12:$ES$12,1,T78)+'Lease Cycles'!$BE$12*IF(T79&lt;INDEX('Lease Cycles'!$FA$12:$FG$12,1,T78),0,1-INDEX('Lease Cycles'!$EM$12:$ES$12,1,T78)),IF(OR(INDEX('Lease Cycles'!$DY$12:$EE$12,1,T78)=1,T79&gt;0),1,1-INDEX('Lease Cycles'!$DD$12:$DJ$12,1,T78))*('Lease Cycles'!$AJ$12*INDEX('Lease Cycles'!$FO$12:$FU$12,1,T78)+'Lease Cycles'!$BE$12*(1-INDEX('Lease Cycles'!$FO$12:$FU$12,1,T78)))),0)</f>
        <v>0</v>
      </c>
      <c r="U88" s="24">
        <f>IF(U80=1,'Lease Cycles'!$D$12*IF(INDEX('Lease Cycles'!$EF$12:$EL$12,1,U78)=1,'Lease Cycles'!$AJ$12*INDEX('Lease Cycles'!$FO$12:$FU$12,1,U78)*INDEX('Lease Cycles'!$EM$12:$ES$12,1,U78)+'Lease Cycles'!$BE$12*IF(U79&lt;INDEX('Lease Cycles'!$FA$12:$FG$12,1,U78),0,1-INDEX('Lease Cycles'!$EM$12:$ES$12,1,U78)),IF(OR(INDEX('Lease Cycles'!$DY$12:$EE$12,1,U78)=1,U79&gt;0),1,1-INDEX('Lease Cycles'!$DD$12:$DJ$12,1,U78))*('Lease Cycles'!$AJ$12*INDEX('Lease Cycles'!$FO$12:$FU$12,1,U78)+'Lease Cycles'!$BE$12*(1-INDEX('Lease Cycles'!$FO$12:$FU$12,1,U78)))),0)</f>
        <v>0</v>
      </c>
      <c r="V88" s="24">
        <f>IF(V80=1,'Lease Cycles'!$D$12*IF(INDEX('Lease Cycles'!$EF$12:$EL$12,1,V78)=1,'Lease Cycles'!$AJ$12*INDEX('Lease Cycles'!$FO$12:$FU$12,1,V78)*INDEX('Lease Cycles'!$EM$12:$ES$12,1,V78)+'Lease Cycles'!$BE$12*IF(V79&lt;INDEX('Lease Cycles'!$FA$12:$FG$12,1,V78),0,1-INDEX('Lease Cycles'!$EM$12:$ES$12,1,V78)),IF(OR(INDEX('Lease Cycles'!$DY$12:$EE$12,1,V78)=1,V79&gt;0),1,1-INDEX('Lease Cycles'!$DD$12:$DJ$12,1,V78))*('Lease Cycles'!$AJ$12*INDEX('Lease Cycles'!$FO$12:$FU$12,1,V78)+'Lease Cycles'!$BE$12*(1-INDEX('Lease Cycles'!$FO$12:$FU$12,1,V78)))),0)</f>
        <v>0</v>
      </c>
      <c r="W88" s="24">
        <f>IF(W80=1,'Lease Cycles'!$D$12*IF(INDEX('Lease Cycles'!$EF$12:$EL$12,1,W78)=1,'Lease Cycles'!$AJ$12*INDEX('Lease Cycles'!$FO$12:$FU$12,1,W78)*INDEX('Lease Cycles'!$EM$12:$ES$12,1,W78)+'Lease Cycles'!$BE$12*IF(W79&lt;INDEX('Lease Cycles'!$FA$12:$FG$12,1,W78),0,1-INDEX('Lease Cycles'!$EM$12:$ES$12,1,W78)),IF(OR(INDEX('Lease Cycles'!$DY$12:$EE$12,1,W78)=1,W79&gt;0),1,1-INDEX('Lease Cycles'!$DD$12:$DJ$12,1,W78))*('Lease Cycles'!$AJ$12*INDEX('Lease Cycles'!$FO$12:$FU$12,1,W78)+'Lease Cycles'!$BE$12*(1-INDEX('Lease Cycles'!$FO$12:$FU$12,1,W78)))),0)</f>
        <v>0</v>
      </c>
      <c r="X88" s="24">
        <f>IF(X80=1,'Lease Cycles'!$D$12*IF(INDEX('Lease Cycles'!$EF$12:$EL$12,1,X78)=1,'Lease Cycles'!$AJ$12*INDEX('Lease Cycles'!$FO$12:$FU$12,1,X78)*INDEX('Lease Cycles'!$EM$12:$ES$12,1,X78)+'Lease Cycles'!$BE$12*IF(X79&lt;INDEX('Lease Cycles'!$FA$12:$FG$12,1,X78),0,1-INDEX('Lease Cycles'!$EM$12:$ES$12,1,X78)),IF(OR(INDEX('Lease Cycles'!$DY$12:$EE$12,1,X78)=1,X79&gt;0),1,1-INDEX('Lease Cycles'!$DD$12:$DJ$12,1,X78))*('Lease Cycles'!$AJ$12*INDEX('Lease Cycles'!$FO$12:$FU$12,1,X78)+'Lease Cycles'!$BE$12*(1-INDEX('Lease Cycles'!$FO$12:$FU$12,1,X78)))),0)</f>
        <v>0</v>
      </c>
      <c r="Y88" s="24">
        <f>IF(Y80=1,'Lease Cycles'!$D$12*IF(INDEX('Lease Cycles'!$EF$12:$EL$12,1,Y78)=1,'Lease Cycles'!$AJ$12*INDEX('Lease Cycles'!$FO$12:$FU$12,1,Y78)*INDEX('Lease Cycles'!$EM$12:$ES$12,1,Y78)+'Lease Cycles'!$BE$12*IF(Y79&lt;INDEX('Lease Cycles'!$FA$12:$FG$12,1,Y78),0,1-INDEX('Lease Cycles'!$EM$12:$ES$12,1,Y78)),IF(OR(INDEX('Lease Cycles'!$DY$12:$EE$12,1,Y78)=1,Y79&gt;0),1,1-INDEX('Lease Cycles'!$DD$12:$DJ$12,1,Y78))*('Lease Cycles'!$AJ$12*INDEX('Lease Cycles'!$FO$12:$FU$12,1,Y78)+'Lease Cycles'!$BE$12*(1-INDEX('Lease Cycles'!$FO$12:$FU$12,1,Y78)))),0)</f>
        <v>0</v>
      </c>
      <c r="Z88" s="24">
        <f>IF(Z80=1,'Lease Cycles'!$D$12*IF(INDEX('Lease Cycles'!$EF$12:$EL$12,1,Z78)=1,'Lease Cycles'!$AJ$12*INDEX('Lease Cycles'!$FO$12:$FU$12,1,Z78)*INDEX('Lease Cycles'!$EM$12:$ES$12,1,Z78)+'Lease Cycles'!$BE$12*IF(Z79&lt;INDEX('Lease Cycles'!$FA$12:$FG$12,1,Z78),0,1-INDEX('Lease Cycles'!$EM$12:$ES$12,1,Z78)),IF(OR(INDEX('Lease Cycles'!$DY$12:$EE$12,1,Z78)=1,Z79&gt;0),1,1-INDEX('Lease Cycles'!$DD$12:$DJ$12,1,Z78))*('Lease Cycles'!$AJ$12*INDEX('Lease Cycles'!$FO$12:$FU$12,1,Z78)+'Lease Cycles'!$BE$12*(1-INDEX('Lease Cycles'!$FO$12:$FU$12,1,Z78)))),0)</f>
        <v>0</v>
      </c>
      <c r="AA88" s="24">
        <f>IF(AA80=1,'Lease Cycles'!$D$12*IF(INDEX('Lease Cycles'!$EF$12:$EL$12,1,AA78)=1,'Lease Cycles'!$AJ$12*INDEX('Lease Cycles'!$FO$12:$FU$12,1,AA78)*INDEX('Lease Cycles'!$EM$12:$ES$12,1,AA78)+'Lease Cycles'!$BE$12*IF(AA79&lt;INDEX('Lease Cycles'!$FA$12:$FG$12,1,AA78),0,1-INDEX('Lease Cycles'!$EM$12:$ES$12,1,AA78)),IF(OR(INDEX('Lease Cycles'!$DY$12:$EE$12,1,AA78)=1,AA79&gt;0),1,1-INDEX('Lease Cycles'!$DD$12:$DJ$12,1,AA78))*('Lease Cycles'!$AJ$12*INDEX('Lease Cycles'!$FO$12:$FU$12,1,AA78)+'Lease Cycles'!$BE$12*(1-INDEX('Lease Cycles'!$FO$12:$FU$12,1,AA78)))),0)</f>
        <v>0</v>
      </c>
      <c r="AB88" s="24">
        <f>IF(AB80=1,'Lease Cycles'!$D$12*IF(INDEX('Lease Cycles'!$EF$12:$EL$12,1,AB78)=1,'Lease Cycles'!$AJ$12*INDEX('Lease Cycles'!$FO$12:$FU$12,1,AB78)*INDEX('Lease Cycles'!$EM$12:$ES$12,1,AB78)+'Lease Cycles'!$BE$12*IF(AB79&lt;INDEX('Lease Cycles'!$FA$12:$FG$12,1,AB78),0,1-INDEX('Lease Cycles'!$EM$12:$ES$12,1,AB78)),IF(OR(INDEX('Lease Cycles'!$DY$12:$EE$12,1,AB78)=1,AB79&gt;0),1,1-INDEX('Lease Cycles'!$DD$12:$DJ$12,1,AB78))*('Lease Cycles'!$AJ$12*INDEX('Lease Cycles'!$FO$12:$FU$12,1,AB78)+'Lease Cycles'!$BE$12*(1-INDEX('Lease Cycles'!$FO$12:$FU$12,1,AB78)))),0)</f>
        <v>0</v>
      </c>
      <c r="AC88" s="24">
        <f>IF(AC80=1,'Lease Cycles'!$D$12*IF(INDEX('Lease Cycles'!$EF$12:$EL$12,1,AC78)=1,'Lease Cycles'!$AJ$12*INDEX('Lease Cycles'!$FO$12:$FU$12,1,AC78)*INDEX('Lease Cycles'!$EM$12:$ES$12,1,AC78)+'Lease Cycles'!$BE$12*IF(AC79&lt;INDEX('Lease Cycles'!$FA$12:$FG$12,1,AC78),0,1-INDEX('Lease Cycles'!$EM$12:$ES$12,1,AC78)),IF(OR(INDEX('Lease Cycles'!$DY$12:$EE$12,1,AC78)=1,AC79&gt;0),1,1-INDEX('Lease Cycles'!$DD$12:$DJ$12,1,AC78))*('Lease Cycles'!$AJ$12*INDEX('Lease Cycles'!$FO$12:$FU$12,1,AC78)+'Lease Cycles'!$BE$12*(1-INDEX('Lease Cycles'!$FO$12:$FU$12,1,AC78)))),0)</f>
        <v>0</v>
      </c>
      <c r="AD88" s="24">
        <f>IF(AD80=1,'Lease Cycles'!$D$12*IF(INDEX('Lease Cycles'!$EF$12:$EL$12,1,AD78)=1,'Lease Cycles'!$AJ$12*INDEX('Lease Cycles'!$FO$12:$FU$12,1,AD78)*INDEX('Lease Cycles'!$EM$12:$ES$12,1,AD78)+'Lease Cycles'!$BE$12*IF(AD79&lt;INDEX('Lease Cycles'!$FA$12:$FG$12,1,AD78),0,1-INDEX('Lease Cycles'!$EM$12:$ES$12,1,AD78)),IF(OR(INDEX('Lease Cycles'!$DY$12:$EE$12,1,AD78)=1,AD79&gt;0),1,1-INDEX('Lease Cycles'!$DD$12:$DJ$12,1,AD78))*('Lease Cycles'!$AJ$12*INDEX('Lease Cycles'!$FO$12:$FU$12,1,AD78)+'Lease Cycles'!$BE$12*(1-INDEX('Lease Cycles'!$FO$12:$FU$12,1,AD78)))),0)</f>
        <v>0</v>
      </c>
      <c r="AE88" s="24">
        <f>IF(AE80=1,'Lease Cycles'!$D$12*IF(INDEX('Lease Cycles'!$EF$12:$EL$12,1,AE78)=1,'Lease Cycles'!$AJ$12*INDEX('Lease Cycles'!$FO$12:$FU$12,1,AE78)*INDEX('Lease Cycles'!$EM$12:$ES$12,1,AE78)+'Lease Cycles'!$BE$12*IF(AE79&lt;INDEX('Lease Cycles'!$FA$12:$FG$12,1,AE78),0,1-INDEX('Lease Cycles'!$EM$12:$ES$12,1,AE78)),IF(OR(INDEX('Lease Cycles'!$DY$12:$EE$12,1,AE78)=1,AE79&gt;0),1,1-INDEX('Lease Cycles'!$DD$12:$DJ$12,1,AE78))*('Lease Cycles'!$AJ$12*INDEX('Lease Cycles'!$FO$12:$FU$12,1,AE78)+'Lease Cycles'!$BE$12*(1-INDEX('Lease Cycles'!$FO$12:$FU$12,1,AE78)))),0)</f>
        <v>0</v>
      </c>
      <c r="AF88" s="24">
        <f>IF(AF80=1,'Lease Cycles'!$D$12*IF(INDEX('Lease Cycles'!$EF$12:$EL$12,1,AF78)=1,'Lease Cycles'!$AJ$12*INDEX('Lease Cycles'!$FO$12:$FU$12,1,AF78)*INDEX('Lease Cycles'!$EM$12:$ES$12,1,AF78)+'Lease Cycles'!$BE$12*IF(AF79&lt;INDEX('Lease Cycles'!$FA$12:$FG$12,1,AF78),0,1-INDEX('Lease Cycles'!$EM$12:$ES$12,1,AF78)),IF(OR(INDEX('Lease Cycles'!$DY$12:$EE$12,1,AF78)=1,AF79&gt;0),1,1-INDEX('Lease Cycles'!$DD$12:$DJ$12,1,AF78))*('Lease Cycles'!$AJ$12*INDEX('Lease Cycles'!$FO$12:$FU$12,1,AF78)+'Lease Cycles'!$BE$12*(1-INDEX('Lease Cycles'!$FO$12:$FU$12,1,AF78)))),0)</f>
        <v>0</v>
      </c>
      <c r="AG88" s="24">
        <f>IF(AG80=1,'Lease Cycles'!$D$12*IF(INDEX('Lease Cycles'!$EF$12:$EL$12,1,AG78)=1,'Lease Cycles'!$AJ$12*INDEX('Lease Cycles'!$FO$12:$FU$12,1,AG78)*INDEX('Lease Cycles'!$EM$12:$ES$12,1,AG78)+'Lease Cycles'!$BE$12*IF(AG79&lt;INDEX('Lease Cycles'!$FA$12:$FG$12,1,AG78),0,1-INDEX('Lease Cycles'!$EM$12:$ES$12,1,AG78)),IF(OR(INDEX('Lease Cycles'!$DY$12:$EE$12,1,AG78)=1,AG79&gt;0),1,1-INDEX('Lease Cycles'!$DD$12:$DJ$12,1,AG78))*('Lease Cycles'!$AJ$12*INDEX('Lease Cycles'!$FO$12:$FU$12,1,AG78)+'Lease Cycles'!$BE$12*(1-INDEX('Lease Cycles'!$FO$12:$FU$12,1,AG78)))),0)</f>
        <v>0</v>
      </c>
      <c r="AH88" s="24">
        <f>IF(AH80=1,'Lease Cycles'!$D$12*IF(INDEX('Lease Cycles'!$EF$12:$EL$12,1,AH78)=1,'Lease Cycles'!$AJ$12*INDEX('Lease Cycles'!$FO$12:$FU$12,1,AH78)*INDEX('Lease Cycles'!$EM$12:$ES$12,1,AH78)+'Lease Cycles'!$BE$12*IF(AH79&lt;INDEX('Lease Cycles'!$FA$12:$FG$12,1,AH78),0,1-INDEX('Lease Cycles'!$EM$12:$ES$12,1,AH78)),IF(OR(INDEX('Lease Cycles'!$DY$12:$EE$12,1,AH78)=1,AH79&gt;0),1,1-INDEX('Lease Cycles'!$DD$12:$DJ$12,1,AH78))*('Lease Cycles'!$AJ$12*INDEX('Lease Cycles'!$FO$12:$FU$12,1,AH78)+'Lease Cycles'!$BE$12*(1-INDEX('Lease Cycles'!$FO$12:$FU$12,1,AH78)))),0)</f>
        <v>0</v>
      </c>
      <c r="AI88" s="24">
        <f>IF(AI80=1,'Lease Cycles'!$D$12*IF(INDEX('Lease Cycles'!$EF$12:$EL$12,1,AI78)=1,'Lease Cycles'!$AJ$12*INDEX('Lease Cycles'!$FO$12:$FU$12,1,AI78)*INDEX('Lease Cycles'!$EM$12:$ES$12,1,AI78)+'Lease Cycles'!$BE$12*IF(AI79&lt;INDEX('Lease Cycles'!$FA$12:$FG$12,1,AI78),0,1-INDEX('Lease Cycles'!$EM$12:$ES$12,1,AI78)),IF(OR(INDEX('Lease Cycles'!$DY$12:$EE$12,1,AI78)=1,AI79&gt;0),1,1-INDEX('Lease Cycles'!$DD$12:$DJ$12,1,AI78))*('Lease Cycles'!$AJ$12*INDEX('Lease Cycles'!$FO$12:$FU$12,1,AI78)+'Lease Cycles'!$BE$12*(1-INDEX('Lease Cycles'!$FO$12:$FU$12,1,AI78)))),0)</f>
        <v>0</v>
      </c>
      <c r="AJ88" s="24">
        <f>IF(AJ80=1,'Lease Cycles'!$D$12*IF(INDEX('Lease Cycles'!$EF$12:$EL$12,1,AJ78)=1,'Lease Cycles'!$AJ$12*INDEX('Lease Cycles'!$FO$12:$FU$12,1,AJ78)*INDEX('Lease Cycles'!$EM$12:$ES$12,1,AJ78)+'Lease Cycles'!$BE$12*IF(AJ79&lt;INDEX('Lease Cycles'!$FA$12:$FG$12,1,AJ78),0,1-INDEX('Lease Cycles'!$EM$12:$ES$12,1,AJ78)),IF(OR(INDEX('Lease Cycles'!$DY$12:$EE$12,1,AJ78)=1,AJ79&gt;0),1,1-INDEX('Lease Cycles'!$DD$12:$DJ$12,1,AJ78))*('Lease Cycles'!$AJ$12*INDEX('Lease Cycles'!$FO$12:$FU$12,1,AJ78)+'Lease Cycles'!$BE$12*(1-INDEX('Lease Cycles'!$FO$12:$FU$12,1,AJ78)))),0)</f>
        <v>0</v>
      </c>
      <c r="AK88" s="24">
        <f>IF(AK80=1,'Lease Cycles'!$D$12*IF(INDEX('Lease Cycles'!$EF$12:$EL$12,1,AK78)=1,'Lease Cycles'!$AJ$12*INDEX('Lease Cycles'!$FO$12:$FU$12,1,AK78)*INDEX('Lease Cycles'!$EM$12:$ES$12,1,AK78)+'Lease Cycles'!$BE$12*IF(AK79&lt;INDEX('Lease Cycles'!$FA$12:$FG$12,1,AK78),0,1-INDEX('Lease Cycles'!$EM$12:$ES$12,1,AK78)),IF(OR(INDEX('Lease Cycles'!$DY$12:$EE$12,1,AK78)=1,AK79&gt;0),1,1-INDEX('Lease Cycles'!$DD$12:$DJ$12,1,AK78))*('Lease Cycles'!$AJ$12*INDEX('Lease Cycles'!$FO$12:$FU$12,1,AK78)+'Lease Cycles'!$BE$12*(1-INDEX('Lease Cycles'!$FO$12:$FU$12,1,AK78)))),0)</f>
        <v>0</v>
      </c>
      <c r="AL88" s="24">
        <f>IF(AL80=1,'Lease Cycles'!$D$12*IF(INDEX('Lease Cycles'!$EF$12:$EL$12,1,AL78)=1,'Lease Cycles'!$AJ$12*INDEX('Lease Cycles'!$FO$12:$FU$12,1,AL78)*INDEX('Lease Cycles'!$EM$12:$ES$12,1,AL78)+'Lease Cycles'!$BE$12*IF(AL79&lt;INDEX('Lease Cycles'!$FA$12:$FG$12,1,AL78),0,1-INDEX('Lease Cycles'!$EM$12:$ES$12,1,AL78)),IF(OR(INDEX('Lease Cycles'!$DY$12:$EE$12,1,AL78)=1,AL79&gt;0),1,1-INDEX('Lease Cycles'!$DD$12:$DJ$12,1,AL78))*('Lease Cycles'!$AJ$12*INDEX('Lease Cycles'!$FO$12:$FU$12,1,AL78)+'Lease Cycles'!$BE$12*(1-INDEX('Lease Cycles'!$FO$12:$FU$12,1,AL78)))),0)</f>
        <v>0</v>
      </c>
      <c r="AM88" s="24">
        <f>IF(AM80=1,'Lease Cycles'!$D$12*IF(INDEX('Lease Cycles'!$EF$12:$EL$12,1,AM78)=1,'Lease Cycles'!$AJ$12*INDEX('Lease Cycles'!$FO$12:$FU$12,1,AM78)*INDEX('Lease Cycles'!$EM$12:$ES$12,1,AM78)+'Lease Cycles'!$BE$12*IF(AM79&lt;INDEX('Lease Cycles'!$FA$12:$FG$12,1,AM78),0,1-INDEX('Lease Cycles'!$EM$12:$ES$12,1,AM78)),IF(OR(INDEX('Lease Cycles'!$DY$12:$EE$12,1,AM78)=1,AM79&gt;0),1,1-INDEX('Lease Cycles'!$DD$12:$DJ$12,1,AM78))*('Lease Cycles'!$AJ$12*INDEX('Lease Cycles'!$FO$12:$FU$12,1,AM78)+'Lease Cycles'!$BE$12*(1-INDEX('Lease Cycles'!$FO$12:$FU$12,1,AM78)))),0)</f>
        <v>0</v>
      </c>
      <c r="AN88" s="24">
        <f>IF(AN80=1,'Lease Cycles'!$D$12*IF(INDEX('Lease Cycles'!$EF$12:$EL$12,1,AN78)=1,'Lease Cycles'!$AJ$12*INDEX('Lease Cycles'!$FO$12:$FU$12,1,AN78)*INDEX('Lease Cycles'!$EM$12:$ES$12,1,AN78)+'Lease Cycles'!$BE$12*IF(AN79&lt;INDEX('Lease Cycles'!$FA$12:$FG$12,1,AN78),0,1-INDEX('Lease Cycles'!$EM$12:$ES$12,1,AN78)),IF(OR(INDEX('Lease Cycles'!$DY$12:$EE$12,1,AN78)=1,AN79&gt;0),1,1-INDEX('Lease Cycles'!$DD$12:$DJ$12,1,AN78))*('Lease Cycles'!$AJ$12*INDEX('Lease Cycles'!$FO$12:$FU$12,1,AN78)+'Lease Cycles'!$BE$12*(1-INDEX('Lease Cycles'!$FO$12:$FU$12,1,AN78)))),0)</f>
        <v>0</v>
      </c>
      <c r="AO88" s="24">
        <f>IF(AO80=1,'Lease Cycles'!$D$12*IF(INDEX('Lease Cycles'!$EF$12:$EL$12,1,AO78)=1,'Lease Cycles'!$AJ$12*INDEX('Lease Cycles'!$FO$12:$FU$12,1,AO78)*INDEX('Lease Cycles'!$EM$12:$ES$12,1,AO78)+'Lease Cycles'!$BE$12*IF(AO79&lt;INDEX('Lease Cycles'!$FA$12:$FG$12,1,AO78),0,1-INDEX('Lease Cycles'!$EM$12:$ES$12,1,AO78)),IF(OR(INDEX('Lease Cycles'!$DY$12:$EE$12,1,AO78)=1,AO79&gt;0),1,1-INDEX('Lease Cycles'!$DD$12:$DJ$12,1,AO78))*('Lease Cycles'!$AJ$12*INDEX('Lease Cycles'!$FO$12:$FU$12,1,AO78)+'Lease Cycles'!$BE$12*(1-INDEX('Lease Cycles'!$FO$12:$FU$12,1,AO78)))),0)</f>
        <v>0</v>
      </c>
      <c r="AP88" s="24">
        <f>IF(AP80=1,'Lease Cycles'!$D$12*IF(INDEX('Lease Cycles'!$EF$12:$EL$12,1,AP78)=1,'Lease Cycles'!$AJ$12*INDEX('Lease Cycles'!$FO$12:$FU$12,1,AP78)*INDEX('Lease Cycles'!$EM$12:$ES$12,1,AP78)+'Lease Cycles'!$BE$12*IF(AP79&lt;INDEX('Lease Cycles'!$FA$12:$FG$12,1,AP78),0,1-INDEX('Lease Cycles'!$EM$12:$ES$12,1,AP78)),IF(OR(INDEX('Lease Cycles'!$DY$12:$EE$12,1,AP78)=1,AP79&gt;0),1,1-INDEX('Lease Cycles'!$DD$12:$DJ$12,1,AP78))*('Lease Cycles'!$AJ$12*INDEX('Lease Cycles'!$FO$12:$FU$12,1,AP78)+'Lease Cycles'!$BE$12*(1-INDEX('Lease Cycles'!$FO$12:$FU$12,1,AP78)))),0)</f>
        <v>0</v>
      </c>
      <c r="AQ88" s="24">
        <f>IF(AQ80=1,'Lease Cycles'!$D$12*IF(INDEX('Lease Cycles'!$EF$12:$EL$12,1,AQ78)=1,'Lease Cycles'!$AJ$12*INDEX('Lease Cycles'!$FO$12:$FU$12,1,AQ78)*INDEX('Lease Cycles'!$EM$12:$ES$12,1,AQ78)+'Lease Cycles'!$BE$12*IF(AQ79&lt;INDEX('Lease Cycles'!$FA$12:$FG$12,1,AQ78),0,1-INDEX('Lease Cycles'!$EM$12:$ES$12,1,AQ78)),IF(OR(INDEX('Lease Cycles'!$DY$12:$EE$12,1,AQ78)=1,AQ79&gt;0),1,1-INDEX('Lease Cycles'!$DD$12:$DJ$12,1,AQ78))*('Lease Cycles'!$AJ$12*INDEX('Lease Cycles'!$FO$12:$FU$12,1,AQ78)+'Lease Cycles'!$BE$12*(1-INDEX('Lease Cycles'!$FO$12:$FU$12,1,AQ78)))),0)</f>
        <v>0</v>
      </c>
      <c r="AR88" s="24">
        <f>IF(AR80=1,'Lease Cycles'!$D$12*IF(INDEX('Lease Cycles'!$EF$12:$EL$12,1,AR78)=1,'Lease Cycles'!$AJ$12*INDEX('Lease Cycles'!$FO$12:$FU$12,1,AR78)*INDEX('Lease Cycles'!$EM$12:$ES$12,1,AR78)+'Lease Cycles'!$BE$12*IF(AR79&lt;INDEX('Lease Cycles'!$FA$12:$FG$12,1,AR78),0,1-INDEX('Lease Cycles'!$EM$12:$ES$12,1,AR78)),IF(OR(INDEX('Lease Cycles'!$DY$12:$EE$12,1,AR78)=1,AR79&gt;0),1,1-INDEX('Lease Cycles'!$DD$12:$DJ$12,1,AR78))*('Lease Cycles'!$AJ$12*INDEX('Lease Cycles'!$FO$12:$FU$12,1,AR78)+'Lease Cycles'!$BE$12*(1-INDEX('Lease Cycles'!$FO$12:$FU$12,1,AR78)))),0)</f>
        <v>0</v>
      </c>
      <c r="AS88" s="24">
        <f>IF(AS80=1,'Lease Cycles'!$D$12*IF(INDEX('Lease Cycles'!$EF$12:$EL$12,1,AS78)=1,'Lease Cycles'!$AJ$12*INDEX('Lease Cycles'!$FO$12:$FU$12,1,AS78)*INDEX('Lease Cycles'!$EM$12:$ES$12,1,AS78)+'Lease Cycles'!$BE$12*IF(AS79&lt;INDEX('Lease Cycles'!$FA$12:$FG$12,1,AS78),0,1-INDEX('Lease Cycles'!$EM$12:$ES$12,1,AS78)),IF(OR(INDEX('Lease Cycles'!$DY$12:$EE$12,1,AS78)=1,AS79&gt;0),1,1-INDEX('Lease Cycles'!$DD$12:$DJ$12,1,AS78))*('Lease Cycles'!$AJ$12*INDEX('Lease Cycles'!$FO$12:$FU$12,1,AS78)+'Lease Cycles'!$BE$12*(1-INDEX('Lease Cycles'!$FO$12:$FU$12,1,AS78)))),0)</f>
        <v>0</v>
      </c>
      <c r="AT88" s="24">
        <f>IF(AT80=1,'Lease Cycles'!$D$12*IF(INDEX('Lease Cycles'!$EF$12:$EL$12,1,AT78)=1,'Lease Cycles'!$AJ$12*INDEX('Lease Cycles'!$FO$12:$FU$12,1,AT78)*INDEX('Lease Cycles'!$EM$12:$ES$12,1,AT78)+'Lease Cycles'!$BE$12*IF(AT79&lt;INDEX('Lease Cycles'!$FA$12:$FG$12,1,AT78),0,1-INDEX('Lease Cycles'!$EM$12:$ES$12,1,AT78)),IF(OR(INDEX('Lease Cycles'!$DY$12:$EE$12,1,AT78)=1,AT79&gt;0),1,1-INDEX('Lease Cycles'!$DD$12:$DJ$12,1,AT78))*('Lease Cycles'!$AJ$12*INDEX('Lease Cycles'!$FO$12:$FU$12,1,AT78)+'Lease Cycles'!$BE$12*(1-INDEX('Lease Cycles'!$FO$12:$FU$12,1,AT78)))),0)</f>
        <v>0</v>
      </c>
      <c r="AU88" s="24">
        <f>IF(AU80=1,'Lease Cycles'!$D$12*IF(INDEX('Lease Cycles'!$EF$12:$EL$12,1,AU78)=1,'Lease Cycles'!$AJ$12*INDEX('Lease Cycles'!$FO$12:$FU$12,1,AU78)*INDEX('Lease Cycles'!$EM$12:$ES$12,1,AU78)+'Lease Cycles'!$BE$12*IF(AU79&lt;INDEX('Lease Cycles'!$FA$12:$FG$12,1,AU78),0,1-INDEX('Lease Cycles'!$EM$12:$ES$12,1,AU78)),IF(OR(INDEX('Lease Cycles'!$DY$12:$EE$12,1,AU78)=1,AU79&gt;0),1,1-INDEX('Lease Cycles'!$DD$12:$DJ$12,1,AU78))*('Lease Cycles'!$AJ$12*INDEX('Lease Cycles'!$FO$12:$FU$12,1,AU78)+'Lease Cycles'!$BE$12*(1-INDEX('Lease Cycles'!$FO$12:$FU$12,1,AU78)))),0)</f>
        <v>0</v>
      </c>
      <c r="AV88" s="24">
        <f>IF(AV80=1,'Lease Cycles'!$D$12*IF(INDEX('Lease Cycles'!$EF$12:$EL$12,1,AV78)=1,'Lease Cycles'!$AJ$12*INDEX('Lease Cycles'!$FO$12:$FU$12,1,AV78)*INDEX('Lease Cycles'!$EM$12:$ES$12,1,AV78)+'Lease Cycles'!$BE$12*IF(AV79&lt;INDEX('Lease Cycles'!$FA$12:$FG$12,1,AV78),0,1-INDEX('Lease Cycles'!$EM$12:$ES$12,1,AV78)),IF(OR(INDEX('Lease Cycles'!$DY$12:$EE$12,1,AV78)=1,AV79&gt;0),1,1-INDEX('Lease Cycles'!$DD$12:$DJ$12,1,AV78))*('Lease Cycles'!$AJ$12*INDEX('Lease Cycles'!$FO$12:$FU$12,1,AV78)+'Lease Cycles'!$BE$12*(1-INDEX('Lease Cycles'!$FO$12:$FU$12,1,AV78)))),0)</f>
        <v>0</v>
      </c>
      <c r="AW88" s="24">
        <f>IF(AW80=1,'Lease Cycles'!$D$12*IF(INDEX('Lease Cycles'!$EF$12:$EL$12,1,AW78)=1,'Lease Cycles'!$AJ$12*INDEX('Lease Cycles'!$FO$12:$FU$12,1,AW78)*INDEX('Lease Cycles'!$EM$12:$ES$12,1,AW78)+'Lease Cycles'!$BE$12*IF(AW79&lt;INDEX('Lease Cycles'!$FA$12:$FG$12,1,AW78),0,1-INDEX('Lease Cycles'!$EM$12:$ES$12,1,AW78)),IF(OR(INDEX('Lease Cycles'!$DY$12:$EE$12,1,AW78)=1,AW79&gt;0),1,1-INDEX('Lease Cycles'!$DD$12:$DJ$12,1,AW78))*('Lease Cycles'!$AJ$12*INDEX('Lease Cycles'!$FO$12:$FU$12,1,AW78)+'Lease Cycles'!$BE$12*(1-INDEX('Lease Cycles'!$FO$12:$FU$12,1,AW78)))),0)</f>
        <v>0</v>
      </c>
      <c r="AX88" s="24">
        <f>IF(AX80=1,'Lease Cycles'!$D$12*IF(INDEX('Lease Cycles'!$EF$12:$EL$12,1,AX78)=1,'Lease Cycles'!$AJ$12*INDEX('Lease Cycles'!$FO$12:$FU$12,1,AX78)*INDEX('Lease Cycles'!$EM$12:$ES$12,1,AX78)+'Lease Cycles'!$BE$12*IF(AX79&lt;INDEX('Lease Cycles'!$FA$12:$FG$12,1,AX78),0,1-INDEX('Lease Cycles'!$EM$12:$ES$12,1,AX78)),IF(OR(INDEX('Lease Cycles'!$DY$12:$EE$12,1,AX78)=1,AX79&gt;0),1,1-INDEX('Lease Cycles'!$DD$12:$DJ$12,1,AX78))*('Lease Cycles'!$AJ$12*INDEX('Lease Cycles'!$FO$12:$FU$12,1,AX78)+'Lease Cycles'!$BE$12*(1-INDEX('Lease Cycles'!$FO$12:$FU$12,1,AX78)))),0)</f>
        <v>0</v>
      </c>
      <c r="AY88" s="24">
        <f>IF(AY80=1,'Lease Cycles'!$D$12*IF(INDEX('Lease Cycles'!$EF$12:$EL$12,1,AY78)=1,'Lease Cycles'!$AJ$12*INDEX('Lease Cycles'!$FO$12:$FU$12,1,AY78)*INDEX('Lease Cycles'!$EM$12:$ES$12,1,AY78)+'Lease Cycles'!$BE$12*IF(AY79&lt;INDEX('Lease Cycles'!$FA$12:$FG$12,1,AY78),0,1-INDEX('Lease Cycles'!$EM$12:$ES$12,1,AY78)),IF(OR(INDEX('Lease Cycles'!$DY$12:$EE$12,1,AY78)=1,AY79&gt;0),1,1-INDEX('Lease Cycles'!$DD$12:$DJ$12,1,AY78))*('Lease Cycles'!$AJ$12*INDEX('Lease Cycles'!$FO$12:$FU$12,1,AY78)+'Lease Cycles'!$BE$12*(1-INDEX('Lease Cycles'!$FO$12:$FU$12,1,AY78)))),0)</f>
        <v>0</v>
      </c>
      <c r="AZ88" s="24">
        <f>IF(AZ80=1,'Lease Cycles'!$D$12*IF(INDEX('Lease Cycles'!$EF$12:$EL$12,1,AZ78)=1,'Lease Cycles'!$AJ$12*INDEX('Lease Cycles'!$FO$12:$FU$12,1,AZ78)*INDEX('Lease Cycles'!$EM$12:$ES$12,1,AZ78)+'Lease Cycles'!$BE$12*IF(AZ79&lt;INDEX('Lease Cycles'!$FA$12:$FG$12,1,AZ78),0,1-INDEX('Lease Cycles'!$EM$12:$ES$12,1,AZ78)),IF(OR(INDEX('Lease Cycles'!$DY$12:$EE$12,1,AZ78)=1,AZ79&gt;0),1,1-INDEX('Lease Cycles'!$DD$12:$DJ$12,1,AZ78))*('Lease Cycles'!$AJ$12*INDEX('Lease Cycles'!$FO$12:$FU$12,1,AZ78)+'Lease Cycles'!$BE$12*(1-INDEX('Lease Cycles'!$FO$12:$FU$12,1,AZ78)))),0)</f>
        <v>0</v>
      </c>
      <c r="BA88" s="24">
        <f>IF(BA80=1,'Lease Cycles'!$D$12*IF(INDEX('Lease Cycles'!$EF$12:$EL$12,1,BA78)=1,'Lease Cycles'!$AJ$12*INDEX('Lease Cycles'!$FO$12:$FU$12,1,BA78)*INDEX('Lease Cycles'!$EM$12:$ES$12,1,BA78)+'Lease Cycles'!$BE$12*IF(BA79&lt;INDEX('Lease Cycles'!$FA$12:$FG$12,1,BA78),0,1-INDEX('Lease Cycles'!$EM$12:$ES$12,1,BA78)),IF(OR(INDEX('Lease Cycles'!$DY$12:$EE$12,1,BA78)=1,BA79&gt;0),1,1-INDEX('Lease Cycles'!$DD$12:$DJ$12,1,BA78))*('Lease Cycles'!$AJ$12*INDEX('Lease Cycles'!$FO$12:$FU$12,1,BA78)+'Lease Cycles'!$BE$12*(1-INDEX('Lease Cycles'!$FO$12:$FU$12,1,BA78)))),0)</f>
        <v>0</v>
      </c>
      <c r="BB88" s="24">
        <f>IF(BB80=1,'Lease Cycles'!$D$12*IF(INDEX('Lease Cycles'!$EF$12:$EL$12,1,BB78)=1,'Lease Cycles'!$AJ$12*INDEX('Lease Cycles'!$FO$12:$FU$12,1,BB78)*INDEX('Lease Cycles'!$EM$12:$ES$12,1,BB78)+'Lease Cycles'!$BE$12*IF(BB79&lt;INDEX('Lease Cycles'!$FA$12:$FG$12,1,BB78),0,1-INDEX('Lease Cycles'!$EM$12:$ES$12,1,BB78)),IF(OR(INDEX('Lease Cycles'!$DY$12:$EE$12,1,BB78)=1,BB79&gt;0),1,1-INDEX('Lease Cycles'!$DD$12:$DJ$12,1,BB78))*('Lease Cycles'!$AJ$12*INDEX('Lease Cycles'!$FO$12:$FU$12,1,BB78)+'Lease Cycles'!$BE$12*(1-INDEX('Lease Cycles'!$FO$12:$FU$12,1,BB78)))),0)</f>
        <v>0</v>
      </c>
      <c r="BC88" s="24">
        <f>IF(BC80=1,'Lease Cycles'!$D$12*IF(INDEX('Lease Cycles'!$EF$12:$EL$12,1,BC78)=1,'Lease Cycles'!$AJ$12*INDEX('Lease Cycles'!$FO$12:$FU$12,1,BC78)*INDEX('Lease Cycles'!$EM$12:$ES$12,1,BC78)+'Lease Cycles'!$BE$12*IF(BC79&lt;INDEX('Lease Cycles'!$FA$12:$FG$12,1,BC78),0,1-INDEX('Lease Cycles'!$EM$12:$ES$12,1,BC78)),IF(OR(INDEX('Lease Cycles'!$DY$12:$EE$12,1,BC78)=1,BC79&gt;0),1,1-INDEX('Lease Cycles'!$DD$12:$DJ$12,1,BC78))*('Lease Cycles'!$AJ$12*INDEX('Lease Cycles'!$FO$12:$FU$12,1,BC78)+'Lease Cycles'!$BE$12*(1-INDEX('Lease Cycles'!$FO$12:$FU$12,1,BC78)))),0)</f>
        <v>0</v>
      </c>
      <c r="BD88" s="24">
        <f>IF(BD80=1,'Lease Cycles'!$D$12*IF(INDEX('Lease Cycles'!$EF$12:$EL$12,1,BD78)=1,'Lease Cycles'!$AJ$12*INDEX('Lease Cycles'!$FO$12:$FU$12,1,BD78)*INDEX('Lease Cycles'!$EM$12:$ES$12,1,BD78)+'Lease Cycles'!$BE$12*IF(BD79&lt;INDEX('Lease Cycles'!$FA$12:$FG$12,1,BD78),0,1-INDEX('Lease Cycles'!$EM$12:$ES$12,1,BD78)),IF(OR(INDEX('Lease Cycles'!$DY$12:$EE$12,1,BD78)=1,BD79&gt;0),1,1-INDEX('Lease Cycles'!$DD$12:$DJ$12,1,BD78))*('Lease Cycles'!$AJ$12*INDEX('Lease Cycles'!$FO$12:$FU$12,1,BD78)+'Lease Cycles'!$BE$12*(1-INDEX('Lease Cycles'!$FO$12:$FU$12,1,BD78)))),0)</f>
        <v>0</v>
      </c>
      <c r="BE88" s="24">
        <f>IF(BE80=1,'Lease Cycles'!$D$12*IF(INDEX('Lease Cycles'!$EF$12:$EL$12,1,BE78)=1,'Lease Cycles'!$AJ$12*INDEX('Lease Cycles'!$FO$12:$FU$12,1,BE78)*INDEX('Lease Cycles'!$EM$12:$ES$12,1,BE78)+'Lease Cycles'!$BE$12*IF(BE79&lt;INDEX('Lease Cycles'!$FA$12:$FG$12,1,BE78),0,1-INDEX('Lease Cycles'!$EM$12:$ES$12,1,BE78)),IF(OR(INDEX('Lease Cycles'!$DY$12:$EE$12,1,BE78)=1,BE79&gt;0),1,1-INDEX('Lease Cycles'!$DD$12:$DJ$12,1,BE78))*('Lease Cycles'!$AJ$12*INDEX('Lease Cycles'!$FO$12:$FU$12,1,BE78)+'Lease Cycles'!$BE$12*(1-INDEX('Lease Cycles'!$FO$12:$FU$12,1,BE78)))),0)</f>
        <v>0</v>
      </c>
      <c r="BF88" s="24">
        <f>IF(BF80=1,'Lease Cycles'!$D$12*IF(INDEX('Lease Cycles'!$EF$12:$EL$12,1,BF78)=1,'Lease Cycles'!$AJ$12*INDEX('Lease Cycles'!$FO$12:$FU$12,1,BF78)*INDEX('Lease Cycles'!$EM$12:$ES$12,1,BF78)+'Lease Cycles'!$BE$12*IF(BF79&lt;INDEX('Lease Cycles'!$FA$12:$FG$12,1,BF78),0,1-INDEX('Lease Cycles'!$EM$12:$ES$12,1,BF78)),IF(OR(INDEX('Lease Cycles'!$DY$12:$EE$12,1,BF78)=1,BF79&gt;0),1,1-INDEX('Lease Cycles'!$DD$12:$DJ$12,1,BF78))*('Lease Cycles'!$AJ$12*INDEX('Lease Cycles'!$FO$12:$FU$12,1,BF78)+'Lease Cycles'!$BE$12*(1-INDEX('Lease Cycles'!$FO$12:$FU$12,1,BF78)))),0)</f>
        <v>0</v>
      </c>
      <c r="BG88" s="24">
        <f>IF(BG80=1,'Lease Cycles'!$D$12*IF(INDEX('Lease Cycles'!$EF$12:$EL$12,1,BG78)=1,'Lease Cycles'!$AJ$12*INDEX('Lease Cycles'!$FO$12:$FU$12,1,BG78)*INDEX('Lease Cycles'!$EM$12:$ES$12,1,BG78)+'Lease Cycles'!$BE$12*IF(BG79&lt;INDEX('Lease Cycles'!$FA$12:$FG$12,1,BG78),0,1-INDEX('Lease Cycles'!$EM$12:$ES$12,1,BG78)),IF(OR(INDEX('Lease Cycles'!$DY$12:$EE$12,1,BG78)=1,BG79&gt;0),1,1-INDEX('Lease Cycles'!$DD$12:$DJ$12,1,BG78))*('Lease Cycles'!$AJ$12*INDEX('Lease Cycles'!$FO$12:$FU$12,1,BG78)+'Lease Cycles'!$BE$12*(1-INDEX('Lease Cycles'!$FO$12:$FU$12,1,BG78)))),0)</f>
        <v>0</v>
      </c>
      <c r="BH88" s="24">
        <f>IF(BH80=1,'Lease Cycles'!$D$12*IF(INDEX('Lease Cycles'!$EF$12:$EL$12,1,BH78)=1,'Lease Cycles'!$AJ$12*INDEX('Lease Cycles'!$FO$12:$FU$12,1,BH78)*INDEX('Lease Cycles'!$EM$12:$ES$12,1,BH78)+'Lease Cycles'!$BE$12*IF(BH79&lt;INDEX('Lease Cycles'!$FA$12:$FG$12,1,BH78),0,1-INDEX('Lease Cycles'!$EM$12:$ES$12,1,BH78)),IF(OR(INDEX('Lease Cycles'!$DY$12:$EE$12,1,BH78)=1,BH79&gt;0),1,1-INDEX('Lease Cycles'!$DD$12:$DJ$12,1,BH78))*('Lease Cycles'!$AJ$12*INDEX('Lease Cycles'!$FO$12:$FU$12,1,BH78)+'Lease Cycles'!$BE$12*(1-INDEX('Lease Cycles'!$FO$12:$FU$12,1,BH78)))),0)</f>
        <v>0</v>
      </c>
      <c r="BI88" s="24">
        <f>IF(BI80=1,'Lease Cycles'!$D$12*IF(INDEX('Lease Cycles'!$EF$12:$EL$12,1,BI78)=1,'Lease Cycles'!$AJ$12*INDEX('Lease Cycles'!$FO$12:$FU$12,1,BI78)*INDEX('Lease Cycles'!$EM$12:$ES$12,1,BI78)+'Lease Cycles'!$BE$12*IF(BI79&lt;INDEX('Lease Cycles'!$FA$12:$FG$12,1,BI78),0,1-INDEX('Lease Cycles'!$EM$12:$ES$12,1,BI78)),IF(OR(INDEX('Lease Cycles'!$DY$12:$EE$12,1,BI78)=1,BI79&gt;0),1,1-INDEX('Lease Cycles'!$DD$12:$DJ$12,1,BI78))*('Lease Cycles'!$AJ$12*INDEX('Lease Cycles'!$FO$12:$FU$12,1,BI78)+'Lease Cycles'!$BE$12*(1-INDEX('Lease Cycles'!$FO$12:$FU$12,1,BI78)))),0)</f>
        <v>0</v>
      </c>
      <c r="BJ88" s="24">
        <f>IF(BJ80=1,'Lease Cycles'!$D$12*IF(INDEX('Lease Cycles'!$EF$12:$EL$12,1,BJ78)=1,'Lease Cycles'!$AJ$12*INDEX('Lease Cycles'!$FO$12:$FU$12,1,BJ78)*INDEX('Lease Cycles'!$EM$12:$ES$12,1,BJ78)+'Lease Cycles'!$BE$12*IF(BJ79&lt;INDEX('Lease Cycles'!$FA$12:$FG$12,1,BJ78),0,1-INDEX('Lease Cycles'!$EM$12:$ES$12,1,BJ78)),IF(OR(INDEX('Lease Cycles'!$DY$12:$EE$12,1,BJ78)=1,BJ79&gt;0),1,1-INDEX('Lease Cycles'!$DD$12:$DJ$12,1,BJ78))*('Lease Cycles'!$AJ$12*INDEX('Lease Cycles'!$FO$12:$FU$12,1,BJ78)+'Lease Cycles'!$BE$12*(1-INDEX('Lease Cycles'!$FO$12:$FU$12,1,BJ78)))),0)</f>
        <v>0</v>
      </c>
      <c r="BK88" s="24">
        <f>IF(BK80=1,'Lease Cycles'!$D$12*IF(INDEX('Lease Cycles'!$EF$12:$EL$12,1,BK78)=1,'Lease Cycles'!$AJ$12*INDEX('Lease Cycles'!$FO$12:$FU$12,1,BK78)*INDEX('Lease Cycles'!$EM$12:$ES$12,1,BK78)+'Lease Cycles'!$BE$12*IF(BK79&lt;INDEX('Lease Cycles'!$FA$12:$FG$12,1,BK78),0,1-INDEX('Lease Cycles'!$EM$12:$ES$12,1,BK78)),IF(OR(INDEX('Lease Cycles'!$DY$12:$EE$12,1,BK78)=1,BK79&gt;0),1,1-INDEX('Lease Cycles'!$DD$12:$DJ$12,1,BK78))*('Lease Cycles'!$AJ$12*INDEX('Lease Cycles'!$FO$12:$FU$12,1,BK78)+'Lease Cycles'!$BE$12*(1-INDEX('Lease Cycles'!$FO$12:$FU$12,1,BK78)))),0)</f>
        <v>0</v>
      </c>
      <c r="BL88" s="24">
        <f>IF(BL80=1,'Lease Cycles'!$D$12*IF(INDEX('Lease Cycles'!$EF$12:$EL$12,1,BL78)=1,'Lease Cycles'!$AJ$12*INDEX('Lease Cycles'!$FO$12:$FU$12,1,BL78)*INDEX('Lease Cycles'!$EM$12:$ES$12,1,BL78)+'Lease Cycles'!$BE$12*IF(BL79&lt;INDEX('Lease Cycles'!$FA$12:$FG$12,1,BL78),0,1-INDEX('Lease Cycles'!$EM$12:$ES$12,1,BL78)),IF(OR(INDEX('Lease Cycles'!$DY$12:$EE$12,1,BL78)=1,BL79&gt;0),1,1-INDEX('Lease Cycles'!$DD$12:$DJ$12,1,BL78))*('Lease Cycles'!$AJ$12*INDEX('Lease Cycles'!$FO$12:$FU$12,1,BL78)+'Lease Cycles'!$BE$12*(1-INDEX('Lease Cycles'!$FO$12:$FU$12,1,BL78)))),0)</f>
        <v>0</v>
      </c>
      <c r="BM88" s="24">
        <f>IF(BM80=1,'Lease Cycles'!$D$12*IF(INDEX('Lease Cycles'!$EF$12:$EL$12,1,BM78)=1,'Lease Cycles'!$AJ$12*INDEX('Lease Cycles'!$FO$12:$FU$12,1,BM78)*INDEX('Lease Cycles'!$EM$12:$ES$12,1,BM78)+'Lease Cycles'!$BE$12*IF(BM79&lt;INDEX('Lease Cycles'!$FA$12:$FG$12,1,BM78),0,1-INDEX('Lease Cycles'!$EM$12:$ES$12,1,BM78)),IF(OR(INDEX('Lease Cycles'!$DY$12:$EE$12,1,BM78)=1,BM79&gt;0),1,1-INDEX('Lease Cycles'!$DD$12:$DJ$12,1,BM78))*('Lease Cycles'!$AJ$12*INDEX('Lease Cycles'!$FO$12:$FU$12,1,BM78)+'Lease Cycles'!$BE$12*(1-INDEX('Lease Cycles'!$FO$12:$FU$12,1,BM78)))),0)</f>
        <v>0</v>
      </c>
      <c r="BN88" s="24">
        <f>IF(BN80=1,'Lease Cycles'!$D$12*IF(INDEX('Lease Cycles'!$EF$12:$EL$12,1,BN78)=1,'Lease Cycles'!$AJ$12*INDEX('Lease Cycles'!$FO$12:$FU$12,1,BN78)*INDEX('Lease Cycles'!$EM$12:$ES$12,1,BN78)+'Lease Cycles'!$BE$12*IF(BN79&lt;INDEX('Lease Cycles'!$FA$12:$FG$12,1,BN78),0,1-INDEX('Lease Cycles'!$EM$12:$ES$12,1,BN78)),IF(OR(INDEX('Lease Cycles'!$DY$12:$EE$12,1,BN78)=1,BN79&gt;0),1,1-INDEX('Lease Cycles'!$DD$12:$DJ$12,1,BN78))*('Lease Cycles'!$AJ$12*INDEX('Lease Cycles'!$FO$12:$FU$12,1,BN78)+'Lease Cycles'!$BE$12*(1-INDEX('Lease Cycles'!$FO$12:$FU$12,1,BN78)))),0)</f>
        <v>0</v>
      </c>
      <c r="BO88" s="24">
        <f>IF(BO80=1,'Lease Cycles'!$D$12*IF(INDEX('Lease Cycles'!$EF$12:$EL$12,1,BO78)=1,'Lease Cycles'!$AJ$12*INDEX('Lease Cycles'!$FO$12:$FU$12,1,BO78)*INDEX('Lease Cycles'!$EM$12:$ES$12,1,BO78)+'Lease Cycles'!$BE$12*IF(BO79&lt;INDEX('Lease Cycles'!$FA$12:$FG$12,1,BO78),0,1-INDEX('Lease Cycles'!$EM$12:$ES$12,1,BO78)),IF(OR(INDEX('Lease Cycles'!$DY$12:$EE$12,1,BO78)=1,BO79&gt;0),1,1-INDEX('Lease Cycles'!$DD$12:$DJ$12,1,BO78))*('Lease Cycles'!$AJ$12*INDEX('Lease Cycles'!$FO$12:$FU$12,1,BO78)+'Lease Cycles'!$BE$12*(1-INDEX('Lease Cycles'!$FO$12:$FU$12,1,BO78)))),0)</f>
        <v>0</v>
      </c>
      <c r="BP88" s="24">
        <f>IF(BP80=1,'Lease Cycles'!$D$12*IF(INDEX('Lease Cycles'!$EF$12:$EL$12,1,BP78)=1,'Lease Cycles'!$AJ$12*INDEX('Lease Cycles'!$FO$12:$FU$12,1,BP78)*INDEX('Lease Cycles'!$EM$12:$ES$12,1,BP78)+'Lease Cycles'!$BE$12*IF(BP79&lt;INDEX('Lease Cycles'!$FA$12:$FG$12,1,BP78),0,1-INDEX('Lease Cycles'!$EM$12:$ES$12,1,BP78)),IF(OR(INDEX('Lease Cycles'!$DY$12:$EE$12,1,BP78)=1,BP79&gt;0),1,1-INDEX('Lease Cycles'!$DD$12:$DJ$12,1,BP78))*('Lease Cycles'!$AJ$12*INDEX('Lease Cycles'!$FO$12:$FU$12,1,BP78)+'Lease Cycles'!$BE$12*(1-INDEX('Lease Cycles'!$FO$12:$FU$12,1,BP78)))),0)</f>
        <v>0</v>
      </c>
      <c r="BQ88" s="24">
        <f>IF(BQ80=1,'Lease Cycles'!$D$12*IF(INDEX('Lease Cycles'!$EF$12:$EL$12,1,BQ78)=1,'Lease Cycles'!$AJ$12*INDEX('Lease Cycles'!$FO$12:$FU$12,1,BQ78)*INDEX('Lease Cycles'!$EM$12:$ES$12,1,BQ78)+'Lease Cycles'!$BE$12*IF(BQ79&lt;INDEX('Lease Cycles'!$FA$12:$FG$12,1,BQ78),0,1-INDEX('Lease Cycles'!$EM$12:$ES$12,1,BQ78)),IF(OR(INDEX('Lease Cycles'!$DY$12:$EE$12,1,BQ78)=1,BQ79&gt;0),1,1-INDEX('Lease Cycles'!$DD$12:$DJ$12,1,BQ78))*('Lease Cycles'!$AJ$12*INDEX('Lease Cycles'!$FO$12:$FU$12,1,BQ78)+'Lease Cycles'!$BE$12*(1-INDEX('Lease Cycles'!$FO$12:$FU$12,1,BQ78)))),0)</f>
        <v>0</v>
      </c>
      <c r="BR88" s="24">
        <f>IF(BR80=1,'Lease Cycles'!$D$12*IF(INDEX('Lease Cycles'!$EF$12:$EL$12,1,BR78)=1,'Lease Cycles'!$AJ$12*INDEX('Lease Cycles'!$FO$12:$FU$12,1,BR78)*INDEX('Lease Cycles'!$EM$12:$ES$12,1,BR78)+'Lease Cycles'!$BE$12*IF(BR79&lt;INDEX('Lease Cycles'!$FA$12:$FG$12,1,BR78),0,1-INDEX('Lease Cycles'!$EM$12:$ES$12,1,BR78)),IF(OR(INDEX('Lease Cycles'!$DY$12:$EE$12,1,BR78)=1,BR79&gt;0),1,1-INDEX('Lease Cycles'!$DD$12:$DJ$12,1,BR78))*('Lease Cycles'!$AJ$12*INDEX('Lease Cycles'!$FO$12:$FU$12,1,BR78)+'Lease Cycles'!$BE$12*(1-INDEX('Lease Cycles'!$FO$12:$FU$12,1,BR78)))),0)</f>
        <v>0</v>
      </c>
      <c r="BS88" s="24">
        <f>IF(BS80=1,'Lease Cycles'!$D$12*IF(INDEX('Lease Cycles'!$EF$12:$EL$12,1,BS78)=1,'Lease Cycles'!$AJ$12*INDEX('Lease Cycles'!$FO$12:$FU$12,1,BS78)*INDEX('Lease Cycles'!$EM$12:$ES$12,1,BS78)+'Lease Cycles'!$BE$12*IF(BS79&lt;INDEX('Lease Cycles'!$FA$12:$FG$12,1,BS78),0,1-INDEX('Lease Cycles'!$EM$12:$ES$12,1,BS78)),IF(OR(INDEX('Lease Cycles'!$DY$12:$EE$12,1,BS78)=1,BS79&gt;0),1,1-INDEX('Lease Cycles'!$DD$12:$DJ$12,1,BS78))*('Lease Cycles'!$AJ$12*INDEX('Lease Cycles'!$FO$12:$FU$12,1,BS78)+'Lease Cycles'!$BE$12*(1-INDEX('Lease Cycles'!$FO$12:$FU$12,1,BS78)))),0)</f>
        <v>0</v>
      </c>
      <c r="BT88" s="24">
        <f>IF(BT80=1,'Lease Cycles'!$D$12*IF(INDEX('Lease Cycles'!$EF$12:$EL$12,1,BT78)=1,'Lease Cycles'!$AJ$12*INDEX('Lease Cycles'!$FO$12:$FU$12,1,BT78)*INDEX('Lease Cycles'!$EM$12:$ES$12,1,BT78)+'Lease Cycles'!$BE$12*IF(BT79&lt;INDEX('Lease Cycles'!$FA$12:$FG$12,1,BT78),0,1-INDEX('Lease Cycles'!$EM$12:$ES$12,1,BT78)),IF(OR(INDEX('Lease Cycles'!$DY$12:$EE$12,1,BT78)=1,BT79&gt;0),1,1-INDEX('Lease Cycles'!$DD$12:$DJ$12,1,BT78))*('Lease Cycles'!$AJ$12*INDEX('Lease Cycles'!$FO$12:$FU$12,1,BT78)+'Lease Cycles'!$BE$12*(1-INDEX('Lease Cycles'!$FO$12:$FU$12,1,BT78)))),0)</f>
        <v>0</v>
      </c>
      <c r="BU88" s="24">
        <f>IF(BU80=1,'Lease Cycles'!$D$12*IF(INDEX('Lease Cycles'!$EF$12:$EL$12,1,BU78)=1,'Lease Cycles'!$AJ$12*INDEX('Lease Cycles'!$FO$12:$FU$12,1,BU78)*INDEX('Lease Cycles'!$EM$12:$ES$12,1,BU78)+'Lease Cycles'!$BE$12*IF(BU79&lt;INDEX('Lease Cycles'!$FA$12:$FG$12,1,BU78),0,1-INDEX('Lease Cycles'!$EM$12:$ES$12,1,BU78)),IF(OR(INDEX('Lease Cycles'!$DY$12:$EE$12,1,BU78)=1,BU79&gt;0),1,1-INDEX('Lease Cycles'!$DD$12:$DJ$12,1,BU78))*('Lease Cycles'!$AJ$12*INDEX('Lease Cycles'!$FO$12:$FU$12,1,BU78)+'Lease Cycles'!$BE$12*(1-INDEX('Lease Cycles'!$FO$12:$FU$12,1,BU78)))),0)</f>
        <v>0</v>
      </c>
      <c r="BV88" s="24">
        <f>IF(BV80=1,'Lease Cycles'!$D$12*IF(INDEX('Lease Cycles'!$EF$12:$EL$12,1,BV78)=1,'Lease Cycles'!$AJ$12*INDEX('Lease Cycles'!$FO$12:$FU$12,1,BV78)*INDEX('Lease Cycles'!$EM$12:$ES$12,1,BV78)+'Lease Cycles'!$BE$12*IF(BV79&lt;INDEX('Lease Cycles'!$FA$12:$FG$12,1,BV78),0,1-INDEX('Lease Cycles'!$EM$12:$ES$12,1,BV78)),IF(OR(INDEX('Lease Cycles'!$DY$12:$EE$12,1,BV78)=1,BV79&gt;0),1,1-INDEX('Lease Cycles'!$DD$12:$DJ$12,1,BV78))*('Lease Cycles'!$AJ$12*INDEX('Lease Cycles'!$FO$12:$FU$12,1,BV78)+'Lease Cycles'!$BE$12*(1-INDEX('Lease Cycles'!$FO$12:$FU$12,1,BV78)))),0)</f>
        <v>0</v>
      </c>
      <c r="BW88" s="24">
        <f>IF(BW80=1,'Lease Cycles'!$D$12*IF(INDEX('Lease Cycles'!$EF$12:$EL$12,1,BW78)=1,'Lease Cycles'!$AJ$12*INDEX('Lease Cycles'!$FO$12:$FU$12,1,BW78)*INDEX('Lease Cycles'!$EM$12:$ES$12,1,BW78)+'Lease Cycles'!$BE$12*IF(BW79&lt;INDEX('Lease Cycles'!$FA$12:$FG$12,1,BW78),0,1-INDEX('Lease Cycles'!$EM$12:$ES$12,1,BW78)),IF(OR(INDEX('Lease Cycles'!$DY$12:$EE$12,1,BW78)=1,BW79&gt;0),1,1-INDEX('Lease Cycles'!$DD$12:$DJ$12,1,BW78))*('Lease Cycles'!$AJ$12*INDEX('Lease Cycles'!$FO$12:$FU$12,1,BW78)+'Lease Cycles'!$BE$12*(1-INDEX('Lease Cycles'!$FO$12:$FU$12,1,BW78)))),0)</f>
        <v>0</v>
      </c>
      <c r="BX88" s="24">
        <f>IF(BX80=1,'Lease Cycles'!$D$12*IF(INDEX('Lease Cycles'!$EF$12:$EL$12,1,BX78)=1,'Lease Cycles'!$AJ$12*INDEX('Lease Cycles'!$FO$12:$FU$12,1,BX78)*INDEX('Lease Cycles'!$EM$12:$ES$12,1,BX78)+'Lease Cycles'!$BE$12*IF(BX79&lt;INDEX('Lease Cycles'!$FA$12:$FG$12,1,BX78),0,1-INDEX('Lease Cycles'!$EM$12:$ES$12,1,BX78)),IF(OR(INDEX('Lease Cycles'!$DY$12:$EE$12,1,BX78)=1,BX79&gt;0),1,1-INDEX('Lease Cycles'!$DD$12:$DJ$12,1,BX78))*('Lease Cycles'!$AJ$12*INDEX('Lease Cycles'!$FO$12:$FU$12,1,BX78)+'Lease Cycles'!$BE$12*(1-INDEX('Lease Cycles'!$FO$12:$FU$12,1,BX78)))),0)</f>
        <v>0</v>
      </c>
      <c r="BY88" s="24">
        <f>IF(BY80=1,'Lease Cycles'!$D$12*IF(INDEX('Lease Cycles'!$EF$12:$EL$12,1,BY78)=1,'Lease Cycles'!$AJ$12*INDEX('Lease Cycles'!$FO$12:$FU$12,1,BY78)*INDEX('Lease Cycles'!$EM$12:$ES$12,1,BY78)+'Lease Cycles'!$BE$12*IF(BY79&lt;INDEX('Lease Cycles'!$FA$12:$FG$12,1,BY78),0,1-INDEX('Lease Cycles'!$EM$12:$ES$12,1,BY78)),IF(OR(INDEX('Lease Cycles'!$DY$12:$EE$12,1,BY78)=1,BY79&gt;0),1,1-INDEX('Lease Cycles'!$DD$12:$DJ$12,1,BY78))*('Lease Cycles'!$AJ$12*INDEX('Lease Cycles'!$FO$12:$FU$12,1,BY78)+'Lease Cycles'!$BE$12*(1-INDEX('Lease Cycles'!$FO$12:$FU$12,1,BY78)))),0)</f>
        <v>0</v>
      </c>
      <c r="BZ88" s="24">
        <f>IF(BZ80=1,'Lease Cycles'!$D$12*IF(INDEX('Lease Cycles'!$EF$12:$EL$12,1,BZ78)=1,'Lease Cycles'!$AJ$12*INDEX('Lease Cycles'!$FO$12:$FU$12,1,BZ78)*INDEX('Lease Cycles'!$EM$12:$ES$12,1,BZ78)+'Lease Cycles'!$BE$12*IF(BZ79&lt;INDEX('Lease Cycles'!$FA$12:$FG$12,1,BZ78),0,1-INDEX('Lease Cycles'!$EM$12:$ES$12,1,BZ78)),IF(OR(INDEX('Lease Cycles'!$DY$12:$EE$12,1,BZ78)=1,BZ79&gt;0),1,1-INDEX('Lease Cycles'!$DD$12:$DJ$12,1,BZ78))*('Lease Cycles'!$AJ$12*INDEX('Lease Cycles'!$FO$12:$FU$12,1,BZ78)+'Lease Cycles'!$BE$12*(1-INDEX('Lease Cycles'!$FO$12:$FU$12,1,BZ78)))),0)</f>
        <v>0</v>
      </c>
      <c r="CA88" s="24">
        <f>IF(CA80=1,'Lease Cycles'!$D$12*IF(INDEX('Lease Cycles'!$EF$12:$EL$12,1,CA78)=1,'Lease Cycles'!$AJ$12*INDEX('Lease Cycles'!$FO$12:$FU$12,1,CA78)*INDEX('Lease Cycles'!$EM$12:$ES$12,1,CA78)+'Lease Cycles'!$BE$12*IF(CA79&lt;INDEX('Lease Cycles'!$FA$12:$FG$12,1,CA78),0,1-INDEX('Lease Cycles'!$EM$12:$ES$12,1,CA78)),IF(OR(INDEX('Lease Cycles'!$DY$12:$EE$12,1,CA78)=1,CA79&gt;0),1,1-INDEX('Lease Cycles'!$DD$12:$DJ$12,1,CA78))*('Lease Cycles'!$AJ$12*INDEX('Lease Cycles'!$FO$12:$FU$12,1,CA78)+'Lease Cycles'!$BE$12*(1-INDEX('Lease Cycles'!$FO$12:$FU$12,1,CA78)))),0)</f>
        <v>0</v>
      </c>
      <c r="CB88" s="24">
        <f>IF(CB80=1,'Lease Cycles'!$D$12*IF(INDEX('Lease Cycles'!$EF$12:$EL$12,1,CB78)=1,'Lease Cycles'!$AJ$12*INDEX('Lease Cycles'!$FO$12:$FU$12,1,CB78)*INDEX('Lease Cycles'!$EM$12:$ES$12,1,CB78)+'Lease Cycles'!$BE$12*IF(CB79&lt;INDEX('Lease Cycles'!$FA$12:$FG$12,1,CB78),0,1-INDEX('Lease Cycles'!$EM$12:$ES$12,1,CB78)),IF(OR(INDEX('Lease Cycles'!$DY$12:$EE$12,1,CB78)=1,CB79&gt;0),1,1-INDEX('Lease Cycles'!$DD$12:$DJ$12,1,CB78))*('Lease Cycles'!$AJ$12*INDEX('Lease Cycles'!$FO$12:$FU$12,1,CB78)+'Lease Cycles'!$BE$12*(1-INDEX('Lease Cycles'!$FO$12:$FU$12,1,CB78)))),0)</f>
        <v>0</v>
      </c>
      <c r="CC88" s="24">
        <f>IF(CC80=1,'Lease Cycles'!$D$12*IF(INDEX('Lease Cycles'!$EF$12:$EL$12,1,CC78)=1,'Lease Cycles'!$AJ$12*INDEX('Lease Cycles'!$FO$12:$FU$12,1,CC78)*INDEX('Lease Cycles'!$EM$12:$ES$12,1,CC78)+'Lease Cycles'!$BE$12*IF(CC79&lt;INDEX('Lease Cycles'!$FA$12:$FG$12,1,CC78),0,1-INDEX('Lease Cycles'!$EM$12:$ES$12,1,CC78)),IF(OR(INDEX('Lease Cycles'!$DY$12:$EE$12,1,CC78)=1,CC79&gt;0),1,1-INDEX('Lease Cycles'!$DD$12:$DJ$12,1,CC78))*('Lease Cycles'!$AJ$12*INDEX('Lease Cycles'!$FO$12:$FU$12,1,CC78)+'Lease Cycles'!$BE$12*(1-INDEX('Lease Cycles'!$FO$12:$FU$12,1,CC78)))),0)</f>
        <v>0</v>
      </c>
      <c r="CD88" s="24">
        <f>IF(CD80=1,'Lease Cycles'!$D$12*IF(INDEX('Lease Cycles'!$EF$12:$EL$12,1,CD78)=1,'Lease Cycles'!$AJ$12*INDEX('Lease Cycles'!$FO$12:$FU$12,1,CD78)*INDEX('Lease Cycles'!$EM$12:$ES$12,1,CD78)+'Lease Cycles'!$BE$12*IF(CD79&lt;INDEX('Lease Cycles'!$FA$12:$FG$12,1,CD78),0,1-INDEX('Lease Cycles'!$EM$12:$ES$12,1,CD78)),IF(OR(INDEX('Lease Cycles'!$DY$12:$EE$12,1,CD78)=1,CD79&gt;0),1,1-INDEX('Lease Cycles'!$DD$12:$DJ$12,1,CD78))*('Lease Cycles'!$AJ$12*INDEX('Lease Cycles'!$FO$12:$FU$12,1,CD78)+'Lease Cycles'!$BE$12*(1-INDEX('Lease Cycles'!$FO$12:$FU$12,1,CD78)))),0)</f>
        <v>0</v>
      </c>
      <c r="CE88" s="24">
        <f>IF(CE80=1,'Lease Cycles'!$D$12*IF(INDEX('Lease Cycles'!$EF$12:$EL$12,1,CE78)=1,'Lease Cycles'!$AJ$12*INDEX('Lease Cycles'!$FO$12:$FU$12,1,CE78)*INDEX('Lease Cycles'!$EM$12:$ES$12,1,CE78)+'Lease Cycles'!$BE$12*IF(CE79&lt;INDEX('Lease Cycles'!$FA$12:$FG$12,1,CE78),0,1-INDEX('Lease Cycles'!$EM$12:$ES$12,1,CE78)),IF(OR(INDEX('Lease Cycles'!$DY$12:$EE$12,1,CE78)=1,CE79&gt;0),1,1-INDEX('Lease Cycles'!$DD$12:$DJ$12,1,CE78))*('Lease Cycles'!$AJ$12*INDEX('Lease Cycles'!$FO$12:$FU$12,1,CE78)+'Lease Cycles'!$BE$12*(1-INDEX('Lease Cycles'!$FO$12:$FU$12,1,CE78)))),0)</f>
        <v>0</v>
      </c>
      <c r="CF88" s="24">
        <f>IF(CF80=1,'Lease Cycles'!$D$12*IF(INDEX('Lease Cycles'!$EF$12:$EL$12,1,CF78)=1,'Lease Cycles'!$AJ$12*INDEX('Lease Cycles'!$FO$12:$FU$12,1,CF78)*INDEX('Lease Cycles'!$EM$12:$ES$12,1,CF78)+'Lease Cycles'!$BE$12*IF(CF79&lt;INDEX('Lease Cycles'!$FA$12:$FG$12,1,CF78),0,1-INDEX('Lease Cycles'!$EM$12:$ES$12,1,CF78)),IF(OR(INDEX('Lease Cycles'!$DY$12:$EE$12,1,CF78)=1,CF79&gt;0),1,1-INDEX('Lease Cycles'!$DD$12:$DJ$12,1,CF78))*('Lease Cycles'!$AJ$12*INDEX('Lease Cycles'!$FO$12:$FU$12,1,CF78)+'Lease Cycles'!$BE$12*(1-INDEX('Lease Cycles'!$FO$12:$FU$12,1,CF78)))),0)</f>
        <v>0</v>
      </c>
      <c r="CG88" s="24">
        <f>IF(CG80=1,'Lease Cycles'!$D$12*IF(INDEX('Lease Cycles'!$EF$12:$EL$12,1,CG78)=1,'Lease Cycles'!$AJ$12*INDEX('Lease Cycles'!$FO$12:$FU$12,1,CG78)*INDEX('Lease Cycles'!$EM$12:$ES$12,1,CG78)+'Lease Cycles'!$BE$12*IF(CG79&lt;INDEX('Lease Cycles'!$FA$12:$FG$12,1,CG78),0,1-INDEX('Lease Cycles'!$EM$12:$ES$12,1,CG78)),IF(OR(INDEX('Lease Cycles'!$DY$12:$EE$12,1,CG78)=1,CG79&gt;0),1,1-INDEX('Lease Cycles'!$DD$12:$DJ$12,1,CG78))*('Lease Cycles'!$AJ$12*INDEX('Lease Cycles'!$FO$12:$FU$12,1,CG78)+'Lease Cycles'!$BE$12*(1-INDEX('Lease Cycles'!$FO$12:$FU$12,1,CG78)))),0)</f>
        <v>0</v>
      </c>
      <c r="CH88" s="24">
        <f>IF(CH80=1,'Lease Cycles'!$D$12*IF(INDEX('Lease Cycles'!$EF$12:$EL$12,1,CH78)=1,'Lease Cycles'!$AJ$12*INDEX('Lease Cycles'!$FO$12:$FU$12,1,CH78)*INDEX('Lease Cycles'!$EM$12:$ES$12,1,CH78)+'Lease Cycles'!$BE$12*IF(CH79&lt;INDEX('Lease Cycles'!$FA$12:$FG$12,1,CH78),0,1-INDEX('Lease Cycles'!$EM$12:$ES$12,1,CH78)),IF(OR(INDEX('Lease Cycles'!$DY$12:$EE$12,1,CH78)=1,CH79&gt;0),1,1-INDEX('Lease Cycles'!$DD$12:$DJ$12,1,CH78))*('Lease Cycles'!$AJ$12*INDEX('Lease Cycles'!$FO$12:$FU$12,1,CH78)+'Lease Cycles'!$BE$12*(1-INDEX('Lease Cycles'!$FO$12:$FU$12,1,CH78)))),0)</f>
        <v>0</v>
      </c>
      <c r="CI88" s="24">
        <f>IF(CI80=1,'Lease Cycles'!$D$12*IF(INDEX('Lease Cycles'!$EF$12:$EL$12,1,CI78)=1,'Lease Cycles'!$AJ$12*INDEX('Lease Cycles'!$FO$12:$FU$12,1,CI78)*INDEX('Lease Cycles'!$EM$12:$ES$12,1,CI78)+'Lease Cycles'!$BE$12*IF(CI79&lt;INDEX('Lease Cycles'!$FA$12:$FG$12,1,CI78),0,1-INDEX('Lease Cycles'!$EM$12:$ES$12,1,CI78)),IF(OR(INDEX('Lease Cycles'!$DY$12:$EE$12,1,CI78)=1,CI79&gt;0),1,1-INDEX('Lease Cycles'!$DD$12:$DJ$12,1,CI78))*('Lease Cycles'!$AJ$12*INDEX('Lease Cycles'!$FO$12:$FU$12,1,CI78)+'Lease Cycles'!$BE$12*(1-INDEX('Lease Cycles'!$FO$12:$FU$12,1,CI78)))),0)</f>
        <v>0</v>
      </c>
      <c r="CJ88" s="24">
        <f>IF(CJ80=1,'Lease Cycles'!$D$12*IF(INDEX('Lease Cycles'!$EF$12:$EL$12,1,CJ78)=1,'Lease Cycles'!$AJ$12*INDEX('Lease Cycles'!$FO$12:$FU$12,1,CJ78)*INDEX('Lease Cycles'!$EM$12:$ES$12,1,CJ78)+'Lease Cycles'!$BE$12*IF(CJ79&lt;INDEX('Lease Cycles'!$FA$12:$FG$12,1,CJ78),0,1-INDEX('Lease Cycles'!$EM$12:$ES$12,1,CJ78)),IF(OR(INDEX('Lease Cycles'!$DY$12:$EE$12,1,CJ78)=1,CJ79&gt;0),1,1-INDEX('Lease Cycles'!$DD$12:$DJ$12,1,CJ78))*('Lease Cycles'!$AJ$12*INDEX('Lease Cycles'!$FO$12:$FU$12,1,CJ78)+'Lease Cycles'!$BE$12*(1-INDEX('Lease Cycles'!$FO$12:$FU$12,1,CJ78)))),0)</f>
        <v>0</v>
      </c>
      <c r="CK88" s="24">
        <f>IF(CK80=1,'Lease Cycles'!$D$12*IF(INDEX('Lease Cycles'!$EF$12:$EL$12,1,CK78)=1,'Lease Cycles'!$AJ$12*INDEX('Lease Cycles'!$FO$12:$FU$12,1,CK78)*INDEX('Lease Cycles'!$EM$12:$ES$12,1,CK78)+'Lease Cycles'!$BE$12*IF(CK79&lt;INDEX('Lease Cycles'!$FA$12:$FG$12,1,CK78),0,1-INDEX('Lease Cycles'!$EM$12:$ES$12,1,CK78)),IF(OR(INDEX('Lease Cycles'!$DY$12:$EE$12,1,CK78)=1,CK79&gt;0),1,1-INDEX('Lease Cycles'!$DD$12:$DJ$12,1,CK78))*('Lease Cycles'!$AJ$12*INDEX('Lease Cycles'!$FO$12:$FU$12,1,CK78)+'Lease Cycles'!$BE$12*(1-INDEX('Lease Cycles'!$FO$12:$FU$12,1,CK78)))),0)</f>
        <v>0</v>
      </c>
      <c r="CL88" s="24">
        <f>IF(CL80=1,'Lease Cycles'!$D$12*IF(INDEX('Lease Cycles'!$EF$12:$EL$12,1,CL78)=1,'Lease Cycles'!$AJ$12*INDEX('Lease Cycles'!$FO$12:$FU$12,1,CL78)*INDEX('Lease Cycles'!$EM$12:$ES$12,1,CL78)+'Lease Cycles'!$BE$12*IF(CL79&lt;INDEX('Lease Cycles'!$FA$12:$FG$12,1,CL78),0,1-INDEX('Lease Cycles'!$EM$12:$ES$12,1,CL78)),IF(OR(INDEX('Lease Cycles'!$DY$12:$EE$12,1,CL78)=1,CL79&gt;0),1,1-INDEX('Lease Cycles'!$DD$12:$DJ$12,1,CL78))*('Lease Cycles'!$AJ$12*INDEX('Lease Cycles'!$FO$12:$FU$12,1,CL78)+'Lease Cycles'!$BE$12*(1-INDEX('Lease Cycles'!$FO$12:$FU$12,1,CL78)))),0)</f>
        <v>0</v>
      </c>
      <c r="CM88" s="24">
        <f>IF(CM80=1,'Lease Cycles'!$D$12*IF(INDEX('Lease Cycles'!$EF$12:$EL$12,1,CM78)=1,'Lease Cycles'!$AJ$12*INDEX('Lease Cycles'!$FO$12:$FU$12,1,CM78)*INDEX('Lease Cycles'!$EM$12:$ES$12,1,CM78)+'Lease Cycles'!$BE$12*IF(CM79&lt;INDEX('Lease Cycles'!$FA$12:$FG$12,1,CM78),0,1-INDEX('Lease Cycles'!$EM$12:$ES$12,1,CM78)),IF(OR(INDEX('Lease Cycles'!$DY$12:$EE$12,1,CM78)=1,CM79&gt;0),1,1-INDEX('Lease Cycles'!$DD$12:$DJ$12,1,CM78))*('Lease Cycles'!$AJ$12*INDEX('Lease Cycles'!$FO$12:$FU$12,1,CM78)+'Lease Cycles'!$BE$12*(1-INDEX('Lease Cycles'!$FO$12:$FU$12,1,CM78)))),0)</f>
        <v>0</v>
      </c>
      <c r="CN88" s="24">
        <f>IF(CN80=1,'Lease Cycles'!$D$12*IF(INDEX('Lease Cycles'!$EF$12:$EL$12,1,CN78)=1,'Lease Cycles'!$AJ$12*INDEX('Lease Cycles'!$FO$12:$FU$12,1,CN78)*INDEX('Lease Cycles'!$EM$12:$ES$12,1,CN78)+'Lease Cycles'!$BE$12*IF(CN79&lt;INDEX('Lease Cycles'!$FA$12:$FG$12,1,CN78),0,1-INDEX('Lease Cycles'!$EM$12:$ES$12,1,CN78)),IF(OR(INDEX('Lease Cycles'!$DY$12:$EE$12,1,CN78)=1,CN79&gt;0),1,1-INDEX('Lease Cycles'!$DD$12:$DJ$12,1,CN78))*('Lease Cycles'!$AJ$12*INDEX('Lease Cycles'!$FO$12:$FU$12,1,CN78)+'Lease Cycles'!$BE$12*(1-INDEX('Lease Cycles'!$FO$12:$FU$12,1,CN78)))),0)</f>
        <v>0</v>
      </c>
      <c r="CO88" s="24">
        <f>IF(CO80=1,'Lease Cycles'!$D$12*IF(INDEX('Lease Cycles'!$EF$12:$EL$12,1,CO78)=1,'Lease Cycles'!$AJ$12*INDEX('Lease Cycles'!$FO$12:$FU$12,1,CO78)*INDEX('Lease Cycles'!$EM$12:$ES$12,1,CO78)+'Lease Cycles'!$BE$12*IF(CO79&lt;INDEX('Lease Cycles'!$FA$12:$FG$12,1,CO78),0,1-INDEX('Lease Cycles'!$EM$12:$ES$12,1,CO78)),IF(OR(INDEX('Lease Cycles'!$DY$12:$EE$12,1,CO78)=1,CO79&gt;0),1,1-INDEX('Lease Cycles'!$DD$12:$DJ$12,1,CO78))*('Lease Cycles'!$AJ$12*INDEX('Lease Cycles'!$FO$12:$FU$12,1,CO78)+'Lease Cycles'!$BE$12*(1-INDEX('Lease Cycles'!$FO$12:$FU$12,1,CO78)))),0)</f>
        <v>0</v>
      </c>
      <c r="CP88" s="24">
        <f>IF(CP80=1,'Lease Cycles'!$D$12*IF(INDEX('Lease Cycles'!$EF$12:$EL$12,1,CP78)=1,'Lease Cycles'!$AJ$12*INDEX('Lease Cycles'!$FO$12:$FU$12,1,CP78)*INDEX('Lease Cycles'!$EM$12:$ES$12,1,CP78)+'Lease Cycles'!$BE$12*IF(CP79&lt;INDEX('Lease Cycles'!$FA$12:$FG$12,1,CP78),0,1-INDEX('Lease Cycles'!$EM$12:$ES$12,1,CP78)),IF(OR(INDEX('Lease Cycles'!$DY$12:$EE$12,1,CP78)=1,CP79&gt;0),1,1-INDEX('Lease Cycles'!$DD$12:$DJ$12,1,CP78))*('Lease Cycles'!$AJ$12*INDEX('Lease Cycles'!$FO$12:$FU$12,1,CP78)+'Lease Cycles'!$BE$12*(1-INDEX('Lease Cycles'!$FO$12:$FU$12,1,CP78)))),0)</f>
        <v>0</v>
      </c>
      <c r="CQ88" s="24">
        <f>IF(CQ80=1,'Lease Cycles'!$D$12*IF(INDEX('Lease Cycles'!$EF$12:$EL$12,1,CQ78)=1,'Lease Cycles'!$AJ$12*INDEX('Lease Cycles'!$FO$12:$FU$12,1,CQ78)*INDEX('Lease Cycles'!$EM$12:$ES$12,1,CQ78)+'Lease Cycles'!$BE$12*IF(CQ79&lt;INDEX('Lease Cycles'!$FA$12:$FG$12,1,CQ78),0,1-INDEX('Lease Cycles'!$EM$12:$ES$12,1,CQ78)),IF(OR(INDEX('Lease Cycles'!$DY$12:$EE$12,1,CQ78)=1,CQ79&gt;0),1,1-INDEX('Lease Cycles'!$DD$12:$DJ$12,1,CQ78))*('Lease Cycles'!$AJ$12*INDEX('Lease Cycles'!$FO$12:$FU$12,1,CQ78)+'Lease Cycles'!$BE$12*(1-INDEX('Lease Cycles'!$FO$12:$FU$12,1,CQ78)))),0)</f>
        <v>0</v>
      </c>
      <c r="CR88" s="24">
        <f>IF(CR80=1,'Lease Cycles'!$D$12*IF(INDEX('Lease Cycles'!$EF$12:$EL$12,1,CR78)=1,'Lease Cycles'!$AJ$12*INDEX('Lease Cycles'!$FO$12:$FU$12,1,CR78)*INDEX('Lease Cycles'!$EM$12:$ES$12,1,CR78)+'Lease Cycles'!$BE$12*IF(CR79&lt;INDEX('Lease Cycles'!$FA$12:$FG$12,1,CR78),0,1-INDEX('Lease Cycles'!$EM$12:$ES$12,1,CR78)),IF(OR(INDEX('Lease Cycles'!$DY$12:$EE$12,1,CR78)=1,CR79&gt;0),1,1-INDEX('Lease Cycles'!$DD$12:$DJ$12,1,CR78))*('Lease Cycles'!$AJ$12*INDEX('Lease Cycles'!$FO$12:$FU$12,1,CR78)+'Lease Cycles'!$BE$12*(1-INDEX('Lease Cycles'!$FO$12:$FU$12,1,CR78)))),0)</f>
        <v>0</v>
      </c>
      <c r="CS88" s="24">
        <f>IF(CS80=1,'Lease Cycles'!$D$12*IF(INDEX('Lease Cycles'!$EF$12:$EL$12,1,CS78)=1,'Lease Cycles'!$AJ$12*INDEX('Lease Cycles'!$FO$12:$FU$12,1,CS78)*INDEX('Lease Cycles'!$EM$12:$ES$12,1,CS78)+'Lease Cycles'!$BE$12*IF(CS79&lt;INDEX('Lease Cycles'!$FA$12:$FG$12,1,CS78),0,1-INDEX('Lease Cycles'!$EM$12:$ES$12,1,CS78)),IF(OR(INDEX('Lease Cycles'!$DY$12:$EE$12,1,CS78)=1,CS79&gt;0),1,1-INDEX('Lease Cycles'!$DD$12:$DJ$12,1,CS78))*('Lease Cycles'!$AJ$12*INDEX('Lease Cycles'!$FO$12:$FU$12,1,CS78)+'Lease Cycles'!$BE$12*(1-INDEX('Lease Cycles'!$FO$12:$FU$12,1,CS78)))),0)</f>
        <v>0</v>
      </c>
      <c r="CT88" s="24">
        <f>IF(CT80=1,'Lease Cycles'!$D$12*IF(INDEX('Lease Cycles'!$EF$12:$EL$12,1,CT78)=1,'Lease Cycles'!$AJ$12*INDEX('Lease Cycles'!$FO$12:$FU$12,1,CT78)*INDEX('Lease Cycles'!$EM$12:$ES$12,1,CT78)+'Lease Cycles'!$BE$12*IF(CT79&lt;INDEX('Lease Cycles'!$FA$12:$FG$12,1,CT78),0,1-INDEX('Lease Cycles'!$EM$12:$ES$12,1,CT78)),IF(OR(INDEX('Lease Cycles'!$DY$12:$EE$12,1,CT78)=1,CT79&gt;0),1,1-INDEX('Lease Cycles'!$DD$12:$DJ$12,1,CT78))*('Lease Cycles'!$AJ$12*INDEX('Lease Cycles'!$FO$12:$FU$12,1,CT78)+'Lease Cycles'!$BE$12*(1-INDEX('Lease Cycles'!$FO$12:$FU$12,1,CT78)))),0)</f>
        <v>0</v>
      </c>
      <c r="CU88" s="24">
        <f>IF(CU80=1,'Lease Cycles'!$D$12*IF(INDEX('Lease Cycles'!$EF$12:$EL$12,1,CU78)=1,'Lease Cycles'!$AJ$12*INDEX('Lease Cycles'!$FO$12:$FU$12,1,CU78)*INDEX('Lease Cycles'!$EM$12:$ES$12,1,CU78)+'Lease Cycles'!$BE$12*IF(CU79&lt;INDEX('Lease Cycles'!$FA$12:$FG$12,1,CU78),0,1-INDEX('Lease Cycles'!$EM$12:$ES$12,1,CU78)),IF(OR(INDEX('Lease Cycles'!$DY$12:$EE$12,1,CU78)=1,CU79&gt;0),1,1-INDEX('Lease Cycles'!$DD$12:$DJ$12,1,CU78))*('Lease Cycles'!$AJ$12*INDEX('Lease Cycles'!$FO$12:$FU$12,1,CU78)+'Lease Cycles'!$BE$12*(1-INDEX('Lease Cycles'!$FO$12:$FU$12,1,CU78)))),0)</f>
        <v>0</v>
      </c>
      <c r="CV88" s="24">
        <f>IF(CV80=1,'Lease Cycles'!$D$12*IF(INDEX('Lease Cycles'!$EF$12:$EL$12,1,CV78)=1,'Lease Cycles'!$AJ$12*INDEX('Lease Cycles'!$FO$12:$FU$12,1,CV78)*INDEX('Lease Cycles'!$EM$12:$ES$12,1,CV78)+'Lease Cycles'!$BE$12*IF(CV79&lt;INDEX('Lease Cycles'!$FA$12:$FG$12,1,CV78),0,1-INDEX('Lease Cycles'!$EM$12:$ES$12,1,CV78)),IF(OR(INDEX('Lease Cycles'!$DY$12:$EE$12,1,CV78)=1,CV79&gt;0),1,1-INDEX('Lease Cycles'!$DD$12:$DJ$12,1,CV78))*('Lease Cycles'!$AJ$12*INDEX('Lease Cycles'!$FO$12:$FU$12,1,CV78)+'Lease Cycles'!$BE$12*(1-INDEX('Lease Cycles'!$FO$12:$FU$12,1,CV78)))),0)</f>
        <v>0</v>
      </c>
      <c r="CW88" s="24">
        <f>IF(CW80=1,'Lease Cycles'!$D$12*IF(INDEX('Lease Cycles'!$EF$12:$EL$12,1,CW78)=1,'Lease Cycles'!$AJ$12*INDEX('Lease Cycles'!$FO$12:$FU$12,1,CW78)*INDEX('Lease Cycles'!$EM$12:$ES$12,1,CW78)+'Lease Cycles'!$BE$12*IF(CW79&lt;INDEX('Lease Cycles'!$FA$12:$FG$12,1,CW78),0,1-INDEX('Lease Cycles'!$EM$12:$ES$12,1,CW78)),IF(OR(INDEX('Lease Cycles'!$DY$12:$EE$12,1,CW78)=1,CW79&gt;0),1,1-INDEX('Lease Cycles'!$DD$12:$DJ$12,1,CW78))*('Lease Cycles'!$AJ$12*INDEX('Lease Cycles'!$FO$12:$FU$12,1,CW78)+'Lease Cycles'!$BE$12*(1-INDEX('Lease Cycles'!$FO$12:$FU$12,1,CW78)))),0)</f>
        <v>0</v>
      </c>
      <c r="CX88" s="24">
        <f>IF(CX80=1,'Lease Cycles'!$D$12*IF(INDEX('Lease Cycles'!$EF$12:$EL$12,1,CX78)=1,'Lease Cycles'!$AJ$12*INDEX('Lease Cycles'!$FO$12:$FU$12,1,CX78)*INDEX('Lease Cycles'!$EM$12:$ES$12,1,CX78)+'Lease Cycles'!$BE$12*IF(CX79&lt;INDEX('Lease Cycles'!$FA$12:$FG$12,1,CX78),0,1-INDEX('Lease Cycles'!$EM$12:$ES$12,1,CX78)),IF(OR(INDEX('Lease Cycles'!$DY$12:$EE$12,1,CX78)=1,CX79&gt;0),1,1-INDEX('Lease Cycles'!$DD$12:$DJ$12,1,CX78))*('Lease Cycles'!$AJ$12*INDEX('Lease Cycles'!$FO$12:$FU$12,1,CX78)+'Lease Cycles'!$BE$12*(1-INDEX('Lease Cycles'!$FO$12:$FU$12,1,CX78)))),0)</f>
        <v>0</v>
      </c>
      <c r="CY88" s="24">
        <f>IF(CY80=1,'Lease Cycles'!$D$12*IF(INDEX('Lease Cycles'!$EF$12:$EL$12,1,CY78)=1,'Lease Cycles'!$AJ$12*INDEX('Lease Cycles'!$FO$12:$FU$12,1,CY78)*INDEX('Lease Cycles'!$EM$12:$ES$12,1,CY78)+'Lease Cycles'!$BE$12*IF(CY79&lt;INDEX('Lease Cycles'!$FA$12:$FG$12,1,CY78),0,1-INDEX('Lease Cycles'!$EM$12:$ES$12,1,CY78)),IF(OR(INDEX('Lease Cycles'!$DY$12:$EE$12,1,CY78)=1,CY79&gt;0),1,1-INDEX('Lease Cycles'!$DD$12:$DJ$12,1,CY78))*('Lease Cycles'!$AJ$12*INDEX('Lease Cycles'!$FO$12:$FU$12,1,CY78)+'Lease Cycles'!$BE$12*(1-INDEX('Lease Cycles'!$FO$12:$FU$12,1,CY78)))),0)</f>
        <v>0</v>
      </c>
      <c r="CZ88" s="24">
        <f>IF(CZ80=1,'Lease Cycles'!$D$12*IF(INDEX('Lease Cycles'!$EF$12:$EL$12,1,CZ78)=1,'Lease Cycles'!$AJ$12*INDEX('Lease Cycles'!$FO$12:$FU$12,1,CZ78)*INDEX('Lease Cycles'!$EM$12:$ES$12,1,CZ78)+'Lease Cycles'!$BE$12*IF(CZ79&lt;INDEX('Lease Cycles'!$FA$12:$FG$12,1,CZ78),0,1-INDEX('Lease Cycles'!$EM$12:$ES$12,1,CZ78)),IF(OR(INDEX('Lease Cycles'!$DY$12:$EE$12,1,CZ78)=1,CZ79&gt;0),1,1-INDEX('Lease Cycles'!$DD$12:$DJ$12,1,CZ78))*('Lease Cycles'!$AJ$12*INDEX('Lease Cycles'!$FO$12:$FU$12,1,CZ78)+'Lease Cycles'!$BE$12*(1-INDEX('Lease Cycles'!$FO$12:$FU$12,1,CZ78)))),0)</f>
        <v>0</v>
      </c>
      <c r="DA88" s="24">
        <f>IF(DA80=1,'Lease Cycles'!$D$12*IF(INDEX('Lease Cycles'!$EF$12:$EL$12,1,DA78)=1,'Lease Cycles'!$AJ$12*INDEX('Lease Cycles'!$FO$12:$FU$12,1,DA78)*INDEX('Lease Cycles'!$EM$12:$ES$12,1,DA78)+'Lease Cycles'!$BE$12*IF(DA79&lt;INDEX('Lease Cycles'!$FA$12:$FG$12,1,DA78),0,1-INDEX('Lease Cycles'!$EM$12:$ES$12,1,DA78)),IF(OR(INDEX('Lease Cycles'!$DY$12:$EE$12,1,DA78)=1,DA79&gt;0),1,1-INDEX('Lease Cycles'!$DD$12:$DJ$12,1,DA78))*('Lease Cycles'!$AJ$12*INDEX('Lease Cycles'!$FO$12:$FU$12,1,DA78)+'Lease Cycles'!$BE$12*(1-INDEX('Lease Cycles'!$FO$12:$FU$12,1,DA78)))),0)</f>
        <v>0</v>
      </c>
      <c r="DB88" s="24">
        <f>IF(DB80=1,'Lease Cycles'!$D$12*IF(INDEX('Lease Cycles'!$EF$12:$EL$12,1,DB78)=1,'Lease Cycles'!$AJ$12*INDEX('Lease Cycles'!$FO$12:$FU$12,1,DB78)*INDEX('Lease Cycles'!$EM$12:$ES$12,1,DB78)+'Lease Cycles'!$BE$12*IF(DB79&lt;INDEX('Lease Cycles'!$FA$12:$FG$12,1,DB78),0,1-INDEX('Lease Cycles'!$EM$12:$ES$12,1,DB78)),IF(OR(INDEX('Lease Cycles'!$DY$12:$EE$12,1,DB78)=1,DB79&gt;0),1,1-INDEX('Lease Cycles'!$DD$12:$DJ$12,1,DB78))*('Lease Cycles'!$AJ$12*INDEX('Lease Cycles'!$FO$12:$FU$12,1,DB78)+'Lease Cycles'!$BE$12*(1-INDEX('Lease Cycles'!$FO$12:$FU$12,1,DB78)))),0)</f>
        <v>0</v>
      </c>
      <c r="DC88" s="24">
        <f>IF(DC80=1,'Lease Cycles'!$D$12*IF(INDEX('Lease Cycles'!$EF$12:$EL$12,1,DC78)=1,'Lease Cycles'!$AJ$12*INDEX('Lease Cycles'!$FO$12:$FU$12,1,DC78)*INDEX('Lease Cycles'!$EM$12:$ES$12,1,DC78)+'Lease Cycles'!$BE$12*IF(DC79&lt;INDEX('Lease Cycles'!$FA$12:$FG$12,1,DC78),0,1-INDEX('Lease Cycles'!$EM$12:$ES$12,1,DC78)),IF(OR(INDEX('Lease Cycles'!$DY$12:$EE$12,1,DC78)=1,DC79&gt;0),1,1-INDEX('Lease Cycles'!$DD$12:$DJ$12,1,DC78))*('Lease Cycles'!$AJ$12*INDEX('Lease Cycles'!$FO$12:$FU$12,1,DC78)+'Lease Cycles'!$BE$12*(1-INDEX('Lease Cycles'!$FO$12:$FU$12,1,DC78)))),0)</f>
        <v>0</v>
      </c>
      <c r="DD88" s="24">
        <f>IF(DD80=1,'Lease Cycles'!$D$12*IF(INDEX('Lease Cycles'!$EF$12:$EL$12,1,DD78)=1,'Lease Cycles'!$AJ$12*INDEX('Lease Cycles'!$FO$12:$FU$12,1,DD78)*INDEX('Lease Cycles'!$EM$12:$ES$12,1,DD78)+'Lease Cycles'!$BE$12*IF(DD79&lt;INDEX('Lease Cycles'!$FA$12:$FG$12,1,DD78),0,1-INDEX('Lease Cycles'!$EM$12:$ES$12,1,DD78)),IF(OR(INDEX('Lease Cycles'!$DY$12:$EE$12,1,DD78)=1,DD79&gt;0),1,1-INDEX('Lease Cycles'!$DD$12:$DJ$12,1,DD78))*('Lease Cycles'!$AJ$12*INDEX('Lease Cycles'!$FO$12:$FU$12,1,DD78)+'Lease Cycles'!$BE$12*(1-INDEX('Lease Cycles'!$FO$12:$FU$12,1,DD78)))),0)</f>
        <v>0</v>
      </c>
      <c r="DE88" s="24">
        <f>IF(DE80=1,'Lease Cycles'!$D$12*IF(INDEX('Lease Cycles'!$EF$12:$EL$12,1,DE78)=1,'Lease Cycles'!$AJ$12*INDEX('Lease Cycles'!$FO$12:$FU$12,1,DE78)*INDEX('Lease Cycles'!$EM$12:$ES$12,1,DE78)+'Lease Cycles'!$BE$12*IF(DE79&lt;INDEX('Lease Cycles'!$FA$12:$FG$12,1,DE78),0,1-INDEX('Lease Cycles'!$EM$12:$ES$12,1,DE78)),IF(OR(INDEX('Lease Cycles'!$DY$12:$EE$12,1,DE78)=1,DE79&gt;0),1,1-INDEX('Lease Cycles'!$DD$12:$DJ$12,1,DE78))*('Lease Cycles'!$AJ$12*INDEX('Lease Cycles'!$FO$12:$FU$12,1,DE78)+'Lease Cycles'!$BE$12*(1-INDEX('Lease Cycles'!$FO$12:$FU$12,1,DE78)))),0)</f>
        <v>0</v>
      </c>
      <c r="DF88" s="24">
        <f>IF(DF80=1,'Lease Cycles'!$D$12*IF(INDEX('Lease Cycles'!$EF$12:$EL$12,1,DF78)=1,'Lease Cycles'!$AJ$12*INDEX('Lease Cycles'!$FO$12:$FU$12,1,DF78)*INDEX('Lease Cycles'!$EM$12:$ES$12,1,DF78)+'Lease Cycles'!$BE$12*IF(DF79&lt;INDEX('Lease Cycles'!$FA$12:$FG$12,1,DF78),0,1-INDEX('Lease Cycles'!$EM$12:$ES$12,1,DF78)),IF(OR(INDEX('Lease Cycles'!$DY$12:$EE$12,1,DF78)=1,DF79&gt;0),1,1-INDEX('Lease Cycles'!$DD$12:$DJ$12,1,DF78))*('Lease Cycles'!$AJ$12*INDEX('Lease Cycles'!$FO$12:$FU$12,1,DF78)+'Lease Cycles'!$BE$12*(1-INDEX('Lease Cycles'!$FO$12:$FU$12,1,DF78)))),0)</f>
        <v>0</v>
      </c>
      <c r="DG88" s="24">
        <f>IF(DG80=1,'Lease Cycles'!$D$12*IF(INDEX('Lease Cycles'!$EF$12:$EL$12,1,DG78)=1,'Lease Cycles'!$AJ$12*INDEX('Lease Cycles'!$FO$12:$FU$12,1,DG78)*INDEX('Lease Cycles'!$EM$12:$ES$12,1,DG78)+'Lease Cycles'!$BE$12*IF(DG79&lt;INDEX('Lease Cycles'!$FA$12:$FG$12,1,DG78),0,1-INDEX('Lease Cycles'!$EM$12:$ES$12,1,DG78)),IF(OR(INDEX('Lease Cycles'!$DY$12:$EE$12,1,DG78)=1,DG79&gt;0),1,1-INDEX('Lease Cycles'!$DD$12:$DJ$12,1,DG78))*('Lease Cycles'!$AJ$12*INDEX('Lease Cycles'!$FO$12:$FU$12,1,DG78)+'Lease Cycles'!$BE$12*(1-INDEX('Lease Cycles'!$FO$12:$FU$12,1,DG78)))),0)</f>
        <v>0</v>
      </c>
      <c r="DH88" s="24">
        <f>IF(DH80=1,'Lease Cycles'!$D$12*IF(INDEX('Lease Cycles'!$EF$12:$EL$12,1,DH78)=1,'Lease Cycles'!$AJ$12*INDEX('Lease Cycles'!$FO$12:$FU$12,1,DH78)*INDEX('Lease Cycles'!$EM$12:$ES$12,1,DH78)+'Lease Cycles'!$BE$12*IF(DH79&lt;INDEX('Lease Cycles'!$FA$12:$FG$12,1,DH78),0,1-INDEX('Lease Cycles'!$EM$12:$ES$12,1,DH78)),IF(OR(INDEX('Lease Cycles'!$DY$12:$EE$12,1,DH78)=1,DH79&gt;0),1,1-INDEX('Lease Cycles'!$DD$12:$DJ$12,1,DH78))*('Lease Cycles'!$AJ$12*INDEX('Lease Cycles'!$FO$12:$FU$12,1,DH78)+'Lease Cycles'!$BE$12*(1-INDEX('Lease Cycles'!$FO$12:$FU$12,1,DH78)))),0)</f>
        <v>0</v>
      </c>
      <c r="DI88" s="24">
        <f>IF(DI80=1,'Lease Cycles'!$D$12*IF(INDEX('Lease Cycles'!$EF$12:$EL$12,1,DI78)=1,'Lease Cycles'!$AJ$12*INDEX('Lease Cycles'!$FO$12:$FU$12,1,DI78)*INDEX('Lease Cycles'!$EM$12:$ES$12,1,DI78)+'Lease Cycles'!$BE$12*IF(DI79&lt;INDEX('Lease Cycles'!$FA$12:$FG$12,1,DI78),0,1-INDEX('Lease Cycles'!$EM$12:$ES$12,1,DI78)),IF(OR(INDEX('Lease Cycles'!$DY$12:$EE$12,1,DI78)=1,DI79&gt;0),1,1-INDEX('Lease Cycles'!$DD$12:$DJ$12,1,DI78))*('Lease Cycles'!$AJ$12*INDEX('Lease Cycles'!$FO$12:$FU$12,1,DI78)+'Lease Cycles'!$BE$12*(1-INDEX('Lease Cycles'!$FO$12:$FU$12,1,DI78)))),0)</f>
        <v>0</v>
      </c>
      <c r="DJ88" s="24">
        <f>IF(DJ80=1,'Lease Cycles'!$D$12*IF(INDEX('Lease Cycles'!$EF$12:$EL$12,1,DJ78)=1,'Lease Cycles'!$AJ$12*INDEX('Lease Cycles'!$FO$12:$FU$12,1,DJ78)*INDEX('Lease Cycles'!$EM$12:$ES$12,1,DJ78)+'Lease Cycles'!$BE$12*IF(DJ79&lt;INDEX('Lease Cycles'!$FA$12:$FG$12,1,DJ78),0,1-INDEX('Lease Cycles'!$EM$12:$ES$12,1,DJ78)),IF(OR(INDEX('Lease Cycles'!$DY$12:$EE$12,1,DJ78)=1,DJ79&gt;0),1,1-INDEX('Lease Cycles'!$DD$12:$DJ$12,1,DJ78))*('Lease Cycles'!$AJ$12*INDEX('Lease Cycles'!$FO$12:$FU$12,1,DJ78)+'Lease Cycles'!$BE$12*(1-INDEX('Lease Cycles'!$FO$12:$FU$12,1,DJ78)))),0)</f>
        <v>0</v>
      </c>
      <c r="DK88" s="24">
        <f>IF(DK80=1,'Lease Cycles'!$D$12*IF(INDEX('Lease Cycles'!$EF$12:$EL$12,1,DK78)=1,'Lease Cycles'!$AJ$12*INDEX('Lease Cycles'!$FO$12:$FU$12,1,DK78)*INDEX('Lease Cycles'!$EM$12:$ES$12,1,DK78)+'Lease Cycles'!$BE$12*IF(DK79&lt;INDEX('Lease Cycles'!$FA$12:$FG$12,1,DK78),0,1-INDEX('Lease Cycles'!$EM$12:$ES$12,1,DK78)),IF(OR(INDEX('Lease Cycles'!$DY$12:$EE$12,1,DK78)=1,DK79&gt;0),1,1-INDEX('Lease Cycles'!$DD$12:$DJ$12,1,DK78))*('Lease Cycles'!$AJ$12*INDEX('Lease Cycles'!$FO$12:$FU$12,1,DK78)+'Lease Cycles'!$BE$12*(1-INDEX('Lease Cycles'!$FO$12:$FU$12,1,DK78)))),0)</f>
        <v>0</v>
      </c>
      <c r="DL88" s="24">
        <f>IF(DL80=1,'Lease Cycles'!$D$12*IF(INDEX('Lease Cycles'!$EF$12:$EL$12,1,DL78)=1,'Lease Cycles'!$AJ$12*INDEX('Lease Cycles'!$FO$12:$FU$12,1,DL78)*INDEX('Lease Cycles'!$EM$12:$ES$12,1,DL78)+'Lease Cycles'!$BE$12*IF(DL79&lt;INDEX('Lease Cycles'!$FA$12:$FG$12,1,DL78),0,1-INDEX('Lease Cycles'!$EM$12:$ES$12,1,DL78)),IF(OR(INDEX('Lease Cycles'!$DY$12:$EE$12,1,DL78)=1,DL79&gt;0),1,1-INDEX('Lease Cycles'!$DD$12:$DJ$12,1,DL78))*('Lease Cycles'!$AJ$12*INDEX('Lease Cycles'!$FO$12:$FU$12,1,DL78)+'Lease Cycles'!$BE$12*(1-INDEX('Lease Cycles'!$FO$12:$FU$12,1,DL78)))),0)</f>
        <v>0</v>
      </c>
      <c r="DM88" s="24">
        <f>IF(DM80=1,'Lease Cycles'!$D$12*IF(INDEX('Lease Cycles'!$EF$12:$EL$12,1,DM78)=1,'Lease Cycles'!$AJ$12*INDEX('Lease Cycles'!$FO$12:$FU$12,1,DM78)*INDEX('Lease Cycles'!$EM$12:$ES$12,1,DM78)+'Lease Cycles'!$BE$12*IF(DM79&lt;INDEX('Lease Cycles'!$FA$12:$FG$12,1,DM78),0,1-INDEX('Lease Cycles'!$EM$12:$ES$12,1,DM78)),IF(OR(INDEX('Lease Cycles'!$DY$12:$EE$12,1,DM78)=1,DM79&gt;0),1,1-INDEX('Lease Cycles'!$DD$12:$DJ$12,1,DM78))*('Lease Cycles'!$AJ$12*INDEX('Lease Cycles'!$FO$12:$FU$12,1,DM78)+'Lease Cycles'!$BE$12*(1-INDEX('Lease Cycles'!$FO$12:$FU$12,1,DM78)))),0)</f>
        <v>0</v>
      </c>
      <c r="DN88" s="24">
        <f>IF(DN80=1,'Lease Cycles'!$D$12*IF(INDEX('Lease Cycles'!$EF$12:$EL$12,1,DN78)=1,'Lease Cycles'!$AJ$12*INDEX('Lease Cycles'!$FO$12:$FU$12,1,DN78)*INDEX('Lease Cycles'!$EM$12:$ES$12,1,DN78)+'Lease Cycles'!$BE$12*IF(DN79&lt;INDEX('Lease Cycles'!$FA$12:$FG$12,1,DN78),0,1-INDEX('Lease Cycles'!$EM$12:$ES$12,1,DN78)),IF(OR(INDEX('Lease Cycles'!$DY$12:$EE$12,1,DN78)=1,DN79&gt;0),1,1-INDEX('Lease Cycles'!$DD$12:$DJ$12,1,DN78))*('Lease Cycles'!$AJ$12*INDEX('Lease Cycles'!$FO$12:$FU$12,1,DN78)+'Lease Cycles'!$BE$12*(1-INDEX('Lease Cycles'!$FO$12:$FU$12,1,DN78)))),0)</f>
        <v>0</v>
      </c>
      <c r="DO88" s="24">
        <f>IF(DO80=1,'Lease Cycles'!$D$12*IF(INDEX('Lease Cycles'!$EF$12:$EL$12,1,DO78)=1,'Lease Cycles'!$AJ$12*INDEX('Lease Cycles'!$FO$12:$FU$12,1,DO78)*INDEX('Lease Cycles'!$EM$12:$ES$12,1,DO78)+'Lease Cycles'!$BE$12*IF(DO79&lt;INDEX('Lease Cycles'!$FA$12:$FG$12,1,DO78),0,1-INDEX('Lease Cycles'!$EM$12:$ES$12,1,DO78)),IF(OR(INDEX('Lease Cycles'!$DY$12:$EE$12,1,DO78)=1,DO79&gt;0),1,1-INDEX('Lease Cycles'!$DD$12:$DJ$12,1,DO78))*('Lease Cycles'!$AJ$12*INDEX('Lease Cycles'!$FO$12:$FU$12,1,DO78)+'Lease Cycles'!$BE$12*(1-INDEX('Lease Cycles'!$FO$12:$FU$12,1,DO78)))),0)</f>
        <v>0</v>
      </c>
      <c r="DP88" s="24">
        <f>IF(DP80=1,'Lease Cycles'!$D$12*IF(INDEX('Lease Cycles'!$EF$12:$EL$12,1,DP78)=1,'Lease Cycles'!$AJ$12*INDEX('Lease Cycles'!$FO$12:$FU$12,1,DP78)*INDEX('Lease Cycles'!$EM$12:$ES$12,1,DP78)+'Lease Cycles'!$BE$12*IF(DP79&lt;INDEX('Lease Cycles'!$FA$12:$FG$12,1,DP78),0,1-INDEX('Lease Cycles'!$EM$12:$ES$12,1,DP78)),IF(OR(INDEX('Lease Cycles'!$DY$12:$EE$12,1,DP78)=1,DP79&gt;0),1,1-INDEX('Lease Cycles'!$DD$12:$DJ$12,1,DP78))*('Lease Cycles'!$AJ$12*INDEX('Lease Cycles'!$FO$12:$FU$12,1,DP78)+'Lease Cycles'!$BE$12*(1-INDEX('Lease Cycles'!$FO$12:$FU$12,1,DP78)))),0)</f>
        <v>0</v>
      </c>
      <c r="DQ88" s="24">
        <f>IF(DQ80=1,'Lease Cycles'!$D$12*IF(INDEX('Lease Cycles'!$EF$12:$EL$12,1,DQ78)=1,'Lease Cycles'!$AJ$12*INDEX('Lease Cycles'!$FO$12:$FU$12,1,DQ78)*INDEX('Lease Cycles'!$EM$12:$ES$12,1,DQ78)+'Lease Cycles'!$BE$12*IF(DQ79&lt;INDEX('Lease Cycles'!$FA$12:$FG$12,1,DQ78),0,1-INDEX('Lease Cycles'!$EM$12:$ES$12,1,DQ78)),IF(OR(INDEX('Lease Cycles'!$DY$12:$EE$12,1,DQ78)=1,DQ79&gt;0),1,1-INDEX('Lease Cycles'!$DD$12:$DJ$12,1,DQ78))*('Lease Cycles'!$AJ$12*INDEX('Lease Cycles'!$FO$12:$FU$12,1,DQ78)+'Lease Cycles'!$BE$12*(1-INDEX('Lease Cycles'!$FO$12:$FU$12,1,DQ78)))),0)</f>
        <v>0</v>
      </c>
      <c r="DR88" s="24">
        <f>IF(DR80=1,'Lease Cycles'!$D$12*IF(INDEX('Lease Cycles'!$EF$12:$EL$12,1,DR78)=1,'Lease Cycles'!$AJ$12*INDEX('Lease Cycles'!$FO$12:$FU$12,1,DR78)*INDEX('Lease Cycles'!$EM$12:$ES$12,1,DR78)+'Lease Cycles'!$BE$12*IF(DR79&lt;INDEX('Lease Cycles'!$FA$12:$FG$12,1,DR78),0,1-INDEX('Lease Cycles'!$EM$12:$ES$12,1,DR78)),IF(OR(INDEX('Lease Cycles'!$DY$12:$EE$12,1,DR78)=1,DR79&gt;0),1,1-INDEX('Lease Cycles'!$DD$12:$DJ$12,1,DR78))*('Lease Cycles'!$AJ$12*INDEX('Lease Cycles'!$FO$12:$FU$12,1,DR78)+'Lease Cycles'!$BE$12*(1-INDEX('Lease Cycles'!$FO$12:$FU$12,1,DR78)))),0)</f>
        <v>0</v>
      </c>
      <c r="DS88" s="24">
        <f>IF(DS80=1,'Lease Cycles'!$D$12*IF(INDEX('Lease Cycles'!$EF$12:$EL$12,1,DS78)=1,'Lease Cycles'!$AJ$12*INDEX('Lease Cycles'!$FO$12:$FU$12,1,DS78)*INDEX('Lease Cycles'!$EM$12:$ES$12,1,DS78)+'Lease Cycles'!$BE$12*IF(DS79&lt;INDEX('Lease Cycles'!$FA$12:$FG$12,1,DS78),0,1-INDEX('Lease Cycles'!$EM$12:$ES$12,1,DS78)),IF(OR(INDEX('Lease Cycles'!$DY$12:$EE$12,1,DS78)=1,DS79&gt;0),1,1-INDEX('Lease Cycles'!$DD$12:$DJ$12,1,DS78))*('Lease Cycles'!$AJ$12*INDEX('Lease Cycles'!$FO$12:$FU$12,1,DS78)+'Lease Cycles'!$BE$12*(1-INDEX('Lease Cycles'!$FO$12:$FU$12,1,DS78)))),0)</f>
        <v>0</v>
      </c>
      <c r="DT88" s="24">
        <f>IF(DT80=1,'Lease Cycles'!$D$12*IF(INDEX('Lease Cycles'!$EF$12:$EL$12,1,DT78)=1,'Lease Cycles'!$AJ$12*INDEX('Lease Cycles'!$FO$12:$FU$12,1,DT78)*INDEX('Lease Cycles'!$EM$12:$ES$12,1,DT78)+'Lease Cycles'!$BE$12*IF(DT79&lt;INDEX('Lease Cycles'!$FA$12:$FG$12,1,DT78),0,1-INDEX('Lease Cycles'!$EM$12:$ES$12,1,DT78)),IF(OR(INDEX('Lease Cycles'!$DY$12:$EE$12,1,DT78)=1,DT79&gt;0),1,1-INDEX('Lease Cycles'!$DD$12:$DJ$12,1,DT78))*('Lease Cycles'!$AJ$12*INDEX('Lease Cycles'!$FO$12:$FU$12,1,DT78)+'Lease Cycles'!$BE$12*(1-INDEX('Lease Cycles'!$FO$12:$FU$12,1,DT78)))),0)</f>
        <v>0</v>
      </c>
      <c r="DU88" s="24">
        <f>IF(DU80=1,'Lease Cycles'!$D$12*IF(INDEX('Lease Cycles'!$EF$12:$EL$12,1,DU78)=1,'Lease Cycles'!$AJ$12*INDEX('Lease Cycles'!$FO$12:$FU$12,1,DU78)*INDEX('Lease Cycles'!$EM$12:$ES$12,1,DU78)+'Lease Cycles'!$BE$12*IF(DU79&lt;INDEX('Lease Cycles'!$FA$12:$FG$12,1,DU78),0,1-INDEX('Lease Cycles'!$EM$12:$ES$12,1,DU78)),IF(OR(INDEX('Lease Cycles'!$DY$12:$EE$12,1,DU78)=1,DU79&gt;0),1,1-INDEX('Lease Cycles'!$DD$12:$DJ$12,1,DU78))*('Lease Cycles'!$AJ$12*INDEX('Lease Cycles'!$FO$12:$FU$12,1,DU78)+'Lease Cycles'!$BE$12*(1-INDEX('Lease Cycles'!$FO$12:$FU$12,1,DU78)))),0)</f>
        <v>0</v>
      </c>
      <c r="DV88" s="24">
        <f>IF(DV80=1,'Lease Cycles'!$D$12*IF(INDEX('Lease Cycles'!$EF$12:$EL$12,1,DV78)=1,'Lease Cycles'!$AJ$12*INDEX('Lease Cycles'!$FO$12:$FU$12,1,DV78)*INDEX('Lease Cycles'!$EM$12:$ES$12,1,DV78)+'Lease Cycles'!$BE$12*IF(DV79&lt;INDEX('Lease Cycles'!$FA$12:$FG$12,1,DV78),0,1-INDEX('Lease Cycles'!$EM$12:$ES$12,1,DV78)),IF(OR(INDEX('Lease Cycles'!$DY$12:$EE$12,1,DV78)=1,DV79&gt;0),1,1-INDEX('Lease Cycles'!$DD$12:$DJ$12,1,DV78))*('Lease Cycles'!$AJ$12*INDEX('Lease Cycles'!$FO$12:$FU$12,1,DV78)+'Lease Cycles'!$BE$12*(1-INDEX('Lease Cycles'!$FO$12:$FU$12,1,DV78)))),0)</f>
        <v>0</v>
      </c>
      <c r="DW88" s="24">
        <f>IF(DW80=1,'Lease Cycles'!$D$12*IF(INDEX('Lease Cycles'!$EF$12:$EL$12,1,DW78)=1,'Lease Cycles'!$AJ$12*INDEX('Lease Cycles'!$FO$12:$FU$12,1,DW78)*INDEX('Lease Cycles'!$EM$12:$ES$12,1,DW78)+'Lease Cycles'!$BE$12*IF(DW79&lt;INDEX('Lease Cycles'!$FA$12:$FG$12,1,DW78),0,1-INDEX('Lease Cycles'!$EM$12:$ES$12,1,DW78)),IF(OR(INDEX('Lease Cycles'!$DY$12:$EE$12,1,DW78)=1,DW79&gt;0),1,1-INDEX('Lease Cycles'!$DD$12:$DJ$12,1,DW78))*('Lease Cycles'!$AJ$12*INDEX('Lease Cycles'!$FO$12:$FU$12,1,DW78)+'Lease Cycles'!$BE$12*(1-INDEX('Lease Cycles'!$FO$12:$FU$12,1,DW78)))),0)</f>
        <v>0</v>
      </c>
      <c r="DX88" s="24">
        <f>IF(DX80=1,'Lease Cycles'!$D$12*IF(INDEX('Lease Cycles'!$EF$12:$EL$12,1,DX78)=1,'Lease Cycles'!$AJ$12*INDEX('Lease Cycles'!$FO$12:$FU$12,1,DX78)*INDEX('Lease Cycles'!$EM$12:$ES$12,1,DX78)+'Lease Cycles'!$BE$12*IF(DX79&lt;INDEX('Lease Cycles'!$FA$12:$FG$12,1,DX78),0,1-INDEX('Lease Cycles'!$EM$12:$ES$12,1,DX78)),IF(OR(INDEX('Lease Cycles'!$DY$12:$EE$12,1,DX78)=1,DX79&gt;0),1,1-INDEX('Lease Cycles'!$DD$12:$DJ$12,1,DX78))*('Lease Cycles'!$AJ$12*INDEX('Lease Cycles'!$FO$12:$FU$12,1,DX78)+'Lease Cycles'!$BE$12*(1-INDEX('Lease Cycles'!$FO$12:$FU$12,1,DX78)))),0)</f>
        <v>0</v>
      </c>
      <c r="DY88" s="24">
        <f>IF(DY80=1,'Lease Cycles'!$D$12*IF(INDEX('Lease Cycles'!$EF$12:$EL$12,1,DY78)=1,'Lease Cycles'!$AJ$12*INDEX('Lease Cycles'!$FO$12:$FU$12,1,DY78)*INDEX('Lease Cycles'!$EM$12:$ES$12,1,DY78)+'Lease Cycles'!$BE$12*IF(DY79&lt;INDEX('Lease Cycles'!$FA$12:$FG$12,1,DY78),0,1-INDEX('Lease Cycles'!$EM$12:$ES$12,1,DY78)),IF(OR(INDEX('Lease Cycles'!$DY$12:$EE$12,1,DY78)=1,DY79&gt;0),1,1-INDEX('Lease Cycles'!$DD$12:$DJ$12,1,DY78))*('Lease Cycles'!$AJ$12*INDEX('Lease Cycles'!$FO$12:$FU$12,1,DY78)+'Lease Cycles'!$BE$12*(1-INDEX('Lease Cycles'!$FO$12:$FU$12,1,DY78)))),0)</f>
        <v>0</v>
      </c>
      <c r="DZ88" s="24">
        <f>IF(DZ80=1,'Lease Cycles'!$D$12*IF(INDEX('Lease Cycles'!$EF$12:$EL$12,1,DZ78)=1,'Lease Cycles'!$AJ$12*INDEX('Lease Cycles'!$FO$12:$FU$12,1,DZ78)*INDEX('Lease Cycles'!$EM$12:$ES$12,1,DZ78)+'Lease Cycles'!$BE$12*IF(DZ79&lt;INDEX('Lease Cycles'!$FA$12:$FG$12,1,DZ78),0,1-INDEX('Lease Cycles'!$EM$12:$ES$12,1,DZ78)),IF(OR(INDEX('Lease Cycles'!$DY$12:$EE$12,1,DZ78)=1,DZ79&gt;0),1,1-INDEX('Lease Cycles'!$DD$12:$DJ$12,1,DZ78))*('Lease Cycles'!$AJ$12*INDEX('Lease Cycles'!$FO$12:$FU$12,1,DZ78)+'Lease Cycles'!$BE$12*(1-INDEX('Lease Cycles'!$FO$12:$FU$12,1,DZ78)))),0)</f>
        <v>0</v>
      </c>
      <c r="EA88" s="24">
        <f>IF(EA80=1,'Lease Cycles'!$D$12*IF(INDEX('Lease Cycles'!$EF$12:$EL$12,1,EA78)=1,'Lease Cycles'!$AJ$12*INDEX('Lease Cycles'!$FO$12:$FU$12,1,EA78)*INDEX('Lease Cycles'!$EM$12:$ES$12,1,EA78)+'Lease Cycles'!$BE$12*IF(EA79&lt;INDEX('Lease Cycles'!$FA$12:$FG$12,1,EA78),0,1-INDEX('Lease Cycles'!$EM$12:$ES$12,1,EA78)),IF(OR(INDEX('Lease Cycles'!$DY$12:$EE$12,1,EA78)=1,EA79&gt;0),1,1-INDEX('Lease Cycles'!$DD$12:$DJ$12,1,EA78))*('Lease Cycles'!$AJ$12*INDEX('Lease Cycles'!$FO$12:$FU$12,1,EA78)+'Lease Cycles'!$BE$12*(1-INDEX('Lease Cycles'!$FO$12:$FU$12,1,EA78)))),0)</f>
        <v>0</v>
      </c>
      <c r="EB88" s="24">
        <f>IF(EB80=1,'Lease Cycles'!$D$12*IF(INDEX('Lease Cycles'!$EF$12:$EL$12,1,EB78)=1,'Lease Cycles'!$AJ$12*INDEX('Lease Cycles'!$FO$12:$FU$12,1,EB78)*INDEX('Lease Cycles'!$EM$12:$ES$12,1,EB78)+'Lease Cycles'!$BE$12*IF(EB79&lt;INDEX('Lease Cycles'!$FA$12:$FG$12,1,EB78),0,1-INDEX('Lease Cycles'!$EM$12:$ES$12,1,EB78)),IF(OR(INDEX('Lease Cycles'!$DY$12:$EE$12,1,EB78)=1,EB79&gt;0),1,1-INDEX('Lease Cycles'!$DD$12:$DJ$12,1,EB78))*('Lease Cycles'!$AJ$12*INDEX('Lease Cycles'!$FO$12:$FU$12,1,EB78)+'Lease Cycles'!$BE$12*(1-INDEX('Lease Cycles'!$FO$12:$FU$12,1,EB78)))),0)</f>
        <v>0</v>
      </c>
      <c r="EC88" s="24">
        <f>IF(EC80=1,'Lease Cycles'!$D$12*IF(INDEX('Lease Cycles'!$EF$12:$EL$12,1,EC78)=1,'Lease Cycles'!$AJ$12*INDEX('Lease Cycles'!$FO$12:$FU$12,1,EC78)*INDEX('Lease Cycles'!$EM$12:$ES$12,1,EC78)+'Lease Cycles'!$BE$12*IF(EC79&lt;INDEX('Lease Cycles'!$FA$12:$FG$12,1,EC78),0,1-INDEX('Lease Cycles'!$EM$12:$ES$12,1,EC78)),IF(OR(INDEX('Lease Cycles'!$DY$12:$EE$12,1,EC78)=1,EC79&gt;0),1,1-INDEX('Lease Cycles'!$DD$12:$DJ$12,1,EC78))*('Lease Cycles'!$AJ$12*INDEX('Lease Cycles'!$FO$12:$FU$12,1,EC78)+'Lease Cycles'!$BE$12*(1-INDEX('Lease Cycles'!$FO$12:$FU$12,1,EC78)))),0)</f>
        <v>0</v>
      </c>
      <c r="ED88" s="24">
        <f>IF(ED80=1,'Lease Cycles'!$D$12*IF(INDEX('Lease Cycles'!$EF$12:$EL$12,1,ED78)=1,'Lease Cycles'!$AJ$12*INDEX('Lease Cycles'!$FO$12:$FU$12,1,ED78)*INDEX('Lease Cycles'!$EM$12:$ES$12,1,ED78)+'Lease Cycles'!$BE$12*IF(ED79&lt;INDEX('Lease Cycles'!$FA$12:$FG$12,1,ED78),0,1-INDEX('Lease Cycles'!$EM$12:$ES$12,1,ED78)),IF(OR(INDEX('Lease Cycles'!$DY$12:$EE$12,1,ED78)=1,ED79&gt;0),1,1-INDEX('Lease Cycles'!$DD$12:$DJ$12,1,ED78))*('Lease Cycles'!$AJ$12*INDEX('Lease Cycles'!$FO$12:$FU$12,1,ED78)+'Lease Cycles'!$BE$12*(1-INDEX('Lease Cycles'!$FO$12:$FU$12,1,ED78)))),0)</f>
        <v>0</v>
      </c>
      <c r="EE88" s="24">
        <f>IF(EE80=1,'Lease Cycles'!$D$12*IF(INDEX('Lease Cycles'!$EF$12:$EL$12,1,EE78)=1,'Lease Cycles'!$AJ$12*INDEX('Lease Cycles'!$FO$12:$FU$12,1,EE78)*INDEX('Lease Cycles'!$EM$12:$ES$12,1,EE78)+'Lease Cycles'!$BE$12*IF(EE79&lt;INDEX('Lease Cycles'!$FA$12:$FG$12,1,EE78),0,1-INDEX('Lease Cycles'!$EM$12:$ES$12,1,EE78)),IF(OR(INDEX('Lease Cycles'!$DY$12:$EE$12,1,EE78)=1,EE79&gt;0),1,1-INDEX('Lease Cycles'!$DD$12:$DJ$12,1,EE78))*('Lease Cycles'!$AJ$12*INDEX('Lease Cycles'!$FO$12:$FU$12,1,EE78)+'Lease Cycles'!$BE$12*(1-INDEX('Lease Cycles'!$FO$12:$FU$12,1,EE78)))),0)</f>
        <v>0</v>
      </c>
      <c r="EF88" s="24">
        <f>IF(EF80=1,'Lease Cycles'!$D$12*IF(INDEX('Lease Cycles'!$EF$12:$EL$12,1,EF78)=1,'Lease Cycles'!$AJ$12*INDEX('Lease Cycles'!$FO$12:$FU$12,1,EF78)*INDEX('Lease Cycles'!$EM$12:$ES$12,1,EF78)+'Lease Cycles'!$BE$12*IF(EF79&lt;INDEX('Lease Cycles'!$FA$12:$FG$12,1,EF78),0,1-INDEX('Lease Cycles'!$EM$12:$ES$12,1,EF78)),IF(OR(INDEX('Lease Cycles'!$DY$12:$EE$12,1,EF78)=1,EF79&gt;0),1,1-INDEX('Lease Cycles'!$DD$12:$DJ$12,1,EF78))*('Lease Cycles'!$AJ$12*INDEX('Lease Cycles'!$FO$12:$FU$12,1,EF78)+'Lease Cycles'!$BE$12*(1-INDEX('Lease Cycles'!$FO$12:$FU$12,1,EF78)))),0)</f>
        <v>0</v>
      </c>
      <c r="EG88" s="24">
        <f>IF(EG80=1,'Lease Cycles'!$D$12*IF(INDEX('Lease Cycles'!$EF$12:$EL$12,1,EG78)=1,'Lease Cycles'!$AJ$12*INDEX('Lease Cycles'!$FO$12:$FU$12,1,EG78)*INDEX('Lease Cycles'!$EM$12:$ES$12,1,EG78)+'Lease Cycles'!$BE$12*IF(EG79&lt;INDEX('Lease Cycles'!$FA$12:$FG$12,1,EG78),0,1-INDEX('Lease Cycles'!$EM$12:$ES$12,1,EG78)),IF(OR(INDEX('Lease Cycles'!$DY$12:$EE$12,1,EG78)=1,EG79&gt;0),1,1-INDEX('Lease Cycles'!$DD$12:$DJ$12,1,EG78))*('Lease Cycles'!$AJ$12*INDEX('Lease Cycles'!$FO$12:$FU$12,1,EG78)+'Lease Cycles'!$BE$12*(1-INDEX('Lease Cycles'!$FO$12:$FU$12,1,EG78)))),0)</f>
        <v>0</v>
      </c>
      <c r="EH88" s="24">
        <f>IF(EH80=1,'Lease Cycles'!$D$12*IF(INDEX('Lease Cycles'!$EF$12:$EL$12,1,EH78)=1,'Lease Cycles'!$AJ$12*INDEX('Lease Cycles'!$FO$12:$FU$12,1,EH78)*INDEX('Lease Cycles'!$EM$12:$ES$12,1,EH78)+'Lease Cycles'!$BE$12*IF(EH79&lt;INDEX('Lease Cycles'!$FA$12:$FG$12,1,EH78),0,1-INDEX('Lease Cycles'!$EM$12:$ES$12,1,EH78)),IF(OR(INDEX('Lease Cycles'!$DY$12:$EE$12,1,EH78)=1,EH79&gt;0),1,1-INDEX('Lease Cycles'!$DD$12:$DJ$12,1,EH78))*('Lease Cycles'!$AJ$12*INDEX('Lease Cycles'!$FO$12:$FU$12,1,EH78)+'Lease Cycles'!$BE$12*(1-INDEX('Lease Cycles'!$FO$12:$FU$12,1,EH78)))),0)</f>
        <v>0</v>
      </c>
      <c r="EI88" s="24">
        <f>IF(EI80=1,'Lease Cycles'!$D$12*IF(INDEX('Lease Cycles'!$EF$12:$EL$12,1,EI78)=1,'Lease Cycles'!$AJ$12*INDEX('Lease Cycles'!$FO$12:$FU$12,1,EI78)*INDEX('Lease Cycles'!$EM$12:$ES$12,1,EI78)+'Lease Cycles'!$BE$12*IF(EI79&lt;INDEX('Lease Cycles'!$FA$12:$FG$12,1,EI78),0,1-INDEX('Lease Cycles'!$EM$12:$ES$12,1,EI78)),IF(OR(INDEX('Lease Cycles'!$DY$12:$EE$12,1,EI78)=1,EI79&gt;0),1,1-INDEX('Lease Cycles'!$DD$12:$DJ$12,1,EI78))*('Lease Cycles'!$AJ$12*INDEX('Lease Cycles'!$FO$12:$FU$12,1,EI78)+'Lease Cycles'!$BE$12*(1-INDEX('Lease Cycles'!$FO$12:$FU$12,1,EI78)))),0)</f>
        <v>0</v>
      </c>
      <c r="EJ88" s="24">
        <f>IF(EJ80=1,'Lease Cycles'!$D$12*IF(INDEX('Lease Cycles'!$EF$12:$EL$12,1,EJ78)=1,'Lease Cycles'!$AJ$12*INDEX('Lease Cycles'!$FO$12:$FU$12,1,EJ78)*INDEX('Lease Cycles'!$EM$12:$ES$12,1,EJ78)+'Lease Cycles'!$BE$12*IF(EJ79&lt;INDEX('Lease Cycles'!$FA$12:$FG$12,1,EJ78),0,1-INDEX('Lease Cycles'!$EM$12:$ES$12,1,EJ78)),IF(OR(INDEX('Lease Cycles'!$DY$12:$EE$12,1,EJ78)=1,EJ79&gt;0),1,1-INDEX('Lease Cycles'!$DD$12:$DJ$12,1,EJ78))*('Lease Cycles'!$AJ$12*INDEX('Lease Cycles'!$FO$12:$FU$12,1,EJ78)+'Lease Cycles'!$BE$12*(1-INDEX('Lease Cycles'!$FO$12:$FU$12,1,EJ78)))),0)</f>
        <v>0</v>
      </c>
      <c r="EK88" s="24">
        <f>IF(EK80=1,'Lease Cycles'!$D$12*IF(INDEX('Lease Cycles'!$EF$12:$EL$12,1,EK78)=1,'Lease Cycles'!$AJ$12*INDEX('Lease Cycles'!$FO$12:$FU$12,1,EK78)*INDEX('Lease Cycles'!$EM$12:$ES$12,1,EK78)+'Lease Cycles'!$BE$12*IF(EK79&lt;INDEX('Lease Cycles'!$FA$12:$FG$12,1,EK78),0,1-INDEX('Lease Cycles'!$EM$12:$ES$12,1,EK78)),IF(OR(INDEX('Lease Cycles'!$DY$12:$EE$12,1,EK78)=1,EK79&gt;0),1,1-INDEX('Lease Cycles'!$DD$12:$DJ$12,1,EK78))*('Lease Cycles'!$AJ$12*INDEX('Lease Cycles'!$FO$12:$FU$12,1,EK78)+'Lease Cycles'!$BE$12*(1-INDEX('Lease Cycles'!$FO$12:$FU$12,1,EK78)))),0)</f>
        <v>0</v>
      </c>
      <c r="EL88" s="24">
        <f>IF(EL80=1,'Lease Cycles'!$D$12*IF(INDEX('Lease Cycles'!$EF$12:$EL$12,1,EL78)=1,'Lease Cycles'!$AJ$12*INDEX('Lease Cycles'!$FO$12:$FU$12,1,EL78)*INDEX('Lease Cycles'!$EM$12:$ES$12,1,EL78)+'Lease Cycles'!$BE$12*IF(EL79&lt;INDEX('Lease Cycles'!$FA$12:$FG$12,1,EL78),0,1-INDEX('Lease Cycles'!$EM$12:$ES$12,1,EL78)),IF(OR(INDEX('Lease Cycles'!$DY$12:$EE$12,1,EL78)=1,EL79&gt;0),1,1-INDEX('Lease Cycles'!$DD$12:$DJ$12,1,EL78))*('Lease Cycles'!$AJ$12*INDEX('Lease Cycles'!$FO$12:$FU$12,1,EL78)+'Lease Cycles'!$BE$12*(1-INDEX('Lease Cycles'!$FO$12:$FU$12,1,EL78)))),0)</f>
        <v>0</v>
      </c>
      <c r="EM88" s="24">
        <f>IF(EM80=1,'Lease Cycles'!$D$12*IF(INDEX('Lease Cycles'!$EF$12:$EL$12,1,EM78)=1,'Lease Cycles'!$AJ$12*INDEX('Lease Cycles'!$FO$12:$FU$12,1,EM78)*INDEX('Lease Cycles'!$EM$12:$ES$12,1,EM78)+'Lease Cycles'!$BE$12*IF(EM79&lt;INDEX('Lease Cycles'!$FA$12:$FG$12,1,EM78),0,1-INDEX('Lease Cycles'!$EM$12:$ES$12,1,EM78)),IF(OR(INDEX('Lease Cycles'!$DY$12:$EE$12,1,EM78)=1,EM79&gt;0),1,1-INDEX('Lease Cycles'!$DD$12:$DJ$12,1,EM78))*('Lease Cycles'!$AJ$12*INDEX('Lease Cycles'!$FO$12:$FU$12,1,EM78)+'Lease Cycles'!$BE$12*(1-INDEX('Lease Cycles'!$FO$12:$FU$12,1,EM78)))),0)</f>
        <v>0</v>
      </c>
      <c r="EN88" s="24">
        <f>IF(EN80=1,'Lease Cycles'!$D$12*IF(INDEX('Lease Cycles'!$EF$12:$EL$12,1,EN78)=1,'Lease Cycles'!$AJ$12*INDEX('Lease Cycles'!$FO$12:$FU$12,1,EN78)*INDEX('Lease Cycles'!$EM$12:$ES$12,1,EN78)+'Lease Cycles'!$BE$12*IF(EN79&lt;INDEX('Lease Cycles'!$FA$12:$FG$12,1,EN78),0,1-INDEX('Lease Cycles'!$EM$12:$ES$12,1,EN78)),IF(OR(INDEX('Lease Cycles'!$DY$12:$EE$12,1,EN78)=1,EN79&gt;0),1,1-INDEX('Lease Cycles'!$DD$12:$DJ$12,1,EN78))*('Lease Cycles'!$AJ$12*INDEX('Lease Cycles'!$FO$12:$FU$12,1,EN78)+'Lease Cycles'!$BE$12*(1-INDEX('Lease Cycles'!$FO$12:$FU$12,1,EN78)))),0)</f>
        <v>0</v>
      </c>
      <c r="EO88" s="24">
        <f>IF(EO80=1,'Lease Cycles'!$D$12*IF(INDEX('Lease Cycles'!$EF$12:$EL$12,1,EO78)=1,'Lease Cycles'!$AJ$12*INDEX('Lease Cycles'!$FO$12:$FU$12,1,EO78)*INDEX('Lease Cycles'!$EM$12:$ES$12,1,EO78)+'Lease Cycles'!$BE$12*IF(EO79&lt;INDEX('Lease Cycles'!$FA$12:$FG$12,1,EO78),0,1-INDEX('Lease Cycles'!$EM$12:$ES$12,1,EO78)),IF(OR(INDEX('Lease Cycles'!$DY$12:$EE$12,1,EO78)=1,EO79&gt;0),1,1-INDEX('Lease Cycles'!$DD$12:$DJ$12,1,EO78))*('Lease Cycles'!$AJ$12*INDEX('Lease Cycles'!$FO$12:$FU$12,1,EO78)+'Lease Cycles'!$BE$12*(1-INDEX('Lease Cycles'!$FO$12:$FU$12,1,EO78)))),0)</f>
        <v>0</v>
      </c>
      <c r="EP88" s="24">
        <f>IF(EP80=1,'Lease Cycles'!$D$12*IF(INDEX('Lease Cycles'!$EF$12:$EL$12,1,EP78)=1,'Lease Cycles'!$AJ$12*INDEX('Lease Cycles'!$FO$12:$FU$12,1,EP78)*INDEX('Lease Cycles'!$EM$12:$ES$12,1,EP78)+'Lease Cycles'!$BE$12*IF(EP79&lt;INDEX('Lease Cycles'!$FA$12:$FG$12,1,EP78),0,1-INDEX('Lease Cycles'!$EM$12:$ES$12,1,EP78)),IF(OR(INDEX('Lease Cycles'!$DY$12:$EE$12,1,EP78)=1,EP79&gt;0),1,1-INDEX('Lease Cycles'!$DD$12:$DJ$12,1,EP78))*('Lease Cycles'!$AJ$12*INDEX('Lease Cycles'!$FO$12:$FU$12,1,EP78)+'Lease Cycles'!$BE$12*(1-INDEX('Lease Cycles'!$FO$12:$FU$12,1,EP78)))),0)</f>
        <v>0</v>
      </c>
      <c r="EQ88" s="24">
        <f>IF(EQ80=1,'Lease Cycles'!$D$12*IF(INDEX('Lease Cycles'!$EF$12:$EL$12,1,EQ78)=1,'Lease Cycles'!$AJ$12*INDEX('Lease Cycles'!$FO$12:$FU$12,1,EQ78)*INDEX('Lease Cycles'!$EM$12:$ES$12,1,EQ78)+'Lease Cycles'!$BE$12*IF(EQ79&lt;INDEX('Lease Cycles'!$FA$12:$FG$12,1,EQ78),0,1-INDEX('Lease Cycles'!$EM$12:$ES$12,1,EQ78)),IF(OR(INDEX('Lease Cycles'!$DY$12:$EE$12,1,EQ78)=1,EQ79&gt;0),1,1-INDEX('Lease Cycles'!$DD$12:$DJ$12,1,EQ78))*('Lease Cycles'!$AJ$12*INDEX('Lease Cycles'!$FO$12:$FU$12,1,EQ78)+'Lease Cycles'!$BE$12*(1-INDEX('Lease Cycles'!$FO$12:$FU$12,1,EQ78)))),0)</f>
        <v>0</v>
      </c>
      <c r="ER88" s="24">
        <f>IF(ER80=1,'Lease Cycles'!$D$12*IF(INDEX('Lease Cycles'!$EF$12:$EL$12,1,ER78)=1,'Lease Cycles'!$AJ$12*INDEX('Lease Cycles'!$FO$12:$FU$12,1,ER78)*INDEX('Lease Cycles'!$EM$12:$ES$12,1,ER78)+'Lease Cycles'!$BE$12*IF(ER79&lt;INDEX('Lease Cycles'!$FA$12:$FG$12,1,ER78),0,1-INDEX('Lease Cycles'!$EM$12:$ES$12,1,ER78)),IF(OR(INDEX('Lease Cycles'!$DY$12:$EE$12,1,ER78)=1,ER79&gt;0),1,1-INDEX('Lease Cycles'!$DD$12:$DJ$12,1,ER78))*('Lease Cycles'!$AJ$12*INDEX('Lease Cycles'!$FO$12:$FU$12,1,ER78)+'Lease Cycles'!$BE$12*(1-INDEX('Lease Cycles'!$FO$12:$FU$12,1,ER78)))),0)</f>
        <v>0</v>
      </c>
      <c r="ES88" s="24">
        <f>IF(ES80=1,'Lease Cycles'!$D$12*IF(INDEX('Lease Cycles'!$EF$12:$EL$12,1,ES78)=1,'Lease Cycles'!$AJ$12*INDEX('Lease Cycles'!$FO$12:$FU$12,1,ES78)*INDEX('Lease Cycles'!$EM$12:$ES$12,1,ES78)+'Lease Cycles'!$BE$12*IF(ES79&lt;INDEX('Lease Cycles'!$FA$12:$FG$12,1,ES78),0,1-INDEX('Lease Cycles'!$EM$12:$ES$12,1,ES78)),IF(OR(INDEX('Lease Cycles'!$DY$12:$EE$12,1,ES78)=1,ES79&gt;0),1,1-INDEX('Lease Cycles'!$DD$12:$DJ$12,1,ES78))*('Lease Cycles'!$AJ$12*INDEX('Lease Cycles'!$FO$12:$FU$12,1,ES78)+'Lease Cycles'!$BE$12*(1-INDEX('Lease Cycles'!$FO$12:$FU$12,1,ES78)))),0)</f>
        <v>0</v>
      </c>
      <c r="ET88" s="24">
        <f>IF(ET80=1,'Lease Cycles'!$D$12*IF(INDEX('Lease Cycles'!$EF$12:$EL$12,1,ET78)=1,'Lease Cycles'!$AJ$12*INDEX('Lease Cycles'!$FO$12:$FU$12,1,ET78)*INDEX('Lease Cycles'!$EM$12:$ES$12,1,ET78)+'Lease Cycles'!$BE$12*IF(ET79&lt;INDEX('Lease Cycles'!$FA$12:$FG$12,1,ET78),0,1-INDEX('Lease Cycles'!$EM$12:$ES$12,1,ET78)),IF(OR(INDEX('Lease Cycles'!$DY$12:$EE$12,1,ET78)=1,ET79&gt;0),1,1-INDEX('Lease Cycles'!$DD$12:$DJ$12,1,ET78))*('Lease Cycles'!$AJ$12*INDEX('Lease Cycles'!$FO$12:$FU$12,1,ET78)+'Lease Cycles'!$BE$12*(1-INDEX('Lease Cycles'!$FO$12:$FU$12,1,ET78)))),0)</f>
        <v>0</v>
      </c>
    </row>
    <row r="89">
      <c r="A89" s="103">
        <v>5</v>
      </c>
      <c r="B89" s="23" t="str">
        <f>IF('Lease Cycles'!$B$12="","(empty slot)",'Lease Cycles'!$B$12)</f>
        <v>Sunfield Pizza</v>
      </c>
      <c r="C89" s="23" t="s">
        <v>689</v>
      </c>
      <c r="D89" s="104" t="s">
        <v>690</v>
      </c>
      <c r="E89" s="25">
        <f>'Lease Cycles'!$AL$12</f>
        <v>0</v>
      </c>
      <c r="G89" s="28">
        <f>SUM(S89:AD89)</f>
        <v>0</v>
      </c>
      <c r="H89" s="28">
        <f>SUM(AE89:AP89)</f>
        <v>0</v>
      </c>
      <c r="I89" s="28">
        <f>SUM(AQ89:BB89)</f>
        <v>0</v>
      </c>
      <c r="J89" s="28">
        <f>SUM(BC89:BN89)</f>
        <v>0</v>
      </c>
      <c r="K89" s="28">
        <f>SUM(BO89:BZ89)</f>
        <v>0</v>
      </c>
      <c r="L89" s="28">
        <f>SUM(CA89:CL89)</f>
        <v>0</v>
      </c>
      <c r="M89" s="28">
        <f>SUM(CM89:CX89)</f>
        <v>0</v>
      </c>
      <c r="N89" s="28">
        <f>SUM(CY89:DJ89)</f>
        <v>0</v>
      </c>
      <c r="O89" s="28">
        <f>SUM(DK89:DV89)</f>
        <v>0</v>
      </c>
      <c r="P89" s="28">
        <f>SUM(DW89:EH89)</f>
        <v>0</v>
      </c>
      <c r="Q89" s="28">
        <f>SUM(EI89:ET89)</f>
        <v>0</v>
      </c>
      <c r="S89" s="28">
        <f>IF(S88=0,0,S88*MAX(0,(INDEX(c_CAMy,1,S$7)-INDEX(c_CAMy,1,INDEX('Lease Cycles'!$GC$12:$GI$12,1,S78)+1))*(1+'Lease Cycles'!$AK$12)+(INDEX(c_TAXy,1,S$7)-INDEX(c_TAXy,1,INDEX('Lease Cycles'!$GC$12:$GI$12,1,S78)+1))+(INDEX(c_INSy,1,S$7)-INDEX(c_INSy,1,INDEX('Lease Cycles'!$GC$12:$GI$12,1,S78)+1)))/12)</f>
        <v>0</v>
      </c>
      <c r="T89" s="28">
        <f>IF(T88=0,0,T88*MAX(0,(INDEX(c_CAMy,1,T$7)-INDEX(c_CAMy,1,INDEX('Lease Cycles'!$GC$12:$GI$12,1,T78)+1))*(1+'Lease Cycles'!$AK$12)+(INDEX(c_TAXy,1,T$7)-INDEX(c_TAXy,1,INDEX('Lease Cycles'!$GC$12:$GI$12,1,T78)+1))+(INDEX(c_INSy,1,T$7)-INDEX(c_INSy,1,INDEX('Lease Cycles'!$GC$12:$GI$12,1,T78)+1)))/12)</f>
        <v>0</v>
      </c>
      <c r="U89" s="28">
        <f>IF(U88=0,0,U88*MAX(0,(INDEX(c_CAMy,1,U$7)-INDEX(c_CAMy,1,INDEX('Lease Cycles'!$GC$12:$GI$12,1,U78)+1))*(1+'Lease Cycles'!$AK$12)+(INDEX(c_TAXy,1,U$7)-INDEX(c_TAXy,1,INDEX('Lease Cycles'!$GC$12:$GI$12,1,U78)+1))+(INDEX(c_INSy,1,U$7)-INDEX(c_INSy,1,INDEX('Lease Cycles'!$GC$12:$GI$12,1,U78)+1)))/12)</f>
        <v>0</v>
      </c>
      <c r="V89" s="28">
        <f>IF(V88=0,0,V88*MAX(0,(INDEX(c_CAMy,1,V$7)-INDEX(c_CAMy,1,INDEX('Lease Cycles'!$GC$12:$GI$12,1,V78)+1))*(1+'Lease Cycles'!$AK$12)+(INDEX(c_TAXy,1,V$7)-INDEX(c_TAXy,1,INDEX('Lease Cycles'!$GC$12:$GI$12,1,V78)+1))+(INDEX(c_INSy,1,V$7)-INDEX(c_INSy,1,INDEX('Lease Cycles'!$GC$12:$GI$12,1,V78)+1)))/12)</f>
        <v>0</v>
      </c>
      <c r="W89" s="28">
        <f>IF(W88=0,0,W88*MAX(0,(INDEX(c_CAMy,1,W$7)-INDEX(c_CAMy,1,INDEX('Lease Cycles'!$GC$12:$GI$12,1,W78)+1))*(1+'Lease Cycles'!$AK$12)+(INDEX(c_TAXy,1,W$7)-INDEX(c_TAXy,1,INDEX('Lease Cycles'!$GC$12:$GI$12,1,W78)+1))+(INDEX(c_INSy,1,W$7)-INDEX(c_INSy,1,INDEX('Lease Cycles'!$GC$12:$GI$12,1,W78)+1)))/12)</f>
        <v>0</v>
      </c>
      <c r="X89" s="28">
        <f>IF(X88=0,0,X88*MAX(0,(INDEX(c_CAMy,1,X$7)-INDEX(c_CAMy,1,INDEX('Lease Cycles'!$GC$12:$GI$12,1,X78)+1))*(1+'Lease Cycles'!$AK$12)+(INDEX(c_TAXy,1,X$7)-INDEX(c_TAXy,1,INDEX('Lease Cycles'!$GC$12:$GI$12,1,X78)+1))+(INDEX(c_INSy,1,X$7)-INDEX(c_INSy,1,INDEX('Lease Cycles'!$GC$12:$GI$12,1,X78)+1)))/12)</f>
        <v>0</v>
      </c>
      <c r="Y89" s="28">
        <f>IF(Y88=0,0,Y88*MAX(0,(INDEX(c_CAMy,1,Y$7)-INDEX(c_CAMy,1,INDEX('Lease Cycles'!$GC$12:$GI$12,1,Y78)+1))*(1+'Lease Cycles'!$AK$12)+(INDEX(c_TAXy,1,Y$7)-INDEX(c_TAXy,1,INDEX('Lease Cycles'!$GC$12:$GI$12,1,Y78)+1))+(INDEX(c_INSy,1,Y$7)-INDEX(c_INSy,1,INDEX('Lease Cycles'!$GC$12:$GI$12,1,Y78)+1)))/12)</f>
        <v>0</v>
      </c>
      <c r="Z89" s="28">
        <f>IF(Z88=0,0,Z88*MAX(0,(INDEX(c_CAMy,1,Z$7)-INDEX(c_CAMy,1,INDEX('Lease Cycles'!$GC$12:$GI$12,1,Z78)+1))*(1+'Lease Cycles'!$AK$12)+(INDEX(c_TAXy,1,Z$7)-INDEX(c_TAXy,1,INDEX('Lease Cycles'!$GC$12:$GI$12,1,Z78)+1))+(INDEX(c_INSy,1,Z$7)-INDEX(c_INSy,1,INDEX('Lease Cycles'!$GC$12:$GI$12,1,Z78)+1)))/12)</f>
        <v>0</v>
      </c>
      <c r="AA89" s="28">
        <f>IF(AA88=0,0,AA88*MAX(0,(INDEX(c_CAMy,1,AA$7)-INDEX(c_CAMy,1,INDEX('Lease Cycles'!$GC$12:$GI$12,1,AA78)+1))*(1+'Lease Cycles'!$AK$12)+(INDEX(c_TAXy,1,AA$7)-INDEX(c_TAXy,1,INDEX('Lease Cycles'!$GC$12:$GI$12,1,AA78)+1))+(INDEX(c_INSy,1,AA$7)-INDEX(c_INSy,1,INDEX('Lease Cycles'!$GC$12:$GI$12,1,AA78)+1)))/12)</f>
        <v>0</v>
      </c>
      <c r="AB89" s="28">
        <f>IF(AB88=0,0,AB88*MAX(0,(INDEX(c_CAMy,1,AB$7)-INDEX(c_CAMy,1,INDEX('Lease Cycles'!$GC$12:$GI$12,1,AB78)+1))*(1+'Lease Cycles'!$AK$12)+(INDEX(c_TAXy,1,AB$7)-INDEX(c_TAXy,1,INDEX('Lease Cycles'!$GC$12:$GI$12,1,AB78)+1))+(INDEX(c_INSy,1,AB$7)-INDEX(c_INSy,1,INDEX('Lease Cycles'!$GC$12:$GI$12,1,AB78)+1)))/12)</f>
        <v>0</v>
      </c>
      <c r="AC89" s="28">
        <f>IF(AC88=0,0,AC88*MAX(0,(INDEX(c_CAMy,1,AC$7)-INDEX(c_CAMy,1,INDEX('Lease Cycles'!$GC$12:$GI$12,1,AC78)+1))*(1+'Lease Cycles'!$AK$12)+(INDEX(c_TAXy,1,AC$7)-INDEX(c_TAXy,1,INDEX('Lease Cycles'!$GC$12:$GI$12,1,AC78)+1))+(INDEX(c_INSy,1,AC$7)-INDEX(c_INSy,1,INDEX('Lease Cycles'!$GC$12:$GI$12,1,AC78)+1)))/12)</f>
        <v>0</v>
      </c>
      <c r="AD89" s="28">
        <f>IF(AD88=0,0,AD88*MAX(0,(INDEX(c_CAMy,1,AD$7)-INDEX(c_CAMy,1,INDEX('Lease Cycles'!$GC$12:$GI$12,1,AD78)+1))*(1+'Lease Cycles'!$AK$12)+(INDEX(c_TAXy,1,AD$7)-INDEX(c_TAXy,1,INDEX('Lease Cycles'!$GC$12:$GI$12,1,AD78)+1))+(INDEX(c_INSy,1,AD$7)-INDEX(c_INSy,1,INDEX('Lease Cycles'!$GC$12:$GI$12,1,AD78)+1)))/12)</f>
        <v>0</v>
      </c>
      <c r="AE89" s="28">
        <f>IF(AE88=0,0,AE88*MAX(0,(INDEX(c_CAMy,1,AE$7)-INDEX(c_CAMy,1,INDEX('Lease Cycles'!$GC$12:$GI$12,1,AE78)+1))*(1+'Lease Cycles'!$AK$12)+(INDEX(c_TAXy,1,AE$7)-INDEX(c_TAXy,1,INDEX('Lease Cycles'!$GC$12:$GI$12,1,AE78)+1))+(INDEX(c_INSy,1,AE$7)-INDEX(c_INSy,1,INDEX('Lease Cycles'!$GC$12:$GI$12,1,AE78)+1)))/12)</f>
        <v>0</v>
      </c>
      <c r="AF89" s="28">
        <f>IF(AF88=0,0,AF88*MAX(0,(INDEX(c_CAMy,1,AF$7)-INDEX(c_CAMy,1,INDEX('Lease Cycles'!$GC$12:$GI$12,1,AF78)+1))*(1+'Lease Cycles'!$AK$12)+(INDEX(c_TAXy,1,AF$7)-INDEX(c_TAXy,1,INDEX('Lease Cycles'!$GC$12:$GI$12,1,AF78)+1))+(INDEX(c_INSy,1,AF$7)-INDEX(c_INSy,1,INDEX('Lease Cycles'!$GC$12:$GI$12,1,AF78)+1)))/12)</f>
        <v>0</v>
      </c>
      <c r="AG89" s="28">
        <f>IF(AG88=0,0,AG88*MAX(0,(INDEX(c_CAMy,1,AG$7)-INDEX(c_CAMy,1,INDEX('Lease Cycles'!$GC$12:$GI$12,1,AG78)+1))*(1+'Lease Cycles'!$AK$12)+(INDEX(c_TAXy,1,AG$7)-INDEX(c_TAXy,1,INDEX('Lease Cycles'!$GC$12:$GI$12,1,AG78)+1))+(INDEX(c_INSy,1,AG$7)-INDEX(c_INSy,1,INDEX('Lease Cycles'!$GC$12:$GI$12,1,AG78)+1)))/12)</f>
        <v>0</v>
      </c>
      <c r="AH89" s="28">
        <f>IF(AH88=0,0,AH88*MAX(0,(INDEX(c_CAMy,1,AH$7)-INDEX(c_CAMy,1,INDEX('Lease Cycles'!$GC$12:$GI$12,1,AH78)+1))*(1+'Lease Cycles'!$AK$12)+(INDEX(c_TAXy,1,AH$7)-INDEX(c_TAXy,1,INDEX('Lease Cycles'!$GC$12:$GI$12,1,AH78)+1))+(INDEX(c_INSy,1,AH$7)-INDEX(c_INSy,1,INDEX('Lease Cycles'!$GC$12:$GI$12,1,AH78)+1)))/12)</f>
        <v>0</v>
      </c>
      <c r="AI89" s="28">
        <f>IF(AI88=0,0,AI88*MAX(0,(INDEX(c_CAMy,1,AI$7)-INDEX(c_CAMy,1,INDEX('Lease Cycles'!$GC$12:$GI$12,1,AI78)+1))*(1+'Lease Cycles'!$AK$12)+(INDEX(c_TAXy,1,AI$7)-INDEX(c_TAXy,1,INDEX('Lease Cycles'!$GC$12:$GI$12,1,AI78)+1))+(INDEX(c_INSy,1,AI$7)-INDEX(c_INSy,1,INDEX('Lease Cycles'!$GC$12:$GI$12,1,AI78)+1)))/12)</f>
        <v>0</v>
      </c>
      <c r="AJ89" s="28">
        <f>IF(AJ88=0,0,AJ88*MAX(0,(INDEX(c_CAMy,1,AJ$7)-INDEX(c_CAMy,1,INDEX('Lease Cycles'!$GC$12:$GI$12,1,AJ78)+1))*(1+'Lease Cycles'!$AK$12)+(INDEX(c_TAXy,1,AJ$7)-INDEX(c_TAXy,1,INDEX('Lease Cycles'!$GC$12:$GI$12,1,AJ78)+1))+(INDEX(c_INSy,1,AJ$7)-INDEX(c_INSy,1,INDEX('Lease Cycles'!$GC$12:$GI$12,1,AJ78)+1)))/12)</f>
        <v>0</v>
      </c>
      <c r="AK89" s="28">
        <f>IF(AK88=0,0,AK88*MAX(0,(INDEX(c_CAMy,1,AK$7)-INDEX(c_CAMy,1,INDEX('Lease Cycles'!$GC$12:$GI$12,1,AK78)+1))*(1+'Lease Cycles'!$AK$12)+(INDEX(c_TAXy,1,AK$7)-INDEX(c_TAXy,1,INDEX('Lease Cycles'!$GC$12:$GI$12,1,AK78)+1))+(INDEX(c_INSy,1,AK$7)-INDEX(c_INSy,1,INDEX('Lease Cycles'!$GC$12:$GI$12,1,AK78)+1)))/12)</f>
        <v>0</v>
      </c>
      <c r="AL89" s="28">
        <f>IF(AL88=0,0,AL88*MAX(0,(INDEX(c_CAMy,1,AL$7)-INDEX(c_CAMy,1,INDEX('Lease Cycles'!$GC$12:$GI$12,1,AL78)+1))*(1+'Lease Cycles'!$AK$12)+(INDEX(c_TAXy,1,AL$7)-INDEX(c_TAXy,1,INDEX('Lease Cycles'!$GC$12:$GI$12,1,AL78)+1))+(INDEX(c_INSy,1,AL$7)-INDEX(c_INSy,1,INDEX('Lease Cycles'!$GC$12:$GI$12,1,AL78)+1)))/12)</f>
        <v>0</v>
      </c>
      <c r="AM89" s="28">
        <f>IF(AM88=0,0,AM88*MAX(0,(INDEX(c_CAMy,1,AM$7)-INDEX(c_CAMy,1,INDEX('Lease Cycles'!$GC$12:$GI$12,1,AM78)+1))*(1+'Lease Cycles'!$AK$12)+(INDEX(c_TAXy,1,AM$7)-INDEX(c_TAXy,1,INDEX('Lease Cycles'!$GC$12:$GI$12,1,AM78)+1))+(INDEX(c_INSy,1,AM$7)-INDEX(c_INSy,1,INDEX('Lease Cycles'!$GC$12:$GI$12,1,AM78)+1)))/12)</f>
        <v>0</v>
      </c>
      <c r="AN89" s="28">
        <f>IF(AN88=0,0,AN88*MAX(0,(INDEX(c_CAMy,1,AN$7)-INDEX(c_CAMy,1,INDEX('Lease Cycles'!$GC$12:$GI$12,1,AN78)+1))*(1+'Lease Cycles'!$AK$12)+(INDEX(c_TAXy,1,AN$7)-INDEX(c_TAXy,1,INDEX('Lease Cycles'!$GC$12:$GI$12,1,AN78)+1))+(INDEX(c_INSy,1,AN$7)-INDEX(c_INSy,1,INDEX('Lease Cycles'!$GC$12:$GI$12,1,AN78)+1)))/12)</f>
        <v>0</v>
      </c>
      <c r="AO89" s="28">
        <f>IF(AO88=0,0,AO88*MAX(0,(INDEX(c_CAMy,1,AO$7)-INDEX(c_CAMy,1,INDEX('Lease Cycles'!$GC$12:$GI$12,1,AO78)+1))*(1+'Lease Cycles'!$AK$12)+(INDEX(c_TAXy,1,AO$7)-INDEX(c_TAXy,1,INDEX('Lease Cycles'!$GC$12:$GI$12,1,AO78)+1))+(INDEX(c_INSy,1,AO$7)-INDEX(c_INSy,1,INDEX('Lease Cycles'!$GC$12:$GI$12,1,AO78)+1)))/12)</f>
        <v>0</v>
      </c>
      <c r="AP89" s="28">
        <f>IF(AP88=0,0,AP88*MAX(0,(INDEX(c_CAMy,1,AP$7)-INDEX(c_CAMy,1,INDEX('Lease Cycles'!$GC$12:$GI$12,1,AP78)+1))*(1+'Lease Cycles'!$AK$12)+(INDEX(c_TAXy,1,AP$7)-INDEX(c_TAXy,1,INDEX('Lease Cycles'!$GC$12:$GI$12,1,AP78)+1))+(INDEX(c_INSy,1,AP$7)-INDEX(c_INSy,1,INDEX('Lease Cycles'!$GC$12:$GI$12,1,AP78)+1)))/12)</f>
        <v>0</v>
      </c>
      <c r="AQ89" s="28">
        <f>IF(AQ88=0,0,AQ88*MAX(0,(INDEX(c_CAMy,1,AQ$7)-INDEX(c_CAMy,1,INDEX('Lease Cycles'!$GC$12:$GI$12,1,AQ78)+1))*(1+'Lease Cycles'!$AK$12)+(INDEX(c_TAXy,1,AQ$7)-INDEX(c_TAXy,1,INDEX('Lease Cycles'!$GC$12:$GI$12,1,AQ78)+1))+(INDEX(c_INSy,1,AQ$7)-INDEX(c_INSy,1,INDEX('Lease Cycles'!$GC$12:$GI$12,1,AQ78)+1)))/12)</f>
        <v>0</v>
      </c>
      <c r="AR89" s="28">
        <f>IF(AR88=0,0,AR88*MAX(0,(INDEX(c_CAMy,1,AR$7)-INDEX(c_CAMy,1,INDEX('Lease Cycles'!$GC$12:$GI$12,1,AR78)+1))*(1+'Lease Cycles'!$AK$12)+(INDEX(c_TAXy,1,AR$7)-INDEX(c_TAXy,1,INDEX('Lease Cycles'!$GC$12:$GI$12,1,AR78)+1))+(INDEX(c_INSy,1,AR$7)-INDEX(c_INSy,1,INDEX('Lease Cycles'!$GC$12:$GI$12,1,AR78)+1)))/12)</f>
        <v>0</v>
      </c>
      <c r="AS89" s="28">
        <f>IF(AS88=0,0,AS88*MAX(0,(INDEX(c_CAMy,1,AS$7)-INDEX(c_CAMy,1,INDEX('Lease Cycles'!$GC$12:$GI$12,1,AS78)+1))*(1+'Lease Cycles'!$AK$12)+(INDEX(c_TAXy,1,AS$7)-INDEX(c_TAXy,1,INDEX('Lease Cycles'!$GC$12:$GI$12,1,AS78)+1))+(INDEX(c_INSy,1,AS$7)-INDEX(c_INSy,1,INDEX('Lease Cycles'!$GC$12:$GI$12,1,AS78)+1)))/12)</f>
        <v>0</v>
      </c>
      <c r="AT89" s="28">
        <f>IF(AT88=0,0,AT88*MAX(0,(INDEX(c_CAMy,1,AT$7)-INDEX(c_CAMy,1,INDEX('Lease Cycles'!$GC$12:$GI$12,1,AT78)+1))*(1+'Lease Cycles'!$AK$12)+(INDEX(c_TAXy,1,AT$7)-INDEX(c_TAXy,1,INDEX('Lease Cycles'!$GC$12:$GI$12,1,AT78)+1))+(INDEX(c_INSy,1,AT$7)-INDEX(c_INSy,1,INDEX('Lease Cycles'!$GC$12:$GI$12,1,AT78)+1)))/12)</f>
        <v>0</v>
      </c>
      <c r="AU89" s="28">
        <f>IF(AU88=0,0,AU88*MAX(0,(INDEX(c_CAMy,1,AU$7)-INDEX(c_CAMy,1,INDEX('Lease Cycles'!$GC$12:$GI$12,1,AU78)+1))*(1+'Lease Cycles'!$AK$12)+(INDEX(c_TAXy,1,AU$7)-INDEX(c_TAXy,1,INDEX('Lease Cycles'!$GC$12:$GI$12,1,AU78)+1))+(INDEX(c_INSy,1,AU$7)-INDEX(c_INSy,1,INDEX('Lease Cycles'!$GC$12:$GI$12,1,AU78)+1)))/12)</f>
        <v>0</v>
      </c>
      <c r="AV89" s="28">
        <f>IF(AV88=0,0,AV88*MAX(0,(INDEX(c_CAMy,1,AV$7)-INDEX(c_CAMy,1,INDEX('Lease Cycles'!$GC$12:$GI$12,1,AV78)+1))*(1+'Lease Cycles'!$AK$12)+(INDEX(c_TAXy,1,AV$7)-INDEX(c_TAXy,1,INDEX('Lease Cycles'!$GC$12:$GI$12,1,AV78)+1))+(INDEX(c_INSy,1,AV$7)-INDEX(c_INSy,1,INDEX('Lease Cycles'!$GC$12:$GI$12,1,AV78)+1)))/12)</f>
        <v>0</v>
      </c>
      <c r="AW89" s="28">
        <f>IF(AW88=0,0,AW88*MAX(0,(INDEX(c_CAMy,1,AW$7)-INDEX(c_CAMy,1,INDEX('Lease Cycles'!$GC$12:$GI$12,1,AW78)+1))*(1+'Lease Cycles'!$AK$12)+(INDEX(c_TAXy,1,AW$7)-INDEX(c_TAXy,1,INDEX('Lease Cycles'!$GC$12:$GI$12,1,AW78)+1))+(INDEX(c_INSy,1,AW$7)-INDEX(c_INSy,1,INDEX('Lease Cycles'!$GC$12:$GI$12,1,AW78)+1)))/12)</f>
        <v>0</v>
      </c>
      <c r="AX89" s="28">
        <f>IF(AX88=0,0,AX88*MAX(0,(INDEX(c_CAMy,1,AX$7)-INDEX(c_CAMy,1,INDEX('Lease Cycles'!$GC$12:$GI$12,1,AX78)+1))*(1+'Lease Cycles'!$AK$12)+(INDEX(c_TAXy,1,AX$7)-INDEX(c_TAXy,1,INDEX('Lease Cycles'!$GC$12:$GI$12,1,AX78)+1))+(INDEX(c_INSy,1,AX$7)-INDEX(c_INSy,1,INDEX('Lease Cycles'!$GC$12:$GI$12,1,AX78)+1)))/12)</f>
        <v>0</v>
      </c>
      <c r="AY89" s="28">
        <f>IF(AY88=0,0,AY88*MAX(0,(INDEX(c_CAMy,1,AY$7)-INDEX(c_CAMy,1,INDEX('Lease Cycles'!$GC$12:$GI$12,1,AY78)+1))*(1+'Lease Cycles'!$AK$12)+(INDEX(c_TAXy,1,AY$7)-INDEX(c_TAXy,1,INDEX('Lease Cycles'!$GC$12:$GI$12,1,AY78)+1))+(INDEX(c_INSy,1,AY$7)-INDEX(c_INSy,1,INDEX('Lease Cycles'!$GC$12:$GI$12,1,AY78)+1)))/12)</f>
        <v>0</v>
      </c>
      <c r="AZ89" s="28">
        <f>IF(AZ88=0,0,AZ88*MAX(0,(INDEX(c_CAMy,1,AZ$7)-INDEX(c_CAMy,1,INDEX('Lease Cycles'!$GC$12:$GI$12,1,AZ78)+1))*(1+'Lease Cycles'!$AK$12)+(INDEX(c_TAXy,1,AZ$7)-INDEX(c_TAXy,1,INDEX('Lease Cycles'!$GC$12:$GI$12,1,AZ78)+1))+(INDEX(c_INSy,1,AZ$7)-INDEX(c_INSy,1,INDEX('Lease Cycles'!$GC$12:$GI$12,1,AZ78)+1)))/12)</f>
        <v>0</v>
      </c>
      <c r="BA89" s="28">
        <f>IF(BA88=0,0,BA88*MAX(0,(INDEX(c_CAMy,1,BA$7)-INDEX(c_CAMy,1,INDEX('Lease Cycles'!$GC$12:$GI$12,1,BA78)+1))*(1+'Lease Cycles'!$AK$12)+(INDEX(c_TAXy,1,BA$7)-INDEX(c_TAXy,1,INDEX('Lease Cycles'!$GC$12:$GI$12,1,BA78)+1))+(INDEX(c_INSy,1,BA$7)-INDEX(c_INSy,1,INDEX('Lease Cycles'!$GC$12:$GI$12,1,BA78)+1)))/12)</f>
        <v>0</v>
      </c>
      <c r="BB89" s="28">
        <f>IF(BB88=0,0,BB88*MAX(0,(INDEX(c_CAMy,1,BB$7)-INDEX(c_CAMy,1,INDEX('Lease Cycles'!$GC$12:$GI$12,1,BB78)+1))*(1+'Lease Cycles'!$AK$12)+(INDEX(c_TAXy,1,BB$7)-INDEX(c_TAXy,1,INDEX('Lease Cycles'!$GC$12:$GI$12,1,BB78)+1))+(INDEX(c_INSy,1,BB$7)-INDEX(c_INSy,1,INDEX('Lease Cycles'!$GC$12:$GI$12,1,BB78)+1)))/12)</f>
        <v>0</v>
      </c>
      <c r="BC89" s="28">
        <f>IF(BC88=0,0,BC88*MAX(0,(INDEX(c_CAMy,1,BC$7)-INDEX(c_CAMy,1,INDEX('Lease Cycles'!$GC$12:$GI$12,1,BC78)+1))*(1+'Lease Cycles'!$AK$12)+(INDEX(c_TAXy,1,BC$7)-INDEX(c_TAXy,1,INDEX('Lease Cycles'!$GC$12:$GI$12,1,BC78)+1))+(INDEX(c_INSy,1,BC$7)-INDEX(c_INSy,1,INDEX('Lease Cycles'!$GC$12:$GI$12,1,BC78)+1)))/12)</f>
        <v>0</v>
      </c>
      <c r="BD89" s="28">
        <f>IF(BD88=0,0,BD88*MAX(0,(INDEX(c_CAMy,1,BD$7)-INDEX(c_CAMy,1,INDEX('Lease Cycles'!$GC$12:$GI$12,1,BD78)+1))*(1+'Lease Cycles'!$AK$12)+(INDEX(c_TAXy,1,BD$7)-INDEX(c_TAXy,1,INDEX('Lease Cycles'!$GC$12:$GI$12,1,BD78)+1))+(INDEX(c_INSy,1,BD$7)-INDEX(c_INSy,1,INDEX('Lease Cycles'!$GC$12:$GI$12,1,BD78)+1)))/12)</f>
        <v>0</v>
      </c>
      <c r="BE89" s="28">
        <f>IF(BE88=0,0,BE88*MAX(0,(INDEX(c_CAMy,1,BE$7)-INDEX(c_CAMy,1,INDEX('Lease Cycles'!$GC$12:$GI$12,1,BE78)+1))*(1+'Lease Cycles'!$AK$12)+(INDEX(c_TAXy,1,BE$7)-INDEX(c_TAXy,1,INDEX('Lease Cycles'!$GC$12:$GI$12,1,BE78)+1))+(INDEX(c_INSy,1,BE$7)-INDEX(c_INSy,1,INDEX('Lease Cycles'!$GC$12:$GI$12,1,BE78)+1)))/12)</f>
        <v>0</v>
      </c>
      <c r="BF89" s="28">
        <f>IF(BF88=0,0,BF88*MAX(0,(INDEX(c_CAMy,1,BF$7)-INDEX(c_CAMy,1,INDEX('Lease Cycles'!$GC$12:$GI$12,1,BF78)+1))*(1+'Lease Cycles'!$AK$12)+(INDEX(c_TAXy,1,BF$7)-INDEX(c_TAXy,1,INDEX('Lease Cycles'!$GC$12:$GI$12,1,BF78)+1))+(INDEX(c_INSy,1,BF$7)-INDEX(c_INSy,1,INDEX('Lease Cycles'!$GC$12:$GI$12,1,BF78)+1)))/12)</f>
        <v>0</v>
      </c>
      <c r="BG89" s="28">
        <f>IF(BG88=0,0,BG88*MAX(0,(INDEX(c_CAMy,1,BG$7)-INDEX(c_CAMy,1,INDEX('Lease Cycles'!$GC$12:$GI$12,1,BG78)+1))*(1+'Lease Cycles'!$AK$12)+(INDEX(c_TAXy,1,BG$7)-INDEX(c_TAXy,1,INDEX('Lease Cycles'!$GC$12:$GI$12,1,BG78)+1))+(INDEX(c_INSy,1,BG$7)-INDEX(c_INSy,1,INDEX('Lease Cycles'!$GC$12:$GI$12,1,BG78)+1)))/12)</f>
        <v>0</v>
      </c>
      <c r="BH89" s="28">
        <f>IF(BH88=0,0,BH88*MAX(0,(INDEX(c_CAMy,1,BH$7)-INDEX(c_CAMy,1,INDEX('Lease Cycles'!$GC$12:$GI$12,1,BH78)+1))*(1+'Lease Cycles'!$AK$12)+(INDEX(c_TAXy,1,BH$7)-INDEX(c_TAXy,1,INDEX('Lease Cycles'!$GC$12:$GI$12,1,BH78)+1))+(INDEX(c_INSy,1,BH$7)-INDEX(c_INSy,1,INDEX('Lease Cycles'!$GC$12:$GI$12,1,BH78)+1)))/12)</f>
        <v>0</v>
      </c>
      <c r="BI89" s="28">
        <f>IF(BI88=0,0,BI88*MAX(0,(INDEX(c_CAMy,1,BI$7)-INDEX(c_CAMy,1,INDEX('Lease Cycles'!$GC$12:$GI$12,1,BI78)+1))*(1+'Lease Cycles'!$AK$12)+(INDEX(c_TAXy,1,BI$7)-INDEX(c_TAXy,1,INDEX('Lease Cycles'!$GC$12:$GI$12,1,BI78)+1))+(INDEX(c_INSy,1,BI$7)-INDEX(c_INSy,1,INDEX('Lease Cycles'!$GC$12:$GI$12,1,BI78)+1)))/12)</f>
        <v>0</v>
      </c>
      <c r="BJ89" s="28">
        <f>IF(BJ88=0,0,BJ88*MAX(0,(INDEX(c_CAMy,1,BJ$7)-INDEX(c_CAMy,1,INDEX('Lease Cycles'!$GC$12:$GI$12,1,BJ78)+1))*(1+'Lease Cycles'!$AK$12)+(INDEX(c_TAXy,1,BJ$7)-INDEX(c_TAXy,1,INDEX('Lease Cycles'!$GC$12:$GI$12,1,BJ78)+1))+(INDEX(c_INSy,1,BJ$7)-INDEX(c_INSy,1,INDEX('Lease Cycles'!$GC$12:$GI$12,1,BJ78)+1)))/12)</f>
        <v>0</v>
      </c>
      <c r="BK89" s="28">
        <f>IF(BK88=0,0,BK88*MAX(0,(INDEX(c_CAMy,1,BK$7)-INDEX(c_CAMy,1,INDEX('Lease Cycles'!$GC$12:$GI$12,1,BK78)+1))*(1+'Lease Cycles'!$AK$12)+(INDEX(c_TAXy,1,BK$7)-INDEX(c_TAXy,1,INDEX('Lease Cycles'!$GC$12:$GI$12,1,BK78)+1))+(INDEX(c_INSy,1,BK$7)-INDEX(c_INSy,1,INDEX('Lease Cycles'!$GC$12:$GI$12,1,BK78)+1)))/12)</f>
        <v>0</v>
      </c>
      <c r="BL89" s="28">
        <f>IF(BL88=0,0,BL88*MAX(0,(INDEX(c_CAMy,1,BL$7)-INDEX(c_CAMy,1,INDEX('Lease Cycles'!$GC$12:$GI$12,1,BL78)+1))*(1+'Lease Cycles'!$AK$12)+(INDEX(c_TAXy,1,BL$7)-INDEX(c_TAXy,1,INDEX('Lease Cycles'!$GC$12:$GI$12,1,BL78)+1))+(INDEX(c_INSy,1,BL$7)-INDEX(c_INSy,1,INDEX('Lease Cycles'!$GC$12:$GI$12,1,BL78)+1)))/12)</f>
        <v>0</v>
      </c>
      <c r="BM89" s="28">
        <f>IF(BM88=0,0,BM88*MAX(0,(INDEX(c_CAMy,1,BM$7)-INDEX(c_CAMy,1,INDEX('Lease Cycles'!$GC$12:$GI$12,1,BM78)+1))*(1+'Lease Cycles'!$AK$12)+(INDEX(c_TAXy,1,BM$7)-INDEX(c_TAXy,1,INDEX('Lease Cycles'!$GC$12:$GI$12,1,BM78)+1))+(INDEX(c_INSy,1,BM$7)-INDEX(c_INSy,1,INDEX('Lease Cycles'!$GC$12:$GI$12,1,BM78)+1)))/12)</f>
        <v>0</v>
      </c>
      <c r="BN89" s="28">
        <f>IF(BN88=0,0,BN88*MAX(0,(INDEX(c_CAMy,1,BN$7)-INDEX(c_CAMy,1,INDEX('Lease Cycles'!$GC$12:$GI$12,1,BN78)+1))*(1+'Lease Cycles'!$AK$12)+(INDEX(c_TAXy,1,BN$7)-INDEX(c_TAXy,1,INDEX('Lease Cycles'!$GC$12:$GI$12,1,BN78)+1))+(INDEX(c_INSy,1,BN$7)-INDEX(c_INSy,1,INDEX('Lease Cycles'!$GC$12:$GI$12,1,BN78)+1)))/12)</f>
        <v>0</v>
      </c>
      <c r="BO89" s="28">
        <f>IF(BO88=0,0,BO88*MAX(0,(INDEX(c_CAMy,1,BO$7)-INDEX(c_CAMy,1,INDEX('Lease Cycles'!$GC$12:$GI$12,1,BO78)+1))*(1+'Lease Cycles'!$AK$12)+(INDEX(c_TAXy,1,BO$7)-INDEX(c_TAXy,1,INDEX('Lease Cycles'!$GC$12:$GI$12,1,BO78)+1))+(INDEX(c_INSy,1,BO$7)-INDEX(c_INSy,1,INDEX('Lease Cycles'!$GC$12:$GI$12,1,BO78)+1)))/12)</f>
        <v>0</v>
      </c>
      <c r="BP89" s="28">
        <f>IF(BP88=0,0,BP88*MAX(0,(INDEX(c_CAMy,1,BP$7)-INDEX(c_CAMy,1,INDEX('Lease Cycles'!$GC$12:$GI$12,1,BP78)+1))*(1+'Lease Cycles'!$AK$12)+(INDEX(c_TAXy,1,BP$7)-INDEX(c_TAXy,1,INDEX('Lease Cycles'!$GC$12:$GI$12,1,BP78)+1))+(INDEX(c_INSy,1,BP$7)-INDEX(c_INSy,1,INDEX('Lease Cycles'!$GC$12:$GI$12,1,BP78)+1)))/12)</f>
        <v>0</v>
      </c>
      <c r="BQ89" s="28">
        <f>IF(BQ88=0,0,BQ88*MAX(0,(INDEX(c_CAMy,1,BQ$7)-INDEX(c_CAMy,1,INDEX('Lease Cycles'!$GC$12:$GI$12,1,BQ78)+1))*(1+'Lease Cycles'!$AK$12)+(INDEX(c_TAXy,1,BQ$7)-INDEX(c_TAXy,1,INDEX('Lease Cycles'!$GC$12:$GI$12,1,BQ78)+1))+(INDEX(c_INSy,1,BQ$7)-INDEX(c_INSy,1,INDEX('Lease Cycles'!$GC$12:$GI$12,1,BQ78)+1)))/12)</f>
        <v>0</v>
      </c>
      <c r="BR89" s="28">
        <f>IF(BR88=0,0,BR88*MAX(0,(INDEX(c_CAMy,1,BR$7)-INDEX(c_CAMy,1,INDEX('Lease Cycles'!$GC$12:$GI$12,1,BR78)+1))*(1+'Lease Cycles'!$AK$12)+(INDEX(c_TAXy,1,BR$7)-INDEX(c_TAXy,1,INDEX('Lease Cycles'!$GC$12:$GI$12,1,BR78)+1))+(INDEX(c_INSy,1,BR$7)-INDEX(c_INSy,1,INDEX('Lease Cycles'!$GC$12:$GI$12,1,BR78)+1)))/12)</f>
        <v>0</v>
      </c>
      <c r="BS89" s="28">
        <f>IF(BS88=0,0,BS88*MAX(0,(INDEX(c_CAMy,1,BS$7)-INDEX(c_CAMy,1,INDEX('Lease Cycles'!$GC$12:$GI$12,1,BS78)+1))*(1+'Lease Cycles'!$AK$12)+(INDEX(c_TAXy,1,BS$7)-INDEX(c_TAXy,1,INDEX('Lease Cycles'!$GC$12:$GI$12,1,BS78)+1))+(INDEX(c_INSy,1,BS$7)-INDEX(c_INSy,1,INDEX('Lease Cycles'!$GC$12:$GI$12,1,BS78)+1)))/12)</f>
        <v>0</v>
      </c>
      <c r="BT89" s="28">
        <f>IF(BT88=0,0,BT88*MAX(0,(INDEX(c_CAMy,1,BT$7)-INDEX(c_CAMy,1,INDEX('Lease Cycles'!$GC$12:$GI$12,1,BT78)+1))*(1+'Lease Cycles'!$AK$12)+(INDEX(c_TAXy,1,BT$7)-INDEX(c_TAXy,1,INDEX('Lease Cycles'!$GC$12:$GI$12,1,BT78)+1))+(INDEX(c_INSy,1,BT$7)-INDEX(c_INSy,1,INDEX('Lease Cycles'!$GC$12:$GI$12,1,BT78)+1)))/12)</f>
        <v>0</v>
      </c>
      <c r="BU89" s="28">
        <f>IF(BU88=0,0,BU88*MAX(0,(INDEX(c_CAMy,1,BU$7)-INDEX(c_CAMy,1,INDEX('Lease Cycles'!$GC$12:$GI$12,1,BU78)+1))*(1+'Lease Cycles'!$AK$12)+(INDEX(c_TAXy,1,BU$7)-INDEX(c_TAXy,1,INDEX('Lease Cycles'!$GC$12:$GI$12,1,BU78)+1))+(INDEX(c_INSy,1,BU$7)-INDEX(c_INSy,1,INDEX('Lease Cycles'!$GC$12:$GI$12,1,BU78)+1)))/12)</f>
        <v>0</v>
      </c>
      <c r="BV89" s="28">
        <f>IF(BV88=0,0,BV88*MAX(0,(INDEX(c_CAMy,1,BV$7)-INDEX(c_CAMy,1,INDEX('Lease Cycles'!$GC$12:$GI$12,1,BV78)+1))*(1+'Lease Cycles'!$AK$12)+(INDEX(c_TAXy,1,BV$7)-INDEX(c_TAXy,1,INDEX('Lease Cycles'!$GC$12:$GI$12,1,BV78)+1))+(INDEX(c_INSy,1,BV$7)-INDEX(c_INSy,1,INDEX('Lease Cycles'!$GC$12:$GI$12,1,BV78)+1)))/12)</f>
        <v>0</v>
      </c>
      <c r="BW89" s="28">
        <f>IF(BW88=0,0,BW88*MAX(0,(INDEX(c_CAMy,1,BW$7)-INDEX(c_CAMy,1,INDEX('Lease Cycles'!$GC$12:$GI$12,1,BW78)+1))*(1+'Lease Cycles'!$AK$12)+(INDEX(c_TAXy,1,BW$7)-INDEX(c_TAXy,1,INDEX('Lease Cycles'!$GC$12:$GI$12,1,BW78)+1))+(INDEX(c_INSy,1,BW$7)-INDEX(c_INSy,1,INDEX('Lease Cycles'!$GC$12:$GI$12,1,BW78)+1)))/12)</f>
        <v>0</v>
      </c>
      <c r="BX89" s="28">
        <f>IF(BX88=0,0,BX88*MAX(0,(INDEX(c_CAMy,1,BX$7)-INDEX(c_CAMy,1,INDEX('Lease Cycles'!$GC$12:$GI$12,1,BX78)+1))*(1+'Lease Cycles'!$AK$12)+(INDEX(c_TAXy,1,BX$7)-INDEX(c_TAXy,1,INDEX('Lease Cycles'!$GC$12:$GI$12,1,BX78)+1))+(INDEX(c_INSy,1,BX$7)-INDEX(c_INSy,1,INDEX('Lease Cycles'!$GC$12:$GI$12,1,BX78)+1)))/12)</f>
        <v>0</v>
      </c>
      <c r="BY89" s="28">
        <f>IF(BY88=0,0,BY88*MAX(0,(INDEX(c_CAMy,1,BY$7)-INDEX(c_CAMy,1,INDEX('Lease Cycles'!$GC$12:$GI$12,1,BY78)+1))*(1+'Lease Cycles'!$AK$12)+(INDEX(c_TAXy,1,BY$7)-INDEX(c_TAXy,1,INDEX('Lease Cycles'!$GC$12:$GI$12,1,BY78)+1))+(INDEX(c_INSy,1,BY$7)-INDEX(c_INSy,1,INDEX('Lease Cycles'!$GC$12:$GI$12,1,BY78)+1)))/12)</f>
        <v>0</v>
      </c>
      <c r="BZ89" s="28">
        <f>IF(BZ88=0,0,BZ88*MAX(0,(INDEX(c_CAMy,1,BZ$7)-INDEX(c_CAMy,1,INDEX('Lease Cycles'!$GC$12:$GI$12,1,BZ78)+1))*(1+'Lease Cycles'!$AK$12)+(INDEX(c_TAXy,1,BZ$7)-INDEX(c_TAXy,1,INDEX('Lease Cycles'!$GC$12:$GI$12,1,BZ78)+1))+(INDEX(c_INSy,1,BZ$7)-INDEX(c_INSy,1,INDEX('Lease Cycles'!$GC$12:$GI$12,1,BZ78)+1)))/12)</f>
        <v>0</v>
      </c>
      <c r="CA89" s="28">
        <f>IF(CA88=0,0,CA88*MAX(0,(INDEX(c_CAMy,1,CA$7)-INDEX(c_CAMy,1,INDEX('Lease Cycles'!$GC$12:$GI$12,1,CA78)+1))*(1+'Lease Cycles'!$AK$12)+(INDEX(c_TAXy,1,CA$7)-INDEX(c_TAXy,1,INDEX('Lease Cycles'!$GC$12:$GI$12,1,CA78)+1))+(INDEX(c_INSy,1,CA$7)-INDEX(c_INSy,1,INDEX('Lease Cycles'!$GC$12:$GI$12,1,CA78)+1)))/12)</f>
        <v>0</v>
      </c>
      <c r="CB89" s="28">
        <f>IF(CB88=0,0,CB88*MAX(0,(INDEX(c_CAMy,1,CB$7)-INDEX(c_CAMy,1,INDEX('Lease Cycles'!$GC$12:$GI$12,1,CB78)+1))*(1+'Lease Cycles'!$AK$12)+(INDEX(c_TAXy,1,CB$7)-INDEX(c_TAXy,1,INDEX('Lease Cycles'!$GC$12:$GI$12,1,CB78)+1))+(INDEX(c_INSy,1,CB$7)-INDEX(c_INSy,1,INDEX('Lease Cycles'!$GC$12:$GI$12,1,CB78)+1)))/12)</f>
        <v>0</v>
      </c>
      <c r="CC89" s="28">
        <f>IF(CC88=0,0,CC88*MAX(0,(INDEX(c_CAMy,1,CC$7)-INDEX(c_CAMy,1,INDEX('Lease Cycles'!$GC$12:$GI$12,1,CC78)+1))*(1+'Lease Cycles'!$AK$12)+(INDEX(c_TAXy,1,CC$7)-INDEX(c_TAXy,1,INDEX('Lease Cycles'!$GC$12:$GI$12,1,CC78)+1))+(INDEX(c_INSy,1,CC$7)-INDEX(c_INSy,1,INDEX('Lease Cycles'!$GC$12:$GI$12,1,CC78)+1)))/12)</f>
        <v>0</v>
      </c>
      <c r="CD89" s="28">
        <f>IF(CD88=0,0,CD88*MAX(0,(INDEX(c_CAMy,1,CD$7)-INDEX(c_CAMy,1,INDEX('Lease Cycles'!$GC$12:$GI$12,1,CD78)+1))*(1+'Lease Cycles'!$AK$12)+(INDEX(c_TAXy,1,CD$7)-INDEX(c_TAXy,1,INDEX('Lease Cycles'!$GC$12:$GI$12,1,CD78)+1))+(INDEX(c_INSy,1,CD$7)-INDEX(c_INSy,1,INDEX('Lease Cycles'!$GC$12:$GI$12,1,CD78)+1)))/12)</f>
        <v>0</v>
      </c>
      <c r="CE89" s="28">
        <f>IF(CE88=0,0,CE88*MAX(0,(INDEX(c_CAMy,1,CE$7)-INDEX(c_CAMy,1,INDEX('Lease Cycles'!$GC$12:$GI$12,1,CE78)+1))*(1+'Lease Cycles'!$AK$12)+(INDEX(c_TAXy,1,CE$7)-INDEX(c_TAXy,1,INDEX('Lease Cycles'!$GC$12:$GI$12,1,CE78)+1))+(INDEX(c_INSy,1,CE$7)-INDEX(c_INSy,1,INDEX('Lease Cycles'!$GC$12:$GI$12,1,CE78)+1)))/12)</f>
        <v>0</v>
      </c>
      <c r="CF89" s="28">
        <f>IF(CF88=0,0,CF88*MAX(0,(INDEX(c_CAMy,1,CF$7)-INDEX(c_CAMy,1,INDEX('Lease Cycles'!$GC$12:$GI$12,1,CF78)+1))*(1+'Lease Cycles'!$AK$12)+(INDEX(c_TAXy,1,CF$7)-INDEX(c_TAXy,1,INDEX('Lease Cycles'!$GC$12:$GI$12,1,CF78)+1))+(INDEX(c_INSy,1,CF$7)-INDEX(c_INSy,1,INDEX('Lease Cycles'!$GC$12:$GI$12,1,CF78)+1)))/12)</f>
        <v>0</v>
      </c>
      <c r="CG89" s="28">
        <f>IF(CG88=0,0,CG88*MAX(0,(INDEX(c_CAMy,1,CG$7)-INDEX(c_CAMy,1,INDEX('Lease Cycles'!$GC$12:$GI$12,1,CG78)+1))*(1+'Lease Cycles'!$AK$12)+(INDEX(c_TAXy,1,CG$7)-INDEX(c_TAXy,1,INDEX('Lease Cycles'!$GC$12:$GI$12,1,CG78)+1))+(INDEX(c_INSy,1,CG$7)-INDEX(c_INSy,1,INDEX('Lease Cycles'!$GC$12:$GI$12,1,CG78)+1)))/12)</f>
        <v>0</v>
      </c>
      <c r="CH89" s="28">
        <f>IF(CH88=0,0,CH88*MAX(0,(INDEX(c_CAMy,1,CH$7)-INDEX(c_CAMy,1,INDEX('Lease Cycles'!$GC$12:$GI$12,1,CH78)+1))*(1+'Lease Cycles'!$AK$12)+(INDEX(c_TAXy,1,CH$7)-INDEX(c_TAXy,1,INDEX('Lease Cycles'!$GC$12:$GI$12,1,CH78)+1))+(INDEX(c_INSy,1,CH$7)-INDEX(c_INSy,1,INDEX('Lease Cycles'!$GC$12:$GI$12,1,CH78)+1)))/12)</f>
        <v>0</v>
      </c>
      <c r="CI89" s="28">
        <f>IF(CI88=0,0,CI88*MAX(0,(INDEX(c_CAMy,1,CI$7)-INDEX(c_CAMy,1,INDEX('Lease Cycles'!$GC$12:$GI$12,1,CI78)+1))*(1+'Lease Cycles'!$AK$12)+(INDEX(c_TAXy,1,CI$7)-INDEX(c_TAXy,1,INDEX('Lease Cycles'!$GC$12:$GI$12,1,CI78)+1))+(INDEX(c_INSy,1,CI$7)-INDEX(c_INSy,1,INDEX('Lease Cycles'!$GC$12:$GI$12,1,CI78)+1)))/12)</f>
        <v>0</v>
      </c>
      <c r="CJ89" s="28">
        <f>IF(CJ88=0,0,CJ88*MAX(0,(INDEX(c_CAMy,1,CJ$7)-INDEX(c_CAMy,1,INDEX('Lease Cycles'!$GC$12:$GI$12,1,CJ78)+1))*(1+'Lease Cycles'!$AK$12)+(INDEX(c_TAXy,1,CJ$7)-INDEX(c_TAXy,1,INDEX('Lease Cycles'!$GC$12:$GI$12,1,CJ78)+1))+(INDEX(c_INSy,1,CJ$7)-INDEX(c_INSy,1,INDEX('Lease Cycles'!$GC$12:$GI$12,1,CJ78)+1)))/12)</f>
        <v>0</v>
      </c>
      <c r="CK89" s="28">
        <f>IF(CK88=0,0,CK88*MAX(0,(INDEX(c_CAMy,1,CK$7)-INDEX(c_CAMy,1,INDEX('Lease Cycles'!$GC$12:$GI$12,1,CK78)+1))*(1+'Lease Cycles'!$AK$12)+(INDEX(c_TAXy,1,CK$7)-INDEX(c_TAXy,1,INDEX('Lease Cycles'!$GC$12:$GI$12,1,CK78)+1))+(INDEX(c_INSy,1,CK$7)-INDEX(c_INSy,1,INDEX('Lease Cycles'!$GC$12:$GI$12,1,CK78)+1)))/12)</f>
        <v>0</v>
      </c>
      <c r="CL89" s="28">
        <f>IF(CL88=0,0,CL88*MAX(0,(INDEX(c_CAMy,1,CL$7)-INDEX(c_CAMy,1,INDEX('Lease Cycles'!$GC$12:$GI$12,1,CL78)+1))*(1+'Lease Cycles'!$AK$12)+(INDEX(c_TAXy,1,CL$7)-INDEX(c_TAXy,1,INDEX('Lease Cycles'!$GC$12:$GI$12,1,CL78)+1))+(INDEX(c_INSy,1,CL$7)-INDEX(c_INSy,1,INDEX('Lease Cycles'!$GC$12:$GI$12,1,CL78)+1)))/12)</f>
        <v>0</v>
      </c>
      <c r="CM89" s="28">
        <f>IF(CM88=0,0,CM88*MAX(0,(INDEX(c_CAMy,1,CM$7)-INDEX(c_CAMy,1,INDEX('Lease Cycles'!$GC$12:$GI$12,1,CM78)+1))*(1+'Lease Cycles'!$AK$12)+(INDEX(c_TAXy,1,CM$7)-INDEX(c_TAXy,1,INDEX('Lease Cycles'!$GC$12:$GI$12,1,CM78)+1))+(INDEX(c_INSy,1,CM$7)-INDEX(c_INSy,1,INDEX('Lease Cycles'!$GC$12:$GI$12,1,CM78)+1)))/12)</f>
        <v>0</v>
      </c>
      <c r="CN89" s="28">
        <f>IF(CN88=0,0,CN88*MAX(0,(INDEX(c_CAMy,1,CN$7)-INDEX(c_CAMy,1,INDEX('Lease Cycles'!$GC$12:$GI$12,1,CN78)+1))*(1+'Lease Cycles'!$AK$12)+(INDEX(c_TAXy,1,CN$7)-INDEX(c_TAXy,1,INDEX('Lease Cycles'!$GC$12:$GI$12,1,CN78)+1))+(INDEX(c_INSy,1,CN$7)-INDEX(c_INSy,1,INDEX('Lease Cycles'!$GC$12:$GI$12,1,CN78)+1)))/12)</f>
        <v>0</v>
      </c>
      <c r="CO89" s="28">
        <f>IF(CO88=0,0,CO88*MAX(0,(INDEX(c_CAMy,1,CO$7)-INDEX(c_CAMy,1,INDEX('Lease Cycles'!$GC$12:$GI$12,1,CO78)+1))*(1+'Lease Cycles'!$AK$12)+(INDEX(c_TAXy,1,CO$7)-INDEX(c_TAXy,1,INDEX('Lease Cycles'!$GC$12:$GI$12,1,CO78)+1))+(INDEX(c_INSy,1,CO$7)-INDEX(c_INSy,1,INDEX('Lease Cycles'!$GC$12:$GI$12,1,CO78)+1)))/12)</f>
        <v>0</v>
      </c>
      <c r="CP89" s="28">
        <f>IF(CP88=0,0,CP88*MAX(0,(INDEX(c_CAMy,1,CP$7)-INDEX(c_CAMy,1,INDEX('Lease Cycles'!$GC$12:$GI$12,1,CP78)+1))*(1+'Lease Cycles'!$AK$12)+(INDEX(c_TAXy,1,CP$7)-INDEX(c_TAXy,1,INDEX('Lease Cycles'!$GC$12:$GI$12,1,CP78)+1))+(INDEX(c_INSy,1,CP$7)-INDEX(c_INSy,1,INDEX('Lease Cycles'!$GC$12:$GI$12,1,CP78)+1)))/12)</f>
        <v>0</v>
      </c>
      <c r="CQ89" s="28">
        <f>IF(CQ88=0,0,CQ88*MAX(0,(INDEX(c_CAMy,1,CQ$7)-INDEX(c_CAMy,1,INDEX('Lease Cycles'!$GC$12:$GI$12,1,CQ78)+1))*(1+'Lease Cycles'!$AK$12)+(INDEX(c_TAXy,1,CQ$7)-INDEX(c_TAXy,1,INDEX('Lease Cycles'!$GC$12:$GI$12,1,CQ78)+1))+(INDEX(c_INSy,1,CQ$7)-INDEX(c_INSy,1,INDEX('Lease Cycles'!$GC$12:$GI$12,1,CQ78)+1)))/12)</f>
        <v>0</v>
      </c>
      <c r="CR89" s="28">
        <f>IF(CR88=0,0,CR88*MAX(0,(INDEX(c_CAMy,1,CR$7)-INDEX(c_CAMy,1,INDEX('Lease Cycles'!$GC$12:$GI$12,1,CR78)+1))*(1+'Lease Cycles'!$AK$12)+(INDEX(c_TAXy,1,CR$7)-INDEX(c_TAXy,1,INDEX('Lease Cycles'!$GC$12:$GI$12,1,CR78)+1))+(INDEX(c_INSy,1,CR$7)-INDEX(c_INSy,1,INDEX('Lease Cycles'!$GC$12:$GI$12,1,CR78)+1)))/12)</f>
        <v>0</v>
      </c>
      <c r="CS89" s="28">
        <f>IF(CS88=0,0,CS88*MAX(0,(INDEX(c_CAMy,1,CS$7)-INDEX(c_CAMy,1,INDEX('Lease Cycles'!$GC$12:$GI$12,1,CS78)+1))*(1+'Lease Cycles'!$AK$12)+(INDEX(c_TAXy,1,CS$7)-INDEX(c_TAXy,1,INDEX('Lease Cycles'!$GC$12:$GI$12,1,CS78)+1))+(INDEX(c_INSy,1,CS$7)-INDEX(c_INSy,1,INDEX('Lease Cycles'!$GC$12:$GI$12,1,CS78)+1)))/12)</f>
        <v>0</v>
      </c>
      <c r="CT89" s="28">
        <f>IF(CT88=0,0,CT88*MAX(0,(INDEX(c_CAMy,1,CT$7)-INDEX(c_CAMy,1,INDEX('Lease Cycles'!$GC$12:$GI$12,1,CT78)+1))*(1+'Lease Cycles'!$AK$12)+(INDEX(c_TAXy,1,CT$7)-INDEX(c_TAXy,1,INDEX('Lease Cycles'!$GC$12:$GI$12,1,CT78)+1))+(INDEX(c_INSy,1,CT$7)-INDEX(c_INSy,1,INDEX('Lease Cycles'!$GC$12:$GI$12,1,CT78)+1)))/12)</f>
        <v>0</v>
      </c>
      <c r="CU89" s="28">
        <f>IF(CU88=0,0,CU88*MAX(0,(INDEX(c_CAMy,1,CU$7)-INDEX(c_CAMy,1,INDEX('Lease Cycles'!$GC$12:$GI$12,1,CU78)+1))*(1+'Lease Cycles'!$AK$12)+(INDEX(c_TAXy,1,CU$7)-INDEX(c_TAXy,1,INDEX('Lease Cycles'!$GC$12:$GI$12,1,CU78)+1))+(INDEX(c_INSy,1,CU$7)-INDEX(c_INSy,1,INDEX('Lease Cycles'!$GC$12:$GI$12,1,CU78)+1)))/12)</f>
        <v>0</v>
      </c>
      <c r="CV89" s="28">
        <f>IF(CV88=0,0,CV88*MAX(0,(INDEX(c_CAMy,1,CV$7)-INDEX(c_CAMy,1,INDEX('Lease Cycles'!$GC$12:$GI$12,1,CV78)+1))*(1+'Lease Cycles'!$AK$12)+(INDEX(c_TAXy,1,CV$7)-INDEX(c_TAXy,1,INDEX('Lease Cycles'!$GC$12:$GI$12,1,CV78)+1))+(INDEX(c_INSy,1,CV$7)-INDEX(c_INSy,1,INDEX('Lease Cycles'!$GC$12:$GI$12,1,CV78)+1)))/12)</f>
        <v>0</v>
      </c>
      <c r="CW89" s="28">
        <f>IF(CW88=0,0,CW88*MAX(0,(INDEX(c_CAMy,1,CW$7)-INDEX(c_CAMy,1,INDEX('Lease Cycles'!$GC$12:$GI$12,1,CW78)+1))*(1+'Lease Cycles'!$AK$12)+(INDEX(c_TAXy,1,CW$7)-INDEX(c_TAXy,1,INDEX('Lease Cycles'!$GC$12:$GI$12,1,CW78)+1))+(INDEX(c_INSy,1,CW$7)-INDEX(c_INSy,1,INDEX('Lease Cycles'!$GC$12:$GI$12,1,CW78)+1)))/12)</f>
        <v>0</v>
      </c>
      <c r="CX89" s="28">
        <f>IF(CX88=0,0,CX88*MAX(0,(INDEX(c_CAMy,1,CX$7)-INDEX(c_CAMy,1,INDEX('Lease Cycles'!$GC$12:$GI$12,1,CX78)+1))*(1+'Lease Cycles'!$AK$12)+(INDEX(c_TAXy,1,CX$7)-INDEX(c_TAXy,1,INDEX('Lease Cycles'!$GC$12:$GI$12,1,CX78)+1))+(INDEX(c_INSy,1,CX$7)-INDEX(c_INSy,1,INDEX('Lease Cycles'!$GC$12:$GI$12,1,CX78)+1)))/12)</f>
        <v>0</v>
      </c>
      <c r="CY89" s="28">
        <f>IF(CY88=0,0,CY88*MAX(0,(INDEX(c_CAMy,1,CY$7)-INDEX(c_CAMy,1,INDEX('Lease Cycles'!$GC$12:$GI$12,1,CY78)+1))*(1+'Lease Cycles'!$AK$12)+(INDEX(c_TAXy,1,CY$7)-INDEX(c_TAXy,1,INDEX('Lease Cycles'!$GC$12:$GI$12,1,CY78)+1))+(INDEX(c_INSy,1,CY$7)-INDEX(c_INSy,1,INDEX('Lease Cycles'!$GC$12:$GI$12,1,CY78)+1)))/12)</f>
        <v>0</v>
      </c>
      <c r="CZ89" s="28">
        <f>IF(CZ88=0,0,CZ88*MAX(0,(INDEX(c_CAMy,1,CZ$7)-INDEX(c_CAMy,1,INDEX('Lease Cycles'!$GC$12:$GI$12,1,CZ78)+1))*(1+'Lease Cycles'!$AK$12)+(INDEX(c_TAXy,1,CZ$7)-INDEX(c_TAXy,1,INDEX('Lease Cycles'!$GC$12:$GI$12,1,CZ78)+1))+(INDEX(c_INSy,1,CZ$7)-INDEX(c_INSy,1,INDEX('Lease Cycles'!$GC$12:$GI$12,1,CZ78)+1)))/12)</f>
        <v>0</v>
      </c>
      <c r="DA89" s="28">
        <f>IF(DA88=0,0,DA88*MAX(0,(INDEX(c_CAMy,1,DA$7)-INDEX(c_CAMy,1,INDEX('Lease Cycles'!$GC$12:$GI$12,1,DA78)+1))*(1+'Lease Cycles'!$AK$12)+(INDEX(c_TAXy,1,DA$7)-INDEX(c_TAXy,1,INDEX('Lease Cycles'!$GC$12:$GI$12,1,DA78)+1))+(INDEX(c_INSy,1,DA$7)-INDEX(c_INSy,1,INDEX('Lease Cycles'!$GC$12:$GI$12,1,DA78)+1)))/12)</f>
        <v>0</v>
      </c>
      <c r="DB89" s="28">
        <f>IF(DB88=0,0,DB88*MAX(0,(INDEX(c_CAMy,1,DB$7)-INDEX(c_CAMy,1,INDEX('Lease Cycles'!$GC$12:$GI$12,1,DB78)+1))*(1+'Lease Cycles'!$AK$12)+(INDEX(c_TAXy,1,DB$7)-INDEX(c_TAXy,1,INDEX('Lease Cycles'!$GC$12:$GI$12,1,DB78)+1))+(INDEX(c_INSy,1,DB$7)-INDEX(c_INSy,1,INDEX('Lease Cycles'!$GC$12:$GI$12,1,DB78)+1)))/12)</f>
        <v>0</v>
      </c>
      <c r="DC89" s="28">
        <f>IF(DC88=0,0,DC88*MAX(0,(INDEX(c_CAMy,1,DC$7)-INDEX(c_CAMy,1,INDEX('Lease Cycles'!$GC$12:$GI$12,1,DC78)+1))*(1+'Lease Cycles'!$AK$12)+(INDEX(c_TAXy,1,DC$7)-INDEX(c_TAXy,1,INDEX('Lease Cycles'!$GC$12:$GI$12,1,DC78)+1))+(INDEX(c_INSy,1,DC$7)-INDEX(c_INSy,1,INDEX('Lease Cycles'!$GC$12:$GI$12,1,DC78)+1)))/12)</f>
        <v>0</v>
      </c>
      <c r="DD89" s="28">
        <f>IF(DD88=0,0,DD88*MAX(0,(INDEX(c_CAMy,1,DD$7)-INDEX(c_CAMy,1,INDEX('Lease Cycles'!$GC$12:$GI$12,1,DD78)+1))*(1+'Lease Cycles'!$AK$12)+(INDEX(c_TAXy,1,DD$7)-INDEX(c_TAXy,1,INDEX('Lease Cycles'!$GC$12:$GI$12,1,DD78)+1))+(INDEX(c_INSy,1,DD$7)-INDEX(c_INSy,1,INDEX('Lease Cycles'!$GC$12:$GI$12,1,DD78)+1)))/12)</f>
        <v>0</v>
      </c>
      <c r="DE89" s="28">
        <f>IF(DE88=0,0,DE88*MAX(0,(INDEX(c_CAMy,1,DE$7)-INDEX(c_CAMy,1,INDEX('Lease Cycles'!$GC$12:$GI$12,1,DE78)+1))*(1+'Lease Cycles'!$AK$12)+(INDEX(c_TAXy,1,DE$7)-INDEX(c_TAXy,1,INDEX('Lease Cycles'!$GC$12:$GI$12,1,DE78)+1))+(INDEX(c_INSy,1,DE$7)-INDEX(c_INSy,1,INDEX('Lease Cycles'!$GC$12:$GI$12,1,DE78)+1)))/12)</f>
        <v>0</v>
      </c>
      <c r="DF89" s="28">
        <f>IF(DF88=0,0,DF88*MAX(0,(INDEX(c_CAMy,1,DF$7)-INDEX(c_CAMy,1,INDEX('Lease Cycles'!$GC$12:$GI$12,1,DF78)+1))*(1+'Lease Cycles'!$AK$12)+(INDEX(c_TAXy,1,DF$7)-INDEX(c_TAXy,1,INDEX('Lease Cycles'!$GC$12:$GI$12,1,DF78)+1))+(INDEX(c_INSy,1,DF$7)-INDEX(c_INSy,1,INDEX('Lease Cycles'!$GC$12:$GI$12,1,DF78)+1)))/12)</f>
        <v>0</v>
      </c>
      <c r="DG89" s="28">
        <f>IF(DG88=0,0,DG88*MAX(0,(INDEX(c_CAMy,1,DG$7)-INDEX(c_CAMy,1,INDEX('Lease Cycles'!$GC$12:$GI$12,1,DG78)+1))*(1+'Lease Cycles'!$AK$12)+(INDEX(c_TAXy,1,DG$7)-INDEX(c_TAXy,1,INDEX('Lease Cycles'!$GC$12:$GI$12,1,DG78)+1))+(INDEX(c_INSy,1,DG$7)-INDEX(c_INSy,1,INDEX('Lease Cycles'!$GC$12:$GI$12,1,DG78)+1)))/12)</f>
        <v>0</v>
      </c>
      <c r="DH89" s="28">
        <f>IF(DH88=0,0,DH88*MAX(0,(INDEX(c_CAMy,1,DH$7)-INDEX(c_CAMy,1,INDEX('Lease Cycles'!$GC$12:$GI$12,1,DH78)+1))*(1+'Lease Cycles'!$AK$12)+(INDEX(c_TAXy,1,DH$7)-INDEX(c_TAXy,1,INDEX('Lease Cycles'!$GC$12:$GI$12,1,DH78)+1))+(INDEX(c_INSy,1,DH$7)-INDEX(c_INSy,1,INDEX('Lease Cycles'!$GC$12:$GI$12,1,DH78)+1)))/12)</f>
        <v>0</v>
      </c>
      <c r="DI89" s="28">
        <f>IF(DI88=0,0,DI88*MAX(0,(INDEX(c_CAMy,1,DI$7)-INDEX(c_CAMy,1,INDEX('Lease Cycles'!$GC$12:$GI$12,1,DI78)+1))*(1+'Lease Cycles'!$AK$12)+(INDEX(c_TAXy,1,DI$7)-INDEX(c_TAXy,1,INDEX('Lease Cycles'!$GC$12:$GI$12,1,DI78)+1))+(INDEX(c_INSy,1,DI$7)-INDEX(c_INSy,1,INDEX('Lease Cycles'!$GC$12:$GI$12,1,DI78)+1)))/12)</f>
        <v>0</v>
      </c>
      <c r="DJ89" s="28">
        <f>IF(DJ88=0,0,DJ88*MAX(0,(INDEX(c_CAMy,1,DJ$7)-INDEX(c_CAMy,1,INDEX('Lease Cycles'!$GC$12:$GI$12,1,DJ78)+1))*(1+'Lease Cycles'!$AK$12)+(INDEX(c_TAXy,1,DJ$7)-INDEX(c_TAXy,1,INDEX('Lease Cycles'!$GC$12:$GI$12,1,DJ78)+1))+(INDEX(c_INSy,1,DJ$7)-INDEX(c_INSy,1,INDEX('Lease Cycles'!$GC$12:$GI$12,1,DJ78)+1)))/12)</f>
        <v>0</v>
      </c>
      <c r="DK89" s="28">
        <f>IF(DK88=0,0,DK88*MAX(0,(INDEX(c_CAMy,1,DK$7)-INDEX(c_CAMy,1,INDEX('Lease Cycles'!$GC$12:$GI$12,1,DK78)+1))*(1+'Lease Cycles'!$AK$12)+(INDEX(c_TAXy,1,DK$7)-INDEX(c_TAXy,1,INDEX('Lease Cycles'!$GC$12:$GI$12,1,DK78)+1))+(INDEX(c_INSy,1,DK$7)-INDEX(c_INSy,1,INDEX('Lease Cycles'!$GC$12:$GI$12,1,DK78)+1)))/12)</f>
        <v>0</v>
      </c>
      <c r="DL89" s="28">
        <f>IF(DL88=0,0,DL88*MAX(0,(INDEX(c_CAMy,1,DL$7)-INDEX(c_CAMy,1,INDEX('Lease Cycles'!$GC$12:$GI$12,1,DL78)+1))*(1+'Lease Cycles'!$AK$12)+(INDEX(c_TAXy,1,DL$7)-INDEX(c_TAXy,1,INDEX('Lease Cycles'!$GC$12:$GI$12,1,DL78)+1))+(INDEX(c_INSy,1,DL$7)-INDEX(c_INSy,1,INDEX('Lease Cycles'!$GC$12:$GI$12,1,DL78)+1)))/12)</f>
        <v>0</v>
      </c>
      <c r="DM89" s="28">
        <f>IF(DM88=0,0,DM88*MAX(0,(INDEX(c_CAMy,1,DM$7)-INDEX(c_CAMy,1,INDEX('Lease Cycles'!$GC$12:$GI$12,1,DM78)+1))*(1+'Lease Cycles'!$AK$12)+(INDEX(c_TAXy,1,DM$7)-INDEX(c_TAXy,1,INDEX('Lease Cycles'!$GC$12:$GI$12,1,DM78)+1))+(INDEX(c_INSy,1,DM$7)-INDEX(c_INSy,1,INDEX('Lease Cycles'!$GC$12:$GI$12,1,DM78)+1)))/12)</f>
        <v>0</v>
      </c>
      <c r="DN89" s="28">
        <f>IF(DN88=0,0,DN88*MAX(0,(INDEX(c_CAMy,1,DN$7)-INDEX(c_CAMy,1,INDEX('Lease Cycles'!$GC$12:$GI$12,1,DN78)+1))*(1+'Lease Cycles'!$AK$12)+(INDEX(c_TAXy,1,DN$7)-INDEX(c_TAXy,1,INDEX('Lease Cycles'!$GC$12:$GI$12,1,DN78)+1))+(INDEX(c_INSy,1,DN$7)-INDEX(c_INSy,1,INDEX('Lease Cycles'!$GC$12:$GI$12,1,DN78)+1)))/12)</f>
        <v>0</v>
      </c>
      <c r="DO89" s="28">
        <f>IF(DO88=0,0,DO88*MAX(0,(INDEX(c_CAMy,1,DO$7)-INDEX(c_CAMy,1,INDEX('Lease Cycles'!$GC$12:$GI$12,1,DO78)+1))*(1+'Lease Cycles'!$AK$12)+(INDEX(c_TAXy,1,DO$7)-INDEX(c_TAXy,1,INDEX('Lease Cycles'!$GC$12:$GI$12,1,DO78)+1))+(INDEX(c_INSy,1,DO$7)-INDEX(c_INSy,1,INDEX('Lease Cycles'!$GC$12:$GI$12,1,DO78)+1)))/12)</f>
        <v>0</v>
      </c>
      <c r="DP89" s="28">
        <f>IF(DP88=0,0,DP88*MAX(0,(INDEX(c_CAMy,1,DP$7)-INDEX(c_CAMy,1,INDEX('Lease Cycles'!$GC$12:$GI$12,1,DP78)+1))*(1+'Lease Cycles'!$AK$12)+(INDEX(c_TAXy,1,DP$7)-INDEX(c_TAXy,1,INDEX('Lease Cycles'!$GC$12:$GI$12,1,DP78)+1))+(INDEX(c_INSy,1,DP$7)-INDEX(c_INSy,1,INDEX('Lease Cycles'!$GC$12:$GI$12,1,DP78)+1)))/12)</f>
        <v>0</v>
      </c>
      <c r="DQ89" s="28">
        <f>IF(DQ88=0,0,DQ88*MAX(0,(INDEX(c_CAMy,1,DQ$7)-INDEX(c_CAMy,1,INDEX('Lease Cycles'!$GC$12:$GI$12,1,DQ78)+1))*(1+'Lease Cycles'!$AK$12)+(INDEX(c_TAXy,1,DQ$7)-INDEX(c_TAXy,1,INDEX('Lease Cycles'!$GC$12:$GI$12,1,DQ78)+1))+(INDEX(c_INSy,1,DQ$7)-INDEX(c_INSy,1,INDEX('Lease Cycles'!$GC$12:$GI$12,1,DQ78)+1)))/12)</f>
        <v>0</v>
      </c>
      <c r="DR89" s="28">
        <f>IF(DR88=0,0,DR88*MAX(0,(INDEX(c_CAMy,1,DR$7)-INDEX(c_CAMy,1,INDEX('Lease Cycles'!$GC$12:$GI$12,1,DR78)+1))*(1+'Lease Cycles'!$AK$12)+(INDEX(c_TAXy,1,DR$7)-INDEX(c_TAXy,1,INDEX('Lease Cycles'!$GC$12:$GI$12,1,DR78)+1))+(INDEX(c_INSy,1,DR$7)-INDEX(c_INSy,1,INDEX('Lease Cycles'!$GC$12:$GI$12,1,DR78)+1)))/12)</f>
        <v>0</v>
      </c>
      <c r="DS89" s="28">
        <f>IF(DS88=0,0,DS88*MAX(0,(INDEX(c_CAMy,1,DS$7)-INDEX(c_CAMy,1,INDEX('Lease Cycles'!$GC$12:$GI$12,1,DS78)+1))*(1+'Lease Cycles'!$AK$12)+(INDEX(c_TAXy,1,DS$7)-INDEX(c_TAXy,1,INDEX('Lease Cycles'!$GC$12:$GI$12,1,DS78)+1))+(INDEX(c_INSy,1,DS$7)-INDEX(c_INSy,1,INDEX('Lease Cycles'!$GC$12:$GI$12,1,DS78)+1)))/12)</f>
        <v>0</v>
      </c>
      <c r="DT89" s="28">
        <f>IF(DT88=0,0,DT88*MAX(0,(INDEX(c_CAMy,1,DT$7)-INDEX(c_CAMy,1,INDEX('Lease Cycles'!$GC$12:$GI$12,1,DT78)+1))*(1+'Lease Cycles'!$AK$12)+(INDEX(c_TAXy,1,DT$7)-INDEX(c_TAXy,1,INDEX('Lease Cycles'!$GC$12:$GI$12,1,DT78)+1))+(INDEX(c_INSy,1,DT$7)-INDEX(c_INSy,1,INDEX('Lease Cycles'!$GC$12:$GI$12,1,DT78)+1)))/12)</f>
        <v>0</v>
      </c>
      <c r="DU89" s="28">
        <f>IF(DU88=0,0,DU88*MAX(0,(INDEX(c_CAMy,1,DU$7)-INDEX(c_CAMy,1,INDEX('Lease Cycles'!$GC$12:$GI$12,1,DU78)+1))*(1+'Lease Cycles'!$AK$12)+(INDEX(c_TAXy,1,DU$7)-INDEX(c_TAXy,1,INDEX('Lease Cycles'!$GC$12:$GI$12,1,DU78)+1))+(INDEX(c_INSy,1,DU$7)-INDEX(c_INSy,1,INDEX('Lease Cycles'!$GC$12:$GI$12,1,DU78)+1)))/12)</f>
        <v>0</v>
      </c>
      <c r="DV89" s="28">
        <f>IF(DV88=0,0,DV88*MAX(0,(INDEX(c_CAMy,1,DV$7)-INDEX(c_CAMy,1,INDEX('Lease Cycles'!$GC$12:$GI$12,1,DV78)+1))*(1+'Lease Cycles'!$AK$12)+(INDEX(c_TAXy,1,DV$7)-INDEX(c_TAXy,1,INDEX('Lease Cycles'!$GC$12:$GI$12,1,DV78)+1))+(INDEX(c_INSy,1,DV$7)-INDEX(c_INSy,1,INDEX('Lease Cycles'!$GC$12:$GI$12,1,DV78)+1)))/12)</f>
        <v>0</v>
      </c>
      <c r="DW89" s="28">
        <f>IF(DW88=0,0,DW88*MAX(0,(INDEX(c_CAMy,1,DW$7)-INDEX(c_CAMy,1,INDEX('Lease Cycles'!$GC$12:$GI$12,1,DW78)+1))*(1+'Lease Cycles'!$AK$12)+(INDEX(c_TAXy,1,DW$7)-INDEX(c_TAXy,1,INDEX('Lease Cycles'!$GC$12:$GI$12,1,DW78)+1))+(INDEX(c_INSy,1,DW$7)-INDEX(c_INSy,1,INDEX('Lease Cycles'!$GC$12:$GI$12,1,DW78)+1)))/12)</f>
        <v>0</v>
      </c>
      <c r="DX89" s="28">
        <f>IF(DX88=0,0,DX88*MAX(0,(INDEX(c_CAMy,1,DX$7)-INDEX(c_CAMy,1,INDEX('Lease Cycles'!$GC$12:$GI$12,1,DX78)+1))*(1+'Lease Cycles'!$AK$12)+(INDEX(c_TAXy,1,DX$7)-INDEX(c_TAXy,1,INDEX('Lease Cycles'!$GC$12:$GI$12,1,DX78)+1))+(INDEX(c_INSy,1,DX$7)-INDEX(c_INSy,1,INDEX('Lease Cycles'!$GC$12:$GI$12,1,DX78)+1)))/12)</f>
        <v>0</v>
      </c>
      <c r="DY89" s="28">
        <f>IF(DY88=0,0,DY88*MAX(0,(INDEX(c_CAMy,1,DY$7)-INDEX(c_CAMy,1,INDEX('Lease Cycles'!$GC$12:$GI$12,1,DY78)+1))*(1+'Lease Cycles'!$AK$12)+(INDEX(c_TAXy,1,DY$7)-INDEX(c_TAXy,1,INDEX('Lease Cycles'!$GC$12:$GI$12,1,DY78)+1))+(INDEX(c_INSy,1,DY$7)-INDEX(c_INSy,1,INDEX('Lease Cycles'!$GC$12:$GI$12,1,DY78)+1)))/12)</f>
        <v>0</v>
      </c>
      <c r="DZ89" s="28">
        <f>IF(DZ88=0,0,DZ88*MAX(0,(INDEX(c_CAMy,1,DZ$7)-INDEX(c_CAMy,1,INDEX('Lease Cycles'!$GC$12:$GI$12,1,DZ78)+1))*(1+'Lease Cycles'!$AK$12)+(INDEX(c_TAXy,1,DZ$7)-INDEX(c_TAXy,1,INDEX('Lease Cycles'!$GC$12:$GI$12,1,DZ78)+1))+(INDEX(c_INSy,1,DZ$7)-INDEX(c_INSy,1,INDEX('Lease Cycles'!$GC$12:$GI$12,1,DZ78)+1)))/12)</f>
        <v>0</v>
      </c>
      <c r="EA89" s="28">
        <f>IF(EA88=0,0,EA88*MAX(0,(INDEX(c_CAMy,1,EA$7)-INDEX(c_CAMy,1,INDEX('Lease Cycles'!$GC$12:$GI$12,1,EA78)+1))*(1+'Lease Cycles'!$AK$12)+(INDEX(c_TAXy,1,EA$7)-INDEX(c_TAXy,1,INDEX('Lease Cycles'!$GC$12:$GI$12,1,EA78)+1))+(INDEX(c_INSy,1,EA$7)-INDEX(c_INSy,1,INDEX('Lease Cycles'!$GC$12:$GI$12,1,EA78)+1)))/12)</f>
        <v>0</v>
      </c>
      <c r="EB89" s="28">
        <f>IF(EB88=0,0,EB88*MAX(0,(INDEX(c_CAMy,1,EB$7)-INDEX(c_CAMy,1,INDEX('Lease Cycles'!$GC$12:$GI$12,1,EB78)+1))*(1+'Lease Cycles'!$AK$12)+(INDEX(c_TAXy,1,EB$7)-INDEX(c_TAXy,1,INDEX('Lease Cycles'!$GC$12:$GI$12,1,EB78)+1))+(INDEX(c_INSy,1,EB$7)-INDEX(c_INSy,1,INDEX('Lease Cycles'!$GC$12:$GI$12,1,EB78)+1)))/12)</f>
        <v>0</v>
      </c>
      <c r="EC89" s="28">
        <f>IF(EC88=0,0,EC88*MAX(0,(INDEX(c_CAMy,1,EC$7)-INDEX(c_CAMy,1,INDEX('Lease Cycles'!$GC$12:$GI$12,1,EC78)+1))*(1+'Lease Cycles'!$AK$12)+(INDEX(c_TAXy,1,EC$7)-INDEX(c_TAXy,1,INDEX('Lease Cycles'!$GC$12:$GI$12,1,EC78)+1))+(INDEX(c_INSy,1,EC$7)-INDEX(c_INSy,1,INDEX('Lease Cycles'!$GC$12:$GI$12,1,EC78)+1)))/12)</f>
        <v>0</v>
      </c>
      <c r="ED89" s="28">
        <f>IF(ED88=0,0,ED88*MAX(0,(INDEX(c_CAMy,1,ED$7)-INDEX(c_CAMy,1,INDEX('Lease Cycles'!$GC$12:$GI$12,1,ED78)+1))*(1+'Lease Cycles'!$AK$12)+(INDEX(c_TAXy,1,ED$7)-INDEX(c_TAXy,1,INDEX('Lease Cycles'!$GC$12:$GI$12,1,ED78)+1))+(INDEX(c_INSy,1,ED$7)-INDEX(c_INSy,1,INDEX('Lease Cycles'!$GC$12:$GI$12,1,ED78)+1)))/12)</f>
        <v>0</v>
      </c>
      <c r="EE89" s="28">
        <f>IF(EE88=0,0,EE88*MAX(0,(INDEX(c_CAMy,1,EE$7)-INDEX(c_CAMy,1,INDEX('Lease Cycles'!$GC$12:$GI$12,1,EE78)+1))*(1+'Lease Cycles'!$AK$12)+(INDEX(c_TAXy,1,EE$7)-INDEX(c_TAXy,1,INDEX('Lease Cycles'!$GC$12:$GI$12,1,EE78)+1))+(INDEX(c_INSy,1,EE$7)-INDEX(c_INSy,1,INDEX('Lease Cycles'!$GC$12:$GI$12,1,EE78)+1)))/12)</f>
        <v>0</v>
      </c>
      <c r="EF89" s="28">
        <f>IF(EF88=0,0,EF88*MAX(0,(INDEX(c_CAMy,1,EF$7)-INDEX(c_CAMy,1,INDEX('Lease Cycles'!$GC$12:$GI$12,1,EF78)+1))*(1+'Lease Cycles'!$AK$12)+(INDEX(c_TAXy,1,EF$7)-INDEX(c_TAXy,1,INDEX('Lease Cycles'!$GC$12:$GI$12,1,EF78)+1))+(INDEX(c_INSy,1,EF$7)-INDEX(c_INSy,1,INDEX('Lease Cycles'!$GC$12:$GI$12,1,EF78)+1)))/12)</f>
        <v>0</v>
      </c>
      <c r="EG89" s="28">
        <f>IF(EG88=0,0,EG88*MAX(0,(INDEX(c_CAMy,1,EG$7)-INDEX(c_CAMy,1,INDEX('Lease Cycles'!$GC$12:$GI$12,1,EG78)+1))*(1+'Lease Cycles'!$AK$12)+(INDEX(c_TAXy,1,EG$7)-INDEX(c_TAXy,1,INDEX('Lease Cycles'!$GC$12:$GI$12,1,EG78)+1))+(INDEX(c_INSy,1,EG$7)-INDEX(c_INSy,1,INDEX('Lease Cycles'!$GC$12:$GI$12,1,EG78)+1)))/12)</f>
        <v>0</v>
      </c>
      <c r="EH89" s="28">
        <f>IF(EH88=0,0,EH88*MAX(0,(INDEX(c_CAMy,1,EH$7)-INDEX(c_CAMy,1,INDEX('Lease Cycles'!$GC$12:$GI$12,1,EH78)+1))*(1+'Lease Cycles'!$AK$12)+(INDEX(c_TAXy,1,EH$7)-INDEX(c_TAXy,1,INDEX('Lease Cycles'!$GC$12:$GI$12,1,EH78)+1))+(INDEX(c_INSy,1,EH$7)-INDEX(c_INSy,1,INDEX('Lease Cycles'!$GC$12:$GI$12,1,EH78)+1)))/12)</f>
        <v>0</v>
      </c>
      <c r="EI89" s="28">
        <f>IF(EI88=0,0,EI88*MAX(0,(INDEX(c_CAMy,1,EI$7)-INDEX(c_CAMy,1,INDEX('Lease Cycles'!$GC$12:$GI$12,1,EI78)+1))*(1+'Lease Cycles'!$AK$12)+(INDEX(c_TAXy,1,EI$7)-INDEX(c_TAXy,1,INDEX('Lease Cycles'!$GC$12:$GI$12,1,EI78)+1))+(INDEX(c_INSy,1,EI$7)-INDEX(c_INSy,1,INDEX('Lease Cycles'!$GC$12:$GI$12,1,EI78)+1)))/12)</f>
        <v>0</v>
      </c>
      <c r="EJ89" s="28">
        <f>IF(EJ88=0,0,EJ88*MAX(0,(INDEX(c_CAMy,1,EJ$7)-INDEX(c_CAMy,1,INDEX('Lease Cycles'!$GC$12:$GI$12,1,EJ78)+1))*(1+'Lease Cycles'!$AK$12)+(INDEX(c_TAXy,1,EJ$7)-INDEX(c_TAXy,1,INDEX('Lease Cycles'!$GC$12:$GI$12,1,EJ78)+1))+(INDEX(c_INSy,1,EJ$7)-INDEX(c_INSy,1,INDEX('Lease Cycles'!$GC$12:$GI$12,1,EJ78)+1)))/12)</f>
        <v>0</v>
      </c>
      <c r="EK89" s="28">
        <f>IF(EK88=0,0,EK88*MAX(0,(INDEX(c_CAMy,1,EK$7)-INDEX(c_CAMy,1,INDEX('Lease Cycles'!$GC$12:$GI$12,1,EK78)+1))*(1+'Lease Cycles'!$AK$12)+(INDEX(c_TAXy,1,EK$7)-INDEX(c_TAXy,1,INDEX('Lease Cycles'!$GC$12:$GI$12,1,EK78)+1))+(INDEX(c_INSy,1,EK$7)-INDEX(c_INSy,1,INDEX('Lease Cycles'!$GC$12:$GI$12,1,EK78)+1)))/12)</f>
        <v>0</v>
      </c>
      <c r="EL89" s="28">
        <f>IF(EL88=0,0,EL88*MAX(0,(INDEX(c_CAMy,1,EL$7)-INDEX(c_CAMy,1,INDEX('Lease Cycles'!$GC$12:$GI$12,1,EL78)+1))*(1+'Lease Cycles'!$AK$12)+(INDEX(c_TAXy,1,EL$7)-INDEX(c_TAXy,1,INDEX('Lease Cycles'!$GC$12:$GI$12,1,EL78)+1))+(INDEX(c_INSy,1,EL$7)-INDEX(c_INSy,1,INDEX('Lease Cycles'!$GC$12:$GI$12,1,EL78)+1)))/12)</f>
        <v>0</v>
      </c>
      <c r="EM89" s="28">
        <f>IF(EM88=0,0,EM88*MAX(0,(INDEX(c_CAMy,1,EM$7)-INDEX(c_CAMy,1,INDEX('Lease Cycles'!$GC$12:$GI$12,1,EM78)+1))*(1+'Lease Cycles'!$AK$12)+(INDEX(c_TAXy,1,EM$7)-INDEX(c_TAXy,1,INDEX('Lease Cycles'!$GC$12:$GI$12,1,EM78)+1))+(INDEX(c_INSy,1,EM$7)-INDEX(c_INSy,1,INDEX('Lease Cycles'!$GC$12:$GI$12,1,EM78)+1)))/12)</f>
        <v>0</v>
      </c>
      <c r="EN89" s="28">
        <f>IF(EN88=0,0,EN88*MAX(0,(INDEX(c_CAMy,1,EN$7)-INDEX(c_CAMy,1,INDEX('Lease Cycles'!$GC$12:$GI$12,1,EN78)+1))*(1+'Lease Cycles'!$AK$12)+(INDEX(c_TAXy,1,EN$7)-INDEX(c_TAXy,1,INDEX('Lease Cycles'!$GC$12:$GI$12,1,EN78)+1))+(INDEX(c_INSy,1,EN$7)-INDEX(c_INSy,1,INDEX('Lease Cycles'!$GC$12:$GI$12,1,EN78)+1)))/12)</f>
        <v>0</v>
      </c>
      <c r="EO89" s="28">
        <f>IF(EO88=0,0,EO88*MAX(0,(INDEX(c_CAMy,1,EO$7)-INDEX(c_CAMy,1,INDEX('Lease Cycles'!$GC$12:$GI$12,1,EO78)+1))*(1+'Lease Cycles'!$AK$12)+(INDEX(c_TAXy,1,EO$7)-INDEX(c_TAXy,1,INDEX('Lease Cycles'!$GC$12:$GI$12,1,EO78)+1))+(INDEX(c_INSy,1,EO$7)-INDEX(c_INSy,1,INDEX('Lease Cycles'!$GC$12:$GI$12,1,EO78)+1)))/12)</f>
        <v>0</v>
      </c>
      <c r="EP89" s="28">
        <f>IF(EP88=0,0,EP88*MAX(0,(INDEX(c_CAMy,1,EP$7)-INDEX(c_CAMy,1,INDEX('Lease Cycles'!$GC$12:$GI$12,1,EP78)+1))*(1+'Lease Cycles'!$AK$12)+(INDEX(c_TAXy,1,EP$7)-INDEX(c_TAXy,1,INDEX('Lease Cycles'!$GC$12:$GI$12,1,EP78)+1))+(INDEX(c_INSy,1,EP$7)-INDEX(c_INSy,1,INDEX('Lease Cycles'!$GC$12:$GI$12,1,EP78)+1)))/12)</f>
        <v>0</v>
      </c>
      <c r="EQ89" s="28">
        <f>IF(EQ88=0,0,EQ88*MAX(0,(INDEX(c_CAMy,1,EQ$7)-INDEX(c_CAMy,1,INDEX('Lease Cycles'!$GC$12:$GI$12,1,EQ78)+1))*(1+'Lease Cycles'!$AK$12)+(INDEX(c_TAXy,1,EQ$7)-INDEX(c_TAXy,1,INDEX('Lease Cycles'!$GC$12:$GI$12,1,EQ78)+1))+(INDEX(c_INSy,1,EQ$7)-INDEX(c_INSy,1,INDEX('Lease Cycles'!$GC$12:$GI$12,1,EQ78)+1)))/12)</f>
        <v>0</v>
      </c>
      <c r="ER89" s="28">
        <f>IF(ER88=0,0,ER88*MAX(0,(INDEX(c_CAMy,1,ER$7)-INDEX(c_CAMy,1,INDEX('Lease Cycles'!$GC$12:$GI$12,1,ER78)+1))*(1+'Lease Cycles'!$AK$12)+(INDEX(c_TAXy,1,ER$7)-INDEX(c_TAXy,1,INDEX('Lease Cycles'!$GC$12:$GI$12,1,ER78)+1))+(INDEX(c_INSy,1,ER$7)-INDEX(c_INSy,1,INDEX('Lease Cycles'!$GC$12:$GI$12,1,ER78)+1)))/12)</f>
        <v>0</v>
      </c>
      <c r="ES89" s="28">
        <f>IF(ES88=0,0,ES88*MAX(0,(INDEX(c_CAMy,1,ES$7)-INDEX(c_CAMy,1,INDEX('Lease Cycles'!$GC$12:$GI$12,1,ES78)+1))*(1+'Lease Cycles'!$AK$12)+(INDEX(c_TAXy,1,ES$7)-INDEX(c_TAXy,1,INDEX('Lease Cycles'!$GC$12:$GI$12,1,ES78)+1))+(INDEX(c_INSy,1,ES$7)-INDEX(c_INSy,1,INDEX('Lease Cycles'!$GC$12:$GI$12,1,ES78)+1)))/12)</f>
        <v>0</v>
      </c>
      <c r="ET89" s="28">
        <f>IF(ET88=0,0,ET88*MAX(0,(INDEX(c_CAMy,1,ET$7)-INDEX(c_CAMy,1,INDEX('Lease Cycles'!$GC$12:$GI$12,1,ET78)+1))*(1+'Lease Cycles'!$AK$12)+(INDEX(c_TAXy,1,ET$7)-INDEX(c_TAXy,1,INDEX('Lease Cycles'!$GC$12:$GI$12,1,ET78)+1))+(INDEX(c_INSy,1,ET$7)-INDEX(c_INSy,1,INDEX('Lease Cycles'!$GC$12:$GI$12,1,ET78)+1)))/12)</f>
        <v>0</v>
      </c>
    </row>
    <row r="90">
      <c r="A90" s="103">
        <v>5</v>
      </c>
      <c r="B90" s="23" t="str">
        <f>IF('Lease Cycles'!$B$12="","(empty slot)",'Lease Cycles'!$B$12)</f>
        <v>Sunfield Pizza</v>
      </c>
      <c r="C90" s="23" t="s">
        <v>530</v>
      </c>
      <c r="D90" s="104" t="s">
        <v>531</v>
      </c>
      <c r="E90" s="25">
        <f>'Lease Cycles'!$AL$12</f>
        <v>0</v>
      </c>
      <c r="G90" s="28">
        <f>SUM(S90:AD90)</f>
        <v>0</v>
      </c>
      <c r="H90" s="28">
        <f>SUM(AE90:AP90)</f>
        <v>14541.58339276819</v>
      </c>
      <c r="I90" s="28">
        <f>SUM(AQ90:BB90)</f>
        <v>0</v>
      </c>
      <c r="J90" s="28">
        <f>SUM(BC90:BN90)</f>
        <v>0</v>
      </c>
      <c r="K90" s="28">
        <f>SUM(BO90:BZ90)</f>
        <v>0</v>
      </c>
      <c r="L90" s="28">
        <f>SUM(CA90:CL90)</f>
        <v>0</v>
      </c>
      <c r="M90" s="28">
        <f>SUM(CM90:CX90)</f>
        <v>0</v>
      </c>
      <c r="N90" s="28">
        <f>SUM(CY90:DJ90)</f>
        <v>0</v>
      </c>
      <c r="O90" s="28">
        <f>SUM(DK90:DV90)</f>
        <v>0</v>
      </c>
      <c r="P90" s="28">
        <f>SUM(DW90:EH90)</f>
        <v>16814.332237696388</v>
      </c>
      <c r="Q90" s="28">
        <f>SUM(EI90:ET90)</f>
        <v>0</v>
      </c>
      <c r="S90" s="28">
        <f>SUMIF('Lease Cycles'!$HL$12:$HR$12,S$6,'Lease Cycles'!$HS$12:$HY$12)</f>
        <v>0</v>
      </c>
      <c r="T90" s="28">
        <f>SUMIF('Lease Cycles'!$HL$12:$HR$12,T$6,'Lease Cycles'!$HS$12:$HY$12)</f>
        <v>0</v>
      </c>
      <c r="U90" s="28">
        <f>SUMIF('Lease Cycles'!$HL$12:$HR$12,U$6,'Lease Cycles'!$HS$12:$HY$12)</f>
        <v>0</v>
      </c>
      <c r="V90" s="28">
        <f>SUMIF('Lease Cycles'!$HL$12:$HR$12,V$6,'Lease Cycles'!$HS$12:$HY$12)</f>
        <v>0</v>
      </c>
      <c r="W90" s="28">
        <f>SUMIF('Lease Cycles'!$HL$12:$HR$12,W$6,'Lease Cycles'!$HS$12:$HY$12)</f>
        <v>0</v>
      </c>
      <c r="X90" s="28">
        <f>SUMIF('Lease Cycles'!$HL$12:$HR$12,X$6,'Lease Cycles'!$HS$12:$HY$12)</f>
        <v>0</v>
      </c>
      <c r="Y90" s="28">
        <f>SUMIF('Lease Cycles'!$HL$12:$HR$12,Y$6,'Lease Cycles'!$HS$12:$HY$12)</f>
        <v>0</v>
      </c>
      <c r="Z90" s="28">
        <f>SUMIF('Lease Cycles'!$HL$12:$HR$12,Z$6,'Lease Cycles'!$HS$12:$HY$12)</f>
        <v>0</v>
      </c>
      <c r="AA90" s="28">
        <f>SUMIF('Lease Cycles'!$HL$12:$HR$12,AA$6,'Lease Cycles'!$HS$12:$HY$12)</f>
        <v>0</v>
      </c>
      <c r="AB90" s="28">
        <f>SUMIF('Lease Cycles'!$HL$12:$HR$12,AB$6,'Lease Cycles'!$HS$12:$HY$12)</f>
        <v>0</v>
      </c>
      <c r="AC90" s="28">
        <f>SUMIF('Lease Cycles'!$HL$12:$HR$12,AC$6,'Lease Cycles'!$HS$12:$HY$12)</f>
        <v>0</v>
      </c>
      <c r="AD90" s="28">
        <f>SUMIF('Lease Cycles'!$HL$12:$HR$12,AD$6,'Lease Cycles'!$HS$12:$HY$12)</f>
        <v>0</v>
      </c>
      <c r="AE90" s="28">
        <f>SUMIF('Lease Cycles'!$HL$12:$HR$12,AE$6,'Lease Cycles'!$HS$12:$HY$12)</f>
        <v>0</v>
      </c>
      <c r="AF90" s="28">
        <f>SUMIF('Lease Cycles'!$HL$12:$HR$12,AF$6,'Lease Cycles'!$HS$12:$HY$12)</f>
        <v>0</v>
      </c>
      <c r="AG90" s="28">
        <f>SUMIF('Lease Cycles'!$HL$12:$HR$12,AG$6,'Lease Cycles'!$HS$12:$HY$12)</f>
        <v>0</v>
      </c>
      <c r="AH90" s="28">
        <f>SUMIF('Lease Cycles'!$HL$12:$HR$12,AH$6,'Lease Cycles'!$HS$12:$HY$12)</f>
        <v>0</v>
      </c>
      <c r="AI90" s="28">
        <f>SUMIF('Lease Cycles'!$HL$12:$HR$12,AI$6,'Lease Cycles'!$HS$12:$HY$12)</f>
        <v>0</v>
      </c>
      <c r="AJ90" s="28">
        <f>SUMIF('Lease Cycles'!$HL$12:$HR$12,AJ$6,'Lease Cycles'!$HS$12:$HY$12)</f>
        <v>0</v>
      </c>
      <c r="AK90" s="28">
        <f>SUMIF('Lease Cycles'!$HL$12:$HR$12,AK$6,'Lease Cycles'!$HS$12:$HY$12)</f>
        <v>0</v>
      </c>
      <c r="AL90" s="28">
        <f>SUMIF('Lease Cycles'!$HL$12:$HR$12,AL$6,'Lease Cycles'!$HS$12:$HY$12)</f>
        <v>0</v>
      </c>
      <c r="AM90" s="28">
        <f>SUMIF('Lease Cycles'!$HL$12:$HR$12,AM$6,'Lease Cycles'!$HS$12:$HY$12)</f>
        <v>0</v>
      </c>
      <c r="AN90" s="28">
        <f>SUMIF('Lease Cycles'!$HL$12:$HR$12,AN$6,'Lease Cycles'!$HS$12:$HY$12)</f>
        <v>0</v>
      </c>
      <c r="AO90" s="28">
        <f>SUMIF('Lease Cycles'!$HL$12:$HR$12,AO$6,'Lease Cycles'!$HS$12:$HY$12)</f>
        <v>0</v>
      </c>
      <c r="AP90" s="28">
        <f>SUMIF('Lease Cycles'!$HL$12:$HR$12,AP$6,'Lease Cycles'!$HS$12:$HY$12)</f>
        <v>14541.58339276819</v>
      </c>
      <c r="AQ90" s="28">
        <f>SUMIF('Lease Cycles'!$HL$12:$HR$12,AQ$6,'Lease Cycles'!$HS$12:$HY$12)</f>
        <v>0</v>
      </c>
      <c r="AR90" s="28">
        <f>SUMIF('Lease Cycles'!$HL$12:$HR$12,AR$6,'Lease Cycles'!$HS$12:$HY$12)</f>
        <v>0</v>
      </c>
      <c r="AS90" s="28">
        <f>SUMIF('Lease Cycles'!$HL$12:$HR$12,AS$6,'Lease Cycles'!$HS$12:$HY$12)</f>
        <v>0</v>
      </c>
      <c r="AT90" s="28">
        <f>SUMIF('Lease Cycles'!$HL$12:$HR$12,AT$6,'Lease Cycles'!$HS$12:$HY$12)</f>
        <v>0</v>
      </c>
      <c r="AU90" s="28">
        <f>SUMIF('Lease Cycles'!$HL$12:$HR$12,AU$6,'Lease Cycles'!$HS$12:$HY$12)</f>
        <v>0</v>
      </c>
      <c r="AV90" s="28">
        <f>SUMIF('Lease Cycles'!$HL$12:$HR$12,AV$6,'Lease Cycles'!$HS$12:$HY$12)</f>
        <v>0</v>
      </c>
      <c r="AW90" s="28">
        <f>SUMIF('Lease Cycles'!$HL$12:$HR$12,AW$6,'Lease Cycles'!$HS$12:$HY$12)</f>
        <v>0</v>
      </c>
      <c r="AX90" s="28">
        <f>SUMIF('Lease Cycles'!$HL$12:$HR$12,AX$6,'Lease Cycles'!$HS$12:$HY$12)</f>
        <v>0</v>
      </c>
      <c r="AY90" s="28">
        <f>SUMIF('Lease Cycles'!$HL$12:$HR$12,AY$6,'Lease Cycles'!$HS$12:$HY$12)</f>
        <v>0</v>
      </c>
      <c r="AZ90" s="28">
        <f>SUMIF('Lease Cycles'!$HL$12:$HR$12,AZ$6,'Lease Cycles'!$HS$12:$HY$12)</f>
        <v>0</v>
      </c>
      <c r="BA90" s="28">
        <f>SUMIF('Lease Cycles'!$HL$12:$HR$12,BA$6,'Lease Cycles'!$HS$12:$HY$12)</f>
        <v>0</v>
      </c>
      <c r="BB90" s="28">
        <f>SUMIF('Lease Cycles'!$HL$12:$HR$12,BB$6,'Lease Cycles'!$HS$12:$HY$12)</f>
        <v>0</v>
      </c>
      <c r="BC90" s="28">
        <f>SUMIF('Lease Cycles'!$HL$12:$HR$12,BC$6,'Lease Cycles'!$HS$12:$HY$12)</f>
        <v>0</v>
      </c>
      <c r="BD90" s="28">
        <f>SUMIF('Lease Cycles'!$HL$12:$HR$12,BD$6,'Lease Cycles'!$HS$12:$HY$12)</f>
        <v>0</v>
      </c>
      <c r="BE90" s="28">
        <f>SUMIF('Lease Cycles'!$HL$12:$HR$12,BE$6,'Lease Cycles'!$HS$12:$HY$12)</f>
        <v>0</v>
      </c>
      <c r="BF90" s="28">
        <f>SUMIF('Lease Cycles'!$HL$12:$HR$12,BF$6,'Lease Cycles'!$HS$12:$HY$12)</f>
        <v>0</v>
      </c>
      <c r="BG90" s="28">
        <f>SUMIF('Lease Cycles'!$HL$12:$HR$12,BG$6,'Lease Cycles'!$HS$12:$HY$12)</f>
        <v>0</v>
      </c>
      <c r="BH90" s="28">
        <f>SUMIF('Lease Cycles'!$HL$12:$HR$12,BH$6,'Lease Cycles'!$HS$12:$HY$12)</f>
        <v>0</v>
      </c>
      <c r="BI90" s="28">
        <f>SUMIF('Lease Cycles'!$HL$12:$HR$12,BI$6,'Lease Cycles'!$HS$12:$HY$12)</f>
        <v>0</v>
      </c>
      <c r="BJ90" s="28">
        <f>SUMIF('Lease Cycles'!$HL$12:$HR$12,BJ$6,'Lease Cycles'!$HS$12:$HY$12)</f>
        <v>0</v>
      </c>
      <c r="BK90" s="28">
        <f>SUMIF('Lease Cycles'!$HL$12:$HR$12,BK$6,'Lease Cycles'!$HS$12:$HY$12)</f>
        <v>0</v>
      </c>
      <c r="BL90" s="28">
        <f>SUMIF('Lease Cycles'!$HL$12:$HR$12,BL$6,'Lease Cycles'!$HS$12:$HY$12)</f>
        <v>0</v>
      </c>
      <c r="BM90" s="28">
        <f>SUMIF('Lease Cycles'!$HL$12:$HR$12,BM$6,'Lease Cycles'!$HS$12:$HY$12)</f>
        <v>0</v>
      </c>
      <c r="BN90" s="28">
        <f>SUMIF('Lease Cycles'!$HL$12:$HR$12,BN$6,'Lease Cycles'!$HS$12:$HY$12)</f>
        <v>0</v>
      </c>
      <c r="BO90" s="28">
        <f>SUMIF('Lease Cycles'!$HL$12:$HR$12,BO$6,'Lease Cycles'!$HS$12:$HY$12)</f>
        <v>0</v>
      </c>
      <c r="BP90" s="28">
        <f>SUMIF('Lease Cycles'!$HL$12:$HR$12,BP$6,'Lease Cycles'!$HS$12:$HY$12)</f>
        <v>0</v>
      </c>
      <c r="BQ90" s="28">
        <f>SUMIF('Lease Cycles'!$HL$12:$HR$12,BQ$6,'Lease Cycles'!$HS$12:$HY$12)</f>
        <v>0</v>
      </c>
      <c r="BR90" s="28">
        <f>SUMIF('Lease Cycles'!$HL$12:$HR$12,BR$6,'Lease Cycles'!$HS$12:$HY$12)</f>
        <v>0</v>
      </c>
      <c r="BS90" s="28">
        <f>SUMIF('Lease Cycles'!$HL$12:$HR$12,BS$6,'Lease Cycles'!$HS$12:$HY$12)</f>
        <v>0</v>
      </c>
      <c r="BT90" s="28">
        <f>SUMIF('Lease Cycles'!$HL$12:$HR$12,BT$6,'Lease Cycles'!$HS$12:$HY$12)</f>
        <v>0</v>
      </c>
      <c r="BU90" s="28">
        <f>SUMIF('Lease Cycles'!$HL$12:$HR$12,BU$6,'Lease Cycles'!$HS$12:$HY$12)</f>
        <v>0</v>
      </c>
      <c r="BV90" s="28">
        <f>SUMIF('Lease Cycles'!$HL$12:$HR$12,BV$6,'Lease Cycles'!$HS$12:$HY$12)</f>
        <v>0</v>
      </c>
      <c r="BW90" s="28">
        <f>SUMIF('Lease Cycles'!$HL$12:$HR$12,BW$6,'Lease Cycles'!$HS$12:$HY$12)</f>
        <v>0</v>
      </c>
      <c r="BX90" s="28">
        <f>SUMIF('Lease Cycles'!$HL$12:$HR$12,BX$6,'Lease Cycles'!$HS$12:$HY$12)</f>
        <v>0</v>
      </c>
      <c r="BY90" s="28">
        <f>SUMIF('Lease Cycles'!$HL$12:$HR$12,BY$6,'Lease Cycles'!$HS$12:$HY$12)</f>
        <v>0</v>
      </c>
      <c r="BZ90" s="28">
        <f>SUMIF('Lease Cycles'!$HL$12:$HR$12,BZ$6,'Lease Cycles'!$HS$12:$HY$12)</f>
        <v>0</v>
      </c>
      <c r="CA90" s="28">
        <f>SUMIF('Lease Cycles'!$HL$12:$HR$12,CA$6,'Lease Cycles'!$HS$12:$HY$12)</f>
        <v>0</v>
      </c>
      <c r="CB90" s="28">
        <f>SUMIF('Lease Cycles'!$HL$12:$HR$12,CB$6,'Lease Cycles'!$HS$12:$HY$12)</f>
        <v>0</v>
      </c>
      <c r="CC90" s="28">
        <f>SUMIF('Lease Cycles'!$HL$12:$HR$12,CC$6,'Lease Cycles'!$HS$12:$HY$12)</f>
        <v>0</v>
      </c>
      <c r="CD90" s="28">
        <f>SUMIF('Lease Cycles'!$HL$12:$HR$12,CD$6,'Lease Cycles'!$HS$12:$HY$12)</f>
        <v>0</v>
      </c>
      <c r="CE90" s="28">
        <f>SUMIF('Lease Cycles'!$HL$12:$HR$12,CE$6,'Lease Cycles'!$HS$12:$HY$12)</f>
        <v>0</v>
      </c>
      <c r="CF90" s="28">
        <f>SUMIF('Lease Cycles'!$HL$12:$HR$12,CF$6,'Lease Cycles'!$HS$12:$HY$12)</f>
        <v>0</v>
      </c>
      <c r="CG90" s="28">
        <f>SUMIF('Lease Cycles'!$HL$12:$HR$12,CG$6,'Lease Cycles'!$HS$12:$HY$12)</f>
        <v>0</v>
      </c>
      <c r="CH90" s="28">
        <f>SUMIF('Lease Cycles'!$HL$12:$HR$12,CH$6,'Lease Cycles'!$HS$12:$HY$12)</f>
        <v>0</v>
      </c>
      <c r="CI90" s="28">
        <f>SUMIF('Lease Cycles'!$HL$12:$HR$12,CI$6,'Lease Cycles'!$HS$12:$HY$12)</f>
        <v>0</v>
      </c>
      <c r="CJ90" s="28">
        <f>SUMIF('Lease Cycles'!$HL$12:$HR$12,CJ$6,'Lease Cycles'!$HS$12:$HY$12)</f>
        <v>0</v>
      </c>
      <c r="CK90" s="28">
        <f>SUMIF('Lease Cycles'!$HL$12:$HR$12,CK$6,'Lease Cycles'!$HS$12:$HY$12)</f>
        <v>0</v>
      </c>
      <c r="CL90" s="28">
        <f>SUMIF('Lease Cycles'!$HL$12:$HR$12,CL$6,'Lease Cycles'!$HS$12:$HY$12)</f>
        <v>0</v>
      </c>
      <c r="CM90" s="28">
        <f>SUMIF('Lease Cycles'!$HL$12:$HR$12,CM$6,'Lease Cycles'!$HS$12:$HY$12)</f>
        <v>0</v>
      </c>
      <c r="CN90" s="28">
        <f>SUMIF('Lease Cycles'!$HL$12:$HR$12,CN$6,'Lease Cycles'!$HS$12:$HY$12)</f>
        <v>0</v>
      </c>
      <c r="CO90" s="28">
        <f>SUMIF('Lease Cycles'!$HL$12:$HR$12,CO$6,'Lease Cycles'!$HS$12:$HY$12)</f>
        <v>0</v>
      </c>
      <c r="CP90" s="28">
        <f>SUMIF('Lease Cycles'!$HL$12:$HR$12,CP$6,'Lease Cycles'!$HS$12:$HY$12)</f>
        <v>0</v>
      </c>
      <c r="CQ90" s="28">
        <f>SUMIF('Lease Cycles'!$HL$12:$HR$12,CQ$6,'Lease Cycles'!$HS$12:$HY$12)</f>
        <v>0</v>
      </c>
      <c r="CR90" s="28">
        <f>SUMIF('Lease Cycles'!$HL$12:$HR$12,CR$6,'Lease Cycles'!$HS$12:$HY$12)</f>
        <v>0</v>
      </c>
      <c r="CS90" s="28">
        <f>SUMIF('Lease Cycles'!$HL$12:$HR$12,CS$6,'Lease Cycles'!$HS$12:$HY$12)</f>
        <v>0</v>
      </c>
      <c r="CT90" s="28">
        <f>SUMIF('Lease Cycles'!$HL$12:$HR$12,CT$6,'Lease Cycles'!$HS$12:$HY$12)</f>
        <v>0</v>
      </c>
      <c r="CU90" s="28">
        <f>SUMIF('Lease Cycles'!$HL$12:$HR$12,CU$6,'Lease Cycles'!$HS$12:$HY$12)</f>
        <v>0</v>
      </c>
      <c r="CV90" s="28">
        <f>SUMIF('Lease Cycles'!$HL$12:$HR$12,CV$6,'Lease Cycles'!$HS$12:$HY$12)</f>
        <v>0</v>
      </c>
      <c r="CW90" s="28">
        <f>SUMIF('Lease Cycles'!$HL$12:$HR$12,CW$6,'Lease Cycles'!$HS$12:$HY$12)</f>
        <v>0</v>
      </c>
      <c r="CX90" s="28">
        <f>SUMIF('Lease Cycles'!$HL$12:$HR$12,CX$6,'Lease Cycles'!$HS$12:$HY$12)</f>
        <v>0</v>
      </c>
      <c r="CY90" s="28">
        <f>SUMIF('Lease Cycles'!$HL$12:$HR$12,CY$6,'Lease Cycles'!$HS$12:$HY$12)</f>
        <v>0</v>
      </c>
      <c r="CZ90" s="28">
        <f>SUMIF('Lease Cycles'!$HL$12:$HR$12,CZ$6,'Lease Cycles'!$HS$12:$HY$12)</f>
        <v>0</v>
      </c>
      <c r="DA90" s="28">
        <f>SUMIF('Lease Cycles'!$HL$12:$HR$12,DA$6,'Lease Cycles'!$HS$12:$HY$12)</f>
        <v>0</v>
      </c>
      <c r="DB90" s="28">
        <f>SUMIF('Lease Cycles'!$HL$12:$HR$12,DB$6,'Lease Cycles'!$HS$12:$HY$12)</f>
        <v>0</v>
      </c>
      <c r="DC90" s="28">
        <f>SUMIF('Lease Cycles'!$HL$12:$HR$12,DC$6,'Lease Cycles'!$HS$12:$HY$12)</f>
        <v>0</v>
      </c>
      <c r="DD90" s="28">
        <f>SUMIF('Lease Cycles'!$HL$12:$HR$12,DD$6,'Lease Cycles'!$HS$12:$HY$12)</f>
        <v>0</v>
      </c>
      <c r="DE90" s="28">
        <f>SUMIF('Lease Cycles'!$HL$12:$HR$12,DE$6,'Lease Cycles'!$HS$12:$HY$12)</f>
        <v>0</v>
      </c>
      <c r="DF90" s="28">
        <f>SUMIF('Lease Cycles'!$HL$12:$HR$12,DF$6,'Lease Cycles'!$HS$12:$HY$12)</f>
        <v>0</v>
      </c>
      <c r="DG90" s="28">
        <f>SUMIF('Lease Cycles'!$HL$12:$HR$12,DG$6,'Lease Cycles'!$HS$12:$HY$12)</f>
        <v>0</v>
      </c>
      <c r="DH90" s="28">
        <f>SUMIF('Lease Cycles'!$HL$12:$HR$12,DH$6,'Lease Cycles'!$HS$12:$HY$12)</f>
        <v>0</v>
      </c>
      <c r="DI90" s="28">
        <f>SUMIF('Lease Cycles'!$HL$12:$HR$12,DI$6,'Lease Cycles'!$HS$12:$HY$12)</f>
        <v>0</v>
      </c>
      <c r="DJ90" s="28">
        <f>SUMIF('Lease Cycles'!$HL$12:$HR$12,DJ$6,'Lease Cycles'!$HS$12:$HY$12)</f>
        <v>0</v>
      </c>
      <c r="DK90" s="28">
        <f>SUMIF('Lease Cycles'!$HL$12:$HR$12,DK$6,'Lease Cycles'!$HS$12:$HY$12)</f>
        <v>0</v>
      </c>
      <c r="DL90" s="28">
        <f>SUMIF('Lease Cycles'!$HL$12:$HR$12,DL$6,'Lease Cycles'!$HS$12:$HY$12)</f>
        <v>0</v>
      </c>
      <c r="DM90" s="28">
        <f>SUMIF('Lease Cycles'!$HL$12:$HR$12,DM$6,'Lease Cycles'!$HS$12:$HY$12)</f>
        <v>0</v>
      </c>
      <c r="DN90" s="28">
        <f>SUMIF('Lease Cycles'!$HL$12:$HR$12,DN$6,'Lease Cycles'!$HS$12:$HY$12)</f>
        <v>0</v>
      </c>
      <c r="DO90" s="28">
        <f>SUMIF('Lease Cycles'!$HL$12:$HR$12,DO$6,'Lease Cycles'!$HS$12:$HY$12)</f>
        <v>0</v>
      </c>
      <c r="DP90" s="28">
        <f>SUMIF('Lease Cycles'!$HL$12:$HR$12,DP$6,'Lease Cycles'!$HS$12:$HY$12)</f>
        <v>0</v>
      </c>
      <c r="DQ90" s="28">
        <f>SUMIF('Lease Cycles'!$HL$12:$HR$12,DQ$6,'Lease Cycles'!$HS$12:$HY$12)</f>
        <v>0</v>
      </c>
      <c r="DR90" s="28">
        <f>SUMIF('Lease Cycles'!$HL$12:$HR$12,DR$6,'Lease Cycles'!$HS$12:$HY$12)</f>
        <v>0</v>
      </c>
      <c r="DS90" s="28">
        <f>SUMIF('Lease Cycles'!$HL$12:$HR$12,DS$6,'Lease Cycles'!$HS$12:$HY$12)</f>
        <v>0</v>
      </c>
      <c r="DT90" s="28">
        <f>SUMIF('Lease Cycles'!$HL$12:$HR$12,DT$6,'Lease Cycles'!$HS$12:$HY$12)</f>
        <v>0</v>
      </c>
      <c r="DU90" s="28">
        <f>SUMIF('Lease Cycles'!$HL$12:$HR$12,DU$6,'Lease Cycles'!$HS$12:$HY$12)</f>
        <v>0</v>
      </c>
      <c r="DV90" s="28">
        <f>SUMIF('Lease Cycles'!$HL$12:$HR$12,DV$6,'Lease Cycles'!$HS$12:$HY$12)</f>
        <v>0</v>
      </c>
      <c r="DW90" s="28">
        <f>SUMIF('Lease Cycles'!$HL$12:$HR$12,DW$6,'Lease Cycles'!$HS$12:$HY$12)</f>
        <v>0</v>
      </c>
      <c r="DX90" s="28">
        <f>SUMIF('Lease Cycles'!$HL$12:$HR$12,DX$6,'Lease Cycles'!$HS$12:$HY$12)</f>
        <v>0</v>
      </c>
      <c r="DY90" s="28">
        <f>SUMIF('Lease Cycles'!$HL$12:$HR$12,DY$6,'Lease Cycles'!$HS$12:$HY$12)</f>
        <v>0</v>
      </c>
      <c r="DZ90" s="28">
        <f>SUMIF('Lease Cycles'!$HL$12:$HR$12,DZ$6,'Lease Cycles'!$HS$12:$HY$12)</f>
        <v>16814.332237696388</v>
      </c>
      <c r="EA90" s="28">
        <f>SUMIF('Lease Cycles'!$HL$12:$HR$12,EA$6,'Lease Cycles'!$HS$12:$HY$12)</f>
        <v>0</v>
      </c>
      <c r="EB90" s="28">
        <f>SUMIF('Lease Cycles'!$HL$12:$HR$12,EB$6,'Lease Cycles'!$HS$12:$HY$12)</f>
        <v>0</v>
      </c>
      <c r="EC90" s="28">
        <f>SUMIF('Lease Cycles'!$HL$12:$HR$12,EC$6,'Lease Cycles'!$HS$12:$HY$12)</f>
        <v>0</v>
      </c>
      <c r="ED90" s="28">
        <f>SUMIF('Lease Cycles'!$HL$12:$HR$12,ED$6,'Lease Cycles'!$HS$12:$HY$12)</f>
        <v>0</v>
      </c>
      <c r="EE90" s="28">
        <f>SUMIF('Lease Cycles'!$HL$12:$HR$12,EE$6,'Lease Cycles'!$HS$12:$HY$12)</f>
        <v>0</v>
      </c>
      <c r="EF90" s="28">
        <f>SUMIF('Lease Cycles'!$HL$12:$HR$12,EF$6,'Lease Cycles'!$HS$12:$HY$12)</f>
        <v>0</v>
      </c>
      <c r="EG90" s="28">
        <f>SUMIF('Lease Cycles'!$HL$12:$HR$12,EG$6,'Lease Cycles'!$HS$12:$HY$12)</f>
        <v>0</v>
      </c>
      <c r="EH90" s="28">
        <f>SUMIF('Lease Cycles'!$HL$12:$HR$12,EH$6,'Lease Cycles'!$HS$12:$HY$12)</f>
        <v>0</v>
      </c>
      <c r="EI90" s="28">
        <f>SUMIF('Lease Cycles'!$HL$12:$HR$12,EI$6,'Lease Cycles'!$HS$12:$HY$12)</f>
        <v>0</v>
      </c>
      <c r="EJ90" s="28">
        <f>SUMIF('Lease Cycles'!$HL$12:$HR$12,EJ$6,'Lease Cycles'!$HS$12:$HY$12)</f>
        <v>0</v>
      </c>
      <c r="EK90" s="28">
        <f>SUMIF('Lease Cycles'!$HL$12:$HR$12,EK$6,'Lease Cycles'!$HS$12:$HY$12)</f>
        <v>0</v>
      </c>
      <c r="EL90" s="28">
        <f>SUMIF('Lease Cycles'!$HL$12:$HR$12,EL$6,'Lease Cycles'!$HS$12:$HY$12)</f>
        <v>0</v>
      </c>
      <c r="EM90" s="28">
        <f>SUMIF('Lease Cycles'!$HL$12:$HR$12,EM$6,'Lease Cycles'!$HS$12:$HY$12)</f>
        <v>0</v>
      </c>
      <c r="EN90" s="28">
        <f>SUMIF('Lease Cycles'!$HL$12:$HR$12,EN$6,'Lease Cycles'!$HS$12:$HY$12)</f>
        <v>0</v>
      </c>
      <c r="EO90" s="28">
        <f>SUMIF('Lease Cycles'!$HL$12:$HR$12,EO$6,'Lease Cycles'!$HS$12:$HY$12)</f>
        <v>0</v>
      </c>
      <c r="EP90" s="28">
        <f>SUMIF('Lease Cycles'!$HL$12:$HR$12,EP$6,'Lease Cycles'!$HS$12:$HY$12)</f>
        <v>0</v>
      </c>
      <c r="EQ90" s="28">
        <f>SUMIF('Lease Cycles'!$HL$12:$HR$12,EQ$6,'Lease Cycles'!$HS$12:$HY$12)</f>
        <v>0</v>
      </c>
      <c r="ER90" s="28">
        <f>SUMIF('Lease Cycles'!$HL$12:$HR$12,ER$6,'Lease Cycles'!$HS$12:$HY$12)</f>
        <v>0</v>
      </c>
      <c r="ES90" s="28">
        <f>SUMIF('Lease Cycles'!$HL$12:$HR$12,ES$6,'Lease Cycles'!$HS$12:$HY$12)</f>
        <v>0</v>
      </c>
      <c r="ET90" s="28">
        <f>SUMIF('Lease Cycles'!$HL$12:$HR$12,ET$6,'Lease Cycles'!$HS$12:$HY$12)</f>
        <v>0</v>
      </c>
    </row>
    <row r="91">
      <c r="A91" s="103">
        <v>5</v>
      </c>
      <c r="B91" s="23" t="str">
        <f>IF('Lease Cycles'!$B$12="","(empty slot)",'Lease Cycles'!$B$12)</f>
        <v>Sunfield Pizza</v>
      </c>
      <c r="C91" s="23" t="s">
        <v>532</v>
      </c>
      <c r="D91" s="104" t="s">
        <v>533</v>
      </c>
      <c r="E91" s="25">
        <f>'Lease Cycles'!$AL$12</f>
        <v>0</v>
      </c>
      <c r="G91" s="28">
        <f>SUM(S91:AD91)</f>
        <v>0</v>
      </c>
      <c r="H91" s="28">
        <f>SUM(AE91:AP91)</f>
        <v>9053.064598069921</v>
      </c>
      <c r="I91" s="28">
        <f>SUM(AQ91:BB91)</f>
        <v>0</v>
      </c>
      <c r="J91" s="28">
        <f>SUM(BC91:BN91)</f>
        <v>0</v>
      </c>
      <c r="K91" s="28">
        <f>SUM(BO91:BZ91)</f>
        <v>0</v>
      </c>
      <c r="L91" s="28">
        <f>SUM(CA91:CL91)</f>
        <v>0</v>
      </c>
      <c r="M91" s="28">
        <f>SUM(CM91:CX91)</f>
        <v>0</v>
      </c>
      <c r="N91" s="28">
        <f>SUM(CY91:DJ91)</f>
        <v>0</v>
      </c>
      <c r="O91" s="28">
        <f>SUM(DK91:DV91)</f>
        <v>0</v>
      </c>
      <c r="P91" s="28">
        <f>SUM(DW91:EH91)</f>
        <v>11244.373607646568</v>
      </c>
      <c r="Q91" s="28">
        <f>SUM(EI91:ET91)</f>
        <v>0</v>
      </c>
      <c r="S91" s="28">
        <f>SUMIF('Lease Cycles'!$HL$12:$HR$12,S$6,'Lease Cycles'!$HZ$12:$IF$12)</f>
        <v>0</v>
      </c>
      <c r="T91" s="28">
        <f>SUMIF('Lease Cycles'!$HL$12:$HR$12,T$6,'Lease Cycles'!$HZ$12:$IF$12)</f>
        <v>0</v>
      </c>
      <c r="U91" s="28">
        <f>SUMIF('Lease Cycles'!$HL$12:$HR$12,U$6,'Lease Cycles'!$HZ$12:$IF$12)</f>
        <v>0</v>
      </c>
      <c r="V91" s="28">
        <f>SUMIF('Lease Cycles'!$HL$12:$HR$12,V$6,'Lease Cycles'!$HZ$12:$IF$12)</f>
        <v>0</v>
      </c>
      <c r="W91" s="28">
        <f>SUMIF('Lease Cycles'!$HL$12:$HR$12,W$6,'Lease Cycles'!$HZ$12:$IF$12)</f>
        <v>0</v>
      </c>
      <c r="X91" s="28">
        <f>SUMIF('Lease Cycles'!$HL$12:$HR$12,X$6,'Lease Cycles'!$HZ$12:$IF$12)</f>
        <v>0</v>
      </c>
      <c r="Y91" s="28">
        <f>SUMIF('Lease Cycles'!$HL$12:$HR$12,Y$6,'Lease Cycles'!$HZ$12:$IF$12)</f>
        <v>0</v>
      </c>
      <c r="Z91" s="28">
        <f>SUMIF('Lease Cycles'!$HL$12:$HR$12,Z$6,'Lease Cycles'!$HZ$12:$IF$12)</f>
        <v>0</v>
      </c>
      <c r="AA91" s="28">
        <f>SUMIF('Lease Cycles'!$HL$12:$HR$12,AA$6,'Lease Cycles'!$HZ$12:$IF$12)</f>
        <v>0</v>
      </c>
      <c r="AB91" s="28">
        <f>SUMIF('Lease Cycles'!$HL$12:$HR$12,AB$6,'Lease Cycles'!$HZ$12:$IF$12)</f>
        <v>0</v>
      </c>
      <c r="AC91" s="28">
        <f>SUMIF('Lease Cycles'!$HL$12:$HR$12,AC$6,'Lease Cycles'!$HZ$12:$IF$12)</f>
        <v>0</v>
      </c>
      <c r="AD91" s="28">
        <f>SUMIF('Lease Cycles'!$HL$12:$HR$12,AD$6,'Lease Cycles'!$HZ$12:$IF$12)</f>
        <v>0</v>
      </c>
      <c r="AE91" s="28">
        <f>SUMIF('Lease Cycles'!$HL$12:$HR$12,AE$6,'Lease Cycles'!$HZ$12:$IF$12)</f>
        <v>0</v>
      </c>
      <c r="AF91" s="28">
        <f>SUMIF('Lease Cycles'!$HL$12:$HR$12,AF$6,'Lease Cycles'!$HZ$12:$IF$12)</f>
        <v>0</v>
      </c>
      <c r="AG91" s="28">
        <f>SUMIF('Lease Cycles'!$HL$12:$HR$12,AG$6,'Lease Cycles'!$HZ$12:$IF$12)</f>
        <v>0</v>
      </c>
      <c r="AH91" s="28">
        <f>SUMIF('Lease Cycles'!$HL$12:$HR$12,AH$6,'Lease Cycles'!$HZ$12:$IF$12)</f>
        <v>0</v>
      </c>
      <c r="AI91" s="28">
        <f>SUMIF('Lease Cycles'!$HL$12:$HR$12,AI$6,'Lease Cycles'!$HZ$12:$IF$12)</f>
        <v>0</v>
      </c>
      <c r="AJ91" s="28">
        <f>SUMIF('Lease Cycles'!$HL$12:$HR$12,AJ$6,'Lease Cycles'!$HZ$12:$IF$12)</f>
        <v>0</v>
      </c>
      <c r="AK91" s="28">
        <f>SUMIF('Lease Cycles'!$HL$12:$HR$12,AK$6,'Lease Cycles'!$HZ$12:$IF$12)</f>
        <v>0</v>
      </c>
      <c r="AL91" s="28">
        <f>SUMIF('Lease Cycles'!$HL$12:$HR$12,AL$6,'Lease Cycles'!$HZ$12:$IF$12)</f>
        <v>0</v>
      </c>
      <c r="AM91" s="28">
        <f>SUMIF('Lease Cycles'!$HL$12:$HR$12,AM$6,'Lease Cycles'!$HZ$12:$IF$12)</f>
        <v>0</v>
      </c>
      <c r="AN91" s="28">
        <f>SUMIF('Lease Cycles'!$HL$12:$HR$12,AN$6,'Lease Cycles'!$HZ$12:$IF$12)</f>
        <v>0</v>
      </c>
      <c r="AO91" s="28">
        <f>SUMIF('Lease Cycles'!$HL$12:$HR$12,AO$6,'Lease Cycles'!$HZ$12:$IF$12)</f>
        <v>0</v>
      </c>
      <c r="AP91" s="28">
        <f>SUMIF('Lease Cycles'!$HL$12:$HR$12,AP$6,'Lease Cycles'!$HZ$12:$IF$12)</f>
        <v>9053.064598069921</v>
      </c>
      <c r="AQ91" s="28">
        <f>SUMIF('Lease Cycles'!$HL$12:$HR$12,AQ$6,'Lease Cycles'!$HZ$12:$IF$12)</f>
        <v>0</v>
      </c>
      <c r="AR91" s="28">
        <f>SUMIF('Lease Cycles'!$HL$12:$HR$12,AR$6,'Lease Cycles'!$HZ$12:$IF$12)</f>
        <v>0</v>
      </c>
      <c r="AS91" s="28">
        <f>SUMIF('Lease Cycles'!$HL$12:$HR$12,AS$6,'Lease Cycles'!$HZ$12:$IF$12)</f>
        <v>0</v>
      </c>
      <c r="AT91" s="28">
        <f>SUMIF('Lease Cycles'!$HL$12:$HR$12,AT$6,'Lease Cycles'!$HZ$12:$IF$12)</f>
        <v>0</v>
      </c>
      <c r="AU91" s="28">
        <f>SUMIF('Lease Cycles'!$HL$12:$HR$12,AU$6,'Lease Cycles'!$HZ$12:$IF$12)</f>
        <v>0</v>
      </c>
      <c r="AV91" s="28">
        <f>SUMIF('Lease Cycles'!$HL$12:$HR$12,AV$6,'Lease Cycles'!$HZ$12:$IF$12)</f>
        <v>0</v>
      </c>
      <c r="AW91" s="28">
        <f>SUMIF('Lease Cycles'!$HL$12:$HR$12,AW$6,'Lease Cycles'!$HZ$12:$IF$12)</f>
        <v>0</v>
      </c>
      <c r="AX91" s="28">
        <f>SUMIF('Lease Cycles'!$HL$12:$HR$12,AX$6,'Lease Cycles'!$HZ$12:$IF$12)</f>
        <v>0</v>
      </c>
      <c r="AY91" s="28">
        <f>SUMIF('Lease Cycles'!$HL$12:$HR$12,AY$6,'Lease Cycles'!$HZ$12:$IF$12)</f>
        <v>0</v>
      </c>
      <c r="AZ91" s="28">
        <f>SUMIF('Lease Cycles'!$HL$12:$HR$12,AZ$6,'Lease Cycles'!$HZ$12:$IF$12)</f>
        <v>0</v>
      </c>
      <c r="BA91" s="28">
        <f>SUMIF('Lease Cycles'!$HL$12:$HR$12,BA$6,'Lease Cycles'!$HZ$12:$IF$12)</f>
        <v>0</v>
      </c>
      <c r="BB91" s="28">
        <f>SUMIF('Lease Cycles'!$HL$12:$HR$12,BB$6,'Lease Cycles'!$HZ$12:$IF$12)</f>
        <v>0</v>
      </c>
      <c r="BC91" s="28">
        <f>SUMIF('Lease Cycles'!$HL$12:$HR$12,BC$6,'Lease Cycles'!$HZ$12:$IF$12)</f>
        <v>0</v>
      </c>
      <c r="BD91" s="28">
        <f>SUMIF('Lease Cycles'!$HL$12:$HR$12,BD$6,'Lease Cycles'!$HZ$12:$IF$12)</f>
        <v>0</v>
      </c>
      <c r="BE91" s="28">
        <f>SUMIF('Lease Cycles'!$HL$12:$HR$12,BE$6,'Lease Cycles'!$HZ$12:$IF$12)</f>
        <v>0</v>
      </c>
      <c r="BF91" s="28">
        <f>SUMIF('Lease Cycles'!$HL$12:$HR$12,BF$6,'Lease Cycles'!$HZ$12:$IF$12)</f>
        <v>0</v>
      </c>
      <c r="BG91" s="28">
        <f>SUMIF('Lease Cycles'!$HL$12:$HR$12,BG$6,'Lease Cycles'!$HZ$12:$IF$12)</f>
        <v>0</v>
      </c>
      <c r="BH91" s="28">
        <f>SUMIF('Lease Cycles'!$HL$12:$HR$12,BH$6,'Lease Cycles'!$HZ$12:$IF$12)</f>
        <v>0</v>
      </c>
      <c r="BI91" s="28">
        <f>SUMIF('Lease Cycles'!$HL$12:$HR$12,BI$6,'Lease Cycles'!$HZ$12:$IF$12)</f>
        <v>0</v>
      </c>
      <c r="BJ91" s="28">
        <f>SUMIF('Lease Cycles'!$HL$12:$HR$12,BJ$6,'Lease Cycles'!$HZ$12:$IF$12)</f>
        <v>0</v>
      </c>
      <c r="BK91" s="28">
        <f>SUMIF('Lease Cycles'!$HL$12:$HR$12,BK$6,'Lease Cycles'!$HZ$12:$IF$12)</f>
        <v>0</v>
      </c>
      <c r="BL91" s="28">
        <f>SUMIF('Lease Cycles'!$HL$12:$HR$12,BL$6,'Lease Cycles'!$HZ$12:$IF$12)</f>
        <v>0</v>
      </c>
      <c r="BM91" s="28">
        <f>SUMIF('Lease Cycles'!$HL$12:$HR$12,BM$6,'Lease Cycles'!$HZ$12:$IF$12)</f>
        <v>0</v>
      </c>
      <c r="BN91" s="28">
        <f>SUMIF('Lease Cycles'!$HL$12:$HR$12,BN$6,'Lease Cycles'!$HZ$12:$IF$12)</f>
        <v>0</v>
      </c>
      <c r="BO91" s="28">
        <f>SUMIF('Lease Cycles'!$HL$12:$HR$12,BO$6,'Lease Cycles'!$HZ$12:$IF$12)</f>
        <v>0</v>
      </c>
      <c r="BP91" s="28">
        <f>SUMIF('Lease Cycles'!$HL$12:$HR$12,BP$6,'Lease Cycles'!$HZ$12:$IF$12)</f>
        <v>0</v>
      </c>
      <c r="BQ91" s="28">
        <f>SUMIF('Lease Cycles'!$HL$12:$HR$12,BQ$6,'Lease Cycles'!$HZ$12:$IF$12)</f>
        <v>0</v>
      </c>
      <c r="BR91" s="28">
        <f>SUMIF('Lease Cycles'!$HL$12:$HR$12,BR$6,'Lease Cycles'!$HZ$12:$IF$12)</f>
        <v>0</v>
      </c>
      <c r="BS91" s="28">
        <f>SUMIF('Lease Cycles'!$HL$12:$HR$12,BS$6,'Lease Cycles'!$HZ$12:$IF$12)</f>
        <v>0</v>
      </c>
      <c r="BT91" s="28">
        <f>SUMIF('Lease Cycles'!$HL$12:$HR$12,BT$6,'Lease Cycles'!$HZ$12:$IF$12)</f>
        <v>0</v>
      </c>
      <c r="BU91" s="28">
        <f>SUMIF('Lease Cycles'!$HL$12:$HR$12,BU$6,'Lease Cycles'!$HZ$12:$IF$12)</f>
        <v>0</v>
      </c>
      <c r="BV91" s="28">
        <f>SUMIF('Lease Cycles'!$HL$12:$HR$12,BV$6,'Lease Cycles'!$HZ$12:$IF$12)</f>
        <v>0</v>
      </c>
      <c r="BW91" s="28">
        <f>SUMIF('Lease Cycles'!$HL$12:$HR$12,BW$6,'Lease Cycles'!$HZ$12:$IF$12)</f>
        <v>0</v>
      </c>
      <c r="BX91" s="28">
        <f>SUMIF('Lease Cycles'!$HL$12:$HR$12,BX$6,'Lease Cycles'!$HZ$12:$IF$12)</f>
        <v>0</v>
      </c>
      <c r="BY91" s="28">
        <f>SUMIF('Lease Cycles'!$HL$12:$HR$12,BY$6,'Lease Cycles'!$HZ$12:$IF$12)</f>
        <v>0</v>
      </c>
      <c r="BZ91" s="28">
        <f>SUMIF('Lease Cycles'!$HL$12:$HR$12,BZ$6,'Lease Cycles'!$HZ$12:$IF$12)</f>
        <v>0</v>
      </c>
      <c r="CA91" s="28">
        <f>SUMIF('Lease Cycles'!$HL$12:$HR$12,CA$6,'Lease Cycles'!$HZ$12:$IF$12)</f>
        <v>0</v>
      </c>
      <c r="CB91" s="28">
        <f>SUMIF('Lease Cycles'!$HL$12:$HR$12,CB$6,'Lease Cycles'!$HZ$12:$IF$12)</f>
        <v>0</v>
      </c>
      <c r="CC91" s="28">
        <f>SUMIF('Lease Cycles'!$HL$12:$HR$12,CC$6,'Lease Cycles'!$HZ$12:$IF$12)</f>
        <v>0</v>
      </c>
      <c r="CD91" s="28">
        <f>SUMIF('Lease Cycles'!$HL$12:$HR$12,CD$6,'Lease Cycles'!$HZ$12:$IF$12)</f>
        <v>0</v>
      </c>
      <c r="CE91" s="28">
        <f>SUMIF('Lease Cycles'!$HL$12:$HR$12,CE$6,'Lease Cycles'!$HZ$12:$IF$12)</f>
        <v>0</v>
      </c>
      <c r="CF91" s="28">
        <f>SUMIF('Lease Cycles'!$HL$12:$HR$12,CF$6,'Lease Cycles'!$HZ$12:$IF$12)</f>
        <v>0</v>
      </c>
      <c r="CG91" s="28">
        <f>SUMIF('Lease Cycles'!$HL$12:$HR$12,CG$6,'Lease Cycles'!$HZ$12:$IF$12)</f>
        <v>0</v>
      </c>
      <c r="CH91" s="28">
        <f>SUMIF('Lease Cycles'!$HL$12:$HR$12,CH$6,'Lease Cycles'!$HZ$12:$IF$12)</f>
        <v>0</v>
      </c>
      <c r="CI91" s="28">
        <f>SUMIF('Lease Cycles'!$HL$12:$HR$12,CI$6,'Lease Cycles'!$HZ$12:$IF$12)</f>
        <v>0</v>
      </c>
      <c r="CJ91" s="28">
        <f>SUMIF('Lease Cycles'!$HL$12:$HR$12,CJ$6,'Lease Cycles'!$HZ$12:$IF$12)</f>
        <v>0</v>
      </c>
      <c r="CK91" s="28">
        <f>SUMIF('Lease Cycles'!$HL$12:$HR$12,CK$6,'Lease Cycles'!$HZ$12:$IF$12)</f>
        <v>0</v>
      </c>
      <c r="CL91" s="28">
        <f>SUMIF('Lease Cycles'!$HL$12:$HR$12,CL$6,'Lease Cycles'!$HZ$12:$IF$12)</f>
        <v>0</v>
      </c>
      <c r="CM91" s="28">
        <f>SUMIF('Lease Cycles'!$HL$12:$HR$12,CM$6,'Lease Cycles'!$HZ$12:$IF$12)</f>
        <v>0</v>
      </c>
      <c r="CN91" s="28">
        <f>SUMIF('Lease Cycles'!$HL$12:$HR$12,CN$6,'Lease Cycles'!$HZ$12:$IF$12)</f>
        <v>0</v>
      </c>
      <c r="CO91" s="28">
        <f>SUMIF('Lease Cycles'!$HL$12:$HR$12,CO$6,'Lease Cycles'!$HZ$12:$IF$12)</f>
        <v>0</v>
      </c>
      <c r="CP91" s="28">
        <f>SUMIF('Lease Cycles'!$HL$12:$HR$12,CP$6,'Lease Cycles'!$HZ$12:$IF$12)</f>
        <v>0</v>
      </c>
      <c r="CQ91" s="28">
        <f>SUMIF('Lease Cycles'!$HL$12:$HR$12,CQ$6,'Lease Cycles'!$HZ$12:$IF$12)</f>
        <v>0</v>
      </c>
      <c r="CR91" s="28">
        <f>SUMIF('Lease Cycles'!$HL$12:$HR$12,CR$6,'Lease Cycles'!$HZ$12:$IF$12)</f>
        <v>0</v>
      </c>
      <c r="CS91" s="28">
        <f>SUMIF('Lease Cycles'!$HL$12:$HR$12,CS$6,'Lease Cycles'!$HZ$12:$IF$12)</f>
        <v>0</v>
      </c>
      <c r="CT91" s="28">
        <f>SUMIF('Lease Cycles'!$HL$12:$HR$12,CT$6,'Lease Cycles'!$HZ$12:$IF$12)</f>
        <v>0</v>
      </c>
      <c r="CU91" s="28">
        <f>SUMIF('Lease Cycles'!$HL$12:$HR$12,CU$6,'Lease Cycles'!$HZ$12:$IF$12)</f>
        <v>0</v>
      </c>
      <c r="CV91" s="28">
        <f>SUMIF('Lease Cycles'!$HL$12:$HR$12,CV$6,'Lease Cycles'!$HZ$12:$IF$12)</f>
        <v>0</v>
      </c>
      <c r="CW91" s="28">
        <f>SUMIF('Lease Cycles'!$HL$12:$HR$12,CW$6,'Lease Cycles'!$HZ$12:$IF$12)</f>
        <v>0</v>
      </c>
      <c r="CX91" s="28">
        <f>SUMIF('Lease Cycles'!$HL$12:$HR$12,CX$6,'Lease Cycles'!$HZ$12:$IF$12)</f>
        <v>0</v>
      </c>
      <c r="CY91" s="28">
        <f>SUMIF('Lease Cycles'!$HL$12:$HR$12,CY$6,'Lease Cycles'!$HZ$12:$IF$12)</f>
        <v>0</v>
      </c>
      <c r="CZ91" s="28">
        <f>SUMIF('Lease Cycles'!$HL$12:$HR$12,CZ$6,'Lease Cycles'!$HZ$12:$IF$12)</f>
        <v>0</v>
      </c>
      <c r="DA91" s="28">
        <f>SUMIF('Lease Cycles'!$HL$12:$HR$12,DA$6,'Lease Cycles'!$HZ$12:$IF$12)</f>
        <v>0</v>
      </c>
      <c r="DB91" s="28">
        <f>SUMIF('Lease Cycles'!$HL$12:$HR$12,DB$6,'Lease Cycles'!$HZ$12:$IF$12)</f>
        <v>0</v>
      </c>
      <c r="DC91" s="28">
        <f>SUMIF('Lease Cycles'!$HL$12:$HR$12,DC$6,'Lease Cycles'!$HZ$12:$IF$12)</f>
        <v>0</v>
      </c>
      <c r="DD91" s="28">
        <f>SUMIF('Lease Cycles'!$HL$12:$HR$12,DD$6,'Lease Cycles'!$HZ$12:$IF$12)</f>
        <v>0</v>
      </c>
      <c r="DE91" s="28">
        <f>SUMIF('Lease Cycles'!$HL$12:$HR$12,DE$6,'Lease Cycles'!$HZ$12:$IF$12)</f>
        <v>0</v>
      </c>
      <c r="DF91" s="28">
        <f>SUMIF('Lease Cycles'!$HL$12:$HR$12,DF$6,'Lease Cycles'!$HZ$12:$IF$12)</f>
        <v>0</v>
      </c>
      <c r="DG91" s="28">
        <f>SUMIF('Lease Cycles'!$HL$12:$HR$12,DG$6,'Lease Cycles'!$HZ$12:$IF$12)</f>
        <v>0</v>
      </c>
      <c r="DH91" s="28">
        <f>SUMIF('Lease Cycles'!$HL$12:$HR$12,DH$6,'Lease Cycles'!$HZ$12:$IF$12)</f>
        <v>0</v>
      </c>
      <c r="DI91" s="28">
        <f>SUMIF('Lease Cycles'!$HL$12:$HR$12,DI$6,'Lease Cycles'!$HZ$12:$IF$12)</f>
        <v>0</v>
      </c>
      <c r="DJ91" s="28">
        <f>SUMIF('Lease Cycles'!$HL$12:$HR$12,DJ$6,'Lease Cycles'!$HZ$12:$IF$12)</f>
        <v>0</v>
      </c>
      <c r="DK91" s="28">
        <f>SUMIF('Lease Cycles'!$HL$12:$HR$12,DK$6,'Lease Cycles'!$HZ$12:$IF$12)</f>
        <v>0</v>
      </c>
      <c r="DL91" s="28">
        <f>SUMIF('Lease Cycles'!$HL$12:$HR$12,DL$6,'Lease Cycles'!$HZ$12:$IF$12)</f>
        <v>0</v>
      </c>
      <c r="DM91" s="28">
        <f>SUMIF('Lease Cycles'!$HL$12:$HR$12,DM$6,'Lease Cycles'!$HZ$12:$IF$12)</f>
        <v>0</v>
      </c>
      <c r="DN91" s="28">
        <f>SUMIF('Lease Cycles'!$HL$12:$HR$12,DN$6,'Lease Cycles'!$HZ$12:$IF$12)</f>
        <v>0</v>
      </c>
      <c r="DO91" s="28">
        <f>SUMIF('Lease Cycles'!$HL$12:$HR$12,DO$6,'Lease Cycles'!$HZ$12:$IF$12)</f>
        <v>0</v>
      </c>
      <c r="DP91" s="28">
        <f>SUMIF('Lease Cycles'!$HL$12:$HR$12,DP$6,'Lease Cycles'!$HZ$12:$IF$12)</f>
        <v>0</v>
      </c>
      <c r="DQ91" s="28">
        <f>SUMIF('Lease Cycles'!$HL$12:$HR$12,DQ$6,'Lease Cycles'!$HZ$12:$IF$12)</f>
        <v>0</v>
      </c>
      <c r="DR91" s="28">
        <f>SUMIF('Lease Cycles'!$HL$12:$HR$12,DR$6,'Lease Cycles'!$HZ$12:$IF$12)</f>
        <v>0</v>
      </c>
      <c r="DS91" s="28">
        <f>SUMIF('Lease Cycles'!$HL$12:$HR$12,DS$6,'Lease Cycles'!$HZ$12:$IF$12)</f>
        <v>0</v>
      </c>
      <c r="DT91" s="28">
        <f>SUMIF('Lease Cycles'!$HL$12:$HR$12,DT$6,'Lease Cycles'!$HZ$12:$IF$12)</f>
        <v>0</v>
      </c>
      <c r="DU91" s="28">
        <f>SUMIF('Lease Cycles'!$HL$12:$HR$12,DU$6,'Lease Cycles'!$HZ$12:$IF$12)</f>
        <v>0</v>
      </c>
      <c r="DV91" s="28">
        <f>SUMIF('Lease Cycles'!$HL$12:$HR$12,DV$6,'Lease Cycles'!$HZ$12:$IF$12)</f>
        <v>0</v>
      </c>
      <c r="DW91" s="28">
        <f>SUMIF('Lease Cycles'!$HL$12:$HR$12,DW$6,'Lease Cycles'!$HZ$12:$IF$12)</f>
        <v>0</v>
      </c>
      <c r="DX91" s="28">
        <f>SUMIF('Lease Cycles'!$HL$12:$HR$12,DX$6,'Lease Cycles'!$HZ$12:$IF$12)</f>
        <v>0</v>
      </c>
      <c r="DY91" s="28">
        <f>SUMIF('Lease Cycles'!$HL$12:$HR$12,DY$6,'Lease Cycles'!$HZ$12:$IF$12)</f>
        <v>0</v>
      </c>
      <c r="DZ91" s="28">
        <f>SUMIF('Lease Cycles'!$HL$12:$HR$12,DZ$6,'Lease Cycles'!$HZ$12:$IF$12)</f>
        <v>11244.373607646568</v>
      </c>
      <c r="EA91" s="28">
        <f>SUMIF('Lease Cycles'!$HL$12:$HR$12,EA$6,'Lease Cycles'!$HZ$12:$IF$12)</f>
        <v>0</v>
      </c>
      <c r="EB91" s="28">
        <f>SUMIF('Lease Cycles'!$HL$12:$HR$12,EB$6,'Lease Cycles'!$HZ$12:$IF$12)</f>
        <v>0</v>
      </c>
      <c r="EC91" s="28">
        <f>SUMIF('Lease Cycles'!$HL$12:$HR$12,EC$6,'Lease Cycles'!$HZ$12:$IF$12)</f>
        <v>0</v>
      </c>
      <c r="ED91" s="28">
        <f>SUMIF('Lease Cycles'!$HL$12:$HR$12,ED$6,'Lease Cycles'!$HZ$12:$IF$12)</f>
        <v>0</v>
      </c>
      <c r="EE91" s="28">
        <f>SUMIF('Lease Cycles'!$HL$12:$HR$12,EE$6,'Lease Cycles'!$HZ$12:$IF$12)</f>
        <v>0</v>
      </c>
      <c r="EF91" s="28">
        <f>SUMIF('Lease Cycles'!$HL$12:$HR$12,EF$6,'Lease Cycles'!$HZ$12:$IF$12)</f>
        <v>0</v>
      </c>
      <c r="EG91" s="28">
        <f>SUMIF('Lease Cycles'!$HL$12:$HR$12,EG$6,'Lease Cycles'!$HZ$12:$IF$12)</f>
        <v>0</v>
      </c>
      <c r="EH91" s="28">
        <f>SUMIF('Lease Cycles'!$HL$12:$HR$12,EH$6,'Lease Cycles'!$HZ$12:$IF$12)</f>
        <v>0</v>
      </c>
      <c r="EI91" s="28">
        <f>SUMIF('Lease Cycles'!$HL$12:$HR$12,EI$6,'Lease Cycles'!$HZ$12:$IF$12)</f>
        <v>0</v>
      </c>
      <c r="EJ91" s="28">
        <f>SUMIF('Lease Cycles'!$HL$12:$HR$12,EJ$6,'Lease Cycles'!$HZ$12:$IF$12)</f>
        <v>0</v>
      </c>
      <c r="EK91" s="28">
        <f>SUMIF('Lease Cycles'!$HL$12:$HR$12,EK$6,'Lease Cycles'!$HZ$12:$IF$12)</f>
        <v>0</v>
      </c>
      <c r="EL91" s="28">
        <f>SUMIF('Lease Cycles'!$HL$12:$HR$12,EL$6,'Lease Cycles'!$HZ$12:$IF$12)</f>
        <v>0</v>
      </c>
      <c r="EM91" s="28">
        <f>SUMIF('Lease Cycles'!$HL$12:$HR$12,EM$6,'Lease Cycles'!$HZ$12:$IF$12)</f>
        <v>0</v>
      </c>
      <c r="EN91" s="28">
        <f>SUMIF('Lease Cycles'!$HL$12:$HR$12,EN$6,'Lease Cycles'!$HZ$12:$IF$12)</f>
        <v>0</v>
      </c>
      <c r="EO91" s="28">
        <f>SUMIF('Lease Cycles'!$HL$12:$HR$12,EO$6,'Lease Cycles'!$HZ$12:$IF$12)</f>
        <v>0</v>
      </c>
      <c r="EP91" s="28">
        <f>SUMIF('Lease Cycles'!$HL$12:$HR$12,EP$6,'Lease Cycles'!$HZ$12:$IF$12)</f>
        <v>0</v>
      </c>
      <c r="EQ91" s="28">
        <f>SUMIF('Lease Cycles'!$HL$12:$HR$12,EQ$6,'Lease Cycles'!$HZ$12:$IF$12)</f>
        <v>0</v>
      </c>
      <c r="ER91" s="28">
        <f>SUMIF('Lease Cycles'!$HL$12:$HR$12,ER$6,'Lease Cycles'!$HZ$12:$IF$12)</f>
        <v>0</v>
      </c>
      <c r="ES91" s="28">
        <f>SUMIF('Lease Cycles'!$HL$12:$HR$12,ES$6,'Lease Cycles'!$HZ$12:$IF$12)</f>
        <v>0</v>
      </c>
      <c r="ET91" s="28">
        <f>SUMIF('Lease Cycles'!$HL$12:$HR$12,ET$6,'Lease Cycles'!$HZ$12:$IF$12)</f>
        <v>0</v>
      </c>
    </row>
    <row r="92">
      <c r="A92" s="103">
        <v>5</v>
      </c>
      <c r="B92" s="23" t="str">
        <f>IF('Lease Cycles'!$B$12="","(empty slot)",'Lease Cycles'!$B$12)</f>
        <v>Sunfield Pizza</v>
      </c>
      <c r="C92" s="23" t="s">
        <v>691</v>
      </c>
      <c r="D92" s="104" t="s">
        <v>692</v>
      </c>
      <c r="E92" s="25">
        <f>'Lease Cycles'!$AL$12</f>
        <v>0</v>
      </c>
      <c r="G92" s="28">
        <f>SUM(S92:AD92)</f>
        <v>0</v>
      </c>
      <c r="H92" s="28">
        <f>SUM(AE92:AP92)</f>
        <v>0</v>
      </c>
      <c r="I92" s="28">
        <f>SUM(AQ92:BB92)</f>
        <v>0</v>
      </c>
      <c r="J92" s="28">
        <f>SUM(BC92:BN92)</f>
        <v>0</v>
      </c>
      <c r="K92" s="28">
        <f>SUM(BO92:BZ92)</f>
        <v>0</v>
      </c>
      <c r="L92" s="28">
        <f>SUM(CA92:CL92)</f>
        <v>0</v>
      </c>
      <c r="M92" s="28">
        <f>SUM(CM92:CX92)</f>
        <v>0</v>
      </c>
      <c r="N92" s="28">
        <f>SUM(CY92:DJ92)</f>
        <v>0</v>
      </c>
      <c r="O92" s="28">
        <f>SUM(DK92:DV92)</f>
        <v>0</v>
      </c>
      <c r="P92" s="28">
        <f>SUM(DW92:EH92)</f>
        <v>0</v>
      </c>
      <c r="Q92" s="28">
        <f>SUM(EI92:ET92)</f>
        <v>0</v>
      </c>
      <c r="S92" s="28">
        <f>IF(S$6='Lease Cycles'!$HL$12,'Lease Cycles'!$HS$12+'Lease Cycles'!$HZ$12,0)</f>
        <v>0</v>
      </c>
      <c r="T92" s="28">
        <f>IF(T$6='Lease Cycles'!$HL$12,'Lease Cycles'!$HS$12+'Lease Cycles'!$HZ$12,0)</f>
        <v>0</v>
      </c>
      <c r="U92" s="28">
        <f>IF(U$6='Lease Cycles'!$HL$12,'Lease Cycles'!$HS$12+'Lease Cycles'!$HZ$12,0)</f>
        <v>0</v>
      </c>
      <c r="V92" s="28">
        <f>IF(V$6='Lease Cycles'!$HL$12,'Lease Cycles'!$HS$12+'Lease Cycles'!$HZ$12,0)</f>
        <v>0</v>
      </c>
      <c r="W92" s="28">
        <f>IF(W$6='Lease Cycles'!$HL$12,'Lease Cycles'!$HS$12+'Lease Cycles'!$HZ$12,0)</f>
        <v>0</v>
      </c>
      <c r="X92" s="28">
        <f>IF(X$6='Lease Cycles'!$HL$12,'Lease Cycles'!$HS$12+'Lease Cycles'!$HZ$12,0)</f>
        <v>0</v>
      </c>
      <c r="Y92" s="28">
        <f>IF(Y$6='Lease Cycles'!$HL$12,'Lease Cycles'!$HS$12+'Lease Cycles'!$HZ$12,0)</f>
        <v>0</v>
      </c>
      <c r="Z92" s="28">
        <f>IF(Z$6='Lease Cycles'!$HL$12,'Lease Cycles'!$HS$12+'Lease Cycles'!$HZ$12,0)</f>
        <v>0</v>
      </c>
      <c r="AA92" s="28">
        <f>IF(AA$6='Lease Cycles'!$HL$12,'Lease Cycles'!$HS$12+'Lease Cycles'!$HZ$12,0)</f>
        <v>0</v>
      </c>
      <c r="AB92" s="28">
        <f>IF(AB$6='Lease Cycles'!$HL$12,'Lease Cycles'!$HS$12+'Lease Cycles'!$HZ$12,0)</f>
        <v>0</v>
      </c>
      <c r="AC92" s="28">
        <f>IF(AC$6='Lease Cycles'!$HL$12,'Lease Cycles'!$HS$12+'Lease Cycles'!$HZ$12,0)</f>
        <v>0</v>
      </c>
      <c r="AD92" s="28">
        <f>IF(AD$6='Lease Cycles'!$HL$12,'Lease Cycles'!$HS$12+'Lease Cycles'!$HZ$12,0)</f>
        <v>0</v>
      </c>
      <c r="AE92" s="28">
        <f>IF(AE$6='Lease Cycles'!$HL$12,'Lease Cycles'!$HS$12+'Lease Cycles'!$HZ$12,0)</f>
        <v>0</v>
      </c>
      <c r="AF92" s="28">
        <f>IF(AF$6='Lease Cycles'!$HL$12,'Lease Cycles'!$HS$12+'Lease Cycles'!$HZ$12,0)</f>
        <v>0</v>
      </c>
      <c r="AG92" s="28">
        <f>IF(AG$6='Lease Cycles'!$HL$12,'Lease Cycles'!$HS$12+'Lease Cycles'!$HZ$12,0)</f>
        <v>0</v>
      </c>
      <c r="AH92" s="28">
        <f>IF(AH$6='Lease Cycles'!$HL$12,'Lease Cycles'!$HS$12+'Lease Cycles'!$HZ$12,0)</f>
        <v>0</v>
      </c>
      <c r="AI92" s="28">
        <f>IF(AI$6='Lease Cycles'!$HL$12,'Lease Cycles'!$HS$12+'Lease Cycles'!$HZ$12,0)</f>
        <v>0</v>
      </c>
      <c r="AJ92" s="28">
        <f>IF(AJ$6='Lease Cycles'!$HL$12,'Lease Cycles'!$HS$12+'Lease Cycles'!$HZ$12,0)</f>
        <v>0</v>
      </c>
      <c r="AK92" s="28">
        <f>IF(AK$6='Lease Cycles'!$HL$12,'Lease Cycles'!$HS$12+'Lease Cycles'!$HZ$12,0)</f>
        <v>0</v>
      </c>
      <c r="AL92" s="28">
        <f>IF(AL$6='Lease Cycles'!$HL$12,'Lease Cycles'!$HS$12+'Lease Cycles'!$HZ$12,0)</f>
        <v>0</v>
      </c>
      <c r="AM92" s="28">
        <f>IF(AM$6='Lease Cycles'!$HL$12,'Lease Cycles'!$HS$12+'Lease Cycles'!$HZ$12,0)</f>
        <v>0</v>
      </c>
      <c r="AN92" s="28">
        <f>IF(AN$6='Lease Cycles'!$HL$12,'Lease Cycles'!$HS$12+'Lease Cycles'!$HZ$12,0)</f>
        <v>0</v>
      </c>
      <c r="AO92" s="28">
        <f>IF(AO$6='Lease Cycles'!$HL$12,'Lease Cycles'!$HS$12+'Lease Cycles'!$HZ$12,0)</f>
        <v>0</v>
      </c>
      <c r="AP92" s="28">
        <f>IF(AP$6='Lease Cycles'!$HL$12,'Lease Cycles'!$HS$12+'Lease Cycles'!$HZ$12,0)</f>
        <v>0</v>
      </c>
      <c r="AQ92" s="28">
        <f>IF(AQ$6='Lease Cycles'!$HL$12,'Lease Cycles'!$HS$12+'Lease Cycles'!$HZ$12,0)</f>
        <v>0</v>
      </c>
      <c r="AR92" s="28">
        <f>IF(AR$6='Lease Cycles'!$HL$12,'Lease Cycles'!$HS$12+'Lease Cycles'!$HZ$12,0)</f>
        <v>0</v>
      </c>
      <c r="AS92" s="28">
        <f>IF(AS$6='Lease Cycles'!$HL$12,'Lease Cycles'!$HS$12+'Lease Cycles'!$HZ$12,0)</f>
        <v>0</v>
      </c>
      <c r="AT92" s="28">
        <f>IF(AT$6='Lease Cycles'!$HL$12,'Lease Cycles'!$HS$12+'Lease Cycles'!$HZ$12,0)</f>
        <v>0</v>
      </c>
      <c r="AU92" s="28">
        <f>IF(AU$6='Lease Cycles'!$HL$12,'Lease Cycles'!$HS$12+'Lease Cycles'!$HZ$12,0)</f>
        <v>0</v>
      </c>
      <c r="AV92" s="28">
        <f>IF(AV$6='Lease Cycles'!$HL$12,'Lease Cycles'!$HS$12+'Lease Cycles'!$HZ$12,0)</f>
        <v>0</v>
      </c>
      <c r="AW92" s="28">
        <f>IF(AW$6='Lease Cycles'!$HL$12,'Lease Cycles'!$HS$12+'Lease Cycles'!$HZ$12,0)</f>
        <v>0</v>
      </c>
      <c r="AX92" s="28">
        <f>IF(AX$6='Lease Cycles'!$HL$12,'Lease Cycles'!$HS$12+'Lease Cycles'!$HZ$12,0)</f>
        <v>0</v>
      </c>
      <c r="AY92" s="28">
        <f>IF(AY$6='Lease Cycles'!$HL$12,'Lease Cycles'!$HS$12+'Lease Cycles'!$HZ$12,0)</f>
        <v>0</v>
      </c>
      <c r="AZ92" s="28">
        <f>IF(AZ$6='Lease Cycles'!$HL$12,'Lease Cycles'!$HS$12+'Lease Cycles'!$HZ$12,0)</f>
        <v>0</v>
      </c>
      <c r="BA92" s="28">
        <f>IF(BA$6='Lease Cycles'!$HL$12,'Lease Cycles'!$HS$12+'Lease Cycles'!$HZ$12,0)</f>
        <v>0</v>
      </c>
      <c r="BB92" s="28">
        <f>IF(BB$6='Lease Cycles'!$HL$12,'Lease Cycles'!$HS$12+'Lease Cycles'!$HZ$12,0)</f>
        <v>0</v>
      </c>
      <c r="BC92" s="28">
        <f>IF(BC$6='Lease Cycles'!$HL$12,'Lease Cycles'!$HS$12+'Lease Cycles'!$HZ$12,0)</f>
        <v>0</v>
      </c>
      <c r="BD92" s="28">
        <f>IF(BD$6='Lease Cycles'!$HL$12,'Lease Cycles'!$HS$12+'Lease Cycles'!$HZ$12,0)</f>
        <v>0</v>
      </c>
      <c r="BE92" s="28">
        <f>IF(BE$6='Lease Cycles'!$HL$12,'Lease Cycles'!$HS$12+'Lease Cycles'!$HZ$12,0)</f>
        <v>0</v>
      </c>
      <c r="BF92" s="28">
        <f>IF(BF$6='Lease Cycles'!$HL$12,'Lease Cycles'!$HS$12+'Lease Cycles'!$HZ$12,0)</f>
        <v>0</v>
      </c>
      <c r="BG92" s="28">
        <f>IF(BG$6='Lease Cycles'!$HL$12,'Lease Cycles'!$HS$12+'Lease Cycles'!$HZ$12,0)</f>
        <v>0</v>
      </c>
      <c r="BH92" s="28">
        <f>IF(BH$6='Lease Cycles'!$HL$12,'Lease Cycles'!$HS$12+'Lease Cycles'!$HZ$12,0)</f>
        <v>0</v>
      </c>
      <c r="BI92" s="28">
        <f>IF(BI$6='Lease Cycles'!$HL$12,'Lease Cycles'!$HS$12+'Lease Cycles'!$HZ$12,0)</f>
        <v>0</v>
      </c>
      <c r="BJ92" s="28">
        <f>IF(BJ$6='Lease Cycles'!$HL$12,'Lease Cycles'!$HS$12+'Lease Cycles'!$HZ$12,0)</f>
        <v>0</v>
      </c>
      <c r="BK92" s="28">
        <f>IF(BK$6='Lease Cycles'!$HL$12,'Lease Cycles'!$HS$12+'Lease Cycles'!$HZ$12,0)</f>
        <v>0</v>
      </c>
      <c r="BL92" s="28">
        <f>IF(BL$6='Lease Cycles'!$HL$12,'Lease Cycles'!$HS$12+'Lease Cycles'!$HZ$12,0)</f>
        <v>0</v>
      </c>
      <c r="BM92" s="28">
        <f>IF(BM$6='Lease Cycles'!$HL$12,'Lease Cycles'!$HS$12+'Lease Cycles'!$HZ$12,0)</f>
        <v>0</v>
      </c>
      <c r="BN92" s="28">
        <f>IF(BN$6='Lease Cycles'!$HL$12,'Lease Cycles'!$HS$12+'Lease Cycles'!$HZ$12,0)</f>
        <v>0</v>
      </c>
      <c r="BO92" s="28">
        <f>IF(BO$6='Lease Cycles'!$HL$12,'Lease Cycles'!$HS$12+'Lease Cycles'!$HZ$12,0)</f>
        <v>0</v>
      </c>
      <c r="BP92" s="28">
        <f>IF(BP$6='Lease Cycles'!$HL$12,'Lease Cycles'!$HS$12+'Lease Cycles'!$HZ$12,0)</f>
        <v>0</v>
      </c>
      <c r="BQ92" s="28">
        <f>IF(BQ$6='Lease Cycles'!$HL$12,'Lease Cycles'!$HS$12+'Lease Cycles'!$HZ$12,0)</f>
        <v>0</v>
      </c>
      <c r="BR92" s="28">
        <f>IF(BR$6='Lease Cycles'!$HL$12,'Lease Cycles'!$HS$12+'Lease Cycles'!$HZ$12,0)</f>
        <v>0</v>
      </c>
      <c r="BS92" s="28">
        <f>IF(BS$6='Lease Cycles'!$HL$12,'Lease Cycles'!$HS$12+'Lease Cycles'!$HZ$12,0)</f>
        <v>0</v>
      </c>
      <c r="BT92" s="28">
        <f>IF(BT$6='Lease Cycles'!$HL$12,'Lease Cycles'!$HS$12+'Lease Cycles'!$HZ$12,0)</f>
        <v>0</v>
      </c>
      <c r="BU92" s="28">
        <f>IF(BU$6='Lease Cycles'!$HL$12,'Lease Cycles'!$HS$12+'Lease Cycles'!$HZ$12,0)</f>
        <v>0</v>
      </c>
      <c r="BV92" s="28">
        <f>IF(BV$6='Lease Cycles'!$HL$12,'Lease Cycles'!$HS$12+'Lease Cycles'!$HZ$12,0)</f>
        <v>0</v>
      </c>
      <c r="BW92" s="28">
        <f>IF(BW$6='Lease Cycles'!$HL$12,'Lease Cycles'!$HS$12+'Lease Cycles'!$HZ$12,0)</f>
        <v>0</v>
      </c>
      <c r="BX92" s="28">
        <f>IF(BX$6='Lease Cycles'!$HL$12,'Lease Cycles'!$HS$12+'Lease Cycles'!$HZ$12,0)</f>
        <v>0</v>
      </c>
      <c r="BY92" s="28">
        <f>IF(BY$6='Lease Cycles'!$HL$12,'Lease Cycles'!$HS$12+'Lease Cycles'!$HZ$12,0)</f>
        <v>0</v>
      </c>
      <c r="BZ92" s="28">
        <f>IF(BZ$6='Lease Cycles'!$HL$12,'Lease Cycles'!$HS$12+'Lease Cycles'!$HZ$12,0)</f>
        <v>0</v>
      </c>
      <c r="CA92" s="28">
        <f>IF(CA$6='Lease Cycles'!$HL$12,'Lease Cycles'!$HS$12+'Lease Cycles'!$HZ$12,0)</f>
        <v>0</v>
      </c>
      <c r="CB92" s="28">
        <f>IF(CB$6='Lease Cycles'!$HL$12,'Lease Cycles'!$HS$12+'Lease Cycles'!$HZ$12,0)</f>
        <v>0</v>
      </c>
      <c r="CC92" s="28">
        <f>IF(CC$6='Lease Cycles'!$HL$12,'Lease Cycles'!$HS$12+'Lease Cycles'!$HZ$12,0)</f>
        <v>0</v>
      </c>
      <c r="CD92" s="28">
        <f>IF(CD$6='Lease Cycles'!$HL$12,'Lease Cycles'!$HS$12+'Lease Cycles'!$HZ$12,0)</f>
        <v>0</v>
      </c>
      <c r="CE92" s="28">
        <f>IF(CE$6='Lease Cycles'!$HL$12,'Lease Cycles'!$HS$12+'Lease Cycles'!$HZ$12,0)</f>
        <v>0</v>
      </c>
      <c r="CF92" s="28">
        <f>IF(CF$6='Lease Cycles'!$HL$12,'Lease Cycles'!$HS$12+'Lease Cycles'!$HZ$12,0)</f>
        <v>0</v>
      </c>
      <c r="CG92" s="28">
        <f>IF(CG$6='Lease Cycles'!$HL$12,'Lease Cycles'!$HS$12+'Lease Cycles'!$HZ$12,0)</f>
        <v>0</v>
      </c>
      <c r="CH92" s="28">
        <f>IF(CH$6='Lease Cycles'!$HL$12,'Lease Cycles'!$HS$12+'Lease Cycles'!$HZ$12,0)</f>
        <v>0</v>
      </c>
      <c r="CI92" s="28">
        <f>IF(CI$6='Lease Cycles'!$HL$12,'Lease Cycles'!$HS$12+'Lease Cycles'!$HZ$12,0)</f>
        <v>0</v>
      </c>
      <c r="CJ92" s="28">
        <f>IF(CJ$6='Lease Cycles'!$HL$12,'Lease Cycles'!$HS$12+'Lease Cycles'!$HZ$12,0)</f>
        <v>0</v>
      </c>
      <c r="CK92" s="28">
        <f>IF(CK$6='Lease Cycles'!$HL$12,'Lease Cycles'!$HS$12+'Lease Cycles'!$HZ$12,0)</f>
        <v>0</v>
      </c>
      <c r="CL92" s="28">
        <f>IF(CL$6='Lease Cycles'!$HL$12,'Lease Cycles'!$HS$12+'Lease Cycles'!$HZ$12,0)</f>
        <v>0</v>
      </c>
      <c r="CM92" s="28">
        <f>IF(CM$6='Lease Cycles'!$HL$12,'Lease Cycles'!$HS$12+'Lease Cycles'!$HZ$12,0)</f>
        <v>0</v>
      </c>
      <c r="CN92" s="28">
        <f>IF(CN$6='Lease Cycles'!$HL$12,'Lease Cycles'!$HS$12+'Lease Cycles'!$HZ$12,0)</f>
        <v>0</v>
      </c>
      <c r="CO92" s="28">
        <f>IF(CO$6='Lease Cycles'!$HL$12,'Lease Cycles'!$HS$12+'Lease Cycles'!$HZ$12,0)</f>
        <v>0</v>
      </c>
      <c r="CP92" s="28">
        <f>IF(CP$6='Lease Cycles'!$HL$12,'Lease Cycles'!$HS$12+'Lease Cycles'!$HZ$12,0)</f>
        <v>0</v>
      </c>
      <c r="CQ92" s="28">
        <f>IF(CQ$6='Lease Cycles'!$HL$12,'Lease Cycles'!$HS$12+'Lease Cycles'!$HZ$12,0)</f>
        <v>0</v>
      </c>
      <c r="CR92" s="28">
        <f>IF(CR$6='Lease Cycles'!$HL$12,'Lease Cycles'!$HS$12+'Lease Cycles'!$HZ$12,0)</f>
        <v>0</v>
      </c>
      <c r="CS92" s="28">
        <f>IF(CS$6='Lease Cycles'!$HL$12,'Lease Cycles'!$HS$12+'Lease Cycles'!$HZ$12,0)</f>
        <v>0</v>
      </c>
      <c r="CT92" s="28">
        <f>IF(CT$6='Lease Cycles'!$HL$12,'Lease Cycles'!$HS$12+'Lease Cycles'!$HZ$12,0)</f>
        <v>0</v>
      </c>
      <c r="CU92" s="28">
        <f>IF(CU$6='Lease Cycles'!$HL$12,'Lease Cycles'!$HS$12+'Lease Cycles'!$HZ$12,0)</f>
        <v>0</v>
      </c>
      <c r="CV92" s="28">
        <f>IF(CV$6='Lease Cycles'!$HL$12,'Lease Cycles'!$HS$12+'Lease Cycles'!$HZ$12,0)</f>
        <v>0</v>
      </c>
      <c r="CW92" s="28">
        <f>IF(CW$6='Lease Cycles'!$HL$12,'Lease Cycles'!$HS$12+'Lease Cycles'!$HZ$12,0)</f>
        <v>0</v>
      </c>
      <c r="CX92" s="28">
        <f>IF(CX$6='Lease Cycles'!$HL$12,'Lease Cycles'!$HS$12+'Lease Cycles'!$HZ$12,0)</f>
        <v>0</v>
      </c>
      <c r="CY92" s="28">
        <f>IF(CY$6='Lease Cycles'!$HL$12,'Lease Cycles'!$HS$12+'Lease Cycles'!$HZ$12,0)</f>
        <v>0</v>
      </c>
      <c r="CZ92" s="28">
        <f>IF(CZ$6='Lease Cycles'!$HL$12,'Lease Cycles'!$HS$12+'Lease Cycles'!$HZ$12,0)</f>
        <v>0</v>
      </c>
      <c r="DA92" s="28">
        <f>IF(DA$6='Lease Cycles'!$HL$12,'Lease Cycles'!$HS$12+'Lease Cycles'!$HZ$12,0)</f>
        <v>0</v>
      </c>
      <c r="DB92" s="28">
        <f>IF(DB$6='Lease Cycles'!$HL$12,'Lease Cycles'!$HS$12+'Lease Cycles'!$HZ$12,0)</f>
        <v>0</v>
      </c>
      <c r="DC92" s="28">
        <f>IF(DC$6='Lease Cycles'!$HL$12,'Lease Cycles'!$HS$12+'Lease Cycles'!$HZ$12,0)</f>
        <v>0</v>
      </c>
      <c r="DD92" s="28">
        <f>IF(DD$6='Lease Cycles'!$HL$12,'Lease Cycles'!$HS$12+'Lease Cycles'!$HZ$12,0)</f>
        <v>0</v>
      </c>
      <c r="DE92" s="28">
        <f>IF(DE$6='Lease Cycles'!$HL$12,'Lease Cycles'!$HS$12+'Lease Cycles'!$HZ$12,0)</f>
        <v>0</v>
      </c>
      <c r="DF92" s="28">
        <f>IF(DF$6='Lease Cycles'!$HL$12,'Lease Cycles'!$HS$12+'Lease Cycles'!$HZ$12,0)</f>
        <v>0</v>
      </c>
      <c r="DG92" s="28">
        <f>IF(DG$6='Lease Cycles'!$HL$12,'Lease Cycles'!$HS$12+'Lease Cycles'!$HZ$12,0)</f>
        <v>0</v>
      </c>
      <c r="DH92" s="28">
        <f>IF(DH$6='Lease Cycles'!$HL$12,'Lease Cycles'!$HS$12+'Lease Cycles'!$HZ$12,0)</f>
        <v>0</v>
      </c>
      <c r="DI92" s="28">
        <f>IF(DI$6='Lease Cycles'!$HL$12,'Lease Cycles'!$HS$12+'Lease Cycles'!$HZ$12,0)</f>
        <v>0</v>
      </c>
      <c r="DJ92" s="28">
        <f>IF(DJ$6='Lease Cycles'!$HL$12,'Lease Cycles'!$HS$12+'Lease Cycles'!$HZ$12,0)</f>
        <v>0</v>
      </c>
      <c r="DK92" s="28">
        <f>IF(DK$6='Lease Cycles'!$HL$12,'Lease Cycles'!$HS$12+'Lease Cycles'!$HZ$12,0)</f>
        <v>0</v>
      </c>
      <c r="DL92" s="28">
        <f>IF(DL$6='Lease Cycles'!$HL$12,'Lease Cycles'!$HS$12+'Lease Cycles'!$HZ$12,0)</f>
        <v>0</v>
      </c>
      <c r="DM92" s="28">
        <f>IF(DM$6='Lease Cycles'!$HL$12,'Lease Cycles'!$HS$12+'Lease Cycles'!$HZ$12,0)</f>
        <v>0</v>
      </c>
      <c r="DN92" s="28">
        <f>IF(DN$6='Lease Cycles'!$HL$12,'Lease Cycles'!$HS$12+'Lease Cycles'!$HZ$12,0)</f>
        <v>0</v>
      </c>
      <c r="DO92" s="28">
        <f>IF(DO$6='Lease Cycles'!$HL$12,'Lease Cycles'!$HS$12+'Lease Cycles'!$HZ$12,0)</f>
        <v>0</v>
      </c>
      <c r="DP92" s="28">
        <f>IF(DP$6='Lease Cycles'!$HL$12,'Lease Cycles'!$HS$12+'Lease Cycles'!$HZ$12,0)</f>
        <v>0</v>
      </c>
      <c r="DQ92" s="28">
        <f>IF(DQ$6='Lease Cycles'!$HL$12,'Lease Cycles'!$HS$12+'Lease Cycles'!$HZ$12,0)</f>
        <v>0</v>
      </c>
      <c r="DR92" s="28">
        <f>IF(DR$6='Lease Cycles'!$HL$12,'Lease Cycles'!$HS$12+'Lease Cycles'!$HZ$12,0)</f>
        <v>0</v>
      </c>
      <c r="DS92" s="28">
        <f>IF(DS$6='Lease Cycles'!$HL$12,'Lease Cycles'!$HS$12+'Lease Cycles'!$HZ$12,0)</f>
        <v>0</v>
      </c>
      <c r="DT92" s="28">
        <f>IF(DT$6='Lease Cycles'!$HL$12,'Lease Cycles'!$HS$12+'Lease Cycles'!$HZ$12,0)</f>
        <v>0</v>
      </c>
      <c r="DU92" s="28">
        <f>IF(DU$6='Lease Cycles'!$HL$12,'Lease Cycles'!$HS$12+'Lease Cycles'!$HZ$12,0)</f>
        <v>0</v>
      </c>
      <c r="DV92" s="28">
        <f>IF(DV$6='Lease Cycles'!$HL$12,'Lease Cycles'!$HS$12+'Lease Cycles'!$HZ$12,0)</f>
        <v>0</v>
      </c>
      <c r="DW92" s="28">
        <f>IF(DW$6='Lease Cycles'!$HL$12,'Lease Cycles'!$HS$12+'Lease Cycles'!$HZ$12,0)</f>
        <v>0</v>
      </c>
      <c r="DX92" s="28">
        <f>IF(DX$6='Lease Cycles'!$HL$12,'Lease Cycles'!$HS$12+'Lease Cycles'!$HZ$12,0)</f>
        <v>0</v>
      </c>
      <c r="DY92" s="28">
        <f>IF(DY$6='Lease Cycles'!$HL$12,'Lease Cycles'!$HS$12+'Lease Cycles'!$HZ$12,0)</f>
        <v>0</v>
      </c>
      <c r="DZ92" s="28">
        <f>IF(DZ$6='Lease Cycles'!$HL$12,'Lease Cycles'!$HS$12+'Lease Cycles'!$HZ$12,0)</f>
        <v>0</v>
      </c>
      <c r="EA92" s="28">
        <f>IF(EA$6='Lease Cycles'!$HL$12,'Lease Cycles'!$HS$12+'Lease Cycles'!$HZ$12,0)</f>
        <v>0</v>
      </c>
      <c r="EB92" s="28">
        <f>IF(EB$6='Lease Cycles'!$HL$12,'Lease Cycles'!$HS$12+'Lease Cycles'!$HZ$12,0)</f>
        <v>0</v>
      </c>
      <c r="EC92" s="28">
        <f>IF(EC$6='Lease Cycles'!$HL$12,'Lease Cycles'!$HS$12+'Lease Cycles'!$HZ$12,0)</f>
        <v>0</v>
      </c>
      <c r="ED92" s="28">
        <f>IF(ED$6='Lease Cycles'!$HL$12,'Lease Cycles'!$HS$12+'Lease Cycles'!$HZ$12,0)</f>
        <v>0</v>
      </c>
      <c r="EE92" s="28">
        <f>IF(EE$6='Lease Cycles'!$HL$12,'Lease Cycles'!$HS$12+'Lease Cycles'!$HZ$12,0)</f>
        <v>0</v>
      </c>
      <c r="EF92" s="28">
        <f>IF(EF$6='Lease Cycles'!$HL$12,'Lease Cycles'!$HS$12+'Lease Cycles'!$HZ$12,0)</f>
        <v>0</v>
      </c>
      <c r="EG92" s="28">
        <f>IF(EG$6='Lease Cycles'!$HL$12,'Lease Cycles'!$HS$12+'Lease Cycles'!$HZ$12,0)</f>
        <v>0</v>
      </c>
      <c r="EH92" s="28">
        <f>IF(EH$6='Lease Cycles'!$HL$12,'Lease Cycles'!$HS$12+'Lease Cycles'!$HZ$12,0)</f>
        <v>0</v>
      </c>
      <c r="EI92" s="28">
        <f>IF(EI$6='Lease Cycles'!$HL$12,'Lease Cycles'!$HS$12+'Lease Cycles'!$HZ$12,0)</f>
        <v>0</v>
      </c>
      <c r="EJ92" s="28">
        <f>IF(EJ$6='Lease Cycles'!$HL$12,'Lease Cycles'!$HS$12+'Lease Cycles'!$HZ$12,0)</f>
        <v>0</v>
      </c>
      <c r="EK92" s="28">
        <f>IF(EK$6='Lease Cycles'!$HL$12,'Lease Cycles'!$HS$12+'Lease Cycles'!$HZ$12,0)</f>
        <v>0</v>
      </c>
      <c r="EL92" s="28">
        <f>IF(EL$6='Lease Cycles'!$HL$12,'Lease Cycles'!$HS$12+'Lease Cycles'!$HZ$12,0)</f>
        <v>0</v>
      </c>
      <c r="EM92" s="28">
        <f>IF(EM$6='Lease Cycles'!$HL$12,'Lease Cycles'!$HS$12+'Lease Cycles'!$HZ$12,0)</f>
        <v>0</v>
      </c>
      <c r="EN92" s="28">
        <f>IF(EN$6='Lease Cycles'!$HL$12,'Lease Cycles'!$HS$12+'Lease Cycles'!$HZ$12,0)</f>
        <v>0</v>
      </c>
      <c r="EO92" s="28">
        <f>IF(EO$6='Lease Cycles'!$HL$12,'Lease Cycles'!$HS$12+'Lease Cycles'!$HZ$12,0)</f>
        <v>0</v>
      </c>
      <c r="EP92" s="28">
        <f>IF(EP$6='Lease Cycles'!$HL$12,'Lease Cycles'!$HS$12+'Lease Cycles'!$HZ$12,0)</f>
        <v>0</v>
      </c>
      <c r="EQ92" s="28">
        <f>IF(EQ$6='Lease Cycles'!$HL$12,'Lease Cycles'!$HS$12+'Lease Cycles'!$HZ$12,0)</f>
        <v>0</v>
      </c>
      <c r="ER92" s="28">
        <f>IF(ER$6='Lease Cycles'!$HL$12,'Lease Cycles'!$HS$12+'Lease Cycles'!$HZ$12,0)</f>
        <v>0</v>
      </c>
      <c r="ES92" s="28">
        <f>IF(ES$6='Lease Cycles'!$HL$12,'Lease Cycles'!$HS$12+'Lease Cycles'!$HZ$12,0)</f>
        <v>0</v>
      </c>
      <c r="ET92" s="28">
        <f>IF(ET$6='Lease Cycles'!$HL$12,'Lease Cycles'!$HS$12+'Lease Cycles'!$HZ$12,0)</f>
        <v>0</v>
      </c>
    </row>
    <row r="93">
      <c r="A93" s="103">
        <v>5</v>
      </c>
      <c r="B93" s="23" t="str">
        <f>IF('Lease Cycles'!$B$12="","(empty slot)",'Lease Cycles'!$B$12)</f>
        <v>Sunfield Pizza</v>
      </c>
      <c r="C93" s="23" t="s">
        <v>499</v>
      </c>
      <c r="D93" s="104" t="s">
        <v>500</v>
      </c>
      <c r="E93" s="25">
        <f>'Lease Cycles'!$AL$12</f>
        <v>0</v>
      </c>
      <c r="G93" s="28">
        <f>MAX(0,'Lease Cycles'!$AN$12*'Lease Cycles'!$C$12*'Lease Cycles'!$AM$12*(1+a_SalesGrowth)^(G$6-1)-G83)</f>
        <v>0</v>
      </c>
      <c r="H93" s="28">
        <f>MAX(0,'Lease Cycles'!$AN$12*'Lease Cycles'!$C$12*'Lease Cycles'!$AM$12*(1+a_SalesGrowth)^(H$6-1)-H83)</f>
        <v>0</v>
      </c>
      <c r="I93" s="28">
        <f>MAX(0,'Lease Cycles'!$AN$12*'Lease Cycles'!$C$12*'Lease Cycles'!$AM$12*(1+a_SalesGrowth)^(I$6-1)-I83)</f>
        <v>0</v>
      </c>
      <c r="J93" s="28">
        <f>MAX(0,'Lease Cycles'!$AN$12*'Lease Cycles'!$C$12*'Lease Cycles'!$AM$12*(1+a_SalesGrowth)^(J$6-1)-J83)</f>
        <v>0</v>
      </c>
      <c r="K93" s="28">
        <f>MAX(0,'Lease Cycles'!$AN$12*'Lease Cycles'!$C$12*'Lease Cycles'!$AM$12*(1+a_SalesGrowth)^(K$6-1)-K83)</f>
        <v>0</v>
      </c>
      <c r="L93" s="28">
        <f>MAX(0,'Lease Cycles'!$AN$12*'Lease Cycles'!$C$12*'Lease Cycles'!$AM$12*(1+a_SalesGrowth)^(L$6-1)-L83)</f>
        <v>0</v>
      </c>
      <c r="M93" s="28">
        <f>MAX(0,'Lease Cycles'!$AN$12*'Lease Cycles'!$C$12*'Lease Cycles'!$AM$12*(1+a_SalesGrowth)^(M$6-1)-M83)</f>
        <v>0</v>
      </c>
      <c r="N93" s="28">
        <f>MAX(0,'Lease Cycles'!$AN$12*'Lease Cycles'!$C$12*'Lease Cycles'!$AM$12*(1+a_SalesGrowth)^(N$6-1)-N83)</f>
        <v>0</v>
      </c>
      <c r="O93" s="28">
        <f>MAX(0,'Lease Cycles'!$AN$12*'Lease Cycles'!$C$12*'Lease Cycles'!$AM$12*(1+a_SalesGrowth)^(O$6-1)-O83)</f>
        <v>0</v>
      </c>
      <c r="P93" s="28">
        <f>MAX(0,'Lease Cycles'!$AN$12*'Lease Cycles'!$C$12*'Lease Cycles'!$AM$12*(1+a_SalesGrowth)^(P$6-1)-P83)</f>
        <v>0</v>
      </c>
      <c r="Q93" s="28">
        <f>MAX(0,'Lease Cycles'!$AN$12*'Lease Cycles'!$C$12*'Lease Cycles'!$AM$12*(1+a_SalesGrowth)^(Q$6-1)-Q83)</f>
        <v>0</v>
      </c>
    </row>
    <row r="95">
      <c r="A95" s="103">
        <v>6</v>
      </c>
      <c r="B95" s="23" t="str">
        <f>IF('Lease Cycles'!$B$13="","(empty slot)",'Lease Cycles'!$B$13)</f>
        <v>Sunfield Cleaners</v>
      </c>
      <c r="C95" s="23" t="s">
        <v>671</v>
      </c>
      <c r="D95" s="104" t="s">
        <v>672</v>
      </c>
      <c r="E95" s="25">
        <f>'Lease Cycles'!$AL$13</f>
        <v>0</v>
      </c>
      <c r="S95" s="25">
        <f>IF('Lease Cycles'!$C$13&gt;0,COUNTIF('Lease Cycles'!$BG$13:$BM$13,"&lt;="&amp;S$6),0)</f>
        <v>1</v>
      </c>
      <c r="T95" s="25">
        <f>IF('Lease Cycles'!$C$13&gt;0,COUNTIF('Lease Cycles'!$BG$13:$BM$13,"&lt;="&amp;T$6),0)</f>
        <v>1</v>
      </c>
      <c r="U95" s="25">
        <f>IF('Lease Cycles'!$C$13&gt;0,COUNTIF('Lease Cycles'!$BG$13:$BM$13,"&lt;="&amp;U$6),0)</f>
        <v>1</v>
      </c>
      <c r="V95" s="25">
        <f>IF('Lease Cycles'!$C$13&gt;0,COUNTIF('Lease Cycles'!$BG$13:$BM$13,"&lt;="&amp;V$6),0)</f>
        <v>1</v>
      </c>
      <c r="W95" s="25">
        <f>IF('Lease Cycles'!$C$13&gt;0,COUNTIF('Lease Cycles'!$BG$13:$BM$13,"&lt;="&amp;W$6),0)</f>
        <v>1</v>
      </c>
      <c r="X95" s="25">
        <f>IF('Lease Cycles'!$C$13&gt;0,COUNTIF('Lease Cycles'!$BG$13:$BM$13,"&lt;="&amp;X$6),0)</f>
        <v>1</v>
      </c>
      <c r="Y95" s="25">
        <f>IF('Lease Cycles'!$C$13&gt;0,COUNTIF('Lease Cycles'!$BG$13:$BM$13,"&lt;="&amp;Y$6),0)</f>
        <v>1</v>
      </c>
      <c r="Z95" s="25">
        <f>IF('Lease Cycles'!$C$13&gt;0,COUNTIF('Lease Cycles'!$BG$13:$BM$13,"&lt;="&amp;Z$6),0)</f>
        <v>1</v>
      </c>
      <c r="AA95" s="25">
        <f>IF('Lease Cycles'!$C$13&gt;0,COUNTIF('Lease Cycles'!$BG$13:$BM$13,"&lt;="&amp;AA$6),0)</f>
        <v>1</v>
      </c>
      <c r="AB95" s="25">
        <f>IF('Lease Cycles'!$C$13&gt;0,COUNTIF('Lease Cycles'!$BG$13:$BM$13,"&lt;="&amp;AB$6),0)</f>
        <v>1</v>
      </c>
      <c r="AC95" s="25">
        <f>IF('Lease Cycles'!$C$13&gt;0,COUNTIF('Lease Cycles'!$BG$13:$BM$13,"&lt;="&amp;AC$6),0)</f>
        <v>1</v>
      </c>
      <c r="AD95" s="25">
        <f>IF('Lease Cycles'!$C$13&gt;0,COUNTIF('Lease Cycles'!$BG$13:$BM$13,"&lt;="&amp;AD$6),0)</f>
        <v>1</v>
      </c>
      <c r="AE95" s="25">
        <f>IF('Lease Cycles'!$C$13&gt;0,COUNTIF('Lease Cycles'!$BG$13:$BM$13,"&lt;="&amp;AE$6),0)</f>
        <v>1</v>
      </c>
      <c r="AF95" s="25">
        <f>IF('Lease Cycles'!$C$13&gt;0,COUNTIF('Lease Cycles'!$BG$13:$BM$13,"&lt;="&amp;AF$6),0)</f>
        <v>1</v>
      </c>
      <c r="AG95" s="25">
        <f>IF('Lease Cycles'!$C$13&gt;0,COUNTIF('Lease Cycles'!$BG$13:$BM$13,"&lt;="&amp;AG$6),0)</f>
        <v>1</v>
      </c>
      <c r="AH95" s="25">
        <f>IF('Lease Cycles'!$C$13&gt;0,COUNTIF('Lease Cycles'!$BG$13:$BM$13,"&lt;="&amp;AH$6),0)</f>
        <v>1</v>
      </c>
      <c r="AI95" s="25">
        <f>IF('Lease Cycles'!$C$13&gt;0,COUNTIF('Lease Cycles'!$BG$13:$BM$13,"&lt;="&amp;AI$6),0)</f>
        <v>1</v>
      </c>
      <c r="AJ95" s="25">
        <f>IF('Lease Cycles'!$C$13&gt;0,COUNTIF('Lease Cycles'!$BG$13:$BM$13,"&lt;="&amp;AJ$6),0)</f>
        <v>1</v>
      </c>
      <c r="AK95" s="25">
        <f>IF('Lease Cycles'!$C$13&gt;0,COUNTIF('Lease Cycles'!$BG$13:$BM$13,"&lt;="&amp;AK$6),0)</f>
        <v>1</v>
      </c>
      <c r="AL95" s="25">
        <f>IF('Lease Cycles'!$C$13&gt;0,COUNTIF('Lease Cycles'!$BG$13:$BM$13,"&lt;="&amp;AL$6),0)</f>
        <v>1</v>
      </c>
      <c r="AM95" s="25">
        <f>IF('Lease Cycles'!$C$13&gt;0,COUNTIF('Lease Cycles'!$BG$13:$BM$13,"&lt;="&amp;AM$6),0)</f>
        <v>1</v>
      </c>
      <c r="AN95" s="25">
        <f>IF('Lease Cycles'!$C$13&gt;0,COUNTIF('Lease Cycles'!$BG$13:$BM$13,"&lt;="&amp;AN$6),0)</f>
        <v>1</v>
      </c>
      <c r="AO95" s="25">
        <f>IF('Lease Cycles'!$C$13&gt;0,COUNTIF('Lease Cycles'!$BG$13:$BM$13,"&lt;="&amp;AO$6),0)</f>
        <v>1</v>
      </c>
      <c r="AP95" s="25">
        <f>IF('Lease Cycles'!$C$13&gt;0,COUNTIF('Lease Cycles'!$BG$13:$BM$13,"&lt;="&amp;AP$6),0)</f>
        <v>1</v>
      </c>
      <c r="AQ95" s="25">
        <f>IF('Lease Cycles'!$C$13&gt;0,COUNTIF('Lease Cycles'!$BG$13:$BM$13,"&lt;="&amp;AQ$6),0)</f>
        <v>1</v>
      </c>
      <c r="AR95" s="25">
        <f>IF('Lease Cycles'!$C$13&gt;0,COUNTIF('Lease Cycles'!$BG$13:$BM$13,"&lt;="&amp;AR$6),0)</f>
        <v>1</v>
      </c>
      <c r="AS95" s="25">
        <f>IF('Lease Cycles'!$C$13&gt;0,COUNTIF('Lease Cycles'!$BG$13:$BM$13,"&lt;="&amp;AS$6),0)</f>
        <v>1</v>
      </c>
      <c r="AT95" s="25">
        <f>IF('Lease Cycles'!$C$13&gt;0,COUNTIF('Lease Cycles'!$BG$13:$BM$13,"&lt;="&amp;AT$6),0)</f>
        <v>1</v>
      </c>
      <c r="AU95" s="25">
        <f>IF('Lease Cycles'!$C$13&gt;0,COUNTIF('Lease Cycles'!$BG$13:$BM$13,"&lt;="&amp;AU$6),0)</f>
        <v>1</v>
      </c>
      <c r="AV95" s="25">
        <f>IF('Lease Cycles'!$C$13&gt;0,COUNTIF('Lease Cycles'!$BG$13:$BM$13,"&lt;="&amp;AV$6),0)</f>
        <v>1</v>
      </c>
      <c r="AW95" s="25">
        <f>IF('Lease Cycles'!$C$13&gt;0,COUNTIF('Lease Cycles'!$BG$13:$BM$13,"&lt;="&amp;AW$6),0)</f>
        <v>1</v>
      </c>
      <c r="AX95" s="25">
        <f>IF('Lease Cycles'!$C$13&gt;0,COUNTIF('Lease Cycles'!$BG$13:$BM$13,"&lt;="&amp;AX$6),0)</f>
        <v>1</v>
      </c>
      <c r="AY95" s="25">
        <f>IF('Lease Cycles'!$C$13&gt;0,COUNTIF('Lease Cycles'!$BG$13:$BM$13,"&lt;="&amp;AY$6),0)</f>
        <v>1</v>
      </c>
      <c r="AZ95" s="25">
        <f>IF('Lease Cycles'!$C$13&gt;0,COUNTIF('Lease Cycles'!$BG$13:$BM$13,"&lt;="&amp;AZ$6),0)</f>
        <v>1</v>
      </c>
      <c r="BA95" s="25">
        <f>IF('Lease Cycles'!$C$13&gt;0,COUNTIF('Lease Cycles'!$BG$13:$BM$13,"&lt;="&amp;BA$6),0)</f>
        <v>1</v>
      </c>
      <c r="BB95" s="25">
        <f>IF('Lease Cycles'!$C$13&gt;0,COUNTIF('Lease Cycles'!$BG$13:$BM$13,"&lt;="&amp;BB$6),0)</f>
        <v>1</v>
      </c>
      <c r="BC95" s="25">
        <f>IF('Lease Cycles'!$C$13&gt;0,COUNTIF('Lease Cycles'!$BG$13:$BM$13,"&lt;="&amp;BC$6),0)</f>
        <v>1</v>
      </c>
      <c r="BD95" s="25">
        <f>IF('Lease Cycles'!$C$13&gt;0,COUNTIF('Lease Cycles'!$BG$13:$BM$13,"&lt;="&amp;BD$6),0)</f>
        <v>1</v>
      </c>
      <c r="BE95" s="25">
        <f>IF('Lease Cycles'!$C$13&gt;0,COUNTIF('Lease Cycles'!$BG$13:$BM$13,"&lt;="&amp;BE$6),0)</f>
        <v>1</v>
      </c>
      <c r="BF95" s="25">
        <f>IF('Lease Cycles'!$C$13&gt;0,COUNTIF('Lease Cycles'!$BG$13:$BM$13,"&lt;="&amp;BF$6),0)</f>
        <v>1</v>
      </c>
      <c r="BG95" s="25">
        <f>IF('Lease Cycles'!$C$13&gt;0,COUNTIF('Lease Cycles'!$BG$13:$BM$13,"&lt;="&amp;BG$6),0)</f>
        <v>1</v>
      </c>
      <c r="BH95" s="25">
        <f>IF('Lease Cycles'!$C$13&gt;0,COUNTIF('Lease Cycles'!$BG$13:$BM$13,"&lt;="&amp;BH$6),0)</f>
        <v>1</v>
      </c>
      <c r="BI95" s="25">
        <f>IF('Lease Cycles'!$C$13&gt;0,COUNTIF('Lease Cycles'!$BG$13:$BM$13,"&lt;="&amp;BI$6),0)</f>
        <v>1</v>
      </c>
      <c r="BJ95" s="25">
        <f>IF('Lease Cycles'!$C$13&gt;0,COUNTIF('Lease Cycles'!$BG$13:$BM$13,"&lt;="&amp;BJ$6),0)</f>
        <v>1</v>
      </c>
      <c r="BK95" s="25">
        <f>IF('Lease Cycles'!$C$13&gt;0,COUNTIF('Lease Cycles'!$BG$13:$BM$13,"&lt;="&amp;BK$6),0)</f>
        <v>2</v>
      </c>
      <c r="BL95" s="25">
        <f>IF('Lease Cycles'!$C$13&gt;0,COUNTIF('Lease Cycles'!$BG$13:$BM$13,"&lt;="&amp;BL$6),0)</f>
        <v>3</v>
      </c>
      <c r="BM95" s="25">
        <f>IF('Lease Cycles'!$C$13&gt;0,COUNTIF('Lease Cycles'!$BG$13:$BM$13,"&lt;="&amp;BM$6),0)</f>
        <v>3</v>
      </c>
      <c r="BN95" s="25">
        <f>IF('Lease Cycles'!$C$13&gt;0,COUNTIF('Lease Cycles'!$BG$13:$BM$13,"&lt;="&amp;BN$6),0)</f>
        <v>3</v>
      </c>
      <c r="BO95" s="25">
        <f>IF('Lease Cycles'!$C$13&gt;0,COUNTIF('Lease Cycles'!$BG$13:$BM$13,"&lt;="&amp;BO$6),0)</f>
        <v>3</v>
      </c>
      <c r="BP95" s="25">
        <f>IF('Lease Cycles'!$C$13&gt;0,COUNTIF('Lease Cycles'!$BG$13:$BM$13,"&lt;="&amp;BP$6),0)</f>
        <v>3</v>
      </c>
      <c r="BQ95" s="25">
        <f>IF('Lease Cycles'!$C$13&gt;0,COUNTIF('Lease Cycles'!$BG$13:$BM$13,"&lt;="&amp;BQ$6),0)</f>
        <v>3</v>
      </c>
      <c r="BR95" s="25">
        <f>IF('Lease Cycles'!$C$13&gt;0,COUNTIF('Lease Cycles'!$BG$13:$BM$13,"&lt;="&amp;BR$6),0)</f>
        <v>3</v>
      </c>
      <c r="BS95" s="25">
        <f>IF('Lease Cycles'!$C$13&gt;0,COUNTIF('Lease Cycles'!$BG$13:$BM$13,"&lt;="&amp;BS$6),0)</f>
        <v>3</v>
      </c>
      <c r="BT95" s="25">
        <f>IF('Lease Cycles'!$C$13&gt;0,COUNTIF('Lease Cycles'!$BG$13:$BM$13,"&lt;="&amp;BT$6),0)</f>
        <v>3</v>
      </c>
      <c r="BU95" s="25">
        <f>IF('Lease Cycles'!$C$13&gt;0,COUNTIF('Lease Cycles'!$BG$13:$BM$13,"&lt;="&amp;BU$6),0)</f>
        <v>3</v>
      </c>
      <c r="BV95" s="25">
        <f>IF('Lease Cycles'!$C$13&gt;0,COUNTIF('Lease Cycles'!$BG$13:$BM$13,"&lt;="&amp;BV$6),0)</f>
        <v>3</v>
      </c>
      <c r="BW95" s="25">
        <f>IF('Lease Cycles'!$C$13&gt;0,COUNTIF('Lease Cycles'!$BG$13:$BM$13,"&lt;="&amp;BW$6),0)</f>
        <v>3</v>
      </c>
      <c r="BX95" s="25">
        <f>IF('Lease Cycles'!$C$13&gt;0,COUNTIF('Lease Cycles'!$BG$13:$BM$13,"&lt;="&amp;BX$6),0)</f>
        <v>3</v>
      </c>
      <c r="BY95" s="25">
        <f>IF('Lease Cycles'!$C$13&gt;0,COUNTIF('Lease Cycles'!$BG$13:$BM$13,"&lt;="&amp;BY$6),0)</f>
        <v>3</v>
      </c>
      <c r="BZ95" s="25">
        <f>IF('Lease Cycles'!$C$13&gt;0,COUNTIF('Lease Cycles'!$BG$13:$BM$13,"&lt;="&amp;BZ$6),0)</f>
        <v>3</v>
      </c>
      <c r="CA95" s="25">
        <f>IF('Lease Cycles'!$C$13&gt;0,COUNTIF('Lease Cycles'!$BG$13:$BM$13,"&lt;="&amp;CA$6),0)</f>
        <v>3</v>
      </c>
      <c r="CB95" s="25">
        <f>IF('Lease Cycles'!$C$13&gt;0,COUNTIF('Lease Cycles'!$BG$13:$BM$13,"&lt;="&amp;CB$6),0)</f>
        <v>3</v>
      </c>
      <c r="CC95" s="25">
        <f>IF('Lease Cycles'!$C$13&gt;0,COUNTIF('Lease Cycles'!$BG$13:$BM$13,"&lt;="&amp;CC$6),0)</f>
        <v>3</v>
      </c>
      <c r="CD95" s="25">
        <f>IF('Lease Cycles'!$C$13&gt;0,COUNTIF('Lease Cycles'!$BG$13:$BM$13,"&lt;="&amp;CD$6),0)</f>
        <v>3</v>
      </c>
      <c r="CE95" s="25">
        <f>IF('Lease Cycles'!$C$13&gt;0,COUNTIF('Lease Cycles'!$BG$13:$BM$13,"&lt;="&amp;CE$6),0)</f>
        <v>3</v>
      </c>
      <c r="CF95" s="25">
        <f>IF('Lease Cycles'!$C$13&gt;0,COUNTIF('Lease Cycles'!$BG$13:$BM$13,"&lt;="&amp;CF$6),0)</f>
        <v>3</v>
      </c>
      <c r="CG95" s="25">
        <f>IF('Lease Cycles'!$C$13&gt;0,COUNTIF('Lease Cycles'!$BG$13:$BM$13,"&lt;="&amp;CG$6),0)</f>
        <v>3</v>
      </c>
      <c r="CH95" s="25">
        <f>IF('Lease Cycles'!$C$13&gt;0,COUNTIF('Lease Cycles'!$BG$13:$BM$13,"&lt;="&amp;CH$6),0)</f>
        <v>3</v>
      </c>
      <c r="CI95" s="25">
        <f>IF('Lease Cycles'!$C$13&gt;0,COUNTIF('Lease Cycles'!$BG$13:$BM$13,"&lt;="&amp;CI$6),0)</f>
        <v>3</v>
      </c>
      <c r="CJ95" s="25">
        <f>IF('Lease Cycles'!$C$13&gt;0,COUNTIF('Lease Cycles'!$BG$13:$BM$13,"&lt;="&amp;CJ$6),0)</f>
        <v>3</v>
      </c>
      <c r="CK95" s="25">
        <f>IF('Lease Cycles'!$C$13&gt;0,COUNTIF('Lease Cycles'!$BG$13:$BM$13,"&lt;="&amp;CK$6),0)</f>
        <v>3</v>
      </c>
      <c r="CL95" s="25">
        <f>IF('Lease Cycles'!$C$13&gt;0,COUNTIF('Lease Cycles'!$BG$13:$BM$13,"&lt;="&amp;CL$6),0)</f>
        <v>3</v>
      </c>
      <c r="CM95" s="25">
        <f>IF('Lease Cycles'!$C$13&gt;0,COUNTIF('Lease Cycles'!$BG$13:$BM$13,"&lt;="&amp;CM$6),0)</f>
        <v>3</v>
      </c>
      <c r="CN95" s="25">
        <f>IF('Lease Cycles'!$C$13&gt;0,COUNTIF('Lease Cycles'!$BG$13:$BM$13,"&lt;="&amp;CN$6),0)</f>
        <v>3</v>
      </c>
      <c r="CO95" s="25">
        <f>IF('Lease Cycles'!$C$13&gt;0,COUNTIF('Lease Cycles'!$BG$13:$BM$13,"&lt;="&amp;CO$6),0)</f>
        <v>3</v>
      </c>
      <c r="CP95" s="25">
        <f>IF('Lease Cycles'!$C$13&gt;0,COUNTIF('Lease Cycles'!$BG$13:$BM$13,"&lt;="&amp;CP$6),0)</f>
        <v>3</v>
      </c>
      <c r="CQ95" s="25">
        <f>IF('Lease Cycles'!$C$13&gt;0,COUNTIF('Lease Cycles'!$BG$13:$BM$13,"&lt;="&amp;CQ$6),0)</f>
        <v>3</v>
      </c>
      <c r="CR95" s="25">
        <f>IF('Lease Cycles'!$C$13&gt;0,COUNTIF('Lease Cycles'!$BG$13:$BM$13,"&lt;="&amp;CR$6),0)</f>
        <v>3</v>
      </c>
      <c r="CS95" s="25">
        <f>IF('Lease Cycles'!$C$13&gt;0,COUNTIF('Lease Cycles'!$BG$13:$BM$13,"&lt;="&amp;CS$6),0)</f>
        <v>3</v>
      </c>
      <c r="CT95" s="25">
        <f>IF('Lease Cycles'!$C$13&gt;0,COUNTIF('Lease Cycles'!$BG$13:$BM$13,"&lt;="&amp;CT$6),0)</f>
        <v>3</v>
      </c>
      <c r="CU95" s="25">
        <f>IF('Lease Cycles'!$C$13&gt;0,COUNTIF('Lease Cycles'!$BG$13:$BM$13,"&lt;="&amp;CU$6),0)</f>
        <v>3</v>
      </c>
      <c r="CV95" s="25">
        <f>IF('Lease Cycles'!$C$13&gt;0,COUNTIF('Lease Cycles'!$BG$13:$BM$13,"&lt;="&amp;CV$6),0)</f>
        <v>3</v>
      </c>
      <c r="CW95" s="25">
        <f>IF('Lease Cycles'!$C$13&gt;0,COUNTIF('Lease Cycles'!$BG$13:$BM$13,"&lt;="&amp;CW$6),0)</f>
        <v>3</v>
      </c>
      <c r="CX95" s="25">
        <f>IF('Lease Cycles'!$C$13&gt;0,COUNTIF('Lease Cycles'!$BG$13:$BM$13,"&lt;="&amp;CX$6),0)</f>
        <v>3</v>
      </c>
      <c r="CY95" s="25">
        <f>IF('Lease Cycles'!$C$13&gt;0,COUNTIF('Lease Cycles'!$BG$13:$BM$13,"&lt;="&amp;CY$6),0)</f>
        <v>3</v>
      </c>
      <c r="CZ95" s="25">
        <f>IF('Lease Cycles'!$C$13&gt;0,COUNTIF('Lease Cycles'!$BG$13:$BM$13,"&lt;="&amp;CZ$6),0)</f>
        <v>3</v>
      </c>
      <c r="DA95" s="25">
        <f>IF('Lease Cycles'!$C$13&gt;0,COUNTIF('Lease Cycles'!$BG$13:$BM$13,"&lt;="&amp;DA$6),0)</f>
        <v>3</v>
      </c>
      <c r="DB95" s="25">
        <f>IF('Lease Cycles'!$C$13&gt;0,COUNTIF('Lease Cycles'!$BG$13:$BM$13,"&lt;="&amp;DB$6),0)</f>
        <v>3</v>
      </c>
      <c r="DC95" s="25">
        <f>IF('Lease Cycles'!$C$13&gt;0,COUNTIF('Lease Cycles'!$BG$13:$BM$13,"&lt;="&amp;DC$6),0)</f>
        <v>3</v>
      </c>
      <c r="DD95" s="25">
        <f>IF('Lease Cycles'!$C$13&gt;0,COUNTIF('Lease Cycles'!$BG$13:$BM$13,"&lt;="&amp;DD$6),0)</f>
        <v>3</v>
      </c>
      <c r="DE95" s="25">
        <f>IF('Lease Cycles'!$C$13&gt;0,COUNTIF('Lease Cycles'!$BG$13:$BM$13,"&lt;="&amp;DE$6),0)</f>
        <v>3</v>
      </c>
      <c r="DF95" s="25">
        <f>IF('Lease Cycles'!$C$13&gt;0,COUNTIF('Lease Cycles'!$BG$13:$BM$13,"&lt;="&amp;DF$6),0)</f>
        <v>3</v>
      </c>
      <c r="DG95" s="25">
        <f>IF('Lease Cycles'!$C$13&gt;0,COUNTIF('Lease Cycles'!$BG$13:$BM$13,"&lt;="&amp;DG$6),0)</f>
        <v>3</v>
      </c>
      <c r="DH95" s="25">
        <f>IF('Lease Cycles'!$C$13&gt;0,COUNTIF('Lease Cycles'!$BG$13:$BM$13,"&lt;="&amp;DH$6),0)</f>
        <v>3</v>
      </c>
      <c r="DI95" s="25">
        <f>IF('Lease Cycles'!$C$13&gt;0,COUNTIF('Lease Cycles'!$BG$13:$BM$13,"&lt;="&amp;DI$6),0)</f>
        <v>3</v>
      </c>
      <c r="DJ95" s="25">
        <f>IF('Lease Cycles'!$C$13&gt;0,COUNTIF('Lease Cycles'!$BG$13:$BM$13,"&lt;="&amp;DJ$6),0)</f>
        <v>3</v>
      </c>
      <c r="DK95" s="25">
        <f>IF('Lease Cycles'!$C$13&gt;0,COUNTIF('Lease Cycles'!$BG$13:$BM$13,"&lt;="&amp;DK$6),0)</f>
        <v>3</v>
      </c>
      <c r="DL95" s="25">
        <f>IF('Lease Cycles'!$C$13&gt;0,COUNTIF('Lease Cycles'!$BG$13:$BM$13,"&lt;="&amp;DL$6),0)</f>
        <v>3</v>
      </c>
      <c r="DM95" s="25">
        <f>IF('Lease Cycles'!$C$13&gt;0,COUNTIF('Lease Cycles'!$BG$13:$BM$13,"&lt;="&amp;DM$6),0)</f>
        <v>3</v>
      </c>
      <c r="DN95" s="25">
        <f>IF('Lease Cycles'!$C$13&gt;0,COUNTIF('Lease Cycles'!$BG$13:$BM$13,"&lt;="&amp;DN$6),0)</f>
        <v>3</v>
      </c>
      <c r="DO95" s="25">
        <f>IF('Lease Cycles'!$C$13&gt;0,COUNTIF('Lease Cycles'!$BG$13:$BM$13,"&lt;="&amp;DO$6),0)</f>
        <v>3</v>
      </c>
      <c r="DP95" s="25">
        <f>IF('Lease Cycles'!$C$13&gt;0,COUNTIF('Lease Cycles'!$BG$13:$BM$13,"&lt;="&amp;DP$6),0)</f>
        <v>3</v>
      </c>
      <c r="DQ95" s="25">
        <f>IF('Lease Cycles'!$C$13&gt;0,COUNTIF('Lease Cycles'!$BG$13:$BM$13,"&lt;="&amp;DQ$6),0)</f>
        <v>3</v>
      </c>
      <c r="DR95" s="25">
        <f>IF('Lease Cycles'!$C$13&gt;0,COUNTIF('Lease Cycles'!$BG$13:$BM$13,"&lt;="&amp;DR$6),0)</f>
        <v>3</v>
      </c>
      <c r="DS95" s="25">
        <f>IF('Lease Cycles'!$C$13&gt;0,COUNTIF('Lease Cycles'!$BG$13:$BM$13,"&lt;="&amp;DS$6),0)</f>
        <v>3</v>
      </c>
      <c r="DT95" s="25">
        <f>IF('Lease Cycles'!$C$13&gt;0,COUNTIF('Lease Cycles'!$BG$13:$BM$13,"&lt;="&amp;DT$6),0)</f>
        <v>3</v>
      </c>
      <c r="DU95" s="25">
        <f>IF('Lease Cycles'!$C$13&gt;0,COUNTIF('Lease Cycles'!$BG$13:$BM$13,"&lt;="&amp;DU$6),0)</f>
        <v>3</v>
      </c>
      <c r="DV95" s="25">
        <f>IF('Lease Cycles'!$C$13&gt;0,COUNTIF('Lease Cycles'!$BG$13:$BM$13,"&lt;="&amp;DV$6),0)</f>
        <v>3</v>
      </c>
      <c r="DW95" s="25">
        <f>IF('Lease Cycles'!$C$13&gt;0,COUNTIF('Lease Cycles'!$BG$13:$BM$13,"&lt;="&amp;DW$6),0)</f>
        <v>3</v>
      </c>
      <c r="DX95" s="25">
        <f>IF('Lease Cycles'!$C$13&gt;0,COUNTIF('Lease Cycles'!$BG$13:$BM$13,"&lt;="&amp;DX$6),0)</f>
        <v>3</v>
      </c>
      <c r="DY95" s="25">
        <f>IF('Lease Cycles'!$C$13&gt;0,COUNTIF('Lease Cycles'!$BG$13:$BM$13,"&lt;="&amp;DY$6),0)</f>
        <v>3</v>
      </c>
      <c r="DZ95" s="25">
        <f>IF('Lease Cycles'!$C$13&gt;0,COUNTIF('Lease Cycles'!$BG$13:$BM$13,"&lt;="&amp;DZ$6),0)</f>
        <v>3</v>
      </c>
      <c r="EA95" s="25">
        <f>IF('Lease Cycles'!$C$13&gt;0,COUNTIF('Lease Cycles'!$BG$13:$BM$13,"&lt;="&amp;EA$6),0)</f>
        <v>3</v>
      </c>
      <c r="EB95" s="25">
        <f>IF('Lease Cycles'!$C$13&gt;0,COUNTIF('Lease Cycles'!$BG$13:$BM$13,"&lt;="&amp;EB$6),0)</f>
        <v>3</v>
      </c>
      <c r="EC95" s="25">
        <f>IF('Lease Cycles'!$C$13&gt;0,COUNTIF('Lease Cycles'!$BG$13:$BM$13,"&lt;="&amp;EC$6),0)</f>
        <v>3</v>
      </c>
      <c r="ED95" s="25">
        <f>IF('Lease Cycles'!$C$13&gt;0,COUNTIF('Lease Cycles'!$BG$13:$BM$13,"&lt;="&amp;ED$6),0)</f>
        <v>3</v>
      </c>
      <c r="EE95" s="25">
        <f>IF('Lease Cycles'!$C$13&gt;0,COUNTIF('Lease Cycles'!$BG$13:$BM$13,"&lt;="&amp;EE$6),0)</f>
        <v>3</v>
      </c>
      <c r="EF95" s="25">
        <f>IF('Lease Cycles'!$C$13&gt;0,COUNTIF('Lease Cycles'!$BG$13:$BM$13,"&lt;="&amp;EF$6),0)</f>
        <v>3</v>
      </c>
      <c r="EG95" s="25">
        <f>IF('Lease Cycles'!$C$13&gt;0,COUNTIF('Lease Cycles'!$BG$13:$BM$13,"&lt;="&amp;EG$6),0)</f>
        <v>3</v>
      </c>
      <c r="EH95" s="25">
        <f>IF('Lease Cycles'!$C$13&gt;0,COUNTIF('Lease Cycles'!$BG$13:$BM$13,"&lt;="&amp;EH$6),0)</f>
        <v>3</v>
      </c>
      <c r="EI95" s="25">
        <f>IF('Lease Cycles'!$C$13&gt;0,COUNTIF('Lease Cycles'!$BG$13:$BM$13,"&lt;="&amp;EI$6),0)</f>
        <v>3</v>
      </c>
      <c r="EJ95" s="25">
        <f>IF('Lease Cycles'!$C$13&gt;0,COUNTIF('Lease Cycles'!$BG$13:$BM$13,"&lt;="&amp;EJ$6),0)</f>
        <v>3</v>
      </c>
      <c r="EK95" s="25">
        <f>IF('Lease Cycles'!$C$13&gt;0,COUNTIF('Lease Cycles'!$BG$13:$BM$13,"&lt;="&amp;EK$6),0)</f>
        <v>3</v>
      </c>
      <c r="EL95" s="25">
        <f>IF('Lease Cycles'!$C$13&gt;0,COUNTIF('Lease Cycles'!$BG$13:$BM$13,"&lt;="&amp;EL$6),0)</f>
        <v>3</v>
      </c>
      <c r="EM95" s="25">
        <f>IF('Lease Cycles'!$C$13&gt;0,COUNTIF('Lease Cycles'!$BG$13:$BM$13,"&lt;="&amp;EM$6),0)</f>
        <v>3</v>
      </c>
      <c r="EN95" s="25">
        <f>IF('Lease Cycles'!$C$13&gt;0,COUNTIF('Lease Cycles'!$BG$13:$BM$13,"&lt;="&amp;EN$6),0)</f>
        <v>3</v>
      </c>
      <c r="EO95" s="25">
        <f>IF('Lease Cycles'!$C$13&gt;0,COUNTIF('Lease Cycles'!$BG$13:$BM$13,"&lt;="&amp;EO$6),0)</f>
        <v>3</v>
      </c>
      <c r="EP95" s="25">
        <f>IF('Lease Cycles'!$C$13&gt;0,COUNTIF('Lease Cycles'!$BG$13:$BM$13,"&lt;="&amp;EP$6),0)</f>
        <v>3</v>
      </c>
      <c r="EQ95" s="25">
        <f>IF('Lease Cycles'!$C$13&gt;0,COUNTIF('Lease Cycles'!$BG$13:$BM$13,"&lt;="&amp;EQ$6),0)</f>
        <v>3</v>
      </c>
      <c r="ER95" s="25">
        <f>IF('Lease Cycles'!$C$13&gt;0,COUNTIF('Lease Cycles'!$BG$13:$BM$13,"&lt;="&amp;ER$6),0)</f>
        <v>3</v>
      </c>
      <c r="ES95" s="25">
        <f>IF('Lease Cycles'!$C$13&gt;0,COUNTIF('Lease Cycles'!$BG$13:$BM$13,"&lt;="&amp;ES$6),0)</f>
        <v>3</v>
      </c>
      <c r="ET95" s="25">
        <f>IF('Lease Cycles'!$C$13&gt;0,COUNTIF('Lease Cycles'!$BG$13:$BM$13,"&lt;="&amp;ET$6),0)</f>
        <v>3</v>
      </c>
    </row>
    <row r="96">
      <c r="A96" s="103">
        <v>6</v>
      </c>
      <c r="B96" s="23" t="str">
        <f>IF('Lease Cycles'!$B$13="","(empty slot)",'Lease Cycles'!$B$13)</f>
        <v>Sunfield Cleaners</v>
      </c>
      <c r="C96" s="23" t="s">
        <v>673</v>
      </c>
      <c r="D96" s="104" t="s">
        <v>674</v>
      </c>
      <c r="E96" s="25">
        <f>'Lease Cycles'!$AL$13</f>
        <v>0</v>
      </c>
      <c r="S96" s="25">
        <f>IF(S95=0,-1,S$6-INDEX('Lease Cycles'!$BG$13:$BM$13,1,S95))</f>
        <v>0</v>
      </c>
      <c r="T96" s="25">
        <f>IF(T95=0,-1,T$6-INDEX('Lease Cycles'!$BG$13:$BM$13,1,T95))</f>
        <v>1</v>
      </c>
      <c r="U96" s="25">
        <f>IF(U95=0,-1,U$6-INDEX('Lease Cycles'!$BG$13:$BM$13,1,U95))</f>
        <v>2</v>
      </c>
      <c r="V96" s="25">
        <f>IF(V95=0,-1,V$6-INDEX('Lease Cycles'!$BG$13:$BM$13,1,V95))</f>
        <v>3</v>
      </c>
      <c r="W96" s="25">
        <f>IF(W95=0,-1,W$6-INDEX('Lease Cycles'!$BG$13:$BM$13,1,W95))</f>
        <v>4</v>
      </c>
      <c r="X96" s="25">
        <f>IF(X95=0,-1,X$6-INDEX('Lease Cycles'!$BG$13:$BM$13,1,X95))</f>
        <v>5</v>
      </c>
      <c r="Y96" s="25">
        <f>IF(Y95=0,-1,Y$6-INDEX('Lease Cycles'!$BG$13:$BM$13,1,Y95))</f>
        <v>6</v>
      </c>
      <c r="Z96" s="25">
        <f>IF(Z95=0,-1,Z$6-INDEX('Lease Cycles'!$BG$13:$BM$13,1,Z95))</f>
        <v>7</v>
      </c>
      <c r="AA96" s="25">
        <f>IF(AA95=0,-1,AA$6-INDEX('Lease Cycles'!$BG$13:$BM$13,1,AA95))</f>
        <v>8</v>
      </c>
      <c r="AB96" s="25">
        <f>IF(AB95=0,-1,AB$6-INDEX('Lease Cycles'!$BG$13:$BM$13,1,AB95))</f>
        <v>9</v>
      </c>
      <c r="AC96" s="25">
        <f>IF(AC95=0,-1,AC$6-INDEX('Lease Cycles'!$BG$13:$BM$13,1,AC95))</f>
        <v>10</v>
      </c>
      <c r="AD96" s="25">
        <f>IF(AD95=0,-1,AD$6-INDEX('Lease Cycles'!$BG$13:$BM$13,1,AD95))</f>
        <v>11</v>
      </c>
      <c r="AE96" s="25">
        <f>IF(AE95=0,-1,AE$6-INDEX('Lease Cycles'!$BG$13:$BM$13,1,AE95))</f>
        <v>12</v>
      </c>
      <c r="AF96" s="25">
        <f>IF(AF95=0,-1,AF$6-INDEX('Lease Cycles'!$BG$13:$BM$13,1,AF95))</f>
        <v>13</v>
      </c>
      <c r="AG96" s="25">
        <f>IF(AG95=0,-1,AG$6-INDEX('Lease Cycles'!$BG$13:$BM$13,1,AG95))</f>
        <v>14</v>
      </c>
      <c r="AH96" s="25">
        <f>IF(AH95=0,-1,AH$6-INDEX('Lease Cycles'!$BG$13:$BM$13,1,AH95))</f>
        <v>15</v>
      </c>
      <c r="AI96" s="25">
        <f>IF(AI95=0,-1,AI$6-INDEX('Lease Cycles'!$BG$13:$BM$13,1,AI95))</f>
        <v>16</v>
      </c>
      <c r="AJ96" s="25">
        <f>IF(AJ95=0,-1,AJ$6-INDEX('Lease Cycles'!$BG$13:$BM$13,1,AJ95))</f>
        <v>17</v>
      </c>
      <c r="AK96" s="25">
        <f>IF(AK95=0,-1,AK$6-INDEX('Lease Cycles'!$BG$13:$BM$13,1,AK95))</f>
        <v>18</v>
      </c>
      <c r="AL96" s="25">
        <f>IF(AL95=0,-1,AL$6-INDEX('Lease Cycles'!$BG$13:$BM$13,1,AL95))</f>
        <v>19</v>
      </c>
      <c r="AM96" s="25">
        <f>IF(AM95=0,-1,AM$6-INDEX('Lease Cycles'!$BG$13:$BM$13,1,AM95))</f>
        <v>20</v>
      </c>
      <c r="AN96" s="25">
        <f>IF(AN95=0,-1,AN$6-INDEX('Lease Cycles'!$BG$13:$BM$13,1,AN95))</f>
        <v>21</v>
      </c>
      <c r="AO96" s="25">
        <f>IF(AO95=0,-1,AO$6-INDEX('Lease Cycles'!$BG$13:$BM$13,1,AO95))</f>
        <v>22</v>
      </c>
      <c r="AP96" s="25">
        <f>IF(AP95=0,-1,AP$6-INDEX('Lease Cycles'!$BG$13:$BM$13,1,AP95))</f>
        <v>23</v>
      </c>
      <c r="AQ96" s="25">
        <f>IF(AQ95=0,-1,AQ$6-INDEX('Lease Cycles'!$BG$13:$BM$13,1,AQ95))</f>
        <v>24</v>
      </c>
      <c r="AR96" s="25">
        <f>IF(AR95=0,-1,AR$6-INDEX('Lease Cycles'!$BG$13:$BM$13,1,AR95))</f>
        <v>25</v>
      </c>
      <c r="AS96" s="25">
        <f>IF(AS95=0,-1,AS$6-INDEX('Lease Cycles'!$BG$13:$BM$13,1,AS95))</f>
        <v>26</v>
      </c>
      <c r="AT96" s="25">
        <f>IF(AT95=0,-1,AT$6-INDEX('Lease Cycles'!$BG$13:$BM$13,1,AT95))</f>
        <v>27</v>
      </c>
      <c r="AU96" s="25">
        <f>IF(AU95=0,-1,AU$6-INDEX('Lease Cycles'!$BG$13:$BM$13,1,AU95))</f>
        <v>28</v>
      </c>
      <c r="AV96" s="25">
        <f>IF(AV95=0,-1,AV$6-INDEX('Lease Cycles'!$BG$13:$BM$13,1,AV95))</f>
        <v>29</v>
      </c>
      <c r="AW96" s="25">
        <f>IF(AW95=0,-1,AW$6-INDEX('Lease Cycles'!$BG$13:$BM$13,1,AW95))</f>
        <v>30</v>
      </c>
      <c r="AX96" s="25">
        <f>IF(AX95=0,-1,AX$6-INDEX('Lease Cycles'!$BG$13:$BM$13,1,AX95))</f>
        <v>31</v>
      </c>
      <c r="AY96" s="25">
        <f>IF(AY95=0,-1,AY$6-INDEX('Lease Cycles'!$BG$13:$BM$13,1,AY95))</f>
        <v>32</v>
      </c>
      <c r="AZ96" s="25">
        <f>IF(AZ95=0,-1,AZ$6-INDEX('Lease Cycles'!$BG$13:$BM$13,1,AZ95))</f>
        <v>33</v>
      </c>
      <c r="BA96" s="25">
        <f>IF(BA95=0,-1,BA$6-INDEX('Lease Cycles'!$BG$13:$BM$13,1,BA95))</f>
        <v>34</v>
      </c>
      <c r="BB96" s="25">
        <f>IF(BB95=0,-1,BB$6-INDEX('Lease Cycles'!$BG$13:$BM$13,1,BB95))</f>
        <v>35</v>
      </c>
      <c r="BC96" s="25">
        <f>IF(BC95=0,-1,BC$6-INDEX('Lease Cycles'!$BG$13:$BM$13,1,BC95))</f>
        <v>36</v>
      </c>
      <c r="BD96" s="25">
        <f>IF(BD95=0,-1,BD$6-INDEX('Lease Cycles'!$BG$13:$BM$13,1,BD95))</f>
        <v>37</v>
      </c>
      <c r="BE96" s="25">
        <f>IF(BE95=0,-1,BE$6-INDEX('Lease Cycles'!$BG$13:$BM$13,1,BE95))</f>
        <v>38</v>
      </c>
      <c r="BF96" s="25">
        <f>IF(BF95=0,-1,BF$6-INDEX('Lease Cycles'!$BG$13:$BM$13,1,BF95))</f>
        <v>39</v>
      </c>
      <c r="BG96" s="25">
        <f>IF(BG95=0,-1,BG$6-INDEX('Lease Cycles'!$BG$13:$BM$13,1,BG95))</f>
        <v>40</v>
      </c>
      <c r="BH96" s="25">
        <f>IF(BH95=0,-1,BH$6-INDEX('Lease Cycles'!$BG$13:$BM$13,1,BH95))</f>
        <v>41</v>
      </c>
      <c r="BI96" s="25">
        <f>IF(BI95=0,-1,BI$6-INDEX('Lease Cycles'!$BG$13:$BM$13,1,BI95))</f>
        <v>42</v>
      </c>
      <c r="BJ96" s="25">
        <f>IF(BJ95=0,-1,BJ$6-INDEX('Lease Cycles'!$BG$13:$BM$13,1,BJ95))</f>
        <v>43</v>
      </c>
      <c r="BK96" s="25">
        <f>IF(BK95=0,-1,BK$6-INDEX('Lease Cycles'!$BG$13:$BM$13,1,BK95))</f>
        <v>0</v>
      </c>
      <c r="BL96" s="25">
        <f>IF(BL95=0,-1,BL$6-INDEX('Lease Cycles'!$BG$13:$BM$13,1,BL95))</f>
        <v>0</v>
      </c>
      <c r="BM96" s="25">
        <f>IF(BM95=0,-1,BM$6-INDEX('Lease Cycles'!$BG$13:$BM$13,1,BM95))</f>
        <v>1</v>
      </c>
      <c r="BN96" s="25">
        <f>IF(BN95=0,-1,BN$6-INDEX('Lease Cycles'!$BG$13:$BM$13,1,BN95))</f>
        <v>2</v>
      </c>
      <c r="BO96" s="25">
        <f>IF(BO95=0,-1,BO$6-INDEX('Lease Cycles'!$BG$13:$BM$13,1,BO95))</f>
        <v>3</v>
      </c>
      <c r="BP96" s="25">
        <f>IF(BP95=0,-1,BP$6-INDEX('Lease Cycles'!$BG$13:$BM$13,1,BP95))</f>
        <v>4</v>
      </c>
      <c r="BQ96" s="25">
        <f>IF(BQ95=0,-1,BQ$6-INDEX('Lease Cycles'!$BG$13:$BM$13,1,BQ95))</f>
        <v>5</v>
      </c>
      <c r="BR96" s="25">
        <f>IF(BR95=0,-1,BR$6-INDEX('Lease Cycles'!$BG$13:$BM$13,1,BR95))</f>
        <v>6</v>
      </c>
      <c r="BS96" s="25">
        <f>IF(BS95=0,-1,BS$6-INDEX('Lease Cycles'!$BG$13:$BM$13,1,BS95))</f>
        <v>7</v>
      </c>
      <c r="BT96" s="25">
        <f>IF(BT95=0,-1,BT$6-INDEX('Lease Cycles'!$BG$13:$BM$13,1,BT95))</f>
        <v>8</v>
      </c>
      <c r="BU96" s="25">
        <f>IF(BU95=0,-1,BU$6-INDEX('Lease Cycles'!$BG$13:$BM$13,1,BU95))</f>
        <v>9</v>
      </c>
      <c r="BV96" s="25">
        <f>IF(BV95=0,-1,BV$6-INDEX('Lease Cycles'!$BG$13:$BM$13,1,BV95))</f>
        <v>10</v>
      </c>
      <c r="BW96" s="25">
        <f>IF(BW95=0,-1,BW$6-INDEX('Lease Cycles'!$BG$13:$BM$13,1,BW95))</f>
        <v>11</v>
      </c>
      <c r="BX96" s="25">
        <f>IF(BX95=0,-1,BX$6-INDEX('Lease Cycles'!$BG$13:$BM$13,1,BX95))</f>
        <v>12</v>
      </c>
      <c r="BY96" s="25">
        <f>IF(BY95=0,-1,BY$6-INDEX('Lease Cycles'!$BG$13:$BM$13,1,BY95))</f>
        <v>13</v>
      </c>
      <c r="BZ96" s="25">
        <f>IF(BZ95=0,-1,BZ$6-INDEX('Lease Cycles'!$BG$13:$BM$13,1,BZ95))</f>
        <v>14</v>
      </c>
      <c r="CA96" s="25">
        <f>IF(CA95=0,-1,CA$6-INDEX('Lease Cycles'!$BG$13:$BM$13,1,CA95))</f>
        <v>15</v>
      </c>
      <c r="CB96" s="25">
        <f>IF(CB95=0,-1,CB$6-INDEX('Lease Cycles'!$BG$13:$BM$13,1,CB95))</f>
        <v>16</v>
      </c>
      <c r="CC96" s="25">
        <f>IF(CC95=0,-1,CC$6-INDEX('Lease Cycles'!$BG$13:$BM$13,1,CC95))</f>
        <v>17</v>
      </c>
      <c r="CD96" s="25">
        <f>IF(CD95=0,-1,CD$6-INDEX('Lease Cycles'!$BG$13:$BM$13,1,CD95))</f>
        <v>18</v>
      </c>
      <c r="CE96" s="25">
        <f>IF(CE95=0,-1,CE$6-INDEX('Lease Cycles'!$BG$13:$BM$13,1,CE95))</f>
        <v>19</v>
      </c>
      <c r="CF96" s="25">
        <f>IF(CF95=0,-1,CF$6-INDEX('Lease Cycles'!$BG$13:$BM$13,1,CF95))</f>
        <v>20</v>
      </c>
      <c r="CG96" s="25">
        <f>IF(CG95=0,-1,CG$6-INDEX('Lease Cycles'!$BG$13:$BM$13,1,CG95))</f>
        <v>21</v>
      </c>
      <c r="CH96" s="25">
        <f>IF(CH95=0,-1,CH$6-INDEX('Lease Cycles'!$BG$13:$BM$13,1,CH95))</f>
        <v>22</v>
      </c>
      <c r="CI96" s="25">
        <f>IF(CI95=0,-1,CI$6-INDEX('Lease Cycles'!$BG$13:$BM$13,1,CI95))</f>
        <v>23</v>
      </c>
      <c r="CJ96" s="25">
        <f>IF(CJ95=0,-1,CJ$6-INDEX('Lease Cycles'!$BG$13:$BM$13,1,CJ95))</f>
        <v>24</v>
      </c>
      <c r="CK96" s="25">
        <f>IF(CK95=0,-1,CK$6-INDEX('Lease Cycles'!$BG$13:$BM$13,1,CK95))</f>
        <v>25</v>
      </c>
      <c r="CL96" s="25">
        <f>IF(CL95=0,-1,CL$6-INDEX('Lease Cycles'!$BG$13:$BM$13,1,CL95))</f>
        <v>26</v>
      </c>
      <c r="CM96" s="25">
        <f>IF(CM95=0,-1,CM$6-INDEX('Lease Cycles'!$BG$13:$BM$13,1,CM95))</f>
        <v>27</v>
      </c>
      <c r="CN96" s="25">
        <f>IF(CN95=0,-1,CN$6-INDEX('Lease Cycles'!$BG$13:$BM$13,1,CN95))</f>
        <v>28</v>
      </c>
      <c r="CO96" s="25">
        <f>IF(CO95=0,-1,CO$6-INDEX('Lease Cycles'!$BG$13:$BM$13,1,CO95))</f>
        <v>29</v>
      </c>
      <c r="CP96" s="25">
        <f>IF(CP95=0,-1,CP$6-INDEX('Lease Cycles'!$BG$13:$BM$13,1,CP95))</f>
        <v>30</v>
      </c>
      <c r="CQ96" s="25">
        <f>IF(CQ95=0,-1,CQ$6-INDEX('Lease Cycles'!$BG$13:$BM$13,1,CQ95))</f>
        <v>31</v>
      </c>
      <c r="CR96" s="25">
        <f>IF(CR95=0,-1,CR$6-INDEX('Lease Cycles'!$BG$13:$BM$13,1,CR95))</f>
        <v>32</v>
      </c>
      <c r="CS96" s="25">
        <f>IF(CS95=0,-1,CS$6-INDEX('Lease Cycles'!$BG$13:$BM$13,1,CS95))</f>
        <v>33</v>
      </c>
      <c r="CT96" s="25">
        <f>IF(CT95=0,-1,CT$6-INDEX('Lease Cycles'!$BG$13:$BM$13,1,CT95))</f>
        <v>34</v>
      </c>
      <c r="CU96" s="25">
        <f>IF(CU95=0,-1,CU$6-INDEX('Lease Cycles'!$BG$13:$BM$13,1,CU95))</f>
        <v>35</v>
      </c>
      <c r="CV96" s="25">
        <f>IF(CV95=0,-1,CV$6-INDEX('Lease Cycles'!$BG$13:$BM$13,1,CV95))</f>
        <v>36</v>
      </c>
      <c r="CW96" s="25">
        <f>IF(CW95=0,-1,CW$6-INDEX('Lease Cycles'!$BG$13:$BM$13,1,CW95))</f>
        <v>37</v>
      </c>
      <c r="CX96" s="25">
        <f>IF(CX95=0,-1,CX$6-INDEX('Lease Cycles'!$BG$13:$BM$13,1,CX95))</f>
        <v>38</v>
      </c>
      <c r="CY96" s="25">
        <f>IF(CY95=0,-1,CY$6-INDEX('Lease Cycles'!$BG$13:$BM$13,1,CY95))</f>
        <v>39</v>
      </c>
      <c r="CZ96" s="25">
        <f>IF(CZ95=0,-1,CZ$6-INDEX('Lease Cycles'!$BG$13:$BM$13,1,CZ95))</f>
        <v>40</v>
      </c>
      <c r="DA96" s="25">
        <f>IF(DA95=0,-1,DA$6-INDEX('Lease Cycles'!$BG$13:$BM$13,1,DA95))</f>
        <v>41</v>
      </c>
      <c r="DB96" s="25">
        <f>IF(DB95=0,-1,DB$6-INDEX('Lease Cycles'!$BG$13:$BM$13,1,DB95))</f>
        <v>42</v>
      </c>
      <c r="DC96" s="25">
        <f>IF(DC95=0,-1,DC$6-INDEX('Lease Cycles'!$BG$13:$BM$13,1,DC95))</f>
        <v>43</v>
      </c>
      <c r="DD96" s="25">
        <f>IF(DD95=0,-1,DD$6-INDEX('Lease Cycles'!$BG$13:$BM$13,1,DD95))</f>
        <v>44</v>
      </c>
      <c r="DE96" s="25">
        <f>IF(DE95=0,-1,DE$6-INDEX('Lease Cycles'!$BG$13:$BM$13,1,DE95))</f>
        <v>45</v>
      </c>
      <c r="DF96" s="25">
        <f>IF(DF95=0,-1,DF$6-INDEX('Lease Cycles'!$BG$13:$BM$13,1,DF95))</f>
        <v>46</v>
      </c>
      <c r="DG96" s="25">
        <f>IF(DG95=0,-1,DG$6-INDEX('Lease Cycles'!$BG$13:$BM$13,1,DG95))</f>
        <v>47</v>
      </c>
      <c r="DH96" s="25">
        <f>IF(DH95=0,-1,DH$6-INDEX('Lease Cycles'!$BG$13:$BM$13,1,DH95))</f>
        <v>48</v>
      </c>
      <c r="DI96" s="25">
        <f>IF(DI95=0,-1,DI$6-INDEX('Lease Cycles'!$BG$13:$BM$13,1,DI95))</f>
        <v>49</v>
      </c>
      <c r="DJ96" s="25">
        <f>IF(DJ95=0,-1,DJ$6-INDEX('Lease Cycles'!$BG$13:$BM$13,1,DJ95))</f>
        <v>50</v>
      </c>
      <c r="DK96" s="25">
        <f>IF(DK95=0,-1,DK$6-INDEX('Lease Cycles'!$BG$13:$BM$13,1,DK95))</f>
        <v>51</v>
      </c>
      <c r="DL96" s="25">
        <f>IF(DL95=0,-1,DL$6-INDEX('Lease Cycles'!$BG$13:$BM$13,1,DL95))</f>
        <v>52</v>
      </c>
      <c r="DM96" s="25">
        <f>IF(DM95=0,-1,DM$6-INDEX('Lease Cycles'!$BG$13:$BM$13,1,DM95))</f>
        <v>53</v>
      </c>
      <c r="DN96" s="25">
        <f>IF(DN95=0,-1,DN$6-INDEX('Lease Cycles'!$BG$13:$BM$13,1,DN95))</f>
        <v>54</v>
      </c>
      <c r="DO96" s="25">
        <f>IF(DO95=0,-1,DO$6-INDEX('Lease Cycles'!$BG$13:$BM$13,1,DO95))</f>
        <v>55</v>
      </c>
      <c r="DP96" s="25">
        <f>IF(DP95=0,-1,DP$6-INDEX('Lease Cycles'!$BG$13:$BM$13,1,DP95))</f>
        <v>56</v>
      </c>
      <c r="DQ96" s="25">
        <f>IF(DQ95=0,-1,DQ$6-INDEX('Lease Cycles'!$BG$13:$BM$13,1,DQ95))</f>
        <v>57</v>
      </c>
      <c r="DR96" s="25">
        <f>IF(DR95=0,-1,DR$6-INDEX('Lease Cycles'!$BG$13:$BM$13,1,DR95))</f>
        <v>58</v>
      </c>
      <c r="DS96" s="25">
        <f>IF(DS95=0,-1,DS$6-INDEX('Lease Cycles'!$BG$13:$BM$13,1,DS95))</f>
        <v>59</v>
      </c>
      <c r="DT96" s="25">
        <f>IF(DT95=0,-1,DT$6-INDEX('Lease Cycles'!$BG$13:$BM$13,1,DT95))</f>
        <v>60</v>
      </c>
      <c r="DU96" s="25">
        <f>IF(DU95=0,-1,DU$6-INDEX('Lease Cycles'!$BG$13:$BM$13,1,DU95))</f>
        <v>61</v>
      </c>
      <c r="DV96" s="25">
        <f>IF(DV95=0,-1,DV$6-INDEX('Lease Cycles'!$BG$13:$BM$13,1,DV95))</f>
        <v>62</v>
      </c>
      <c r="DW96" s="25">
        <f>IF(DW95=0,-1,DW$6-INDEX('Lease Cycles'!$BG$13:$BM$13,1,DW95))</f>
        <v>63</v>
      </c>
      <c r="DX96" s="25">
        <f>IF(DX95=0,-1,DX$6-INDEX('Lease Cycles'!$BG$13:$BM$13,1,DX95))</f>
        <v>64</v>
      </c>
      <c r="DY96" s="25">
        <f>IF(DY95=0,-1,DY$6-INDEX('Lease Cycles'!$BG$13:$BM$13,1,DY95))</f>
        <v>65</v>
      </c>
      <c r="DZ96" s="25">
        <f>IF(DZ95=0,-1,DZ$6-INDEX('Lease Cycles'!$BG$13:$BM$13,1,DZ95))</f>
        <v>66</v>
      </c>
      <c r="EA96" s="25">
        <f>IF(EA95=0,-1,EA$6-INDEX('Lease Cycles'!$BG$13:$BM$13,1,EA95))</f>
        <v>67</v>
      </c>
      <c r="EB96" s="25">
        <f>IF(EB95=0,-1,EB$6-INDEX('Lease Cycles'!$BG$13:$BM$13,1,EB95))</f>
        <v>68</v>
      </c>
      <c r="EC96" s="25">
        <f>IF(EC95=0,-1,EC$6-INDEX('Lease Cycles'!$BG$13:$BM$13,1,EC95))</f>
        <v>69</v>
      </c>
      <c r="ED96" s="25">
        <f>IF(ED95=0,-1,ED$6-INDEX('Lease Cycles'!$BG$13:$BM$13,1,ED95))</f>
        <v>70</v>
      </c>
      <c r="EE96" s="25">
        <f>IF(EE95=0,-1,EE$6-INDEX('Lease Cycles'!$BG$13:$BM$13,1,EE95))</f>
        <v>71</v>
      </c>
      <c r="EF96" s="25">
        <f>IF(EF95=0,-1,EF$6-INDEX('Lease Cycles'!$BG$13:$BM$13,1,EF95))</f>
        <v>72</v>
      </c>
      <c r="EG96" s="25">
        <f>IF(EG95=0,-1,EG$6-INDEX('Lease Cycles'!$BG$13:$BM$13,1,EG95))</f>
        <v>73</v>
      </c>
      <c r="EH96" s="25">
        <f>IF(EH95=0,-1,EH$6-INDEX('Lease Cycles'!$BG$13:$BM$13,1,EH95))</f>
        <v>74</v>
      </c>
      <c r="EI96" s="25">
        <f>IF(EI95=0,-1,EI$6-INDEX('Lease Cycles'!$BG$13:$BM$13,1,EI95))</f>
        <v>75</v>
      </c>
      <c r="EJ96" s="25">
        <f>IF(EJ95=0,-1,EJ$6-INDEX('Lease Cycles'!$BG$13:$BM$13,1,EJ95))</f>
        <v>76</v>
      </c>
      <c r="EK96" s="25">
        <f>IF(EK95=0,-1,EK$6-INDEX('Lease Cycles'!$BG$13:$BM$13,1,EK95))</f>
        <v>77</v>
      </c>
      <c r="EL96" s="25">
        <f>IF(EL95=0,-1,EL$6-INDEX('Lease Cycles'!$BG$13:$BM$13,1,EL95))</f>
        <v>78</v>
      </c>
      <c r="EM96" s="25">
        <f>IF(EM95=0,-1,EM$6-INDEX('Lease Cycles'!$BG$13:$BM$13,1,EM95))</f>
        <v>79</v>
      </c>
      <c r="EN96" s="25">
        <f>IF(EN95=0,-1,EN$6-INDEX('Lease Cycles'!$BG$13:$BM$13,1,EN95))</f>
        <v>80</v>
      </c>
      <c r="EO96" s="25">
        <f>IF(EO95=0,-1,EO$6-INDEX('Lease Cycles'!$BG$13:$BM$13,1,EO95))</f>
        <v>81</v>
      </c>
      <c r="EP96" s="25">
        <f>IF(EP95=0,-1,EP$6-INDEX('Lease Cycles'!$BG$13:$BM$13,1,EP95))</f>
        <v>82</v>
      </c>
      <c r="EQ96" s="25">
        <f>IF(EQ95=0,-1,EQ$6-INDEX('Lease Cycles'!$BG$13:$BM$13,1,EQ95))</f>
        <v>83</v>
      </c>
      <c r="ER96" s="25">
        <f>IF(ER95=0,-1,ER$6-INDEX('Lease Cycles'!$BG$13:$BM$13,1,ER95))</f>
        <v>84</v>
      </c>
      <c r="ES96" s="25">
        <f>IF(ES95=0,-1,ES$6-INDEX('Lease Cycles'!$BG$13:$BM$13,1,ES95))</f>
        <v>85</v>
      </c>
      <c r="ET96" s="25">
        <f>IF(ET95=0,-1,ET$6-INDEX('Lease Cycles'!$BG$13:$BM$13,1,ET95))</f>
        <v>86</v>
      </c>
    </row>
    <row r="97">
      <c r="A97" s="103">
        <v>6</v>
      </c>
      <c r="B97" s="23" t="str">
        <f>IF('Lease Cycles'!$B$13="","(empty slot)",'Lease Cycles'!$B$13)</f>
        <v>Sunfield Cleaners</v>
      </c>
      <c r="C97" s="23" t="s">
        <v>675</v>
      </c>
      <c r="D97" s="104" t="s">
        <v>676</v>
      </c>
      <c r="E97" s="25">
        <f>'Lease Cycles'!$AL$13</f>
        <v>0</v>
      </c>
      <c r="S97" s="25">
        <f>IF(S95=0,0,IF(S96&lt;INDEX('Lease Cycles'!$BN$13:$BT$13,1,S95),1,0))</f>
        <v>1</v>
      </c>
      <c r="T97" s="25">
        <f>IF(T95=0,0,IF(T96&lt;INDEX('Lease Cycles'!$BN$13:$BT$13,1,T95),1,0))</f>
        <v>1</v>
      </c>
      <c r="U97" s="25">
        <f>IF(U95=0,0,IF(U96&lt;INDEX('Lease Cycles'!$BN$13:$BT$13,1,U95),1,0))</f>
        <v>1</v>
      </c>
      <c r="V97" s="25">
        <f>IF(V95=0,0,IF(V96&lt;INDEX('Lease Cycles'!$BN$13:$BT$13,1,V95),1,0))</f>
        <v>1</v>
      </c>
      <c r="W97" s="25">
        <f>IF(W95=0,0,IF(W96&lt;INDEX('Lease Cycles'!$BN$13:$BT$13,1,W95),1,0))</f>
        <v>1</v>
      </c>
      <c r="X97" s="25">
        <f>IF(X95=0,0,IF(X96&lt;INDEX('Lease Cycles'!$BN$13:$BT$13,1,X95),1,0))</f>
        <v>1</v>
      </c>
      <c r="Y97" s="25">
        <f>IF(Y95=0,0,IF(Y96&lt;INDEX('Lease Cycles'!$BN$13:$BT$13,1,Y95),1,0))</f>
        <v>1</v>
      </c>
      <c r="Z97" s="25">
        <f>IF(Z95=0,0,IF(Z96&lt;INDEX('Lease Cycles'!$BN$13:$BT$13,1,Z95),1,0))</f>
        <v>1</v>
      </c>
      <c r="AA97" s="25">
        <f>IF(AA95=0,0,IF(AA96&lt;INDEX('Lease Cycles'!$BN$13:$BT$13,1,AA95),1,0))</f>
        <v>1</v>
      </c>
      <c r="AB97" s="25">
        <f>IF(AB95=0,0,IF(AB96&lt;INDEX('Lease Cycles'!$BN$13:$BT$13,1,AB95),1,0))</f>
        <v>1</v>
      </c>
      <c r="AC97" s="25">
        <f>IF(AC95=0,0,IF(AC96&lt;INDEX('Lease Cycles'!$BN$13:$BT$13,1,AC95),1,0))</f>
        <v>1</v>
      </c>
      <c r="AD97" s="25">
        <f>IF(AD95=0,0,IF(AD96&lt;INDEX('Lease Cycles'!$BN$13:$BT$13,1,AD95),1,0))</f>
        <v>1</v>
      </c>
      <c r="AE97" s="25">
        <f>IF(AE95=0,0,IF(AE96&lt;INDEX('Lease Cycles'!$BN$13:$BT$13,1,AE95),1,0))</f>
        <v>1</v>
      </c>
      <c r="AF97" s="25">
        <f>IF(AF95=0,0,IF(AF96&lt;INDEX('Lease Cycles'!$BN$13:$BT$13,1,AF95),1,0))</f>
        <v>1</v>
      </c>
      <c r="AG97" s="25">
        <f>IF(AG95=0,0,IF(AG96&lt;INDEX('Lease Cycles'!$BN$13:$BT$13,1,AG95),1,0))</f>
        <v>1</v>
      </c>
      <c r="AH97" s="25">
        <f>IF(AH95=0,0,IF(AH96&lt;INDEX('Lease Cycles'!$BN$13:$BT$13,1,AH95),1,0))</f>
        <v>1</v>
      </c>
      <c r="AI97" s="25">
        <f>IF(AI95=0,0,IF(AI96&lt;INDEX('Lease Cycles'!$BN$13:$BT$13,1,AI95),1,0))</f>
        <v>1</v>
      </c>
      <c r="AJ97" s="25">
        <f>IF(AJ95=0,0,IF(AJ96&lt;INDEX('Lease Cycles'!$BN$13:$BT$13,1,AJ95),1,0))</f>
        <v>1</v>
      </c>
      <c r="AK97" s="25">
        <f>IF(AK95=0,0,IF(AK96&lt;INDEX('Lease Cycles'!$BN$13:$BT$13,1,AK95),1,0))</f>
        <v>1</v>
      </c>
      <c r="AL97" s="25">
        <f>IF(AL95=0,0,IF(AL96&lt;INDEX('Lease Cycles'!$BN$13:$BT$13,1,AL95),1,0))</f>
        <v>1</v>
      </c>
      <c r="AM97" s="25">
        <f>IF(AM95=0,0,IF(AM96&lt;INDEX('Lease Cycles'!$BN$13:$BT$13,1,AM95),1,0))</f>
        <v>1</v>
      </c>
      <c r="AN97" s="25">
        <f>IF(AN95=0,0,IF(AN96&lt;INDEX('Lease Cycles'!$BN$13:$BT$13,1,AN95),1,0))</f>
        <v>1</v>
      </c>
      <c r="AO97" s="25">
        <f>IF(AO95=0,0,IF(AO96&lt;INDEX('Lease Cycles'!$BN$13:$BT$13,1,AO95),1,0))</f>
        <v>1</v>
      </c>
      <c r="AP97" s="25">
        <f>IF(AP95=0,0,IF(AP96&lt;INDEX('Lease Cycles'!$BN$13:$BT$13,1,AP95),1,0))</f>
        <v>1</v>
      </c>
      <c r="AQ97" s="25">
        <f>IF(AQ95=0,0,IF(AQ96&lt;INDEX('Lease Cycles'!$BN$13:$BT$13,1,AQ95),1,0))</f>
        <v>1</v>
      </c>
      <c r="AR97" s="25">
        <f>IF(AR95=0,0,IF(AR96&lt;INDEX('Lease Cycles'!$BN$13:$BT$13,1,AR95),1,0))</f>
        <v>1</v>
      </c>
      <c r="AS97" s="25">
        <f>IF(AS95=0,0,IF(AS96&lt;INDEX('Lease Cycles'!$BN$13:$BT$13,1,AS95),1,0))</f>
        <v>1</v>
      </c>
      <c r="AT97" s="25">
        <f>IF(AT95=0,0,IF(AT96&lt;INDEX('Lease Cycles'!$BN$13:$BT$13,1,AT95),1,0))</f>
        <v>1</v>
      </c>
      <c r="AU97" s="25">
        <f>IF(AU95=0,0,IF(AU96&lt;INDEX('Lease Cycles'!$BN$13:$BT$13,1,AU95),1,0))</f>
        <v>1</v>
      </c>
      <c r="AV97" s="25">
        <f>IF(AV95=0,0,IF(AV96&lt;INDEX('Lease Cycles'!$BN$13:$BT$13,1,AV95),1,0))</f>
        <v>1</v>
      </c>
      <c r="AW97" s="25">
        <f>IF(AW95=0,0,IF(AW96&lt;INDEX('Lease Cycles'!$BN$13:$BT$13,1,AW95),1,0))</f>
        <v>1</v>
      </c>
      <c r="AX97" s="25">
        <f>IF(AX95=0,0,IF(AX96&lt;INDEX('Lease Cycles'!$BN$13:$BT$13,1,AX95),1,0))</f>
        <v>1</v>
      </c>
      <c r="AY97" s="25">
        <f>IF(AY95=0,0,IF(AY96&lt;INDEX('Lease Cycles'!$BN$13:$BT$13,1,AY95),1,0))</f>
        <v>1</v>
      </c>
      <c r="AZ97" s="25">
        <f>IF(AZ95=0,0,IF(AZ96&lt;INDEX('Lease Cycles'!$BN$13:$BT$13,1,AZ95),1,0))</f>
        <v>1</v>
      </c>
      <c r="BA97" s="25">
        <f>IF(BA95=0,0,IF(BA96&lt;INDEX('Lease Cycles'!$BN$13:$BT$13,1,BA95),1,0))</f>
        <v>1</v>
      </c>
      <c r="BB97" s="25">
        <f>IF(BB95=0,0,IF(BB96&lt;INDEX('Lease Cycles'!$BN$13:$BT$13,1,BB95),1,0))</f>
        <v>1</v>
      </c>
      <c r="BC97" s="25">
        <f>IF(BC95=0,0,IF(BC96&lt;INDEX('Lease Cycles'!$BN$13:$BT$13,1,BC95),1,0))</f>
        <v>1</v>
      </c>
      <c r="BD97" s="25">
        <f>IF(BD95=0,0,IF(BD96&lt;INDEX('Lease Cycles'!$BN$13:$BT$13,1,BD95),1,0))</f>
        <v>1</v>
      </c>
      <c r="BE97" s="25">
        <f>IF(BE95=0,0,IF(BE96&lt;INDEX('Lease Cycles'!$BN$13:$BT$13,1,BE95),1,0))</f>
        <v>1</v>
      </c>
      <c r="BF97" s="25">
        <f>IF(BF95=0,0,IF(BF96&lt;INDEX('Lease Cycles'!$BN$13:$BT$13,1,BF95),1,0))</f>
        <v>1</v>
      </c>
      <c r="BG97" s="25">
        <f>IF(BG95=0,0,IF(BG96&lt;INDEX('Lease Cycles'!$BN$13:$BT$13,1,BG95),1,0))</f>
        <v>1</v>
      </c>
      <c r="BH97" s="25">
        <f>IF(BH95=0,0,IF(BH96&lt;INDEX('Lease Cycles'!$BN$13:$BT$13,1,BH95),1,0))</f>
        <v>1</v>
      </c>
      <c r="BI97" s="25">
        <f>IF(BI95=0,0,IF(BI96&lt;INDEX('Lease Cycles'!$BN$13:$BT$13,1,BI95),1,0))</f>
        <v>1</v>
      </c>
      <c r="BJ97" s="25">
        <f>IF(BJ95=0,0,IF(BJ96&lt;INDEX('Lease Cycles'!$BN$13:$BT$13,1,BJ95),1,0))</f>
        <v>1</v>
      </c>
      <c r="BK97" s="25">
        <f>IF(BK95=0,0,IF(BK96&lt;INDEX('Lease Cycles'!$BN$13:$BT$13,1,BK95),1,0))</f>
        <v>0</v>
      </c>
      <c r="BL97" s="25">
        <f>IF(BL95=0,0,IF(BL96&lt;INDEX('Lease Cycles'!$BN$13:$BT$13,1,BL95),1,0))</f>
        <v>1</v>
      </c>
      <c r="BM97" s="25">
        <f>IF(BM95=0,0,IF(BM96&lt;INDEX('Lease Cycles'!$BN$13:$BT$13,1,BM95),1,0))</f>
        <v>1</v>
      </c>
      <c r="BN97" s="25">
        <f>IF(BN95=0,0,IF(BN96&lt;INDEX('Lease Cycles'!$BN$13:$BT$13,1,BN95),1,0))</f>
        <v>1</v>
      </c>
      <c r="BO97" s="25">
        <f>IF(BO95=0,0,IF(BO96&lt;INDEX('Lease Cycles'!$BN$13:$BT$13,1,BO95),1,0))</f>
        <v>1</v>
      </c>
      <c r="BP97" s="25">
        <f>IF(BP95=0,0,IF(BP96&lt;INDEX('Lease Cycles'!$BN$13:$BT$13,1,BP95),1,0))</f>
        <v>1</v>
      </c>
      <c r="BQ97" s="25">
        <f>IF(BQ95=0,0,IF(BQ96&lt;INDEX('Lease Cycles'!$BN$13:$BT$13,1,BQ95),1,0))</f>
        <v>1</v>
      </c>
      <c r="BR97" s="25">
        <f>IF(BR95=0,0,IF(BR96&lt;INDEX('Lease Cycles'!$BN$13:$BT$13,1,BR95),1,0))</f>
        <v>1</v>
      </c>
      <c r="BS97" s="25">
        <f>IF(BS95=0,0,IF(BS96&lt;INDEX('Lease Cycles'!$BN$13:$BT$13,1,BS95),1,0))</f>
        <v>1</v>
      </c>
      <c r="BT97" s="25">
        <f>IF(BT95=0,0,IF(BT96&lt;INDEX('Lease Cycles'!$BN$13:$BT$13,1,BT95),1,0))</f>
        <v>1</v>
      </c>
      <c r="BU97" s="25">
        <f>IF(BU95=0,0,IF(BU96&lt;INDEX('Lease Cycles'!$BN$13:$BT$13,1,BU95),1,0))</f>
        <v>1</v>
      </c>
      <c r="BV97" s="25">
        <f>IF(BV95=0,0,IF(BV96&lt;INDEX('Lease Cycles'!$BN$13:$BT$13,1,BV95),1,0))</f>
        <v>1</v>
      </c>
      <c r="BW97" s="25">
        <f>IF(BW95=0,0,IF(BW96&lt;INDEX('Lease Cycles'!$BN$13:$BT$13,1,BW95),1,0))</f>
        <v>1</v>
      </c>
      <c r="BX97" s="25">
        <f>IF(BX95=0,0,IF(BX96&lt;INDEX('Lease Cycles'!$BN$13:$BT$13,1,BX95),1,0))</f>
        <v>1</v>
      </c>
      <c r="BY97" s="25">
        <f>IF(BY95=0,0,IF(BY96&lt;INDEX('Lease Cycles'!$BN$13:$BT$13,1,BY95),1,0))</f>
        <v>1</v>
      </c>
      <c r="BZ97" s="25">
        <f>IF(BZ95=0,0,IF(BZ96&lt;INDEX('Lease Cycles'!$BN$13:$BT$13,1,BZ95),1,0))</f>
        <v>1</v>
      </c>
      <c r="CA97" s="25">
        <f>IF(CA95=0,0,IF(CA96&lt;INDEX('Lease Cycles'!$BN$13:$BT$13,1,CA95),1,0))</f>
        <v>1</v>
      </c>
      <c r="CB97" s="25">
        <f>IF(CB95=0,0,IF(CB96&lt;INDEX('Lease Cycles'!$BN$13:$BT$13,1,CB95),1,0))</f>
        <v>1</v>
      </c>
      <c r="CC97" s="25">
        <f>IF(CC95=0,0,IF(CC96&lt;INDEX('Lease Cycles'!$BN$13:$BT$13,1,CC95),1,0))</f>
        <v>1</v>
      </c>
      <c r="CD97" s="25">
        <f>IF(CD95=0,0,IF(CD96&lt;INDEX('Lease Cycles'!$BN$13:$BT$13,1,CD95),1,0))</f>
        <v>1</v>
      </c>
      <c r="CE97" s="25">
        <f>IF(CE95=0,0,IF(CE96&lt;INDEX('Lease Cycles'!$BN$13:$BT$13,1,CE95),1,0))</f>
        <v>1</v>
      </c>
      <c r="CF97" s="25">
        <f>IF(CF95=0,0,IF(CF96&lt;INDEX('Lease Cycles'!$BN$13:$BT$13,1,CF95),1,0))</f>
        <v>1</v>
      </c>
      <c r="CG97" s="25">
        <f>IF(CG95=0,0,IF(CG96&lt;INDEX('Lease Cycles'!$BN$13:$BT$13,1,CG95),1,0))</f>
        <v>1</v>
      </c>
      <c r="CH97" s="25">
        <f>IF(CH95=0,0,IF(CH96&lt;INDEX('Lease Cycles'!$BN$13:$BT$13,1,CH95),1,0))</f>
        <v>1</v>
      </c>
      <c r="CI97" s="25">
        <f>IF(CI95=0,0,IF(CI96&lt;INDEX('Lease Cycles'!$BN$13:$BT$13,1,CI95),1,0))</f>
        <v>1</v>
      </c>
      <c r="CJ97" s="25">
        <f>IF(CJ95=0,0,IF(CJ96&lt;INDEX('Lease Cycles'!$BN$13:$BT$13,1,CJ95),1,0))</f>
        <v>1</v>
      </c>
      <c r="CK97" s="25">
        <f>IF(CK95=0,0,IF(CK96&lt;INDEX('Lease Cycles'!$BN$13:$BT$13,1,CK95),1,0))</f>
        <v>1</v>
      </c>
      <c r="CL97" s="25">
        <f>IF(CL95=0,0,IF(CL96&lt;INDEX('Lease Cycles'!$BN$13:$BT$13,1,CL95),1,0))</f>
        <v>1</v>
      </c>
      <c r="CM97" s="25">
        <f>IF(CM95=0,0,IF(CM96&lt;INDEX('Lease Cycles'!$BN$13:$BT$13,1,CM95),1,0))</f>
        <v>1</v>
      </c>
      <c r="CN97" s="25">
        <f>IF(CN95=0,0,IF(CN96&lt;INDEX('Lease Cycles'!$BN$13:$BT$13,1,CN95),1,0))</f>
        <v>1</v>
      </c>
      <c r="CO97" s="25">
        <f>IF(CO95=0,0,IF(CO96&lt;INDEX('Lease Cycles'!$BN$13:$BT$13,1,CO95),1,0))</f>
        <v>1</v>
      </c>
      <c r="CP97" s="25">
        <f>IF(CP95=0,0,IF(CP96&lt;INDEX('Lease Cycles'!$BN$13:$BT$13,1,CP95),1,0))</f>
        <v>1</v>
      </c>
      <c r="CQ97" s="25">
        <f>IF(CQ95=0,0,IF(CQ96&lt;INDEX('Lease Cycles'!$BN$13:$BT$13,1,CQ95),1,0))</f>
        <v>1</v>
      </c>
      <c r="CR97" s="25">
        <f>IF(CR95=0,0,IF(CR96&lt;INDEX('Lease Cycles'!$BN$13:$BT$13,1,CR95),1,0))</f>
        <v>1</v>
      </c>
      <c r="CS97" s="25">
        <f>IF(CS95=0,0,IF(CS96&lt;INDEX('Lease Cycles'!$BN$13:$BT$13,1,CS95),1,0))</f>
        <v>1</v>
      </c>
      <c r="CT97" s="25">
        <f>IF(CT95=0,0,IF(CT96&lt;INDEX('Lease Cycles'!$BN$13:$BT$13,1,CT95),1,0))</f>
        <v>1</v>
      </c>
      <c r="CU97" s="25">
        <f>IF(CU95=0,0,IF(CU96&lt;INDEX('Lease Cycles'!$BN$13:$BT$13,1,CU95),1,0))</f>
        <v>1</v>
      </c>
      <c r="CV97" s="25">
        <f>IF(CV95=0,0,IF(CV96&lt;INDEX('Lease Cycles'!$BN$13:$BT$13,1,CV95),1,0))</f>
        <v>1</v>
      </c>
      <c r="CW97" s="25">
        <f>IF(CW95=0,0,IF(CW96&lt;INDEX('Lease Cycles'!$BN$13:$BT$13,1,CW95),1,0))</f>
        <v>1</v>
      </c>
      <c r="CX97" s="25">
        <f>IF(CX95=0,0,IF(CX96&lt;INDEX('Lease Cycles'!$BN$13:$BT$13,1,CX95),1,0))</f>
        <v>1</v>
      </c>
      <c r="CY97" s="25">
        <f>IF(CY95=0,0,IF(CY96&lt;INDEX('Lease Cycles'!$BN$13:$BT$13,1,CY95),1,0))</f>
        <v>1</v>
      </c>
      <c r="CZ97" s="25">
        <f>IF(CZ95=0,0,IF(CZ96&lt;INDEX('Lease Cycles'!$BN$13:$BT$13,1,CZ95),1,0))</f>
        <v>1</v>
      </c>
      <c r="DA97" s="25">
        <f>IF(DA95=0,0,IF(DA96&lt;INDEX('Lease Cycles'!$BN$13:$BT$13,1,DA95),1,0))</f>
        <v>1</v>
      </c>
      <c r="DB97" s="25">
        <f>IF(DB95=0,0,IF(DB96&lt;INDEX('Lease Cycles'!$BN$13:$BT$13,1,DB95),1,0))</f>
        <v>1</v>
      </c>
      <c r="DC97" s="25">
        <f>IF(DC95=0,0,IF(DC96&lt;INDEX('Lease Cycles'!$BN$13:$BT$13,1,DC95),1,0))</f>
        <v>1</v>
      </c>
      <c r="DD97" s="25">
        <f>IF(DD95=0,0,IF(DD96&lt;INDEX('Lease Cycles'!$BN$13:$BT$13,1,DD95),1,0))</f>
        <v>1</v>
      </c>
      <c r="DE97" s="25">
        <f>IF(DE95=0,0,IF(DE96&lt;INDEX('Lease Cycles'!$BN$13:$BT$13,1,DE95),1,0))</f>
        <v>1</v>
      </c>
      <c r="DF97" s="25">
        <f>IF(DF95=0,0,IF(DF96&lt;INDEX('Lease Cycles'!$BN$13:$BT$13,1,DF95),1,0))</f>
        <v>1</v>
      </c>
      <c r="DG97" s="25">
        <f>IF(DG95=0,0,IF(DG96&lt;INDEX('Lease Cycles'!$BN$13:$BT$13,1,DG95),1,0))</f>
        <v>1</v>
      </c>
      <c r="DH97" s="25">
        <f>IF(DH95=0,0,IF(DH96&lt;INDEX('Lease Cycles'!$BN$13:$BT$13,1,DH95),1,0))</f>
        <v>1</v>
      </c>
      <c r="DI97" s="25">
        <f>IF(DI95=0,0,IF(DI96&lt;INDEX('Lease Cycles'!$BN$13:$BT$13,1,DI95),1,0))</f>
        <v>1</v>
      </c>
      <c r="DJ97" s="25">
        <f>IF(DJ95=0,0,IF(DJ96&lt;INDEX('Lease Cycles'!$BN$13:$BT$13,1,DJ95),1,0))</f>
        <v>1</v>
      </c>
      <c r="DK97" s="25">
        <f>IF(DK95=0,0,IF(DK96&lt;INDEX('Lease Cycles'!$BN$13:$BT$13,1,DK95),1,0))</f>
        <v>1</v>
      </c>
      <c r="DL97" s="25">
        <f>IF(DL95=0,0,IF(DL96&lt;INDEX('Lease Cycles'!$BN$13:$BT$13,1,DL95),1,0))</f>
        <v>1</v>
      </c>
      <c r="DM97" s="25">
        <f>IF(DM95=0,0,IF(DM96&lt;INDEX('Lease Cycles'!$BN$13:$BT$13,1,DM95),1,0))</f>
        <v>1</v>
      </c>
      <c r="DN97" s="25">
        <f>IF(DN95=0,0,IF(DN96&lt;INDEX('Lease Cycles'!$BN$13:$BT$13,1,DN95),1,0))</f>
        <v>1</v>
      </c>
      <c r="DO97" s="25">
        <f>IF(DO95=0,0,IF(DO96&lt;INDEX('Lease Cycles'!$BN$13:$BT$13,1,DO95),1,0))</f>
        <v>1</v>
      </c>
      <c r="DP97" s="25">
        <f>IF(DP95=0,0,IF(DP96&lt;INDEX('Lease Cycles'!$BN$13:$BT$13,1,DP95),1,0))</f>
        <v>1</v>
      </c>
      <c r="DQ97" s="25">
        <f>IF(DQ95=0,0,IF(DQ96&lt;INDEX('Lease Cycles'!$BN$13:$BT$13,1,DQ95),1,0))</f>
        <v>1</v>
      </c>
      <c r="DR97" s="25">
        <f>IF(DR95=0,0,IF(DR96&lt;INDEX('Lease Cycles'!$BN$13:$BT$13,1,DR95),1,0))</f>
        <v>1</v>
      </c>
      <c r="DS97" s="25">
        <f>IF(DS95=0,0,IF(DS96&lt;INDEX('Lease Cycles'!$BN$13:$BT$13,1,DS95),1,0))</f>
        <v>1</v>
      </c>
      <c r="DT97" s="25">
        <f>IF(DT95=0,0,IF(DT96&lt;INDEX('Lease Cycles'!$BN$13:$BT$13,1,DT95),1,0))</f>
        <v>1</v>
      </c>
      <c r="DU97" s="25">
        <f>IF(DU95=0,0,IF(DU96&lt;INDEX('Lease Cycles'!$BN$13:$BT$13,1,DU95),1,0))</f>
        <v>1</v>
      </c>
      <c r="DV97" s="25">
        <f>IF(DV95=0,0,IF(DV96&lt;INDEX('Lease Cycles'!$BN$13:$BT$13,1,DV95),1,0))</f>
        <v>1</v>
      </c>
      <c r="DW97" s="25">
        <f>IF(DW95=0,0,IF(DW96&lt;INDEX('Lease Cycles'!$BN$13:$BT$13,1,DW95),1,0))</f>
        <v>1</v>
      </c>
      <c r="DX97" s="25">
        <f>IF(DX95=0,0,IF(DX96&lt;INDEX('Lease Cycles'!$BN$13:$BT$13,1,DX95),1,0))</f>
        <v>1</v>
      </c>
      <c r="DY97" s="25">
        <f>IF(DY95=0,0,IF(DY96&lt;INDEX('Lease Cycles'!$BN$13:$BT$13,1,DY95),1,0))</f>
        <v>1</v>
      </c>
      <c r="DZ97" s="25">
        <f>IF(DZ95=0,0,IF(DZ96&lt;INDEX('Lease Cycles'!$BN$13:$BT$13,1,DZ95),1,0))</f>
        <v>1</v>
      </c>
      <c r="EA97" s="25">
        <f>IF(EA95=0,0,IF(EA96&lt;INDEX('Lease Cycles'!$BN$13:$BT$13,1,EA95),1,0))</f>
        <v>1</v>
      </c>
      <c r="EB97" s="25">
        <f>IF(EB95=0,0,IF(EB96&lt;INDEX('Lease Cycles'!$BN$13:$BT$13,1,EB95),1,0))</f>
        <v>1</v>
      </c>
      <c r="EC97" s="25">
        <f>IF(EC95=0,0,IF(EC96&lt;INDEX('Lease Cycles'!$BN$13:$BT$13,1,EC95),1,0))</f>
        <v>1</v>
      </c>
      <c r="ED97" s="25">
        <f>IF(ED95=0,0,IF(ED96&lt;INDEX('Lease Cycles'!$BN$13:$BT$13,1,ED95),1,0))</f>
        <v>1</v>
      </c>
      <c r="EE97" s="25">
        <f>IF(EE95=0,0,IF(EE96&lt;INDEX('Lease Cycles'!$BN$13:$BT$13,1,EE95),1,0))</f>
        <v>1</v>
      </c>
      <c r="EF97" s="25">
        <f>IF(EF95=0,0,IF(EF96&lt;INDEX('Lease Cycles'!$BN$13:$BT$13,1,EF95),1,0))</f>
        <v>1</v>
      </c>
      <c r="EG97" s="25">
        <f>IF(EG95=0,0,IF(EG96&lt;INDEX('Lease Cycles'!$BN$13:$BT$13,1,EG95),1,0))</f>
        <v>1</v>
      </c>
      <c r="EH97" s="25">
        <f>IF(EH95=0,0,IF(EH96&lt;INDEX('Lease Cycles'!$BN$13:$BT$13,1,EH95),1,0))</f>
        <v>1</v>
      </c>
      <c r="EI97" s="25">
        <f>IF(EI95=0,0,IF(EI96&lt;INDEX('Lease Cycles'!$BN$13:$BT$13,1,EI95),1,0))</f>
        <v>1</v>
      </c>
      <c r="EJ97" s="25">
        <f>IF(EJ95=0,0,IF(EJ96&lt;INDEX('Lease Cycles'!$BN$13:$BT$13,1,EJ95),1,0))</f>
        <v>1</v>
      </c>
      <c r="EK97" s="25">
        <f>IF(EK95=0,0,IF(EK96&lt;INDEX('Lease Cycles'!$BN$13:$BT$13,1,EK95),1,0))</f>
        <v>1</v>
      </c>
      <c r="EL97" s="25">
        <f>IF(EL95=0,0,IF(EL96&lt;INDEX('Lease Cycles'!$BN$13:$BT$13,1,EL95),1,0))</f>
        <v>1</v>
      </c>
      <c r="EM97" s="25">
        <f>IF(EM95=0,0,IF(EM96&lt;INDEX('Lease Cycles'!$BN$13:$BT$13,1,EM95),1,0))</f>
        <v>1</v>
      </c>
      <c r="EN97" s="25">
        <f>IF(EN95=0,0,IF(EN96&lt;INDEX('Lease Cycles'!$BN$13:$BT$13,1,EN95),1,0))</f>
        <v>1</v>
      </c>
      <c r="EO97" s="25">
        <f>IF(EO95=0,0,IF(EO96&lt;INDEX('Lease Cycles'!$BN$13:$BT$13,1,EO95),1,0))</f>
        <v>1</v>
      </c>
      <c r="EP97" s="25">
        <f>IF(EP95=0,0,IF(EP96&lt;INDEX('Lease Cycles'!$BN$13:$BT$13,1,EP95),1,0))</f>
        <v>1</v>
      </c>
      <c r="EQ97" s="25">
        <f>IF(EQ95=0,0,IF(EQ96&lt;INDEX('Lease Cycles'!$BN$13:$BT$13,1,EQ95),1,0))</f>
        <v>1</v>
      </c>
      <c r="ER97" s="25">
        <f>IF(ER95=0,0,IF(ER96&lt;INDEX('Lease Cycles'!$BN$13:$BT$13,1,ER95),1,0))</f>
        <v>1</v>
      </c>
      <c r="ES97" s="25">
        <f>IF(ES95=0,0,IF(ES96&lt;INDEX('Lease Cycles'!$BN$13:$BT$13,1,ES95),1,0))</f>
        <v>1</v>
      </c>
      <c r="ET97" s="25">
        <f>IF(ET95=0,0,IF(ET96&lt;INDEX('Lease Cycles'!$BN$13:$BT$13,1,ET95),1,0))</f>
        <v>1</v>
      </c>
    </row>
    <row r="98">
      <c r="A98" s="103">
        <v>6</v>
      </c>
      <c r="B98" s="23" t="str">
        <f>IF('Lease Cycles'!$B$13="","(empty slot)",'Lease Cycles'!$B$13)</f>
        <v>Sunfield Cleaners</v>
      </c>
      <c r="C98" s="23" t="s">
        <v>677</v>
      </c>
      <c r="D98" s="104" t="s">
        <v>678</v>
      </c>
      <c r="E98" s="25">
        <f>'Lease Cycles'!$AL$13</f>
        <v>0</v>
      </c>
      <c r="S98" s="28">
        <f>IF(S95=0,IF('Lease Cycles'!$F$13&gt;0,'Lease Cycles'!$C$13*'Lease Cycles'!$E$13/12,0),IF(S97=1,IF('Lease Cycles'!$AT$13&gt;=9999,'Lease Cycles'!$C$13*INDEX('Lease Cycles'!$CB$13:$CH$13,1,S95)*(1+INDEX('Lease Cycles'!$CI$13:$CO$13,1,S95))^INT(INT(S96/12)/INDEX('Lease Cycles'!$CP$13:$CV$13,1,S95))/12,IF(S95=1,IF(S96&gt;=INDEX('Lease Cycles'!$DK$13:$DQ$13,1,S95),IF(S$6&gt;='Lease Cycles'!$AZ$13,'Lease Cycles'!$C$13*'Lease Cycles'!$BA$13/12,IF(S$6&gt;='Lease Cycles'!$AX$13,'Lease Cycles'!$C$13*'Lease Cycles'!$AY$13/12,IF(S$6&gt;='Lease Cycles'!$AV$13,'Lease Cycles'!$C$13*'Lease Cycles'!$AW$13/12,IF(S$6&gt;='Lease Cycles'!$AT$13,'Lease Cycles'!$C$13*'Lease Cycles'!$AU$13/12,'Lease Cycles'!$C$13*INDEX('Lease Cycles'!$CB$13:$CH$13,1,S95)*(1+INDEX('Lease Cycles'!$CI$13:$CO$13,1,S95))^INT(INT(S96/12)/INDEX('Lease Cycles'!$CP$13:$CV$13,1,S95))/12)))),'Lease Cycles'!$C$13*INDEX('Lease Cycles'!$CB$13:$CH$13,1,S95)*(1+INDEX('Lease Cycles'!$CI$13:$CO$13,1,S95))^INT(INT(S96/12)/INDEX('Lease Cycles'!$CP$13:$CV$13,1,S95))/12),IF(INDEX('Lease Cycles'!$EF$13:$EL$13,1,S95)=1,IF(AND('Lease Cycles'!$AZ$13&gt;=INDEX('Lease Cycles'!$BG$13:$BM$13,1,S95),'Lease Cycles'!$AZ$13&lt;=S$6),'Lease Cycles'!$C$13*'Lease Cycles'!$BA$13/12,IF(AND('Lease Cycles'!$AX$13&gt;=INDEX('Lease Cycles'!$BG$13:$BM$13,1,S95),'Lease Cycles'!$AX$13&lt;=S$6),'Lease Cycles'!$C$13*'Lease Cycles'!$AY$13/12,IF(AND('Lease Cycles'!$AV$13&gt;=INDEX('Lease Cycles'!$BG$13:$BM$13,1,S95),'Lease Cycles'!$AV$13&lt;=S$6),'Lease Cycles'!$C$13*'Lease Cycles'!$AW$13/12,IF(AND('Lease Cycles'!$AT$13&gt;=INDEX('Lease Cycles'!$BG$13:$BM$13,1,S95),'Lease Cycles'!$AT$13&lt;=S$6),'Lease Cycles'!$C$13*'Lease Cycles'!$AU$13/12,'Lease Cycles'!$C$13*INDEX('Lease Cycles'!$CB$13:$CH$13,1,S95)*(1+INDEX('Lease Cycles'!$CI$13:$CO$13,1,S95))^INT(INT(S96/12)/INDEX('Lease Cycles'!$CP$13:$CV$13,1,S95))/12)))),'Lease Cycles'!$C$13*INDEX('Lease Cycles'!$CB$13:$CH$13,1,S95)*(1+INDEX('Lease Cycles'!$CI$13:$CO$13,1,S95))^INT(INT(S96/12)/INDEX('Lease Cycles'!$CP$13:$CV$13,1,S95))/12))),IF('Lease Cycles'!$N$13=1,'Lease Cycles'!$C$13*'Lease Cycles'!$E$13*INDEX('Lease Cycles'!$HE$13:$HK$13,1,S95)*(1+INDEX('Lease Cycles'!$GQ$13:$GW$13,1,S95))^INT(INT((S$6-INDEX('Lease Cycles'!$GJ$13:$GP$13,1,S95))/12)/INDEX('Lease Cycles'!$GX$13:$HD$13,1,S95))/12,0)))</f>
        <v>3900</v>
      </c>
      <c r="T98" s="28">
        <f>IF(T95=0,IF('Lease Cycles'!$F$13&gt;0,'Lease Cycles'!$C$13*'Lease Cycles'!$E$13/12,0),IF(T97=1,IF('Lease Cycles'!$AT$13&gt;=9999,'Lease Cycles'!$C$13*INDEX('Lease Cycles'!$CB$13:$CH$13,1,T95)*(1+INDEX('Lease Cycles'!$CI$13:$CO$13,1,T95))^INT(INT(T96/12)/INDEX('Lease Cycles'!$CP$13:$CV$13,1,T95))/12,IF(T95=1,IF(T96&gt;=INDEX('Lease Cycles'!$DK$13:$DQ$13,1,T95),IF(T$6&gt;='Lease Cycles'!$AZ$13,'Lease Cycles'!$C$13*'Lease Cycles'!$BA$13/12,IF(T$6&gt;='Lease Cycles'!$AX$13,'Lease Cycles'!$C$13*'Lease Cycles'!$AY$13/12,IF(T$6&gt;='Lease Cycles'!$AV$13,'Lease Cycles'!$C$13*'Lease Cycles'!$AW$13/12,IF(T$6&gt;='Lease Cycles'!$AT$13,'Lease Cycles'!$C$13*'Lease Cycles'!$AU$13/12,'Lease Cycles'!$C$13*INDEX('Lease Cycles'!$CB$13:$CH$13,1,T95)*(1+INDEX('Lease Cycles'!$CI$13:$CO$13,1,T95))^INT(INT(T96/12)/INDEX('Lease Cycles'!$CP$13:$CV$13,1,T95))/12)))),'Lease Cycles'!$C$13*INDEX('Lease Cycles'!$CB$13:$CH$13,1,T95)*(1+INDEX('Lease Cycles'!$CI$13:$CO$13,1,T95))^INT(INT(T96/12)/INDEX('Lease Cycles'!$CP$13:$CV$13,1,T95))/12),IF(INDEX('Lease Cycles'!$EF$13:$EL$13,1,T95)=1,IF(AND('Lease Cycles'!$AZ$13&gt;=INDEX('Lease Cycles'!$BG$13:$BM$13,1,T95),'Lease Cycles'!$AZ$13&lt;=T$6),'Lease Cycles'!$C$13*'Lease Cycles'!$BA$13/12,IF(AND('Lease Cycles'!$AX$13&gt;=INDEX('Lease Cycles'!$BG$13:$BM$13,1,T95),'Lease Cycles'!$AX$13&lt;=T$6),'Lease Cycles'!$C$13*'Lease Cycles'!$AY$13/12,IF(AND('Lease Cycles'!$AV$13&gt;=INDEX('Lease Cycles'!$BG$13:$BM$13,1,T95),'Lease Cycles'!$AV$13&lt;=T$6),'Lease Cycles'!$C$13*'Lease Cycles'!$AW$13/12,IF(AND('Lease Cycles'!$AT$13&gt;=INDEX('Lease Cycles'!$BG$13:$BM$13,1,T95),'Lease Cycles'!$AT$13&lt;=T$6),'Lease Cycles'!$C$13*'Lease Cycles'!$AU$13/12,'Lease Cycles'!$C$13*INDEX('Lease Cycles'!$CB$13:$CH$13,1,T95)*(1+INDEX('Lease Cycles'!$CI$13:$CO$13,1,T95))^INT(INT(T96/12)/INDEX('Lease Cycles'!$CP$13:$CV$13,1,T95))/12)))),'Lease Cycles'!$C$13*INDEX('Lease Cycles'!$CB$13:$CH$13,1,T95)*(1+INDEX('Lease Cycles'!$CI$13:$CO$13,1,T95))^INT(INT(T96/12)/INDEX('Lease Cycles'!$CP$13:$CV$13,1,T95))/12))),IF('Lease Cycles'!$N$13=1,'Lease Cycles'!$C$13*'Lease Cycles'!$E$13*INDEX('Lease Cycles'!$HE$13:$HK$13,1,T95)*(1+INDEX('Lease Cycles'!$GQ$13:$GW$13,1,T95))^INT(INT((T$6-INDEX('Lease Cycles'!$GJ$13:$GP$13,1,T95))/12)/INDEX('Lease Cycles'!$GX$13:$HD$13,1,T95))/12,0)))</f>
        <v>3900</v>
      </c>
      <c r="U98" s="28">
        <f>IF(U95=0,IF('Lease Cycles'!$F$13&gt;0,'Lease Cycles'!$C$13*'Lease Cycles'!$E$13/12,0),IF(U97=1,IF('Lease Cycles'!$AT$13&gt;=9999,'Lease Cycles'!$C$13*INDEX('Lease Cycles'!$CB$13:$CH$13,1,U95)*(1+INDEX('Lease Cycles'!$CI$13:$CO$13,1,U95))^INT(INT(U96/12)/INDEX('Lease Cycles'!$CP$13:$CV$13,1,U95))/12,IF(U95=1,IF(U96&gt;=INDEX('Lease Cycles'!$DK$13:$DQ$13,1,U95),IF(U$6&gt;='Lease Cycles'!$AZ$13,'Lease Cycles'!$C$13*'Lease Cycles'!$BA$13/12,IF(U$6&gt;='Lease Cycles'!$AX$13,'Lease Cycles'!$C$13*'Lease Cycles'!$AY$13/12,IF(U$6&gt;='Lease Cycles'!$AV$13,'Lease Cycles'!$C$13*'Lease Cycles'!$AW$13/12,IF(U$6&gt;='Lease Cycles'!$AT$13,'Lease Cycles'!$C$13*'Lease Cycles'!$AU$13/12,'Lease Cycles'!$C$13*INDEX('Lease Cycles'!$CB$13:$CH$13,1,U95)*(1+INDEX('Lease Cycles'!$CI$13:$CO$13,1,U95))^INT(INT(U96/12)/INDEX('Lease Cycles'!$CP$13:$CV$13,1,U95))/12)))),'Lease Cycles'!$C$13*INDEX('Lease Cycles'!$CB$13:$CH$13,1,U95)*(1+INDEX('Lease Cycles'!$CI$13:$CO$13,1,U95))^INT(INT(U96/12)/INDEX('Lease Cycles'!$CP$13:$CV$13,1,U95))/12),IF(INDEX('Lease Cycles'!$EF$13:$EL$13,1,U95)=1,IF(AND('Lease Cycles'!$AZ$13&gt;=INDEX('Lease Cycles'!$BG$13:$BM$13,1,U95),'Lease Cycles'!$AZ$13&lt;=U$6),'Lease Cycles'!$C$13*'Lease Cycles'!$BA$13/12,IF(AND('Lease Cycles'!$AX$13&gt;=INDEX('Lease Cycles'!$BG$13:$BM$13,1,U95),'Lease Cycles'!$AX$13&lt;=U$6),'Lease Cycles'!$C$13*'Lease Cycles'!$AY$13/12,IF(AND('Lease Cycles'!$AV$13&gt;=INDEX('Lease Cycles'!$BG$13:$BM$13,1,U95),'Lease Cycles'!$AV$13&lt;=U$6),'Lease Cycles'!$C$13*'Lease Cycles'!$AW$13/12,IF(AND('Lease Cycles'!$AT$13&gt;=INDEX('Lease Cycles'!$BG$13:$BM$13,1,U95),'Lease Cycles'!$AT$13&lt;=U$6),'Lease Cycles'!$C$13*'Lease Cycles'!$AU$13/12,'Lease Cycles'!$C$13*INDEX('Lease Cycles'!$CB$13:$CH$13,1,U95)*(1+INDEX('Lease Cycles'!$CI$13:$CO$13,1,U95))^INT(INT(U96/12)/INDEX('Lease Cycles'!$CP$13:$CV$13,1,U95))/12)))),'Lease Cycles'!$C$13*INDEX('Lease Cycles'!$CB$13:$CH$13,1,U95)*(1+INDEX('Lease Cycles'!$CI$13:$CO$13,1,U95))^INT(INT(U96/12)/INDEX('Lease Cycles'!$CP$13:$CV$13,1,U95))/12))),IF('Lease Cycles'!$N$13=1,'Lease Cycles'!$C$13*'Lease Cycles'!$E$13*INDEX('Lease Cycles'!$HE$13:$HK$13,1,U95)*(1+INDEX('Lease Cycles'!$GQ$13:$GW$13,1,U95))^INT(INT((U$6-INDEX('Lease Cycles'!$GJ$13:$GP$13,1,U95))/12)/INDEX('Lease Cycles'!$GX$13:$HD$13,1,U95))/12,0)))</f>
        <v>3900</v>
      </c>
      <c r="V98" s="28">
        <f>IF(V95=0,IF('Lease Cycles'!$F$13&gt;0,'Lease Cycles'!$C$13*'Lease Cycles'!$E$13/12,0),IF(V97=1,IF('Lease Cycles'!$AT$13&gt;=9999,'Lease Cycles'!$C$13*INDEX('Lease Cycles'!$CB$13:$CH$13,1,V95)*(1+INDEX('Lease Cycles'!$CI$13:$CO$13,1,V95))^INT(INT(V96/12)/INDEX('Lease Cycles'!$CP$13:$CV$13,1,V95))/12,IF(V95=1,IF(V96&gt;=INDEX('Lease Cycles'!$DK$13:$DQ$13,1,V95),IF(V$6&gt;='Lease Cycles'!$AZ$13,'Lease Cycles'!$C$13*'Lease Cycles'!$BA$13/12,IF(V$6&gt;='Lease Cycles'!$AX$13,'Lease Cycles'!$C$13*'Lease Cycles'!$AY$13/12,IF(V$6&gt;='Lease Cycles'!$AV$13,'Lease Cycles'!$C$13*'Lease Cycles'!$AW$13/12,IF(V$6&gt;='Lease Cycles'!$AT$13,'Lease Cycles'!$C$13*'Lease Cycles'!$AU$13/12,'Lease Cycles'!$C$13*INDEX('Lease Cycles'!$CB$13:$CH$13,1,V95)*(1+INDEX('Lease Cycles'!$CI$13:$CO$13,1,V95))^INT(INT(V96/12)/INDEX('Lease Cycles'!$CP$13:$CV$13,1,V95))/12)))),'Lease Cycles'!$C$13*INDEX('Lease Cycles'!$CB$13:$CH$13,1,V95)*(1+INDEX('Lease Cycles'!$CI$13:$CO$13,1,V95))^INT(INT(V96/12)/INDEX('Lease Cycles'!$CP$13:$CV$13,1,V95))/12),IF(INDEX('Lease Cycles'!$EF$13:$EL$13,1,V95)=1,IF(AND('Lease Cycles'!$AZ$13&gt;=INDEX('Lease Cycles'!$BG$13:$BM$13,1,V95),'Lease Cycles'!$AZ$13&lt;=V$6),'Lease Cycles'!$C$13*'Lease Cycles'!$BA$13/12,IF(AND('Lease Cycles'!$AX$13&gt;=INDEX('Lease Cycles'!$BG$13:$BM$13,1,V95),'Lease Cycles'!$AX$13&lt;=V$6),'Lease Cycles'!$C$13*'Lease Cycles'!$AY$13/12,IF(AND('Lease Cycles'!$AV$13&gt;=INDEX('Lease Cycles'!$BG$13:$BM$13,1,V95),'Lease Cycles'!$AV$13&lt;=V$6),'Lease Cycles'!$C$13*'Lease Cycles'!$AW$13/12,IF(AND('Lease Cycles'!$AT$13&gt;=INDEX('Lease Cycles'!$BG$13:$BM$13,1,V95),'Lease Cycles'!$AT$13&lt;=V$6),'Lease Cycles'!$C$13*'Lease Cycles'!$AU$13/12,'Lease Cycles'!$C$13*INDEX('Lease Cycles'!$CB$13:$CH$13,1,V95)*(1+INDEX('Lease Cycles'!$CI$13:$CO$13,1,V95))^INT(INT(V96/12)/INDEX('Lease Cycles'!$CP$13:$CV$13,1,V95))/12)))),'Lease Cycles'!$C$13*INDEX('Lease Cycles'!$CB$13:$CH$13,1,V95)*(1+INDEX('Lease Cycles'!$CI$13:$CO$13,1,V95))^INT(INT(V96/12)/INDEX('Lease Cycles'!$CP$13:$CV$13,1,V95))/12))),IF('Lease Cycles'!$N$13=1,'Lease Cycles'!$C$13*'Lease Cycles'!$E$13*INDEX('Lease Cycles'!$HE$13:$HK$13,1,V95)*(1+INDEX('Lease Cycles'!$GQ$13:$GW$13,1,V95))^INT(INT((V$6-INDEX('Lease Cycles'!$GJ$13:$GP$13,1,V95))/12)/INDEX('Lease Cycles'!$GX$13:$HD$13,1,V95))/12,0)))</f>
        <v>3900</v>
      </c>
      <c r="W98" s="28">
        <f>IF(W95=0,IF('Lease Cycles'!$F$13&gt;0,'Lease Cycles'!$C$13*'Lease Cycles'!$E$13/12,0),IF(W97=1,IF('Lease Cycles'!$AT$13&gt;=9999,'Lease Cycles'!$C$13*INDEX('Lease Cycles'!$CB$13:$CH$13,1,W95)*(1+INDEX('Lease Cycles'!$CI$13:$CO$13,1,W95))^INT(INT(W96/12)/INDEX('Lease Cycles'!$CP$13:$CV$13,1,W95))/12,IF(W95=1,IF(W96&gt;=INDEX('Lease Cycles'!$DK$13:$DQ$13,1,W95),IF(W$6&gt;='Lease Cycles'!$AZ$13,'Lease Cycles'!$C$13*'Lease Cycles'!$BA$13/12,IF(W$6&gt;='Lease Cycles'!$AX$13,'Lease Cycles'!$C$13*'Lease Cycles'!$AY$13/12,IF(W$6&gt;='Lease Cycles'!$AV$13,'Lease Cycles'!$C$13*'Lease Cycles'!$AW$13/12,IF(W$6&gt;='Lease Cycles'!$AT$13,'Lease Cycles'!$C$13*'Lease Cycles'!$AU$13/12,'Lease Cycles'!$C$13*INDEX('Lease Cycles'!$CB$13:$CH$13,1,W95)*(1+INDEX('Lease Cycles'!$CI$13:$CO$13,1,W95))^INT(INT(W96/12)/INDEX('Lease Cycles'!$CP$13:$CV$13,1,W95))/12)))),'Lease Cycles'!$C$13*INDEX('Lease Cycles'!$CB$13:$CH$13,1,W95)*(1+INDEX('Lease Cycles'!$CI$13:$CO$13,1,W95))^INT(INT(W96/12)/INDEX('Lease Cycles'!$CP$13:$CV$13,1,W95))/12),IF(INDEX('Lease Cycles'!$EF$13:$EL$13,1,W95)=1,IF(AND('Lease Cycles'!$AZ$13&gt;=INDEX('Lease Cycles'!$BG$13:$BM$13,1,W95),'Lease Cycles'!$AZ$13&lt;=W$6),'Lease Cycles'!$C$13*'Lease Cycles'!$BA$13/12,IF(AND('Lease Cycles'!$AX$13&gt;=INDEX('Lease Cycles'!$BG$13:$BM$13,1,W95),'Lease Cycles'!$AX$13&lt;=W$6),'Lease Cycles'!$C$13*'Lease Cycles'!$AY$13/12,IF(AND('Lease Cycles'!$AV$13&gt;=INDEX('Lease Cycles'!$BG$13:$BM$13,1,W95),'Lease Cycles'!$AV$13&lt;=W$6),'Lease Cycles'!$C$13*'Lease Cycles'!$AW$13/12,IF(AND('Lease Cycles'!$AT$13&gt;=INDEX('Lease Cycles'!$BG$13:$BM$13,1,W95),'Lease Cycles'!$AT$13&lt;=W$6),'Lease Cycles'!$C$13*'Lease Cycles'!$AU$13/12,'Lease Cycles'!$C$13*INDEX('Lease Cycles'!$CB$13:$CH$13,1,W95)*(1+INDEX('Lease Cycles'!$CI$13:$CO$13,1,W95))^INT(INT(W96/12)/INDEX('Lease Cycles'!$CP$13:$CV$13,1,W95))/12)))),'Lease Cycles'!$C$13*INDEX('Lease Cycles'!$CB$13:$CH$13,1,W95)*(1+INDEX('Lease Cycles'!$CI$13:$CO$13,1,W95))^INT(INT(W96/12)/INDEX('Lease Cycles'!$CP$13:$CV$13,1,W95))/12))),IF('Lease Cycles'!$N$13=1,'Lease Cycles'!$C$13*'Lease Cycles'!$E$13*INDEX('Lease Cycles'!$HE$13:$HK$13,1,W95)*(1+INDEX('Lease Cycles'!$GQ$13:$GW$13,1,W95))^INT(INT((W$6-INDEX('Lease Cycles'!$GJ$13:$GP$13,1,W95))/12)/INDEX('Lease Cycles'!$GX$13:$HD$13,1,W95))/12,0)))</f>
        <v>3900</v>
      </c>
      <c r="X98" s="28">
        <f>IF(X95=0,IF('Lease Cycles'!$F$13&gt;0,'Lease Cycles'!$C$13*'Lease Cycles'!$E$13/12,0),IF(X97=1,IF('Lease Cycles'!$AT$13&gt;=9999,'Lease Cycles'!$C$13*INDEX('Lease Cycles'!$CB$13:$CH$13,1,X95)*(1+INDEX('Lease Cycles'!$CI$13:$CO$13,1,X95))^INT(INT(X96/12)/INDEX('Lease Cycles'!$CP$13:$CV$13,1,X95))/12,IF(X95=1,IF(X96&gt;=INDEX('Lease Cycles'!$DK$13:$DQ$13,1,X95),IF(X$6&gt;='Lease Cycles'!$AZ$13,'Lease Cycles'!$C$13*'Lease Cycles'!$BA$13/12,IF(X$6&gt;='Lease Cycles'!$AX$13,'Lease Cycles'!$C$13*'Lease Cycles'!$AY$13/12,IF(X$6&gt;='Lease Cycles'!$AV$13,'Lease Cycles'!$C$13*'Lease Cycles'!$AW$13/12,IF(X$6&gt;='Lease Cycles'!$AT$13,'Lease Cycles'!$C$13*'Lease Cycles'!$AU$13/12,'Lease Cycles'!$C$13*INDEX('Lease Cycles'!$CB$13:$CH$13,1,X95)*(1+INDEX('Lease Cycles'!$CI$13:$CO$13,1,X95))^INT(INT(X96/12)/INDEX('Lease Cycles'!$CP$13:$CV$13,1,X95))/12)))),'Lease Cycles'!$C$13*INDEX('Lease Cycles'!$CB$13:$CH$13,1,X95)*(1+INDEX('Lease Cycles'!$CI$13:$CO$13,1,X95))^INT(INT(X96/12)/INDEX('Lease Cycles'!$CP$13:$CV$13,1,X95))/12),IF(INDEX('Lease Cycles'!$EF$13:$EL$13,1,X95)=1,IF(AND('Lease Cycles'!$AZ$13&gt;=INDEX('Lease Cycles'!$BG$13:$BM$13,1,X95),'Lease Cycles'!$AZ$13&lt;=X$6),'Lease Cycles'!$C$13*'Lease Cycles'!$BA$13/12,IF(AND('Lease Cycles'!$AX$13&gt;=INDEX('Lease Cycles'!$BG$13:$BM$13,1,X95),'Lease Cycles'!$AX$13&lt;=X$6),'Lease Cycles'!$C$13*'Lease Cycles'!$AY$13/12,IF(AND('Lease Cycles'!$AV$13&gt;=INDEX('Lease Cycles'!$BG$13:$BM$13,1,X95),'Lease Cycles'!$AV$13&lt;=X$6),'Lease Cycles'!$C$13*'Lease Cycles'!$AW$13/12,IF(AND('Lease Cycles'!$AT$13&gt;=INDEX('Lease Cycles'!$BG$13:$BM$13,1,X95),'Lease Cycles'!$AT$13&lt;=X$6),'Lease Cycles'!$C$13*'Lease Cycles'!$AU$13/12,'Lease Cycles'!$C$13*INDEX('Lease Cycles'!$CB$13:$CH$13,1,X95)*(1+INDEX('Lease Cycles'!$CI$13:$CO$13,1,X95))^INT(INT(X96/12)/INDEX('Lease Cycles'!$CP$13:$CV$13,1,X95))/12)))),'Lease Cycles'!$C$13*INDEX('Lease Cycles'!$CB$13:$CH$13,1,X95)*(1+INDEX('Lease Cycles'!$CI$13:$CO$13,1,X95))^INT(INT(X96/12)/INDEX('Lease Cycles'!$CP$13:$CV$13,1,X95))/12))),IF('Lease Cycles'!$N$13=1,'Lease Cycles'!$C$13*'Lease Cycles'!$E$13*INDEX('Lease Cycles'!$HE$13:$HK$13,1,X95)*(1+INDEX('Lease Cycles'!$GQ$13:$GW$13,1,X95))^INT(INT((X$6-INDEX('Lease Cycles'!$GJ$13:$GP$13,1,X95))/12)/INDEX('Lease Cycles'!$GX$13:$HD$13,1,X95))/12,0)))</f>
        <v>3900</v>
      </c>
      <c r="Y98" s="28">
        <f>IF(Y95=0,IF('Lease Cycles'!$F$13&gt;0,'Lease Cycles'!$C$13*'Lease Cycles'!$E$13/12,0),IF(Y97=1,IF('Lease Cycles'!$AT$13&gt;=9999,'Lease Cycles'!$C$13*INDEX('Lease Cycles'!$CB$13:$CH$13,1,Y95)*(1+INDEX('Lease Cycles'!$CI$13:$CO$13,1,Y95))^INT(INT(Y96/12)/INDEX('Lease Cycles'!$CP$13:$CV$13,1,Y95))/12,IF(Y95=1,IF(Y96&gt;=INDEX('Lease Cycles'!$DK$13:$DQ$13,1,Y95),IF(Y$6&gt;='Lease Cycles'!$AZ$13,'Lease Cycles'!$C$13*'Lease Cycles'!$BA$13/12,IF(Y$6&gt;='Lease Cycles'!$AX$13,'Lease Cycles'!$C$13*'Lease Cycles'!$AY$13/12,IF(Y$6&gt;='Lease Cycles'!$AV$13,'Lease Cycles'!$C$13*'Lease Cycles'!$AW$13/12,IF(Y$6&gt;='Lease Cycles'!$AT$13,'Lease Cycles'!$C$13*'Lease Cycles'!$AU$13/12,'Lease Cycles'!$C$13*INDEX('Lease Cycles'!$CB$13:$CH$13,1,Y95)*(1+INDEX('Lease Cycles'!$CI$13:$CO$13,1,Y95))^INT(INT(Y96/12)/INDEX('Lease Cycles'!$CP$13:$CV$13,1,Y95))/12)))),'Lease Cycles'!$C$13*INDEX('Lease Cycles'!$CB$13:$CH$13,1,Y95)*(1+INDEX('Lease Cycles'!$CI$13:$CO$13,1,Y95))^INT(INT(Y96/12)/INDEX('Lease Cycles'!$CP$13:$CV$13,1,Y95))/12),IF(INDEX('Lease Cycles'!$EF$13:$EL$13,1,Y95)=1,IF(AND('Lease Cycles'!$AZ$13&gt;=INDEX('Lease Cycles'!$BG$13:$BM$13,1,Y95),'Lease Cycles'!$AZ$13&lt;=Y$6),'Lease Cycles'!$C$13*'Lease Cycles'!$BA$13/12,IF(AND('Lease Cycles'!$AX$13&gt;=INDEX('Lease Cycles'!$BG$13:$BM$13,1,Y95),'Lease Cycles'!$AX$13&lt;=Y$6),'Lease Cycles'!$C$13*'Lease Cycles'!$AY$13/12,IF(AND('Lease Cycles'!$AV$13&gt;=INDEX('Lease Cycles'!$BG$13:$BM$13,1,Y95),'Lease Cycles'!$AV$13&lt;=Y$6),'Lease Cycles'!$C$13*'Lease Cycles'!$AW$13/12,IF(AND('Lease Cycles'!$AT$13&gt;=INDEX('Lease Cycles'!$BG$13:$BM$13,1,Y95),'Lease Cycles'!$AT$13&lt;=Y$6),'Lease Cycles'!$C$13*'Lease Cycles'!$AU$13/12,'Lease Cycles'!$C$13*INDEX('Lease Cycles'!$CB$13:$CH$13,1,Y95)*(1+INDEX('Lease Cycles'!$CI$13:$CO$13,1,Y95))^INT(INT(Y96/12)/INDEX('Lease Cycles'!$CP$13:$CV$13,1,Y95))/12)))),'Lease Cycles'!$C$13*INDEX('Lease Cycles'!$CB$13:$CH$13,1,Y95)*(1+INDEX('Lease Cycles'!$CI$13:$CO$13,1,Y95))^INT(INT(Y96/12)/INDEX('Lease Cycles'!$CP$13:$CV$13,1,Y95))/12))),IF('Lease Cycles'!$N$13=1,'Lease Cycles'!$C$13*'Lease Cycles'!$E$13*INDEX('Lease Cycles'!$HE$13:$HK$13,1,Y95)*(1+INDEX('Lease Cycles'!$GQ$13:$GW$13,1,Y95))^INT(INT((Y$6-INDEX('Lease Cycles'!$GJ$13:$GP$13,1,Y95))/12)/INDEX('Lease Cycles'!$GX$13:$HD$13,1,Y95))/12,0)))</f>
        <v>3900</v>
      </c>
      <c r="Z98" s="28">
        <f>IF(Z95=0,IF('Lease Cycles'!$F$13&gt;0,'Lease Cycles'!$C$13*'Lease Cycles'!$E$13/12,0),IF(Z97=1,IF('Lease Cycles'!$AT$13&gt;=9999,'Lease Cycles'!$C$13*INDEX('Lease Cycles'!$CB$13:$CH$13,1,Z95)*(1+INDEX('Lease Cycles'!$CI$13:$CO$13,1,Z95))^INT(INT(Z96/12)/INDEX('Lease Cycles'!$CP$13:$CV$13,1,Z95))/12,IF(Z95=1,IF(Z96&gt;=INDEX('Lease Cycles'!$DK$13:$DQ$13,1,Z95),IF(Z$6&gt;='Lease Cycles'!$AZ$13,'Lease Cycles'!$C$13*'Lease Cycles'!$BA$13/12,IF(Z$6&gt;='Lease Cycles'!$AX$13,'Lease Cycles'!$C$13*'Lease Cycles'!$AY$13/12,IF(Z$6&gt;='Lease Cycles'!$AV$13,'Lease Cycles'!$C$13*'Lease Cycles'!$AW$13/12,IF(Z$6&gt;='Lease Cycles'!$AT$13,'Lease Cycles'!$C$13*'Lease Cycles'!$AU$13/12,'Lease Cycles'!$C$13*INDEX('Lease Cycles'!$CB$13:$CH$13,1,Z95)*(1+INDEX('Lease Cycles'!$CI$13:$CO$13,1,Z95))^INT(INT(Z96/12)/INDEX('Lease Cycles'!$CP$13:$CV$13,1,Z95))/12)))),'Lease Cycles'!$C$13*INDEX('Lease Cycles'!$CB$13:$CH$13,1,Z95)*(1+INDEX('Lease Cycles'!$CI$13:$CO$13,1,Z95))^INT(INT(Z96/12)/INDEX('Lease Cycles'!$CP$13:$CV$13,1,Z95))/12),IF(INDEX('Lease Cycles'!$EF$13:$EL$13,1,Z95)=1,IF(AND('Lease Cycles'!$AZ$13&gt;=INDEX('Lease Cycles'!$BG$13:$BM$13,1,Z95),'Lease Cycles'!$AZ$13&lt;=Z$6),'Lease Cycles'!$C$13*'Lease Cycles'!$BA$13/12,IF(AND('Lease Cycles'!$AX$13&gt;=INDEX('Lease Cycles'!$BG$13:$BM$13,1,Z95),'Lease Cycles'!$AX$13&lt;=Z$6),'Lease Cycles'!$C$13*'Lease Cycles'!$AY$13/12,IF(AND('Lease Cycles'!$AV$13&gt;=INDEX('Lease Cycles'!$BG$13:$BM$13,1,Z95),'Lease Cycles'!$AV$13&lt;=Z$6),'Lease Cycles'!$C$13*'Lease Cycles'!$AW$13/12,IF(AND('Lease Cycles'!$AT$13&gt;=INDEX('Lease Cycles'!$BG$13:$BM$13,1,Z95),'Lease Cycles'!$AT$13&lt;=Z$6),'Lease Cycles'!$C$13*'Lease Cycles'!$AU$13/12,'Lease Cycles'!$C$13*INDEX('Lease Cycles'!$CB$13:$CH$13,1,Z95)*(1+INDEX('Lease Cycles'!$CI$13:$CO$13,1,Z95))^INT(INT(Z96/12)/INDEX('Lease Cycles'!$CP$13:$CV$13,1,Z95))/12)))),'Lease Cycles'!$C$13*INDEX('Lease Cycles'!$CB$13:$CH$13,1,Z95)*(1+INDEX('Lease Cycles'!$CI$13:$CO$13,1,Z95))^INT(INT(Z96/12)/INDEX('Lease Cycles'!$CP$13:$CV$13,1,Z95))/12))),IF('Lease Cycles'!$N$13=1,'Lease Cycles'!$C$13*'Lease Cycles'!$E$13*INDEX('Lease Cycles'!$HE$13:$HK$13,1,Z95)*(1+INDEX('Lease Cycles'!$GQ$13:$GW$13,1,Z95))^INT(INT((Z$6-INDEX('Lease Cycles'!$GJ$13:$GP$13,1,Z95))/12)/INDEX('Lease Cycles'!$GX$13:$HD$13,1,Z95))/12,0)))</f>
        <v>3900</v>
      </c>
      <c r="AA98" s="28">
        <f>IF(AA95=0,IF('Lease Cycles'!$F$13&gt;0,'Lease Cycles'!$C$13*'Lease Cycles'!$E$13/12,0),IF(AA97=1,IF('Lease Cycles'!$AT$13&gt;=9999,'Lease Cycles'!$C$13*INDEX('Lease Cycles'!$CB$13:$CH$13,1,AA95)*(1+INDEX('Lease Cycles'!$CI$13:$CO$13,1,AA95))^INT(INT(AA96/12)/INDEX('Lease Cycles'!$CP$13:$CV$13,1,AA95))/12,IF(AA95=1,IF(AA96&gt;=INDEX('Lease Cycles'!$DK$13:$DQ$13,1,AA95),IF(AA$6&gt;='Lease Cycles'!$AZ$13,'Lease Cycles'!$C$13*'Lease Cycles'!$BA$13/12,IF(AA$6&gt;='Lease Cycles'!$AX$13,'Lease Cycles'!$C$13*'Lease Cycles'!$AY$13/12,IF(AA$6&gt;='Lease Cycles'!$AV$13,'Lease Cycles'!$C$13*'Lease Cycles'!$AW$13/12,IF(AA$6&gt;='Lease Cycles'!$AT$13,'Lease Cycles'!$C$13*'Lease Cycles'!$AU$13/12,'Lease Cycles'!$C$13*INDEX('Lease Cycles'!$CB$13:$CH$13,1,AA95)*(1+INDEX('Lease Cycles'!$CI$13:$CO$13,1,AA95))^INT(INT(AA96/12)/INDEX('Lease Cycles'!$CP$13:$CV$13,1,AA95))/12)))),'Lease Cycles'!$C$13*INDEX('Lease Cycles'!$CB$13:$CH$13,1,AA95)*(1+INDEX('Lease Cycles'!$CI$13:$CO$13,1,AA95))^INT(INT(AA96/12)/INDEX('Lease Cycles'!$CP$13:$CV$13,1,AA95))/12),IF(INDEX('Lease Cycles'!$EF$13:$EL$13,1,AA95)=1,IF(AND('Lease Cycles'!$AZ$13&gt;=INDEX('Lease Cycles'!$BG$13:$BM$13,1,AA95),'Lease Cycles'!$AZ$13&lt;=AA$6),'Lease Cycles'!$C$13*'Lease Cycles'!$BA$13/12,IF(AND('Lease Cycles'!$AX$13&gt;=INDEX('Lease Cycles'!$BG$13:$BM$13,1,AA95),'Lease Cycles'!$AX$13&lt;=AA$6),'Lease Cycles'!$C$13*'Lease Cycles'!$AY$13/12,IF(AND('Lease Cycles'!$AV$13&gt;=INDEX('Lease Cycles'!$BG$13:$BM$13,1,AA95),'Lease Cycles'!$AV$13&lt;=AA$6),'Lease Cycles'!$C$13*'Lease Cycles'!$AW$13/12,IF(AND('Lease Cycles'!$AT$13&gt;=INDEX('Lease Cycles'!$BG$13:$BM$13,1,AA95),'Lease Cycles'!$AT$13&lt;=AA$6),'Lease Cycles'!$C$13*'Lease Cycles'!$AU$13/12,'Lease Cycles'!$C$13*INDEX('Lease Cycles'!$CB$13:$CH$13,1,AA95)*(1+INDEX('Lease Cycles'!$CI$13:$CO$13,1,AA95))^INT(INT(AA96/12)/INDEX('Lease Cycles'!$CP$13:$CV$13,1,AA95))/12)))),'Lease Cycles'!$C$13*INDEX('Lease Cycles'!$CB$13:$CH$13,1,AA95)*(1+INDEX('Lease Cycles'!$CI$13:$CO$13,1,AA95))^INT(INT(AA96/12)/INDEX('Lease Cycles'!$CP$13:$CV$13,1,AA95))/12))),IF('Lease Cycles'!$N$13=1,'Lease Cycles'!$C$13*'Lease Cycles'!$E$13*INDEX('Lease Cycles'!$HE$13:$HK$13,1,AA95)*(1+INDEX('Lease Cycles'!$GQ$13:$GW$13,1,AA95))^INT(INT((AA$6-INDEX('Lease Cycles'!$GJ$13:$GP$13,1,AA95))/12)/INDEX('Lease Cycles'!$GX$13:$HD$13,1,AA95))/12,0)))</f>
        <v>3900</v>
      </c>
      <c r="AB98" s="28">
        <f>IF(AB95=0,IF('Lease Cycles'!$F$13&gt;0,'Lease Cycles'!$C$13*'Lease Cycles'!$E$13/12,0),IF(AB97=1,IF('Lease Cycles'!$AT$13&gt;=9999,'Lease Cycles'!$C$13*INDEX('Lease Cycles'!$CB$13:$CH$13,1,AB95)*(1+INDEX('Lease Cycles'!$CI$13:$CO$13,1,AB95))^INT(INT(AB96/12)/INDEX('Lease Cycles'!$CP$13:$CV$13,1,AB95))/12,IF(AB95=1,IF(AB96&gt;=INDEX('Lease Cycles'!$DK$13:$DQ$13,1,AB95),IF(AB$6&gt;='Lease Cycles'!$AZ$13,'Lease Cycles'!$C$13*'Lease Cycles'!$BA$13/12,IF(AB$6&gt;='Lease Cycles'!$AX$13,'Lease Cycles'!$C$13*'Lease Cycles'!$AY$13/12,IF(AB$6&gt;='Lease Cycles'!$AV$13,'Lease Cycles'!$C$13*'Lease Cycles'!$AW$13/12,IF(AB$6&gt;='Lease Cycles'!$AT$13,'Lease Cycles'!$C$13*'Lease Cycles'!$AU$13/12,'Lease Cycles'!$C$13*INDEX('Lease Cycles'!$CB$13:$CH$13,1,AB95)*(1+INDEX('Lease Cycles'!$CI$13:$CO$13,1,AB95))^INT(INT(AB96/12)/INDEX('Lease Cycles'!$CP$13:$CV$13,1,AB95))/12)))),'Lease Cycles'!$C$13*INDEX('Lease Cycles'!$CB$13:$CH$13,1,AB95)*(1+INDEX('Lease Cycles'!$CI$13:$CO$13,1,AB95))^INT(INT(AB96/12)/INDEX('Lease Cycles'!$CP$13:$CV$13,1,AB95))/12),IF(INDEX('Lease Cycles'!$EF$13:$EL$13,1,AB95)=1,IF(AND('Lease Cycles'!$AZ$13&gt;=INDEX('Lease Cycles'!$BG$13:$BM$13,1,AB95),'Lease Cycles'!$AZ$13&lt;=AB$6),'Lease Cycles'!$C$13*'Lease Cycles'!$BA$13/12,IF(AND('Lease Cycles'!$AX$13&gt;=INDEX('Lease Cycles'!$BG$13:$BM$13,1,AB95),'Lease Cycles'!$AX$13&lt;=AB$6),'Lease Cycles'!$C$13*'Lease Cycles'!$AY$13/12,IF(AND('Lease Cycles'!$AV$13&gt;=INDEX('Lease Cycles'!$BG$13:$BM$13,1,AB95),'Lease Cycles'!$AV$13&lt;=AB$6),'Lease Cycles'!$C$13*'Lease Cycles'!$AW$13/12,IF(AND('Lease Cycles'!$AT$13&gt;=INDEX('Lease Cycles'!$BG$13:$BM$13,1,AB95),'Lease Cycles'!$AT$13&lt;=AB$6),'Lease Cycles'!$C$13*'Lease Cycles'!$AU$13/12,'Lease Cycles'!$C$13*INDEX('Lease Cycles'!$CB$13:$CH$13,1,AB95)*(1+INDEX('Lease Cycles'!$CI$13:$CO$13,1,AB95))^INT(INT(AB96/12)/INDEX('Lease Cycles'!$CP$13:$CV$13,1,AB95))/12)))),'Lease Cycles'!$C$13*INDEX('Lease Cycles'!$CB$13:$CH$13,1,AB95)*(1+INDEX('Lease Cycles'!$CI$13:$CO$13,1,AB95))^INT(INT(AB96/12)/INDEX('Lease Cycles'!$CP$13:$CV$13,1,AB95))/12))),IF('Lease Cycles'!$N$13=1,'Lease Cycles'!$C$13*'Lease Cycles'!$E$13*INDEX('Lease Cycles'!$HE$13:$HK$13,1,AB95)*(1+INDEX('Lease Cycles'!$GQ$13:$GW$13,1,AB95))^INT(INT((AB$6-INDEX('Lease Cycles'!$GJ$13:$GP$13,1,AB95))/12)/INDEX('Lease Cycles'!$GX$13:$HD$13,1,AB95))/12,0)))</f>
        <v>3900</v>
      </c>
      <c r="AC98" s="28">
        <f>IF(AC95=0,IF('Lease Cycles'!$F$13&gt;0,'Lease Cycles'!$C$13*'Lease Cycles'!$E$13/12,0),IF(AC97=1,IF('Lease Cycles'!$AT$13&gt;=9999,'Lease Cycles'!$C$13*INDEX('Lease Cycles'!$CB$13:$CH$13,1,AC95)*(1+INDEX('Lease Cycles'!$CI$13:$CO$13,1,AC95))^INT(INT(AC96/12)/INDEX('Lease Cycles'!$CP$13:$CV$13,1,AC95))/12,IF(AC95=1,IF(AC96&gt;=INDEX('Lease Cycles'!$DK$13:$DQ$13,1,AC95),IF(AC$6&gt;='Lease Cycles'!$AZ$13,'Lease Cycles'!$C$13*'Lease Cycles'!$BA$13/12,IF(AC$6&gt;='Lease Cycles'!$AX$13,'Lease Cycles'!$C$13*'Lease Cycles'!$AY$13/12,IF(AC$6&gt;='Lease Cycles'!$AV$13,'Lease Cycles'!$C$13*'Lease Cycles'!$AW$13/12,IF(AC$6&gt;='Lease Cycles'!$AT$13,'Lease Cycles'!$C$13*'Lease Cycles'!$AU$13/12,'Lease Cycles'!$C$13*INDEX('Lease Cycles'!$CB$13:$CH$13,1,AC95)*(1+INDEX('Lease Cycles'!$CI$13:$CO$13,1,AC95))^INT(INT(AC96/12)/INDEX('Lease Cycles'!$CP$13:$CV$13,1,AC95))/12)))),'Lease Cycles'!$C$13*INDEX('Lease Cycles'!$CB$13:$CH$13,1,AC95)*(1+INDEX('Lease Cycles'!$CI$13:$CO$13,1,AC95))^INT(INT(AC96/12)/INDEX('Lease Cycles'!$CP$13:$CV$13,1,AC95))/12),IF(INDEX('Lease Cycles'!$EF$13:$EL$13,1,AC95)=1,IF(AND('Lease Cycles'!$AZ$13&gt;=INDEX('Lease Cycles'!$BG$13:$BM$13,1,AC95),'Lease Cycles'!$AZ$13&lt;=AC$6),'Lease Cycles'!$C$13*'Lease Cycles'!$BA$13/12,IF(AND('Lease Cycles'!$AX$13&gt;=INDEX('Lease Cycles'!$BG$13:$BM$13,1,AC95),'Lease Cycles'!$AX$13&lt;=AC$6),'Lease Cycles'!$C$13*'Lease Cycles'!$AY$13/12,IF(AND('Lease Cycles'!$AV$13&gt;=INDEX('Lease Cycles'!$BG$13:$BM$13,1,AC95),'Lease Cycles'!$AV$13&lt;=AC$6),'Lease Cycles'!$C$13*'Lease Cycles'!$AW$13/12,IF(AND('Lease Cycles'!$AT$13&gt;=INDEX('Lease Cycles'!$BG$13:$BM$13,1,AC95),'Lease Cycles'!$AT$13&lt;=AC$6),'Lease Cycles'!$C$13*'Lease Cycles'!$AU$13/12,'Lease Cycles'!$C$13*INDEX('Lease Cycles'!$CB$13:$CH$13,1,AC95)*(1+INDEX('Lease Cycles'!$CI$13:$CO$13,1,AC95))^INT(INT(AC96/12)/INDEX('Lease Cycles'!$CP$13:$CV$13,1,AC95))/12)))),'Lease Cycles'!$C$13*INDEX('Lease Cycles'!$CB$13:$CH$13,1,AC95)*(1+INDEX('Lease Cycles'!$CI$13:$CO$13,1,AC95))^INT(INT(AC96/12)/INDEX('Lease Cycles'!$CP$13:$CV$13,1,AC95))/12))),IF('Lease Cycles'!$N$13=1,'Lease Cycles'!$C$13*'Lease Cycles'!$E$13*INDEX('Lease Cycles'!$HE$13:$HK$13,1,AC95)*(1+INDEX('Lease Cycles'!$GQ$13:$GW$13,1,AC95))^INT(INT((AC$6-INDEX('Lease Cycles'!$GJ$13:$GP$13,1,AC95))/12)/INDEX('Lease Cycles'!$GX$13:$HD$13,1,AC95))/12,0)))</f>
        <v>3900</v>
      </c>
      <c r="AD98" s="28">
        <f>IF(AD95=0,IF('Lease Cycles'!$F$13&gt;0,'Lease Cycles'!$C$13*'Lease Cycles'!$E$13/12,0),IF(AD97=1,IF('Lease Cycles'!$AT$13&gt;=9999,'Lease Cycles'!$C$13*INDEX('Lease Cycles'!$CB$13:$CH$13,1,AD95)*(1+INDEX('Lease Cycles'!$CI$13:$CO$13,1,AD95))^INT(INT(AD96/12)/INDEX('Lease Cycles'!$CP$13:$CV$13,1,AD95))/12,IF(AD95=1,IF(AD96&gt;=INDEX('Lease Cycles'!$DK$13:$DQ$13,1,AD95),IF(AD$6&gt;='Lease Cycles'!$AZ$13,'Lease Cycles'!$C$13*'Lease Cycles'!$BA$13/12,IF(AD$6&gt;='Lease Cycles'!$AX$13,'Lease Cycles'!$C$13*'Lease Cycles'!$AY$13/12,IF(AD$6&gt;='Lease Cycles'!$AV$13,'Lease Cycles'!$C$13*'Lease Cycles'!$AW$13/12,IF(AD$6&gt;='Lease Cycles'!$AT$13,'Lease Cycles'!$C$13*'Lease Cycles'!$AU$13/12,'Lease Cycles'!$C$13*INDEX('Lease Cycles'!$CB$13:$CH$13,1,AD95)*(1+INDEX('Lease Cycles'!$CI$13:$CO$13,1,AD95))^INT(INT(AD96/12)/INDEX('Lease Cycles'!$CP$13:$CV$13,1,AD95))/12)))),'Lease Cycles'!$C$13*INDEX('Lease Cycles'!$CB$13:$CH$13,1,AD95)*(1+INDEX('Lease Cycles'!$CI$13:$CO$13,1,AD95))^INT(INT(AD96/12)/INDEX('Lease Cycles'!$CP$13:$CV$13,1,AD95))/12),IF(INDEX('Lease Cycles'!$EF$13:$EL$13,1,AD95)=1,IF(AND('Lease Cycles'!$AZ$13&gt;=INDEX('Lease Cycles'!$BG$13:$BM$13,1,AD95),'Lease Cycles'!$AZ$13&lt;=AD$6),'Lease Cycles'!$C$13*'Lease Cycles'!$BA$13/12,IF(AND('Lease Cycles'!$AX$13&gt;=INDEX('Lease Cycles'!$BG$13:$BM$13,1,AD95),'Lease Cycles'!$AX$13&lt;=AD$6),'Lease Cycles'!$C$13*'Lease Cycles'!$AY$13/12,IF(AND('Lease Cycles'!$AV$13&gt;=INDEX('Lease Cycles'!$BG$13:$BM$13,1,AD95),'Lease Cycles'!$AV$13&lt;=AD$6),'Lease Cycles'!$C$13*'Lease Cycles'!$AW$13/12,IF(AND('Lease Cycles'!$AT$13&gt;=INDEX('Lease Cycles'!$BG$13:$BM$13,1,AD95),'Lease Cycles'!$AT$13&lt;=AD$6),'Lease Cycles'!$C$13*'Lease Cycles'!$AU$13/12,'Lease Cycles'!$C$13*INDEX('Lease Cycles'!$CB$13:$CH$13,1,AD95)*(1+INDEX('Lease Cycles'!$CI$13:$CO$13,1,AD95))^INT(INT(AD96/12)/INDEX('Lease Cycles'!$CP$13:$CV$13,1,AD95))/12)))),'Lease Cycles'!$C$13*INDEX('Lease Cycles'!$CB$13:$CH$13,1,AD95)*(1+INDEX('Lease Cycles'!$CI$13:$CO$13,1,AD95))^INT(INT(AD96/12)/INDEX('Lease Cycles'!$CP$13:$CV$13,1,AD95))/12))),IF('Lease Cycles'!$N$13=1,'Lease Cycles'!$C$13*'Lease Cycles'!$E$13*INDEX('Lease Cycles'!$HE$13:$HK$13,1,AD95)*(1+INDEX('Lease Cycles'!$GQ$13:$GW$13,1,AD95))^INT(INT((AD$6-INDEX('Lease Cycles'!$GJ$13:$GP$13,1,AD95))/12)/INDEX('Lease Cycles'!$GX$13:$HD$13,1,AD95))/12,0)))</f>
        <v>3900</v>
      </c>
      <c r="AE98" s="28">
        <f>IF(AE95=0,IF('Lease Cycles'!$F$13&gt;0,'Lease Cycles'!$C$13*'Lease Cycles'!$E$13/12,0),IF(AE97=1,IF('Lease Cycles'!$AT$13&gt;=9999,'Lease Cycles'!$C$13*INDEX('Lease Cycles'!$CB$13:$CH$13,1,AE95)*(1+INDEX('Lease Cycles'!$CI$13:$CO$13,1,AE95))^INT(INT(AE96/12)/INDEX('Lease Cycles'!$CP$13:$CV$13,1,AE95))/12,IF(AE95=1,IF(AE96&gt;=INDEX('Lease Cycles'!$DK$13:$DQ$13,1,AE95),IF(AE$6&gt;='Lease Cycles'!$AZ$13,'Lease Cycles'!$C$13*'Lease Cycles'!$BA$13/12,IF(AE$6&gt;='Lease Cycles'!$AX$13,'Lease Cycles'!$C$13*'Lease Cycles'!$AY$13/12,IF(AE$6&gt;='Lease Cycles'!$AV$13,'Lease Cycles'!$C$13*'Lease Cycles'!$AW$13/12,IF(AE$6&gt;='Lease Cycles'!$AT$13,'Lease Cycles'!$C$13*'Lease Cycles'!$AU$13/12,'Lease Cycles'!$C$13*INDEX('Lease Cycles'!$CB$13:$CH$13,1,AE95)*(1+INDEX('Lease Cycles'!$CI$13:$CO$13,1,AE95))^INT(INT(AE96/12)/INDEX('Lease Cycles'!$CP$13:$CV$13,1,AE95))/12)))),'Lease Cycles'!$C$13*INDEX('Lease Cycles'!$CB$13:$CH$13,1,AE95)*(1+INDEX('Lease Cycles'!$CI$13:$CO$13,1,AE95))^INT(INT(AE96/12)/INDEX('Lease Cycles'!$CP$13:$CV$13,1,AE95))/12),IF(INDEX('Lease Cycles'!$EF$13:$EL$13,1,AE95)=1,IF(AND('Lease Cycles'!$AZ$13&gt;=INDEX('Lease Cycles'!$BG$13:$BM$13,1,AE95),'Lease Cycles'!$AZ$13&lt;=AE$6),'Lease Cycles'!$C$13*'Lease Cycles'!$BA$13/12,IF(AND('Lease Cycles'!$AX$13&gt;=INDEX('Lease Cycles'!$BG$13:$BM$13,1,AE95),'Lease Cycles'!$AX$13&lt;=AE$6),'Lease Cycles'!$C$13*'Lease Cycles'!$AY$13/12,IF(AND('Lease Cycles'!$AV$13&gt;=INDEX('Lease Cycles'!$BG$13:$BM$13,1,AE95),'Lease Cycles'!$AV$13&lt;=AE$6),'Lease Cycles'!$C$13*'Lease Cycles'!$AW$13/12,IF(AND('Lease Cycles'!$AT$13&gt;=INDEX('Lease Cycles'!$BG$13:$BM$13,1,AE95),'Lease Cycles'!$AT$13&lt;=AE$6),'Lease Cycles'!$C$13*'Lease Cycles'!$AU$13/12,'Lease Cycles'!$C$13*INDEX('Lease Cycles'!$CB$13:$CH$13,1,AE95)*(1+INDEX('Lease Cycles'!$CI$13:$CO$13,1,AE95))^INT(INT(AE96/12)/INDEX('Lease Cycles'!$CP$13:$CV$13,1,AE95))/12)))),'Lease Cycles'!$C$13*INDEX('Lease Cycles'!$CB$13:$CH$13,1,AE95)*(1+INDEX('Lease Cycles'!$CI$13:$CO$13,1,AE95))^INT(INT(AE96/12)/INDEX('Lease Cycles'!$CP$13:$CV$13,1,AE95))/12))),IF('Lease Cycles'!$N$13=1,'Lease Cycles'!$C$13*'Lease Cycles'!$E$13*INDEX('Lease Cycles'!$HE$13:$HK$13,1,AE95)*(1+INDEX('Lease Cycles'!$GQ$13:$GW$13,1,AE95))^INT(INT((AE$6-INDEX('Lease Cycles'!$GJ$13:$GP$13,1,AE95))/12)/INDEX('Lease Cycles'!$GX$13:$HD$13,1,AE95))/12,0)))</f>
        <v>3900</v>
      </c>
      <c r="AF98" s="28">
        <f>IF(AF95=0,IF('Lease Cycles'!$F$13&gt;0,'Lease Cycles'!$C$13*'Lease Cycles'!$E$13/12,0),IF(AF97=1,IF('Lease Cycles'!$AT$13&gt;=9999,'Lease Cycles'!$C$13*INDEX('Lease Cycles'!$CB$13:$CH$13,1,AF95)*(1+INDEX('Lease Cycles'!$CI$13:$CO$13,1,AF95))^INT(INT(AF96/12)/INDEX('Lease Cycles'!$CP$13:$CV$13,1,AF95))/12,IF(AF95=1,IF(AF96&gt;=INDEX('Lease Cycles'!$DK$13:$DQ$13,1,AF95),IF(AF$6&gt;='Lease Cycles'!$AZ$13,'Lease Cycles'!$C$13*'Lease Cycles'!$BA$13/12,IF(AF$6&gt;='Lease Cycles'!$AX$13,'Lease Cycles'!$C$13*'Lease Cycles'!$AY$13/12,IF(AF$6&gt;='Lease Cycles'!$AV$13,'Lease Cycles'!$C$13*'Lease Cycles'!$AW$13/12,IF(AF$6&gt;='Lease Cycles'!$AT$13,'Lease Cycles'!$C$13*'Lease Cycles'!$AU$13/12,'Lease Cycles'!$C$13*INDEX('Lease Cycles'!$CB$13:$CH$13,1,AF95)*(1+INDEX('Lease Cycles'!$CI$13:$CO$13,1,AF95))^INT(INT(AF96/12)/INDEX('Lease Cycles'!$CP$13:$CV$13,1,AF95))/12)))),'Lease Cycles'!$C$13*INDEX('Lease Cycles'!$CB$13:$CH$13,1,AF95)*(1+INDEX('Lease Cycles'!$CI$13:$CO$13,1,AF95))^INT(INT(AF96/12)/INDEX('Lease Cycles'!$CP$13:$CV$13,1,AF95))/12),IF(INDEX('Lease Cycles'!$EF$13:$EL$13,1,AF95)=1,IF(AND('Lease Cycles'!$AZ$13&gt;=INDEX('Lease Cycles'!$BG$13:$BM$13,1,AF95),'Lease Cycles'!$AZ$13&lt;=AF$6),'Lease Cycles'!$C$13*'Lease Cycles'!$BA$13/12,IF(AND('Lease Cycles'!$AX$13&gt;=INDEX('Lease Cycles'!$BG$13:$BM$13,1,AF95),'Lease Cycles'!$AX$13&lt;=AF$6),'Lease Cycles'!$C$13*'Lease Cycles'!$AY$13/12,IF(AND('Lease Cycles'!$AV$13&gt;=INDEX('Lease Cycles'!$BG$13:$BM$13,1,AF95),'Lease Cycles'!$AV$13&lt;=AF$6),'Lease Cycles'!$C$13*'Lease Cycles'!$AW$13/12,IF(AND('Lease Cycles'!$AT$13&gt;=INDEX('Lease Cycles'!$BG$13:$BM$13,1,AF95),'Lease Cycles'!$AT$13&lt;=AF$6),'Lease Cycles'!$C$13*'Lease Cycles'!$AU$13/12,'Lease Cycles'!$C$13*INDEX('Lease Cycles'!$CB$13:$CH$13,1,AF95)*(1+INDEX('Lease Cycles'!$CI$13:$CO$13,1,AF95))^INT(INT(AF96/12)/INDEX('Lease Cycles'!$CP$13:$CV$13,1,AF95))/12)))),'Lease Cycles'!$C$13*INDEX('Lease Cycles'!$CB$13:$CH$13,1,AF95)*(1+INDEX('Lease Cycles'!$CI$13:$CO$13,1,AF95))^INT(INT(AF96/12)/INDEX('Lease Cycles'!$CP$13:$CV$13,1,AF95))/12))),IF('Lease Cycles'!$N$13=1,'Lease Cycles'!$C$13*'Lease Cycles'!$E$13*INDEX('Lease Cycles'!$HE$13:$HK$13,1,AF95)*(1+INDEX('Lease Cycles'!$GQ$13:$GW$13,1,AF95))^INT(INT((AF$6-INDEX('Lease Cycles'!$GJ$13:$GP$13,1,AF95))/12)/INDEX('Lease Cycles'!$GX$13:$HD$13,1,AF95))/12,0)))</f>
        <v>3900</v>
      </c>
      <c r="AG98" s="28">
        <f>IF(AG95=0,IF('Lease Cycles'!$F$13&gt;0,'Lease Cycles'!$C$13*'Lease Cycles'!$E$13/12,0),IF(AG97=1,IF('Lease Cycles'!$AT$13&gt;=9999,'Lease Cycles'!$C$13*INDEX('Lease Cycles'!$CB$13:$CH$13,1,AG95)*(1+INDEX('Lease Cycles'!$CI$13:$CO$13,1,AG95))^INT(INT(AG96/12)/INDEX('Lease Cycles'!$CP$13:$CV$13,1,AG95))/12,IF(AG95=1,IF(AG96&gt;=INDEX('Lease Cycles'!$DK$13:$DQ$13,1,AG95),IF(AG$6&gt;='Lease Cycles'!$AZ$13,'Lease Cycles'!$C$13*'Lease Cycles'!$BA$13/12,IF(AG$6&gt;='Lease Cycles'!$AX$13,'Lease Cycles'!$C$13*'Lease Cycles'!$AY$13/12,IF(AG$6&gt;='Lease Cycles'!$AV$13,'Lease Cycles'!$C$13*'Lease Cycles'!$AW$13/12,IF(AG$6&gt;='Lease Cycles'!$AT$13,'Lease Cycles'!$C$13*'Lease Cycles'!$AU$13/12,'Lease Cycles'!$C$13*INDEX('Lease Cycles'!$CB$13:$CH$13,1,AG95)*(1+INDEX('Lease Cycles'!$CI$13:$CO$13,1,AG95))^INT(INT(AG96/12)/INDEX('Lease Cycles'!$CP$13:$CV$13,1,AG95))/12)))),'Lease Cycles'!$C$13*INDEX('Lease Cycles'!$CB$13:$CH$13,1,AG95)*(1+INDEX('Lease Cycles'!$CI$13:$CO$13,1,AG95))^INT(INT(AG96/12)/INDEX('Lease Cycles'!$CP$13:$CV$13,1,AG95))/12),IF(INDEX('Lease Cycles'!$EF$13:$EL$13,1,AG95)=1,IF(AND('Lease Cycles'!$AZ$13&gt;=INDEX('Lease Cycles'!$BG$13:$BM$13,1,AG95),'Lease Cycles'!$AZ$13&lt;=AG$6),'Lease Cycles'!$C$13*'Lease Cycles'!$BA$13/12,IF(AND('Lease Cycles'!$AX$13&gt;=INDEX('Lease Cycles'!$BG$13:$BM$13,1,AG95),'Lease Cycles'!$AX$13&lt;=AG$6),'Lease Cycles'!$C$13*'Lease Cycles'!$AY$13/12,IF(AND('Lease Cycles'!$AV$13&gt;=INDEX('Lease Cycles'!$BG$13:$BM$13,1,AG95),'Lease Cycles'!$AV$13&lt;=AG$6),'Lease Cycles'!$C$13*'Lease Cycles'!$AW$13/12,IF(AND('Lease Cycles'!$AT$13&gt;=INDEX('Lease Cycles'!$BG$13:$BM$13,1,AG95),'Lease Cycles'!$AT$13&lt;=AG$6),'Lease Cycles'!$C$13*'Lease Cycles'!$AU$13/12,'Lease Cycles'!$C$13*INDEX('Lease Cycles'!$CB$13:$CH$13,1,AG95)*(1+INDEX('Lease Cycles'!$CI$13:$CO$13,1,AG95))^INT(INT(AG96/12)/INDEX('Lease Cycles'!$CP$13:$CV$13,1,AG95))/12)))),'Lease Cycles'!$C$13*INDEX('Lease Cycles'!$CB$13:$CH$13,1,AG95)*(1+INDEX('Lease Cycles'!$CI$13:$CO$13,1,AG95))^INT(INT(AG96/12)/INDEX('Lease Cycles'!$CP$13:$CV$13,1,AG95))/12))),IF('Lease Cycles'!$N$13=1,'Lease Cycles'!$C$13*'Lease Cycles'!$E$13*INDEX('Lease Cycles'!$HE$13:$HK$13,1,AG95)*(1+INDEX('Lease Cycles'!$GQ$13:$GW$13,1,AG95))^INT(INT((AG$6-INDEX('Lease Cycles'!$GJ$13:$GP$13,1,AG95))/12)/INDEX('Lease Cycles'!$GX$13:$HD$13,1,AG95))/12,0)))</f>
        <v>3900</v>
      </c>
      <c r="AH98" s="28">
        <f>IF(AH95=0,IF('Lease Cycles'!$F$13&gt;0,'Lease Cycles'!$C$13*'Lease Cycles'!$E$13/12,0),IF(AH97=1,IF('Lease Cycles'!$AT$13&gt;=9999,'Lease Cycles'!$C$13*INDEX('Lease Cycles'!$CB$13:$CH$13,1,AH95)*(1+INDEX('Lease Cycles'!$CI$13:$CO$13,1,AH95))^INT(INT(AH96/12)/INDEX('Lease Cycles'!$CP$13:$CV$13,1,AH95))/12,IF(AH95=1,IF(AH96&gt;=INDEX('Lease Cycles'!$DK$13:$DQ$13,1,AH95),IF(AH$6&gt;='Lease Cycles'!$AZ$13,'Lease Cycles'!$C$13*'Lease Cycles'!$BA$13/12,IF(AH$6&gt;='Lease Cycles'!$AX$13,'Lease Cycles'!$C$13*'Lease Cycles'!$AY$13/12,IF(AH$6&gt;='Lease Cycles'!$AV$13,'Lease Cycles'!$C$13*'Lease Cycles'!$AW$13/12,IF(AH$6&gt;='Lease Cycles'!$AT$13,'Lease Cycles'!$C$13*'Lease Cycles'!$AU$13/12,'Lease Cycles'!$C$13*INDEX('Lease Cycles'!$CB$13:$CH$13,1,AH95)*(1+INDEX('Lease Cycles'!$CI$13:$CO$13,1,AH95))^INT(INT(AH96/12)/INDEX('Lease Cycles'!$CP$13:$CV$13,1,AH95))/12)))),'Lease Cycles'!$C$13*INDEX('Lease Cycles'!$CB$13:$CH$13,1,AH95)*(1+INDEX('Lease Cycles'!$CI$13:$CO$13,1,AH95))^INT(INT(AH96/12)/INDEX('Lease Cycles'!$CP$13:$CV$13,1,AH95))/12),IF(INDEX('Lease Cycles'!$EF$13:$EL$13,1,AH95)=1,IF(AND('Lease Cycles'!$AZ$13&gt;=INDEX('Lease Cycles'!$BG$13:$BM$13,1,AH95),'Lease Cycles'!$AZ$13&lt;=AH$6),'Lease Cycles'!$C$13*'Lease Cycles'!$BA$13/12,IF(AND('Lease Cycles'!$AX$13&gt;=INDEX('Lease Cycles'!$BG$13:$BM$13,1,AH95),'Lease Cycles'!$AX$13&lt;=AH$6),'Lease Cycles'!$C$13*'Lease Cycles'!$AY$13/12,IF(AND('Lease Cycles'!$AV$13&gt;=INDEX('Lease Cycles'!$BG$13:$BM$13,1,AH95),'Lease Cycles'!$AV$13&lt;=AH$6),'Lease Cycles'!$C$13*'Lease Cycles'!$AW$13/12,IF(AND('Lease Cycles'!$AT$13&gt;=INDEX('Lease Cycles'!$BG$13:$BM$13,1,AH95),'Lease Cycles'!$AT$13&lt;=AH$6),'Lease Cycles'!$C$13*'Lease Cycles'!$AU$13/12,'Lease Cycles'!$C$13*INDEX('Lease Cycles'!$CB$13:$CH$13,1,AH95)*(1+INDEX('Lease Cycles'!$CI$13:$CO$13,1,AH95))^INT(INT(AH96/12)/INDEX('Lease Cycles'!$CP$13:$CV$13,1,AH95))/12)))),'Lease Cycles'!$C$13*INDEX('Lease Cycles'!$CB$13:$CH$13,1,AH95)*(1+INDEX('Lease Cycles'!$CI$13:$CO$13,1,AH95))^INT(INT(AH96/12)/INDEX('Lease Cycles'!$CP$13:$CV$13,1,AH95))/12))),IF('Lease Cycles'!$N$13=1,'Lease Cycles'!$C$13*'Lease Cycles'!$E$13*INDEX('Lease Cycles'!$HE$13:$HK$13,1,AH95)*(1+INDEX('Lease Cycles'!$GQ$13:$GW$13,1,AH95))^INT(INT((AH$6-INDEX('Lease Cycles'!$GJ$13:$GP$13,1,AH95))/12)/INDEX('Lease Cycles'!$GX$13:$HD$13,1,AH95))/12,0)))</f>
        <v>3900</v>
      </c>
      <c r="AI98" s="28">
        <f>IF(AI95=0,IF('Lease Cycles'!$F$13&gt;0,'Lease Cycles'!$C$13*'Lease Cycles'!$E$13/12,0),IF(AI97=1,IF('Lease Cycles'!$AT$13&gt;=9999,'Lease Cycles'!$C$13*INDEX('Lease Cycles'!$CB$13:$CH$13,1,AI95)*(1+INDEX('Lease Cycles'!$CI$13:$CO$13,1,AI95))^INT(INT(AI96/12)/INDEX('Lease Cycles'!$CP$13:$CV$13,1,AI95))/12,IF(AI95=1,IF(AI96&gt;=INDEX('Lease Cycles'!$DK$13:$DQ$13,1,AI95),IF(AI$6&gt;='Lease Cycles'!$AZ$13,'Lease Cycles'!$C$13*'Lease Cycles'!$BA$13/12,IF(AI$6&gt;='Lease Cycles'!$AX$13,'Lease Cycles'!$C$13*'Lease Cycles'!$AY$13/12,IF(AI$6&gt;='Lease Cycles'!$AV$13,'Lease Cycles'!$C$13*'Lease Cycles'!$AW$13/12,IF(AI$6&gt;='Lease Cycles'!$AT$13,'Lease Cycles'!$C$13*'Lease Cycles'!$AU$13/12,'Lease Cycles'!$C$13*INDEX('Lease Cycles'!$CB$13:$CH$13,1,AI95)*(1+INDEX('Lease Cycles'!$CI$13:$CO$13,1,AI95))^INT(INT(AI96/12)/INDEX('Lease Cycles'!$CP$13:$CV$13,1,AI95))/12)))),'Lease Cycles'!$C$13*INDEX('Lease Cycles'!$CB$13:$CH$13,1,AI95)*(1+INDEX('Lease Cycles'!$CI$13:$CO$13,1,AI95))^INT(INT(AI96/12)/INDEX('Lease Cycles'!$CP$13:$CV$13,1,AI95))/12),IF(INDEX('Lease Cycles'!$EF$13:$EL$13,1,AI95)=1,IF(AND('Lease Cycles'!$AZ$13&gt;=INDEX('Lease Cycles'!$BG$13:$BM$13,1,AI95),'Lease Cycles'!$AZ$13&lt;=AI$6),'Lease Cycles'!$C$13*'Lease Cycles'!$BA$13/12,IF(AND('Lease Cycles'!$AX$13&gt;=INDEX('Lease Cycles'!$BG$13:$BM$13,1,AI95),'Lease Cycles'!$AX$13&lt;=AI$6),'Lease Cycles'!$C$13*'Lease Cycles'!$AY$13/12,IF(AND('Lease Cycles'!$AV$13&gt;=INDEX('Lease Cycles'!$BG$13:$BM$13,1,AI95),'Lease Cycles'!$AV$13&lt;=AI$6),'Lease Cycles'!$C$13*'Lease Cycles'!$AW$13/12,IF(AND('Lease Cycles'!$AT$13&gt;=INDEX('Lease Cycles'!$BG$13:$BM$13,1,AI95),'Lease Cycles'!$AT$13&lt;=AI$6),'Lease Cycles'!$C$13*'Lease Cycles'!$AU$13/12,'Lease Cycles'!$C$13*INDEX('Lease Cycles'!$CB$13:$CH$13,1,AI95)*(1+INDEX('Lease Cycles'!$CI$13:$CO$13,1,AI95))^INT(INT(AI96/12)/INDEX('Lease Cycles'!$CP$13:$CV$13,1,AI95))/12)))),'Lease Cycles'!$C$13*INDEX('Lease Cycles'!$CB$13:$CH$13,1,AI95)*(1+INDEX('Lease Cycles'!$CI$13:$CO$13,1,AI95))^INT(INT(AI96/12)/INDEX('Lease Cycles'!$CP$13:$CV$13,1,AI95))/12))),IF('Lease Cycles'!$N$13=1,'Lease Cycles'!$C$13*'Lease Cycles'!$E$13*INDEX('Lease Cycles'!$HE$13:$HK$13,1,AI95)*(1+INDEX('Lease Cycles'!$GQ$13:$GW$13,1,AI95))^INT(INT((AI$6-INDEX('Lease Cycles'!$GJ$13:$GP$13,1,AI95))/12)/INDEX('Lease Cycles'!$GX$13:$HD$13,1,AI95))/12,0)))</f>
        <v>3900</v>
      </c>
      <c r="AJ98" s="28">
        <f>IF(AJ95=0,IF('Lease Cycles'!$F$13&gt;0,'Lease Cycles'!$C$13*'Lease Cycles'!$E$13/12,0),IF(AJ97=1,IF('Lease Cycles'!$AT$13&gt;=9999,'Lease Cycles'!$C$13*INDEX('Lease Cycles'!$CB$13:$CH$13,1,AJ95)*(1+INDEX('Lease Cycles'!$CI$13:$CO$13,1,AJ95))^INT(INT(AJ96/12)/INDEX('Lease Cycles'!$CP$13:$CV$13,1,AJ95))/12,IF(AJ95=1,IF(AJ96&gt;=INDEX('Lease Cycles'!$DK$13:$DQ$13,1,AJ95),IF(AJ$6&gt;='Lease Cycles'!$AZ$13,'Lease Cycles'!$C$13*'Lease Cycles'!$BA$13/12,IF(AJ$6&gt;='Lease Cycles'!$AX$13,'Lease Cycles'!$C$13*'Lease Cycles'!$AY$13/12,IF(AJ$6&gt;='Lease Cycles'!$AV$13,'Lease Cycles'!$C$13*'Lease Cycles'!$AW$13/12,IF(AJ$6&gt;='Lease Cycles'!$AT$13,'Lease Cycles'!$C$13*'Lease Cycles'!$AU$13/12,'Lease Cycles'!$C$13*INDEX('Lease Cycles'!$CB$13:$CH$13,1,AJ95)*(1+INDEX('Lease Cycles'!$CI$13:$CO$13,1,AJ95))^INT(INT(AJ96/12)/INDEX('Lease Cycles'!$CP$13:$CV$13,1,AJ95))/12)))),'Lease Cycles'!$C$13*INDEX('Lease Cycles'!$CB$13:$CH$13,1,AJ95)*(1+INDEX('Lease Cycles'!$CI$13:$CO$13,1,AJ95))^INT(INT(AJ96/12)/INDEX('Lease Cycles'!$CP$13:$CV$13,1,AJ95))/12),IF(INDEX('Lease Cycles'!$EF$13:$EL$13,1,AJ95)=1,IF(AND('Lease Cycles'!$AZ$13&gt;=INDEX('Lease Cycles'!$BG$13:$BM$13,1,AJ95),'Lease Cycles'!$AZ$13&lt;=AJ$6),'Lease Cycles'!$C$13*'Lease Cycles'!$BA$13/12,IF(AND('Lease Cycles'!$AX$13&gt;=INDEX('Lease Cycles'!$BG$13:$BM$13,1,AJ95),'Lease Cycles'!$AX$13&lt;=AJ$6),'Lease Cycles'!$C$13*'Lease Cycles'!$AY$13/12,IF(AND('Lease Cycles'!$AV$13&gt;=INDEX('Lease Cycles'!$BG$13:$BM$13,1,AJ95),'Lease Cycles'!$AV$13&lt;=AJ$6),'Lease Cycles'!$C$13*'Lease Cycles'!$AW$13/12,IF(AND('Lease Cycles'!$AT$13&gt;=INDEX('Lease Cycles'!$BG$13:$BM$13,1,AJ95),'Lease Cycles'!$AT$13&lt;=AJ$6),'Lease Cycles'!$C$13*'Lease Cycles'!$AU$13/12,'Lease Cycles'!$C$13*INDEX('Lease Cycles'!$CB$13:$CH$13,1,AJ95)*(1+INDEX('Lease Cycles'!$CI$13:$CO$13,1,AJ95))^INT(INT(AJ96/12)/INDEX('Lease Cycles'!$CP$13:$CV$13,1,AJ95))/12)))),'Lease Cycles'!$C$13*INDEX('Lease Cycles'!$CB$13:$CH$13,1,AJ95)*(1+INDEX('Lease Cycles'!$CI$13:$CO$13,1,AJ95))^INT(INT(AJ96/12)/INDEX('Lease Cycles'!$CP$13:$CV$13,1,AJ95))/12))),IF('Lease Cycles'!$N$13=1,'Lease Cycles'!$C$13*'Lease Cycles'!$E$13*INDEX('Lease Cycles'!$HE$13:$HK$13,1,AJ95)*(1+INDEX('Lease Cycles'!$GQ$13:$GW$13,1,AJ95))^INT(INT((AJ$6-INDEX('Lease Cycles'!$GJ$13:$GP$13,1,AJ95))/12)/INDEX('Lease Cycles'!$GX$13:$HD$13,1,AJ95))/12,0)))</f>
        <v>3900</v>
      </c>
      <c r="AK98" s="28">
        <f>IF(AK95=0,IF('Lease Cycles'!$F$13&gt;0,'Lease Cycles'!$C$13*'Lease Cycles'!$E$13/12,0),IF(AK97=1,IF('Lease Cycles'!$AT$13&gt;=9999,'Lease Cycles'!$C$13*INDEX('Lease Cycles'!$CB$13:$CH$13,1,AK95)*(1+INDEX('Lease Cycles'!$CI$13:$CO$13,1,AK95))^INT(INT(AK96/12)/INDEX('Lease Cycles'!$CP$13:$CV$13,1,AK95))/12,IF(AK95=1,IF(AK96&gt;=INDEX('Lease Cycles'!$DK$13:$DQ$13,1,AK95),IF(AK$6&gt;='Lease Cycles'!$AZ$13,'Lease Cycles'!$C$13*'Lease Cycles'!$BA$13/12,IF(AK$6&gt;='Lease Cycles'!$AX$13,'Lease Cycles'!$C$13*'Lease Cycles'!$AY$13/12,IF(AK$6&gt;='Lease Cycles'!$AV$13,'Lease Cycles'!$C$13*'Lease Cycles'!$AW$13/12,IF(AK$6&gt;='Lease Cycles'!$AT$13,'Lease Cycles'!$C$13*'Lease Cycles'!$AU$13/12,'Lease Cycles'!$C$13*INDEX('Lease Cycles'!$CB$13:$CH$13,1,AK95)*(1+INDEX('Lease Cycles'!$CI$13:$CO$13,1,AK95))^INT(INT(AK96/12)/INDEX('Lease Cycles'!$CP$13:$CV$13,1,AK95))/12)))),'Lease Cycles'!$C$13*INDEX('Lease Cycles'!$CB$13:$CH$13,1,AK95)*(1+INDEX('Lease Cycles'!$CI$13:$CO$13,1,AK95))^INT(INT(AK96/12)/INDEX('Lease Cycles'!$CP$13:$CV$13,1,AK95))/12),IF(INDEX('Lease Cycles'!$EF$13:$EL$13,1,AK95)=1,IF(AND('Lease Cycles'!$AZ$13&gt;=INDEX('Lease Cycles'!$BG$13:$BM$13,1,AK95),'Lease Cycles'!$AZ$13&lt;=AK$6),'Lease Cycles'!$C$13*'Lease Cycles'!$BA$13/12,IF(AND('Lease Cycles'!$AX$13&gt;=INDEX('Lease Cycles'!$BG$13:$BM$13,1,AK95),'Lease Cycles'!$AX$13&lt;=AK$6),'Lease Cycles'!$C$13*'Lease Cycles'!$AY$13/12,IF(AND('Lease Cycles'!$AV$13&gt;=INDEX('Lease Cycles'!$BG$13:$BM$13,1,AK95),'Lease Cycles'!$AV$13&lt;=AK$6),'Lease Cycles'!$C$13*'Lease Cycles'!$AW$13/12,IF(AND('Lease Cycles'!$AT$13&gt;=INDEX('Lease Cycles'!$BG$13:$BM$13,1,AK95),'Lease Cycles'!$AT$13&lt;=AK$6),'Lease Cycles'!$C$13*'Lease Cycles'!$AU$13/12,'Lease Cycles'!$C$13*INDEX('Lease Cycles'!$CB$13:$CH$13,1,AK95)*(1+INDEX('Lease Cycles'!$CI$13:$CO$13,1,AK95))^INT(INT(AK96/12)/INDEX('Lease Cycles'!$CP$13:$CV$13,1,AK95))/12)))),'Lease Cycles'!$C$13*INDEX('Lease Cycles'!$CB$13:$CH$13,1,AK95)*(1+INDEX('Lease Cycles'!$CI$13:$CO$13,1,AK95))^INT(INT(AK96/12)/INDEX('Lease Cycles'!$CP$13:$CV$13,1,AK95))/12))),IF('Lease Cycles'!$N$13=1,'Lease Cycles'!$C$13*'Lease Cycles'!$E$13*INDEX('Lease Cycles'!$HE$13:$HK$13,1,AK95)*(1+INDEX('Lease Cycles'!$GQ$13:$GW$13,1,AK95))^INT(INT((AK$6-INDEX('Lease Cycles'!$GJ$13:$GP$13,1,AK95))/12)/INDEX('Lease Cycles'!$GX$13:$HD$13,1,AK95))/12,0)))</f>
        <v>3900</v>
      </c>
      <c r="AL98" s="28">
        <f>IF(AL95=0,IF('Lease Cycles'!$F$13&gt;0,'Lease Cycles'!$C$13*'Lease Cycles'!$E$13/12,0),IF(AL97=1,IF('Lease Cycles'!$AT$13&gt;=9999,'Lease Cycles'!$C$13*INDEX('Lease Cycles'!$CB$13:$CH$13,1,AL95)*(1+INDEX('Lease Cycles'!$CI$13:$CO$13,1,AL95))^INT(INT(AL96/12)/INDEX('Lease Cycles'!$CP$13:$CV$13,1,AL95))/12,IF(AL95=1,IF(AL96&gt;=INDEX('Lease Cycles'!$DK$13:$DQ$13,1,AL95),IF(AL$6&gt;='Lease Cycles'!$AZ$13,'Lease Cycles'!$C$13*'Lease Cycles'!$BA$13/12,IF(AL$6&gt;='Lease Cycles'!$AX$13,'Lease Cycles'!$C$13*'Lease Cycles'!$AY$13/12,IF(AL$6&gt;='Lease Cycles'!$AV$13,'Lease Cycles'!$C$13*'Lease Cycles'!$AW$13/12,IF(AL$6&gt;='Lease Cycles'!$AT$13,'Lease Cycles'!$C$13*'Lease Cycles'!$AU$13/12,'Lease Cycles'!$C$13*INDEX('Lease Cycles'!$CB$13:$CH$13,1,AL95)*(1+INDEX('Lease Cycles'!$CI$13:$CO$13,1,AL95))^INT(INT(AL96/12)/INDEX('Lease Cycles'!$CP$13:$CV$13,1,AL95))/12)))),'Lease Cycles'!$C$13*INDEX('Lease Cycles'!$CB$13:$CH$13,1,AL95)*(1+INDEX('Lease Cycles'!$CI$13:$CO$13,1,AL95))^INT(INT(AL96/12)/INDEX('Lease Cycles'!$CP$13:$CV$13,1,AL95))/12),IF(INDEX('Lease Cycles'!$EF$13:$EL$13,1,AL95)=1,IF(AND('Lease Cycles'!$AZ$13&gt;=INDEX('Lease Cycles'!$BG$13:$BM$13,1,AL95),'Lease Cycles'!$AZ$13&lt;=AL$6),'Lease Cycles'!$C$13*'Lease Cycles'!$BA$13/12,IF(AND('Lease Cycles'!$AX$13&gt;=INDEX('Lease Cycles'!$BG$13:$BM$13,1,AL95),'Lease Cycles'!$AX$13&lt;=AL$6),'Lease Cycles'!$C$13*'Lease Cycles'!$AY$13/12,IF(AND('Lease Cycles'!$AV$13&gt;=INDEX('Lease Cycles'!$BG$13:$BM$13,1,AL95),'Lease Cycles'!$AV$13&lt;=AL$6),'Lease Cycles'!$C$13*'Lease Cycles'!$AW$13/12,IF(AND('Lease Cycles'!$AT$13&gt;=INDEX('Lease Cycles'!$BG$13:$BM$13,1,AL95),'Lease Cycles'!$AT$13&lt;=AL$6),'Lease Cycles'!$C$13*'Lease Cycles'!$AU$13/12,'Lease Cycles'!$C$13*INDEX('Lease Cycles'!$CB$13:$CH$13,1,AL95)*(1+INDEX('Lease Cycles'!$CI$13:$CO$13,1,AL95))^INT(INT(AL96/12)/INDEX('Lease Cycles'!$CP$13:$CV$13,1,AL95))/12)))),'Lease Cycles'!$C$13*INDEX('Lease Cycles'!$CB$13:$CH$13,1,AL95)*(1+INDEX('Lease Cycles'!$CI$13:$CO$13,1,AL95))^INT(INT(AL96/12)/INDEX('Lease Cycles'!$CP$13:$CV$13,1,AL95))/12))),IF('Lease Cycles'!$N$13=1,'Lease Cycles'!$C$13*'Lease Cycles'!$E$13*INDEX('Lease Cycles'!$HE$13:$HK$13,1,AL95)*(1+INDEX('Lease Cycles'!$GQ$13:$GW$13,1,AL95))^INT(INT((AL$6-INDEX('Lease Cycles'!$GJ$13:$GP$13,1,AL95))/12)/INDEX('Lease Cycles'!$GX$13:$HD$13,1,AL95))/12,0)))</f>
        <v>3900</v>
      </c>
      <c r="AM98" s="28">
        <f>IF(AM95=0,IF('Lease Cycles'!$F$13&gt;0,'Lease Cycles'!$C$13*'Lease Cycles'!$E$13/12,0),IF(AM97=1,IF('Lease Cycles'!$AT$13&gt;=9999,'Lease Cycles'!$C$13*INDEX('Lease Cycles'!$CB$13:$CH$13,1,AM95)*(1+INDEX('Lease Cycles'!$CI$13:$CO$13,1,AM95))^INT(INT(AM96/12)/INDEX('Lease Cycles'!$CP$13:$CV$13,1,AM95))/12,IF(AM95=1,IF(AM96&gt;=INDEX('Lease Cycles'!$DK$13:$DQ$13,1,AM95),IF(AM$6&gt;='Lease Cycles'!$AZ$13,'Lease Cycles'!$C$13*'Lease Cycles'!$BA$13/12,IF(AM$6&gt;='Lease Cycles'!$AX$13,'Lease Cycles'!$C$13*'Lease Cycles'!$AY$13/12,IF(AM$6&gt;='Lease Cycles'!$AV$13,'Lease Cycles'!$C$13*'Lease Cycles'!$AW$13/12,IF(AM$6&gt;='Lease Cycles'!$AT$13,'Lease Cycles'!$C$13*'Lease Cycles'!$AU$13/12,'Lease Cycles'!$C$13*INDEX('Lease Cycles'!$CB$13:$CH$13,1,AM95)*(1+INDEX('Lease Cycles'!$CI$13:$CO$13,1,AM95))^INT(INT(AM96/12)/INDEX('Lease Cycles'!$CP$13:$CV$13,1,AM95))/12)))),'Lease Cycles'!$C$13*INDEX('Lease Cycles'!$CB$13:$CH$13,1,AM95)*(1+INDEX('Lease Cycles'!$CI$13:$CO$13,1,AM95))^INT(INT(AM96/12)/INDEX('Lease Cycles'!$CP$13:$CV$13,1,AM95))/12),IF(INDEX('Lease Cycles'!$EF$13:$EL$13,1,AM95)=1,IF(AND('Lease Cycles'!$AZ$13&gt;=INDEX('Lease Cycles'!$BG$13:$BM$13,1,AM95),'Lease Cycles'!$AZ$13&lt;=AM$6),'Lease Cycles'!$C$13*'Lease Cycles'!$BA$13/12,IF(AND('Lease Cycles'!$AX$13&gt;=INDEX('Lease Cycles'!$BG$13:$BM$13,1,AM95),'Lease Cycles'!$AX$13&lt;=AM$6),'Lease Cycles'!$C$13*'Lease Cycles'!$AY$13/12,IF(AND('Lease Cycles'!$AV$13&gt;=INDEX('Lease Cycles'!$BG$13:$BM$13,1,AM95),'Lease Cycles'!$AV$13&lt;=AM$6),'Lease Cycles'!$C$13*'Lease Cycles'!$AW$13/12,IF(AND('Lease Cycles'!$AT$13&gt;=INDEX('Lease Cycles'!$BG$13:$BM$13,1,AM95),'Lease Cycles'!$AT$13&lt;=AM$6),'Lease Cycles'!$C$13*'Lease Cycles'!$AU$13/12,'Lease Cycles'!$C$13*INDEX('Lease Cycles'!$CB$13:$CH$13,1,AM95)*(1+INDEX('Lease Cycles'!$CI$13:$CO$13,1,AM95))^INT(INT(AM96/12)/INDEX('Lease Cycles'!$CP$13:$CV$13,1,AM95))/12)))),'Lease Cycles'!$C$13*INDEX('Lease Cycles'!$CB$13:$CH$13,1,AM95)*(1+INDEX('Lease Cycles'!$CI$13:$CO$13,1,AM95))^INT(INT(AM96/12)/INDEX('Lease Cycles'!$CP$13:$CV$13,1,AM95))/12))),IF('Lease Cycles'!$N$13=1,'Lease Cycles'!$C$13*'Lease Cycles'!$E$13*INDEX('Lease Cycles'!$HE$13:$HK$13,1,AM95)*(1+INDEX('Lease Cycles'!$GQ$13:$GW$13,1,AM95))^INT(INT((AM$6-INDEX('Lease Cycles'!$GJ$13:$GP$13,1,AM95))/12)/INDEX('Lease Cycles'!$GX$13:$HD$13,1,AM95))/12,0)))</f>
        <v>3900</v>
      </c>
      <c r="AN98" s="28">
        <f>IF(AN95=0,IF('Lease Cycles'!$F$13&gt;0,'Lease Cycles'!$C$13*'Lease Cycles'!$E$13/12,0),IF(AN97=1,IF('Lease Cycles'!$AT$13&gt;=9999,'Lease Cycles'!$C$13*INDEX('Lease Cycles'!$CB$13:$CH$13,1,AN95)*(1+INDEX('Lease Cycles'!$CI$13:$CO$13,1,AN95))^INT(INT(AN96/12)/INDEX('Lease Cycles'!$CP$13:$CV$13,1,AN95))/12,IF(AN95=1,IF(AN96&gt;=INDEX('Lease Cycles'!$DK$13:$DQ$13,1,AN95),IF(AN$6&gt;='Lease Cycles'!$AZ$13,'Lease Cycles'!$C$13*'Lease Cycles'!$BA$13/12,IF(AN$6&gt;='Lease Cycles'!$AX$13,'Lease Cycles'!$C$13*'Lease Cycles'!$AY$13/12,IF(AN$6&gt;='Lease Cycles'!$AV$13,'Lease Cycles'!$C$13*'Lease Cycles'!$AW$13/12,IF(AN$6&gt;='Lease Cycles'!$AT$13,'Lease Cycles'!$C$13*'Lease Cycles'!$AU$13/12,'Lease Cycles'!$C$13*INDEX('Lease Cycles'!$CB$13:$CH$13,1,AN95)*(1+INDEX('Lease Cycles'!$CI$13:$CO$13,1,AN95))^INT(INT(AN96/12)/INDEX('Lease Cycles'!$CP$13:$CV$13,1,AN95))/12)))),'Lease Cycles'!$C$13*INDEX('Lease Cycles'!$CB$13:$CH$13,1,AN95)*(1+INDEX('Lease Cycles'!$CI$13:$CO$13,1,AN95))^INT(INT(AN96/12)/INDEX('Lease Cycles'!$CP$13:$CV$13,1,AN95))/12),IF(INDEX('Lease Cycles'!$EF$13:$EL$13,1,AN95)=1,IF(AND('Lease Cycles'!$AZ$13&gt;=INDEX('Lease Cycles'!$BG$13:$BM$13,1,AN95),'Lease Cycles'!$AZ$13&lt;=AN$6),'Lease Cycles'!$C$13*'Lease Cycles'!$BA$13/12,IF(AND('Lease Cycles'!$AX$13&gt;=INDEX('Lease Cycles'!$BG$13:$BM$13,1,AN95),'Lease Cycles'!$AX$13&lt;=AN$6),'Lease Cycles'!$C$13*'Lease Cycles'!$AY$13/12,IF(AND('Lease Cycles'!$AV$13&gt;=INDEX('Lease Cycles'!$BG$13:$BM$13,1,AN95),'Lease Cycles'!$AV$13&lt;=AN$6),'Lease Cycles'!$C$13*'Lease Cycles'!$AW$13/12,IF(AND('Lease Cycles'!$AT$13&gt;=INDEX('Lease Cycles'!$BG$13:$BM$13,1,AN95),'Lease Cycles'!$AT$13&lt;=AN$6),'Lease Cycles'!$C$13*'Lease Cycles'!$AU$13/12,'Lease Cycles'!$C$13*INDEX('Lease Cycles'!$CB$13:$CH$13,1,AN95)*(1+INDEX('Lease Cycles'!$CI$13:$CO$13,1,AN95))^INT(INT(AN96/12)/INDEX('Lease Cycles'!$CP$13:$CV$13,1,AN95))/12)))),'Lease Cycles'!$C$13*INDEX('Lease Cycles'!$CB$13:$CH$13,1,AN95)*(1+INDEX('Lease Cycles'!$CI$13:$CO$13,1,AN95))^INT(INT(AN96/12)/INDEX('Lease Cycles'!$CP$13:$CV$13,1,AN95))/12))),IF('Lease Cycles'!$N$13=1,'Lease Cycles'!$C$13*'Lease Cycles'!$E$13*INDEX('Lease Cycles'!$HE$13:$HK$13,1,AN95)*(1+INDEX('Lease Cycles'!$GQ$13:$GW$13,1,AN95))^INT(INT((AN$6-INDEX('Lease Cycles'!$GJ$13:$GP$13,1,AN95))/12)/INDEX('Lease Cycles'!$GX$13:$HD$13,1,AN95))/12,0)))</f>
        <v>3900</v>
      </c>
      <c r="AO98" s="28">
        <f>IF(AO95=0,IF('Lease Cycles'!$F$13&gt;0,'Lease Cycles'!$C$13*'Lease Cycles'!$E$13/12,0),IF(AO97=1,IF('Lease Cycles'!$AT$13&gt;=9999,'Lease Cycles'!$C$13*INDEX('Lease Cycles'!$CB$13:$CH$13,1,AO95)*(1+INDEX('Lease Cycles'!$CI$13:$CO$13,1,AO95))^INT(INT(AO96/12)/INDEX('Lease Cycles'!$CP$13:$CV$13,1,AO95))/12,IF(AO95=1,IF(AO96&gt;=INDEX('Lease Cycles'!$DK$13:$DQ$13,1,AO95),IF(AO$6&gt;='Lease Cycles'!$AZ$13,'Lease Cycles'!$C$13*'Lease Cycles'!$BA$13/12,IF(AO$6&gt;='Lease Cycles'!$AX$13,'Lease Cycles'!$C$13*'Lease Cycles'!$AY$13/12,IF(AO$6&gt;='Lease Cycles'!$AV$13,'Lease Cycles'!$C$13*'Lease Cycles'!$AW$13/12,IF(AO$6&gt;='Lease Cycles'!$AT$13,'Lease Cycles'!$C$13*'Lease Cycles'!$AU$13/12,'Lease Cycles'!$C$13*INDEX('Lease Cycles'!$CB$13:$CH$13,1,AO95)*(1+INDEX('Lease Cycles'!$CI$13:$CO$13,1,AO95))^INT(INT(AO96/12)/INDEX('Lease Cycles'!$CP$13:$CV$13,1,AO95))/12)))),'Lease Cycles'!$C$13*INDEX('Lease Cycles'!$CB$13:$CH$13,1,AO95)*(1+INDEX('Lease Cycles'!$CI$13:$CO$13,1,AO95))^INT(INT(AO96/12)/INDEX('Lease Cycles'!$CP$13:$CV$13,1,AO95))/12),IF(INDEX('Lease Cycles'!$EF$13:$EL$13,1,AO95)=1,IF(AND('Lease Cycles'!$AZ$13&gt;=INDEX('Lease Cycles'!$BG$13:$BM$13,1,AO95),'Lease Cycles'!$AZ$13&lt;=AO$6),'Lease Cycles'!$C$13*'Lease Cycles'!$BA$13/12,IF(AND('Lease Cycles'!$AX$13&gt;=INDEX('Lease Cycles'!$BG$13:$BM$13,1,AO95),'Lease Cycles'!$AX$13&lt;=AO$6),'Lease Cycles'!$C$13*'Lease Cycles'!$AY$13/12,IF(AND('Lease Cycles'!$AV$13&gt;=INDEX('Lease Cycles'!$BG$13:$BM$13,1,AO95),'Lease Cycles'!$AV$13&lt;=AO$6),'Lease Cycles'!$C$13*'Lease Cycles'!$AW$13/12,IF(AND('Lease Cycles'!$AT$13&gt;=INDEX('Lease Cycles'!$BG$13:$BM$13,1,AO95),'Lease Cycles'!$AT$13&lt;=AO$6),'Lease Cycles'!$C$13*'Lease Cycles'!$AU$13/12,'Lease Cycles'!$C$13*INDEX('Lease Cycles'!$CB$13:$CH$13,1,AO95)*(1+INDEX('Lease Cycles'!$CI$13:$CO$13,1,AO95))^INT(INT(AO96/12)/INDEX('Lease Cycles'!$CP$13:$CV$13,1,AO95))/12)))),'Lease Cycles'!$C$13*INDEX('Lease Cycles'!$CB$13:$CH$13,1,AO95)*(1+INDEX('Lease Cycles'!$CI$13:$CO$13,1,AO95))^INT(INT(AO96/12)/INDEX('Lease Cycles'!$CP$13:$CV$13,1,AO95))/12))),IF('Lease Cycles'!$N$13=1,'Lease Cycles'!$C$13*'Lease Cycles'!$E$13*INDEX('Lease Cycles'!$HE$13:$HK$13,1,AO95)*(1+INDEX('Lease Cycles'!$GQ$13:$GW$13,1,AO95))^INT(INT((AO$6-INDEX('Lease Cycles'!$GJ$13:$GP$13,1,AO95))/12)/INDEX('Lease Cycles'!$GX$13:$HD$13,1,AO95))/12,0)))</f>
        <v>3900</v>
      </c>
      <c r="AP98" s="28">
        <f>IF(AP95=0,IF('Lease Cycles'!$F$13&gt;0,'Lease Cycles'!$C$13*'Lease Cycles'!$E$13/12,0),IF(AP97=1,IF('Lease Cycles'!$AT$13&gt;=9999,'Lease Cycles'!$C$13*INDEX('Lease Cycles'!$CB$13:$CH$13,1,AP95)*(1+INDEX('Lease Cycles'!$CI$13:$CO$13,1,AP95))^INT(INT(AP96/12)/INDEX('Lease Cycles'!$CP$13:$CV$13,1,AP95))/12,IF(AP95=1,IF(AP96&gt;=INDEX('Lease Cycles'!$DK$13:$DQ$13,1,AP95),IF(AP$6&gt;='Lease Cycles'!$AZ$13,'Lease Cycles'!$C$13*'Lease Cycles'!$BA$13/12,IF(AP$6&gt;='Lease Cycles'!$AX$13,'Lease Cycles'!$C$13*'Lease Cycles'!$AY$13/12,IF(AP$6&gt;='Lease Cycles'!$AV$13,'Lease Cycles'!$C$13*'Lease Cycles'!$AW$13/12,IF(AP$6&gt;='Lease Cycles'!$AT$13,'Lease Cycles'!$C$13*'Lease Cycles'!$AU$13/12,'Lease Cycles'!$C$13*INDEX('Lease Cycles'!$CB$13:$CH$13,1,AP95)*(1+INDEX('Lease Cycles'!$CI$13:$CO$13,1,AP95))^INT(INT(AP96/12)/INDEX('Lease Cycles'!$CP$13:$CV$13,1,AP95))/12)))),'Lease Cycles'!$C$13*INDEX('Lease Cycles'!$CB$13:$CH$13,1,AP95)*(1+INDEX('Lease Cycles'!$CI$13:$CO$13,1,AP95))^INT(INT(AP96/12)/INDEX('Lease Cycles'!$CP$13:$CV$13,1,AP95))/12),IF(INDEX('Lease Cycles'!$EF$13:$EL$13,1,AP95)=1,IF(AND('Lease Cycles'!$AZ$13&gt;=INDEX('Lease Cycles'!$BG$13:$BM$13,1,AP95),'Lease Cycles'!$AZ$13&lt;=AP$6),'Lease Cycles'!$C$13*'Lease Cycles'!$BA$13/12,IF(AND('Lease Cycles'!$AX$13&gt;=INDEX('Lease Cycles'!$BG$13:$BM$13,1,AP95),'Lease Cycles'!$AX$13&lt;=AP$6),'Lease Cycles'!$C$13*'Lease Cycles'!$AY$13/12,IF(AND('Lease Cycles'!$AV$13&gt;=INDEX('Lease Cycles'!$BG$13:$BM$13,1,AP95),'Lease Cycles'!$AV$13&lt;=AP$6),'Lease Cycles'!$C$13*'Lease Cycles'!$AW$13/12,IF(AND('Lease Cycles'!$AT$13&gt;=INDEX('Lease Cycles'!$BG$13:$BM$13,1,AP95),'Lease Cycles'!$AT$13&lt;=AP$6),'Lease Cycles'!$C$13*'Lease Cycles'!$AU$13/12,'Lease Cycles'!$C$13*INDEX('Lease Cycles'!$CB$13:$CH$13,1,AP95)*(1+INDEX('Lease Cycles'!$CI$13:$CO$13,1,AP95))^INT(INT(AP96/12)/INDEX('Lease Cycles'!$CP$13:$CV$13,1,AP95))/12)))),'Lease Cycles'!$C$13*INDEX('Lease Cycles'!$CB$13:$CH$13,1,AP95)*(1+INDEX('Lease Cycles'!$CI$13:$CO$13,1,AP95))^INT(INT(AP96/12)/INDEX('Lease Cycles'!$CP$13:$CV$13,1,AP95))/12))),IF('Lease Cycles'!$N$13=1,'Lease Cycles'!$C$13*'Lease Cycles'!$E$13*INDEX('Lease Cycles'!$HE$13:$HK$13,1,AP95)*(1+INDEX('Lease Cycles'!$GQ$13:$GW$13,1,AP95))^INT(INT((AP$6-INDEX('Lease Cycles'!$GJ$13:$GP$13,1,AP95))/12)/INDEX('Lease Cycles'!$GX$13:$HD$13,1,AP95))/12,0)))</f>
        <v>3900</v>
      </c>
      <c r="AQ98" s="28">
        <f>IF(AQ95=0,IF('Lease Cycles'!$F$13&gt;0,'Lease Cycles'!$C$13*'Lease Cycles'!$E$13/12,0),IF(AQ97=1,IF('Lease Cycles'!$AT$13&gt;=9999,'Lease Cycles'!$C$13*INDEX('Lease Cycles'!$CB$13:$CH$13,1,AQ95)*(1+INDEX('Lease Cycles'!$CI$13:$CO$13,1,AQ95))^INT(INT(AQ96/12)/INDEX('Lease Cycles'!$CP$13:$CV$13,1,AQ95))/12,IF(AQ95=1,IF(AQ96&gt;=INDEX('Lease Cycles'!$DK$13:$DQ$13,1,AQ95),IF(AQ$6&gt;='Lease Cycles'!$AZ$13,'Lease Cycles'!$C$13*'Lease Cycles'!$BA$13/12,IF(AQ$6&gt;='Lease Cycles'!$AX$13,'Lease Cycles'!$C$13*'Lease Cycles'!$AY$13/12,IF(AQ$6&gt;='Lease Cycles'!$AV$13,'Lease Cycles'!$C$13*'Lease Cycles'!$AW$13/12,IF(AQ$6&gt;='Lease Cycles'!$AT$13,'Lease Cycles'!$C$13*'Lease Cycles'!$AU$13/12,'Lease Cycles'!$C$13*INDEX('Lease Cycles'!$CB$13:$CH$13,1,AQ95)*(1+INDEX('Lease Cycles'!$CI$13:$CO$13,1,AQ95))^INT(INT(AQ96/12)/INDEX('Lease Cycles'!$CP$13:$CV$13,1,AQ95))/12)))),'Lease Cycles'!$C$13*INDEX('Lease Cycles'!$CB$13:$CH$13,1,AQ95)*(1+INDEX('Lease Cycles'!$CI$13:$CO$13,1,AQ95))^INT(INT(AQ96/12)/INDEX('Lease Cycles'!$CP$13:$CV$13,1,AQ95))/12),IF(INDEX('Lease Cycles'!$EF$13:$EL$13,1,AQ95)=1,IF(AND('Lease Cycles'!$AZ$13&gt;=INDEX('Lease Cycles'!$BG$13:$BM$13,1,AQ95),'Lease Cycles'!$AZ$13&lt;=AQ$6),'Lease Cycles'!$C$13*'Lease Cycles'!$BA$13/12,IF(AND('Lease Cycles'!$AX$13&gt;=INDEX('Lease Cycles'!$BG$13:$BM$13,1,AQ95),'Lease Cycles'!$AX$13&lt;=AQ$6),'Lease Cycles'!$C$13*'Lease Cycles'!$AY$13/12,IF(AND('Lease Cycles'!$AV$13&gt;=INDEX('Lease Cycles'!$BG$13:$BM$13,1,AQ95),'Lease Cycles'!$AV$13&lt;=AQ$6),'Lease Cycles'!$C$13*'Lease Cycles'!$AW$13/12,IF(AND('Lease Cycles'!$AT$13&gt;=INDEX('Lease Cycles'!$BG$13:$BM$13,1,AQ95),'Lease Cycles'!$AT$13&lt;=AQ$6),'Lease Cycles'!$C$13*'Lease Cycles'!$AU$13/12,'Lease Cycles'!$C$13*INDEX('Lease Cycles'!$CB$13:$CH$13,1,AQ95)*(1+INDEX('Lease Cycles'!$CI$13:$CO$13,1,AQ95))^INT(INT(AQ96/12)/INDEX('Lease Cycles'!$CP$13:$CV$13,1,AQ95))/12)))),'Lease Cycles'!$C$13*INDEX('Lease Cycles'!$CB$13:$CH$13,1,AQ95)*(1+INDEX('Lease Cycles'!$CI$13:$CO$13,1,AQ95))^INT(INT(AQ96/12)/INDEX('Lease Cycles'!$CP$13:$CV$13,1,AQ95))/12))),IF('Lease Cycles'!$N$13=1,'Lease Cycles'!$C$13*'Lease Cycles'!$E$13*INDEX('Lease Cycles'!$HE$13:$HK$13,1,AQ95)*(1+INDEX('Lease Cycles'!$GQ$13:$GW$13,1,AQ95))^INT(INT((AQ$6-INDEX('Lease Cycles'!$GJ$13:$GP$13,1,AQ95))/12)/INDEX('Lease Cycles'!$GX$13:$HD$13,1,AQ95))/12,0)))</f>
        <v>3900</v>
      </c>
      <c r="AR98" s="28">
        <f>IF(AR95=0,IF('Lease Cycles'!$F$13&gt;0,'Lease Cycles'!$C$13*'Lease Cycles'!$E$13/12,0),IF(AR97=1,IF('Lease Cycles'!$AT$13&gt;=9999,'Lease Cycles'!$C$13*INDEX('Lease Cycles'!$CB$13:$CH$13,1,AR95)*(1+INDEX('Lease Cycles'!$CI$13:$CO$13,1,AR95))^INT(INT(AR96/12)/INDEX('Lease Cycles'!$CP$13:$CV$13,1,AR95))/12,IF(AR95=1,IF(AR96&gt;=INDEX('Lease Cycles'!$DK$13:$DQ$13,1,AR95),IF(AR$6&gt;='Lease Cycles'!$AZ$13,'Lease Cycles'!$C$13*'Lease Cycles'!$BA$13/12,IF(AR$6&gt;='Lease Cycles'!$AX$13,'Lease Cycles'!$C$13*'Lease Cycles'!$AY$13/12,IF(AR$6&gt;='Lease Cycles'!$AV$13,'Lease Cycles'!$C$13*'Lease Cycles'!$AW$13/12,IF(AR$6&gt;='Lease Cycles'!$AT$13,'Lease Cycles'!$C$13*'Lease Cycles'!$AU$13/12,'Lease Cycles'!$C$13*INDEX('Lease Cycles'!$CB$13:$CH$13,1,AR95)*(1+INDEX('Lease Cycles'!$CI$13:$CO$13,1,AR95))^INT(INT(AR96/12)/INDEX('Lease Cycles'!$CP$13:$CV$13,1,AR95))/12)))),'Lease Cycles'!$C$13*INDEX('Lease Cycles'!$CB$13:$CH$13,1,AR95)*(1+INDEX('Lease Cycles'!$CI$13:$CO$13,1,AR95))^INT(INT(AR96/12)/INDEX('Lease Cycles'!$CP$13:$CV$13,1,AR95))/12),IF(INDEX('Lease Cycles'!$EF$13:$EL$13,1,AR95)=1,IF(AND('Lease Cycles'!$AZ$13&gt;=INDEX('Lease Cycles'!$BG$13:$BM$13,1,AR95),'Lease Cycles'!$AZ$13&lt;=AR$6),'Lease Cycles'!$C$13*'Lease Cycles'!$BA$13/12,IF(AND('Lease Cycles'!$AX$13&gt;=INDEX('Lease Cycles'!$BG$13:$BM$13,1,AR95),'Lease Cycles'!$AX$13&lt;=AR$6),'Lease Cycles'!$C$13*'Lease Cycles'!$AY$13/12,IF(AND('Lease Cycles'!$AV$13&gt;=INDEX('Lease Cycles'!$BG$13:$BM$13,1,AR95),'Lease Cycles'!$AV$13&lt;=AR$6),'Lease Cycles'!$C$13*'Lease Cycles'!$AW$13/12,IF(AND('Lease Cycles'!$AT$13&gt;=INDEX('Lease Cycles'!$BG$13:$BM$13,1,AR95),'Lease Cycles'!$AT$13&lt;=AR$6),'Lease Cycles'!$C$13*'Lease Cycles'!$AU$13/12,'Lease Cycles'!$C$13*INDEX('Lease Cycles'!$CB$13:$CH$13,1,AR95)*(1+INDEX('Lease Cycles'!$CI$13:$CO$13,1,AR95))^INT(INT(AR96/12)/INDEX('Lease Cycles'!$CP$13:$CV$13,1,AR95))/12)))),'Lease Cycles'!$C$13*INDEX('Lease Cycles'!$CB$13:$CH$13,1,AR95)*(1+INDEX('Lease Cycles'!$CI$13:$CO$13,1,AR95))^INT(INT(AR96/12)/INDEX('Lease Cycles'!$CP$13:$CV$13,1,AR95))/12))),IF('Lease Cycles'!$N$13=1,'Lease Cycles'!$C$13*'Lease Cycles'!$E$13*INDEX('Lease Cycles'!$HE$13:$HK$13,1,AR95)*(1+INDEX('Lease Cycles'!$GQ$13:$GW$13,1,AR95))^INT(INT((AR$6-INDEX('Lease Cycles'!$GJ$13:$GP$13,1,AR95))/12)/INDEX('Lease Cycles'!$GX$13:$HD$13,1,AR95))/12,0)))</f>
        <v>3900</v>
      </c>
      <c r="AS98" s="28">
        <f>IF(AS95=0,IF('Lease Cycles'!$F$13&gt;0,'Lease Cycles'!$C$13*'Lease Cycles'!$E$13/12,0),IF(AS97=1,IF('Lease Cycles'!$AT$13&gt;=9999,'Lease Cycles'!$C$13*INDEX('Lease Cycles'!$CB$13:$CH$13,1,AS95)*(1+INDEX('Lease Cycles'!$CI$13:$CO$13,1,AS95))^INT(INT(AS96/12)/INDEX('Lease Cycles'!$CP$13:$CV$13,1,AS95))/12,IF(AS95=1,IF(AS96&gt;=INDEX('Lease Cycles'!$DK$13:$DQ$13,1,AS95),IF(AS$6&gt;='Lease Cycles'!$AZ$13,'Lease Cycles'!$C$13*'Lease Cycles'!$BA$13/12,IF(AS$6&gt;='Lease Cycles'!$AX$13,'Lease Cycles'!$C$13*'Lease Cycles'!$AY$13/12,IF(AS$6&gt;='Lease Cycles'!$AV$13,'Lease Cycles'!$C$13*'Lease Cycles'!$AW$13/12,IF(AS$6&gt;='Lease Cycles'!$AT$13,'Lease Cycles'!$C$13*'Lease Cycles'!$AU$13/12,'Lease Cycles'!$C$13*INDEX('Lease Cycles'!$CB$13:$CH$13,1,AS95)*(1+INDEX('Lease Cycles'!$CI$13:$CO$13,1,AS95))^INT(INT(AS96/12)/INDEX('Lease Cycles'!$CP$13:$CV$13,1,AS95))/12)))),'Lease Cycles'!$C$13*INDEX('Lease Cycles'!$CB$13:$CH$13,1,AS95)*(1+INDEX('Lease Cycles'!$CI$13:$CO$13,1,AS95))^INT(INT(AS96/12)/INDEX('Lease Cycles'!$CP$13:$CV$13,1,AS95))/12),IF(INDEX('Lease Cycles'!$EF$13:$EL$13,1,AS95)=1,IF(AND('Lease Cycles'!$AZ$13&gt;=INDEX('Lease Cycles'!$BG$13:$BM$13,1,AS95),'Lease Cycles'!$AZ$13&lt;=AS$6),'Lease Cycles'!$C$13*'Lease Cycles'!$BA$13/12,IF(AND('Lease Cycles'!$AX$13&gt;=INDEX('Lease Cycles'!$BG$13:$BM$13,1,AS95),'Lease Cycles'!$AX$13&lt;=AS$6),'Lease Cycles'!$C$13*'Lease Cycles'!$AY$13/12,IF(AND('Lease Cycles'!$AV$13&gt;=INDEX('Lease Cycles'!$BG$13:$BM$13,1,AS95),'Lease Cycles'!$AV$13&lt;=AS$6),'Lease Cycles'!$C$13*'Lease Cycles'!$AW$13/12,IF(AND('Lease Cycles'!$AT$13&gt;=INDEX('Lease Cycles'!$BG$13:$BM$13,1,AS95),'Lease Cycles'!$AT$13&lt;=AS$6),'Lease Cycles'!$C$13*'Lease Cycles'!$AU$13/12,'Lease Cycles'!$C$13*INDEX('Lease Cycles'!$CB$13:$CH$13,1,AS95)*(1+INDEX('Lease Cycles'!$CI$13:$CO$13,1,AS95))^INT(INT(AS96/12)/INDEX('Lease Cycles'!$CP$13:$CV$13,1,AS95))/12)))),'Lease Cycles'!$C$13*INDEX('Lease Cycles'!$CB$13:$CH$13,1,AS95)*(1+INDEX('Lease Cycles'!$CI$13:$CO$13,1,AS95))^INT(INT(AS96/12)/INDEX('Lease Cycles'!$CP$13:$CV$13,1,AS95))/12))),IF('Lease Cycles'!$N$13=1,'Lease Cycles'!$C$13*'Lease Cycles'!$E$13*INDEX('Lease Cycles'!$HE$13:$HK$13,1,AS95)*(1+INDEX('Lease Cycles'!$GQ$13:$GW$13,1,AS95))^INT(INT((AS$6-INDEX('Lease Cycles'!$GJ$13:$GP$13,1,AS95))/12)/INDEX('Lease Cycles'!$GX$13:$HD$13,1,AS95))/12,0)))</f>
        <v>3900</v>
      </c>
      <c r="AT98" s="28">
        <f>IF(AT95=0,IF('Lease Cycles'!$F$13&gt;0,'Lease Cycles'!$C$13*'Lease Cycles'!$E$13/12,0),IF(AT97=1,IF('Lease Cycles'!$AT$13&gt;=9999,'Lease Cycles'!$C$13*INDEX('Lease Cycles'!$CB$13:$CH$13,1,AT95)*(1+INDEX('Lease Cycles'!$CI$13:$CO$13,1,AT95))^INT(INT(AT96/12)/INDEX('Lease Cycles'!$CP$13:$CV$13,1,AT95))/12,IF(AT95=1,IF(AT96&gt;=INDEX('Lease Cycles'!$DK$13:$DQ$13,1,AT95),IF(AT$6&gt;='Lease Cycles'!$AZ$13,'Lease Cycles'!$C$13*'Lease Cycles'!$BA$13/12,IF(AT$6&gt;='Lease Cycles'!$AX$13,'Lease Cycles'!$C$13*'Lease Cycles'!$AY$13/12,IF(AT$6&gt;='Lease Cycles'!$AV$13,'Lease Cycles'!$C$13*'Lease Cycles'!$AW$13/12,IF(AT$6&gt;='Lease Cycles'!$AT$13,'Lease Cycles'!$C$13*'Lease Cycles'!$AU$13/12,'Lease Cycles'!$C$13*INDEX('Lease Cycles'!$CB$13:$CH$13,1,AT95)*(1+INDEX('Lease Cycles'!$CI$13:$CO$13,1,AT95))^INT(INT(AT96/12)/INDEX('Lease Cycles'!$CP$13:$CV$13,1,AT95))/12)))),'Lease Cycles'!$C$13*INDEX('Lease Cycles'!$CB$13:$CH$13,1,AT95)*(1+INDEX('Lease Cycles'!$CI$13:$CO$13,1,AT95))^INT(INT(AT96/12)/INDEX('Lease Cycles'!$CP$13:$CV$13,1,AT95))/12),IF(INDEX('Lease Cycles'!$EF$13:$EL$13,1,AT95)=1,IF(AND('Lease Cycles'!$AZ$13&gt;=INDEX('Lease Cycles'!$BG$13:$BM$13,1,AT95),'Lease Cycles'!$AZ$13&lt;=AT$6),'Lease Cycles'!$C$13*'Lease Cycles'!$BA$13/12,IF(AND('Lease Cycles'!$AX$13&gt;=INDEX('Lease Cycles'!$BG$13:$BM$13,1,AT95),'Lease Cycles'!$AX$13&lt;=AT$6),'Lease Cycles'!$C$13*'Lease Cycles'!$AY$13/12,IF(AND('Lease Cycles'!$AV$13&gt;=INDEX('Lease Cycles'!$BG$13:$BM$13,1,AT95),'Lease Cycles'!$AV$13&lt;=AT$6),'Lease Cycles'!$C$13*'Lease Cycles'!$AW$13/12,IF(AND('Lease Cycles'!$AT$13&gt;=INDEX('Lease Cycles'!$BG$13:$BM$13,1,AT95),'Lease Cycles'!$AT$13&lt;=AT$6),'Lease Cycles'!$C$13*'Lease Cycles'!$AU$13/12,'Lease Cycles'!$C$13*INDEX('Lease Cycles'!$CB$13:$CH$13,1,AT95)*(1+INDEX('Lease Cycles'!$CI$13:$CO$13,1,AT95))^INT(INT(AT96/12)/INDEX('Lease Cycles'!$CP$13:$CV$13,1,AT95))/12)))),'Lease Cycles'!$C$13*INDEX('Lease Cycles'!$CB$13:$CH$13,1,AT95)*(1+INDEX('Lease Cycles'!$CI$13:$CO$13,1,AT95))^INT(INT(AT96/12)/INDEX('Lease Cycles'!$CP$13:$CV$13,1,AT95))/12))),IF('Lease Cycles'!$N$13=1,'Lease Cycles'!$C$13*'Lease Cycles'!$E$13*INDEX('Lease Cycles'!$HE$13:$HK$13,1,AT95)*(1+INDEX('Lease Cycles'!$GQ$13:$GW$13,1,AT95))^INT(INT((AT$6-INDEX('Lease Cycles'!$GJ$13:$GP$13,1,AT95))/12)/INDEX('Lease Cycles'!$GX$13:$HD$13,1,AT95))/12,0)))</f>
        <v>3900</v>
      </c>
      <c r="AU98" s="28">
        <f>IF(AU95=0,IF('Lease Cycles'!$F$13&gt;0,'Lease Cycles'!$C$13*'Lease Cycles'!$E$13/12,0),IF(AU97=1,IF('Lease Cycles'!$AT$13&gt;=9999,'Lease Cycles'!$C$13*INDEX('Lease Cycles'!$CB$13:$CH$13,1,AU95)*(1+INDEX('Lease Cycles'!$CI$13:$CO$13,1,AU95))^INT(INT(AU96/12)/INDEX('Lease Cycles'!$CP$13:$CV$13,1,AU95))/12,IF(AU95=1,IF(AU96&gt;=INDEX('Lease Cycles'!$DK$13:$DQ$13,1,AU95),IF(AU$6&gt;='Lease Cycles'!$AZ$13,'Lease Cycles'!$C$13*'Lease Cycles'!$BA$13/12,IF(AU$6&gt;='Lease Cycles'!$AX$13,'Lease Cycles'!$C$13*'Lease Cycles'!$AY$13/12,IF(AU$6&gt;='Lease Cycles'!$AV$13,'Lease Cycles'!$C$13*'Lease Cycles'!$AW$13/12,IF(AU$6&gt;='Lease Cycles'!$AT$13,'Lease Cycles'!$C$13*'Lease Cycles'!$AU$13/12,'Lease Cycles'!$C$13*INDEX('Lease Cycles'!$CB$13:$CH$13,1,AU95)*(1+INDEX('Lease Cycles'!$CI$13:$CO$13,1,AU95))^INT(INT(AU96/12)/INDEX('Lease Cycles'!$CP$13:$CV$13,1,AU95))/12)))),'Lease Cycles'!$C$13*INDEX('Lease Cycles'!$CB$13:$CH$13,1,AU95)*(1+INDEX('Lease Cycles'!$CI$13:$CO$13,1,AU95))^INT(INT(AU96/12)/INDEX('Lease Cycles'!$CP$13:$CV$13,1,AU95))/12),IF(INDEX('Lease Cycles'!$EF$13:$EL$13,1,AU95)=1,IF(AND('Lease Cycles'!$AZ$13&gt;=INDEX('Lease Cycles'!$BG$13:$BM$13,1,AU95),'Lease Cycles'!$AZ$13&lt;=AU$6),'Lease Cycles'!$C$13*'Lease Cycles'!$BA$13/12,IF(AND('Lease Cycles'!$AX$13&gt;=INDEX('Lease Cycles'!$BG$13:$BM$13,1,AU95),'Lease Cycles'!$AX$13&lt;=AU$6),'Lease Cycles'!$C$13*'Lease Cycles'!$AY$13/12,IF(AND('Lease Cycles'!$AV$13&gt;=INDEX('Lease Cycles'!$BG$13:$BM$13,1,AU95),'Lease Cycles'!$AV$13&lt;=AU$6),'Lease Cycles'!$C$13*'Lease Cycles'!$AW$13/12,IF(AND('Lease Cycles'!$AT$13&gt;=INDEX('Lease Cycles'!$BG$13:$BM$13,1,AU95),'Lease Cycles'!$AT$13&lt;=AU$6),'Lease Cycles'!$C$13*'Lease Cycles'!$AU$13/12,'Lease Cycles'!$C$13*INDEX('Lease Cycles'!$CB$13:$CH$13,1,AU95)*(1+INDEX('Lease Cycles'!$CI$13:$CO$13,1,AU95))^INT(INT(AU96/12)/INDEX('Lease Cycles'!$CP$13:$CV$13,1,AU95))/12)))),'Lease Cycles'!$C$13*INDEX('Lease Cycles'!$CB$13:$CH$13,1,AU95)*(1+INDEX('Lease Cycles'!$CI$13:$CO$13,1,AU95))^INT(INT(AU96/12)/INDEX('Lease Cycles'!$CP$13:$CV$13,1,AU95))/12))),IF('Lease Cycles'!$N$13=1,'Lease Cycles'!$C$13*'Lease Cycles'!$E$13*INDEX('Lease Cycles'!$HE$13:$HK$13,1,AU95)*(1+INDEX('Lease Cycles'!$GQ$13:$GW$13,1,AU95))^INT(INT((AU$6-INDEX('Lease Cycles'!$GJ$13:$GP$13,1,AU95))/12)/INDEX('Lease Cycles'!$GX$13:$HD$13,1,AU95))/12,0)))</f>
        <v>3900</v>
      </c>
      <c r="AV98" s="28">
        <f>IF(AV95=0,IF('Lease Cycles'!$F$13&gt;0,'Lease Cycles'!$C$13*'Lease Cycles'!$E$13/12,0),IF(AV97=1,IF('Lease Cycles'!$AT$13&gt;=9999,'Lease Cycles'!$C$13*INDEX('Lease Cycles'!$CB$13:$CH$13,1,AV95)*(1+INDEX('Lease Cycles'!$CI$13:$CO$13,1,AV95))^INT(INT(AV96/12)/INDEX('Lease Cycles'!$CP$13:$CV$13,1,AV95))/12,IF(AV95=1,IF(AV96&gt;=INDEX('Lease Cycles'!$DK$13:$DQ$13,1,AV95),IF(AV$6&gt;='Lease Cycles'!$AZ$13,'Lease Cycles'!$C$13*'Lease Cycles'!$BA$13/12,IF(AV$6&gt;='Lease Cycles'!$AX$13,'Lease Cycles'!$C$13*'Lease Cycles'!$AY$13/12,IF(AV$6&gt;='Lease Cycles'!$AV$13,'Lease Cycles'!$C$13*'Lease Cycles'!$AW$13/12,IF(AV$6&gt;='Lease Cycles'!$AT$13,'Lease Cycles'!$C$13*'Lease Cycles'!$AU$13/12,'Lease Cycles'!$C$13*INDEX('Lease Cycles'!$CB$13:$CH$13,1,AV95)*(1+INDEX('Lease Cycles'!$CI$13:$CO$13,1,AV95))^INT(INT(AV96/12)/INDEX('Lease Cycles'!$CP$13:$CV$13,1,AV95))/12)))),'Lease Cycles'!$C$13*INDEX('Lease Cycles'!$CB$13:$CH$13,1,AV95)*(1+INDEX('Lease Cycles'!$CI$13:$CO$13,1,AV95))^INT(INT(AV96/12)/INDEX('Lease Cycles'!$CP$13:$CV$13,1,AV95))/12),IF(INDEX('Lease Cycles'!$EF$13:$EL$13,1,AV95)=1,IF(AND('Lease Cycles'!$AZ$13&gt;=INDEX('Lease Cycles'!$BG$13:$BM$13,1,AV95),'Lease Cycles'!$AZ$13&lt;=AV$6),'Lease Cycles'!$C$13*'Lease Cycles'!$BA$13/12,IF(AND('Lease Cycles'!$AX$13&gt;=INDEX('Lease Cycles'!$BG$13:$BM$13,1,AV95),'Lease Cycles'!$AX$13&lt;=AV$6),'Lease Cycles'!$C$13*'Lease Cycles'!$AY$13/12,IF(AND('Lease Cycles'!$AV$13&gt;=INDEX('Lease Cycles'!$BG$13:$BM$13,1,AV95),'Lease Cycles'!$AV$13&lt;=AV$6),'Lease Cycles'!$C$13*'Lease Cycles'!$AW$13/12,IF(AND('Lease Cycles'!$AT$13&gt;=INDEX('Lease Cycles'!$BG$13:$BM$13,1,AV95),'Lease Cycles'!$AT$13&lt;=AV$6),'Lease Cycles'!$C$13*'Lease Cycles'!$AU$13/12,'Lease Cycles'!$C$13*INDEX('Lease Cycles'!$CB$13:$CH$13,1,AV95)*(1+INDEX('Lease Cycles'!$CI$13:$CO$13,1,AV95))^INT(INT(AV96/12)/INDEX('Lease Cycles'!$CP$13:$CV$13,1,AV95))/12)))),'Lease Cycles'!$C$13*INDEX('Lease Cycles'!$CB$13:$CH$13,1,AV95)*(1+INDEX('Lease Cycles'!$CI$13:$CO$13,1,AV95))^INT(INT(AV96/12)/INDEX('Lease Cycles'!$CP$13:$CV$13,1,AV95))/12))),IF('Lease Cycles'!$N$13=1,'Lease Cycles'!$C$13*'Lease Cycles'!$E$13*INDEX('Lease Cycles'!$HE$13:$HK$13,1,AV95)*(1+INDEX('Lease Cycles'!$GQ$13:$GW$13,1,AV95))^INT(INT((AV$6-INDEX('Lease Cycles'!$GJ$13:$GP$13,1,AV95))/12)/INDEX('Lease Cycles'!$GX$13:$HD$13,1,AV95))/12,0)))</f>
        <v>3900</v>
      </c>
      <c r="AW98" s="28">
        <f>IF(AW95=0,IF('Lease Cycles'!$F$13&gt;0,'Lease Cycles'!$C$13*'Lease Cycles'!$E$13/12,0),IF(AW97=1,IF('Lease Cycles'!$AT$13&gt;=9999,'Lease Cycles'!$C$13*INDEX('Lease Cycles'!$CB$13:$CH$13,1,AW95)*(1+INDEX('Lease Cycles'!$CI$13:$CO$13,1,AW95))^INT(INT(AW96/12)/INDEX('Lease Cycles'!$CP$13:$CV$13,1,AW95))/12,IF(AW95=1,IF(AW96&gt;=INDEX('Lease Cycles'!$DK$13:$DQ$13,1,AW95),IF(AW$6&gt;='Lease Cycles'!$AZ$13,'Lease Cycles'!$C$13*'Lease Cycles'!$BA$13/12,IF(AW$6&gt;='Lease Cycles'!$AX$13,'Lease Cycles'!$C$13*'Lease Cycles'!$AY$13/12,IF(AW$6&gt;='Lease Cycles'!$AV$13,'Lease Cycles'!$C$13*'Lease Cycles'!$AW$13/12,IF(AW$6&gt;='Lease Cycles'!$AT$13,'Lease Cycles'!$C$13*'Lease Cycles'!$AU$13/12,'Lease Cycles'!$C$13*INDEX('Lease Cycles'!$CB$13:$CH$13,1,AW95)*(1+INDEX('Lease Cycles'!$CI$13:$CO$13,1,AW95))^INT(INT(AW96/12)/INDEX('Lease Cycles'!$CP$13:$CV$13,1,AW95))/12)))),'Lease Cycles'!$C$13*INDEX('Lease Cycles'!$CB$13:$CH$13,1,AW95)*(1+INDEX('Lease Cycles'!$CI$13:$CO$13,1,AW95))^INT(INT(AW96/12)/INDEX('Lease Cycles'!$CP$13:$CV$13,1,AW95))/12),IF(INDEX('Lease Cycles'!$EF$13:$EL$13,1,AW95)=1,IF(AND('Lease Cycles'!$AZ$13&gt;=INDEX('Lease Cycles'!$BG$13:$BM$13,1,AW95),'Lease Cycles'!$AZ$13&lt;=AW$6),'Lease Cycles'!$C$13*'Lease Cycles'!$BA$13/12,IF(AND('Lease Cycles'!$AX$13&gt;=INDEX('Lease Cycles'!$BG$13:$BM$13,1,AW95),'Lease Cycles'!$AX$13&lt;=AW$6),'Lease Cycles'!$C$13*'Lease Cycles'!$AY$13/12,IF(AND('Lease Cycles'!$AV$13&gt;=INDEX('Lease Cycles'!$BG$13:$BM$13,1,AW95),'Lease Cycles'!$AV$13&lt;=AW$6),'Lease Cycles'!$C$13*'Lease Cycles'!$AW$13/12,IF(AND('Lease Cycles'!$AT$13&gt;=INDEX('Lease Cycles'!$BG$13:$BM$13,1,AW95),'Lease Cycles'!$AT$13&lt;=AW$6),'Lease Cycles'!$C$13*'Lease Cycles'!$AU$13/12,'Lease Cycles'!$C$13*INDEX('Lease Cycles'!$CB$13:$CH$13,1,AW95)*(1+INDEX('Lease Cycles'!$CI$13:$CO$13,1,AW95))^INT(INT(AW96/12)/INDEX('Lease Cycles'!$CP$13:$CV$13,1,AW95))/12)))),'Lease Cycles'!$C$13*INDEX('Lease Cycles'!$CB$13:$CH$13,1,AW95)*(1+INDEX('Lease Cycles'!$CI$13:$CO$13,1,AW95))^INT(INT(AW96/12)/INDEX('Lease Cycles'!$CP$13:$CV$13,1,AW95))/12))),IF('Lease Cycles'!$N$13=1,'Lease Cycles'!$C$13*'Lease Cycles'!$E$13*INDEX('Lease Cycles'!$HE$13:$HK$13,1,AW95)*(1+INDEX('Lease Cycles'!$GQ$13:$GW$13,1,AW95))^INT(INT((AW$6-INDEX('Lease Cycles'!$GJ$13:$GP$13,1,AW95))/12)/INDEX('Lease Cycles'!$GX$13:$HD$13,1,AW95))/12,0)))</f>
        <v>3900</v>
      </c>
      <c r="AX98" s="28">
        <f>IF(AX95=0,IF('Lease Cycles'!$F$13&gt;0,'Lease Cycles'!$C$13*'Lease Cycles'!$E$13/12,0),IF(AX97=1,IF('Lease Cycles'!$AT$13&gt;=9999,'Lease Cycles'!$C$13*INDEX('Lease Cycles'!$CB$13:$CH$13,1,AX95)*(1+INDEX('Lease Cycles'!$CI$13:$CO$13,1,AX95))^INT(INT(AX96/12)/INDEX('Lease Cycles'!$CP$13:$CV$13,1,AX95))/12,IF(AX95=1,IF(AX96&gt;=INDEX('Lease Cycles'!$DK$13:$DQ$13,1,AX95),IF(AX$6&gt;='Lease Cycles'!$AZ$13,'Lease Cycles'!$C$13*'Lease Cycles'!$BA$13/12,IF(AX$6&gt;='Lease Cycles'!$AX$13,'Lease Cycles'!$C$13*'Lease Cycles'!$AY$13/12,IF(AX$6&gt;='Lease Cycles'!$AV$13,'Lease Cycles'!$C$13*'Lease Cycles'!$AW$13/12,IF(AX$6&gt;='Lease Cycles'!$AT$13,'Lease Cycles'!$C$13*'Lease Cycles'!$AU$13/12,'Lease Cycles'!$C$13*INDEX('Lease Cycles'!$CB$13:$CH$13,1,AX95)*(1+INDEX('Lease Cycles'!$CI$13:$CO$13,1,AX95))^INT(INT(AX96/12)/INDEX('Lease Cycles'!$CP$13:$CV$13,1,AX95))/12)))),'Lease Cycles'!$C$13*INDEX('Lease Cycles'!$CB$13:$CH$13,1,AX95)*(1+INDEX('Lease Cycles'!$CI$13:$CO$13,1,AX95))^INT(INT(AX96/12)/INDEX('Lease Cycles'!$CP$13:$CV$13,1,AX95))/12),IF(INDEX('Lease Cycles'!$EF$13:$EL$13,1,AX95)=1,IF(AND('Lease Cycles'!$AZ$13&gt;=INDEX('Lease Cycles'!$BG$13:$BM$13,1,AX95),'Lease Cycles'!$AZ$13&lt;=AX$6),'Lease Cycles'!$C$13*'Lease Cycles'!$BA$13/12,IF(AND('Lease Cycles'!$AX$13&gt;=INDEX('Lease Cycles'!$BG$13:$BM$13,1,AX95),'Lease Cycles'!$AX$13&lt;=AX$6),'Lease Cycles'!$C$13*'Lease Cycles'!$AY$13/12,IF(AND('Lease Cycles'!$AV$13&gt;=INDEX('Lease Cycles'!$BG$13:$BM$13,1,AX95),'Lease Cycles'!$AV$13&lt;=AX$6),'Lease Cycles'!$C$13*'Lease Cycles'!$AW$13/12,IF(AND('Lease Cycles'!$AT$13&gt;=INDEX('Lease Cycles'!$BG$13:$BM$13,1,AX95),'Lease Cycles'!$AT$13&lt;=AX$6),'Lease Cycles'!$C$13*'Lease Cycles'!$AU$13/12,'Lease Cycles'!$C$13*INDEX('Lease Cycles'!$CB$13:$CH$13,1,AX95)*(1+INDEX('Lease Cycles'!$CI$13:$CO$13,1,AX95))^INT(INT(AX96/12)/INDEX('Lease Cycles'!$CP$13:$CV$13,1,AX95))/12)))),'Lease Cycles'!$C$13*INDEX('Lease Cycles'!$CB$13:$CH$13,1,AX95)*(1+INDEX('Lease Cycles'!$CI$13:$CO$13,1,AX95))^INT(INT(AX96/12)/INDEX('Lease Cycles'!$CP$13:$CV$13,1,AX95))/12))),IF('Lease Cycles'!$N$13=1,'Lease Cycles'!$C$13*'Lease Cycles'!$E$13*INDEX('Lease Cycles'!$HE$13:$HK$13,1,AX95)*(1+INDEX('Lease Cycles'!$GQ$13:$GW$13,1,AX95))^INT(INT((AX$6-INDEX('Lease Cycles'!$GJ$13:$GP$13,1,AX95))/12)/INDEX('Lease Cycles'!$GX$13:$HD$13,1,AX95))/12,0)))</f>
        <v>3900</v>
      </c>
      <c r="AY98" s="28">
        <f>IF(AY95=0,IF('Lease Cycles'!$F$13&gt;0,'Lease Cycles'!$C$13*'Lease Cycles'!$E$13/12,0),IF(AY97=1,IF('Lease Cycles'!$AT$13&gt;=9999,'Lease Cycles'!$C$13*INDEX('Lease Cycles'!$CB$13:$CH$13,1,AY95)*(1+INDEX('Lease Cycles'!$CI$13:$CO$13,1,AY95))^INT(INT(AY96/12)/INDEX('Lease Cycles'!$CP$13:$CV$13,1,AY95))/12,IF(AY95=1,IF(AY96&gt;=INDEX('Lease Cycles'!$DK$13:$DQ$13,1,AY95),IF(AY$6&gt;='Lease Cycles'!$AZ$13,'Lease Cycles'!$C$13*'Lease Cycles'!$BA$13/12,IF(AY$6&gt;='Lease Cycles'!$AX$13,'Lease Cycles'!$C$13*'Lease Cycles'!$AY$13/12,IF(AY$6&gt;='Lease Cycles'!$AV$13,'Lease Cycles'!$C$13*'Lease Cycles'!$AW$13/12,IF(AY$6&gt;='Lease Cycles'!$AT$13,'Lease Cycles'!$C$13*'Lease Cycles'!$AU$13/12,'Lease Cycles'!$C$13*INDEX('Lease Cycles'!$CB$13:$CH$13,1,AY95)*(1+INDEX('Lease Cycles'!$CI$13:$CO$13,1,AY95))^INT(INT(AY96/12)/INDEX('Lease Cycles'!$CP$13:$CV$13,1,AY95))/12)))),'Lease Cycles'!$C$13*INDEX('Lease Cycles'!$CB$13:$CH$13,1,AY95)*(1+INDEX('Lease Cycles'!$CI$13:$CO$13,1,AY95))^INT(INT(AY96/12)/INDEX('Lease Cycles'!$CP$13:$CV$13,1,AY95))/12),IF(INDEX('Lease Cycles'!$EF$13:$EL$13,1,AY95)=1,IF(AND('Lease Cycles'!$AZ$13&gt;=INDEX('Lease Cycles'!$BG$13:$BM$13,1,AY95),'Lease Cycles'!$AZ$13&lt;=AY$6),'Lease Cycles'!$C$13*'Lease Cycles'!$BA$13/12,IF(AND('Lease Cycles'!$AX$13&gt;=INDEX('Lease Cycles'!$BG$13:$BM$13,1,AY95),'Lease Cycles'!$AX$13&lt;=AY$6),'Lease Cycles'!$C$13*'Lease Cycles'!$AY$13/12,IF(AND('Lease Cycles'!$AV$13&gt;=INDEX('Lease Cycles'!$BG$13:$BM$13,1,AY95),'Lease Cycles'!$AV$13&lt;=AY$6),'Lease Cycles'!$C$13*'Lease Cycles'!$AW$13/12,IF(AND('Lease Cycles'!$AT$13&gt;=INDEX('Lease Cycles'!$BG$13:$BM$13,1,AY95),'Lease Cycles'!$AT$13&lt;=AY$6),'Lease Cycles'!$C$13*'Lease Cycles'!$AU$13/12,'Lease Cycles'!$C$13*INDEX('Lease Cycles'!$CB$13:$CH$13,1,AY95)*(1+INDEX('Lease Cycles'!$CI$13:$CO$13,1,AY95))^INT(INT(AY96/12)/INDEX('Lease Cycles'!$CP$13:$CV$13,1,AY95))/12)))),'Lease Cycles'!$C$13*INDEX('Lease Cycles'!$CB$13:$CH$13,1,AY95)*(1+INDEX('Lease Cycles'!$CI$13:$CO$13,1,AY95))^INT(INT(AY96/12)/INDEX('Lease Cycles'!$CP$13:$CV$13,1,AY95))/12))),IF('Lease Cycles'!$N$13=1,'Lease Cycles'!$C$13*'Lease Cycles'!$E$13*INDEX('Lease Cycles'!$HE$13:$HK$13,1,AY95)*(1+INDEX('Lease Cycles'!$GQ$13:$GW$13,1,AY95))^INT(INT((AY$6-INDEX('Lease Cycles'!$GJ$13:$GP$13,1,AY95))/12)/INDEX('Lease Cycles'!$GX$13:$HD$13,1,AY95))/12,0)))</f>
        <v>3900</v>
      </c>
      <c r="AZ98" s="28">
        <f>IF(AZ95=0,IF('Lease Cycles'!$F$13&gt;0,'Lease Cycles'!$C$13*'Lease Cycles'!$E$13/12,0),IF(AZ97=1,IF('Lease Cycles'!$AT$13&gt;=9999,'Lease Cycles'!$C$13*INDEX('Lease Cycles'!$CB$13:$CH$13,1,AZ95)*(1+INDEX('Lease Cycles'!$CI$13:$CO$13,1,AZ95))^INT(INT(AZ96/12)/INDEX('Lease Cycles'!$CP$13:$CV$13,1,AZ95))/12,IF(AZ95=1,IF(AZ96&gt;=INDEX('Lease Cycles'!$DK$13:$DQ$13,1,AZ95),IF(AZ$6&gt;='Lease Cycles'!$AZ$13,'Lease Cycles'!$C$13*'Lease Cycles'!$BA$13/12,IF(AZ$6&gt;='Lease Cycles'!$AX$13,'Lease Cycles'!$C$13*'Lease Cycles'!$AY$13/12,IF(AZ$6&gt;='Lease Cycles'!$AV$13,'Lease Cycles'!$C$13*'Lease Cycles'!$AW$13/12,IF(AZ$6&gt;='Lease Cycles'!$AT$13,'Lease Cycles'!$C$13*'Lease Cycles'!$AU$13/12,'Lease Cycles'!$C$13*INDEX('Lease Cycles'!$CB$13:$CH$13,1,AZ95)*(1+INDEX('Lease Cycles'!$CI$13:$CO$13,1,AZ95))^INT(INT(AZ96/12)/INDEX('Lease Cycles'!$CP$13:$CV$13,1,AZ95))/12)))),'Lease Cycles'!$C$13*INDEX('Lease Cycles'!$CB$13:$CH$13,1,AZ95)*(1+INDEX('Lease Cycles'!$CI$13:$CO$13,1,AZ95))^INT(INT(AZ96/12)/INDEX('Lease Cycles'!$CP$13:$CV$13,1,AZ95))/12),IF(INDEX('Lease Cycles'!$EF$13:$EL$13,1,AZ95)=1,IF(AND('Lease Cycles'!$AZ$13&gt;=INDEX('Lease Cycles'!$BG$13:$BM$13,1,AZ95),'Lease Cycles'!$AZ$13&lt;=AZ$6),'Lease Cycles'!$C$13*'Lease Cycles'!$BA$13/12,IF(AND('Lease Cycles'!$AX$13&gt;=INDEX('Lease Cycles'!$BG$13:$BM$13,1,AZ95),'Lease Cycles'!$AX$13&lt;=AZ$6),'Lease Cycles'!$C$13*'Lease Cycles'!$AY$13/12,IF(AND('Lease Cycles'!$AV$13&gt;=INDEX('Lease Cycles'!$BG$13:$BM$13,1,AZ95),'Lease Cycles'!$AV$13&lt;=AZ$6),'Lease Cycles'!$C$13*'Lease Cycles'!$AW$13/12,IF(AND('Lease Cycles'!$AT$13&gt;=INDEX('Lease Cycles'!$BG$13:$BM$13,1,AZ95),'Lease Cycles'!$AT$13&lt;=AZ$6),'Lease Cycles'!$C$13*'Lease Cycles'!$AU$13/12,'Lease Cycles'!$C$13*INDEX('Lease Cycles'!$CB$13:$CH$13,1,AZ95)*(1+INDEX('Lease Cycles'!$CI$13:$CO$13,1,AZ95))^INT(INT(AZ96/12)/INDEX('Lease Cycles'!$CP$13:$CV$13,1,AZ95))/12)))),'Lease Cycles'!$C$13*INDEX('Lease Cycles'!$CB$13:$CH$13,1,AZ95)*(1+INDEX('Lease Cycles'!$CI$13:$CO$13,1,AZ95))^INT(INT(AZ96/12)/INDEX('Lease Cycles'!$CP$13:$CV$13,1,AZ95))/12))),IF('Lease Cycles'!$N$13=1,'Lease Cycles'!$C$13*'Lease Cycles'!$E$13*INDEX('Lease Cycles'!$HE$13:$HK$13,1,AZ95)*(1+INDEX('Lease Cycles'!$GQ$13:$GW$13,1,AZ95))^INT(INT((AZ$6-INDEX('Lease Cycles'!$GJ$13:$GP$13,1,AZ95))/12)/INDEX('Lease Cycles'!$GX$13:$HD$13,1,AZ95))/12,0)))</f>
        <v>3900</v>
      </c>
      <c r="BA98" s="28">
        <f>IF(BA95=0,IF('Lease Cycles'!$F$13&gt;0,'Lease Cycles'!$C$13*'Lease Cycles'!$E$13/12,0),IF(BA97=1,IF('Lease Cycles'!$AT$13&gt;=9999,'Lease Cycles'!$C$13*INDEX('Lease Cycles'!$CB$13:$CH$13,1,BA95)*(1+INDEX('Lease Cycles'!$CI$13:$CO$13,1,BA95))^INT(INT(BA96/12)/INDEX('Lease Cycles'!$CP$13:$CV$13,1,BA95))/12,IF(BA95=1,IF(BA96&gt;=INDEX('Lease Cycles'!$DK$13:$DQ$13,1,BA95),IF(BA$6&gt;='Lease Cycles'!$AZ$13,'Lease Cycles'!$C$13*'Lease Cycles'!$BA$13/12,IF(BA$6&gt;='Lease Cycles'!$AX$13,'Lease Cycles'!$C$13*'Lease Cycles'!$AY$13/12,IF(BA$6&gt;='Lease Cycles'!$AV$13,'Lease Cycles'!$C$13*'Lease Cycles'!$AW$13/12,IF(BA$6&gt;='Lease Cycles'!$AT$13,'Lease Cycles'!$C$13*'Lease Cycles'!$AU$13/12,'Lease Cycles'!$C$13*INDEX('Lease Cycles'!$CB$13:$CH$13,1,BA95)*(1+INDEX('Lease Cycles'!$CI$13:$CO$13,1,BA95))^INT(INT(BA96/12)/INDEX('Lease Cycles'!$CP$13:$CV$13,1,BA95))/12)))),'Lease Cycles'!$C$13*INDEX('Lease Cycles'!$CB$13:$CH$13,1,BA95)*(1+INDEX('Lease Cycles'!$CI$13:$CO$13,1,BA95))^INT(INT(BA96/12)/INDEX('Lease Cycles'!$CP$13:$CV$13,1,BA95))/12),IF(INDEX('Lease Cycles'!$EF$13:$EL$13,1,BA95)=1,IF(AND('Lease Cycles'!$AZ$13&gt;=INDEX('Lease Cycles'!$BG$13:$BM$13,1,BA95),'Lease Cycles'!$AZ$13&lt;=BA$6),'Lease Cycles'!$C$13*'Lease Cycles'!$BA$13/12,IF(AND('Lease Cycles'!$AX$13&gt;=INDEX('Lease Cycles'!$BG$13:$BM$13,1,BA95),'Lease Cycles'!$AX$13&lt;=BA$6),'Lease Cycles'!$C$13*'Lease Cycles'!$AY$13/12,IF(AND('Lease Cycles'!$AV$13&gt;=INDEX('Lease Cycles'!$BG$13:$BM$13,1,BA95),'Lease Cycles'!$AV$13&lt;=BA$6),'Lease Cycles'!$C$13*'Lease Cycles'!$AW$13/12,IF(AND('Lease Cycles'!$AT$13&gt;=INDEX('Lease Cycles'!$BG$13:$BM$13,1,BA95),'Lease Cycles'!$AT$13&lt;=BA$6),'Lease Cycles'!$C$13*'Lease Cycles'!$AU$13/12,'Lease Cycles'!$C$13*INDEX('Lease Cycles'!$CB$13:$CH$13,1,BA95)*(1+INDEX('Lease Cycles'!$CI$13:$CO$13,1,BA95))^INT(INT(BA96/12)/INDEX('Lease Cycles'!$CP$13:$CV$13,1,BA95))/12)))),'Lease Cycles'!$C$13*INDEX('Lease Cycles'!$CB$13:$CH$13,1,BA95)*(1+INDEX('Lease Cycles'!$CI$13:$CO$13,1,BA95))^INT(INT(BA96/12)/INDEX('Lease Cycles'!$CP$13:$CV$13,1,BA95))/12))),IF('Lease Cycles'!$N$13=1,'Lease Cycles'!$C$13*'Lease Cycles'!$E$13*INDEX('Lease Cycles'!$HE$13:$HK$13,1,BA95)*(1+INDEX('Lease Cycles'!$GQ$13:$GW$13,1,BA95))^INT(INT((BA$6-INDEX('Lease Cycles'!$GJ$13:$GP$13,1,BA95))/12)/INDEX('Lease Cycles'!$GX$13:$HD$13,1,BA95))/12,0)))</f>
        <v>3900</v>
      </c>
      <c r="BB98" s="28">
        <f>IF(BB95=0,IF('Lease Cycles'!$F$13&gt;0,'Lease Cycles'!$C$13*'Lease Cycles'!$E$13/12,0),IF(BB97=1,IF('Lease Cycles'!$AT$13&gt;=9999,'Lease Cycles'!$C$13*INDEX('Lease Cycles'!$CB$13:$CH$13,1,BB95)*(1+INDEX('Lease Cycles'!$CI$13:$CO$13,1,BB95))^INT(INT(BB96/12)/INDEX('Lease Cycles'!$CP$13:$CV$13,1,BB95))/12,IF(BB95=1,IF(BB96&gt;=INDEX('Lease Cycles'!$DK$13:$DQ$13,1,BB95),IF(BB$6&gt;='Lease Cycles'!$AZ$13,'Lease Cycles'!$C$13*'Lease Cycles'!$BA$13/12,IF(BB$6&gt;='Lease Cycles'!$AX$13,'Lease Cycles'!$C$13*'Lease Cycles'!$AY$13/12,IF(BB$6&gt;='Lease Cycles'!$AV$13,'Lease Cycles'!$C$13*'Lease Cycles'!$AW$13/12,IF(BB$6&gt;='Lease Cycles'!$AT$13,'Lease Cycles'!$C$13*'Lease Cycles'!$AU$13/12,'Lease Cycles'!$C$13*INDEX('Lease Cycles'!$CB$13:$CH$13,1,BB95)*(1+INDEX('Lease Cycles'!$CI$13:$CO$13,1,BB95))^INT(INT(BB96/12)/INDEX('Lease Cycles'!$CP$13:$CV$13,1,BB95))/12)))),'Lease Cycles'!$C$13*INDEX('Lease Cycles'!$CB$13:$CH$13,1,BB95)*(1+INDEX('Lease Cycles'!$CI$13:$CO$13,1,BB95))^INT(INT(BB96/12)/INDEX('Lease Cycles'!$CP$13:$CV$13,1,BB95))/12),IF(INDEX('Lease Cycles'!$EF$13:$EL$13,1,BB95)=1,IF(AND('Lease Cycles'!$AZ$13&gt;=INDEX('Lease Cycles'!$BG$13:$BM$13,1,BB95),'Lease Cycles'!$AZ$13&lt;=BB$6),'Lease Cycles'!$C$13*'Lease Cycles'!$BA$13/12,IF(AND('Lease Cycles'!$AX$13&gt;=INDEX('Lease Cycles'!$BG$13:$BM$13,1,BB95),'Lease Cycles'!$AX$13&lt;=BB$6),'Lease Cycles'!$C$13*'Lease Cycles'!$AY$13/12,IF(AND('Lease Cycles'!$AV$13&gt;=INDEX('Lease Cycles'!$BG$13:$BM$13,1,BB95),'Lease Cycles'!$AV$13&lt;=BB$6),'Lease Cycles'!$C$13*'Lease Cycles'!$AW$13/12,IF(AND('Lease Cycles'!$AT$13&gt;=INDEX('Lease Cycles'!$BG$13:$BM$13,1,BB95),'Lease Cycles'!$AT$13&lt;=BB$6),'Lease Cycles'!$C$13*'Lease Cycles'!$AU$13/12,'Lease Cycles'!$C$13*INDEX('Lease Cycles'!$CB$13:$CH$13,1,BB95)*(1+INDEX('Lease Cycles'!$CI$13:$CO$13,1,BB95))^INT(INT(BB96/12)/INDEX('Lease Cycles'!$CP$13:$CV$13,1,BB95))/12)))),'Lease Cycles'!$C$13*INDEX('Lease Cycles'!$CB$13:$CH$13,1,BB95)*(1+INDEX('Lease Cycles'!$CI$13:$CO$13,1,BB95))^INT(INT(BB96/12)/INDEX('Lease Cycles'!$CP$13:$CV$13,1,BB95))/12))),IF('Lease Cycles'!$N$13=1,'Lease Cycles'!$C$13*'Lease Cycles'!$E$13*INDEX('Lease Cycles'!$HE$13:$HK$13,1,BB95)*(1+INDEX('Lease Cycles'!$GQ$13:$GW$13,1,BB95))^INT(INT((BB$6-INDEX('Lease Cycles'!$GJ$13:$GP$13,1,BB95))/12)/INDEX('Lease Cycles'!$GX$13:$HD$13,1,BB95))/12,0)))</f>
        <v>3900</v>
      </c>
      <c r="BC98" s="28">
        <f>IF(BC95=0,IF('Lease Cycles'!$F$13&gt;0,'Lease Cycles'!$C$13*'Lease Cycles'!$E$13/12,0),IF(BC97=1,IF('Lease Cycles'!$AT$13&gt;=9999,'Lease Cycles'!$C$13*INDEX('Lease Cycles'!$CB$13:$CH$13,1,BC95)*(1+INDEX('Lease Cycles'!$CI$13:$CO$13,1,BC95))^INT(INT(BC96/12)/INDEX('Lease Cycles'!$CP$13:$CV$13,1,BC95))/12,IF(BC95=1,IF(BC96&gt;=INDEX('Lease Cycles'!$DK$13:$DQ$13,1,BC95),IF(BC$6&gt;='Lease Cycles'!$AZ$13,'Lease Cycles'!$C$13*'Lease Cycles'!$BA$13/12,IF(BC$6&gt;='Lease Cycles'!$AX$13,'Lease Cycles'!$C$13*'Lease Cycles'!$AY$13/12,IF(BC$6&gt;='Lease Cycles'!$AV$13,'Lease Cycles'!$C$13*'Lease Cycles'!$AW$13/12,IF(BC$6&gt;='Lease Cycles'!$AT$13,'Lease Cycles'!$C$13*'Lease Cycles'!$AU$13/12,'Lease Cycles'!$C$13*INDEX('Lease Cycles'!$CB$13:$CH$13,1,BC95)*(1+INDEX('Lease Cycles'!$CI$13:$CO$13,1,BC95))^INT(INT(BC96/12)/INDEX('Lease Cycles'!$CP$13:$CV$13,1,BC95))/12)))),'Lease Cycles'!$C$13*INDEX('Lease Cycles'!$CB$13:$CH$13,1,BC95)*(1+INDEX('Lease Cycles'!$CI$13:$CO$13,1,BC95))^INT(INT(BC96/12)/INDEX('Lease Cycles'!$CP$13:$CV$13,1,BC95))/12),IF(INDEX('Lease Cycles'!$EF$13:$EL$13,1,BC95)=1,IF(AND('Lease Cycles'!$AZ$13&gt;=INDEX('Lease Cycles'!$BG$13:$BM$13,1,BC95),'Lease Cycles'!$AZ$13&lt;=BC$6),'Lease Cycles'!$C$13*'Lease Cycles'!$BA$13/12,IF(AND('Lease Cycles'!$AX$13&gt;=INDEX('Lease Cycles'!$BG$13:$BM$13,1,BC95),'Lease Cycles'!$AX$13&lt;=BC$6),'Lease Cycles'!$C$13*'Lease Cycles'!$AY$13/12,IF(AND('Lease Cycles'!$AV$13&gt;=INDEX('Lease Cycles'!$BG$13:$BM$13,1,BC95),'Lease Cycles'!$AV$13&lt;=BC$6),'Lease Cycles'!$C$13*'Lease Cycles'!$AW$13/12,IF(AND('Lease Cycles'!$AT$13&gt;=INDEX('Lease Cycles'!$BG$13:$BM$13,1,BC95),'Lease Cycles'!$AT$13&lt;=BC$6),'Lease Cycles'!$C$13*'Lease Cycles'!$AU$13/12,'Lease Cycles'!$C$13*INDEX('Lease Cycles'!$CB$13:$CH$13,1,BC95)*(1+INDEX('Lease Cycles'!$CI$13:$CO$13,1,BC95))^INT(INT(BC96/12)/INDEX('Lease Cycles'!$CP$13:$CV$13,1,BC95))/12)))),'Lease Cycles'!$C$13*INDEX('Lease Cycles'!$CB$13:$CH$13,1,BC95)*(1+INDEX('Lease Cycles'!$CI$13:$CO$13,1,BC95))^INT(INT(BC96/12)/INDEX('Lease Cycles'!$CP$13:$CV$13,1,BC95))/12))),IF('Lease Cycles'!$N$13=1,'Lease Cycles'!$C$13*'Lease Cycles'!$E$13*INDEX('Lease Cycles'!$HE$13:$HK$13,1,BC95)*(1+INDEX('Lease Cycles'!$GQ$13:$GW$13,1,BC95))^INT(INT((BC$6-INDEX('Lease Cycles'!$GJ$13:$GP$13,1,BC95))/12)/INDEX('Lease Cycles'!$GX$13:$HD$13,1,BC95))/12,0)))</f>
        <v>3900</v>
      </c>
      <c r="BD98" s="28">
        <f>IF(BD95=0,IF('Lease Cycles'!$F$13&gt;0,'Lease Cycles'!$C$13*'Lease Cycles'!$E$13/12,0),IF(BD97=1,IF('Lease Cycles'!$AT$13&gt;=9999,'Lease Cycles'!$C$13*INDEX('Lease Cycles'!$CB$13:$CH$13,1,BD95)*(1+INDEX('Lease Cycles'!$CI$13:$CO$13,1,BD95))^INT(INT(BD96/12)/INDEX('Lease Cycles'!$CP$13:$CV$13,1,BD95))/12,IF(BD95=1,IF(BD96&gt;=INDEX('Lease Cycles'!$DK$13:$DQ$13,1,BD95),IF(BD$6&gt;='Lease Cycles'!$AZ$13,'Lease Cycles'!$C$13*'Lease Cycles'!$BA$13/12,IF(BD$6&gt;='Lease Cycles'!$AX$13,'Lease Cycles'!$C$13*'Lease Cycles'!$AY$13/12,IF(BD$6&gt;='Lease Cycles'!$AV$13,'Lease Cycles'!$C$13*'Lease Cycles'!$AW$13/12,IF(BD$6&gt;='Lease Cycles'!$AT$13,'Lease Cycles'!$C$13*'Lease Cycles'!$AU$13/12,'Lease Cycles'!$C$13*INDEX('Lease Cycles'!$CB$13:$CH$13,1,BD95)*(1+INDEX('Lease Cycles'!$CI$13:$CO$13,1,BD95))^INT(INT(BD96/12)/INDEX('Lease Cycles'!$CP$13:$CV$13,1,BD95))/12)))),'Lease Cycles'!$C$13*INDEX('Lease Cycles'!$CB$13:$CH$13,1,BD95)*(1+INDEX('Lease Cycles'!$CI$13:$CO$13,1,BD95))^INT(INT(BD96/12)/INDEX('Lease Cycles'!$CP$13:$CV$13,1,BD95))/12),IF(INDEX('Lease Cycles'!$EF$13:$EL$13,1,BD95)=1,IF(AND('Lease Cycles'!$AZ$13&gt;=INDEX('Lease Cycles'!$BG$13:$BM$13,1,BD95),'Lease Cycles'!$AZ$13&lt;=BD$6),'Lease Cycles'!$C$13*'Lease Cycles'!$BA$13/12,IF(AND('Lease Cycles'!$AX$13&gt;=INDEX('Lease Cycles'!$BG$13:$BM$13,1,BD95),'Lease Cycles'!$AX$13&lt;=BD$6),'Lease Cycles'!$C$13*'Lease Cycles'!$AY$13/12,IF(AND('Lease Cycles'!$AV$13&gt;=INDEX('Lease Cycles'!$BG$13:$BM$13,1,BD95),'Lease Cycles'!$AV$13&lt;=BD$6),'Lease Cycles'!$C$13*'Lease Cycles'!$AW$13/12,IF(AND('Lease Cycles'!$AT$13&gt;=INDEX('Lease Cycles'!$BG$13:$BM$13,1,BD95),'Lease Cycles'!$AT$13&lt;=BD$6),'Lease Cycles'!$C$13*'Lease Cycles'!$AU$13/12,'Lease Cycles'!$C$13*INDEX('Lease Cycles'!$CB$13:$CH$13,1,BD95)*(1+INDEX('Lease Cycles'!$CI$13:$CO$13,1,BD95))^INT(INT(BD96/12)/INDEX('Lease Cycles'!$CP$13:$CV$13,1,BD95))/12)))),'Lease Cycles'!$C$13*INDEX('Lease Cycles'!$CB$13:$CH$13,1,BD95)*(1+INDEX('Lease Cycles'!$CI$13:$CO$13,1,BD95))^INT(INT(BD96/12)/INDEX('Lease Cycles'!$CP$13:$CV$13,1,BD95))/12))),IF('Lease Cycles'!$N$13=1,'Lease Cycles'!$C$13*'Lease Cycles'!$E$13*INDEX('Lease Cycles'!$HE$13:$HK$13,1,BD95)*(1+INDEX('Lease Cycles'!$GQ$13:$GW$13,1,BD95))^INT(INT((BD$6-INDEX('Lease Cycles'!$GJ$13:$GP$13,1,BD95))/12)/INDEX('Lease Cycles'!$GX$13:$HD$13,1,BD95))/12,0)))</f>
        <v>3900</v>
      </c>
      <c r="BE98" s="28">
        <f>IF(BE95=0,IF('Lease Cycles'!$F$13&gt;0,'Lease Cycles'!$C$13*'Lease Cycles'!$E$13/12,0),IF(BE97=1,IF('Lease Cycles'!$AT$13&gt;=9999,'Lease Cycles'!$C$13*INDEX('Lease Cycles'!$CB$13:$CH$13,1,BE95)*(1+INDEX('Lease Cycles'!$CI$13:$CO$13,1,BE95))^INT(INT(BE96/12)/INDEX('Lease Cycles'!$CP$13:$CV$13,1,BE95))/12,IF(BE95=1,IF(BE96&gt;=INDEX('Lease Cycles'!$DK$13:$DQ$13,1,BE95),IF(BE$6&gt;='Lease Cycles'!$AZ$13,'Lease Cycles'!$C$13*'Lease Cycles'!$BA$13/12,IF(BE$6&gt;='Lease Cycles'!$AX$13,'Lease Cycles'!$C$13*'Lease Cycles'!$AY$13/12,IF(BE$6&gt;='Lease Cycles'!$AV$13,'Lease Cycles'!$C$13*'Lease Cycles'!$AW$13/12,IF(BE$6&gt;='Lease Cycles'!$AT$13,'Lease Cycles'!$C$13*'Lease Cycles'!$AU$13/12,'Lease Cycles'!$C$13*INDEX('Lease Cycles'!$CB$13:$CH$13,1,BE95)*(1+INDEX('Lease Cycles'!$CI$13:$CO$13,1,BE95))^INT(INT(BE96/12)/INDEX('Lease Cycles'!$CP$13:$CV$13,1,BE95))/12)))),'Lease Cycles'!$C$13*INDEX('Lease Cycles'!$CB$13:$CH$13,1,BE95)*(1+INDEX('Lease Cycles'!$CI$13:$CO$13,1,BE95))^INT(INT(BE96/12)/INDEX('Lease Cycles'!$CP$13:$CV$13,1,BE95))/12),IF(INDEX('Lease Cycles'!$EF$13:$EL$13,1,BE95)=1,IF(AND('Lease Cycles'!$AZ$13&gt;=INDEX('Lease Cycles'!$BG$13:$BM$13,1,BE95),'Lease Cycles'!$AZ$13&lt;=BE$6),'Lease Cycles'!$C$13*'Lease Cycles'!$BA$13/12,IF(AND('Lease Cycles'!$AX$13&gt;=INDEX('Lease Cycles'!$BG$13:$BM$13,1,BE95),'Lease Cycles'!$AX$13&lt;=BE$6),'Lease Cycles'!$C$13*'Lease Cycles'!$AY$13/12,IF(AND('Lease Cycles'!$AV$13&gt;=INDEX('Lease Cycles'!$BG$13:$BM$13,1,BE95),'Lease Cycles'!$AV$13&lt;=BE$6),'Lease Cycles'!$C$13*'Lease Cycles'!$AW$13/12,IF(AND('Lease Cycles'!$AT$13&gt;=INDEX('Lease Cycles'!$BG$13:$BM$13,1,BE95),'Lease Cycles'!$AT$13&lt;=BE$6),'Lease Cycles'!$C$13*'Lease Cycles'!$AU$13/12,'Lease Cycles'!$C$13*INDEX('Lease Cycles'!$CB$13:$CH$13,1,BE95)*(1+INDEX('Lease Cycles'!$CI$13:$CO$13,1,BE95))^INT(INT(BE96/12)/INDEX('Lease Cycles'!$CP$13:$CV$13,1,BE95))/12)))),'Lease Cycles'!$C$13*INDEX('Lease Cycles'!$CB$13:$CH$13,1,BE95)*(1+INDEX('Lease Cycles'!$CI$13:$CO$13,1,BE95))^INT(INT(BE96/12)/INDEX('Lease Cycles'!$CP$13:$CV$13,1,BE95))/12))),IF('Lease Cycles'!$N$13=1,'Lease Cycles'!$C$13*'Lease Cycles'!$E$13*INDEX('Lease Cycles'!$HE$13:$HK$13,1,BE95)*(1+INDEX('Lease Cycles'!$GQ$13:$GW$13,1,BE95))^INT(INT((BE$6-INDEX('Lease Cycles'!$GJ$13:$GP$13,1,BE95))/12)/INDEX('Lease Cycles'!$GX$13:$HD$13,1,BE95))/12,0)))</f>
        <v>3900</v>
      </c>
      <c r="BF98" s="28">
        <f>IF(BF95=0,IF('Lease Cycles'!$F$13&gt;0,'Lease Cycles'!$C$13*'Lease Cycles'!$E$13/12,0),IF(BF97=1,IF('Lease Cycles'!$AT$13&gt;=9999,'Lease Cycles'!$C$13*INDEX('Lease Cycles'!$CB$13:$CH$13,1,BF95)*(1+INDEX('Lease Cycles'!$CI$13:$CO$13,1,BF95))^INT(INT(BF96/12)/INDEX('Lease Cycles'!$CP$13:$CV$13,1,BF95))/12,IF(BF95=1,IF(BF96&gt;=INDEX('Lease Cycles'!$DK$13:$DQ$13,1,BF95),IF(BF$6&gt;='Lease Cycles'!$AZ$13,'Lease Cycles'!$C$13*'Lease Cycles'!$BA$13/12,IF(BF$6&gt;='Lease Cycles'!$AX$13,'Lease Cycles'!$C$13*'Lease Cycles'!$AY$13/12,IF(BF$6&gt;='Lease Cycles'!$AV$13,'Lease Cycles'!$C$13*'Lease Cycles'!$AW$13/12,IF(BF$6&gt;='Lease Cycles'!$AT$13,'Lease Cycles'!$C$13*'Lease Cycles'!$AU$13/12,'Lease Cycles'!$C$13*INDEX('Lease Cycles'!$CB$13:$CH$13,1,BF95)*(1+INDEX('Lease Cycles'!$CI$13:$CO$13,1,BF95))^INT(INT(BF96/12)/INDEX('Lease Cycles'!$CP$13:$CV$13,1,BF95))/12)))),'Lease Cycles'!$C$13*INDEX('Lease Cycles'!$CB$13:$CH$13,1,BF95)*(1+INDEX('Lease Cycles'!$CI$13:$CO$13,1,BF95))^INT(INT(BF96/12)/INDEX('Lease Cycles'!$CP$13:$CV$13,1,BF95))/12),IF(INDEX('Lease Cycles'!$EF$13:$EL$13,1,BF95)=1,IF(AND('Lease Cycles'!$AZ$13&gt;=INDEX('Lease Cycles'!$BG$13:$BM$13,1,BF95),'Lease Cycles'!$AZ$13&lt;=BF$6),'Lease Cycles'!$C$13*'Lease Cycles'!$BA$13/12,IF(AND('Lease Cycles'!$AX$13&gt;=INDEX('Lease Cycles'!$BG$13:$BM$13,1,BF95),'Lease Cycles'!$AX$13&lt;=BF$6),'Lease Cycles'!$C$13*'Lease Cycles'!$AY$13/12,IF(AND('Lease Cycles'!$AV$13&gt;=INDEX('Lease Cycles'!$BG$13:$BM$13,1,BF95),'Lease Cycles'!$AV$13&lt;=BF$6),'Lease Cycles'!$C$13*'Lease Cycles'!$AW$13/12,IF(AND('Lease Cycles'!$AT$13&gt;=INDEX('Lease Cycles'!$BG$13:$BM$13,1,BF95),'Lease Cycles'!$AT$13&lt;=BF$6),'Lease Cycles'!$C$13*'Lease Cycles'!$AU$13/12,'Lease Cycles'!$C$13*INDEX('Lease Cycles'!$CB$13:$CH$13,1,BF95)*(1+INDEX('Lease Cycles'!$CI$13:$CO$13,1,BF95))^INT(INT(BF96/12)/INDEX('Lease Cycles'!$CP$13:$CV$13,1,BF95))/12)))),'Lease Cycles'!$C$13*INDEX('Lease Cycles'!$CB$13:$CH$13,1,BF95)*(1+INDEX('Lease Cycles'!$CI$13:$CO$13,1,BF95))^INT(INT(BF96/12)/INDEX('Lease Cycles'!$CP$13:$CV$13,1,BF95))/12))),IF('Lease Cycles'!$N$13=1,'Lease Cycles'!$C$13*'Lease Cycles'!$E$13*INDEX('Lease Cycles'!$HE$13:$HK$13,1,BF95)*(1+INDEX('Lease Cycles'!$GQ$13:$GW$13,1,BF95))^INT(INT((BF$6-INDEX('Lease Cycles'!$GJ$13:$GP$13,1,BF95))/12)/INDEX('Lease Cycles'!$GX$13:$HD$13,1,BF95))/12,0)))</f>
        <v>3900</v>
      </c>
      <c r="BG98" s="28">
        <f>IF(BG95=0,IF('Lease Cycles'!$F$13&gt;0,'Lease Cycles'!$C$13*'Lease Cycles'!$E$13/12,0),IF(BG97=1,IF('Lease Cycles'!$AT$13&gt;=9999,'Lease Cycles'!$C$13*INDEX('Lease Cycles'!$CB$13:$CH$13,1,BG95)*(1+INDEX('Lease Cycles'!$CI$13:$CO$13,1,BG95))^INT(INT(BG96/12)/INDEX('Lease Cycles'!$CP$13:$CV$13,1,BG95))/12,IF(BG95=1,IF(BG96&gt;=INDEX('Lease Cycles'!$DK$13:$DQ$13,1,BG95),IF(BG$6&gt;='Lease Cycles'!$AZ$13,'Lease Cycles'!$C$13*'Lease Cycles'!$BA$13/12,IF(BG$6&gt;='Lease Cycles'!$AX$13,'Lease Cycles'!$C$13*'Lease Cycles'!$AY$13/12,IF(BG$6&gt;='Lease Cycles'!$AV$13,'Lease Cycles'!$C$13*'Lease Cycles'!$AW$13/12,IF(BG$6&gt;='Lease Cycles'!$AT$13,'Lease Cycles'!$C$13*'Lease Cycles'!$AU$13/12,'Lease Cycles'!$C$13*INDEX('Lease Cycles'!$CB$13:$CH$13,1,BG95)*(1+INDEX('Lease Cycles'!$CI$13:$CO$13,1,BG95))^INT(INT(BG96/12)/INDEX('Lease Cycles'!$CP$13:$CV$13,1,BG95))/12)))),'Lease Cycles'!$C$13*INDEX('Lease Cycles'!$CB$13:$CH$13,1,BG95)*(1+INDEX('Lease Cycles'!$CI$13:$CO$13,1,BG95))^INT(INT(BG96/12)/INDEX('Lease Cycles'!$CP$13:$CV$13,1,BG95))/12),IF(INDEX('Lease Cycles'!$EF$13:$EL$13,1,BG95)=1,IF(AND('Lease Cycles'!$AZ$13&gt;=INDEX('Lease Cycles'!$BG$13:$BM$13,1,BG95),'Lease Cycles'!$AZ$13&lt;=BG$6),'Lease Cycles'!$C$13*'Lease Cycles'!$BA$13/12,IF(AND('Lease Cycles'!$AX$13&gt;=INDEX('Lease Cycles'!$BG$13:$BM$13,1,BG95),'Lease Cycles'!$AX$13&lt;=BG$6),'Lease Cycles'!$C$13*'Lease Cycles'!$AY$13/12,IF(AND('Lease Cycles'!$AV$13&gt;=INDEX('Lease Cycles'!$BG$13:$BM$13,1,BG95),'Lease Cycles'!$AV$13&lt;=BG$6),'Lease Cycles'!$C$13*'Lease Cycles'!$AW$13/12,IF(AND('Lease Cycles'!$AT$13&gt;=INDEX('Lease Cycles'!$BG$13:$BM$13,1,BG95),'Lease Cycles'!$AT$13&lt;=BG$6),'Lease Cycles'!$C$13*'Lease Cycles'!$AU$13/12,'Lease Cycles'!$C$13*INDEX('Lease Cycles'!$CB$13:$CH$13,1,BG95)*(1+INDEX('Lease Cycles'!$CI$13:$CO$13,1,BG95))^INT(INT(BG96/12)/INDEX('Lease Cycles'!$CP$13:$CV$13,1,BG95))/12)))),'Lease Cycles'!$C$13*INDEX('Lease Cycles'!$CB$13:$CH$13,1,BG95)*(1+INDEX('Lease Cycles'!$CI$13:$CO$13,1,BG95))^INT(INT(BG96/12)/INDEX('Lease Cycles'!$CP$13:$CV$13,1,BG95))/12))),IF('Lease Cycles'!$N$13=1,'Lease Cycles'!$C$13*'Lease Cycles'!$E$13*INDEX('Lease Cycles'!$HE$13:$HK$13,1,BG95)*(1+INDEX('Lease Cycles'!$GQ$13:$GW$13,1,BG95))^INT(INT((BG$6-INDEX('Lease Cycles'!$GJ$13:$GP$13,1,BG95))/12)/INDEX('Lease Cycles'!$GX$13:$HD$13,1,BG95))/12,0)))</f>
        <v>3900</v>
      </c>
      <c r="BH98" s="28">
        <f>IF(BH95=0,IF('Lease Cycles'!$F$13&gt;0,'Lease Cycles'!$C$13*'Lease Cycles'!$E$13/12,0),IF(BH97=1,IF('Lease Cycles'!$AT$13&gt;=9999,'Lease Cycles'!$C$13*INDEX('Lease Cycles'!$CB$13:$CH$13,1,BH95)*(1+INDEX('Lease Cycles'!$CI$13:$CO$13,1,BH95))^INT(INT(BH96/12)/INDEX('Lease Cycles'!$CP$13:$CV$13,1,BH95))/12,IF(BH95=1,IF(BH96&gt;=INDEX('Lease Cycles'!$DK$13:$DQ$13,1,BH95),IF(BH$6&gt;='Lease Cycles'!$AZ$13,'Lease Cycles'!$C$13*'Lease Cycles'!$BA$13/12,IF(BH$6&gt;='Lease Cycles'!$AX$13,'Lease Cycles'!$C$13*'Lease Cycles'!$AY$13/12,IF(BH$6&gt;='Lease Cycles'!$AV$13,'Lease Cycles'!$C$13*'Lease Cycles'!$AW$13/12,IF(BH$6&gt;='Lease Cycles'!$AT$13,'Lease Cycles'!$C$13*'Lease Cycles'!$AU$13/12,'Lease Cycles'!$C$13*INDEX('Lease Cycles'!$CB$13:$CH$13,1,BH95)*(1+INDEX('Lease Cycles'!$CI$13:$CO$13,1,BH95))^INT(INT(BH96/12)/INDEX('Lease Cycles'!$CP$13:$CV$13,1,BH95))/12)))),'Lease Cycles'!$C$13*INDEX('Lease Cycles'!$CB$13:$CH$13,1,BH95)*(1+INDEX('Lease Cycles'!$CI$13:$CO$13,1,BH95))^INT(INT(BH96/12)/INDEX('Lease Cycles'!$CP$13:$CV$13,1,BH95))/12),IF(INDEX('Lease Cycles'!$EF$13:$EL$13,1,BH95)=1,IF(AND('Lease Cycles'!$AZ$13&gt;=INDEX('Lease Cycles'!$BG$13:$BM$13,1,BH95),'Lease Cycles'!$AZ$13&lt;=BH$6),'Lease Cycles'!$C$13*'Lease Cycles'!$BA$13/12,IF(AND('Lease Cycles'!$AX$13&gt;=INDEX('Lease Cycles'!$BG$13:$BM$13,1,BH95),'Lease Cycles'!$AX$13&lt;=BH$6),'Lease Cycles'!$C$13*'Lease Cycles'!$AY$13/12,IF(AND('Lease Cycles'!$AV$13&gt;=INDEX('Lease Cycles'!$BG$13:$BM$13,1,BH95),'Lease Cycles'!$AV$13&lt;=BH$6),'Lease Cycles'!$C$13*'Lease Cycles'!$AW$13/12,IF(AND('Lease Cycles'!$AT$13&gt;=INDEX('Lease Cycles'!$BG$13:$BM$13,1,BH95),'Lease Cycles'!$AT$13&lt;=BH$6),'Lease Cycles'!$C$13*'Lease Cycles'!$AU$13/12,'Lease Cycles'!$C$13*INDEX('Lease Cycles'!$CB$13:$CH$13,1,BH95)*(1+INDEX('Lease Cycles'!$CI$13:$CO$13,1,BH95))^INT(INT(BH96/12)/INDEX('Lease Cycles'!$CP$13:$CV$13,1,BH95))/12)))),'Lease Cycles'!$C$13*INDEX('Lease Cycles'!$CB$13:$CH$13,1,BH95)*(1+INDEX('Lease Cycles'!$CI$13:$CO$13,1,BH95))^INT(INT(BH96/12)/INDEX('Lease Cycles'!$CP$13:$CV$13,1,BH95))/12))),IF('Lease Cycles'!$N$13=1,'Lease Cycles'!$C$13*'Lease Cycles'!$E$13*INDEX('Lease Cycles'!$HE$13:$HK$13,1,BH95)*(1+INDEX('Lease Cycles'!$GQ$13:$GW$13,1,BH95))^INT(INT((BH$6-INDEX('Lease Cycles'!$GJ$13:$GP$13,1,BH95))/12)/INDEX('Lease Cycles'!$GX$13:$HD$13,1,BH95))/12,0)))</f>
        <v>3900</v>
      </c>
      <c r="BI98" s="28">
        <f>IF(BI95=0,IF('Lease Cycles'!$F$13&gt;0,'Lease Cycles'!$C$13*'Lease Cycles'!$E$13/12,0),IF(BI97=1,IF('Lease Cycles'!$AT$13&gt;=9999,'Lease Cycles'!$C$13*INDEX('Lease Cycles'!$CB$13:$CH$13,1,BI95)*(1+INDEX('Lease Cycles'!$CI$13:$CO$13,1,BI95))^INT(INT(BI96/12)/INDEX('Lease Cycles'!$CP$13:$CV$13,1,BI95))/12,IF(BI95=1,IF(BI96&gt;=INDEX('Lease Cycles'!$DK$13:$DQ$13,1,BI95),IF(BI$6&gt;='Lease Cycles'!$AZ$13,'Lease Cycles'!$C$13*'Lease Cycles'!$BA$13/12,IF(BI$6&gt;='Lease Cycles'!$AX$13,'Lease Cycles'!$C$13*'Lease Cycles'!$AY$13/12,IF(BI$6&gt;='Lease Cycles'!$AV$13,'Lease Cycles'!$C$13*'Lease Cycles'!$AW$13/12,IF(BI$6&gt;='Lease Cycles'!$AT$13,'Lease Cycles'!$C$13*'Lease Cycles'!$AU$13/12,'Lease Cycles'!$C$13*INDEX('Lease Cycles'!$CB$13:$CH$13,1,BI95)*(1+INDEX('Lease Cycles'!$CI$13:$CO$13,1,BI95))^INT(INT(BI96/12)/INDEX('Lease Cycles'!$CP$13:$CV$13,1,BI95))/12)))),'Lease Cycles'!$C$13*INDEX('Lease Cycles'!$CB$13:$CH$13,1,BI95)*(1+INDEX('Lease Cycles'!$CI$13:$CO$13,1,BI95))^INT(INT(BI96/12)/INDEX('Lease Cycles'!$CP$13:$CV$13,1,BI95))/12),IF(INDEX('Lease Cycles'!$EF$13:$EL$13,1,BI95)=1,IF(AND('Lease Cycles'!$AZ$13&gt;=INDEX('Lease Cycles'!$BG$13:$BM$13,1,BI95),'Lease Cycles'!$AZ$13&lt;=BI$6),'Lease Cycles'!$C$13*'Lease Cycles'!$BA$13/12,IF(AND('Lease Cycles'!$AX$13&gt;=INDEX('Lease Cycles'!$BG$13:$BM$13,1,BI95),'Lease Cycles'!$AX$13&lt;=BI$6),'Lease Cycles'!$C$13*'Lease Cycles'!$AY$13/12,IF(AND('Lease Cycles'!$AV$13&gt;=INDEX('Lease Cycles'!$BG$13:$BM$13,1,BI95),'Lease Cycles'!$AV$13&lt;=BI$6),'Lease Cycles'!$C$13*'Lease Cycles'!$AW$13/12,IF(AND('Lease Cycles'!$AT$13&gt;=INDEX('Lease Cycles'!$BG$13:$BM$13,1,BI95),'Lease Cycles'!$AT$13&lt;=BI$6),'Lease Cycles'!$C$13*'Lease Cycles'!$AU$13/12,'Lease Cycles'!$C$13*INDEX('Lease Cycles'!$CB$13:$CH$13,1,BI95)*(1+INDEX('Lease Cycles'!$CI$13:$CO$13,1,BI95))^INT(INT(BI96/12)/INDEX('Lease Cycles'!$CP$13:$CV$13,1,BI95))/12)))),'Lease Cycles'!$C$13*INDEX('Lease Cycles'!$CB$13:$CH$13,1,BI95)*(1+INDEX('Lease Cycles'!$CI$13:$CO$13,1,BI95))^INT(INT(BI96/12)/INDEX('Lease Cycles'!$CP$13:$CV$13,1,BI95))/12))),IF('Lease Cycles'!$N$13=1,'Lease Cycles'!$C$13*'Lease Cycles'!$E$13*INDEX('Lease Cycles'!$HE$13:$HK$13,1,BI95)*(1+INDEX('Lease Cycles'!$GQ$13:$GW$13,1,BI95))^INT(INT((BI$6-INDEX('Lease Cycles'!$GJ$13:$GP$13,1,BI95))/12)/INDEX('Lease Cycles'!$GX$13:$HD$13,1,BI95))/12,0)))</f>
        <v>3900</v>
      </c>
      <c r="BJ98" s="28">
        <f>IF(BJ95=0,IF('Lease Cycles'!$F$13&gt;0,'Lease Cycles'!$C$13*'Lease Cycles'!$E$13/12,0),IF(BJ97=1,IF('Lease Cycles'!$AT$13&gt;=9999,'Lease Cycles'!$C$13*INDEX('Lease Cycles'!$CB$13:$CH$13,1,BJ95)*(1+INDEX('Lease Cycles'!$CI$13:$CO$13,1,BJ95))^INT(INT(BJ96/12)/INDEX('Lease Cycles'!$CP$13:$CV$13,1,BJ95))/12,IF(BJ95=1,IF(BJ96&gt;=INDEX('Lease Cycles'!$DK$13:$DQ$13,1,BJ95),IF(BJ$6&gt;='Lease Cycles'!$AZ$13,'Lease Cycles'!$C$13*'Lease Cycles'!$BA$13/12,IF(BJ$6&gt;='Lease Cycles'!$AX$13,'Lease Cycles'!$C$13*'Lease Cycles'!$AY$13/12,IF(BJ$6&gt;='Lease Cycles'!$AV$13,'Lease Cycles'!$C$13*'Lease Cycles'!$AW$13/12,IF(BJ$6&gt;='Lease Cycles'!$AT$13,'Lease Cycles'!$C$13*'Lease Cycles'!$AU$13/12,'Lease Cycles'!$C$13*INDEX('Lease Cycles'!$CB$13:$CH$13,1,BJ95)*(1+INDEX('Lease Cycles'!$CI$13:$CO$13,1,BJ95))^INT(INT(BJ96/12)/INDEX('Lease Cycles'!$CP$13:$CV$13,1,BJ95))/12)))),'Lease Cycles'!$C$13*INDEX('Lease Cycles'!$CB$13:$CH$13,1,BJ95)*(1+INDEX('Lease Cycles'!$CI$13:$CO$13,1,BJ95))^INT(INT(BJ96/12)/INDEX('Lease Cycles'!$CP$13:$CV$13,1,BJ95))/12),IF(INDEX('Lease Cycles'!$EF$13:$EL$13,1,BJ95)=1,IF(AND('Lease Cycles'!$AZ$13&gt;=INDEX('Lease Cycles'!$BG$13:$BM$13,1,BJ95),'Lease Cycles'!$AZ$13&lt;=BJ$6),'Lease Cycles'!$C$13*'Lease Cycles'!$BA$13/12,IF(AND('Lease Cycles'!$AX$13&gt;=INDEX('Lease Cycles'!$BG$13:$BM$13,1,BJ95),'Lease Cycles'!$AX$13&lt;=BJ$6),'Lease Cycles'!$C$13*'Lease Cycles'!$AY$13/12,IF(AND('Lease Cycles'!$AV$13&gt;=INDEX('Lease Cycles'!$BG$13:$BM$13,1,BJ95),'Lease Cycles'!$AV$13&lt;=BJ$6),'Lease Cycles'!$C$13*'Lease Cycles'!$AW$13/12,IF(AND('Lease Cycles'!$AT$13&gt;=INDEX('Lease Cycles'!$BG$13:$BM$13,1,BJ95),'Lease Cycles'!$AT$13&lt;=BJ$6),'Lease Cycles'!$C$13*'Lease Cycles'!$AU$13/12,'Lease Cycles'!$C$13*INDEX('Lease Cycles'!$CB$13:$CH$13,1,BJ95)*(1+INDEX('Lease Cycles'!$CI$13:$CO$13,1,BJ95))^INT(INT(BJ96/12)/INDEX('Lease Cycles'!$CP$13:$CV$13,1,BJ95))/12)))),'Lease Cycles'!$C$13*INDEX('Lease Cycles'!$CB$13:$CH$13,1,BJ95)*(1+INDEX('Lease Cycles'!$CI$13:$CO$13,1,BJ95))^INT(INT(BJ96/12)/INDEX('Lease Cycles'!$CP$13:$CV$13,1,BJ95))/12))),IF('Lease Cycles'!$N$13=1,'Lease Cycles'!$C$13*'Lease Cycles'!$E$13*INDEX('Lease Cycles'!$HE$13:$HK$13,1,BJ95)*(1+INDEX('Lease Cycles'!$GQ$13:$GW$13,1,BJ95))^INT(INT((BJ$6-INDEX('Lease Cycles'!$GJ$13:$GP$13,1,BJ95))/12)/INDEX('Lease Cycles'!$GX$13:$HD$13,1,BJ95))/12,0)))</f>
        <v>3900</v>
      </c>
      <c r="BK98" s="28">
        <f>IF(BK95=0,IF('Lease Cycles'!$F$13&gt;0,'Lease Cycles'!$C$13*'Lease Cycles'!$E$13/12,0),IF(BK97=1,IF('Lease Cycles'!$AT$13&gt;=9999,'Lease Cycles'!$C$13*INDEX('Lease Cycles'!$CB$13:$CH$13,1,BK95)*(1+INDEX('Lease Cycles'!$CI$13:$CO$13,1,BK95))^INT(INT(BK96/12)/INDEX('Lease Cycles'!$CP$13:$CV$13,1,BK95))/12,IF(BK95=1,IF(BK96&gt;=INDEX('Lease Cycles'!$DK$13:$DQ$13,1,BK95),IF(BK$6&gt;='Lease Cycles'!$AZ$13,'Lease Cycles'!$C$13*'Lease Cycles'!$BA$13/12,IF(BK$6&gt;='Lease Cycles'!$AX$13,'Lease Cycles'!$C$13*'Lease Cycles'!$AY$13/12,IF(BK$6&gt;='Lease Cycles'!$AV$13,'Lease Cycles'!$C$13*'Lease Cycles'!$AW$13/12,IF(BK$6&gt;='Lease Cycles'!$AT$13,'Lease Cycles'!$C$13*'Lease Cycles'!$AU$13/12,'Lease Cycles'!$C$13*INDEX('Lease Cycles'!$CB$13:$CH$13,1,BK95)*(1+INDEX('Lease Cycles'!$CI$13:$CO$13,1,BK95))^INT(INT(BK96/12)/INDEX('Lease Cycles'!$CP$13:$CV$13,1,BK95))/12)))),'Lease Cycles'!$C$13*INDEX('Lease Cycles'!$CB$13:$CH$13,1,BK95)*(1+INDEX('Lease Cycles'!$CI$13:$CO$13,1,BK95))^INT(INT(BK96/12)/INDEX('Lease Cycles'!$CP$13:$CV$13,1,BK95))/12),IF(INDEX('Lease Cycles'!$EF$13:$EL$13,1,BK95)=1,IF(AND('Lease Cycles'!$AZ$13&gt;=INDEX('Lease Cycles'!$BG$13:$BM$13,1,BK95),'Lease Cycles'!$AZ$13&lt;=BK$6),'Lease Cycles'!$C$13*'Lease Cycles'!$BA$13/12,IF(AND('Lease Cycles'!$AX$13&gt;=INDEX('Lease Cycles'!$BG$13:$BM$13,1,BK95),'Lease Cycles'!$AX$13&lt;=BK$6),'Lease Cycles'!$C$13*'Lease Cycles'!$AY$13/12,IF(AND('Lease Cycles'!$AV$13&gt;=INDEX('Lease Cycles'!$BG$13:$BM$13,1,BK95),'Lease Cycles'!$AV$13&lt;=BK$6),'Lease Cycles'!$C$13*'Lease Cycles'!$AW$13/12,IF(AND('Lease Cycles'!$AT$13&gt;=INDEX('Lease Cycles'!$BG$13:$BM$13,1,BK95),'Lease Cycles'!$AT$13&lt;=BK$6),'Lease Cycles'!$C$13*'Lease Cycles'!$AU$13/12,'Lease Cycles'!$C$13*INDEX('Lease Cycles'!$CB$13:$CH$13,1,BK95)*(1+INDEX('Lease Cycles'!$CI$13:$CO$13,1,BK95))^INT(INT(BK96/12)/INDEX('Lease Cycles'!$CP$13:$CV$13,1,BK95))/12)))),'Lease Cycles'!$C$13*INDEX('Lease Cycles'!$CB$13:$CH$13,1,BK95)*(1+INDEX('Lease Cycles'!$CI$13:$CO$13,1,BK95))^INT(INT(BK96/12)/INDEX('Lease Cycles'!$CP$13:$CV$13,1,BK95))/12))),IF('Lease Cycles'!$N$13=1,'Lease Cycles'!$C$13*'Lease Cycles'!$E$13*INDEX('Lease Cycles'!$HE$13:$HK$13,1,BK95)*(1+INDEX('Lease Cycles'!$GQ$13:$GW$13,1,BK95))^INT(INT((BK$6-INDEX('Lease Cycles'!$GJ$13:$GP$13,1,BK95))/12)/INDEX('Lease Cycles'!$GX$13:$HD$13,1,BK95))/12,0)))</f>
        <v>4346.447427158879</v>
      </c>
      <c r="BL98" s="28">
        <f>IF(BL95=0,IF('Lease Cycles'!$F$13&gt;0,'Lease Cycles'!$C$13*'Lease Cycles'!$E$13/12,0),IF(BL97=1,IF('Lease Cycles'!$AT$13&gt;=9999,'Lease Cycles'!$C$13*INDEX('Lease Cycles'!$CB$13:$CH$13,1,BL95)*(1+INDEX('Lease Cycles'!$CI$13:$CO$13,1,BL95))^INT(INT(BL96/12)/INDEX('Lease Cycles'!$CP$13:$CV$13,1,BL95))/12,IF(BL95=1,IF(BL96&gt;=INDEX('Lease Cycles'!$DK$13:$DQ$13,1,BL95),IF(BL$6&gt;='Lease Cycles'!$AZ$13,'Lease Cycles'!$C$13*'Lease Cycles'!$BA$13/12,IF(BL$6&gt;='Lease Cycles'!$AX$13,'Lease Cycles'!$C$13*'Lease Cycles'!$AY$13/12,IF(BL$6&gt;='Lease Cycles'!$AV$13,'Lease Cycles'!$C$13*'Lease Cycles'!$AW$13/12,IF(BL$6&gt;='Lease Cycles'!$AT$13,'Lease Cycles'!$C$13*'Lease Cycles'!$AU$13/12,'Lease Cycles'!$C$13*INDEX('Lease Cycles'!$CB$13:$CH$13,1,BL95)*(1+INDEX('Lease Cycles'!$CI$13:$CO$13,1,BL95))^INT(INT(BL96/12)/INDEX('Lease Cycles'!$CP$13:$CV$13,1,BL95))/12)))),'Lease Cycles'!$C$13*INDEX('Lease Cycles'!$CB$13:$CH$13,1,BL95)*(1+INDEX('Lease Cycles'!$CI$13:$CO$13,1,BL95))^INT(INT(BL96/12)/INDEX('Lease Cycles'!$CP$13:$CV$13,1,BL95))/12),IF(INDEX('Lease Cycles'!$EF$13:$EL$13,1,BL95)=1,IF(AND('Lease Cycles'!$AZ$13&gt;=INDEX('Lease Cycles'!$BG$13:$BM$13,1,BL95),'Lease Cycles'!$AZ$13&lt;=BL$6),'Lease Cycles'!$C$13*'Lease Cycles'!$BA$13/12,IF(AND('Lease Cycles'!$AX$13&gt;=INDEX('Lease Cycles'!$BG$13:$BM$13,1,BL95),'Lease Cycles'!$AX$13&lt;=BL$6),'Lease Cycles'!$C$13*'Lease Cycles'!$AY$13/12,IF(AND('Lease Cycles'!$AV$13&gt;=INDEX('Lease Cycles'!$BG$13:$BM$13,1,BL95),'Lease Cycles'!$AV$13&lt;=BL$6),'Lease Cycles'!$C$13*'Lease Cycles'!$AW$13/12,IF(AND('Lease Cycles'!$AT$13&gt;=INDEX('Lease Cycles'!$BG$13:$BM$13,1,BL95),'Lease Cycles'!$AT$13&lt;=BL$6),'Lease Cycles'!$C$13*'Lease Cycles'!$AU$13/12,'Lease Cycles'!$C$13*INDEX('Lease Cycles'!$CB$13:$CH$13,1,BL95)*(1+INDEX('Lease Cycles'!$CI$13:$CO$13,1,BL95))^INT(INT(BL96/12)/INDEX('Lease Cycles'!$CP$13:$CV$13,1,BL95))/12)))),'Lease Cycles'!$C$13*INDEX('Lease Cycles'!$CB$13:$CH$13,1,BL95)*(1+INDEX('Lease Cycles'!$CI$13:$CO$13,1,BL95))^INT(INT(BL96/12)/INDEX('Lease Cycles'!$CP$13:$CV$13,1,BL95))/12))),IF('Lease Cycles'!$N$13=1,'Lease Cycles'!$C$13*'Lease Cycles'!$E$13*INDEX('Lease Cycles'!$HE$13:$HK$13,1,BL95)*(1+INDEX('Lease Cycles'!$GQ$13:$GW$13,1,BL95))^INT(INT((BL$6-INDEX('Lease Cycles'!$GJ$13:$GP$13,1,BL95))/12)/INDEX('Lease Cycles'!$GX$13:$HD$13,1,BL95))/12,0)))</f>
        <v>3100.291860488833</v>
      </c>
      <c r="BM98" s="28">
        <f>IF(BM95=0,IF('Lease Cycles'!$F$13&gt;0,'Lease Cycles'!$C$13*'Lease Cycles'!$E$13/12,0),IF(BM97=1,IF('Lease Cycles'!$AT$13&gt;=9999,'Lease Cycles'!$C$13*INDEX('Lease Cycles'!$CB$13:$CH$13,1,BM95)*(1+INDEX('Lease Cycles'!$CI$13:$CO$13,1,BM95))^INT(INT(BM96/12)/INDEX('Lease Cycles'!$CP$13:$CV$13,1,BM95))/12,IF(BM95=1,IF(BM96&gt;=INDEX('Lease Cycles'!$DK$13:$DQ$13,1,BM95),IF(BM$6&gt;='Lease Cycles'!$AZ$13,'Lease Cycles'!$C$13*'Lease Cycles'!$BA$13/12,IF(BM$6&gt;='Lease Cycles'!$AX$13,'Lease Cycles'!$C$13*'Lease Cycles'!$AY$13/12,IF(BM$6&gt;='Lease Cycles'!$AV$13,'Lease Cycles'!$C$13*'Lease Cycles'!$AW$13/12,IF(BM$6&gt;='Lease Cycles'!$AT$13,'Lease Cycles'!$C$13*'Lease Cycles'!$AU$13/12,'Lease Cycles'!$C$13*INDEX('Lease Cycles'!$CB$13:$CH$13,1,BM95)*(1+INDEX('Lease Cycles'!$CI$13:$CO$13,1,BM95))^INT(INT(BM96/12)/INDEX('Lease Cycles'!$CP$13:$CV$13,1,BM95))/12)))),'Lease Cycles'!$C$13*INDEX('Lease Cycles'!$CB$13:$CH$13,1,BM95)*(1+INDEX('Lease Cycles'!$CI$13:$CO$13,1,BM95))^INT(INT(BM96/12)/INDEX('Lease Cycles'!$CP$13:$CV$13,1,BM95))/12),IF(INDEX('Lease Cycles'!$EF$13:$EL$13,1,BM95)=1,IF(AND('Lease Cycles'!$AZ$13&gt;=INDEX('Lease Cycles'!$BG$13:$BM$13,1,BM95),'Lease Cycles'!$AZ$13&lt;=BM$6),'Lease Cycles'!$C$13*'Lease Cycles'!$BA$13/12,IF(AND('Lease Cycles'!$AX$13&gt;=INDEX('Lease Cycles'!$BG$13:$BM$13,1,BM95),'Lease Cycles'!$AX$13&lt;=BM$6),'Lease Cycles'!$C$13*'Lease Cycles'!$AY$13/12,IF(AND('Lease Cycles'!$AV$13&gt;=INDEX('Lease Cycles'!$BG$13:$BM$13,1,BM95),'Lease Cycles'!$AV$13&lt;=BM$6),'Lease Cycles'!$C$13*'Lease Cycles'!$AW$13/12,IF(AND('Lease Cycles'!$AT$13&gt;=INDEX('Lease Cycles'!$BG$13:$BM$13,1,BM95),'Lease Cycles'!$AT$13&lt;=BM$6),'Lease Cycles'!$C$13*'Lease Cycles'!$AU$13/12,'Lease Cycles'!$C$13*INDEX('Lease Cycles'!$CB$13:$CH$13,1,BM95)*(1+INDEX('Lease Cycles'!$CI$13:$CO$13,1,BM95))^INT(INT(BM96/12)/INDEX('Lease Cycles'!$CP$13:$CV$13,1,BM95))/12)))),'Lease Cycles'!$C$13*INDEX('Lease Cycles'!$CB$13:$CH$13,1,BM95)*(1+INDEX('Lease Cycles'!$CI$13:$CO$13,1,BM95))^INT(INT(BM96/12)/INDEX('Lease Cycles'!$CP$13:$CV$13,1,BM95))/12))),IF('Lease Cycles'!$N$13=1,'Lease Cycles'!$C$13*'Lease Cycles'!$E$13*INDEX('Lease Cycles'!$HE$13:$HK$13,1,BM95)*(1+INDEX('Lease Cycles'!$GQ$13:$GW$13,1,BM95))^INT(INT((BM$6-INDEX('Lease Cycles'!$GJ$13:$GP$13,1,BM95))/12)/INDEX('Lease Cycles'!$GX$13:$HD$13,1,BM95))/12,0)))</f>
        <v>3100.291860488833</v>
      </c>
      <c r="BN98" s="28">
        <f>IF(BN95=0,IF('Lease Cycles'!$F$13&gt;0,'Lease Cycles'!$C$13*'Lease Cycles'!$E$13/12,0),IF(BN97=1,IF('Lease Cycles'!$AT$13&gt;=9999,'Lease Cycles'!$C$13*INDEX('Lease Cycles'!$CB$13:$CH$13,1,BN95)*(1+INDEX('Lease Cycles'!$CI$13:$CO$13,1,BN95))^INT(INT(BN96/12)/INDEX('Lease Cycles'!$CP$13:$CV$13,1,BN95))/12,IF(BN95=1,IF(BN96&gt;=INDEX('Lease Cycles'!$DK$13:$DQ$13,1,BN95),IF(BN$6&gt;='Lease Cycles'!$AZ$13,'Lease Cycles'!$C$13*'Lease Cycles'!$BA$13/12,IF(BN$6&gt;='Lease Cycles'!$AX$13,'Lease Cycles'!$C$13*'Lease Cycles'!$AY$13/12,IF(BN$6&gt;='Lease Cycles'!$AV$13,'Lease Cycles'!$C$13*'Lease Cycles'!$AW$13/12,IF(BN$6&gt;='Lease Cycles'!$AT$13,'Lease Cycles'!$C$13*'Lease Cycles'!$AU$13/12,'Lease Cycles'!$C$13*INDEX('Lease Cycles'!$CB$13:$CH$13,1,BN95)*(1+INDEX('Lease Cycles'!$CI$13:$CO$13,1,BN95))^INT(INT(BN96/12)/INDEX('Lease Cycles'!$CP$13:$CV$13,1,BN95))/12)))),'Lease Cycles'!$C$13*INDEX('Lease Cycles'!$CB$13:$CH$13,1,BN95)*(1+INDEX('Lease Cycles'!$CI$13:$CO$13,1,BN95))^INT(INT(BN96/12)/INDEX('Lease Cycles'!$CP$13:$CV$13,1,BN95))/12),IF(INDEX('Lease Cycles'!$EF$13:$EL$13,1,BN95)=1,IF(AND('Lease Cycles'!$AZ$13&gt;=INDEX('Lease Cycles'!$BG$13:$BM$13,1,BN95),'Lease Cycles'!$AZ$13&lt;=BN$6),'Lease Cycles'!$C$13*'Lease Cycles'!$BA$13/12,IF(AND('Lease Cycles'!$AX$13&gt;=INDEX('Lease Cycles'!$BG$13:$BM$13,1,BN95),'Lease Cycles'!$AX$13&lt;=BN$6),'Lease Cycles'!$C$13*'Lease Cycles'!$AY$13/12,IF(AND('Lease Cycles'!$AV$13&gt;=INDEX('Lease Cycles'!$BG$13:$BM$13,1,BN95),'Lease Cycles'!$AV$13&lt;=BN$6),'Lease Cycles'!$C$13*'Lease Cycles'!$AW$13/12,IF(AND('Lease Cycles'!$AT$13&gt;=INDEX('Lease Cycles'!$BG$13:$BM$13,1,BN95),'Lease Cycles'!$AT$13&lt;=BN$6),'Lease Cycles'!$C$13*'Lease Cycles'!$AU$13/12,'Lease Cycles'!$C$13*INDEX('Lease Cycles'!$CB$13:$CH$13,1,BN95)*(1+INDEX('Lease Cycles'!$CI$13:$CO$13,1,BN95))^INT(INT(BN96/12)/INDEX('Lease Cycles'!$CP$13:$CV$13,1,BN95))/12)))),'Lease Cycles'!$C$13*INDEX('Lease Cycles'!$CB$13:$CH$13,1,BN95)*(1+INDEX('Lease Cycles'!$CI$13:$CO$13,1,BN95))^INT(INT(BN96/12)/INDEX('Lease Cycles'!$CP$13:$CV$13,1,BN95))/12))),IF('Lease Cycles'!$N$13=1,'Lease Cycles'!$C$13*'Lease Cycles'!$E$13*INDEX('Lease Cycles'!$HE$13:$HK$13,1,BN95)*(1+INDEX('Lease Cycles'!$GQ$13:$GW$13,1,BN95))^INT(INT((BN$6-INDEX('Lease Cycles'!$GJ$13:$GP$13,1,BN95))/12)/INDEX('Lease Cycles'!$GX$13:$HD$13,1,BN95))/12,0)))</f>
        <v>3100.291860488833</v>
      </c>
      <c r="BO98" s="28">
        <f>IF(BO95=0,IF('Lease Cycles'!$F$13&gt;0,'Lease Cycles'!$C$13*'Lease Cycles'!$E$13/12,0),IF(BO97=1,IF('Lease Cycles'!$AT$13&gt;=9999,'Lease Cycles'!$C$13*INDEX('Lease Cycles'!$CB$13:$CH$13,1,BO95)*(1+INDEX('Lease Cycles'!$CI$13:$CO$13,1,BO95))^INT(INT(BO96/12)/INDEX('Lease Cycles'!$CP$13:$CV$13,1,BO95))/12,IF(BO95=1,IF(BO96&gt;=INDEX('Lease Cycles'!$DK$13:$DQ$13,1,BO95),IF(BO$6&gt;='Lease Cycles'!$AZ$13,'Lease Cycles'!$C$13*'Lease Cycles'!$BA$13/12,IF(BO$6&gt;='Lease Cycles'!$AX$13,'Lease Cycles'!$C$13*'Lease Cycles'!$AY$13/12,IF(BO$6&gt;='Lease Cycles'!$AV$13,'Lease Cycles'!$C$13*'Lease Cycles'!$AW$13/12,IF(BO$6&gt;='Lease Cycles'!$AT$13,'Lease Cycles'!$C$13*'Lease Cycles'!$AU$13/12,'Lease Cycles'!$C$13*INDEX('Lease Cycles'!$CB$13:$CH$13,1,BO95)*(1+INDEX('Lease Cycles'!$CI$13:$CO$13,1,BO95))^INT(INT(BO96/12)/INDEX('Lease Cycles'!$CP$13:$CV$13,1,BO95))/12)))),'Lease Cycles'!$C$13*INDEX('Lease Cycles'!$CB$13:$CH$13,1,BO95)*(1+INDEX('Lease Cycles'!$CI$13:$CO$13,1,BO95))^INT(INT(BO96/12)/INDEX('Lease Cycles'!$CP$13:$CV$13,1,BO95))/12),IF(INDEX('Lease Cycles'!$EF$13:$EL$13,1,BO95)=1,IF(AND('Lease Cycles'!$AZ$13&gt;=INDEX('Lease Cycles'!$BG$13:$BM$13,1,BO95),'Lease Cycles'!$AZ$13&lt;=BO$6),'Lease Cycles'!$C$13*'Lease Cycles'!$BA$13/12,IF(AND('Lease Cycles'!$AX$13&gt;=INDEX('Lease Cycles'!$BG$13:$BM$13,1,BO95),'Lease Cycles'!$AX$13&lt;=BO$6),'Lease Cycles'!$C$13*'Lease Cycles'!$AY$13/12,IF(AND('Lease Cycles'!$AV$13&gt;=INDEX('Lease Cycles'!$BG$13:$BM$13,1,BO95),'Lease Cycles'!$AV$13&lt;=BO$6),'Lease Cycles'!$C$13*'Lease Cycles'!$AW$13/12,IF(AND('Lease Cycles'!$AT$13&gt;=INDEX('Lease Cycles'!$BG$13:$BM$13,1,BO95),'Lease Cycles'!$AT$13&lt;=BO$6),'Lease Cycles'!$C$13*'Lease Cycles'!$AU$13/12,'Lease Cycles'!$C$13*INDEX('Lease Cycles'!$CB$13:$CH$13,1,BO95)*(1+INDEX('Lease Cycles'!$CI$13:$CO$13,1,BO95))^INT(INT(BO96/12)/INDEX('Lease Cycles'!$CP$13:$CV$13,1,BO95))/12)))),'Lease Cycles'!$C$13*INDEX('Lease Cycles'!$CB$13:$CH$13,1,BO95)*(1+INDEX('Lease Cycles'!$CI$13:$CO$13,1,BO95))^INT(INT(BO96/12)/INDEX('Lease Cycles'!$CP$13:$CV$13,1,BO95))/12))),IF('Lease Cycles'!$N$13=1,'Lease Cycles'!$C$13*'Lease Cycles'!$E$13*INDEX('Lease Cycles'!$HE$13:$HK$13,1,BO95)*(1+INDEX('Lease Cycles'!$GQ$13:$GW$13,1,BO95))^INT(INT((BO$6-INDEX('Lease Cycles'!$GJ$13:$GP$13,1,BO95))/12)/INDEX('Lease Cycles'!$GX$13:$HD$13,1,BO95))/12,0)))</f>
        <v>3100.291860488833</v>
      </c>
      <c r="BP98" s="28">
        <f>IF(BP95=0,IF('Lease Cycles'!$F$13&gt;0,'Lease Cycles'!$C$13*'Lease Cycles'!$E$13/12,0),IF(BP97=1,IF('Lease Cycles'!$AT$13&gt;=9999,'Lease Cycles'!$C$13*INDEX('Lease Cycles'!$CB$13:$CH$13,1,BP95)*(1+INDEX('Lease Cycles'!$CI$13:$CO$13,1,BP95))^INT(INT(BP96/12)/INDEX('Lease Cycles'!$CP$13:$CV$13,1,BP95))/12,IF(BP95=1,IF(BP96&gt;=INDEX('Lease Cycles'!$DK$13:$DQ$13,1,BP95),IF(BP$6&gt;='Lease Cycles'!$AZ$13,'Lease Cycles'!$C$13*'Lease Cycles'!$BA$13/12,IF(BP$6&gt;='Lease Cycles'!$AX$13,'Lease Cycles'!$C$13*'Lease Cycles'!$AY$13/12,IF(BP$6&gt;='Lease Cycles'!$AV$13,'Lease Cycles'!$C$13*'Lease Cycles'!$AW$13/12,IF(BP$6&gt;='Lease Cycles'!$AT$13,'Lease Cycles'!$C$13*'Lease Cycles'!$AU$13/12,'Lease Cycles'!$C$13*INDEX('Lease Cycles'!$CB$13:$CH$13,1,BP95)*(1+INDEX('Lease Cycles'!$CI$13:$CO$13,1,BP95))^INT(INT(BP96/12)/INDEX('Lease Cycles'!$CP$13:$CV$13,1,BP95))/12)))),'Lease Cycles'!$C$13*INDEX('Lease Cycles'!$CB$13:$CH$13,1,BP95)*(1+INDEX('Lease Cycles'!$CI$13:$CO$13,1,BP95))^INT(INT(BP96/12)/INDEX('Lease Cycles'!$CP$13:$CV$13,1,BP95))/12),IF(INDEX('Lease Cycles'!$EF$13:$EL$13,1,BP95)=1,IF(AND('Lease Cycles'!$AZ$13&gt;=INDEX('Lease Cycles'!$BG$13:$BM$13,1,BP95),'Lease Cycles'!$AZ$13&lt;=BP$6),'Lease Cycles'!$C$13*'Lease Cycles'!$BA$13/12,IF(AND('Lease Cycles'!$AX$13&gt;=INDEX('Lease Cycles'!$BG$13:$BM$13,1,BP95),'Lease Cycles'!$AX$13&lt;=BP$6),'Lease Cycles'!$C$13*'Lease Cycles'!$AY$13/12,IF(AND('Lease Cycles'!$AV$13&gt;=INDEX('Lease Cycles'!$BG$13:$BM$13,1,BP95),'Lease Cycles'!$AV$13&lt;=BP$6),'Lease Cycles'!$C$13*'Lease Cycles'!$AW$13/12,IF(AND('Lease Cycles'!$AT$13&gt;=INDEX('Lease Cycles'!$BG$13:$BM$13,1,BP95),'Lease Cycles'!$AT$13&lt;=BP$6),'Lease Cycles'!$C$13*'Lease Cycles'!$AU$13/12,'Lease Cycles'!$C$13*INDEX('Lease Cycles'!$CB$13:$CH$13,1,BP95)*(1+INDEX('Lease Cycles'!$CI$13:$CO$13,1,BP95))^INT(INT(BP96/12)/INDEX('Lease Cycles'!$CP$13:$CV$13,1,BP95))/12)))),'Lease Cycles'!$C$13*INDEX('Lease Cycles'!$CB$13:$CH$13,1,BP95)*(1+INDEX('Lease Cycles'!$CI$13:$CO$13,1,BP95))^INT(INT(BP96/12)/INDEX('Lease Cycles'!$CP$13:$CV$13,1,BP95))/12))),IF('Lease Cycles'!$N$13=1,'Lease Cycles'!$C$13*'Lease Cycles'!$E$13*INDEX('Lease Cycles'!$HE$13:$HK$13,1,BP95)*(1+INDEX('Lease Cycles'!$GQ$13:$GW$13,1,BP95))^INT(INT((BP$6-INDEX('Lease Cycles'!$GJ$13:$GP$13,1,BP95))/12)/INDEX('Lease Cycles'!$GX$13:$HD$13,1,BP95))/12,0)))</f>
        <v>3100.291860488833</v>
      </c>
      <c r="BQ98" s="28">
        <f>IF(BQ95=0,IF('Lease Cycles'!$F$13&gt;0,'Lease Cycles'!$C$13*'Lease Cycles'!$E$13/12,0),IF(BQ97=1,IF('Lease Cycles'!$AT$13&gt;=9999,'Lease Cycles'!$C$13*INDEX('Lease Cycles'!$CB$13:$CH$13,1,BQ95)*(1+INDEX('Lease Cycles'!$CI$13:$CO$13,1,BQ95))^INT(INT(BQ96/12)/INDEX('Lease Cycles'!$CP$13:$CV$13,1,BQ95))/12,IF(BQ95=1,IF(BQ96&gt;=INDEX('Lease Cycles'!$DK$13:$DQ$13,1,BQ95),IF(BQ$6&gt;='Lease Cycles'!$AZ$13,'Lease Cycles'!$C$13*'Lease Cycles'!$BA$13/12,IF(BQ$6&gt;='Lease Cycles'!$AX$13,'Lease Cycles'!$C$13*'Lease Cycles'!$AY$13/12,IF(BQ$6&gt;='Lease Cycles'!$AV$13,'Lease Cycles'!$C$13*'Lease Cycles'!$AW$13/12,IF(BQ$6&gt;='Lease Cycles'!$AT$13,'Lease Cycles'!$C$13*'Lease Cycles'!$AU$13/12,'Lease Cycles'!$C$13*INDEX('Lease Cycles'!$CB$13:$CH$13,1,BQ95)*(1+INDEX('Lease Cycles'!$CI$13:$CO$13,1,BQ95))^INT(INT(BQ96/12)/INDEX('Lease Cycles'!$CP$13:$CV$13,1,BQ95))/12)))),'Lease Cycles'!$C$13*INDEX('Lease Cycles'!$CB$13:$CH$13,1,BQ95)*(1+INDEX('Lease Cycles'!$CI$13:$CO$13,1,BQ95))^INT(INT(BQ96/12)/INDEX('Lease Cycles'!$CP$13:$CV$13,1,BQ95))/12),IF(INDEX('Lease Cycles'!$EF$13:$EL$13,1,BQ95)=1,IF(AND('Lease Cycles'!$AZ$13&gt;=INDEX('Lease Cycles'!$BG$13:$BM$13,1,BQ95),'Lease Cycles'!$AZ$13&lt;=BQ$6),'Lease Cycles'!$C$13*'Lease Cycles'!$BA$13/12,IF(AND('Lease Cycles'!$AX$13&gt;=INDEX('Lease Cycles'!$BG$13:$BM$13,1,BQ95),'Lease Cycles'!$AX$13&lt;=BQ$6),'Lease Cycles'!$C$13*'Lease Cycles'!$AY$13/12,IF(AND('Lease Cycles'!$AV$13&gt;=INDEX('Lease Cycles'!$BG$13:$BM$13,1,BQ95),'Lease Cycles'!$AV$13&lt;=BQ$6),'Lease Cycles'!$C$13*'Lease Cycles'!$AW$13/12,IF(AND('Lease Cycles'!$AT$13&gt;=INDEX('Lease Cycles'!$BG$13:$BM$13,1,BQ95),'Lease Cycles'!$AT$13&lt;=BQ$6),'Lease Cycles'!$C$13*'Lease Cycles'!$AU$13/12,'Lease Cycles'!$C$13*INDEX('Lease Cycles'!$CB$13:$CH$13,1,BQ95)*(1+INDEX('Lease Cycles'!$CI$13:$CO$13,1,BQ95))^INT(INT(BQ96/12)/INDEX('Lease Cycles'!$CP$13:$CV$13,1,BQ95))/12)))),'Lease Cycles'!$C$13*INDEX('Lease Cycles'!$CB$13:$CH$13,1,BQ95)*(1+INDEX('Lease Cycles'!$CI$13:$CO$13,1,BQ95))^INT(INT(BQ96/12)/INDEX('Lease Cycles'!$CP$13:$CV$13,1,BQ95))/12))),IF('Lease Cycles'!$N$13=1,'Lease Cycles'!$C$13*'Lease Cycles'!$E$13*INDEX('Lease Cycles'!$HE$13:$HK$13,1,BQ95)*(1+INDEX('Lease Cycles'!$GQ$13:$GW$13,1,BQ95))^INT(INT((BQ$6-INDEX('Lease Cycles'!$GJ$13:$GP$13,1,BQ95))/12)/INDEX('Lease Cycles'!$GX$13:$HD$13,1,BQ95))/12,0)))</f>
        <v>3100.291860488833</v>
      </c>
      <c r="BR98" s="28">
        <f>IF(BR95=0,IF('Lease Cycles'!$F$13&gt;0,'Lease Cycles'!$C$13*'Lease Cycles'!$E$13/12,0),IF(BR97=1,IF('Lease Cycles'!$AT$13&gt;=9999,'Lease Cycles'!$C$13*INDEX('Lease Cycles'!$CB$13:$CH$13,1,BR95)*(1+INDEX('Lease Cycles'!$CI$13:$CO$13,1,BR95))^INT(INT(BR96/12)/INDEX('Lease Cycles'!$CP$13:$CV$13,1,BR95))/12,IF(BR95=1,IF(BR96&gt;=INDEX('Lease Cycles'!$DK$13:$DQ$13,1,BR95),IF(BR$6&gt;='Lease Cycles'!$AZ$13,'Lease Cycles'!$C$13*'Lease Cycles'!$BA$13/12,IF(BR$6&gt;='Lease Cycles'!$AX$13,'Lease Cycles'!$C$13*'Lease Cycles'!$AY$13/12,IF(BR$6&gt;='Lease Cycles'!$AV$13,'Lease Cycles'!$C$13*'Lease Cycles'!$AW$13/12,IF(BR$6&gt;='Lease Cycles'!$AT$13,'Lease Cycles'!$C$13*'Lease Cycles'!$AU$13/12,'Lease Cycles'!$C$13*INDEX('Lease Cycles'!$CB$13:$CH$13,1,BR95)*(1+INDEX('Lease Cycles'!$CI$13:$CO$13,1,BR95))^INT(INT(BR96/12)/INDEX('Lease Cycles'!$CP$13:$CV$13,1,BR95))/12)))),'Lease Cycles'!$C$13*INDEX('Lease Cycles'!$CB$13:$CH$13,1,BR95)*(1+INDEX('Lease Cycles'!$CI$13:$CO$13,1,BR95))^INT(INT(BR96/12)/INDEX('Lease Cycles'!$CP$13:$CV$13,1,BR95))/12),IF(INDEX('Lease Cycles'!$EF$13:$EL$13,1,BR95)=1,IF(AND('Lease Cycles'!$AZ$13&gt;=INDEX('Lease Cycles'!$BG$13:$BM$13,1,BR95),'Lease Cycles'!$AZ$13&lt;=BR$6),'Lease Cycles'!$C$13*'Lease Cycles'!$BA$13/12,IF(AND('Lease Cycles'!$AX$13&gt;=INDEX('Lease Cycles'!$BG$13:$BM$13,1,BR95),'Lease Cycles'!$AX$13&lt;=BR$6),'Lease Cycles'!$C$13*'Lease Cycles'!$AY$13/12,IF(AND('Lease Cycles'!$AV$13&gt;=INDEX('Lease Cycles'!$BG$13:$BM$13,1,BR95),'Lease Cycles'!$AV$13&lt;=BR$6),'Lease Cycles'!$C$13*'Lease Cycles'!$AW$13/12,IF(AND('Lease Cycles'!$AT$13&gt;=INDEX('Lease Cycles'!$BG$13:$BM$13,1,BR95),'Lease Cycles'!$AT$13&lt;=BR$6),'Lease Cycles'!$C$13*'Lease Cycles'!$AU$13/12,'Lease Cycles'!$C$13*INDEX('Lease Cycles'!$CB$13:$CH$13,1,BR95)*(1+INDEX('Lease Cycles'!$CI$13:$CO$13,1,BR95))^INT(INT(BR96/12)/INDEX('Lease Cycles'!$CP$13:$CV$13,1,BR95))/12)))),'Lease Cycles'!$C$13*INDEX('Lease Cycles'!$CB$13:$CH$13,1,BR95)*(1+INDEX('Lease Cycles'!$CI$13:$CO$13,1,BR95))^INT(INT(BR96/12)/INDEX('Lease Cycles'!$CP$13:$CV$13,1,BR95))/12))),IF('Lease Cycles'!$N$13=1,'Lease Cycles'!$C$13*'Lease Cycles'!$E$13*INDEX('Lease Cycles'!$HE$13:$HK$13,1,BR95)*(1+INDEX('Lease Cycles'!$GQ$13:$GW$13,1,BR95))^INT(INT((BR$6-INDEX('Lease Cycles'!$GJ$13:$GP$13,1,BR95))/12)/INDEX('Lease Cycles'!$GX$13:$HD$13,1,BR95))/12,0)))</f>
        <v>3100.291860488833</v>
      </c>
      <c r="BS98" s="28">
        <f>IF(BS95=0,IF('Lease Cycles'!$F$13&gt;0,'Lease Cycles'!$C$13*'Lease Cycles'!$E$13/12,0),IF(BS97=1,IF('Lease Cycles'!$AT$13&gt;=9999,'Lease Cycles'!$C$13*INDEX('Lease Cycles'!$CB$13:$CH$13,1,BS95)*(1+INDEX('Lease Cycles'!$CI$13:$CO$13,1,BS95))^INT(INT(BS96/12)/INDEX('Lease Cycles'!$CP$13:$CV$13,1,BS95))/12,IF(BS95=1,IF(BS96&gt;=INDEX('Lease Cycles'!$DK$13:$DQ$13,1,BS95),IF(BS$6&gt;='Lease Cycles'!$AZ$13,'Lease Cycles'!$C$13*'Lease Cycles'!$BA$13/12,IF(BS$6&gt;='Lease Cycles'!$AX$13,'Lease Cycles'!$C$13*'Lease Cycles'!$AY$13/12,IF(BS$6&gt;='Lease Cycles'!$AV$13,'Lease Cycles'!$C$13*'Lease Cycles'!$AW$13/12,IF(BS$6&gt;='Lease Cycles'!$AT$13,'Lease Cycles'!$C$13*'Lease Cycles'!$AU$13/12,'Lease Cycles'!$C$13*INDEX('Lease Cycles'!$CB$13:$CH$13,1,BS95)*(1+INDEX('Lease Cycles'!$CI$13:$CO$13,1,BS95))^INT(INT(BS96/12)/INDEX('Lease Cycles'!$CP$13:$CV$13,1,BS95))/12)))),'Lease Cycles'!$C$13*INDEX('Lease Cycles'!$CB$13:$CH$13,1,BS95)*(1+INDEX('Lease Cycles'!$CI$13:$CO$13,1,BS95))^INT(INT(BS96/12)/INDEX('Lease Cycles'!$CP$13:$CV$13,1,BS95))/12),IF(INDEX('Lease Cycles'!$EF$13:$EL$13,1,BS95)=1,IF(AND('Lease Cycles'!$AZ$13&gt;=INDEX('Lease Cycles'!$BG$13:$BM$13,1,BS95),'Lease Cycles'!$AZ$13&lt;=BS$6),'Lease Cycles'!$C$13*'Lease Cycles'!$BA$13/12,IF(AND('Lease Cycles'!$AX$13&gt;=INDEX('Lease Cycles'!$BG$13:$BM$13,1,BS95),'Lease Cycles'!$AX$13&lt;=BS$6),'Lease Cycles'!$C$13*'Lease Cycles'!$AY$13/12,IF(AND('Lease Cycles'!$AV$13&gt;=INDEX('Lease Cycles'!$BG$13:$BM$13,1,BS95),'Lease Cycles'!$AV$13&lt;=BS$6),'Lease Cycles'!$C$13*'Lease Cycles'!$AW$13/12,IF(AND('Lease Cycles'!$AT$13&gt;=INDEX('Lease Cycles'!$BG$13:$BM$13,1,BS95),'Lease Cycles'!$AT$13&lt;=BS$6),'Lease Cycles'!$C$13*'Lease Cycles'!$AU$13/12,'Lease Cycles'!$C$13*INDEX('Lease Cycles'!$CB$13:$CH$13,1,BS95)*(1+INDEX('Lease Cycles'!$CI$13:$CO$13,1,BS95))^INT(INT(BS96/12)/INDEX('Lease Cycles'!$CP$13:$CV$13,1,BS95))/12)))),'Lease Cycles'!$C$13*INDEX('Lease Cycles'!$CB$13:$CH$13,1,BS95)*(1+INDEX('Lease Cycles'!$CI$13:$CO$13,1,BS95))^INT(INT(BS96/12)/INDEX('Lease Cycles'!$CP$13:$CV$13,1,BS95))/12))),IF('Lease Cycles'!$N$13=1,'Lease Cycles'!$C$13*'Lease Cycles'!$E$13*INDEX('Lease Cycles'!$HE$13:$HK$13,1,BS95)*(1+INDEX('Lease Cycles'!$GQ$13:$GW$13,1,BS95))^INT(INT((BS$6-INDEX('Lease Cycles'!$GJ$13:$GP$13,1,BS95))/12)/INDEX('Lease Cycles'!$GX$13:$HD$13,1,BS95))/12,0)))</f>
        <v>3100.291860488833</v>
      </c>
      <c r="BT98" s="28">
        <f>IF(BT95=0,IF('Lease Cycles'!$F$13&gt;0,'Lease Cycles'!$C$13*'Lease Cycles'!$E$13/12,0),IF(BT97=1,IF('Lease Cycles'!$AT$13&gt;=9999,'Lease Cycles'!$C$13*INDEX('Lease Cycles'!$CB$13:$CH$13,1,BT95)*(1+INDEX('Lease Cycles'!$CI$13:$CO$13,1,BT95))^INT(INT(BT96/12)/INDEX('Lease Cycles'!$CP$13:$CV$13,1,BT95))/12,IF(BT95=1,IF(BT96&gt;=INDEX('Lease Cycles'!$DK$13:$DQ$13,1,BT95),IF(BT$6&gt;='Lease Cycles'!$AZ$13,'Lease Cycles'!$C$13*'Lease Cycles'!$BA$13/12,IF(BT$6&gt;='Lease Cycles'!$AX$13,'Lease Cycles'!$C$13*'Lease Cycles'!$AY$13/12,IF(BT$6&gt;='Lease Cycles'!$AV$13,'Lease Cycles'!$C$13*'Lease Cycles'!$AW$13/12,IF(BT$6&gt;='Lease Cycles'!$AT$13,'Lease Cycles'!$C$13*'Lease Cycles'!$AU$13/12,'Lease Cycles'!$C$13*INDEX('Lease Cycles'!$CB$13:$CH$13,1,BT95)*(1+INDEX('Lease Cycles'!$CI$13:$CO$13,1,BT95))^INT(INT(BT96/12)/INDEX('Lease Cycles'!$CP$13:$CV$13,1,BT95))/12)))),'Lease Cycles'!$C$13*INDEX('Lease Cycles'!$CB$13:$CH$13,1,BT95)*(1+INDEX('Lease Cycles'!$CI$13:$CO$13,1,BT95))^INT(INT(BT96/12)/INDEX('Lease Cycles'!$CP$13:$CV$13,1,BT95))/12),IF(INDEX('Lease Cycles'!$EF$13:$EL$13,1,BT95)=1,IF(AND('Lease Cycles'!$AZ$13&gt;=INDEX('Lease Cycles'!$BG$13:$BM$13,1,BT95),'Lease Cycles'!$AZ$13&lt;=BT$6),'Lease Cycles'!$C$13*'Lease Cycles'!$BA$13/12,IF(AND('Lease Cycles'!$AX$13&gt;=INDEX('Lease Cycles'!$BG$13:$BM$13,1,BT95),'Lease Cycles'!$AX$13&lt;=BT$6),'Lease Cycles'!$C$13*'Lease Cycles'!$AY$13/12,IF(AND('Lease Cycles'!$AV$13&gt;=INDEX('Lease Cycles'!$BG$13:$BM$13,1,BT95),'Lease Cycles'!$AV$13&lt;=BT$6),'Lease Cycles'!$C$13*'Lease Cycles'!$AW$13/12,IF(AND('Lease Cycles'!$AT$13&gt;=INDEX('Lease Cycles'!$BG$13:$BM$13,1,BT95),'Lease Cycles'!$AT$13&lt;=BT$6),'Lease Cycles'!$C$13*'Lease Cycles'!$AU$13/12,'Lease Cycles'!$C$13*INDEX('Lease Cycles'!$CB$13:$CH$13,1,BT95)*(1+INDEX('Lease Cycles'!$CI$13:$CO$13,1,BT95))^INT(INT(BT96/12)/INDEX('Lease Cycles'!$CP$13:$CV$13,1,BT95))/12)))),'Lease Cycles'!$C$13*INDEX('Lease Cycles'!$CB$13:$CH$13,1,BT95)*(1+INDEX('Lease Cycles'!$CI$13:$CO$13,1,BT95))^INT(INT(BT96/12)/INDEX('Lease Cycles'!$CP$13:$CV$13,1,BT95))/12))),IF('Lease Cycles'!$N$13=1,'Lease Cycles'!$C$13*'Lease Cycles'!$E$13*INDEX('Lease Cycles'!$HE$13:$HK$13,1,BT95)*(1+INDEX('Lease Cycles'!$GQ$13:$GW$13,1,BT95))^INT(INT((BT$6-INDEX('Lease Cycles'!$GJ$13:$GP$13,1,BT95))/12)/INDEX('Lease Cycles'!$GX$13:$HD$13,1,BT95))/12,0)))</f>
        <v>3100.291860488833</v>
      </c>
      <c r="BU98" s="28">
        <f>IF(BU95=0,IF('Lease Cycles'!$F$13&gt;0,'Lease Cycles'!$C$13*'Lease Cycles'!$E$13/12,0),IF(BU97=1,IF('Lease Cycles'!$AT$13&gt;=9999,'Lease Cycles'!$C$13*INDEX('Lease Cycles'!$CB$13:$CH$13,1,BU95)*(1+INDEX('Lease Cycles'!$CI$13:$CO$13,1,BU95))^INT(INT(BU96/12)/INDEX('Lease Cycles'!$CP$13:$CV$13,1,BU95))/12,IF(BU95=1,IF(BU96&gt;=INDEX('Lease Cycles'!$DK$13:$DQ$13,1,BU95),IF(BU$6&gt;='Lease Cycles'!$AZ$13,'Lease Cycles'!$C$13*'Lease Cycles'!$BA$13/12,IF(BU$6&gt;='Lease Cycles'!$AX$13,'Lease Cycles'!$C$13*'Lease Cycles'!$AY$13/12,IF(BU$6&gt;='Lease Cycles'!$AV$13,'Lease Cycles'!$C$13*'Lease Cycles'!$AW$13/12,IF(BU$6&gt;='Lease Cycles'!$AT$13,'Lease Cycles'!$C$13*'Lease Cycles'!$AU$13/12,'Lease Cycles'!$C$13*INDEX('Lease Cycles'!$CB$13:$CH$13,1,BU95)*(1+INDEX('Lease Cycles'!$CI$13:$CO$13,1,BU95))^INT(INT(BU96/12)/INDEX('Lease Cycles'!$CP$13:$CV$13,1,BU95))/12)))),'Lease Cycles'!$C$13*INDEX('Lease Cycles'!$CB$13:$CH$13,1,BU95)*(1+INDEX('Lease Cycles'!$CI$13:$CO$13,1,BU95))^INT(INT(BU96/12)/INDEX('Lease Cycles'!$CP$13:$CV$13,1,BU95))/12),IF(INDEX('Lease Cycles'!$EF$13:$EL$13,1,BU95)=1,IF(AND('Lease Cycles'!$AZ$13&gt;=INDEX('Lease Cycles'!$BG$13:$BM$13,1,BU95),'Lease Cycles'!$AZ$13&lt;=BU$6),'Lease Cycles'!$C$13*'Lease Cycles'!$BA$13/12,IF(AND('Lease Cycles'!$AX$13&gt;=INDEX('Lease Cycles'!$BG$13:$BM$13,1,BU95),'Lease Cycles'!$AX$13&lt;=BU$6),'Lease Cycles'!$C$13*'Lease Cycles'!$AY$13/12,IF(AND('Lease Cycles'!$AV$13&gt;=INDEX('Lease Cycles'!$BG$13:$BM$13,1,BU95),'Lease Cycles'!$AV$13&lt;=BU$6),'Lease Cycles'!$C$13*'Lease Cycles'!$AW$13/12,IF(AND('Lease Cycles'!$AT$13&gt;=INDEX('Lease Cycles'!$BG$13:$BM$13,1,BU95),'Lease Cycles'!$AT$13&lt;=BU$6),'Lease Cycles'!$C$13*'Lease Cycles'!$AU$13/12,'Lease Cycles'!$C$13*INDEX('Lease Cycles'!$CB$13:$CH$13,1,BU95)*(1+INDEX('Lease Cycles'!$CI$13:$CO$13,1,BU95))^INT(INT(BU96/12)/INDEX('Lease Cycles'!$CP$13:$CV$13,1,BU95))/12)))),'Lease Cycles'!$C$13*INDEX('Lease Cycles'!$CB$13:$CH$13,1,BU95)*(1+INDEX('Lease Cycles'!$CI$13:$CO$13,1,BU95))^INT(INT(BU96/12)/INDEX('Lease Cycles'!$CP$13:$CV$13,1,BU95))/12))),IF('Lease Cycles'!$N$13=1,'Lease Cycles'!$C$13*'Lease Cycles'!$E$13*INDEX('Lease Cycles'!$HE$13:$HK$13,1,BU95)*(1+INDEX('Lease Cycles'!$GQ$13:$GW$13,1,BU95))^INT(INT((BU$6-INDEX('Lease Cycles'!$GJ$13:$GP$13,1,BU95))/12)/INDEX('Lease Cycles'!$GX$13:$HD$13,1,BU95))/12,0)))</f>
        <v>3100.291860488833</v>
      </c>
      <c r="BV98" s="28">
        <f>IF(BV95=0,IF('Lease Cycles'!$F$13&gt;0,'Lease Cycles'!$C$13*'Lease Cycles'!$E$13/12,0),IF(BV97=1,IF('Lease Cycles'!$AT$13&gt;=9999,'Lease Cycles'!$C$13*INDEX('Lease Cycles'!$CB$13:$CH$13,1,BV95)*(1+INDEX('Lease Cycles'!$CI$13:$CO$13,1,BV95))^INT(INT(BV96/12)/INDEX('Lease Cycles'!$CP$13:$CV$13,1,BV95))/12,IF(BV95=1,IF(BV96&gt;=INDEX('Lease Cycles'!$DK$13:$DQ$13,1,BV95),IF(BV$6&gt;='Lease Cycles'!$AZ$13,'Lease Cycles'!$C$13*'Lease Cycles'!$BA$13/12,IF(BV$6&gt;='Lease Cycles'!$AX$13,'Lease Cycles'!$C$13*'Lease Cycles'!$AY$13/12,IF(BV$6&gt;='Lease Cycles'!$AV$13,'Lease Cycles'!$C$13*'Lease Cycles'!$AW$13/12,IF(BV$6&gt;='Lease Cycles'!$AT$13,'Lease Cycles'!$C$13*'Lease Cycles'!$AU$13/12,'Lease Cycles'!$C$13*INDEX('Lease Cycles'!$CB$13:$CH$13,1,BV95)*(1+INDEX('Lease Cycles'!$CI$13:$CO$13,1,BV95))^INT(INT(BV96/12)/INDEX('Lease Cycles'!$CP$13:$CV$13,1,BV95))/12)))),'Lease Cycles'!$C$13*INDEX('Lease Cycles'!$CB$13:$CH$13,1,BV95)*(1+INDEX('Lease Cycles'!$CI$13:$CO$13,1,BV95))^INT(INT(BV96/12)/INDEX('Lease Cycles'!$CP$13:$CV$13,1,BV95))/12),IF(INDEX('Lease Cycles'!$EF$13:$EL$13,1,BV95)=1,IF(AND('Lease Cycles'!$AZ$13&gt;=INDEX('Lease Cycles'!$BG$13:$BM$13,1,BV95),'Lease Cycles'!$AZ$13&lt;=BV$6),'Lease Cycles'!$C$13*'Lease Cycles'!$BA$13/12,IF(AND('Lease Cycles'!$AX$13&gt;=INDEX('Lease Cycles'!$BG$13:$BM$13,1,BV95),'Lease Cycles'!$AX$13&lt;=BV$6),'Lease Cycles'!$C$13*'Lease Cycles'!$AY$13/12,IF(AND('Lease Cycles'!$AV$13&gt;=INDEX('Lease Cycles'!$BG$13:$BM$13,1,BV95),'Lease Cycles'!$AV$13&lt;=BV$6),'Lease Cycles'!$C$13*'Lease Cycles'!$AW$13/12,IF(AND('Lease Cycles'!$AT$13&gt;=INDEX('Lease Cycles'!$BG$13:$BM$13,1,BV95),'Lease Cycles'!$AT$13&lt;=BV$6),'Lease Cycles'!$C$13*'Lease Cycles'!$AU$13/12,'Lease Cycles'!$C$13*INDEX('Lease Cycles'!$CB$13:$CH$13,1,BV95)*(1+INDEX('Lease Cycles'!$CI$13:$CO$13,1,BV95))^INT(INT(BV96/12)/INDEX('Lease Cycles'!$CP$13:$CV$13,1,BV95))/12)))),'Lease Cycles'!$C$13*INDEX('Lease Cycles'!$CB$13:$CH$13,1,BV95)*(1+INDEX('Lease Cycles'!$CI$13:$CO$13,1,BV95))^INT(INT(BV96/12)/INDEX('Lease Cycles'!$CP$13:$CV$13,1,BV95))/12))),IF('Lease Cycles'!$N$13=1,'Lease Cycles'!$C$13*'Lease Cycles'!$E$13*INDEX('Lease Cycles'!$HE$13:$HK$13,1,BV95)*(1+INDEX('Lease Cycles'!$GQ$13:$GW$13,1,BV95))^INT(INT((BV$6-INDEX('Lease Cycles'!$GJ$13:$GP$13,1,BV95))/12)/INDEX('Lease Cycles'!$GX$13:$HD$13,1,BV95))/12,0)))</f>
        <v>3100.291860488833</v>
      </c>
      <c r="BW98" s="28">
        <f>IF(BW95=0,IF('Lease Cycles'!$F$13&gt;0,'Lease Cycles'!$C$13*'Lease Cycles'!$E$13/12,0),IF(BW97=1,IF('Lease Cycles'!$AT$13&gt;=9999,'Lease Cycles'!$C$13*INDEX('Lease Cycles'!$CB$13:$CH$13,1,BW95)*(1+INDEX('Lease Cycles'!$CI$13:$CO$13,1,BW95))^INT(INT(BW96/12)/INDEX('Lease Cycles'!$CP$13:$CV$13,1,BW95))/12,IF(BW95=1,IF(BW96&gt;=INDEX('Lease Cycles'!$DK$13:$DQ$13,1,BW95),IF(BW$6&gt;='Lease Cycles'!$AZ$13,'Lease Cycles'!$C$13*'Lease Cycles'!$BA$13/12,IF(BW$6&gt;='Lease Cycles'!$AX$13,'Lease Cycles'!$C$13*'Lease Cycles'!$AY$13/12,IF(BW$6&gt;='Lease Cycles'!$AV$13,'Lease Cycles'!$C$13*'Lease Cycles'!$AW$13/12,IF(BW$6&gt;='Lease Cycles'!$AT$13,'Lease Cycles'!$C$13*'Lease Cycles'!$AU$13/12,'Lease Cycles'!$C$13*INDEX('Lease Cycles'!$CB$13:$CH$13,1,BW95)*(1+INDEX('Lease Cycles'!$CI$13:$CO$13,1,BW95))^INT(INT(BW96/12)/INDEX('Lease Cycles'!$CP$13:$CV$13,1,BW95))/12)))),'Lease Cycles'!$C$13*INDEX('Lease Cycles'!$CB$13:$CH$13,1,BW95)*(1+INDEX('Lease Cycles'!$CI$13:$CO$13,1,BW95))^INT(INT(BW96/12)/INDEX('Lease Cycles'!$CP$13:$CV$13,1,BW95))/12),IF(INDEX('Lease Cycles'!$EF$13:$EL$13,1,BW95)=1,IF(AND('Lease Cycles'!$AZ$13&gt;=INDEX('Lease Cycles'!$BG$13:$BM$13,1,BW95),'Lease Cycles'!$AZ$13&lt;=BW$6),'Lease Cycles'!$C$13*'Lease Cycles'!$BA$13/12,IF(AND('Lease Cycles'!$AX$13&gt;=INDEX('Lease Cycles'!$BG$13:$BM$13,1,BW95),'Lease Cycles'!$AX$13&lt;=BW$6),'Lease Cycles'!$C$13*'Lease Cycles'!$AY$13/12,IF(AND('Lease Cycles'!$AV$13&gt;=INDEX('Lease Cycles'!$BG$13:$BM$13,1,BW95),'Lease Cycles'!$AV$13&lt;=BW$6),'Lease Cycles'!$C$13*'Lease Cycles'!$AW$13/12,IF(AND('Lease Cycles'!$AT$13&gt;=INDEX('Lease Cycles'!$BG$13:$BM$13,1,BW95),'Lease Cycles'!$AT$13&lt;=BW$6),'Lease Cycles'!$C$13*'Lease Cycles'!$AU$13/12,'Lease Cycles'!$C$13*INDEX('Lease Cycles'!$CB$13:$CH$13,1,BW95)*(1+INDEX('Lease Cycles'!$CI$13:$CO$13,1,BW95))^INT(INT(BW96/12)/INDEX('Lease Cycles'!$CP$13:$CV$13,1,BW95))/12)))),'Lease Cycles'!$C$13*INDEX('Lease Cycles'!$CB$13:$CH$13,1,BW95)*(1+INDEX('Lease Cycles'!$CI$13:$CO$13,1,BW95))^INT(INT(BW96/12)/INDEX('Lease Cycles'!$CP$13:$CV$13,1,BW95))/12))),IF('Lease Cycles'!$N$13=1,'Lease Cycles'!$C$13*'Lease Cycles'!$E$13*INDEX('Lease Cycles'!$HE$13:$HK$13,1,BW95)*(1+INDEX('Lease Cycles'!$GQ$13:$GW$13,1,BW95))^INT(INT((BW$6-INDEX('Lease Cycles'!$GJ$13:$GP$13,1,BW95))/12)/INDEX('Lease Cycles'!$GX$13:$HD$13,1,BW95))/12,0)))</f>
        <v>3100.291860488833</v>
      </c>
      <c r="BX98" s="28">
        <f>IF(BX95=0,IF('Lease Cycles'!$F$13&gt;0,'Lease Cycles'!$C$13*'Lease Cycles'!$E$13/12,0),IF(BX97=1,IF('Lease Cycles'!$AT$13&gt;=9999,'Lease Cycles'!$C$13*INDEX('Lease Cycles'!$CB$13:$CH$13,1,BX95)*(1+INDEX('Lease Cycles'!$CI$13:$CO$13,1,BX95))^INT(INT(BX96/12)/INDEX('Lease Cycles'!$CP$13:$CV$13,1,BX95))/12,IF(BX95=1,IF(BX96&gt;=INDEX('Lease Cycles'!$DK$13:$DQ$13,1,BX95),IF(BX$6&gt;='Lease Cycles'!$AZ$13,'Lease Cycles'!$C$13*'Lease Cycles'!$BA$13/12,IF(BX$6&gt;='Lease Cycles'!$AX$13,'Lease Cycles'!$C$13*'Lease Cycles'!$AY$13/12,IF(BX$6&gt;='Lease Cycles'!$AV$13,'Lease Cycles'!$C$13*'Lease Cycles'!$AW$13/12,IF(BX$6&gt;='Lease Cycles'!$AT$13,'Lease Cycles'!$C$13*'Lease Cycles'!$AU$13/12,'Lease Cycles'!$C$13*INDEX('Lease Cycles'!$CB$13:$CH$13,1,BX95)*(1+INDEX('Lease Cycles'!$CI$13:$CO$13,1,BX95))^INT(INT(BX96/12)/INDEX('Lease Cycles'!$CP$13:$CV$13,1,BX95))/12)))),'Lease Cycles'!$C$13*INDEX('Lease Cycles'!$CB$13:$CH$13,1,BX95)*(1+INDEX('Lease Cycles'!$CI$13:$CO$13,1,BX95))^INT(INT(BX96/12)/INDEX('Lease Cycles'!$CP$13:$CV$13,1,BX95))/12),IF(INDEX('Lease Cycles'!$EF$13:$EL$13,1,BX95)=1,IF(AND('Lease Cycles'!$AZ$13&gt;=INDEX('Lease Cycles'!$BG$13:$BM$13,1,BX95),'Lease Cycles'!$AZ$13&lt;=BX$6),'Lease Cycles'!$C$13*'Lease Cycles'!$BA$13/12,IF(AND('Lease Cycles'!$AX$13&gt;=INDEX('Lease Cycles'!$BG$13:$BM$13,1,BX95),'Lease Cycles'!$AX$13&lt;=BX$6),'Lease Cycles'!$C$13*'Lease Cycles'!$AY$13/12,IF(AND('Lease Cycles'!$AV$13&gt;=INDEX('Lease Cycles'!$BG$13:$BM$13,1,BX95),'Lease Cycles'!$AV$13&lt;=BX$6),'Lease Cycles'!$C$13*'Lease Cycles'!$AW$13/12,IF(AND('Lease Cycles'!$AT$13&gt;=INDEX('Lease Cycles'!$BG$13:$BM$13,1,BX95),'Lease Cycles'!$AT$13&lt;=BX$6),'Lease Cycles'!$C$13*'Lease Cycles'!$AU$13/12,'Lease Cycles'!$C$13*INDEX('Lease Cycles'!$CB$13:$CH$13,1,BX95)*(1+INDEX('Lease Cycles'!$CI$13:$CO$13,1,BX95))^INT(INT(BX96/12)/INDEX('Lease Cycles'!$CP$13:$CV$13,1,BX95))/12)))),'Lease Cycles'!$C$13*INDEX('Lease Cycles'!$CB$13:$CH$13,1,BX95)*(1+INDEX('Lease Cycles'!$CI$13:$CO$13,1,BX95))^INT(INT(BX96/12)/INDEX('Lease Cycles'!$CP$13:$CV$13,1,BX95))/12))),IF('Lease Cycles'!$N$13=1,'Lease Cycles'!$C$13*'Lease Cycles'!$E$13*INDEX('Lease Cycles'!$HE$13:$HK$13,1,BX95)*(1+INDEX('Lease Cycles'!$GQ$13:$GW$13,1,BX95))^INT(INT((BX$6-INDEX('Lease Cycles'!$GJ$13:$GP$13,1,BX95))/12)/INDEX('Lease Cycles'!$GX$13:$HD$13,1,BX95))/12,0)))</f>
        <v>3193.3006163034984</v>
      </c>
      <c r="BY98" s="28">
        <f>IF(BY95=0,IF('Lease Cycles'!$F$13&gt;0,'Lease Cycles'!$C$13*'Lease Cycles'!$E$13/12,0),IF(BY97=1,IF('Lease Cycles'!$AT$13&gt;=9999,'Lease Cycles'!$C$13*INDEX('Lease Cycles'!$CB$13:$CH$13,1,BY95)*(1+INDEX('Lease Cycles'!$CI$13:$CO$13,1,BY95))^INT(INT(BY96/12)/INDEX('Lease Cycles'!$CP$13:$CV$13,1,BY95))/12,IF(BY95=1,IF(BY96&gt;=INDEX('Lease Cycles'!$DK$13:$DQ$13,1,BY95),IF(BY$6&gt;='Lease Cycles'!$AZ$13,'Lease Cycles'!$C$13*'Lease Cycles'!$BA$13/12,IF(BY$6&gt;='Lease Cycles'!$AX$13,'Lease Cycles'!$C$13*'Lease Cycles'!$AY$13/12,IF(BY$6&gt;='Lease Cycles'!$AV$13,'Lease Cycles'!$C$13*'Lease Cycles'!$AW$13/12,IF(BY$6&gt;='Lease Cycles'!$AT$13,'Lease Cycles'!$C$13*'Lease Cycles'!$AU$13/12,'Lease Cycles'!$C$13*INDEX('Lease Cycles'!$CB$13:$CH$13,1,BY95)*(1+INDEX('Lease Cycles'!$CI$13:$CO$13,1,BY95))^INT(INT(BY96/12)/INDEX('Lease Cycles'!$CP$13:$CV$13,1,BY95))/12)))),'Lease Cycles'!$C$13*INDEX('Lease Cycles'!$CB$13:$CH$13,1,BY95)*(1+INDEX('Lease Cycles'!$CI$13:$CO$13,1,BY95))^INT(INT(BY96/12)/INDEX('Lease Cycles'!$CP$13:$CV$13,1,BY95))/12),IF(INDEX('Lease Cycles'!$EF$13:$EL$13,1,BY95)=1,IF(AND('Lease Cycles'!$AZ$13&gt;=INDEX('Lease Cycles'!$BG$13:$BM$13,1,BY95),'Lease Cycles'!$AZ$13&lt;=BY$6),'Lease Cycles'!$C$13*'Lease Cycles'!$BA$13/12,IF(AND('Lease Cycles'!$AX$13&gt;=INDEX('Lease Cycles'!$BG$13:$BM$13,1,BY95),'Lease Cycles'!$AX$13&lt;=BY$6),'Lease Cycles'!$C$13*'Lease Cycles'!$AY$13/12,IF(AND('Lease Cycles'!$AV$13&gt;=INDEX('Lease Cycles'!$BG$13:$BM$13,1,BY95),'Lease Cycles'!$AV$13&lt;=BY$6),'Lease Cycles'!$C$13*'Lease Cycles'!$AW$13/12,IF(AND('Lease Cycles'!$AT$13&gt;=INDEX('Lease Cycles'!$BG$13:$BM$13,1,BY95),'Lease Cycles'!$AT$13&lt;=BY$6),'Lease Cycles'!$C$13*'Lease Cycles'!$AU$13/12,'Lease Cycles'!$C$13*INDEX('Lease Cycles'!$CB$13:$CH$13,1,BY95)*(1+INDEX('Lease Cycles'!$CI$13:$CO$13,1,BY95))^INT(INT(BY96/12)/INDEX('Lease Cycles'!$CP$13:$CV$13,1,BY95))/12)))),'Lease Cycles'!$C$13*INDEX('Lease Cycles'!$CB$13:$CH$13,1,BY95)*(1+INDEX('Lease Cycles'!$CI$13:$CO$13,1,BY95))^INT(INT(BY96/12)/INDEX('Lease Cycles'!$CP$13:$CV$13,1,BY95))/12))),IF('Lease Cycles'!$N$13=1,'Lease Cycles'!$C$13*'Lease Cycles'!$E$13*INDEX('Lease Cycles'!$HE$13:$HK$13,1,BY95)*(1+INDEX('Lease Cycles'!$GQ$13:$GW$13,1,BY95))^INT(INT((BY$6-INDEX('Lease Cycles'!$GJ$13:$GP$13,1,BY95))/12)/INDEX('Lease Cycles'!$GX$13:$HD$13,1,BY95))/12,0)))</f>
        <v>3193.3006163034984</v>
      </c>
      <c r="BZ98" s="28">
        <f>IF(BZ95=0,IF('Lease Cycles'!$F$13&gt;0,'Lease Cycles'!$C$13*'Lease Cycles'!$E$13/12,0),IF(BZ97=1,IF('Lease Cycles'!$AT$13&gt;=9999,'Lease Cycles'!$C$13*INDEX('Lease Cycles'!$CB$13:$CH$13,1,BZ95)*(1+INDEX('Lease Cycles'!$CI$13:$CO$13,1,BZ95))^INT(INT(BZ96/12)/INDEX('Lease Cycles'!$CP$13:$CV$13,1,BZ95))/12,IF(BZ95=1,IF(BZ96&gt;=INDEX('Lease Cycles'!$DK$13:$DQ$13,1,BZ95),IF(BZ$6&gt;='Lease Cycles'!$AZ$13,'Lease Cycles'!$C$13*'Lease Cycles'!$BA$13/12,IF(BZ$6&gt;='Lease Cycles'!$AX$13,'Lease Cycles'!$C$13*'Lease Cycles'!$AY$13/12,IF(BZ$6&gt;='Lease Cycles'!$AV$13,'Lease Cycles'!$C$13*'Lease Cycles'!$AW$13/12,IF(BZ$6&gt;='Lease Cycles'!$AT$13,'Lease Cycles'!$C$13*'Lease Cycles'!$AU$13/12,'Lease Cycles'!$C$13*INDEX('Lease Cycles'!$CB$13:$CH$13,1,BZ95)*(1+INDEX('Lease Cycles'!$CI$13:$CO$13,1,BZ95))^INT(INT(BZ96/12)/INDEX('Lease Cycles'!$CP$13:$CV$13,1,BZ95))/12)))),'Lease Cycles'!$C$13*INDEX('Lease Cycles'!$CB$13:$CH$13,1,BZ95)*(1+INDEX('Lease Cycles'!$CI$13:$CO$13,1,BZ95))^INT(INT(BZ96/12)/INDEX('Lease Cycles'!$CP$13:$CV$13,1,BZ95))/12),IF(INDEX('Lease Cycles'!$EF$13:$EL$13,1,BZ95)=1,IF(AND('Lease Cycles'!$AZ$13&gt;=INDEX('Lease Cycles'!$BG$13:$BM$13,1,BZ95),'Lease Cycles'!$AZ$13&lt;=BZ$6),'Lease Cycles'!$C$13*'Lease Cycles'!$BA$13/12,IF(AND('Lease Cycles'!$AX$13&gt;=INDEX('Lease Cycles'!$BG$13:$BM$13,1,BZ95),'Lease Cycles'!$AX$13&lt;=BZ$6),'Lease Cycles'!$C$13*'Lease Cycles'!$AY$13/12,IF(AND('Lease Cycles'!$AV$13&gt;=INDEX('Lease Cycles'!$BG$13:$BM$13,1,BZ95),'Lease Cycles'!$AV$13&lt;=BZ$6),'Lease Cycles'!$C$13*'Lease Cycles'!$AW$13/12,IF(AND('Lease Cycles'!$AT$13&gt;=INDEX('Lease Cycles'!$BG$13:$BM$13,1,BZ95),'Lease Cycles'!$AT$13&lt;=BZ$6),'Lease Cycles'!$C$13*'Lease Cycles'!$AU$13/12,'Lease Cycles'!$C$13*INDEX('Lease Cycles'!$CB$13:$CH$13,1,BZ95)*(1+INDEX('Lease Cycles'!$CI$13:$CO$13,1,BZ95))^INT(INT(BZ96/12)/INDEX('Lease Cycles'!$CP$13:$CV$13,1,BZ95))/12)))),'Lease Cycles'!$C$13*INDEX('Lease Cycles'!$CB$13:$CH$13,1,BZ95)*(1+INDEX('Lease Cycles'!$CI$13:$CO$13,1,BZ95))^INT(INT(BZ96/12)/INDEX('Lease Cycles'!$CP$13:$CV$13,1,BZ95))/12))),IF('Lease Cycles'!$N$13=1,'Lease Cycles'!$C$13*'Lease Cycles'!$E$13*INDEX('Lease Cycles'!$HE$13:$HK$13,1,BZ95)*(1+INDEX('Lease Cycles'!$GQ$13:$GW$13,1,BZ95))^INT(INT((BZ$6-INDEX('Lease Cycles'!$GJ$13:$GP$13,1,BZ95))/12)/INDEX('Lease Cycles'!$GX$13:$HD$13,1,BZ95))/12,0)))</f>
        <v>3193.3006163034984</v>
      </c>
      <c r="CA98" s="28">
        <f>IF(CA95=0,IF('Lease Cycles'!$F$13&gt;0,'Lease Cycles'!$C$13*'Lease Cycles'!$E$13/12,0),IF(CA97=1,IF('Lease Cycles'!$AT$13&gt;=9999,'Lease Cycles'!$C$13*INDEX('Lease Cycles'!$CB$13:$CH$13,1,CA95)*(1+INDEX('Lease Cycles'!$CI$13:$CO$13,1,CA95))^INT(INT(CA96/12)/INDEX('Lease Cycles'!$CP$13:$CV$13,1,CA95))/12,IF(CA95=1,IF(CA96&gt;=INDEX('Lease Cycles'!$DK$13:$DQ$13,1,CA95),IF(CA$6&gt;='Lease Cycles'!$AZ$13,'Lease Cycles'!$C$13*'Lease Cycles'!$BA$13/12,IF(CA$6&gt;='Lease Cycles'!$AX$13,'Lease Cycles'!$C$13*'Lease Cycles'!$AY$13/12,IF(CA$6&gt;='Lease Cycles'!$AV$13,'Lease Cycles'!$C$13*'Lease Cycles'!$AW$13/12,IF(CA$6&gt;='Lease Cycles'!$AT$13,'Lease Cycles'!$C$13*'Lease Cycles'!$AU$13/12,'Lease Cycles'!$C$13*INDEX('Lease Cycles'!$CB$13:$CH$13,1,CA95)*(1+INDEX('Lease Cycles'!$CI$13:$CO$13,1,CA95))^INT(INT(CA96/12)/INDEX('Lease Cycles'!$CP$13:$CV$13,1,CA95))/12)))),'Lease Cycles'!$C$13*INDEX('Lease Cycles'!$CB$13:$CH$13,1,CA95)*(1+INDEX('Lease Cycles'!$CI$13:$CO$13,1,CA95))^INT(INT(CA96/12)/INDEX('Lease Cycles'!$CP$13:$CV$13,1,CA95))/12),IF(INDEX('Lease Cycles'!$EF$13:$EL$13,1,CA95)=1,IF(AND('Lease Cycles'!$AZ$13&gt;=INDEX('Lease Cycles'!$BG$13:$BM$13,1,CA95),'Lease Cycles'!$AZ$13&lt;=CA$6),'Lease Cycles'!$C$13*'Lease Cycles'!$BA$13/12,IF(AND('Lease Cycles'!$AX$13&gt;=INDEX('Lease Cycles'!$BG$13:$BM$13,1,CA95),'Lease Cycles'!$AX$13&lt;=CA$6),'Lease Cycles'!$C$13*'Lease Cycles'!$AY$13/12,IF(AND('Lease Cycles'!$AV$13&gt;=INDEX('Lease Cycles'!$BG$13:$BM$13,1,CA95),'Lease Cycles'!$AV$13&lt;=CA$6),'Lease Cycles'!$C$13*'Lease Cycles'!$AW$13/12,IF(AND('Lease Cycles'!$AT$13&gt;=INDEX('Lease Cycles'!$BG$13:$BM$13,1,CA95),'Lease Cycles'!$AT$13&lt;=CA$6),'Lease Cycles'!$C$13*'Lease Cycles'!$AU$13/12,'Lease Cycles'!$C$13*INDEX('Lease Cycles'!$CB$13:$CH$13,1,CA95)*(1+INDEX('Lease Cycles'!$CI$13:$CO$13,1,CA95))^INT(INT(CA96/12)/INDEX('Lease Cycles'!$CP$13:$CV$13,1,CA95))/12)))),'Lease Cycles'!$C$13*INDEX('Lease Cycles'!$CB$13:$CH$13,1,CA95)*(1+INDEX('Lease Cycles'!$CI$13:$CO$13,1,CA95))^INT(INT(CA96/12)/INDEX('Lease Cycles'!$CP$13:$CV$13,1,CA95))/12))),IF('Lease Cycles'!$N$13=1,'Lease Cycles'!$C$13*'Lease Cycles'!$E$13*INDEX('Lease Cycles'!$HE$13:$HK$13,1,CA95)*(1+INDEX('Lease Cycles'!$GQ$13:$GW$13,1,CA95))^INT(INT((CA$6-INDEX('Lease Cycles'!$GJ$13:$GP$13,1,CA95))/12)/INDEX('Lease Cycles'!$GX$13:$HD$13,1,CA95))/12,0)))</f>
        <v>3193.3006163034984</v>
      </c>
      <c r="CB98" s="28">
        <f>IF(CB95=0,IF('Lease Cycles'!$F$13&gt;0,'Lease Cycles'!$C$13*'Lease Cycles'!$E$13/12,0),IF(CB97=1,IF('Lease Cycles'!$AT$13&gt;=9999,'Lease Cycles'!$C$13*INDEX('Lease Cycles'!$CB$13:$CH$13,1,CB95)*(1+INDEX('Lease Cycles'!$CI$13:$CO$13,1,CB95))^INT(INT(CB96/12)/INDEX('Lease Cycles'!$CP$13:$CV$13,1,CB95))/12,IF(CB95=1,IF(CB96&gt;=INDEX('Lease Cycles'!$DK$13:$DQ$13,1,CB95),IF(CB$6&gt;='Lease Cycles'!$AZ$13,'Lease Cycles'!$C$13*'Lease Cycles'!$BA$13/12,IF(CB$6&gt;='Lease Cycles'!$AX$13,'Lease Cycles'!$C$13*'Lease Cycles'!$AY$13/12,IF(CB$6&gt;='Lease Cycles'!$AV$13,'Lease Cycles'!$C$13*'Lease Cycles'!$AW$13/12,IF(CB$6&gt;='Lease Cycles'!$AT$13,'Lease Cycles'!$C$13*'Lease Cycles'!$AU$13/12,'Lease Cycles'!$C$13*INDEX('Lease Cycles'!$CB$13:$CH$13,1,CB95)*(1+INDEX('Lease Cycles'!$CI$13:$CO$13,1,CB95))^INT(INT(CB96/12)/INDEX('Lease Cycles'!$CP$13:$CV$13,1,CB95))/12)))),'Lease Cycles'!$C$13*INDEX('Lease Cycles'!$CB$13:$CH$13,1,CB95)*(1+INDEX('Lease Cycles'!$CI$13:$CO$13,1,CB95))^INT(INT(CB96/12)/INDEX('Lease Cycles'!$CP$13:$CV$13,1,CB95))/12),IF(INDEX('Lease Cycles'!$EF$13:$EL$13,1,CB95)=1,IF(AND('Lease Cycles'!$AZ$13&gt;=INDEX('Lease Cycles'!$BG$13:$BM$13,1,CB95),'Lease Cycles'!$AZ$13&lt;=CB$6),'Lease Cycles'!$C$13*'Lease Cycles'!$BA$13/12,IF(AND('Lease Cycles'!$AX$13&gt;=INDEX('Lease Cycles'!$BG$13:$BM$13,1,CB95),'Lease Cycles'!$AX$13&lt;=CB$6),'Lease Cycles'!$C$13*'Lease Cycles'!$AY$13/12,IF(AND('Lease Cycles'!$AV$13&gt;=INDEX('Lease Cycles'!$BG$13:$BM$13,1,CB95),'Lease Cycles'!$AV$13&lt;=CB$6),'Lease Cycles'!$C$13*'Lease Cycles'!$AW$13/12,IF(AND('Lease Cycles'!$AT$13&gt;=INDEX('Lease Cycles'!$BG$13:$BM$13,1,CB95),'Lease Cycles'!$AT$13&lt;=CB$6),'Lease Cycles'!$C$13*'Lease Cycles'!$AU$13/12,'Lease Cycles'!$C$13*INDEX('Lease Cycles'!$CB$13:$CH$13,1,CB95)*(1+INDEX('Lease Cycles'!$CI$13:$CO$13,1,CB95))^INT(INT(CB96/12)/INDEX('Lease Cycles'!$CP$13:$CV$13,1,CB95))/12)))),'Lease Cycles'!$C$13*INDEX('Lease Cycles'!$CB$13:$CH$13,1,CB95)*(1+INDEX('Lease Cycles'!$CI$13:$CO$13,1,CB95))^INT(INT(CB96/12)/INDEX('Lease Cycles'!$CP$13:$CV$13,1,CB95))/12))),IF('Lease Cycles'!$N$13=1,'Lease Cycles'!$C$13*'Lease Cycles'!$E$13*INDEX('Lease Cycles'!$HE$13:$HK$13,1,CB95)*(1+INDEX('Lease Cycles'!$GQ$13:$GW$13,1,CB95))^INT(INT((CB$6-INDEX('Lease Cycles'!$GJ$13:$GP$13,1,CB95))/12)/INDEX('Lease Cycles'!$GX$13:$HD$13,1,CB95))/12,0)))</f>
        <v>3193.3006163034984</v>
      </c>
      <c r="CC98" s="28">
        <f>IF(CC95=0,IF('Lease Cycles'!$F$13&gt;0,'Lease Cycles'!$C$13*'Lease Cycles'!$E$13/12,0),IF(CC97=1,IF('Lease Cycles'!$AT$13&gt;=9999,'Lease Cycles'!$C$13*INDEX('Lease Cycles'!$CB$13:$CH$13,1,CC95)*(1+INDEX('Lease Cycles'!$CI$13:$CO$13,1,CC95))^INT(INT(CC96/12)/INDEX('Lease Cycles'!$CP$13:$CV$13,1,CC95))/12,IF(CC95=1,IF(CC96&gt;=INDEX('Lease Cycles'!$DK$13:$DQ$13,1,CC95),IF(CC$6&gt;='Lease Cycles'!$AZ$13,'Lease Cycles'!$C$13*'Lease Cycles'!$BA$13/12,IF(CC$6&gt;='Lease Cycles'!$AX$13,'Lease Cycles'!$C$13*'Lease Cycles'!$AY$13/12,IF(CC$6&gt;='Lease Cycles'!$AV$13,'Lease Cycles'!$C$13*'Lease Cycles'!$AW$13/12,IF(CC$6&gt;='Lease Cycles'!$AT$13,'Lease Cycles'!$C$13*'Lease Cycles'!$AU$13/12,'Lease Cycles'!$C$13*INDEX('Lease Cycles'!$CB$13:$CH$13,1,CC95)*(1+INDEX('Lease Cycles'!$CI$13:$CO$13,1,CC95))^INT(INT(CC96/12)/INDEX('Lease Cycles'!$CP$13:$CV$13,1,CC95))/12)))),'Lease Cycles'!$C$13*INDEX('Lease Cycles'!$CB$13:$CH$13,1,CC95)*(1+INDEX('Lease Cycles'!$CI$13:$CO$13,1,CC95))^INT(INT(CC96/12)/INDEX('Lease Cycles'!$CP$13:$CV$13,1,CC95))/12),IF(INDEX('Lease Cycles'!$EF$13:$EL$13,1,CC95)=1,IF(AND('Lease Cycles'!$AZ$13&gt;=INDEX('Lease Cycles'!$BG$13:$BM$13,1,CC95),'Lease Cycles'!$AZ$13&lt;=CC$6),'Lease Cycles'!$C$13*'Lease Cycles'!$BA$13/12,IF(AND('Lease Cycles'!$AX$13&gt;=INDEX('Lease Cycles'!$BG$13:$BM$13,1,CC95),'Lease Cycles'!$AX$13&lt;=CC$6),'Lease Cycles'!$C$13*'Lease Cycles'!$AY$13/12,IF(AND('Lease Cycles'!$AV$13&gt;=INDEX('Lease Cycles'!$BG$13:$BM$13,1,CC95),'Lease Cycles'!$AV$13&lt;=CC$6),'Lease Cycles'!$C$13*'Lease Cycles'!$AW$13/12,IF(AND('Lease Cycles'!$AT$13&gt;=INDEX('Lease Cycles'!$BG$13:$BM$13,1,CC95),'Lease Cycles'!$AT$13&lt;=CC$6),'Lease Cycles'!$C$13*'Lease Cycles'!$AU$13/12,'Lease Cycles'!$C$13*INDEX('Lease Cycles'!$CB$13:$CH$13,1,CC95)*(1+INDEX('Lease Cycles'!$CI$13:$CO$13,1,CC95))^INT(INT(CC96/12)/INDEX('Lease Cycles'!$CP$13:$CV$13,1,CC95))/12)))),'Lease Cycles'!$C$13*INDEX('Lease Cycles'!$CB$13:$CH$13,1,CC95)*(1+INDEX('Lease Cycles'!$CI$13:$CO$13,1,CC95))^INT(INT(CC96/12)/INDEX('Lease Cycles'!$CP$13:$CV$13,1,CC95))/12))),IF('Lease Cycles'!$N$13=1,'Lease Cycles'!$C$13*'Lease Cycles'!$E$13*INDEX('Lease Cycles'!$HE$13:$HK$13,1,CC95)*(1+INDEX('Lease Cycles'!$GQ$13:$GW$13,1,CC95))^INT(INT((CC$6-INDEX('Lease Cycles'!$GJ$13:$GP$13,1,CC95))/12)/INDEX('Lease Cycles'!$GX$13:$HD$13,1,CC95))/12,0)))</f>
        <v>3193.3006163034984</v>
      </c>
      <c r="CD98" s="28">
        <f>IF(CD95=0,IF('Lease Cycles'!$F$13&gt;0,'Lease Cycles'!$C$13*'Lease Cycles'!$E$13/12,0),IF(CD97=1,IF('Lease Cycles'!$AT$13&gt;=9999,'Lease Cycles'!$C$13*INDEX('Lease Cycles'!$CB$13:$CH$13,1,CD95)*(1+INDEX('Lease Cycles'!$CI$13:$CO$13,1,CD95))^INT(INT(CD96/12)/INDEX('Lease Cycles'!$CP$13:$CV$13,1,CD95))/12,IF(CD95=1,IF(CD96&gt;=INDEX('Lease Cycles'!$DK$13:$DQ$13,1,CD95),IF(CD$6&gt;='Lease Cycles'!$AZ$13,'Lease Cycles'!$C$13*'Lease Cycles'!$BA$13/12,IF(CD$6&gt;='Lease Cycles'!$AX$13,'Lease Cycles'!$C$13*'Lease Cycles'!$AY$13/12,IF(CD$6&gt;='Lease Cycles'!$AV$13,'Lease Cycles'!$C$13*'Lease Cycles'!$AW$13/12,IF(CD$6&gt;='Lease Cycles'!$AT$13,'Lease Cycles'!$C$13*'Lease Cycles'!$AU$13/12,'Lease Cycles'!$C$13*INDEX('Lease Cycles'!$CB$13:$CH$13,1,CD95)*(1+INDEX('Lease Cycles'!$CI$13:$CO$13,1,CD95))^INT(INT(CD96/12)/INDEX('Lease Cycles'!$CP$13:$CV$13,1,CD95))/12)))),'Lease Cycles'!$C$13*INDEX('Lease Cycles'!$CB$13:$CH$13,1,CD95)*(1+INDEX('Lease Cycles'!$CI$13:$CO$13,1,CD95))^INT(INT(CD96/12)/INDEX('Lease Cycles'!$CP$13:$CV$13,1,CD95))/12),IF(INDEX('Lease Cycles'!$EF$13:$EL$13,1,CD95)=1,IF(AND('Lease Cycles'!$AZ$13&gt;=INDEX('Lease Cycles'!$BG$13:$BM$13,1,CD95),'Lease Cycles'!$AZ$13&lt;=CD$6),'Lease Cycles'!$C$13*'Lease Cycles'!$BA$13/12,IF(AND('Lease Cycles'!$AX$13&gt;=INDEX('Lease Cycles'!$BG$13:$BM$13,1,CD95),'Lease Cycles'!$AX$13&lt;=CD$6),'Lease Cycles'!$C$13*'Lease Cycles'!$AY$13/12,IF(AND('Lease Cycles'!$AV$13&gt;=INDEX('Lease Cycles'!$BG$13:$BM$13,1,CD95),'Lease Cycles'!$AV$13&lt;=CD$6),'Lease Cycles'!$C$13*'Lease Cycles'!$AW$13/12,IF(AND('Lease Cycles'!$AT$13&gt;=INDEX('Lease Cycles'!$BG$13:$BM$13,1,CD95),'Lease Cycles'!$AT$13&lt;=CD$6),'Lease Cycles'!$C$13*'Lease Cycles'!$AU$13/12,'Lease Cycles'!$C$13*INDEX('Lease Cycles'!$CB$13:$CH$13,1,CD95)*(1+INDEX('Lease Cycles'!$CI$13:$CO$13,1,CD95))^INT(INT(CD96/12)/INDEX('Lease Cycles'!$CP$13:$CV$13,1,CD95))/12)))),'Lease Cycles'!$C$13*INDEX('Lease Cycles'!$CB$13:$CH$13,1,CD95)*(1+INDEX('Lease Cycles'!$CI$13:$CO$13,1,CD95))^INT(INT(CD96/12)/INDEX('Lease Cycles'!$CP$13:$CV$13,1,CD95))/12))),IF('Lease Cycles'!$N$13=1,'Lease Cycles'!$C$13*'Lease Cycles'!$E$13*INDEX('Lease Cycles'!$HE$13:$HK$13,1,CD95)*(1+INDEX('Lease Cycles'!$GQ$13:$GW$13,1,CD95))^INT(INT((CD$6-INDEX('Lease Cycles'!$GJ$13:$GP$13,1,CD95))/12)/INDEX('Lease Cycles'!$GX$13:$HD$13,1,CD95))/12,0)))</f>
        <v>3193.3006163034984</v>
      </c>
      <c r="CE98" s="28">
        <f>IF(CE95=0,IF('Lease Cycles'!$F$13&gt;0,'Lease Cycles'!$C$13*'Lease Cycles'!$E$13/12,0),IF(CE97=1,IF('Lease Cycles'!$AT$13&gt;=9999,'Lease Cycles'!$C$13*INDEX('Lease Cycles'!$CB$13:$CH$13,1,CE95)*(1+INDEX('Lease Cycles'!$CI$13:$CO$13,1,CE95))^INT(INT(CE96/12)/INDEX('Lease Cycles'!$CP$13:$CV$13,1,CE95))/12,IF(CE95=1,IF(CE96&gt;=INDEX('Lease Cycles'!$DK$13:$DQ$13,1,CE95),IF(CE$6&gt;='Lease Cycles'!$AZ$13,'Lease Cycles'!$C$13*'Lease Cycles'!$BA$13/12,IF(CE$6&gt;='Lease Cycles'!$AX$13,'Lease Cycles'!$C$13*'Lease Cycles'!$AY$13/12,IF(CE$6&gt;='Lease Cycles'!$AV$13,'Lease Cycles'!$C$13*'Lease Cycles'!$AW$13/12,IF(CE$6&gt;='Lease Cycles'!$AT$13,'Lease Cycles'!$C$13*'Lease Cycles'!$AU$13/12,'Lease Cycles'!$C$13*INDEX('Lease Cycles'!$CB$13:$CH$13,1,CE95)*(1+INDEX('Lease Cycles'!$CI$13:$CO$13,1,CE95))^INT(INT(CE96/12)/INDEX('Lease Cycles'!$CP$13:$CV$13,1,CE95))/12)))),'Lease Cycles'!$C$13*INDEX('Lease Cycles'!$CB$13:$CH$13,1,CE95)*(1+INDEX('Lease Cycles'!$CI$13:$CO$13,1,CE95))^INT(INT(CE96/12)/INDEX('Lease Cycles'!$CP$13:$CV$13,1,CE95))/12),IF(INDEX('Lease Cycles'!$EF$13:$EL$13,1,CE95)=1,IF(AND('Lease Cycles'!$AZ$13&gt;=INDEX('Lease Cycles'!$BG$13:$BM$13,1,CE95),'Lease Cycles'!$AZ$13&lt;=CE$6),'Lease Cycles'!$C$13*'Lease Cycles'!$BA$13/12,IF(AND('Lease Cycles'!$AX$13&gt;=INDEX('Lease Cycles'!$BG$13:$BM$13,1,CE95),'Lease Cycles'!$AX$13&lt;=CE$6),'Lease Cycles'!$C$13*'Lease Cycles'!$AY$13/12,IF(AND('Lease Cycles'!$AV$13&gt;=INDEX('Lease Cycles'!$BG$13:$BM$13,1,CE95),'Lease Cycles'!$AV$13&lt;=CE$6),'Lease Cycles'!$C$13*'Lease Cycles'!$AW$13/12,IF(AND('Lease Cycles'!$AT$13&gt;=INDEX('Lease Cycles'!$BG$13:$BM$13,1,CE95),'Lease Cycles'!$AT$13&lt;=CE$6),'Lease Cycles'!$C$13*'Lease Cycles'!$AU$13/12,'Lease Cycles'!$C$13*INDEX('Lease Cycles'!$CB$13:$CH$13,1,CE95)*(1+INDEX('Lease Cycles'!$CI$13:$CO$13,1,CE95))^INT(INT(CE96/12)/INDEX('Lease Cycles'!$CP$13:$CV$13,1,CE95))/12)))),'Lease Cycles'!$C$13*INDEX('Lease Cycles'!$CB$13:$CH$13,1,CE95)*(1+INDEX('Lease Cycles'!$CI$13:$CO$13,1,CE95))^INT(INT(CE96/12)/INDEX('Lease Cycles'!$CP$13:$CV$13,1,CE95))/12))),IF('Lease Cycles'!$N$13=1,'Lease Cycles'!$C$13*'Lease Cycles'!$E$13*INDEX('Lease Cycles'!$HE$13:$HK$13,1,CE95)*(1+INDEX('Lease Cycles'!$GQ$13:$GW$13,1,CE95))^INT(INT((CE$6-INDEX('Lease Cycles'!$GJ$13:$GP$13,1,CE95))/12)/INDEX('Lease Cycles'!$GX$13:$HD$13,1,CE95))/12,0)))</f>
        <v>3193.3006163034984</v>
      </c>
      <c r="CF98" s="28">
        <f>IF(CF95=0,IF('Lease Cycles'!$F$13&gt;0,'Lease Cycles'!$C$13*'Lease Cycles'!$E$13/12,0),IF(CF97=1,IF('Lease Cycles'!$AT$13&gt;=9999,'Lease Cycles'!$C$13*INDEX('Lease Cycles'!$CB$13:$CH$13,1,CF95)*(1+INDEX('Lease Cycles'!$CI$13:$CO$13,1,CF95))^INT(INT(CF96/12)/INDEX('Lease Cycles'!$CP$13:$CV$13,1,CF95))/12,IF(CF95=1,IF(CF96&gt;=INDEX('Lease Cycles'!$DK$13:$DQ$13,1,CF95),IF(CF$6&gt;='Lease Cycles'!$AZ$13,'Lease Cycles'!$C$13*'Lease Cycles'!$BA$13/12,IF(CF$6&gt;='Lease Cycles'!$AX$13,'Lease Cycles'!$C$13*'Lease Cycles'!$AY$13/12,IF(CF$6&gt;='Lease Cycles'!$AV$13,'Lease Cycles'!$C$13*'Lease Cycles'!$AW$13/12,IF(CF$6&gt;='Lease Cycles'!$AT$13,'Lease Cycles'!$C$13*'Lease Cycles'!$AU$13/12,'Lease Cycles'!$C$13*INDEX('Lease Cycles'!$CB$13:$CH$13,1,CF95)*(1+INDEX('Lease Cycles'!$CI$13:$CO$13,1,CF95))^INT(INT(CF96/12)/INDEX('Lease Cycles'!$CP$13:$CV$13,1,CF95))/12)))),'Lease Cycles'!$C$13*INDEX('Lease Cycles'!$CB$13:$CH$13,1,CF95)*(1+INDEX('Lease Cycles'!$CI$13:$CO$13,1,CF95))^INT(INT(CF96/12)/INDEX('Lease Cycles'!$CP$13:$CV$13,1,CF95))/12),IF(INDEX('Lease Cycles'!$EF$13:$EL$13,1,CF95)=1,IF(AND('Lease Cycles'!$AZ$13&gt;=INDEX('Lease Cycles'!$BG$13:$BM$13,1,CF95),'Lease Cycles'!$AZ$13&lt;=CF$6),'Lease Cycles'!$C$13*'Lease Cycles'!$BA$13/12,IF(AND('Lease Cycles'!$AX$13&gt;=INDEX('Lease Cycles'!$BG$13:$BM$13,1,CF95),'Lease Cycles'!$AX$13&lt;=CF$6),'Lease Cycles'!$C$13*'Lease Cycles'!$AY$13/12,IF(AND('Lease Cycles'!$AV$13&gt;=INDEX('Lease Cycles'!$BG$13:$BM$13,1,CF95),'Lease Cycles'!$AV$13&lt;=CF$6),'Lease Cycles'!$C$13*'Lease Cycles'!$AW$13/12,IF(AND('Lease Cycles'!$AT$13&gt;=INDEX('Lease Cycles'!$BG$13:$BM$13,1,CF95),'Lease Cycles'!$AT$13&lt;=CF$6),'Lease Cycles'!$C$13*'Lease Cycles'!$AU$13/12,'Lease Cycles'!$C$13*INDEX('Lease Cycles'!$CB$13:$CH$13,1,CF95)*(1+INDEX('Lease Cycles'!$CI$13:$CO$13,1,CF95))^INT(INT(CF96/12)/INDEX('Lease Cycles'!$CP$13:$CV$13,1,CF95))/12)))),'Lease Cycles'!$C$13*INDEX('Lease Cycles'!$CB$13:$CH$13,1,CF95)*(1+INDEX('Lease Cycles'!$CI$13:$CO$13,1,CF95))^INT(INT(CF96/12)/INDEX('Lease Cycles'!$CP$13:$CV$13,1,CF95))/12))),IF('Lease Cycles'!$N$13=1,'Lease Cycles'!$C$13*'Lease Cycles'!$E$13*INDEX('Lease Cycles'!$HE$13:$HK$13,1,CF95)*(1+INDEX('Lease Cycles'!$GQ$13:$GW$13,1,CF95))^INT(INT((CF$6-INDEX('Lease Cycles'!$GJ$13:$GP$13,1,CF95))/12)/INDEX('Lease Cycles'!$GX$13:$HD$13,1,CF95))/12,0)))</f>
        <v>3193.3006163034984</v>
      </c>
      <c r="CG98" s="28">
        <f>IF(CG95=0,IF('Lease Cycles'!$F$13&gt;0,'Lease Cycles'!$C$13*'Lease Cycles'!$E$13/12,0),IF(CG97=1,IF('Lease Cycles'!$AT$13&gt;=9999,'Lease Cycles'!$C$13*INDEX('Lease Cycles'!$CB$13:$CH$13,1,CG95)*(1+INDEX('Lease Cycles'!$CI$13:$CO$13,1,CG95))^INT(INT(CG96/12)/INDEX('Lease Cycles'!$CP$13:$CV$13,1,CG95))/12,IF(CG95=1,IF(CG96&gt;=INDEX('Lease Cycles'!$DK$13:$DQ$13,1,CG95),IF(CG$6&gt;='Lease Cycles'!$AZ$13,'Lease Cycles'!$C$13*'Lease Cycles'!$BA$13/12,IF(CG$6&gt;='Lease Cycles'!$AX$13,'Lease Cycles'!$C$13*'Lease Cycles'!$AY$13/12,IF(CG$6&gt;='Lease Cycles'!$AV$13,'Lease Cycles'!$C$13*'Lease Cycles'!$AW$13/12,IF(CG$6&gt;='Lease Cycles'!$AT$13,'Lease Cycles'!$C$13*'Lease Cycles'!$AU$13/12,'Lease Cycles'!$C$13*INDEX('Lease Cycles'!$CB$13:$CH$13,1,CG95)*(1+INDEX('Lease Cycles'!$CI$13:$CO$13,1,CG95))^INT(INT(CG96/12)/INDEX('Lease Cycles'!$CP$13:$CV$13,1,CG95))/12)))),'Lease Cycles'!$C$13*INDEX('Lease Cycles'!$CB$13:$CH$13,1,CG95)*(1+INDEX('Lease Cycles'!$CI$13:$CO$13,1,CG95))^INT(INT(CG96/12)/INDEX('Lease Cycles'!$CP$13:$CV$13,1,CG95))/12),IF(INDEX('Lease Cycles'!$EF$13:$EL$13,1,CG95)=1,IF(AND('Lease Cycles'!$AZ$13&gt;=INDEX('Lease Cycles'!$BG$13:$BM$13,1,CG95),'Lease Cycles'!$AZ$13&lt;=CG$6),'Lease Cycles'!$C$13*'Lease Cycles'!$BA$13/12,IF(AND('Lease Cycles'!$AX$13&gt;=INDEX('Lease Cycles'!$BG$13:$BM$13,1,CG95),'Lease Cycles'!$AX$13&lt;=CG$6),'Lease Cycles'!$C$13*'Lease Cycles'!$AY$13/12,IF(AND('Lease Cycles'!$AV$13&gt;=INDEX('Lease Cycles'!$BG$13:$BM$13,1,CG95),'Lease Cycles'!$AV$13&lt;=CG$6),'Lease Cycles'!$C$13*'Lease Cycles'!$AW$13/12,IF(AND('Lease Cycles'!$AT$13&gt;=INDEX('Lease Cycles'!$BG$13:$BM$13,1,CG95),'Lease Cycles'!$AT$13&lt;=CG$6),'Lease Cycles'!$C$13*'Lease Cycles'!$AU$13/12,'Lease Cycles'!$C$13*INDEX('Lease Cycles'!$CB$13:$CH$13,1,CG95)*(1+INDEX('Lease Cycles'!$CI$13:$CO$13,1,CG95))^INT(INT(CG96/12)/INDEX('Lease Cycles'!$CP$13:$CV$13,1,CG95))/12)))),'Lease Cycles'!$C$13*INDEX('Lease Cycles'!$CB$13:$CH$13,1,CG95)*(1+INDEX('Lease Cycles'!$CI$13:$CO$13,1,CG95))^INT(INT(CG96/12)/INDEX('Lease Cycles'!$CP$13:$CV$13,1,CG95))/12))),IF('Lease Cycles'!$N$13=1,'Lease Cycles'!$C$13*'Lease Cycles'!$E$13*INDEX('Lease Cycles'!$HE$13:$HK$13,1,CG95)*(1+INDEX('Lease Cycles'!$GQ$13:$GW$13,1,CG95))^INT(INT((CG$6-INDEX('Lease Cycles'!$GJ$13:$GP$13,1,CG95))/12)/INDEX('Lease Cycles'!$GX$13:$HD$13,1,CG95))/12,0)))</f>
        <v>3193.3006163034984</v>
      </c>
      <c r="CH98" s="28">
        <f>IF(CH95=0,IF('Lease Cycles'!$F$13&gt;0,'Lease Cycles'!$C$13*'Lease Cycles'!$E$13/12,0),IF(CH97=1,IF('Lease Cycles'!$AT$13&gt;=9999,'Lease Cycles'!$C$13*INDEX('Lease Cycles'!$CB$13:$CH$13,1,CH95)*(1+INDEX('Lease Cycles'!$CI$13:$CO$13,1,CH95))^INT(INT(CH96/12)/INDEX('Lease Cycles'!$CP$13:$CV$13,1,CH95))/12,IF(CH95=1,IF(CH96&gt;=INDEX('Lease Cycles'!$DK$13:$DQ$13,1,CH95),IF(CH$6&gt;='Lease Cycles'!$AZ$13,'Lease Cycles'!$C$13*'Lease Cycles'!$BA$13/12,IF(CH$6&gt;='Lease Cycles'!$AX$13,'Lease Cycles'!$C$13*'Lease Cycles'!$AY$13/12,IF(CH$6&gt;='Lease Cycles'!$AV$13,'Lease Cycles'!$C$13*'Lease Cycles'!$AW$13/12,IF(CH$6&gt;='Lease Cycles'!$AT$13,'Lease Cycles'!$C$13*'Lease Cycles'!$AU$13/12,'Lease Cycles'!$C$13*INDEX('Lease Cycles'!$CB$13:$CH$13,1,CH95)*(1+INDEX('Lease Cycles'!$CI$13:$CO$13,1,CH95))^INT(INT(CH96/12)/INDEX('Lease Cycles'!$CP$13:$CV$13,1,CH95))/12)))),'Lease Cycles'!$C$13*INDEX('Lease Cycles'!$CB$13:$CH$13,1,CH95)*(1+INDEX('Lease Cycles'!$CI$13:$CO$13,1,CH95))^INT(INT(CH96/12)/INDEX('Lease Cycles'!$CP$13:$CV$13,1,CH95))/12),IF(INDEX('Lease Cycles'!$EF$13:$EL$13,1,CH95)=1,IF(AND('Lease Cycles'!$AZ$13&gt;=INDEX('Lease Cycles'!$BG$13:$BM$13,1,CH95),'Lease Cycles'!$AZ$13&lt;=CH$6),'Lease Cycles'!$C$13*'Lease Cycles'!$BA$13/12,IF(AND('Lease Cycles'!$AX$13&gt;=INDEX('Lease Cycles'!$BG$13:$BM$13,1,CH95),'Lease Cycles'!$AX$13&lt;=CH$6),'Lease Cycles'!$C$13*'Lease Cycles'!$AY$13/12,IF(AND('Lease Cycles'!$AV$13&gt;=INDEX('Lease Cycles'!$BG$13:$BM$13,1,CH95),'Lease Cycles'!$AV$13&lt;=CH$6),'Lease Cycles'!$C$13*'Lease Cycles'!$AW$13/12,IF(AND('Lease Cycles'!$AT$13&gt;=INDEX('Lease Cycles'!$BG$13:$BM$13,1,CH95),'Lease Cycles'!$AT$13&lt;=CH$6),'Lease Cycles'!$C$13*'Lease Cycles'!$AU$13/12,'Lease Cycles'!$C$13*INDEX('Lease Cycles'!$CB$13:$CH$13,1,CH95)*(1+INDEX('Lease Cycles'!$CI$13:$CO$13,1,CH95))^INT(INT(CH96/12)/INDEX('Lease Cycles'!$CP$13:$CV$13,1,CH95))/12)))),'Lease Cycles'!$C$13*INDEX('Lease Cycles'!$CB$13:$CH$13,1,CH95)*(1+INDEX('Lease Cycles'!$CI$13:$CO$13,1,CH95))^INT(INT(CH96/12)/INDEX('Lease Cycles'!$CP$13:$CV$13,1,CH95))/12))),IF('Lease Cycles'!$N$13=1,'Lease Cycles'!$C$13*'Lease Cycles'!$E$13*INDEX('Lease Cycles'!$HE$13:$HK$13,1,CH95)*(1+INDEX('Lease Cycles'!$GQ$13:$GW$13,1,CH95))^INT(INT((CH$6-INDEX('Lease Cycles'!$GJ$13:$GP$13,1,CH95))/12)/INDEX('Lease Cycles'!$GX$13:$HD$13,1,CH95))/12,0)))</f>
        <v>3193.3006163034984</v>
      </c>
      <c r="CI98" s="28">
        <f>IF(CI95=0,IF('Lease Cycles'!$F$13&gt;0,'Lease Cycles'!$C$13*'Lease Cycles'!$E$13/12,0),IF(CI97=1,IF('Lease Cycles'!$AT$13&gt;=9999,'Lease Cycles'!$C$13*INDEX('Lease Cycles'!$CB$13:$CH$13,1,CI95)*(1+INDEX('Lease Cycles'!$CI$13:$CO$13,1,CI95))^INT(INT(CI96/12)/INDEX('Lease Cycles'!$CP$13:$CV$13,1,CI95))/12,IF(CI95=1,IF(CI96&gt;=INDEX('Lease Cycles'!$DK$13:$DQ$13,1,CI95),IF(CI$6&gt;='Lease Cycles'!$AZ$13,'Lease Cycles'!$C$13*'Lease Cycles'!$BA$13/12,IF(CI$6&gt;='Lease Cycles'!$AX$13,'Lease Cycles'!$C$13*'Lease Cycles'!$AY$13/12,IF(CI$6&gt;='Lease Cycles'!$AV$13,'Lease Cycles'!$C$13*'Lease Cycles'!$AW$13/12,IF(CI$6&gt;='Lease Cycles'!$AT$13,'Lease Cycles'!$C$13*'Lease Cycles'!$AU$13/12,'Lease Cycles'!$C$13*INDEX('Lease Cycles'!$CB$13:$CH$13,1,CI95)*(1+INDEX('Lease Cycles'!$CI$13:$CO$13,1,CI95))^INT(INT(CI96/12)/INDEX('Lease Cycles'!$CP$13:$CV$13,1,CI95))/12)))),'Lease Cycles'!$C$13*INDEX('Lease Cycles'!$CB$13:$CH$13,1,CI95)*(1+INDEX('Lease Cycles'!$CI$13:$CO$13,1,CI95))^INT(INT(CI96/12)/INDEX('Lease Cycles'!$CP$13:$CV$13,1,CI95))/12),IF(INDEX('Lease Cycles'!$EF$13:$EL$13,1,CI95)=1,IF(AND('Lease Cycles'!$AZ$13&gt;=INDEX('Lease Cycles'!$BG$13:$BM$13,1,CI95),'Lease Cycles'!$AZ$13&lt;=CI$6),'Lease Cycles'!$C$13*'Lease Cycles'!$BA$13/12,IF(AND('Lease Cycles'!$AX$13&gt;=INDEX('Lease Cycles'!$BG$13:$BM$13,1,CI95),'Lease Cycles'!$AX$13&lt;=CI$6),'Lease Cycles'!$C$13*'Lease Cycles'!$AY$13/12,IF(AND('Lease Cycles'!$AV$13&gt;=INDEX('Lease Cycles'!$BG$13:$BM$13,1,CI95),'Lease Cycles'!$AV$13&lt;=CI$6),'Lease Cycles'!$C$13*'Lease Cycles'!$AW$13/12,IF(AND('Lease Cycles'!$AT$13&gt;=INDEX('Lease Cycles'!$BG$13:$BM$13,1,CI95),'Lease Cycles'!$AT$13&lt;=CI$6),'Lease Cycles'!$C$13*'Lease Cycles'!$AU$13/12,'Lease Cycles'!$C$13*INDEX('Lease Cycles'!$CB$13:$CH$13,1,CI95)*(1+INDEX('Lease Cycles'!$CI$13:$CO$13,1,CI95))^INT(INT(CI96/12)/INDEX('Lease Cycles'!$CP$13:$CV$13,1,CI95))/12)))),'Lease Cycles'!$C$13*INDEX('Lease Cycles'!$CB$13:$CH$13,1,CI95)*(1+INDEX('Lease Cycles'!$CI$13:$CO$13,1,CI95))^INT(INT(CI96/12)/INDEX('Lease Cycles'!$CP$13:$CV$13,1,CI95))/12))),IF('Lease Cycles'!$N$13=1,'Lease Cycles'!$C$13*'Lease Cycles'!$E$13*INDEX('Lease Cycles'!$HE$13:$HK$13,1,CI95)*(1+INDEX('Lease Cycles'!$GQ$13:$GW$13,1,CI95))^INT(INT((CI$6-INDEX('Lease Cycles'!$GJ$13:$GP$13,1,CI95))/12)/INDEX('Lease Cycles'!$GX$13:$HD$13,1,CI95))/12,0)))</f>
        <v>3193.3006163034984</v>
      </c>
      <c r="CJ98" s="28">
        <f>IF(CJ95=0,IF('Lease Cycles'!$F$13&gt;0,'Lease Cycles'!$C$13*'Lease Cycles'!$E$13/12,0),IF(CJ97=1,IF('Lease Cycles'!$AT$13&gt;=9999,'Lease Cycles'!$C$13*INDEX('Lease Cycles'!$CB$13:$CH$13,1,CJ95)*(1+INDEX('Lease Cycles'!$CI$13:$CO$13,1,CJ95))^INT(INT(CJ96/12)/INDEX('Lease Cycles'!$CP$13:$CV$13,1,CJ95))/12,IF(CJ95=1,IF(CJ96&gt;=INDEX('Lease Cycles'!$DK$13:$DQ$13,1,CJ95),IF(CJ$6&gt;='Lease Cycles'!$AZ$13,'Lease Cycles'!$C$13*'Lease Cycles'!$BA$13/12,IF(CJ$6&gt;='Lease Cycles'!$AX$13,'Lease Cycles'!$C$13*'Lease Cycles'!$AY$13/12,IF(CJ$6&gt;='Lease Cycles'!$AV$13,'Lease Cycles'!$C$13*'Lease Cycles'!$AW$13/12,IF(CJ$6&gt;='Lease Cycles'!$AT$13,'Lease Cycles'!$C$13*'Lease Cycles'!$AU$13/12,'Lease Cycles'!$C$13*INDEX('Lease Cycles'!$CB$13:$CH$13,1,CJ95)*(1+INDEX('Lease Cycles'!$CI$13:$CO$13,1,CJ95))^INT(INT(CJ96/12)/INDEX('Lease Cycles'!$CP$13:$CV$13,1,CJ95))/12)))),'Lease Cycles'!$C$13*INDEX('Lease Cycles'!$CB$13:$CH$13,1,CJ95)*(1+INDEX('Lease Cycles'!$CI$13:$CO$13,1,CJ95))^INT(INT(CJ96/12)/INDEX('Lease Cycles'!$CP$13:$CV$13,1,CJ95))/12),IF(INDEX('Lease Cycles'!$EF$13:$EL$13,1,CJ95)=1,IF(AND('Lease Cycles'!$AZ$13&gt;=INDEX('Lease Cycles'!$BG$13:$BM$13,1,CJ95),'Lease Cycles'!$AZ$13&lt;=CJ$6),'Lease Cycles'!$C$13*'Lease Cycles'!$BA$13/12,IF(AND('Lease Cycles'!$AX$13&gt;=INDEX('Lease Cycles'!$BG$13:$BM$13,1,CJ95),'Lease Cycles'!$AX$13&lt;=CJ$6),'Lease Cycles'!$C$13*'Lease Cycles'!$AY$13/12,IF(AND('Lease Cycles'!$AV$13&gt;=INDEX('Lease Cycles'!$BG$13:$BM$13,1,CJ95),'Lease Cycles'!$AV$13&lt;=CJ$6),'Lease Cycles'!$C$13*'Lease Cycles'!$AW$13/12,IF(AND('Lease Cycles'!$AT$13&gt;=INDEX('Lease Cycles'!$BG$13:$BM$13,1,CJ95),'Lease Cycles'!$AT$13&lt;=CJ$6),'Lease Cycles'!$C$13*'Lease Cycles'!$AU$13/12,'Lease Cycles'!$C$13*INDEX('Lease Cycles'!$CB$13:$CH$13,1,CJ95)*(1+INDEX('Lease Cycles'!$CI$13:$CO$13,1,CJ95))^INT(INT(CJ96/12)/INDEX('Lease Cycles'!$CP$13:$CV$13,1,CJ95))/12)))),'Lease Cycles'!$C$13*INDEX('Lease Cycles'!$CB$13:$CH$13,1,CJ95)*(1+INDEX('Lease Cycles'!$CI$13:$CO$13,1,CJ95))^INT(INT(CJ96/12)/INDEX('Lease Cycles'!$CP$13:$CV$13,1,CJ95))/12))),IF('Lease Cycles'!$N$13=1,'Lease Cycles'!$C$13*'Lease Cycles'!$E$13*INDEX('Lease Cycles'!$HE$13:$HK$13,1,CJ95)*(1+INDEX('Lease Cycles'!$GQ$13:$GW$13,1,CJ95))^INT(INT((CJ$6-INDEX('Lease Cycles'!$GJ$13:$GP$13,1,CJ95))/12)/INDEX('Lease Cycles'!$GX$13:$HD$13,1,CJ95))/12,0)))</f>
        <v>3289.099634792603</v>
      </c>
      <c r="CK98" s="28">
        <f>IF(CK95=0,IF('Lease Cycles'!$F$13&gt;0,'Lease Cycles'!$C$13*'Lease Cycles'!$E$13/12,0),IF(CK97=1,IF('Lease Cycles'!$AT$13&gt;=9999,'Lease Cycles'!$C$13*INDEX('Lease Cycles'!$CB$13:$CH$13,1,CK95)*(1+INDEX('Lease Cycles'!$CI$13:$CO$13,1,CK95))^INT(INT(CK96/12)/INDEX('Lease Cycles'!$CP$13:$CV$13,1,CK95))/12,IF(CK95=1,IF(CK96&gt;=INDEX('Lease Cycles'!$DK$13:$DQ$13,1,CK95),IF(CK$6&gt;='Lease Cycles'!$AZ$13,'Lease Cycles'!$C$13*'Lease Cycles'!$BA$13/12,IF(CK$6&gt;='Lease Cycles'!$AX$13,'Lease Cycles'!$C$13*'Lease Cycles'!$AY$13/12,IF(CK$6&gt;='Lease Cycles'!$AV$13,'Lease Cycles'!$C$13*'Lease Cycles'!$AW$13/12,IF(CK$6&gt;='Lease Cycles'!$AT$13,'Lease Cycles'!$C$13*'Lease Cycles'!$AU$13/12,'Lease Cycles'!$C$13*INDEX('Lease Cycles'!$CB$13:$CH$13,1,CK95)*(1+INDEX('Lease Cycles'!$CI$13:$CO$13,1,CK95))^INT(INT(CK96/12)/INDEX('Lease Cycles'!$CP$13:$CV$13,1,CK95))/12)))),'Lease Cycles'!$C$13*INDEX('Lease Cycles'!$CB$13:$CH$13,1,CK95)*(1+INDEX('Lease Cycles'!$CI$13:$CO$13,1,CK95))^INT(INT(CK96/12)/INDEX('Lease Cycles'!$CP$13:$CV$13,1,CK95))/12),IF(INDEX('Lease Cycles'!$EF$13:$EL$13,1,CK95)=1,IF(AND('Lease Cycles'!$AZ$13&gt;=INDEX('Lease Cycles'!$BG$13:$BM$13,1,CK95),'Lease Cycles'!$AZ$13&lt;=CK$6),'Lease Cycles'!$C$13*'Lease Cycles'!$BA$13/12,IF(AND('Lease Cycles'!$AX$13&gt;=INDEX('Lease Cycles'!$BG$13:$BM$13,1,CK95),'Lease Cycles'!$AX$13&lt;=CK$6),'Lease Cycles'!$C$13*'Lease Cycles'!$AY$13/12,IF(AND('Lease Cycles'!$AV$13&gt;=INDEX('Lease Cycles'!$BG$13:$BM$13,1,CK95),'Lease Cycles'!$AV$13&lt;=CK$6),'Lease Cycles'!$C$13*'Lease Cycles'!$AW$13/12,IF(AND('Lease Cycles'!$AT$13&gt;=INDEX('Lease Cycles'!$BG$13:$BM$13,1,CK95),'Lease Cycles'!$AT$13&lt;=CK$6),'Lease Cycles'!$C$13*'Lease Cycles'!$AU$13/12,'Lease Cycles'!$C$13*INDEX('Lease Cycles'!$CB$13:$CH$13,1,CK95)*(1+INDEX('Lease Cycles'!$CI$13:$CO$13,1,CK95))^INT(INT(CK96/12)/INDEX('Lease Cycles'!$CP$13:$CV$13,1,CK95))/12)))),'Lease Cycles'!$C$13*INDEX('Lease Cycles'!$CB$13:$CH$13,1,CK95)*(1+INDEX('Lease Cycles'!$CI$13:$CO$13,1,CK95))^INT(INT(CK96/12)/INDEX('Lease Cycles'!$CP$13:$CV$13,1,CK95))/12))),IF('Lease Cycles'!$N$13=1,'Lease Cycles'!$C$13*'Lease Cycles'!$E$13*INDEX('Lease Cycles'!$HE$13:$HK$13,1,CK95)*(1+INDEX('Lease Cycles'!$GQ$13:$GW$13,1,CK95))^INT(INT((CK$6-INDEX('Lease Cycles'!$GJ$13:$GP$13,1,CK95))/12)/INDEX('Lease Cycles'!$GX$13:$HD$13,1,CK95))/12,0)))</f>
        <v>3289.099634792603</v>
      </c>
      <c r="CL98" s="28">
        <f>IF(CL95=0,IF('Lease Cycles'!$F$13&gt;0,'Lease Cycles'!$C$13*'Lease Cycles'!$E$13/12,0),IF(CL97=1,IF('Lease Cycles'!$AT$13&gt;=9999,'Lease Cycles'!$C$13*INDEX('Lease Cycles'!$CB$13:$CH$13,1,CL95)*(1+INDEX('Lease Cycles'!$CI$13:$CO$13,1,CL95))^INT(INT(CL96/12)/INDEX('Lease Cycles'!$CP$13:$CV$13,1,CL95))/12,IF(CL95=1,IF(CL96&gt;=INDEX('Lease Cycles'!$DK$13:$DQ$13,1,CL95),IF(CL$6&gt;='Lease Cycles'!$AZ$13,'Lease Cycles'!$C$13*'Lease Cycles'!$BA$13/12,IF(CL$6&gt;='Lease Cycles'!$AX$13,'Lease Cycles'!$C$13*'Lease Cycles'!$AY$13/12,IF(CL$6&gt;='Lease Cycles'!$AV$13,'Lease Cycles'!$C$13*'Lease Cycles'!$AW$13/12,IF(CL$6&gt;='Lease Cycles'!$AT$13,'Lease Cycles'!$C$13*'Lease Cycles'!$AU$13/12,'Lease Cycles'!$C$13*INDEX('Lease Cycles'!$CB$13:$CH$13,1,CL95)*(1+INDEX('Lease Cycles'!$CI$13:$CO$13,1,CL95))^INT(INT(CL96/12)/INDEX('Lease Cycles'!$CP$13:$CV$13,1,CL95))/12)))),'Lease Cycles'!$C$13*INDEX('Lease Cycles'!$CB$13:$CH$13,1,CL95)*(1+INDEX('Lease Cycles'!$CI$13:$CO$13,1,CL95))^INT(INT(CL96/12)/INDEX('Lease Cycles'!$CP$13:$CV$13,1,CL95))/12),IF(INDEX('Lease Cycles'!$EF$13:$EL$13,1,CL95)=1,IF(AND('Lease Cycles'!$AZ$13&gt;=INDEX('Lease Cycles'!$BG$13:$BM$13,1,CL95),'Lease Cycles'!$AZ$13&lt;=CL$6),'Lease Cycles'!$C$13*'Lease Cycles'!$BA$13/12,IF(AND('Lease Cycles'!$AX$13&gt;=INDEX('Lease Cycles'!$BG$13:$BM$13,1,CL95),'Lease Cycles'!$AX$13&lt;=CL$6),'Lease Cycles'!$C$13*'Lease Cycles'!$AY$13/12,IF(AND('Lease Cycles'!$AV$13&gt;=INDEX('Lease Cycles'!$BG$13:$BM$13,1,CL95),'Lease Cycles'!$AV$13&lt;=CL$6),'Lease Cycles'!$C$13*'Lease Cycles'!$AW$13/12,IF(AND('Lease Cycles'!$AT$13&gt;=INDEX('Lease Cycles'!$BG$13:$BM$13,1,CL95),'Lease Cycles'!$AT$13&lt;=CL$6),'Lease Cycles'!$C$13*'Lease Cycles'!$AU$13/12,'Lease Cycles'!$C$13*INDEX('Lease Cycles'!$CB$13:$CH$13,1,CL95)*(1+INDEX('Lease Cycles'!$CI$13:$CO$13,1,CL95))^INT(INT(CL96/12)/INDEX('Lease Cycles'!$CP$13:$CV$13,1,CL95))/12)))),'Lease Cycles'!$C$13*INDEX('Lease Cycles'!$CB$13:$CH$13,1,CL95)*(1+INDEX('Lease Cycles'!$CI$13:$CO$13,1,CL95))^INT(INT(CL96/12)/INDEX('Lease Cycles'!$CP$13:$CV$13,1,CL95))/12))),IF('Lease Cycles'!$N$13=1,'Lease Cycles'!$C$13*'Lease Cycles'!$E$13*INDEX('Lease Cycles'!$HE$13:$HK$13,1,CL95)*(1+INDEX('Lease Cycles'!$GQ$13:$GW$13,1,CL95))^INT(INT((CL$6-INDEX('Lease Cycles'!$GJ$13:$GP$13,1,CL95))/12)/INDEX('Lease Cycles'!$GX$13:$HD$13,1,CL95))/12,0)))</f>
        <v>3289.099634792603</v>
      </c>
      <c r="CM98" s="28">
        <f>IF(CM95=0,IF('Lease Cycles'!$F$13&gt;0,'Lease Cycles'!$C$13*'Lease Cycles'!$E$13/12,0),IF(CM97=1,IF('Lease Cycles'!$AT$13&gt;=9999,'Lease Cycles'!$C$13*INDEX('Lease Cycles'!$CB$13:$CH$13,1,CM95)*(1+INDEX('Lease Cycles'!$CI$13:$CO$13,1,CM95))^INT(INT(CM96/12)/INDEX('Lease Cycles'!$CP$13:$CV$13,1,CM95))/12,IF(CM95=1,IF(CM96&gt;=INDEX('Lease Cycles'!$DK$13:$DQ$13,1,CM95),IF(CM$6&gt;='Lease Cycles'!$AZ$13,'Lease Cycles'!$C$13*'Lease Cycles'!$BA$13/12,IF(CM$6&gt;='Lease Cycles'!$AX$13,'Lease Cycles'!$C$13*'Lease Cycles'!$AY$13/12,IF(CM$6&gt;='Lease Cycles'!$AV$13,'Lease Cycles'!$C$13*'Lease Cycles'!$AW$13/12,IF(CM$6&gt;='Lease Cycles'!$AT$13,'Lease Cycles'!$C$13*'Lease Cycles'!$AU$13/12,'Lease Cycles'!$C$13*INDEX('Lease Cycles'!$CB$13:$CH$13,1,CM95)*(1+INDEX('Lease Cycles'!$CI$13:$CO$13,1,CM95))^INT(INT(CM96/12)/INDEX('Lease Cycles'!$CP$13:$CV$13,1,CM95))/12)))),'Lease Cycles'!$C$13*INDEX('Lease Cycles'!$CB$13:$CH$13,1,CM95)*(1+INDEX('Lease Cycles'!$CI$13:$CO$13,1,CM95))^INT(INT(CM96/12)/INDEX('Lease Cycles'!$CP$13:$CV$13,1,CM95))/12),IF(INDEX('Lease Cycles'!$EF$13:$EL$13,1,CM95)=1,IF(AND('Lease Cycles'!$AZ$13&gt;=INDEX('Lease Cycles'!$BG$13:$BM$13,1,CM95),'Lease Cycles'!$AZ$13&lt;=CM$6),'Lease Cycles'!$C$13*'Lease Cycles'!$BA$13/12,IF(AND('Lease Cycles'!$AX$13&gt;=INDEX('Lease Cycles'!$BG$13:$BM$13,1,CM95),'Lease Cycles'!$AX$13&lt;=CM$6),'Lease Cycles'!$C$13*'Lease Cycles'!$AY$13/12,IF(AND('Lease Cycles'!$AV$13&gt;=INDEX('Lease Cycles'!$BG$13:$BM$13,1,CM95),'Lease Cycles'!$AV$13&lt;=CM$6),'Lease Cycles'!$C$13*'Lease Cycles'!$AW$13/12,IF(AND('Lease Cycles'!$AT$13&gt;=INDEX('Lease Cycles'!$BG$13:$BM$13,1,CM95),'Lease Cycles'!$AT$13&lt;=CM$6),'Lease Cycles'!$C$13*'Lease Cycles'!$AU$13/12,'Lease Cycles'!$C$13*INDEX('Lease Cycles'!$CB$13:$CH$13,1,CM95)*(1+INDEX('Lease Cycles'!$CI$13:$CO$13,1,CM95))^INT(INT(CM96/12)/INDEX('Lease Cycles'!$CP$13:$CV$13,1,CM95))/12)))),'Lease Cycles'!$C$13*INDEX('Lease Cycles'!$CB$13:$CH$13,1,CM95)*(1+INDEX('Lease Cycles'!$CI$13:$CO$13,1,CM95))^INT(INT(CM96/12)/INDEX('Lease Cycles'!$CP$13:$CV$13,1,CM95))/12))),IF('Lease Cycles'!$N$13=1,'Lease Cycles'!$C$13*'Lease Cycles'!$E$13*INDEX('Lease Cycles'!$HE$13:$HK$13,1,CM95)*(1+INDEX('Lease Cycles'!$GQ$13:$GW$13,1,CM95))^INT(INT((CM$6-INDEX('Lease Cycles'!$GJ$13:$GP$13,1,CM95))/12)/INDEX('Lease Cycles'!$GX$13:$HD$13,1,CM95))/12,0)))</f>
        <v>3289.099634792603</v>
      </c>
      <c r="CN98" s="28">
        <f>IF(CN95=0,IF('Lease Cycles'!$F$13&gt;0,'Lease Cycles'!$C$13*'Lease Cycles'!$E$13/12,0),IF(CN97=1,IF('Lease Cycles'!$AT$13&gt;=9999,'Lease Cycles'!$C$13*INDEX('Lease Cycles'!$CB$13:$CH$13,1,CN95)*(1+INDEX('Lease Cycles'!$CI$13:$CO$13,1,CN95))^INT(INT(CN96/12)/INDEX('Lease Cycles'!$CP$13:$CV$13,1,CN95))/12,IF(CN95=1,IF(CN96&gt;=INDEX('Lease Cycles'!$DK$13:$DQ$13,1,CN95),IF(CN$6&gt;='Lease Cycles'!$AZ$13,'Lease Cycles'!$C$13*'Lease Cycles'!$BA$13/12,IF(CN$6&gt;='Lease Cycles'!$AX$13,'Lease Cycles'!$C$13*'Lease Cycles'!$AY$13/12,IF(CN$6&gt;='Lease Cycles'!$AV$13,'Lease Cycles'!$C$13*'Lease Cycles'!$AW$13/12,IF(CN$6&gt;='Lease Cycles'!$AT$13,'Lease Cycles'!$C$13*'Lease Cycles'!$AU$13/12,'Lease Cycles'!$C$13*INDEX('Lease Cycles'!$CB$13:$CH$13,1,CN95)*(1+INDEX('Lease Cycles'!$CI$13:$CO$13,1,CN95))^INT(INT(CN96/12)/INDEX('Lease Cycles'!$CP$13:$CV$13,1,CN95))/12)))),'Lease Cycles'!$C$13*INDEX('Lease Cycles'!$CB$13:$CH$13,1,CN95)*(1+INDEX('Lease Cycles'!$CI$13:$CO$13,1,CN95))^INT(INT(CN96/12)/INDEX('Lease Cycles'!$CP$13:$CV$13,1,CN95))/12),IF(INDEX('Lease Cycles'!$EF$13:$EL$13,1,CN95)=1,IF(AND('Lease Cycles'!$AZ$13&gt;=INDEX('Lease Cycles'!$BG$13:$BM$13,1,CN95),'Lease Cycles'!$AZ$13&lt;=CN$6),'Lease Cycles'!$C$13*'Lease Cycles'!$BA$13/12,IF(AND('Lease Cycles'!$AX$13&gt;=INDEX('Lease Cycles'!$BG$13:$BM$13,1,CN95),'Lease Cycles'!$AX$13&lt;=CN$6),'Lease Cycles'!$C$13*'Lease Cycles'!$AY$13/12,IF(AND('Lease Cycles'!$AV$13&gt;=INDEX('Lease Cycles'!$BG$13:$BM$13,1,CN95),'Lease Cycles'!$AV$13&lt;=CN$6),'Lease Cycles'!$C$13*'Lease Cycles'!$AW$13/12,IF(AND('Lease Cycles'!$AT$13&gt;=INDEX('Lease Cycles'!$BG$13:$BM$13,1,CN95),'Lease Cycles'!$AT$13&lt;=CN$6),'Lease Cycles'!$C$13*'Lease Cycles'!$AU$13/12,'Lease Cycles'!$C$13*INDEX('Lease Cycles'!$CB$13:$CH$13,1,CN95)*(1+INDEX('Lease Cycles'!$CI$13:$CO$13,1,CN95))^INT(INT(CN96/12)/INDEX('Lease Cycles'!$CP$13:$CV$13,1,CN95))/12)))),'Lease Cycles'!$C$13*INDEX('Lease Cycles'!$CB$13:$CH$13,1,CN95)*(1+INDEX('Lease Cycles'!$CI$13:$CO$13,1,CN95))^INT(INT(CN96/12)/INDEX('Lease Cycles'!$CP$13:$CV$13,1,CN95))/12))),IF('Lease Cycles'!$N$13=1,'Lease Cycles'!$C$13*'Lease Cycles'!$E$13*INDEX('Lease Cycles'!$HE$13:$HK$13,1,CN95)*(1+INDEX('Lease Cycles'!$GQ$13:$GW$13,1,CN95))^INT(INT((CN$6-INDEX('Lease Cycles'!$GJ$13:$GP$13,1,CN95))/12)/INDEX('Lease Cycles'!$GX$13:$HD$13,1,CN95))/12,0)))</f>
        <v>3289.099634792603</v>
      </c>
      <c r="CO98" s="28">
        <f>IF(CO95=0,IF('Lease Cycles'!$F$13&gt;0,'Lease Cycles'!$C$13*'Lease Cycles'!$E$13/12,0),IF(CO97=1,IF('Lease Cycles'!$AT$13&gt;=9999,'Lease Cycles'!$C$13*INDEX('Lease Cycles'!$CB$13:$CH$13,1,CO95)*(1+INDEX('Lease Cycles'!$CI$13:$CO$13,1,CO95))^INT(INT(CO96/12)/INDEX('Lease Cycles'!$CP$13:$CV$13,1,CO95))/12,IF(CO95=1,IF(CO96&gt;=INDEX('Lease Cycles'!$DK$13:$DQ$13,1,CO95),IF(CO$6&gt;='Lease Cycles'!$AZ$13,'Lease Cycles'!$C$13*'Lease Cycles'!$BA$13/12,IF(CO$6&gt;='Lease Cycles'!$AX$13,'Lease Cycles'!$C$13*'Lease Cycles'!$AY$13/12,IF(CO$6&gt;='Lease Cycles'!$AV$13,'Lease Cycles'!$C$13*'Lease Cycles'!$AW$13/12,IF(CO$6&gt;='Lease Cycles'!$AT$13,'Lease Cycles'!$C$13*'Lease Cycles'!$AU$13/12,'Lease Cycles'!$C$13*INDEX('Lease Cycles'!$CB$13:$CH$13,1,CO95)*(1+INDEX('Lease Cycles'!$CI$13:$CO$13,1,CO95))^INT(INT(CO96/12)/INDEX('Lease Cycles'!$CP$13:$CV$13,1,CO95))/12)))),'Lease Cycles'!$C$13*INDEX('Lease Cycles'!$CB$13:$CH$13,1,CO95)*(1+INDEX('Lease Cycles'!$CI$13:$CO$13,1,CO95))^INT(INT(CO96/12)/INDEX('Lease Cycles'!$CP$13:$CV$13,1,CO95))/12),IF(INDEX('Lease Cycles'!$EF$13:$EL$13,1,CO95)=1,IF(AND('Lease Cycles'!$AZ$13&gt;=INDEX('Lease Cycles'!$BG$13:$BM$13,1,CO95),'Lease Cycles'!$AZ$13&lt;=CO$6),'Lease Cycles'!$C$13*'Lease Cycles'!$BA$13/12,IF(AND('Lease Cycles'!$AX$13&gt;=INDEX('Lease Cycles'!$BG$13:$BM$13,1,CO95),'Lease Cycles'!$AX$13&lt;=CO$6),'Lease Cycles'!$C$13*'Lease Cycles'!$AY$13/12,IF(AND('Lease Cycles'!$AV$13&gt;=INDEX('Lease Cycles'!$BG$13:$BM$13,1,CO95),'Lease Cycles'!$AV$13&lt;=CO$6),'Lease Cycles'!$C$13*'Lease Cycles'!$AW$13/12,IF(AND('Lease Cycles'!$AT$13&gt;=INDEX('Lease Cycles'!$BG$13:$BM$13,1,CO95),'Lease Cycles'!$AT$13&lt;=CO$6),'Lease Cycles'!$C$13*'Lease Cycles'!$AU$13/12,'Lease Cycles'!$C$13*INDEX('Lease Cycles'!$CB$13:$CH$13,1,CO95)*(1+INDEX('Lease Cycles'!$CI$13:$CO$13,1,CO95))^INT(INT(CO96/12)/INDEX('Lease Cycles'!$CP$13:$CV$13,1,CO95))/12)))),'Lease Cycles'!$C$13*INDEX('Lease Cycles'!$CB$13:$CH$13,1,CO95)*(1+INDEX('Lease Cycles'!$CI$13:$CO$13,1,CO95))^INT(INT(CO96/12)/INDEX('Lease Cycles'!$CP$13:$CV$13,1,CO95))/12))),IF('Lease Cycles'!$N$13=1,'Lease Cycles'!$C$13*'Lease Cycles'!$E$13*INDEX('Lease Cycles'!$HE$13:$HK$13,1,CO95)*(1+INDEX('Lease Cycles'!$GQ$13:$GW$13,1,CO95))^INT(INT((CO$6-INDEX('Lease Cycles'!$GJ$13:$GP$13,1,CO95))/12)/INDEX('Lease Cycles'!$GX$13:$HD$13,1,CO95))/12,0)))</f>
        <v>3289.099634792603</v>
      </c>
      <c r="CP98" s="28">
        <f>IF(CP95=0,IF('Lease Cycles'!$F$13&gt;0,'Lease Cycles'!$C$13*'Lease Cycles'!$E$13/12,0),IF(CP97=1,IF('Lease Cycles'!$AT$13&gt;=9999,'Lease Cycles'!$C$13*INDEX('Lease Cycles'!$CB$13:$CH$13,1,CP95)*(1+INDEX('Lease Cycles'!$CI$13:$CO$13,1,CP95))^INT(INT(CP96/12)/INDEX('Lease Cycles'!$CP$13:$CV$13,1,CP95))/12,IF(CP95=1,IF(CP96&gt;=INDEX('Lease Cycles'!$DK$13:$DQ$13,1,CP95),IF(CP$6&gt;='Lease Cycles'!$AZ$13,'Lease Cycles'!$C$13*'Lease Cycles'!$BA$13/12,IF(CP$6&gt;='Lease Cycles'!$AX$13,'Lease Cycles'!$C$13*'Lease Cycles'!$AY$13/12,IF(CP$6&gt;='Lease Cycles'!$AV$13,'Lease Cycles'!$C$13*'Lease Cycles'!$AW$13/12,IF(CP$6&gt;='Lease Cycles'!$AT$13,'Lease Cycles'!$C$13*'Lease Cycles'!$AU$13/12,'Lease Cycles'!$C$13*INDEX('Lease Cycles'!$CB$13:$CH$13,1,CP95)*(1+INDEX('Lease Cycles'!$CI$13:$CO$13,1,CP95))^INT(INT(CP96/12)/INDEX('Lease Cycles'!$CP$13:$CV$13,1,CP95))/12)))),'Lease Cycles'!$C$13*INDEX('Lease Cycles'!$CB$13:$CH$13,1,CP95)*(1+INDEX('Lease Cycles'!$CI$13:$CO$13,1,CP95))^INT(INT(CP96/12)/INDEX('Lease Cycles'!$CP$13:$CV$13,1,CP95))/12),IF(INDEX('Lease Cycles'!$EF$13:$EL$13,1,CP95)=1,IF(AND('Lease Cycles'!$AZ$13&gt;=INDEX('Lease Cycles'!$BG$13:$BM$13,1,CP95),'Lease Cycles'!$AZ$13&lt;=CP$6),'Lease Cycles'!$C$13*'Lease Cycles'!$BA$13/12,IF(AND('Lease Cycles'!$AX$13&gt;=INDEX('Lease Cycles'!$BG$13:$BM$13,1,CP95),'Lease Cycles'!$AX$13&lt;=CP$6),'Lease Cycles'!$C$13*'Lease Cycles'!$AY$13/12,IF(AND('Lease Cycles'!$AV$13&gt;=INDEX('Lease Cycles'!$BG$13:$BM$13,1,CP95),'Lease Cycles'!$AV$13&lt;=CP$6),'Lease Cycles'!$C$13*'Lease Cycles'!$AW$13/12,IF(AND('Lease Cycles'!$AT$13&gt;=INDEX('Lease Cycles'!$BG$13:$BM$13,1,CP95),'Lease Cycles'!$AT$13&lt;=CP$6),'Lease Cycles'!$C$13*'Lease Cycles'!$AU$13/12,'Lease Cycles'!$C$13*INDEX('Lease Cycles'!$CB$13:$CH$13,1,CP95)*(1+INDEX('Lease Cycles'!$CI$13:$CO$13,1,CP95))^INT(INT(CP96/12)/INDEX('Lease Cycles'!$CP$13:$CV$13,1,CP95))/12)))),'Lease Cycles'!$C$13*INDEX('Lease Cycles'!$CB$13:$CH$13,1,CP95)*(1+INDEX('Lease Cycles'!$CI$13:$CO$13,1,CP95))^INT(INT(CP96/12)/INDEX('Lease Cycles'!$CP$13:$CV$13,1,CP95))/12))),IF('Lease Cycles'!$N$13=1,'Lease Cycles'!$C$13*'Lease Cycles'!$E$13*INDEX('Lease Cycles'!$HE$13:$HK$13,1,CP95)*(1+INDEX('Lease Cycles'!$GQ$13:$GW$13,1,CP95))^INT(INT((CP$6-INDEX('Lease Cycles'!$GJ$13:$GP$13,1,CP95))/12)/INDEX('Lease Cycles'!$GX$13:$HD$13,1,CP95))/12,0)))</f>
        <v>3289.099634792603</v>
      </c>
      <c r="CQ98" s="28">
        <f>IF(CQ95=0,IF('Lease Cycles'!$F$13&gt;0,'Lease Cycles'!$C$13*'Lease Cycles'!$E$13/12,0),IF(CQ97=1,IF('Lease Cycles'!$AT$13&gt;=9999,'Lease Cycles'!$C$13*INDEX('Lease Cycles'!$CB$13:$CH$13,1,CQ95)*(1+INDEX('Lease Cycles'!$CI$13:$CO$13,1,CQ95))^INT(INT(CQ96/12)/INDEX('Lease Cycles'!$CP$13:$CV$13,1,CQ95))/12,IF(CQ95=1,IF(CQ96&gt;=INDEX('Lease Cycles'!$DK$13:$DQ$13,1,CQ95),IF(CQ$6&gt;='Lease Cycles'!$AZ$13,'Lease Cycles'!$C$13*'Lease Cycles'!$BA$13/12,IF(CQ$6&gt;='Lease Cycles'!$AX$13,'Lease Cycles'!$C$13*'Lease Cycles'!$AY$13/12,IF(CQ$6&gt;='Lease Cycles'!$AV$13,'Lease Cycles'!$C$13*'Lease Cycles'!$AW$13/12,IF(CQ$6&gt;='Lease Cycles'!$AT$13,'Lease Cycles'!$C$13*'Lease Cycles'!$AU$13/12,'Lease Cycles'!$C$13*INDEX('Lease Cycles'!$CB$13:$CH$13,1,CQ95)*(1+INDEX('Lease Cycles'!$CI$13:$CO$13,1,CQ95))^INT(INT(CQ96/12)/INDEX('Lease Cycles'!$CP$13:$CV$13,1,CQ95))/12)))),'Lease Cycles'!$C$13*INDEX('Lease Cycles'!$CB$13:$CH$13,1,CQ95)*(1+INDEX('Lease Cycles'!$CI$13:$CO$13,1,CQ95))^INT(INT(CQ96/12)/INDEX('Lease Cycles'!$CP$13:$CV$13,1,CQ95))/12),IF(INDEX('Lease Cycles'!$EF$13:$EL$13,1,CQ95)=1,IF(AND('Lease Cycles'!$AZ$13&gt;=INDEX('Lease Cycles'!$BG$13:$BM$13,1,CQ95),'Lease Cycles'!$AZ$13&lt;=CQ$6),'Lease Cycles'!$C$13*'Lease Cycles'!$BA$13/12,IF(AND('Lease Cycles'!$AX$13&gt;=INDEX('Lease Cycles'!$BG$13:$BM$13,1,CQ95),'Lease Cycles'!$AX$13&lt;=CQ$6),'Lease Cycles'!$C$13*'Lease Cycles'!$AY$13/12,IF(AND('Lease Cycles'!$AV$13&gt;=INDEX('Lease Cycles'!$BG$13:$BM$13,1,CQ95),'Lease Cycles'!$AV$13&lt;=CQ$6),'Lease Cycles'!$C$13*'Lease Cycles'!$AW$13/12,IF(AND('Lease Cycles'!$AT$13&gt;=INDEX('Lease Cycles'!$BG$13:$BM$13,1,CQ95),'Lease Cycles'!$AT$13&lt;=CQ$6),'Lease Cycles'!$C$13*'Lease Cycles'!$AU$13/12,'Lease Cycles'!$C$13*INDEX('Lease Cycles'!$CB$13:$CH$13,1,CQ95)*(1+INDEX('Lease Cycles'!$CI$13:$CO$13,1,CQ95))^INT(INT(CQ96/12)/INDEX('Lease Cycles'!$CP$13:$CV$13,1,CQ95))/12)))),'Lease Cycles'!$C$13*INDEX('Lease Cycles'!$CB$13:$CH$13,1,CQ95)*(1+INDEX('Lease Cycles'!$CI$13:$CO$13,1,CQ95))^INT(INT(CQ96/12)/INDEX('Lease Cycles'!$CP$13:$CV$13,1,CQ95))/12))),IF('Lease Cycles'!$N$13=1,'Lease Cycles'!$C$13*'Lease Cycles'!$E$13*INDEX('Lease Cycles'!$HE$13:$HK$13,1,CQ95)*(1+INDEX('Lease Cycles'!$GQ$13:$GW$13,1,CQ95))^INT(INT((CQ$6-INDEX('Lease Cycles'!$GJ$13:$GP$13,1,CQ95))/12)/INDEX('Lease Cycles'!$GX$13:$HD$13,1,CQ95))/12,0)))</f>
        <v>3289.099634792603</v>
      </c>
      <c r="CR98" s="28">
        <f>IF(CR95=0,IF('Lease Cycles'!$F$13&gt;0,'Lease Cycles'!$C$13*'Lease Cycles'!$E$13/12,0),IF(CR97=1,IF('Lease Cycles'!$AT$13&gt;=9999,'Lease Cycles'!$C$13*INDEX('Lease Cycles'!$CB$13:$CH$13,1,CR95)*(1+INDEX('Lease Cycles'!$CI$13:$CO$13,1,CR95))^INT(INT(CR96/12)/INDEX('Lease Cycles'!$CP$13:$CV$13,1,CR95))/12,IF(CR95=1,IF(CR96&gt;=INDEX('Lease Cycles'!$DK$13:$DQ$13,1,CR95),IF(CR$6&gt;='Lease Cycles'!$AZ$13,'Lease Cycles'!$C$13*'Lease Cycles'!$BA$13/12,IF(CR$6&gt;='Lease Cycles'!$AX$13,'Lease Cycles'!$C$13*'Lease Cycles'!$AY$13/12,IF(CR$6&gt;='Lease Cycles'!$AV$13,'Lease Cycles'!$C$13*'Lease Cycles'!$AW$13/12,IF(CR$6&gt;='Lease Cycles'!$AT$13,'Lease Cycles'!$C$13*'Lease Cycles'!$AU$13/12,'Lease Cycles'!$C$13*INDEX('Lease Cycles'!$CB$13:$CH$13,1,CR95)*(1+INDEX('Lease Cycles'!$CI$13:$CO$13,1,CR95))^INT(INT(CR96/12)/INDEX('Lease Cycles'!$CP$13:$CV$13,1,CR95))/12)))),'Lease Cycles'!$C$13*INDEX('Lease Cycles'!$CB$13:$CH$13,1,CR95)*(1+INDEX('Lease Cycles'!$CI$13:$CO$13,1,CR95))^INT(INT(CR96/12)/INDEX('Lease Cycles'!$CP$13:$CV$13,1,CR95))/12),IF(INDEX('Lease Cycles'!$EF$13:$EL$13,1,CR95)=1,IF(AND('Lease Cycles'!$AZ$13&gt;=INDEX('Lease Cycles'!$BG$13:$BM$13,1,CR95),'Lease Cycles'!$AZ$13&lt;=CR$6),'Lease Cycles'!$C$13*'Lease Cycles'!$BA$13/12,IF(AND('Lease Cycles'!$AX$13&gt;=INDEX('Lease Cycles'!$BG$13:$BM$13,1,CR95),'Lease Cycles'!$AX$13&lt;=CR$6),'Lease Cycles'!$C$13*'Lease Cycles'!$AY$13/12,IF(AND('Lease Cycles'!$AV$13&gt;=INDEX('Lease Cycles'!$BG$13:$BM$13,1,CR95),'Lease Cycles'!$AV$13&lt;=CR$6),'Lease Cycles'!$C$13*'Lease Cycles'!$AW$13/12,IF(AND('Lease Cycles'!$AT$13&gt;=INDEX('Lease Cycles'!$BG$13:$BM$13,1,CR95),'Lease Cycles'!$AT$13&lt;=CR$6),'Lease Cycles'!$C$13*'Lease Cycles'!$AU$13/12,'Lease Cycles'!$C$13*INDEX('Lease Cycles'!$CB$13:$CH$13,1,CR95)*(1+INDEX('Lease Cycles'!$CI$13:$CO$13,1,CR95))^INT(INT(CR96/12)/INDEX('Lease Cycles'!$CP$13:$CV$13,1,CR95))/12)))),'Lease Cycles'!$C$13*INDEX('Lease Cycles'!$CB$13:$CH$13,1,CR95)*(1+INDEX('Lease Cycles'!$CI$13:$CO$13,1,CR95))^INT(INT(CR96/12)/INDEX('Lease Cycles'!$CP$13:$CV$13,1,CR95))/12))),IF('Lease Cycles'!$N$13=1,'Lease Cycles'!$C$13*'Lease Cycles'!$E$13*INDEX('Lease Cycles'!$HE$13:$HK$13,1,CR95)*(1+INDEX('Lease Cycles'!$GQ$13:$GW$13,1,CR95))^INT(INT((CR$6-INDEX('Lease Cycles'!$GJ$13:$GP$13,1,CR95))/12)/INDEX('Lease Cycles'!$GX$13:$HD$13,1,CR95))/12,0)))</f>
        <v>3289.099634792603</v>
      </c>
      <c r="CS98" s="28">
        <f>IF(CS95=0,IF('Lease Cycles'!$F$13&gt;0,'Lease Cycles'!$C$13*'Lease Cycles'!$E$13/12,0),IF(CS97=1,IF('Lease Cycles'!$AT$13&gt;=9999,'Lease Cycles'!$C$13*INDEX('Lease Cycles'!$CB$13:$CH$13,1,CS95)*(1+INDEX('Lease Cycles'!$CI$13:$CO$13,1,CS95))^INT(INT(CS96/12)/INDEX('Lease Cycles'!$CP$13:$CV$13,1,CS95))/12,IF(CS95=1,IF(CS96&gt;=INDEX('Lease Cycles'!$DK$13:$DQ$13,1,CS95),IF(CS$6&gt;='Lease Cycles'!$AZ$13,'Lease Cycles'!$C$13*'Lease Cycles'!$BA$13/12,IF(CS$6&gt;='Lease Cycles'!$AX$13,'Lease Cycles'!$C$13*'Lease Cycles'!$AY$13/12,IF(CS$6&gt;='Lease Cycles'!$AV$13,'Lease Cycles'!$C$13*'Lease Cycles'!$AW$13/12,IF(CS$6&gt;='Lease Cycles'!$AT$13,'Lease Cycles'!$C$13*'Lease Cycles'!$AU$13/12,'Lease Cycles'!$C$13*INDEX('Lease Cycles'!$CB$13:$CH$13,1,CS95)*(1+INDEX('Lease Cycles'!$CI$13:$CO$13,1,CS95))^INT(INT(CS96/12)/INDEX('Lease Cycles'!$CP$13:$CV$13,1,CS95))/12)))),'Lease Cycles'!$C$13*INDEX('Lease Cycles'!$CB$13:$CH$13,1,CS95)*(1+INDEX('Lease Cycles'!$CI$13:$CO$13,1,CS95))^INT(INT(CS96/12)/INDEX('Lease Cycles'!$CP$13:$CV$13,1,CS95))/12),IF(INDEX('Lease Cycles'!$EF$13:$EL$13,1,CS95)=1,IF(AND('Lease Cycles'!$AZ$13&gt;=INDEX('Lease Cycles'!$BG$13:$BM$13,1,CS95),'Lease Cycles'!$AZ$13&lt;=CS$6),'Lease Cycles'!$C$13*'Lease Cycles'!$BA$13/12,IF(AND('Lease Cycles'!$AX$13&gt;=INDEX('Lease Cycles'!$BG$13:$BM$13,1,CS95),'Lease Cycles'!$AX$13&lt;=CS$6),'Lease Cycles'!$C$13*'Lease Cycles'!$AY$13/12,IF(AND('Lease Cycles'!$AV$13&gt;=INDEX('Lease Cycles'!$BG$13:$BM$13,1,CS95),'Lease Cycles'!$AV$13&lt;=CS$6),'Lease Cycles'!$C$13*'Lease Cycles'!$AW$13/12,IF(AND('Lease Cycles'!$AT$13&gt;=INDEX('Lease Cycles'!$BG$13:$BM$13,1,CS95),'Lease Cycles'!$AT$13&lt;=CS$6),'Lease Cycles'!$C$13*'Lease Cycles'!$AU$13/12,'Lease Cycles'!$C$13*INDEX('Lease Cycles'!$CB$13:$CH$13,1,CS95)*(1+INDEX('Lease Cycles'!$CI$13:$CO$13,1,CS95))^INT(INT(CS96/12)/INDEX('Lease Cycles'!$CP$13:$CV$13,1,CS95))/12)))),'Lease Cycles'!$C$13*INDEX('Lease Cycles'!$CB$13:$CH$13,1,CS95)*(1+INDEX('Lease Cycles'!$CI$13:$CO$13,1,CS95))^INT(INT(CS96/12)/INDEX('Lease Cycles'!$CP$13:$CV$13,1,CS95))/12))),IF('Lease Cycles'!$N$13=1,'Lease Cycles'!$C$13*'Lease Cycles'!$E$13*INDEX('Lease Cycles'!$HE$13:$HK$13,1,CS95)*(1+INDEX('Lease Cycles'!$GQ$13:$GW$13,1,CS95))^INT(INT((CS$6-INDEX('Lease Cycles'!$GJ$13:$GP$13,1,CS95))/12)/INDEX('Lease Cycles'!$GX$13:$HD$13,1,CS95))/12,0)))</f>
        <v>3289.099634792603</v>
      </c>
      <c r="CT98" s="28">
        <f>IF(CT95=0,IF('Lease Cycles'!$F$13&gt;0,'Lease Cycles'!$C$13*'Lease Cycles'!$E$13/12,0),IF(CT97=1,IF('Lease Cycles'!$AT$13&gt;=9999,'Lease Cycles'!$C$13*INDEX('Lease Cycles'!$CB$13:$CH$13,1,CT95)*(1+INDEX('Lease Cycles'!$CI$13:$CO$13,1,CT95))^INT(INT(CT96/12)/INDEX('Lease Cycles'!$CP$13:$CV$13,1,CT95))/12,IF(CT95=1,IF(CT96&gt;=INDEX('Lease Cycles'!$DK$13:$DQ$13,1,CT95),IF(CT$6&gt;='Lease Cycles'!$AZ$13,'Lease Cycles'!$C$13*'Lease Cycles'!$BA$13/12,IF(CT$6&gt;='Lease Cycles'!$AX$13,'Lease Cycles'!$C$13*'Lease Cycles'!$AY$13/12,IF(CT$6&gt;='Lease Cycles'!$AV$13,'Lease Cycles'!$C$13*'Lease Cycles'!$AW$13/12,IF(CT$6&gt;='Lease Cycles'!$AT$13,'Lease Cycles'!$C$13*'Lease Cycles'!$AU$13/12,'Lease Cycles'!$C$13*INDEX('Lease Cycles'!$CB$13:$CH$13,1,CT95)*(1+INDEX('Lease Cycles'!$CI$13:$CO$13,1,CT95))^INT(INT(CT96/12)/INDEX('Lease Cycles'!$CP$13:$CV$13,1,CT95))/12)))),'Lease Cycles'!$C$13*INDEX('Lease Cycles'!$CB$13:$CH$13,1,CT95)*(1+INDEX('Lease Cycles'!$CI$13:$CO$13,1,CT95))^INT(INT(CT96/12)/INDEX('Lease Cycles'!$CP$13:$CV$13,1,CT95))/12),IF(INDEX('Lease Cycles'!$EF$13:$EL$13,1,CT95)=1,IF(AND('Lease Cycles'!$AZ$13&gt;=INDEX('Lease Cycles'!$BG$13:$BM$13,1,CT95),'Lease Cycles'!$AZ$13&lt;=CT$6),'Lease Cycles'!$C$13*'Lease Cycles'!$BA$13/12,IF(AND('Lease Cycles'!$AX$13&gt;=INDEX('Lease Cycles'!$BG$13:$BM$13,1,CT95),'Lease Cycles'!$AX$13&lt;=CT$6),'Lease Cycles'!$C$13*'Lease Cycles'!$AY$13/12,IF(AND('Lease Cycles'!$AV$13&gt;=INDEX('Lease Cycles'!$BG$13:$BM$13,1,CT95),'Lease Cycles'!$AV$13&lt;=CT$6),'Lease Cycles'!$C$13*'Lease Cycles'!$AW$13/12,IF(AND('Lease Cycles'!$AT$13&gt;=INDEX('Lease Cycles'!$BG$13:$BM$13,1,CT95),'Lease Cycles'!$AT$13&lt;=CT$6),'Lease Cycles'!$C$13*'Lease Cycles'!$AU$13/12,'Lease Cycles'!$C$13*INDEX('Lease Cycles'!$CB$13:$CH$13,1,CT95)*(1+INDEX('Lease Cycles'!$CI$13:$CO$13,1,CT95))^INT(INT(CT96/12)/INDEX('Lease Cycles'!$CP$13:$CV$13,1,CT95))/12)))),'Lease Cycles'!$C$13*INDEX('Lease Cycles'!$CB$13:$CH$13,1,CT95)*(1+INDEX('Lease Cycles'!$CI$13:$CO$13,1,CT95))^INT(INT(CT96/12)/INDEX('Lease Cycles'!$CP$13:$CV$13,1,CT95))/12))),IF('Lease Cycles'!$N$13=1,'Lease Cycles'!$C$13*'Lease Cycles'!$E$13*INDEX('Lease Cycles'!$HE$13:$HK$13,1,CT95)*(1+INDEX('Lease Cycles'!$GQ$13:$GW$13,1,CT95))^INT(INT((CT$6-INDEX('Lease Cycles'!$GJ$13:$GP$13,1,CT95))/12)/INDEX('Lease Cycles'!$GX$13:$HD$13,1,CT95))/12,0)))</f>
        <v>3289.099634792603</v>
      </c>
      <c r="CU98" s="28">
        <f>IF(CU95=0,IF('Lease Cycles'!$F$13&gt;0,'Lease Cycles'!$C$13*'Lease Cycles'!$E$13/12,0),IF(CU97=1,IF('Lease Cycles'!$AT$13&gt;=9999,'Lease Cycles'!$C$13*INDEX('Lease Cycles'!$CB$13:$CH$13,1,CU95)*(1+INDEX('Lease Cycles'!$CI$13:$CO$13,1,CU95))^INT(INT(CU96/12)/INDEX('Lease Cycles'!$CP$13:$CV$13,1,CU95))/12,IF(CU95=1,IF(CU96&gt;=INDEX('Lease Cycles'!$DK$13:$DQ$13,1,CU95),IF(CU$6&gt;='Lease Cycles'!$AZ$13,'Lease Cycles'!$C$13*'Lease Cycles'!$BA$13/12,IF(CU$6&gt;='Lease Cycles'!$AX$13,'Lease Cycles'!$C$13*'Lease Cycles'!$AY$13/12,IF(CU$6&gt;='Lease Cycles'!$AV$13,'Lease Cycles'!$C$13*'Lease Cycles'!$AW$13/12,IF(CU$6&gt;='Lease Cycles'!$AT$13,'Lease Cycles'!$C$13*'Lease Cycles'!$AU$13/12,'Lease Cycles'!$C$13*INDEX('Lease Cycles'!$CB$13:$CH$13,1,CU95)*(1+INDEX('Lease Cycles'!$CI$13:$CO$13,1,CU95))^INT(INT(CU96/12)/INDEX('Lease Cycles'!$CP$13:$CV$13,1,CU95))/12)))),'Lease Cycles'!$C$13*INDEX('Lease Cycles'!$CB$13:$CH$13,1,CU95)*(1+INDEX('Lease Cycles'!$CI$13:$CO$13,1,CU95))^INT(INT(CU96/12)/INDEX('Lease Cycles'!$CP$13:$CV$13,1,CU95))/12),IF(INDEX('Lease Cycles'!$EF$13:$EL$13,1,CU95)=1,IF(AND('Lease Cycles'!$AZ$13&gt;=INDEX('Lease Cycles'!$BG$13:$BM$13,1,CU95),'Lease Cycles'!$AZ$13&lt;=CU$6),'Lease Cycles'!$C$13*'Lease Cycles'!$BA$13/12,IF(AND('Lease Cycles'!$AX$13&gt;=INDEX('Lease Cycles'!$BG$13:$BM$13,1,CU95),'Lease Cycles'!$AX$13&lt;=CU$6),'Lease Cycles'!$C$13*'Lease Cycles'!$AY$13/12,IF(AND('Lease Cycles'!$AV$13&gt;=INDEX('Lease Cycles'!$BG$13:$BM$13,1,CU95),'Lease Cycles'!$AV$13&lt;=CU$6),'Lease Cycles'!$C$13*'Lease Cycles'!$AW$13/12,IF(AND('Lease Cycles'!$AT$13&gt;=INDEX('Lease Cycles'!$BG$13:$BM$13,1,CU95),'Lease Cycles'!$AT$13&lt;=CU$6),'Lease Cycles'!$C$13*'Lease Cycles'!$AU$13/12,'Lease Cycles'!$C$13*INDEX('Lease Cycles'!$CB$13:$CH$13,1,CU95)*(1+INDEX('Lease Cycles'!$CI$13:$CO$13,1,CU95))^INT(INT(CU96/12)/INDEX('Lease Cycles'!$CP$13:$CV$13,1,CU95))/12)))),'Lease Cycles'!$C$13*INDEX('Lease Cycles'!$CB$13:$CH$13,1,CU95)*(1+INDEX('Lease Cycles'!$CI$13:$CO$13,1,CU95))^INT(INT(CU96/12)/INDEX('Lease Cycles'!$CP$13:$CV$13,1,CU95))/12))),IF('Lease Cycles'!$N$13=1,'Lease Cycles'!$C$13*'Lease Cycles'!$E$13*INDEX('Lease Cycles'!$HE$13:$HK$13,1,CU95)*(1+INDEX('Lease Cycles'!$GQ$13:$GW$13,1,CU95))^INT(INT((CU$6-INDEX('Lease Cycles'!$GJ$13:$GP$13,1,CU95))/12)/INDEX('Lease Cycles'!$GX$13:$HD$13,1,CU95))/12,0)))</f>
        <v>3289.099634792603</v>
      </c>
      <c r="CV98" s="28">
        <f>IF(CV95=0,IF('Lease Cycles'!$F$13&gt;0,'Lease Cycles'!$C$13*'Lease Cycles'!$E$13/12,0),IF(CV97=1,IF('Lease Cycles'!$AT$13&gt;=9999,'Lease Cycles'!$C$13*INDEX('Lease Cycles'!$CB$13:$CH$13,1,CV95)*(1+INDEX('Lease Cycles'!$CI$13:$CO$13,1,CV95))^INT(INT(CV96/12)/INDEX('Lease Cycles'!$CP$13:$CV$13,1,CV95))/12,IF(CV95=1,IF(CV96&gt;=INDEX('Lease Cycles'!$DK$13:$DQ$13,1,CV95),IF(CV$6&gt;='Lease Cycles'!$AZ$13,'Lease Cycles'!$C$13*'Lease Cycles'!$BA$13/12,IF(CV$6&gt;='Lease Cycles'!$AX$13,'Lease Cycles'!$C$13*'Lease Cycles'!$AY$13/12,IF(CV$6&gt;='Lease Cycles'!$AV$13,'Lease Cycles'!$C$13*'Lease Cycles'!$AW$13/12,IF(CV$6&gt;='Lease Cycles'!$AT$13,'Lease Cycles'!$C$13*'Lease Cycles'!$AU$13/12,'Lease Cycles'!$C$13*INDEX('Lease Cycles'!$CB$13:$CH$13,1,CV95)*(1+INDEX('Lease Cycles'!$CI$13:$CO$13,1,CV95))^INT(INT(CV96/12)/INDEX('Lease Cycles'!$CP$13:$CV$13,1,CV95))/12)))),'Lease Cycles'!$C$13*INDEX('Lease Cycles'!$CB$13:$CH$13,1,CV95)*(1+INDEX('Lease Cycles'!$CI$13:$CO$13,1,CV95))^INT(INT(CV96/12)/INDEX('Lease Cycles'!$CP$13:$CV$13,1,CV95))/12),IF(INDEX('Lease Cycles'!$EF$13:$EL$13,1,CV95)=1,IF(AND('Lease Cycles'!$AZ$13&gt;=INDEX('Lease Cycles'!$BG$13:$BM$13,1,CV95),'Lease Cycles'!$AZ$13&lt;=CV$6),'Lease Cycles'!$C$13*'Lease Cycles'!$BA$13/12,IF(AND('Lease Cycles'!$AX$13&gt;=INDEX('Lease Cycles'!$BG$13:$BM$13,1,CV95),'Lease Cycles'!$AX$13&lt;=CV$6),'Lease Cycles'!$C$13*'Lease Cycles'!$AY$13/12,IF(AND('Lease Cycles'!$AV$13&gt;=INDEX('Lease Cycles'!$BG$13:$BM$13,1,CV95),'Lease Cycles'!$AV$13&lt;=CV$6),'Lease Cycles'!$C$13*'Lease Cycles'!$AW$13/12,IF(AND('Lease Cycles'!$AT$13&gt;=INDEX('Lease Cycles'!$BG$13:$BM$13,1,CV95),'Lease Cycles'!$AT$13&lt;=CV$6),'Lease Cycles'!$C$13*'Lease Cycles'!$AU$13/12,'Lease Cycles'!$C$13*INDEX('Lease Cycles'!$CB$13:$CH$13,1,CV95)*(1+INDEX('Lease Cycles'!$CI$13:$CO$13,1,CV95))^INT(INT(CV96/12)/INDEX('Lease Cycles'!$CP$13:$CV$13,1,CV95))/12)))),'Lease Cycles'!$C$13*INDEX('Lease Cycles'!$CB$13:$CH$13,1,CV95)*(1+INDEX('Lease Cycles'!$CI$13:$CO$13,1,CV95))^INT(INT(CV96/12)/INDEX('Lease Cycles'!$CP$13:$CV$13,1,CV95))/12))),IF('Lease Cycles'!$N$13=1,'Lease Cycles'!$C$13*'Lease Cycles'!$E$13*INDEX('Lease Cycles'!$HE$13:$HK$13,1,CV95)*(1+INDEX('Lease Cycles'!$GQ$13:$GW$13,1,CV95))^INT(INT((CV$6-INDEX('Lease Cycles'!$GJ$13:$GP$13,1,CV95))/12)/INDEX('Lease Cycles'!$GX$13:$HD$13,1,CV95))/12,0)))</f>
        <v>3387.772623836381</v>
      </c>
      <c r="CW98" s="28">
        <f>IF(CW95=0,IF('Lease Cycles'!$F$13&gt;0,'Lease Cycles'!$C$13*'Lease Cycles'!$E$13/12,0),IF(CW97=1,IF('Lease Cycles'!$AT$13&gt;=9999,'Lease Cycles'!$C$13*INDEX('Lease Cycles'!$CB$13:$CH$13,1,CW95)*(1+INDEX('Lease Cycles'!$CI$13:$CO$13,1,CW95))^INT(INT(CW96/12)/INDEX('Lease Cycles'!$CP$13:$CV$13,1,CW95))/12,IF(CW95=1,IF(CW96&gt;=INDEX('Lease Cycles'!$DK$13:$DQ$13,1,CW95),IF(CW$6&gt;='Lease Cycles'!$AZ$13,'Lease Cycles'!$C$13*'Lease Cycles'!$BA$13/12,IF(CW$6&gt;='Lease Cycles'!$AX$13,'Lease Cycles'!$C$13*'Lease Cycles'!$AY$13/12,IF(CW$6&gt;='Lease Cycles'!$AV$13,'Lease Cycles'!$C$13*'Lease Cycles'!$AW$13/12,IF(CW$6&gt;='Lease Cycles'!$AT$13,'Lease Cycles'!$C$13*'Lease Cycles'!$AU$13/12,'Lease Cycles'!$C$13*INDEX('Lease Cycles'!$CB$13:$CH$13,1,CW95)*(1+INDEX('Lease Cycles'!$CI$13:$CO$13,1,CW95))^INT(INT(CW96/12)/INDEX('Lease Cycles'!$CP$13:$CV$13,1,CW95))/12)))),'Lease Cycles'!$C$13*INDEX('Lease Cycles'!$CB$13:$CH$13,1,CW95)*(1+INDEX('Lease Cycles'!$CI$13:$CO$13,1,CW95))^INT(INT(CW96/12)/INDEX('Lease Cycles'!$CP$13:$CV$13,1,CW95))/12),IF(INDEX('Lease Cycles'!$EF$13:$EL$13,1,CW95)=1,IF(AND('Lease Cycles'!$AZ$13&gt;=INDEX('Lease Cycles'!$BG$13:$BM$13,1,CW95),'Lease Cycles'!$AZ$13&lt;=CW$6),'Lease Cycles'!$C$13*'Lease Cycles'!$BA$13/12,IF(AND('Lease Cycles'!$AX$13&gt;=INDEX('Lease Cycles'!$BG$13:$BM$13,1,CW95),'Lease Cycles'!$AX$13&lt;=CW$6),'Lease Cycles'!$C$13*'Lease Cycles'!$AY$13/12,IF(AND('Lease Cycles'!$AV$13&gt;=INDEX('Lease Cycles'!$BG$13:$BM$13,1,CW95),'Lease Cycles'!$AV$13&lt;=CW$6),'Lease Cycles'!$C$13*'Lease Cycles'!$AW$13/12,IF(AND('Lease Cycles'!$AT$13&gt;=INDEX('Lease Cycles'!$BG$13:$BM$13,1,CW95),'Lease Cycles'!$AT$13&lt;=CW$6),'Lease Cycles'!$C$13*'Lease Cycles'!$AU$13/12,'Lease Cycles'!$C$13*INDEX('Lease Cycles'!$CB$13:$CH$13,1,CW95)*(1+INDEX('Lease Cycles'!$CI$13:$CO$13,1,CW95))^INT(INT(CW96/12)/INDEX('Lease Cycles'!$CP$13:$CV$13,1,CW95))/12)))),'Lease Cycles'!$C$13*INDEX('Lease Cycles'!$CB$13:$CH$13,1,CW95)*(1+INDEX('Lease Cycles'!$CI$13:$CO$13,1,CW95))^INT(INT(CW96/12)/INDEX('Lease Cycles'!$CP$13:$CV$13,1,CW95))/12))),IF('Lease Cycles'!$N$13=1,'Lease Cycles'!$C$13*'Lease Cycles'!$E$13*INDEX('Lease Cycles'!$HE$13:$HK$13,1,CW95)*(1+INDEX('Lease Cycles'!$GQ$13:$GW$13,1,CW95))^INT(INT((CW$6-INDEX('Lease Cycles'!$GJ$13:$GP$13,1,CW95))/12)/INDEX('Lease Cycles'!$GX$13:$HD$13,1,CW95))/12,0)))</f>
        <v>3387.772623836381</v>
      </c>
      <c r="CX98" s="28">
        <f>IF(CX95=0,IF('Lease Cycles'!$F$13&gt;0,'Lease Cycles'!$C$13*'Lease Cycles'!$E$13/12,0),IF(CX97=1,IF('Lease Cycles'!$AT$13&gt;=9999,'Lease Cycles'!$C$13*INDEX('Lease Cycles'!$CB$13:$CH$13,1,CX95)*(1+INDEX('Lease Cycles'!$CI$13:$CO$13,1,CX95))^INT(INT(CX96/12)/INDEX('Lease Cycles'!$CP$13:$CV$13,1,CX95))/12,IF(CX95=1,IF(CX96&gt;=INDEX('Lease Cycles'!$DK$13:$DQ$13,1,CX95),IF(CX$6&gt;='Lease Cycles'!$AZ$13,'Lease Cycles'!$C$13*'Lease Cycles'!$BA$13/12,IF(CX$6&gt;='Lease Cycles'!$AX$13,'Lease Cycles'!$C$13*'Lease Cycles'!$AY$13/12,IF(CX$6&gt;='Lease Cycles'!$AV$13,'Lease Cycles'!$C$13*'Lease Cycles'!$AW$13/12,IF(CX$6&gt;='Lease Cycles'!$AT$13,'Lease Cycles'!$C$13*'Lease Cycles'!$AU$13/12,'Lease Cycles'!$C$13*INDEX('Lease Cycles'!$CB$13:$CH$13,1,CX95)*(1+INDEX('Lease Cycles'!$CI$13:$CO$13,1,CX95))^INT(INT(CX96/12)/INDEX('Lease Cycles'!$CP$13:$CV$13,1,CX95))/12)))),'Lease Cycles'!$C$13*INDEX('Lease Cycles'!$CB$13:$CH$13,1,CX95)*(1+INDEX('Lease Cycles'!$CI$13:$CO$13,1,CX95))^INT(INT(CX96/12)/INDEX('Lease Cycles'!$CP$13:$CV$13,1,CX95))/12),IF(INDEX('Lease Cycles'!$EF$13:$EL$13,1,CX95)=1,IF(AND('Lease Cycles'!$AZ$13&gt;=INDEX('Lease Cycles'!$BG$13:$BM$13,1,CX95),'Lease Cycles'!$AZ$13&lt;=CX$6),'Lease Cycles'!$C$13*'Lease Cycles'!$BA$13/12,IF(AND('Lease Cycles'!$AX$13&gt;=INDEX('Lease Cycles'!$BG$13:$BM$13,1,CX95),'Lease Cycles'!$AX$13&lt;=CX$6),'Lease Cycles'!$C$13*'Lease Cycles'!$AY$13/12,IF(AND('Lease Cycles'!$AV$13&gt;=INDEX('Lease Cycles'!$BG$13:$BM$13,1,CX95),'Lease Cycles'!$AV$13&lt;=CX$6),'Lease Cycles'!$C$13*'Lease Cycles'!$AW$13/12,IF(AND('Lease Cycles'!$AT$13&gt;=INDEX('Lease Cycles'!$BG$13:$BM$13,1,CX95),'Lease Cycles'!$AT$13&lt;=CX$6),'Lease Cycles'!$C$13*'Lease Cycles'!$AU$13/12,'Lease Cycles'!$C$13*INDEX('Lease Cycles'!$CB$13:$CH$13,1,CX95)*(1+INDEX('Lease Cycles'!$CI$13:$CO$13,1,CX95))^INT(INT(CX96/12)/INDEX('Lease Cycles'!$CP$13:$CV$13,1,CX95))/12)))),'Lease Cycles'!$C$13*INDEX('Lease Cycles'!$CB$13:$CH$13,1,CX95)*(1+INDEX('Lease Cycles'!$CI$13:$CO$13,1,CX95))^INT(INT(CX96/12)/INDEX('Lease Cycles'!$CP$13:$CV$13,1,CX95))/12))),IF('Lease Cycles'!$N$13=1,'Lease Cycles'!$C$13*'Lease Cycles'!$E$13*INDEX('Lease Cycles'!$HE$13:$HK$13,1,CX95)*(1+INDEX('Lease Cycles'!$GQ$13:$GW$13,1,CX95))^INT(INT((CX$6-INDEX('Lease Cycles'!$GJ$13:$GP$13,1,CX95))/12)/INDEX('Lease Cycles'!$GX$13:$HD$13,1,CX95))/12,0)))</f>
        <v>3387.772623836381</v>
      </c>
      <c r="CY98" s="28">
        <f>IF(CY95=0,IF('Lease Cycles'!$F$13&gt;0,'Lease Cycles'!$C$13*'Lease Cycles'!$E$13/12,0),IF(CY97=1,IF('Lease Cycles'!$AT$13&gt;=9999,'Lease Cycles'!$C$13*INDEX('Lease Cycles'!$CB$13:$CH$13,1,CY95)*(1+INDEX('Lease Cycles'!$CI$13:$CO$13,1,CY95))^INT(INT(CY96/12)/INDEX('Lease Cycles'!$CP$13:$CV$13,1,CY95))/12,IF(CY95=1,IF(CY96&gt;=INDEX('Lease Cycles'!$DK$13:$DQ$13,1,CY95),IF(CY$6&gt;='Lease Cycles'!$AZ$13,'Lease Cycles'!$C$13*'Lease Cycles'!$BA$13/12,IF(CY$6&gt;='Lease Cycles'!$AX$13,'Lease Cycles'!$C$13*'Lease Cycles'!$AY$13/12,IF(CY$6&gt;='Lease Cycles'!$AV$13,'Lease Cycles'!$C$13*'Lease Cycles'!$AW$13/12,IF(CY$6&gt;='Lease Cycles'!$AT$13,'Lease Cycles'!$C$13*'Lease Cycles'!$AU$13/12,'Lease Cycles'!$C$13*INDEX('Lease Cycles'!$CB$13:$CH$13,1,CY95)*(1+INDEX('Lease Cycles'!$CI$13:$CO$13,1,CY95))^INT(INT(CY96/12)/INDEX('Lease Cycles'!$CP$13:$CV$13,1,CY95))/12)))),'Lease Cycles'!$C$13*INDEX('Lease Cycles'!$CB$13:$CH$13,1,CY95)*(1+INDEX('Lease Cycles'!$CI$13:$CO$13,1,CY95))^INT(INT(CY96/12)/INDEX('Lease Cycles'!$CP$13:$CV$13,1,CY95))/12),IF(INDEX('Lease Cycles'!$EF$13:$EL$13,1,CY95)=1,IF(AND('Lease Cycles'!$AZ$13&gt;=INDEX('Lease Cycles'!$BG$13:$BM$13,1,CY95),'Lease Cycles'!$AZ$13&lt;=CY$6),'Lease Cycles'!$C$13*'Lease Cycles'!$BA$13/12,IF(AND('Lease Cycles'!$AX$13&gt;=INDEX('Lease Cycles'!$BG$13:$BM$13,1,CY95),'Lease Cycles'!$AX$13&lt;=CY$6),'Lease Cycles'!$C$13*'Lease Cycles'!$AY$13/12,IF(AND('Lease Cycles'!$AV$13&gt;=INDEX('Lease Cycles'!$BG$13:$BM$13,1,CY95),'Lease Cycles'!$AV$13&lt;=CY$6),'Lease Cycles'!$C$13*'Lease Cycles'!$AW$13/12,IF(AND('Lease Cycles'!$AT$13&gt;=INDEX('Lease Cycles'!$BG$13:$BM$13,1,CY95),'Lease Cycles'!$AT$13&lt;=CY$6),'Lease Cycles'!$C$13*'Lease Cycles'!$AU$13/12,'Lease Cycles'!$C$13*INDEX('Lease Cycles'!$CB$13:$CH$13,1,CY95)*(1+INDEX('Lease Cycles'!$CI$13:$CO$13,1,CY95))^INT(INT(CY96/12)/INDEX('Lease Cycles'!$CP$13:$CV$13,1,CY95))/12)))),'Lease Cycles'!$C$13*INDEX('Lease Cycles'!$CB$13:$CH$13,1,CY95)*(1+INDEX('Lease Cycles'!$CI$13:$CO$13,1,CY95))^INT(INT(CY96/12)/INDEX('Lease Cycles'!$CP$13:$CV$13,1,CY95))/12))),IF('Lease Cycles'!$N$13=1,'Lease Cycles'!$C$13*'Lease Cycles'!$E$13*INDEX('Lease Cycles'!$HE$13:$HK$13,1,CY95)*(1+INDEX('Lease Cycles'!$GQ$13:$GW$13,1,CY95))^INT(INT((CY$6-INDEX('Lease Cycles'!$GJ$13:$GP$13,1,CY95))/12)/INDEX('Lease Cycles'!$GX$13:$HD$13,1,CY95))/12,0)))</f>
        <v>3387.772623836381</v>
      </c>
      <c r="CZ98" s="28">
        <f>IF(CZ95=0,IF('Lease Cycles'!$F$13&gt;0,'Lease Cycles'!$C$13*'Lease Cycles'!$E$13/12,0),IF(CZ97=1,IF('Lease Cycles'!$AT$13&gt;=9999,'Lease Cycles'!$C$13*INDEX('Lease Cycles'!$CB$13:$CH$13,1,CZ95)*(1+INDEX('Lease Cycles'!$CI$13:$CO$13,1,CZ95))^INT(INT(CZ96/12)/INDEX('Lease Cycles'!$CP$13:$CV$13,1,CZ95))/12,IF(CZ95=1,IF(CZ96&gt;=INDEX('Lease Cycles'!$DK$13:$DQ$13,1,CZ95),IF(CZ$6&gt;='Lease Cycles'!$AZ$13,'Lease Cycles'!$C$13*'Lease Cycles'!$BA$13/12,IF(CZ$6&gt;='Lease Cycles'!$AX$13,'Lease Cycles'!$C$13*'Lease Cycles'!$AY$13/12,IF(CZ$6&gt;='Lease Cycles'!$AV$13,'Lease Cycles'!$C$13*'Lease Cycles'!$AW$13/12,IF(CZ$6&gt;='Lease Cycles'!$AT$13,'Lease Cycles'!$C$13*'Lease Cycles'!$AU$13/12,'Lease Cycles'!$C$13*INDEX('Lease Cycles'!$CB$13:$CH$13,1,CZ95)*(1+INDEX('Lease Cycles'!$CI$13:$CO$13,1,CZ95))^INT(INT(CZ96/12)/INDEX('Lease Cycles'!$CP$13:$CV$13,1,CZ95))/12)))),'Lease Cycles'!$C$13*INDEX('Lease Cycles'!$CB$13:$CH$13,1,CZ95)*(1+INDEX('Lease Cycles'!$CI$13:$CO$13,1,CZ95))^INT(INT(CZ96/12)/INDEX('Lease Cycles'!$CP$13:$CV$13,1,CZ95))/12),IF(INDEX('Lease Cycles'!$EF$13:$EL$13,1,CZ95)=1,IF(AND('Lease Cycles'!$AZ$13&gt;=INDEX('Lease Cycles'!$BG$13:$BM$13,1,CZ95),'Lease Cycles'!$AZ$13&lt;=CZ$6),'Lease Cycles'!$C$13*'Lease Cycles'!$BA$13/12,IF(AND('Lease Cycles'!$AX$13&gt;=INDEX('Lease Cycles'!$BG$13:$BM$13,1,CZ95),'Lease Cycles'!$AX$13&lt;=CZ$6),'Lease Cycles'!$C$13*'Lease Cycles'!$AY$13/12,IF(AND('Lease Cycles'!$AV$13&gt;=INDEX('Lease Cycles'!$BG$13:$BM$13,1,CZ95),'Lease Cycles'!$AV$13&lt;=CZ$6),'Lease Cycles'!$C$13*'Lease Cycles'!$AW$13/12,IF(AND('Lease Cycles'!$AT$13&gt;=INDEX('Lease Cycles'!$BG$13:$BM$13,1,CZ95),'Lease Cycles'!$AT$13&lt;=CZ$6),'Lease Cycles'!$C$13*'Lease Cycles'!$AU$13/12,'Lease Cycles'!$C$13*INDEX('Lease Cycles'!$CB$13:$CH$13,1,CZ95)*(1+INDEX('Lease Cycles'!$CI$13:$CO$13,1,CZ95))^INT(INT(CZ96/12)/INDEX('Lease Cycles'!$CP$13:$CV$13,1,CZ95))/12)))),'Lease Cycles'!$C$13*INDEX('Lease Cycles'!$CB$13:$CH$13,1,CZ95)*(1+INDEX('Lease Cycles'!$CI$13:$CO$13,1,CZ95))^INT(INT(CZ96/12)/INDEX('Lease Cycles'!$CP$13:$CV$13,1,CZ95))/12))),IF('Lease Cycles'!$N$13=1,'Lease Cycles'!$C$13*'Lease Cycles'!$E$13*INDEX('Lease Cycles'!$HE$13:$HK$13,1,CZ95)*(1+INDEX('Lease Cycles'!$GQ$13:$GW$13,1,CZ95))^INT(INT((CZ$6-INDEX('Lease Cycles'!$GJ$13:$GP$13,1,CZ95))/12)/INDEX('Lease Cycles'!$GX$13:$HD$13,1,CZ95))/12,0)))</f>
        <v>3387.772623836381</v>
      </c>
      <c r="DA98" s="28">
        <f>IF(DA95=0,IF('Lease Cycles'!$F$13&gt;0,'Lease Cycles'!$C$13*'Lease Cycles'!$E$13/12,0),IF(DA97=1,IF('Lease Cycles'!$AT$13&gt;=9999,'Lease Cycles'!$C$13*INDEX('Lease Cycles'!$CB$13:$CH$13,1,DA95)*(1+INDEX('Lease Cycles'!$CI$13:$CO$13,1,DA95))^INT(INT(DA96/12)/INDEX('Lease Cycles'!$CP$13:$CV$13,1,DA95))/12,IF(DA95=1,IF(DA96&gt;=INDEX('Lease Cycles'!$DK$13:$DQ$13,1,DA95),IF(DA$6&gt;='Lease Cycles'!$AZ$13,'Lease Cycles'!$C$13*'Lease Cycles'!$BA$13/12,IF(DA$6&gt;='Lease Cycles'!$AX$13,'Lease Cycles'!$C$13*'Lease Cycles'!$AY$13/12,IF(DA$6&gt;='Lease Cycles'!$AV$13,'Lease Cycles'!$C$13*'Lease Cycles'!$AW$13/12,IF(DA$6&gt;='Lease Cycles'!$AT$13,'Lease Cycles'!$C$13*'Lease Cycles'!$AU$13/12,'Lease Cycles'!$C$13*INDEX('Lease Cycles'!$CB$13:$CH$13,1,DA95)*(1+INDEX('Lease Cycles'!$CI$13:$CO$13,1,DA95))^INT(INT(DA96/12)/INDEX('Lease Cycles'!$CP$13:$CV$13,1,DA95))/12)))),'Lease Cycles'!$C$13*INDEX('Lease Cycles'!$CB$13:$CH$13,1,DA95)*(1+INDEX('Lease Cycles'!$CI$13:$CO$13,1,DA95))^INT(INT(DA96/12)/INDEX('Lease Cycles'!$CP$13:$CV$13,1,DA95))/12),IF(INDEX('Lease Cycles'!$EF$13:$EL$13,1,DA95)=1,IF(AND('Lease Cycles'!$AZ$13&gt;=INDEX('Lease Cycles'!$BG$13:$BM$13,1,DA95),'Lease Cycles'!$AZ$13&lt;=DA$6),'Lease Cycles'!$C$13*'Lease Cycles'!$BA$13/12,IF(AND('Lease Cycles'!$AX$13&gt;=INDEX('Lease Cycles'!$BG$13:$BM$13,1,DA95),'Lease Cycles'!$AX$13&lt;=DA$6),'Lease Cycles'!$C$13*'Lease Cycles'!$AY$13/12,IF(AND('Lease Cycles'!$AV$13&gt;=INDEX('Lease Cycles'!$BG$13:$BM$13,1,DA95),'Lease Cycles'!$AV$13&lt;=DA$6),'Lease Cycles'!$C$13*'Lease Cycles'!$AW$13/12,IF(AND('Lease Cycles'!$AT$13&gt;=INDEX('Lease Cycles'!$BG$13:$BM$13,1,DA95),'Lease Cycles'!$AT$13&lt;=DA$6),'Lease Cycles'!$C$13*'Lease Cycles'!$AU$13/12,'Lease Cycles'!$C$13*INDEX('Lease Cycles'!$CB$13:$CH$13,1,DA95)*(1+INDEX('Lease Cycles'!$CI$13:$CO$13,1,DA95))^INT(INT(DA96/12)/INDEX('Lease Cycles'!$CP$13:$CV$13,1,DA95))/12)))),'Lease Cycles'!$C$13*INDEX('Lease Cycles'!$CB$13:$CH$13,1,DA95)*(1+INDEX('Lease Cycles'!$CI$13:$CO$13,1,DA95))^INT(INT(DA96/12)/INDEX('Lease Cycles'!$CP$13:$CV$13,1,DA95))/12))),IF('Lease Cycles'!$N$13=1,'Lease Cycles'!$C$13*'Lease Cycles'!$E$13*INDEX('Lease Cycles'!$HE$13:$HK$13,1,DA95)*(1+INDEX('Lease Cycles'!$GQ$13:$GW$13,1,DA95))^INT(INT((DA$6-INDEX('Lease Cycles'!$GJ$13:$GP$13,1,DA95))/12)/INDEX('Lease Cycles'!$GX$13:$HD$13,1,DA95))/12,0)))</f>
        <v>3387.772623836381</v>
      </c>
      <c r="DB98" s="28">
        <f>IF(DB95=0,IF('Lease Cycles'!$F$13&gt;0,'Lease Cycles'!$C$13*'Lease Cycles'!$E$13/12,0),IF(DB97=1,IF('Lease Cycles'!$AT$13&gt;=9999,'Lease Cycles'!$C$13*INDEX('Lease Cycles'!$CB$13:$CH$13,1,DB95)*(1+INDEX('Lease Cycles'!$CI$13:$CO$13,1,DB95))^INT(INT(DB96/12)/INDEX('Lease Cycles'!$CP$13:$CV$13,1,DB95))/12,IF(DB95=1,IF(DB96&gt;=INDEX('Lease Cycles'!$DK$13:$DQ$13,1,DB95),IF(DB$6&gt;='Lease Cycles'!$AZ$13,'Lease Cycles'!$C$13*'Lease Cycles'!$BA$13/12,IF(DB$6&gt;='Lease Cycles'!$AX$13,'Lease Cycles'!$C$13*'Lease Cycles'!$AY$13/12,IF(DB$6&gt;='Lease Cycles'!$AV$13,'Lease Cycles'!$C$13*'Lease Cycles'!$AW$13/12,IF(DB$6&gt;='Lease Cycles'!$AT$13,'Lease Cycles'!$C$13*'Lease Cycles'!$AU$13/12,'Lease Cycles'!$C$13*INDEX('Lease Cycles'!$CB$13:$CH$13,1,DB95)*(1+INDEX('Lease Cycles'!$CI$13:$CO$13,1,DB95))^INT(INT(DB96/12)/INDEX('Lease Cycles'!$CP$13:$CV$13,1,DB95))/12)))),'Lease Cycles'!$C$13*INDEX('Lease Cycles'!$CB$13:$CH$13,1,DB95)*(1+INDEX('Lease Cycles'!$CI$13:$CO$13,1,DB95))^INT(INT(DB96/12)/INDEX('Lease Cycles'!$CP$13:$CV$13,1,DB95))/12),IF(INDEX('Lease Cycles'!$EF$13:$EL$13,1,DB95)=1,IF(AND('Lease Cycles'!$AZ$13&gt;=INDEX('Lease Cycles'!$BG$13:$BM$13,1,DB95),'Lease Cycles'!$AZ$13&lt;=DB$6),'Lease Cycles'!$C$13*'Lease Cycles'!$BA$13/12,IF(AND('Lease Cycles'!$AX$13&gt;=INDEX('Lease Cycles'!$BG$13:$BM$13,1,DB95),'Lease Cycles'!$AX$13&lt;=DB$6),'Lease Cycles'!$C$13*'Lease Cycles'!$AY$13/12,IF(AND('Lease Cycles'!$AV$13&gt;=INDEX('Lease Cycles'!$BG$13:$BM$13,1,DB95),'Lease Cycles'!$AV$13&lt;=DB$6),'Lease Cycles'!$C$13*'Lease Cycles'!$AW$13/12,IF(AND('Lease Cycles'!$AT$13&gt;=INDEX('Lease Cycles'!$BG$13:$BM$13,1,DB95),'Lease Cycles'!$AT$13&lt;=DB$6),'Lease Cycles'!$C$13*'Lease Cycles'!$AU$13/12,'Lease Cycles'!$C$13*INDEX('Lease Cycles'!$CB$13:$CH$13,1,DB95)*(1+INDEX('Lease Cycles'!$CI$13:$CO$13,1,DB95))^INT(INT(DB96/12)/INDEX('Lease Cycles'!$CP$13:$CV$13,1,DB95))/12)))),'Lease Cycles'!$C$13*INDEX('Lease Cycles'!$CB$13:$CH$13,1,DB95)*(1+INDEX('Lease Cycles'!$CI$13:$CO$13,1,DB95))^INT(INT(DB96/12)/INDEX('Lease Cycles'!$CP$13:$CV$13,1,DB95))/12))),IF('Lease Cycles'!$N$13=1,'Lease Cycles'!$C$13*'Lease Cycles'!$E$13*INDEX('Lease Cycles'!$HE$13:$HK$13,1,DB95)*(1+INDEX('Lease Cycles'!$GQ$13:$GW$13,1,DB95))^INT(INT((DB$6-INDEX('Lease Cycles'!$GJ$13:$GP$13,1,DB95))/12)/INDEX('Lease Cycles'!$GX$13:$HD$13,1,DB95))/12,0)))</f>
        <v>3387.772623836381</v>
      </c>
      <c r="DC98" s="28">
        <f>IF(DC95=0,IF('Lease Cycles'!$F$13&gt;0,'Lease Cycles'!$C$13*'Lease Cycles'!$E$13/12,0),IF(DC97=1,IF('Lease Cycles'!$AT$13&gt;=9999,'Lease Cycles'!$C$13*INDEX('Lease Cycles'!$CB$13:$CH$13,1,DC95)*(1+INDEX('Lease Cycles'!$CI$13:$CO$13,1,DC95))^INT(INT(DC96/12)/INDEX('Lease Cycles'!$CP$13:$CV$13,1,DC95))/12,IF(DC95=1,IF(DC96&gt;=INDEX('Lease Cycles'!$DK$13:$DQ$13,1,DC95),IF(DC$6&gt;='Lease Cycles'!$AZ$13,'Lease Cycles'!$C$13*'Lease Cycles'!$BA$13/12,IF(DC$6&gt;='Lease Cycles'!$AX$13,'Lease Cycles'!$C$13*'Lease Cycles'!$AY$13/12,IF(DC$6&gt;='Lease Cycles'!$AV$13,'Lease Cycles'!$C$13*'Lease Cycles'!$AW$13/12,IF(DC$6&gt;='Lease Cycles'!$AT$13,'Lease Cycles'!$C$13*'Lease Cycles'!$AU$13/12,'Lease Cycles'!$C$13*INDEX('Lease Cycles'!$CB$13:$CH$13,1,DC95)*(1+INDEX('Lease Cycles'!$CI$13:$CO$13,1,DC95))^INT(INT(DC96/12)/INDEX('Lease Cycles'!$CP$13:$CV$13,1,DC95))/12)))),'Lease Cycles'!$C$13*INDEX('Lease Cycles'!$CB$13:$CH$13,1,DC95)*(1+INDEX('Lease Cycles'!$CI$13:$CO$13,1,DC95))^INT(INT(DC96/12)/INDEX('Lease Cycles'!$CP$13:$CV$13,1,DC95))/12),IF(INDEX('Lease Cycles'!$EF$13:$EL$13,1,DC95)=1,IF(AND('Lease Cycles'!$AZ$13&gt;=INDEX('Lease Cycles'!$BG$13:$BM$13,1,DC95),'Lease Cycles'!$AZ$13&lt;=DC$6),'Lease Cycles'!$C$13*'Lease Cycles'!$BA$13/12,IF(AND('Lease Cycles'!$AX$13&gt;=INDEX('Lease Cycles'!$BG$13:$BM$13,1,DC95),'Lease Cycles'!$AX$13&lt;=DC$6),'Lease Cycles'!$C$13*'Lease Cycles'!$AY$13/12,IF(AND('Lease Cycles'!$AV$13&gt;=INDEX('Lease Cycles'!$BG$13:$BM$13,1,DC95),'Lease Cycles'!$AV$13&lt;=DC$6),'Lease Cycles'!$C$13*'Lease Cycles'!$AW$13/12,IF(AND('Lease Cycles'!$AT$13&gt;=INDEX('Lease Cycles'!$BG$13:$BM$13,1,DC95),'Lease Cycles'!$AT$13&lt;=DC$6),'Lease Cycles'!$C$13*'Lease Cycles'!$AU$13/12,'Lease Cycles'!$C$13*INDEX('Lease Cycles'!$CB$13:$CH$13,1,DC95)*(1+INDEX('Lease Cycles'!$CI$13:$CO$13,1,DC95))^INT(INT(DC96/12)/INDEX('Lease Cycles'!$CP$13:$CV$13,1,DC95))/12)))),'Lease Cycles'!$C$13*INDEX('Lease Cycles'!$CB$13:$CH$13,1,DC95)*(1+INDEX('Lease Cycles'!$CI$13:$CO$13,1,DC95))^INT(INT(DC96/12)/INDEX('Lease Cycles'!$CP$13:$CV$13,1,DC95))/12))),IF('Lease Cycles'!$N$13=1,'Lease Cycles'!$C$13*'Lease Cycles'!$E$13*INDEX('Lease Cycles'!$HE$13:$HK$13,1,DC95)*(1+INDEX('Lease Cycles'!$GQ$13:$GW$13,1,DC95))^INT(INT((DC$6-INDEX('Lease Cycles'!$GJ$13:$GP$13,1,DC95))/12)/INDEX('Lease Cycles'!$GX$13:$HD$13,1,DC95))/12,0)))</f>
        <v>3387.772623836381</v>
      </c>
      <c r="DD98" s="28">
        <f>IF(DD95=0,IF('Lease Cycles'!$F$13&gt;0,'Lease Cycles'!$C$13*'Lease Cycles'!$E$13/12,0),IF(DD97=1,IF('Lease Cycles'!$AT$13&gt;=9999,'Lease Cycles'!$C$13*INDEX('Lease Cycles'!$CB$13:$CH$13,1,DD95)*(1+INDEX('Lease Cycles'!$CI$13:$CO$13,1,DD95))^INT(INT(DD96/12)/INDEX('Lease Cycles'!$CP$13:$CV$13,1,DD95))/12,IF(DD95=1,IF(DD96&gt;=INDEX('Lease Cycles'!$DK$13:$DQ$13,1,DD95),IF(DD$6&gt;='Lease Cycles'!$AZ$13,'Lease Cycles'!$C$13*'Lease Cycles'!$BA$13/12,IF(DD$6&gt;='Lease Cycles'!$AX$13,'Lease Cycles'!$C$13*'Lease Cycles'!$AY$13/12,IF(DD$6&gt;='Lease Cycles'!$AV$13,'Lease Cycles'!$C$13*'Lease Cycles'!$AW$13/12,IF(DD$6&gt;='Lease Cycles'!$AT$13,'Lease Cycles'!$C$13*'Lease Cycles'!$AU$13/12,'Lease Cycles'!$C$13*INDEX('Lease Cycles'!$CB$13:$CH$13,1,DD95)*(1+INDEX('Lease Cycles'!$CI$13:$CO$13,1,DD95))^INT(INT(DD96/12)/INDEX('Lease Cycles'!$CP$13:$CV$13,1,DD95))/12)))),'Lease Cycles'!$C$13*INDEX('Lease Cycles'!$CB$13:$CH$13,1,DD95)*(1+INDEX('Lease Cycles'!$CI$13:$CO$13,1,DD95))^INT(INT(DD96/12)/INDEX('Lease Cycles'!$CP$13:$CV$13,1,DD95))/12),IF(INDEX('Lease Cycles'!$EF$13:$EL$13,1,DD95)=1,IF(AND('Lease Cycles'!$AZ$13&gt;=INDEX('Lease Cycles'!$BG$13:$BM$13,1,DD95),'Lease Cycles'!$AZ$13&lt;=DD$6),'Lease Cycles'!$C$13*'Lease Cycles'!$BA$13/12,IF(AND('Lease Cycles'!$AX$13&gt;=INDEX('Lease Cycles'!$BG$13:$BM$13,1,DD95),'Lease Cycles'!$AX$13&lt;=DD$6),'Lease Cycles'!$C$13*'Lease Cycles'!$AY$13/12,IF(AND('Lease Cycles'!$AV$13&gt;=INDEX('Lease Cycles'!$BG$13:$BM$13,1,DD95),'Lease Cycles'!$AV$13&lt;=DD$6),'Lease Cycles'!$C$13*'Lease Cycles'!$AW$13/12,IF(AND('Lease Cycles'!$AT$13&gt;=INDEX('Lease Cycles'!$BG$13:$BM$13,1,DD95),'Lease Cycles'!$AT$13&lt;=DD$6),'Lease Cycles'!$C$13*'Lease Cycles'!$AU$13/12,'Lease Cycles'!$C$13*INDEX('Lease Cycles'!$CB$13:$CH$13,1,DD95)*(1+INDEX('Lease Cycles'!$CI$13:$CO$13,1,DD95))^INT(INT(DD96/12)/INDEX('Lease Cycles'!$CP$13:$CV$13,1,DD95))/12)))),'Lease Cycles'!$C$13*INDEX('Lease Cycles'!$CB$13:$CH$13,1,DD95)*(1+INDEX('Lease Cycles'!$CI$13:$CO$13,1,DD95))^INT(INT(DD96/12)/INDEX('Lease Cycles'!$CP$13:$CV$13,1,DD95))/12))),IF('Lease Cycles'!$N$13=1,'Lease Cycles'!$C$13*'Lease Cycles'!$E$13*INDEX('Lease Cycles'!$HE$13:$HK$13,1,DD95)*(1+INDEX('Lease Cycles'!$GQ$13:$GW$13,1,DD95))^INT(INT((DD$6-INDEX('Lease Cycles'!$GJ$13:$GP$13,1,DD95))/12)/INDEX('Lease Cycles'!$GX$13:$HD$13,1,DD95))/12,0)))</f>
        <v>3387.772623836381</v>
      </c>
      <c r="DE98" s="28">
        <f>IF(DE95=0,IF('Lease Cycles'!$F$13&gt;0,'Lease Cycles'!$C$13*'Lease Cycles'!$E$13/12,0),IF(DE97=1,IF('Lease Cycles'!$AT$13&gt;=9999,'Lease Cycles'!$C$13*INDEX('Lease Cycles'!$CB$13:$CH$13,1,DE95)*(1+INDEX('Lease Cycles'!$CI$13:$CO$13,1,DE95))^INT(INT(DE96/12)/INDEX('Lease Cycles'!$CP$13:$CV$13,1,DE95))/12,IF(DE95=1,IF(DE96&gt;=INDEX('Lease Cycles'!$DK$13:$DQ$13,1,DE95),IF(DE$6&gt;='Lease Cycles'!$AZ$13,'Lease Cycles'!$C$13*'Lease Cycles'!$BA$13/12,IF(DE$6&gt;='Lease Cycles'!$AX$13,'Lease Cycles'!$C$13*'Lease Cycles'!$AY$13/12,IF(DE$6&gt;='Lease Cycles'!$AV$13,'Lease Cycles'!$C$13*'Lease Cycles'!$AW$13/12,IF(DE$6&gt;='Lease Cycles'!$AT$13,'Lease Cycles'!$C$13*'Lease Cycles'!$AU$13/12,'Lease Cycles'!$C$13*INDEX('Lease Cycles'!$CB$13:$CH$13,1,DE95)*(1+INDEX('Lease Cycles'!$CI$13:$CO$13,1,DE95))^INT(INT(DE96/12)/INDEX('Lease Cycles'!$CP$13:$CV$13,1,DE95))/12)))),'Lease Cycles'!$C$13*INDEX('Lease Cycles'!$CB$13:$CH$13,1,DE95)*(1+INDEX('Lease Cycles'!$CI$13:$CO$13,1,DE95))^INT(INT(DE96/12)/INDEX('Lease Cycles'!$CP$13:$CV$13,1,DE95))/12),IF(INDEX('Lease Cycles'!$EF$13:$EL$13,1,DE95)=1,IF(AND('Lease Cycles'!$AZ$13&gt;=INDEX('Lease Cycles'!$BG$13:$BM$13,1,DE95),'Lease Cycles'!$AZ$13&lt;=DE$6),'Lease Cycles'!$C$13*'Lease Cycles'!$BA$13/12,IF(AND('Lease Cycles'!$AX$13&gt;=INDEX('Lease Cycles'!$BG$13:$BM$13,1,DE95),'Lease Cycles'!$AX$13&lt;=DE$6),'Lease Cycles'!$C$13*'Lease Cycles'!$AY$13/12,IF(AND('Lease Cycles'!$AV$13&gt;=INDEX('Lease Cycles'!$BG$13:$BM$13,1,DE95),'Lease Cycles'!$AV$13&lt;=DE$6),'Lease Cycles'!$C$13*'Lease Cycles'!$AW$13/12,IF(AND('Lease Cycles'!$AT$13&gt;=INDEX('Lease Cycles'!$BG$13:$BM$13,1,DE95),'Lease Cycles'!$AT$13&lt;=DE$6),'Lease Cycles'!$C$13*'Lease Cycles'!$AU$13/12,'Lease Cycles'!$C$13*INDEX('Lease Cycles'!$CB$13:$CH$13,1,DE95)*(1+INDEX('Lease Cycles'!$CI$13:$CO$13,1,DE95))^INT(INT(DE96/12)/INDEX('Lease Cycles'!$CP$13:$CV$13,1,DE95))/12)))),'Lease Cycles'!$C$13*INDEX('Lease Cycles'!$CB$13:$CH$13,1,DE95)*(1+INDEX('Lease Cycles'!$CI$13:$CO$13,1,DE95))^INT(INT(DE96/12)/INDEX('Lease Cycles'!$CP$13:$CV$13,1,DE95))/12))),IF('Lease Cycles'!$N$13=1,'Lease Cycles'!$C$13*'Lease Cycles'!$E$13*INDEX('Lease Cycles'!$HE$13:$HK$13,1,DE95)*(1+INDEX('Lease Cycles'!$GQ$13:$GW$13,1,DE95))^INT(INT((DE$6-INDEX('Lease Cycles'!$GJ$13:$GP$13,1,DE95))/12)/INDEX('Lease Cycles'!$GX$13:$HD$13,1,DE95))/12,0)))</f>
        <v>3387.772623836381</v>
      </c>
      <c r="DF98" s="28">
        <f>IF(DF95=0,IF('Lease Cycles'!$F$13&gt;0,'Lease Cycles'!$C$13*'Lease Cycles'!$E$13/12,0),IF(DF97=1,IF('Lease Cycles'!$AT$13&gt;=9999,'Lease Cycles'!$C$13*INDEX('Lease Cycles'!$CB$13:$CH$13,1,DF95)*(1+INDEX('Lease Cycles'!$CI$13:$CO$13,1,DF95))^INT(INT(DF96/12)/INDEX('Lease Cycles'!$CP$13:$CV$13,1,DF95))/12,IF(DF95=1,IF(DF96&gt;=INDEX('Lease Cycles'!$DK$13:$DQ$13,1,DF95),IF(DF$6&gt;='Lease Cycles'!$AZ$13,'Lease Cycles'!$C$13*'Lease Cycles'!$BA$13/12,IF(DF$6&gt;='Lease Cycles'!$AX$13,'Lease Cycles'!$C$13*'Lease Cycles'!$AY$13/12,IF(DF$6&gt;='Lease Cycles'!$AV$13,'Lease Cycles'!$C$13*'Lease Cycles'!$AW$13/12,IF(DF$6&gt;='Lease Cycles'!$AT$13,'Lease Cycles'!$C$13*'Lease Cycles'!$AU$13/12,'Lease Cycles'!$C$13*INDEX('Lease Cycles'!$CB$13:$CH$13,1,DF95)*(1+INDEX('Lease Cycles'!$CI$13:$CO$13,1,DF95))^INT(INT(DF96/12)/INDEX('Lease Cycles'!$CP$13:$CV$13,1,DF95))/12)))),'Lease Cycles'!$C$13*INDEX('Lease Cycles'!$CB$13:$CH$13,1,DF95)*(1+INDEX('Lease Cycles'!$CI$13:$CO$13,1,DF95))^INT(INT(DF96/12)/INDEX('Lease Cycles'!$CP$13:$CV$13,1,DF95))/12),IF(INDEX('Lease Cycles'!$EF$13:$EL$13,1,DF95)=1,IF(AND('Lease Cycles'!$AZ$13&gt;=INDEX('Lease Cycles'!$BG$13:$BM$13,1,DF95),'Lease Cycles'!$AZ$13&lt;=DF$6),'Lease Cycles'!$C$13*'Lease Cycles'!$BA$13/12,IF(AND('Lease Cycles'!$AX$13&gt;=INDEX('Lease Cycles'!$BG$13:$BM$13,1,DF95),'Lease Cycles'!$AX$13&lt;=DF$6),'Lease Cycles'!$C$13*'Lease Cycles'!$AY$13/12,IF(AND('Lease Cycles'!$AV$13&gt;=INDEX('Lease Cycles'!$BG$13:$BM$13,1,DF95),'Lease Cycles'!$AV$13&lt;=DF$6),'Lease Cycles'!$C$13*'Lease Cycles'!$AW$13/12,IF(AND('Lease Cycles'!$AT$13&gt;=INDEX('Lease Cycles'!$BG$13:$BM$13,1,DF95),'Lease Cycles'!$AT$13&lt;=DF$6),'Lease Cycles'!$C$13*'Lease Cycles'!$AU$13/12,'Lease Cycles'!$C$13*INDEX('Lease Cycles'!$CB$13:$CH$13,1,DF95)*(1+INDEX('Lease Cycles'!$CI$13:$CO$13,1,DF95))^INT(INT(DF96/12)/INDEX('Lease Cycles'!$CP$13:$CV$13,1,DF95))/12)))),'Lease Cycles'!$C$13*INDEX('Lease Cycles'!$CB$13:$CH$13,1,DF95)*(1+INDEX('Lease Cycles'!$CI$13:$CO$13,1,DF95))^INT(INT(DF96/12)/INDEX('Lease Cycles'!$CP$13:$CV$13,1,DF95))/12))),IF('Lease Cycles'!$N$13=1,'Lease Cycles'!$C$13*'Lease Cycles'!$E$13*INDEX('Lease Cycles'!$HE$13:$HK$13,1,DF95)*(1+INDEX('Lease Cycles'!$GQ$13:$GW$13,1,DF95))^INT(INT((DF$6-INDEX('Lease Cycles'!$GJ$13:$GP$13,1,DF95))/12)/INDEX('Lease Cycles'!$GX$13:$HD$13,1,DF95))/12,0)))</f>
        <v>3387.772623836381</v>
      </c>
      <c r="DG98" s="28">
        <f>IF(DG95=0,IF('Lease Cycles'!$F$13&gt;0,'Lease Cycles'!$C$13*'Lease Cycles'!$E$13/12,0),IF(DG97=1,IF('Lease Cycles'!$AT$13&gt;=9999,'Lease Cycles'!$C$13*INDEX('Lease Cycles'!$CB$13:$CH$13,1,DG95)*(1+INDEX('Lease Cycles'!$CI$13:$CO$13,1,DG95))^INT(INT(DG96/12)/INDEX('Lease Cycles'!$CP$13:$CV$13,1,DG95))/12,IF(DG95=1,IF(DG96&gt;=INDEX('Lease Cycles'!$DK$13:$DQ$13,1,DG95),IF(DG$6&gt;='Lease Cycles'!$AZ$13,'Lease Cycles'!$C$13*'Lease Cycles'!$BA$13/12,IF(DG$6&gt;='Lease Cycles'!$AX$13,'Lease Cycles'!$C$13*'Lease Cycles'!$AY$13/12,IF(DG$6&gt;='Lease Cycles'!$AV$13,'Lease Cycles'!$C$13*'Lease Cycles'!$AW$13/12,IF(DG$6&gt;='Lease Cycles'!$AT$13,'Lease Cycles'!$C$13*'Lease Cycles'!$AU$13/12,'Lease Cycles'!$C$13*INDEX('Lease Cycles'!$CB$13:$CH$13,1,DG95)*(1+INDEX('Lease Cycles'!$CI$13:$CO$13,1,DG95))^INT(INT(DG96/12)/INDEX('Lease Cycles'!$CP$13:$CV$13,1,DG95))/12)))),'Lease Cycles'!$C$13*INDEX('Lease Cycles'!$CB$13:$CH$13,1,DG95)*(1+INDEX('Lease Cycles'!$CI$13:$CO$13,1,DG95))^INT(INT(DG96/12)/INDEX('Lease Cycles'!$CP$13:$CV$13,1,DG95))/12),IF(INDEX('Lease Cycles'!$EF$13:$EL$13,1,DG95)=1,IF(AND('Lease Cycles'!$AZ$13&gt;=INDEX('Lease Cycles'!$BG$13:$BM$13,1,DG95),'Lease Cycles'!$AZ$13&lt;=DG$6),'Lease Cycles'!$C$13*'Lease Cycles'!$BA$13/12,IF(AND('Lease Cycles'!$AX$13&gt;=INDEX('Lease Cycles'!$BG$13:$BM$13,1,DG95),'Lease Cycles'!$AX$13&lt;=DG$6),'Lease Cycles'!$C$13*'Lease Cycles'!$AY$13/12,IF(AND('Lease Cycles'!$AV$13&gt;=INDEX('Lease Cycles'!$BG$13:$BM$13,1,DG95),'Lease Cycles'!$AV$13&lt;=DG$6),'Lease Cycles'!$C$13*'Lease Cycles'!$AW$13/12,IF(AND('Lease Cycles'!$AT$13&gt;=INDEX('Lease Cycles'!$BG$13:$BM$13,1,DG95),'Lease Cycles'!$AT$13&lt;=DG$6),'Lease Cycles'!$C$13*'Lease Cycles'!$AU$13/12,'Lease Cycles'!$C$13*INDEX('Lease Cycles'!$CB$13:$CH$13,1,DG95)*(1+INDEX('Lease Cycles'!$CI$13:$CO$13,1,DG95))^INT(INT(DG96/12)/INDEX('Lease Cycles'!$CP$13:$CV$13,1,DG95))/12)))),'Lease Cycles'!$C$13*INDEX('Lease Cycles'!$CB$13:$CH$13,1,DG95)*(1+INDEX('Lease Cycles'!$CI$13:$CO$13,1,DG95))^INT(INT(DG96/12)/INDEX('Lease Cycles'!$CP$13:$CV$13,1,DG95))/12))),IF('Lease Cycles'!$N$13=1,'Lease Cycles'!$C$13*'Lease Cycles'!$E$13*INDEX('Lease Cycles'!$HE$13:$HK$13,1,DG95)*(1+INDEX('Lease Cycles'!$GQ$13:$GW$13,1,DG95))^INT(INT((DG$6-INDEX('Lease Cycles'!$GJ$13:$GP$13,1,DG95))/12)/INDEX('Lease Cycles'!$GX$13:$HD$13,1,DG95))/12,0)))</f>
        <v>3387.772623836381</v>
      </c>
      <c r="DH98" s="28">
        <f>IF(DH95=0,IF('Lease Cycles'!$F$13&gt;0,'Lease Cycles'!$C$13*'Lease Cycles'!$E$13/12,0),IF(DH97=1,IF('Lease Cycles'!$AT$13&gt;=9999,'Lease Cycles'!$C$13*INDEX('Lease Cycles'!$CB$13:$CH$13,1,DH95)*(1+INDEX('Lease Cycles'!$CI$13:$CO$13,1,DH95))^INT(INT(DH96/12)/INDEX('Lease Cycles'!$CP$13:$CV$13,1,DH95))/12,IF(DH95=1,IF(DH96&gt;=INDEX('Lease Cycles'!$DK$13:$DQ$13,1,DH95),IF(DH$6&gt;='Lease Cycles'!$AZ$13,'Lease Cycles'!$C$13*'Lease Cycles'!$BA$13/12,IF(DH$6&gt;='Lease Cycles'!$AX$13,'Lease Cycles'!$C$13*'Lease Cycles'!$AY$13/12,IF(DH$6&gt;='Lease Cycles'!$AV$13,'Lease Cycles'!$C$13*'Lease Cycles'!$AW$13/12,IF(DH$6&gt;='Lease Cycles'!$AT$13,'Lease Cycles'!$C$13*'Lease Cycles'!$AU$13/12,'Lease Cycles'!$C$13*INDEX('Lease Cycles'!$CB$13:$CH$13,1,DH95)*(1+INDEX('Lease Cycles'!$CI$13:$CO$13,1,DH95))^INT(INT(DH96/12)/INDEX('Lease Cycles'!$CP$13:$CV$13,1,DH95))/12)))),'Lease Cycles'!$C$13*INDEX('Lease Cycles'!$CB$13:$CH$13,1,DH95)*(1+INDEX('Lease Cycles'!$CI$13:$CO$13,1,DH95))^INT(INT(DH96/12)/INDEX('Lease Cycles'!$CP$13:$CV$13,1,DH95))/12),IF(INDEX('Lease Cycles'!$EF$13:$EL$13,1,DH95)=1,IF(AND('Lease Cycles'!$AZ$13&gt;=INDEX('Lease Cycles'!$BG$13:$BM$13,1,DH95),'Lease Cycles'!$AZ$13&lt;=DH$6),'Lease Cycles'!$C$13*'Lease Cycles'!$BA$13/12,IF(AND('Lease Cycles'!$AX$13&gt;=INDEX('Lease Cycles'!$BG$13:$BM$13,1,DH95),'Lease Cycles'!$AX$13&lt;=DH$6),'Lease Cycles'!$C$13*'Lease Cycles'!$AY$13/12,IF(AND('Lease Cycles'!$AV$13&gt;=INDEX('Lease Cycles'!$BG$13:$BM$13,1,DH95),'Lease Cycles'!$AV$13&lt;=DH$6),'Lease Cycles'!$C$13*'Lease Cycles'!$AW$13/12,IF(AND('Lease Cycles'!$AT$13&gt;=INDEX('Lease Cycles'!$BG$13:$BM$13,1,DH95),'Lease Cycles'!$AT$13&lt;=DH$6),'Lease Cycles'!$C$13*'Lease Cycles'!$AU$13/12,'Lease Cycles'!$C$13*INDEX('Lease Cycles'!$CB$13:$CH$13,1,DH95)*(1+INDEX('Lease Cycles'!$CI$13:$CO$13,1,DH95))^INT(INT(DH96/12)/INDEX('Lease Cycles'!$CP$13:$CV$13,1,DH95))/12)))),'Lease Cycles'!$C$13*INDEX('Lease Cycles'!$CB$13:$CH$13,1,DH95)*(1+INDEX('Lease Cycles'!$CI$13:$CO$13,1,DH95))^INT(INT(DH96/12)/INDEX('Lease Cycles'!$CP$13:$CV$13,1,DH95))/12))),IF('Lease Cycles'!$N$13=1,'Lease Cycles'!$C$13*'Lease Cycles'!$E$13*INDEX('Lease Cycles'!$HE$13:$HK$13,1,DH95)*(1+INDEX('Lease Cycles'!$GQ$13:$GW$13,1,DH95))^INT(INT((DH$6-INDEX('Lease Cycles'!$GJ$13:$GP$13,1,DH95))/12)/INDEX('Lease Cycles'!$GX$13:$HD$13,1,DH95))/12,0)))</f>
        <v>3489.4058025514732</v>
      </c>
      <c r="DI98" s="28">
        <f>IF(DI95=0,IF('Lease Cycles'!$F$13&gt;0,'Lease Cycles'!$C$13*'Lease Cycles'!$E$13/12,0),IF(DI97=1,IF('Lease Cycles'!$AT$13&gt;=9999,'Lease Cycles'!$C$13*INDEX('Lease Cycles'!$CB$13:$CH$13,1,DI95)*(1+INDEX('Lease Cycles'!$CI$13:$CO$13,1,DI95))^INT(INT(DI96/12)/INDEX('Lease Cycles'!$CP$13:$CV$13,1,DI95))/12,IF(DI95=1,IF(DI96&gt;=INDEX('Lease Cycles'!$DK$13:$DQ$13,1,DI95),IF(DI$6&gt;='Lease Cycles'!$AZ$13,'Lease Cycles'!$C$13*'Lease Cycles'!$BA$13/12,IF(DI$6&gt;='Lease Cycles'!$AX$13,'Lease Cycles'!$C$13*'Lease Cycles'!$AY$13/12,IF(DI$6&gt;='Lease Cycles'!$AV$13,'Lease Cycles'!$C$13*'Lease Cycles'!$AW$13/12,IF(DI$6&gt;='Lease Cycles'!$AT$13,'Lease Cycles'!$C$13*'Lease Cycles'!$AU$13/12,'Lease Cycles'!$C$13*INDEX('Lease Cycles'!$CB$13:$CH$13,1,DI95)*(1+INDEX('Lease Cycles'!$CI$13:$CO$13,1,DI95))^INT(INT(DI96/12)/INDEX('Lease Cycles'!$CP$13:$CV$13,1,DI95))/12)))),'Lease Cycles'!$C$13*INDEX('Lease Cycles'!$CB$13:$CH$13,1,DI95)*(1+INDEX('Lease Cycles'!$CI$13:$CO$13,1,DI95))^INT(INT(DI96/12)/INDEX('Lease Cycles'!$CP$13:$CV$13,1,DI95))/12),IF(INDEX('Lease Cycles'!$EF$13:$EL$13,1,DI95)=1,IF(AND('Lease Cycles'!$AZ$13&gt;=INDEX('Lease Cycles'!$BG$13:$BM$13,1,DI95),'Lease Cycles'!$AZ$13&lt;=DI$6),'Lease Cycles'!$C$13*'Lease Cycles'!$BA$13/12,IF(AND('Lease Cycles'!$AX$13&gt;=INDEX('Lease Cycles'!$BG$13:$BM$13,1,DI95),'Lease Cycles'!$AX$13&lt;=DI$6),'Lease Cycles'!$C$13*'Lease Cycles'!$AY$13/12,IF(AND('Lease Cycles'!$AV$13&gt;=INDEX('Lease Cycles'!$BG$13:$BM$13,1,DI95),'Lease Cycles'!$AV$13&lt;=DI$6),'Lease Cycles'!$C$13*'Lease Cycles'!$AW$13/12,IF(AND('Lease Cycles'!$AT$13&gt;=INDEX('Lease Cycles'!$BG$13:$BM$13,1,DI95),'Lease Cycles'!$AT$13&lt;=DI$6),'Lease Cycles'!$C$13*'Lease Cycles'!$AU$13/12,'Lease Cycles'!$C$13*INDEX('Lease Cycles'!$CB$13:$CH$13,1,DI95)*(1+INDEX('Lease Cycles'!$CI$13:$CO$13,1,DI95))^INT(INT(DI96/12)/INDEX('Lease Cycles'!$CP$13:$CV$13,1,DI95))/12)))),'Lease Cycles'!$C$13*INDEX('Lease Cycles'!$CB$13:$CH$13,1,DI95)*(1+INDEX('Lease Cycles'!$CI$13:$CO$13,1,DI95))^INT(INT(DI96/12)/INDEX('Lease Cycles'!$CP$13:$CV$13,1,DI95))/12))),IF('Lease Cycles'!$N$13=1,'Lease Cycles'!$C$13*'Lease Cycles'!$E$13*INDEX('Lease Cycles'!$HE$13:$HK$13,1,DI95)*(1+INDEX('Lease Cycles'!$GQ$13:$GW$13,1,DI95))^INT(INT((DI$6-INDEX('Lease Cycles'!$GJ$13:$GP$13,1,DI95))/12)/INDEX('Lease Cycles'!$GX$13:$HD$13,1,DI95))/12,0)))</f>
        <v>3489.4058025514732</v>
      </c>
      <c r="DJ98" s="28">
        <f>IF(DJ95=0,IF('Lease Cycles'!$F$13&gt;0,'Lease Cycles'!$C$13*'Lease Cycles'!$E$13/12,0),IF(DJ97=1,IF('Lease Cycles'!$AT$13&gt;=9999,'Lease Cycles'!$C$13*INDEX('Lease Cycles'!$CB$13:$CH$13,1,DJ95)*(1+INDEX('Lease Cycles'!$CI$13:$CO$13,1,DJ95))^INT(INT(DJ96/12)/INDEX('Lease Cycles'!$CP$13:$CV$13,1,DJ95))/12,IF(DJ95=1,IF(DJ96&gt;=INDEX('Lease Cycles'!$DK$13:$DQ$13,1,DJ95),IF(DJ$6&gt;='Lease Cycles'!$AZ$13,'Lease Cycles'!$C$13*'Lease Cycles'!$BA$13/12,IF(DJ$6&gt;='Lease Cycles'!$AX$13,'Lease Cycles'!$C$13*'Lease Cycles'!$AY$13/12,IF(DJ$6&gt;='Lease Cycles'!$AV$13,'Lease Cycles'!$C$13*'Lease Cycles'!$AW$13/12,IF(DJ$6&gt;='Lease Cycles'!$AT$13,'Lease Cycles'!$C$13*'Lease Cycles'!$AU$13/12,'Lease Cycles'!$C$13*INDEX('Lease Cycles'!$CB$13:$CH$13,1,DJ95)*(1+INDEX('Lease Cycles'!$CI$13:$CO$13,1,DJ95))^INT(INT(DJ96/12)/INDEX('Lease Cycles'!$CP$13:$CV$13,1,DJ95))/12)))),'Lease Cycles'!$C$13*INDEX('Lease Cycles'!$CB$13:$CH$13,1,DJ95)*(1+INDEX('Lease Cycles'!$CI$13:$CO$13,1,DJ95))^INT(INT(DJ96/12)/INDEX('Lease Cycles'!$CP$13:$CV$13,1,DJ95))/12),IF(INDEX('Lease Cycles'!$EF$13:$EL$13,1,DJ95)=1,IF(AND('Lease Cycles'!$AZ$13&gt;=INDEX('Lease Cycles'!$BG$13:$BM$13,1,DJ95),'Lease Cycles'!$AZ$13&lt;=DJ$6),'Lease Cycles'!$C$13*'Lease Cycles'!$BA$13/12,IF(AND('Lease Cycles'!$AX$13&gt;=INDEX('Lease Cycles'!$BG$13:$BM$13,1,DJ95),'Lease Cycles'!$AX$13&lt;=DJ$6),'Lease Cycles'!$C$13*'Lease Cycles'!$AY$13/12,IF(AND('Lease Cycles'!$AV$13&gt;=INDEX('Lease Cycles'!$BG$13:$BM$13,1,DJ95),'Lease Cycles'!$AV$13&lt;=DJ$6),'Lease Cycles'!$C$13*'Lease Cycles'!$AW$13/12,IF(AND('Lease Cycles'!$AT$13&gt;=INDEX('Lease Cycles'!$BG$13:$BM$13,1,DJ95),'Lease Cycles'!$AT$13&lt;=DJ$6),'Lease Cycles'!$C$13*'Lease Cycles'!$AU$13/12,'Lease Cycles'!$C$13*INDEX('Lease Cycles'!$CB$13:$CH$13,1,DJ95)*(1+INDEX('Lease Cycles'!$CI$13:$CO$13,1,DJ95))^INT(INT(DJ96/12)/INDEX('Lease Cycles'!$CP$13:$CV$13,1,DJ95))/12)))),'Lease Cycles'!$C$13*INDEX('Lease Cycles'!$CB$13:$CH$13,1,DJ95)*(1+INDEX('Lease Cycles'!$CI$13:$CO$13,1,DJ95))^INT(INT(DJ96/12)/INDEX('Lease Cycles'!$CP$13:$CV$13,1,DJ95))/12))),IF('Lease Cycles'!$N$13=1,'Lease Cycles'!$C$13*'Lease Cycles'!$E$13*INDEX('Lease Cycles'!$HE$13:$HK$13,1,DJ95)*(1+INDEX('Lease Cycles'!$GQ$13:$GW$13,1,DJ95))^INT(INT((DJ$6-INDEX('Lease Cycles'!$GJ$13:$GP$13,1,DJ95))/12)/INDEX('Lease Cycles'!$GX$13:$HD$13,1,DJ95))/12,0)))</f>
        <v>3489.4058025514732</v>
      </c>
      <c r="DK98" s="28">
        <f>IF(DK95=0,IF('Lease Cycles'!$F$13&gt;0,'Lease Cycles'!$C$13*'Lease Cycles'!$E$13/12,0),IF(DK97=1,IF('Lease Cycles'!$AT$13&gt;=9999,'Lease Cycles'!$C$13*INDEX('Lease Cycles'!$CB$13:$CH$13,1,DK95)*(1+INDEX('Lease Cycles'!$CI$13:$CO$13,1,DK95))^INT(INT(DK96/12)/INDEX('Lease Cycles'!$CP$13:$CV$13,1,DK95))/12,IF(DK95=1,IF(DK96&gt;=INDEX('Lease Cycles'!$DK$13:$DQ$13,1,DK95),IF(DK$6&gt;='Lease Cycles'!$AZ$13,'Lease Cycles'!$C$13*'Lease Cycles'!$BA$13/12,IF(DK$6&gt;='Lease Cycles'!$AX$13,'Lease Cycles'!$C$13*'Lease Cycles'!$AY$13/12,IF(DK$6&gt;='Lease Cycles'!$AV$13,'Lease Cycles'!$C$13*'Lease Cycles'!$AW$13/12,IF(DK$6&gt;='Lease Cycles'!$AT$13,'Lease Cycles'!$C$13*'Lease Cycles'!$AU$13/12,'Lease Cycles'!$C$13*INDEX('Lease Cycles'!$CB$13:$CH$13,1,DK95)*(1+INDEX('Lease Cycles'!$CI$13:$CO$13,1,DK95))^INT(INT(DK96/12)/INDEX('Lease Cycles'!$CP$13:$CV$13,1,DK95))/12)))),'Lease Cycles'!$C$13*INDEX('Lease Cycles'!$CB$13:$CH$13,1,DK95)*(1+INDEX('Lease Cycles'!$CI$13:$CO$13,1,DK95))^INT(INT(DK96/12)/INDEX('Lease Cycles'!$CP$13:$CV$13,1,DK95))/12),IF(INDEX('Lease Cycles'!$EF$13:$EL$13,1,DK95)=1,IF(AND('Lease Cycles'!$AZ$13&gt;=INDEX('Lease Cycles'!$BG$13:$BM$13,1,DK95),'Lease Cycles'!$AZ$13&lt;=DK$6),'Lease Cycles'!$C$13*'Lease Cycles'!$BA$13/12,IF(AND('Lease Cycles'!$AX$13&gt;=INDEX('Lease Cycles'!$BG$13:$BM$13,1,DK95),'Lease Cycles'!$AX$13&lt;=DK$6),'Lease Cycles'!$C$13*'Lease Cycles'!$AY$13/12,IF(AND('Lease Cycles'!$AV$13&gt;=INDEX('Lease Cycles'!$BG$13:$BM$13,1,DK95),'Lease Cycles'!$AV$13&lt;=DK$6),'Lease Cycles'!$C$13*'Lease Cycles'!$AW$13/12,IF(AND('Lease Cycles'!$AT$13&gt;=INDEX('Lease Cycles'!$BG$13:$BM$13,1,DK95),'Lease Cycles'!$AT$13&lt;=DK$6),'Lease Cycles'!$C$13*'Lease Cycles'!$AU$13/12,'Lease Cycles'!$C$13*INDEX('Lease Cycles'!$CB$13:$CH$13,1,DK95)*(1+INDEX('Lease Cycles'!$CI$13:$CO$13,1,DK95))^INT(INT(DK96/12)/INDEX('Lease Cycles'!$CP$13:$CV$13,1,DK95))/12)))),'Lease Cycles'!$C$13*INDEX('Lease Cycles'!$CB$13:$CH$13,1,DK95)*(1+INDEX('Lease Cycles'!$CI$13:$CO$13,1,DK95))^INT(INT(DK96/12)/INDEX('Lease Cycles'!$CP$13:$CV$13,1,DK95))/12))),IF('Lease Cycles'!$N$13=1,'Lease Cycles'!$C$13*'Lease Cycles'!$E$13*INDEX('Lease Cycles'!$HE$13:$HK$13,1,DK95)*(1+INDEX('Lease Cycles'!$GQ$13:$GW$13,1,DK95))^INT(INT((DK$6-INDEX('Lease Cycles'!$GJ$13:$GP$13,1,DK95))/12)/INDEX('Lease Cycles'!$GX$13:$HD$13,1,DK95))/12,0)))</f>
        <v>3489.4058025514732</v>
      </c>
      <c r="DL98" s="28">
        <f>IF(DL95=0,IF('Lease Cycles'!$F$13&gt;0,'Lease Cycles'!$C$13*'Lease Cycles'!$E$13/12,0),IF(DL97=1,IF('Lease Cycles'!$AT$13&gt;=9999,'Lease Cycles'!$C$13*INDEX('Lease Cycles'!$CB$13:$CH$13,1,DL95)*(1+INDEX('Lease Cycles'!$CI$13:$CO$13,1,DL95))^INT(INT(DL96/12)/INDEX('Lease Cycles'!$CP$13:$CV$13,1,DL95))/12,IF(DL95=1,IF(DL96&gt;=INDEX('Lease Cycles'!$DK$13:$DQ$13,1,DL95),IF(DL$6&gt;='Lease Cycles'!$AZ$13,'Lease Cycles'!$C$13*'Lease Cycles'!$BA$13/12,IF(DL$6&gt;='Lease Cycles'!$AX$13,'Lease Cycles'!$C$13*'Lease Cycles'!$AY$13/12,IF(DL$6&gt;='Lease Cycles'!$AV$13,'Lease Cycles'!$C$13*'Lease Cycles'!$AW$13/12,IF(DL$6&gt;='Lease Cycles'!$AT$13,'Lease Cycles'!$C$13*'Lease Cycles'!$AU$13/12,'Lease Cycles'!$C$13*INDEX('Lease Cycles'!$CB$13:$CH$13,1,DL95)*(1+INDEX('Lease Cycles'!$CI$13:$CO$13,1,DL95))^INT(INT(DL96/12)/INDEX('Lease Cycles'!$CP$13:$CV$13,1,DL95))/12)))),'Lease Cycles'!$C$13*INDEX('Lease Cycles'!$CB$13:$CH$13,1,DL95)*(1+INDEX('Lease Cycles'!$CI$13:$CO$13,1,DL95))^INT(INT(DL96/12)/INDEX('Lease Cycles'!$CP$13:$CV$13,1,DL95))/12),IF(INDEX('Lease Cycles'!$EF$13:$EL$13,1,DL95)=1,IF(AND('Lease Cycles'!$AZ$13&gt;=INDEX('Lease Cycles'!$BG$13:$BM$13,1,DL95),'Lease Cycles'!$AZ$13&lt;=DL$6),'Lease Cycles'!$C$13*'Lease Cycles'!$BA$13/12,IF(AND('Lease Cycles'!$AX$13&gt;=INDEX('Lease Cycles'!$BG$13:$BM$13,1,DL95),'Lease Cycles'!$AX$13&lt;=DL$6),'Lease Cycles'!$C$13*'Lease Cycles'!$AY$13/12,IF(AND('Lease Cycles'!$AV$13&gt;=INDEX('Lease Cycles'!$BG$13:$BM$13,1,DL95),'Lease Cycles'!$AV$13&lt;=DL$6),'Lease Cycles'!$C$13*'Lease Cycles'!$AW$13/12,IF(AND('Lease Cycles'!$AT$13&gt;=INDEX('Lease Cycles'!$BG$13:$BM$13,1,DL95),'Lease Cycles'!$AT$13&lt;=DL$6),'Lease Cycles'!$C$13*'Lease Cycles'!$AU$13/12,'Lease Cycles'!$C$13*INDEX('Lease Cycles'!$CB$13:$CH$13,1,DL95)*(1+INDEX('Lease Cycles'!$CI$13:$CO$13,1,DL95))^INT(INT(DL96/12)/INDEX('Lease Cycles'!$CP$13:$CV$13,1,DL95))/12)))),'Lease Cycles'!$C$13*INDEX('Lease Cycles'!$CB$13:$CH$13,1,DL95)*(1+INDEX('Lease Cycles'!$CI$13:$CO$13,1,DL95))^INT(INT(DL96/12)/INDEX('Lease Cycles'!$CP$13:$CV$13,1,DL95))/12))),IF('Lease Cycles'!$N$13=1,'Lease Cycles'!$C$13*'Lease Cycles'!$E$13*INDEX('Lease Cycles'!$HE$13:$HK$13,1,DL95)*(1+INDEX('Lease Cycles'!$GQ$13:$GW$13,1,DL95))^INT(INT((DL$6-INDEX('Lease Cycles'!$GJ$13:$GP$13,1,DL95))/12)/INDEX('Lease Cycles'!$GX$13:$HD$13,1,DL95))/12,0)))</f>
        <v>3489.4058025514732</v>
      </c>
      <c r="DM98" s="28">
        <f>IF(DM95=0,IF('Lease Cycles'!$F$13&gt;0,'Lease Cycles'!$C$13*'Lease Cycles'!$E$13/12,0),IF(DM97=1,IF('Lease Cycles'!$AT$13&gt;=9999,'Lease Cycles'!$C$13*INDEX('Lease Cycles'!$CB$13:$CH$13,1,DM95)*(1+INDEX('Lease Cycles'!$CI$13:$CO$13,1,DM95))^INT(INT(DM96/12)/INDEX('Lease Cycles'!$CP$13:$CV$13,1,DM95))/12,IF(DM95=1,IF(DM96&gt;=INDEX('Lease Cycles'!$DK$13:$DQ$13,1,DM95),IF(DM$6&gt;='Lease Cycles'!$AZ$13,'Lease Cycles'!$C$13*'Lease Cycles'!$BA$13/12,IF(DM$6&gt;='Lease Cycles'!$AX$13,'Lease Cycles'!$C$13*'Lease Cycles'!$AY$13/12,IF(DM$6&gt;='Lease Cycles'!$AV$13,'Lease Cycles'!$C$13*'Lease Cycles'!$AW$13/12,IF(DM$6&gt;='Lease Cycles'!$AT$13,'Lease Cycles'!$C$13*'Lease Cycles'!$AU$13/12,'Lease Cycles'!$C$13*INDEX('Lease Cycles'!$CB$13:$CH$13,1,DM95)*(1+INDEX('Lease Cycles'!$CI$13:$CO$13,1,DM95))^INT(INT(DM96/12)/INDEX('Lease Cycles'!$CP$13:$CV$13,1,DM95))/12)))),'Lease Cycles'!$C$13*INDEX('Lease Cycles'!$CB$13:$CH$13,1,DM95)*(1+INDEX('Lease Cycles'!$CI$13:$CO$13,1,DM95))^INT(INT(DM96/12)/INDEX('Lease Cycles'!$CP$13:$CV$13,1,DM95))/12),IF(INDEX('Lease Cycles'!$EF$13:$EL$13,1,DM95)=1,IF(AND('Lease Cycles'!$AZ$13&gt;=INDEX('Lease Cycles'!$BG$13:$BM$13,1,DM95),'Lease Cycles'!$AZ$13&lt;=DM$6),'Lease Cycles'!$C$13*'Lease Cycles'!$BA$13/12,IF(AND('Lease Cycles'!$AX$13&gt;=INDEX('Lease Cycles'!$BG$13:$BM$13,1,DM95),'Lease Cycles'!$AX$13&lt;=DM$6),'Lease Cycles'!$C$13*'Lease Cycles'!$AY$13/12,IF(AND('Lease Cycles'!$AV$13&gt;=INDEX('Lease Cycles'!$BG$13:$BM$13,1,DM95),'Lease Cycles'!$AV$13&lt;=DM$6),'Lease Cycles'!$C$13*'Lease Cycles'!$AW$13/12,IF(AND('Lease Cycles'!$AT$13&gt;=INDEX('Lease Cycles'!$BG$13:$BM$13,1,DM95),'Lease Cycles'!$AT$13&lt;=DM$6),'Lease Cycles'!$C$13*'Lease Cycles'!$AU$13/12,'Lease Cycles'!$C$13*INDEX('Lease Cycles'!$CB$13:$CH$13,1,DM95)*(1+INDEX('Lease Cycles'!$CI$13:$CO$13,1,DM95))^INT(INT(DM96/12)/INDEX('Lease Cycles'!$CP$13:$CV$13,1,DM95))/12)))),'Lease Cycles'!$C$13*INDEX('Lease Cycles'!$CB$13:$CH$13,1,DM95)*(1+INDEX('Lease Cycles'!$CI$13:$CO$13,1,DM95))^INT(INT(DM96/12)/INDEX('Lease Cycles'!$CP$13:$CV$13,1,DM95))/12))),IF('Lease Cycles'!$N$13=1,'Lease Cycles'!$C$13*'Lease Cycles'!$E$13*INDEX('Lease Cycles'!$HE$13:$HK$13,1,DM95)*(1+INDEX('Lease Cycles'!$GQ$13:$GW$13,1,DM95))^INT(INT((DM$6-INDEX('Lease Cycles'!$GJ$13:$GP$13,1,DM95))/12)/INDEX('Lease Cycles'!$GX$13:$HD$13,1,DM95))/12,0)))</f>
        <v>3489.4058025514732</v>
      </c>
      <c r="DN98" s="28">
        <f>IF(DN95=0,IF('Lease Cycles'!$F$13&gt;0,'Lease Cycles'!$C$13*'Lease Cycles'!$E$13/12,0),IF(DN97=1,IF('Lease Cycles'!$AT$13&gt;=9999,'Lease Cycles'!$C$13*INDEX('Lease Cycles'!$CB$13:$CH$13,1,DN95)*(1+INDEX('Lease Cycles'!$CI$13:$CO$13,1,DN95))^INT(INT(DN96/12)/INDEX('Lease Cycles'!$CP$13:$CV$13,1,DN95))/12,IF(DN95=1,IF(DN96&gt;=INDEX('Lease Cycles'!$DK$13:$DQ$13,1,DN95),IF(DN$6&gt;='Lease Cycles'!$AZ$13,'Lease Cycles'!$C$13*'Lease Cycles'!$BA$13/12,IF(DN$6&gt;='Lease Cycles'!$AX$13,'Lease Cycles'!$C$13*'Lease Cycles'!$AY$13/12,IF(DN$6&gt;='Lease Cycles'!$AV$13,'Lease Cycles'!$C$13*'Lease Cycles'!$AW$13/12,IF(DN$6&gt;='Lease Cycles'!$AT$13,'Lease Cycles'!$C$13*'Lease Cycles'!$AU$13/12,'Lease Cycles'!$C$13*INDEX('Lease Cycles'!$CB$13:$CH$13,1,DN95)*(1+INDEX('Lease Cycles'!$CI$13:$CO$13,1,DN95))^INT(INT(DN96/12)/INDEX('Lease Cycles'!$CP$13:$CV$13,1,DN95))/12)))),'Lease Cycles'!$C$13*INDEX('Lease Cycles'!$CB$13:$CH$13,1,DN95)*(1+INDEX('Lease Cycles'!$CI$13:$CO$13,1,DN95))^INT(INT(DN96/12)/INDEX('Lease Cycles'!$CP$13:$CV$13,1,DN95))/12),IF(INDEX('Lease Cycles'!$EF$13:$EL$13,1,DN95)=1,IF(AND('Lease Cycles'!$AZ$13&gt;=INDEX('Lease Cycles'!$BG$13:$BM$13,1,DN95),'Lease Cycles'!$AZ$13&lt;=DN$6),'Lease Cycles'!$C$13*'Lease Cycles'!$BA$13/12,IF(AND('Lease Cycles'!$AX$13&gt;=INDEX('Lease Cycles'!$BG$13:$BM$13,1,DN95),'Lease Cycles'!$AX$13&lt;=DN$6),'Lease Cycles'!$C$13*'Lease Cycles'!$AY$13/12,IF(AND('Lease Cycles'!$AV$13&gt;=INDEX('Lease Cycles'!$BG$13:$BM$13,1,DN95),'Lease Cycles'!$AV$13&lt;=DN$6),'Lease Cycles'!$C$13*'Lease Cycles'!$AW$13/12,IF(AND('Lease Cycles'!$AT$13&gt;=INDEX('Lease Cycles'!$BG$13:$BM$13,1,DN95),'Lease Cycles'!$AT$13&lt;=DN$6),'Lease Cycles'!$C$13*'Lease Cycles'!$AU$13/12,'Lease Cycles'!$C$13*INDEX('Lease Cycles'!$CB$13:$CH$13,1,DN95)*(1+INDEX('Lease Cycles'!$CI$13:$CO$13,1,DN95))^INT(INT(DN96/12)/INDEX('Lease Cycles'!$CP$13:$CV$13,1,DN95))/12)))),'Lease Cycles'!$C$13*INDEX('Lease Cycles'!$CB$13:$CH$13,1,DN95)*(1+INDEX('Lease Cycles'!$CI$13:$CO$13,1,DN95))^INT(INT(DN96/12)/INDEX('Lease Cycles'!$CP$13:$CV$13,1,DN95))/12))),IF('Lease Cycles'!$N$13=1,'Lease Cycles'!$C$13*'Lease Cycles'!$E$13*INDEX('Lease Cycles'!$HE$13:$HK$13,1,DN95)*(1+INDEX('Lease Cycles'!$GQ$13:$GW$13,1,DN95))^INT(INT((DN$6-INDEX('Lease Cycles'!$GJ$13:$GP$13,1,DN95))/12)/INDEX('Lease Cycles'!$GX$13:$HD$13,1,DN95))/12,0)))</f>
        <v>3489.4058025514732</v>
      </c>
      <c r="DO98" s="28">
        <f>IF(DO95=0,IF('Lease Cycles'!$F$13&gt;0,'Lease Cycles'!$C$13*'Lease Cycles'!$E$13/12,0),IF(DO97=1,IF('Lease Cycles'!$AT$13&gt;=9999,'Lease Cycles'!$C$13*INDEX('Lease Cycles'!$CB$13:$CH$13,1,DO95)*(1+INDEX('Lease Cycles'!$CI$13:$CO$13,1,DO95))^INT(INT(DO96/12)/INDEX('Lease Cycles'!$CP$13:$CV$13,1,DO95))/12,IF(DO95=1,IF(DO96&gt;=INDEX('Lease Cycles'!$DK$13:$DQ$13,1,DO95),IF(DO$6&gt;='Lease Cycles'!$AZ$13,'Lease Cycles'!$C$13*'Lease Cycles'!$BA$13/12,IF(DO$6&gt;='Lease Cycles'!$AX$13,'Lease Cycles'!$C$13*'Lease Cycles'!$AY$13/12,IF(DO$6&gt;='Lease Cycles'!$AV$13,'Lease Cycles'!$C$13*'Lease Cycles'!$AW$13/12,IF(DO$6&gt;='Lease Cycles'!$AT$13,'Lease Cycles'!$C$13*'Lease Cycles'!$AU$13/12,'Lease Cycles'!$C$13*INDEX('Lease Cycles'!$CB$13:$CH$13,1,DO95)*(1+INDEX('Lease Cycles'!$CI$13:$CO$13,1,DO95))^INT(INT(DO96/12)/INDEX('Lease Cycles'!$CP$13:$CV$13,1,DO95))/12)))),'Lease Cycles'!$C$13*INDEX('Lease Cycles'!$CB$13:$CH$13,1,DO95)*(1+INDEX('Lease Cycles'!$CI$13:$CO$13,1,DO95))^INT(INT(DO96/12)/INDEX('Lease Cycles'!$CP$13:$CV$13,1,DO95))/12),IF(INDEX('Lease Cycles'!$EF$13:$EL$13,1,DO95)=1,IF(AND('Lease Cycles'!$AZ$13&gt;=INDEX('Lease Cycles'!$BG$13:$BM$13,1,DO95),'Lease Cycles'!$AZ$13&lt;=DO$6),'Lease Cycles'!$C$13*'Lease Cycles'!$BA$13/12,IF(AND('Lease Cycles'!$AX$13&gt;=INDEX('Lease Cycles'!$BG$13:$BM$13,1,DO95),'Lease Cycles'!$AX$13&lt;=DO$6),'Lease Cycles'!$C$13*'Lease Cycles'!$AY$13/12,IF(AND('Lease Cycles'!$AV$13&gt;=INDEX('Lease Cycles'!$BG$13:$BM$13,1,DO95),'Lease Cycles'!$AV$13&lt;=DO$6),'Lease Cycles'!$C$13*'Lease Cycles'!$AW$13/12,IF(AND('Lease Cycles'!$AT$13&gt;=INDEX('Lease Cycles'!$BG$13:$BM$13,1,DO95),'Lease Cycles'!$AT$13&lt;=DO$6),'Lease Cycles'!$C$13*'Lease Cycles'!$AU$13/12,'Lease Cycles'!$C$13*INDEX('Lease Cycles'!$CB$13:$CH$13,1,DO95)*(1+INDEX('Lease Cycles'!$CI$13:$CO$13,1,DO95))^INT(INT(DO96/12)/INDEX('Lease Cycles'!$CP$13:$CV$13,1,DO95))/12)))),'Lease Cycles'!$C$13*INDEX('Lease Cycles'!$CB$13:$CH$13,1,DO95)*(1+INDEX('Lease Cycles'!$CI$13:$CO$13,1,DO95))^INT(INT(DO96/12)/INDEX('Lease Cycles'!$CP$13:$CV$13,1,DO95))/12))),IF('Lease Cycles'!$N$13=1,'Lease Cycles'!$C$13*'Lease Cycles'!$E$13*INDEX('Lease Cycles'!$HE$13:$HK$13,1,DO95)*(1+INDEX('Lease Cycles'!$GQ$13:$GW$13,1,DO95))^INT(INT((DO$6-INDEX('Lease Cycles'!$GJ$13:$GP$13,1,DO95))/12)/INDEX('Lease Cycles'!$GX$13:$HD$13,1,DO95))/12,0)))</f>
        <v>3489.4058025514732</v>
      </c>
      <c r="DP98" s="28">
        <f>IF(DP95=0,IF('Lease Cycles'!$F$13&gt;0,'Lease Cycles'!$C$13*'Lease Cycles'!$E$13/12,0),IF(DP97=1,IF('Lease Cycles'!$AT$13&gt;=9999,'Lease Cycles'!$C$13*INDEX('Lease Cycles'!$CB$13:$CH$13,1,DP95)*(1+INDEX('Lease Cycles'!$CI$13:$CO$13,1,DP95))^INT(INT(DP96/12)/INDEX('Lease Cycles'!$CP$13:$CV$13,1,DP95))/12,IF(DP95=1,IF(DP96&gt;=INDEX('Lease Cycles'!$DK$13:$DQ$13,1,DP95),IF(DP$6&gt;='Lease Cycles'!$AZ$13,'Lease Cycles'!$C$13*'Lease Cycles'!$BA$13/12,IF(DP$6&gt;='Lease Cycles'!$AX$13,'Lease Cycles'!$C$13*'Lease Cycles'!$AY$13/12,IF(DP$6&gt;='Lease Cycles'!$AV$13,'Lease Cycles'!$C$13*'Lease Cycles'!$AW$13/12,IF(DP$6&gt;='Lease Cycles'!$AT$13,'Lease Cycles'!$C$13*'Lease Cycles'!$AU$13/12,'Lease Cycles'!$C$13*INDEX('Lease Cycles'!$CB$13:$CH$13,1,DP95)*(1+INDEX('Lease Cycles'!$CI$13:$CO$13,1,DP95))^INT(INT(DP96/12)/INDEX('Lease Cycles'!$CP$13:$CV$13,1,DP95))/12)))),'Lease Cycles'!$C$13*INDEX('Lease Cycles'!$CB$13:$CH$13,1,DP95)*(1+INDEX('Lease Cycles'!$CI$13:$CO$13,1,DP95))^INT(INT(DP96/12)/INDEX('Lease Cycles'!$CP$13:$CV$13,1,DP95))/12),IF(INDEX('Lease Cycles'!$EF$13:$EL$13,1,DP95)=1,IF(AND('Lease Cycles'!$AZ$13&gt;=INDEX('Lease Cycles'!$BG$13:$BM$13,1,DP95),'Lease Cycles'!$AZ$13&lt;=DP$6),'Lease Cycles'!$C$13*'Lease Cycles'!$BA$13/12,IF(AND('Lease Cycles'!$AX$13&gt;=INDEX('Lease Cycles'!$BG$13:$BM$13,1,DP95),'Lease Cycles'!$AX$13&lt;=DP$6),'Lease Cycles'!$C$13*'Lease Cycles'!$AY$13/12,IF(AND('Lease Cycles'!$AV$13&gt;=INDEX('Lease Cycles'!$BG$13:$BM$13,1,DP95),'Lease Cycles'!$AV$13&lt;=DP$6),'Lease Cycles'!$C$13*'Lease Cycles'!$AW$13/12,IF(AND('Lease Cycles'!$AT$13&gt;=INDEX('Lease Cycles'!$BG$13:$BM$13,1,DP95),'Lease Cycles'!$AT$13&lt;=DP$6),'Lease Cycles'!$C$13*'Lease Cycles'!$AU$13/12,'Lease Cycles'!$C$13*INDEX('Lease Cycles'!$CB$13:$CH$13,1,DP95)*(1+INDEX('Lease Cycles'!$CI$13:$CO$13,1,DP95))^INT(INT(DP96/12)/INDEX('Lease Cycles'!$CP$13:$CV$13,1,DP95))/12)))),'Lease Cycles'!$C$13*INDEX('Lease Cycles'!$CB$13:$CH$13,1,DP95)*(1+INDEX('Lease Cycles'!$CI$13:$CO$13,1,DP95))^INT(INT(DP96/12)/INDEX('Lease Cycles'!$CP$13:$CV$13,1,DP95))/12))),IF('Lease Cycles'!$N$13=1,'Lease Cycles'!$C$13*'Lease Cycles'!$E$13*INDEX('Lease Cycles'!$HE$13:$HK$13,1,DP95)*(1+INDEX('Lease Cycles'!$GQ$13:$GW$13,1,DP95))^INT(INT((DP$6-INDEX('Lease Cycles'!$GJ$13:$GP$13,1,DP95))/12)/INDEX('Lease Cycles'!$GX$13:$HD$13,1,DP95))/12,0)))</f>
        <v>3489.4058025514732</v>
      </c>
      <c r="DQ98" s="28">
        <f>IF(DQ95=0,IF('Lease Cycles'!$F$13&gt;0,'Lease Cycles'!$C$13*'Lease Cycles'!$E$13/12,0),IF(DQ97=1,IF('Lease Cycles'!$AT$13&gt;=9999,'Lease Cycles'!$C$13*INDEX('Lease Cycles'!$CB$13:$CH$13,1,DQ95)*(1+INDEX('Lease Cycles'!$CI$13:$CO$13,1,DQ95))^INT(INT(DQ96/12)/INDEX('Lease Cycles'!$CP$13:$CV$13,1,DQ95))/12,IF(DQ95=1,IF(DQ96&gt;=INDEX('Lease Cycles'!$DK$13:$DQ$13,1,DQ95),IF(DQ$6&gt;='Lease Cycles'!$AZ$13,'Lease Cycles'!$C$13*'Lease Cycles'!$BA$13/12,IF(DQ$6&gt;='Lease Cycles'!$AX$13,'Lease Cycles'!$C$13*'Lease Cycles'!$AY$13/12,IF(DQ$6&gt;='Lease Cycles'!$AV$13,'Lease Cycles'!$C$13*'Lease Cycles'!$AW$13/12,IF(DQ$6&gt;='Lease Cycles'!$AT$13,'Lease Cycles'!$C$13*'Lease Cycles'!$AU$13/12,'Lease Cycles'!$C$13*INDEX('Lease Cycles'!$CB$13:$CH$13,1,DQ95)*(1+INDEX('Lease Cycles'!$CI$13:$CO$13,1,DQ95))^INT(INT(DQ96/12)/INDEX('Lease Cycles'!$CP$13:$CV$13,1,DQ95))/12)))),'Lease Cycles'!$C$13*INDEX('Lease Cycles'!$CB$13:$CH$13,1,DQ95)*(1+INDEX('Lease Cycles'!$CI$13:$CO$13,1,DQ95))^INT(INT(DQ96/12)/INDEX('Lease Cycles'!$CP$13:$CV$13,1,DQ95))/12),IF(INDEX('Lease Cycles'!$EF$13:$EL$13,1,DQ95)=1,IF(AND('Lease Cycles'!$AZ$13&gt;=INDEX('Lease Cycles'!$BG$13:$BM$13,1,DQ95),'Lease Cycles'!$AZ$13&lt;=DQ$6),'Lease Cycles'!$C$13*'Lease Cycles'!$BA$13/12,IF(AND('Lease Cycles'!$AX$13&gt;=INDEX('Lease Cycles'!$BG$13:$BM$13,1,DQ95),'Lease Cycles'!$AX$13&lt;=DQ$6),'Lease Cycles'!$C$13*'Lease Cycles'!$AY$13/12,IF(AND('Lease Cycles'!$AV$13&gt;=INDEX('Lease Cycles'!$BG$13:$BM$13,1,DQ95),'Lease Cycles'!$AV$13&lt;=DQ$6),'Lease Cycles'!$C$13*'Lease Cycles'!$AW$13/12,IF(AND('Lease Cycles'!$AT$13&gt;=INDEX('Lease Cycles'!$BG$13:$BM$13,1,DQ95),'Lease Cycles'!$AT$13&lt;=DQ$6),'Lease Cycles'!$C$13*'Lease Cycles'!$AU$13/12,'Lease Cycles'!$C$13*INDEX('Lease Cycles'!$CB$13:$CH$13,1,DQ95)*(1+INDEX('Lease Cycles'!$CI$13:$CO$13,1,DQ95))^INT(INT(DQ96/12)/INDEX('Lease Cycles'!$CP$13:$CV$13,1,DQ95))/12)))),'Lease Cycles'!$C$13*INDEX('Lease Cycles'!$CB$13:$CH$13,1,DQ95)*(1+INDEX('Lease Cycles'!$CI$13:$CO$13,1,DQ95))^INT(INT(DQ96/12)/INDEX('Lease Cycles'!$CP$13:$CV$13,1,DQ95))/12))),IF('Lease Cycles'!$N$13=1,'Lease Cycles'!$C$13*'Lease Cycles'!$E$13*INDEX('Lease Cycles'!$HE$13:$HK$13,1,DQ95)*(1+INDEX('Lease Cycles'!$GQ$13:$GW$13,1,DQ95))^INT(INT((DQ$6-INDEX('Lease Cycles'!$GJ$13:$GP$13,1,DQ95))/12)/INDEX('Lease Cycles'!$GX$13:$HD$13,1,DQ95))/12,0)))</f>
        <v>3489.4058025514732</v>
      </c>
      <c r="DR98" s="28">
        <f>IF(DR95=0,IF('Lease Cycles'!$F$13&gt;0,'Lease Cycles'!$C$13*'Lease Cycles'!$E$13/12,0),IF(DR97=1,IF('Lease Cycles'!$AT$13&gt;=9999,'Lease Cycles'!$C$13*INDEX('Lease Cycles'!$CB$13:$CH$13,1,DR95)*(1+INDEX('Lease Cycles'!$CI$13:$CO$13,1,DR95))^INT(INT(DR96/12)/INDEX('Lease Cycles'!$CP$13:$CV$13,1,DR95))/12,IF(DR95=1,IF(DR96&gt;=INDEX('Lease Cycles'!$DK$13:$DQ$13,1,DR95),IF(DR$6&gt;='Lease Cycles'!$AZ$13,'Lease Cycles'!$C$13*'Lease Cycles'!$BA$13/12,IF(DR$6&gt;='Lease Cycles'!$AX$13,'Lease Cycles'!$C$13*'Lease Cycles'!$AY$13/12,IF(DR$6&gt;='Lease Cycles'!$AV$13,'Lease Cycles'!$C$13*'Lease Cycles'!$AW$13/12,IF(DR$6&gt;='Lease Cycles'!$AT$13,'Lease Cycles'!$C$13*'Lease Cycles'!$AU$13/12,'Lease Cycles'!$C$13*INDEX('Lease Cycles'!$CB$13:$CH$13,1,DR95)*(1+INDEX('Lease Cycles'!$CI$13:$CO$13,1,DR95))^INT(INT(DR96/12)/INDEX('Lease Cycles'!$CP$13:$CV$13,1,DR95))/12)))),'Lease Cycles'!$C$13*INDEX('Lease Cycles'!$CB$13:$CH$13,1,DR95)*(1+INDEX('Lease Cycles'!$CI$13:$CO$13,1,DR95))^INT(INT(DR96/12)/INDEX('Lease Cycles'!$CP$13:$CV$13,1,DR95))/12),IF(INDEX('Lease Cycles'!$EF$13:$EL$13,1,DR95)=1,IF(AND('Lease Cycles'!$AZ$13&gt;=INDEX('Lease Cycles'!$BG$13:$BM$13,1,DR95),'Lease Cycles'!$AZ$13&lt;=DR$6),'Lease Cycles'!$C$13*'Lease Cycles'!$BA$13/12,IF(AND('Lease Cycles'!$AX$13&gt;=INDEX('Lease Cycles'!$BG$13:$BM$13,1,DR95),'Lease Cycles'!$AX$13&lt;=DR$6),'Lease Cycles'!$C$13*'Lease Cycles'!$AY$13/12,IF(AND('Lease Cycles'!$AV$13&gt;=INDEX('Lease Cycles'!$BG$13:$BM$13,1,DR95),'Lease Cycles'!$AV$13&lt;=DR$6),'Lease Cycles'!$C$13*'Lease Cycles'!$AW$13/12,IF(AND('Lease Cycles'!$AT$13&gt;=INDEX('Lease Cycles'!$BG$13:$BM$13,1,DR95),'Lease Cycles'!$AT$13&lt;=DR$6),'Lease Cycles'!$C$13*'Lease Cycles'!$AU$13/12,'Lease Cycles'!$C$13*INDEX('Lease Cycles'!$CB$13:$CH$13,1,DR95)*(1+INDEX('Lease Cycles'!$CI$13:$CO$13,1,DR95))^INT(INT(DR96/12)/INDEX('Lease Cycles'!$CP$13:$CV$13,1,DR95))/12)))),'Lease Cycles'!$C$13*INDEX('Lease Cycles'!$CB$13:$CH$13,1,DR95)*(1+INDEX('Lease Cycles'!$CI$13:$CO$13,1,DR95))^INT(INT(DR96/12)/INDEX('Lease Cycles'!$CP$13:$CV$13,1,DR95))/12))),IF('Lease Cycles'!$N$13=1,'Lease Cycles'!$C$13*'Lease Cycles'!$E$13*INDEX('Lease Cycles'!$HE$13:$HK$13,1,DR95)*(1+INDEX('Lease Cycles'!$GQ$13:$GW$13,1,DR95))^INT(INT((DR$6-INDEX('Lease Cycles'!$GJ$13:$GP$13,1,DR95))/12)/INDEX('Lease Cycles'!$GX$13:$HD$13,1,DR95))/12,0)))</f>
        <v>3489.4058025514732</v>
      </c>
      <c r="DS98" s="28">
        <f>IF(DS95=0,IF('Lease Cycles'!$F$13&gt;0,'Lease Cycles'!$C$13*'Lease Cycles'!$E$13/12,0),IF(DS97=1,IF('Lease Cycles'!$AT$13&gt;=9999,'Lease Cycles'!$C$13*INDEX('Lease Cycles'!$CB$13:$CH$13,1,DS95)*(1+INDEX('Lease Cycles'!$CI$13:$CO$13,1,DS95))^INT(INT(DS96/12)/INDEX('Lease Cycles'!$CP$13:$CV$13,1,DS95))/12,IF(DS95=1,IF(DS96&gt;=INDEX('Lease Cycles'!$DK$13:$DQ$13,1,DS95),IF(DS$6&gt;='Lease Cycles'!$AZ$13,'Lease Cycles'!$C$13*'Lease Cycles'!$BA$13/12,IF(DS$6&gt;='Lease Cycles'!$AX$13,'Lease Cycles'!$C$13*'Lease Cycles'!$AY$13/12,IF(DS$6&gt;='Lease Cycles'!$AV$13,'Lease Cycles'!$C$13*'Lease Cycles'!$AW$13/12,IF(DS$6&gt;='Lease Cycles'!$AT$13,'Lease Cycles'!$C$13*'Lease Cycles'!$AU$13/12,'Lease Cycles'!$C$13*INDEX('Lease Cycles'!$CB$13:$CH$13,1,DS95)*(1+INDEX('Lease Cycles'!$CI$13:$CO$13,1,DS95))^INT(INT(DS96/12)/INDEX('Lease Cycles'!$CP$13:$CV$13,1,DS95))/12)))),'Lease Cycles'!$C$13*INDEX('Lease Cycles'!$CB$13:$CH$13,1,DS95)*(1+INDEX('Lease Cycles'!$CI$13:$CO$13,1,DS95))^INT(INT(DS96/12)/INDEX('Lease Cycles'!$CP$13:$CV$13,1,DS95))/12),IF(INDEX('Lease Cycles'!$EF$13:$EL$13,1,DS95)=1,IF(AND('Lease Cycles'!$AZ$13&gt;=INDEX('Lease Cycles'!$BG$13:$BM$13,1,DS95),'Lease Cycles'!$AZ$13&lt;=DS$6),'Lease Cycles'!$C$13*'Lease Cycles'!$BA$13/12,IF(AND('Lease Cycles'!$AX$13&gt;=INDEX('Lease Cycles'!$BG$13:$BM$13,1,DS95),'Lease Cycles'!$AX$13&lt;=DS$6),'Lease Cycles'!$C$13*'Lease Cycles'!$AY$13/12,IF(AND('Lease Cycles'!$AV$13&gt;=INDEX('Lease Cycles'!$BG$13:$BM$13,1,DS95),'Lease Cycles'!$AV$13&lt;=DS$6),'Lease Cycles'!$C$13*'Lease Cycles'!$AW$13/12,IF(AND('Lease Cycles'!$AT$13&gt;=INDEX('Lease Cycles'!$BG$13:$BM$13,1,DS95),'Lease Cycles'!$AT$13&lt;=DS$6),'Lease Cycles'!$C$13*'Lease Cycles'!$AU$13/12,'Lease Cycles'!$C$13*INDEX('Lease Cycles'!$CB$13:$CH$13,1,DS95)*(1+INDEX('Lease Cycles'!$CI$13:$CO$13,1,DS95))^INT(INT(DS96/12)/INDEX('Lease Cycles'!$CP$13:$CV$13,1,DS95))/12)))),'Lease Cycles'!$C$13*INDEX('Lease Cycles'!$CB$13:$CH$13,1,DS95)*(1+INDEX('Lease Cycles'!$CI$13:$CO$13,1,DS95))^INT(INT(DS96/12)/INDEX('Lease Cycles'!$CP$13:$CV$13,1,DS95))/12))),IF('Lease Cycles'!$N$13=1,'Lease Cycles'!$C$13*'Lease Cycles'!$E$13*INDEX('Lease Cycles'!$HE$13:$HK$13,1,DS95)*(1+INDEX('Lease Cycles'!$GQ$13:$GW$13,1,DS95))^INT(INT((DS$6-INDEX('Lease Cycles'!$GJ$13:$GP$13,1,DS95))/12)/INDEX('Lease Cycles'!$GX$13:$HD$13,1,DS95))/12,0)))</f>
        <v>3489.4058025514732</v>
      </c>
      <c r="DT98" s="28">
        <f>IF(DT95=0,IF('Lease Cycles'!$F$13&gt;0,'Lease Cycles'!$C$13*'Lease Cycles'!$E$13/12,0),IF(DT97=1,IF('Lease Cycles'!$AT$13&gt;=9999,'Lease Cycles'!$C$13*INDEX('Lease Cycles'!$CB$13:$CH$13,1,DT95)*(1+INDEX('Lease Cycles'!$CI$13:$CO$13,1,DT95))^INT(INT(DT96/12)/INDEX('Lease Cycles'!$CP$13:$CV$13,1,DT95))/12,IF(DT95=1,IF(DT96&gt;=INDEX('Lease Cycles'!$DK$13:$DQ$13,1,DT95),IF(DT$6&gt;='Lease Cycles'!$AZ$13,'Lease Cycles'!$C$13*'Lease Cycles'!$BA$13/12,IF(DT$6&gt;='Lease Cycles'!$AX$13,'Lease Cycles'!$C$13*'Lease Cycles'!$AY$13/12,IF(DT$6&gt;='Lease Cycles'!$AV$13,'Lease Cycles'!$C$13*'Lease Cycles'!$AW$13/12,IF(DT$6&gt;='Lease Cycles'!$AT$13,'Lease Cycles'!$C$13*'Lease Cycles'!$AU$13/12,'Lease Cycles'!$C$13*INDEX('Lease Cycles'!$CB$13:$CH$13,1,DT95)*(1+INDEX('Lease Cycles'!$CI$13:$CO$13,1,DT95))^INT(INT(DT96/12)/INDEX('Lease Cycles'!$CP$13:$CV$13,1,DT95))/12)))),'Lease Cycles'!$C$13*INDEX('Lease Cycles'!$CB$13:$CH$13,1,DT95)*(1+INDEX('Lease Cycles'!$CI$13:$CO$13,1,DT95))^INT(INT(DT96/12)/INDEX('Lease Cycles'!$CP$13:$CV$13,1,DT95))/12),IF(INDEX('Lease Cycles'!$EF$13:$EL$13,1,DT95)=1,IF(AND('Lease Cycles'!$AZ$13&gt;=INDEX('Lease Cycles'!$BG$13:$BM$13,1,DT95),'Lease Cycles'!$AZ$13&lt;=DT$6),'Lease Cycles'!$C$13*'Lease Cycles'!$BA$13/12,IF(AND('Lease Cycles'!$AX$13&gt;=INDEX('Lease Cycles'!$BG$13:$BM$13,1,DT95),'Lease Cycles'!$AX$13&lt;=DT$6),'Lease Cycles'!$C$13*'Lease Cycles'!$AY$13/12,IF(AND('Lease Cycles'!$AV$13&gt;=INDEX('Lease Cycles'!$BG$13:$BM$13,1,DT95),'Lease Cycles'!$AV$13&lt;=DT$6),'Lease Cycles'!$C$13*'Lease Cycles'!$AW$13/12,IF(AND('Lease Cycles'!$AT$13&gt;=INDEX('Lease Cycles'!$BG$13:$BM$13,1,DT95),'Lease Cycles'!$AT$13&lt;=DT$6),'Lease Cycles'!$C$13*'Lease Cycles'!$AU$13/12,'Lease Cycles'!$C$13*INDEX('Lease Cycles'!$CB$13:$CH$13,1,DT95)*(1+INDEX('Lease Cycles'!$CI$13:$CO$13,1,DT95))^INT(INT(DT96/12)/INDEX('Lease Cycles'!$CP$13:$CV$13,1,DT95))/12)))),'Lease Cycles'!$C$13*INDEX('Lease Cycles'!$CB$13:$CH$13,1,DT95)*(1+INDEX('Lease Cycles'!$CI$13:$CO$13,1,DT95))^INT(INT(DT96/12)/INDEX('Lease Cycles'!$CP$13:$CV$13,1,DT95))/12))),IF('Lease Cycles'!$N$13=1,'Lease Cycles'!$C$13*'Lease Cycles'!$E$13*INDEX('Lease Cycles'!$HE$13:$HK$13,1,DT95)*(1+INDEX('Lease Cycles'!$GQ$13:$GW$13,1,DT95))^INT(INT((DT$6-INDEX('Lease Cycles'!$GJ$13:$GP$13,1,DT95))/12)/INDEX('Lease Cycles'!$GX$13:$HD$13,1,DT95))/12,0)))</f>
        <v>3594.0879766280173</v>
      </c>
      <c r="DU98" s="28">
        <f>IF(DU95=0,IF('Lease Cycles'!$F$13&gt;0,'Lease Cycles'!$C$13*'Lease Cycles'!$E$13/12,0),IF(DU97=1,IF('Lease Cycles'!$AT$13&gt;=9999,'Lease Cycles'!$C$13*INDEX('Lease Cycles'!$CB$13:$CH$13,1,DU95)*(1+INDEX('Lease Cycles'!$CI$13:$CO$13,1,DU95))^INT(INT(DU96/12)/INDEX('Lease Cycles'!$CP$13:$CV$13,1,DU95))/12,IF(DU95=1,IF(DU96&gt;=INDEX('Lease Cycles'!$DK$13:$DQ$13,1,DU95),IF(DU$6&gt;='Lease Cycles'!$AZ$13,'Lease Cycles'!$C$13*'Lease Cycles'!$BA$13/12,IF(DU$6&gt;='Lease Cycles'!$AX$13,'Lease Cycles'!$C$13*'Lease Cycles'!$AY$13/12,IF(DU$6&gt;='Lease Cycles'!$AV$13,'Lease Cycles'!$C$13*'Lease Cycles'!$AW$13/12,IF(DU$6&gt;='Lease Cycles'!$AT$13,'Lease Cycles'!$C$13*'Lease Cycles'!$AU$13/12,'Lease Cycles'!$C$13*INDEX('Lease Cycles'!$CB$13:$CH$13,1,DU95)*(1+INDEX('Lease Cycles'!$CI$13:$CO$13,1,DU95))^INT(INT(DU96/12)/INDEX('Lease Cycles'!$CP$13:$CV$13,1,DU95))/12)))),'Lease Cycles'!$C$13*INDEX('Lease Cycles'!$CB$13:$CH$13,1,DU95)*(1+INDEX('Lease Cycles'!$CI$13:$CO$13,1,DU95))^INT(INT(DU96/12)/INDEX('Lease Cycles'!$CP$13:$CV$13,1,DU95))/12),IF(INDEX('Lease Cycles'!$EF$13:$EL$13,1,DU95)=1,IF(AND('Lease Cycles'!$AZ$13&gt;=INDEX('Lease Cycles'!$BG$13:$BM$13,1,DU95),'Lease Cycles'!$AZ$13&lt;=DU$6),'Lease Cycles'!$C$13*'Lease Cycles'!$BA$13/12,IF(AND('Lease Cycles'!$AX$13&gt;=INDEX('Lease Cycles'!$BG$13:$BM$13,1,DU95),'Lease Cycles'!$AX$13&lt;=DU$6),'Lease Cycles'!$C$13*'Lease Cycles'!$AY$13/12,IF(AND('Lease Cycles'!$AV$13&gt;=INDEX('Lease Cycles'!$BG$13:$BM$13,1,DU95),'Lease Cycles'!$AV$13&lt;=DU$6),'Lease Cycles'!$C$13*'Lease Cycles'!$AW$13/12,IF(AND('Lease Cycles'!$AT$13&gt;=INDEX('Lease Cycles'!$BG$13:$BM$13,1,DU95),'Lease Cycles'!$AT$13&lt;=DU$6),'Lease Cycles'!$C$13*'Lease Cycles'!$AU$13/12,'Lease Cycles'!$C$13*INDEX('Lease Cycles'!$CB$13:$CH$13,1,DU95)*(1+INDEX('Lease Cycles'!$CI$13:$CO$13,1,DU95))^INT(INT(DU96/12)/INDEX('Lease Cycles'!$CP$13:$CV$13,1,DU95))/12)))),'Lease Cycles'!$C$13*INDEX('Lease Cycles'!$CB$13:$CH$13,1,DU95)*(1+INDEX('Lease Cycles'!$CI$13:$CO$13,1,DU95))^INT(INT(DU96/12)/INDEX('Lease Cycles'!$CP$13:$CV$13,1,DU95))/12))),IF('Lease Cycles'!$N$13=1,'Lease Cycles'!$C$13*'Lease Cycles'!$E$13*INDEX('Lease Cycles'!$HE$13:$HK$13,1,DU95)*(1+INDEX('Lease Cycles'!$GQ$13:$GW$13,1,DU95))^INT(INT((DU$6-INDEX('Lease Cycles'!$GJ$13:$GP$13,1,DU95))/12)/INDEX('Lease Cycles'!$GX$13:$HD$13,1,DU95))/12,0)))</f>
        <v>3594.0879766280173</v>
      </c>
      <c r="DV98" s="28">
        <f>IF(DV95=0,IF('Lease Cycles'!$F$13&gt;0,'Lease Cycles'!$C$13*'Lease Cycles'!$E$13/12,0),IF(DV97=1,IF('Lease Cycles'!$AT$13&gt;=9999,'Lease Cycles'!$C$13*INDEX('Lease Cycles'!$CB$13:$CH$13,1,DV95)*(1+INDEX('Lease Cycles'!$CI$13:$CO$13,1,DV95))^INT(INT(DV96/12)/INDEX('Lease Cycles'!$CP$13:$CV$13,1,DV95))/12,IF(DV95=1,IF(DV96&gt;=INDEX('Lease Cycles'!$DK$13:$DQ$13,1,DV95),IF(DV$6&gt;='Lease Cycles'!$AZ$13,'Lease Cycles'!$C$13*'Lease Cycles'!$BA$13/12,IF(DV$6&gt;='Lease Cycles'!$AX$13,'Lease Cycles'!$C$13*'Lease Cycles'!$AY$13/12,IF(DV$6&gt;='Lease Cycles'!$AV$13,'Lease Cycles'!$C$13*'Lease Cycles'!$AW$13/12,IF(DV$6&gt;='Lease Cycles'!$AT$13,'Lease Cycles'!$C$13*'Lease Cycles'!$AU$13/12,'Lease Cycles'!$C$13*INDEX('Lease Cycles'!$CB$13:$CH$13,1,DV95)*(1+INDEX('Lease Cycles'!$CI$13:$CO$13,1,DV95))^INT(INT(DV96/12)/INDEX('Lease Cycles'!$CP$13:$CV$13,1,DV95))/12)))),'Lease Cycles'!$C$13*INDEX('Lease Cycles'!$CB$13:$CH$13,1,DV95)*(1+INDEX('Lease Cycles'!$CI$13:$CO$13,1,DV95))^INT(INT(DV96/12)/INDEX('Lease Cycles'!$CP$13:$CV$13,1,DV95))/12),IF(INDEX('Lease Cycles'!$EF$13:$EL$13,1,DV95)=1,IF(AND('Lease Cycles'!$AZ$13&gt;=INDEX('Lease Cycles'!$BG$13:$BM$13,1,DV95),'Lease Cycles'!$AZ$13&lt;=DV$6),'Lease Cycles'!$C$13*'Lease Cycles'!$BA$13/12,IF(AND('Lease Cycles'!$AX$13&gt;=INDEX('Lease Cycles'!$BG$13:$BM$13,1,DV95),'Lease Cycles'!$AX$13&lt;=DV$6),'Lease Cycles'!$C$13*'Lease Cycles'!$AY$13/12,IF(AND('Lease Cycles'!$AV$13&gt;=INDEX('Lease Cycles'!$BG$13:$BM$13,1,DV95),'Lease Cycles'!$AV$13&lt;=DV$6),'Lease Cycles'!$C$13*'Lease Cycles'!$AW$13/12,IF(AND('Lease Cycles'!$AT$13&gt;=INDEX('Lease Cycles'!$BG$13:$BM$13,1,DV95),'Lease Cycles'!$AT$13&lt;=DV$6),'Lease Cycles'!$C$13*'Lease Cycles'!$AU$13/12,'Lease Cycles'!$C$13*INDEX('Lease Cycles'!$CB$13:$CH$13,1,DV95)*(1+INDEX('Lease Cycles'!$CI$13:$CO$13,1,DV95))^INT(INT(DV96/12)/INDEX('Lease Cycles'!$CP$13:$CV$13,1,DV95))/12)))),'Lease Cycles'!$C$13*INDEX('Lease Cycles'!$CB$13:$CH$13,1,DV95)*(1+INDEX('Lease Cycles'!$CI$13:$CO$13,1,DV95))^INT(INT(DV96/12)/INDEX('Lease Cycles'!$CP$13:$CV$13,1,DV95))/12))),IF('Lease Cycles'!$N$13=1,'Lease Cycles'!$C$13*'Lease Cycles'!$E$13*INDEX('Lease Cycles'!$HE$13:$HK$13,1,DV95)*(1+INDEX('Lease Cycles'!$GQ$13:$GW$13,1,DV95))^INT(INT((DV$6-INDEX('Lease Cycles'!$GJ$13:$GP$13,1,DV95))/12)/INDEX('Lease Cycles'!$GX$13:$HD$13,1,DV95))/12,0)))</f>
        <v>3594.0879766280173</v>
      </c>
      <c r="DW98" s="28">
        <f>IF(DW95=0,IF('Lease Cycles'!$F$13&gt;0,'Lease Cycles'!$C$13*'Lease Cycles'!$E$13/12,0),IF(DW97=1,IF('Lease Cycles'!$AT$13&gt;=9999,'Lease Cycles'!$C$13*INDEX('Lease Cycles'!$CB$13:$CH$13,1,DW95)*(1+INDEX('Lease Cycles'!$CI$13:$CO$13,1,DW95))^INT(INT(DW96/12)/INDEX('Lease Cycles'!$CP$13:$CV$13,1,DW95))/12,IF(DW95=1,IF(DW96&gt;=INDEX('Lease Cycles'!$DK$13:$DQ$13,1,DW95),IF(DW$6&gt;='Lease Cycles'!$AZ$13,'Lease Cycles'!$C$13*'Lease Cycles'!$BA$13/12,IF(DW$6&gt;='Lease Cycles'!$AX$13,'Lease Cycles'!$C$13*'Lease Cycles'!$AY$13/12,IF(DW$6&gt;='Lease Cycles'!$AV$13,'Lease Cycles'!$C$13*'Lease Cycles'!$AW$13/12,IF(DW$6&gt;='Lease Cycles'!$AT$13,'Lease Cycles'!$C$13*'Lease Cycles'!$AU$13/12,'Lease Cycles'!$C$13*INDEX('Lease Cycles'!$CB$13:$CH$13,1,DW95)*(1+INDEX('Lease Cycles'!$CI$13:$CO$13,1,DW95))^INT(INT(DW96/12)/INDEX('Lease Cycles'!$CP$13:$CV$13,1,DW95))/12)))),'Lease Cycles'!$C$13*INDEX('Lease Cycles'!$CB$13:$CH$13,1,DW95)*(1+INDEX('Lease Cycles'!$CI$13:$CO$13,1,DW95))^INT(INT(DW96/12)/INDEX('Lease Cycles'!$CP$13:$CV$13,1,DW95))/12),IF(INDEX('Lease Cycles'!$EF$13:$EL$13,1,DW95)=1,IF(AND('Lease Cycles'!$AZ$13&gt;=INDEX('Lease Cycles'!$BG$13:$BM$13,1,DW95),'Lease Cycles'!$AZ$13&lt;=DW$6),'Lease Cycles'!$C$13*'Lease Cycles'!$BA$13/12,IF(AND('Lease Cycles'!$AX$13&gt;=INDEX('Lease Cycles'!$BG$13:$BM$13,1,DW95),'Lease Cycles'!$AX$13&lt;=DW$6),'Lease Cycles'!$C$13*'Lease Cycles'!$AY$13/12,IF(AND('Lease Cycles'!$AV$13&gt;=INDEX('Lease Cycles'!$BG$13:$BM$13,1,DW95),'Lease Cycles'!$AV$13&lt;=DW$6),'Lease Cycles'!$C$13*'Lease Cycles'!$AW$13/12,IF(AND('Lease Cycles'!$AT$13&gt;=INDEX('Lease Cycles'!$BG$13:$BM$13,1,DW95),'Lease Cycles'!$AT$13&lt;=DW$6),'Lease Cycles'!$C$13*'Lease Cycles'!$AU$13/12,'Lease Cycles'!$C$13*INDEX('Lease Cycles'!$CB$13:$CH$13,1,DW95)*(1+INDEX('Lease Cycles'!$CI$13:$CO$13,1,DW95))^INT(INT(DW96/12)/INDEX('Lease Cycles'!$CP$13:$CV$13,1,DW95))/12)))),'Lease Cycles'!$C$13*INDEX('Lease Cycles'!$CB$13:$CH$13,1,DW95)*(1+INDEX('Lease Cycles'!$CI$13:$CO$13,1,DW95))^INT(INT(DW96/12)/INDEX('Lease Cycles'!$CP$13:$CV$13,1,DW95))/12))),IF('Lease Cycles'!$N$13=1,'Lease Cycles'!$C$13*'Lease Cycles'!$E$13*INDEX('Lease Cycles'!$HE$13:$HK$13,1,DW95)*(1+INDEX('Lease Cycles'!$GQ$13:$GW$13,1,DW95))^INT(INT((DW$6-INDEX('Lease Cycles'!$GJ$13:$GP$13,1,DW95))/12)/INDEX('Lease Cycles'!$GX$13:$HD$13,1,DW95))/12,0)))</f>
        <v>3594.0879766280173</v>
      </c>
      <c r="DX98" s="28">
        <f>IF(DX95=0,IF('Lease Cycles'!$F$13&gt;0,'Lease Cycles'!$C$13*'Lease Cycles'!$E$13/12,0),IF(DX97=1,IF('Lease Cycles'!$AT$13&gt;=9999,'Lease Cycles'!$C$13*INDEX('Lease Cycles'!$CB$13:$CH$13,1,DX95)*(1+INDEX('Lease Cycles'!$CI$13:$CO$13,1,DX95))^INT(INT(DX96/12)/INDEX('Lease Cycles'!$CP$13:$CV$13,1,DX95))/12,IF(DX95=1,IF(DX96&gt;=INDEX('Lease Cycles'!$DK$13:$DQ$13,1,DX95),IF(DX$6&gt;='Lease Cycles'!$AZ$13,'Lease Cycles'!$C$13*'Lease Cycles'!$BA$13/12,IF(DX$6&gt;='Lease Cycles'!$AX$13,'Lease Cycles'!$C$13*'Lease Cycles'!$AY$13/12,IF(DX$6&gt;='Lease Cycles'!$AV$13,'Lease Cycles'!$C$13*'Lease Cycles'!$AW$13/12,IF(DX$6&gt;='Lease Cycles'!$AT$13,'Lease Cycles'!$C$13*'Lease Cycles'!$AU$13/12,'Lease Cycles'!$C$13*INDEX('Lease Cycles'!$CB$13:$CH$13,1,DX95)*(1+INDEX('Lease Cycles'!$CI$13:$CO$13,1,DX95))^INT(INT(DX96/12)/INDEX('Lease Cycles'!$CP$13:$CV$13,1,DX95))/12)))),'Lease Cycles'!$C$13*INDEX('Lease Cycles'!$CB$13:$CH$13,1,DX95)*(1+INDEX('Lease Cycles'!$CI$13:$CO$13,1,DX95))^INT(INT(DX96/12)/INDEX('Lease Cycles'!$CP$13:$CV$13,1,DX95))/12),IF(INDEX('Lease Cycles'!$EF$13:$EL$13,1,DX95)=1,IF(AND('Lease Cycles'!$AZ$13&gt;=INDEX('Lease Cycles'!$BG$13:$BM$13,1,DX95),'Lease Cycles'!$AZ$13&lt;=DX$6),'Lease Cycles'!$C$13*'Lease Cycles'!$BA$13/12,IF(AND('Lease Cycles'!$AX$13&gt;=INDEX('Lease Cycles'!$BG$13:$BM$13,1,DX95),'Lease Cycles'!$AX$13&lt;=DX$6),'Lease Cycles'!$C$13*'Lease Cycles'!$AY$13/12,IF(AND('Lease Cycles'!$AV$13&gt;=INDEX('Lease Cycles'!$BG$13:$BM$13,1,DX95),'Lease Cycles'!$AV$13&lt;=DX$6),'Lease Cycles'!$C$13*'Lease Cycles'!$AW$13/12,IF(AND('Lease Cycles'!$AT$13&gt;=INDEX('Lease Cycles'!$BG$13:$BM$13,1,DX95),'Lease Cycles'!$AT$13&lt;=DX$6),'Lease Cycles'!$C$13*'Lease Cycles'!$AU$13/12,'Lease Cycles'!$C$13*INDEX('Lease Cycles'!$CB$13:$CH$13,1,DX95)*(1+INDEX('Lease Cycles'!$CI$13:$CO$13,1,DX95))^INT(INT(DX96/12)/INDEX('Lease Cycles'!$CP$13:$CV$13,1,DX95))/12)))),'Lease Cycles'!$C$13*INDEX('Lease Cycles'!$CB$13:$CH$13,1,DX95)*(1+INDEX('Lease Cycles'!$CI$13:$CO$13,1,DX95))^INT(INT(DX96/12)/INDEX('Lease Cycles'!$CP$13:$CV$13,1,DX95))/12))),IF('Lease Cycles'!$N$13=1,'Lease Cycles'!$C$13*'Lease Cycles'!$E$13*INDEX('Lease Cycles'!$HE$13:$HK$13,1,DX95)*(1+INDEX('Lease Cycles'!$GQ$13:$GW$13,1,DX95))^INT(INT((DX$6-INDEX('Lease Cycles'!$GJ$13:$GP$13,1,DX95))/12)/INDEX('Lease Cycles'!$GX$13:$HD$13,1,DX95))/12,0)))</f>
        <v>3594.0879766280173</v>
      </c>
      <c r="DY98" s="28">
        <f>IF(DY95=0,IF('Lease Cycles'!$F$13&gt;0,'Lease Cycles'!$C$13*'Lease Cycles'!$E$13/12,0),IF(DY97=1,IF('Lease Cycles'!$AT$13&gt;=9999,'Lease Cycles'!$C$13*INDEX('Lease Cycles'!$CB$13:$CH$13,1,DY95)*(1+INDEX('Lease Cycles'!$CI$13:$CO$13,1,DY95))^INT(INT(DY96/12)/INDEX('Lease Cycles'!$CP$13:$CV$13,1,DY95))/12,IF(DY95=1,IF(DY96&gt;=INDEX('Lease Cycles'!$DK$13:$DQ$13,1,DY95),IF(DY$6&gt;='Lease Cycles'!$AZ$13,'Lease Cycles'!$C$13*'Lease Cycles'!$BA$13/12,IF(DY$6&gt;='Lease Cycles'!$AX$13,'Lease Cycles'!$C$13*'Lease Cycles'!$AY$13/12,IF(DY$6&gt;='Lease Cycles'!$AV$13,'Lease Cycles'!$C$13*'Lease Cycles'!$AW$13/12,IF(DY$6&gt;='Lease Cycles'!$AT$13,'Lease Cycles'!$C$13*'Lease Cycles'!$AU$13/12,'Lease Cycles'!$C$13*INDEX('Lease Cycles'!$CB$13:$CH$13,1,DY95)*(1+INDEX('Lease Cycles'!$CI$13:$CO$13,1,DY95))^INT(INT(DY96/12)/INDEX('Lease Cycles'!$CP$13:$CV$13,1,DY95))/12)))),'Lease Cycles'!$C$13*INDEX('Lease Cycles'!$CB$13:$CH$13,1,DY95)*(1+INDEX('Lease Cycles'!$CI$13:$CO$13,1,DY95))^INT(INT(DY96/12)/INDEX('Lease Cycles'!$CP$13:$CV$13,1,DY95))/12),IF(INDEX('Lease Cycles'!$EF$13:$EL$13,1,DY95)=1,IF(AND('Lease Cycles'!$AZ$13&gt;=INDEX('Lease Cycles'!$BG$13:$BM$13,1,DY95),'Lease Cycles'!$AZ$13&lt;=DY$6),'Lease Cycles'!$C$13*'Lease Cycles'!$BA$13/12,IF(AND('Lease Cycles'!$AX$13&gt;=INDEX('Lease Cycles'!$BG$13:$BM$13,1,DY95),'Lease Cycles'!$AX$13&lt;=DY$6),'Lease Cycles'!$C$13*'Lease Cycles'!$AY$13/12,IF(AND('Lease Cycles'!$AV$13&gt;=INDEX('Lease Cycles'!$BG$13:$BM$13,1,DY95),'Lease Cycles'!$AV$13&lt;=DY$6),'Lease Cycles'!$C$13*'Lease Cycles'!$AW$13/12,IF(AND('Lease Cycles'!$AT$13&gt;=INDEX('Lease Cycles'!$BG$13:$BM$13,1,DY95),'Lease Cycles'!$AT$13&lt;=DY$6),'Lease Cycles'!$C$13*'Lease Cycles'!$AU$13/12,'Lease Cycles'!$C$13*INDEX('Lease Cycles'!$CB$13:$CH$13,1,DY95)*(1+INDEX('Lease Cycles'!$CI$13:$CO$13,1,DY95))^INT(INT(DY96/12)/INDEX('Lease Cycles'!$CP$13:$CV$13,1,DY95))/12)))),'Lease Cycles'!$C$13*INDEX('Lease Cycles'!$CB$13:$CH$13,1,DY95)*(1+INDEX('Lease Cycles'!$CI$13:$CO$13,1,DY95))^INT(INT(DY96/12)/INDEX('Lease Cycles'!$CP$13:$CV$13,1,DY95))/12))),IF('Lease Cycles'!$N$13=1,'Lease Cycles'!$C$13*'Lease Cycles'!$E$13*INDEX('Lease Cycles'!$HE$13:$HK$13,1,DY95)*(1+INDEX('Lease Cycles'!$GQ$13:$GW$13,1,DY95))^INT(INT((DY$6-INDEX('Lease Cycles'!$GJ$13:$GP$13,1,DY95))/12)/INDEX('Lease Cycles'!$GX$13:$HD$13,1,DY95))/12,0)))</f>
        <v>3594.0879766280173</v>
      </c>
      <c r="DZ98" s="28">
        <f>IF(DZ95=0,IF('Lease Cycles'!$F$13&gt;0,'Lease Cycles'!$C$13*'Lease Cycles'!$E$13/12,0),IF(DZ97=1,IF('Lease Cycles'!$AT$13&gt;=9999,'Lease Cycles'!$C$13*INDEX('Lease Cycles'!$CB$13:$CH$13,1,DZ95)*(1+INDEX('Lease Cycles'!$CI$13:$CO$13,1,DZ95))^INT(INT(DZ96/12)/INDEX('Lease Cycles'!$CP$13:$CV$13,1,DZ95))/12,IF(DZ95=1,IF(DZ96&gt;=INDEX('Lease Cycles'!$DK$13:$DQ$13,1,DZ95),IF(DZ$6&gt;='Lease Cycles'!$AZ$13,'Lease Cycles'!$C$13*'Lease Cycles'!$BA$13/12,IF(DZ$6&gt;='Lease Cycles'!$AX$13,'Lease Cycles'!$C$13*'Lease Cycles'!$AY$13/12,IF(DZ$6&gt;='Lease Cycles'!$AV$13,'Lease Cycles'!$C$13*'Lease Cycles'!$AW$13/12,IF(DZ$6&gt;='Lease Cycles'!$AT$13,'Lease Cycles'!$C$13*'Lease Cycles'!$AU$13/12,'Lease Cycles'!$C$13*INDEX('Lease Cycles'!$CB$13:$CH$13,1,DZ95)*(1+INDEX('Lease Cycles'!$CI$13:$CO$13,1,DZ95))^INT(INT(DZ96/12)/INDEX('Lease Cycles'!$CP$13:$CV$13,1,DZ95))/12)))),'Lease Cycles'!$C$13*INDEX('Lease Cycles'!$CB$13:$CH$13,1,DZ95)*(1+INDEX('Lease Cycles'!$CI$13:$CO$13,1,DZ95))^INT(INT(DZ96/12)/INDEX('Lease Cycles'!$CP$13:$CV$13,1,DZ95))/12),IF(INDEX('Lease Cycles'!$EF$13:$EL$13,1,DZ95)=1,IF(AND('Lease Cycles'!$AZ$13&gt;=INDEX('Lease Cycles'!$BG$13:$BM$13,1,DZ95),'Lease Cycles'!$AZ$13&lt;=DZ$6),'Lease Cycles'!$C$13*'Lease Cycles'!$BA$13/12,IF(AND('Lease Cycles'!$AX$13&gt;=INDEX('Lease Cycles'!$BG$13:$BM$13,1,DZ95),'Lease Cycles'!$AX$13&lt;=DZ$6),'Lease Cycles'!$C$13*'Lease Cycles'!$AY$13/12,IF(AND('Lease Cycles'!$AV$13&gt;=INDEX('Lease Cycles'!$BG$13:$BM$13,1,DZ95),'Lease Cycles'!$AV$13&lt;=DZ$6),'Lease Cycles'!$C$13*'Lease Cycles'!$AW$13/12,IF(AND('Lease Cycles'!$AT$13&gt;=INDEX('Lease Cycles'!$BG$13:$BM$13,1,DZ95),'Lease Cycles'!$AT$13&lt;=DZ$6),'Lease Cycles'!$C$13*'Lease Cycles'!$AU$13/12,'Lease Cycles'!$C$13*INDEX('Lease Cycles'!$CB$13:$CH$13,1,DZ95)*(1+INDEX('Lease Cycles'!$CI$13:$CO$13,1,DZ95))^INT(INT(DZ96/12)/INDEX('Lease Cycles'!$CP$13:$CV$13,1,DZ95))/12)))),'Lease Cycles'!$C$13*INDEX('Lease Cycles'!$CB$13:$CH$13,1,DZ95)*(1+INDEX('Lease Cycles'!$CI$13:$CO$13,1,DZ95))^INT(INT(DZ96/12)/INDEX('Lease Cycles'!$CP$13:$CV$13,1,DZ95))/12))),IF('Lease Cycles'!$N$13=1,'Lease Cycles'!$C$13*'Lease Cycles'!$E$13*INDEX('Lease Cycles'!$HE$13:$HK$13,1,DZ95)*(1+INDEX('Lease Cycles'!$GQ$13:$GW$13,1,DZ95))^INT(INT((DZ$6-INDEX('Lease Cycles'!$GJ$13:$GP$13,1,DZ95))/12)/INDEX('Lease Cycles'!$GX$13:$HD$13,1,DZ95))/12,0)))</f>
        <v>3594.0879766280173</v>
      </c>
      <c r="EA98" s="28">
        <f>IF(EA95=0,IF('Lease Cycles'!$F$13&gt;0,'Lease Cycles'!$C$13*'Lease Cycles'!$E$13/12,0),IF(EA97=1,IF('Lease Cycles'!$AT$13&gt;=9999,'Lease Cycles'!$C$13*INDEX('Lease Cycles'!$CB$13:$CH$13,1,EA95)*(1+INDEX('Lease Cycles'!$CI$13:$CO$13,1,EA95))^INT(INT(EA96/12)/INDEX('Lease Cycles'!$CP$13:$CV$13,1,EA95))/12,IF(EA95=1,IF(EA96&gt;=INDEX('Lease Cycles'!$DK$13:$DQ$13,1,EA95),IF(EA$6&gt;='Lease Cycles'!$AZ$13,'Lease Cycles'!$C$13*'Lease Cycles'!$BA$13/12,IF(EA$6&gt;='Lease Cycles'!$AX$13,'Lease Cycles'!$C$13*'Lease Cycles'!$AY$13/12,IF(EA$6&gt;='Lease Cycles'!$AV$13,'Lease Cycles'!$C$13*'Lease Cycles'!$AW$13/12,IF(EA$6&gt;='Lease Cycles'!$AT$13,'Lease Cycles'!$C$13*'Lease Cycles'!$AU$13/12,'Lease Cycles'!$C$13*INDEX('Lease Cycles'!$CB$13:$CH$13,1,EA95)*(1+INDEX('Lease Cycles'!$CI$13:$CO$13,1,EA95))^INT(INT(EA96/12)/INDEX('Lease Cycles'!$CP$13:$CV$13,1,EA95))/12)))),'Lease Cycles'!$C$13*INDEX('Lease Cycles'!$CB$13:$CH$13,1,EA95)*(1+INDEX('Lease Cycles'!$CI$13:$CO$13,1,EA95))^INT(INT(EA96/12)/INDEX('Lease Cycles'!$CP$13:$CV$13,1,EA95))/12),IF(INDEX('Lease Cycles'!$EF$13:$EL$13,1,EA95)=1,IF(AND('Lease Cycles'!$AZ$13&gt;=INDEX('Lease Cycles'!$BG$13:$BM$13,1,EA95),'Lease Cycles'!$AZ$13&lt;=EA$6),'Lease Cycles'!$C$13*'Lease Cycles'!$BA$13/12,IF(AND('Lease Cycles'!$AX$13&gt;=INDEX('Lease Cycles'!$BG$13:$BM$13,1,EA95),'Lease Cycles'!$AX$13&lt;=EA$6),'Lease Cycles'!$C$13*'Lease Cycles'!$AY$13/12,IF(AND('Lease Cycles'!$AV$13&gt;=INDEX('Lease Cycles'!$BG$13:$BM$13,1,EA95),'Lease Cycles'!$AV$13&lt;=EA$6),'Lease Cycles'!$C$13*'Lease Cycles'!$AW$13/12,IF(AND('Lease Cycles'!$AT$13&gt;=INDEX('Lease Cycles'!$BG$13:$BM$13,1,EA95),'Lease Cycles'!$AT$13&lt;=EA$6),'Lease Cycles'!$C$13*'Lease Cycles'!$AU$13/12,'Lease Cycles'!$C$13*INDEX('Lease Cycles'!$CB$13:$CH$13,1,EA95)*(1+INDEX('Lease Cycles'!$CI$13:$CO$13,1,EA95))^INT(INT(EA96/12)/INDEX('Lease Cycles'!$CP$13:$CV$13,1,EA95))/12)))),'Lease Cycles'!$C$13*INDEX('Lease Cycles'!$CB$13:$CH$13,1,EA95)*(1+INDEX('Lease Cycles'!$CI$13:$CO$13,1,EA95))^INT(INT(EA96/12)/INDEX('Lease Cycles'!$CP$13:$CV$13,1,EA95))/12))),IF('Lease Cycles'!$N$13=1,'Lease Cycles'!$C$13*'Lease Cycles'!$E$13*INDEX('Lease Cycles'!$HE$13:$HK$13,1,EA95)*(1+INDEX('Lease Cycles'!$GQ$13:$GW$13,1,EA95))^INT(INT((EA$6-INDEX('Lease Cycles'!$GJ$13:$GP$13,1,EA95))/12)/INDEX('Lease Cycles'!$GX$13:$HD$13,1,EA95))/12,0)))</f>
        <v>3594.0879766280173</v>
      </c>
      <c r="EB98" s="28">
        <f>IF(EB95=0,IF('Lease Cycles'!$F$13&gt;0,'Lease Cycles'!$C$13*'Lease Cycles'!$E$13/12,0),IF(EB97=1,IF('Lease Cycles'!$AT$13&gt;=9999,'Lease Cycles'!$C$13*INDEX('Lease Cycles'!$CB$13:$CH$13,1,EB95)*(1+INDEX('Lease Cycles'!$CI$13:$CO$13,1,EB95))^INT(INT(EB96/12)/INDEX('Lease Cycles'!$CP$13:$CV$13,1,EB95))/12,IF(EB95=1,IF(EB96&gt;=INDEX('Lease Cycles'!$DK$13:$DQ$13,1,EB95),IF(EB$6&gt;='Lease Cycles'!$AZ$13,'Lease Cycles'!$C$13*'Lease Cycles'!$BA$13/12,IF(EB$6&gt;='Lease Cycles'!$AX$13,'Lease Cycles'!$C$13*'Lease Cycles'!$AY$13/12,IF(EB$6&gt;='Lease Cycles'!$AV$13,'Lease Cycles'!$C$13*'Lease Cycles'!$AW$13/12,IF(EB$6&gt;='Lease Cycles'!$AT$13,'Lease Cycles'!$C$13*'Lease Cycles'!$AU$13/12,'Lease Cycles'!$C$13*INDEX('Lease Cycles'!$CB$13:$CH$13,1,EB95)*(1+INDEX('Lease Cycles'!$CI$13:$CO$13,1,EB95))^INT(INT(EB96/12)/INDEX('Lease Cycles'!$CP$13:$CV$13,1,EB95))/12)))),'Lease Cycles'!$C$13*INDEX('Lease Cycles'!$CB$13:$CH$13,1,EB95)*(1+INDEX('Lease Cycles'!$CI$13:$CO$13,1,EB95))^INT(INT(EB96/12)/INDEX('Lease Cycles'!$CP$13:$CV$13,1,EB95))/12),IF(INDEX('Lease Cycles'!$EF$13:$EL$13,1,EB95)=1,IF(AND('Lease Cycles'!$AZ$13&gt;=INDEX('Lease Cycles'!$BG$13:$BM$13,1,EB95),'Lease Cycles'!$AZ$13&lt;=EB$6),'Lease Cycles'!$C$13*'Lease Cycles'!$BA$13/12,IF(AND('Lease Cycles'!$AX$13&gt;=INDEX('Lease Cycles'!$BG$13:$BM$13,1,EB95),'Lease Cycles'!$AX$13&lt;=EB$6),'Lease Cycles'!$C$13*'Lease Cycles'!$AY$13/12,IF(AND('Lease Cycles'!$AV$13&gt;=INDEX('Lease Cycles'!$BG$13:$BM$13,1,EB95),'Lease Cycles'!$AV$13&lt;=EB$6),'Lease Cycles'!$C$13*'Lease Cycles'!$AW$13/12,IF(AND('Lease Cycles'!$AT$13&gt;=INDEX('Lease Cycles'!$BG$13:$BM$13,1,EB95),'Lease Cycles'!$AT$13&lt;=EB$6),'Lease Cycles'!$C$13*'Lease Cycles'!$AU$13/12,'Lease Cycles'!$C$13*INDEX('Lease Cycles'!$CB$13:$CH$13,1,EB95)*(1+INDEX('Lease Cycles'!$CI$13:$CO$13,1,EB95))^INT(INT(EB96/12)/INDEX('Lease Cycles'!$CP$13:$CV$13,1,EB95))/12)))),'Lease Cycles'!$C$13*INDEX('Lease Cycles'!$CB$13:$CH$13,1,EB95)*(1+INDEX('Lease Cycles'!$CI$13:$CO$13,1,EB95))^INT(INT(EB96/12)/INDEX('Lease Cycles'!$CP$13:$CV$13,1,EB95))/12))),IF('Lease Cycles'!$N$13=1,'Lease Cycles'!$C$13*'Lease Cycles'!$E$13*INDEX('Lease Cycles'!$HE$13:$HK$13,1,EB95)*(1+INDEX('Lease Cycles'!$GQ$13:$GW$13,1,EB95))^INT(INT((EB$6-INDEX('Lease Cycles'!$GJ$13:$GP$13,1,EB95))/12)/INDEX('Lease Cycles'!$GX$13:$HD$13,1,EB95))/12,0)))</f>
        <v>3594.0879766280173</v>
      </c>
      <c r="EC98" s="28">
        <f>IF(EC95=0,IF('Lease Cycles'!$F$13&gt;0,'Lease Cycles'!$C$13*'Lease Cycles'!$E$13/12,0),IF(EC97=1,IF('Lease Cycles'!$AT$13&gt;=9999,'Lease Cycles'!$C$13*INDEX('Lease Cycles'!$CB$13:$CH$13,1,EC95)*(1+INDEX('Lease Cycles'!$CI$13:$CO$13,1,EC95))^INT(INT(EC96/12)/INDEX('Lease Cycles'!$CP$13:$CV$13,1,EC95))/12,IF(EC95=1,IF(EC96&gt;=INDEX('Lease Cycles'!$DK$13:$DQ$13,1,EC95),IF(EC$6&gt;='Lease Cycles'!$AZ$13,'Lease Cycles'!$C$13*'Lease Cycles'!$BA$13/12,IF(EC$6&gt;='Lease Cycles'!$AX$13,'Lease Cycles'!$C$13*'Lease Cycles'!$AY$13/12,IF(EC$6&gt;='Lease Cycles'!$AV$13,'Lease Cycles'!$C$13*'Lease Cycles'!$AW$13/12,IF(EC$6&gt;='Lease Cycles'!$AT$13,'Lease Cycles'!$C$13*'Lease Cycles'!$AU$13/12,'Lease Cycles'!$C$13*INDEX('Lease Cycles'!$CB$13:$CH$13,1,EC95)*(1+INDEX('Lease Cycles'!$CI$13:$CO$13,1,EC95))^INT(INT(EC96/12)/INDEX('Lease Cycles'!$CP$13:$CV$13,1,EC95))/12)))),'Lease Cycles'!$C$13*INDEX('Lease Cycles'!$CB$13:$CH$13,1,EC95)*(1+INDEX('Lease Cycles'!$CI$13:$CO$13,1,EC95))^INT(INT(EC96/12)/INDEX('Lease Cycles'!$CP$13:$CV$13,1,EC95))/12),IF(INDEX('Lease Cycles'!$EF$13:$EL$13,1,EC95)=1,IF(AND('Lease Cycles'!$AZ$13&gt;=INDEX('Lease Cycles'!$BG$13:$BM$13,1,EC95),'Lease Cycles'!$AZ$13&lt;=EC$6),'Lease Cycles'!$C$13*'Lease Cycles'!$BA$13/12,IF(AND('Lease Cycles'!$AX$13&gt;=INDEX('Lease Cycles'!$BG$13:$BM$13,1,EC95),'Lease Cycles'!$AX$13&lt;=EC$6),'Lease Cycles'!$C$13*'Lease Cycles'!$AY$13/12,IF(AND('Lease Cycles'!$AV$13&gt;=INDEX('Lease Cycles'!$BG$13:$BM$13,1,EC95),'Lease Cycles'!$AV$13&lt;=EC$6),'Lease Cycles'!$C$13*'Lease Cycles'!$AW$13/12,IF(AND('Lease Cycles'!$AT$13&gt;=INDEX('Lease Cycles'!$BG$13:$BM$13,1,EC95),'Lease Cycles'!$AT$13&lt;=EC$6),'Lease Cycles'!$C$13*'Lease Cycles'!$AU$13/12,'Lease Cycles'!$C$13*INDEX('Lease Cycles'!$CB$13:$CH$13,1,EC95)*(1+INDEX('Lease Cycles'!$CI$13:$CO$13,1,EC95))^INT(INT(EC96/12)/INDEX('Lease Cycles'!$CP$13:$CV$13,1,EC95))/12)))),'Lease Cycles'!$C$13*INDEX('Lease Cycles'!$CB$13:$CH$13,1,EC95)*(1+INDEX('Lease Cycles'!$CI$13:$CO$13,1,EC95))^INT(INT(EC96/12)/INDEX('Lease Cycles'!$CP$13:$CV$13,1,EC95))/12))),IF('Lease Cycles'!$N$13=1,'Lease Cycles'!$C$13*'Lease Cycles'!$E$13*INDEX('Lease Cycles'!$HE$13:$HK$13,1,EC95)*(1+INDEX('Lease Cycles'!$GQ$13:$GW$13,1,EC95))^INT(INT((EC$6-INDEX('Lease Cycles'!$GJ$13:$GP$13,1,EC95))/12)/INDEX('Lease Cycles'!$GX$13:$HD$13,1,EC95))/12,0)))</f>
        <v>3594.0879766280173</v>
      </c>
      <c r="ED98" s="28">
        <f>IF(ED95=0,IF('Lease Cycles'!$F$13&gt;0,'Lease Cycles'!$C$13*'Lease Cycles'!$E$13/12,0),IF(ED97=1,IF('Lease Cycles'!$AT$13&gt;=9999,'Lease Cycles'!$C$13*INDEX('Lease Cycles'!$CB$13:$CH$13,1,ED95)*(1+INDEX('Lease Cycles'!$CI$13:$CO$13,1,ED95))^INT(INT(ED96/12)/INDEX('Lease Cycles'!$CP$13:$CV$13,1,ED95))/12,IF(ED95=1,IF(ED96&gt;=INDEX('Lease Cycles'!$DK$13:$DQ$13,1,ED95),IF(ED$6&gt;='Lease Cycles'!$AZ$13,'Lease Cycles'!$C$13*'Lease Cycles'!$BA$13/12,IF(ED$6&gt;='Lease Cycles'!$AX$13,'Lease Cycles'!$C$13*'Lease Cycles'!$AY$13/12,IF(ED$6&gt;='Lease Cycles'!$AV$13,'Lease Cycles'!$C$13*'Lease Cycles'!$AW$13/12,IF(ED$6&gt;='Lease Cycles'!$AT$13,'Lease Cycles'!$C$13*'Lease Cycles'!$AU$13/12,'Lease Cycles'!$C$13*INDEX('Lease Cycles'!$CB$13:$CH$13,1,ED95)*(1+INDEX('Lease Cycles'!$CI$13:$CO$13,1,ED95))^INT(INT(ED96/12)/INDEX('Lease Cycles'!$CP$13:$CV$13,1,ED95))/12)))),'Lease Cycles'!$C$13*INDEX('Lease Cycles'!$CB$13:$CH$13,1,ED95)*(1+INDEX('Lease Cycles'!$CI$13:$CO$13,1,ED95))^INT(INT(ED96/12)/INDEX('Lease Cycles'!$CP$13:$CV$13,1,ED95))/12),IF(INDEX('Lease Cycles'!$EF$13:$EL$13,1,ED95)=1,IF(AND('Lease Cycles'!$AZ$13&gt;=INDEX('Lease Cycles'!$BG$13:$BM$13,1,ED95),'Lease Cycles'!$AZ$13&lt;=ED$6),'Lease Cycles'!$C$13*'Lease Cycles'!$BA$13/12,IF(AND('Lease Cycles'!$AX$13&gt;=INDEX('Lease Cycles'!$BG$13:$BM$13,1,ED95),'Lease Cycles'!$AX$13&lt;=ED$6),'Lease Cycles'!$C$13*'Lease Cycles'!$AY$13/12,IF(AND('Lease Cycles'!$AV$13&gt;=INDEX('Lease Cycles'!$BG$13:$BM$13,1,ED95),'Lease Cycles'!$AV$13&lt;=ED$6),'Lease Cycles'!$C$13*'Lease Cycles'!$AW$13/12,IF(AND('Lease Cycles'!$AT$13&gt;=INDEX('Lease Cycles'!$BG$13:$BM$13,1,ED95),'Lease Cycles'!$AT$13&lt;=ED$6),'Lease Cycles'!$C$13*'Lease Cycles'!$AU$13/12,'Lease Cycles'!$C$13*INDEX('Lease Cycles'!$CB$13:$CH$13,1,ED95)*(1+INDEX('Lease Cycles'!$CI$13:$CO$13,1,ED95))^INT(INT(ED96/12)/INDEX('Lease Cycles'!$CP$13:$CV$13,1,ED95))/12)))),'Lease Cycles'!$C$13*INDEX('Lease Cycles'!$CB$13:$CH$13,1,ED95)*(1+INDEX('Lease Cycles'!$CI$13:$CO$13,1,ED95))^INT(INT(ED96/12)/INDEX('Lease Cycles'!$CP$13:$CV$13,1,ED95))/12))),IF('Lease Cycles'!$N$13=1,'Lease Cycles'!$C$13*'Lease Cycles'!$E$13*INDEX('Lease Cycles'!$HE$13:$HK$13,1,ED95)*(1+INDEX('Lease Cycles'!$GQ$13:$GW$13,1,ED95))^INT(INT((ED$6-INDEX('Lease Cycles'!$GJ$13:$GP$13,1,ED95))/12)/INDEX('Lease Cycles'!$GX$13:$HD$13,1,ED95))/12,0)))</f>
        <v>3594.0879766280173</v>
      </c>
      <c r="EE98" s="28">
        <f>IF(EE95=0,IF('Lease Cycles'!$F$13&gt;0,'Lease Cycles'!$C$13*'Lease Cycles'!$E$13/12,0),IF(EE97=1,IF('Lease Cycles'!$AT$13&gt;=9999,'Lease Cycles'!$C$13*INDEX('Lease Cycles'!$CB$13:$CH$13,1,EE95)*(1+INDEX('Lease Cycles'!$CI$13:$CO$13,1,EE95))^INT(INT(EE96/12)/INDEX('Lease Cycles'!$CP$13:$CV$13,1,EE95))/12,IF(EE95=1,IF(EE96&gt;=INDEX('Lease Cycles'!$DK$13:$DQ$13,1,EE95),IF(EE$6&gt;='Lease Cycles'!$AZ$13,'Lease Cycles'!$C$13*'Lease Cycles'!$BA$13/12,IF(EE$6&gt;='Lease Cycles'!$AX$13,'Lease Cycles'!$C$13*'Lease Cycles'!$AY$13/12,IF(EE$6&gt;='Lease Cycles'!$AV$13,'Lease Cycles'!$C$13*'Lease Cycles'!$AW$13/12,IF(EE$6&gt;='Lease Cycles'!$AT$13,'Lease Cycles'!$C$13*'Lease Cycles'!$AU$13/12,'Lease Cycles'!$C$13*INDEX('Lease Cycles'!$CB$13:$CH$13,1,EE95)*(1+INDEX('Lease Cycles'!$CI$13:$CO$13,1,EE95))^INT(INT(EE96/12)/INDEX('Lease Cycles'!$CP$13:$CV$13,1,EE95))/12)))),'Lease Cycles'!$C$13*INDEX('Lease Cycles'!$CB$13:$CH$13,1,EE95)*(1+INDEX('Lease Cycles'!$CI$13:$CO$13,1,EE95))^INT(INT(EE96/12)/INDEX('Lease Cycles'!$CP$13:$CV$13,1,EE95))/12),IF(INDEX('Lease Cycles'!$EF$13:$EL$13,1,EE95)=1,IF(AND('Lease Cycles'!$AZ$13&gt;=INDEX('Lease Cycles'!$BG$13:$BM$13,1,EE95),'Lease Cycles'!$AZ$13&lt;=EE$6),'Lease Cycles'!$C$13*'Lease Cycles'!$BA$13/12,IF(AND('Lease Cycles'!$AX$13&gt;=INDEX('Lease Cycles'!$BG$13:$BM$13,1,EE95),'Lease Cycles'!$AX$13&lt;=EE$6),'Lease Cycles'!$C$13*'Lease Cycles'!$AY$13/12,IF(AND('Lease Cycles'!$AV$13&gt;=INDEX('Lease Cycles'!$BG$13:$BM$13,1,EE95),'Lease Cycles'!$AV$13&lt;=EE$6),'Lease Cycles'!$C$13*'Lease Cycles'!$AW$13/12,IF(AND('Lease Cycles'!$AT$13&gt;=INDEX('Lease Cycles'!$BG$13:$BM$13,1,EE95),'Lease Cycles'!$AT$13&lt;=EE$6),'Lease Cycles'!$C$13*'Lease Cycles'!$AU$13/12,'Lease Cycles'!$C$13*INDEX('Lease Cycles'!$CB$13:$CH$13,1,EE95)*(1+INDEX('Lease Cycles'!$CI$13:$CO$13,1,EE95))^INT(INT(EE96/12)/INDEX('Lease Cycles'!$CP$13:$CV$13,1,EE95))/12)))),'Lease Cycles'!$C$13*INDEX('Lease Cycles'!$CB$13:$CH$13,1,EE95)*(1+INDEX('Lease Cycles'!$CI$13:$CO$13,1,EE95))^INT(INT(EE96/12)/INDEX('Lease Cycles'!$CP$13:$CV$13,1,EE95))/12))),IF('Lease Cycles'!$N$13=1,'Lease Cycles'!$C$13*'Lease Cycles'!$E$13*INDEX('Lease Cycles'!$HE$13:$HK$13,1,EE95)*(1+INDEX('Lease Cycles'!$GQ$13:$GW$13,1,EE95))^INT(INT((EE$6-INDEX('Lease Cycles'!$GJ$13:$GP$13,1,EE95))/12)/INDEX('Lease Cycles'!$GX$13:$HD$13,1,EE95))/12,0)))</f>
        <v>3594.0879766280173</v>
      </c>
      <c r="EF98" s="28">
        <f>IF(EF95=0,IF('Lease Cycles'!$F$13&gt;0,'Lease Cycles'!$C$13*'Lease Cycles'!$E$13/12,0),IF(EF97=1,IF('Lease Cycles'!$AT$13&gt;=9999,'Lease Cycles'!$C$13*INDEX('Lease Cycles'!$CB$13:$CH$13,1,EF95)*(1+INDEX('Lease Cycles'!$CI$13:$CO$13,1,EF95))^INT(INT(EF96/12)/INDEX('Lease Cycles'!$CP$13:$CV$13,1,EF95))/12,IF(EF95=1,IF(EF96&gt;=INDEX('Lease Cycles'!$DK$13:$DQ$13,1,EF95),IF(EF$6&gt;='Lease Cycles'!$AZ$13,'Lease Cycles'!$C$13*'Lease Cycles'!$BA$13/12,IF(EF$6&gt;='Lease Cycles'!$AX$13,'Lease Cycles'!$C$13*'Lease Cycles'!$AY$13/12,IF(EF$6&gt;='Lease Cycles'!$AV$13,'Lease Cycles'!$C$13*'Lease Cycles'!$AW$13/12,IF(EF$6&gt;='Lease Cycles'!$AT$13,'Lease Cycles'!$C$13*'Lease Cycles'!$AU$13/12,'Lease Cycles'!$C$13*INDEX('Lease Cycles'!$CB$13:$CH$13,1,EF95)*(1+INDEX('Lease Cycles'!$CI$13:$CO$13,1,EF95))^INT(INT(EF96/12)/INDEX('Lease Cycles'!$CP$13:$CV$13,1,EF95))/12)))),'Lease Cycles'!$C$13*INDEX('Lease Cycles'!$CB$13:$CH$13,1,EF95)*(1+INDEX('Lease Cycles'!$CI$13:$CO$13,1,EF95))^INT(INT(EF96/12)/INDEX('Lease Cycles'!$CP$13:$CV$13,1,EF95))/12),IF(INDEX('Lease Cycles'!$EF$13:$EL$13,1,EF95)=1,IF(AND('Lease Cycles'!$AZ$13&gt;=INDEX('Lease Cycles'!$BG$13:$BM$13,1,EF95),'Lease Cycles'!$AZ$13&lt;=EF$6),'Lease Cycles'!$C$13*'Lease Cycles'!$BA$13/12,IF(AND('Lease Cycles'!$AX$13&gt;=INDEX('Lease Cycles'!$BG$13:$BM$13,1,EF95),'Lease Cycles'!$AX$13&lt;=EF$6),'Lease Cycles'!$C$13*'Lease Cycles'!$AY$13/12,IF(AND('Lease Cycles'!$AV$13&gt;=INDEX('Lease Cycles'!$BG$13:$BM$13,1,EF95),'Lease Cycles'!$AV$13&lt;=EF$6),'Lease Cycles'!$C$13*'Lease Cycles'!$AW$13/12,IF(AND('Lease Cycles'!$AT$13&gt;=INDEX('Lease Cycles'!$BG$13:$BM$13,1,EF95),'Lease Cycles'!$AT$13&lt;=EF$6),'Lease Cycles'!$C$13*'Lease Cycles'!$AU$13/12,'Lease Cycles'!$C$13*INDEX('Lease Cycles'!$CB$13:$CH$13,1,EF95)*(1+INDEX('Lease Cycles'!$CI$13:$CO$13,1,EF95))^INT(INT(EF96/12)/INDEX('Lease Cycles'!$CP$13:$CV$13,1,EF95))/12)))),'Lease Cycles'!$C$13*INDEX('Lease Cycles'!$CB$13:$CH$13,1,EF95)*(1+INDEX('Lease Cycles'!$CI$13:$CO$13,1,EF95))^INT(INT(EF96/12)/INDEX('Lease Cycles'!$CP$13:$CV$13,1,EF95))/12))),IF('Lease Cycles'!$N$13=1,'Lease Cycles'!$C$13*'Lease Cycles'!$E$13*INDEX('Lease Cycles'!$HE$13:$HK$13,1,EF95)*(1+INDEX('Lease Cycles'!$GQ$13:$GW$13,1,EF95))^INT(INT((EF$6-INDEX('Lease Cycles'!$GJ$13:$GP$13,1,EF95))/12)/INDEX('Lease Cycles'!$GX$13:$HD$13,1,EF95))/12,0)))</f>
        <v>3701.910615926858</v>
      </c>
      <c r="EG98" s="28">
        <f>IF(EG95=0,IF('Lease Cycles'!$F$13&gt;0,'Lease Cycles'!$C$13*'Lease Cycles'!$E$13/12,0),IF(EG97=1,IF('Lease Cycles'!$AT$13&gt;=9999,'Lease Cycles'!$C$13*INDEX('Lease Cycles'!$CB$13:$CH$13,1,EG95)*(1+INDEX('Lease Cycles'!$CI$13:$CO$13,1,EG95))^INT(INT(EG96/12)/INDEX('Lease Cycles'!$CP$13:$CV$13,1,EG95))/12,IF(EG95=1,IF(EG96&gt;=INDEX('Lease Cycles'!$DK$13:$DQ$13,1,EG95),IF(EG$6&gt;='Lease Cycles'!$AZ$13,'Lease Cycles'!$C$13*'Lease Cycles'!$BA$13/12,IF(EG$6&gt;='Lease Cycles'!$AX$13,'Lease Cycles'!$C$13*'Lease Cycles'!$AY$13/12,IF(EG$6&gt;='Lease Cycles'!$AV$13,'Lease Cycles'!$C$13*'Lease Cycles'!$AW$13/12,IF(EG$6&gt;='Lease Cycles'!$AT$13,'Lease Cycles'!$C$13*'Lease Cycles'!$AU$13/12,'Lease Cycles'!$C$13*INDEX('Lease Cycles'!$CB$13:$CH$13,1,EG95)*(1+INDEX('Lease Cycles'!$CI$13:$CO$13,1,EG95))^INT(INT(EG96/12)/INDEX('Lease Cycles'!$CP$13:$CV$13,1,EG95))/12)))),'Lease Cycles'!$C$13*INDEX('Lease Cycles'!$CB$13:$CH$13,1,EG95)*(1+INDEX('Lease Cycles'!$CI$13:$CO$13,1,EG95))^INT(INT(EG96/12)/INDEX('Lease Cycles'!$CP$13:$CV$13,1,EG95))/12),IF(INDEX('Lease Cycles'!$EF$13:$EL$13,1,EG95)=1,IF(AND('Lease Cycles'!$AZ$13&gt;=INDEX('Lease Cycles'!$BG$13:$BM$13,1,EG95),'Lease Cycles'!$AZ$13&lt;=EG$6),'Lease Cycles'!$C$13*'Lease Cycles'!$BA$13/12,IF(AND('Lease Cycles'!$AX$13&gt;=INDEX('Lease Cycles'!$BG$13:$BM$13,1,EG95),'Lease Cycles'!$AX$13&lt;=EG$6),'Lease Cycles'!$C$13*'Lease Cycles'!$AY$13/12,IF(AND('Lease Cycles'!$AV$13&gt;=INDEX('Lease Cycles'!$BG$13:$BM$13,1,EG95),'Lease Cycles'!$AV$13&lt;=EG$6),'Lease Cycles'!$C$13*'Lease Cycles'!$AW$13/12,IF(AND('Lease Cycles'!$AT$13&gt;=INDEX('Lease Cycles'!$BG$13:$BM$13,1,EG95),'Lease Cycles'!$AT$13&lt;=EG$6),'Lease Cycles'!$C$13*'Lease Cycles'!$AU$13/12,'Lease Cycles'!$C$13*INDEX('Lease Cycles'!$CB$13:$CH$13,1,EG95)*(1+INDEX('Lease Cycles'!$CI$13:$CO$13,1,EG95))^INT(INT(EG96/12)/INDEX('Lease Cycles'!$CP$13:$CV$13,1,EG95))/12)))),'Lease Cycles'!$C$13*INDEX('Lease Cycles'!$CB$13:$CH$13,1,EG95)*(1+INDEX('Lease Cycles'!$CI$13:$CO$13,1,EG95))^INT(INT(EG96/12)/INDEX('Lease Cycles'!$CP$13:$CV$13,1,EG95))/12))),IF('Lease Cycles'!$N$13=1,'Lease Cycles'!$C$13*'Lease Cycles'!$E$13*INDEX('Lease Cycles'!$HE$13:$HK$13,1,EG95)*(1+INDEX('Lease Cycles'!$GQ$13:$GW$13,1,EG95))^INT(INT((EG$6-INDEX('Lease Cycles'!$GJ$13:$GP$13,1,EG95))/12)/INDEX('Lease Cycles'!$GX$13:$HD$13,1,EG95))/12,0)))</f>
        <v>3701.910615926858</v>
      </c>
      <c r="EH98" s="28">
        <f>IF(EH95=0,IF('Lease Cycles'!$F$13&gt;0,'Lease Cycles'!$C$13*'Lease Cycles'!$E$13/12,0),IF(EH97=1,IF('Lease Cycles'!$AT$13&gt;=9999,'Lease Cycles'!$C$13*INDEX('Lease Cycles'!$CB$13:$CH$13,1,EH95)*(1+INDEX('Lease Cycles'!$CI$13:$CO$13,1,EH95))^INT(INT(EH96/12)/INDEX('Lease Cycles'!$CP$13:$CV$13,1,EH95))/12,IF(EH95=1,IF(EH96&gt;=INDEX('Lease Cycles'!$DK$13:$DQ$13,1,EH95),IF(EH$6&gt;='Lease Cycles'!$AZ$13,'Lease Cycles'!$C$13*'Lease Cycles'!$BA$13/12,IF(EH$6&gt;='Lease Cycles'!$AX$13,'Lease Cycles'!$C$13*'Lease Cycles'!$AY$13/12,IF(EH$6&gt;='Lease Cycles'!$AV$13,'Lease Cycles'!$C$13*'Lease Cycles'!$AW$13/12,IF(EH$6&gt;='Lease Cycles'!$AT$13,'Lease Cycles'!$C$13*'Lease Cycles'!$AU$13/12,'Lease Cycles'!$C$13*INDEX('Lease Cycles'!$CB$13:$CH$13,1,EH95)*(1+INDEX('Lease Cycles'!$CI$13:$CO$13,1,EH95))^INT(INT(EH96/12)/INDEX('Lease Cycles'!$CP$13:$CV$13,1,EH95))/12)))),'Lease Cycles'!$C$13*INDEX('Lease Cycles'!$CB$13:$CH$13,1,EH95)*(1+INDEX('Lease Cycles'!$CI$13:$CO$13,1,EH95))^INT(INT(EH96/12)/INDEX('Lease Cycles'!$CP$13:$CV$13,1,EH95))/12),IF(INDEX('Lease Cycles'!$EF$13:$EL$13,1,EH95)=1,IF(AND('Lease Cycles'!$AZ$13&gt;=INDEX('Lease Cycles'!$BG$13:$BM$13,1,EH95),'Lease Cycles'!$AZ$13&lt;=EH$6),'Lease Cycles'!$C$13*'Lease Cycles'!$BA$13/12,IF(AND('Lease Cycles'!$AX$13&gt;=INDEX('Lease Cycles'!$BG$13:$BM$13,1,EH95),'Lease Cycles'!$AX$13&lt;=EH$6),'Lease Cycles'!$C$13*'Lease Cycles'!$AY$13/12,IF(AND('Lease Cycles'!$AV$13&gt;=INDEX('Lease Cycles'!$BG$13:$BM$13,1,EH95),'Lease Cycles'!$AV$13&lt;=EH$6),'Lease Cycles'!$C$13*'Lease Cycles'!$AW$13/12,IF(AND('Lease Cycles'!$AT$13&gt;=INDEX('Lease Cycles'!$BG$13:$BM$13,1,EH95),'Lease Cycles'!$AT$13&lt;=EH$6),'Lease Cycles'!$C$13*'Lease Cycles'!$AU$13/12,'Lease Cycles'!$C$13*INDEX('Lease Cycles'!$CB$13:$CH$13,1,EH95)*(1+INDEX('Lease Cycles'!$CI$13:$CO$13,1,EH95))^INT(INT(EH96/12)/INDEX('Lease Cycles'!$CP$13:$CV$13,1,EH95))/12)))),'Lease Cycles'!$C$13*INDEX('Lease Cycles'!$CB$13:$CH$13,1,EH95)*(1+INDEX('Lease Cycles'!$CI$13:$CO$13,1,EH95))^INT(INT(EH96/12)/INDEX('Lease Cycles'!$CP$13:$CV$13,1,EH95))/12))),IF('Lease Cycles'!$N$13=1,'Lease Cycles'!$C$13*'Lease Cycles'!$E$13*INDEX('Lease Cycles'!$HE$13:$HK$13,1,EH95)*(1+INDEX('Lease Cycles'!$GQ$13:$GW$13,1,EH95))^INT(INT((EH$6-INDEX('Lease Cycles'!$GJ$13:$GP$13,1,EH95))/12)/INDEX('Lease Cycles'!$GX$13:$HD$13,1,EH95))/12,0)))</f>
        <v>3701.910615926858</v>
      </c>
      <c r="EI98" s="28">
        <f>IF(EI95=0,IF('Lease Cycles'!$F$13&gt;0,'Lease Cycles'!$C$13*'Lease Cycles'!$E$13/12,0),IF(EI97=1,IF('Lease Cycles'!$AT$13&gt;=9999,'Lease Cycles'!$C$13*INDEX('Lease Cycles'!$CB$13:$CH$13,1,EI95)*(1+INDEX('Lease Cycles'!$CI$13:$CO$13,1,EI95))^INT(INT(EI96/12)/INDEX('Lease Cycles'!$CP$13:$CV$13,1,EI95))/12,IF(EI95=1,IF(EI96&gt;=INDEX('Lease Cycles'!$DK$13:$DQ$13,1,EI95),IF(EI$6&gt;='Lease Cycles'!$AZ$13,'Lease Cycles'!$C$13*'Lease Cycles'!$BA$13/12,IF(EI$6&gt;='Lease Cycles'!$AX$13,'Lease Cycles'!$C$13*'Lease Cycles'!$AY$13/12,IF(EI$6&gt;='Lease Cycles'!$AV$13,'Lease Cycles'!$C$13*'Lease Cycles'!$AW$13/12,IF(EI$6&gt;='Lease Cycles'!$AT$13,'Lease Cycles'!$C$13*'Lease Cycles'!$AU$13/12,'Lease Cycles'!$C$13*INDEX('Lease Cycles'!$CB$13:$CH$13,1,EI95)*(1+INDEX('Lease Cycles'!$CI$13:$CO$13,1,EI95))^INT(INT(EI96/12)/INDEX('Lease Cycles'!$CP$13:$CV$13,1,EI95))/12)))),'Lease Cycles'!$C$13*INDEX('Lease Cycles'!$CB$13:$CH$13,1,EI95)*(1+INDEX('Lease Cycles'!$CI$13:$CO$13,1,EI95))^INT(INT(EI96/12)/INDEX('Lease Cycles'!$CP$13:$CV$13,1,EI95))/12),IF(INDEX('Lease Cycles'!$EF$13:$EL$13,1,EI95)=1,IF(AND('Lease Cycles'!$AZ$13&gt;=INDEX('Lease Cycles'!$BG$13:$BM$13,1,EI95),'Lease Cycles'!$AZ$13&lt;=EI$6),'Lease Cycles'!$C$13*'Lease Cycles'!$BA$13/12,IF(AND('Lease Cycles'!$AX$13&gt;=INDEX('Lease Cycles'!$BG$13:$BM$13,1,EI95),'Lease Cycles'!$AX$13&lt;=EI$6),'Lease Cycles'!$C$13*'Lease Cycles'!$AY$13/12,IF(AND('Lease Cycles'!$AV$13&gt;=INDEX('Lease Cycles'!$BG$13:$BM$13,1,EI95),'Lease Cycles'!$AV$13&lt;=EI$6),'Lease Cycles'!$C$13*'Lease Cycles'!$AW$13/12,IF(AND('Lease Cycles'!$AT$13&gt;=INDEX('Lease Cycles'!$BG$13:$BM$13,1,EI95),'Lease Cycles'!$AT$13&lt;=EI$6),'Lease Cycles'!$C$13*'Lease Cycles'!$AU$13/12,'Lease Cycles'!$C$13*INDEX('Lease Cycles'!$CB$13:$CH$13,1,EI95)*(1+INDEX('Lease Cycles'!$CI$13:$CO$13,1,EI95))^INT(INT(EI96/12)/INDEX('Lease Cycles'!$CP$13:$CV$13,1,EI95))/12)))),'Lease Cycles'!$C$13*INDEX('Lease Cycles'!$CB$13:$CH$13,1,EI95)*(1+INDEX('Lease Cycles'!$CI$13:$CO$13,1,EI95))^INT(INT(EI96/12)/INDEX('Lease Cycles'!$CP$13:$CV$13,1,EI95))/12))),IF('Lease Cycles'!$N$13=1,'Lease Cycles'!$C$13*'Lease Cycles'!$E$13*INDEX('Lease Cycles'!$HE$13:$HK$13,1,EI95)*(1+INDEX('Lease Cycles'!$GQ$13:$GW$13,1,EI95))^INT(INT((EI$6-INDEX('Lease Cycles'!$GJ$13:$GP$13,1,EI95))/12)/INDEX('Lease Cycles'!$GX$13:$HD$13,1,EI95))/12,0)))</f>
        <v>3701.910615926858</v>
      </c>
      <c r="EJ98" s="28">
        <f>IF(EJ95=0,IF('Lease Cycles'!$F$13&gt;0,'Lease Cycles'!$C$13*'Lease Cycles'!$E$13/12,0),IF(EJ97=1,IF('Lease Cycles'!$AT$13&gt;=9999,'Lease Cycles'!$C$13*INDEX('Lease Cycles'!$CB$13:$CH$13,1,EJ95)*(1+INDEX('Lease Cycles'!$CI$13:$CO$13,1,EJ95))^INT(INT(EJ96/12)/INDEX('Lease Cycles'!$CP$13:$CV$13,1,EJ95))/12,IF(EJ95=1,IF(EJ96&gt;=INDEX('Lease Cycles'!$DK$13:$DQ$13,1,EJ95),IF(EJ$6&gt;='Lease Cycles'!$AZ$13,'Lease Cycles'!$C$13*'Lease Cycles'!$BA$13/12,IF(EJ$6&gt;='Lease Cycles'!$AX$13,'Lease Cycles'!$C$13*'Lease Cycles'!$AY$13/12,IF(EJ$6&gt;='Lease Cycles'!$AV$13,'Lease Cycles'!$C$13*'Lease Cycles'!$AW$13/12,IF(EJ$6&gt;='Lease Cycles'!$AT$13,'Lease Cycles'!$C$13*'Lease Cycles'!$AU$13/12,'Lease Cycles'!$C$13*INDEX('Lease Cycles'!$CB$13:$CH$13,1,EJ95)*(1+INDEX('Lease Cycles'!$CI$13:$CO$13,1,EJ95))^INT(INT(EJ96/12)/INDEX('Lease Cycles'!$CP$13:$CV$13,1,EJ95))/12)))),'Lease Cycles'!$C$13*INDEX('Lease Cycles'!$CB$13:$CH$13,1,EJ95)*(1+INDEX('Lease Cycles'!$CI$13:$CO$13,1,EJ95))^INT(INT(EJ96/12)/INDEX('Lease Cycles'!$CP$13:$CV$13,1,EJ95))/12),IF(INDEX('Lease Cycles'!$EF$13:$EL$13,1,EJ95)=1,IF(AND('Lease Cycles'!$AZ$13&gt;=INDEX('Lease Cycles'!$BG$13:$BM$13,1,EJ95),'Lease Cycles'!$AZ$13&lt;=EJ$6),'Lease Cycles'!$C$13*'Lease Cycles'!$BA$13/12,IF(AND('Lease Cycles'!$AX$13&gt;=INDEX('Lease Cycles'!$BG$13:$BM$13,1,EJ95),'Lease Cycles'!$AX$13&lt;=EJ$6),'Lease Cycles'!$C$13*'Lease Cycles'!$AY$13/12,IF(AND('Lease Cycles'!$AV$13&gt;=INDEX('Lease Cycles'!$BG$13:$BM$13,1,EJ95),'Lease Cycles'!$AV$13&lt;=EJ$6),'Lease Cycles'!$C$13*'Lease Cycles'!$AW$13/12,IF(AND('Lease Cycles'!$AT$13&gt;=INDEX('Lease Cycles'!$BG$13:$BM$13,1,EJ95),'Lease Cycles'!$AT$13&lt;=EJ$6),'Lease Cycles'!$C$13*'Lease Cycles'!$AU$13/12,'Lease Cycles'!$C$13*INDEX('Lease Cycles'!$CB$13:$CH$13,1,EJ95)*(1+INDEX('Lease Cycles'!$CI$13:$CO$13,1,EJ95))^INT(INT(EJ96/12)/INDEX('Lease Cycles'!$CP$13:$CV$13,1,EJ95))/12)))),'Lease Cycles'!$C$13*INDEX('Lease Cycles'!$CB$13:$CH$13,1,EJ95)*(1+INDEX('Lease Cycles'!$CI$13:$CO$13,1,EJ95))^INT(INT(EJ96/12)/INDEX('Lease Cycles'!$CP$13:$CV$13,1,EJ95))/12))),IF('Lease Cycles'!$N$13=1,'Lease Cycles'!$C$13*'Lease Cycles'!$E$13*INDEX('Lease Cycles'!$HE$13:$HK$13,1,EJ95)*(1+INDEX('Lease Cycles'!$GQ$13:$GW$13,1,EJ95))^INT(INT((EJ$6-INDEX('Lease Cycles'!$GJ$13:$GP$13,1,EJ95))/12)/INDEX('Lease Cycles'!$GX$13:$HD$13,1,EJ95))/12,0)))</f>
        <v>3701.910615926858</v>
      </c>
      <c r="EK98" s="28">
        <f>IF(EK95=0,IF('Lease Cycles'!$F$13&gt;0,'Lease Cycles'!$C$13*'Lease Cycles'!$E$13/12,0),IF(EK97=1,IF('Lease Cycles'!$AT$13&gt;=9999,'Lease Cycles'!$C$13*INDEX('Lease Cycles'!$CB$13:$CH$13,1,EK95)*(1+INDEX('Lease Cycles'!$CI$13:$CO$13,1,EK95))^INT(INT(EK96/12)/INDEX('Lease Cycles'!$CP$13:$CV$13,1,EK95))/12,IF(EK95=1,IF(EK96&gt;=INDEX('Lease Cycles'!$DK$13:$DQ$13,1,EK95),IF(EK$6&gt;='Lease Cycles'!$AZ$13,'Lease Cycles'!$C$13*'Lease Cycles'!$BA$13/12,IF(EK$6&gt;='Lease Cycles'!$AX$13,'Lease Cycles'!$C$13*'Lease Cycles'!$AY$13/12,IF(EK$6&gt;='Lease Cycles'!$AV$13,'Lease Cycles'!$C$13*'Lease Cycles'!$AW$13/12,IF(EK$6&gt;='Lease Cycles'!$AT$13,'Lease Cycles'!$C$13*'Lease Cycles'!$AU$13/12,'Lease Cycles'!$C$13*INDEX('Lease Cycles'!$CB$13:$CH$13,1,EK95)*(1+INDEX('Lease Cycles'!$CI$13:$CO$13,1,EK95))^INT(INT(EK96/12)/INDEX('Lease Cycles'!$CP$13:$CV$13,1,EK95))/12)))),'Lease Cycles'!$C$13*INDEX('Lease Cycles'!$CB$13:$CH$13,1,EK95)*(1+INDEX('Lease Cycles'!$CI$13:$CO$13,1,EK95))^INT(INT(EK96/12)/INDEX('Lease Cycles'!$CP$13:$CV$13,1,EK95))/12),IF(INDEX('Lease Cycles'!$EF$13:$EL$13,1,EK95)=1,IF(AND('Lease Cycles'!$AZ$13&gt;=INDEX('Lease Cycles'!$BG$13:$BM$13,1,EK95),'Lease Cycles'!$AZ$13&lt;=EK$6),'Lease Cycles'!$C$13*'Lease Cycles'!$BA$13/12,IF(AND('Lease Cycles'!$AX$13&gt;=INDEX('Lease Cycles'!$BG$13:$BM$13,1,EK95),'Lease Cycles'!$AX$13&lt;=EK$6),'Lease Cycles'!$C$13*'Lease Cycles'!$AY$13/12,IF(AND('Lease Cycles'!$AV$13&gt;=INDEX('Lease Cycles'!$BG$13:$BM$13,1,EK95),'Lease Cycles'!$AV$13&lt;=EK$6),'Lease Cycles'!$C$13*'Lease Cycles'!$AW$13/12,IF(AND('Lease Cycles'!$AT$13&gt;=INDEX('Lease Cycles'!$BG$13:$BM$13,1,EK95),'Lease Cycles'!$AT$13&lt;=EK$6),'Lease Cycles'!$C$13*'Lease Cycles'!$AU$13/12,'Lease Cycles'!$C$13*INDEX('Lease Cycles'!$CB$13:$CH$13,1,EK95)*(1+INDEX('Lease Cycles'!$CI$13:$CO$13,1,EK95))^INT(INT(EK96/12)/INDEX('Lease Cycles'!$CP$13:$CV$13,1,EK95))/12)))),'Lease Cycles'!$C$13*INDEX('Lease Cycles'!$CB$13:$CH$13,1,EK95)*(1+INDEX('Lease Cycles'!$CI$13:$CO$13,1,EK95))^INT(INT(EK96/12)/INDEX('Lease Cycles'!$CP$13:$CV$13,1,EK95))/12))),IF('Lease Cycles'!$N$13=1,'Lease Cycles'!$C$13*'Lease Cycles'!$E$13*INDEX('Lease Cycles'!$HE$13:$HK$13,1,EK95)*(1+INDEX('Lease Cycles'!$GQ$13:$GW$13,1,EK95))^INT(INT((EK$6-INDEX('Lease Cycles'!$GJ$13:$GP$13,1,EK95))/12)/INDEX('Lease Cycles'!$GX$13:$HD$13,1,EK95))/12,0)))</f>
        <v>3701.910615926858</v>
      </c>
      <c r="EL98" s="28">
        <f>IF(EL95=0,IF('Lease Cycles'!$F$13&gt;0,'Lease Cycles'!$C$13*'Lease Cycles'!$E$13/12,0),IF(EL97=1,IF('Lease Cycles'!$AT$13&gt;=9999,'Lease Cycles'!$C$13*INDEX('Lease Cycles'!$CB$13:$CH$13,1,EL95)*(1+INDEX('Lease Cycles'!$CI$13:$CO$13,1,EL95))^INT(INT(EL96/12)/INDEX('Lease Cycles'!$CP$13:$CV$13,1,EL95))/12,IF(EL95=1,IF(EL96&gt;=INDEX('Lease Cycles'!$DK$13:$DQ$13,1,EL95),IF(EL$6&gt;='Lease Cycles'!$AZ$13,'Lease Cycles'!$C$13*'Lease Cycles'!$BA$13/12,IF(EL$6&gt;='Lease Cycles'!$AX$13,'Lease Cycles'!$C$13*'Lease Cycles'!$AY$13/12,IF(EL$6&gt;='Lease Cycles'!$AV$13,'Lease Cycles'!$C$13*'Lease Cycles'!$AW$13/12,IF(EL$6&gt;='Lease Cycles'!$AT$13,'Lease Cycles'!$C$13*'Lease Cycles'!$AU$13/12,'Lease Cycles'!$C$13*INDEX('Lease Cycles'!$CB$13:$CH$13,1,EL95)*(1+INDEX('Lease Cycles'!$CI$13:$CO$13,1,EL95))^INT(INT(EL96/12)/INDEX('Lease Cycles'!$CP$13:$CV$13,1,EL95))/12)))),'Lease Cycles'!$C$13*INDEX('Lease Cycles'!$CB$13:$CH$13,1,EL95)*(1+INDEX('Lease Cycles'!$CI$13:$CO$13,1,EL95))^INT(INT(EL96/12)/INDEX('Lease Cycles'!$CP$13:$CV$13,1,EL95))/12),IF(INDEX('Lease Cycles'!$EF$13:$EL$13,1,EL95)=1,IF(AND('Lease Cycles'!$AZ$13&gt;=INDEX('Lease Cycles'!$BG$13:$BM$13,1,EL95),'Lease Cycles'!$AZ$13&lt;=EL$6),'Lease Cycles'!$C$13*'Lease Cycles'!$BA$13/12,IF(AND('Lease Cycles'!$AX$13&gt;=INDEX('Lease Cycles'!$BG$13:$BM$13,1,EL95),'Lease Cycles'!$AX$13&lt;=EL$6),'Lease Cycles'!$C$13*'Lease Cycles'!$AY$13/12,IF(AND('Lease Cycles'!$AV$13&gt;=INDEX('Lease Cycles'!$BG$13:$BM$13,1,EL95),'Lease Cycles'!$AV$13&lt;=EL$6),'Lease Cycles'!$C$13*'Lease Cycles'!$AW$13/12,IF(AND('Lease Cycles'!$AT$13&gt;=INDEX('Lease Cycles'!$BG$13:$BM$13,1,EL95),'Lease Cycles'!$AT$13&lt;=EL$6),'Lease Cycles'!$C$13*'Lease Cycles'!$AU$13/12,'Lease Cycles'!$C$13*INDEX('Lease Cycles'!$CB$13:$CH$13,1,EL95)*(1+INDEX('Lease Cycles'!$CI$13:$CO$13,1,EL95))^INT(INT(EL96/12)/INDEX('Lease Cycles'!$CP$13:$CV$13,1,EL95))/12)))),'Lease Cycles'!$C$13*INDEX('Lease Cycles'!$CB$13:$CH$13,1,EL95)*(1+INDEX('Lease Cycles'!$CI$13:$CO$13,1,EL95))^INT(INT(EL96/12)/INDEX('Lease Cycles'!$CP$13:$CV$13,1,EL95))/12))),IF('Lease Cycles'!$N$13=1,'Lease Cycles'!$C$13*'Lease Cycles'!$E$13*INDEX('Lease Cycles'!$HE$13:$HK$13,1,EL95)*(1+INDEX('Lease Cycles'!$GQ$13:$GW$13,1,EL95))^INT(INT((EL$6-INDEX('Lease Cycles'!$GJ$13:$GP$13,1,EL95))/12)/INDEX('Lease Cycles'!$GX$13:$HD$13,1,EL95))/12,0)))</f>
        <v>3701.910615926858</v>
      </c>
      <c r="EM98" s="28">
        <f>IF(EM95=0,IF('Lease Cycles'!$F$13&gt;0,'Lease Cycles'!$C$13*'Lease Cycles'!$E$13/12,0),IF(EM97=1,IF('Lease Cycles'!$AT$13&gt;=9999,'Lease Cycles'!$C$13*INDEX('Lease Cycles'!$CB$13:$CH$13,1,EM95)*(1+INDEX('Lease Cycles'!$CI$13:$CO$13,1,EM95))^INT(INT(EM96/12)/INDEX('Lease Cycles'!$CP$13:$CV$13,1,EM95))/12,IF(EM95=1,IF(EM96&gt;=INDEX('Lease Cycles'!$DK$13:$DQ$13,1,EM95),IF(EM$6&gt;='Lease Cycles'!$AZ$13,'Lease Cycles'!$C$13*'Lease Cycles'!$BA$13/12,IF(EM$6&gt;='Lease Cycles'!$AX$13,'Lease Cycles'!$C$13*'Lease Cycles'!$AY$13/12,IF(EM$6&gt;='Lease Cycles'!$AV$13,'Lease Cycles'!$C$13*'Lease Cycles'!$AW$13/12,IF(EM$6&gt;='Lease Cycles'!$AT$13,'Lease Cycles'!$C$13*'Lease Cycles'!$AU$13/12,'Lease Cycles'!$C$13*INDEX('Lease Cycles'!$CB$13:$CH$13,1,EM95)*(1+INDEX('Lease Cycles'!$CI$13:$CO$13,1,EM95))^INT(INT(EM96/12)/INDEX('Lease Cycles'!$CP$13:$CV$13,1,EM95))/12)))),'Lease Cycles'!$C$13*INDEX('Lease Cycles'!$CB$13:$CH$13,1,EM95)*(1+INDEX('Lease Cycles'!$CI$13:$CO$13,1,EM95))^INT(INT(EM96/12)/INDEX('Lease Cycles'!$CP$13:$CV$13,1,EM95))/12),IF(INDEX('Lease Cycles'!$EF$13:$EL$13,1,EM95)=1,IF(AND('Lease Cycles'!$AZ$13&gt;=INDEX('Lease Cycles'!$BG$13:$BM$13,1,EM95),'Lease Cycles'!$AZ$13&lt;=EM$6),'Lease Cycles'!$C$13*'Lease Cycles'!$BA$13/12,IF(AND('Lease Cycles'!$AX$13&gt;=INDEX('Lease Cycles'!$BG$13:$BM$13,1,EM95),'Lease Cycles'!$AX$13&lt;=EM$6),'Lease Cycles'!$C$13*'Lease Cycles'!$AY$13/12,IF(AND('Lease Cycles'!$AV$13&gt;=INDEX('Lease Cycles'!$BG$13:$BM$13,1,EM95),'Lease Cycles'!$AV$13&lt;=EM$6),'Lease Cycles'!$C$13*'Lease Cycles'!$AW$13/12,IF(AND('Lease Cycles'!$AT$13&gt;=INDEX('Lease Cycles'!$BG$13:$BM$13,1,EM95),'Lease Cycles'!$AT$13&lt;=EM$6),'Lease Cycles'!$C$13*'Lease Cycles'!$AU$13/12,'Lease Cycles'!$C$13*INDEX('Lease Cycles'!$CB$13:$CH$13,1,EM95)*(1+INDEX('Lease Cycles'!$CI$13:$CO$13,1,EM95))^INT(INT(EM96/12)/INDEX('Lease Cycles'!$CP$13:$CV$13,1,EM95))/12)))),'Lease Cycles'!$C$13*INDEX('Lease Cycles'!$CB$13:$CH$13,1,EM95)*(1+INDEX('Lease Cycles'!$CI$13:$CO$13,1,EM95))^INT(INT(EM96/12)/INDEX('Lease Cycles'!$CP$13:$CV$13,1,EM95))/12))),IF('Lease Cycles'!$N$13=1,'Lease Cycles'!$C$13*'Lease Cycles'!$E$13*INDEX('Lease Cycles'!$HE$13:$HK$13,1,EM95)*(1+INDEX('Lease Cycles'!$GQ$13:$GW$13,1,EM95))^INT(INT((EM$6-INDEX('Lease Cycles'!$GJ$13:$GP$13,1,EM95))/12)/INDEX('Lease Cycles'!$GX$13:$HD$13,1,EM95))/12,0)))</f>
        <v>3701.910615926858</v>
      </c>
      <c r="EN98" s="28">
        <f>IF(EN95=0,IF('Lease Cycles'!$F$13&gt;0,'Lease Cycles'!$C$13*'Lease Cycles'!$E$13/12,0),IF(EN97=1,IF('Lease Cycles'!$AT$13&gt;=9999,'Lease Cycles'!$C$13*INDEX('Lease Cycles'!$CB$13:$CH$13,1,EN95)*(1+INDEX('Lease Cycles'!$CI$13:$CO$13,1,EN95))^INT(INT(EN96/12)/INDEX('Lease Cycles'!$CP$13:$CV$13,1,EN95))/12,IF(EN95=1,IF(EN96&gt;=INDEX('Lease Cycles'!$DK$13:$DQ$13,1,EN95),IF(EN$6&gt;='Lease Cycles'!$AZ$13,'Lease Cycles'!$C$13*'Lease Cycles'!$BA$13/12,IF(EN$6&gt;='Lease Cycles'!$AX$13,'Lease Cycles'!$C$13*'Lease Cycles'!$AY$13/12,IF(EN$6&gt;='Lease Cycles'!$AV$13,'Lease Cycles'!$C$13*'Lease Cycles'!$AW$13/12,IF(EN$6&gt;='Lease Cycles'!$AT$13,'Lease Cycles'!$C$13*'Lease Cycles'!$AU$13/12,'Lease Cycles'!$C$13*INDEX('Lease Cycles'!$CB$13:$CH$13,1,EN95)*(1+INDEX('Lease Cycles'!$CI$13:$CO$13,1,EN95))^INT(INT(EN96/12)/INDEX('Lease Cycles'!$CP$13:$CV$13,1,EN95))/12)))),'Lease Cycles'!$C$13*INDEX('Lease Cycles'!$CB$13:$CH$13,1,EN95)*(1+INDEX('Lease Cycles'!$CI$13:$CO$13,1,EN95))^INT(INT(EN96/12)/INDEX('Lease Cycles'!$CP$13:$CV$13,1,EN95))/12),IF(INDEX('Lease Cycles'!$EF$13:$EL$13,1,EN95)=1,IF(AND('Lease Cycles'!$AZ$13&gt;=INDEX('Lease Cycles'!$BG$13:$BM$13,1,EN95),'Lease Cycles'!$AZ$13&lt;=EN$6),'Lease Cycles'!$C$13*'Lease Cycles'!$BA$13/12,IF(AND('Lease Cycles'!$AX$13&gt;=INDEX('Lease Cycles'!$BG$13:$BM$13,1,EN95),'Lease Cycles'!$AX$13&lt;=EN$6),'Lease Cycles'!$C$13*'Lease Cycles'!$AY$13/12,IF(AND('Lease Cycles'!$AV$13&gt;=INDEX('Lease Cycles'!$BG$13:$BM$13,1,EN95),'Lease Cycles'!$AV$13&lt;=EN$6),'Lease Cycles'!$C$13*'Lease Cycles'!$AW$13/12,IF(AND('Lease Cycles'!$AT$13&gt;=INDEX('Lease Cycles'!$BG$13:$BM$13,1,EN95),'Lease Cycles'!$AT$13&lt;=EN$6),'Lease Cycles'!$C$13*'Lease Cycles'!$AU$13/12,'Lease Cycles'!$C$13*INDEX('Lease Cycles'!$CB$13:$CH$13,1,EN95)*(1+INDEX('Lease Cycles'!$CI$13:$CO$13,1,EN95))^INT(INT(EN96/12)/INDEX('Lease Cycles'!$CP$13:$CV$13,1,EN95))/12)))),'Lease Cycles'!$C$13*INDEX('Lease Cycles'!$CB$13:$CH$13,1,EN95)*(1+INDEX('Lease Cycles'!$CI$13:$CO$13,1,EN95))^INT(INT(EN96/12)/INDEX('Lease Cycles'!$CP$13:$CV$13,1,EN95))/12))),IF('Lease Cycles'!$N$13=1,'Lease Cycles'!$C$13*'Lease Cycles'!$E$13*INDEX('Lease Cycles'!$HE$13:$HK$13,1,EN95)*(1+INDEX('Lease Cycles'!$GQ$13:$GW$13,1,EN95))^INT(INT((EN$6-INDEX('Lease Cycles'!$GJ$13:$GP$13,1,EN95))/12)/INDEX('Lease Cycles'!$GX$13:$HD$13,1,EN95))/12,0)))</f>
        <v>3701.910615926858</v>
      </c>
      <c r="EO98" s="28">
        <f>IF(EO95=0,IF('Lease Cycles'!$F$13&gt;0,'Lease Cycles'!$C$13*'Lease Cycles'!$E$13/12,0),IF(EO97=1,IF('Lease Cycles'!$AT$13&gt;=9999,'Lease Cycles'!$C$13*INDEX('Lease Cycles'!$CB$13:$CH$13,1,EO95)*(1+INDEX('Lease Cycles'!$CI$13:$CO$13,1,EO95))^INT(INT(EO96/12)/INDEX('Lease Cycles'!$CP$13:$CV$13,1,EO95))/12,IF(EO95=1,IF(EO96&gt;=INDEX('Lease Cycles'!$DK$13:$DQ$13,1,EO95),IF(EO$6&gt;='Lease Cycles'!$AZ$13,'Lease Cycles'!$C$13*'Lease Cycles'!$BA$13/12,IF(EO$6&gt;='Lease Cycles'!$AX$13,'Lease Cycles'!$C$13*'Lease Cycles'!$AY$13/12,IF(EO$6&gt;='Lease Cycles'!$AV$13,'Lease Cycles'!$C$13*'Lease Cycles'!$AW$13/12,IF(EO$6&gt;='Lease Cycles'!$AT$13,'Lease Cycles'!$C$13*'Lease Cycles'!$AU$13/12,'Lease Cycles'!$C$13*INDEX('Lease Cycles'!$CB$13:$CH$13,1,EO95)*(1+INDEX('Lease Cycles'!$CI$13:$CO$13,1,EO95))^INT(INT(EO96/12)/INDEX('Lease Cycles'!$CP$13:$CV$13,1,EO95))/12)))),'Lease Cycles'!$C$13*INDEX('Lease Cycles'!$CB$13:$CH$13,1,EO95)*(1+INDEX('Lease Cycles'!$CI$13:$CO$13,1,EO95))^INT(INT(EO96/12)/INDEX('Lease Cycles'!$CP$13:$CV$13,1,EO95))/12),IF(INDEX('Lease Cycles'!$EF$13:$EL$13,1,EO95)=1,IF(AND('Lease Cycles'!$AZ$13&gt;=INDEX('Lease Cycles'!$BG$13:$BM$13,1,EO95),'Lease Cycles'!$AZ$13&lt;=EO$6),'Lease Cycles'!$C$13*'Lease Cycles'!$BA$13/12,IF(AND('Lease Cycles'!$AX$13&gt;=INDEX('Lease Cycles'!$BG$13:$BM$13,1,EO95),'Lease Cycles'!$AX$13&lt;=EO$6),'Lease Cycles'!$C$13*'Lease Cycles'!$AY$13/12,IF(AND('Lease Cycles'!$AV$13&gt;=INDEX('Lease Cycles'!$BG$13:$BM$13,1,EO95),'Lease Cycles'!$AV$13&lt;=EO$6),'Lease Cycles'!$C$13*'Lease Cycles'!$AW$13/12,IF(AND('Lease Cycles'!$AT$13&gt;=INDEX('Lease Cycles'!$BG$13:$BM$13,1,EO95),'Lease Cycles'!$AT$13&lt;=EO$6),'Lease Cycles'!$C$13*'Lease Cycles'!$AU$13/12,'Lease Cycles'!$C$13*INDEX('Lease Cycles'!$CB$13:$CH$13,1,EO95)*(1+INDEX('Lease Cycles'!$CI$13:$CO$13,1,EO95))^INT(INT(EO96/12)/INDEX('Lease Cycles'!$CP$13:$CV$13,1,EO95))/12)))),'Lease Cycles'!$C$13*INDEX('Lease Cycles'!$CB$13:$CH$13,1,EO95)*(1+INDEX('Lease Cycles'!$CI$13:$CO$13,1,EO95))^INT(INT(EO96/12)/INDEX('Lease Cycles'!$CP$13:$CV$13,1,EO95))/12))),IF('Lease Cycles'!$N$13=1,'Lease Cycles'!$C$13*'Lease Cycles'!$E$13*INDEX('Lease Cycles'!$HE$13:$HK$13,1,EO95)*(1+INDEX('Lease Cycles'!$GQ$13:$GW$13,1,EO95))^INT(INT((EO$6-INDEX('Lease Cycles'!$GJ$13:$GP$13,1,EO95))/12)/INDEX('Lease Cycles'!$GX$13:$HD$13,1,EO95))/12,0)))</f>
        <v>3701.910615926858</v>
      </c>
      <c r="EP98" s="28">
        <f>IF(EP95=0,IF('Lease Cycles'!$F$13&gt;0,'Lease Cycles'!$C$13*'Lease Cycles'!$E$13/12,0),IF(EP97=1,IF('Lease Cycles'!$AT$13&gt;=9999,'Lease Cycles'!$C$13*INDEX('Lease Cycles'!$CB$13:$CH$13,1,EP95)*(1+INDEX('Lease Cycles'!$CI$13:$CO$13,1,EP95))^INT(INT(EP96/12)/INDEX('Lease Cycles'!$CP$13:$CV$13,1,EP95))/12,IF(EP95=1,IF(EP96&gt;=INDEX('Lease Cycles'!$DK$13:$DQ$13,1,EP95),IF(EP$6&gt;='Lease Cycles'!$AZ$13,'Lease Cycles'!$C$13*'Lease Cycles'!$BA$13/12,IF(EP$6&gt;='Lease Cycles'!$AX$13,'Lease Cycles'!$C$13*'Lease Cycles'!$AY$13/12,IF(EP$6&gt;='Lease Cycles'!$AV$13,'Lease Cycles'!$C$13*'Lease Cycles'!$AW$13/12,IF(EP$6&gt;='Lease Cycles'!$AT$13,'Lease Cycles'!$C$13*'Lease Cycles'!$AU$13/12,'Lease Cycles'!$C$13*INDEX('Lease Cycles'!$CB$13:$CH$13,1,EP95)*(1+INDEX('Lease Cycles'!$CI$13:$CO$13,1,EP95))^INT(INT(EP96/12)/INDEX('Lease Cycles'!$CP$13:$CV$13,1,EP95))/12)))),'Lease Cycles'!$C$13*INDEX('Lease Cycles'!$CB$13:$CH$13,1,EP95)*(1+INDEX('Lease Cycles'!$CI$13:$CO$13,1,EP95))^INT(INT(EP96/12)/INDEX('Lease Cycles'!$CP$13:$CV$13,1,EP95))/12),IF(INDEX('Lease Cycles'!$EF$13:$EL$13,1,EP95)=1,IF(AND('Lease Cycles'!$AZ$13&gt;=INDEX('Lease Cycles'!$BG$13:$BM$13,1,EP95),'Lease Cycles'!$AZ$13&lt;=EP$6),'Lease Cycles'!$C$13*'Lease Cycles'!$BA$13/12,IF(AND('Lease Cycles'!$AX$13&gt;=INDEX('Lease Cycles'!$BG$13:$BM$13,1,EP95),'Lease Cycles'!$AX$13&lt;=EP$6),'Lease Cycles'!$C$13*'Lease Cycles'!$AY$13/12,IF(AND('Lease Cycles'!$AV$13&gt;=INDEX('Lease Cycles'!$BG$13:$BM$13,1,EP95),'Lease Cycles'!$AV$13&lt;=EP$6),'Lease Cycles'!$C$13*'Lease Cycles'!$AW$13/12,IF(AND('Lease Cycles'!$AT$13&gt;=INDEX('Lease Cycles'!$BG$13:$BM$13,1,EP95),'Lease Cycles'!$AT$13&lt;=EP$6),'Lease Cycles'!$C$13*'Lease Cycles'!$AU$13/12,'Lease Cycles'!$C$13*INDEX('Lease Cycles'!$CB$13:$CH$13,1,EP95)*(1+INDEX('Lease Cycles'!$CI$13:$CO$13,1,EP95))^INT(INT(EP96/12)/INDEX('Lease Cycles'!$CP$13:$CV$13,1,EP95))/12)))),'Lease Cycles'!$C$13*INDEX('Lease Cycles'!$CB$13:$CH$13,1,EP95)*(1+INDEX('Lease Cycles'!$CI$13:$CO$13,1,EP95))^INT(INT(EP96/12)/INDEX('Lease Cycles'!$CP$13:$CV$13,1,EP95))/12))),IF('Lease Cycles'!$N$13=1,'Lease Cycles'!$C$13*'Lease Cycles'!$E$13*INDEX('Lease Cycles'!$HE$13:$HK$13,1,EP95)*(1+INDEX('Lease Cycles'!$GQ$13:$GW$13,1,EP95))^INT(INT((EP$6-INDEX('Lease Cycles'!$GJ$13:$GP$13,1,EP95))/12)/INDEX('Lease Cycles'!$GX$13:$HD$13,1,EP95))/12,0)))</f>
        <v>3701.910615926858</v>
      </c>
      <c r="EQ98" s="28">
        <f>IF(EQ95=0,IF('Lease Cycles'!$F$13&gt;0,'Lease Cycles'!$C$13*'Lease Cycles'!$E$13/12,0),IF(EQ97=1,IF('Lease Cycles'!$AT$13&gt;=9999,'Lease Cycles'!$C$13*INDEX('Lease Cycles'!$CB$13:$CH$13,1,EQ95)*(1+INDEX('Lease Cycles'!$CI$13:$CO$13,1,EQ95))^INT(INT(EQ96/12)/INDEX('Lease Cycles'!$CP$13:$CV$13,1,EQ95))/12,IF(EQ95=1,IF(EQ96&gt;=INDEX('Lease Cycles'!$DK$13:$DQ$13,1,EQ95),IF(EQ$6&gt;='Lease Cycles'!$AZ$13,'Lease Cycles'!$C$13*'Lease Cycles'!$BA$13/12,IF(EQ$6&gt;='Lease Cycles'!$AX$13,'Lease Cycles'!$C$13*'Lease Cycles'!$AY$13/12,IF(EQ$6&gt;='Lease Cycles'!$AV$13,'Lease Cycles'!$C$13*'Lease Cycles'!$AW$13/12,IF(EQ$6&gt;='Lease Cycles'!$AT$13,'Lease Cycles'!$C$13*'Lease Cycles'!$AU$13/12,'Lease Cycles'!$C$13*INDEX('Lease Cycles'!$CB$13:$CH$13,1,EQ95)*(1+INDEX('Lease Cycles'!$CI$13:$CO$13,1,EQ95))^INT(INT(EQ96/12)/INDEX('Lease Cycles'!$CP$13:$CV$13,1,EQ95))/12)))),'Lease Cycles'!$C$13*INDEX('Lease Cycles'!$CB$13:$CH$13,1,EQ95)*(1+INDEX('Lease Cycles'!$CI$13:$CO$13,1,EQ95))^INT(INT(EQ96/12)/INDEX('Lease Cycles'!$CP$13:$CV$13,1,EQ95))/12),IF(INDEX('Lease Cycles'!$EF$13:$EL$13,1,EQ95)=1,IF(AND('Lease Cycles'!$AZ$13&gt;=INDEX('Lease Cycles'!$BG$13:$BM$13,1,EQ95),'Lease Cycles'!$AZ$13&lt;=EQ$6),'Lease Cycles'!$C$13*'Lease Cycles'!$BA$13/12,IF(AND('Lease Cycles'!$AX$13&gt;=INDEX('Lease Cycles'!$BG$13:$BM$13,1,EQ95),'Lease Cycles'!$AX$13&lt;=EQ$6),'Lease Cycles'!$C$13*'Lease Cycles'!$AY$13/12,IF(AND('Lease Cycles'!$AV$13&gt;=INDEX('Lease Cycles'!$BG$13:$BM$13,1,EQ95),'Lease Cycles'!$AV$13&lt;=EQ$6),'Lease Cycles'!$C$13*'Lease Cycles'!$AW$13/12,IF(AND('Lease Cycles'!$AT$13&gt;=INDEX('Lease Cycles'!$BG$13:$BM$13,1,EQ95),'Lease Cycles'!$AT$13&lt;=EQ$6),'Lease Cycles'!$C$13*'Lease Cycles'!$AU$13/12,'Lease Cycles'!$C$13*INDEX('Lease Cycles'!$CB$13:$CH$13,1,EQ95)*(1+INDEX('Lease Cycles'!$CI$13:$CO$13,1,EQ95))^INT(INT(EQ96/12)/INDEX('Lease Cycles'!$CP$13:$CV$13,1,EQ95))/12)))),'Lease Cycles'!$C$13*INDEX('Lease Cycles'!$CB$13:$CH$13,1,EQ95)*(1+INDEX('Lease Cycles'!$CI$13:$CO$13,1,EQ95))^INT(INT(EQ96/12)/INDEX('Lease Cycles'!$CP$13:$CV$13,1,EQ95))/12))),IF('Lease Cycles'!$N$13=1,'Lease Cycles'!$C$13*'Lease Cycles'!$E$13*INDEX('Lease Cycles'!$HE$13:$HK$13,1,EQ95)*(1+INDEX('Lease Cycles'!$GQ$13:$GW$13,1,EQ95))^INT(INT((EQ$6-INDEX('Lease Cycles'!$GJ$13:$GP$13,1,EQ95))/12)/INDEX('Lease Cycles'!$GX$13:$HD$13,1,EQ95))/12,0)))</f>
        <v>3701.910615926858</v>
      </c>
      <c r="ER98" s="28">
        <f>IF(ER95=0,IF('Lease Cycles'!$F$13&gt;0,'Lease Cycles'!$C$13*'Lease Cycles'!$E$13/12,0),IF(ER97=1,IF('Lease Cycles'!$AT$13&gt;=9999,'Lease Cycles'!$C$13*INDEX('Lease Cycles'!$CB$13:$CH$13,1,ER95)*(1+INDEX('Lease Cycles'!$CI$13:$CO$13,1,ER95))^INT(INT(ER96/12)/INDEX('Lease Cycles'!$CP$13:$CV$13,1,ER95))/12,IF(ER95=1,IF(ER96&gt;=INDEX('Lease Cycles'!$DK$13:$DQ$13,1,ER95),IF(ER$6&gt;='Lease Cycles'!$AZ$13,'Lease Cycles'!$C$13*'Lease Cycles'!$BA$13/12,IF(ER$6&gt;='Lease Cycles'!$AX$13,'Lease Cycles'!$C$13*'Lease Cycles'!$AY$13/12,IF(ER$6&gt;='Lease Cycles'!$AV$13,'Lease Cycles'!$C$13*'Lease Cycles'!$AW$13/12,IF(ER$6&gt;='Lease Cycles'!$AT$13,'Lease Cycles'!$C$13*'Lease Cycles'!$AU$13/12,'Lease Cycles'!$C$13*INDEX('Lease Cycles'!$CB$13:$CH$13,1,ER95)*(1+INDEX('Lease Cycles'!$CI$13:$CO$13,1,ER95))^INT(INT(ER96/12)/INDEX('Lease Cycles'!$CP$13:$CV$13,1,ER95))/12)))),'Lease Cycles'!$C$13*INDEX('Lease Cycles'!$CB$13:$CH$13,1,ER95)*(1+INDEX('Lease Cycles'!$CI$13:$CO$13,1,ER95))^INT(INT(ER96/12)/INDEX('Lease Cycles'!$CP$13:$CV$13,1,ER95))/12),IF(INDEX('Lease Cycles'!$EF$13:$EL$13,1,ER95)=1,IF(AND('Lease Cycles'!$AZ$13&gt;=INDEX('Lease Cycles'!$BG$13:$BM$13,1,ER95),'Lease Cycles'!$AZ$13&lt;=ER$6),'Lease Cycles'!$C$13*'Lease Cycles'!$BA$13/12,IF(AND('Lease Cycles'!$AX$13&gt;=INDEX('Lease Cycles'!$BG$13:$BM$13,1,ER95),'Lease Cycles'!$AX$13&lt;=ER$6),'Lease Cycles'!$C$13*'Lease Cycles'!$AY$13/12,IF(AND('Lease Cycles'!$AV$13&gt;=INDEX('Lease Cycles'!$BG$13:$BM$13,1,ER95),'Lease Cycles'!$AV$13&lt;=ER$6),'Lease Cycles'!$C$13*'Lease Cycles'!$AW$13/12,IF(AND('Lease Cycles'!$AT$13&gt;=INDEX('Lease Cycles'!$BG$13:$BM$13,1,ER95),'Lease Cycles'!$AT$13&lt;=ER$6),'Lease Cycles'!$C$13*'Lease Cycles'!$AU$13/12,'Lease Cycles'!$C$13*INDEX('Lease Cycles'!$CB$13:$CH$13,1,ER95)*(1+INDEX('Lease Cycles'!$CI$13:$CO$13,1,ER95))^INT(INT(ER96/12)/INDEX('Lease Cycles'!$CP$13:$CV$13,1,ER95))/12)))),'Lease Cycles'!$C$13*INDEX('Lease Cycles'!$CB$13:$CH$13,1,ER95)*(1+INDEX('Lease Cycles'!$CI$13:$CO$13,1,ER95))^INT(INT(ER96/12)/INDEX('Lease Cycles'!$CP$13:$CV$13,1,ER95))/12))),IF('Lease Cycles'!$N$13=1,'Lease Cycles'!$C$13*'Lease Cycles'!$E$13*INDEX('Lease Cycles'!$HE$13:$HK$13,1,ER95)*(1+INDEX('Lease Cycles'!$GQ$13:$GW$13,1,ER95))^INT(INT((ER$6-INDEX('Lease Cycles'!$GJ$13:$GP$13,1,ER95))/12)/INDEX('Lease Cycles'!$GX$13:$HD$13,1,ER95))/12,0)))</f>
        <v>3812.967934404664</v>
      </c>
      <c r="ES98" s="28">
        <f>IF(ES95=0,IF('Lease Cycles'!$F$13&gt;0,'Lease Cycles'!$C$13*'Lease Cycles'!$E$13/12,0),IF(ES97=1,IF('Lease Cycles'!$AT$13&gt;=9999,'Lease Cycles'!$C$13*INDEX('Lease Cycles'!$CB$13:$CH$13,1,ES95)*(1+INDEX('Lease Cycles'!$CI$13:$CO$13,1,ES95))^INT(INT(ES96/12)/INDEX('Lease Cycles'!$CP$13:$CV$13,1,ES95))/12,IF(ES95=1,IF(ES96&gt;=INDEX('Lease Cycles'!$DK$13:$DQ$13,1,ES95),IF(ES$6&gt;='Lease Cycles'!$AZ$13,'Lease Cycles'!$C$13*'Lease Cycles'!$BA$13/12,IF(ES$6&gt;='Lease Cycles'!$AX$13,'Lease Cycles'!$C$13*'Lease Cycles'!$AY$13/12,IF(ES$6&gt;='Lease Cycles'!$AV$13,'Lease Cycles'!$C$13*'Lease Cycles'!$AW$13/12,IF(ES$6&gt;='Lease Cycles'!$AT$13,'Lease Cycles'!$C$13*'Lease Cycles'!$AU$13/12,'Lease Cycles'!$C$13*INDEX('Lease Cycles'!$CB$13:$CH$13,1,ES95)*(1+INDEX('Lease Cycles'!$CI$13:$CO$13,1,ES95))^INT(INT(ES96/12)/INDEX('Lease Cycles'!$CP$13:$CV$13,1,ES95))/12)))),'Lease Cycles'!$C$13*INDEX('Lease Cycles'!$CB$13:$CH$13,1,ES95)*(1+INDEX('Lease Cycles'!$CI$13:$CO$13,1,ES95))^INT(INT(ES96/12)/INDEX('Lease Cycles'!$CP$13:$CV$13,1,ES95))/12),IF(INDEX('Lease Cycles'!$EF$13:$EL$13,1,ES95)=1,IF(AND('Lease Cycles'!$AZ$13&gt;=INDEX('Lease Cycles'!$BG$13:$BM$13,1,ES95),'Lease Cycles'!$AZ$13&lt;=ES$6),'Lease Cycles'!$C$13*'Lease Cycles'!$BA$13/12,IF(AND('Lease Cycles'!$AX$13&gt;=INDEX('Lease Cycles'!$BG$13:$BM$13,1,ES95),'Lease Cycles'!$AX$13&lt;=ES$6),'Lease Cycles'!$C$13*'Lease Cycles'!$AY$13/12,IF(AND('Lease Cycles'!$AV$13&gt;=INDEX('Lease Cycles'!$BG$13:$BM$13,1,ES95),'Lease Cycles'!$AV$13&lt;=ES$6),'Lease Cycles'!$C$13*'Lease Cycles'!$AW$13/12,IF(AND('Lease Cycles'!$AT$13&gt;=INDEX('Lease Cycles'!$BG$13:$BM$13,1,ES95),'Lease Cycles'!$AT$13&lt;=ES$6),'Lease Cycles'!$C$13*'Lease Cycles'!$AU$13/12,'Lease Cycles'!$C$13*INDEX('Lease Cycles'!$CB$13:$CH$13,1,ES95)*(1+INDEX('Lease Cycles'!$CI$13:$CO$13,1,ES95))^INT(INT(ES96/12)/INDEX('Lease Cycles'!$CP$13:$CV$13,1,ES95))/12)))),'Lease Cycles'!$C$13*INDEX('Lease Cycles'!$CB$13:$CH$13,1,ES95)*(1+INDEX('Lease Cycles'!$CI$13:$CO$13,1,ES95))^INT(INT(ES96/12)/INDEX('Lease Cycles'!$CP$13:$CV$13,1,ES95))/12))),IF('Lease Cycles'!$N$13=1,'Lease Cycles'!$C$13*'Lease Cycles'!$E$13*INDEX('Lease Cycles'!$HE$13:$HK$13,1,ES95)*(1+INDEX('Lease Cycles'!$GQ$13:$GW$13,1,ES95))^INT(INT((ES$6-INDEX('Lease Cycles'!$GJ$13:$GP$13,1,ES95))/12)/INDEX('Lease Cycles'!$GX$13:$HD$13,1,ES95))/12,0)))</f>
        <v>3812.967934404664</v>
      </c>
      <c r="ET98" s="28">
        <f>IF(ET95=0,IF('Lease Cycles'!$F$13&gt;0,'Lease Cycles'!$C$13*'Lease Cycles'!$E$13/12,0),IF(ET97=1,IF('Lease Cycles'!$AT$13&gt;=9999,'Lease Cycles'!$C$13*INDEX('Lease Cycles'!$CB$13:$CH$13,1,ET95)*(1+INDEX('Lease Cycles'!$CI$13:$CO$13,1,ET95))^INT(INT(ET96/12)/INDEX('Lease Cycles'!$CP$13:$CV$13,1,ET95))/12,IF(ET95=1,IF(ET96&gt;=INDEX('Lease Cycles'!$DK$13:$DQ$13,1,ET95),IF(ET$6&gt;='Lease Cycles'!$AZ$13,'Lease Cycles'!$C$13*'Lease Cycles'!$BA$13/12,IF(ET$6&gt;='Lease Cycles'!$AX$13,'Lease Cycles'!$C$13*'Lease Cycles'!$AY$13/12,IF(ET$6&gt;='Lease Cycles'!$AV$13,'Lease Cycles'!$C$13*'Lease Cycles'!$AW$13/12,IF(ET$6&gt;='Lease Cycles'!$AT$13,'Lease Cycles'!$C$13*'Lease Cycles'!$AU$13/12,'Lease Cycles'!$C$13*INDEX('Lease Cycles'!$CB$13:$CH$13,1,ET95)*(1+INDEX('Lease Cycles'!$CI$13:$CO$13,1,ET95))^INT(INT(ET96/12)/INDEX('Lease Cycles'!$CP$13:$CV$13,1,ET95))/12)))),'Lease Cycles'!$C$13*INDEX('Lease Cycles'!$CB$13:$CH$13,1,ET95)*(1+INDEX('Lease Cycles'!$CI$13:$CO$13,1,ET95))^INT(INT(ET96/12)/INDEX('Lease Cycles'!$CP$13:$CV$13,1,ET95))/12),IF(INDEX('Lease Cycles'!$EF$13:$EL$13,1,ET95)=1,IF(AND('Lease Cycles'!$AZ$13&gt;=INDEX('Lease Cycles'!$BG$13:$BM$13,1,ET95),'Lease Cycles'!$AZ$13&lt;=ET$6),'Lease Cycles'!$C$13*'Lease Cycles'!$BA$13/12,IF(AND('Lease Cycles'!$AX$13&gt;=INDEX('Lease Cycles'!$BG$13:$BM$13,1,ET95),'Lease Cycles'!$AX$13&lt;=ET$6),'Lease Cycles'!$C$13*'Lease Cycles'!$AY$13/12,IF(AND('Lease Cycles'!$AV$13&gt;=INDEX('Lease Cycles'!$BG$13:$BM$13,1,ET95),'Lease Cycles'!$AV$13&lt;=ET$6),'Lease Cycles'!$C$13*'Lease Cycles'!$AW$13/12,IF(AND('Lease Cycles'!$AT$13&gt;=INDEX('Lease Cycles'!$BG$13:$BM$13,1,ET95),'Lease Cycles'!$AT$13&lt;=ET$6),'Lease Cycles'!$C$13*'Lease Cycles'!$AU$13/12,'Lease Cycles'!$C$13*INDEX('Lease Cycles'!$CB$13:$CH$13,1,ET95)*(1+INDEX('Lease Cycles'!$CI$13:$CO$13,1,ET95))^INT(INT(ET96/12)/INDEX('Lease Cycles'!$CP$13:$CV$13,1,ET95))/12)))),'Lease Cycles'!$C$13*INDEX('Lease Cycles'!$CB$13:$CH$13,1,ET95)*(1+INDEX('Lease Cycles'!$CI$13:$CO$13,1,ET95))^INT(INT(ET96/12)/INDEX('Lease Cycles'!$CP$13:$CV$13,1,ET95))/12))),IF('Lease Cycles'!$N$13=1,'Lease Cycles'!$C$13*'Lease Cycles'!$E$13*INDEX('Lease Cycles'!$HE$13:$HK$13,1,ET95)*(1+INDEX('Lease Cycles'!$GQ$13:$GW$13,1,ET95))^INT(INT((ET$6-INDEX('Lease Cycles'!$GJ$13:$GP$13,1,ET95))/12)/INDEX('Lease Cycles'!$GX$13:$HD$13,1,ET95))/12,0)))</f>
        <v>3812.967934404664</v>
      </c>
    </row>
    <row r="99">
      <c r="A99" s="103">
        <v>6</v>
      </c>
      <c r="B99" s="23" t="str">
        <f>IF('Lease Cycles'!$B$13="","(empty slot)",'Lease Cycles'!$B$13)</f>
        <v>Sunfield Cleaners</v>
      </c>
      <c r="C99" s="23" t="s">
        <v>679</v>
      </c>
      <c r="D99" s="104" t="s">
        <v>680</v>
      </c>
      <c r="E99" s="25">
        <f>'Lease Cycles'!$AL$13</f>
        <v>0</v>
      </c>
      <c r="S99" s="28">
        <f>IF(S97=1,IF(INDEX('Lease Cycles'!$EF$13:$EL$13,1,S95)=1,'Lease Cycles'!$C$13*INDEX('Lease Cycles'!$ET$13:$EZ$13,1,S95)*(1+'Lease Cycles'!$V$13)^INT(INT(S96/12)/'Lease Cycles'!$W$13)/12,0),0)</f>
        <v>0</v>
      </c>
      <c r="T99" s="28">
        <f>IF(T97=1,IF(INDEX('Lease Cycles'!$EF$13:$EL$13,1,T95)=1,'Lease Cycles'!$C$13*INDEX('Lease Cycles'!$ET$13:$EZ$13,1,T95)*(1+'Lease Cycles'!$V$13)^INT(INT(T96/12)/'Lease Cycles'!$W$13)/12,0),0)</f>
        <v>0</v>
      </c>
      <c r="U99" s="28">
        <f>IF(U97=1,IF(INDEX('Lease Cycles'!$EF$13:$EL$13,1,U95)=1,'Lease Cycles'!$C$13*INDEX('Lease Cycles'!$ET$13:$EZ$13,1,U95)*(1+'Lease Cycles'!$V$13)^INT(INT(U96/12)/'Lease Cycles'!$W$13)/12,0),0)</f>
        <v>0</v>
      </c>
      <c r="V99" s="28">
        <f>IF(V97=1,IF(INDEX('Lease Cycles'!$EF$13:$EL$13,1,V95)=1,'Lease Cycles'!$C$13*INDEX('Lease Cycles'!$ET$13:$EZ$13,1,V95)*(1+'Lease Cycles'!$V$13)^INT(INT(V96/12)/'Lease Cycles'!$W$13)/12,0),0)</f>
        <v>0</v>
      </c>
      <c r="W99" s="28">
        <f>IF(W97=1,IF(INDEX('Lease Cycles'!$EF$13:$EL$13,1,W95)=1,'Lease Cycles'!$C$13*INDEX('Lease Cycles'!$ET$13:$EZ$13,1,W95)*(1+'Lease Cycles'!$V$13)^INT(INT(W96/12)/'Lease Cycles'!$W$13)/12,0),0)</f>
        <v>0</v>
      </c>
      <c r="X99" s="28">
        <f>IF(X97=1,IF(INDEX('Lease Cycles'!$EF$13:$EL$13,1,X95)=1,'Lease Cycles'!$C$13*INDEX('Lease Cycles'!$ET$13:$EZ$13,1,X95)*(1+'Lease Cycles'!$V$13)^INT(INT(X96/12)/'Lease Cycles'!$W$13)/12,0),0)</f>
        <v>0</v>
      </c>
      <c r="Y99" s="28">
        <f>IF(Y97=1,IF(INDEX('Lease Cycles'!$EF$13:$EL$13,1,Y95)=1,'Lease Cycles'!$C$13*INDEX('Lease Cycles'!$ET$13:$EZ$13,1,Y95)*(1+'Lease Cycles'!$V$13)^INT(INT(Y96/12)/'Lease Cycles'!$W$13)/12,0),0)</f>
        <v>0</v>
      </c>
      <c r="Z99" s="28">
        <f>IF(Z97=1,IF(INDEX('Lease Cycles'!$EF$13:$EL$13,1,Z95)=1,'Lease Cycles'!$C$13*INDEX('Lease Cycles'!$ET$13:$EZ$13,1,Z95)*(1+'Lease Cycles'!$V$13)^INT(INT(Z96/12)/'Lease Cycles'!$W$13)/12,0),0)</f>
        <v>0</v>
      </c>
      <c r="AA99" s="28">
        <f>IF(AA97=1,IF(INDEX('Lease Cycles'!$EF$13:$EL$13,1,AA95)=1,'Lease Cycles'!$C$13*INDEX('Lease Cycles'!$ET$13:$EZ$13,1,AA95)*(1+'Lease Cycles'!$V$13)^INT(INT(AA96/12)/'Lease Cycles'!$W$13)/12,0),0)</f>
        <v>0</v>
      </c>
      <c r="AB99" s="28">
        <f>IF(AB97=1,IF(INDEX('Lease Cycles'!$EF$13:$EL$13,1,AB95)=1,'Lease Cycles'!$C$13*INDEX('Lease Cycles'!$ET$13:$EZ$13,1,AB95)*(1+'Lease Cycles'!$V$13)^INT(INT(AB96/12)/'Lease Cycles'!$W$13)/12,0),0)</f>
        <v>0</v>
      </c>
      <c r="AC99" s="28">
        <f>IF(AC97=1,IF(INDEX('Lease Cycles'!$EF$13:$EL$13,1,AC95)=1,'Lease Cycles'!$C$13*INDEX('Lease Cycles'!$ET$13:$EZ$13,1,AC95)*(1+'Lease Cycles'!$V$13)^INT(INT(AC96/12)/'Lease Cycles'!$W$13)/12,0),0)</f>
        <v>0</v>
      </c>
      <c r="AD99" s="28">
        <f>IF(AD97=1,IF(INDEX('Lease Cycles'!$EF$13:$EL$13,1,AD95)=1,'Lease Cycles'!$C$13*INDEX('Lease Cycles'!$ET$13:$EZ$13,1,AD95)*(1+'Lease Cycles'!$V$13)^INT(INT(AD96/12)/'Lease Cycles'!$W$13)/12,0),0)</f>
        <v>0</v>
      </c>
      <c r="AE99" s="28">
        <f>IF(AE97=1,IF(INDEX('Lease Cycles'!$EF$13:$EL$13,1,AE95)=1,'Lease Cycles'!$C$13*INDEX('Lease Cycles'!$ET$13:$EZ$13,1,AE95)*(1+'Lease Cycles'!$V$13)^INT(INT(AE96/12)/'Lease Cycles'!$W$13)/12,0),0)</f>
        <v>0</v>
      </c>
      <c r="AF99" s="28">
        <f>IF(AF97=1,IF(INDEX('Lease Cycles'!$EF$13:$EL$13,1,AF95)=1,'Lease Cycles'!$C$13*INDEX('Lease Cycles'!$ET$13:$EZ$13,1,AF95)*(1+'Lease Cycles'!$V$13)^INT(INT(AF96/12)/'Lease Cycles'!$W$13)/12,0),0)</f>
        <v>0</v>
      </c>
      <c r="AG99" s="28">
        <f>IF(AG97=1,IF(INDEX('Lease Cycles'!$EF$13:$EL$13,1,AG95)=1,'Lease Cycles'!$C$13*INDEX('Lease Cycles'!$ET$13:$EZ$13,1,AG95)*(1+'Lease Cycles'!$V$13)^INT(INT(AG96/12)/'Lease Cycles'!$W$13)/12,0),0)</f>
        <v>0</v>
      </c>
      <c r="AH99" s="28">
        <f>IF(AH97=1,IF(INDEX('Lease Cycles'!$EF$13:$EL$13,1,AH95)=1,'Lease Cycles'!$C$13*INDEX('Lease Cycles'!$ET$13:$EZ$13,1,AH95)*(1+'Lease Cycles'!$V$13)^INT(INT(AH96/12)/'Lease Cycles'!$W$13)/12,0),0)</f>
        <v>0</v>
      </c>
      <c r="AI99" s="28">
        <f>IF(AI97=1,IF(INDEX('Lease Cycles'!$EF$13:$EL$13,1,AI95)=1,'Lease Cycles'!$C$13*INDEX('Lease Cycles'!$ET$13:$EZ$13,1,AI95)*(1+'Lease Cycles'!$V$13)^INT(INT(AI96/12)/'Lease Cycles'!$W$13)/12,0),0)</f>
        <v>0</v>
      </c>
      <c r="AJ99" s="28">
        <f>IF(AJ97=1,IF(INDEX('Lease Cycles'!$EF$13:$EL$13,1,AJ95)=1,'Lease Cycles'!$C$13*INDEX('Lease Cycles'!$ET$13:$EZ$13,1,AJ95)*(1+'Lease Cycles'!$V$13)^INT(INT(AJ96/12)/'Lease Cycles'!$W$13)/12,0),0)</f>
        <v>0</v>
      </c>
      <c r="AK99" s="28">
        <f>IF(AK97=1,IF(INDEX('Lease Cycles'!$EF$13:$EL$13,1,AK95)=1,'Lease Cycles'!$C$13*INDEX('Lease Cycles'!$ET$13:$EZ$13,1,AK95)*(1+'Lease Cycles'!$V$13)^INT(INT(AK96/12)/'Lease Cycles'!$W$13)/12,0),0)</f>
        <v>0</v>
      </c>
      <c r="AL99" s="28">
        <f>IF(AL97=1,IF(INDEX('Lease Cycles'!$EF$13:$EL$13,1,AL95)=1,'Lease Cycles'!$C$13*INDEX('Lease Cycles'!$ET$13:$EZ$13,1,AL95)*(1+'Lease Cycles'!$V$13)^INT(INT(AL96/12)/'Lease Cycles'!$W$13)/12,0),0)</f>
        <v>0</v>
      </c>
      <c r="AM99" s="28">
        <f>IF(AM97=1,IF(INDEX('Lease Cycles'!$EF$13:$EL$13,1,AM95)=1,'Lease Cycles'!$C$13*INDEX('Lease Cycles'!$ET$13:$EZ$13,1,AM95)*(1+'Lease Cycles'!$V$13)^INT(INT(AM96/12)/'Lease Cycles'!$W$13)/12,0),0)</f>
        <v>0</v>
      </c>
      <c r="AN99" s="28">
        <f>IF(AN97=1,IF(INDEX('Lease Cycles'!$EF$13:$EL$13,1,AN95)=1,'Lease Cycles'!$C$13*INDEX('Lease Cycles'!$ET$13:$EZ$13,1,AN95)*(1+'Lease Cycles'!$V$13)^INT(INT(AN96/12)/'Lease Cycles'!$W$13)/12,0),0)</f>
        <v>0</v>
      </c>
      <c r="AO99" s="28">
        <f>IF(AO97=1,IF(INDEX('Lease Cycles'!$EF$13:$EL$13,1,AO95)=1,'Lease Cycles'!$C$13*INDEX('Lease Cycles'!$ET$13:$EZ$13,1,AO95)*(1+'Lease Cycles'!$V$13)^INT(INT(AO96/12)/'Lease Cycles'!$W$13)/12,0),0)</f>
        <v>0</v>
      </c>
      <c r="AP99" s="28">
        <f>IF(AP97=1,IF(INDEX('Lease Cycles'!$EF$13:$EL$13,1,AP95)=1,'Lease Cycles'!$C$13*INDEX('Lease Cycles'!$ET$13:$EZ$13,1,AP95)*(1+'Lease Cycles'!$V$13)^INT(INT(AP96/12)/'Lease Cycles'!$W$13)/12,0),0)</f>
        <v>0</v>
      </c>
      <c r="AQ99" s="28">
        <f>IF(AQ97=1,IF(INDEX('Lease Cycles'!$EF$13:$EL$13,1,AQ95)=1,'Lease Cycles'!$C$13*INDEX('Lease Cycles'!$ET$13:$EZ$13,1,AQ95)*(1+'Lease Cycles'!$V$13)^INT(INT(AQ96/12)/'Lease Cycles'!$W$13)/12,0),0)</f>
        <v>0</v>
      </c>
      <c r="AR99" s="28">
        <f>IF(AR97=1,IF(INDEX('Lease Cycles'!$EF$13:$EL$13,1,AR95)=1,'Lease Cycles'!$C$13*INDEX('Lease Cycles'!$ET$13:$EZ$13,1,AR95)*(1+'Lease Cycles'!$V$13)^INT(INT(AR96/12)/'Lease Cycles'!$W$13)/12,0),0)</f>
        <v>0</v>
      </c>
      <c r="AS99" s="28">
        <f>IF(AS97=1,IF(INDEX('Lease Cycles'!$EF$13:$EL$13,1,AS95)=1,'Lease Cycles'!$C$13*INDEX('Lease Cycles'!$ET$13:$EZ$13,1,AS95)*(1+'Lease Cycles'!$V$13)^INT(INT(AS96/12)/'Lease Cycles'!$W$13)/12,0),0)</f>
        <v>0</v>
      </c>
      <c r="AT99" s="28">
        <f>IF(AT97=1,IF(INDEX('Lease Cycles'!$EF$13:$EL$13,1,AT95)=1,'Lease Cycles'!$C$13*INDEX('Lease Cycles'!$ET$13:$EZ$13,1,AT95)*(1+'Lease Cycles'!$V$13)^INT(INT(AT96/12)/'Lease Cycles'!$W$13)/12,0),0)</f>
        <v>0</v>
      </c>
      <c r="AU99" s="28">
        <f>IF(AU97=1,IF(INDEX('Lease Cycles'!$EF$13:$EL$13,1,AU95)=1,'Lease Cycles'!$C$13*INDEX('Lease Cycles'!$ET$13:$EZ$13,1,AU95)*(1+'Lease Cycles'!$V$13)^INT(INT(AU96/12)/'Lease Cycles'!$W$13)/12,0),0)</f>
        <v>0</v>
      </c>
      <c r="AV99" s="28">
        <f>IF(AV97=1,IF(INDEX('Lease Cycles'!$EF$13:$EL$13,1,AV95)=1,'Lease Cycles'!$C$13*INDEX('Lease Cycles'!$ET$13:$EZ$13,1,AV95)*(1+'Lease Cycles'!$V$13)^INT(INT(AV96/12)/'Lease Cycles'!$W$13)/12,0),0)</f>
        <v>0</v>
      </c>
      <c r="AW99" s="28">
        <f>IF(AW97=1,IF(INDEX('Lease Cycles'!$EF$13:$EL$13,1,AW95)=1,'Lease Cycles'!$C$13*INDEX('Lease Cycles'!$ET$13:$EZ$13,1,AW95)*(1+'Lease Cycles'!$V$13)^INT(INT(AW96/12)/'Lease Cycles'!$W$13)/12,0),0)</f>
        <v>0</v>
      </c>
      <c r="AX99" s="28">
        <f>IF(AX97=1,IF(INDEX('Lease Cycles'!$EF$13:$EL$13,1,AX95)=1,'Lease Cycles'!$C$13*INDEX('Lease Cycles'!$ET$13:$EZ$13,1,AX95)*(1+'Lease Cycles'!$V$13)^INT(INT(AX96/12)/'Lease Cycles'!$W$13)/12,0),0)</f>
        <v>0</v>
      </c>
      <c r="AY99" s="28">
        <f>IF(AY97=1,IF(INDEX('Lease Cycles'!$EF$13:$EL$13,1,AY95)=1,'Lease Cycles'!$C$13*INDEX('Lease Cycles'!$ET$13:$EZ$13,1,AY95)*(1+'Lease Cycles'!$V$13)^INT(INT(AY96/12)/'Lease Cycles'!$W$13)/12,0),0)</f>
        <v>0</v>
      </c>
      <c r="AZ99" s="28">
        <f>IF(AZ97=1,IF(INDEX('Lease Cycles'!$EF$13:$EL$13,1,AZ95)=1,'Lease Cycles'!$C$13*INDEX('Lease Cycles'!$ET$13:$EZ$13,1,AZ95)*(1+'Lease Cycles'!$V$13)^INT(INT(AZ96/12)/'Lease Cycles'!$W$13)/12,0),0)</f>
        <v>0</v>
      </c>
      <c r="BA99" s="28">
        <f>IF(BA97=1,IF(INDEX('Lease Cycles'!$EF$13:$EL$13,1,BA95)=1,'Lease Cycles'!$C$13*INDEX('Lease Cycles'!$ET$13:$EZ$13,1,BA95)*(1+'Lease Cycles'!$V$13)^INT(INT(BA96/12)/'Lease Cycles'!$W$13)/12,0),0)</f>
        <v>0</v>
      </c>
      <c r="BB99" s="28">
        <f>IF(BB97=1,IF(INDEX('Lease Cycles'!$EF$13:$EL$13,1,BB95)=1,'Lease Cycles'!$C$13*INDEX('Lease Cycles'!$ET$13:$EZ$13,1,BB95)*(1+'Lease Cycles'!$V$13)^INT(INT(BB96/12)/'Lease Cycles'!$W$13)/12,0),0)</f>
        <v>0</v>
      </c>
      <c r="BC99" s="28">
        <f>IF(BC97=1,IF(INDEX('Lease Cycles'!$EF$13:$EL$13,1,BC95)=1,'Lease Cycles'!$C$13*INDEX('Lease Cycles'!$ET$13:$EZ$13,1,BC95)*(1+'Lease Cycles'!$V$13)^INT(INT(BC96/12)/'Lease Cycles'!$W$13)/12,0),0)</f>
        <v>0</v>
      </c>
      <c r="BD99" s="28">
        <f>IF(BD97=1,IF(INDEX('Lease Cycles'!$EF$13:$EL$13,1,BD95)=1,'Lease Cycles'!$C$13*INDEX('Lease Cycles'!$ET$13:$EZ$13,1,BD95)*(1+'Lease Cycles'!$V$13)^INT(INT(BD96/12)/'Lease Cycles'!$W$13)/12,0),0)</f>
        <v>0</v>
      </c>
      <c r="BE99" s="28">
        <f>IF(BE97=1,IF(INDEX('Lease Cycles'!$EF$13:$EL$13,1,BE95)=1,'Lease Cycles'!$C$13*INDEX('Lease Cycles'!$ET$13:$EZ$13,1,BE95)*(1+'Lease Cycles'!$V$13)^INT(INT(BE96/12)/'Lease Cycles'!$W$13)/12,0),0)</f>
        <v>0</v>
      </c>
      <c r="BF99" s="28">
        <f>IF(BF97=1,IF(INDEX('Lease Cycles'!$EF$13:$EL$13,1,BF95)=1,'Lease Cycles'!$C$13*INDEX('Lease Cycles'!$ET$13:$EZ$13,1,BF95)*(1+'Lease Cycles'!$V$13)^INT(INT(BF96/12)/'Lease Cycles'!$W$13)/12,0),0)</f>
        <v>0</v>
      </c>
      <c r="BG99" s="28">
        <f>IF(BG97=1,IF(INDEX('Lease Cycles'!$EF$13:$EL$13,1,BG95)=1,'Lease Cycles'!$C$13*INDEX('Lease Cycles'!$ET$13:$EZ$13,1,BG95)*(1+'Lease Cycles'!$V$13)^INT(INT(BG96/12)/'Lease Cycles'!$W$13)/12,0),0)</f>
        <v>0</v>
      </c>
      <c r="BH99" s="28">
        <f>IF(BH97=1,IF(INDEX('Lease Cycles'!$EF$13:$EL$13,1,BH95)=1,'Lease Cycles'!$C$13*INDEX('Lease Cycles'!$ET$13:$EZ$13,1,BH95)*(1+'Lease Cycles'!$V$13)^INT(INT(BH96/12)/'Lease Cycles'!$W$13)/12,0),0)</f>
        <v>0</v>
      </c>
      <c r="BI99" s="28">
        <f>IF(BI97=1,IF(INDEX('Lease Cycles'!$EF$13:$EL$13,1,BI95)=1,'Lease Cycles'!$C$13*INDEX('Lease Cycles'!$ET$13:$EZ$13,1,BI95)*(1+'Lease Cycles'!$V$13)^INT(INT(BI96/12)/'Lease Cycles'!$W$13)/12,0),0)</f>
        <v>0</v>
      </c>
      <c r="BJ99" s="28">
        <f>IF(BJ97=1,IF(INDEX('Lease Cycles'!$EF$13:$EL$13,1,BJ95)=1,'Lease Cycles'!$C$13*INDEX('Lease Cycles'!$ET$13:$EZ$13,1,BJ95)*(1+'Lease Cycles'!$V$13)^INT(INT(BJ96/12)/'Lease Cycles'!$W$13)/12,0),0)</f>
        <v>0</v>
      </c>
      <c r="BK99" s="28">
        <f>IF(BK97=1,IF(INDEX('Lease Cycles'!$EF$13:$EL$13,1,BK95)=1,'Lease Cycles'!$C$13*INDEX('Lease Cycles'!$ET$13:$EZ$13,1,BK95)*(1+'Lease Cycles'!$V$13)^INT(INT(BK96/12)/'Lease Cycles'!$W$13)/12,0),0)</f>
        <v>0</v>
      </c>
      <c r="BL99" s="28">
        <f>IF(BL97=1,IF(INDEX('Lease Cycles'!$EF$13:$EL$13,1,BL95)=1,'Lease Cycles'!$C$13*INDEX('Lease Cycles'!$ET$13:$EZ$13,1,BL95)*(1+'Lease Cycles'!$V$13)^INT(INT(BL96/12)/'Lease Cycles'!$W$13)/12,0),0)</f>
        <v>0</v>
      </c>
      <c r="BM99" s="28">
        <f>IF(BM97=1,IF(INDEX('Lease Cycles'!$EF$13:$EL$13,1,BM95)=1,'Lease Cycles'!$C$13*INDEX('Lease Cycles'!$ET$13:$EZ$13,1,BM95)*(1+'Lease Cycles'!$V$13)^INT(INT(BM96/12)/'Lease Cycles'!$W$13)/12,0),0)</f>
        <v>0</v>
      </c>
      <c r="BN99" s="28">
        <f>IF(BN97=1,IF(INDEX('Lease Cycles'!$EF$13:$EL$13,1,BN95)=1,'Lease Cycles'!$C$13*INDEX('Lease Cycles'!$ET$13:$EZ$13,1,BN95)*(1+'Lease Cycles'!$V$13)^INT(INT(BN96/12)/'Lease Cycles'!$W$13)/12,0),0)</f>
        <v>0</v>
      </c>
      <c r="BO99" s="28">
        <f>IF(BO97=1,IF(INDEX('Lease Cycles'!$EF$13:$EL$13,1,BO95)=1,'Lease Cycles'!$C$13*INDEX('Lease Cycles'!$ET$13:$EZ$13,1,BO95)*(1+'Lease Cycles'!$V$13)^INT(INT(BO96/12)/'Lease Cycles'!$W$13)/12,0),0)</f>
        <v>0</v>
      </c>
      <c r="BP99" s="28">
        <f>IF(BP97=1,IF(INDEX('Lease Cycles'!$EF$13:$EL$13,1,BP95)=1,'Lease Cycles'!$C$13*INDEX('Lease Cycles'!$ET$13:$EZ$13,1,BP95)*(1+'Lease Cycles'!$V$13)^INT(INT(BP96/12)/'Lease Cycles'!$W$13)/12,0),0)</f>
        <v>0</v>
      </c>
      <c r="BQ99" s="28">
        <f>IF(BQ97=1,IF(INDEX('Lease Cycles'!$EF$13:$EL$13,1,BQ95)=1,'Lease Cycles'!$C$13*INDEX('Lease Cycles'!$ET$13:$EZ$13,1,BQ95)*(1+'Lease Cycles'!$V$13)^INT(INT(BQ96/12)/'Lease Cycles'!$W$13)/12,0),0)</f>
        <v>0</v>
      </c>
      <c r="BR99" s="28">
        <f>IF(BR97=1,IF(INDEX('Lease Cycles'!$EF$13:$EL$13,1,BR95)=1,'Lease Cycles'!$C$13*INDEX('Lease Cycles'!$ET$13:$EZ$13,1,BR95)*(1+'Lease Cycles'!$V$13)^INT(INT(BR96/12)/'Lease Cycles'!$W$13)/12,0),0)</f>
        <v>0</v>
      </c>
      <c r="BS99" s="28">
        <f>IF(BS97=1,IF(INDEX('Lease Cycles'!$EF$13:$EL$13,1,BS95)=1,'Lease Cycles'!$C$13*INDEX('Lease Cycles'!$ET$13:$EZ$13,1,BS95)*(1+'Lease Cycles'!$V$13)^INT(INT(BS96/12)/'Lease Cycles'!$W$13)/12,0),0)</f>
        <v>0</v>
      </c>
      <c r="BT99" s="28">
        <f>IF(BT97=1,IF(INDEX('Lease Cycles'!$EF$13:$EL$13,1,BT95)=1,'Lease Cycles'!$C$13*INDEX('Lease Cycles'!$ET$13:$EZ$13,1,BT95)*(1+'Lease Cycles'!$V$13)^INT(INT(BT96/12)/'Lease Cycles'!$W$13)/12,0),0)</f>
        <v>0</v>
      </c>
      <c r="BU99" s="28">
        <f>IF(BU97=1,IF(INDEX('Lease Cycles'!$EF$13:$EL$13,1,BU95)=1,'Lease Cycles'!$C$13*INDEX('Lease Cycles'!$ET$13:$EZ$13,1,BU95)*(1+'Lease Cycles'!$V$13)^INT(INT(BU96/12)/'Lease Cycles'!$W$13)/12,0),0)</f>
        <v>0</v>
      </c>
      <c r="BV99" s="28">
        <f>IF(BV97=1,IF(INDEX('Lease Cycles'!$EF$13:$EL$13,1,BV95)=1,'Lease Cycles'!$C$13*INDEX('Lease Cycles'!$ET$13:$EZ$13,1,BV95)*(1+'Lease Cycles'!$V$13)^INT(INT(BV96/12)/'Lease Cycles'!$W$13)/12,0),0)</f>
        <v>0</v>
      </c>
      <c r="BW99" s="28">
        <f>IF(BW97=1,IF(INDEX('Lease Cycles'!$EF$13:$EL$13,1,BW95)=1,'Lease Cycles'!$C$13*INDEX('Lease Cycles'!$ET$13:$EZ$13,1,BW95)*(1+'Lease Cycles'!$V$13)^INT(INT(BW96/12)/'Lease Cycles'!$W$13)/12,0),0)</f>
        <v>0</v>
      </c>
      <c r="BX99" s="28">
        <f>IF(BX97=1,IF(INDEX('Lease Cycles'!$EF$13:$EL$13,1,BX95)=1,'Lease Cycles'!$C$13*INDEX('Lease Cycles'!$ET$13:$EZ$13,1,BX95)*(1+'Lease Cycles'!$V$13)^INT(INT(BX96/12)/'Lease Cycles'!$W$13)/12,0),0)</f>
        <v>0</v>
      </c>
      <c r="BY99" s="28">
        <f>IF(BY97=1,IF(INDEX('Lease Cycles'!$EF$13:$EL$13,1,BY95)=1,'Lease Cycles'!$C$13*INDEX('Lease Cycles'!$ET$13:$EZ$13,1,BY95)*(1+'Lease Cycles'!$V$13)^INT(INT(BY96/12)/'Lease Cycles'!$W$13)/12,0),0)</f>
        <v>0</v>
      </c>
      <c r="BZ99" s="28">
        <f>IF(BZ97=1,IF(INDEX('Lease Cycles'!$EF$13:$EL$13,1,BZ95)=1,'Lease Cycles'!$C$13*INDEX('Lease Cycles'!$ET$13:$EZ$13,1,BZ95)*(1+'Lease Cycles'!$V$13)^INT(INT(BZ96/12)/'Lease Cycles'!$W$13)/12,0),0)</f>
        <v>0</v>
      </c>
      <c r="CA99" s="28">
        <f>IF(CA97=1,IF(INDEX('Lease Cycles'!$EF$13:$EL$13,1,CA95)=1,'Lease Cycles'!$C$13*INDEX('Lease Cycles'!$ET$13:$EZ$13,1,CA95)*(1+'Lease Cycles'!$V$13)^INT(INT(CA96/12)/'Lease Cycles'!$W$13)/12,0),0)</f>
        <v>0</v>
      </c>
      <c r="CB99" s="28">
        <f>IF(CB97=1,IF(INDEX('Lease Cycles'!$EF$13:$EL$13,1,CB95)=1,'Lease Cycles'!$C$13*INDEX('Lease Cycles'!$ET$13:$EZ$13,1,CB95)*(1+'Lease Cycles'!$V$13)^INT(INT(CB96/12)/'Lease Cycles'!$W$13)/12,0),0)</f>
        <v>0</v>
      </c>
      <c r="CC99" s="28">
        <f>IF(CC97=1,IF(INDEX('Lease Cycles'!$EF$13:$EL$13,1,CC95)=1,'Lease Cycles'!$C$13*INDEX('Lease Cycles'!$ET$13:$EZ$13,1,CC95)*(1+'Lease Cycles'!$V$13)^INT(INT(CC96/12)/'Lease Cycles'!$W$13)/12,0),0)</f>
        <v>0</v>
      </c>
      <c r="CD99" s="28">
        <f>IF(CD97=1,IF(INDEX('Lease Cycles'!$EF$13:$EL$13,1,CD95)=1,'Lease Cycles'!$C$13*INDEX('Lease Cycles'!$ET$13:$EZ$13,1,CD95)*(1+'Lease Cycles'!$V$13)^INT(INT(CD96/12)/'Lease Cycles'!$W$13)/12,0),0)</f>
        <v>0</v>
      </c>
      <c r="CE99" s="28">
        <f>IF(CE97=1,IF(INDEX('Lease Cycles'!$EF$13:$EL$13,1,CE95)=1,'Lease Cycles'!$C$13*INDEX('Lease Cycles'!$ET$13:$EZ$13,1,CE95)*(1+'Lease Cycles'!$V$13)^INT(INT(CE96/12)/'Lease Cycles'!$W$13)/12,0),0)</f>
        <v>0</v>
      </c>
      <c r="CF99" s="28">
        <f>IF(CF97=1,IF(INDEX('Lease Cycles'!$EF$13:$EL$13,1,CF95)=1,'Lease Cycles'!$C$13*INDEX('Lease Cycles'!$ET$13:$EZ$13,1,CF95)*(1+'Lease Cycles'!$V$13)^INT(INT(CF96/12)/'Lease Cycles'!$W$13)/12,0),0)</f>
        <v>0</v>
      </c>
      <c r="CG99" s="28">
        <f>IF(CG97=1,IF(INDEX('Lease Cycles'!$EF$13:$EL$13,1,CG95)=1,'Lease Cycles'!$C$13*INDEX('Lease Cycles'!$ET$13:$EZ$13,1,CG95)*(1+'Lease Cycles'!$V$13)^INT(INT(CG96/12)/'Lease Cycles'!$W$13)/12,0),0)</f>
        <v>0</v>
      </c>
      <c r="CH99" s="28">
        <f>IF(CH97=1,IF(INDEX('Lease Cycles'!$EF$13:$EL$13,1,CH95)=1,'Lease Cycles'!$C$13*INDEX('Lease Cycles'!$ET$13:$EZ$13,1,CH95)*(1+'Lease Cycles'!$V$13)^INT(INT(CH96/12)/'Lease Cycles'!$W$13)/12,0),0)</f>
        <v>0</v>
      </c>
      <c r="CI99" s="28">
        <f>IF(CI97=1,IF(INDEX('Lease Cycles'!$EF$13:$EL$13,1,CI95)=1,'Lease Cycles'!$C$13*INDEX('Lease Cycles'!$ET$13:$EZ$13,1,CI95)*(1+'Lease Cycles'!$V$13)^INT(INT(CI96/12)/'Lease Cycles'!$W$13)/12,0),0)</f>
        <v>0</v>
      </c>
      <c r="CJ99" s="28">
        <f>IF(CJ97=1,IF(INDEX('Lease Cycles'!$EF$13:$EL$13,1,CJ95)=1,'Lease Cycles'!$C$13*INDEX('Lease Cycles'!$ET$13:$EZ$13,1,CJ95)*(1+'Lease Cycles'!$V$13)^INT(INT(CJ96/12)/'Lease Cycles'!$W$13)/12,0),0)</f>
        <v>0</v>
      </c>
      <c r="CK99" s="28">
        <f>IF(CK97=1,IF(INDEX('Lease Cycles'!$EF$13:$EL$13,1,CK95)=1,'Lease Cycles'!$C$13*INDEX('Lease Cycles'!$ET$13:$EZ$13,1,CK95)*(1+'Lease Cycles'!$V$13)^INT(INT(CK96/12)/'Lease Cycles'!$W$13)/12,0),0)</f>
        <v>0</v>
      </c>
      <c r="CL99" s="28">
        <f>IF(CL97=1,IF(INDEX('Lease Cycles'!$EF$13:$EL$13,1,CL95)=1,'Lease Cycles'!$C$13*INDEX('Lease Cycles'!$ET$13:$EZ$13,1,CL95)*(1+'Lease Cycles'!$V$13)^INT(INT(CL96/12)/'Lease Cycles'!$W$13)/12,0),0)</f>
        <v>0</v>
      </c>
      <c r="CM99" s="28">
        <f>IF(CM97=1,IF(INDEX('Lease Cycles'!$EF$13:$EL$13,1,CM95)=1,'Lease Cycles'!$C$13*INDEX('Lease Cycles'!$ET$13:$EZ$13,1,CM95)*(1+'Lease Cycles'!$V$13)^INT(INT(CM96/12)/'Lease Cycles'!$W$13)/12,0),0)</f>
        <v>0</v>
      </c>
      <c r="CN99" s="28">
        <f>IF(CN97=1,IF(INDEX('Lease Cycles'!$EF$13:$EL$13,1,CN95)=1,'Lease Cycles'!$C$13*INDEX('Lease Cycles'!$ET$13:$EZ$13,1,CN95)*(1+'Lease Cycles'!$V$13)^INT(INT(CN96/12)/'Lease Cycles'!$W$13)/12,0),0)</f>
        <v>0</v>
      </c>
      <c r="CO99" s="28">
        <f>IF(CO97=1,IF(INDEX('Lease Cycles'!$EF$13:$EL$13,1,CO95)=1,'Lease Cycles'!$C$13*INDEX('Lease Cycles'!$ET$13:$EZ$13,1,CO95)*(1+'Lease Cycles'!$V$13)^INT(INT(CO96/12)/'Lease Cycles'!$W$13)/12,0),0)</f>
        <v>0</v>
      </c>
      <c r="CP99" s="28">
        <f>IF(CP97=1,IF(INDEX('Lease Cycles'!$EF$13:$EL$13,1,CP95)=1,'Lease Cycles'!$C$13*INDEX('Lease Cycles'!$ET$13:$EZ$13,1,CP95)*(1+'Lease Cycles'!$V$13)^INT(INT(CP96/12)/'Lease Cycles'!$W$13)/12,0),0)</f>
        <v>0</v>
      </c>
      <c r="CQ99" s="28">
        <f>IF(CQ97=1,IF(INDEX('Lease Cycles'!$EF$13:$EL$13,1,CQ95)=1,'Lease Cycles'!$C$13*INDEX('Lease Cycles'!$ET$13:$EZ$13,1,CQ95)*(1+'Lease Cycles'!$V$13)^INT(INT(CQ96/12)/'Lease Cycles'!$W$13)/12,0),0)</f>
        <v>0</v>
      </c>
      <c r="CR99" s="28">
        <f>IF(CR97=1,IF(INDEX('Lease Cycles'!$EF$13:$EL$13,1,CR95)=1,'Lease Cycles'!$C$13*INDEX('Lease Cycles'!$ET$13:$EZ$13,1,CR95)*(1+'Lease Cycles'!$V$13)^INT(INT(CR96/12)/'Lease Cycles'!$W$13)/12,0),0)</f>
        <v>0</v>
      </c>
      <c r="CS99" s="28">
        <f>IF(CS97=1,IF(INDEX('Lease Cycles'!$EF$13:$EL$13,1,CS95)=1,'Lease Cycles'!$C$13*INDEX('Lease Cycles'!$ET$13:$EZ$13,1,CS95)*(1+'Lease Cycles'!$V$13)^INT(INT(CS96/12)/'Lease Cycles'!$W$13)/12,0),0)</f>
        <v>0</v>
      </c>
      <c r="CT99" s="28">
        <f>IF(CT97=1,IF(INDEX('Lease Cycles'!$EF$13:$EL$13,1,CT95)=1,'Lease Cycles'!$C$13*INDEX('Lease Cycles'!$ET$13:$EZ$13,1,CT95)*(1+'Lease Cycles'!$V$13)^INT(INT(CT96/12)/'Lease Cycles'!$W$13)/12,0),0)</f>
        <v>0</v>
      </c>
      <c r="CU99" s="28">
        <f>IF(CU97=1,IF(INDEX('Lease Cycles'!$EF$13:$EL$13,1,CU95)=1,'Lease Cycles'!$C$13*INDEX('Lease Cycles'!$ET$13:$EZ$13,1,CU95)*(1+'Lease Cycles'!$V$13)^INT(INT(CU96/12)/'Lease Cycles'!$W$13)/12,0),0)</f>
        <v>0</v>
      </c>
      <c r="CV99" s="28">
        <f>IF(CV97=1,IF(INDEX('Lease Cycles'!$EF$13:$EL$13,1,CV95)=1,'Lease Cycles'!$C$13*INDEX('Lease Cycles'!$ET$13:$EZ$13,1,CV95)*(1+'Lease Cycles'!$V$13)^INT(INT(CV96/12)/'Lease Cycles'!$W$13)/12,0),0)</f>
        <v>0</v>
      </c>
      <c r="CW99" s="28">
        <f>IF(CW97=1,IF(INDEX('Lease Cycles'!$EF$13:$EL$13,1,CW95)=1,'Lease Cycles'!$C$13*INDEX('Lease Cycles'!$ET$13:$EZ$13,1,CW95)*(1+'Lease Cycles'!$V$13)^INT(INT(CW96/12)/'Lease Cycles'!$W$13)/12,0),0)</f>
        <v>0</v>
      </c>
      <c r="CX99" s="28">
        <f>IF(CX97=1,IF(INDEX('Lease Cycles'!$EF$13:$EL$13,1,CX95)=1,'Lease Cycles'!$C$13*INDEX('Lease Cycles'!$ET$13:$EZ$13,1,CX95)*(1+'Lease Cycles'!$V$13)^INT(INT(CX96/12)/'Lease Cycles'!$W$13)/12,0),0)</f>
        <v>0</v>
      </c>
      <c r="CY99" s="28">
        <f>IF(CY97=1,IF(INDEX('Lease Cycles'!$EF$13:$EL$13,1,CY95)=1,'Lease Cycles'!$C$13*INDEX('Lease Cycles'!$ET$13:$EZ$13,1,CY95)*(1+'Lease Cycles'!$V$13)^INT(INT(CY96/12)/'Lease Cycles'!$W$13)/12,0),0)</f>
        <v>0</v>
      </c>
      <c r="CZ99" s="28">
        <f>IF(CZ97=1,IF(INDEX('Lease Cycles'!$EF$13:$EL$13,1,CZ95)=1,'Lease Cycles'!$C$13*INDEX('Lease Cycles'!$ET$13:$EZ$13,1,CZ95)*(1+'Lease Cycles'!$V$13)^INT(INT(CZ96/12)/'Lease Cycles'!$W$13)/12,0),0)</f>
        <v>0</v>
      </c>
      <c r="DA99" s="28">
        <f>IF(DA97=1,IF(INDEX('Lease Cycles'!$EF$13:$EL$13,1,DA95)=1,'Lease Cycles'!$C$13*INDEX('Lease Cycles'!$ET$13:$EZ$13,1,DA95)*(1+'Lease Cycles'!$V$13)^INT(INT(DA96/12)/'Lease Cycles'!$W$13)/12,0),0)</f>
        <v>0</v>
      </c>
      <c r="DB99" s="28">
        <f>IF(DB97=1,IF(INDEX('Lease Cycles'!$EF$13:$EL$13,1,DB95)=1,'Lease Cycles'!$C$13*INDEX('Lease Cycles'!$ET$13:$EZ$13,1,DB95)*(1+'Lease Cycles'!$V$13)^INT(INT(DB96/12)/'Lease Cycles'!$W$13)/12,0),0)</f>
        <v>0</v>
      </c>
      <c r="DC99" s="28">
        <f>IF(DC97=1,IF(INDEX('Lease Cycles'!$EF$13:$EL$13,1,DC95)=1,'Lease Cycles'!$C$13*INDEX('Lease Cycles'!$ET$13:$EZ$13,1,DC95)*(1+'Lease Cycles'!$V$13)^INT(INT(DC96/12)/'Lease Cycles'!$W$13)/12,0),0)</f>
        <v>0</v>
      </c>
      <c r="DD99" s="28">
        <f>IF(DD97=1,IF(INDEX('Lease Cycles'!$EF$13:$EL$13,1,DD95)=1,'Lease Cycles'!$C$13*INDEX('Lease Cycles'!$ET$13:$EZ$13,1,DD95)*(1+'Lease Cycles'!$V$13)^INT(INT(DD96/12)/'Lease Cycles'!$W$13)/12,0),0)</f>
        <v>0</v>
      </c>
      <c r="DE99" s="28">
        <f>IF(DE97=1,IF(INDEX('Lease Cycles'!$EF$13:$EL$13,1,DE95)=1,'Lease Cycles'!$C$13*INDEX('Lease Cycles'!$ET$13:$EZ$13,1,DE95)*(1+'Lease Cycles'!$V$13)^INT(INT(DE96/12)/'Lease Cycles'!$W$13)/12,0),0)</f>
        <v>0</v>
      </c>
      <c r="DF99" s="28">
        <f>IF(DF97=1,IF(INDEX('Lease Cycles'!$EF$13:$EL$13,1,DF95)=1,'Lease Cycles'!$C$13*INDEX('Lease Cycles'!$ET$13:$EZ$13,1,DF95)*(1+'Lease Cycles'!$V$13)^INT(INT(DF96/12)/'Lease Cycles'!$W$13)/12,0),0)</f>
        <v>0</v>
      </c>
      <c r="DG99" s="28">
        <f>IF(DG97=1,IF(INDEX('Lease Cycles'!$EF$13:$EL$13,1,DG95)=1,'Lease Cycles'!$C$13*INDEX('Lease Cycles'!$ET$13:$EZ$13,1,DG95)*(1+'Lease Cycles'!$V$13)^INT(INT(DG96/12)/'Lease Cycles'!$W$13)/12,0),0)</f>
        <v>0</v>
      </c>
      <c r="DH99" s="28">
        <f>IF(DH97=1,IF(INDEX('Lease Cycles'!$EF$13:$EL$13,1,DH95)=1,'Lease Cycles'!$C$13*INDEX('Lease Cycles'!$ET$13:$EZ$13,1,DH95)*(1+'Lease Cycles'!$V$13)^INT(INT(DH96/12)/'Lease Cycles'!$W$13)/12,0),0)</f>
        <v>0</v>
      </c>
      <c r="DI99" s="28">
        <f>IF(DI97=1,IF(INDEX('Lease Cycles'!$EF$13:$EL$13,1,DI95)=1,'Lease Cycles'!$C$13*INDEX('Lease Cycles'!$ET$13:$EZ$13,1,DI95)*(1+'Lease Cycles'!$V$13)^INT(INT(DI96/12)/'Lease Cycles'!$W$13)/12,0),0)</f>
        <v>0</v>
      </c>
      <c r="DJ99" s="28">
        <f>IF(DJ97=1,IF(INDEX('Lease Cycles'!$EF$13:$EL$13,1,DJ95)=1,'Lease Cycles'!$C$13*INDEX('Lease Cycles'!$ET$13:$EZ$13,1,DJ95)*(1+'Lease Cycles'!$V$13)^INT(INT(DJ96/12)/'Lease Cycles'!$W$13)/12,0),0)</f>
        <v>0</v>
      </c>
      <c r="DK99" s="28">
        <f>IF(DK97=1,IF(INDEX('Lease Cycles'!$EF$13:$EL$13,1,DK95)=1,'Lease Cycles'!$C$13*INDEX('Lease Cycles'!$ET$13:$EZ$13,1,DK95)*(1+'Lease Cycles'!$V$13)^INT(INT(DK96/12)/'Lease Cycles'!$W$13)/12,0),0)</f>
        <v>0</v>
      </c>
      <c r="DL99" s="28">
        <f>IF(DL97=1,IF(INDEX('Lease Cycles'!$EF$13:$EL$13,1,DL95)=1,'Lease Cycles'!$C$13*INDEX('Lease Cycles'!$ET$13:$EZ$13,1,DL95)*(1+'Lease Cycles'!$V$13)^INT(INT(DL96/12)/'Lease Cycles'!$W$13)/12,0),0)</f>
        <v>0</v>
      </c>
      <c r="DM99" s="28">
        <f>IF(DM97=1,IF(INDEX('Lease Cycles'!$EF$13:$EL$13,1,DM95)=1,'Lease Cycles'!$C$13*INDEX('Lease Cycles'!$ET$13:$EZ$13,1,DM95)*(1+'Lease Cycles'!$V$13)^INT(INT(DM96/12)/'Lease Cycles'!$W$13)/12,0),0)</f>
        <v>0</v>
      </c>
      <c r="DN99" s="28">
        <f>IF(DN97=1,IF(INDEX('Lease Cycles'!$EF$13:$EL$13,1,DN95)=1,'Lease Cycles'!$C$13*INDEX('Lease Cycles'!$ET$13:$EZ$13,1,DN95)*(1+'Lease Cycles'!$V$13)^INT(INT(DN96/12)/'Lease Cycles'!$W$13)/12,0),0)</f>
        <v>0</v>
      </c>
      <c r="DO99" s="28">
        <f>IF(DO97=1,IF(INDEX('Lease Cycles'!$EF$13:$EL$13,1,DO95)=1,'Lease Cycles'!$C$13*INDEX('Lease Cycles'!$ET$13:$EZ$13,1,DO95)*(1+'Lease Cycles'!$V$13)^INT(INT(DO96/12)/'Lease Cycles'!$W$13)/12,0),0)</f>
        <v>0</v>
      </c>
      <c r="DP99" s="28">
        <f>IF(DP97=1,IF(INDEX('Lease Cycles'!$EF$13:$EL$13,1,DP95)=1,'Lease Cycles'!$C$13*INDEX('Lease Cycles'!$ET$13:$EZ$13,1,DP95)*(1+'Lease Cycles'!$V$13)^INT(INT(DP96/12)/'Lease Cycles'!$W$13)/12,0),0)</f>
        <v>0</v>
      </c>
      <c r="DQ99" s="28">
        <f>IF(DQ97=1,IF(INDEX('Lease Cycles'!$EF$13:$EL$13,1,DQ95)=1,'Lease Cycles'!$C$13*INDEX('Lease Cycles'!$ET$13:$EZ$13,1,DQ95)*(1+'Lease Cycles'!$V$13)^INT(INT(DQ96/12)/'Lease Cycles'!$W$13)/12,0),0)</f>
        <v>0</v>
      </c>
      <c r="DR99" s="28">
        <f>IF(DR97=1,IF(INDEX('Lease Cycles'!$EF$13:$EL$13,1,DR95)=1,'Lease Cycles'!$C$13*INDEX('Lease Cycles'!$ET$13:$EZ$13,1,DR95)*(1+'Lease Cycles'!$V$13)^INT(INT(DR96/12)/'Lease Cycles'!$W$13)/12,0),0)</f>
        <v>0</v>
      </c>
      <c r="DS99" s="28">
        <f>IF(DS97=1,IF(INDEX('Lease Cycles'!$EF$13:$EL$13,1,DS95)=1,'Lease Cycles'!$C$13*INDEX('Lease Cycles'!$ET$13:$EZ$13,1,DS95)*(1+'Lease Cycles'!$V$13)^INT(INT(DS96/12)/'Lease Cycles'!$W$13)/12,0),0)</f>
        <v>0</v>
      </c>
      <c r="DT99" s="28">
        <f>IF(DT97=1,IF(INDEX('Lease Cycles'!$EF$13:$EL$13,1,DT95)=1,'Lease Cycles'!$C$13*INDEX('Lease Cycles'!$ET$13:$EZ$13,1,DT95)*(1+'Lease Cycles'!$V$13)^INT(INT(DT96/12)/'Lease Cycles'!$W$13)/12,0),0)</f>
        <v>0</v>
      </c>
      <c r="DU99" s="28">
        <f>IF(DU97=1,IF(INDEX('Lease Cycles'!$EF$13:$EL$13,1,DU95)=1,'Lease Cycles'!$C$13*INDEX('Lease Cycles'!$ET$13:$EZ$13,1,DU95)*(1+'Lease Cycles'!$V$13)^INT(INT(DU96/12)/'Lease Cycles'!$W$13)/12,0),0)</f>
        <v>0</v>
      </c>
      <c r="DV99" s="28">
        <f>IF(DV97=1,IF(INDEX('Lease Cycles'!$EF$13:$EL$13,1,DV95)=1,'Lease Cycles'!$C$13*INDEX('Lease Cycles'!$ET$13:$EZ$13,1,DV95)*(1+'Lease Cycles'!$V$13)^INT(INT(DV96/12)/'Lease Cycles'!$W$13)/12,0),0)</f>
        <v>0</v>
      </c>
      <c r="DW99" s="28">
        <f>IF(DW97=1,IF(INDEX('Lease Cycles'!$EF$13:$EL$13,1,DW95)=1,'Lease Cycles'!$C$13*INDEX('Lease Cycles'!$ET$13:$EZ$13,1,DW95)*(1+'Lease Cycles'!$V$13)^INT(INT(DW96/12)/'Lease Cycles'!$W$13)/12,0),0)</f>
        <v>0</v>
      </c>
      <c r="DX99" s="28">
        <f>IF(DX97=1,IF(INDEX('Lease Cycles'!$EF$13:$EL$13,1,DX95)=1,'Lease Cycles'!$C$13*INDEX('Lease Cycles'!$ET$13:$EZ$13,1,DX95)*(1+'Lease Cycles'!$V$13)^INT(INT(DX96/12)/'Lease Cycles'!$W$13)/12,0),0)</f>
        <v>0</v>
      </c>
      <c r="DY99" s="28">
        <f>IF(DY97=1,IF(INDEX('Lease Cycles'!$EF$13:$EL$13,1,DY95)=1,'Lease Cycles'!$C$13*INDEX('Lease Cycles'!$ET$13:$EZ$13,1,DY95)*(1+'Lease Cycles'!$V$13)^INT(INT(DY96/12)/'Lease Cycles'!$W$13)/12,0),0)</f>
        <v>0</v>
      </c>
      <c r="DZ99" s="28">
        <f>IF(DZ97=1,IF(INDEX('Lease Cycles'!$EF$13:$EL$13,1,DZ95)=1,'Lease Cycles'!$C$13*INDEX('Lease Cycles'!$ET$13:$EZ$13,1,DZ95)*(1+'Lease Cycles'!$V$13)^INT(INT(DZ96/12)/'Lease Cycles'!$W$13)/12,0),0)</f>
        <v>0</v>
      </c>
      <c r="EA99" s="28">
        <f>IF(EA97=1,IF(INDEX('Lease Cycles'!$EF$13:$EL$13,1,EA95)=1,'Lease Cycles'!$C$13*INDEX('Lease Cycles'!$ET$13:$EZ$13,1,EA95)*(1+'Lease Cycles'!$V$13)^INT(INT(EA96/12)/'Lease Cycles'!$W$13)/12,0),0)</f>
        <v>0</v>
      </c>
      <c r="EB99" s="28">
        <f>IF(EB97=1,IF(INDEX('Lease Cycles'!$EF$13:$EL$13,1,EB95)=1,'Lease Cycles'!$C$13*INDEX('Lease Cycles'!$ET$13:$EZ$13,1,EB95)*(1+'Lease Cycles'!$V$13)^INT(INT(EB96/12)/'Lease Cycles'!$W$13)/12,0),0)</f>
        <v>0</v>
      </c>
      <c r="EC99" s="28">
        <f>IF(EC97=1,IF(INDEX('Lease Cycles'!$EF$13:$EL$13,1,EC95)=1,'Lease Cycles'!$C$13*INDEX('Lease Cycles'!$ET$13:$EZ$13,1,EC95)*(1+'Lease Cycles'!$V$13)^INT(INT(EC96/12)/'Lease Cycles'!$W$13)/12,0),0)</f>
        <v>0</v>
      </c>
      <c r="ED99" s="28">
        <f>IF(ED97=1,IF(INDEX('Lease Cycles'!$EF$13:$EL$13,1,ED95)=1,'Lease Cycles'!$C$13*INDEX('Lease Cycles'!$ET$13:$EZ$13,1,ED95)*(1+'Lease Cycles'!$V$13)^INT(INT(ED96/12)/'Lease Cycles'!$W$13)/12,0),0)</f>
        <v>0</v>
      </c>
      <c r="EE99" s="28">
        <f>IF(EE97=1,IF(INDEX('Lease Cycles'!$EF$13:$EL$13,1,EE95)=1,'Lease Cycles'!$C$13*INDEX('Lease Cycles'!$ET$13:$EZ$13,1,EE95)*(1+'Lease Cycles'!$V$13)^INT(INT(EE96/12)/'Lease Cycles'!$W$13)/12,0),0)</f>
        <v>0</v>
      </c>
      <c r="EF99" s="28">
        <f>IF(EF97=1,IF(INDEX('Lease Cycles'!$EF$13:$EL$13,1,EF95)=1,'Lease Cycles'!$C$13*INDEX('Lease Cycles'!$ET$13:$EZ$13,1,EF95)*(1+'Lease Cycles'!$V$13)^INT(INT(EF96/12)/'Lease Cycles'!$W$13)/12,0),0)</f>
        <v>0</v>
      </c>
      <c r="EG99" s="28">
        <f>IF(EG97=1,IF(INDEX('Lease Cycles'!$EF$13:$EL$13,1,EG95)=1,'Lease Cycles'!$C$13*INDEX('Lease Cycles'!$ET$13:$EZ$13,1,EG95)*(1+'Lease Cycles'!$V$13)^INT(INT(EG96/12)/'Lease Cycles'!$W$13)/12,0),0)</f>
        <v>0</v>
      </c>
      <c r="EH99" s="28">
        <f>IF(EH97=1,IF(INDEX('Lease Cycles'!$EF$13:$EL$13,1,EH95)=1,'Lease Cycles'!$C$13*INDEX('Lease Cycles'!$ET$13:$EZ$13,1,EH95)*(1+'Lease Cycles'!$V$13)^INT(INT(EH96/12)/'Lease Cycles'!$W$13)/12,0),0)</f>
        <v>0</v>
      </c>
      <c r="EI99" s="28">
        <f>IF(EI97=1,IF(INDEX('Lease Cycles'!$EF$13:$EL$13,1,EI95)=1,'Lease Cycles'!$C$13*INDEX('Lease Cycles'!$ET$13:$EZ$13,1,EI95)*(1+'Lease Cycles'!$V$13)^INT(INT(EI96/12)/'Lease Cycles'!$W$13)/12,0),0)</f>
        <v>0</v>
      </c>
      <c r="EJ99" s="28">
        <f>IF(EJ97=1,IF(INDEX('Lease Cycles'!$EF$13:$EL$13,1,EJ95)=1,'Lease Cycles'!$C$13*INDEX('Lease Cycles'!$ET$13:$EZ$13,1,EJ95)*(1+'Lease Cycles'!$V$13)^INT(INT(EJ96/12)/'Lease Cycles'!$W$13)/12,0),0)</f>
        <v>0</v>
      </c>
      <c r="EK99" s="28">
        <f>IF(EK97=1,IF(INDEX('Lease Cycles'!$EF$13:$EL$13,1,EK95)=1,'Lease Cycles'!$C$13*INDEX('Lease Cycles'!$ET$13:$EZ$13,1,EK95)*(1+'Lease Cycles'!$V$13)^INT(INT(EK96/12)/'Lease Cycles'!$W$13)/12,0),0)</f>
        <v>0</v>
      </c>
      <c r="EL99" s="28">
        <f>IF(EL97=1,IF(INDEX('Lease Cycles'!$EF$13:$EL$13,1,EL95)=1,'Lease Cycles'!$C$13*INDEX('Lease Cycles'!$ET$13:$EZ$13,1,EL95)*(1+'Lease Cycles'!$V$13)^INT(INT(EL96/12)/'Lease Cycles'!$W$13)/12,0),0)</f>
        <v>0</v>
      </c>
      <c r="EM99" s="28">
        <f>IF(EM97=1,IF(INDEX('Lease Cycles'!$EF$13:$EL$13,1,EM95)=1,'Lease Cycles'!$C$13*INDEX('Lease Cycles'!$ET$13:$EZ$13,1,EM95)*(1+'Lease Cycles'!$V$13)^INT(INT(EM96/12)/'Lease Cycles'!$W$13)/12,0),0)</f>
        <v>0</v>
      </c>
      <c r="EN99" s="28">
        <f>IF(EN97=1,IF(INDEX('Lease Cycles'!$EF$13:$EL$13,1,EN95)=1,'Lease Cycles'!$C$13*INDEX('Lease Cycles'!$ET$13:$EZ$13,1,EN95)*(1+'Lease Cycles'!$V$13)^INT(INT(EN96/12)/'Lease Cycles'!$W$13)/12,0),0)</f>
        <v>0</v>
      </c>
      <c r="EO99" s="28">
        <f>IF(EO97=1,IF(INDEX('Lease Cycles'!$EF$13:$EL$13,1,EO95)=1,'Lease Cycles'!$C$13*INDEX('Lease Cycles'!$ET$13:$EZ$13,1,EO95)*(1+'Lease Cycles'!$V$13)^INT(INT(EO96/12)/'Lease Cycles'!$W$13)/12,0),0)</f>
        <v>0</v>
      </c>
      <c r="EP99" s="28">
        <f>IF(EP97=1,IF(INDEX('Lease Cycles'!$EF$13:$EL$13,1,EP95)=1,'Lease Cycles'!$C$13*INDEX('Lease Cycles'!$ET$13:$EZ$13,1,EP95)*(1+'Lease Cycles'!$V$13)^INT(INT(EP96/12)/'Lease Cycles'!$W$13)/12,0),0)</f>
        <v>0</v>
      </c>
      <c r="EQ99" s="28">
        <f>IF(EQ97=1,IF(INDEX('Lease Cycles'!$EF$13:$EL$13,1,EQ95)=1,'Lease Cycles'!$C$13*INDEX('Lease Cycles'!$ET$13:$EZ$13,1,EQ95)*(1+'Lease Cycles'!$V$13)^INT(INT(EQ96/12)/'Lease Cycles'!$W$13)/12,0),0)</f>
        <v>0</v>
      </c>
      <c r="ER99" s="28">
        <f>IF(ER97=1,IF(INDEX('Lease Cycles'!$EF$13:$EL$13,1,ER95)=1,'Lease Cycles'!$C$13*INDEX('Lease Cycles'!$ET$13:$EZ$13,1,ER95)*(1+'Lease Cycles'!$V$13)^INT(INT(ER96/12)/'Lease Cycles'!$W$13)/12,0),0)</f>
        <v>0</v>
      </c>
      <c r="ES99" s="28">
        <f>IF(ES97=1,IF(INDEX('Lease Cycles'!$EF$13:$EL$13,1,ES95)=1,'Lease Cycles'!$C$13*INDEX('Lease Cycles'!$ET$13:$EZ$13,1,ES95)*(1+'Lease Cycles'!$V$13)^INT(INT(ES96/12)/'Lease Cycles'!$W$13)/12,0),0)</f>
        <v>0</v>
      </c>
      <c r="ET99" s="28">
        <f>IF(ET97=1,IF(INDEX('Lease Cycles'!$EF$13:$EL$13,1,ET95)=1,'Lease Cycles'!$C$13*INDEX('Lease Cycles'!$ET$13:$EZ$13,1,ET95)*(1+'Lease Cycles'!$V$13)^INT(INT(ET96/12)/'Lease Cycles'!$W$13)/12,0),0)</f>
        <v>0</v>
      </c>
    </row>
    <row r="100">
      <c r="A100" s="103">
        <v>6</v>
      </c>
      <c r="B100" s="23" t="str">
        <f>IF('Lease Cycles'!$B$13="","(empty slot)",'Lease Cycles'!$B$13)</f>
        <v>Sunfield Cleaners</v>
      </c>
      <c r="C100" s="23" t="s">
        <v>681</v>
      </c>
      <c r="D100" s="104" t="s">
        <v>490</v>
      </c>
      <c r="E100" s="25">
        <f>'Lease Cycles'!$AL$13</f>
        <v>0</v>
      </c>
      <c r="G100" s="28">
        <f>SUM(S100:AD100)</f>
        <v>46800</v>
      </c>
      <c r="H100" s="28">
        <f>SUM(AE100:AP100)</f>
        <v>46800</v>
      </c>
      <c r="I100" s="28">
        <f>SUM(AQ100:BB100)</f>
        <v>46800</v>
      </c>
      <c r="J100" s="28">
        <f>SUM(BC100:BN100)</f>
        <v>44847.323008625375</v>
      </c>
      <c r="K100" s="28">
        <f>SUM(BO100:BZ100)</f>
        <v>37482.528593309995</v>
      </c>
      <c r="L100" s="28">
        <f>SUM(CA100:CL100)</f>
        <v>38607.00445110929</v>
      </c>
      <c r="M100" s="28">
        <f>SUM(CM100:CX100)</f>
        <v>39765.21458464257</v>
      </c>
      <c r="N100" s="28">
        <f>SUM(CY100:DJ100)</f>
        <v>40958.17102218185</v>
      </c>
      <c r="O100" s="28">
        <f>SUM(DK100:DV100)</f>
        <v>42186.91615284731</v>
      </c>
      <c r="P100" s="28">
        <f>SUM(DW100:EH100)</f>
        <v>43452.52363743273</v>
      </c>
      <c r="Q100" s="28">
        <f>SUM(EI100:ET100)</f>
        <v>44756.09934655571</v>
      </c>
      <c r="S100" s="28">
        <f>IF(S97=1,IF(INDEX('Lease Cycles'!$EF$13:$EL$13,1,S95)=1,S98*INDEX('Lease Cycles'!$EM$13:$ES$13,1,S95)+S99*(1-INDEX('Lease Cycles'!$EM$13:$ES$13,1,S95)),S98),S98)</f>
        <v>3900</v>
      </c>
      <c r="T100" s="28">
        <f>IF(T97=1,IF(INDEX('Lease Cycles'!$EF$13:$EL$13,1,T95)=1,T98*INDEX('Lease Cycles'!$EM$13:$ES$13,1,T95)+T99*(1-INDEX('Lease Cycles'!$EM$13:$ES$13,1,T95)),T98),T98)</f>
        <v>3900</v>
      </c>
      <c r="U100" s="28">
        <f>IF(U97=1,IF(INDEX('Lease Cycles'!$EF$13:$EL$13,1,U95)=1,U98*INDEX('Lease Cycles'!$EM$13:$ES$13,1,U95)+U99*(1-INDEX('Lease Cycles'!$EM$13:$ES$13,1,U95)),U98),U98)</f>
        <v>3900</v>
      </c>
      <c r="V100" s="28">
        <f>IF(V97=1,IF(INDEX('Lease Cycles'!$EF$13:$EL$13,1,V95)=1,V98*INDEX('Lease Cycles'!$EM$13:$ES$13,1,V95)+V99*(1-INDEX('Lease Cycles'!$EM$13:$ES$13,1,V95)),V98),V98)</f>
        <v>3900</v>
      </c>
      <c r="W100" s="28">
        <f>IF(W97=1,IF(INDEX('Lease Cycles'!$EF$13:$EL$13,1,W95)=1,W98*INDEX('Lease Cycles'!$EM$13:$ES$13,1,W95)+W99*(1-INDEX('Lease Cycles'!$EM$13:$ES$13,1,W95)),W98),W98)</f>
        <v>3900</v>
      </c>
      <c r="X100" s="28">
        <f>IF(X97=1,IF(INDEX('Lease Cycles'!$EF$13:$EL$13,1,X95)=1,X98*INDEX('Lease Cycles'!$EM$13:$ES$13,1,X95)+X99*(1-INDEX('Lease Cycles'!$EM$13:$ES$13,1,X95)),X98),X98)</f>
        <v>3900</v>
      </c>
      <c r="Y100" s="28">
        <f>IF(Y97=1,IF(INDEX('Lease Cycles'!$EF$13:$EL$13,1,Y95)=1,Y98*INDEX('Lease Cycles'!$EM$13:$ES$13,1,Y95)+Y99*(1-INDEX('Lease Cycles'!$EM$13:$ES$13,1,Y95)),Y98),Y98)</f>
        <v>3900</v>
      </c>
      <c r="Z100" s="28">
        <f>IF(Z97=1,IF(INDEX('Lease Cycles'!$EF$13:$EL$13,1,Z95)=1,Z98*INDEX('Lease Cycles'!$EM$13:$ES$13,1,Z95)+Z99*(1-INDEX('Lease Cycles'!$EM$13:$ES$13,1,Z95)),Z98),Z98)</f>
        <v>3900</v>
      </c>
      <c r="AA100" s="28">
        <f>IF(AA97=1,IF(INDEX('Lease Cycles'!$EF$13:$EL$13,1,AA95)=1,AA98*INDEX('Lease Cycles'!$EM$13:$ES$13,1,AA95)+AA99*(1-INDEX('Lease Cycles'!$EM$13:$ES$13,1,AA95)),AA98),AA98)</f>
        <v>3900</v>
      </c>
      <c r="AB100" s="28">
        <f>IF(AB97=1,IF(INDEX('Lease Cycles'!$EF$13:$EL$13,1,AB95)=1,AB98*INDEX('Lease Cycles'!$EM$13:$ES$13,1,AB95)+AB99*(1-INDEX('Lease Cycles'!$EM$13:$ES$13,1,AB95)),AB98),AB98)</f>
        <v>3900</v>
      </c>
      <c r="AC100" s="28">
        <f>IF(AC97=1,IF(INDEX('Lease Cycles'!$EF$13:$EL$13,1,AC95)=1,AC98*INDEX('Lease Cycles'!$EM$13:$ES$13,1,AC95)+AC99*(1-INDEX('Lease Cycles'!$EM$13:$ES$13,1,AC95)),AC98),AC98)</f>
        <v>3900</v>
      </c>
      <c r="AD100" s="28">
        <f>IF(AD97=1,IF(INDEX('Lease Cycles'!$EF$13:$EL$13,1,AD95)=1,AD98*INDEX('Lease Cycles'!$EM$13:$ES$13,1,AD95)+AD99*(1-INDEX('Lease Cycles'!$EM$13:$ES$13,1,AD95)),AD98),AD98)</f>
        <v>3900</v>
      </c>
      <c r="AE100" s="28">
        <f>IF(AE97=1,IF(INDEX('Lease Cycles'!$EF$13:$EL$13,1,AE95)=1,AE98*INDEX('Lease Cycles'!$EM$13:$ES$13,1,AE95)+AE99*(1-INDEX('Lease Cycles'!$EM$13:$ES$13,1,AE95)),AE98),AE98)</f>
        <v>3900</v>
      </c>
      <c r="AF100" s="28">
        <f>IF(AF97=1,IF(INDEX('Lease Cycles'!$EF$13:$EL$13,1,AF95)=1,AF98*INDEX('Lease Cycles'!$EM$13:$ES$13,1,AF95)+AF99*(1-INDEX('Lease Cycles'!$EM$13:$ES$13,1,AF95)),AF98),AF98)</f>
        <v>3900</v>
      </c>
      <c r="AG100" s="28">
        <f>IF(AG97=1,IF(INDEX('Lease Cycles'!$EF$13:$EL$13,1,AG95)=1,AG98*INDEX('Lease Cycles'!$EM$13:$ES$13,1,AG95)+AG99*(1-INDEX('Lease Cycles'!$EM$13:$ES$13,1,AG95)),AG98),AG98)</f>
        <v>3900</v>
      </c>
      <c r="AH100" s="28">
        <f>IF(AH97=1,IF(INDEX('Lease Cycles'!$EF$13:$EL$13,1,AH95)=1,AH98*INDEX('Lease Cycles'!$EM$13:$ES$13,1,AH95)+AH99*(1-INDEX('Lease Cycles'!$EM$13:$ES$13,1,AH95)),AH98),AH98)</f>
        <v>3900</v>
      </c>
      <c r="AI100" s="28">
        <f>IF(AI97=1,IF(INDEX('Lease Cycles'!$EF$13:$EL$13,1,AI95)=1,AI98*INDEX('Lease Cycles'!$EM$13:$ES$13,1,AI95)+AI99*(1-INDEX('Lease Cycles'!$EM$13:$ES$13,1,AI95)),AI98),AI98)</f>
        <v>3900</v>
      </c>
      <c r="AJ100" s="28">
        <f>IF(AJ97=1,IF(INDEX('Lease Cycles'!$EF$13:$EL$13,1,AJ95)=1,AJ98*INDEX('Lease Cycles'!$EM$13:$ES$13,1,AJ95)+AJ99*(1-INDEX('Lease Cycles'!$EM$13:$ES$13,1,AJ95)),AJ98),AJ98)</f>
        <v>3900</v>
      </c>
      <c r="AK100" s="28">
        <f>IF(AK97=1,IF(INDEX('Lease Cycles'!$EF$13:$EL$13,1,AK95)=1,AK98*INDEX('Lease Cycles'!$EM$13:$ES$13,1,AK95)+AK99*(1-INDEX('Lease Cycles'!$EM$13:$ES$13,1,AK95)),AK98),AK98)</f>
        <v>3900</v>
      </c>
      <c r="AL100" s="28">
        <f>IF(AL97=1,IF(INDEX('Lease Cycles'!$EF$13:$EL$13,1,AL95)=1,AL98*INDEX('Lease Cycles'!$EM$13:$ES$13,1,AL95)+AL99*(1-INDEX('Lease Cycles'!$EM$13:$ES$13,1,AL95)),AL98),AL98)</f>
        <v>3900</v>
      </c>
      <c r="AM100" s="28">
        <f>IF(AM97=1,IF(INDEX('Lease Cycles'!$EF$13:$EL$13,1,AM95)=1,AM98*INDEX('Lease Cycles'!$EM$13:$ES$13,1,AM95)+AM99*(1-INDEX('Lease Cycles'!$EM$13:$ES$13,1,AM95)),AM98),AM98)</f>
        <v>3900</v>
      </c>
      <c r="AN100" s="28">
        <f>IF(AN97=1,IF(INDEX('Lease Cycles'!$EF$13:$EL$13,1,AN95)=1,AN98*INDEX('Lease Cycles'!$EM$13:$ES$13,1,AN95)+AN99*(1-INDEX('Lease Cycles'!$EM$13:$ES$13,1,AN95)),AN98),AN98)</f>
        <v>3900</v>
      </c>
      <c r="AO100" s="28">
        <f>IF(AO97=1,IF(INDEX('Lease Cycles'!$EF$13:$EL$13,1,AO95)=1,AO98*INDEX('Lease Cycles'!$EM$13:$ES$13,1,AO95)+AO99*(1-INDEX('Lease Cycles'!$EM$13:$ES$13,1,AO95)),AO98),AO98)</f>
        <v>3900</v>
      </c>
      <c r="AP100" s="28">
        <f>IF(AP97=1,IF(INDEX('Lease Cycles'!$EF$13:$EL$13,1,AP95)=1,AP98*INDEX('Lease Cycles'!$EM$13:$ES$13,1,AP95)+AP99*(1-INDEX('Lease Cycles'!$EM$13:$ES$13,1,AP95)),AP98),AP98)</f>
        <v>3900</v>
      </c>
      <c r="AQ100" s="28">
        <f>IF(AQ97=1,IF(INDEX('Lease Cycles'!$EF$13:$EL$13,1,AQ95)=1,AQ98*INDEX('Lease Cycles'!$EM$13:$ES$13,1,AQ95)+AQ99*(1-INDEX('Lease Cycles'!$EM$13:$ES$13,1,AQ95)),AQ98),AQ98)</f>
        <v>3900</v>
      </c>
      <c r="AR100" s="28">
        <f>IF(AR97=1,IF(INDEX('Lease Cycles'!$EF$13:$EL$13,1,AR95)=1,AR98*INDEX('Lease Cycles'!$EM$13:$ES$13,1,AR95)+AR99*(1-INDEX('Lease Cycles'!$EM$13:$ES$13,1,AR95)),AR98),AR98)</f>
        <v>3900</v>
      </c>
      <c r="AS100" s="28">
        <f>IF(AS97=1,IF(INDEX('Lease Cycles'!$EF$13:$EL$13,1,AS95)=1,AS98*INDEX('Lease Cycles'!$EM$13:$ES$13,1,AS95)+AS99*(1-INDEX('Lease Cycles'!$EM$13:$ES$13,1,AS95)),AS98),AS98)</f>
        <v>3900</v>
      </c>
      <c r="AT100" s="28">
        <f>IF(AT97=1,IF(INDEX('Lease Cycles'!$EF$13:$EL$13,1,AT95)=1,AT98*INDEX('Lease Cycles'!$EM$13:$ES$13,1,AT95)+AT99*(1-INDEX('Lease Cycles'!$EM$13:$ES$13,1,AT95)),AT98),AT98)</f>
        <v>3900</v>
      </c>
      <c r="AU100" s="28">
        <f>IF(AU97=1,IF(INDEX('Lease Cycles'!$EF$13:$EL$13,1,AU95)=1,AU98*INDEX('Lease Cycles'!$EM$13:$ES$13,1,AU95)+AU99*(1-INDEX('Lease Cycles'!$EM$13:$ES$13,1,AU95)),AU98),AU98)</f>
        <v>3900</v>
      </c>
      <c r="AV100" s="28">
        <f>IF(AV97=1,IF(INDEX('Lease Cycles'!$EF$13:$EL$13,1,AV95)=1,AV98*INDEX('Lease Cycles'!$EM$13:$ES$13,1,AV95)+AV99*(1-INDEX('Lease Cycles'!$EM$13:$ES$13,1,AV95)),AV98),AV98)</f>
        <v>3900</v>
      </c>
      <c r="AW100" s="28">
        <f>IF(AW97=1,IF(INDEX('Lease Cycles'!$EF$13:$EL$13,1,AW95)=1,AW98*INDEX('Lease Cycles'!$EM$13:$ES$13,1,AW95)+AW99*(1-INDEX('Lease Cycles'!$EM$13:$ES$13,1,AW95)),AW98),AW98)</f>
        <v>3900</v>
      </c>
      <c r="AX100" s="28">
        <f>IF(AX97=1,IF(INDEX('Lease Cycles'!$EF$13:$EL$13,1,AX95)=1,AX98*INDEX('Lease Cycles'!$EM$13:$ES$13,1,AX95)+AX99*(1-INDEX('Lease Cycles'!$EM$13:$ES$13,1,AX95)),AX98),AX98)</f>
        <v>3900</v>
      </c>
      <c r="AY100" s="28">
        <f>IF(AY97=1,IF(INDEX('Lease Cycles'!$EF$13:$EL$13,1,AY95)=1,AY98*INDEX('Lease Cycles'!$EM$13:$ES$13,1,AY95)+AY99*(1-INDEX('Lease Cycles'!$EM$13:$ES$13,1,AY95)),AY98),AY98)</f>
        <v>3900</v>
      </c>
      <c r="AZ100" s="28">
        <f>IF(AZ97=1,IF(INDEX('Lease Cycles'!$EF$13:$EL$13,1,AZ95)=1,AZ98*INDEX('Lease Cycles'!$EM$13:$ES$13,1,AZ95)+AZ99*(1-INDEX('Lease Cycles'!$EM$13:$ES$13,1,AZ95)),AZ98),AZ98)</f>
        <v>3900</v>
      </c>
      <c r="BA100" s="28">
        <f>IF(BA97=1,IF(INDEX('Lease Cycles'!$EF$13:$EL$13,1,BA95)=1,BA98*INDEX('Lease Cycles'!$EM$13:$ES$13,1,BA95)+BA99*(1-INDEX('Lease Cycles'!$EM$13:$ES$13,1,BA95)),BA98),BA98)</f>
        <v>3900</v>
      </c>
      <c r="BB100" s="28">
        <f>IF(BB97=1,IF(INDEX('Lease Cycles'!$EF$13:$EL$13,1,BB95)=1,BB98*INDEX('Lease Cycles'!$EM$13:$ES$13,1,BB95)+BB99*(1-INDEX('Lease Cycles'!$EM$13:$ES$13,1,BB95)),BB98),BB98)</f>
        <v>3900</v>
      </c>
      <c r="BC100" s="28">
        <f>IF(BC97=1,IF(INDEX('Lease Cycles'!$EF$13:$EL$13,1,BC95)=1,BC98*INDEX('Lease Cycles'!$EM$13:$ES$13,1,BC95)+BC99*(1-INDEX('Lease Cycles'!$EM$13:$ES$13,1,BC95)),BC98),BC98)</f>
        <v>3900</v>
      </c>
      <c r="BD100" s="28">
        <f>IF(BD97=1,IF(INDEX('Lease Cycles'!$EF$13:$EL$13,1,BD95)=1,BD98*INDEX('Lease Cycles'!$EM$13:$ES$13,1,BD95)+BD99*(1-INDEX('Lease Cycles'!$EM$13:$ES$13,1,BD95)),BD98),BD98)</f>
        <v>3900</v>
      </c>
      <c r="BE100" s="28">
        <f>IF(BE97=1,IF(INDEX('Lease Cycles'!$EF$13:$EL$13,1,BE95)=1,BE98*INDEX('Lease Cycles'!$EM$13:$ES$13,1,BE95)+BE99*(1-INDEX('Lease Cycles'!$EM$13:$ES$13,1,BE95)),BE98),BE98)</f>
        <v>3900</v>
      </c>
      <c r="BF100" s="28">
        <f>IF(BF97=1,IF(INDEX('Lease Cycles'!$EF$13:$EL$13,1,BF95)=1,BF98*INDEX('Lease Cycles'!$EM$13:$ES$13,1,BF95)+BF99*(1-INDEX('Lease Cycles'!$EM$13:$ES$13,1,BF95)),BF98),BF98)</f>
        <v>3900</v>
      </c>
      <c r="BG100" s="28">
        <f>IF(BG97=1,IF(INDEX('Lease Cycles'!$EF$13:$EL$13,1,BG95)=1,BG98*INDEX('Lease Cycles'!$EM$13:$ES$13,1,BG95)+BG99*(1-INDEX('Lease Cycles'!$EM$13:$ES$13,1,BG95)),BG98),BG98)</f>
        <v>3900</v>
      </c>
      <c r="BH100" s="28">
        <f>IF(BH97=1,IF(INDEX('Lease Cycles'!$EF$13:$EL$13,1,BH95)=1,BH98*INDEX('Lease Cycles'!$EM$13:$ES$13,1,BH95)+BH99*(1-INDEX('Lease Cycles'!$EM$13:$ES$13,1,BH95)),BH98),BH98)</f>
        <v>3900</v>
      </c>
      <c r="BI100" s="28">
        <f>IF(BI97=1,IF(INDEX('Lease Cycles'!$EF$13:$EL$13,1,BI95)=1,BI98*INDEX('Lease Cycles'!$EM$13:$ES$13,1,BI95)+BI99*(1-INDEX('Lease Cycles'!$EM$13:$ES$13,1,BI95)),BI98),BI98)</f>
        <v>3900</v>
      </c>
      <c r="BJ100" s="28">
        <f>IF(BJ97=1,IF(INDEX('Lease Cycles'!$EF$13:$EL$13,1,BJ95)=1,BJ98*INDEX('Lease Cycles'!$EM$13:$ES$13,1,BJ95)+BJ99*(1-INDEX('Lease Cycles'!$EM$13:$ES$13,1,BJ95)),BJ98),BJ98)</f>
        <v>3900</v>
      </c>
      <c r="BK100" s="28">
        <f>IF(BK97=1,IF(INDEX('Lease Cycles'!$EF$13:$EL$13,1,BK95)=1,BK98*INDEX('Lease Cycles'!$EM$13:$ES$13,1,BK95)+BK99*(1-INDEX('Lease Cycles'!$EM$13:$ES$13,1,BK95)),BK98),BK98)</f>
        <v>4346.447427158879</v>
      </c>
      <c r="BL100" s="28">
        <f>IF(BL97=1,IF(INDEX('Lease Cycles'!$EF$13:$EL$13,1,BL95)=1,BL98*INDEX('Lease Cycles'!$EM$13:$ES$13,1,BL95)+BL99*(1-INDEX('Lease Cycles'!$EM$13:$ES$13,1,BL95)),BL98),BL98)</f>
        <v>3100.291860488833</v>
      </c>
      <c r="BM100" s="28">
        <f>IF(BM97=1,IF(INDEX('Lease Cycles'!$EF$13:$EL$13,1,BM95)=1,BM98*INDEX('Lease Cycles'!$EM$13:$ES$13,1,BM95)+BM99*(1-INDEX('Lease Cycles'!$EM$13:$ES$13,1,BM95)),BM98),BM98)</f>
        <v>3100.291860488833</v>
      </c>
      <c r="BN100" s="28">
        <f>IF(BN97=1,IF(INDEX('Lease Cycles'!$EF$13:$EL$13,1,BN95)=1,BN98*INDEX('Lease Cycles'!$EM$13:$ES$13,1,BN95)+BN99*(1-INDEX('Lease Cycles'!$EM$13:$ES$13,1,BN95)),BN98),BN98)</f>
        <v>3100.291860488833</v>
      </c>
      <c r="BO100" s="28">
        <f>IF(BO97=1,IF(INDEX('Lease Cycles'!$EF$13:$EL$13,1,BO95)=1,BO98*INDEX('Lease Cycles'!$EM$13:$ES$13,1,BO95)+BO99*(1-INDEX('Lease Cycles'!$EM$13:$ES$13,1,BO95)),BO98),BO98)</f>
        <v>3100.291860488833</v>
      </c>
      <c r="BP100" s="28">
        <f>IF(BP97=1,IF(INDEX('Lease Cycles'!$EF$13:$EL$13,1,BP95)=1,BP98*INDEX('Lease Cycles'!$EM$13:$ES$13,1,BP95)+BP99*(1-INDEX('Lease Cycles'!$EM$13:$ES$13,1,BP95)),BP98),BP98)</f>
        <v>3100.291860488833</v>
      </c>
      <c r="BQ100" s="28">
        <f>IF(BQ97=1,IF(INDEX('Lease Cycles'!$EF$13:$EL$13,1,BQ95)=1,BQ98*INDEX('Lease Cycles'!$EM$13:$ES$13,1,BQ95)+BQ99*(1-INDEX('Lease Cycles'!$EM$13:$ES$13,1,BQ95)),BQ98),BQ98)</f>
        <v>3100.291860488833</v>
      </c>
      <c r="BR100" s="28">
        <f>IF(BR97=1,IF(INDEX('Lease Cycles'!$EF$13:$EL$13,1,BR95)=1,BR98*INDEX('Lease Cycles'!$EM$13:$ES$13,1,BR95)+BR99*(1-INDEX('Lease Cycles'!$EM$13:$ES$13,1,BR95)),BR98),BR98)</f>
        <v>3100.291860488833</v>
      </c>
      <c r="BS100" s="28">
        <f>IF(BS97=1,IF(INDEX('Lease Cycles'!$EF$13:$EL$13,1,BS95)=1,BS98*INDEX('Lease Cycles'!$EM$13:$ES$13,1,BS95)+BS99*(1-INDEX('Lease Cycles'!$EM$13:$ES$13,1,BS95)),BS98),BS98)</f>
        <v>3100.291860488833</v>
      </c>
      <c r="BT100" s="28">
        <f>IF(BT97=1,IF(INDEX('Lease Cycles'!$EF$13:$EL$13,1,BT95)=1,BT98*INDEX('Lease Cycles'!$EM$13:$ES$13,1,BT95)+BT99*(1-INDEX('Lease Cycles'!$EM$13:$ES$13,1,BT95)),BT98),BT98)</f>
        <v>3100.291860488833</v>
      </c>
      <c r="BU100" s="28">
        <f>IF(BU97=1,IF(INDEX('Lease Cycles'!$EF$13:$EL$13,1,BU95)=1,BU98*INDEX('Lease Cycles'!$EM$13:$ES$13,1,BU95)+BU99*(1-INDEX('Lease Cycles'!$EM$13:$ES$13,1,BU95)),BU98),BU98)</f>
        <v>3100.291860488833</v>
      </c>
      <c r="BV100" s="28">
        <f>IF(BV97=1,IF(INDEX('Lease Cycles'!$EF$13:$EL$13,1,BV95)=1,BV98*INDEX('Lease Cycles'!$EM$13:$ES$13,1,BV95)+BV99*(1-INDEX('Lease Cycles'!$EM$13:$ES$13,1,BV95)),BV98),BV98)</f>
        <v>3100.291860488833</v>
      </c>
      <c r="BW100" s="28">
        <f>IF(BW97=1,IF(INDEX('Lease Cycles'!$EF$13:$EL$13,1,BW95)=1,BW98*INDEX('Lease Cycles'!$EM$13:$ES$13,1,BW95)+BW99*(1-INDEX('Lease Cycles'!$EM$13:$ES$13,1,BW95)),BW98),BW98)</f>
        <v>3100.291860488833</v>
      </c>
      <c r="BX100" s="28">
        <f>IF(BX97=1,IF(INDEX('Lease Cycles'!$EF$13:$EL$13,1,BX95)=1,BX98*INDEX('Lease Cycles'!$EM$13:$ES$13,1,BX95)+BX99*(1-INDEX('Lease Cycles'!$EM$13:$ES$13,1,BX95)),BX98),BX98)</f>
        <v>3193.3006163034984</v>
      </c>
      <c r="BY100" s="28">
        <f>IF(BY97=1,IF(INDEX('Lease Cycles'!$EF$13:$EL$13,1,BY95)=1,BY98*INDEX('Lease Cycles'!$EM$13:$ES$13,1,BY95)+BY99*(1-INDEX('Lease Cycles'!$EM$13:$ES$13,1,BY95)),BY98),BY98)</f>
        <v>3193.3006163034984</v>
      </c>
      <c r="BZ100" s="28">
        <f>IF(BZ97=1,IF(INDEX('Lease Cycles'!$EF$13:$EL$13,1,BZ95)=1,BZ98*INDEX('Lease Cycles'!$EM$13:$ES$13,1,BZ95)+BZ99*(1-INDEX('Lease Cycles'!$EM$13:$ES$13,1,BZ95)),BZ98),BZ98)</f>
        <v>3193.3006163034984</v>
      </c>
      <c r="CA100" s="28">
        <f>IF(CA97=1,IF(INDEX('Lease Cycles'!$EF$13:$EL$13,1,CA95)=1,CA98*INDEX('Lease Cycles'!$EM$13:$ES$13,1,CA95)+CA99*(1-INDEX('Lease Cycles'!$EM$13:$ES$13,1,CA95)),CA98),CA98)</f>
        <v>3193.3006163034984</v>
      </c>
      <c r="CB100" s="28">
        <f>IF(CB97=1,IF(INDEX('Lease Cycles'!$EF$13:$EL$13,1,CB95)=1,CB98*INDEX('Lease Cycles'!$EM$13:$ES$13,1,CB95)+CB99*(1-INDEX('Lease Cycles'!$EM$13:$ES$13,1,CB95)),CB98),CB98)</f>
        <v>3193.3006163034984</v>
      </c>
      <c r="CC100" s="28">
        <f>IF(CC97=1,IF(INDEX('Lease Cycles'!$EF$13:$EL$13,1,CC95)=1,CC98*INDEX('Lease Cycles'!$EM$13:$ES$13,1,CC95)+CC99*(1-INDEX('Lease Cycles'!$EM$13:$ES$13,1,CC95)),CC98),CC98)</f>
        <v>3193.3006163034984</v>
      </c>
      <c r="CD100" s="28">
        <f>IF(CD97=1,IF(INDEX('Lease Cycles'!$EF$13:$EL$13,1,CD95)=1,CD98*INDEX('Lease Cycles'!$EM$13:$ES$13,1,CD95)+CD99*(1-INDEX('Lease Cycles'!$EM$13:$ES$13,1,CD95)),CD98),CD98)</f>
        <v>3193.3006163034984</v>
      </c>
      <c r="CE100" s="28">
        <f>IF(CE97=1,IF(INDEX('Lease Cycles'!$EF$13:$EL$13,1,CE95)=1,CE98*INDEX('Lease Cycles'!$EM$13:$ES$13,1,CE95)+CE99*(1-INDEX('Lease Cycles'!$EM$13:$ES$13,1,CE95)),CE98),CE98)</f>
        <v>3193.3006163034984</v>
      </c>
      <c r="CF100" s="28">
        <f>IF(CF97=1,IF(INDEX('Lease Cycles'!$EF$13:$EL$13,1,CF95)=1,CF98*INDEX('Lease Cycles'!$EM$13:$ES$13,1,CF95)+CF99*(1-INDEX('Lease Cycles'!$EM$13:$ES$13,1,CF95)),CF98),CF98)</f>
        <v>3193.3006163034984</v>
      </c>
      <c r="CG100" s="28">
        <f>IF(CG97=1,IF(INDEX('Lease Cycles'!$EF$13:$EL$13,1,CG95)=1,CG98*INDEX('Lease Cycles'!$EM$13:$ES$13,1,CG95)+CG99*(1-INDEX('Lease Cycles'!$EM$13:$ES$13,1,CG95)),CG98),CG98)</f>
        <v>3193.3006163034984</v>
      </c>
      <c r="CH100" s="28">
        <f>IF(CH97=1,IF(INDEX('Lease Cycles'!$EF$13:$EL$13,1,CH95)=1,CH98*INDEX('Lease Cycles'!$EM$13:$ES$13,1,CH95)+CH99*(1-INDEX('Lease Cycles'!$EM$13:$ES$13,1,CH95)),CH98),CH98)</f>
        <v>3193.3006163034984</v>
      </c>
      <c r="CI100" s="28">
        <f>IF(CI97=1,IF(INDEX('Lease Cycles'!$EF$13:$EL$13,1,CI95)=1,CI98*INDEX('Lease Cycles'!$EM$13:$ES$13,1,CI95)+CI99*(1-INDEX('Lease Cycles'!$EM$13:$ES$13,1,CI95)),CI98),CI98)</f>
        <v>3193.3006163034984</v>
      </c>
      <c r="CJ100" s="28">
        <f>IF(CJ97=1,IF(INDEX('Lease Cycles'!$EF$13:$EL$13,1,CJ95)=1,CJ98*INDEX('Lease Cycles'!$EM$13:$ES$13,1,CJ95)+CJ99*(1-INDEX('Lease Cycles'!$EM$13:$ES$13,1,CJ95)),CJ98),CJ98)</f>
        <v>3289.099634792603</v>
      </c>
      <c r="CK100" s="28">
        <f>IF(CK97=1,IF(INDEX('Lease Cycles'!$EF$13:$EL$13,1,CK95)=1,CK98*INDEX('Lease Cycles'!$EM$13:$ES$13,1,CK95)+CK99*(1-INDEX('Lease Cycles'!$EM$13:$ES$13,1,CK95)),CK98),CK98)</f>
        <v>3289.099634792603</v>
      </c>
      <c r="CL100" s="28">
        <f>IF(CL97=1,IF(INDEX('Lease Cycles'!$EF$13:$EL$13,1,CL95)=1,CL98*INDEX('Lease Cycles'!$EM$13:$ES$13,1,CL95)+CL99*(1-INDEX('Lease Cycles'!$EM$13:$ES$13,1,CL95)),CL98),CL98)</f>
        <v>3289.099634792603</v>
      </c>
      <c r="CM100" s="28">
        <f>IF(CM97=1,IF(INDEX('Lease Cycles'!$EF$13:$EL$13,1,CM95)=1,CM98*INDEX('Lease Cycles'!$EM$13:$ES$13,1,CM95)+CM99*(1-INDEX('Lease Cycles'!$EM$13:$ES$13,1,CM95)),CM98),CM98)</f>
        <v>3289.099634792603</v>
      </c>
      <c r="CN100" s="28">
        <f>IF(CN97=1,IF(INDEX('Lease Cycles'!$EF$13:$EL$13,1,CN95)=1,CN98*INDEX('Lease Cycles'!$EM$13:$ES$13,1,CN95)+CN99*(1-INDEX('Lease Cycles'!$EM$13:$ES$13,1,CN95)),CN98),CN98)</f>
        <v>3289.099634792603</v>
      </c>
      <c r="CO100" s="28">
        <f>IF(CO97=1,IF(INDEX('Lease Cycles'!$EF$13:$EL$13,1,CO95)=1,CO98*INDEX('Lease Cycles'!$EM$13:$ES$13,1,CO95)+CO99*(1-INDEX('Lease Cycles'!$EM$13:$ES$13,1,CO95)),CO98),CO98)</f>
        <v>3289.099634792603</v>
      </c>
      <c r="CP100" s="28">
        <f>IF(CP97=1,IF(INDEX('Lease Cycles'!$EF$13:$EL$13,1,CP95)=1,CP98*INDEX('Lease Cycles'!$EM$13:$ES$13,1,CP95)+CP99*(1-INDEX('Lease Cycles'!$EM$13:$ES$13,1,CP95)),CP98),CP98)</f>
        <v>3289.099634792603</v>
      </c>
      <c r="CQ100" s="28">
        <f>IF(CQ97=1,IF(INDEX('Lease Cycles'!$EF$13:$EL$13,1,CQ95)=1,CQ98*INDEX('Lease Cycles'!$EM$13:$ES$13,1,CQ95)+CQ99*(1-INDEX('Lease Cycles'!$EM$13:$ES$13,1,CQ95)),CQ98),CQ98)</f>
        <v>3289.099634792603</v>
      </c>
      <c r="CR100" s="28">
        <f>IF(CR97=1,IF(INDEX('Lease Cycles'!$EF$13:$EL$13,1,CR95)=1,CR98*INDEX('Lease Cycles'!$EM$13:$ES$13,1,CR95)+CR99*(1-INDEX('Lease Cycles'!$EM$13:$ES$13,1,CR95)),CR98),CR98)</f>
        <v>3289.099634792603</v>
      </c>
      <c r="CS100" s="28">
        <f>IF(CS97=1,IF(INDEX('Lease Cycles'!$EF$13:$EL$13,1,CS95)=1,CS98*INDEX('Lease Cycles'!$EM$13:$ES$13,1,CS95)+CS99*(1-INDEX('Lease Cycles'!$EM$13:$ES$13,1,CS95)),CS98),CS98)</f>
        <v>3289.099634792603</v>
      </c>
      <c r="CT100" s="28">
        <f>IF(CT97=1,IF(INDEX('Lease Cycles'!$EF$13:$EL$13,1,CT95)=1,CT98*INDEX('Lease Cycles'!$EM$13:$ES$13,1,CT95)+CT99*(1-INDEX('Lease Cycles'!$EM$13:$ES$13,1,CT95)),CT98),CT98)</f>
        <v>3289.099634792603</v>
      </c>
      <c r="CU100" s="28">
        <f>IF(CU97=1,IF(INDEX('Lease Cycles'!$EF$13:$EL$13,1,CU95)=1,CU98*INDEX('Lease Cycles'!$EM$13:$ES$13,1,CU95)+CU99*(1-INDEX('Lease Cycles'!$EM$13:$ES$13,1,CU95)),CU98),CU98)</f>
        <v>3289.099634792603</v>
      </c>
      <c r="CV100" s="28">
        <f>IF(CV97=1,IF(INDEX('Lease Cycles'!$EF$13:$EL$13,1,CV95)=1,CV98*INDEX('Lease Cycles'!$EM$13:$ES$13,1,CV95)+CV99*(1-INDEX('Lease Cycles'!$EM$13:$ES$13,1,CV95)),CV98),CV98)</f>
        <v>3387.772623836381</v>
      </c>
      <c r="CW100" s="28">
        <f>IF(CW97=1,IF(INDEX('Lease Cycles'!$EF$13:$EL$13,1,CW95)=1,CW98*INDEX('Lease Cycles'!$EM$13:$ES$13,1,CW95)+CW99*(1-INDEX('Lease Cycles'!$EM$13:$ES$13,1,CW95)),CW98),CW98)</f>
        <v>3387.772623836381</v>
      </c>
      <c r="CX100" s="28">
        <f>IF(CX97=1,IF(INDEX('Lease Cycles'!$EF$13:$EL$13,1,CX95)=1,CX98*INDEX('Lease Cycles'!$EM$13:$ES$13,1,CX95)+CX99*(1-INDEX('Lease Cycles'!$EM$13:$ES$13,1,CX95)),CX98),CX98)</f>
        <v>3387.772623836381</v>
      </c>
      <c r="CY100" s="28">
        <f>IF(CY97=1,IF(INDEX('Lease Cycles'!$EF$13:$EL$13,1,CY95)=1,CY98*INDEX('Lease Cycles'!$EM$13:$ES$13,1,CY95)+CY99*(1-INDEX('Lease Cycles'!$EM$13:$ES$13,1,CY95)),CY98),CY98)</f>
        <v>3387.772623836381</v>
      </c>
      <c r="CZ100" s="28">
        <f>IF(CZ97=1,IF(INDEX('Lease Cycles'!$EF$13:$EL$13,1,CZ95)=1,CZ98*INDEX('Lease Cycles'!$EM$13:$ES$13,1,CZ95)+CZ99*(1-INDEX('Lease Cycles'!$EM$13:$ES$13,1,CZ95)),CZ98),CZ98)</f>
        <v>3387.772623836381</v>
      </c>
      <c r="DA100" s="28">
        <f>IF(DA97=1,IF(INDEX('Lease Cycles'!$EF$13:$EL$13,1,DA95)=1,DA98*INDEX('Lease Cycles'!$EM$13:$ES$13,1,DA95)+DA99*(1-INDEX('Lease Cycles'!$EM$13:$ES$13,1,DA95)),DA98),DA98)</f>
        <v>3387.772623836381</v>
      </c>
      <c r="DB100" s="28">
        <f>IF(DB97=1,IF(INDEX('Lease Cycles'!$EF$13:$EL$13,1,DB95)=1,DB98*INDEX('Lease Cycles'!$EM$13:$ES$13,1,DB95)+DB99*(1-INDEX('Lease Cycles'!$EM$13:$ES$13,1,DB95)),DB98),DB98)</f>
        <v>3387.772623836381</v>
      </c>
      <c r="DC100" s="28">
        <f>IF(DC97=1,IF(INDEX('Lease Cycles'!$EF$13:$EL$13,1,DC95)=1,DC98*INDEX('Lease Cycles'!$EM$13:$ES$13,1,DC95)+DC99*(1-INDEX('Lease Cycles'!$EM$13:$ES$13,1,DC95)),DC98),DC98)</f>
        <v>3387.772623836381</v>
      </c>
      <c r="DD100" s="28">
        <f>IF(DD97=1,IF(INDEX('Lease Cycles'!$EF$13:$EL$13,1,DD95)=1,DD98*INDEX('Lease Cycles'!$EM$13:$ES$13,1,DD95)+DD99*(1-INDEX('Lease Cycles'!$EM$13:$ES$13,1,DD95)),DD98),DD98)</f>
        <v>3387.772623836381</v>
      </c>
      <c r="DE100" s="28">
        <f>IF(DE97=1,IF(INDEX('Lease Cycles'!$EF$13:$EL$13,1,DE95)=1,DE98*INDEX('Lease Cycles'!$EM$13:$ES$13,1,DE95)+DE99*(1-INDEX('Lease Cycles'!$EM$13:$ES$13,1,DE95)),DE98),DE98)</f>
        <v>3387.772623836381</v>
      </c>
      <c r="DF100" s="28">
        <f>IF(DF97=1,IF(INDEX('Lease Cycles'!$EF$13:$EL$13,1,DF95)=1,DF98*INDEX('Lease Cycles'!$EM$13:$ES$13,1,DF95)+DF99*(1-INDEX('Lease Cycles'!$EM$13:$ES$13,1,DF95)),DF98),DF98)</f>
        <v>3387.772623836381</v>
      </c>
      <c r="DG100" s="28">
        <f>IF(DG97=1,IF(INDEX('Lease Cycles'!$EF$13:$EL$13,1,DG95)=1,DG98*INDEX('Lease Cycles'!$EM$13:$ES$13,1,DG95)+DG99*(1-INDEX('Lease Cycles'!$EM$13:$ES$13,1,DG95)),DG98),DG98)</f>
        <v>3387.772623836381</v>
      </c>
      <c r="DH100" s="28">
        <f>IF(DH97=1,IF(INDEX('Lease Cycles'!$EF$13:$EL$13,1,DH95)=1,DH98*INDEX('Lease Cycles'!$EM$13:$ES$13,1,DH95)+DH99*(1-INDEX('Lease Cycles'!$EM$13:$ES$13,1,DH95)),DH98),DH98)</f>
        <v>3489.4058025514732</v>
      </c>
      <c r="DI100" s="28">
        <f>IF(DI97=1,IF(INDEX('Lease Cycles'!$EF$13:$EL$13,1,DI95)=1,DI98*INDEX('Lease Cycles'!$EM$13:$ES$13,1,DI95)+DI99*(1-INDEX('Lease Cycles'!$EM$13:$ES$13,1,DI95)),DI98),DI98)</f>
        <v>3489.4058025514732</v>
      </c>
      <c r="DJ100" s="28">
        <f>IF(DJ97=1,IF(INDEX('Lease Cycles'!$EF$13:$EL$13,1,DJ95)=1,DJ98*INDEX('Lease Cycles'!$EM$13:$ES$13,1,DJ95)+DJ99*(1-INDEX('Lease Cycles'!$EM$13:$ES$13,1,DJ95)),DJ98),DJ98)</f>
        <v>3489.4058025514732</v>
      </c>
      <c r="DK100" s="28">
        <f>IF(DK97=1,IF(INDEX('Lease Cycles'!$EF$13:$EL$13,1,DK95)=1,DK98*INDEX('Lease Cycles'!$EM$13:$ES$13,1,DK95)+DK99*(1-INDEX('Lease Cycles'!$EM$13:$ES$13,1,DK95)),DK98),DK98)</f>
        <v>3489.4058025514732</v>
      </c>
      <c r="DL100" s="28">
        <f>IF(DL97=1,IF(INDEX('Lease Cycles'!$EF$13:$EL$13,1,DL95)=1,DL98*INDEX('Lease Cycles'!$EM$13:$ES$13,1,DL95)+DL99*(1-INDEX('Lease Cycles'!$EM$13:$ES$13,1,DL95)),DL98),DL98)</f>
        <v>3489.4058025514732</v>
      </c>
      <c r="DM100" s="28">
        <f>IF(DM97=1,IF(INDEX('Lease Cycles'!$EF$13:$EL$13,1,DM95)=1,DM98*INDEX('Lease Cycles'!$EM$13:$ES$13,1,DM95)+DM99*(1-INDEX('Lease Cycles'!$EM$13:$ES$13,1,DM95)),DM98),DM98)</f>
        <v>3489.4058025514732</v>
      </c>
      <c r="DN100" s="28">
        <f>IF(DN97=1,IF(INDEX('Lease Cycles'!$EF$13:$EL$13,1,DN95)=1,DN98*INDEX('Lease Cycles'!$EM$13:$ES$13,1,DN95)+DN99*(1-INDEX('Lease Cycles'!$EM$13:$ES$13,1,DN95)),DN98),DN98)</f>
        <v>3489.4058025514732</v>
      </c>
      <c r="DO100" s="28">
        <f>IF(DO97=1,IF(INDEX('Lease Cycles'!$EF$13:$EL$13,1,DO95)=1,DO98*INDEX('Lease Cycles'!$EM$13:$ES$13,1,DO95)+DO99*(1-INDEX('Lease Cycles'!$EM$13:$ES$13,1,DO95)),DO98),DO98)</f>
        <v>3489.4058025514732</v>
      </c>
      <c r="DP100" s="28">
        <f>IF(DP97=1,IF(INDEX('Lease Cycles'!$EF$13:$EL$13,1,DP95)=1,DP98*INDEX('Lease Cycles'!$EM$13:$ES$13,1,DP95)+DP99*(1-INDEX('Lease Cycles'!$EM$13:$ES$13,1,DP95)),DP98),DP98)</f>
        <v>3489.4058025514732</v>
      </c>
      <c r="DQ100" s="28">
        <f>IF(DQ97=1,IF(INDEX('Lease Cycles'!$EF$13:$EL$13,1,DQ95)=1,DQ98*INDEX('Lease Cycles'!$EM$13:$ES$13,1,DQ95)+DQ99*(1-INDEX('Lease Cycles'!$EM$13:$ES$13,1,DQ95)),DQ98),DQ98)</f>
        <v>3489.4058025514732</v>
      </c>
      <c r="DR100" s="28">
        <f>IF(DR97=1,IF(INDEX('Lease Cycles'!$EF$13:$EL$13,1,DR95)=1,DR98*INDEX('Lease Cycles'!$EM$13:$ES$13,1,DR95)+DR99*(1-INDEX('Lease Cycles'!$EM$13:$ES$13,1,DR95)),DR98),DR98)</f>
        <v>3489.4058025514732</v>
      </c>
      <c r="DS100" s="28">
        <f>IF(DS97=1,IF(INDEX('Lease Cycles'!$EF$13:$EL$13,1,DS95)=1,DS98*INDEX('Lease Cycles'!$EM$13:$ES$13,1,DS95)+DS99*(1-INDEX('Lease Cycles'!$EM$13:$ES$13,1,DS95)),DS98),DS98)</f>
        <v>3489.4058025514732</v>
      </c>
      <c r="DT100" s="28">
        <f>IF(DT97=1,IF(INDEX('Lease Cycles'!$EF$13:$EL$13,1,DT95)=1,DT98*INDEX('Lease Cycles'!$EM$13:$ES$13,1,DT95)+DT99*(1-INDEX('Lease Cycles'!$EM$13:$ES$13,1,DT95)),DT98),DT98)</f>
        <v>3594.0879766280173</v>
      </c>
      <c r="DU100" s="28">
        <f>IF(DU97=1,IF(INDEX('Lease Cycles'!$EF$13:$EL$13,1,DU95)=1,DU98*INDEX('Lease Cycles'!$EM$13:$ES$13,1,DU95)+DU99*(1-INDEX('Lease Cycles'!$EM$13:$ES$13,1,DU95)),DU98),DU98)</f>
        <v>3594.0879766280173</v>
      </c>
      <c r="DV100" s="28">
        <f>IF(DV97=1,IF(INDEX('Lease Cycles'!$EF$13:$EL$13,1,DV95)=1,DV98*INDEX('Lease Cycles'!$EM$13:$ES$13,1,DV95)+DV99*(1-INDEX('Lease Cycles'!$EM$13:$ES$13,1,DV95)),DV98),DV98)</f>
        <v>3594.0879766280173</v>
      </c>
      <c r="DW100" s="28">
        <f>IF(DW97=1,IF(INDEX('Lease Cycles'!$EF$13:$EL$13,1,DW95)=1,DW98*INDEX('Lease Cycles'!$EM$13:$ES$13,1,DW95)+DW99*(1-INDEX('Lease Cycles'!$EM$13:$ES$13,1,DW95)),DW98),DW98)</f>
        <v>3594.0879766280173</v>
      </c>
      <c r="DX100" s="28">
        <f>IF(DX97=1,IF(INDEX('Lease Cycles'!$EF$13:$EL$13,1,DX95)=1,DX98*INDEX('Lease Cycles'!$EM$13:$ES$13,1,DX95)+DX99*(1-INDEX('Lease Cycles'!$EM$13:$ES$13,1,DX95)),DX98),DX98)</f>
        <v>3594.0879766280173</v>
      </c>
      <c r="DY100" s="28">
        <f>IF(DY97=1,IF(INDEX('Lease Cycles'!$EF$13:$EL$13,1,DY95)=1,DY98*INDEX('Lease Cycles'!$EM$13:$ES$13,1,DY95)+DY99*(1-INDEX('Lease Cycles'!$EM$13:$ES$13,1,DY95)),DY98),DY98)</f>
        <v>3594.0879766280173</v>
      </c>
      <c r="DZ100" s="28">
        <f>IF(DZ97=1,IF(INDEX('Lease Cycles'!$EF$13:$EL$13,1,DZ95)=1,DZ98*INDEX('Lease Cycles'!$EM$13:$ES$13,1,DZ95)+DZ99*(1-INDEX('Lease Cycles'!$EM$13:$ES$13,1,DZ95)),DZ98),DZ98)</f>
        <v>3594.0879766280173</v>
      </c>
      <c r="EA100" s="28">
        <f>IF(EA97=1,IF(INDEX('Lease Cycles'!$EF$13:$EL$13,1,EA95)=1,EA98*INDEX('Lease Cycles'!$EM$13:$ES$13,1,EA95)+EA99*(1-INDEX('Lease Cycles'!$EM$13:$ES$13,1,EA95)),EA98),EA98)</f>
        <v>3594.0879766280173</v>
      </c>
      <c r="EB100" s="28">
        <f>IF(EB97=1,IF(INDEX('Lease Cycles'!$EF$13:$EL$13,1,EB95)=1,EB98*INDEX('Lease Cycles'!$EM$13:$ES$13,1,EB95)+EB99*(1-INDEX('Lease Cycles'!$EM$13:$ES$13,1,EB95)),EB98),EB98)</f>
        <v>3594.0879766280173</v>
      </c>
      <c r="EC100" s="28">
        <f>IF(EC97=1,IF(INDEX('Lease Cycles'!$EF$13:$EL$13,1,EC95)=1,EC98*INDEX('Lease Cycles'!$EM$13:$ES$13,1,EC95)+EC99*(1-INDEX('Lease Cycles'!$EM$13:$ES$13,1,EC95)),EC98),EC98)</f>
        <v>3594.0879766280173</v>
      </c>
      <c r="ED100" s="28">
        <f>IF(ED97=1,IF(INDEX('Lease Cycles'!$EF$13:$EL$13,1,ED95)=1,ED98*INDEX('Lease Cycles'!$EM$13:$ES$13,1,ED95)+ED99*(1-INDEX('Lease Cycles'!$EM$13:$ES$13,1,ED95)),ED98),ED98)</f>
        <v>3594.0879766280173</v>
      </c>
      <c r="EE100" s="28">
        <f>IF(EE97=1,IF(INDEX('Lease Cycles'!$EF$13:$EL$13,1,EE95)=1,EE98*INDEX('Lease Cycles'!$EM$13:$ES$13,1,EE95)+EE99*(1-INDEX('Lease Cycles'!$EM$13:$ES$13,1,EE95)),EE98),EE98)</f>
        <v>3594.0879766280173</v>
      </c>
      <c r="EF100" s="28">
        <f>IF(EF97=1,IF(INDEX('Lease Cycles'!$EF$13:$EL$13,1,EF95)=1,EF98*INDEX('Lease Cycles'!$EM$13:$ES$13,1,EF95)+EF99*(1-INDEX('Lease Cycles'!$EM$13:$ES$13,1,EF95)),EF98),EF98)</f>
        <v>3701.910615926858</v>
      </c>
      <c r="EG100" s="28">
        <f>IF(EG97=1,IF(INDEX('Lease Cycles'!$EF$13:$EL$13,1,EG95)=1,EG98*INDEX('Lease Cycles'!$EM$13:$ES$13,1,EG95)+EG99*(1-INDEX('Lease Cycles'!$EM$13:$ES$13,1,EG95)),EG98),EG98)</f>
        <v>3701.910615926858</v>
      </c>
      <c r="EH100" s="28">
        <f>IF(EH97=1,IF(INDEX('Lease Cycles'!$EF$13:$EL$13,1,EH95)=1,EH98*INDEX('Lease Cycles'!$EM$13:$ES$13,1,EH95)+EH99*(1-INDEX('Lease Cycles'!$EM$13:$ES$13,1,EH95)),EH98),EH98)</f>
        <v>3701.910615926858</v>
      </c>
      <c r="EI100" s="28">
        <f>IF(EI97=1,IF(INDEX('Lease Cycles'!$EF$13:$EL$13,1,EI95)=1,EI98*INDEX('Lease Cycles'!$EM$13:$ES$13,1,EI95)+EI99*(1-INDEX('Lease Cycles'!$EM$13:$ES$13,1,EI95)),EI98),EI98)</f>
        <v>3701.910615926858</v>
      </c>
      <c r="EJ100" s="28">
        <f>IF(EJ97=1,IF(INDEX('Lease Cycles'!$EF$13:$EL$13,1,EJ95)=1,EJ98*INDEX('Lease Cycles'!$EM$13:$ES$13,1,EJ95)+EJ99*(1-INDEX('Lease Cycles'!$EM$13:$ES$13,1,EJ95)),EJ98),EJ98)</f>
        <v>3701.910615926858</v>
      </c>
      <c r="EK100" s="28">
        <f>IF(EK97=1,IF(INDEX('Lease Cycles'!$EF$13:$EL$13,1,EK95)=1,EK98*INDEX('Lease Cycles'!$EM$13:$ES$13,1,EK95)+EK99*(1-INDEX('Lease Cycles'!$EM$13:$ES$13,1,EK95)),EK98),EK98)</f>
        <v>3701.910615926858</v>
      </c>
      <c r="EL100" s="28">
        <f>IF(EL97=1,IF(INDEX('Lease Cycles'!$EF$13:$EL$13,1,EL95)=1,EL98*INDEX('Lease Cycles'!$EM$13:$ES$13,1,EL95)+EL99*(1-INDEX('Lease Cycles'!$EM$13:$ES$13,1,EL95)),EL98),EL98)</f>
        <v>3701.910615926858</v>
      </c>
      <c r="EM100" s="28">
        <f>IF(EM97=1,IF(INDEX('Lease Cycles'!$EF$13:$EL$13,1,EM95)=1,EM98*INDEX('Lease Cycles'!$EM$13:$ES$13,1,EM95)+EM99*(1-INDEX('Lease Cycles'!$EM$13:$ES$13,1,EM95)),EM98),EM98)</f>
        <v>3701.910615926858</v>
      </c>
      <c r="EN100" s="28">
        <f>IF(EN97=1,IF(INDEX('Lease Cycles'!$EF$13:$EL$13,1,EN95)=1,EN98*INDEX('Lease Cycles'!$EM$13:$ES$13,1,EN95)+EN99*(1-INDEX('Lease Cycles'!$EM$13:$ES$13,1,EN95)),EN98),EN98)</f>
        <v>3701.910615926858</v>
      </c>
      <c r="EO100" s="28">
        <f>IF(EO97=1,IF(INDEX('Lease Cycles'!$EF$13:$EL$13,1,EO95)=1,EO98*INDEX('Lease Cycles'!$EM$13:$ES$13,1,EO95)+EO99*(1-INDEX('Lease Cycles'!$EM$13:$ES$13,1,EO95)),EO98),EO98)</f>
        <v>3701.910615926858</v>
      </c>
      <c r="EP100" s="28">
        <f>IF(EP97=1,IF(INDEX('Lease Cycles'!$EF$13:$EL$13,1,EP95)=1,EP98*INDEX('Lease Cycles'!$EM$13:$ES$13,1,EP95)+EP99*(1-INDEX('Lease Cycles'!$EM$13:$ES$13,1,EP95)),EP98),EP98)</f>
        <v>3701.910615926858</v>
      </c>
      <c r="EQ100" s="28">
        <f>IF(EQ97=1,IF(INDEX('Lease Cycles'!$EF$13:$EL$13,1,EQ95)=1,EQ98*INDEX('Lease Cycles'!$EM$13:$ES$13,1,EQ95)+EQ99*(1-INDEX('Lease Cycles'!$EM$13:$ES$13,1,EQ95)),EQ98),EQ98)</f>
        <v>3701.910615926858</v>
      </c>
      <c r="ER100" s="28">
        <f>IF(ER97=1,IF(INDEX('Lease Cycles'!$EF$13:$EL$13,1,ER95)=1,ER98*INDEX('Lease Cycles'!$EM$13:$ES$13,1,ER95)+ER99*(1-INDEX('Lease Cycles'!$EM$13:$ES$13,1,ER95)),ER98),ER98)</f>
        <v>3812.967934404664</v>
      </c>
      <c r="ES100" s="28">
        <f>IF(ES97=1,IF(INDEX('Lease Cycles'!$EF$13:$EL$13,1,ES95)=1,ES98*INDEX('Lease Cycles'!$EM$13:$ES$13,1,ES95)+ES99*(1-INDEX('Lease Cycles'!$EM$13:$ES$13,1,ES95)),ES98),ES98)</f>
        <v>3812.967934404664</v>
      </c>
      <c r="ET100" s="28">
        <f>IF(ET97=1,IF(INDEX('Lease Cycles'!$EF$13:$EL$13,1,ET95)=1,ET98*INDEX('Lease Cycles'!$EM$13:$ES$13,1,ET95)+ET99*(1-INDEX('Lease Cycles'!$EM$13:$ES$13,1,ET95)),ET98),ET98)</f>
        <v>3812.967934404664</v>
      </c>
    </row>
    <row r="101">
      <c r="A101" s="103">
        <v>6</v>
      </c>
      <c r="B101" s="23" t="str">
        <f>IF('Lease Cycles'!$B$13="","(empty slot)",'Lease Cycles'!$B$13)</f>
        <v>Sunfield Cleaners</v>
      </c>
      <c r="C101" s="23" t="s">
        <v>682</v>
      </c>
      <c r="D101" s="104" t="s">
        <v>495</v>
      </c>
      <c r="E101" s="25">
        <f>'Lease Cycles'!$AL$13</f>
        <v>0</v>
      </c>
      <c r="G101" s="28">
        <f>SUM(S101:AD101)</f>
        <v>46800</v>
      </c>
      <c r="H101" s="28">
        <f>SUM(AE101:AP101)</f>
        <v>46800</v>
      </c>
      <c r="I101" s="28">
        <f>SUM(AQ101:BB101)</f>
        <v>46800</v>
      </c>
      <c r="J101" s="28">
        <f>SUM(BC101:BN101)</f>
        <v>38020.642093075425</v>
      </c>
      <c r="K101" s="28">
        <f>SUM(BO101:BZ101)</f>
        <v>37482.528593309995</v>
      </c>
      <c r="L101" s="28">
        <f>SUM(CA101:CL101)</f>
        <v>38607.00445110929</v>
      </c>
      <c r="M101" s="28">
        <f>SUM(CM101:CX101)</f>
        <v>39765.21458464257</v>
      </c>
      <c r="N101" s="28">
        <f>SUM(CY101:DJ101)</f>
        <v>40958.17102218185</v>
      </c>
      <c r="O101" s="28">
        <f>SUM(DK101:DV101)</f>
        <v>42186.91615284731</v>
      </c>
      <c r="P101" s="28">
        <f>SUM(DW101:EH101)</f>
        <v>43452.52363743273</v>
      </c>
      <c r="Q101" s="28">
        <f>SUM(EI101:ET101)</f>
        <v>44756.09934655571</v>
      </c>
      <c r="S101" s="28">
        <f>IF(S97=1,IF(INDEX('Lease Cycles'!$EF$13:$EL$13,1,S95)=1,S98*INDEX('Lease Cycles'!$EM$13:$ES$13,1,S95)+S99*IF(S96&lt;INDEX('Lease Cycles'!$FA$13:$FG$13,1,S95),0,1-INDEX('Lease Cycles'!$EM$13:$ES$13,1,S95)),S98*IF(S96&lt;INDEX('Lease Cycles'!$DK$13:$DQ$13,1,S95),0,IF(S96=INDEX('Lease Cycles'!$DK$13:$DQ$13,1,S95),1-INDEX('Lease Cycles'!$DR$13:$DX$13,1,S95),1))),0)</f>
        <v>3900</v>
      </c>
      <c r="T101" s="28">
        <f>IF(T97=1,IF(INDEX('Lease Cycles'!$EF$13:$EL$13,1,T95)=1,T98*INDEX('Lease Cycles'!$EM$13:$ES$13,1,T95)+T99*IF(T96&lt;INDEX('Lease Cycles'!$FA$13:$FG$13,1,T95),0,1-INDEX('Lease Cycles'!$EM$13:$ES$13,1,T95)),T98*IF(T96&lt;INDEX('Lease Cycles'!$DK$13:$DQ$13,1,T95),0,IF(T96=INDEX('Lease Cycles'!$DK$13:$DQ$13,1,T95),1-INDEX('Lease Cycles'!$DR$13:$DX$13,1,T95),1))),0)</f>
        <v>3900</v>
      </c>
      <c r="U101" s="28">
        <f>IF(U97=1,IF(INDEX('Lease Cycles'!$EF$13:$EL$13,1,U95)=1,U98*INDEX('Lease Cycles'!$EM$13:$ES$13,1,U95)+U99*IF(U96&lt;INDEX('Lease Cycles'!$FA$13:$FG$13,1,U95),0,1-INDEX('Lease Cycles'!$EM$13:$ES$13,1,U95)),U98*IF(U96&lt;INDEX('Lease Cycles'!$DK$13:$DQ$13,1,U95),0,IF(U96=INDEX('Lease Cycles'!$DK$13:$DQ$13,1,U95),1-INDEX('Lease Cycles'!$DR$13:$DX$13,1,U95),1))),0)</f>
        <v>3900</v>
      </c>
      <c r="V101" s="28">
        <f>IF(V97=1,IF(INDEX('Lease Cycles'!$EF$13:$EL$13,1,V95)=1,V98*INDEX('Lease Cycles'!$EM$13:$ES$13,1,V95)+V99*IF(V96&lt;INDEX('Lease Cycles'!$FA$13:$FG$13,1,V95),0,1-INDEX('Lease Cycles'!$EM$13:$ES$13,1,V95)),V98*IF(V96&lt;INDEX('Lease Cycles'!$DK$13:$DQ$13,1,V95),0,IF(V96=INDEX('Lease Cycles'!$DK$13:$DQ$13,1,V95),1-INDEX('Lease Cycles'!$DR$13:$DX$13,1,V95),1))),0)</f>
        <v>3900</v>
      </c>
      <c r="W101" s="28">
        <f>IF(W97=1,IF(INDEX('Lease Cycles'!$EF$13:$EL$13,1,W95)=1,W98*INDEX('Lease Cycles'!$EM$13:$ES$13,1,W95)+W99*IF(W96&lt;INDEX('Lease Cycles'!$FA$13:$FG$13,1,W95),0,1-INDEX('Lease Cycles'!$EM$13:$ES$13,1,W95)),W98*IF(W96&lt;INDEX('Lease Cycles'!$DK$13:$DQ$13,1,W95),0,IF(W96=INDEX('Lease Cycles'!$DK$13:$DQ$13,1,W95),1-INDEX('Lease Cycles'!$DR$13:$DX$13,1,W95),1))),0)</f>
        <v>3900</v>
      </c>
      <c r="X101" s="28">
        <f>IF(X97=1,IF(INDEX('Lease Cycles'!$EF$13:$EL$13,1,X95)=1,X98*INDEX('Lease Cycles'!$EM$13:$ES$13,1,X95)+X99*IF(X96&lt;INDEX('Lease Cycles'!$FA$13:$FG$13,1,X95),0,1-INDEX('Lease Cycles'!$EM$13:$ES$13,1,X95)),X98*IF(X96&lt;INDEX('Lease Cycles'!$DK$13:$DQ$13,1,X95),0,IF(X96=INDEX('Lease Cycles'!$DK$13:$DQ$13,1,X95),1-INDEX('Lease Cycles'!$DR$13:$DX$13,1,X95),1))),0)</f>
        <v>3900</v>
      </c>
      <c r="Y101" s="28">
        <f>IF(Y97=1,IF(INDEX('Lease Cycles'!$EF$13:$EL$13,1,Y95)=1,Y98*INDEX('Lease Cycles'!$EM$13:$ES$13,1,Y95)+Y99*IF(Y96&lt;INDEX('Lease Cycles'!$FA$13:$FG$13,1,Y95),0,1-INDEX('Lease Cycles'!$EM$13:$ES$13,1,Y95)),Y98*IF(Y96&lt;INDEX('Lease Cycles'!$DK$13:$DQ$13,1,Y95),0,IF(Y96=INDEX('Lease Cycles'!$DK$13:$DQ$13,1,Y95),1-INDEX('Lease Cycles'!$DR$13:$DX$13,1,Y95),1))),0)</f>
        <v>3900</v>
      </c>
      <c r="Z101" s="28">
        <f>IF(Z97=1,IF(INDEX('Lease Cycles'!$EF$13:$EL$13,1,Z95)=1,Z98*INDEX('Lease Cycles'!$EM$13:$ES$13,1,Z95)+Z99*IF(Z96&lt;INDEX('Lease Cycles'!$FA$13:$FG$13,1,Z95),0,1-INDEX('Lease Cycles'!$EM$13:$ES$13,1,Z95)),Z98*IF(Z96&lt;INDEX('Lease Cycles'!$DK$13:$DQ$13,1,Z95),0,IF(Z96=INDEX('Lease Cycles'!$DK$13:$DQ$13,1,Z95),1-INDEX('Lease Cycles'!$DR$13:$DX$13,1,Z95),1))),0)</f>
        <v>3900</v>
      </c>
      <c r="AA101" s="28">
        <f>IF(AA97=1,IF(INDEX('Lease Cycles'!$EF$13:$EL$13,1,AA95)=1,AA98*INDEX('Lease Cycles'!$EM$13:$ES$13,1,AA95)+AA99*IF(AA96&lt;INDEX('Lease Cycles'!$FA$13:$FG$13,1,AA95),0,1-INDEX('Lease Cycles'!$EM$13:$ES$13,1,AA95)),AA98*IF(AA96&lt;INDEX('Lease Cycles'!$DK$13:$DQ$13,1,AA95),0,IF(AA96=INDEX('Lease Cycles'!$DK$13:$DQ$13,1,AA95),1-INDEX('Lease Cycles'!$DR$13:$DX$13,1,AA95),1))),0)</f>
        <v>3900</v>
      </c>
      <c r="AB101" s="28">
        <f>IF(AB97=1,IF(INDEX('Lease Cycles'!$EF$13:$EL$13,1,AB95)=1,AB98*INDEX('Lease Cycles'!$EM$13:$ES$13,1,AB95)+AB99*IF(AB96&lt;INDEX('Lease Cycles'!$FA$13:$FG$13,1,AB95),0,1-INDEX('Lease Cycles'!$EM$13:$ES$13,1,AB95)),AB98*IF(AB96&lt;INDEX('Lease Cycles'!$DK$13:$DQ$13,1,AB95),0,IF(AB96=INDEX('Lease Cycles'!$DK$13:$DQ$13,1,AB95),1-INDEX('Lease Cycles'!$DR$13:$DX$13,1,AB95),1))),0)</f>
        <v>3900</v>
      </c>
      <c r="AC101" s="28">
        <f>IF(AC97=1,IF(INDEX('Lease Cycles'!$EF$13:$EL$13,1,AC95)=1,AC98*INDEX('Lease Cycles'!$EM$13:$ES$13,1,AC95)+AC99*IF(AC96&lt;INDEX('Lease Cycles'!$FA$13:$FG$13,1,AC95),0,1-INDEX('Lease Cycles'!$EM$13:$ES$13,1,AC95)),AC98*IF(AC96&lt;INDEX('Lease Cycles'!$DK$13:$DQ$13,1,AC95),0,IF(AC96=INDEX('Lease Cycles'!$DK$13:$DQ$13,1,AC95),1-INDEX('Lease Cycles'!$DR$13:$DX$13,1,AC95),1))),0)</f>
        <v>3900</v>
      </c>
      <c r="AD101" s="28">
        <f>IF(AD97=1,IF(INDEX('Lease Cycles'!$EF$13:$EL$13,1,AD95)=1,AD98*INDEX('Lease Cycles'!$EM$13:$ES$13,1,AD95)+AD99*IF(AD96&lt;INDEX('Lease Cycles'!$FA$13:$FG$13,1,AD95),0,1-INDEX('Lease Cycles'!$EM$13:$ES$13,1,AD95)),AD98*IF(AD96&lt;INDEX('Lease Cycles'!$DK$13:$DQ$13,1,AD95),0,IF(AD96=INDEX('Lease Cycles'!$DK$13:$DQ$13,1,AD95),1-INDEX('Lease Cycles'!$DR$13:$DX$13,1,AD95),1))),0)</f>
        <v>3900</v>
      </c>
      <c r="AE101" s="28">
        <f>IF(AE97=1,IF(INDEX('Lease Cycles'!$EF$13:$EL$13,1,AE95)=1,AE98*INDEX('Lease Cycles'!$EM$13:$ES$13,1,AE95)+AE99*IF(AE96&lt;INDEX('Lease Cycles'!$FA$13:$FG$13,1,AE95),0,1-INDEX('Lease Cycles'!$EM$13:$ES$13,1,AE95)),AE98*IF(AE96&lt;INDEX('Lease Cycles'!$DK$13:$DQ$13,1,AE95),0,IF(AE96=INDEX('Lease Cycles'!$DK$13:$DQ$13,1,AE95),1-INDEX('Lease Cycles'!$DR$13:$DX$13,1,AE95),1))),0)</f>
        <v>3900</v>
      </c>
      <c r="AF101" s="28">
        <f>IF(AF97=1,IF(INDEX('Lease Cycles'!$EF$13:$EL$13,1,AF95)=1,AF98*INDEX('Lease Cycles'!$EM$13:$ES$13,1,AF95)+AF99*IF(AF96&lt;INDEX('Lease Cycles'!$FA$13:$FG$13,1,AF95),0,1-INDEX('Lease Cycles'!$EM$13:$ES$13,1,AF95)),AF98*IF(AF96&lt;INDEX('Lease Cycles'!$DK$13:$DQ$13,1,AF95),0,IF(AF96=INDEX('Lease Cycles'!$DK$13:$DQ$13,1,AF95),1-INDEX('Lease Cycles'!$DR$13:$DX$13,1,AF95),1))),0)</f>
        <v>3900</v>
      </c>
      <c r="AG101" s="28">
        <f>IF(AG97=1,IF(INDEX('Lease Cycles'!$EF$13:$EL$13,1,AG95)=1,AG98*INDEX('Lease Cycles'!$EM$13:$ES$13,1,AG95)+AG99*IF(AG96&lt;INDEX('Lease Cycles'!$FA$13:$FG$13,1,AG95),0,1-INDEX('Lease Cycles'!$EM$13:$ES$13,1,AG95)),AG98*IF(AG96&lt;INDEX('Lease Cycles'!$DK$13:$DQ$13,1,AG95),0,IF(AG96=INDEX('Lease Cycles'!$DK$13:$DQ$13,1,AG95),1-INDEX('Lease Cycles'!$DR$13:$DX$13,1,AG95),1))),0)</f>
        <v>3900</v>
      </c>
      <c r="AH101" s="28">
        <f>IF(AH97=1,IF(INDEX('Lease Cycles'!$EF$13:$EL$13,1,AH95)=1,AH98*INDEX('Lease Cycles'!$EM$13:$ES$13,1,AH95)+AH99*IF(AH96&lt;INDEX('Lease Cycles'!$FA$13:$FG$13,1,AH95),0,1-INDEX('Lease Cycles'!$EM$13:$ES$13,1,AH95)),AH98*IF(AH96&lt;INDEX('Lease Cycles'!$DK$13:$DQ$13,1,AH95),0,IF(AH96=INDEX('Lease Cycles'!$DK$13:$DQ$13,1,AH95),1-INDEX('Lease Cycles'!$DR$13:$DX$13,1,AH95),1))),0)</f>
        <v>3900</v>
      </c>
      <c r="AI101" s="28">
        <f>IF(AI97=1,IF(INDEX('Lease Cycles'!$EF$13:$EL$13,1,AI95)=1,AI98*INDEX('Lease Cycles'!$EM$13:$ES$13,1,AI95)+AI99*IF(AI96&lt;INDEX('Lease Cycles'!$FA$13:$FG$13,1,AI95),0,1-INDEX('Lease Cycles'!$EM$13:$ES$13,1,AI95)),AI98*IF(AI96&lt;INDEX('Lease Cycles'!$DK$13:$DQ$13,1,AI95),0,IF(AI96=INDEX('Lease Cycles'!$DK$13:$DQ$13,1,AI95),1-INDEX('Lease Cycles'!$DR$13:$DX$13,1,AI95),1))),0)</f>
        <v>3900</v>
      </c>
      <c r="AJ101" s="28">
        <f>IF(AJ97=1,IF(INDEX('Lease Cycles'!$EF$13:$EL$13,1,AJ95)=1,AJ98*INDEX('Lease Cycles'!$EM$13:$ES$13,1,AJ95)+AJ99*IF(AJ96&lt;INDEX('Lease Cycles'!$FA$13:$FG$13,1,AJ95),0,1-INDEX('Lease Cycles'!$EM$13:$ES$13,1,AJ95)),AJ98*IF(AJ96&lt;INDEX('Lease Cycles'!$DK$13:$DQ$13,1,AJ95),0,IF(AJ96=INDEX('Lease Cycles'!$DK$13:$DQ$13,1,AJ95),1-INDEX('Lease Cycles'!$DR$13:$DX$13,1,AJ95),1))),0)</f>
        <v>3900</v>
      </c>
      <c r="AK101" s="28">
        <f>IF(AK97=1,IF(INDEX('Lease Cycles'!$EF$13:$EL$13,1,AK95)=1,AK98*INDEX('Lease Cycles'!$EM$13:$ES$13,1,AK95)+AK99*IF(AK96&lt;INDEX('Lease Cycles'!$FA$13:$FG$13,1,AK95),0,1-INDEX('Lease Cycles'!$EM$13:$ES$13,1,AK95)),AK98*IF(AK96&lt;INDEX('Lease Cycles'!$DK$13:$DQ$13,1,AK95),0,IF(AK96=INDEX('Lease Cycles'!$DK$13:$DQ$13,1,AK95),1-INDEX('Lease Cycles'!$DR$13:$DX$13,1,AK95),1))),0)</f>
        <v>3900</v>
      </c>
      <c r="AL101" s="28">
        <f>IF(AL97=1,IF(INDEX('Lease Cycles'!$EF$13:$EL$13,1,AL95)=1,AL98*INDEX('Lease Cycles'!$EM$13:$ES$13,1,AL95)+AL99*IF(AL96&lt;INDEX('Lease Cycles'!$FA$13:$FG$13,1,AL95),0,1-INDEX('Lease Cycles'!$EM$13:$ES$13,1,AL95)),AL98*IF(AL96&lt;INDEX('Lease Cycles'!$DK$13:$DQ$13,1,AL95),0,IF(AL96=INDEX('Lease Cycles'!$DK$13:$DQ$13,1,AL95),1-INDEX('Lease Cycles'!$DR$13:$DX$13,1,AL95),1))),0)</f>
        <v>3900</v>
      </c>
      <c r="AM101" s="28">
        <f>IF(AM97=1,IF(INDEX('Lease Cycles'!$EF$13:$EL$13,1,AM95)=1,AM98*INDEX('Lease Cycles'!$EM$13:$ES$13,1,AM95)+AM99*IF(AM96&lt;INDEX('Lease Cycles'!$FA$13:$FG$13,1,AM95),0,1-INDEX('Lease Cycles'!$EM$13:$ES$13,1,AM95)),AM98*IF(AM96&lt;INDEX('Lease Cycles'!$DK$13:$DQ$13,1,AM95),0,IF(AM96=INDEX('Lease Cycles'!$DK$13:$DQ$13,1,AM95),1-INDEX('Lease Cycles'!$DR$13:$DX$13,1,AM95),1))),0)</f>
        <v>3900</v>
      </c>
      <c r="AN101" s="28">
        <f>IF(AN97=1,IF(INDEX('Lease Cycles'!$EF$13:$EL$13,1,AN95)=1,AN98*INDEX('Lease Cycles'!$EM$13:$ES$13,1,AN95)+AN99*IF(AN96&lt;INDEX('Lease Cycles'!$FA$13:$FG$13,1,AN95),0,1-INDEX('Lease Cycles'!$EM$13:$ES$13,1,AN95)),AN98*IF(AN96&lt;INDEX('Lease Cycles'!$DK$13:$DQ$13,1,AN95),0,IF(AN96=INDEX('Lease Cycles'!$DK$13:$DQ$13,1,AN95),1-INDEX('Lease Cycles'!$DR$13:$DX$13,1,AN95),1))),0)</f>
        <v>3900</v>
      </c>
      <c r="AO101" s="28">
        <f>IF(AO97=1,IF(INDEX('Lease Cycles'!$EF$13:$EL$13,1,AO95)=1,AO98*INDEX('Lease Cycles'!$EM$13:$ES$13,1,AO95)+AO99*IF(AO96&lt;INDEX('Lease Cycles'!$FA$13:$FG$13,1,AO95),0,1-INDEX('Lease Cycles'!$EM$13:$ES$13,1,AO95)),AO98*IF(AO96&lt;INDEX('Lease Cycles'!$DK$13:$DQ$13,1,AO95),0,IF(AO96=INDEX('Lease Cycles'!$DK$13:$DQ$13,1,AO95),1-INDEX('Lease Cycles'!$DR$13:$DX$13,1,AO95),1))),0)</f>
        <v>3900</v>
      </c>
      <c r="AP101" s="28">
        <f>IF(AP97=1,IF(INDEX('Lease Cycles'!$EF$13:$EL$13,1,AP95)=1,AP98*INDEX('Lease Cycles'!$EM$13:$ES$13,1,AP95)+AP99*IF(AP96&lt;INDEX('Lease Cycles'!$FA$13:$FG$13,1,AP95),0,1-INDEX('Lease Cycles'!$EM$13:$ES$13,1,AP95)),AP98*IF(AP96&lt;INDEX('Lease Cycles'!$DK$13:$DQ$13,1,AP95),0,IF(AP96=INDEX('Lease Cycles'!$DK$13:$DQ$13,1,AP95),1-INDEX('Lease Cycles'!$DR$13:$DX$13,1,AP95),1))),0)</f>
        <v>3900</v>
      </c>
      <c r="AQ101" s="28">
        <f>IF(AQ97=1,IF(INDEX('Lease Cycles'!$EF$13:$EL$13,1,AQ95)=1,AQ98*INDEX('Lease Cycles'!$EM$13:$ES$13,1,AQ95)+AQ99*IF(AQ96&lt;INDEX('Lease Cycles'!$FA$13:$FG$13,1,AQ95),0,1-INDEX('Lease Cycles'!$EM$13:$ES$13,1,AQ95)),AQ98*IF(AQ96&lt;INDEX('Lease Cycles'!$DK$13:$DQ$13,1,AQ95),0,IF(AQ96=INDEX('Lease Cycles'!$DK$13:$DQ$13,1,AQ95),1-INDEX('Lease Cycles'!$DR$13:$DX$13,1,AQ95),1))),0)</f>
        <v>3900</v>
      </c>
      <c r="AR101" s="28">
        <f>IF(AR97=1,IF(INDEX('Lease Cycles'!$EF$13:$EL$13,1,AR95)=1,AR98*INDEX('Lease Cycles'!$EM$13:$ES$13,1,AR95)+AR99*IF(AR96&lt;INDEX('Lease Cycles'!$FA$13:$FG$13,1,AR95),0,1-INDEX('Lease Cycles'!$EM$13:$ES$13,1,AR95)),AR98*IF(AR96&lt;INDEX('Lease Cycles'!$DK$13:$DQ$13,1,AR95),0,IF(AR96=INDEX('Lease Cycles'!$DK$13:$DQ$13,1,AR95),1-INDEX('Lease Cycles'!$DR$13:$DX$13,1,AR95),1))),0)</f>
        <v>3900</v>
      </c>
      <c r="AS101" s="28">
        <f>IF(AS97=1,IF(INDEX('Lease Cycles'!$EF$13:$EL$13,1,AS95)=1,AS98*INDEX('Lease Cycles'!$EM$13:$ES$13,1,AS95)+AS99*IF(AS96&lt;INDEX('Lease Cycles'!$FA$13:$FG$13,1,AS95),0,1-INDEX('Lease Cycles'!$EM$13:$ES$13,1,AS95)),AS98*IF(AS96&lt;INDEX('Lease Cycles'!$DK$13:$DQ$13,1,AS95),0,IF(AS96=INDEX('Lease Cycles'!$DK$13:$DQ$13,1,AS95),1-INDEX('Lease Cycles'!$DR$13:$DX$13,1,AS95),1))),0)</f>
        <v>3900</v>
      </c>
      <c r="AT101" s="28">
        <f>IF(AT97=1,IF(INDEX('Lease Cycles'!$EF$13:$EL$13,1,AT95)=1,AT98*INDEX('Lease Cycles'!$EM$13:$ES$13,1,AT95)+AT99*IF(AT96&lt;INDEX('Lease Cycles'!$FA$13:$FG$13,1,AT95),0,1-INDEX('Lease Cycles'!$EM$13:$ES$13,1,AT95)),AT98*IF(AT96&lt;INDEX('Lease Cycles'!$DK$13:$DQ$13,1,AT95),0,IF(AT96=INDEX('Lease Cycles'!$DK$13:$DQ$13,1,AT95),1-INDEX('Lease Cycles'!$DR$13:$DX$13,1,AT95),1))),0)</f>
        <v>3900</v>
      </c>
      <c r="AU101" s="28">
        <f>IF(AU97=1,IF(INDEX('Lease Cycles'!$EF$13:$EL$13,1,AU95)=1,AU98*INDEX('Lease Cycles'!$EM$13:$ES$13,1,AU95)+AU99*IF(AU96&lt;INDEX('Lease Cycles'!$FA$13:$FG$13,1,AU95),0,1-INDEX('Lease Cycles'!$EM$13:$ES$13,1,AU95)),AU98*IF(AU96&lt;INDEX('Lease Cycles'!$DK$13:$DQ$13,1,AU95),0,IF(AU96=INDEX('Lease Cycles'!$DK$13:$DQ$13,1,AU95),1-INDEX('Lease Cycles'!$DR$13:$DX$13,1,AU95),1))),0)</f>
        <v>3900</v>
      </c>
      <c r="AV101" s="28">
        <f>IF(AV97=1,IF(INDEX('Lease Cycles'!$EF$13:$EL$13,1,AV95)=1,AV98*INDEX('Lease Cycles'!$EM$13:$ES$13,1,AV95)+AV99*IF(AV96&lt;INDEX('Lease Cycles'!$FA$13:$FG$13,1,AV95),0,1-INDEX('Lease Cycles'!$EM$13:$ES$13,1,AV95)),AV98*IF(AV96&lt;INDEX('Lease Cycles'!$DK$13:$DQ$13,1,AV95),0,IF(AV96=INDEX('Lease Cycles'!$DK$13:$DQ$13,1,AV95),1-INDEX('Lease Cycles'!$DR$13:$DX$13,1,AV95),1))),0)</f>
        <v>3900</v>
      </c>
      <c r="AW101" s="28">
        <f>IF(AW97=1,IF(INDEX('Lease Cycles'!$EF$13:$EL$13,1,AW95)=1,AW98*INDEX('Lease Cycles'!$EM$13:$ES$13,1,AW95)+AW99*IF(AW96&lt;INDEX('Lease Cycles'!$FA$13:$FG$13,1,AW95),0,1-INDEX('Lease Cycles'!$EM$13:$ES$13,1,AW95)),AW98*IF(AW96&lt;INDEX('Lease Cycles'!$DK$13:$DQ$13,1,AW95),0,IF(AW96=INDEX('Lease Cycles'!$DK$13:$DQ$13,1,AW95),1-INDEX('Lease Cycles'!$DR$13:$DX$13,1,AW95),1))),0)</f>
        <v>3900</v>
      </c>
      <c r="AX101" s="28">
        <f>IF(AX97=1,IF(INDEX('Lease Cycles'!$EF$13:$EL$13,1,AX95)=1,AX98*INDEX('Lease Cycles'!$EM$13:$ES$13,1,AX95)+AX99*IF(AX96&lt;INDEX('Lease Cycles'!$FA$13:$FG$13,1,AX95),0,1-INDEX('Lease Cycles'!$EM$13:$ES$13,1,AX95)),AX98*IF(AX96&lt;INDEX('Lease Cycles'!$DK$13:$DQ$13,1,AX95),0,IF(AX96=INDEX('Lease Cycles'!$DK$13:$DQ$13,1,AX95),1-INDEX('Lease Cycles'!$DR$13:$DX$13,1,AX95),1))),0)</f>
        <v>3900</v>
      </c>
      <c r="AY101" s="28">
        <f>IF(AY97=1,IF(INDEX('Lease Cycles'!$EF$13:$EL$13,1,AY95)=1,AY98*INDEX('Lease Cycles'!$EM$13:$ES$13,1,AY95)+AY99*IF(AY96&lt;INDEX('Lease Cycles'!$FA$13:$FG$13,1,AY95),0,1-INDEX('Lease Cycles'!$EM$13:$ES$13,1,AY95)),AY98*IF(AY96&lt;INDEX('Lease Cycles'!$DK$13:$DQ$13,1,AY95),0,IF(AY96=INDEX('Lease Cycles'!$DK$13:$DQ$13,1,AY95),1-INDEX('Lease Cycles'!$DR$13:$DX$13,1,AY95),1))),0)</f>
        <v>3900</v>
      </c>
      <c r="AZ101" s="28">
        <f>IF(AZ97=1,IF(INDEX('Lease Cycles'!$EF$13:$EL$13,1,AZ95)=1,AZ98*INDEX('Lease Cycles'!$EM$13:$ES$13,1,AZ95)+AZ99*IF(AZ96&lt;INDEX('Lease Cycles'!$FA$13:$FG$13,1,AZ95),0,1-INDEX('Lease Cycles'!$EM$13:$ES$13,1,AZ95)),AZ98*IF(AZ96&lt;INDEX('Lease Cycles'!$DK$13:$DQ$13,1,AZ95),0,IF(AZ96=INDEX('Lease Cycles'!$DK$13:$DQ$13,1,AZ95),1-INDEX('Lease Cycles'!$DR$13:$DX$13,1,AZ95),1))),0)</f>
        <v>3900</v>
      </c>
      <c r="BA101" s="28">
        <f>IF(BA97=1,IF(INDEX('Lease Cycles'!$EF$13:$EL$13,1,BA95)=1,BA98*INDEX('Lease Cycles'!$EM$13:$ES$13,1,BA95)+BA99*IF(BA96&lt;INDEX('Lease Cycles'!$FA$13:$FG$13,1,BA95),0,1-INDEX('Lease Cycles'!$EM$13:$ES$13,1,BA95)),BA98*IF(BA96&lt;INDEX('Lease Cycles'!$DK$13:$DQ$13,1,BA95),0,IF(BA96=INDEX('Lease Cycles'!$DK$13:$DQ$13,1,BA95),1-INDEX('Lease Cycles'!$DR$13:$DX$13,1,BA95),1))),0)</f>
        <v>3900</v>
      </c>
      <c r="BB101" s="28">
        <f>IF(BB97=1,IF(INDEX('Lease Cycles'!$EF$13:$EL$13,1,BB95)=1,BB98*INDEX('Lease Cycles'!$EM$13:$ES$13,1,BB95)+BB99*IF(BB96&lt;INDEX('Lease Cycles'!$FA$13:$FG$13,1,BB95),0,1-INDEX('Lease Cycles'!$EM$13:$ES$13,1,BB95)),BB98*IF(BB96&lt;INDEX('Lease Cycles'!$DK$13:$DQ$13,1,BB95),0,IF(BB96=INDEX('Lease Cycles'!$DK$13:$DQ$13,1,BB95),1-INDEX('Lease Cycles'!$DR$13:$DX$13,1,BB95),1))),0)</f>
        <v>3900</v>
      </c>
      <c r="BC101" s="28">
        <f>IF(BC97=1,IF(INDEX('Lease Cycles'!$EF$13:$EL$13,1,BC95)=1,BC98*INDEX('Lease Cycles'!$EM$13:$ES$13,1,BC95)+BC99*IF(BC96&lt;INDEX('Lease Cycles'!$FA$13:$FG$13,1,BC95),0,1-INDEX('Lease Cycles'!$EM$13:$ES$13,1,BC95)),BC98*IF(BC96&lt;INDEX('Lease Cycles'!$DK$13:$DQ$13,1,BC95),0,IF(BC96=INDEX('Lease Cycles'!$DK$13:$DQ$13,1,BC95),1-INDEX('Lease Cycles'!$DR$13:$DX$13,1,BC95),1))),0)</f>
        <v>3900</v>
      </c>
      <c r="BD101" s="28">
        <f>IF(BD97=1,IF(INDEX('Lease Cycles'!$EF$13:$EL$13,1,BD95)=1,BD98*INDEX('Lease Cycles'!$EM$13:$ES$13,1,BD95)+BD99*IF(BD96&lt;INDEX('Lease Cycles'!$FA$13:$FG$13,1,BD95),0,1-INDEX('Lease Cycles'!$EM$13:$ES$13,1,BD95)),BD98*IF(BD96&lt;INDEX('Lease Cycles'!$DK$13:$DQ$13,1,BD95),0,IF(BD96=INDEX('Lease Cycles'!$DK$13:$DQ$13,1,BD95),1-INDEX('Lease Cycles'!$DR$13:$DX$13,1,BD95),1))),0)</f>
        <v>3900</v>
      </c>
      <c r="BE101" s="28">
        <f>IF(BE97=1,IF(INDEX('Lease Cycles'!$EF$13:$EL$13,1,BE95)=1,BE98*INDEX('Lease Cycles'!$EM$13:$ES$13,1,BE95)+BE99*IF(BE96&lt;INDEX('Lease Cycles'!$FA$13:$FG$13,1,BE95),0,1-INDEX('Lease Cycles'!$EM$13:$ES$13,1,BE95)),BE98*IF(BE96&lt;INDEX('Lease Cycles'!$DK$13:$DQ$13,1,BE95),0,IF(BE96=INDEX('Lease Cycles'!$DK$13:$DQ$13,1,BE95),1-INDEX('Lease Cycles'!$DR$13:$DX$13,1,BE95),1))),0)</f>
        <v>3900</v>
      </c>
      <c r="BF101" s="28">
        <f>IF(BF97=1,IF(INDEX('Lease Cycles'!$EF$13:$EL$13,1,BF95)=1,BF98*INDEX('Lease Cycles'!$EM$13:$ES$13,1,BF95)+BF99*IF(BF96&lt;INDEX('Lease Cycles'!$FA$13:$FG$13,1,BF95),0,1-INDEX('Lease Cycles'!$EM$13:$ES$13,1,BF95)),BF98*IF(BF96&lt;INDEX('Lease Cycles'!$DK$13:$DQ$13,1,BF95),0,IF(BF96=INDEX('Lease Cycles'!$DK$13:$DQ$13,1,BF95),1-INDEX('Lease Cycles'!$DR$13:$DX$13,1,BF95),1))),0)</f>
        <v>3900</v>
      </c>
      <c r="BG101" s="28">
        <f>IF(BG97=1,IF(INDEX('Lease Cycles'!$EF$13:$EL$13,1,BG95)=1,BG98*INDEX('Lease Cycles'!$EM$13:$ES$13,1,BG95)+BG99*IF(BG96&lt;INDEX('Lease Cycles'!$FA$13:$FG$13,1,BG95),0,1-INDEX('Lease Cycles'!$EM$13:$ES$13,1,BG95)),BG98*IF(BG96&lt;INDEX('Lease Cycles'!$DK$13:$DQ$13,1,BG95),0,IF(BG96=INDEX('Lease Cycles'!$DK$13:$DQ$13,1,BG95),1-INDEX('Lease Cycles'!$DR$13:$DX$13,1,BG95),1))),0)</f>
        <v>3900</v>
      </c>
      <c r="BH101" s="28">
        <f>IF(BH97=1,IF(INDEX('Lease Cycles'!$EF$13:$EL$13,1,BH95)=1,BH98*INDEX('Lease Cycles'!$EM$13:$ES$13,1,BH95)+BH99*IF(BH96&lt;INDEX('Lease Cycles'!$FA$13:$FG$13,1,BH95),0,1-INDEX('Lease Cycles'!$EM$13:$ES$13,1,BH95)),BH98*IF(BH96&lt;INDEX('Lease Cycles'!$DK$13:$DQ$13,1,BH95),0,IF(BH96=INDEX('Lease Cycles'!$DK$13:$DQ$13,1,BH95),1-INDEX('Lease Cycles'!$DR$13:$DX$13,1,BH95),1))),0)</f>
        <v>3900</v>
      </c>
      <c r="BI101" s="28">
        <f>IF(BI97=1,IF(INDEX('Lease Cycles'!$EF$13:$EL$13,1,BI95)=1,BI98*INDEX('Lease Cycles'!$EM$13:$ES$13,1,BI95)+BI99*IF(BI96&lt;INDEX('Lease Cycles'!$FA$13:$FG$13,1,BI95),0,1-INDEX('Lease Cycles'!$EM$13:$ES$13,1,BI95)),BI98*IF(BI96&lt;INDEX('Lease Cycles'!$DK$13:$DQ$13,1,BI95),0,IF(BI96=INDEX('Lease Cycles'!$DK$13:$DQ$13,1,BI95),1-INDEX('Lease Cycles'!$DR$13:$DX$13,1,BI95),1))),0)</f>
        <v>3900</v>
      </c>
      <c r="BJ101" s="28">
        <f>IF(BJ97=1,IF(INDEX('Lease Cycles'!$EF$13:$EL$13,1,BJ95)=1,BJ98*INDEX('Lease Cycles'!$EM$13:$ES$13,1,BJ95)+BJ99*IF(BJ96&lt;INDEX('Lease Cycles'!$FA$13:$FG$13,1,BJ95),0,1-INDEX('Lease Cycles'!$EM$13:$ES$13,1,BJ95)),BJ98*IF(BJ96&lt;INDEX('Lease Cycles'!$DK$13:$DQ$13,1,BJ95),0,IF(BJ96=INDEX('Lease Cycles'!$DK$13:$DQ$13,1,BJ95),1-INDEX('Lease Cycles'!$DR$13:$DX$13,1,BJ95),1))),0)</f>
        <v>3900</v>
      </c>
      <c r="BK101" s="28">
        <f>IF(BK97=1,IF(INDEX('Lease Cycles'!$EF$13:$EL$13,1,BK95)=1,BK98*INDEX('Lease Cycles'!$EM$13:$ES$13,1,BK95)+BK99*IF(BK96&lt;INDEX('Lease Cycles'!$FA$13:$FG$13,1,BK95),0,1-INDEX('Lease Cycles'!$EM$13:$ES$13,1,BK95)),BK98*IF(BK96&lt;INDEX('Lease Cycles'!$DK$13:$DQ$13,1,BK95),0,IF(BK96=INDEX('Lease Cycles'!$DK$13:$DQ$13,1,BK95),1-INDEX('Lease Cycles'!$DR$13:$DX$13,1,BK95),1))),0)</f>
        <v>0</v>
      </c>
      <c r="BL101" s="28">
        <f>IF(BL97=1,IF(INDEX('Lease Cycles'!$EF$13:$EL$13,1,BL95)=1,BL98*INDEX('Lease Cycles'!$EM$13:$ES$13,1,BL95)+BL99*IF(BL96&lt;INDEX('Lease Cycles'!$FA$13:$FG$13,1,BL95),0,1-INDEX('Lease Cycles'!$EM$13:$ES$13,1,BL95)),BL98*IF(BL96&lt;INDEX('Lease Cycles'!$DK$13:$DQ$13,1,BL95),0,IF(BL96=INDEX('Lease Cycles'!$DK$13:$DQ$13,1,BL95),1-INDEX('Lease Cycles'!$DR$13:$DX$13,1,BL95),1))),0)</f>
        <v>620.0583720977583</v>
      </c>
      <c r="BM101" s="28">
        <f>IF(BM97=1,IF(INDEX('Lease Cycles'!$EF$13:$EL$13,1,BM95)=1,BM98*INDEX('Lease Cycles'!$EM$13:$ES$13,1,BM95)+BM99*IF(BM96&lt;INDEX('Lease Cycles'!$FA$13:$FG$13,1,BM95),0,1-INDEX('Lease Cycles'!$EM$13:$ES$13,1,BM95)),BM98*IF(BM96&lt;INDEX('Lease Cycles'!$DK$13:$DQ$13,1,BM95),0,IF(BM96=INDEX('Lease Cycles'!$DK$13:$DQ$13,1,BM95),1-INDEX('Lease Cycles'!$DR$13:$DX$13,1,BM95),1))),0)</f>
        <v>3100.291860488833</v>
      </c>
      <c r="BN101" s="28">
        <f>IF(BN97=1,IF(INDEX('Lease Cycles'!$EF$13:$EL$13,1,BN95)=1,BN98*INDEX('Lease Cycles'!$EM$13:$ES$13,1,BN95)+BN99*IF(BN96&lt;INDEX('Lease Cycles'!$FA$13:$FG$13,1,BN95),0,1-INDEX('Lease Cycles'!$EM$13:$ES$13,1,BN95)),BN98*IF(BN96&lt;INDEX('Lease Cycles'!$DK$13:$DQ$13,1,BN95),0,IF(BN96=INDEX('Lease Cycles'!$DK$13:$DQ$13,1,BN95),1-INDEX('Lease Cycles'!$DR$13:$DX$13,1,BN95),1))),0)</f>
        <v>3100.291860488833</v>
      </c>
      <c r="BO101" s="28">
        <f>IF(BO97=1,IF(INDEX('Lease Cycles'!$EF$13:$EL$13,1,BO95)=1,BO98*INDEX('Lease Cycles'!$EM$13:$ES$13,1,BO95)+BO99*IF(BO96&lt;INDEX('Lease Cycles'!$FA$13:$FG$13,1,BO95),0,1-INDEX('Lease Cycles'!$EM$13:$ES$13,1,BO95)),BO98*IF(BO96&lt;INDEX('Lease Cycles'!$DK$13:$DQ$13,1,BO95),0,IF(BO96=INDEX('Lease Cycles'!$DK$13:$DQ$13,1,BO95),1-INDEX('Lease Cycles'!$DR$13:$DX$13,1,BO95),1))),0)</f>
        <v>3100.291860488833</v>
      </c>
      <c r="BP101" s="28">
        <f>IF(BP97=1,IF(INDEX('Lease Cycles'!$EF$13:$EL$13,1,BP95)=1,BP98*INDEX('Lease Cycles'!$EM$13:$ES$13,1,BP95)+BP99*IF(BP96&lt;INDEX('Lease Cycles'!$FA$13:$FG$13,1,BP95),0,1-INDEX('Lease Cycles'!$EM$13:$ES$13,1,BP95)),BP98*IF(BP96&lt;INDEX('Lease Cycles'!$DK$13:$DQ$13,1,BP95),0,IF(BP96=INDEX('Lease Cycles'!$DK$13:$DQ$13,1,BP95),1-INDEX('Lease Cycles'!$DR$13:$DX$13,1,BP95),1))),0)</f>
        <v>3100.291860488833</v>
      </c>
      <c r="BQ101" s="28">
        <f>IF(BQ97=1,IF(INDEX('Lease Cycles'!$EF$13:$EL$13,1,BQ95)=1,BQ98*INDEX('Lease Cycles'!$EM$13:$ES$13,1,BQ95)+BQ99*IF(BQ96&lt;INDEX('Lease Cycles'!$FA$13:$FG$13,1,BQ95),0,1-INDEX('Lease Cycles'!$EM$13:$ES$13,1,BQ95)),BQ98*IF(BQ96&lt;INDEX('Lease Cycles'!$DK$13:$DQ$13,1,BQ95),0,IF(BQ96=INDEX('Lease Cycles'!$DK$13:$DQ$13,1,BQ95),1-INDEX('Lease Cycles'!$DR$13:$DX$13,1,BQ95),1))),0)</f>
        <v>3100.291860488833</v>
      </c>
      <c r="BR101" s="28">
        <f>IF(BR97=1,IF(INDEX('Lease Cycles'!$EF$13:$EL$13,1,BR95)=1,BR98*INDEX('Lease Cycles'!$EM$13:$ES$13,1,BR95)+BR99*IF(BR96&lt;INDEX('Lease Cycles'!$FA$13:$FG$13,1,BR95),0,1-INDEX('Lease Cycles'!$EM$13:$ES$13,1,BR95)),BR98*IF(BR96&lt;INDEX('Lease Cycles'!$DK$13:$DQ$13,1,BR95),0,IF(BR96=INDEX('Lease Cycles'!$DK$13:$DQ$13,1,BR95),1-INDEX('Lease Cycles'!$DR$13:$DX$13,1,BR95),1))),0)</f>
        <v>3100.291860488833</v>
      </c>
      <c r="BS101" s="28">
        <f>IF(BS97=1,IF(INDEX('Lease Cycles'!$EF$13:$EL$13,1,BS95)=1,BS98*INDEX('Lease Cycles'!$EM$13:$ES$13,1,BS95)+BS99*IF(BS96&lt;INDEX('Lease Cycles'!$FA$13:$FG$13,1,BS95),0,1-INDEX('Lease Cycles'!$EM$13:$ES$13,1,BS95)),BS98*IF(BS96&lt;INDEX('Lease Cycles'!$DK$13:$DQ$13,1,BS95),0,IF(BS96=INDEX('Lease Cycles'!$DK$13:$DQ$13,1,BS95),1-INDEX('Lease Cycles'!$DR$13:$DX$13,1,BS95),1))),0)</f>
        <v>3100.291860488833</v>
      </c>
      <c r="BT101" s="28">
        <f>IF(BT97=1,IF(INDEX('Lease Cycles'!$EF$13:$EL$13,1,BT95)=1,BT98*INDEX('Lease Cycles'!$EM$13:$ES$13,1,BT95)+BT99*IF(BT96&lt;INDEX('Lease Cycles'!$FA$13:$FG$13,1,BT95),0,1-INDEX('Lease Cycles'!$EM$13:$ES$13,1,BT95)),BT98*IF(BT96&lt;INDEX('Lease Cycles'!$DK$13:$DQ$13,1,BT95),0,IF(BT96=INDEX('Lease Cycles'!$DK$13:$DQ$13,1,BT95),1-INDEX('Lease Cycles'!$DR$13:$DX$13,1,BT95),1))),0)</f>
        <v>3100.291860488833</v>
      </c>
      <c r="BU101" s="28">
        <f>IF(BU97=1,IF(INDEX('Lease Cycles'!$EF$13:$EL$13,1,BU95)=1,BU98*INDEX('Lease Cycles'!$EM$13:$ES$13,1,BU95)+BU99*IF(BU96&lt;INDEX('Lease Cycles'!$FA$13:$FG$13,1,BU95),0,1-INDEX('Lease Cycles'!$EM$13:$ES$13,1,BU95)),BU98*IF(BU96&lt;INDEX('Lease Cycles'!$DK$13:$DQ$13,1,BU95),0,IF(BU96=INDEX('Lease Cycles'!$DK$13:$DQ$13,1,BU95),1-INDEX('Lease Cycles'!$DR$13:$DX$13,1,BU95),1))),0)</f>
        <v>3100.291860488833</v>
      </c>
      <c r="BV101" s="28">
        <f>IF(BV97=1,IF(INDEX('Lease Cycles'!$EF$13:$EL$13,1,BV95)=1,BV98*INDEX('Lease Cycles'!$EM$13:$ES$13,1,BV95)+BV99*IF(BV96&lt;INDEX('Lease Cycles'!$FA$13:$FG$13,1,BV95),0,1-INDEX('Lease Cycles'!$EM$13:$ES$13,1,BV95)),BV98*IF(BV96&lt;INDEX('Lease Cycles'!$DK$13:$DQ$13,1,BV95),0,IF(BV96=INDEX('Lease Cycles'!$DK$13:$DQ$13,1,BV95),1-INDEX('Lease Cycles'!$DR$13:$DX$13,1,BV95),1))),0)</f>
        <v>3100.291860488833</v>
      </c>
      <c r="BW101" s="28">
        <f>IF(BW97=1,IF(INDEX('Lease Cycles'!$EF$13:$EL$13,1,BW95)=1,BW98*INDEX('Lease Cycles'!$EM$13:$ES$13,1,BW95)+BW99*IF(BW96&lt;INDEX('Lease Cycles'!$FA$13:$FG$13,1,BW95),0,1-INDEX('Lease Cycles'!$EM$13:$ES$13,1,BW95)),BW98*IF(BW96&lt;INDEX('Lease Cycles'!$DK$13:$DQ$13,1,BW95),0,IF(BW96=INDEX('Lease Cycles'!$DK$13:$DQ$13,1,BW95),1-INDEX('Lease Cycles'!$DR$13:$DX$13,1,BW95),1))),0)</f>
        <v>3100.291860488833</v>
      </c>
      <c r="BX101" s="28">
        <f>IF(BX97=1,IF(INDEX('Lease Cycles'!$EF$13:$EL$13,1,BX95)=1,BX98*INDEX('Lease Cycles'!$EM$13:$ES$13,1,BX95)+BX99*IF(BX96&lt;INDEX('Lease Cycles'!$FA$13:$FG$13,1,BX95),0,1-INDEX('Lease Cycles'!$EM$13:$ES$13,1,BX95)),BX98*IF(BX96&lt;INDEX('Lease Cycles'!$DK$13:$DQ$13,1,BX95),0,IF(BX96=INDEX('Lease Cycles'!$DK$13:$DQ$13,1,BX95),1-INDEX('Lease Cycles'!$DR$13:$DX$13,1,BX95),1))),0)</f>
        <v>3193.3006163034984</v>
      </c>
      <c r="BY101" s="28">
        <f>IF(BY97=1,IF(INDEX('Lease Cycles'!$EF$13:$EL$13,1,BY95)=1,BY98*INDEX('Lease Cycles'!$EM$13:$ES$13,1,BY95)+BY99*IF(BY96&lt;INDEX('Lease Cycles'!$FA$13:$FG$13,1,BY95),0,1-INDEX('Lease Cycles'!$EM$13:$ES$13,1,BY95)),BY98*IF(BY96&lt;INDEX('Lease Cycles'!$DK$13:$DQ$13,1,BY95),0,IF(BY96=INDEX('Lease Cycles'!$DK$13:$DQ$13,1,BY95),1-INDEX('Lease Cycles'!$DR$13:$DX$13,1,BY95),1))),0)</f>
        <v>3193.3006163034984</v>
      </c>
      <c r="BZ101" s="28">
        <f>IF(BZ97=1,IF(INDEX('Lease Cycles'!$EF$13:$EL$13,1,BZ95)=1,BZ98*INDEX('Lease Cycles'!$EM$13:$ES$13,1,BZ95)+BZ99*IF(BZ96&lt;INDEX('Lease Cycles'!$FA$13:$FG$13,1,BZ95),0,1-INDEX('Lease Cycles'!$EM$13:$ES$13,1,BZ95)),BZ98*IF(BZ96&lt;INDEX('Lease Cycles'!$DK$13:$DQ$13,1,BZ95),0,IF(BZ96=INDEX('Lease Cycles'!$DK$13:$DQ$13,1,BZ95),1-INDEX('Lease Cycles'!$DR$13:$DX$13,1,BZ95),1))),0)</f>
        <v>3193.3006163034984</v>
      </c>
      <c r="CA101" s="28">
        <f>IF(CA97=1,IF(INDEX('Lease Cycles'!$EF$13:$EL$13,1,CA95)=1,CA98*INDEX('Lease Cycles'!$EM$13:$ES$13,1,CA95)+CA99*IF(CA96&lt;INDEX('Lease Cycles'!$FA$13:$FG$13,1,CA95),0,1-INDEX('Lease Cycles'!$EM$13:$ES$13,1,CA95)),CA98*IF(CA96&lt;INDEX('Lease Cycles'!$DK$13:$DQ$13,1,CA95),0,IF(CA96=INDEX('Lease Cycles'!$DK$13:$DQ$13,1,CA95),1-INDEX('Lease Cycles'!$DR$13:$DX$13,1,CA95),1))),0)</f>
        <v>3193.3006163034984</v>
      </c>
      <c r="CB101" s="28">
        <f>IF(CB97=1,IF(INDEX('Lease Cycles'!$EF$13:$EL$13,1,CB95)=1,CB98*INDEX('Lease Cycles'!$EM$13:$ES$13,1,CB95)+CB99*IF(CB96&lt;INDEX('Lease Cycles'!$FA$13:$FG$13,1,CB95),0,1-INDEX('Lease Cycles'!$EM$13:$ES$13,1,CB95)),CB98*IF(CB96&lt;INDEX('Lease Cycles'!$DK$13:$DQ$13,1,CB95),0,IF(CB96=INDEX('Lease Cycles'!$DK$13:$DQ$13,1,CB95),1-INDEX('Lease Cycles'!$DR$13:$DX$13,1,CB95),1))),0)</f>
        <v>3193.3006163034984</v>
      </c>
      <c r="CC101" s="28">
        <f>IF(CC97=1,IF(INDEX('Lease Cycles'!$EF$13:$EL$13,1,CC95)=1,CC98*INDEX('Lease Cycles'!$EM$13:$ES$13,1,CC95)+CC99*IF(CC96&lt;INDEX('Lease Cycles'!$FA$13:$FG$13,1,CC95),0,1-INDEX('Lease Cycles'!$EM$13:$ES$13,1,CC95)),CC98*IF(CC96&lt;INDEX('Lease Cycles'!$DK$13:$DQ$13,1,CC95),0,IF(CC96=INDEX('Lease Cycles'!$DK$13:$DQ$13,1,CC95),1-INDEX('Lease Cycles'!$DR$13:$DX$13,1,CC95),1))),0)</f>
        <v>3193.3006163034984</v>
      </c>
      <c r="CD101" s="28">
        <f>IF(CD97=1,IF(INDEX('Lease Cycles'!$EF$13:$EL$13,1,CD95)=1,CD98*INDEX('Lease Cycles'!$EM$13:$ES$13,1,CD95)+CD99*IF(CD96&lt;INDEX('Lease Cycles'!$FA$13:$FG$13,1,CD95),0,1-INDEX('Lease Cycles'!$EM$13:$ES$13,1,CD95)),CD98*IF(CD96&lt;INDEX('Lease Cycles'!$DK$13:$DQ$13,1,CD95),0,IF(CD96=INDEX('Lease Cycles'!$DK$13:$DQ$13,1,CD95),1-INDEX('Lease Cycles'!$DR$13:$DX$13,1,CD95),1))),0)</f>
        <v>3193.3006163034984</v>
      </c>
      <c r="CE101" s="28">
        <f>IF(CE97=1,IF(INDEX('Lease Cycles'!$EF$13:$EL$13,1,CE95)=1,CE98*INDEX('Lease Cycles'!$EM$13:$ES$13,1,CE95)+CE99*IF(CE96&lt;INDEX('Lease Cycles'!$FA$13:$FG$13,1,CE95),0,1-INDEX('Lease Cycles'!$EM$13:$ES$13,1,CE95)),CE98*IF(CE96&lt;INDEX('Lease Cycles'!$DK$13:$DQ$13,1,CE95),0,IF(CE96=INDEX('Lease Cycles'!$DK$13:$DQ$13,1,CE95),1-INDEX('Lease Cycles'!$DR$13:$DX$13,1,CE95),1))),0)</f>
        <v>3193.3006163034984</v>
      </c>
      <c r="CF101" s="28">
        <f>IF(CF97=1,IF(INDEX('Lease Cycles'!$EF$13:$EL$13,1,CF95)=1,CF98*INDEX('Lease Cycles'!$EM$13:$ES$13,1,CF95)+CF99*IF(CF96&lt;INDEX('Lease Cycles'!$FA$13:$FG$13,1,CF95),0,1-INDEX('Lease Cycles'!$EM$13:$ES$13,1,CF95)),CF98*IF(CF96&lt;INDEX('Lease Cycles'!$DK$13:$DQ$13,1,CF95),0,IF(CF96=INDEX('Lease Cycles'!$DK$13:$DQ$13,1,CF95),1-INDEX('Lease Cycles'!$DR$13:$DX$13,1,CF95),1))),0)</f>
        <v>3193.3006163034984</v>
      </c>
      <c r="CG101" s="28">
        <f>IF(CG97=1,IF(INDEX('Lease Cycles'!$EF$13:$EL$13,1,CG95)=1,CG98*INDEX('Lease Cycles'!$EM$13:$ES$13,1,CG95)+CG99*IF(CG96&lt;INDEX('Lease Cycles'!$FA$13:$FG$13,1,CG95),0,1-INDEX('Lease Cycles'!$EM$13:$ES$13,1,CG95)),CG98*IF(CG96&lt;INDEX('Lease Cycles'!$DK$13:$DQ$13,1,CG95),0,IF(CG96=INDEX('Lease Cycles'!$DK$13:$DQ$13,1,CG95),1-INDEX('Lease Cycles'!$DR$13:$DX$13,1,CG95),1))),0)</f>
        <v>3193.3006163034984</v>
      </c>
      <c r="CH101" s="28">
        <f>IF(CH97=1,IF(INDEX('Lease Cycles'!$EF$13:$EL$13,1,CH95)=1,CH98*INDEX('Lease Cycles'!$EM$13:$ES$13,1,CH95)+CH99*IF(CH96&lt;INDEX('Lease Cycles'!$FA$13:$FG$13,1,CH95),0,1-INDEX('Lease Cycles'!$EM$13:$ES$13,1,CH95)),CH98*IF(CH96&lt;INDEX('Lease Cycles'!$DK$13:$DQ$13,1,CH95),0,IF(CH96=INDEX('Lease Cycles'!$DK$13:$DQ$13,1,CH95),1-INDEX('Lease Cycles'!$DR$13:$DX$13,1,CH95),1))),0)</f>
        <v>3193.3006163034984</v>
      </c>
      <c r="CI101" s="28">
        <f>IF(CI97=1,IF(INDEX('Lease Cycles'!$EF$13:$EL$13,1,CI95)=1,CI98*INDEX('Lease Cycles'!$EM$13:$ES$13,1,CI95)+CI99*IF(CI96&lt;INDEX('Lease Cycles'!$FA$13:$FG$13,1,CI95),0,1-INDEX('Lease Cycles'!$EM$13:$ES$13,1,CI95)),CI98*IF(CI96&lt;INDEX('Lease Cycles'!$DK$13:$DQ$13,1,CI95),0,IF(CI96=INDEX('Lease Cycles'!$DK$13:$DQ$13,1,CI95),1-INDEX('Lease Cycles'!$DR$13:$DX$13,1,CI95),1))),0)</f>
        <v>3193.3006163034984</v>
      </c>
      <c r="CJ101" s="28">
        <f>IF(CJ97=1,IF(INDEX('Lease Cycles'!$EF$13:$EL$13,1,CJ95)=1,CJ98*INDEX('Lease Cycles'!$EM$13:$ES$13,1,CJ95)+CJ99*IF(CJ96&lt;INDEX('Lease Cycles'!$FA$13:$FG$13,1,CJ95),0,1-INDEX('Lease Cycles'!$EM$13:$ES$13,1,CJ95)),CJ98*IF(CJ96&lt;INDEX('Lease Cycles'!$DK$13:$DQ$13,1,CJ95),0,IF(CJ96=INDEX('Lease Cycles'!$DK$13:$DQ$13,1,CJ95),1-INDEX('Lease Cycles'!$DR$13:$DX$13,1,CJ95),1))),0)</f>
        <v>3289.099634792603</v>
      </c>
      <c r="CK101" s="28">
        <f>IF(CK97=1,IF(INDEX('Lease Cycles'!$EF$13:$EL$13,1,CK95)=1,CK98*INDEX('Lease Cycles'!$EM$13:$ES$13,1,CK95)+CK99*IF(CK96&lt;INDEX('Lease Cycles'!$FA$13:$FG$13,1,CK95),0,1-INDEX('Lease Cycles'!$EM$13:$ES$13,1,CK95)),CK98*IF(CK96&lt;INDEX('Lease Cycles'!$DK$13:$DQ$13,1,CK95),0,IF(CK96=INDEX('Lease Cycles'!$DK$13:$DQ$13,1,CK95),1-INDEX('Lease Cycles'!$DR$13:$DX$13,1,CK95),1))),0)</f>
        <v>3289.099634792603</v>
      </c>
      <c r="CL101" s="28">
        <f>IF(CL97=1,IF(INDEX('Lease Cycles'!$EF$13:$EL$13,1,CL95)=1,CL98*INDEX('Lease Cycles'!$EM$13:$ES$13,1,CL95)+CL99*IF(CL96&lt;INDEX('Lease Cycles'!$FA$13:$FG$13,1,CL95),0,1-INDEX('Lease Cycles'!$EM$13:$ES$13,1,CL95)),CL98*IF(CL96&lt;INDEX('Lease Cycles'!$DK$13:$DQ$13,1,CL95),0,IF(CL96=INDEX('Lease Cycles'!$DK$13:$DQ$13,1,CL95),1-INDEX('Lease Cycles'!$DR$13:$DX$13,1,CL95),1))),0)</f>
        <v>3289.099634792603</v>
      </c>
      <c r="CM101" s="28">
        <f>IF(CM97=1,IF(INDEX('Lease Cycles'!$EF$13:$EL$13,1,CM95)=1,CM98*INDEX('Lease Cycles'!$EM$13:$ES$13,1,CM95)+CM99*IF(CM96&lt;INDEX('Lease Cycles'!$FA$13:$FG$13,1,CM95),0,1-INDEX('Lease Cycles'!$EM$13:$ES$13,1,CM95)),CM98*IF(CM96&lt;INDEX('Lease Cycles'!$DK$13:$DQ$13,1,CM95),0,IF(CM96=INDEX('Lease Cycles'!$DK$13:$DQ$13,1,CM95),1-INDEX('Lease Cycles'!$DR$13:$DX$13,1,CM95),1))),0)</f>
        <v>3289.099634792603</v>
      </c>
      <c r="CN101" s="28">
        <f>IF(CN97=1,IF(INDEX('Lease Cycles'!$EF$13:$EL$13,1,CN95)=1,CN98*INDEX('Lease Cycles'!$EM$13:$ES$13,1,CN95)+CN99*IF(CN96&lt;INDEX('Lease Cycles'!$FA$13:$FG$13,1,CN95),0,1-INDEX('Lease Cycles'!$EM$13:$ES$13,1,CN95)),CN98*IF(CN96&lt;INDEX('Lease Cycles'!$DK$13:$DQ$13,1,CN95),0,IF(CN96=INDEX('Lease Cycles'!$DK$13:$DQ$13,1,CN95),1-INDEX('Lease Cycles'!$DR$13:$DX$13,1,CN95),1))),0)</f>
        <v>3289.099634792603</v>
      </c>
      <c r="CO101" s="28">
        <f>IF(CO97=1,IF(INDEX('Lease Cycles'!$EF$13:$EL$13,1,CO95)=1,CO98*INDEX('Lease Cycles'!$EM$13:$ES$13,1,CO95)+CO99*IF(CO96&lt;INDEX('Lease Cycles'!$FA$13:$FG$13,1,CO95),0,1-INDEX('Lease Cycles'!$EM$13:$ES$13,1,CO95)),CO98*IF(CO96&lt;INDEX('Lease Cycles'!$DK$13:$DQ$13,1,CO95),0,IF(CO96=INDEX('Lease Cycles'!$DK$13:$DQ$13,1,CO95),1-INDEX('Lease Cycles'!$DR$13:$DX$13,1,CO95),1))),0)</f>
        <v>3289.099634792603</v>
      </c>
      <c r="CP101" s="28">
        <f>IF(CP97=1,IF(INDEX('Lease Cycles'!$EF$13:$EL$13,1,CP95)=1,CP98*INDEX('Lease Cycles'!$EM$13:$ES$13,1,CP95)+CP99*IF(CP96&lt;INDEX('Lease Cycles'!$FA$13:$FG$13,1,CP95),0,1-INDEX('Lease Cycles'!$EM$13:$ES$13,1,CP95)),CP98*IF(CP96&lt;INDEX('Lease Cycles'!$DK$13:$DQ$13,1,CP95),0,IF(CP96=INDEX('Lease Cycles'!$DK$13:$DQ$13,1,CP95),1-INDEX('Lease Cycles'!$DR$13:$DX$13,1,CP95),1))),0)</f>
        <v>3289.099634792603</v>
      </c>
      <c r="CQ101" s="28">
        <f>IF(CQ97=1,IF(INDEX('Lease Cycles'!$EF$13:$EL$13,1,CQ95)=1,CQ98*INDEX('Lease Cycles'!$EM$13:$ES$13,1,CQ95)+CQ99*IF(CQ96&lt;INDEX('Lease Cycles'!$FA$13:$FG$13,1,CQ95),0,1-INDEX('Lease Cycles'!$EM$13:$ES$13,1,CQ95)),CQ98*IF(CQ96&lt;INDEX('Lease Cycles'!$DK$13:$DQ$13,1,CQ95),0,IF(CQ96=INDEX('Lease Cycles'!$DK$13:$DQ$13,1,CQ95),1-INDEX('Lease Cycles'!$DR$13:$DX$13,1,CQ95),1))),0)</f>
        <v>3289.099634792603</v>
      </c>
      <c r="CR101" s="28">
        <f>IF(CR97=1,IF(INDEX('Lease Cycles'!$EF$13:$EL$13,1,CR95)=1,CR98*INDEX('Lease Cycles'!$EM$13:$ES$13,1,CR95)+CR99*IF(CR96&lt;INDEX('Lease Cycles'!$FA$13:$FG$13,1,CR95),0,1-INDEX('Lease Cycles'!$EM$13:$ES$13,1,CR95)),CR98*IF(CR96&lt;INDEX('Lease Cycles'!$DK$13:$DQ$13,1,CR95),0,IF(CR96=INDEX('Lease Cycles'!$DK$13:$DQ$13,1,CR95),1-INDEX('Lease Cycles'!$DR$13:$DX$13,1,CR95),1))),0)</f>
        <v>3289.099634792603</v>
      </c>
      <c r="CS101" s="28">
        <f>IF(CS97=1,IF(INDEX('Lease Cycles'!$EF$13:$EL$13,1,CS95)=1,CS98*INDEX('Lease Cycles'!$EM$13:$ES$13,1,CS95)+CS99*IF(CS96&lt;INDEX('Lease Cycles'!$FA$13:$FG$13,1,CS95),0,1-INDEX('Lease Cycles'!$EM$13:$ES$13,1,CS95)),CS98*IF(CS96&lt;INDEX('Lease Cycles'!$DK$13:$DQ$13,1,CS95),0,IF(CS96=INDEX('Lease Cycles'!$DK$13:$DQ$13,1,CS95),1-INDEX('Lease Cycles'!$DR$13:$DX$13,1,CS95),1))),0)</f>
        <v>3289.099634792603</v>
      </c>
      <c r="CT101" s="28">
        <f>IF(CT97=1,IF(INDEX('Lease Cycles'!$EF$13:$EL$13,1,CT95)=1,CT98*INDEX('Lease Cycles'!$EM$13:$ES$13,1,CT95)+CT99*IF(CT96&lt;INDEX('Lease Cycles'!$FA$13:$FG$13,1,CT95),0,1-INDEX('Lease Cycles'!$EM$13:$ES$13,1,CT95)),CT98*IF(CT96&lt;INDEX('Lease Cycles'!$DK$13:$DQ$13,1,CT95),0,IF(CT96=INDEX('Lease Cycles'!$DK$13:$DQ$13,1,CT95),1-INDEX('Lease Cycles'!$DR$13:$DX$13,1,CT95),1))),0)</f>
        <v>3289.099634792603</v>
      </c>
      <c r="CU101" s="28">
        <f>IF(CU97=1,IF(INDEX('Lease Cycles'!$EF$13:$EL$13,1,CU95)=1,CU98*INDEX('Lease Cycles'!$EM$13:$ES$13,1,CU95)+CU99*IF(CU96&lt;INDEX('Lease Cycles'!$FA$13:$FG$13,1,CU95),0,1-INDEX('Lease Cycles'!$EM$13:$ES$13,1,CU95)),CU98*IF(CU96&lt;INDEX('Lease Cycles'!$DK$13:$DQ$13,1,CU95),0,IF(CU96=INDEX('Lease Cycles'!$DK$13:$DQ$13,1,CU95),1-INDEX('Lease Cycles'!$DR$13:$DX$13,1,CU95),1))),0)</f>
        <v>3289.099634792603</v>
      </c>
      <c r="CV101" s="28">
        <f>IF(CV97=1,IF(INDEX('Lease Cycles'!$EF$13:$EL$13,1,CV95)=1,CV98*INDEX('Lease Cycles'!$EM$13:$ES$13,1,CV95)+CV99*IF(CV96&lt;INDEX('Lease Cycles'!$FA$13:$FG$13,1,CV95),0,1-INDEX('Lease Cycles'!$EM$13:$ES$13,1,CV95)),CV98*IF(CV96&lt;INDEX('Lease Cycles'!$DK$13:$DQ$13,1,CV95),0,IF(CV96=INDEX('Lease Cycles'!$DK$13:$DQ$13,1,CV95),1-INDEX('Lease Cycles'!$DR$13:$DX$13,1,CV95),1))),0)</f>
        <v>3387.772623836381</v>
      </c>
      <c r="CW101" s="28">
        <f>IF(CW97=1,IF(INDEX('Lease Cycles'!$EF$13:$EL$13,1,CW95)=1,CW98*INDEX('Lease Cycles'!$EM$13:$ES$13,1,CW95)+CW99*IF(CW96&lt;INDEX('Lease Cycles'!$FA$13:$FG$13,1,CW95),0,1-INDEX('Lease Cycles'!$EM$13:$ES$13,1,CW95)),CW98*IF(CW96&lt;INDEX('Lease Cycles'!$DK$13:$DQ$13,1,CW95),0,IF(CW96=INDEX('Lease Cycles'!$DK$13:$DQ$13,1,CW95),1-INDEX('Lease Cycles'!$DR$13:$DX$13,1,CW95),1))),0)</f>
        <v>3387.772623836381</v>
      </c>
      <c r="CX101" s="28">
        <f>IF(CX97=1,IF(INDEX('Lease Cycles'!$EF$13:$EL$13,1,CX95)=1,CX98*INDEX('Lease Cycles'!$EM$13:$ES$13,1,CX95)+CX99*IF(CX96&lt;INDEX('Lease Cycles'!$FA$13:$FG$13,1,CX95),0,1-INDEX('Lease Cycles'!$EM$13:$ES$13,1,CX95)),CX98*IF(CX96&lt;INDEX('Lease Cycles'!$DK$13:$DQ$13,1,CX95),0,IF(CX96=INDEX('Lease Cycles'!$DK$13:$DQ$13,1,CX95),1-INDEX('Lease Cycles'!$DR$13:$DX$13,1,CX95),1))),0)</f>
        <v>3387.772623836381</v>
      </c>
      <c r="CY101" s="28">
        <f>IF(CY97=1,IF(INDEX('Lease Cycles'!$EF$13:$EL$13,1,CY95)=1,CY98*INDEX('Lease Cycles'!$EM$13:$ES$13,1,CY95)+CY99*IF(CY96&lt;INDEX('Lease Cycles'!$FA$13:$FG$13,1,CY95),0,1-INDEX('Lease Cycles'!$EM$13:$ES$13,1,CY95)),CY98*IF(CY96&lt;INDEX('Lease Cycles'!$DK$13:$DQ$13,1,CY95),0,IF(CY96=INDEX('Lease Cycles'!$DK$13:$DQ$13,1,CY95),1-INDEX('Lease Cycles'!$DR$13:$DX$13,1,CY95),1))),0)</f>
        <v>3387.772623836381</v>
      </c>
      <c r="CZ101" s="28">
        <f>IF(CZ97=1,IF(INDEX('Lease Cycles'!$EF$13:$EL$13,1,CZ95)=1,CZ98*INDEX('Lease Cycles'!$EM$13:$ES$13,1,CZ95)+CZ99*IF(CZ96&lt;INDEX('Lease Cycles'!$FA$13:$FG$13,1,CZ95),0,1-INDEX('Lease Cycles'!$EM$13:$ES$13,1,CZ95)),CZ98*IF(CZ96&lt;INDEX('Lease Cycles'!$DK$13:$DQ$13,1,CZ95),0,IF(CZ96=INDEX('Lease Cycles'!$DK$13:$DQ$13,1,CZ95),1-INDEX('Lease Cycles'!$DR$13:$DX$13,1,CZ95),1))),0)</f>
        <v>3387.772623836381</v>
      </c>
      <c r="DA101" s="28">
        <f>IF(DA97=1,IF(INDEX('Lease Cycles'!$EF$13:$EL$13,1,DA95)=1,DA98*INDEX('Lease Cycles'!$EM$13:$ES$13,1,DA95)+DA99*IF(DA96&lt;INDEX('Lease Cycles'!$FA$13:$FG$13,1,DA95),0,1-INDEX('Lease Cycles'!$EM$13:$ES$13,1,DA95)),DA98*IF(DA96&lt;INDEX('Lease Cycles'!$DK$13:$DQ$13,1,DA95),0,IF(DA96=INDEX('Lease Cycles'!$DK$13:$DQ$13,1,DA95),1-INDEX('Lease Cycles'!$DR$13:$DX$13,1,DA95),1))),0)</f>
        <v>3387.772623836381</v>
      </c>
      <c r="DB101" s="28">
        <f>IF(DB97=1,IF(INDEX('Lease Cycles'!$EF$13:$EL$13,1,DB95)=1,DB98*INDEX('Lease Cycles'!$EM$13:$ES$13,1,DB95)+DB99*IF(DB96&lt;INDEX('Lease Cycles'!$FA$13:$FG$13,1,DB95),0,1-INDEX('Lease Cycles'!$EM$13:$ES$13,1,DB95)),DB98*IF(DB96&lt;INDEX('Lease Cycles'!$DK$13:$DQ$13,1,DB95),0,IF(DB96=INDEX('Lease Cycles'!$DK$13:$DQ$13,1,DB95),1-INDEX('Lease Cycles'!$DR$13:$DX$13,1,DB95),1))),0)</f>
        <v>3387.772623836381</v>
      </c>
      <c r="DC101" s="28">
        <f>IF(DC97=1,IF(INDEX('Lease Cycles'!$EF$13:$EL$13,1,DC95)=1,DC98*INDEX('Lease Cycles'!$EM$13:$ES$13,1,DC95)+DC99*IF(DC96&lt;INDEX('Lease Cycles'!$FA$13:$FG$13,1,DC95),0,1-INDEX('Lease Cycles'!$EM$13:$ES$13,1,DC95)),DC98*IF(DC96&lt;INDEX('Lease Cycles'!$DK$13:$DQ$13,1,DC95),0,IF(DC96=INDEX('Lease Cycles'!$DK$13:$DQ$13,1,DC95),1-INDEX('Lease Cycles'!$DR$13:$DX$13,1,DC95),1))),0)</f>
        <v>3387.772623836381</v>
      </c>
      <c r="DD101" s="28">
        <f>IF(DD97=1,IF(INDEX('Lease Cycles'!$EF$13:$EL$13,1,DD95)=1,DD98*INDEX('Lease Cycles'!$EM$13:$ES$13,1,DD95)+DD99*IF(DD96&lt;INDEX('Lease Cycles'!$FA$13:$FG$13,1,DD95),0,1-INDEX('Lease Cycles'!$EM$13:$ES$13,1,DD95)),DD98*IF(DD96&lt;INDEX('Lease Cycles'!$DK$13:$DQ$13,1,DD95),0,IF(DD96=INDEX('Lease Cycles'!$DK$13:$DQ$13,1,DD95),1-INDEX('Lease Cycles'!$DR$13:$DX$13,1,DD95),1))),0)</f>
        <v>3387.772623836381</v>
      </c>
      <c r="DE101" s="28">
        <f>IF(DE97=1,IF(INDEX('Lease Cycles'!$EF$13:$EL$13,1,DE95)=1,DE98*INDEX('Lease Cycles'!$EM$13:$ES$13,1,DE95)+DE99*IF(DE96&lt;INDEX('Lease Cycles'!$FA$13:$FG$13,1,DE95),0,1-INDEX('Lease Cycles'!$EM$13:$ES$13,1,DE95)),DE98*IF(DE96&lt;INDEX('Lease Cycles'!$DK$13:$DQ$13,1,DE95),0,IF(DE96=INDEX('Lease Cycles'!$DK$13:$DQ$13,1,DE95),1-INDEX('Lease Cycles'!$DR$13:$DX$13,1,DE95),1))),0)</f>
        <v>3387.772623836381</v>
      </c>
      <c r="DF101" s="28">
        <f>IF(DF97=1,IF(INDEX('Lease Cycles'!$EF$13:$EL$13,1,DF95)=1,DF98*INDEX('Lease Cycles'!$EM$13:$ES$13,1,DF95)+DF99*IF(DF96&lt;INDEX('Lease Cycles'!$FA$13:$FG$13,1,DF95),0,1-INDEX('Lease Cycles'!$EM$13:$ES$13,1,DF95)),DF98*IF(DF96&lt;INDEX('Lease Cycles'!$DK$13:$DQ$13,1,DF95),0,IF(DF96=INDEX('Lease Cycles'!$DK$13:$DQ$13,1,DF95),1-INDEX('Lease Cycles'!$DR$13:$DX$13,1,DF95),1))),0)</f>
        <v>3387.772623836381</v>
      </c>
      <c r="DG101" s="28">
        <f>IF(DG97=1,IF(INDEX('Lease Cycles'!$EF$13:$EL$13,1,DG95)=1,DG98*INDEX('Lease Cycles'!$EM$13:$ES$13,1,DG95)+DG99*IF(DG96&lt;INDEX('Lease Cycles'!$FA$13:$FG$13,1,DG95),0,1-INDEX('Lease Cycles'!$EM$13:$ES$13,1,DG95)),DG98*IF(DG96&lt;INDEX('Lease Cycles'!$DK$13:$DQ$13,1,DG95),0,IF(DG96=INDEX('Lease Cycles'!$DK$13:$DQ$13,1,DG95),1-INDEX('Lease Cycles'!$DR$13:$DX$13,1,DG95),1))),0)</f>
        <v>3387.772623836381</v>
      </c>
      <c r="DH101" s="28">
        <f>IF(DH97=1,IF(INDEX('Lease Cycles'!$EF$13:$EL$13,1,DH95)=1,DH98*INDEX('Lease Cycles'!$EM$13:$ES$13,1,DH95)+DH99*IF(DH96&lt;INDEX('Lease Cycles'!$FA$13:$FG$13,1,DH95),0,1-INDEX('Lease Cycles'!$EM$13:$ES$13,1,DH95)),DH98*IF(DH96&lt;INDEX('Lease Cycles'!$DK$13:$DQ$13,1,DH95),0,IF(DH96=INDEX('Lease Cycles'!$DK$13:$DQ$13,1,DH95),1-INDEX('Lease Cycles'!$DR$13:$DX$13,1,DH95),1))),0)</f>
        <v>3489.4058025514732</v>
      </c>
      <c r="DI101" s="28">
        <f>IF(DI97=1,IF(INDEX('Lease Cycles'!$EF$13:$EL$13,1,DI95)=1,DI98*INDEX('Lease Cycles'!$EM$13:$ES$13,1,DI95)+DI99*IF(DI96&lt;INDEX('Lease Cycles'!$FA$13:$FG$13,1,DI95),0,1-INDEX('Lease Cycles'!$EM$13:$ES$13,1,DI95)),DI98*IF(DI96&lt;INDEX('Lease Cycles'!$DK$13:$DQ$13,1,DI95),0,IF(DI96=INDEX('Lease Cycles'!$DK$13:$DQ$13,1,DI95),1-INDEX('Lease Cycles'!$DR$13:$DX$13,1,DI95),1))),0)</f>
        <v>3489.4058025514732</v>
      </c>
      <c r="DJ101" s="28">
        <f>IF(DJ97=1,IF(INDEX('Lease Cycles'!$EF$13:$EL$13,1,DJ95)=1,DJ98*INDEX('Lease Cycles'!$EM$13:$ES$13,1,DJ95)+DJ99*IF(DJ96&lt;INDEX('Lease Cycles'!$FA$13:$FG$13,1,DJ95),0,1-INDEX('Lease Cycles'!$EM$13:$ES$13,1,DJ95)),DJ98*IF(DJ96&lt;INDEX('Lease Cycles'!$DK$13:$DQ$13,1,DJ95),0,IF(DJ96=INDEX('Lease Cycles'!$DK$13:$DQ$13,1,DJ95),1-INDEX('Lease Cycles'!$DR$13:$DX$13,1,DJ95),1))),0)</f>
        <v>3489.4058025514732</v>
      </c>
      <c r="DK101" s="28">
        <f>IF(DK97=1,IF(INDEX('Lease Cycles'!$EF$13:$EL$13,1,DK95)=1,DK98*INDEX('Lease Cycles'!$EM$13:$ES$13,1,DK95)+DK99*IF(DK96&lt;INDEX('Lease Cycles'!$FA$13:$FG$13,1,DK95),0,1-INDEX('Lease Cycles'!$EM$13:$ES$13,1,DK95)),DK98*IF(DK96&lt;INDEX('Lease Cycles'!$DK$13:$DQ$13,1,DK95),0,IF(DK96=INDEX('Lease Cycles'!$DK$13:$DQ$13,1,DK95),1-INDEX('Lease Cycles'!$DR$13:$DX$13,1,DK95),1))),0)</f>
        <v>3489.4058025514732</v>
      </c>
      <c r="DL101" s="28">
        <f>IF(DL97=1,IF(INDEX('Lease Cycles'!$EF$13:$EL$13,1,DL95)=1,DL98*INDEX('Lease Cycles'!$EM$13:$ES$13,1,DL95)+DL99*IF(DL96&lt;INDEX('Lease Cycles'!$FA$13:$FG$13,1,DL95),0,1-INDEX('Lease Cycles'!$EM$13:$ES$13,1,DL95)),DL98*IF(DL96&lt;INDEX('Lease Cycles'!$DK$13:$DQ$13,1,DL95),0,IF(DL96=INDEX('Lease Cycles'!$DK$13:$DQ$13,1,DL95),1-INDEX('Lease Cycles'!$DR$13:$DX$13,1,DL95),1))),0)</f>
        <v>3489.4058025514732</v>
      </c>
      <c r="DM101" s="28">
        <f>IF(DM97=1,IF(INDEX('Lease Cycles'!$EF$13:$EL$13,1,DM95)=1,DM98*INDEX('Lease Cycles'!$EM$13:$ES$13,1,DM95)+DM99*IF(DM96&lt;INDEX('Lease Cycles'!$FA$13:$FG$13,1,DM95),0,1-INDEX('Lease Cycles'!$EM$13:$ES$13,1,DM95)),DM98*IF(DM96&lt;INDEX('Lease Cycles'!$DK$13:$DQ$13,1,DM95),0,IF(DM96=INDEX('Lease Cycles'!$DK$13:$DQ$13,1,DM95),1-INDEX('Lease Cycles'!$DR$13:$DX$13,1,DM95),1))),0)</f>
        <v>3489.4058025514732</v>
      </c>
      <c r="DN101" s="28">
        <f>IF(DN97=1,IF(INDEX('Lease Cycles'!$EF$13:$EL$13,1,DN95)=1,DN98*INDEX('Lease Cycles'!$EM$13:$ES$13,1,DN95)+DN99*IF(DN96&lt;INDEX('Lease Cycles'!$FA$13:$FG$13,1,DN95),0,1-INDEX('Lease Cycles'!$EM$13:$ES$13,1,DN95)),DN98*IF(DN96&lt;INDEX('Lease Cycles'!$DK$13:$DQ$13,1,DN95),0,IF(DN96=INDEX('Lease Cycles'!$DK$13:$DQ$13,1,DN95),1-INDEX('Lease Cycles'!$DR$13:$DX$13,1,DN95),1))),0)</f>
        <v>3489.4058025514732</v>
      </c>
      <c r="DO101" s="28">
        <f>IF(DO97=1,IF(INDEX('Lease Cycles'!$EF$13:$EL$13,1,DO95)=1,DO98*INDEX('Lease Cycles'!$EM$13:$ES$13,1,DO95)+DO99*IF(DO96&lt;INDEX('Lease Cycles'!$FA$13:$FG$13,1,DO95),0,1-INDEX('Lease Cycles'!$EM$13:$ES$13,1,DO95)),DO98*IF(DO96&lt;INDEX('Lease Cycles'!$DK$13:$DQ$13,1,DO95),0,IF(DO96=INDEX('Lease Cycles'!$DK$13:$DQ$13,1,DO95),1-INDEX('Lease Cycles'!$DR$13:$DX$13,1,DO95),1))),0)</f>
        <v>3489.4058025514732</v>
      </c>
      <c r="DP101" s="28">
        <f>IF(DP97=1,IF(INDEX('Lease Cycles'!$EF$13:$EL$13,1,DP95)=1,DP98*INDEX('Lease Cycles'!$EM$13:$ES$13,1,DP95)+DP99*IF(DP96&lt;INDEX('Lease Cycles'!$FA$13:$FG$13,1,DP95),0,1-INDEX('Lease Cycles'!$EM$13:$ES$13,1,DP95)),DP98*IF(DP96&lt;INDEX('Lease Cycles'!$DK$13:$DQ$13,1,DP95),0,IF(DP96=INDEX('Lease Cycles'!$DK$13:$DQ$13,1,DP95),1-INDEX('Lease Cycles'!$DR$13:$DX$13,1,DP95),1))),0)</f>
        <v>3489.4058025514732</v>
      </c>
      <c r="DQ101" s="28">
        <f>IF(DQ97=1,IF(INDEX('Lease Cycles'!$EF$13:$EL$13,1,DQ95)=1,DQ98*INDEX('Lease Cycles'!$EM$13:$ES$13,1,DQ95)+DQ99*IF(DQ96&lt;INDEX('Lease Cycles'!$FA$13:$FG$13,1,DQ95),0,1-INDEX('Lease Cycles'!$EM$13:$ES$13,1,DQ95)),DQ98*IF(DQ96&lt;INDEX('Lease Cycles'!$DK$13:$DQ$13,1,DQ95),0,IF(DQ96=INDEX('Lease Cycles'!$DK$13:$DQ$13,1,DQ95),1-INDEX('Lease Cycles'!$DR$13:$DX$13,1,DQ95),1))),0)</f>
        <v>3489.4058025514732</v>
      </c>
      <c r="DR101" s="28">
        <f>IF(DR97=1,IF(INDEX('Lease Cycles'!$EF$13:$EL$13,1,DR95)=1,DR98*INDEX('Lease Cycles'!$EM$13:$ES$13,1,DR95)+DR99*IF(DR96&lt;INDEX('Lease Cycles'!$FA$13:$FG$13,1,DR95),0,1-INDEX('Lease Cycles'!$EM$13:$ES$13,1,DR95)),DR98*IF(DR96&lt;INDEX('Lease Cycles'!$DK$13:$DQ$13,1,DR95),0,IF(DR96=INDEX('Lease Cycles'!$DK$13:$DQ$13,1,DR95),1-INDEX('Lease Cycles'!$DR$13:$DX$13,1,DR95),1))),0)</f>
        <v>3489.4058025514732</v>
      </c>
      <c r="DS101" s="28">
        <f>IF(DS97=1,IF(INDEX('Lease Cycles'!$EF$13:$EL$13,1,DS95)=1,DS98*INDEX('Lease Cycles'!$EM$13:$ES$13,1,DS95)+DS99*IF(DS96&lt;INDEX('Lease Cycles'!$FA$13:$FG$13,1,DS95),0,1-INDEX('Lease Cycles'!$EM$13:$ES$13,1,DS95)),DS98*IF(DS96&lt;INDEX('Lease Cycles'!$DK$13:$DQ$13,1,DS95),0,IF(DS96=INDEX('Lease Cycles'!$DK$13:$DQ$13,1,DS95),1-INDEX('Lease Cycles'!$DR$13:$DX$13,1,DS95),1))),0)</f>
        <v>3489.4058025514732</v>
      </c>
      <c r="DT101" s="28">
        <f>IF(DT97=1,IF(INDEX('Lease Cycles'!$EF$13:$EL$13,1,DT95)=1,DT98*INDEX('Lease Cycles'!$EM$13:$ES$13,1,DT95)+DT99*IF(DT96&lt;INDEX('Lease Cycles'!$FA$13:$FG$13,1,DT95),0,1-INDEX('Lease Cycles'!$EM$13:$ES$13,1,DT95)),DT98*IF(DT96&lt;INDEX('Lease Cycles'!$DK$13:$DQ$13,1,DT95),0,IF(DT96=INDEX('Lease Cycles'!$DK$13:$DQ$13,1,DT95),1-INDEX('Lease Cycles'!$DR$13:$DX$13,1,DT95),1))),0)</f>
        <v>3594.0879766280173</v>
      </c>
      <c r="DU101" s="28">
        <f>IF(DU97=1,IF(INDEX('Lease Cycles'!$EF$13:$EL$13,1,DU95)=1,DU98*INDEX('Lease Cycles'!$EM$13:$ES$13,1,DU95)+DU99*IF(DU96&lt;INDEX('Lease Cycles'!$FA$13:$FG$13,1,DU95),0,1-INDEX('Lease Cycles'!$EM$13:$ES$13,1,DU95)),DU98*IF(DU96&lt;INDEX('Lease Cycles'!$DK$13:$DQ$13,1,DU95),0,IF(DU96=INDEX('Lease Cycles'!$DK$13:$DQ$13,1,DU95),1-INDEX('Lease Cycles'!$DR$13:$DX$13,1,DU95),1))),0)</f>
        <v>3594.0879766280173</v>
      </c>
      <c r="DV101" s="28">
        <f>IF(DV97=1,IF(INDEX('Lease Cycles'!$EF$13:$EL$13,1,DV95)=1,DV98*INDEX('Lease Cycles'!$EM$13:$ES$13,1,DV95)+DV99*IF(DV96&lt;INDEX('Lease Cycles'!$FA$13:$FG$13,1,DV95),0,1-INDEX('Lease Cycles'!$EM$13:$ES$13,1,DV95)),DV98*IF(DV96&lt;INDEX('Lease Cycles'!$DK$13:$DQ$13,1,DV95),0,IF(DV96=INDEX('Lease Cycles'!$DK$13:$DQ$13,1,DV95),1-INDEX('Lease Cycles'!$DR$13:$DX$13,1,DV95),1))),0)</f>
        <v>3594.0879766280173</v>
      </c>
      <c r="DW101" s="28">
        <f>IF(DW97=1,IF(INDEX('Lease Cycles'!$EF$13:$EL$13,1,DW95)=1,DW98*INDEX('Lease Cycles'!$EM$13:$ES$13,1,DW95)+DW99*IF(DW96&lt;INDEX('Lease Cycles'!$FA$13:$FG$13,1,DW95),0,1-INDEX('Lease Cycles'!$EM$13:$ES$13,1,DW95)),DW98*IF(DW96&lt;INDEX('Lease Cycles'!$DK$13:$DQ$13,1,DW95),0,IF(DW96=INDEX('Lease Cycles'!$DK$13:$DQ$13,1,DW95),1-INDEX('Lease Cycles'!$DR$13:$DX$13,1,DW95),1))),0)</f>
        <v>3594.0879766280173</v>
      </c>
      <c r="DX101" s="28">
        <f>IF(DX97=1,IF(INDEX('Lease Cycles'!$EF$13:$EL$13,1,DX95)=1,DX98*INDEX('Lease Cycles'!$EM$13:$ES$13,1,DX95)+DX99*IF(DX96&lt;INDEX('Lease Cycles'!$FA$13:$FG$13,1,DX95),0,1-INDEX('Lease Cycles'!$EM$13:$ES$13,1,DX95)),DX98*IF(DX96&lt;INDEX('Lease Cycles'!$DK$13:$DQ$13,1,DX95),0,IF(DX96=INDEX('Lease Cycles'!$DK$13:$DQ$13,1,DX95),1-INDEX('Lease Cycles'!$DR$13:$DX$13,1,DX95),1))),0)</f>
        <v>3594.0879766280173</v>
      </c>
      <c r="DY101" s="28">
        <f>IF(DY97=1,IF(INDEX('Lease Cycles'!$EF$13:$EL$13,1,DY95)=1,DY98*INDEX('Lease Cycles'!$EM$13:$ES$13,1,DY95)+DY99*IF(DY96&lt;INDEX('Lease Cycles'!$FA$13:$FG$13,1,DY95),0,1-INDEX('Lease Cycles'!$EM$13:$ES$13,1,DY95)),DY98*IF(DY96&lt;INDEX('Lease Cycles'!$DK$13:$DQ$13,1,DY95),0,IF(DY96=INDEX('Lease Cycles'!$DK$13:$DQ$13,1,DY95),1-INDEX('Lease Cycles'!$DR$13:$DX$13,1,DY95),1))),0)</f>
        <v>3594.0879766280173</v>
      </c>
      <c r="DZ101" s="28">
        <f>IF(DZ97=1,IF(INDEX('Lease Cycles'!$EF$13:$EL$13,1,DZ95)=1,DZ98*INDEX('Lease Cycles'!$EM$13:$ES$13,1,DZ95)+DZ99*IF(DZ96&lt;INDEX('Lease Cycles'!$FA$13:$FG$13,1,DZ95),0,1-INDEX('Lease Cycles'!$EM$13:$ES$13,1,DZ95)),DZ98*IF(DZ96&lt;INDEX('Lease Cycles'!$DK$13:$DQ$13,1,DZ95),0,IF(DZ96=INDEX('Lease Cycles'!$DK$13:$DQ$13,1,DZ95),1-INDEX('Lease Cycles'!$DR$13:$DX$13,1,DZ95),1))),0)</f>
        <v>3594.0879766280173</v>
      </c>
      <c r="EA101" s="28">
        <f>IF(EA97=1,IF(INDEX('Lease Cycles'!$EF$13:$EL$13,1,EA95)=1,EA98*INDEX('Lease Cycles'!$EM$13:$ES$13,1,EA95)+EA99*IF(EA96&lt;INDEX('Lease Cycles'!$FA$13:$FG$13,1,EA95),0,1-INDEX('Lease Cycles'!$EM$13:$ES$13,1,EA95)),EA98*IF(EA96&lt;INDEX('Lease Cycles'!$DK$13:$DQ$13,1,EA95),0,IF(EA96=INDEX('Lease Cycles'!$DK$13:$DQ$13,1,EA95),1-INDEX('Lease Cycles'!$DR$13:$DX$13,1,EA95),1))),0)</f>
        <v>3594.0879766280173</v>
      </c>
      <c r="EB101" s="28">
        <f>IF(EB97=1,IF(INDEX('Lease Cycles'!$EF$13:$EL$13,1,EB95)=1,EB98*INDEX('Lease Cycles'!$EM$13:$ES$13,1,EB95)+EB99*IF(EB96&lt;INDEX('Lease Cycles'!$FA$13:$FG$13,1,EB95),0,1-INDEX('Lease Cycles'!$EM$13:$ES$13,1,EB95)),EB98*IF(EB96&lt;INDEX('Lease Cycles'!$DK$13:$DQ$13,1,EB95),0,IF(EB96=INDEX('Lease Cycles'!$DK$13:$DQ$13,1,EB95),1-INDEX('Lease Cycles'!$DR$13:$DX$13,1,EB95),1))),0)</f>
        <v>3594.0879766280173</v>
      </c>
      <c r="EC101" s="28">
        <f>IF(EC97=1,IF(INDEX('Lease Cycles'!$EF$13:$EL$13,1,EC95)=1,EC98*INDEX('Lease Cycles'!$EM$13:$ES$13,1,EC95)+EC99*IF(EC96&lt;INDEX('Lease Cycles'!$FA$13:$FG$13,1,EC95),0,1-INDEX('Lease Cycles'!$EM$13:$ES$13,1,EC95)),EC98*IF(EC96&lt;INDEX('Lease Cycles'!$DK$13:$DQ$13,1,EC95),0,IF(EC96=INDEX('Lease Cycles'!$DK$13:$DQ$13,1,EC95),1-INDEX('Lease Cycles'!$DR$13:$DX$13,1,EC95),1))),0)</f>
        <v>3594.0879766280173</v>
      </c>
      <c r="ED101" s="28">
        <f>IF(ED97=1,IF(INDEX('Lease Cycles'!$EF$13:$EL$13,1,ED95)=1,ED98*INDEX('Lease Cycles'!$EM$13:$ES$13,1,ED95)+ED99*IF(ED96&lt;INDEX('Lease Cycles'!$FA$13:$FG$13,1,ED95),0,1-INDEX('Lease Cycles'!$EM$13:$ES$13,1,ED95)),ED98*IF(ED96&lt;INDEX('Lease Cycles'!$DK$13:$DQ$13,1,ED95),0,IF(ED96=INDEX('Lease Cycles'!$DK$13:$DQ$13,1,ED95),1-INDEX('Lease Cycles'!$DR$13:$DX$13,1,ED95),1))),0)</f>
        <v>3594.0879766280173</v>
      </c>
      <c r="EE101" s="28">
        <f>IF(EE97=1,IF(INDEX('Lease Cycles'!$EF$13:$EL$13,1,EE95)=1,EE98*INDEX('Lease Cycles'!$EM$13:$ES$13,1,EE95)+EE99*IF(EE96&lt;INDEX('Lease Cycles'!$FA$13:$FG$13,1,EE95),0,1-INDEX('Lease Cycles'!$EM$13:$ES$13,1,EE95)),EE98*IF(EE96&lt;INDEX('Lease Cycles'!$DK$13:$DQ$13,1,EE95),0,IF(EE96=INDEX('Lease Cycles'!$DK$13:$DQ$13,1,EE95),1-INDEX('Lease Cycles'!$DR$13:$DX$13,1,EE95),1))),0)</f>
        <v>3594.0879766280173</v>
      </c>
      <c r="EF101" s="28">
        <f>IF(EF97=1,IF(INDEX('Lease Cycles'!$EF$13:$EL$13,1,EF95)=1,EF98*INDEX('Lease Cycles'!$EM$13:$ES$13,1,EF95)+EF99*IF(EF96&lt;INDEX('Lease Cycles'!$FA$13:$FG$13,1,EF95),0,1-INDEX('Lease Cycles'!$EM$13:$ES$13,1,EF95)),EF98*IF(EF96&lt;INDEX('Lease Cycles'!$DK$13:$DQ$13,1,EF95),0,IF(EF96=INDEX('Lease Cycles'!$DK$13:$DQ$13,1,EF95),1-INDEX('Lease Cycles'!$DR$13:$DX$13,1,EF95),1))),0)</f>
        <v>3701.910615926858</v>
      </c>
      <c r="EG101" s="28">
        <f>IF(EG97=1,IF(INDEX('Lease Cycles'!$EF$13:$EL$13,1,EG95)=1,EG98*INDEX('Lease Cycles'!$EM$13:$ES$13,1,EG95)+EG99*IF(EG96&lt;INDEX('Lease Cycles'!$FA$13:$FG$13,1,EG95),0,1-INDEX('Lease Cycles'!$EM$13:$ES$13,1,EG95)),EG98*IF(EG96&lt;INDEX('Lease Cycles'!$DK$13:$DQ$13,1,EG95),0,IF(EG96=INDEX('Lease Cycles'!$DK$13:$DQ$13,1,EG95),1-INDEX('Lease Cycles'!$DR$13:$DX$13,1,EG95),1))),0)</f>
        <v>3701.910615926858</v>
      </c>
      <c r="EH101" s="28">
        <f>IF(EH97=1,IF(INDEX('Lease Cycles'!$EF$13:$EL$13,1,EH95)=1,EH98*INDEX('Lease Cycles'!$EM$13:$ES$13,1,EH95)+EH99*IF(EH96&lt;INDEX('Lease Cycles'!$FA$13:$FG$13,1,EH95),0,1-INDEX('Lease Cycles'!$EM$13:$ES$13,1,EH95)),EH98*IF(EH96&lt;INDEX('Lease Cycles'!$DK$13:$DQ$13,1,EH95),0,IF(EH96=INDEX('Lease Cycles'!$DK$13:$DQ$13,1,EH95),1-INDEX('Lease Cycles'!$DR$13:$DX$13,1,EH95),1))),0)</f>
        <v>3701.910615926858</v>
      </c>
      <c r="EI101" s="28">
        <f>IF(EI97=1,IF(INDEX('Lease Cycles'!$EF$13:$EL$13,1,EI95)=1,EI98*INDEX('Lease Cycles'!$EM$13:$ES$13,1,EI95)+EI99*IF(EI96&lt;INDEX('Lease Cycles'!$FA$13:$FG$13,1,EI95),0,1-INDEX('Lease Cycles'!$EM$13:$ES$13,1,EI95)),EI98*IF(EI96&lt;INDEX('Lease Cycles'!$DK$13:$DQ$13,1,EI95),0,IF(EI96=INDEX('Lease Cycles'!$DK$13:$DQ$13,1,EI95),1-INDEX('Lease Cycles'!$DR$13:$DX$13,1,EI95),1))),0)</f>
        <v>3701.910615926858</v>
      </c>
      <c r="EJ101" s="28">
        <f>IF(EJ97=1,IF(INDEX('Lease Cycles'!$EF$13:$EL$13,1,EJ95)=1,EJ98*INDEX('Lease Cycles'!$EM$13:$ES$13,1,EJ95)+EJ99*IF(EJ96&lt;INDEX('Lease Cycles'!$FA$13:$FG$13,1,EJ95),0,1-INDEX('Lease Cycles'!$EM$13:$ES$13,1,EJ95)),EJ98*IF(EJ96&lt;INDEX('Lease Cycles'!$DK$13:$DQ$13,1,EJ95),0,IF(EJ96=INDEX('Lease Cycles'!$DK$13:$DQ$13,1,EJ95),1-INDEX('Lease Cycles'!$DR$13:$DX$13,1,EJ95),1))),0)</f>
        <v>3701.910615926858</v>
      </c>
      <c r="EK101" s="28">
        <f>IF(EK97=1,IF(INDEX('Lease Cycles'!$EF$13:$EL$13,1,EK95)=1,EK98*INDEX('Lease Cycles'!$EM$13:$ES$13,1,EK95)+EK99*IF(EK96&lt;INDEX('Lease Cycles'!$FA$13:$FG$13,1,EK95),0,1-INDEX('Lease Cycles'!$EM$13:$ES$13,1,EK95)),EK98*IF(EK96&lt;INDEX('Lease Cycles'!$DK$13:$DQ$13,1,EK95),0,IF(EK96=INDEX('Lease Cycles'!$DK$13:$DQ$13,1,EK95),1-INDEX('Lease Cycles'!$DR$13:$DX$13,1,EK95),1))),0)</f>
        <v>3701.910615926858</v>
      </c>
      <c r="EL101" s="28">
        <f>IF(EL97=1,IF(INDEX('Lease Cycles'!$EF$13:$EL$13,1,EL95)=1,EL98*INDEX('Lease Cycles'!$EM$13:$ES$13,1,EL95)+EL99*IF(EL96&lt;INDEX('Lease Cycles'!$FA$13:$FG$13,1,EL95),0,1-INDEX('Lease Cycles'!$EM$13:$ES$13,1,EL95)),EL98*IF(EL96&lt;INDEX('Lease Cycles'!$DK$13:$DQ$13,1,EL95),0,IF(EL96=INDEX('Lease Cycles'!$DK$13:$DQ$13,1,EL95),1-INDEX('Lease Cycles'!$DR$13:$DX$13,1,EL95),1))),0)</f>
        <v>3701.910615926858</v>
      </c>
      <c r="EM101" s="28">
        <f>IF(EM97=1,IF(INDEX('Lease Cycles'!$EF$13:$EL$13,1,EM95)=1,EM98*INDEX('Lease Cycles'!$EM$13:$ES$13,1,EM95)+EM99*IF(EM96&lt;INDEX('Lease Cycles'!$FA$13:$FG$13,1,EM95),0,1-INDEX('Lease Cycles'!$EM$13:$ES$13,1,EM95)),EM98*IF(EM96&lt;INDEX('Lease Cycles'!$DK$13:$DQ$13,1,EM95),0,IF(EM96=INDEX('Lease Cycles'!$DK$13:$DQ$13,1,EM95),1-INDEX('Lease Cycles'!$DR$13:$DX$13,1,EM95),1))),0)</f>
        <v>3701.910615926858</v>
      </c>
      <c r="EN101" s="28">
        <f>IF(EN97=1,IF(INDEX('Lease Cycles'!$EF$13:$EL$13,1,EN95)=1,EN98*INDEX('Lease Cycles'!$EM$13:$ES$13,1,EN95)+EN99*IF(EN96&lt;INDEX('Lease Cycles'!$FA$13:$FG$13,1,EN95),0,1-INDEX('Lease Cycles'!$EM$13:$ES$13,1,EN95)),EN98*IF(EN96&lt;INDEX('Lease Cycles'!$DK$13:$DQ$13,1,EN95),0,IF(EN96=INDEX('Lease Cycles'!$DK$13:$DQ$13,1,EN95),1-INDEX('Lease Cycles'!$DR$13:$DX$13,1,EN95),1))),0)</f>
        <v>3701.910615926858</v>
      </c>
      <c r="EO101" s="28">
        <f>IF(EO97=1,IF(INDEX('Lease Cycles'!$EF$13:$EL$13,1,EO95)=1,EO98*INDEX('Lease Cycles'!$EM$13:$ES$13,1,EO95)+EO99*IF(EO96&lt;INDEX('Lease Cycles'!$FA$13:$FG$13,1,EO95),0,1-INDEX('Lease Cycles'!$EM$13:$ES$13,1,EO95)),EO98*IF(EO96&lt;INDEX('Lease Cycles'!$DK$13:$DQ$13,1,EO95),0,IF(EO96=INDEX('Lease Cycles'!$DK$13:$DQ$13,1,EO95),1-INDEX('Lease Cycles'!$DR$13:$DX$13,1,EO95),1))),0)</f>
        <v>3701.910615926858</v>
      </c>
      <c r="EP101" s="28">
        <f>IF(EP97=1,IF(INDEX('Lease Cycles'!$EF$13:$EL$13,1,EP95)=1,EP98*INDEX('Lease Cycles'!$EM$13:$ES$13,1,EP95)+EP99*IF(EP96&lt;INDEX('Lease Cycles'!$FA$13:$FG$13,1,EP95),0,1-INDEX('Lease Cycles'!$EM$13:$ES$13,1,EP95)),EP98*IF(EP96&lt;INDEX('Lease Cycles'!$DK$13:$DQ$13,1,EP95),0,IF(EP96=INDEX('Lease Cycles'!$DK$13:$DQ$13,1,EP95),1-INDEX('Lease Cycles'!$DR$13:$DX$13,1,EP95),1))),0)</f>
        <v>3701.910615926858</v>
      </c>
      <c r="EQ101" s="28">
        <f>IF(EQ97=1,IF(INDEX('Lease Cycles'!$EF$13:$EL$13,1,EQ95)=1,EQ98*INDEX('Lease Cycles'!$EM$13:$ES$13,1,EQ95)+EQ99*IF(EQ96&lt;INDEX('Lease Cycles'!$FA$13:$FG$13,1,EQ95),0,1-INDEX('Lease Cycles'!$EM$13:$ES$13,1,EQ95)),EQ98*IF(EQ96&lt;INDEX('Lease Cycles'!$DK$13:$DQ$13,1,EQ95),0,IF(EQ96=INDEX('Lease Cycles'!$DK$13:$DQ$13,1,EQ95),1-INDEX('Lease Cycles'!$DR$13:$DX$13,1,EQ95),1))),0)</f>
        <v>3701.910615926858</v>
      </c>
      <c r="ER101" s="28">
        <f>IF(ER97=1,IF(INDEX('Lease Cycles'!$EF$13:$EL$13,1,ER95)=1,ER98*INDEX('Lease Cycles'!$EM$13:$ES$13,1,ER95)+ER99*IF(ER96&lt;INDEX('Lease Cycles'!$FA$13:$FG$13,1,ER95),0,1-INDEX('Lease Cycles'!$EM$13:$ES$13,1,ER95)),ER98*IF(ER96&lt;INDEX('Lease Cycles'!$DK$13:$DQ$13,1,ER95),0,IF(ER96=INDEX('Lease Cycles'!$DK$13:$DQ$13,1,ER95),1-INDEX('Lease Cycles'!$DR$13:$DX$13,1,ER95),1))),0)</f>
        <v>3812.967934404664</v>
      </c>
      <c r="ES101" s="28">
        <f>IF(ES97=1,IF(INDEX('Lease Cycles'!$EF$13:$EL$13,1,ES95)=1,ES98*INDEX('Lease Cycles'!$EM$13:$ES$13,1,ES95)+ES99*IF(ES96&lt;INDEX('Lease Cycles'!$FA$13:$FG$13,1,ES95),0,1-INDEX('Lease Cycles'!$EM$13:$ES$13,1,ES95)),ES98*IF(ES96&lt;INDEX('Lease Cycles'!$DK$13:$DQ$13,1,ES95),0,IF(ES96=INDEX('Lease Cycles'!$DK$13:$DQ$13,1,ES95),1-INDEX('Lease Cycles'!$DR$13:$DX$13,1,ES95),1))),0)</f>
        <v>3812.967934404664</v>
      </c>
      <c r="ET101" s="28">
        <f>IF(ET97=1,IF(INDEX('Lease Cycles'!$EF$13:$EL$13,1,ET95)=1,ET98*INDEX('Lease Cycles'!$EM$13:$ES$13,1,ET95)+ET99*IF(ET96&lt;INDEX('Lease Cycles'!$FA$13:$FG$13,1,ET95),0,1-INDEX('Lease Cycles'!$EM$13:$ES$13,1,ET95)),ET98*IF(ET96&lt;INDEX('Lease Cycles'!$DK$13:$DQ$13,1,ET95),0,IF(ET96=INDEX('Lease Cycles'!$DK$13:$DQ$13,1,ET95),1-INDEX('Lease Cycles'!$DR$13:$DX$13,1,ET95),1))),0)</f>
        <v>3812.967934404664</v>
      </c>
    </row>
    <row r="102">
      <c r="A102" s="103">
        <v>6</v>
      </c>
      <c r="B102" s="23" t="str">
        <f>IF('Lease Cycles'!$B$13="","(empty slot)",'Lease Cycles'!$B$13)</f>
        <v>Sunfield Cleaners</v>
      </c>
      <c r="C102" s="23" t="s">
        <v>493</v>
      </c>
      <c r="D102" s="104" t="s">
        <v>494</v>
      </c>
      <c r="E102" s="25">
        <f>'Lease Cycles'!$AL$13</f>
        <v>0</v>
      </c>
      <c r="G102" s="28">
        <f>SUM(S102:AD102)</f>
        <v>0</v>
      </c>
      <c r="H102" s="28">
        <f>SUM(AE102:AP102)</f>
        <v>0</v>
      </c>
      <c r="I102" s="28">
        <f>SUM(AQ102:BB102)</f>
        <v>0</v>
      </c>
      <c r="J102" s="28">
        <f>SUM(BC102:BN102)</f>
        <v>1860.1751162932994</v>
      </c>
      <c r="K102" s="28">
        <f>SUM(BO102:BZ102)</f>
        <v>0</v>
      </c>
      <c r="L102" s="28">
        <f>SUM(CA102:CL102)</f>
        <v>0</v>
      </c>
      <c r="M102" s="28">
        <f>SUM(CM102:CX102)</f>
        <v>0</v>
      </c>
      <c r="N102" s="28">
        <f>SUM(CY102:DJ102)</f>
        <v>0</v>
      </c>
      <c r="O102" s="28">
        <f>SUM(DK102:DV102)</f>
        <v>0</v>
      </c>
      <c r="P102" s="28">
        <f>SUM(DW102:EH102)</f>
        <v>0</v>
      </c>
      <c r="Q102" s="28">
        <f>SUM(EI102:ET102)</f>
        <v>0</v>
      </c>
      <c r="S102" s="28">
        <f>IF(S97=1,IF(INDEX('Lease Cycles'!$EF$13:$EL$13,1,S95)=1,0,S98*(1-IF(S96&lt;INDEX('Lease Cycles'!$DK$13:$DQ$13,1,S95),0,IF(S96=INDEX('Lease Cycles'!$DK$13:$DQ$13,1,S95),1-INDEX('Lease Cycles'!$DR$13:$DX$13,1,S95),1))-IF(S96=0,INDEX('Lease Cycles'!$DD$13:$DJ$13,1,S95),0))),0)</f>
        <v>0</v>
      </c>
      <c r="T102" s="28">
        <f>IF(T97=1,IF(INDEX('Lease Cycles'!$EF$13:$EL$13,1,T95)=1,0,T98*(1-IF(T96&lt;INDEX('Lease Cycles'!$DK$13:$DQ$13,1,T95),0,IF(T96=INDEX('Lease Cycles'!$DK$13:$DQ$13,1,T95),1-INDEX('Lease Cycles'!$DR$13:$DX$13,1,T95),1))-IF(T96=0,INDEX('Lease Cycles'!$DD$13:$DJ$13,1,T95),0))),0)</f>
        <v>0</v>
      </c>
      <c r="U102" s="28">
        <f>IF(U97=1,IF(INDEX('Lease Cycles'!$EF$13:$EL$13,1,U95)=1,0,U98*(1-IF(U96&lt;INDEX('Lease Cycles'!$DK$13:$DQ$13,1,U95),0,IF(U96=INDEX('Lease Cycles'!$DK$13:$DQ$13,1,U95),1-INDEX('Lease Cycles'!$DR$13:$DX$13,1,U95),1))-IF(U96=0,INDEX('Lease Cycles'!$DD$13:$DJ$13,1,U95),0))),0)</f>
        <v>0</v>
      </c>
      <c r="V102" s="28">
        <f>IF(V97=1,IF(INDEX('Lease Cycles'!$EF$13:$EL$13,1,V95)=1,0,V98*(1-IF(V96&lt;INDEX('Lease Cycles'!$DK$13:$DQ$13,1,V95),0,IF(V96=INDEX('Lease Cycles'!$DK$13:$DQ$13,1,V95),1-INDEX('Lease Cycles'!$DR$13:$DX$13,1,V95),1))-IF(V96=0,INDEX('Lease Cycles'!$DD$13:$DJ$13,1,V95),0))),0)</f>
        <v>0</v>
      </c>
      <c r="W102" s="28">
        <f>IF(W97=1,IF(INDEX('Lease Cycles'!$EF$13:$EL$13,1,W95)=1,0,W98*(1-IF(W96&lt;INDEX('Lease Cycles'!$DK$13:$DQ$13,1,W95),0,IF(W96=INDEX('Lease Cycles'!$DK$13:$DQ$13,1,W95),1-INDEX('Lease Cycles'!$DR$13:$DX$13,1,W95),1))-IF(W96=0,INDEX('Lease Cycles'!$DD$13:$DJ$13,1,W95),0))),0)</f>
        <v>0</v>
      </c>
      <c r="X102" s="28">
        <f>IF(X97=1,IF(INDEX('Lease Cycles'!$EF$13:$EL$13,1,X95)=1,0,X98*(1-IF(X96&lt;INDEX('Lease Cycles'!$DK$13:$DQ$13,1,X95),0,IF(X96=INDEX('Lease Cycles'!$DK$13:$DQ$13,1,X95),1-INDEX('Lease Cycles'!$DR$13:$DX$13,1,X95),1))-IF(X96=0,INDEX('Lease Cycles'!$DD$13:$DJ$13,1,X95),0))),0)</f>
        <v>0</v>
      </c>
      <c r="Y102" s="28">
        <f>IF(Y97=1,IF(INDEX('Lease Cycles'!$EF$13:$EL$13,1,Y95)=1,0,Y98*(1-IF(Y96&lt;INDEX('Lease Cycles'!$DK$13:$DQ$13,1,Y95),0,IF(Y96=INDEX('Lease Cycles'!$DK$13:$DQ$13,1,Y95),1-INDEX('Lease Cycles'!$DR$13:$DX$13,1,Y95),1))-IF(Y96=0,INDEX('Lease Cycles'!$DD$13:$DJ$13,1,Y95),0))),0)</f>
        <v>0</v>
      </c>
      <c r="Z102" s="28">
        <f>IF(Z97=1,IF(INDEX('Lease Cycles'!$EF$13:$EL$13,1,Z95)=1,0,Z98*(1-IF(Z96&lt;INDEX('Lease Cycles'!$DK$13:$DQ$13,1,Z95),0,IF(Z96=INDEX('Lease Cycles'!$DK$13:$DQ$13,1,Z95),1-INDEX('Lease Cycles'!$DR$13:$DX$13,1,Z95),1))-IF(Z96=0,INDEX('Lease Cycles'!$DD$13:$DJ$13,1,Z95),0))),0)</f>
        <v>0</v>
      </c>
      <c r="AA102" s="28">
        <f>IF(AA97=1,IF(INDEX('Lease Cycles'!$EF$13:$EL$13,1,AA95)=1,0,AA98*(1-IF(AA96&lt;INDEX('Lease Cycles'!$DK$13:$DQ$13,1,AA95),0,IF(AA96=INDEX('Lease Cycles'!$DK$13:$DQ$13,1,AA95),1-INDEX('Lease Cycles'!$DR$13:$DX$13,1,AA95),1))-IF(AA96=0,INDEX('Lease Cycles'!$DD$13:$DJ$13,1,AA95),0))),0)</f>
        <v>0</v>
      </c>
      <c r="AB102" s="28">
        <f>IF(AB97=1,IF(INDEX('Lease Cycles'!$EF$13:$EL$13,1,AB95)=1,0,AB98*(1-IF(AB96&lt;INDEX('Lease Cycles'!$DK$13:$DQ$13,1,AB95),0,IF(AB96=INDEX('Lease Cycles'!$DK$13:$DQ$13,1,AB95),1-INDEX('Lease Cycles'!$DR$13:$DX$13,1,AB95),1))-IF(AB96=0,INDEX('Lease Cycles'!$DD$13:$DJ$13,1,AB95),0))),0)</f>
        <v>0</v>
      </c>
      <c r="AC102" s="28">
        <f>IF(AC97=1,IF(INDEX('Lease Cycles'!$EF$13:$EL$13,1,AC95)=1,0,AC98*(1-IF(AC96&lt;INDEX('Lease Cycles'!$DK$13:$DQ$13,1,AC95),0,IF(AC96=INDEX('Lease Cycles'!$DK$13:$DQ$13,1,AC95),1-INDEX('Lease Cycles'!$DR$13:$DX$13,1,AC95),1))-IF(AC96=0,INDEX('Lease Cycles'!$DD$13:$DJ$13,1,AC95),0))),0)</f>
        <v>0</v>
      </c>
      <c r="AD102" s="28">
        <f>IF(AD97=1,IF(INDEX('Lease Cycles'!$EF$13:$EL$13,1,AD95)=1,0,AD98*(1-IF(AD96&lt;INDEX('Lease Cycles'!$DK$13:$DQ$13,1,AD95),0,IF(AD96=INDEX('Lease Cycles'!$DK$13:$DQ$13,1,AD95),1-INDEX('Lease Cycles'!$DR$13:$DX$13,1,AD95),1))-IF(AD96=0,INDEX('Lease Cycles'!$DD$13:$DJ$13,1,AD95),0))),0)</f>
        <v>0</v>
      </c>
      <c r="AE102" s="28">
        <f>IF(AE97=1,IF(INDEX('Lease Cycles'!$EF$13:$EL$13,1,AE95)=1,0,AE98*(1-IF(AE96&lt;INDEX('Lease Cycles'!$DK$13:$DQ$13,1,AE95),0,IF(AE96=INDEX('Lease Cycles'!$DK$13:$DQ$13,1,AE95),1-INDEX('Lease Cycles'!$DR$13:$DX$13,1,AE95),1))-IF(AE96=0,INDEX('Lease Cycles'!$DD$13:$DJ$13,1,AE95),0))),0)</f>
        <v>0</v>
      </c>
      <c r="AF102" s="28">
        <f>IF(AF97=1,IF(INDEX('Lease Cycles'!$EF$13:$EL$13,1,AF95)=1,0,AF98*(1-IF(AF96&lt;INDEX('Lease Cycles'!$DK$13:$DQ$13,1,AF95),0,IF(AF96=INDEX('Lease Cycles'!$DK$13:$DQ$13,1,AF95),1-INDEX('Lease Cycles'!$DR$13:$DX$13,1,AF95),1))-IF(AF96=0,INDEX('Lease Cycles'!$DD$13:$DJ$13,1,AF95),0))),0)</f>
        <v>0</v>
      </c>
      <c r="AG102" s="28">
        <f>IF(AG97=1,IF(INDEX('Lease Cycles'!$EF$13:$EL$13,1,AG95)=1,0,AG98*(1-IF(AG96&lt;INDEX('Lease Cycles'!$DK$13:$DQ$13,1,AG95),0,IF(AG96=INDEX('Lease Cycles'!$DK$13:$DQ$13,1,AG95),1-INDEX('Lease Cycles'!$DR$13:$DX$13,1,AG95),1))-IF(AG96=0,INDEX('Lease Cycles'!$DD$13:$DJ$13,1,AG95),0))),0)</f>
        <v>0</v>
      </c>
      <c r="AH102" s="28">
        <f>IF(AH97=1,IF(INDEX('Lease Cycles'!$EF$13:$EL$13,1,AH95)=1,0,AH98*(1-IF(AH96&lt;INDEX('Lease Cycles'!$DK$13:$DQ$13,1,AH95),0,IF(AH96=INDEX('Lease Cycles'!$DK$13:$DQ$13,1,AH95),1-INDEX('Lease Cycles'!$DR$13:$DX$13,1,AH95),1))-IF(AH96=0,INDEX('Lease Cycles'!$DD$13:$DJ$13,1,AH95),0))),0)</f>
        <v>0</v>
      </c>
      <c r="AI102" s="28">
        <f>IF(AI97=1,IF(INDEX('Lease Cycles'!$EF$13:$EL$13,1,AI95)=1,0,AI98*(1-IF(AI96&lt;INDEX('Lease Cycles'!$DK$13:$DQ$13,1,AI95),0,IF(AI96=INDEX('Lease Cycles'!$DK$13:$DQ$13,1,AI95),1-INDEX('Lease Cycles'!$DR$13:$DX$13,1,AI95),1))-IF(AI96=0,INDEX('Lease Cycles'!$DD$13:$DJ$13,1,AI95),0))),0)</f>
        <v>0</v>
      </c>
      <c r="AJ102" s="28">
        <f>IF(AJ97=1,IF(INDEX('Lease Cycles'!$EF$13:$EL$13,1,AJ95)=1,0,AJ98*(1-IF(AJ96&lt;INDEX('Lease Cycles'!$DK$13:$DQ$13,1,AJ95),0,IF(AJ96=INDEX('Lease Cycles'!$DK$13:$DQ$13,1,AJ95),1-INDEX('Lease Cycles'!$DR$13:$DX$13,1,AJ95),1))-IF(AJ96=0,INDEX('Lease Cycles'!$DD$13:$DJ$13,1,AJ95),0))),0)</f>
        <v>0</v>
      </c>
      <c r="AK102" s="28">
        <f>IF(AK97=1,IF(INDEX('Lease Cycles'!$EF$13:$EL$13,1,AK95)=1,0,AK98*(1-IF(AK96&lt;INDEX('Lease Cycles'!$DK$13:$DQ$13,1,AK95),0,IF(AK96=INDEX('Lease Cycles'!$DK$13:$DQ$13,1,AK95),1-INDEX('Lease Cycles'!$DR$13:$DX$13,1,AK95),1))-IF(AK96=0,INDEX('Lease Cycles'!$DD$13:$DJ$13,1,AK95),0))),0)</f>
        <v>0</v>
      </c>
      <c r="AL102" s="28">
        <f>IF(AL97=1,IF(INDEX('Lease Cycles'!$EF$13:$EL$13,1,AL95)=1,0,AL98*(1-IF(AL96&lt;INDEX('Lease Cycles'!$DK$13:$DQ$13,1,AL95),0,IF(AL96=INDEX('Lease Cycles'!$DK$13:$DQ$13,1,AL95),1-INDEX('Lease Cycles'!$DR$13:$DX$13,1,AL95),1))-IF(AL96=0,INDEX('Lease Cycles'!$DD$13:$DJ$13,1,AL95),0))),0)</f>
        <v>0</v>
      </c>
      <c r="AM102" s="28">
        <f>IF(AM97=1,IF(INDEX('Lease Cycles'!$EF$13:$EL$13,1,AM95)=1,0,AM98*(1-IF(AM96&lt;INDEX('Lease Cycles'!$DK$13:$DQ$13,1,AM95),0,IF(AM96=INDEX('Lease Cycles'!$DK$13:$DQ$13,1,AM95),1-INDEX('Lease Cycles'!$DR$13:$DX$13,1,AM95),1))-IF(AM96=0,INDEX('Lease Cycles'!$DD$13:$DJ$13,1,AM95),0))),0)</f>
        <v>0</v>
      </c>
      <c r="AN102" s="28">
        <f>IF(AN97=1,IF(INDEX('Lease Cycles'!$EF$13:$EL$13,1,AN95)=1,0,AN98*(1-IF(AN96&lt;INDEX('Lease Cycles'!$DK$13:$DQ$13,1,AN95),0,IF(AN96=INDEX('Lease Cycles'!$DK$13:$DQ$13,1,AN95),1-INDEX('Lease Cycles'!$DR$13:$DX$13,1,AN95),1))-IF(AN96=0,INDEX('Lease Cycles'!$DD$13:$DJ$13,1,AN95),0))),0)</f>
        <v>0</v>
      </c>
      <c r="AO102" s="28">
        <f>IF(AO97=1,IF(INDEX('Lease Cycles'!$EF$13:$EL$13,1,AO95)=1,0,AO98*(1-IF(AO96&lt;INDEX('Lease Cycles'!$DK$13:$DQ$13,1,AO95),0,IF(AO96=INDEX('Lease Cycles'!$DK$13:$DQ$13,1,AO95),1-INDEX('Lease Cycles'!$DR$13:$DX$13,1,AO95),1))-IF(AO96=0,INDEX('Lease Cycles'!$DD$13:$DJ$13,1,AO95),0))),0)</f>
        <v>0</v>
      </c>
      <c r="AP102" s="28">
        <f>IF(AP97=1,IF(INDEX('Lease Cycles'!$EF$13:$EL$13,1,AP95)=1,0,AP98*(1-IF(AP96&lt;INDEX('Lease Cycles'!$DK$13:$DQ$13,1,AP95),0,IF(AP96=INDEX('Lease Cycles'!$DK$13:$DQ$13,1,AP95),1-INDEX('Lease Cycles'!$DR$13:$DX$13,1,AP95),1))-IF(AP96=0,INDEX('Lease Cycles'!$DD$13:$DJ$13,1,AP95),0))),0)</f>
        <v>0</v>
      </c>
      <c r="AQ102" s="28">
        <f>IF(AQ97=1,IF(INDEX('Lease Cycles'!$EF$13:$EL$13,1,AQ95)=1,0,AQ98*(1-IF(AQ96&lt;INDEX('Lease Cycles'!$DK$13:$DQ$13,1,AQ95),0,IF(AQ96=INDEX('Lease Cycles'!$DK$13:$DQ$13,1,AQ95),1-INDEX('Lease Cycles'!$DR$13:$DX$13,1,AQ95),1))-IF(AQ96=0,INDEX('Lease Cycles'!$DD$13:$DJ$13,1,AQ95),0))),0)</f>
        <v>0</v>
      </c>
      <c r="AR102" s="28">
        <f>IF(AR97=1,IF(INDEX('Lease Cycles'!$EF$13:$EL$13,1,AR95)=1,0,AR98*(1-IF(AR96&lt;INDEX('Lease Cycles'!$DK$13:$DQ$13,1,AR95),0,IF(AR96=INDEX('Lease Cycles'!$DK$13:$DQ$13,1,AR95),1-INDEX('Lease Cycles'!$DR$13:$DX$13,1,AR95),1))-IF(AR96=0,INDEX('Lease Cycles'!$DD$13:$DJ$13,1,AR95),0))),0)</f>
        <v>0</v>
      </c>
      <c r="AS102" s="28">
        <f>IF(AS97=1,IF(INDEX('Lease Cycles'!$EF$13:$EL$13,1,AS95)=1,0,AS98*(1-IF(AS96&lt;INDEX('Lease Cycles'!$DK$13:$DQ$13,1,AS95),0,IF(AS96=INDEX('Lease Cycles'!$DK$13:$DQ$13,1,AS95),1-INDEX('Lease Cycles'!$DR$13:$DX$13,1,AS95),1))-IF(AS96=0,INDEX('Lease Cycles'!$DD$13:$DJ$13,1,AS95),0))),0)</f>
        <v>0</v>
      </c>
      <c r="AT102" s="28">
        <f>IF(AT97=1,IF(INDEX('Lease Cycles'!$EF$13:$EL$13,1,AT95)=1,0,AT98*(1-IF(AT96&lt;INDEX('Lease Cycles'!$DK$13:$DQ$13,1,AT95),0,IF(AT96=INDEX('Lease Cycles'!$DK$13:$DQ$13,1,AT95),1-INDEX('Lease Cycles'!$DR$13:$DX$13,1,AT95),1))-IF(AT96=0,INDEX('Lease Cycles'!$DD$13:$DJ$13,1,AT95),0))),0)</f>
        <v>0</v>
      </c>
      <c r="AU102" s="28">
        <f>IF(AU97=1,IF(INDEX('Lease Cycles'!$EF$13:$EL$13,1,AU95)=1,0,AU98*(1-IF(AU96&lt;INDEX('Lease Cycles'!$DK$13:$DQ$13,1,AU95),0,IF(AU96=INDEX('Lease Cycles'!$DK$13:$DQ$13,1,AU95),1-INDEX('Lease Cycles'!$DR$13:$DX$13,1,AU95),1))-IF(AU96=0,INDEX('Lease Cycles'!$DD$13:$DJ$13,1,AU95),0))),0)</f>
        <v>0</v>
      </c>
      <c r="AV102" s="28">
        <f>IF(AV97=1,IF(INDEX('Lease Cycles'!$EF$13:$EL$13,1,AV95)=1,0,AV98*(1-IF(AV96&lt;INDEX('Lease Cycles'!$DK$13:$DQ$13,1,AV95),0,IF(AV96=INDEX('Lease Cycles'!$DK$13:$DQ$13,1,AV95),1-INDEX('Lease Cycles'!$DR$13:$DX$13,1,AV95),1))-IF(AV96=0,INDEX('Lease Cycles'!$DD$13:$DJ$13,1,AV95),0))),0)</f>
        <v>0</v>
      </c>
      <c r="AW102" s="28">
        <f>IF(AW97=1,IF(INDEX('Lease Cycles'!$EF$13:$EL$13,1,AW95)=1,0,AW98*(1-IF(AW96&lt;INDEX('Lease Cycles'!$DK$13:$DQ$13,1,AW95),0,IF(AW96=INDEX('Lease Cycles'!$DK$13:$DQ$13,1,AW95),1-INDEX('Lease Cycles'!$DR$13:$DX$13,1,AW95),1))-IF(AW96=0,INDEX('Lease Cycles'!$DD$13:$DJ$13,1,AW95),0))),0)</f>
        <v>0</v>
      </c>
      <c r="AX102" s="28">
        <f>IF(AX97=1,IF(INDEX('Lease Cycles'!$EF$13:$EL$13,1,AX95)=1,0,AX98*(1-IF(AX96&lt;INDEX('Lease Cycles'!$DK$13:$DQ$13,1,AX95),0,IF(AX96=INDEX('Lease Cycles'!$DK$13:$DQ$13,1,AX95),1-INDEX('Lease Cycles'!$DR$13:$DX$13,1,AX95),1))-IF(AX96=0,INDEX('Lease Cycles'!$DD$13:$DJ$13,1,AX95),0))),0)</f>
        <v>0</v>
      </c>
      <c r="AY102" s="28">
        <f>IF(AY97=1,IF(INDEX('Lease Cycles'!$EF$13:$EL$13,1,AY95)=1,0,AY98*(1-IF(AY96&lt;INDEX('Lease Cycles'!$DK$13:$DQ$13,1,AY95),0,IF(AY96=INDEX('Lease Cycles'!$DK$13:$DQ$13,1,AY95),1-INDEX('Lease Cycles'!$DR$13:$DX$13,1,AY95),1))-IF(AY96=0,INDEX('Lease Cycles'!$DD$13:$DJ$13,1,AY95),0))),0)</f>
        <v>0</v>
      </c>
      <c r="AZ102" s="28">
        <f>IF(AZ97=1,IF(INDEX('Lease Cycles'!$EF$13:$EL$13,1,AZ95)=1,0,AZ98*(1-IF(AZ96&lt;INDEX('Lease Cycles'!$DK$13:$DQ$13,1,AZ95),0,IF(AZ96=INDEX('Lease Cycles'!$DK$13:$DQ$13,1,AZ95),1-INDEX('Lease Cycles'!$DR$13:$DX$13,1,AZ95),1))-IF(AZ96=0,INDEX('Lease Cycles'!$DD$13:$DJ$13,1,AZ95),0))),0)</f>
        <v>0</v>
      </c>
      <c r="BA102" s="28">
        <f>IF(BA97=1,IF(INDEX('Lease Cycles'!$EF$13:$EL$13,1,BA95)=1,0,BA98*(1-IF(BA96&lt;INDEX('Lease Cycles'!$DK$13:$DQ$13,1,BA95),0,IF(BA96=INDEX('Lease Cycles'!$DK$13:$DQ$13,1,BA95),1-INDEX('Lease Cycles'!$DR$13:$DX$13,1,BA95),1))-IF(BA96=0,INDEX('Lease Cycles'!$DD$13:$DJ$13,1,BA95),0))),0)</f>
        <v>0</v>
      </c>
      <c r="BB102" s="28">
        <f>IF(BB97=1,IF(INDEX('Lease Cycles'!$EF$13:$EL$13,1,BB95)=1,0,BB98*(1-IF(BB96&lt;INDEX('Lease Cycles'!$DK$13:$DQ$13,1,BB95),0,IF(BB96=INDEX('Lease Cycles'!$DK$13:$DQ$13,1,BB95),1-INDEX('Lease Cycles'!$DR$13:$DX$13,1,BB95),1))-IF(BB96=0,INDEX('Lease Cycles'!$DD$13:$DJ$13,1,BB95),0))),0)</f>
        <v>0</v>
      </c>
      <c r="BC102" s="28">
        <f>IF(BC97=1,IF(INDEX('Lease Cycles'!$EF$13:$EL$13,1,BC95)=1,0,BC98*(1-IF(BC96&lt;INDEX('Lease Cycles'!$DK$13:$DQ$13,1,BC95),0,IF(BC96=INDEX('Lease Cycles'!$DK$13:$DQ$13,1,BC95),1-INDEX('Lease Cycles'!$DR$13:$DX$13,1,BC95),1))-IF(BC96=0,INDEX('Lease Cycles'!$DD$13:$DJ$13,1,BC95),0))),0)</f>
        <v>0</v>
      </c>
      <c r="BD102" s="28">
        <f>IF(BD97=1,IF(INDEX('Lease Cycles'!$EF$13:$EL$13,1,BD95)=1,0,BD98*(1-IF(BD96&lt;INDEX('Lease Cycles'!$DK$13:$DQ$13,1,BD95),0,IF(BD96=INDEX('Lease Cycles'!$DK$13:$DQ$13,1,BD95),1-INDEX('Lease Cycles'!$DR$13:$DX$13,1,BD95),1))-IF(BD96=0,INDEX('Lease Cycles'!$DD$13:$DJ$13,1,BD95),0))),0)</f>
        <v>0</v>
      </c>
      <c r="BE102" s="28">
        <f>IF(BE97=1,IF(INDEX('Lease Cycles'!$EF$13:$EL$13,1,BE95)=1,0,BE98*(1-IF(BE96&lt;INDEX('Lease Cycles'!$DK$13:$DQ$13,1,BE95),0,IF(BE96=INDEX('Lease Cycles'!$DK$13:$DQ$13,1,BE95),1-INDEX('Lease Cycles'!$DR$13:$DX$13,1,BE95),1))-IF(BE96=0,INDEX('Lease Cycles'!$DD$13:$DJ$13,1,BE95),0))),0)</f>
        <v>0</v>
      </c>
      <c r="BF102" s="28">
        <f>IF(BF97=1,IF(INDEX('Lease Cycles'!$EF$13:$EL$13,1,BF95)=1,0,BF98*(1-IF(BF96&lt;INDEX('Lease Cycles'!$DK$13:$DQ$13,1,BF95),0,IF(BF96=INDEX('Lease Cycles'!$DK$13:$DQ$13,1,BF95),1-INDEX('Lease Cycles'!$DR$13:$DX$13,1,BF95),1))-IF(BF96=0,INDEX('Lease Cycles'!$DD$13:$DJ$13,1,BF95),0))),0)</f>
        <v>0</v>
      </c>
      <c r="BG102" s="28">
        <f>IF(BG97=1,IF(INDEX('Lease Cycles'!$EF$13:$EL$13,1,BG95)=1,0,BG98*(1-IF(BG96&lt;INDEX('Lease Cycles'!$DK$13:$DQ$13,1,BG95),0,IF(BG96=INDEX('Lease Cycles'!$DK$13:$DQ$13,1,BG95),1-INDEX('Lease Cycles'!$DR$13:$DX$13,1,BG95),1))-IF(BG96=0,INDEX('Lease Cycles'!$DD$13:$DJ$13,1,BG95),0))),0)</f>
        <v>0</v>
      </c>
      <c r="BH102" s="28">
        <f>IF(BH97=1,IF(INDEX('Lease Cycles'!$EF$13:$EL$13,1,BH95)=1,0,BH98*(1-IF(BH96&lt;INDEX('Lease Cycles'!$DK$13:$DQ$13,1,BH95),0,IF(BH96=INDEX('Lease Cycles'!$DK$13:$DQ$13,1,BH95),1-INDEX('Lease Cycles'!$DR$13:$DX$13,1,BH95),1))-IF(BH96=0,INDEX('Lease Cycles'!$DD$13:$DJ$13,1,BH95),0))),0)</f>
        <v>0</v>
      </c>
      <c r="BI102" s="28">
        <f>IF(BI97=1,IF(INDEX('Lease Cycles'!$EF$13:$EL$13,1,BI95)=1,0,BI98*(1-IF(BI96&lt;INDEX('Lease Cycles'!$DK$13:$DQ$13,1,BI95),0,IF(BI96=INDEX('Lease Cycles'!$DK$13:$DQ$13,1,BI95),1-INDEX('Lease Cycles'!$DR$13:$DX$13,1,BI95),1))-IF(BI96=0,INDEX('Lease Cycles'!$DD$13:$DJ$13,1,BI95),0))),0)</f>
        <v>0</v>
      </c>
      <c r="BJ102" s="28">
        <f>IF(BJ97=1,IF(INDEX('Lease Cycles'!$EF$13:$EL$13,1,BJ95)=1,0,BJ98*(1-IF(BJ96&lt;INDEX('Lease Cycles'!$DK$13:$DQ$13,1,BJ95),0,IF(BJ96=INDEX('Lease Cycles'!$DK$13:$DQ$13,1,BJ95),1-INDEX('Lease Cycles'!$DR$13:$DX$13,1,BJ95),1))-IF(BJ96=0,INDEX('Lease Cycles'!$DD$13:$DJ$13,1,BJ95),0))),0)</f>
        <v>0</v>
      </c>
      <c r="BK102" s="28">
        <f>IF(BK97=1,IF(INDEX('Lease Cycles'!$EF$13:$EL$13,1,BK95)=1,0,BK98*(1-IF(BK96&lt;INDEX('Lease Cycles'!$DK$13:$DQ$13,1,BK95),0,IF(BK96=INDEX('Lease Cycles'!$DK$13:$DQ$13,1,BK95),1-INDEX('Lease Cycles'!$DR$13:$DX$13,1,BK95),1))-IF(BK96=0,INDEX('Lease Cycles'!$DD$13:$DJ$13,1,BK95),0))),0)</f>
        <v>0</v>
      </c>
      <c r="BL102" s="28">
        <f>IF(BL97=1,IF(INDEX('Lease Cycles'!$EF$13:$EL$13,1,BL95)=1,0,BL98*(1-IF(BL96&lt;INDEX('Lease Cycles'!$DK$13:$DQ$13,1,BL95),0,IF(BL96=INDEX('Lease Cycles'!$DK$13:$DQ$13,1,BL95),1-INDEX('Lease Cycles'!$DR$13:$DX$13,1,BL95),1))-IF(BL96=0,INDEX('Lease Cycles'!$DD$13:$DJ$13,1,BL95),0))),0)</f>
        <v>1860.1751162932994</v>
      </c>
      <c r="BM102" s="28">
        <f>IF(BM97=1,IF(INDEX('Lease Cycles'!$EF$13:$EL$13,1,BM95)=1,0,BM98*(1-IF(BM96&lt;INDEX('Lease Cycles'!$DK$13:$DQ$13,1,BM95),0,IF(BM96=INDEX('Lease Cycles'!$DK$13:$DQ$13,1,BM95),1-INDEX('Lease Cycles'!$DR$13:$DX$13,1,BM95),1))-IF(BM96=0,INDEX('Lease Cycles'!$DD$13:$DJ$13,1,BM95),0))),0)</f>
        <v>0</v>
      </c>
      <c r="BN102" s="28">
        <f>IF(BN97=1,IF(INDEX('Lease Cycles'!$EF$13:$EL$13,1,BN95)=1,0,BN98*(1-IF(BN96&lt;INDEX('Lease Cycles'!$DK$13:$DQ$13,1,BN95),0,IF(BN96=INDEX('Lease Cycles'!$DK$13:$DQ$13,1,BN95),1-INDEX('Lease Cycles'!$DR$13:$DX$13,1,BN95),1))-IF(BN96=0,INDEX('Lease Cycles'!$DD$13:$DJ$13,1,BN95),0))),0)</f>
        <v>0</v>
      </c>
      <c r="BO102" s="28">
        <f>IF(BO97=1,IF(INDEX('Lease Cycles'!$EF$13:$EL$13,1,BO95)=1,0,BO98*(1-IF(BO96&lt;INDEX('Lease Cycles'!$DK$13:$DQ$13,1,BO95),0,IF(BO96=INDEX('Lease Cycles'!$DK$13:$DQ$13,1,BO95),1-INDEX('Lease Cycles'!$DR$13:$DX$13,1,BO95),1))-IF(BO96=0,INDEX('Lease Cycles'!$DD$13:$DJ$13,1,BO95),0))),0)</f>
        <v>0</v>
      </c>
      <c r="BP102" s="28">
        <f>IF(BP97=1,IF(INDEX('Lease Cycles'!$EF$13:$EL$13,1,BP95)=1,0,BP98*(1-IF(BP96&lt;INDEX('Lease Cycles'!$DK$13:$DQ$13,1,BP95),0,IF(BP96=INDEX('Lease Cycles'!$DK$13:$DQ$13,1,BP95),1-INDEX('Lease Cycles'!$DR$13:$DX$13,1,BP95),1))-IF(BP96=0,INDEX('Lease Cycles'!$DD$13:$DJ$13,1,BP95),0))),0)</f>
        <v>0</v>
      </c>
      <c r="BQ102" s="28">
        <f>IF(BQ97=1,IF(INDEX('Lease Cycles'!$EF$13:$EL$13,1,BQ95)=1,0,BQ98*(1-IF(BQ96&lt;INDEX('Lease Cycles'!$DK$13:$DQ$13,1,BQ95),0,IF(BQ96=INDEX('Lease Cycles'!$DK$13:$DQ$13,1,BQ95),1-INDEX('Lease Cycles'!$DR$13:$DX$13,1,BQ95),1))-IF(BQ96=0,INDEX('Lease Cycles'!$DD$13:$DJ$13,1,BQ95),0))),0)</f>
        <v>0</v>
      </c>
      <c r="BR102" s="28">
        <f>IF(BR97=1,IF(INDEX('Lease Cycles'!$EF$13:$EL$13,1,BR95)=1,0,BR98*(1-IF(BR96&lt;INDEX('Lease Cycles'!$DK$13:$DQ$13,1,BR95),0,IF(BR96=INDEX('Lease Cycles'!$DK$13:$DQ$13,1,BR95),1-INDEX('Lease Cycles'!$DR$13:$DX$13,1,BR95),1))-IF(BR96=0,INDEX('Lease Cycles'!$DD$13:$DJ$13,1,BR95),0))),0)</f>
        <v>0</v>
      </c>
      <c r="BS102" s="28">
        <f>IF(BS97=1,IF(INDEX('Lease Cycles'!$EF$13:$EL$13,1,BS95)=1,0,BS98*(1-IF(BS96&lt;INDEX('Lease Cycles'!$DK$13:$DQ$13,1,BS95),0,IF(BS96=INDEX('Lease Cycles'!$DK$13:$DQ$13,1,BS95),1-INDEX('Lease Cycles'!$DR$13:$DX$13,1,BS95),1))-IF(BS96=0,INDEX('Lease Cycles'!$DD$13:$DJ$13,1,BS95),0))),0)</f>
        <v>0</v>
      </c>
      <c r="BT102" s="28">
        <f>IF(BT97=1,IF(INDEX('Lease Cycles'!$EF$13:$EL$13,1,BT95)=1,0,BT98*(1-IF(BT96&lt;INDEX('Lease Cycles'!$DK$13:$DQ$13,1,BT95),0,IF(BT96=INDEX('Lease Cycles'!$DK$13:$DQ$13,1,BT95),1-INDEX('Lease Cycles'!$DR$13:$DX$13,1,BT95),1))-IF(BT96=0,INDEX('Lease Cycles'!$DD$13:$DJ$13,1,BT95),0))),0)</f>
        <v>0</v>
      </c>
      <c r="BU102" s="28">
        <f>IF(BU97=1,IF(INDEX('Lease Cycles'!$EF$13:$EL$13,1,BU95)=1,0,BU98*(1-IF(BU96&lt;INDEX('Lease Cycles'!$DK$13:$DQ$13,1,BU95),0,IF(BU96=INDEX('Lease Cycles'!$DK$13:$DQ$13,1,BU95),1-INDEX('Lease Cycles'!$DR$13:$DX$13,1,BU95),1))-IF(BU96=0,INDEX('Lease Cycles'!$DD$13:$DJ$13,1,BU95),0))),0)</f>
        <v>0</v>
      </c>
      <c r="BV102" s="28">
        <f>IF(BV97=1,IF(INDEX('Lease Cycles'!$EF$13:$EL$13,1,BV95)=1,0,BV98*(1-IF(BV96&lt;INDEX('Lease Cycles'!$DK$13:$DQ$13,1,BV95),0,IF(BV96=INDEX('Lease Cycles'!$DK$13:$DQ$13,1,BV95),1-INDEX('Lease Cycles'!$DR$13:$DX$13,1,BV95),1))-IF(BV96=0,INDEX('Lease Cycles'!$DD$13:$DJ$13,1,BV95),0))),0)</f>
        <v>0</v>
      </c>
      <c r="BW102" s="28">
        <f>IF(BW97=1,IF(INDEX('Lease Cycles'!$EF$13:$EL$13,1,BW95)=1,0,BW98*(1-IF(BW96&lt;INDEX('Lease Cycles'!$DK$13:$DQ$13,1,BW95),0,IF(BW96=INDEX('Lease Cycles'!$DK$13:$DQ$13,1,BW95),1-INDEX('Lease Cycles'!$DR$13:$DX$13,1,BW95),1))-IF(BW96=0,INDEX('Lease Cycles'!$DD$13:$DJ$13,1,BW95),0))),0)</f>
        <v>0</v>
      </c>
      <c r="BX102" s="28">
        <f>IF(BX97=1,IF(INDEX('Lease Cycles'!$EF$13:$EL$13,1,BX95)=1,0,BX98*(1-IF(BX96&lt;INDEX('Lease Cycles'!$DK$13:$DQ$13,1,BX95),0,IF(BX96=INDEX('Lease Cycles'!$DK$13:$DQ$13,1,BX95),1-INDEX('Lease Cycles'!$DR$13:$DX$13,1,BX95),1))-IF(BX96=0,INDEX('Lease Cycles'!$DD$13:$DJ$13,1,BX95),0))),0)</f>
        <v>0</v>
      </c>
      <c r="BY102" s="28">
        <f>IF(BY97=1,IF(INDEX('Lease Cycles'!$EF$13:$EL$13,1,BY95)=1,0,BY98*(1-IF(BY96&lt;INDEX('Lease Cycles'!$DK$13:$DQ$13,1,BY95),0,IF(BY96=INDEX('Lease Cycles'!$DK$13:$DQ$13,1,BY95),1-INDEX('Lease Cycles'!$DR$13:$DX$13,1,BY95),1))-IF(BY96=0,INDEX('Lease Cycles'!$DD$13:$DJ$13,1,BY95),0))),0)</f>
        <v>0</v>
      </c>
      <c r="BZ102" s="28">
        <f>IF(BZ97=1,IF(INDEX('Lease Cycles'!$EF$13:$EL$13,1,BZ95)=1,0,BZ98*(1-IF(BZ96&lt;INDEX('Lease Cycles'!$DK$13:$DQ$13,1,BZ95),0,IF(BZ96=INDEX('Lease Cycles'!$DK$13:$DQ$13,1,BZ95),1-INDEX('Lease Cycles'!$DR$13:$DX$13,1,BZ95),1))-IF(BZ96=0,INDEX('Lease Cycles'!$DD$13:$DJ$13,1,BZ95),0))),0)</f>
        <v>0</v>
      </c>
      <c r="CA102" s="28">
        <f>IF(CA97=1,IF(INDEX('Lease Cycles'!$EF$13:$EL$13,1,CA95)=1,0,CA98*(1-IF(CA96&lt;INDEX('Lease Cycles'!$DK$13:$DQ$13,1,CA95),0,IF(CA96=INDEX('Lease Cycles'!$DK$13:$DQ$13,1,CA95),1-INDEX('Lease Cycles'!$DR$13:$DX$13,1,CA95),1))-IF(CA96=0,INDEX('Lease Cycles'!$DD$13:$DJ$13,1,CA95),0))),0)</f>
        <v>0</v>
      </c>
      <c r="CB102" s="28">
        <f>IF(CB97=1,IF(INDEX('Lease Cycles'!$EF$13:$EL$13,1,CB95)=1,0,CB98*(1-IF(CB96&lt;INDEX('Lease Cycles'!$DK$13:$DQ$13,1,CB95),0,IF(CB96=INDEX('Lease Cycles'!$DK$13:$DQ$13,1,CB95),1-INDEX('Lease Cycles'!$DR$13:$DX$13,1,CB95),1))-IF(CB96=0,INDEX('Lease Cycles'!$DD$13:$DJ$13,1,CB95),0))),0)</f>
        <v>0</v>
      </c>
      <c r="CC102" s="28">
        <f>IF(CC97=1,IF(INDEX('Lease Cycles'!$EF$13:$EL$13,1,CC95)=1,0,CC98*(1-IF(CC96&lt;INDEX('Lease Cycles'!$DK$13:$DQ$13,1,CC95),0,IF(CC96=INDEX('Lease Cycles'!$DK$13:$DQ$13,1,CC95),1-INDEX('Lease Cycles'!$DR$13:$DX$13,1,CC95),1))-IF(CC96=0,INDEX('Lease Cycles'!$DD$13:$DJ$13,1,CC95),0))),0)</f>
        <v>0</v>
      </c>
      <c r="CD102" s="28">
        <f>IF(CD97=1,IF(INDEX('Lease Cycles'!$EF$13:$EL$13,1,CD95)=1,0,CD98*(1-IF(CD96&lt;INDEX('Lease Cycles'!$DK$13:$DQ$13,1,CD95),0,IF(CD96=INDEX('Lease Cycles'!$DK$13:$DQ$13,1,CD95),1-INDEX('Lease Cycles'!$DR$13:$DX$13,1,CD95),1))-IF(CD96=0,INDEX('Lease Cycles'!$DD$13:$DJ$13,1,CD95),0))),0)</f>
        <v>0</v>
      </c>
      <c r="CE102" s="28">
        <f>IF(CE97=1,IF(INDEX('Lease Cycles'!$EF$13:$EL$13,1,CE95)=1,0,CE98*(1-IF(CE96&lt;INDEX('Lease Cycles'!$DK$13:$DQ$13,1,CE95),0,IF(CE96=INDEX('Lease Cycles'!$DK$13:$DQ$13,1,CE95),1-INDEX('Lease Cycles'!$DR$13:$DX$13,1,CE95),1))-IF(CE96=0,INDEX('Lease Cycles'!$DD$13:$DJ$13,1,CE95),0))),0)</f>
        <v>0</v>
      </c>
      <c r="CF102" s="28">
        <f>IF(CF97=1,IF(INDEX('Lease Cycles'!$EF$13:$EL$13,1,CF95)=1,0,CF98*(1-IF(CF96&lt;INDEX('Lease Cycles'!$DK$13:$DQ$13,1,CF95),0,IF(CF96=INDEX('Lease Cycles'!$DK$13:$DQ$13,1,CF95),1-INDEX('Lease Cycles'!$DR$13:$DX$13,1,CF95),1))-IF(CF96=0,INDEX('Lease Cycles'!$DD$13:$DJ$13,1,CF95),0))),0)</f>
        <v>0</v>
      </c>
      <c r="CG102" s="28">
        <f>IF(CG97=1,IF(INDEX('Lease Cycles'!$EF$13:$EL$13,1,CG95)=1,0,CG98*(1-IF(CG96&lt;INDEX('Lease Cycles'!$DK$13:$DQ$13,1,CG95),0,IF(CG96=INDEX('Lease Cycles'!$DK$13:$DQ$13,1,CG95),1-INDEX('Lease Cycles'!$DR$13:$DX$13,1,CG95),1))-IF(CG96=0,INDEX('Lease Cycles'!$DD$13:$DJ$13,1,CG95),0))),0)</f>
        <v>0</v>
      </c>
      <c r="CH102" s="28">
        <f>IF(CH97=1,IF(INDEX('Lease Cycles'!$EF$13:$EL$13,1,CH95)=1,0,CH98*(1-IF(CH96&lt;INDEX('Lease Cycles'!$DK$13:$DQ$13,1,CH95),0,IF(CH96=INDEX('Lease Cycles'!$DK$13:$DQ$13,1,CH95),1-INDEX('Lease Cycles'!$DR$13:$DX$13,1,CH95),1))-IF(CH96=0,INDEX('Lease Cycles'!$DD$13:$DJ$13,1,CH95),0))),0)</f>
        <v>0</v>
      </c>
      <c r="CI102" s="28">
        <f>IF(CI97=1,IF(INDEX('Lease Cycles'!$EF$13:$EL$13,1,CI95)=1,0,CI98*(1-IF(CI96&lt;INDEX('Lease Cycles'!$DK$13:$DQ$13,1,CI95),0,IF(CI96=INDEX('Lease Cycles'!$DK$13:$DQ$13,1,CI95),1-INDEX('Lease Cycles'!$DR$13:$DX$13,1,CI95),1))-IF(CI96=0,INDEX('Lease Cycles'!$DD$13:$DJ$13,1,CI95),0))),0)</f>
        <v>0</v>
      </c>
      <c r="CJ102" s="28">
        <f>IF(CJ97=1,IF(INDEX('Lease Cycles'!$EF$13:$EL$13,1,CJ95)=1,0,CJ98*(1-IF(CJ96&lt;INDEX('Lease Cycles'!$DK$13:$DQ$13,1,CJ95),0,IF(CJ96=INDEX('Lease Cycles'!$DK$13:$DQ$13,1,CJ95),1-INDEX('Lease Cycles'!$DR$13:$DX$13,1,CJ95),1))-IF(CJ96=0,INDEX('Lease Cycles'!$DD$13:$DJ$13,1,CJ95),0))),0)</f>
        <v>0</v>
      </c>
      <c r="CK102" s="28">
        <f>IF(CK97=1,IF(INDEX('Lease Cycles'!$EF$13:$EL$13,1,CK95)=1,0,CK98*(1-IF(CK96&lt;INDEX('Lease Cycles'!$DK$13:$DQ$13,1,CK95),0,IF(CK96=INDEX('Lease Cycles'!$DK$13:$DQ$13,1,CK95),1-INDEX('Lease Cycles'!$DR$13:$DX$13,1,CK95),1))-IF(CK96=0,INDEX('Lease Cycles'!$DD$13:$DJ$13,1,CK95),0))),0)</f>
        <v>0</v>
      </c>
      <c r="CL102" s="28">
        <f>IF(CL97=1,IF(INDEX('Lease Cycles'!$EF$13:$EL$13,1,CL95)=1,0,CL98*(1-IF(CL96&lt;INDEX('Lease Cycles'!$DK$13:$DQ$13,1,CL95),0,IF(CL96=INDEX('Lease Cycles'!$DK$13:$DQ$13,1,CL95),1-INDEX('Lease Cycles'!$DR$13:$DX$13,1,CL95),1))-IF(CL96=0,INDEX('Lease Cycles'!$DD$13:$DJ$13,1,CL95),0))),0)</f>
        <v>0</v>
      </c>
      <c r="CM102" s="28">
        <f>IF(CM97=1,IF(INDEX('Lease Cycles'!$EF$13:$EL$13,1,CM95)=1,0,CM98*(1-IF(CM96&lt;INDEX('Lease Cycles'!$DK$13:$DQ$13,1,CM95),0,IF(CM96=INDEX('Lease Cycles'!$DK$13:$DQ$13,1,CM95),1-INDEX('Lease Cycles'!$DR$13:$DX$13,1,CM95),1))-IF(CM96=0,INDEX('Lease Cycles'!$DD$13:$DJ$13,1,CM95),0))),0)</f>
        <v>0</v>
      </c>
      <c r="CN102" s="28">
        <f>IF(CN97=1,IF(INDEX('Lease Cycles'!$EF$13:$EL$13,1,CN95)=1,0,CN98*(1-IF(CN96&lt;INDEX('Lease Cycles'!$DK$13:$DQ$13,1,CN95),0,IF(CN96=INDEX('Lease Cycles'!$DK$13:$DQ$13,1,CN95),1-INDEX('Lease Cycles'!$DR$13:$DX$13,1,CN95),1))-IF(CN96=0,INDEX('Lease Cycles'!$DD$13:$DJ$13,1,CN95),0))),0)</f>
        <v>0</v>
      </c>
      <c r="CO102" s="28">
        <f>IF(CO97=1,IF(INDEX('Lease Cycles'!$EF$13:$EL$13,1,CO95)=1,0,CO98*(1-IF(CO96&lt;INDEX('Lease Cycles'!$DK$13:$DQ$13,1,CO95),0,IF(CO96=INDEX('Lease Cycles'!$DK$13:$DQ$13,1,CO95),1-INDEX('Lease Cycles'!$DR$13:$DX$13,1,CO95),1))-IF(CO96=0,INDEX('Lease Cycles'!$DD$13:$DJ$13,1,CO95),0))),0)</f>
        <v>0</v>
      </c>
      <c r="CP102" s="28">
        <f>IF(CP97=1,IF(INDEX('Lease Cycles'!$EF$13:$EL$13,1,CP95)=1,0,CP98*(1-IF(CP96&lt;INDEX('Lease Cycles'!$DK$13:$DQ$13,1,CP95),0,IF(CP96=INDEX('Lease Cycles'!$DK$13:$DQ$13,1,CP95),1-INDEX('Lease Cycles'!$DR$13:$DX$13,1,CP95),1))-IF(CP96=0,INDEX('Lease Cycles'!$DD$13:$DJ$13,1,CP95),0))),0)</f>
        <v>0</v>
      </c>
      <c r="CQ102" s="28">
        <f>IF(CQ97=1,IF(INDEX('Lease Cycles'!$EF$13:$EL$13,1,CQ95)=1,0,CQ98*(1-IF(CQ96&lt;INDEX('Lease Cycles'!$DK$13:$DQ$13,1,CQ95),0,IF(CQ96=INDEX('Lease Cycles'!$DK$13:$DQ$13,1,CQ95),1-INDEX('Lease Cycles'!$DR$13:$DX$13,1,CQ95),1))-IF(CQ96=0,INDEX('Lease Cycles'!$DD$13:$DJ$13,1,CQ95),0))),0)</f>
        <v>0</v>
      </c>
      <c r="CR102" s="28">
        <f>IF(CR97=1,IF(INDEX('Lease Cycles'!$EF$13:$EL$13,1,CR95)=1,0,CR98*(1-IF(CR96&lt;INDEX('Lease Cycles'!$DK$13:$DQ$13,1,CR95),0,IF(CR96=INDEX('Lease Cycles'!$DK$13:$DQ$13,1,CR95),1-INDEX('Lease Cycles'!$DR$13:$DX$13,1,CR95),1))-IF(CR96=0,INDEX('Lease Cycles'!$DD$13:$DJ$13,1,CR95),0))),0)</f>
        <v>0</v>
      </c>
      <c r="CS102" s="28">
        <f>IF(CS97=1,IF(INDEX('Lease Cycles'!$EF$13:$EL$13,1,CS95)=1,0,CS98*(1-IF(CS96&lt;INDEX('Lease Cycles'!$DK$13:$DQ$13,1,CS95),0,IF(CS96=INDEX('Lease Cycles'!$DK$13:$DQ$13,1,CS95),1-INDEX('Lease Cycles'!$DR$13:$DX$13,1,CS95),1))-IF(CS96=0,INDEX('Lease Cycles'!$DD$13:$DJ$13,1,CS95),0))),0)</f>
        <v>0</v>
      </c>
      <c r="CT102" s="28">
        <f>IF(CT97=1,IF(INDEX('Lease Cycles'!$EF$13:$EL$13,1,CT95)=1,0,CT98*(1-IF(CT96&lt;INDEX('Lease Cycles'!$DK$13:$DQ$13,1,CT95),0,IF(CT96=INDEX('Lease Cycles'!$DK$13:$DQ$13,1,CT95),1-INDEX('Lease Cycles'!$DR$13:$DX$13,1,CT95),1))-IF(CT96=0,INDEX('Lease Cycles'!$DD$13:$DJ$13,1,CT95),0))),0)</f>
        <v>0</v>
      </c>
      <c r="CU102" s="28">
        <f>IF(CU97=1,IF(INDEX('Lease Cycles'!$EF$13:$EL$13,1,CU95)=1,0,CU98*(1-IF(CU96&lt;INDEX('Lease Cycles'!$DK$13:$DQ$13,1,CU95),0,IF(CU96=INDEX('Lease Cycles'!$DK$13:$DQ$13,1,CU95),1-INDEX('Lease Cycles'!$DR$13:$DX$13,1,CU95),1))-IF(CU96=0,INDEX('Lease Cycles'!$DD$13:$DJ$13,1,CU95),0))),0)</f>
        <v>0</v>
      </c>
      <c r="CV102" s="28">
        <f>IF(CV97=1,IF(INDEX('Lease Cycles'!$EF$13:$EL$13,1,CV95)=1,0,CV98*(1-IF(CV96&lt;INDEX('Lease Cycles'!$DK$13:$DQ$13,1,CV95),0,IF(CV96=INDEX('Lease Cycles'!$DK$13:$DQ$13,1,CV95),1-INDEX('Lease Cycles'!$DR$13:$DX$13,1,CV95),1))-IF(CV96=0,INDEX('Lease Cycles'!$DD$13:$DJ$13,1,CV95),0))),0)</f>
        <v>0</v>
      </c>
      <c r="CW102" s="28">
        <f>IF(CW97=1,IF(INDEX('Lease Cycles'!$EF$13:$EL$13,1,CW95)=1,0,CW98*(1-IF(CW96&lt;INDEX('Lease Cycles'!$DK$13:$DQ$13,1,CW95),0,IF(CW96=INDEX('Lease Cycles'!$DK$13:$DQ$13,1,CW95),1-INDEX('Lease Cycles'!$DR$13:$DX$13,1,CW95),1))-IF(CW96=0,INDEX('Lease Cycles'!$DD$13:$DJ$13,1,CW95),0))),0)</f>
        <v>0</v>
      </c>
      <c r="CX102" s="28">
        <f>IF(CX97=1,IF(INDEX('Lease Cycles'!$EF$13:$EL$13,1,CX95)=1,0,CX98*(1-IF(CX96&lt;INDEX('Lease Cycles'!$DK$13:$DQ$13,1,CX95),0,IF(CX96=INDEX('Lease Cycles'!$DK$13:$DQ$13,1,CX95),1-INDEX('Lease Cycles'!$DR$13:$DX$13,1,CX95),1))-IF(CX96=0,INDEX('Lease Cycles'!$DD$13:$DJ$13,1,CX95),0))),0)</f>
        <v>0</v>
      </c>
      <c r="CY102" s="28">
        <f>IF(CY97=1,IF(INDEX('Lease Cycles'!$EF$13:$EL$13,1,CY95)=1,0,CY98*(1-IF(CY96&lt;INDEX('Lease Cycles'!$DK$13:$DQ$13,1,CY95),0,IF(CY96=INDEX('Lease Cycles'!$DK$13:$DQ$13,1,CY95),1-INDEX('Lease Cycles'!$DR$13:$DX$13,1,CY95),1))-IF(CY96=0,INDEX('Lease Cycles'!$DD$13:$DJ$13,1,CY95),0))),0)</f>
        <v>0</v>
      </c>
      <c r="CZ102" s="28">
        <f>IF(CZ97=1,IF(INDEX('Lease Cycles'!$EF$13:$EL$13,1,CZ95)=1,0,CZ98*(1-IF(CZ96&lt;INDEX('Lease Cycles'!$DK$13:$DQ$13,1,CZ95),0,IF(CZ96=INDEX('Lease Cycles'!$DK$13:$DQ$13,1,CZ95),1-INDEX('Lease Cycles'!$DR$13:$DX$13,1,CZ95),1))-IF(CZ96=0,INDEX('Lease Cycles'!$DD$13:$DJ$13,1,CZ95),0))),0)</f>
        <v>0</v>
      </c>
      <c r="DA102" s="28">
        <f>IF(DA97=1,IF(INDEX('Lease Cycles'!$EF$13:$EL$13,1,DA95)=1,0,DA98*(1-IF(DA96&lt;INDEX('Lease Cycles'!$DK$13:$DQ$13,1,DA95),0,IF(DA96=INDEX('Lease Cycles'!$DK$13:$DQ$13,1,DA95),1-INDEX('Lease Cycles'!$DR$13:$DX$13,1,DA95),1))-IF(DA96=0,INDEX('Lease Cycles'!$DD$13:$DJ$13,1,DA95),0))),0)</f>
        <v>0</v>
      </c>
      <c r="DB102" s="28">
        <f>IF(DB97=1,IF(INDEX('Lease Cycles'!$EF$13:$EL$13,1,DB95)=1,0,DB98*(1-IF(DB96&lt;INDEX('Lease Cycles'!$DK$13:$DQ$13,1,DB95),0,IF(DB96=INDEX('Lease Cycles'!$DK$13:$DQ$13,1,DB95),1-INDEX('Lease Cycles'!$DR$13:$DX$13,1,DB95),1))-IF(DB96=0,INDEX('Lease Cycles'!$DD$13:$DJ$13,1,DB95),0))),0)</f>
        <v>0</v>
      </c>
      <c r="DC102" s="28">
        <f>IF(DC97=1,IF(INDEX('Lease Cycles'!$EF$13:$EL$13,1,DC95)=1,0,DC98*(1-IF(DC96&lt;INDEX('Lease Cycles'!$DK$13:$DQ$13,1,DC95),0,IF(DC96=INDEX('Lease Cycles'!$DK$13:$DQ$13,1,DC95),1-INDEX('Lease Cycles'!$DR$13:$DX$13,1,DC95),1))-IF(DC96=0,INDEX('Lease Cycles'!$DD$13:$DJ$13,1,DC95),0))),0)</f>
        <v>0</v>
      </c>
      <c r="DD102" s="28">
        <f>IF(DD97=1,IF(INDEX('Lease Cycles'!$EF$13:$EL$13,1,DD95)=1,0,DD98*(1-IF(DD96&lt;INDEX('Lease Cycles'!$DK$13:$DQ$13,1,DD95),0,IF(DD96=INDEX('Lease Cycles'!$DK$13:$DQ$13,1,DD95),1-INDEX('Lease Cycles'!$DR$13:$DX$13,1,DD95),1))-IF(DD96=0,INDEX('Lease Cycles'!$DD$13:$DJ$13,1,DD95),0))),0)</f>
        <v>0</v>
      </c>
      <c r="DE102" s="28">
        <f>IF(DE97=1,IF(INDEX('Lease Cycles'!$EF$13:$EL$13,1,DE95)=1,0,DE98*(1-IF(DE96&lt;INDEX('Lease Cycles'!$DK$13:$DQ$13,1,DE95),0,IF(DE96=INDEX('Lease Cycles'!$DK$13:$DQ$13,1,DE95),1-INDEX('Lease Cycles'!$DR$13:$DX$13,1,DE95),1))-IF(DE96=0,INDEX('Lease Cycles'!$DD$13:$DJ$13,1,DE95),0))),0)</f>
        <v>0</v>
      </c>
      <c r="DF102" s="28">
        <f>IF(DF97=1,IF(INDEX('Lease Cycles'!$EF$13:$EL$13,1,DF95)=1,0,DF98*(1-IF(DF96&lt;INDEX('Lease Cycles'!$DK$13:$DQ$13,1,DF95),0,IF(DF96=INDEX('Lease Cycles'!$DK$13:$DQ$13,1,DF95),1-INDEX('Lease Cycles'!$DR$13:$DX$13,1,DF95),1))-IF(DF96=0,INDEX('Lease Cycles'!$DD$13:$DJ$13,1,DF95),0))),0)</f>
        <v>0</v>
      </c>
      <c r="DG102" s="28">
        <f>IF(DG97=1,IF(INDEX('Lease Cycles'!$EF$13:$EL$13,1,DG95)=1,0,DG98*(1-IF(DG96&lt;INDEX('Lease Cycles'!$DK$13:$DQ$13,1,DG95),0,IF(DG96=INDEX('Lease Cycles'!$DK$13:$DQ$13,1,DG95),1-INDEX('Lease Cycles'!$DR$13:$DX$13,1,DG95),1))-IF(DG96=0,INDEX('Lease Cycles'!$DD$13:$DJ$13,1,DG95),0))),0)</f>
        <v>0</v>
      </c>
      <c r="DH102" s="28">
        <f>IF(DH97=1,IF(INDEX('Lease Cycles'!$EF$13:$EL$13,1,DH95)=1,0,DH98*(1-IF(DH96&lt;INDEX('Lease Cycles'!$DK$13:$DQ$13,1,DH95),0,IF(DH96=INDEX('Lease Cycles'!$DK$13:$DQ$13,1,DH95),1-INDEX('Lease Cycles'!$DR$13:$DX$13,1,DH95),1))-IF(DH96=0,INDEX('Lease Cycles'!$DD$13:$DJ$13,1,DH95),0))),0)</f>
        <v>0</v>
      </c>
      <c r="DI102" s="28">
        <f>IF(DI97=1,IF(INDEX('Lease Cycles'!$EF$13:$EL$13,1,DI95)=1,0,DI98*(1-IF(DI96&lt;INDEX('Lease Cycles'!$DK$13:$DQ$13,1,DI95),0,IF(DI96=INDEX('Lease Cycles'!$DK$13:$DQ$13,1,DI95),1-INDEX('Lease Cycles'!$DR$13:$DX$13,1,DI95),1))-IF(DI96=0,INDEX('Lease Cycles'!$DD$13:$DJ$13,1,DI95),0))),0)</f>
        <v>0</v>
      </c>
      <c r="DJ102" s="28">
        <f>IF(DJ97=1,IF(INDEX('Lease Cycles'!$EF$13:$EL$13,1,DJ95)=1,0,DJ98*(1-IF(DJ96&lt;INDEX('Lease Cycles'!$DK$13:$DQ$13,1,DJ95),0,IF(DJ96=INDEX('Lease Cycles'!$DK$13:$DQ$13,1,DJ95),1-INDEX('Lease Cycles'!$DR$13:$DX$13,1,DJ95),1))-IF(DJ96=0,INDEX('Lease Cycles'!$DD$13:$DJ$13,1,DJ95),0))),0)</f>
        <v>0</v>
      </c>
      <c r="DK102" s="28">
        <f>IF(DK97=1,IF(INDEX('Lease Cycles'!$EF$13:$EL$13,1,DK95)=1,0,DK98*(1-IF(DK96&lt;INDEX('Lease Cycles'!$DK$13:$DQ$13,1,DK95),0,IF(DK96=INDEX('Lease Cycles'!$DK$13:$DQ$13,1,DK95),1-INDEX('Lease Cycles'!$DR$13:$DX$13,1,DK95),1))-IF(DK96=0,INDEX('Lease Cycles'!$DD$13:$DJ$13,1,DK95),0))),0)</f>
        <v>0</v>
      </c>
      <c r="DL102" s="28">
        <f>IF(DL97=1,IF(INDEX('Lease Cycles'!$EF$13:$EL$13,1,DL95)=1,0,DL98*(1-IF(DL96&lt;INDEX('Lease Cycles'!$DK$13:$DQ$13,1,DL95),0,IF(DL96=INDEX('Lease Cycles'!$DK$13:$DQ$13,1,DL95),1-INDEX('Lease Cycles'!$DR$13:$DX$13,1,DL95),1))-IF(DL96=0,INDEX('Lease Cycles'!$DD$13:$DJ$13,1,DL95),0))),0)</f>
        <v>0</v>
      </c>
      <c r="DM102" s="28">
        <f>IF(DM97=1,IF(INDEX('Lease Cycles'!$EF$13:$EL$13,1,DM95)=1,0,DM98*(1-IF(DM96&lt;INDEX('Lease Cycles'!$DK$13:$DQ$13,1,DM95),0,IF(DM96=INDEX('Lease Cycles'!$DK$13:$DQ$13,1,DM95),1-INDEX('Lease Cycles'!$DR$13:$DX$13,1,DM95),1))-IF(DM96=0,INDEX('Lease Cycles'!$DD$13:$DJ$13,1,DM95),0))),0)</f>
        <v>0</v>
      </c>
      <c r="DN102" s="28">
        <f>IF(DN97=1,IF(INDEX('Lease Cycles'!$EF$13:$EL$13,1,DN95)=1,0,DN98*(1-IF(DN96&lt;INDEX('Lease Cycles'!$DK$13:$DQ$13,1,DN95),0,IF(DN96=INDEX('Lease Cycles'!$DK$13:$DQ$13,1,DN95),1-INDEX('Lease Cycles'!$DR$13:$DX$13,1,DN95),1))-IF(DN96=0,INDEX('Lease Cycles'!$DD$13:$DJ$13,1,DN95),0))),0)</f>
        <v>0</v>
      </c>
      <c r="DO102" s="28">
        <f>IF(DO97=1,IF(INDEX('Lease Cycles'!$EF$13:$EL$13,1,DO95)=1,0,DO98*(1-IF(DO96&lt;INDEX('Lease Cycles'!$DK$13:$DQ$13,1,DO95),0,IF(DO96=INDEX('Lease Cycles'!$DK$13:$DQ$13,1,DO95),1-INDEX('Lease Cycles'!$DR$13:$DX$13,1,DO95),1))-IF(DO96=0,INDEX('Lease Cycles'!$DD$13:$DJ$13,1,DO95),0))),0)</f>
        <v>0</v>
      </c>
      <c r="DP102" s="28">
        <f>IF(DP97=1,IF(INDEX('Lease Cycles'!$EF$13:$EL$13,1,DP95)=1,0,DP98*(1-IF(DP96&lt;INDEX('Lease Cycles'!$DK$13:$DQ$13,1,DP95),0,IF(DP96=INDEX('Lease Cycles'!$DK$13:$DQ$13,1,DP95),1-INDEX('Lease Cycles'!$DR$13:$DX$13,1,DP95),1))-IF(DP96=0,INDEX('Lease Cycles'!$DD$13:$DJ$13,1,DP95),0))),0)</f>
        <v>0</v>
      </c>
      <c r="DQ102" s="28">
        <f>IF(DQ97=1,IF(INDEX('Lease Cycles'!$EF$13:$EL$13,1,DQ95)=1,0,DQ98*(1-IF(DQ96&lt;INDEX('Lease Cycles'!$DK$13:$DQ$13,1,DQ95),0,IF(DQ96=INDEX('Lease Cycles'!$DK$13:$DQ$13,1,DQ95),1-INDEX('Lease Cycles'!$DR$13:$DX$13,1,DQ95),1))-IF(DQ96=0,INDEX('Lease Cycles'!$DD$13:$DJ$13,1,DQ95),0))),0)</f>
        <v>0</v>
      </c>
      <c r="DR102" s="28">
        <f>IF(DR97=1,IF(INDEX('Lease Cycles'!$EF$13:$EL$13,1,DR95)=1,0,DR98*(1-IF(DR96&lt;INDEX('Lease Cycles'!$DK$13:$DQ$13,1,DR95),0,IF(DR96=INDEX('Lease Cycles'!$DK$13:$DQ$13,1,DR95),1-INDEX('Lease Cycles'!$DR$13:$DX$13,1,DR95),1))-IF(DR96=0,INDEX('Lease Cycles'!$DD$13:$DJ$13,1,DR95),0))),0)</f>
        <v>0</v>
      </c>
      <c r="DS102" s="28">
        <f>IF(DS97=1,IF(INDEX('Lease Cycles'!$EF$13:$EL$13,1,DS95)=1,0,DS98*(1-IF(DS96&lt;INDEX('Lease Cycles'!$DK$13:$DQ$13,1,DS95),0,IF(DS96=INDEX('Lease Cycles'!$DK$13:$DQ$13,1,DS95),1-INDEX('Lease Cycles'!$DR$13:$DX$13,1,DS95),1))-IF(DS96=0,INDEX('Lease Cycles'!$DD$13:$DJ$13,1,DS95),0))),0)</f>
        <v>0</v>
      </c>
      <c r="DT102" s="28">
        <f>IF(DT97=1,IF(INDEX('Lease Cycles'!$EF$13:$EL$13,1,DT95)=1,0,DT98*(1-IF(DT96&lt;INDEX('Lease Cycles'!$DK$13:$DQ$13,1,DT95),0,IF(DT96=INDEX('Lease Cycles'!$DK$13:$DQ$13,1,DT95),1-INDEX('Lease Cycles'!$DR$13:$DX$13,1,DT95),1))-IF(DT96=0,INDEX('Lease Cycles'!$DD$13:$DJ$13,1,DT95),0))),0)</f>
        <v>0</v>
      </c>
      <c r="DU102" s="28">
        <f>IF(DU97=1,IF(INDEX('Lease Cycles'!$EF$13:$EL$13,1,DU95)=1,0,DU98*(1-IF(DU96&lt;INDEX('Lease Cycles'!$DK$13:$DQ$13,1,DU95),0,IF(DU96=INDEX('Lease Cycles'!$DK$13:$DQ$13,1,DU95),1-INDEX('Lease Cycles'!$DR$13:$DX$13,1,DU95),1))-IF(DU96=0,INDEX('Lease Cycles'!$DD$13:$DJ$13,1,DU95),0))),0)</f>
        <v>0</v>
      </c>
      <c r="DV102" s="28">
        <f>IF(DV97=1,IF(INDEX('Lease Cycles'!$EF$13:$EL$13,1,DV95)=1,0,DV98*(1-IF(DV96&lt;INDEX('Lease Cycles'!$DK$13:$DQ$13,1,DV95),0,IF(DV96=INDEX('Lease Cycles'!$DK$13:$DQ$13,1,DV95),1-INDEX('Lease Cycles'!$DR$13:$DX$13,1,DV95),1))-IF(DV96=0,INDEX('Lease Cycles'!$DD$13:$DJ$13,1,DV95),0))),0)</f>
        <v>0</v>
      </c>
      <c r="DW102" s="28">
        <f>IF(DW97=1,IF(INDEX('Lease Cycles'!$EF$13:$EL$13,1,DW95)=1,0,DW98*(1-IF(DW96&lt;INDEX('Lease Cycles'!$DK$13:$DQ$13,1,DW95),0,IF(DW96=INDEX('Lease Cycles'!$DK$13:$DQ$13,1,DW95),1-INDEX('Lease Cycles'!$DR$13:$DX$13,1,DW95),1))-IF(DW96=0,INDEX('Lease Cycles'!$DD$13:$DJ$13,1,DW95),0))),0)</f>
        <v>0</v>
      </c>
      <c r="DX102" s="28">
        <f>IF(DX97=1,IF(INDEX('Lease Cycles'!$EF$13:$EL$13,1,DX95)=1,0,DX98*(1-IF(DX96&lt;INDEX('Lease Cycles'!$DK$13:$DQ$13,1,DX95),0,IF(DX96=INDEX('Lease Cycles'!$DK$13:$DQ$13,1,DX95),1-INDEX('Lease Cycles'!$DR$13:$DX$13,1,DX95),1))-IF(DX96=0,INDEX('Lease Cycles'!$DD$13:$DJ$13,1,DX95),0))),0)</f>
        <v>0</v>
      </c>
      <c r="DY102" s="28">
        <f>IF(DY97=1,IF(INDEX('Lease Cycles'!$EF$13:$EL$13,1,DY95)=1,0,DY98*(1-IF(DY96&lt;INDEX('Lease Cycles'!$DK$13:$DQ$13,1,DY95),0,IF(DY96=INDEX('Lease Cycles'!$DK$13:$DQ$13,1,DY95),1-INDEX('Lease Cycles'!$DR$13:$DX$13,1,DY95),1))-IF(DY96=0,INDEX('Lease Cycles'!$DD$13:$DJ$13,1,DY95),0))),0)</f>
        <v>0</v>
      </c>
      <c r="DZ102" s="28">
        <f>IF(DZ97=1,IF(INDEX('Lease Cycles'!$EF$13:$EL$13,1,DZ95)=1,0,DZ98*(1-IF(DZ96&lt;INDEX('Lease Cycles'!$DK$13:$DQ$13,1,DZ95),0,IF(DZ96=INDEX('Lease Cycles'!$DK$13:$DQ$13,1,DZ95),1-INDEX('Lease Cycles'!$DR$13:$DX$13,1,DZ95),1))-IF(DZ96=0,INDEX('Lease Cycles'!$DD$13:$DJ$13,1,DZ95),0))),0)</f>
        <v>0</v>
      </c>
      <c r="EA102" s="28">
        <f>IF(EA97=1,IF(INDEX('Lease Cycles'!$EF$13:$EL$13,1,EA95)=1,0,EA98*(1-IF(EA96&lt;INDEX('Lease Cycles'!$DK$13:$DQ$13,1,EA95),0,IF(EA96=INDEX('Lease Cycles'!$DK$13:$DQ$13,1,EA95),1-INDEX('Lease Cycles'!$DR$13:$DX$13,1,EA95),1))-IF(EA96=0,INDEX('Lease Cycles'!$DD$13:$DJ$13,1,EA95),0))),0)</f>
        <v>0</v>
      </c>
      <c r="EB102" s="28">
        <f>IF(EB97=1,IF(INDEX('Lease Cycles'!$EF$13:$EL$13,1,EB95)=1,0,EB98*(1-IF(EB96&lt;INDEX('Lease Cycles'!$DK$13:$DQ$13,1,EB95),0,IF(EB96=INDEX('Lease Cycles'!$DK$13:$DQ$13,1,EB95),1-INDEX('Lease Cycles'!$DR$13:$DX$13,1,EB95),1))-IF(EB96=0,INDEX('Lease Cycles'!$DD$13:$DJ$13,1,EB95),0))),0)</f>
        <v>0</v>
      </c>
      <c r="EC102" s="28">
        <f>IF(EC97=1,IF(INDEX('Lease Cycles'!$EF$13:$EL$13,1,EC95)=1,0,EC98*(1-IF(EC96&lt;INDEX('Lease Cycles'!$DK$13:$DQ$13,1,EC95),0,IF(EC96=INDEX('Lease Cycles'!$DK$13:$DQ$13,1,EC95),1-INDEX('Lease Cycles'!$DR$13:$DX$13,1,EC95),1))-IF(EC96=0,INDEX('Lease Cycles'!$DD$13:$DJ$13,1,EC95),0))),0)</f>
        <v>0</v>
      </c>
      <c r="ED102" s="28">
        <f>IF(ED97=1,IF(INDEX('Lease Cycles'!$EF$13:$EL$13,1,ED95)=1,0,ED98*(1-IF(ED96&lt;INDEX('Lease Cycles'!$DK$13:$DQ$13,1,ED95),0,IF(ED96=INDEX('Lease Cycles'!$DK$13:$DQ$13,1,ED95),1-INDEX('Lease Cycles'!$DR$13:$DX$13,1,ED95),1))-IF(ED96=0,INDEX('Lease Cycles'!$DD$13:$DJ$13,1,ED95),0))),0)</f>
        <v>0</v>
      </c>
      <c r="EE102" s="28">
        <f>IF(EE97=1,IF(INDEX('Lease Cycles'!$EF$13:$EL$13,1,EE95)=1,0,EE98*(1-IF(EE96&lt;INDEX('Lease Cycles'!$DK$13:$DQ$13,1,EE95),0,IF(EE96=INDEX('Lease Cycles'!$DK$13:$DQ$13,1,EE95),1-INDEX('Lease Cycles'!$DR$13:$DX$13,1,EE95),1))-IF(EE96=0,INDEX('Lease Cycles'!$DD$13:$DJ$13,1,EE95),0))),0)</f>
        <v>0</v>
      </c>
      <c r="EF102" s="28">
        <f>IF(EF97=1,IF(INDEX('Lease Cycles'!$EF$13:$EL$13,1,EF95)=1,0,EF98*(1-IF(EF96&lt;INDEX('Lease Cycles'!$DK$13:$DQ$13,1,EF95),0,IF(EF96=INDEX('Lease Cycles'!$DK$13:$DQ$13,1,EF95),1-INDEX('Lease Cycles'!$DR$13:$DX$13,1,EF95),1))-IF(EF96=0,INDEX('Lease Cycles'!$DD$13:$DJ$13,1,EF95),0))),0)</f>
        <v>0</v>
      </c>
      <c r="EG102" s="28">
        <f>IF(EG97=1,IF(INDEX('Lease Cycles'!$EF$13:$EL$13,1,EG95)=1,0,EG98*(1-IF(EG96&lt;INDEX('Lease Cycles'!$DK$13:$DQ$13,1,EG95),0,IF(EG96=INDEX('Lease Cycles'!$DK$13:$DQ$13,1,EG95),1-INDEX('Lease Cycles'!$DR$13:$DX$13,1,EG95),1))-IF(EG96=0,INDEX('Lease Cycles'!$DD$13:$DJ$13,1,EG95),0))),0)</f>
        <v>0</v>
      </c>
      <c r="EH102" s="28">
        <f>IF(EH97=1,IF(INDEX('Lease Cycles'!$EF$13:$EL$13,1,EH95)=1,0,EH98*(1-IF(EH96&lt;INDEX('Lease Cycles'!$DK$13:$DQ$13,1,EH95),0,IF(EH96=INDEX('Lease Cycles'!$DK$13:$DQ$13,1,EH95),1-INDEX('Lease Cycles'!$DR$13:$DX$13,1,EH95),1))-IF(EH96=0,INDEX('Lease Cycles'!$DD$13:$DJ$13,1,EH95),0))),0)</f>
        <v>0</v>
      </c>
      <c r="EI102" s="28">
        <f>IF(EI97=1,IF(INDEX('Lease Cycles'!$EF$13:$EL$13,1,EI95)=1,0,EI98*(1-IF(EI96&lt;INDEX('Lease Cycles'!$DK$13:$DQ$13,1,EI95),0,IF(EI96=INDEX('Lease Cycles'!$DK$13:$DQ$13,1,EI95),1-INDEX('Lease Cycles'!$DR$13:$DX$13,1,EI95),1))-IF(EI96=0,INDEX('Lease Cycles'!$DD$13:$DJ$13,1,EI95),0))),0)</f>
        <v>0</v>
      </c>
      <c r="EJ102" s="28">
        <f>IF(EJ97=1,IF(INDEX('Lease Cycles'!$EF$13:$EL$13,1,EJ95)=1,0,EJ98*(1-IF(EJ96&lt;INDEX('Lease Cycles'!$DK$13:$DQ$13,1,EJ95),0,IF(EJ96=INDEX('Lease Cycles'!$DK$13:$DQ$13,1,EJ95),1-INDEX('Lease Cycles'!$DR$13:$DX$13,1,EJ95),1))-IF(EJ96=0,INDEX('Lease Cycles'!$DD$13:$DJ$13,1,EJ95),0))),0)</f>
        <v>0</v>
      </c>
      <c r="EK102" s="28">
        <f>IF(EK97=1,IF(INDEX('Lease Cycles'!$EF$13:$EL$13,1,EK95)=1,0,EK98*(1-IF(EK96&lt;INDEX('Lease Cycles'!$DK$13:$DQ$13,1,EK95),0,IF(EK96=INDEX('Lease Cycles'!$DK$13:$DQ$13,1,EK95),1-INDEX('Lease Cycles'!$DR$13:$DX$13,1,EK95),1))-IF(EK96=0,INDEX('Lease Cycles'!$DD$13:$DJ$13,1,EK95),0))),0)</f>
        <v>0</v>
      </c>
      <c r="EL102" s="28">
        <f>IF(EL97=1,IF(INDEX('Lease Cycles'!$EF$13:$EL$13,1,EL95)=1,0,EL98*(1-IF(EL96&lt;INDEX('Lease Cycles'!$DK$13:$DQ$13,1,EL95),0,IF(EL96=INDEX('Lease Cycles'!$DK$13:$DQ$13,1,EL95),1-INDEX('Lease Cycles'!$DR$13:$DX$13,1,EL95),1))-IF(EL96=0,INDEX('Lease Cycles'!$DD$13:$DJ$13,1,EL95),0))),0)</f>
        <v>0</v>
      </c>
      <c r="EM102" s="28">
        <f>IF(EM97=1,IF(INDEX('Lease Cycles'!$EF$13:$EL$13,1,EM95)=1,0,EM98*(1-IF(EM96&lt;INDEX('Lease Cycles'!$DK$13:$DQ$13,1,EM95),0,IF(EM96=INDEX('Lease Cycles'!$DK$13:$DQ$13,1,EM95),1-INDEX('Lease Cycles'!$DR$13:$DX$13,1,EM95),1))-IF(EM96=0,INDEX('Lease Cycles'!$DD$13:$DJ$13,1,EM95),0))),0)</f>
        <v>0</v>
      </c>
      <c r="EN102" s="28">
        <f>IF(EN97=1,IF(INDEX('Lease Cycles'!$EF$13:$EL$13,1,EN95)=1,0,EN98*(1-IF(EN96&lt;INDEX('Lease Cycles'!$DK$13:$DQ$13,1,EN95),0,IF(EN96=INDEX('Lease Cycles'!$DK$13:$DQ$13,1,EN95),1-INDEX('Lease Cycles'!$DR$13:$DX$13,1,EN95),1))-IF(EN96=0,INDEX('Lease Cycles'!$DD$13:$DJ$13,1,EN95),0))),0)</f>
        <v>0</v>
      </c>
      <c r="EO102" s="28">
        <f>IF(EO97=1,IF(INDEX('Lease Cycles'!$EF$13:$EL$13,1,EO95)=1,0,EO98*(1-IF(EO96&lt;INDEX('Lease Cycles'!$DK$13:$DQ$13,1,EO95),0,IF(EO96=INDEX('Lease Cycles'!$DK$13:$DQ$13,1,EO95),1-INDEX('Lease Cycles'!$DR$13:$DX$13,1,EO95),1))-IF(EO96=0,INDEX('Lease Cycles'!$DD$13:$DJ$13,1,EO95),0))),0)</f>
        <v>0</v>
      </c>
      <c r="EP102" s="28">
        <f>IF(EP97=1,IF(INDEX('Lease Cycles'!$EF$13:$EL$13,1,EP95)=1,0,EP98*(1-IF(EP96&lt;INDEX('Lease Cycles'!$DK$13:$DQ$13,1,EP95),0,IF(EP96=INDEX('Lease Cycles'!$DK$13:$DQ$13,1,EP95),1-INDEX('Lease Cycles'!$DR$13:$DX$13,1,EP95),1))-IF(EP96=0,INDEX('Lease Cycles'!$DD$13:$DJ$13,1,EP95),0))),0)</f>
        <v>0</v>
      </c>
      <c r="EQ102" s="28">
        <f>IF(EQ97=1,IF(INDEX('Lease Cycles'!$EF$13:$EL$13,1,EQ95)=1,0,EQ98*(1-IF(EQ96&lt;INDEX('Lease Cycles'!$DK$13:$DQ$13,1,EQ95),0,IF(EQ96=INDEX('Lease Cycles'!$DK$13:$DQ$13,1,EQ95),1-INDEX('Lease Cycles'!$DR$13:$DX$13,1,EQ95),1))-IF(EQ96=0,INDEX('Lease Cycles'!$DD$13:$DJ$13,1,EQ95),0))),0)</f>
        <v>0</v>
      </c>
      <c r="ER102" s="28">
        <f>IF(ER97=1,IF(INDEX('Lease Cycles'!$EF$13:$EL$13,1,ER95)=1,0,ER98*(1-IF(ER96&lt;INDEX('Lease Cycles'!$DK$13:$DQ$13,1,ER95),0,IF(ER96=INDEX('Lease Cycles'!$DK$13:$DQ$13,1,ER95),1-INDEX('Lease Cycles'!$DR$13:$DX$13,1,ER95),1))-IF(ER96=0,INDEX('Lease Cycles'!$DD$13:$DJ$13,1,ER95),0))),0)</f>
        <v>0</v>
      </c>
      <c r="ES102" s="28">
        <f>IF(ES97=1,IF(INDEX('Lease Cycles'!$EF$13:$EL$13,1,ES95)=1,0,ES98*(1-IF(ES96&lt;INDEX('Lease Cycles'!$DK$13:$DQ$13,1,ES95),0,IF(ES96=INDEX('Lease Cycles'!$DK$13:$DQ$13,1,ES95),1-INDEX('Lease Cycles'!$DR$13:$DX$13,1,ES95),1))-IF(ES96=0,INDEX('Lease Cycles'!$DD$13:$DJ$13,1,ES95),0))),0)</f>
        <v>0</v>
      </c>
      <c r="ET102" s="28">
        <f>IF(ET97=1,IF(INDEX('Lease Cycles'!$EF$13:$EL$13,1,ET95)=1,0,ET98*(1-IF(ET96&lt;INDEX('Lease Cycles'!$DK$13:$DQ$13,1,ET95),0,IF(ET96=INDEX('Lease Cycles'!$DK$13:$DQ$13,1,ET95),1-INDEX('Lease Cycles'!$DR$13:$DX$13,1,ET95),1))-IF(ET96=0,INDEX('Lease Cycles'!$DD$13:$DJ$13,1,ET95),0))),0)</f>
        <v>0</v>
      </c>
    </row>
    <row r="103">
      <c r="A103" s="103">
        <v>6</v>
      </c>
      <c r="B103" s="23" t="str">
        <f>IF('Lease Cycles'!$B$13="","(empty slot)",'Lease Cycles'!$B$13)</f>
        <v>Sunfield Cleaners</v>
      </c>
      <c r="C103" s="23" t="s">
        <v>683</v>
      </c>
      <c r="D103" s="104" t="s">
        <v>684</v>
      </c>
      <c r="E103" s="25">
        <f>'Lease Cycles'!$AL$13</f>
        <v>0</v>
      </c>
      <c r="G103" s="24">
        <f>SUM(S103:AD103)</f>
        <v>0.36180904522613067</v>
      </c>
      <c r="H103" s="24">
        <f>SUM(AE103:AP103)</f>
        <v>0.36180904522613067</v>
      </c>
      <c r="I103" s="24">
        <f>SUM(AQ103:BB103)</f>
        <v>0.36180904522613067</v>
      </c>
      <c r="J103" s="24">
        <f>SUM(BC103:BN103)</f>
        <v>0.3256281407035175</v>
      </c>
      <c r="K103" s="24">
        <f>SUM(BO103:BZ103)</f>
        <v>0.36180904522613067</v>
      </c>
      <c r="L103" s="24">
        <f>SUM(CA103:CL103)</f>
        <v>0.36180904522613067</v>
      </c>
      <c r="M103" s="24">
        <f>SUM(CM103:CX103)</f>
        <v>0.36180904522613067</v>
      </c>
      <c r="N103" s="24">
        <f>SUM(CY103:DJ103)</f>
        <v>0.36180904522613067</v>
      </c>
      <c r="O103" s="24">
        <f>SUM(DK103:DV103)</f>
        <v>0.36180904522613067</v>
      </c>
      <c r="P103" s="24">
        <f>SUM(DW103:EH103)</f>
        <v>0.36180904522613067</v>
      </c>
      <c r="Q103" s="24">
        <f>SUM(EI103:ET103)</f>
        <v>0.36180904522613067</v>
      </c>
      <c r="S103" s="24">
        <f>IF(S97=1,'Lease Cycles'!$D$13*IF(INDEX('Lease Cycles'!$EF$13:$EL$13,1,S95)=1,(1-'Lease Cycles'!$AJ$13)*INDEX('Lease Cycles'!$EM$13:$ES$13,1,S95)+(1-'Lease Cycles'!$BE$13)*IF(S96&lt;INDEX('Lease Cycles'!$FA$13:$FG$13,1,S95),0,1-INDEX('Lease Cycles'!$EM$13:$ES$13,1,S95)),IF(OR(INDEX('Lease Cycles'!$DY$13:$EE$13,1,S95)=1,S96&gt;0),1,1-INDEX('Lease Cycles'!$DD$13:$DJ$13,1,S95))*((1-'Lease Cycles'!$AJ$13)*INDEX('Lease Cycles'!$FO$13:$FU$13,1,S95)+(1-'Lease Cycles'!$BE$13)*(1-INDEX('Lease Cycles'!$FO$13:$FU$13,1,S95)))),0)</f>
        <v>0.03015075376884422</v>
      </c>
      <c r="T103" s="24">
        <f>IF(T97=1,'Lease Cycles'!$D$13*IF(INDEX('Lease Cycles'!$EF$13:$EL$13,1,T95)=1,(1-'Lease Cycles'!$AJ$13)*INDEX('Lease Cycles'!$EM$13:$ES$13,1,T95)+(1-'Lease Cycles'!$BE$13)*IF(T96&lt;INDEX('Lease Cycles'!$FA$13:$FG$13,1,T95),0,1-INDEX('Lease Cycles'!$EM$13:$ES$13,1,T95)),IF(OR(INDEX('Lease Cycles'!$DY$13:$EE$13,1,T95)=1,T96&gt;0),1,1-INDEX('Lease Cycles'!$DD$13:$DJ$13,1,T95))*((1-'Lease Cycles'!$AJ$13)*INDEX('Lease Cycles'!$FO$13:$FU$13,1,T95)+(1-'Lease Cycles'!$BE$13)*(1-INDEX('Lease Cycles'!$FO$13:$FU$13,1,T95)))),0)</f>
        <v>0.03015075376884422</v>
      </c>
      <c r="U103" s="24">
        <f>IF(U97=1,'Lease Cycles'!$D$13*IF(INDEX('Lease Cycles'!$EF$13:$EL$13,1,U95)=1,(1-'Lease Cycles'!$AJ$13)*INDEX('Lease Cycles'!$EM$13:$ES$13,1,U95)+(1-'Lease Cycles'!$BE$13)*IF(U96&lt;INDEX('Lease Cycles'!$FA$13:$FG$13,1,U95),0,1-INDEX('Lease Cycles'!$EM$13:$ES$13,1,U95)),IF(OR(INDEX('Lease Cycles'!$DY$13:$EE$13,1,U95)=1,U96&gt;0),1,1-INDEX('Lease Cycles'!$DD$13:$DJ$13,1,U95))*((1-'Lease Cycles'!$AJ$13)*INDEX('Lease Cycles'!$FO$13:$FU$13,1,U95)+(1-'Lease Cycles'!$BE$13)*(1-INDEX('Lease Cycles'!$FO$13:$FU$13,1,U95)))),0)</f>
        <v>0.03015075376884422</v>
      </c>
      <c r="V103" s="24">
        <f>IF(V97=1,'Lease Cycles'!$D$13*IF(INDEX('Lease Cycles'!$EF$13:$EL$13,1,V95)=1,(1-'Lease Cycles'!$AJ$13)*INDEX('Lease Cycles'!$EM$13:$ES$13,1,V95)+(1-'Lease Cycles'!$BE$13)*IF(V96&lt;INDEX('Lease Cycles'!$FA$13:$FG$13,1,V95),0,1-INDEX('Lease Cycles'!$EM$13:$ES$13,1,V95)),IF(OR(INDEX('Lease Cycles'!$DY$13:$EE$13,1,V95)=1,V96&gt;0),1,1-INDEX('Lease Cycles'!$DD$13:$DJ$13,1,V95))*((1-'Lease Cycles'!$AJ$13)*INDEX('Lease Cycles'!$FO$13:$FU$13,1,V95)+(1-'Lease Cycles'!$BE$13)*(1-INDEX('Lease Cycles'!$FO$13:$FU$13,1,V95)))),0)</f>
        <v>0.03015075376884422</v>
      </c>
      <c r="W103" s="24">
        <f>IF(W97=1,'Lease Cycles'!$D$13*IF(INDEX('Lease Cycles'!$EF$13:$EL$13,1,W95)=1,(1-'Lease Cycles'!$AJ$13)*INDEX('Lease Cycles'!$EM$13:$ES$13,1,W95)+(1-'Lease Cycles'!$BE$13)*IF(W96&lt;INDEX('Lease Cycles'!$FA$13:$FG$13,1,W95),0,1-INDEX('Lease Cycles'!$EM$13:$ES$13,1,W95)),IF(OR(INDEX('Lease Cycles'!$DY$13:$EE$13,1,W95)=1,W96&gt;0),1,1-INDEX('Lease Cycles'!$DD$13:$DJ$13,1,W95))*((1-'Lease Cycles'!$AJ$13)*INDEX('Lease Cycles'!$FO$13:$FU$13,1,W95)+(1-'Lease Cycles'!$BE$13)*(1-INDEX('Lease Cycles'!$FO$13:$FU$13,1,W95)))),0)</f>
        <v>0.03015075376884422</v>
      </c>
      <c r="X103" s="24">
        <f>IF(X97=1,'Lease Cycles'!$D$13*IF(INDEX('Lease Cycles'!$EF$13:$EL$13,1,X95)=1,(1-'Lease Cycles'!$AJ$13)*INDEX('Lease Cycles'!$EM$13:$ES$13,1,X95)+(1-'Lease Cycles'!$BE$13)*IF(X96&lt;INDEX('Lease Cycles'!$FA$13:$FG$13,1,X95),0,1-INDEX('Lease Cycles'!$EM$13:$ES$13,1,X95)),IF(OR(INDEX('Lease Cycles'!$DY$13:$EE$13,1,X95)=1,X96&gt;0),1,1-INDEX('Lease Cycles'!$DD$13:$DJ$13,1,X95))*((1-'Lease Cycles'!$AJ$13)*INDEX('Lease Cycles'!$FO$13:$FU$13,1,X95)+(1-'Lease Cycles'!$BE$13)*(1-INDEX('Lease Cycles'!$FO$13:$FU$13,1,X95)))),0)</f>
        <v>0.03015075376884422</v>
      </c>
      <c r="Y103" s="24">
        <f>IF(Y97=1,'Lease Cycles'!$D$13*IF(INDEX('Lease Cycles'!$EF$13:$EL$13,1,Y95)=1,(1-'Lease Cycles'!$AJ$13)*INDEX('Lease Cycles'!$EM$13:$ES$13,1,Y95)+(1-'Lease Cycles'!$BE$13)*IF(Y96&lt;INDEX('Lease Cycles'!$FA$13:$FG$13,1,Y95),0,1-INDEX('Lease Cycles'!$EM$13:$ES$13,1,Y95)),IF(OR(INDEX('Lease Cycles'!$DY$13:$EE$13,1,Y95)=1,Y96&gt;0),1,1-INDEX('Lease Cycles'!$DD$13:$DJ$13,1,Y95))*((1-'Lease Cycles'!$AJ$13)*INDEX('Lease Cycles'!$FO$13:$FU$13,1,Y95)+(1-'Lease Cycles'!$BE$13)*(1-INDEX('Lease Cycles'!$FO$13:$FU$13,1,Y95)))),0)</f>
        <v>0.03015075376884422</v>
      </c>
      <c r="Z103" s="24">
        <f>IF(Z97=1,'Lease Cycles'!$D$13*IF(INDEX('Lease Cycles'!$EF$13:$EL$13,1,Z95)=1,(1-'Lease Cycles'!$AJ$13)*INDEX('Lease Cycles'!$EM$13:$ES$13,1,Z95)+(1-'Lease Cycles'!$BE$13)*IF(Z96&lt;INDEX('Lease Cycles'!$FA$13:$FG$13,1,Z95),0,1-INDEX('Lease Cycles'!$EM$13:$ES$13,1,Z95)),IF(OR(INDEX('Lease Cycles'!$DY$13:$EE$13,1,Z95)=1,Z96&gt;0),1,1-INDEX('Lease Cycles'!$DD$13:$DJ$13,1,Z95))*((1-'Lease Cycles'!$AJ$13)*INDEX('Lease Cycles'!$FO$13:$FU$13,1,Z95)+(1-'Lease Cycles'!$BE$13)*(1-INDEX('Lease Cycles'!$FO$13:$FU$13,1,Z95)))),0)</f>
        <v>0.03015075376884422</v>
      </c>
      <c r="AA103" s="24">
        <f>IF(AA97=1,'Lease Cycles'!$D$13*IF(INDEX('Lease Cycles'!$EF$13:$EL$13,1,AA95)=1,(1-'Lease Cycles'!$AJ$13)*INDEX('Lease Cycles'!$EM$13:$ES$13,1,AA95)+(1-'Lease Cycles'!$BE$13)*IF(AA96&lt;INDEX('Lease Cycles'!$FA$13:$FG$13,1,AA95),0,1-INDEX('Lease Cycles'!$EM$13:$ES$13,1,AA95)),IF(OR(INDEX('Lease Cycles'!$DY$13:$EE$13,1,AA95)=1,AA96&gt;0),1,1-INDEX('Lease Cycles'!$DD$13:$DJ$13,1,AA95))*((1-'Lease Cycles'!$AJ$13)*INDEX('Lease Cycles'!$FO$13:$FU$13,1,AA95)+(1-'Lease Cycles'!$BE$13)*(1-INDEX('Lease Cycles'!$FO$13:$FU$13,1,AA95)))),0)</f>
        <v>0.03015075376884422</v>
      </c>
      <c r="AB103" s="24">
        <f>IF(AB97=1,'Lease Cycles'!$D$13*IF(INDEX('Lease Cycles'!$EF$13:$EL$13,1,AB95)=1,(1-'Lease Cycles'!$AJ$13)*INDEX('Lease Cycles'!$EM$13:$ES$13,1,AB95)+(1-'Lease Cycles'!$BE$13)*IF(AB96&lt;INDEX('Lease Cycles'!$FA$13:$FG$13,1,AB95),0,1-INDEX('Lease Cycles'!$EM$13:$ES$13,1,AB95)),IF(OR(INDEX('Lease Cycles'!$DY$13:$EE$13,1,AB95)=1,AB96&gt;0),1,1-INDEX('Lease Cycles'!$DD$13:$DJ$13,1,AB95))*((1-'Lease Cycles'!$AJ$13)*INDEX('Lease Cycles'!$FO$13:$FU$13,1,AB95)+(1-'Lease Cycles'!$BE$13)*(1-INDEX('Lease Cycles'!$FO$13:$FU$13,1,AB95)))),0)</f>
        <v>0.03015075376884422</v>
      </c>
      <c r="AC103" s="24">
        <f>IF(AC97=1,'Lease Cycles'!$D$13*IF(INDEX('Lease Cycles'!$EF$13:$EL$13,1,AC95)=1,(1-'Lease Cycles'!$AJ$13)*INDEX('Lease Cycles'!$EM$13:$ES$13,1,AC95)+(1-'Lease Cycles'!$BE$13)*IF(AC96&lt;INDEX('Lease Cycles'!$FA$13:$FG$13,1,AC95),0,1-INDEX('Lease Cycles'!$EM$13:$ES$13,1,AC95)),IF(OR(INDEX('Lease Cycles'!$DY$13:$EE$13,1,AC95)=1,AC96&gt;0),1,1-INDEX('Lease Cycles'!$DD$13:$DJ$13,1,AC95))*((1-'Lease Cycles'!$AJ$13)*INDEX('Lease Cycles'!$FO$13:$FU$13,1,AC95)+(1-'Lease Cycles'!$BE$13)*(1-INDEX('Lease Cycles'!$FO$13:$FU$13,1,AC95)))),0)</f>
        <v>0.03015075376884422</v>
      </c>
      <c r="AD103" s="24">
        <f>IF(AD97=1,'Lease Cycles'!$D$13*IF(INDEX('Lease Cycles'!$EF$13:$EL$13,1,AD95)=1,(1-'Lease Cycles'!$AJ$13)*INDEX('Lease Cycles'!$EM$13:$ES$13,1,AD95)+(1-'Lease Cycles'!$BE$13)*IF(AD96&lt;INDEX('Lease Cycles'!$FA$13:$FG$13,1,AD95),0,1-INDEX('Lease Cycles'!$EM$13:$ES$13,1,AD95)),IF(OR(INDEX('Lease Cycles'!$DY$13:$EE$13,1,AD95)=1,AD96&gt;0),1,1-INDEX('Lease Cycles'!$DD$13:$DJ$13,1,AD95))*((1-'Lease Cycles'!$AJ$13)*INDEX('Lease Cycles'!$FO$13:$FU$13,1,AD95)+(1-'Lease Cycles'!$BE$13)*(1-INDEX('Lease Cycles'!$FO$13:$FU$13,1,AD95)))),0)</f>
        <v>0.03015075376884422</v>
      </c>
      <c r="AE103" s="24">
        <f>IF(AE97=1,'Lease Cycles'!$D$13*IF(INDEX('Lease Cycles'!$EF$13:$EL$13,1,AE95)=1,(1-'Lease Cycles'!$AJ$13)*INDEX('Lease Cycles'!$EM$13:$ES$13,1,AE95)+(1-'Lease Cycles'!$BE$13)*IF(AE96&lt;INDEX('Lease Cycles'!$FA$13:$FG$13,1,AE95),0,1-INDEX('Lease Cycles'!$EM$13:$ES$13,1,AE95)),IF(OR(INDEX('Lease Cycles'!$DY$13:$EE$13,1,AE95)=1,AE96&gt;0),1,1-INDEX('Lease Cycles'!$DD$13:$DJ$13,1,AE95))*((1-'Lease Cycles'!$AJ$13)*INDEX('Lease Cycles'!$FO$13:$FU$13,1,AE95)+(1-'Lease Cycles'!$BE$13)*(1-INDEX('Lease Cycles'!$FO$13:$FU$13,1,AE95)))),0)</f>
        <v>0.03015075376884422</v>
      </c>
      <c r="AF103" s="24">
        <f>IF(AF97=1,'Lease Cycles'!$D$13*IF(INDEX('Lease Cycles'!$EF$13:$EL$13,1,AF95)=1,(1-'Lease Cycles'!$AJ$13)*INDEX('Lease Cycles'!$EM$13:$ES$13,1,AF95)+(1-'Lease Cycles'!$BE$13)*IF(AF96&lt;INDEX('Lease Cycles'!$FA$13:$FG$13,1,AF95),0,1-INDEX('Lease Cycles'!$EM$13:$ES$13,1,AF95)),IF(OR(INDEX('Lease Cycles'!$DY$13:$EE$13,1,AF95)=1,AF96&gt;0),1,1-INDEX('Lease Cycles'!$DD$13:$DJ$13,1,AF95))*((1-'Lease Cycles'!$AJ$13)*INDEX('Lease Cycles'!$FO$13:$FU$13,1,AF95)+(1-'Lease Cycles'!$BE$13)*(1-INDEX('Lease Cycles'!$FO$13:$FU$13,1,AF95)))),0)</f>
        <v>0.03015075376884422</v>
      </c>
      <c r="AG103" s="24">
        <f>IF(AG97=1,'Lease Cycles'!$D$13*IF(INDEX('Lease Cycles'!$EF$13:$EL$13,1,AG95)=1,(1-'Lease Cycles'!$AJ$13)*INDEX('Lease Cycles'!$EM$13:$ES$13,1,AG95)+(1-'Lease Cycles'!$BE$13)*IF(AG96&lt;INDEX('Lease Cycles'!$FA$13:$FG$13,1,AG95),0,1-INDEX('Lease Cycles'!$EM$13:$ES$13,1,AG95)),IF(OR(INDEX('Lease Cycles'!$DY$13:$EE$13,1,AG95)=1,AG96&gt;0),1,1-INDEX('Lease Cycles'!$DD$13:$DJ$13,1,AG95))*((1-'Lease Cycles'!$AJ$13)*INDEX('Lease Cycles'!$FO$13:$FU$13,1,AG95)+(1-'Lease Cycles'!$BE$13)*(1-INDEX('Lease Cycles'!$FO$13:$FU$13,1,AG95)))),0)</f>
        <v>0.03015075376884422</v>
      </c>
      <c r="AH103" s="24">
        <f>IF(AH97=1,'Lease Cycles'!$D$13*IF(INDEX('Lease Cycles'!$EF$13:$EL$13,1,AH95)=1,(1-'Lease Cycles'!$AJ$13)*INDEX('Lease Cycles'!$EM$13:$ES$13,1,AH95)+(1-'Lease Cycles'!$BE$13)*IF(AH96&lt;INDEX('Lease Cycles'!$FA$13:$FG$13,1,AH95),0,1-INDEX('Lease Cycles'!$EM$13:$ES$13,1,AH95)),IF(OR(INDEX('Lease Cycles'!$DY$13:$EE$13,1,AH95)=1,AH96&gt;0),1,1-INDEX('Lease Cycles'!$DD$13:$DJ$13,1,AH95))*((1-'Lease Cycles'!$AJ$13)*INDEX('Lease Cycles'!$FO$13:$FU$13,1,AH95)+(1-'Lease Cycles'!$BE$13)*(1-INDEX('Lease Cycles'!$FO$13:$FU$13,1,AH95)))),0)</f>
        <v>0.03015075376884422</v>
      </c>
      <c r="AI103" s="24">
        <f>IF(AI97=1,'Lease Cycles'!$D$13*IF(INDEX('Lease Cycles'!$EF$13:$EL$13,1,AI95)=1,(1-'Lease Cycles'!$AJ$13)*INDEX('Lease Cycles'!$EM$13:$ES$13,1,AI95)+(1-'Lease Cycles'!$BE$13)*IF(AI96&lt;INDEX('Lease Cycles'!$FA$13:$FG$13,1,AI95),0,1-INDEX('Lease Cycles'!$EM$13:$ES$13,1,AI95)),IF(OR(INDEX('Lease Cycles'!$DY$13:$EE$13,1,AI95)=1,AI96&gt;0),1,1-INDEX('Lease Cycles'!$DD$13:$DJ$13,1,AI95))*((1-'Lease Cycles'!$AJ$13)*INDEX('Lease Cycles'!$FO$13:$FU$13,1,AI95)+(1-'Lease Cycles'!$BE$13)*(1-INDEX('Lease Cycles'!$FO$13:$FU$13,1,AI95)))),0)</f>
        <v>0.03015075376884422</v>
      </c>
      <c r="AJ103" s="24">
        <f>IF(AJ97=1,'Lease Cycles'!$D$13*IF(INDEX('Lease Cycles'!$EF$13:$EL$13,1,AJ95)=1,(1-'Lease Cycles'!$AJ$13)*INDEX('Lease Cycles'!$EM$13:$ES$13,1,AJ95)+(1-'Lease Cycles'!$BE$13)*IF(AJ96&lt;INDEX('Lease Cycles'!$FA$13:$FG$13,1,AJ95),0,1-INDEX('Lease Cycles'!$EM$13:$ES$13,1,AJ95)),IF(OR(INDEX('Lease Cycles'!$DY$13:$EE$13,1,AJ95)=1,AJ96&gt;0),1,1-INDEX('Lease Cycles'!$DD$13:$DJ$13,1,AJ95))*((1-'Lease Cycles'!$AJ$13)*INDEX('Lease Cycles'!$FO$13:$FU$13,1,AJ95)+(1-'Lease Cycles'!$BE$13)*(1-INDEX('Lease Cycles'!$FO$13:$FU$13,1,AJ95)))),0)</f>
        <v>0.03015075376884422</v>
      </c>
      <c r="AK103" s="24">
        <f>IF(AK97=1,'Lease Cycles'!$D$13*IF(INDEX('Lease Cycles'!$EF$13:$EL$13,1,AK95)=1,(1-'Lease Cycles'!$AJ$13)*INDEX('Lease Cycles'!$EM$13:$ES$13,1,AK95)+(1-'Lease Cycles'!$BE$13)*IF(AK96&lt;INDEX('Lease Cycles'!$FA$13:$FG$13,1,AK95),0,1-INDEX('Lease Cycles'!$EM$13:$ES$13,1,AK95)),IF(OR(INDEX('Lease Cycles'!$DY$13:$EE$13,1,AK95)=1,AK96&gt;0),1,1-INDEX('Lease Cycles'!$DD$13:$DJ$13,1,AK95))*((1-'Lease Cycles'!$AJ$13)*INDEX('Lease Cycles'!$FO$13:$FU$13,1,AK95)+(1-'Lease Cycles'!$BE$13)*(1-INDEX('Lease Cycles'!$FO$13:$FU$13,1,AK95)))),0)</f>
        <v>0.03015075376884422</v>
      </c>
      <c r="AL103" s="24">
        <f>IF(AL97=1,'Lease Cycles'!$D$13*IF(INDEX('Lease Cycles'!$EF$13:$EL$13,1,AL95)=1,(1-'Lease Cycles'!$AJ$13)*INDEX('Lease Cycles'!$EM$13:$ES$13,1,AL95)+(1-'Lease Cycles'!$BE$13)*IF(AL96&lt;INDEX('Lease Cycles'!$FA$13:$FG$13,1,AL95),0,1-INDEX('Lease Cycles'!$EM$13:$ES$13,1,AL95)),IF(OR(INDEX('Lease Cycles'!$DY$13:$EE$13,1,AL95)=1,AL96&gt;0),1,1-INDEX('Lease Cycles'!$DD$13:$DJ$13,1,AL95))*((1-'Lease Cycles'!$AJ$13)*INDEX('Lease Cycles'!$FO$13:$FU$13,1,AL95)+(1-'Lease Cycles'!$BE$13)*(1-INDEX('Lease Cycles'!$FO$13:$FU$13,1,AL95)))),0)</f>
        <v>0.03015075376884422</v>
      </c>
      <c r="AM103" s="24">
        <f>IF(AM97=1,'Lease Cycles'!$D$13*IF(INDEX('Lease Cycles'!$EF$13:$EL$13,1,AM95)=1,(1-'Lease Cycles'!$AJ$13)*INDEX('Lease Cycles'!$EM$13:$ES$13,1,AM95)+(1-'Lease Cycles'!$BE$13)*IF(AM96&lt;INDEX('Lease Cycles'!$FA$13:$FG$13,1,AM95),0,1-INDEX('Lease Cycles'!$EM$13:$ES$13,1,AM95)),IF(OR(INDEX('Lease Cycles'!$DY$13:$EE$13,1,AM95)=1,AM96&gt;0),1,1-INDEX('Lease Cycles'!$DD$13:$DJ$13,1,AM95))*((1-'Lease Cycles'!$AJ$13)*INDEX('Lease Cycles'!$FO$13:$FU$13,1,AM95)+(1-'Lease Cycles'!$BE$13)*(1-INDEX('Lease Cycles'!$FO$13:$FU$13,1,AM95)))),0)</f>
        <v>0.03015075376884422</v>
      </c>
      <c r="AN103" s="24">
        <f>IF(AN97=1,'Lease Cycles'!$D$13*IF(INDEX('Lease Cycles'!$EF$13:$EL$13,1,AN95)=1,(1-'Lease Cycles'!$AJ$13)*INDEX('Lease Cycles'!$EM$13:$ES$13,1,AN95)+(1-'Lease Cycles'!$BE$13)*IF(AN96&lt;INDEX('Lease Cycles'!$FA$13:$FG$13,1,AN95),0,1-INDEX('Lease Cycles'!$EM$13:$ES$13,1,AN95)),IF(OR(INDEX('Lease Cycles'!$DY$13:$EE$13,1,AN95)=1,AN96&gt;0),1,1-INDEX('Lease Cycles'!$DD$13:$DJ$13,1,AN95))*((1-'Lease Cycles'!$AJ$13)*INDEX('Lease Cycles'!$FO$13:$FU$13,1,AN95)+(1-'Lease Cycles'!$BE$13)*(1-INDEX('Lease Cycles'!$FO$13:$FU$13,1,AN95)))),0)</f>
        <v>0.03015075376884422</v>
      </c>
      <c r="AO103" s="24">
        <f>IF(AO97=1,'Lease Cycles'!$D$13*IF(INDEX('Lease Cycles'!$EF$13:$EL$13,1,AO95)=1,(1-'Lease Cycles'!$AJ$13)*INDEX('Lease Cycles'!$EM$13:$ES$13,1,AO95)+(1-'Lease Cycles'!$BE$13)*IF(AO96&lt;INDEX('Lease Cycles'!$FA$13:$FG$13,1,AO95),0,1-INDEX('Lease Cycles'!$EM$13:$ES$13,1,AO95)),IF(OR(INDEX('Lease Cycles'!$DY$13:$EE$13,1,AO95)=1,AO96&gt;0),1,1-INDEX('Lease Cycles'!$DD$13:$DJ$13,1,AO95))*((1-'Lease Cycles'!$AJ$13)*INDEX('Lease Cycles'!$FO$13:$FU$13,1,AO95)+(1-'Lease Cycles'!$BE$13)*(1-INDEX('Lease Cycles'!$FO$13:$FU$13,1,AO95)))),0)</f>
        <v>0.03015075376884422</v>
      </c>
      <c r="AP103" s="24">
        <f>IF(AP97=1,'Lease Cycles'!$D$13*IF(INDEX('Lease Cycles'!$EF$13:$EL$13,1,AP95)=1,(1-'Lease Cycles'!$AJ$13)*INDEX('Lease Cycles'!$EM$13:$ES$13,1,AP95)+(1-'Lease Cycles'!$BE$13)*IF(AP96&lt;INDEX('Lease Cycles'!$FA$13:$FG$13,1,AP95),0,1-INDEX('Lease Cycles'!$EM$13:$ES$13,1,AP95)),IF(OR(INDEX('Lease Cycles'!$DY$13:$EE$13,1,AP95)=1,AP96&gt;0),1,1-INDEX('Lease Cycles'!$DD$13:$DJ$13,1,AP95))*((1-'Lease Cycles'!$AJ$13)*INDEX('Lease Cycles'!$FO$13:$FU$13,1,AP95)+(1-'Lease Cycles'!$BE$13)*(1-INDEX('Lease Cycles'!$FO$13:$FU$13,1,AP95)))),0)</f>
        <v>0.03015075376884422</v>
      </c>
      <c r="AQ103" s="24">
        <f>IF(AQ97=1,'Lease Cycles'!$D$13*IF(INDEX('Lease Cycles'!$EF$13:$EL$13,1,AQ95)=1,(1-'Lease Cycles'!$AJ$13)*INDEX('Lease Cycles'!$EM$13:$ES$13,1,AQ95)+(1-'Lease Cycles'!$BE$13)*IF(AQ96&lt;INDEX('Lease Cycles'!$FA$13:$FG$13,1,AQ95),0,1-INDEX('Lease Cycles'!$EM$13:$ES$13,1,AQ95)),IF(OR(INDEX('Lease Cycles'!$DY$13:$EE$13,1,AQ95)=1,AQ96&gt;0),1,1-INDEX('Lease Cycles'!$DD$13:$DJ$13,1,AQ95))*((1-'Lease Cycles'!$AJ$13)*INDEX('Lease Cycles'!$FO$13:$FU$13,1,AQ95)+(1-'Lease Cycles'!$BE$13)*(1-INDEX('Lease Cycles'!$FO$13:$FU$13,1,AQ95)))),0)</f>
        <v>0.03015075376884422</v>
      </c>
      <c r="AR103" s="24">
        <f>IF(AR97=1,'Lease Cycles'!$D$13*IF(INDEX('Lease Cycles'!$EF$13:$EL$13,1,AR95)=1,(1-'Lease Cycles'!$AJ$13)*INDEX('Lease Cycles'!$EM$13:$ES$13,1,AR95)+(1-'Lease Cycles'!$BE$13)*IF(AR96&lt;INDEX('Lease Cycles'!$FA$13:$FG$13,1,AR95),0,1-INDEX('Lease Cycles'!$EM$13:$ES$13,1,AR95)),IF(OR(INDEX('Lease Cycles'!$DY$13:$EE$13,1,AR95)=1,AR96&gt;0),1,1-INDEX('Lease Cycles'!$DD$13:$DJ$13,1,AR95))*((1-'Lease Cycles'!$AJ$13)*INDEX('Lease Cycles'!$FO$13:$FU$13,1,AR95)+(1-'Lease Cycles'!$BE$13)*(1-INDEX('Lease Cycles'!$FO$13:$FU$13,1,AR95)))),0)</f>
        <v>0.03015075376884422</v>
      </c>
      <c r="AS103" s="24">
        <f>IF(AS97=1,'Lease Cycles'!$D$13*IF(INDEX('Lease Cycles'!$EF$13:$EL$13,1,AS95)=1,(1-'Lease Cycles'!$AJ$13)*INDEX('Lease Cycles'!$EM$13:$ES$13,1,AS95)+(1-'Lease Cycles'!$BE$13)*IF(AS96&lt;INDEX('Lease Cycles'!$FA$13:$FG$13,1,AS95),0,1-INDEX('Lease Cycles'!$EM$13:$ES$13,1,AS95)),IF(OR(INDEX('Lease Cycles'!$DY$13:$EE$13,1,AS95)=1,AS96&gt;0),1,1-INDEX('Lease Cycles'!$DD$13:$DJ$13,1,AS95))*((1-'Lease Cycles'!$AJ$13)*INDEX('Lease Cycles'!$FO$13:$FU$13,1,AS95)+(1-'Lease Cycles'!$BE$13)*(1-INDEX('Lease Cycles'!$FO$13:$FU$13,1,AS95)))),0)</f>
        <v>0.03015075376884422</v>
      </c>
      <c r="AT103" s="24">
        <f>IF(AT97=1,'Lease Cycles'!$D$13*IF(INDEX('Lease Cycles'!$EF$13:$EL$13,1,AT95)=1,(1-'Lease Cycles'!$AJ$13)*INDEX('Lease Cycles'!$EM$13:$ES$13,1,AT95)+(1-'Lease Cycles'!$BE$13)*IF(AT96&lt;INDEX('Lease Cycles'!$FA$13:$FG$13,1,AT95),0,1-INDEX('Lease Cycles'!$EM$13:$ES$13,1,AT95)),IF(OR(INDEX('Lease Cycles'!$DY$13:$EE$13,1,AT95)=1,AT96&gt;0),1,1-INDEX('Lease Cycles'!$DD$13:$DJ$13,1,AT95))*((1-'Lease Cycles'!$AJ$13)*INDEX('Lease Cycles'!$FO$13:$FU$13,1,AT95)+(1-'Lease Cycles'!$BE$13)*(1-INDEX('Lease Cycles'!$FO$13:$FU$13,1,AT95)))),0)</f>
        <v>0.03015075376884422</v>
      </c>
      <c r="AU103" s="24">
        <f>IF(AU97=1,'Lease Cycles'!$D$13*IF(INDEX('Lease Cycles'!$EF$13:$EL$13,1,AU95)=1,(1-'Lease Cycles'!$AJ$13)*INDEX('Lease Cycles'!$EM$13:$ES$13,1,AU95)+(1-'Lease Cycles'!$BE$13)*IF(AU96&lt;INDEX('Lease Cycles'!$FA$13:$FG$13,1,AU95),0,1-INDEX('Lease Cycles'!$EM$13:$ES$13,1,AU95)),IF(OR(INDEX('Lease Cycles'!$DY$13:$EE$13,1,AU95)=1,AU96&gt;0),1,1-INDEX('Lease Cycles'!$DD$13:$DJ$13,1,AU95))*((1-'Lease Cycles'!$AJ$13)*INDEX('Lease Cycles'!$FO$13:$FU$13,1,AU95)+(1-'Lease Cycles'!$BE$13)*(1-INDEX('Lease Cycles'!$FO$13:$FU$13,1,AU95)))),0)</f>
        <v>0.03015075376884422</v>
      </c>
      <c r="AV103" s="24">
        <f>IF(AV97=1,'Lease Cycles'!$D$13*IF(INDEX('Lease Cycles'!$EF$13:$EL$13,1,AV95)=1,(1-'Lease Cycles'!$AJ$13)*INDEX('Lease Cycles'!$EM$13:$ES$13,1,AV95)+(1-'Lease Cycles'!$BE$13)*IF(AV96&lt;INDEX('Lease Cycles'!$FA$13:$FG$13,1,AV95),0,1-INDEX('Lease Cycles'!$EM$13:$ES$13,1,AV95)),IF(OR(INDEX('Lease Cycles'!$DY$13:$EE$13,1,AV95)=1,AV96&gt;0),1,1-INDEX('Lease Cycles'!$DD$13:$DJ$13,1,AV95))*((1-'Lease Cycles'!$AJ$13)*INDEX('Lease Cycles'!$FO$13:$FU$13,1,AV95)+(1-'Lease Cycles'!$BE$13)*(1-INDEX('Lease Cycles'!$FO$13:$FU$13,1,AV95)))),0)</f>
        <v>0.03015075376884422</v>
      </c>
      <c r="AW103" s="24">
        <f>IF(AW97=1,'Lease Cycles'!$D$13*IF(INDEX('Lease Cycles'!$EF$13:$EL$13,1,AW95)=1,(1-'Lease Cycles'!$AJ$13)*INDEX('Lease Cycles'!$EM$13:$ES$13,1,AW95)+(1-'Lease Cycles'!$BE$13)*IF(AW96&lt;INDEX('Lease Cycles'!$FA$13:$FG$13,1,AW95),0,1-INDEX('Lease Cycles'!$EM$13:$ES$13,1,AW95)),IF(OR(INDEX('Lease Cycles'!$DY$13:$EE$13,1,AW95)=1,AW96&gt;0),1,1-INDEX('Lease Cycles'!$DD$13:$DJ$13,1,AW95))*((1-'Lease Cycles'!$AJ$13)*INDEX('Lease Cycles'!$FO$13:$FU$13,1,AW95)+(1-'Lease Cycles'!$BE$13)*(1-INDEX('Lease Cycles'!$FO$13:$FU$13,1,AW95)))),0)</f>
        <v>0.03015075376884422</v>
      </c>
      <c r="AX103" s="24">
        <f>IF(AX97=1,'Lease Cycles'!$D$13*IF(INDEX('Lease Cycles'!$EF$13:$EL$13,1,AX95)=1,(1-'Lease Cycles'!$AJ$13)*INDEX('Lease Cycles'!$EM$13:$ES$13,1,AX95)+(1-'Lease Cycles'!$BE$13)*IF(AX96&lt;INDEX('Lease Cycles'!$FA$13:$FG$13,1,AX95),0,1-INDEX('Lease Cycles'!$EM$13:$ES$13,1,AX95)),IF(OR(INDEX('Lease Cycles'!$DY$13:$EE$13,1,AX95)=1,AX96&gt;0),1,1-INDEX('Lease Cycles'!$DD$13:$DJ$13,1,AX95))*((1-'Lease Cycles'!$AJ$13)*INDEX('Lease Cycles'!$FO$13:$FU$13,1,AX95)+(1-'Lease Cycles'!$BE$13)*(1-INDEX('Lease Cycles'!$FO$13:$FU$13,1,AX95)))),0)</f>
        <v>0.03015075376884422</v>
      </c>
      <c r="AY103" s="24">
        <f>IF(AY97=1,'Lease Cycles'!$D$13*IF(INDEX('Lease Cycles'!$EF$13:$EL$13,1,AY95)=1,(1-'Lease Cycles'!$AJ$13)*INDEX('Lease Cycles'!$EM$13:$ES$13,1,AY95)+(1-'Lease Cycles'!$BE$13)*IF(AY96&lt;INDEX('Lease Cycles'!$FA$13:$FG$13,1,AY95),0,1-INDEX('Lease Cycles'!$EM$13:$ES$13,1,AY95)),IF(OR(INDEX('Lease Cycles'!$DY$13:$EE$13,1,AY95)=1,AY96&gt;0),1,1-INDEX('Lease Cycles'!$DD$13:$DJ$13,1,AY95))*((1-'Lease Cycles'!$AJ$13)*INDEX('Lease Cycles'!$FO$13:$FU$13,1,AY95)+(1-'Lease Cycles'!$BE$13)*(1-INDEX('Lease Cycles'!$FO$13:$FU$13,1,AY95)))),0)</f>
        <v>0.03015075376884422</v>
      </c>
      <c r="AZ103" s="24">
        <f>IF(AZ97=1,'Lease Cycles'!$D$13*IF(INDEX('Lease Cycles'!$EF$13:$EL$13,1,AZ95)=1,(1-'Lease Cycles'!$AJ$13)*INDEX('Lease Cycles'!$EM$13:$ES$13,1,AZ95)+(1-'Lease Cycles'!$BE$13)*IF(AZ96&lt;INDEX('Lease Cycles'!$FA$13:$FG$13,1,AZ95),0,1-INDEX('Lease Cycles'!$EM$13:$ES$13,1,AZ95)),IF(OR(INDEX('Lease Cycles'!$DY$13:$EE$13,1,AZ95)=1,AZ96&gt;0),1,1-INDEX('Lease Cycles'!$DD$13:$DJ$13,1,AZ95))*((1-'Lease Cycles'!$AJ$13)*INDEX('Lease Cycles'!$FO$13:$FU$13,1,AZ95)+(1-'Lease Cycles'!$BE$13)*(1-INDEX('Lease Cycles'!$FO$13:$FU$13,1,AZ95)))),0)</f>
        <v>0.03015075376884422</v>
      </c>
      <c r="BA103" s="24">
        <f>IF(BA97=1,'Lease Cycles'!$D$13*IF(INDEX('Lease Cycles'!$EF$13:$EL$13,1,BA95)=1,(1-'Lease Cycles'!$AJ$13)*INDEX('Lease Cycles'!$EM$13:$ES$13,1,BA95)+(1-'Lease Cycles'!$BE$13)*IF(BA96&lt;INDEX('Lease Cycles'!$FA$13:$FG$13,1,BA95),0,1-INDEX('Lease Cycles'!$EM$13:$ES$13,1,BA95)),IF(OR(INDEX('Lease Cycles'!$DY$13:$EE$13,1,BA95)=1,BA96&gt;0),1,1-INDEX('Lease Cycles'!$DD$13:$DJ$13,1,BA95))*((1-'Lease Cycles'!$AJ$13)*INDEX('Lease Cycles'!$FO$13:$FU$13,1,BA95)+(1-'Lease Cycles'!$BE$13)*(1-INDEX('Lease Cycles'!$FO$13:$FU$13,1,BA95)))),0)</f>
        <v>0.03015075376884422</v>
      </c>
      <c r="BB103" s="24">
        <f>IF(BB97=1,'Lease Cycles'!$D$13*IF(INDEX('Lease Cycles'!$EF$13:$EL$13,1,BB95)=1,(1-'Lease Cycles'!$AJ$13)*INDEX('Lease Cycles'!$EM$13:$ES$13,1,BB95)+(1-'Lease Cycles'!$BE$13)*IF(BB96&lt;INDEX('Lease Cycles'!$FA$13:$FG$13,1,BB95),0,1-INDEX('Lease Cycles'!$EM$13:$ES$13,1,BB95)),IF(OR(INDEX('Lease Cycles'!$DY$13:$EE$13,1,BB95)=1,BB96&gt;0),1,1-INDEX('Lease Cycles'!$DD$13:$DJ$13,1,BB95))*((1-'Lease Cycles'!$AJ$13)*INDEX('Lease Cycles'!$FO$13:$FU$13,1,BB95)+(1-'Lease Cycles'!$BE$13)*(1-INDEX('Lease Cycles'!$FO$13:$FU$13,1,BB95)))),0)</f>
        <v>0.03015075376884422</v>
      </c>
      <c r="BC103" s="24">
        <f>IF(BC97=1,'Lease Cycles'!$D$13*IF(INDEX('Lease Cycles'!$EF$13:$EL$13,1,BC95)=1,(1-'Lease Cycles'!$AJ$13)*INDEX('Lease Cycles'!$EM$13:$ES$13,1,BC95)+(1-'Lease Cycles'!$BE$13)*IF(BC96&lt;INDEX('Lease Cycles'!$FA$13:$FG$13,1,BC95),0,1-INDEX('Lease Cycles'!$EM$13:$ES$13,1,BC95)),IF(OR(INDEX('Lease Cycles'!$DY$13:$EE$13,1,BC95)=1,BC96&gt;0),1,1-INDEX('Lease Cycles'!$DD$13:$DJ$13,1,BC95))*((1-'Lease Cycles'!$AJ$13)*INDEX('Lease Cycles'!$FO$13:$FU$13,1,BC95)+(1-'Lease Cycles'!$BE$13)*(1-INDEX('Lease Cycles'!$FO$13:$FU$13,1,BC95)))),0)</f>
        <v>0.03015075376884422</v>
      </c>
      <c r="BD103" s="24">
        <f>IF(BD97=1,'Lease Cycles'!$D$13*IF(INDEX('Lease Cycles'!$EF$13:$EL$13,1,BD95)=1,(1-'Lease Cycles'!$AJ$13)*INDEX('Lease Cycles'!$EM$13:$ES$13,1,BD95)+(1-'Lease Cycles'!$BE$13)*IF(BD96&lt;INDEX('Lease Cycles'!$FA$13:$FG$13,1,BD95),0,1-INDEX('Lease Cycles'!$EM$13:$ES$13,1,BD95)),IF(OR(INDEX('Lease Cycles'!$DY$13:$EE$13,1,BD95)=1,BD96&gt;0),1,1-INDEX('Lease Cycles'!$DD$13:$DJ$13,1,BD95))*((1-'Lease Cycles'!$AJ$13)*INDEX('Lease Cycles'!$FO$13:$FU$13,1,BD95)+(1-'Lease Cycles'!$BE$13)*(1-INDEX('Lease Cycles'!$FO$13:$FU$13,1,BD95)))),0)</f>
        <v>0.03015075376884422</v>
      </c>
      <c r="BE103" s="24">
        <f>IF(BE97=1,'Lease Cycles'!$D$13*IF(INDEX('Lease Cycles'!$EF$13:$EL$13,1,BE95)=1,(1-'Lease Cycles'!$AJ$13)*INDEX('Lease Cycles'!$EM$13:$ES$13,1,BE95)+(1-'Lease Cycles'!$BE$13)*IF(BE96&lt;INDEX('Lease Cycles'!$FA$13:$FG$13,1,BE95),0,1-INDEX('Lease Cycles'!$EM$13:$ES$13,1,BE95)),IF(OR(INDEX('Lease Cycles'!$DY$13:$EE$13,1,BE95)=1,BE96&gt;0),1,1-INDEX('Lease Cycles'!$DD$13:$DJ$13,1,BE95))*((1-'Lease Cycles'!$AJ$13)*INDEX('Lease Cycles'!$FO$13:$FU$13,1,BE95)+(1-'Lease Cycles'!$BE$13)*(1-INDEX('Lease Cycles'!$FO$13:$FU$13,1,BE95)))),0)</f>
        <v>0.03015075376884422</v>
      </c>
      <c r="BF103" s="24">
        <f>IF(BF97=1,'Lease Cycles'!$D$13*IF(INDEX('Lease Cycles'!$EF$13:$EL$13,1,BF95)=1,(1-'Lease Cycles'!$AJ$13)*INDEX('Lease Cycles'!$EM$13:$ES$13,1,BF95)+(1-'Lease Cycles'!$BE$13)*IF(BF96&lt;INDEX('Lease Cycles'!$FA$13:$FG$13,1,BF95),0,1-INDEX('Lease Cycles'!$EM$13:$ES$13,1,BF95)),IF(OR(INDEX('Lease Cycles'!$DY$13:$EE$13,1,BF95)=1,BF96&gt;0),1,1-INDEX('Lease Cycles'!$DD$13:$DJ$13,1,BF95))*((1-'Lease Cycles'!$AJ$13)*INDEX('Lease Cycles'!$FO$13:$FU$13,1,BF95)+(1-'Lease Cycles'!$BE$13)*(1-INDEX('Lease Cycles'!$FO$13:$FU$13,1,BF95)))),0)</f>
        <v>0.03015075376884422</v>
      </c>
      <c r="BG103" s="24">
        <f>IF(BG97=1,'Lease Cycles'!$D$13*IF(INDEX('Lease Cycles'!$EF$13:$EL$13,1,BG95)=1,(1-'Lease Cycles'!$AJ$13)*INDEX('Lease Cycles'!$EM$13:$ES$13,1,BG95)+(1-'Lease Cycles'!$BE$13)*IF(BG96&lt;INDEX('Lease Cycles'!$FA$13:$FG$13,1,BG95),0,1-INDEX('Lease Cycles'!$EM$13:$ES$13,1,BG95)),IF(OR(INDEX('Lease Cycles'!$DY$13:$EE$13,1,BG95)=1,BG96&gt;0),1,1-INDEX('Lease Cycles'!$DD$13:$DJ$13,1,BG95))*((1-'Lease Cycles'!$AJ$13)*INDEX('Lease Cycles'!$FO$13:$FU$13,1,BG95)+(1-'Lease Cycles'!$BE$13)*(1-INDEX('Lease Cycles'!$FO$13:$FU$13,1,BG95)))),0)</f>
        <v>0.03015075376884422</v>
      </c>
      <c r="BH103" s="24">
        <f>IF(BH97=1,'Lease Cycles'!$D$13*IF(INDEX('Lease Cycles'!$EF$13:$EL$13,1,BH95)=1,(1-'Lease Cycles'!$AJ$13)*INDEX('Lease Cycles'!$EM$13:$ES$13,1,BH95)+(1-'Lease Cycles'!$BE$13)*IF(BH96&lt;INDEX('Lease Cycles'!$FA$13:$FG$13,1,BH95),0,1-INDEX('Lease Cycles'!$EM$13:$ES$13,1,BH95)),IF(OR(INDEX('Lease Cycles'!$DY$13:$EE$13,1,BH95)=1,BH96&gt;0),1,1-INDEX('Lease Cycles'!$DD$13:$DJ$13,1,BH95))*((1-'Lease Cycles'!$AJ$13)*INDEX('Lease Cycles'!$FO$13:$FU$13,1,BH95)+(1-'Lease Cycles'!$BE$13)*(1-INDEX('Lease Cycles'!$FO$13:$FU$13,1,BH95)))),0)</f>
        <v>0.03015075376884422</v>
      </c>
      <c r="BI103" s="24">
        <f>IF(BI97=1,'Lease Cycles'!$D$13*IF(INDEX('Lease Cycles'!$EF$13:$EL$13,1,BI95)=1,(1-'Lease Cycles'!$AJ$13)*INDEX('Lease Cycles'!$EM$13:$ES$13,1,BI95)+(1-'Lease Cycles'!$BE$13)*IF(BI96&lt;INDEX('Lease Cycles'!$FA$13:$FG$13,1,BI95),0,1-INDEX('Lease Cycles'!$EM$13:$ES$13,1,BI95)),IF(OR(INDEX('Lease Cycles'!$DY$13:$EE$13,1,BI95)=1,BI96&gt;0),1,1-INDEX('Lease Cycles'!$DD$13:$DJ$13,1,BI95))*((1-'Lease Cycles'!$AJ$13)*INDEX('Lease Cycles'!$FO$13:$FU$13,1,BI95)+(1-'Lease Cycles'!$BE$13)*(1-INDEX('Lease Cycles'!$FO$13:$FU$13,1,BI95)))),0)</f>
        <v>0.03015075376884422</v>
      </c>
      <c r="BJ103" s="24">
        <f>IF(BJ97=1,'Lease Cycles'!$D$13*IF(INDEX('Lease Cycles'!$EF$13:$EL$13,1,BJ95)=1,(1-'Lease Cycles'!$AJ$13)*INDEX('Lease Cycles'!$EM$13:$ES$13,1,BJ95)+(1-'Lease Cycles'!$BE$13)*IF(BJ96&lt;INDEX('Lease Cycles'!$FA$13:$FG$13,1,BJ95),0,1-INDEX('Lease Cycles'!$EM$13:$ES$13,1,BJ95)),IF(OR(INDEX('Lease Cycles'!$DY$13:$EE$13,1,BJ95)=1,BJ96&gt;0),1,1-INDEX('Lease Cycles'!$DD$13:$DJ$13,1,BJ95))*((1-'Lease Cycles'!$AJ$13)*INDEX('Lease Cycles'!$FO$13:$FU$13,1,BJ95)+(1-'Lease Cycles'!$BE$13)*(1-INDEX('Lease Cycles'!$FO$13:$FU$13,1,BJ95)))),0)</f>
        <v>0.03015075376884422</v>
      </c>
      <c r="BK103" s="24">
        <f>IF(BK97=1,'Lease Cycles'!$D$13*IF(INDEX('Lease Cycles'!$EF$13:$EL$13,1,BK95)=1,(1-'Lease Cycles'!$AJ$13)*INDEX('Lease Cycles'!$EM$13:$ES$13,1,BK95)+(1-'Lease Cycles'!$BE$13)*IF(BK96&lt;INDEX('Lease Cycles'!$FA$13:$FG$13,1,BK95),0,1-INDEX('Lease Cycles'!$EM$13:$ES$13,1,BK95)),IF(OR(INDEX('Lease Cycles'!$DY$13:$EE$13,1,BK95)=1,BK96&gt;0),1,1-INDEX('Lease Cycles'!$DD$13:$DJ$13,1,BK95))*((1-'Lease Cycles'!$AJ$13)*INDEX('Lease Cycles'!$FO$13:$FU$13,1,BK95)+(1-'Lease Cycles'!$BE$13)*(1-INDEX('Lease Cycles'!$FO$13:$FU$13,1,BK95)))),0)</f>
        <v>0</v>
      </c>
      <c r="BL103" s="24">
        <f>IF(BL97=1,'Lease Cycles'!$D$13*IF(INDEX('Lease Cycles'!$EF$13:$EL$13,1,BL95)=1,(1-'Lease Cycles'!$AJ$13)*INDEX('Lease Cycles'!$EM$13:$ES$13,1,BL95)+(1-'Lease Cycles'!$BE$13)*IF(BL96&lt;INDEX('Lease Cycles'!$FA$13:$FG$13,1,BL95),0,1-INDEX('Lease Cycles'!$EM$13:$ES$13,1,BL95)),IF(OR(INDEX('Lease Cycles'!$DY$13:$EE$13,1,BL95)=1,BL96&gt;0),1,1-INDEX('Lease Cycles'!$DD$13:$DJ$13,1,BL95))*((1-'Lease Cycles'!$AJ$13)*INDEX('Lease Cycles'!$FO$13:$FU$13,1,BL95)+(1-'Lease Cycles'!$BE$13)*(1-INDEX('Lease Cycles'!$FO$13:$FU$13,1,BL95)))),0)</f>
        <v>0.02412060301507529</v>
      </c>
      <c r="BM103" s="24">
        <f>IF(BM97=1,'Lease Cycles'!$D$13*IF(INDEX('Lease Cycles'!$EF$13:$EL$13,1,BM95)=1,(1-'Lease Cycles'!$AJ$13)*INDEX('Lease Cycles'!$EM$13:$ES$13,1,BM95)+(1-'Lease Cycles'!$BE$13)*IF(BM96&lt;INDEX('Lease Cycles'!$FA$13:$FG$13,1,BM95),0,1-INDEX('Lease Cycles'!$EM$13:$ES$13,1,BM95)),IF(OR(INDEX('Lease Cycles'!$DY$13:$EE$13,1,BM95)=1,BM96&gt;0),1,1-INDEX('Lease Cycles'!$DD$13:$DJ$13,1,BM95))*((1-'Lease Cycles'!$AJ$13)*INDEX('Lease Cycles'!$FO$13:$FU$13,1,BM95)+(1-'Lease Cycles'!$BE$13)*(1-INDEX('Lease Cycles'!$FO$13:$FU$13,1,BM95)))),0)</f>
        <v>0.03015075376884422</v>
      </c>
      <c r="BN103" s="24">
        <f>IF(BN97=1,'Lease Cycles'!$D$13*IF(INDEX('Lease Cycles'!$EF$13:$EL$13,1,BN95)=1,(1-'Lease Cycles'!$AJ$13)*INDEX('Lease Cycles'!$EM$13:$ES$13,1,BN95)+(1-'Lease Cycles'!$BE$13)*IF(BN96&lt;INDEX('Lease Cycles'!$FA$13:$FG$13,1,BN95),0,1-INDEX('Lease Cycles'!$EM$13:$ES$13,1,BN95)),IF(OR(INDEX('Lease Cycles'!$DY$13:$EE$13,1,BN95)=1,BN96&gt;0),1,1-INDEX('Lease Cycles'!$DD$13:$DJ$13,1,BN95))*((1-'Lease Cycles'!$AJ$13)*INDEX('Lease Cycles'!$FO$13:$FU$13,1,BN95)+(1-'Lease Cycles'!$BE$13)*(1-INDEX('Lease Cycles'!$FO$13:$FU$13,1,BN95)))),0)</f>
        <v>0.03015075376884422</v>
      </c>
      <c r="BO103" s="24">
        <f>IF(BO97=1,'Lease Cycles'!$D$13*IF(INDEX('Lease Cycles'!$EF$13:$EL$13,1,BO95)=1,(1-'Lease Cycles'!$AJ$13)*INDEX('Lease Cycles'!$EM$13:$ES$13,1,BO95)+(1-'Lease Cycles'!$BE$13)*IF(BO96&lt;INDEX('Lease Cycles'!$FA$13:$FG$13,1,BO95),0,1-INDEX('Lease Cycles'!$EM$13:$ES$13,1,BO95)),IF(OR(INDEX('Lease Cycles'!$DY$13:$EE$13,1,BO95)=1,BO96&gt;0),1,1-INDEX('Lease Cycles'!$DD$13:$DJ$13,1,BO95))*((1-'Lease Cycles'!$AJ$13)*INDEX('Lease Cycles'!$FO$13:$FU$13,1,BO95)+(1-'Lease Cycles'!$BE$13)*(1-INDEX('Lease Cycles'!$FO$13:$FU$13,1,BO95)))),0)</f>
        <v>0.03015075376884422</v>
      </c>
      <c r="BP103" s="24">
        <f>IF(BP97=1,'Lease Cycles'!$D$13*IF(INDEX('Lease Cycles'!$EF$13:$EL$13,1,BP95)=1,(1-'Lease Cycles'!$AJ$13)*INDEX('Lease Cycles'!$EM$13:$ES$13,1,BP95)+(1-'Lease Cycles'!$BE$13)*IF(BP96&lt;INDEX('Lease Cycles'!$FA$13:$FG$13,1,BP95),0,1-INDEX('Lease Cycles'!$EM$13:$ES$13,1,BP95)),IF(OR(INDEX('Lease Cycles'!$DY$13:$EE$13,1,BP95)=1,BP96&gt;0),1,1-INDEX('Lease Cycles'!$DD$13:$DJ$13,1,BP95))*((1-'Lease Cycles'!$AJ$13)*INDEX('Lease Cycles'!$FO$13:$FU$13,1,BP95)+(1-'Lease Cycles'!$BE$13)*(1-INDEX('Lease Cycles'!$FO$13:$FU$13,1,BP95)))),0)</f>
        <v>0.03015075376884422</v>
      </c>
      <c r="BQ103" s="24">
        <f>IF(BQ97=1,'Lease Cycles'!$D$13*IF(INDEX('Lease Cycles'!$EF$13:$EL$13,1,BQ95)=1,(1-'Lease Cycles'!$AJ$13)*INDEX('Lease Cycles'!$EM$13:$ES$13,1,BQ95)+(1-'Lease Cycles'!$BE$13)*IF(BQ96&lt;INDEX('Lease Cycles'!$FA$13:$FG$13,1,BQ95),0,1-INDEX('Lease Cycles'!$EM$13:$ES$13,1,BQ95)),IF(OR(INDEX('Lease Cycles'!$DY$13:$EE$13,1,BQ95)=1,BQ96&gt;0),1,1-INDEX('Lease Cycles'!$DD$13:$DJ$13,1,BQ95))*((1-'Lease Cycles'!$AJ$13)*INDEX('Lease Cycles'!$FO$13:$FU$13,1,BQ95)+(1-'Lease Cycles'!$BE$13)*(1-INDEX('Lease Cycles'!$FO$13:$FU$13,1,BQ95)))),0)</f>
        <v>0.03015075376884422</v>
      </c>
      <c r="BR103" s="24">
        <f>IF(BR97=1,'Lease Cycles'!$D$13*IF(INDEX('Lease Cycles'!$EF$13:$EL$13,1,BR95)=1,(1-'Lease Cycles'!$AJ$13)*INDEX('Lease Cycles'!$EM$13:$ES$13,1,BR95)+(1-'Lease Cycles'!$BE$13)*IF(BR96&lt;INDEX('Lease Cycles'!$FA$13:$FG$13,1,BR95),0,1-INDEX('Lease Cycles'!$EM$13:$ES$13,1,BR95)),IF(OR(INDEX('Lease Cycles'!$DY$13:$EE$13,1,BR95)=1,BR96&gt;0),1,1-INDEX('Lease Cycles'!$DD$13:$DJ$13,1,BR95))*((1-'Lease Cycles'!$AJ$13)*INDEX('Lease Cycles'!$FO$13:$FU$13,1,BR95)+(1-'Lease Cycles'!$BE$13)*(1-INDEX('Lease Cycles'!$FO$13:$FU$13,1,BR95)))),0)</f>
        <v>0.03015075376884422</v>
      </c>
      <c r="BS103" s="24">
        <f>IF(BS97=1,'Lease Cycles'!$D$13*IF(INDEX('Lease Cycles'!$EF$13:$EL$13,1,BS95)=1,(1-'Lease Cycles'!$AJ$13)*INDEX('Lease Cycles'!$EM$13:$ES$13,1,BS95)+(1-'Lease Cycles'!$BE$13)*IF(BS96&lt;INDEX('Lease Cycles'!$FA$13:$FG$13,1,BS95),0,1-INDEX('Lease Cycles'!$EM$13:$ES$13,1,BS95)),IF(OR(INDEX('Lease Cycles'!$DY$13:$EE$13,1,BS95)=1,BS96&gt;0),1,1-INDEX('Lease Cycles'!$DD$13:$DJ$13,1,BS95))*((1-'Lease Cycles'!$AJ$13)*INDEX('Lease Cycles'!$FO$13:$FU$13,1,BS95)+(1-'Lease Cycles'!$BE$13)*(1-INDEX('Lease Cycles'!$FO$13:$FU$13,1,BS95)))),0)</f>
        <v>0.03015075376884422</v>
      </c>
      <c r="BT103" s="24">
        <f>IF(BT97=1,'Lease Cycles'!$D$13*IF(INDEX('Lease Cycles'!$EF$13:$EL$13,1,BT95)=1,(1-'Lease Cycles'!$AJ$13)*INDEX('Lease Cycles'!$EM$13:$ES$13,1,BT95)+(1-'Lease Cycles'!$BE$13)*IF(BT96&lt;INDEX('Lease Cycles'!$FA$13:$FG$13,1,BT95),0,1-INDEX('Lease Cycles'!$EM$13:$ES$13,1,BT95)),IF(OR(INDEX('Lease Cycles'!$DY$13:$EE$13,1,BT95)=1,BT96&gt;0),1,1-INDEX('Lease Cycles'!$DD$13:$DJ$13,1,BT95))*((1-'Lease Cycles'!$AJ$13)*INDEX('Lease Cycles'!$FO$13:$FU$13,1,BT95)+(1-'Lease Cycles'!$BE$13)*(1-INDEX('Lease Cycles'!$FO$13:$FU$13,1,BT95)))),0)</f>
        <v>0.03015075376884422</v>
      </c>
      <c r="BU103" s="24">
        <f>IF(BU97=1,'Lease Cycles'!$D$13*IF(INDEX('Lease Cycles'!$EF$13:$EL$13,1,BU95)=1,(1-'Lease Cycles'!$AJ$13)*INDEX('Lease Cycles'!$EM$13:$ES$13,1,BU95)+(1-'Lease Cycles'!$BE$13)*IF(BU96&lt;INDEX('Lease Cycles'!$FA$13:$FG$13,1,BU95),0,1-INDEX('Lease Cycles'!$EM$13:$ES$13,1,BU95)),IF(OR(INDEX('Lease Cycles'!$DY$13:$EE$13,1,BU95)=1,BU96&gt;0),1,1-INDEX('Lease Cycles'!$DD$13:$DJ$13,1,BU95))*((1-'Lease Cycles'!$AJ$13)*INDEX('Lease Cycles'!$FO$13:$FU$13,1,BU95)+(1-'Lease Cycles'!$BE$13)*(1-INDEX('Lease Cycles'!$FO$13:$FU$13,1,BU95)))),0)</f>
        <v>0.03015075376884422</v>
      </c>
      <c r="BV103" s="24">
        <f>IF(BV97=1,'Lease Cycles'!$D$13*IF(INDEX('Lease Cycles'!$EF$13:$EL$13,1,BV95)=1,(1-'Lease Cycles'!$AJ$13)*INDEX('Lease Cycles'!$EM$13:$ES$13,1,BV95)+(1-'Lease Cycles'!$BE$13)*IF(BV96&lt;INDEX('Lease Cycles'!$FA$13:$FG$13,1,BV95),0,1-INDEX('Lease Cycles'!$EM$13:$ES$13,1,BV95)),IF(OR(INDEX('Lease Cycles'!$DY$13:$EE$13,1,BV95)=1,BV96&gt;0),1,1-INDEX('Lease Cycles'!$DD$13:$DJ$13,1,BV95))*((1-'Lease Cycles'!$AJ$13)*INDEX('Lease Cycles'!$FO$13:$FU$13,1,BV95)+(1-'Lease Cycles'!$BE$13)*(1-INDEX('Lease Cycles'!$FO$13:$FU$13,1,BV95)))),0)</f>
        <v>0.03015075376884422</v>
      </c>
      <c r="BW103" s="24">
        <f>IF(BW97=1,'Lease Cycles'!$D$13*IF(INDEX('Lease Cycles'!$EF$13:$EL$13,1,BW95)=1,(1-'Lease Cycles'!$AJ$13)*INDEX('Lease Cycles'!$EM$13:$ES$13,1,BW95)+(1-'Lease Cycles'!$BE$13)*IF(BW96&lt;INDEX('Lease Cycles'!$FA$13:$FG$13,1,BW95),0,1-INDEX('Lease Cycles'!$EM$13:$ES$13,1,BW95)),IF(OR(INDEX('Lease Cycles'!$DY$13:$EE$13,1,BW95)=1,BW96&gt;0),1,1-INDEX('Lease Cycles'!$DD$13:$DJ$13,1,BW95))*((1-'Lease Cycles'!$AJ$13)*INDEX('Lease Cycles'!$FO$13:$FU$13,1,BW95)+(1-'Lease Cycles'!$BE$13)*(1-INDEX('Lease Cycles'!$FO$13:$FU$13,1,BW95)))),0)</f>
        <v>0.03015075376884422</v>
      </c>
      <c r="BX103" s="24">
        <f>IF(BX97=1,'Lease Cycles'!$D$13*IF(INDEX('Lease Cycles'!$EF$13:$EL$13,1,BX95)=1,(1-'Lease Cycles'!$AJ$13)*INDEX('Lease Cycles'!$EM$13:$ES$13,1,BX95)+(1-'Lease Cycles'!$BE$13)*IF(BX96&lt;INDEX('Lease Cycles'!$FA$13:$FG$13,1,BX95),0,1-INDEX('Lease Cycles'!$EM$13:$ES$13,1,BX95)),IF(OR(INDEX('Lease Cycles'!$DY$13:$EE$13,1,BX95)=1,BX96&gt;0),1,1-INDEX('Lease Cycles'!$DD$13:$DJ$13,1,BX95))*((1-'Lease Cycles'!$AJ$13)*INDEX('Lease Cycles'!$FO$13:$FU$13,1,BX95)+(1-'Lease Cycles'!$BE$13)*(1-INDEX('Lease Cycles'!$FO$13:$FU$13,1,BX95)))),0)</f>
        <v>0.03015075376884422</v>
      </c>
      <c r="BY103" s="24">
        <f>IF(BY97=1,'Lease Cycles'!$D$13*IF(INDEX('Lease Cycles'!$EF$13:$EL$13,1,BY95)=1,(1-'Lease Cycles'!$AJ$13)*INDEX('Lease Cycles'!$EM$13:$ES$13,1,BY95)+(1-'Lease Cycles'!$BE$13)*IF(BY96&lt;INDEX('Lease Cycles'!$FA$13:$FG$13,1,BY95),0,1-INDEX('Lease Cycles'!$EM$13:$ES$13,1,BY95)),IF(OR(INDEX('Lease Cycles'!$DY$13:$EE$13,1,BY95)=1,BY96&gt;0),1,1-INDEX('Lease Cycles'!$DD$13:$DJ$13,1,BY95))*((1-'Lease Cycles'!$AJ$13)*INDEX('Lease Cycles'!$FO$13:$FU$13,1,BY95)+(1-'Lease Cycles'!$BE$13)*(1-INDEX('Lease Cycles'!$FO$13:$FU$13,1,BY95)))),0)</f>
        <v>0.03015075376884422</v>
      </c>
      <c r="BZ103" s="24">
        <f>IF(BZ97=1,'Lease Cycles'!$D$13*IF(INDEX('Lease Cycles'!$EF$13:$EL$13,1,BZ95)=1,(1-'Lease Cycles'!$AJ$13)*INDEX('Lease Cycles'!$EM$13:$ES$13,1,BZ95)+(1-'Lease Cycles'!$BE$13)*IF(BZ96&lt;INDEX('Lease Cycles'!$FA$13:$FG$13,1,BZ95),0,1-INDEX('Lease Cycles'!$EM$13:$ES$13,1,BZ95)),IF(OR(INDEX('Lease Cycles'!$DY$13:$EE$13,1,BZ95)=1,BZ96&gt;0),1,1-INDEX('Lease Cycles'!$DD$13:$DJ$13,1,BZ95))*((1-'Lease Cycles'!$AJ$13)*INDEX('Lease Cycles'!$FO$13:$FU$13,1,BZ95)+(1-'Lease Cycles'!$BE$13)*(1-INDEX('Lease Cycles'!$FO$13:$FU$13,1,BZ95)))),0)</f>
        <v>0.03015075376884422</v>
      </c>
      <c r="CA103" s="24">
        <f>IF(CA97=1,'Lease Cycles'!$D$13*IF(INDEX('Lease Cycles'!$EF$13:$EL$13,1,CA95)=1,(1-'Lease Cycles'!$AJ$13)*INDEX('Lease Cycles'!$EM$13:$ES$13,1,CA95)+(1-'Lease Cycles'!$BE$13)*IF(CA96&lt;INDEX('Lease Cycles'!$FA$13:$FG$13,1,CA95),0,1-INDEX('Lease Cycles'!$EM$13:$ES$13,1,CA95)),IF(OR(INDEX('Lease Cycles'!$DY$13:$EE$13,1,CA95)=1,CA96&gt;0),1,1-INDEX('Lease Cycles'!$DD$13:$DJ$13,1,CA95))*((1-'Lease Cycles'!$AJ$13)*INDEX('Lease Cycles'!$FO$13:$FU$13,1,CA95)+(1-'Lease Cycles'!$BE$13)*(1-INDEX('Lease Cycles'!$FO$13:$FU$13,1,CA95)))),0)</f>
        <v>0.03015075376884422</v>
      </c>
      <c r="CB103" s="24">
        <f>IF(CB97=1,'Lease Cycles'!$D$13*IF(INDEX('Lease Cycles'!$EF$13:$EL$13,1,CB95)=1,(1-'Lease Cycles'!$AJ$13)*INDEX('Lease Cycles'!$EM$13:$ES$13,1,CB95)+(1-'Lease Cycles'!$BE$13)*IF(CB96&lt;INDEX('Lease Cycles'!$FA$13:$FG$13,1,CB95),0,1-INDEX('Lease Cycles'!$EM$13:$ES$13,1,CB95)),IF(OR(INDEX('Lease Cycles'!$DY$13:$EE$13,1,CB95)=1,CB96&gt;0),1,1-INDEX('Lease Cycles'!$DD$13:$DJ$13,1,CB95))*((1-'Lease Cycles'!$AJ$13)*INDEX('Lease Cycles'!$FO$13:$FU$13,1,CB95)+(1-'Lease Cycles'!$BE$13)*(1-INDEX('Lease Cycles'!$FO$13:$FU$13,1,CB95)))),0)</f>
        <v>0.03015075376884422</v>
      </c>
      <c r="CC103" s="24">
        <f>IF(CC97=1,'Lease Cycles'!$D$13*IF(INDEX('Lease Cycles'!$EF$13:$EL$13,1,CC95)=1,(1-'Lease Cycles'!$AJ$13)*INDEX('Lease Cycles'!$EM$13:$ES$13,1,CC95)+(1-'Lease Cycles'!$BE$13)*IF(CC96&lt;INDEX('Lease Cycles'!$FA$13:$FG$13,1,CC95),0,1-INDEX('Lease Cycles'!$EM$13:$ES$13,1,CC95)),IF(OR(INDEX('Lease Cycles'!$DY$13:$EE$13,1,CC95)=1,CC96&gt;0),1,1-INDEX('Lease Cycles'!$DD$13:$DJ$13,1,CC95))*((1-'Lease Cycles'!$AJ$13)*INDEX('Lease Cycles'!$FO$13:$FU$13,1,CC95)+(1-'Lease Cycles'!$BE$13)*(1-INDEX('Lease Cycles'!$FO$13:$FU$13,1,CC95)))),0)</f>
        <v>0.03015075376884422</v>
      </c>
      <c r="CD103" s="24">
        <f>IF(CD97=1,'Lease Cycles'!$D$13*IF(INDEX('Lease Cycles'!$EF$13:$EL$13,1,CD95)=1,(1-'Lease Cycles'!$AJ$13)*INDEX('Lease Cycles'!$EM$13:$ES$13,1,CD95)+(1-'Lease Cycles'!$BE$13)*IF(CD96&lt;INDEX('Lease Cycles'!$FA$13:$FG$13,1,CD95),0,1-INDEX('Lease Cycles'!$EM$13:$ES$13,1,CD95)),IF(OR(INDEX('Lease Cycles'!$DY$13:$EE$13,1,CD95)=1,CD96&gt;0),1,1-INDEX('Lease Cycles'!$DD$13:$DJ$13,1,CD95))*((1-'Lease Cycles'!$AJ$13)*INDEX('Lease Cycles'!$FO$13:$FU$13,1,CD95)+(1-'Lease Cycles'!$BE$13)*(1-INDEX('Lease Cycles'!$FO$13:$FU$13,1,CD95)))),0)</f>
        <v>0.03015075376884422</v>
      </c>
      <c r="CE103" s="24">
        <f>IF(CE97=1,'Lease Cycles'!$D$13*IF(INDEX('Lease Cycles'!$EF$13:$EL$13,1,CE95)=1,(1-'Lease Cycles'!$AJ$13)*INDEX('Lease Cycles'!$EM$13:$ES$13,1,CE95)+(1-'Lease Cycles'!$BE$13)*IF(CE96&lt;INDEX('Lease Cycles'!$FA$13:$FG$13,1,CE95),0,1-INDEX('Lease Cycles'!$EM$13:$ES$13,1,CE95)),IF(OR(INDEX('Lease Cycles'!$DY$13:$EE$13,1,CE95)=1,CE96&gt;0),1,1-INDEX('Lease Cycles'!$DD$13:$DJ$13,1,CE95))*((1-'Lease Cycles'!$AJ$13)*INDEX('Lease Cycles'!$FO$13:$FU$13,1,CE95)+(1-'Lease Cycles'!$BE$13)*(1-INDEX('Lease Cycles'!$FO$13:$FU$13,1,CE95)))),0)</f>
        <v>0.03015075376884422</v>
      </c>
      <c r="CF103" s="24">
        <f>IF(CF97=1,'Lease Cycles'!$D$13*IF(INDEX('Lease Cycles'!$EF$13:$EL$13,1,CF95)=1,(1-'Lease Cycles'!$AJ$13)*INDEX('Lease Cycles'!$EM$13:$ES$13,1,CF95)+(1-'Lease Cycles'!$BE$13)*IF(CF96&lt;INDEX('Lease Cycles'!$FA$13:$FG$13,1,CF95),0,1-INDEX('Lease Cycles'!$EM$13:$ES$13,1,CF95)),IF(OR(INDEX('Lease Cycles'!$DY$13:$EE$13,1,CF95)=1,CF96&gt;0),1,1-INDEX('Lease Cycles'!$DD$13:$DJ$13,1,CF95))*((1-'Lease Cycles'!$AJ$13)*INDEX('Lease Cycles'!$FO$13:$FU$13,1,CF95)+(1-'Lease Cycles'!$BE$13)*(1-INDEX('Lease Cycles'!$FO$13:$FU$13,1,CF95)))),0)</f>
        <v>0.03015075376884422</v>
      </c>
      <c r="CG103" s="24">
        <f>IF(CG97=1,'Lease Cycles'!$D$13*IF(INDEX('Lease Cycles'!$EF$13:$EL$13,1,CG95)=1,(1-'Lease Cycles'!$AJ$13)*INDEX('Lease Cycles'!$EM$13:$ES$13,1,CG95)+(1-'Lease Cycles'!$BE$13)*IF(CG96&lt;INDEX('Lease Cycles'!$FA$13:$FG$13,1,CG95),0,1-INDEX('Lease Cycles'!$EM$13:$ES$13,1,CG95)),IF(OR(INDEX('Lease Cycles'!$DY$13:$EE$13,1,CG95)=1,CG96&gt;0),1,1-INDEX('Lease Cycles'!$DD$13:$DJ$13,1,CG95))*((1-'Lease Cycles'!$AJ$13)*INDEX('Lease Cycles'!$FO$13:$FU$13,1,CG95)+(1-'Lease Cycles'!$BE$13)*(1-INDEX('Lease Cycles'!$FO$13:$FU$13,1,CG95)))),0)</f>
        <v>0.03015075376884422</v>
      </c>
      <c r="CH103" s="24">
        <f>IF(CH97=1,'Lease Cycles'!$D$13*IF(INDEX('Lease Cycles'!$EF$13:$EL$13,1,CH95)=1,(1-'Lease Cycles'!$AJ$13)*INDEX('Lease Cycles'!$EM$13:$ES$13,1,CH95)+(1-'Lease Cycles'!$BE$13)*IF(CH96&lt;INDEX('Lease Cycles'!$FA$13:$FG$13,1,CH95),0,1-INDEX('Lease Cycles'!$EM$13:$ES$13,1,CH95)),IF(OR(INDEX('Lease Cycles'!$DY$13:$EE$13,1,CH95)=1,CH96&gt;0),1,1-INDEX('Lease Cycles'!$DD$13:$DJ$13,1,CH95))*((1-'Lease Cycles'!$AJ$13)*INDEX('Lease Cycles'!$FO$13:$FU$13,1,CH95)+(1-'Lease Cycles'!$BE$13)*(1-INDEX('Lease Cycles'!$FO$13:$FU$13,1,CH95)))),0)</f>
        <v>0.03015075376884422</v>
      </c>
      <c r="CI103" s="24">
        <f>IF(CI97=1,'Lease Cycles'!$D$13*IF(INDEX('Lease Cycles'!$EF$13:$EL$13,1,CI95)=1,(1-'Lease Cycles'!$AJ$13)*INDEX('Lease Cycles'!$EM$13:$ES$13,1,CI95)+(1-'Lease Cycles'!$BE$13)*IF(CI96&lt;INDEX('Lease Cycles'!$FA$13:$FG$13,1,CI95),0,1-INDEX('Lease Cycles'!$EM$13:$ES$13,1,CI95)),IF(OR(INDEX('Lease Cycles'!$DY$13:$EE$13,1,CI95)=1,CI96&gt;0),1,1-INDEX('Lease Cycles'!$DD$13:$DJ$13,1,CI95))*((1-'Lease Cycles'!$AJ$13)*INDEX('Lease Cycles'!$FO$13:$FU$13,1,CI95)+(1-'Lease Cycles'!$BE$13)*(1-INDEX('Lease Cycles'!$FO$13:$FU$13,1,CI95)))),0)</f>
        <v>0.03015075376884422</v>
      </c>
      <c r="CJ103" s="24">
        <f>IF(CJ97=1,'Lease Cycles'!$D$13*IF(INDEX('Lease Cycles'!$EF$13:$EL$13,1,CJ95)=1,(1-'Lease Cycles'!$AJ$13)*INDEX('Lease Cycles'!$EM$13:$ES$13,1,CJ95)+(1-'Lease Cycles'!$BE$13)*IF(CJ96&lt;INDEX('Lease Cycles'!$FA$13:$FG$13,1,CJ95),0,1-INDEX('Lease Cycles'!$EM$13:$ES$13,1,CJ95)),IF(OR(INDEX('Lease Cycles'!$DY$13:$EE$13,1,CJ95)=1,CJ96&gt;0),1,1-INDEX('Lease Cycles'!$DD$13:$DJ$13,1,CJ95))*((1-'Lease Cycles'!$AJ$13)*INDEX('Lease Cycles'!$FO$13:$FU$13,1,CJ95)+(1-'Lease Cycles'!$BE$13)*(1-INDEX('Lease Cycles'!$FO$13:$FU$13,1,CJ95)))),0)</f>
        <v>0.03015075376884422</v>
      </c>
      <c r="CK103" s="24">
        <f>IF(CK97=1,'Lease Cycles'!$D$13*IF(INDEX('Lease Cycles'!$EF$13:$EL$13,1,CK95)=1,(1-'Lease Cycles'!$AJ$13)*INDEX('Lease Cycles'!$EM$13:$ES$13,1,CK95)+(1-'Lease Cycles'!$BE$13)*IF(CK96&lt;INDEX('Lease Cycles'!$FA$13:$FG$13,1,CK95),0,1-INDEX('Lease Cycles'!$EM$13:$ES$13,1,CK95)),IF(OR(INDEX('Lease Cycles'!$DY$13:$EE$13,1,CK95)=1,CK96&gt;0),1,1-INDEX('Lease Cycles'!$DD$13:$DJ$13,1,CK95))*((1-'Lease Cycles'!$AJ$13)*INDEX('Lease Cycles'!$FO$13:$FU$13,1,CK95)+(1-'Lease Cycles'!$BE$13)*(1-INDEX('Lease Cycles'!$FO$13:$FU$13,1,CK95)))),0)</f>
        <v>0.03015075376884422</v>
      </c>
      <c r="CL103" s="24">
        <f>IF(CL97=1,'Lease Cycles'!$D$13*IF(INDEX('Lease Cycles'!$EF$13:$EL$13,1,CL95)=1,(1-'Lease Cycles'!$AJ$13)*INDEX('Lease Cycles'!$EM$13:$ES$13,1,CL95)+(1-'Lease Cycles'!$BE$13)*IF(CL96&lt;INDEX('Lease Cycles'!$FA$13:$FG$13,1,CL95),0,1-INDEX('Lease Cycles'!$EM$13:$ES$13,1,CL95)),IF(OR(INDEX('Lease Cycles'!$DY$13:$EE$13,1,CL95)=1,CL96&gt;0),1,1-INDEX('Lease Cycles'!$DD$13:$DJ$13,1,CL95))*((1-'Lease Cycles'!$AJ$13)*INDEX('Lease Cycles'!$FO$13:$FU$13,1,CL95)+(1-'Lease Cycles'!$BE$13)*(1-INDEX('Lease Cycles'!$FO$13:$FU$13,1,CL95)))),0)</f>
        <v>0.03015075376884422</v>
      </c>
      <c r="CM103" s="24">
        <f>IF(CM97=1,'Lease Cycles'!$D$13*IF(INDEX('Lease Cycles'!$EF$13:$EL$13,1,CM95)=1,(1-'Lease Cycles'!$AJ$13)*INDEX('Lease Cycles'!$EM$13:$ES$13,1,CM95)+(1-'Lease Cycles'!$BE$13)*IF(CM96&lt;INDEX('Lease Cycles'!$FA$13:$FG$13,1,CM95),0,1-INDEX('Lease Cycles'!$EM$13:$ES$13,1,CM95)),IF(OR(INDEX('Lease Cycles'!$DY$13:$EE$13,1,CM95)=1,CM96&gt;0),1,1-INDEX('Lease Cycles'!$DD$13:$DJ$13,1,CM95))*((1-'Lease Cycles'!$AJ$13)*INDEX('Lease Cycles'!$FO$13:$FU$13,1,CM95)+(1-'Lease Cycles'!$BE$13)*(1-INDEX('Lease Cycles'!$FO$13:$FU$13,1,CM95)))),0)</f>
        <v>0.03015075376884422</v>
      </c>
      <c r="CN103" s="24">
        <f>IF(CN97=1,'Lease Cycles'!$D$13*IF(INDEX('Lease Cycles'!$EF$13:$EL$13,1,CN95)=1,(1-'Lease Cycles'!$AJ$13)*INDEX('Lease Cycles'!$EM$13:$ES$13,1,CN95)+(1-'Lease Cycles'!$BE$13)*IF(CN96&lt;INDEX('Lease Cycles'!$FA$13:$FG$13,1,CN95),0,1-INDEX('Lease Cycles'!$EM$13:$ES$13,1,CN95)),IF(OR(INDEX('Lease Cycles'!$DY$13:$EE$13,1,CN95)=1,CN96&gt;0),1,1-INDEX('Lease Cycles'!$DD$13:$DJ$13,1,CN95))*((1-'Lease Cycles'!$AJ$13)*INDEX('Lease Cycles'!$FO$13:$FU$13,1,CN95)+(1-'Lease Cycles'!$BE$13)*(1-INDEX('Lease Cycles'!$FO$13:$FU$13,1,CN95)))),0)</f>
        <v>0.03015075376884422</v>
      </c>
      <c r="CO103" s="24">
        <f>IF(CO97=1,'Lease Cycles'!$D$13*IF(INDEX('Lease Cycles'!$EF$13:$EL$13,1,CO95)=1,(1-'Lease Cycles'!$AJ$13)*INDEX('Lease Cycles'!$EM$13:$ES$13,1,CO95)+(1-'Lease Cycles'!$BE$13)*IF(CO96&lt;INDEX('Lease Cycles'!$FA$13:$FG$13,1,CO95),0,1-INDEX('Lease Cycles'!$EM$13:$ES$13,1,CO95)),IF(OR(INDEX('Lease Cycles'!$DY$13:$EE$13,1,CO95)=1,CO96&gt;0),1,1-INDEX('Lease Cycles'!$DD$13:$DJ$13,1,CO95))*((1-'Lease Cycles'!$AJ$13)*INDEX('Lease Cycles'!$FO$13:$FU$13,1,CO95)+(1-'Lease Cycles'!$BE$13)*(1-INDEX('Lease Cycles'!$FO$13:$FU$13,1,CO95)))),0)</f>
        <v>0.03015075376884422</v>
      </c>
      <c r="CP103" s="24">
        <f>IF(CP97=1,'Lease Cycles'!$D$13*IF(INDEX('Lease Cycles'!$EF$13:$EL$13,1,CP95)=1,(1-'Lease Cycles'!$AJ$13)*INDEX('Lease Cycles'!$EM$13:$ES$13,1,CP95)+(1-'Lease Cycles'!$BE$13)*IF(CP96&lt;INDEX('Lease Cycles'!$FA$13:$FG$13,1,CP95),0,1-INDEX('Lease Cycles'!$EM$13:$ES$13,1,CP95)),IF(OR(INDEX('Lease Cycles'!$DY$13:$EE$13,1,CP95)=1,CP96&gt;0),1,1-INDEX('Lease Cycles'!$DD$13:$DJ$13,1,CP95))*((1-'Lease Cycles'!$AJ$13)*INDEX('Lease Cycles'!$FO$13:$FU$13,1,CP95)+(1-'Lease Cycles'!$BE$13)*(1-INDEX('Lease Cycles'!$FO$13:$FU$13,1,CP95)))),0)</f>
        <v>0.03015075376884422</v>
      </c>
      <c r="CQ103" s="24">
        <f>IF(CQ97=1,'Lease Cycles'!$D$13*IF(INDEX('Lease Cycles'!$EF$13:$EL$13,1,CQ95)=1,(1-'Lease Cycles'!$AJ$13)*INDEX('Lease Cycles'!$EM$13:$ES$13,1,CQ95)+(1-'Lease Cycles'!$BE$13)*IF(CQ96&lt;INDEX('Lease Cycles'!$FA$13:$FG$13,1,CQ95),0,1-INDEX('Lease Cycles'!$EM$13:$ES$13,1,CQ95)),IF(OR(INDEX('Lease Cycles'!$DY$13:$EE$13,1,CQ95)=1,CQ96&gt;0),1,1-INDEX('Lease Cycles'!$DD$13:$DJ$13,1,CQ95))*((1-'Lease Cycles'!$AJ$13)*INDEX('Lease Cycles'!$FO$13:$FU$13,1,CQ95)+(1-'Lease Cycles'!$BE$13)*(1-INDEX('Lease Cycles'!$FO$13:$FU$13,1,CQ95)))),0)</f>
        <v>0.03015075376884422</v>
      </c>
      <c r="CR103" s="24">
        <f>IF(CR97=1,'Lease Cycles'!$D$13*IF(INDEX('Lease Cycles'!$EF$13:$EL$13,1,CR95)=1,(1-'Lease Cycles'!$AJ$13)*INDEX('Lease Cycles'!$EM$13:$ES$13,1,CR95)+(1-'Lease Cycles'!$BE$13)*IF(CR96&lt;INDEX('Lease Cycles'!$FA$13:$FG$13,1,CR95),0,1-INDEX('Lease Cycles'!$EM$13:$ES$13,1,CR95)),IF(OR(INDEX('Lease Cycles'!$DY$13:$EE$13,1,CR95)=1,CR96&gt;0),1,1-INDEX('Lease Cycles'!$DD$13:$DJ$13,1,CR95))*((1-'Lease Cycles'!$AJ$13)*INDEX('Lease Cycles'!$FO$13:$FU$13,1,CR95)+(1-'Lease Cycles'!$BE$13)*(1-INDEX('Lease Cycles'!$FO$13:$FU$13,1,CR95)))),0)</f>
        <v>0.03015075376884422</v>
      </c>
      <c r="CS103" s="24">
        <f>IF(CS97=1,'Lease Cycles'!$D$13*IF(INDEX('Lease Cycles'!$EF$13:$EL$13,1,CS95)=1,(1-'Lease Cycles'!$AJ$13)*INDEX('Lease Cycles'!$EM$13:$ES$13,1,CS95)+(1-'Lease Cycles'!$BE$13)*IF(CS96&lt;INDEX('Lease Cycles'!$FA$13:$FG$13,1,CS95),0,1-INDEX('Lease Cycles'!$EM$13:$ES$13,1,CS95)),IF(OR(INDEX('Lease Cycles'!$DY$13:$EE$13,1,CS95)=1,CS96&gt;0),1,1-INDEX('Lease Cycles'!$DD$13:$DJ$13,1,CS95))*((1-'Lease Cycles'!$AJ$13)*INDEX('Lease Cycles'!$FO$13:$FU$13,1,CS95)+(1-'Lease Cycles'!$BE$13)*(1-INDEX('Lease Cycles'!$FO$13:$FU$13,1,CS95)))),0)</f>
        <v>0.03015075376884422</v>
      </c>
      <c r="CT103" s="24">
        <f>IF(CT97=1,'Lease Cycles'!$D$13*IF(INDEX('Lease Cycles'!$EF$13:$EL$13,1,CT95)=1,(1-'Lease Cycles'!$AJ$13)*INDEX('Lease Cycles'!$EM$13:$ES$13,1,CT95)+(1-'Lease Cycles'!$BE$13)*IF(CT96&lt;INDEX('Lease Cycles'!$FA$13:$FG$13,1,CT95),0,1-INDEX('Lease Cycles'!$EM$13:$ES$13,1,CT95)),IF(OR(INDEX('Lease Cycles'!$DY$13:$EE$13,1,CT95)=1,CT96&gt;0),1,1-INDEX('Lease Cycles'!$DD$13:$DJ$13,1,CT95))*((1-'Lease Cycles'!$AJ$13)*INDEX('Lease Cycles'!$FO$13:$FU$13,1,CT95)+(1-'Lease Cycles'!$BE$13)*(1-INDEX('Lease Cycles'!$FO$13:$FU$13,1,CT95)))),0)</f>
        <v>0.03015075376884422</v>
      </c>
      <c r="CU103" s="24">
        <f>IF(CU97=1,'Lease Cycles'!$D$13*IF(INDEX('Lease Cycles'!$EF$13:$EL$13,1,CU95)=1,(1-'Lease Cycles'!$AJ$13)*INDEX('Lease Cycles'!$EM$13:$ES$13,1,CU95)+(1-'Lease Cycles'!$BE$13)*IF(CU96&lt;INDEX('Lease Cycles'!$FA$13:$FG$13,1,CU95),0,1-INDEX('Lease Cycles'!$EM$13:$ES$13,1,CU95)),IF(OR(INDEX('Lease Cycles'!$DY$13:$EE$13,1,CU95)=1,CU96&gt;0),1,1-INDEX('Lease Cycles'!$DD$13:$DJ$13,1,CU95))*((1-'Lease Cycles'!$AJ$13)*INDEX('Lease Cycles'!$FO$13:$FU$13,1,CU95)+(1-'Lease Cycles'!$BE$13)*(1-INDEX('Lease Cycles'!$FO$13:$FU$13,1,CU95)))),0)</f>
        <v>0.03015075376884422</v>
      </c>
      <c r="CV103" s="24">
        <f>IF(CV97=1,'Lease Cycles'!$D$13*IF(INDEX('Lease Cycles'!$EF$13:$EL$13,1,CV95)=1,(1-'Lease Cycles'!$AJ$13)*INDEX('Lease Cycles'!$EM$13:$ES$13,1,CV95)+(1-'Lease Cycles'!$BE$13)*IF(CV96&lt;INDEX('Lease Cycles'!$FA$13:$FG$13,1,CV95),0,1-INDEX('Lease Cycles'!$EM$13:$ES$13,1,CV95)),IF(OR(INDEX('Lease Cycles'!$DY$13:$EE$13,1,CV95)=1,CV96&gt;0),1,1-INDEX('Lease Cycles'!$DD$13:$DJ$13,1,CV95))*((1-'Lease Cycles'!$AJ$13)*INDEX('Lease Cycles'!$FO$13:$FU$13,1,CV95)+(1-'Lease Cycles'!$BE$13)*(1-INDEX('Lease Cycles'!$FO$13:$FU$13,1,CV95)))),0)</f>
        <v>0.03015075376884422</v>
      </c>
      <c r="CW103" s="24">
        <f>IF(CW97=1,'Lease Cycles'!$D$13*IF(INDEX('Lease Cycles'!$EF$13:$EL$13,1,CW95)=1,(1-'Lease Cycles'!$AJ$13)*INDEX('Lease Cycles'!$EM$13:$ES$13,1,CW95)+(1-'Lease Cycles'!$BE$13)*IF(CW96&lt;INDEX('Lease Cycles'!$FA$13:$FG$13,1,CW95),0,1-INDEX('Lease Cycles'!$EM$13:$ES$13,1,CW95)),IF(OR(INDEX('Lease Cycles'!$DY$13:$EE$13,1,CW95)=1,CW96&gt;0),1,1-INDEX('Lease Cycles'!$DD$13:$DJ$13,1,CW95))*((1-'Lease Cycles'!$AJ$13)*INDEX('Lease Cycles'!$FO$13:$FU$13,1,CW95)+(1-'Lease Cycles'!$BE$13)*(1-INDEX('Lease Cycles'!$FO$13:$FU$13,1,CW95)))),0)</f>
        <v>0.03015075376884422</v>
      </c>
      <c r="CX103" s="24">
        <f>IF(CX97=1,'Lease Cycles'!$D$13*IF(INDEX('Lease Cycles'!$EF$13:$EL$13,1,CX95)=1,(1-'Lease Cycles'!$AJ$13)*INDEX('Lease Cycles'!$EM$13:$ES$13,1,CX95)+(1-'Lease Cycles'!$BE$13)*IF(CX96&lt;INDEX('Lease Cycles'!$FA$13:$FG$13,1,CX95),0,1-INDEX('Lease Cycles'!$EM$13:$ES$13,1,CX95)),IF(OR(INDEX('Lease Cycles'!$DY$13:$EE$13,1,CX95)=1,CX96&gt;0),1,1-INDEX('Lease Cycles'!$DD$13:$DJ$13,1,CX95))*((1-'Lease Cycles'!$AJ$13)*INDEX('Lease Cycles'!$FO$13:$FU$13,1,CX95)+(1-'Lease Cycles'!$BE$13)*(1-INDEX('Lease Cycles'!$FO$13:$FU$13,1,CX95)))),0)</f>
        <v>0.03015075376884422</v>
      </c>
      <c r="CY103" s="24">
        <f>IF(CY97=1,'Lease Cycles'!$D$13*IF(INDEX('Lease Cycles'!$EF$13:$EL$13,1,CY95)=1,(1-'Lease Cycles'!$AJ$13)*INDEX('Lease Cycles'!$EM$13:$ES$13,1,CY95)+(1-'Lease Cycles'!$BE$13)*IF(CY96&lt;INDEX('Lease Cycles'!$FA$13:$FG$13,1,CY95),0,1-INDEX('Lease Cycles'!$EM$13:$ES$13,1,CY95)),IF(OR(INDEX('Lease Cycles'!$DY$13:$EE$13,1,CY95)=1,CY96&gt;0),1,1-INDEX('Lease Cycles'!$DD$13:$DJ$13,1,CY95))*((1-'Lease Cycles'!$AJ$13)*INDEX('Lease Cycles'!$FO$13:$FU$13,1,CY95)+(1-'Lease Cycles'!$BE$13)*(1-INDEX('Lease Cycles'!$FO$13:$FU$13,1,CY95)))),0)</f>
        <v>0.03015075376884422</v>
      </c>
      <c r="CZ103" s="24">
        <f>IF(CZ97=1,'Lease Cycles'!$D$13*IF(INDEX('Lease Cycles'!$EF$13:$EL$13,1,CZ95)=1,(1-'Lease Cycles'!$AJ$13)*INDEX('Lease Cycles'!$EM$13:$ES$13,1,CZ95)+(1-'Lease Cycles'!$BE$13)*IF(CZ96&lt;INDEX('Lease Cycles'!$FA$13:$FG$13,1,CZ95),0,1-INDEX('Lease Cycles'!$EM$13:$ES$13,1,CZ95)),IF(OR(INDEX('Lease Cycles'!$DY$13:$EE$13,1,CZ95)=1,CZ96&gt;0),1,1-INDEX('Lease Cycles'!$DD$13:$DJ$13,1,CZ95))*((1-'Lease Cycles'!$AJ$13)*INDEX('Lease Cycles'!$FO$13:$FU$13,1,CZ95)+(1-'Lease Cycles'!$BE$13)*(1-INDEX('Lease Cycles'!$FO$13:$FU$13,1,CZ95)))),0)</f>
        <v>0.03015075376884422</v>
      </c>
      <c r="DA103" s="24">
        <f>IF(DA97=1,'Lease Cycles'!$D$13*IF(INDEX('Lease Cycles'!$EF$13:$EL$13,1,DA95)=1,(1-'Lease Cycles'!$AJ$13)*INDEX('Lease Cycles'!$EM$13:$ES$13,1,DA95)+(1-'Lease Cycles'!$BE$13)*IF(DA96&lt;INDEX('Lease Cycles'!$FA$13:$FG$13,1,DA95),0,1-INDEX('Lease Cycles'!$EM$13:$ES$13,1,DA95)),IF(OR(INDEX('Lease Cycles'!$DY$13:$EE$13,1,DA95)=1,DA96&gt;0),1,1-INDEX('Lease Cycles'!$DD$13:$DJ$13,1,DA95))*((1-'Lease Cycles'!$AJ$13)*INDEX('Lease Cycles'!$FO$13:$FU$13,1,DA95)+(1-'Lease Cycles'!$BE$13)*(1-INDEX('Lease Cycles'!$FO$13:$FU$13,1,DA95)))),0)</f>
        <v>0.03015075376884422</v>
      </c>
      <c r="DB103" s="24">
        <f>IF(DB97=1,'Lease Cycles'!$D$13*IF(INDEX('Lease Cycles'!$EF$13:$EL$13,1,DB95)=1,(1-'Lease Cycles'!$AJ$13)*INDEX('Lease Cycles'!$EM$13:$ES$13,1,DB95)+(1-'Lease Cycles'!$BE$13)*IF(DB96&lt;INDEX('Lease Cycles'!$FA$13:$FG$13,1,DB95),0,1-INDEX('Lease Cycles'!$EM$13:$ES$13,1,DB95)),IF(OR(INDEX('Lease Cycles'!$DY$13:$EE$13,1,DB95)=1,DB96&gt;0),1,1-INDEX('Lease Cycles'!$DD$13:$DJ$13,1,DB95))*((1-'Lease Cycles'!$AJ$13)*INDEX('Lease Cycles'!$FO$13:$FU$13,1,DB95)+(1-'Lease Cycles'!$BE$13)*(1-INDEX('Lease Cycles'!$FO$13:$FU$13,1,DB95)))),0)</f>
        <v>0.03015075376884422</v>
      </c>
      <c r="DC103" s="24">
        <f>IF(DC97=1,'Lease Cycles'!$D$13*IF(INDEX('Lease Cycles'!$EF$13:$EL$13,1,DC95)=1,(1-'Lease Cycles'!$AJ$13)*INDEX('Lease Cycles'!$EM$13:$ES$13,1,DC95)+(1-'Lease Cycles'!$BE$13)*IF(DC96&lt;INDEX('Lease Cycles'!$FA$13:$FG$13,1,DC95),0,1-INDEX('Lease Cycles'!$EM$13:$ES$13,1,DC95)),IF(OR(INDEX('Lease Cycles'!$DY$13:$EE$13,1,DC95)=1,DC96&gt;0),1,1-INDEX('Lease Cycles'!$DD$13:$DJ$13,1,DC95))*((1-'Lease Cycles'!$AJ$13)*INDEX('Lease Cycles'!$FO$13:$FU$13,1,DC95)+(1-'Lease Cycles'!$BE$13)*(1-INDEX('Lease Cycles'!$FO$13:$FU$13,1,DC95)))),0)</f>
        <v>0.03015075376884422</v>
      </c>
      <c r="DD103" s="24">
        <f>IF(DD97=1,'Lease Cycles'!$D$13*IF(INDEX('Lease Cycles'!$EF$13:$EL$13,1,DD95)=1,(1-'Lease Cycles'!$AJ$13)*INDEX('Lease Cycles'!$EM$13:$ES$13,1,DD95)+(1-'Lease Cycles'!$BE$13)*IF(DD96&lt;INDEX('Lease Cycles'!$FA$13:$FG$13,1,DD95),0,1-INDEX('Lease Cycles'!$EM$13:$ES$13,1,DD95)),IF(OR(INDEX('Lease Cycles'!$DY$13:$EE$13,1,DD95)=1,DD96&gt;0),1,1-INDEX('Lease Cycles'!$DD$13:$DJ$13,1,DD95))*((1-'Lease Cycles'!$AJ$13)*INDEX('Lease Cycles'!$FO$13:$FU$13,1,DD95)+(1-'Lease Cycles'!$BE$13)*(1-INDEX('Lease Cycles'!$FO$13:$FU$13,1,DD95)))),0)</f>
        <v>0.03015075376884422</v>
      </c>
      <c r="DE103" s="24">
        <f>IF(DE97=1,'Lease Cycles'!$D$13*IF(INDEX('Lease Cycles'!$EF$13:$EL$13,1,DE95)=1,(1-'Lease Cycles'!$AJ$13)*INDEX('Lease Cycles'!$EM$13:$ES$13,1,DE95)+(1-'Lease Cycles'!$BE$13)*IF(DE96&lt;INDEX('Lease Cycles'!$FA$13:$FG$13,1,DE95),0,1-INDEX('Lease Cycles'!$EM$13:$ES$13,1,DE95)),IF(OR(INDEX('Lease Cycles'!$DY$13:$EE$13,1,DE95)=1,DE96&gt;0),1,1-INDEX('Lease Cycles'!$DD$13:$DJ$13,1,DE95))*((1-'Lease Cycles'!$AJ$13)*INDEX('Lease Cycles'!$FO$13:$FU$13,1,DE95)+(1-'Lease Cycles'!$BE$13)*(1-INDEX('Lease Cycles'!$FO$13:$FU$13,1,DE95)))),0)</f>
        <v>0.03015075376884422</v>
      </c>
      <c r="DF103" s="24">
        <f>IF(DF97=1,'Lease Cycles'!$D$13*IF(INDEX('Lease Cycles'!$EF$13:$EL$13,1,DF95)=1,(1-'Lease Cycles'!$AJ$13)*INDEX('Lease Cycles'!$EM$13:$ES$13,1,DF95)+(1-'Lease Cycles'!$BE$13)*IF(DF96&lt;INDEX('Lease Cycles'!$FA$13:$FG$13,1,DF95),0,1-INDEX('Lease Cycles'!$EM$13:$ES$13,1,DF95)),IF(OR(INDEX('Lease Cycles'!$DY$13:$EE$13,1,DF95)=1,DF96&gt;0),1,1-INDEX('Lease Cycles'!$DD$13:$DJ$13,1,DF95))*((1-'Lease Cycles'!$AJ$13)*INDEX('Lease Cycles'!$FO$13:$FU$13,1,DF95)+(1-'Lease Cycles'!$BE$13)*(1-INDEX('Lease Cycles'!$FO$13:$FU$13,1,DF95)))),0)</f>
        <v>0.03015075376884422</v>
      </c>
      <c r="DG103" s="24">
        <f>IF(DG97=1,'Lease Cycles'!$D$13*IF(INDEX('Lease Cycles'!$EF$13:$EL$13,1,DG95)=1,(1-'Lease Cycles'!$AJ$13)*INDEX('Lease Cycles'!$EM$13:$ES$13,1,DG95)+(1-'Lease Cycles'!$BE$13)*IF(DG96&lt;INDEX('Lease Cycles'!$FA$13:$FG$13,1,DG95),0,1-INDEX('Lease Cycles'!$EM$13:$ES$13,1,DG95)),IF(OR(INDEX('Lease Cycles'!$DY$13:$EE$13,1,DG95)=1,DG96&gt;0),1,1-INDEX('Lease Cycles'!$DD$13:$DJ$13,1,DG95))*((1-'Lease Cycles'!$AJ$13)*INDEX('Lease Cycles'!$FO$13:$FU$13,1,DG95)+(1-'Lease Cycles'!$BE$13)*(1-INDEX('Lease Cycles'!$FO$13:$FU$13,1,DG95)))),0)</f>
        <v>0.03015075376884422</v>
      </c>
      <c r="DH103" s="24">
        <f>IF(DH97=1,'Lease Cycles'!$D$13*IF(INDEX('Lease Cycles'!$EF$13:$EL$13,1,DH95)=1,(1-'Lease Cycles'!$AJ$13)*INDEX('Lease Cycles'!$EM$13:$ES$13,1,DH95)+(1-'Lease Cycles'!$BE$13)*IF(DH96&lt;INDEX('Lease Cycles'!$FA$13:$FG$13,1,DH95),0,1-INDEX('Lease Cycles'!$EM$13:$ES$13,1,DH95)),IF(OR(INDEX('Lease Cycles'!$DY$13:$EE$13,1,DH95)=1,DH96&gt;0),1,1-INDEX('Lease Cycles'!$DD$13:$DJ$13,1,DH95))*((1-'Lease Cycles'!$AJ$13)*INDEX('Lease Cycles'!$FO$13:$FU$13,1,DH95)+(1-'Lease Cycles'!$BE$13)*(1-INDEX('Lease Cycles'!$FO$13:$FU$13,1,DH95)))),0)</f>
        <v>0.03015075376884422</v>
      </c>
      <c r="DI103" s="24">
        <f>IF(DI97=1,'Lease Cycles'!$D$13*IF(INDEX('Lease Cycles'!$EF$13:$EL$13,1,DI95)=1,(1-'Lease Cycles'!$AJ$13)*INDEX('Lease Cycles'!$EM$13:$ES$13,1,DI95)+(1-'Lease Cycles'!$BE$13)*IF(DI96&lt;INDEX('Lease Cycles'!$FA$13:$FG$13,1,DI95),0,1-INDEX('Lease Cycles'!$EM$13:$ES$13,1,DI95)),IF(OR(INDEX('Lease Cycles'!$DY$13:$EE$13,1,DI95)=1,DI96&gt;0),1,1-INDEX('Lease Cycles'!$DD$13:$DJ$13,1,DI95))*((1-'Lease Cycles'!$AJ$13)*INDEX('Lease Cycles'!$FO$13:$FU$13,1,DI95)+(1-'Lease Cycles'!$BE$13)*(1-INDEX('Lease Cycles'!$FO$13:$FU$13,1,DI95)))),0)</f>
        <v>0.03015075376884422</v>
      </c>
      <c r="DJ103" s="24">
        <f>IF(DJ97=1,'Lease Cycles'!$D$13*IF(INDEX('Lease Cycles'!$EF$13:$EL$13,1,DJ95)=1,(1-'Lease Cycles'!$AJ$13)*INDEX('Lease Cycles'!$EM$13:$ES$13,1,DJ95)+(1-'Lease Cycles'!$BE$13)*IF(DJ96&lt;INDEX('Lease Cycles'!$FA$13:$FG$13,1,DJ95),0,1-INDEX('Lease Cycles'!$EM$13:$ES$13,1,DJ95)),IF(OR(INDEX('Lease Cycles'!$DY$13:$EE$13,1,DJ95)=1,DJ96&gt;0),1,1-INDEX('Lease Cycles'!$DD$13:$DJ$13,1,DJ95))*((1-'Lease Cycles'!$AJ$13)*INDEX('Lease Cycles'!$FO$13:$FU$13,1,DJ95)+(1-'Lease Cycles'!$BE$13)*(1-INDEX('Lease Cycles'!$FO$13:$FU$13,1,DJ95)))),0)</f>
        <v>0.03015075376884422</v>
      </c>
      <c r="DK103" s="24">
        <f>IF(DK97=1,'Lease Cycles'!$D$13*IF(INDEX('Lease Cycles'!$EF$13:$EL$13,1,DK95)=1,(1-'Lease Cycles'!$AJ$13)*INDEX('Lease Cycles'!$EM$13:$ES$13,1,DK95)+(1-'Lease Cycles'!$BE$13)*IF(DK96&lt;INDEX('Lease Cycles'!$FA$13:$FG$13,1,DK95),0,1-INDEX('Lease Cycles'!$EM$13:$ES$13,1,DK95)),IF(OR(INDEX('Lease Cycles'!$DY$13:$EE$13,1,DK95)=1,DK96&gt;0),1,1-INDEX('Lease Cycles'!$DD$13:$DJ$13,1,DK95))*((1-'Lease Cycles'!$AJ$13)*INDEX('Lease Cycles'!$FO$13:$FU$13,1,DK95)+(1-'Lease Cycles'!$BE$13)*(1-INDEX('Lease Cycles'!$FO$13:$FU$13,1,DK95)))),0)</f>
        <v>0.03015075376884422</v>
      </c>
      <c r="DL103" s="24">
        <f>IF(DL97=1,'Lease Cycles'!$D$13*IF(INDEX('Lease Cycles'!$EF$13:$EL$13,1,DL95)=1,(1-'Lease Cycles'!$AJ$13)*INDEX('Lease Cycles'!$EM$13:$ES$13,1,DL95)+(1-'Lease Cycles'!$BE$13)*IF(DL96&lt;INDEX('Lease Cycles'!$FA$13:$FG$13,1,DL95),0,1-INDEX('Lease Cycles'!$EM$13:$ES$13,1,DL95)),IF(OR(INDEX('Lease Cycles'!$DY$13:$EE$13,1,DL95)=1,DL96&gt;0),1,1-INDEX('Lease Cycles'!$DD$13:$DJ$13,1,DL95))*((1-'Lease Cycles'!$AJ$13)*INDEX('Lease Cycles'!$FO$13:$FU$13,1,DL95)+(1-'Lease Cycles'!$BE$13)*(1-INDEX('Lease Cycles'!$FO$13:$FU$13,1,DL95)))),0)</f>
        <v>0.03015075376884422</v>
      </c>
      <c r="DM103" s="24">
        <f>IF(DM97=1,'Lease Cycles'!$D$13*IF(INDEX('Lease Cycles'!$EF$13:$EL$13,1,DM95)=1,(1-'Lease Cycles'!$AJ$13)*INDEX('Lease Cycles'!$EM$13:$ES$13,1,DM95)+(1-'Lease Cycles'!$BE$13)*IF(DM96&lt;INDEX('Lease Cycles'!$FA$13:$FG$13,1,DM95),0,1-INDEX('Lease Cycles'!$EM$13:$ES$13,1,DM95)),IF(OR(INDEX('Lease Cycles'!$DY$13:$EE$13,1,DM95)=1,DM96&gt;0),1,1-INDEX('Lease Cycles'!$DD$13:$DJ$13,1,DM95))*((1-'Lease Cycles'!$AJ$13)*INDEX('Lease Cycles'!$FO$13:$FU$13,1,DM95)+(1-'Lease Cycles'!$BE$13)*(1-INDEX('Lease Cycles'!$FO$13:$FU$13,1,DM95)))),0)</f>
        <v>0.03015075376884422</v>
      </c>
      <c r="DN103" s="24">
        <f>IF(DN97=1,'Lease Cycles'!$D$13*IF(INDEX('Lease Cycles'!$EF$13:$EL$13,1,DN95)=1,(1-'Lease Cycles'!$AJ$13)*INDEX('Lease Cycles'!$EM$13:$ES$13,1,DN95)+(1-'Lease Cycles'!$BE$13)*IF(DN96&lt;INDEX('Lease Cycles'!$FA$13:$FG$13,1,DN95),0,1-INDEX('Lease Cycles'!$EM$13:$ES$13,1,DN95)),IF(OR(INDEX('Lease Cycles'!$DY$13:$EE$13,1,DN95)=1,DN96&gt;0),1,1-INDEX('Lease Cycles'!$DD$13:$DJ$13,1,DN95))*((1-'Lease Cycles'!$AJ$13)*INDEX('Lease Cycles'!$FO$13:$FU$13,1,DN95)+(1-'Lease Cycles'!$BE$13)*(1-INDEX('Lease Cycles'!$FO$13:$FU$13,1,DN95)))),0)</f>
        <v>0.03015075376884422</v>
      </c>
      <c r="DO103" s="24">
        <f>IF(DO97=1,'Lease Cycles'!$D$13*IF(INDEX('Lease Cycles'!$EF$13:$EL$13,1,DO95)=1,(1-'Lease Cycles'!$AJ$13)*INDEX('Lease Cycles'!$EM$13:$ES$13,1,DO95)+(1-'Lease Cycles'!$BE$13)*IF(DO96&lt;INDEX('Lease Cycles'!$FA$13:$FG$13,1,DO95),0,1-INDEX('Lease Cycles'!$EM$13:$ES$13,1,DO95)),IF(OR(INDEX('Lease Cycles'!$DY$13:$EE$13,1,DO95)=1,DO96&gt;0),1,1-INDEX('Lease Cycles'!$DD$13:$DJ$13,1,DO95))*((1-'Lease Cycles'!$AJ$13)*INDEX('Lease Cycles'!$FO$13:$FU$13,1,DO95)+(1-'Lease Cycles'!$BE$13)*(1-INDEX('Lease Cycles'!$FO$13:$FU$13,1,DO95)))),0)</f>
        <v>0.03015075376884422</v>
      </c>
      <c r="DP103" s="24">
        <f>IF(DP97=1,'Lease Cycles'!$D$13*IF(INDEX('Lease Cycles'!$EF$13:$EL$13,1,DP95)=1,(1-'Lease Cycles'!$AJ$13)*INDEX('Lease Cycles'!$EM$13:$ES$13,1,DP95)+(1-'Lease Cycles'!$BE$13)*IF(DP96&lt;INDEX('Lease Cycles'!$FA$13:$FG$13,1,DP95),0,1-INDEX('Lease Cycles'!$EM$13:$ES$13,1,DP95)),IF(OR(INDEX('Lease Cycles'!$DY$13:$EE$13,1,DP95)=1,DP96&gt;0),1,1-INDEX('Lease Cycles'!$DD$13:$DJ$13,1,DP95))*((1-'Lease Cycles'!$AJ$13)*INDEX('Lease Cycles'!$FO$13:$FU$13,1,DP95)+(1-'Lease Cycles'!$BE$13)*(1-INDEX('Lease Cycles'!$FO$13:$FU$13,1,DP95)))),0)</f>
        <v>0.03015075376884422</v>
      </c>
      <c r="DQ103" s="24">
        <f>IF(DQ97=1,'Lease Cycles'!$D$13*IF(INDEX('Lease Cycles'!$EF$13:$EL$13,1,DQ95)=1,(1-'Lease Cycles'!$AJ$13)*INDEX('Lease Cycles'!$EM$13:$ES$13,1,DQ95)+(1-'Lease Cycles'!$BE$13)*IF(DQ96&lt;INDEX('Lease Cycles'!$FA$13:$FG$13,1,DQ95),0,1-INDEX('Lease Cycles'!$EM$13:$ES$13,1,DQ95)),IF(OR(INDEX('Lease Cycles'!$DY$13:$EE$13,1,DQ95)=1,DQ96&gt;0),1,1-INDEX('Lease Cycles'!$DD$13:$DJ$13,1,DQ95))*((1-'Lease Cycles'!$AJ$13)*INDEX('Lease Cycles'!$FO$13:$FU$13,1,DQ95)+(1-'Lease Cycles'!$BE$13)*(1-INDEX('Lease Cycles'!$FO$13:$FU$13,1,DQ95)))),0)</f>
        <v>0.03015075376884422</v>
      </c>
      <c r="DR103" s="24">
        <f>IF(DR97=1,'Lease Cycles'!$D$13*IF(INDEX('Lease Cycles'!$EF$13:$EL$13,1,DR95)=1,(1-'Lease Cycles'!$AJ$13)*INDEX('Lease Cycles'!$EM$13:$ES$13,1,DR95)+(1-'Lease Cycles'!$BE$13)*IF(DR96&lt;INDEX('Lease Cycles'!$FA$13:$FG$13,1,DR95),0,1-INDEX('Lease Cycles'!$EM$13:$ES$13,1,DR95)),IF(OR(INDEX('Lease Cycles'!$DY$13:$EE$13,1,DR95)=1,DR96&gt;0),1,1-INDEX('Lease Cycles'!$DD$13:$DJ$13,1,DR95))*((1-'Lease Cycles'!$AJ$13)*INDEX('Lease Cycles'!$FO$13:$FU$13,1,DR95)+(1-'Lease Cycles'!$BE$13)*(1-INDEX('Lease Cycles'!$FO$13:$FU$13,1,DR95)))),0)</f>
        <v>0.03015075376884422</v>
      </c>
      <c r="DS103" s="24">
        <f>IF(DS97=1,'Lease Cycles'!$D$13*IF(INDEX('Lease Cycles'!$EF$13:$EL$13,1,DS95)=1,(1-'Lease Cycles'!$AJ$13)*INDEX('Lease Cycles'!$EM$13:$ES$13,1,DS95)+(1-'Lease Cycles'!$BE$13)*IF(DS96&lt;INDEX('Lease Cycles'!$FA$13:$FG$13,1,DS95),0,1-INDEX('Lease Cycles'!$EM$13:$ES$13,1,DS95)),IF(OR(INDEX('Lease Cycles'!$DY$13:$EE$13,1,DS95)=1,DS96&gt;0),1,1-INDEX('Lease Cycles'!$DD$13:$DJ$13,1,DS95))*((1-'Lease Cycles'!$AJ$13)*INDEX('Lease Cycles'!$FO$13:$FU$13,1,DS95)+(1-'Lease Cycles'!$BE$13)*(1-INDEX('Lease Cycles'!$FO$13:$FU$13,1,DS95)))),0)</f>
        <v>0.03015075376884422</v>
      </c>
      <c r="DT103" s="24">
        <f>IF(DT97=1,'Lease Cycles'!$D$13*IF(INDEX('Lease Cycles'!$EF$13:$EL$13,1,DT95)=1,(1-'Lease Cycles'!$AJ$13)*INDEX('Lease Cycles'!$EM$13:$ES$13,1,DT95)+(1-'Lease Cycles'!$BE$13)*IF(DT96&lt;INDEX('Lease Cycles'!$FA$13:$FG$13,1,DT95),0,1-INDEX('Lease Cycles'!$EM$13:$ES$13,1,DT95)),IF(OR(INDEX('Lease Cycles'!$DY$13:$EE$13,1,DT95)=1,DT96&gt;0),1,1-INDEX('Lease Cycles'!$DD$13:$DJ$13,1,DT95))*((1-'Lease Cycles'!$AJ$13)*INDEX('Lease Cycles'!$FO$13:$FU$13,1,DT95)+(1-'Lease Cycles'!$BE$13)*(1-INDEX('Lease Cycles'!$FO$13:$FU$13,1,DT95)))),0)</f>
        <v>0.03015075376884422</v>
      </c>
      <c r="DU103" s="24">
        <f>IF(DU97=1,'Lease Cycles'!$D$13*IF(INDEX('Lease Cycles'!$EF$13:$EL$13,1,DU95)=1,(1-'Lease Cycles'!$AJ$13)*INDEX('Lease Cycles'!$EM$13:$ES$13,1,DU95)+(1-'Lease Cycles'!$BE$13)*IF(DU96&lt;INDEX('Lease Cycles'!$FA$13:$FG$13,1,DU95),0,1-INDEX('Lease Cycles'!$EM$13:$ES$13,1,DU95)),IF(OR(INDEX('Lease Cycles'!$DY$13:$EE$13,1,DU95)=1,DU96&gt;0),1,1-INDEX('Lease Cycles'!$DD$13:$DJ$13,1,DU95))*((1-'Lease Cycles'!$AJ$13)*INDEX('Lease Cycles'!$FO$13:$FU$13,1,DU95)+(1-'Lease Cycles'!$BE$13)*(1-INDEX('Lease Cycles'!$FO$13:$FU$13,1,DU95)))),0)</f>
        <v>0.03015075376884422</v>
      </c>
      <c r="DV103" s="24">
        <f>IF(DV97=1,'Lease Cycles'!$D$13*IF(INDEX('Lease Cycles'!$EF$13:$EL$13,1,DV95)=1,(1-'Lease Cycles'!$AJ$13)*INDEX('Lease Cycles'!$EM$13:$ES$13,1,DV95)+(1-'Lease Cycles'!$BE$13)*IF(DV96&lt;INDEX('Lease Cycles'!$FA$13:$FG$13,1,DV95),0,1-INDEX('Lease Cycles'!$EM$13:$ES$13,1,DV95)),IF(OR(INDEX('Lease Cycles'!$DY$13:$EE$13,1,DV95)=1,DV96&gt;0),1,1-INDEX('Lease Cycles'!$DD$13:$DJ$13,1,DV95))*((1-'Lease Cycles'!$AJ$13)*INDEX('Lease Cycles'!$FO$13:$FU$13,1,DV95)+(1-'Lease Cycles'!$BE$13)*(1-INDEX('Lease Cycles'!$FO$13:$FU$13,1,DV95)))),0)</f>
        <v>0.03015075376884422</v>
      </c>
      <c r="DW103" s="24">
        <f>IF(DW97=1,'Lease Cycles'!$D$13*IF(INDEX('Lease Cycles'!$EF$13:$EL$13,1,DW95)=1,(1-'Lease Cycles'!$AJ$13)*INDEX('Lease Cycles'!$EM$13:$ES$13,1,DW95)+(1-'Lease Cycles'!$BE$13)*IF(DW96&lt;INDEX('Lease Cycles'!$FA$13:$FG$13,1,DW95),0,1-INDEX('Lease Cycles'!$EM$13:$ES$13,1,DW95)),IF(OR(INDEX('Lease Cycles'!$DY$13:$EE$13,1,DW95)=1,DW96&gt;0),1,1-INDEX('Lease Cycles'!$DD$13:$DJ$13,1,DW95))*((1-'Lease Cycles'!$AJ$13)*INDEX('Lease Cycles'!$FO$13:$FU$13,1,DW95)+(1-'Lease Cycles'!$BE$13)*(1-INDEX('Lease Cycles'!$FO$13:$FU$13,1,DW95)))),0)</f>
        <v>0.03015075376884422</v>
      </c>
      <c r="DX103" s="24">
        <f>IF(DX97=1,'Lease Cycles'!$D$13*IF(INDEX('Lease Cycles'!$EF$13:$EL$13,1,DX95)=1,(1-'Lease Cycles'!$AJ$13)*INDEX('Lease Cycles'!$EM$13:$ES$13,1,DX95)+(1-'Lease Cycles'!$BE$13)*IF(DX96&lt;INDEX('Lease Cycles'!$FA$13:$FG$13,1,DX95),0,1-INDEX('Lease Cycles'!$EM$13:$ES$13,1,DX95)),IF(OR(INDEX('Lease Cycles'!$DY$13:$EE$13,1,DX95)=1,DX96&gt;0),1,1-INDEX('Lease Cycles'!$DD$13:$DJ$13,1,DX95))*((1-'Lease Cycles'!$AJ$13)*INDEX('Lease Cycles'!$FO$13:$FU$13,1,DX95)+(1-'Lease Cycles'!$BE$13)*(1-INDEX('Lease Cycles'!$FO$13:$FU$13,1,DX95)))),0)</f>
        <v>0.03015075376884422</v>
      </c>
      <c r="DY103" s="24">
        <f>IF(DY97=1,'Lease Cycles'!$D$13*IF(INDEX('Lease Cycles'!$EF$13:$EL$13,1,DY95)=1,(1-'Lease Cycles'!$AJ$13)*INDEX('Lease Cycles'!$EM$13:$ES$13,1,DY95)+(1-'Lease Cycles'!$BE$13)*IF(DY96&lt;INDEX('Lease Cycles'!$FA$13:$FG$13,1,DY95),0,1-INDEX('Lease Cycles'!$EM$13:$ES$13,1,DY95)),IF(OR(INDEX('Lease Cycles'!$DY$13:$EE$13,1,DY95)=1,DY96&gt;0),1,1-INDEX('Lease Cycles'!$DD$13:$DJ$13,1,DY95))*((1-'Lease Cycles'!$AJ$13)*INDEX('Lease Cycles'!$FO$13:$FU$13,1,DY95)+(1-'Lease Cycles'!$BE$13)*(1-INDEX('Lease Cycles'!$FO$13:$FU$13,1,DY95)))),0)</f>
        <v>0.03015075376884422</v>
      </c>
      <c r="DZ103" s="24">
        <f>IF(DZ97=1,'Lease Cycles'!$D$13*IF(INDEX('Lease Cycles'!$EF$13:$EL$13,1,DZ95)=1,(1-'Lease Cycles'!$AJ$13)*INDEX('Lease Cycles'!$EM$13:$ES$13,1,DZ95)+(1-'Lease Cycles'!$BE$13)*IF(DZ96&lt;INDEX('Lease Cycles'!$FA$13:$FG$13,1,DZ95),0,1-INDEX('Lease Cycles'!$EM$13:$ES$13,1,DZ95)),IF(OR(INDEX('Lease Cycles'!$DY$13:$EE$13,1,DZ95)=1,DZ96&gt;0),1,1-INDEX('Lease Cycles'!$DD$13:$DJ$13,1,DZ95))*((1-'Lease Cycles'!$AJ$13)*INDEX('Lease Cycles'!$FO$13:$FU$13,1,DZ95)+(1-'Lease Cycles'!$BE$13)*(1-INDEX('Lease Cycles'!$FO$13:$FU$13,1,DZ95)))),0)</f>
        <v>0.03015075376884422</v>
      </c>
      <c r="EA103" s="24">
        <f>IF(EA97=1,'Lease Cycles'!$D$13*IF(INDEX('Lease Cycles'!$EF$13:$EL$13,1,EA95)=1,(1-'Lease Cycles'!$AJ$13)*INDEX('Lease Cycles'!$EM$13:$ES$13,1,EA95)+(1-'Lease Cycles'!$BE$13)*IF(EA96&lt;INDEX('Lease Cycles'!$FA$13:$FG$13,1,EA95),0,1-INDEX('Lease Cycles'!$EM$13:$ES$13,1,EA95)),IF(OR(INDEX('Lease Cycles'!$DY$13:$EE$13,1,EA95)=1,EA96&gt;0),1,1-INDEX('Lease Cycles'!$DD$13:$DJ$13,1,EA95))*((1-'Lease Cycles'!$AJ$13)*INDEX('Lease Cycles'!$FO$13:$FU$13,1,EA95)+(1-'Lease Cycles'!$BE$13)*(1-INDEX('Lease Cycles'!$FO$13:$FU$13,1,EA95)))),0)</f>
        <v>0.03015075376884422</v>
      </c>
      <c r="EB103" s="24">
        <f>IF(EB97=1,'Lease Cycles'!$D$13*IF(INDEX('Lease Cycles'!$EF$13:$EL$13,1,EB95)=1,(1-'Lease Cycles'!$AJ$13)*INDEX('Lease Cycles'!$EM$13:$ES$13,1,EB95)+(1-'Lease Cycles'!$BE$13)*IF(EB96&lt;INDEX('Lease Cycles'!$FA$13:$FG$13,1,EB95),0,1-INDEX('Lease Cycles'!$EM$13:$ES$13,1,EB95)),IF(OR(INDEX('Lease Cycles'!$DY$13:$EE$13,1,EB95)=1,EB96&gt;0),1,1-INDEX('Lease Cycles'!$DD$13:$DJ$13,1,EB95))*((1-'Lease Cycles'!$AJ$13)*INDEX('Lease Cycles'!$FO$13:$FU$13,1,EB95)+(1-'Lease Cycles'!$BE$13)*(1-INDEX('Lease Cycles'!$FO$13:$FU$13,1,EB95)))),0)</f>
        <v>0.03015075376884422</v>
      </c>
      <c r="EC103" s="24">
        <f>IF(EC97=1,'Lease Cycles'!$D$13*IF(INDEX('Lease Cycles'!$EF$13:$EL$13,1,EC95)=1,(1-'Lease Cycles'!$AJ$13)*INDEX('Lease Cycles'!$EM$13:$ES$13,1,EC95)+(1-'Lease Cycles'!$BE$13)*IF(EC96&lt;INDEX('Lease Cycles'!$FA$13:$FG$13,1,EC95),0,1-INDEX('Lease Cycles'!$EM$13:$ES$13,1,EC95)),IF(OR(INDEX('Lease Cycles'!$DY$13:$EE$13,1,EC95)=1,EC96&gt;0),1,1-INDEX('Lease Cycles'!$DD$13:$DJ$13,1,EC95))*((1-'Lease Cycles'!$AJ$13)*INDEX('Lease Cycles'!$FO$13:$FU$13,1,EC95)+(1-'Lease Cycles'!$BE$13)*(1-INDEX('Lease Cycles'!$FO$13:$FU$13,1,EC95)))),0)</f>
        <v>0.03015075376884422</v>
      </c>
      <c r="ED103" s="24">
        <f>IF(ED97=1,'Lease Cycles'!$D$13*IF(INDEX('Lease Cycles'!$EF$13:$EL$13,1,ED95)=1,(1-'Lease Cycles'!$AJ$13)*INDEX('Lease Cycles'!$EM$13:$ES$13,1,ED95)+(1-'Lease Cycles'!$BE$13)*IF(ED96&lt;INDEX('Lease Cycles'!$FA$13:$FG$13,1,ED95),0,1-INDEX('Lease Cycles'!$EM$13:$ES$13,1,ED95)),IF(OR(INDEX('Lease Cycles'!$DY$13:$EE$13,1,ED95)=1,ED96&gt;0),1,1-INDEX('Lease Cycles'!$DD$13:$DJ$13,1,ED95))*((1-'Lease Cycles'!$AJ$13)*INDEX('Lease Cycles'!$FO$13:$FU$13,1,ED95)+(1-'Lease Cycles'!$BE$13)*(1-INDEX('Lease Cycles'!$FO$13:$FU$13,1,ED95)))),0)</f>
        <v>0.03015075376884422</v>
      </c>
      <c r="EE103" s="24">
        <f>IF(EE97=1,'Lease Cycles'!$D$13*IF(INDEX('Lease Cycles'!$EF$13:$EL$13,1,EE95)=1,(1-'Lease Cycles'!$AJ$13)*INDEX('Lease Cycles'!$EM$13:$ES$13,1,EE95)+(1-'Lease Cycles'!$BE$13)*IF(EE96&lt;INDEX('Lease Cycles'!$FA$13:$FG$13,1,EE95),0,1-INDEX('Lease Cycles'!$EM$13:$ES$13,1,EE95)),IF(OR(INDEX('Lease Cycles'!$DY$13:$EE$13,1,EE95)=1,EE96&gt;0),1,1-INDEX('Lease Cycles'!$DD$13:$DJ$13,1,EE95))*((1-'Lease Cycles'!$AJ$13)*INDEX('Lease Cycles'!$FO$13:$FU$13,1,EE95)+(1-'Lease Cycles'!$BE$13)*(1-INDEX('Lease Cycles'!$FO$13:$FU$13,1,EE95)))),0)</f>
        <v>0.03015075376884422</v>
      </c>
      <c r="EF103" s="24">
        <f>IF(EF97=1,'Lease Cycles'!$D$13*IF(INDEX('Lease Cycles'!$EF$13:$EL$13,1,EF95)=1,(1-'Lease Cycles'!$AJ$13)*INDEX('Lease Cycles'!$EM$13:$ES$13,1,EF95)+(1-'Lease Cycles'!$BE$13)*IF(EF96&lt;INDEX('Lease Cycles'!$FA$13:$FG$13,1,EF95),0,1-INDEX('Lease Cycles'!$EM$13:$ES$13,1,EF95)),IF(OR(INDEX('Lease Cycles'!$DY$13:$EE$13,1,EF95)=1,EF96&gt;0),1,1-INDEX('Lease Cycles'!$DD$13:$DJ$13,1,EF95))*((1-'Lease Cycles'!$AJ$13)*INDEX('Lease Cycles'!$FO$13:$FU$13,1,EF95)+(1-'Lease Cycles'!$BE$13)*(1-INDEX('Lease Cycles'!$FO$13:$FU$13,1,EF95)))),0)</f>
        <v>0.03015075376884422</v>
      </c>
      <c r="EG103" s="24">
        <f>IF(EG97=1,'Lease Cycles'!$D$13*IF(INDEX('Lease Cycles'!$EF$13:$EL$13,1,EG95)=1,(1-'Lease Cycles'!$AJ$13)*INDEX('Lease Cycles'!$EM$13:$ES$13,1,EG95)+(1-'Lease Cycles'!$BE$13)*IF(EG96&lt;INDEX('Lease Cycles'!$FA$13:$FG$13,1,EG95),0,1-INDEX('Lease Cycles'!$EM$13:$ES$13,1,EG95)),IF(OR(INDEX('Lease Cycles'!$DY$13:$EE$13,1,EG95)=1,EG96&gt;0),1,1-INDEX('Lease Cycles'!$DD$13:$DJ$13,1,EG95))*((1-'Lease Cycles'!$AJ$13)*INDEX('Lease Cycles'!$FO$13:$FU$13,1,EG95)+(1-'Lease Cycles'!$BE$13)*(1-INDEX('Lease Cycles'!$FO$13:$FU$13,1,EG95)))),0)</f>
        <v>0.03015075376884422</v>
      </c>
      <c r="EH103" s="24">
        <f>IF(EH97=1,'Lease Cycles'!$D$13*IF(INDEX('Lease Cycles'!$EF$13:$EL$13,1,EH95)=1,(1-'Lease Cycles'!$AJ$13)*INDEX('Lease Cycles'!$EM$13:$ES$13,1,EH95)+(1-'Lease Cycles'!$BE$13)*IF(EH96&lt;INDEX('Lease Cycles'!$FA$13:$FG$13,1,EH95),0,1-INDEX('Lease Cycles'!$EM$13:$ES$13,1,EH95)),IF(OR(INDEX('Lease Cycles'!$DY$13:$EE$13,1,EH95)=1,EH96&gt;0),1,1-INDEX('Lease Cycles'!$DD$13:$DJ$13,1,EH95))*((1-'Lease Cycles'!$AJ$13)*INDEX('Lease Cycles'!$FO$13:$FU$13,1,EH95)+(1-'Lease Cycles'!$BE$13)*(1-INDEX('Lease Cycles'!$FO$13:$FU$13,1,EH95)))),0)</f>
        <v>0.03015075376884422</v>
      </c>
      <c r="EI103" s="24">
        <f>IF(EI97=1,'Lease Cycles'!$D$13*IF(INDEX('Lease Cycles'!$EF$13:$EL$13,1,EI95)=1,(1-'Lease Cycles'!$AJ$13)*INDEX('Lease Cycles'!$EM$13:$ES$13,1,EI95)+(1-'Lease Cycles'!$BE$13)*IF(EI96&lt;INDEX('Lease Cycles'!$FA$13:$FG$13,1,EI95),0,1-INDEX('Lease Cycles'!$EM$13:$ES$13,1,EI95)),IF(OR(INDEX('Lease Cycles'!$DY$13:$EE$13,1,EI95)=1,EI96&gt;0),1,1-INDEX('Lease Cycles'!$DD$13:$DJ$13,1,EI95))*((1-'Lease Cycles'!$AJ$13)*INDEX('Lease Cycles'!$FO$13:$FU$13,1,EI95)+(1-'Lease Cycles'!$BE$13)*(1-INDEX('Lease Cycles'!$FO$13:$FU$13,1,EI95)))),0)</f>
        <v>0.03015075376884422</v>
      </c>
      <c r="EJ103" s="24">
        <f>IF(EJ97=1,'Lease Cycles'!$D$13*IF(INDEX('Lease Cycles'!$EF$13:$EL$13,1,EJ95)=1,(1-'Lease Cycles'!$AJ$13)*INDEX('Lease Cycles'!$EM$13:$ES$13,1,EJ95)+(1-'Lease Cycles'!$BE$13)*IF(EJ96&lt;INDEX('Lease Cycles'!$FA$13:$FG$13,1,EJ95),0,1-INDEX('Lease Cycles'!$EM$13:$ES$13,1,EJ95)),IF(OR(INDEX('Lease Cycles'!$DY$13:$EE$13,1,EJ95)=1,EJ96&gt;0),1,1-INDEX('Lease Cycles'!$DD$13:$DJ$13,1,EJ95))*((1-'Lease Cycles'!$AJ$13)*INDEX('Lease Cycles'!$FO$13:$FU$13,1,EJ95)+(1-'Lease Cycles'!$BE$13)*(1-INDEX('Lease Cycles'!$FO$13:$FU$13,1,EJ95)))),0)</f>
        <v>0.03015075376884422</v>
      </c>
      <c r="EK103" s="24">
        <f>IF(EK97=1,'Lease Cycles'!$D$13*IF(INDEX('Lease Cycles'!$EF$13:$EL$13,1,EK95)=1,(1-'Lease Cycles'!$AJ$13)*INDEX('Lease Cycles'!$EM$13:$ES$13,1,EK95)+(1-'Lease Cycles'!$BE$13)*IF(EK96&lt;INDEX('Lease Cycles'!$FA$13:$FG$13,1,EK95),0,1-INDEX('Lease Cycles'!$EM$13:$ES$13,1,EK95)),IF(OR(INDEX('Lease Cycles'!$DY$13:$EE$13,1,EK95)=1,EK96&gt;0),1,1-INDEX('Lease Cycles'!$DD$13:$DJ$13,1,EK95))*((1-'Lease Cycles'!$AJ$13)*INDEX('Lease Cycles'!$FO$13:$FU$13,1,EK95)+(1-'Lease Cycles'!$BE$13)*(1-INDEX('Lease Cycles'!$FO$13:$FU$13,1,EK95)))),0)</f>
        <v>0.03015075376884422</v>
      </c>
      <c r="EL103" s="24">
        <f>IF(EL97=1,'Lease Cycles'!$D$13*IF(INDEX('Lease Cycles'!$EF$13:$EL$13,1,EL95)=1,(1-'Lease Cycles'!$AJ$13)*INDEX('Lease Cycles'!$EM$13:$ES$13,1,EL95)+(1-'Lease Cycles'!$BE$13)*IF(EL96&lt;INDEX('Lease Cycles'!$FA$13:$FG$13,1,EL95),0,1-INDEX('Lease Cycles'!$EM$13:$ES$13,1,EL95)),IF(OR(INDEX('Lease Cycles'!$DY$13:$EE$13,1,EL95)=1,EL96&gt;0),1,1-INDEX('Lease Cycles'!$DD$13:$DJ$13,1,EL95))*((1-'Lease Cycles'!$AJ$13)*INDEX('Lease Cycles'!$FO$13:$FU$13,1,EL95)+(1-'Lease Cycles'!$BE$13)*(1-INDEX('Lease Cycles'!$FO$13:$FU$13,1,EL95)))),0)</f>
        <v>0.03015075376884422</v>
      </c>
      <c r="EM103" s="24">
        <f>IF(EM97=1,'Lease Cycles'!$D$13*IF(INDEX('Lease Cycles'!$EF$13:$EL$13,1,EM95)=1,(1-'Lease Cycles'!$AJ$13)*INDEX('Lease Cycles'!$EM$13:$ES$13,1,EM95)+(1-'Lease Cycles'!$BE$13)*IF(EM96&lt;INDEX('Lease Cycles'!$FA$13:$FG$13,1,EM95),0,1-INDEX('Lease Cycles'!$EM$13:$ES$13,1,EM95)),IF(OR(INDEX('Lease Cycles'!$DY$13:$EE$13,1,EM95)=1,EM96&gt;0),1,1-INDEX('Lease Cycles'!$DD$13:$DJ$13,1,EM95))*((1-'Lease Cycles'!$AJ$13)*INDEX('Lease Cycles'!$FO$13:$FU$13,1,EM95)+(1-'Lease Cycles'!$BE$13)*(1-INDEX('Lease Cycles'!$FO$13:$FU$13,1,EM95)))),0)</f>
        <v>0.03015075376884422</v>
      </c>
      <c r="EN103" s="24">
        <f>IF(EN97=1,'Lease Cycles'!$D$13*IF(INDEX('Lease Cycles'!$EF$13:$EL$13,1,EN95)=1,(1-'Lease Cycles'!$AJ$13)*INDEX('Lease Cycles'!$EM$13:$ES$13,1,EN95)+(1-'Lease Cycles'!$BE$13)*IF(EN96&lt;INDEX('Lease Cycles'!$FA$13:$FG$13,1,EN95),0,1-INDEX('Lease Cycles'!$EM$13:$ES$13,1,EN95)),IF(OR(INDEX('Lease Cycles'!$DY$13:$EE$13,1,EN95)=1,EN96&gt;0),1,1-INDEX('Lease Cycles'!$DD$13:$DJ$13,1,EN95))*((1-'Lease Cycles'!$AJ$13)*INDEX('Lease Cycles'!$FO$13:$FU$13,1,EN95)+(1-'Lease Cycles'!$BE$13)*(1-INDEX('Lease Cycles'!$FO$13:$FU$13,1,EN95)))),0)</f>
        <v>0.03015075376884422</v>
      </c>
      <c r="EO103" s="24">
        <f>IF(EO97=1,'Lease Cycles'!$D$13*IF(INDEX('Lease Cycles'!$EF$13:$EL$13,1,EO95)=1,(1-'Lease Cycles'!$AJ$13)*INDEX('Lease Cycles'!$EM$13:$ES$13,1,EO95)+(1-'Lease Cycles'!$BE$13)*IF(EO96&lt;INDEX('Lease Cycles'!$FA$13:$FG$13,1,EO95),0,1-INDEX('Lease Cycles'!$EM$13:$ES$13,1,EO95)),IF(OR(INDEX('Lease Cycles'!$DY$13:$EE$13,1,EO95)=1,EO96&gt;0),1,1-INDEX('Lease Cycles'!$DD$13:$DJ$13,1,EO95))*((1-'Lease Cycles'!$AJ$13)*INDEX('Lease Cycles'!$FO$13:$FU$13,1,EO95)+(1-'Lease Cycles'!$BE$13)*(1-INDEX('Lease Cycles'!$FO$13:$FU$13,1,EO95)))),0)</f>
        <v>0.03015075376884422</v>
      </c>
      <c r="EP103" s="24">
        <f>IF(EP97=1,'Lease Cycles'!$D$13*IF(INDEX('Lease Cycles'!$EF$13:$EL$13,1,EP95)=1,(1-'Lease Cycles'!$AJ$13)*INDEX('Lease Cycles'!$EM$13:$ES$13,1,EP95)+(1-'Lease Cycles'!$BE$13)*IF(EP96&lt;INDEX('Lease Cycles'!$FA$13:$FG$13,1,EP95),0,1-INDEX('Lease Cycles'!$EM$13:$ES$13,1,EP95)),IF(OR(INDEX('Lease Cycles'!$DY$13:$EE$13,1,EP95)=1,EP96&gt;0),1,1-INDEX('Lease Cycles'!$DD$13:$DJ$13,1,EP95))*((1-'Lease Cycles'!$AJ$13)*INDEX('Lease Cycles'!$FO$13:$FU$13,1,EP95)+(1-'Lease Cycles'!$BE$13)*(1-INDEX('Lease Cycles'!$FO$13:$FU$13,1,EP95)))),0)</f>
        <v>0.03015075376884422</v>
      </c>
      <c r="EQ103" s="24">
        <f>IF(EQ97=1,'Lease Cycles'!$D$13*IF(INDEX('Lease Cycles'!$EF$13:$EL$13,1,EQ95)=1,(1-'Lease Cycles'!$AJ$13)*INDEX('Lease Cycles'!$EM$13:$ES$13,1,EQ95)+(1-'Lease Cycles'!$BE$13)*IF(EQ96&lt;INDEX('Lease Cycles'!$FA$13:$FG$13,1,EQ95),0,1-INDEX('Lease Cycles'!$EM$13:$ES$13,1,EQ95)),IF(OR(INDEX('Lease Cycles'!$DY$13:$EE$13,1,EQ95)=1,EQ96&gt;0),1,1-INDEX('Lease Cycles'!$DD$13:$DJ$13,1,EQ95))*((1-'Lease Cycles'!$AJ$13)*INDEX('Lease Cycles'!$FO$13:$FU$13,1,EQ95)+(1-'Lease Cycles'!$BE$13)*(1-INDEX('Lease Cycles'!$FO$13:$FU$13,1,EQ95)))),0)</f>
        <v>0.03015075376884422</v>
      </c>
      <c r="ER103" s="24">
        <f>IF(ER97=1,'Lease Cycles'!$D$13*IF(INDEX('Lease Cycles'!$EF$13:$EL$13,1,ER95)=1,(1-'Lease Cycles'!$AJ$13)*INDEX('Lease Cycles'!$EM$13:$ES$13,1,ER95)+(1-'Lease Cycles'!$BE$13)*IF(ER96&lt;INDEX('Lease Cycles'!$FA$13:$FG$13,1,ER95),0,1-INDEX('Lease Cycles'!$EM$13:$ES$13,1,ER95)),IF(OR(INDEX('Lease Cycles'!$DY$13:$EE$13,1,ER95)=1,ER96&gt;0),1,1-INDEX('Lease Cycles'!$DD$13:$DJ$13,1,ER95))*((1-'Lease Cycles'!$AJ$13)*INDEX('Lease Cycles'!$FO$13:$FU$13,1,ER95)+(1-'Lease Cycles'!$BE$13)*(1-INDEX('Lease Cycles'!$FO$13:$FU$13,1,ER95)))),0)</f>
        <v>0.03015075376884422</v>
      </c>
      <c r="ES103" s="24">
        <f>IF(ES97=1,'Lease Cycles'!$D$13*IF(INDEX('Lease Cycles'!$EF$13:$EL$13,1,ES95)=1,(1-'Lease Cycles'!$AJ$13)*INDEX('Lease Cycles'!$EM$13:$ES$13,1,ES95)+(1-'Lease Cycles'!$BE$13)*IF(ES96&lt;INDEX('Lease Cycles'!$FA$13:$FG$13,1,ES95),0,1-INDEX('Lease Cycles'!$EM$13:$ES$13,1,ES95)),IF(OR(INDEX('Lease Cycles'!$DY$13:$EE$13,1,ES95)=1,ES96&gt;0),1,1-INDEX('Lease Cycles'!$DD$13:$DJ$13,1,ES95))*((1-'Lease Cycles'!$AJ$13)*INDEX('Lease Cycles'!$FO$13:$FU$13,1,ES95)+(1-'Lease Cycles'!$BE$13)*(1-INDEX('Lease Cycles'!$FO$13:$FU$13,1,ES95)))),0)</f>
        <v>0.03015075376884422</v>
      </c>
      <c r="ET103" s="24">
        <f>IF(ET97=1,'Lease Cycles'!$D$13*IF(INDEX('Lease Cycles'!$EF$13:$EL$13,1,ET95)=1,(1-'Lease Cycles'!$AJ$13)*INDEX('Lease Cycles'!$EM$13:$ES$13,1,ET95)+(1-'Lease Cycles'!$BE$13)*IF(ET96&lt;INDEX('Lease Cycles'!$FA$13:$FG$13,1,ET95),0,1-INDEX('Lease Cycles'!$EM$13:$ES$13,1,ET95)),IF(OR(INDEX('Lease Cycles'!$DY$13:$EE$13,1,ET95)=1,ET96&gt;0),1,1-INDEX('Lease Cycles'!$DD$13:$DJ$13,1,ET95))*((1-'Lease Cycles'!$AJ$13)*INDEX('Lease Cycles'!$FO$13:$FU$13,1,ET95)+(1-'Lease Cycles'!$BE$13)*(1-INDEX('Lease Cycles'!$FO$13:$FU$13,1,ET95)))),0)</f>
        <v>0.03015075376884422</v>
      </c>
    </row>
    <row r="104">
      <c r="A104" s="103">
        <v>6</v>
      </c>
      <c r="B104" s="23" t="str">
        <f>IF('Lease Cycles'!$B$13="","(empty slot)",'Lease Cycles'!$B$13)</f>
        <v>Sunfield Cleaners</v>
      </c>
      <c r="C104" s="23" t="s">
        <v>685</v>
      </c>
      <c r="D104" s="104" t="s">
        <v>686</v>
      </c>
      <c r="E104" s="25">
        <f>'Lease Cycles'!$AL$13</f>
        <v>0</v>
      </c>
      <c r="G104" s="24">
        <f>SUM(S104:AD104)</f>
        <v>0</v>
      </c>
      <c r="H104" s="24">
        <f>SUM(AE104:AP104)</f>
        <v>0</v>
      </c>
      <c r="I104" s="24">
        <f>SUM(AQ104:BB104)</f>
        <v>0</v>
      </c>
      <c r="J104" s="24">
        <f>SUM(BC104:BN104)</f>
        <v>0</v>
      </c>
      <c r="K104" s="24">
        <f>SUM(BO104:BZ104)</f>
        <v>0</v>
      </c>
      <c r="L104" s="24">
        <f>SUM(CA104:CL104)</f>
        <v>0</v>
      </c>
      <c r="M104" s="24">
        <f>SUM(CM104:CX104)</f>
        <v>0</v>
      </c>
      <c r="N104" s="24">
        <f>SUM(CY104:DJ104)</f>
        <v>0</v>
      </c>
      <c r="O104" s="24">
        <f>SUM(DK104:DV104)</f>
        <v>0</v>
      </c>
      <c r="P104" s="24">
        <f>SUM(DW104:EH104)</f>
        <v>0</v>
      </c>
      <c r="Q104" s="24">
        <f>SUM(EI104:ET104)</f>
        <v>0</v>
      </c>
      <c r="S104" s="24">
        <f>IF(S97=1,IF('Lease Cycles'!$AJ$13=1,0,'Lease Cycles'!$D$13*INDEX('Lease Cycles'!$FH$13:$FN$13,1,S95)*IF(INDEX('Lease Cycles'!$EF$13:$EL$13,1,S95)=1,1,IF(OR(INDEX('Lease Cycles'!$DY$13:$EE$13,1,S95)=1,S96&gt;0),1,1-INDEX('Lease Cycles'!$DD$13:$DJ$13,1,S95)))),0)</f>
        <v>0</v>
      </c>
      <c r="T104" s="24">
        <f>IF(T97=1,IF('Lease Cycles'!$AJ$13=1,0,'Lease Cycles'!$D$13*INDEX('Lease Cycles'!$FH$13:$FN$13,1,T95)*IF(INDEX('Lease Cycles'!$EF$13:$EL$13,1,T95)=1,1,IF(OR(INDEX('Lease Cycles'!$DY$13:$EE$13,1,T95)=1,T96&gt;0),1,1-INDEX('Lease Cycles'!$DD$13:$DJ$13,1,T95)))),0)</f>
        <v>0</v>
      </c>
      <c r="U104" s="24">
        <f>IF(U97=1,IF('Lease Cycles'!$AJ$13=1,0,'Lease Cycles'!$D$13*INDEX('Lease Cycles'!$FH$13:$FN$13,1,U95)*IF(INDEX('Lease Cycles'!$EF$13:$EL$13,1,U95)=1,1,IF(OR(INDEX('Lease Cycles'!$DY$13:$EE$13,1,U95)=1,U96&gt;0),1,1-INDEX('Lease Cycles'!$DD$13:$DJ$13,1,U95)))),0)</f>
        <v>0</v>
      </c>
      <c r="V104" s="24">
        <f>IF(V97=1,IF('Lease Cycles'!$AJ$13=1,0,'Lease Cycles'!$D$13*INDEX('Lease Cycles'!$FH$13:$FN$13,1,V95)*IF(INDEX('Lease Cycles'!$EF$13:$EL$13,1,V95)=1,1,IF(OR(INDEX('Lease Cycles'!$DY$13:$EE$13,1,V95)=1,V96&gt;0),1,1-INDEX('Lease Cycles'!$DD$13:$DJ$13,1,V95)))),0)</f>
        <v>0</v>
      </c>
      <c r="W104" s="24">
        <f>IF(W97=1,IF('Lease Cycles'!$AJ$13=1,0,'Lease Cycles'!$D$13*INDEX('Lease Cycles'!$FH$13:$FN$13,1,W95)*IF(INDEX('Lease Cycles'!$EF$13:$EL$13,1,W95)=1,1,IF(OR(INDEX('Lease Cycles'!$DY$13:$EE$13,1,W95)=1,W96&gt;0),1,1-INDEX('Lease Cycles'!$DD$13:$DJ$13,1,W95)))),0)</f>
        <v>0</v>
      </c>
      <c r="X104" s="24">
        <f>IF(X97=1,IF('Lease Cycles'!$AJ$13=1,0,'Lease Cycles'!$D$13*INDEX('Lease Cycles'!$FH$13:$FN$13,1,X95)*IF(INDEX('Lease Cycles'!$EF$13:$EL$13,1,X95)=1,1,IF(OR(INDEX('Lease Cycles'!$DY$13:$EE$13,1,X95)=1,X96&gt;0),1,1-INDEX('Lease Cycles'!$DD$13:$DJ$13,1,X95)))),0)</f>
        <v>0</v>
      </c>
      <c r="Y104" s="24">
        <f>IF(Y97=1,IF('Lease Cycles'!$AJ$13=1,0,'Lease Cycles'!$D$13*INDEX('Lease Cycles'!$FH$13:$FN$13,1,Y95)*IF(INDEX('Lease Cycles'!$EF$13:$EL$13,1,Y95)=1,1,IF(OR(INDEX('Lease Cycles'!$DY$13:$EE$13,1,Y95)=1,Y96&gt;0),1,1-INDEX('Lease Cycles'!$DD$13:$DJ$13,1,Y95)))),0)</f>
        <v>0</v>
      </c>
      <c r="Z104" s="24">
        <f>IF(Z97=1,IF('Lease Cycles'!$AJ$13=1,0,'Lease Cycles'!$D$13*INDEX('Lease Cycles'!$FH$13:$FN$13,1,Z95)*IF(INDEX('Lease Cycles'!$EF$13:$EL$13,1,Z95)=1,1,IF(OR(INDEX('Lease Cycles'!$DY$13:$EE$13,1,Z95)=1,Z96&gt;0),1,1-INDEX('Lease Cycles'!$DD$13:$DJ$13,1,Z95)))),0)</f>
        <v>0</v>
      </c>
      <c r="AA104" s="24">
        <f>IF(AA97=1,IF('Lease Cycles'!$AJ$13=1,0,'Lease Cycles'!$D$13*INDEX('Lease Cycles'!$FH$13:$FN$13,1,AA95)*IF(INDEX('Lease Cycles'!$EF$13:$EL$13,1,AA95)=1,1,IF(OR(INDEX('Lease Cycles'!$DY$13:$EE$13,1,AA95)=1,AA96&gt;0),1,1-INDEX('Lease Cycles'!$DD$13:$DJ$13,1,AA95)))),0)</f>
        <v>0</v>
      </c>
      <c r="AB104" s="24">
        <f>IF(AB97=1,IF('Lease Cycles'!$AJ$13=1,0,'Lease Cycles'!$D$13*INDEX('Lease Cycles'!$FH$13:$FN$13,1,AB95)*IF(INDEX('Lease Cycles'!$EF$13:$EL$13,1,AB95)=1,1,IF(OR(INDEX('Lease Cycles'!$DY$13:$EE$13,1,AB95)=1,AB96&gt;0),1,1-INDEX('Lease Cycles'!$DD$13:$DJ$13,1,AB95)))),0)</f>
        <v>0</v>
      </c>
      <c r="AC104" s="24">
        <f>IF(AC97=1,IF('Lease Cycles'!$AJ$13=1,0,'Lease Cycles'!$D$13*INDEX('Lease Cycles'!$FH$13:$FN$13,1,AC95)*IF(INDEX('Lease Cycles'!$EF$13:$EL$13,1,AC95)=1,1,IF(OR(INDEX('Lease Cycles'!$DY$13:$EE$13,1,AC95)=1,AC96&gt;0),1,1-INDEX('Lease Cycles'!$DD$13:$DJ$13,1,AC95)))),0)</f>
        <v>0</v>
      </c>
      <c r="AD104" s="24">
        <f>IF(AD97=1,IF('Lease Cycles'!$AJ$13=1,0,'Lease Cycles'!$D$13*INDEX('Lease Cycles'!$FH$13:$FN$13,1,AD95)*IF(INDEX('Lease Cycles'!$EF$13:$EL$13,1,AD95)=1,1,IF(OR(INDEX('Lease Cycles'!$DY$13:$EE$13,1,AD95)=1,AD96&gt;0),1,1-INDEX('Lease Cycles'!$DD$13:$DJ$13,1,AD95)))),0)</f>
        <v>0</v>
      </c>
      <c r="AE104" s="24">
        <f>IF(AE97=1,IF('Lease Cycles'!$AJ$13=1,0,'Lease Cycles'!$D$13*INDEX('Lease Cycles'!$FH$13:$FN$13,1,AE95)*IF(INDEX('Lease Cycles'!$EF$13:$EL$13,1,AE95)=1,1,IF(OR(INDEX('Lease Cycles'!$DY$13:$EE$13,1,AE95)=1,AE96&gt;0),1,1-INDEX('Lease Cycles'!$DD$13:$DJ$13,1,AE95)))),0)</f>
        <v>0</v>
      </c>
      <c r="AF104" s="24">
        <f>IF(AF97=1,IF('Lease Cycles'!$AJ$13=1,0,'Lease Cycles'!$D$13*INDEX('Lease Cycles'!$FH$13:$FN$13,1,AF95)*IF(INDEX('Lease Cycles'!$EF$13:$EL$13,1,AF95)=1,1,IF(OR(INDEX('Lease Cycles'!$DY$13:$EE$13,1,AF95)=1,AF96&gt;0),1,1-INDEX('Lease Cycles'!$DD$13:$DJ$13,1,AF95)))),0)</f>
        <v>0</v>
      </c>
      <c r="AG104" s="24">
        <f>IF(AG97=1,IF('Lease Cycles'!$AJ$13=1,0,'Lease Cycles'!$D$13*INDEX('Lease Cycles'!$FH$13:$FN$13,1,AG95)*IF(INDEX('Lease Cycles'!$EF$13:$EL$13,1,AG95)=1,1,IF(OR(INDEX('Lease Cycles'!$DY$13:$EE$13,1,AG95)=1,AG96&gt;0),1,1-INDEX('Lease Cycles'!$DD$13:$DJ$13,1,AG95)))),0)</f>
        <v>0</v>
      </c>
      <c r="AH104" s="24">
        <f>IF(AH97=1,IF('Lease Cycles'!$AJ$13=1,0,'Lease Cycles'!$D$13*INDEX('Lease Cycles'!$FH$13:$FN$13,1,AH95)*IF(INDEX('Lease Cycles'!$EF$13:$EL$13,1,AH95)=1,1,IF(OR(INDEX('Lease Cycles'!$DY$13:$EE$13,1,AH95)=1,AH96&gt;0),1,1-INDEX('Lease Cycles'!$DD$13:$DJ$13,1,AH95)))),0)</f>
        <v>0</v>
      </c>
      <c r="AI104" s="24">
        <f>IF(AI97=1,IF('Lease Cycles'!$AJ$13=1,0,'Lease Cycles'!$D$13*INDEX('Lease Cycles'!$FH$13:$FN$13,1,AI95)*IF(INDEX('Lease Cycles'!$EF$13:$EL$13,1,AI95)=1,1,IF(OR(INDEX('Lease Cycles'!$DY$13:$EE$13,1,AI95)=1,AI96&gt;0),1,1-INDEX('Lease Cycles'!$DD$13:$DJ$13,1,AI95)))),0)</f>
        <v>0</v>
      </c>
      <c r="AJ104" s="24">
        <f>IF(AJ97=1,IF('Lease Cycles'!$AJ$13=1,0,'Lease Cycles'!$D$13*INDEX('Lease Cycles'!$FH$13:$FN$13,1,AJ95)*IF(INDEX('Lease Cycles'!$EF$13:$EL$13,1,AJ95)=1,1,IF(OR(INDEX('Lease Cycles'!$DY$13:$EE$13,1,AJ95)=1,AJ96&gt;0),1,1-INDEX('Lease Cycles'!$DD$13:$DJ$13,1,AJ95)))),0)</f>
        <v>0</v>
      </c>
      <c r="AK104" s="24">
        <f>IF(AK97=1,IF('Lease Cycles'!$AJ$13=1,0,'Lease Cycles'!$D$13*INDEX('Lease Cycles'!$FH$13:$FN$13,1,AK95)*IF(INDEX('Lease Cycles'!$EF$13:$EL$13,1,AK95)=1,1,IF(OR(INDEX('Lease Cycles'!$DY$13:$EE$13,1,AK95)=1,AK96&gt;0),1,1-INDEX('Lease Cycles'!$DD$13:$DJ$13,1,AK95)))),0)</f>
        <v>0</v>
      </c>
      <c r="AL104" s="24">
        <f>IF(AL97=1,IF('Lease Cycles'!$AJ$13=1,0,'Lease Cycles'!$D$13*INDEX('Lease Cycles'!$FH$13:$FN$13,1,AL95)*IF(INDEX('Lease Cycles'!$EF$13:$EL$13,1,AL95)=1,1,IF(OR(INDEX('Lease Cycles'!$DY$13:$EE$13,1,AL95)=1,AL96&gt;0),1,1-INDEX('Lease Cycles'!$DD$13:$DJ$13,1,AL95)))),0)</f>
        <v>0</v>
      </c>
      <c r="AM104" s="24">
        <f>IF(AM97=1,IF('Lease Cycles'!$AJ$13=1,0,'Lease Cycles'!$D$13*INDEX('Lease Cycles'!$FH$13:$FN$13,1,AM95)*IF(INDEX('Lease Cycles'!$EF$13:$EL$13,1,AM95)=1,1,IF(OR(INDEX('Lease Cycles'!$DY$13:$EE$13,1,AM95)=1,AM96&gt;0),1,1-INDEX('Lease Cycles'!$DD$13:$DJ$13,1,AM95)))),0)</f>
        <v>0</v>
      </c>
      <c r="AN104" s="24">
        <f>IF(AN97=1,IF('Lease Cycles'!$AJ$13=1,0,'Lease Cycles'!$D$13*INDEX('Lease Cycles'!$FH$13:$FN$13,1,AN95)*IF(INDEX('Lease Cycles'!$EF$13:$EL$13,1,AN95)=1,1,IF(OR(INDEX('Lease Cycles'!$DY$13:$EE$13,1,AN95)=1,AN96&gt;0),1,1-INDEX('Lease Cycles'!$DD$13:$DJ$13,1,AN95)))),0)</f>
        <v>0</v>
      </c>
      <c r="AO104" s="24">
        <f>IF(AO97=1,IF('Lease Cycles'!$AJ$13=1,0,'Lease Cycles'!$D$13*INDEX('Lease Cycles'!$FH$13:$FN$13,1,AO95)*IF(INDEX('Lease Cycles'!$EF$13:$EL$13,1,AO95)=1,1,IF(OR(INDEX('Lease Cycles'!$DY$13:$EE$13,1,AO95)=1,AO96&gt;0),1,1-INDEX('Lease Cycles'!$DD$13:$DJ$13,1,AO95)))),0)</f>
        <v>0</v>
      </c>
      <c r="AP104" s="24">
        <f>IF(AP97=1,IF('Lease Cycles'!$AJ$13=1,0,'Lease Cycles'!$D$13*INDEX('Lease Cycles'!$FH$13:$FN$13,1,AP95)*IF(INDEX('Lease Cycles'!$EF$13:$EL$13,1,AP95)=1,1,IF(OR(INDEX('Lease Cycles'!$DY$13:$EE$13,1,AP95)=1,AP96&gt;0),1,1-INDEX('Lease Cycles'!$DD$13:$DJ$13,1,AP95)))),0)</f>
        <v>0</v>
      </c>
      <c r="AQ104" s="24">
        <f>IF(AQ97=1,IF('Lease Cycles'!$AJ$13=1,0,'Lease Cycles'!$D$13*INDEX('Lease Cycles'!$FH$13:$FN$13,1,AQ95)*IF(INDEX('Lease Cycles'!$EF$13:$EL$13,1,AQ95)=1,1,IF(OR(INDEX('Lease Cycles'!$DY$13:$EE$13,1,AQ95)=1,AQ96&gt;0),1,1-INDEX('Lease Cycles'!$DD$13:$DJ$13,1,AQ95)))),0)</f>
        <v>0</v>
      </c>
      <c r="AR104" s="24">
        <f>IF(AR97=1,IF('Lease Cycles'!$AJ$13=1,0,'Lease Cycles'!$D$13*INDEX('Lease Cycles'!$FH$13:$FN$13,1,AR95)*IF(INDEX('Lease Cycles'!$EF$13:$EL$13,1,AR95)=1,1,IF(OR(INDEX('Lease Cycles'!$DY$13:$EE$13,1,AR95)=1,AR96&gt;0),1,1-INDEX('Lease Cycles'!$DD$13:$DJ$13,1,AR95)))),0)</f>
        <v>0</v>
      </c>
      <c r="AS104" s="24">
        <f>IF(AS97=1,IF('Lease Cycles'!$AJ$13=1,0,'Lease Cycles'!$D$13*INDEX('Lease Cycles'!$FH$13:$FN$13,1,AS95)*IF(INDEX('Lease Cycles'!$EF$13:$EL$13,1,AS95)=1,1,IF(OR(INDEX('Lease Cycles'!$DY$13:$EE$13,1,AS95)=1,AS96&gt;0),1,1-INDEX('Lease Cycles'!$DD$13:$DJ$13,1,AS95)))),0)</f>
        <v>0</v>
      </c>
      <c r="AT104" s="24">
        <f>IF(AT97=1,IF('Lease Cycles'!$AJ$13=1,0,'Lease Cycles'!$D$13*INDEX('Lease Cycles'!$FH$13:$FN$13,1,AT95)*IF(INDEX('Lease Cycles'!$EF$13:$EL$13,1,AT95)=1,1,IF(OR(INDEX('Lease Cycles'!$DY$13:$EE$13,1,AT95)=1,AT96&gt;0),1,1-INDEX('Lease Cycles'!$DD$13:$DJ$13,1,AT95)))),0)</f>
        <v>0</v>
      </c>
      <c r="AU104" s="24">
        <f>IF(AU97=1,IF('Lease Cycles'!$AJ$13=1,0,'Lease Cycles'!$D$13*INDEX('Lease Cycles'!$FH$13:$FN$13,1,AU95)*IF(INDEX('Lease Cycles'!$EF$13:$EL$13,1,AU95)=1,1,IF(OR(INDEX('Lease Cycles'!$DY$13:$EE$13,1,AU95)=1,AU96&gt;0),1,1-INDEX('Lease Cycles'!$DD$13:$DJ$13,1,AU95)))),0)</f>
        <v>0</v>
      </c>
      <c r="AV104" s="24">
        <f>IF(AV97=1,IF('Lease Cycles'!$AJ$13=1,0,'Lease Cycles'!$D$13*INDEX('Lease Cycles'!$FH$13:$FN$13,1,AV95)*IF(INDEX('Lease Cycles'!$EF$13:$EL$13,1,AV95)=1,1,IF(OR(INDEX('Lease Cycles'!$DY$13:$EE$13,1,AV95)=1,AV96&gt;0),1,1-INDEX('Lease Cycles'!$DD$13:$DJ$13,1,AV95)))),0)</f>
        <v>0</v>
      </c>
      <c r="AW104" s="24">
        <f>IF(AW97=1,IF('Lease Cycles'!$AJ$13=1,0,'Lease Cycles'!$D$13*INDEX('Lease Cycles'!$FH$13:$FN$13,1,AW95)*IF(INDEX('Lease Cycles'!$EF$13:$EL$13,1,AW95)=1,1,IF(OR(INDEX('Lease Cycles'!$DY$13:$EE$13,1,AW95)=1,AW96&gt;0),1,1-INDEX('Lease Cycles'!$DD$13:$DJ$13,1,AW95)))),0)</f>
        <v>0</v>
      </c>
      <c r="AX104" s="24">
        <f>IF(AX97=1,IF('Lease Cycles'!$AJ$13=1,0,'Lease Cycles'!$D$13*INDEX('Lease Cycles'!$FH$13:$FN$13,1,AX95)*IF(INDEX('Lease Cycles'!$EF$13:$EL$13,1,AX95)=1,1,IF(OR(INDEX('Lease Cycles'!$DY$13:$EE$13,1,AX95)=1,AX96&gt;0),1,1-INDEX('Lease Cycles'!$DD$13:$DJ$13,1,AX95)))),0)</f>
        <v>0</v>
      </c>
      <c r="AY104" s="24">
        <f>IF(AY97=1,IF('Lease Cycles'!$AJ$13=1,0,'Lease Cycles'!$D$13*INDEX('Lease Cycles'!$FH$13:$FN$13,1,AY95)*IF(INDEX('Lease Cycles'!$EF$13:$EL$13,1,AY95)=1,1,IF(OR(INDEX('Lease Cycles'!$DY$13:$EE$13,1,AY95)=1,AY96&gt;0),1,1-INDEX('Lease Cycles'!$DD$13:$DJ$13,1,AY95)))),0)</f>
        <v>0</v>
      </c>
      <c r="AZ104" s="24">
        <f>IF(AZ97=1,IF('Lease Cycles'!$AJ$13=1,0,'Lease Cycles'!$D$13*INDEX('Lease Cycles'!$FH$13:$FN$13,1,AZ95)*IF(INDEX('Lease Cycles'!$EF$13:$EL$13,1,AZ95)=1,1,IF(OR(INDEX('Lease Cycles'!$DY$13:$EE$13,1,AZ95)=1,AZ96&gt;0),1,1-INDEX('Lease Cycles'!$DD$13:$DJ$13,1,AZ95)))),0)</f>
        <v>0</v>
      </c>
      <c r="BA104" s="24">
        <f>IF(BA97=1,IF('Lease Cycles'!$AJ$13=1,0,'Lease Cycles'!$D$13*INDEX('Lease Cycles'!$FH$13:$FN$13,1,BA95)*IF(INDEX('Lease Cycles'!$EF$13:$EL$13,1,BA95)=1,1,IF(OR(INDEX('Lease Cycles'!$DY$13:$EE$13,1,BA95)=1,BA96&gt;0),1,1-INDEX('Lease Cycles'!$DD$13:$DJ$13,1,BA95)))),0)</f>
        <v>0</v>
      </c>
      <c r="BB104" s="24">
        <f>IF(BB97=1,IF('Lease Cycles'!$AJ$13=1,0,'Lease Cycles'!$D$13*INDEX('Lease Cycles'!$FH$13:$FN$13,1,BB95)*IF(INDEX('Lease Cycles'!$EF$13:$EL$13,1,BB95)=1,1,IF(OR(INDEX('Lease Cycles'!$DY$13:$EE$13,1,BB95)=1,BB96&gt;0),1,1-INDEX('Lease Cycles'!$DD$13:$DJ$13,1,BB95)))),0)</f>
        <v>0</v>
      </c>
      <c r="BC104" s="24">
        <f>IF(BC97=1,IF('Lease Cycles'!$AJ$13=1,0,'Lease Cycles'!$D$13*INDEX('Lease Cycles'!$FH$13:$FN$13,1,BC95)*IF(INDEX('Lease Cycles'!$EF$13:$EL$13,1,BC95)=1,1,IF(OR(INDEX('Lease Cycles'!$DY$13:$EE$13,1,BC95)=1,BC96&gt;0),1,1-INDEX('Lease Cycles'!$DD$13:$DJ$13,1,BC95)))),0)</f>
        <v>0</v>
      </c>
      <c r="BD104" s="24">
        <f>IF(BD97=1,IF('Lease Cycles'!$AJ$13=1,0,'Lease Cycles'!$D$13*INDEX('Lease Cycles'!$FH$13:$FN$13,1,BD95)*IF(INDEX('Lease Cycles'!$EF$13:$EL$13,1,BD95)=1,1,IF(OR(INDEX('Lease Cycles'!$DY$13:$EE$13,1,BD95)=1,BD96&gt;0),1,1-INDEX('Lease Cycles'!$DD$13:$DJ$13,1,BD95)))),0)</f>
        <v>0</v>
      </c>
      <c r="BE104" s="24">
        <f>IF(BE97=1,IF('Lease Cycles'!$AJ$13=1,0,'Lease Cycles'!$D$13*INDEX('Lease Cycles'!$FH$13:$FN$13,1,BE95)*IF(INDEX('Lease Cycles'!$EF$13:$EL$13,1,BE95)=1,1,IF(OR(INDEX('Lease Cycles'!$DY$13:$EE$13,1,BE95)=1,BE96&gt;0),1,1-INDEX('Lease Cycles'!$DD$13:$DJ$13,1,BE95)))),0)</f>
        <v>0</v>
      </c>
      <c r="BF104" s="24">
        <f>IF(BF97=1,IF('Lease Cycles'!$AJ$13=1,0,'Lease Cycles'!$D$13*INDEX('Lease Cycles'!$FH$13:$FN$13,1,BF95)*IF(INDEX('Lease Cycles'!$EF$13:$EL$13,1,BF95)=1,1,IF(OR(INDEX('Lease Cycles'!$DY$13:$EE$13,1,BF95)=1,BF96&gt;0),1,1-INDEX('Lease Cycles'!$DD$13:$DJ$13,1,BF95)))),0)</f>
        <v>0</v>
      </c>
      <c r="BG104" s="24">
        <f>IF(BG97=1,IF('Lease Cycles'!$AJ$13=1,0,'Lease Cycles'!$D$13*INDEX('Lease Cycles'!$FH$13:$FN$13,1,BG95)*IF(INDEX('Lease Cycles'!$EF$13:$EL$13,1,BG95)=1,1,IF(OR(INDEX('Lease Cycles'!$DY$13:$EE$13,1,BG95)=1,BG96&gt;0),1,1-INDEX('Lease Cycles'!$DD$13:$DJ$13,1,BG95)))),0)</f>
        <v>0</v>
      </c>
      <c r="BH104" s="24">
        <f>IF(BH97=1,IF('Lease Cycles'!$AJ$13=1,0,'Lease Cycles'!$D$13*INDEX('Lease Cycles'!$FH$13:$FN$13,1,BH95)*IF(INDEX('Lease Cycles'!$EF$13:$EL$13,1,BH95)=1,1,IF(OR(INDEX('Lease Cycles'!$DY$13:$EE$13,1,BH95)=1,BH96&gt;0),1,1-INDEX('Lease Cycles'!$DD$13:$DJ$13,1,BH95)))),0)</f>
        <v>0</v>
      </c>
      <c r="BI104" s="24">
        <f>IF(BI97=1,IF('Lease Cycles'!$AJ$13=1,0,'Lease Cycles'!$D$13*INDEX('Lease Cycles'!$FH$13:$FN$13,1,BI95)*IF(INDEX('Lease Cycles'!$EF$13:$EL$13,1,BI95)=1,1,IF(OR(INDEX('Lease Cycles'!$DY$13:$EE$13,1,BI95)=1,BI96&gt;0),1,1-INDEX('Lease Cycles'!$DD$13:$DJ$13,1,BI95)))),0)</f>
        <v>0</v>
      </c>
      <c r="BJ104" s="24">
        <f>IF(BJ97=1,IF('Lease Cycles'!$AJ$13=1,0,'Lease Cycles'!$D$13*INDEX('Lease Cycles'!$FH$13:$FN$13,1,BJ95)*IF(INDEX('Lease Cycles'!$EF$13:$EL$13,1,BJ95)=1,1,IF(OR(INDEX('Lease Cycles'!$DY$13:$EE$13,1,BJ95)=1,BJ96&gt;0),1,1-INDEX('Lease Cycles'!$DD$13:$DJ$13,1,BJ95)))),0)</f>
        <v>0</v>
      </c>
      <c r="BK104" s="24">
        <f>IF(BK97=1,IF('Lease Cycles'!$AJ$13=1,0,'Lease Cycles'!$D$13*INDEX('Lease Cycles'!$FH$13:$FN$13,1,BK95)*IF(INDEX('Lease Cycles'!$EF$13:$EL$13,1,BK95)=1,1,IF(OR(INDEX('Lease Cycles'!$DY$13:$EE$13,1,BK95)=1,BK96&gt;0),1,1-INDEX('Lease Cycles'!$DD$13:$DJ$13,1,BK95)))),0)</f>
        <v>0</v>
      </c>
      <c r="BL104" s="24">
        <f>IF(BL97=1,IF('Lease Cycles'!$AJ$13=1,0,'Lease Cycles'!$D$13*INDEX('Lease Cycles'!$FH$13:$FN$13,1,BL95)*IF(INDEX('Lease Cycles'!$EF$13:$EL$13,1,BL95)=1,1,IF(OR(INDEX('Lease Cycles'!$DY$13:$EE$13,1,BL95)=1,BL96&gt;0),1,1-INDEX('Lease Cycles'!$DD$13:$DJ$13,1,BL95)))),0)</f>
        <v>0</v>
      </c>
      <c r="BM104" s="24">
        <f>IF(BM97=1,IF('Lease Cycles'!$AJ$13=1,0,'Lease Cycles'!$D$13*INDEX('Lease Cycles'!$FH$13:$FN$13,1,BM95)*IF(INDEX('Lease Cycles'!$EF$13:$EL$13,1,BM95)=1,1,IF(OR(INDEX('Lease Cycles'!$DY$13:$EE$13,1,BM95)=1,BM96&gt;0),1,1-INDEX('Lease Cycles'!$DD$13:$DJ$13,1,BM95)))),0)</f>
        <v>0</v>
      </c>
      <c r="BN104" s="24">
        <f>IF(BN97=1,IF('Lease Cycles'!$AJ$13=1,0,'Lease Cycles'!$D$13*INDEX('Lease Cycles'!$FH$13:$FN$13,1,BN95)*IF(INDEX('Lease Cycles'!$EF$13:$EL$13,1,BN95)=1,1,IF(OR(INDEX('Lease Cycles'!$DY$13:$EE$13,1,BN95)=1,BN96&gt;0),1,1-INDEX('Lease Cycles'!$DD$13:$DJ$13,1,BN95)))),0)</f>
        <v>0</v>
      </c>
      <c r="BO104" s="24">
        <f>IF(BO97=1,IF('Lease Cycles'!$AJ$13=1,0,'Lease Cycles'!$D$13*INDEX('Lease Cycles'!$FH$13:$FN$13,1,BO95)*IF(INDEX('Lease Cycles'!$EF$13:$EL$13,1,BO95)=1,1,IF(OR(INDEX('Lease Cycles'!$DY$13:$EE$13,1,BO95)=1,BO96&gt;0),1,1-INDEX('Lease Cycles'!$DD$13:$DJ$13,1,BO95)))),0)</f>
        <v>0</v>
      </c>
      <c r="BP104" s="24">
        <f>IF(BP97=1,IF('Lease Cycles'!$AJ$13=1,0,'Lease Cycles'!$D$13*INDEX('Lease Cycles'!$FH$13:$FN$13,1,BP95)*IF(INDEX('Lease Cycles'!$EF$13:$EL$13,1,BP95)=1,1,IF(OR(INDEX('Lease Cycles'!$DY$13:$EE$13,1,BP95)=1,BP96&gt;0),1,1-INDEX('Lease Cycles'!$DD$13:$DJ$13,1,BP95)))),0)</f>
        <v>0</v>
      </c>
      <c r="BQ104" s="24">
        <f>IF(BQ97=1,IF('Lease Cycles'!$AJ$13=1,0,'Lease Cycles'!$D$13*INDEX('Lease Cycles'!$FH$13:$FN$13,1,BQ95)*IF(INDEX('Lease Cycles'!$EF$13:$EL$13,1,BQ95)=1,1,IF(OR(INDEX('Lease Cycles'!$DY$13:$EE$13,1,BQ95)=1,BQ96&gt;0),1,1-INDEX('Lease Cycles'!$DD$13:$DJ$13,1,BQ95)))),0)</f>
        <v>0</v>
      </c>
      <c r="BR104" s="24">
        <f>IF(BR97=1,IF('Lease Cycles'!$AJ$13=1,0,'Lease Cycles'!$D$13*INDEX('Lease Cycles'!$FH$13:$FN$13,1,BR95)*IF(INDEX('Lease Cycles'!$EF$13:$EL$13,1,BR95)=1,1,IF(OR(INDEX('Lease Cycles'!$DY$13:$EE$13,1,BR95)=1,BR96&gt;0),1,1-INDEX('Lease Cycles'!$DD$13:$DJ$13,1,BR95)))),0)</f>
        <v>0</v>
      </c>
      <c r="BS104" s="24">
        <f>IF(BS97=1,IF('Lease Cycles'!$AJ$13=1,0,'Lease Cycles'!$D$13*INDEX('Lease Cycles'!$FH$13:$FN$13,1,BS95)*IF(INDEX('Lease Cycles'!$EF$13:$EL$13,1,BS95)=1,1,IF(OR(INDEX('Lease Cycles'!$DY$13:$EE$13,1,BS95)=1,BS96&gt;0),1,1-INDEX('Lease Cycles'!$DD$13:$DJ$13,1,BS95)))),0)</f>
        <v>0</v>
      </c>
      <c r="BT104" s="24">
        <f>IF(BT97=1,IF('Lease Cycles'!$AJ$13=1,0,'Lease Cycles'!$D$13*INDEX('Lease Cycles'!$FH$13:$FN$13,1,BT95)*IF(INDEX('Lease Cycles'!$EF$13:$EL$13,1,BT95)=1,1,IF(OR(INDEX('Lease Cycles'!$DY$13:$EE$13,1,BT95)=1,BT96&gt;0),1,1-INDEX('Lease Cycles'!$DD$13:$DJ$13,1,BT95)))),0)</f>
        <v>0</v>
      </c>
      <c r="BU104" s="24">
        <f>IF(BU97=1,IF('Lease Cycles'!$AJ$13=1,0,'Lease Cycles'!$D$13*INDEX('Lease Cycles'!$FH$13:$FN$13,1,BU95)*IF(INDEX('Lease Cycles'!$EF$13:$EL$13,1,BU95)=1,1,IF(OR(INDEX('Lease Cycles'!$DY$13:$EE$13,1,BU95)=1,BU96&gt;0),1,1-INDEX('Lease Cycles'!$DD$13:$DJ$13,1,BU95)))),0)</f>
        <v>0</v>
      </c>
      <c r="BV104" s="24">
        <f>IF(BV97=1,IF('Lease Cycles'!$AJ$13=1,0,'Lease Cycles'!$D$13*INDEX('Lease Cycles'!$FH$13:$FN$13,1,BV95)*IF(INDEX('Lease Cycles'!$EF$13:$EL$13,1,BV95)=1,1,IF(OR(INDEX('Lease Cycles'!$DY$13:$EE$13,1,BV95)=1,BV96&gt;0),1,1-INDEX('Lease Cycles'!$DD$13:$DJ$13,1,BV95)))),0)</f>
        <v>0</v>
      </c>
      <c r="BW104" s="24">
        <f>IF(BW97=1,IF('Lease Cycles'!$AJ$13=1,0,'Lease Cycles'!$D$13*INDEX('Lease Cycles'!$FH$13:$FN$13,1,BW95)*IF(INDEX('Lease Cycles'!$EF$13:$EL$13,1,BW95)=1,1,IF(OR(INDEX('Lease Cycles'!$DY$13:$EE$13,1,BW95)=1,BW96&gt;0),1,1-INDEX('Lease Cycles'!$DD$13:$DJ$13,1,BW95)))),0)</f>
        <v>0</v>
      </c>
      <c r="BX104" s="24">
        <f>IF(BX97=1,IF('Lease Cycles'!$AJ$13=1,0,'Lease Cycles'!$D$13*INDEX('Lease Cycles'!$FH$13:$FN$13,1,BX95)*IF(INDEX('Lease Cycles'!$EF$13:$EL$13,1,BX95)=1,1,IF(OR(INDEX('Lease Cycles'!$DY$13:$EE$13,1,BX95)=1,BX96&gt;0),1,1-INDEX('Lease Cycles'!$DD$13:$DJ$13,1,BX95)))),0)</f>
        <v>0</v>
      </c>
      <c r="BY104" s="24">
        <f>IF(BY97=1,IF('Lease Cycles'!$AJ$13=1,0,'Lease Cycles'!$D$13*INDEX('Lease Cycles'!$FH$13:$FN$13,1,BY95)*IF(INDEX('Lease Cycles'!$EF$13:$EL$13,1,BY95)=1,1,IF(OR(INDEX('Lease Cycles'!$DY$13:$EE$13,1,BY95)=1,BY96&gt;0),1,1-INDEX('Lease Cycles'!$DD$13:$DJ$13,1,BY95)))),0)</f>
        <v>0</v>
      </c>
      <c r="BZ104" s="24">
        <f>IF(BZ97=1,IF('Lease Cycles'!$AJ$13=1,0,'Lease Cycles'!$D$13*INDEX('Lease Cycles'!$FH$13:$FN$13,1,BZ95)*IF(INDEX('Lease Cycles'!$EF$13:$EL$13,1,BZ95)=1,1,IF(OR(INDEX('Lease Cycles'!$DY$13:$EE$13,1,BZ95)=1,BZ96&gt;0),1,1-INDEX('Lease Cycles'!$DD$13:$DJ$13,1,BZ95)))),0)</f>
        <v>0</v>
      </c>
      <c r="CA104" s="24">
        <f>IF(CA97=1,IF('Lease Cycles'!$AJ$13=1,0,'Lease Cycles'!$D$13*INDEX('Lease Cycles'!$FH$13:$FN$13,1,CA95)*IF(INDEX('Lease Cycles'!$EF$13:$EL$13,1,CA95)=1,1,IF(OR(INDEX('Lease Cycles'!$DY$13:$EE$13,1,CA95)=1,CA96&gt;0),1,1-INDEX('Lease Cycles'!$DD$13:$DJ$13,1,CA95)))),0)</f>
        <v>0</v>
      </c>
      <c r="CB104" s="24">
        <f>IF(CB97=1,IF('Lease Cycles'!$AJ$13=1,0,'Lease Cycles'!$D$13*INDEX('Lease Cycles'!$FH$13:$FN$13,1,CB95)*IF(INDEX('Lease Cycles'!$EF$13:$EL$13,1,CB95)=1,1,IF(OR(INDEX('Lease Cycles'!$DY$13:$EE$13,1,CB95)=1,CB96&gt;0),1,1-INDEX('Lease Cycles'!$DD$13:$DJ$13,1,CB95)))),0)</f>
        <v>0</v>
      </c>
      <c r="CC104" s="24">
        <f>IF(CC97=1,IF('Lease Cycles'!$AJ$13=1,0,'Lease Cycles'!$D$13*INDEX('Lease Cycles'!$FH$13:$FN$13,1,CC95)*IF(INDEX('Lease Cycles'!$EF$13:$EL$13,1,CC95)=1,1,IF(OR(INDEX('Lease Cycles'!$DY$13:$EE$13,1,CC95)=1,CC96&gt;0),1,1-INDEX('Lease Cycles'!$DD$13:$DJ$13,1,CC95)))),0)</f>
        <v>0</v>
      </c>
      <c r="CD104" s="24">
        <f>IF(CD97=1,IF('Lease Cycles'!$AJ$13=1,0,'Lease Cycles'!$D$13*INDEX('Lease Cycles'!$FH$13:$FN$13,1,CD95)*IF(INDEX('Lease Cycles'!$EF$13:$EL$13,1,CD95)=1,1,IF(OR(INDEX('Lease Cycles'!$DY$13:$EE$13,1,CD95)=1,CD96&gt;0),1,1-INDEX('Lease Cycles'!$DD$13:$DJ$13,1,CD95)))),0)</f>
        <v>0</v>
      </c>
      <c r="CE104" s="24">
        <f>IF(CE97=1,IF('Lease Cycles'!$AJ$13=1,0,'Lease Cycles'!$D$13*INDEX('Lease Cycles'!$FH$13:$FN$13,1,CE95)*IF(INDEX('Lease Cycles'!$EF$13:$EL$13,1,CE95)=1,1,IF(OR(INDEX('Lease Cycles'!$DY$13:$EE$13,1,CE95)=1,CE96&gt;0),1,1-INDEX('Lease Cycles'!$DD$13:$DJ$13,1,CE95)))),0)</f>
        <v>0</v>
      </c>
      <c r="CF104" s="24">
        <f>IF(CF97=1,IF('Lease Cycles'!$AJ$13=1,0,'Lease Cycles'!$D$13*INDEX('Lease Cycles'!$FH$13:$FN$13,1,CF95)*IF(INDEX('Lease Cycles'!$EF$13:$EL$13,1,CF95)=1,1,IF(OR(INDEX('Lease Cycles'!$DY$13:$EE$13,1,CF95)=1,CF96&gt;0),1,1-INDEX('Lease Cycles'!$DD$13:$DJ$13,1,CF95)))),0)</f>
        <v>0</v>
      </c>
      <c r="CG104" s="24">
        <f>IF(CG97=1,IF('Lease Cycles'!$AJ$13=1,0,'Lease Cycles'!$D$13*INDEX('Lease Cycles'!$FH$13:$FN$13,1,CG95)*IF(INDEX('Lease Cycles'!$EF$13:$EL$13,1,CG95)=1,1,IF(OR(INDEX('Lease Cycles'!$DY$13:$EE$13,1,CG95)=1,CG96&gt;0),1,1-INDEX('Lease Cycles'!$DD$13:$DJ$13,1,CG95)))),0)</f>
        <v>0</v>
      </c>
      <c r="CH104" s="24">
        <f>IF(CH97=1,IF('Lease Cycles'!$AJ$13=1,0,'Lease Cycles'!$D$13*INDEX('Lease Cycles'!$FH$13:$FN$13,1,CH95)*IF(INDEX('Lease Cycles'!$EF$13:$EL$13,1,CH95)=1,1,IF(OR(INDEX('Lease Cycles'!$DY$13:$EE$13,1,CH95)=1,CH96&gt;0),1,1-INDEX('Lease Cycles'!$DD$13:$DJ$13,1,CH95)))),0)</f>
        <v>0</v>
      </c>
      <c r="CI104" s="24">
        <f>IF(CI97=1,IF('Lease Cycles'!$AJ$13=1,0,'Lease Cycles'!$D$13*INDEX('Lease Cycles'!$FH$13:$FN$13,1,CI95)*IF(INDEX('Lease Cycles'!$EF$13:$EL$13,1,CI95)=1,1,IF(OR(INDEX('Lease Cycles'!$DY$13:$EE$13,1,CI95)=1,CI96&gt;0),1,1-INDEX('Lease Cycles'!$DD$13:$DJ$13,1,CI95)))),0)</f>
        <v>0</v>
      </c>
      <c r="CJ104" s="24">
        <f>IF(CJ97=1,IF('Lease Cycles'!$AJ$13=1,0,'Lease Cycles'!$D$13*INDEX('Lease Cycles'!$FH$13:$FN$13,1,CJ95)*IF(INDEX('Lease Cycles'!$EF$13:$EL$13,1,CJ95)=1,1,IF(OR(INDEX('Lease Cycles'!$DY$13:$EE$13,1,CJ95)=1,CJ96&gt;0),1,1-INDEX('Lease Cycles'!$DD$13:$DJ$13,1,CJ95)))),0)</f>
        <v>0</v>
      </c>
      <c r="CK104" s="24">
        <f>IF(CK97=1,IF('Lease Cycles'!$AJ$13=1,0,'Lease Cycles'!$D$13*INDEX('Lease Cycles'!$FH$13:$FN$13,1,CK95)*IF(INDEX('Lease Cycles'!$EF$13:$EL$13,1,CK95)=1,1,IF(OR(INDEX('Lease Cycles'!$DY$13:$EE$13,1,CK95)=1,CK96&gt;0),1,1-INDEX('Lease Cycles'!$DD$13:$DJ$13,1,CK95)))),0)</f>
        <v>0</v>
      </c>
      <c r="CL104" s="24">
        <f>IF(CL97=1,IF('Lease Cycles'!$AJ$13=1,0,'Lease Cycles'!$D$13*INDEX('Lease Cycles'!$FH$13:$FN$13,1,CL95)*IF(INDEX('Lease Cycles'!$EF$13:$EL$13,1,CL95)=1,1,IF(OR(INDEX('Lease Cycles'!$DY$13:$EE$13,1,CL95)=1,CL96&gt;0),1,1-INDEX('Lease Cycles'!$DD$13:$DJ$13,1,CL95)))),0)</f>
        <v>0</v>
      </c>
      <c r="CM104" s="24">
        <f>IF(CM97=1,IF('Lease Cycles'!$AJ$13=1,0,'Lease Cycles'!$D$13*INDEX('Lease Cycles'!$FH$13:$FN$13,1,CM95)*IF(INDEX('Lease Cycles'!$EF$13:$EL$13,1,CM95)=1,1,IF(OR(INDEX('Lease Cycles'!$DY$13:$EE$13,1,CM95)=1,CM96&gt;0),1,1-INDEX('Lease Cycles'!$DD$13:$DJ$13,1,CM95)))),0)</f>
        <v>0</v>
      </c>
      <c r="CN104" s="24">
        <f>IF(CN97=1,IF('Lease Cycles'!$AJ$13=1,0,'Lease Cycles'!$D$13*INDEX('Lease Cycles'!$FH$13:$FN$13,1,CN95)*IF(INDEX('Lease Cycles'!$EF$13:$EL$13,1,CN95)=1,1,IF(OR(INDEX('Lease Cycles'!$DY$13:$EE$13,1,CN95)=1,CN96&gt;0),1,1-INDEX('Lease Cycles'!$DD$13:$DJ$13,1,CN95)))),0)</f>
        <v>0</v>
      </c>
      <c r="CO104" s="24">
        <f>IF(CO97=1,IF('Lease Cycles'!$AJ$13=1,0,'Lease Cycles'!$D$13*INDEX('Lease Cycles'!$FH$13:$FN$13,1,CO95)*IF(INDEX('Lease Cycles'!$EF$13:$EL$13,1,CO95)=1,1,IF(OR(INDEX('Lease Cycles'!$DY$13:$EE$13,1,CO95)=1,CO96&gt;0),1,1-INDEX('Lease Cycles'!$DD$13:$DJ$13,1,CO95)))),0)</f>
        <v>0</v>
      </c>
      <c r="CP104" s="24">
        <f>IF(CP97=1,IF('Lease Cycles'!$AJ$13=1,0,'Lease Cycles'!$D$13*INDEX('Lease Cycles'!$FH$13:$FN$13,1,CP95)*IF(INDEX('Lease Cycles'!$EF$13:$EL$13,1,CP95)=1,1,IF(OR(INDEX('Lease Cycles'!$DY$13:$EE$13,1,CP95)=1,CP96&gt;0),1,1-INDEX('Lease Cycles'!$DD$13:$DJ$13,1,CP95)))),0)</f>
        <v>0</v>
      </c>
      <c r="CQ104" s="24">
        <f>IF(CQ97=1,IF('Lease Cycles'!$AJ$13=1,0,'Lease Cycles'!$D$13*INDEX('Lease Cycles'!$FH$13:$FN$13,1,CQ95)*IF(INDEX('Lease Cycles'!$EF$13:$EL$13,1,CQ95)=1,1,IF(OR(INDEX('Lease Cycles'!$DY$13:$EE$13,1,CQ95)=1,CQ96&gt;0),1,1-INDEX('Lease Cycles'!$DD$13:$DJ$13,1,CQ95)))),0)</f>
        <v>0</v>
      </c>
      <c r="CR104" s="24">
        <f>IF(CR97=1,IF('Lease Cycles'!$AJ$13=1,0,'Lease Cycles'!$D$13*INDEX('Lease Cycles'!$FH$13:$FN$13,1,CR95)*IF(INDEX('Lease Cycles'!$EF$13:$EL$13,1,CR95)=1,1,IF(OR(INDEX('Lease Cycles'!$DY$13:$EE$13,1,CR95)=1,CR96&gt;0),1,1-INDEX('Lease Cycles'!$DD$13:$DJ$13,1,CR95)))),0)</f>
        <v>0</v>
      </c>
      <c r="CS104" s="24">
        <f>IF(CS97=1,IF('Lease Cycles'!$AJ$13=1,0,'Lease Cycles'!$D$13*INDEX('Lease Cycles'!$FH$13:$FN$13,1,CS95)*IF(INDEX('Lease Cycles'!$EF$13:$EL$13,1,CS95)=1,1,IF(OR(INDEX('Lease Cycles'!$DY$13:$EE$13,1,CS95)=1,CS96&gt;0),1,1-INDEX('Lease Cycles'!$DD$13:$DJ$13,1,CS95)))),0)</f>
        <v>0</v>
      </c>
      <c r="CT104" s="24">
        <f>IF(CT97=1,IF('Lease Cycles'!$AJ$13=1,0,'Lease Cycles'!$D$13*INDEX('Lease Cycles'!$FH$13:$FN$13,1,CT95)*IF(INDEX('Lease Cycles'!$EF$13:$EL$13,1,CT95)=1,1,IF(OR(INDEX('Lease Cycles'!$DY$13:$EE$13,1,CT95)=1,CT96&gt;0),1,1-INDEX('Lease Cycles'!$DD$13:$DJ$13,1,CT95)))),0)</f>
        <v>0</v>
      </c>
      <c r="CU104" s="24">
        <f>IF(CU97=1,IF('Lease Cycles'!$AJ$13=1,0,'Lease Cycles'!$D$13*INDEX('Lease Cycles'!$FH$13:$FN$13,1,CU95)*IF(INDEX('Lease Cycles'!$EF$13:$EL$13,1,CU95)=1,1,IF(OR(INDEX('Lease Cycles'!$DY$13:$EE$13,1,CU95)=1,CU96&gt;0),1,1-INDEX('Lease Cycles'!$DD$13:$DJ$13,1,CU95)))),0)</f>
        <v>0</v>
      </c>
      <c r="CV104" s="24">
        <f>IF(CV97=1,IF('Lease Cycles'!$AJ$13=1,0,'Lease Cycles'!$D$13*INDEX('Lease Cycles'!$FH$13:$FN$13,1,CV95)*IF(INDEX('Lease Cycles'!$EF$13:$EL$13,1,CV95)=1,1,IF(OR(INDEX('Lease Cycles'!$DY$13:$EE$13,1,CV95)=1,CV96&gt;0),1,1-INDEX('Lease Cycles'!$DD$13:$DJ$13,1,CV95)))),0)</f>
        <v>0</v>
      </c>
      <c r="CW104" s="24">
        <f>IF(CW97=1,IF('Lease Cycles'!$AJ$13=1,0,'Lease Cycles'!$D$13*INDEX('Lease Cycles'!$FH$13:$FN$13,1,CW95)*IF(INDEX('Lease Cycles'!$EF$13:$EL$13,1,CW95)=1,1,IF(OR(INDEX('Lease Cycles'!$DY$13:$EE$13,1,CW95)=1,CW96&gt;0),1,1-INDEX('Lease Cycles'!$DD$13:$DJ$13,1,CW95)))),0)</f>
        <v>0</v>
      </c>
      <c r="CX104" s="24">
        <f>IF(CX97=1,IF('Lease Cycles'!$AJ$13=1,0,'Lease Cycles'!$D$13*INDEX('Lease Cycles'!$FH$13:$FN$13,1,CX95)*IF(INDEX('Lease Cycles'!$EF$13:$EL$13,1,CX95)=1,1,IF(OR(INDEX('Lease Cycles'!$DY$13:$EE$13,1,CX95)=1,CX96&gt;0),1,1-INDEX('Lease Cycles'!$DD$13:$DJ$13,1,CX95)))),0)</f>
        <v>0</v>
      </c>
      <c r="CY104" s="24">
        <f>IF(CY97=1,IF('Lease Cycles'!$AJ$13=1,0,'Lease Cycles'!$D$13*INDEX('Lease Cycles'!$FH$13:$FN$13,1,CY95)*IF(INDEX('Lease Cycles'!$EF$13:$EL$13,1,CY95)=1,1,IF(OR(INDEX('Lease Cycles'!$DY$13:$EE$13,1,CY95)=1,CY96&gt;0),1,1-INDEX('Lease Cycles'!$DD$13:$DJ$13,1,CY95)))),0)</f>
        <v>0</v>
      </c>
      <c r="CZ104" s="24">
        <f>IF(CZ97=1,IF('Lease Cycles'!$AJ$13=1,0,'Lease Cycles'!$D$13*INDEX('Lease Cycles'!$FH$13:$FN$13,1,CZ95)*IF(INDEX('Lease Cycles'!$EF$13:$EL$13,1,CZ95)=1,1,IF(OR(INDEX('Lease Cycles'!$DY$13:$EE$13,1,CZ95)=1,CZ96&gt;0),1,1-INDEX('Lease Cycles'!$DD$13:$DJ$13,1,CZ95)))),0)</f>
        <v>0</v>
      </c>
      <c r="DA104" s="24">
        <f>IF(DA97=1,IF('Lease Cycles'!$AJ$13=1,0,'Lease Cycles'!$D$13*INDEX('Lease Cycles'!$FH$13:$FN$13,1,DA95)*IF(INDEX('Lease Cycles'!$EF$13:$EL$13,1,DA95)=1,1,IF(OR(INDEX('Lease Cycles'!$DY$13:$EE$13,1,DA95)=1,DA96&gt;0),1,1-INDEX('Lease Cycles'!$DD$13:$DJ$13,1,DA95)))),0)</f>
        <v>0</v>
      </c>
      <c r="DB104" s="24">
        <f>IF(DB97=1,IF('Lease Cycles'!$AJ$13=1,0,'Lease Cycles'!$D$13*INDEX('Lease Cycles'!$FH$13:$FN$13,1,DB95)*IF(INDEX('Lease Cycles'!$EF$13:$EL$13,1,DB95)=1,1,IF(OR(INDEX('Lease Cycles'!$DY$13:$EE$13,1,DB95)=1,DB96&gt;0),1,1-INDEX('Lease Cycles'!$DD$13:$DJ$13,1,DB95)))),0)</f>
        <v>0</v>
      </c>
      <c r="DC104" s="24">
        <f>IF(DC97=1,IF('Lease Cycles'!$AJ$13=1,0,'Lease Cycles'!$D$13*INDEX('Lease Cycles'!$FH$13:$FN$13,1,DC95)*IF(INDEX('Lease Cycles'!$EF$13:$EL$13,1,DC95)=1,1,IF(OR(INDEX('Lease Cycles'!$DY$13:$EE$13,1,DC95)=1,DC96&gt;0),1,1-INDEX('Lease Cycles'!$DD$13:$DJ$13,1,DC95)))),0)</f>
        <v>0</v>
      </c>
      <c r="DD104" s="24">
        <f>IF(DD97=1,IF('Lease Cycles'!$AJ$13=1,0,'Lease Cycles'!$D$13*INDEX('Lease Cycles'!$FH$13:$FN$13,1,DD95)*IF(INDEX('Lease Cycles'!$EF$13:$EL$13,1,DD95)=1,1,IF(OR(INDEX('Lease Cycles'!$DY$13:$EE$13,1,DD95)=1,DD96&gt;0),1,1-INDEX('Lease Cycles'!$DD$13:$DJ$13,1,DD95)))),0)</f>
        <v>0</v>
      </c>
      <c r="DE104" s="24">
        <f>IF(DE97=1,IF('Lease Cycles'!$AJ$13=1,0,'Lease Cycles'!$D$13*INDEX('Lease Cycles'!$FH$13:$FN$13,1,DE95)*IF(INDEX('Lease Cycles'!$EF$13:$EL$13,1,DE95)=1,1,IF(OR(INDEX('Lease Cycles'!$DY$13:$EE$13,1,DE95)=1,DE96&gt;0),1,1-INDEX('Lease Cycles'!$DD$13:$DJ$13,1,DE95)))),0)</f>
        <v>0</v>
      </c>
      <c r="DF104" s="24">
        <f>IF(DF97=1,IF('Lease Cycles'!$AJ$13=1,0,'Lease Cycles'!$D$13*INDEX('Lease Cycles'!$FH$13:$FN$13,1,DF95)*IF(INDEX('Lease Cycles'!$EF$13:$EL$13,1,DF95)=1,1,IF(OR(INDEX('Lease Cycles'!$DY$13:$EE$13,1,DF95)=1,DF96&gt;0),1,1-INDEX('Lease Cycles'!$DD$13:$DJ$13,1,DF95)))),0)</f>
        <v>0</v>
      </c>
      <c r="DG104" s="24">
        <f>IF(DG97=1,IF('Lease Cycles'!$AJ$13=1,0,'Lease Cycles'!$D$13*INDEX('Lease Cycles'!$FH$13:$FN$13,1,DG95)*IF(INDEX('Lease Cycles'!$EF$13:$EL$13,1,DG95)=1,1,IF(OR(INDEX('Lease Cycles'!$DY$13:$EE$13,1,DG95)=1,DG96&gt;0),1,1-INDEX('Lease Cycles'!$DD$13:$DJ$13,1,DG95)))),0)</f>
        <v>0</v>
      </c>
      <c r="DH104" s="24">
        <f>IF(DH97=1,IF('Lease Cycles'!$AJ$13=1,0,'Lease Cycles'!$D$13*INDEX('Lease Cycles'!$FH$13:$FN$13,1,DH95)*IF(INDEX('Lease Cycles'!$EF$13:$EL$13,1,DH95)=1,1,IF(OR(INDEX('Lease Cycles'!$DY$13:$EE$13,1,DH95)=1,DH96&gt;0),1,1-INDEX('Lease Cycles'!$DD$13:$DJ$13,1,DH95)))),0)</f>
        <v>0</v>
      </c>
      <c r="DI104" s="24">
        <f>IF(DI97=1,IF('Lease Cycles'!$AJ$13=1,0,'Lease Cycles'!$D$13*INDEX('Lease Cycles'!$FH$13:$FN$13,1,DI95)*IF(INDEX('Lease Cycles'!$EF$13:$EL$13,1,DI95)=1,1,IF(OR(INDEX('Lease Cycles'!$DY$13:$EE$13,1,DI95)=1,DI96&gt;0),1,1-INDEX('Lease Cycles'!$DD$13:$DJ$13,1,DI95)))),0)</f>
        <v>0</v>
      </c>
      <c r="DJ104" s="24">
        <f>IF(DJ97=1,IF('Lease Cycles'!$AJ$13=1,0,'Lease Cycles'!$D$13*INDEX('Lease Cycles'!$FH$13:$FN$13,1,DJ95)*IF(INDEX('Lease Cycles'!$EF$13:$EL$13,1,DJ95)=1,1,IF(OR(INDEX('Lease Cycles'!$DY$13:$EE$13,1,DJ95)=1,DJ96&gt;0),1,1-INDEX('Lease Cycles'!$DD$13:$DJ$13,1,DJ95)))),0)</f>
        <v>0</v>
      </c>
      <c r="DK104" s="24">
        <f>IF(DK97=1,IF('Lease Cycles'!$AJ$13=1,0,'Lease Cycles'!$D$13*INDEX('Lease Cycles'!$FH$13:$FN$13,1,DK95)*IF(INDEX('Lease Cycles'!$EF$13:$EL$13,1,DK95)=1,1,IF(OR(INDEX('Lease Cycles'!$DY$13:$EE$13,1,DK95)=1,DK96&gt;0),1,1-INDEX('Lease Cycles'!$DD$13:$DJ$13,1,DK95)))),0)</f>
        <v>0</v>
      </c>
      <c r="DL104" s="24">
        <f>IF(DL97=1,IF('Lease Cycles'!$AJ$13=1,0,'Lease Cycles'!$D$13*INDEX('Lease Cycles'!$FH$13:$FN$13,1,DL95)*IF(INDEX('Lease Cycles'!$EF$13:$EL$13,1,DL95)=1,1,IF(OR(INDEX('Lease Cycles'!$DY$13:$EE$13,1,DL95)=1,DL96&gt;0),1,1-INDEX('Lease Cycles'!$DD$13:$DJ$13,1,DL95)))),0)</f>
        <v>0</v>
      </c>
      <c r="DM104" s="24">
        <f>IF(DM97=1,IF('Lease Cycles'!$AJ$13=1,0,'Lease Cycles'!$D$13*INDEX('Lease Cycles'!$FH$13:$FN$13,1,DM95)*IF(INDEX('Lease Cycles'!$EF$13:$EL$13,1,DM95)=1,1,IF(OR(INDEX('Lease Cycles'!$DY$13:$EE$13,1,DM95)=1,DM96&gt;0),1,1-INDEX('Lease Cycles'!$DD$13:$DJ$13,1,DM95)))),0)</f>
        <v>0</v>
      </c>
      <c r="DN104" s="24">
        <f>IF(DN97=1,IF('Lease Cycles'!$AJ$13=1,0,'Lease Cycles'!$D$13*INDEX('Lease Cycles'!$FH$13:$FN$13,1,DN95)*IF(INDEX('Lease Cycles'!$EF$13:$EL$13,1,DN95)=1,1,IF(OR(INDEX('Lease Cycles'!$DY$13:$EE$13,1,DN95)=1,DN96&gt;0),1,1-INDEX('Lease Cycles'!$DD$13:$DJ$13,1,DN95)))),0)</f>
        <v>0</v>
      </c>
      <c r="DO104" s="24">
        <f>IF(DO97=1,IF('Lease Cycles'!$AJ$13=1,0,'Lease Cycles'!$D$13*INDEX('Lease Cycles'!$FH$13:$FN$13,1,DO95)*IF(INDEX('Lease Cycles'!$EF$13:$EL$13,1,DO95)=1,1,IF(OR(INDEX('Lease Cycles'!$DY$13:$EE$13,1,DO95)=1,DO96&gt;0),1,1-INDEX('Lease Cycles'!$DD$13:$DJ$13,1,DO95)))),0)</f>
        <v>0</v>
      </c>
      <c r="DP104" s="24">
        <f>IF(DP97=1,IF('Lease Cycles'!$AJ$13=1,0,'Lease Cycles'!$D$13*INDEX('Lease Cycles'!$FH$13:$FN$13,1,DP95)*IF(INDEX('Lease Cycles'!$EF$13:$EL$13,1,DP95)=1,1,IF(OR(INDEX('Lease Cycles'!$DY$13:$EE$13,1,DP95)=1,DP96&gt;0),1,1-INDEX('Lease Cycles'!$DD$13:$DJ$13,1,DP95)))),0)</f>
        <v>0</v>
      </c>
      <c r="DQ104" s="24">
        <f>IF(DQ97=1,IF('Lease Cycles'!$AJ$13=1,0,'Lease Cycles'!$D$13*INDEX('Lease Cycles'!$FH$13:$FN$13,1,DQ95)*IF(INDEX('Lease Cycles'!$EF$13:$EL$13,1,DQ95)=1,1,IF(OR(INDEX('Lease Cycles'!$DY$13:$EE$13,1,DQ95)=1,DQ96&gt;0),1,1-INDEX('Lease Cycles'!$DD$13:$DJ$13,1,DQ95)))),0)</f>
        <v>0</v>
      </c>
      <c r="DR104" s="24">
        <f>IF(DR97=1,IF('Lease Cycles'!$AJ$13=1,0,'Lease Cycles'!$D$13*INDEX('Lease Cycles'!$FH$13:$FN$13,1,DR95)*IF(INDEX('Lease Cycles'!$EF$13:$EL$13,1,DR95)=1,1,IF(OR(INDEX('Lease Cycles'!$DY$13:$EE$13,1,DR95)=1,DR96&gt;0),1,1-INDEX('Lease Cycles'!$DD$13:$DJ$13,1,DR95)))),0)</f>
        <v>0</v>
      </c>
      <c r="DS104" s="24">
        <f>IF(DS97=1,IF('Lease Cycles'!$AJ$13=1,0,'Lease Cycles'!$D$13*INDEX('Lease Cycles'!$FH$13:$FN$13,1,DS95)*IF(INDEX('Lease Cycles'!$EF$13:$EL$13,1,DS95)=1,1,IF(OR(INDEX('Lease Cycles'!$DY$13:$EE$13,1,DS95)=1,DS96&gt;0),1,1-INDEX('Lease Cycles'!$DD$13:$DJ$13,1,DS95)))),0)</f>
        <v>0</v>
      </c>
      <c r="DT104" s="24">
        <f>IF(DT97=1,IF('Lease Cycles'!$AJ$13=1,0,'Lease Cycles'!$D$13*INDEX('Lease Cycles'!$FH$13:$FN$13,1,DT95)*IF(INDEX('Lease Cycles'!$EF$13:$EL$13,1,DT95)=1,1,IF(OR(INDEX('Lease Cycles'!$DY$13:$EE$13,1,DT95)=1,DT96&gt;0),1,1-INDEX('Lease Cycles'!$DD$13:$DJ$13,1,DT95)))),0)</f>
        <v>0</v>
      </c>
      <c r="DU104" s="24">
        <f>IF(DU97=1,IF('Lease Cycles'!$AJ$13=1,0,'Lease Cycles'!$D$13*INDEX('Lease Cycles'!$FH$13:$FN$13,1,DU95)*IF(INDEX('Lease Cycles'!$EF$13:$EL$13,1,DU95)=1,1,IF(OR(INDEX('Lease Cycles'!$DY$13:$EE$13,1,DU95)=1,DU96&gt;0),1,1-INDEX('Lease Cycles'!$DD$13:$DJ$13,1,DU95)))),0)</f>
        <v>0</v>
      </c>
      <c r="DV104" s="24">
        <f>IF(DV97=1,IF('Lease Cycles'!$AJ$13=1,0,'Lease Cycles'!$D$13*INDEX('Lease Cycles'!$FH$13:$FN$13,1,DV95)*IF(INDEX('Lease Cycles'!$EF$13:$EL$13,1,DV95)=1,1,IF(OR(INDEX('Lease Cycles'!$DY$13:$EE$13,1,DV95)=1,DV96&gt;0),1,1-INDEX('Lease Cycles'!$DD$13:$DJ$13,1,DV95)))),0)</f>
        <v>0</v>
      </c>
      <c r="DW104" s="24">
        <f>IF(DW97=1,IF('Lease Cycles'!$AJ$13=1,0,'Lease Cycles'!$D$13*INDEX('Lease Cycles'!$FH$13:$FN$13,1,DW95)*IF(INDEX('Lease Cycles'!$EF$13:$EL$13,1,DW95)=1,1,IF(OR(INDEX('Lease Cycles'!$DY$13:$EE$13,1,DW95)=1,DW96&gt;0),1,1-INDEX('Lease Cycles'!$DD$13:$DJ$13,1,DW95)))),0)</f>
        <v>0</v>
      </c>
      <c r="DX104" s="24">
        <f>IF(DX97=1,IF('Lease Cycles'!$AJ$13=1,0,'Lease Cycles'!$D$13*INDEX('Lease Cycles'!$FH$13:$FN$13,1,DX95)*IF(INDEX('Lease Cycles'!$EF$13:$EL$13,1,DX95)=1,1,IF(OR(INDEX('Lease Cycles'!$DY$13:$EE$13,1,DX95)=1,DX96&gt;0),1,1-INDEX('Lease Cycles'!$DD$13:$DJ$13,1,DX95)))),0)</f>
        <v>0</v>
      </c>
      <c r="DY104" s="24">
        <f>IF(DY97=1,IF('Lease Cycles'!$AJ$13=1,0,'Lease Cycles'!$D$13*INDEX('Lease Cycles'!$FH$13:$FN$13,1,DY95)*IF(INDEX('Lease Cycles'!$EF$13:$EL$13,1,DY95)=1,1,IF(OR(INDEX('Lease Cycles'!$DY$13:$EE$13,1,DY95)=1,DY96&gt;0),1,1-INDEX('Lease Cycles'!$DD$13:$DJ$13,1,DY95)))),0)</f>
        <v>0</v>
      </c>
      <c r="DZ104" s="24">
        <f>IF(DZ97=1,IF('Lease Cycles'!$AJ$13=1,0,'Lease Cycles'!$D$13*INDEX('Lease Cycles'!$FH$13:$FN$13,1,DZ95)*IF(INDEX('Lease Cycles'!$EF$13:$EL$13,1,DZ95)=1,1,IF(OR(INDEX('Lease Cycles'!$DY$13:$EE$13,1,DZ95)=1,DZ96&gt;0),1,1-INDEX('Lease Cycles'!$DD$13:$DJ$13,1,DZ95)))),0)</f>
        <v>0</v>
      </c>
      <c r="EA104" s="24">
        <f>IF(EA97=1,IF('Lease Cycles'!$AJ$13=1,0,'Lease Cycles'!$D$13*INDEX('Lease Cycles'!$FH$13:$FN$13,1,EA95)*IF(INDEX('Lease Cycles'!$EF$13:$EL$13,1,EA95)=1,1,IF(OR(INDEX('Lease Cycles'!$DY$13:$EE$13,1,EA95)=1,EA96&gt;0),1,1-INDEX('Lease Cycles'!$DD$13:$DJ$13,1,EA95)))),0)</f>
        <v>0</v>
      </c>
      <c r="EB104" s="24">
        <f>IF(EB97=1,IF('Lease Cycles'!$AJ$13=1,0,'Lease Cycles'!$D$13*INDEX('Lease Cycles'!$FH$13:$FN$13,1,EB95)*IF(INDEX('Lease Cycles'!$EF$13:$EL$13,1,EB95)=1,1,IF(OR(INDEX('Lease Cycles'!$DY$13:$EE$13,1,EB95)=1,EB96&gt;0),1,1-INDEX('Lease Cycles'!$DD$13:$DJ$13,1,EB95)))),0)</f>
        <v>0</v>
      </c>
      <c r="EC104" s="24">
        <f>IF(EC97=1,IF('Lease Cycles'!$AJ$13=1,0,'Lease Cycles'!$D$13*INDEX('Lease Cycles'!$FH$13:$FN$13,1,EC95)*IF(INDEX('Lease Cycles'!$EF$13:$EL$13,1,EC95)=1,1,IF(OR(INDEX('Lease Cycles'!$DY$13:$EE$13,1,EC95)=1,EC96&gt;0),1,1-INDEX('Lease Cycles'!$DD$13:$DJ$13,1,EC95)))),0)</f>
        <v>0</v>
      </c>
      <c r="ED104" s="24">
        <f>IF(ED97=1,IF('Lease Cycles'!$AJ$13=1,0,'Lease Cycles'!$D$13*INDEX('Lease Cycles'!$FH$13:$FN$13,1,ED95)*IF(INDEX('Lease Cycles'!$EF$13:$EL$13,1,ED95)=1,1,IF(OR(INDEX('Lease Cycles'!$DY$13:$EE$13,1,ED95)=1,ED96&gt;0),1,1-INDEX('Lease Cycles'!$DD$13:$DJ$13,1,ED95)))),0)</f>
        <v>0</v>
      </c>
      <c r="EE104" s="24">
        <f>IF(EE97=1,IF('Lease Cycles'!$AJ$13=1,0,'Lease Cycles'!$D$13*INDEX('Lease Cycles'!$FH$13:$FN$13,1,EE95)*IF(INDEX('Lease Cycles'!$EF$13:$EL$13,1,EE95)=1,1,IF(OR(INDEX('Lease Cycles'!$DY$13:$EE$13,1,EE95)=1,EE96&gt;0),1,1-INDEX('Lease Cycles'!$DD$13:$DJ$13,1,EE95)))),0)</f>
        <v>0</v>
      </c>
      <c r="EF104" s="24">
        <f>IF(EF97=1,IF('Lease Cycles'!$AJ$13=1,0,'Lease Cycles'!$D$13*INDEX('Lease Cycles'!$FH$13:$FN$13,1,EF95)*IF(INDEX('Lease Cycles'!$EF$13:$EL$13,1,EF95)=1,1,IF(OR(INDEX('Lease Cycles'!$DY$13:$EE$13,1,EF95)=1,EF96&gt;0),1,1-INDEX('Lease Cycles'!$DD$13:$DJ$13,1,EF95)))),0)</f>
        <v>0</v>
      </c>
      <c r="EG104" s="24">
        <f>IF(EG97=1,IF('Lease Cycles'!$AJ$13=1,0,'Lease Cycles'!$D$13*INDEX('Lease Cycles'!$FH$13:$FN$13,1,EG95)*IF(INDEX('Lease Cycles'!$EF$13:$EL$13,1,EG95)=1,1,IF(OR(INDEX('Lease Cycles'!$DY$13:$EE$13,1,EG95)=1,EG96&gt;0),1,1-INDEX('Lease Cycles'!$DD$13:$DJ$13,1,EG95)))),0)</f>
        <v>0</v>
      </c>
      <c r="EH104" s="24">
        <f>IF(EH97=1,IF('Lease Cycles'!$AJ$13=1,0,'Lease Cycles'!$D$13*INDEX('Lease Cycles'!$FH$13:$FN$13,1,EH95)*IF(INDEX('Lease Cycles'!$EF$13:$EL$13,1,EH95)=1,1,IF(OR(INDEX('Lease Cycles'!$DY$13:$EE$13,1,EH95)=1,EH96&gt;0),1,1-INDEX('Lease Cycles'!$DD$13:$DJ$13,1,EH95)))),0)</f>
        <v>0</v>
      </c>
      <c r="EI104" s="24">
        <f>IF(EI97=1,IF('Lease Cycles'!$AJ$13=1,0,'Lease Cycles'!$D$13*INDEX('Lease Cycles'!$FH$13:$FN$13,1,EI95)*IF(INDEX('Lease Cycles'!$EF$13:$EL$13,1,EI95)=1,1,IF(OR(INDEX('Lease Cycles'!$DY$13:$EE$13,1,EI95)=1,EI96&gt;0),1,1-INDEX('Lease Cycles'!$DD$13:$DJ$13,1,EI95)))),0)</f>
        <v>0</v>
      </c>
      <c r="EJ104" s="24">
        <f>IF(EJ97=1,IF('Lease Cycles'!$AJ$13=1,0,'Lease Cycles'!$D$13*INDEX('Lease Cycles'!$FH$13:$FN$13,1,EJ95)*IF(INDEX('Lease Cycles'!$EF$13:$EL$13,1,EJ95)=1,1,IF(OR(INDEX('Lease Cycles'!$DY$13:$EE$13,1,EJ95)=1,EJ96&gt;0),1,1-INDEX('Lease Cycles'!$DD$13:$DJ$13,1,EJ95)))),0)</f>
        <v>0</v>
      </c>
      <c r="EK104" s="24">
        <f>IF(EK97=1,IF('Lease Cycles'!$AJ$13=1,0,'Lease Cycles'!$D$13*INDEX('Lease Cycles'!$FH$13:$FN$13,1,EK95)*IF(INDEX('Lease Cycles'!$EF$13:$EL$13,1,EK95)=1,1,IF(OR(INDEX('Lease Cycles'!$DY$13:$EE$13,1,EK95)=1,EK96&gt;0),1,1-INDEX('Lease Cycles'!$DD$13:$DJ$13,1,EK95)))),0)</f>
        <v>0</v>
      </c>
      <c r="EL104" s="24">
        <f>IF(EL97=1,IF('Lease Cycles'!$AJ$13=1,0,'Lease Cycles'!$D$13*INDEX('Lease Cycles'!$FH$13:$FN$13,1,EL95)*IF(INDEX('Lease Cycles'!$EF$13:$EL$13,1,EL95)=1,1,IF(OR(INDEX('Lease Cycles'!$DY$13:$EE$13,1,EL95)=1,EL96&gt;0),1,1-INDEX('Lease Cycles'!$DD$13:$DJ$13,1,EL95)))),0)</f>
        <v>0</v>
      </c>
      <c r="EM104" s="24">
        <f>IF(EM97=1,IF('Lease Cycles'!$AJ$13=1,0,'Lease Cycles'!$D$13*INDEX('Lease Cycles'!$FH$13:$FN$13,1,EM95)*IF(INDEX('Lease Cycles'!$EF$13:$EL$13,1,EM95)=1,1,IF(OR(INDEX('Lease Cycles'!$DY$13:$EE$13,1,EM95)=1,EM96&gt;0),1,1-INDEX('Lease Cycles'!$DD$13:$DJ$13,1,EM95)))),0)</f>
        <v>0</v>
      </c>
      <c r="EN104" s="24">
        <f>IF(EN97=1,IF('Lease Cycles'!$AJ$13=1,0,'Lease Cycles'!$D$13*INDEX('Lease Cycles'!$FH$13:$FN$13,1,EN95)*IF(INDEX('Lease Cycles'!$EF$13:$EL$13,1,EN95)=1,1,IF(OR(INDEX('Lease Cycles'!$DY$13:$EE$13,1,EN95)=1,EN96&gt;0),1,1-INDEX('Lease Cycles'!$DD$13:$DJ$13,1,EN95)))),0)</f>
        <v>0</v>
      </c>
      <c r="EO104" s="24">
        <f>IF(EO97=1,IF('Lease Cycles'!$AJ$13=1,0,'Lease Cycles'!$D$13*INDEX('Lease Cycles'!$FH$13:$FN$13,1,EO95)*IF(INDEX('Lease Cycles'!$EF$13:$EL$13,1,EO95)=1,1,IF(OR(INDEX('Lease Cycles'!$DY$13:$EE$13,1,EO95)=1,EO96&gt;0),1,1-INDEX('Lease Cycles'!$DD$13:$DJ$13,1,EO95)))),0)</f>
        <v>0</v>
      </c>
      <c r="EP104" s="24">
        <f>IF(EP97=1,IF('Lease Cycles'!$AJ$13=1,0,'Lease Cycles'!$D$13*INDEX('Lease Cycles'!$FH$13:$FN$13,1,EP95)*IF(INDEX('Lease Cycles'!$EF$13:$EL$13,1,EP95)=1,1,IF(OR(INDEX('Lease Cycles'!$DY$13:$EE$13,1,EP95)=1,EP96&gt;0),1,1-INDEX('Lease Cycles'!$DD$13:$DJ$13,1,EP95)))),0)</f>
        <v>0</v>
      </c>
      <c r="EQ104" s="24">
        <f>IF(EQ97=1,IF('Lease Cycles'!$AJ$13=1,0,'Lease Cycles'!$D$13*INDEX('Lease Cycles'!$FH$13:$FN$13,1,EQ95)*IF(INDEX('Lease Cycles'!$EF$13:$EL$13,1,EQ95)=1,1,IF(OR(INDEX('Lease Cycles'!$DY$13:$EE$13,1,EQ95)=1,EQ96&gt;0),1,1-INDEX('Lease Cycles'!$DD$13:$DJ$13,1,EQ95)))),0)</f>
        <v>0</v>
      </c>
      <c r="ER104" s="24">
        <f>IF(ER97=1,IF('Lease Cycles'!$AJ$13=1,0,'Lease Cycles'!$D$13*INDEX('Lease Cycles'!$FH$13:$FN$13,1,ER95)*IF(INDEX('Lease Cycles'!$EF$13:$EL$13,1,ER95)=1,1,IF(OR(INDEX('Lease Cycles'!$DY$13:$EE$13,1,ER95)=1,ER96&gt;0),1,1-INDEX('Lease Cycles'!$DD$13:$DJ$13,1,ER95)))),0)</f>
        <v>0</v>
      </c>
      <c r="ES104" s="24">
        <f>IF(ES97=1,IF('Lease Cycles'!$AJ$13=1,0,'Lease Cycles'!$D$13*INDEX('Lease Cycles'!$FH$13:$FN$13,1,ES95)*IF(INDEX('Lease Cycles'!$EF$13:$EL$13,1,ES95)=1,1,IF(OR(INDEX('Lease Cycles'!$DY$13:$EE$13,1,ES95)=1,ES96&gt;0),1,1-INDEX('Lease Cycles'!$DD$13:$DJ$13,1,ES95)))),0)</f>
        <v>0</v>
      </c>
      <c r="ET104" s="24">
        <f>IF(ET97=1,IF('Lease Cycles'!$AJ$13=1,0,'Lease Cycles'!$D$13*INDEX('Lease Cycles'!$FH$13:$FN$13,1,ET95)*IF(INDEX('Lease Cycles'!$EF$13:$EL$13,1,ET95)=1,1,IF(OR(INDEX('Lease Cycles'!$DY$13:$EE$13,1,ET95)=1,ET96&gt;0),1,1-INDEX('Lease Cycles'!$DD$13:$DJ$13,1,ET95)))),0)</f>
        <v>0</v>
      </c>
    </row>
    <row r="105">
      <c r="A105" s="103">
        <v>6</v>
      </c>
      <c r="B105" s="23" t="str">
        <f>IF('Lease Cycles'!$B$13="","(empty slot)",'Lease Cycles'!$B$13)</f>
        <v>Sunfield Cleaners</v>
      </c>
      <c r="C105" s="23" t="s">
        <v>687</v>
      </c>
      <c r="D105" s="104" t="s">
        <v>688</v>
      </c>
      <c r="E105" s="25">
        <f>'Lease Cycles'!$AL$13</f>
        <v>0</v>
      </c>
      <c r="G105" s="24">
        <f>SUM(S105:AD105)</f>
        <v>0</v>
      </c>
      <c r="H105" s="24">
        <f>SUM(AE105:AP105)</f>
        <v>0</v>
      </c>
      <c r="I105" s="24">
        <f>SUM(AQ105:BB105)</f>
        <v>0</v>
      </c>
      <c r="J105" s="24">
        <f>SUM(BC105:BN105)</f>
        <v>0</v>
      </c>
      <c r="K105" s="24">
        <f>SUM(BO105:BZ105)</f>
        <v>0</v>
      </c>
      <c r="L105" s="24">
        <f>SUM(CA105:CL105)</f>
        <v>0</v>
      </c>
      <c r="M105" s="24">
        <f>SUM(CM105:CX105)</f>
        <v>0</v>
      </c>
      <c r="N105" s="24">
        <f>SUM(CY105:DJ105)</f>
        <v>0</v>
      </c>
      <c r="O105" s="24">
        <f>SUM(DK105:DV105)</f>
        <v>0</v>
      </c>
      <c r="P105" s="24">
        <f>SUM(DW105:EH105)</f>
        <v>0</v>
      </c>
      <c r="Q105" s="24">
        <f>SUM(EI105:ET105)</f>
        <v>0</v>
      </c>
      <c r="S105" s="24">
        <f>IF(S97=1,'Lease Cycles'!$D$13*IF(INDEX('Lease Cycles'!$EF$13:$EL$13,1,S95)=1,'Lease Cycles'!$AJ$13*INDEX('Lease Cycles'!$FO$13:$FU$13,1,S95)*INDEX('Lease Cycles'!$EM$13:$ES$13,1,S95)+'Lease Cycles'!$BE$13*IF(S96&lt;INDEX('Lease Cycles'!$FA$13:$FG$13,1,S95),0,1-INDEX('Lease Cycles'!$EM$13:$ES$13,1,S95)),IF(OR(INDEX('Lease Cycles'!$DY$13:$EE$13,1,S95)=1,S96&gt;0),1,1-INDEX('Lease Cycles'!$DD$13:$DJ$13,1,S95))*('Lease Cycles'!$AJ$13*INDEX('Lease Cycles'!$FO$13:$FU$13,1,S95)+'Lease Cycles'!$BE$13*(1-INDEX('Lease Cycles'!$FO$13:$FU$13,1,S95)))),0)</f>
        <v>0</v>
      </c>
      <c r="T105" s="24">
        <f>IF(T97=1,'Lease Cycles'!$D$13*IF(INDEX('Lease Cycles'!$EF$13:$EL$13,1,T95)=1,'Lease Cycles'!$AJ$13*INDEX('Lease Cycles'!$FO$13:$FU$13,1,T95)*INDEX('Lease Cycles'!$EM$13:$ES$13,1,T95)+'Lease Cycles'!$BE$13*IF(T96&lt;INDEX('Lease Cycles'!$FA$13:$FG$13,1,T95),0,1-INDEX('Lease Cycles'!$EM$13:$ES$13,1,T95)),IF(OR(INDEX('Lease Cycles'!$DY$13:$EE$13,1,T95)=1,T96&gt;0),1,1-INDEX('Lease Cycles'!$DD$13:$DJ$13,1,T95))*('Lease Cycles'!$AJ$13*INDEX('Lease Cycles'!$FO$13:$FU$13,1,T95)+'Lease Cycles'!$BE$13*(1-INDEX('Lease Cycles'!$FO$13:$FU$13,1,T95)))),0)</f>
        <v>0</v>
      </c>
      <c r="U105" s="24">
        <f>IF(U97=1,'Lease Cycles'!$D$13*IF(INDEX('Lease Cycles'!$EF$13:$EL$13,1,U95)=1,'Lease Cycles'!$AJ$13*INDEX('Lease Cycles'!$FO$13:$FU$13,1,U95)*INDEX('Lease Cycles'!$EM$13:$ES$13,1,U95)+'Lease Cycles'!$BE$13*IF(U96&lt;INDEX('Lease Cycles'!$FA$13:$FG$13,1,U95),0,1-INDEX('Lease Cycles'!$EM$13:$ES$13,1,U95)),IF(OR(INDEX('Lease Cycles'!$DY$13:$EE$13,1,U95)=1,U96&gt;0),1,1-INDEX('Lease Cycles'!$DD$13:$DJ$13,1,U95))*('Lease Cycles'!$AJ$13*INDEX('Lease Cycles'!$FO$13:$FU$13,1,U95)+'Lease Cycles'!$BE$13*(1-INDEX('Lease Cycles'!$FO$13:$FU$13,1,U95)))),0)</f>
        <v>0</v>
      </c>
      <c r="V105" s="24">
        <f>IF(V97=1,'Lease Cycles'!$D$13*IF(INDEX('Lease Cycles'!$EF$13:$EL$13,1,V95)=1,'Lease Cycles'!$AJ$13*INDEX('Lease Cycles'!$FO$13:$FU$13,1,V95)*INDEX('Lease Cycles'!$EM$13:$ES$13,1,V95)+'Lease Cycles'!$BE$13*IF(V96&lt;INDEX('Lease Cycles'!$FA$13:$FG$13,1,V95),0,1-INDEX('Lease Cycles'!$EM$13:$ES$13,1,V95)),IF(OR(INDEX('Lease Cycles'!$DY$13:$EE$13,1,V95)=1,V96&gt;0),1,1-INDEX('Lease Cycles'!$DD$13:$DJ$13,1,V95))*('Lease Cycles'!$AJ$13*INDEX('Lease Cycles'!$FO$13:$FU$13,1,V95)+'Lease Cycles'!$BE$13*(1-INDEX('Lease Cycles'!$FO$13:$FU$13,1,V95)))),0)</f>
        <v>0</v>
      </c>
      <c r="W105" s="24">
        <f>IF(W97=1,'Lease Cycles'!$D$13*IF(INDEX('Lease Cycles'!$EF$13:$EL$13,1,W95)=1,'Lease Cycles'!$AJ$13*INDEX('Lease Cycles'!$FO$13:$FU$13,1,W95)*INDEX('Lease Cycles'!$EM$13:$ES$13,1,W95)+'Lease Cycles'!$BE$13*IF(W96&lt;INDEX('Lease Cycles'!$FA$13:$FG$13,1,W95),0,1-INDEX('Lease Cycles'!$EM$13:$ES$13,1,W95)),IF(OR(INDEX('Lease Cycles'!$DY$13:$EE$13,1,W95)=1,W96&gt;0),1,1-INDEX('Lease Cycles'!$DD$13:$DJ$13,1,W95))*('Lease Cycles'!$AJ$13*INDEX('Lease Cycles'!$FO$13:$FU$13,1,W95)+'Lease Cycles'!$BE$13*(1-INDEX('Lease Cycles'!$FO$13:$FU$13,1,W95)))),0)</f>
        <v>0</v>
      </c>
      <c r="X105" s="24">
        <f>IF(X97=1,'Lease Cycles'!$D$13*IF(INDEX('Lease Cycles'!$EF$13:$EL$13,1,X95)=1,'Lease Cycles'!$AJ$13*INDEX('Lease Cycles'!$FO$13:$FU$13,1,X95)*INDEX('Lease Cycles'!$EM$13:$ES$13,1,X95)+'Lease Cycles'!$BE$13*IF(X96&lt;INDEX('Lease Cycles'!$FA$13:$FG$13,1,X95),0,1-INDEX('Lease Cycles'!$EM$13:$ES$13,1,X95)),IF(OR(INDEX('Lease Cycles'!$DY$13:$EE$13,1,X95)=1,X96&gt;0),1,1-INDEX('Lease Cycles'!$DD$13:$DJ$13,1,X95))*('Lease Cycles'!$AJ$13*INDEX('Lease Cycles'!$FO$13:$FU$13,1,X95)+'Lease Cycles'!$BE$13*(1-INDEX('Lease Cycles'!$FO$13:$FU$13,1,X95)))),0)</f>
        <v>0</v>
      </c>
      <c r="Y105" s="24">
        <f>IF(Y97=1,'Lease Cycles'!$D$13*IF(INDEX('Lease Cycles'!$EF$13:$EL$13,1,Y95)=1,'Lease Cycles'!$AJ$13*INDEX('Lease Cycles'!$FO$13:$FU$13,1,Y95)*INDEX('Lease Cycles'!$EM$13:$ES$13,1,Y95)+'Lease Cycles'!$BE$13*IF(Y96&lt;INDEX('Lease Cycles'!$FA$13:$FG$13,1,Y95),0,1-INDEX('Lease Cycles'!$EM$13:$ES$13,1,Y95)),IF(OR(INDEX('Lease Cycles'!$DY$13:$EE$13,1,Y95)=1,Y96&gt;0),1,1-INDEX('Lease Cycles'!$DD$13:$DJ$13,1,Y95))*('Lease Cycles'!$AJ$13*INDEX('Lease Cycles'!$FO$13:$FU$13,1,Y95)+'Lease Cycles'!$BE$13*(1-INDEX('Lease Cycles'!$FO$13:$FU$13,1,Y95)))),0)</f>
        <v>0</v>
      </c>
      <c r="Z105" s="24">
        <f>IF(Z97=1,'Lease Cycles'!$D$13*IF(INDEX('Lease Cycles'!$EF$13:$EL$13,1,Z95)=1,'Lease Cycles'!$AJ$13*INDEX('Lease Cycles'!$FO$13:$FU$13,1,Z95)*INDEX('Lease Cycles'!$EM$13:$ES$13,1,Z95)+'Lease Cycles'!$BE$13*IF(Z96&lt;INDEX('Lease Cycles'!$FA$13:$FG$13,1,Z95),0,1-INDEX('Lease Cycles'!$EM$13:$ES$13,1,Z95)),IF(OR(INDEX('Lease Cycles'!$DY$13:$EE$13,1,Z95)=1,Z96&gt;0),1,1-INDEX('Lease Cycles'!$DD$13:$DJ$13,1,Z95))*('Lease Cycles'!$AJ$13*INDEX('Lease Cycles'!$FO$13:$FU$13,1,Z95)+'Lease Cycles'!$BE$13*(1-INDEX('Lease Cycles'!$FO$13:$FU$13,1,Z95)))),0)</f>
        <v>0</v>
      </c>
      <c r="AA105" s="24">
        <f>IF(AA97=1,'Lease Cycles'!$D$13*IF(INDEX('Lease Cycles'!$EF$13:$EL$13,1,AA95)=1,'Lease Cycles'!$AJ$13*INDEX('Lease Cycles'!$FO$13:$FU$13,1,AA95)*INDEX('Lease Cycles'!$EM$13:$ES$13,1,AA95)+'Lease Cycles'!$BE$13*IF(AA96&lt;INDEX('Lease Cycles'!$FA$13:$FG$13,1,AA95),0,1-INDEX('Lease Cycles'!$EM$13:$ES$13,1,AA95)),IF(OR(INDEX('Lease Cycles'!$DY$13:$EE$13,1,AA95)=1,AA96&gt;0),1,1-INDEX('Lease Cycles'!$DD$13:$DJ$13,1,AA95))*('Lease Cycles'!$AJ$13*INDEX('Lease Cycles'!$FO$13:$FU$13,1,AA95)+'Lease Cycles'!$BE$13*(1-INDEX('Lease Cycles'!$FO$13:$FU$13,1,AA95)))),0)</f>
        <v>0</v>
      </c>
      <c r="AB105" s="24">
        <f>IF(AB97=1,'Lease Cycles'!$D$13*IF(INDEX('Lease Cycles'!$EF$13:$EL$13,1,AB95)=1,'Lease Cycles'!$AJ$13*INDEX('Lease Cycles'!$FO$13:$FU$13,1,AB95)*INDEX('Lease Cycles'!$EM$13:$ES$13,1,AB95)+'Lease Cycles'!$BE$13*IF(AB96&lt;INDEX('Lease Cycles'!$FA$13:$FG$13,1,AB95),0,1-INDEX('Lease Cycles'!$EM$13:$ES$13,1,AB95)),IF(OR(INDEX('Lease Cycles'!$DY$13:$EE$13,1,AB95)=1,AB96&gt;0),1,1-INDEX('Lease Cycles'!$DD$13:$DJ$13,1,AB95))*('Lease Cycles'!$AJ$13*INDEX('Lease Cycles'!$FO$13:$FU$13,1,AB95)+'Lease Cycles'!$BE$13*(1-INDEX('Lease Cycles'!$FO$13:$FU$13,1,AB95)))),0)</f>
        <v>0</v>
      </c>
      <c r="AC105" s="24">
        <f>IF(AC97=1,'Lease Cycles'!$D$13*IF(INDEX('Lease Cycles'!$EF$13:$EL$13,1,AC95)=1,'Lease Cycles'!$AJ$13*INDEX('Lease Cycles'!$FO$13:$FU$13,1,AC95)*INDEX('Lease Cycles'!$EM$13:$ES$13,1,AC95)+'Lease Cycles'!$BE$13*IF(AC96&lt;INDEX('Lease Cycles'!$FA$13:$FG$13,1,AC95),0,1-INDEX('Lease Cycles'!$EM$13:$ES$13,1,AC95)),IF(OR(INDEX('Lease Cycles'!$DY$13:$EE$13,1,AC95)=1,AC96&gt;0),1,1-INDEX('Lease Cycles'!$DD$13:$DJ$13,1,AC95))*('Lease Cycles'!$AJ$13*INDEX('Lease Cycles'!$FO$13:$FU$13,1,AC95)+'Lease Cycles'!$BE$13*(1-INDEX('Lease Cycles'!$FO$13:$FU$13,1,AC95)))),0)</f>
        <v>0</v>
      </c>
      <c r="AD105" s="24">
        <f>IF(AD97=1,'Lease Cycles'!$D$13*IF(INDEX('Lease Cycles'!$EF$13:$EL$13,1,AD95)=1,'Lease Cycles'!$AJ$13*INDEX('Lease Cycles'!$FO$13:$FU$13,1,AD95)*INDEX('Lease Cycles'!$EM$13:$ES$13,1,AD95)+'Lease Cycles'!$BE$13*IF(AD96&lt;INDEX('Lease Cycles'!$FA$13:$FG$13,1,AD95),0,1-INDEX('Lease Cycles'!$EM$13:$ES$13,1,AD95)),IF(OR(INDEX('Lease Cycles'!$DY$13:$EE$13,1,AD95)=1,AD96&gt;0),1,1-INDEX('Lease Cycles'!$DD$13:$DJ$13,1,AD95))*('Lease Cycles'!$AJ$13*INDEX('Lease Cycles'!$FO$13:$FU$13,1,AD95)+'Lease Cycles'!$BE$13*(1-INDEX('Lease Cycles'!$FO$13:$FU$13,1,AD95)))),0)</f>
        <v>0</v>
      </c>
      <c r="AE105" s="24">
        <f>IF(AE97=1,'Lease Cycles'!$D$13*IF(INDEX('Lease Cycles'!$EF$13:$EL$13,1,AE95)=1,'Lease Cycles'!$AJ$13*INDEX('Lease Cycles'!$FO$13:$FU$13,1,AE95)*INDEX('Lease Cycles'!$EM$13:$ES$13,1,AE95)+'Lease Cycles'!$BE$13*IF(AE96&lt;INDEX('Lease Cycles'!$FA$13:$FG$13,1,AE95),0,1-INDEX('Lease Cycles'!$EM$13:$ES$13,1,AE95)),IF(OR(INDEX('Lease Cycles'!$DY$13:$EE$13,1,AE95)=1,AE96&gt;0),1,1-INDEX('Lease Cycles'!$DD$13:$DJ$13,1,AE95))*('Lease Cycles'!$AJ$13*INDEX('Lease Cycles'!$FO$13:$FU$13,1,AE95)+'Lease Cycles'!$BE$13*(1-INDEX('Lease Cycles'!$FO$13:$FU$13,1,AE95)))),0)</f>
        <v>0</v>
      </c>
      <c r="AF105" s="24">
        <f>IF(AF97=1,'Lease Cycles'!$D$13*IF(INDEX('Lease Cycles'!$EF$13:$EL$13,1,AF95)=1,'Lease Cycles'!$AJ$13*INDEX('Lease Cycles'!$FO$13:$FU$13,1,AF95)*INDEX('Lease Cycles'!$EM$13:$ES$13,1,AF95)+'Lease Cycles'!$BE$13*IF(AF96&lt;INDEX('Lease Cycles'!$FA$13:$FG$13,1,AF95),0,1-INDEX('Lease Cycles'!$EM$13:$ES$13,1,AF95)),IF(OR(INDEX('Lease Cycles'!$DY$13:$EE$13,1,AF95)=1,AF96&gt;0),1,1-INDEX('Lease Cycles'!$DD$13:$DJ$13,1,AF95))*('Lease Cycles'!$AJ$13*INDEX('Lease Cycles'!$FO$13:$FU$13,1,AF95)+'Lease Cycles'!$BE$13*(1-INDEX('Lease Cycles'!$FO$13:$FU$13,1,AF95)))),0)</f>
        <v>0</v>
      </c>
      <c r="AG105" s="24">
        <f>IF(AG97=1,'Lease Cycles'!$D$13*IF(INDEX('Lease Cycles'!$EF$13:$EL$13,1,AG95)=1,'Lease Cycles'!$AJ$13*INDEX('Lease Cycles'!$FO$13:$FU$13,1,AG95)*INDEX('Lease Cycles'!$EM$13:$ES$13,1,AG95)+'Lease Cycles'!$BE$13*IF(AG96&lt;INDEX('Lease Cycles'!$FA$13:$FG$13,1,AG95),0,1-INDEX('Lease Cycles'!$EM$13:$ES$13,1,AG95)),IF(OR(INDEX('Lease Cycles'!$DY$13:$EE$13,1,AG95)=1,AG96&gt;0),1,1-INDEX('Lease Cycles'!$DD$13:$DJ$13,1,AG95))*('Lease Cycles'!$AJ$13*INDEX('Lease Cycles'!$FO$13:$FU$13,1,AG95)+'Lease Cycles'!$BE$13*(1-INDEX('Lease Cycles'!$FO$13:$FU$13,1,AG95)))),0)</f>
        <v>0</v>
      </c>
      <c r="AH105" s="24">
        <f>IF(AH97=1,'Lease Cycles'!$D$13*IF(INDEX('Lease Cycles'!$EF$13:$EL$13,1,AH95)=1,'Lease Cycles'!$AJ$13*INDEX('Lease Cycles'!$FO$13:$FU$13,1,AH95)*INDEX('Lease Cycles'!$EM$13:$ES$13,1,AH95)+'Lease Cycles'!$BE$13*IF(AH96&lt;INDEX('Lease Cycles'!$FA$13:$FG$13,1,AH95),0,1-INDEX('Lease Cycles'!$EM$13:$ES$13,1,AH95)),IF(OR(INDEX('Lease Cycles'!$DY$13:$EE$13,1,AH95)=1,AH96&gt;0),1,1-INDEX('Lease Cycles'!$DD$13:$DJ$13,1,AH95))*('Lease Cycles'!$AJ$13*INDEX('Lease Cycles'!$FO$13:$FU$13,1,AH95)+'Lease Cycles'!$BE$13*(1-INDEX('Lease Cycles'!$FO$13:$FU$13,1,AH95)))),0)</f>
        <v>0</v>
      </c>
      <c r="AI105" s="24">
        <f>IF(AI97=1,'Lease Cycles'!$D$13*IF(INDEX('Lease Cycles'!$EF$13:$EL$13,1,AI95)=1,'Lease Cycles'!$AJ$13*INDEX('Lease Cycles'!$FO$13:$FU$13,1,AI95)*INDEX('Lease Cycles'!$EM$13:$ES$13,1,AI95)+'Lease Cycles'!$BE$13*IF(AI96&lt;INDEX('Lease Cycles'!$FA$13:$FG$13,1,AI95),0,1-INDEX('Lease Cycles'!$EM$13:$ES$13,1,AI95)),IF(OR(INDEX('Lease Cycles'!$DY$13:$EE$13,1,AI95)=1,AI96&gt;0),1,1-INDEX('Lease Cycles'!$DD$13:$DJ$13,1,AI95))*('Lease Cycles'!$AJ$13*INDEX('Lease Cycles'!$FO$13:$FU$13,1,AI95)+'Lease Cycles'!$BE$13*(1-INDEX('Lease Cycles'!$FO$13:$FU$13,1,AI95)))),0)</f>
        <v>0</v>
      </c>
      <c r="AJ105" s="24">
        <f>IF(AJ97=1,'Lease Cycles'!$D$13*IF(INDEX('Lease Cycles'!$EF$13:$EL$13,1,AJ95)=1,'Lease Cycles'!$AJ$13*INDEX('Lease Cycles'!$FO$13:$FU$13,1,AJ95)*INDEX('Lease Cycles'!$EM$13:$ES$13,1,AJ95)+'Lease Cycles'!$BE$13*IF(AJ96&lt;INDEX('Lease Cycles'!$FA$13:$FG$13,1,AJ95),0,1-INDEX('Lease Cycles'!$EM$13:$ES$13,1,AJ95)),IF(OR(INDEX('Lease Cycles'!$DY$13:$EE$13,1,AJ95)=1,AJ96&gt;0),1,1-INDEX('Lease Cycles'!$DD$13:$DJ$13,1,AJ95))*('Lease Cycles'!$AJ$13*INDEX('Lease Cycles'!$FO$13:$FU$13,1,AJ95)+'Lease Cycles'!$BE$13*(1-INDEX('Lease Cycles'!$FO$13:$FU$13,1,AJ95)))),0)</f>
        <v>0</v>
      </c>
      <c r="AK105" s="24">
        <f>IF(AK97=1,'Lease Cycles'!$D$13*IF(INDEX('Lease Cycles'!$EF$13:$EL$13,1,AK95)=1,'Lease Cycles'!$AJ$13*INDEX('Lease Cycles'!$FO$13:$FU$13,1,AK95)*INDEX('Lease Cycles'!$EM$13:$ES$13,1,AK95)+'Lease Cycles'!$BE$13*IF(AK96&lt;INDEX('Lease Cycles'!$FA$13:$FG$13,1,AK95),0,1-INDEX('Lease Cycles'!$EM$13:$ES$13,1,AK95)),IF(OR(INDEX('Lease Cycles'!$DY$13:$EE$13,1,AK95)=1,AK96&gt;0),1,1-INDEX('Lease Cycles'!$DD$13:$DJ$13,1,AK95))*('Lease Cycles'!$AJ$13*INDEX('Lease Cycles'!$FO$13:$FU$13,1,AK95)+'Lease Cycles'!$BE$13*(1-INDEX('Lease Cycles'!$FO$13:$FU$13,1,AK95)))),0)</f>
        <v>0</v>
      </c>
      <c r="AL105" s="24">
        <f>IF(AL97=1,'Lease Cycles'!$D$13*IF(INDEX('Lease Cycles'!$EF$13:$EL$13,1,AL95)=1,'Lease Cycles'!$AJ$13*INDEX('Lease Cycles'!$FO$13:$FU$13,1,AL95)*INDEX('Lease Cycles'!$EM$13:$ES$13,1,AL95)+'Lease Cycles'!$BE$13*IF(AL96&lt;INDEX('Lease Cycles'!$FA$13:$FG$13,1,AL95),0,1-INDEX('Lease Cycles'!$EM$13:$ES$13,1,AL95)),IF(OR(INDEX('Lease Cycles'!$DY$13:$EE$13,1,AL95)=1,AL96&gt;0),1,1-INDEX('Lease Cycles'!$DD$13:$DJ$13,1,AL95))*('Lease Cycles'!$AJ$13*INDEX('Lease Cycles'!$FO$13:$FU$13,1,AL95)+'Lease Cycles'!$BE$13*(1-INDEX('Lease Cycles'!$FO$13:$FU$13,1,AL95)))),0)</f>
        <v>0</v>
      </c>
      <c r="AM105" s="24">
        <f>IF(AM97=1,'Lease Cycles'!$D$13*IF(INDEX('Lease Cycles'!$EF$13:$EL$13,1,AM95)=1,'Lease Cycles'!$AJ$13*INDEX('Lease Cycles'!$FO$13:$FU$13,1,AM95)*INDEX('Lease Cycles'!$EM$13:$ES$13,1,AM95)+'Lease Cycles'!$BE$13*IF(AM96&lt;INDEX('Lease Cycles'!$FA$13:$FG$13,1,AM95),0,1-INDEX('Lease Cycles'!$EM$13:$ES$13,1,AM95)),IF(OR(INDEX('Lease Cycles'!$DY$13:$EE$13,1,AM95)=1,AM96&gt;0),1,1-INDEX('Lease Cycles'!$DD$13:$DJ$13,1,AM95))*('Lease Cycles'!$AJ$13*INDEX('Lease Cycles'!$FO$13:$FU$13,1,AM95)+'Lease Cycles'!$BE$13*(1-INDEX('Lease Cycles'!$FO$13:$FU$13,1,AM95)))),0)</f>
        <v>0</v>
      </c>
      <c r="AN105" s="24">
        <f>IF(AN97=1,'Lease Cycles'!$D$13*IF(INDEX('Lease Cycles'!$EF$13:$EL$13,1,AN95)=1,'Lease Cycles'!$AJ$13*INDEX('Lease Cycles'!$FO$13:$FU$13,1,AN95)*INDEX('Lease Cycles'!$EM$13:$ES$13,1,AN95)+'Lease Cycles'!$BE$13*IF(AN96&lt;INDEX('Lease Cycles'!$FA$13:$FG$13,1,AN95),0,1-INDEX('Lease Cycles'!$EM$13:$ES$13,1,AN95)),IF(OR(INDEX('Lease Cycles'!$DY$13:$EE$13,1,AN95)=1,AN96&gt;0),1,1-INDEX('Lease Cycles'!$DD$13:$DJ$13,1,AN95))*('Lease Cycles'!$AJ$13*INDEX('Lease Cycles'!$FO$13:$FU$13,1,AN95)+'Lease Cycles'!$BE$13*(1-INDEX('Lease Cycles'!$FO$13:$FU$13,1,AN95)))),0)</f>
        <v>0</v>
      </c>
      <c r="AO105" s="24">
        <f>IF(AO97=1,'Lease Cycles'!$D$13*IF(INDEX('Lease Cycles'!$EF$13:$EL$13,1,AO95)=1,'Lease Cycles'!$AJ$13*INDEX('Lease Cycles'!$FO$13:$FU$13,1,AO95)*INDEX('Lease Cycles'!$EM$13:$ES$13,1,AO95)+'Lease Cycles'!$BE$13*IF(AO96&lt;INDEX('Lease Cycles'!$FA$13:$FG$13,1,AO95),0,1-INDEX('Lease Cycles'!$EM$13:$ES$13,1,AO95)),IF(OR(INDEX('Lease Cycles'!$DY$13:$EE$13,1,AO95)=1,AO96&gt;0),1,1-INDEX('Lease Cycles'!$DD$13:$DJ$13,1,AO95))*('Lease Cycles'!$AJ$13*INDEX('Lease Cycles'!$FO$13:$FU$13,1,AO95)+'Lease Cycles'!$BE$13*(1-INDEX('Lease Cycles'!$FO$13:$FU$13,1,AO95)))),0)</f>
        <v>0</v>
      </c>
      <c r="AP105" s="24">
        <f>IF(AP97=1,'Lease Cycles'!$D$13*IF(INDEX('Lease Cycles'!$EF$13:$EL$13,1,AP95)=1,'Lease Cycles'!$AJ$13*INDEX('Lease Cycles'!$FO$13:$FU$13,1,AP95)*INDEX('Lease Cycles'!$EM$13:$ES$13,1,AP95)+'Lease Cycles'!$BE$13*IF(AP96&lt;INDEX('Lease Cycles'!$FA$13:$FG$13,1,AP95),0,1-INDEX('Lease Cycles'!$EM$13:$ES$13,1,AP95)),IF(OR(INDEX('Lease Cycles'!$DY$13:$EE$13,1,AP95)=1,AP96&gt;0),1,1-INDEX('Lease Cycles'!$DD$13:$DJ$13,1,AP95))*('Lease Cycles'!$AJ$13*INDEX('Lease Cycles'!$FO$13:$FU$13,1,AP95)+'Lease Cycles'!$BE$13*(1-INDEX('Lease Cycles'!$FO$13:$FU$13,1,AP95)))),0)</f>
        <v>0</v>
      </c>
      <c r="AQ105" s="24">
        <f>IF(AQ97=1,'Lease Cycles'!$D$13*IF(INDEX('Lease Cycles'!$EF$13:$EL$13,1,AQ95)=1,'Lease Cycles'!$AJ$13*INDEX('Lease Cycles'!$FO$13:$FU$13,1,AQ95)*INDEX('Lease Cycles'!$EM$13:$ES$13,1,AQ95)+'Lease Cycles'!$BE$13*IF(AQ96&lt;INDEX('Lease Cycles'!$FA$13:$FG$13,1,AQ95),0,1-INDEX('Lease Cycles'!$EM$13:$ES$13,1,AQ95)),IF(OR(INDEX('Lease Cycles'!$DY$13:$EE$13,1,AQ95)=1,AQ96&gt;0),1,1-INDEX('Lease Cycles'!$DD$13:$DJ$13,1,AQ95))*('Lease Cycles'!$AJ$13*INDEX('Lease Cycles'!$FO$13:$FU$13,1,AQ95)+'Lease Cycles'!$BE$13*(1-INDEX('Lease Cycles'!$FO$13:$FU$13,1,AQ95)))),0)</f>
        <v>0</v>
      </c>
      <c r="AR105" s="24">
        <f>IF(AR97=1,'Lease Cycles'!$D$13*IF(INDEX('Lease Cycles'!$EF$13:$EL$13,1,AR95)=1,'Lease Cycles'!$AJ$13*INDEX('Lease Cycles'!$FO$13:$FU$13,1,AR95)*INDEX('Lease Cycles'!$EM$13:$ES$13,1,AR95)+'Lease Cycles'!$BE$13*IF(AR96&lt;INDEX('Lease Cycles'!$FA$13:$FG$13,1,AR95),0,1-INDEX('Lease Cycles'!$EM$13:$ES$13,1,AR95)),IF(OR(INDEX('Lease Cycles'!$DY$13:$EE$13,1,AR95)=1,AR96&gt;0),1,1-INDEX('Lease Cycles'!$DD$13:$DJ$13,1,AR95))*('Lease Cycles'!$AJ$13*INDEX('Lease Cycles'!$FO$13:$FU$13,1,AR95)+'Lease Cycles'!$BE$13*(1-INDEX('Lease Cycles'!$FO$13:$FU$13,1,AR95)))),0)</f>
        <v>0</v>
      </c>
      <c r="AS105" s="24">
        <f>IF(AS97=1,'Lease Cycles'!$D$13*IF(INDEX('Lease Cycles'!$EF$13:$EL$13,1,AS95)=1,'Lease Cycles'!$AJ$13*INDEX('Lease Cycles'!$FO$13:$FU$13,1,AS95)*INDEX('Lease Cycles'!$EM$13:$ES$13,1,AS95)+'Lease Cycles'!$BE$13*IF(AS96&lt;INDEX('Lease Cycles'!$FA$13:$FG$13,1,AS95),0,1-INDEX('Lease Cycles'!$EM$13:$ES$13,1,AS95)),IF(OR(INDEX('Lease Cycles'!$DY$13:$EE$13,1,AS95)=1,AS96&gt;0),1,1-INDEX('Lease Cycles'!$DD$13:$DJ$13,1,AS95))*('Lease Cycles'!$AJ$13*INDEX('Lease Cycles'!$FO$13:$FU$13,1,AS95)+'Lease Cycles'!$BE$13*(1-INDEX('Lease Cycles'!$FO$13:$FU$13,1,AS95)))),0)</f>
        <v>0</v>
      </c>
      <c r="AT105" s="24">
        <f>IF(AT97=1,'Lease Cycles'!$D$13*IF(INDEX('Lease Cycles'!$EF$13:$EL$13,1,AT95)=1,'Lease Cycles'!$AJ$13*INDEX('Lease Cycles'!$FO$13:$FU$13,1,AT95)*INDEX('Lease Cycles'!$EM$13:$ES$13,1,AT95)+'Lease Cycles'!$BE$13*IF(AT96&lt;INDEX('Lease Cycles'!$FA$13:$FG$13,1,AT95),0,1-INDEX('Lease Cycles'!$EM$13:$ES$13,1,AT95)),IF(OR(INDEX('Lease Cycles'!$DY$13:$EE$13,1,AT95)=1,AT96&gt;0),1,1-INDEX('Lease Cycles'!$DD$13:$DJ$13,1,AT95))*('Lease Cycles'!$AJ$13*INDEX('Lease Cycles'!$FO$13:$FU$13,1,AT95)+'Lease Cycles'!$BE$13*(1-INDEX('Lease Cycles'!$FO$13:$FU$13,1,AT95)))),0)</f>
        <v>0</v>
      </c>
      <c r="AU105" s="24">
        <f>IF(AU97=1,'Lease Cycles'!$D$13*IF(INDEX('Lease Cycles'!$EF$13:$EL$13,1,AU95)=1,'Lease Cycles'!$AJ$13*INDEX('Lease Cycles'!$FO$13:$FU$13,1,AU95)*INDEX('Lease Cycles'!$EM$13:$ES$13,1,AU95)+'Lease Cycles'!$BE$13*IF(AU96&lt;INDEX('Lease Cycles'!$FA$13:$FG$13,1,AU95),0,1-INDEX('Lease Cycles'!$EM$13:$ES$13,1,AU95)),IF(OR(INDEX('Lease Cycles'!$DY$13:$EE$13,1,AU95)=1,AU96&gt;0),1,1-INDEX('Lease Cycles'!$DD$13:$DJ$13,1,AU95))*('Lease Cycles'!$AJ$13*INDEX('Lease Cycles'!$FO$13:$FU$13,1,AU95)+'Lease Cycles'!$BE$13*(1-INDEX('Lease Cycles'!$FO$13:$FU$13,1,AU95)))),0)</f>
        <v>0</v>
      </c>
      <c r="AV105" s="24">
        <f>IF(AV97=1,'Lease Cycles'!$D$13*IF(INDEX('Lease Cycles'!$EF$13:$EL$13,1,AV95)=1,'Lease Cycles'!$AJ$13*INDEX('Lease Cycles'!$FO$13:$FU$13,1,AV95)*INDEX('Lease Cycles'!$EM$13:$ES$13,1,AV95)+'Lease Cycles'!$BE$13*IF(AV96&lt;INDEX('Lease Cycles'!$FA$13:$FG$13,1,AV95),0,1-INDEX('Lease Cycles'!$EM$13:$ES$13,1,AV95)),IF(OR(INDEX('Lease Cycles'!$DY$13:$EE$13,1,AV95)=1,AV96&gt;0),1,1-INDEX('Lease Cycles'!$DD$13:$DJ$13,1,AV95))*('Lease Cycles'!$AJ$13*INDEX('Lease Cycles'!$FO$13:$FU$13,1,AV95)+'Lease Cycles'!$BE$13*(1-INDEX('Lease Cycles'!$FO$13:$FU$13,1,AV95)))),0)</f>
        <v>0</v>
      </c>
      <c r="AW105" s="24">
        <f>IF(AW97=1,'Lease Cycles'!$D$13*IF(INDEX('Lease Cycles'!$EF$13:$EL$13,1,AW95)=1,'Lease Cycles'!$AJ$13*INDEX('Lease Cycles'!$FO$13:$FU$13,1,AW95)*INDEX('Lease Cycles'!$EM$13:$ES$13,1,AW95)+'Lease Cycles'!$BE$13*IF(AW96&lt;INDEX('Lease Cycles'!$FA$13:$FG$13,1,AW95),0,1-INDEX('Lease Cycles'!$EM$13:$ES$13,1,AW95)),IF(OR(INDEX('Lease Cycles'!$DY$13:$EE$13,1,AW95)=1,AW96&gt;0),1,1-INDEX('Lease Cycles'!$DD$13:$DJ$13,1,AW95))*('Lease Cycles'!$AJ$13*INDEX('Lease Cycles'!$FO$13:$FU$13,1,AW95)+'Lease Cycles'!$BE$13*(1-INDEX('Lease Cycles'!$FO$13:$FU$13,1,AW95)))),0)</f>
        <v>0</v>
      </c>
      <c r="AX105" s="24">
        <f>IF(AX97=1,'Lease Cycles'!$D$13*IF(INDEX('Lease Cycles'!$EF$13:$EL$13,1,AX95)=1,'Lease Cycles'!$AJ$13*INDEX('Lease Cycles'!$FO$13:$FU$13,1,AX95)*INDEX('Lease Cycles'!$EM$13:$ES$13,1,AX95)+'Lease Cycles'!$BE$13*IF(AX96&lt;INDEX('Lease Cycles'!$FA$13:$FG$13,1,AX95),0,1-INDEX('Lease Cycles'!$EM$13:$ES$13,1,AX95)),IF(OR(INDEX('Lease Cycles'!$DY$13:$EE$13,1,AX95)=1,AX96&gt;0),1,1-INDEX('Lease Cycles'!$DD$13:$DJ$13,1,AX95))*('Lease Cycles'!$AJ$13*INDEX('Lease Cycles'!$FO$13:$FU$13,1,AX95)+'Lease Cycles'!$BE$13*(1-INDEX('Lease Cycles'!$FO$13:$FU$13,1,AX95)))),0)</f>
        <v>0</v>
      </c>
      <c r="AY105" s="24">
        <f>IF(AY97=1,'Lease Cycles'!$D$13*IF(INDEX('Lease Cycles'!$EF$13:$EL$13,1,AY95)=1,'Lease Cycles'!$AJ$13*INDEX('Lease Cycles'!$FO$13:$FU$13,1,AY95)*INDEX('Lease Cycles'!$EM$13:$ES$13,1,AY95)+'Lease Cycles'!$BE$13*IF(AY96&lt;INDEX('Lease Cycles'!$FA$13:$FG$13,1,AY95),0,1-INDEX('Lease Cycles'!$EM$13:$ES$13,1,AY95)),IF(OR(INDEX('Lease Cycles'!$DY$13:$EE$13,1,AY95)=1,AY96&gt;0),1,1-INDEX('Lease Cycles'!$DD$13:$DJ$13,1,AY95))*('Lease Cycles'!$AJ$13*INDEX('Lease Cycles'!$FO$13:$FU$13,1,AY95)+'Lease Cycles'!$BE$13*(1-INDEX('Lease Cycles'!$FO$13:$FU$13,1,AY95)))),0)</f>
        <v>0</v>
      </c>
      <c r="AZ105" s="24">
        <f>IF(AZ97=1,'Lease Cycles'!$D$13*IF(INDEX('Lease Cycles'!$EF$13:$EL$13,1,AZ95)=1,'Lease Cycles'!$AJ$13*INDEX('Lease Cycles'!$FO$13:$FU$13,1,AZ95)*INDEX('Lease Cycles'!$EM$13:$ES$13,1,AZ95)+'Lease Cycles'!$BE$13*IF(AZ96&lt;INDEX('Lease Cycles'!$FA$13:$FG$13,1,AZ95),0,1-INDEX('Lease Cycles'!$EM$13:$ES$13,1,AZ95)),IF(OR(INDEX('Lease Cycles'!$DY$13:$EE$13,1,AZ95)=1,AZ96&gt;0),1,1-INDEX('Lease Cycles'!$DD$13:$DJ$13,1,AZ95))*('Lease Cycles'!$AJ$13*INDEX('Lease Cycles'!$FO$13:$FU$13,1,AZ95)+'Lease Cycles'!$BE$13*(1-INDEX('Lease Cycles'!$FO$13:$FU$13,1,AZ95)))),0)</f>
        <v>0</v>
      </c>
      <c r="BA105" s="24">
        <f>IF(BA97=1,'Lease Cycles'!$D$13*IF(INDEX('Lease Cycles'!$EF$13:$EL$13,1,BA95)=1,'Lease Cycles'!$AJ$13*INDEX('Lease Cycles'!$FO$13:$FU$13,1,BA95)*INDEX('Lease Cycles'!$EM$13:$ES$13,1,BA95)+'Lease Cycles'!$BE$13*IF(BA96&lt;INDEX('Lease Cycles'!$FA$13:$FG$13,1,BA95),0,1-INDEX('Lease Cycles'!$EM$13:$ES$13,1,BA95)),IF(OR(INDEX('Lease Cycles'!$DY$13:$EE$13,1,BA95)=1,BA96&gt;0),1,1-INDEX('Lease Cycles'!$DD$13:$DJ$13,1,BA95))*('Lease Cycles'!$AJ$13*INDEX('Lease Cycles'!$FO$13:$FU$13,1,BA95)+'Lease Cycles'!$BE$13*(1-INDEX('Lease Cycles'!$FO$13:$FU$13,1,BA95)))),0)</f>
        <v>0</v>
      </c>
      <c r="BB105" s="24">
        <f>IF(BB97=1,'Lease Cycles'!$D$13*IF(INDEX('Lease Cycles'!$EF$13:$EL$13,1,BB95)=1,'Lease Cycles'!$AJ$13*INDEX('Lease Cycles'!$FO$13:$FU$13,1,BB95)*INDEX('Lease Cycles'!$EM$13:$ES$13,1,BB95)+'Lease Cycles'!$BE$13*IF(BB96&lt;INDEX('Lease Cycles'!$FA$13:$FG$13,1,BB95),0,1-INDEX('Lease Cycles'!$EM$13:$ES$13,1,BB95)),IF(OR(INDEX('Lease Cycles'!$DY$13:$EE$13,1,BB95)=1,BB96&gt;0),1,1-INDEX('Lease Cycles'!$DD$13:$DJ$13,1,BB95))*('Lease Cycles'!$AJ$13*INDEX('Lease Cycles'!$FO$13:$FU$13,1,BB95)+'Lease Cycles'!$BE$13*(1-INDEX('Lease Cycles'!$FO$13:$FU$13,1,BB95)))),0)</f>
        <v>0</v>
      </c>
      <c r="BC105" s="24">
        <f>IF(BC97=1,'Lease Cycles'!$D$13*IF(INDEX('Lease Cycles'!$EF$13:$EL$13,1,BC95)=1,'Lease Cycles'!$AJ$13*INDEX('Lease Cycles'!$FO$13:$FU$13,1,BC95)*INDEX('Lease Cycles'!$EM$13:$ES$13,1,BC95)+'Lease Cycles'!$BE$13*IF(BC96&lt;INDEX('Lease Cycles'!$FA$13:$FG$13,1,BC95),0,1-INDEX('Lease Cycles'!$EM$13:$ES$13,1,BC95)),IF(OR(INDEX('Lease Cycles'!$DY$13:$EE$13,1,BC95)=1,BC96&gt;0),1,1-INDEX('Lease Cycles'!$DD$13:$DJ$13,1,BC95))*('Lease Cycles'!$AJ$13*INDEX('Lease Cycles'!$FO$13:$FU$13,1,BC95)+'Lease Cycles'!$BE$13*(1-INDEX('Lease Cycles'!$FO$13:$FU$13,1,BC95)))),0)</f>
        <v>0</v>
      </c>
      <c r="BD105" s="24">
        <f>IF(BD97=1,'Lease Cycles'!$D$13*IF(INDEX('Lease Cycles'!$EF$13:$EL$13,1,BD95)=1,'Lease Cycles'!$AJ$13*INDEX('Lease Cycles'!$FO$13:$FU$13,1,BD95)*INDEX('Lease Cycles'!$EM$13:$ES$13,1,BD95)+'Lease Cycles'!$BE$13*IF(BD96&lt;INDEX('Lease Cycles'!$FA$13:$FG$13,1,BD95),0,1-INDEX('Lease Cycles'!$EM$13:$ES$13,1,BD95)),IF(OR(INDEX('Lease Cycles'!$DY$13:$EE$13,1,BD95)=1,BD96&gt;0),1,1-INDEX('Lease Cycles'!$DD$13:$DJ$13,1,BD95))*('Lease Cycles'!$AJ$13*INDEX('Lease Cycles'!$FO$13:$FU$13,1,BD95)+'Lease Cycles'!$BE$13*(1-INDEX('Lease Cycles'!$FO$13:$FU$13,1,BD95)))),0)</f>
        <v>0</v>
      </c>
      <c r="BE105" s="24">
        <f>IF(BE97=1,'Lease Cycles'!$D$13*IF(INDEX('Lease Cycles'!$EF$13:$EL$13,1,BE95)=1,'Lease Cycles'!$AJ$13*INDEX('Lease Cycles'!$FO$13:$FU$13,1,BE95)*INDEX('Lease Cycles'!$EM$13:$ES$13,1,BE95)+'Lease Cycles'!$BE$13*IF(BE96&lt;INDEX('Lease Cycles'!$FA$13:$FG$13,1,BE95),0,1-INDEX('Lease Cycles'!$EM$13:$ES$13,1,BE95)),IF(OR(INDEX('Lease Cycles'!$DY$13:$EE$13,1,BE95)=1,BE96&gt;0),1,1-INDEX('Lease Cycles'!$DD$13:$DJ$13,1,BE95))*('Lease Cycles'!$AJ$13*INDEX('Lease Cycles'!$FO$13:$FU$13,1,BE95)+'Lease Cycles'!$BE$13*(1-INDEX('Lease Cycles'!$FO$13:$FU$13,1,BE95)))),0)</f>
        <v>0</v>
      </c>
      <c r="BF105" s="24">
        <f>IF(BF97=1,'Lease Cycles'!$D$13*IF(INDEX('Lease Cycles'!$EF$13:$EL$13,1,BF95)=1,'Lease Cycles'!$AJ$13*INDEX('Lease Cycles'!$FO$13:$FU$13,1,BF95)*INDEX('Lease Cycles'!$EM$13:$ES$13,1,BF95)+'Lease Cycles'!$BE$13*IF(BF96&lt;INDEX('Lease Cycles'!$FA$13:$FG$13,1,BF95),0,1-INDEX('Lease Cycles'!$EM$13:$ES$13,1,BF95)),IF(OR(INDEX('Lease Cycles'!$DY$13:$EE$13,1,BF95)=1,BF96&gt;0),1,1-INDEX('Lease Cycles'!$DD$13:$DJ$13,1,BF95))*('Lease Cycles'!$AJ$13*INDEX('Lease Cycles'!$FO$13:$FU$13,1,BF95)+'Lease Cycles'!$BE$13*(1-INDEX('Lease Cycles'!$FO$13:$FU$13,1,BF95)))),0)</f>
        <v>0</v>
      </c>
      <c r="BG105" s="24">
        <f>IF(BG97=1,'Lease Cycles'!$D$13*IF(INDEX('Lease Cycles'!$EF$13:$EL$13,1,BG95)=1,'Lease Cycles'!$AJ$13*INDEX('Lease Cycles'!$FO$13:$FU$13,1,BG95)*INDEX('Lease Cycles'!$EM$13:$ES$13,1,BG95)+'Lease Cycles'!$BE$13*IF(BG96&lt;INDEX('Lease Cycles'!$FA$13:$FG$13,1,BG95),0,1-INDEX('Lease Cycles'!$EM$13:$ES$13,1,BG95)),IF(OR(INDEX('Lease Cycles'!$DY$13:$EE$13,1,BG95)=1,BG96&gt;0),1,1-INDEX('Lease Cycles'!$DD$13:$DJ$13,1,BG95))*('Lease Cycles'!$AJ$13*INDEX('Lease Cycles'!$FO$13:$FU$13,1,BG95)+'Lease Cycles'!$BE$13*(1-INDEX('Lease Cycles'!$FO$13:$FU$13,1,BG95)))),0)</f>
        <v>0</v>
      </c>
      <c r="BH105" s="24">
        <f>IF(BH97=1,'Lease Cycles'!$D$13*IF(INDEX('Lease Cycles'!$EF$13:$EL$13,1,BH95)=1,'Lease Cycles'!$AJ$13*INDEX('Lease Cycles'!$FO$13:$FU$13,1,BH95)*INDEX('Lease Cycles'!$EM$13:$ES$13,1,BH95)+'Lease Cycles'!$BE$13*IF(BH96&lt;INDEX('Lease Cycles'!$FA$13:$FG$13,1,BH95),0,1-INDEX('Lease Cycles'!$EM$13:$ES$13,1,BH95)),IF(OR(INDEX('Lease Cycles'!$DY$13:$EE$13,1,BH95)=1,BH96&gt;0),1,1-INDEX('Lease Cycles'!$DD$13:$DJ$13,1,BH95))*('Lease Cycles'!$AJ$13*INDEX('Lease Cycles'!$FO$13:$FU$13,1,BH95)+'Lease Cycles'!$BE$13*(1-INDEX('Lease Cycles'!$FO$13:$FU$13,1,BH95)))),0)</f>
        <v>0</v>
      </c>
      <c r="BI105" s="24">
        <f>IF(BI97=1,'Lease Cycles'!$D$13*IF(INDEX('Lease Cycles'!$EF$13:$EL$13,1,BI95)=1,'Lease Cycles'!$AJ$13*INDEX('Lease Cycles'!$FO$13:$FU$13,1,BI95)*INDEX('Lease Cycles'!$EM$13:$ES$13,1,BI95)+'Lease Cycles'!$BE$13*IF(BI96&lt;INDEX('Lease Cycles'!$FA$13:$FG$13,1,BI95),0,1-INDEX('Lease Cycles'!$EM$13:$ES$13,1,BI95)),IF(OR(INDEX('Lease Cycles'!$DY$13:$EE$13,1,BI95)=1,BI96&gt;0),1,1-INDEX('Lease Cycles'!$DD$13:$DJ$13,1,BI95))*('Lease Cycles'!$AJ$13*INDEX('Lease Cycles'!$FO$13:$FU$13,1,BI95)+'Lease Cycles'!$BE$13*(1-INDEX('Lease Cycles'!$FO$13:$FU$13,1,BI95)))),0)</f>
        <v>0</v>
      </c>
      <c r="BJ105" s="24">
        <f>IF(BJ97=1,'Lease Cycles'!$D$13*IF(INDEX('Lease Cycles'!$EF$13:$EL$13,1,BJ95)=1,'Lease Cycles'!$AJ$13*INDEX('Lease Cycles'!$FO$13:$FU$13,1,BJ95)*INDEX('Lease Cycles'!$EM$13:$ES$13,1,BJ95)+'Lease Cycles'!$BE$13*IF(BJ96&lt;INDEX('Lease Cycles'!$FA$13:$FG$13,1,BJ95),0,1-INDEX('Lease Cycles'!$EM$13:$ES$13,1,BJ95)),IF(OR(INDEX('Lease Cycles'!$DY$13:$EE$13,1,BJ95)=1,BJ96&gt;0),1,1-INDEX('Lease Cycles'!$DD$13:$DJ$13,1,BJ95))*('Lease Cycles'!$AJ$13*INDEX('Lease Cycles'!$FO$13:$FU$13,1,BJ95)+'Lease Cycles'!$BE$13*(1-INDEX('Lease Cycles'!$FO$13:$FU$13,1,BJ95)))),0)</f>
        <v>0</v>
      </c>
      <c r="BK105" s="24">
        <f>IF(BK97=1,'Lease Cycles'!$D$13*IF(INDEX('Lease Cycles'!$EF$13:$EL$13,1,BK95)=1,'Lease Cycles'!$AJ$13*INDEX('Lease Cycles'!$FO$13:$FU$13,1,BK95)*INDEX('Lease Cycles'!$EM$13:$ES$13,1,BK95)+'Lease Cycles'!$BE$13*IF(BK96&lt;INDEX('Lease Cycles'!$FA$13:$FG$13,1,BK95),0,1-INDEX('Lease Cycles'!$EM$13:$ES$13,1,BK95)),IF(OR(INDEX('Lease Cycles'!$DY$13:$EE$13,1,BK95)=1,BK96&gt;0),1,1-INDEX('Lease Cycles'!$DD$13:$DJ$13,1,BK95))*('Lease Cycles'!$AJ$13*INDEX('Lease Cycles'!$FO$13:$FU$13,1,BK95)+'Lease Cycles'!$BE$13*(1-INDEX('Lease Cycles'!$FO$13:$FU$13,1,BK95)))),0)</f>
        <v>0</v>
      </c>
      <c r="BL105" s="24">
        <f>IF(BL97=1,'Lease Cycles'!$D$13*IF(INDEX('Lease Cycles'!$EF$13:$EL$13,1,BL95)=1,'Lease Cycles'!$AJ$13*INDEX('Lease Cycles'!$FO$13:$FU$13,1,BL95)*INDEX('Lease Cycles'!$EM$13:$ES$13,1,BL95)+'Lease Cycles'!$BE$13*IF(BL96&lt;INDEX('Lease Cycles'!$FA$13:$FG$13,1,BL95),0,1-INDEX('Lease Cycles'!$EM$13:$ES$13,1,BL95)),IF(OR(INDEX('Lease Cycles'!$DY$13:$EE$13,1,BL95)=1,BL96&gt;0),1,1-INDEX('Lease Cycles'!$DD$13:$DJ$13,1,BL95))*('Lease Cycles'!$AJ$13*INDEX('Lease Cycles'!$FO$13:$FU$13,1,BL95)+'Lease Cycles'!$BE$13*(1-INDEX('Lease Cycles'!$FO$13:$FU$13,1,BL95)))),0)</f>
        <v>0</v>
      </c>
      <c r="BM105" s="24">
        <f>IF(BM97=1,'Lease Cycles'!$D$13*IF(INDEX('Lease Cycles'!$EF$13:$EL$13,1,BM95)=1,'Lease Cycles'!$AJ$13*INDEX('Lease Cycles'!$FO$13:$FU$13,1,BM95)*INDEX('Lease Cycles'!$EM$13:$ES$13,1,BM95)+'Lease Cycles'!$BE$13*IF(BM96&lt;INDEX('Lease Cycles'!$FA$13:$FG$13,1,BM95),0,1-INDEX('Lease Cycles'!$EM$13:$ES$13,1,BM95)),IF(OR(INDEX('Lease Cycles'!$DY$13:$EE$13,1,BM95)=1,BM96&gt;0),1,1-INDEX('Lease Cycles'!$DD$13:$DJ$13,1,BM95))*('Lease Cycles'!$AJ$13*INDEX('Lease Cycles'!$FO$13:$FU$13,1,BM95)+'Lease Cycles'!$BE$13*(1-INDEX('Lease Cycles'!$FO$13:$FU$13,1,BM95)))),0)</f>
        <v>0</v>
      </c>
      <c r="BN105" s="24">
        <f>IF(BN97=1,'Lease Cycles'!$D$13*IF(INDEX('Lease Cycles'!$EF$13:$EL$13,1,BN95)=1,'Lease Cycles'!$AJ$13*INDEX('Lease Cycles'!$FO$13:$FU$13,1,BN95)*INDEX('Lease Cycles'!$EM$13:$ES$13,1,BN95)+'Lease Cycles'!$BE$13*IF(BN96&lt;INDEX('Lease Cycles'!$FA$13:$FG$13,1,BN95),0,1-INDEX('Lease Cycles'!$EM$13:$ES$13,1,BN95)),IF(OR(INDEX('Lease Cycles'!$DY$13:$EE$13,1,BN95)=1,BN96&gt;0),1,1-INDEX('Lease Cycles'!$DD$13:$DJ$13,1,BN95))*('Lease Cycles'!$AJ$13*INDEX('Lease Cycles'!$FO$13:$FU$13,1,BN95)+'Lease Cycles'!$BE$13*(1-INDEX('Lease Cycles'!$FO$13:$FU$13,1,BN95)))),0)</f>
        <v>0</v>
      </c>
      <c r="BO105" s="24">
        <f>IF(BO97=1,'Lease Cycles'!$D$13*IF(INDEX('Lease Cycles'!$EF$13:$EL$13,1,BO95)=1,'Lease Cycles'!$AJ$13*INDEX('Lease Cycles'!$FO$13:$FU$13,1,BO95)*INDEX('Lease Cycles'!$EM$13:$ES$13,1,BO95)+'Lease Cycles'!$BE$13*IF(BO96&lt;INDEX('Lease Cycles'!$FA$13:$FG$13,1,BO95),0,1-INDEX('Lease Cycles'!$EM$13:$ES$13,1,BO95)),IF(OR(INDEX('Lease Cycles'!$DY$13:$EE$13,1,BO95)=1,BO96&gt;0),1,1-INDEX('Lease Cycles'!$DD$13:$DJ$13,1,BO95))*('Lease Cycles'!$AJ$13*INDEX('Lease Cycles'!$FO$13:$FU$13,1,BO95)+'Lease Cycles'!$BE$13*(1-INDEX('Lease Cycles'!$FO$13:$FU$13,1,BO95)))),0)</f>
        <v>0</v>
      </c>
      <c r="BP105" s="24">
        <f>IF(BP97=1,'Lease Cycles'!$D$13*IF(INDEX('Lease Cycles'!$EF$13:$EL$13,1,BP95)=1,'Lease Cycles'!$AJ$13*INDEX('Lease Cycles'!$FO$13:$FU$13,1,BP95)*INDEX('Lease Cycles'!$EM$13:$ES$13,1,BP95)+'Lease Cycles'!$BE$13*IF(BP96&lt;INDEX('Lease Cycles'!$FA$13:$FG$13,1,BP95),0,1-INDEX('Lease Cycles'!$EM$13:$ES$13,1,BP95)),IF(OR(INDEX('Lease Cycles'!$DY$13:$EE$13,1,BP95)=1,BP96&gt;0),1,1-INDEX('Lease Cycles'!$DD$13:$DJ$13,1,BP95))*('Lease Cycles'!$AJ$13*INDEX('Lease Cycles'!$FO$13:$FU$13,1,BP95)+'Lease Cycles'!$BE$13*(1-INDEX('Lease Cycles'!$FO$13:$FU$13,1,BP95)))),0)</f>
        <v>0</v>
      </c>
      <c r="BQ105" s="24">
        <f>IF(BQ97=1,'Lease Cycles'!$D$13*IF(INDEX('Lease Cycles'!$EF$13:$EL$13,1,BQ95)=1,'Lease Cycles'!$AJ$13*INDEX('Lease Cycles'!$FO$13:$FU$13,1,BQ95)*INDEX('Lease Cycles'!$EM$13:$ES$13,1,BQ95)+'Lease Cycles'!$BE$13*IF(BQ96&lt;INDEX('Lease Cycles'!$FA$13:$FG$13,1,BQ95),0,1-INDEX('Lease Cycles'!$EM$13:$ES$13,1,BQ95)),IF(OR(INDEX('Lease Cycles'!$DY$13:$EE$13,1,BQ95)=1,BQ96&gt;0),1,1-INDEX('Lease Cycles'!$DD$13:$DJ$13,1,BQ95))*('Lease Cycles'!$AJ$13*INDEX('Lease Cycles'!$FO$13:$FU$13,1,BQ95)+'Lease Cycles'!$BE$13*(1-INDEX('Lease Cycles'!$FO$13:$FU$13,1,BQ95)))),0)</f>
        <v>0</v>
      </c>
      <c r="BR105" s="24">
        <f>IF(BR97=1,'Lease Cycles'!$D$13*IF(INDEX('Lease Cycles'!$EF$13:$EL$13,1,BR95)=1,'Lease Cycles'!$AJ$13*INDEX('Lease Cycles'!$FO$13:$FU$13,1,BR95)*INDEX('Lease Cycles'!$EM$13:$ES$13,1,BR95)+'Lease Cycles'!$BE$13*IF(BR96&lt;INDEX('Lease Cycles'!$FA$13:$FG$13,1,BR95),0,1-INDEX('Lease Cycles'!$EM$13:$ES$13,1,BR95)),IF(OR(INDEX('Lease Cycles'!$DY$13:$EE$13,1,BR95)=1,BR96&gt;0),1,1-INDEX('Lease Cycles'!$DD$13:$DJ$13,1,BR95))*('Lease Cycles'!$AJ$13*INDEX('Lease Cycles'!$FO$13:$FU$13,1,BR95)+'Lease Cycles'!$BE$13*(1-INDEX('Lease Cycles'!$FO$13:$FU$13,1,BR95)))),0)</f>
        <v>0</v>
      </c>
      <c r="BS105" s="24">
        <f>IF(BS97=1,'Lease Cycles'!$D$13*IF(INDEX('Lease Cycles'!$EF$13:$EL$13,1,BS95)=1,'Lease Cycles'!$AJ$13*INDEX('Lease Cycles'!$FO$13:$FU$13,1,BS95)*INDEX('Lease Cycles'!$EM$13:$ES$13,1,BS95)+'Lease Cycles'!$BE$13*IF(BS96&lt;INDEX('Lease Cycles'!$FA$13:$FG$13,1,BS95),0,1-INDEX('Lease Cycles'!$EM$13:$ES$13,1,BS95)),IF(OR(INDEX('Lease Cycles'!$DY$13:$EE$13,1,BS95)=1,BS96&gt;0),1,1-INDEX('Lease Cycles'!$DD$13:$DJ$13,1,BS95))*('Lease Cycles'!$AJ$13*INDEX('Lease Cycles'!$FO$13:$FU$13,1,BS95)+'Lease Cycles'!$BE$13*(1-INDEX('Lease Cycles'!$FO$13:$FU$13,1,BS95)))),0)</f>
        <v>0</v>
      </c>
      <c r="BT105" s="24">
        <f>IF(BT97=1,'Lease Cycles'!$D$13*IF(INDEX('Lease Cycles'!$EF$13:$EL$13,1,BT95)=1,'Lease Cycles'!$AJ$13*INDEX('Lease Cycles'!$FO$13:$FU$13,1,BT95)*INDEX('Lease Cycles'!$EM$13:$ES$13,1,BT95)+'Lease Cycles'!$BE$13*IF(BT96&lt;INDEX('Lease Cycles'!$FA$13:$FG$13,1,BT95),0,1-INDEX('Lease Cycles'!$EM$13:$ES$13,1,BT95)),IF(OR(INDEX('Lease Cycles'!$DY$13:$EE$13,1,BT95)=1,BT96&gt;0),1,1-INDEX('Lease Cycles'!$DD$13:$DJ$13,1,BT95))*('Lease Cycles'!$AJ$13*INDEX('Lease Cycles'!$FO$13:$FU$13,1,BT95)+'Lease Cycles'!$BE$13*(1-INDEX('Lease Cycles'!$FO$13:$FU$13,1,BT95)))),0)</f>
        <v>0</v>
      </c>
      <c r="BU105" s="24">
        <f>IF(BU97=1,'Lease Cycles'!$D$13*IF(INDEX('Lease Cycles'!$EF$13:$EL$13,1,BU95)=1,'Lease Cycles'!$AJ$13*INDEX('Lease Cycles'!$FO$13:$FU$13,1,BU95)*INDEX('Lease Cycles'!$EM$13:$ES$13,1,BU95)+'Lease Cycles'!$BE$13*IF(BU96&lt;INDEX('Lease Cycles'!$FA$13:$FG$13,1,BU95),0,1-INDEX('Lease Cycles'!$EM$13:$ES$13,1,BU95)),IF(OR(INDEX('Lease Cycles'!$DY$13:$EE$13,1,BU95)=1,BU96&gt;0),1,1-INDEX('Lease Cycles'!$DD$13:$DJ$13,1,BU95))*('Lease Cycles'!$AJ$13*INDEX('Lease Cycles'!$FO$13:$FU$13,1,BU95)+'Lease Cycles'!$BE$13*(1-INDEX('Lease Cycles'!$FO$13:$FU$13,1,BU95)))),0)</f>
        <v>0</v>
      </c>
      <c r="BV105" s="24">
        <f>IF(BV97=1,'Lease Cycles'!$D$13*IF(INDEX('Lease Cycles'!$EF$13:$EL$13,1,BV95)=1,'Lease Cycles'!$AJ$13*INDEX('Lease Cycles'!$FO$13:$FU$13,1,BV95)*INDEX('Lease Cycles'!$EM$13:$ES$13,1,BV95)+'Lease Cycles'!$BE$13*IF(BV96&lt;INDEX('Lease Cycles'!$FA$13:$FG$13,1,BV95),0,1-INDEX('Lease Cycles'!$EM$13:$ES$13,1,BV95)),IF(OR(INDEX('Lease Cycles'!$DY$13:$EE$13,1,BV95)=1,BV96&gt;0),1,1-INDEX('Lease Cycles'!$DD$13:$DJ$13,1,BV95))*('Lease Cycles'!$AJ$13*INDEX('Lease Cycles'!$FO$13:$FU$13,1,BV95)+'Lease Cycles'!$BE$13*(1-INDEX('Lease Cycles'!$FO$13:$FU$13,1,BV95)))),0)</f>
        <v>0</v>
      </c>
      <c r="BW105" s="24">
        <f>IF(BW97=1,'Lease Cycles'!$D$13*IF(INDEX('Lease Cycles'!$EF$13:$EL$13,1,BW95)=1,'Lease Cycles'!$AJ$13*INDEX('Lease Cycles'!$FO$13:$FU$13,1,BW95)*INDEX('Lease Cycles'!$EM$13:$ES$13,1,BW95)+'Lease Cycles'!$BE$13*IF(BW96&lt;INDEX('Lease Cycles'!$FA$13:$FG$13,1,BW95),0,1-INDEX('Lease Cycles'!$EM$13:$ES$13,1,BW95)),IF(OR(INDEX('Lease Cycles'!$DY$13:$EE$13,1,BW95)=1,BW96&gt;0),1,1-INDEX('Lease Cycles'!$DD$13:$DJ$13,1,BW95))*('Lease Cycles'!$AJ$13*INDEX('Lease Cycles'!$FO$13:$FU$13,1,BW95)+'Lease Cycles'!$BE$13*(1-INDEX('Lease Cycles'!$FO$13:$FU$13,1,BW95)))),0)</f>
        <v>0</v>
      </c>
      <c r="BX105" s="24">
        <f>IF(BX97=1,'Lease Cycles'!$D$13*IF(INDEX('Lease Cycles'!$EF$13:$EL$13,1,BX95)=1,'Lease Cycles'!$AJ$13*INDEX('Lease Cycles'!$FO$13:$FU$13,1,BX95)*INDEX('Lease Cycles'!$EM$13:$ES$13,1,BX95)+'Lease Cycles'!$BE$13*IF(BX96&lt;INDEX('Lease Cycles'!$FA$13:$FG$13,1,BX95),0,1-INDEX('Lease Cycles'!$EM$13:$ES$13,1,BX95)),IF(OR(INDEX('Lease Cycles'!$DY$13:$EE$13,1,BX95)=1,BX96&gt;0),1,1-INDEX('Lease Cycles'!$DD$13:$DJ$13,1,BX95))*('Lease Cycles'!$AJ$13*INDEX('Lease Cycles'!$FO$13:$FU$13,1,BX95)+'Lease Cycles'!$BE$13*(1-INDEX('Lease Cycles'!$FO$13:$FU$13,1,BX95)))),0)</f>
        <v>0</v>
      </c>
      <c r="BY105" s="24">
        <f>IF(BY97=1,'Lease Cycles'!$D$13*IF(INDEX('Lease Cycles'!$EF$13:$EL$13,1,BY95)=1,'Lease Cycles'!$AJ$13*INDEX('Lease Cycles'!$FO$13:$FU$13,1,BY95)*INDEX('Lease Cycles'!$EM$13:$ES$13,1,BY95)+'Lease Cycles'!$BE$13*IF(BY96&lt;INDEX('Lease Cycles'!$FA$13:$FG$13,1,BY95),0,1-INDEX('Lease Cycles'!$EM$13:$ES$13,1,BY95)),IF(OR(INDEX('Lease Cycles'!$DY$13:$EE$13,1,BY95)=1,BY96&gt;0),1,1-INDEX('Lease Cycles'!$DD$13:$DJ$13,1,BY95))*('Lease Cycles'!$AJ$13*INDEX('Lease Cycles'!$FO$13:$FU$13,1,BY95)+'Lease Cycles'!$BE$13*(1-INDEX('Lease Cycles'!$FO$13:$FU$13,1,BY95)))),0)</f>
        <v>0</v>
      </c>
      <c r="BZ105" s="24">
        <f>IF(BZ97=1,'Lease Cycles'!$D$13*IF(INDEX('Lease Cycles'!$EF$13:$EL$13,1,BZ95)=1,'Lease Cycles'!$AJ$13*INDEX('Lease Cycles'!$FO$13:$FU$13,1,BZ95)*INDEX('Lease Cycles'!$EM$13:$ES$13,1,BZ95)+'Lease Cycles'!$BE$13*IF(BZ96&lt;INDEX('Lease Cycles'!$FA$13:$FG$13,1,BZ95),0,1-INDEX('Lease Cycles'!$EM$13:$ES$13,1,BZ95)),IF(OR(INDEX('Lease Cycles'!$DY$13:$EE$13,1,BZ95)=1,BZ96&gt;0),1,1-INDEX('Lease Cycles'!$DD$13:$DJ$13,1,BZ95))*('Lease Cycles'!$AJ$13*INDEX('Lease Cycles'!$FO$13:$FU$13,1,BZ95)+'Lease Cycles'!$BE$13*(1-INDEX('Lease Cycles'!$FO$13:$FU$13,1,BZ95)))),0)</f>
        <v>0</v>
      </c>
      <c r="CA105" s="24">
        <f>IF(CA97=1,'Lease Cycles'!$D$13*IF(INDEX('Lease Cycles'!$EF$13:$EL$13,1,CA95)=1,'Lease Cycles'!$AJ$13*INDEX('Lease Cycles'!$FO$13:$FU$13,1,CA95)*INDEX('Lease Cycles'!$EM$13:$ES$13,1,CA95)+'Lease Cycles'!$BE$13*IF(CA96&lt;INDEX('Lease Cycles'!$FA$13:$FG$13,1,CA95),0,1-INDEX('Lease Cycles'!$EM$13:$ES$13,1,CA95)),IF(OR(INDEX('Lease Cycles'!$DY$13:$EE$13,1,CA95)=1,CA96&gt;0),1,1-INDEX('Lease Cycles'!$DD$13:$DJ$13,1,CA95))*('Lease Cycles'!$AJ$13*INDEX('Lease Cycles'!$FO$13:$FU$13,1,CA95)+'Lease Cycles'!$BE$13*(1-INDEX('Lease Cycles'!$FO$13:$FU$13,1,CA95)))),0)</f>
        <v>0</v>
      </c>
      <c r="CB105" s="24">
        <f>IF(CB97=1,'Lease Cycles'!$D$13*IF(INDEX('Lease Cycles'!$EF$13:$EL$13,1,CB95)=1,'Lease Cycles'!$AJ$13*INDEX('Lease Cycles'!$FO$13:$FU$13,1,CB95)*INDEX('Lease Cycles'!$EM$13:$ES$13,1,CB95)+'Lease Cycles'!$BE$13*IF(CB96&lt;INDEX('Lease Cycles'!$FA$13:$FG$13,1,CB95),0,1-INDEX('Lease Cycles'!$EM$13:$ES$13,1,CB95)),IF(OR(INDEX('Lease Cycles'!$DY$13:$EE$13,1,CB95)=1,CB96&gt;0),1,1-INDEX('Lease Cycles'!$DD$13:$DJ$13,1,CB95))*('Lease Cycles'!$AJ$13*INDEX('Lease Cycles'!$FO$13:$FU$13,1,CB95)+'Lease Cycles'!$BE$13*(1-INDEX('Lease Cycles'!$FO$13:$FU$13,1,CB95)))),0)</f>
        <v>0</v>
      </c>
      <c r="CC105" s="24">
        <f>IF(CC97=1,'Lease Cycles'!$D$13*IF(INDEX('Lease Cycles'!$EF$13:$EL$13,1,CC95)=1,'Lease Cycles'!$AJ$13*INDEX('Lease Cycles'!$FO$13:$FU$13,1,CC95)*INDEX('Lease Cycles'!$EM$13:$ES$13,1,CC95)+'Lease Cycles'!$BE$13*IF(CC96&lt;INDEX('Lease Cycles'!$FA$13:$FG$13,1,CC95),0,1-INDEX('Lease Cycles'!$EM$13:$ES$13,1,CC95)),IF(OR(INDEX('Lease Cycles'!$DY$13:$EE$13,1,CC95)=1,CC96&gt;0),1,1-INDEX('Lease Cycles'!$DD$13:$DJ$13,1,CC95))*('Lease Cycles'!$AJ$13*INDEX('Lease Cycles'!$FO$13:$FU$13,1,CC95)+'Lease Cycles'!$BE$13*(1-INDEX('Lease Cycles'!$FO$13:$FU$13,1,CC95)))),0)</f>
        <v>0</v>
      </c>
      <c r="CD105" s="24">
        <f>IF(CD97=1,'Lease Cycles'!$D$13*IF(INDEX('Lease Cycles'!$EF$13:$EL$13,1,CD95)=1,'Lease Cycles'!$AJ$13*INDEX('Lease Cycles'!$FO$13:$FU$13,1,CD95)*INDEX('Lease Cycles'!$EM$13:$ES$13,1,CD95)+'Lease Cycles'!$BE$13*IF(CD96&lt;INDEX('Lease Cycles'!$FA$13:$FG$13,1,CD95),0,1-INDEX('Lease Cycles'!$EM$13:$ES$13,1,CD95)),IF(OR(INDEX('Lease Cycles'!$DY$13:$EE$13,1,CD95)=1,CD96&gt;0),1,1-INDEX('Lease Cycles'!$DD$13:$DJ$13,1,CD95))*('Lease Cycles'!$AJ$13*INDEX('Lease Cycles'!$FO$13:$FU$13,1,CD95)+'Lease Cycles'!$BE$13*(1-INDEX('Lease Cycles'!$FO$13:$FU$13,1,CD95)))),0)</f>
        <v>0</v>
      </c>
      <c r="CE105" s="24">
        <f>IF(CE97=1,'Lease Cycles'!$D$13*IF(INDEX('Lease Cycles'!$EF$13:$EL$13,1,CE95)=1,'Lease Cycles'!$AJ$13*INDEX('Lease Cycles'!$FO$13:$FU$13,1,CE95)*INDEX('Lease Cycles'!$EM$13:$ES$13,1,CE95)+'Lease Cycles'!$BE$13*IF(CE96&lt;INDEX('Lease Cycles'!$FA$13:$FG$13,1,CE95),0,1-INDEX('Lease Cycles'!$EM$13:$ES$13,1,CE95)),IF(OR(INDEX('Lease Cycles'!$DY$13:$EE$13,1,CE95)=1,CE96&gt;0),1,1-INDEX('Lease Cycles'!$DD$13:$DJ$13,1,CE95))*('Lease Cycles'!$AJ$13*INDEX('Lease Cycles'!$FO$13:$FU$13,1,CE95)+'Lease Cycles'!$BE$13*(1-INDEX('Lease Cycles'!$FO$13:$FU$13,1,CE95)))),0)</f>
        <v>0</v>
      </c>
      <c r="CF105" s="24">
        <f>IF(CF97=1,'Lease Cycles'!$D$13*IF(INDEX('Lease Cycles'!$EF$13:$EL$13,1,CF95)=1,'Lease Cycles'!$AJ$13*INDEX('Lease Cycles'!$FO$13:$FU$13,1,CF95)*INDEX('Lease Cycles'!$EM$13:$ES$13,1,CF95)+'Lease Cycles'!$BE$13*IF(CF96&lt;INDEX('Lease Cycles'!$FA$13:$FG$13,1,CF95),0,1-INDEX('Lease Cycles'!$EM$13:$ES$13,1,CF95)),IF(OR(INDEX('Lease Cycles'!$DY$13:$EE$13,1,CF95)=1,CF96&gt;0),1,1-INDEX('Lease Cycles'!$DD$13:$DJ$13,1,CF95))*('Lease Cycles'!$AJ$13*INDEX('Lease Cycles'!$FO$13:$FU$13,1,CF95)+'Lease Cycles'!$BE$13*(1-INDEX('Lease Cycles'!$FO$13:$FU$13,1,CF95)))),0)</f>
        <v>0</v>
      </c>
      <c r="CG105" s="24">
        <f>IF(CG97=1,'Lease Cycles'!$D$13*IF(INDEX('Lease Cycles'!$EF$13:$EL$13,1,CG95)=1,'Lease Cycles'!$AJ$13*INDEX('Lease Cycles'!$FO$13:$FU$13,1,CG95)*INDEX('Lease Cycles'!$EM$13:$ES$13,1,CG95)+'Lease Cycles'!$BE$13*IF(CG96&lt;INDEX('Lease Cycles'!$FA$13:$FG$13,1,CG95),0,1-INDEX('Lease Cycles'!$EM$13:$ES$13,1,CG95)),IF(OR(INDEX('Lease Cycles'!$DY$13:$EE$13,1,CG95)=1,CG96&gt;0),1,1-INDEX('Lease Cycles'!$DD$13:$DJ$13,1,CG95))*('Lease Cycles'!$AJ$13*INDEX('Lease Cycles'!$FO$13:$FU$13,1,CG95)+'Lease Cycles'!$BE$13*(1-INDEX('Lease Cycles'!$FO$13:$FU$13,1,CG95)))),0)</f>
        <v>0</v>
      </c>
      <c r="CH105" s="24">
        <f>IF(CH97=1,'Lease Cycles'!$D$13*IF(INDEX('Lease Cycles'!$EF$13:$EL$13,1,CH95)=1,'Lease Cycles'!$AJ$13*INDEX('Lease Cycles'!$FO$13:$FU$13,1,CH95)*INDEX('Lease Cycles'!$EM$13:$ES$13,1,CH95)+'Lease Cycles'!$BE$13*IF(CH96&lt;INDEX('Lease Cycles'!$FA$13:$FG$13,1,CH95),0,1-INDEX('Lease Cycles'!$EM$13:$ES$13,1,CH95)),IF(OR(INDEX('Lease Cycles'!$DY$13:$EE$13,1,CH95)=1,CH96&gt;0),1,1-INDEX('Lease Cycles'!$DD$13:$DJ$13,1,CH95))*('Lease Cycles'!$AJ$13*INDEX('Lease Cycles'!$FO$13:$FU$13,1,CH95)+'Lease Cycles'!$BE$13*(1-INDEX('Lease Cycles'!$FO$13:$FU$13,1,CH95)))),0)</f>
        <v>0</v>
      </c>
      <c r="CI105" s="24">
        <f>IF(CI97=1,'Lease Cycles'!$D$13*IF(INDEX('Lease Cycles'!$EF$13:$EL$13,1,CI95)=1,'Lease Cycles'!$AJ$13*INDEX('Lease Cycles'!$FO$13:$FU$13,1,CI95)*INDEX('Lease Cycles'!$EM$13:$ES$13,1,CI95)+'Lease Cycles'!$BE$13*IF(CI96&lt;INDEX('Lease Cycles'!$FA$13:$FG$13,1,CI95),0,1-INDEX('Lease Cycles'!$EM$13:$ES$13,1,CI95)),IF(OR(INDEX('Lease Cycles'!$DY$13:$EE$13,1,CI95)=1,CI96&gt;0),1,1-INDEX('Lease Cycles'!$DD$13:$DJ$13,1,CI95))*('Lease Cycles'!$AJ$13*INDEX('Lease Cycles'!$FO$13:$FU$13,1,CI95)+'Lease Cycles'!$BE$13*(1-INDEX('Lease Cycles'!$FO$13:$FU$13,1,CI95)))),0)</f>
        <v>0</v>
      </c>
      <c r="CJ105" s="24">
        <f>IF(CJ97=1,'Lease Cycles'!$D$13*IF(INDEX('Lease Cycles'!$EF$13:$EL$13,1,CJ95)=1,'Lease Cycles'!$AJ$13*INDEX('Lease Cycles'!$FO$13:$FU$13,1,CJ95)*INDEX('Lease Cycles'!$EM$13:$ES$13,1,CJ95)+'Lease Cycles'!$BE$13*IF(CJ96&lt;INDEX('Lease Cycles'!$FA$13:$FG$13,1,CJ95),0,1-INDEX('Lease Cycles'!$EM$13:$ES$13,1,CJ95)),IF(OR(INDEX('Lease Cycles'!$DY$13:$EE$13,1,CJ95)=1,CJ96&gt;0),1,1-INDEX('Lease Cycles'!$DD$13:$DJ$13,1,CJ95))*('Lease Cycles'!$AJ$13*INDEX('Lease Cycles'!$FO$13:$FU$13,1,CJ95)+'Lease Cycles'!$BE$13*(1-INDEX('Lease Cycles'!$FO$13:$FU$13,1,CJ95)))),0)</f>
        <v>0</v>
      </c>
      <c r="CK105" s="24">
        <f>IF(CK97=1,'Lease Cycles'!$D$13*IF(INDEX('Lease Cycles'!$EF$13:$EL$13,1,CK95)=1,'Lease Cycles'!$AJ$13*INDEX('Lease Cycles'!$FO$13:$FU$13,1,CK95)*INDEX('Lease Cycles'!$EM$13:$ES$13,1,CK95)+'Lease Cycles'!$BE$13*IF(CK96&lt;INDEX('Lease Cycles'!$FA$13:$FG$13,1,CK95),0,1-INDEX('Lease Cycles'!$EM$13:$ES$13,1,CK95)),IF(OR(INDEX('Lease Cycles'!$DY$13:$EE$13,1,CK95)=1,CK96&gt;0),1,1-INDEX('Lease Cycles'!$DD$13:$DJ$13,1,CK95))*('Lease Cycles'!$AJ$13*INDEX('Lease Cycles'!$FO$13:$FU$13,1,CK95)+'Lease Cycles'!$BE$13*(1-INDEX('Lease Cycles'!$FO$13:$FU$13,1,CK95)))),0)</f>
        <v>0</v>
      </c>
      <c r="CL105" s="24">
        <f>IF(CL97=1,'Lease Cycles'!$D$13*IF(INDEX('Lease Cycles'!$EF$13:$EL$13,1,CL95)=1,'Lease Cycles'!$AJ$13*INDEX('Lease Cycles'!$FO$13:$FU$13,1,CL95)*INDEX('Lease Cycles'!$EM$13:$ES$13,1,CL95)+'Lease Cycles'!$BE$13*IF(CL96&lt;INDEX('Lease Cycles'!$FA$13:$FG$13,1,CL95),0,1-INDEX('Lease Cycles'!$EM$13:$ES$13,1,CL95)),IF(OR(INDEX('Lease Cycles'!$DY$13:$EE$13,1,CL95)=1,CL96&gt;0),1,1-INDEX('Lease Cycles'!$DD$13:$DJ$13,1,CL95))*('Lease Cycles'!$AJ$13*INDEX('Lease Cycles'!$FO$13:$FU$13,1,CL95)+'Lease Cycles'!$BE$13*(1-INDEX('Lease Cycles'!$FO$13:$FU$13,1,CL95)))),0)</f>
        <v>0</v>
      </c>
      <c r="CM105" s="24">
        <f>IF(CM97=1,'Lease Cycles'!$D$13*IF(INDEX('Lease Cycles'!$EF$13:$EL$13,1,CM95)=1,'Lease Cycles'!$AJ$13*INDEX('Lease Cycles'!$FO$13:$FU$13,1,CM95)*INDEX('Lease Cycles'!$EM$13:$ES$13,1,CM95)+'Lease Cycles'!$BE$13*IF(CM96&lt;INDEX('Lease Cycles'!$FA$13:$FG$13,1,CM95),0,1-INDEX('Lease Cycles'!$EM$13:$ES$13,1,CM95)),IF(OR(INDEX('Lease Cycles'!$DY$13:$EE$13,1,CM95)=1,CM96&gt;0),1,1-INDEX('Lease Cycles'!$DD$13:$DJ$13,1,CM95))*('Lease Cycles'!$AJ$13*INDEX('Lease Cycles'!$FO$13:$FU$13,1,CM95)+'Lease Cycles'!$BE$13*(1-INDEX('Lease Cycles'!$FO$13:$FU$13,1,CM95)))),0)</f>
        <v>0</v>
      </c>
      <c r="CN105" s="24">
        <f>IF(CN97=1,'Lease Cycles'!$D$13*IF(INDEX('Lease Cycles'!$EF$13:$EL$13,1,CN95)=1,'Lease Cycles'!$AJ$13*INDEX('Lease Cycles'!$FO$13:$FU$13,1,CN95)*INDEX('Lease Cycles'!$EM$13:$ES$13,1,CN95)+'Lease Cycles'!$BE$13*IF(CN96&lt;INDEX('Lease Cycles'!$FA$13:$FG$13,1,CN95),0,1-INDEX('Lease Cycles'!$EM$13:$ES$13,1,CN95)),IF(OR(INDEX('Lease Cycles'!$DY$13:$EE$13,1,CN95)=1,CN96&gt;0),1,1-INDEX('Lease Cycles'!$DD$13:$DJ$13,1,CN95))*('Lease Cycles'!$AJ$13*INDEX('Lease Cycles'!$FO$13:$FU$13,1,CN95)+'Lease Cycles'!$BE$13*(1-INDEX('Lease Cycles'!$FO$13:$FU$13,1,CN95)))),0)</f>
        <v>0</v>
      </c>
      <c r="CO105" s="24">
        <f>IF(CO97=1,'Lease Cycles'!$D$13*IF(INDEX('Lease Cycles'!$EF$13:$EL$13,1,CO95)=1,'Lease Cycles'!$AJ$13*INDEX('Lease Cycles'!$FO$13:$FU$13,1,CO95)*INDEX('Lease Cycles'!$EM$13:$ES$13,1,CO95)+'Lease Cycles'!$BE$13*IF(CO96&lt;INDEX('Lease Cycles'!$FA$13:$FG$13,1,CO95),0,1-INDEX('Lease Cycles'!$EM$13:$ES$13,1,CO95)),IF(OR(INDEX('Lease Cycles'!$DY$13:$EE$13,1,CO95)=1,CO96&gt;0),1,1-INDEX('Lease Cycles'!$DD$13:$DJ$13,1,CO95))*('Lease Cycles'!$AJ$13*INDEX('Lease Cycles'!$FO$13:$FU$13,1,CO95)+'Lease Cycles'!$BE$13*(1-INDEX('Lease Cycles'!$FO$13:$FU$13,1,CO95)))),0)</f>
        <v>0</v>
      </c>
      <c r="CP105" s="24">
        <f>IF(CP97=1,'Lease Cycles'!$D$13*IF(INDEX('Lease Cycles'!$EF$13:$EL$13,1,CP95)=1,'Lease Cycles'!$AJ$13*INDEX('Lease Cycles'!$FO$13:$FU$13,1,CP95)*INDEX('Lease Cycles'!$EM$13:$ES$13,1,CP95)+'Lease Cycles'!$BE$13*IF(CP96&lt;INDEX('Lease Cycles'!$FA$13:$FG$13,1,CP95),0,1-INDEX('Lease Cycles'!$EM$13:$ES$13,1,CP95)),IF(OR(INDEX('Lease Cycles'!$DY$13:$EE$13,1,CP95)=1,CP96&gt;0),1,1-INDEX('Lease Cycles'!$DD$13:$DJ$13,1,CP95))*('Lease Cycles'!$AJ$13*INDEX('Lease Cycles'!$FO$13:$FU$13,1,CP95)+'Lease Cycles'!$BE$13*(1-INDEX('Lease Cycles'!$FO$13:$FU$13,1,CP95)))),0)</f>
        <v>0</v>
      </c>
      <c r="CQ105" s="24">
        <f>IF(CQ97=1,'Lease Cycles'!$D$13*IF(INDEX('Lease Cycles'!$EF$13:$EL$13,1,CQ95)=1,'Lease Cycles'!$AJ$13*INDEX('Lease Cycles'!$FO$13:$FU$13,1,CQ95)*INDEX('Lease Cycles'!$EM$13:$ES$13,1,CQ95)+'Lease Cycles'!$BE$13*IF(CQ96&lt;INDEX('Lease Cycles'!$FA$13:$FG$13,1,CQ95),0,1-INDEX('Lease Cycles'!$EM$13:$ES$13,1,CQ95)),IF(OR(INDEX('Lease Cycles'!$DY$13:$EE$13,1,CQ95)=1,CQ96&gt;0),1,1-INDEX('Lease Cycles'!$DD$13:$DJ$13,1,CQ95))*('Lease Cycles'!$AJ$13*INDEX('Lease Cycles'!$FO$13:$FU$13,1,CQ95)+'Lease Cycles'!$BE$13*(1-INDEX('Lease Cycles'!$FO$13:$FU$13,1,CQ95)))),0)</f>
        <v>0</v>
      </c>
      <c r="CR105" s="24">
        <f>IF(CR97=1,'Lease Cycles'!$D$13*IF(INDEX('Lease Cycles'!$EF$13:$EL$13,1,CR95)=1,'Lease Cycles'!$AJ$13*INDEX('Lease Cycles'!$FO$13:$FU$13,1,CR95)*INDEX('Lease Cycles'!$EM$13:$ES$13,1,CR95)+'Lease Cycles'!$BE$13*IF(CR96&lt;INDEX('Lease Cycles'!$FA$13:$FG$13,1,CR95),0,1-INDEX('Lease Cycles'!$EM$13:$ES$13,1,CR95)),IF(OR(INDEX('Lease Cycles'!$DY$13:$EE$13,1,CR95)=1,CR96&gt;0),1,1-INDEX('Lease Cycles'!$DD$13:$DJ$13,1,CR95))*('Lease Cycles'!$AJ$13*INDEX('Lease Cycles'!$FO$13:$FU$13,1,CR95)+'Lease Cycles'!$BE$13*(1-INDEX('Lease Cycles'!$FO$13:$FU$13,1,CR95)))),0)</f>
        <v>0</v>
      </c>
      <c r="CS105" s="24">
        <f>IF(CS97=1,'Lease Cycles'!$D$13*IF(INDEX('Lease Cycles'!$EF$13:$EL$13,1,CS95)=1,'Lease Cycles'!$AJ$13*INDEX('Lease Cycles'!$FO$13:$FU$13,1,CS95)*INDEX('Lease Cycles'!$EM$13:$ES$13,1,CS95)+'Lease Cycles'!$BE$13*IF(CS96&lt;INDEX('Lease Cycles'!$FA$13:$FG$13,1,CS95),0,1-INDEX('Lease Cycles'!$EM$13:$ES$13,1,CS95)),IF(OR(INDEX('Lease Cycles'!$DY$13:$EE$13,1,CS95)=1,CS96&gt;0),1,1-INDEX('Lease Cycles'!$DD$13:$DJ$13,1,CS95))*('Lease Cycles'!$AJ$13*INDEX('Lease Cycles'!$FO$13:$FU$13,1,CS95)+'Lease Cycles'!$BE$13*(1-INDEX('Lease Cycles'!$FO$13:$FU$13,1,CS95)))),0)</f>
        <v>0</v>
      </c>
      <c r="CT105" s="24">
        <f>IF(CT97=1,'Lease Cycles'!$D$13*IF(INDEX('Lease Cycles'!$EF$13:$EL$13,1,CT95)=1,'Lease Cycles'!$AJ$13*INDEX('Lease Cycles'!$FO$13:$FU$13,1,CT95)*INDEX('Lease Cycles'!$EM$13:$ES$13,1,CT95)+'Lease Cycles'!$BE$13*IF(CT96&lt;INDEX('Lease Cycles'!$FA$13:$FG$13,1,CT95),0,1-INDEX('Lease Cycles'!$EM$13:$ES$13,1,CT95)),IF(OR(INDEX('Lease Cycles'!$DY$13:$EE$13,1,CT95)=1,CT96&gt;0),1,1-INDEX('Lease Cycles'!$DD$13:$DJ$13,1,CT95))*('Lease Cycles'!$AJ$13*INDEX('Lease Cycles'!$FO$13:$FU$13,1,CT95)+'Lease Cycles'!$BE$13*(1-INDEX('Lease Cycles'!$FO$13:$FU$13,1,CT95)))),0)</f>
        <v>0</v>
      </c>
      <c r="CU105" s="24">
        <f>IF(CU97=1,'Lease Cycles'!$D$13*IF(INDEX('Lease Cycles'!$EF$13:$EL$13,1,CU95)=1,'Lease Cycles'!$AJ$13*INDEX('Lease Cycles'!$FO$13:$FU$13,1,CU95)*INDEX('Lease Cycles'!$EM$13:$ES$13,1,CU95)+'Lease Cycles'!$BE$13*IF(CU96&lt;INDEX('Lease Cycles'!$FA$13:$FG$13,1,CU95),0,1-INDEX('Lease Cycles'!$EM$13:$ES$13,1,CU95)),IF(OR(INDEX('Lease Cycles'!$DY$13:$EE$13,1,CU95)=1,CU96&gt;0),1,1-INDEX('Lease Cycles'!$DD$13:$DJ$13,1,CU95))*('Lease Cycles'!$AJ$13*INDEX('Lease Cycles'!$FO$13:$FU$13,1,CU95)+'Lease Cycles'!$BE$13*(1-INDEX('Lease Cycles'!$FO$13:$FU$13,1,CU95)))),0)</f>
        <v>0</v>
      </c>
      <c r="CV105" s="24">
        <f>IF(CV97=1,'Lease Cycles'!$D$13*IF(INDEX('Lease Cycles'!$EF$13:$EL$13,1,CV95)=1,'Lease Cycles'!$AJ$13*INDEX('Lease Cycles'!$FO$13:$FU$13,1,CV95)*INDEX('Lease Cycles'!$EM$13:$ES$13,1,CV95)+'Lease Cycles'!$BE$13*IF(CV96&lt;INDEX('Lease Cycles'!$FA$13:$FG$13,1,CV95),0,1-INDEX('Lease Cycles'!$EM$13:$ES$13,1,CV95)),IF(OR(INDEX('Lease Cycles'!$DY$13:$EE$13,1,CV95)=1,CV96&gt;0),1,1-INDEX('Lease Cycles'!$DD$13:$DJ$13,1,CV95))*('Lease Cycles'!$AJ$13*INDEX('Lease Cycles'!$FO$13:$FU$13,1,CV95)+'Lease Cycles'!$BE$13*(1-INDEX('Lease Cycles'!$FO$13:$FU$13,1,CV95)))),0)</f>
        <v>0</v>
      </c>
      <c r="CW105" s="24">
        <f>IF(CW97=1,'Lease Cycles'!$D$13*IF(INDEX('Lease Cycles'!$EF$13:$EL$13,1,CW95)=1,'Lease Cycles'!$AJ$13*INDEX('Lease Cycles'!$FO$13:$FU$13,1,CW95)*INDEX('Lease Cycles'!$EM$13:$ES$13,1,CW95)+'Lease Cycles'!$BE$13*IF(CW96&lt;INDEX('Lease Cycles'!$FA$13:$FG$13,1,CW95),0,1-INDEX('Lease Cycles'!$EM$13:$ES$13,1,CW95)),IF(OR(INDEX('Lease Cycles'!$DY$13:$EE$13,1,CW95)=1,CW96&gt;0),1,1-INDEX('Lease Cycles'!$DD$13:$DJ$13,1,CW95))*('Lease Cycles'!$AJ$13*INDEX('Lease Cycles'!$FO$13:$FU$13,1,CW95)+'Lease Cycles'!$BE$13*(1-INDEX('Lease Cycles'!$FO$13:$FU$13,1,CW95)))),0)</f>
        <v>0</v>
      </c>
      <c r="CX105" s="24">
        <f>IF(CX97=1,'Lease Cycles'!$D$13*IF(INDEX('Lease Cycles'!$EF$13:$EL$13,1,CX95)=1,'Lease Cycles'!$AJ$13*INDEX('Lease Cycles'!$FO$13:$FU$13,1,CX95)*INDEX('Lease Cycles'!$EM$13:$ES$13,1,CX95)+'Lease Cycles'!$BE$13*IF(CX96&lt;INDEX('Lease Cycles'!$FA$13:$FG$13,1,CX95),0,1-INDEX('Lease Cycles'!$EM$13:$ES$13,1,CX95)),IF(OR(INDEX('Lease Cycles'!$DY$13:$EE$13,1,CX95)=1,CX96&gt;0),1,1-INDEX('Lease Cycles'!$DD$13:$DJ$13,1,CX95))*('Lease Cycles'!$AJ$13*INDEX('Lease Cycles'!$FO$13:$FU$13,1,CX95)+'Lease Cycles'!$BE$13*(1-INDEX('Lease Cycles'!$FO$13:$FU$13,1,CX95)))),0)</f>
        <v>0</v>
      </c>
      <c r="CY105" s="24">
        <f>IF(CY97=1,'Lease Cycles'!$D$13*IF(INDEX('Lease Cycles'!$EF$13:$EL$13,1,CY95)=1,'Lease Cycles'!$AJ$13*INDEX('Lease Cycles'!$FO$13:$FU$13,1,CY95)*INDEX('Lease Cycles'!$EM$13:$ES$13,1,CY95)+'Lease Cycles'!$BE$13*IF(CY96&lt;INDEX('Lease Cycles'!$FA$13:$FG$13,1,CY95),0,1-INDEX('Lease Cycles'!$EM$13:$ES$13,1,CY95)),IF(OR(INDEX('Lease Cycles'!$DY$13:$EE$13,1,CY95)=1,CY96&gt;0),1,1-INDEX('Lease Cycles'!$DD$13:$DJ$13,1,CY95))*('Lease Cycles'!$AJ$13*INDEX('Lease Cycles'!$FO$13:$FU$13,1,CY95)+'Lease Cycles'!$BE$13*(1-INDEX('Lease Cycles'!$FO$13:$FU$13,1,CY95)))),0)</f>
        <v>0</v>
      </c>
      <c r="CZ105" s="24">
        <f>IF(CZ97=1,'Lease Cycles'!$D$13*IF(INDEX('Lease Cycles'!$EF$13:$EL$13,1,CZ95)=1,'Lease Cycles'!$AJ$13*INDEX('Lease Cycles'!$FO$13:$FU$13,1,CZ95)*INDEX('Lease Cycles'!$EM$13:$ES$13,1,CZ95)+'Lease Cycles'!$BE$13*IF(CZ96&lt;INDEX('Lease Cycles'!$FA$13:$FG$13,1,CZ95),0,1-INDEX('Lease Cycles'!$EM$13:$ES$13,1,CZ95)),IF(OR(INDEX('Lease Cycles'!$DY$13:$EE$13,1,CZ95)=1,CZ96&gt;0),1,1-INDEX('Lease Cycles'!$DD$13:$DJ$13,1,CZ95))*('Lease Cycles'!$AJ$13*INDEX('Lease Cycles'!$FO$13:$FU$13,1,CZ95)+'Lease Cycles'!$BE$13*(1-INDEX('Lease Cycles'!$FO$13:$FU$13,1,CZ95)))),0)</f>
        <v>0</v>
      </c>
      <c r="DA105" s="24">
        <f>IF(DA97=1,'Lease Cycles'!$D$13*IF(INDEX('Lease Cycles'!$EF$13:$EL$13,1,DA95)=1,'Lease Cycles'!$AJ$13*INDEX('Lease Cycles'!$FO$13:$FU$13,1,DA95)*INDEX('Lease Cycles'!$EM$13:$ES$13,1,DA95)+'Lease Cycles'!$BE$13*IF(DA96&lt;INDEX('Lease Cycles'!$FA$13:$FG$13,1,DA95),0,1-INDEX('Lease Cycles'!$EM$13:$ES$13,1,DA95)),IF(OR(INDEX('Lease Cycles'!$DY$13:$EE$13,1,DA95)=1,DA96&gt;0),1,1-INDEX('Lease Cycles'!$DD$13:$DJ$13,1,DA95))*('Lease Cycles'!$AJ$13*INDEX('Lease Cycles'!$FO$13:$FU$13,1,DA95)+'Lease Cycles'!$BE$13*(1-INDEX('Lease Cycles'!$FO$13:$FU$13,1,DA95)))),0)</f>
        <v>0</v>
      </c>
      <c r="DB105" s="24">
        <f>IF(DB97=1,'Lease Cycles'!$D$13*IF(INDEX('Lease Cycles'!$EF$13:$EL$13,1,DB95)=1,'Lease Cycles'!$AJ$13*INDEX('Lease Cycles'!$FO$13:$FU$13,1,DB95)*INDEX('Lease Cycles'!$EM$13:$ES$13,1,DB95)+'Lease Cycles'!$BE$13*IF(DB96&lt;INDEX('Lease Cycles'!$FA$13:$FG$13,1,DB95),0,1-INDEX('Lease Cycles'!$EM$13:$ES$13,1,DB95)),IF(OR(INDEX('Lease Cycles'!$DY$13:$EE$13,1,DB95)=1,DB96&gt;0),1,1-INDEX('Lease Cycles'!$DD$13:$DJ$13,1,DB95))*('Lease Cycles'!$AJ$13*INDEX('Lease Cycles'!$FO$13:$FU$13,1,DB95)+'Lease Cycles'!$BE$13*(1-INDEX('Lease Cycles'!$FO$13:$FU$13,1,DB95)))),0)</f>
        <v>0</v>
      </c>
      <c r="DC105" s="24">
        <f>IF(DC97=1,'Lease Cycles'!$D$13*IF(INDEX('Lease Cycles'!$EF$13:$EL$13,1,DC95)=1,'Lease Cycles'!$AJ$13*INDEX('Lease Cycles'!$FO$13:$FU$13,1,DC95)*INDEX('Lease Cycles'!$EM$13:$ES$13,1,DC95)+'Lease Cycles'!$BE$13*IF(DC96&lt;INDEX('Lease Cycles'!$FA$13:$FG$13,1,DC95),0,1-INDEX('Lease Cycles'!$EM$13:$ES$13,1,DC95)),IF(OR(INDEX('Lease Cycles'!$DY$13:$EE$13,1,DC95)=1,DC96&gt;0),1,1-INDEX('Lease Cycles'!$DD$13:$DJ$13,1,DC95))*('Lease Cycles'!$AJ$13*INDEX('Lease Cycles'!$FO$13:$FU$13,1,DC95)+'Lease Cycles'!$BE$13*(1-INDEX('Lease Cycles'!$FO$13:$FU$13,1,DC95)))),0)</f>
        <v>0</v>
      </c>
      <c r="DD105" s="24">
        <f>IF(DD97=1,'Lease Cycles'!$D$13*IF(INDEX('Lease Cycles'!$EF$13:$EL$13,1,DD95)=1,'Lease Cycles'!$AJ$13*INDEX('Lease Cycles'!$FO$13:$FU$13,1,DD95)*INDEX('Lease Cycles'!$EM$13:$ES$13,1,DD95)+'Lease Cycles'!$BE$13*IF(DD96&lt;INDEX('Lease Cycles'!$FA$13:$FG$13,1,DD95),0,1-INDEX('Lease Cycles'!$EM$13:$ES$13,1,DD95)),IF(OR(INDEX('Lease Cycles'!$DY$13:$EE$13,1,DD95)=1,DD96&gt;0),1,1-INDEX('Lease Cycles'!$DD$13:$DJ$13,1,DD95))*('Lease Cycles'!$AJ$13*INDEX('Lease Cycles'!$FO$13:$FU$13,1,DD95)+'Lease Cycles'!$BE$13*(1-INDEX('Lease Cycles'!$FO$13:$FU$13,1,DD95)))),0)</f>
        <v>0</v>
      </c>
      <c r="DE105" s="24">
        <f>IF(DE97=1,'Lease Cycles'!$D$13*IF(INDEX('Lease Cycles'!$EF$13:$EL$13,1,DE95)=1,'Lease Cycles'!$AJ$13*INDEX('Lease Cycles'!$FO$13:$FU$13,1,DE95)*INDEX('Lease Cycles'!$EM$13:$ES$13,1,DE95)+'Lease Cycles'!$BE$13*IF(DE96&lt;INDEX('Lease Cycles'!$FA$13:$FG$13,1,DE95),0,1-INDEX('Lease Cycles'!$EM$13:$ES$13,1,DE95)),IF(OR(INDEX('Lease Cycles'!$DY$13:$EE$13,1,DE95)=1,DE96&gt;0),1,1-INDEX('Lease Cycles'!$DD$13:$DJ$13,1,DE95))*('Lease Cycles'!$AJ$13*INDEX('Lease Cycles'!$FO$13:$FU$13,1,DE95)+'Lease Cycles'!$BE$13*(1-INDEX('Lease Cycles'!$FO$13:$FU$13,1,DE95)))),0)</f>
        <v>0</v>
      </c>
      <c r="DF105" s="24">
        <f>IF(DF97=1,'Lease Cycles'!$D$13*IF(INDEX('Lease Cycles'!$EF$13:$EL$13,1,DF95)=1,'Lease Cycles'!$AJ$13*INDEX('Lease Cycles'!$FO$13:$FU$13,1,DF95)*INDEX('Lease Cycles'!$EM$13:$ES$13,1,DF95)+'Lease Cycles'!$BE$13*IF(DF96&lt;INDEX('Lease Cycles'!$FA$13:$FG$13,1,DF95),0,1-INDEX('Lease Cycles'!$EM$13:$ES$13,1,DF95)),IF(OR(INDEX('Lease Cycles'!$DY$13:$EE$13,1,DF95)=1,DF96&gt;0),1,1-INDEX('Lease Cycles'!$DD$13:$DJ$13,1,DF95))*('Lease Cycles'!$AJ$13*INDEX('Lease Cycles'!$FO$13:$FU$13,1,DF95)+'Lease Cycles'!$BE$13*(1-INDEX('Lease Cycles'!$FO$13:$FU$13,1,DF95)))),0)</f>
        <v>0</v>
      </c>
      <c r="DG105" s="24">
        <f>IF(DG97=1,'Lease Cycles'!$D$13*IF(INDEX('Lease Cycles'!$EF$13:$EL$13,1,DG95)=1,'Lease Cycles'!$AJ$13*INDEX('Lease Cycles'!$FO$13:$FU$13,1,DG95)*INDEX('Lease Cycles'!$EM$13:$ES$13,1,DG95)+'Lease Cycles'!$BE$13*IF(DG96&lt;INDEX('Lease Cycles'!$FA$13:$FG$13,1,DG95),0,1-INDEX('Lease Cycles'!$EM$13:$ES$13,1,DG95)),IF(OR(INDEX('Lease Cycles'!$DY$13:$EE$13,1,DG95)=1,DG96&gt;0),1,1-INDEX('Lease Cycles'!$DD$13:$DJ$13,1,DG95))*('Lease Cycles'!$AJ$13*INDEX('Lease Cycles'!$FO$13:$FU$13,1,DG95)+'Lease Cycles'!$BE$13*(1-INDEX('Lease Cycles'!$FO$13:$FU$13,1,DG95)))),0)</f>
        <v>0</v>
      </c>
      <c r="DH105" s="24">
        <f>IF(DH97=1,'Lease Cycles'!$D$13*IF(INDEX('Lease Cycles'!$EF$13:$EL$13,1,DH95)=1,'Lease Cycles'!$AJ$13*INDEX('Lease Cycles'!$FO$13:$FU$13,1,DH95)*INDEX('Lease Cycles'!$EM$13:$ES$13,1,DH95)+'Lease Cycles'!$BE$13*IF(DH96&lt;INDEX('Lease Cycles'!$FA$13:$FG$13,1,DH95),0,1-INDEX('Lease Cycles'!$EM$13:$ES$13,1,DH95)),IF(OR(INDEX('Lease Cycles'!$DY$13:$EE$13,1,DH95)=1,DH96&gt;0),1,1-INDEX('Lease Cycles'!$DD$13:$DJ$13,1,DH95))*('Lease Cycles'!$AJ$13*INDEX('Lease Cycles'!$FO$13:$FU$13,1,DH95)+'Lease Cycles'!$BE$13*(1-INDEX('Lease Cycles'!$FO$13:$FU$13,1,DH95)))),0)</f>
        <v>0</v>
      </c>
      <c r="DI105" s="24">
        <f>IF(DI97=1,'Lease Cycles'!$D$13*IF(INDEX('Lease Cycles'!$EF$13:$EL$13,1,DI95)=1,'Lease Cycles'!$AJ$13*INDEX('Lease Cycles'!$FO$13:$FU$13,1,DI95)*INDEX('Lease Cycles'!$EM$13:$ES$13,1,DI95)+'Lease Cycles'!$BE$13*IF(DI96&lt;INDEX('Lease Cycles'!$FA$13:$FG$13,1,DI95),0,1-INDEX('Lease Cycles'!$EM$13:$ES$13,1,DI95)),IF(OR(INDEX('Lease Cycles'!$DY$13:$EE$13,1,DI95)=1,DI96&gt;0),1,1-INDEX('Lease Cycles'!$DD$13:$DJ$13,1,DI95))*('Lease Cycles'!$AJ$13*INDEX('Lease Cycles'!$FO$13:$FU$13,1,DI95)+'Lease Cycles'!$BE$13*(1-INDEX('Lease Cycles'!$FO$13:$FU$13,1,DI95)))),0)</f>
        <v>0</v>
      </c>
      <c r="DJ105" s="24">
        <f>IF(DJ97=1,'Lease Cycles'!$D$13*IF(INDEX('Lease Cycles'!$EF$13:$EL$13,1,DJ95)=1,'Lease Cycles'!$AJ$13*INDEX('Lease Cycles'!$FO$13:$FU$13,1,DJ95)*INDEX('Lease Cycles'!$EM$13:$ES$13,1,DJ95)+'Lease Cycles'!$BE$13*IF(DJ96&lt;INDEX('Lease Cycles'!$FA$13:$FG$13,1,DJ95),0,1-INDEX('Lease Cycles'!$EM$13:$ES$13,1,DJ95)),IF(OR(INDEX('Lease Cycles'!$DY$13:$EE$13,1,DJ95)=1,DJ96&gt;0),1,1-INDEX('Lease Cycles'!$DD$13:$DJ$13,1,DJ95))*('Lease Cycles'!$AJ$13*INDEX('Lease Cycles'!$FO$13:$FU$13,1,DJ95)+'Lease Cycles'!$BE$13*(1-INDEX('Lease Cycles'!$FO$13:$FU$13,1,DJ95)))),0)</f>
        <v>0</v>
      </c>
      <c r="DK105" s="24">
        <f>IF(DK97=1,'Lease Cycles'!$D$13*IF(INDEX('Lease Cycles'!$EF$13:$EL$13,1,DK95)=1,'Lease Cycles'!$AJ$13*INDEX('Lease Cycles'!$FO$13:$FU$13,1,DK95)*INDEX('Lease Cycles'!$EM$13:$ES$13,1,DK95)+'Lease Cycles'!$BE$13*IF(DK96&lt;INDEX('Lease Cycles'!$FA$13:$FG$13,1,DK95),0,1-INDEX('Lease Cycles'!$EM$13:$ES$13,1,DK95)),IF(OR(INDEX('Lease Cycles'!$DY$13:$EE$13,1,DK95)=1,DK96&gt;0),1,1-INDEX('Lease Cycles'!$DD$13:$DJ$13,1,DK95))*('Lease Cycles'!$AJ$13*INDEX('Lease Cycles'!$FO$13:$FU$13,1,DK95)+'Lease Cycles'!$BE$13*(1-INDEX('Lease Cycles'!$FO$13:$FU$13,1,DK95)))),0)</f>
        <v>0</v>
      </c>
      <c r="DL105" s="24">
        <f>IF(DL97=1,'Lease Cycles'!$D$13*IF(INDEX('Lease Cycles'!$EF$13:$EL$13,1,DL95)=1,'Lease Cycles'!$AJ$13*INDEX('Lease Cycles'!$FO$13:$FU$13,1,DL95)*INDEX('Lease Cycles'!$EM$13:$ES$13,1,DL95)+'Lease Cycles'!$BE$13*IF(DL96&lt;INDEX('Lease Cycles'!$FA$13:$FG$13,1,DL95),0,1-INDEX('Lease Cycles'!$EM$13:$ES$13,1,DL95)),IF(OR(INDEX('Lease Cycles'!$DY$13:$EE$13,1,DL95)=1,DL96&gt;0),1,1-INDEX('Lease Cycles'!$DD$13:$DJ$13,1,DL95))*('Lease Cycles'!$AJ$13*INDEX('Lease Cycles'!$FO$13:$FU$13,1,DL95)+'Lease Cycles'!$BE$13*(1-INDEX('Lease Cycles'!$FO$13:$FU$13,1,DL95)))),0)</f>
        <v>0</v>
      </c>
      <c r="DM105" s="24">
        <f>IF(DM97=1,'Lease Cycles'!$D$13*IF(INDEX('Lease Cycles'!$EF$13:$EL$13,1,DM95)=1,'Lease Cycles'!$AJ$13*INDEX('Lease Cycles'!$FO$13:$FU$13,1,DM95)*INDEX('Lease Cycles'!$EM$13:$ES$13,1,DM95)+'Lease Cycles'!$BE$13*IF(DM96&lt;INDEX('Lease Cycles'!$FA$13:$FG$13,1,DM95),0,1-INDEX('Lease Cycles'!$EM$13:$ES$13,1,DM95)),IF(OR(INDEX('Lease Cycles'!$DY$13:$EE$13,1,DM95)=1,DM96&gt;0),1,1-INDEX('Lease Cycles'!$DD$13:$DJ$13,1,DM95))*('Lease Cycles'!$AJ$13*INDEX('Lease Cycles'!$FO$13:$FU$13,1,DM95)+'Lease Cycles'!$BE$13*(1-INDEX('Lease Cycles'!$FO$13:$FU$13,1,DM95)))),0)</f>
        <v>0</v>
      </c>
      <c r="DN105" s="24">
        <f>IF(DN97=1,'Lease Cycles'!$D$13*IF(INDEX('Lease Cycles'!$EF$13:$EL$13,1,DN95)=1,'Lease Cycles'!$AJ$13*INDEX('Lease Cycles'!$FO$13:$FU$13,1,DN95)*INDEX('Lease Cycles'!$EM$13:$ES$13,1,DN95)+'Lease Cycles'!$BE$13*IF(DN96&lt;INDEX('Lease Cycles'!$FA$13:$FG$13,1,DN95),0,1-INDEX('Lease Cycles'!$EM$13:$ES$13,1,DN95)),IF(OR(INDEX('Lease Cycles'!$DY$13:$EE$13,1,DN95)=1,DN96&gt;0),1,1-INDEX('Lease Cycles'!$DD$13:$DJ$13,1,DN95))*('Lease Cycles'!$AJ$13*INDEX('Lease Cycles'!$FO$13:$FU$13,1,DN95)+'Lease Cycles'!$BE$13*(1-INDEX('Lease Cycles'!$FO$13:$FU$13,1,DN95)))),0)</f>
        <v>0</v>
      </c>
      <c r="DO105" s="24">
        <f>IF(DO97=1,'Lease Cycles'!$D$13*IF(INDEX('Lease Cycles'!$EF$13:$EL$13,1,DO95)=1,'Lease Cycles'!$AJ$13*INDEX('Lease Cycles'!$FO$13:$FU$13,1,DO95)*INDEX('Lease Cycles'!$EM$13:$ES$13,1,DO95)+'Lease Cycles'!$BE$13*IF(DO96&lt;INDEX('Lease Cycles'!$FA$13:$FG$13,1,DO95),0,1-INDEX('Lease Cycles'!$EM$13:$ES$13,1,DO95)),IF(OR(INDEX('Lease Cycles'!$DY$13:$EE$13,1,DO95)=1,DO96&gt;0),1,1-INDEX('Lease Cycles'!$DD$13:$DJ$13,1,DO95))*('Lease Cycles'!$AJ$13*INDEX('Lease Cycles'!$FO$13:$FU$13,1,DO95)+'Lease Cycles'!$BE$13*(1-INDEX('Lease Cycles'!$FO$13:$FU$13,1,DO95)))),0)</f>
        <v>0</v>
      </c>
      <c r="DP105" s="24">
        <f>IF(DP97=1,'Lease Cycles'!$D$13*IF(INDEX('Lease Cycles'!$EF$13:$EL$13,1,DP95)=1,'Lease Cycles'!$AJ$13*INDEX('Lease Cycles'!$FO$13:$FU$13,1,DP95)*INDEX('Lease Cycles'!$EM$13:$ES$13,1,DP95)+'Lease Cycles'!$BE$13*IF(DP96&lt;INDEX('Lease Cycles'!$FA$13:$FG$13,1,DP95),0,1-INDEX('Lease Cycles'!$EM$13:$ES$13,1,DP95)),IF(OR(INDEX('Lease Cycles'!$DY$13:$EE$13,1,DP95)=1,DP96&gt;0),1,1-INDEX('Lease Cycles'!$DD$13:$DJ$13,1,DP95))*('Lease Cycles'!$AJ$13*INDEX('Lease Cycles'!$FO$13:$FU$13,1,DP95)+'Lease Cycles'!$BE$13*(1-INDEX('Lease Cycles'!$FO$13:$FU$13,1,DP95)))),0)</f>
        <v>0</v>
      </c>
      <c r="DQ105" s="24">
        <f>IF(DQ97=1,'Lease Cycles'!$D$13*IF(INDEX('Lease Cycles'!$EF$13:$EL$13,1,DQ95)=1,'Lease Cycles'!$AJ$13*INDEX('Lease Cycles'!$FO$13:$FU$13,1,DQ95)*INDEX('Lease Cycles'!$EM$13:$ES$13,1,DQ95)+'Lease Cycles'!$BE$13*IF(DQ96&lt;INDEX('Lease Cycles'!$FA$13:$FG$13,1,DQ95),0,1-INDEX('Lease Cycles'!$EM$13:$ES$13,1,DQ95)),IF(OR(INDEX('Lease Cycles'!$DY$13:$EE$13,1,DQ95)=1,DQ96&gt;0),1,1-INDEX('Lease Cycles'!$DD$13:$DJ$13,1,DQ95))*('Lease Cycles'!$AJ$13*INDEX('Lease Cycles'!$FO$13:$FU$13,1,DQ95)+'Lease Cycles'!$BE$13*(1-INDEX('Lease Cycles'!$FO$13:$FU$13,1,DQ95)))),0)</f>
        <v>0</v>
      </c>
      <c r="DR105" s="24">
        <f>IF(DR97=1,'Lease Cycles'!$D$13*IF(INDEX('Lease Cycles'!$EF$13:$EL$13,1,DR95)=1,'Lease Cycles'!$AJ$13*INDEX('Lease Cycles'!$FO$13:$FU$13,1,DR95)*INDEX('Lease Cycles'!$EM$13:$ES$13,1,DR95)+'Lease Cycles'!$BE$13*IF(DR96&lt;INDEX('Lease Cycles'!$FA$13:$FG$13,1,DR95),0,1-INDEX('Lease Cycles'!$EM$13:$ES$13,1,DR95)),IF(OR(INDEX('Lease Cycles'!$DY$13:$EE$13,1,DR95)=1,DR96&gt;0),1,1-INDEX('Lease Cycles'!$DD$13:$DJ$13,1,DR95))*('Lease Cycles'!$AJ$13*INDEX('Lease Cycles'!$FO$13:$FU$13,1,DR95)+'Lease Cycles'!$BE$13*(1-INDEX('Lease Cycles'!$FO$13:$FU$13,1,DR95)))),0)</f>
        <v>0</v>
      </c>
      <c r="DS105" s="24">
        <f>IF(DS97=1,'Lease Cycles'!$D$13*IF(INDEX('Lease Cycles'!$EF$13:$EL$13,1,DS95)=1,'Lease Cycles'!$AJ$13*INDEX('Lease Cycles'!$FO$13:$FU$13,1,DS95)*INDEX('Lease Cycles'!$EM$13:$ES$13,1,DS95)+'Lease Cycles'!$BE$13*IF(DS96&lt;INDEX('Lease Cycles'!$FA$13:$FG$13,1,DS95),0,1-INDEX('Lease Cycles'!$EM$13:$ES$13,1,DS95)),IF(OR(INDEX('Lease Cycles'!$DY$13:$EE$13,1,DS95)=1,DS96&gt;0),1,1-INDEX('Lease Cycles'!$DD$13:$DJ$13,1,DS95))*('Lease Cycles'!$AJ$13*INDEX('Lease Cycles'!$FO$13:$FU$13,1,DS95)+'Lease Cycles'!$BE$13*(1-INDEX('Lease Cycles'!$FO$13:$FU$13,1,DS95)))),0)</f>
        <v>0</v>
      </c>
      <c r="DT105" s="24">
        <f>IF(DT97=1,'Lease Cycles'!$D$13*IF(INDEX('Lease Cycles'!$EF$13:$EL$13,1,DT95)=1,'Lease Cycles'!$AJ$13*INDEX('Lease Cycles'!$FO$13:$FU$13,1,DT95)*INDEX('Lease Cycles'!$EM$13:$ES$13,1,DT95)+'Lease Cycles'!$BE$13*IF(DT96&lt;INDEX('Lease Cycles'!$FA$13:$FG$13,1,DT95),0,1-INDEX('Lease Cycles'!$EM$13:$ES$13,1,DT95)),IF(OR(INDEX('Lease Cycles'!$DY$13:$EE$13,1,DT95)=1,DT96&gt;0),1,1-INDEX('Lease Cycles'!$DD$13:$DJ$13,1,DT95))*('Lease Cycles'!$AJ$13*INDEX('Lease Cycles'!$FO$13:$FU$13,1,DT95)+'Lease Cycles'!$BE$13*(1-INDEX('Lease Cycles'!$FO$13:$FU$13,1,DT95)))),0)</f>
        <v>0</v>
      </c>
      <c r="DU105" s="24">
        <f>IF(DU97=1,'Lease Cycles'!$D$13*IF(INDEX('Lease Cycles'!$EF$13:$EL$13,1,DU95)=1,'Lease Cycles'!$AJ$13*INDEX('Lease Cycles'!$FO$13:$FU$13,1,DU95)*INDEX('Lease Cycles'!$EM$13:$ES$13,1,DU95)+'Lease Cycles'!$BE$13*IF(DU96&lt;INDEX('Lease Cycles'!$FA$13:$FG$13,1,DU95),0,1-INDEX('Lease Cycles'!$EM$13:$ES$13,1,DU95)),IF(OR(INDEX('Lease Cycles'!$DY$13:$EE$13,1,DU95)=1,DU96&gt;0),1,1-INDEX('Lease Cycles'!$DD$13:$DJ$13,1,DU95))*('Lease Cycles'!$AJ$13*INDEX('Lease Cycles'!$FO$13:$FU$13,1,DU95)+'Lease Cycles'!$BE$13*(1-INDEX('Lease Cycles'!$FO$13:$FU$13,1,DU95)))),0)</f>
        <v>0</v>
      </c>
      <c r="DV105" s="24">
        <f>IF(DV97=1,'Lease Cycles'!$D$13*IF(INDEX('Lease Cycles'!$EF$13:$EL$13,1,DV95)=1,'Lease Cycles'!$AJ$13*INDEX('Lease Cycles'!$FO$13:$FU$13,1,DV95)*INDEX('Lease Cycles'!$EM$13:$ES$13,1,DV95)+'Lease Cycles'!$BE$13*IF(DV96&lt;INDEX('Lease Cycles'!$FA$13:$FG$13,1,DV95),0,1-INDEX('Lease Cycles'!$EM$13:$ES$13,1,DV95)),IF(OR(INDEX('Lease Cycles'!$DY$13:$EE$13,1,DV95)=1,DV96&gt;0),1,1-INDEX('Lease Cycles'!$DD$13:$DJ$13,1,DV95))*('Lease Cycles'!$AJ$13*INDEX('Lease Cycles'!$FO$13:$FU$13,1,DV95)+'Lease Cycles'!$BE$13*(1-INDEX('Lease Cycles'!$FO$13:$FU$13,1,DV95)))),0)</f>
        <v>0</v>
      </c>
      <c r="DW105" s="24">
        <f>IF(DW97=1,'Lease Cycles'!$D$13*IF(INDEX('Lease Cycles'!$EF$13:$EL$13,1,DW95)=1,'Lease Cycles'!$AJ$13*INDEX('Lease Cycles'!$FO$13:$FU$13,1,DW95)*INDEX('Lease Cycles'!$EM$13:$ES$13,1,DW95)+'Lease Cycles'!$BE$13*IF(DW96&lt;INDEX('Lease Cycles'!$FA$13:$FG$13,1,DW95),0,1-INDEX('Lease Cycles'!$EM$13:$ES$13,1,DW95)),IF(OR(INDEX('Lease Cycles'!$DY$13:$EE$13,1,DW95)=1,DW96&gt;0),1,1-INDEX('Lease Cycles'!$DD$13:$DJ$13,1,DW95))*('Lease Cycles'!$AJ$13*INDEX('Lease Cycles'!$FO$13:$FU$13,1,DW95)+'Lease Cycles'!$BE$13*(1-INDEX('Lease Cycles'!$FO$13:$FU$13,1,DW95)))),0)</f>
        <v>0</v>
      </c>
      <c r="DX105" s="24">
        <f>IF(DX97=1,'Lease Cycles'!$D$13*IF(INDEX('Lease Cycles'!$EF$13:$EL$13,1,DX95)=1,'Lease Cycles'!$AJ$13*INDEX('Lease Cycles'!$FO$13:$FU$13,1,DX95)*INDEX('Lease Cycles'!$EM$13:$ES$13,1,DX95)+'Lease Cycles'!$BE$13*IF(DX96&lt;INDEX('Lease Cycles'!$FA$13:$FG$13,1,DX95),0,1-INDEX('Lease Cycles'!$EM$13:$ES$13,1,DX95)),IF(OR(INDEX('Lease Cycles'!$DY$13:$EE$13,1,DX95)=1,DX96&gt;0),1,1-INDEX('Lease Cycles'!$DD$13:$DJ$13,1,DX95))*('Lease Cycles'!$AJ$13*INDEX('Lease Cycles'!$FO$13:$FU$13,1,DX95)+'Lease Cycles'!$BE$13*(1-INDEX('Lease Cycles'!$FO$13:$FU$13,1,DX95)))),0)</f>
        <v>0</v>
      </c>
      <c r="DY105" s="24">
        <f>IF(DY97=1,'Lease Cycles'!$D$13*IF(INDEX('Lease Cycles'!$EF$13:$EL$13,1,DY95)=1,'Lease Cycles'!$AJ$13*INDEX('Lease Cycles'!$FO$13:$FU$13,1,DY95)*INDEX('Lease Cycles'!$EM$13:$ES$13,1,DY95)+'Lease Cycles'!$BE$13*IF(DY96&lt;INDEX('Lease Cycles'!$FA$13:$FG$13,1,DY95),0,1-INDEX('Lease Cycles'!$EM$13:$ES$13,1,DY95)),IF(OR(INDEX('Lease Cycles'!$DY$13:$EE$13,1,DY95)=1,DY96&gt;0),1,1-INDEX('Lease Cycles'!$DD$13:$DJ$13,1,DY95))*('Lease Cycles'!$AJ$13*INDEX('Lease Cycles'!$FO$13:$FU$13,1,DY95)+'Lease Cycles'!$BE$13*(1-INDEX('Lease Cycles'!$FO$13:$FU$13,1,DY95)))),0)</f>
        <v>0</v>
      </c>
      <c r="DZ105" s="24">
        <f>IF(DZ97=1,'Lease Cycles'!$D$13*IF(INDEX('Lease Cycles'!$EF$13:$EL$13,1,DZ95)=1,'Lease Cycles'!$AJ$13*INDEX('Lease Cycles'!$FO$13:$FU$13,1,DZ95)*INDEX('Lease Cycles'!$EM$13:$ES$13,1,DZ95)+'Lease Cycles'!$BE$13*IF(DZ96&lt;INDEX('Lease Cycles'!$FA$13:$FG$13,1,DZ95),0,1-INDEX('Lease Cycles'!$EM$13:$ES$13,1,DZ95)),IF(OR(INDEX('Lease Cycles'!$DY$13:$EE$13,1,DZ95)=1,DZ96&gt;0),1,1-INDEX('Lease Cycles'!$DD$13:$DJ$13,1,DZ95))*('Lease Cycles'!$AJ$13*INDEX('Lease Cycles'!$FO$13:$FU$13,1,DZ95)+'Lease Cycles'!$BE$13*(1-INDEX('Lease Cycles'!$FO$13:$FU$13,1,DZ95)))),0)</f>
        <v>0</v>
      </c>
      <c r="EA105" s="24">
        <f>IF(EA97=1,'Lease Cycles'!$D$13*IF(INDEX('Lease Cycles'!$EF$13:$EL$13,1,EA95)=1,'Lease Cycles'!$AJ$13*INDEX('Lease Cycles'!$FO$13:$FU$13,1,EA95)*INDEX('Lease Cycles'!$EM$13:$ES$13,1,EA95)+'Lease Cycles'!$BE$13*IF(EA96&lt;INDEX('Lease Cycles'!$FA$13:$FG$13,1,EA95),0,1-INDEX('Lease Cycles'!$EM$13:$ES$13,1,EA95)),IF(OR(INDEX('Lease Cycles'!$DY$13:$EE$13,1,EA95)=1,EA96&gt;0),1,1-INDEX('Lease Cycles'!$DD$13:$DJ$13,1,EA95))*('Lease Cycles'!$AJ$13*INDEX('Lease Cycles'!$FO$13:$FU$13,1,EA95)+'Lease Cycles'!$BE$13*(1-INDEX('Lease Cycles'!$FO$13:$FU$13,1,EA95)))),0)</f>
        <v>0</v>
      </c>
      <c r="EB105" s="24">
        <f>IF(EB97=1,'Lease Cycles'!$D$13*IF(INDEX('Lease Cycles'!$EF$13:$EL$13,1,EB95)=1,'Lease Cycles'!$AJ$13*INDEX('Lease Cycles'!$FO$13:$FU$13,1,EB95)*INDEX('Lease Cycles'!$EM$13:$ES$13,1,EB95)+'Lease Cycles'!$BE$13*IF(EB96&lt;INDEX('Lease Cycles'!$FA$13:$FG$13,1,EB95),0,1-INDEX('Lease Cycles'!$EM$13:$ES$13,1,EB95)),IF(OR(INDEX('Lease Cycles'!$DY$13:$EE$13,1,EB95)=1,EB96&gt;0),1,1-INDEX('Lease Cycles'!$DD$13:$DJ$13,1,EB95))*('Lease Cycles'!$AJ$13*INDEX('Lease Cycles'!$FO$13:$FU$13,1,EB95)+'Lease Cycles'!$BE$13*(1-INDEX('Lease Cycles'!$FO$13:$FU$13,1,EB95)))),0)</f>
        <v>0</v>
      </c>
      <c r="EC105" s="24">
        <f>IF(EC97=1,'Lease Cycles'!$D$13*IF(INDEX('Lease Cycles'!$EF$13:$EL$13,1,EC95)=1,'Lease Cycles'!$AJ$13*INDEX('Lease Cycles'!$FO$13:$FU$13,1,EC95)*INDEX('Lease Cycles'!$EM$13:$ES$13,1,EC95)+'Lease Cycles'!$BE$13*IF(EC96&lt;INDEX('Lease Cycles'!$FA$13:$FG$13,1,EC95),0,1-INDEX('Lease Cycles'!$EM$13:$ES$13,1,EC95)),IF(OR(INDEX('Lease Cycles'!$DY$13:$EE$13,1,EC95)=1,EC96&gt;0),1,1-INDEX('Lease Cycles'!$DD$13:$DJ$13,1,EC95))*('Lease Cycles'!$AJ$13*INDEX('Lease Cycles'!$FO$13:$FU$13,1,EC95)+'Lease Cycles'!$BE$13*(1-INDEX('Lease Cycles'!$FO$13:$FU$13,1,EC95)))),0)</f>
        <v>0</v>
      </c>
      <c r="ED105" s="24">
        <f>IF(ED97=1,'Lease Cycles'!$D$13*IF(INDEX('Lease Cycles'!$EF$13:$EL$13,1,ED95)=1,'Lease Cycles'!$AJ$13*INDEX('Lease Cycles'!$FO$13:$FU$13,1,ED95)*INDEX('Lease Cycles'!$EM$13:$ES$13,1,ED95)+'Lease Cycles'!$BE$13*IF(ED96&lt;INDEX('Lease Cycles'!$FA$13:$FG$13,1,ED95),0,1-INDEX('Lease Cycles'!$EM$13:$ES$13,1,ED95)),IF(OR(INDEX('Lease Cycles'!$DY$13:$EE$13,1,ED95)=1,ED96&gt;0),1,1-INDEX('Lease Cycles'!$DD$13:$DJ$13,1,ED95))*('Lease Cycles'!$AJ$13*INDEX('Lease Cycles'!$FO$13:$FU$13,1,ED95)+'Lease Cycles'!$BE$13*(1-INDEX('Lease Cycles'!$FO$13:$FU$13,1,ED95)))),0)</f>
        <v>0</v>
      </c>
      <c r="EE105" s="24">
        <f>IF(EE97=1,'Lease Cycles'!$D$13*IF(INDEX('Lease Cycles'!$EF$13:$EL$13,1,EE95)=1,'Lease Cycles'!$AJ$13*INDEX('Lease Cycles'!$FO$13:$FU$13,1,EE95)*INDEX('Lease Cycles'!$EM$13:$ES$13,1,EE95)+'Lease Cycles'!$BE$13*IF(EE96&lt;INDEX('Lease Cycles'!$FA$13:$FG$13,1,EE95),0,1-INDEX('Lease Cycles'!$EM$13:$ES$13,1,EE95)),IF(OR(INDEX('Lease Cycles'!$DY$13:$EE$13,1,EE95)=1,EE96&gt;0),1,1-INDEX('Lease Cycles'!$DD$13:$DJ$13,1,EE95))*('Lease Cycles'!$AJ$13*INDEX('Lease Cycles'!$FO$13:$FU$13,1,EE95)+'Lease Cycles'!$BE$13*(1-INDEX('Lease Cycles'!$FO$13:$FU$13,1,EE95)))),0)</f>
        <v>0</v>
      </c>
      <c r="EF105" s="24">
        <f>IF(EF97=1,'Lease Cycles'!$D$13*IF(INDEX('Lease Cycles'!$EF$13:$EL$13,1,EF95)=1,'Lease Cycles'!$AJ$13*INDEX('Lease Cycles'!$FO$13:$FU$13,1,EF95)*INDEX('Lease Cycles'!$EM$13:$ES$13,1,EF95)+'Lease Cycles'!$BE$13*IF(EF96&lt;INDEX('Lease Cycles'!$FA$13:$FG$13,1,EF95),0,1-INDEX('Lease Cycles'!$EM$13:$ES$13,1,EF95)),IF(OR(INDEX('Lease Cycles'!$DY$13:$EE$13,1,EF95)=1,EF96&gt;0),1,1-INDEX('Lease Cycles'!$DD$13:$DJ$13,1,EF95))*('Lease Cycles'!$AJ$13*INDEX('Lease Cycles'!$FO$13:$FU$13,1,EF95)+'Lease Cycles'!$BE$13*(1-INDEX('Lease Cycles'!$FO$13:$FU$13,1,EF95)))),0)</f>
        <v>0</v>
      </c>
      <c r="EG105" s="24">
        <f>IF(EG97=1,'Lease Cycles'!$D$13*IF(INDEX('Lease Cycles'!$EF$13:$EL$13,1,EG95)=1,'Lease Cycles'!$AJ$13*INDEX('Lease Cycles'!$FO$13:$FU$13,1,EG95)*INDEX('Lease Cycles'!$EM$13:$ES$13,1,EG95)+'Lease Cycles'!$BE$13*IF(EG96&lt;INDEX('Lease Cycles'!$FA$13:$FG$13,1,EG95),0,1-INDEX('Lease Cycles'!$EM$13:$ES$13,1,EG95)),IF(OR(INDEX('Lease Cycles'!$DY$13:$EE$13,1,EG95)=1,EG96&gt;0),1,1-INDEX('Lease Cycles'!$DD$13:$DJ$13,1,EG95))*('Lease Cycles'!$AJ$13*INDEX('Lease Cycles'!$FO$13:$FU$13,1,EG95)+'Lease Cycles'!$BE$13*(1-INDEX('Lease Cycles'!$FO$13:$FU$13,1,EG95)))),0)</f>
        <v>0</v>
      </c>
      <c r="EH105" s="24">
        <f>IF(EH97=1,'Lease Cycles'!$D$13*IF(INDEX('Lease Cycles'!$EF$13:$EL$13,1,EH95)=1,'Lease Cycles'!$AJ$13*INDEX('Lease Cycles'!$FO$13:$FU$13,1,EH95)*INDEX('Lease Cycles'!$EM$13:$ES$13,1,EH95)+'Lease Cycles'!$BE$13*IF(EH96&lt;INDEX('Lease Cycles'!$FA$13:$FG$13,1,EH95),0,1-INDEX('Lease Cycles'!$EM$13:$ES$13,1,EH95)),IF(OR(INDEX('Lease Cycles'!$DY$13:$EE$13,1,EH95)=1,EH96&gt;0),1,1-INDEX('Lease Cycles'!$DD$13:$DJ$13,1,EH95))*('Lease Cycles'!$AJ$13*INDEX('Lease Cycles'!$FO$13:$FU$13,1,EH95)+'Lease Cycles'!$BE$13*(1-INDEX('Lease Cycles'!$FO$13:$FU$13,1,EH95)))),0)</f>
        <v>0</v>
      </c>
      <c r="EI105" s="24">
        <f>IF(EI97=1,'Lease Cycles'!$D$13*IF(INDEX('Lease Cycles'!$EF$13:$EL$13,1,EI95)=1,'Lease Cycles'!$AJ$13*INDEX('Lease Cycles'!$FO$13:$FU$13,1,EI95)*INDEX('Lease Cycles'!$EM$13:$ES$13,1,EI95)+'Lease Cycles'!$BE$13*IF(EI96&lt;INDEX('Lease Cycles'!$FA$13:$FG$13,1,EI95),0,1-INDEX('Lease Cycles'!$EM$13:$ES$13,1,EI95)),IF(OR(INDEX('Lease Cycles'!$DY$13:$EE$13,1,EI95)=1,EI96&gt;0),1,1-INDEX('Lease Cycles'!$DD$13:$DJ$13,1,EI95))*('Lease Cycles'!$AJ$13*INDEX('Lease Cycles'!$FO$13:$FU$13,1,EI95)+'Lease Cycles'!$BE$13*(1-INDEX('Lease Cycles'!$FO$13:$FU$13,1,EI95)))),0)</f>
        <v>0</v>
      </c>
      <c r="EJ105" s="24">
        <f>IF(EJ97=1,'Lease Cycles'!$D$13*IF(INDEX('Lease Cycles'!$EF$13:$EL$13,1,EJ95)=1,'Lease Cycles'!$AJ$13*INDEX('Lease Cycles'!$FO$13:$FU$13,1,EJ95)*INDEX('Lease Cycles'!$EM$13:$ES$13,1,EJ95)+'Lease Cycles'!$BE$13*IF(EJ96&lt;INDEX('Lease Cycles'!$FA$13:$FG$13,1,EJ95),0,1-INDEX('Lease Cycles'!$EM$13:$ES$13,1,EJ95)),IF(OR(INDEX('Lease Cycles'!$DY$13:$EE$13,1,EJ95)=1,EJ96&gt;0),1,1-INDEX('Lease Cycles'!$DD$13:$DJ$13,1,EJ95))*('Lease Cycles'!$AJ$13*INDEX('Lease Cycles'!$FO$13:$FU$13,1,EJ95)+'Lease Cycles'!$BE$13*(1-INDEX('Lease Cycles'!$FO$13:$FU$13,1,EJ95)))),0)</f>
        <v>0</v>
      </c>
      <c r="EK105" s="24">
        <f>IF(EK97=1,'Lease Cycles'!$D$13*IF(INDEX('Lease Cycles'!$EF$13:$EL$13,1,EK95)=1,'Lease Cycles'!$AJ$13*INDEX('Lease Cycles'!$FO$13:$FU$13,1,EK95)*INDEX('Lease Cycles'!$EM$13:$ES$13,1,EK95)+'Lease Cycles'!$BE$13*IF(EK96&lt;INDEX('Lease Cycles'!$FA$13:$FG$13,1,EK95),0,1-INDEX('Lease Cycles'!$EM$13:$ES$13,1,EK95)),IF(OR(INDEX('Lease Cycles'!$DY$13:$EE$13,1,EK95)=1,EK96&gt;0),1,1-INDEX('Lease Cycles'!$DD$13:$DJ$13,1,EK95))*('Lease Cycles'!$AJ$13*INDEX('Lease Cycles'!$FO$13:$FU$13,1,EK95)+'Lease Cycles'!$BE$13*(1-INDEX('Lease Cycles'!$FO$13:$FU$13,1,EK95)))),0)</f>
        <v>0</v>
      </c>
      <c r="EL105" s="24">
        <f>IF(EL97=1,'Lease Cycles'!$D$13*IF(INDEX('Lease Cycles'!$EF$13:$EL$13,1,EL95)=1,'Lease Cycles'!$AJ$13*INDEX('Lease Cycles'!$FO$13:$FU$13,1,EL95)*INDEX('Lease Cycles'!$EM$13:$ES$13,1,EL95)+'Lease Cycles'!$BE$13*IF(EL96&lt;INDEX('Lease Cycles'!$FA$13:$FG$13,1,EL95),0,1-INDEX('Lease Cycles'!$EM$13:$ES$13,1,EL95)),IF(OR(INDEX('Lease Cycles'!$DY$13:$EE$13,1,EL95)=1,EL96&gt;0),1,1-INDEX('Lease Cycles'!$DD$13:$DJ$13,1,EL95))*('Lease Cycles'!$AJ$13*INDEX('Lease Cycles'!$FO$13:$FU$13,1,EL95)+'Lease Cycles'!$BE$13*(1-INDEX('Lease Cycles'!$FO$13:$FU$13,1,EL95)))),0)</f>
        <v>0</v>
      </c>
      <c r="EM105" s="24">
        <f>IF(EM97=1,'Lease Cycles'!$D$13*IF(INDEX('Lease Cycles'!$EF$13:$EL$13,1,EM95)=1,'Lease Cycles'!$AJ$13*INDEX('Lease Cycles'!$FO$13:$FU$13,1,EM95)*INDEX('Lease Cycles'!$EM$13:$ES$13,1,EM95)+'Lease Cycles'!$BE$13*IF(EM96&lt;INDEX('Lease Cycles'!$FA$13:$FG$13,1,EM95),0,1-INDEX('Lease Cycles'!$EM$13:$ES$13,1,EM95)),IF(OR(INDEX('Lease Cycles'!$DY$13:$EE$13,1,EM95)=1,EM96&gt;0),1,1-INDEX('Lease Cycles'!$DD$13:$DJ$13,1,EM95))*('Lease Cycles'!$AJ$13*INDEX('Lease Cycles'!$FO$13:$FU$13,1,EM95)+'Lease Cycles'!$BE$13*(1-INDEX('Lease Cycles'!$FO$13:$FU$13,1,EM95)))),0)</f>
        <v>0</v>
      </c>
      <c r="EN105" s="24">
        <f>IF(EN97=1,'Lease Cycles'!$D$13*IF(INDEX('Lease Cycles'!$EF$13:$EL$13,1,EN95)=1,'Lease Cycles'!$AJ$13*INDEX('Lease Cycles'!$FO$13:$FU$13,1,EN95)*INDEX('Lease Cycles'!$EM$13:$ES$13,1,EN95)+'Lease Cycles'!$BE$13*IF(EN96&lt;INDEX('Lease Cycles'!$FA$13:$FG$13,1,EN95),0,1-INDEX('Lease Cycles'!$EM$13:$ES$13,1,EN95)),IF(OR(INDEX('Lease Cycles'!$DY$13:$EE$13,1,EN95)=1,EN96&gt;0),1,1-INDEX('Lease Cycles'!$DD$13:$DJ$13,1,EN95))*('Lease Cycles'!$AJ$13*INDEX('Lease Cycles'!$FO$13:$FU$13,1,EN95)+'Lease Cycles'!$BE$13*(1-INDEX('Lease Cycles'!$FO$13:$FU$13,1,EN95)))),0)</f>
        <v>0</v>
      </c>
      <c r="EO105" s="24">
        <f>IF(EO97=1,'Lease Cycles'!$D$13*IF(INDEX('Lease Cycles'!$EF$13:$EL$13,1,EO95)=1,'Lease Cycles'!$AJ$13*INDEX('Lease Cycles'!$FO$13:$FU$13,1,EO95)*INDEX('Lease Cycles'!$EM$13:$ES$13,1,EO95)+'Lease Cycles'!$BE$13*IF(EO96&lt;INDEX('Lease Cycles'!$FA$13:$FG$13,1,EO95),0,1-INDEX('Lease Cycles'!$EM$13:$ES$13,1,EO95)),IF(OR(INDEX('Lease Cycles'!$DY$13:$EE$13,1,EO95)=1,EO96&gt;0),1,1-INDEX('Lease Cycles'!$DD$13:$DJ$13,1,EO95))*('Lease Cycles'!$AJ$13*INDEX('Lease Cycles'!$FO$13:$FU$13,1,EO95)+'Lease Cycles'!$BE$13*(1-INDEX('Lease Cycles'!$FO$13:$FU$13,1,EO95)))),0)</f>
        <v>0</v>
      </c>
      <c r="EP105" s="24">
        <f>IF(EP97=1,'Lease Cycles'!$D$13*IF(INDEX('Lease Cycles'!$EF$13:$EL$13,1,EP95)=1,'Lease Cycles'!$AJ$13*INDEX('Lease Cycles'!$FO$13:$FU$13,1,EP95)*INDEX('Lease Cycles'!$EM$13:$ES$13,1,EP95)+'Lease Cycles'!$BE$13*IF(EP96&lt;INDEX('Lease Cycles'!$FA$13:$FG$13,1,EP95),0,1-INDEX('Lease Cycles'!$EM$13:$ES$13,1,EP95)),IF(OR(INDEX('Lease Cycles'!$DY$13:$EE$13,1,EP95)=1,EP96&gt;0),1,1-INDEX('Lease Cycles'!$DD$13:$DJ$13,1,EP95))*('Lease Cycles'!$AJ$13*INDEX('Lease Cycles'!$FO$13:$FU$13,1,EP95)+'Lease Cycles'!$BE$13*(1-INDEX('Lease Cycles'!$FO$13:$FU$13,1,EP95)))),0)</f>
        <v>0</v>
      </c>
      <c r="EQ105" s="24">
        <f>IF(EQ97=1,'Lease Cycles'!$D$13*IF(INDEX('Lease Cycles'!$EF$13:$EL$13,1,EQ95)=1,'Lease Cycles'!$AJ$13*INDEX('Lease Cycles'!$FO$13:$FU$13,1,EQ95)*INDEX('Lease Cycles'!$EM$13:$ES$13,1,EQ95)+'Lease Cycles'!$BE$13*IF(EQ96&lt;INDEX('Lease Cycles'!$FA$13:$FG$13,1,EQ95),0,1-INDEX('Lease Cycles'!$EM$13:$ES$13,1,EQ95)),IF(OR(INDEX('Lease Cycles'!$DY$13:$EE$13,1,EQ95)=1,EQ96&gt;0),1,1-INDEX('Lease Cycles'!$DD$13:$DJ$13,1,EQ95))*('Lease Cycles'!$AJ$13*INDEX('Lease Cycles'!$FO$13:$FU$13,1,EQ95)+'Lease Cycles'!$BE$13*(1-INDEX('Lease Cycles'!$FO$13:$FU$13,1,EQ95)))),0)</f>
        <v>0</v>
      </c>
      <c r="ER105" s="24">
        <f>IF(ER97=1,'Lease Cycles'!$D$13*IF(INDEX('Lease Cycles'!$EF$13:$EL$13,1,ER95)=1,'Lease Cycles'!$AJ$13*INDEX('Lease Cycles'!$FO$13:$FU$13,1,ER95)*INDEX('Lease Cycles'!$EM$13:$ES$13,1,ER95)+'Lease Cycles'!$BE$13*IF(ER96&lt;INDEX('Lease Cycles'!$FA$13:$FG$13,1,ER95),0,1-INDEX('Lease Cycles'!$EM$13:$ES$13,1,ER95)),IF(OR(INDEX('Lease Cycles'!$DY$13:$EE$13,1,ER95)=1,ER96&gt;0),1,1-INDEX('Lease Cycles'!$DD$13:$DJ$13,1,ER95))*('Lease Cycles'!$AJ$13*INDEX('Lease Cycles'!$FO$13:$FU$13,1,ER95)+'Lease Cycles'!$BE$13*(1-INDEX('Lease Cycles'!$FO$13:$FU$13,1,ER95)))),0)</f>
        <v>0</v>
      </c>
      <c r="ES105" s="24">
        <f>IF(ES97=1,'Lease Cycles'!$D$13*IF(INDEX('Lease Cycles'!$EF$13:$EL$13,1,ES95)=1,'Lease Cycles'!$AJ$13*INDEX('Lease Cycles'!$FO$13:$FU$13,1,ES95)*INDEX('Lease Cycles'!$EM$13:$ES$13,1,ES95)+'Lease Cycles'!$BE$13*IF(ES96&lt;INDEX('Lease Cycles'!$FA$13:$FG$13,1,ES95),0,1-INDEX('Lease Cycles'!$EM$13:$ES$13,1,ES95)),IF(OR(INDEX('Lease Cycles'!$DY$13:$EE$13,1,ES95)=1,ES96&gt;0),1,1-INDEX('Lease Cycles'!$DD$13:$DJ$13,1,ES95))*('Lease Cycles'!$AJ$13*INDEX('Lease Cycles'!$FO$13:$FU$13,1,ES95)+'Lease Cycles'!$BE$13*(1-INDEX('Lease Cycles'!$FO$13:$FU$13,1,ES95)))),0)</f>
        <v>0</v>
      </c>
      <c r="ET105" s="24">
        <f>IF(ET97=1,'Lease Cycles'!$D$13*IF(INDEX('Lease Cycles'!$EF$13:$EL$13,1,ET95)=1,'Lease Cycles'!$AJ$13*INDEX('Lease Cycles'!$FO$13:$FU$13,1,ET95)*INDEX('Lease Cycles'!$EM$13:$ES$13,1,ET95)+'Lease Cycles'!$BE$13*IF(ET96&lt;INDEX('Lease Cycles'!$FA$13:$FG$13,1,ET95),0,1-INDEX('Lease Cycles'!$EM$13:$ES$13,1,ET95)),IF(OR(INDEX('Lease Cycles'!$DY$13:$EE$13,1,ET95)=1,ET96&gt;0),1,1-INDEX('Lease Cycles'!$DD$13:$DJ$13,1,ET95))*('Lease Cycles'!$AJ$13*INDEX('Lease Cycles'!$FO$13:$FU$13,1,ET95)+'Lease Cycles'!$BE$13*(1-INDEX('Lease Cycles'!$FO$13:$FU$13,1,ET95)))),0)</f>
        <v>0</v>
      </c>
    </row>
    <row r="106">
      <c r="A106" s="103">
        <v>6</v>
      </c>
      <c r="B106" s="23" t="str">
        <f>IF('Lease Cycles'!$B$13="","(empty slot)",'Lease Cycles'!$B$13)</f>
        <v>Sunfield Cleaners</v>
      </c>
      <c r="C106" s="23" t="s">
        <v>689</v>
      </c>
      <c r="D106" s="104" t="s">
        <v>690</v>
      </c>
      <c r="E106" s="25">
        <f>'Lease Cycles'!$AL$13</f>
        <v>0</v>
      </c>
      <c r="G106" s="28">
        <f>SUM(S106:AD106)</f>
        <v>0</v>
      </c>
      <c r="H106" s="28">
        <f>SUM(AE106:AP106)</f>
        <v>0</v>
      </c>
      <c r="I106" s="28">
        <f>SUM(AQ106:BB106)</f>
        <v>0</v>
      </c>
      <c r="J106" s="28">
        <f>SUM(BC106:BN106)</f>
        <v>0</v>
      </c>
      <c r="K106" s="28">
        <f>SUM(BO106:BZ106)</f>
        <v>0</v>
      </c>
      <c r="L106" s="28">
        <f>SUM(CA106:CL106)</f>
        <v>0</v>
      </c>
      <c r="M106" s="28">
        <f>SUM(CM106:CX106)</f>
        <v>0</v>
      </c>
      <c r="N106" s="28">
        <f>SUM(CY106:DJ106)</f>
        <v>0</v>
      </c>
      <c r="O106" s="28">
        <f>SUM(DK106:DV106)</f>
        <v>0</v>
      </c>
      <c r="P106" s="28">
        <f>SUM(DW106:EH106)</f>
        <v>0</v>
      </c>
      <c r="Q106" s="28">
        <f>SUM(EI106:ET106)</f>
        <v>0</v>
      </c>
      <c r="S106" s="28">
        <f>IF(S105=0,0,S105*MAX(0,(INDEX(c_CAMy,1,S$7)-INDEX(c_CAMy,1,INDEX('Lease Cycles'!$GC$13:$GI$13,1,S95)+1))*(1+'Lease Cycles'!$AK$13)+(INDEX(c_TAXy,1,S$7)-INDEX(c_TAXy,1,INDEX('Lease Cycles'!$GC$13:$GI$13,1,S95)+1))+(INDEX(c_INSy,1,S$7)-INDEX(c_INSy,1,INDEX('Lease Cycles'!$GC$13:$GI$13,1,S95)+1)))/12)</f>
        <v>0</v>
      </c>
      <c r="T106" s="28">
        <f>IF(T105=0,0,T105*MAX(0,(INDEX(c_CAMy,1,T$7)-INDEX(c_CAMy,1,INDEX('Lease Cycles'!$GC$13:$GI$13,1,T95)+1))*(1+'Lease Cycles'!$AK$13)+(INDEX(c_TAXy,1,T$7)-INDEX(c_TAXy,1,INDEX('Lease Cycles'!$GC$13:$GI$13,1,T95)+1))+(INDEX(c_INSy,1,T$7)-INDEX(c_INSy,1,INDEX('Lease Cycles'!$GC$13:$GI$13,1,T95)+1)))/12)</f>
        <v>0</v>
      </c>
      <c r="U106" s="28">
        <f>IF(U105=0,0,U105*MAX(0,(INDEX(c_CAMy,1,U$7)-INDEX(c_CAMy,1,INDEX('Lease Cycles'!$GC$13:$GI$13,1,U95)+1))*(1+'Lease Cycles'!$AK$13)+(INDEX(c_TAXy,1,U$7)-INDEX(c_TAXy,1,INDEX('Lease Cycles'!$GC$13:$GI$13,1,U95)+1))+(INDEX(c_INSy,1,U$7)-INDEX(c_INSy,1,INDEX('Lease Cycles'!$GC$13:$GI$13,1,U95)+1)))/12)</f>
        <v>0</v>
      </c>
      <c r="V106" s="28">
        <f>IF(V105=0,0,V105*MAX(0,(INDEX(c_CAMy,1,V$7)-INDEX(c_CAMy,1,INDEX('Lease Cycles'!$GC$13:$GI$13,1,V95)+1))*(1+'Lease Cycles'!$AK$13)+(INDEX(c_TAXy,1,V$7)-INDEX(c_TAXy,1,INDEX('Lease Cycles'!$GC$13:$GI$13,1,V95)+1))+(INDEX(c_INSy,1,V$7)-INDEX(c_INSy,1,INDEX('Lease Cycles'!$GC$13:$GI$13,1,V95)+1)))/12)</f>
        <v>0</v>
      </c>
      <c r="W106" s="28">
        <f>IF(W105=0,0,W105*MAX(0,(INDEX(c_CAMy,1,W$7)-INDEX(c_CAMy,1,INDEX('Lease Cycles'!$GC$13:$GI$13,1,W95)+1))*(1+'Lease Cycles'!$AK$13)+(INDEX(c_TAXy,1,W$7)-INDEX(c_TAXy,1,INDEX('Lease Cycles'!$GC$13:$GI$13,1,W95)+1))+(INDEX(c_INSy,1,W$7)-INDEX(c_INSy,1,INDEX('Lease Cycles'!$GC$13:$GI$13,1,W95)+1)))/12)</f>
        <v>0</v>
      </c>
      <c r="X106" s="28">
        <f>IF(X105=0,0,X105*MAX(0,(INDEX(c_CAMy,1,X$7)-INDEX(c_CAMy,1,INDEX('Lease Cycles'!$GC$13:$GI$13,1,X95)+1))*(1+'Lease Cycles'!$AK$13)+(INDEX(c_TAXy,1,X$7)-INDEX(c_TAXy,1,INDEX('Lease Cycles'!$GC$13:$GI$13,1,X95)+1))+(INDEX(c_INSy,1,X$7)-INDEX(c_INSy,1,INDEX('Lease Cycles'!$GC$13:$GI$13,1,X95)+1)))/12)</f>
        <v>0</v>
      </c>
      <c r="Y106" s="28">
        <f>IF(Y105=0,0,Y105*MAX(0,(INDEX(c_CAMy,1,Y$7)-INDEX(c_CAMy,1,INDEX('Lease Cycles'!$GC$13:$GI$13,1,Y95)+1))*(1+'Lease Cycles'!$AK$13)+(INDEX(c_TAXy,1,Y$7)-INDEX(c_TAXy,1,INDEX('Lease Cycles'!$GC$13:$GI$13,1,Y95)+1))+(INDEX(c_INSy,1,Y$7)-INDEX(c_INSy,1,INDEX('Lease Cycles'!$GC$13:$GI$13,1,Y95)+1)))/12)</f>
        <v>0</v>
      </c>
      <c r="Z106" s="28">
        <f>IF(Z105=0,0,Z105*MAX(0,(INDEX(c_CAMy,1,Z$7)-INDEX(c_CAMy,1,INDEX('Lease Cycles'!$GC$13:$GI$13,1,Z95)+1))*(1+'Lease Cycles'!$AK$13)+(INDEX(c_TAXy,1,Z$7)-INDEX(c_TAXy,1,INDEX('Lease Cycles'!$GC$13:$GI$13,1,Z95)+1))+(INDEX(c_INSy,1,Z$7)-INDEX(c_INSy,1,INDEX('Lease Cycles'!$GC$13:$GI$13,1,Z95)+1)))/12)</f>
        <v>0</v>
      </c>
      <c r="AA106" s="28">
        <f>IF(AA105=0,0,AA105*MAX(0,(INDEX(c_CAMy,1,AA$7)-INDEX(c_CAMy,1,INDEX('Lease Cycles'!$GC$13:$GI$13,1,AA95)+1))*(1+'Lease Cycles'!$AK$13)+(INDEX(c_TAXy,1,AA$7)-INDEX(c_TAXy,1,INDEX('Lease Cycles'!$GC$13:$GI$13,1,AA95)+1))+(INDEX(c_INSy,1,AA$7)-INDEX(c_INSy,1,INDEX('Lease Cycles'!$GC$13:$GI$13,1,AA95)+1)))/12)</f>
        <v>0</v>
      </c>
      <c r="AB106" s="28">
        <f>IF(AB105=0,0,AB105*MAX(0,(INDEX(c_CAMy,1,AB$7)-INDEX(c_CAMy,1,INDEX('Lease Cycles'!$GC$13:$GI$13,1,AB95)+1))*(1+'Lease Cycles'!$AK$13)+(INDEX(c_TAXy,1,AB$7)-INDEX(c_TAXy,1,INDEX('Lease Cycles'!$GC$13:$GI$13,1,AB95)+1))+(INDEX(c_INSy,1,AB$7)-INDEX(c_INSy,1,INDEX('Lease Cycles'!$GC$13:$GI$13,1,AB95)+1)))/12)</f>
        <v>0</v>
      </c>
      <c r="AC106" s="28">
        <f>IF(AC105=0,0,AC105*MAX(0,(INDEX(c_CAMy,1,AC$7)-INDEX(c_CAMy,1,INDEX('Lease Cycles'!$GC$13:$GI$13,1,AC95)+1))*(1+'Lease Cycles'!$AK$13)+(INDEX(c_TAXy,1,AC$7)-INDEX(c_TAXy,1,INDEX('Lease Cycles'!$GC$13:$GI$13,1,AC95)+1))+(INDEX(c_INSy,1,AC$7)-INDEX(c_INSy,1,INDEX('Lease Cycles'!$GC$13:$GI$13,1,AC95)+1)))/12)</f>
        <v>0</v>
      </c>
      <c r="AD106" s="28">
        <f>IF(AD105=0,0,AD105*MAX(0,(INDEX(c_CAMy,1,AD$7)-INDEX(c_CAMy,1,INDEX('Lease Cycles'!$GC$13:$GI$13,1,AD95)+1))*(1+'Lease Cycles'!$AK$13)+(INDEX(c_TAXy,1,AD$7)-INDEX(c_TAXy,1,INDEX('Lease Cycles'!$GC$13:$GI$13,1,AD95)+1))+(INDEX(c_INSy,1,AD$7)-INDEX(c_INSy,1,INDEX('Lease Cycles'!$GC$13:$GI$13,1,AD95)+1)))/12)</f>
        <v>0</v>
      </c>
      <c r="AE106" s="28">
        <f>IF(AE105=0,0,AE105*MAX(0,(INDEX(c_CAMy,1,AE$7)-INDEX(c_CAMy,1,INDEX('Lease Cycles'!$GC$13:$GI$13,1,AE95)+1))*(1+'Lease Cycles'!$AK$13)+(INDEX(c_TAXy,1,AE$7)-INDEX(c_TAXy,1,INDEX('Lease Cycles'!$GC$13:$GI$13,1,AE95)+1))+(INDEX(c_INSy,1,AE$7)-INDEX(c_INSy,1,INDEX('Lease Cycles'!$GC$13:$GI$13,1,AE95)+1)))/12)</f>
        <v>0</v>
      </c>
      <c r="AF106" s="28">
        <f>IF(AF105=0,0,AF105*MAX(0,(INDEX(c_CAMy,1,AF$7)-INDEX(c_CAMy,1,INDEX('Lease Cycles'!$GC$13:$GI$13,1,AF95)+1))*(1+'Lease Cycles'!$AK$13)+(INDEX(c_TAXy,1,AF$7)-INDEX(c_TAXy,1,INDEX('Lease Cycles'!$GC$13:$GI$13,1,AF95)+1))+(INDEX(c_INSy,1,AF$7)-INDEX(c_INSy,1,INDEX('Lease Cycles'!$GC$13:$GI$13,1,AF95)+1)))/12)</f>
        <v>0</v>
      </c>
      <c r="AG106" s="28">
        <f>IF(AG105=0,0,AG105*MAX(0,(INDEX(c_CAMy,1,AG$7)-INDEX(c_CAMy,1,INDEX('Lease Cycles'!$GC$13:$GI$13,1,AG95)+1))*(1+'Lease Cycles'!$AK$13)+(INDEX(c_TAXy,1,AG$7)-INDEX(c_TAXy,1,INDEX('Lease Cycles'!$GC$13:$GI$13,1,AG95)+1))+(INDEX(c_INSy,1,AG$7)-INDEX(c_INSy,1,INDEX('Lease Cycles'!$GC$13:$GI$13,1,AG95)+1)))/12)</f>
        <v>0</v>
      </c>
      <c r="AH106" s="28">
        <f>IF(AH105=0,0,AH105*MAX(0,(INDEX(c_CAMy,1,AH$7)-INDEX(c_CAMy,1,INDEX('Lease Cycles'!$GC$13:$GI$13,1,AH95)+1))*(1+'Lease Cycles'!$AK$13)+(INDEX(c_TAXy,1,AH$7)-INDEX(c_TAXy,1,INDEX('Lease Cycles'!$GC$13:$GI$13,1,AH95)+1))+(INDEX(c_INSy,1,AH$7)-INDEX(c_INSy,1,INDEX('Lease Cycles'!$GC$13:$GI$13,1,AH95)+1)))/12)</f>
        <v>0</v>
      </c>
      <c r="AI106" s="28">
        <f>IF(AI105=0,0,AI105*MAX(0,(INDEX(c_CAMy,1,AI$7)-INDEX(c_CAMy,1,INDEX('Lease Cycles'!$GC$13:$GI$13,1,AI95)+1))*(1+'Lease Cycles'!$AK$13)+(INDEX(c_TAXy,1,AI$7)-INDEX(c_TAXy,1,INDEX('Lease Cycles'!$GC$13:$GI$13,1,AI95)+1))+(INDEX(c_INSy,1,AI$7)-INDEX(c_INSy,1,INDEX('Lease Cycles'!$GC$13:$GI$13,1,AI95)+1)))/12)</f>
        <v>0</v>
      </c>
      <c r="AJ106" s="28">
        <f>IF(AJ105=0,0,AJ105*MAX(0,(INDEX(c_CAMy,1,AJ$7)-INDEX(c_CAMy,1,INDEX('Lease Cycles'!$GC$13:$GI$13,1,AJ95)+1))*(1+'Lease Cycles'!$AK$13)+(INDEX(c_TAXy,1,AJ$7)-INDEX(c_TAXy,1,INDEX('Lease Cycles'!$GC$13:$GI$13,1,AJ95)+1))+(INDEX(c_INSy,1,AJ$7)-INDEX(c_INSy,1,INDEX('Lease Cycles'!$GC$13:$GI$13,1,AJ95)+1)))/12)</f>
        <v>0</v>
      </c>
      <c r="AK106" s="28">
        <f>IF(AK105=0,0,AK105*MAX(0,(INDEX(c_CAMy,1,AK$7)-INDEX(c_CAMy,1,INDEX('Lease Cycles'!$GC$13:$GI$13,1,AK95)+1))*(1+'Lease Cycles'!$AK$13)+(INDEX(c_TAXy,1,AK$7)-INDEX(c_TAXy,1,INDEX('Lease Cycles'!$GC$13:$GI$13,1,AK95)+1))+(INDEX(c_INSy,1,AK$7)-INDEX(c_INSy,1,INDEX('Lease Cycles'!$GC$13:$GI$13,1,AK95)+1)))/12)</f>
        <v>0</v>
      </c>
      <c r="AL106" s="28">
        <f>IF(AL105=0,0,AL105*MAX(0,(INDEX(c_CAMy,1,AL$7)-INDEX(c_CAMy,1,INDEX('Lease Cycles'!$GC$13:$GI$13,1,AL95)+1))*(1+'Lease Cycles'!$AK$13)+(INDEX(c_TAXy,1,AL$7)-INDEX(c_TAXy,1,INDEX('Lease Cycles'!$GC$13:$GI$13,1,AL95)+1))+(INDEX(c_INSy,1,AL$7)-INDEX(c_INSy,1,INDEX('Lease Cycles'!$GC$13:$GI$13,1,AL95)+1)))/12)</f>
        <v>0</v>
      </c>
      <c r="AM106" s="28">
        <f>IF(AM105=0,0,AM105*MAX(0,(INDEX(c_CAMy,1,AM$7)-INDEX(c_CAMy,1,INDEX('Lease Cycles'!$GC$13:$GI$13,1,AM95)+1))*(1+'Lease Cycles'!$AK$13)+(INDEX(c_TAXy,1,AM$7)-INDEX(c_TAXy,1,INDEX('Lease Cycles'!$GC$13:$GI$13,1,AM95)+1))+(INDEX(c_INSy,1,AM$7)-INDEX(c_INSy,1,INDEX('Lease Cycles'!$GC$13:$GI$13,1,AM95)+1)))/12)</f>
        <v>0</v>
      </c>
      <c r="AN106" s="28">
        <f>IF(AN105=0,0,AN105*MAX(0,(INDEX(c_CAMy,1,AN$7)-INDEX(c_CAMy,1,INDEX('Lease Cycles'!$GC$13:$GI$13,1,AN95)+1))*(1+'Lease Cycles'!$AK$13)+(INDEX(c_TAXy,1,AN$7)-INDEX(c_TAXy,1,INDEX('Lease Cycles'!$GC$13:$GI$13,1,AN95)+1))+(INDEX(c_INSy,1,AN$7)-INDEX(c_INSy,1,INDEX('Lease Cycles'!$GC$13:$GI$13,1,AN95)+1)))/12)</f>
        <v>0</v>
      </c>
      <c r="AO106" s="28">
        <f>IF(AO105=0,0,AO105*MAX(0,(INDEX(c_CAMy,1,AO$7)-INDEX(c_CAMy,1,INDEX('Lease Cycles'!$GC$13:$GI$13,1,AO95)+1))*(1+'Lease Cycles'!$AK$13)+(INDEX(c_TAXy,1,AO$7)-INDEX(c_TAXy,1,INDEX('Lease Cycles'!$GC$13:$GI$13,1,AO95)+1))+(INDEX(c_INSy,1,AO$7)-INDEX(c_INSy,1,INDEX('Lease Cycles'!$GC$13:$GI$13,1,AO95)+1)))/12)</f>
        <v>0</v>
      </c>
      <c r="AP106" s="28">
        <f>IF(AP105=0,0,AP105*MAX(0,(INDEX(c_CAMy,1,AP$7)-INDEX(c_CAMy,1,INDEX('Lease Cycles'!$GC$13:$GI$13,1,AP95)+1))*(1+'Lease Cycles'!$AK$13)+(INDEX(c_TAXy,1,AP$7)-INDEX(c_TAXy,1,INDEX('Lease Cycles'!$GC$13:$GI$13,1,AP95)+1))+(INDEX(c_INSy,1,AP$7)-INDEX(c_INSy,1,INDEX('Lease Cycles'!$GC$13:$GI$13,1,AP95)+1)))/12)</f>
        <v>0</v>
      </c>
      <c r="AQ106" s="28">
        <f>IF(AQ105=0,0,AQ105*MAX(0,(INDEX(c_CAMy,1,AQ$7)-INDEX(c_CAMy,1,INDEX('Lease Cycles'!$GC$13:$GI$13,1,AQ95)+1))*(1+'Lease Cycles'!$AK$13)+(INDEX(c_TAXy,1,AQ$7)-INDEX(c_TAXy,1,INDEX('Lease Cycles'!$GC$13:$GI$13,1,AQ95)+1))+(INDEX(c_INSy,1,AQ$7)-INDEX(c_INSy,1,INDEX('Lease Cycles'!$GC$13:$GI$13,1,AQ95)+1)))/12)</f>
        <v>0</v>
      </c>
      <c r="AR106" s="28">
        <f>IF(AR105=0,0,AR105*MAX(0,(INDEX(c_CAMy,1,AR$7)-INDEX(c_CAMy,1,INDEX('Lease Cycles'!$GC$13:$GI$13,1,AR95)+1))*(1+'Lease Cycles'!$AK$13)+(INDEX(c_TAXy,1,AR$7)-INDEX(c_TAXy,1,INDEX('Lease Cycles'!$GC$13:$GI$13,1,AR95)+1))+(INDEX(c_INSy,1,AR$7)-INDEX(c_INSy,1,INDEX('Lease Cycles'!$GC$13:$GI$13,1,AR95)+1)))/12)</f>
        <v>0</v>
      </c>
      <c r="AS106" s="28">
        <f>IF(AS105=0,0,AS105*MAX(0,(INDEX(c_CAMy,1,AS$7)-INDEX(c_CAMy,1,INDEX('Lease Cycles'!$GC$13:$GI$13,1,AS95)+1))*(1+'Lease Cycles'!$AK$13)+(INDEX(c_TAXy,1,AS$7)-INDEX(c_TAXy,1,INDEX('Lease Cycles'!$GC$13:$GI$13,1,AS95)+1))+(INDEX(c_INSy,1,AS$7)-INDEX(c_INSy,1,INDEX('Lease Cycles'!$GC$13:$GI$13,1,AS95)+1)))/12)</f>
        <v>0</v>
      </c>
      <c r="AT106" s="28">
        <f>IF(AT105=0,0,AT105*MAX(0,(INDEX(c_CAMy,1,AT$7)-INDEX(c_CAMy,1,INDEX('Lease Cycles'!$GC$13:$GI$13,1,AT95)+1))*(1+'Lease Cycles'!$AK$13)+(INDEX(c_TAXy,1,AT$7)-INDEX(c_TAXy,1,INDEX('Lease Cycles'!$GC$13:$GI$13,1,AT95)+1))+(INDEX(c_INSy,1,AT$7)-INDEX(c_INSy,1,INDEX('Lease Cycles'!$GC$13:$GI$13,1,AT95)+1)))/12)</f>
        <v>0</v>
      </c>
      <c r="AU106" s="28">
        <f>IF(AU105=0,0,AU105*MAX(0,(INDEX(c_CAMy,1,AU$7)-INDEX(c_CAMy,1,INDEX('Lease Cycles'!$GC$13:$GI$13,1,AU95)+1))*(1+'Lease Cycles'!$AK$13)+(INDEX(c_TAXy,1,AU$7)-INDEX(c_TAXy,1,INDEX('Lease Cycles'!$GC$13:$GI$13,1,AU95)+1))+(INDEX(c_INSy,1,AU$7)-INDEX(c_INSy,1,INDEX('Lease Cycles'!$GC$13:$GI$13,1,AU95)+1)))/12)</f>
        <v>0</v>
      </c>
      <c r="AV106" s="28">
        <f>IF(AV105=0,0,AV105*MAX(0,(INDEX(c_CAMy,1,AV$7)-INDEX(c_CAMy,1,INDEX('Lease Cycles'!$GC$13:$GI$13,1,AV95)+1))*(1+'Lease Cycles'!$AK$13)+(INDEX(c_TAXy,1,AV$7)-INDEX(c_TAXy,1,INDEX('Lease Cycles'!$GC$13:$GI$13,1,AV95)+1))+(INDEX(c_INSy,1,AV$7)-INDEX(c_INSy,1,INDEX('Lease Cycles'!$GC$13:$GI$13,1,AV95)+1)))/12)</f>
        <v>0</v>
      </c>
      <c r="AW106" s="28">
        <f>IF(AW105=0,0,AW105*MAX(0,(INDEX(c_CAMy,1,AW$7)-INDEX(c_CAMy,1,INDEX('Lease Cycles'!$GC$13:$GI$13,1,AW95)+1))*(1+'Lease Cycles'!$AK$13)+(INDEX(c_TAXy,1,AW$7)-INDEX(c_TAXy,1,INDEX('Lease Cycles'!$GC$13:$GI$13,1,AW95)+1))+(INDEX(c_INSy,1,AW$7)-INDEX(c_INSy,1,INDEX('Lease Cycles'!$GC$13:$GI$13,1,AW95)+1)))/12)</f>
        <v>0</v>
      </c>
      <c r="AX106" s="28">
        <f>IF(AX105=0,0,AX105*MAX(0,(INDEX(c_CAMy,1,AX$7)-INDEX(c_CAMy,1,INDEX('Lease Cycles'!$GC$13:$GI$13,1,AX95)+1))*(1+'Lease Cycles'!$AK$13)+(INDEX(c_TAXy,1,AX$7)-INDEX(c_TAXy,1,INDEX('Lease Cycles'!$GC$13:$GI$13,1,AX95)+1))+(INDEX(c_INSy,1,AX$7)-INDEX(c_INSy,1,INDEX('Lease Cycles'!$GC$13:$GI$13,1,AX95)+1)))/12)</f>
        <v>0</v>
      </c>
      <c r="AY106" s="28">
        <f>IF(AY105=0,0,AY105*MAX(0,(INDEX(c_CAMy,1,AY$7)-INDEX(c_CAMy,1,INDEX('Lease Cycles'!$GC$13:$GI$13,1,AY95)+1))*(1+'Lease Cycles'!$AK$13)+(INDEX(c_TAXy,1,AY$7)-INDEX(c_TAXy,1,INDEX('Lease Cycles'!$GC$13:$GI$13,1,AY95)+1))+(INDEX(c_INSy,1,AY$7)-INDEX(c_INSy,1,INDEX('Lease Cycles'!$GC$13:$GI$13,1,AY95)+1)))/12)</f>
        <v>0</v>
      </c>
      <c r="AZ106" s="28">
        <f>IF(AZ105=0,0,AZ105*MAX(0,(INDEX(c_CAMy,1,AZ$7)-INDEX(c_CAMy,1,INDEX('Lease Cycles'!$GC$13:$GI$13,1,AZ95)+1))*(1+'Lease Cycles'!$AK$13)+(INDEX(c_TAXy,1,AZ$7)-INDEX(c_TAXy,1,INDEX('Lease Cycles'!$GC$13:$GI$13,1,AZ95)+1))+(INDEX(c_INSy,1,AZ$7)-INDEX(c_INSy,1,INDEX('Lease Cycles'!$GC$13:$GI$13,1,AZ95)+1)))/12)</f>
        <v>0</v>
      </c>
      <c r="BA106" s="28">
        <f>IF(BA105=0,0,BA105*MAX(0,(INDEX(c_CAMy,1,BA$7)-INDEX(c_CAMy,1,INDEX('Lease Cycles'!$GC$13:$GI$13,1,BA95)+1))*(1+'Lease Cycles'!$AK$13)+(INDEX(c_TAXy,1,BA$7)-INDEX(c_TAXy,1,INDEX('Lease Cycles'!$GC$13:$GI$13,1,BA95)+1))+(INDEX(c_INSy,1,BA$7)-INDEX(c_INSy,1,INDEX('Lease Cycles'!$GC$13:$GI$13,1,BA95)+1)))/12)</f>
        <v>0</v>
      </c>
      <c r="BB106" s="28">
        <f>IF(BB105=0,0,BB105*MAX(0,(INDEX(c_CAMy,1,BB$7)-INDEX(c_CAMy,1,INDEX('Lease Cycles'!$GC$13:$GI$13,1,BB95)+1))*(1+'Lease Cycles'!$AK$13)+(INDEX(c_TAXy,1,BB$7)-INDEX(c_TAXy,1,INDEX('Lease Cycles'!$GC$13:$GI$13,1,BB95)+1))+(INDEX(c_INSy,1,BB$7)-INDEX(c_INSy,1,INDEX('Lease Cycles'!$GC$13:$GI$13,1,BB95)+1)))/12)</f>
        <v>0</v>
      </c>
      <c r="BC106" s="28">
        <f>IF(BC105=0,0,BC105*MAX(0,(INDEX(c_CAMy,1,BC$7)-INDEX(c_CAMy,1,INDEX('Lease Cycles'!$GC$13:$GI$13,1,BC95)+1))*(1+'Lease Cycles'!$AK$13)+(INDEX(c_TAXy,1,BC$7)-INDEX(c_TAXy,1,INDEX('Lease Cycles'!$GC$13:$GI$13,1,BC95)+1))+(INDEX(c_INSy,1,BC$7)-INDEX(c_INSy,1,INDEX('Lease Cycles'!$GC$13:$GI$13,1,BC95)+1)))/12)</f>
        <v>0</v>
      </c>
      <c r="BD106" s="28">
        <f>IF(BD105=0,0,BD105*MAX(0,(INDEX(c_CAMy,1,BD$7)-INDEX(c_CAMy,1,INDEX('Lease Cycles'!$GC$13:$GI$13,1,BD95)+1))*(1+'Lease Cycles'!$AK$13)+(INDEX(c_TAXy,1,BD$7)-INDEX(c_TAXy,1,INDEX('Lease Cycles'!$GC$13:$GI$13,1,BD95)+1))+(INDEX(c_INSy,1,BD$7)-INDEX(c_INSy,1,INDEX('Lease Cycles'!$GC$13:$GI$13,1,BD95)+1)))/12)</f>
        <v>0</v>
      </c>
      <c r="BE106" s="28">
        <f>IF(BE105=0,0,BE105*MAX(0,(INDEX(c_CAMy,1,BE$7)-INDEX(c_CAMy,1,INDEX('Lease Cycles'!$GC$13:$GI$13,1,BE95)+1))*(1+'Lease Cycles'!$AK$13)+(INDEX(c_TAXy,1,BE$7)-INDEX(c_TAXy,1,INDEX('Lease Cycles'!$GC$13:$GI$13,1,BE95)+1))+(INDEX(c_INSy,1,BE$7)-INDEX(c_INSy,1,INDEX('Lease Cycles'!$GC$13:$GI$13,1,BE95)+1)))/12)</f>
        <v>0</v>
      </c>
      <c r="BF106" s="28">
        <f>IF(BF105=0,0,BF105*MAX(0,(INDEX(c_CAMy,1,BF$7)-INDEX(c_CAMy,1,INDEX('Lease Cycles'!$GC$13:$GI$13,1,BF95)+1))*(1+'Lease Cycles'!$AK$13)+(INDEX(c_TAXy,1,BF$7)-INDEX(c_TAXy,1,INDEX('Lease Cycles'!$GC$13:$GI$13,1,BF95)+1))+(INDEX(c_INSy,1,BF$7)-INDEX(c_INSy,1,INDEX('Lease Cycles'!$GC$13:$GI$13,1,BF95)+1)))/12)</f>
        <v>0</v>
      </c>
      <c r="BG106" s="28">
        <f>IF(BG105=0,0,BG105*MAX(0,(INDEX(c_CAMy,1,BG$7)-INDEX(c_CAMy,1,INDEX('Lease Cycles'!$GC$13:$GI$13,1,BG95)+1))*(1+'Lease Cycles'!$AK$13)+(INDEX(c_TAXy,1,BG$7)-INDEX(c_TAXy,1,INDEX('Lease Cycles'!$GC$13:$GI$13,1,BG95)+1))+(INDEX(c_INSy,1,BG$7)-INDEX(c_INSy,1,INDEX('Lease Cycles'!$GC$13:$GI$13,1,BG95)+1)))/12)</f>
        <v>0</v>
      </c>
      <c r="BH106" s="28">
        <f>IF(BH105=0,0,BH105*MAX(0,(INDEX(c_CAMy,1,BH$7)-INDEX(c_CAMy,1,INDEX('Lease Cycles'!$GC$13:$GI$13,1,BH95)+1))*(1+'Lease Cycles'!$AK$13)+(INDEX(c_TAXy,1,BH$7)-INDEX(c_TAXy,1,INDEX('Lease Cycles'!$GC$13:$GI$13,1,BH95)+1))+(INDEX(c_INSy,1,BH$7)-INDEX(c_INSy,1,INDEX('Lease Cycles'!$GC$13:$GI$13,1,BH95)+1)))/12)</f>
        <v>0</v>
      </c>
      <c r="BI106" s="28">
        <f>IF(BI105=0,0,BI105*MAX(0,(INDEX(c_CAMy,1,BI$7)-INDEX(c_CAMy,1,INDEX('Lease Cycles'!$GC$13:$GI$13,1,BI95)+1))*(1+'Lease Cycles'!$AK$13)+(INDEX(c_TAXy,1,BI$7)-INDEX(c_TAXy,1,INDEX('Lease Cycles'!$GC$13:$GI$13,1,BI95)+1))+(INDEX(c_INSy,1,BI$7)-INDEX(c_INSy,1,INDEX('Lease Cycles'!$GC$13:$GI$13,1,BI95)+1)))/12)</f>
        <v>0</v>
      </c>
      <c r="BJ106" s="28">
        <f>IF(BJ105=0,0,BJ105*MAX(0,(INDEX(c_CAMy,1,BJ$7)-INDEX(c_CAMy,1,INDEX('Lease Cycles'!$GC$13:$GI$13,1,BJ95)+1))*(1+'Lease Cycles'!$AK$13)+(INDEX(c_TAXy,1,BJ$7)-INDEX(c_TAXy,1,INDEX('Lease Cycles'!$GC$13:$GI$13,1,BJ95)+1))+(INDEX(c_INSy,1,BJ$7)-INDEX(c_INSy,1,INDEX('Lease Cycles'!$GC$13:$GI$13,1,BJ95)+1)))/12)</f>
        <v>0</v>
      </c>
      <c r="BK106" s="28">
        <f>IF(BK105=0,0,BK105*MAX(0,(INDEX(c_CAMy,1,BK$7)-INDEX(c_CAMy,1,INDEX('Lease Cycles'!$GC$13:$GI$13,1,BK95)+1))*(1+'Lease Cycles'!$AK$13)+(INDEX(c_TAXy,1,BK$7)-INDEX(c_TAXy,1,INDEX('Lease Cycles'!$GC$13:$GI$13,1,BK95)+1))+(INDEX(c_INSy,1,BK$7)-INDEX(c_INSy,1,INDEX('Lease Cycles'!$GC$13:$GI$13,1,BK95)+1)))/12)</f>
        <v>0</v>
      </c>
      <c r="BL106" s="28">
        <f>IF(BL105=0,0,BL105*MAX(0,(INDEX(c_CAMy,1,BL$7)-INDEX(c_CAMy,1,INDEX('Lease Cycles'!$GC$13:$GI$13,1,BL95)+1))*(1+'Lease Cycles'!$AK$13)+(INDEX(c_TAXy,1,BL$7)-INDEX(c_TAXy,1,INDEX('Lease Cycles'!$GC$13:$GI$13,1,BL95)+1))+(INDEX(c_INSy,1,BL$7)-INDEX(c_INSy,1,INDEX('Lease Cycles'!$GC$13:$GI$13,1,BL95)+1)))/12)</f>
        <v>0</v>
      </c>
      <c r="BM106" s="28">
        <f>IF(BM105=0,0,BM105*MAX(0,(INDEX(c_CAMy,1,BM$7)-INDEX(c_CAMy,1,INDEX('Lease Cycles'!$GC$13:$GI$13,1,BM95)+1))*(1+'Lease Cycles'!$AK$13)+(INDEX(c_TAXy,1,BM$7)-INDEX(c_TAXy,1,INDEX('Lease Cycles'!$GC$13:$GI$13,1,BM95)+1))+(INDEX(c_INSy,1,BM$7)-INDEX(c_INSy,1,INDEX('Lease Cycles'!$GC$13:$GI$13,1,BM95)+1)))/12)</f>
        <v>0</v>
      </c>
      <c r="BN106" s="28">
        <f>IF(BN105=0,0,BN105*MAX(0,(INDEX(c_CAMy,1,BN$7)-INDEX(c_CAMy,1,INDEX('Lease Cycles'!$GC$13:$GI$13,1,BN95)+1))*(1+'Lease Cycles'!$AK$13)+(INDEX(c_TAXy,1,BN$7)-INDEX(c_TAXy,1,INDEX('Lease Cycles'!$GC$13:$GI$13,1,BN95)+1))+(INDEX(c_INSy,1,BN$7)-INDEX(c_INSy,1,INDEX('Lease Cycles'!$GC$13:$GI$13,1,BN95)+1)))/12)</f>
        <v>0</v>
      </c>
      <c r="BO106" s="28">
        <f>IF(BO105=0,0,BO105*MAX(0,(INDEX(c_CAMy,1,BO$7)-INDEX(c_CAMy,1,INDEX('Lease Cycles'!$GC$13:$GI$13,1,BO95)+1))*(1+'Lease Cycles'!$AK$13)+(INDEX(c_TAXy,1,BO$7)-INDEX(c_TAXy,1,INDEX('Lease Cycles'!$GC$13:$GI$13,1,BO95)+1))+(INDEX(c_INSy,1,BO$7)-INDEX(c_INSy,1,INDEX('Lease Cycles'!$GC$13:$GI$13,1,BO95)+1)))/12)</f>
        <v>0</v>
      </c>
      <c r="BP106" s="28">
        <f>IF(BP105=0,0,BP105*MAX(0,(INDEX(c_CAMy,1,BP$7)-INDEX(c_CAMy,1,INDEX('Lease Cycles'!$GC$13:$GI$13,1,BP95)+1))*(1+'Lease Cycles'!$AK$13)+(INDEX(c_TAXy,1,BP$7)-INDEX(c_TAXy,1,INDEX('Lease Cycles'!$GC$13:$GI$13,1,BP95)+1))+(INDEX(c_INSy,1,BP$7)-INDEX(c_INSy,1,INDEX('Lease Cycles'!$GC$13:$GI$13,1,BP95)+1)))/12)</f>
        <v>0</v>
      </c>
      <c r="BQ106" s="28">
        <f>IF(BQ105=0,0,BQ105*MAX(0,(INDEX(c_CAMy,1,BQ$7)-INDEX(c_CAMy,1,INDEX('Lease Cycles'!$GC$13:$GI$13,1,BQ95)+1))*(1+'Lease Cycles'!$AK$13)+(INDEX(c_TAXy,1,BQ$7)-INDEX(c_TAXy,1,INDEX('Lease Cycles'!$GC$13:$GI$13,1,BQ95)+1))+(INDEX(c_INSy,1,BQ$7)-INDEX(c_INSy,1,INDEX('Lease Cycles'!$GC$13:$GI$13,1,BQ95)+1)))/12)</f>
        <v>0</v>
      </c>
      <c r="BR106" s="28">
        <f>IF(BR105=0,0,BR105*MAX(0,(INDEX(c_CAMy,1,BR$7)-INDEX(c_CAMy,1,INDEX('Lease Cycles'!$GC$13:$GI$13,1,BR95)+1))*(1+'Lease Cycles'!$AK$13)+(INDEX(c_TAXy,1,BR$7)-INDEX(c_TAXy,1,INDEX('Lease Cycles'!$GC$13:$GI$13,1,BR95)+1))+(INDEX(c_INSy,1,BR$7)-INDEX(c_INSy,1,INDEX('Lease Cycles'!$GC$13:$GI$13,1,BR95)+1)))/12)</f>
        <v>0</v>
      </c>
      <c r="BS106" s="28">
        <f>IF(BS105=0,0,BS105*MAX(0,(INDEX(c_CAMy,1,BS$7)-INDEX(c_CAMy,1,INDEX('Lease Cycles'!$GC$13:$GI$13,1,BS95)+1))*(1+'Lease Cycles'!$AK$13)+(INDEX(c_TAXy,1,BS$7)-INDEX(c_TAXy,1,INDEX('Lease Cycles'!$GC$13:$GI$13,1,BS95)+1))+(INDEX(c_INSy,1,BS$7)-INDEX(c_INSy,1,INDEX('Lease Cycles'!$GC$13:$GI$13,1,BS95)+1)))/12)</f>
        <v>0</v>
      </c>
      <c r="BT106" s="28">
        <f>IF(BT105=0,0,BT105*MAX(0,(INDEX(c_CAMy,1,BT$7)-INDEX(c_CAMy,1,INDEX('Lease Cycles'!$GC$13:$GI$13,1,BT95)+1))*(1+'Lease Cycles'!$AK$13)+(INDEX(c_TAXy,1,BT$7)-INDEX(c_TAXy,1,INDEX('Lease Cycles'!$GC$13:$GI$13,1,BT95)+1))+(INDEX(c_INSy,1,BT$7)-INDEX(c_INSy,1,INDEX('Lease Cycles'!$GC$13:$GI$13,1,BT95)+1)))/12)</f>
        <v>0</v>
      </c>
      <c r="BU106" s="28">
        <f>IF(BU105=0,0,BU105*MAX(0,(INDEX(c_CAMy,1,BU$7)-INDEX(c_CAMy,1,INDEX('Lease Cycles'!$GC$13:$GI$13,1,BU95)+1))*(1+'Lease Cycles'!$AK$13)+(INDEX(c_TAXy,1,BU$7)-INDEX(c_TAXy,1,INDEX('Lease Cycles'!$GC$13:$GI$13,1,BU95)+1))+(INDEX(c_INSy,1,BU$7)-INDEX(c_INSy,1,INDEX('Lease Cycles'!$GC$13:$GI$13,1,BU95)+1)))/12)</f>
        <v>0</v>
      </c>
      <c r="BV106" s="28">
        <f>IF(BV105=0,0,BV105*MAX(0,(INDEX(c_CAMy,1,BV$7)-INDEX(c_CAMy,1,INDEX('Lease Cycles'!$GC$13:$GI$13,1,BV95)+1))*(1+'Lease Cycles'!$AK$13)+(INDEX(c_TAXy,1,BV$7)-INDEX(c_TAXy,1,INDEX('Lease Cycles'!$GC$13:$GI$13,1,BV95)+1))+(INDEX(c_INSy,1,BV$7)-INDEX(c_INSy,1,INDEX('Lease Cycles'!$GC$13:$GI$13,1,BV95)+1)))/12)</f>
        <v>0</v>
      </c>
      <c r="BW106" s="28">
        <f>IF(BW105=0,0,BW105*MAX(0,(INDEX(c_CAMy,1,BW$7)-INDEX(c_CAMy,1,INDEX('Lease Cycles'!$GC$13:$GI$13,1,BW95)+1))*(1+'Lease Cycles'!$AK$13)+(INDEX(c_TAXy,1,BW$7)-INDEX(c_TAXy,1,INDEX('Lease Cycles'!$GC$13:$GI$13,1,BW95)+1))+(INDEX(c_INSy,1,BW$7)-INDEX(c_INSy,1,INDEX('Lease Cycles'!$GC$13:$GI$13,1,BW95)+1)))/12)</f>
        <v>0</v>
      </c>
      <c r="BX106" s="28">
        <f>IF(BX105=0,0,BX105*MAX(0,(INDEX(c_CAMy,1,BX$7)-INDEX(c_CAMy,1,INDEX('Lease Cycles'!$GC$13:$GI$13,1,BX95)+1))*(1+'Lease Cycles'!$AK$13)+(INDEX(c_TAXy,1,BX$7)-INDEX(c_TAXy,1,INDEX('Lease Cycles'!$GC$13:$GI$13,1,BX95)+1))+(INDEX(c_INSy,1,BX$7)-INDEX(c_INSy,1,INDEX('Lease Cycles'!$GC$13:$GI$13,1,BX95)+1)))/12)</f>
        <v>0</v>
      </c>
      <c r="BY106" s="28">
        <f>IF(BY105=0,0,BY105*MAX(0,(INDEX(c_CAMy,1,BY$7)-INDEX(c_CAMy,1,INDEX('Lease Cycles'!$GC$13:$GI$13,1,BY95)+1))*(1+'Lease Cycles'!$AK$13)+(INDEX(c_TAXy,1,BY$7)-INDEX(c_TAXy,1,INDEX('Lease Cycles'!$GC$13:$GI$13,1,BY95)+1))+(INDEX(c_INSy,1,BY$7)-INDEX(c_INSy,1,INDEX('Lease Cycles'!$GC$13:$GI$13,1,BY95)+1)))/12)</f>
        <v>0</v>
      </c>
      <c r="BZ106" s="28">
        <f>IF(BZ105=0,0,BZ105*MAX(0,(INDEX(c_CAMy,1,BZ$7)-INDEX(c_CAMy,1,INDEX('Lease Cycles'!$GC$13:$GI$13,1,BZ95)+1))*(1+'Lease Cycles'!$AK$13)+(INDEX(c_TAXy,1,BZ$7)-INDEX(c_TAXy,1,INDEX('Lease Cycles'!$GC$13:$GI$13,1,BZ95)+1))+(INDEX(c_INSy,1,BZ$7)-INDEX(c_INSy,1,INDEX('Lease Cycles'!$GC$13:$GI$13,1,BZ95)+1)))/12)</f>
        <v>0</v>
      </c>
      <c r="CA106" s="28">
        <f>IF(CA105=0,0,CA105*MAX(0,(INDEX(c_CAMy,1,CA$7)-INDEX(c_CAMy,1,INDEX('Lease Cycles'!$GC$13:$GI$13,1,CA95)+1))*(1+'Lease Cycles'!$AK$13)+(INDEX(c_TAXy,1,CA$7)-INDEX(c_TAXy,1,INDEX('Lease Cycles'!$GC$13:$GI$13,1,CA95)+1))+(INDEX(c_INSy,1,CA$7)-INDEX(c_INSy,1,INDEX('Lease Cycles'!$GC$13:$GI$13,1,CA95)+1)))/12)</f>
        <v>0</v>
      </c>
      <c r="CB106" s="28">
        <f>IF(CB105=0,0,CB105*MAX(0,(INDEX(c_CAMy,1,CB$7)-INDEX(c_CAMy,1,INDEX('Lease Cycles'!$GC$13:$GI$13,1,CB95)+1))*(1+'Lease Cycles'!$AK$13)+(INDEX(c_TAXy,1,CB$7)-INDEX(c_TAXy,1,INDEX('Lease Cycles'!$GC$13:$GI$13,1,CB95)+1))+(INDEX(c_INSy,1,CB$7)-INDEX(c_INSy,1,INDEX('Lease Cycles'!$GC$13:$GI$13,1,CB95)+1)))/12)</f>
        <v>0</v>
      </c>
      <c r="CC106" s="28">
        <f>IF(CC105=0,0,CC105*MAX(0,(INDEX(c_CAMy,1,CC$7)-INDEX(c_CAMy,1,INDEX('Lease Cycles'!$GC$13:$GI$13,1,CC95)+1))*(1+'Lease Cycles'!$AK$13)+(INDEX(c_TAXy,1,CC$7)-INDEX(c_TAXy,1,INDEX('Lease Cycles'!$GC$13:$GI$13,1,CC95)+1))+(INDEX(c_INSy,1,CC$7)-INDEX(c_INSy,1,INDEX('Lease Cycles'!$GC$13:$GI$13,1,CC95)+1)))/12)</f>
        <v>0</v>
      </c>
      <c r="CD106" s="28">
        <f>IF(CD105=0,0,CD105*MAX(0,(INDEX(c_CAMy,1,CD$7)-INDEX(c_CAMy,1,INDEX('Lease Cycles'!$GC$13:$GI$13,1,CD95)+1))*(1+'Lease Cycles'!$AK$13)+(INDEX(c_TAXy,1,CD$7)-INDEX(c_TAXy,1,INDEX('Lease Cycles'!$GC$13:$GI$13,1,CD95)+1))+(INDEX(c_INSy,1,CD$7)-INDEX(c_INSy,1,INDEX('Lease Cycles'!$GC$13:$GI$13,1,CD95)+1)))/12)</f>
        <v>0</v>
      </c>
      <c r="CE106" s="28">
        <f>IF(CE105=0,0,CE105*MAX(0,(INDEX(c_CAMy,1,CE$7)-INDEX(c_CAMy,1,INDEX('Lease Cycles'!$GC$13:$GI$13,1,CE95)+1))*(1+'Lease Cycles'!$AK$13)+(INDEX(c_TAXy,1,CE$7)-INDEX(c_TAXy,1,INDEX('Lease Cycles'!$GC$13:$GI$13,1,CE95)+1))+(INDEX(c_INSy,1,CE$7)-INDEX(c_INSy,1,INDEX('Lease Cycles'!$GC$13:$GI$13,1,CE95)+1)))/12)</f>
        <v>0</v>
      </c>
      <c r="CF106" s="28">
        <f>IF(CF105=0,0,CF105*MAX(0,(INDEX(c_CAMy,1,CF$7)-INDEX(c_CAMy,1,INDEX('Lease Cycles'!$GC$13:$GI$13,1,CF95)+1))*(1+'Lease Cycles'!$AK$13)+(INDEX(c_TAXy,1,CF$7)-INDEX(c_TAXy,1,INDEX('Lease Cycles'!$GC$13:$GI$13,1,CF95)+1))+(INDEX(c_INSy,1,CF$7)-INDEX(c_INSy,1,INDEX('Lease Cycles'!$GC$13:$GI$13,1,CF95)+1)))/12)</f>
        <v>0</v>
      </c>
      <c r="CG106" s="28">
        <f>IF(CG105=0,0,CG105*MAX(0,(INDEX(c_CAMy,1,CG$7)-INDEX(c_CAMy,1,INDEX('Lease Cycles'!$GC$13:$GI$13,1,CG95)+1))*(1+'Lease Cycles'!$AK$13)+(INDEX(c_TAXy,1,CG$7)-INDEX(c_TAXy,1,INDEX('Lease Cycles'!$GC$13:$GI$13,1,CG95)+1))+(INDEX(c_INSy,1,CG$7)-INDEX(c_INSy,1,INDEX('Lease Cycles'!$GC$13:$GI$13,1,CG95)+1)))/12)</f>
        <v>0</v>
      </c>
      <c r="CH106" s="28">
        <f>IF(CH105=0,0,CH105*MAX(0,(INDEX(c_CAMy,1,CH$7)-INDEX(c_CAMy,1,INDEX('Lease Cycles'!$GC$13:$GI$13,1,CH95)+1))*(1+'Lease Cycles'!$AK$13)+(INDEX(c_TAXy,1,CH$7)-INDEX(c_TAXy,1,INDEX('Lease Cycles'!$GC$13:$GI$13,1,CH95)+1))+(INDEX(c_INSy,1,CH$7)-INDEX(c_INSy,1,INDEX('Lease Cycles'!$GC$13:$GI$13,1,CH95)+1)))/12)</f>
        <v>0</v>
      </c>
      <c r="CI106" s="28">
        <f>IF(CI105=0,0,CI105*MAX(0,(INDEX(c_CAMy,1,CI$7)-INDEX(c_CAMy,1,INDEX('Lease Cycles'!$GC$13:$GI$13,1,CI95)+1))*(1+'Lease Cycles'!$AK$13)+(INDEX(c_TAXy,1,CI$7)-INDEX(c_TAXy,1,INDEX('Lease Cycles'!$GC$13:$GI$13,1,CI95)+1))+(INDEX(c_INSy,1,CI$7)-INDEX(c_INSy,1,INDEX('Lease Cycles'!$GC$13:$GI$13,1,CI95)+1)))/12)</f>
        <v>0</v>
      </c>
      <c r="CJ106" s="28">
        <f>IF(CJ105=0,0,CJ105*MAX(0,(INDEX(c_CAMy,1,CJ$7)-INDEX(c_CAMy,1,INDEX('Lease Cycles'!$GC$13:$GI$13,1,CJ95)+1))*(1+'Lease Cycles'!$AK$13)+(INDEX(c_TAXy,1,CJ$7)-INDEX(c_TAXy,1,INDEX('Lease Cycles'!$GC$13:$GI$13,1,CJ95)+1))+(INDEX(c_INSy,1,CJ$7)-INDEX(c_INSy,1,INDEX('Lease Cycles'!$GC$13:$GI$13,1,CJ95)+1)))/12)</f>
        <v>0</v>
      </c>
      <c r="CK106" s="28">
        <f>IF(CK105=0,0,CK105*MAX(0,(INDEX(c_CAMy,1,CK$7)-INDEX(c_CAMy,1,INDEX('Lease Cycles'!$GC$13:$GI$13,1,CK95)+1))*(1+'Lease Cycles'!$AK$13)+(INDEX(c_TAXy,1,CK$7)-INDEX(c_TAXy,1,INDEX('Lease Cycles'!$GC$13:$GI$13,1,CK95)+1))+(INDEX(c_INSy,1,CK$7)-INDEX(c_INSy,1,INDEX('Lease Cycles'!$GC$13:$GI$13,1,CK95)+1)))/12)</f>
        <v>0</v>
      </c>
      <c r="CL106" s="28">
        <f>IF(CL105=0,0,CL105*MAX(0,(INDEX(c_CAMy,1,CL$7)-INDEX(c_CAMy,1,INDEX('Lease Cycles'!$GC$13:$GI$13,1,CL95)+1))*(1+'Lease Cycles'!$AK$13)+(INDEX(c_TAXy,1,CL$7)-INDEX(c_TAXy,1,INDEX('Lease Cycles'!$GC$13:$GI$13,1,CL95)+1))+(INDEX(c_INSy,1,CL$7)-INDEX(c_INSy,1,INDEX('Lease Cycles'!$GC$13:$GI$13,1,CL95)+1)))/12)</f>
        <v>0</v>
      </c>
      <c r="CM106" s="28">
        <f>IF(CM105=0,0,CM105*MAX(0,(INDEX(c_CAMy,1,CM$7)-INDEX(c_CAMy,1,INDEX('Lease Cycles'!$GC$13:$GI$13,1,CM95)+1))*(1+'Lease Cycles'!$AK$13)+(INDEX(c_TAXy,1,CM$7)-INDEX(c_TAXy,1,INDEX('Lease Cycles'!$GC$13:$GI$13,1,CM95)+1))+(INDEX(c_INSy,1,CM$7)-INDEX(c_INSy,1,INDEX('Lease Cycles'!$GC$13:$GI$13,1,CM95)+1)))/12)</f>
        <v>0</v>
      </c>
      <c r="CN106" s="28">
        <f>IF(CN105=0,0,CN105*MAX(0,(INDEX(c_CAMy,1,CN$7)-INDEX(c_CAMy,1,INDEX('Lease Cycles'!$GC$13:$GI$13,1,CN95)+1))*(1+'Lease Cycles'!$AK$13)+(INDEX(c_TAXy,1,CN$7)-INDEX(c_TAXy,1,INDEX('Lease Cycles'!$GC$13:$GI$13,1,CN95)+1))+(INDEX(c_INSy,1,CN$7)-INDEX(c_INSy,1,INDEX('Lease Cycles'!$GC$13:$GI$13,1,CN95)+1)))/12)</f>
        <v>0</v>
      </c>
      <c r="CO106" s="28">
        <f>IF(CO105=0,0,CO105*MAX(0,(INDEX(c_CAMy,1,CO$7)-INDEX(c_CAMy,1,INDEX('Lease Cycles'!$GC$13:$GI$13,1,CO95)+1))*(1+'Lease Cycles'!$AK$13)+(INDEX(c_TAXy,1,CO$7)-INDEX(c_TAXy,1,INDEX('Lease Cycles'!$GC$13:$GI$13,1,CO95)+1))+(INDEX(c_INSy,1,CO$7)-INDEX(c_INSy,1,INDEX('Lease Cycles'!$GC$13:$GI$13,1,CO95)+1)))/12)</f>
        <v>0</v>
      </c>
      <c r="CP106" s="28">
        <f>IF(CP105=0,0,CP105*MAX(0,(INDEX(c_CAMy,1,CP$7)-INDEX(c_CAMy,1,INDEX('Lease Cycles'!$GC$13:$GI$13,1,CP95)+1))*(1+'Lease Cycles'!$AK$13)+(INDEX(c_TAXy,1,CP$7)-INDEX(c_TAXy,1,INDEX('Lease Cycles'!$GC$13:$GI$13,1,CP95)+1))+(INDEX(c_INSy,1,CP$7)-INDEX(c_INSy,1,INDEX('Lease Cycles'!$GC$13:$GI$13,1,CP95)+1)))/12)</f>
        <v>0</v>
      </c>
      <c r="CQ106" s="28">
        <f>IF(CQ105=0,0,CQ105*MAX(0,(INDEX(c_CAMy,1,CQ$7)-INDEX(c_CAMy,1,INDEX('Lease Cycles'!$GC$13:$GI$13,1,CQ95)+1))*(1+'Lease Cycles'!$AK$13)+(INDEX(c_TAXy,1,CQ$7)-INDEX(c_TAXy,1,INDEX('Lease Cycles'!$GC$13:$GI$13,1,CQ95)+1))+(INDEX(c_INSy,1,CQ$7)-INDEX(c_INSy,1,INDEX('Lease Cycles'!$GC$13:$GI$13,1,CQ95)+1)))/12)</f>
        <v>0</v>
      </c>
      <c r="CR106" s="28">
        <f>IF(CR105=0,0,CR105*MAX(0,(INDEX(c_CAMy,1,CR$7)-INDEX(c_CAMy,1,INDEX('Lease Cycles'!$GC$13:$GI$13,1,CR95)+1))*(1+'Lease Cycles'!$AK$13)+(INDEX(c_TAXy,1,CR$7)-INDEX(c_TAXy,1,INDEX('Lease Cycles'!$GC$13:$GI$13,1,CR95)+1))+(INDEX(c_INSy,1,CR$7)-INDEX(c_INSy,1,INDEX('Lease Cycles'!$GC$13:$GI$13,1,CR95)+1)))/12)</f>
        <v>0</v>
      </c>
      <c r="CS106" s="28">
        <f>IF(CS105=0,0,CS105*MAX(0,(INDEX(c_CAMy,1,CS$7)-INDEX(c_CAMy,1,INDEX('Lease Cycles'!$GC$13:$GI$13,1,CS95)+1))*(1+'Lease Cycles'!$AK$13)+(INDEX(c_TAXy,1,CS$7)-INDEX(c_TAXy,1,INDEX('Lease Cycles'!$GC$13:$GI$13,1,CS95)+1))+(INDEX(c_INSy,1,CS$7)-INDEX(c_INSy,1,INDEX('Lease Cycles'!$GC$13:$GI$13,1,CS95)+1)))/12)</f>
        <v>0</v>
      </c>
      <c r="CT106" s="28">
        <f>IF(CT105=0,0,CT105*MAX(0,(INDEX(c_CAMy,1,CT$7)-INDEX(c_CAMy,1,INDEX('Lease Cycles'!$GC$13:$GI$13,1,CT95)+1))*(1+'Lease Cycles'!$AK$13)+(INDEX(c_TAXy,1,CT$7)-INDEX(c_TAXy,1,INDEX('Lease Cycles'!$GC$13:$GI$13,1,CT95)+1))+(INDEX(c_INSy,1,CT$7)-INDEX(c_INSy,1,INDEX('Lease Cycles'!$GC$13:$GI$13,1,CT95)+1)))/12)</f>
        <v>0</v>
      </c>
      <c r="CU106" s="28">
        <f>IF(CU105=0,0,CU105*MAX(0,(INDEX(c_CAMy,1,CU$7)-INDEX(c_CAMy,1,INDEX('Lease Cycles'!$GC$13:$GI$13,1,CU95)+1))*(1+'Lease Cycles'!$AK$13)+(INDEX(c_TAXy,1,CU$7)-INDEX(c_TAXy,1,INDEX('Lease Cycles'!$GC$13:$GI$13,1,CU95)+1))+(INDEX(c_INSy,1,CU$7)-INDEX(c_INSy,1,INDEX('Lease Cycles'!$GC$13:$GI$13,1,CU95)+1)))/12)</f>
        <v>0</v>
      </c>
      <c r="CV106" s="28">
        <f>IF(CV105=0,0,CV105*MAX(0,(INDEX(c_CAMy,1,CV$7)-INDEX(c_CAMy,1,INDEX('Lease Cycles'!$GC$13:$GI$13,1,CV95)+1))*(1+'Lease Cycles'!$AK$13)+(INDEX(c_TAXy,1,CV$7)-INDEX(c_TAXy,1,INDEX('Lease Cycles'!$GC$13:$GI$13,1,CV95)+1))+(INDEX(c_INSy,1,CV$7)-INDEX(c_INSy,1,INDEX('Lease Cycles'!$GC$13:$GI$13,1,CV95)+1)))/12)</f>
        <v>0</v>
      </c>
      <c r="CW106" s="28">
        <f>IF(CW105=0,0,CW105*MAX(0,(INDEX(c_CAMy,1,CW$7)-INDEX(c_CAMy,1,INDEX('Lease Cycles'!$GC$13:$GI$13,1,CW95)+1))*(1+'Lease Cycles'!$AK$13)+(INDEX(c_TAXy,1,CW$7)-INDEX(c_TAXy,1,INDEX('Lease Cycles'!$GC$13:$GI$13,1,CW95)+1))+(INDEX(c_INSy,1,CW$7)-INDEX(c_INSy,1,INDEX('Lease Cycles'!$GC$13:$GI$13,1,CW95)+1)))/12)</f>
        <v>0</v>
      </c>
      <c r="CX106" s="28">
        <f>IF(CX105=0,0,CX105*MAX(0,(INDEX(c_CAMy,1,CX$7)-INDEX(c_CAMy,1,INDEX('Lease Cycles'!$GC$13:$GI$13,1,CX95)+1))*(1+'Lease Cycles'!$AK$13)+(INDEX(c_TAXy,1,CX$7)-INDEX(c_TAXy,1,INDEX('Lease Cycles'!$GC$13:$GI$13,1,CX95)+1))+(INDEX(c_INSy,1,CX$7)-INDEX(c_INSy,1,INDEX('Lease Cycles'!$GC$13:$GI$13,1,CX95)+1)))/12)</f>
        <v>0</v>
      </c>
      <c r="CY106" s="28">
        <f>IF(CY105=0,0,CY105*MAX(0,(INDEX(c_CAMy,1,CY$7)-INDEX(c_CAMy,1,INDEX('Lease Cycles'!$GC$13:$GI$13,1,CY95)+1))*(1+'Lease Cycles'!$AK$13)+(INDEX(c_TAXy,1,CY$7)-INDEX(c_TAXy,1,INDEX('Lease Cycles'!$GC$13:$GI$13,1,CY95)+1))+(INDEX(c_INSy,1,CY$7)-INDEX(c_INSy,1,INDEX('Lease Cycles'!$GC$13:$GI$13,1,CY95)+1)))/12)</f>
        <v>0</v>
      </c>
      <c r="CZ106" s="28">
        <f>IF(CZ105=0,0,CZ105*MAX(0,(INDEX(c_CAMy,1,CZ$7)-INDEX(c_CAMy,1,INDEX('Lease Cycles'!$GC$13:$GI$13,1,CZ95)+1))*(1+'Lease Cycles'!$AK$13)+(INDEX(c_TAXy,1,CZ$7)-INDEX(c_TAXy,1,INDEX('Lease Cycles'!$GC$13:$GI$13,1,CZ95)+1))+(INDEX(c_INSy,1,CZ$7)-INDEX(c_INSy,1,INDEX('Lease Cycles'!$GC$13:$GI$13,1,CZ95)+1)))/12)</f>
        <v>0</v>
      </c>
      <c r="DA106" s="28">
        <f>IF(DA105=0,0,DA105*MAX(0,(INDEX(c_CAMy,1,DA$7)-INDEX(c_CAMy,1,INDEX('Lease Cycles'!$GC$13:$GI$13,1,DA95)+1))*(1+'Lease Cycles'!$AK$13)+(INDEX(c_TAXy,1,DA$7)-INDEX(c_TAXy,1,INDEX('Lease Cycles'!$GC$13:$GI$13,1,DA95)+1))+(INDEX(c_INSy,1,DA$7)-INDEX(c_INSy,1,INDEX('Lease Cycles'!$GC$13:$GI$13,1,DA95)+1)))/12)</f>
        <v>0</v>
      </c>
      <c r="DB106" s="28">
        <f>IF(DB105=0,0,DB105*MAX(0,(INDEX(c_CAMy,1,DB$7)-INDEX(c_CAMy,1,INDEX('Lease Cycles'!$GC$13:$GI$13,1,DB95)+1))*(1+'Lease Cycles'!$AK$13)+(INDEX(c_TAXy,1,DB$7)-INDEX(c_TAXy,1,INDEX('Lease Cycles'!$GC$13:$GI$13,1,DB95)+1))+(INDEX(c_INSy,1,DB$7)-INDEX(c_INSy,1,INDEX('Lease Cycles'!$GC$13:$GI$13,1,DB95)+1)))/12)</f>
        <v>0</v>
      </c>
      <c r="DC106" s="28">
        <f>IF(DC105=0,0,DC105*MAX(0,(INDEX(c_CAMy,1,DC$7)-INDEX(c_CAMy,1,INDEX('Lease Cycles'!$GC$13:$GI$13,1,DC95)+1))*(1+'Lease Cycles'!$AK$13)+(INDEX(c_TAXy,1,DC$7)-INDEX(c_TAXy,1,INDEX('Lease Cycles'!$GC$13:$GI$13,1,DC95)+1))+(INDEX(c_INSy,1,DC$7)-INDEX(c_INSy,1,INDEX('Lease Cycles'!$GC$13:$GI$13,1,DC95)+1)))/12)</f>
        <v>0</v>
      </c>
      <c r="DD106" s="28">
        <f>IF(DD105=0,0,DD105*MAX(0,(INDEX(c_CAMy,1,DD$7)-INDEX(c_CAMy,1,INDEX('Lease Cycles'!$GC$13:$GI$13,1,DD95)+1))*(1+'Lease Cycles'!$AK$13)+(INDEX(c_TAXy,1,DD$7)-INDEX(c_TAXy,1,INDEX('Lease Cycles'!$GC$13:$GI$13,1,DD95)+1))+(INDEX(c_INSy,1,DD$7)-INDEX(c_INSy,1,INDEX('Lease Cycles'!$GC$13:$GI$13,1,DD95)+1)))/12)</f>
        <v>0</v>
      </c>
      <c r="DE106" s="28">
        <f>IF(DE105=0,0,DE105*MAX(0,(INDEX(c_CAMy,1,DE$7)-INDEX(c_CAMy,1,INDEX('Lease Cycles'!$GC$13:$GI$13,1,DE95)+1))*(1+'Lease Cycles'!$AK$13)+(INDEX(c_TAXy,1,DE$7)-INDEX(c_TAXy,1,INDEX('Lease Cycles'!$GC$13:$GI$13,1,DE95)+1))+(INDEX(c_INSy,1,DE$7)-INDEX(c_INSy,1,INDEX('Lease Cycles'!$GC$13:$GI$13,1,DE95)+1)))/12)</f>
        <v>0</v>
      </c>
      <c r="DF106" s="28">
        <f>IF(DF105=0,0,DF105*MAX(0,(INDEX(c_CAMy,1,DF$7)-INDEX(c_CAMy,1,INDEX('Lease Cycles'!$GC$13:$GI$13,1,DF95)+1))*(1+'Lease Cycles'!$AK$13)+(INDEX(c_TAXy,1,DF$7)-INDEX(c_TAXy,1,INDEX('Lease Cycles'!$GC$13:$GI$13,1,DF95)+1))+(INDEX(c_INSy,1,DF$7)-INDEX(c_INSy,1,INDEX('Lease Cycles'!$GC$13:$GI$13,1,DF95)+1)))/12)</f>
        <v>0</v>
      </c>
      <c r="DG106" s="28">
        <f>IF(DG105=0,0,DG105*MAX(0,(INDEX(c_CAMy,1,DG$7)-INDEX(c_CAMy,1,INDEX('Lease Cycles'!$GC$13:$GI$13,1,DG95)+1))*(1+'Lease Cycles'!$AK$13)+(INDEX(c_TAXy,1,DG$7)-INDEX(c_TAXy,1,INDEX('Lease Cycles'!$GC$13:$GI$13,1,DG95)+1))+(INDEX(c_INSy,1,DG$7)-INDEX(c_INSy,1,INDEX('Lease Cycles'!$GC$13:$GI$13,1,DG95)+1)))/12)</f>
        <v>0</v>
      </c>
      <c r="DH106" s="28">
        <f>IF(DH105=0,0,DH105*MAX(0,(INDEX(c_CAMy,1,DH$7)-INDEX(c_CAMy,1,INDEX('Lease Cycles'!$GC$13:$GI$13,1,DH95)+1))*(1+'Lease Cycles'!$AK$13)+(INDEX(c_TAXy,1,DH$7)-INDEX(c_TAXy,1,INDEX('Lease Cycles'!$GC$13:$GI$13,1,DH95)+1))+(INDEX(c_INSy,1,DH$7)-INDEX(c_INSy,1,INDEX('Lease Cycles'!$GC$13:$GI$13,1,DH95)+1)))/12)</f>
        <v>0</v>
      </c>
      <c r="DI106" s="28">
        <f>IF(DI105=0,0,DI105*MAX(0,(INDEX(c_CAMy,1,DI$7)-INDEX(c_CAMy,1,INDEX('Lease Cycles'!$GC$13:$GI$13,1,DI95)+1))*(1+'Lease Cycles'!$AK$13)+(INDEX(c_TAXy,1,DI$7)-INDEX(c_TAXy,1,INDEX('Lease Cycles'!$GC$13:$GI$13,1,DI95)+1))+(INDEX(c_INSy,1,DI$7)-INDEX(c_INSy,1,INDEX('Lease Cycles'!$GC$13:$GI$13,1,DI95)+1)))/12)</f>
        <v>0</v>
      </c>
      <c r="DJ106" s="28">
        <f>IF(DJ105=0,0,DJ105*MAX(0,(INDEX(c_CAMy,1,DJ$7)-INDEX(c_CAMy,1,INDEX('Lease Cycles'!$GC$13:$GI$13,1,DJ95)+1))*(1+'Lease Cycles'!$AK$13)+(INDEX(c_TAXy,1,DJ$7)-INDEX(c_TAXy,1,INDEX('Lease Cycles'!$GC$13:$GI$13,1,DJ95)+1))+(INDEX(c_INSy,1,DJ$7)-INDEX(c_INSy,1,INDEX('Lease Cycles'!$GC$13:$GI$13,1,DJ95)+1)))/12)</f>
        <v>0</v>
      </c>
      <c r="DK106" s="28">
        <f>IF(DK105=0,0,DK105*MAX(0,(INDEX(c_CAMy,1,DK$7)-INDEX(c_CAMy,1,INDEX('Lease Cycles'!$GC$13:$GI$13,1,DK95)+1))*(1+'Lease Cycles'!$AK$13)+(INDEX(c_TAXy,1,DK$7)-INDEX(c_TAXy,1,INDEX('Lease Cycles'!$GC$13:$GI$13,1,DK95)+1))+(INDEX(c_INSy,1,DK$7)-INDEX(c_INSy,1,INDEX('Lease Cycles'!$GC$13:$GI$13,1,DK95)+1)))/12)</f>
        <v>0</v>
      </c>
      <c r="DL106" s="28">
        <f>IF(DL105=0,0,DL105*MAX(0,(INDEX(c_CAMy,1,DL$7)-INDEX(c_CAMy,1,INDEX('Lease Cycles'!$GC$13:$GI$13,1,DL95)+1))*(1+'Lease Cycles'!$AK$13)+(INDEX(c_TAXy,1,DL$7)-INDEX(c_TAXy,1,INDEX('Lease Cycles'!$GC$13:$GI$13,1,DL95)+1))+(INDEX(c_INSy,1,DL$7)-INDEX(c_INSy,1,INDEX('Lease Cycles'!$GC$13:$GI$13,1,DL95)+1)))/12)</f>
        <v>0</v>
      </c>
      <c r="DM106" s="28">
        <f>IF(DM105=0,0,DM105*MAX(0,(INDEX(c_CAMy,1,DM$7)-INDEX(c_CAMy,1,INDEX('Lease Cycles'!$GC$13:$GI$13,1,DM95)+1))*(1+'Lease Cycles'!$AK$13)+(INDEX(c_TAXy,1,DM$7)-INDEX(c_TAXy,1,INDEX('Lease Cycles'!$GC$13:$GI$13,1,DM95)+1))+(INDEX(c_INSy,1,DM$7)-INDEX(c_INSy,1,INDEX('Lease Cycles'!$GC$13:$GI$13,1,DM95)+1)))/12)</f>
        <v>0</v>
      </c>
      <c r="DN106" s="28">
        <f>IF(DN105=0,0,DN105*MAX(0,(INDEX(c_CAMy,1,DN$7)-INDEX(c_CAMy,1,INDEX('Lease Cycles'!$GC$13:$GI$13,1,DN95)+1))*(1+'Lease Cycles'!$AK$13)+(INDEX(c_TAXy,1,DN$7)-INDEX(c_TAXy,1,INDEX('Lease Cycles'!$GC$13:$GI$13,1,DN95)+1))+(INDEX(c_INSy,1,DN$7)-INDEX(c_INSy,1,INDEX('Lease Cycles'!$GC$13:$GI$13,1,DN95)+1)))/12)</f>
        <v>0</v>
      </c>
      <c r="DO106" s="28">
        <f>IF(DO105=0,0,DO105*MAX(0,(INDEX(c_CAMy,1,DO$7)-INDEX(c_CAMy,1,INDEX('Lease Cycles'!$GC$13:$GI$13,1,DO95)+1))*(1+'Lease Cycles'!$AK$13)+(INDEX(c_TAXy,1,DO$7)-INDEX(c_TAXy,1,INDEX('Lease Cycles'!$GC$13:$GI$13,1,DO95)+1))+(INDEX(c_INSy,1,DO$7)-INDEX(c_INSy,1,INDEX('Lease Cycles'!$GC$13:$GI$13,1,DO95)+1)))/12)</f>
        <v>0</v>
      </c>
      <c r="DP106" s="28">
        <f>IF(DP105=0,0,DP105*MAX(0,(INDEX(c_CAMy,1,DP$7)-INDEX(c_CAMy,1,INDEX('Lease Cycles'!$GC$13:$GI$13,1,DP95)+1))*(1+'Lease Cycles'!$AK$13)+(INDEX(c_TAXy,1,DP$7)-INDEX(c_TAXy,1,INDEX('Lease Cycles'!$GC$13:$GI$13,1,DP95)+1))+(INDEX(c_INSy,1,DP$7)-INDEX(c_INSy,1,INDEX('Lease Cycles'!$GC$13:$GI$13,1,DP95)+1)))/12)</f>
        <v>0</v>
      </c>
      <c r="DQ106" s="28">
        <f>IF(DQ105=0,0,DQ105*MAX(0,(INDEX(c_CAMy,1,DQ$7)-INDEX(c_CAMy,1,INDEX('Lease Cycles'!$GC$13:$GI$13,1,DQ95)+1))*(1+'Lease Cycles'!$AK$13)+(INDEX(c_TAXy,1,DQ$7)-INDEX(c_TAXy,1,INDEX('Lease Cycles'!$GC$13:$GI$13,1,DQ95)+1))+(INDEX(c_INSy,1,DQ$7)-INDEX(c_INSy,1,INDEX('Lease Cycles'!$GC$13:$GI$13,1,DQ95)+1)))/12)</f>
        <v>0</v>
      </c>
      <c r="DR106" s="28">
        <f>IF(DR105=0,0,DR105*MAX(0,(INDEX(c_CAMy,1,DR$7)-INDEX(c_CAMy,1,INDEX('Lease Cycles'!$GC$13:$GI$13,1,DR95)+1))*(1+'Lease Cycles'!$AK$13)+(INDEX(c_TAXy,1,DR$7)-INDEX(c_TAXy,1,INDEX('Lease Cycles'!$GC$13:$GI$13,1,DR95)+1))+(INDEX(c_INSy,1,DR$7)-INDEX(c_INSy,1,INDEX('Lease Cycles'!$GC$13:$GI$13,1,DR95)+1)))/12)</f>
        <v>0</v>
      </c>
      <c r="DS106" s="28">
        <f>IF(DS105=0,0,DS105*MAX(0,(INDEX(c_CAMy,1,DS$7)-INDEX(c_CAMy,1,INDEX('Lease Cycles'!$GC$13:$GI$13,1,DS95)+1))*(1+'Lease Cycles'!$AK$13)+(INDEX(c_TAXy,1,DS$7)-INDEX(c_TAXy,1,INDEX('Lease Cycles'!$GC$13:$GI$13,1,DS95)+1))+(INDEX(c_INSy,1,DS$7)-INDEX(c_INSy,1,INDEX('Lease Cycles'!$GC$13:$GI$13,1,DS95)+1)))/12)</f>
        <v>0</v>
      </c>
      <c r="DT106" s="28">
        <f>IF(DT105=0,0,DT105*MAX(0,(INDEX(c_CAMy,1,DT$7)-INDEX(c_CAMy,1,INDEX('Lease Cycles'!$GC$13:$GI$13,1,DT95)+1))*(1+'Lease Cycles'!$AK$13)+(INDEX(c_TAXy,1,DT$7)-INDEX(c_TAXy,1,INDEX('Lease Cycles'!$GC$13:$GI$13,1,DT95)+1))+(INDEX(c_INSy,1,DT$7)-INDEX(c_INSy,1,INDEX('Lease Cycles'!$GC$13:$GI$13,1,DT95)+1)))/12)</f>
        <v>0</v>
      </c>
      <c r="DU106" s="28">
        <f>IF(DU105=0,0,DU105*MAX(0,(INDEX(c_CAMy,1,DU$7)-INDEX(c_CAMy,1,INDEX('Lease Cycles'!$GC$13:$GI$13,1,DU95)+1))*(1+'Lease Cycles'!$AK$13)+(INDEX(c_TAXy,1,DU$7)-INDEX(c_TAXy,1,INDEX('Lease Cycles'!$GC$13:$GI$13,1,DU95)+1))+(INDEX(c_INSy,1,DU$7)-INDEX(c_INSy,1,INDEX('Lease Cycles'!$GC$13:$GI$13,1,DU95)+1)))/12)</f>
        <v>0</v>
      </c>
      <c r="DV106" s="28">
        <f>IF(DV105=0,0,DV105*MAX(0,(INDEX(c_CAMy,1,DV$7)-INDEX(c_CAMy,1,INDEX('Lease Cycles'!$GC$13:$GI$13,1,DV95)+1))*(1+'Lease Cycles'!$AK$13)+(INDEX(c_TAXy,1,DV$7)-INDEX(c_TAXy,1,INDEX('Lease Cycles'!$GC$13:$GI$13,1,DV95)+1))+(INDEX(c_INSy,1,DV$7)-INDEX(c_INSy,1,INDEX('Lease Cycles'!$GC$13:$GI$13,1,DV95)+1)))/12)</f>
        <v>0</v>
      </c>
      <c r="DW106" s="28">
        <f>IF(DW105=0,0,DW105*MAX(0,(INDEX(c_CAMy,1,DW$7)-INDEX(c_CAMy,1,INDEX('Lease Cycles'!$GC$13:$GI$13,1,DW95)+1))*(1+'Lease Cycles'!$AK$13)+(INDEX(c_TAXy,1,DW$7)-INDEX(c_TAXy,1,INDEX('Lease Cycles'!$GC$13:$GI$13,1,DW95)+1))+(INDEX(c_INSy,1,DW$7)-INDEX(c_INSy,1,INDEX('Lease Cycles'!$GC$13:$GI$13,1,DW95)+1)))/12)</f>
        <v>0</v>
      </c>
      <c r="DX106" s="28">
        <f>IF(DX105=0,0,DX105*MAX(0,(INDEX(c_CAMy,1,DX$7)-INDEX(c_CAMy,1,INDEX('Lease Cycles'!$GC$13:$GI$13,1,DX95)+1))*(1+'Lease Cycles'!$AK$13)+(INDEX(c_TAXy,1,DX$7)-INDEX(c_TAXy,1,INDEX('Lease Cycles'!$GC$13:$GI$13,1,DX95)+1))+(INDEX(c_INSy,1,DX$7)-INDEX(c_INSy,1,INDEX('Lease Cycles'!$GC$13:$GI$13,1,DX95)+1)))/12)</f>
        <v>0</v>
      </c>
      <c r="DY106" s="28">
        <f>IF(DY105=0,0,DY105*MAX(0,(INDEX(c_CAMy,1,DY$7)-INDEX(c_CAMy,1,INDEX('Lease Cycles'!$GC$13:$GI$13,1,DY95)+1))*(1+'Lease Cycles'!$AK$13)+(INDEX(c_TAXy,1,DY$7)-INDEX(c_TAXy,1,INDEX('Lease Cycles'!$GC$13:$GI$13,1,DY95)+1))+(INDEX(c_INSy,1,DY$7)-INDEX(c_INSy,1,INDEX('Lease Cycles'!$GC$13:$GI$13,1,DY95)+1)))/12)</f>
        <v>0</v>
      </c>
      <c r="DZ106" s="28">
        <f>IF(DZ105=0,0,DZ105*MAX(0,(INDEX(c_CAMy,1,DZ$7)-INDEX(c_CAMy,1,INDEX('Lease Cycles'!$GC$13:$GI$13,1,DZ95)+1))*(1+'Lease Cycles'!$AK$13)+(INDEX(c_TAXy,1,DZ$7)-INDEX(c_TAXy,1,INDEX('Lease Cycles'!$GC$13:$GI$13,1,DZ95)+1))+(INDEX(c_INSy,1,DZ$7)-INDEX(c_INSy,1,INDEX('Lease Cycles'!$GC$13:$GI$13,1,DZ95)+1)))/12)</f>
        <v>0</v>
      </c>
      <c r="EA106" s="28">
        <f>IF(EA105=0,0,EA105*MAX(0,(INDEX(c_CAMy,1,EA$7)-INDEX(c_CAMy,1,INDEX('Lease Cycles'!$GC$13:$GI$13,1,EA95)+1))*(1+'Lease Cycles'!$AK$13)+(INDEX(c_TAXy,1,EA$7)-INDEX(c_TAXy,1,INDEX('Lease Cycles'!$GC$13:$GI$13,1,EA95)+1))+(INDEX(c_INSy,1,EA$7)-INDEX(c_INSy,1,INDEX('Lease Cycles'!$GC$13:$GI$13,1,EA95)+1)))/12)</f>
        <v>0</v>
      </c>
      <c r="EB106" s="28">
        <f>IF(EB105=0,0,EB105*MAX(0,(INDEX(c_CAMy,1,EB$7)-INDEX(c_CAMy,1,INDEX('Lease Cycles'!$GC$13:$GI$13,1,EB95)+1))*(1+'Lease Cycles'!$AK$13)+(INDEX(c_TAXy,1,EB$7)-INDEX(c_TAXy,1,INDEX('Lease Cycles'!$GC$13:$GI$13,1,EB95)+1))+(INDEX(c_INSy,1,EB$7)-INDEX(c_INSy,1,INDEX('Lease Cycles'!$GC$13:$GI$13,1,EB95)+1)))/12)</f>
        <v>0</v>
      </c>
      <c r="EC106" s="28">
        <f>IF(EC105=0,0,EC105*MAX(0,(INDEX(c_CAMy,1,EC$7)-INDEX(c_CAMy,1,INDEX('Lease Cycles'!$GC$13:$GI$13,1,EC95)+1))*(1+'Lease Cycles'!$AK$13)+(INDEX(c_TAXy,1,EC$7)-INDEX(c_TAXy,1,INDEX('Lease Cycles'!$GC$13:$GI$13,1,EC95)+1))+(INDEX(c_INSy,1,EC$7)-INDEX(c_INSy,1,INDEX('Lease Cycles'!$GC$13:$GI$13,1,EC95)+1)))/12)</f>
        <v>0</v>
      </c>
      <c r="ED106" s="28">
        <f>IF(ED105=0,0,ED105*MAX(0,(INDEX(c_CAMy,1,ED$7)-INDEX(c_CAMy,1,INDEX('Lease Cycles'!$GC$13:$GI$13,1,ED95)+1))*(1+'Lease Cycles'!$AK$13)+(INDEX(c_TAXy,1,ED$7)-INDEX(c_TAXy,1,INDEX('Lease Cycles'!$GC$13:$GI$13,1,ED95)+1))+(INDEX(c_INSy,1,ED$7)-INDEX(c_INSy,1,INDEX('Lease Cycles'!$GC$13:$GI$13,1,ED95)+1)))/12)</f>
        <v>0</v>
      </c>
      <c r="EE106" s="28">
        <f>IF(EE105=0,0,EE105*MAX(0,(INDEX(c_CAMy,1,EE$7)-INDEX(c_CAMy,1,INDEX('Lease Cycles'!$GC$13:$GI$13,1,EE95)+1))*(1+'Lease Cycles'!$AK$13)+(INDEX(c_TAXy,1,EE$7)-INDEX(c_TAXy,1,INDEX('Lease Cycles'!$GC$13:$GI$13,1,EE95)+1))+(INDEX(c_INSy,1,EE$7)-INDEX(c_INSy,1,INDEX('Lease Cycles'!$GC$13:$GI$13,1,EE95)+1)))/12)</f>
        <v>0</v>
      </c>
      <c r="EF106" s="28">
        <f>IF(EF105=0,0,EF105*MAX(0,(INDEX(c_CAMy,1,EF$7)-INDEX(c_CAMy,1,INDEX('Lease Cycles'!$GC$13:$GI$13,1,EF95)+1))*(1+'Lease Cycles'!$AK$13)+(INDEX(c_TAXy,1,EF$7)-INDEX(c_TAXy,1,INDEX('Lease Cycles'!$GC$13:$GI$13,1,EF95)+1))+(INDEX(c_INSy,1,EF$7)-INDEX(c_INSy,1,INDEX('Lease Cycles'!$GC$13:$GI$13,1,EF95)+1)))/12)</f>
        <v>0</v>
      </c>
      <c r="EG106" s="28">
        <f>IF(EG105=0,0,EG105*MAX(0,(INDEX(c_CAMy,1,EG$7)-INDEX(c_CAMy,1,INDEX('Lease Cycles'!$GC$13:$GI$13,1,EG95)+1))*(1+'Lease Cycles'!$AK$13)+(INDEX(c_TAXy,1,EG$7)-INDEX(c_TAXy,1,INDEX('Lease Cycles'!$GC$13:$GI$13,1,EG95)+1))+(INDEX(c_INSy,1,EG$7)-INDEX(c_INSy,1,INDEX('Lease Cycles'!$GC$13:$GI$13,1,EG95)+1)))/12)</f>
        <v>0</v>
      </c>
      <c r="EH106" s="28">
        <f>IF(EH105=0,0,EH105*MAX(0,(INDEX(c_CAMy,1,EH$7)-INDEX(c_CAMy,1,INDEX('Lease Cycles'!$GC$13:$GI$13,1,EH95)+1))*(1+'Lease Cycles'!$AK$13)+(INDEX(c_TAXy,1,EH$7)-INDEX(c_TAXy,1,INDEX('Lease Cycles'!$GC$13:$GI$13,1,EH95)+1))+(INDEX(c_INSy,1,EH$7)-INDEX(c_INSy,1,INDEX('Lease Cycles'!$GC$13:$GI$13,1,EH95)+1)))/12)</f>
        <v>0</v>
      </c>
      <c r="EI106" s="28">
        <f>IF(EI105=0,0,EI105*MAX(0,(INDEX(c_CAMy,1,EI$7)-INDEX(c_CAMy,1,INDEX('Lease Cycles'!$GC$13:$GI$13,1,EI95)+1))*(1+'Lease Cycles'!$AK$13)+(INDEX(c_TAXy,1,EI$7)-INDEX(c_TAXy,1,INDEX('Lease Cycles'!$GC$13:$GI$13,1,EI95)+1))+(INDEX(c_INSy,1,EI$7)-INDEX(c_INSy,1,INDEX('Lease Cycles'!$GC$13:$GI$13,1,EI95)+1)))/12)</f>
        <v>0</v>
      </c>
      <c r="EJ106" s="28">
        <f>IF(EJ105=0,0,EJ105*MAX(0,(INDEX(c_CAMy,1,EJ$7)-INDEX(c_CAMy,1,INDEX('Lease Cycles'!$GC$13:$GI$13,1,EJ95)+1))*(1+'Lease Cycles'!$AK$13)+(INDEX(c_TAXy,1,EJ$7)-INDEX(c_TAXy,1,INDEX('Lease Cycles'!$GC$13:$GI$13,1,EJ95)+1))+(INDEX(c_INSy,1,EJ$7)-INDEX(c_INSy,1,INDEX('Lease Cycles'!$GC$13:$GI$13,1,EJ95)+1)))/12)</f>
        <v>0</v>
      </c>
      <c r="EK106" s="28">
        <f>IF(EK105=0,0,EK105*MAX(0,(INDEX(c_CAMy,1,EK$7)-INDEX(c_CAMy,1,INDEX('Lease Cycles'!$GC$13:$GI$13,1,EK95)+1))*(1+'Lease Cycles'!$AK$13)+(INDEX(c_TAXy,1,EK$7)-INDEX(c_TAXy,1,INDEX('Lease Cycles'!$GC$13:$GI$13,1,EK95)+1))+(INDEX(c_INSy,1,EK$7)-INDEX(c_INSy,1,INDEX('Lease Cycles'!$GC$13:$GI$13,1,EK95)+1)))/12)</f>
        <v>0</v>
      </c>
      <c r="EL106" s="28">
        <f>IF(EL105=0,0,EL105*MAX(0,(INDEX(c_CAMy,1,EL$7)-INDEX(c_CAMy,1,INDEX('Lease Cycles'!$GC$13:$GI$13,1,EL95)+1))*(1+'Lease Cycles'!$AK$13)+(INDEX(c_TAXy,1,EL$7)-INDEX(c_TAXy,1,INDEX('Lease Cycles'!$GC$13:$GI$13,1,EL95)+1))+(INDEX(c_INSy,1,EL$7)-INDEX(c_INSy,1,INDEX('Lease Cycles'!$GC$13:$GI$13,1,EL95)+1)))/12)</f>
        <v>0</v>
      </c>
      <c r="EM106" s="28">
        <f>IF(EM105=0,0,EM105*MAX(0,(INDEX(c_CAMy,1,EM$7)-INDEX(c_CAMy,1,INDEX('Lease Cycles'!$GC$13:$GI$13,1,EM95)+1))*(1+'Lease Cycles'!$AK$13)+(INDEX(c_TAXy,1,EM$7)-INDEX(c_TAXy,1,INDEX('Lease Cycles'!$GC$13:$GI$13,1,EM95)+1))+(INDEX(c_INSy,1,EM$7)-INDEX(c_INSy,1,INDEX('Lease Cycles'!$GC$13:$GI$13,1,EM95)+1)))/12)</f>
        <v>0</v>
      </c>
      <c r="EN106" s="28">
        <f>IF(EN105=0,0,EN105*MAX(0,(INDEX(c_CAMy,1,EN$7)-INDEX(c_CAMy,1,INDEX('Lease Cycles'!$GC$13:$GI$13,1,EN95)+1))*(1+'Lease Cycles'!$AK$13)+(INDEX(c_TAXy,1,EN$7)-INDEX(c_TAXy,1,INDEX('Lease Cycles'!$GC$13:$GI$13,1,EN95)+1))+(INDEX(c_INSy,1,EN$7)-INDEX(c_INSy,1,INDEX('Lease Cycles'!$GC$13:$GI$13,1,EN95)+1)))/12)</f>
        <v>0</v>
      </c>
      <c r="EO106" s="28">
        <f>IF(EO105=0,0,EO105*MAX(0,(INDEX(c_CAMy,1,EO$7)-INDEX(c_CAMy,1,INDEX('Lease Cycles'!$GC$13:$GI$13,1,EO95)+1))*(1+'Lease Cycles'!$AK$13)+(INDEX(c_TAXy,1,EO$7)-INDEX(c_TAXy,1,INDEX('Lease Cycles'!$GC$13:$GI$13,1,EO95)+1))+(INDEX(c_INSy,1,EO$7)-INDEX(c_INSy,1,INDEX('Lease Cycles'!$GC$13:$GI$13,1,EO95)+1)))/12)</f>
        <v>0</v>
      </c>
      <c r="EP106" s="28">
        <f>IF(EP105=0,0,EP105*MAX(0,(INDEX(c_CAMy,1,EP$7)-INDEX(c_CAMy,1,INDEX('Lease Cycles'!$GC$13:$GI$13,1,EP95)+1))*(1+'Lease Cycles'!$AK$13)+(INDEX(c_TAXy,1,EP$7)-INDEX(c_TAXy,1,INDEX('Lease Cycles'!$GC$13:$GI$13,1,EP95)+1))+(INDEX(c_INSy,1,EP$7)-INDEX(c_INSy,1,INDEX('Lease Cycles'!$GC$13:$GI$13,1,EP95)+1)))/12)</f>
        <v>0</v>
      </c>
      <c r="EQ106" s="28">
        <f>IF(EQ105=0,0,EQ105*MAX(0,(INDEX(c_CAMy,1,EQ$7)-INDEX(c_CAMy,1,INDEX('Lease Cycles'!$GC$13:$GI$13,1,EQ95)+1))*(1+'Lease Cycles'!$AK$13)+(INDEX(c_TAXy,1,EQ$7)-INDEX(c_TAXy,1,INDEX('Lease Cycles'!$GC$13:$GI$13,1,EQ95)+1))+(INDEX(c_INSy,1,EQ$7)-INDEX(c_INSy,1,INDEX('Lease Cycles'!$GC$13:$GI$13,1,EQ95)+1)))/12)</f>
        <v>0</v>
      </c>
      <c r="ER106" s="28">
        <f>IF(ER105=0,0,ER105*MAX(0,(INDEX(c_CAMy,1,ER$7)-INDEX(c_CAMy,1,INDEX('Lease Cycles'!$GC$13:$GI$13,1,ER95)+1))*(1+'Lease Cycles'!$AK$13)+(INDEX(c_TAXy,1,ER$7)-INDEX(c_TAXy,1,INDEX('Lease Cycles'!$GC$13:$GI$13,1,ER95)+1))+(INDEX(c_INSy,1,ER$7)-INDEX(c_INSy,1,INDEX('Lease Cycles'!$GC$13:$GI$13,1,ER95)+1)))/12)</f>
        <v>0</v>
      </c>
      <c r="ES106" s="28">
        <f>IF(ES105=0,0,ES105*MAX(0,(INDEX(c_CAMy,1,ES$7)-INDEX(c_CAMy,1,INDEX('Lease Cycles'!$GC$13:$GI$13,1,ES95)+1))*(1+'Lease Cycles'!$AK$13)+(INDEX(c_TAXy,1,ES$7)-INDEX(c_TAXy,1,INDEX('Lease Cycles'!$GC$13:$GI$13,1,ES95)+1))+(INDEX(c_INSy,1,ES$7)-INDEX(c_INSy,1,INDEX('Lease Cycles'!$GC$13:$GI$13,1,ES95)+1)))/12)</f>
        <v>0</v>
      </c>
      <c r="ET106" s="28">
        <f>IF(ET105=0,0,ET105*MAX(0,(INDEX(c_CAMy,1,ET$7)-INDEX(c_CAMy,1,INDEX('Lease Cycles'!$GC$13:$GI$13,1,ET95)+1))*(1+'Lease Cycles'!$AK$13)+(INDEX(c_TAXy,1,ET$7)-INDEX(c_TAXy,1,INDEX('Lease Cycles'!$GC$13:$GI$13,1,ET95)+1))+(INDEX(c_INSy,1,ET$7)-INDEX(c_INSy,1,INDEX('Lease Cycles'!$GC$13:$GI$13,1,ET95)+1)))/12)</f>
        <v>0</v>
      </c>
    </row>
    <row r="107">
      <c r="A107" s="103">
        <v>6</v>
      </c>
      <c r="B107" s="23" t="str">
        <f>IF('Lease Cycles'!$B$13="","(empty slot)",'Lease Cycles'!$B$13)</f>
        <v>Sunfield Cleaners</v>
      </c>
      <c r="C107" s="23" t="s">
        <v>530</v>
      </c>
      <c r="D107" s="104" t="s">
        <v>531</v>
      </c>
      <c r="E107" s="25">
        <f>'Lease Cycles'!$AL$13</f>
        <v>0</v>
      </c>
      <c r="G107" s="28">
        <f>SUM(S107:AD107)</f>
        <v>0</v>
      </c>
      <c r="H107" s="28">
        <f>SUM(AE107:AP107)</f>
        <v>0</v>
      </c>
      <c r="I107" s="28">
        <f>SUM(AQ107:BB107)</f>
        <v>0</v>
      </c>
      <c r="J107" s="28">
        <f>SUM(BC107:BN107)</f>
        <v>13571.291823320877</v>
      </c>
      <c r="K107" s="28">
        <f>SUM(BO107:BZ107)</f>
        <v>0</v>
      </c>
      <c r="L107" s="28">
        <f>SUM(CA107:CL107)</f>
        <v>0</v>
      </c>
      <c r="M107" s="28">
        <f>SUM(CM107:CX107)</f>
        <v>0</v>
      </c>
      <c r="N107" s="28">
        <f>SUM(CY107:DJ107)</f>
        <v>0</v>
      </c>
      <c r="O107" s="28">
        <f>SUM(DK107:DV107)</f>
        <v>0</v>
      </c>
      <c r="P107" s="28">
        <f>SUM(DW107:EH107)</f>
        <v>0</v>
      </c>
      <c r="Q107" s="28">
        <f>SUM(EI107:ET107)</f>
        <v>0</v>
      </c>
      <c r="S107" s="28">
        <f>SUMIF('Lease Cycles'!$HL$13:$HR$13,S$6,'Lease Cycles'!$HS$13:$HY$13)</f>
        <v>0</v>
      </c>
      <c r="T107" s="28">
        <f>SUMIF('Lease Cycles'!$HL$13:$HR$13,T$6,'Lease Cycles'!$HS$13:$HY$13)</f>
        <v>0</v>
      </c>
      <c r="U107" s="28">
        <f>SUMIF('Lease Cycles'!$HL$13:$HR$13,U$6,'Lease Cycles'!$HS$13:$HY$13)</f>
        <v>0</v>
      </c>
      <c r="V107" s="28">
        <f>SUMIF('Lease Cycles'!$HL$13:$HR$13,V$6,'Lease Cycles'!$HS$13:$HY$13)</f>
        <v>0</v>
      </c>
      <c r="W107" s="28">
        <f>SUMIF('Lease Cycles'!$HL$13:$HR$13,W$6,'Lease Cycles'!$HS$13:$HY$13)</f>
        <v>0</v>
      </c>
      <c r="X107" s="28">
        <f>SUMIF('Lease Cycles'!$HL$13:$HR$13,X$6,'Lease Cycles'!$HS$13:$HY$13)</f>
        <v>0</v>
      </c>
      <c r="Y107" s="28">
        <f>SUMIF('Lease Cycles'!$HL$13:$HR$13,Y$6,'Lease Cycles'!$HS$13:$HY$13)</f>
        <v>0</v>
      </c>
      <c r="Z107" s="28">
        <f>SUMIF('Lease Cycles'!$HL$13:$HR$13,Z$6,'Lease Cycles'!$HS$13:$HY$13)</f>
        <v>0</v>
      </c>
      <c r="AA107" s="28">
        <f>SUMIF('Lease Cycles'!$HL$13:$HR$13,AA$6,'Lease Cycles'!$HS$13:$HY$13)</f>
        <v>0</v>
      </c>
      <c r="AB107" s="28">
        <f>SUMIF('Lease Cycles'!$HL$13:$HR$13,AB$6,'Lease Cycles'!$HS$13:$HY$13)</f>
        <v>0</v>
      </c>
      <c r="AC107" s="28">
        <f>SUMIF('Lease Cycles'!$HL$13:$HR$13,AC$6,'Lease Cycles'!$HS$13:$HY$13)</f>
        <v>0</v>
      </c>
      <c r="AD107" s="28">
        <f>SUMIF('Lease Cycles'!$HL$13:$HR$13,AD$6,'Lease Cycles'!$HS$13:$HY$13)</f>
        <v>0</v>
      </c>
      <c r="AE107" s="28">
        <f>SUMIF('Lease Cycles'!$HL$13:$HR$13,AE$6,'Lease Cycles'!$HS$13:$HY$13)</f>
        <v>0</v>
      </c>
      <c r="AF107" s="28">
        <f>SUMIF('Lease Cycles'!$HL$13:$HR$13,AF$6,'Lease Cycles'!$HS$13:$HY$13)</f>
        <v>0</v>
      </c>
      <c r="AG107" s="28">
        <f>SUMIF('Lease Cycles'!$HL$13:$HR$13,AG$6,'Lease Cycles'!$HS$13:$HY$13)</f>
        <v>0</v>
      </c>
      <c r="AH107" s="28">
        <f>SUMIF('Lease Cycles'!$HL$13:$HR$13,AH$6,'Lease Cycles'!$HS$13:$HY$13)</f>
        <v>0</v>
      </c>
      <c r="AI107" s="28">
        <f>SUMIF('Lease Cycles'!$HL$13:$HR$13,AI$6,'Lease Cycles'!$HS$13:$HY$13)</f>
        <v>0</v>
      </c>
      <c r="AJ107" s="28">
        <f>SUMIF('Lease Cycles'!$HL$13:$HR$13,AJ$6,'Lease Cycles'!$HS$13:$HY$13)</f>
        <v>0</v>
      </c>
      <c r="AK107" s="28">
        <f>SUMIF('Lease Cycles'!$HL$13:$HR$13,AK$6,'Lease Cycles'!$HS$13:$HY$13)</f>
        <v>0</v>
      </c>
      <c r="AL107" s="28">
        <f>SUMIF('Lease Cycles'!$HL$13:$HR$13,AL$6,'Lease Cycles'!$HS$13:$HY$13)</f>
        <v>0</v>
      </c>
      <c r="AM107" s="28">
        <f>SUMIF('Lease Cycles'!$HL$13:$HR$13,AM$6,'Lease Cycles'!$HS$13:$HY$13)</f>
        <v>0</v>
      </c>
      <c r="AN107" s="28">
        <f>SUMIF('Lease Cycles'!$HL$13:$HR$13,AN$6,'Lease Cycles'!$HS$13:$HY$13)</f>
        <v>0</v>
      </c>
      <c r="AO107" s="28">
        <f>SUMIF('Lease Cycles'!$HL$13:$HR$13,AO$6,'Lease Cycles'!$HS$13:$HY$13)</f>
        <v>0</v>
      </c>
      <c r="AP107" s="28">
        <f>SUMIF('Lease Cycles'!$HL$13:$HR$13,AP$6,'Lease Cycles'!$HS$13:$HY$13)</f>
        <v>0</v>
      </c>
      <c r="AQ107" s="28">
        <f>SUMIF('Lease Cycles'!$HL$13:$HR$13,AQ$6,'Lease Cycles'!$HS$13:$HY$13)</f>
        <v>0</v>
      </c>
      <c r="AR107" s="28">
        <f>SUMIF('Lease Cycles'!$HL$13:$HR$13,AR$6,'Lease Cycles'!$HS$13:$HY$13)</f>
        <v>0</v>
      </c>
      <c r="AS107" s="28">
        <f>SUMIF('Lease Cycles'!$HL$13:$HR$13,AS$6,'Lease Cycles'!$HS$13:$HY$13)</f>
        <v>0</v>
      </c>
      <c r="AT107" s="28">
        <f>SUMIF('Lease Cycles'!$HL$13:$HR$13,AT$6,'Lease Cycles'!$HS$13:$HY$13)</f>
        <v>0</v>
      </c>
      <c r="AU107" s="28">
        <f>SUMIF('Lease Cycles'!$HL$13:$HR$13,AU$6,'Lease Cycles'!$HS$13:$HY$13)</f>
        <v>0</v>
      </c>
      <c r="AV107" s="28">
        <f>SUMIF('Lease Cycles'!$HL$13:$HR$13,AV$6,'Lease Cycles'!$HS$13:$HY$13)</f>
        <v>0</v>
      </c>
      <c r="AW107" s="28">
        <f>SUMIF('Lease Cycles'!$HL$13:$HR$13,AW$6,'Lease Cycles'!$HS$13:$HY$13)</f>
        <v>0</v>
      </c>
      <c r="AX107" s="28">
        <f>SUMIF('Lease Cycles'!$HL$13:$HR$13,AX$6,'Lease Cycles'!$HS$13:$HY$13)</f>
        <v>0</v>
      </c>
      <c r="AY107" s="28">
        <f>SUMIF('Lease Cycles'!$HL$13:$HR$13,AY$6,'Lease Cycles'!$HS$13:$HY$13)</f>
        <v>0</v>
      </c>
      <c r="AZ107" s="28">
        <f>SUMIF('Lease Cycles'!$HL$13:$HR$13,AZ$6,'Lease Cycles'!$HS$13:$HY$13)</f>
        <v>0</v>
      </c>
      <c r="BA107" s="28">
        <f>SUMIF('Lease Cycles'!$HL$13:$HR$13,BA$6,'Lease Cycles'!$HS$13:$HY$13)</f>
        <v>0</v>
      </c>
      <c r="BB107" s="28">
        <f>SUMIF('Lease Cycles'!$HL$13:$HR$13,BB$6,'Lease Cycles'!$HS$13:$HY$13)</f>
        <v>0</v>
      </c>
      <c r="BC107" s="28">
        <f>SUMIF('Lease Cycles'!$HL$13:$HR$13,BC$6,'Lease Cycles'!$HS$13:$HY$13)</f>
        <v>0</v>
      </c>
      <c r="BD107" s="28">
        <f>SUMIF('Lease Cycles'!$HL$13:$HR$13,BD$6,'Lease Cycles'!$HS$13:$HY$13)</f>
        <v>0</v>
      </c>
      <c r="BE107" s="28">
        <f>SUMIF('Lease Cycles'!$HL$13:$HR$13,BE$6,'Lease Cycles'!$HS$13:$HY$13)</f>
        <v>0</v>
      </c>
      <c r="BF107" s="28">
        <f>SUMIF('Lease Cycles'!$HL$13:$HR$13,BF$6,'Lease Cycles'!$HS$13:$HY$13)</f>
        <v>0</v>
      </c>
      <c r="BG107" s="28">
        <f>SUMIF('Lease Cycles'!$HL$13:$HR$13,BG$6,'Lease Cycles'!$HS$13:$HY$13)</f>
        <v>0</v>
      </c>
      <c r="BH107" s="28">
        <f>SUMIF('Lease Cycles'!$HL$13:$HR$13,BH$6,'Lease Cycles'!$HS$13:$HY$13)</f>
        <v>0</v>
      </c>
      <c r="BI107" s="28">
        <f>SUMIF('Lease Cycles'!$HL$13:$HR$13,BI$6,'Lease Cycles'!$HS$13:$HY$13)</f>
        <v>0</v>
      </c>
      <c r="BJ107" s="28">
        <f>SUMIF('Lease Cycles'!$HL$13:$HR$13,BJ$6,'Lease Cycles'!$HS$13:$HY$13)</f>
        <v>0</v>
      </c>
      <c r="BK107" s="28">
        <f>SUMIF('Lease Cycles'!$HL$13:$HR$13,BK$6,'Lease Cycles'!$HS$13:$HY$13)</f>
        <v>0</v>
      </c>
      <c r="BL107" s="28">
        <f>SUMIF('Lease Cycles'!$HL$13:$HR$13,BL$6,'Lease Cycles'!$HS$13:$HY$13)</f>
        <v>13571.291823320877</v>
      </c>
      <c r="BM107" s="28">
        <f>SUMIF('Lease Cycles'!$HL$13:$HR$13,BM$6,'Lease Cycles'!$HS$13:$HY$13)</f>
        <v>0</v>
      </c>
      <c r="BN107" s="28">
        <f>SUMIF('Lease Cycles'!$HL$13:$HR$13,BN$6,'Lease Cycles'!$HS$13:$HY$13)</f>
        <v>0</v>
      </c>
      <c r="BO107" s="28">
        <f>SUMIF('Lease Cycles'!$HL$13:$HR$13,BO$6,'Lease Cycles'!$HS$13:$HY$13)</f>
        <v>0</v>
      </c>
      <c r="BP107" s="28">
        <f>SUMIF('Lease Cycles'!$HL$13:$HR$13,BP$6,'Lease Cycles'!$HS$13:$HY$13)</f>
        <v>0</v>
      </c>
      <c r="BQ107" s="28">
        <f>SUMIF('Lease Cycles'!$HL$13:$HR$13,BQ$6,'Lease Cycles'!$HS$13:$HY$13)</f>
        <v>0</v>
      </c>
      <c r="BR107" s="28">
        <f>SUMIF('Lease Cycles'!$HL$13:$HR$13,BR$6,'Lease Cycles'!$HS$13:$HY$13)</f>
        <v>0</v>
      </c>
      <c r="BS107" s="28">
        <f>SUMIF('Lease Cycles'!$HL$13:$HR$13,BS$6,'Lease Cycles'!$HS$13:$HY$13)</f>
        <v>0</v>
      </c>
      <c r="BT107" s="28">
        <f>SUMIF('Lease Cycles'!$HL$13:$HR$13,BT$6,'Lease Cycles'!$HS$13:$HY$13)</f>
        <v>0</v>
      </c>
      <c r="BU107" s="28">
        <f>SUMIF('Lease Cycles'!$HL$13:$HR$13,BU$6,'Lease Cycles'!$HS$13:$HY$13)</f>
        <v>0</v>
      </c>
      <c r="BV107" s="28">
        <f>SUMIF('Lease Cycles'!$HL$13:$HR$13,BV$6,'Lease Cycles'!$HS$13:$HY$13)</f>
        <v>0</v>
      </c>
      <c r="BW107" s="28">
        <f>SUMIF('Lease Cycles'!$HL$13:$HR$13,BW$6,'Lease Cycles'!$HS$13:$HY$13)</f>
        <v>0</v>
      </c>
      <c r="BX107" s="28">
        <f>SUMIF('Lease Cycles'!$HL$13:$HR$13,BX$6,'Lease Cycles'!$HS$13:$HY$13)</f>
        <v>0</v>
      </c>
      <c r="BY107" s="28">
        <f>SUMIF('Lease Cycles'!$HL$13:$HR$13,BY$6,'Lease Cycles'!$HS$13:$HY$13)</f>
        <v>0</v>
      </c>
      <c r="BZ107" s="28">
        <f>SUMIF('Lease Cycles'!$HL$13:$HR$13,BZ$6,'Lease Cycles'!$HS$13:$HY$13)</f>
        <v>0</v>
      </c>
      <c r="CA107" s="28">
        <f>SUMIF('Lease Cycles'!$HL$13:$HR$13,CA$6,'Lease Cycles'!$HS$13:$HY$13)</f>
        <v>0</v>
      </c>
      <c r="CB107" s="28">
        <f>SUMIF('Lease Cycles'!$HL$13:$HR$13,CB$6,'Lease Cycles'!$HS$13:$HY$13)</f>
        <v>0</v>
      </c>
      <c r="CC107" s="28">
        <f>SUMIF('Lease Cycles'!$HL$13:$HR$13,CC$6,'Lease Cycles'!$HS$13:$HY$13)</f>
        <v>0</v>
      </c>
      <c r="CD107" s="28">
        <f>SUMIF('Lease Cycles'!$HL$13:$HR$13,CD$6,'Lease Cycles'!$HS$13:$HY$13)</f>
        <v>0</v>
      </c>
      <c r="CE107" s="28">
        <f>SUMIF('Lease Cycles'!$HL$13:$HR$13,CE$6,'Lease Cycles'!$HS$13:$HY$13)</f>
        <v>0</v>
      </c>
      <c r="CF107" s="28">
        <f>SUMIF('Lease Cycles'!$HL$13:$HR$13,CF$6,'Lease Cycles'!$HS$13:$HY$13)</f>
        <v>0</v>
      </c>
      <c r="CG107" s="28">
        <f>SUMIF('Lease Cycles'!$HL$13:$HR$13,CG$6,'Lease Cycles'!$HS$13:$HY$13)</f>
        <v>0</v>
      </c>
      <c r="CH107" s="28">
        <f>SUMIF('Lease Cycles'!$HL$13:$HR$13,CH$6,'Lease Cycles'!$HS$13:$HY$13)</f>
        <v>0</v>
      </c>
      <c r="CI107" s="28">
        <f>SUMIF('Lease Cycles'!$HL$13:$HR$13,CI$6,'Lease Cycles'!$HS$13:$HY$13)</f>
        <v>0</v>
      </c>
      <c r="CJ107" s="28">
        <f>SUMIF('Lease Cycles'!$HL$13:$HR$13,CJ$6,'Lease Cycles'!$HS$13:$HY$13)</f>
        <v>0</v>
      </c>
      <c r="CK107" s="28">
        <f>SUMIF('Lease Cycles'!$HL$13:$HR$13,CK$6,'Lease Cycles'!$HS$13:$HY$13)</f>
        <v>0</v>
      </c>
      <c r="CL107" s="28">
        <f>SUMIF('Lease Cycles'!$HL$13:$HR$13,CL$6,'Lease Cycles'!$HS$13:$HY$13)</f>
        <v>0</v>
      </c>
      <c r="CM107" s="28">
        <f>SUMIF('Lease Cycles'!$HL$13:$HR$13,CM$6,'Lease Cycles'!$HS$13:$HY$13)</f>
        <v>0</v>
      </c>
      <c r="CN107" s="28">
        <f>SUMIF('Lease Cycles'!$HL$13:$HR$13,CN$6,'Lease Cycles'!$HS$13:$HY$13)</f>
        <v>0</v>
      </c>
      <c r="CO107" s="28">
        <f>SUMIF('Lease Cycles'!$HL$13:$HR$13,CO$6,'Lease Cycles'!$HS$13:$HY$13)</f>
        <v>0</v>
      </c>
      <c r="CP107" s="28">
        <f>SUMIF('Lease Cycles'!$HL$13:$HR$13,CP$6,'Lease Cycles'!$HS$13:$HY$13)</f>
        <v>0</v>
      </c>
      <c r="CQ107" s="28">
        <f>SUMIF('Lease Cycles'!$HL$13:$HR$13,CQ$6,'Lease Cycles'!$HS$13:$HY$13)</f>
        <v>0</v>
      </c>
      <c r="CR107" s="28">
        <f>SUMIF('Lease Cycles'!$HL$13:$HR$13,CR$6,'Lease Cycles'!$HS$13:$HY$13)</f>
        <v>0</v>
      </c>
      <c r="CS107" s="28">
        <f>SUMIF('Lease Cycles'!$HL$13:$HR$13,CS$6,'Lease Cycles'!$HS$13:$HY$13)</f>
        <v>0</v>
      </c>
      <c r="CT107" s="28">
        <f>SUMIF('Lease Cycles'!$HL$13:$HR$13,CT$6,'Lease Cycles'!$HS$13:$HY$13)</f>
        <v>0</v>
      </c>
      <c r="CU107" s="28">
        <f>SUMIF('Lease Cycles'!$HL$13:$HR$13,CU$6,'Lease Cycles'!$HS$13:$HY$13)</f>
        <v>0</v>
      </c>
      <c r="CV107" s="28">
        <f>SUMIF('Lease Cycles'!$HL$13:$HR$13,CV$6,'Lease Cycles'!$HS$13:$HY$13)</f>
        <v>0</v>
      </c>
      <c r="CW107" s="28">
        <f>SUMIF('Lease Cycles'!$HL$13:$HR$13,CW$6,'Lease Cycles'!$HS$13:$HY$13)</f>
        <v>0</v>
      </c>
      <c r="CX107" s="28">
        <f>SUMIF('Lease Cycles'!$HL$13:$HR$13,CX$6,'Lease Cycles'!$HS$13:$HY$13)</f>
        <v>0</v>
      </c>
      <c r="CY107" s="28">
        <f>SUMIF('Lease Cycles'!$HL$13:$HR$13,CY$6,'Lease Cycles'!$HS$13:$HY$13)</f>
        <v>0</v>
      </c>
      <c r="CZ107" s="28">
        <f>SUMIF('Lease Cycles'!$HL$13:$HR$13,CZ$6,'Lease Cycles'!$HS$13:$HY$13)</f>
        <v>0</v>
      </c>
      <c r="DA107" s="28">
        <f>SUMIF('Lease Cycles'!$HL$13:$HR$13,DA$6,'Lease Cycles'!$HS$13:$HY$13)</f>
        <v>0</v>
      </c>
      <c r="DB107" s="28">
        <f>SUMIF('Lease Cycles'!$HL$13:$HR$13,DB$6,'Lease Cycles'!$HS$13:$HY$13)</f>
        <v>0</v>
      </c>
      <c r="DC107" s="28">
        <f>SUMIF('Lease Cycles'!$HL$13:$HR$13,DC$6,'Lease Cycles'!$HS$13:$HY$13)</f>
        <v>0</v>
      </c>
      <c r="DD107" s="28">
        <f>SUMIF('Lease Cycles'!$HL$13:$HR$13,DD$6,'Lease Cycles'!$HS$13:$HY$13)</f>
        <v>0</v>
      </c>
      <c r="DE107" s="28">
        <f>SUMIF('Lease Cycles'!$HL$13:$HR$13,DE$6,'Lease Cycles'!$HS$13:$HY$13)</f>
        <v>0</v>
      </c>
      <c r="DF107" s="28">
        <f>SUMIF('Lease Cycles'!$HL$13:$HR$13,DF$6,'Lease Cycles'!$HS$13:$HY$13)</f>
        <v>0</v>
      </c>
      <c r="DG107" s="28">
        <f>SUMIF('Lease Cycles'!$HL$13:$HR$13,DG$6,'Lease Cycles'!$HS$13:$HY$13)</f>
        <v>0</v>
      </c>
      <c r="DH107" s="28">
        <f>SUMIF('Lease Cycles'!$HL$13:$HR$13,DH$6,'Lease Cycles'!$HS$13:$HY$13)</f>
        <v>0</v>
      </c>
      <c r="DI107" s="28">
        <f>SUMIF('Lease Cycles'!$HL$13:$HR$13,DI$6,'Lease Cycles'!$HS$13:$HY$13)</f>
        <v>0</v>
      </c>
      <c r="DJ107" s="28">
        <f>SUMIF('Lease Cycles'!$HL$13:$HR$13,DJ$6,'Lease Cycles'!$HS$13:$HY$13)</f>
        <v>0</v>
      </c>
      <c r="DK107" s="28">
        <f>SUMIF('Lease Cycles'!$HL$13:$HR$13,DK$6,'Lease Cycles'!$HS$13:$HY$13)</f>
        <v>0</v>
      </c>
      <c r="DL107" s="28">
        <f>SUMIF('Lease Cycles'!$HL$13:$HR$13,DL$6,'Lease Cycles'!$HS$13:$HY$13)</f>
        <v>0</v>
      </c>
      <c r="DM107" s="28">
        <f>SUMIF('Lease Cycles'!$HL$13:$HR$13,DM$6,'Lease Cycles'!$HS$13:$HY$13)</f>
        <v>0</v>
      </c>
      <c r="DN107" s="28">
        <f>SUMIF('Lease Cycles'!$HL$13:$HR$13,DN$6,'Lease Cycles'!$HS$13:$HY$13)</f>
        <v>0</v>
      </c>
      <c r="DO107" s="28">
        <f>SUMIF('Lease Cycles'!$HL$13:$HR$13,DO$6,'Lease Cycles'!$HS$13:$HY$13)</f>
        <v>0</v>
      </c>
      <c r="DP107" s="28">
        <f>SUMIF('Lease Cycles'!$HL$13:$HR$13,DP$6,'Lease Cycles'!$HS$13:$HY$13)</f>
        <v>0</v>
      </c>
      <c r="DQ107" s="28">
        <f>SUMIF('Lease Cycles'!$HL$13:$HR$13,DQ$6,'Lease Cycles'!$HS$13:$HY$13)</f>
        <v>0</v>
      </c>
      <c r="DR107" s="28">
        <f>SUMIF('Lease Cycles'!$HL$13:$HR$13,DR$6,'Lease Cycles'!$HS$13:$HY$13)</f>
        <v>0</v>
      </c>
      <c r="DS107" s="28">
        <f>SUMIF('Lease Cycles'!$HL$13:$HR$13,DS$6,'Lease Cycles'!$HS$13:$HY$13)</f>
        <v>0</v>
      </c>
      <c r="DT107" s="28">
        <f>SUMIF('Lease Cycles'!$HL$13:$HR$13,DT$6,'Lease Cycles'!$HS$13:$HY$13)</f>
        <v>0</v>
      </c>
      <c r="DU107" s="28">
        <f>SUMIF('Lease Cycles'!$HL$13:$HR$13,DU$6,'Lease Cycles'!$HS$13:$HY$13)</f>
        <v>0</v>
      </c>
      <c r="DV107" s="28">
        <f>SUMIF('Lease Cycles'!$HL$13:$HR$13,DV$6,'Lease Cycles'!$HS$13:$HY$13)</f>
        <v>0</v>
      </c>
      <c r="DW107" s="28">
        <f>SUMIF('Lease Cycles'!$HL$13:$HR$13,DW$6,'Lease Cycles'!$HS$13:$HY$13)</f>
        <v>0</v>
      </c>
      <c r="DX107" s="28">
        <f>SUMIF('Lease Cycles'!$HL$13:$HR$13,DX$6,'Lease Cycles'!$HS$13:$HY$13)</f>
        <v>0</v>
      </c>
      <c r="DY107" s="28">
        <f>SUMIF('Lease Cycles'!$HL$13:$HR$13,DY$6,'Lease Cycles'!$HS$13:$HY$13)</f>
        <v>0</v>
      </c>
      <c r="DZ107" s="28">
        <f>SUMIF('Lease Cycles'!$HL$13:$HR$13,DZ$6,'Lease Cycles'!$HS$13:$HY$13)</f>
        <v>0</v>
      </c>
      <c r="EA107" s="28">
        <f>SUMIF('Lease Cycles'!$HL$13:$HR$13,EA$6,'Lease Cycles'!$HS$13:$HY$13)</f>
        <v>0</v>
      </c>
      <c r="EB107" s="28">
        <f>SUMIF('Lease Cycles'!$HL$13:$HR$13,EB$6,'Lease Cycles'!$HS$13:$HY$13)</f>
        <v>0</v>
      </c>
      <c r="EC107" s="28">
        <f>SUMIF('Lease Cycles'!$HL$13:$HR$13,EC$6,'Lease Cycles'!$HS$13:$HY$13)</f>
        <v>0</v>
      </c>
      <c r="ED107" s="28">
        <f>SUMIF('Lease Cycles'!$HL$13:$HR$13,ED$6,'Lease Cycles'!$HS$13:$HY$13)</f>
        <v>0</v>
      </c>
      <c r="EE107" s="28">
        <f>SUMIF('Lease Cycles'!$HL$13:$HR$13,EE$6,'Lease Cycles'!$HS$13:$HY$13)</f>
        <v>0</v>
      </c>
      <c r="EF107" s="28">
        <f>SUMIF('Lease Cycles'!$HL$13:$HR$13,EF$6,'Lease Cycles'!$HS$13:$HY$13)</f>
        <v>0</v>
      </c>
      <c r="EG107" s="28">
        <f>SUMIF('Lease Cycles'!$HL$13:$HR$13,EG$6,'Lease Cycles'!$HS$13:$HY$13)</f>
        <v>0</v>
      </c>
      <c r="EH107" s="28">
        <f>SUMIF('Lease Cycles'!$HL$13:$HR$13,EH$6,'Lease Cycles'!$HS$13:$HY$13)</f>
        <v>0</v>
      </c>
      <c r="EI107" s="28">
        <f>SUMIF('Lease Cycles'!$HL$13:$HR$13,EI$6,'Lease Cycles'!$HS$13:$HY$13)</f>
        <v>0</v>
      </c>
      <c r="EJ107" s="28">
        <f>SUMIF('Lease Cycles'!$HL$13:$HR$13,EJ$6,'Lease Cycles'!$HS$13:$HY$13)</f>
        <v>0</v>
      </c>
      <c r="EK107" s="28">
        <f>SUMIF('Lease Cycles'!$HL$13:$HR$13,EK$6,'Lease Cycles'!$HS$13:$HY$13)</f>
        <v>0</v>
      </c>
      <c r="EL107" s="28">
        <f>SUMIF('Lease Cycles'!$HL$13:$HR$13,EL$6,'Lease Cycles'!$HS$13:$HY$13)</f>
        <v>0</v>
      </c>
      <c r="EM107" s="28">
        <f>SUMIF('Lease Cycles'!$HL$13:$HR$13,EM$6,'Lease Cycles'!$HS$13:$HY$13)</f>
        <v>0</v>
      </c>
      <c r="EN107" s="28">
        <f>SUMIF('Lease Cycles'!$HL$13:$HR$13,EN$6,'Lease Cycles'!$HS$13:$HY$13)</f>
        <v>0</v>
      </c>
      <c r="EO107" s="28">
        <f>SUMIF('Lease Cycles'!$HL$13:$HR$13,EO$6,'Lease Cycles'!$HS$13:$HY$13)</f>
        <v>0</v>
      </c>
      <c r="EP107" s="28">
        <f>SUMIF('Lease Cycles'!$HL$13:$HR$13,EP$6,'Lease Cycles'!$HS$13:$HY$13)</f>
        <v>0</v>
      </c>
      <c r="EQ107" s="28">
        <f>SUMIF('Lease Cycles'!$HL$13:$HR$13,EQ$6,'Lease Cycles'!$HS$13:$HY$13)</f>
        <v>0</v>
      </c>
      <c r="ER107" s="28">
        <f>SUMIF('Lease Cycles'!$HL$13:$HR$13,ER$6,'Lease Cycles'!$HS$13:$HY$13)</f>
        <v>0</v>
      </c>
      <c r="ES107" s="28">
        <f>SUMIF('Lease Cycles'!$HL$13:$HR$13,ES$6,'Lease Cycles'!$HS$13:$HY$13)</f>
        <v>0</v>
      </c>
      <c r="ET107" s="28">
        <f>SUMIF('Lease Cycles'!$HL$13:$HR$13,ET$6,'Lease Cycles'!$HS$13:$HY$13)</f>
        <v>0</v>
      </c>
    </row>
    <row r="108">
      <c r="A108" s="103">
        <v>6</v>
      </c>
      <c r="B108" s="23" t="str">
        <f>IF('Lease Cycles'!$B$13="","(empty slot)",'Lease Cycles'!$B$13)</f>
        <v>Sunfield Cleaners</v>
      </c>
      <c r="C108" s="23" t="s">
        <v>532</v>
      </c>
      <c r="D108" s="104" t="s">
        <v>533</v>
      </c>
      <c r="E108" s="25">
        <f>'Lease Cycles'!$AL$13</f>
        <v>0</v>
      </c>
      <c r="G108" s="28">
        <f>SUM(S108:AD108)</f>
        <v>0</v>
      </c>
      <c r="H108" s="28">
        <f>SUM(AE108:AP108)</f>
        <v>0</v>
      </c>
      <c r="I108" s="28">
        <f>SUM(AQ108:BB108)</f>
        <v>0</v>
      </c>
      <c r="J108" s="28">
        <f>SUM(BC108:BN108)</f>
        <v>8601.477164258895</v>
      </c>
      <c r="K108" s="28">
        <f>SUM(BO108:BZ108)</f>
        <v>0</v>
      </c>
      <c r="L108" s="28">
        <f>SUM(CA108:CL108)</f>
        <v>0</v>
      </c>
      <c r="M108" s="28">
        <f>SUM(CM108:CX108)</f>
        <v>0</v>
      </c>
      <c r="N108" s="28">
        <f>SUM(CY108:DJ108)</f>
        <v>0</v>
      </c>
      <c r="O108" s="28">
        <f>SUM(DK108:DV108)</f>
        <v>0</v>
      </c>
      <c r="P108" s="28">
        <f>SUM(DW108:EH108)</f>
        <v>0</v>
      </c>
      <c r="Q108" s="28">
        <f>SUM(EI108:ET108)</f>
        <v>0</v>
      </c>
      <c r="S108" s="28">
        <f>SUMIF('Lease Cycles'!$HL$13:$HR$13,S$6,'Lease Cycles'!$HZ$13:$IF$13)</f>
        <v>0</v>
      </c>
      <c r="T108" s="28">
        <f>SUMIF('Lease Cycles'!$HL$13:$HR$13,T$6,'Lease Cycles'!$HZ$13:$IF$13)</f>
        <v>0</v>
      </c>
      <c r="U108" s="28">
        <f>SUMIF('Lease Cycles'!$HL$13:$HR$13,U$6,'Lease Cycles'!$HZ$13:$IF$13)</f>
        <v>0</v>
      </c>
      <c r="V108" s="28">
        <f>SUMIF('Lease Cycles'!$HL$13:$HR$13,V$6,'Lease Cycles'!$HZ$13:$IF$13)</f>
        <v>0</v>
      </c>
      <c r="W108" s="28">
        <f>SUMIF('Lease Cycles'!$HL$13:$HR$13,W$6,'Lease Cycles'!$HZ$13:$IF$13)</f>
        <v>0</v>
      </c>
      <c r="X108" s="28">
        <f>SUMIF('Lease Cycles'!$HL$13:$HR$13,X$6,'Lease Cycles'!$HZ$13:$IF$13)</f>
        <v>0</v>
      </c>
      <c r="Y108" s="28">
        <f>SUMIF('Lease Cycles'!$HL$13:$HR$13,Y$6,'Lease Cycles'!$HZ$13:$IF$13)</f>
        <v>0</v>
      </c>
      <c r="Z108" s="28">
        <f>SUMIF('Lease Cycles'!$HL$13:$HR$13,Z$6,'Lease Cycles'!$HZ$13:$IF$13)</f>
        <v>0</v>
      </c>
      <c r="AA108" s="28">
        <f>SUMIF('Lease Cycles'!$HL$13:$HR$13,AA$6,'Lease Cycles'!$HZ$13:$IF$13)</f>
        <v>0</v>
      </c>
      <c r="AB108" s="28">
        <f>SUMIF('Lease Cycles'!$HL$13:$HR$13,AB$6,'Lease Cycles'!$HZ$13:$IF$13)</f>
        <v>0</v>
      </c>
      <c r="AC108" s="28">
        <f>SUMIF('Lease Cycles'!$HL$13:$HR$13,AC$6,'Lease Cycles'!$HZ$13:$IF$13)</f>
        <v>0</v>
      </c>
      <c r="AD108" s="28">
        <f>SUMIF('Lease Cycles'!$HL$13:$HR$13,AD$6,'Lease Cycles'!$HZ$13:$IF$13)</f>
        <v>0</v>
      </c>
      <c r="AE108" s="28">
        <f>SUMIF('Lease Cycles'!$HL$13:$HR$13,AE$6,'Lease Cycles'!$HZ$13:$IF$13)</f>
        <v>0</v>
      </c>
      <c r="AF108" s="28">
        <f>SUMIF('Lease Cycles'!$HL$13:$HR$13,AF$6,'Lease Cycles'!$HZ$13:$IF$13)</f>
        <v>0</v>
      </c>
      <c r="AG108" s="28">
        <f>SUMIF('Lease Cycles'!$HL$13:$HR$13,AG$6,'Lease Cycles'!$HZ$13:$IF$13)</f>
        <v>0</v>
      </c>
      <c r="AH108" s="28">
        <f>SUMIF('Lease Cycles'!$HL$13:$HR$13,AH$6,'Lease Cycles'!$HZ$13:$IF$13)</f>
        <v>0</v>
      </c>
      <c r="AI108" s="28">
        <f>SUMIF('Lease Cycles'!$HL$13:$HR$13,AI$6,'Lease Cycles'!$HZ$13:$IF$13)</f>
        <v>0</v>
      </c>
      <c r="AJ108" s="28">
        <f>SUMIF('Lease Cycles'!$HL$13:$HR$13,AJ$6,'Lease Cycles'!$HZ$13:$IF$13)</f>
        <v>0</v>
      </c>
      <c r="AK108" s="28">
        <f>SUMIF('Lease Cycles'!$HL$13:$HR$13,AK$6,'Lease Cycles'!$HZ$13:$IF$13)</f>
        <v>0</v>
      </c>
      <c r="AL108" s="28">
        <f>SUMIF('Lease Cycles'!$HL$13:$HR$13,AL$6,'Lease Cycles'!$HZ$13:$IF$13)</f>
        <v>0</v>
      </c>
      <c r="AM108" s="28">
        <f>SUMIF('Lease Cycles'!$HL$13:$HR$13,AM$6,'Lease Cycles'!$HZ$13:$IF$13)</f>
        <v>0</v>
      </c>
      <c r="AN108" s="28">
        <f>SUMIF('Lease Cycles'!$HL$13:$HR$13,AN$6,'Lease Cycles'!$HZ$13:$IF$13)</f>
        <v>0</v>
      </c>
      <c r="AO108" s="28">
        <f>SUMIF('Lease Cycles'!$HL$13:$HR$13,AO$6,'Lease Cycles'!$HZ$13:$IF$13)</f>
        <v>0</v>
      </c>
      <c r="AP108" s="28">
        <f>SUMIF('Lease Cycles'!$HL$13:$HR$13,AP$6,'Lease Cycles'!$HZ$13:$IF$13)</f>
        <v>0</v>
      </c>
      <c r="AQ108" s="28">
        <f>SUMIF('Lease Cycles'!$HL$13:$HR$13,AQ$6,'Lease Cycles'!$HZ$13:$IF$13)</f>
        <v>0</v>
      </c>
      <c r="AR108" s="28">
        <f>SUMIF('Lease Cycles'!$HL$13:$HR$13,AR$6,'Lease Cycles'!$HZ$13:$IF$13)</f>
        <v>0</v>
      </c>
      <c r="AS108" s="28">
        <f>SUMIF('Lease Cycles'!$HL$13:$HR$13,AS$6,'Lease Cycles'!$HZ$13:$IF$13)</f>
        <v>0</v>
      </c>
      <c r="AT108" s="28">
        <f>SUMIF('Lease Cycles'!$HL$13:$HR$13,AT$6,'Lease Cycles'!$HZ$13:$IF$13)</f>
        <v>0</v>
      </c>
      <c r="AU108" s="28">
        <f>SUMIF('Lease Cycles'!$HL$13:$HR$13,AU$6,'Lease Cycles'!$HZ$13:$IF$13)</f>
        <v>0</v>
      </c>
      <c r="AV108" s="28">
        <f>SUMIF('Lease Cycles'!$HL$13:$HR$13,AV$6,'Lease Cycles'!$HZ$13:$IF$13)</f>
        <v>0</v>
      </c>
      <c r="AW108" s="28">
        <f>SUMIF('Lease Cycles'!$HL$13:$HR$13,AW$6,'Lease Cycles'!$HZ$13:$IF$13)</f>
        <v>0</v>
      </c>
      <c r="AX108" s="28">
        <f>SUMIF('Lease Cycles'!$HL$13:$HR$13,AX$6,'Lease Cycles'!$HZ$13:$IF$13)</f>
        <v>0</v>
      </c>
      <c r="AY108" s="28">
        <f>SUMIF('Lease Cycles'!$HL$13:$HR$13,AY$6,'Lease Cycles'!$HZ$13:$IF$13)</f>
        <v>0</v>
      </c>
      <c r="AZ108" s="28">
        <f>SUMIF('Lease Cycles'!$HL$13:$HR$13,AZ$6,'Lease Cycles'!$HZ$13:$IF$13)</f>
        <v>0</v>
      </c>
      <c r="BA108" s="28">
        <f>SUMIF('Lease Cycles'!$HL$13:$HR$13,BA$6,'Lease Cycles'!$HZ$13:$IF$13)</f>
        <v>0</v>
      </c>
      <c r="BB108" s="28">
        <f>SUMIF('Lease Cycles'!$HL$13:$HR$13,BB$6,'Lease Cycles'!$HZ$13:$IF$13)</f>
        <v>0</v>
      </c>
      <c r="BC108" s="28">
        <f>SUMIF('Lease Cycles'!$HL$13:$HR$13,BC$6,'Lease Cycles'!$HZ$13:$IF$13)</f>
        <v>0</v>
      </c>
      <c r="BD108" s="28">
        <f>SUMIF('Lease Cycles'!$HL$13:$HR$13,BD$6,'Lease Cycles'!$HZ$13:$IF$13)</f>
        <v>0</v>
      </c>
      <c r="BE108" s="28">
        <f>SUMIF('Lease Cycles'!$HL$13:$HR$13,BE$6,'Lease Cycles'!$HZ$13:$IF$13)</f>
        <v>0</v>
      </c>
      <c r="BF108" s="28">
        <f>SUMIF('Lease Cycles'!$HL$13:$HR$13,BF$6,'Lease Cycles'!$HZ$13:$IF$13)</f>
        <v>0</v>
      </c>
      <c r="BG108" s="28">
        <f>SUMIF('Lease Cycles'!$HL$13:$HR$13,BG$6,'Lease Cycles'!$HZ$13:$IF$13)</f>
        <v>0</v>
      </c>
      <c r="BH108" s="28">
        <f>SUMIF('Lease Cycles'!$HL$13:$HR$13,BH$6,'Lease Cycles'!$HZ$13:$IF$13)</f>
        <v>0</v>
      </c>
      <c r="BI108" s="28">
        <f>SUMIF('Lease Cycles'!$HL$13:$HR$13,BI$6,'Lease Cycles'!$HZ$13:$IF$13)</f>
        <v>0</v>
      </c>
      <c r="BJ108" s="28">
        <f>SUMIF('Lease Cycles'!$HL$13:$HR$13,BJ$6,'Lease Cycles'!$HZ$13:$IF$13)</f>
        <v>0</v>
      </c>
      <c r="BK108" s="28">
        <f>SUMIF('Lease Cycles'!$HL$13:$HR$13,BK$6,'Lease Cycles'!$HZ$13:$IF$13)</f>
        <v>0</v>
      </c>
      <c r="BL108" s="28">
        <f>SUMIF('Lease Cycles'!$HL$13:$HR$13,BL$6,'Lease Cycles'!$HZ$13:$IF$13)</f>
        <v>8601.477164258895</v>
      </c>
      <c r="BM108" s="28">
        <f>SUMIF('Lease Cycles'!$HL$13:$HR$13,BM$6,'Lease Cycles'!$HZ$13:$IF$13)</f>
        <v>0</v>
      </c>
      <c r="BN108" s="28">
        <f>SUMIF('Lease Cycles'!$HL$13:$HR$13,BN$6,'Lease Cycles'!$HZ$13:$IF$13)</f>
        <v>0</v>
      </c>
      <c r="BO108" s="28">
        <f>SUMIF('Lease Cycles'!$HL$13:$HR$13,BO$6,'Lease Cycles'!$HZ$13:$IF$13)</f>
        <v>0</v>
      </c>
      <c r="BP108" s="28">
        <f>SUMIF('Lease Cycles'!$HL$13:$HR$13,BP$6,'Lease Cycles'!$HZ$13:$IF$13)</f>
        <v>0</v>
      </c>
      <c r="BQ108" s="28">
        <f>SUMIF('Lease Cycles'!$HL$13:$HR$13,BQ$6,'Lease Cycles'!$HZ$13:$IF$13)</f>
        <v>0</v>
      </c>
      <c r="BR108" s="28">
        <f>SUMIF('Lease Cycles'!$HL$13:$HR$13,BR$6,'Lease Cycles'!$HZ$13:$IF$13)</f>
        <v>0</v>
      </c>
      <c r="BS108" s="28">
        <f>SUMIF('Lease Cycles'!$HL$13:$HR$13,BS$6,'Lease Cycles'!$HZ$13:$IF$13)</f>
        <v>0</v>
      </c>
      <c r="BT108" s="28">
        <f>SUMIF('Lease Cycles'!$HL$13:$HR$13,BT$6,'Lease Cycles'!$HZ$13:$IF$13)</f>
        <v>0</v>
      </c>
      <c r="BU108" s="28">
        <f>SUMIF('Lease Cycles'!$HL$13:$HR$13,BU$6,'Lease Cycles'!$HZ$13:$IF$13)</f>
        <v>0</v>
      </c>
      <c r="BV108" s="28">
        <f>SUMIF('Lease Cycles'!$HL$13:$HR$13,BV$6,'Lease Cycles'!$HZ$13:$IF$13)</f>
        <v>0</v>
      </c>
      <c r="BW108" s="28">
        <f>SUMIF('Lease Cycles'!$HL$13:$HR$13,BW$6,'Lease Cycles'!$HZ$13:$IF$13)</f>
        <v>0</v>
      </c>
      <c r="BX108" s="28">
        <f>SUMIF('Lease Cycles'!$HL$13:$HR$13,BX$6,'Lease Cycles'!$HZ$13:$IF$13)</f>
        <v>0</v>
      </c>
      <c r="BY108" s="28">
        <f>SUMIF('Lease Cycles'!$HL$13:$HR$13,BY$6,'Lease Cycles'!$HZ$13:$IF$13)</f>
        <v>0</v>
      </c>
      <c r="BZ108" s="28">
        <f>SUMIF('Lease Cycles'!$HL$13:$HR$13,BZ$6,'Lease Cycles'!$HZ$13:$IF$13)</f>
        <v>0</v>
      </c>
      <c r="CA108" s="28">
        <f>SUMIF('Lease Cycles'!$HL$13:$HR$13,CA$6,'Lease Cycles'!$HZ$13:$IF$13)</f>
        <v>0</v>
      </c>
      <c r="CB108" s="28">
        <f>SUMIF('Lease Cycles'!$HL$13:$HR$13,CB$6,'Lease Cycles'!$HZ$13:$IF$13)</f>
        <v>0</v>
      </c>
      <c r="CC108" s="28">
        <f>SUMIF('Lease Cycles'!$HL$13:$HR$13,CC$6,'Lease Cycles'!$HZ$13:$IF$13)</f>
        <v>0</v>
      </c>
      <c r="CD108" s="28">
        <f>SUMIF('Lease Cycles'!$HL$13:$HR$13,CD$6,'Lease Cycles'!$HZ$13:$IF$13)</f>
        <v>0</v>
      </c>
      <c r="CE108" s="28">
        <f>SUMIF('Lease Cycles'!$HL$13:$HR$13,CE$6,'Lease Cycles'!$HZ$13:$IF$13)</f>
        <v>0</v>
      </c>
      <c r="CF108" s="28">
        <f>SUMIF('Lease Cycles'!$HL$13:$HR$13,CF$6,'Lease Cycles'!$HZ$13:$IF$13)</f>
        <v>0</v>
      </c>
      <c r="CG108" s="28">
        <f>SUMIF('Lease Cycles'!$HL$13:$HR$13,CG$6,'Lease Cycles'!$HZ$13:$IF$13)</f>
        <v>0</v>
      </c>
      <c r="CH108" s="28">
        <f>SUMIF('Lease Cycles'!$HL$13:$HR$13,CH$6,'Lease Cycles'!$HZ$13:$IF$13)</f>
        <v>0</v>
      </c>
      <c r="CI108" s="28">
        <f>SUMIF('Lease Cycles'!$HL$13:$HR$13,CI$6,'Lease Cycles'!$HZ$13:$IF$13)</f>
        <v>0</v>
      </c>
      <c r="CJ108" s="28">
        <f>SUMIF('Lease Cycles'!$HL$13:$HR$13,CJ$6,'Lease Cycles'!$HZ$13:$IF$13)</f>
        <v>0</v>
      </c>
      <c r="CK108" s="28">
        <f>SUMIF('Lease Cycles'!$HL$13:$HR$13,CK$6,'Lease Cycles'!$HZ$13:$IF$13)</f>
        <v>0</v>
      </c>
      <c r="CL108" s="28">
        <f>SUMIF('Lease Cycles'!$HL$13:$HR$13,CL$6,'Lease Cycles'!$HZ$13:$IF$13)</f>
        <v>0</v>
      </c>
      <c r="CM108" s="28">
        <f>SUMIF('Lease Cycles'!$HL$13:$HR$13,CM$6,'Lease Cycles'!$HZ$13:$IF$13)</f>
        <v>0</v>
      </c>
      <c r="CN108" s="28">
        <f>SUMIF('Lease Cycles'!$HL$13:$HR$13,CN$6,'Lease Cycles'!$HZ$13:$IF$13)</f>
        <v>0</v>
      </c>
      <c r="CO108" s="28">
        <f>SUMIF('Lease Cycles'!$HL$13:$HR$13,CO$6,'Lease Cycles'!$HZ$13:$IF$13)</f>
        <v>0</v>
      </c>
      <c r="CP108" s="28">
        <f>SUMIF('Lease Cycles'!$HL$13:$HR$13,CP$6,'Lease Cycles'!$HZ$13:$IF$13)</f>
        <v>0</v>
      </c>
      <c r="CQ108" s="28">
        <f>SUMIF('Lease Cycles'!$HL$13:$HR$13,CQ$6,'Lease Cycles'!$HZ$13:$IF$13)</f>
        <v>0</v>
      </c>
      <c r="CR108" s="28">
        <f>SUMIF('Lease Cycles'!$HL$13:$HR$13,CR$6,'Lease Cycles'!$HZ$13:$IF$13)</f>
        <v>0</v>
      </c>
      <c r="CS108" s="28">
        <f>SUMIF('Lease Cycles'!$HL$13:$HR$13,CS$6,'Lease Cycles'!$HZ$13:$IF$13)</f>
        <v>0</v>
      </c>
      <c r="CT108" s="28">
        <f>SUMIF('Lease Cycles'!$HL$13:$HR$13,CT$6,'Lease Cycles'!$HZ$13:$IF$13)</f>
        <v>0</v>
      </c>
      <c r="CU108" s="28">
        <f>SUMIF('Lease Cycles'!$HL$13:$HR$13,CU$6,'Lease Cycles'!$HZ$13:$IF$13)</f>
        <v>0</v>
      </c>
      <c r="CV108" s="28">
        <f>SUMIF('Lease Cycles'!$HL$13:$HR$13,CV$6,'Lease Cycles'!$HZ$13:$IF$13)</f>
        <v>0</v>
      </c>
      <c r="CW108" s="28">
        <f>SUMIF('Lease Cycles'!$HL$13:$HR$13,CW$6,'Lease Cycles'!$HZ$13:$IF$13)</f>
        <v>0</v>
      </c>
      <c r="CX108" s="28">
        <f>SUMIF('Lease Cycles'!$HL$13:$HR$13,CX$6,'Lease Cycles'!$HZ$13:$IF$13)</f>
        <v>0</v>
      </c>
      <c r="CY108" s="28">
        <f>SUMIF('Lease Cycles'!$HL$13:$HR$13,CY$6,'Lease Cycles'!$HZ$13:$IF$13)</f>
        <v>0</v>
      </c>
      <c r="CZ108" s="28">
        <f>SUMIF('Lease Cycles'!$HL$13:$HR$13,CZ$6,'Lease Cycles'!$HZ$13:$IF$13)</f>
        <v>0</v>
      </c>
      <c r="DA108" s="28">
        <f>SUMIF('Lease Cycles'!$HL$13:$HR$13,DA$6,'Lease Cycles'!$HZ$13:$IF$13)</f>
        <v>0</v>
      </c>
      <c r="DB108" s="28">
        <f>SUMIF('Lease Cycles'!$HL$13:$HR$13,DB$6,'Lease Cycles'!$HZ$13:$IF$13)</f>
        <v>0</v>
      </c>
      <c r="DC108" s="28">
        <f>SUMIF('Lease Cycles'!$HL$13:$HR$13,DC$6,'Lease Cycles'!$HZ$13:$IF$13)</f>
        <v>0</v>
      </c>
      <c r="DD108" s="28">
        <f>SUMIF('Lease Cycles'!$HL$13:$HR$13,DD$6,'Lease Cycles'!$HZ$13:$IF$13)</f>
        <v>0</v>
      </c>
      <c r="DE108" s="28">
        <f>SUMIF('Lease Cycles'!$HL$13:$HR$13,DE$6,'Lease Cycles'!$HZ$13:$IF$13)</f>
        <v>0</v>
      </c>
      <c r="DF108" s="28">
        <f>SUMIF('Lease Cycles'!$HL$13:$HR$13,DF$6,'Lease Cycles'!$HZ$13:$IF$13)</f>
        <v>0</v>
      </c>
      <c r="DG108" s="28">
        <f>SUMIF('Lease Cycles'!$HL$13:$HR$13,DG$6,'Lease Cycles'!$HZ$13:$IF$13)</f>
        <v>0</v>
      </c>
      <c r="DH108" s="28">
        <f>SUMIF('Lease Cycles'!$HL$13:$HR$13,DH$6,'Lease Cycles'!$HZ$13:$IF$13)</f>
        <v>0</v>
      </c>
      <c r="DI108" s="28">
        <f>SUMIF('Lease Cycles'!$HL$13:$HR$13,DI$6,'Lease Cycles'!$HZ$13:$IF$13)</f>
        <v>0</v>
      </c>
      <c r="DJ108" s="28">
        <f>SUMIF('Lease Cycles'!$HL$13:$HR$13,DJ$6,'Lease Cycles'!$HZ$13:$IF$13)</f>
        <v>0</v>
      </c>
      <c r="DK108" s="28">
        <f>SUMIF('Lease Cycles'!$HL$13:$HR$13,DK$6,'Lease Cycles'!$HZ$13:$IF$13)</f>
        <v>0</v>
      </c>
      <c r="DL108" s="28">
        <f>SUMIF('Lease Cycles'!$HL$13:$HR$13,DL$6,'Lease Cycles'!$HZ$13:$IF$13)</f>
        <v>0</v>
      </c>
      <c r="DM108" s="28">
        <f>SUMIF('Lease Cycles'!$HL$13:$HR$13,DM$6,'Lease Cycles'!$HZ$13:$IF$13)</f>
        <v>0</v>
      </c>
      <c r="DN108" s="28">
        <f>SUMIF('Lease Cycles'!$HL$13:$HR$13,DN$6,'Lease Cycles'!$HZ$13:$IF$13)</f>
        <v>0</v>
      </c>
      <c r="DO108" s="28">
        <f>SUMIF('Lease Cycles'!$HL$13:$HR$13,DO$6,'Lease Cycles'!$HZ$13:$IF$13)</f>
        <v>0</v>
      </c>
      <c r="DP108" s="28">
        <f>SUMIF('Lease Cycles'!$HL$13:$HR$13,DP$6,'Lease Cycles'!$HZ$13:$IF$13)</f>
        <v>0</v>
      </c>
      <c r="DQ108" s="28">
        <f>SUMIF('Lease Cycles'!$HL$13:$HR$13,DQ$6,'Lease Cycles'!$HZ$13:$IF$13)</f>
        <v>0</v>
      </c>
      <c r="DR108" s="28">
        <f>SUMIF('Lease Cycles'!$HL$13:$HR$13,DR$6,'Lease Cycles'!$HZ$13:$IF$13)</f>
        <v>0</v>
      </c>
      <c r="DS108" s="28">
        <f>SUMIF('Lease Cycles'!$HL$13:$HR$13,DS$6,'Lease Cycles'!$HZ$13:$IF$13)</f>
        <v>0</v>
      </c>
      <c r="DT108" s="28">
        <f>SUMIF('Lease Cycles'!$HL$13:$HR$13,DT$6,'Lease Cycles'!$HZ$13:$IF$13)</f>
        <v>0</v>
      </c>
      <c r="DU108" s="28">
        <f>SUMIF('Lease Cycles'!$HL$13:$HR$13,DU$6,'Lease Cycles'!$HZ$13:$IF$13)</f>
        <v>0</v>
      </c>
      <c r="DV108" s="28">
        <f>SUMIF('Lease Cycles'!$HL$13:$HR$13,DV$6,'Lease Cycles'!$HZ$13:$IF$13)</f>
        <v>0</v>
      </c>
      <c r="DW108" s="28">
        <f>SUMIF('Lease Cycles'!$HL$13:$HR$13,DW$6,'Lease Cycles'!$HZ$13:$IF$13)</f>
        <v>0</v>
      </c>
      <c r="DX108" s="28">
        <f>SUMIF('Lease Cycles'!$HL$13:$HR$13,DX$6,'Lease Cycles'!$HZ$13:$IF$13)</f>
        <v>0</v>
      </c>
      <c r="DY108" s="28">
        <f>SUMIF('Lease Cycles'!$HL$13:$HR$13,DY$6,'Lease Cycles'!$HZ$13:$IF$13)</f>
        <v>0</v>
      </c>
      <c r="DZ108" s="28">
        <f>SUMIF('Lease Cycles'!$HL$13:$HR$13,DZ$6,'Lease Cycles'!$HZ$13:$IF$13)</f>
        <v>0</v>
      </c>
      <c r="EA108" s="28">
        <f>SUMIF('Lease Cycles'!$HL$13:$HR$13,EA$6,'Lease Cycles'!$HZ$13:$IF$13)</f>
        <v>0</v>
      </c>
      <c r="EB108" s="28">
        <f>SUMIF('Lease Cycles'!$HL$13:$HR$13,EB$6,'Lease Cycles'!$HZ$13:$IF$13)</f>
        <v>0</v>
      </c>
      <c r="EC108" s="28">
        <f>SUMIF('Lease Cycles'!$HL$13:$HR$13,EC$6,'Lease Cycles'!$HZ$13:$IF$13)</f>
        <v>0</v>
      </c>
      <c r="ED108" s="28">
        <f>SUMIF('Lease Cycles'!$HL$13:$HR$13,ED$6,'Lease Cycles'!$HZ$13:$IF$13)</f>
        <v>0</v>
      </c>
      <c r="EE108" s="28">
        <f>SUMIF('Lease Cycles'!$HL$13:$HR$13,EE$6,'Lease Cycles'!$HZ$13:$IF$13)</f>
        <v>0</v>
      </c>
      <c r="EF108" s="28">
        <f>SUMIF('Lease Cycles'!$HL$13:$HR$13,EF$6,'Lease Cycles'!$HZ$13:$IF$13)</f>
        <v>0</v>
      </c>
      <c r="EG108" s="28">
        <f>SUMIF('Lease Cycles'!$HL$13:$HR$13,EG$6,'Lease Cycles'!$HZ$13:$IF$13)</f>
        <v>0</v>
      </c>
      <c r="EH108" s="28">
        <f>SUMIF('Lease Cycles'!$HL$13:$HR$13,EH$6,'Lease Cycles'!$HZ$13:$IF$13)</f>
        <v>0</v>
      </c>
      <c r="EI108" s="28">
        <f>SUMIF('Lease Cycles'!$HL$13:$HR$13,EI$6,'Lease Cycles'!$HZ$13:$IF$13)</f>
        <v>0</v>
      </c>
      <c r="EJ108" s="28">
        <f>SUMIF('Lease Cycles'!$HL$13:$HR$13,EJ$6,'Lease Cycles'!$HZ$13:$IF$13)</f>
        <v>0</v>
      </c>
      <c r="EK108" s="28">
        <f>SUMIF('Lease Cycles'!$HL$13:$HR$13,EK$6,'Lease Cycles'!$HZ$13:$IF$13)</f>
        <v>0</v>
      </c>
      <c r="EL108" s="28">
        <f>SUMIF('Lease Cycles'!$HL$13:$HR$13,EL$6,'Lease Cycles'!$HZ$13:$IF$13)</f>
        <v>0</v>
      </c>
      <c r="EM108" s="28">
        <f>SUMIF('Lease Cycles'!$HL$13:$HR$13,EM$6,'Lease Cycles'!$HZ$13:$IF$13)</f>
        <v>0</v>
      </c>
      <c r="EN108" s="28">
        <f>SUMIF('Lease Cycles'!$HL$13:$HR$13,EN$6,'Lease Cycles'!$HZ$13:$IF$13)</f>
        <v>0</v>
      </c>
      <c r="EO108" s="28">
        <f>SUMIF('Lease Cycles'!$HL$13:$HR$13,EO$6,'Lease Cycles'!$HZ$13:$IF$13)</f>
        <v>0</v>
      </c>
      <c r="EP108" s="28">
        <f>SUMIF('Lease Cycles'!$HL$13:$HR$13,EP$6,'Lease Cycles'!$HZ$13:$IF$13)</f>
        <v>0</v>
      </c>
      <c r="EQ108" s="28">
        <f>SUMIF('Lease Cycles'!$HL$13:$HR$13,EQ$6,'Lease Cycles'!$HZ$13:$IF$13)</f>
        <v>0</v>
      </c>
      <c r="ER108" s="28">
        <f>SUMIF('Lease Cycles'!$HL$13:$HR$13,ER$6,'Lease Cycles'!$HZ$13:$IF$13)</f>
        <v>0</v>
      </c>
      <c r="ES108" s="28">
        <f>SUMIF('Lease Cycles'!$HL$13:$HR$13,ES$6,'Lease Cycles'!$HZ$13:$IF$13)</f>
        <v>0</v>
      </c>
      <c r="ET108" s="28">
        <f>SUMIF('Lease Cycles'!$HL$13:$HR$13,ET$6,'Lease Cycles'!$HZ$13:$IF$13)</f>
        <v>0</v>
      </c>
    </row>
    <row r="109">
      <c r="A109" s="103">
        <v>6</v>
      </c>
      <c r="B109" s="23" t="str">
        <f>IF('Lease Cycles'!$B$13="","(empty slot)",'Lease Cycles'!$B$13)</f>
        <v>Sunfield Cleaners</v>
      </c>
      <c r="C109" s="23" t="s">
        <v>691</v>
      </c>
      <c r="D109" s="104" t="s">
        <v>692</v>
      </c>
      <c r="E109" s="25">
        <f>'Lease Cycles'!$AL$13</f>
        <v>0</v>
      </c>
      <c r="G109" s="28">
        <f>SUM(S109:AD109)</f>
        <v>0</v>
      </c>
      <c r="H109" s="28">
        <f>SUM(AE109:AP109)</f>
        <v>0</v>
      </c>
      <c r="I109" s="28">
        <f>SUM(AQ109:BB109)</f>
        <v>0</v>
      </c>
      <c r="J109" s="28">
        <f>SUM(BC109:BN109)</f>
        <v>0</v>
      </c>
      <c r="K109" s="28">
        <f>SUM(BO109:BZ109)</f>
        <v>0</v>
      </c>
      <c r="L109" s="28">
        <f>SUM(CA109:CL109)</f>
        <v>0</v>
      </c>
      <c r="M109" s="28">
        <f>SUM(CM109:CX109)</f>
        <v>0</v>
      </c>
      <c r="N109" s="28">
        <f>SUM(CY109:DJ109)</f>
        <v>0</v>
      </c>
      <c r="O109" s="28">
        <f>SUM(DK109:DV109)</f>
        <v>0</v>
      </c>
      <c r="P109" s="28">
        <f>SUM(DW109:EH109)</f>
        <v>0</v>
      </c>
      <c r="Q109" s="28">
        <f>SUM(EI109:ET109)</f>
        <v>0</v>
      </c>
      <c r="S109" s="28">
        <f>IF(S$6='Lease Cycles'!$HL$13,'Lease Cycles'!$HS$13+'Lease Cycles'!$HZ$13,0)</f>
        <v>0</v>
      </c>
      <c r="T109" s="28">
        <f>IF(T$6='Lease Cycles'!$HL$13,'Lease Cycles'!$HS$13+'Lease Cycles'!$HZ$13,0)</f>
        <v>0</v>
      </c>
      <c r="U109" s="28">
        <f>IF(U$6='Lease Cycles'!$HL$13,'Lease Cycles'!$HS$13+'Lease Cycles'!$HZ$13,0)</f>
        <v>0</v>
      </c>
      <c r="V109" s="28">
        <f>IF(V$6='Lease Cycles'!$HL$13,'Lease Cycles'!$HS$13+'Lease Cycles'!$HZ$13,0)</f>
        <v>0</v>
      </c>
      <c r="W109" s="28">
        <f>IF(W$6='Lease Cycles'!$HL$13,'Lease Cycles'!$HS$13+'Lease Cycles'!$HZ$13,0)</f>
        <v>0</v>
      </c>
      <c r="X109" s="28">
        <f>IF(X$6='Lease Cycles'!$HL$13,'Lease Cycles'!$HS$13+'Lease Cycles'!$HZ$13,0)</f>
        <v>0</v>
      </c>
      <c r="Y109" s="28">
        <f>IF(Y$6='Lease Cycles'!$HL$13,'Lease Cycles'!$HS$13+'Lease Cycles'!$HZ$13,0)</f>
        <v>0</v>
      </c>
      <c r="Z109" s="28">
        <f>IF(Z$6='Lease Cycles'!$HL$13,'Lease Cycles'!$HS$13+'Lease Cycles'!$HZ$13,0)</f>
        <v>0</v>
      </c>
      <c r="AA109" s="28">
        <f>IF(AA$6='Lease Cycles'!$HL$13,'Lease Cycles'!$HS$13+'Lease Cycles'!$HZ$13,0)</f>
        <v>0</v>
      </c>
      <c r="AB109" s="28">
        <f>IF(AB$6='Lease Cycles'!$HL$13,'Lease Cycles'!$HS$13+'Lease Cycles'!$HZ$13,0)</f>
        <v>0</v>
      </c>
      <c r="AC109" s="28">
        <f>IF(AC$6='Lease Cycles'!$HL$13,'Lease Cycles'!$HS$13+'Lease Cycles'!$HZ$13,0)</f>
        <v>0</v>
      </c>
      <c r="AD109" s="28">
        <f>IF(AD$6='Lease Cycles'!$HL$13,'Lease Cycles'!$HS$13+'Lease Cycles'!$HZ$13,0)</f>
        <v>0</v>
      </c>
      <c r="AE109" s="28">
        <f>IF(AE$6='Lease Cycles'!$HL$13,'Lease Cycles'!$HS$13+'Lease Cycles'!$HZ$13,0)</f>
        <v>0</v>
      </c>
      <c r="AF109" s="28">
        <f>IF(AF$6='Lease Cycles'!$HL$13,'Lease Cycles'!$HS$13+'Lease Cycles'!$HZ$13,0)</f>
        <v>0</v>
      </c>
      <c r="AG109" s="28">
        <f>IF(AG$6='Lease Cycles'!$HL$13,'Lease Cycles'!$HS$13+'Lease Cycles'!$HZ$13,0)</f>
        <v>0</v>
      </c>
      <c r="AH109" s="28">
        <f>IF(AH$6='Lease Cycles'!$HL$13,'Lease Cycles'!$HS$13+'Lease Cycles'!$HZ$13,0)</f>
        <v>0</v>
      </c>
      <c r="AI109" s="28">
        <f>IF(AI$6='Lease Cycles'!$HL$13,'Lease Cycles'!$HS$13+'Lease Cycles'!$HZ$13,0)</f>
        <v>0</v>
      </c>
      <c r="AJ109" s="28">
        <f>IF(AJ$6='Lease Cycles'!$HL$13,'Lease Cycles'!$HS$13+'Lease Cycles'!$HZ$13,0)</f>
        <v>0</v>
      </c>
      <c r="AK109" s="28">
        <f>IF(AK$6='Lease Cycles'!$HL$13,'Lease Cycles'!$HS$13+'Lease Cycles'!$HZ$13,0)</f>
        <v>0</v>
      </c>
      <c r="AL109" s="28">
        <f>IF(AL$6='Lease Cycles'!$HL$13,'Lease Cycles'!$HS$13+'Lease Cycles'!$HZ$13,0)</f>
        <v>0</v>
      </c>
      <c r="AM109" s="28">
        <f>IF(AM$6='Lease Cycles'!$HL$13,'Lease Cycles'!$HS$13+'Lease Cycles'!$HZ$13,0)</f>
        <v>0</v>
      </c>
      <c r="AN109" s="28">
        <f>IF(AN$6='Lease Cycles'!$HL$13,'Lease Cycles'!$HS$13+'Lease Cycles'!$HZ$13,0)</f>
        <v>0</v>
      </c>
      <c r="AO109" s="28">
        <f>IF(AO$6='Lease Cycles'!$HL$13,'Lease Cycles'!$HS$13+'Lease Cycles'!$HZ$13,0)</f>
        <v>0</v>
      </c>
      <c r="AP109" s="28">
        <f>IF(AP$6='Lease Cycles'!$HL$13,'Lease Cycles'!$HS$13+'Lease Cycles'!$HZ$13,0)</f>
        <v>0</v>
      </c>
      <c r="AQ109" s="28">
        <f>IF(AQ$6='Lease Cycles'!$HL$13,'Lease Cycles'!$HS$13+'Lease Cycles'!$HZ$13,0)</f>
        <v>0</v>
      </c>
      <c r="AR109" s="28">
        <f>IF(AR$6='Lease Cycles'!$HL$13,'Lease Cycles'!$HS$13+'Lease Cycles'!$HZ$13,0)</f>
        <v>0</v>
      </c>
      <c r="AS109" s="28">
        <f>IF(AS$6='Lease Cycles'!$HL$13,'Lease Cycles'!$HS$13+'Lease Cycles'!$HZ$13,0)</f>
        <v>0</v>
      </c>
      <c r="AT109" s="28">
        <f>IF(AT$6='Lease Cycles'!$HL$13,'Lease Cycles'!$HS$13+'Lease Cycles'!$HZ$13,0)</f>
        <v>0</v>
      </c>
      <c r="AU109" s="28">
        <f>IF(AU$6='Lease Cycles'!$HL$13,'Lease Cycles'!$HS$13+'Lease Cycles'!$HZ$13,0)</f>
        <v>0</v>
      </c>
      <c r="AV109" s="28">
        <f>IF(AV$6='Lease Cycles'!$HL$13,'Lease Cycles'!$HS$13+'Lease Cycles'!$HZ$13,0)</f>
        <v>0</v>
      </c>
      <c r="AW109" s="28">
        <f>IF(AW$6='Lease Cycles'!$HL$13,'Lease Cycles'!$HS$13+'Lease Cycles'!$HZ$13,0)</f>
        <v>0</v>
      </c>
      <c r="AX109" s="28">
        <f>IF(AX$6='Lease Cycles'!$HL$13,'Lease Cycles'!$HS$13+'Lease Cycles'!$HZ$13,0)</f>
        <v>0</v>
      </c>
      <c r="AY109" s="28">
        <f>IF(AY$6='Lease Cycles'!$HL$13,'Lease Cycles'!$HS$13+'Lease Cycles'!$HZ$13,0)</f>
        <v>0</v>
      </c>
      <c r="AZ109" s="28">
        <f>IF(AZ$6='Lease Cycles'!$HL$13,'Lease Cycles'!$HS$13+'Lease Cycles'!$HZ$13,0)</f>
        <v>0</v>
      </c>
      <c r="BA109" s="28">
        <f>IF(BA$6='Lease Cycles'!$HL$13,'Lease Cycles'!$HS$13+'Lease Cycles'!$HZ$13,0)</f>
        <v>0</v>
      </c>
      <c r="BB109" s="28">
        <f>IF(BB$6='Lease Cycles'!$HL$13,'Lease Cycles'!$HS$13+'Lease Cycles'!$HZ$13,0)</f>
        <v>0</v>
      </c>
      <c r="BC109" s="28">
        <f>IF(BC$6='Lease Cycles'!$HL$13,'Lease Cycles'!$HS$13+'Lease Cycles'!$HZ$13,0)</f>
        <v>0</v>
      </c>
      <c r="BD109" s="28">
        <f>IF(BD$6='Lease Cycles'!$HL$13,'Lease Cycles'!$HS$13+'Lease Cycles'!$HZ$13,0)</f>
        <v>0</v>
      </c>
      <c r="BE109" s="28">
        <f>IF(BE$6='Lease Cycles'!$HL$13,'Lease Cycles'!$HS$13+'Lease Cycles'!$HZ$13,0)</f>
        <v>0</v>
      </c>
      <c r="BF109" s="28">
        <f>IF(BF$6='Lease Cycles'!$HL$13,'Lease Cycles'!$HS$13+'Lease Cycles'!$HZ$13,0)</f>
        <v>0</v>
      </c>
      <c r="BG109" s="28">
        <f>IF(BG$6='Lease Cycles'!$HL$13,'Lease Cycles'!$HS$13+'Lease Cycles'!$HZ$13,0)</f>
        <v>0</v>
      </c>
      <c r="BH109" s="28">
        <f>IF(BH$6='Lease Cycles'!$HL$13,'Lease Cycles'!$HS$13+'Lease Cycles'!$HZ$13,0)</f>
        <v>0</v>
      </c>
      <c r="BI109" s="28">
        <f>IF(BI$6='Lease Cycles'!$HL$13,'Lease Cycles'!$HS$13+'Lease Cycles'!$HZ$13,0)</f>
        <v>0</v>
      </c>
      <c r="BJ109" s="28">
        <f>IF(BJ$6='Lease Cycles'!$HL$13,'Lease Cycles'!$HS$13+'Lease Cycles'!$HZ$13,0)</f>
        <v>0</v>
      </c>
      <c r="BK109" s="28">
        <f>IF(BK$6='Lease Cycles'!$HL$13,'Lease Cycles'!$HS$13+'Lease Cycles'!$HZ$13,0)</f>
        <v>0</v>
      </c>
      <c r="BL109" s="28">
        <f>IF(BL$6='Lease Cycles'!$HL$13,'Lease Cycles'!$HS$13+'Lease Cycles'!$HZ$13,0)</f>
        <v>0</v>
      </c>
      <c r="BM109" s="28">
        <f>IF(BM$6='Lease Cycles'!$HL$13,'Lease Cycles'!$HS$13+'Lease Cycles'!$HZ$13,0)</f>
        <v>0</v>
      </c>
      <c r="BN109" s="28">
        <f>IF(BN$6='Lease Cycles'!$HL$13,'Lease Cycles'!$HS$13+'Lease Cycles'!$HZ$13,0)</f>
        <v>0</v>
      </c>
      <c r="BO109" s="28">
        <f>IF(BO$6='Lease Cycles'!$HL$13,'Lease Cycles'!$HS$13+'Lease Cycles'!$HZ$13,0)</f>
        <v>0</v>
      </c>
      <c r="BP109" s="28">
        <f>IF(BP$6='Lease Cycles'!$HL$13,'Lease Cycles'!$HS$13+'Lease Cycles'!$HZ$13,0)</f>
        <v>0</v>
      </c>
      <c r="BQ109" s="28">
        <f>IF(BQ$6='Lease Cycles'!$HL$13,'Lease Cycles'!$HS$13+'Lease Cycles'!$HZ$13,0)</f>
        <v>0</v>
      </c>
      <c r="BR109" s="28">
        <f>IF(BR$6='Lease Cycles'!$HL$13,'Lease Cycles'!$HS$13+'Lease Cycles'!$HZ$13,0)</f>
        <v>0</v>
      </c>
      <c r="BS109" s="28">
        <f>IF(BS$6='Lease Cycles'!$HL$13,'Lease Cycles'!$HS$13+'Lease Cycles'!$HZ$13,0)</f>
        <v>0</v>
      </c>
      <c r="BT109" s="28">
        <f>IF(BT$6='Lease Cycles'!$HL$13,'Lease Cycles'!$HS$13+'Lease Cycles'!$HZ$13,0)</f>
        <v>0</v>
      </c>
      <c r="BU109" s="28">
        <f>IF(BU$6='Lease Cycles'!$HL$13,'Lease Cycles'!$HS$13+'Lease Cycles'!$HZ$13,0)</f>
        <v>0</v>
      </c>
      <c r="BV109" s="28">
        <f>IF(BV$6='Lease Cycles'!$HL$13,'Lease Cycles'!$HS$13+'Lease Cycles'!$HZ$13,0)</f>
        <v>0</v>
      </c>
      <c r="BW109" s="28">
        <f>IF(BW$6='Lease Cycles'!$HL$13,'Lease Cycles'!$HS$13+'Lease Cycles'!$HZ$13,0)</f>
        <v>0</v>
      </c>
      <c r="BX109" s="28">
        <f>IF(BX$6='Lease Cycles'!$HL$13,'Lease Cycles'!$HS$13+'Lease Cycles'!$HZ$13,0)</f>
        <v>0</v>
      </c>
      <c r="BY109" s="28">
        <f>IF(BY$6='Lease Cycles'!$HL$13,'Lease Cycles'!$HS$13+'Lease Cycles'!$HZ$13,0)</f>
        <v>0</v>
      </c>
      <c r="BZ109" s="28">
        <f>IF(BZ$6='Lease Cycles'!$HL$13,'Lease Cycles'!$HS$13+'Lease Cycles'!$HZ$13,0)</f>
        <v>0</v>
      </c>
      <c r="CA109" s="28">
        <f>IF(CA$6='Lease Cycles'!$HL$13,'Lease Cycles'!$HS$13+'Lease Cycles'!$HZ$13,0)</f>
        <v>0</v>
      </c>
      <c r="CB109" s="28">
        <f>IF(CB$6='Lease Cycles'!$HL$13,'Lease Cycles'!$HS$13+'Lease Cycles'!$HZ$13,0)</f>
        <v>0</v>
      </c>
      <c r="CC109" s="28">
        <f>IF(CC$6='Lease Cycles'!$HL$13,'Lease Cycles'!$HS$13+'Lease Cycles'!$HZ$13,0)</f>
        <v>0</v>
      </c>
      <c r="CD109" s="28">
        <f>IF(CD$6='Lease Cycles'!$HL$13,'Lease Cycles'!$HS$13+'Lease Cycles'!$HZ$13,0)</f>
        <v>0</v>
      </c>
      <c r="CE109" s="28">
        <f>IF(CE$6='Lease Cycles'!$HL$13,'Lease Cycles'!$HS$13+'Lease Cycles'!$HZ$13,0)</f>
        <v>0</v>
      </c>
      <c r="CF109" s="28">
        <f>IF(CF$6='Lease Cycles'!$HL$13,'Lease Cycles'!$HS$13+'Lease Cycles'!$HZ$13,0)</f>
        <v>0</v>
      </c>
      <c r="CG109" s="28">
        <f>IF(CG$6='Lease Cycles'!$HL$13,'Lease Cycles'!$HS$13+'Lease Cycles'!$HZ$13,0)</f>
        <v>0</v>
      </c>
      <c r="CH109" s="28">
        <f>IF(CH$6='Lease Cycles'!$HL$13,'Lease Cycles'!$HS$13+'Lease Cycles'!$HZ$13,0)</f>
        <v>0</v>
      </c>
      <c r="CI109" s="28">
        <f>IF(CI$6='Lease Cycles'!$HL$13,'Lease Cycles'!$HS$13+'Lease Cycles'!$HZ$13,0)</f>
        <v>0</v>
      </c>
      <c r="CJ109" s="28">
        <f>IF(CJ$6='Lease Cycles'!$HL$13,'Lease Cycles'!$HS$13+'Lease Cycles'!$HZ$13,0)</f>
        <v>0</v>
      </c>
      <c r="CK109" s="28">
        <f>IF(CK$6='Lease Cycles'!$HL$13,'Lease Cycles'!$HS$13+'Lease Cycles'!$HZ$13,0)</f>
        <v>0</v>
      </c>
      <c r="CL109" s="28">
        <f>IF(CL$6='Lease Cycles'!$HL$13,'Lease Cycles'!$HS$13+'Lease Cycles'!$HZ$13,0)</f>
        <v>0</v>
      </c>
      <c r="CM109" s="28">
        <f>IF(CM$6='Lease Cycles'!$HL$13,'Lease Cycles'!$HS$13+'Lease Cycles'!$HZ$13,0)</f>
        <v>0</v>
      </c>
      <c r="CN109" s="28">
        <f>IF(CN$6='Lease Cycles'!$HL$13,'Lease Cycles'!$HS$13+'Lease Cycles'!$HZ$13,0)</f>
        <v>0</v>
      </c>
      <c r="CO109" s="28">
        <f>IF(CO$6='Lease Cycles'!$HL$13,'Lease Cycles'!$HS$13+'Lease Cycles'!$HZ$13,0)</f>
        <v>0</v>
      </c>
      <c r="CP109" s="28">
        <f>IF(CP$6='Lease Cycles'!$HL$13,'Lease Cycles'!$HS$13+'Lease Cycles'!$HZ$13,0)</f>
        <v>0</v>
      </c>
      <c r="CQ109" s="28">
        <f>IF(CQ$6='Lease Cycles'!$HL$13,'Lease Cycles'!$HS$13+'Lease Cycles'!$HZ$13,0)</f>
        <v>0</v>
      </c>
      <c r="CR109" s="28">
        <f>IF(CR$6='Lease Cycles'!$HL$13,'Lease Cycles'!$HS$13+'Lease Cycles'!$HZ$13,0)</f>
        <v>0</v>
      </c>
      <c r="CS109" s="28">
        <f>IF(CS$6='Lease Cycles'!$HL$13,'Lease Cycles'!$HS$13+'Lease Cycles'!$HZ$13,0)</f>
        <v>0</v>
      </c>
      <c r="CT109" s="28">
        <f>IF(CT$6='Lease Cycles'!$HL$13,'Lease Cycles'!$HS$13+'Lease Cycles'!$HZ$13,0)</f>
        <v>0</v>
      </c>
      <c r="CU109" s="28">
        <f>IF(CU$6='Lease Cycles'!$HL$13,'Lease Cycles'!$HS$13+'Lease Cycles'!$HZ$13,0)</f>
        <v>0</v>
      </c>
      <c r="CV109" s="28">
        <f>IF(CV$6='Lease Cycles'!$HL$13,'Lease Cycles'!$HS$13+'Lease Cycles'!$HZ$13,0)</f>
        <v>0</v>
      </c>
      <c r="CW109" s="28">
        <f>IF(CW$6='Lease Cycles'!$HL$13,'Lease Cycles'!$HS$13+'Lease Cycles'!$HZ$13,0)</f>
        <v>0</v>
      </c>
      <c r="CX109" s="28">
        <f>IF(CX$6='Lease Cycles'!$HL$13,'Lease Cycles'!$HS$13+'Lease Cycles'!$HZ$13,0)</f>
        <v>0</v>
      </c>
      <c r="CY109" s="28">
        <f>IF(CY$6='Lease Cycles'!$HL$13,'Lease Cycles'!$HS$13+'Lease Cycles'!$HZ$13,0)</f>
        <v>0</v>
      </c>
      <c r="CZ109" s="28">
        <f>IF(CZ$6='Lease Cycles'!$HL$13,'Lease Cycles'!$HS$13+'Lease Cycles'!$HZ$13,0)</f>
        <v>0</v>
      </c>
      <c r="DA109" s="28">
        <f>IF(DA$6='Lease Cycles'!$HL$13,'Lease Cycles'!$HS$13+'Lease Cycles'!$HZ$13,0)</f>
        <v>0</v>
      </c>
      <c r="DB109" s="28">
        <f>IF(DB$6='Lease Cycles'!$HL$13,'Lease Cycles'!$HS$13+'Lease Cycles'!$HZ$13,0)</f>
        <v>0</v>
      </c>
      <c r="DC109" s="28">
        <f>IF(DC$6='Lease Cycles'!$HL$13,'Lease Cycles'!$HS$13+'Lease Cycles'!$HZ$13,0)</f>
        <v>0</v>
      </c>
      <c r="DD109" s="28">
        <f>IF(DD$6='Lease Cycles'!$HL$13,'Lease Cycles'!$HS$13+'Lease Cycles'!$HZ$13,0)</f>
        <v>0</v>
      </c>
      <c r="DE109" s="28">
        <f>IF(DE$6='Lease Cycles'!$HL$13,'Lease Cycles'!$HS$13+'Lease Cycles'!$HZ$13,0)</f>
        <v>0</v>
      </c>
      <c r="DF109" s="28">
        <f>IF(DF$6='Lease Cycles'!$HL$13,'Lease Cycles'!$HS$13+'Lease Cycles'!$HZ$13,0)</f>
        <v>0</v>
      </c>
      <c r="DG109" s="28">
        <f>IF(DG$6='Lease Cycles'!$HL$13,'Lease Cycles'!$HS$13+'Lease Cycles'!$HZ$13,0)</f>
        <v>0</v>
      </c>
      <c r="DH109" s="28">
        <f>IF(DH$6='Lease Cycles'!$HL$13,'Lease Cycles'!$HS$13+'Lease Cycles'!$HZ$13,0)</f>
        <v>0</v>
      </c>
      <c r="DI109" s="28">
        <f>IF(DI$6='Lease Cycles'!$HL$13,'Lease Cycles'!$HS$13+'Lease Cycles'!$HZ$13,0)</f>
        <v>0</v>
      </c>
      <c r="DJ109" s="28">
        <f>IF(DJ$6='Lease Cycles'!$HL$13,'Lease Cycles'!$HS$13+'Lease Cycles'!$HZ$13,0)</f>
        <v>0</v>
      </c>
      <c r="DK109" s="28">
        <f>IF(DK$6='Lease Cycles'!$HL$13,'Lease Cycles'!$HS$13+'Lease Cycles'!$HZ$13,0)</f>
        <v>0</v>
      </c>
      <c r="DL109" s="28">
        <f>IF(DL$6='Lease Cycles'!$HL$13,'Lease Cycles'!$HS$13+'Lease Cycles'!$HZ$13,0)</f>
        <v>0</v>
      </c>
      <c r="DM109" s="28">
        <f>IF(DM$6='Lease Cycles'!$HL$13,'Lease Cycles'!$HS$13+'Lease Cycles'!$HZ$13,0)</f>
        <v>0</v>
      </c>
      <c r="DN109" s="28">
        <f>IF(DN$6='Lease Cycles'!$HL$13,'Lease Cycles'!$HS$13+'Lease Cycles'!$HZ$13,0)</f>
        <v>0</v>
      </c>
      <c r="DO109" s="28">
        <f>IF(DO$6='Lease Cycles'!$HL$13,'Lease Cycles'!$HS$13+'Lease Cycles'!$HZ$13,0)</f>
        <v>0</v>
      </c>
      <c r="DP109" s="28">
        <f>IF(DP$6='Lease Cycles'!$HL$13,'Lease Cycles'!$HS$13+'Lease Cycles'!$HZ$13,0)</f>
        <v>0</v>
      </c>
      <c r="DQ109" s="28">
        <f>IF(DQ$6='Lease Cycles'!$HL$13,'Lease Cycles'!$HS$13+'Lease Cycles'!$HZ$13,0)</f>
        <v>0</v>
      </c>
      <c r="DR109" s="28">
        <f>IF(DR$6='Lease Cycles'!$HL$13,'Lease Cycles'!$HS$13+'Lease Cycles'!$HZ$13,0)</f>
        <v>0</v>
      </c>
      <c r="DS109" s="28">
        <f>IF(DS$6='Lease Cycles'!$HL$13,'Lease Cycles'!$HS$13+'Lease Cycles'!$HZ$13,0)</f>
        <v>0</v>
      </c>
      <c r="DT109" s="28">
        <f>IF(DT$6='Lease Cycles'!$HL$13,'Lease Cycles'!$HS$13+'Lease Cycles'!$HZ$13,0)</f>
        <v>0</v>
      </c>
      <c r="DU109" s="28">
        <f>IF(DU$6='Lease Cycles'!$HL$13,'Lease Cycles'!$HS$13+'Lease Cycles'!$HZ$13,0)</f>
        <v>0</v>
      </c>
      <c r="DV109" s="28">
        <f>IF(DV$6='Lease Cycles'!$HL$13,'Lease Cycles'!$HS$13+'Lease Cycles'!$HZ$13,0)</f>
        <v>0</v>
      </c>
      <c r="DW109" s="28">
        <f>IF(DW$6='Lease Cycles'!$HL$13,'Lease Cycles'!$HS$13+'Lease Cycles'!$HZ$13,0)</f>
        <v>0</v>
      </c>
      <c r="DX109" s="28">
        <f>IF(DX$6='Lease Cycles'!$HL$13,'Lease Cycles'!$HS$13+'Lease Cycles'!$HZ$13,0)</f>
        <v>0</v>
      </c>
      <c r="DY109" s="28">
        <f>IF(DY$6='Lease Cycles'!$HL$13,'Lease Cycles'!$HS$13+'Lease Cycles'!$HZ$13,0)</f>
        <v>0</v>
      </c>
      <c r="DZ109" s="28">
        <f>IF(DZ$6='Lease Cycles'!$HL$13,'Lease Cycles'!$HS$13+'Lease Cycles'!$HZ$13,0)</f>
        <v>0</v>
      </c>
      <c r="EA109" s="28">
        <f>IF(EA$6='Lease Cycles'!$HL$13,'Lease Cycles'!$HS$13+'Lease Cycles'!$HZ$13,0)</f>
        <v>0</v>
      </c>
      <c r="EB109" s="28">
        <f>IF(EB$6='Lease Cycles'!$HL$13,'Lease Cycles'!$HS$13+'Lease Cycles'!$HZ$13,0)</f>
        <v>0</v>
      </c>
      <c r="EC109" s="28">
        <f>IF(EC$6='Lease Cycles'!$HL$13,'Lease Cycles'!$HS$13+'Lease Cycles'!$HZ$13,0)</f>
        <v>0</v>
      </c>
      <c r="ED109" s="28">
        <f>IF(ED$6='Lease Cycles'!$HL$13,'Lease Cycles'!$HS$13+'Lease Cycles'!$HZ$13,0)</f>
        <v>0</v>
      </c>
      <c r="EE109" s="28">
        <f>IF(EE$6='Lease Cycles'!$HL$13,'Lease Cycles'!$HS$13+'Lease Cycles'!$HZ$13,0)</f>
        <v>0</v>
      </c>
      <c r="EF109" s="28">
        <f>IF(EF$6='Lease Cycles'!$HL$13,'Lease Cycles'!$HS$13+'Lease Cycles'!$HZ$13,0)</f>
        <v>0</v>
      </c>
      <c r="EG109" s="28">
        <f>IF(EG$6='Lease Cycles'!$HL$13,'Lease Cycles'!$HS$13+'Lease Cycles'!$HZ$13,0)</f>
        <v>0</v>
      </c>
      <c r="EH109" s="28">
        <f>IF(EH$6='Lease Cycles'!$HL$13,'Lease Cycles'!$HS$13+'Lease Cycles'!$HZ$13,0)</f>
        <v>0</v>
      </c>
      <c r="EI109" s="28">
        <f>IF(EI$6='Lease Cycles'!$HL$13,'Lease Cycles'!$HS$13+'Lease Cycles'!$HZ$13,0)</f>
        <v>0</v>
      </c>
      <c r="EJ109" s="28">
        <f>IF(EJ$6='Lease Cycles'!$HL$13,'Lease Cycles'!$HS$13+'Lease Cycles'!$HZ$13,0)</f>
        <v>0</v>
      </c>
      <c r="EK109" s="28">
        <f>IF(EK$6='Lease Cycles'!$HL$13,'Lease Cycles'!$HS$13+'Lease Cycles'!$HZ$13,0)</f>
        <v>0</v>
      </c>
      <c r="EL109" s="28">
        <f>IF(EL$6='Lease Cycles'!$HL$13,'Lease Cycles'!$HS$13+'Lease Cycles'!$HZ$13,0)</f>
        <v>0</v>
      </c>
      <c r="EM109" s="28">
        <f>IF(EM$6='Lease Cycles'!$HL$13,'Lease Cycles'!$HS$13+'Lease Cycles'!$HZ$13,0)</f>
        <v>0</v>
      </c>
      <c r="EN109" s="28">
        <f>IF(EN$6='Lease Cycles'!$HL$13,'Lease Cycles'!$HS$13+'Lease Cycles'!$HZ$13,0)</f>
        <v>0</v>
      </c>
      <c r="EO109" s="28">
        <f>IF(EO$6='Lease Cycles'!$HL$13,'Lease Cycles'!$HS$13+'Lease Cycles'!$HZ$13,0)</f>
        <v>0</v>
      </c>
      <c r="EP109" s="28">
        <f>IF(EP$6='Lease Cycles'!$HL$13,'Lease Cycles'!$HS$13+'Lease Cycles'!$HZ$13,0)</f>
        <v>0</v>
      </c>
      <c r="EQ109" s="28">
        <f>IF(EQ$6='Lease Cycles'!$HL$13,'Lease Cycles'!$HS$13+'Lease Cycles'!$HZ$13,0)</f>
        <v>0</v>
      </c>
      <c r="ER109" s="28">
        <f>IF(ER$6='Lease Cycles'!$HL$13,'Lease Cycles'!$HS$13+'Lease Cycles'!$HZ$13,0)</f>
        <v>0</v>
      </c>
      <c r="ES109" s="28">
        <f>IF(ES$6='Lease Cycles'!$HL$13,'Lease Cycles'!$HS$13+'Lease Cycles'!$HZ$13,0)</f>
        <v>0</v>
      </c>
      <c r="ET109" s="28">
        <f>IF(ET$6='Lease Cycles'!$HL$13,'Lease Cycles'!$HS$13+'Lease Cycles'!$HZ$13,0)</f>
        <v>0</v>
      </c>
    </row>
    <row r="110">
      <c r="A110" s="103">
        <v>6</v>
      </c>
      <c r="B110" s="23" t="str">
        <f>IF('Lease Cycles'!$B$13="","(empty slot)",'Lease Cycles'!$B$13)</f>
        <v>Sunfield Cleaners</v>
      </c>
      <c r="C110" s="23" t="s">
        <v>499</v>
      </c>
      <c r="D110" s="104" t="s">
        <v>500</v>
      </c>
      <c r="E110" s="25">
        <f>'Lease Cycles'!$AL$13</f>
        <v>0</v>
      </c>
      <c r="G110" s="28">
        <f>MAX(0,'Lease Cycles'!$AN$13*'Lease Cycles'!$C$13*'Lease Cycles'!$AM$13*(1+a_SalesGrowth)^(G$6-1)-G100)</f>
        <v>0</v>
      </c>
      <c r="H110" s="28">
        <f>MAX(0,'Lease Cycles'!$AN$13*'Lease Cycles'!$C$13*'Lease Cycles'!$AM$13*(1+a_SalesGrowth)^(H$6-1)-H100)</f>
        <v>0</v>
      </c>
      <c r="I110" s="28">
        <f>MAX(0,'Lease Cycles'!$AN$13*'Lease Cycles'!$C$13*'Lease Cycles'!$AM$13*(1+a_SalesGrowth)^(I$6-1)-I100)</f>
        <v>0</v>
      </c>
      <c r="J110" s="28">
        <f>MAX(0,'Lease Cycles'!$AN$13*'Lease Cycles'!$C$13*'Lease Cycles'!$AM$13*(1+a_SalesGrowth)^(J$6-1)-J100)</f>
        <v>0</v>
      </c>
      <c r="K110" s="28">
        <f>MAX(0,'Lease Cycles'!$AN$13*'Lease Cycles'!$C$13*'Lease Cycles'!$AM$13*(1+a_SalesGrowth)^(K$6-1)-K100)</f>
        <v>0</v>
      </c>
      <c r="L110" s="28">
        <f>MAX(0,'Lease Cycles'!$AN$13*'Lease Cycles'!$C$13*'Lease Cycles'!$AM$13*(1+a_SalesGrowth)^(L$6-1)-L100)</f>
        <v>0</v>
      </c>
      <c r="M110" s="28">
        <f>MAX(0,'Lease Cycles'!$AN$13*'Lease Cycles'!$C$13*'Lease Cycles'!$AM$13*(1+a_SalesGrowth)^(M$6-1)-M100)</f>
        <v>0</v>
      </c>
      <c r="N110" s="28">
        <f>MAX(0,'Lease Cycles'!$AN$13*'Lease Cycles'!$C$13*'Lease Cycles'!$AM$13*(1+a_SalesGrowth)^(N$6-1)-N100)</f>
        <v>0</v>
      </c>
      <c r="O110" s="28">
        <f>MAX(0,'Lease Cycles'!$AN$13*'Lease Cycles'!$C$13*'Lease Cycles'!$AM$13*(1+a_SalesGrowth)^(O$6-1)-O100)</f>
        <v>0</v>
      </c>
      <c r="P110" s="28">
        <f>MAX(0,'Lease Cycles'!$AN$13*'Lease Cycles'!$C$13*'Lease Cycles'!$AM$13*(1+a_SalesGrowth)^(P$6-1)-P100)</f>
        <v>0</v>
      </c>
      <c r="Q110" s="28">
        <f>MAX(0,'Lease Cycles'!$AN$13*'Lease Cycles'!$C$13*'Lease Cycles'!$AM$13*(1+a_SalesGrowth)^(Q$6-1)-Q100)</f>
        <v>0</v>
      </c>
    </row>
    <row r="112">
      <c r="A112" s="103">
        <v>7</v>
      </c>
      <c r="B112" s="23" t="str">
        <f>IF('Lease Cycles'!$B$14="","(empty slot)",'Lease Cycles'!$B$14)</f>
        <v>Sunfield Nails</v>
      </c>
      <c r="C112" s="23" t="s">
        <v>671</v>
      </c>
      <c r="D112" s="104" t="s">
        <v>672</v>
      </c>
      <c r="E112" s="25">
        <f>'Lease Cycles'!$AL$14</f>
        <v>0</v>
      </c>
      <c r="S112" s="25">
        <f>IF('Lease Cycles'!$C$14&gt;0,COUNTIF('Lease Cycles'!$BG$14:$BM$14,"&lt;="&amp;S$6),0)</f>
        <v>1</v>
      </c>
      <c r="T112" s="25">
        <f>IF('Lease Cycles'!$C$14&gt;0,COUNTIF('Lease Cycles'!$BG$14:$BM$14,"&lt;="&amp;T$6),0)</f>
        <v>1</v>
      </c>
      <c r="U112" s="25">
        <f>IF('Lease Cycles'!$C$14&gt;0,COUNTIF('Lease Cycles'!$BG$14:$BM$14,"&lt;="&amp;U$6),0)</f>
        <v>1</v>
      </c>
      <c r="V112" s="25">
        <f>IF('Lease Cycles'!$C$14&gt;0,COUNTIF('Lease Cycles'!$BG$14:$BM$14,"&lt;="&amp;V$6),0)</f>
        <v>1</v>
      </c>
      <c r="W112" s="25">
        <f>IF('Lease Cycles'!$C$14&gt;0,COUNTIF('Lease Cycles'!$BG$14:$BM$14,"&lt;="&amp;W$6),0)</f>
        <v>1</v>
      </c>
      <c r="X112" s="25">
        <f>IF('Lease Cycles'!$C$14&gt;0,COUNTIF('Lease Cycles'!$BG$14:$BM$14,"&lt;="&amp;X$6),0)</f>
        <v>1</v>
      </c>
      <c r="Y112" s="25">
        <f>IF('Lease Cycles'!$C$14&gt;0,COUNTIF('Lease Cycles'!$BG$14:$BM$14,"&lt;="&amp;Y$6),0)</f>
        <v>1</v>
      </c>
      <c r="Z112" s="25">
        <f>IF('Lease Cycles'!$C$14&gt;0,COUNTIF('Lease Cycles'!$BG$14:$BM$14,"&lt;="&amp;Z$6),0)</f>
        <v>1</v>
      </c>
      <c r="AA112" s="25">
        <f>IF('Lease Cycles'!$C$14&gt;0,COUNTIF('Lease Cycles'!$BG$14:$BM$14,"&lt;="&amp;AA$6),0)</f>
        <v>1</v>
      </c>
      <c r="AB112" s="25">
        <f>IF('Lease Cycles'!$C$14&gt;0,COUNTIF('Lease Cycles'!$BG$14:$BM$14,"&lt;="&amp;AB$6),0)</f>
        <v>1</v>
      </c>
      <c r="AC112" s="25">
        <f>IF('Lease Cycles'!$C$14&gt;0,COUNTIF('Lease Cycles'!$BG$14:$BM$14,"&lt;="&amp;AC$6),0)</f>
        <v>1</v>
      </c>
      <c r="AD112" s="25">
        <f>IF('Lease Cycles'!$C$14&gt;0,COUNTIF('Lease Cycles'!$BG$14:$BM$14,"&lt;="&amp;AD$6),0)</f>
        <v>1</v>
      </c>
      <c r="AE112" s="25">
        <f>IF('Lease Cycles'!$C$14&gt;0,COUNTIF('Lease Cycles'!$BG$14:$BM$14,"&lt;="&amp;AE$6),0)</f>
        <v>1</v>
      </c>
      <c r="AF112" s="25">
        <f>IF('Lease Cycles'!$C$14&gt;0,COUNTIF('Lease Cycles'!$BG$14:$BM$14,"&lt;="&amp;AF$6),0)</f>
        <v>1</v>
      </c>
      <c r="AG112" s="25">
        <f>IF('Lease Cycles'!$C$14&gt;0,COUNTIF('Lease Cycles'!$BG$14:$BM$14,"&lt;="&amp;AG$6),0)</f>
        <v>1</v>
      </c>
      <c r="AH112" s="25">
        <f>IF('Lease Cycles'!$C$14&gt;0,COUNTIF('Lease Cycles'!$BG$14:$BM$14,"&lt;="&amp;AH$6),0)</f>
        <v>1</v>
      </c>
      <c r="AI112" s="25">
        <f>IF('Lease Cycles'!$C$14&gt;0,COUNTIF('Lease Cycles'!$BG$14:$BM$14,"&lt;="&amp;AI$6),0)</f>
        <v>1</v>
      </c>
      <c r="AJ112" s="25">
        <f>IF('Lease Cycles'!$C$14&gt;0,COUNTIF('Lease Cycles'!$BG$14:$BM$14,"&lt;="&amp;AJ$6),0)</f>
        <v>1</v>
      </c>
      <c r="AK112" s="25">
        <f>IF('Lease Cycles'!$C$14&gt;0,COUNTIF('Lease Cycles'!$BG$14:$BM$14,"&lt;="&amp;AK$6),0)</f>
        <v>1</v>
      </c>
      <c r="AL112" s="25">
        <f>IF('Lease Cycles'!$C$14&gt;0,COUNTIF('Lease Cycles'!$BG$14:$BM$14,"&lt;="&amp;AL$6),0)</f>
        <v>1</v>
      </c>
      <c r="AM112" s="25">
        <f>IF('Lease Cycles'!$C$14&gt;0,COUNTIF('Lease Cycles'!$BG$14:$BM$14,"&lt;="&amp;AM$6),0)</f>
        <v>1</v>
      </c>
      <c r="AN112" s="25">
        <f>IF('Lease Cycles'!$C$14&gt;0,COUNTIF('Lease Cycles'!$BG$14:$BM$14,"&lt;="&amp;AN$6),0)</f>
        <v>1</v>
      </c>
      <c r="AO112" s="25">
        <f>IF('Lease Cycles'!$C$14&gt;0,COUNTIF('Lease Cycles'!$BG$14:$BM$14,"&lt;="&amp;AO$6),0)</f>
        <v>1</v>
      </c>
      <c r="AP112" s="25">
        <f>IF('Lease Cycles'!$C$14&gt;0,COUNTIF('Lease Cycles'!$BG$14:$BM$14,"&lt;="&amp;AP$6),0)</f>
        <v>1</v>
      </c>
      <c r="AQ112" s="25">
        <f>IF('Lease Cycles'!$C$14&gt;0,COUNTIF('Lease Cycles'!$BG$14:$BM$14,"&lt;="&amp;AQ$6),0)</f>
        <v>1</v>
      </c>
      <c r="AR112" s="25">
        <f>IF('Lease Cycles'!$C$14&gt;0,COUNTIF('Lease Cycles'!$BG$14:$BM$14,"&lt;="&amp;AR$6),0)</f>
        <v>1</v>
      </c>
      <c r="AS112" s="25">
        <f>IF('Lease Cycles'!$C$14&gt;0,COUNTIF('Lease Cycles'!$BG$14:$BM$14,"&lt;="&amp;AS$6),0)</f>
        <v>1</v>
      </c>
      <c r="AT112" s="25">
        <f>IF('Lease Cycles'!$C$14&gt;0,COUNTIF('Lease Cycles'!$BG$14:$BM$14,"&lt;="&amp;AT$6),0)</f>
        <v>2</v>
      </c>
      <c r="AU112" s="25">
        <f>IF('Lease Cycles'!$C$14&gt;0,COUNTIF('Lease Cycles'!$BG$14:$BM$14,"&lt;="&amp;AU$6),0)</f>
        <v>3</v>
      </c>
      <c r="AV112" s="25">
        <f>IF('Lease Cycles'!$C$14&gt;0,COUNTIF('Lease Cycles'!$BG$14:$BM$14,"&lt;="&amp;AV$6),0)</f>
        <v>3</v>
      </c>
      <c r="AW112" s="25">
        <f>IF('Lease Cycles'!$C$14&gt;0,COUNTIF('Lease Cycles'!$BG$14:$BM$14,"&lt;="&amp;AW$6),0)</f>
        <v>3</v>
      </c>
      <c r="AX112" s="25">
        <f>IF('Lease Cycles'!$C$14&gt;0,COUNTIF('Lease Cycles'!$BG$14:$BM$14,"&lt;="&amp;AX$6),0)</f>
        <v>3</v>
      </c>
      <c r="AY112" s="25">
        <f>IF('Lease Cycles'!$C$14&gt;0,COUNTIF('Lease Cycles'!$BG$14:$BM$14,"&lt;="&amp;AY$6),0)</f>
        <v>3</v>
      </c>
      <c r="AZ112" s="25">
        <f>IF('Lease Cycles'!$C$14&gt;0,COUNTIF('Lease Cycles'!$BG$14:$BM$14,"&lt;="&amp;AZ$6),0)</f>
        <v>3</v>
      </c>
      <c r="BA112" s="25">
        <f>IF('Lease Cycles'!$C$14&gt;0,COUNTIF('Lease Cycles'!$BG$14:$BM$14,"&lt;="&amp;BA$6),0)</f>
        <v>3</v>
      </c>
      <c r="BB112" s="25">
        <f>IF('Lease Cycles'!$C$14&gt;0,COUNTIF('Lease Cycles'!$BG$14:$BM$14,"&lt;="&amp;BB$6),0)</f>
        <v>3</v>
      </c>
      <c r="BC112" s="25">
        <f>IF('Lease Cycles'!$C$14&gt;0,COUNTIF('Lease Cycles'!$BG$14:$BM$14,"&lt;="&amp;BC$6),0)</f>
        <v>3</v>
      </c>
      <c r="BD112" s="25">
        <f>IF('Lease Cycles'!$C$14&gt;0,COUNTIF('Lease Cycles'!$BG$14:$BM$14,"&lt;="&amp;BD$6),0)</f>
        <v>3</v>
      </c>
      <c r="BE112" s="25">
        <f>IF('Lease Cycles'!$C$14&gt;0,COUNTIF('Lease Cycles'!$BG$14:$BM$14,"&lt;="&amp;BE$6),0)</f>
        <v>3</v>
      </c>
      <c r="BF112" s="25">
        <f>IF('Lease Cycles'!$C$14&gt;0,COUNTIF('Lease Cycles'!$BG$14:$BM$14,"&lt;="&amp;BF$6),0)</f>
        <v>3</v>
      </c>
      <c r="BG112" s="25">
        <f>IF('Lease Cycles'!$C$14&gt;0,COUNTIF('Lease Cycles'!$BG$14:$BM$14,"&lt;="&amp;BG$6),0)</f>
        <v>3</v>
      </c>
      <c r="BH112" s="25">
        <f>IF('Lease Cycles'!$C$14&gt;0,COUNTIF('Lease Cycles'!$BG$14:$BM$14,"&lt;="&amp;BH$6),0)</f>
        <v>3</v>
      </c>
      <c r="BI112" s="25">
        <f>IF('Lease Cycles'!$C$14&gt;0,COUNTIF('Lease Cycles'!$BG$14:$BM$14,"&lt;="&amp;BI$6),0)</f>
        <v>3</v>
      </c>
      <c r="BJ112" s="25">
        <f>IF('Lease Cycles'!$C$14&gt;0,COUNTIF('Lease Cycles'!$BG$14:$BM$14,"&lt;="&amp;BJ$6),0)</f>
        <v>3</v>
      </c>
      <c r="BK112" s="25">
        <f>IF('Lease Cycles'!$C$14&gt;0,COUNTIF('Lease Cycles'!$BG$14:$BM$14,"&lt;="&amp;BK$6),0)</f>
        <v>3</v>
      </c>
      <c r="BL112" s="25">
        <f>IF('Lease Cycles'!$C$14&gt;0,COUNTIF('Lease Cycles'!$BG$14:$BM$14,"&lt;="&amp;BL$6),0)</f>
        <v>3</v>
      </c>
      <c r="BM112" s="25">
        <f>IF('Lease Cycles'!$C$14&gt;0,COUNTIF('Lease Cycles'!$BG$14:$BM$14,"&lt;="&amp;BM$6),0)</f>
        <v>3</v>
      </c>
      <c r="BN112" s="25">
        <f>IF('Lease Cycles'!$C$14&gt;0,COUNTIF('Lease Cycles'!$BG$14:$BM$14,"&lt;="&amp;BN$6),0)</f>
        <v>3</v>
      </c>
      <c r="BO112" s="25">
        <f>IF('Lease Cycles'!$C$14&gt;0,COUNTIF('Lease Cycles'!$BG$14:$BM$14,"&lt;="&amp;BO$6),0)</f>
        <v>3</v>
      </c>
      <c r="BP112" s="25">
        <f>IF('Lease Cycles'!$C$14&gt;0,COUNTIF('Lease Cycles'!$BG$14:$BM$14,"&lt;="&amp;BP$6),0)</f>
        <v>3</v>
      </c>
      <c r="BQ112" s="25">
        <f>IF('Lease Cycles'!$C$14&gt;0,COUNTIF('Lease Cycles'!$BG$14:$BM$14,"&lt;="&amp;BQ$6),0)</f>
        <v>3</v>
      </c>
      <c r="BR112" s="25">
        <f>IF('Lease Cycles'!$C$14&gt;0,COUNTIF('Lease Cycles'!$BG$14:$BM$14,"&lt;="&amp;BR$6),0)</f>
        <v>3</v>
      </c>
      <c r="BS112" s="25">
        <f>IF('Lease Cycles'!$C$14&gt;0,COUNTIF('Lease Cycles'!$BG$14:$BM$14,"&lt;="&amp;BS$6),0)</f>
        <v>3</v>
      </c>
      <c r="BT112" s="25">
        <f>IF('Lease Cycles'!$C$14&gt;0,COUNTIF('Lease Cycles'!$BG$14:$BM$14,"&lt;="&amp;BT$6),0)</f>
        <v>3</v>
      </c>
      <c r="BU112" s="25">
        <f>IF('Lease Cycles'!$C$14&gt;0,COUNTIF('Lease Cycles'!$BG$14:$BM$14,"&lt;="&amp;BU$6),0)</f>
        <v>3</v>
      </c>
      <c r="BV112" s="25">
        <f>IF('Lease Cycles'!$C$14&gt;0,COUNTIF('Lease Cycles'!$BG$14:$BM$14,"&lt;="&amp;BV$6),0)</f>
        <v>3</v>
      </c>
      <c r="BW112" s="25">
        <f>IF('Lease Cycles'!$C$14&gt;0,COUNTIF('Lease Cycles'!$BG$14:$BM$14,"&lt;="&amp;BW$6),0)</f>
        <v>3</v>
      </c>
      <c r="BX112" s="25">
        <f>IF('Lease Cycles'!$C$14&gt;0,COUNTIF('Lease Cycles'!$BG$14:$BM$14,"&lt;="&amp;BX$6),0)</f>
        <v>3</v>
      </c>
      <c r="BY112" s="25">
        <f>IF('Lease Cycles'!$C$14&gt;0,COUNTIF('Lease Cycles'!$BG$14:$BM$14,"&lt;="&amp;BY$6),0)</f>
        <v>3</v>
      </c>
      <c r="BZ112" s="25">
        <f>IF('Lease Cycles'!$C$14&gt;0,COUNTIF('Lease Cycles'!$BG$14:$BM$14,"&lt;="&amp;BZ$6),0)</f>
        <v>3</v>
      </c>
      <c r="CA112" s="25">
        <f>IF('Lease Cycles'!$C$14&gt;0,COUNTIF('Lease Cycles'!$BG$14:$BM$14,"&lt;="&amp;CA$6),0)</f>
        <v>3</v>
      </c>
      <c r="CB112" s="25">
        <f>IF('Lease Cycles'!$C$14&gt;0,COUNTIF('Lease Cycles'!$BG$14:$BM$14,"&lt;="&amp;CB$6),0)</f>
        <v>3</v>
      </c>
      <c r="CC112" s="25">
        <f>IF('Lease Cycles'!$C$14&gt;0,COUNTIF('Lease Cycles'!$BG$14:$BM$14,"&lt;="&amp;CC$6),0)</f>
        <v>3</v>
      </c>
      <c r="CD112" s="25">
        <f>IF('Lease Cycles'!$C$14&gt;0,COUNTIF('Lease Cycles'!$BG$14:$BM$14,"&lt;="&amp;CD$6),0)</f>
        <v>3</v>
      </c>
      <c r="CE112" s="25">
        <f>IF('Lease Cycles'!$C$14&gt;0,COUNTIF('Lease Cycles'!$BG$14:$BM$14,"&lt;="&amp;CE$6),0)</f>
        <v>3</v>
      </c>
      <c r="CF112" s="25">
        <f>IF('Lease Cycles'!$C$14&gt;0,COUNTIF('Lease Cycles'!$BG$14:$BM$14,"&lt;="&amp;CF$6),0)</f>
        <v>3</v>
      </c>
      <c r="CG112" s="25">
        <f>IF('Lease Cycles'!$C$14&gt;0,COUNTIF('Lease Cycles'!$BG$14:$BM$14,"&lt;="&amp;CG$6),0)</f>
        <v>3</v>
      </c>
      <c r="CH112" s="25">
        <f>IF('Lease Cycles'!$C$14&gt;0,COUNTIF('Lease Cycles'!$BG$14:$BM$14,"&lt;="&amp;CH$6),0)</f>
        <v>3</v>
      </c>
      <c r="CI112" s="25">
        <f>IF('Lease Cycles'!$C$14&gt;0,COUNTIF('Lease Cycles'!$BG$14:$BM$14,"&lt;="&amp;CI$6),0)</f>
        <v>3</v>
      </c>
      <c r="CJ112" s="25">
        <f>IF('Lease Cycles'!$C$14&gt;0,COUNTIF('Lease Cycles'!$BG$14:$BM$14,"&lt;="&amp;CJ$6),0)</f>
        <v>3</v>
      </c>
      <c r="CK112" s="25">
        <f>IF('Lease Cycles'!$C$14&gt;0,COUNTIF('Lease Cycles'!$BG$14:$BM$14,"&lt;="&amp;CK$6),0)</f>
        <v>3</v>
      </c>
      <c r="CL112" s="25">
        <f>IF('Lease Cycles'!$C$14&gt;0,COUNTIF('Lease Cycles'!$BG$14:$BM$14,"&lt;="&amp;CL$6),0)</f>
        <v>3</v>
      </c>
      <c r="CM112" s="25">
        <f>IF('Lease Cycles'!$C$14&gt;0,COUNTIF('Lease Cycles'!$BG$14:$BM$14,"&lt;="&amp;CM$6),0)</f>
        <v>3</v>
      </c>
      <c r="CN112" s="25">
        <f>IF('Lease Cycles'!$C$14&gt;0,COUNTIF('Lease Cycles'!$BG$14:$BM$14,"&lt;="&amp;CN$6),0)</f>
        <v>3</v>
      </c>
      <c r="CO112" s="25">
        <f>IF('Lease Cycles'!$C$14&gt;0,COUNTIF('Lease Cycles'!$BG$14:$BM$14,"&lt;="&amp;CO$6),0)</f>
        <v>3</v>
      </c>
      <c r="CP112" s="25">
        <f>IF('Lease Cycles'!$C$14&gt;0,COUNTIF('Lease Cycles'!$BG$14:$BM$14,"&lt;="&amp;CP$6),0)</f>
        <v>3</v>
      </c>
      <c r="CQ112" s="25">
        <f>IF('Lease Cycles'!$C$14&gt;0,COUNTIF('Lease Cycles'!$BG$14:$BM$14,"&lt;="&amp;CQ$6),0)</f>
        <v>3</v>
      </c>
      <c r="CR112" s="25">
        <f>IF('Lease Cycles'!$C$14&gt;0,COUNTIF('Lease Cycles'!$BG$14:$BM$14,"&lt;="&amp;CR$6),0)</f>
        <v>3</v>
      </c>
      <c r="CS112" s="25">
        <f>IF('Lease Cycles'!$C$14&gt;0,COUNTIF('Lease Cycles'!$BG$14:$BM$14,"&lt;="&amp;CS$6),0)</f>
        <v>3</v>
      </c>
      <c r="CT112" s="25">
        <f>IF('Lease Cycles'!$C$14&gt;0,COUNTIF('Lease Cycles'!$BG$14:$BM$14,"&lt;="&amp;CT$6),0)</f>
        <v>3</v>
      </c>
      <c r="CU112" s="25">
        <f>IF('Lease Cycles'!$C$14&gt;0,COUNTIF('Lease Cycles'!$BG$14:$BM$14,"&lt;="&amp;CU$6),0)</f>
        <v>3</v>
      </c>
      <c r="CV112" s="25">
        <f>IF('Lease Cycles'!$C$14&gt;0,COUNTIF('Lease Cycles'!$BG$14:$BM$14,"&lt;="&amp;CV$6),0)</f>
        <v>3</v>
      </c>
      <c r="CW112" s="25">
        <f>IF('Lease Cycles'!$C$14&gt;0,COUNTIF('Lease Cycles'!$BG$14:$BM$14,"&lt;="&amp;CW$6),0)</f>
        <v>3</v>
      </c>
      <c r="CX112" s="25">
        <f>IF('Lease Cycles'!$C$14&gt;0,COUNTIF('Lease Cycles'!$BG$14:$BM$14,"&lt;="&amp;CX$6),0)</f>
        <v>3</v>
      </c>
      <c r="CY112" s="25">
        <f>IF('Lease Cycles'!$C$14&gt;0,COUNTIF('Lease Cycles'!$BG$14:$BM$14,"&lt;="&amp;CY$6),0)</f>
        <v>3</v>
      </c>
      <c r="CZ112" s="25">
        <f>IF('Lease Cycles'!$C$14&gt;0,COUNTIF('Lease Cycles'!$BG$14:$BM$14,"&lt;="&amp;CZ$6),0)</f>
        <v>3</v>
      </c>
      <c r="DA112" s="25">
        <f>IF('Lease Cycles'!$C$14&gt;0,COUNTIF('Lease Cycles'!$BG$14:$BM$14,"&lt;="&amp;DA$6),0)</f>
        <v>3</v>
      </c>
      <c r="DB112" s="25">
        <f>IF('Lease Cycles'!$C$14&gt;0,COUNTIF('Lease Cycles'!$BG$14:$BM$14,"&lt;="&amp;DB$6),0)</f>
        <v>3</v>
      </c>
      <c r="DC112" s="25">
        <f>IF('Lease Cycles'!$C$14&gt;0,COUNTIF('Lease Cycles'!$BG$14:$BM$14,"&lt;="&amp;DC$6),0)</f>
        <v>3</v>
      </c>
      <c r="DD112" s="25">
        <f>IF('Lease Cycles'!$C$14&gt;0,COUNTIF('Lease Cycles'!$BG$14:$BM$14,"&lt;="&amp;DD$6),0)</f>
        <v>3</v>
      </c>
      <c r="DE112" s="25">
        <f>IF('Lease Cycles'!$C$14&gt;0,COUNTIF('Lease Cycles'!$BG$14:$BM$14,"&lt;="&amp;DE$6),0)</f>
        <v>3</v>
      </c>
      <c r="DF112" s="25">
        <f>IF('Lease Cycles'!$C$14&gt;0,COUNTIF('Lease Cycles'!$BG$14:$BM$14,"&lt;="&amp;DF$6),0)</f>
        <v>3</v>
      </c>
      <c r="DG112" s="25">
        <f>IF('Lease Cycles'!$C$14&gt;0,COUNTIF('Lease Cycles'!$BG$14:$BM$14,"&lt;="&amp;DG$6),0)</f>
        <v>3</v>
      </c>
      <c r="DH112" s="25">
        <f>IF('Lease Cycles'!$C$14&gt;0,COUNTIF('Lease Cycles'!$BG$14:$BM$14,"&lt;="&amp;DH$6),0)</f>
        <v>3</v>
      </c>
      <c r="DI112" s="25">
        <f>IF('Lease Cycles'!$C$14&gt;0,COUNTIF('Lease Cycles'!$BG$14:$BM$14,"&lt;="&amp;DI$6),0)</f>
        <v>3</v>
      </c>
      <c r="DJ112" s="25">
        <f>IF('Lease Cycles'!$C$14&gt;0,COUNTIF('Lease Cycles'!$BG$14:$BM$14,"&lt;="&amp;DJ$6),0)</f>
        <v>3</v>
      </c>
      <c r="DK112" s="25">
        <f>IF('Lease Cycles'!$C$14&gt;0,COUNTIF('Lease Cycles'!$BG$14:$BM$14,"&lt;="&amp;DK$6),0)</f>
        <v>3</v>
      </c>
      <c r="DL112" s="25">
        <f>IF('Lease Cycles'!$C$14&gt;0,COUNTIF('Lease Cycles'!$BG$14:$BM$14,"&lt;="&amp;DL$6),0)</f>
        <v>3</v>
      </c>
      <c r="DM112" s="25">
        <f>IF('Lease Cycles'!$C$14&gt;0,COUNTIF('Lease Cycles'!$BG$14:$BM$14,"&lt;="&amp;DM$6),0)</f>
        <v>3</v>
      </c>
      <c r="DN112" s="25">
        <f>IF('Lease Cycles'!$C$14&gt;0,COUNTIF('Lease Cycles'!$BG$14:$BM$14,"&lt;="&amp;DN$6),0)</f>
        <v>3</v>
      </c>
      <c r="DO112" s="25">
        <f>IF('Lease Cycles'!$C$14&gt;0,COUNTIF('Lease Cycles'!$BG$14:$BM$14,"&lt;="&amp;DO$6),0)</f>
        <v>3</v>
      </c>
      <c r="DP112" s="25">
        <f>IF('Lease Cycles'!$C$14&gt;0,COUNTIF('Lease Cycles'!$BG$14:$BM$14,"&lt;="&amp;DP$6),0)</f>
        <v>3</v>
      </c>
      <c r="DQ112" s="25">
        <f>IF('Lease Cycles'!$C$14&gt;0,COUNTIF('Lease Cycles'!$BG$14:$BM$14,"&lt;="&amp;DQ$6),0)</f>
        <v>3</v>
      </c>
      <c r="DR112" s="25">
        <f>IF('Lease Cycles'!$C$14&gt;0,COUNTIF('Lease Cycles'!$BG$14:$BM$14,"&lt;="&amp;DR$6),0)</f>
        <v>3</v>
      </c>
      <c r="DS112" s="25">
        <f>IF('Lease Cycles'!$C$14&gt;0,COUNTIF('Lease Cycles'!$BG$14:$BM$14,"&lt;="&amp;DS$6),0)</f>
        <v>3</v>
      </c>
      <c r="DT112" s="25">
        <f>IF('Lease Cycles'!$C$14&gt;0,COUNTIF('Lease Cycles'!$BG$14:$BM$14,"&lt;="&amp;DT$6),0)</f>
        <v>3</v>
      </c>
      <c r="DU112" s="25">
        <f>IF('Lease Cycles'!$C$14&gt;0,COUNTIF('Lease Cycles'!$BG$14:$BM$14,"&lt;="&amp;DU$6),0)</f>
        <v>3</v>
      </c>
      <c r="DV112" s="25">
        <f>IF('Lease Cycles'!$C$14&gt;0,COUNTIF('Lease Cycles'!$BG$14:$BM$14,"&lt;="&amp;DV$6),0)</f>
        <v>3</v>
      </c>
      <c r="DW112" s="25">
        <f>IF('Lease Cycles'!$C$14&gt;0,COUNTIF('Lease Cycles'!$BG$14:$BM$14,"&lt;="&amp;DW$6),0)</f>
        <v>3</v>
      </c>
      <c r="DX112" s="25">
        <f>IF('Lease Cycles'!$C$14&gt;0,COUNTIF('Lease Cycles'!$BG$14:$BM$14,"&lt;="&amp;DX$6),0)</f>
        <v>3</v>
      </c>
      <c r="DY112" s="25">
        <f>IF('Lease Cycles'!$C$14&gt;0,COUNTIF('Lease Cycles'!$BG$14:$BM$14,"&lt;="&amp;DY$6),0)</f>
        <v>3</v>
      </c>
      <c r="DZ112" s="25">
        <f>IF('Lease Cycles'!$C$14&gt;0,COUNTIF('Lease Cycles'!$BG$14:$BM$14,"&lt;="&amp;DZ$6),0)</f>
        <v>3</v>
      </c>
      <c r="EA112" s="25">
        <f>IF('Lease Cycles'!$C$14&gt;0,COUNTIF('Lease Cycles'!$BG$14:$BM$14,"&lt;="&amp;EA$6),0)</f>
        <v>3</v>
      </c>
      <c r="EB112" s="25">
        <f>IF('Lease Cycles'!$C$14&gt;0,COUNTIF('Lease Cycles'!$BG$14:$BM$14,"&lt;="&amp;EB$6),0)</f>
        <v>3</v>
      </c>
      <c r="EC112" s="25">
        <f>IF('Lease Cycles'!$C$14&gt;0,COUNTIF('Lease Cycles'!$BG$14:$BM$14,"&lt;="&amp;EC$6),0)</f>
        <v>3</v>
      </c>
      <c r="ED112" s="25">
        <f>IF('Lease Cycles'!$C$14&gt;0,COUNTIF('Lease Cycles'!$BG$14:$BM$14,"&lt;="&amp;ED$6),0)</f>
        <v>3</v>
      </c>
      <c r="EE112" s="25">
        <f>IF('Lease Cycles'!$C$14&gt;0,COUNTIF('Lease Cycles'!$BG$14:$BM$14,"&lt;="&amp;EE$6),0)</f>
        <v>4</v>
      </c>
      <c r="EF112" s="25">
        <f>IF('Lease Cycles'!$C$14&gt;0,COUNTIF('Lease Cycles'!$BG$14:$BM$14,"&lt;="&amp;EF$6),0)</f>
        <v>4</v>
      </c>
      <c r="EG112" s="25">
        <f>IF('Lease Cycles'!$C$14&gt;0,COUNTIF('Lease Cycles'!$BG$14:$BM$14,"&lt;="&amp;EG$6),0)</f>
        <v>4</v>
      </c>
      <c r="EH112" s="25">
        <f>IF('Lease Cycles'!$C$14&gt;0,COUNTIF('Lease Cycles'!$BG$14:$BM$14,"&lt;="&amp;EH$6),0)</f>
        <v>4</v>
      </c>
      <c r="EI112" s="25">
        <f>IF('Lease Cycles'!$C$14&gt;0,COUNTIF('Lease Cycles'!$BG$14:$BM$14,"&lt;="&amp;EI$6),0)</f>
        <v>4</v>
      </c>
      <c r="EJ112" s="25">
        <f>IF('Lease Cycles'!$C$14&gt;0,COUNTIF('Lease Cycles'!$BG$14:$BM$14,"&lt;="&amp;EJ$6),0)</f>
        <v>4</v>
      </c>
      <c r="EK112" s="25">
        <f>IF('Lease Cycles'!$C$14&gt;0,COUNTIF('Lease Cycles'!$BG$14:$BM$14,"&lt;="&amp;EK$6),0)</f>
        <v>4</v>
      </c>
      <c r="EL112" s="25">
        <f>IF('Lease Cycles'!$C$14&gt;0,COUNTIF('Lease Cycles'!$BG$14:$BM$14,"&lt;="&amp;EL$6),0)</f>
        <v>4</v>
      </c>
      <c r="EM112" s="25">
        <f>IF('Lease Cycles'!$C$14&gt;0,COUNTIF('Lease Cycles'!$BG$14:$BM$14,"&lt;="&amp;EM$6),0)</f>
        <v>4</v>
      </c>
      <c r="EN112" s="25">
        <f>IF('Lease Cycles'!$C$14&gt;0,COUNTIF('Lease Cycles'!$BG$14:$BM$14,"&lt;="&amp;EN$6),0)</f>
        <v>4</v>
      </c>
      <c r="EO112" s="25">
        <f>IF('Lease Cycles'!$C$14&gt;0,COUNTIF('Lease Cycles'!$BG$14:$BM$14,"&lt;="&amp;EO$6),0)</f>
        <v>4</v>
      </c>
      <c r="EP112" s="25">
        <f>IF('Lease Cycles'!$C$14&gt;0,COUNTIF('Lease Cycles'!$BG$14:$BM$14,"&lt;="&amp;EP$6),0)</f>
        <v>4</v>
      </c>
      <c r="EQ112" s="25">
        <f>IF('Lease Cycles'!$C$14&gt;0,COUNTIF('Lease Cycles'!$BG$14:$BM$14,"&lt;="&amp;EQ$6),0)</f>
        <v>4</v>
      </c>
      <c r="ER112" s="25">
        <f>IF('Lease Cycles'!$C$14&gt;0,COUNTIF('Lease Cycles'!$BG$14:$BM$14,"&lt;="&amp;ER$6),0)</f>
        <v>4</v>
      </c>
      <c r="ES112" s="25">
        <f>IF('Lease Cycles'!$C$14&gt;0,COUNTIF('Lease Cycles'!$BG$14:$BM$14,"&lt;="&amp;ES$6),0)</f>
        <v>4</v>
      </c>
      <c r="ET112" s="25">
        <f>IF('Lease Cycles'!$C$14&gt;0,COUNTIF('Lease Cycles'!$BG$14:$BM$14,"&lt;="&amp;ET$6),0)</f>
        <v>4</v>
      </c>
    </row>
    <row r="113">
      <c r="A113" s="103">
        <v>7</v>
      </c>
      <c r="B113" s="23" t="str">
        <f>IF('Lease Cycles'!$B$14="","(empty slot)",'Lease Cycles'!$B$14)</f>
        <v>Sunfield Nails</v>
      </c>
      <c r="C113" s="23" t="s">
        <v>673</v>
      </c>
      <c r="D113" s="104" t="s">
        <v>674</v>
      </c>
      <c r="E113" s="25">
        <f>'Lease Cycles'!$AL$14</f>
        <v>0</v>
      </c>
      <c r="S113" s="25">
        <f>IF(S112=0,-1,S$6-INDEX('Lease Cycles'!$BG$14:$BM$14,1,S112))</f>
        <v>0</v>
      </c>
      <c r="T113" s="25">
        <f>IF(T112=0,-1,T$6-INDEX('Lease Cycles'!$BG$14:$BM$14,1,T112))</f>
        <v>1</v>
      </c>
      <c r="U113" s="25">
        <f>IF(U112=0,-1,U$6-INDEX('Lease Cycles'!$BG$14:$BM$14,1,U112))</f>
        <v>2</v>
      </c>
      <c r="V113" s="25">
        <f>IF(V112=0,-1,V$6-INDEX('Lease Cycles'!$BG$14:$BM$14,1,V112))</f>
        <v>3</v>
      </c>
      <c r="W113" s="25">
        <f>IF(W112=0,-1,W$6-INDEX('Lease Cycles'!$BG$14:$BM$14,1,W112))</f>
        <v>4</v>
      </c>
      <c r="X113" s="25">
        <f>IF(X112=0,-1,X$6-INDEX('Lease Cycles'!$BG$14:$BM$14,1,X112))</f>
        <v>5</v>
      </c>
      <c r="Y113" s="25">
        <f>IF(Y112=0,-1,Y$6-INDEX('Lease Cycles'!$BG$14:$BM$14,1,Y112))</f>
        <v>6</v>
      </c>
      <c r="Z113" s="25">
        <f>IF(Z112=0,-1,Z$6-INDEX('Lease Cycles'!$BG$14:$BM$14,1,Z112))</f>
        <v>7</v>
      </c>
      <c r="AA113" s="25">
        <f>IF(AA112=0,-1,AA$6-INDEX('Lease Cycles'!$BG$14:$BM$14,1,AA112))</f>
        <v>8</v>
      </c>
      <c r="AB113" s="25">
        <f>IF(AB112=0,-1,AB$6-INDEX('Lease Cycles'!$BG$14:$BM$14,1,AB112))</f>
        <v>9</v>
      </c>
      <c r="AC113" s="25">
        <f>IF(AC112=0,-1,AC$6-INDEX('Lease Cycles'!$BG$14:$BM$14,1,AC112))</f>
        <v>10</v>
      </c>
      <c r="AD113" s="25">
        <f>IF(AD112=0,-1,AD$6-INDEX('Lease Cycles'!$BG$14:$BM$14,1,AD112))</f>
        <v>11</v>
      </c>
      <c r="AE113" s="25">
        <f>IF(AE112=0,-1,AE$6-INDEX('Lease Cycles'!$BG$14:$BM$14,1,AE112))</f>
        <v>12</v>
      </c>
      <c r="AF113" s="25">
        <f>IF(AF112=0,-1,AF$6-INDEX('Lease Cycles'!$BG$14:$BM$14,1,AF112))</f>
        <v>13</v>
      </c>
      <c r="AG113" s="25">
        <f>IF(AG112=0,-1,AG$6-INDEX('Lease Cycles'!$BG$14:$BM$14,1,AG112))</f>
        <v>14</v>
      </c>
      <c r="AH113" s="25">
        <f>IF(AH112=0,-1,AH$6-INDEX('Lease Cycles'!$BG$14:$BM$14,1,AH112))</f>
        <v>15</v>
      </c>
      <c r="AI113" s="25">
        <f>IF(AI112=0,-1,AI$6-INDEX('Lease Cycles'!$BG$14:$BM$14,1,AI112))</f>
        <v>16</v>
      </c>
      <c r="AJ113" s="25">
        <f>IF(AJ112=0,-1,AJ$6-INDEX('Lease Cycles'!$BG$14:$BM$14,1,AJ112))</f>
        <v>17</v>
      </c>
      <c r="AK113" s="25">
        <f>IF(AK112=0,-1,AK$6-INDEX('Lease Cycles'!$BG$14:$BM$14,1,AK112))</f>
        <v>18</v>
      </c>
      <c r="AL113" s="25">
        <f>IF(AL112=0,-1,AL$6-INDEX('Lease Cycles'!$BG$14:$BM$14,1,AL112))</f>
        <v>19</v>
      </c>
      <c r="AM113" s="25">
        <f>IF(AM112=0,-1,AM$6-INDEX('Lease Cycles'!$BG$14:$BM$14,1,AM112))</f>
        <v>20</v>
      </c>
      <c r="AN113" s="25">
        <f>IF(AN112=0,-1,AN$6-INDEX('Lease Cycles'!$BG$14:$BM$14,1,AN112))</f>
        <v>21</v>
      </c>
      <c r="AO113" s="25">
        <f>IF(AO112=0,-1,AO$6-INDEX('Lease Cycles'!$BG$14:$BM$14,1,AO112))</f>
        <v>22</v>
      </c>
      <c r="AP113" s="25">
        <f>IF(AP112=0,-1,AP$6-INDEX('Lease Cycles'!$BG$14:$BM$14,1,AP112))</f>
        <v>23</v>
      </c>
      <c r="AQ113" s="25">
        <f>IF(AQ112=0,-1,AQ$6-INDEX('Lease Cycles'!$BG$14:$BM$14,1,AQ112))</f>
        <v>24</v>
      </c>
      <c r="AR113" s="25">
        <f>IF(AR112=0,-1,AR$6-INDEX('Lease Cycles'!$BG$14:$BM$14,1,AR112))</f>
        <v>25</v>
      </c>
      <c r="AS113" s="25">
        <f>IF(AS112=0,-1,AS$6-INDEX('Lease Cycles'!$BG$14:$BM$14,1,AS112))</f>
        <v>26</v>
      </c>
      <c r="AT113" s="25">
        <f>IF(AT112=0,-1,AT$6-INDEX('Lease Cycles'!$BG$14:$BM$14,1,AT112))</f>
        <v>0</v>
      </c>
      <c r="AU113" s="25">
        <f>IF(AU112=0,-1,AU$6-INDEX('Lease Cycles'!$BG$14:$BM$14,1,AU112))</f>
        <v>0</v>
      </c>
      <c r="AV113" s="25">
        <f>IF(AV112=0,-1,AV$6-INDEX('Lease Cycles'!$BG$14:$BM$14,1,AV112))</f>
        <v>1</v>
      </c>
      <c r="AW113" s="25">
        <f>IF(AW112=0,-1,AW$6-INDEX('Lease Cycles'!$BG$14:$BM$14,1,AW112))</f>
        <v>2</v>
      </c>
      <c r="AX113" s="25">
        <f>IF(AX112=0,-1,AX$6-INDEX('Lease Cycles'!$BG$14:$BM$14,1,AX112))</f>
        <v>3</v>
      </c>
      <c r="AY113" s="25">
        <f>IF(AY112=0,-1,AY$6-INDEX('Lease Cycles'!$BG$14:$BM$14,1,AY112))</f>
        <v>4</v>
      </c>
      <c r="AZ113" s="25">
        <f>IF(AZ112=0,-1,AZ$6-INDEX('Lease Cycles'!$BG$14:$BM$14,1,AZ112))</f>
        <v>5</v>
      </c>
      <c r="BA113" s="25">
        <f>IF(BA112=0,-1,BA$6-INDEX('Lease Cycles'!$BG$14:$BM$14,1,BA112))</f>
        <v>6</v>
      </c>
      <c r="BB113" s="25">
        <f>IF(BB112=0,-1,BB$6-INDEX('Lease Cycles'!$BG$14:$BM$14,1,BB112))</f>
        <v>7</v>
      </c>
      <c r="BC113" s="25">
        <f>IF(BC112=0,-1,BC$6-INDEX('Lease Cycles'!$BG$14:$BM$14,1,BC112))</f>
        <v>8</v>
      </c>
      <c r="BD113" s="25">
        <f>IF(BD112=0,-1,BD$6-INDEX('Lease Cycles'!$BG$14:$BM$14,1,BD112))</f>
        <v>9</v>
      </c>
      <c r="BE113" s="25">
        <f>IF(BE112=0,-1,BE$6-INDEX('Lease Cycles'!$BG$14:$BM$14,1,BE112))</f>
        <v>10</v>
      </c>
      <c r="BF113" s="25">
        <f>IF(BF112=0,-1,BF$6-INDEX('Lease Cycles'!$BG$14:$BM$14,1,BF112))</f>
        <v>11</v>
      </c>
      <c r="BG113" s="25">
        <f>IF(BG112=0,-1,BG$6-INDEX('Lease Cycles'!$BG$14:$BM$14,1,BG112))</f>
        <v>12</v>
      </c>
      <c r="BH113" s="25">
        <f>IF(BH112=0,-1,BH$6-INDEX('Lease Cycles'!$BG$14:$BM$14,1,BH112))</f>
        <v>13</v>
      </c>
      <c r="BI113" s="25">
        <f>IF(BI112=0,-1,BI$6-INDEX('Lease Cycles'!$BG$14:$BM$14,1,BI112))</f>
        <v>14</v>
      </c>
      <c r="BJ113" s="25">
        <f>IF(BJ112=0,-1,BJ$6-INDEX('Lease Cycles'!$BG$14:$BM$14,1,BJ112))</f>
        <v>15</v>
      </c>
      <c r="BK113" s="25">
        <f>IF(BK112=0,-1,BK$6-INDEX('Lease Cycles'!$BG$14:$BM$14,1,BK112))</f>
        <v>16</v>
      </c>
      <c r="BL113" s="25">
        <f>IF(BL112=0,-1,BL$6-INDEX('Lease Cycles'!$BG$14:$BM$14,1,BL112))</f>
        <v>17</v>
      </c>
      <c r="BM113" s="25">
        <f>IF(BM112=0,-1,BM$6-INDEX('Lease Cycles'!$BG$14:$BM$14,1,BM112))</f>
        <v>18</v>
      </c>
      <c r="BN113" s="25">
        <f>IF(BN112=0,-1,BN$6-INDEX('Lease Cycles'!$BG$14:$BM$14,1,BN112))</f>
        <v>19</v>
      </c>
      <c r="BO113" s="25">
        <f>IF(BO112=0,-1,BO$6-INDEX('Lease Cycles'!$BG$14:$BM$14,1,BO112))</f>
        <v>20</v>
      </c>
      <c r="BP113" s="25">
        <f>IF(BP112=0,-1,BP$6-INDEX('Lease Cycles'!$BG$14:$BM$14,1,BP112))</f>
        <v>21</v>
      </c>
      <c r="BQ113" s="25">
        <f>IF(BQ112=0,-1,BQ$6-INDEX('Lease Cycles'!$BG$14:$BM$14,1,BQ112))</f>
        <v>22</v>
      </c>
      <c r="BR113" s="25">
        <f>IF(BR112=0,-1,BR$6-INDEX('Lease Cycles'!$BG$14:$BM$14,1,BR112))</f>
        <v>23</v>
      </c>
      <c r="BS113" s="25">
        <f>IF(BS112=0,-1,BS$6-INDEX('Lease Cycles'!$BG$14:$BM$14,1,BS112))</f>
        <v>24</v>
      </c>
      <c r="BT113" s="25">
        <f>IF(BT112=0,-1,BT$6-INDEX('Lease Cycles'!$BG$14:$BM$14,1,BT112))</f>
        <v>25</v>
      </c>
      <c r="BU113" s="25">
        <f>IF(BU112=0,-1,BU$6-INDEX('Lease Cycles'!$BG$14:$BM$14,1,BU112))</f>
        <v>26</v>
      </c>
      <c r="BV113" s="25">
        <f>IF(BV112=0,-1,BV$6-INDEX('Lease Cycles'!$BG$14:$BM$14,1,BV112))</f>
        <v>27</v>
      </c>
      <c r="BW113" s="25">
        <f>IF(BW112=0,-1,BW$6-INDEX('Lease Cycles'!$BG$14:$BM$14,1,BW112))</f>
        <v>28</v>
      </c>
      <c r="BX113" s="25">
        <f>IF(BX112=0,-1,BX$6-INDEX('Lease Cycles'!$BG$14:$BM$14,1,BX112))</f>
        <v>29</v>
      </c>
      <c r="BY113" s="25">
        <f>IF(BY112=0,-1,BY$6-INDEX('Lease Cycles'!$BG$14:$BM$14,1,BY112))</f>
        <v>30</v>
      </c>
      <c r="BZ113" s="25">
        <f>IF(BZ112=0,-1,BZ$6-INDEX('Lease Cycles'!$BG$14:$BM$14,1,BZ112))</f>
        <v>31</v>
      </c>
      <c r="CA113" s="25">
        <f>IF(CA112=0,-1,CA$6-INDEX('Lease Cycles'!$BG$14:$BM$14,1,CA112))</f>
        <v>32</v>
      </c>
      <c r="CB113" s="25">
        <f>IF(CB112=0,-1,CB$6-INDEX('Lease Cycles'!$BG$14:$BM$14,1,CB112))</f>
        <v>33</v>
      </c>
      <c r="CC113" s="25">
        <f>IF(CC112=0,-1,CC$6-INDEX('Lease Cycles'!$BG$14:$BM$14,1,CC112))</f>
        <v>34</v>
      </c>
      <c r="CD113" s="25">
        <f>IF(CD112=0,-1,CD$6-INDEX('Lease Cycles'!$BG$14:$BM$14,1,CD112))</f>
        <v>35</v>
      </c>
      <c r="CE113" s="25">
        <f>IF(CE112=0,-1,CE$6-INDEX('Lease Cycles'!$BG$14:$BM$14,1,CE112))</f>
        <v>36</v>
      </c>
      <c r="CF113" s="25">
        <f>IF(CF112=0,-1,CF$6-INDEX('Lease Cycles'!$BG$14:$BM$14,1,CF112))</f>
        <v>37</v>
      </c>
      <c r="CG113" s="25">
        <f>IF(CG112=0,-1,CG$6-INDEX('Lease Cycles'!$BG$14:$BM$14,1,CG112))</f>
        <v>38</v>
      </c>
      <c r="CH113" s="25">
        <f>IF(CH112=0,-1,CH$6-INDEX('Lease Cycles'!$BG$14:$BM$14,1,CH112))</f>
        <v>39</v>
      </c>
      <c r="CI113" s="25">
        <f>IF(CI112=0,-1,CI$6-INDEX('Lease Cycles'!$BG$14:$BM$14,1,CI112))</f>
        <v>40</v>
      </c>
      <c r="CJ113" s="25">
        <f>IF(CJ112=0,-1,CJ$6-INDEX('Lease Cycles'!$BG$14:$BM$14,1,CJ112))</f>
        <v>41</v>
      </c>
      <c r="CK113" s="25">
        <f>IF(CK112=0,-1,CK$6-INDEX('Lease Cycles'!$BG$14:$BM$14,1,CK112))</f>
        <v>42</v>
      </c>
      <c r="CL113" s="25">
        <f>IF(CL112=0,-1,CL$6-INDEX('Lease Cycles'!$BG$14:$BM$14,1,CL112))</f>
        <v>43</v>
      </c>
      <c r="CM113" s="25">
        <f>IF(CM112=0,-1,CM$6-INDEX('Lease Cycles'!$BG$14:$BM$14,1,CM112))</f>
        <v>44</v>
      </c>
      <c r="CN113" s="25">
        <f>IF(CN112=0,-1,CN$6-INDEX('Lease Cycles'!$BG$14:$BM$14,1,CN112))</f>
        <v>45</v>
      </c>
      <c r="CO113" s="25">
        <f>IF(CO112=0,-1,CO$6-INDEX('Lease Cycles'!$BG$14:$BM$14,1,CO112))</f>
        <v>46</v>
      </c>
      <c r="CP113" s="25">
        <f>IF(CP112=0,-1,CP$6-INDEX('Lease Cycles'!$BG$14:$BM$14,1,CP112))</f>
        <v>47</v>
      </c>
      <c r="CQ113" s="25">
        <f>IF(CQ112=0,-1,CQ$6-INDEX('Lease Cycles'!$BG$14:$BM$14,1,CQ112))</f>
        <v>48</v>
      </c>
      <c r="CR113" s="25">
        <f>IF(CR112=0,-1,CR$6-INDEX('Lease Cycles'!$BG$14:$BM$14,1,CR112))</f>
        <v>49</v>
      </c>
      <c r="CS113" s="25">
        <f>IF(CS112=0,-1,CS$6-INDEX('Lease Cycles'!$BG$14:$BM$14,1,CS112))</f>
        <v>50</v>
      </c>
      <c r="CT113" s="25">
        <f>IF(CT112=0,-1,CT$6-INDEX('Lease Cycles'!$BG$14:$BM$14,1,CT112))</f>
        <v>51</v>
      </c>
      <c r="CU113" s="25">
        <f>IF(CU112=0,-1,CU$6-INDEX('Lease Cycles'!$BG$14:$BM$14,1,CU112))</f>
        <v>52</v>
      </c>
      <c r="CV113" s="25">
        <f>IF(CV112=0,-1,CV$6-INDEX('Lease Cycles'!$BG$14:$BM$14,1,CV112))</f>
        <v>53</v>
      </c>
      <c r="CW113" s="25">
        <f>IF(CW112=0,-1,CW$6-INDEX('Lease Cycles'!$BG$14:$BM$14,1,CW112))</f>
        <v>54</v>
      </c>
      <c r="CX113" s="25">
        <f>IF(CX112=0,-1,CX$6-INDEX('Lease Cycles'!$BG$14:$BM$14,1,CX112))</f>
        <v>55</v>
      </c>
      <c r="CY113" s="25">
        <f>IF(CY112=0,-1,CY$6-INDEX('Lease Cycles'!$BG$14:$BM$14,1,CY112))</f>
        <v>56</v>
      </c>
      <c r="CZ113" s="25">
        <f>IF(CZ112=0,-1,CZ$6-INDEX('Lease Cycles'!$BG$14:$BM$14,1,CZ112))</f>
        <v>57</v>
      </c>
      <c r="DA113" s="25">
        <f>IF(DA112=0,-1,DA$6-INDEX('Lease Cycles'!$BG$14:$BM$14,1,DA112))</f>
        <v>58</v>
      </c>
      <c r="DB113" s="25">
        <f>IF(DB112=0,-1,DB$6-INDEX('Lease Cycles'!$BG$14:$BM$14,1,DB112))</f>
        <v>59</v>
      </c>
      <c r="DC113" s="25">
        <f>IF(DC112=0,-1,DC$6-INDEX('Lease Cycles'!$BG$14:$BM$14,1,DC112))</f>
        <v>60</v>
      </c>
      <c r="DD113" s="25">
        <f>IF(DD112=0,-1,DD$6-INDEX('Lease Cycles'!$BG$14:$BM$14,1,DD112))</f>
        <v>61</v>
      </c>
      <c r="DE113" s="25">
        <f>IF(DE112=0,-1,DE$6-INDEX('Lease Cycles'!$BG$14:$BM$14,1,DE112))</f>
        <v>62</v>
      </c>
      <c r="DF113" s="25">
        <f>IF(DF112=0,-1,DF$6-INDEX('Lease Cycles'!$BG$14:$BM$14,1,DF112))</f>
        <v>63</v>
      </c>
      <c r="DG113" s="25">
        <f>IF(DG112=0,-1,DG$6-INDEX('Lease Cycles'!$BG$14:$BM$14,1,DG112))</f>
        <v>64</v>
      </c>
      <c r="DH113" s="25">
        <f>IF(DH112=0,-1,DH$6-INDEX('Lease Cycles'!$BG$14:$BM$14,1,DH112))</f>
        <v>65</v>
      </c>
      <c r="DI113" s="25">
        <f>IF(DI112=0,-1,DI$6-INDEX('Lease Cycles'!$BG$14:$BM$14,1,DI112))</f>
        <v>66</v>
      </c>
      <c r="DJ113" s="25">
        <f>IF(DJ112=0,-1,DJ$6-INDEX('Lease Cycles'!$BG$14:$BM$14,1,DJ112))</f>
        <v>67</v>
      </c>
      <c r="DK113" s="25">
        <f>IF(DK112=0,-1,DK$6-INDEX('Lease Cycles'!$BG$14:$BM$14,1,DK112))</f>
        <v>68</v>
      </c>
      <c r="DL113" s="25">
        <f>IF(DL112=0,-1,DL$6-INDEX('Lease Cycles'!$BG$14:$BM$14,1,DL112))</f>
        <v>69</v>
      </c>
      <c r="DM113" s="25">
        <f>IF(DM112=0,-1,DM$6-INDEX('Lease Cycles'!$BG$14:$BM$14,1,DM112))</f>
        <v>70</v>
      </c>
      <c r="DN113" s="25">
        <f>IF(DN112=0,-1,DN$6-INDEX('Lease Cycles'!$BG$14:$BM$14,1,DN112))</f>
        <v>71</v>
      </c>
      <c r="DO113" s="25">
        <f>IF(DO112=0,-1,DO$6-INDEX('Lease Cycles'!$BG$14:$BM$14,1,DO112))</f>
        <v>72</v>
      </c>
      <c r="DP113" s="25">
        <f>IF(DP112=0,-1,DP$6-INDEX('Lease Cycles'!$BG$14:$BM$14,1,DP112))</f>
        <v>73</v>
      </c>
      <c r="DQ113" s="25">
        <f>IF(DQ112=0,-1,DQ$6-INDEX('Lease Cycles'!$BG$14:$BM$14,1,DQ112))</f>
        <v>74</v>
      </c>
      <c r="DR113" s="25">
        <f>IF(DR112=0,-1,DR$6-INDEX('Lease Cycles'!$BG$14:$BM$14,1,DR112))</f>
        <v>75</v>
      </c>
      <c r="DS113" s="25">
        <f>IF(DS112=0,-1,DS$6-INDEX('Lease Cycles'!$BG$14:$BM$14,1,DS112))</f>
        <v>76</v>
      </c>
      <c r="DT113" s="25">
        <f>IF(DT112=0,-1,DT$6-INDEX('Lease Cycles'!$BG$14:$BM$14,1,DT112))</f>
        <v>77</v>
      </c>
      <c r="DU113" s="25">
        <f>IF(DU112=0,-1,DU$6-INDEX('Lease Cycles'!$BG$14:$BM$14,1,DU112))</f>
        <v>78</v>
      </c>
      <c r="DV113" s="25">
        <f>IF(DV112=0,-1,DV$6-INDEX('Lease Cycles'!$BG$14:$BM$14,1,DV112))</f>
        <v>79</v>
      </c>
      <c r="DW113" s="25">
        <f>IF(DW112=0,-1,DW$6-INDEX('Lease Cycles'!$BG$14:$BM$14,1,DW112))</f>
        <v>80</v>
      </c>
      <c r="DX113" s="25">
        <f>IF(DX112=0,-1,DX$6-INDEX('Lease Cycles'!$BG$14:$BM$14,1,DX112))</f>
        <v>81</v>
      </c>
      <c r="DY113" s="25">
        <f>IF(DY112=0,-1,DY$6-INDEX('Lease Cycles'!$BG$14:$BM$14,1,DY112))</f>
        <v>82</v>
      </c>
      <c r="DZ113" s="25">
        <f>IF(DZ112=0,-1,DZ$6-INDEX('Lease Cycles'!$BG$14:$BM$14,1,DZ112))</f>
        <v>83</v>
      </c>
      <c r="EA113" s="25">
        <f>IF(EA112=0,-1,EA$6-INDEX('Lease Cycles'!$BG$14:$BM$14,1,EA112))</f>
        <v>84</v>
      </c>
      <c r="EB113" s="25">
        <f>IF(EB112=0,-1,EB$6-INDEX('Lease Cycles'!$BG$14:$BM$14,1,EB112))</f>
        <v>85</v>
      </c>
      <c r="EC113" s="25">
        <f>IF(EC112=0,-1,EC$6-INDEX('Lease Cycles'!$BG$14:$BM$14,1,EC112))</f>
        <v>86</v>
      </c>
      <c r="ED113" s="25">
        <f>IF(ED112=0,-1,ED$6-INDEX('Lease Cycles'!$BG$14:$BM$14,1,ED112))</f>
        <v>87</v>
      </c>
      <c r="EE113" s="25">
        <f>IF(EE112=0,-1,EE$6-INDEX('Lease Cycles'!$BG$14:$BM$14,1,EE112))</f>
        <v>0</v>
      </c>
      <c r="EF113" s="25">
        <f>IF(EF112=0,-1,EF$6-INDEX('Lease Cycles'!$BG$14:$BM$14,1,EF112))</f>
        <v>1</v>
      </c>
      <c r="EG113" s="25">
        <f>IF(EG112=0,-1,EG$6-INDEX('Lease Cycles'!$BG$14:$BM$14,1,EG112))</f>
        <v>2</v>
      </c>
      <c r="EH113" s="25">
        <f>IF(EH112=0,-1,EH$6-INDEX('Lease Cycles'!$BG$14:$BM$14,1,EH112))</f>
        <v>3</v>
      </c>
      <c r="EI113" s="25">
        <f>IF(EI112=0,-1,EI$6-INDEX('Lease Cycles'!$BG$14:$BM$14,1,EI112))</f>
        <v>4</v>
      </c>
      <c r="EJ113" s="25">
        <f>IF(EJ112=0,-1,EJ$6-INDEX('Lease Cycles'!$BG$14:$BM$14,1,EJ112))</f>
        <v>5</v>
      </c>
      <c r="EK113" s="25">
        <f>IF(EK112=0,-1,EK$6-INDEX('Lease Cycles'!$BG$14:$BM$14,1,EK112))</f>
        <v>6</v>
      </c>
      <c r="EL113" s="25">
        <f>IF(EL112=0,-1,EL$6-INDEX('Lease Cycles'!$BG$14:$BM$14,1,EL112))</f>
        <v>7</v>
      </c>
      <c r="EM113" s="25">
        <f>IF(EM112=0,-1,EM$6-INDEX('Lease Cycles'!$BG$14:$BM$14,1,EM112))</f>
        <v>8</v>
      </c>
      <c r="EN113" s="25">
        <f>IF(EN112=0,-1,EN$6-INDEX('Lease Cycles'!$BG$14:$BM$14,1,EN112))</f>
        <v>9</v>
      </c>
      <c r="EO113" s="25">
        <f>IF(EO112=0,-1,EO$6-INDEX('Lease Cycles'!$BG$14:$BM$14,1,EO112))</f>
        <v>10</v>
      </c>
      <c r="EP113" s="25">
        <f>IF(EP112=0,-1,EP$6-INDEX('Lease Cycles'!$BG$14:$BM$14,1,EP112))</f>
        <v>11</v>
      </c>
      <c r="EQ113" s="25">
        <f>IF(EQ112=0,-1,EQ$6-INDEX('Lease Cycles'!$BG$14:$BM$14,1,EQ112))</f>
        <v>12</v>
      </c>
      <c r="ER113" s="25">
        <f>IF(ER112=0,-1,ER$6-INDEX('Lease Cycles'!$BG$14:$BM$14,1,ER112))</f>
        <v>13</v>
      </c>
      <c r="ES113" s="25">
        <f>IF(ES112=0,-1,ES$6-INDEX('Lease Cycles'!$BG$14:$BM$14,1,ES112))</f>
        <v>14</v>
      </c>
      <c r="ET113" s="25">
        <f>IF(ET112=0,-1,ET$6-INDEX('Lease Cycles'!$BG$14:$BM$14,1,ET112))</f>
        <v>15</v>
      </c>
    </row>
    <row r="114">
      <c r="A114" s="103">
        <v>7</v>
      </c>
      <c r="B114" s="23" t="str">
        <f>IF('Lease Cycles'!$B$14="","(empty slot)",'Lease Cycles'!$B$14)</f>
        <v>Sunfield Nails</v>
      </c>
      <c r="C114" s="23" t="s">
        <v>675</v>
      </c>
      <c r="D114" s="104" t="s">
        <v>676</v>
      </c>
      <c r="E114" s="25">
        <f>'Lease Cycles'!$AL$14</f>
        <v>0</v>
      </c>
      <c r="S114" s="25">
        <f>IF(S112=0,0,IF(S113&lt;INDEX('Lease Cycles'!$BN$14:$BT$14,1,S112),1,0))</f>
        <v>1</v>
      </c>
      <c r="T114" s="25">
        <f>IF(T112=0,0,IF(T113&lt;INDEX('Lease Cycles'!$BN$14:$BT$14,1,T112),1,0))</f>
        <v>1</v>
      </c>
      <c r="U114" s="25">
        <f>IF(U112=0,0,IF(U113&lt;INDEX('Lease Cycles'!$BN$14:$BT$14,1,U112),1,0))</f>
        <v>1</v>
      </c>
      <c r="V114" s="25">
        <f>IF(V112=0,0,IF(V113&lt;INDEX('Lease Cycles'!$BN$14:$BT$14,1,V112),1,0))</f>
        <v>1</v>
      </c>
      <c r="W114" s="25">
        <f>IF(W112=0,0,IF(W113&lt;INDEX('Lease Cycles'!$BN$14:$BT$14,1,W112),1,0))</f>
        <v>1</v>
      </c>
      <c r="X114" s="25">
        <f>IF(X112=0,0,IF(X113&lt;INDEX('Lease Cycles'!$BN$14:$BT$14,1,X112),1,0))</f>
        <v>1</v>
      </c>
      <c r="Y114" s="25">
        <f>IF(Y112=0,0,IF(Y113&lt;INDEX('Lease Cycles'!$BN$14:$BT$14,1,Y112),1,0))</f>
        <v>1</v>
      </c>
      <c r="Z114" s="25">
        <f>IF(Z112=0,0,IF(Z113&lt;INDEX('Lease Cycles'!$BN$14:$BT$14,1,Z112),1,0))</f>
        <v>1</v>
      </c>
      <c r="AA114" s="25">
        <f>IF(AA112=0,0,IF(AA113&lt;INDEX('Lease Cycles'!$BN$14:$BT$14,1,AA112),1,0))</f>
        <v>1</v>
      </c>
      <c r="AB114" s="25">
        <f>IF(AB112=0,0,IF(AB113&lt;INDEX('Lease Cycles'!$BN$14:$BT$14,1,AB112),1,0))</f>
        <v>1</v>
      </c>
      <c r="AC114" s="25">
        <f>IF(AC112=0,0,IF(AC113&lt;INDEX('Lease Cycles'!$BN$14:$BT$14,1,AC112),1,0))</f>
        <v>1</v>
      </c>
      <c r="AD114" s="25">
        <f>IF(AD112=0,0,IF(AD113&lt;INDEX('Lease Cycles'!$BN$14:$BT$14,1,AD112),1,0))</f>
        <v>1</v>
      </c>
      <c r="AE114" s="25">
        <f>IF(AE112=0,0,IF(AE113&lt;INDEX('Lease Cycles'!$BN$14:$BT$14,1,AE112),1,0))</f>
        <v>1</v>
      </c>
      <c r="AF114" s="25">
        <f>IF(AF112=0,0,IF(AF113&lt;INDEX('Lease Cycles'!$BN$14:$BT$14,1,AF112),1,0))</f>
        <v>1</v>
      </c>
      <c r="AG114" s="25">
        <f>IF(AG112=0,0,IF(AG113&lt;INDEX('Lease Cycles'!$BN$14:$BT$14,1,AG112),1,0))</f>
        <v>1</v>
      </c>
      <c r="AH114" s="25">
        <f>IF(AH112=0,0,IF(AH113&lt;INDEX('Lease Cycles'!$BN$14:$BT$14,1,AH112),1,0))</f>
        <v>1</v>
      </c>
      <c r="AI114" s="25">
        <f>IF(AI112=0,0,IF(AI113&lt;INDEX('Lease Cycles'!$BN$14:$BT$14,1,AI112),1,0))</f>
        <v>1</v>
      </c>
      <c r="AJ114" s="25">
        <f>IF(AJ112=0,0,IF(AJ113&lt;INDEX('Lease Cycles'!$BN$14:$BT$14,1,AJ112),1,0))</f>
        <v>1</v>
      </c>
      <c r="AK114" s="25">
        <f>IF(AK112=0,0,IF(AK113&lt;INDEX('Lease Cycles'!$BN$14:$BT$14,1,AK112),1,0))</f>
        <v>1</v>
      </c>
      <c r="AL114" s="25">
        <f>IF(AL112=0,0,IF(AL113&lt;INDEX('Lease Cycles'!$BN$14:$BT$14,1,AL112),1,0))</f>
        <v>1</v>
      </c>
      <c r="AM114" s="25">
        <f>IF(AM112=0,0,IF(AM113&lt;INDEX('Lease Cycles'!$BN$14:$BT$14,1,AM112),1,0))</f>
        <v>1</v>
      </c>
      <c r="AN114" s="25">
        <f>IF(AN112=0,0,IF(AN113&lt;INDEX('Lease Cycles'!$BN$14:$BT$14,1,AN112),1,0))</f>
        <v>1</v>
      </c>
      <c r="AO114" s="25">
        <f>IF(AO112=0,0,IF(AO113&lt;INDEX('Lease Cycles'!$BN$14:$BT$14,1,AO112),1,0))</f>
        <v>1</v>
      </c>
      <c r="AP114" s="25">
        <f>IF(AP112=0,0,IF(AP113&lt;INDEX('Lease Cycles'!$BN$14:$BT$14,1,AP112),1,0))</f>
        <v>1</v>
      </c>
      <c r="AQ114" s="25">
        <f>IF(AQ112=0,0,IF(AQ113&lt;INDEX('Lease Cycles'!$BN$14:$BT$14,1,AQ112),1,0))</f>
        <v>1</v>
      </c>
      <c r="AR114" s="25">
        <f>IF(AR112=0,0,IF(AR113&lt;INDEX('Lease Cycles'!$BN$14:$BT$14,1,AR112),1,0))</f>
        <v>1</v>
      </c>
      <c r="AS114" s="25">
        <f>IF(AS112=0,0,IF(AS113&lt;INDEX('Lease Cycles'!$BN$14:$BT$14,1,AS112),1,0))</f>
        <v>1</v>
      </c>
      <c r="AT114" s="25">
        <f>IF(AT112=0,0,IF(AT113&lt;INDEX('Lease Cycles'!$BN$14:$BT$14,1,AT112),1,0))</f>
        <v>0</v>
      </c>
      <c r="AU114" s="25">
        <f>IF(AU112=0,0,IF(AU113&lt;INDEX('Lease Cycles'!$BN$14:$BT$14,1,AU112),1,0))</f>
        <v>1</v>
      </c>
      <c r="AV114" s="25">
        <f>IF(AV112=0,0,IF(AV113&lt;INDEX('Lease Cycles'!$BN$14:$BT$14,1,AV112),1,0))</f>
        <v>1</v>
      </c>
      <c r="AW114" s="25">
        <f>IF(AW112=0,0,IF(AW113&lt;INDEX('Lease Cycles'!$BN$14:$BT$14,1,AW112),1,0))</f>
        <v>1</v>
      </c>
      <c r="AX114" s="25">
        <f>IF(AX112=0,0,IF(AX113&lt;INDEX('Lease Cycles'!$BN$14:$BT$14,1,AX112),1,0))</f>
        <v>1</v>
      </c>
      <c r="AY114" s="25">
        <f>IF(AY112=0,0,IF(AY113&lt;INDEX('Lease Cycles'!$BN$14:$BT$14,1,AY112),1,0))</f>
        <v>1</v>
      </c>
      <c r="AZ114" s="25">
        <f>IF(AZ112=0,0,IF(AZ113&lt;INDEX('Lease Cycles'!$BN$14:$BT$14,1,AZ112),1,0))</f>
        <v>1</v>
      </c>
      <c r="BA114" s="25">
        <f>IF(BA112=0,0,IF(BA113&lt;INDEX('Lease Cycles'!$BN$14:$BT$14,1,BA112),1,0))</f>
        <v>1</v>
      </c>
      <c r="BB114" s="25">
        <f>IF(BB112=0,0,IF(BB113&lt;INDEX('Lease Cycles'!$BN$14:$BT$14,1,BB112),1,0))</f>
        <v>1</v>
      </c>
      <c r="BC114" s="25">
        <f>IF(BC112=0,0,IF(BC113&lt;INDEX('Lease Cycles'!$BN$14:$BT$14,1,BC112),1,0))</f>
        <v>1</v>
      </c>
      <c r="BD114" s="25">
        <f>IF(BD112=0,0,IF(BD113&lt;INDEX('Lease Cycles'!$BN$14:$BT$14,1,BD112),1,0))</f>
        <v>1</v>
      </c>
      <c r="BE114" s="25">
        <f>IF(BE112=0,0,IF(BE113&lt;INDEX('Lease Cycles'!$BN$14:$BT$14,1,BE112),1,0))</f>
        <v>1</v>
      </c>
      <c r="BF114" s="25">
        <f>IF(BF112=0,0,IF(BF113&lt;INDEX('Lease Cycles'!$BN$14:$BT$14,1,BF112),1,0))</f>
        <v>1</v>
      </c>
      <c r="BG114" s="25">
        <f>IF(BG112=0,0,IF(BG113&lt;INDEX('Lease Cycles'!$BN$14:$BT$14,1,BG112),1,0))</f>
        <v>1</v>
      </c>
      <c r="BH114" s="25">
        <f>IF(BH112=0,0,IF(BH113&lt;INDEX('Lease Cycles'!$BN$14:$BT$14,1,BH112),1,0))</f>
        <v>1</v>
      </c>
      <c r="BI114" s="25">
        <f>IF(BI112=0,0,IF(BI113&lt;INDEX('Lease Cycles'!$BN$14:$BT$14,1,BI112),1,0))</f>
        <v>1</v>
      </c>
      <c r="BJ114" s="25">
        <f>IF(BJ112=0,0,IF(BJ113&lt;INDEX('Lease Cycles'!$BN$14:$BT$14,1,BJ112),1,0))</f>
        <v>1</v>
      </c>
      <c r="BK114" s="25">
        <f>IF(BK112=0,0,IF(BK113&lt;INDEX('Lease Cycles'!$BN$14:$BT$14,1,BK112),1,0))</f>
        <v>1</v>
      </c>
      <c r="BL114" s="25">
        <f>IF(BL112=0,0,IF(BL113&lt;INDEX('Lease Cycles'!$BN$14:$BT$14,1,BL112),1,0))</f>
        <v>1</v>
      </c>
      <c r="BM114" s="25">
        <f>IF(BM112=0,0,IF(BM113&lt;INDEX('Lease Cycles'!$BN$14:$BT$14,1,BM112),1,0))</f>
        <v>1</v>
      </c>
      <c r="BN114" s="25">
        <f>IF(BN112=0,0,IF(BN113&lt;INDEX('Lease Cycles'!$BN$14:$BT$14,1,BN112),1,0))</f>
        <v>1</v>
      </c>
      <c r="BO114" s="25">
        <f>IF(BO112=0,0,IF(BO113&lt;INDEX('Lease Cycles'!$BN$14:$BT$14,1,BO112),1,0))</f>
        <v>1</v>
      </c>
      <c r="BP114" s="25">
        <f>IF(BP112=0,0,IF(BP113&lt;INDEX('Lease Cycles'!$BN$14:$BT$14,1,BP112),1,0))</f>
        <v>1</v>
      </c>
      <c r="BQ114" s="25">
        <f>IF(BQ112=0,0,IF(BQ113&lt;INDEX('Lease Cycles'!$BN$14:$BT$14,1,BQ112),1,0))</f>
        <v>1</v>
      </c>
      <c r="BR114" s="25">
        <f>IF(BR112=0,0,IF(BR113&lt;INDEX('Lease Cycles'!$BN$14:$BT$14,1,BR112),1,0))</f>
        <v>1</v>
      </c>
      <c r="BS114" s="25">
        <f>IF(BS112=0,0,IF(BS113&lt;INDEX('Lease Cycles'!$BN$14:$BT$14,1,BS112),1,0))</f>
        <v>1</v>
      </c>
      <c r="BT114" s="25">
        <f>IF(BT112=0,0,IF(BT113&lt;INDEX('Lease Cycles'!$BN$14:$BT$14,1,BT112),1,0))</f>
        <v>1</v>
      </c>
      <c r="BU114" s="25">
        <f>IF(BU112=0,0,IF(BU113&lt;INDEX('Lease Cycles'!$BN$14:$BT$14,1,BU112),1,0))</f>
        <v>1</v>
      </c>
      <c r="BV114" s="25">
        <f>IF(BV112=0,0,IF(BV113&lt;INDEX('Lease Cycles'!$BN$14:$BT$14,1,BV112),1,0))</f>
        <v>1</v>
      </c>
      <c r="BW114" s="25">
        <f>IF(BW112=0,0,IF(BW113&lt;INDEX('Lease Cycles'!$BN$14:$BT$14,1,BW112),1,0))</f>
        <v>1</v>
      </c>
      <c r="BX114" s="25">
        <f>IF(BX112=0,0,IF(BX113&lt;INDEX('Lease Cycles'!$BN$14:$BT$14,1,BX112),1,0))</f>
        <v>1</v>
      </c>
      <c r="BY114" s="25">
        <f>IF(BY112=0,0,IF(BY113&lt;INDEX('Lease Cycles'!$BN$14:$BT$14,1,BY112),1,0))</f>
        <v>1</v>
      </c>
      <c r="BZ114" s="25">
        <f>IF(BZ112=0,0,IF(BZ113&lt;INDEX('Lease Cycles'!$BN$14:$BT$14,1,BZ112),1,0))</f>
        <v>1</v>
      </c>
      <c r="CA114" s="25">
        <f>IF(CA112=0,0,IF(CA113&lt;INDEX('Lease Cycles'!$BN$14:$BT$14,1,CA112),1,0))</f>
        <v>1</v>
      </c>
      <c r="CB114" s="25">
        <f>IF(CB112=0,0,IF(CB113&lt;INDEX('Lease Cycles'!$BN$14:$BT$14,1,CB112),1,0))</f>
        <v>1</v>
      </c>
      <c r="CC114" s="25">
        <f>IF(CC112=0,0,IF(CC113&lt;INDEX('Lease Cycles'!$BN$14:$BT$14,1,CC112),1,0))</f>
        <v>1</v>
      </c>
      <c r="CD114" s="25">
        <f>IF(CD112=0,0,IF(CD113&lt;INDEX('Lease Cycles'!$BN$14:$BT$14,1,CD112),1,0))</f>
        <v>1</v>
      </c>
      <c r="CE114" s="25">
        <f>IF(CE112=0,0,IF(CE113&lt;INDEX('Lease Cycles'!$BN$14:$BT$14,1,CE112),1,0))</f>
        <v>1</v>
      </c>
      <c r="CF114" s="25">
        <f>IF(CF112=0,0,IF(CF113&lt;INDEX('Lease Cycles'!$BN$14:$BT$14,1,CF112),1,0))</f>
        <v>1</v>
      </c>
      <c r="CG114" s="25">
        <f>IF(CG112=0,0,IF(CG113&lt;INDEX('Lease Cycles'!$BN$14:$BT$14,1,CG112),1,0))</f>
        <v>1</v>
      </c>
      <c r="CH114" s="25">
        <f>IF(CH112=0,0,IF(CH113&lt;INDEX('Lease Cycles'!$BN$14:$BT$14,1,CH112),1,0))</f>
        <v>1</v>
      </c>
      <c r="CI114" s="25">
        <f>IF(CI112=0,0,IF(CI113&lt;INDEX('Lease Cycles'!$BN$14:$BT$14,1,CI112),1,0))</f>
        <v>1</v>
      </c>
      <c r="CJ114" s="25">
        <f>IF(CJ112=0,0,IF(CJ113&lt;INDEX('Lease Cycles'!$BN$14:$BT$14,1,CJ112),1,0))</f>
        <v>1</v>
      </c>
      <c r="CK114" s="25">
        <f>IF(CK112=0,0,IF(CK113&lt;INDEX('Lease Cycles'!$BN$14:$BT$14,1,CK112),1,0))</f>
        <v>1</v>
      </c>
      <c r="CL114" s="25">
        <f>IF(CL112=0,0,IF(CL113&lt;INDEX('Lease Cycles'!$BN$14:$BT$14,1,CL112),1,0))</f>
        <v>1</v>
      </c>
      <c r="CM114" s="25">
        <f>IF(CM112=0,0,IF(CM113&lt;INDEX('Lease Cycles'!$BN$14:$BT$14,1,CM112),1,0))</f>
        <v>1</v>
      </c>
      <c r="CN114" s="25">
        <f>IF(CN112=0,0,IF(CN113&lt;INDEX('Lease Cycles'!$BN$14:$BT$14,1,CN112),1,0))</f>
        <v>1</v>
      </c>
      <c r="CO114" s="25">
        <f>IF(CO112=0,0,IF(CO113&lt;INDEX('Lease Cycles'!$BN$14:$BT$14,1,CO112),1,0))</f>
        <v>1</v>
      </c>
      <c r="CP114" s="25">
        <f>IF(CP112=0,0,IF(CP113&lt;INDEX('Lease Cycles'!$BN$14:$BT$14,1,CP112),1,0))</f>
        <v>1</v>
      </c>
      <c r="CQ114" s="25">
        <f>IF(CQ112=0,0,IF(CQ113&lt;INDEX('Lease Cycles'!$BN$14:$BT$14,1,CQ112),1,0))</f>
        <v>1</v>
      </c>
      <c r="CR114" s="25">
        <f>IF(CR112=0,0,IF(CR113&lt;INDEX('Lease Cycles'!$BN$14:$BT$14,1,CR112),1,0))</f>
        <v>1</v>
      </c>
      <c r="CS114" s="25">
        <f>IF(CS112=0,0,IF(CS113&lt;INDEX('Lease Cycles'!$BN$14:$BT$14,1,CS112),1,0))</f>
        <v>1</v>
      </c>
      <c r="CT114" s="25">
        <f>IF(CT112=0,0,IF(CT113&lt;INDEX('Lease Cycles'!$BN$14:$BT$14,1,CT112),1,0))</f>
        <v>1</v>
      </c>
      <c r="CU114" s="25">
        <f>IF(CU112=0,0,IF(CU113&lt;INDEX('Lease Cycles'!$BN$14:$BT$14,1,CU112),1,0))</f>
        <v>1</v>
      </c>
      <c r="CV114" s="25">
        <f>IF(CV112=0,0,IF(CV113&lt;INDEX('Lease Cycles'!$BN$14:$BT$14,1,CV112),1,0))</f>
        <v>1</v>
      </c>
      <c r="CW114" s="25">
        <f>IF(CW112=0,0,IF(CW113&lt;INDEX('Lease Cycles'!$BN$14:$BT$14,1,CW112),1,0))</f>
        <v>1</v>
      </c>
      <c r="CX114" s="25">
        <f>IF(CX112=0,0,IF(CX113&lt;INDEX('Lease Cycles'!$BN$14:$BT$14,1,CX112),1,0))</f>
        <v>1</v>
      </c>
      <c r="CY114" s="25">
        <f>IF(CY112=0,0,IF(CY113&lt;INDEX('Lease Cycles'!$BN$14:$BT$14,1,CY112),1,0))</f>
        <v>1</v>
      </c>
      <c r="CZ114" s="25">
        <f>IF(CZ112=0,0,IF(CZ113&lt;INDEX('Lease Cycles'!$BN$14:$BT$14,1,CZ112),1,0))</f>
        <v>1</v>
      </c>
      <c r="DA114" s="25">
        <f>IF(DA112=0,0,IF(DA113&lt;INDEX('Lease Cycles'!$BN$14:$BT$14,1,DA112),1,0))</f>
        <v>1</v>
      </c>
      <c r="DB114" s="25">
        <f>IF(DB112=0,0,IF(DB113&lt;INDEX('Lease Cycles'!$BN$14:$BT$14,1,DB112),1,0))</f>
        <v>1</v>
      </c>
      <c r="DC114" s="25">
        <f>IF(DC112=0,0,IF(DC113&lt;INDEX('Lease Cycles'!$BN$14:$BT$14,1,DC112),1,0))</f>
        <v>1</v>
      </c>
      <c r="DD114" s="25">
        <f>IF(DD112=0,0,IF(DD113&lt;INDEX('Lease Cycles'!$BN$14:$BT$14,1,DD112),1,0))</f>
        <v>1</v>
      </c>
      <c r="DE114" s="25">
        <f>IF(DE112=0,0,IF(DE113&lt;INDEX('Lease Cycles'!$BN$14:$BT$14,1,DE112),1,0))</f>
        <v>1</v>
      </c>
      <c r="DF114" s="25">
        <f>IF(DF112=0,0,IF(DF113&lt;INDEX('Lease Cycles'!$BN$14:$BT$14,1,DF112),1,0))</f>
        <v>1</v>
      </c>
      <c r="DG114" s="25">
        <f>IF(DG112=0,0,IF(DG113&lt;INDEX('Lease Cycles'!$BN$14:$BT$14,1,DG112),1,0))</f>
        <v>1</v>
      </c>
      <c r="DH114" s="25">
        <f>IF(DH112=0,0,IF(DH113&lt;INDEX('Lease Cycles'!$BN$14:$BT$14,1,DH112),1,0))</f>
        <v>1</v>
      </c>
      <c r="DI114" s="25">
        <f>IF(DI112=0,0,IF(DI113&lt;INDEX('Lease Cycles'!$BN$14:$BT$14,1,DI112),1,0))</f>
        <v>1</v>
      </c>
      <c r="DJ114" s="25">
        <f>IF(DJ112=0,0,IF(DJ113&lt;INDEX('Lease Cycles'!$BN$14:$BT$14,1,DJ112),1,0))</f>
        <v>1</v>
      </c>
      <c r="DK114" s="25">
        <f>IF(DK112=0,0,IF(DK113&lt;INDEX('Lease Cycles'!$BN$14:$BT$14,1,DK112),1,0))</f>
        <v>1</v>
      </c>
      <c r="DL114" s="25">
        <f>IF(DL112=0,0,IF(DL113&lt;INDEX('Lease Cycles'!$BN$14:$BT$14,1,DL112),1,0))</f>
        <v>1</v>
      </c>
      <c r="DM114" s="25">
        <f>IF(DM112=0,0,IF(DM113&lt;INDEX('Lease Cycles'!$BN$14:$BT$14,1,DM112),1,0))</f>
        <v>1</v>
      </c>
      <c r="DN114" s="25">
        <f>IF(DN112=0,0,IF(DN113&lt;INDEX('Lease Cycles'!$BN$14:$BT$14,1,DN112),1,0))</f>
        <v>1</v>
      </c>
      <c r="DO114" s="25">
        <f>IF(DO112=0,0,IF(DO113&lt;INDEX('Lease Cycles'!$BN$14:$BT$14,1,DO112),1,0))</f>
        <v>1</v>
      </c>
      <c r="DP114" s="25">
        <f>IF(DP112=0,0,IF(DP113&lt;INDEX('Lease Cycles'!$BN$14:$BT$14,1,DP112),1,0))</f>
        <v>1</v>
      </c>
      <c r="DQ114" s="25">
        <f>IF(DQ112=0,0,IF(DQ113&lt;INDEX('Lease Cycles'!$BN$14:$BT$14,1,DQ112),1,0))</f>
        <v>1</v>
      </c>
      <c r="DR114" s="25">
        <f>IF(DR112=0,0,IF(DR113&lt;INDEX('Lease Cycles'!$BN$14:$BT$14,1,DR112),1,0))</f>
        <v>1</v>
      </c>
      <c r="DS114" s="25">
        <f>IF(DS112=0,0,IF(DS113&lt;INDEX('Lease Cycles'!$BN$14:$BT$14,1,DS112),1,0))</f>
        <v>1</v>
      </c>
      <c r="DT114" s="25">
        <f>IF(DT112=0,0,IF(DT113&lt;INDEX('Lease Cycles'!$BN$14:$BT$14,1,DT112),1,0))</f>
        <v>1</v>
      </c>
      <c r="DU114" s="25">
        <f>IF(DU112=0,0,IF(DU113&lt;INDEX('Lease Cycles'!$BN$14:$BT$14,1,DU112),1,0))</f>
        <v>1</v>
      </c>
      <c r="DV114" s="25">
        <f>IF(DV112=0,0,IF(DV113&lt;INDEX('Lease Cycles'!$BN$14:$BT$14,1,DV112),1,0))</f>
        <v>1</v>
      </c>
      <c r="DW114" s="25">
        <f>IF(DW112=0,0,IF(DW113&lt;INDEX('Lease Cycles'!$BN$14:$BT$14,1,DW112),1,0))</f>
        <v>1</v>
      </c>
      <c r="DX114" s="25">
        <f>IF(DX112=0,0,IF(DX113&lt;INDEX('Lease Cycles'!$BN$14:$BT$14,1,DX112),1,0))</f>
        <v>1</v>
      </c>
      <c r="DY114" s="25">
        <f>IF(DY112=0,0,IF(DY113&lt;INDEX('Lease Cycles'!$BN$14:$BT$14,1,DY112),1,0))</f>
        <v>1</v>
      </c>
      <c r="DZ114" s="25">
        <f>IF(DZ112=0,0,IF(DZ113&lt;INDEX('Lease Cycles'!$BN$14:$BT$14,1,DZ112),1,0))</f>
        <v>1</v>
      </c>
      <c r="EA114" s="25">
        <f>IF(EA112=0,0,IF(EA113&lt;INDEX('Lease Cycles'!$BN$14:$BT$14,1,EA112),1,0))</f>
        <v>1</v>
      </c>
      <c r="EB114" s="25">
        <f>IF(EB112=0,0,IF(EB113&lt;INDEX('Lease Cycles'!$BN$14:$BT$14,1,EB112),1,0))</f>
        <v>1</v>
      </c>
      <c r="EC114" s="25">
        <f>IF(EC112=0,0,IF(EC113&lt;INDEX('Lease Cycles'!$BN$14:$BT$14,1,EC112),1,0))</f>
        <v>1</v>
      </c>
      <c r="ED114" s="25">
        <f>IF(ED112=0,0,IF(ED113&lt;INDEX('Lease Cycles'!$BN$14:$BT$14,1,ED112),1,0))</f>
        <v>0</v>
      </c>
      <c r="EE114" s="25">
        <f>IF(EE112=0,0,IF(EE113&lt;INDEX('Lease Cycles'!$BN$14:$BT$14,1,EE112),1,0))</f>
        <v>1</v>
      </c>
      <c r="EF114" s="25">
        <f>IF(EF112=0,0,IF(EF113&lt;INDEX('Lease Cycles'!$BN$14:$BT$14,1,EF112),1,0))</f>
        <v>1</v>
      </c>
      <c r="EG114" s="25">
        <f>IF(EG112=0,0,IF(EG113&lt;INDEX('Lease Cycles'!$BN$14:$BT$14,1,EG112),1,0))</f>
        <v>1</v>
      </c>
      <c r="EH114" s="25">
        <f>IF(EH112=0,0,IF(EH113&lt;INDEX('Lease Cycles'!$BN$14:$BT$14,1,EH112),1,0))</f>
        <v>1</v>
      </c>
      <c r="EI114" s="25">
        <f>IF(EI112=0,0,IF(EI113&lt;INDEX('Lease Cycles'!$BN$14:$BT$14,1,EI112),1,0))</f>
        <v>1</v>
      </c>
      <c r="EJ114" s="25">
        <f>IF(EJ112=0,0,IF(EJ113&lt;INDEX('Lease Cycles'!$BN$14:$BT$14,1,EJ112),1,0))</f>
        <v>1</v>
      </c>
      <c r="EK114" s="25">
        <f>IF(EK112=0,0,IF(EK113&lt;INDEX('Lease Cycles'!$BN$14:$BT$14,1,EK112),1,0))</f>
        <v>1</v>
      </c>
      <c r="EL114" s="25">
        <f>IF(EL112=0,0,IF(EL113&lt;INDEX('Lease Cycles'!$BN$14:$BT$14,1,EL112),1,0))</f>
        <v>1</v>
      </c>
      <c r="EM114" s="25">
        <f>IF(EM112=0,0,IF(EM113&lt;INDEX('Lease Cycles'!$BN$14:$BT$14,1,EM112),1,0))</f>
        <v>1</v>
      </c>
      <c r="EN114" s="25">
        <f>IF(EN112=0,0,IF(EN113&lt;INDEX('Lease Cycles'!$BN$14:$BT$14,1,EN112),1,0))</f>
        <v>1</v>
      </c>
      <c r="EO114" s="25">
        <f>IF(EO112=0,0,IF(EO113&lt;INDEX('Lease Cycles'!$BN$14:$BT$14,1,EO112),1,0))</f>
        <v>1</v>
      </c>
      <c r="EP114" s="25">
        <f>IF(EP112=0,0,IF(EP113&lt;INDEX('Lease Cycles'!$BN$14:$BT$14,1,EP112),1,0))</f>
        <v>1</v>
      </c>
      <c r="EQ114" s="25">
        <f>IF(EQ112=0,0,IF(EQ113&lt;INDEX('Lease Cycles'!$BN$14:$BT$14,1,EQ112),1,0))</f>
        <v>1</v>
      </c>
      <c r="ER114" s="25">
        <f>IF(ER112=0,0,IF(ER113&lt;INDEX('Lease Cycles'!$BN$14:$BT$14,1,ER112),1,0))</f>
        <v>1</v>
      </c>
      <c r="ES114" s="25">
        <f>IF(ES112=0,0,IF(ES113&lt;INDEX('Lease Cycles'!$BN$14:$BT$14,1,ES112),1,0))</f>
        <v>1</v>
      </c>
      <c r="ET114" s="25">
        <f>IF(ET112=0,0,IF(ET113&lt;INDEX('Lease Cycles'!$BN$14:$BT$14,1,ET112),1,0))</f>
        <v>1</v>
      </c>
    </row>
    <row r="115">
      <c r="A115" s="103">
        <v>7</v>
      </c>
      <c r="B115" s="23" t="str">
        <f>IF('Lease Cycles'!$B$14="","(empty slot)",'Lease Cycles'!$B$14)</f>
        <v>Sunfield Nails</v>
      </c>
      <c r="C115" s="23" t="s">
        <v>677</v>
      </c>
      <c r="D115" s="104" t="s">
        <v>678</v>
      </c>
      <c r="E115" s="25">
        <f>'Lease Cycles'!$AL$14</f>
        <v>0</v>
      </c>
      <c r="S115" s="28">
        <f>IF(S112=0,IF('Lease Cycles'!$F$14&gt;0,'Lease Cycles'!$C$14*'Lease Cycles'!$E$14/12,0),IF(S114=1,IF('Lease Cycles'!$AT$14&gt;=9999,'Lease Cycles'!$C$14*INDEX('Lease Cycles'!$CB$14:$CH$14,1,S112)*(1+INDEX('Lease Cycles'!$CI$14:$CO$14,1,S112))^INT(INT(S113/12)/INDEX('Lease Cycles'!$CP$14:$CV$14,1,S112))/12,IF(S112=1,IF(S113&gt;=INDEX('Lease Cycles'!$DK$14:$DQ$14,1,S112),IF(S$6&gt;='Lease Cycles'!$AZ$14,'Lease Cycles'!$C$14*'Lease Cycles'!$BA$14/12,IF(S$6&gt;='Lease Cycles'!$AX$14,'Lease Cycles'!$C$14*'Lease Cycles'!$AY$14/12,IF(S$6&gt;='Lease Cycles'!$AV$14,'Lease Cycles'!$C$14*'Lease Cycles'!$AW$14/12,IF(S$6&gt;='Lease Cycles'!$AT$14,'Lease Cycles'!$C$14*'Lease Cycles'!$AU$14/12,'Lease Cycles'!$C$14*INDEX('Lease Cycles'!$CB$14:$CH$14,1,S112)*(1+INDEX('Lease Cycles'!$CI$14:$CO$14,1,S112))^INT(INT(S113/12)/INDEX('Lease Cycles'!$CP$14:$CV$14,1,S112))/12)))),'Lease Cycles'!$C$14*INDEX('Lease Cycles'!$CB$14:$CH$14,1,S112)*(1+INDEX('Lease Cycles'!$CI$14:$CO$14,1,S112))^INT(INT(S113/12)/INDEX('Lease Cycles'!$CP$14:$CV$14,1,S112))/12),IF(INDEX('Lease Cycles'!$EF$14:$EL$14,1,S112)=1,IF(AND('Lease Cycles'!$AZ$14&gt;=INDEX('Lease Cycles'!$BG$14:$BM$14,1,S112),'Lease Cycles'!$AZ$14&lt;=S$6),'Lease Cycles'!$C$14*'Lease Cycles'!$BA$14/12,IF(AND('Lease Cycles'!$AX$14&gt;=INDEX('Lease Cycles'!$BG$14:$BM$14,1,S112),'Lease Cycles'!$AX$14&lt;=S$6),'Lease Cycles'!$C$14*'Lease Cycles'!$AY$14/12,IF(AND('Lease Cycles'!$AV$14&gt;=INDEX('Lease Cycles'!$BG$14:$BM$14,1,S112),'Lease Cycles'!$AV$14&lt;=S$6),'Lease Cycles'!$C$14*'Lease Cycles'!$AW$14/12,IF(AND('Lease Cycles'!$AT$14&gt;=INDEX('Lease Cycles'!$BG$14:$BM$14,1,S112),'Lease Cycles'!$AT$14&lt;=S$6),'Lease Cycles'!$C$14*'Lease Cycles'!$AU$14/12,'Lease Cycles'!$C$14*INDEX('Lease Cycles'!$CB$14:$CH$14,1,S112)*(1+INDEX('Lease Cycles'!$CI$14:$CO$14,1,S112))^INT(INT(S113/12)/INDEX('Lease Cycles'!$CP$14:$CV$14,1,S112))/12)))),'Lease Cycles'!$C$14*INDEX('Lease Cycles'!$CB$14:$CH$14,1,S112)*(1+INDEX('Lease Cycles'!$CI$14:$CO$14,1,S112))^INT(INT(S113/12)/INDEX('Lease Cycles'!$CP$14:$CV$14,1,S112))/12))),IF('Lease Cycles'!$N$14=1,'Lease Cycles'!$C$14*'Lease Cycles'!$E$14*INDEX('Lease Cycles'!$HE$14:$HK$14,1,S112)*(1+INDEX('Lease Cycles'!$GQ$14:$GW$14,1,S112))^INT(INT((S$6-INDEX('Lease Cycles'!$GJ$14:$GP$14,1,S112))/12)/INDEX('Lease Cycles'!$GX$14:$HD$14,1,S112))/12,0)))</f>
        <v>3266.6666666666665</v>
      </c>
      <c r="T115" s="28">
        <f>IF(T112=0,IF('Lease Cycles'!$F$14&gt;0,'Lease Cycles'!$C$14*'Lease Cycles'!$E$14/12,0),IF(T114=1,IF('Lease Cycles'!$AT$14&gt;=9999,'Lease Cycles'!$C$14*INDEX('Lease Cycles'!$CB$14:$CH$14,1,T112)*(1+INDEX('Lease Cycles'!$CI$14:$CO$14,1,T112))^INT(INT(T113/12)/INDEX('Lease Cycles'!$CP$14:$CV$14,1,T112))/12,IF(T112=1,IF(T113&gt;=INDEX('Lease Cycles'!$DK$14:$DQ$14,1,T112),IF(T$6&gt;='Lease Cycles'!$AZ$14,'Lease Cycles'!$C$14*'Lease Cycles'!$BA$14/12,IF(T$6&gt;='Lease Cycles'!$AX$14,'Lease Cycles'!$C$14*'Lease Cycles'!$AY$14/12,IF(T$6&gt;='Lease Cycles'!$AV$14,'Lease Cycles'!$C$14*'Lease Cycles'!$AW$14/12,IF(T$6&gt;='Lease Cycles'!$AT$14,'Lease Cycles'!$C$14*'Lease Cycles'!$AU$14/12,'Lease Cycles'!$C$14*INDEX('Lease Cycles'!$CB$14:$CH$14,1,T112)*(1+INDEX('Lease Cycles'!$CI$14:$CO$14,1,T112))^INT(INT(T113/12)/INDEX('Lease Cycles'!$CP$14:$CV$14,1,T112))/12)))),'Lease Cycles'!$C$14*INDEX('Lease Cycles'!$CB$14:$CH$14,1,T112)*(1+INDEX('Lease Cycles'!$CI$14:$CO$14,1,T112))^INT(INT(T113/12)/INDEX('Lease Cycles'!$CP$14:$CV$14,1,T112))/12),IF(INDEX('Lease Cycles'!$EF$14:$EL$14,1,T112)=1,IF(AND('Lease Cycles'!$AZ$14&gt;=INDEX('Lease Cycles'!$BG$14:$BM$14,1,T112),'Lease Cycles'!$AZ$14&lt;=T$6),'Lease Cycles'!$C$14*'Lease Cycles'!$BA$14/12,IF(AND('Lease Cycles'!$AX$14&gt;=INDEX('Lease Cycles'!$BG$14:$BM$14,1,T112),'Lease Cycles'!$AX$14&lt;=T$6),'Lease Cycles'!$C$14*'Lease Cycles'!$AY$14/12,IF(AND('Lease Cycles'!$AV$14&gt;=INDEX('Lease Cycles'!$BG$14:$BM$14,1,T112),'Lease Cycles'!$AV$14&lt;=T$6),'Lease Cycles'!$C$14*'Lease Cycles'!$AW$14/12,IF(AND('Lease Cycles'!$AT$14&gt;=INDEX('Lease Cycles'!$BG$14:$BM$14,1,T112),'Lease Cycles'!$AT$14&lt;=T$6),'Lease Cycles'!$C$14*'Lease Cycles'!$AU$14/12,'Lease Cycles'!$C$14*INDEX('Lease Cycles'!$CB$14:$CH$14,1,T112)*(1+INDEX('Lease Cycles'!$CI$14:$CO$14,1,T112))^INT(INT(T113/12)/INDEX('Lease Cycles'!$CP$14:$CV$14,1,T112))/12)))),'Lease Cycles'!$C$14*INDEX('Lease Cycles'!$CB$14:$CH$14,1,T112)*(1+INDEX('Lease Cycles'!$CI$14:$CO$14,1,T112))^INT(INT(T113/12)/INDEX('Lease Cycles'!$CP$14:$CV$14,1,T112))/12))),IF('Lease Cycles'!$N$14=1,'Lease Cycles'!$C$14*'Lease Cycles'!$E$14*INDEX('Lease Cycles'!$HE$14:$HK$14,1,T112)*(1+INDEX('Lease Cycles'!$GQ$14:$GW$14,1,T112))^INT(INT((T$6-INDEX('Lease Cycles'!$GJ$14:$GP$14,1,T112))/12)/INDEX('Lease Cycles'!$GX$14:$HD$14,1,T112))/12,0)))</f>
        <v>3266.6666666666665</v>
      </c>
      <c r="U115" s="28">
        <f>IF(U112=0,IF('Lease Cycles'!$F$14&gt;0,'Lease Cycles'!$C$14*'Lease Cycles'!$E$14/12,0),IF(U114=1,IF('Lease Cycles'!$AT$14&gt;=9999,'Lease Cycles'!$C$14*INDEX('Lease Cycles'!$CB$14:$CH$14,1,U112)*(1+INDEX('Lease Cycles'!$CI$14:$CO$14,1,U112))^INT(INT(U113/12)/INDEX('Lease Cycles'!$CP$14:$CV$14,1,U112))/12,IF(U112=1,IF(U113&gt;=INDEX('Lease Cycles'!$DK$14:$DQ$14,1,U112),IF(U$6&gt;='Lease Cycles'!$AZ$14,'Lease Cycles'!$C$14*'Lease Cycles'!$BA$14/12,IF(U$6&gt;='Lease Cycles'!$AX$14,'Lease Cycles'!$C$14*'Lease Cycles'!$AY$14/12,IF(U$6&gt;='Lease Cycles'!$AV$14,'Lease Cycles'!$C$14*'Lease Cycles'!$AW$14/12,IF(U$6&gt;='Lease Cycles'!$AT$14,'Lease Cycles'!$C$14*'Lease Cycles'!$AU$14/12,'Lease Cycles'!$C$14*INDEX('Lease Cycles'!$CB$14:$CH$14,1,U112)*(1+INDEX('Lease Cycles'!$CI$14:$CO$14,1,U112))^INT(INT(U113/12)/INDEX('Lease Cycles'!$CP$14:$CV$14,1,U112))/12)))),'Lease Cycles'!$C$14*INDEX('Lease Cycles'!$CB$14:$CH$14,1,U112)*(1+INDEX('Lease Cycles'!$CI$14:$CO$14,1,U112))^INT(INT(U113/12)/INDEX('Lease Cycles'!$CP$14:$CV$14,1,U112))/12),IF(INDEX('Lease Cycles'!$EF$14:$EL$14,1,U112)=1,IF(AND('Lease Cycles'!$AZ$14&gt;=INDEX('Lease Cycles'!$BG$14:$BM$14,1,U112),'Lease Cycles'!$AZ$14&lt;=U$6),'Lease Cycles'!$C$14*'Lease Cycles'!$BA$14/12,IF(AND('Lease Cycles'!$AX$14&gt;=INDEX('Lease Cycles'!$BG$14:$BM$14,1,U112),'Lease Cycles'!$AX$14&lt;=U$6),'Lease Cycles'!$C$14*'Lease Cycles'!$AY$14/12,IF(AND('Lease Cycles'!$AV$14&gt;=INDEX('Lease Cycles'!$BG$14:$BM$14,1,U112),'Lease Cycles'!$AV$14&lt;=U$6),'Lease Cycles'!$C$14*'Lease Cycles'!$AW$14/12,IF(AND('Lease Cycles'!$AT$14&gt;=INDEX('Lease Cycles'!$BG$14:$BM$14,1,U112),'Lease Cycles'!$AT$14&lt;=U$6),'Lease Cycles'!$C$14*'Lease Cycles'!$AU$14/12,'Lease Cycles'!$C$14*INDEX('Lease Cycles'!$CB$14:$CH$14,1,U112)*(1+INDEX('Lease Cycles'!$CI$14:$CO$14,1,U112))^INT(INT(U113/12)/INDEX('Lease Cycles'!$CP$14:$CV$14,1,U112))/12)))),'Lease Cycles'!$C$14*INDEX('Lease Cycles'!$CB$14:$CH$14,1,U112)*(1+INDEX('Lease Cycles'!$CI$14:$CO$14,1,U112))^INT(INT(U113/12)/INDEX('Lease Cycles'!$CP$14:$CV$14,1,U112))/12))),IF('Lease Cycles'!$N$14=1,'Lease Cycles'!$C$14*'Lease Cycles'!$E$14*INDEX('Lease Cycles'!$HE$14:$HK$14,1,U112)*(1+INDEX('Lease Cycles'!$GQ$14:$GW$14,1,U112))^INT(INT((U$6-INDEX('Lease Cycles'!$GJ$14:$GP$14,1,U112))/12)/INDEX('Lease Cycles'!$GX$14:$HD$14,1,U112))/12,0)))</f>
        <v>3266.6666666666665</v>
      </c>
      <c r="V115" s="28">
        <f>IF(V112=0,IF('Lease Cycles'!$F$14&gt;0,'Lease Cycles'!$C$14*'Lease Cycles'!$E$14/12,0),IF(V114=1,IF('Lease Cycles'!$AT$14&gt;=9999,'Lease Cycles'!$C$14*INDEX('Lease Cycles'!$CB$14:$CH$14,1,V112)*(1+INDEX('Lease Cycles'!$CI$14:$CO$14,1,V112))^INT(INT(V113/12)/INDEX('Lease Cycles'!$CP$14:$CV$14,1,V112))/12,IF(V112=1,IF(V113&gt;=INDEX('Lease Cycles'!$DK$14:$DQ$14,1,V112),IF(V$6&gt;='Lease Cycles'!$AZ$14,'Lease Cycles'!$C$14*'Lease Cycles'!$BA$14/12,IF(V$6&gt;='Lease Cycles'!$AX$14,'Lease Cycles'!$C$14*'Lease Cycles'!$AY$14/12,IF(V$6&gt;='Lease Cycles'!$AV$14,'Lease Cycles'!$C$14*'Lease Cycles'!$AW$14/12,IF(V$6&gt;='Lease Cycles'!$AT$14,'Lease Cycles'!$C$14*'Lease Cycles'!$AU$14/12,'Lease Cycles'!$C$14*INDEX('Lease Cycles'!$CB$14:$CH$14,1,V112)*(1+INDEX('Lease Cycles'!$CI$14:$CO$14,1,V112))^INT(INT(V113/12)/INDEX('Lease Cycles'!$CP$14:$CV$14,1,V112))/12)))),'Lease Cycles'!$C$14*INDEX('Lease Cycles'!$CB$14:$CH$14,1,V112)*(1+INDEX('Lease Cycles'!$CI$14:$CO$14,1,V112))^INT(INT(V113/12)/INDEX('Lease Cycles'!$CP$14:$CV$14,1,V112))/12),IF(INDEX('Lease Cycles'!$EF$14:$EL$14,1,V112)=1,IF(AND('Lease Cycles'!$AZ$14&gt;=INDEX('Lease Cycles'!$BG$14:$BM$14,1,V112),'Lease Cycles'!$AZ$14&lt;=V$6),'Lease Cycles'!$C$14*'Lease Cycles'!$BA$14/12,IF(AND('Lease Cycles'!$AX$14&gt;=INDEX('Lease Cycles'!$BG$14:$BM$14,1,V112),'Lease Cycles'!$AX$14&lt;=V$6),'Lease Cycles'!$C$14*'Lease Cycles'!$AY$14/12,IF(AND('Lease Cycles'!$AV$14&gt;=INDEX('Lease Cycles'!$BG$14:$BM$14,1,V112),'Lease Cycles'!$AV$14&lt;=V$6),'Lease Cycles'!$C$14*'Lease Cycles'!$AW$14/12,IF(AND('Lease Cycles'!$AT$14&gt;=INDEX('Lease Cycles'!$BG$14:$BM$14,1,V112),'Lease Cycles'!$AT$14&lt;=V$6),'Lease Cycles'!$C$14*'Lease Cycles'!$AU$14/12,'Lease Cycles'!$C$14*INDEX('Lease Cycles'!$CB$14:$CH$14,1,V112)*(1+INDEX('Lease Cycles'!$CI$14:$CO$14,1,V112))^INT(INT(V113/12)/INDEX('Lease Cycles'!$CP$14:$CV$14,1,V112))/12)))),'Lease Cycles'!$C$14*INDEX('Lease Cycles'!$CB$14:$CH$14,1,V112)*(1+INDEX('Lease Cycles'!$CI$14:$CO$14,1,V112))^INT(INT(V113/12)/INDEX('Lease Cycles'!$CP$14:$CV$14,1,V112))/12))),IF('Lease Cycles'!$N$14=1,'Lease Cycles'!$C$14*'Lease Cycles'!$E$14*INDEX('Lease Cycles'!$HE$14:$HK$14,1,V112)*(1+INDEX('Lease Cycles'!$GQ$14:$GW$14,1,V112))^INT(INT((V$6-INDEX('Lease Cycles'!$GJ$14:$GP$14,1,V112))/12)/INDEX('Lease Cycles'!$GX$14:$HD$14,1,V112))/12,0)))</f>
        <v>3266.6666666666665</v>
      </c>
      <c r="W115" s="28">
        <f>IF(W112=0,IF('Lease Cycles'!$F$14&gt;0,'Lease Cycles'!$C$14*'Lease Cycles'!$E$14/12,0),IF(W114=1,IF('Lease Cycles'!$AT$14&gt;=9999,'Lease Cycles'!$C$14*INDEX('Lease Cycles'!$CB$14:$CH$14,1,W112)*(1+INDEX('Lease Cycles'!$CI$14:$CO$14,1,W112))^INT(INT(W113/12)/INDEX('Lease Cycles'!$CP$14:$CV$14,1,W112))/12,IF(W112=1,IF(W113&gt;=INDEX('Lease Cycles'!$DK$14:$DQ$14,1,W112),IF(W$6&gt;='Lease Cycles'!$AZ$14,'Lease Cycles'!$C$14*'Lease Cycles'!$BA$14/12,IF(W$6&gt;='Lease Cycles'!$AX$14,'Lease Cycles'!$C$14*'Lease Cycles'!$AY$14/12,IF(W$6&gt;='Lease Cycles'!$AV$14,'Lease Cycles'!$C$14*'Lease Cycles'!$AW$14/12,IF(W$6&gt;='Lease Cycles'!$AT$14,'Lease Cycles'!$C$14*'Lease Cycles'!$AU$14/12,'Lease Cycles'!$C$14*INDEX('Lease Cycles'!$CB$14:$CH$14,1,W112)*(1+INDEX('Lease Cycles'!$CI$14:$CO$14,1,W112))^INT(INT(W113/12)/INDEX('Lease Cycles'!$CP$14:$CV$14,1,W112))/12)))),'Lease Cycles'!$C$14*INDEX('Lease Cycles'!$CB$14:$CH$14,1,W112)*(1+INDEX('Lease Cycles'!$CI$14:$CO$14,1,W112))^INT(INT(W113/12)/INDEX('Lease Cycles'!$CP$14:$CV$14,1,W112))/12),IF(INDEX('Lease Cycles'!$EF$14:$EL$14,1,W112)=1,IF(AND('Lease Cycles'!$AZ$14&gt;=INDEX('Lease Cycles'!$BG$14:$BM$14,1,W112),'Lease Cycles'!$AZ$14&lt;=W$6),'Lease Cycles'!$C$14*'Lease Cycles'!$BA$14/12,IF(AND('Lease Cycles'!$AX$14&gt;=INDEX('Lease Cycles'!$BG$14:$BM$14,1,W112),'Lease Cycles'!$AX$14&lt;=W$6),'Lease Cycles'!$C$14*'Lease Cycles'!$AY$14/12,IF(AND('Lease Cycles'!$AV$14&gt;=INDEX('Lease Cycles'!$BG$14:$BM$14,1,W112),'Lease Cycles'!$AV$14&lt;=W$6),'Lease Cycles'!$C$14*'Lease Cycles'!$AW$14/12,IF(AND('Lease Cycles'!$AT$14&gt;=INDEX('Lease Cycles'!$BG$14:$BM$14,1,W112),'Lease Cycles'!$AT$14&lt;=W$6),'Lease Cycles'!$C$14*'Lease Cycles'!$AU$14/12,'Lease Cycles'!$C$14*INDEX('Lease Cycles'!$CB$14:$CH$14,1,W112)*(1+INDEX('Lease Cycles'!$CI$14:$CO$14,1,W112))^INT(INT(W113/12)/INDEX('Lease Cycles'!$CP$14:$CV$14,1,W112))/12)))),'Lease Cycles'!$C$14*INDEX('Lease Cycles'!$CB$14:$CH$14,1,W112)*(1+INDEX('Lease Cycles'!$CI$14:$CO$14,1,W112))^INT(INT(W113/12)/INDEX('Lease Cycles'!$CP$14:$CV$14,1,W112))/12))),IF('Lease Cycles'!$N$14=1,'Lease Cycles'!$C$14*'Lease Cycles'!$E$14*INDEX('Lease Cycles'!$HE$14:$HK$14,1,W112)*(1+INDEX('Lease Cycles'!$GQ$14:$GW$14,1,W112))^INT(INT((W$6-INDEX('Lease Cycles'!$GJ$14:$GP$14,1,W112))/12)/INDEX('Lease Cycles'!$GX$14:$HD$14,1,W112))/12,0)))</f>
        <v>3266.6666666666665</v>
      </c>
      <c r="X115" s="28">
        <f>IF(X112=0,IF('Lease Cycles'!$F$14&gt;0,'Lease Cycles'!$C$14*'Lease Cycles'!$E$14/12,0),IF(X114=1,IF('Lease Cycles'!$AT$14&gt;=9999,'Lease Cycles'!$C$14*INDEX('Lease Cycles'!$CB$14:$CH$14,1,X112)*(1+INDEX('Lease Cycles'!$CI$14:$CO$14,1,X112))^INT(INT(X113/12)/INDEX('Lease Cycles'!$CP$14:$CV$14,1,X112))/12,IF(X112=1,IF(X113&gt;=INDEX('Lease Cycles'!$DK$14:$DQ$14,1,X112),IF(X$6&gt;='Lease Cycles'!$AZ$14,'Lease Cycles'!$C$14*'Lease Cycles'!$BA$14/12,IF(X$6&gt;='Lease Cycles'!$AX$14,'Lease Cycles'!$C$14*'Lease Cycles'!$AY$14/12,IF(X$6&gt;='Lease Cycles'!$AV$14,'Lease Cycles'!$C$14*'Lease Cycles'!$AW$14/12,IF(X$6&gt;='Lease Cycles'!$AT$14,'Lease Cycles'!$C$14*'Lease Cycles'!$AU$14/12,'Lease Cycles'!$C$14*INDEX('Lease Cycles'!$CB$14:$CH$14,1,X112)*(1+INDEX('Lease Cycles'!$CI$14:$CO$14,1,X112))^INT(INT(X113/12)/INDEX('Lease Cycles'!$CP$14:$CV$14,1,X112))/12)))),'Lease Cycles'!$C$14*INDEX('Lease Cycles'!$CB$14:$CH$14,1,X112)*(1+INDEX('Lease Cycles'!$CI$14:$CO$14,1,X112))^INT(INT(X113/12)/INDEX('Lease Cycles'!$CP$14:$CV$14,1,X112))/12),IF(INDEX('Lease Cycles'!$EF$14:$EL$14,1,X112)=1,IF(AND('Lease Cycles'!$AZ$14&gt;=INDEX('Lease Cycles'!$BG$14:$BM$14,1,X112),'Lease Cycles'!$AZ$14&lt;=X$6),'Lease Cycles'!$C$14*'Lease Cycles'!$BA$14/12,IF(AND('Lease Cycles'!$AX$14&gt;=INDEX('Lease Cycles'!$BG$14:$BM$14,1,X112),'Lease Cycles'!$AX$14&lt;=X$6),'Lease Cycles'!$C$14*'Lease Cycles'!$AY$14/12,IF(AND('Lease Cycles'!$AV$14&gt;=INDEX('Lease Cycles'!$BG$14:$BM$14,1,X112),'Lease Cycles'!$AV$14&lt;=X$6),'Lease Cycles'!$C$14*'Lease Cycles'!$AW$14/12,IF(AND('Lease Cycles'!$AT$14&gt;=INDEX('Lease Cycles'!$BG$14:$BM$14,1,X112),'Lease Cycles'!$AT$14&lt;=X$6),'Lease Cycles'!$C$14*'Lease Cycles'!$AU$14/12,'Lease Cycles'!$C$14*INDEX('Lease Cycles'!$CB$14:$CH$14,1,X112)*(1+INDEX('Lease Cycles'!$CI$14:$CO$14,1,X112))^INT(INT(X113/12)/INDEX('Lease Cycles'!$CP$14:$CV$14,1,X112))/12)))),'Lease Cycles'!$C$14*INDEX('Lease Cycles'!$CB$14:$CH$14,1,X112)*(1+INDEX('Lease Cycles'!$CI$14:$CO$14,1,X112))^INT(INT(X113/12)/INDEX('Lease Cycles'!$CP$14:$CV$14,1,X112))/12))),IF('Lease Cycles'!$N$14=1,'Lease Cycles'!$C$14*'Lease Cycles'!$E$14*INDEX('Lease Cycles'!$HE$14:$HK$14,1,X112)*(1+INDEX('Lease Cycles'!$GQ$14:$GW$14,1,X112))^INT(INT((X$6-INDEX('Lease Cycles'!$GJ$14:$GP$14,1,X112))/12)/INDEX('Lease Cycles'!$GX$14:$HD$14,1,X112))/12,0)))</f>
        <v>3266.6666666666665</v>
      </c>
      <c r="Y115" s="28">
        <f>IF(Y112=0,IF('Lease Cycles'!$F$14&gt;0,'Lease Cycles'!$C$14*'Lease Cycles'!$E$14/12,0),IF(Y114=1,IF('Lease Cycles'!$AT$14&gt;=9999,'Lease Cycles'!$C$14*INDEX('Lease Cycles'!$CB$14:$CH$14,1,Y112)*(1+INDEX('Lease Cycles'!$CI$14:$CO$14,1,Y112))^INT(INT(Y113/12)/INDEX('Lease Cycles'!$CP$14:$CV$14,1,Y112))/12,IF(Y112=1,IF(Y113&gt;=INDEX('Lease Cycles'!$DK$14:$DQ$14,1,Y112),IF(Y$6&gt;='Lease Cycles'!$AZ$14,'Lease Cycles'!$C$14*'Lease Cycles'!$BA$14/12,IF(Y$6&gt;='Lease Cycles'!$AX$14,'Lease Cycles'!$C$14*'Lease Cycles'!$AY$14/12,IF(Y$6&gt;='Lease Cycles'!$AV$14,'Lease Cycles'!$C$14*'Lease Cycles'!$AW$14/12,IF(Y$6&gt;='Lease Cycles'!$AT$14,'Lease Cycles'!$C$14*'Lease Cycles'!$AU$14/12,'Lease Cycles'!$C$14*INDEX('Lease Cycles'!$CB$14:$CH$14,1,Y112)*(1+INDEX('Lease Cycles'!$CI$14:$CO$14,1,Y112))^INT(INT(Y113/12)/INDEX('Lease Cycles'!$CP$14:$CV$14,1,Y112))/12)))),'Lease Cycles'!$C$14*INDEX('Lease Cycles'!$CB$14:$CH$14,1,Y112)*(1+INDEX('Lease Cycles'!$CI$14:$CO$14,1,Y112))^INT(INT(Y113/12)/INDEX('Lease Cycles'!$CP$14:$CV$14,1,Y112))/12),IF(INDEX('Lease Cycles'!$EF$14:$EL$14,1,Y112)=1,IF(AND('Lease Cycles'!$AZ$14&gt;=INDEX('Lease Cycles'!$BG$14:$BM$14,1,Y112),'Lease Cycles'!$AZ$14&lt;=Y$6),'Lease Cycles'!$C$14*'Lease Cycles'!$BA$14/12,IF(AND('Lease Cycles'!$AX$14&gt;=INDEX('Lease Cycles'!$BG$14:$BM$14,1,Y112),'Lease Cycles'!$AX$14&lt;=Y$6),'Lease Cycles'!$C$14*'Lease Cycles'!$AY$14/12,IF(AND('Lease Cycles'!$AV$14&gt;=INDEX('Lease Cycles'!$BG$14:$BM$14,1,Y112),'Lease Cycles'!$AV$14&lt;=Y$6),'Lease Cycles'!$C$14*'Lease Cycles'!$AW$14/12,IF(AND('Lease Cycles'!$AT$14&gt;=INDEX('Lease Cycles'!$BG$14:$BM$14,1,Y112),'Lease Cycles'!$AT$14&lt;=Y$6),'Lease Cycles'!$C$14*'Lease Cycles'!$AU$14/12,'Lease Cycles'!$C$14*INDEX('Lease Cycles'!$CB$14:$CH$14,1,Y112)*(1+INDEX('Lease Cycles'!$CI$14:$CO$14,1,Y112))^INT(INT(Y113/12)/INDEX('Lease Cycles'!$CP$14:$CV$14,1,Y112))/12)))),'Lease Cycles'!$C$14*INDEX('Lease Cycles'!$CB$14:$CH$14,1,Y112)*(1+INDEX('Lease Cycles'!$CI$14:$CO$14,1,Y112))^INT(INT(Y113/12)/INDEX('Lease Cycles'!$CP$14:$CV$14,1,Y112))/12))),IF('Lease Cycles'!$N$14=1,'Lease Cycles'!$C$14*'Lease Cycles'!$E$14*INDEX('Lease Cycles'!$HE$14:$HK$14,1,Y112)*(1+INDEX('Lease Cycles'!$GQ$14:$GW$14,1,Y112))^INT(INT((Y$6-INDEX('Lease Cycles'!$GJ$14:$GP$14,1,Y112))/12)/INDEX('Lease Cycles'!$GX$14:$HD$14,1,Y112))/12,0)))</f>
        <v>3266.6666666666665</v>
      </c>
      <c r="Z115" s="28">
        <f>IF(Z112=0,IF('Lease Cycles'!$F$14&gt;0,'Lease Cycles'!$C$14*'Lease Cycles'!$E$14/12,0),IF(Z114=1,IF('Lease Cycles'!$AT$14&gt;=9999,'Lease Cycles'!$C$14*INDEX('Lease Cycles'!$CB$14:$CH$14,1,Z112)*(1+INDEX('Lease Cycles'!$CI$14:$CO$14,1,Z112))^INT(INT(Z113/12)/INDEX('Lease Cycles'!$CP$14:$CV$14,1,Z112))/12,IF(Z112=1,IF(Z113&gt;=INDEX('Lease Cycles'!$DK$14:$DQ$14,1,Z112),IF(Z$6&gt;='Lease Cycles'!$AZ$14,'Lease Cycles'!$C$14*'Lease Cycles'!$BA$14/12,IF(Z$6&gt;='Lease Cycles'!$AX$14,'Lease Cycles'!$C$14*'Lease Cycles'!$AY$14/12,IF(Z$6&gt;='Lease Cycles'!$AV$14,'Lease Cycles'!$C$14*'Lease Cycles'!$AW$14/12,IF(Z$6&gt;='Lease Cycles'!$AT$14,'Lease Cycles'!$C$14*'Lease Cycles'!$AU$14/12,'Lease Cycles'!$C$14*INDEX('Lease Cycles'!$CB$14:$CH$14,1,Z112)*(1+INDEX('Lease Cycles'!$CI$14:$CO$14,1,Z112))^INT(INT(Z113/12)/INDEX('Lease Cycles'!$CP$14:$CV$14,1,Z112))/12)))),'Lease Cycles'!$C$14*INDEX('Lease Cycles'!$CB$14:$CH$14,1,Z112)*(1+INDEX('Lease Cycles'!$CI$14:$CO$14,1,Z112))^INT(INT(Z113/12)/INDEX('Lease Cycles'!$CP$14:$CV$14,1,Z112))/12),IF(INDEX('Lease Cycles'!$EF$14:$EL$14,1,Z112)=1,IF(AND('Lease Cycles'!$AZ$14&gt;=INDEX('Lease Cycles'!$BG$14:$BM$14,1,Z112),'Lease Cycles'!$AZ$14&lt;=Z$6),'Lease Cycles'!$C$14*'Lease Cycles'!$BA$14/12,IF(AND('Lease Cycles'!$AX$14&gt;=INDEX('Lease Cycles'!$BG$14:$BM$14,1,Z112),'Lease Cycles'!$AX$14&lt;=Z$6),'Lease Cycles'!$C$14*'Lease Cycles'!$AY$14/12,IF(AND('Lease Cycles'!$AV$14&gt;=INDEX('Lease Cycles'!$BG$14:$BM$14,1,Z112),'Lease Cycles'!$AV$14&lt;=Z$6),'Lease Cycles'!$C$14*'Lease Cycles'!$AW$14/12,IF(AND('Lease Cycles'!$AT$14&gt;=INDEX('Lease Cycles'!$BG$14:$BM$14,1,Z112),'Lease Cycles'!$AT$14&lt;=Z$6),'Lease Cycles'!$C$14*'Lease Cycles'!$AU$14/12,'Lease Cycles'!$C$14*INDEX('Lease Cycles'!$CB$14:$CH$14,1,Z112)*(1+INDEX('Lease Cycles'!$CI$14:$CO$14,1,Z112))^INT(INT(Z113/12)/INDEX('Lease Cycles'!$CP$14:$CV$14,1,Z112))/12)))),'Lease Cycles'!$C$14*INDEX('Lease Cycles'!$CB$14:$CH$14,1,Z112)*(1+INDEX('Lease Cycles'!$CI$14:$CO$14,1,Z112))^INT(INT(Z113/12)/INDEX('Lease Cycles'!$CP$14:$CV$14,1,Z112))/12))),IF('Lease Cycles'!$N$14=1,'Lease Cycles'!$C$14*'Lease Cycles'!$E$14*INDEX('Lease Cycles'!$HE$14:$HK$14,1,Z112)*(1+INDEX('Lease Cycles'!$GQ$14:$GW$14,1,Z112))^INT(INT((Z$6-INDEX('Lease Cycles'!$GJ$14:$GP$14,1,Z112))/12)/INDEX('Lease Cycles'!$GX$14:$HD$14,1,Z112))/12,0)))</f>
        <v>3266.6666666666665</v>
      </c>
      <c r="AA115" s="28">
        <f>IF(AA112=0,IF('Lease Cycles'!$F$14&gt;0,'Lease Cycles'!$C$14*'Lease Cycles'!$E$14/12,0),IF(AA114=1,IF('Lease Cycles'!$AT$14&gt;=9999,'Lease Cycles'!$C$14*INDEX('Lease Cycles'!$CB$14:$CH$14,1,AA112)*(1+INDEX('Lease Cycles'!$CI$14:$CO$14,1,AA112))^INT(INT(AA113/12)/INDEX('Lease Cycles'!$CP$14:$CV$14,1,AA112))/12,IF(AA112=1,IF(AA113&gt;=INDEX('Lease Cycles'!$DK$14:$DQ$14,1,AA112),IF(AA$6&gt;='Lease Cycles'!$AZ$14,'Lease Cycles'!$C$14*'Lease Cycles'!$BA$14/12,IF(AA$6&gt;='Lease Cycles'!$AX$14,'Lease Cycles'!$C$14*'Lease Cycles'!$AY$14/12,IF(AA$6&gt;='Lease Cycles'!$AV$14,'Lease Cycles'!$C$14*'Lease Cycles'!$AW$14/12,IF(AA$6&gt;='Lease Cycles'!$AT$14,'Lease Cycles'!$C$14*'Lease Cycles'!$AU$14/12,'Lease Cycles'!$C$14*INDEX('Lease Cycles'!$CB$14:$CH$14,1,AA112)*(1+INDEX('Lease Cycles'!$CI$14:$CO$14,1,AA112))^INT(INT(AA113/12)/INDEX('Lease Cycles'!$CP$14:$CV$14,1,AA112))/12)))),'Lease Cycles'!$C$14*INDEX('Lease Cycles'!$CB$14:$CH$14,1,AA112)*(1+INDEX('Lease Cycles'!$CI$14:$CO$14,1,AA112))^INT(INT(AA113/12)/INDEX('Lease Cycles'!$CP$14:$CV$14,1,AA112))/12),IF(INDEX('Lease Cycles'!$EF$14:$EL$14,1,AA112)=1,IF(AND('Lease Cycles'!$AZ$14&gt;=INDEX('Lease Cycles'!$BG$14:$BM$14,1,AA112),'Lease Cycles'!$AZ$14&lt;=AA$6),'Lease Cycles'!$C$14*'Lease Cycles'!$BA$14/12,IF(AND('Lease Cycles'!$AX$14&gt;=INDEX('Lease Cycles'!$BG$14:$BM$14,1,AA112),'Lease Cycles'!$AX$14&lt;=AA$6),'Lease Cycles'!$C$14*'Lease Cycles'!$AY$14/12,IF(AND('Lease Cycles'!$AV$14&gt;=INDEX('Lease Cycles'!$BG$14:$BM$14,1,AA112),'Lease Cycles'!$AV$14&lt;=AA$6),'Lease Cycles'!$C$14*'Lease Cycles'!$AW$14/12,IF(AND('Lease Cycles'!$AT$14&gt;=INDEX('Lease Cycles'!$BG$14:$BM$14,1,AA112),'Lease Cycles'!$AT$14&lt;=AA$6),'Lease Cycles'!$C$14*'Lease Cycles'!$AU$14/12,'Lease Cycles'!$C$14*INDEX('Lease Cycles'!$CB$14:$CH$14,1,AA112)*(1+INDEX('Lease Cycles'!$CI$14:$CO$14,1,AA112))^INT(INT(AA113/12)/INDEX('Lease Cycles'!$CP$14:$CV$14,1,AA112))/12)))),'Lease Cycles'!$C$14*INDEX('Lease Cycles'!$CB$14:$CH$14,1,AA112)*(1+INDEX('Lease Cycles'!$CI$14:$CO$14,1,AA112))^INT(INT(AA113/12)/INDEX('Lease Cycles'!$CP$14:$CV$14,1,AA112))/12))),IF('Lease Cycles'!$N$14=1,'Lease Cycles'!$C$14*'Lease Cycles'!$E$14*INDEX('Lease Cycles'!$HE$14:$HK$14,1,AA112)*(1+INDEX('Lease Cycles'!$GQ$14:$GW$14,1,AA112))^INT(INT((AA$6-INDEX('Lease Cycles'!$GJ$14:$GP$14,1,AA112))/12)/INDEX('Lease Cycles'!$GX$14:$HD$14,1,AA112))/12,0)))</f>
        <v>3266.6666666666665</v>
      </c>
      <c r="AB115" s="28">
        <f>IF(AB112=0,IF('Lease Cycles'!$F$14&gt;0,'Lease Cycles'!$C$14*'Lease Cycles'!$E$14/12,0),IF(AB114=1,IF('Lease Cycles'!$AT$14&gt;=9999,'Lease Cycles'!$C$14*INDEX('Lease Cycles'!$CB$14:$CH$14,1,AB112)*(1+INDEX('Lease Cycles'!$CI$14:$CO$14,1,AB112))^INT(INT(AB113/12)/INDEX('Lease Cycles'!$CP$14:$CV$14,1,AB112))/12,IF(AB112=1,IF(AB113&gt;=INDEX('Lease Cycles'!$DK$14:$DQ$14,1,AB112),IF(AB$6&gt;='Lease Cycles'!$AZ$14,'Lease Cycles'!$C$14*'Lease Cycles'!$BA$14/12,IF(AB$6&gt;='Lease Cycles'!$AX$14,'Lease Cycles'!$C$14*'Lease Cycles'!$AY$14/12,IF(AB$6&gt;='Lease Cycles'!$AV$14,'Lease Cycles'!$C$14*'Lease Cycles'!$AW$14/12,IF(AB$6&gt;='Lease Cycles'!$AT$14,'Lease Cycles'!$C$14*'Lease Cycles'!$AU$14/12,'Lease Cycles'!$C$14*INDEX('Lease Cycles'!$CB$14:$CH$14,1,AB112)*(1+INDEX('Lease Cycles'!$CI$14:$CO$14,1,AB112))^INT(INT(AB113/12)/INDEX('Lease Cycles'!$CP$14:$CV$14,1,AB112))/12)))),'Lease Cycles'!$C$14*INDEX('Lease Cycles'!$CB$14:$CH$14,1,AB112)*(1+INDEX('Lease Cycles'!$CI$14:$CO$14,1,AB112))^INT(INT(AB113/12)/INDEX('Lease Cycles'!$CP$14:$CV$14,1,AB112))/12),IF(INDEX('Lease Cycles'!$EF$14:$EL$14,1,AB112)=1,IF(AND('Lease Cycles'!$AZ$14&gt;=INDEX('Lease Cycles'!$BG$14:$BM$14,1,AB112),'Lease Cycles'!$AZ$14&lt;=AB$6),'Lease Cycles'!$C$14*'Lease Cycles'!$BA$14/12,IF(AND('Lease Cycles'!$AX$14&gt;=INDEX('Lease Cycles'!$BG$14:$BM$14,1,AB112),'Lease Cycles'!$AX$14&lt;=AB$6),'Lease Cycles'!$C$14*'Lease Cycles'!$AY$14/12,IF(AND('Lease Cycles'!$AV$14&gt;=INDEX('Lease Cycles'!$BG$14:$BM$14,1,AB112),'Lease Cycles'!$AV$14&lt;=AB$6),'Lease Cycles'!$C$14*'Lease Cycles'!$AW$14/12,IF(AND('Lease Cycles'!$AT$14&gt;=INDEX('Lease Cycles'!$BG$14:$BM$14,1,AB112),'Lease Cycles'!$AT$14&lt;=AB$6),'Lease Cycles'!$C$14*'Lease Cycles'!$AU$14/12,'Lease Cycles'!$C$14*INDEX('Lease Cycles'!$CB$14:$CH$14,1,AB112)*(1+INDEX('Lease Cycles'!$CI$14:$CO$14,1,AB112))^INT(INT(AB113/12)/INDEX('Lease Cycles'!$CP$14:$CV$14,1,AB112))/12)))),'Lease Cycles'!$C$14*INDEX('Lease Cycles'!$CB$14:$CH$14,1,AB112)*(1+INDEX('Lease Cycles'!$CI$14:$CO$14,1,AB112))^INT(INT(AB113/12)/INDEX('Lease Cycles'!$CP$14:$CV$14,1,AB112))/12))),IF('Lease Cycles'!$N$14=1,'Lease Cycles'!$C$14*'Lease Cycles'!$E$14*INDEX('Lease Cycles'!$HE$14:$HK$14,1,AB112)*(1+INDEX('Lease Cycles'!$GQ$14:$GW$14,1,AB112))^INT(INT((AB$6-INDEX('Lease Cycles'!$GJ$14:$GP$14,1,AB112))/12)/INDEX('Lease Cycles'!$GX$14:$HD$14,1,AB112))/12,0)))</f>
        <v>3266.6666666666665</v>
      </c>
      <c r="AC115" s="28">
        <f>IF(AC112=0,IF('Lease Cycles'!$F$14&gt;0,'Lease Cycles'!$C$14*'Lease Cycles'!$E$14/12,0),IF(AC114=1,IF('Lease Cycles'!$AT$14&gt;=9999,'Lease Cycles'!$C$14*INDEX('Lease Cycles'!$CB$14:$CH$14,1,AC112)*(1+INDEX('Lease Cycles'!$CI$14:$CO$14,1,AC112))^INT(INT(AC113/12)/INDEX('Lease Cycles'!$CP$14:$CV$14,1,AC112))/12,IF(AC112=1,IF(AC113&gt;=INDEX('Lease Cycles'!$DK$14:$DQ$14,1,AC112),IF(AC$6&gt;='Lease Cycles'!$AZ$14,'Lease Cycles'!$C$14*'Lease Cycles'!$BA$14/12,IF(AC$6&gt;='Lease Cycles'!$AX$14,'Lease Cycles'!$C$14*'Lease Cycles'!$AY$14/12,IF(AC$6&gt;='Lease Cycles'!$AV$14,'Lease Cycles'!$C$14*'Lease Cycles'!$AW$14/12,IF(AC$6&gt;='Lease Cycles'!$AT$14,'Lease Cycles'!$C$14*'Lease Cycles'!$AU$14/12,'Lease Cycles'!$C$14*INDEX('Lease Cycles'!$CB$14:$CH$14,1,AC112)*(1+INDEX('Lease Cycles'!$CI$14:$CO$14,1,AC112))^INT(INT(AC113/12)/INDEX('Lease Cycles'!$CP$14:$CV$14,1,AC112))/12)))),'Lease Cycles'!$C$14*INDEX('Lease Cycles'!$CB$14:$CH$14,1,AC112)*(1+INDEX('Lease Cycles'!$CI$14:$CO$14,1,AC112))^INT(INT(AC113/12)/INDEX('Lease Cycles'!$CP$14:$CV$14,1,AC112))/12),IF(INDEX('Lease Cycles'!$EF$14:$EL$14,1,AC112)=1,IF(AND('Lease Cycles'!$AZ$14&gt;=INDEX('Lease Cycles'!$BG$14:$BM$14,1,AC112),'Lease Cycles'!$AZ$14&lt;=AC$6),'Lease Cycles'!$C$14*'Lease Cycles'!$BA$14/12,IF(AND('Lease Cycles'!$AX$14&gt;=INDEX('Lease Cycles'!$BG$14:$BM$14,1,AC112),'Lease Cycles'!$AX$14&lt;=AC$6),'Lease Cycles'!$C$14*'Lease Cycles'!$AY$14/12,IF(AND('Lease Cycles'!$AV$14&gt;=INDEX('Lease Cycles'!$BG$14:$BM$14,1,AC112),'Lease Cycles'!$AV$14&lt;=AC$6),'Lease Cycles'!$C$14*'Lease Cycles'!$AW$14/12,IF(AND('Lease Cycles'!$AT$14&gt;=INDEX('Lease Cycles'!$BG$14:$BM$14,1,AC112),'Lease Cycles'!$AT$14&lt;=AC$6),'Lease Cycles'!$C$14*'Lease Cycles'!$AU$14/12,'Lease Cycles'!$C$14*INDEX('Lease Cycles'!$CB$14:$CH$14,1,AC112)*(1+INDEX('Lease Cycles'!$CI$14:$CO$14,1,AC112))^INT(INT(AC113/12)/INDEX('Lease Cycles'!$CP$14:$CV$14,1,AC112))/12)))),'Lease Cycles'!$C$14*INDEX('Lease Cycles'!$CB$14:$CH$14,1,AC112)*(1+INDEX('Lease Cycles'!$CI$14:$CO$14,1,AC112))^INT(INT(AC113/12)/INDEX('Lease Cycles'!$CP$14:$CV$14,1,AC112))/12))),IF('Lease Cycles'!$N$14=1,'Lease Cycles'!$C$14*'Lease Cycles'!$E$14*INDEX('Lease Cycles'!$HE$14:$HK$14,1,AC112)*(1+INDEX('Lease Cycles'!$GQ$14:$GW$14,1,AC112))^INT(INT((AC$6-INDEX('Lease Cycles'!$GJ$14:$GP$14,1,AC112))/12)/INDEX('Lease Cycles'!$GX$14:$HD$14,1,AC112))/12,0)))</f>
        <v>3266.6666666666665</v>
      </c>
      <c r="AD115" s="28">
        <f>IF(AD112=0,IF('Lease Cycles'!$F$14&gt;0,'Lease Cycles'!$C$14*'Lease Cycles'!$E$14/12,0),IF(AD114=1,IF('Lease Cycles'!$AT$14&gt;=9999,'Lease Cycles'!$C$14*INDEX('Lease Cycles'!$CB$14:$CH$14,1,AD112)*(1+INDEX('Lease Cycles'!$CI$14:$CO$14,1,AD112))^INT(INT(AD113/12)/INDEX('Lease Cycles'!$CP$14:$CV$14,1,AD112))/12,IF(AD112=1,IF(AD113&gt;=INDEX('Lease Cycles'!$DK$14:$DQ$14,1,AD112),IF(AD$6&gt;='Lease Cycles'!$AZ$14,'Lease Cycles'!$C$14*'Lease Cycles'!$BA$14/12,IF(AD$6&gt;='Lease Cycles'!$AX$14,'Lease Cycles'!$C$14*'Lease Cycles'!$AY$14/12,IF(AD$6&gt;='Lease Cycles'!$AV$14,'Lease Cycles'!$C$14*'Lease Cycles'!$AW$14/12,IF(AD$6&gt;='Lease Cycles'!$AT$14,'Lease Cycles'!$C$14*'Lease Cycles'!$AU$14/12,'Lease Cycles'!$C$14*INDEX('Lease Cycles'!$CB$14:$CH$14,1,AD112)*(1+INDEX('Lease Cycles'!$CI$14:$CO$14,1,AD112))^INT(INT(AD113/12)/INDEX('Lease Cycles'!$CP$14:$CV$14,1,AD112))/12)))),'Lease Cycles'!$C$14*INDEX('Lease Cycles'!$CB$14:$CH$14,1,AD112)*(1+INDEX('Lease Cycles'!$CI$14:$CO$14,1,AD112))^INT(INT(AD113/12)/INDEX('Lease Cycles'!$CP$14:$CV$14,1,AD112))/12),IF(INDEX('Lease Cycles'!$EF$14:$EL$14,1,AD112)=1,IF(AND('Lease Cycles'!$AZ$14&gt;=INDEX('Lease Cycles'!$BG$14:$BM$14,1,AD112),'Lease Cycles'!$AZ$14&lt;=AD$6),'Lease Cycles'!$C$14*'Lease Cycles'!$BA$14/12,IF(AND('Lease Cycles'!$AX$14&gt;=INDEX('Lease Cycles'!$BG$14:$BM$14,1,AD112),'Lease Cycles'!$AX$14&lt;=AD$6),'Lease Cycles'!$C$14*'Lease Cycles'!$AY$14/12,IF(AND('Lease Cycles'!$AV$14&gt;=INDEX('Lease Cycles'!$BG$14:$BM$14,1,AD112),'Lease Cycles'!$AV$14&lt;=AD$6),'Lease Cycles'!$C$14*'Lease Cycles'!$AW$14/12,IF(AND('Lease Cycles'!$AT$14&gt;=INDEX('Lease Cycles'!$BG$14:$BM$14,1,AD112),'Lease Cycles'!$AT$14&lt;=AD$6),'Lease Cycles'!$C$14*'Lease Cycles'!$AU$14/12,'Lease Cycles'!$C$14*INDEX('Lease Cycles'!$CB$14:$CH$14,1,AD112)*(1+INDEX('Lease Cycles'!$CI$14:$CO$14,1,AD112))^INT(INT(AD113/12)/INDEX('Lease Cycles'!$CP$14:$CV$14,1,AD112))/12)))),'Lease Cycles'!$C$14*INDEX('Lease Cycles'!$CB$14:$CH$14,1,AD112)*(1+INDEX('Lease Cycles'!$CI$14:$CO$14,1,AD112))^INT(INT(AD113/12)/INDEX('Lease Cycles'!$CP$14:$CV$14,1,AD112))/12))),IF('Lease Cycles'!$N$14=1,'Lease Cycles'!$C$14*'Lease Cycles'!$E$14*INDEX('Lease Cycles'!$HE$14:$HK$14,1,AD112)*(1+INDEX('Lease Cycles'!$GQ$14:$GW$14,1,AD112))^INT(INT((AD$6-INDEX('Lease Cycles'!$GJ$14:$GP$14,1,AD112))/12)/INDEX('Lease Cycles'!$GX$14:$HD$14,1,AD112))/12,0)))</f>
        <v>3266.6666666666665</v>
      </c>
      <c r="AE115" s="28">
        <f>IF(AE112=0,IF('Lease Cycles'!$F$14&gt;0,'Lease Cycles'!$C$14*'Lease Cycles'!$E$14/12,0),IF(AE114=1,IF('Lease Cycles'!$AT$14&gt;=9999,'Lease Cycles'!$C$14*INDEX('Lease Cycles'!$CB$14:$CH$14,1,AE112)*(1+INDEX('Lease Cycles'!$CI$14:$CO$14,1,AE112))^INT(INT(AE113/12)/INDEX('Lease Cycles'!$CP$14:$CV$14,1,AE112))/12,IF(AE112=1,IF(AE113&gt;=INDEX('Lease Cycles'!$DK$14:$DQ$14,1,AE112),IF(AE$6&gt;='Lease Cycles'!$AZ$14,'Lease Cycles'!$C$14*'Lease Cycles'!$BA$14/12,IF(AE$6&gt;='Lease Cycles'!$AX$14,'Lease Cycles'!$C$14*'Lease Cycles'!$AY$14/12,IF(AE$6&gt;='Lease Cycles'!$AV$14,'Lease Cycles'!$C$14*'Lease Cycles'!$AW$14/12,IF(AE$6&gt;='Lease Cycles'!$AT$14,'Lease Cycles'!$C$14*'Lease Cycles'!$AU$14/12,'Lease Cycles'!$C$14*INDEX('Lease Cycles'!$CB$14:$CH$14,1,AE112)*(1+INDEX('Lease Cycles'!$CI$14:$CO$14,1,AE112))^INT(INT(AE113/12)/INDEX('Lease Cycles'!$CP$14:$CV$14,1,AE112))/12)))),'Lease Cycles'!$C$14*INDEX('Lease Cycles'!$CB$14:$CH$14,1,AE112)*(1+INDEX('Lease Cycles'!$CI$14:$CO$14,1,AE112))^INT(INT(AE113/12)/INDEX('Lease Cycles'!$CP$14:$CV$14,1,AE112))/12),IF(INDEX('Lease Cycles'!$EF$14:$EL$14,1,AE112)=1,IF(AND('Lease Cycles'!$AZ$14&gt;=INDEX('Lease Cycles'!$BG$14:$BM$14,1,AE112),'Lease Cycles'!$AZ$14&lt;=AE$6),'Lease Cycles'!$C$14*'Lease Cycles'!$BA$14/12,IF(AND('Lease Cycles'!$AX$14&gt;=INDEX('Lease Cycles'!$BG$14:$BM$14,1,AE112),'Lease Cycles'!$AX$14&lt;=AE$6),'Lease Cycles'!$C$14*'Lease Cycles'!$AY$14/12,IF(AND('Lease Cycles'!$AV$14&gt;=INDEX('Lease Cycles'!$BG$14:$BM$14,1,AE112),'Lease Cycles'!$AV$14&lt;=AE$6),'Lease Cycles'!$C$14*'Lease Cycles'!$AW$14/12,IF(AND('Lease Cycles'!$AT$14&gt;=INDEX('Lease Cycles'!$BG$14:$BM$14,1,AE112),'Lease Cycles'!$AT$14&lt;=AE$6),'Lease Cycles'!$C$14*'Lease Cycles'!$AU$14/12,'Lease Cycles'!$C$14*INDEX('Lease Cycles'!$CB$14:$CH$14,1,AE112)*(1+INDEX('Lease Cycles'!$CI$14:$CO$14,1,AE112))^INT(INT(AE113/12)/INDEX('Lease Cycles'!$CP$14:$CV$14,1,AE112))/12)))),'Lease Cycles'!$C$14*INDEX('Lease Cycles'!$CB$14:$CH$14,1,AE112)*(1+INDEX('Lease Cycles'!$CI$14:$CO$14,1,AE112))^INT(INT(AE113/12)/INDEX('Lease Cycles'!$CP$14:$CV$14,1,AE112))/12))),IF('Lease Cycles'!$N$14=1,'Lease Cycles'!$C$14*'Lease Cycles'!$E$14*INDEX('Lease Cycles'!$HE$14:$HK$14,1,AE112)*(1+INDEX('Lease Cycles'!$GQ$14:$GW$14,1,AE112))^INT(INT((AE$6-INDEX('Lease Cycles'!$GJ$14:$GP$14,1,AE112))/12)/INDEX('Lease Cycles'!$GX$14:$HD$14,1,AE112))/12,0)))</f>
        <v>3266.6666666666665</v>
      </c>
      <c r="AF115" s="28">
        <f>IF(AF112=0,IF('Lease Cycles'!$F$14&gt;0,'Lease Cycles'!$C$14*'Lease Cycles'!$E$14/12,0),IF(AF114=1,IF('Lease Cycles'!$AT$14&gt;=9999,'Lease Cycles'!$C$14*INDEX('Lease Cycles'!$CB$14:$CH$14,1,AF112)*(1+INDEX('Lease Cycles'!$CI$14:$CO$14,1,AF112))^INT(INT(AF113/12)/INDEX('Lease Cycles'!$CP$14:$CV$14,1,AF112))/12,IF(AF112=1,IF(AF113&gt;=INDEX('Lease Cycles'!$DK$14:$DQ$14,1,AF112),IF(AF$6&gt;='Lease Cycles'!$AZ$14,'Lease Cycles'!$C$14*'Lease Cycles'!$BA$14/12,IF(AF$6&gt;='Lease Cycles'!$AX$14,'Lease Cycles'!$C$14*'Lease Cycles'!$AY$14/12,IF(AF$6&gt;='Lease Cycles'!$AV$14,'Lease Cycles'!$C$14*'Lease Cycles'!$AW$14/12,IF(AF$6&gt;='Lease Cycles'!$AT$14,'Lease Cycles'!$C$14*'Lease Cycles'!$AU$14/12,'Lease Cycles'!$C$14*INDEX('Lease Cycles'!$CB$14:$CH$14,1,AF112)*(1+INDEX('Lease Cycles'!$CI$14:$CO$14,1,AF112))^INT(INT(AF113/12)/INDEX('Lease Cycles'!$CP$14:$CV$14,1,AF112))/12)))),'Lease Cycles'!$C$14*INDEX('Lease Cycles'!$CB$14:$CH$14,1,AF112)*(1+INDEX('Lease Cycles'!$CI$14:$CO$14,1,AF112))^INT(INT(AF113/12)/INDEX('Lease Cycles'!$CP$14:$CV$14,1,AF112))/12),IF(INDEX('Lease Cycles'!$EF$14:$EL$14,1,AF112)=1,IF(AND('Lease Cycles'!$AZ$14&gt;=INDEX('Lease Cycles'!$BG$14:$BM$14,1,AF112),'Lease Cycles'!$AZ$14&lt;=AF$6),'Lease Cycles'!$C$14*'Lease Cycles'!$BA$14/12,IF(AND('Lease Cycles'!$AX$14&gt;=INDEX('Lease Cycles'!$BG$14:$BM$14,1,AF112),'Lease Cycles'!$AX$14&lt;=AF$6),'Lease Cycles'!$C$14*'Lease Cycles'!$AY$14/12,IF(AND('Lease Cycles'!$AV$14&gt;=INDEX('Lease Cycles'!$BG$14:$BM$14,1,AF112),'Lease Cycles'!$AV$14&lt;=AF$6),'Lease Cycles'!$C$14*'Lease Cycles'!$AW$14/12,IF(AND('Lease Cycles'!$AT$14&gt;=INDEX('Lease Cycles'!$BG$14:$BM$14,1,AF112),'Lease Cycles'!$AT$14&lt;=AF$6),'Lease Cycles'!$C$14*'Lease Cycles'!$AU$14/12,'Lease Cycles'!$C$14*INDEX('Lease Cycles'!$CB$14:$CH$14,1,AF112)*(1+INDEX('Lease Cycles'!$CI$14:$CO$14,1,AF112))^INT(INT(AF113/12)/INDEX('Lease Cycles'!$CP$14:$CV$14,1,AF112))/12)))),'Lease Cycles'!$C$14*INDEX('Lease Cycles'!$CB$14:$CH$14,1,AF112)*(1+INDEX('Lease Cycles'!$CI$14:$CO$14,1,AF112))^INT(INT(AF113/12)/INDEX('Lease Cycles'!$CP$14:$CV$14,1,AF112))/12))),IF('Lease Cycles'!$N$14=1,'Lease Cycles'!$C$14*'Lease Cycles'!$E$14*INDEX('Lease Cycles'!$HE$14:$HK$14,1,AF112)*(1+INDEX('Lease Cycles'!$GQ$14:$GW$14,1,AF112))^INT(INT((AF$6-INDEX('Lease Cycles'!$GJ$14:$GP$14,1,AF112))/12)/INDEX('Lease Cycles'!$GX$14:$HD$14,1,AF112))/12,0)))</f>
        <v>3266.6666666666665</v>
      </c>
      <c r="AG115" s="28">
        <f>IF(AG112=0,IF('Lease Cycles'!$F$14&gt;0,'Lease Cycles'!$C$14*'Lease Cycles'!$E$14/12,0),IF(AG114=1,IF('Lease Cycles'!$AT$14&gt;=9999,'Lease Cycles'!$C$14*INDEX('Lease Cycles'!$CB$14:$CH$14,1,AG112)*(1+INDEX('Lease Cycles'!$CI$14:$CO$14,1,AG112))^INT(INT(AG113/12)/INDEX('Lease Cycles'!$CP$14:$CV$14,1,AG112))/12,IF(AG112=1,IF(AG113&gt;=INDEX('Lease Cycles'!$DK$14:$DQ$14,1,AG112),IF(AG$6&gt;='Lease Cycles'!$AZ$14,'Lease Cycles'!$C$14*'Lease Cycles'!$BA$14/12,IF(AG$6&gt;='Lease Cycles'!$AX$14,'Lease Cycles'!$C$14*'Lease Cycles'!$AY$14/12,IF(AG$6&gt;='Lease Cycles'!$AV$14,'Lease Cycles'!$C$14*'Lease Cycles'!$AW$14/12,IF(AG$6&gt;='Lease Cycles'!$AT$14,'Lease Cycles'!$C$14*'Lease Cycles'!$AU$14/12,'Lease Cycles'!$C$14*INDEX('Lease Cycles'!$CB$14:$CH$14,1,AG112)*(1+INDEX('Lease Cycles'!$CI$14:$CO$14,1,AG112))^INT(INT(AG113/12)/INDEX('Lease Cycles'!$CP$14:$CV$14,1,AG112))/12)))),'Lease Cycles'!$C$14*INDEX('Lease Cycles'!$CB$14:$CH$14,1,AG112)*(1+INDEX('Lease Cycles'!$CI$14:$CO$14,1,AG112))^INT(INT(AG113/12)/INDEX('Lease Cycles'!$CP$14:$CV$14,1,AG112))/12),IF(INDEX('Lease Cycles'!$EF$14:$EL$14,1,AG112)=1,IF(AND('Lease Cycles'!$AZ$14&gt;=INDEX('Lease Cycles'!$BG$14:$BM$14,1,AG112),'Lease Cycles'!$AZ$14&lt;=AG$6),'Lease Cycles'!$C$14*'Lease Cycles'!$BA$14/12,IF(AND('Lease Cycles'!$AX$14&gt;=INDEX('Lease Cycles'!$BG$14:$BM$14,1,AG112),'Lease Cycles'!$AX$14&lt;=AG$6),'Lease Cycles'!$C$14*'Lease Cycles'!$AY$14/12,IF(AND('Lease Cycles'!$AV$14&gt;=INDEX('Lease Cycles'!$BG$14:$BM$14,1,AG112),'Lease Cycles'!$AV$14&lt;=AG$6),'Lease Cycles'!$C$14*'Lease Cycles'!$AW$14/12,IF(AND('Lease Cycles'!$AT$14&gt;=INDEX('Lease Cycles'!$BG$14:$BM$14,1,AG112),'Lease Cycles'!$AT$14&lt;=AG$6),'Lease Cycles'!$C$14*'Lease Cycles'!$AU$14/12,'Lease Cycles'!$C$14*INDEX('Lease Cycles'!$CB$14:$CH$14,1,AG112)*(1+INDEX('Lease Cycles'!$CI$14:$CO$14,1,AG112))^INT(INT(AG113/12)/INDEX('Lease Cycles'!$CP$14:$CV$14,1,AG112))/12)))),'Lease Cycles'!$C$14*INDEX('Lease Cycles'!$CB$14:$CH$14,1,AG112)*(1+INDEX('Lease Cycles'!$CI$14:$CO$14,1,AG112))^INT(INT(AG113/12)/INDEX('Lease Cycles'!$CP$14:$CV$14,1,AG112))/12))),IF('Lease Cycles'!$N$14=1,'Lease Cycles'!$C$14*'Lease Cycles'!$E$14*INDEX('Lease Cycles'!$HE$14:$HK$14,1,AG112)*(1+INDEX('Lease Cycles'!$GQ$14:$GW$14,1,AG112))^INT(INT((AG$6-INDEX('Lease Cycles'!$GJ$14:$GP$14,1,AG112))/12)/INDEX('Lease Cycles'!$GX$14:$HD$14,1,AG112))/12,0)))</f>
        <v>3266.6666666666665</v>
      </c>
      <c r="AH115" s="28">
        <f>IF(AH112=0,IF('Lease Cycles'!$F$14&gt;0,'Lease Cycles'!$C$14*'Lease Cycles'!$E$14/12,0),IF(AH114=1,IF('Lease Cycles'!$AT$14&gt;=9999,'Lease Cycles'!$C$14*INDEX('Lease Cycles'!$CB$14:$CH$14,1,AH112)*(1+INDEX('Lease Cycles'!$CI$14:$CO$14,1,AH112))^INT(INT(AH113/12)/INDEX('Lease Cycles'!$CP$14:$CV$14,1,AH112))/12,IF(AH112=1,IF(AH113&gt;=INDEX('Lease Cycles'!$DK$14:$DQ$14,1,AH112),IF(AH$6&gt;='Lease Cycles'!$AZ$14,'Lease Cycles'!$C$14*'Lease Cycles'!$BA$14/12,IF(AH$6&gt;='Lease Cycles'!$AX$14,'Lease Cycles'!$C$14*'Lease Cycles'!$AY$14/12,IF(AH$6&gt;='Lease Cycles'!$AV$14,'Lease Cycles'!$C$14*'Lease Cycles'!$AW$14/12,IF(AH$6&gt;='Lease Cycles'!$AT$14,'Lease Cycles'!$C$14*'Lease Cycles'!$AU$14/12,'Lease Cycles'!$C$14*INDEX('Lease Cycles'!$CB$14:$CH$14,1,AH112)*(1+INDEX('Lease Cycles'!$CI$14:$CO$14,1,AH112))^INT(INT(AH113/12)/INDEX('Lease Cycles'!$CP$14:$CV$14,1,AH112))/12)))),'Lease Cycles'!$C$14*INDEX('Lease Cycles'!$CB$14:$CH$14,1,AH112)*(1+INDEX('Lease Cycles'!$CI$14:$CO$14,1,AH112))^INT(INT(AH113/12)/INDEX('Lease Cycles'!$CP$14:$CV$14,1,AH112))/12),IF(INDEX('Lease Cycles'!$EF$14:$EL$14,1,AH112)=1,IF(AND('Lease Cycles'!$AZ$14&gt;=INDEX('Lease Cycles'!$BG$14:$BM$14,1,AH112),'Lease Cycles'!$AZ$14&lt;=AH$6),'Lease Cycles'!$C$14*'Lease Cycles'!$BA$14/12,IF(AND('Lease Cycles'!$AX$14&gt;=INDEX('Lease Cycles'!$BG$14:$BM$14,1,AH112),'Lease Cycles'!$AX$14&lt;=AH$6),'Lease Cycles'!$C$14*'Lease Cycles'!$AY$14/12,IF(AND('Lease Cycles'!$AV$14&gt;=INDEX('Lease Cycles'!$BG$14:$BM$14,1,AH112),'Lease Cycles'!$AV$14&lt;=AH$6),'Lease Cycles'!$C$14*'Lease Cycles'!$AW$14/12,IF(AND('Lease Cycles'!$AT$14&gt;=INDEX('Lease Cycles'!$BG$14:$BM$14,1,AH112),'Lease Cycles'!$AT$14&lt;=AH$6),'Lease Cycles'!$C$14*'Lease Cycles'!$AU$14/12,'Lease Cycles'!$C$14*INDEX('Lease Cycles'!$CB$14:$CH$14,1,AH112)*(1+INDEX('Lease Cycles'!$CI$14:$CO$14,1,AH112))^INT(INT(AH113/12)/INDEX('Lease Cycles'!$CP$14:$CV$14,1,AH112))/12)))),'Lease Cycles'!$C$14*INDEX('Lease Cycles'!$CB$14:$CH$14,1,AH112)*(1+INDEX('Lease Cycles'!$CI$14:$CO$14,1,AH112))^INT(INT(AH113/12)/INDEX('Lease Cycles'!$CP$14:$CV$14,1,AH112))/12))),IF('Lease Cycles'!$N$14=1,'Lease Cycles'!$C$14*'Lease Cycles'!$E$14*INDEX('Lease Cycles'!$HE$14:$HK$14,1,AH112)*(1+INDEX('Lease Cycles'!$GQ$14:$GW$14,1,AH112))^INT(INT((AH$6-INDEX('Lease Cycles'!$GJ$14:$GP$14,1,AH112))/12)/INDEX('Lease Cycles'!$GX$14:$HD$14,1,AH112))/12,0)))</f>
        <v>3266.6666666666665</v>
      </c>
      <c r="AI115" s="28">
        <f>IF(AI112=0,IF('Lease Cycles'!$F$14&gt;0,'Lease Cycles'!$C$14*'Lease Cycles'!$E$14/12,0),IF(AI114=1,IF('Lease Cycles'!$AT$14&gt;=9999,'Lease Cycles'!$C$14*INDEX('Lease Cycles'!$CB$14:$CH$14,1,AI112)*(1+INDEX('Lease Cycles'!$CI$14:$CO$14,1,AI112))^INT(INT(AI113/12)/INDEX('Lease Cycles'!$CP$14:$CV$14,1,AI112))/12,IF(AI112=1,IF(AI113&gt;=INDEX('Lease Cycles'!$DK$14:$DQ$14,1,AI112),IF(AI$6&gt;='Lease Cycles'!$AZ$14,'Lease Cycles'!$C$14*'Lease Cycles'!$BA$14/12,IF(AI$6&gt;='Lease Cycles'!$AX$14,'Lease Cycles'!$C$14*'Lease Cycles'!$AY$14/12,IF(AI$6&gt;='Lease Cycles'!$AV$14,'Lease Cycles'!$C$14*'Lease Cycles'!$AW$14/12,IF(AI$6&gt;='Lease Cycles'!$AT$14,'Lease Cycles'!$C$14*'Lease Cycles'!$AU$14/12,'Lease Cycles'!$C$14*INDEX('Lease Cycles'!$CB$14:$CH$14,1,AI112)*(1+INDEX('Lease Cycles'!$CI$14:$CO$14,1,AI112))^INT(INT(AI113/12)/INDEX('Lease Cycles'!$CP$14:$CV$14,1,AI112))/12)))),'Lease Cycles'!$C$14*INDEX('Lease Cycles'!$CB$14:$CH$14,1,AI112)*(1+INDEX('Lease Cycles'!$CI$14:$CO$14,1,AI112))^INT(INT(AI113/12)/INDEX('Lease Cycles'!$CP$14:$CV$14,1,AI112))/12),IF(INDEX('Lease Cycles'!$EF$14:$EL$14,1,AI112)=1,IF(AND('Lease Cycles'!$AZ$14&gt;=INDEX('Lease Cycles'!$BG$14:$BM$14,1,AI112),'Lease Cycles'!$AZ$14&lt;=AI$6),'Lease Cycles'!$C$14*'Lease Cycles'!$BA$14/12,IF(AND('Lease Cycles'!$AX$14&gt;=INDEX('Lease Cycles'!$BG$14:$BM$14,1,AI112),'Lease Cycles'!$AX$14&lt;=AI$6),'Lease Cycles'!$C$14*'Lease Cycles'!$AY$14/12,IF(AND('Lease Cycles'!$AV$14&gt;=INDEX('Lease Cycles'!$BG$14:$BM$14,1,AI112),'Lease Cycles'!$AV$14&lt;=AI$6),'Lease Cycles'!$C$14*'Lease Cycles'!$AW$14/12,IF(AND('Lease Cycles'!$AT$14&gt;=INDEX('Lease Cycles'!$BG$14:$BM$14,1,AI112),'Lease Cycles'!$AT$14&lt;=AI$6),'Lease Cycles'!$C$14*'Lease Cycles'!$AU$14/12,'Lease Cycles'!$C$14*INDEX('Lease Cycles'!$CB$14:$CH$14,1,AI112)*(1+INDEX('Lease Cycles'!$CI$14:$CO$14,1,AI112))^INT(INT(AI113/12)/INDEX('Lease Cycles'!$CP$14:$CV$14,1,AI112))/12)))),'Lease Cycles'!$C$14*INDEX('Lease Cycles'!$CB$14:$CH$14,1,AI112)*(1+INDEX('Lease Cycles'!$CI$14:$CO$14,1,AI112))^INT(INT(AI113/12)/INDEX('Lease Cycles'!$CP$14:$CV$14,1,AI112))/12))),IF('Lease Cycles'!$N$14=1,'Lease Cycles'!$C$14*'Lease Cycles'!$E$14*INDEX('Lease Cycles'!$HE$14:$HK$14,1,AI112)*(1+INDEX('Lease Cycles'!$GQ$14:$GW$14,1,AI112))^INT(INT((AI$6-INDEX('Lease Cycles'!$GJ$14:$GP$14,1,AI112))/12)/INDEX('Lease Cycles'!$GX$14:$HD$14,1,AI112))/12,0)))</f>
        <v>3266.6666666666665</v>
      </c>
      <c r="AJ115" s="28">
        <f>IF(AJ112=0,IF('Lease Cycles'!$F$14&gt;0,'Lease Cycles'!$C$14*'Lease Cycles'!$E$14/12,0),IF(AJ114=1,IF('Lease Cycles'!$AT$14&gt;=9999,'Lease Cycles'!$C$14*INDEX('Lease Cycles'!$CB$14:$CH$14,1,AJ112)*(1+INDEX('Lease Cycles'!$CI$14:$CO$14,1,AJ112))^INT(INT(AJ113/12)/INDEX('Lease Cycles'!$CP$14:$CV$14,1,AJ112))/12,IF(AJ112=1,IF(AJ113&gt;=INDEX('Lease Cycles'!$DK$14:$DQ$14,1,AJ112),IF(AJ$6&gt;='Lease Cycles'!$AZ$14,'Lease Cycles'!$C$14*'Lease Cycles'!$BA$14/12,IF(AJ$6&gt;='Lease Cycles'!$AX$14,'Lease Cycles'!$C$14*'Lease Cycles'!$AY$14/12,IF(AJ$6&gt;='Lease Cycles'!$AV$14,'Lease Cycles'!$C$14*'Lease Cycles'!$AW$14/12,IF(AJ$6&gt;='Lease Cycles'!$AT$14,'Lease Cycles'!$C$14*'Lease Cycles'!$AU$14/12,'Lease Cycles'!$C$14*INDEX('Lease Cycles'!$CB$14:$CH$14,1,AJ112)*(1+INDEX('Lease Cycles'!$CI$14:$CO$14,1,AJ112))^INT(INT(AJ113/12)/INDEX('Lease Cycles'!$CP$14:$CV$14,1,AJ112))/12)))),'Lease Cycles'!$C$14*INDEX('Lease Cycles'!$CB$14:$CH$14,1,AJ112)*(1+INDEX('Lease Cycles'!$CI$14:$CO$14,1,AJ112))^INT(INT(AJ113/12)/INDEX('Lease Cycles'!$CP$14:$CV$14,1,AJ112))/12),IF(INDEX('Lease Cycles'!$EF$14:$EL$14,1,AJ112)=1,IF(AND('Lease Cycles'!$AZ$14&gt;=INDEX('Lease Cycles'!$BG$14:$BM$14,1,AJ112),'Lease Cycles'!$AZ$14&lt;=AJ$6),'Lease Cycles'!$C$14*'Lease Cycles'!$BA$14/12,IF(AND('Lease Cycles'!$AX$14&gt;=INDEX('Lease Cycles'!$BG$14:$BM$14,1,AJ112),'Lease Cycles'!$AX$14&lt;=AJ$6),'Lease Cycles'!$C$14*'Lease Cycles'!$AY$14/12,IF(AND('Lease Cycles'!$AV$14&gt;=INDEX('Lease Cycles'!$BG$14:$BM$14,1,AJ112),'Lease Cycles'!$AV$14&lt;=AJ$6),'Lease Cycles'!$C$14*'Lease Cycles'!$AW$14/12,IF(AND('Lease Cycles'!$AT$14&gt;=INDEX('Lease Cycles'!$BG$14:$BM$14,1,AJ112),'Lease Cycles'!$AT$14&lt;=AJ$6),'Lease Cycles'!$C$14*'Lease Cycles'!$AU$14/12,'Lease Cycles'!$C$14*INDEX('Lease Cycles'!$CB$14:$CH$14,1,AJ112)*(1+INDEX('Lease Cycles'!$CI$14:$CO$14,1,AJ112))^INT(INT(AJ113/12)/INDEX('Lease Cycles'!$CP$14:$CV$14,1,AJ112))/12)))),'Lease Cycles'!$C$14*INDEX('Lease Cycles'!$CB$14:$CH$14,1,AJ112)*(1+INDEX('Lease Cycles'!$CI$14:$CO$14,1,AJ112))^INT(INT(AJ113/12)/INDEX('Lease Cycles'!$CP$14:$CV$14,1,AJ112))/12))),IF('Lease Cycles'!$N$14=1,'Lease Cycles'!$C$14*'Lease Cycles'!$E$14*INDEX('Lease Cycles'!$HE$14:$HK$14,1,AJ112)*(1+INDEX('Lease Cycles'!$GQ$14:$GW$14,1,AJ112))^INT(INT((AJ$6-INDEX('Lease Cycles'!$GJ$14:$GP$14,1,AJ112))/12)/INDEX('Lease Cycles'!$GX$14:$HD$14,1,AJ112))/12,0)))</f>
        <v>3266.6666666666665</v>
      </c>
      <c r="AK115" s="28">
        <f>IF(AK112=0,IF('Lease Cycles'!$F$14&gt;0,'Lease Cycles'!$C$14*'Lease Cycles'!$E$14/12,0),IF(AK114=1,IF('Lease Cycles'!$AT$14&gt;=9999,'Lease Cycles'!$C$14*INDEX('Lease Cycles'!$CB$14:$CH$14,1,AK112)*(1+INDEX('Lease Cycles'!$CI$14:$CO$14,1,AK112))^INT(INT(AK113/12)/INDEX('Lease Cycles'!$CP$14:$CV$14,1,AK112))/12,IF(AK112=1,IF(AK113&gt;=INDEX('Lease Cycles'!$DK$14:$DQ$14,1,AK112),IF(AK$6&gt;='Lease Cycles'!$AZ$14,'Lease Cycles'!$C$14*'Lease Cycles'!$BA$14/12,IF(AK$6&gt;='Lease Cycles'!$AX$14,'Lease Cycles'!$C$14*'Lease Cycles'!$AY$14/12,IF(AK$6&gt;='Lease Cycles'!$AV$14,'Lease Cycles'!$C$14*'Lease Cycles'!$AW$14/12,IF(AK$6&gt;='Lease Cycles'!$AT$14,'Lease Cycles'!$C$14*'Lease Cycles'!$AU$14/12,'Lease Cycles'!$C$14*INDEX('Lease Cycles'!$CB$14:$CH$14,1,AK112)*(1+INDEX('Lease Cycles'!$CI$14:$CO$14,1,AK112))^INT(INT(AK113/12)/INDEX('Lease Cycles'!$CP$14:$CV$14,1,AK112))/12)))),'Lease Cycles'!$C$14*INDEX('Lease Cycles'!$CB$14:$CH$14,1,AK112)*(1+INDEX('Lease Cycles'!$CI$14:$CO$14,1,AK112))^INT(INT(AK113/12)/INDEX('Lease Cycles'!$CP$14:$CV$14,1,AK112))/12),IF(INDEX('Lease Cycles'!$EF$14:$EL$14,1,AK112)=1,IF(AND('Lease Cycles'!$AZ$14&gt;=INDEX('Lease Cycles'!$BG$14:$BM$14,1,AK112),'Lease Cycles'!$AZ$14&lt;=AK$6),'Lease Cycles'!$C$14*'Lease Cycles'!$BA$14/12,IF(AND('Lease Cycles'!$AX$14&gt;=INDEX('Lease Cycles'!$BG$14:$BM$14,1,AK112),'Lease Cycles'!$AX$14&lt;=AK$6),'Lease Cycles'!$C$14*'Lease Cycles'!$AY$14/12,IF(AND('Lease Cycles'!$AV$14&gt;=INDEX('Lease Cycles'!$BG$14:$BM$14,1,AK112),'Lease Cycles'!$AV$14&lt;=AK$6),'Lease Cycles'!$C$14*'Lease Cycles'!$AW$14/12,IF(AND('Lease Cycles'!$AT$14&gt;=INDEX('Lease Cycles'!$BG$14:$BM$14,1,AK112),'Lease Cycles'!$AT$14&lt;=AK$6),'Lease Cycles'!$C$14*'Lease Cycles'!$AU$14/12,'Lease Cycles'!$C$14*INDEX('Lease Cycles'!$CB$14:$CH$14,1,AK112)*(1+INDEX('Lease Cycles'!$CI$14:$CO$14,1,AK112))^INT(INT(AK113/12)/INDEX('Lease Cycles'!$CP$14:$CV$14,1,AK112))/12)))),'Lease Cycles'!$C$14*INDEX('Lease Cycles'!$CB$14:$CH$14,1,AK112)*(1+INDEX('Lease Cycles'!$CI$14:$CO$14,1,AK112))^INT(INT(AK113/12)/INDEX('Lease Cycles'!$CP$14:$CV$14,1,AK112))/12))),IF('Lease Cycles'!$N$14=1,'Lease Cycles'!$C$14*'Lease Cycles'!$E$14*INDEX('Lease Cycles'!$HE$14:$HK$14,1,AK112)*(1+INDEX('Lease Cycles'!$GQ$14:$GW$14,1,AK112))^INT(INT((AK$6-INDEX('Lease Cycles'!$GJ$14:$GP$14,1,AK112))/12)/INDEX('Lease Cycles'!$GX$14:$HD$14,1,AK112))/12,0)))</f>
        <v>3266.6666666666665</v>
      </c>
      <c r="AL115" s="28">
        <f>IF(AL112=0,IF('Lease Cycles'!$F$14&gt;0,'Lease Cycles'!$C$14*'Lease Cycles'!$E$14/12,0),IF(AL114=1,IF('Lease Cycles'!$AT$14&gt;=9999,'Lease Cycles'!$C$14*INDEX('Lease Cycles'!$CB$14:$CH$14,1,AL112)*(1+INDEX('Lease Cycles'!$CI$14:$CO$14,1,AL112))^INT(INT(AL113/12)/INDEX('Lease Cycles'!$CP$14:$CV$14,1,AL112))/12,IF(AL112=1,IF(AL113&gt;=INDEX('Lease Cycles'!$DK$14:$DQ$14,1,AL112),IF(AL$6&gt;='Lease Cycles'!$AZ$14,'Lease Cycles'!$C$14*'Lease Cycles'!$BA$14/12,IF(AL$6&gt;='Lease Cycles'!$AX$14,'Lease Cycles'!$C$14*'Lease Cycles'!$AY$14/12,IF(AL$6&gt;='Lease Cycles'!$AV$14,'Lease Cycles'!$C$14*'Lease Cycles'!$AW$14/12,IF(AL$6&gt;='Lease Cycles'!$AT$14,'Lease Cycles'!$C$14*'Lease Cycles'!$AU$14/12,'Lease Cycles'!$C$14*INDEX('Lease Cycles'!$CB$14:$CH$14,1,AL112)*(1+INDEX('Lease Cycles'!$CI$14:$CO$14,1,AL112))^INT(INT(AL113/12)/INDEX('Lease Cycles'!$CP$14:$CV$14,1,AL112))/12)))),'Lease Cycles'!$C$14*INDEX('Lease Cycles'!$CB$14:$CH$14,1,AL112)*(1+INDEX('Lease Cycles'!$CI$14:$CO$14,1,AL112))^INT(INT(AL113/12)/INDEX('Lease Cycles'!$CP$14:$CV$14,1,AL112))/12),IF(INDEX('Lease Cycles'!$EF$14:$EL$14,1,AL112)=1,IF(AND('Lease Cycles'!$AZ$14&gt;=INDEX('Lease Cycles'!$BG$14:$BM$14,1,AL112),'Lease Cycles'!$AZ$14&lt;=AL$6),'Lease Cycles'!$C$14*'Lease Cycles'!$BA$14/12,IF(AND('Lease Cycles'!$AX$14&gt;=INDEX('Lease Cycles'!$BG$14:$BM$14,1,AL112),'Lease Cycles'!$AX$14&lt;=AL$6),'Lease Cycles'!$C$14*'Lease Cycles'!$AY$14/12,IF(AND('Lease Cycles'!$AV$14&gt;=INDEX('Lease Cycles'!$BG$14:$BM$14,1,AL112),'Lease Cycles'!$AV$14&lt;=AL$6),'Lease Cycles'!$C$14*'Lease Cycles'!$AW$14/12,IF(AND('Lease Cycles'!$AT$14&gt;=INDEX('Lease Cycles'!$BG$14:$BM$14,1,AL112),'Lease Cycles'!$AT$14&lt;=AL$6),'Lease Cycles'!$C$14*'Lease Cycles'!$AU$14/12,'Lease Cycles'!$C$14*INDEX('Lease Cycles'!$CB$14:$CH$14,1,AL112)*(1+INDEX('Lease Cycles'!$CI$14:$CO$14,1,AL112))^INT(INT(AL113/12)/INDEX('Lease Cycles'!$CP$14:$CV$14,1,AL112))/12)))),'Lease Cycles'!$C$14*INDEX('Lease Cycles'!$CB$14:$CH$14,1,AL112)*(1+INDEX('Lease Cycles'!$CI$14:$CO$14,1,AL112))^INT(INT(AL113/12)/INDEX('Lease Cycles'!$CP$14:$CV$14,1,AL112))/12))),IF('Lease Cycles'!$N$14=1,'Lease Cycles'!$C$14*'Lease Cycles'!$E$14*INDEX('Lease Cycles'!$HE$14:$HK$14,1,AL112)*(1+INDEX('Lease Cycles'!$GQ$14:$GW$14,1,AL112))^INT(INT((AL$6-INDEX('Lease Cycles'!$GJ$14:$GP$14,1,AL112))/12)/INDEX('Lease Cycles'!$GX$14:$HD$14,1,AL112))/12,0)))</f>
        <v>3266.6666666666665</v>
      </c>
      <c r="AM115" s="28">
        <f>IF(AM112=0,IF('Lease Cycles'!$F$14&gt;0,'Lease Cycles'!$C$14*'Lease Cycles'!$E$14/12,0),IF(AM114=1,IF('Lease Cycles'!$AT$14&gt;=9999,'Lease Cycles'!$C$14*INDEX('Lease Cycles'!$CB$14:$CH$14,1,AM112)*(1+INDEX('Lease Cycles'!$CI$14:$CO$14,1,AM112))^INT(INT(AM113/12)/INDEX('Lease Cycles'!$CP$14:$CV$14,1,AM112))/12,IF(AM112=1,IF(AM113&gt;=INDEX('Lease Cycles'!$DK$14:$DQ$14,1,AM112),IF(AM$6&gt;='Lease Cycles'!$AZ$14,'Lease Cycles'!$C$14*'Lease Cycles'!$BA$14/12,IF(AM$6&gt;='Lease Cycles'!$AX$14,'Lease Cycles'!$C$14*'Lease Cycles'!$AY$14/12,IF(AM$6&gt;='Lease Cycles'!$AV$14,'Lease Cycles'!$C$14*'Lease Cycles'!$AW$14/12,IF(AM$6&gt;='Lease Cycles'!$AT$14,'Lease Cycles'!$C$14*'Lease Cycles'!$AU$14/12,'Lease Cycles'!$C$14*INDEX('Lease Cycles'!$CB$14:$CH$14,1,AM112)*(1+INDEX('Lease Cycles'!$CI$14:$CO$14,1,AM112))^INT(INT(AM113/12)/INDEX('Lease Cycles'!$CP$14:$CV$14,1,AM112))/12)))),'Lease Cycles'!$C$14*INDEX('Lease Cycles'!$CB$14:$CH$14,1,AM112)*(1+INDEX('Lease Cycles'!$CI$14:$CO$14,1,AM112))^INT(INT(AM113/12)/INDEX('Lease Cycles'!$CP$14:$CV$14,1,AM112))/12),IF(INDEX('Lease Cycles'!$EF$14:$EL$14,1,AM112)=1,IF(AND('Lease Cycles'!$AZ$14&gt;=INDEX('Lease Cycles'!$BG$14:$BM$14,1,AM112),'Lease Cycles'!$AZ$14&lt;=AM$6),'Lease Cycles'!$C$14*'Lease Cycles'!$BA$14/12,IF(AND('Lease Cycles'!$AX$14&gt;=INDEX('Lease Cycles'!$BG$14:$BM$14,1,AM112),'Lease Cycles'!$AX$14&lt;=AM$6),'Lease Cycles'!$C$14*'Lease Cycles'!$AY$14/12,IF(AND('Lease Cycles'!$AV$14&gt;=INDEX('Lease Cycles'!$BG$14:$BM$14,1,AM112),'Lease Cycles'!$AV$14&lt;=AM$6),'Lease Cycles'!$C$14*'Lease Cycles'!$AW$14/12,IF(AND('Lease Cycles'!$AT$14&gt;=INDEX('Lease Cycles'!$BG$14:$BM$14,1,AM112),'Lease Cycles'!$AT$14&lt;=AM$6),'Lease Cycles'!$C$14*'Lease Cycles'!$AU$14/12,'Lease Cycles'!$C$14*INDEX('Lease Cycles'!$CB$14:$CH$14,1,AM112)*(1+INDEX('Lease Cycles'!$CI$14:$CO$14,1,AM112))^INT(INT(AM113/12)/INDEX('Lease Cycles'!$CP$14:$CV$14,1,AM112))/12)))),'Lease Cycles'!$C$14*INDEX('Lease Cycles'!$CB$14:$CH$14,1,AM112)*(1+INDEX('Lease Cycles'!$CI$14:$CO$14,1,AM112))^INT(INT(AM113/12)/INDEX('Lease Cycles'!$CP$14:$CV$14,1,AM112))/12))),IF('Lease Cycles'!$N$14=1,'Lease Cycles'!$C$14*'Lease Cycles'!$E$14*INDEX('Lease Cycles'!$HE$14:$HK$14,1,AM112)*(1+INDEX('Lease Cycles'!$GQ$14:$GW$14,1,AM112))^INT(INT((AM$6-INDEX('Lease Cycles'!$GJ$14:$GP$14,1,AM112))/12)/INDEX('Lease Cycles'!$GX$14:$HD$14,1,AM112))/12,0)))</f>
        <v>3266.6666666666665</v>
      </c>
      <c r="AN115" s="28">
        <f>IF(AN112=0,IF('Lease Cycles'!$F$14&gt;0,'Lease Cycles'!$C$14*'Lease Cycles'!$E$14/12,0),IF(AN114=1,IF('Lease Cycles'!$AT$14&gt;=9999,'Lease Cycles'!$C$14*INDEX('Lease Cycles'!$CB$14:$CH$14,1,AN112)*(1+INDEX('Lease Cycles'!$CI$14:$CO$14,1,AN112))^INT(INT(AN113/12)/INDEX('Lease Cycles'!$CP$14:$CV$14,1,AN112))/12,IF(AN112=1,IF(AN113&gt;=INDEX('Lease Cycles'!$DK$14:$DQ$14,1,AN112),IF(AN$6&gt;='Lease Cycles'!$AZ$14,'Lease Cycles'!$C$14*'Lease Cycles'!$BA$14/12,IF(AN$6&gt;='Lease Cycles'!$AX$14,'Lease Cycles'!$C$14*'Lease Cycles'!$AY$14/12,IF(AN$6&gt;='Lease Cycles'!$AV$14,'Lease Cycles'!$C$14*'Lease Cycles'!$AW$14/12,IF(AN$6&gt;='Lease Cycles'!$AT$14,'Lease Cycles'!$C$14*'Lease Cycles'!$AU$14/12,'Lease Cycles'!$C$14*INDEX('Lease Cycles'!$CB$14:$CH$14,1,AN112)*(1+INDEX('Lease Cycles'!$CI$14:$CO$14,1,AN112))^INT(INT(AN113/12)/INDEX('Lease Cycles'!$CP$14:$CV$14,1,AN112))/12)))),'Lease Cycles'!$C$14*INDEX('Lease Cycles'!$CB$14:$CH$14,1,AN112)*(1+INDEX('Lease Cycles'!$CI$14:$CO$14,1,AN112))^INT(INT(AN113/12)/INDEX('Lease Cycles'!$CP$14:$CV$14,1,AN112))/12),IF(INDEX('Lease Cycles'!$EF$14:$EL$14,1,AN112)=1,IF(AND('Lease Cycles'!$AZ$14&gt;=INDEX('Lease Cycles'!$BG$14:$BM$14,1,AN112),'Lease Cycles'!$AZ$14&lt;=AN$6),'Lease Cycles'!$C$14*'Lease Cycles'!$BA$14/12,IF(AND('Lease Cycles'!$AX$14&gt;=INDEX('Lease Cycles'!$BG$14:$BM$14,1,AN112),'Lease Cycles'!$AX$14&lt;=AN$6),'Lease Cycles'!$C$14*'Lease Cycles'!$AY$14/12,IF(AND('Lease Cycles'!$AV$14&gt;=INDEX('Lease Cycles'!$BG$14:$BM$14,1,AN112),'Lease Cycles'!$AV$14&lt;=AN$6),'Lease Cycles'!$C$14*'Lease Cycles'!$AW$14/12,IF(AND('Lease Cycles'!$AT$14&gt;=INDEX('Lease Cycles'!$BG$14:$BM$14,1,AN112),'Lease Cycles'!$AT$14&lt;=AN$6),'Lease Cycles'!$C$14*'Lease Cycles'!$AU$14/12,'Lease Cycles'!$C$14*INDEX('Lease Cycles'!$CB$14:$CH$14,1,AN112)*(1+INDEX('Lease Cycles'!$CI$14:$CO$14,1,AN112))^INT(INT(AN113/12)/INDEX('Lease Cycles'!$CP$14:$CV$14,1,AN112))/12)))),'Lease Cycles'!$C$14*INDEX('Lease Cycles'!$CB$14:$CH$14,1,AN112)*(1+INDEX('Lease Cycles'!$CI$14:$CO$14,1,AN112))^INT(INT(AN113/12)/INDEX('Lease Cycles'!$CP$14:$CV$14,1,AN112))/12))),IF('Lease Cycles'!$N$14=1,'Lease Cycles'!$C$14*'Lease Cycles'!$E$14*INDEX('Lease Cycles'!$HE$14:$HK$14,1,AN112)*(1+INDEX('Lease Cycles'!$GQ$14:$GW$14,1,AN112))^INT(INT((AN$6-INDEX('Lease Cycles'!$GJ$14:$GP$14,1,AN112))/12)/INDEX('Lease Cycles'!$GX$14:$HD$14,1,AN112))/12,0)))</f>
        <v>3266.6666666666665</v>
      </c>
      <c r="AO115" s="28">
        <f>IF(AO112=0,IF('Lease Cycles'!$F$14&gt;0,'Lease Cycles'!$C$14*'Lease Cycles'!$E$14/12,0),IF(AO114=1,IF('Lease Cycles'!$AT$14&gt;=9999,'Lease Cycles'!$C$14*INDEX('Lease Cycles'!$CB$14:$CH$14,1,AO112)*(1+INDEX('Lease Cycles'!$CI$14:$CO$14,1,AO112))^INT(INT(AO113/12)/INDEX('Lease Cycles'!$CP$14:$CV$14,1,AO112))/12,IF(AO112=1,IF(AO113&gt;=INDEX('Lease Cycles'!$DK$14:$DQ$14,1,AO112),IF(AO$6&gt;='Lease Cycles'!$AZ$14,'Lease Cycles'!$C$14*'Lease Cycles'!$BA$14/12,IF(AO$6&gt;='Lease Cycles'!$AX$14,'Lease Cycles'!$C$14*'Lease Cycles'!$AY$14/12,IF(AO$6&gt;='Lease Cycles'!$AV$14,'Lease Cycles'!$C$14*'Lease Cycles'!$AW$14/12,IF(AO$6&gt;='Lease Cycles'!$AT$14,'Lease Cycles'!$C$14*'Lease Cycles'!$AU$14/12,'Lease Cycles'!$C$14*INDEX('Lease Cycles'!$CB$14:$CH$14,1,AO112)*(1+INDEX('Lease Cycles'!$CI$14:$CO$14,1,AO112))^INT(INT(AO113/12)/INDEX('Lease Cycles'!$CP$14:$CV$14,1,AO112))/12)))),'Lease Cycles'!$C$14*INDEX('Lease Cycles'!$CB$14:$CH$14,1,AO112)*(1+INDEX('Lease Cycles'!$CI$14:$CO$14,1,AO112))^INT(INT(AO113/12)/INDEX('Lease Cycles'!$CP$14:$CV$14,1,AO112))/12),IF(INDEX('Lease Cycles'!$EF$14:$EL$14,1,AO112)=1,IF(AND('Lease Cycles'!$AZ$14&gt;=INDEX('Lease Cycles'!$BG$14:$BM$14,1,AO112),'Lease Cycles'!$AZ$14&lt;=AO$6),'Lease Cycles'!$C$14*'Lease Cycles'!$BA$14/12,IF(AND('Lease Cycles'!$AX$14&gt;=INDEX('Lease Cycles'!$BG$14:$BM$14,1,AO112),'Lease Cycles'!$AX$14&lt;=AO$6),'Lease Cycles'!$C$14*'Lease Cycles'!$AY$14/12,IF(AND('Lease Cycles'!$AV$14&gt;=INDEX('Lease Cycles'!$BG$14:$BM$14,1,AO112),'Lease Cycles'!$AV$14&lt;=AO$6),'Lease Cycles'!$C$14*'Lease Cycles'!$AW$14/12,IF(AND('Lease Cycles'!$AT$14&gt;=INDEX('Lease Cycles'!$BG$14:$BM$14,1,AO112),'Lease Cycles'!$AT$14&lt;=AO$6),'Lease Cycles'!$C$14*'Lease Cycles'!$AU$14/12,'Lease Cycles'!$C$14*INDEX('Lease Cycles'!$CB$14:$CH$14,1,AO112)*(1+INDEX('Lease Cycles'!$CI$14:$CO$14,1,AO112))^INT(INT(AO113/12)/INDEX('Lease Cycles'!$CP$14:$CV$14,1,AO112))/12)))),'Lease Cycles'!$C$14*INDEX('Lease Cycles'!$CB$14:$CH$14,1,AO112)*(1+INDEX('Lease Cycles'!$CI$14:$CO$14,1,AO112))^INT(INT(AO113/12)/INDEX('Lease Cycles'!$CP$14:$CV$14,1,AO112))/12))),IF('Lease Cycles'!$N$14=1,'Lease Cycles'!$C$14*'Lease Cycles'!$E$14*INDEX('Lease Cycles'!$HE$14:$HK$14,1,AO112)*(1+INDEX('Lease Cycles'!$GQ$14:$GW$14,1,AO112))^INT(INT((AO$6-INDEX('Lease Cycles'!$GJ$14:$GP$14,1,AO112))/12)/INDEX('Lease Cycles'!$GX$14:$HD$14,1,AO112))/12,0)))</f>
        <v>3266.6666666666665</v>
      </c>
      <c r="AP115" s="28">
        <f>IF(AP112=0,IF('Lease Cycles'!$F$14&gt;0,'Lease Cycles'!$C$14*'Lease Cycles'!$E$14/12,0),IF(AP114=1,IF('Lease Cycles'!$AT$14&gt;=9999,'Lease Cycles'!$C$14*INDEX('Lease Cycles'!$CB$14:$CH$14,1,AP112)*(1+INDEX('Lease Cycles'!$CI$14:$CO$14,1,AP112))^INT(INT(AP113/12)/INDEX('Lease Cycles'!$CP$14:$CV$14,1,AP112))/12,IF(AP112=1,IF(AP113&gt;=INDEX('Lease Cycles'!$DK$14:$DQ$14,1,AP112),IF(AP$6&gt;='Lease Cycles'!$AZ$14,'Lease Cycles'!$C$14*'Lease Cycles'!$BA$14/12,IF(AP$6&gt;='Lease Cycles'!$AX$14,'Lease Cycles'!$C$14*'Lease Cycles'!$AY$14/12,IF(AP$6&gt;='Lease Cycles'!$AV$14,'Lease Cycles'!$C$14*'Lease Cycles'!$AW$14/12,IF(AP$6&gt;='Lease Cycles'!$AT$14,'Lease Cycles'!$C$14*'Lease Cycles'!$AU$14/12,'Lease Cycles'!$C$14*INDEX('Lease Cycles'!$CB$14:$CH$14,1,AP112)*(1+INDEX('Lease Cycles'!$CI$14:$CO$14,1,AP112))^INT(INT(AP113/12)/INDEX('Lease Cycles'!$CP$14:$CV$14,1,AP112))/12)))),'Lease Cycles'!$C$14*INDEX('Lease Cycles'!$CB$14:$CH$14,1,AP112)*(1+INDEX('Lease Cycles'!$CI$14:$CO$14,1,AP112))^INT(INT(AP113/12)/INDEX('Lease Cycles'!$CP$14:$CV$14,1,AP112))/12),IF(INDEX('Lease Cycles'!$EF$14:$EL$14,1,AP112)=1,IF(AND('Lease Cycles'!$AZ$14&gt;=INDEX('Lease Cycles'!$BG$14:$BM$14,1,AP112),'Lease Cycles'!$AZ$14&lt;=AP$6),'Lease Cycles'!$C$14*'Lease Cycles'!$BA$14/12,IF(AND('Lease Cycles'!$AX$14&gt;=INDEX('Lease Cycles'!$BG$14:$BM$14,1,AP112),'Lease Cycles'!$AX$14&lt;=AP$6),'Lease Cycles'!$C$14*'Lease Cycles'!$AY$14/12,IF(AND('Lease Cycles'!$AV$14&gt;=INDEX('Lease Cycles'!$BG$14:$BM$14,1,AP112),'Lease Cycles'!$AV$14&lt;=AP$6),'Lease Cycles'!$C$14*'Lease Cycles'!$AW$14/12,IF(AND('Lease Cycles'!$AT$14&gt;=INDEX('Lease Cycles'!$BG$14:$BM$14,1,AP112),'Lease Cycles'!$AT$14&lt;=AP$6),'Lease Cycles'!$C$14*'Lease Cycles'!$AU$14/12,'Lease Cycles'!$C$14*INDEX('Lease Cycles'!$CB$14:$CH$14,1,AP112)*(1+INDEX('Lease Cycles'!$CI$14:$CO$14,1,AP112))^INT(INT(AP113/12)/INDEX('Lease Cycles'!$CP$14:$CV$14,1,AP112))/12)))),'Lease Cycles'!$C$14*INDEX('Lease Cycles'!$CB$14:$CH$14,1,AP112)*(1+INDEX('Lease Cycles'!$CI$14:$CO$14,1,AP112))^INT(INT(AP113/12)/INDEX('Lease Cycles'!$CP$14:$CV$14,1,AP112))/12))),IF('Lease Cycles'!$N$14=1,'Lease Cycles'!$C$14*'Lease Cycles'!$E$14*INDEX('Lease Cycles'!$HE$14:$HK$14,1,AP112)*(1+INDEX('Lease Cycles'!$GQ$14:$GW$14,1,AP112))^INT(INT((AP$6-INDEX('Lease Cycles'!$GJ$14:$GP$14,1,AP112))/12)/INDEX('Lease Cycles'!$GX$14:$HD$14,1,AP112))/12,0)))</f>
        <v>3266.6666666666665</v>
      </c>
      <c r="AQ115" s="28">
        <f>IF(AQ112=0,IF('Lease Cycles'!$F$14&gt;0,'Lease Cycles'!$C$14*'Lease Cycles'!$E$14/12,0),IF(AQ114=1,IF('Lease Cycles'!$AT$14&gt;=9999,'Lease Cycles'!$C$14*INDEX('Lease Cycles'!$CB$14:$CH$14,1,AQ112)*(1+INDEX('Lease Cycles'!$CI$14:$CO$14,1,AQ112))^INT(INT(AQ113/12)/INDEX('Lease Cycles'!$CP$14:$CV$14,1,AQ112))/12,IF(AQ112=1,IF(AQ113&gt;=INDEX('Lease Cycles'!$DK$14:$DQ$14,1,AQ112),IF(AQ$6&gt;='Lease Cycles'!$AZ$14,'Lease Cycles'!$C$14*'Lease Cycles'!$BA$14/12,IF(AQ$6&gt;='Lease Cycles'!$AX$14,'Lease Cycles'!$C$14*'Lease Cycles'!$AY$14/12,IF(AQ$6&gt;='Lease Cycles'!$AV$14,'Lease Cycles'!$C$14*'Lease Cycles'!$AW$14/12,IF(AQ$6&gt;='Lease Cycles'!$AT$14,'Lease Cycles'!$C$14*'Lease Cycles'!$AU$14/12,'Lease Cycles'!$C$14*INDEX('Lease Cycles'!$CB$14:$CH$14,1,AQ112)*(1+INDEX('Lease Cycles'!$CI$14:$CO$14,1,AQ112))^INT(INT(AQ113/12)/INDEX('Lease Cycles'!$CP$14:$CV$14,1,AQ112))/12)))),'Lease Cycles'!$C$14*INDEX('Lease Cycles'!$CB$14:$CH$14,1,AQ112)*(1+INDEX('Lease Cycles'!$CI$14:$CO$14,1,AQ112))^INT(INT(AQ113/12)/INDEX('Lease Cycles'!$CP$14:$CV$14,1,AQ112))/12),IF(INDEX('Lease Cycles'!$EF$14:$EL$14,1,AQ112)=1,IF(AND('Lease Cycles'!$AZ$14&gt;=INDEX('Lease Cycles'!$BG$14:$BM$14,1,AQ112),'Lease Cycles'!$AZ$14&lt;=AQ$6),'Lease Cycles'!$C$14*'Lease Cycles'!$BA$14/12,IF(AND('Lease Cycles'!$AX$14&gt;=INDEX('Lease Cycles'!$BG$14:$BM$14,1,AQ112),'Lease Cycles'!$AX$14&lt;=AQ$6),'Lease Cycles'!$C$14*'Lease Cycles'!$AY$14/12,IF(AND('Lease Cycles'!$AV$14&gt;=INDEX('Lease Cycles'!$BG$14:$BM$14,1,AQ112),'Lease Cycles'!$AV$14&lt;=AQ$6),'Lease Cycles'!$C$14*'Lease Cycles'!$AW$14/12,IF(AND('Lease Cycles'!$AT$14&gt;=INDEX('Lease Cycles'!$BG$14:$BM$14,1,AQ112),'Lease Cycles'!$AT$14&lt;=AQ$6),'Lease Cycles'!$C$14*'Lease Cycles'!$AU$14/12,'Lease Cycles'!$C$14*INDEX('Lease Cycles'!$CB$14:$CH$14,1,AQ112)*(1+INDEX('Lease Cycles'!$CI$14:$CO$14,1,AQ112))^INT(INT(AQ113/12)/INDEX('Lease Cycles'!$CP$14:$CV$14,1,AQ112))/12)))),'Lease Cycles'!$C$14*INDEX('Lease Cycles'!$CB$14:$CH$14,1,AQ112)*(1+INDEX('Lease Cycles'!$CI$14:$CO$14,1,AQ112))^INT(INT(AQ113/12)/INDEX('Lease Cycles'!$CP$14:$CV$14,1,AQ112))/12))),IF('Lease Cycles'!$N$14=1,'Lease Cycles'!$C$14*'Lease Cycles'!$E$14*INDEX('Lease Cycles'!$HE$14:$HK$14,1,AQ112)*(1+INDEX('Lease Cycles'!$GQ$14:$GW$14,1,AQ112))^INT(INT((AQ$6-INDEX('Lease Cycles'!$GJ$14:$GP$14,1,AQ112))/12)/INDEX('Lease Cycles'!$GX$14:$HD$14,1,AQ112))/12,0)))</f>
        <v>3266.6666666666665</v>
      </c>
      <c r="AR115" s="28">
        <f>IF(AR112=0,IF('Lease Cycles'!$F$14&gt;0,'Lease Cycles'!$C$14*'Lease Cycles'!$E$14/12,0),IF(AR114=1,IF('Lease Cycles'!$AT$14&gt;=9999,'Lease Cycles'!$C$14*INDEX('Lease Cycles'!$CB$14:$CH$14,1,AR112)*(1+INDEX('Lease Cycles'!$CI$14:$CO$14,1,AR112))^INT(INT(AR113/12)/INDEX('Lease Cycles'!$CP$14:$CV$14,1,AR112))/12,IF(AR112=1,IF(AR113&gt;=INDEX('Lease Cycles'!$DK$14:$DQ$14,1,AR112),IF(AR$6&gt;='Lease Cycles'!$AZ$14,'Lease Cycles'!$C$14*'Lease Cycles'!$BA$14/12,IF(AR$6&gt;='Lease Cycles'!$AX$14,'Lease Cycles'!$C$14*'Lease Cycles'!$AY$14/12,IF(AR$6&gt;='Lease Cycles'!$AV$14,'Lease Cycles'!$C$14*'Lease Cycles'!$AW$14/12,IF(AR$6&gt;='Lease Cycles'!$AT$14,'Lease Cycles'!$C$14*'Lease Cycles'!$AU$14/12,'Lease Cycles'!$C$14*INDEX('Lease Cycles'!$CB$14:$CH$14,1,AR112)*(1+INDEX('Lease Cycles'!$CI$14:$CO$14,1,AR112))^INT(INT(AR113/12)/INDEX('Lease Cycles'!$CP$14:$CV$14,1,AR112))/12)))),'Lease Cycles'!$C$14*INDEX('Lease Cycles'!$CB$14:$CH$14,1,AR112)*(1+INDEX('Lease Cycles'!$CI$14:$CO$14,1,AR112))^INT(INT(AR113/12)/INDEX('Lease Cycles'!$CP$14:$CV$14,1,AR112))/12),IF(INDEX('Lease Cycles'!$EF$14:$EL$14,1,AR112)=1,IF(AND('Lease Cycles'!$AZ$14&gt;=INDEX('Lease Cycles'!$BG$14:$BM$14,1,AR112),'Lease Cycles'!$AZ$14&lt;=AR$6),'Lease Cycles'!$C$14*'Lease Cycles'!$BA$14/12,IF(AND('Lease Cycles'!$AX$14&gt;=INDEX('Lease Cycles'!$BG$14:$BM$14,1,AR112),'Lease Cycles'!$AX$14&lt;=AR$6),'Lease Cycles'!$C$14*'Lease Cycles'!$AY$14/12,IF(AND('Lease Cycles'!$AV$14&gt;=INDEX('Lease Cycles'!$BG$14:$BM$14,1,AR112),'Lease Cycles'!$AV$14&lt;=AR$6),'Lease Cycles'!$C$14*'Lease Cycles'!$AW$14/12,IF(AND('Lease Cycles'!$AT$14&gt;=INDEX('Lease Cycles'!$BG$14:$BM$14,1,AR112),'Lease Cycles'!$AT$14&lt;=AR$6),'Lease Cycles'!$C$14*'Lease Cycles'!$AU$14/12,'Lease Cycles'!$C$14*INDEX('Lease Cycles'!$CB$14:$CH$14,1,AR112)*(1+INDEX('Lease Cycles'!$CI$14:$CO$14,1,AR112))^INT(INT(AR113/12)/INDEX('Lease Cycles'!$CP$14:$CV$14,1,AR112))/12)))),'Lease Cycles'!$C$14*INDEX('Lease Cycles'!$CB$14:$CH$14,1,AR112)*(1+INDEX('Lease Cycles'!$CI$14:$CO$14,1,AR112))^INT(INT(AR113/12)/INDEX('Lease Cycles'!$CP$14:$CV$14,1,AR112))/12))),IF('Lease Cycles'!$N$14=1,'Lease Cycles'!$C$14*'Lease Cycles'!$E$14*INDEX('Lease Cycles'!$HE$14:$HK$14,1,AR112)*(1+INDEX('Lease Cycles'!$GQ$14:$GW$14,1,AR112))^INT(INT((AR$6-INDEX('Lease Cycles'!$GJ$14:$GP$14,1,AR112))/12)/INDEX('Lease Cycles'!$GX$14:$HD$14,1,AR112))/12,0)))</f>
        <v>3266.6666666666665</v>
      </c>
      <c r="AS115" s="28">
        <f>IF(AS112=0,IF('Lease Cycles'!$F$14&gt;0,'Lease Cycles'!$C$14*'Lease Cycles'!$E$14/12,0),IF(AS114=1,IF('Lease Cycles'!$AT$14&gt;=9999,'Lease Cycles'!$C$14*INDEX('Lease Cycles'!$CB$14:$CH$14,1,AS112)*(1+INDEX('Lease Cycles'!$CI$14:$CO$14,1,AS112))^INT(INT(AS113/12)/INDEX('Lease Cycles'!$CP$14:$CV$14,1,AS112))/12,IF(AS112=1,IF(AS113&gt;=INDEX('Lease Cycles'!$DK$14:$DQ$14,1,AS112),IF(AS$6&gt;='Lease Cycles'!$AZ$14,'Lease Cycles'!$C$14*'Lease Cycles'!$BA$14/12,IF(AS$6&gt;='Lease Cycles'!$AX$14,'Lease Cycles'!$C$14*'Lease Cycles'!$AY$14/12,IF(AS$6&gt;='Lease Cycles'!$AV$14,'Lease Cycles'!$C$14*'Lease Cycles'!$AW$14/12,IF(AS$6&gt;='Lease Cycles'!$AT$14,'Lease Cycles'!$C$14*'Lease Cycles'!$AU$14/12,'Lease Cycles'!$C$14*INDEX('Lease Cycles'!$CB$14:$CH$14,1,AS112)*(1+INDEX('Lease Cycles'!$CI$14:$CO$14,1,AS112))^INT(INT(AS113/12)/INDEX('Lease Cycles'!$CP$14:$CV$14,1,AS112))/12)))),'Lease Cycles'!$C$14*INDEX('Lease Cycles'!$CB$14:$CH$14,1,AS112)*(1+INDEX('Lease Cycles'!$CI$14:$CO$14,1,AS112))^INT(INT(AS113/12)/INDEX('Lease Cycles'!$CP$14:$CV$14,1,AS112))/12),IF(INDEX('Lease Cycles'!$EF$14:$EL$14,1,AS112)=1,IF(AND('Lease Cycles'!$AZ$14&gt;=INDEX('Lease Cycles'!$BG$14:$BM$14,1,AS112),'Lease Cycles'!$AZ$14&lt;=AS$6),'Lease Cycles'!$C$14*'Lease Cycles'!$BA$14/12,IF(AND('Lease Cycles'!$AX$14&gt;=INDEX('Lease Cycles'!$BG$14:$BM$14,1,AS112),'Lease Cycles'!$AX$14&lt;=AS$6),'Lease Cycles'!$C$14*'Lease Cycles'!$AY$14/12,IF(AND('Lease Cycles'!$AV$14&gt;=INDEX('Lease Cycles'!$BG$14:$BM$14,1,AS112),'Lease Cycles'!$AV$14&lt;=AS$6),'Lease Cycles'!$C$14*'Lease Cycles'!$AW$14/12,IF(AND('Lease Cycles'!$AT$14&gt;=INDEX('Lease Cycles'!$BG$14:$BM$14,1,AS112),'Lease Cycles'!$AT$14&lt;=AS$6),'Lease Cycles'!$C$14*'Lease Cycles'!$AU$14/12,'Lease Cycles'!$C$14*INDEX('Lease Cycles'!$CB$14:$CH$14,1,AS112)*(1+INDEX('Lease Cycles'!$CI$14:$CO$14,1,AS112))^INT(INT(AS113/12)/INDEX('Lease Cycles'!$CP$14:$CV$14,1,AS112))/12)))),'Lease Cycles'!$C$14*INDEX('Lease Cycles'!$CB$14:$CH$14,1,AS112)*(1+INDEX('Lease Cycles'!$CI$14:$CO$14,1,AS112))^INT(INT(AS113/12)/INDEX('Lease Cycles'!$CP$14:$CV$14,1,AS112))/12))),IF('Lease Cycles'!$N$14=1,'Lease Cycles'!$C$14*'Lease Cycles'!$E$14*INDEX('Lease Cycles'!$HE$14:$HK$14,1,AS112)*(1+INDEX('Lease Cycles'!$GQ$14:$GW$14,1,AS112))^INT(INT((AS$6-INDEX('Lease Cycles'!$GJ$14:$GP$14,1,AS112))/12)/INDEX('Lease Cycles'!$GX$14:$HD$14,1,AS112))/12,0)))</f>
        <v>3266.6666666666665</v>
      </c>
      <c r="AT115" s="28">
        <f>IF(AT112=0,IF('Lease Cycles'!$F$14&gt;0,'Lease Cycles'!$C$14*'Lease Cycles'!$E$14/12,0),IF(AT114=1,IF('Lease Cycles'!$AT$14&gt;=9999,'Lease Cycles'!$C$14*INDEX('Lease Cycles'!$CB$14:$CH$14,1,AT112)*(1+INDEX('Lease Cycles'!$CI$14:$CO$14,1,AT112))^INT(INT(AT113/12)/INDEX('Lease Cycles'!$CP$14:$CV$14,1,AT112))/12,IF(AT112=1,IF(AT113&gt;=INDEX('Lease Cycles'!$DK$14:$DQ$14,1,AT112),IF(AT$6&gt;='Lease Cycles'!$AZ$14,'Lease Cycles'!$C$14*'Lease Cycles'!$BA$14/12,IF(AT$6&gt;='Lease Cycles'!$AX$14,'Lease Cycles'!$C$14*'Lease Cycles'!$AY$14/12,IF(AT$6&gt;='Lease Cycles'!$AV$14,'Lease Cycles'!$C$14*'Lease Cycles'!$AW$14/12,IF(AT$6&gt;='Lease Cycles'!$AT$14,'Lease Cycles'!$C$14*'Lease Cycles'!$AU$14/12,'Lease Cycles'!$C$14*INDEX('Lease Cycles'!$CB$14:$CH$14,1,AT112)*(1+INDEX('Lease Cycles'!$CI$14:$CO$14,1,AT112))^INT(INT(AT113/12)/INDEX('Lease Cycles'!$CP$14:$CV$14,1,AT112))/12)))),'Lease Cycles'!$C$14*INDEX('Lease Cycles'!$CB$14:$CH$14,1,AT112)*(1+INDEX('Lease Cycles'!$CI$14:$CO$14,1,AT112))^INT(INT(AT113/12)/INDEX('Lease Cycles'!$CP$14:$CV$14,1,AT112))/12),IF(INDEX('Lease Cycles'!$EF$14:$EL$14,1,AT112)=1,IF(AND('Lease Cycles'!$AZ$14&gt;=INDEX('Lease Cycles'!$BG$14:$BM$14,1,AT112),'Lease Cycles'!$AZ$14&lt;=AT$6),'Lease Cycles'!$C$14*'Lease Cycles'!$BA$14/12,IF(AND('Lease Cycles'!$AX$14&gt;=INDEX('Lease Cycles'!$BG$14:$BM$14,1,AT112),'Lease Cycles'!$AX$14&lt;=AT$6),'Lease Cycles'!$C$14*'Lease Cycles'!$AY$14/12,IF(AND('Lease Cycles'!$AV$14&gt;=INDEX('Lease Cycles'!$BG$14:$BM$14,1,AT112),'Lease Cycles'!$AV$14&lt;=AT$6),'Lease Cycles'!$C$14*'Lease Cycles'!$AW$14/12,IF(AND('Lease Cycles'!$AT$14&gt;=INDEX('Lease Cycles'!$BG$14:$BM$14,1,AT112),'Lease Cycles'!$AT$14&lt;=AT$6),'Lease Cycles'!$C$14*'Lease Cycles'!$AU$14/12,'Lease Cycles'!$C$14*INDEX('Lease Cycles'!$CB$14:$CH$14,1,AT112)*(1+INDEX('Lease Cycles'!$CI$14:$CO$14,1,AT112))^INT(INT(AT113/12)/INDEX('Lease Cycles'!$CP$14:$CV$14,1,AT112))/12)))),'Lease Cycles'!$C$14*INDEX('Lease Cycles'!$CB$14:$CH$14,1,AT112)*(1+INDEX('Lease Cycles'!$CI$14:$CO$14,1,AT112))^INT(INT(AT113/12)/INDEX('Lease Cycles'!$CP$14:$CV$14,1,AT112))/12))),IF('Lease Cycles'!$N$14=1,'Lease Cycles'!$C$14*'Lease Cycles'!$E$14*INDEX('Lease Cycles'!$HE$14:$HK$14,1,AT112)*(1+INDEX('Lease Cycles'!$GQ$14:$GW$14,1,AT112))^INT(INT((AT$6-INDEX('Lease Cycles'!$GJ$14:$GP$14,1,AT112))/12)/INDEX('Lease Cycles'!$GX$14:$HD$14,1,AT112))/12,0)))</f>
        <v>3491.311320066723</v>
      </c>
      <c r="AU115" s="28">
        <f>IF(AU112=0,IF('Lease Cycles'!$F$14&gt;0,'Lease Cycles'!$C$14*'Lease Cycles'!$E$14/12,0),IF(AU114=1,IF('Lease Cycles'!$AT$14&gt;=9999,'Lease Cycles'!$C$14*INDEX('Lease Cycles'!$CB$14:$CH$14,1,AU112)*(1+INDEX('Lease Cycles'!$CI$14:$CO$14,1,AU112))^INT(INT(AU113/12)/INDEX('Lease Cycles'!$CP$14:$CV$14,1,AU112))/12,IF(AU112=1,IF(AU113&gt;=INDEX('Lease Cycles'!$DK$14:$DQ$14,1,AU112),IF(AU$6&gt;='Lease Cycles'!$AZ$14,'Lease Cycles'!$C$14*'Lease Cycles'!$BA$14/12,IF(AU$6&gt;='Lease Cycles'!$AX$14,'Lease Cycles'!$C$14*'Lease Cycles'!$AY$14/12,IF(AU$6&gt;='Lease Cycles'!$AV$14,'Lease Cycles'!$C$14*'Lease Cycles'!$AW$14/12,IF(AU$6&gt;='Lease Cycles'!$AT$14,'Lease Cycles'!$C$14*'Lease Cycles'!$AU$14/12,'Lease Cycles'!$C$14*INDEX('Lease Cycles'!$CB$14:$CH$14,1,AU112)*(1+INDEX('Lease Cycles'!$CI$14:$CO$14,1,AU112))^INT(INT(AU113/12)/INDEX('Lease Cycles'!$CP$14:$CV$14,1,AU112))/12)))),'Lease Cycles'!$C$14*INDEX('Lease Cycles'!$CB$14:$CH$14,1,AU112)*(1+INDEX('Lease Cycles'!$CI$14:$CO$14,1,AU112))^INT(INT(AU113/12)/INDEX('Lease Cycles'!$CP$14:$CV$14,1,AU112))/12),IF(INDEX('Lease Cycles'!$EF$14:$EL$14,1,AU112)=1,IF(AND('Lease Cycles'!$AZ$14&gt;=INDEX('Lease Cycles'!$BG$14:$BM$14,1,AU112),'Lease Cycles'!$AZ$14&lt;=AU$6),'Lease Cycles'!$C$14*'Lease Cycles'!$BA$14/12,IF(AND('Lease Cycles'!$AX$14&gt;=INDEX('Lease Cycles'!$BG$14:$BM$14,1,AU112),'Lease Cycles'!$AX$14&lt;=AU$6),'Lease Cycles'!$C$14*'Lease Cycles'!$AY$14/12,IF(AND('Lease Cycles'!$AV$14&gt;=INDEX('Lease Cycles'!$BG$14:$BM$14,1,AU112),'Lease Cycles'!$AV$14&lt;=AU$6),'Lease Cycles'!$C$14*'Lease Cycles'!$AW$14/12,IF(AND('Lease Cycles'!$AT$14&gt;=INDEX('Lease Cycles'!$BG$14:$BM$14,1,AU112),'Lease Cycles'!$AT$14&lt;=AU$6),'Lease Cycles'!$C$14*'Lease Cycles'!$AU$14/12,'Lease Cycles'!$C$14*INDEX('Lease Cycles'!$CB$14:$CH$14,1,AU112)*(1+INDEX('Lease Cycles'!$CI$14:$CO$14,1,AU112))^INT(INT(AU113/12)/INDEX('Lease Cycles'!$CP$14:$CV$14,1,AU112))/12)))),'Lease Cycles'!$C$14*INDEX('Lease Cycles'!$CB$14:$CH$14,1,AU112)*(1+INDEX('Lease Cycles'!$CI$14:$CO$14,1,AU112))^INT(INT(AU113/12)/INDEX('Lease Cycles'!$CP$14:$CV$14,1,AU112))/12))),IF('Lease Cycles'!$N$14=1,'Lease Cycles'!$C$14*'Lease Cycles'!$E$14*INDEX('Lease Cycles'!$HE$14:$HK$14,1,AU112)*(1+INDEX('Lease Cycles'!$GQ$14:$GW$14,1,AU112))^INT(INT((AU$6-INDEX('Lease Cycles'!$GJ$14:$GP$14,1,AU112))/12)/INDEX('Lease Cycles'!$GX$14:$HD$14,1,AU112))/12,0)))</f>
        <v>2312.4483556914447</v>
      </c>
      <c r="AV115" s="28">
        <f>IF(AV112=0,IF('Lease Cycles'!$F$14&gt;0,'Lease Cycles'!$C$14*'Lease Cycles'!$E$14/12,0),IF(AV114=1,IF('Lease Cycles'!$AT$14&gt;=9999,'Lease Cycles'!$C$14*INDEX('Lease Cycles'!$CB$14:$CH$14,1,AV112)*(1+INDEX('Lease Cycles'!$CI$14:$CO$14,1,AV112))^INT(INT(AV113/12)/INDEX('Lease Cycles'!$CP$14:$CV$14,1,AV112))/12,IF(AV112=1,IF(AV113&gt;=INDEX('Lease Cycles'!$DK$14:$DQ$14,1,AV112),IF(AV$6&gt;='Lease Cycles'!$AZ$14,'Lease Cycles'!$C$14*'Lease Cycles'!$BA$14/12,IF(AV$6&gt;='Lease Cycles'!$AX$14,'Lease Cycles'!$C$14*'Lease Cycles'!$AY$14/12,IF(AV$6&gt;='Lease Cycles'!$AV$14,'Lease Cycles'!$C$14*'Lease Cycles'!$AW$14/12,IF(AV$6&gt;='Lease Cycles'!$AT$14,'Lease Cycles'!$C$14*'Lease Cycles'!$AU$14/12,'Lease Cycles'!$C$14*INDEX('Lease Cycles'!$CB$14:$CH$14,1,AV112)*(1+INDEX('Lease Cycles'!$CI$14:$CO$14,1,AV112))^INT(INT(AV113/12)/INDEX('Lease Cycles'!$CP$14:$CV$14,1,AV112))/12)))),'Lease Cycles'!$C$14*INDEX('Lease Cycles'!$CB$14:$CH$14,1,AV112)*(1+INDEX('Lease Cycles'!$CI$14:$CO$14,1,AV112))^INT(INT(AV113/12)/INDEX('Lease Cycles'!$CP$14:$CV$14,1,AV112))/12),IF(INDEX('Lease Cycles'!$EF$14:$EL$14,1,AV112)=1,IF(AND('Lease Cycles'!$AZ$14&gt;=INDEX('Lease Cycles'!$BG$14:$BM$14,1,AV112),'Lease Cycles'!$AZ$14&lt;=AV$6),'Lease Cycles'!$C$14*'Lease Cycles'!$BA$14/12,IF(AND('Lease Cycles'!$AX$14&gt;=INDEX('Lease Cycles'!$BG$14:$BM$14,1,AV112),'Lease Cycles'!$AX$14&lt;=AV$6),'Lease Cycles'!$C$14*'Lease Cycles'!$AY$14/12,IF(AND('Lease Cycles'!$AV$14&gt;=INDEX('Lease Cycles'!$BG$14:$BM$14,1,AV112),'Lease Cycles'!$AV$14&lt;=AV$6),'Lease Cycles'!$C$14*'Lease Cycles'!$AW$14/12,IF(AND('Lease Cycles'!$AT$14&gt;=INDEX('Lease Cycles'!$BG$14:$BM$14,1,AV112),'Lease Cycles'!$AT$14&lt;=AV$6),'Lease Cycles'!$C$14*'Lease Cycles'!$AU$14/12,'Lease Cycles'!$C$14*INDEX('Lease Cycles'!$CB$14:$CH$14,1,AV112)*(1+INDEX('Lease Cycles'!$CI$14:$CO$14,1,AV112))^INT(INT(AV113/12)/INDEX('Lease Cycles'!$CP$14:$CV$14,1,AV112))/12)))),'Lease Cycles'!$C$14*INDEX('Lease Cycles'!$CB$14:$CH$14,1,AV112)*(1+INDEX('Lease Cycles'!$CI$14:$CO$14,1,AV112))^INT(INT(AV113/12)/INDEX('Lease Cycles'!$CP$14:$CV$14,1,AV112))/12))),IF('Lease Cycles'!$N$14=1,'Lease Cycles'!$C$14*'Lease Cycles'!$E$14*INDEX('Lease Cycles'!$HE$14:$HK$14,1,AV112)*(1+INDEX('Lease Cycles'!$GQ$14:$GW$14,1,AV112))^INT(INT((AV$6-INDEX('Lease Cycles'!$GJ$14:$GP$14,1,AV112))/12)/INDEX('Lease Cycles'!$GX$14:$HD$14,1,AV112))/12,0)))</f>
        <v>2312.4483556914447</v>
      </c>
      <c r="AW115" s="28">
        <f>IF(AW112=0,IF('Lease Cycles'!$F$14&gt;0,'Lease Cycles'!$C$14*'Lease Cycles'!$E$14/12,0),IF(AW114=1,IF('Lease Cycles'!$AT$14&gt;=9999,'Lease Cycles'!$C$14*INDEX('Lease Cycles'!$CB$14:$CH$14,1,AW112)*(1+INDEX('Lease Cycles'!$CI$14:$CO$14,1,AW112))^INT(INT(AW113/12)/INDEX('Lease Cycles'!$CP$14:$CV$14,1,AW112))/12,IF(AW112=1,IF(AW113&gt;=INDEX('Lease Cycles'!$DK$14:$DQ$14,1,AW112),IF(AW$6&gt;='Lease Cycles'!$AZ$14,'Lease Cycles'!$C$14*'Lease Cycles'!$BA$14/12,IF(AW$6&gt;='Lease Cycles'!$AX$14,'Lease Cycles'!$C$14*'Lease Cycles'!$AY$14/12,IF(AW$6&gt;='Lease Cycles'!$AV$14,'Lease Cycles'!$C$14*'Lease Cycles'!$AW$14/12,IF(AW$6&gt;='Lease Cycles'!$AT$14,'Lease Cycles'!$C$14*'Lease Cycles'!$AU$14/12,'Lease Cycles'!$C$14*INDEX('Lease Cycles'!$CB$14:$CH$14,1,AW112)*(1+INDEX('Lease Cycles'!$CI$14:$CO$14,1,AW112))^INT(INT(AW113/12)/INDEX('Lease Cycles'!$CP$14:$CV$14,1,AW112))/12)))),'Lease Cycles'!$C$14*INDEX('Lease Cycles'!$CB$14:$CH$14,1,AW112)*(1+INDEX('Lease Cycles'!$CI$14:$CO$14,1,AW112))^INT(INT(AW113/12)/INDEX('Lease Cycles'!$CP$14:$CV$14,1,AW112))/12),IF(INDEX('Lease Cycles'!$EF$14:$EL$14,1,AW112)=1,IF(AND('Lease Cycles'!$AZ$14&gt;=INDEX('Lease Cycles'!$BG$14:$BM$14,1,AW112),'Lease Cycles'!$AZ$14&lt;=AW$6),'Lease Cycles'!$C$14*'Lease Cycles'!$BA$14/12,IF(AND('Lease Cycles'!$AX$14&gt;=INDEX('Lease Cycles'!$BG$14:$BM$14,1,AW112),'Lease Cycles'!$AX$14&lt;=AW$6),'Lease Cycles'!$C$14*'Lease Cycles'!$AY$14/12,IF(AND('Lease Cycles'!$AV$14&gt;=INDEX('Lease Cycles'!$BG$14:$BM$14,1,AW112),'Lease Cycles'!$AV$14&lt;=AW$6),'Lease Cycles'!$C$14*'Lease Cycles'!$AW$14/12,IF(AND('Lease Cycles'!$AT$14&gt;=INDEX('Lease Cycles'!$BG$14:$BM$14,1,AW112),'Lease Cycles'!$AT$14&lt;=AW$6),'Lease Cycles'!$C$14*'Lease Cycles'!$AU$14/12,'Lease Cycles'!$C$14*INDEX('Lease Cycles'!$CB$14:$CH$14,1,AW112)*(1+INDEX('Lease Cycles'!$CI$14:$CO$14,1,AW112))^INT(INT(AW113/12)/INDEX('Lease Cycles'!$CP$14:$CV$14,1,AW112))/12)))),'Lease Cycles'!$C$14*INDEX('Lease Cycles'!$CB$14:$CH$14,1,AW112)*(1+INDEX('Lease Cycles'!$CI$14:$CO$14,1,AW112))^INT(INT(AW113/12)/INDEX('Lease Cycles'!$CP$14:$CV$14,1,AW112))/12))),IF('Lease Cycles'!$N$14=1,'Lease Cycles'!$C$14*'Lease Cycles'!$E$14*INDEX('Lease Cycles'!$HE$14:$HK$14,1,AW112)*(1+INDEX('Lease Cycles'!$GQ$14:$GW$14,1,AW112))^INT(INT((AW$6-INDEX('Lease Cycles'!$GJ$14:$GP$14,1,AW112))/12)/INDEX('Lease Cycles'!$GX$14:$HD$14,1,AW112))/12,0)))</f>
        <v>2312.4483556914447</v>
      </c>
      <c r="AX115" s="28">
        <f>IF(AX112=0,IF('Lease Cycles'!$F$14&gt;0,'Lease Cycles'!$C$14*'Lease Cycles'!$E$14/12,0),IF(AX114=1,IF('Lease Cycles'!$AT$14&gt;=9999,'Lease Cycles'!$C$14*INDEX('Lease Cycles'!$CB$14:$CH$14,1,AX112)*(1+INDEX('Lease Cycles'!$CI$14:$CO$14,1,AX112))^INT(INT(AX113/12)/INDEX('Lease Cycles'!$CP$14:$CV$14,1,AX112))/12,IF(AX112=1,IF(AX113&gt;=INDEX('Lease Cycles'!$DK$14:$DQ$14,1,AX112),IF(AX$6&gt;='Lease Cycles'!$AZ$14,'Lease Cycles'!$C$14*'Lease Cycles'!$BA$14/12,IF(AX$6&gt;='Lease Cycles'!$AX$14,'Lease Cycles'!$C$14*'Lease Cycles'!$AY$14/12,IF(AX$6&gt;='Lease Cycles'!$AV$14,'Lease Cycles'!$C$14*'Lease Cycles'!$AW$14/12,IF(AX$6&gt;='Lease Cycles'!$AT$14,'Lease Cycles'!$C$14*'Lease Cycles'!$AU$14/12,'Lease Cycles'!$C$14*INDEX('Lease Cycles'!$CB$14:$CH$14,1,AX112)*(1+INDEX('Lease Cycles'!$CI$14:$CO$14,1,AX112))^INT(INT(AX113/12)/INDEX('Lease Cycles'!$CP$14:$CV$14,1,AX112))/12)))),'Lease Cycles'!$C$14*INDEX('Lease Cycles'!$CB$14:$CH$14,1,AX112)*(1+INDEX('Lease Cycles'!$CI$14:$CO$14,1,AX112))^INT(INT(AX113/12)/INDEX('Lease Cycles'!$CP$14:$CV$14,1,AX112))/12),IF(INDEX('Lease Cycles'!$EF$14:$EL$14,1,AX112)=1,IF(AND('Lease Cycles'!$AZ$14&gt;=INDEX('Lease Cycles'!$BG$14:$BM$14,1,AX112),'Lease Cycles'!$AZ$14&lt;=AX$6),'Lease Cycles'!$C$14*'Lease Cycles'!$BA$14/12,IF(AND('Lease Cycles'!$AX$14&gt;=INDEX('Lease Cycles'!$BG$14:$BM$14,1,AX112),'Lease Cycles'!$AX$14&lt;=AX$6),'Lease Cycles'!$C$14*'Lease Cycles'!$AY$14/12,IF(AND('Lease Cycles'!$AV$14&gt;=INDEX('Lease Cycles'!$BG$14:$BM$14,1,AX112),'Lease Cycles'!$AV$14&lt;=AX$6),'Lease Cycles'!$C$14*'Lease Cycles'!$AW$14/12,IF(AND('Lease Cycles'!$AT$14&gt;=INDEX('Lease Cycles'!$BG$14:$BM$14,1,AX112),'Lease Cycles'!$AT$14&lt;=AX$6),'Lease Cycles'!$C$14*'Lease Cycles'!$AU$14/12,'Lease Cycles'!$C$14*INDEX('Lease Cycles'!$CB$14:$CH$14,1,AX112)*(1+INDEX('Lease Cycles'!$CI$14:$CO$14,1,AX112))^INT(INT(AX113/12)/INDEX('Lease Cycles'!$CP$14:$CV$14,1,AX112))/12)))),'Lease Cycles'!$C$14*INDEX('Lease Cycles'!$CB$14:$CH$14,1,AX112)*(1+INDEX('Lease Cycles'!$CI$14:$CO$14,1,AX112))^INT(INT(AX113/12)/INDEX('Lease Cycles'!$CP$14:$CV$14,1,AX112))/12))),IF('Lease Cycles'!$N$14=1,'Lease Cycles'!$C$14*'Lease Cycles'!$E$14*INDEX('Lease Cycles'!$HE$14:$HK$14,1,AX112)*(1+INDEX('Lease Cycles'!$GQ$14:$GW$14,1,AX112))^INT(INT((AX$6-INDEX('Lease Cycles'!$GJ$14:$GP$14,1,AX112))/12)/INDEX('Lease Cycles'!$GX$14:$HD$14,1,AX112))/12,0)))</f>
        <v>2312.4483556914447</v>
      </c>
      <c r="AY115" s="28">
        <f>IF(AY112=0,IF('Lease Cycles'!$F$14&gt;0,'Lease Cycles'!$C$14*'Lease Cycles'!$E$14/12,0),IF(AY114=1,IF('Lease Cycles'!$AT$14&gt;=9999,'Lease Cycles'!$C$14*INDEX('Lease Cycles'!$CB$14:$CH$14,1,AY112)*(1+INDEX('Lease Cycles'!$CI$14:$CO$14,1,AY112))^INT(INT(AY113/12)/INDEX('Lease Cycles'!$CP$14:$CV$14,1,AY112))/12,IF(AY112=1,IF(AY113&gt;=INDEX('Lease Cycles'!$DK$14:$DQ$14,1,AY112),IF(AY$6&gt;='Lease Cycles'!$AZ$14,'Lease Cycles'!$C$14*'Lease Cycles'!$BA$14/12,IF(AY$6&gt;='Lease Cycles'!$AX$14,'Lease Cycles'!$C$14*'Lease Cycles'!$AY$14/12,IF(AY$6&gt;='Lease Cycles'!$AV$14,'Lease Cycles'!$C$14*'Lease Cycles'!$AW$14/12,IF(AY$6&gt;='Lease Cycles'!$AT$14,'Lease Cycles'!$C$14*'Lease Cycles'!$AU$14/12,'Lease Cycles'!$C$14*INDEX('Lease Cycles'!$CB$14:$CH$14,1,AY112)*(1+INDEX('Lease Cycles'!$CI$14:$CO$14,1,AY112))^INT(INT(AY113/12)/INDEX('Lease Cycles'!$CP$14:$CV$14,1,AY112))/12)))),'Lease Cycles'!$C$14*INDEX('Lease Cycles'!$CB$14:$CH$14,1,AY112)*(1+INDEX('Lease Cycles'!$CI$14:$CO$14,1,AY112))^INT(INT(AY113/12)/INDEX('Lease Cycles'!$CP$14:$CV$14,1,AY112))/12),IF(INDEX('Lease Cycles'!$EF$14:$EL$14,1,AY112)=1,IF(AND('Lease Cycles'!$AZ$14&gt;=INDEX('Lease Cycles'!$BG$14:$BM$14,1,AY112),'Lease Cycles'!$AZ$14&lt;=AY$6),'Lease Cycles'!$C$14*'Lease Cycles'!$BA$14/12,IF(AND('Lease Cycles'!$AX$14&gt;=INDEX('Lease Cycles'!$BG$14:$BM$14,1,AY112),'Lease Cycles'!$AX$14&lt;=AY$6),'Lease Cycles'!$C$14*'Lease Cycles'!$AY$14/12,IF(AND('Lease Cycles'!$AV$14&gt;=INDEX('Lease Cycles'!$BG$14:$BM$14,1,AY112),'Lease Cycles'!$AV$14&lt;=AY$6),'Lease Cycles'!$C$14*'Lease Cycles'!$AW$14/12,IF(AND('Lease Cycles'!$AT$14&gt;=INDEX('Lease Cycles'!$BG$14:$BM$14,1,AY112),'Lease Cycles'!$AT$14&lt;=AY$6),'Lease Cycles'!$C$14*'Lease Cycles'!$AU$14/12,'Lease Cycles'!$C$14*INDEX('Lease Cycles'!$CB$14:$CH$14,1,AY112)*(1+INDEX('Lease Cycles'!$CI$14:$CO$14,1,AY112))^INT(INT(AY113/12)/INDEX('Lease Cycles'!$CP$14:$CV$14,1,AY112))/12)))),'Lease Cycles'!$C$14*INDEX('Lease Cycles'!$CB$14:$CH$14,1,AY112)*(1+INDEX('Lease Cycles'!$CI$14:$CO$14,1,AY112))^INT(INT(AY113/12)/INDEX('Lease Cycles'!$CP$14:$CV$14,1,AY112))/12))),IF('Lease Cycles'!$N$14=1,'Lease Cycles'!$C$14*'Lease Cycles'!$E$14*INDEX('Lease Cycles'!$HE$14:$HK$14,1,AY112)*(1+INDEX('Lease Cycles'!$GQ$14:$GW$14,1,AY112))^INT(INT((AY$6-INDEX('Lease Cycles'!$GJ$14:$GP$14,1,AY112))/12)/INDEX('Lease Cycles'!$GX$14:$HD$14,1,AY112))/12,0)))</f>
        <v>2312.4483556914447</v>
      </c>
      <c r="AZ115" s="28">
        <f>IF(AZ112=0,IF('Lease Cycles'!$F$14&gt;0,'Lease Cycles'!$C$14*'Lease Cycles'!$E$14/12,0),IF(AZ114=1,IF('Lease Cycles'!$AT$14&gt;=9999,'Lease Cycles'!$C$14*INDEX('Lease Cycles'!$CB$14:$CH$14,1,AZ112)*(1+INDEX('Lease Cycles'!$CI$14:$CO$14,1,AZ112))^INT(INT(AZ113/12)/INDEX('Lease Cycles'!$CP$14:$CV$14,1,AZ112))/12,IF(AZ112=1,IF(AZ113&gt;=INDEX('Lease Cycles'!$DK$14:$DQ$14,1,AZ112),IF(AZ$6&gt;='Lease Cycles'!$AZ$14,'Lease Cycles'!$C$14*'Lease Cycles'!$BA$14/12,IF(AZ$6&gt;='Lease Cycles'!$AX$14,'Lease Cycles'!$C$14*'Lease Cycles'!$AY$14/12,IF(AZ$6&gt;='Lease Cycles'!$AV$14,'Lease Cycles'!$C$14*'Lease Cycles'!$AW$14/12,IF(AZ$6&gt;='Lease Cycles'!$AT$14,'Lease Cycles'!$C$14*'Lease Cycles'!$AU$14/12,'Lease Cycles'!$C$14*INDEX('Lease Cycles'!$CB$14:$CH$14,1,AZ112)*(1+INDEX('Lease Cycles'!$CI$14:$CO$14,1,AZ112))^INT(INT(AZ113/12)/INDEX('Lease Cycles'!$CP$14:$CV$14,1,AZ112))/12)))),'Lease Cycles'!$C$14*INDEX('Lease Cycles'!$CB$14:$CH$14,1,AZ112)*(1+INDEX('Lease Cycles'!$CI$14:$CO$14,1,AZ112))^INT(INT(AZ113/12)/INDEX('Lease Cycles'!$CP$14:$CV$14,1,AZ112))/12),IF(INDEX('Lease Cycles'!$EF$14:$EL$14,1,AZ112)=1,IF(AND('Lease Cycles'!$AZ$14&gt;=INDEX('Lease Cycles'!$BG$14:$BM$14,1,AZ112),'Lease Cycles'!$AZ$14&lt;=AZ$6),'Lease Cycles'!$C$14*'Lease Cycles'!$BA$14/12,IF(AND('Lease Cycles'!$AX$14&gt;=INDEX('Lease Cycles'!$BG$14:$BM$14,1,AZ112),'Lease Cycles'!$AX$14&lt;=AZ$6),'Lease Cycles'!$C$14*'Lease Cycles'!$AY$14/12,IF(AND('Lease Cycles'!$AV$14&gt;=INDEX('Lease Cycles'!$BG$14:$BM$14,1,AZ112),'Lease Cycles'!$AV$14&lt;=AZ$6),'Lease Cycles'!$C$14*'Lease Cycles'!$AW$14/12,IF(AND('Lease Cycles'!$AT$14&gt;=INDEX('Lease Cycles'!$BG$14:$BM$14,1,AZ112),'Lease Cycles'!$AT$14&lt;=AZ$6),'Lease Cycles'!$C$14*'Lease Cycles'!$AU$14/12,'Lease Cycles'!$C$14*INDEX('Lease Cycles'!$CB$14:$CH$14,1,AZ112)*(1+INDEX('Lease Cycles'!$CI$14:$CO$14,1,AZ112))^INT(INT(AZ113/12)/INDEX('Lease Cycles'!$CP$14:$CV$14,1,AZ112))/12)))),'Lease Cycles'!$C$14*INDEX('Lease Cycles'!$CB$14:$CH$14,1,AZ112)*(1+INDEX('Lease Cycles'!$CI$14:$CO$14,1,AZ112))^INT(INT(AZ113/12)/INDEX('Lease Cycles'!$CP$14:$CV$14,1,AZ112))/12))),IF('Lease Cycles'!$N$14=1,'Lease Cycles'!$C$14*'Lease Cycles'!$E$14*INDEX('Lease Cycles'!$HE$14:$HK$14,1,AZ112)*(1+INDEX('Lease Cycles'!$GQ$14:$GW$14,1,AZ112))^INT(INT((AZ$6-INDEX('Lease Cycles'!$GJ$14:$GP$14,1,AZ112))/12)/INDEX('Lease Cycles'!$GX$14:$HD$14,1,AZ112))/12,0)))</f>
        <v>2312.4483556914447</v>
      </c>
      <c r="BA115" s="28">
        <f>IF(BA112=0,IF('Lease Cycles'!$F$14&gt;0,'Lease Cycles'!$C$14*'Lease Cycles'!$E$14/12,0),IF(BA114=1,IF('Lease Cycles'!$AT$14&gt;=9999,'Lease Cycles'!$C$14*INDEX('Lease Cycles'!$CB$14:$CH$14,1,BA112)*(1+INDEX('Lease Cycles'!$CI$14:$CO$14,1,BA112))^INT(INT(BA113/12)/INDEX('Lease Cycles'!$CP$14:$CV$14,1,BA112))/12,IF(BA112=1,IF(BA113&gt;=INDEX('Lease Cycles'!$DK$14:$DQ$14,1,BA112),IF(BA$6&gt;='Lease Cycles'!$AZ$14,'Lease Cycles'!$C$14*'Lease Cycles'!$BA$14/12,IF(BA$6&gt;='Lease Cycles'!$AX$14,'Lease Cycles'!$C$14*'Lease Cycles'!$AY$14/12,IF(BA$6&gt;='Lease Cycles'!$AV$14,'Lease Cycles'!$C$14*'Lease Cycles'!$AW$14/12,IF(BA$6&gt;='Lease Cycles'!$AT$14,'Lease Cycles'!$C$14*'Lease Cycles'!$AU$14/12,'Lease Cycles'!$C$14*INDEX('Lease Cycles'!$CB$14:$CH$14,1,BA112)*(1+INDEX('Lease Cycles'!$CI$14:$CO$14,1,BA112))^INT(INT(BA113/12)/INDEX('Lease Cycles'!$CP$14:$CV$14,1,BA112))/12)))),'Lease Cycles'!$C$14*INDEX('Lease Cycles'!$CB$14:$CH$14,1,BA112)*(1+INDEX('Lease Cycles'!$CI$14:$CO$14,1,BA112))^INT(INT(BA113/12)/INDEX('Lease Cycles'!$CP$14:$CV$14,1,BA112))/12),IF(INDEX('Lease Cycles'!$EF$14:$EL$14,1,BA112)=1,IF(AND('Lease Cycles'!$AZ$14&gt;=INDEX('Lease Cycles'!$BG$14:$BM$14,1,BA112),'Lease Cycles'!$AZ$14&lt;=BA$6),'Lease Cycles'!$C$14*'Lease Cycles'!$BA$14/12,IF(AND('Lease Cycles'!$AX$14&gt;=INDEX('Lease Cycles'!$BG$14:$BM$14,1,BA112),'Lease Cycles'!$AX$14&lt;=BA$6),'Lease Cycles'!$C$14*'Lease Cycles'!$AY$14/12,IF(AND('Lease Cycles'!$AV$14&gt;=INDEX('Lease Cycles'!$BG$14:$BM$14,1,BA112),'Lease Cycles'!$AV$14&lt;=BA$6),'Lease Cycles'!$C$14*'Lease Cycles'!$AW$14/12,IF(AND('Lease Cycles'!$AT$14&gt;=INDEX('Lease Cycles'!$BG$14:$BM$14,1,BA112),'Lease Cycles'!$AT$14&lt;=BA$6),'Lease Cycles'!$C$14*'Lease Cycles'!$AU$14/12,'Lease Cycles'!$C$14*INDEX('Lease Cycles'!$CB$14:$CH$14,1,BA112)*(1+INDEX('Lease Cycles'!$CI$14:$CO$14,1,BA112))^INT(INT(BA113/12)/INDEX('Lease Cycles'!$CP$14:$CV$14,1,BA112))/12)))),'Lease Cycles'!$C$14*INDEX('Lease Cycles'!$CB$14:$CH$14,1,BA112)*(1+INDEX('Lease Cycles'!$CI$14:$CO$14,1,BA112))^INT(INT(BA113/12)/INDEX('Lease Cycles'!$CP$14:$CV$14,1,BA112))/12))),IF('Lease Cycles'!$N$14=1,'Lease Cycles'!$C$14*'Lease Cycles'!$E$14*INDEX('Lease Cycles'!$HE$14:$HK$14,1,BA112)*(1+INDEX('Lease Cycles'!$GQ$14:$GW$14,1,BA112))^INT(INT((BA$6-INDEX('Lease Cycles'!$GJ$14:$GP$14,1,BA112))/12)/INDEX('Lease Cycles'!$GX$14:$HD$14,1,BA112))/12,0)))</f>
        <v>2312.4483556914447</v>
      </c>
      <c r="BB115" s="28">
        <f>IF(BB112=0,IF('Lease Cycles'!$F$14&gt;0,'Lease Cycles'!$C$14*'Lease Cycles'!$E$14/12,0),IF(BB114=1,IF('Lease Cycles'!$AT$14&gt;=9999,'Lease Cycles'!$C$14*INDEX('Lease Cycles'!$CB$14:$CH$14,1,BB112)*(1+INDEX('Lease Cycles'!$CI$14:$CO$14,1,BB112))^INT(INT(BB113/12)/INDEX('Lease Cycles'!$CP$14:$CV$14,1,BB112))/12,IF(BB112=1,IF(BB113&gt;=INDEX('Lease Cycles'!$DK$14:$DQ$14,1,BB112),IF(BB$6&gt;='Lease Cycles'!$AZ$14,'Lease Cycles'!$C$14*'Lease Cycles'!$BA$14/12,IF(BB$6&gt;='Lease Cycles'!$AX$14,'Lease Cycles'!$C$14*'Lease Cycles'!$AY$14/12,IF(BB$6&gt;='Lease Cycles'!$AV$14,'Lease Cycles'!$C$14*'Lease Cycles'!$AW$14/12,IF(BB$6&gt;='Lease Cycles'!$AT$14,'Lease Cycles'!$C$14*'Lease Cycles'!$AU$14/12,'Lease Cycles'!$C$14*INDEX('Lease Cycles'!$CB$14:$CH$14,1,BB112)*(1+INDEX('Lease Cycles'!$CI$14:$CO$14,1,BB112))^INT(INT(BB113/12)/INDEX('Lease Cycles'!$CP$14:$CV$14,1,BB112))/12)))),'Lease Cycles'!$C$14*INDEX('Lease Cycles'!$CB$14:$CH$14,1,BB112)*(1+INDEX('Lease Cycles'!$CI$14:$CO$14,1,BB112))^INT(INT(BB113/12)/INDEX('Lease Cycles'!$CP$14:$CV$14,1,BB112))/12),IF(INDEX('Lease Cycles'!$EF$14:$EL$14,1,BB112)=1,IF(AND('Lease Cycles'!$AZ$14&gt;=INDEX('Lease Cycles'!$BG$14:$BM$14,1,BB112),'Lease Cycles'!$AZ$14&lt;=BB$6),'Lease Cycles'!$C$14*'Lease Cycles'!$BA$14/12,IF(AND('Lease Cycles'!$AX$14&gt;=INDEX('Lease Cycles'!$BG$14:$BM$14,1,BB112),'Lease Cycles'!$AX$14&lt;=BB$6),'Lease Cycles'!$C$14*'Lease Cycles'!$AY$14/12,IF(AND('Lease Cycles'!$AV$14&gt;=INDEX('Lease Cycles'!$BG$14:$BM$14,1,BB112),'Lease Cycles'!$AV$14&lt;=BB$6),'Lease Cycles'!$C$14*'Lease Cycles'!$AW$14/12,IF(AND('Lease Cycles'!$AT$14&gt;=INDEX('Lease Cycles'!$BG$14:$BM$14,1,BB112),'Lease Cycles'!$AT$14&lt;=BB$6),'Lease Cycles'!$C$14*'Lease Cycles'!$AU$14/12,'Lease Cycles'!$C$14*INDEX('Lease Cycles'!$CB$14:$CH$14,1,BB112)*(1+INDEX('Lease Cycles'!$CI$14:$CO$14,1,BB112))^INT(INT(BB113/12)/INDEX('Lease Cycles'!$CP$14:$CV$14,1,BB112))/12)))),'Lease Cycles'!$C$14*INDEX('Lease Cycles'!$CB$14:$CH$14,1,BB112)*(1+INDEX('Lease Cycles'!$CI$14:$CO$14,1,BB112))^INT(INT(BB113/12)/INDEX('Lease Cycles'!$CP$14:$CV$14,1,BB112))/12))),IF('Lease Cycles'!$N$14=1,'Lease Cycles'!$C$14*'Lease Cycles'!$E$14*INDEX('Lease Cycles'!$HE$14:$HK$14,1,BB112)*(1+INDEX('Lease Cycles'!$GQ$14:$GW$14,1,BB112))^INT(INT((BB$6-INDEX('Lease Cycles'!$GJ$14:$GP$14,1,BB112))/12)/INDEX('Lease Cycles'!$GX$14:$HD$14,1,BB112))/12,0)))</f>
        <v>2312.4483556914447</v>
      </c>
      <c r="BC115" s="28">
        <f>IF(BC112=0,IF('Lease Cycles'!$F$14&gt;0,'Lease Cycles'!$C$14*'Lease Cycles'!$E$14/12,0),IF(BC114=1,IF('Lease Cycles'!$AT$14&gt;=9999,'Lease Cycles'!$C$14*INDEX('Lease Cycles'!$CB$14:$CH$14,1,BC112)*(1+INDEX('Lease Cycles'!$CI$14:$CO$14,1,BC112))^INT(INT(BC113/12)/INDEX('Lease Cycles'!$CP$14:$CV$14,1,BC112))/12,IF(BC112=1,IF(BC113&gt;=INDEX('Lease Cycles'!$DK$14:$DQ$14,1,BC112),IF(BC$6&gt;='Lease Cycles'!$AZ$14,'Lease Cycles'!$C$14*'Lease Cycles'!$BA$14/12,IF(BC$6&gt;='Lease Cycles'!$AX$14,'Lease Cycles'!$C$14*'Lease Cycles'!$AY$14/12,IF(BC$6&gt;='Lease Cycles'!$AV$14,'Lease Cycles'!$C$14*'Lease Cycles'!$AW$14/12,IF(BC$6&gt;='Lease Cycles'!$AT$14,'Lease Cycles'!$C$14*'Lease Cycles'!$AU$14/12,'Lease Cycles'!$C$14*INDEX('Lease Cycles'!$CB$14:$CH$14,1,BC112)*(1+INDEX('Lease Cycles'!$CI$14:$CO$14,1,BC112))^INT(INT(BC113/12)/INDEX('Lease Cycles'!$CP$14:$CV$14,1,BC112))/12)))),'Lease Cycles'!$C$14*INDEX('Lease Cycles'!$CB$14:$CH$14,1,BC112)*(1+INDEX('Lease Cycles'!$CI$14:$CO$14,1,BC112))^INT(INT(BC113/12)/INDEX('Lease Cycles'!$CP$14:$CV$14,1,BC112))/12),IF(INDEX('Lease Cycles'!$EF$14:$EL$14,1,BC112)=1,IF(AND('Lease Cycles'!$AZ$14&gt;=INDEX('Lease Cycles'!$BG$14:$BM$14,1,BC112),'Lease Cycles'!$AZ$14&lt;=BC$6),'Lease Cycles'!$C$14*'Lease Cycles'!$BA$14/12,IF(AND('Lease Cycles'!$AX$14&gt;=INDEX('Lease Cycles'!$BG$14:$BM$14,1,BC112),'Lease Cycles'!$AX$14&lt;=BC$6),'Lease Cycles'!$C$14*'Lease Cycles'!$AY$14/12,IF(AND('Lease Cycles'!$AV$14&gt;=INDEX('Lease Cycles'!$BG$14:$BM$14,1,BC112),'Lease Cycles'!$AV$14&lt;=BC$6),'Lease Cycles'!$C$14*'Lease Cycles'!$AW$14/12,IF(AND('Lease Cycles'!$AT$14&gt;=INDEX('Lease Cycles'!$BG$14:$BM$14,1,BC112),'Lease Cycles'!$AT$14&lt;=BC$6),'Lease Cycles'!$C$14*'Lease Cycles'!$AU$14/12,'Lease Cycles'!$C$14*INDEX('Lease Cycles'!$CB$14:$CH$14,1,BC112)*(1+INDEX('Lease Cycles'!$CI$14:$CO$14,1,BC112))^INT(INT(BC113/12)/INDEX('Lease Cycles'!$CP$14:$CV$14,1,BC112))/12)))),'Lease Cycles'!$C$14*INDEX('Lease Cycles'!$CB$14:$CH$14,1,BC112)*(1+INDEX('Lease Cycles'!$CI$14:$CO$14,1,BC112))^INT(INT(BC113/12)/INDEX('Lease Cycles'!$CP$14:$CV$14,1,BC112))/12))),IF('Lease Cycles'!$N$14=1,'Lease Cycles'!$C$14*'Lease Cycles'!$E$14*INDEX('Lease Cycles'!$HE$14:$HK$14,1,BC112)*(1+INDEX('Lease Cycles'!$GQ$14:$GW$14,1,BC112))^INT(INT((BC$6-INDEX('Lease Cycles'!$GJ$14:$GP$14,1,BC112))/12)/INDEX('Lease Cycles'!$GX$14:$HD$14,1,BC112))/12,0)))</f>
        <v>2312.4483556914447</v>
      </c>
      <c r="BD115" s="28">
        <f>IF(BD112=0,IF('Lease Cycles'!$F$14&gt;0,'Lease Cycles'!$C$14*'Lease Cycles'!$E$14/12,0),IF(BD114=1,IF('Lease Cycles'!$AT$14&gt;=9999,'Lease Cycles'!$C$14*INDEX('Lease Cycles'!$CB$14:$CH$14,1,BD112)*(1+INDEX('Lease Cycles'!$CI$14:$CO$14,1,BD112))^INT(INT(BD113/12)/INDEX('Lease Cycles'!$CP$14:$CV$14,1,BD112))/12,IF(BD112=1,IF(BD113&gt;=INDEX('Lease Cycles'!$DK$14:$DQ$14,1,BD112),IF(BD$6&gt;='Lease Cycles'!$AZ$14,'Lease Cycles'!$C$14*'Lease Cycles'!$BA$14/12,IF(BD$6&gt;='Lease Cycles'!$AX$14,'Lease Cycles'!$C$14*'Lease Cycles'!$AY$14/12,IF(BD$6&gt;='Lease Cycles'!$AV$14,'Lease Cycles'!$C$14*'Lease Cycles'!$AW$14/12,IF(BD$6&gt;='Lease Cycles'!$AT$14,'Lease Cycles'!$C$14*'Lease Cycles'!$AU$14/12,'Lease Cycles'!$C$14*INDEX('Lease Cycles'!$CB$14:$CH$14,1,BD112)*(1+INDEX('Lease Cycles'!$CI$14:$CO$14,1,BD112))^INT(INT(BD113/12)/INDEX('Lease Cycles'!$CP$14:$CV$14,1,BD112))/12)))),'Lease Cycles'!$C$14*INDEX('Lease Cycles'!$CB$14:$CH$14,1,BD112)*(1+INDEX('Lease Cycles'!$CI$14:$CO$14,1,BD112))^INT(INT(BD113/12)/INDEX('Lease Cycles'!$CP$14:$CV$14,1,BD112))/12),IF(INDEX('Lease Cycles'!$EF$14:$EL$14,1,BD112)=1,IF(AND('Lease Cycles'!$AZ$14&gt;=INDEX('Lease Cycles'!$BG$14:$BM$14,1,BD112),'Lease Cycles'!$AZ$14&lt;=BD$6),'Lease Cycles'!$C$14*'Lease Cycles'!$BA$14/12,IF(AND('Lease Cycles'!$AX$14&gt;=INDEX('Lease Cycles'!$BG$14:$BM$14,1,BD112),'Lease Cycles'!$AX$14&lt;=BD$6),'Lease Cycles'!$C$14*'Lease Cycles'!$AY$14/12,IF(AND('Lease Cycles'!$AV$14&gt;=INDEX('Lease Cycles'!$BG$14:$BM$14,1,BD112),'Lease Cycles'!$AV$14&lt;=BD$6),'Lease Cycles'!$C$14*'Lease Cycles'!$AW$14/12,IF(AND('Lease Cycles'!$AT$14&gt;=INDEX('Lease Cycles'!$BG$14:$BM$14,1,BD112),'Lease Cycles'!$AT$14&lt;=BD$6),'Lease Cycles'!$C$14*'Lease Cycles'!$AU$14/12,'Lease Cycles'!$C$14*INDEX('Lease Cycles'!$CB$14:$CH$14,1,BD112)*(1+INDEX('Lease Cycles'!$CI$14:$CO$14,1,BD112))^INT(INT(BD113/12)/INDEX('Lease Cycles'!$CP$14:$CV$14,1,BD112))/12)))),'Lease Cycles'!$C$14*INDEX('Lease Cycles'!$CB$14:$CH$14,1,BD112)*(1+INDEX('Lease Cycles'!$CI$14:$CO$14,1,BD112))^INT(INT(BD113/12)/INDEX('Lease Cycles'!$CP$14:$CV$14,1,BD112))/12))),IF('Lease Cycles'!$N$14=1,'Lease Cycles'!$C$14*'Lease Cycles'!$E$14*INDEX('Lease Cycles'!$HE$14:$HK$14,1,BD112)*(1+INDEX('Lease Cycles'!$GQ$14:$GW$14,1,BD112))^INT(INT((BD$6-INDEX('Lease Cycles'!$GJ$14:$GP$14,1,BD112))/12)/INDEX('Lease Cycles'!$GX$14:$HD$14,1,BD112))/12,0)))</f>
        <v>2312.4483556914447</v>
      </c>
      <c r="BE115" s="28">
        <f>IF(BE112=0,IF('Lease Cycles'!$F$14&gt;0,'Lease Cycles'!$C$14*'Lease Cycles'!$E$14/12,0),IF(BE114=1,IF('Lease Cycles'!$AT$14&gt;=9999,'Lease Cycles'!$C$14*INDEX('Lease Cycles'!$CB$14:$CH$14,1,BE112)*(1+INDEX('Lease Cycles'!$CI$14:$CO$14,1,BE112))^INT(INT(BE113/12)/INDEX('Lease Cycles'!$CP$14:$CV$14,1,BE112))/12,IF(BE112=1,IF(BE113&gt;=INDEX('Lease Cycles'!$DK$14:$DQ$14,1,BE112),IF(BE$6&gt;='Lease Cycles'!$AZ$14,'Lease Cycles'!$C$14*'Lease Cycles'!$BA$14/12,IF(BE$6&gt;='Lease Cycles'!$AX$14,'Lease Cycles'!$C$14*'Lease Cycles'!$AY$14/12,IF(BE$6&gt;='Lease Cycles'!$AV$14,'Lease Cycles'!$C$14*'Lease Cycles'!$AW$14/12,IF(BE$6&gt;='Lease Cycles'!$AT$14,'Lease Cycles'!$C$14*'Lease Cycles'!$AU$14/12,'Lease Cycles'!$C$14*INDEX('Lease Cycles'!$CB$14:$CH$14,1,BE112)*(1+INDEX('Lease Cycles'!$CI$14:$CO$14,1,BE112))^INT(INT(BE113/12)/INDEX('Lease Cycles'!$CP$14:$CV$14,1,BE112))/12)))),'Lease Cycles'!$C$14*INDEX('Lease Cycles'!$CB$14:$CH$14,1,BE112)*(1+INDEX('Lease Cycles'!$CI$14:$CO$14,1,BE112))^INT(INT(BE113/12)/INDEX('Lease Cycles'!$CP$14:$CV$14,1,BE112))/12),IF(INDEX('Lease Cycles'!$EF$14:$EL$14,1,BE112)=1,IF(AND('Lease Cycles'!$AZ$14&gt;=INDEX('Lease Cycles'!$BG$14:$BM$14,1,BE112),'Lease Cycles'!$AZ$14&lt;=BE$6),'Lease Cycles'!$C$14*'Lease Cycles'!$BA$14/12,IF(AND('Lease Cycles'!$AX$14&gt;=INDEX('Lease Cycles'!$BG$14:$BM$14,1,BE112),'Lease Cycles'!$AX$14&lt;=BE$6),'Lease Cycles'!$C$14*'Lease Cycles'!$AY$14/12,IF(AND('Lease Cycles'!$AV$14&gt;=INDEX('Lease Cycles'!$BG$14:$BM$14,1,BE112),'Lease Cycles'!$AV$14&lt;=BE$6),'Lease Cycles'!$C$14*'Lease Cycles'!$AW$14/12,IF(AND('Lease Cycles'!$AT$14&gt;=INDEX('Lease Cycles'!$BG$14:$BM$14,1,BE112),'Lease Cycles'!$AT$14&lt;=BE$6),'Lease Cycles'!$C$14*'Lease Cycles'!$AU$14/12,'Lease Cycles'!$C$14*INDEX('Lease Cycles'!$CB$14:$CH$14,1,BE112)*(1+INDEX('Lease Cycles'!$CI$14:$CO$14,1,BE112))^INT(INT(BE113/12)/INDEX('Lease Cycles'!$CP$14:$CV$14,1,BE112))/12)))),'Lease Cycles'!$C$14*INDEX('Lease Cycles'!$CB$14:$CH$14,1,BE112)*(1+INDEX('Lease Cycles'!$CI$14:$CO$14,1,BE112))^INT(INT(BE113/12)/INDEX('Lease Cycles'!$CP$14:$CV$14,1,BE112))/12))),IF('Lease Cycles'!$N$14=1,'Lease Cycles'!$C$14*'Lease Cycles'!$E$14*INDEX('Lease Cycles'!$HE$14:$HK$14,1,BE112)*(1+INDEX('Lease Cycles'!$GQ$14:$GW$14,1,BE112))^INT(INT((BE$6-INDEX('Lease Cycles'!$GJ$14:$GP$14,1,BE112))/12)/INDEX('Lease Cycles'!$GX$14:$HD$14,1,BE112))/12,0)))</f>
        <v>2312.4483556914447</v>
      </c>
      <c r="BF115" s="28">
        <f>IF(BF112=0,IF('Lease Cycles'!$F$14&gt;0,'Lease Cycles'!$C$14*'Lease Cycles'!$E$14/12,0),IF(BF114=1,IF('Lease Cycles'!$AT$14&gt;=9999,'Lease Cycles'!$C$14*INDEX('Lease Cycles'!$CB$14:$CH$14,1,BF112)*(1+INDEX('Lease Cycles'!$CI$14:$CO$14,1,BF112))^INT(INT(BF113/12)/INDEX('Lease Cycles'!$CP$14:$CV$14,1,BF112))/12,IF(BF112=1,IF(BF113&gt;=INDEX('Lease Cycles'!$DK$14:$DQ$14,1,BF112),IF(BF$6&gt;='Lease Cycles'!$AZ$14,'Lease Cycles'!$C$14*'Lease Cycles'!$BA$14/12,IF(BF$6&gt;='Lease Cycles'!$AX$14,'Lease Cycles'!$C$14*'Lease Cycles'!$AY$14/12,IF(BF$6&gt;='Lease Cycles'!$AV$14,'Lease Cycles'!$C$14*'Lease Cycles'!$AW$14/12,IF(BF$6&gt;='Lease Cycles'!$AT$14,'Lease Cycles'!$C$14*'Lease Cycles'!$AU$14/12,'Lease Cycles'!$C$14*INDEX('Lease Cycles'!$CB$14:$CH$14,1,BF112)*(1+INDEX('Lease Cycles'!$CI$14:$CO$14,1,BF112))^INT(INT(BF113/12)/INDEX('Lease Cycles'!$CP$14:$CV$14,1,BF112))/12)))),'Lease Cycles'!$C$14*INDEX('Lease Cycles'!$CB$14:$CH$14,1,BF112)*(1+INDEX('Lease Cycles'!$CI$14:$CO$14,1,BF112))^INT(INT(BF113/12)/INDEX('Lease Cycles'!$CP$14:$CV$14,1,BF112))/12),IF(INDEX('Lease Cycles'!$EF$14:$EL$14,1,BF112)=1,IF(AND('Lease Cycles'!$AZ$14&gt;=INDEX('Lease Cycles'!$BG$14:$BM$14,1,BF112),'Lease Cycles'!$AZ$14&lt;=BF$6),'Lease Cycles'!$C$14*'Lease Cycles'!$BA$14/12,IF(AND('Lease Cycles'!$AX$14&gt;=INDEX('Lease Cycles'!$BG$14:$BM$14,1,BF112),'Lease Cycles'!$AX$14&lt;=BF$6),'Lease Cycles'!$C$14*'Lease Cycles'!$AY$14/12,IF(AND('Lease Cycles'!$AV$14&gt;=INDEX('Lease Cycles'!$BG$14:$BM$14,1,BF112),'Lease Cycles'!$AV$14&lt;=BF$6),'Lease Cycles'!$C$14*'Lease Cycles'!$AW$14/12,IF(AND('Lease Cycles'!$AT$14&gt;=INDEX('Lease Cycles'!$BG$14:$BM$14,1,BF112),'Lease Cycles'!$AT$14&lt;=BF$6),'Lease Cycles'!$C$14*'Lease Cycles'!$AU$14/12,'Lease Cycles'!$C$14*INDEX('Lease Cycles'!$CB$14:$CH$14,1,BF112)*(1+INDEX('Lease Cycles'!$CI$14:$CO$14,1,BF112))^INT(INT(BF113/12)/INDEX('Lease Cycles'!$CP$14:$CV$14,1,BF112))/12)))),'Lease Cycles'!$C$14*INDEX('Lease Cycles'!$CB$14:$CH$14,1,BF112)*(1+INDEX('Lease Cycles'!$CI$14:$CO$14,1,BF112))^INT(INT(BF113/12)/INDEX('Lease Cycles'!$CP$14:$CV$14,1,BF112))/12))),IF('Lease Cycles'!$N$14=1,'Lease Cycles'!$C$14*'Lease Cycles'!$E$14*INDEX('Lease Cycles'!$HE$14:$HK$14,1,BF112)*(1+INDEX('Lease Cycles'!$GQ$14:$GW$14,1,BF112))^INT(INT((BF$6-INDEX('Lease Cycles'!$GJ$14:$GP$14,1,BF112))/12)/INDEX('Lease Cycles'!$GX$14:$HD$14,1,BF112))/12,0)))</f>
        <v>2312.4483556914447</v>
      </c>
      <c r="BG115" s="28">
        <f>IF(BG112=0,IF('Lease Cycles'!$F$14&gt;0,'Lease Cycles'!$C$14*'Lease Cycles'!$E$14/12,0),IF(BG114=1,IF('Lease Cycles'!$AT$14&gt;=9999,'Lease Cycles'!$C$14*INDEX('Lease Cycles'!$CB$14:$CH$14,1,BG112)*(1+INDEX('Lease Cycles'!$CI$14:$CO$14,1,BG112))^INT(INT(BG113/12)/INDEX('Lease Cycles'!$CP$14:$CV$14,1,BG112))/12,IF(BG112=1,IF(BG113&gt;=INDEX('Lease Cycles'!$DK$14:$DQ$14,1,BG112),IF(BG$6&gt;='Lease Cycles'!$AZ$14,'Lease Cycles'!$C$14*'Lease Cycles'!$BA$14/12,IF(BG$6&gt;='Lease Cycles'!$AX$14,'Lease Cycles'!$C$14*'Lease Cycles'!$AY$14/12,IF(BG$6&gt;='Lease Cycles'!$AV$14,'Lease Cycles'!$C$14*'Lease Cycles'!$AW$14/12,IF(BG$6&gt;='Lease Cycles'!$AT$14,'Lease Cycles'!$C$14*'Lease Cycles'!$AU$14/12,'Lease Cycles'!$C$14*INDEX('Lease Cycles'!$CB$14:$CH$14,1,BG112)*(1+INDEX('Lease Cycles'!$CI$14:$CO$14,1,BG112))^INT(INT(BG113/12)/INDEX('Lease Cycles'!$CP$14:$CV$14,1,BG112))/12)))),'Lease Cycles'!$C$14*INDEX('Lease Cycles'!$CB$14:$CH$14,1,BG112)*(1+INDEX('Lease Cycles'!$CI$14:$CO$14,1,BG112))^INT(INT(BG113/12)/INDEX('Lease Cycles'!$CP$14:$CV$14,1,BG112))/12),IF(INDEX('Lease Cycles'!$EF$14:$EL$14,1,BG112)=1,IF(AND('Lease Cycles'!$AZ$14&gt;=INDEX('Lease Cycles'!$BG$14:$BM$14,1,BG112),'Lease Cycles'!$AZ$14&lt;=BG$6),'Lease Cycles'!$C$14*'Lease Cycles'!$BA$14/12,IF(AND('Lease Cycles'!$AX$14&gt;=INDEX('Lease Cycles'!$BG$14:$BM$14,1,BG112),'Lease Cycles'!$AX$14&lt;=BG$6),'Lease Cycles'!$C$14*'Lease Cycles'!$AY$14/12,IF(AND('Lease Cycles'!$AV$14&gt;=INDEX('Lease Cycles'!$BG$14:$BM$14,1,BG112),'Lease Cycles'!$AV$14&lt;=BG$6),'Lease Cycles'!$C$14*'Lease Cycles'!$AW$14/12,IF(AND('Lease Cycles'!$AT$14&gt;=INDEX('Lease Cycles'!$BG$14:$BM$14,1,BG112),'Lease Cycles'!$AT$14&lt;=BG$6),'Lease Cycles'!$C$14*'Lease Cycles'!$AU$14/12,'Lease Cycles'!$C$14*INDEX('Lease Cycles'!$CB$14:$CH$14,1,BG112)*(1+INDEX('Lease Cycles'!$CI$14:$CO$14,1,BG112))^INT(INT(BG113/12)/INDEX('Lease Cycles'!$CP$14:$CV$14,1,BG112))/12)))),'Lease Cycles'!$C$14*INDEX('Lease Cycles'!$CB$14:$CH$14,1,BG112)*(1+INDEX('Lease Cycles'!$CI$14:$CO$14,1,BG112))^INT(INT(BG113/12)/INDEX('Lease Cycles'!$CP$14:$CV$14,1,BG112))/12))),IF('Lease Cycles'!$N$14=1,'Lease Cycles'!$C$14*'Lease Cycles'!$E$14*INDEX('Lease Cycles'!$HE$14:$HK$14,1,BG112)*(1+INDEX('Lease Cycles'!$GQ$14:$GW$14,1,BG112))^INT(INT((BG$6-INDEX('Lease Cycles'!$GJ$14:$GP$14,1,BG112))/12)/INDEX('Lease Cycles'!$GX$14:$HD$14,1,BG112))/12,0)))</f>
        <v>2381.821806362188</v>
      </c>
      <c r="BH115" s="28">
        <f>IF(BH112=0,IF('Lease Cycles'!$F$14&gt;0,'Lease Cycles'!$C$14*'Lease Cycles'!$E$14/12,0),IF(BH114=1,IF('Lease Cycles'!$AT$14&gt;=9999,'Lease Cycles'!$C$14*INDEX('Lease Cycles'!$CB$14:$CH$14,1,BH112)*(1+INDEX('Lease Cycles'!$CI$14:$CO$14,1,BH112))^INT(INT(BH113/12)/INDEX('Lease Cycles'!$CP$14:$CV$14,1,BH112))/12,IF(BH112=1,IF(BH113&gt;=INDEX('Lease Cycles'!$DK$14:$DQ$14,1,BH112),IF(BH$6&gt;='Lease Cycles'!$AZ$14,'Lease Cycles'!$C$14*'Lease Cycles'!$BA$14/12,IF(BH$6&gt;='Lease Cycles'!$AX$14,'Lease Cycles'!$C$14*'Lease Cycles'!$AY$14/12,IF(BH$6&gt;='Lease Cycles'!$AV$14,'Lease Cycles'!$C$14*'Lease Cycles'!$AW$14/12,IF(BH$6&gt;='Lease Cycles'!$AT$14,'Lease Cycles'!$C$14*'Lease Cycles'!$AU$14/12,'Lease Cycles'!$C$14*INDEX('Lease Cycles'!$CB$14:$CH$14,1,BH112)*(1+INDEX('Lease Cycles'!$CI$14:$CO$14,1,BH112))^INT(INT(BH113/12)/INDEX('Lease Cycles'!$CP$14:$CV$14,1,BH112))/12)))),'Lease Cycles'!$C$14*INDEX('Lease Cycles'!$CB$14:$CH$14,1,BH112)*(1+INDEX('Lease Cycles'!$CI$14:$CO$14,1,BH112))^INT(INT(BH113/12)/INDEX('Lease Cycles'!$CP$14:$CV$14,1,BH112))/12),IF(INDEX('Lease Cycles'!$EF$14:$EL$14,1,BH112)=1,IF(AND('Lease Cycles'!$AZ$14&gt;=INDEX('Lease Cycles'!$BG$14:$BM$14,1,BH112),'Lease Cycles'!$AZ$14&lt;=BH$6),'Lease Cycles'!$C$14*'Lease Cycles'!$BA$14/12,IF(AND('Lease Cycles'!$AX$14&gt;=INDEX('Lease Cycles'!$BG$14:$BM$14,1,BH112),'Lease Cycles'!$AX$14&lt;=BH$6),'Lease Cycles'!$C$14*'Lease Cycles'!$AY$14/12,IF(AND('Lease Cycles'!$AV$14&gt;=INDEX('Lease Cycles'!$BG$14:$BM$14,1,BH112),'Lease Cycles'!$AV$14&lt;=BH$6),'Lease Cycles'!$C$14*'Lease Cycles'!$AW$14/12,IF(AND('Lease Cycles'!$AT$14&gt;=INDEX('Lease Cycles'!$BG$14:$BM$14,1,BH112),'Lease Cycles'!$AT$14&lt;=BH$6),'Lease Cycles'!$C$14*'Lease Cycles'!$AU$14/12,'Lease Cycles'!$C$14*INDEX('Lease Cycles'!$CB$14:$CH$14,1,BH112)*(1+INDEX('Lease Cycles'!$CI$14:$CO$14,1,BH112))^INT(INT(BH113/12)/INDEX('Lease Cycles'!$CP$14:$CV$14,1,BH112))/12)))),'Lease Cycles'!$C$14*INDEX('Lease Cycles'!$CB$14:$CH$14,1,BH112)*(1+INDEX('Lease Cycles'!$CI$14:$CO$14,1,BH112))^INT(INT(BH113/12)/INDEX('Lease Cycles'!$CP$14:$CV$14,1,BH112))/12))),IF('Lease Cycles'!$N$14=1,'Lease Cycles'!$C$14*'Lease Cycles'!$E$14*INDEX('Lease Cycles'!$HE$14:$HK$14,1,BH112)*(1+INDEX('Lease Cycles'!$GQ$14:$GW$14,1,BH112))^INT(INT((BH$6-INDEX('Lease Cycles'!$GJ$14:$GP$14,1,BH112))/12)/INDEX('Lease Cycles'!$GX$14:$HD$14,1,BH112))/12,0)))</f>
        <v>2381.821806362188</v>
      </c>
      <c r="BI115" s="28">
        <f>IF(BI112=0,IF('Lease Cycles'!$F$14&gt;0,'Lease Cycles'!$C$14*'Lease Cycles'!$E$14/12,0),IF(BI114=1,IF('Lease Cycles'!$AT$14&gt;=9999,'Lease Cycles'!$C$14*INDEX('Lease Cycles'!$CB$14:$CH$14,1,BI112)*(1+INDEX('Lease Cycles'!$CI$14:$CO$14,1,BI112))^INT(INT(BI113/12)/INDEX('Lease Cycles'!$CP$14:$CV$14,1,BI112))/12,IF(BI112=1,IF(BI113&gt;=INDEX('Lease Cycles'!$DK$14:$DQ$14,1,BI112),IF(BI$6&gt;='Lease Cycles'!$AZ$14,'Lease Cycles'!$C$14*'Lease Cycles'!$BA$14/12,IF(BI$6&gt;='Lease Cycles'!$AX$14,'Lease Cycles'!$C$14*'Lease Cycles'!$AY$14/12,IF(BI$6&gt;='Lease Cycles'!$AV$14,'Lease Cycles'!$C$14*'Lease Cycles'!$AW$14/12,IF(BI$6&gt;='Lease Cycles'!$AT$14,'Lease Cycles'!$C$14*'Lease Cycles'!$AU$14/12,'Lease Cycles'!$C$14*INDEX('Lease Cycles'!$CB$14:$CH$14,1,BI112)*(1+INDEX('Lease Cycles'!$CI$14:$CO$14,1,BI112))^INT(INT(BI113/12)/INDEX('Lease Cycles'!$CP$14:$CV$14,1,BI112))/12)))),'Lease Cycles'!$C$14*INDEX('Lease Cycles'!$CB$14:$CH$14,1,BI112)*(1+INDEX('Lease Cycles'!$CI$14:$CO$14,1,BI112))^INT(INT(BI113/12)/INDEX('Lease Cycles'!$CP$14:$CV$14,1,BI112))/12),IF(INDEX('Lease Cycles'!$EF$14:$EL$14,1,BI112)=1,IF(AND('Lease Cycles'!$AZ$14&gt;=INDEX('Lease Cycles'!$BG$14:$BM$14,1,BI112),'Lease Cycles'!$AZ$14&lt;=BI$6),'Lease Cycles'!$C$14*'Lease Cycles'!$BA$14/12,IF(AND('Lease Cycles'!$AX$14&gt;=INDEX('Lease Cycles'!$BG$14:$BM$14,1,BI112),'Lease Cycles'!$AX$14&lt;=BI$6),'Lease Cycles'!$C$14*'Lease Cycles'!$AY$14/12,IF(AND('Lease Cycles'!$AV$14&gt;=INDEX('Lease Cycles'!$BG$14:$BM$14,1,BI112),'Lease Cycles'!$AV$14&lt;=BI$6),'Lease Cycles'!$C$14*'Lease Cycles'!$AW$14/12,IF(AND('Lease Cycles'!$AT$14&gt;=INDEX('Lease Cycles'!$BG$14:$BM$14,1,BI112),'Lease Cycles'!$AT$14&lt;=BI$6),'Lease Cycles'!$C$14*'Lease Cycles'!$AU$14/12,'Lease Cycles'!$C$14*INDEX('Lease Cycles'!$CB$14:$CH$14,1,BI112)*(1+INDEX('Lease Cycles'!$CI$14:$CO$14,1,BI112))^INT(INT(BI113/12)/INDEX('Lease Cycles'!$CP$14:$CV$14,1,BI112))/12)))),'Lease Cycles'!$C$14*INDEX('Lease Cycles'!$CB$14:$CH$14,1,BI112)*(1+INDEX('Lease Cycles'!$CI$14:$CO$14,1,BI112))^INT(INT(BI113/12)/INDEX('Lease Cycles'!$CP$14:$CV$14,1,BI112))/12))),IF('Lease Cycles'!$N$14=1,'Lease Cycles'!$C$14*'Lease Cycles'!$E$14*INDEX('Lease Cycles'!$HE$14:$HK$14,1,BI112)*(1+INDEX('Lease Cycles'!$GQ$14:$GW$14,1,BI112))^INT(INT((BI$6-INDEX('Lease Cycles'!$GJ$14:$GP$14,1,BI112))/12)/INDEX('Lease Cycles'!$GX$14:$HD$14,1,BI112))/12,0)))</f>
        <v>2381.821806362188</v>
      </c>
      <c r="BJ115" s="28">
        <f>IF(BJ112=0,IF('Lease Cycles'!$F$14&gt;0,'Lease Cycles'!$C$14*'Lease Cycles'!$E$14/12,0),IF(BJ114=1,IF('Lease Cycles'!$AT$14&gt;=9999,'Lease Cycles'!$C$14*INDEX('Lease Cycles'!$CB$14:$CH$14,1,BJ112)*(1+INDEX('Lease Cycles'!$CI$14:$CO$14,1,BJ112))^INT(INT(BJ113/12)/INDEX('Lease Cycles'!$CP$14:$CV$14,1,BJ112))/12,IF(BJ112=1,IF(BJ113&gt;=INDEX('Lease Cycles'!$DK$14:$DQ$14,1,BJ112),IF(BJ$6&gt;='Lease Cycles'!$AZ$14,'Lease Cycles'!$C$14*'Lease Cycles'!$BA$14/12,IF(BJ$6&gt;='Lease Cycles'!$AX$14,'Lease Cycles'!$C$14*'Lease Cycles'!$AY$14/12,IF(BJ$6&gt;='Lease Cycles'!$AV$14,'Lease Cycles'!$C$14*'Lease Cycles'!$AW$14/12,IF(BJ$6&gt;='Lease Cycles'!$AT$14,'Lease Cycles'!$C$14*'Lease Cycles'!$AU$14/12,'Lease Cycles'!$C$14*INDEX('Lease Cycles'!$CB$14:$CH$14,1,BJ112)*(1+INDEX('Lease Cycles'!$CI$14:$CO$14,1,BJ112))^INT(INT(BJ113/12)/INDEX('Lease Cycles'!$CP$14:$CV$14,1,BJ112))/12)))),'Lease Cycles'!$C$14*INDEX('Lease Cycles'!$CB$14:$CH$14,1,BJ112)*(1+INDEX('Lease Cycles'!$CI$14:$CO$14,1,BJ112))^INT(INT(BJ113/12)/INDEX('Lease Cycles'!$CP$14:$CV$14,1,BJ112))/12),IF(INDEX('Lease Cycles'!$EF$14:$EL$14,1,BJ112)=1,IF(AND('Lease Cycles'!$AZ$14&gt;=INDEX('Lease Cycles'!$BG$14:$BM$14,1,BJ112),'Lease Cycles'!$AZ$14&lt;=BJ$6),'Lease Cycles'!$C$14*'Lease Cycles'!$BA$14/12,IF(AND('Lease Cycles'!$AX$14&gt;=INDEX('Lease Cycles'!$BG$14:$BM$14,1,BJ112),'Lease Cycles'!$AX$14&lt;=BJ$6),'Lease Cycles'!$C$14*'Lease Cycles'!$AY$14/12,IF(AND('Lease Cycles'!$AV$14&gt;=INDEX('Lease Cycles'!$BG$14:$BM$14,1,BJ112),'Lease Cycles'!$AV$14&lt;=BJ$6),'Lease Cycles'!$C$14*'Lease Cycles'!$AW$14/12,IF(AND('Lease Cycles'!$AT$14&gt;=INDEX('Lease Cycles'!$BG$14:$BM$14,1,BJ112),'Lease Cycles'!$AT$14&lt;=BJ$6),'Lease Cycles'!$C$14*'Lease Cycles'!$AU$14/12,'Lease Cycles'!$C$14*INDEX('Lease Cycles'!$CB$14:$CH$14,1,BJ112)*(1+INDEX('Lease Cycles'!$CI$14:$CO$14,1,BJ112))^INT(INT(BJ113/12)/INDEX('Lease Cycles'!$CP$14:$CV$14,1,BJ112))/12)))),'Lease Cycles'!$C$14*INDEX('Lease Cycles'!$CB$14:$CH$14,1,BJ112)*(1+INDEX('Lease Cycles'!$CI$14:$CO$14,1,BJ112))^INT(INT(BJ113/12)/INDEX('Lease Cycles'!$CP$14:$CV$14,1,BJ112))/12))),IF('Lease Cycles'!$N$14=1,'Lease Cycles'!$C$14*'Lease Cycles'!$E$14*INDEX('Lease Cycles'!$HE$14:$HK$14,1,BJ112)*(1+INDEX('Lease Cycles'!$GQ$14:$GW$14,1,BJ112))^INT(INT((BJ$6-INDEX('Lease Cycles'!$GJ$14:$GP$14,1,BJ112))/12)/INDEX('Lease Cycles'!$GX$14:$HD$14,1,BJ112))/12,0)))</f>
        <v>2381.821806362188</v>
      </c>
      <c r="BK115" s="28">
        <f>IF(BK112=0,IF('Lease Cycles'!$F$14&gt;0,'Lease Cycles'!$C$14*'Lease Cycles'!$E$14/12,0),IF(BK114=1,IF('Lease Cycles'!$AT$14&gt;=9999,'Lease Cycles'!$C$14*INDEX('Lease Cycles'!$CB$14:$CH$14,1,BK112)*(1+INDEX('Lease Cycles'!$CI$14:$CO$14,1,BK112))^INT(INT(BK113/12)/INDEX('Lease Cycles'!$CP$14:$CV$14,1,BK112))/12,IF(BK112=1,IF(BK113&gt;=INDEX('Lease Cycles'!$DK$14:$DQ$14,1,BK112),IF(BK$6&gt;='Lease Cycles'!$AZ$14,'Lease Cycles'!$C$14*'Lease Cycles'!$BA$14/12,IF(BK$6&gt;='Lease Cycles'!$AX$14,'Lease Cycles'!$C$14*'Lease Cycles'!$AY$14/12,IF(BK$6&gt;='Lease Cycles'!$AV$14,'Lease Cycles'!$C$14*'Lease Cycles'!$AW$14/12,IF(BK$6&gt;='Lease Cycles'!$AT$14,'Lease Cycles'!$C$14*'Lease Cycles'!$AU$14/12,'Lease Cycles'!$C$14*INDEX('Lease Cycles'!$CB$14:$CH$14,1,BK112)*(1+INDEX('Lease Cycles'!$CI$14:$CO$14,1,BK112))^INT(INT(BK113/12)/INDEX('Lease Cycles'!$CP$14:$CV$14,1,BK112))/12)))),'Lease Cycles'!$C$14*INDEX('Lease Cycles'!$CB$14:$CH$14,1,BK112)*(1+INDEX('Lease Cycles'!$CI$14:$CO$14,1,BK112))^INT(INT(BK113/12)/INDEX('Lease Cycles'!$CP$14:$CV$14,1,BK112))/12),IF(INDEX('Lease Cycles'!$EF$14:$EL$14,1,BK112)=1,IF(AND('Lease Cycles'!$AZ$14&gt;=INDEX('Lease Cycles'!$BG$14:$BM$14,1,BK112),'Lease Cycles'!$AZ$14&lt;=BK$6),'Lease Cycles'!$C$14*'Lease Cycles'!$BA$14/12,IF(AND('Lease Cycles'!$AX$14&gt;=INDEX('Lease Cycles'!$BG$14:$BM$14,1,BK112),'Lease Cycles'!$AX$14&lt;=BK$6),'Lease Cycles'!$C$14*'Lease Cycles'!$AY$14/12,IF(AND('Lease Cycles'!$AV$14&gt;=INDEX('Lease Cycles'!$BG$14:$BM$14,1,BK112),'Lease Cycles'!$AV$14&lt;=BK$6),'Lease Cycles'!$C$14*'Lease Cycles'!$AW$14/12,IF(AND('Lease Cycles'!$AT$14&gt;=INDEX('Lease Cycles'!$BG$14:$BM$14,1,BK112),'Lease Cycles'!$AT$14&lt;=BK$6),'Lease Cycles'!$C$14*'Lease Cycles'!$AU$14/12,'Lease Cycles'!$C$14*INDEX('Lease Cycles'!$CB$14:$CH$14,1,BK112)*(1+INDEX('Lease Cycles'!$CI$14:$CO$14,1,BK112))^INT(INT(BK113/12)/INDEX('Lease Cycles'!$CP$14:$CV$14,1,BK112))/12)))),'Lease Cycles'!$C$14*INDEX('Lease Cycles'!$CB$14:$CH$14,1,BK112)*(1+INDEX('Lease Cycles'!$CI$14:$CO$14,1,BK112))^INT(INT(BK113/12)/INDEX('Lease Cycles'!$CP$14:$CV$14,1,BK112))/12))),IF('Lease Cycles'!$N$14=1,'Lease Cycles'!$C$14*'Lease Cycles'!$E$14*INDEX('Lease Cycles'!$HE$14:$HK$14,1,BK112)*(1+INDEX('Lease Cycles'!$GQ$14:$GW$14,1,BK112))^INT(INT((BK$6-INDEX('Lease Cycles'!$GJ$14:$GP$14,1,BK112))/12)/INDEX('Lease Cycles'!$GX$14:$HD$14,1,BK112))/12,0)))</f>
        <v>2381.821806362188</v>
      </c>
      <c r="BL115" s="28">
        <f>IF(BL112=0,IF('Lease Cycles'!$F$14&gt;0,'Lease Cycles'!$C$14*'Lease Cycles'!$E$14/12,0),IF(BL114=1,IF('Lease Cycles'!$AT$14&gt;=9999,'Lease Cycles'!$C$14*INDEX('Lease Cycles'!$CB$14:$CH$14,1,BL112)*(1+INDEX('Lease Cycles'!$CI$14:$CO$14,1,BL112))^INT(INT(BL113/12)/INDEX('Lease Cycles'!$CP$14:$CV$14,1,BL112))/12,IF(BL112=1,IF(BL113&gt;=INDEX('Lease Cycles'!$DK$14:$DQ$14,1,BL112),IF(BL$6&gt;='Lease Cycles'!$AZ$14,'Lease Cycles'!$C$14*'Lease Cycles'!$BA$14/12,IF(BL$6&gt;='Lease Cycles'!$AX$14,'Lease Cycles'!$C$14*'Lease Cycles'!$AY$14/12,IF(BL$6&gt;='Lease Cycles'!$AV$14,'Lease Cycles'!$C$14*'Lease Cycles'!$AW$14/12,IF(BL$6&gt;='Lease Cycles'!$AT$14,'Lease Cycles'!$C$14*'Lease Cycles'!$AU$14/12,'Lease Cycles'!$C$14*INDEX('Lease Cycles'!$CB$14:$CH$14,1,BL112)*(1+INDEX('Lease Cycles'!$CI$14:$CO$14,1,BL112))^INT(INT(BL113/12)/INDEX('Lease Cycles'!$CP$14:$CV$14,1,BL112))/12)))),'Lease Cycles'!$C$14*INDEX('Lease Cycles'!$CB$14:$CH$14,1,BL112)*(1+INDEX('Lease Cycles'!$CI$14:$CO$14,1,BL112))^INT(INT(BL113/12)/INDEX('Lease Cycles'!$CP$14:$CV$14,1,BL112))/12),IF(INDEX('Lease Cycles'!$EF$14:$EL$14,1,BL112)=1,IF(AND('Lease Cycles'!$AZ$14&gt;=INDEX('Lease Cycles'!$BG$14:$BM$14,1,BL112),'Lease Cycles'!$AZ$14&lt;=BL$6),'Lease Cycles'!$C$14*'Lease Cycles'!$BA$14/12,IF(AND('Lease Cycles'!$AX$14&gt;=INDEX('Lease Cycles'!$BG$14:$BM$14,1,BL112),'Lease Cycles'!$AX$14&lt;=BL$6),'Lease Cycles'!$C$14*'Lease Cycles'!$AY$14/12,IF(AND('Lease Cycles'!$AV$14&gt;=INDEX('Lease Cycles'!$BG$14:$BM$14,1,BL112),'Lease Cycles'!$AV$14&lt;=BL$6),'Lease Cycles'!$C$14*'Lease Cycles'!$AW$14/12,IF(AND('Lease Cycles'!$AT$14&gt;=INDEX('Lease Cycles'!$BG$14:$BM$14,1,BL112),'Lease Cycles'!$AT$14&lt;=BL$6),'Lease Cycles'!$C$14*'Lease Cycles'!$AU$14/12,'Lease Cycles'!$C$14*INDEX('Lease Cycles'!$CB$14:$CH$14,1,BL112)*(1+INDEX('Lease Cycles'!$CI$14:$CO$14,1,BL112))^INT(INT(BL113/12)/INDEX('Lease Cycles'!$CP$14:$CV$14,1,BL112))/12)))),'Lease Cycles'!$C$14*INDEX('Lease Cycles'!$CB$14:$CH$14,1,BL112)*(1+INDEX('Lease Cycles'!$CI$14:$CO$14,1,BL112))^INT(INT(BL113/12)/INDEX('Lease Cycles'!$CP$14:$CV$14,1,BL112))/12))),IF('Lease Cycles'!$N$14=1,'Lease Cycles'!$C$14*'Lease Cycles'!$E$14*INDEX('Lease Cycles'!$HE$14:$HK$14,1,BL112)*(1+INDEX('Lease Cycles'!$GQ$14:$GW$14,1,BL112))^INT(INT((BL$6-INDEX('Lease Cycles'!$GJ$14:$GP$14,1,BL112))/12)/INDEX('Lease Cycles'!$GX$14:$HD$14,1,BL112))/12,0)))</f>
        <v>2381.821806362188</v>
      </c>
      <c r="BM115" s="28">
        <f>IF(BM112=0,IF('Lease Cycles'!$F$14&gt;0,'Lease Cycles'!$C$14*'Lease Cycles'!$E$14/12,0),IF(BM114=1,IF('Lease Cycles'!$AT$14&gt;=9999,'Lease Cycles'!$C$14*INDEX('Lease Cycles'!$CB$14:$CH$14,1,BM112)*(1+INDEX('Lease Cycles'!$CI$14:$CO$14,1,BM112))^INT(INT(BM113/12)/INDEX('Lease Cycles'!$CP$14:$CV$14,1,BM112))/12,IF(BM112=1,IF(BM113&gt;=INDEX('Lease Cycles'!$DK$14:$DQ$14,1,BM112),IF(BM$6&gt;='Lease Cycles'!$AZ$14,'Lease Cycles'!$C$14*'Lease Cycles'!$BA$14/12,IF(BM$6&gt;='Lease Cycles'!$AX$14,'Lease Cycles'!$C$14*'Lease Cycles'!$AY$14/12,IF(BM$6&gt;='Lease Cycles'!$AV$14,'Lease Cycles'!$C$14*'Lease Cycles'!$AW$14/12,IF(BM$6&gt;='Lease Cycles'!$AT$14,'Lease Cycles'!$C$14*'Lease Cycles'!$AU$14/12,'Lease Cycles'!$C$14*INDEX('Lease Cycles'!$CB$14:$CH$14,1,BM112)*(1+INDEX('Lease Cycles'!$CI$14:$CO$14,1,BM112))^INT(INT(BM113/12)/INDEX('Lease Cycles'!$CP$14:$CV$14,1,BM112))/12)))),'Lease Cycles'!$C$14*INDEX('Lease Cycles'!$CB$14:$CH$14,1,BM112)*(1+INDEX('Lease Cycles'!$CI$14:$CO$14,1,BM112))^INT(INT(BM113/12)/INDEX('Lease Cycles'!$CP$14:$CV$14,1,BM112))/12),IF(INDEX('Lease Cycles'!$EF$14:$EL$14,1,BM112)=1,IF(AND('Lease Cycles'!$AZ$14&gt;=INDEX('Lease Cycles'!$BG$14:$BM$14,1,BM112),'Lease Cycles'!$AZ$14&lt;=BM$6),'Lease Cycles'!$C$14*'Lease Cycles'!$BA$14/12,IF(AND('Lease Cycles'!$AX$14&gt;=INDEX('Lease Cycles'!$BG$14:$BM$14,1,BM112),'Lease Cycles'!$AX$14&lt;=BM$6),'Lease Cycles'!$C$14*'Lease Cycles'!$AY$14/12,IF(AND('Lease Cycles'!$AV$14&gt;=INDEX('Lease Cycles'!$BG$14:$BM$14,1,BM112),'Lease Cycles'!$AV$14&lt;=BM$6),'Lease Cycles'!$C$14*'Lease Cycles'!$AW$14/12,IF(AND('Lease Cycles'!$AT$14&gt;=INDEX('Lease Cycles'!$BG$14:$BM$14,1,BM112),'Lease Cycles'!$AT$14&lt;=BM$6),'Lease Cycles'!$C$14*'Lease Cycles'!$AU$14/12,'Lease Cycles'!$C$14*INDEX('Lease Cycles'!$CB$14:$CH$14,1,BM112)*(1+INDEX('Lease Cycles'!$CI$14:$CO$14,1,BM112))^INT(INT(BM113/12)/INDEX('Lease Cycles'!$CP$14:$CV$14,1,BM112))/12)))),'Lease Cycles'!$C$14*INDEX('Lease Cycles'!$CB$14:$CH$14,1,BM112)*(1+INDEX('Lease Cycles'!$CI$14:$CO$14,1,BM112))^INT(INT(BM113/12)/INDEX('Lease Cycles'!$CP$14:$CV$14,1,BM112))/12))),IF('Lease Cycles'!$N$14=1,'Lease Cycles'!$C$14*'Lease Cycles'!$E$14*INDEX('Lease Cycles'!$HE$14:$HK$14,1,BM112)*(1+INDEX('Lease Cycles'!$GQ$14:$GW$14,1,BM112))^INT(INT((BM$6-INDEX('Lease Cycles'!$GJ$14:$GP$14,1,BM112))/12)/INDEX('Lease Cycles'!$GX$14:$HD$14,1,BM112))/12,0)))</f>
        <v>2381.821806362188</v>
      </c>
      <c r="BN115" s="28">
        <f>IF(BN112=0,IF('Lease Cycles'!$F$14&gt;0,'Lease Cycles'!$C$14*'Lease Cycles'!$E$14/12,0),IF(BN114=1,IF('Lease Cycles'!$AT$14&gt;=9999,'Lease Cycles'!$C$14*INDEX('Lease Cycles'!$CB$14:$CH$14,1,BN112)*(1+INDEX('Lease Cycles'!$CI$14:$CO$14,1,BN112))^INT(INT(BN113/12)/INDEX('Lease Cycles'!$CP$14:$CV$14,1,BN112))/12,IF(BN112=1,IF(BN113&gt;=INDEX('Lease Cycles'!$DK$14:$DQ$14,1,BN112),IF(BN$6&gt;='Lease Cycles'!$AZ$14,'Lease Cycles'!$C$14*'Lease Cycles'!$BA$14/12,IF(BN$6&gt;='Lease Cycles'!$AX$14,'Lease Cycles'!$C$14*'Lease Cycles'!$AY$14/12,IF(BN$6&gt;='Lease Cycles'!$AV$14,'Lease Cycles'!$C$14*'Lease Cycles'!$AW$14/12,IF(BN$6&gt;='Lease Cycles'!$AT$14,'Lease Cycles'!$C$14*'Lease Cycles'!$AU$14/12,'Lease Cycles'!$C$14*INDEX('Lease Cycles'!$CB$14:$CH$14,1,BN112)*(1+INDEX('Lease Cycles'!$CI$14:$CO$14,1,BN112))^INT(INT(BN113/12)/INDEX('Lease Cycles'!$CP$14:$CV$14,1,BN112))/12)))),'Lease Cycles'!$C$14*INDEX('Lease Cycles'!$CB$14:$CH$14,1,BN112)*(1+INDEX('Lease Cycles'!$CI$14:$CO$14,1,BN112))^INT(INT(BN113/12)/INDEX('Lease Cycles'!$CP$14:$CV$14,1,BN112))/12),IF(INDEX('Lease Cycles'!$EF$14:$EL$14,1,BN112)=1,IF(AND('Lease Cycles'!$AZ$14&gt;=INDEX('Lease Cycles'!$BG$14:$BM$14,1,BN112),'Lease Cycles'!$AZ$14&lt;=BN$6),'Lease Cycles'!$C$14*'Lease Cycles'!$BA$14/12,IF(AND('Lease Cycles'!$AX$14&gt;=INDEX('Lease Cycles'!$BG$14:$BM$14,1,BN112),'Lease Cycles'!$AX$14&lt;=BN$6),'Lease Cycles'!$C$14*'Lease Cycles'!$AY$14/12,IF(AND('Lease Cycles'!$AV$14&gt;=INDEX('Lease Cycles'!$BG$14:$BM$14,1,BN112),'Lease Cycles'!$AV$14&lt;=BN$6),'Lease Cycles'!$C$14*'Lease Cycles'!$AW$14/12,IF(AND('Lease Cycles'!$AT$14&gt;=INDEX('Lease Cycles'!$BG$14:$BM$14,1,BN112),'Lease Cycles'!$AT$14&lt;=BN$6),'Lease Cycles'!$C$14*'Lease Cycles'!$AU$14/12,'Lease Cycles'!$C$14*INDEX('Lease Cycles'!$CB$14:$CH$14,1,BN112)*(1+INDEX('Lease Cycles'!$CI$14:$CO$14,1,BN112))^INT(INT(BN113/12)/INDEX('Lease Cycles'!$CP$14:$CV$14,1,BN112))/12)))),'Lease Cycles'!$C$14*INDEX('Lease Cycles'!$CB$14:$CH$14,1,BN112)*(1+INDEX('Lease Cycles'!$CI$14:$CO$14,1,BN112))^INT(INT(BN113/12)/INDEX('Lease Cycles'!$CP$14:$CV$14,1,BN112))/12))),IF('Lease Cycles'!$N$14=1,'Lease Cycles'!$C$14*'Lease Cycles'!$E$14*INDEX('Lease Cycles'!$HE$14:$HK$14,1,BN112)*(1+INDEX('Lease Cycles'!$GQ$14:$GW$14,1,BN112))^INT(INT((BN$6-INDEX('Lease Cycles'!$GJ$14:$GP$14,1,BN112))/12)/INDEX('Lease Cycles'!$GX$14:$HD$14,1,BN112))/12,0)))</f>
        <v>2381.821806362188</v>
      </c>
      <c r="BO115" s="28">
        <f>IF(BO112=0,IF('Lease Cycles'!$F$14&gt;0,'Lease Cycles'!$C$14*'Lease Cycles'!$E$14/12,0),IF(BO114=1,IF('Lease Cycles'!$AT$14&gt;=9999,'Lease Cycles'!$C$14*INDEX('Lease Cycles'!$CB$14:$CH$14,1,BO112)*(1+INDEX('Lease Cycles'!$CI$14:$CO$14,1,BO112))^INT(INT(BO113/12)/INDEX('Lease Cycles'!$CP$14:$CV$14,1,BO112))/12,IF(BO112=1,IF(BO113&gt;=INDEX('Lease Cycles'!$DK$14:$DQ$14,1,BO112),IF(BO$6&gt;='Lease Cycles'!$AZ$14,'Lease Cycles'!$C$14*'Lease Cycles'!$BA$14/12,IF(BO$6&gt;='Lease Cycles'!$AX$14,'Lease Cycles'!$C$14*'Lease Cycles'!$AY$14/12,IF(BO$6&gt;='Lease Cycles'!$AV$14,'Lease Cycles'!$C$14*'Lease Cycles'!$AW$14/12,IF(BO$6&gt;='Lease Cycles'!$AT$14,'Lease Cycles'!$C$14*'Lease Cycles'!$AU$14/12,'Lease Cycles'!$C$14*INDEX('Lease Cycles'!$CB$14:$CH$14,1,BO112)*(1+INDEX('Lease Cycles'!$CI$14:$CO$14,1,BO112))^INT(INT(BO113/12)/INDEX('Lease Cycles'!$CP$14:$CV$14,1,BO112))/12)))),'Lease Cycles'!$C$14*INDEX('Lease Cycles'!$CB$14:$CH$14,1,BO112)*(1+INDEX('Lease Cycles'!$CI$14:$CO$14,1,BO112))^INT(INT(BO113/12)/INDEX('Lease Cycles'!$CP$14:$CV$14,1,BO112))/12),IF(INDEX('Lease Cycles'!$EF$14:$EL$14,1,BO112)=1,IF(AND('Lease Cycles'!$AZ$14&gt;=INDEX('Lease Cycles'!$BG$14:$BM$14,1,BO112),'Lease Cycles'!$AZ$14&lt;=BO$6),'Lease Cycles'!$C$14*'Lease Cycles'!$BA$14/12,IF(AND('Lease Cycles'!$AX$14&gt;=INDEX('Lease Cycles'!$BG$14:$BM$14,1,BO112),'Lease Cycles'!$AX$14&lt;=BO$6),'Lease Cycles'!$C$14*'Lease Cycles'!$AY$14/12,IF(AND('Lease Cycles'!$AV$14&gt;=INDEX('Lease Cycles'!$BG$14:$BM$14,1,BO112),'Lease Cycles'!$AV$14&lt;=BO$6),'Lease Cycles'!$C$14*'Lease Cycles'!$AW$14/12,IF(AND('Lease Cycles'!$AT$14&gt;=INDEX('Lease Cycles'!$BG$14:$BM$14,1,BO112),'Lease Cycles'!$AT$14&lt;=BO$6),'Lease Cycles'!$C$14*'Lease Cycles'!$AU$14/12,'Lease Cycles'!$C$14*INDEX('Lease Cycles'!$CB$14:$CH$14,1,BO112)*(1+INDEX('Lease Cycles'!$CI$14:$CO$14,1,BO112))^INT(INT(BO113/12)/INDEX('Lease Cycles'!$CP$14:$CV$14,1,BO112))/12)))),'Lease Cycles'!$C$14*INDEX('Lease Cycles'!$CB$14:$CH$14,1,BO112)*(1+INDEX('Lease Cycles'!$CI$14:$CO$14,1,BO112))^INT(INT(BO113/12)/INDEX('Lease Cycles'!$CP$14:$CV$14,1,BO112))/12))),IF('Lease Cycles'!$N$14=1,'Lease Cycles'!$C$14*'Lease Cycles'!$E$14*INDEX('Lease Cycles'!$HE$14:$HK$14,1,BO112)*(1+INDEX('Lease Cycles'!$GQ$14:$GW$14,1,BO112))^INT(INT((BO$6-INDEX('Lease Cycles'!$GJ$14:$GP$14,1,BO112))/12)/INDEX('Lease Cycles'!$GX$14:$HD$14,1,BO112))/12,0)))</f>
        <v>2381.821806362188</v>
      </c>
      <c r="BP115" s="28">
        <f>IF(BP112=0,IF('Lease Cycles'!$F$14&gt;0,'Lease Cycles'!$C$14*'Lease Cycles'!$E$14/12,0),IF(BP114=1,IF('Lease Cycles'!$AT$14&gt;=9999,'Lease Cycles'!$C$14*INDEX('Lease Cycles'!$CB$14:$CH$14,1,BP112)*(1+INDEX('Lease Cycles'!$CI$14:$CO$14,1,BP112))^INT(INT(BP113/12)/INDEX('Lease Cycles'!$CP$14:$CV$14,1,BP112))/12,IF(BP112=1,IF(BP113&gt;=INDEX('Lease Cycles'!$DK$14:$DQ$14,1,BP112),IF(BP$6&gt;='Lease Cycles'!$AZ$14,'Lease Cycles'!$C$14*'Lease Cycles'!$BA$14/12,IF(BP$6&gt;='Lease Cycles'!$AX$14,'Lease Cycles'!$C$14*'Lease Cycles'!$AY$14/12,IF(BP$6&gt;='Lease Cycles'!$AV$14,'Lease Cycles'!$C$14*'Lease Cycles'!$AW$14/12,IF(BP$6&gt;='Lease Cycles'!$AT$14,'Lease Cycles'!$C$14*'Lease Cycles'!$AU$14/12,'Lease Cycles'!$C$14*INDEX('Lease Cycles'!$CB$14:$CH$14,1,BP112)*(1+INDEX('Lease Cycles'!$CI$14:$CO$14,1,BP112))^INT(INT(BP113/12)/INDEX('Lease Cycles'!$CP$14:$CV$14,1,BP112))/12)))),'Lease Cycles'!$C$14*INDEX('Lease Cycles'!$CB$14:$CH$14,1,BP112)*(1+INDEX('Lease Cycles'!$CI$14:$CO$14,1,BP112))^INT(INT(BP113/12)/INDEX('Lease Cycles'!$CP$14:$CV$14,1,BP112))/12),IF(INDEX('Lease Cycles'!$EF$14:$EL$14,1,BP112)=1,IF(AND('Lease Cycles'!$AZ$14&gt;=INDEX('Lease Cycles'!$BG$14:$BM$14,1,BP112),'Lease Cycles'!$AZ$14&lt;=BP$6),'Lease Cycles'!$C$14*'Lease Cycles'!$BA$14/12,IF(AND('Lease Cycles'!$AX$14&gt;=INDEX('Lease Cycles'!$BG$14:$BM$14,1,BP112),'Lease Cycles'!$AX$14&lt;=BP$6),'Lease Cycles'!$C$14*'Lease Cycles'!$AY$14/12,IF(AND('Lease Cycles'!$AV$14&gt;=INDEX('Lease Cycles'!$BG$14:$BM$14,1,BP112),'Lease Cycles'!$AV$14&lt;=BP$6),'Lease Cycles'!$C$14*'Lease Cycles'!$AW$14/12,IF(AND('Lease Cycles'!$AT$14&gt;=INDEX('Lease Cycles'!$BG$14:$BM$14,1,BP112),'Lease Cycles'!$AT$14&lt;=BP$6),'Lease Cycles'!$C$14*'Lease Cycles'!$AU$14/12,'Lease Cycles'!$C$14*INDEX('Lease Cycles'!$CB$14:$CH$14,1,BP112)*(1+INDEX('Lease Cycles'!$CI$14:$CO$14,1,BP112))^INT(INT(BP113/12)/INDEX('Lease Cycles'!$CP$14:$CV$14,1,BP112))/12)))),'Lease Cycles'!$C$14*INDEX('Lease Cycles'!$CB$14:$CH$14,1,BP112)*(1+INDEX('Lease Cycles'!$CI$14:$CO$14,1,BP112))^INT(INT(BP113/12)/INDEX('Lease Cycles'!$CP$14:$CV$14,1,BP112))/12))),IF('Lease Cycles'!$N$14=1,'Lease Cycles'!$C$14*'Lease Cycles'!$E$14*INDEX('Lease Cycles'!$HE$14:$HK$14,1,BP112)*(1+INDEX('Lease Cycles'!$GQ$14:$GW$14,1,BP112))^INT(INT((BP$6-INDEX('Lease Cycles'!$GJ$14:$GP$14,1,BP112))/12)/INDEX('Lease Cycles'!$GX$14:$HD$14,1,BP112))/12,0)))</f>
        <v>2381.821806362188</v>
      </c>
      <c r="BQ115" s="28">
        <f>IF(BQ112=0,IF('Lease Cycles'!$F$14&gt;0,'Lease Cycles'!$C$14*'Lease Cycles'!$E$14/12,0),IF(BQ114=1,IF('Lease Cycles'!$AT$14&gt;=9999,'Lease Cycles'!$C$14*INDEX('Lease Cycles'!$CB$14:$CH$14,1,BQ112)*(1+INDEX('Lease Cycles'!$CI$14:$CO$14,1,BQ112))^INT(INT(BQ113/12)/INDEX('Lease Cycles'!$CP$14:$CV$14,1,BQ112))/12,IF(BQ112=1,IF(BQ113&gt;=INDEX('Lease Cycles'!$DK$14:$DQ$14,1,BQ112),IF(BQ$6&gt;='Lease Cycles'!$AZ$14,'Lease Cycles'!$C$14*'Lease Cycles'!$BA$14/12,IF(BQ$6&gt;='Lease Cycles'!$AX$14,'Lease Cycles'!$C$14*'Lease Cycles'!$AY$14/12,IF(BQ$6&gt;='Lease Cycles'!$AV$14,'Lease Cycles'!$C$14*'Lease Cycles'!$AW$14/12,IF(BQ$6&gt;='Lease Cycles'!$AT$14,'Lease Cycles'!$C$14*'Lease Cycles'!$AU$14/12,'Lease Cycles'!$C$14*INDEX('Lease Cycles'!$CB$14:$CH$14,1,BQ112)*(1+INDEX('Lease Cycles'!$CI$14:$CO$14,1,BQ112))^INT(INT(BQ113/12)/INDEX('Lease Cycles'!$CP$14:$CV$14,1,BQ112))/12)))),'Lease Cycles'!$C$14*INDEX('Lease Cycles'!$CB$14:$CH$14,1,BQ112)*(1+INDEX('Lease Cycles'!$CI$14:$CO$14,1,BQ112))^INT(INT(BQ113/12)/INDEX('Lease Cycles'!$CP$14:$CV$14,1,BQ112))/12),IF(INDEX('Lease Cycles'!$EF$14:$EL$14,1,BQ112)=1,IF(AND('Lease Cycles'!$AZ$14&gt;=INDEX('Lease Cycles'!$BG$14:$BM$14,1,BQ112),'Lease Cycles'!$AZ$14&lt;=BQ$6),'Lease Cycles'!$C$14*'Lease Cycles'!$BA$14/12,IF(AND('Lease Cycles'!$AX$14&gt;=INDEX('Lease Cycles'!$BG$14:$BM$14,1,BQ112),'Lease Cycles'!$AX$14&lt;=BQ$6),'Lease Cycles'!$C$14*'Lease Cycles'!$AY$14/12,IF(AND('Lease Cycles'!$AV$14&gt;=INDEX('Lease Cycles'!$BG$14:$BM$14,1,BQ112),'Lease Cycles'!$AV$14&lt;=BQ$6),'Lease Cycles'!$C$14*'Lease Cycles'!$AW$14/12,IF(AND('Lease Cycles'!$AT$14&gt;=INDEX('Lease Cycles'!$BG$14:$BM$14,1,BQ112),'Lease Cycles'!$AT$14&lt;=BQ$6),'Lease Cycles'!$C$14*'Lease Cycles'!$AU$14/12,'Lease Cycles'!$C$14*INDEX('Lease Cycles'!$CB$14:$CH$14,1,BQ112)*(1+INDEX('Lease Cycles'!$CI$14:$CO$14,1,BQ112))^INT(INT(BQ113/12)/INDEX('Lease Cycles'!$CP$14:$CV$14,1,BQ112))/12)))),'Lease Cycles'!$C$14*INDEX('Lease Cycles'!$CB$14:$CH$14,1,BQ112)*(1+INDEX('Lease Cycles'!$CI$14:$CO$14,1,BQ112))^INT(INT(BQ113/12)/INDEX('Lease Cycles'!$CP$14:$CV$14,1,BQ112))/12))),IF('Lease Cycles'!$N$14=1,'Lease Cycles'!$C$14*'Lease Cycles'!$E$14*INDEX('Lease Cycles'!$HE$14:$HK$14,1,BQ112)*(1+INDEX('Lease Cycles'!$GQ$14:$GW$14,1,BQ112))^INT(INT((BQ$6-INDEX('Lease Cycles'!$GJ$14:$GP$14,1,BQ112))/12)/INDEX('Lease Cycles'!$GX$14:$HD$14,1,BQ112))/12,0)))</f>
        <v>2381.821806362188</v>
      </c>
      <c r="BR115" s="28">
        <f>IF(BR112=0,IF('Lease Cycles'!$F$14&gt;0,'Lease Cycles'!$C$14*'Lease Cycles'!$E$14/12,0),IF(BR114=1,IF('Lease Cycles'!$AT$14&gt;=9999,'Lease Cycles'!$C$14*INDEX('Lease Cycles'!$CB$14:$CH$14,1,BR112)*(1+INDEX('Lease Cycles'!$CI$14:$CO$14,1,BR112))^INT(INT(BR113/12)/INDEX('Lease Cycles'!$CP$14:$CV$14,1,BR112))/12,IF(BR112=1,IF(BR113&gt;=INDEX('Lease Cycles'!$DK$14:$DQ$14,1,BR112),IF(BR$6&gt;='Lease Cycles'!$AZ$14,'Lease Cycles'!$C$14*'Lease Cycles'!$BA$14/12,IF(BR$6&gt;='Lease Cycles'!$AX$14,'Lease Cycles'!$C$14*'Lease Cycles'!$AY$14/12,IF(BR$6&gt;='Lease Cycles'!$AV$14,'Lease Cycles'!$C$14*'Lease Cycles'!$AW$14/12,IF(BR$6&gt;='Lease Cycles'!$AT$14,'Lease Cycles'!$C$14*'Lease Cycles'!$AU$14/12,'Lease Cycles'!$C$14*INDEX('Lease Cycles'!$CB$14:$CH$14,1,BR112)*(1+INDEX('Lease Cycles'!$CI$14:$CO$14,1,BR112))^INT(INT(BR113/12)/INDEX('Lease Cycles'!$CP$14:$CV$14,1,BR112))/12)))),'Lease Cycles'!$C$14*INDEX('Lease Cycles'!$CB$14:$CH$14,1,BR112)*(1+INDEX('Lease Cycles'!$CI$14:$CO$14,1,BR112))^INT(INT(BR113/12)/INDEX('Lease Cycles'!$CP$14:$CV$14,1,BR112))/12),IF(INDEX('Lease Cycles'!$EF$14:$EL$14,1,BR112)=1,IF(AND('Lease Cycles'!$AZ$14&gt;=INDEX('Lease Cycles'!$BG$14:$BM$14,1,BR112),'Lease Cycles'!$AZ$14&lt;=BR$6),'Lease Cycles'!$C$14*'Lease Cycles'!$BA$14/12,IF(AND('Lease Cycles'!$AX$14&gt;=INDEX('Lease Cycles'!$BG$14:$BM$14,1,BR112),'Lease Cycles'!$AX$14&lt;=BR$6),'Lease Cycles'!$C$14*'Lease Cycles'!$AY$14/12,IF(AND('Lease Cycles'!$AV$14&gt;=INDEX('Lease Cycles'!$BG$14:$BM$14,1,BR112),'Lease Cycles'!$AV$14&lt;=BR$6),'Lease Cycles'!$C$14*'Lease Cycles'!$AW$14/12,IF(AND('Lease Cycles'!$AT$14&gt;=INDEX('Lease Cycles'!$BG$14:$BM$14,1,BR112),'Lease Cycles'!$AT$14&lt;=BR$6),'Lease Cycles'!$C$14*'Lease Cycles'!$AU$14/12,'Lease Cycles'!$C$14*INDEX('Lease Cycles'!$CB$14:$CH$14,1,BR112)*(1+INDEX('Lease Cycles'!$CI$14:$CO$14,1,BR112))^INT(INT(BR113/12)/INDEX('Lease Cycles'!$CP$14:$CV$14,1,BR112))/12)))),'Lease Cycles'!$C$14*INDEX('Lease Cycles'!$CB$14:$CH$14,1,BR112)*(1+INDEX('Lease Cycles'!$CI$14:$CO$14,1,BR112))^INT(INT(BR113/12)/INDEX('Lease Cycles'!$CP$14:$CV$14,1,BR112))/12))),IF('Lease Cycles'!$N$14=1,'Lease Cycles'!$C$14*'Lease Cycles'!$E$14*INDEX('Lease Cycles'!$HE$14:$HK$14,1,BR112)*(1+INDEX('Lease Cycles'!$GQ$14:$GW$14,1,BR112))^INT(INT((BR$6-INDEX('Lease Cycles'!$GJ$14:$GP$14,1,BR112))/12)/INDEX('Lease Cycles'!$GX$14:$HD$14,1,BR112))/12,0)))</f>
        <v>2381.821806362188</v>
      </c>
      <c r="BS115" s="28">
        <f>IF(BS112=0,IF('Lease Cycles'!$F$14&gt;0,'Lease Cycles'!$C$14*'Lease Cycles'!$E$14/12,0),IF(BS114=1,IF('Lease Cycles'!$AT$14&gt;=9999,'Lease Cycles'!$C$14*INDEX('Lease Cycles'!$CB$14:$CH$14,1,BS112)*(1+INDEX('Lease Cycles'!$CI$14:$CO$14,1,BS112))^INT(INT(BS113/12)/INDEX('Lease Cycles'!$CP$14:$CV$14,1,BS112))/12,IF(BS112=1,IF(BS113&gt;=INDEX('Lease Cycles'!$DK$14:$DQ$14,1,BS112),IF(BS$6&gt;='Lease Cycles'!$AZ$14,'Lease Cycles'!$C$14*'Lease Cycles'!$BA$14/12,IF(BS$6&gt;='Lease Cycles'!$AX$14,'Lease Cycles'!$C$14*'Lease Cycles'!$AY$14/12,IF(BS$6&gt;='Lease Cycles'!$AV$14,'Lease Cycles'!$C$14*'Lease Cycles'!$AW$14/12,IF(BS$6&gt;='Lease Cycles'!$AT$14,'Lease Cycles'!$C$14*'Lease Cycles'!$AU$14/12,'Lease Cycles'!$C$14*INDEX('Lease Cycles'!$CB$14:$CH$14,1,BS112)*(1+INDEX('Lease Cycles'!$CI$14:$CO$14,1,BS112))^INT(INT(BS113/12)/INDEX('Lease Cycles'!$CP$14:$CV$14,1,BS112))/12)))),'Lease Cycles'!$C$14*INDEX('Lease Cycles'!$CB$14:$CH$14,1,BS112)*(1+INDEX('Lease Cycles'!$CI$14:$CO$14,1,BS112))^INT(INT(BS113/12)/INDEX('Lease Cycles'!$CP$14:$CV$14,1,BS112))/12),IF(INDEX('Lease Cycles'!$EF$14:$EL$14,1,BS112)=1,IF(AND('Lease Cycles'!$AZ$14&gt;=INDEX('Lease Cycles'!$BG$14:$BM$14,1,BS112),'Lease Cycles'!$AZ$14&lt;=BS$6),'Lease Cycles'!$C$14*'Lease Cycles'!$BA$14/12,IF(AND('Lease Cycles'!$AX$14&gt;=INDEX('Lease Cycles'!$BG$14:$BM$14,1,BS112),'Lease Cycles'!$AX$14&lt;=BS$6),'Lease Cycles'!$C$14*'Lease Cycles'!$AY$14/12,IF(AND('Lease Cycles'!$AV$14&gt;=INDEX('Lease Cycles'!$BG$14:$BM$14,1,BS112),'Lease Cycles'!$AV$14&lt;=BS$6),'Lease Cycles'!$C$14*'Lease Cycles'!$AW$14/12,IF(AND('Lease Cycles'!$AT$14&gt;=INDEX('Lease Cycles'!$BG$14:$BM$14,1,BS112),'Lease Cycles'!$AT$14&lt;=BS$6),'Lease Cycles'!$C$14*'Lease Cycles'!$AU$14/12,'Lease Cycles'!$C$14*INDEX('Lease Cycles'!$CB$14:$CH$14,1,BS112)*(1+INDEX('Lease Cycles'!$CI$14:$CO$14,1,BS112))^INT(INT(BS113/12)/INDEX('Lease Cycles'!$CP$14:$CV$14,1,BS112))/12)))),'Lease Cycles'!$C$14*INDEX('Lease Cycles'!$CB$14:$CH$14,1,BS112)*(1+INDEX('Lease Cycles'!$CI$14:$CO$14,1,BS112))^INT(INT(BS113/12)/INDEX('Lease Cycles'!$CP$14:$CV$14,1,BS112))/12))),IF('Lease Cycles'!$N$14=1,'Lease Cycles'!$C$14*'Lease Cycles'!$E$14*INDEX('Lease Cycles'!$HE$14:$HK$14,1,BS112)*(1+INDEX('Lease Cycles'!$GQ$14:$GW$14,1,BS112))^INT(INT((BS$6-INDEX('Lease Cycles'!$GJ$14:$GP$14,1,BS112))/12)/INDEX('Lease Cycles'!$GX$14:$HD$14,1,BS112))/12,0)))</f>
        <v>2453.2764605530533</v>
      </c>
      <c r="BT115" s="28">
        <f>IF(BT112=0,IF('Lease Cycles'!$F$14&gt;0,'Lease Cycles'!$C$14*'Lease Cycles'!$E$14/12,0),IF(BT114=1,IF('Lease Cycles'!$AT$14&gt;=9999,'Lease Cycles'!$C$14*INDEX('Lease Cycles'!$CB$14:$CH$14,1,BT112)*(1+INDEX('Lease Cycles'!$CI$14:$CO$14,1,BT112))^INT(INT(BT113/12)/INDEX('Lease Cycles'!$CP$14:$CV$14,1,BT112))/12,IF(BT112=1,IF(BT113&gt;=INDEX('Lease Cycles'!$DK$14:$DQ$14,1,BT112),IF(BT$6&gt;='Lease Cycles'!$AZ$14,'Lease Cycles'!$C$14*'Lease Cycles'!$BA$14/12,IF(BT$6&gt;='Lease Cycles'!$AX$14,'Lease Cycles'!$C$14*'Lease Cycles'!$AY$14/12,IF(BT$6&gt;='Lease Cycles'!$AV$14,'Lease Cycles'!$C$14*'Lease Cycles'!$AW$14/12,IF(BT$6&gt;='Lease Cycles'!$AT$14,'Lease Cycles'!$C$14*'Lease Cycles'!$AU$14/12,'Lease Cycles'!$C$14*INDEX('Lease Cycles'!$CB$14:$CH$14,1,BT112)*(1+INDEX('Lease Cycles'!$CI$14:$CO$14,1,BT112))^INT(INT(BT113/12)/INDEX('Lease Cycles'!$CP$14:$CV$14,1,BT112))/12)))),'Lease Cycles'!$C$14*INDEX('Lease Cycles'!$CB$14:$CH$14,1,BT112)*(1+INDEX('Lease Cycles'!$CI$14:$CO$14,1,BT112))^INT(INT(BT113/12)/INDEX('Lease Cycles'!$CP$14:$CV$14,1,BT112))/12),IF(INDEX('Lease Cycles'!$EF$14:$EL$14,1,BT112)=1,IF(AND('Lease Cycles'!$AZ$14&gt;=INDEX('Lease Cycles'!$BG$14:$BM$14,1,BT112),'Lease Cycles'!$AZ$14&lt;=BT$6),'Lease Cycles'!$C$14*'Lease Cycles'!$BA$14/12,IF(AND('Lease Cycles'!$AX$14&gt;=INDEX('Lease Cycles'!$BG$14:$BM$14,1,BT112),'Lease Cycles'!$AX$14&lt;=BT$6),'Lease Cycles'!$C$14*'Lease Cycles'!$AY$14/12,IF(AND('Lease Cycles'!$AV$14&gt;=INDEX('Lease Cycles'!$BG$14:$BM$14,1,BT112),'Lease Cycles'!$AV$14&lt;=BT$6),'Lease Cycles'!$C$14*'Lease Cycles'!$AW$14/12,IF(AND('Lease Cycles'!$AT$14&gt;=INDEX('Lease Cycles'!$BG$14:$BM$14,1,BT112),'Lease Cycles'!$AT$14&lt;=BT$6),'Lease Cycles'!$C$14*'Lease Cycles'!$AU$14/12,'Lease Cycles'!$C$14*INDEX('Lease Cycles'!$CB$14:$CH$14,1,BT112)*(1+INDEX('Lease Cycles'!$CI$14:$CO$14,1,BT112))^INT(INT(BT113/12)/INDEX('Lease Cycles'!$CP$14:$CV$14,1,BT112))/12)))),'Lease Cycles'!$C$14*INDEX('Lease Cycles'!$CB$14:$CH$14,1,BT112)*(1+INDEX('Lease Cycles'!$CI$14:$CO$14,1,BT112))^INT(INT(BT113/12)/INDEX('Lease Cycles'!$CP$14:$CV$14,1,BT112))/12))),IF('Lease Cycles'!$N$14=1,'Lease Cycles'!$C$14*'Lease Cycles'!$E$14*INDEX('Lease Cycles'!$HE$14:$HK$14,1,BT112)*(1+INDEX('Lease Cycles'!$GQ$14:$GW$14,1,BT112))^INT(INT((BT$6-INDEX('Lease Cycles'!$GJ$14:$GP$14,1,BT112))/12)/INDEX('Lease Cycles'!$GX$14:$HD$14,1,BT112))/12,0)))</f>
        <v>2453.2764605530533</v>
      </c>
      <c r="BU115" s="28">
        <f>IF(BU112=0,IF('Lease Cycles'!$F$14&gt;0,'Lease Cycles'!$C$14*'Lease Cycles'!$E$14/12,0),IF(BU114=1,IF('Lease Cycles'!$AT$14&gt;=9999,'Lease Cycles'!$C$14*INDEX('Lease Cycles'!$CB$14:$CH$14,1,BU112)*(1+INDEX('Lease Cycles'!$CI$14:$CO$14,1,BU112))^INT(INT(BU113/12)/INDEX('Lease Cycles'!$CP$14:$CV$14,1,BU112))/12,IF(BU112=1,IF(BU113&gt;=INDEX('Lease Cycles'!$DK$14:$DQ$14,1,BU112),IF(BU$6&gt;='Lease Cycles'!$AZ$14,'Lease Cycles'!$C$14*'Lease Cycles'!$BA$14/12,IF(BU$6&gt;='Lease Cycles'!$AX$14,'Lease Cycles'!$C$14*'Lease Cycles'!$AY$14/12,IF(BU$6&gt;='Lease Cycles'!$AV$14,'Lease Cycles'!$C$14*'Lease Cycles'!$AW$14/12,IF(BU$6&gt;='Lease Cycles'!$AT$14,'Lease Cycles'!$C$14*'Lease Cycles'!$AU$14/12,'Lease Cycles'!$C$14*INDEX('Lease Cycles'!$CB$14:$CH$14,1,BU112)*(1+INDEX('Lease Cycles'!$CI$14:$CO$14,1,BU112))^INT(INT(BU113/12)/INDEX('Lease Cycles'!$CP$14:$CV$14,1,BU112))/12)))),'Lease Cycles'!$C$14*INDEX('Lease Cycles'!$CB$14:$CH$14,1,BU112)*(1+INDEX('Lease Cycles'!$CI$14:$CO$14,1,BU112))^INT(INT(BU113/12)/INDEX('Lease Cycles'!$CP$14:$CV$14,1,BU112))/12),IF(INDEX('Lease Cycles'!$EF$14:$EL$14,1,BU112)=1,IF(AND('Lease Cycles'!$AZ$14&gt;=INDEX('Lease Cycles'!$BG$14:$BM$14,1,BU112),'Lease Cycles'!$AZ$14&lt;=BU$6),'Lease Cycles'!$C$14*'Lease Cycles'!$BA$14/12,IF(AND('Lease Cycles'!$AX$14&gt;=INDEX('Lease Cycles'!$BG$14:$BM$14,1,BU112),'Lease Cycles'!$AX$14&lt;=BU$6),'Lease Cycles'!$C$14*'Lease Cycles'!$AY$14/12,IF(AND('Lease Cycles'!$AV$14&gt;=INDEX('Lease Cycles'!$BG$14:$BM$14,1,BU112),'Lease Cycles'!$AV$14&lt;=BU$6),'Lease Cycles'!$C$14*'Lease Cycles'!$AW$14/12,IF(AND('Lease Cycles'!$AT$14&gt;=INDEX('Lease Cycles'!$BG$14:$BM$14,1,BU112),'Lease Cycles'!$AT$14&lt;=BU$6),'Lease Cycles'!$C$14*'Lease Cycles'!$AU$14/12,'Lease Cycles'!$C$14*INDEX('Lease Cycles'!$CB$14:$CH$14,1,BU112)*(1+INDEX('Lease Cycles'!$CI$14:$CO$14,1,BU112))^INT(INT(BU113/12)/INDEX('Lease Cycles'!$CP$14:$CV$14,1,BU112))/12)))),'Lease Cycles'!$C$14*INDEX('Lease Cycles'!$CB$14:$CH$14,1,BU112)*(1+INDEX('Lease Cycles'!$CI$14:$CO$14,1,BU112))^INT(INT(BU113/12)/INDEX('Lease Cycles'!$CP$14:$CV$14,1,BU112))/12))),IF('Lease Cycles'!$N$14=1,'Lease Cycles'!$C$14*'Lease Cycles'!$E$14*INDEX('Lease Cycles'!$HE$14:$HK$14,1,BU112)*(1+INDEX('Lease Cycles'!$GQ$14:$GW$14,1,BU112))^INT(INT((BU$6-INDEX('Lease Cycles'!$GJ$14:$GP$14,1,BU112))/12)/INDEX('Lease Cycles'!$GX$14:$HD$14,1,BU112))/12,0)))</f>
        <v>2453.2764605530533</v>
      </c>
      <c r="BV115" s="28">
        <f>IF(BV112=0,IF('Lease Cycles'!$F$14&gt;0,'Lease Cycles'!$C$14*'Lease Cycles'!$E$14/12,0),IF(BV114=1,IF('Lease Cycles'!$AT$14&gt;=9999,'Lease Cycles'!$C$14*INDEX('Lease Cycles'!$CB$14:$CH$14,1,BV112)*(1+INDEX('Lease Cycles'!$CI$14:$CO$14,1,BV112))^INT(INT(BV113/12)/INDEX('Lease Cycles'!$CP$14:$CV$14,1,BV112))/12,IF(BV112=1,IF(BV113&gt;=INDEX('Lease Cycles'!$DK$14:$DQ$14,1,BV112),IF(BV$6&gt;='Lease Cycles'!$AZ$14,'Lease Cycles'!$C$14*'Lease Cycles'!$BA$14/12,IF(BV$6&gt;='Lease Cycles'!$AX$14,'Lease Cycles'!$C$14*'Lease Cycles'!$AY$14/12,IF(BV$6&gt;='Lease Cycles'!$AV$14,'Lease Cycles'!$C$14*'Lease Cycles'!$AW$14/12,IF(BV$6&gt;='Lease Cycles'!$AT$14,'Lease Cycles'!$C$14*'Lease Cycles'!$AU$14/12,'Lease Cycles'!$C$14*INDEX('Lease Cycles'!$CB$14:$CH$14,1,BV112)*(1+INDEX('Lease Cycles'!$CI$14:$CO$14,1,BV112))^INT(INT(BV113/12)/INDEX('Lease Cycles'!$CP$14:$CV$14,1,BV112))/12)))),'Lease Cycles'!$C$14*INDEX('Lease Cycles'!$CB$14:$CH$14,1,BV112)*(1+INDEX('Lease Cycles'!$CI$14:$CO$14,1,BV112))^INT(INT(BV113/12)/INDEX('Lease Cycles'!$CP$14:$CV$14,1,BV112))/12),IF(INDEX('Lease Cycles'!$EF$14:$EL$14,1,BV112)=1,IF(AND('Lease Cycles'!$AZ$14&gt;=INDEX('Lease Cycles'!$BG$14:$BM$14,1,BV112),'Lease Cycles'!$AZ$14&lt;=BV$6),'Lease Cycles'!$C$14*'Lease Cycles'!$BA$14/12,IF(AND('Lease Cycles'!$AX$14&gt;=INDEX('Lease Cycles'!$BG$14:$BM$14,1,BV112),'Lease Cycles'!$AX$14&lt;=BV$6),'Lease Cycles'!$C$14*'Lease Cycles'!$AY$14/12,IF(AND('Lease Cycles'!$AV$14&gt;=INDEX('Lease Cycles'!$BG$14:$BM$14,1,BV112),'Lease Cycles'!$AV$14&lt;=BV$6),'Lease Cycles'!$C$14*'Lease Cycles'!$AW$14/12,IF(AND('Lease Cycles'!$AT$14&gt;=INDEX('Lease Cycles'!$BG$14:$BM$14,1,BV112),'Lease Cycles'!$AT$14&lt;=BV$6),'Lease Cycles'!$C$14*'Lease Cycles'!$AU$14/12,'Lease Cycles'!$C$14*INDEX('Lease Cycles'!$CB$14:$CH$14,1,BV112)*(1+INDEX('Lease Cycles'!$CI$14:$CO$14,1,BV112))^INT(INT(BV113/12)/INDEX('Lease Cycles'!$CP$14:$CV$14,1,BV112))/12)))),'Lease Cycles'!$C$14*INDEX('Lease Cycles'!$CB$14:$CH$14,1,BV112)*(1+INDEX('Lease Cycles'!$CI$14:$CO$14,1,BV112))^INT(INT(BV113/12)/INDEX('Lease Cycles'!$CP$14:$CV$14,1,BV112))/12))),IF('Lease Cycles'!$N$14=1,'Lease Cycles'!$C$14*'Lease Cycles'!$E$14*INDEX('Lease Cycles'!$HE$14:$HK$14,1,BV112)*(1+INDEX('Lease Cycles'!$GQ$14:$GW$14,1,BV112))^INT(INT((BV$6-INDEX('Lease Cycles'!$GJ$14:$GP$14,1,BV112))/12)/INDEX('Lease Cycles'!$GX$14:$HD$14,1,BV112))/12,0)))</f>
        <v>2453.2764605530533</v>
      </c>
      <c r="BW115" s="28">
        <f>IF(BW112=0,IF('Lease Cycles'!$F$14&gt;0,'Lease Cycles'!$C$14*'Lease Cycles'!$E$14/12,0),IF(BW114=1,IF('Lease Cycles'!$AT$14&gt;=9999,'Lease Cycles'!$C$14*INDEX('Lease Cycles'!$CB$14:$CH$14,1,BW112)*(1+INDEX('Lease Cycles'!$CI$14:$CO$14,1,BW112))^INT(INT(BW113/12)/INDEX('Lease Cycles'!$CP$14:$CV$14,1,BW112))/12,IF(BW112=1,IF(BW113&gt;=INDEX('Lease Cycles'!$DK$14:$DQ$14,1,BW112),IF(BW$6&gt;='Lease Cycles'!$AZ$14,'Lease Cycles'!$C$14*'Lease Cycles'!$BA$14/12,IF(BW$6&gt;='Lease Cycles'!$AX$14,'Lease Cycles'!$C$14*'Lease Cycles'!$AY$14/12,IF(BW$6&gt;='Lease Cycles'!$AV$14,'Lease Cycles'!$C$14*'Lease Cycles'!$AW$14/12,IF(BW$6&gt;='Lease Cycles'!$AT$14,'Lease Cycles'!$C$14*'Lease Cycles'!$AU$14/12,'Lease Cycles'!$C$14*INDEX('Lease Cycles'!$CB$14:$CH$14,1,BW112)*(1+INDEX('Lease Cycles'!$CI$14:$CO$14,1,BW112))^INT(INT(BW113/12)/INDEX('Lease Cycles'!$CP$14:$CV$14,1,BW112))/12)))),'Lease Cycles'!$C$14*INDEX('Lease Cycles'!$CB$14:$CH$14,1,BW112)*(1+INDEX('Lease Cycles'!$CI$14:$CO$14,1,BW112))^INT(INT(BW113/12)/INDEX('Lease Cycles'!$CP$14:$CV$14,1,BW112))/12),IF(INDEX('Lease Cycles'!$EF$14:$EL$14,1,BW112)=1,IF(AND('Lease Cycles'!$AZ$14&gt;=INDEX('Lease Cycles'!$BG$14:$BM$14,1,BW112),'Lease Cycles'!$AZ$14&lt;=BW$6),'Lease Cycles'!$C$14*'Lease Cycles'!$BA$14/12,IF(AND('Lease Cycles'!$AX$14&gt;=INDEX('Lease Cycles'!$BG$14:$BM$14,1,BW112),'Lease Cycles'!$AX$14&lt;=BW$6),'Lease Cycles'!$C$14*'Lease Cycles'!$AY$14/12,IF(AND('Lease Cycles'!$AV$14&gt;=INDEX('Lease Cycles'!$BG$14:$BM$14,1,BW112),'Lease Cycles'!$AV$14&lt;=BW$6),'Lease Cycles'!$C$14*'Lease Cycles'!$AW$14/12,IF(AND('Lease Cycles'!$AT$14&gt;=INDEX('Lease Cycles'!$BG$14:$BM$14,1,BW112),'Lease Cycles'!$AT$14&lt;=BW$6),'Lease Cycles'!$C$14*'Lease Cycles'!$AU$14/12,'Lease Cycles'!$C$14*INDEX('Lease Cycles'!$CB$14:$CH$14,1,BW112)*(1+INDEX('Lease Cycles'!$CI$14:$CO$14,1,BW112))^INT(INT(BW113/12)/INDEX('Lease Cycles'!$CP$14:$CV$14,1,BW112))/12)))),'Lease Cycles'!$C$14*INDEX('Lease Cycles'!$CB$14:$CH$14,1,BW112)*(1+INDEX('Lease Cycles'!$CI$14:$CO$14,1,BW112))^INT(INT(BW113/12)/INDEX('Lease Cycles'!$CP$14:$CV$14,1,BW112))/12))),IF('Lease Cycles'!$N$14=1,'Lease Cycles'!$C$14*'Lease Cycles'!$E$14*INDEX('Lease Cycles'!$HE$14:$HK$14,1,BW112)*(1+INDEX('Lease Cycles'!$GQ$14:$GW$14,1,BW112))^INT(INT((BW$6-INDEX('Lease Cycles'!$GJ$14:$GP$14,1,BW112))/12)/INDEX('Lease Cycles'!$GX$14:$HD$14,1,BW112))/12,0)))</f>
        <v>2453.2764605530533</v>
      </c>
      <c r="BX115" s="28">
        <f>IF(BX112=0,IF('Lease Cycles'!$F$14&gt;0,'Lease Cycles'!$C$14*'Lease Cycles'!$E$14/12,0),IF(BX114=1,IF('Lease Cycles'!$AT$14&gt;=9999,'Lease Cycles'!$C$14*INDEX('Lease Cycles'!$CB$14:$CH$14,1,BX112)*(1+INDEX('Lease Cycles'!$CI$14:$CO$14,1,BX112))^INT(INT(BX113/12)/INDEX('Lease Cycles'!$CP$14:$CV$14,1,BX112))/12,IF(BX112=1,IF(BX113&gt;=INDEX('Lease Cycles'!$DK$14:$DQ$14,1,BX112),IF(BX$6&gt;='Lease Cycles'!$AZ$14,'Lease Cycles'!$C$14*'Lease Cycles'!$BA$14/12,IF(BX$6&gt;='Lease Cycles'!$AX$14,'Lease Cycles'!$C$14*'Lease Cycles'!$AY$14/12,IF(BX$6&gt;='Lease Cycles'!$AV$14,'Lease Cycles'!$C$14*'Lease Cycles'!$AW$14/12,IF(BX$6&gt;='Lease Cycles'!$AT$14,'Lease Cycles'!$C$14*'Lease Cycles'!$AU$14/12,'Lease Cycles'!$C$14*INDEX('Lease Cycles'!$CB$14:$CH$14,1,BX112)*(1+INDEX('Lease Cycles'!$CI$14:$CO$14,1,BX112))^INT(INT(BX113/12)/INDEX('Lease Cycles'!$CP$14:$CV$14,1,BX112))/12)))),'Lease Cycles'!$C$14*INDEX('Lease Cycles'!$CB$14:$CH$14,1,BX112)*(1+INDEX('Lease Cycles'!$CI$14:$CO$14,1,BX112))^INT(INT(BX113/12)/INDEX('Lease Cycles'!$CP$14:$CV$14,1,BX112))/12),IF(INDEX('Lease Cycles'!$EF$14:$EL$14,1,BX112)=1,IF(AND('Lease Cycles'!$AZ$14&gt;=INDEX('Lease Cycles'!$BG$14:$BM$14,1,BX112),'Lease Cycles'!$AZ$14&lt;=BX$6),'Lease Cycles'!$C$14*'Lease Cycles'!$BA$14/12,IF(AND('Lease Cycles'!$AX$14&gt;=INDEX('Lease Cycles'!$BG$14:$BM$14,1,BX112),'Lease Cycles'!$AX$14&lt;=BX$6),'Lease Cycles'!$C$14*'Lease Cycles'!$AY$14/12,IF(AND('Lease Cycles'!$AV$14&gt;=INDEX('Lease Cycles'!$BG$14:$BM$14,1,BX112),'Lease Cycles'!$AV$14&lt;=BX$6),'Lease Cycles'!$C$14*'Lease Cycles'!$AW$14/12,IF(AND('Lease Cycles'!$AT$14&gt;=INDEX('Lease Cycles'!$BG$14:$BM$14,1,BX112),'Lease Cycles'!$AT$14&lt;=BX$6),'Lease Cycles'!$C$14*'Lease Cycles'!$AU$14/12,'Lease Cycles'!$C$14*INDEX('Lease Cycles'!$CB$14:$CH$14,1,BX112)*(1+INDEX('Lease Cycles'!$CI$14:$CO$14,1,BX112))^INT(INT(BX113/12)/INDEX('Lease Cycles'!$CP$14:$CV$14,1,BX112))/12)))),'Lease Cycles'!$C$14*INDEX('Lease Cycles'!$CB$14:$CH$14,1,BX112)*(1+INDEX('Lease Cycles'!$CI$14:$CO$14,1,BX112))^INT(INT(BX113/12)/INDEX('Lease Cycles'!$CP$14:$CV$14,1,BX112))/12))),IF('Lease Cycles'!$N$14=1,'Lease Cycles'!$C$14*'Lease Cycles'!$E$14*INDEX('Lease Cycles'!$HE$14:$HK$14,1,BX112)*(1+INDEX('Lease Cycles'!$GQ$14:$GW$14,1,BX112))^INT(INT((BX$6-INDEX('Lease Cycles'!$GJ$14:$GP$14,1,BX112))/12)/INDEX('Lease Cycles'!$GX$14:$HD$14,1,BX112))/12,0)))</f>
        <v>2453.2764605530533</v>
      </c>
      <c r="BY115" s="28">
        <f>IF(BY112=0,IF('Lease Cycles'!$F$14&gt;0,'Lease Cycles'!$C$14*'Lease Cycles'!$E$14/12,0),IF(BY114=1,IF('Lease Cycles'!$AT$14&gt;=9999,'Lease Cycles'!$C$14*INDEX('Lease Cycles'!$CB$14:$CH$14,1,BY112)*(1+INDEX('Lease Cycles'!$CI$14:$CO$14,1,BY112))^INT(INT(BY113/12)/INDEX('Lease Cycles'!$CP$14:$CV$14,1,BY112))/12,IF(BY112=1,IF(BY113&gt;=INDEX('Lease Cycles'!$DK$14:$DQ$14,1,BY112),IF(BY$6&gt;='Lease Cycles'!$AZ$14,'Lease Cycles'!$C$14*'Lease Cycles'!$BA$14/12,IF(BY$6&gt;='Lease Cycles'!$AX$14,'Lease Cycles'!$C$14*'Lease Cycles'!$AY$14/12,IF(BY$6&gt;='Lease Cycles'!$AV$14,'Lease Cycles'!$C$14*'Lease Cycles'!$AW$14/12,IF(BY$6&gt;='Lease Cycles'!$AT$14,'Lease Cycles'!$C$14*'Lease Cycles'!$AU$14/12,'Lease Cycles'!$C$14*INDEX('Lease Cycles'!$CB$14:$CH$14,1,BY112)*(1+INDEX('Lease Cycles'!$CI$14:$CO$14,1,BY112))^INT(INT(BY113/12)/INDEX('Lease Cycles'!$CP$14:$CV$14,1,BY112))/12)))),'Lease Cycles'!$C$14*INDEX('Lease Cycles'!$CB$14:$CH$14,1,BY112)*(1+INDEX('Lease Cycles'!$CI$14:$CO$14,1,BY112))^INT(INT(BY113/12)/INDEX('Lease Cycles'!$CP$14:$CV$14,1,BY112))/12),IF(INDEX('Lease Cycles'!$EF$14:$EL$14,1,BY112)=1,IF(AND('Lease Cycles'!$AZ$14&gt;=INDEX('Lease Cycles'!$BG$14:$BM$14,1,BY112),'Lease Cycles'!$AZ$14&lt;=BY$6),'Lease Cycles'!$C$14*'Lease Cycles'!$BA$14/12,IF(AND('Lease Cycles'!$AX$14&gt;=INDEX('Lease Cycles'!$BG$14:$BM$14,1,BY112),'Lease Cycles'!$AX$14&lt;=BY$6),'Lease Cycles'!$C$14*'Lease Cycles'!$AY$14/12,IF(AND('Lease Cycles'!$AV$14&gt;=INDEX('Lease Cycles'!$BG$14:$BM$14,1,BY112),'Lease Cycles'!$AV$14&lt;=BY$6),'Lease Cycles'!$C$14*'Lease Cycles'!$AW$14/12,IF(AND('Lease Cycles'!$AT$14&gt;=INDEX('Lease Cycles'!$BG$14:$BM$14,1,BY112),'Lease Cycles'!$AT$14&lt;=BY$6),'Lease Cycles'!$C$14*'Lease Cycles'!$AU$14/12,'Lease Cycles'!$C$14*INDEX('Lease Cycles'!$CB$14:$CH$14,1,BY112)*(1+INDEX('Lease Cycles'!$CI$14:$CO$14,1,BY112))^INT(INT(BY113/12)/INDEX('Lease Cycles'!$CP$14:$CV$14,1,BY112))/12)))),'Lease Cycles'!$C$14*INDEX('Lease Cycles'!$CB$14:$CH$14,1,BY112)*(1+INDEX('Lease Cycles'!$CI$14:$CO$14,1,BY112))^INT(INT(BY113/12)/INDEX('Lease Cycles'!$CP$14:$CV$14,1,BY112))/12))),IF('Lease Cycles'!$N$14=1,'Lease Cycles'!$C$14*'Lease Cycles'!$E$14*INDEX('Lease Cycles'!$HE$14:$HK$14,1,BY112)*(1+INDEX('Lease Cycles'!$GQ$14:$GW$14,1,BY112))^INT(INT((BY$6-INDEX('Lease Cycles'!$GJ$14:$GP$14,1,BY112))/12)/INDEX('Lease Cycles'!$GX$14:$HD$14,1,BY112))/12,0)))</f>
        <v>2453.2764605530533</v>
      </c>
      <c r="BZ115" s="28">
        <f>IF(BZ112=0,IF('Lease Cycles'!$F$14&gt;0,'Lease Cycles'!$C$14*'Lease Cycles'!$E$14/12,0),IF(BZ114=1,IF('Lease Cycles'!$AT$14&gt;=9999,'Lease Cycles'!$C$14*INDEX('Lease Cycles'!$CB$14:$CH$14,1,BZ112)*(1+INDEX('Lease Cycles'!$CI$14:$CO$14,1,BZ112))^INT(INT(BZ113/12)/INDEX('Lease Cycles'!$CP$14:$CV$14,1,BZ112))/12,IF(BZ112=1,IF(BZ113&gt;=INDEX('Lease Cycles'!$DK$14:$DQ$14,1,BZ112),IF(BZ$6&gt;='Lease Cycles'!$AZ$14,'Lease Cycles'!$C$14*'Lease Cycles'!$BA$14/12,IF(BZ$6&gt;='Lease Cycles'!$AX$14,'Lease Cycles'!$C$14*'Lease Cycles'!$AY$14/12,IF(BZ$6&gt;='Lease Cycles'!$AV$14,'Lease Cycles'!$C$14*'Lease Cycles'!$AW$14/12,IF(BZ$6&gt;='Lease Cycles'!$AT$14,'Lease Cycles'!$C$14*'Lease Cycles'!$AU$14/12,'Lease Cycles'!$C$14*INDEX('Lease Cycles'!$CB$14:$CH$14,1,BZ112)*(1+INDEX('Lease Cycles'!$CI$14:$CO$14,1,BZ112))^INT(INT(BZ113/12)/INDEX('Lease Cycles'!$CP$14:$CV$14,1,BZ112))/12)))),'Lease Cycles'!$C$14*INDEX('Lease Cycles'!$CB$14:$CH$14,1,BZ112)*(1+INDEX('Lease Cycles'!$CI$14:$CO$14,1,BZ112))^INT(INT(BZ113/12)/INDEX('Lease Cycles'!$CP$14:$CV$14,1,BZ112))/12),IF(INDEX('Lease Cycles'!$EF$14:$EL$14,1,BZ112)=1,IF(AND('Lease Cycles'!$AZ$14&gt;=INDEX('Lease Cycles'!$BG$14:$BM$14,1,BZ112),'Lease Cycles'!$AZ$14&lt;=BZ$6),'Lease Cycles'!$C$14*'Lease Cycles'!$BA$14/12,IF(AND('Lease Cycles'!$AX$14&gt;=INDEX('Lease Cycles'!$BG$14:$BM$14,1,BZ112),'Lease Cycles'!$AX$14&lt;=BZ$6),'Lease Cycles'!$C$14*'Lease Cycles'!$AY$14/12,IF(AND('Lease Cycles'!$AV$14&gt;=INDEX('Lease Cycles'!$BG$14:$BM$14,1,BZ112),'Lease Cycles'!$AV$14&lt;=BZ$6),'Lease Cycles'!$C$14*'Lease Cycles'!$AW$14/12,IF(AND('Lease Cycles'!$AT$14&gt;=INDEX('Lease Cycles'!$BG$14:$BM$14,1,BZ112),'Lease Cycles'!$AT$14&lt;=BZ$6),'Lease Cycles'!$C$14*'Lease Cycles'!$AU$14/12,'Lease Cycles'!$C$14*INDEX('Lease Cycles'!$CB$14:$CH$14,1,BZ112)*(1+INDEX('Lease Cycles'!$CI$14:$CO$14,1,BZ112))^INT(INT(BZ113/12)/INDEX('Lease Cycles'!$CP$14:$CV$14,1,BZ112))/12)))),'Lease Cycles'!$C$14*INDEX('Lease Cycles'!$CB$14:$CH$14,1,BZ112)*(1+INDEX('Lease Cycles'!$CI$14:$CO$14,1,BZ112))^INT(INT(BZ113/12)/INDEX('Lease Cycles'!$CP$14:$CV$14,1,BZ112))/12))),IF('Lease Cycles'!$N$14=1,'Lease Cycles'!$C$14*'Lease Cycles'!$E$14*INDEX('Lease Cycles'!$HE$14:$HK$14,1,BZ112)*(1+INDEX('Lease Cycles'!$GQ$14:$GW$14,1,BZ112))^INT(INT((BZ$6-INDEX('Lease Cycles'!$GJ$14:$GP$14,1,BZ112))/12)/INDEX('Lease Cycles'!$GX$14:$HD$14,1,BZ112))/12,0)))</f>
        <v>2453.2764605530533</v>
      </c>
      <c r="CA115" s="28">
        <f>IF(CA112=0,IF('Lease Cycles'!$F$14&gt;0,'Lease Cycles'!$C$14*'Lease Cycles'!$E$14/12,0),IF(CA114=1,IF('Lease Cycles'!$AT$14&gt;=9999,'Lease Cycles'!$C$14*INDEX('Lease Cycles'!$CB$14:$CH$14,1,CA112)*(1+INDEX('Lease Cycles'!$CI$14:$CO$14,1,CA112))^INT(INT(CA113/12)/INDEX('Lease Cycles'!$CP$14:$CV$14,1,CA112))/12,IF(CA112=1,IF(CA113&gt;=INDEX('Lease Cycles'!$DK$14:$DQ$14,1,CA112),IF(CA$6&gt;='Lease Cycles'!$AZ$14,'Lease Cycles'!$C$14*'Lease Cycles'!$BA$14/12,IF(CA$6&gt;='Lease Cycles'!$AX$14,'Lease Cycles'!$C$14*'Lease Cycles'!$AY$14/12,IF(CA$6&gt;='Lease Cycles'!$AV$14,'Lease Cycles'!$C$14*'Lease Cycles'!$AW$14/12,IF(CA$6&gt;='Lease Cycles'!$AT$14,'Lease Cycles'!$C$14*'Lease Cycles'!$AU$14/12,'Lease Cycles'!$C$14*INDEX('Lease Cycles'!$CB$14:$CH$14,1,CA112)*(1+INDEX('Lease Cycles'!$CI$14:$CO$14,1,CA112))^INT(INT(CA113/12)/INDEX('Lease Cycles'!$CP$14:$CV$14,1,CA112))/12)))),'Lease Cycles'!$C$14*INDEX('Lease Cycles'!$CB$14:$CH$14,1,CA112)*(1+INDEX('Lease Cycles'!$CI$14:$CO$14,1,CA112))^INT(INT(CA113/12)/INDEX('Lease Cycles'!$CP$14:$CV$14,1,CA112))/12),IF(INDEX('Lease Cycles'!$EF$14:$EL$14,1,CA112)=1,IF(AND('Lease Cycles'!$AZ$14&gt;=INDEX('Lease Cycles'!$BG$14:$BM$14,1,CA112),'Lease Cycles'!$AZ$14&lt;=CA$6),'Lease Cycles'!$C$14*'Lease Cycles'!$BA$14/12,IF(AND('Lease Cycles'!$AX$14&gt;=INDEX('Lease Cycles'!$BG$14:$BM$14,1,CA112),'Lease Cycles'!$AX$14&lt;=CA$6),'Lease Cycles'!$C$14*'Lease Cycles'!$AY$14/12,IF(AND('Lease Cycles'!$AV$14&gt;=INDEX('Lease Cycles'!$BG$14:$BM$14,1,CA112),'Lease Cycles'!$AV$14&lt;=CA$6),'Lease Cycles'!$C$14*'Lease Cycles'!$AW$14/12,IF(AND('Lease Cycles'!$AT$14&gt;=INDEX('Lease Cycles'!$BG$14:$BM$14,1,CA112),'Lease Cycles'!$AT$14&lt;=CA$6),'Lease Cycles'!$C$14*'Lease Cycles'!$AU$14/12,'Lease Cycles'!$C$14*INDEX('Lease Cycles'!$CB$14:$CH$14,1,CA112)*(1+INDEX('Lease Cycles'!$CI$14:$CO$14,1,CA112))^INT(INT(CA113/12)/INDEX('Lease Cycles'!$CP$14:$CV$14,1,CA112))/12)))),'Lease Cycles'!$C$14*INDEX('Lease Cycles'!$CB$14:$CH$14,1,CA112)*(1+INDEX('Lease Cycles'!$CI$14:$CO$14,1,CA112))^INT(INT(CA113/12)/INDEX('Lease Cycles'!$CP$14:$CV$14,1,CA112))/12))),IF('Lease Cycles'!$N$14=1,'Lease Cycles'!$C$14*'Lease Cycles'!$E$14*INDEX('Lease Cycles'!$HE$14:$HK$14,1,CA112)*(1+INDEX('Lease Cycles'!$GQ$14:$GW$14,1,CA112))^INT(INT((CA$6-INDEX('Lease Cycles'!$GJ$14:$GP$14,1,CA112))/12)/INDEX('Lease Cycles'!$GX$14:$HD$14,1,CA112))/12,0)))</f>
        <v>2453.2764605530533</v>
      </c>
      <c r="CB115" s="28">
        <f>IF(CB112=0,IF('Lease Cycles'!$F$14&gt;0,'Lease Cycles'!$C$14*'Lease Cycles'!$E$14/12,0),IF(CB114=1,IF('Lease Cycles'!$AT$14&gt;=9999,'Lease Cycles'!$C$14*INDEX('Lease Cycles'!$CB$14:$CH$14,1,CB112)*(1+INDEX('Lease Cycles'!$CI$14:$CO$14,1,CB112))^INT(INT(CB113/12)/INDEX('Lease Cycles'!$CP$14:$CV$14,1,CB112))/12,IF(CB112=1,IF(CB113&gt;=INDEX('Lease Cycles'!$DK$14:$DQ$14,1,CB112),IF(CB$6&gt;='Lease Cycles'!$AZ$14,'Lease Cycles'!$C$14*'Lease Cycles'!$BA$14/12,IF(CB$6&gt;='Lease Cycles'!$AX$14,'Lease Cycles'!$C$14*'Lease Cycles'!$AY$14/12,IF(CB$6&gt;='Lease Cycles'!$AV$14,'Lease Cycles'!$C$14*'Lease Cycles'!$AW$14/12,IF(CB$6&gt;='Lease Cycles'!$AT$14,'Lease Cycles'!$C$14*'Lease Cycles'!$AU$14/12,'Lease Cycles'!$C$14*INDEX('Lease Cycles'!$CB$14:$CH$14,1,CB112)*(1+INDEX('Lease Cycles'!$CI$14:$CO$14,1,CB112))^INT(INT(CB113/12)/INDEX('Lease Cycles'!$CP$14:$CV$14,1,CB112))/12)))),'Lease Cycles'!$C$14*INDEX('Lease Cycles'!$CB$14:$CH$14,1,CB112)*(1+INDEX('Lease Cycles'!$CI$14:$CO$14,1,CB112))^INT(INT(CB113/12)/INDEX('Lease Cycles'!$CP$14:$CV$14,1,CB112))/12),IF(INDEX('Lease Cycles'!$EF$14:$EL$14,1,CB112)=1,IF(AND('Lease Cycles'!$AZ$14&gt;=INDEX('Lease Cycles'!$BG$14:$BM$14,1,CB112),'Lease Cycles'!$AZ$14&lt;=CB$6),'Lease Cycles'!$C$14*'Lease Cycles'!$BA$14/12,IF(AND('Lease Cycles'!$AX$14&gt;=INDEX('Lease Cycles'!$BG$14:$BM$14,1,CB112),'Lease Cycles'!$AX$14&lt;=CB$6),'Lease Cycles'!$C$14*'Lease Cycles'!$AY$14/12,IF(AND('Lease Cycles'!$AV$14&gt;=INDEX('Lease Cycles'!$BG$14:$BM$14,1,CB112),'Lease Cycles'!$AV$14&lt;=CB$6),'Lease Cycles'!$C$14*'Lease Cycles'!$AW$14/12,IF(AND('Lease Cycles'!$AT$14&gt;=INDEX('Lease Cycles'!$BG$14:$BM$14,1,CB112),'Lease Cycles'!$AT$14&lt;=CB$6),'Lease Cycles'!$C$14*'Lease Cycles'!$AU$14/12,'Lease Cycles'!$C$14*INDEX('Lease Cycles'!$CB$14:$CH$14,1,CB112)*(1+INDEX('Lease Cycles'!$CI$14:$CO$14,1,CB112))^INT(INT(CB113/12)/INDEX('Lease Cycles'!$CP$14:$CV$14,1,CB112))/12)))),'Lease Cycles'!$C$14*INDEX('Lease Cycles'!$CB$14:$CH$14,1,CB112)*(1+INDEX('Lease Cycles'!$CI$14:$CO$14,1,CB112))^INT(INT(CB113/12)/INDEX('Lease Cycles'!$CP$14:$CV$14,1,CB112))/12))),IF('Lease Cycles'!$N$14=1,'Lease Cycles'!$C$14*'Lease Cycles'!$E$14*INDEX('Lease Cycles'!$HE$14:$HK$14,1,CB112)*(1+INDEX('Lease Cycles'!$GQ$14:$GW$14,1,CB112))^INT(INT((CB$6-INDEX('Lease Cycles'!$GJ$14:$GP$14,1,CB112))/12)/INDEX('Lease Cycles'!$GX$14:$HD$14,1,CB112))/12,0)))</f>
        <v>2453.2764605530533</v>
      </c>
      <c r="CC115" s="28">
        <f>IF(CC112=0,IF('Lease Cycles'!$F$14&gt;0,'Lease Cycles'!$C$14*'Lease Cycles'!$E$14/12,0),IF(CC114=1,IF('Lease Cycles'!$AT$14&gt;=9999,'Lease Cycles'!$C$14*INDEX('Lease Cycles'!$CB$14:$CH$14,1,CC112)*(1+INDEX('Lease Cycles'!$CI$14:$CO$14,1,CC112))^INT(INT(CC113/12)/INDEX('Lease Cycles'!$CP$14:$CV$14,1,CC112))/12,IF(CC112=1,IF(CC113&gt;=INDEX('Lease Cycles'!$DK$14:$DQ$14,1,CC112),IF(CC$6&gt;='Lease Cycles'!$AZ$14,'Lease Cycles'!$C$14*'Lease Cycles'!$BA$14/12,IF(CC$6&gt;='Lease Cycles'!$AX$14,'Lease Cycles'!$C$14*'Lease Cycles'!$AY$14/12,IF(CC$6&gt;='Lease Cycles'!$AV$14,'Lease Cycles'!$C$14*'Lease Cycles'!$AW$14/12,IF(CC$6&gt;='Lease Cycles'!$AT$14,'Lease Cycles'!$C$14*'Lease Cycles'!$AU$14/12,'Lease Cycles'!$C$14*INDEX('Lease Cycles'!$CB$14:$CH$14,1,CC112)*(1+INDEX('Lease Cycles'!$CI$14:$CO$14,1,CC112))^INT(INT(CC113/12)/INDEX('Lease Cycles'!$CP$14:$CV$14,1,CC112))/12)))),'Lease Cycles'!$C$14*INDEX('Lease Cycles'!$CB$14:$CH$14,1,CC112)*(1+INDEX('Lease Cycles'!$CI$14:$CO$14,1,CC112))^INT(INT(CC113/12)/INDEX('Lease Cycles'!$CP$14:$CV$14,1,CC112))/12),IF(INDEX('Lease Cycles'!$EF$14:$EL$14,1,CC112)=1,IF(AND('Lease Cycles'!$AZ$14&gt;=INDEX('Lease Cycles'!$BG$14:$BM$14,1,CC112),'Lease Cycles'!$AZ$14&lt;=CC$6),'Lease Cycles'!$C$14*'Lease Cycles'!$BA$14/12,IF(AND('Lease Cycles'!$AX$14&gt;=INDEX('Lease Cycles'!$BG$14:$BM$14,1,CC112),'Lease Cycles'!$AX$14&lt;=CC$6),'Lease Cycles'!$C$14*'Lease Cycles'!$AY$14/12,IF(AND('Lease Cycles'!$AV$14&gt;=INDEX('Lease Cycles'!$BG$14:$BM$14,1,CC112),'Lease Cycles'!$AV$14&lt;=CC$6),'Lease Cycles'!$C$14*'Lease Cycles'!$AW$14/12,IF(AND('Lease Cycles'!$AT$14&gt;=INDEX('Lease Cycles'!$BG$14:$BM$14,1,CC112),'Lease Cycles'!$AT$14&lt;=CC$6),'Lease Cycles'!$C$14*'Lease Cycles'!$AU$14/12,'Lease Cycles'!$C$14*INDEX('Lease Cycles'!$CB$14:$CH$14,1,CC112)*(1+INDEX('Lease Cycles'!$CI$14:$CO$14,1,CC112))^INT(INT(CC113/12)/INDEX('Lease Cycles'!$CP$14:$CV$14,1,CC112))/12)))),'Lease Cycles'!$C$14*INDEX('Lease Cycles'!$CB$14:$CH$14,1,CC112)*(1+INDEX('Lease Cycles'!$CI$14:$CO$14,1,CC112))^INT(INT(CC113/12)/INDEX('Lease Cycles'!$CP$14:$CV$14,1,CC112))/12))),IF('Lease Cycles'!$N$14=1,'Lease Cycles'!$C$14*'Lease Cycles'!$E$14*INDEX('Lease Cycles'!$HE$14:$HK$14,1,CC112)*(1+INDEX('Lease Cycles'!$GQ$14:$GW$14,1,CC112))^INT(INT((CC$6-INDEX('Lease Cycles'!$GJ$14:$GP$14,1,CC112))/12)/INDEX('Lease Cycles'!$GX$14:$HD$14,1,CC112))/12,0)))</f>
        <v>2453.2764605530533</v>
      </c>
      <c r="CD115" s="28">
        <f>IF(CD112=0,IF('Lease Cycles'!$F$14&gt;0,'Lease Cycles'!$C$14*'Lease Cycles'!$E$14/12,0),IF(CD114=1,IF('Lease Cycles'!$AT$14&gt;=9999,'Lease Cycles'!$C$14*INDEX('Lease Cycles'!$CB$14:$CH$14,1,CD112)*(1+INDEX('Lease Cycles'!$CI$14:$CO$14,1,CD112))^INT(INT(CD113/12)/INDEX('Lease Cycles'!$CP$14:$CV$14,1,CD112))/12,IF(CD112=1,IF(CD113&gt;=INDEX('Lease Cycles'!$DK$14:$DQ$14,1,CD112),IF(CD$6&gt;='Lease Cycles'!$AZ$14,'Lease Cycles'!$C$14*'Lease Cycles'!$BA$14/12,IF(CD$6&gt;='Lease Cycles'!$AX$14,'Lease Cycles'!$C$14*'Lease Cycles'!$AY$14/12,IF(CD$6&gt;='Lease Cycles'!$AV$14,'Lease Cycles'!$C$14*'Lease Cycles'!$AW$14/12,IF(CD$6&gt;='Lease Cycles'!$AT$14,'Lease Cycles'!$C$14*'Lease Cycles'!$AU$14/12,'Lease Cycles'!$C$14*INDEX('Lease Cycles'!$CB$14:$CH$14,1,CD112)*(1+INDEX('Lease Cycles'!$CI$14:$CO$14,1,CD112))^INT(INT(CD113/12)/INDEX('Lease Cycles'!$CP$14:$CV$14,1,CD112))/12)))),'Lease Cycles'!$C$14*INDEX('Lease Cycles'!$CB$14:$CH$14,1,CD112)*(1+INDEX('Lease Cycles'!$CI$14:$CO$14,1,CD112))^INT(INT(CD113/12)/INDEX('Lease Cycles'!$CP$14:$CV$14,1,CD112))/12),IF(INDEX('Lease Cycles'!$EF$14:$EL$14,1,CD112)=1,IF(AND('Lease Cycles'!$AZ$14&gt;=INDEX('Lease Cycles'!$BG$14:$BM$14,1,CD112),'Lease Cycles'!$AZ$14&lt;=CD$6),'Lease Cycles'!$C$14*'Lease Cycles'!$BA$14/12,IF(AND('Lease Cycles'!$AX$14&gt;=INDEX('Lease Cycles'!$BG$14:$BM$14,1,CD112),'Lease Cycles'!$AX$14&lt;=CD$6),'Lease Cycles'!$C$14*'Lease Cycles'!$AY$14/12,IF(AND('Lease Cycles'!$AV$14&gt;=INDEX('Lease Cycles'!$BG$14:$BM$14,1,CD112),'Lease Cycles'!$AV$14&lt;=CD$6),'Lease Cycles'!$C$14*'Lease Cycles'!$AW$14/12,IF(AND('Lease Cycles'!$AT$14&gt;=INDEX('Lease Cycles'!$BG$14:$BM$14,1,CD112),'Lease Cycles'!$AT$14&lt;=CD$6),'Lease Cycles'!$C$14*'Lease Cycles'!$AU$14/12,'Lease Cycles'!$C$14*INDEX('Lease Cycles'!$CB$14:$CH$14,1,CD112)*(1+INDEX('Lease Cycles'!$CI$14:$CO$14,1,CD112))^INT(INT(CD113/12)/INDEX('Lease Cycles'!$CP$14:$CV$14,1,CD112))/12)))),'Lease Cycles'!$C$14*INDEX('Lease Cycles'!$CB$14:$CH$14,1,CD112)*(1+INDEX('Lease Cycles'!$CI$14:$CO$14,1,CD112))^INT(INT(CD113/12)/INDEX('Lease Cycles'!$CP$14:$CV$14,1,CD112))/12))),IF('Lease Cycles'!$N$14=1,'Lease Cycles'!$C$14*'Lease Cycles'!$E$14*INDEX('Lease Cycles'!$HE$14:$HK$14,1,CD112)*(1+INDEX('Lease Cycles'!$GQ$14:$GW$14,1,CD112))^INT(INT((CD$6-INDEX('Lease Cycles'!$GJ$14:$GP$14,1,CD112))/12)/INDEX('Lease Cycles'!$GX$14:$HD$14,1,CD112))/12,0)))</f>
        <v>2453.2764605530533</v>
      </c>
      <c r="CE115" s="28">
        <f>IF(CE112=0,IF('Lease Cycles'!$F$14&gt;0,'Lease Cycles'!$C$14*'Lease Cycles'!$E$14/12,0),IF(CE114=1,IF('Lease Cycles'!$AT$14&gt;=9999,'Lease Cycles'!$C$14*INDEX('Lease Cycles'!$CB$14:$CH$14,1,CE112)*(1+INDEX('Lease Cycles'!$CI$14:$CO$14,1,CE112))^INT(INT(CE113/12)/INDEX('Lease Cycles'!$CP$14:$CV$14,1,CE112))/12,IF(CE112=1,IF(CE113&gt;=INDEX('Lease Cycles'!$DK$14:$DQ$14,1,CE112),IF(CE$6&gt;='Lease Cycles'!$AZ$14,'Lease Cycles'!$C$14*'Lease Cycles'!$BA$14/12,IF(CE$6&gt;='Lease Cycles'!$AX$14,'Lease Cycles'!$C$14*'Lease Cycles'!$AY$14/12,IF(CE$6&gt;='Lease Cycles'!$AV$14,'Lease Cycles'!$C$14*'Lease Cycles'!$AW$14/12,IF(CE$6&gt;='Lease Cycles'!$AT$14,'Lease Cycles'!$C$14*'Lease Cycles'!$AU$14/12,'Lease Cycles'!$C$14*INDEX('Lease Cycles'!$CB$14:$CH$14,1,CE112)*(1+INDEX('Lease Cycles'!$CI$14:$CO$14,1,CE112))^INT(INT(CE113/12)/INDEX('Lease Cycles'!$CP$14:$CV$14,1,CE112))/12)))),'Lease Cycles'!$C$14*INDEX('Lease Cycles'!$CB$14:$CH$14,1,CE112)*(1+INDEX('Lease Cycles'!$CI$14:$CO$14,1,CE112))^INT(INT(CE113/12)/INDEX('Lease Cycles'!$CP$14:$CV$14,1,CE112))/12),IF(INDEX('Lease Cycles'!$EF$14:$EL$14,1,CE112)=1,IF(AND('Lease Cycles'!$AZ$14&gt;=INDEX('Lease Cycles'!$BG$14:$BM$14,1,CE112),'Lease Cycles'!$AZ$14&lt;=CE$6),'Lease Cycles'!$C$14*'Lease Cycles'!$BA$14/12,IF(AND('Lease Cycles'!$AX$14&gt;=INDEX('Lease Cycles'!$BG$14:$BM$14,1,CE112),'Lease Cycles'!$AX$14&lt;=CE$6),'Lease Cycles'!$C$14*'Lease Cycles'!$AY$14/12,IF(AND('Lease Cycles'!$AV$14&gt;=INDEX('Lease Cycles'!$BG$14:$BM$14,1,CE112),'Lease Cycles'!$AV$14&lt;=CE$6),'Lease Cycles'!$C$14*'Lease Cycles'!$AW$14/12,IF(AND('Lease Cycles'!$AT$14&gt;=INDEX('Lease Cycles'!$BG$14:$BM$14,1,CE112),'Lease Cycles'!$AT$14&lt;=CE$6),'Lease Cycles'!$C$14*'Lease Cycles'!$AU$14/12,'Lease Cycles'!$C$14*INDEX('Lease Cycles'!$CB$14:$CH$14,1,CE112)*(1+INDEX('Lease Cycles'!$CI$14:$CO$14,1,CE112))^INT(INT(CE113/12)/INDEX('Lease Cycles'!$CP$14:$CV$14,1,CE112))/12)))),'Lease Cycles'!$C$14*INDEX('Lease Cycles'!$CB$14:$CH$14,1,CE112)*(1+INDEX('Lease Cycles'!$CI$14:$CO$14,1,CE112))^INT(INT(CE113/12)/INDEX('Lease Cycles'!$CP$14:$CV$14,1,CE112))/12))),IF('Lease Cycles'!$N$14=1,'Lease Cycles'!$C$14*'Lease Cycles'!$E$14*INDEX('Lease Cycles'!$HE$14:$HK$14,1,CE112)*(1+INDEX('Lease Cycles'!$GQ$14:$GW$14,1,CE112))^INT(INT((CE$6-INDEX('Lease Cycles'!$GJ$14:$GP$14,1,CE112))/12)/INDEX('Lease Cycles'!$GX$14:$HD$14,1,CE112))/12,0)))</f>
        <v>2526.8747543696454</v>
      </c>
      <c r="CF115" s="28">
        <f>IF(CF112=0,IF('Lease Cycles'!$F$14&gt;0,'Lease Cycles'!$C$14*'Lease Cycles'!$E$14/12,0),IF(CF114=1,IF('Lease Cycles'!$AT$14&gt;=9999,'Lease Cycles'!$C$14*INDEX('Lease Cycles'!$CB$14:$CH$14,1,CF112)*(1+INDEX('Lease Cycles'!$CI$14:$CO$14,1,CF112))^INT(INT(CF113/12)/INDEX('Lease Cycles'!$CP$14:$CV$14,1,CF112))/12,IF(CF112=1,IF(CF113&gt;=INDEX('Lease Cycles'!$DK$14:$DQ$14,1,CF112),IF(CF$6&gt;='Lease Cycles'!$AZ$14,'Lease Cycles'!$C$14*'Lease Cycles'!$BA$14/12,IF(CF$6&gt;='Lease Cycles'!$AX$14,'Lease Cycles'!$C$14*'Lease Cycles'!$AY$14/12,IF(CF$6&gt;='Lease Cycles'!$AV$14,'Lease Cycles'!$C$14*'Lease Cycles'!$AW$14/12,IF(CF$6&gt;='Lease Cycles'!$AT$14,'Lease Cycles'!$C$14*'Lease Cycles'!$AU$14/12,'Lease Cycles'!$C$14*INDEX('Lease Cycles'!$CB$14:$CH$14,1,CF112)*(1+INDEX('Lease Cycles'!$CI$14:$CO$14,1,CF112))^INT(INT(CF113/12)/INDEX('Lease Cycles'!$CP$14:$CV$14,1,CF112))/12)))),'Lease Cycles'!$C$14*INDEX('Lease Cycles'!$CB$14:$CH$14,1,CF112)*(1+INDEX('Lease Cycles'!$CI$14:$CO$14,1,CF112))^INT(INT(CF113/12)/INDEX('Lease Cycles'!$CP$14:$CV$14,1,CF112))/12),IF(INDEX('Lease Cycles'!$EF$14:$EL$14,1,CF112)=1,IF(AND('Lease Cycles'!$AZ$14&gt;=INDEX('Lease Cycles'!$BG$14:$BM$14,1,CF112),'Lease Cycles'!$AZ$14&lt;=CF$6),'Lease Cycles'!$C$14*'Lease Cycles'!$BA$14/12,IF(AND('Lease Cycles'!$AX$14&gt;=INDEX('Lease Cycles'!$BG$14:$BM$14,1,CF112),'Lease Cycles'!$AX$14&lt;=CF$6),'Lease Cycles'!$C$14*'Lease Cycles'!$AY$14/12,IF(AND('Lease Cycles'!$AV$14&gt;=INDEX('Lease Cycles'!$BG$14:$BM$14,1,CF112),'Lease Cycles'!$AV$14&lt;=CF$6),'Lease Cycles'!$C$14*'Lease Cycles'!$AW$14/12,IF(AND('Lease Cycles'!$AT$14&gt;=INDEX('Lease Cycles'!$BG$14:$BM$14,1,CF112),'Lease Cycles'!$AT$14&lt;=CF$6),'Lease Cycles'!$C$14*'Lease Cycles'!$AU$14/12,'Lease Cycles'!$C$14*INDEX('Lease Cycles'!$CB$14:$CH$14,1,CF112)*(1+INDEX('Lease Cycles'!$CI$14:$CO$14,1,CF112))^INT(INT(CF113/12)/INDEX('Lease Cycles'!$CP$14:$CV$14,1,CF112))/12)))),'Lease Cycles'!$C$14*INDEX('Lease Cycles'!$CB$14:$CH$14,1,CF112)*(1+INDEX('Lease Cycles'!$CI$14:$CO$14,1,CF112))^INT(INT(CF113/12)/INDEX('Lease Cycles'!$CP$14:$CV$14,1,CF112))/12))),IF('Lease Cycles'!$N$14=1,'Lease Cycles'!$C$14*'Lease Cycles'!$E$14*INDEX('Lease Cycles'!$HE$14:$HK$14,1,CF112)*(1+INDEX('Lease Cycles'!$GQ$14:$GW$14,1,CF112))^INT(INT((CF$6-INDEX('Lease Cycles'!$GJ$14:$GP$14,1,CF112))/12)/INDEX('Lease Cycles'!$GX$14:$HD$14,1,CF112))/12,0)))</f>
        <v>2526.8747543696454</v>
      </c>
      <c r="CG115" s="28">
        <f>IF(CG112=0,IF('Lease Cycles'!$F$14&gt;0,'Lease Cycles'!$C$14*'Lease Cycles'!$E$14/12,0),IF(CG114=1,IF('Lease Cycles'!$AT$14&gt;=9999,'Lease Cycles'!$C$14*INDEX('Lease Cycles'!$CB$14:$CH$14,1,CG112)*(1+INDEX('Lease Cycles'!$CI$14:$CO$14,1,CG112))^INT(INT(CG113/12)/INDEX('Lease Cycles'!$CP$14:$CV$14,1,CG112))/12,IF(CG112=1,IF(CG113&gt;=INDEX('Lease Cycles'!$DK$14:$DQ$14,1,CG112),IF(CG$6&gt;='Lease Cycles'!$AZ$14,'Lease Cycles'!$C$14*'Lease Cycles'!$BA$14/12,IF(CG$6&gt;='Lease Cycles'!$AX$14,'Lease Cycles'!$C$14*'Lease Cycles'!$AY$14/12,IF(CG$6&gt;='Lease Cycles'!$AV$14,'Lease Cycles'!$C$14*'Lease Cycles'!$AW$14/12,IF(CG$6&gt;='Lease Cycles'!$AT$14,'Lease Cycles'!$C$14*'Lease Cycles'!$AU$14/12,'Lease Cycles'!$C$14*INDEX('Lease Cycles'!$CB$14:$CH$14,1,CG112)*(1+INDEX('Lease Cycles'!$CI$14:$CO$14,1,CG112))^INT(INT(CG113/12)/INDEX('Lease Cycles'!$CP$14:$CV$14,1,CG112))/12)))),'Lease Cycles'!$C$14*INDEX('Lease Cycles'!$CB$14:$CH$14,1,CG112)*(1+INDEX('Lease Cycles'!$CI$14:$CO$14,1,CG112))^INT(INT(CG113/12)/INDEX('Lease Cycles'!$CP$14:$CV$14,1,CG112))/12),IF(INDEX('Lease Cycles'!$EF$14:$EL$14,1,CG112)=1,IF(AND('Lease Cycles'!$AZ$14&gt;=INDEX('Lease Cycles'!$BG$14:$BM$14,1,CG112),'Lease Cycles'!$AZ$14&lt;=CG$6),'Lease Cycles'!$C$14*'Lease Cycles'!$BA$14/12,IF(AND('Lease Cycles'!$AX$14&gt;=INDEX('Lease Cycles'!$BG$14:$BM$14,1,CG112),'Lease Cycles'!$AX$14&lt;=CG$6),'Lease Cycles'!$C$14*'Lease Cycles'!$AY$14/12,IF(AND('Lease Cycles'!$AV$14&gt;=INDEX('Lease Cycles'!$BG$14:$BM$14,1,CG112),'Lease Cycles'!$AV$14&lt;=CG$6),'Lease Cycles'!$C$14*'Lease Cycles'!$AW$14/12,IF(AND('Lease Cycles'!$AT$14&gt;=INDEX('Lease Cycles'!$BG$14:$BM$14,1,CG112),'Lease Cycles'!$AT$14&lt;=CG$6),'Lease Cycles'!$C$14*'Lease Cycles'!$AU$14/12,'Lease Cycles'!$C$14*INDEX('Lease Cycles'!$CB$14:$CH$14,1,CG112)*(1+INDEX('Lease Cycles'!$CI$14:$CO$14,1,CG112))^INT(INT(CG113/12)/INDEX('Lease Cycles'!$CP$14:$CV$14,1,CG112))/12)))),'Lease Cycles'!$C$14*INDEX('Lease Cycles'!$CB$14:$CH$14,1,CG112)*(1+INDEX('Lease Cycles'!$CI$14:$CO$14,1,CG112))^INT(INT(CG113/12)/INDEX('Lease Cycles'!$CP$14:$CV$14,1,CG112))/12))),IF('Lease Cycles'!$N$14=1,'Lease Cycles'!$C$14*'Lease Cycles'!$E$14*INDEX('Lease Cycles'!$HE$14:$HK$14,1,CG112)*(1+INDEX('Lease Cycles'!$GQ$14:$GW$14,1,CG112))^INT(INT((CG$6-INDEX('Lease Cycles'!$GJ$14:$GP$14,1,CG112))/12)/INDEX('Lease Cycles'!$GX$14:$HD$14,1,CG112))/12,0)))</f>
        <v>2526.8747543696454</v>
      </c>
      <c r="CH115" s="28">
        <f>IF(CH112=0,IF('Lease Cycles'!$F$14&gt;0,'Lease Cycles'!$C$14*'Lease Cycles'!$E$14/12,0),IF(CH114=1,IF('Lease Cycles'!$AT$14&gt;=9999,'Lease Cycles'!$C$14*INDEX('Lease Cycles'!$CB$14:$CH$14,1,CH112)*(1+INDEX('Lease Cycles'!$CI$14:$CO$14,1,CH112))^INT(INT(CH113/12)/INDEX('Lease Cycles'!$CP$14:$CV$14,1,CH112))/12,IF(CH112=1,IF(CH113&gt;=INDEX('Lease Cycles'!$DK$14:$DQ$14,1,CH112),IF(CH$6&gt;='Lease Cycles'!$AZ$14,'Lease Cycles'!$C$14*'Lease Cycles'!$BA$14/12,IF(CH$6&gt;='Lease Cycles'!$AX$14,'Lease Cycles'!$C$14*'Lease Cycles'!$AY$14/12,IF(CH$6&gt;='Lease Cycles'!$AV$14,'Lease Cycles'!$C$14*'Lease Cycles'!$AW$14/12,IF(CH$6&gt;='Lease Cycles'!$AT$14,'Lease Cycles'!$C$14*'Lease Cycles'!$AU$14/12,'Lease Cycles'!$C$14*INDEX('Lease Cycles'!$CB$14:$CH$14,1,CH112)*(1+INDEX('Lease Cycles'!$CI$14:$CO$14,1,CH112))^INT(INT(CH113/12)/INDEX('Lease Cycles'!$CP$14:$CV$14,1,CH112))/12)))),'Lease Cycles'!$C$14*INDEX('Lease Cycles'!$CB$14:$CH$14,1,CH112)*(1+INDEX('Lease Cycles'!$CI$14:$CO$14,1,CH112))^INT(INT(CH113/12)/INDEX('Lease Cycles'!$CP$14:$CV$14,1,CH112))/12),IF(INDEX('Lease Cycles'!$EF$14:$EL$14,1,CH112)=1,IF(AND('Lease Cycles'!$AZ$14&gt;=INDEX('Lease Cycles'!$BG$14:$BM$14,1,CH112),'Lease Cycles'!$AZ$14&lt;=CH$6),'Lease Cycles'!$C$14*'Lease Cycles'!$BA$14/12,IF(AND('Lease Cycles'!$AX$14&gt;=INDEX('Lease Cycles'!$BG$14:$BM$14,1,CH112),'Lease Cycles'!$AX$14&lt;=CH$6),'Lease Cycles'!$C$14*'Lease Cycles'!$AY$14/12,IF(AND('Lease Cycles'!$AV$14&gt;=INDEX('Lease Cycles'!$BG$14:$BM$14,1,CH112),'Lease Cycles'!$AV$14&lt;=CH$6),'Lease Cycles'!$C$14*'Lease Cycles'!$AW$14/12,IF(AND('Lease Cycles'!$AT$14&gt;=INDEX('Lease Cycles'!$BG$14:$BM$14,1,CH112),'Lease Cycles'!$AT$14&lt;=CH$6),'Lease Cycles'!$C$14*'Lease Cycles'!$AU$14/12,'Lease Cycles'!$C$14*INDEX('Lease Cycles'!$CB$14:$CH$14,1,CH112)*(1+INDEX('Lease Cycles'!$CI$14:$CO$14,1,CH112))^INT(INT(CH113/12)/INDEX('Lease Cycles'!$CP$14:$CV$14,1,CH112))/12)))),'Lease Cycles'!$C$14*INDEX('Lease Cycles'!$CB$14:$CH$14,1,CH112)*(1+INDEX('Lease Cycles'!$CI$14:$CO$14,1,CH112))^INT(INT(CH113/12)/INDEX('Lease Cycles'!$CP$14:$CV$14,1,CH112))/12))),IF('Lease Cycles'!$N$14=1,'Lease Cycles'!$C$14*'Lease Cycles'!$E$14*INDEX('Lease Cycles'!$HE$14:$HK$14,1,CH112)*(1+INDEX('Lease Cycles'!$GQ$14:$GW$14,1,CH112))^INT(INT((CH$6-INDEX('Lease Cycles'!$GJ$14:$GP$14,1,CH112))/12)/INDEX('Lease Cycles'!$GX$14:$HD$14,1,CH112))/12,0)))</f>
        <v>2526.8747543696454</v>
      </c>
      <c r="CI115" s="28">
        <f>IF(CI112=0,IF('Lease Cycles'!$F$14&gt;0,'Lease Cycles'!$C$14*'Lease Cycles'!$E$14/12,0),IF(CI114=1,IF('Lease Cycles'!$AT$14&gt;=9999,'Lease Cycles'!$C$14*INDEX('Lease Cycles'!$CB$14:$CH$14,1,CI112)*(1+INDEX('Lease Cycles'!$CI$14:$CO$14,1,CI112))^INT(INT(CI113/12)/INDEX('Lease Cycles'!$CP$14:$CV$14,1,CI112))/12,IF(CI112=1,IF(CI113&gt;=INDEX('Lease Cycles'!$DK$14:$DQ$14,1,CI112),IF(CI$6&gt;='Lease Cycles'!$AZ$14,'Lease Cycles'!$C$14*'Lease Cycles'!$BA$14/12,IF(CI$6&gt;='Lease Cycles'!$AX$14,'Lease Cycles'!$C$14*'Lease Cycles'!$AY$14/12,IF(CI$6&gt;='Lease Cycles'!$AV$14,'Lease Cycles'!$C$14*'Lease Cycles'!$AW$14/12,IF(CI$6&gt;='Lease Cycles'!$AT$14,'Lease Cycles'!$C$14*'Lease Cycles'!$AU$14/12,'Lease Cycles'!$C$14*INDEX('Lease Cycles'!$CB$14:$CH$14,1,CI112)*(1+INDEX('Lease Cycles'!$CI$14:$CO$14,1,CI112))^INT(INT(CI113/12)/INDEX('Lease Cycles'!$CP$14:$CV$14,1,CI112))/12)))),'Lease Cycles'!$C$14*INDEX('Lease Cycles'!$CB$14:$CH$14,1,CI112)*(1+INDEX('Lease Cycles'!$CI$14:$CO$14,1,CI112))^INT(INT(CI113/12)/INDEX('Lease Cycles'!$CP$14:$CV$14,1,CI112))/12),IF(INDEX('Lease Cycles'!$EF$14:$EL$14,1,CI112)=1,IF(AND('Lease Cycles'!$AZ$14&gt;=INDEX('Lease Cycles'!$BG$14:$BM$14,1,CI112),'Lease Cycles'!$AZ$14&lt;=CI$6),'Lease Cycles'!$C$14*'Lease Cycles'!$BA$14/12,IF(AND('Lease Cycles'!$AX$14&gt;=INDEX('Lease Cycles'!$BG$14:$BM$14,1,CI112),'Lease Cycles'!$AX$14&lt;=CI$6),'Lease Cycles'!$C$14*'Lease Cycles'!$AY$14/12,IF(AND('Lease Cycles'!$AV$14&gt;=INDEX('Lease Cycles'!$BG$14:$BM$14,1,CI112),'Lease Cycles'!$AV$14&lt;=CI$6),'Lease Cycles'!$C$14*'Lease Cycles'!$AW$14/12,IF(AND('Lease Cycles'!$AT$14&gt;=INDEX('Lease Cycles'!$BG$14:$BM$14,1,CI112),'Lease Cycles'!$AT$14&lt;=CI$6),'Lease Cycles'!$C$14*'Lease Cycles'!$AU$14/12,'Lease Cycles'!$C$14*INDEX('Lease Cycles'!$CB$14:$CH$14,1,CI112)*(1+INDEX('Lease Cycles'!$CI$14:$CO$14,1,CI112))^INT(INT(CI113/12)/INDEX('Lease Cycles'!$CP$14:$CV$14,1,CI112))/12)))),'Lease Cycles'!$C$14*INDEX('Lease Cycles'!$CB$14:$CH$14,1,CI112)*(1+INDEX('Lease Cycles'!$CI$14:$CO$14,1,CI112))^INT(INT(CI113/12)/INDEX('Lease Cycles'!$CP$14:$CV$14,1,CI112))/12))),IF('Lease Cycles'!$N$14=1,'Lease Cycles'!$C$14*'Lease Cycles'!$E$14*INDEX('Lease Cycles'!$HE$14:$HK$14,1,CI112)*(1+INDEX('Lease Cycles'!$GQ$14:$GW$14,1,CI112))^INT(INT((CI$6-INDEX('Lease Cycles'!$GJ$14:$GP$14,1,CI112))/12)/INDEX('Lease Cycles'!$GX$14:$HD$14,1,CI112))/12,0)))</f>
        <v>2526.8747543696454</v>
      </c>
      <c r="CJ115" s="28">
        <f>IF(CJ112=0,IF('Lease Cycles'!$F$14&gt;0,'Lease Cycles'!$C$14*'Lease Cycles'!$E$14/12,0),IF(CJ114=1,IF('Lease Cycles'!$AT$14&gt;=9999,'Lease Cycles'!$C$14*INDEX('Lease Cycles'!$CB$14:$CH$14,1,CJ112)*(1+INDEX('Lease Cycles'!$CI$14:$CO$14,1,CJ112))^INT(INT(CJ113/12)/INDEX('Lease Cycles'!$CP$14:$CV$14,1,CJ112))/12,IF(CJ112=1,IF(CJ113&gt;=INDEX('Lease Cycles'!$DK$14:$DQ$14,1,CJ112),IF(CJ$6&gt;='Lease Cycles'!$AZ$14,'Lease Cycles'!$C$14*'Lease Cycles'!$BA$14/12,IF(CJ$6&gt;='Lease Cycles'!$AX$14,'Lease Cycles'!$C$14*'Lease Cycles'!$AY$14/12,IF(CJ$6&gt;='Lease Cycles'!$AV$14,'Lease Cycles'!$C$14*'Lease Cycles'!$AW$14/12,IF(CJ$6&gt;='Lease Cycles'!$AT$14,'Lease Cycles'!$C$14*'Lease Cycles'!$AU$14/12,'Lease Cycles'!$C$14*INDEX('Lease Cycles'!$CB$14:$CH$14,1,CJ112)*(1+INDEX('Lease Cycles'!$CI$14:$CO$14,1,CJ112))^INT(INT(CJ113/12)/INDEX('Lease Cycles'!$CP$14:$CV$14,1,CJ112))/12)))),'Lease Cycles'!$C$14*INDEX('Lease Cycles'!$CB$14:$CH$14,1,CJ112)*(1+INDEX('Lease Cycles'!$CI$14:$CO$14,1,CJ112))^INT(INT(CJ113/12)/INDEX('Lease Cycles'!$CP$14:$CV$14,1,CJ112))/12),IF(INDEX('Lease Cycles'!$EF$14:$EL$14,1,CJ112)=1,IF(AND('Lease Cycles'!$AZ$14&gt;=INDEX('Lease Cycles'!$BG$14:$BM$14,1,CJ112),'Lease Cycles'!$AZ$14&lt;=CJ$6),'Lease Cycles'!$C$14*'Lease Cycles'!$BA$14/12,IF(AND('Lease Cycles'!$AX$14&gt;=INDEX('Lease Cycles'!$BG$14:$BM$14,1,CJ112),'Lease Cycles'!$AX$14&lt;=CJ$6),'Lease Cycles'!$C$14*'Lease Cycles'!$AY$14/12,IF(AND('Lease Cycles'!$AV$14&gt;=INDEX('Lease Cycles'!$BG$14:$BM$14,1,CJ112),'Lease Cycles'!$AV$14&lt;=CJ$6),'Lease Cycles'!$C$14*'Lease Cycles'!$AW$14/12,IF(AND('Lease Cycles'!$AT$14&gt;=INDEX('Lease Cycles'!$BG$14:$BM$14,1,CJ112),'Lease Cycles'!$AT$14&lt;=CJ$6),'Lease Cycles'!$C$14*'Lease Cycles'!$AU$14/12,'Lease Cycles'!$C$14*INDEX('Lease Cycles'!$CB$14:$CH$14,1,CJ112)*(1+INDEX('Lease Cycles'!$CI$14:$CO$14,1,CJ112))^INT(INT(CJ113/12)/INDEX('Lease Cycles'!$CP$14:$CV$14,1,CJ112))/12)))),'Lease Cycles'!$C$14*INDEX('Lease Cycles'!$CB$14:$CH$14,1,CJ112)*(1+INDEX('Lease Cycles'!$CI$14:$CO$14,1,CJ112))^INT(INT(CJ113/12)/INDEX('Lease Cycles'!$CP$14:$CV$14,1,CJ112))/12))),IF('Lease Cycles'!$N$14=1,'Lease Cycles'!$C$14*'Lease Cycles'!$E$14*INDEX('Lease Cycles'!$HE$14:$HK$14,1,CJ112)*(1+INDEX('Lease Cycles'!$GQ$14:$GW$14,1,CJ112))^INT(INT((CJ$6-INDEX('Lease Cycles'!$GJ$14:$GP$14,1,CJ112))/12)/INDEX('Lease Cycles'!$GX$14:$HD$14,1,CJ112))/12,0)))</f>
        <v>2526.8747543696454</v>
      </c>
      <c r="CK115" s="28">
        <f>IF(CK112=0,IF('Lease Cycles'!$F$14&gt;0,'Lease Cycles'!$C$14*'Lease Cycles'!$E$14/12,0),IF(CK114=1,IF('Lease Cycles'!$AT$14&gt;=9999,'Lease Cycles'!$C$14*INDEX('Lease Cycles'!$CB$14:$CH$14,1,CK112)*(1+INDEX('Lease Cycles'!$CI$14:$CO$14,1,CK112))^INT(INT(CK113/12)/INDEX('Lease Cycles'!$CP$14:$CV$14,1,CK112))/12,IF(CK112=1,IF(CK113&gt;=INDEX('Lease Cycles'!$DK$14:$DQ$14,1,CK112),IF(CK$6&gt;='Lease Cycles'!$AZ$14,'Lease Cycles'!$C$14*'Lease Cycles'!$BA$14/12,IF(CK$6&gt;='Lease Cycles'!$AX$14,'Lease Cycles'!$C$14*'Lease Cycles'!$AY$14/12,IF(CK$6&gt;='Lease Cycles'!$AV$14,'Lease Cycles'!$C$14*'Lease Cycles'!$AW$14/12,IF(CK$6&gt;='Lease Cycles'!$AT$14,'Lease Cycles'!$C$14*'Lease Cycles'!$AU$14/12,'Lease Cycles'!$C$14*INDEX('Lease Cycles'!$CB$14:$CH$14,1,CK112)*(1+INDEX('Lease Cycles'!$CI$14:$CO$14,1,CK112))^INT(INT(CK113/12)/INDEX('Lease Cycles'!$CP$14:$CV$14,1,CK112))/12)))),'Lease Cycles'!$C$14*INDEX('Lease Cycles'!$CB$14:$CH$14,1,CK112)*(1+INDEX('Lease Cycles'!$CI$14:$CO$14,1,CK112))^INT(INT(CK113/12)/INDEX('Lease Cycles'!$CP$14:$CV$14,1,CK112))/12),IF(INDEX('Lease Cycles'!$EF$14:$EL$14,1,CK112)=1,IF(AND('Lease Cycles'!$AZ$14&gt;=INDEX('Lease Cycles'!$BG$14:$BM$14,1,CK112),'Lease Cycles'!$AZ$14&lt;=CK$6),'Lease Cycles'!$C$14*'Lease Cycles'!$BA$14/12,IF(AND('Lease Cycles'!$AX$14&gt;=INDEX('Lease Cycles'!$BG$14:$BM$14,1,CK112),'Lease Cycles'!$AX$14&lt;=CK$6),'Lease Cycles'!$C$14*'Lease Cycles'!$AY$14/12,IF(AND('Lease Cycles'!$AV$14&gt;=INDEX('Lease Cycles'!$BG$14:$BM$14,1,CK112),'Lease Cycles'!$AV$14&lt;=CK$6),'Lease Cycles'!$C$14*'Lease Cycles'!$AW$14/12,IF(AND('Lease Cycles'!$AT$14&gt;=INDEX('Lease Cycles'!$BG$14:$BM$14,1,CK112),'Lease Cycles'!$AT$14&lt;=CK$6),'Lease Cycles'!$C$14*'Lease Cycles'!$AU$14/12,'Lease Cycles'!$C$14*INDEX('Lease Cycles'!$CB$14:$CH$14,1,CK112)*(1+INDEX('Lease Cycles'!$CI$14:$CO$14,1,CK112))^INT(INT(CK113/12)/INDEX('Lease Cycles'!$CP$14:$CV$14,1,CK112))/12)))),'Lease Cycles'!$C$14*INDEX('Lease Cycles'!$CB$14:$CH$14,1,CK112)*(1+INDEX('Lease Cycles'!$CI$14:$CO$14,1,CK112))^INT(INT(CK113/12)/INDEX('Lease Cycles'!$CP$14:$CV$14,1,CK112))/12))),IF('Lease Cycles'!$N$14=1,'Lease Cycles'!$C$14*'Lease Cycles'!$E$14*INDEX('Lease Cycles'!$HE$14:$HK$14,1,CK112)*(1+INDEX('Lease Cycles'!$GQ$14:$GW$14,1,CK112))^INT(INT((CK$6-INDEX('Lease Cycles'!$GJ$14:$GP$14,1,CK112))/12)/INDEX('Lease Cycles'!$GX$14:$HD$14,1,CK112))/12,0)))</f>
        <v>2526.8747543696454</v>
      </c>
      <c r="CL115" s="28">
        <f>IF(CL112=0,IF('Lease Cycles'!$F$14&gt;0,'Lease Cycles'!$C$14*'Lease Cycles'!$E$14/12,0),IF(CL114=1,IF('Lease Cycles'!$AT$14&gt;=9999,'Lease Cycles'!$C$14*INDEX('Lease Cycles'!$CB$14:$CH$14,1,CL112)*(1+INDEX('Lease Cycles'!$CI$14:$CO$14,1,CL112))^INT(INT(CL113/12)/INDEX('Lease Cycles'!$CP$14:$CV$14,1,CL112))/12,IF(CL112=1,IF(CL113&gt;=INDEX('Lease Cycles'!$DK$14:$DQ$14,1,CL112),IF(CL$6&gt;='Lease Cycles'!$AZ$14,'Lease Cycles'!$C$14*'Lease Cycles'!$BA$14/12,IF(CL$6&gt;='Lease Cycles'!$AX$14,'Lease Cycles'!$C$14*'Lease Cycles'!$AY$14/12,IF(CL$6&gt;='Lease Cycles'!$AV$14,'Lease Cycles'!$C$14*'Lease Cycles'!$AW$14/12,IF(CL$6&gt;='Lease Cycles'!$AT$14,'Lease Cycles'!$C$14*'Lease Cycles'!$AU$14/12,'Lease Cycles'!$C$14*INDEX('Lease Cycles'!$CB$14:$CH$14,1,CL112)*(1+INDEX('Lease Cycles'!$CI$14:$CO$14,1,CL112))^INT(INT(CL113/12)/INDEX('Lease Cycles'!$CP$14:$CV$14,1,CL112))/12)))),'Lease Cycles'!$C$14*INDEX('Lease Cycles'!$CB$14:$CH$14,1,CL112)*(1+INDEX('Lease Cycles'!$CI$14:$CO$14,1,CL112))^INT(INT(CL113/12)/INDEX('Lease Cycles'!$CP$14:$CV$14,1,CL112))/12),IF(INDEX('Lease Cycles'!$EF$14:$EL$14,1,CL112)=1,IF(AND('Lease Cycles'!$AZ$14&gt;=INDEX('Lease Cycles'!$BG$14:$BM$14,1,CL112),'Lease Cycles'!$AZ$14&lt;=CL$6),'Lease Cycles'!$C$14*'Lease Cycles'!$BA$14/12,IF(AND('Lease Cycles'!$AX$14&gt;=INDEX('Lease Cycles'!$BG$14:$BM$14,1,CL112),'Lease Cycles'!$AX$14&lt;=CL$6),'Lease Cycles'!$C$14*'Lease Cycles'!$AY$14/12,IF(AND('Lease Cycles'!$AV$14&gt;=INDEX('Lease Cycles'!$BG$14:$BM$14,1,CL112),'Lease Cycles'!$AV$14&lt;=CL$6),'Lease Cycles'!$C$14*'Lease Cycles'!$AW$14/12,IF(AND('Lease Cycles'!$AT$14&gt;=INDEX('Lease Cycles'!$BG$14:$BM$14,1,CL112),'Lease Cycles'!$AT$14&lt;=CL$6),'Lease Cycles'!$C$14*'Lease Cycles'!$AU$14/12,'Lease Cycles'!$C$14*INDEX('Lease Cycles'!$CB$14:$CH$14,1,CL112)*(1+INDEX('Lease Cycles'!$CI$14:$CO$14,1,CL112))^INT(INT(CL113/12)/INDEX('Lease Cycles'!$CP$14:$CV$14,1,CL112))/12)))),'Lease Cycles'!$C$14*INDEX('Lease Cycles'!$CB$14:$CH$14,1,CL112)*(1+INDEX('Lease Cycles'!$CI$14:$CO$14,1,CL112))^INT(INT(CL113/12)/INDEX('Lease Cycles'!$CP$14:$CV$14,1,CL112))/12))),IF('Lease Cycles'!$N$14=1,'Lease Cycles'!$C$14*'Lease Cycles'!$E$14*INDEX('Lease Cycles'!$HE$14:$HK$14,1,CL112)*(1+INDEX('Lease Cycles'!$GQ$14:$GW$14,1,CL112))^INT(INT((CL$6-INDEX('Lease Cycles'!$GJ$14:$GP$14,1,CL112))/12)/INDEX('Lease Cycles'!$GX$14:$HD$14,1,CL112))/12,0)))</f>
        <v>2526.8747543696454</v>
      </c>
      <c r="CM115" s="28">
        <f>IF(CM112=0,IF('Lease Cycles'!$F$14&gt;0,'Lease Cycles'!$C$14*'Lease Cycles'!$E$14/12,0),IF(CM114=1,IF('Lease Cycles'!$AT$14&gt;=9999,'Lease Cycles'!$C$14*INDEX('Lease Cycles'!$CB$14:$CH$14,1,CM112)*(1+INDEX('Lease Cycles'!$CI$14:$CO$14,1,CM112))^INT(INT(CM113/12)/INDEX('Lease Cycles'!$CP$14:$CV$14,1,CM112))/12,IF(CM112=1,IF(CM113&gt;=INDEX('Lease Cycles'!$DK$14:$DQ$14,1,CM112),IF(CM$6&gt;='Lease Cycles'!$AZ$14,'Lease Cycles'!$C$14*'Lease Cycles'!$BA$14/12,IF(CM$6&gt;='Lease Cycles'!$AX$14,'Lease Cycles'!$C$14*'Lease Cycles'!$AY$14/12,IF(CM$6&gt;='Lease Cycles'!$AV$14,'Lease Cycles'!$C$14*'Lease Cycles'!$AW$14/12,IF(CM$6&gt;='Lease Cycles'!$AT$14,'Lease Cycles'!$C$14*'Lease Cycles'!$AU$14/12,'Lease Cycles'!$C$14*INDEX('Lease Cycles'!$CB$14:$CH$14,1,CM112)*(1+INDEX('Lease Cycles'!$CI$14:$CO$14,1,CM112))^INT(INT(CM113/12)/INDEX('Lease Cycles'!$CP$14:$CV$14,1,CM112))/12)))),'Lease Cycles'!$C$14*INDEX('Lease Cycles'!$CB$14:$CH$14,1,CM112)*(1+INDEX('Lease Cycles'!$CI$14:$CO$14,1,CM112))^INT(INT(CM113/12)/INDEX('Lease Cycles'!$CP$14:$CV$14,1,CM112))/12),IF(INDEX('Lease Cycles'!$EF$14:$EL$14,1,CM112)=1,IF(AND('Lease Cycles'!$AZ$14&gt;=INDEX('Lease Cycles'!$BG$14:$BM$14,1,CM112),'Lease Cycles'!$AZ$14&lt;=CM$6),'Lease Cycles'!$C$14*'Lease Cycles'!$BA$14/12,IF(AND('Lease Cycles'!$AX$14&gt;=INDEX('Lease Cycles'!$BG$14:$BM$14,1,CM112),'Lease Cycles'!$AX$14&lt;=CM$6),'Lease Cycles'!$C$14*'Lease Cycles'!$AY$14/12,IF(AND('Lease Cycles'!$AV$14&gt;=INDEX('Lease Cycles'!$BG$14:$BM$14,1,CM112),'Lease Cycles'!$AV$14&lt;=CM$6),'Lease Cycles'!$C$14*'Lease Cycles'!$AW$14/12,IF(AND('Lease Cycles'!$AT$14&gt;=INDEX('Lease Cycles'!$BG$14:$BM$14,1,CM112),'Lease Cycles'!$AT$14&lt;=CM$6),'Lease Cycles'!$C$14*'Lease Cycles'!$AU$14/12,'Lease Cycles'!$C$14*INDEX('Lease Cycles'!$CB$14:$CH$14,1,CM112)*(1+INDEX('Lease Cycles'!$CI$14:$CO$14,1,CM112))^INT(INT(CM113/12)/INDEX('Lease Cycles'!$CP$14:$CV$14,1,CM112))/12)))),'Lease Cycles'!$C$14*INDEX('Lease Cycles'!$CB$14:$CH$14,1,CM112)*(1+INDEX('Lease Cycles'!$CI$14:$CO$14,1,CM112))^INT(INT(CM113/12)/INDEX('Lease Cycles'!$CP$14:$CV$14,1,CM112))/12))),IF('Lease Cycles'!$N$14=1,'Lease Cycles'!$C$14*'Lease Cycles'!$E$14*INDEX('Lease Cycles'!$HE$14:$HK$14,1,CM112)*(1+INDEX('Lease Cycles'!$GQ$14:$GW$14,1,CM112))^INT(INT((CM$6-INDEX('Lease Cycles'!$GJ$14:$GP$14,1,CM112))/12)/INDEX('Lease Cycles'!$GX$14:$HD$14,1,CM112))/12,0)))</f>
        <v>2526.8747543696454</v>
      </c>
      <c r="CN115" s="28">
        <f>IF(CN112=0,IF('Lease Cycles'!$F$14&gt;0,'Lease Cycles'!$C$14*'Lease Cycles'!$E$14/12,0),IF(CN114=1,IF('Lease Cycles'!$AT$14&gt;=9999,'Lease Cycles'!$C$14*INDEX('Lease Cycles'!$CB$14:$CH$14,1,CN112)*(1+INDEX('Lease Cycles'!$CI$14:$CO$14,1,CN112))^INT(INT(CN113/12)/INDEX('Lease Cycles'!$CP$14:$CV$14,1,CN112))/12,IF(CN112=1,IF(CN113&gt;=INDEX('Lease Cycles'!$DK$14:$DQ$14,1,CN112),IF(CN$6&gt;='Lease Cycles'!$AZ$14,'Lease Cycles'!$C$14*'Lease Cycles'!$BA$14/12,IF(CN$6&gt;='Lease Cycles'!$AX$14,'Lease Cycles'!$C$14*'Lease Cycles'!$AY$14/12,IF(CN$6&gt;='Lease Cycles'!$AV$14,'Lease Cycles'!$C$14*'Lease Cycles'!$AW$14/12,IF(CN$6&gt;='Lease Cycles'!$AT$14,'Lease Cycles'!$C$14*'Lease Cycles'!$AU$14/12,'Lease Cycles'!$C$14*INDEX('Lease Cycles'!$CB$14:$CH$14,1,CN112)*(1+INDEX('Lease Cycles'!$CI$14:$CO$14,1,CN112))^INT(INT(CN113/12)/INDEX('Lease Cycles'!$CP$14:$CV$14,1,CN112))/12)))),'Lease Cycles'!$C$14*INDEX('Lease Cycles'!$CB$14:$CH$14,1,CN112)*(1+INDEX('Lease Cycles'!$CI$14:$CO$14,1,CN112))^INT(INT(CN113/12)/INDEX('Lease Cycles'!$CP$14:$CV$14,1,CN112))/12),IF(INDEX('Lease Cycles'!$EF$14:$EL$14,1,CN112)=1,IF(AND('Lease Cycles'!$AZ$14&gt;=INDEX('Lease Cycles'!$BG$14:$BM$14,1,CN112),'Lease Cycles'!$AZ$14&lt;=CN$6),'Lease Cycles'!$C$14*'Lease Cycles'!$BA$14/12,IF(AND('Lease Cycles'!$AX$14&gt;=INDEX('Lease Cycles'!$BG$14:$BM$14,1,CN112),'Lease Cycles'!$AX$14&lt;=CN$6),'Lease Cycles'!$C$14*'Lease Cycles'!$AY$14/12,IF(AND('Lease Cycles'!$AV$14&gt;=INDEX('Lease Cycles'!$BG$14:$BM$14,1,CN112),'Lease Cycles'!$AV$14&lt;=CN$6),'Lease Cycles'!$C$14*'Lease Cycles'!$AW$14/12,IF(AND('Lease Cycles'!$AT$14&gt;=INDEX('Lease Cycles'!$BG$14:$BM$14,1,CN112),'Lease Cycles'!$AT$14&lt;=CN$6),'Lease Cycles'!$C$14*'Lease Cycles'!$AU$14/12,'Lease Cycles'!$C$14*INDEX('Lease Cycles'!$CB$14:$CH$14,1,CN112)*(1+INDEX('Lease Cycles'!$CI$14:$CO$14,1,CN112))^INT(INT(CN113/12)/INDEX('Lease Cycles'!$CP$14:$CV$14,1,CN112))/12)))),'Lease Cycles'!$C$14*INDEX('Lease Cycles'!$CB$14:$CH$14,1,CN112)*(1+INDEX('Lease Cycles'!$CI$14:$CO$14,1,CN112))^INT(INT(CN113/12)/INDEX('Lease Cycles'!$CP$14:$CV$14,1,CN112))/12))),IF('Lease Cycles'!$N$14=1,'Lease Cycles'!$C$14*'Lease Cycles'!$E$14*INDEX('Lease Cycles'!$HE$14:$HK$14,1,CN112)*(1+INDEX('Lease Cycles'!$GQ$14:$GW$14,1,CN112))^INT(INT((CN$6-INDEX('Lease Cycles'!$GJ$14:$GP$14,1,CN112))/12)/INDEX('Lease Cycles'!$GX$14:$HD$14,1,CN112))/12,0)))</f>
        <v>2526.8747543696454</v>
      </c>
      <c r="CO115" s="28">
        <f>IF(CO112=0,IF('Lease Cycles'!$F$14&gt;0,'Lease Cycles'!$C$14*'Lease Cycles'!$E$14/12,0),IF(CO114=1,IF('Lease Cycles'!$AT$14&gt;=9999,'Lease Cycles'!$C$14*INDEX('Lease Cycles'!$CB$14:$CH$14,1,CO112)*(1+INDEX('Lease Cycles'!$CI$14:$CO$14,1,CO112))^INT(INT(CO113/12)/INDEX('Lease Cycles'!$CP$14:$CV$14,1,CO112))/12,IF(CO112=1,IF(CO113&gt;=INDEX('Lease Cycles'!$DK$14:$DQ$14,1,CO112),IF(CO$6&gt;='Lease Cycles'!$AZ$14,'Lease Cycles'!$C$14*'Lease Cycles'!$BA$14/12,IF(CO$6&gt;='Lease Cycles'!$AX$14,'Lease Cycles'!$C$14*'Lease Cycles'!$AY$14/12,IF(CO$6&gt;='Lease Cycles'!$AV$14,'Lease Cycles'!$C$14*'Lease Cycles'!$AW$14/12,IF(CO$6&gt;='Lease Cycles'!$AT$14,'Lease Cycles'!$C$14*'Lease Cycles'!$AU$14/12,'Lease Cycles'!$C$14*INDEX('Lease Cycles'!$CB$14:$CH$14,1,CO112)*(1+INDEX('Lease Cycles'!$CI$14:$CO$14,1,CO112))^INT(INT(CO113/12)/INDEX('Lease Cycles'!$CP$14:$CV$14,1,CO112))/12)))),'Lease Cycles'!$C$14*INDEX('Lease Cycles'!$CB$14:$CH$14,1,CO112)*(1+INDEX('Lease Cycles'!$CI$14:$CO$14,1,CO112))^INT(INT(CO113/12)/INDEX('Lease Cycles'!$CP$14:$CV$14,1,CO112))/12),IF(INDEX('Lease Cycles'!$EF$14:$EL$14,1,CO112)=1,IF(AND('Lease Cycles'!$AZ$14&gt;=INDEX('Lease Cycles'!$BG$14:$BM$14,1,CO112),'Lease Cycles'!$AZ$14&lt;=CO$6),'Lease Cycles'!$C$14*'Lease Cycles'!$BA$14/12,IF(AND('Lease Cycles'!$AX$14&gt;=INDEX('Lease Cycles'!$BG$14:$BM$14,1,CO112),'Lease Cycles'!$AX$14&lt;=CO$6),'Lease Cycles'!$C$14*'Lease Cycles'!$AY$14/12,IF(AND('Lease Cycles'!$AV$14&gt;=INDEX('Lease Cycles'!$BG$14:$BM$14,1,CO112),'Lease Cycles'!$AV$14&lt;=CO$6),'Lease Cycles'!$C$14*'Lease Cycles'!$AW$14/12,IF(AND('Lease Cycles'!$AT$14&gt;=INDEX('Lease Cycles'!$BG$14:$BM$14,1,CO112),'Lease Cycles'!$AT$14&lt;=CO$6),'Lease Cycles'!$C$14*'Lease Cycles'!$AU$14/12,'Lease Cycles'!$C$14*INDEX('Lease Cycles'!$CB$14:$CH$14,1,CO112)*(1+INDEX('Lease Cycles'!$CI$14:$CO$14,1,CO112))^INT(INT(CO113/12)/INDEX('Lease Cycles'!$CP$14:$CV$14,1,CO112))/12)))),'Lease Cycles'!$C$14*INDEX('Lease Cycles'!$CB$14:$CH$14,1,CO112)*(1+INDEX('Lease Cycles'!$CI$14:$CO$14,1,CO112))^INT(INT(CO113/12)/INDEX('Lease Cycles'!$CP$14:$CV$14,1,CO112))/12))),IF('Lease Cycles'!$N$14=1,'Lease Cycles'!$C$14*'Lease Cycles'!$E$14*INDEX('Lease Cycles'!$HE$14:$HK$14,1,CO112)*(1+INDEX('Lease Cycles'!$GQ$14:$GW$14,1,CO112))^INT(INT((CO$6-INDEX('Lease Cycles'!$GJ$14:$GP$14,1,CO112))/12)/INDEX('Lease Cycles'!$GX$14:$HD$14,1,CO112))/12,0)))</f>
        <v>2526.8747543696454</v>
      </c>
      <c r="CP115" s="28">
        <f>IF(CP112=0,IF('Lease Cycles'!$F$14&gt;0,'Lease Cycles'!$C$14*'Lease Cycles'!$E$14/12,0),IF(CP114=1,IF('Lease Cycles'!$AT$14&gt;=9999,'Lease Cycles'!$C$14*INDEX('Lease Cycles'!$CB$14:$CH$14,1,CP112)*(1+INDEX('Lease Cycles'!$CI$14:$CO$14,1,CP112))^INT(INT(CP113/12)/INDEX('Lease Cycles'!$CP$14:$CV$14,1,CP112))/12,IF(CP112=1,IF(CP113&gt;=INDEX('Lease Cycles'!$DK$14:$DQ$14,1,CP112),IF(CP$6&gt;='Lease Cycles'!$AZ$14,'Lease Cycles'!$C$14*'Lease Cycles'!$BA$14/12,IF(CP$6&gt;='Lease Cycles'!$AX$14,'Lease Cycles'!$C$14*'Lease Cycles'!$AY$14/12,IF(CP$6&gt;='Lease Cycles'!$AV$14,'Lease Cycles'!$C$14*'Lease Cycles'!$AW$14/12,IF(CP$6&gt;='Lease Cycles'!$AT$14,'Lease Cycles'!$C$14*'Lease Cycles'!$AU$14/12,'Lease Cycles'!$C$14*INDEX('Lease Cycles'!$CB$14:$CH$14,1,CP112)*(1+INDEX('Lease Cycles'!$CI$14:$CO$14,1,CP112))^INT(INT(CP113/12)/INDEX('Lease Cycles'!$CP$14:$CV$14,1,CP112))/12)))),'Lease Cycles'!$C$14*INDEX('Lease Cycles'!$CB$14:$CH$14,1,CP112)*(1+INDEX('Lease Cycles'!$CI$14:$CO$14,1,CP112))^INT(INT(CP113/12)/INDEX('Lease Cycles'!$CP$14:$CV$14,1,CP112))/12),IF(INDEX('Lease Cycles'!$EF$14:$EL$14,1,CP112)=1,IF(AND('Lease Cycles'!$AZ$14&gt;=INDEX('Lease Cycles'!$BG$14:$BM$14,1,CP112),'Lease Cycles'!$AZ$14&lt;=CP$6),'Lease Cycles'!$C$14*'Lease Cycles'!$BA$14/12,IF(AND('Lease Cycles'!$AX$14&gt;=INDEX('Lease Cycles'!$BG$14:$BM$14,1,CP112),'Lease Cycles'!$AX$14&lt;=CP$6),'Lease Cycles'!$C$14*'Lease Cycles'!$AY$14/12,IF(AND('Lease Cycles'!$AV$14&gt;=INDEX('Lease Cycles'!$BG$14:$BM$14,1,CP112),'Lease Cycles'!$AV$14&lt;=CP$6),'Lease Cycles'!$C$14*'Lease Cycles'!$AW$14/12,IF(AND('Lease Cycles'!$AT$14&gt;=INDEX('Lease Cycles'!$BG$14:$BM$14,1,CP112),'Lease Cycles'!$AT$14&lt;=CP$6),'Lease Cycles'!$C$14*'Lease Cycles'!$AU$14/12,'Lease Cycles'!$C$14*INDEX('Lease Cycles'!$CB$14:$CH$14,1,CP112)*(1+INDEX('Lease Cycles'!$CI$14:$CO$14,1,CP112))^INT(INT(CP113/12)/INDEX('Lease Cycles'!$CP$14:$CV$14,1,CP112))/12)))),'Lease Cycles'!$C$14*INDEX('Lease Cycles'!$CB$14:$CH$14,1,CP112)*(1+INDEX('Lease Cycles'!$CI$14:$CO$14,1,CP112))^INT(INT(CP113/12)/INDEX('Lease Cycles'!$CP$14:$CV$14,1,CP112))/12))),IF('Lease Cycles'!$N$14=1,'Lease Cycles'!$C$14*'Lease Cycles'!$E$14*INDEX('Lease Cycles'!$HE$14:$HK$14,1,CP112)*(1+INDEX('Lease Cycles'!$GQ$14:$GW$14,1,CP112))^INT(INT((CP$6-INDEX('Lease Cycles'!$GJ$14:$GP$14,1,CP112))/12)/INDEX('Lease Cycles'!$GX$14:$HD$14,1,CP112))/12,0)))</f>
        <v>2526.8747543696454</v>
      </c>
      <c r="CQ115" s="28">
        <f>IF(CQ112=0,IF('Lease Cycles'!$F$14&gt;0,'Lease Cycles'!$C$14*'Lease Cycles'!$E$14/12,0),IF(CQ114=1,IF('Lease Cycles'!$AT$14&gt;=9999,'Lease Cycles'!$C$14*INDEX('Lease Cycles'!$CB$14:$CH$14,1,CQ112)*(1+INDEX('Lease Cycles'!$CI$14:$CO$14,1,CQ112))^INT(INT(CQ113/12)/INDEX('Lease Cycles'!$CP$14:$CV$14,1,CQ112))/12,IF(CQ112=1,IF(CQ113&gt;=INDEX('Lease Cycles'!$DK$14:$DQ$14,1,CQ112),IF(CQ$6&gt;='Lease Cycles'!$AZ$14,'Lease Cycles'!$C$14*'Lease Cycles'!$BA$14/12,IF(CQ$6&gt;='Lease Cycles'!$AX$14,'Lease Cycles'!$C$14*'Lease Cycles'!$AY$14/12,IF(CQ$6&gt;='Lease Cycles'!$AV$14,'Lease Cycles'!$C$14*'Lease Cycles'!$AW$14/12,IF(CQ$6&gt;='Lease Cycles'!$AT$14,'Lease Cycles'!$C$14*'Lease Cycles'!$AU$14/12,'Lease Cycles'!$C$14*INDEX('Lease Cycles'!$CB$14:$CH$14,1,CQ112)*(1+INDEX('Lease Cycles'!$CI$14:$CO$14,1,CQ112))^INT(INT(CQ113/12)/INDEX('Lease Cycles'!$CP$14:$CV$14,1,CQ112))/12)))),'Lease Cycles'!$C$14*INDEX('Lease Cycles'!$CB$14:$CH$14,1,CQ112)*(1+INDEX('Lease Cycles'!$CI$14:$CO$14,1,CQ112))^INT(INT(CQ113/12)/INDEX('Lease Cycles'!$CP$14:$CV$14,1,CQ112))/12),IF(INDEX('Lease Cycles'!$EF$14:$EL$14,1,CQ112)=1,IF(AND('Lease Cycles'!$AZ$14&gt;=INDEX('Lease Cycles'!$BG$14:$BM$14,1,CQ112),'Lease Cycles'!$AZ$14&lt;=CQ$6),'Lease Cycles'!$C$14*'Lease Cycles'!$BA$14/12,IF(AND('Lease Cycles'!$AX$14&gt;=INDEX('Lease Cycles'!$BG$14:$BM$14,1,CQ112),'Lease Cycles'!$AX$14&lt;=CQ$6),'Lease Cycles'!$C$14*'Lease Cycles'!$AY$14/12,IF(AND('Lease Cycles'!$AV$14&gt;=INDEX('Lease Cycles'!$BG$14:$BM$14,1,CQ112),'Lease Cycles'!$AV$14&lt;=CQ$6),'Lease Cycles'!$C$14*'Lease Cycles'!$AW$14/12,IF(AND('Lease Cycles'!$AT$14&gt;=INDEX('Lease Cycles'!$BG$14:$BM$14,1,CQ112),'Lease Cycles'!$AT$14&lt;=CQ$6),'Lease Cycles'!$C$14*'Lease Cycles'!$AU$14/12,'Lease Cycles'!$C$14*INDEX('Lease Cycles'!$CB$14:$CH$14,1,CQ112)*(1+INDEX('Lease Cycles'!$CI$14:$CO$14,1,CQ112))^INT(INT(CQ113/12)/INDEX('Lease Cycles'!$CP$14:$CV$14,1,CQ112))/12)))),'Lease Cycles'!$C$14*INDEX('Lease Cycles'!$CB$14:$CH$14,1,CQ112)*(1+INDEX('Lease Cycles'!$CI$14:$CO$14,1,CQ112))^INT(INT(CQ113/12)/INDEX('Lease Cycles'!$CP$14:$CV$14,1,CQ112))/12))),IF('Lease Cycles'!$N$14=1,'Lease Cycles'!$C$14*'Lease Cycles'!$E$14*INDEX('Lease Cycles'!$HE$14:$HK$14,1,CQ112)*(1+INDEX('Lease Cycles'!$GQ$14:$GW$14,1,CQ112))^INT(INT((CQ$6-INDEX('Lease Cycles'!$GJ$14:$GP$14,1,CQ112))/12)/INDEX('Lease Cycles'!$GX$14:$HD$14,1,CQ112))/12,0)))</f>
        <v>2602.680997000735</v>
      </c>
      <c r="CR115" s="28">
        <f>IF(CR112=0,IF('Lease Cycles'!$F$14&gt;0,'Lease Cycles'!$C$14*'Lease Cycles'!$E$14/12,0),IF(CR114=1,IF('Lease Cycles'!$AT$14&gt;=9999,'Lease Cycles'!$C$14*INDEX('Lease Cycles'!$CB$14:$CH$14,1,CR112)*(1+INDEX('Lease Cycles'!$CI$14:$CO$14,1,CR112))^INT(INT(CR113/12)/INDEX('Lease Cycles'!$CP$14:$CV$14,1,CR112))/12,IF(CR112=1,IF(CR113&gt;=INDEX('Lease Cycles'!$DK$14:$DQ$14,1,CR112),IF(CR$6&gt;='Lease Cycles'!$AZ$14,'Lease Cycles'!$C$14*'Lease Cycles'!$BA$14/12,IF(CR$6&gt;='Lease Cycles'!$AX$14,'Lease Cycles'!$C$14*'Lease Cycles'!$AY$14/12,IF(CR$6&gt;='Lease Cycles'!$AV$14,'Lease Cycles'!$C$14*'Lease Cycles'!$AW$14/12,IF(CR$6&gt;='Lease Cycles'!$AT$14,'Lease Cycles'!$C$14*'Lease Cycles'!$AU$14/12,'Lease Cycles'!$C$14*INDEX('Lease Cycles'!$CB$14:$CH$14,1,CR112)*(1+INDEX('Lease Cycles'!$CI$14:$CO$14,1,CR112))^INT(INT(CR113/12)/INDEX('Lease Cycles'!$CP$14:$CV$14,1,CR112))/12)))),'Lease Cycles'!$C$14*INDEX('Lease Cycles'!$CB$14:$CH$14,1,CR112)*(1+INDEX('Lease Cycles'!$CI$14:$CO$14,1,CR112))^INT(INT(CR113/12)/INDEX('Lease Cycles'!$CP$14:$CV$14,1,CR112))/12),IF(INDEX('Lease Cycles'!$EF$14:$EL$14,1,CR112)=1,IF(AND('Lease Cycles'!$AZ$14&gt;=INDEX('Lease Cycles'!$BG$14:$BM$14,1,CR112),'Lease Cycles'!$AZ$14&lt;=CR$6),'Lease Cycles'!$C$14*'Lease Cycles'!$BA$14/12,IF(AND('Lease Cycles'!$AX$14&gt;=INDEX('Lease Cycles'!$BG$14:$BM$14,1,CR112),'Lease Cycles'!$AX$14&lt;=CR$6),'Lease Cycles'!$C$14*'Lease Cycles'!$AY$14/12,IF(AND('Lease Cycles'!$AV$14&gt;=INDEX('Lease Cycles'!$BG$14:$BM$14,1,CR112),'Lease Cycles'!$AV$14&lt;=CR$6),'Lease Cycles'!$C$14*'Lease Cycles'!$AW$14/12,IF(AND('Lease Cycles'!$AT$14&gt;=INDEX('Lease Cycles'!$BG$14:$BM$14,1,CR112),'Lease Cycles'!$AT$14&lt;=CR$6),'Lease Cycles'!$C$14*'Lease Cycles'!$AU$14/12,'Lease Cycles'!$C$14*INDEX('Lease Cycles'!$CB$14:$CH$14,1,CR112)*(1+INDEX('Lease Cycles'!$CI$14:$CO$14,1,CR112))^INT(INT(CR113/12)/INDEX('Lease Cycles'!$CP$14:$CV$14,1,CR112))/12)))),'Lease Cycles'!$C$14*INDEX('Lease Cycles'!$CB$14:$CH$14,1,CR112)*(1+INDEX('Lease Cycles'!$CI$14:$CO$14,1,CR112))^INT(INT(CR113/12)/INDEX('Lease Cycles'!$CP$14:$CV$14,1,CR112))/12))),IF('Lease Cycles'!$N$14=1,'Lease Cycles'!$C$14*'Lease Cycles'!$E$14*INDEX('Lease Cycles'!$HE$14:$HK$14,1,CR112)*(1+INDEX('Lease Cycles'!$GQ$14:$GW$14,1,CR112))^INT(INT((CR$6-INDEX('Lease Cycles'!$GJ$14:$GP$14,1,CR112))/12)/INDEX('Lease Cycles'!$GX$14:$HD$14,1,CR112))/12,0)))</f>
        <v>2602.680997000735</v>
      </c>
      <c r="CS115" s="28">
        <f>IF(CS112=0,IF('Lease Cycles'!$F$14&gt;0,'Lease Cycles'!$C$14*'Lease Cycles'!$E$14/12,0),IF(CS114=1,IF('Lease Cycles'!$AT$14&gt;=9999,'Lease Cycles'!$C$14*INDEX('Lease Cycles'!$CB$14:$CH$14,1,CS112)*(1+INDEX('Lease Cycles'!$CI$14:$CO$14,1,CS112))^INT(INT(CS113/12)/INDEX('Lease Cycles'!$CP$14:$CV$14,1,CS112))/12,IF(CS112=1,IF(CS113&gt;=INDEX('Lease Cycles'!$DK$14:$DQ$14,1,CS112),IF(CS$6&gt;='Lease Cycles'!$AZ$14,'Lease Cycles'!$C$14*'Lease Cycles'!$BA$14/12,IF(CS$6&gt;='Lease Cycles'!$AX$14,'Lease Cycles'!$C$14*'Lease Cycles'!$AY$14/12,IF(CS$6&gt;='Lease Cycles'!$AV$14,'Lease Cycles'!$C$14*'Lease Cycles'!$AW$14/12,IF(CS$6&gt;='Lease Cycles'!$AT$14,'Lease Cycles'!$C$14*'Lease Cycles'!$AU$14/12,'Lease Cycles'!$C$14*INDEX('Lease Cycles'!$CB$14:$CH$14,1,CS112)*(1+INDEX('Lease Cycles'!$CI$14:$CO$14,1,CS112))^INT(INT(CS113/12)/INDEX('Lease Cycles'!$CP$14:$CV$14,1,CS112))/12)))),'Lease Cycles'!$C$14*INDEX('Lease Cycles'!$CB$14:$CH$14,1,CS112)*(1+INDEX('Lease Cycles'!$CI$14:$CO$14,1,CS112))^INT(INT(CS113/12)/INDEX('Lease Cycles'!$CP$14:$CV$14,1,CS112))/12),IF(INDEX('Lease Cycles'!$EF$14:$EL$14,1,CS112)=1,IF(AND('Lease Cycles'!$AZ$14&gt;=INDEX('Lease Cycles'!$BG$14:$BM$14,1,CS112),'Lease Cycles'!$AZ$14&lt;=CS$6),'Lease Cycles'!$C$14*'Lease Cycles'!$BA$14/12,IF(AND('Lease Cycles'!$AX$14&gt;=INDEX('Lease Cycles'!$BG$14:$BM$14,1,CS112),'Lease Cycles'!$AX$14&lt;=CS$6),'Lease Cycles'!$C$14*'Lease Cycles'!$AY$14/12,IF(AND('Lease Cycles'!$AV$14&gt;=INDEX('Lease Cycles'!$BG$14:$BM$14,1,CS112),'Lease Cycles'!$AV$14&lt;=CS$6),'Lease Cycles'!$C$14*'Lease Cycles'!$AW$14/12,IF(AND('Lease Cycles'!$AT$14&gt;=INDEX('Lease Cycles'!$BG$14:$BM$14,1,CS112),'Lease Cycles'!$AT$14&lt;=CS$6),'Lease Cycles'!$C$14*'Lease Cycles'!$AU$14/12,'Lease Cycles'!$C$14*INDEX('Lease Cycles'!$CB$14:$CH$14,1,CS112)*(1+INDEX('Lease Cycles'!$CI$14:$CO$14,1,CS112))^INT(INT(CS113/12)/INDEX('Lease Cycles'!$CP$14:$CV$14,1,CS112))/12)))),'Lease Cycles'!$C$14*INDEX('Lease Cycles'!$CB$14:$CH$14,1,CS112)*(1+INDEX('Lease Cycles'!$CI$14:$CO$14,1,CS112))^INT(INT(CS113/12)/INDEX('Lease Cycles'!$CP$14:$CV$14,1,CS112))/12))),IF('Lease Cycles'!$N$14=1,'Lease Cycles'!$C$14*'Lease Cycles'!$E$14*INDEX('Lease Cycles'!$HE$14:$HK$14,1,CS112)*(1+INDEX('Lease Cycles'!$GQ$14:$GW$14,1,CS112))^INT(INT((CS$6-INDEX('Lease Cycles'!$GJ$14:$GP$14,1,CS112))/12)/INDEX('Lease Cycles'!$GX$14:$HD$14,1,CS112))/12,0)))</f>
        <v>2602.680997000735</v>
      </c>
      <c r="CT115" s="28">
        <f>IF(CT112=0,IF('Lease Cycles'!$F$14&gt;0,'Lease Cycles'!$C$14*'Lease Cycles'!$E$14/12,0),IF(CT114=1,IF('Lease Cycles'!$AT$14&gt;=9999,'Lease Cycles'!$C$14*INDEX('Lease Cycles'!$CB$14:$CH$14,1,CT112)*(1+INDEX('Lease Cycles'!$CI$14:$CO$14,1,CT112))^INT(INT(CT113/12)/INDEX('Lease Cycles'!$CP$14:$CV$14,1,CT112))/12,IF(CT112=1,IF(CT113&gt;=INDEX('Lease Cycles'!$DK$14:$DQ$14,1,CT112),IF(CT$6&gt;='Lease Cycles'!$AZ$14,'Lease Cycles'!$C$14*'Lease Cycles'!$BA$14/12,IF(CT$6&gt;='Lease Cycles'!$AX$14,'Lease Cycles'!$C$14*'Lease Cycles'!$AY$14/12,IF(CT$6&gt;='Lease Cycles'!$AV$14,'Lease Cycles'!$C$14*'Lease Cycles'!$AW$14/12,IF(CT$6&gt;='Lease Cycles'!$AT$14,'Lease Cycles'!$C$14*'Lease Cycles'!$AU$14/12,'Lease Cycles'!$C$14*INDEX('Lease Cycles'!$CB$14:$CH$14,1,CT112)*(1+INDEX('Lease Cycles'!$CI$14:$CO$14,1,CT112))^INT(INT(CT113/12)/INDEX('Lease Cycles'!$CP$14:$CV$14,1,CT112))/12)))),'Lease Cycles'!$C$14*INDEX('Lease Cycles'!$CB$14:$CH$14,1,CT112)*(1+INDEX('Lease Cycles'!$CI$14:$CO$14,1,CT112))^INT(INT(CT113/12)/INDEX('Lease Cycles'!$CP$14:$CV$14,1,CT112))/12),IF(INDEX('Lease Cycles'!$EF$14:$EL$14,1,CT112)=1,IF(AND('Lease Cycles'!$AZ$14&gt;=INDEX('Lease Cycles'!$BG$14:$BM$14,1,CT112),'Lease Cycles'!$AZ$14&lt;=CT$6),'Lease Cycles'!$C$14*'Lease Cycles'!$BA$14/12,IF(AND('Lease Cycles'!$AX$14&gt;=INDEX('Lease Cycles'!$BG$14:$BM$14,1,CT112),'Lease Cycles'!$AX$14&lt;=CT$6),'Lease Cycles'!$C$14*'Lease Cycles'!$AY$14/12,IF(AND('Lease Cycles'!$AV$14&gt;=INDEX('Lease Cycles'!$BG$14:$BM$14,1,CT112),'Lease Cycles'!$AV$14&lt;=CT$6),'Lease Cycles'!$C$14*'Lease Cycles'!$AW$14/12,IF(AND('Lease Cycles'!$AT$14&gt;=INDEX('Lease Cycles'!$BG$14:$BM$14,1,CT112),'Lease Cycles'!$AT$14&lt;=CT$6),'Lease Cycles'!$C$14*'Lease Cycles'!$AU$14/12,'Lease Cycles'!$C$14*INDEX('Lease Cycles'!$CB$14:$CH$14,1,CT112)*(1+INDEX('Lease Cycles'!$CI$14:$CO$14,1,CT112))^INT(INT(CT113/12)/INDEX('Lease Cycles'!$CP$14:$CV$14,1,CT112))/12)))),'Lease Cycles'!$C$14*INDEX('Lease Cycles'!$CB$14:$CH$14,1,CT112)*(1+INDEX('Lease Cycles'!$CI$14:$CO$14,1,CT112))^INT(INT(CT113/12)/INDEX('Lease Cycles'!$CP$14:$CV$14,1,CT112))/12))),IF('Lease Cycles'!$N$14=1,'Lease Cycles'!$C$14*'Lease Cycles'!$E$14*INDEX('Lease Cycles'!$HE$14:$HK$14,1,CT112)*(1+INDEX('Lease Cycles'!$GQ$14:$GW$14,1,CT112))^INT(INT((CT$6-INDEX('Lease Cycles'!$GJ$14:$GP$14,1,CT112))/12)/INDEX('Lease Cycles'!$GX$14:$HD$14,1,CT112))/12,0)))</f>
        <v>2602.680997000735</v>
      </c>
      <c r="CU115" s="28">
        <f>IF(CU112=0,IF('Lease Cycles'!$F$14&gt;0,'Lease Cycles'!$C$14*'Lease Cycles'!$E$14/12,0),IF(CU114=1,IF('Lease Cycles'!$AT$14&gt;=9999,'Lease Cycles'!$C$14*INDEX('Lease Cycles'!$CB$14:$CH$14,1,CU112)*(1+INDEX('Lease Cycles'!$CI$14:$CO$14,1,CU112))^INT(INT(CU113/12)/INDEX('Lease Cycles'!$CP$14:$CV$14,1,CU112))/12,IF(CU112=1,IF(CU113&gt;=INDEX('Lease Cycles'!$DK$14:$DQ$14,1,CU112),IF(CU$6&gt;='Lease Cycles'!$AZ$14,'Lease Cycles'!$C$14*'Lease Cycles'!$BA$14/12,IF(CU$6&gt;='Lease Cycles'!$AX$14,'Lease Cycles'!$C$14*'Lease Cycles'!$AY$14/12,IF(CU$6&gt;='Lease Cycles'!$AV$14,'Lease Cycles'!$C$14*'Lease Cycles'!$AW$14/12,IF(CU$6&gt;='Lease Cycles'!$AT$14,'Lease Cycles'!$C$14*'Lease Cycles'!$AU$14/12,'Lease Cycles'!$C$14*INDEX('Lease Cycles'!$CB$14:$CH$14,1,CU112)*(1+INDEX('Lease Cycles'!$CI$14:$CO$14,1,CU112))^INT(INT(CU113/12)/INDEX('Lease Cycles'!$CP$14:$CV$14,1,CU112))/12)))),'Lease Cycles'!$C$14*INDEX('Lease Cycles'!$CB$14:$CH$14,1,CU112)*(1+INDEX('Lease Cycles'!$CI$14:$CO$14,1,CU112))^INT(INT(CU113/12)/INDEX('Lease Cycles'!$CP$14:$CV$14,1,CU112))/12),IF(INDEX('Lease Cycles'!$EF$14:$EL$14,1,CU112)=1,IF(AND('Lease Cycles'!$AZ$14&gt;=INDEX('Lease Cycles'!$BG$14:$BM$14,1,CU112),'Lease Cycles'!$AZ$14&lt;=CU$6),'Lease Cycles'!$C$14*'Lease Cycles'!$BA$14/12,IF(AND('Lease Cycles'!$AX$14&gt;=INDEX('Lease Cycles'!$BG$14:$BM$14,1,CU112),'Lease Cycles'!$AX$14&lt;=CU$6),'Lease Cycles'!$C$14*'Lease Cycles'!$AY$14/12,IF(AND('Lease Cycles'!$AV$14&gt;=INDEX('Lease Cycles'!$BG$14:$BM$14,1,CU112),'Lease Cycles'!$AV$14&lt;=CU$6),'Lease Cycles'!$C$14*'Lease Cycles'!$AW$14/12,IF(AND('Lease Cycles'!$AT$14&gt;=INDEX('Lease Cycles'!$BG$14:$BM$14,1,CU112),'Lease Cycles'!$AT$14&lt;=CU$6),'Lease Cycles'!$C$14*'Lease Cycles'!$AU$14/12,'Lease Cycles'!$C$14*INDEX('Lease Cycles'!$CB$14:$CH$14,1,CU112)*(1+INDEX('Lease Cycles'!$CI$14:$CO$14,1,CU112))^INT(INT(CU113/12)/INDEX('Lease Cycles'!$CP$14:$CV$14,1,CU112))/12)))),'Lease Cycles'!$C$14*INDEX('Lease Cycles'!$CB$14:$CH$14,1,CU112)*(1+INDEX('Lease Cycles'!$CI$14:$CO$14,1,CU112))^INT(INT(CU113/12)/INDEX('Lease Cycles'!$CP$14:$CV$14,1,CU112))/12))),IF('Lease Cycles'!$N$14=1,'Lease Cycles'!$C$14*'Lease Cycles'!$E$14*INDEX('Lease Cycles'!$HE$14:$HK$14,1,CU112)*(1+INDEX('Lease Cycles'!$GQ$14:$GW$14,1,CU112))^INT(INT((CU$6-INDEX('Lease Cycles'!$GJ$14:$GP$14,1,CU112))/12)/INDEX('Lease Cycles'!$GX$14:$HD$14,1,CU112))/12,0)))</f>
        <v>2602.680997000735</v>
      </c>
      <c r="CV115" s="28">
        <f>IF(CV112=0,IF('Lease Cycles'!$F$14&gt;0,'Lease Cycles'!$C$14*'Lease Cycles'!$E$14/12,0),IF(CV114=1,IF('Lease Cycles'!$AT$14&gt;=9999,'Lease Cycles'!$C$14*INDEX('Lease Cycles'!$CB$14:$CH$14,1,CV112)*(1+INDEX('Lease Cycles'!$CI$14:$CO$14,1,CV112))^INT(INT(CV113/12)/INDEX('Lease Cycles'!$CP$14:$CV$14,1,CV112))/12,IF(CV112=1,IF(CV113&gt;=INDEX('Lease Cycles'!$DK$14:$DQ$14,1,CV112),IF(CV$6&gt;='Lease Cycles'!$AZ$14,'Lease Cycles'!$C$14*'Lease Cycles'!$BA$14/12,IF(CV$6&gt;='Lease Cycles'!$AX$14,'Lease Cycles'!$C$14*'Lease Cycles'!$AY$14/12,IF(CV$6&gt;='Lease Cycles'!$AV$14,'Lease Cycles'!$C$14*'Lease Cycles'!$AW$14/12,IF(CV$6&gt;='Lease Cycles'!$AT$14,'Lease Cycles'!$C$14*'Lease Cycles'!$AU$14/12,'Lease Cycles'!$C$14*INDEX('Lease Cycles'!$CB$14:$CH$14,1,CV112)*(1+INDEX('Lease Cycles'!$CI$14:$CO$14,1,CV112))^INT(INT(CV113/12)/INDEX('Lease Cycles'!$CP$14:$CV$14,1,CV112))/12)))),'Lease Cycles'!$C$14*INDEX('Lease Cycles'!$CB$14:$CH$14,1,CV112)*(1+INDEX('Lease Cycles'!$CI$14:$CO$14,1,CV112))^INT(INT(CV113/12)/INDEX('Lease Cycles'!$CP$14:$CV$14,1,CV112))/12),IF(INDEX('Lease Cycles'!$EF$14:$EL$14,1,CV112)=1,IF(AND('Lease Cycles'!$AZ$14&gt;=INDEX('Lease Cycles'!$BG$14:$BM$14,1,CV112),'Lease Cycles'!$AZ$14&lt;=CV$6),'Lease Cycles'!$C$14*'Lease Cycles'!$BA$14/12,IF(AND('Lease Cycles'!$AX$14&gt;=INDEX('Lease Cycles'!$BG$14:$BM$14,1,CV112),'Lease Cycles'!$AX$14&lt;=CV$6),'Lease Cycles'!$C$14*'Lease Cycles'!$AY$14/12,IF(AND('Lease Cycles'!$AV$14&gt;=INDEX('Lease Cycles'!$BG$14:$BM$14,1,CV112),'Lease Cycles'!$AV$14&lt;=CV$6),'Lease Cycles'!$C$14*'Lease Cycles'!$AW$14/12,IF(AND('Lease Cycles'!$AT$14&gt;=INDEX('Lease Cycles'!$BG$14:$BM$14,1,CV112),'Lease Cycles'!$AT$14&lt;=CV$6),'Lease Cycles'!$C$14*'Lease Cycles'!$AU$14/12,'Lease Cycles'!$C$14*INDEX('Lease Cycles'!$CB$14:$CH$14,1,CV112)*(1+INDEX('Lease Cycles'!$CI$14:$CO$14,1,CV112))^INT(INT(CV113/12)/INDEX('Lease Cycles'!$CP$14:$CV$14,1,CV112))/12)))),'Lease Cycles'!$C$14*INDEX('Lease Cycles'!$CB$14:$CH$14,1,CV112)*(1+INDEX('Lease Cycles'!$CI$14:$CO$14,1,CV112))^INT(INT(CV113/12)/INDEX('Lease Cycles'!$CP$14:$CV$14,1,CV112))/12))),IF('Lease Cycles'!$N$14=1,'Lease Cycles'!$C$14*'Lease Cycles'!$E$14*INDEX('Lease Cycles'!$HE$14:$HK$14,1,CV112)*(1+INDEX('Lease Cycles'!$GQ$14:$GW$14,1,CV112))^INT(INT((CV$6-INDEX('Lease Cycles'!$GJ$14:$GP$14,1,CV112))/12)/INDEX('Lease Cycles'!$GX$14:$HD$14,1,CV112))/12,0)))</f>
        <v>2602.680997000735</v>
      </c>
      <c r="CW115" s="28">
        <f>IF(CW112=0,IF('Lease Cycles'!$F$14&gt;0,'Lease Cycles'!$C$14*'Lease Cycles'!$E$14/12,0),IF(CW114=1,IF('Lease Cycles'!$AT$14&gt;=9999,'Lease Cycles'!$C$14*INDEX('Lease Cycles'!$CB$14:$CH$14,1,CW112)*(1+INDEX('Lease Cycles'!$CI$14:$CO$14,1,CW112))^INT(INT(CW113/12)/INDEX('Lease Cycles'!$CP$14:$CV$14,1,CW112))/12,IF(CW112=1,IF(CW113&gt;=INDEX('Lease Cycles'!$DK$14:$DQ$14,1,CW112),IF(CW$6&gt;='Lease Cycles'!$AZ$14,'Lease Cycles'!$C$14*'Lease Cycles'!$BA$14/12,IF(CW$6&gt;='Lease Cycles'!$AX$14,'Lease Cycles'!$C$14*'Lease Cycles'!$AY$14/12,IF(CW$6&gt;='Lease Cycles'!$AV$14,'Lease Cycles'!$C$14*'Lease Cycles'!$AW$14/12,IF(CW$6&gt;='Lease Cycles'!$AT$14,'Lease Cycles'!$C$14*'Lease Cycles'!$AU$14/12,'Lease Cycles'!$C$14*INDEX('Lease Cycles'!$CB$14:$CH$14,1,CW112)*(1+INDEX('Lease Cycles'!$CI$14:$CO$14,1,CW112))^INT(INT(CW113/12)/INDEX('Lease Cycles'!$CP$14:$CV$14,1,CW112))/12)))),'Lease Cycles'!$C$14*INDEX('Lease Cycles'!$CB$14:$CH$14,1,CW112)*(1+INDEX('Lease Cycles'!$CI$14:$CO$14,1,CW112))^INT(INT(CW113/12)/INDEX('Lease Cycles'!$CP$14:$CV$14,1,CW112))/12),IF(INDEX('Lease Cycles'!$EF$14:$EL$14,1,CW112)=1,IF(AND('Lease Cycles'!$AZ$14&gt;=INDEX('Lease Cycles'!$BG$14:$BM$14,1,CW112),'Lease Cycles'!$AZ$14&lt;=CW$6),'Lease Cycles'!$C$14*'Lease Cycles'!$BA$14/12,IF(AND('Lease Cycles'!$AX$14&gt;=INDEX('Lease Cycles'!$BG$14:$BM$14,1,CW112),'Lease Cycles'!$AX$14&lt;=CW$6),'Lease Cycles'!$C$14*'Lease Cycles'!$AY$14/12,IF(AND('Lease Cycles'!$AV$14&gt;=INDEX('Lease Cycles'!$BG$14:$BM$14,1,CW112),'Lease Cycles'!$AV$14&lt;=CW$6),'Lease Cycles'!$C$14*'Lease Cycles'!$AW$14/12,IF(AND('Lease Cycles'!$AT$14&gt;=INDEX('Lease Cycles'!$BG$14:$BM$14,1,CW112),'Lease Cycles'!$AT$14&lt;=CW$6),'Lease Cycles'!$C$14*'Lease Cycles'!$AU$14/12,'Lease Cycles'!$C$14*INDEX('Lease Cycles'!$CB$14:$CH$14,1,CW112)*(1+INDEX('Lease Cycles'!$CI$14:$CO$14,1,CW112))^INT(INT(CW113/12)/INDEX('Lease Cycles'!$CP$14:$CV$14,1,CW112))/12)))),'Lease Cycles'!$C$14*INDEX('Lease Cycles'!$CB$14:$CH$14,1,CW112)*(1+INDEX('Lease Cycles'!$CI$14:$CO$14,1,CW112))^INT(INT(CW113/12)/INDEX('Lease Cycles'!$CP$14:$CV$14,1,CW112))/12))),IF('Lease Cycles'!$N$14=1,'Lease Cycles'!$C$14*'Lease Cycles'!$E$14*INDEX('Lease Cycles'!$HE$14:$HK$14,1,CW112)*(1+INDEX('Lease Cycles'!$GQ$14:$GW$14,1,CW112))^INT(INT((CW$6-INDEX('Lease Cycles'!$GJ$14:$GP$14,1,CW112))/12)/INDEX('Lease Cycles'!$GX$14:$HD$14,1,CW112))/12,0)))</f>
        <v>2602.680997000735</v>
      </c>
      <c r="CX115" s="28">
        <f>IF(CX112=0,IF('Lease Cycles'!$F$14&gt;0,'Lease Cycles'!$C$14*'Lease Cycles'!$E$14/12,0),IF(CX114=1,IF('Lease Cycles'!$AT$14&gt;=9999,'Lease Cycles'!$C$14*INDEX('Lease Cycles'!$CB$14:$CH$14,1,CX112)*(1+INDEX('Lease Cycles'!$CI$14:$CO$14,1,CX112))^INT(INT(CX113/12)/INDEX('Lease Cycles'!$CP$14:$CV$14,1,CX112))/12,IF(CX112=1,IF(CX113&gt;=INDEX('Lease Cycles'!$DK$14:$DQ$14,1,CX112),IF(CX$6&gt;='Lease Cycles'!$AZ$14,'Lease Cycles'!$C$14*'Lease Cycles'!$BA$14/12,IF(CX$6&gt;='Lease Cycles'!$AX$14,'Lease Cycles'!$C$14*'Lease Cycles'!$AY$14/12,IF(CX$6&gt;='Lease Cycles'!$AV$14,'Lease Cycles'!$C$14*'Lease Cycles'!$AW$14/12,IF(CX$6&gt;='Lease Cycles'!$AT$14,'Lease Cycles'!$C$14*'Lease Cycles'!$AU$14/12,'Lease Cycles'!$C$14*INDEX('Lease Cycles'!$CB$14:$CH$14,1,CX112)*(1+INDEX('Lease Cycles'!$CI$14:$CO$14,1,CX112))^INT(INT(CX113/12)/INDEX('Lease Cycles'!$CP$14:$CV$14,1,CX112))/12)))),'Lease Cycles'!$C$14*INDEX('Lease Cycles'!$CB$14:$CH$14,1,CX112)*(1+INDEX('Lease Cycles'!$CI$14:$CO$14,1,CX112))^INT(INT(CX113/12)/INDEX('Lease Cycles'!$CP$14:$CV$14,1,CX112))/12),IF(INDEX('Lease Cycles'!$EF$14:$EL$14,1,CX112)=1,IF(AND('Lease Cycles'!$AZ$14&gt;=INDEX('Lease Cycles'!$BG$14:$BM$14,1,CX112),'Lease Cycles'!$AZ$14&lt;=CX$6),'Lease Cycles'!$C$14*'Lease Cycles'!$BA$14/12,IF(AND('Lease Cycles'!$AX$14&gt;=INDEX('Lease Cycles'!$BG$14:$BM$14,1,CX112),'Lease Cycles'!$AX$14&lt;=CX$6),'Lease Cycles'!$C$14*'Lease Cycles'!$AY$14/12,IF(AND('Lease Cycles'!$AV$14&gt;=INDEX('Lease Cycles'!$BG$14:$BM$14,1,CX112),'Lease Cycles'!$AV$14&lt;=CX$6),'Lease Cycles'!$C$14*'Lease Cycles'!$AW$14/12,IF(AND('Lease Cycles'!$AT$14&gt;=INDEX('Lease Cycles'!$BG$14:$BM$14,1,CX112),'Lease Cycles'!$AT$14&lt;=CX$6),'Lease Cycles'!$C$14*'Lease Cycles'!$AU$14/12,'Lease Cycles'!$C$14*INDEX('Lease Cycles'!$CB$14:$CH$14,1,CX112)*(1+INDEX('Lease Cycles'!$CI$14:$CO$14,1,CX112))^INT(INT(CX113/12)/INDEX('Lease Cycles'!$CP$14:$CV$14,1,CX112))/12)))),'Lease Cycles'!$C$14*INDEX('Lease Cycles'!$CB$14:$CH$14,1,CX112)*(1+INDEX('Lease Cycles'!$CI$14:$CO$14,1,CX112))^INT(INT(CX113/12)/INDEX('Lease Cycles'!$CP$14:$CV$14,1,CX112))/12))),IF('Lease Cycles'!$N$14=1,'Lease Cycles'!$C$14*'Lease Cycles'!$E$14*INDEX('Lease Cycles'!$HE$14:$HK$14,1,CX112)*(1+INDEX('Lease Cycles'!$GQ$14:$GW$14,1,CX112))^INT(INT((CX$6-INDEX('Lease Cycles'!$GJ$14:$GP$14,1,CX112))/12)/INDEX('Lease Cycles'!$GX$14:$HD$14,1,CX112))/12,0)))</f>
        <v>2602.680997000735</v>
      </c>
      <c r="CY115" s="28">
        <f>IF(CY112=0,IF('Lease Cycles'!$F$14&gt;0,'Lease Cycles'!$C$14*'Lease Cycles'!$E$14/12,0),IF(CY114=1,IF('Lease Cycles'!$AT$14&gt;=9999,'Lease Cycles'!$C$14*INDEX('Lease Cycles'!$CB$14:$CH$14,1,CY112)*(1+INDEX('Lease Cycles'!$CI$14:$CO$14,1,CY112))^INT(INT(CY113/12)/INDEX('Lease Cycles'!$CP$14:$CV$14,1,CY112))/12,IF(CY112=1,IF(CY113&gt;=INDEX('Lease Cycles'!$DK$14:$DQ$14,1,CY112),IF(CY$6&gt;='Lease Cycles'!$AZ$14,'Lease Cycles'!$C$14*'Lease Cycles'!$BA$14/12,IF(CY$6&gt;='Lease Cycles'!$AX$14,'Lease Cycles'!$C$14*'Lease Cycles'!$AY$14/12,IF(CY$6&gt;='Lease Cycles'!$AV$14,'Lease Cycles'!$C$14*'Lease Cycles'!$AW$14/12,IF(CY$6&gt;='Lease Cycles'!$AT$14,'Lease Cycles'!$C$14*'Lease Cycles'!$AU$14/12,'Lease Cycles'!$C$14*INDEX('Lease Cycles'!$CB$14:$CH$14,1,CY112)*(1+INDEX('Lease Cycles'!$CI$14:$CO$14,1,CY112))^INT(INT(CY113/12)/INDEX('Lease Cycles'!$CP$14:$CV$14,1,CY112))/12)))),'Lease Cycles'!$C$14*INDEX('Lease Cycles'!$CB$14:$CH$14,1,CY112)*(1+INDEX('Lease Cycles'!$CI$14:$CO$14,1,CY112))^INT(INT(CY113/12)/INDEX('Lease Cycles'!$CP$14:$CV$14,1,CY112))/12),IF(INDEX('Lease Cycles'!$EF$14:$EL$14,1,CY112)=1,IF(AND('Lease Cycles'!$AZ$14&gt;=INDEX('Lease Cycles'!$BG$14:$BM$14,1,CY112),'Lease Cycles'!$AZ$14&lt;=CY$6),'Lease Cycles'!$C$14*'Lease Cycles'!$BA$14/12,IF(AND('Lease Cycles'!$AX$14&gt;=INDEX('Lease Cycles'!$BG$14:$BM$14,1,CY112),'Lease Cycles'!$AX$14&lt;=CY$6),'Lease Cycles'!$C$14*'Lease Cycles'!$AY$14/12,IF(AND('Lease Cycles'!$AV$14&gt;=INDEX('Lease Cycles'!$BG$14:$BM$14,1,CY112),'Lease Cycles'!$AV$14&lt;=CY$6),'Lease Cycles'!$C$14*'Lease Cycles'!$AW$14/12,IF(AND('Lease Cycles'!$AT$14&gt;=INDEX('Lease Cycles'!$BG$14:$BM$14,1,CY112),'Lease Cycles'!$AT$14&lt;=CY$6),'Lease Cycles'!$C$14*'Lease Cycles'!$AU$14/12,'Lease Cycles'!$C$14*INDEX('Lease Cycles'!$CB$14:$CH$14,1,CY112)*(1+INDEX('Lease Cycles'!$CI$14:$CO$14,1,CY112))^INT(INT(CY113/12)/INDEX('Lease Cycles'!$CP$14:$CV$14,1,CY112))/12)))),'Lease Cycles'!$C$14*INDEX('Lease Cycles'!$CB$14:$CH$14,1,CY112)*(1+INDEX('Lease Cycles'!$CI$14:$CO$14,1,CY112))^INT(INT(CY113/12)/INDEX('Lease Cycles'!$CP$14:$CV$14,1,CY112))/12))),IF('Lease Cycles'!$N$14=1,'Lease Cycles'!$C$14*'Lease Cycles'!$E$14*INDEX('Lease Cycles'!$HE$14:$HK$14,1,CY112)*(1+INDEX('Lease Cycles'!$GQ$14:$GW$14,1,CY112))^INT(INT((CY$6-INDEX('Lease Cycles'!$GJ$14:$GP$14,1,CY112))/12)/INDEX('Lease Cycles'!$GX$14:$HD$14,1,CY112))/12,0)))</f>
        <v>2602.680997000735</v>
      </c>
      <c r="CZ115" s="28">
        <f>IF(CZ112=0,IF('Lease Cycles'!$F$14&gt;0,'Lease Cycles'!$C$14*'Lease Cycles'!$E$14/12,0),IF(CZ114=1,IF('Lease Cycles'!$AT$14&gt;=9999,'Lease Cycles'!$C$14*INDEX('Lease Cycles'!$CB$14:$CH$14,1,CZ112)*(1+INDEX('Lease Cycles'!$CI$14:$CO$14,1,CZ112))^INT(INT(CZ113/12)/INDEX('Lease Cycles'!$CP$14:$CV$14,1,CZ112))/12,IF(CZ112=1,IF(CZ113&gt;=INDEX('Lease Cycles'!$DK$14:$DQ$14,1,CZ112),IF(CZ$6&gt;='Lease Cycles'!$AZ$14,'Lease Cycles'!$C$14*'Lease Cycles'!$BA$14/12,IF(CZ$6&gt;='Lease Cycles'!$AX$14,'Lease Cycles'!$C$14*'Lease Cycles'!$AY$14/12,IF(CZ$6&gt;='Lease Cycles'!$AV$14,'Lease Cycles'!$C$14*'Lease Cycles'!$AW$14/12,IF(CZ$6&gt;='Lease Cycles'!$AT$14,'Lease Cycles'!$C$14*'Lease Cycles'!$AU$14/12,'Lease Cycles'!$C$14*INDEX('Lease Cycles'!$CB$14:$CH$14,1,CZ112)*(1+INDEX('Lease Cycles'!$CI$14:$CO$14,1,CZ112))^INT(INT(CZ113/12)/INDEX('Lease Cycles'!$CP$14:$CV$14,1,CZ112))/12)))),'Lease Cycles'!$C$14*INDEX('Lease Cycles'!$CB$14:$CH$14,1,CZ112)*(1+INDEX('Lease Cycles'!$CI$14:$CO$14,1,CZ112))^INT(INT(CZ113/12)/INDEX('Lease Cycles'!$CP$14:$CV$14,1,CZ112))/12),IF(INDEX('Lease Cycles'!$EF$14:$EL$14,1,CZ112)=1,IF(AND('Lease Cycles'!$AZ$14&gt;=INDEX('Lease Cycles'!$BG$14:$BM$14,1,CZ112),'Lease Cycles'!$AZ$14&lt;=CZ$6),'Lease Cycles'!$C$14*'Lease Cycles'!$BA$14/12,IF(AND('Lease Cycles'!$AX$14&gt;=INDEX('Lease Cycles'!$BG$14:$BM$14,1,CZ112),'Lease Cycles'!$AX$14&lt;=CZ$6),'Lease Cycles'!$C$14*'Lease Cycles'!$AY$14/12,IF(AND('Lease Cycles'!$AV$14&gt;=INDEX('Lease Cycles'!$BG$14:$BM$14,1,CZ112),'Lease Cycles'!$AV$14&lt;=CZ$6),'Lease Cycles'!$C$14*'Lease Cycles'!$AW$14/12,IF(AND('Lease Cycles'!$AT$14&gt;=INDEX('Lease Cycles'!$BG$14:$BM$14,1,CZ112),'Lease Cycles'!$AT$14&lt;=CZ$6),'Lease Cycles'!$C$14*'Lease Cycles'!$AU$14/12,'Lease Cycles'!$C$14*INDEX('Lease Cycles'!$CB$14:$CH$14,1,CZ112)*(1+INDEX('Lease Cycles'!$CI$14:$CO$14,1,CZ112))^INT(INT(CZ113/12)/INDEX('Lease Cycles'!$CP$14:$CV$14,1,CZ112))/12)))),'Lease Cycles'!$C$14*INDEX('Lease Cycles'!$CB$14:$CH$14,1,CZ112)*(1+INDEX('Lease Cycles'!$CI$14:$CO$14,1,CZ112))^INT(INT(CZ113/12)/INDEX('Lease Cycles'!$CP$14:$CV$14,1,CZ112))/12))),IF('Lease Cycles'!$N$14=1,'Lease Cycles'!$C$14*'Lease Cycles'!$E$14*INDEX('Lease Cycles'!$HE$14:$HK$14,1,CZ112)*(1+INDEX('Lease Cycles'!$GQ$14:$GW$14,1,CZ112))^INT(INT((CZ$6-INDEX('Lease Cycles'!$GJ$14:$GP$14,1,CZ112))/12)/INDEX('Lease Cycles'!$GX$14:$HD$14,1,CZ112))/12,0)))</f>
        <v>2602.680997000735</v>
      </c>
      <c r="DA115" s="28">
        <f>IF(DA112=0,IF('Lease Cycles'!$F$14&gt;0,'Lease Cycles'!$C$14*'Lease Cycles'!$E$14/12,0),IF(DA114=1,IF('Lease Cycles'!$AT$14&gt;=9999,'Lease Cycles'!$C$14*INDEX('Lease Cycles'!$CB$14:$CH$14,1,DA112)*(1+INDEX('Lease Cycles'!$CI$14:$CO$14,1,DA112))^INT(INT(DA113/12)/INDEX('Lease Cycles'!$CP$14:$CV$14,1,DA112))/12,IF(DA112=1,IF(DA113&gt;=INDEX('Lease Cycles'!$DK$14:$DQ$14,1,DA112),IF(DA$6&gt;='Lease Cycles'!$AZ$14,'Lease Cycles'!$C$14*'Lease Cycles'!$BA$14/12,IF(DA$6&gt;='Lease Cycles'!$AX$14,'Lease Cycles'!$C$14*'Lease Cycles'!$AY$14/12,IF(DA$6&gt;='Lease Cycles'!$AV$14,'Lease Cycles'!$C$14*'Lease Cycles'!$AW$14/12,IF(DA$6&gt;='Lease Cycles'!$AT$14,'Lease Cycles'!$C$14*'Lease Cycles'!$AU$14/12,'Lease Cycles'!$C$14*INDEX('Lease Cycles'!$CB$14:$CH$14,1,DA112)*(1+INDEX('Lease Cycles'!$CI$14:$CO$14,1,DA112))^INT(INT(DA113/12)/INDEX('Lease Cycles'!$CP$14:$CV$14,1,DA112))/12)))),'Lease Cycles'!$C$14*INDEX('Lease Cycles'!$CB$14:$CH$14,1,DA112)*(1+INDEX('Lease Cycles'!$CI$14:$CO$14,1,DA112))^INT(INT(DA113/12)/INDEX('Lease Cycles'!$CP$14:$CV$14,1,DA112))/12),IF(INDEX('Lease Cycles'!$EF$14:$EL$14,1,DA112)=1,IF(AND('Lease Cycles'!$AZ$14&gt;=INDEX('Lease Cycles'!$BG$14:$BM$14,1,DA112),'Lease Cycles'!$AZ$14&lt;=DA$6),'Lease Cycles'!$C$14*'Lease Cycles'!$BA$14/12,IF(AND('Lease Cycles'!$AX$14&gt;=INDEX('Lease Cycles'!$BG$14:$BM$14,1,DA112),'Lease Cycles'!$AX$14&lt;=DA$6),'Lease Cycles'!$C$14*'Lease Cycles'!$AY$14/12,IF(AND('Lease Cycles'!$AV$14&gt;=INDEX('Lease Cycles'!$BG$14:$BM$14,1,DA112),'Lease Cycles'!$AV$14&lt;=DA$6),'Lease Cycles'!$C$14*'Lease Cycles'!$AW$14/12,IF(AND('Lease Cycles'!$AT$14&gt;=INDEX('Lease Cycles'!$BG$14:$BM$14,1,DA112),'Lease Cycles'!$AT$14&lt;=DA$6),'Lease Cycles'!$C$14*'Lease Cycles'!$AU$14/12,'Lease Cycles'!$C$14*INDEX('Lease Cycles'!$CB$14:$CH$14,1,DA112)*(1+INDEX('Lease Cycles'!$CI$14:$CO$14,1,DA112))^INT(INT(DA113/12)/INDEX('Lease Cycles'!$CP$14:$CV$14,1,DA112))/12)))),'Lease Cycles'!$C$14*INDEX('Lease Cycles'!$CB$14:$CH$14,1,DA112)*(1+INDEX('Lease Cycles'!$CI$14:$CO$14,1,DA112))^INT(INT(DA113/12)/INDEX('Lease Cycles'!$CP$14:$CV$14,1,DA112))/12))),IF('Lease Cycles'!$N$14=1,'Lease Cycles'!$C$14*'Lease Cycles'!$E$14*INDEX('Lease Cycles'!$HE$14:$HK$14,1,DA112)*(1+INDEX('Lease Cycles'!$GQ$14:$GW$14,1,DA112))^INT(INT((DA$6-INDEX('Lease Cycles'!$GJ$14:$GP$14,1,DA112))/12)/INDEX('Lease Cycles'!$GX$14:$HD$14,1,DA112))/12,0)))</f>
        <v>2602.680997000735</v>
      </c>
      <c r="DB115" s="28">
        <f>IF(DB112=0,IF('Lease Cycles'!$F$14&gt;0,'Lease Cycles'!$C$14*'Lease Cycles'!$E$14/12,0),IF(DB114=1,IF('Lease Cycles'!$AT$14&gt;=9999,'Lease Cycles'!$C$14*INDEX('Lease Cycles'!$CB$14:$CH$14,1,DB112)*(1+INDEX('Lease Cycles'!$CI$14:$CO$14,1,DB112))^INT(INT(DB113/12)/INDEX('Lease Cycles'!$CP$14:$CV$14,1,DB112))/12,IF(DB112=1,IF(DB113&gt;=INDEX('Lease Cycles'!$DK$14:$DQ$14,1,DB112),IF(DB$6&gt;='Lease Cycles'!$AZ$14,'Lease Cycles'!$C$14*'Lease Cycles'!$BA$14/12,IF(DB$6&gt;='Lease Cycles'!$AX$14,'Lease Cycles'!$C$14*'Lease Cycles'!$AY$14/12,IF(DB$6&gt;='Lease Cycles'!$AV$14,'Lease Cycles'!$C$14*'Lease Cycles'!$AW$14/12,IF(DB$6&gt;='Lease Cycles'!$AT$14,'Lease Cycles'!$C$14*'Lease Cycles'!$AU$14/12,'Lease Cycles'!$C$14*INDEX('Lease Cycles'!$CB$14:$CH$14,1,DB112)*(1+INDEX('Lease Cycles'!$CI$14:$CO$14,1,DB112))^INT(INT(DB113/12)/INDEX('Lease Cycles'!$CP$14:$CV$14,1,DB112))/12)))),'Lease Cycles'!$C$14*INDEX('Lease Cycles'!$CB$14:$CH$14,1,DB112)*(1+INDEX('Lease Cycles'!$CI$14:$CO$14,1,DB112))^INT(INT(DB113/12)/INDEX('Lease Cycles'!$CP$14:$CV$14,1,DB112))/12),IF(INDEX('Lease Cycles'!$EF$14:$EL$14,1,DB112)=1,IF(AND('Lease Cycles'!$AZ$14&gt;=INDEX('Lease Cycles'!$BG$14:$BM$14,1,DB112),'Lease Cycles'!$AZ$14&lt;=DB$6),'Lease Cycles'!$C$14*'Lease Cycles'!$BA$14/12,IF(AND('Lease Cycles'!$AX$14&gt;=INDEX('Lease Cycles'!$BG$14:$BM$14,1,DB112),'Lease Cycles'!$AX$14&lt;=DB$6),'Lease Cycles'!$C$14*'Lease Cycles'!$AY$14/12,IF(AND('Lease Cycles'!$AV$14&gt;=INDEX('Lease Cycles'!$BG$14:$BM$14,1,DB112),'Lease Cycles'!$AV$14&lt;=DB$6),'Lease Cycles'!$C$14*'Lease Cycles'!$AW$14/12,IF(AND('Lease Cycles'!$AT$14&gt;=INDEX('Lease Cycles'!$BG$14:$BM$14,1,DB112),'Lease Cycles'!$AT$14&lt;=DB$6),'Lease Cycles'!$C$14*'Lease Cycles'!$AU$14/12,'Lease Cycles'!$C$14*INDEX('Lease Cycles'!$CB$14:$CH$14,1,DB112)*(1+INDEX('Lease Cycles'!$CI$14:$CO$14,1,DB112))^INT(INT(DB113/12)/INDEX('Lease Cycles'!$CP$14:$CV$14,1,DB112))/12)))),'Lease Cycles'!$C$14*INDEX('Lease Cycles'!$CB$14:$CH$14,1,DB112)*(1+INDEX('Lease Cycles'!$CI$14:$CO$14,1,DB112))^INT(INT(DB113/12)/INDEX('Lease Cycles'!$CP$14:$CV$14,1,DB112))/12))),IF('Lease Cycles'!$N$14=1,'Lease Cycles'!$C$14*'Lease Cycles'!$E$14*INDEX('Lease Cycles'!$HE$14:$HK$14,1,DB112)*(1+INDEX('Lease Cycles'!$GQ$14:$GW$14,1,DB112))^INT(INT((DB$6-INDEX('Lease Cycles'!$GJ$14:$GP$14,1,DB112))/12)/INDEX('Lease Cycles'!$GX$14:$HD$14,1,DB112))/12,0)))</f>
        <v>2602.680997000735</v>
      </c>
      <c r="DC115" s="28">
        <f>IF(DC112=0,IF('Lease Cycles'!$F$14&gt;0,'Lease Cycles'!$C$14*'Lease Cycles'!$E$14/12,0),IF(DC114=1,IF('Lease Cycles'!$AT$14&gt;=9999,'Lease Cycles'!$C$14*INDEX('Lease Cycles'!$CB$14:$CH$14,1,DC112)*(1+INDEX('Lease Cycles'!$CI$14:$CO$14,1,DC112))^INT(INT(DC113/12)/INDEX('Lease Cycles'!$CP$14:$CV$14,1,DC112))/12,IF(DC112=1,IF(DC113&gt;=INDEX('Lease Cycles'!$DK$14:$DQ$14,1,DC112),IF(DC$6&gt;='Lease Cycles'!$AZ$14,'Lease Cycles'!$C$14*'Lease Cycles'!$BA$14/12,IF(DC$6&gt;='Lease Cycles'!$AX$14,'Lease Cycles'!$C$14*'Lease Cycles'!$AY$14/12,IF(DC$6&gt;='Lease Cycles'!$AV$14,'Lease Cycles'!$C$14*'Lease Cycles'!$AW$14/12,IF(DC$6&gt;='Lease Cycles'!$AT$14,'Lease Cycles'!$C$14*'Lease Cycles'!$AU$14/12,'Lease Cycles'!$C$14*INDEX('Lease Cycles'!$CB$14:$CH$14,1,DC112)*(1+INDEX('Lease Cycles'!$CI$14:$CO$14,1,DC112))^INT(INT(DC113/12)/INDEX('Lease Cycles'!$CP$14:$CV$14,1,DC112))/12)))),'Lease Cycles'!$C$14*INDEX('Lease Cycles'!$CB$14:$CH$14,1,DC112)*(1+INDEX('Lease Cycles'!$CI$14:$CO$14,1,DC112))^INT(INT(DC113/12)/INDEX('Lease Cycles'!$CP$14:$CV$14,1,DC112))/12),IF(INDEX('Lease Cycles'!$EF$14:$EL$14,1,DC112)=1,IF(AND('Lease Cycles'!$AZ$14&gt;=INDEX('Lease Cycles'!$BG$14:$BM$14,1,DC112),'Lease Cycles'!$AZ$14&lt;=DC$6),'Lease Cycles'!$C$14*'Lease Cycles'!$BA$14/12,IF(AND('Lease Cycles'!$AX$14&gt;=INDEX('Lease Cycles'!$BG$14:$BM$14,1,DC112),'Lease Cycles'!$AX$14&lt;=DC$6),'Lease Cycles'!$C$14*'Lease Cycles'!$AY$14/12,IF(AND('Lease Cycles'!$AV$14&gt;=INDEX('Lease Cycles'!$BG$14:$BM$14,1,DC112),'Lease Cycles'!$AV$14&lt;=DC$6),'Lease Cycles'!$C$14*'Lease Cycles'!$AW$14/12,IF(AND('Lease Cycles'!$AT$14&gt;=INDEX('Lease Cycles'!$BG$14:$BM$14,1,DC112),'Lease Cycles'!$AT$14&lt;=DC$6),'Lease Cycles'!$C$14*'Lease Cycles'!$AU$14/12,'Lease Cycles'!$C$14*INDEX('Lease Cycles'!$CB$14:$CH$14,1,DC112)*(1+INDEX('Lease Cycles'!$CI$14:$CO$14,1,DC112))^INT(INT(DC113/12)/INDEX('Lease Cycles'!$CP$14:$CV$14,1,DC112))/12)))),'Lease Cycles'!$C$14*INDEX('Lease Cycles'!$CB$14:$CH$14,1,DC112)*(1+INDEX('Lease Cycles'!$CI$14:$CO$14,1,DC112))^INT(INT(DC113/12)/INDEX('Lease Cycles'!$CP$14:$CV$14,1,DC112))/12))),IF('Lease Cycles'!$N$14=1,'Lease Cycles'!$C$14*'Lease Cycles'!$E$14*INDEX('Lease Cycles'!$HE$14:$HK$14,1,DC112)*(1+INDEX('Lease Cycles'!$GQ$14:$GW$14,1,DC112))^INT(INT((DC$6-INDEX('Lease Cycles'!$GJ$14:$GP$14,1,DC112))/12)/INDEX('Lease Cycles'!$GX$14:$HD$14,1,DC112))/12,0)))</f>
        <v>2680.7614269107567</v>
      </c>
      <c r="DD115" s="28">
        <f>IF(DD112=0,IF('Lease Cycles'!$F$14&gt;0,'Lease Cycles'!$C$14*'Lease Cycles'!$E$14/12,0),IF(DD114=1,IF('Lease Cycles'!$AT$14&gt;=9999,'Lease Cycles'!$C$14*INDEX('Lease Cycles'!$CB$14:$CH$14,1,DD112)*(1+INDEX('Lease Cycles'!$CI$14:$CO$14,1,DD112))^INT(INT(DD113/12)/INDEX('Lease Cycles'!$CP$14:$CV$14,1,DD112))/12,IF(DD112=1,IF(DD113&gt;=INDEX('Lease Cycles'!$DK$14:$DQ$14,1,DD112),IF(DD$6&gt;='Lease Cycles'!$AZ$14,'Lease Cycles'!$C$14*'Lease Cycles'!$BA$14/12,IF(DD$6&gt;='Lease Cycles'!$AX$14,'Lease Cycles'!$C$14*'Lease Cycles'!$AY$14/12,IF(DD$6&gt;='Lease Cycles'!$AV$14,'Lease Cycles'!$C$14*'Lease Cycles'!$AW$14/12,IF(DD$6&gt;='Lease Cycles'!$AT$14,'Lease Cycles'!$C$14*'Lease Cycles'!$AU$14/12,'Lease Cycles'!$C$14*INDEX('Lease Cycles'!$CB$14:$CH$14,1,DD112)*(1+INDEX('Lease Cycles'!$CI$14:$CO$14,1,DD112))^INT(INT(DD113/12)/INDEX('Lease Cycles'!$CP$14:$CV$14,1,DD112))/12)))),'Lease Cycles'!$C$14*INDEX('Lease Cycles'!$CB$14:$CH$14,1,DD112)*(1+INDEX('Lease Cycles'!$CI$14:$CO$14,1,DD112))^INT(INT(DD113/12)/INDEX('Lease Cycles'!$CP$14:$CV$14,1,DD112))/12),IF(INDEX('Lease Cycles'!$EF$14:$EL$14,1,DD112)=1,IF(AND('Lease Cycles'!$AZ$14&gt;=INDEX('Lease Cycles'!$BG$14:$BM$14,1,DD112),'Lease Cycles'!$AZ$14&lt;=DD$6),'Lease Cycles'!$C$14*'Lease Cycles'!$BA$14/12,IF(AND('Lease Cycles'!$AX$14&gt;=INDEX('Lease Cycles'!$BG$14:$BM$14,1,DD112),'Lease Cycles'!$AX$14&lt;=DD$6),'Lease Cycles'!$C$14*'Lease Cycles'!$AY$14/12,IF(AND('Lease Cycles'!$AV$14&gt;=INDEX('Lease Cycles'!$BG$14:$BM$14,1,DD112),'Lease Cycles'!$AV$14&lt;=DD$6),'Lease Cycles'!$C$14*'Lease Cycles'!$AW$14/12,IF(AND('Lease Cycles'!$AT$14&gt;=INDEX('Lease Cycles'!$BG$14:$BM$14,1,DD112),'Lease Cycles'!$AT$14&lt;=DD$6),'Lease Cycles'!$C$14*'Lease Cycles'!$AU$14/12,'Lease Cycles'!$C$14*INDEX('Lease Cycles'!$CB$14:$CH$14,1,DD112)*(1+INDEX('Lease Cycles'!$CI$14:$CO$14,1,DD112))^INT(INT(DD113/12)/INDEX('Lease Cycles'!$CP$14:$CV$14,1,DD112))/12)))),'Lease Cycles'!$C$14*INDEX('Lease Cycles'!$CB$14:$CH$14,1,DD112)*(1+INDEX('Lease Cycles'!$CI$14:$CO$14,1,DD112))^INT(INT(DD113/12)/INDEX('Lease Cycles'!$CP$14:$CV$14,1,DD112))/12))),IF('Lease Cycles'!$N$14=1,'Lease Cycles'!$C$14*'Lease Cycles'!$E$14*INDEX('Lease Cycles'!$HE$14:$HK$14,1,DD112)*(1+INDEX('Lease Cycles'!$GQ$14:$GW$14,1,DD112))^INT(INT((DD$6-INDEX('Lease Cycles'!$GJ$14:$GP$14,1,DD112))/12)/INDEX('Lease Cycles'!$GX$14:$HD$14,1,DD112))/12,0)))</f>
        <v>2680.7614269107567</v>
      </c>
      <c r="DE115" s="28">
        <f>IF(DE112=0,IF('Lease Cycles'!$F$14&gt;0,'Lease Cycles'!$C$14*'Lease Cycles'!$E$14/12,0),IF(DE114=1,IF('Lease Cycles'!$AT$14&gt;=9999,'Lease Cycles'!$C$14*INDEX('Lease Cycles'!$CB$14:$CH$14,1,DE112)*(1+INDEX('Lease Cycles'!$CI$14:$CO$14,1,DE112))^INT(INT(DE113/12)/INDEX('Lease Cycles'!$CP$14:$CV$14,1,DE112))/12,IF(DE112=1,IF(DE113&gt;=INDEX('Lease Cycles'!$DK$14:$DQ$14,1,DE112),IF(DE$6&gt;='Lease Cycles'!$AZ$14,'Lease Cycles'!$C$14*'Lease Cycles'!$BA$14/12,IF(DE$6&gt;='Lease Cycles'!$AX$14,'Lease Cycles'!$C$14*'Lease Cycles'!$AY$14/12,IF(DE$6&gt;='Lease Cycles'!$AV$14,'Lease Cycles'!$C$14*'Lease Cycles'!$AW$14/12,IF(DE$6&gt;='Lease Cycles'!$AT$14,'Lease Cycles'!$C$14*'Lease Cycles'!$AU$14/12,'Lease Cycles'!$C$14*INDEX('Lease Cycles'!$CB$14:$CH$14,1,DE112)*(1+INDEX('Lease Cycles'!$CI$14:$CO$14,1,DE112))^INT(INT(DE113/12)/INDEX('Lease Cycles'!$CP$14:$CV$14,1,DE112))/12)))),'Lease Cycles'!$C$14*INDEX('Lease Cycles'!$CB$14:$CH$14,1,DE112)*(1+INDEX('Lease Cycles'!$CI$14:$CO$14,1,DE112))^INT(INT(DE113/12)/INDEX('Lease Cycles'!$CP$14:$CV$14,1,DE112))/12),IF(INDEX('Lease Cycles'!$EF$14:$EL$14,1,DE112)=1,IF(AND('Lease Cycles'!$AZ$14&gt;=INDEX('Lease Cycles'!$BG$14:$BM$14,1,DE112),'Lease Cycles'!$AZ$14&lt;=DE$6),'Lease Cycles'!$C$14*'Lease Cycles'!$BA$14/12,IF(AND('Lease Cycles'!$AX$14&gt;=INDEX('Lease Cycles'!$BG$14:$BM$14,1,DE112),'Lease Cycles'!$AX$14&lt;=DE$6),'Lease Cycles'!$C$14*'Lease Cycles'!$AY$14/12,IF(AND('Lease Cycles'!$AV$14&gt;=INDEX('Lease Cycles'!$BG$14:$BM$14,1,DE112),'Lease Cycles'!$AV$14&lt;=DE$6),'Lease Cycles'!$C$14*'Lease Cycles'!$AW$14/12,IF(AND('Lease Cycles'!$AT$14&gt;=INDEX('Lease Cycles'!$BG$14:$BM$14,1,DE112),'Lease Cycles'!$AT$14&lt;=DE$6),'Lease Cycles'!$C$14*'Lease Cycles'!$AU$14/12,'Lease Cycles'!$C$14*INDEX('Lease Cycles'!$CB$14:$CH$14,1,DE112)*(1+INDEX('Lease Cycles'!$CI$14:$CO$14,1,DE112))^INT(INT(DE113/12)/INDEX('Lease Cycles'!$CP$14:$CV$14,1,DE112))/12)))),'Lease Cycles'!$C$14*INDEX('Lease Cycles'!$CB$14:$CH$14,1,DE112)*(1+INDEX('Lease Cycles'!$CI$14:$CO$14,1,DE112))^INT(INT(DE113/12)/INDEX('Lease Cycles'!$CP$14:$CV$14,1,DE112))/12))),IF('Lease Cycles'!$N$14=1,'Lease Cycles'!$C$14*'Lease Cycles'!$E$14*INDEX('Lease Cycles'!$HE$14:$HK$14,1,DE112)*(1+INDEX('Lease Cycles'!$GQ$14:$GW$14,1,DE112))^INT(INT((DE$6-INDEX('Lease Cycles'!$GJ$14:$GP$14,1,DE112))/12)/INDEX('Lease Cycles'!$GX$14:$HD$14,1,DE112))/12,0)))</f>
        <v>2680.7614269107567</v>
      </c>
      <c r="DF115" s="28">
        <f>IF(DF112=0,IF('Lease Cycles'!$F$14&gt;0,'Lease Cycles'!$C$14*'Lease Cycles'!$E$14/12,0),IF(DF114=1,IF('Lease Cycles'!$AT$14&gt;=9999,'Lease Cycles'!$C$14*INDEX('Lease Cycles'!$CB$14:$CH$14,1,DF112)*(1+INDEX('Lease Cycles'!$CI$14:$CO$14,1,DF112))^INT(INT(DF113/12)/INDEX('Lease Cycles'!$CP$14:$CV$14,1,DF112))/12,IF(DF112=1,IF(DF113&gt;=INDEX('Lease Cycles'!$DK$14:$DQ$14,1,DF112),IF(DF$6&gt;='Lease Cycles'!$AZ$14,'Lease Cycles'!$C$14*'Lease Cycles'!$BA$14/12,IF(DF$6&gt;='Lease Cycles'!$AX$14,'Lease Cycles'!$C$14*'Lease Cycles'!$AY$14/12,IF(DF$6&gt;='Lease Cycles'!$AV$14,'Lease Cycles'!$C$14*'Lease Cycles'!$AW$14/12,IF(DF$6&gt;='Lease Cycles'!$AT$14,'Lease Cycles'!$C$14*'Lease Cycles'!$AU$14/12,'Lease Cycles'!$C$14*INDEX('Lease Cycles'!$CB$14:$CH$14,1,DF112)*(1+INDEX('Lease Cycles'!$CI$14:$CO$14,1,DF112))^INT(INT(DF113/12)/INDEX('Lease Cycles'!$CP$14:$CV$14,1,DF112))/12)))),'Lease Cycles'!$C$14*INDEX('Lease Cycles'!$CB$14:$CH$14,1,DF112)*(1+INDEX('Lease Cycles'!$CI$14:$CO$14,1,DF112))^INT(INT(DF113/12)/INDEX('Lease Cycles'!$CP$14:$CV$14,1,DF112))/12),IF(INDEX('Lease Cycles'!$EF$14:$EL$14,1,DF112)=1,IF(AND('Lease Cycles'!$AZ$14&gt;=INDEX('Lease Cycles'!$BG$14:$BM$14,1,DF112),'Lease Cycles'!$AZ$14&lt;=DF$6),'Lease Cycles'!$C$14*'Lease Cycles'!$BA$14/12,IF(AND('Lease Cycles'!$AX$14&gt;=INDEX('Lease Cycles'!$BG$14:$BM$14,1,DF112),'Lease Cycles'!$AX$14&lt;=DF$6),'Lease Cycles'!$C$14*'Lease Cycles'!$AY$14/12,IF(AND('Lease Cycles'!$AV$14&gt;=INDEX('Lease Cycles'!$BG$14:$BM$14,1,DF112),'Lease Cycles'!$AV$14&lt;=DF$6),'Lease Cycles'!$C$14*'Lease Cycles'!$AW$14/12,IF(AND('Lease Cycles'!$AT$14&gt;=INDEX('Lease Cycles'!$BG$14:$BM$14,1,DF112),'Lease Cycles'!$AT$14&lt;=DF$6),'Lease Cycles'!$C$14*'Lease Cycles'!$AU$14/12,'Lease Cycles'!$C$14*INDEX('Lease Cycles'!$CB$14:$CH$14,1,DF112)*(1+INDEX('Lease Cycles'!$CI$14:$CO$14,1,DF112))^INT(INT(DF113/12)/INDEX('Lease Cycles'!$CP$14:$CV$14,1,DF112))/12)))),'Lease Cycles'!$C$14*INDEX('Lease Cycles'!$CB$14:$CH$14,1,DF112)*(1+INDEX('Lease Cycles'!$CI$14:$CO$14,1,DF112))^INT(INT(DF113/12)/INDEX('Lease Cycles'!$CP$14:$CV$14,1,DF112))/12))),IF('Lease Cycles'!$N$14=1,'Lease Cycles'!$C$14*'Lease Cycles'!$E$14*INDEX('Lease Cycles'!$HE$14:$HK$14,1,DF112)*(1+INDEX('Lease Cycles'!$GQ$14:$GW$14,1,DF112))^INT(INT((DF$6-INDEX('Lease Cycles'!$GJ$14:$GP$14,1,DF112))/12)/INDEX('Lease Cycles'!$GX$14:$HD$14,1,DF112))/12,0)))</f>
        <v>2680.7614269107567</v>
      </c>
      <c r="DG115" s="28">
        <f>IF(DG112=0,IF('Lease Cycles'!$F$14&gt;0,'Lease Cycles'!$C$14*'Lease Cycles'!$E$14/12,0),IF(DG114=1,IF('Lease Cycles'!$AT$14&gt;=9999,'Lease Cycles'!$C$14*INDEX('Lease Cycles'!$CB$14:$CH$14,1,DG112)*(1+INDEX('Lease Cycles'!$CI$14:$CO$14,1,DG112))^INT(INT(DG113/12)/INDEX('Lease Cycles'!$CP$14:$CV$14,1,DG112))/12,IF(DG112=1,IF(DG113&gt;=INDEX('Lease Cycles'!$DK$14:$DQ$14,1,DG112),IF(DG$6&gt;='Lease Cycles'!$AZ$14,'Lease Cycles'!$C$14*'Lease Cycles'!$BA$14/12,IF(DG$6&gt;='Lease Cycles'!$AX$14,'Lease Cycles'!$C$14*'Lease Cycles'!$AY$14/12,IF(DG$6&gt;='Lease Cycles'!$AV$14,'Lease Cycles'!$C$14*'Lease Cycles'!$AW$14/12,IF(DG$6&gt;='Lease Cycles'!$AT$14,'Lease Cycles'!$C$14*'Lease Cycles'!$AU$14/12,'Lease Cycles'!$C$14*INDEX('Lease Cycles'!$CB$14:$CH$14,1,DG112)*(1+INDEX('Lease Cycles'!$CI$14:$CO$14,1,DG112))^INT(INT(DG113/12)/INDEX('Lease Cycles'!$CP$14:$CV$14,1,DG112))/12)))),'Lease Cycles'!$C$14*INDEX('Lease Cycles'!$CB$14:$CH$14,1,DG112)*(1+INDEX('Lease Cycles'!$CI$14:$CO$14,1,DG112))^INT(INT(DG113/12)/INDEX('Lease Cycles'!$CP$14:$CV$14,1,DG112))/12),IF(INDEX('Lease Cycles'!$EF$14:$EL$14,1,DG112)=1,IF(AND('Lease Cycles'!$AZ$14&gt;=INDEX('Lease Cycles'!$BG$14:$BM$14,1,DG112),'Lease Cycles'!$AZ$14&lt;=DG$6),'Lease Cycles'!$C$14*'Lease Cycles'!$BA$14/12,IF(AND('Lease Cycles'!$AX$14&gt;=INDEX('Lease Cycles'!$BG$14:$BM$14,1,DG112),'Lease Cycles'!$AX$14&lt;=DG$6),'Lease Cycles'!$C$14*'Lease Cycles'!$AY$14/12,IF(AND('Lease Cycles'!$AV$14&gt;=INDEX('Lease Cycles'!$BG$14:$BM$14,1,DG112),'Lease Cycles'!$AV$14&lt;=DG$6),'Lease Cycles'!$C$14*'Lease Cycles'!$AW$14/12,IF(AND('Lease Cycles'!$AT$14&gt;=INDEX('Lease Cycles'!$BG$14:$BM$14,1,DG112),'Lease Cycles'!$AT$14&lt;=DG$6),'Lease Cycles'!$C$14*'Lease Cycles'!$AU$14/12,'Lease Cycles'!$C$14*INDEX('Lease Cycles'!$CB$14:$CH$14,1,DG112)*(1+INDEX('Lease Cycles'!$CI$14:$CO$14,1,DG112))^INT(INT(DG113/12)/INDEX('Lease Cycles'!$CP$14:$CV$14,1,DG112))/12)))),'Lease Cycles'!$C$14*INDEX('Lease Cycles'!$CB$14:$CH$14,1,DG112)*(1+INDEX('Lease Cycles'!$CI$14:$CO$14,1,DG112))^INT(INT(DG113/12)/INDEX('Lease Cycles'!$CP$14:$CV$14,1,DG112))/12))),IF('Lease Cycles'!$N$14=1,'Lease Cycles'!$C$14*'Lease Cycles'!$E$14*INDEX('Lease Cycles'!$HE$14:$HK$14,1,DG112)*(1+INDEX('Lease Cycles'!$GQ$14:$GW$14,1,DG112))^INT(INT((DG$6-INDEX('Lease Cycles'!$GJ$14:$GP$14,1,DG112))/12)/INDEX('Lease Cycles'!$GX$14:$HD$14,1,DG112))/12,0)))</f>
        <v>2680.7614269107567</v>
      </c>
      <c r="DH115" s="28">
        <f>IF(DH112=0,IF('Lease Cycles'!$F$14&gt;0,'Lease Cycles'!$C$14*'Lease Cycles'!$E$14/12,0),IF(DH114=1,IF('Lease Cycles'!$AT$14&gt;=9999,'Lease Cycles'!$C$14*INDEX('Lease Cycles'!$CB$14:$CH$14,1,DH112)*(1+INDEX('Lease Cycles'!$CI$14:$CO$14,1,DH112))^INT(INT(DH113/12)/INDEX('Lease Cycles'!$CP$14:$CV$14,1,DH112))/12,IF(DH112=1,IF(DH113&gt;=INDEX('Lease Cycles'!$DK$14:$DQ$14,1,DH112),IF(DH$6&gt;='Lease Cycles'!$AZ$14,'Lease Cycles'!$C$14*'Lease Cycles'!$BA$14/12,IF(DH$6&gt;='Lease Cycles'!$AX$14,'Lease Cycles'!$C$14*'Lease Cycles'!$AY$14/12,IF(DH$6&gt;='Lease Cycles'!$AV$14,'Lease Cycles'!$C$14*'Lease Cycles'!$AW$14/12,IF(DH$6&gt;='Lease Cycles'!$AT$14,'Lease Cycles'!$C$14*'Lease Cycles'!$AU$14/12,'Lease Cycles'!$C$14*INDEX('Lease Cycles'!$CB$14:$CH$14,1,DH112)*(1+INDEX('Lease Cycles'!$CI$14:$CO$14,1,DH112))^INT(INT(DH113/12)/INDEX('Lease Cycles'!$CP$14:$CV$14,1,DH112))/12)))),'Lease Cycles'!$C$14*INDEX('Lease Cycles'!$CB$14:$CH$14,1,DH112)*(1+INDEX('Lease Cycles'!$CI$14:$CO$14,1,DH112))^INT(INT(DH113/12)/INDEX('Lease Cycles'!$CP$14:$CV$14,1,DH112))/12),IF(INDEX('Lease Cycles'!$EF$14:$EL$14,1,DH112)=1,IF(AND('Lease Cycles'!$AZ$14&gt;=INDEX('Lease Cycles'!$BG$14:$BM$14,1,DH112),'Lease Cycles'!$AZ$14&lt;=DH$6),'Lease Cycles'!$C$14*'Lease Cycles'!$BA$14/12,IF(AND('Lease Cycles'!$AX$14&gt;=INDEX('Lease Cycles'!$BG$14:$BM$14,1,DH112),'Lease Cycles'!$AX$14&lt;=DH$6),'Lease Cycles'!$C$14*'Lease Cycles'!$AY$14/12,IF(AND('Lease Cycles'!$AV$14&gt;=INDEX('Lease Cycles'!$BG$14:$BM$14,1,DH112),'Lease Cycles'!$AV$14&lt;=DH$6),'Lease Cycles'!$C$14*'Lease Cycles'!$AW$14/12,IF(AND('Lease Cycles'!$AT$14&gt;=INDEX('Lease Cycles'!$BG$14:$BM$14,1,DH112),'Lease Cycles'!$AT$14&lt;=DH$6),'Lease Cycles'!$C$14*'Lease Cycles'!$AU$14/12,'Lease Cycles'!$C$14*INDEX('Lease Cycles'!$CB$14:$CH$14,1,DH112)*(1+INDEX('Lease Cycles'!$CI$14:$CO$14,1,DH112))^INT(INT(DH113/12)/INDEX('Lease Cycles'!$CP$14:$CV$14,1,DH112))/12)))),'Lease Cycles'!$C$14*INDEX('Lease Cycles'!$CB$14:$CH$14,1,DH112)*(1+INDEX('Lease Cycles'!$CI$14:$CO$14,1,DH112))^INT(INT(DH113/12)/INDEX('Lease Cycles'!$CP$14:$CV$14,1,DH112))/12))),IF('Lease Cycles'!$N$14=1,'Lease Cycles'!$C$14*'Lease Cycles'!$E$14*INDEX('Lease Cycles'!$HE$14:$HK$14,1,DH112)*(1+INDEX('Lease Cycles'!$GQ$14:$GW$14,1,DH112))^INT(INT((DH$6-INDEX('Lease Cycles'!$GJ$14:$GP$14,1,DH112))/12)/INDEX('Lease Cycles'!$GX$14:$HD$14,1,DH112))/12,0)))</f>
        <v>2680.7614269107567</v>
      </c>
      <c r="DI115" s="28">
        <f>IF(DI112=0,IF('Lease Cycles'!$F$14&gt;0,'Lease Cycles'!$C$14*'Lease Cycles'!$E$14/12,0),IF(DI114=1,IF('Lease Cycles'!$AT$14&gt;=9999,'Lease Cycles'!$C$14*INDEX('Lease Cycles'!$CB$14:$CH$14,1,DI112)*(1+INDEX('Lease Cycles'!$CI$14:$CO$14,1,DI112))^INT(INT(DI113/12)/INDEX('Lease Cycles'!$CP$14:$CV$14,1,DI112))/12,IF(DI112=1,IF(DI113&gt;=INDEX('Lease Cycles'!$DK$14:$DQ$14,1,DI112),IF(DI$6&gt;='Lease Cycles'!$AZ$14,'Lease Cycles'!$C$14*'Lease Cycles'!$BA$14/12,IF(DI$6&gt;='Lease Cycles'!$AX$14,'Lease Cycles'!$C$14*'Lease Cycles'!$AY$14/12,IF(DI$6&gt;='Lease Cycles'!$AV$14,'Lease Cycles'!$C$14*'Lease Cycles'!$AW$14/12,IF(DI$6&gt;='Lease Cycles'!$AT$14,'Lease Cycles'!$C$14*'Lease Cycles'!$AU$14/12,'Lease Cycles'!$C$14*INDEX('Lease Cycles'!$CB$14:$CH$14,1,DI112)*(1+INDEX('Lease Cycles'!$CI$14:$CO$14,1,DI112))^INT(INT(DI113/12)/INDEX('Lease Cycles'!$CP$14:$CV$14,1,DI112))/12)))),'Lease Cycles'!$C$14*INDEX('Lease Cycles'!$CB$14:$CH$14,1,DI112)*(1+INDEX('Lease Cycles'!$CI$14:$CO$14,1,DI112))^INT(INT(DI113/12)/INDEX('Lease Cycles'!$CP$14:$CV$14,1,DI112))/12),IF(INDEX('Lease Cycles'!$EF$14:$EL$14,1,DI112)=1,IF(AND('Lease Cycles'!$AZ$14&gt;=INDEX('Lease Cycles'!$BG$14:$BM$14,1,DI112),'Lease Cycles'!$AZ$14&lt;=DI$6),'Lease Cycles'!$C$14*'Lease Cycles'!$BA$14/12,IF(AND('Lease Cycles'!$AX$14&gt;=INDEX('Lease Cycles'!$BG$14:$BM$14,1,DI112),'Lease Cycles'!$AX$14&lt;=DI$6),'Lease Cycles'!$C$14*'Lease Cycles'!$AY$14/12,IF(AND('Lease Cycles'!$AV$14&gt;=INDEX('Lease Cycles'!$BG$14:$BM$14,1,DI112),'Lease Cycles'!$AV$14&lt;=DI$6),'Lease Cycles'!$C$14*'Lease Cycles'!$AW$14/12,IF(AND('Lease Cycles'!$AT$14&gt;=INDEX('Lease Cycles'!$BG$14:$BM$14,1,DI112),'Lease Cycles'!$AT$14&lt;=DI$6),'Lease Cycles'!$C$14*'Lease Cycles'!$AU$14/12,'Lease Cycles'!$C$14*INDEX('Lease Cycles'!$CB$14:$CH$14,1,DI112)*(1+INDEX('Lease Cycles'!$CI$14:$CO$14,1,DI112))^INT(INT(DI113/12)/INDEX('Lease Cycles'!$CP$14:$CV$14,1,DI112))/12)))),'Lease Cycles'!$C$14*INDEX('Lease Cycles'!$CB$14:$CH$14,1,DI112)*(1+INDEX('Lease Cycles'!$CI$14:$CO$14,1,DI112))^INT(INT(DI113/12)/INDEX('Lease Cycles'!$CP$14:$CV$14,1,DI112))/12))),IF('Lease Cycles'!$N$14=1,'Lease Cycles'!$C$14*'Lease Cycles'!$E$14*INDEX('Lease Cycles'!$HE$14:$HK$14,1,DI112)*(1+INDEX('Lease Cycles'!$GQ$14:$GW$14,1,DI112))^INT(INT((DI$6-INDEX('Lease Cycles'!$GJ$14:$GP$14,1,DI112))/12)/INDEX('Lease Cycles'!$GX$14:$HD$14,1,DI112))/12,0)))</f>
        <v>2680.7614269107567</v>
      </c>
      <c r="DJ115" s="28">
        <f>IF(DJ112=0,IF('Lease Cycles'!$F$14&gt;0,'Lease Cycles'!$C$14*'Lease Cycles'!$E$14/12,0),IF(DJ114=1,IF('Lease Cycles'!$AT$14&gt;=9999,'Lease Cycles'!$C$14*INDEX('Lease Cycles'!$CB$14:$CH$14,1,DJ112)*(1+INDEX('Lease Cycles'!$CI$14:$CO$14,1,DJ112))^INT(INT(DJ113/12)/INDEX('Lease Cycles'!$CP$14:$CV$14,1,DJ112))/12,IF(DJ112=1,IF(DJ113&gt;=INDEX('Lease Cycles'!$DK$14:$DQ$14,1,DJ112),IF(DJ$6&gt;='Lease Cycles'!$AZ$14,'Lease Cycles'!$C$14*'Lease Cycles'!$BA$14/12,IF(DJ$6&gt;='Lease Cycles'!$AX$14,'Lease Cycles'!$C$14*'Lease Cycles'!$AY$14/12,IF(DJ$6&gt;='Lease Cycles'!$AV$14,'Lease Cycles'!$C$14*'Lease Cycles'!$AW$14/12,IF(DJ$6&gt;='Lease Cycles'!$AT$14,'Lease Cycles'!$C$14*'Lease Cycles'!$AU$14/12,'Lease Cycles'!$C$14*INDEX('Lease Cycles'!$CB$14:$CH$14,1,DJ112)*(1+INDEX('Lease Cycles'!$CI$14:$CO$14,1,DJ112))^INT(INT(DJ113/12)/INDEX('Lease Cycles'!$CP$14:$CV$14,1,DJ112))/12)))),'Lease Cycles'!$C$14*INDEX('Lease Cycles'!$CB$14:$CH$14,1,DJ112)*(1+INDEX('Lease Cycles'!$CI$14:$CO$14,1,DJ112))^INT(INT(DJ113/12)/INDEX('Lease Cycles'!$CP$14:$CV$14,1,DJ112))/12),IF(INDEX('Lease Cycles'!$EF$14:$EL$14,1,DJ112)=1,IF(AND('Lease Cycles'!$AZ$14&gt;=INDEX('Lease Cycles'!$BG$14:$BM$14,1,DJ112),'Lease Cycles'!$AZ$14&lt;=DJ$6),'Lease Cycles'!$C$14*'Lease Cycles'!$BA$14/12,IF(AND('Lease Cycles'!$AX$14&gt;=INDEX('Lease Cycles'!$BG$14:$BM$14,1,DJ112),'Lease Cycles'!$AX$14&lt;=DJ$6),'Lease Cycles'!$C$14*'Lease Cycles'!$AY$14/12,IF(AND('Lease Cycles'!$AV$14&gt;=INDEX('Lease Cycles'!$BG$14:$BM$14,1,DJ112),'Lease Cycles'!$AV$14&lt;=DJ$6),'Lease Cycles'!$C$14*'Lease Cycles'!$AW$14/12,IF(AND('Lease Cycles'!$AT$14&gt;=INDEX('Lease Cycles'!$BG$14:$BM$14,1,DJ112),'Lease Cycles'!$AT$14&lt;=DJ$6),'Lease Cycles'!$C$14*'Lease Cycles'!$AU$14/12,'Lease Cycles'!$C$14*INDEX('Lease Cycles'!$CB$14:$CH$14,1,DJ112)*(1+INDEX('Lease Cycles'!$CI$14:$CO$14,1,DJ112))^INT(INT(DJ113/12)/INDEX('Lease Cycles'!$CP$14:$CV$14,1,DJ112))/12)))),'Lease Cycles'!$C$14*INDEX('Lease Cycles'!$CB$14:$CH$14,1,DJ112)*(1+INDEX('Lease Cycles'!$CI$14:$CO$14,1,DJ112))^INT(INT(DJ113/12)/INDEX('Lease Cycles'!$CP$14:$CV$14,1,DJ112))/12))),IF('Lease Cycles'!$N$14=1,'Lease Cycles'!$C$14*'Lease Cycles'!$E$14*INDEX('Lease Cycles'!$HE$14:$HK$14,1,DJ112)*(1+INDEX('Lease Cycles'!$GQ$14:$GW$14,1,DJ112))^INT(INT((DJ$6-INDEX('Lease Cycles'!$GJ$14:$GP$14,1,DJ112))/12)/INDEX('Lease Cycles'!$GX$14:$HD$14,1,DJ112))/12,0)))</f>
        <v>2680.7614269107567</v>
      </c>
      <c r="DK115" s="28">
        <f>IF(DK112=0,IF('Lease Cycles'!$F$14&gt;0,'Lease Cycles'!$C$14*'Lease Cycles'!$E$14/12,0),IF(DK114=1,IF('Lease Cycles'!$AT$14&gt;=9999,'Lease Cycles'!$C$14*INDEX('Lease Cycles'!$CB$14:$CH$14,1,DK112)*(1+INDEX('Lease Cycles'!$CI$14:$CO$14,1,DK112))^INT(INT(DK113/12)/INDEX('Lease Cycles'!$CP$14:$CV$14,1,DK112))/12,IF(DK112=1,IF(DK113&gt;=INDEX('Lease Cycles'!$DK$14:$DQ$14,1,DK112),IF(DK$6&gt;='Lease Cycles'!$AZ$14,'Lease Cycles'!$C$14*'Lease Cycles'!$BA$14/12,IF(DK$6&gt;='Lease Cycles'!$AX$14,'Lease Cycles'!$C$14*'Lease Cycles'!$AY$14/12,IF(DK$6&gt;='Lease Cycles'!$AV$14,'Lease Cycles'!$C$14*'Lease Cycles'!$AW$14/12,IF(DK$6&gt;='Lease Cycles'!$AT$14,'Lease Cycles'!$C$14*'Lease Cycles'!$AU$14/12,'Lease Cycles'!$C$14*INDEX('Lease Cycles'!$CB$14:$CH$14,1,DK112)*(1+INDEX('Lease Cycles'!$CI$14:$CO$14,1,DK112))^INT(INT(DK113/12)/INDEX('Lease Cycles'!$CP$14:$CV$14,1,DK112))/12)))),'Lease Cycles'!$C$14*INDEX('Lease Cycles'!$CB$14:$CH$14,1,DK112)*(1+INDEX('Lease Cycles'!$CI$14:$CO$14,1,DK112))^INT(INT(DK113/12)/INDEX('Lease Cycles'!$CP$14:$CV$14,1,DK112))/12),IF(INDEX('Lease Cycles'!$EF$14:$EL$14,1,DK112)=1,IF(AND('Lease Cycles'!$AZ$14&gt;=INDEX('Lease Cycles'!$BG$14:$BM$14,1,DK112),'Lease Cycles'!$AZ$14&lt;=DK$6),'Lease Cycles'!$C$14*'Lease Cycles'!$BA$14/12,IF(AND('Lease Cycles'!$AX$14&gt;=INDEX('Lease Cycles'!$BG$14:$BM$14,1,DK112),'Lease Cycles'!$AX$14&lt;=DK$6),'Lease Cycles'!$C$14*'Lease Cycles'!$AY$14/12,IF(AND('Lease Cycles'!$AV$14&gt;=INDEX('Lease Cycles'!$BG$14:$BM$14,1,DK112),'Lease Cycles'!$AV$14&lt;=DK$6),'Lease Cycles'!$C$14*'Lease Cycles'!$AW$14/12,IF(AND('Lease Cycles'!$AT$14&gt;=INDEX('Lease Cycles'!$BG$14:$BM$14,1,DK112),'Lease Cycles'!$AT$14&lt;=DK$6),'Lease Cycles'!$C$14*'Lease Cycles'!$AU$14/12,'Lease Cycles'!$C$14*INDEX('Lease Cycles'!$CB$14:$CH$14,1,DK112)*(1+INDEX('Lease Cycles'!$CI$14:$CO$14,1,DK112))^INT(INT(DK113/12)/INDEX('Lease Cycles'!$CP$14:$CV$14,1,DK112))/12)))),'Lease Cycles'!$C$14*INDEX('Lease Cycles'!$CB$14:$CH$14,1,DK112)*(1+INDEX('Lease Cycles'!$CI$14:$CO$14,1,DK112))^INT(INT(DK113/12)/INDEX('Lease Cycles'!$CP$14:$CV$14,1,DK112))/12))),IF('Lease Cycles'!$N$14=1,'Lease Cycles'!$C$14*'Lease Cycles'!$E$14*INDEX('Lease Cycles'!$HE$14:$HK$14,1,DK112)*(1+INDEX('Lease Cycles'!$GQ$14:$GW$14,1,DK112))^INT(INT((DK$6-INDEX('Lease Cycles'!$GJ$14:$GP$14,1,DK112))/12)/INDEX('Lease Cycles'!$GX$14:$HD$14,1,DK112))/12,0)))</f>
        <v>2680.7614269107567</v>
      </c>
      <c r="DL115" s="28">
        <f>IF(DL112=0,IF('Lease Cycles'!$F$14&gt;0,'Lease Cycles'!$C$14*'Lease Cycles'!$E$14/12,0),IF(DL114=1,IF('Lease Cycles'!$AT$14&gt;=9999,'Lease Cycles'!$C$14*INDEX('Lease Cycles'!$CB$14:$CH$14,1,DL112)*(1+INDEX('Lease Cycles'!$CI$14:$CO$14,1,DL112))^INT(INT(DL113/12)/INDEX('Lease Cycles'!$CP$14:$CV$14,1,DL112))/12,IF(DL112=1,IF(DL113&gt;=INDEX('Lease Cycles'!$DK$14:$DQ$14,1,DL112),IF(DL$6&gt;='Lease Cycles'!$AZ$14,'Lease Cycles'!$C$14*'Lease Cycles'!$BA$14/12,IF(DL$6&gt;='Lease Cycles'!$AX$14,'Lease Cycles'!$C$14*'Lease Cycles'!$AY$14/12,IF(DL$6&gt;='Lease Cycles'!$AV$14,'Lease Cycles'!$C$14*'Lease Cycles'!$AW$14/12,IF(DL$6&gt;='Lease Cycles'!$AT$14,'Lease Cycles'!$C$14*'Lease Cycles'!$AU$14/12,'Lease Cycles'!$C$14*INDEX('Lease Cycles'!$CB$14:$CH$14,1,DL112)*(1+INDEX('Lease Cycles'!$CI$14:$CO$14,1,DL112))^INT(INT(DL113/12)/INDEX('Lease Cycles'!$CP$14:$CV$14,1,DL112))/12)))),'Lease Cycles'!$C$14*INDEX('Lease Cycles'!$CB$14:$CH$14,1,DL112)*(1+INDEX('Lease Cycles'!$CI$14:$CO$14,1,DL112))^INT(INT(DL113/12)/INDEX('Lease Cycles'!$CP$14:$CV$14,1,DL112))/12),IF(INDEX('Lease Cycles'!$EF$14:$EL$14,1,DL112)=1,IF(AND('Lease Cycles'!$AZ$14&gt;=INDEX('Lease Cycles'!$BG$14:$BM$14,1,DL112),'Lease Cycles'!$AZ$14&lt;=DL$6),'Lease Cycles'!$C$14*'Lease Cycles'!$BA$14/12,IF(AND('Lease Cycles'!$AX$14&gt;=INDEX('Lease Cycles'!$BG$14:$BM$14,1,DL112),'Lease Cycles'!$AX$14&lt;=DL$6),'Lease Cycles'!$C$14*'Lease Cycles'!$AY$14/12,IF(AND('Lease Cycles'!$AV$14&gt;=INDEX('Lease Cycles'!$BG$14:$BM$14,1,DL112),'Lease Cycles'!$AV$14&lt;=DL$6),'Lease Cycles'!$C$14*'Lease Cycles'!$AW$14/12,IF(AND('Lease Cycles'!$AT$14&gt;=INDEX('Lease Cycles'!$BG$14:$BM$14,1,DL112),'Lease Cycles'!$AT$14&lt;=DL$6),'Lease Cycles'!$C$14*'Lease Cycles'!$AU$14/12,'Lease Cycles'!$C$14*INDEX('Lease Cycles'!$CB$14:$CH$14,1,DL112)*(1+INDEX('Lease Cycles'!$CI$14:$CO$14,1,DL112))^INT(INT(DL113/12)/INDEX('Lease Cycles'!$CP$14:$CV$14,1,DL112))/12)))),'Lease Cycles'!$C$14*INDEX('Lease Cycles'!$CB$14:$CH$14,1,DL112)*(1+INDEX('Lease Cycles'!$CI$14:$CO$14,1,DL112))^INT(INT(DL113/12)/INDEX('Lease Cycles'!$CP$14:$CV$14,1,DL112))/12))),IF('Lease Cycles'!$N$14=1,'Lease Cycles'!$C$14*'Lease Cycles'!$E$14*INDEX('Lease Cycles'!$HE$14:$HK$14,1,DL112)*(1+INDEX('Lease Cycles'!$GQ$14:$GW$14,1,DL112))^INT(INT((DL$6-INDEX('Lease Cycles'!$GJ$14:$GP$14,1,DL112))/12)/INDEX('Lease Cycles'!$GX$14:$HD$14,1,DL112))/12,0)))</f>
        <v>2680.7614269107567</v>
      </c>
      <c r="DM115" s="28">
        <f>IF(DM112=0,IF('Lease Cycles'!$F$14&gt;0,'Lease Cycles'!$C$14*'Lease Cycles'!$E$14/12,0),IF(DM114=1,IF('Lease Cycles'!$AT$14&gt;=9999,'Lease Cycles'!$C$14*INDEX('Lease Cycles'!$CB$14:$CH$14,1,DM112)*(1+INDEX('Lease Cycles'!$CI$14:$CO$14,1,DM112))^INT(INT(DM113/12)/INDEX('Lease Cycles'!$CP$14:$CV$14,1,DM112))/12,IF(DM112=1,IF(DM113&gt;=INDEX('Lease Cycles'!$DK$14:$DQ$14,1,DM112),IF(DM$6&gt;='Lease Cycles'!$AZ$14,'Lease Cycles'!$C$14*'Lease Cycles'!$BA$14/12,IF(DM$6&gt;='Lease Cycles'!$AX$14,'Lease Cycles'!$C$14*'Lease Cycles'!$AY$14/12,IF(DM$6&gt;='Lease Cycles'!$AV$14,'Lease Cycles'!$C$14*'Lease Cycles'!$AW$14/12,IF(DM$6&gt;='Lease Cycles'!$AT$14,'Lease Cycles'!$C$14*'Lease Cycles'!$AU$14/12,'Lease Cycles'!$C$14*INDEX('Lease Cycles'!$CB$14:$CH$14,1,DM112)*(1+INDEX('Lease Cycles'!$CI$14:$CO$14,1,DM112))^INT(INT(DM113/12)/INDEX('Lease Cycles'!$CP$14:$CV$14,1,DM112))/12)))),'Lease Cycles'!$C$14*INDEX('Lease Cycles'!$CB$14:$CH$14,1,DM112)*(1+INDEX('Lease Cycles'!$CI$14:$CO$14,1,DM112))^INT(INT(DM113/12)/INDEX('Lease Cycles'!$CP$14:$CV$14,1,DM112))/12),IF(INDEX('Lease Cycles'!$EF$14:$EL$14,1,DM112)=1,IF(AND('Lease Cycles'!$AZ$14&gt;=INDEX('Lease Cycles'!$BG$14:$BM$14,1,DM112),'Lease Cycles'!$AZ$14&lt;=DM$6),'Lease Cycles'!$C$14*'Lease Cycles'!$BA$14/12,IF(AND('Lease Cycles'!$AX$14&gt;=INDEX('Lease Cycles'!$BG$14:$BM$14,1,DM112),'Lease Cycles'!$AX$14&lt;=DM$6),'Lease Cycles'!$C$14*'Lease Cycles'!$AY$14/12,IF(AND('Lease Cycles'!$AV$14&gt;=INDEX('Lease Cycles'!$BG$14:$BM$14,1,DM112),'Lease Cycles'!$AV$14&lt;=DM$6),'Lease Cycles'!$C$14*'Lease Cycles'!$AW$14/12,IF(AND('Lease Cycles'!$AT$14&gt;=INDEX('Lease Cycles'!$BG$14:$BM$14,1,DM112),'Lease Cycles'!$AT$14&lt;=DM$6),'Lease Cycles'!$C$14*'Lease Cycles'!$AU$14/12,'Lease Cycles'!$C$14*INDEX('Lease Cycles'!$CB$14:$CH$14,1,DM112)*(1+INDEX('Lease Cycles'!$CI$14:$CO$14,1,DM112))^INT(INT(DM113/12)/INDEX('Lease Cycles'!$CP$14:$CV$14,1,DM112))/12)))),'Lease Cycles'!$C$14*INDEX('Lease Cycles'!$CB$14:$CH$14,1,DM112)*(1+INDEX('Lease Cycles'!$CI$14:$CO$14,1,DM112))^INT(INT(DM113/12)/INDEX('Lease Cycles'!$CP$14:$CV$14,1,DM112))/12))),IF('Lease Cycles'!$N$14=1,'Lease Cycles'!$C$14*'Lease Cycles'!$E$14*INDEX('Lease Cycles'!$HE$14:$HK$14,1,DM112)*(1+INDEX('Lease Cycles'!$GQ$14:$GW$14,1,DM112))^INT(INT((DM$6-INDEX('Lease Cycles'!$GJ$14:$GP$14,1,DM112))/12)/INDEX('Lease Cycles'!$GX$14:$HD$14,1,DM112))/12,0)))</f>
        <v>2680.7614269107567</v>
      </c>
      <c r="DN115" s="28">
        <f>IF(DN112=0,IF('Lease Cycles'!$F$14&gt;0,'Lease Cycles'!$C$14*'Lease Cycles'!$E$14/12,0),IF(DN114=1,IF('Lease Cycles'!$AT$14&gt;=9999,'Lease Cycles'!$C$14*INDEX('Lease Cycles'!$CB$14:$CH$14,1,DN112)*(1+INDEX('Lease Cycles'!$CI$14:$CO$14,1,DN112))^INT(INT(DN113/12)/INDEX('Lease Cycles'!$CP$14:$CV$14,1,DN112))/12,IF(DN112=1,IF(DN113&gt;=INDEX('Lease Cycles'!$DK$14:$DQ$14,1,DN112),IF(DN$6&gt;='Lease Cycles'!$AZ$14,'Lease Cycles'!$C$14*'Lease Cycles'!$BA$14/12,IF(DN$6&gt;='Lease Cycles'!$AX$14,'Lease Cycles'!$C$14*'Lease Cycles'!$AY$14/12,IF(DN$6&gt;='Lease Cycles'!$AV$14,'Lease Cycles'!$C$14*'Lease Cycles'!$AW$14/12,IF(DN$6&gt;='Lease Cycles'!$AT$14,'Lease Cycles'!$C$14*'Lease Cycles'!$AU$14/12,'Lease Cycles'!$C$14*INDEX('Lease Cycles'!$CB$14:$CH$14,1,DN112)*(1+INDEX('Lease Cycles'!$CI$14:$CO$14,1,DN112))^INT(INT(DN113/12)/INDEX('Lease Cycles'!$CP$14:$CV$14,1,DN112))/12)))),'Lease Cycles'!$C$14*INDEX('Lease Cycles'!$CB$14:$CH$14,1,DN112)*(1+INDEX('Lease Cycles'!$CI$14:$CO$14,1,DN112))^INT(INT(DN113/12)/INDEX('Lease Cycles'!$CP$14:$CV$14,1,DN112))/12),IF(INDEX('Lease Cycles'!$EF$14:$EL$14,1,DN112)=1,IF(AND('Lease Cycles'!$AZ$14&gt;=INDEX('Lease Cycles'!$BG$14:$BM$14,1,DN112),'Lease Cycles'!$AZ$14&lt;=DN$6),'Lease Cycles'!$C$14*'Lease Cycles'!$BA$14/12,IF(AND('Lease Cycles'!$AX$14&gt;=INDEX('Lease Cycles'!$BG$14:$BM$14,1,DN112),'Lease Cycles'!$AX$14&lt;=DN$6),'Lease Cycles'!$C$14*'Lease Cycles'!$AY$14/12,IF(AND('Lease Cycles'!$AV$14&gt;=INDEX('Lease Cycles'!$BG$14:$BM$14,1,DN112),'Lease Cycles'!$AV$14&lt;=DN$6),'Lease Cycles'!$C$14*'Lease Cycles'!$AW$14/12,IF(AND('Lease Cycles'!$AT$14&gt;=INDEX('Lease Cycles'!$BG$14:$BM$14,1,DN112),'Lease Cycles'!$AT$14&lt;=DN$6),'Lease Cycles'!$C$14*'Lease Cycles'!$AU$14/12,'Lease Cycles'!$C$14*INDEX('Lease Cycles'!$CB$14:$CH$14,1,DN112)*(1+INDEX('Lease Cycles'!$CI$14:$CO$14,1,DN112))^INT(INT(DN113/12)/INDEX('Lease Cycles'!$CP$14:$CV$14,1,DN112))/12)))),'Lease Cycles'!$C$14*INDEX('Lease Cycles'!$CB$14:$CH$14,1,DN112)*(1+INDEX('Lease Cycles'!$CI$14:$CO$14,1,DN112))^INT(INT(DN113/12)/INDEX('Lease Cycles'!$CP$14:$CV$14,1,DN112))/12))),IF('Lease Cycles'!$N$14=1,'Lease Cycles'!$C$14*'Lease Cycles'!$E$14*INDEX('Lease Cycles'!$HE$14:$HK$14,1,DN112)*(1+INDEX('Lease Cycles'!$GQ$14:$GW$14,1,DN112))^INT(INT((DN$6-INDEX('Lease Cycles'!$GJ$14:$GP$14,1,DN112))/12)/INDEX('Lease Cycles'!$GX$14:$HD$14,1,DN112))/12,0)))</f>
        <v>2680.7614269107567</v>
      </c>
      <c r="DO115" s="28">
        <f>IF(DO112=0,IF('Lease Cycles'!$F$14&gt;0,'Lease Cycles'!$C$14*'Lease Cycles'!$E$14/12,0),IF(DO114=1,IF('Lease Cycles'!$AT$14&gt;=9999,'Lease Cycles'!$C$14*INDEX('Lease Cycles'!$CB$14:$CH$14,1,DO112)*(1+INDEX('Lease Cycles'!$CI$14:$CO$14,1,DO112))^INT(INT(DO113/12)/INDEX('Lease Cycles'!$CP$14:$CV$14,1,DO112))/12,IF(DO112=1,IF(DO113&gt;=INDEX('Lease Cycles'!$DK$14:$DQ$14,1,DO112),IF(DO$6&gt;='Lease Cycles'!$AZ$14,'Lease Cycles'!$C$14*'Lease Cycles'!$BA$14/12,IF(DO$6&gt;='Lease Cycles'!$AX$14,'Lease Cycles'!$C$14*'Lease Cycles'!$AY$14/12,IF(DO$6&gt;='Lease Cycles'!$AV$14,'Lease Cycles'!$C$14*'Lease Cycles'!$AW$14/12,IF(DO$6&gt;='Lease Cycles'!$AT$14,'Lease Cycles'!$C$14*'Lease Cycles'!$AU$14/12,'Lease Cycles'!$C$14*INDEX('Lease Cycles'!$CB$14:$CH$14,1,DO112)*(1+INDEX('Lease Cycles'!$CI$14:$CO$14,1,DO112))^INT(INT(DO113/12)/INDEX('Lease Cycles'!$CP$14:$CV$14,1,DO112))/12)))),'Lease Cycles'!$C$14*INDEX('Lease Cycles'!$CB$14:$CH$14,1,DO112)*(1+INDEX('Lease Cycles'!$CI$14:$CO$14,1,DO112))^INT(INT(DO113/12)/INDEX('Lease Cycles'!$CP$14:$CV$14,1,DO112))/12),IF(INDEX('Lease Cycles'!$EF$14:$EL$14,1,DO112)=1,IF(AND('Lease Cycles'!$AZ$14&gt;=INDEX('Lease Cycles'!$BG$14:$BM$14,1,DO112),'Lease Cycles'!$AZ$14&lt;=DO$6),'Lease Cycles'!$C$14*'Lease Cycles'!$BA$14/12,IF(AND('Lease Cycles'!$AX$14&gt;=INDEX('Lease Cycles'!$BG$14:$BM$14,1,DO112),'Lease Cycles'!$AX$14&lt;=DO$6),'Lease Cycles'!$C$14*'Lease Cycles'!$AY$14/12,IF(AND('Lease Cycles'!$AV$14&gt;=INDEX('Lease Cycles'!$BG$14:$BM$14,1,DO112),'Lease Cycles'!$AV$14&lt;=DO$6),'Lease Cycles'!$C$14*'Lease Cycles'!$AW$14/12,IF(AND('Lease Cycles'!$AT$14&gt;=INDEX('Lease Cycles'!$BG$14:$BM$14,1,DO112),'Lease Cycles'!$AT$14&lt;=DO$6),'Lease Cycles'!$C$14*'Lease Cycles'!$AU$14/12,'Lease Cycles'!$C$14*INDEX('Lease Cycles'!$CB$14:$CH$14,1,DO112)*(1+INDEX('Lease Cycles'!$CI$14:$CO$14,1,DO112))^INT(INT(DO113/12)/INDEX('Lease Cycles'!$CP$14:$CV$14,1,DO112))/12)))),'Lease Cycles'!$C$14*INDEX('Lease Cycles'!$CB$14:$CH$14,1,DO112)*(1+INDEX('Lease Cycles'!$CI$14:$CO$14,1,DO112))^INT(INT(DO113/12)/INDEX('Lease Cycles'!$CP$14:$CV$14,1,DO112))/12))),IF('Lease Cycles'!$N$14=1,'Lease Cycles'!$C$14*'Lease Cycles'!$E$14*INDEX('Lease Cycles'!$HE$14:$HK$14,1,DO112)*(1+INDEX('Lease Cycles'!$GQ$14:$GW$14,1,DO112))^INT(INT((DO$6-INDEX('Lease Cycles'!$GJ$14:$GP$14,1,DO112))/12)/INDEX('Lease Cycles'!$GX$14:$HD$14,1,DO112))/12,0)))</f>
        <v>2761.1842697180796</v>
      </c>
      <c r="DP115" s="28">
        <f>IF(DP112=0,IF('Lease Cycles'!$F$14&gt;0,'Lease Cycles'!$C$14*'Lease Cycles'!$E$14/12,0),IF(DP114=1,IF('Lease Cycles'!$AT$14&gt;=9999,'Lease Cycles'!$C$14*INDEX('Lease Cycles'!$CB$14:$CH$14,1,DP112)*(1+INDEX('Lease Cycles'!$CI$14:$CO$14,1,DP112))^INT(INT(DP113/12)/INDEX('Lease Cycles'!$CP$14:$CV$14,1,DP112))/12,IF(DP112=1,IF(DP113&gt;=INDEX('Lease Cycles'!$DK$14:$DQ$14,1,DP112),IF(DP$6&gt;='Lease Cycles'!$AZ$14,'Lease Cycles'!$C$14*'Lease Cycles'!$BA$14/12,IF(DP$6&gt;='Lease Cycles'!$AX$14,'Lease Cycles'!$C$14*'Lease Cycles'!$AY$14/12,IF(DP$6&gt;='Lease Cycles'!$AV$14,'Lease Cycles'!$C$14*'Lease Cycles'!$AW$14/12,IF(DP$6&gt;='Lease Cycles'!$AT$14,'Lease Cycles'!$C$14*'Lease Cycles'!$AU$14/12,'Lease Cycles'!$C$14*INDEX('Lease Cycles'!$CB$14:$CH$14,1,DP112)*(1+INDEX('Lease Cycles'!$CI$14:$CO$14,1,DP112))^INT(INT(DP113/12)/INDEX('Lease Cycles'!$CP$14:$CV$14,1,DP112))/12)))),'Lease Cycles'!$C$14*INDEX('Lease Cycles'!$CB$14:$CH$14,1,DP112)*(1+INDEX('Lease Cycles'!$CI$14:$CO$14,1,DP112))^INT(INT(DP113/12)/INDEX('Lease Cycles'!$CP$14:$CV$14,1,DP112))/12),IF(INDEX('Lease Cycles'!$EF$14:$EL$14,1,DP112)=1,IF(AND('Lease Cycles'!$AZ$14&gt;=INDEX('Lease Cycles'!$BG$14:$BM$14,1,DP112),'Lease Cycles'!$AZ$14&lt;=DP$6),'Lease Cycles'!$C$14*'Lease Cycles'!$BA$14/12,IF(AND('Lease Cycles'!$AX$14&gt;=INDEX('Lease Cycles'!$BG$14:$BM$14,1,DP112),'Lease Cycles'!$AX$14&lt;=DP$6),'Lease Cycles'!$C$14*'Lease Cycles'!$AY$14/12,IF(AND('Lease Cycles'!$AV$14&gt;=INDEX('Lease Cycles'!$BG$14:$BM$14,1,DP112),'Lease Cycles'!$AV$14&lt;=DP$6),'Lease Cycles'!$C$14*'Lease Cycles'!$AW$14/12,IF(AND('Lease Cycles'!$AT$14&gt;=INDEX('Lease Cycles'!$BG$14:$BM$14,1,DP112),'Lease Cycles'!$AT$14&lt;=DP$6),'Lease Cycles'!$C$14*'Lease Cycles'!$AU$14/12,'Lease Cycles'!$C$14*INDEX('Lease Cycles'!$CB$14:$CH$14,1,DP112)*(1+INDEX('Lease Cycles'!$CI$14:$CO$14,1,DP112))^INT(INT(DP113/12)/INDEX('Lease Cycles'!$CP$14:$CV$14,1,DP112))/12)))),'Lease Cycles'!$C$14*INDEX('Lease Cycles'!$CB$14:$CH$14,1,DP112)*(1+INDEX('Lease Cycles'!$CI$14:$CO$14,1,DP112))^INT(INT(DP113/12)/INDEX('Lease Cycles'!$CP$14:$CV$14,1,DP112))/12))),IF('Lease Cycles'!$N$14=1,'Lease Cycles'!$C$14*'Lease Cycles'!$E$14*INDEX('Lease Cycles'!$HE$14:$HK$14,1,DP112)*(1+INDEX('Lease Cycles'!$GQ$14:$GW$14,1,DP112))^INT(INT((DP$6-INDEX('Lease Cycles'!$GJ$14:$GP$14,1,DP112))/12)/INDEX('Lease Cycles'!$GX$14:$HD$14,1,DP112))/12,0)))</f>
        <v>2761.1842697180796</v>
      </c>
      <c r="DQ115" s="28">
        <f>IF(DQ112=0,IF('Lease Cycles'!$F$14&gt;0,'Lease Cycles'!$C$14*'Lease Cycles'!$E$14/12,0),IF(DQ114=1,IF('Lease Cycles'!$AT$14&gt;=9999,'Lease Cycles'!$C$14*INDEX('Lease Cycles'!$CB$14:$CH$14,1,DQ112)*(1+INDEX('Lease Cycles'!$CI$14:$CO$14,1,DQ112))^INT(INT(DQ113/12)/INDEX('Lease Cycles'!$CP$14:$CV$14,1,DQ112))/12,IF(DQ112=1,IF(DQ113&gt;=INDEX('Lease Cycles'!$DK$14:$DQ$14,1,DQ112),IF(DQ$6&gt;='Lease Cycles'!$AZ$14,'Lease Cycles'!$C$14*'Lease Cycles'!$BA$14/12,IF(DQ$6&gt;='Lease Cycles'!$AX$14,'Lease Cycles'!$C$14*'Lease Cycles'!$AY$14/12,IF(DQ$6&gt;='Lease Cycles'!$AV$14,'Lease Cycles'!$C$14*'Lease Cycles'!$AW$14/12,IF(DQ$6&gt;='Lease Cycles'!$AT$14,'Lease Cycles'!$C$14*'Lease Cycles'!$AU$14/12,'Lease Cycles'!$C$14*INDEX('Lease Cycles'!$CB$14:$CH$14,1,DQ112)*(1+INDEX('Lease Cycles'!$CI$14:$CO$14,1,DQ112))^INT(INT(DQ113/12)/INDEX('Lease Cycles'!$CP$14:$CV$14,1,DQ112))/12)))),'Lease Cycles'!$C$14*INDEX('Lease Cycles'!$CB$14:$CH$14,1,DQ112)*(1+INDEX('Lease Cycles'!$CI$14:$CO$14,1,DQ112))^INT(INT(DQ113/12)/INDEX('Lease Cycles'!$CP$14:$CV$14,1,DQ112))/12),IF(INDEX('Lease Cycles'!$EF$14:$EL$14,1,DQ112)=1,IF(AND('Lease Cycles'!$AZ$14&gt;=INDEX('Lease Cycles'!$BG$14:$BM$14,1,DQ112),'Lease Cycles'!$AZ$14&lt;=DQ$6),'Lease Cycles'!$C$14*'Lease Cycles'!$BA$14/12,IF(AND('Lease Cycles'!$AX$14&gt;=INDEX('Lease Cycles'!$BG$14:$BM$14,1,DQ112),'Lease Cycles'!$AX$14&lt;=DQ$6),'Lease Cycles'!$C$14*'Lease Cycles'!$AY$14/12,IF(AND('Lease Cycles'!$AV$14&gt;=INDEX('Lease Cycles'!$BG$14:$BM$14,1,DQ112),'Lease Cycles'!$AV$14&lt;=DQ$6),'Lease Cycles'!$C$14*'Lease Cycles'!$AW$14/12,IF(AND('Lease Cycles'!$AT$14&gt;=INDEX('Lease Cycles'!$BG$14:$BM$14,1,DQ112),'Lease Cycles'!$AT$14&lt;=DQ$6),'Lease Cycles'!$C$14*'Lease Cycles'!$AU$14/12,'Lease Cycles'!$C$14*INDEX('Lease Cycles'!$CB$14:$CH$14,1,DQ112)*(1+INDEX('Lease Cycles'!$CI$14:$CO$14,1,DQ112))^INT(INT(DQ113/12)/INDEX('Lease Cycles'!$CP$14:$CV$14,1,DQ112))/12)))),'Lease Cycles'!$C$14*INDEX('Lease Cycles'!$CB$14:$CH$14,1,DQ112)*(1+INDEX('Lease Cycles'!$CI$14:$CO$14,1,DQ112))^INT(INT(DQ113/12)/INDEX('Lease Cycles'!$CP$14:$CV$14,1,DQ112))/12))),IF('Lease Cycles'!$N$14=1,'Lease Cycles'!$C$14*'Lease Cycles'!$E$14*INDEX('Lease Cycles'!$HE$14:$HK$14,1,DQ112)*(1+INDEX('Lease Cycles'!$GQ$14:$GW$14,1,DQ112))^INT(INT((DQ$6-INDEX('Lease Cycles'!$GJ$14:$GP$14,1,DQ112))/12)/INDEX('Lease Cycles'!$GX$14:$HD$14,1,DQ112))/12,0)))</f>
        <v>2761.1842697180796</v>
      </c>
      <c r="DR115" s="28">
        <f>IF(DR112=0,IF('Lease Cycles'!$F$14&gt;0,'Lease Cycles'!$C$14*'Lease Cycles'!$E$14/12,0),IF(DR114=1,IF('Lease Cycles'!$AT$14&gt;=9999,'Lease Cycles'!$C$14*INDEX('Lease Cycles'!$CB$14:$CH$14,1,DR112)*(1+INDEX('Lease Cycles'!$CI$14:$CO$14,1,DR112))^INT(INT(DR113/12)/INDEX('Lease Cycles'!$CP$14:$CV$14,1,DR112))/12,IF(DR112=1,IF(DR113&gt;=INDEX('Lease Cycles'!$DK$14:$DQ$14,1,DR112),IF(DR$6&gt;='Lease Cycles'!$AZ$14,'Lease Cycles'!$C$14*'Lease Cycles'!$BA$14/12,IF(DR$6&gt;='Lease Cycles'!$AX$14,'Lease Cycles'!$C$14*'Lease Cycles'!$AY$14/12,IF(DR$6&gt;='Lease Cycles'!$AV$14,'Lease Cycles'!$C$14*'Lease Cycles'!$AW$14/12,IF(DR$6&gt;='Lease Cycles'!$AT$14,'Lease Cycles'!$C$14*'Lease Cycles'!$AU$14/12,'Lease Cycles'!$C$14*INDEX('Lease Cycles'!$CB$14:$CH$14,1,DR112)*(1+INDEX('Lease Cycles'!$CI$14:$CO$14,1,DR112))^INT(INT(DR113/12)/INDEX('Lease Cycles'!$CP$14:$CV$14,1,DR112))/12)))),'Lease Cycles'!$C$14*INDEX('Lease Cycles'!$CB$14:$CH$14,1,DR112)*(1+INDEX('Lease Cycles'!$CI$14:$CO$14,1,DR112))^INT(INT(DR113/12)/INDEX('Lease Cycles'!$CP$14:$CV$14,1,DR112))/12),IF(INDEX('Lease Cycles'!$EF$14:$EL$14,1,DR112)=1,IF(AND('Lease Cycles'!$AZ$14&gt;=INDEX('Lease Cycles'!$BG$14:$BM$14,1,DR112),'Lease Cycles'!$AZ$14&lt;=DR$6),'Lease Cycles'!$C$14*'Lease Cycles'!$BA$14/12,IF(AND('Lease Cycles'!$AX$14&gt;=INDEX('Lease Cycles'!$BG$14:$BM$14,1,DR112),'Lease Cycles'!$AX$14&lt;=DR$6),'Lease Cycles'!$C$14*'Lease Cycles'!$AY$14/12,IF(AND('Lease Cycles'!$AV$14&gt;=INDEX('Lease Cycles'!$BG$14:$BM$14,1,DR112),'Lease Cycles'!$AV$14&lt;=DR$6),'Lease Cycles'!$C$14*'Lease Cycles'!$AW$14/12,IF(AND('Lease Cycles'!$AT$14&gt;=INDEX('Lease Cycles'!$BG$14:$BM$14,1,DR112),'Lease Cycles'!$AT$14&lt;=DR$6),'Lease Cycles'!$C$14*'Lease Cycles'!$AU$14/12,'Lease Cycles'!$C$14*INDEX('Lease Cycles'!$CB$14:$CH$14,1,DR112)*(1+INDEX('Lease Cycles'!$CI$14:$CO$14,1,DR112))^INT(INT(DR113/12)/INDEX('Lease Cycles'!$CP$14:$CV$14,1,DR112))/12)))),'Lease Cycles'!$C$14*INDEX('Lease Cycles'!$CB$14:$CH$14,1,DR112)*(1+INDEX('Lease Cycles'!$CI$14:$CO$14,1,DR112))^INT(INT(DR113/12)/INDEX('Lease Cycles'!$CP$14:$CV$14,1,DR112))/12))),IF('Lease Cycles'!$N$14=1,'Lease Cycles'!$C$14*'Lease Cycles'!$E$14*INDEX('Lease Cycles'!$HE$14:$HK$14,1,DR112)*(1+INDEX('Lease Cycles'!$GQ$14:$GW$14,1,DR112))^INT(INT((DR$6-INDEX('Lease Cycles'!$GJ$14:$GP$14,1,DR112))/12)/INDEX('Lease Cycles'!$GX$14:$HD$14,1,DR112))/12,0)))</f>
        <v>2761.1842697180796</v>
      </c>
      <c r="DS115" s="28">
        <f>IF(DS112=0,IF('Lease Cycles'!$F$14&gt;0,'Lease Cycles'!$C$14*'Lease Cycles'!$E$14/12,0),IF(DS114=1,IF('Lease Cycles'!$AT$14&gt;=9999,'Lease Cycles'!$C$14*INDEX('Lease Cycles'!$CB$14:$CH$14,1,DS112)*(1+INDEX('Lease Cycles'!$CI$14:$CO$14,1,DS112))^INT(INT(DS113/12)/INDEX('Lease Cycles'!$CP$14:$CV$14,1,DS112))/12,IF(DS112=1,IF(DS113&gt;=INDEX('Lease Cycles'!$DK$14:$DQ$14,1,DS112),IF(DS$6&gt;='Lease Cycles'!$AZ$14,'Lease Cycles'!$C$14*'Lease Cycles'!$BA$14/12,IF(DS$6&gt;='Lease Cycles'!$AX$14,'Lease Cycles'!$C$14*'Lease Cycles'!$AY$14/12,IF(DS$6&gt;='Lease Cycles'!$AV$14,'Lease Cycles'!$C$14*'Lease Cycles'!$AW$14/12,IF(DS$6&gt;='Lease Cycles'!$AT$14,'Lease Cycles'!$C$14*'Lease Cycles'!$AU$14/12,'Lease Cycles'!$C$14*INDEX('Lease Cycles'!$CB$14:$CH$14,1,DS112)*(1+INDEX('Lease Cycles'!$CI$14:$CO$14,1,DS112))^INT(INT(DS113/12)/INDEX('Lease Cycles'!$CP$14:$CV$14,1,DS112))/12)))),'Lease Cycles'!$C$14*INDEX('Lease Cycles'!$CB$14:$CH$14,1,DS112)*(1+INDEX('Lease Cycles'!$CI$14:$CO$14,1,DS112))^INT(INT(DS113/12)/INDEX('Lease Cycles'!$CP$14:$CV$14,1,DS112))/12),IF(INDEX('Lease Cycles'!$EF$14:$EL$14,1,DS112)=1,IF(AND('Lease Cycles'!$AZ$14&gt;=INDEX('Lease Cycles'!$BG$14:$BM$14,1,DS112),'Lease Cycles'!$AZ$14&lt;=DS$6),'Lease Cycles'!$C$14*'Lease Cycles'!$BA$14/12,IF(AND('Lease Cycles'!$AX$14&gt;=INDEX('Lease Cycles'!$BG$14:$BM$14,1,DS112),'Lease Cycles'!$AX$14&lt;=DS$6),'Lease Cycles'!$C$14*'Lease Cycles'!$AY$14/12,IF(AND('Lease Cycles'!$AV$14&gt;=INDEX('Lease Cycles'!$BG$14:$BM$14,1,DS112),'Lease Cycles'!$AV$14&lt;=DS$6),'Lease Cycles'!$C$14*'Lease Cycles'!$AW$14/12,IF(AND('Lease Cycles'!$AT$14&gt;=INDEX('Lease Cycles'!$BG$14:$BM$14,1,DS112),'Lease Cycles'!$AT$14&lt;=DS$6),'Lease Cycles'!$C$14*'Lease Cycles'!$AU$14/12,'Lease Cycles'!$C$14*INDEX('Lease Cycles'!$CB$14:$CH$14,1,DS112)*(1+INDEX('Lease Cycles'!$CI$14:$CO$14,1,DS112))^INT(INT(DS113/12)/INDEX('Lease Cycles'!$CP$14:$CV$14,1,DS112))/12)))),'Lease Cycles'!$C$14*INDEX('Lease Cycles'!$CB$14:$CH$14,1,DS112)*(1+INDEX('Lease Cycles'!$CI$14:$CO$14,1,DS112))^INT(INT(DS113/12)/INDEX('Lease Cycles'!$CP$14:$CV$14,1,DS112))/12))),IF('Lease Cycles'!$N$14=1,'Lease Cycles'!$C$14*'Lease Cycles'!$E$14*INDEX('Lease Cycles'!$HE$14:$HK$14,1,DS112)*(1+INDEX('Lease Cycles'!$GQ$14:$GW$14,1,DS112))^INT(INT((DS$6-INDEX('Lease Cycles'!$GJ$14:$GP$14,1,DS112))/12)/INDEX('Lease Cycles'!$GX$14:$HD$14,1,DS112))/12,0)))</f>
        <v>2761.1842697180796</v>
      </c>
      <c r="DT115" s="28">
        <f>IF(DT112=0,IF('Lease Cycles'!$F$14&gt;0,'Lease Cycles'!$C$14*'Lease Cycles'!$E$14/12,0),IF(DT114=1,IF('Lease Cycles'!$AT$14&gt;=9999,'Lease Cycles'!$C$14*INDEX('Lease Cycles'!$CB$14:$CH$14,1,DT112)*(1+INDEX('Lease Cycles'!$CI$14:$CO$14,1,DT112))^INT(INT(DT113/12)/INDEX('Lease Cycles'!$CP$14:$CV$14,1,DT112))/12,IF(DT112=1,IF(DT113&gt;=INDEX('Lease Cycles'!$DK$14:$DQ$14,1,DT112),IF(DT$6&gt;='Lease Cycles'!$AZ$14,'Lease Cycles'!$C$14*'Lease Cycles'!$BA$14/12,IF(DT$6&gt;='Lease Cycles'!$AX$14,'Lease Cycles'!$C$14*'Lease Cycles'!$AY$14/12,IF(DT$6&gt;='Lease Cycles'!$AV$14,'Lease Cycles'!$C$14*'Lease Cycles'!$AW$14/12,IF(DT$6&gt;='Lease Cycles'!$AT$14,'Lease Cycles'!$C$14*'Lease Cycles'!$AU$14/12,'Lease Cycles'!$C$14*INDEX('Lease Cycles'!$CB$14:$CH$14,1,DT112)*(1+INDEX('Lease Cycles'!$CI$14:$CO$14,1,DT112))^INT(INT(DT113/12)/INDEX('Lease Cycles'!$CP$14:$CV$14,1,DT112))/12)))),'Lease Cycles'!$C$14*INDEX('Lease Cycles'!$CB$14:$CH$14,1,DT112)*(1+INDEX('Lease Cycles'!$CI$14:$CO$14,1,DT112))^INT(INT(DT113/12)/INDEX('Lease Cycles'!$CP$14:$CV$14,1,DT112))/12),IF(INDEX('Lease Cycles'!$EF$14:$EL$14,1,DT112)=1,IF(AND('Lease Cycles'!$AZ$14&gt;=INDEX('Lease Cycles'!$BG$14:$BM$14,1,DT112),'Lease Cycles'!$AZ$14&lt;=DT$6),'Lease Cycles'!$C$14*'Lease Cycles'!$BA$14/12,IF(AND('Lease Cycles'!$AX$14&gt;=INDEX('Lease Cycles'!$BG$14:$BM$14,1,DT112),'Lease Cycles'!$AX$14&lt;=DT$6),'Lease Cycles'!$C$14*'Lease Cycles'!$AY$14/12,IF(AND('Lease Cycles'!$AV$14&gt;=INDEX('Lease Cycles'!$BG$14:$BM$14,1,DT112),'Lease Cycles'!$AV$14&lt;=DT$6),'Lease Cycles'!$C$14*'Lease Cycles'!$AW$14/12,IF(AND('Lease Cycles'!$AT$14&gt;=INDEX('Lease Cycles'!$BG$14:$BM$14,1,DT112),'Lease Cycles'!$AT$14&lt;=DT$6),'Lease Cycles'!$C$14*'Lease Cycles'!$AU$14/12,'Lease Cycles'!$C$14*INDEX('Lease Cycles'!$CB$14:$CH$14,1,DT112)*(1+INDEX('Lease Cycles'!$CI$14:$CO$14,1,DT112))^INT(INT(DT113/12)/INDEX('Lease Cycles'!$CP$14:$CV$14,1,DT112))/12)))),'Lease Cycles'!$C$14*INDEX('Lease Cycles'!$CB$14:$CH$14,1,DT112)*(1+INDEX('Lease Cycles'!$CI$14:$CO$14,1,DT112))^INT(INT(DT113/12)/INDEX('Lease Cycles'!$CP$14:$CV$14,1,DT112))/12))),IF('Lease Cycles'!$N$14=1,'Lease Cycles'!$C$14*'Lease Cycles'!$E$14*INDEX('Lease Cycles'!$HE$14:$HK$14,1,DT112)*(1+INDEX('Lease Cycles'!$GQ$14:$GW$14,1,DT112))^INT(INT((DT$6-INDEX('Lease Cycles'!$GJ$14:$GP$14,1,DT112))/12)/INDEX('Lease Cycles'!$GX$14:$HD$14,1,DT112))/12,0)))</f>
        <v>2761.1842697180796</v>
      </c>
      <c r="DU115" s="28">
        <f>IF(DU112=0,IF('Lease Cycles'!$F$14&gt;0,'Lease Cycles'!$C$14*'Lease Cycles'!$E$14/12,0),IF(DU114=1,IF('Lease Cycles'!$AT$14&gt;=9999,'Lease Cycles'!$C$14*INDEX('Lease Cycles'!$CB$14:$CH$14,1,DU112)*(1+INDEX('Lease Cycles'!$CI$14:$CO$14,1,DU112))^INT(INT(DU113/12)/INDEX('Lease Cycles'!$CP$14:$CV$14,1,DU112))/12,IF(DU112=1,IF(DU113&gt;=INDEX('Lease Cycles'!$DK$14:$DQ$14,1,DU112),IF(DU$6&gt;='Lease Cycles'!$AZ$14,'Lease Cycles'!$C$14*'Lease Cycles'!$BA$14/12,IF(DU$6&gt;='Lease Cycles'!$AX$14,'Lease Cycles'!$C$14*'Lease Cycles'!$AY$14/12,IF(DU$6&gt;='Lease Cycles'!$AV$14,'Lease Cycles'!$C$14*'Lease Cycles'!$AW$14/12,IF(DU$6&gt;='Lease Cycles'!$AT$14,'Lease Cycles'!$C$14*'Lease Cycles'!$AU$14/12,'Lease Cycles'!$C$14*INDEX('Lease Cycles'!$CB$14:$CH$14,1,DU112)*(1+INDEX('Lease Cycles'!$CI$14:$CO$14,1,DU112))^INT(INT(DU113/12)/INDEX('Lease Cycles'!$CP$14:$CV$14,1,DU112))/12)))),'Lease Cycles'!$C$14*INDEX('Lease Cycles'!$CB$14:$CH$14,1,DU112)*(1+INDEX('Lease Cycles'!$CI$14:$CO$14,1,DU112))^INT(INT(DU113/12)/INDEX('Lease Cycles'!$CP$14:$CV$14,1,DU112))/12),IF(INDEX('Lease Cycles'!$EF$14:$EL$14,1,DU112)=1,IF(AND('Lease Cycles'!$AZ$14&gt;=INDEX('Lease Cycles'!$BG$14:$BM$14,1,DU112),'Lease Cycles'!$AZ$14&lt;=DU$6),'Lease Cycles'!$C$14*'Lease Cycles'!$BA$14/12,IF(AND('Lease Cycles'!$AX$14&gt;=INDEX('Lease Cycles'!$BG$14:$BM$14,1,DU112),'Lease Cycles'!$AX$14&lt;=DU$6),'Lease Cycles'!$C$14*'Lease Cycles'!$AY$14/12,IF(AND('Lease Cycles'!$AV$14&gt;=INDEX('Lease Cycles'!$BG$14:$BM$14,1,DU112),'Lease Cycles'!$AV$14&lt;=DU$6),'Lease Cycles'!$C$14*'Lease Cycles'!$AW$14/12,IF(AND('Lease Cycles'!$AT$14&gt;=INDEX('Lease Cycles'!$BG$14:$BM$14,1,DU112),'Lease Cycles'!$AT$14&lt;=DU$6),'Lease Cycles'!$C$14*'Lease Cycles'!$AU$14/12,'Lease Cycles'!$C$14*INDEX('Lease Cycles'!$CB$14:$CH$14,1,DU112)*(1+INDEX('Lease Cycles'!$CI$14:$CO$14,1,DU112))^INT(INT(DU113/12)/INDEX('Lease Cycles'!$CP$14:$CV$14,1,DU112))/12)))),'Lease Cycles'!$C$14*INDEX('Lease Cycles'!$CB$14:$CH$14,1,DU112)*(1+INDEX('Lease Cycles'!$CI$14:$CO$14,1,DU112))^INT(INT(DU113/12)/INDEX('Lease Cycles'!$CP$14:$CV$14,1,DU112))/12))),IF('Lease Cycles'!$N$14=1,'Lease Cycles'!$C$14*'Lease Cycles'!$E$14*INDEX('Lease Cycles'!$HE$14:$HK$14,1,DU112)*(1+INDEX('Lease Cycles'!$GQ$14:$GW$14,1,DU112))^INT(INT((DU$6-INDEX('Lease Cycles'!$GJ$14:$GP$14,1,DU112))/12)/INDEX('Lease Cycles'!$GX$14:$HD$14,1,DU112))/12,0)))</f>
        <v>2761.1842697180796</v>
      </c>
      <c r="DV115" s="28">
        <f>IF(DV112=0,IF('Lease Cycles'!$F$14&gt;0,'Lease Cycles'!$C$14*'Lease Cycles'!$E$14/12,0),IF(DV114=1,IF('Lease Cycles'!$AT$14&gt;=9999,'Lease Cycles'!$C$14*INDEX('Lease Cycles'!$CB$14:$CH$14,1,DV112)*(1+INDEX('Lease Cycles'!$CI$14:$CO$14,1,DV112))^INT(INT(DV113/12)/INDEX('Lease Cycles'!$CP$14:$CV$14,1,DV112))/12,IF(DV112=1,IF(DV113&gt;=INDEX('Lease Cycles'!$DK$14:$DQ$14,1,DV112),IF(DV$6&gt;='Lease Cycles'!$AZ$14,'Lease Cycles'!$C$14*'Lease Cycles'!$BA$14/12,IF(DV$6&gt;='Lease Cycles'!$AX$14,'Lease Cycles'!$C$14*'Lease Cycles'!$AY$14/12,IF(DV$6&gt;='Lease Cycles'!$AV$14,'Lease Cycles'!$C$14*'Lease Cycles'!$AW$14/12,IF(DV$6&gt;='Lease Cycles'!$AT$14,'Lease Cycles'!$C$14*'Lease Cycles'!$AU$14/12,'Lease Cycles'!$C$14*INDEX('Lease Cycles'!$CB$14:$CH$14,1,DV112)*(1+INDEX('Lease Cycles'!$CI$14:$CO$14,1,DV112))^INT(INT(DV113/12)/INDEX('Lease Cycles'!$CP$14:$CV$14,1,DV112))/12)))),'Lease Cycles'!$C$14*INDEX('Lease Cycles'!$CB$14:$CH$14,1,DV112)*(1+INDEX('Lease Cycles'!$CI$14:$CO$14,1,DV112))^INT(INT(DV113/12)/INDEX('Lease Cycles'!$CP$14:$CV$14,1,DV112))/12),IF(INDEX('Lease Cycles'!$EF$14:$EL$14,1,DV112)=1,IF(AND('Lease Cycles'!$AZ$14&gt;=INDEX('Lease Cycles'!$BG$14:$BM$14,1,DV112),'Lease Cycles'!$AZ$14&lt;=DV$6),'Lease Cycles'!$C$14*'Lease Cycles'!$BA$14/12,IF(AND('Lease Cycles'!$AX$14&gt;=INDEX('Lease Cycles'!$BG$14:$BM$14,1,DV112),'Lease Cycles'!$AX$14&lt;=DV$6),'Lease Cycles'!$C$14*'Lease Cycles'!$AY$14/12,IF(AND('Lease Cycles'!$AV$14&gt;=INDEX('Lease Cycles'!$BG$14:$BM$14,1,DV112),'Lease Cycles'!$AV$14&lt;=DV$6),'Lease Cycles'!$C$14*'Lease Cycles'!$AW$14/12,IF(AND('Lease Cycles'!$AT$14&gt;=INDEX('Lease Cycles'!$BG$14:$BM$14,1,DV112),'Lease Cycles'!$AT$14&lt;=DV$6),'Lease Cycles'!$C$14*'Lease Cycles'!$AU$14/12,'Lease Cycles'!$C$14*INDEX('Lease Cycles'!$CB$14:$CH$14,1,DV112)*(1+INDEX('Lease Cycles'!$CI$14:$CO$14,1,DV112))^INT(INT(DV113/12)/INDEX('Lease Cycles'!$CP$14:$CV$14,1,DV112))/12)))),'Lease Cycles'!$C$14*INDEX('Lease Cycles'!$CB$14:$CH$14,1,DV112)*(1+INDEX('Lease Cycles'!$CI$14:$CO$14,1,DV112))^INT(INT(DV113/12)/INDEX('Lease Cycles'!$CP$14:$CV$14,1,DV112))/12))),IF('Lease Cycles'!$N$14=1,'Lease Cycles'!$C$14*'Lease Cycles'!$E$14*INDEX('Lease Cycles'!$HE$14:$HK$14,1,DV112)*(1+INDEX('Lease Cycles'!$GQ$14:$GW$14,1,DV112))^INT(INT((DV$6-INDEX('Lease Cycles'!$GJ$14:$GP$14,1,DV112))/12)/INDEX('Lease Cycles'!$GX$14:$HD$14,1,DV112))/12,0)))</f>
        <v>2761.1842697180796</v>
      </c>
      <c r="DW115" s="28">
        <f>IF(DW112=0,IF('Lease Cycles'!$F$14&gt;0,'Lease Cycles'!$C$14*'Lease Cycles'!$E$14/12,0),IF(DW114=1,IF('Lease Cycles'!$AT$14&gt;=9999,'Lease Cycles'!$C$14*INDEX('Lease Cycles'!$CB$14:$CH$14,1,DW112)*(1+INDEX('Lease Cycles'!$CI$14:$CO$14,1,DW112))^INT(INT(DW113/12)/INDEX('Lease Cycles'!$CP$14:$CV$14,1,DW112))/12,IF(DW112=1,IF(DW113&gt;=INDEX('Lease Cycles'!$DK$14:$DQ$14,1,DW112),IF(DW$6&gt;='Lease Cycles'!$AZ$14,'Lease Cycles'!$C$14*'Lease Cycles'!$BA$14/12,IF(DW$6&gt;='Lease Cycles'!$AX$14,'Lease Cycles'!$C$14*'Lease Cycles'!$AY$14/12,IF(DW$6&gt;='Lease Cycles'!$AV$14,'Lease Cycles'!$C$14*'Lease Cycles'!$AW$14/12,IF(DW$6&gt;='Lease Cycles'!$AT$14,'Lease Cycles'!$C$14*'Lease Cycles'!$AU$14/12,'Lease Cycles'!$C$14*INDEX('Lease Cycles'!$CB$14:$CH$14,1,DW112)*(1+INDEX('Lease Cycles'!$CI$14:$CO$14,1,DW112))^INT(INT(DW113/12)/INDEX('Lease Cycles'!$CP$14:$CV$14,1,DW112))/12)))),'Lease Cycles'!$C$14*INDEX('Lease Cycles'!$CB$14:$CH$14,1,DW112)*(1+INDEX('Lease Cycles'!$CI$14:$CO$14,1,DW112))^INT(INT(DW113/12)/INDEX('Lease Cycles'!$CP$14:$CV$14,1,DW112))/12),IF(INDEX('Lease Cycles'!$EF$14:$EL$14,1,DW112)=1,IF(AND('Lease Cycles'!$AZ$14&gt;=INDEX('Lease Cycles'!$BG$14:$BM$14,1,DW112),'Lease Cycles'!$AZ$14&lt;=DW$6),'Lease Cycles'!$C$14*'Lease Cycles'!$BA$14/12,IF(AND('Lease Cycles'!$AX$14&gt;=INDEX('Lease Cycles'!$BG$14:$BM$14,1,DW112),'Lease Cycles'!$AX$14&lt;=DW$6),'Lease Cycles'!$C$14*'Lease Cycles'!$AY$14/12,IF(AND('Lease Cycles'!$AV$14&gt;=INDEX('Lease Cycles'!$BG$14:$BM$14,1,DW112),'Lease Cycles'!$AV$14&lt;=DW$6),'Lease Cycles'!$C$14*'Lease Cycles'!$AW$14/12,IF(AND('Lease Cycles'!$AT$14&gt;=INDEX('Lease Cycles'!$BG$14:$BM$14,1,DW112),'Lease Cycles'!$AT$14&lt;=DW$6),'Lease Cycles'!$C$14*'Lease Cycles'!$AU$14/12,'Lease Cycles'!$C$14*INDEX('Lease Cycles'!$CB$14:$CH$14,1,DW112)*(1+INDEX('Lease Cycles'!$CI$14:$CO$14,1,DW112))^INT(INT(DW113/12)/INDEX('Lease Cycles'!$CP$14:$CV$14,1,DW112))/12)))),'Lease Cycles'!$C$14*INDEX('Lease Cycles'!$CB$14:$CH$14,1,DW112)*(1+INDEX('Lease Cycles'!$CI$14:$CO$14,1,DW112))^INT(INT(DW113/12)/INDEX('Lease Cycles'!$CP$14:$CV$14,1,DW112))/12))),IF('Lease Cycles'!$N$14=1,'Lease Cycles'!$C$14*'Lease Cycles'!$E$14*INDEX('Lease Cycles'!$HE$14:$HK$14,1,DW112)*(1+INDEX('Lease Cycles'!$GQ$14:$GW$14,1,DW112))^INT(INT((DW$6-INDEX('Lease Cycles'!$GJ$14:$GP$14,1,DW112))/12)/INDEX('Lease Cycles'!$GX$14:$HD$14,1,DW112))/12,0)))</f>
        <v>2761.1842697180796</v>
      </c>
      <c r="DX115" s="28">
        <f>IF(DX112=0,IF('Lease Cycles'!$F$14&gt;0,'Lease Cycles'!$C$14*'Lease Cycles'!$E$14/12,0),IF(DX114=1,IF('Lease Cycles'!$AT$14&gt;=9999,'Lease Cycles'!$C$14*INDEX('Lease Cycles'!$CB$14:$CH$14,1,DX112)*(1+INDEX('Lease Cycles'!$CI$14:$CO$14,1,DX112))^INT(INT(DX113/12)/INDEX('Lease Cycles'!$CP$14:$CV$14,1,DX112))/12,IF(DX112=1,IF(DX113&gt;=INDEX('Lease Cycles'!$DK$14:$DQ$14,1,DX112),IF(DX$6&gt;='Lease Cycles'!$AZ$14,'Lease Cycles'!$C$14*'Lease Cycles'!$BA$14/12,IF(DX$6&gt;='Lease Cycles'!$AX$14,'Lease Cycles'!$C$14*'Lease Cycles'!$AY$14/12,IF(DX$6&gt;='Lease Cycles'!$AV$14,'Lease Cycles'!$C$14*'Lease Cycles'!$AW$14/12,IF(DX$6&gt;='Lease Cycles'!$AT$14,'Lease Cycles'!$C$14*'Lease Cycles'!$AU$14/12,'Lease Cycles'!$C$14*INDEX('Lease Cycles'!$CB$14:$CH$14,1,DX112)*(1+INDEX('Lease Cycles'!$CI$14:$CO$14,1,DX112))^INT(INT(DX113/12)/INDEX('Lease Cycles'!$CP$14:$CV$14,1,DX112))/12)))),'Lease Cycles'!$C$14*INDEX('Lease Cycles'!$CB$14:$CH$14,1,DX112)*(1+INDEX('Lease Cycles'!$CI$14:$CO$14,1,DX112))^INT(INT(DX113/12)/INDEX('Lease Cycles'!$CP$14:$CV$14,1,DX112))/12),IF(INDEX('Lease Cycles'!$EF$14:$EL$14,1,DX112)=1,IF(AND('Lease Cycles'!$AZ$14&gt;=INDEX('Lease Cycles'!$BG$14:$BM$14,1,DX112),'Lease Cycles'!$AZ$14&lt;=DX$6),'Lease Cycles'!$C$14*'Lease Cycles'!$BA$14/12,IF(AND('Lease Cycles'!$AX$14&gt;=INDEX('Lease Cycles'!$BG$14:$BM$14,1,DX112),'Lease Cycles'!$AX$14&lt;=DX$6),'Lease Cycles'!$C$14*'Lease Cycles'!$AY$14/12,IF(AND('Lease Cycles'!$AV$14&gt;=INDEX('Lease Cycles'!$BG$14:$BM$14,1,DX112),'Lease Cycles'!$AV$14&lt;=DX$6),'Lease Cycles'!$C$14*'Lease Cycles'!$AW$14/12,IF(AND('Lease Cycles'!$AT$14&gt;=INDEX('Lease Cycles'!$BG$14:$BM$14,1,DX112),'Lease Cycles'!$AT$14&lt;=DX$6),'Lease Cycles'!$C$14*'Lease Cycles'!$AU$14/12,'Lease Cycles'!$C$14*INDEX('Lease Cycles'!$CB$14:$CH$14,1,DX112)*(1+INDEX('Lease Cycles'!$CI$14:$CO$14,1,DX112))^INT(INT(DX113/12)/INDEX('Lease Cycles'!$CP$14:$CV$14,1,DX112))/12)))),'Lease Cycles'!$C$14*INDEX('Lease Cycles'!$CB$14:$CH$14,1,DX112)*(1+INDEX('Lease Cycles'!$CI$14:$CO$14,1,DX112))^INT(INT(DX113/12)/INDEX('Lease Cycles'!$CP$14:$CV$14,1,DX112))/12))),IF('Lease Cycles'!$N$14=1,'Lease Cycles'!$C$14*'Lease Cycles'!$E$14*INDEX('Lease Cycles'!$HE$14:$HK$14,1,DX112)*(1+INDEX('Lease Cycles'!$GQ$14:$GW$14,1,DX112))^INT(INT((DX$6-INDEX('Lease Cycles'!$GJ$14:$GP$14,1,DX112))/12)/INDEX('Lease Cycles'!$GX$14:$HD$14,1,DX112))/12,0)))</f>
        <v>2761.1842697180796</v>
      </c>
      <c r="DY115" s="28">
        <f>IF(DY112=0,IF('Lease Cycles'!$F$14&gt;0,'Lease Cycles'!$C$14*'Lease Cycles'!$E$14/12,0),IF(DY114=1,IF('Lease Cycles'!$AT$14&gt;=9999,'Lease Cycles'!$C$14*INDEX('Lease Cycles'!$CB$14:$CH$14,1,DY112)*(1+INDEX('Lease Cycles'!$CI$14:$CO$14,1,DY112))^INT(INT(DY113/12)/INDEX('Lease Cycles'!$CP$14:$CV$14,1,DY112))/12,IF(DY112=1,IF(DY113&gt;=INDEX('Lease Cycles'!$DK$14:$DQ$14,1,DY112),IF(DY$6&gt;='Lease Cycles'!$AZ$14,'Lease Cycles'!$C$14*'Lease Cycles'!$BA$14/12,IF(DY$6&gt;='Lease Cycles'!$AX$14,'Lease Cycles'!$C$14*'Lease Cycles'!$AY$14/12,IF(DY$6&gt;='Lease Cycles'!$AV$14,'Lease Cycles'!$C$14*'Lease Cycles'!$AW$14/12,IF(DY$6&gt;='Lease Cycles'!$AT$14,'Lease Cycles'!$C$14*'Lease Cycles'!$AU$14/12,'Lease Cycles'!$C$14*INDEX('Lease Cycles'!$CB$14:$CH$14,1,DY112)*(1+INDEX('Lease Cycles'!$CI$14:$CO$14,1,DY112))^INT(INT(DY113/12)/INDEX('Lease Cycles'!$CP$14:$CV$14,1,DY112))/12)))),'Lease Cycles'!$C$14*INDEX('Lease Cycles'!$CB$14:$CH$14,1,DY112)*(1+INDEX('Lease Cycles'!$CI$14:$CO$14,1,DY112))^INT(INT(DY113/12)/INDEX('Lease Cycles'!$CP$14:$CV$14,1,DY112))/12),IF(INDEX('Lease Cycles'!$EF$14:$EL$14,1,DY112)=1,IF(AND('Lease Cycles'!$AZ$14&gt;=INDEX('Lease Cycles'!$BG$14:$BM$14,1,DY112),'Lease Cycles'!$AZ$14&lt;=DY$6),'Lease Cycles'!$C$14*'Lease Cycles'!$BA$14/12,IF(AND('Lease Cycles'!$AX$14&gt;=INDEX('Lease Cycles'!$BG$14:$BM$14,1,DY112),'Lease Cycles'!$AX$14&lt;=DY$6),'Lease Cycles'!$C$14*'Lease Cycles'!$AY$14/12,IF(AND('Lease Cycles'!$AV$14&gt;=INDEX('Lease Cycles'!$BG$14:$BM$14,1,DY112),'Lease Cycles'!$AV$14&lt;=DY$6),'Lease Cycles'!$C$14*'Lease Cycles'!$AW$14/12,IF(AND('Lease Cycles'!$AT$14&gt;=INDEX('Lease Cycles'!$BG$14:$BM$14,1,DY112),'Lease Cycles'!$AT$14&lt;=DY$6),'Lease Cycles'!$C$14*'Lease Cycles'!$AU$14/12,'Lease Cycles'!$C$14*INDEX('Lease Cycles'!$CB$14:$CH$14,1,DY112)*(1+INDEX('Lease Cycles'!$CI$14:$CO$14,1,DY112))^INT(INT(DY113/12)/INDEX('Lease Cycles'!$CP$14:$CV$14,1,DY112))/12)))),'Lease Cycles'!$C$14*INDEX('Lease Cycles'!$CB$14:$CH$14,1,DY112)*(1+INDEX('Lease Cycles'!$CI$14:$CO$14,1,DY112))^INT(INT(DY113/12)/INDEX('Lease Cycles'!$CP$14:$CV$14,1,DY112))/12))),IF('Lease Cycles'!$N$14=1,'Lease Cycles'!$C$14*'Lease Cycles'!$E$14*INDEX('Lease Cycles'!$HE$14:$HK$14,1,DY112)*(1+INDEX('Lease Cycles'!$GQ$14:$GW$14,1,DY112))^INT(INT((DY$6-INDEX('Lease Cycles'!$GJ$14:$GP$14,1,DY112))/12)/INDEX('Lease Cycles'!$GX$14:$HD$14,1,DY112))/12,0)))</f>
        <v>2761.1842697180796</v>
      </c>
      <c r="DZ115" s="28">
        <f>IF(DZ112=0,IF('Lease Cycles'!$F$14&gt;0,'Lease Cycles'!$C$14*'Lease Cycles'!$E$14/12,0),IF(DZ114=1,IF('Lease Cycles'!$AT$14&gt;=9999,'Lease Cycles'!$C$14*INDEX('Lease Cycles'!$CB$14:$CH$14,1,DZ112)*(1+INDEX('Lease Cycles'!$CI$14:$CO$14,1,DZ112))^INT(INT(DZ113/12)/INDEX('Lease Cycles'!$CP$14:$CV$14,1,DZ112))/12,IF(DZ112=1,IF(DZ113&gt;=INDEX('Lease Cycles'!$DK$14:$DQ$14,1,DZ112),IF(DZ$6&gt;='Lease Cycles'!$AZ$14,'Lease Cycles'!$C$14*'Lease Cycles'!$BA$14/12,IF(DZ$6&gt;='Lease Cycles'!$AX$14,'Lease Cycles'!$C$14*'Lease Cycles'!$AY$14/12,IF(DZ$6&gt;='Lease Cycles'!$AV$14,'Lease Cycles'!$C$14*'Lease Cycles'!$AW$14/12,IF(DZ$6&gt;='Lease Cycles'!$AT$14,'Lease Cycles'!$C$14*'Lease Cycles'!$AU$14/12,'Lease Cycles'!$C$14*INDEX('Lease Cycles'!$CB$14:$CH$14,1,DZ112)*(1+INDEX('Lease Cycles'!$CI$14:$CO$14,1,DZ112))^INT(INT(DZ113/12)/INDEX('Lease Cycles'!$CP$14:$CV$14,1,DZ112))/12)))),'Lease Cycles'!$C$14*INDEX('Lease Cycles'!$CB$14:$CH$14,1,DZ112)*(1+INDEX('Lease Cycles'!$CI$14:$CO$14,1,DZ112))^INT(INT(DZ113/12)/INDEX('Lease Cycles'!$CP$14:$CV$14,1,DZ112))/12),IF(INDEX('Lease Cycles'!$EF$14:$EL$14,1,DZ112)=1,IF(AND('Lease Cycles'!$AZ$14&gt;=INDEX('Lease Cycles'!$BG$14:$BM$14,1,DZ112),'Lease Cycles'!$AZ$14&lt;=DZ$6),'Lease Cycles'!$C$14*'Lease Cycles'!$BA$14/12,IF(AND('Lease Cycles'!$AX$14&gt;=INDEX('Lease Cycles'!$BG$14:$BM$14,1,DZ112),'Lease Cycles'!$AX$14&lt;=DZ$6),'Lease Cycles'!$C$14*'Lease Cycles'!$AY$14/12,IF(AND('Lease Cycles'!$AV$14&gt;=INDEX('Lease Cycles'!$BG$14:$BM$14,1,DZ112),'Lease Cycles'!$AV$14&lt;=DZ$6),'Lease Cycles'!$C$14*'Lease Cycles'!$AW$14/12,IF(AND('Lease Cycles'!$AT$14&gt;=INDEX('Lease Cycles'!$BG$14:$BM$14,1,DZ112),'Lease Cycles'!$AT$14&lt;=DZ$6),'Lease Cycles'!$C$14*'Lease Cycles'!$AU$14/12,'Lease Cycles'!$C$14*INDEX('Lease Cycles'!$CB$14:$CH$14,1,DZ112)*(1+INDEX('Lease Cycles'!$CI$14:$CO$14,1,DZ112))^INT(INT(DZ113/12)/INDEX('Lease Cycles'!$CP$14:$CV$14,1,DZ112))/12)))),'Lease Cycles'!$C$14*INDEX('Lease Cycles'!$CB$14:$CH$14,1,DZ112)*(1+INDEX('Lease Cycles'!$CI$14:$CO$14,1,DZ112))^INT(INT(DZ113/12)/INDEX('Lease Cycles'!$CP$14:$CV$14,1,DZ112))/12))),IF('Lease Cycles'!$N$14=1,'Lease Cycles'!$C$14*'Lease Cycles'!$E$14*INDEX('Lease Cycles'!$HE$14:$HK$14,1,DZ112)*(1+INDEX('Lease Cycles'!$GQ$14:$GW$14,1,DZ112))^INT(INT((DZ$6-INDEX('Lease Cycles'!$GJ$14:$GP$14,1,DZ112))/12)/INDEX('Lease Cycles'!$GX$14:$HD$14,1,DZ112))/12,0)))</f>
        <v>2761.1842697180796</v>
      </c>
      <c r="EA115" s="28">
        <f>IF(EA112=0,IF('Lease Cycles'!$F$14&gt;0,'Lease Cycles'!$C$14*'Lease Cycles'!$E$14/12,0),IF(EA114=1,IF('Lease Cycles'!$AT$14&gt;=9999,'Lease Cycles'!$C$14*INDEX('Lease Cycles'!$CB$14:$CH$14,1,EA112)*(1+INDEX('Lease Cycles'!$CI$14:$CO$14,1,EA112))^INT(INT(EA113/12)/INDEX('Lease Cycles'!$CP$14:$CV$14,1,EA112))/12,IF(EA112=1,IF(EA113&gt;=INDEX('Lease Cycles'!$DK$14:$DQ$14,1,EA112),IF(EA$6&gt;='Lease Cycles'!$AZ$14,'Lease Cycles'!$C$14*'Lease Cycles'!$BA$14/12,IF(EA$6&gt;='Lease Cycles'!$AX$14,'Lease Cycles'!$C$14*'Lease Cycles'!$AY$14/12,IF(EA$6&gt;='Lease Cycles'!$AV$14,'Lease Cycles'!$C$14*'Lease Cycles'!$AW$14/12,IF(EA$6&gt;='Lease Cycles'!$AT$14,'Lease Cycles'!$C$14*'Lease Cycles'!$AU$14/12,'Lease Cycles'!$C$14*INDEX('Lease Cycles'!$CB$14:$CH$14,1,EA112)*(1+INDEX('Lease Cycles'!$CI$14:$CO$14,1,EA112))^INT(INT(EA113/12)/INDEX('Lease Cycles'!$CP$14:$CV$14,1,EA112))/12)))),'Lease Cycles'!$C$14*INDEX('Lease Cycles'!$CB$14:$CH$14,1,EA112)*(1+INDEX('Lease Cycles'!$CI$14:$CO$14,1,EA112))^INT(INT(EA113/12)/INDEX('Lease Cycles'!$CP$14:$CV$14,1,EA112))/12),IF(INDEX('Lease Cycles'!$EF$14:$EL$14,1,EA112)=1,IF(AND('Lease Cycles'!$AZ$14&gt;=INDEX('Lease Cycles'!$BG$14:$BM$14,1,EA112),'Lease Cycles'!$AZ$14&lt;=EA$6),'Lease Cycles'!$C$14*'Lease Cycles'!$BA$14/12,IF(AND('Lease Cycles'!$AX$14&gt;=INDEX('Lease Cycles'!$BG$14:$BM$14,1,EA112),'Lease Cycles'!$AX$14&lt;=EA$6),'Lease Cycles'!$C$14*'Lease Cycles'!$AY$14/12,IF(AND('Lease Cycles'!$AV$14&gt;=INDEX('Lease Cycles'!$BG$14:$BM$14,1,EA112),'Lease Cycles'!$AV$14&lt;=EA$6),'Lease Cycles'!$C$14*'Lease Cycles'!$AW$14/12,IF(AND('Lease Cycles'!$AT$14&gt;=INDEX('Lease Cycles'!$BG$14:$BM$14,1,EA112),'Lease Cycles'!$AT$14&lt;=EA$6),'Lease Cycles'!$C$14*'Lease Cycles'!$AU$14/12,'Lease Cycles'!$C$14*INDEX('Lease Cycles'!$CB$14:$CH$14,1,EA112)*(1+INDEX('Lease Cycles'!$CI$14:$CO$14,1,EA112))^INT(INT(EA113/12)/INDEX('Lease Cycles'!$CP$14:$CV$14,1,EA112))/12)))),'Lease Cycles'!$C$14*INDEX('Lease Cycles'!$CB$14:$CH$14,1,EA112)*(1+INDEX('Lease Cycles'!$CI$14:$CO$14,1,EA112))^INT(INT(EA113/12)/INDEX('Lease Cycles'!$CP$14:$CV$14,1,EA112))/12))),IF('Lease Cycles'!$N$14=1,'Lease Cycles'!$C$14*'Lease Cycles'!$E$14*INDEX('Lease Cycles'!$HE$14:$HK$14,1,EA112)*(1+INDEX('Lease Cycles'!$GQ$14:$GW$14,1,EA112))^INT(INT((EA$6-INDEX('Lease Cycles'!$GJ$14:$GP$14,1,EA112))/12)/INDEX('Lease Cycles'!$GX$14:$HD$14,1,EA112))/12,0)))</f>
        <v>2844.019797809622</v>
      </c>
      <c r="EB115" s="28">
        <f>IF(EB112=0,IF('Lease Cycles'!$F$14&gt;0,'Lease Cycles'!$C$14*'Lease Cycles'!$E$14/12,0),IF(EB114=1,IF('Lease Cycles'!$AT$14&gt;=9999,'Lease Cycles'!$C$14*INDEX('Lease Cycles'!$CB$14:$CH$14,1,EB112)*(1+INDEX('Lease Cycles'!$CI$14:$CO$14,1,EB112))^INT(INT(EB113/12)/INDEX('Lease Cycles'!$CP$14:$CV$14,1,EB112))/12,IF(EB112=1,IF(EB113&gt;=INDEX('Lease Cycles'!$DK$14:$DQ$14,1,EB112),IF(EB$6&gt;='Lease Cycles'!$AZ$14,'Lease Cycles'!$C$14*'Lease Cycles'!$BA$14/12,IF(EB$6&gt;='Lease Cycles'!$AX$14,'Lease Cycles'!$C$14*'Lease Cycles'!$AY$14/12,IF(EB$6&gt;='Lease Cycles'!$AV$14,'Lease Cycles'!$C$14*'Lease Cycles'!$AW$14/12,IF(EB$6&gt;='Lease Cycles'!$AT$14,'Lease Cycles'!$C$14*'Lease Cycles'!$AU$14/12,'Lease Cycles'!$C$14*INDEX('Lease Cycles'!$CB$14:$CH$14,1,EB112)*(1+INDEX('Lease Cycles'!$CI$14:$CO$14,1,EB112))^INT(INT(EB113/12)/INDEX('Lease Cycles'!$CP$14:$CV$14,1,EB112))/12)))),'Lease Cycles'!$C$14*INDEX('Lease Cycles'!$CB$14:$CH$14,1,EB112)*(1+INDEX('Lease Cycles'!$CI$14:$CO$14,1,EB112))^INT(INT(EB113/12)/INDEX('Lease Cycles'!$CP$14:$CV$14,1,EB112))/12),IF(INDEX('Lease Cycles'!$EF$14:$EL$14,1,EB112)=1,IF(AND('Lease Cycles'!$AZ$14&gt;=INDEX('Lease Cycles'!$BG$14:$BM$14,1,EB112),'Lease Cycles'!$AZ$14&lt;=EB$6),'Lease Cycles'!$C$14*'Lease Cycles'!$BA$14/12,IF(AND('Lease Cycles'!$AX$14&gt;=INDEX('Lease Cycles'!$BG$14:$BM$14,1,EB112),'Lease Cycles'!$AX$14&lt;=EB$6),'Lease Cycles'!$C$14*'Lease Cycles'!$AY$14/12,IF(AND('Lease Cycles'!$AV$14&gt;=INDEX('Lease Cycles'!$BG$14:$BM$14,1,EB112),'Lease Cycles'!$AV$14&lt;=EB$6),'Lease Cycles'!$C$14*'Lease Cycles'!$AW$14/12,IF(AND('Lease Cycles'!$AT$14&gt;=INDEX('Lease Cycles'!$BG$14:$BM$14,1,EB112),'Lease Cycles'!$AT$14&lt;=EB$6),'Lease Cycles'!$C$14*'Lease Cycles'!$AU$14/12,'Lease Cycles'!$C$14*INDEX('Lease Cycles'!$CB$14:$CH$14,1,EB112)*(1+INDEX('Lease Cycles'!$CI$14:$CO$14,1,EB112))^INT(INT(EB113/12)/INDEX('Lease Cycles'!$CP$14:$CV$14,1,EB112))/12)))),'Lease Cycles'!$C$14*INDEX('Lease Cycles'!$CB$14:$CH$14,1,EB112)*(1+INDEX('Lease Cycles'!$CI$14:$CO$14,1,EB112))^INT(INT(EB113/12)/INDEX('Lease Cycles'!$CP$14:$CV$14,1,EB112))/12))),IF('Lease Cycles'!$N$14=1,'Lease Cycles'!$C$14*'Lease Cycles'!$E$14*INDEX('Lease Cycles'!$HE$14:$HK$14,1,EB112)*(1+INDEX('Lease Cycles'!$GQ$14:$GW$14,1,EB112))^INT(INT((EB$6-INDEX('Lease Cycles'!$GJ$14:$GP$14,1,EB112))/12)/INDEX('Lease Cycles'!$GX$14:$HD$14,1,EB112))/12,0)))</f>
        <v>2844.019797809622</v>
      </c>
      <c r="EC115" s="28">
        <f>IF(EC112=0,IF('Lease Cycles'!$F$14&gt;0,'Lease Cycles'!$C$14*'Lease Cycles'!$E$14/12,0),IF(EC114=1,IF('Lease Cycles'!$AT$14&gt;=9999,'Lease Cycles'!$C$14*INDEX('Lease Cycles'!$CB$14:$CH$14,1,EC112)*(1+INDEX('Lease Cycles'!$CI$14:$CO$14,1,EC112))^INT(INT(EC113/12)/INDEX('Lease Cycles'!$CP$14:$CV$14,1,EC112))/12,IF(EC112=1,IF(EC113&gt;=INDEX('Lease Cycles'!$DK$14:$DQ$14,1,EC112),IF(EC$6&gt;='Lease Cycles'!$AZ$14,'Lease Cycles'!$C$14*'Lease Cycles'!$BA$14/12,IF(EC$6&gt;='Lease Cycles'!$AX$14,'Lease Cycles'!$C$14*'Lease Cycles'!$AY$14/12,IF(EC$6&gt;='Lease Cycles'!$AV$14,'Lease Cycles'!$C$14*'Lease Cycles'!$AW$14/12,IF(EC$6&gt;='Lease Cycles'!$AT$14,'Lease Cycles'!$C$14*'Lease Cycles'!$AU$14/12,'Lease Cycles'!$C$14*INDEX('Lease Cycles'!$CB$14:$CH$14,1,EC112)*(1+INDEX('Lease Cycles'!$CI$14:$CO$14,1,EC112))^INT(INT(EC113/12)/INDEX('Lease Cycles'!$CP$14:$CV$14,1,EC112))/12)))),'Lease Cycles'!$C$14*INDEX('Lease Cycles'!$CB$14:$CH$14,1,EC112)*(1+INDEX('Lease Cycles'!$CI$14:$CO$14,1,EC112))^INT(INT(EC113/12)/INDEX('Lease Cycles'!$CP$14:$CV$14,1,EC112))/12),IF(INDEX('Lease Cycles'!$EF$14:$EL$14,1,EC112)=1,IF(AND('Lease Cycles'!$AZ$14&gt;=INDEX('Lease Cycles'!$BG$14:$BM$14,1,EC112),'Lease Cycles'!$AZ$14&lt;=EC$6),'Lease Cycles'!$C$14*'Lease Cycles'!$BA$14/12,IF(AND('Lease Cycles'!$AX$14&gt;=INDEX('Lease Cycles'!$BG$14:$BM$14,1,EC112),'Lease Cycles'!$AX$14&lt;=EC$6),'Lease Cycles'!$C$14*'Lease Cycles'!$AY$14/12,IF(AND('Lease Cycles'!$AV$14&gt;=INDEX('Lease Cycles'!$BG$14:$BM$14,1,EC112),'Lease Cycles'!$AV$14&lt;=EC$6),'Lease Cycles'!$C$14*'Lease Cycles'!$AW$14/12,IF(AND('Lease Cycles'!$AT$14&gt;=INDEX('Lease Cycles'!$BG$14:$BM$14,1,EC112),'Lease Cycles'!$AT$14&lt;=EC$6),'Lease Cycles'!$C$14*'Lease Cycles'!$AU$14/12,'Lease Cycles'!$C$14*INDEX('Lease Cycles'!$CB$14:$CH$14,1,EC112)*(1+INDEX('Lease Cycles'!$CI$14:$CO$14,1,EC112))^INT(INT(EC113/12)/INDEX('Lease Cycles'!$CP$14:$CV$14,1,EC112))/12)))),'Lease Cycles'!$C$14*INDEX('Lease Cycles'!$CB$14:$CH$14,1,EC112)*(1+INDEX('Lease Cycles'!$CI$14:$CO$14,1,EC112))^INT(INT(EC113/12)/INDEX('Lease Cycles'!$CP$14:$CV$14,1,EC112))/12))),IF('Lease Cycles'!$N$14=1,'Lease Cycles'!$C$14*'Lease Cycles'!$E$14*INDEX('Lease Cycles'!$HE$14:$HK$14,1,EC112)*(1+INDEX('Lease Cycles'!$GQ$14:$GW$14,1,EC112))^INT(INT((EC$6-INDEX('Lease Cycles'!$GJ$14:$GP$14,1,EC112))/12)/INDEX('Lease Cycles'!$GX$14:$HD$14,1,EC112))/12,0)))</f>
        <v>2844.019797809622</v>
      </c>
      <c r="ED115" s="28">
        <f>IF(ED112=0,IF('Lease Cycles'!$F$14&gt;0,'Lease Cycles'!$C$14*'Lease Cycles'!$E$14/12,0),IF(ED114=1,IF('Lease Cycles'!$AT$14&gt;=9999,'Lease Cycles'!$C$14*INDEX('Lease Cycles'!$CB$14:$CH$14,1,ED112)*(1+INDEX('Lease Cycles'!$CI$14:$CO$14,1,ED112))^INT(INT(ED113/12)/INDEX('Lease Cycles'!$CP$14:$CV$14,1,ED112))/12,IF(ED112=1,IF(ED113&gt;=INDEX('Lease Cycles'!$DK$14:$DQ$14,1,ED112),IF(ED$6&gt;='Lease Cycles'!$AZ$14,'Lease Cycles'!$C$14*'Lease Cycles'!$BA$14/12,IF(ED$6&gt;='Lease Cycles'!$AX$14,'Lease Cycles'!$C$14*'Lease Cycles'!$AY$14/12,IF(ED$6&gt;='Lease Cycles'!$AV$14,'Lease Cycles'!$C$14*'Lease Cycles'!$AW$14/12,IF(ED$6&gt;='Lease Cycles'!$AT$14,'Lease Cycles'!$C$14*'Lease Cycles'!$AU$14/12,'Lease Cycles'!$C$14*INDEX('Lease Cycles'!$CB$14:$CH$14,1,ED112)*(1+INDEX('Lease Cycles'!$CI$14:$CO$14,1,ED112))^INT(INT(ED113/12)/INDEX('Lease Cycles'!$CP$14:$CV$14,1,ED112))/12)))),'Lease Cycles'!$C$14*INDEX('Lease Cycles'!$CB$14:$CH$14,1,ED112)*(1+INDEX('Lease Cycles'!$CI$14:$CO$14,1,ED112))^INT(INT(ED113/12)/INDEX('Lease Cycles'!$CP$14:$CV$14,1,ED112))/12),IF(INDEX('Lease Cycles'!$EF$14:$EL$14,1,ED112)=1,IF(AND('Lease Cycles'!$AZ$14&gt;=INDEX('Lease Cycles'!$BG$14:$BM$14,1,ED112),'Lease Cycles'!$AZ$14&lt;=ED$6),'Lease Cycles'!$C$14*'Lease Cycles'!$BA$14/12,IF(AND('Lease Cycles'!$AX$14&gt;=INDEX('Lease Cycles'!$BG$14:$BM$14,1,ED112),'Lease Cycles'!$AX$14&lt;=ED$6),'Lease Cycles'!$C$14*'Lease Cycles'!$AY$14/12,IF(AND('Lease Cycles'!$AV$14&gt;=INDEX('Lease Cycles'!$BG$14:$BM$14,1,ED112),'Lease Cycles'!$AV$14&lt;=ED$6),'Lease Cycles'!$C$14*'Lease Cycles'!$AW$14/12,IF(AND('Lease Cycles'!$AT$14&gt;=INDEX('Lease Cycles'!$BG$14:$BM$14,1,ED112),'Lease Cycles'!$AT$14&lt;=ED$6),'Lease Cycles'!$C$14*'Lease Cycles'!$AU$14/12,'Lease Cycles'!$C$14*INDEX('Lease Cycles'!$CB$14:$CH$14,1,ED112)*(1+INDEX('Lease Cycles'!$CI$14:$CO$14,1,ED112))^INT(INT(ED113/12)/INDEX('Lease Cycles'!$CP$14:$CV$14,1,ED112))/12)))),'Lease Cycles'!$C$14*INDEX('Lease Cycles'!$CB$14:$CH$14,1,ED112)*(1+INDEX('Lease Cycles'!$CI$14:$CO$14,1,ED112))^INT(INT(ED113/12)/INDEX('Lease Cycles'!$CP$14:$CV$14,1,ED112))/12))),IF('Lease Cycles'!$N$14=1,'Lease Cycles'!$C$14*'Lease Cycles'!$E$14*INDEX('Lease Cycles'!$HE$14:$HK$14,1,ED112)*(1+INDEX('Lease Cycles'!$GQ$14:$GW$14,1,ED112))^INT(INT((ED$6-INDEX('Lease Cycles'!$GJ$14:$GP$14,1,ED112))/12)/INDEX('Lease Cycles'!$GX$14:$HD$14,1,ED112))/12,0)))</f>
        <v>5333.211382420176</v>
      </c>
      <c r="EE115" s="28">
        <f>IF(EE112=0,IF('Lease Cycles'!$F$14&gt;0,'Lease Cycles'!$C$14*'Lease Cycles'!$E$14/12,0),IF(EE114=1,IF('Lease Cycles'!$AT$14&gt;=9999,'Lease Cycles'!$C$14*INDEX('Lease Cycles'!$CB$14:$CH$14,1,EE112)*(1+INDEX('Lease Cycles'!$CI$14:$CO$14,1,EE112))^INT(INT(EE113/12)/INDEX('Lease Cycles'!$CP$14:$CV$14,1,EE112))/12,IF(EE112=1,IF(EE113&gt;=INDEX('Lease Cycles'!$DK$14:$DQ$14,1,EE112),IF(EE$6&gt;='Lease Cycles'!$AZ$14,'Lease Cycles'!$C$14*'Lease Cycles'!$BA$14/12,IF(EE$6&gt;='Lease Cycles'!$AX$14,'Lease Cycles'!$C$14*'Lease Cycles'!$AY$14/12,IF(EE$6&gt;='Lease Cycles'!$AV$14,'Lease Cycles'!$C$14*'Lease Cycles'!$AW$14/12,IF(EE$6&gt;='Lease Cycles'!$AT$14,'Lease Cycles'!$C$14*'Lease Cycles'!$AU$14/12,'Lease Cycles'!$C$14*INDEX('Lease Cycles'!$CB$14:$CH$14,1,EE112)*(1+INDEX('Lease Cycles'!$CI$14:$CO$14,1,EE112))^INT(INT(EE113/12)/INDEX('Lease Cycles'!$CP$14:$CV$14,1,EE112))/12)))),'Lease Cycles'!$C$14*INDEX('Lease Cycles'!$CB$14:$CH$14,1,EE112)*(1+INDEX('Lease Cycles'!$CI$14:$CO$14,1,EE112))^INT(INT(EE113/12)/INDEX('Lease Cycles'!$CP$14:$CV$14,1,EE112))/12),IF(INDEX('Lease Cycles'!$EF$14:$EL$14,1,EE112)=1,IF(AND('Lease Cycles'!$AZ$14&gt;=INDEX('Lease Cycles'!$BG$14:$BM$14,1,EE112),'Lease Cycles'!$AZ$14&lt;=EE$6),'Lease Cycles'!$C$14*'Lease Cycles'!$BA$14/12,IF(AND('Lease Cycles'!$AX$14&gt;=INDEX('Lease Cycles'!$BG$14:$BM$14,1,EE112),'Lease Cycles'!$AX$14&lt;=EE$6),'Lease Cycles'!$C$14*'Lease Cycles'!$AY$14/12,IF(AND('Lease Cycles'!$AV$14&gt;=INDEX('Lease Cycles'!$BG$14:$BM$14,1,EE112),'Lease Cycles'!$AV$14&lt;=EE$6),'Lease Cycles'!$C$14*'Lease Cycles'!$AW$14/12,IF(AND('Lease Cycles'!$AT$14&gt;=INDEX('Lease Cycles'!$BG$14:$BM$14,1,EE112),'Lease Cycles'!$AT$14&lt;=EE$6),'Lease Cycles'!$C$14*'Lease Cycles'!$AU$14/12,'Lease Cycles'!$C$14*INDEX('Lease Cycles'!$CB$14:$CH$14,1,EE112)*(1+INDEX('Lease Cycles'!$CI$14:$CO$14,1,EE112))^INT(INT(EE113/12)/INDEX('Lease Cycles'!$CP$14:$CV$14,1,EE112))/12)))),'Lease Cycles'!$C$14*INDEX('Lease Cycles'!$CB$14:$CH$14,1,EE112)*(1+INDEX('Lease Cycles'!$CI$14:$CO$14,1,EE112))^INT(INT(EE113/12)/INDEX('Lease Cycles'!$CP$14:$CV$14,1,EE112))/12))),IF('Lease Cycles'!$N$14=1,'Lease Cycles'!$C$14*'Lease Cycles'!$E$14*INDEX('Lease Cycles'!$HE$14:$HK$14,1,EE112)*(1+INDEX('Lease Cycles'!$GQ$14:$GW$14,1,EE112))^INT(INT((EE$6-INDEX('Lease Cycles'!$GJ$14:$GP$14,1,EE112))/12)/INDEX('Lease Cycles'!$GX$14:$HD$14,1,EE112))/12,0)))</f>
        <v>2872.1802410783766</v>
      </c>
      <c r="EF115" s="28">
        <f>IF(EF112=0,IF('Lease Cycles'!$F$14&gt;0,'Lease Cycles'!$C$14*'Lease Cycles'!$E$14/12,0),IF(EF114=1,IF('Lease Cycles'!$AT$14&gt;=9999,'Lease Cycles'!$C$14*INDEX('Lease Cycles'!$CB$14:$CH$14,1,EF112)*(1+INDEX('Lease Cycles'!$CI$14:$CO$14,1,EF112))^INT(INT(EF113/12)/INDEX('Lease Cycles'!$CP$14:$CV$14,1,EF112))/12,IF(EF112=1,IF(EF113&gt;=INDEX('Lease Cycles'!$DK$14:$DQ$14,1,EF112),IF(EF$6&gt;='Lease Cycles'!$AZ$14,'Lease Cycles'!$C$14*'Lease Cycles'!$BA$14/12,IF(EF$6&gt;='Lease Cycles'!$AX$14,'Lease Cycles'!$C$14*'Lease Cycles'!$AY$14/12,IF(EF$6&gt;='Lease Cycles'!$AV$14,'Lease Cycles'!$C$14*'Lease Cycles'!$AW$14/12,IF(EF$6&gt;='Lease Cycles'!$AT$14,'Lease Cycles'!$C$14*'Lease Cycles'!$AU$14/12,'Lease Cycles'!$C$14*INDEX('Lease Cycles'!$CB$14:$CH$14,1,EF112)*(1+INDEX('Lease Cycles'!$CI$14:$CO$14,1,EF112))^INT(INT(EF113/12)/INDEX('Lease Cycles'!$CP$14:$CV$14,1,EF112))/12)))),'Lease Cycles'!$C$14*INDEX('Lease Cycles'!$CB$14:$CH$14,1,EF112)*(1+INDEX('Lease Cycles'!$CI$14:$CO$14,1,EF112))^INT(INT(EF113/12)/INDEX('Lease Cycles'!$CP$14:$CV$14,1,EF112))/12),IF(INDEX('Lease Cycles'!$EF$14:$EL$14,1,EF112)=1,IF(AND('Lease Cycles'!$AZ$14&gt;=INDEX('Lease Cycles'!$BG$14:$BM$14,1,EF112),'Lease Cycles'!$AZ$14&lt;=EF$6),'Lease Cycles'!$C$14*'Lease Cycles'!$BA$14/12,IF(AND('Lease Cycles'!$AX$14&gt;=INDEX('Lease Cycles'!$BG$14:$BM$14,1,EF112),'Lease Cycles'!$AX$14&lt;=EF$6),'Lease Cycles'!$C$14*'Lease Cycles'!$AY$14/12,IF(AND('Lease Cycles'!$AV$14&gt;=INDEX('Lease Cycles'!$BG$14:$BM$14,1,EF112),'Lease Cycles'!$AV$14&lt;=EF$6),'Lease Cycles'!$C$14*'Lease Cycles'!$AW$14/12,IF(AND('Lease Cycles'!$AT$14&gt;=INDEX('Lease Cycles'!$BG$14:$BM$14,1,EF112),'Lease Cycles'!$AT$14&lt;=EF$6),'Lease Cycles'!$C$14*'Lease Cycles'!$AU$14/12,'Lease Cycles'!$C$14*INDEX('Lease Cycles'!$CB$14:$CH$14,1,EF112)*(1+INDEX('Lease Cycles'!$CI$14:$CO$14,1,EF112))^INT(INT(EF113/12)/INDEX('Lease Cycles'!$CP$14:$CV$14,1,EF112))/12)))),'Lease Cycles'!$C$14*INDEX('Lease Cycles'!$CB$14:$CH$14,1,EF112)*(1+INDEX('Lease Cycles'!$CI$14:$CO$14,1,EF112))^INT(INT(EF113/12)/INDEX('Lease Cycles'!$CP$14:$CV$14,1,EF112))/12))),IF('Lease Cycles'!$N$14=1,'Lease Cycles'!$C$14*'Lease Cycles'!$E$14*INDEX('Lease Cycles'!$HE$14:$HK$14,1,EF112)*(1+INDEX('Lease Cycles'!$GQ$14:$GW$14,1,EF112))^INT(INT((EF$6-INDEX('Lease Cycles'!$GJ$14:$GP$14,1,EF112))/12)/INDEX('Lease Cycles'!$GX$14:$HD$14,1,EF112))/12,0)))</f>
        <v>2872.1802410783766</v>
      </c>
      <c r="EG115" s="28">
        <f>IF(EG112=0,IF('Lease Cycles'!$F$14&gt;0,'Lease Cycles'!$C$14*'Lease Cycles'!$E$14/12,0),IF(EG114=1,IF('Lease Cycles'!$AT$14&gt;=9999,'Lease Cycles'!$C$14*INDEX('Lease Cycles'!$CB$14:$CH$14,1,EG112)*(1+INDEX('Lease Cycles'!$CI$14:$CO$14,1,EG112))^INT(INT(EG113/12)/INDEX('Lease Cycles'!$CP$14:$CV$14,1,EG112))/12,IF(EG112=1,IF(EG113&gt;=INDEX('Lease Cycles'!$DK$14:$DQ$14,1,EG112),IF(EG$6&gt;='Lease Cycles'!$AZ$14,'Lease Cycles'!$C$14*'Lease Cycles'!$BA$14/12,IF(EG$6&gt;='Lease Cycles'!$AX$14,'Lease Cycles'!$C$14*'Lease Cycles'!$AY$14/12,IF(EG$6&gt;='Lease Cycles'!$AV$14,'Lease Cycles'!$C$14*'Lease Cycles'!$AW$14/12,IF(EG$6&gt;='Lease Cycles'!$AT$14,'Lease Cycles'!$C$14*'Lease Cycles'!$AU$14/12,'Lease Cycles'!$C$14*INDEX('Lease Cycles'!$CB$14:$CH$14,1,EG112)*(1+INDEX('Lease Cycles'!$CI$14:$CO$14,1,EG112))^INT(INT(EG113/12)/INDEX('Lease Cycles'!$CP$14:$CV$14,1,EG112))/12)))),'Lease Cycles'!$C$14*INDEX('Lease Cycles'!$CB$14:$CH$14,1,EG112)*(1+INDEX('Lease Cycles'!$CI$14:$CO$14,1,EG112))^INT(INT(EG113/12)/INDEX('Lease Cycles'!$CP$14:$CV$14,1,EG112))/12),IF(INDEX('Lease Cycles'!$EF$14:$EL$14,1,EG112)=1,IF(AND('Lease Cycles'!$AZ$14&gt;=INDEX('Lease Cycles'!$BG$14:$BM$14,1,EG112),'Lease Cycles'!$AZ$14&lt;=EG$6),'Lease Cycles'!$C$14*'Lease Cycles'!$BA$14/12,IF(AND('Lease Cycles'!$AX$14&gt;=INDEX('Lease Cycles'!$BG$14:$BM$14,1,EG112),'Lease Cycles'!$AX$14&lt;=EG$6),'Lease Cycles'!$C$14*'Lease Cycles'!$AY$14/12,IF(AND('Lease Cycles'!$AV$14&gt;=INDEX('Lease Cycles'!$BG$14:$BM$14,1,EG112),'Lease Cycles'!$AV$14&lt;=EG$6),'Lease Cycles'!$C$14*'Lease Cycles'!$AW$14/12,IF(AND('Lease Cycles'!$AT$14&gt;=INDEX('Lease Cycles'!$BG$14:$BM$14,1,EG112),'Lease Cycles'!$AT$14&lt;=EG$6),'Lease Cycles'!$C$14*'Lease Cycles'!$AU$14/12,'Lease Cycles'!$C$14*INDEX('Lease Cycles'!$CB$14:$CH$14,1,EG112)*(1+INDEX('Lease Cycles'!$CI$14:$CO$14,1,EG112))^INT(INT(EG113/12)/INDEX('Lease Cycles'!$CP$14:$CV$14,1,EG112))/12)))),'Lease Cycles'!$C$14*INDEX('Lease Cycles'!$CB$14:$CH$14,1,EG112)*(1+INDEX('Lease Cycles'!$CI$14:$CO$14,1,EG112))^INT(INT(EG113/12)/INDEX('Lease Cycles'!$CP$14:$CV$14,1,EG112))/12))),IF('Lease Cycles'!$N$14=1,'Lease Cycles'!$C$14*'Lease Cycles'!$E$14*INDEX('Lease Cycles'!$HE$14:$HK$14,1,EG112)*(1+INDEX('Lease Cycles'!$GQ$14:$GW$14,1,EG112))^INT(INT((EG$6-INDEX('Lease Cycles'!$GJ$14:$GP$14,1,EG112))/12)/INDEX('Lease Cycles'!$GX$14:$HD$14,1,EG112))/12,0)))</f>
        <v>2872.1802410783766</v>
      </c>
      <c r="EH115" s="28">
        <f>IF(EH112=0,IF('Lease Cycles'!$F$14&gt;0,'Lease Cycles'!$C$14*'Lease Cycles'!$E$14/12,0),IF(EH114=1,IF('Lease Cycles'!$AT$14&gt;=9999,'Lease Cycles'!$C$14*INDEX('Lease Cycles'!$CB$14:$CH$14,1,EH112)*(1+INDEX('Lease Cycles'!$CI$14:$CO$14,1,EH112))^INT(INT(EH113/12)/INDEX('Lease Cycles'!$CP$14:$CV$14,1,EH112))/12,IF(EH112=1,IF(EH113&gt;=INDEX('Lease Cycles'!$DK$14:$DQ$14,1,EH112),IF(EH$6&gt;='Lease Cycles'!$AZ$14,'Lease Cycles'!$C$14*'Lease Cycles'!$BA$14/12,IF(EH$6&gt;='Lease Cycles'!$AX$14,'Lease Cycles'!$C$14*'Lease Cycles'!$AY$14/12,IF(EH$6&gt;='Lease Cycles'!$AV$14,'Lease Cycles'!$C$14*'Lease Cycles'!$AW$14/12,IF(EH$6&gt;='Lease Cycles'!$AT$14,'Lease Cycles'!$C$14*'Lease Cycles'!$AU$14/12,'Lease Cycles'!$C$14*INDEX('Lease Cycles'!$CB$14:$CH$14,1,EH112)*(1+INDEX('Lease Cycles'!$CI$14:$CO$14,1,EH112))^INT(INT(EH113/12)/INDEX('Lease Cycles'!$CP$14:$CV$14,1,EH112))/12)))),'Lease Cycles'!$C$14*INDEX('Lease Cycles'!$CB$14:$CH$14,1,EH112)*(1+INDEX('Lease Cycles'!$CI$14:$CO$14,1,EH112))^INT(INT(EH113/12)/INDEX('Lease Cycles'!$CP$14:$CV$14,1,EH112))/12),IF(INDEX('Lease Cycles'!$EF$14:$EL$14,1,EH112)=1,IF(AND('Lease Cycles'!$AZ$14&gt;=INDEX('Lease Cycles'!$BG$14:$BM$14,1,EH112),'Lease Cycles'!$AZ$14&lt;=EH$6),'Lease Cycles'!$C$14*'Lease Cycles'!$BA$14/12,IF(AND('Lease Cycles'!$AX$14&gt;=INDEX('Lease Cycles'!$BG$14:$BM$14,1,EH112),'Lease Cycles'!$AX$14&lt;=EH$6),'Lease Cycles'!$C$14*'Lease Cycles'!$AY$14/12,IF(AND('Lease Cycles'!$AV$14&gt;=INDEX('Lease Cycles'!$BG$14:$BM$14,1,EH112),'Lease Cycles'!$AV$14&lt;=EH$6),'Lease Cycles'!$C$14*'Lease Cycles'!$AW$14/12,IF(AND('Lease Cycles'!$AT$14&gt;=INDEX('Lease Cycles'!$BG$14:$BM$14,1,EH112),'Lease Cycles'!$AT$14&lt;=EH$6),'Lease Cycles'!$C$14*'Lease Cycles'!$AU$14/12,'Lease Cycles'!$C$14*INDEX('Lease Cycles'!$CB$14:$CH$14,1,EH112)*(1+INDEX('Lease Cycles'!$CI$14:$CO$14,1,EH112))^INT(INT(EH113/12)/INDEX('Lease Cycles'!$CP$14:$CV$14,1,EH112))/12)))),'Lease Cycles'!$C$14*INDEX('Lease Cycles'!$CB$14:$CH$14,1,EH112)*(1+INDEX('Lease Cycles'!$CI$14:$CO$14,1,EH112))^INT(INT(EH113/12)/INDEX('Lease Cycles'!$CP$14:$CV$14,1,EH112))/12))),IF('Lease Cycles'!$N$14=1,'Lease Cycles'!$C$14*'Lease Cycles'!$E$14*INDEX('Lease Cycles'!$HE$14:$HK$14,1,EH112)*(1+INDEX('Lease Cycles'!$GQ$14:$GW$14,1,EH112))^INT(INT((EH$6-INDEX('Lease Cycles'!$GJ$14:$GP$14,1,EH112))/12)/INDEX('Lease Cycles'!$GX$14:$HD$14,1,EH112))/12,0)))</f>
        <v>2872.1802410783766</v>
      </c>
      <c r="EI115" s="28">
        <f>IF(EI112=0,IF('Lease Cycles'!$F$14&gt;0,'Lease Cycles'!$C$14*'Lease Cycles'!$E$14/12,0),IF(EI114=1,IF('Lease Cycles'!$AT$14&gt;=9999,'Lease Cycles'!$C$14*INDEX('Lease Cycles'!$CB$14:$CH$14,1,EI112)*(1+INDEX('Lease Cycles'!$CI$14:$CO$14,1,EI112))^INT(INT(EI113/12)/INDEX('Lease Cycles'!$CP$14:$CV$14,1,EI112))/12,IF(EI112=1,IF(EI113&gt;=INDEX('Lease Cycles'!$DK$14:$DQ$14,1,EI112),IF(EI$6&gt;='Lease Cycles'!$AZ$14,'Lease Cycles'!$C$14*'Lease Cycles'!$BA$14/12,IF(EI$6&gt;='Lease Cycles'!$AX$14,'Lease Cycles'!$C$14*'Lease Cycles'!$AY$14/12,IF(EI$6&gt;='Lease Cycles'!$AV$14,'Lease Cycles'!$C$14*'Lease Cycles'!$AW$14/12,IF(EI$6&gt;='Lease Cycles'!$AT$14,'Lease Cycles'!$C$14*'Lease Cycles'!$AU$14/12,'Lease Cycles'!$C$14*INDEX('Lease Cycles'!$CB$14:$CH$14,1,EI112)*(1+INDEX('Lease Cycles'!$CI$14:$CO$14,1,EI112))^INT(INT(EI113/12)/INDEX('Lease Cycles'!$CP$14:$CV$14,1,EI112))/12)))),'Lease Cycles'!$C$14*INDEX('Lease Cycles'!$CB$14:$CH$14,1,EI112)*(1+INDEX('Lease Cycles'!$CI$14:$CO$14,1,EI112))^INT(INT(EI113/12)/INDEX('Lease Cycles'!$CP$14:$CV$14,1,EI112))/12),IF(INDEX('Lease Cycles'!$EF$14:$EL$14,1,EI112)=1,IF(AND('Lease Cycles'!$AZ$14&gt;=INDEX('Lease Cycles'!$BG$14:$BM$14,1,EI112),'Lease Cycles'!$AZ$14&lt;=EI$6),'Lease Cycles'!$C$14*'Lease Cycles'!$BA$14/12,IF(AND('Lease Cycles'!$AX$14&gt;=INDEX('Lease Cycles'!$BG$14:$BM$14,1,EI112),'Lease Cycles'!$AX$14&lt;=EI$6),'Lease Cycles'!$C$14*'Lease Cycles'!$AY$14/12,IF(AND('Lease Cycles'!$AV$14&gt;=INDEX('Lease Cycles'!$BG$14:$BM$14,1,EI112),'Lease Cycles'!$AV$14&lt;=EI$6),'Lease Cycles'!$C$14*'Lease Cycles'!$AW$14/12,IF(AND('Lease Cycles'!$AT$14&gt;=INDEX('Lease Cycles'!$BG$14:$BM$14,1,EI112),'Lease Cycles'!$AT$14&lt;=EI$6),'Lease Cycles'!$C$14*'Lease Cycles'!$AU$14/12,'Lease Cycles'!$C$14*INDEX('Lease Cycles'!$CB$14:$CH$14,1,EI112)*(1+INDEX('Lease Cycles'!$CI$14:$CO$14,1,EI112))^INT(INT(EI113/12)/INDEX('Lease Cycles'!$CP$14:$CV$14,1,EI112))/12)))),'Lease Cycles'!$C$14*INDEX('Lease Cycles'!$CB$14:$CH$14,1,EI112)*(1+INDEX('Lease Cycles'!$CI$14:$CO$14,1,EI112))^INT(INT(EI113/12)/INDEX('Lease Cycles'!$CP$14:$CV$14,1,EI112))/12))),IF('Lease Cycles'!$N$14=1,'Lease Cycles'!$C$14*'Lease Cycles'!$E$14*INDEX('Lease Cycles'!$HE$14:$HK$14,1,EI112)*(1+INDEX('Lease Cycles'!$GQ$14:$GW$14,1,EI112))^INT(INT((EI$6-INDEX('Lease Cycles'!$GJ$14:$GP$14,1,EI112))/12)/INDEX('Lease Cycles'!$GX$14:$HD$14,1,EI112))/12,0)))</f>
        <v>2872.1802410783766</v>
      </c>
      <c r="EJ115" s="28">
        <f>IF(EJ112=0,IF('Lease Cycles'!$F$14&gt;0,'Lease Cycles'!$C$14*'Lease Cycles'!$E$14/12,0),IF(EJ114=1,IF('Lease Cycles'!$AT$14&gt;=9999,'Lease Cycles'!$C$14*INDEX('Lease Cycles'!$CB$14:$CH$14,1,EJ112)*(1+INDEX('Lease Cycles'!$CI$14:$CO$14,1,EJ112))^INT(INT(EJ113/12)/INDEX('Lease Cycles'!$CP$14:$CV$14,1,EJ112))/12,IF(EJ112=1,IF(EJ113&gt;=INDEX('Lease Cycles'!$DK$14:$DQ$14,1,EJ112),IF(EJ$6&gt;='Lease Cycles'!$AZ$14,'Lease Cycles'!$C$14*'Lease Cycles'!$BA$14/12,IF(EJ$6&gt;='Lease Cycles'!$AX$14,'Lease Cycles'!$C$14*'Lease Cycles'!$AY$14/12,IF(EJ$6&gt;='Lease Cycles'!$AV$14,'Lease Cycles'!$C$14*'Lease Cycles'!$AW$14/12,IF(EJ$6&gt;='Lease Cycles'!$AT$14,'Lease Cycles'!$C$14*'Lease Cycles'!$AU$14/12,'Lease Cycles'!$C$14*INDEX('Lease Cycles'!$CB$14:$CH$14,1,EJ112)*(1+INDEX('Lease Cycles'!$CI$14:$CO$14,1,EJ112))^INT(INT(EJ113/12)/INDEX('Lease Cycles'!$CP$14:$CV$14,1,EJ112))/12)))),'Lease Cycles'!$C$14*INDEX('Lease Cycles'!$CB$14:$CH$14,1,EJ112)*(1+INDEX('Lease Cycles'!$CI$14:$CO$14,1,EJ112))^INT(INT(EJ113/12)/INDEX('Lease Cycles'!$CP$14:$CV$14,1,EJ112))/12),IF(INDEX('Lease Cycles'!$EF$14:$EL$14,1,EJ112)=1,IF(AND('Lease Cycles'!$AZ$14&gt;=INDEX('Lease Cycles'!$BG$14:$BM$14,1,EJ112),'Lease Cycles'!$AZ$14&lt;=EJ$6),'Lease Cycles'!$C$14*'Lease Cycles'!$BA$14/12,IF(AND('Lease Cycles'!$AX$14&gt;=INDEX('Lease Cycles'!$BG$14:$BM$14,1,EJ112),'Lease Cycles'!$AX$14&lt;=EJ$6),'Lease Cycles'!$C$14*'Lease Cycles'!$AY$14/12,IF(AND('Lease Cycles'!$AV$14&gt;=INDEX('Lease Cycles'!$BG$14:$BM$14,1,EJ112),'Lease Cycles'!$AV$14&lt;=EJ$6),'Lease Cycles'!$C$14*'Lease Cycles'!$AW$14/12,IF(AND('Lease Cycles'!$AT$14&gt;=INDEX('Lease Cycles'!$BG$14:$BM$14,1,EJ112),'Lease Cycles'!$AT$14&lt;=EJ$6),'Lease Cycles'!$C$14*'Lease Cycles'!$AU$14/12,'Lease Cycles'!$C$14*INDEX('Lease Cycles'!$CB$14:$CH$14,1,EJ112)*(1+INDEX('Lease Cycles'!$CI$14:$CO$14,1,EJ112))^INT(INT(EJ113/12)/INDEX('Lease Cycles'!$CP$14:$CV$14,1,EJ112))/12)))),'Lease Cycles'!$C$14*INDEX('Lease Cycles'!$CB$14:$CH$14,1,EJ112)*(1+INDEX('Lease Cycles'!$CI$14:$CO$14,1,EJ112))^INT(INT(EJ113/12)/INDEX('Lease Cycles'!$CP$14:$CV$14,1,EJ112))/12))),IF('Lease Cycles'!$N$14=1,'Lease Cycles'!$C$14*'Lease Cycles'!$E$14*INDEX('Lease Cycles'!$HE$14:$HK$14,1,EJ112)*(1+INDEX('Lease Cycles'!$GQ$14:$GW$14,1,EJ112))^INT(INT((EJ$6-INDEX('Lease Cycles'!$GJ$14:$GP$14,1,EJ112))/12)/INDEX('Lease Cycles'!$GX$14:$HD$14,1,EJ112))/12,0)))</f>
        <v>2872.1802410783766</v>
      </c>
      <c r="EK115" s="28">
        <f>IF(EK112=0,IF('Lease Cycles'!$F$14&gt;0,'Lease Cycles'!$C$14*'Lease Cycles'!$E$14/12,0),IF(EK114=1,IF('Lease Cycles'!$AT$14&gt;=9999,'Lease Cycles'!$C$14*INDEX('Lease Cycles'!$CB$14:$CH$14,1,EK112)*(1+INDEX('Lease Cycles'!$CI$14:$CO$14,1,EK112))^INT(INT(EK113/12)/INDEX('Lease Cycles'!$CP$14:$CV$14,1,EK112))/12,IF(EK112=1,IF(EK113&gt;=INDEX('Lease Cycles'!$DK$14:$DQ$14,1,EK112),IF(EK$6&gt;='Lease Cycles'!$AZ$14,'Lease Cycles'!$C$14*'Lease Cycles'!$BA$14/12,IF(EK$6&gt;='Lease Cycles'!$AX$14,'Lease Cycles'!$C$14*'Lease Cycles'!$AY$14/12,IF(EK$6&gt;='Lease Cycles'!$AV$14,'Lease Cycles'!$C$14*'Lease Cycles'!$AW$14/12,IF(EK$6&gt;='Lease Cycles'!$AT$14,'Lease Cycles'!$C$14*'Lease Cycles'!$AU$14/12,'Lease Cycles'!$C$14*INDEX('Lease Cycles'!$CB$14:$CH$14,1,EK112)*(1+INDEX('Lease Cycles'!$CI$14:$CO$14,1,EK112))^INT(INT(EK113/12)/INDEX('Lease Cycles'!$CP$14:$CV$14,1,EK112))/12)))),'Lease Cycles'!$C$14*INDEX('Lease Cycles'!$CB$14:$CH$14,1,EK112)*(1+INDEX('Lease Cycles'!$CI$14:$CO$14,1,EK112))^INT(INT(EK113/12)/INDEX('Lease Cycles'!$CP$14:$CV$14,1,EK112))/12),IF(INDEX('Lease Cycles'!$EF$14:$EL$14,1,EK112)=1,IF(AND('Lease Cycles'!$AZ$14&gt;=INDEX('Lease Cycles'!$BG$14:$BM$14,1,EK112),'Lease Cycles'!$AZ$14&lt;=EK$6),'Lease Cycles'!$C$14*'Lease Cycles'!$BA$14/12,IF(AND('Lease Cycles'!$AX$14&gt;=INDEX('Lease Cycles'!$BG$14:$BM$14,1,EK112),'Lease Cycles'!$AX$14&lt;=EK$6),'Lease Cycles'!$C$14*'Lease Cycles'!$AY$14/12,IF(AND('Lease Cycles'!$AV$14&gt;=INDEX('Lease Cycles'!$BG$14:$BM$14,1,EK112),'Lease Cycles'!$AV$14&lt;=EK$6),'Lease Cycles'!$C$14*'Lease Cycles'!$AW$14/12,IF(AND('Lease Cycles'!$AT$14&gt;=INDEX('Lease Cycles'!$BG$14:$BM$14,1,EK112),'Lease Cycles'!$AT$14&lt;=EK$6),'Lease Cycles'!$C$14*'Lease Cycles'!$AU$14/12,'Lease Cycles'!$C$14*INDEX('Lease Cycles'!$CB$14:$CH$14,1,EK112)*(1+INDEX('Lease Cycles'!$CI$14:$CO$14,1,EK112))^INT(INT(EK113/12)/INDEX('Lease Cycles'!$CP$14:$CV$14,1,EK112))/12)))),'Lease Cycles'!$C$14*INDEX('Lease Cycles'!$CB$14:$CH$14,1,EK112)*(1+INDEX('Lease Cycles'!$CI$14:$CO$14,1,EK112))^INT(INT(EK113/12)/INDEX('Lease Cycles'!$CP$14:$CV$14,1,EK112))/12))),IF('Lease Cycles'!$N$14=1,'Lease Cycles'!$C$14*'Lease Cycles'!$E$14*INDEX('Lease Cycles'!$HE$14:$HK$14,1,EK112)*(1+INDEX('Lease Cycles'!$GQ$14:$GW$14,1,EK112))^INT(INT((EK$6-INDEX('Lease Cycles'!$GJ$14:$GP$14,1,EK112))/12)/INDEX('Lease Cycles'!$GX$14:$HD$14,1,EK112))/12,0)))</f>
        <v>2872.1802410783766</v>
      </c>
      <c r="EL115" s="28">
        <f>IF(EL112=0,IF('Lease Cycles'!$F$14&gt;0,'Lease Cycles'!$C$14*'Lease Cycles'!$E$14/12,0),IF(EL114=1,IF('Lease Cycles'!$AT$14&gt;=9999,'Lease Cycles'!$C$14*INDEX('Lease Cycles'!$CB$14:$CH$14,1,EL112)*(1+INDEX('Lease Cycles'!$CI$14:$CO$14,1,EL112))^INT(INT(EL113/12)/INDEX('Lease Cycles'!$CP$14:$CV$14,1,EL112))/12,IF(EL112=1,IF(EL113&gt;=INDEX('Lease Cycles'!$DK$14:$DQ$14,1,EL112),IF(EL$6&gt;='Lease Cycles'!$AZ$14,'Lease Cycles'!$C$14*'Lease Cycles'!$BA$14/12,IF(EL$6&gt;='Lease Cycles'!$AX$14,'Lease Cycles'!$C$14*'Lease Cycles'!$AY$14/12,IF(EL$6&gt;='Lease Cycles'!$AV$14,'Lease Cycles'!$C$14*'Lease Cycles'!$AW$14/12,IF(EL$6&gt;='Lease Cycles'!$AT$14,'Lease Cycles'!$C$14*'Lease Cycles'!$AU$14/12,'Lease Cycles'!$C$14*INDEX('Lease Cycles'!$CB$14:$CH$14,1,EL112)*(1+INDEX('Lease Cycles'!$CI$14:$CO$14,1,EL112))^INT(INT(EL113/12)/INDEX('Lease Cycles'!$CP$14:$CV$14,1,EL112))/12)))),'Lease Cycles'!$C$14*INDEX('Lease Cycles'!$CB$14:$CH$14,1,EL112)*(1+INDEX('Lease Cycles'!$CI$14:$CO$14,1,EL112))^INT(INT(EL113/12)/INDEX('Lease Cycles'!$CP$14:$CV$14,1,EL112))/12),IF(INDEX('Lease Cycles'!$EF$14:$EL$14,1,EL112)=1,IF(AND('Lease Cycles'!$AZ$14&gt;=INDEX('Lease Cycles'!$BG$14:$BM$14,1,EL112),'Lease Cycles'!$AZ$14&lt;=EL$6),'Lease Cycles'!$C$14*'Lease Cycles'!$BA$14/12,IF(AND('Lease Cycles'!$AX$14&gt;=INDEX('Lease Cycles'!$BG$14:$BM$14,1,EL112),'Lease Cycles'!$AX$14&lt;=EL$6),'Lease Cycles'!$C$14*'Lease Cycles'!$AY$14/12,IF(AND('Lease Cycles'!$AV$14&gt;=INDEX('Lease Cycles'!$BG$14:$BM$14,1,EL112),'Lease Cycles'!$AV$14&lt;=EL$6),'Lease Cycles'!$C$14*'Lease Cycles'!$AW$14/12,IF(AND('Lease Cycles'!$AT$14&gt;=INDEX('Lease Cycles'!$BG$14:$BM$14,1,EL112),'Lease Cycles'!$AT$14&lt;=EL$6),'Lease Cycles'!$C$14*'Lease Cycles'!$AU$14/12,'Lease Cycles'!$C$14*INDEX('Lease Cycles'!$CB$14:$CH$14,1,EL112)*(1+INDEX('Lease Cycles'!$CI$14:$CO$14,1,EL112))^INT(INT(EL113/12)/INDEX('Lease Cycles'!$CP$14:$CV$14,1,EL112))/12)))),'Lease Cycles'!$C$14*INDEX('Lease Cycles'!$CB$14:$CH$14,1,EL112)*(1+INDEX('Lease Cycles'!$CI$14:$CO$14,1,EL112))^INT(INT(EL113/12)/INDEX('Lease Cycles'!$CP$14:$CV$14,1,EL112))/12))),IF('Lease Cycles'!$N$14=1,'Lease Cycles'!$C$14*'Lease Cycles'!$E$14*INDEX('Lease Cycles'!$HE$14:$HK$14,1,EL112)*(1+INDEX('Lease Cycles'!$GQ$14:$GW$14,1,EL112))^INT(INT((EL$6-INDEX('Lease Cycles'!$GJ$14:$GP$14,1,EL112))/12)/INDEX('Lease Cycles'!$GX$14:$HD$14,1,EL112))/12,0)))</f>
        <v>2872.1802410783766</v>
      </c>
      <c r="EM115" s="28">
        <f>IF(EM112=0,IF('Lease Cycles'!$F$14&gt;0,'Lease Cycles'!$C$14*'Lease Cycles'!$E$14/12,0),IF(EM114=1,IF('Lease Cycles'!$AT$14&gt;=9999,'Lease Cycles'!$C$14*INDEX('Lease Cycles'!$CB$14:$CH$14,1,EM112)*(1+INDEX('Lease Cycles'!$CI$14:$CO$14,1,EM112))^INT(INT(EM113/12)/INDEX('Lease Cycles'!$CP$14:$CV$14,1,EM112))/12,IF(EM112=1,IF(EM113&gt;=INDEX('Lease Cycles'!$DK$14:$DQ$14,1,EM112),IF(EM$6&gt;='Lease Cycles'!$AZ$14,'Lease Cycles'!$C$14*'Lease Cycles'!$BA$14/12,IF(EM$6&gt;='Lease Cycles'!$AX$14,'Lease Cycles'!$C$14*'Lease Cycles'!$AY$14/12,IF(EM$6&gt;='Lease Cycles'!$AV$14,'Lease Cycles'!$C$14*'Lease Cycles'!$AW$14/12,IF(EM$6&gt;='Lease Cycles'!$AT$14,'Lease Cycles'!$C$14*'Lease Cycles'!$AU$14/12,'Lease Cycles'!$C$14*INDEX('Lease Cycles'!$CB$14:$CH$14,1,EM112)*(1+INDEX('Lease Cycles'!$CI$14:$CO$14,1,EM112))^INT(INT(EM113/12)/INDEX('Lease Cycles'!$CP$14:$CV$14,1,EM112))/12)))),'Lease Cycles'!$C$14*INDEX('Lease Cycles'!$CB$14:$CH$14,1,EM112)*(1+INDEX('Lease Cycles'!$CI$14:$CO$14,1,EM112))^INT(INT(EM113/12)/INDEX('Lease Cycles'!$CP$14:$CV$14,1,EM112))/12),IF(INDEX('Lease Cycles'!$EF$14:$EL$14,1,EM112)=1,IF(AND('Lease Cycles'!$AZ$14&gt;=INDEX('Lease Cycles'!$BG$14:$BM$14,1,EM112),'Lease Cycles'!$AZ$14&lt;=EM$6),'Lease Cycles'!$C$14*'Lease Cycles'!$BA$14/12,IF(AND('Lease Cycles'!$AX$14&gt;=INDEX('Lease Cycles'!$BG$14:$BM$14,1,EM112),'Lease Cycles'!$AX$14&lt;=EM$6),'Lease Cycles'!$C$14*'Lease Cycles'!$AY$14/12,IF(AND('Lease Cycles'!$AV$14&gt;=INDEX('Lease Cycles'!$BG$14:$BM$14,1,EM112),'Lease Cycles'!$AV$14&lt;=EM$6),'Lease Cycles'!$C$14*'Lease Cycles'!$AW$14/12,IF(AND('Lease Cycles'!$AT$14&gt;=INDEX('Lease Cycles'!$BG$14:$BM$14,1,EM112),'Lease Cycles'!$AT$14&lt;=EM$6),'Lease Cycles'!$C$14*'Lease Cycles'!$AU$14/12,'Lease Cycles'!$C$14*INDEX('Lease Cycles'!$CB$14:$CH$14,1,EM112)*(1+INDEX('Lease Cycles'!$CI$14:$CO$14,1,EM112))^INT(INT(EM113/12)/INDEX('Lease Cycles'!$CP$14:$CV$14,1,EM112))/12)))),'Lease Cycles'!$C$14*INDEX('Lease Cycles'!$CB$14:$CH$14,1,EM112)*(1+INDEX('Lease Cycles'!$CI$14:$CO$14,1,EM112))^INT(INT(EM113/12)/INDEX('Lease Cycles'!$CP$14:$CV$14,1,EM112))/12))),IF('Lease Cycles'!$N$14=1,'Lease Cycles'!$C$14*'Lease Cycles'!$E$14*INDEX('Lease Cycles'!$HE$14:$HK$14,1,EM112)*(1+INDEX('Lease Cycles'!$GQ$14:$GW$14,1,EM112))^INT(INT((EM$6-INDEX('Lease Cycles'!$GJ$14:$GP$14,1,EM112))/12)/INDEX('Lease Cycles'!$GX$14:$HD$14,1,EM112))/12,0)))</f>
        <v>2872.1802410783766</v>
      </c>
      <c r="EN115" s="28">
        <f>IF(EN112=0,IF('Lease Cycles'!$F$14&gt;0,'Lease Cycles'!$C$14*'Lease Cycles'!$E$14/12,0),IF(EN114=1,IF('Lease Cycles'!$AT$14&gt;=9999,'Lease Cycles'!$C$14*INDEX('Lease Cycles'!$CB$14:$CH$14,1,EN112)*(1+INDEX('Lease Cycles'!$CI$14:$CO$14,1,EN112))^INT(INT(EN113/12)/INDEX('Lease Cycles'!$CP$14:$CV$14,1,EN112))/12,IF(EN112=1,IF(EN113&gt;=INDEX('Lease Cycles'!$DK$14:$DQ$14,1,EN112),IF(EN$6&gt;='Lease Cycles'!$AZ$14,'Lease Cycles'!$C$14*'Lease Cycles'!$BA$14/12,IF(EN$6&gt;='Lease Cycles'!$AX$14,'Lease Cycles'!$C$14*'Lease Cycles'!$AY$14/12,IF(EN$6&gt;='Lease Cycles'!$AV$14,'Lease Cycles'!$C$14*'Lease Cycles'!$AW$14/12,IF(EN$6&gt;='Lease Cycles'!$AT$14,'Lease Cycles'!$C$14*'Lease Cycles'!$AU$14/12,'Lease Cycles'!$C$14*INDEX('Lease Cycles'!$CB$14:$CH$14,1,EN112)*(1+INDEX('Lease Cycles'!$CI$14:$CO$14,1,EN112))^INT(INT(EN113/12)/INDEX('Lease Cycles'!$CP$14:$CV$14,1,EN112))/12)))),'Lease Cycles'!$C$14*INDEX('Lease Cycles'!$CB$14:$CH$14,1,EN112)*(1+INDEX('Lease Cycles'!$CI$14:$CO$14,1,EN112))^INT(INT(EN113/12)/INDEX('Lease Cycles'!$CP$14:$CV$14,1,EN112))/12),IF(INDEX('Lease Cycles'!$EF$14:$EL$14,1,EN112)=1,IF(AND('Lease Cycles'!$AZ$14&gt;=INDEX('Lease Cycles'!$BG$14:$BM$14,1,EN112),'Lease Cycles'!$AZ$14&lt;=EN$6),'Lease Cycles'!$C$14*'Lease Cycles'!$BA$14/12,IF(AND('Lease Cycles'!$AX$14&gt;=INDEX('Lease Cycles'!$BG$14:$BM$14,1,EN112),'Lease Cycles'!$AX$14&lt;=EN$6),'Lease Cycles'!$C$14*'Lease Cycles'!$AY$14/12,IF(AND('Lease Cycles'!$AV$14&gt;=INDEX('Lease Cycles'!$BG$14:$BM$14,1,EN112),'Lease Cycles'!$AV$14&lt;=EN$6),'Lease Cycles'!$C$14*'Lease Cycles'!$AW$14/12,IF(AND('Lease Cycles'!$AT$14&gt;=INDEX('Lease Cycles'!$BG$14:$BM$14,1,EN112),'Lease Cycles'!$AT$14&lt;=EN$6),'Lease Cycles'!$C$14*'Lease Cycles'!$AU$14/12,'Lease Cycles'!$C$14*INDEX('Lease Cycles'!$CB$14:$CH$14,1,EN112)*(1+INDEX('Lease Cycles'!$CI$14:$CO$14,1,EN112))^INT(INT(EN113/12)/INDEX('Lease Cycles'!$CP$14:$CV$14,1,EN112))/12)))),'Lease Cycles'!$C$14*INDEX('Lease Cycles'!$CB$14:$CH$14,1,EN112)*(1+INDEX('Lease Cycles'!$CI$14:$CO$14,1,EN112))^INT(INT(EN113/12)/INDEX('Lease Cycles'!$CP$14:$CV$14,1,EN112))/12))),IF('Lease Cycles'!$N$14=1,'Lease Cycles'!$C$14*'Lease Cycles'!$E$14*INDEX('Lease Cycles'!$HE$14:$HK$14,1,EN112)*(1+INDEX('Lease Cycles'!$GQ$14:$GW$14,1,EN112))^INT(INT((EN$6-INDEX('Lease Cycles'!$GJ$14:$GP$14,1,EN112))/12)/INDEX('Lease Cycles'!$GX$14:$HD$14,1,EN112))/12,0)))</f>
        <v>2872.1802410783766</v>
      </c>
      <c r="EO115" s="28">
        <f>IF(EO112=0,IF('Lease Cycles'!$F$14&gt;0,'Lease Cycles'!$C$14*'Lease Cycles'!$E$14/12,0),IF(EO114=1,IF('Lease Cycles'!$AT$14&gt;=9999,'Lease Cycles'!$C$14*INDEX('Lease Cycles'!$CB$14:$CH$14,1,EO112)*(1+INDEX('Lease Cycles'!$CI$14:$CO$14,1,EO112))^INT(INT(EO113/12)/INDEX('Lease Cycles'!$CP$14:$CV$14,1,EO112))/12,IF(EO112=1,IF(EO113&gt;=INDEX('Lease Cycles'!$DK$14:$DQ$14,1,EO112),IF(EO$6&gt;='Lease Cycles'!$AZ$14,'Lease Cycles'!$C$14*'Lease Cycles'!$BA$14/12,IF(EO$6&gt;='Lease Cycles'!$AX$14,'Lease Cycles'!$C$14*'Lease Cycles'!$AY$14/12,IF(EO$6&gt;='Lease Cycles'!$AV$14,'Lease Cycles'!$C$14*'Lease Cycles'!$AW$14/12,IF(EO$6&gt;='Lease Cycles'!$AT$14,'Lease Cycles'!$C$14*'Lease Cycles'!$AU$14/12,'Lease Cycles'!$C$14*INDEX('Lease Cycles'!$CB$14:$CH$14,1,EO112)*(1+INDEX('Lease Cycles'!$CI$14:$CO$14,1,EO112))^INT(INT(EO113/12)/INDEX('Lease Cycles'!$CP$14:$CV$14,1,EO112))/12)))),'Lease Cycles'!$C$14*INDEX('Lease Cycles'!$CB$14:$CH$14,1,EO112)*(1+INDEX('Lease Cycles'!$CI$14:$CO$14,1,EO112))^INT(INT(EO113/12)/INDEX('Lease Cycles'!$CP$14:$CV$14,1,EO112))/12),IF(INDEX('Lease Cycles'!$EF$14:$EL$14,1,EO112)=1,IF(AND('Lease Cycles'!$AZ$14&gt;=INDEX('Lease Cycles'!$BG$14:$BM$14,1,EO112),'Lease Cycles'!$AZ$14&lt;=EO$6),'Lease Cycles'!$C$14*'Lease Cycles'!$BA$14/12,IF(AND('Lease Cycles'!$AX$14&gt;=INDEX('Lease Cycles'!$BG$14:$BM$14,1,EO112),'Lease Cycles'!$AX$14&lt;=EO$6),'Lease Cycles'!$C$14*'Lease Cycles'!$AY$14/12,IF(AND('Lease Cycles'!$AV$14&gt;=INDEX('Lease Cycles'!$BG$14:$BM$14,1,EO112),'Lease Cycles'!$AV$14&lt;=EO$6),'Lease Cycles'!$C$14*'Lease Cycles'!$AW$14/12,IF(AND('Lease Cycles'!$AT$14&gt;=INDEX('Lease Cycles'!$BG$14:$BM$14,1,EO112),'Lease Cycles'!$AT$14&lt;=EO$6),'Lease Cycles'!$C$14*'Lease Cycles'!$AU$14/12,'Lease Cycles'!$C$14*INDEX('Lease Cycles'!$CB$14:$CH$14,1,EO112)*(1+INDEX('Lease Cycles'!$CI$14:$CO$14,1,EO112))^INT(INT(EO113/12)/INDEX('Lease Cycles'!$CP$14:$CV$14,1,EO112))/12)))),'Lease Cycles'!$C$14*INDEX('Lease Cycles'!$CB$14:$CH$14,1,EO112)*(1+INDEX('Lease Cycles'!$CI$14:$CO$14,1,EO112))^INT(INT(EO113/12)/INDEX('Lease Cycles'!$CP$14:$CV$14,1,EO112))/12))),IF('Lease Cycles'!$N$14=1,'Lease Cycles'!$C$14*'Lease Cycles'!$E$14*INDEX('Lease Cycles'!$HE$14:$HK$14,1,EO112)*(1+INDEX('Lease Cycles'!$GQ$14:$GW$14,1,EO112))^INT(INT((EO$6-INDEX('Lease Cycles'!$GJ$14:$GP$14,1,EO112))/12)/INDEX('Lease Cycles'!$GX$14:$HD$14,1,EO112))/12,0)))</f>
        <v>2872.1802410783766</v>
      </c>
      <c r="EP115" s="28">
        <f>IF(EP112=0,IF('Lease Cycles'!$F$14&gt;0,'Lease Cycles'!$C$14*'Lease Cycles'!$E$14/12,0),IF(EP114=1,IF('Lease Cycles'!$AT$14&gt;=9999,'Lease Cycles'!$C$14*INDEX('Lease Cycles'!$CB$14:$CH$14,1,EP112)*(1+INDEX('Lease Cycles'!$CI$14:$CO$14,1,EP112))^INT(INT(EP113/12)/INDEX('Lease Cycles'!$CP$14:$CV$14,1,EP112))/12,IF(EP112=1,IF(EP113&gt;=INDEX('Lease Cycles'!$DK$14:$DQ$14,1,EP112),IF(EP$6&gt;='Lease Cycles'!$AZ$14,'Lease Cycles'!$C$14*'Lease Cycles'!$BA$14/12,IF(EP$6&gt;='Lease Cycles'!$AX$14,'Lease Cycles'!$C$14*'Lease Cycles'!$AY$14/12,IF(EP$6&gt;='Lease Cycles'!$AV$14,'Lease Cycles'!$C$14*'Lease Cycles'!$AW$14/12,IF(EP$6&gt;='Lease Cycles'!$AT$14,'Lease Cycles'!$C$14*'Lease Cycles'!$AU$14/12,'Lease Cycles'!$C$14*INDEX('Lease Cycles'!$CB$14:$CH$14,1,EP112)*(1+INDEX('Lease Cycles'!$CI$14:$CO$14,1,EP112))^INT(INT(EP113/12)/INDEX('Lease Cycles'!$CP$14:$CV$14,1,EP112))/12)))),'Lease Cycles'!$C$14*INDEX('Lease Cycles'!$CB$14:$CH$14,1,EP112)*(1+INDEX('Lease Cycles'!$CI$14:$CO$14,1,EP112))^INT(INT(EP113/12)/INDEX('Lease Cycles'!$CP$14:$CV$14,1,EP112))/12),IF(INDEX('Lease Cycles'!$EF$14:$EL$14,1,EP112)=1,IF(AND('Lease Cycles'!$AZ$14&gt;=INDEX('Lease Cycles'!$BG$14:$BM$14,1,EP112),'Lease Cycles'!$AZ$14&lt;=EP$6),'Lease Cycles'!$C$14*'Lease Cycles'!$BA$14/12,IF(AND('Lease Cycles'!$AX$14&gt;=INDEX('Lease Cycles'!$BG$14:$BM$14,1,EP112),'Lease Cycles'!$AX$14&lt;=EP$6),'Lease Cycles'!$C$14*'Lease Cycles'!$AY$14/12,IF(AND('Lease Cycles'!$AV$14&gt;=INDEX('Lease Cycles'!$BG$14:$BM$14,1,EP112),'Lease Cycles'!$AV$14&lt;=EP$6),'Lease Cycles'!$C$14*'Lease Cycles'!$AW$14/12,IF(AND('Lease Cycles'!$AT$14&gt;=INDEX('Lease Cycles'!$BG$14:$BM$14,1,EP112),'Lease Cycles'!$AT$14&lt;=EP$6),'Lease Cycles'!$C$14*'Lease Cycles'!$AU$14/12,'Lease Cycles'!$C$14*INDEX('Lease Cycles'!$CB$14:$CH$14,1,EP112)*(1+INDEX('Lease Cycles'!$CI$14:$CO$14,1,EP112))^INT(INT(EP113/12)/INDEX('Lease Cycles'!$CP$14:$CV$14,1,EP112))/12)))),'Lease Cycles'!$C$14*INDEX('Lease Cycles'!$CB$14:$CH$14,1,EP112)*(1+INDEX('Lease Cycles'!$CI$14:$CO$14,1,EP112))^INT(INT(EP113/12)/INDEX('Lease Cycles'!$CP$14:$CV$14,1,EP112))/12))),IF('Lease Cycles'!$N$14=1,'Lease Cycles'!$C$14*'Lease Cycles'!$E$14*INDEX('Lease Cycles'!$HE$14:$HK$14,1,EP112)*(1+INDEX('Lease Cycles'!$GQ$14:$GW$14,1,EP112))^INT(INT((EP$6-INDEX('Lease Cycles'!$GJ$14:$GP$14,1,EP112))/12)/INDEX('Lease Cycles'!$GX$14:$HD$14,1,EP112))/12,0)))</f>
        <v>2872.1802410783766</v>
      </c>
      <c r="EQ115" s="28">
        <f>IF(EQ112=0,IF('Lease Cycles'!$F$14&gt;0,'Lease Cycles'!$C$14*'Lease Cycles'!$E$14/12,0),IF(EQ114=1,IF('Lease Cycles'!$AT$14&gt;=9999,'Lease Cycles'!$C$14*INDEX('Lease Cycles'!$CB$14:$CH$14,1,EQ112)*(1+INDEX('Lease Cycles'!$CI$14:$CO$14,1,EQ112))^INT(INT(EQ113/12)/INDEX('Lease Cycles'!$CP$14:$CV$14,1,EQ112))/12,IF(EQ112=1,IF(EQ113&gt;=INDEX('Lease Cycles'!$DK$14:$DQ$14,1,EQ112),IF(EQ$6&gt;='Lease Cycles'!$AZ$14,'Lease Cycles'!$C$14*'Lease Cycles'!$BA$14/12,IF(EQ$6&gt;='Lease Cycles'!$AX$14,'Lease Cycles'!$C$14*'Lease Cycles'!$AY$14/12,IF(EQ$6&gt;='Lease Cycles'!$AV$14,'Lease Cycles'!$C$14*'Lease Cycles'!$AW$14/12,IF(EQ$6&gt;='Lease Cycles'!$AT$14,'Lease Cycles'!$C$14*'Lease Cycles'!$AU$14/12,'Lease Cycles'!$C$14*INDEX('Lease Cycles'!$CB$14:$CH$14,1,EQ112)*(1+INDEX('Lease Cycles'!$CI$14:$CO$14,1,EQ112))^INT(INT(EQ113/12)/INDEX('Lease Cycles'!$CP$14:$CV$14,1,EQ112))/12)))),'Lease Cycles'!$C$14*INDEX('Lease Cycles'!$CB$14:$CH$14,1,EQ112)*(1+INDEX('Lease Cycles'!$CI$14:$CO$14,1,EQ112))^INT(INT(EQ113/12)/INDEX('Lease Cycles'!$CP$14:$CV$14,1,EQ112))/12),IF(INDEX('Lease Cycles'!$EF$14:$EL$14,1,EQ112)=1,IF(AND('Lease Cycles'!$AZ$14&gt;=INDEX('Lease Cycles'!$BG$14:$BM$14,1,EQ112),'Lease Cycles'!$AZ$14&lt;=EQ$6),'Lease Cycles'!$C$14*'Lease Cycles'!$BA$14/12,IF(AND('Lease Cycles'!$AX$14&gt;=INDEX('Lease Cycles'!$BG$14:$BM$14,1,EQ112),'Lease Cycles'!$AX$14&lt;=EQ$6),'Lease Cycles'!$C$14*'Lease Cycles'!$AY$14/12,IF(AND('Lease Cycles'!$AV$14&gt;=INDEX('Lease Cycles'!$BG$14:$BM$14,1,EQ112),'Lease Cycles'!$AV$14&lt;=EQ$6),'Lease Cycles'!$C$14*'Lease Cycles'!$AW$14/12,IF(AND('Lease Cycles'!$AT$14&gt;=INDEX('Lease Cycles'!$BG$14:$BM$14,1,EQ112),'Lease Cycles'!$AT$14&lt;=EQ$6),'Lease Cycles'!$C$14*'Lease Cycles'!$AU$14/12,'Lease Cycles'!$C$14*INDEX('Lease Cycles'!$CB$14:$CH$14,1,EQ112)*(1+INDEX('Lease Cycles'!$CI$14:$CO$14,1,EQ112))^INT(INT(EQ113/12)/INDEX('Lease Cycles'!$CP$14:$CV$14,1,EQ112))/12)))),'Lease Cycles'!$C$14*INDEX('Lease Cycles'!$CB$14:$CH$14,1,EQ112)*(1+INDEX('Lease Cycles'!$CI$14:$CO$14,1,EQ112))^INT(INT(EQ113/12)/INDEX('Lease Cycles'!$CP$14:$CV$14,1,EQ112))/12))),IF('Lease Cycles'!$N$14=1,'Lease Cycles'!$C$14*'Lease Cycles'!$E$14*INDEX('Lease Cycles'!$HE$14:$HK$14,1,EQ112)*(1+INDEX('Lease Cycles'!$GQ$14:$GW$14,1,EQ112))^INT(INT((EQ$6-INDEX('Lease Cycles'!$GJ$14:$GP$14,1,EQ112))/12)/INDEX('Lease Cycles'!$GX$14:$HD$14,1,EQ112))/12,0)))</f>
        <v>2958.345648310728</v>
      </c>
      <c r="ER115" s="28">
        <f>IF(ER112=0,IF('Lease Cycles'!$F$14&gt;0,'Lease Cycles'!$C$14*'Lease Cycles'!$E$14/12,0),IF(ER114=1,IF('Lease Cycles'!$AT$14&gt;=9999,'Lease Cycles'!$C$14*INDEX('Lease Cycles'!$CB$14:$CH$14,1,ER112)*(1+INDEX('Lease Cycles'!$CI$14:$CO$14,1,ER112))^INT(INT(ER113/12)/INDEX('Lease Cycles'!$CP$14:$CV$14,1,ER112))/12,IF(ER112=1,IF(ER113&gt;=INDEX('Lease Cycles'!$DK$14:$DQ$14,1,ER112),IF(ER$6&gt;='Lease Cycles'!$AZ$14,'Lease Cycles'!$C$14*'Lease Cycles'!$BA$14/12,IF(ER$6&gt;='Lease Cycles'!$AX$14,'Lease Cycles'!$C$14*'Lease Cycles'!$AY$14/12,IF(ER$6&gt;='Lease Cycles'!$AV$14,'Lease Cycles'!$C$14*'Lease Cycles'!$AW$14/12,IF(ER$6&gt;='Lease Cycles'!$AT$14,'Lease Cycles'!$C$14*'Lease Cycles'!$AU$14/12,'Lease Cycles'!$C$14*INDEX('Lease Cycles'!$CB$14:$CH$14,1,ER112)*(1+INDEX('Lease Cycles'!$CI$14:$CO$14,1,ER112))^INT(INT(ER113/12)/INDEX('Lease Cycles'!$CP$14:$CV$14,1,ER112))/12)))),'Lease Cycles'!$C$14*INDEX('Lease Cycles'!$CB$14:$CH$14,1,ER112)*(1+INDEX('Lease Cycles'!$CI$14:$CO$14,1,ER112))^INT(INT(ER113/12)/INDEX('Lease Cycles'!$CP$14:$CV$14,1,ER112))/12),IF(INDEX('Lease Cycles'!$EF$14:$EL$14,1,ER112)=1,IF(AND('Lease Cycles'!$AZ$14&gt;=INDEX('Lease Cycles'!$BG$14:$BM$14,1,ER112),'Lease Cycles'!$AZ$14&lt;=ER$6),'Lease Cycles'!$C$14*'Lease Cycles'!$BA$14/12,IF(AND('Lease Cycles'!$AX$14&gt;=INDEX('Lease Cycles'!$BG$14:$BM$14,1,ER112),'Lease Cycles'!$AX$14&lt;=ER$6),'Lease Cycles'!$C$14*'Lease Cycles'!$AY$14/12,IF(AND('Lease Cycles'!$AV$14&gt;=INDEX('Lease Cycles'!$BG$14:$BM$14,1,ER112),'Lease Cycles'!$AV$14&lt;=ER$6),'Lease Cycles'!$C$14*'Lease Cycles'!$AW$14/12,IF(AND('Lease Cycles'!$AT$14&gt;=INDEX('Lease Cycles'!$BG$14:$BM$14,1,ER112),'Lease Cycles'!$AT$14&lt;=ER$6),'Lease Cycles'!$C$14*'Lease Cycles'!$AU$14/12,'Lease Cycles'!$C$14*INDEX('Lease Cycles'!$CB$14:$CH$14,1,ER112)*(1+INDEX('Lease Cycles'!$CI$14:$CO$14,1,ER112))^INT(INT(ER113/12)/INDEX('Lease Cycles'!$CP$14:$CV$14,1,ER112))/12)))),'Lease Cycles'!$C$14*INDEX('Lease Cycles'!$CB$14:$CH$14,1,ER112)*(1+INDEX('Lease Cycles'!$CI$14:$CO$14,1,ER112))^INT(INT(ER113/12)/INDEX('Lease Cycles'!$CP$14:$CV$14,1,ER112))/12))),IF('Lease Cycles'!$N$14=1,'Lease Cycles'!$C$14*'Lease Cycles'!$E$14*INDEX('Lease Cycles'!$HE$14:$HK$14,1,ER112)*(1+INDEX('Lease Cycles'!$GQ$14:$GW$14,1,ER112))^INT(INT((ER$6-INDEX('Lease Cycles'!$GJ$14:$GP$14,1,ER112))/12)/INDEX('Lease Cycles'!$GX$14:$HD$14,1,ER112))/12,0)))</f>
        <v>2958.345648310728</v>
      </c>
      <c r="ES115" s="28">
        <f>IF(ES112=0,IF('Lease Cycles'!$F$14&gt;0,'Lease Cycles'!$C$14*'Lease Cycles'!$E$14/12,0),IF(ES114=1,IF('Lease Cycles'!$AT$14&gt;=9999,'Lease Cycles'!$C$14*INDEX('Lease Cycles'!$CB$14:$CH$14,1,ES112)*(1+INDEX('Lease Cycles'!$CI$14:$CO$14,1,ES112))^INT(INT(ES113/12)/INDEX('Lease Cycles'!$CP$14:$CV$14,1,ES112))/12,IF(ES112=1,IF(ES113&gt;=INDEX('Lease Cycles'!$DK$14:$DQ$14,1,ES112),IF(ES$6&gt;='Lease Cycles'!$AZ$14,'Lease Cycles'!$C$14*'Lease Cycles'!$BA$14/12,IF(ES$6&gt;='Lease Cycles'!$AX$14,'Lease Cycles'!$C$14*'Lease Cycles'!$AY$14/12,IF(ES$6&gt;='Lease Cycles'!$AV$14,'Lease Cycles'!$C$14*'Lease Cycles'!$AW$14/12,IF(ES$6&gt;='Lease Cycles'!$AT$14,'Lease Cycles'!$C$14*'Lease Cycles'!$AU$14/12,'Lease Cycles'!$C$14*INDEX('Lease Cycles'!$CB$14:$CH$14,1,ES112)*(1+INDEX('Lease Cycles'!$CI$14:$CO$14,1,ES112))^INT(INT(ES113/12)/INDEX('Lease Cycles'!$CP$14:$CV$14,1,ES112))/12)))),'Lease Cycles'!$C$14*INDEX('Lease Cycles'!$CB$14:$CH$14,1,ES112)*(1+INDEX('Lease Cycles'!$CI$14:$CO$14,1,ES112))^INT(INT(ES113/12)/INDEX('Lease Cycles'!$CP$14:$CV$14,1,ES112))/12),IF(INDEX('Lease Cycles'!$EF$14:$EL$14,1,ES112)=1,IF(AND('Lease Cycles'!$AZ$14&gt;=INDEX('Lease Cycles'!$BG$14:$BM$14,1,ES112),'Lease Cycles'!$AZ$14&lt;=ES$6),'Lease Cycles'!$C$14*'Lease Cycles'!$BA$14/12,IF(AND('Lease Cycles'!$AX$14&gt;=INDEX('Lease Cycles'!$BG$14:$BM$14,1,ES112),'Lease Cycles'!$AX$14&lt;=ES$6),'Lease Cycles'!$C$14*'Lease Cycles'!$AY$14/12,IF(AND('Lease Cycles'!$AV$14&gt;=INDEX('Lease Cycles'!$BG$14:$BM$14,1,ES112),'Lease Cycles'!$AV$14&lt;=ES$6),'Lease Cycles'!$C$14*'Lease Cycles'!$AW$14/12,IF(AND('Lease Cycles'!$AT$14&gt;=INDEX('Lease Cycles'!$BG$14:$BM$14,1,ES112),'Lease Cycles'!$AT$14&lt;=ES$6),'Lease Cycles'!$C$14*'Lease Cycles'!$AU$14/12,'Lease Cycles'!$C$14*INDEX('Lease Cycles'!$CB$14:$CH$14,1,ES112)*(1+INDEX('Lease Cycles'!$CI$14:$CO$14,1,ES112))^INT(INT(ES113/12)/INDEX('Lease Cycles'!$CP$14:$CV$14,1,ES112))/12)))),'Lease Cycles'!$C$14*INDEX('Lease Cycles'!$CB$14:$CH$14,1,ES112)*(1+INDEX('Lease Cycles'!$CI$14:$CO$14,1,ES112))^INT(INT(ES113/12)/INDEX('Lease Cycles'!$CP$14:$CV$14,1,ES112))/12))),IF('Lease Cycles'!$N$14=1,'Lease Cycles'!$C$14*'Lease Cycles'!$E$14*INDEX('Lease Cycles'!$HE$14:$HK$14,1,ES112)*(1+INDEX('Lease Cycles'!$GQ$14:$GW$14,1,ES112))^INT(INT((ES$6-INDEX('Lease Cycles'!$GJ$14:$GP$14,1,ES112))/12)/INDEX('Lease Cycles'!$GX$14:$HD$14,1,ES112))/12,0)))</f>
        <v>2958.345648310728</v>
      </c>
      <c r="ET115" s="28">
        <f>IF(ET112=0,IF('Lease Cycles'!$F$14&gt;0,'Lease Cycles'!$C$14*'Lease Cycles'!$E$14/12,0),IF(ET114=1,IF('Lease Cycles'!$AT$14&gt;=9999,'Lease Cycles'!$C$14*INDEX('Lease Cycles'!$CB$14:$CH$14,1,ET112)*(1+INDEX('Lease Cycles'!$CI$14:$CO$14,1,ET112))^INT(INT(ET113/12)/INDEX('Lease Cycles'!$CP$14:$CV$14,1,ET112))/12,IF(ET112=1,IF(ET113&gt;=INDEX('Lease Cycles'!$DK$14:$DQ$14,1,ET112),IF(ET$6&gt;='Lease Cycles'!$AZ$14,'Lease Cycles'!$C$14*'Lease Cycles'!$BA$14/12,IF(ET$6&gt;='Lease Cycles'!$AX$14,'Lease Cycles'!$C$14*'Lease Cycles'!$AY$14/12,IF(ET$6&gt;='Lease Cycles'!$AV$14,'Lease Cycles'!$C$14*'Lease Cycles'!$AW$14/12,IF(ET$6&gt;='Lease Cycles'!$AT$14,'Lease Cycles'!$C$14*'Lease Cycles'!$AU$14/12,'Lease Cycles'!$C$14*INDEX('Lease Cycles'!$CB$14:$CH$14,1,ET112)*(1+INDEX('Lease Cycles'!$CI$14:$CO$14,1,ET112))^INT(INT(ET113/12)/INDEX('Lease Cycles'!$CP$14:$CV$14,1,ET112))/12)))),'Lease Cycles'!$C$14*INDEX('Lease Cycles'!$CB$14:$CH$14,1,ET112)*(1+INDEX('Lease Cycles'!$CI$14:$CO$14,1,ET112))^INT(INT(ET113/12)/INDEX('Lease Cycles'!$CP$14:$CV$14,1,ET112))/12),IF(INDEX('Lease Cycles'!$EF$14:$EL$14,1,ET112)=1,IF(AND('Lease Cycles'!$AZ$14&gt;=INDEX('Lease Cycles'!$BG$14:$BM$14,1,ET112),'Lease Cycles'!$AZ$14&lt;=ET$6),'Lease Cycles'!$C$14*'Lease Cycles'!$BA$14/12,IF(AND('Lease Cycles'!$AX$14&gt;=INDEX('Lease Cycles'!$BG$14:$BM$14,1,ET112),'Lease Cycles'!$AX$14&lt;=ET$6),'Lease Cycles'!$C$14*'Lease Cycles'!$AY$14/12,IF(AND('Lease Cycles'!$AV$14&gt;=INDEX('Lease Cycles'!$BG$14:$BM$14,1,ET112),'Lease Cycles'!$AV$14&lt;=ET$6),'Lease Cycles'!$C$14*'Lease Cycles'!$AW$14/12,IF(AND('Lease Cycles'!$AT$14&gt;=INDEX('Lease Cycles'!$BG$14:$BM$14,1,ET112),'Lease Cycles'!$AT$14&lt;=ET$6),'Lease Cycles'!$C$14*'Lease Cycles'!$AU$14/12,'Lease Cycles'!$C$14*INDEX('Lease Cycles'!$CB$14:$CH$14,1,ET112)*(1+INDEX('Lease Cycles'!$CI$14:$CO$14,1,ET112))^INT(INT(ET113/12)/INDEX('Lease Cycles'!$CP$14:$CV$14,1,ET112))/12)))),'Lease Cycles'!$C$14*INDEX('Lease Cycles'!$CB$14:$CH$14,1,ET112)*(1+INDEX('Lease Cycles'!$CI$14:$CO$14,1,ET112))^INT(INT(ET113/12)/INDEX('Lease Cycles'!$CP$14:$CV$14,1,ET112))/12))),IF('Lease Cycles'!$N$14=1,'Lease Cycles'!$C$14*'Lease Cycles'!$E$14*INDEX('Lease Cycles'!$HE$14:$HK$14,1,ET112)*(1+INDEX('Lease Cycles'!$GQ$14:$GW$14,1,ET112))^INT(INT((ET$6-INDEX('Lease Cycles'!$GJ$14:$GP$14,1,ET112))/12)/INDEX('Lease Cycles'!$GX$14:$HD$14,1,ET112))/12,0)))</f>
        <v>2958.345648310728</v>
      </c>
    </row>
    <row r="116">
      <c r="A116" s="103">
        <v>7</v>
      </c>
      <c r="B116" s="23" t="str">
        <f>IF('Lease Cycles'!$B$14="","(empty slot)",'Lease Cycles'!$B$14)</f>
        <v>Sunfield Nails</v>
      </c>
      <c r="C116" s="23" t="s">
        <v>679</v>
      </c>
      <c r="D116" s="104" t="s">
        <v>680</v>
      </c>
      <c r="E116" s="25">
        <f>'Lease Cycles'!$AL$14</f>
        <v>0</v>
      </c>
      <c r="S116" s="28">
        <f>IF(S114=1,IF(INDEX('Lease Cycles'!$EF$14:$EL$14,1,S112)=1,'Lease Cycles'!$C$14*INDEX('Lease Cycles'!$ET$14:$EZ$14,1,S112)*(1+'Lease Cycles'!$V$14)^INT(INT(S113/12)/'Lease Cycles'!$W$14)/12,0),0)</f>
        <v>0</v>
      </c>
      <c r="T116" s="28">
        <f>IF(T114=1,IF(INDEX('Lease Cycles'!$EF$14:$EL$14,1,T112)=1,'Lease Cycles'!$C$14*INDEX('Lease Cycles'!$ET$14:$EZ$14,1,T112)*(1+'Lease Cycles'!$V$14)^INT(INT(T113/12)/'Lease Cycles'!$W$14)/12,0),0)</f>
        <v>0</v>
      </c>
      <c r="U116" s="28">
        <f>IF(U114=1,IF(INDEX('Lease Cycles'!$EF$14:$EL$14,1,U112)=1,'Lease Cycles'!$C$14*INDEX('Lease Cycles'!$ET$14:$EZ$14,1,U112)*(1+'Lease Cycles'!$V$14)^INT(INT(U113/12)/'Lease Cycles'!$W$14)/12,0),0)</f>
        <v>0</v>
      </c>
      <c r="V116" s="28">
        <f>IF(V114=1,IF(INDEX('Lease Cycles'!$EF$14:$EL$14,1,V112)=1,'Lease Cycles'!$C$14*INDEX('Lease Cycles'!$ET$14:$EZ$14,1,V112)*(1+'Lease Cycles'!$V$14)^INT(INT(V113/12)/'Lease Cycles'!$W$14)/12,0),0)</f>
        <v>0</v>
      </c>
      <c r="W116" s="28">
        <f>IF(W114=1,IF(INDEX('Lease Cycles'!$EF$14:$EL$14,1,W112)=1,'Lease Cycles'!$C$14*INDEX('Lease Cycles'!$ET$14:$EZ$14,1,W112)*(1+'Lease Cycles'!$V$14)^INT(INT(W113/12)/'Lease Cycles'!$W$14)/12,0),0)</f>
        <v>0</v>
      </c>
      <c r="X116" s="28">
        <f>IF(X114=1,IF(INDEX('Lease Cycles'!$EF$14:$EL$14,1,X112)=1,'Lease Cycles'!$C$14*INDEX('Lease Cycles'!$ET$14:$EZ$14,1,X112)*(1+'Lease Cycles'!$V$14)^INT(INT(X113/12)/'Lease Cycles'!$W$14)/12,0),0)</f>
        <v>0</v>
      </c>
      <c r="Y116" s="28">
        <f>IF(Y114=1,IF(INDEX('Lease Cycles'!$EF$14:$EL$14,1,Y112)=1,'Lease Cycles'!$C$14*INDEX('Lease Cycles'!$ET$14:$EZ$14,1,Y112)*(1+'Lease Cycles'!$V$14)^INT(INT(Y113/12)/'Lease Cycles'!$W$14)/12,0),0)</f>
        <v>0</v>
      </c>
      <c r="Z116" s="28">
        <f>IF(Z114=1,IF(INDEX('Lease Cycles'!$EF$14:$EL$14,1,Z112)=1,'Lease Cycles'!$C$14*INDEX('Lease Cycles'!$ET$14:$EZ$14,1,Z112)*(1+'Lease Cycles'!$V$14)^INT(INT(Z113/12)/'Lease Cycles'!$W$14)/12,0),0)</f>
        <v>0</v>
      </c>
      <c r="AA116" s="28">
        <f>IF(AA114=1,IF(INDEX('Lease Cycles'!$EF$14:$EL$14,1,AA112)=1,'Lease Cycles'!$C$14*INDEX('Lease Cycles'!$ET$14:$EZ$14,1,AA112)*(1+'Lease Cycles'!$V$14)^INT(INT(AA113/12)/'Lease Cycles'!$W$14)/12,0),0)</f>
        <v>0</v>
      </c>
      <c r="AB116" s="28">
        <f>IF(AB114=1,IF(INDEX('Lease Cycles'!$EF$14:$EL$14,1,AB112)=1,'Lease Cycles'!$C$14*INDEX('Lease Cycles'!$ET$14:$EZ$14,1,AB112)*(1+'Lease Cycles'!$V$14)^INT(INT(AB113/12)/'Lease Cycles'!$W$14)/12,0),0)</f>
        <v>0</v>
      </c>
      <c r="AC116" s="28">
        <f>IF(AC114=1,IF(INDEX('Lease Cycles'!$EF$14:$EL$14,1,AC112)=1,'Lease Cycles'!$C$14*INDEX('Lease Cycles'!$ET$14:$EZ$14,1,AC112)*(1+'Lease Cycles'!$V$14)^INT(INT(AC113/12)/'Lease Cycles'!$W$14)/12,0),0)</f>
        <v>0</v>
      </c>
      <c r="AD116" s="28">
        <f>IF(AD114=1,IF(INDEX('Lease Cycles'!$EF$14:$EL$14,1,AD112)=1,'Lease Cycles'!$C$14*INDEX('Lease Cycles'!$ET$14:$EZ$14,1,AD112)*(1+'Lease Cycles'!$V$14)^INT(INT(AD113/12)/'Lease Cycles'!$W$14)/12,0),0)</f>
        <v>0</v>
      </c>
      <c r="AE116" s="28">
        <f>IF(AE114=1,IF(INDEX('Lease Cycles'!$EF$14:$EL$14,1,AE112)=1,'Lease Cycles'!$C$14*INDEX('Lease Cycles'!$ET$14:$EZ$14,1,AE112)*(1+'Lease Cycles'!$V$14)^INT(INT(AE113/12)/'Lease Cycles'!$W$14)/12,0),0)</f>
        <v>0</v>
      </c>
      <c r="AF116" s="28">
        <f>IF(AF114=1,IF(INDEX('Lease Cycles'!$EF$14:$EL$14,1,AF112)=1,'Lease Cycles'!$C$14*INDEX('Lease Cycles'!$ET$14:$EZ$14,1,AF112)*(1+'Lease Cycles'!$V$14)^INT(INT(AF113/12)/'Lease Cycles'!$W$14)/12,0),0)</f>
        <v>0</v>
      </c>
      <c r="AG116" s="28">
        <f>IF(AG114=1,IF(INDEX('Lease Cycles'!$EF$14:$EL$14,1,AG112)=1,'Lease Cycles'!$C$14*INDEX('Lease Cycles'!$ET$14:$EZ$14,1,AG112)*(1+'Lease Cycles'!$V$14)^INT(INT(AG113/12)/'Lease Cycles'!$W$14)/12,0),0)</f>
        <v>0</v>
      </c>
      <c r="AH116" s="28">
        <f>IF(AH114=1,IF(INDEX('Lease Cycles'!$EF$14:$EL$14,1,AH112)=1,'Lease Cycles'!$C$14*INDEX('Lease Cycles'!$ET$14:$EZ$14,1,AH112)*(1+'Lease Cycles'!$V$14)^INT(INT(AH113/12)/'Lease Cycles'!$W$14)/12,0),0)</f>
        <v>0</v>
      </c>
      <c r="AI116" s="28">
        <f>IF(AI114=1,IF(INDEX('Lease Cycles'!$EF$14:$EL$14,1,AI112)=1,'Lease Cycles'!$C$14*INDEX('Lease Cycles'!$ET$14:$EZ$14,1,AI112)*(1+'Lease Cycles'!$V$14)^INT(INT(AI113/12)/'Lease Cycles'!$W$14)/12,0),0)</f>
        <v>0</v>
      </c>
      <c r="AJ116" s="28">
        <f>IF(AJ114=1,IF(INDEX('Lease Cycles'!$EF$14:$EL$14,1,AJ112)=1,'Lease Cycles'!$C$14*INDEX('Lease Cycles'!$ET$14:$EZ$14,1,AJ112)*(1+'Lease Cycles'!$V$14)^INT(INT(AJ113/12)/'Lease Cycles'!$W$14)/12,0),0)</f>
        <v>0</v>
      </c>
      <c r="AK116" s="28">
        <f>IF(AK114=1,IF(INDEX('Lease Cycles'!$EF$14:$EL$14,1,AK112)=1,'Lease Cycles'!$C$14*INDEX('Lease Cycles'!$ET$14:$EZ$14,1,AK112)*(1+'Lease Cycles'!$V$14)^INT(INT(AK113/12)/'Lease Cycles'!$W$14)/12,0),0)</f>
        <v>0</v>
      </c>
      <c r="AL116" s="28">
        <f>IF(AL114=1,IF(INDEX('Lease Cycles'!$EF$14:$EL$14,1,AL112)=1,'Lease Cycles'!$C$14*INDEX('Lease Cycles'!$ET$14:$EZ$14,1,AL112)*(1+'Lease Cycles'!$V$14)^INT(INT(AL113/12)/'Lease Cycles'!$W$14)/12,0),0)</f>
        <v>0</v>
      </c>
      <c r="AM116" s="28">
        <f>IF(AM114=1,IF(INDEX('Lease Cycles'!$EF$14:$EL$14,1,AM112)=1,'Lease Cycles'!$C$14*INDEX('Lease Cycles'!$ET$14:$EZ$14,1,AM112)*(1+'Lease Cycles'!$V$14)^INT(INT(AM113/12)/'Lease Cycles'!$W$14)/12,0),0)</f>
        <v>0</v>
      </c>
      <c r="AN116" s="28">
        <f>IF(AN114=1,IF(INDEX('Lease Cycles'!$EF$14:$EL$14,1,AN112)=1,'Lease Cycles'!$C$14*INDEX('Lease Cycles'!$ET$14:$EZ$14,1,AN112)*(1+'Lease Cycles'!$V$14)^INT(INT(AN113/12)/'Lease Cycles'!$W$14)/12,0),0)</f>
        <v>0</v>
      </c>
      <c r="AO116" s="28">
        <f>IF(AO114=1,IF(INDEX('Lease Cycles'!$EF$14:$EL$14,1,AO112)=1,'Lease Cycles'!$C$14*INDEX('Lease Cycles'!$ET$14:$EZ$14,1,AO112)*(1+'Lease Cycles'!$V$14)^INT(INT(AO113/12)/'Lease Cycles'!$W$14)/12,0),0)</f>
        <v>0</v>
      </c>
      <c r="AP116" s="28">
        <f>IF(AP114=1,IF(INDEX('Lease Cycles'!$EF$14:$EL$14,1,AP112)=1,'Lease Cycles'!$C$14*INDEX('Lease Cycles'!$ET$14:$EZ$14,1,AP112)*(1+'Lease Cycles'!$V$14)^INT(INT(AP113/12)/'Lease Cycles'!$W$14)/12,0),0)</f>
        <v>0</v>
      </c>
      <c r="AQ116" s="28">
        <f>IF(AQ114=1,IF(INDEX('Lease Cycles'!$EF$14:$EL$14,1,AQ112)=1,'Lease Cycles'!$C$14*INDEX('Lease Cycles'!$ET$14:$EZ$14,1,AQ112)*(1+'Lease Cycles'!$V$14)^INT(INT(AQ113/12)/'Lease Cycles'!$W$14)/12,0),0)</f>
        <v>0</v>
      </c>
      <c r="AR116" s="28">
        <f>IF(AR114=1,IF(INDEX('Lease Cycles'!$EF$14:$EL$14,1,AR112)=1,'Lease Cycles'!$C$14*INDEX('Lease Cycles'!$ET$14:$EZ$14,1,AR112)*(1+'Lease Cycles'!$V$14)^INT(INT(AR113/12)/'Lease Cycles'!$W$14)/12,0),0)</f>
        <v>0</v>
      </c>
      <c r="AS116" s="28">
        <f>IF(AS114=1,IF(INDEX('Lease Cycles'!$EF$14:$EL$14,1,AS112)=1,'Lease Cycles'!$C$14*INDEX('Lease Cycles'!$ET$14:$EZ$14,1,AS112)*(1+'Lease Cycles'!$V$14)^INT(INT(AS113/12)/'Lease Cycles'!$W$14)/12,0),0)</f>
        <v>0</v>
      </c>
      <c r="AT116" s="28">
        <f>IF(AT114=1,IF(INDEX('Lease Cycles'!$EF$14:$EL$14,1,AT112)=1,'Lease Cycles'!$C$14*INDEX('Lease Cycles'!$ET$14:$EZ$14,1,AT112)*(1+'Lease Cycles'!$V$14)^INT(INT(AT113/12)/'Lease Cycles'!$W$14)/12,0),0)</f>
        <v>0</v>
      </c>
      <c r="AU116" s="28">
        <f>IF(AU114=1,IF(INDEX('Lease Cycles'!$EF$14:$EL$14,1,AU112)=1,'Lease Cycles'!$C$14*INDEX('Lease Cycles'!$ET$14:$EZ$14,1,AU112)*(1+'Lease Cycles'!$V$14)^INT(INT(AU113/12)/'Lease Cycles'!$W$14)/12,0),0)</f>
        <v>0</v>
      </c>
      <c r="AV116" s="28">
        <f>IF(AV114=1,IF(INDEX('Lease Cycles'!$EF$14:$EL$14,1,AV112)=1,'Lease Cycles'!$C$14*INDEX('Lease Cycles'!$ET$14:$EZ$14,1,AV112)*(1+'Lease Cycles'!$V$14)^INT(INT(AV113/12)/'Lease Cycles'!$W$14)/12,0),0)</f>
        <v>0</v>
      </c>
      <c r="AW116" s="28">
        <f>IF(AW114=1,IF(INDEX('Lease Cycles'!$EF$14:$EL$14,1,AW112)=1,'Lease Cycles'!$C$14*INDEX('Lease Cycles'!$ET$14:$EZ$14,1,AW112)*(1+'Lease Cycles'!$V$14)^INT(INT(AW113/12)/'Lease Cycles'!$W$14)/12,0),0)</f>
        <v>0</v>
      </c>
      <c r="AX116" s="28">
        <f>IF(AX114=1,IF(INDEX('Lease Cycles'!$EF$14:$EL$14,1,AX112)=1,'Lease Cycles'!$C$14*INDEX('Lease Cycles'!$ET$14:$EZ$14,1,AX112)*(1+'Lease Cycles'!$V$14)^INT(INT(AX113/12)/'Lease Cycles'!$W$14)/12,0),0)</f>
        <v>0</v>
      </c>
      <c r="AY116" s="28">
        <f>IF(AY114=1,IF(INDEX('Lease Cycles'!$EF$14:$EL$14,1,AY112)=1,'Lease Cycles'!$C$14*INDEX('Lease Cycles'!$ET$14:$EZ$14,1,AY112)*(1+'Lease Cycles'!$V$14)^INT(INT(AY113/12)/'Lease Cycles'!$W$14)/12,0),0)</f>
        <v>0</v>
      </c>
      <c r="AZ116" s="28">
        <f>IF(AZ114=1,IF(INDEX('Lease Cycles'!$EF$14:$EL$14,1,AZ112)=1,'Lease Cycles'!$C$14*INDEX('Lease Cycles'!$ET$14:$EZ$14,1,AZ112)*(1+'Lease Cycles'!$V$14)^INT(INT(AZ113/12)/'Lease Cycles'!$W$14)/12,0),0)</f>
        <v>0</v>
      </c>
      <c r="BA116" s="28">
        <f>IF(BA114=1,IF(INDEX('Lease Cycles'!$EF$14:$EL$14,1,BA112)=1,'Lease Cycles'!$C$14*INDEX('Lease Cycles'!$ET$14:$EZ$14,1,BA112)*(1+'Lease Cycles'!$V$14)^INT(INT(BA113/12)/'Lease Cycles'!$W$14)/12,0),0)</f>
        <v>0</v>
      </c>
      <c r="BB116" s="28">
        <f>IF(BB114=1,IF(INDEX('Lease Cycles'!$EF$14:$EL$14,1,BB112)=1,'Lease Cycles'!$C$14*INDEX('Lease Cycles'!$ET$14:$EZ$14,1,BB112)*(1+'Lease Cycles'!$V$14)^INT(INT(BB113/12)/'Lease Cycles'!$W$14)/12,0),0)</f>
        <v>0</v>
      </c>
      <c r="BC116" s="28">
        <f>IF(BC114=1,IF(INDEX('Lease Cycles'!$EF$14:$EL$14,1,BC112)=1,'Lease Cycles'!$C$14*INDEX('Lease Cycles'!$ET$14:$EZ$14,1,BC112)*(1+'Lease Cycles'!$V$14)^INT(INT(BC113/12)/'Lease Cycles'!$W$14)/12,0),0)</f>
        <v>0</v>
      </c>
      <c r="BD116" s="28">
        <f>IF(BD114=1,IF(INDEX('Lease Cycles'!$EF$14:$EL$14,1,BD112)=1,'Lease Cycles'!$C$14*INDEX('Lease Cycles'!$ET$14:$EZ$14,1,BD112)*(1+'Lease Cycles'!$V$14)^INT(INT(BD113/12)/'Lease Cycles'!$W$14)/12,0),0)</f>
        <v>0</v>
      </c>
      <c r="BE116" s="28">
        <f>IF(BE114=1,IF(INDEX('Lease Cycles'!$EF$14:$EL$14,1,BE112)=1,'Lease Cycles'!$C$14*INDEX('Lease Cycles'!$ET$14:$EZ$14,1,BE112)*(1+'Lease Cycles'!$V$14)^INT(INT(BE113/12)/'Lease Cycles'!$W$14)/12,0),0)</f>
        <v>0</v>
      </c>
      <c r="BF116" s="28">
        <f>IF(BF114=1,IF(INDEX('Lease Cycles'!$EF$14:$EL$14,1,BF112)=1,'Lease Cycles'!$C$14*INDEX('Lease Cycles'!$ET$14:$EZ$14,1,BF112)*(1+'Lease Cycles'!$V$14)^INT(INT(BF113/12)/'Lease Cycles'!$W$14)/12,0),0)</f>
        <v>0</v>
      </c>
      <c r="BG116" s="28">
        <f>IF(BG114=1,IF(INDEX('Lease Cycles'!$EF$14:$EL$14,1,BG112)=1,'Lease Cycles'!$C$14*INDEX('Lease Cycles'!$ET$14:$EZ$14,1,BG112)*(1+'Lease Cycles'!$V$14)^INT(INT(BG113/12)/'Lease Cycles'!$W$14)/12,0),0)</f>
        <v>0</v>
      </c>
      <c r="BH116" s="28">
        <f>IF(BH114=1,IF(INDEX('Lease Cycles'!$EF$14:$EL$14,1,BH112)=1,'Lease Cycles'!$C$14*INDEX('Lease Cycles'!$ET$14:$EZ$14,1,BH112)*(1+'Lease Cycles'!$V$14)^INT(INT(BH113/12)/'Lease Cycles'!$W$14)/12,0),0)</f>
        <v>0</v>
      </c>
      <c r="BI116" s="28">
        <f>IF(BI114=1,IF(INDEX('Lease Cycles'!$EF$14:$EL$14,1,BI112)=1,'Lease Cycles'!$C$14*INDEX('Lease Cycles'!$ET$14:$EZ$14,1,BI112)*(1+'Lease Cycles'!$V$14)^INT(INT(BI113/12)/'Lease Cycles'!$W$14)/12,0),0)</f>
        <v>0</v>
      </c>
      <c r="BJ116" s="28">
        <f>IF(BJ114=1,IF(INDEX('Lease Cycles'!$EF$14:$EL$14,1,BJ112)=1,'Lease Cycles'!$C$14*INDEX('Lease Cycles'!$ET$14:$EZ$14,1,BJ112)*(1+'Lease Cycles'!$V$14)^INT(INT(BJ113/12)/'Lease Cycles'!$W$14)/12,0),0)</f>
        <v>0</v>
      </c>
      <c r="BK116" s="28">
        <f>IF(BK114=1,IF(INDEX('Lease Cycles'!$EF$14:$EL$14,1,BK112)=1,'Lease Cycles'!$C$14*INDEX('Lease Cycles'!$ET$14:$EZ$14,1,BK112)*(1+'Lease Cycles'!$V$14)^INT(INT(BK113/12)/'Lease Cycles'!$W$14)/12,0),0)</f>
        <v>0</v>
      </c>
      <c r="BL116" s="28">
        <f>IF(BL114=1,IF(INDEX('Lease Cycles'!$EF$14:$EL$14,1,BL112)=1,'Lease Cycles'!$C$14*INDEX('Lease Cycles'!$ET$14:$EZ$14,1,BL112)*(1+'Lease Cycles'!$V$14)^INT(INT(BL113/12)/'Lease Cycles'!$W$14)/12,0),0)</f>
        <v>0</v>
      </c>
      <c r="BM116" s="28">
        <f>IF(BM114=1,IF(INDEX('Lease Cycles'!$EF$14:$EL$14,1,BM112)=1,'Lease Cycles'!$C$14*INDEX('Lease Cycles'!$ET$14:$EZ$14,1,BM112)*(1+'Lease Cycles'!$V$14)^INT(INT(BM113/12)/'Lease Cycles'!$W$14)/12,0),0)</f>
        <v>0</v>
      </c>
      <c r="BN116" s="28">
        <f>IF(BN114=1,IF(INDEX('Lease Cycles'!$EF$14:$EL$14,1,BN112)=1,'Lease Cycles'!$C$14*INDEX('Lease Cycles'!$ET$14:$EZ$14,1,BN112)*(1+'Lease Cycles'!$V$14)^INT(INT(BN113/12)/'Lease Cycles'!$W$14)/12,0),0)</f>
        <v>0</v>
      </c>
      <c r="BO116" s="28">
        <f>IF(BO114=1,IF(INDEX('Lease Cycles'!$EF$14:$EL$14,1,BO112)=1,'Lease Cycles'!$C$14*INDEX('Lease Cycles'!$ET$14:$EZ$14,1,BO112)*(1+'Lease Cycles'!$V$14)^INT(INT(BO113/12)/'Lease Cycles'!$W$14)/12,0),0)</f>
        <v>0</v>
      </c>
      <c r="BP116" s="28">
        <f>IF(BP114=1,IF(INDEX('Lease Cycles'!$EF$14:$EL$14,1,BP112)=1,'Lease Cycles'!$C$14*INDEX('Lease Cycles'!$ET$14:$EZ$14,1,BP112)*(1+'Lease Cycles'!$V$14)^INT(INT(BP113/12)/'Lease Cycles'!$W$14)/12,0),0)</f>
        <v>0</v>
      </c>
      <c r="BQ116" s="28">
        <f>IF(BQ114=1,IF(INDEX('Lease Cycles'!$EF$14:$EL$14,1,BQ112)=1,'Lease Cycles'!$C$14*INDEX('Lease Cycles'!$ET$14:$EZ$14,1,BQ112)*(1+'Lease Cycles'!$V$14)^INT(INT(BQ113/12)/'Lease Cycles'!$W$14)/12,0),0)</f>
        <v>0</v>
      </c>
      <c r="BR116" s="28">
        <f>IF(BR114=1,IF(INDEX('Lease Cycles'!$EF$14:$EL$14,1,BR112)=1,'Lease Cycles'!$C$14*INDEX('Lease Cycles'!$ET$14:$EZ$14,1,BR112)*(1+'Lease Cycles'!$V$14)^INT(INT(BR113/12)/'Lease Cycles'!$W$14)/12,0),0)</f>
        <v>0</v>
      </c>
      <c r="BS116" s="28">
        <f>IF(BS114=1,IF(INDEX('Lease Cycles'!$EF$14:$EL$14,1,BS112)=1,'Lease Cycles'!$C$14*INDEX('Lease Cycles'!$ET$14:$EZ$14,1,BS112)*(1+'Lease Cycles'!$V$14)^INT(INT(BS113/12)/'Lease Cycles'!$W$14)/12,0),0)</f>
        <v>0</v>
      </c>
      <c r="BT116" s="28">
        <f>IF(BT114=1,IF(INDEX('Lease Cycles'!$EF$14:$EL$14,1,BT112)=1,'Lease Cycles'!$C$14*INDEX('Lease Cycles'!$ET$14:$EZ$14,1,BT112)*(1+'Lease Cycles'!$V$14)^INT(INT(BT113/12)/'Lease Cycles'!$W$14)/12,0),0)</f>
        <v>0</v>
      </c>
      <c r="BU116" s="28">
        <f>IF(BU114=1,IF(INDEX('Lease Cycles'!$EF$14:$EL$14,1,BU112)=1,'Lease Cycles'!$C$14*INDEX('Lease Cycles'!$ET$14:$EZ$14,1,BU112)*(1+'Lease Cycles'!$V$14)^INT(INT(BU113/12)/'Lease Cycles'!$W$14)/12,0),0)</f>
        <v>0</v>
      </c>
      <c r="BV116" s="28">
        <f>IF(BV114=1,IF(INDEX('Lease Cycles'!$EF$14:$EL$14,1,BV112)=1,'Lease Cycles'!$C$14*INDEX('Lease Cycles'!$ET$14:$EZ$14,1,BV112)*(1+'Lease Cycles'!$V$14)^INT(INT(BV113/12)/'Lease Cycles'!$W$14)/12,0),0)</f>
        <v>0</v>
      </c>
      <c r="BW116" s="28">
        <f>IF(BW114=1,IF(INDEX('Lease Cycles'!$EF$14:$EL$14,1,BW112)=1,'Lease Cycles'!$C$14*INDEX('Lease Cycles'!$ET$14:$EZ$14,1,BW112)*(1+'Lease Cycles'!$V$14)^INT(INT(BW113/12)/'Lease Cycles'!$W$14)/12,0),0)</f>
        <v>0</v>
      </c>
      <c r="BX116" s="28">
        <f>IF(BX114=1,IF(INDEX('Lease Cycles'!$EF$14:$EL$14,1,BX112)=1,'Lease Cycles'!$C$14*INDEX('Lease Cycles'!$ET$14:$EZ$14,1,BX112)*(1+'Lease Cycles'!$V$14)^INT(INT(BX113/12)/'Lease Cycles'!$W$14)/12,0),0)</f>
        <v>0</v>
      </c>
      <c r="BY116" s="28">
        <f>IF(BY114=1,IF(INDEX('Lease Cycles'!$EF$14:$EL$14,1,BY112)=1,'Lease Cycles'!$C$14*INDEX('Lease Cycles'!$ET$14:$EZ$14,1,BY112)*(1+'Lease Cycles'!$V$14)^INT(INT(BY113/12)/'Lease Cycles'!$W$14)/12,0),0)</f>
        <v>0</v>
      </c>
      <c r="BZ116" s="28">
        <f>IF(BZ114=1,IF(INDEX('Lease Cycles'!$EF$14:$EL$14,1,BZ112)=1,'Lease Cycles'!$C$14*INDEX('Lease Cycles'!$ET$14:$EZ$14,1,BZ112)*(1+'Lease Cycles'!$V$14)^INT(INT(BZ113/12)/'Lease Cycles'!$W$14)/12,0),0)</f>
        <v>0</v>
      </c>
      <c r="CA116" s="28">
        <f>IF(CA114=1,IF(INDEX('Lease Cycles'!$EF$14:$EL$14,1,CA112)=1,'Lease Cycles'!$C$14*INDEX('Lease Cycles'!$ET$14:$EZ$14,1,CA112)*(1+'Lease Cycles'!$V$14)^INT(INT(CA113/12)/'Lease Cycles'!$W$14)/12,0),0)</f>
        <v>0</v>
      </c>
      <c r="CB116" s="28">
        <f>IF(CB114=1,IF(INDEX('Lease Cycles'!$EF$14:$EL$14,1,CB112)=1,'Lease Cycles'!$C$14*INDEX('Lease Cycles'!$ET$14:$EZ$14,1,CB112)*(1+'Lease Cycles'!$V$14)^INT(INT(CB113/12)/'Lease Cycles'!$W$14)/12,0),0)</f>
        <v>0</v>
      </c>
      <c r="CC116" s="28">
        <f>IF(CC114=1,IF(INDEX('Lease Cycles'!$EF$14:$EL$14,1,CC112)=1,'Lease Cycles'!$C$14*INDEX('Lease Cycles'!$ET$14:$EZ$14,1,CC112)*(1+'Lease Cycles'!$V$14)^INT(INT(CC113/12)/'Lease Cycles'!$W$14)/12,0),0)</f>
        <v>0</v>
      </c>
      <c r="CD116" s="28">
        <f>IF(CD114=1,IF(INDEX('Lease Cycles'!$EF$14:$EL$14,1,CD112)=1,'Lease Cycles'!$C$14*INDEX('Lease Cycles'!$ET$14:$EZ$14,1,CD112)*(1+'Lease Cycles'!$V$14)^INT(INT(CD113/12)/'Lease Cycles'!$W$14)/12,0),0)</f>
        <v>0</v>
      </c>
      <c r="CE116" s="28">
        <f>IF(CE114=1,IF(INDEX('Lease Cycles'!$EF$14:$EL$14,1,CE112)=1,'Lease Cycles'!$C$14*INDEX('Lease Cycles'!$ET$14:$EZ$14,1,CE112)*(1+'Lease Cycles'!$V$14)^INT(INT(CE113/12)/'Lease Cycles'!$W$14)/12,0),0)</f>
        <v>0</v>
      </c>
      <c r="CF116" s="28">
        <f>IF(CF114=1,IF(INDEX('Lease Cycles'!$EF$14:$EL$14,1,CF112)=1,'Lease Cycles'!$C$14*INDEX('Lease Cycles'!$ET$14:$EZ$14,1,CF112)*(1+'Lease Cycles'!$V$14)^INT(INT(CF113/12)/'Lease Cycles'!$W$14)/12,0),0)</f>
        <v>0</v>
      </c>
      <c r="CG116" s="28">
        <f>IF(CG114=1,IF(INDEX('Lease Cycles'!$EF$14:$EL$14,1,CG112)=1,'Lease Cycles'!$C$14*INDEX('Lease Cycles'!$ET$14:$EZ$14,1,CG112)*(1+'Lease Cycles'!$V$14)^INT(INT(CG113/12)/'Lease Cycles'!$W$14)/12,0),0)</f>
        <v>0</v>
      </c>
      <c r="CH116" s="28">
        <f>IF(CH114=1,IF(INDEX('Lease Cycles'!$EF$14:$EL$14,1,CH112)=1,'Lease Cycles'!$C$14*INDEX('Lease Cycles'!$ET$14:$EZ$14,1,CH112)*(1+'Lease Cycles'!$V$14)^INT(INT(CH113/12)/'Lease Cycles'!$W$14)/12,0),0)</f>
        <v>0</v>
      </c>
      <c r="CI116" s="28">
        <f>IF(CI114=1,IF(INDEX('Lease Cycles'!$EF$14:$EL$14,1,CI112)=1,'Lease Cycles'!$C$14*INDEX('Lease Cycles'!$ET$14:$EZ$14,1,CI112)*(1+'Lease Cycles'!$V$14)^INT(INT(CI113/12)/'Lease Cycles'!$W$14)/12,0),0)</f>
        <v>0</v>
      </c>
      <c r="CJ116" s="28">
        <f>IF(CJ114=1,IF(INDEX('Lease Cycles'!$EF$14:$EL$14,1,CJ112)=1,'Lease Cycles'!$C$14*INDEX('Lease Cycles'!$ET$14:$EZ$14,1,CJ112)*(1+'Lease Cycles'!$V$14)^INT(INT(CJ113/12)/'Lease Cycles'!$W$14)/12,0),0)</f>
        <v>0</v>
      </c>
      <c r="CK116" s="28">
        <f>IF(CK114=1,IF(INDEX('Lease Cycles'!$EF$14:$EL$14,1,CK112)=1,'Lease Cycles'!$C$14*INDEX('Lease Cycles'!$ET$14:$EZ$14,1,CK112)*(1+'Lease Cycles'!$V$14)^INT(INT(CK113/12)/'Lease Cycles'!$W$14)/12,0),0)</f>
        <v>0</v>
      </c>
      <c r="CL116" s="28">
        <f>IF(CL114=1,IF(INDEX('Lease Cycles'!$EF$14:$EL$14,1,CL112)=1,'Lease Cycles'!$C$14*INDEX('Lease Cycles'!$ET$14:$EZ$14,1,CL112)*(1+'Lease Cycles'!$V$14)^INT(INT(CL113/12)/'Lease Cycles'!$W$14)/12,0),0)</f>
        <v>0</v>
      </c>
      <c r="CM116" s="28">
        <f>IF(CM114=1,IF(INDEX('Lease Cycles'!$EF$14:$EL$14,1,CM112)=1,'Lease Cycles'!$C$14*INDEX('Lease Cycles'!$ET$14:$EZ$14,1,CM112)*(1+'Lease Cycles'!$V$14)^INT(INT(CM113/12)/'Lease Cycles'!$W$14)/12,0),0)</f>
        <v>0</v>
      </c>
      <c r="CN116" s="28">
        <f>IF(CN114=1,IF(INDEX('Lease Cycles'!$EF$14:$EL$14,1,CN112)=1,'Lease Cycles'!$C$14*INDEX('Lease Cycles'!$ET$14:$EZ$14,1,CN112)*(1+'Lease Cycles'!$V$14)^INT(INT(CN113/12)/'Lease Cycles'!$W$14)/12,0),0)</f>
        <v>0</v>
      </c>
      <c r="CO116" s="28">
        <f>IF(CO114=1,IF(INDEX('Lease Cycles'!$EF$14:$EL$14,1,CO112)=1,'Lease Cycles'!$C$14*INDEX('Lease Cycles'!$ET$14:$EZ$14,1,CO112)*(1+'Lease Cycles'!$V$14)^INT(INT(CO113/12)/'Lease Cycles'!$W$14)/12,0),0)</f>
        <v>0</v>
      </c>
      <c r="CP116" s="28">
        <f>IF(CP114=1,IF(INDEX('Lease Cycles'!$EF$14:$EL$14,1,CP112)=1,'Lease Cycles'!$C$14*INDEX('Lease Cycles'!$ET$14:$EZ$14,1,CP112)*(1+'Lease Cycles'!$V$14)^INT(INT(CP113/12)/'Lease Cycles'!$W$14)/12,0),0)</f>
        <v>0</v>
      </c>
      <c r="CQ116" s="28">
        <f>IF(CQ114=1,IF(INDEX('Lease Cycles'!$EF$14:$EL$14,1,CQ112)=1,'Lease Cycles'!$C$14*INDEX('Lease Cycles'!$ET$14:$EZ$14,1,CQ112)*(1+'Lease Cycles'!$V$14)^INT(INT(CQ113/12)/'Lease Cycles'!$W$14)/12,0),0)</f>
        <v>0</v>
      </c>
      <c r="CR116" s="28">
        <f>IF(CR114=1,IF(INDEX('Lease Cycles'!$EF$14:$EL$14,1,CR112)=1,'Lease Cycles'!$C$14*INDEX('Lease Cycles'!$ET$14:$EZ$14,1,CR112)*(1+'Lease Cycles'!$V$14)^INT(INT(CR113/12)/'Lease Cycles'!$W$14)/12,0),0)</f>
        <v>0</v>
      </c>
      <c r="CS116" s="28">
        <f>IF(CS114=1,IF(INDEX('Lease Cycles'!$EF$14:$EL$14,1,CS112)=1,'Lease Cycles'!$C$14*INDEX('Lease Cycles'!$ET$14:$EZ$14,1,CS112)*(1+'Lease Cycles'!$V$14)^INT(INT(CS113/12)/'Lease Cycles'!$W$14)/12,0),0)</f>
        <v>0</v>
      </c>
      <c r="CT116" s="28">
        <f>IF(CT114=1,IF(INDEX('Lease Cycles'!$EF$14:$EL$14,1,CT112)=1,'Lease Cycles'!$C$14*INDEX('Lease Cycles'!$ET$14:$EZ$14,1,CT112)*(1+'Lease Cycles'!$V$14)^INT(INT(CT113/12)/'Lease Cycles'!$W$14)/12,0),0)</f>
        <v>0</v>
      </c>
      <c r="CU116" s="28">
        <f>IF(CU114=1,IF(INDEX('Lease Cycles'!$EF$14:$EL$14,1,CU112)=1,'Lease Cycles'!$C$14*INDEX('Lease Cycles'!$ET$14:$EZ$14,1,CU112)*(1+'Lease Cycles'!$V$14)^INT(INT(CU113/12)/'Lease Cycles'!$W$14)/12,0),0)</f>
        <v>0</v>
      </c>
      <c r="CV116" s="28">
        <f>IF(CV114=1,IF(INDEX('Lease Cycles'!$EF$14:$EL$14,1,CV112)=1,'Lease Cycles'!$C$14*INDEX('Lease Cycles'!$ET$14:$EZ$14,1,CV112)*(1+'Lease Cycles'!$V$14)^INT(INT(CV113/12)/'Lease Cycles'!$W$14)/12,0),0)</f>
        <v>0</v>
      </c>
      <c r="CW116" s="28">
        <f>IF(CW114=1,IF(INDEX('Lease Cycles'!$EF$14:$EL$14,1,CW112)=1,'Lease Cycles'!$C$14*INDEX('Lease Cycles'!$ET$14:$EZ$14,1,CW112)*(1+'Lease Cycles'!$V$14)^INT(INT(CW113/12)/'Lease Cycles'!$W$14)/12,0),0)</f>
        <v>0</v>
      </c>
      <c r="CX116" s="28">
        <f>IF(CX114=1,IF(INDEX('Lease Cycles'!$EF$14:$EL$14,1,CX112)=1,'Lease Cycles'!$C$14*INDEX('Lease Cycles'!$ET$14:$EZ$14,1,CX112)*(1+'Lease Cycles'!$V$14)^INT(INT(CX113/12)/'Lease Cycles'!$W$14)/12,0),0)</f>
        <v>0</v>
      </c>
      <c r="CY116" s="28">
        <f>IF(CY114=1,IF(INDEX('Lease Cycles'!$EF$14:$EL$14,1,CY112)=1,'Lease Cycles'!$C$14*INDEX('Lease Cycles'!$ET$14:$EZ$14,1,CY112)*(1+'Lease Cycles'!$V$14)^INT(INT(CY113/12)/'Lease Cycles'!$W$14)/12,0),0)</f>
        <v>0</v>
      </c>
      <c r="CZ116" s="28">
        <f>IF(CZ114=1,IF(INDEX('Lease Cycles'!$EF$14:$EL$14,1,CZ112)=1,'Lease Cycles'!$C$14*INDEX('Lease Cycles'!$ET$14:$EZ$14,1,CZ112)*(1+'Lease Cycles'!$V$14)^INT(INT(CZ113/12)/'Lease Cycles'!$W$14)/12,0),0)</f>
        <v>0</v>
      </c>
      <c r="DA116" s="28">
        <f>IF(DA114=1,IF(INDEX('Lease Cycles'!$EF$14:$EL$14,1,DA112)=1,'Lease Cycles'!$C$14*INDEX('Lease Cycles'!$ET$14:$EZ$14,1,DA112)*(1+'Lease Cycles'!$V$14)^INT(INT(DA113/12)/'Lease Cycles'!$W$14)/12,0),0)</f>
        <v>0</v>
      </c>
      <c r="DB116" s="28">
        <f>IF(DB114=1,IF(INDEX('Lease Cycles'!$EF$14:$EL$14,1,DB112)=1,'Lease Cycles'!$C$14*INDEX('Lease Cycles'!$ET$14:$EZ$14,1,DB112)*(1+'Lease Cycles'!$V$14)^INT(INT(DB113/12)/'Lease Cycles'!$W$14)/12,0),0)</f>
        <v>0</v>
      </c>
      <c r="DC116" s="28">
        <f>IF(DC114=1,IF(INDEX('Lease Cycles'!$EF$14:$EL$14,1,DC112)=1,'Lease Cycles'!$C$14*INDEX('Lease Cycles'!$ET$14:$EZ$14,1,DC112)*(1+'Lease Cycles'!$V$14)^INT(INT(DC113/12)/'Lease Cycles'!$W$14)/12,0),0)</f>
        <v>0</v>
      </c>
      <c r="DD116" s="28">
        <f>IF(DD114=1,IF(INDEX('Lease Cycles'!$EF$14:$EL$14,1,DD112)=1,'Lease Cycles'!$C$14*INDEX('Lease Cycles'!$ET$14:$EZ$14,1,DD112)*(1+'Lease Cycles'!$V$14)^INT(INT(DD113/12)/'Lease Cycles'!$W$14)/12,0),0)</f>
        <v>0</v>
      </c>
      <c r="DE116" s="28">
        <f>IF(DE114=1,IF(INDEX('Lease Cycles'!$EF$14:$EL$14,1,DE112)=1,'Lease Cycles'!$C$14*INDEX('Lease Cycles'!$ET$14:$EZ$14,1,DE112)*(1+'Lease Cycles'!$V$14)^INT(INT(DE113/12)/'Lease Cycles'!$W$14)/12,0),0)</f>
        <v>0</v>
      </c>
      <c r="DF116" s="28">
        <f>IF(DF114=1,IF(INDEX('Lease Cycles'!$EF$14:$EL$14,1,DF112)=1,'Lease Cycles'!$C$14*INDEX('Lease Cycles'!$ET$14:$EZ$14,1,DF112)*(1+'Lease Cycles'!$V$14)^INT(INT(DF113/12)/'Lease Cycles'!$W$14)/12,0),0)</f>
        <v>0</v>
      </c>
      <c r="DG116" s="28">
        <f>IF(DG114=1,IF(INDEX('Lease Cycles'!$EF$14:$EL$14,1,DG112)=1,'Lease Cycles'!$C$14*INDEX('Lease Cycles'!$ET$14:$EZ$14,1,DG112)*(1+'Lease Cycles'!$V$14)^INT(INT(DG113/12)/'Lease Cycles'!$W$14)/12,0),0)</f>
        <v>0</v>
      </c>
      <c r="DH116" s="28">
        <f>IF(DH114=1,IF(INDEX('Lease Cycles'!$EF$14:$EL$14,1,DH112)=1,'Lease Cycles'!$C$14*INDEX('Lease Cycles'!$ET$14:$EZ$14,1,DH112)*(1+'Lease Cycles'!$V$14)^INT(INT(DH113/12)/'Lease Cycles'!$W$14)/12,0),0)</f>
        <v>0</v>
      </c>
      <c r="DI116" s="28">
        <f>IF(DI114=1,IF(INDEX('Lease Cycles'!$EF$14:$EL$14,1,DI112)=1,'Lease Cycles'!$C$14*INDEX('Lease Cycles'!$ET$14:$EZ$14,1,DI112)*(1+'Lease Cycles'!$V$14)^INT(INT(DI113/12)/'Lease Cycles'!$W$14)/12,0),0)</f>
        <v>0</v>
      </c>
      <c r="DJ116" s="28">
        <f>IF(DJ114=1,IF(INDEX('Lease Cycles'!$EF$14:$EL$14,1,DJ112)=1,'Lease Cycles'!$C$14*INDEX('Lease Cycles'!$ET$14:$EZ$14,1,DJ112)*(1+'Lease Cycles'!$V$14)^INT(INT(DJ113/12)/'Lease Cycles'!$W$14)/12,0),0)</f>
        <v>0</v>
      </c>
      <c r="DK116" s="28">
        <f>IF(DK114=1,IF(INDEX('Lease Cycles'!$EF$14:$EL$14,1,DK112)=1,'Lease Cycles'!$C$14*INDEX('Lease Cycles'!$ET$14:$EZ$14,1,DK112)*(1+'Lease Cycles'!$V$14)^INT(INT(DK113/12)/'Lease Cycles'!$W$14)/12,0),0)</f>
        <v>0</v>
      </c>
      <c r="DL116" s="28">
        <f>IF(DL114=1,IF(INDEX('Lease Cycles'!$EF$14:$EL$14,1,DL112)=1,'Lease Cycles'!$C$14*INDEX('Lease Cycles'!$ET$14:$EZ$14,1,DL112)*(1+'Lease Cycles'!$V$14)^INT(INT(DL113/12)/'Lease Cycles'!$W$14)/12,0),0)</f>
        <v>0</v>
      </c>
      <c r="DM116" s="28">
        <f>IF(DM114=1,IF(INDEX('Lease Cycles'!$EF$14:$EL$14,1,DM112)=1,'Lease Cycles'!$C$14*INDEX('Lease Cycles'!$ET$14:$EZ$14,1,DM112)*(1+'Lease Cycles'!$V$14)^INT(INT(DM113/12)/'Lease Cycles'!$W$14)/12,0),0)</f>
        <v>0</v>
      </c>
      <c r="DN116" s="28">
        <f>IF(DN114=1,IF(INDEX('Lease Cycles'!$EF$14:$EL$14,1,DN112)=1,'Lease Cycles'!$C$14*INDEX('Lease Cycles'!$ET$14:$EZ$14,1,DN112)*(1+'Lease Cycles'!$V$14)^INT(INT(DN113/12)/'Lease Cycles'!$W$14)/12,0),0)</f>
        <v>0</v>
      </c>
      <c r="DO116" s="28">
        <f>IF(DO114=1,IF(INDEX('Lease Cycles'!$EF$14:$EL$14,1,DO112)=1,'Lease Cycles'!$C$14*INDEX('Lease Cycles'!$ET$14:$EZ$14,1,DO112)*(1+'Lease Cycles'!$V$14)^INT(INT(DO113/12)/'Lease Cycles'!$W$14)/12,0),0)</f>
        <v>0</v>
      </c>
      <c r="DP116" s="28">
        <f>IF(DP114=1,IF(INDEX('Lease Cycles'!$EF$14:$EL$14,1,DP112)=1,'Lease Cycles'!$C$14*INDEX('Lease Cycles'!$ET$14:$EZ$14,1,DP112)*(1+'Lease Cycles'!$V$14)^INT(INT(DP113/12)/'Lease Cycles'!$W$14)/12,0),0)</f>
        <v>0</v>
      </c>
      <c r="DQ116" s="28">
        <f>IF(DQ114=1,IF(INDEX('Lease Cycles'!$EF$14:$EL$14,1,DQ112)=1,'Lease Cycles'!$C$14*INDEX('Lease Cycles'!$ET$14:$EZ$14,1,DQ112)*(1+'Lease Cycles'!$V$14)^INT(INT(DQ113/12)/'Lease Cycles'!$W$14)/12,0),0)</f>
        <v>0</v>
      </c>
      <c r="DR116" s="28">
        <f>IF(DR114=1,IF(INDEX('Lease Cycles'!$EF$14:$EL$14,1,DR112)=1,'Lease Cycles'!$C$14*INDEX('Lease Cycles'!$ET$14:$EZ$14,1,DR112)*(1+'Lease Cycles'!$V$14)^INT(INT(DR113/12)/'Lease Cycles'!$W$14)/12,0),0)</f>
        <v>0</v>
      </c>
      <c r="DS116" s="28">
        <f>IF(DS114=1,IF(INDEX('Lease Cycles'!$EF$14:$EL$14,1,DS112)=1,'Lease Cycles'!$C$14*INDEX('Lease Cycles'!$ET$14:$EZ$14,1,DS112)*(1+'Lease Cycles'!$V$14)^INT(INT(DS113/12)/'Lease Cycles'!$W$14)/12,0),0)</f>
        <v>0</v>
      </c>
      <c r="DT116" s="28">
        <f>IF(DT114=1,IF(INDEX('Lease Cycles'!$EF$14:$EL$14,1,DT112)=1,'Lease Cycles'!$C$14*INDEX('Lease Cycles'!$ET$14:$EZ$14,1,DT112)*(1+'Lease Cycles'!$V$14)^INT(INT(DT113/12)/'Lease Cycles'!$W$14)/12,0),0)</f>
        <v>0</v>
      </c>
      <c r="DU116" s="28">
        <f>IF(DU114=1,IF(INDEX('Lease Cycles'!$EF$14:$EL$14,1,DU112)=1,'Lease Cycles'!$C$14*INDEX('Lease Cycles'!$ET$14:$EZ$14,1,DU112)*(1+'Lease Cycles'!$V$14)^INT(INT(DU113/12)/'Lease Cycles'!$W$14)/12,0),0)</f>
        <v>0</v>
      </c>
      <c r="DV116" s="28">
        <f>IF(DV114=1,IF(INDEX('Lease Cycles'!$EF$14:$EL$14,1,DV112)=1,'Lease Cycles'!$C$14*INDEX('Lease Cycles'!$ET$14:$EZ$14,1,DV112)*(1+'Lease Cycles'!$V$14)^INT(INT(DV113/12)/'Lease Cycles'!$W$14)/12,0),0)</f>
        <v>0</v>
      </c>
      <c r="DW116" s="28">
        <f>IF(DW114=1,IF(INDEX('Lease Cycles'!$EF$14:$EL$14,1,DW112)=1,'Lease Cycles'!$C$14*INDEX('Lease Cycles'!$ET$14:$EZ$14,1,DW112)*(1+'Lease Cycles'!$V$14)^INT(INT(DW113/12)/'Lease Cycles'!$W$14)/12,0),0)</f>
        <v>0</v>
      </c>
      <c r="DX116" s="28">
        <f>IF(DX114=1,IF(INDEX('Lease Cycles'!$EF$14:$EL$14,1,DX112)=1,'Lease Cycles'!$C$14*INDEX('Lease Cycles'!$ET$14:$EZ$14,1,DX112)*(1+'Lease Cycles'!$V$14)^INT(INT(DX113/12)/'Lease Cycles'!$W$14)/12,0),0)</f>
        <v>0</v>
      </c>
      <c r="DY116" s="28">
        <f>IF(DY114=1,IF(INDEX('Lease Cycles'!$EF$14:$EL$14,1,DY112)=1,'Lease Cycles'!$C$14*INDEX('Lease Cycles'!$ET$14:$EZ$14,1,DY112)*(1+'Lease Cycles'!$V$14)^INT(INT(DY113/12)/'Lease Cycles'!$W$14)/12,0),0)</f>
        <v>0</v>
      </c>
      <c r="DZ116" s="28">
        <f>IF(DZ114=1,IF(INDEX('Lease Cycles'!$EF$14:$EL$14,1,DZ112)=1,'Lease Cycles'!$C$14*INDEX('Lease Cycles'!$ET$14:$EZ$14,1,DZ112)*(1+'Lease Cycles'!$V$14)^INT(INT(DZ113/12)/'Lease Cycles'!$W$14)/12,0),0)</f>
        <v>0</v>
      </c>
      <c r="EA116" s="28">
        <f>IF(EA114=1,IF(INDEX('Lease Cycles'!$EF$14:$EL$14,1,EA112)=1,'Lease Cycles'!$C$14*INDEX('Lease Cycles'!$ET$14:$EZ$14,1,EA112)*(1+'Lease Cycles'!$V$14)^INT(INT(EA113/12)/'Lease Cycles'!$W$14)/12,0),0)</f>
        <v>0</v>
      </c>
      <c r="EB116" s="28">
        <f>IF(EB114=1,IF(INDEX('Lease Cycles'!$EF$14:$EL$14,1,EB112)=1,'Lease Cycles'!$C$14*INDEX('Lease Cycles'!$ET$14:$EZ$14,1,EB112)*(1+'Lease Cycles'!$V$14)^INT(INT(EB113/12)/'Lease Cycles'!$W$14)/12,0),0)</f>
        <v>0</v>
      </c>
      <c r="EC116" s="28">
        <f>IF(EC114=1,IF(INDEX('Lease Cycles'!$EF$14:$EL$14,1,EC112)=1,'Lease Cycles'!$C$14*INDEX('Lease Cycles'!$ET$14:$EZ$14,1,EC112)*(1+'Lease Cycles'!$V$14)^INT(INT(EC113/12)/'Lease Cycles'!$W$14)/12,0),0)</f>
        <v>0</v>
      </c>
      <c r="ED116" s="28">
        <f>IF(ED114=1,IF(INDEX('Lease Cycles'!$EF$14:$EL$14,1,ED112)=1,'Lease Cycles'!$C$14*INDEX('Lease Cycles'!$ET$14:$EZ$14,1,ED112)*(1+'Lease Cycles'!$V$14)^INT(INT(ED113/12)/'Lease Cycles'!$W$14)/12,0),0)</f>
        <v>0</v>
      </c>
      <c r="EE116" s="28">
        <f>IF(EE114=1,IF(INDEX('Lease Cycles'!$EF$14:$EL$14,1,EE112)=1,'Lease Cycles'!$C$14*INDEX('Lease Cycles'!$ET$14:$EZ$14,1,EE112)*(1+'Lease Cycles'!$V$14)^INT(INT(EE113/12)/'Lease Cycles'!$W$14)/12,0),0)</f>
        <v>0</v>
      </c>
      <c r="EF116" s="28">
        <f>IF(EF114=1,IF(INDEX('Lease Cycles'!$EF$14:$EL$14,1,EF112)=1,'Lease Cycles'!$C$14*INDEX('Lease Cycles'!$ET$14:$EZ$14,1,EF112)*(1+'Lease Cycles'!$V$14)^INT(INT(EF113/12)/'Lease Cycles'!$W$14)/12,0),0)</f>
        <v>0</v>
      </c>
      <c r="EG116" s="28">
        <f>IF(EG114=1,IF(INDEX('Lease Cycles'!$EF$14:$EL$14,1,EG112)=1,'Lease Cycles'!$C$14*INDEX('Lease Cycles'!$ET$14:$EZ$14,1,EG112)*(1+'Lease Cycles'!$V$14)^INT(INT(EG113/12)/'Lease Cycles'!$W$14)/12,0),0)</f>
        <v>0</v>
      </c>
      <c r="EH116" s="28">
        <f>IF(EH114=1,IF(INDEX('Lease Cycles'!$EF$14:$EL$14,1,EH112)=1,'Lease Cycles'!$C$14*INDEX('Lease Cycles'!$ET$14:$EZ$14,1,EH112)*(1+'Lease Cycles'!$V$14)^INT(INT(EH113/12)/'Lease Cycles'!$W$14)/12,0),0)</f>
        <v>0</v>
      </c>
      <c r="EI116" s="28">
        <f>IF(EI114=1,IF(INDEX('Lease Cycles'!$EF$14:$EL$14,1,EI112)=1,'Lease Cycles'!$C$14*INDEX('Lease Cycles'!$ET$14:$EZ$14,1,EI112)*(1+'Lease Cycles'!$V$14)^INT(INT(EI113/12)/'Lease Cycles'!$W$14)/12,0),0)</f>
        <v>0</v>
      </c>
      <c r="EJ116" s="28">
        <f>IF(EJ114=1,IF(INDEX('Lease Cycles'!$EF$14:$EL$14,1,EJ112)=1,'Lease Cycles'!$C$14*INDEX('Lease Cycles'!$ET$14:$EZ$14,1,EJ112)*(1+'Lease Cycles'!$V$14)^INT(INT(EJ113/12)/'Lease Cycles'!$W$14)/12,0),0)</f>
        <v>0</v>
      </c>
      <c r="EK116" s="28">
        <f>IF(EK114=1,IF(INDEX('Lease Cycles'!$EF$14:$EL$14,1,EK112)=1,'Lease Cycles'!$C$14*INDEX('Lease Cycles'!$ET$14:$EZ$14,1,EK112)*(1+'Lease Cycles'!$V$14)^INT(INT(EK113/12)/'Lease Cycles'!$W$14)/12,0),0)</f>
        <v>0</v>
      </c>
      <c r="EL116" s="28">
        <f>IF(EL114=1,IF(INDEX('Lease Cycles'!$EF$14:$EL$14,1,EL112)=1,'Lease Cycles'!$C$14*INDEX('Lease Cycles'!$ET$14:$EZ$14,1,EL112)*(1+'Lease Cycles'!$V$14)^INT(INT(EL113/12)/'Lease Cycles'!$W$14)/12,0),0)</f>
        <v>0</v>
      </c>
      <c r="EM116" s="28">
        <f>IF(EM114=1,IF(INDEX('Lease Cycles'!$EF$14:$EL$14,1,EM112)=1,'Lease Cycles'!$C$14*INDEX('Lease Cycles'!$ET$14:$EZ$14,1,EM112)*(1+'Lease Cycles'!$V$14)^INT(INT(EM113/12)/'Lease Cycles'!$W$14)/12,0),0)</f>
        <v>0</v>
      </c>
      <c r="EN116" s="28">
        <f>IF(EN114=1,IF(INDEX('Lease Cycles'!$EF$14:$EL$14,1,EN112)=1,'Lease Cycles'!$C$14*INDEX('Lease Cycles'!$ET$14:$EZ$14,1,EN112)*(1+'Lease Cycles'!$V$14)^INT(INT(EN113/12)/'Lease Cycles'!$W$14)/12,0),0)</f>
        <v>0</v>
      </c>
      <c r="EO116" s="28">
        <f>IF(EO114=1,IF(INDEX('Lease Cycles'!$EF$14:$EL$14,1,EO112)=1,'Lease Cycles'!$C$14*INDEX('Lease Cycles'!$ET$14:$EZ$14,1,EO112)*(1+'Lease Cycles'!$V$14)^INT(INT(EO113/12)/'Lease Cycles'!$W$14)/12,0),0)</f>
        <v>0</v>
      </c>
      <c r="EP116" s="28">
        <f>IF(EP114=1,IF(INDEX('Lease Cycles'!$EF$14:$EL$14,1,EP112)=1,'Lease Cycles'!$C$14*INDEX('Lease Cycles'!$ET$14:$EZ$14,1,EP112)*(1+'Lease Cycles'!$V$14)^INT(INT(EP113/12)/'Lease Cycles'!$W$14)/12,0),0)</f>
        <v>0</v>
      </c>
      <c r="EQ116" s="28">
        <f>IF(EQ114=1,IF(INDEX('Lease Cycles'!$EF$14:$EL$14,1,EQ112)=1,'Lease Cycles'!$C$14*INDEX('Lease Cycles'!$ET$14:$EZ$14,1,EQ112)*(1+'Lease Cycles'!$V$14)^INT(INT(EQ113/12)/'Lease Cycles'!$W$14)/12,0),0)</f>
        <v>0</v>
      </c>
      <c r="ER116" s="28">
        <f>IF(ER114=1,IF(INDEX('Lease Cycles'!$EF$14:$EL$14,1,ER112)=1,'Lease Cycles'!$C$14*INDEX('Lease Cycles'!$ET$14:$EZ$14,1,ER112)*(1+'Lease Cycles'!$V$14)^INT(INT(ER113/12)/'Lease Cycles'!$W$14)/12,0),0)</f>
        <v>0</v>
      </c>
      <c r="ES116" s="28">
        <f>IF(ES114=1,IF(INDEX('Lease Cycles'!$EF$14:$EL$14,1,ES112)=1,'Lease Cycles'!$C$14*INDEX('Lease Cycles'!$ET$14:$EZ$14,1,ES112)*(1+'Lease Cycles'!$V$14)^INT(INT(ES113/12)/'Lease Cycles'!$W$14)/12,0),0)</f>
        <v>0</v>
      </c>
      <c r="ET116" s="28">
        <f>IF(ET114=1,IF(INDEX('Lease Cycles'!$EF$14:$EL$14,1,ET112)=1,'Lease Cycles'!$C$14*INDEX('Lease Cycles'!$ET$14:$EZ$14,1,ET112)*(1+'Lease Cycles'!$V$14)^INT(INT(ET113/12)/'Lease Cycles'!$W$14)/12,0),0)</f>
        <v>0</v>
      </c>
    </row>
    <row r="117">
      <c r="A117" s="103">
        <v>7</v>
      </c>
      <c r="B117" s="23" t="str">
        <f>IF('Lease Cycles'!$B$14="","(empty slot)",'Lease Cycles'!$B$14)</f>
        <v>Sunfield Nails</v>
      </c>
      <c r="C117" s="23" t="s">
        <v>681</v>
      </c>
      <c r="D117" s="104" t="s">
        <v>490</v>
      </c>
      <c r="E117" s="25">
        <f>'Lease Cycles'!$AL$14</f>
        <v>0</v>
      </c>
      <c r="G117" s="28">
        <f>SUM(S117:AD117)</f>
        <v>39200</v>
      </c>
      <c r="H117" s="28">
        <f>SUM(AE117:AP117)</f>
        <v>39200</v>
      </c>
      <c r="I117" s="28">
        <f>SUM(AQ117:BB117)</f>
        <v>31790.89816559828</v>
      </c>
      <c r="J117" s="28">
        <f>SUM(BC117:BN117)</f>
        <v>28304.367873663283</v>
      </c>
      <c r="K117" s="28">
        <f>SUM(BO117:BZ117)</f>
        <v>29153.49890987318</v>
      </c>
      <c r="L117" s="28">
        <f>SUM(CA117:CL117)</f>
        <v>30028.10387716938</v>
      </c>
      <c r="M117" s="28">
        <f>SUM(CM117:CX117)</f>
        <v>30928.94699348446</v>
      </c>
      <c r="N117" s="28">
        <f>SUM(CY117:DJ117)</f>
        <v>31856.815403288994</v>
      </c>
      <c r="O117" s="28">
        <f>SUM(DK117:DV117)</f>
        <v>32812.519865387665</v>
      </c>
      <c r="P117" s="28">
        <f>SUM(DW117:EH117)</f>
        <v>36398.72881903487</v>
      </c>
      <c r="Q117" s="28">
        <f>SUM(EI117:ET117)</f>
        <v>34810.82452186992</v>
      </c>
      <c r="S117" s="28">
        <f>IF(S114=1,IF(INDEX('Lease Cycles'!$EF$14:$EL$14,1,S112)=1,S115*INDEX('Lease Cycles'!$EM$14:$ES$14,1,S112)+S116*(1-INDEX('Lease Cycles'!$EM$14:$ES$14,1,S112)),S115),S115)</f>
        <v>3266.6666666666665</v>
      </c>
      <c r="T117" s="28">
        <f>IF(T114=1,IF(INDEX('Lease Cycles'!$EF$14:$EL$14,1,T112)=1,T115*INDEX('Lease Cycles'!$EM$14:$ES$14,1,T112)+T116*(1-INDEX('Lease Cycles'!$EM$14:$ES$14,1,T112)),T115),T115)</f>
        <v>3266.6666666666665</v>
      </c>
      <c r="U117" s="28">
        <f>IF(U114=1,IF(INDEX('Lease Cycles'!$EF$14:$EL$14,1,U112)=1,U115*INDEX('Lease Cycles'!$EM$14:$ES$14,1,U112)+U116*(1-INDEX('Lease Cycles'!$EM$14:$ES$14,1,U112)),U115),U115)</f>
        <v>3266.6666666666665</v>
      </c>
      <c r="V117" s="28">
        <f>IF(V114=1,IF(INDEX('Lease Cycles'!$EF$14:$EL$14,1,V112)=1,V115*INDEX('Lease Cycles'!$EM$14:$ES$14,1,V112)+V116*(1-INDEX('Lease Cycles'!$EM$14:$ES$14,1,V112)),V115),V115)</f>
        <v>3266.6666666666665</v>
      </c>
      <c r="W117" s="28">
        <f>IF(W114=1,IF(INDEX('Lease Cycles'!$EF$14:$EL$14,1,W112)=1,W115*INDEX('Lease Cycles'!$EM$14:$ES$14,1,W112)+W116*(1-INDEX('Lease Cycles'!$EM$14:$ES$14,1,W112)),W115),W115)</f>
        <v>3266.6666666666665</v>
      </c>
      <c r="X117" s="28">
        <f>IF(X114=1,IF(INDEX('Lease Cycles'!$EF$14:$EL$14,1,X112)=1,X115*INDEX('Lease Cycles'!$EM$14:$ES$14,1,X112)+X116*(1-INDEX('Lease Cycles'!$EM$14:$ES$14,1,X112)),X115),X115)</f>
        <v>3266.6666666666665</v>
      </c>
      <c r="Y117" s="28">
        <f>IF(Y114=1,IF(INDEX('Lease Cycles'!$EF$14:$EL$14,1,Y112)=1,Y115*INDEX('Lease Cycles'!$EM$14:$ES$14,1,Y112)+Y116*(1-INDEX('Lease Cycles'!$EM$14:$ES$14,1,Y112)),Y115),Y115)</f>
        <v>3266.6666666666665</v>
      </c>
      <c r="Z117" s="28">
        <f>IF(Z114=1,IF(INDEX('Lease Cycles'!$EF$14:$EL$14,1,Z112)=1,Z115*INDEX('Lease Cycles'!$EM$14:$ES$14,1,Z112)+Z116*(1-INDEX('Lease Cycles'!$EM$14:$ES$14,1,Z112)),Z115),Z115)</f>
        <v>3266.6666666666665</v>
      </c>
      <c r="AA117" s="28">
        <f>IF(AA114=1,IF(INDEX('Lease Cycles'!$EF$14:$EL$14,1,AA112)=1,AA115*INDEX('Lease Cycles'!$EM$14:$ES$14,1,AA112)+AA116*(1-INDEX('Lease Cycles'!$EM$14:$ES$14,1,AA112)),AA115),AA115)</f>
        <v>3266.6666666666665</v>
      </c>
      <c r="AB117" s="28">
        <f>IF(AB114=1,IF(INDEX('Lease Cycles'!$EF$14:$EL$14,1,AB112)=1,AB115*INDEX('Lease Cycles'!$EM$14:$ES$14,1,AB112)+AB116*(1-INDEX('Lease Cycles'!$EM$14:$ES$14,1,AB112)),AB115),AB115)</f>
        <v>3266.6666666666665</v>
      </c>
      <c r="AC117" s="28">
        <f>IF(AC114=1,IF(INDEX('Lease Cycles'!$EF$14:$EL$14,1,AC112)=1,AC115*INDEX('Lease Cycles'!$EM$14:$ES$14,1,AC112)+AC116*(1-INDEX('Lease Cycles'!$EM$14:$ES$14,1,AC112)),AC115),AC115)</f>
        <v>3266.6666666666665</v>
      </c>
      <c r="AD117" s="28">
        <f>IF(AD114=1,IF(INDEX('Lease Cycles'!$EF$14:$EL$14,1,AD112)=1,AD115*INDEX('Lease Cycles'!$EM$14:$ES$14,1,AD112)+AD116*(1-INDEX('Lease Cycles'!$EM$14:$ES$14,1,AD112)),AD115),AD115)</f>
        <v>3266.6666666666665</v>
      </c>
      <c r="AE117" s="28">
        <f>IF(AE114=1,IF(INDEX('Lease Cycles'!$EF$14:$EL$14,1,AE112)=1,AE115*INDEX('Lease Cycles'!$EM$14:$ES$14,1,AE112)+AE116*(1-INDEX('Lease Cycles'!$EM$14:$ES$14,1,AE112)),AE115),AE115)</f>
        <v>3266.6666666666665</v>
      </c>
      <c r="AF117" s="28">
        <f>IF(AF114=1,IF(INDEX('Lease Cycles'!$EF$14:$EL$14,1,AF112)=1,AF115*INDEX('Lease Cycles'!$EM$14:$ES$14,1,AF112)+AF116*(1-INDEX('Lease Cycles'!$EM$14:$ES$14,1,AF112)),AF115),AF115)</f>
        <v>3266.6666666666665</v>
      </c>
      <c r="AG117" s="28">
        <f>IF(AG114=1,IF(INDEX('Lease Cycles'!$EF$14:$EL$14,1,AG112)=1,AG115*INDEX('Lease Cycles'!$EM$14:$ES$14,1,AG112)+AG116*(1-INDEX('Lease Cycles'!$EM$14:$ES$14,1,AG112)),AG115),AG115)</f>
        <v>3266.6666666666665</v>
      </c>
      <c r="AH117" s="28">
        <f>IF(AH114=1,IF(INDEX('Lease Cycles'!$EF$14:$EL$14,1,AH112)=1,AH115*INDEX('Lease Cycles'!$EM$14:$ES$14,1,AH112)+AH116*(1-INDEX('Lease Cycles'!$EM$14:$ES$14,1,AH112)),AH115),AH115)</f>
        <v>3266.6666666666665</v>
      </c>
      <c r="AI117" s="28">
        <f>IF(AI114=1,IF(INDEX('Lease Cycles'!$EF$14:$EL$14,1,AI112)=1,AI115*INDEX('Lease Cycles'!$EM$14:$ES$14,1,AI112)+AI116*(1-INDEX('Lease Cycles'!$EM$14:$ES$14,1,AI112)),AI115),AI115)</f>
        <v>3266.6666666666665</v>
      </c>
      <c r="AJ117" s="28">
        <f>IF(AJ114=1,IF(INDEX('Lease Cycles'!$EF$14:$EL$14,1,AJ112)=1,AJ115*INDEX('Lease Cycles'!$EM$14:$ES$14,1,AJ112)+AJ116*(1-INDEX('Lease Cycles'!$EM$14:$ES$14,1,AJ112)),AJ115),AJ115)</f>
        <v>3266.6666666666665</v>
      </c>
      <c r="AK117" s="28">
        <f>IF(AK114=1,IF(INDEX('Lease Cycles'!$EF$14:$EL$14,1,AK112)=1,AK115*INDEX('Lease Cycles'!$EM$14:$ES$14,1,AK112)+AK116*(1-INDEX('Lease Cycles'!$EM$14:$ES$14,1,AK112)),AK115),AK115)</f>
        <v>3266.6666666666665</v>
      </c>
      <c r="AL117" s="28">
        <f>IF(AL114=1,IF(INDEX('Lease Cycles'!$EF$14:$EL$14,1,AL112)=1,AL115*INDEX('Lease Cycles'!$EM$14:$ES$14,1,AL112)+AL116*(1-INDEX('Lease Cycles'!$EM$14:$ES$14,1,AL112)),AL115),AL115)</f>
        <v>3266.6666666666665</v>
      </c>
      <c r="AM117" s="28">
        <f>IF(AM114=1,IF(INDEX('Lease Cycles'!$EF$14:$EL$14,1,AM112)=1,AM115*INDEX('Lease Cycles'!$EM$14:$ES$14,1,AM112)+AM116*(1-INDEX('Lease Cycles'!$EM$14:$ES$14,1,AM112)),AM115),AM115)</f>
        <v>3266.6666666666665</v>
      </c>
      <c r="AN117" s="28">
        <f>IF(AN114=1,IF(INDEX('Lease Cycles'!$EF$14:$EL$14,1,AN112)=1,AN115*INDEX('Lease Cycles'!$EM$14:$ES$14,1,AN112)+AN116*(1-INDEX('Lease Cycles'!$EM$14:$ES$14,1,AN112)),AN115),AN115)</f>
        <v>3266.6666666666665</v>
      </c>
      <c r="AO117" s="28">
        <f>IF(AO114=1,IF(INDEX('Lease Cycles'!$EF$14:$EL$14,1,AO112)=1,AO115*INDEX('Lease Cycles'!$EM$14:$ES$14,1,AO112)+AO116*(1-INDEX('Lease Cycles'!$EM$14:$ES$14,1,AO112)),AO115),AO115)</f>
        <v>3266.6666666666665</v>
      </c>
      <c r="AP117" s="28">
        <f>IF(AP114=1,IF(INDEX('Lease Cycles'!$EF$14:$EL$14,1,AP112)=1,AP115*INDEX('Lease Cycles'!$EM$14:$ES$14,1,AP112)+AP116*(1-INDEX('Lease Cycles'!$EM$14:$ES$14,1,AP112)),AP115),AP115)</f>
        <v>3266.6666666666665</v>
      </c>
      <c r="AQ117" s="28">
        <f>IF(AQ114=1,IF(INDEX('Lease Cycles'!$EF$14:$EL$14,1,AQ112)=1,AQ115*INDEX('Lease Cycles'!$EM$14:$ES$14,1,AQ112)+AQ116*(1-INDEX('Lease Cycles'!$EM$14:$ES$14,1,AQ112)),AQ115),AQ115)</f>
        <v>3266.6666666666665</v>
      </c>
      <c r="AR117" s="28">
        <f>IF(AR114=1,IF(INDEX('Lease Cycles'!$EF$14:$EL$14,1,AR112)=1,AR115*INDEX('Lease Cycles'!$EM$14:$ES$14,1,AR112)+AR116*(1-INDEX('Lease Cycles'!$EM$14:$ES$14,1,AR112)),AR115),AR115)</f>
        <v>3266.6666666666665</v>
      </c>
      <c r="AS117" s="28">
        <f>IF(AS114=1,IF(INDEX('Lease Cycles'!$EF$14:$EL$14,1,AS112)=1,AS115*INDEX('Lease Cycles'!$EM$14:$ES$14,1,AS112)+AS116*(1-INDEX('Lease Cycles'!$EM$14:$ES$14,1,AS112)),AS115),AS115)</f>
        <v>3266.6666666666665</v>
      </c>
      <c r="AT117" s="28">
        <f>IF(AT114=1,IF(INDEX('Lease Cycles'!$EF$14:$EL$14,1,AT112)=1,AT115*INDEX('Lease Cycles'!$EM$14:$ES$14,1,AT112)+AT116*(1-INDEX('Lease Cycles'!$EM$14:$ES$14,1,AT112)),AT115),AT115)</f>
        <v>3491.311320066723</v>
      </c>
      <c r="AU117" s="28">
        <f>IF(AU114=1,IF(INDEX('Lease Cycles'!$EF$14:$EL$14,1,AU112)=1,AU115*INDEX('Lease Cycles'!$EM$14:$ES$14,1,AU112)+AU116*(1-INDEX('Lease Cycles'!$EM$14:$ES$14,1,AU112)),AU115),AU115)</f>
        <v>2312.4483556914447</v>
      </c>
      <c r="AV117" s="28">
        <f>IF(AV114=1,IF(INDEX('Lease Cycles'!$EF$14:$EL$14,1,AV112)=1,AV115*INDEX('Lease Cycles'!$EM$14:$ES$14,1,AV112)+AV116*(1-INDEX('Lease Cycles'!$EM$14:$ES$14,1,AV112)),AV115),AV115)</f>
        <v>2312.4483556914447</v>
      </c>
      <c r="AW117" s="28">
        <f>IF(AW114=1,IF(INDEX('Lease Cycles'!$EF$14:$EL$14,1,AW112)=1,AW115*INDEX('Lease Cycles'!$EM$14:$ES$14,1,AW112)+AW116*(1-INDEX('Lease Cycles'!$EM$14:$ES$14,1,AW112)),AW115),AW115)</f>
        <v>2312.4483556914447</v>
      </c>
      <c r="AX117" s="28">
        <f>IF(AX114=1,IF(INDEX('Lease Cycles'!$EF$14:$EL$14,1,AX112)=1,AX115*INDEX('Lease Cycles'!$EM$14:$ES$14,1,AX112)+AX116*(1-INDEX('Lease Cycles'!$EM$14:$ES$14,1,AX112)),AX115),AX115)</f>
        <v>2312.4483556914447</v>
      </c>
      <c r="AY117" s="28">
        <f>IF(AY114=1,IF(INDEX('Lease Cycles'!$EF$14:$EL$14,1,AY112)=1,AY115*INDEX('Lease Cycles'!$EM$14:$ES$14,1,AY112)+AY116*(1-INDEX('Lease Cycles'!$EM$14:$ES$14,1,AY112)),AY115),AY115)</f>
        <v>2312.4483556914447</v>
      </c>
      <c r="AZ117" s="28">
        <f>IF(AZ114=1,IF(INDEX('Lease Cycles'!$EF$14:$EL$14,1,AZ112)=1,AZ115*INDEX('Lease Cycles'!$EM$14:$ES$14,1,AZ112)+AZ116*(1-INDEX('Lease Cycles'!$EM$14:$ES$14,1,AZ112)),AZ115),AZ115)</f>
        <v>2312.4483556914447</v>
      </c>
      <c r="BA117" s="28">
        <f>IF(BA114=1,IF(INDEX('Lease Cycles'!$EF$14:$EL$14,1,BA112)=1,BA115*INDEX('Lease Cycles'!$EM$14:$ES$14,1,BA112)+BA116*(1-INDEX('Lease Cycles'!$EM$14:$ES$14,1,BA112)),BA115),BA115)</f>
        <v>2312.4483556914447</v>
      </c>
      <c r="BB117" s="28">
        <f>IF(BB114=1,IF(INDEX('Lease Cycles'!$EF$14:$EL$14,1,BB112)=1,BB115*INDEX('Lease Cycles'!$EM$14:$ES$14,1,BB112)+BB116*(1-INDEX('Lease Cycles'!$EM$14:$ES$14,1,BB112)),BB115),BB115)</f>
        <v>2312.4483556914447</v>
      </c>
      <c r="BC117" s="28">
        <f>IF(BC114=1,IF(INDEX('Lease Cycles'!$EF$14:$EL$14,1,BC112)=1,BC115*INDEX('Lease Cycles'!$EM$14:$ES$14,1,BC112)+BC116*(1-INDEX('Lease Cycles'!$EM$14:$ES$14,1,BC112)),BC115),BC115)</f>
        <v>2312.4483556914447</v>
      </c>
      <c r="BD117" s="28">
        <f>IF(BD114=1,IF(INDEX('Lease Cycles'!$EF$14:$EL$14,1,BD112)=1,BD115*INDEX('Lease Cycles'!$EM$14:$ES$14,1,BD112)+BD116*(1-INDEX('Lease Cycles'!$EM$14:$ES$14,1,BD112)),BD115),BD115)</f>
        <v>2312.4483556914447</v>
      </c>
      <c r="BE117" s="28">
        <f>IF(BE114=1,IF(INDEX('Lease Cycles'!$EF$14:$EL$14,1,BE112)=1,BE115*INDEX('Lease Cycles'!$EM$14:$ES$14,1,BE112)+BE116*(1-INDEX('Lease Cycles'!$EM$14:$ES$14,1,BE112)),BE115),BE115)</f>
        <v>2312.4483556914447</v>
      </c>
      <c r="BF117" s="28">
        <f>IF(BF114=1,IF(INDEX('Lease Cycles'!$EF$14:$EL$14,1,BF112)=1,BF115*INDEX('Lease Cycles'!$EM$14:$ES$14,1,BF112)+BF116*(1-INDEX('Lease Cycles'!$EM$14:$ES$14,1,BF112)),BF115),BF115)</f>
        <v>2312.4483556914447</v>
      </c>
      <c r="BG117" s="28">
        <f>IF(BG114=1,IF(INDEX('Lease Cycles'!$EF$14:$EL$14,1,BG112)=1,BG115*INDEX('Lease Cycles'!$EM$14:$ES$14,1,BG112)+BG116*(1-INDEX('Lease Cycles'!$EM$14:$ES$14,1,BG112)),BG115),BG115)</f>
        <v>2381.821806362188</v>
      </c>
      <c r="BH117" s="28">
        <f>IF(BH114=1,IF(INDEX('Lease Cycles'!$EF$14:$EL$14,1,BH112)=1,BH115*INDEX('Lease Cycles'!$EM$14:$ES$14,1,BH112)+BH116*(1-INDEX('Lease Cycles'!$EM$14:$ES$14,1,BH112)),BH115),BH115)</f>
        <v>2381.821806362188</v>
      </c>
      <c r="BI117" s="28">
        <f>IF(BI114=1,IF(INDEX('Lease Cycles'!$EF$14:$EL$14,1,BI112)=1,BI115*INDEX('Lease Cycles'!$EM$14:$ES$14,1,BI112)+BI116*(1-INDEX('Lease Cycles'!$EM$14:$ES$14,1,BI112)),BI115),BI115)</f>
        <v>2381.821806362188</v>
      </c>
      <c r="BJ117" s="28">
        <f>IF(BJ114=1,IF(INDEX('Lease Cycles'!$EF$14:$EL$14,1,BJ112)=1,BJ115*INDEX('Lease Cycles'!$EM$14:$ES$14,1,BJ112)+BJ116*(1-INDEX('Lease Cycles'!$EM$14:$ES$14,1,BJ112)),BJ115),BJ115)</f>
        <v>2381.821806362188</v>
      </c>
      <c r="BK117" s="28">
        <f>IF(BK114=1,IF(INDEX('Lease Cycles'!$EF$14:$EL$14,1,BK112)=1,BK115*INDEX('Lease Cycles'!$EM$14:$ES$14,1,BK112)+BK116*(1-INDEX('Lease Cycles'!$EM$14:$ES$14,1,BK112)),BK115),BK115)</f>
        <v>2381.821806362188</v>
      </c>
      <c r="BL117" s="28">
        <f>IF(BL114=1,IF(INDEX('Lease Cycles'!$EF$14:$EL$14,1,BL112)=1,BL115*INDEX('Lease Cycles'!$EM$14:$ES$14,1,BL112)+BL116*(1-INDEX('Lease Cycles'!$EM$14:$ES$14,1,BL112)),BL115),BL115)</f>
        <v>2381.821806362188</v>
      </c>
      <c r="BM117" s="28">
        <f>IF(BM114=1,IF(INDEX('Lease Cycles'!$EF$14:$EL$14,1,BM112)=1,BM115*INDEX('Lease Cycles'!$EM$14:$ES$14,1,BM112)+BM116*(1-INDEX('Lease Cycles'!$EM$14:$ES$14,1,BM112)),BM115),BM115)</f>
        <v>2381.821806362188</v>
      </c>
      <c r="BN117" s="28">
        <f>IF(BN114=1,IF(INDEX('Lease Cycles'!$EF$14:$EL$14,1,BN112)=1,BN115*INDEX('Lease Cycles'!$EM$14:$ES$14,1,BN112)+BN116*(1-INDEX('Lease Cycles'!$EM$14:$ES$14,1,BN112)),BN115),BN115)</f>
        <v>2381.821806362188</v>
      </c>
      <c r="BO117" s="28">
        <f>IF(BO114=1,IF(INDEX('Lease Cycles'!$EF$14:$EL$14,1,BO112)=1,BO115*INDEX('Lease Cycles'!$EM$14:$ES$14,1,BO112)+BO116*(1-INDEX('Lease Cycles'!$EM$14:$ES$14,1,BO112)),BO115),BO115)</f>
        <v>2381.821806362188</v>
      </c>
      <c r="BP117" s="28">
        <f>IF(BP114=1,IF(INDEX('Lease Cycles'!$EF$14:$EL$14,1,BP112)=1,BP115*INDEX('Lease Cycles'!$EM$14:$ES$14,1,BP112)+BP116*(1-INDEX('Lease Cycles'!$EM$14:$ES$14,1,BP112)),BP115),BP115)</f>
        <v>2381.821806362188</v>
      </c>
      <c r="BQ117" s="28">
        <f>IF(BQ114=1,IF(INDEX('Lease Cycles'!$EF$14:$EL$14,1,BQ112)=1,BQ115*INDEX('Lease Cycles'!$EM$14:$ES$14,1,BQ112)+BQ116*(1-INDEX('Lease Cycles'!$EM$14:$ES$14,1,BQ112)),BQ115),BQ115)</f>
        <v>2381.821806362188</v>
      </c>
      <c r="BR117" s="28">
        <f>IF(BR114=1,IF(INDEX('Lease Cycles'!$EF$14:$EL$14,1,BR112)=1,BR115*INDEX('Lease Cycles'!$EM$14:$ES$14,1,BR112)+BR116*(1-INDEX('Lease Cycles'!$EM$14:$ES$14,1,BR112)),BR115),BR115)</f>
        <v>2381.821806362188</v>
      </c>
      <c r="BS117" s="28">
        <f>IF(BS114=1,IF(INDEX('Lease Cycles'!$EF$14:$EL$14,1,BS112)=1,BS115*INDEX('Lease Cycles'!$EM$14:$ES$14,1,BS112)+BS116*(1-INDEX('Lease Cycles'!$EM$14:$ES$14,1,BS112)),BS115),BS115)</f>
        <v>2453.2764605530533</v>
      </c>
      <c r="BT117" s="28">
        <f>IF(BT114=1,IF(INDEX('Lease Cycles'!$EF$14:$EL$14,1,BT112)=1,BT115*INDEX('Lease Cycles'!$EM$14:$ES$14,1,BT112)+BT116*(1-INDEX('Lease Cycles'!$EM$14:$ES$14,1,BT112)),BT115),BT115)</f>
        <v>2453.2764605530533</v>
      </c>
      <c r="BU117" s="28">
        <f>IF(BU114=1,IF(INDEX('Lease Cycles'!$EF$14:$EL$14,1,BU112)=1,BU115*INDEX('Lease Cycles'!$EM$14:$ES$14,1,BU112)+BU116*(1-INDEX('Lease Cycles'!$EM$14:$ES$14,1,BU112)),BU115),BU115)</f>
        <v>2453.2764605530533</v>
      </c>
      <c r="BV117" s="28">
        <f>IF(BV114=1,IF(INDEX('Lease Cycles'!$EF$14:$EL$14,1,BV112)=1,BV115*INDEX('Lease Cycles'!$EM$14:$ES$14,1,BV112)+BV116*(1-INDEX('Lease Cycles'!$EM$14:$ES$14,1,BV112)),BV115),BV115)</f>
        <v>2453.2764605530533</v>
      </c>
      <c r="BW117" s="28">
        <f>IF(BW114=1,IF(INDEX('Lease Cycles'!$EF$14:$EL$14,1,BW112)=1,BW115*INDEX('Lease Cycles'!$EM$14:$ES$14,1,BW112)+BW116*(1-INDEX('Lease Cycles'!$EM$14:$ES$14,1,BW112)),BW115),BW115)</f>
        <v>2453.2764605530533</v>
      </c>
      <c r="BX117" s="28">
        <f>IF(BX114=1,IF(INDEX('Lease Cycles'!$EF$14:$EL$14,1,BX112)=1,BX115*INDEX('Lease Cycles'!$EM$14:$ES$14,1,BX112)+BX116*(1-INDEX('Lease Cycles'!$EM$14:$ES$14,1,BX112)),BX115),BX115)</f>
        <v>2453.2764605530533</v>
      </c>
      <c r="BY117" s="28">
        <f>IF(BY114=1,IF(INDEX('Lease Cycles'!$EF$14:$EL$14,1,BY112)=1,BY115*INDEX('Lease Cycles'!$EM$14:$ES$14,1,BY112)+BY116*(1-INDEX('Lease Cycles'!$EM$14:$ES$14,1,BY112)),BY115),BY115)</f>
        <v>2453.2764605530533</v>
      </c>
      <c r="BZ117" s="28">
        <f>IF(BZ114=1,IF(INDEX('Lease Cycles'!$EF$14:$EL$14,1,BZ112)=1,BZ115*INDEX('Lease Cycles'!$EM$14:$ES$14,1,BZ112)+BZ116*(1-INDEX('Lease Cycles'!$EM$14:$ES$14,1,BZ112)),BZ115),BZ115)</f>
        <v>2453.2764605530533</v>
      </c>
      <c r="CA117" s="28">
        <f>IF(CA114=1,IF(INDEX('Lease Cycles'!$EF$14:$EL$14,1,CA112)=1,CA115*INDEX('Lease Cycles'!$EM$14:$ES$14,1,CA112)+CA116*(1-INDEX('Lease Cycles'!$EM$14:$ES$14,1,CA112)),CA115),CA115)</f>
        <v>2453.2764605530533</v>
      </c>
      <c r="CB117" s="28">
        <f>IF(CB114=1,IF(INDEX('Lease Cycles'!$EF$14:$EL$14,1,CB112)=1,CB115*INDEX('Lease Cycles'!$EM$14:$ES$14,1,CB112)+CB116*(1-INDEX('Lease Cycles'!$EM$14:$ES$14,1,CB112)),CB115),CB115)</f>
        <v>2453.2764605530533</v>
      </c>
      <c r="CC117" s="28">
        <f>IF(CC114=1,IF(INDEX('Lease Cycles'!$EF$14:$EL$14,1,CC112)=1,CC115*INDEX('Lease Cycles'!$EM$14:$ES$14,1,CC112)+CC116*(1-INDEX('Lease Cycles'!$EM$14:$ES$14,1,CC112)),CC115),CC115)</f>
        <v>2453.2764605530533</v>
      </c>
      <c r="CD117" s="28">
        <f>IF(CD114=1,IF(INDEX('Lease Cycles'!$EF$14:$EL$14,1,CD112)=1,CD115*INDEX('Lease Cycles'!$EM$14:$ES$14,1,CD112)+CD116*(1-INDEX('Lease Cycles'!$EM$14:$ES$14,1,CD112)),CD115),CD115)</f>
        <v>2453.2764605530533</v>
      </c>
      <c r="CE117" s="28">
        <f>IF(CE114=1,IF(INDEX('Lease Cycles'!$EF$14:$EL$14,1,CE112)=1,CE115*INDEX('Lease Cycles'!$EM$14:$ES$14,1,CE112)+CE116*(1-INDEX('Lease Cycles'!$EM$14:$ES$14,1,CE112)),CE115),CE115)</f>
        <v>2526.8747543696454</v>
      </c>
      <c r="CF117" s="28">
        <f>IF(CF114=1,IF(INDEX('Lease Cycles'!$EF$14:$EL$14,1,CF112)=1,CF115*INDEX('Lease Cycles'!$EM$14:$ES$14,1,CF112)+CF116*(1-INDEX('Lease Cycles'!$EM$14:$ES$14,1,CF112)),CF115),CF115)</f>
        <v>2526.8747543696454</v>
      </c>
      <c r="CG117" s="28">
        <f>IF(CG114=1,IF(INDEX('Lease Cycles'!$EF$14:$EL$14,1,CG112)=1,CG115*INDEX('Lease Cycles'!$EM$14:$ES$14,1,CG112)+CG116*(1-INDEX('Lease Cycles'!$EM$14:$ES$14,1,CG112)),CG115),CG115)</f>
        <v>2526.8747543696454</v>
      </c>
      <c r="CH117" s="28">
        <f>IF(CH114=1,IF(INDEX('Lease Cycles'!$EF$14:$EL$14,1,CH112)=1,CH115*INDEX('Lease Cycles'!$EM$14:$ES$14,1,CH112)+CH116*(1-INDEX('Lease Cycles'!$EM$14:$ES$14,1,CH112)),CH115),CH115)</f>
        <v>2526.8747543696454</v>
      </c>
      <c r="CI117" s="28">
        <f>IF(CI114=1,IF(INDEX('Lease Cycles'!$EF$14:$EL$14,1,CI112)=1,CI115*INDEX('Lease Cycles'!$EM$14:$ES$14,1,CI112)+CI116*(1-INDEX('Lease Cycles'!$EM$14:$ES$14,1,CI112)),CI115),CI115)</f>
        <v>2526.8747543696454</v>
      </c>
      <c r="CJ117" s="28">
        <f>IF(CJ114=1,IF(INDEX('Lease Cycles'!$EF$14:$EL$14,1,CJ112)=1,CJ115*INDEX('Lease Cycles'!$EM$14:$ES$14,1,CJ112)+CJ116*(1-INDEX('Lease Cycles'!$EM$14:$ES$14,1,CJ112)),CJ115),CJ115)</f>
        <v>2526.8747543696454</v>
      </c>
      <c r="CK117" s="28">
        <f>IF(CK114=1,IF(INDEX('Lease Cycles'!$EF$14:$EL$14,1,CK112)=1,CK115*INDEX('Lease Cycles'!$EM$14:$ES$14,1,CK112)+CK116*(1-INDEX('Lease Cycles'!$EM$14:$ES$14,1,CK112)),CK115),CK115)</f>
        <v>2526.8747543696454</v>
      </c>
      <c r="CL117" s="28">
        <f>IF(CL114=1,IF(INDEX('Lease Cycles'!$EF$14:$EL$14,1,CL112)=1,CL115*INDEX('Lease Cycles'!$EM$14:$ES$14,1,CL112)+CL116*(1-INDEX('Lease Cycles'!$EM$14:$ES$14,1,CL112)),CL115),CL115)</f>
        <v>2526.8747543696454</v>
      </c>
      <c r="CM117" s="28">
        <f>IF(CM114=1,IF(INDEX('Lease Cycles'!$EF$14:$EL$14,1,CM112)=1,CM115*INDEX('Lease Cycles'!$EM$14:$ES$14,1,CM112)+CM116*(1-INDEX('Lease Cycles'!$EM$14:$ES$14,1,CM112)),CM115),CM115)</f>
        <v>2526.8747543696454</v>
      </c>
      <c r="CN117" s="28">
        <f>IF(CN114=1,IF(INDEX('Lease Cycles'!$EF$14:$EL$14,1,CN112)=1,CN115*INDEX('Lease Cycles'!$EM$14:$ES$14,1,CN112)+CN116*(1-INDEX('Lease Cycles'!$EM$14:$ES$14,1,CN112)),CN115),CN115)</f>
        <v>2526.8747543696454</v>
      </c>
      <c r="CO117" s="28">
        <f>IF(CO114=1,IF(INDEX('Lease Cycles'!$EF$14:$EL$14,1,CO112)=1,CO115*INDEX('Lease Cycles'!$EM$14:$ES$14,1,CO112)+CO116*(1-INDEX('Lease Cycles'!$EM$14:$ES$14,1,CO112)),CO115),CO115)</f>
        <v>2526.8747543696454</v>
      </c>
      <c r="CP117" s="28">
        <f>IF(CP114=1,IF(INDEX('Lease Cycles'!$EF$14:$EL$14,1,CP112)=1,CP115*INDEX('Lease Cycles'!$EM$14:$ES$14,1,CP112)+CP116*(1-INDEX('Lease Cycles'!$EM$14:$ES$14,1,CP112)),CP115),CP115)</f>
        <v>2526.8747543696454</v>
      </c>
      <c r="CQ117" s="28">
        <f>IF(CQ114=1,IF(INDEX('Lease Cycles'!$EF$14:$EL$14,1,CQ112)=1,CQ115*INDEX('Lease Cycles'!$EM$14:$ES$14,1,CQ112)+CQ116*(1-INDEX('Lease Cycles'!$EM$14:$ES$14,1,CQ112)),CQ115),CQ115)</f>
        <v>2602.680997000735</v>
      </c>
      <c r="CR117" s="28">
        <f>IF(CR114=1,IF(INDEX('Lease Cycles'!$EF$14:$EL$14,1,CR112)=1,CR115*INDEX('Lease Cycles'!$EM$14:$ES$14,1,CR112)+CR116*(1-INDEX('Lease Cycles'!$EM$14:$ES$14,1,CR112)),CR115),CR115)</f>
        <v>2602.680997000735</v>
      </c>
      <c r="CS117" s="28">
        <f>IF(CS114=1,IF(INDEX('Lease Cycles'!$EF$14:$EL$14,1,CS112)=1,CS115*INDEX('Lease Cycles'!$EM$14:$ES$14,1,CS112)+CS116*(1-INDEX('Lease Cycles'!$EM$14:$ES$14,1,CS112)),CS115),CS115)</f>
        <v>2602.680997000735</v>
      </c>
      <c r="CT117" s="28">
        <f>IF(CT114=1,IF(INDEX('Lease Cycles'!$EF$14:$EL$14,1,CT112)=1,CT115*INDEX('Lease Cycles'!$EM$14:$ES$14,1,CT112)+CT116*(1-INDEX('Lease Cycles'!$EM$14:$ES$14,1,CT112)),CT115),CT115)</f>
        <v>2602.680997000735</v>
      </c>
      <c r="CU117" s="28">
        <f>IF(CU114=1,IF(INDEX('Lease Cycles'!$EF$14:$EL$14,1,CU112)=1,CU115*INDEX('Lease Cycles'!$EM$14:$ES$14,1,CU112)+CU116*(1-INDEX('Lease Cycles'!$EM$14:$ES$14,1,CU112)),CU115),CU115)</f>
        <v>2602.680997000735</v>
      </c>
      <c r="CV117" s="28">
        <f>IF(CV114=1,IF(INDEX('Lease Cycles'!$EF$14:$EL$14,1,CV112)=1,CV115*INDEX('Lease Cycles'!$EM$14:$ES$14,1,CV112)+CV116*(1-INDEX('Lease Cycles'!$EM$14:$ES$14,1,CV112)),CV115),CV115)</f>
        <v>2602.680997000735</v>
      </c>
      <c r="CW117" s="28">
        <f>IF(CW114=1,IF(INDEX('Lease Cycles'!$EF$14:$EL$14,1,CW112)=1,CW115*INDEX('Lease Cycles'!$EM$14:$ES$14,1,CW112)+CW116*(1-INDEX('Lease Cycles'!$EM$14:$ES$14,1,CW112)),CW115),CW115)</f>
        <v>2602.680997000735</v>
      </c>
      <c r="CX117" s="28">
        <f>IF(CX114=1,IF(INDEX('Lease Cycles'!$EF$14:$EL$14,1,CX112)=1,CX115*INDEX('Lease Cycles'!$EM$14:$ES$14,1,CX112)+CX116*(1-INDEX('Lease Cycles'!$EM$14:$ES$14,1,CX112)),CX115),CX115)</f>
        <v>2602.680997000735</v>
      </c>
      <c r="CY117" s="28">
        <f>IF(CY114=1,IF(INDEX('Lease Cycles'!$EF$14:$EL$14,1,CY112)=1,CY115*INDEX('Lease Cycles'!$EM$14:$ES$14,1,CY112)+CY116*(1-INDEX('Lease Cycles'!$EM$14:$ES$14,1,CY112)),CY115),CY115)</f>
        <v>2602.680997000735</v>
      </c>
      <c r="CZ117" s="28">
        <f>IF(CZ114=1,IF(INDEX('Lease Cycles'!$EF$14:$EL$14,1,CZ112)=1,CZ115*INDEX('Lease Cycles'!$EM$14:$ES$14,1,CZ112)+CZ116*(1-INDEX('Lease Cycles'!$EM$14:$ES$14,1,CZ112)),CZ115),CZ115)</f>
        <v>2602.680997000735</v>
      </c>
      <c r="DA117" s="28">
        <f>IF(DA114=1,IF(INDEX('Lease Cycles'!$EF$14:$EL$14,1,DA112)=1,DA115*INDEX('Lease Cycles'!$EM$14:$ES$14,1,DA112)+DA116*(1-INDEX('Lease Cycles'!$EM$14:$ES$14,1,DA112)),DA115),DA115)</f>
        <v>2602.680997000735</v>
      </c>
      <c r="DB117" s="28">
        <f>IF(DB114=1,IF(INDEX('Lease Cycles'!$EF$14:$EL$14,1,DB112)=1,DB115*INDEX('Lease Cycles'!$EM$14:$ES$14,1,DB112)+DB116*(1-INDEX('Lease Cycles'!$EM$14:$ES$14,1,DB112)),DB115),DB115)</f>
        <v>2602.680997000735</v>
      </c>
      <c r="DC117" s="28">
        <f>IF(DC114=1,IF(INDEX('Lease Cycles'!$EF$14:$EL$14,1,DC112)=1,DC115*INDEX('Lease Cycles'!$EM$14:$ES$14,1,DC112)+DC116*(1-INDEX('Lease Cycles'!$EM$14:$ES$14,1,DC112)),DC115),DC115)</f>
        <v>2680.7614269107567</v>
      </c>
      <c r="DD117" s="28">
        <f>IF(DD114=1,IF(INDEX('Lease Cycles'!$EF$14:$EL$14,1,DD112)=1,DD115*INDEX('Lease Cycles'!$EM$14:$ES$14,1,DD112)+DD116*(1-INDEX('Lease Cycles'!$EM$14:$ES$14,1,DD112)),DD115),DD115)</f>
        <v>2680.7614269107567</v>
      </c>
      <c r="DE117" s="28">
        <f>IF(DE114=1,IF(INDEX('Lease Cycles'!$EF$14:$EL$14,1,DE112)=1,DE115*INDEX('Lease Cycles'!$EM$14:$ES$14,1,DE112)+DE116*(1-INDEX('Lease Cycles'!$EM$14:$ES$14,1,DE112)),DE115),DE115)</f>
        <v>2680.7614269107567</v>
      </c>
      <c r="DF117" s="28">
        <f>IF(DF114=1,IF(INDEX('Lease Cycles'!$EF$14:$EL$14,1,DF112)=1,DF115*INDEX('Lease Cycles'!$EM$14:$ES$14,1,DF112)+DF116*(1-INDEX('Lease Cycles'!$EM$14:$ES$14,1,DF112)),DF115),DF115)</f>
        <v>2680.7614269107567</v>
      </c>
      <c r="DG117" s="28">
        <f>IF(DG114=1,IF(INDEX('Lease Cycles'!$EF$14:$EL$14,1,DG112)=1,DG115*INDEX('Lease Cycles'!$EM$14:$ES$14,1,DG112)+DG116*(1-INDEX('Lease Cycles'!$EM$14:$ES$14,1,DG112)),DG115),DG115)</f>
        <v>2680.7614269107567</v>
      </c>
      <c r="DH117" s="28">
        <f>IF(DH114=1,IF(INDEX('Lease Cycles'!$EF$14:$EL$14,1,DH112)=1,DH115*INDEX('Lease Cycles'!$EM$14:$ES$14,1,DH112)+DH116*(1-INDEX('Lease Cycles'!$EM$14:$ES$14,1,DH112)),DH115),DH115)</f>
        <v>2680.7614269107567</v>
      </c>
      <c r="DI117" s="28">
        <f>IF(DI114=1,IF(INDEX('Lease Cycles'!$EF$14:$EL$14,1,DI112)=1,DI115*INDEX('Lease Cycles'!$EM$14:$ES$14,1,DI112)+DI116*(1-INDEX('Lease Cycles'!$EM$14:$ES$14,1,DI112)),DI115),DI115)</f>
        <v>2680.7614269107567</v>
      </c>
      <c r="DJ117" s="28">
        <f>IF(DJ114=1,IF(INDEX('Lease Cycles'!$EF$14:$EL$14,1,DJ112)=1,DJ115*INDEX('Lease Cycles'!$EM$14:$ES$14,1,DJ112)+DJ116*(1-INDEX('Lease Cycles'!$EM$14:$ES$14,1,DJ112)),DJ115),DJ115)</f>
        <v>2680.7614269107567</v>
      </c>
      <c r="DK117" s="28">
        <f>IF(DK114=1,IF(INDEX('Lease Cycles'!$EF$14:$EL$14,1,DK112)=1,DK115*INDEX('Lease Cycles'!$EM$14:$ES$14,1,DK112)+DK116*(1-INDEX('Lease Cycles'!$EM$14:$ES$14,1,DK112)),DK115),DK115)</f>
        <v>2680.7614269107567</v>
      </c>
      <c r="DL117" s="28">
        <f>IF(DL114=1,IF(INDEX('Lease Cycles'!$EF$14:$EL$14,1,DL112)=1,DL115*INDEX('Lease Cycles'!$EM$14:$ES$14,1,DL112)+DL116*(1-INDEX('Lease Cycles'!$EM$14:$ES$14,1,DL112)),DL115),DL115)</f>
        <v>2680.7614269107567</v>
      </c>
      <c r="DM117" s="28">
        <f>IF(DM114=1,IF(INDEX('Lease Cycles'!$EF$14:$EL$14,1,DM112)=1,DM115*INDEX('Lease Cycles'!$EM$14:$ES$14,1,DM112)+DM116*(1-INDEX('Lease Cycles'!$EM$14:$ES$14,1,DM112)),DM115),DM115)</f>
        <v>2680.7614269107567</v>
      </c>
      <c r="DN117" s="28">
        <f>IF(DN114=1,IF(INDEX('Lease Cycles'!$EF$14:$EL$14,1,DN112)=1,DN115*INDEX('Lease Cycles'!$EM$14:$ES$14,1,DN112)+DN116*(1-INDEX('Lease Cycles'!$EM$14:$ES$14,1,DN112)),DN115),DN115)</f>
        <v>2680.7614269107567</v>
      </c>
      <c r="DO117" s="28">
        <f>IF(DO114=1,IF(INDEX('Lease Cycles'!$EF$14:$EL$14,1,DO112)=1,DO115*INDEX('Lease Cycles'!$EM$14:$ES$14,1,DO112)+DO116*(1-INDEX('Lease Cycles'!$EM$14:$ES$14,1,DO112)),DO115),DO115)</f>
        <v>2761.1842697180796</v>
      </c>
      <c r="DP117" s="28">
        <f>IF(DP114=1,IF(INDEX('Lease Cycles'!$EF$14:$EL$14,1,DP112)=1,DP115*INDEX('Lease Cycles'!$EM$14:$ES$14,1,DP112)+DP116*(1-INDEX('Lease Cycles'!$EM$14:$ES$14,1,DP112)),DP115),DP115)</f>
        <v>2761.1842697180796</v>
      </c>
      <c r="DQ117" s="28">
        <f>IF(DQ114=1,IF(INDEX('Lease Cycles'!$EF$14:$EL$14,1,DQ112)=1,DQ115*INDEX('Lease Cycles'!$EM$14:$ES$14,1,DQ112)+DQ116*(1-INDEX('Lease Cycles'!$EM$14:$ES$14,1,DQ112)),DQ115),DQ115)</f>
        <v>2761.1842697180796</v>
      </c>
      <c r="DR117" s="28">
        <f>IF(DR114=1,IF(INDEX('Lease Cycles'!$EF$14:$EL$14,1,DR112)=1,DR115*INDEX('Lease Cycles'!$EM$14:$ES$14,1,DR112)+DR116*(1-INDEX('Lease Cycles'!$EM$14:$ES$14,1,DR112)),DR115),DR115)</f>
        <v>2761.1842697180796</v>
      </c>
      <c r="DS117" s="28">
        <f>IF(DS114=1,IF(INDEX('Lease Cycles'!$EF$14:$EL$14,1,DS112)=1,DS115*INDEX('Lease Cycles'!$EM$14:$ES$14,1,DS112)+DS116*(1-INDEX('Lease Cycles'!$EM$14:$ES$14,1,DS112)),DS115),DS115)</f>
        <v>2761.1842697180796</v>
      </c>
      <c r="DT117" s="28">
        <f>IF(DT114=1,IF(INDEX('Lease Cycles'!$EF$14:$EL$14,1,DT112)=1,DT115*INDEX('Lease Cycles'!$EM$14:$ES$14,1,DT112)+DT116*(1-INDEX('Lease Cycles'!$EM$14:$ES$14,1,DT112)),DT115),DT115)</f>
        <v>2761.1842697180796</v>
      </c>
      <c r="DU117" s="28">
        <f>IF(DU114=1,IF(INDEX('Lease Cycles'!$EF$14:$EL$14,1,DU112)=1,DU115*INDEX('Lease Cycles'!$EM$14:$ES$14,1,DU112)+DU116*(1-INDEX('Lease Cycles'!$EM$14:$ES$14,1,DU112)),DU115),DU115)</f>
        <v>2761.1842697180796</v>
      </c>
      <c r="DV117" s="28">
        <f>IF(DV114=1,IF(INDEX('Lease Cycles'!$EF$14:$EL$14,1,DV112)=1,DV115*INDEX('Lease Cycles'!$EM$14:$ES$14,1,DV112)+DV116*(1-INDEX('Lease Cycles'!$EM$14:$ES$14,1,DV112)),DV115),DV115)</f>
        <v>2761.1842697180796</v>
      </c>
      <c r="DW117" s="28">
        <f>IF(DW114=1,IF(INDEX('Lease Cycles'!$EF$14:$EL$14,1,DW112)=1,DW115*INDEX('Lease Cycles'!$EM$14:$ES$14,1,DW112)+DW116*(1-INDEX('Lease Cycles'!$EM$14:$ES$14,1,DW112)),DW115),DW115)</f>
        <v>2761.1842697180796</v>
      </c>
      <c r="DX117" s="28">
        <f>IF(DX114=1,IF(INDEX('Lease Cycles'!$EF$14:$EL$14,1,DX112)=1,DX115*INDEX('Lease Cycles'!$EM$14:$ES$14,1,DX112)+DX116*(1-INDEX('Lease Cycles'!$EM$14:$ES$14,1,DX112)),DX115),DX115)</f>
        <v>2761.1842697180796</v>
      </c>
      <c r="DY117" s="28">
        <f>IF(DY114=1,IF(INDEX('Lease Cycles'!$EF$14:$EL$14,1,DY112)=1,DY115*INDEX('Lease Cycles'!$EM$14:$ES$14,1,DY112)+DY116*(1-INDEX('Lease Cycles'!$EM$14:$ES$14,1,DY112)),DY115),DY115)</f>
        <v>2761.1842697180796</v>
      </c>
      <c r="DZ117" s="28">
        <f>IF(DZ114=1,IF(INDEX('Lease Cycles'!$EF$14:$EL$14,1,DZ112)=1,DZ115*INDEX('Lease Cycles'!$EM$14:$ES$14,1,DZ112)+DZ116*(1-INDEX('Lease Cycles'!$EM$14:$ES$14,1,DZ112)),DZ115),DZ115)</f>
        <v>2761.1842697180796</v>
      </c>
      <c r="EA117" s="28">
        <f>IF(EA114=1,IF(INDEX('Lease Cycles'!$EF$14:$EL$14,1,EA112)=1,EA115*INDEX('Lease Cycles'!$EM$14:$ES$14,1,EA112)+EA116*(1-INDEX('Lease Cycles'!$EM$14:$ES$14,1,EA112)),EA115),EA115)</f>
        <v>2844.019797809622</v>
      </c>
      <c r="EB117" s="28">
        <f>IF(EB114=1,IF(INDEX('Lease Cycles'!$EF$14:$EL$14,1,EB112)=1,EB115*INDEX('Lease Cycles'!$EM$14:$ES$14,1,EB112)+EB116*(1-INDEX('Lease Cycles'!$EM$14:$ES$14,1,EB112)),EB115),EB115)</f>
        <v>2844.019797809622</v>
      </c>
      <c r="EC117" s="28">
        <f>IF(EC114=1,IF(INDEX('Lease Cycles'!$EF$14:$EL$14,1,EC112)=1,EC115*INDEX('Lease Cycles'!$EM$14:$ES$14,1,EC112)+EC116*(1-INDEX('Lease Cycles'!$EM$14:$ES$14,1,EC112)),EC115),EC115)</f>
        <v>2844.019797809622</v>
      </c>
      <c r="ED117" s="28">
        <f>IF(ED114=1,IF(INDEX('Lease Cycles'!$EF$14:$EL$14,1,ED112)=1,ED115*INDEX('Lease Cycles'!$EM$14:$ES$14,1,ED112)+ED116*(1-INDEX('Lease Cycles'!$EM$14:$ES$14,1,ED112)),ED115),ED115)</f>
        <v>5333.211382420176</v>
      </c>
      <c r="EE117" s="28">
        <f>IF(EE114=1,IF(INDEX('Lease Cycles'!$EF$14:$EL$14,1,EE112)=1,EE115*INDEX('Lease Cycles'!$EM$14:$ES$14,1,EE112)+EE116*(1-INDEX('Lease Cycles'!$EM$14:$ES$14,1,EE112)),EE115),EE115)</f>
        <v>2872.1802410783766</v>
      </c>
      <c r="EF117" s="28">
        <f>IF(EF114=1,IF(INDEX('Lease Cycles'!$EF$14:$EL$14,1,EF112)=1,EF115*INDEX('Lease Cycles'!$EM$14:$ES$14,1,EF112)+EF116*(1-INDEX('Lease Cycles'!$EM$14:$ES$14,1,EF112)),EF115),EF115)</f>
        <v>2872.1802410783766</v>
      </c>
      <c r="EG117" s="28">
        <f>IF(EG114=1,IF(INDEX('Lease Cycles'!$EF$14:$EL$14,1,EG112)=1,EG115*INDEX('Lease Cycles'!$EM$14:$ES$14,1,EG112)+EG116*(1-INDEX('Lease Cycles'!$EM$14:$ES$14,1,EG112)),EG115),EG115)</f>
        <v>2872.1802410783766</v>
      </c>
      <c r="EH117" s="28">
        <f>IF(EH114=1,IF(INDEX('Lease Cycles'!$EF$14:$EL$14,1,EH112)=1,EH115*INDEX('Lease Cycles'!$EM$14:$ES$14,1,EH112)+EH116*(1-INDEX('Lease Cycles'!$EM$14:$ES$14,1,EH112)),EH115),EH115)</f>
        <v>2872.1802410783766</v>
      </c>
      <c r="EI117" s="28">
        <f>IF(EI114=1,IF(INDEX('Lease Cycles'!$EF$14:$EL$14,1,EI112)=1,EI115*INDEX('Lease Cycles'!$EM$14:$ES$14,1,EI112)+EI116*(1-INDEX('Lease Cycles'!$EM$14:$ES$14,1,EI112)),EI115),EI115)</f>
        <v>2872.1802410783766</v>
      </c>
      <c r="EJ117" s="28">
        <f>IF(EJ114=1,IF(INDEX('Lease Cycles'!$EF$14:$EL$14,1,EJ112)=1,EJ115*INDEX('Lease Cycles'!$EM$14:$ES$14,1,EJ112)+EJ116*(1-INDEX('Lease Cycles'!$EM$14:$ES$14,1,EJ112)),EJ115),EJ115)</f>
        <v>2872.1802410783766</v>
      </c>
      <c r="EK117" s="28">
        <f>IF(EK114=1,IF(INDEX('Lease Cycles'!$EF$14:$EL$14,1,EK112)=1,EK115*INDEX('Lease Cycles'!$EM$14:$ES$14,1,EK112)+EK116*(1-INDEX('Lease Cycles'!$EM$14:$ES$14,1,EK112)),EK115),EK115)</f>
        <v>2872.1802410783766</v>
      </c>
      <c r="EL117" s="28">
        <f>IF(EL114=1,IF(INDEX('Lease Cycles'!$EF$14:$EL$14,1,EL112)=1,EL115*INDEX('Lease Cycles'!$EM$14:$ES$14,1,EL112)+EL116*(1-INDEX('Lease Cycles'!$EM$14:$ES$14,1,EL112)),EL115),EL115)</f>
        <v>2872.1802410783766</v>
      </c>
      <c r="EM117" s="28">
        <f>IF(EM114=1,IF(INDEX('Lease Cycles'!$EF$14:$EL$14,1,EM112)=1,EM115*INDEX('Lease Cycles'!$EM$14:$ES$14,1,EM112)+EM116*(1-INDEX('Lease Cycles'!$EM$14:$ES$14,1,EM112)),EM115),EM115)</f>
        <v>2872.1802410783766</v>
      </c>
      <c r="EN117" s="28">
        <f>IF(EN114=1,IF(INDEX('Lease Cycles'!$EF$14:$EL$14,1,EN112)=1,EN115*INDEX('Lease Cycles'!$EM$14:$ES$14,1,EN112)+EN116*(1-INDEX('Lease Cycles'!$EM$14:$ES$14,1,EN112)),EN115),EN115)</f>
        <v>2872.1802410783766</v>
      </c>
      <c r="EO117" s="28">
        <f>IF(EO114=1,IF(INDEX('Lease Cycles'!$EF$14:$EL$14,1,EO112)=1,EO115*INDEX('Lease Cycles'!$EM$14:$ES$14,1,EO112)+EO116*(1-INDEX('Lease Cycles'!$EM$14:$ES$14,1,EO112)),EO115),EO115)</f>
        <v>2872.1802410783766</v>
      </c>
      <c r="EP117" s="28">
        <f>IF(EP114=1,IF(INDEX('Lease Cycles'!$EF$14:$EL$14,1,EP112)=1,EP115*INDEX('Lease Cycles'!$EM$14:$ES$14,1,EP112)+EP116*(1-INDEX('Lease Cycles'!$EM$14:$ES$14,1,EP112)),EP115),EP115)</f>
        <v>2872.1802410783766</v>
      </c>
      <c r="EQ117" s="28">
        <f>IF(EQ114=1,IF(INDEX('Lease Cycles'!$EF$14:$EL$14,1,EQ112)=1,EQ115*INDEX('Lease Cycles'!$EM$14:$ES$14,1,EQ112)+EQ116*(1-INDEX('Lease Cycles'!$EM$14:$ES$14,1,EQ112)),EQ115),EQ115)</f>
        <v>2958.345648310728</v>
      </c>
      <c r="ER117" s="28">
        <f>IF(ER114=1,IF(INDEX('Lease Cycles'!$EF$14:$EL$14,1,ER112)=1,ER115*INDEX('Lease Cycles'!$EM$14:$ES$14,1,ER112)+ER116*(1-INDEX('Lease Cycles'!$EM$14:$ES$14,1,ER112)),ER115),ER115)</f>
        <v>2958.345648310728</v>
      </c>
      <c r="ES117" s="28">
        <f>IF(ES114=1,IF(INDEX('Lease Cycles'!$EF$14:$EL$14,1,ES112)=1,ES115*INDEX('Lease Cycles'!$EM$14:$ES$14,1,ES112)+ES116*(1-INDEX('Lease Cycles'!$EM$14:$ES$14,1,ES112)),ES115),ES115)</f>
        <v>2958.345648310728</v>
      </c>
      <c r="ET117" s="28">
        <f>IF(ET114=1,IF(INDEX('Lease Cycles'!$EF$14:$EL$14,1,ET112)=1,ET115*INDEX('Lease Cycles'!$EM$14:$ES$14,1,ET112)+ET116*(1-INDEX('Lease Cycles'!$EM$14:$ES$14,1,ET112)),ET115),ET115)</f>
        <v>2958.345648310728</v>
      </c>
    </row>
    <row r="118">
      <c r="A118" s="103">
        <v>7</v>
      </c>
      <c r="B118" s="23" t="str">
        <f>IF('Lease Cycles'!$B$14="","(empty slot)",'Lease Cycles'!$B$14)</f>
        <v>Sunfield Nails</v>
      </c>
      <c r="C118" s="23" t="s">
        <v>682</v>
      </c>
      <c r="D118" s="104" t="s">
        <v>495</v>
      </c>
      <c r="E118" s="25">
        <f>'Lease Cycles'!$AL$14</f>
        <v>0</v>
      </c>
      <c r="G118" s="28">
        <f>SUM(S118:AD118)</f>
        <v>39200</v>
      </c>
      <c r="H118" s="28">
        <f>SUM(AE118:AP118)</f>
        <v>39200</v>
      </c>
      <c r="I118" s="28">
        <f>SUM(AQ118:BB118)</f>
        <v>26449.628160978402</v>
      </c>
      <c r="J118" s="28">
        <f>SUM(BC118:BN118)</f>
        <v>28304.367873663283</v>
      </c>
      <c r="K118" s="28">
        <f>SUM(BO118:BZ118)</f>
        <v>29153.49890987318</v>
      </c>
      <c r="L118" s="28">
        <f>SUM(CA118:CL118)</f>
        <v>30028.10387716938</v>
      </c>
      <c r="M118" s="28">
        <f>SUM(CM118:CX118)</f>
        <v>30928.94699348446</v>
      </c>
      <c r="N118" s="28">
        <f>SUM(CY118:DJ118)</f>
        <v>31856.815403288994</v>
      </c>
      <c r="O118" s="28">
        <f>SUM(DK118:DV118)</f>
        <v>32812.519865387665</v>
      </c>
      <c r="P118" s="28">
        <f>SUM(DW118:EH118)</f>
        <v>28767.77324375198</v>
      </c>
      <c r="Q118" s="28">
        <f>SUM(EI118:ET118)</f>
        <v>34810.82452186992</v>
      </c>
      <c r="S118" s="28">
        <f>IF(S114=1,IF(INDEX('Lease Cycles'!$EF$14:$EL$14,1,S112)=1,S115*INDEX('Lease Cycles'!$EM$14:$ES$14,1,S112)+S116*IF(S113&lt;INDEX('Lease Cycles'!$FA$14:$FG$14,1,S112),0,1-INDEX('Lease Cycles'!$EM$14:$ES$14,1,S112)),S115*IF(S113&lt;INDEX('Lease Cycles'!$DK$14:$DQ$14,1,S112),0,IF(S113=INDEX('Lease Cycles'!$DK$14:$DQ$14,1,S112),1-INDEX('Lease Cycles'!$DR$14:$DX$14,1,S112),1))),0)</f>
        <v>3266.6666666666665</v>
      </c>
      <c r="T118" s="28">
        <f>IF(T114=1,IF(INDEX('Lease Cycles'!$EF$14:$EL$14,1,T112)=1,T115*INDEX('Lease Cycles'!$EM$14:$ES$14,1,T112)+T116*IF(T113&lt;INDEX('Lease Cycles'!$FA$14:$FG$14,1,T112),0,1-INDEX('Lease Cycles'!$EM$14:$ES$14,1,T112)),T115*IF(T113&lt;INDEX('Lease Cycles'!$DK$14:$DQ$14,1,T112),0,IF(T113=INDEX('Lease Cycles'!$DK$14:$DQ$14,1,T112),1-INDEX('Lease Cycles'!$DR$14:$DX$14,1,T112),1))),0)</f>
        <v>3266.6666666666665</v>
      </c>
      <c r="U118" s="28">
        <f>IF(U114=1,IF(INDEX('Lease Cycles'!$EF$14:$EL$14,1,U112)=1,U115*INDEX('Lease Cycles'!$EM$14:$ES$14,1,U112)+U116*IF(U113&lt;INDEX('Lease Cycles'!$FA$14:$FG$14,1,U112),0,1-INDEX('Lease Cycles'!$EM$14:$ES$14,1,U112)),U115*IF(U113&lt;INDEX('Lease Cycles'!$DK$14:$DQ$14,1,U112),0,IF(U113=INDEX('Lease Cycles'!$DK$14:$DQ$14,1,U112),1-INDEX('Lease Cycles'!$DR$14:$DX$14,1,U112),1))),0)</f>
        <v>3266.6666666666665</v>
      </c>
      <c r="V118" s="28">
        <f>IF(V114=1,IF(INDEX('Lease Cycles'!$EF$14:$EL$14,1,V112)=1,V115*INDEX('Lease Cycles'!$EM$14:$ES$14,1,V112)+V116*IF(V113&lt;INDEX('Lease Cycles'!$FA$14:$FG$14,1,V112),0,1-INDEX('Lease Cycles'!$EM$14:$ES$14,1,V112)),V115*IF(V113&lt;INDEX('Lease Cycles'!$DK$14:$DQ$14,1,V112),0,IF(V113=INDEX('Lease Cycles'!$DK$14:$DQ$14,1,V112),1-INDEX('Lease Cycles'!$DR$14:$DX$14,1,V112),1))),0)</f>
        <v>3266.6666666666665</v>
      </c>
      <c r="W118" s="28">
        <f>IF(W114=1,IF(INDEX('Lease Cycles'!$EF$14:$EL$14,1,W112)=1,W115*INDEX('Lease Cycles'!$EM$14:$ES$14,1,W112)+W116*IF(W113&lt;INDEX('Lease Cycles'!$FA$14:$FG$14,1,W112),0,1-INDEX('Lease Cycles'!$EM$14:$ES$14,1,W112)),W115*IF(W113&lt;INDEX('Lease Cycles'!$DK$14:$DQ$14,1,W112),0,IF(W113=INDEX('Lease Cycles'!$DK$14:$DQ$14,1,W112),1-INDEX('Lease Cycles'!$DR$14:$DX$14,1,W112),1))),0)</f>
        <v>3266.6666666666665</v>
      </c>
      <c r="X118" s="28">
        <f>IF(X114=1,IF(INDEX('Lease Cycles'!$EF$14:$EL$14,1,X112)=1,X115*INDEX('Lease Cycles'!$EM$14:$ES$14,1,X112)+X116*IF(X113&lt;INDEX('Lease Cycles'!$FA$14:$FG$14,1,X112),0,1-INDEX('Lease Cycles'!$EM$14:$ES$14,1,X112)),X115*IF(X113&lt;INDEX('Lease Cycles'!$DK$14:$DQ$14,1,X112),0,IF(X113=INDEX('Lease Cycles'!$DK$14:$DQ$14,1,X112),1-INDEX('Lease Cycles'!$DR$14:$DX$14,1,X112),1))),0)</f>
        <v>3266.6666666666665</v>
      </c>
      <c r="Y118" s="28">
        <f>IF(Y114=1,IF(INDEX('Lease Cycles'!$EF$14:$EL$14,1,Y112)=1,Y115*INDEX('Lease Cycles'!$EM$14:$ES$14,1,Y112)+Y116*IF(Y113&lt;INDEX('Lease Cycles'!$FA$14:$FG$14,1,Y112),0,1-INDEX('Lease Cycles'!$EM$14:$ES$14,1,Y112)),Y115*IF(Y113&lt;INDEX('Lease Cycles'!$DK$14:$DQ$14,1,Y112),0,IF(Y113=INDEX('Lease Cycles'!$DK$14:$DQ$14,1,Y112),1-INDEX('Lease Cycles'!$DR$14:$DX$14,1,Y112),1))),0)</f>
        <v>3266.6666666666665</v>
      </c>
      <c r="Z118" s="28">
        <f>IF(Z114=1,IF(INDEX('Lease Cycles'!$EF$14:$EL$14,1,Z112)=1,Z115*INDEX('Lease Cycles'!$EM$14:$ES$14,1,Z112)+Z116*IF(Z113&lt;INDEX('Lease Cycles'!$FA$14:$FG$14,1,Z112),0,1-INDEX('Lease Cycles'!$EM$14:$ES$14,1,Z112)),Z115*IF(Z113&lt;INDEX('Lease Cycles'!$DK$14:$DQ$14,1,Z112),0,IF(Z113=INDEX('Lease Cycles'!$DK$14:$DQ$14,1,Z112),1-INDEX('Lease Cycles'!$DR$14:$DX$14,1,Z112),1))),0)</f>
        <v>3266.6666666666665</v>
      </c>
      <c r="AA118" s="28">
        <f>IF(AA114=1,IF(INDEX('Lease Cycles'!$EF$14:$EL$14,1,AA112)=1,AA115*INDEX('Lease Cycles'!$EM$14:$ES$14,1,AA112)+AA116*IF(AA113&lt;INDEX('Lease Cycles'!$FA$14:$FG$14,1,AA112),0,1-INDEX('Lease Cycles'!$EM$14:$ES$14,1,AA112)),AA115*IF(AA113&lt;INDEX('Lease Cycles'!$DK$14:$DQ$14,1,AA112),0,IF(AA113=INDEX('Lease Cycles'!$DK$14:$DQ$14,1,AA112),1-INDEX('Lease Cycles'!$DR$14:$DX$14,1,AA112),1))),0)</f>
        <v>3266.6666666666665</v>
      </c>
      <c r="AB118" s="28">
        <f>IF(AB114=1,IF(INDEX('Lease Cycles'!$EF$14:$EL$14,1,AB112)=1,AB115*INDEX('Lease Cycles'!$EM$14:$ES$14,1,AB112)+AB116*IF(AB113&lt;INDEX('Lease Cycles'!$FA$14:$FG$14,1,AB112),0,1-INDEX('Lease Cycles'!$EM$14:$ES$14,1,AB112)),AB115*IF(AB113&lt;INDEX('Lease Cycles'!$DK$14:$DQ$14,1,AB112),0,IF(AB113=INDEX('Lease Cycles'!$DK$14:$DQ$14,1,AB112),1-INDEX('Lease Cycles'!$DR$14:$DX$14,1,AB112),1))),0)</f>
        <v>3266.6666666666665</v>
      </c>
      <c r="AC118" s="28">
        <f>IF(AC114=1,IF(INDEX('Lease Cycles'!$EF$14:$EL$14,1,AC112)=1,AC115*INDEX('Lease Cycles'!$EM$14:$ES$14,1,AC112)+AC116*IF(AC113&lt;INDEX('Lease Cycles'!$FA$14:$FG$14,1,AC112),0,1-INDEX('Lease Cycles'!$EM$14:$ES$14,1,AC112)),AC115*IF(AC113&lt;INDEX('Lease Cycles'!$DK$14:$DQ$14,1,AC112),0,IF(AC113=INDEX('Lease Cycles'!$DK$14:$DQ$14,1,AC112),1-INDEX('Lease Cycles'!$DR$14:$DX$14,1,AC112),1))),0)</f>
        <v>3266.6666666666665</v>
      </c>
      <c r="AD118" s="28">
        <f>IF(AD114=1,IF(INDEX('Lease Cycles'!$EF$14:$EL$14,1,AD112)=1,AD115*INDEX('Lease Cycles'!$EM$14:$ES$14,1,AD112)+AD116*IF(AD113&lt;INDEX('Lease Cycles'!$FA$14:$FG$14,1,AD112),0,1-INDEX('Lease Cycles'!$EM$14:$ES$14,1,AD112)),AD115*IF(AD113&lt;INDEX('Lease Cycles'!$DK$14:$DQ$14,1,AD112),0,IF(AD113=INDEX('Lease Cycles'!$DK$14:$DQ$14,1,AD112),1-INDEX('Lease Cycles'!$DR$14:$DX$14,1,AD112),1))),0)</f>
        <v>3266.6666666666665</v>
      </c>
      <c r="AE118" s="28">
        <f>IF(AE114=1,IF(INDEX('Lease Cycles'!$EF$14:$EL$14,1,AE112)=1,AE115*INDEX('Lease Cycles'!$EM$14:$ES$14,1,AE112)+AE116*IF(AE113&lt;INDEX('Lease Cycles'!$FA$14:$FG$14,1,AE112),0,1-INDEX('Lease Cycles'!$EM$14:$ES$14,1,AE112)),AE115*IF(AE113&lt;INDEX('Lease Cycles'!$DK$14:$DQ$14,1,AE112),0,IF(AE113=INDEX('Lease Cycles'!$DK$14:$DQ$14,1,AE112),1-INDEX('Lease Cycles'!$DR$14:$DX$14,1,AE112),1))),0)</f>
        <v>3266.6666666666665</v>
      </c>
      <c r="AF118" s="28">
        <f>IF(AF114=1,IF(INDEX('Lease Cycles'!$EF$14:$EL$14,1,AF112)=1,AF115*INDEX('Lease Cycles'!$EM$14:$ES$14,1,AF112)+AF116*IF(AF113&lt;INDEX('Lease Cycles'!$FA$14:$FG$14,1,AF112),0,1-INDEX('Lease Cycles'!$EM$14:$ES$14,1,AF112)),AF115*IF(AF113&lt;INDEX('Lease Cycles'!$DK$14:$DQ$14,1,AF112),0,IF(AF113=INDEX('Lease Cycles'!$DK$14:$DQ$14,1,AF112),1-INDEX('Lease Cycles'!$DR$14:$DX$14,1,AF112),1))),0)</f>
        <v>3266.6666666666665</v>
      </c>
      <c r="AG118" s="28">
        <f>IF(AG114=1,IF(INDEX('Lease Cycles'!$EF$14:$EL$14,1,AG112)=1,AG115*INDEX('Lease Cycles'!$EM$14:$ES$14,1,AG112)+AG116*IF(AG113&lt;INDEX('Lease Cycles'!$FA$14:$FG$14,1,AG112),0,1-INDEX('Lease Cycles'!$EM$14:$ES$14,1,AG112)),AG115*IF(AG113&lt;INDEX('Lease Cycles'!$DK$14:$DQ$14,1,AG112),0,IF(AG113=INDEX('Lease Cycles'!$DK$14:$DQ$14,1,AG112),1-INDEX('Lease Cycles'!$DR$14:$DX$14,1,AG112),1))),0)</f>
        <v>3266.6666666666665</v>
      </c>
      <c r="AH118" s="28">
        <f>IF(AH114=1,IF(INDEX('Lease Cycles'!$EF$14:$EL$14,1,AH112)=1,AH115*INDEX('Lease Cycles'!$EM$14:$ES$14,1,AH112)+AH116*IF(AH113&lt;INDEX('Lease Cycles'!$FA$14:$FG$14,1,AH112),0,1-INDEX('Lease Cycles'!$EM$14:$ES$14,1,AH112)),AH115*IF(AH113&lt;INDEX('Lease Cycles'!$DK$14:$DQ$14,1,AH112),0,IF(AH113=INDEX('Lease Cycles'!$DK$14:$DQ$14,1,AH112),1-INDEX('Lease Cycles'!$DR$14:$DX$14,1,AH112),1))),0)</f>
        <v>3266.6666666666665</v>
      </c>
      <c r="AI118" s="28">
        <f>IF(AI114=1,IF(INDEX('Lease Cycles'!$EF$14:$EL$14,1,AI112)=1,AI115*INDEX('Lease Cycles'!$EM$14:$ES$14,1,AI112)+AI116*IF(AI113&lt;INDEX('Lease Cycles'!$FA$14:$FG$14,1,AI112),0,1-INDEX('Lease Cycles'!$EM$14:$ES$14,1,AI112)),AI115*IF(AI113&lt;INDEX('Lease Cycles'!$DK$14:$DQ$14,1,AI112),0,IF(AI113=INDEX('Lease Cycles'!$DK$14:$DQ$14,1,AI112),1-INDEX('Lease Cycles'!$DR$14:$DX$14,1,AI112),1))),0)</f>
        <v>3266.6666666666665</v>
      </c>
      <c r="AJ118" s="28">
        <f>IF(AJ114=1,IF(INDEX('Lease Cycles'!$EF$14:$EL$14,1,AJ112)=1,AJ115*INDEX('Lease Cycles'!$EM$14:$ES$14,1,AJ112)+AJ116*IF(AJ113&lt;INDEX('Lease Cycles'!$FA$14:$FG$14,1,AJ112),0,1-INDEX('Lease Cycles'!$EM$14:$ES$14,1,AJ112)),AJ115*IF(AJ113&lt;INDEX('Lease Cycles'!$DK$14:$DQ$14,1,AJ112),0,IF(AJ113=INDEX('Lease Cycles'!$DK$14:$DQ$14,1,AJ112),1-INDEX('Lease Cycles'!$DR$14:$DX$14,1,AJ112),1))),0)</f>
        <v>3266.6666666666665</v>
      </c>
      <c r="AK118" s="28">
        <f>IF(AK114=1,IF(INDEX('Lease Cycles'!$EF$14:$EL$14,1,AK112)=1,AK115*INDEX('Lease Cycles'!$EM$14:$ES$14,1,AK112)+AK116*IF(AK113&lt;INDEX('Lease Cycles'!$FA$14:$FG$14,1,AK112),0,1-INDEX('Lease Cycles'!$EM$14:$ES$14,1,AK112)),AK115*IF(AK113&lt;INDEX('Lease Cycles'!$DK$14:$DQ$14,1,AK112),0,IF(AK113=INDEX('Lease Cycles'!$DK$14:$DQ$14,1,AK112),1-INDEX('Lease Cycles'!$DR$14:$DX$14,1,AK112),1))),0)</f>
        <v>3266.6666666666665</v>
      </c>
      <c r="AL118" s="28">
        <f>IF(AL114=1,IF(INDEX('Lease Cycles'!$EF$14:$EL$14,1,AL112)=1,AL115*INDEX('Lease Cycles'!$EM$14:$ES$14,1,AL112)+AL116*IF(AL113&lt;INDEX('Lease Cycles'!$FA$14:$FG$14,1,AL112),0,1-INDEX('Lease Cycles'!$EM$14:$ES$14,1,AL112)),AL115*IF(AL113&lt;INDEX('Lease Cycles'!$DK$14:$DQ$14,1,AL112),0,IF(AL113=INDEX('Lease Cycles'!$DK$14:$DQ$14,1,AL112),1-INDEX('Lease Cycles'!$DR$14:$DX$14,1,AL112),1))),0)</f>
        <v>3266.6666666666665</v>
      </c>
      <c r="AM118" s="28">
        <f>IF(AM114=1,IF(INDEX('Lease Cycles'!$EF$14:$EL$14,1,AM112)=1,AM115*INDEX('Lease Cycles'!$EM$14:$ES$14,1,AM112)+AM116*IF(AM113&lt;INDEX('Lease Cycles'!$FA$14:$FG$14,1,AM112),0,1-INDEX('Lease Cycles'!$EM$14:$ES$14,1,AM112)),AM115*IF(AM113&lt;INDEX('Lease Cycles'!$DK$14:$DQ$14,1,AM112),0,IF(AM113=INDEX('Lease Cycles'!$DK$14:$DQ$14,1,AM112),1-INDEX('Lease Cycles'!$DR$14:$DX$14,1,AM112),1))),0)</f>
        <v>3266.6666666666665</v>
      </c>
      <c r="AN118" s="28">
        <f>IF(AN114=1,IF(INDEX('Lease Cycles'!$EF$14:$EL$14,1,AN112)=1,AN115*INDEX('Lease Cycles'!$EM$14:$ES$14,1,AN112)+AN116*IF(AN113&lt;INDEX('Lease Cycles'!$FA$14:$FG$14,1,AN112),0,1-INDEX('Lease Cycles'!$EM$14:$ES$14,1,AN112)),AN115*IF(AN113&lt;INDEX('Lease Cycles'!$DK$14:$DQ$14,1,AN112),0,IF(AN113=INDEX('Lease Cycles'!$DK$14:$DQ$14,1,AN112),1-INDEX('Lease Cycles'!$DR$14:$DX$14,1,AN112),1))),0)</f>
        <v>3266.6666666666665</v>
      </c>
      <c r="AO118" s="28">
        <f>IF(AO114=1,IF(INDEX('Lease Cycles'!$EF$14:$EL$14,1,AO112)=1,AO115*INDEX('Lease Cycles'!$EM$14:$ES$14,1,AO112)+AO116*IF(AO113&lt;INDEX('Lease Cycles'!$FA$14:$FG$14,1,AO112),0,1-INDEX('Lease Cycles'!$EM$14:$ES$14,1,AO112)),AO115*IF(AO113&lt;INDEX('Lease Cycles'!$DK$14:$DQ$14,1,AO112),0,IF(AO113=INDEX('Lease Cycles'!$DK$14:$DQ$14,1,AO112),1-INDEX('Lease Cycles'!$DR$14:$DX$14,1,AO112),1))),0)</f>
        <v>3266.6666666666665</v>
      </c>
      <c r="AP118" s="28">
        <f>IF(AP114=1,IF(INDEX('Lease Cycles'!$EF$14:$EL$14,1,AP112)=1,AP115*INDEX('Lease Cycles'!$EM$14:$ES$14,1,AP112)+AP116*IF(AP113&lt;INDEX('Lease Cycles'!$FA$14:$FG$14,1,AP112),0,1-INDEX('Lease Cycles'!$EM$14:$ES$14,1,AP112)),AP115*IF(AP113&lt;INDEX('Lease Cycles'!$DK$14:$DQ$14,1,AP112),0,IF(AP113=INDEX('Lease Cycles'!$DK$14:$DQ$14,1,AP112),1-INDEX('Lease Cycles'!$DR$14:$DX$14,1,AP112),1))),0)</f>
        <v>3266.6666666666665</v>
      </c>
      <c r="AQ118" s="28">
        <f>IF(AQ114=1,IF(INDEX('Lease Cycles'!$EF$14:$EL$14,1,AQ112)=1,AQ115*INDEX('Lease Cycles'!$EM$14:$ES$14,1,AQ112)+AQ116*IF(AQ113&lt;INDEX('Lease Cycles'!$FA$14:$FG$14,1,AQ112),0,1-INDEX('Lease Cycles'!$EM$14:$ES$14,1,AQ112)),AQ115*IF(AQ113&lt;INDEX('Lease Cycles'!$DK$14:$DQ$14,1,AQ112),0,IF(AQ113=INDEX('Lease Cycles'!$DK$14:$DQ$14,1,AQ112),1-INDEX('Lease Cycles'!$DR$14:$DX$14,1,AQ112),1))),0)</f>
        <v>3266.6666666666665</v>
      </c>
      <c r="AR118" s="28">
        <f>IF(AR114=1,IF(INDEX('Lease Cycles'!$EF$14:$EL$14,1,AR112)=1,AR115*INDEX('Lease Cycles'!$EM$14:$ES$14,1,AR112)+AR116*IF(AR113&lt;INDEX('Lease Cycles'!$FA$14:$FG$14,1,AR112),0,1-INDEX('Lease Cycles'!$EM$14:$ES$14,1,AR112)),AR115*IF(AR113&lt;INDEX('Lease Cycles'!$DK$14:$DQ$14,1,AR112),0,IF(AR113=INDEX('Lease Cycles'!$DK$14:$DQ$14,1,AR112),1-INDEX('Lease Cycles'!$DR$14:$DX$14,1,AR112),1))),0)</f>
        <v>3266.6666666666665</v>
      </c>
      <c r="AS118" s="28">
        <f>IF(AS114=1,IF(INDEX('Lease Cycles'!$EF$14:$EL$14,1,AS112)=1,AS115*INDEX('Lease Cycles'!$EM$14:$ES$14,1,AS112)+AS116*IF(AS113&lt;INDEX('Lease Cycles'!$FA$14:$FG$14,1,AS112),0,1-INDEX('Lease Cycles'!$EM$14:$ES$14,1,AS112)),AS115*IF(AS113&lt;INDEX('Lease Cycles'!$DK$14:$DQ$14,1,AS112),0,IF(AS113=INDEX('Lease Cycles'!$DK$14:$DQ$14,1,AS112),1-INDEX('Lease Cycles'!$DR$14:$DX$14,1,AS112),1))),0)</f>
        <v>3266.6666666666665</v>
      </c>
      <c r="AT118" s="28">
        <f>IF(AT114=1,IF(INDEX('Lease Cycles'!$EF$14:$EL$14,1,AT112)=1,AT115*INDEX('Lease Cycles'!$EM$14:$ES$14,1,AT112)+AT116*IF(AT113&lt;INDEX('Lease Cycles'!$FA$14:$FG$14,1,AT112),0,1-INDEX('Lease Cycles'!$EM$14:$ES$14,1,AT112)),AT115*IF(AT113&lt;INDEX('Lease Cycles'!$DK$14:$DQ$14,1,AT112),0,IF(AT113=INDEX('Lease Cycles'!$DK$14:$DQ$14,1,AT112),1-INDEX('Lease Cycles'!$DR$14:$DX$14,1,AT112),1))),0)</f>
        <v>0</v>
      </c>
      <c r="AU118" s="28">
        <f>IF(AU114=1,IF(INDEX('Lease Cycles'!$EF$14:$EL$14,1,AU112)=1,AU115*INDEX('Lease Cycles'!$EM$14:$ES$14,1,AU112)+AU116*IF(AU113&lt;INDEX('Lease Cycles'!$FA$14:$FG$14,1,AU112),0,1-INDEX('Lease Cycles'!$EM$14:$ES$14,1,AU112)),AU115*IF(AU113&lt;INDEX('Lease Cycles'!$DK$14:$DQ$14,1,AU112),0,IF(AU113=INDEX('Lease Cycles'!$DK$14:$DQ$14,1,AU112),1-INDEX('Lease Cycles'!$DR$14:$DX$14,1,AU112),1))),0)</f>
        <v>462.4896711382909</v>
      </c>
      <c r="AV118" s="28">
        <f>IF(AV114=1,IF(INDEX('Lease Cycles'!$EF$14:$EL$14,1,AV112)=1,AV115*INDEX('Lease Cycles'!$EM$14:$ES$14,1,AV112)+AV116*IF(AV113&lt;INDEX('Lease Cycles'!$FA$14:$FG$14,1,AV112),0,1-INDEX('Lease Cycles'!$EM$14:$ES$14,1,AV112)),AV115*IF(AV113&lt;INDEX('Lease Cycles'!$DK$14:$DQ$14,1,AV112),0,IF(AV113=INDEX('Lease Cycles'!$DK$14:$DQ$14,1,AV112),1-INDEX('Lease Cycles'!$DR$14:$DX$14,1,AV112),1))),0)</f>
        <v>2312.4483556914447</v>
      </c>
      <c r="AW118" s="28">
        <f>IF(AW114=1,IF(INDEX('Lease Cycles'!$EF$14:$EL$14,1,AW112)=1,AW115*INDEX('Lease Cycles'!$EM$14:$ES$14,1,AW112)+AW116*IF(AW113&lt;INDEX('Lease Cycles'!$FA$14:$FG$14,1,AW112),0,1-INDEX('Lease Cycles'!$EM$14:$ES$14,1,AW112)),AW115*IF(AW113&lt;INDEX('Lease Cycles'!$DK$14:$DQ$14,1,AW112),0,IF(AW113=INDEX('Lease Cycles'!$DK$14:$DQ$14,1,AW112),1-INDEX('Lease Cycles'!$DR$14:$DX$14,1,AW112),1))),0)</f>
        <v>2312.4483556914447</v>
      </c>
      <c r="AX118" s="28">
        <f>IF(AX114=1,IF(INDEX('Lease Cycles'!$EF$14:$EL$14,1,AX112)=1,AX115*INDEX('Lease Cycles'!$EM$14:$ES$14,1,AX112)+AX116*IF(AX113&lt;INDEX('Lease Cycles'!$FA$14:$FG$14,1,AX112),0,1-INDEX('Lease Cycles'!$EM$14:$ES$14,1,AX112)),AX115*IF(AX113&lt;INDEX('Lease Cycles'!$DK$14:$DQ$14,1,AX112),0,IF(AX113=INDEX('Lease Cycles'!$DK$14:$DQ$14,1,AX112),1-INDEX('Lease Cycles'!$DR$14:$DX$14,1,AX112),1))),0)</f>
        <v>2312.4483556914447</v>
      </c>
      <c r="AY118" s="28">
        <f>IF(AY114=1,IF(INDEX('Lease Cycles'!$EF$14:$EL$14,1,AY112)=1,AY115*INDEX('Lease Cycles'!$EM$14:$ES$14,1,AY112)+AY116*IF(AY113&lt;INDEX('Lease Cycles'!$FA$14:$FG$14,1,AY112),0,1-INDEX('Lease Cycles'!$EM$14:$ES$14,1,AY112)),AY115*IF(AY113&lt;INDEX('Lease Cycles'!$DK$14:$DQ$14,1,AY112),0,IF(AY113=INDEX('Lease Cycles'!$DK$14:$DQ$14,1,AY112),1-INDEX('Lease Cycles'!$DR$14:$DX$14,1,AY112),1))),0)</f>
        <v>2312.4483556914447</v>
      </c>
      <c r="AZ118" s="28">
        <f>IF(AZ114=1,IF(INDEX('Lease Cycles'!$EF$14:$EL$14,1,AZ112)=1,AZ115*INDEX('Lease Cycles'!$EM$14:$ES$14,1,AZ112)+AZ116*IF(AZ113&lt;INDEX('Lease Cycles'!$FA$14:$FG$14,1,AZ112),0,1-INDEX('Lease Cycles'!$EM$14:$ES$14,1,AZ112)),AZ115*IF(AZ113&lt;INDEX('Lease Cycles'!$DK$14:$DQ$14,1,AZ112),0,IF(AZ113=INDEX('Lease Cycles'!$DK$14:$DQ$14,1,AZ112),1-INDEX('Lease Cycles'!$DR$14:$DX$14,1,AZ112),1))),0)</f>
        <v>2312.4483556914447</v>
      </c>
      <c r="BA118" s="28">
        <f>IF(BA114=1,IF(INDEX('Lease Cycles'!$EF$14:$EL$14,1,BA112)=1,BA115*INDEX('Lease Cycles'!$EM$14:$ES$14,1,BA112)+BA116*IF(BA113&lt;INDEX('Lease Cycles'!$FA$14:$FG$14,1,BA112),0,1-INDEX('Lease Cycles'!$EM$14:$ES$14,1,BA112)),BA115*IF(BA113&lt;INDEX('Lease Cycles'!$DK$14:$DQ$14,1,BA112),0,IF(BA113=INDEX('Lease Cycles'!$DK$14:$DQ$14,1,BA112),1-INDEX('Lease Cycles'!$DR$14:$DX$14,1,BA112),1))),0)</f>
        <v>2312.4483556914447</v>
      </c>
      <c r="BB118" s="28">
        <f>IF(BB114=1,IF(INDEX('Lease Cycles'!$EF$14:$EL$14,1,BB112)=1,BB115*INDEX('Lease Cycles'!$EM$14:$ES$14,1,BB112)+BB116*IF(BB113&lt;INDEX('Lease Cycles'!$FA$14:$FG$14,1,BB112),0,1-INDEX('Lease Cycles'!$EM$14:$ES$14,1,BB112)),BB115*IF(BB113&lt;INDEX('Lease Cycles'!$DK$14:$DQ$14,1,BB112),0,IF(BB113=INDEX('Lease Cycles'!$DK$14:$DQ$14,1,BB112),1-INDEX('Lease Cycles'!$DR$14:$DX$14,1,BB112),1))),0)</f>
        <v>2312.4483556914447</v>
      </c>
      <c r="BC118" s="28">
        <f>IF(BC114=1,IF(INDEX('Lease Cycles'!$EF$14:$EL$14,1,BC112)=1,BC115*INDEX('Lease Cycles'!$EM$14:$ES$14,1,BC112)+BC116*IF(BC113&lt;INDEX('Lease Cycles'!$FA$14:$FG$14,1,BC112),0,1-INDEX('Lease Cycles'!$EM$14:$ES$14,1,BC112)),BC115*IF(BC113&lt;INDEX('Lease Cycles'!$DK$14:$DQ$14,1,BC112),0,IF(BC113=INDEX('Lease Cycles'!$DK$14:$DQ$14,1,BC112),1-INDEX('Lease Cycles'!$DR$14:$DX$14,1,BC112),1))),0)</f>
        <v>2312.4483556914447</v>
      </c>
      <c r="BD118" s="28">
        <f>IF(BD114=1,IF(INDEX('Lease Cycles'!$EF$14:$EL$14,1,BD112)=1,BD115*INDEX('Lease Cycles'!$EM$14:$ES$14,1,BD112)+BD116*IF(BD113&lt;INDEX('Lease Cycles'!$FA$14:$FG$14,1,BD112),0,1-INDEX('Lease Cycles'!$EM$14:$ES$14,1,BD112)),BD115*IF(BD113&lt;INDEX('Lease Cycles'!$DK$14:$DQ$14,1,BD112),0,IF(BD113=INDEX('Lease Cycles'!$DK$14:$DQ$14,1,BD112),1-INDEX('Lease Cycles'!$DR$14:$DX$14,1,BD112),1))),0)</f>
        <v>2312.4483556914447</v>
      </c>
      <c r="BE118" s="28">
        <f>IF(BE114=1,IF(INDEX('Lease Cycles'!$EF$14:$EL$14,1,BE112)=1,BE115*INDEX('Lease Cycles'!$EM$14:$ES$14,1,BE112)+BE116*IF(BE113&lt;INDEX('Lease Cycles'!$FA$14:$FG$14,1,BE112),0,1-INDEX('Lease Cycles'!$EM$14:$ES$14,1,BE112)),BE115*IF(BE113&lt;INDEX('Lease Cycles'!$DK$14:$DQ$14,1,BE112),0,IF(BE113=INDEX('Lease Cycles'!$DK$14:$DQ$14,1,BE112),1-INDEX('Lease Cycles'!$DR$14:$DX$14,1,BE112),1))),0)</f>
        <v>2312.4483556914447</v>
      </c>
      <c r="BF118" s="28">
        <f>IF(BF114=1,IF(INDEX('Lease Cycles'!$EF$14:$EL$14,1,BF112)=1,BF115*INDEX('Lease Cycles'!$EM$14:$ES$14,1,BF112)+BF116*IF(BF113&lt;INDEX('Lease Cycles'!$FA$14:$FG$14,1,BF112),0,1-INDEX('Lease Cycles'!$EM$14:$ES$14,1,BF112)),BF115*IF(BF113&lt;INDEX('Lease Cycles'!$DK$14:$DQ$14,1,BF112),0,IF(BF113=INDEX('Lease Cycles'!$DK$14:$DQ$14,1,BF112),1-INDEX('Lease Cycles'!$DR$14:$DX$14,1,BF112),1))),0)</f>
        <v>2312.4483556914447</v>
      </c>
      <c r="BG118" s="28">
        <f>IF(BG114=1,IF(INDEX('Lease Cycles'!$EF$14:$EL$14,1,BG112)=1,BG115*INDEX('Lease Cycles'!$EM$14:$ES$14,1,BG112)+BG116*IF(BG113&lt;INDEX('Lease Cycles'!$FA$14:$FG$14,1,BG112),0,1-INDEX('Lease Cycles'!$EM$14:$ES$14,1,BG112)),BG115*IF(BG113&lt;INDEX('Lease Cycles'!$DK$14:$DQ$14,1,BG112),0,IF(BG113=INDEX('Lease Cycles'!$DK$14:$DQ$14,1,BG112),1-INDEX('Lease Cycles'!$DR$14:$DX$14,1,BG112),1))),0)</f>
        <v>2381.821806362188</v>
      </c>
      <c r="BH118" s="28">
        <f>IF(BH114=1,IF(INDEX('Lease Cycles'!$EF$14:$EL$14,1,BH112)=1,BH115*INDEX('Lease Cycles'!$EM$14:$ES$14,1,BH112)+BH116*IF(BH113&lt;INDEX('Lease Cycles'!$FA$14:$FG$14,1,BH112),0,1-INDEX('Lease Cycles'!$EM$14:$ES$14,1,BH112)),BH115*IF(BH113&lt;INDEX('Lease Cycles'!$DK$14:$DQ$14,1,BH112),0,IF(BH113=INDEX('Lease Cycles'!$DK$14:$DQ$14,1,BH112),1-INDEX('Lease Cycles'!$DR$14:$DX$14,1,BH112),1))),0)</f>
        <v>2381.821806362188</v>
      </c>
      <c r="BI118" s="28">
        <f>IF(BI114=1,IF(INDEX('Lease Cycles'!$EF$14:$EL$14,1,BI112)=1,BI115*INDEX('Lease Cycles'!$EM$14:$ES$14,1,BI112)+BI116*IF(BI113&lt;INDEX('Lease Cycles'!$FA$14:$FG$14,1,BI112),0,1-INDEX('Lease Cycles'!$EM$14:$ES$14,1,BI112)),BI115*IF(BI113&lt;INDEX('Lease Cycles'!$DK$14:$DQ$14,1,BI112),0,IF(BI113=INDEX('Lease Cycles'!$DK$14:$DQ$14,1,BI112),1-INDEX('Lease Cycles'!$DR$14:$DX$14,1,BI112),1))),0)</f>
        <v>2381.821806362188</v>
      </c>
      <c r="BJ118" s="28">
        <f>IF(BJ114=1,IF(INDEX('Lease Cycles'!$EF$14:$EL$14,1,BJ112)=1,BJ115*INDEX('Lease Cycles'!$EM$14:$ES$14,1,BJ112)+BJ116*IF(BJ113&lt;INDEX('Lease Cycles'!$FA$14:$FG$14,1,BJ112),0,1-INDEX('Lease Cycles'!$EM$14:$ES$14,1,BJ112)),BJ115*IF(BJ113&lt;INDEX('Lease Cycles'!$DK$14:$DQ$14,1,BJ112),0,IF(BJ113=INDEX('Lease Cycles'!$DK$14:$DQ$14,1,BJ112),1-INDEX('Lease Cycles'!$DR$14:$DX$14,1,BJ112),1))),0)</f>
        <v>2381.821806362188</v>
      </c>
      <c r="BK118" s="28">
        <f>IF(BK114=1,IF(INDEX('Lease Cycles'!$EF$14:$EL$14,1,BK112)=1,BK115*INDEX('Lease Cycles'!$EM$14:$ES$14,1,BK112)+BK116*IF(BK113&lt;INDEX('Lease Cycles'!$FA$14:$FG$14,1,BK112),0,1-INDEX('Lease Cycles'!$EM$14:$ES$14,1,BK112)),BK115*IF(BK113&lt;INDEX('Lease Cycles'!$DK$14:$DQ$14,1,BK112),0,IF(BK113=INDEX('Lease Cycles'!$DK$14:$DQ$14,1,BK112),1-INDEX('Lease Cycles'!$DR$14:$DX$14,1,BK112),1))),0)</f>
        <v>2381.821806362188</v>
      </c>
      <c r="BL118" s="28">
        <f>IF(BL114=1,IF(INDEX('Lease Cycles'!$EF$14:$EL$14,1,BL112)=1,BL115*INDEX('Lease Cycles'!$EM$14:$ES$14,1,BL112)+BL116*IF(BL113&lt;INDEX('Lease Cycles'!$FA$14:$FG$14,1,BL112),0,1-INDEX('Lease Cycles'!$EM$14:$ES$14,1,BL112)),BL115*IF(BL113&lt;INDEX('Lease Cycles'!$DK$14:$DQ$14,1,BL112),0,IF(BL113=INDEX('Lease Cycles'!$DK$14:$DQ$14,1,BL112),1-INDEX('Lease Cycles'!$DR$14:$DX$14,1,BL112),1))),0)</f>
        <v>2381.821806362188</v>
      </c>
      <c r="BM118" s="28">
        <f>IF(BM114=1,IF(INDEX('Lease Cycles'!$EF$14:$EL$14,1,BM112)=1,BM115*INDEX('Lease Cycles'!$EM$14:$ES$14,1,BM112)+BM116*IF(BM113&lt;INDEX('Lease Cycles'!$FA$14:$FG$14,1,BM112),0,1-INDEX('Lease Cycles'!$EM$14:$ES$14,1,BM112)),BM115*IF(BM113&lt;INDEX('Lease Cycles'!$DK$14:$DQ$14,1,BM112),0,IF(BM113=INDEX('Lease Cycles'!$DK$14:$DQ$14,1,BM112),1-INDEX('Lease Cycles'!$DR$14:$DX$14,1,BM112),1))),0)</f>
        <v>2381.821806362188</v>
      </c>
      <c r="BN118" s="28">
        <f>IF(BN114=1,IF(INDEX('Lease Cycles'!$EF$14:$EL$14,1,BN112)=1,BN115*INDEX('Lease Cycles'!$EM$14:$ES$14,1,BN112)+BN116*IF(BN113&lt;INDEX('Lease Cycles'!$FA$14:$FG$14,1,BN112),0,1-INDEX('Lease Cycles'!$EM$14:$ES$14,1,BN112)),BN115*IF(BN113&lt;INDEX('Lease Cycles'!$DK$14:$DQ$14,1,BN112),0,IF(BN113=INDEX('Lease Cycles'!$DK$14:$DQ$14,1,BN112),1-INDEX('Lease Cycles'!$DR$14:$DX$14,1,BN112),1))),0)</f>
        <v>2381.821806362188</v>
      </c>
      <c r="BO118" s="28">
        <f>IF(BO114=1,IF(INDEX('Lease Cycles'!$EF$14:$EL$14,1,BO112)=1,BO115*INDEX('Lease Cycles'!$EM$14:$ES$14,1,BO112)+BO116*IF(BO113&lt;INDEX('Lease Cycles'!$FA$14:$FG$14,1,BO112),0,1-INDEX('Lease Cycles'!$EM$14:$ES$14,1,BO112)),BO115*IF(BO113&lt;INDEX('Lease Cycles'!$DK$14:$DQ$14,1,BO112),0,IF(BO113=INDEX('Lease Cycles'!$DK$14:$DQ$14,1,BO112),1-INDEX('Lease Cycles'!$DR$14:$DX$14,1,BO112),1))),0)</f>
        <v>2381.821806362188</v>
      </c>
      <c r="BP118" s="28">
        <f>IF(BP114=1,IF(INDEX('Lease Cycles'!$EF$14:$EL$14,1,BP112)=1,BP115*INDEX('Lease Cycles'!$EM$14:$ES$14,1,BP112)+BP116*IF(BP113&lt;INDEX('Lease Cycles'!$FA$14:$FG$14,1,BP112),0,1-INDEX('Lease Cycles'!$EM$14:$ES$14,1,BP112)),BP115*IF(BP113&lt;INDEX('Lease Cycles'!$DK$14:$DQ$14,1,BP112),0,IF(BP113=INDEX('Lease Cycles'!$DK$14:$DQ$14,1,BP112),1-INDEX('Lease Cycles'!$DR$14:$DX$14,1,BP112),1))),0)</f>
        <v>2381.821806362188</v>
      </c>
      <c r="BQ118" s="28">
        <f>IF(BQ114=1,IF(INDEX('Lease Cycles'!$EF$14:$EL$14,1,BQ112)=1,BQ115*INDEX('Lease Cycles'!$EM$14:$ES$14,1,BQ112)+BQ116*IF(BQ113&lt;INDEX('Lease Cycles'!$FA$14:$FG$14,1,BQ112),0,1-INDEX('Lease Cycles'!$EM$14:$ES$14,1,BQ112)),BQ115*IF(BQ113&lt;INDEX('Lease Cycles'!$DK$14:$DQ$14,1,BQ112),0,IF(BQ113=INDEX('Lease Cycles'!$DK$14:$DQ$14,1,BQ112),1-INDEX('Lease Cycles'!$DR$14:$DX$14,1,BQ112),1))),0)</f>
        <v>2381.821806362188</v>
      </c>
      <c r="BR118" s="28">
        <f>IF(BR114=1,IF(INDEX('Lease Cycles'!$EF$14:$EL$14,1,BR112)=1,BR115*INDEX('Lease Cycles'!$EM$14:$ES$14,1,BR112)+BR116*IF(BR113&lt;INDEX('Lease Cycles'!$FA$14:$FG$14,1,BR112),0,1-INDEX('Lease Cycles'!$EM$14:$ES$14,1,BR112)),BR115*IF(BR113&lt;INDEX('Lease Cycles'!$DK$14:$DQ$14,1,BR112),0,IF(BR113=INDEX('Lease Cycles'!$DK$14:$DQ$14,1,BR112),1-INDEX('Lease Cycles'!$DR$14:$DX$14,1,BR112),1))),0)</f>
        <v>2381.821806362188</v>
      </c>
      <c r="BS118" s="28">
        <f>IF(BS114=1,IF(INDEX('Lease Cycles'!$EF$14:$EL$14,1,BS112)=1,BS115*INDEX('Lease Cycles'!$EM$14:$ES$14,1,BS112)+BS116*IF(BS113&lt;INDEX('Lease Cycles'!$FA$14:$FG$14,1,BS112),0,1-INDEX('Lease Cycles'!$EM$14:$ES$14,1,BS112)),BS115*IF(BS113&lt;INDEX('Lease Cycles'!$DK$14:$DQ$14,1,BS112),0,IF(BS113=INDEX('Lease Cycles'!$DK$14:$DQ$14,1,BS112),1-INDEX('Lease Cycles'!$DR$14:$DX$14,1,BS112),1))),0)</f>
        <v>2453.2764605530533</v>
      </c>
      <c r="BT118" s="28">
        <f>IF(BT114=1,IF(INDEX('Lease Cycles'!$EF$14:$EL$14,1,BT112)=1,BT115*INDEX('Lease Cycles'!$EM$14:$ES$14,1,BT112)+BT116*IF(BT113&lt;INDEX('Lease Cycles'!$FA$14:$FG$14,1,BT112),0,1-INDEX('Lease Cycles'!$EM$14:$ES$14,1,BT112)),BT115*IF(BT113&lt;INDEX('Lease Cycles'!$DK$14:$DQ$14,1,BT112),0,IF(BT113=INDEX('Lease Cycles'!$DK$14:$DQ$14,1,BT112),1-INDEX('Lease Cycles'!$DR$14:$DX$14,1,BT112),1))),0)</f>
        <v>2453.2764605530533</v>
      </c>
      <c r="BU118" s="28">
        <f>IF(BU114=1,IF(INDEX('Lease Cycles'!$EF$14:$EL$14,1,BU112)=1,BU115*INDEX('Lease Cycles'!$EM$14:$ES$14,1,BU112)+BU116*IF(BU113&lt;INDEX('Lease Cycles'!$FA$14:$FG$14,1,BU112),0,1-INDEX('Lease Cycles'!$EM$14:$ES$14,1,BU112)),BU115*IF(BU113&lt;INDEX('Lease Cycles'!$DK$14:$DQ$14,1,BU112),0,IF(BU113=INDEX('Lease Cycles'!$DK$14:$DQ$14,1,BU112),1-INDEX('Lease Cycles'!$DR$14:$DX$14,1,BU112),1))),0)</f>
        <v>2453.2764605530533</v>
      </c>
      <c r="BV118" s="28">
        <f>IF(BV114=1,IF(INDEX('Lease Cycles'!$EF$14:$EL$14,1,BV112)=1,BV115*INDEX('Lease Cycles'!$EM$14:$ES$14,1,BV112)+BV116*IF(BV113&lt;INDEX('Lease Cycles'!$FA$14:$FG$14,1,BV112),0,1-INDEX('Lease Cycles'!$EM$14:$ES$14,1,BV112)),BV115*IF(BV113&lt;INDEX('Lease Cycles'!$DK$14:$DQ$14,1,BV112),0,IF(BV113=INDEX('Lease Cycles'!$DK$14:$DQ$14,1,BV112),1-INDEX('Lease Cycles'!$DR$14:$DX$14,1,BV112),1))),0)</f>
        <v>2453.2764605530533</v>
      </c>
      <c r="BW118" s="28">
        <f>IF(BW114=1,IF(INDEX('Lease Cycles'!$EF$14:$EL$14,1,BW112)=1,BW115*INDEX('Lease Cycles'!$EM$14:$ES$14,1,BW112)+BW116*IF(BW113&lt;INDEX('Lease Cycles'!$FA$14:$FG$14,1,BW112),0,1-INDEX('Lease Cycles'!$EM$14:$ES$14,1,BW112)),BW115*IF(BW113&lt;INDEX('Lease Cycles'!$DK$14:$DQ$14,1,BW112),0,IF(BW113=INDEX('Lease Cycles'!$DK$14:$DQ$14,1,BW112),1-INDEX('Lease Cycles'!$DR$14:$DX$14,1,BW112),1))),0)</f>
        <v>2453.2764605530533</v>
      </c>
      <c r="BX118" s="28">
        <f>IF(BX114=1,IF(INDEX('Lease Cycles'!$EF$14:$EL$14,1,BX112)=1,BX115*INDEX('Lease Cycles'!$EM$14:$ES$14,1,BX112)+BX116*IF(BX113&lt;INDEX('Lease Cycles'!$FA$14:$FG$14,1,BX112),0,1-INDEX('Lease Cycles'!$EM$14:$ES$14,1,BX112)),BX115*IF(BX113&lt;INDEX('Lease Cycles'!$DK$14:$DQ$14,1,BX112),0,IF(BX113=INDEX('Lease Cycles'!$DK$14:$DQ$14,1,BX112),1-INDEX('Lease Cycles'!$DR$14:$DX$14,1,BX112),1))),0)</f>
        <v>2453.2764605530533</v>
      </c>
      <c r="BY118" s="28">
        <f>IF(BY114=1,IF(INDEX('Lease Cycles'!$EF$14:$EL$14,1,BY112)=1,BY115*INDEX('Lease Cycles'!$EM$14:$ES$14,1,BY112)+BY116*IF(BY113&lt;INDEX('Lease Cycles'!$FA$14:$FG$14,1,BY112),0,1-INDEX('Lease Cycles'!$EM$14:$ES$14,1,BY112)),BY115*IF(BY113&lt;INDEX('Lease Cycles'!$DK$14:$DQ$14,1,BY112),0,IF(BY113=INDEX('Lease Cycles'!$DK$14:$DQ$14,1,BY112),1-INDEX('Lease Cycles'!$DR$14:$DX$14,1,BY112),1))),0)</f>
        <v>2453.2764605530533</v>
      </c>
      <c r="BZ118" s="28">
        <f>IF(BZ114=1,IF(INDEX('Lease Cycles'!$EF$14:$EL$14,1,BZ112)=1,BZ115*INDEX('Lease Cycles'!$EM$14:$ES$14,1,BZ112)+BZ116*IF(BZ113&lt;INDEX('Lease Cycles'!$FA$14:$FG$14,1,BZ112),0,1-INDEX('Lease Cycles'!$EM$14:$ES$14,1,BZ112)),BZ115*IF(BZ113&lt;INDEX('Lease Cycles'!$DK$14:$DQ$14,1,BZ112),0,IF(BZ113=INDEX('Lease Cycles'!$DK$14:$DQ$14,1,BZ112),1-INDEX('Lease Cycles'!$DR$14:$DX$14,1,BZ112),1))),0)</f>
        <v>2453.2764605530533</v>
      </c>
      <c r="CA118" s="28">
        <f>IF(CA114=1,IF(INDEX('Lease Cycles'!$EF$14:$EL$14,1,CA112)=1,CA115*INDEX('Lease Cycles'!$EM$14:$ES$14,1,CA112)+CA116*IF(CA113&lt;INDEX('Lease Cycles'!$FA$14:$FG$14,1,CA112),0,1-INDEX('Lease Cycles'!$EM$14:$ES$14,1,CA112)),CA115*IF(CA113&lt;INDEX('Lease Cycles'!$DK$14:$DQ$14,1,CA112),0,IF(CA113=INDEX('Lease Cycles'!$DK$14:$DQ$14,1,CA112),1-INDEX('Lease Cycles'!$DR$14:$DX$14,1,CA112),1))),0)</f>
        <v>2453.2764605530533</v>
      </c>
      <c r="CB118" s="28">
        <f>IF(CB114=1,IF(INDEX('Lease Cycles'!$EF$14:$EL$14,1,CB112)=1,CB115*INDEX('Lease Cycles'!$EM$14:$ES$14,1,CB112)+CB116*IF(CB113&lt;INDEX('Lease Cycles'!$FA$14:$FG$14,1,CB112),0,1-INDEX('Lease Cycles'!$EM$14:$ES$14,1,CB112)),CB115*IF(CB113&lt;INDEX('Lease Cycles'!$DK$14:$DQ$14,1,CB112),0,IF(CB113=INDEX('Lease Cycles'!$DK$14:$DQ$14,1,CB112),1-INDEX('Lease Cycles'!$DR$14:$DX$14,1,CB112),1))),0)</f>
        <v>2453.2764605530533</v>
      </c>
      <c r="CC118" s="28">
        <f>IF(CC114=1,IF(INDEX('Lease Cycles'!$EF$14:$EL$14,1,CC112)=1,CC115*INDEX('Lease Cycles'!$EM$14:$ES$14,1,CC112)+CC116*IF(CC113&lt;INDEX('Lease Cycles'!$FA$14:$FG$14,1,CC112),0,1-INDEX('Lease Cycles'!$EM$14:$ES$14,1,CC112)),CC115*IF(CC113&lt;INDEX('Lease Cycles'!$DK$14:$DQ$14,1,CC112),0,IF(CC113=INDEX('Lease Cycles'!$DK$14:$DQ$14,1,CC112),1-INDEX('Lease Cycles'!$DR$14:$DX$14,1,CC112),1))),0)</f>
        <v>2453.2764605530533</v>
      </c>
      <c r="CD118" s="28">
        <f>IF(CD114=1,IF(INDEX('Lease Cycles'!$EF$14:$EL$14,1,CD112)=1,CD115*INDEX('Lease Cycles'!$EM$14:$ES$14,1,CD112)+CD116*IF(CD113&lt;INDEX('Lease Cycles'!$FA$14:$FG$14,1,CD112),0,1-INDEX('Lease Cycles'!$EM$14:$ES$14,1,CD112)),CD115*IF(CD113&lt;INDEX('Lease Cycles'!$DK$14:$DQ$14,1,CD112),0,IF(CD113=INDEX('Lease Cycles'!$DK$14:$DQ$14,1,CD112),1-INDEX('Lease Cycles'!$DR$14:$DX$14,1,CD112),1))),0)</f>
        <v>2453.2764605530533</v>
      </c>
      <c r="CE118" s="28">
        <f>IF(CE114=1,IF(INDEX('Lease Cycles'!$EF$14:$EL$14,1,CE112)=1,CE115*INDEX('Lease Cycles'!$EM$14:$ES$14,1,CE112)+CE116*IF(CE113&lt;INDEX('Lease Cycles'!$FA$14:$FG$14,1,CE112),0,1-INDEX('Lease Cycles'!$EM$14:$ES$14,1,CE112)),CE115*IF(CE113&lt;INDEX('Lease Cycles'!$DK$14:$DQ$14,1,CE112),0,IF(CE113=INDEX('Lease Cycles'!$DK$14:$DQ$14,1,CE112),1-INDEX('Lease Cycles'!$DR$14:$DX$14,1,CE112),1))),0)</f>
        <v>2526.8747543696454</v>
      </c>
      <c r="CF118" s="28">
        <f>IF(CF114=1,IF(INDEX('Lease Cycles'!$EF$14:$EL$14,1,CF112)=1,CF115*INDEX('Lease Cycles'!$EM$14:$ES$14,1,CF112)+CF116*IF(CF113&lt;INDEX('Lease Cycles'!$FA$14:$FG$14,1,CF112),0,1-INDEX('Lease Cycles'!$EM$14:$ES$14,1,CF112)),CF115*IF(CF113&lt;INDEX('Lease Cycles'!$DK$14:$DQ$14,1,CF112),0,IF(CF113=INDEX('Lease Cycles'!$DK$14:$DQ$14,1,CF112),1-INDEX('Lease Cycles'!$DR$14:$DX$14,1,CF112),1))),0)</f>
        <v>2526.8747543696454</v>
      </c>
      <c r="CG118" s="28">
        <f>IF(CG114=1,IF(INDEX('Lease Cycles'!$EF$14:$EL$14,1,CG112)=1,CG115*INDEX('Lease Cycles'!$EM$14:$ES$14,1,CG112)+CG116*IF(CG113&lt;INDEX('Lease Cycles'!$FA$14:$FG$14,1,CG112),0,1-INDEX('Lease Cycles'!$EM$14:$ES$14,1,CG112)),CG115*IF(CG113&lt;INDEX('Lease Cycles'!$DK$14:$DQ$14,1,CG112),0,IF(CG113=INDEX('Lease Cycles'!$DK$14:$DQ$14,1,CG112),1-INDEX('Lease Cycles'!$DR$14:$DX$14,1,CG112),1))),0)</f>
        <v>2526.8747543696454</v>
      </c>
      <c r="CH118" s="28">
        <f>IF(CH114=1,IF(INDEX('Lease Cycles'!$EF$14:$EL$14,1,CH112)=1,CH115*INDEX('Lease Cycles'!$EM$14:$ES$14,1,CH112)+CH116*IF(CH113&lt;INDEX('Lease Cycles'!$FA$14:$FG$14,1,CH112),0,1-INDEX('Lease Cycles'!$EM$14:$ES$14,1,CH112)),CH115*IF(CH113&lt;INDEX('Lease Cycles'!$DK$14:$DQ$14,1,CH112),0,IF(CH113=INDEX('Lease Cycles'!$DK$14:$DQ$14,1,CH112),1-INDEX('Lease Cycles'!$DR$14:$DX$14,1,CH112),1))),0)</f>
        <v>2526.8747543696454</v>
      </c>
      <c r="CI118" s="28">
        <f>IF(CI114=1,IF(INDEX('Lease Cycles'!$EF$14:$EL$14,1,CI112)=1,CI115*INDEX('Lease Cycles'!$EM$14:$ES$14,1,CI112)+CI116*IF(CI113&lt;INDEX('Lease Cycles'!$FA$14:$FG$14,1,CI112),0,1-INDEX('Lease Cycles'!$EM$14:$ES$14,1,CI112)),CI115*IF(CI113&lt;INDEX('Lease Cycles'!$DK$14:$DQ$14,1,CI112),0,IF(CI113=INDEX('Lease Cycles'!$DK$14:$DQ$14,1,CI112),1-INDEX('Lease Cycles'!$DR$14:$DX$14,1,CI112),1))),0)</f>
        <v>2526.8747543696454</v>
      </c>
      <c r="CJ118" s="28">
        <f>IF(CJ114=1,IF(INDEX('Lease Cycles'!$EF$14:$EL$14,1,CJ112)=1,CJ115*INDEX('Lease Cycles'!$EM$14:$ES$14,1,CJ112)+CJ116*IF(CJ113&lt;INDEX('Lease Cycles'!$FA$14:$FG$14,1,CJ112),0,1-INDEX('Lease Cycles'!$EM$14:$ES$14,1,CJ112)),CJ115*IF(CJ113&lt;INDEX('Lease Cycles'!$DK$14:$DQ$14,1,CJ112),0,IF(CJ113=INDEX('Lease Cycles'!$DK$14:$DQ$14,1,CJ112),1-INDEX('Lease Cycles'!$DR$14:$DX$14,1,CJ112),1))),0)</f>
        <v>2526.8747543696454</v>
      </c>
      <c r="CK118" s="28">
        <f>IF(CK114=1,IF(INDEX('Lease Cycles'!$EF$14:$EL$14,1,CK112)=1,CK115*INDEX('Lease Cycles'!$EM$14:$ES$14,1,CK112)+CK116*IF(CK113&lt;INDEX('Lease Cycles'!$FA$14:$FG$14,1,CK112),0,1-INDEX('Lease Cycles'!$EM$14:$ES$14,1,CK112)),CK115*IF(CK113&lt;INDEX('Lease Cycles'!$DK$14:$DQ$14,1,CK112),0,IF(CK113=INDEX('Lease Cycles'!$DK$14:$DQ$14,1,CK112),1-INDEX('Lease Cycles'!$DR$14:$DX$14,1,CK112),1))),0)</f>
        <v>2526.8747543696454</v>
      </c>
      <c r="CL118" s="28">
        <f>IF(CL114=1,IF(INDEX('Lease Cycles'!$EF$14:$EL$14,1,CL112)=1,CL115*INDEX('Lease Cycles'!$EM$14:$ES$14,1,CL112)+CL116*IF(CL113&lt;INDEX('Lease Cycles'!$FA$14:$FG$14,1,CL112),0,1-INDEX('Lease Cycles'!$EM$14:$ES$14,1,CL112)),CL115*IF(CL113&lt;INDEX('Lease Cycles'!$DK$14:$DQ$14,1,CL112),0,IF(CL113=INDEX('Lease Cycles'!$DK$14:$DQ$14,1,CL112),1-INDEX('Lease Cycles'!$DR$14:$DX$14,1,CL112),1))),0)</f>
        <v>2526.8747543696454</v>
      </c>
      <c r="CM118" s="28">
        <f>IF(CM114=1,IF(INDEX('Lease Cycles'!$EF$14:$EL$14,1,CM112)=1,CM115*INDEX('Lease Cycles'!$EM$14:$ES$14,1,CM112)+CM116*IF(CM113&lt;INDEX('Lease Cycles'!$FA$14:$FG$14,1,CM112),0,1-INDEX('Lease Cycles'!$EM$14:$ES$14,1,CM112)),CM115*IF(CM113&lt;INDEX('Lease Cycles'!$DK$14:$DQ$14,1,CM112),0,IF(CM113=INDEX('Lease Cycles'!$DK$14:$DQ$14,1,CM112),1-INDEX('Lease Cycles'!$DR$14:$DX$14,1,CM112),1))),0)</f>
        <v>2526.8747543696454</v>
      </c>
      <c r="CN118" s="28">
        <f>IF(CN114=1,IF(INDEX('Lease Cycles'!$EF$14:$EL$14,1,CN112)=1,CN115*INDEX('Lease Cycles'!$EM$14:$ES$14,1,CN112)+CN116*IF(CN113&lt;INDEX('Lease Cycles'!$FA$14:$FG$14,1,CN112),0,1-INDEX('Lease Cycles'!$EM$14:$ES$14,1,CN112)),CN115*IF(CN113&lt;INDEX('Lease Cycles'!$DK$14:$DQ$14,1,CN112),0,IF(CN113=INDEX('Lease Cycles'!$DK$14:$DQ$14,1,CN112),1-INDEX('Lease Cycles'!$DR$14:$DX$14,1,CN112),1))),0)</f>
        <v>2526.8747543696454</v>
      </c>
      <c r="CO118" s="28">
        <f>IF(CO114=1,IF(INDEX('Lease Cycles'!$EF$14:$EL$14,1,CO112)=1,CO115*INDEX('Lease Cycles'!$EM$14:$ES$14,1,CO112)+CO116*IF(CO113&lt;INDEX('Lease Cycles'!$FA$14:$FG$14,1,CO112),0,1-INDEX('Lease Cycles'!$EM$14:$ES$14,1,CO112)),CO115*IF(CO113&lt;INDEX('Lease Cycles'!$DK$14:$DQ$14,1,CO112),0,IF(CO113=INDEX('Lease Cycles'!$DK$14:$DQ$14,1,CO112),1-INDEX('Lease Cycles'!$DR$14:$DX$14,1,CO112),1))),0)</f>
        <v>2526.8747543696454</v>
      </c>
      <c r="CP118" s="28">
        <f>IF(CP114=1,IF(INDEX('Lease Cycles'!$EF$14:$EL$14,1,CP112)=1,CP115*INDEX('Lease Cycles'!$EM$14:$ES$14,1,CP112)+CP116*IF(CP113&lt;INDEX('Lease Cycles'!$FA$14:$FG$14,1,CP112),0,1-INDEX('Lease Cycles'!$EM$14:$ES$14,1,CP112)),CP115*IF(CP113&lt;INDEX('Lease Cycles'!$DK$14:$DQ$14,1,CP112),0,IF(CP113=INDEX('Lease Cycles'!$DK$14:$DQ$14,1,CP112),1-INDEX('Lease Cycles'!$DR$14:$DX$14,1,CP112),1))),0)</f>
        <v>2526.8747543696454</v>
      </c>
      <c r="CQ118" s="28">
        <f>IF(CQ114=1,IF(INDEX('Lease Cycles'!$EF$14:$EL$14,1,CQ112)=1,CQ115*INDEX('Lease Cycles'!$EM$14:$ES$14,1,CQ112)+CQ116*IF(CQ113&lt;INDEX('Lease Cycles'!$FA$14:$FG$14,1,CQ112),0,1-INDEX('Lease Cycles'!$EM$14:$ES$14,1,CQ112)),CQ115*IF(CQ113&lt;INDEX('Lease Cycles'!$DK$14:$DQ$14,1,CQ112),0,IF(CQ113=INDEX('Lease Cycles'!$DK$14:$DQ$14,1,CQ112),1-INDEX('Lease Cycles'!$DR$14:$DX$14,1,CQ112),1))),0)</f>
        <v>2602.680997000735</v>
      </c>
      <c r="CR118" s="28">
        <f>IF(CR114=1,IF(INDEX('Lease Cycles'!$EF$14:$EL$14,1,CR112)=1,CR115*INDEX('Lease Cycles'!$EM$14:$ES$14,1,CR112)+CR116*IF(CR113&lt;INDEX('Lease Cycles'!$FA$14:$FG$14,1,CR112),0,1-INDEX('Lease Cycles'!$EM$14:$ES$14,1,CR112)),CR115*IF(CR113&lt;INDEX('Lease Cycles'!$DK$14:$DQ$14,1,CR112),0,IF(CR113=INDEX('Lease Cycles'!$DK$14:$DQ$14,1,CR112),1-INDEX('Lease Cycles'!$DR$14:$DX$14,1,CR112),1))),0)</f>
        <v>2602.680997000735</v>
      </c>
      <c r="CS118" s="28">
        <f>IF(CS114=1,IF(INDEX('Lease Cycles'!$EF$14:$EL$14,1,CS112)=1,CS115*INDEX('Lease Cycles'!$EM$14:$ES$14,1,CS112)+CS116*IF(CS113&lt;INDEX('Lease Cycles'!$FA$14:$FG$14,1,CS112),0,1-INDEX('Lease Cycles'!$EM$14:$ES$14,1,CS112)),CS115*IF(CS113&lt;INDEX('Lease Cycles'!$DK$14:$DQ$14,1,CS112),0,IF(CS113=INDEX('Lease Cycles'!$DK$14:$DQ$14,1,CS112),1-INDEX('Lease Cycles'!$DR$14:$DX$14,1,CS112),1))),0)</f>
        <v>2602.680997000735</v>
      </c>
      <c r="CT118" s="28">
        <f>IF(CT114=1,IF(INDEX('Lease Cycles'!$EF$14:$EL$14,1,CT112)=1,CT115*INDEX('Lease Cycles'!$EM$14:$ES$14,1,CT112)+CT116*IF(CT113&lt;INDEX('Lease Cycles'!$FA$14:$FG$14,1,CT112),0,1-INDEX('Lease Cycles'!$EM$14:$ES$14,1,CT112)),CT115*IF(CT113&lt;INDEX('Lease Cycles'!$DK$14:$DQ$14,1,CT112),0,IF(CT113=INDEX('Lease Cycles'!$DK$14:$DQ$14,1,CT112),1-INDEX('Lease Cycles'!$DR$14:$DX$14,1,CT112),1))),0)</f>
        <v>2602.680997000735</v>
      </c>
      <c r="CU118" s="28">
        <f>IF(CU114=1,IF(INDEX('Lease Cycles'!$EF$14:$EL$14,1,CU112)=1,CU115*INDEX('Lease Cycles'!$EM$14:$ES$14,1,CU112)+CU116*IF(CU113&lt;INDEX('Lease Cycles'!$FA$14:$FG$14,1,CU112),0,1-INDEX('Lease Cycles'!$EM$14:$ES$14,1,CU112)),CU115*IF(CU113&lt;INDEX('Lease Cycles'!$DK$14:$DQ$14,1,CU112),0,IF(CU113=INDEX('Lease Cycles'!$DK$14:$DQ$14,1,CU112),1-INDEX('Lease Cycles'!$DR$14:$DX$14,1,CU112),1))),0)</f>
        <v>2602.680997000735</v>
      </c>
      <c r="CV118" s="28">
        <f>IF(CV114=1,IF(INDEX('Lease Cycles'!$EF$14:$EL$14,1,CV112)=1,CV115*INDEX('Lease Cycles'!$EM$14:$ES$14,1,CV112)+CV116*IF(CV113&lt;INDEX('Lease Cycles'!$FA$14:$FG$14,1,CV112),0,1-INDEX('Lease Cycles'!$EM$14:$ES$14,1,CV112)),CV115*IF(CV113&lt;INDEX('Lease Cycles'!$DK$14:$DQ$14,1,CV112),0,IF(CV113=INDEX('Lease Cycles'!$DK$14:$DQ$14,1,CV112),1-INDEX('Lease Cycles'!$DR$14:$DX$14,1,CV112),1))),0)</f>
        <v>2602.680997000735</v>
      </c>
      <c r="CW118" s="28">
        <f>IF(CW114=1,IF(INDEX('Lease Cycles'!$EF$14:$EL$14,1,CW112)=1,CW115*INDEX('Lease Cycles'!$EM$14:$ES$14,1,CW112)+CW116*IF(CW113&lt;INDEX('Lease Cycles'!$FA$14:$FG$14,1,CW112),0,1-INDEX('Lease Cycles'!$EM$14:$ES$14,1,CW112)),CW115*IF(CW113&lt;INDEX('Lease Cycles'!$DK$14:$DQ$14,1,CW112),0,IF(CW113=INDEX('Lease Cycles'!$DK$14:$DQ$14,1,CW112),1-INDEX('Lease Cycles'!$DR$14:$DX$14,1,CW112),1))),0)</f>
        <v>2602.680997000735</v>
      </c>
      <c r="CX118" s="28">
        <f>IF(CX114=1,IF(INDEX('Lease Cycles'!$EF$14:$EL$14,1,CX112)=1,CX115*INDEX('Lease Cycles'!$EM$14:$ES$14,1,CX112)+CX116*IF(CX113&lt;INDEX('Lease Cycles'!$FA$14:$FG$14,1,CX112),0,1-INDEX('Lease Cycles'!$EM$14:$ES$14,1,CX112)),CX115*IF(CX113&lt;INDEX('Lease Cycles'!$DK$14:$DQ$14,1,CX112),0,IF(CX113=INDEX('Lease Cycles'!$DK$14:$DQ$14,1,CX112),1-INDEX('Lease Cycles'!$DR$14:$DX$14,1,CX112),1))),0)</f>
        <v>2602.680997000735</v>
      </c>
      <c r="CY118" s="28">
        <f>IF(CY114=1,IF(INDEX('Lease Cycles'!$EF$14:$EL$14,1,CY112)=1,CY115*INDEX('Lease Cycles'!$EM$14:$ES$14,1,CY112)+CY116*IF(CY113&lt;INDEX('Lease Cycles'!$FA$14:$FG$14,1,CY112),0,1-INDEX('Lease Cycles'!$EM$14:$ES$14,1,CY112)),CY115*IF(CY113&lt;INDEX('Lease Cycles'!$DK$14:$DQ$14,1,CY112),0,IF(CY113=INDEX('Lease Cycles'!$DK$14:$DQ$14,1,CY112),1-INDEX('Lease Cycles'!$DR$14:$DX$14,1,CY112),1))),0)</f>
        <v>2602.680997000735</v>
      </c>
      <c r="CZ118" s="28">
        <f>IF(CZ114=1,IF(INDEX('Lease Cycles'!$EF$14:$EL$14,1,CZ112)=1,CZ115*INDEX('Lease Cycles'!$EM$14:$ES$14,1,CZ112)+CZ116*IF(CZ113&lt;INDEX('Lease Cycles'!$FA$14:$FG$14,1,CZ112),0,1-INDEX('Lease Cycles'!$EM$14:$ES$14,1,CZ112)),CZ115*IF(CZ113&lt;INDEX('Lease Cycles'!$DK$14:$DQ$14,1,CZ112),0,IF(CZ113=INDEX('Lease Cycles'!$DK$14:$DQ$14,1,CZ112),1-INDEX('Lease Cycles'!$DR$14:$DX$14,1,CZ112),1))),0)</f>
        <v>2602.680997000735</v>
      </c>
      <c r="DA118" s="28">
        <f>IF(DA114=1,IF(INDEX('Lease Cycles'!$EF$14:$EL$14,1,DA112)=1,DA115*INDEX('Lease Cycles'!$EM$14:$ES$14,1,DA112)+DA116*IF(DA113&lt;INDEX('Lease Cycles'!$FA$14:$FG$14,1,DA112),0,1-INDEX('Lease Cycles'!$EM$14:$ES$14,1,DA112)),DA115*IF(DA113&lt;INDEX('Lease Cycles'!$DK$14:$DQ$14,1,DA112),0,IF(DA113=INDEX('Lease Cycles'!$DK$14:$DQ$14,1,DA112),1-INDEX('Lease Cycles'!$DR$14:$DX$14,1,DA112),1))),0)</f>
        <v>2602.680997000735</v>
      </c>
      <c r="DB118" s="28">
        <f>IF(DB114=1,IF(INDEX('Lease Cycles'!$EF$14:$EL$14,1,DB112)=1,DB115*INDEX('Lease Cycles'!$EM$14:$ES$14,1,DB112)+DB116*IF(DB113&lt;INDEX('Lease Cycles'!$FA$14:$FG$14,1,DB112),0,1-INDEX('Lease Cycles'!$EM$14:$ES$14,1,DB112)),DB115*IF(DB113&lt;INDEX('Lease Cycles'!$DK$14:$DQ$14,1,DB112),0,IF(DB113=INDEX('Lease Cycles'!$DK$14:$DQ$14,1,DB112),1-INDEX('Lease Cycles'!$DR$14:$DX$14,1,DB112),1))),0)</f>
        <v>2602.680997000735</v>
      </c>
      <c r="DC118" s="28">
        <f>IF(DC114=1,IF(INDEX('Lease Cycles'!$EF$14:$EL$14,1,DC112)=1,DC115*INDEX('Lease Cycles'!$EM$14:$ES$14,1,DC112)+DC116*IF(DC113&lt;INDEX('Lease Cycles'!$FA$14:$FG$14,1,DC112),0,1-INDEX('Lease Cycles'!$EM$14:$ES$14,1,DC112)),DC115*IF(DC113&lt;INDEX('Lease Cycles'!$DK$14:$DQ$14,1,DC112),0,IF(DC113=INDEX('Lease Cycles'!$DK$14:$DQ$14,1,DC112),1-INDEX('Lease Cycles'!$DR$14:$DX$14,1,DC112),1))),0)</f>
        <v>2680.7614269107567</v>
      </c>
      <c r="DD118" s="28">
        <f>IF(DD114=1,IF(INDEX('Lease Cycles'!$EF$14:$EL$14,1,DD112)=1,DD115*INDEX('Lease Cycles'!$EM$14:$ES$14,1,DD112)+DD116*IF(DD113&lt;INDEX('Lease Cycles'!$FA$14:$FG$14,1,DD112),0,1-INDEX('Lease Cycles'!$EM$14:$ES$14,1,DD112)),DD115*IF(DD113&lt;INDEX('Lease Cycles'!$DK$14:$DQ$14,1,DD112),0,IF(DD113=INDEX('Lease Cycles'!$DK$14:$DQ$14,1,DD112),1-INDEX('Lease Cycles'!$DR$14:$DX$14,1,DD112),1))),0)</f>
        <v>2680.7614269107567</v>
      </c>
      <c r="DE118" s="28">
        <f>IF(DE114=1,IF(INDEX('Lease Cycles'!$EF$14:$EL$14,1,DE112)=1,DE115*INDEX('Lease Cycles'!$EM$14:$ES$14,1,DE112)+DE116*IF(DE113&lt;INDEX('Lease Cycles'!$FA$14:$FG$14,1,DE112),0,1-INDEX('Lease Cycles'!$EM$14:$ES$14,1,DE112)),DE115*IF(DE113&lt;INDEX('Lease Cycles'!$DK$14:$DQ$14,1,DE112),0,IF(DE113=INDEX('Lease Cycles'!$DK$14:$DQ$14,1,DE112),1-INDEX('Lease Cycles'!$DR$14:$DX$14,1,DE112),1))),0)</f>
        <v>2680.7614269107567</v>
      </c>
      <c r="DF118" s="28">
        <f>IF(DF114=1,IF(INDEX('Lease Cycles'!$EF$14:$EL$14,1,DF112)=1,DF115*INDEX('Lease Cycles'!$EM$14:$ES$14,1,DF112)+DF116*IF(DF113&lt;INDEX('Lease Cycles'!$FA$14:$FG$14,1,DF112),0,1-INDEX('Lease Cycles'!$EM$14:$ES$14,1,DF112)),DF115*IF(DF113&lt;INDEX('Lease Cycles'!$DK$14:$DQ$14,1,DF112),0,IF(DF113=INDEX('Lease Cycles'!$DK$14:$DQ$14,1,DF112),1-INDEX('Lease Cycles'!$DR$14:$DX$14,1,DF112),1))),0)</f>
        <v>2680.7614269107567</v>
      </c>
      <c r="DG118" s="28">
        <f>IF(DG114=1,IF(INDEX('Lease Cycles'!$EF$14:$EL$14,1,DG112)=1,DG115*INDEX('Lease Cycles'!$EM$14:$ES$14,1,DG112)+DG116*IF(DG113&lt;INDEX('Lease Cycles'!$FA$14:$FG$14,1,DG112),0,1-INDEX('Lease Cycles'!$EM$14:$ES$14,1,DG112)),DG115*IF(DG113&lt;INDEX('Lease Cycles'!$DK$14:$DQ$14,1,DG112),0,IF(DG113=INDEX('Lease Cycles'!$DK$14:$DQ$14,1,DG112),1-INDEX('Lease Cycles'!$DR$14:$DX$14,1,DG112),1))),0)</f>
        <v>2680.7614269107567</v>
      </c>
      <c r="DH118" s="28">
        <f>IF(DH114=1,IF(INDEX('Lease Cycles'!$EF$14:$EL$14,1,DH112)=1,DH115*INDEX('Lease Cycles'!$EM$14:$ES$14,1,DH112)+DH116*IF(DH113&lt;INDEX('Lease Cycles'!$FA$14:$FG$14,1,DH112),0,1-INDEX('Lease Cycles'!$EM$14:$ES$14,1,DH112)),DH115*IF(DH113&lt;INDEX('Lease Cycles'!$DK$14:$DQ$14,1,DH112),0,IF(DH113=INDEX('Lease Cycles'!$DK$14:$DQ$14,1,DH112),1-INDEX('Lease Cycles'!$DR$14:$DX$14,1,DH112),1))),0)</f>
        <v>2680.7614269107567</v>
      </c>
      <c r="DI118" s="28">
        <f>IF(DI114=1,IF(INDEX('Lease Cycles'!$EF$14:$EL$14,1,DI112)=1,DI115*INDEX('Lease Cycles'!$EM$14:$ES$14,1,DI112)+DI116*IF(DI113&lt;INDEX('Lease Cycles'!$FA$14:$FG$14,1,DI112),0,1-INDEX('Lease Cycles'!$EM$14:$ES$14,1,DI112)),DI115*IF(DI113&lt;INDEX('Lease Cycles'!$DK$14:$DQ$14,1,DI112),0,IF(DI113=INDEX('Lease Cycles'!$DK$14:$DQ$14,1,DI112),1-INDEX('Lease Cycles'!$DR$14:$DX$14,1,DI112),1))),0)</f>
        <v>2680.7614269107567</v>
      </c>
      <c r="DJ118" s="28">
        <f>IF(DJ114=1,IF(INDEX('Lease Cycles'!$EF$14:$EL$14,1,DJ112)=1,DJ115*INDEX('Lease Cycles'!$EM$14:$ES$14,1,DJ112)+DJ116*IF(DJ113&lt;INDEX('Lease Cycles'!$FA$14:$FG$14,1,DJ112),0,1-INDEX('Lease Cycles'!$EM$14:$ES$14,1,DJ112)),DJ115*IF(DJ113&lt;INDEX('Lease Cycles'!$DK$14:$DQ$14,1,DJ112),0,IF(DJ113=INDEX('Lease Cycles'!$DK$14:$DQ$14,1,DJ112),1-INDEX('Lease Cycles'!$DR$14:$DX$14,1,DJ112),1))),0)</f>
        <v>2680.7614269107567</v>
      </c>
      <c r="DK118" s="28">
        <f>IF(DK114=1,IF(INDEX('Lease Cycles'!$EF$14:$EL$14,1,DK112)=1,DK115*INDEX('Lease Cycles'!$EM$14:$ES$14,1,DK112)+DK116*IF(DK113&lt;INDEX('Lease Cycles'!$FA$14:$FG$14,1,DK112),0,1-INDEX('Lease Cycles'!$EM$14:$ES$14,1,DK112)),DK115*IF(DK113&lt;INDEX('Lease Cycles'!$DK$14:$DQ$14,1,DK112),0,IF(DK113=INDEX('Lease Cycles'!$DK$14:$DQ$14,1,DK112),1-INDEX('Lease Cycles'!$DR$14:$DX$14,1,DK112),1))),0)</f>
        <v>2680.7614269107567</v>
      </c>
      <c r="DL118" s="28">
        <f>IF(DL114=1,IF(INDEX('Lease Cycles'!$EF$14:$EL$14,1,DL112)=1,DL115*INDEX('Lease Cycles'!$EM$14:$ES$14,1,DL112)+DL116*IF(DL113&lt;INDEX('Lease Cycles'!$FA$14:$FG$14,1,DL112),0,1-INDEX('Lease Cycles'!$EM$14:$ES$14,1,DL112)),DL115*IF(DL113&lt;INDEX('Lease Cycles'!$DK$14:$DQ$14,1,DL112),0,IF(DL113=INDEX('Lease Cycles'!$DK$14:$DQ$14,1,DL112),1-INDEX('Lease Cycles'!$DR$14:$DX$14,1,DL112),1))),0)</f>
        <v>2680.7614269107567</v>
      </c>
      <c r="DM118" s="28">
        <f>IF(DM114=1,IF(INDEX('Lease Cycles'!$EF$14:$EL$14,1,DM112)=1,DM115*INDEX('Lease Cycles'!$EM$14:$ES$14,1,DM112)+DM116*IF(DM113&lt;INDEX('Lease Cycles'!$FA$14:$FG$14,1,DM112),0,1-INDEX('Lease Cycles'!$EM$14:$ES$14,1,DM112)),DM115*IF(DM113&lt;INDEX('Lease Cycles'!$DK$14:$DQ$14,1,DM112),0,IF(DM113=INDEX('Lease Cycles'!$DK$14:$DQ$14,1,DM112),1-INDEX('Lease Cycles'!$DR$14:$DX$14,1,DM112),1))),0)</f>
        <v>2680.7614269107567</v>
      </c>
      <c r="DN118" s="28">
        <f>IF(DN114=1,IF(INDEX('Lease Cycles'!$EF$14:$EL$14,1,DN112)=1,DN115*INDEX('Lease Cycles'!$EM$14:$ES$14,1,DN112)+DN116*IF(DN113&lt;INDEX('Lease Cycles'!$FA$14:$FG$14,1,DN112),0,1-INDEX('Lease Cycles'!$EM$14:$ES$14,1,DN112)),DN115*IF(DN113&lt;INDEX('Lease Cycles'!$DK$14:$DQ$14,1,DN112),0,IF(DN113=INDEX('Lease Cycles'!$DK$14:$DQ$14,1,DN112),1-INDEX('Lease Cycles'!$DR$14:$DX$14,1,DN112),1))),0)</f>
        <v>2680.7614269107567</v>
      </c>
      <c r="DO118" s="28">
        <f>IF(DO114=1,IF(INDEX('Lease Cycles'!$EF$14:$EL$14,1,DO112)=1,DO115*INDEX('Lease Cycles'!$EM$14:$ES$14,1,DO112)+DO116*IF(DO113&lt;INDEX('Lease Cycles'!$FA$14:$FG$14,1,DO112),0,1-INDEX('Lease Cycles'!$EM$14:$ES$14,1,DO112)),DO115*IF(DO113&lt;INDEX('Lease Cycles'!$DK$14:$DQ$14,1,DO112),0,IF(DO113=INDEX('Lease Cycles'!$DK$14:$DQ$14,1,DO112),1-INDEX('Lease Cycles'!$DR$14:$DX$14,1,DO112),1))),0)</f>
        <v>2761.1842697180796</v>
      </c>
      <c r="DP118" s="28">
        <f>IF(DP114=1,IF(INDEX('Lease Cycles'!$EF$14:$EL$14,1,DP112)=1,DP115*INDEX('Lease Cycles'!$EM$14:$ES$14,1,DP112)+DP116*IF(DP113&lt;INDEX('Lease Cycles'!$FA$14:$FG$14,1,DP112),0,1-INDEX('Lease Cycles'!$EM$14:$ES$14,1,DP112)),DP115*IF(DP113&lt;INDEX('Lease Cycles'!$DK$14:$DQ$14,1,DP112),0,IF(DP113=INDEX('Lease Cycles'!$DK$14:$DQ$14,1,DP112),1-INDEX('Lease Cycles'!$DR$14:$DX$14,1,DP112),1))),0)</f>
        <v>2761.1842697180796</v>
      </c>
      <c r="DQ118" s="28">
        <f>IF(DQ114=1,IF(INDEX('Lease Cycles'!$EF$14:$EL$14,1,DQ112)=1,DQ115*INDEX('Lease Cycles'!$EM$14:$ES$14,1,DQ112)+DQ116*IF(DQ113&lt;INDEX('Lease Cycles'!$FA$14:$FG$14,1,DQ112),0,1-INDEX('Lease Cycles'!$EM$14:$ES$14,1,DQ112)),DQ115*IF(DQ113&lt;INDEX('Lease Cycles'!$DK$14:$DQ$14,1,DQ112),0,IF(DQ113=INDEX('Lease Cycles'!$DK$14:$DQ$14,1,DQ112),1-INDEX('Lease Cycles'!$DR$14:$DX$14,1,DQ112),1))),0)</f>
        <v>2761.1842697180796</v>
      </c>
      <c r="DR118" s="28">
        <f>IF(DR114=1,IF(INDEX('Lease Cycles'!$EF$14:$EL$14,1,DR112)=1,DR115*INDEX('Lease Cycles'!$EM$14:$ES$14,1,DR112)+DR116*IF(DR113&lt;INDEX('Lease Cycles'!$FA$14:$FG$14,1,DR112),0,1-INDEX('Lease Cycles'!$EM$14:$ES$14,1,DR112)),DR115*IF(DR113&lt;INDEX('Lease Cycles'!$DK$14:$DQ$14,1,DR112),0,IF(DR113=INDEX('Lease Cycles'!$DK$14:$DQ$14,1,DR112),1-INDEX('Lease Cycles'!$DR$14:$DX$14,1,DR112),1))),0)</f>
        <v>2761.1842697180796</v>
      </c>
      <c r="DS118" s="28">
        <f>IF(DS114=1,IF(INDEX('Lease Cycles'!$EF$14:$EL$14,1,DS112)=1,DS115*INDEX('Lease Cycles'!$EM$14:$ES$14,1,DS112)+DS116*IF(DS113&lt;INDEX('Lease Cycles'!$FA$14:$FG$14,1,DS112),0,1-INDEX('Lease Cycles'!$EM$14:$ES$14,1,DS112)),DS115*IF(DS113&lt;INDEX('Lease Cycles'!$DK$14:$DQ$14,1,DS112),0,IF(DS113=INDEX('Lease Cycles'!$DK$14:$DQ$14,1,DS112),1-INDEX('Lease Cycles'!$DR$14:$DX$14,1,DS112),1))),0)</f>
        <v>2761.1842697180796</v>
      </c>
      <c r="DT118" s="28">
        <f>IF(DT114=1,IF(INDEX('Lease Cycles'!$EF$14:$EL$14,1,DT112)=1,DT115*INDEX('Lease Cycles'!$EM$14:$ES$14,1,DT112)+DT116*IF(DT113&lt;INDEX('Lease Cycles'!$FA$14:$FG$14,1,DT112),0,1-INDEX('Lease Cycles'!$EM$14:$ES$14,1,DT112)),DT115*IF(DT113&lt;INDEX('Lease Cycles'!$DK$14:$DQ$14,1,DT112),0,IF(DT113=INDEX('Lease Cycles'!$DK$14:$DQ$14,1,DT112),1-INDEX('Lease Cycles'!$DR$14:$DX$14,1,DT112),1))),0)</f>
        <v>2761.1842697180796</v>
      </c>
      <c r="DU118" s="28">
        <f>IF(DU114=1,IF(INDEX('Lease Cycles'!$EF$14:$EL$14,1,DU112)=1,DU115*INDEX('Lease Cycles'!$EM$14:$ES$14,1,DU112)+DU116*IF(DU113&lt;INDEX('Lease Cycles'!$FA$14:$FG$14,1,DU112),0,1-INDEX('Lease Cycles'!$EM$14:$ES$14,1,DU112)),DU115*IF(DU113&lt;INDEX('Lease Cycles'!$DK$14:$DQ$14,1,DU112),0,IF(DU113=INDEX('Lease Cycles'!$DK$14:$DQ$14,1,DU112),1-INDEX('Lease Cycles'!$DR$14:$DX$14,1,DU112),1))),0)</f>
        <v>2761.1842697180796</v>
      </c>
      <c r="DV118" s="28">
        <f>IF(DV114=1,IF(INDEX('Lease Cycles'!$EF$14:$EL$14,1,DV112)=1,DV115*INDEX('Lease Cycles'!$EM$14:$ES$14,1,DV112)+DV116*IF(DV113&lt;INDEX('Lease Cycles'!$FA$14:$FG$14,1,DV112),0,1-INDEX('Lease Cycles'!$EM$14:$ES$14,1,DV112)),DV115*IF(DV113&lt;INDEX('Lease Cycles'!$DK$14:$DQ$14,1,DV112),0,IF(DV113=INDEX('Lease Cycles'!$DK$14:$DQ$14,1,DV112),1-INDEX('Lease Cycles'!$DR$14:$DX$14,1,DV112),1))),0)</f>
        <v>2761.1842697180796</v>
      </c>
      <c r="DW118" s="28">
        <f>IF(DW114=1,IF(INDEX('Lease Cycles'!$EF$14:$EL$14,1,DW112)=1,DW115*INDEX('Lease Cycles'!$EM$14:$ES$14,1,DW112)+DW116*IF(DW113&lt;INDEX('Lease Cycles'!$FA$14:$FG$14,1,DW112),0,1-INDEX('Lease Cycles'!$EM$14:$ES$14,1,DW112)),DW115*IF(DW113&lt;INDEX('Lease Cycles'!$DK$14:$DQ$14,1,DW112),0,IF(DW113=INDEX('Lease Cycles'!$DK$14:$DQ$14,1,DW112),1-INDEX('Lease Cycles'!$DR$14:$DX$14,1,DW112),1))),0)</f>
        <v>2761.1842697180796</v>
      </c>
      <c r="DX118" s="28">
        <f>IF(DX114=1,IF(INDEX('Lease Cycles'!$EF$14:$EL$14,1,DX112)=1,DX115*INDEX('Lease Cycles'!$EM$14:$ES$14,1,DX112)+DX116*IF(DX113&lt;INDEX('Lease Cycles'!$FA$14:$FG$14,1,DX112),0,1-INDEX('Lease Cycles'!$EM$14:$ES$14,1,DX112)),DX115*IF(DX113&lt;INDEX('Lease Cycles'!$DK$14:$DQ$14,1,DX112),0,IF(DX113=INDEX('Lease Cycles'!$DK$14:$DQ$14,1,DX112),1-INDEX('Lease Cycles'!$DR$14:$DX$14,1,DX112),1))),0)</f>
        <v>2761.1842697180796</v>
      </c>
      <c r="DY118" s="28">
        <f>IF(DY114=1,IF(INDEX('Lease Cycles'!$EF$14:$EL$14,1,DY112)=1,DY115*INDEX('Lease Cycles'!$EM$14:$ES$14,1,DY112)+DY116*IF(DY113&lt;INDEX('Lease Cycles'!$FA$14:$FG$14,1,DY112),0,1-INDEX('Lease Cycles'!$EM$14:$ES$14,1,DY112)),DY115*IF(DY113&lt;INDEX('Lease Cycles'!$DK$14:$DQ$14,1,DY112),0,IF(DY113=INDEX('Lease Cycles'!$DK$14:$DQ$14,1,DY112),1-INDEX('Lease Cycles'!$DR$14:$DX$14,1,DY112),1))),0)</f>
        <v>2761.1842697180796</v>
      </c>
      <c r="DZ118" s="28">
        <f>IF(DZ114=1,IF(INDEX('Lease Cycles'!$EF$14:$EL$14,1,DZ112)=1,DZ115*INDEX('Lease Cycles'!$EM$14:$ES$14,1,DZ112)+DZ116*IF(DZ113&lt;INDEX('Lease Cycles'!$FA$14:$FG$14,1,DZ112),0,1-INDEX('Lease Cycles'!$EM$14:$ES$14,1,DZ112)),DZ115*IF(DZ113&lt;INDEX('Lease Cycles'!$DK$14:$DQ$14,1,DZ112),0,IF(DZ113=INDEX('Lease Cycles'!$DK$14:$DQ$14,1,DZ112),1-INDEX('Lease Cycles'!$DR$14:$DX$14,1,DZ112),1))),0)</f>
        <v>2761.1842697180796</v>
      </c>
      <c r="EA118" s="28">
        <f>IF(EA114=1,IF(INDEX('Lease Cycles'!$EF$14:$EL$14,1,EA112)=1,EA115*INDEX('Lease Cycles'!$EM$14:$ES$14,1,EA112)+EA116*IF(EA113&lt;INDEX('Lease Cycles'!$FA$14:$FG$14,1,EA112),0,1-INDEX('Lease Cycles'!$EM$14:$ES$14,1,EA112)),EA115*IF(EA113&lt;INDEX('Lease Cycles'!$DK$14:$DQ$14,1,EA112),0,IF(EA113=INDEX('Lease Cycles'!$DK$14:$DQ$14,1,EA112),1-INDEX('Lease Cycles'!$DR$14:$DX$14,1,EA112),1))),0)</f>
        <v>2844.019797809622</v>
      </c>
      <c r="EB118" s="28">
        <f>IF(EB114=1,IF(INDEX('Lease Cycles'!$EF$14:$EL$14,1,EB112)=1,EB115*INDEX('Lease Cycles'!$EM$14:$ES$14,1,EB112)+EB116*IF(EB113&lt;INDEX('Lease Cycles'!$FA$14:$FG$14,1,EB112),0,1-INDEX('Lease Cycles'!$EM$14:$ES$14,1,EB112)),EB115*IF(EB113&lt;INDEX('Lease Cycles'!$DK$14:$DQ$14,1,EB112),0,IF(EB113=INDEX('Lease Cycles'!$DK$14:$DQ$14,1,EB112),1-INDEX('Lease Cycles'!$DR$14:$DX$14,1,EB112),1))),0)</f>
        <v>2844.019797809622</v>
      </c>
      <c r="EC118" s="28">
        <f>IF(EC114=1,IF(INDEX('Lease Cycles'!$EF$14:$EL$14,1,EC112)=1,EC115*INDEX('Lease Cycles'!$EM$14:$ES$14,1,EC112)+EC116*IF(EC113&lt;INDEX('Lease Cycles'!$FA$14:$FG$14,1,EC112),0,1-INDEX('Lease Cycles'!$EM$14:$ES$14,1,EC112)),EC115*IF(EC113&lt;INDEX('Lease Cycles'!$DK$14:$DQ$14,1,EC112),0,IF(EC113=INDEX('Lease Cycles'!$DK$14:$DQ$14,1,EC112),1-INDEX('Lease Cycles'!$DR$14:$DX$14,1,EC112),1))),0)</f>
        <v>2844.019797809622</v>
      </c>
      <c r="ED118" s="28">
        <f>IF(ED114=1,IF(INDEX('Lease Cycles'!$EF$14:$EL$14,1,ED112)=1,ED115*INDEX('Lease Cycles'!$EM$14:$ES$14,1,ED112)+ED116*IF(ED113&lt;INDEX('Lease Cycles'!$FA$14:$FG$14,1,ED112),0,1-INDEX('Lease Cycles'!$EM$14:$ES$14,1,ED112)),ED115*IF(ED113&lt;INDEX('Lease Cycles'!$DK$14:$DQ$14,1,ED112),0,IF(ED113=INDEX('Lease Cycles'!$DK$14:$DQ$14,1,ED112),1-INDEX('Lease Cycles'!$DR$14:$DX$14,1,ED112),1))),0)</f>
        <v>0</v>
      </c>
      <c r="EE118" s="28">
        <f>IF(EE114=1,IF(INDEX('Lease Cycles'!$EF$14:$EL$14,1,EE112)=1,EE115*INDEX('Lease Cycles'!$EM$14:$ES$14,1,EE112)+EE116*IF(EE113&lt;INDEX('Lease Cycles'!$FA$14:$FG$14,1,EE112),0,1-INDEX('Lease Cycles'!$EM$14:$ES$14,1,EE112)),EE115*IF(EE113&lt;INDEX('Lease Cycles'!$DK$14:$DQ$14,1,EE112),0,IF(EE113=INDEX('Lease Cycles'!$DK$14:$DQ$14,1,EE112),1-INDEX('Lease Cycles'!$DR$14:$DX$14,1,EE112),1))),0)</f>
        <v>574.4360482156676</v>
      </c>
      <c r="EF118" s="28">
        <f>IF(EF114=1,IF(INDEX('Lease Cycles'!$EF$14:$EL$14,1,EF112)=1,EF115*INDEX('Lease Cycles'!$EM$14:$ES$14,1,EF112)+EF116*IF(EF113&lt;INDEX('Lease Cycles'!$FA$14:$FG$14,1,EF112),0,1-INDEX('Lease Cycles'!$EM$14:$ES$14,1,EF112)),EF115*IF(EF113&lt;INDEX('Lease Cycles'!$DK$14:$DQ$14,1,EF112),0,IF(EF113=INDEX('Lease Cycles'!$DK$14:$DQ$14,1,EF112),1-INDEX('Lease Cycles'!$DR$14:$DX$14,1,EF112),1))),0)</f>
        <v>2872.1802410783766</v>
      </c>
      <c r="EG118" s="28">
        <f>IF(EG114=1,IF(INDEX('Lease Cycles'!$EF$14:$EL$14,1,EG112)=1,EG115*INDEX('Lease Cycles'!$EM$14:$ES$14,1,EG112)+EG116*IF(EG113&lt;INDEX('Lease Cycles'!$FA$14:$FG$14,1,EG112),0,1-INDEX('Lease Cycles'!$EM$14:$ES$14,1,EG112)),EG115*IF(EG113&lt;INDEX('Lease Cycles'!$DK$14:$DQ$14,1,EG112),0,IF(EG113=INDEX('Lease Cycles'!$DK$14:$DQ$14,1,EG112),1-INDEX('Lease Cycles'!$DR$14:$DX$14,1,EG112),1))),0)</f>
        <v>2872.1802410783766</v>
      </c>
      <c r="EH118" s="28">
        <f>IF(EH114=1,IF(INDEX('Lease Cycles'!$EF$14:$EL$14,1,EH112)=1,EH115*INDEX('Lease Cycles'!$EM$14:$ES$14,1,EH112)+EH116*IF(EH113&lt;INDEX('Lease Cycles'!$FA$14:$FG$14,1,EH112),0,1-INDEX('Lease Cycles'!$EM$14:$ES$14,1,EH112)),EH115*IF(EH113&lt;INDEX('Lease Cycles'!$DK$14:$DQ$14,1,EH112),0,IF(EH113=INDEX('Lease Cycles'!$DK$14:$DQ$14,1,EH112),1-INDEX('Lease Cycles'!$DR$14:$DX$14,1,EH112),1))),0)</f>
        <v>2872.1802410783766</v>
      </c>
      <c r="EI118" s="28">
        <f>IF(EI114=1,IF(INDEX('Lease Cycles'!$EF$14:$EL$14,1,EI112)=1,EI115*INDEX('Lease Cycles'!$EM$14:$ES$14,1,EI112)+EI116*IF(EI113&lt;INDEX('Lease Cycles'!$FA$14:$FG$14,1,EI112),0,1-INDEX('Lease Cycles'!$EM$14:$ES$14,1,EI112)),EI115*IF(EI113&lt;INDEX('Lease Cycles'!$DK$14:$DQ$14,1,EI112),0,IF(EI113=INDEX('Lease Cycles'!$DK$14:$DQ$14,1,EI112),1-INDEX('Lease Cycles'!$DR$14:$DX$14,1,EI112),1))),0)</f>
        <v>2872.1802410783766</v>
      </c>
      <c r="EJ118" s="28">
        <f>IF(EJ114=1,IF(INDEX('Lease Cycles'!$EF$14:$EL$14,1,EJ112)=1,EJ115*INDEX('Lease Cycles'!$EM$14:$ES$14,1,EJ112)+EJ116*IF(EJ113&lt;INDEX('Lease Cycles'!$FA$14:$FG$14,1,EJ112),0,1-INDEX('Lease Cycles'!$EM$14:$ES$14,1,EJ112)),EJ115*IF(EJ113&lt;INDEX('Lease Cycles'!$DK$14:$DQ$14,1,EJ112),0,IF(EJ113=INDEX('Lease Cycles'!$DK$14:$DQ$14,1,EJ112),1-INDEX('Lease Cycles'!$DR$14:$DX$14,1,EJ112),1))),0)</f>
        <v>2872.1802410783766</v>
      </c>
      <c r="EK118" s="28">
        <f>IF(EK114=1,IF(INDEX('Lease Cycles'!$EF$14:$EL$14,1,EK112)=1,EK115*INDEX('Lease Cycles'!$EM$14:$ES$14,1,EK112)+EK116*IF(EK113&lt;INDEX('Lease Cycles'!$FA$14:$FG$14,1,EK112),0,1-INDEX('Lease Cycles'!$EM$14:$ES$14,1,EK112)),EK115*IF(EK113&lt;INDEX('Lease Cycles'!$DK$14:$DQ$14,1,EK112),0,IF(EK113=INDEX('Lease Cycles'!$DK$14:$DQ$14,1,EK112),1-INDEX('Lease Cycles'!$DR$14:$DX$14,1,EK112),1))),0)</f>
        <v>2872.1802410783766</v>
      </c>
      <c r="EL118" s="28">
        <f>IF(EL114=1,IF(INDEX('Lease Cycles'!$EF$14:$EL$14,1,EL112)=1,EL115*INDEX('Lease Cycles'!$EM$14:$ES$14,1,EL112)+EL116*IF(EL113&lt;INDEX('Lease Cycles'!$FA$14:$FG$14,1,EL112),0,1-INDEX('Lease Cycles'!$EM$14:$ES$14,1,EL112)),EL115*IF(EL113&lt;INDEX('Lease Cycles'!$DK$14:$DQ$14,1,EL112),0,IF(EL113=INDEX('Lease Cycles'!$DK$14:$DQ$14,1,EL112),1-INDEX('Lease Cycles'!$DR$14:$DX$14,1,EL112),1))),0)</f>
        <v>2872.1802410783766</v>
      </c>
      <c r="EM118" s="28">
        <f>IF(EM114=1,IF(INDEX('Lease Cycles'!$EF$14:$EL$14,1,EM112)=1,EM115*INDEX('Lease Cycles'!$EM$14:$ES$14,1,EM112)+EM116*IF(EM113&lt;INDEX('Lease Cycles'!$FA$14:$FG$14,1,EM112),0,1-INDEX('Lease Cycles'!$EM$14:$ES$14,1,EM112)),EM115*IF(EM113&lt;INDEX('Lease Cycles'!$DK$14:$DQ$14,1,EM112),0,IF(EM113=INDEX('Lease Cycles'!$DK$14:$DQ$14,1,EM112),1-INDEX('Lease Cycles'!$DR$14:$DX$14,1,EM112),1))),0)</f>
        <v>2872.1802410783766</v>
      </c>
      <c r="EN118" s="28">
        <f>IF(EN114=1,IF(INDEX('Lease Cycles'!$EF$14:$EL$14,1,EN112)=1,EN115*INDEX('Lease Cycles'!$EM$14:$ES$14,1,EN112)+EN116*IF(EN113&lt;INDEX('Lease Cycles'!$FA$14:$FG$14,1,EN112),0,1-INDEX('Lease Cycles'!$EM$14:$ES$14,1,EN112)),EN115*IF(EN113&lt;INDEX('Lease Cycles'!$DK$14:$DQ$14,1,EN112),0,IF(EN113=INDEX('Lease Cycles'!$DK$14:$DQ$14,1,EN112),1-INDEX('Lease Cycles'!$DR$14:$DX$14,1,EN112),1))),0)</f>
        <v>2872.1802410783766</v>
      </c>
      <c r="EO118" s="28">
        <f>IF(EO114=1,IF(INDEX('Lease Cycles'!$EF$14:$EL$14,1,EO112)=1,EO115*INDEX('Lease Cycles'!$EM$14:$ES$14,1,EO112)+EO116*IF(EO113&lt;INDEX('Lease Cycles'!$FA$14:$FG$14,1,EO112),0,1-INDEX('Lease Cycles'!$EM$14:$ES$14,1,EO112)),EO115*IF(EO113&lt;INDEX('Lease Cycles'!$DK$14:$DQ$14,1,EO112),0,IF(EO113=INDEX('Lease Cycles'!$DK$14:$DQ$14,1,EO112),1-INDEX('Lease Cycles'!$DR$14:$DX$14,1,EO112),1))),0)</f>
        <v>2872.1802410783766</v>
      </c>
      <c r="EP118" s="28">
        <f>IF(EP114=1,IF(INDEX('Lease Cycles'!$EF$14:$EL$14,1,EP112)=1,EP115*INDEX('Lease Cycles'!$EM$14:$ES$14,1,EP112)+EP116*IF(EP113&lt;INDEX('Lease Cycles'!$FA$14:$FG$14,1,EP112),0,1-INDEX('Lease Cycles'!$EM$14:$ES$14,1,EP112)),EP115*IF(EP113&lt;INDEX('Lease Cycles'!$DK$14:$DQ$14,1,EP112),0,IF(EP113=INDEX('Lease Cycles'!$DK$14:$DQ$14,1,EP112),1-INDEX('Lease Cycles'!$DR$14:$DX$14,1,EP112),1))),0)</f>
        <v>2872.1802410783766</v>
      </c>
      <c r="EQ118" s="28">
        <f>IF(EQ114=1,IF(INDEX('Lease Cycles'!$EF$14:$EL$14,1,EQ112)=1,EQ115*INDEX('Lease Cycles'!$EM$14:$ES$14,1,EQ112)+EQ116*IF(EQ113&lt;INDEX('Lease Cycles'!$FA$14:$FG$14,1,EQ112),0,1-INDEX('Lease Cycles'!$EM$14:$ES$14,1,EQ112)),EQ115*IF(EQ113&lt;INDEX('Lease Cycles'!$DK$14:$DQ$14,1,EQ112),0,IF(EQ113=INDEX('Lease Cycles'!$DK$14:$DQ$14,1,EQ112),1-INDEX('Lease Cycles'!$DR$14:$DX$14,1,EQ112),1))),0)</f>
        <v>2958.345648310728</v>
      </c>
      <c r="ER118" s="28">
        <f>IF(ER114=1,IF(INDEX('Lease Cycles'!$EF$14:$EL$14,1,ER112)=1,ER115*INDEX('Lease Cycles'!$EM$14:$ES$14,1,ER112)+ER116*IF(ER113&lt;INDEX('Lease Cycles'!$FA$14:$FG$14,1,ER112),0,1-INDEX('Lease Cycles'!$EM$14:$ES$14,1,ER112)),ER115*IF(ER113&lt;INDEX('Lease Cycles'!$DK$14:$DQ$14,1,ER112),0,IF(ER113=INDEX('Lease Cycles'!$DK$14:$DQ$14,1,ER112),1-INDEX('Lease Cycles'!$DR$14:$DX$14,1,ER112),1))),0)</f>
        <v>2958.345648310728</v>
      </c>
      <c r="ES118" s="28">
        <f>IF(ES114=1,IF(INDEX('Lease Cycles'!$EF$14:$EL$14,1,ES112)=1,ES115*INDEX('Lease Cycles'!$EM$14:$ES$14,1,ES112)+ES116*IF(ES113&lt;INDEX('Lease Cycles'!$FA$14:$FG$14,1,ES112),0,1-INDEX('Lease Cycles'!$EM$14:$ES$14,1,ES112)),ES115*IF(ES113&lt;INDEX('Lease Cycles'!$DK$14:$DQ$14,1,ES112),0,IF(ES113=INDEX('Lease Cycles'!$DK$14:$DQ$14,1,ES112),1-INDEX('Lease Cycles'!$DR$14:$DX$14,1,ES112),1))),0)</f>
        <v>2958.345648310728</v>
      </c>
      <c r="ET118" s="28">
        <f>IF(ET114=1,IF(INDEX('Lease Cycles'!$EF$14:$EL$14,1,ET112)=1,ET115*INDEX('Lease Cycles'!$EM$14:$ES$14,1,ET112)+ET116*IF(ET113&lt;INDEX('Lease Cycles'!$FA$14:$FG$14,1,ET112),0,1-INDEX('Lease Cycles'!$EM$14:$ES$14,1,ET112)),ET115*IF(ET113&lt;INDEX('Lease Cycles'!$DK$14:$DQ$14,1,ET112),0,IF(ET113=INDEX('Lease Cycles'!$DK$14:$DQ$14,1,ET112),1-INDEX('Lease Cycles'!$DR$14:$DX$14,1,ET112),1))),0)</f>
        <v>2958.345648310728</v>
      </c>
    </row>
    <row r="119">
      <c r="A119" s="103">
        <v>7</v>
      </c>
      <c r="B119" s="23" t="str">
        <f>IF('Lease Cycles'!$B$14="","(empty slot)",'Lease Cycles'!$B$14)</f>
        <v>Sunfield Nails</v>
      </c>
      <c r="C119" s="23" t="s">
        <v>493</v>
      </c>
      <c r="D119" s="104" t="s">
        <v>494</v>
      </c>
      <c r="E119" s="25">
        <f>'Lease Cycles'!$AL$14</f>
        <v>0</v>
      </c>
      <c r="G119" s="28">
        <f>SUM(S119:AD119)</f>
        <v>0</v>
      </c>
      <c r="H119" s="28">
        <f>SUM(AE119:AP119)</f>
        <v>0</v>
      </c>
      <c r="I119" s="28">
        <f>SUM(AQ119:BB119)</f>
        <v>1387.4690134148666</v>
      </c>
      <c r="J119" s="28">
        <f>SUM(BC119:BN119)</f>
        <v>0</v>
      </c>
      <c r="K119" s="28">
        <f>SUM(BO119:BZ119)</f>
        <v>0</v>
      </c>
      <c r="L119" s="28">
        <f>SUM(CA119:CL119)</f>
        <v>0</v>
      </c>
      <c r="M119" s="28">
        <f>SUM(CM119:CX119)</f>
        <v>0</v>
      </c>
      <c r="N119" s="28">
        <f>SUM(CY119:DJ119)</f>
        <v>0</v>
      </c>
      <c r="O119" s="28">
        <f>SUM(DK119:DV119)</f>
        <v>0</v>
      </c>
      <c r="P119" s="28">
        <f>SUM(DW119:EH119)</f>
        <v>1723.3081446470255</v>
      </c>
      <c r="Q119" s="28">
        <f>SUM(EI119:ET119)</f>
        <v>0</v>
      </c>
      <c r="S119" s="28">
        <f>IF(S114=1,IF(INDEX('Lease Cycles'!$EF$14:$EL$14,1,S112)=1,0,S115*(1-IF(S113&lt;INDEX('Lease Cycles'!$DK$14:$DQ$14,1,S112),0,IF(S113=INDEX('Lease Cycles'!$DK$14:$DQ$14,1,S112),1-INDEX('Lease Cycles'!$DR$14:$DX$14,1,S112),1))-IF(S113=0,INDEX('Lease Cycles'!$DD$14:$DJ$14,1,S112),0))),0)</f>
        <v>0</v>
      </c>
      <c r="T119" s="28">
        <f>IF(T114=1,IF(INDEX('Lease Cycles'!$EF$14:$EL$14,1,T112)=1,0,T115*(1-IF(T113&lt;INDEX('Lease Cycles'!$DK$14:$DQ$14,1,T112),0,IF(T113=INDEX('Lease Cycles'!$DK$14:$DQ$14,1,T112),1-INDEX('Lease Cycles'!$DR$14:$DX$14,1,T112),1))-IF(T113=0,INDEX('Lease Cycles'!$DD$14:$DJ$14,1,T112),0))),0)</f>
        <v>0</v>
      </c>
      <c r="U119" s="28">
        <f>IF(U114=1,IF(INDEX('Lease Cycles'!$EF$14:$EL$14,1,U112)=1,0,U115*(1-IF(U113&lt;INDEX('Lease Cycles'!$DK$14:$DQ$14,1,U112),0,IF(U113=INDEX('Lease Cycles'!$DK$14:$DQ$14,1,U112),1-INDEX('Lease Cycles'!$DR$14:$DX$14,1,U112),1))-IF(U113=0,INDEX('Lease Cycles'!$DD$14:$DJ$14,1,U112),0))),0)</f>
        <v>0</v>
      </c>
      <c r="V119" s="28">
        <f>IF(V114=1,IF(INDEX('Lease Cycles'!$EF$14:$EL$14,1,V112)=1,0,V115*(1-IF(V113&lt;INDEX('Lease Cycles'!$DK$14:$DQ$14,1,V112),0,IF(V113=INDEX('Lease Cycles'!$DK$14:$DQ$14,1,V112),1-INDEX('Lease Cycles'!$DR$14:$DX$14,1,V112),1))-IF(V113=0,INDEX('Lease Cycles'!$DD$14:$DJ$14,1,V112),0))),0)</f>
        <v>0</v>
      </c>
      <c r="W119" s="28">
        <f>IF(W114=1,IF(INDEX('Lease Cycles'!$EF$14:$EL$14,1,W112)=1,0,W115*(1-IF(W113&lt;INDEX('Lease Cycles'!$DK$14:$DQ$14,1,W112),0,IF(W113=INDEX('Lease Cycles'!$DK$14:$DQ$14,1,W112),1-INDEX('Lease Cycles'!$DR$14:$DX$14,1,W112),1))-IF(W113=0,INDEX('Lease Cycles'!$DD$14:$DJ$14,1,W112),0))),0)</f>
        <v>0</v>
      </c>
      <c r="X119" s="28">
        <f>IF(X114=1,IF(INDEX('Lease Cycles'!$EF$14:$EL$14,1,X112)=1,0,X115*(1-IF(X113&lt;INDEX('Lease Cycles'!$DK$14:$DQ$14,1,X112),0,IF(X113=INDEX('Lease Cycles'!$DK$14:$DQ$14,1,X112),1-INDEX('Lease Cycles'!$DR$14:$DX$14,1,X112),1))-IF(X113=0,INDEX('Lease Cycles'!$DD$14:$DJ$14,1,X112),0))),0)</f>
        <v>0</v>
      </c>
      <c r="Y119" s="28">
        <f>IF(Y114=1,IF(INDEX('Lease Cycles'!$EF$14:$EL$14,1,Y112)=1,0,Y115*(1-IF(Y113&lt;INDEX('Lease Cycles'!$DK$14:$DQ$14,1,Y112),0,IF(Y113=INDEX('Lease Cycles'!$DK$14:$DQ$14,1,Y112),1-INDEX('Lease Cycles'!$DR$14:$DX$14,1,Y112),1))-IF(Y113=0,INDEX('Lease Cycles'!$DD$14:$DJ$14,1,Y112),0))),0)</f>
        <v>0</v>
      </c>
      <c r="Z119" s="28">
        <f>IF(Z114=1,IF(INDEX('Lease Cycles'!$EF$14:$EL$14,1,Z112)=1,0,Z115*(1-IF(Z113&lt;INDEX('Lease Cycles'!$DK$14:$DQ$14,1,Z112),0,IF(Z113=INDEX('Lease Cycles'!$DK$14:$DQ$14,1,Z112),1-INDEX('Lease Cycles'!$DR$14:$DX$14,1,Z112),1))-IF(Z113=0,INDEX('Lease Cycles'!$DD$14:$DJ$14,1,Z112),0))),0)</f>
        <v>0</v>
      </c>
      <c r="AA119" s="28">
        <f>IF(AA114=1,IF(INDEX('Lease Cycles'!$EF$14:$EL$14,1,AA112)=1,0,AA115*(1-IF(AA113&lt;INDEX('Lease Cycles'!$DK$14:$DQ$14,1,AA112),0,IF(AA113=INDEX('Lease Cycles'!$DK$14:$DQ$14,1,AA112),1-INDEX('Lease Cycles'!$DR$14:$DX$14,1,AA112),1))-IF(AA113=0,INDEX('Lease Cycles'!$DD$14:$DJ$14,1,AA112),0))),0)</f>
        <v>0</v>
      </c>
      <c r="AB119" s="28">
        <f>IF(AB114=1,IF(INDEX('Lease Cycles'!$EF$14:$EL$14,1,AB112)=1,0,AB115*(1-IF(AB113&lt;INDEX('Lease Cycles'!$DK$14:$DQ$14,1,AB112),0,IF(AB113=INDEX('Lease Cycles'!$DK$14:$DQ$14,1,AB112),1-INDEX('Lease Cycles'!$DR$14:$DX$14,1,AB112),1))-IF(AB113=0,INDEX('Lease Cycles'!$DD$14:$DJ$14,1,AB112),0))),0)</f>
        <v>0</v>
      </c>
      <c r="AC119" s="28">
        <f>IF(AC114=1,IF(INDEX('Lease Cycles'!$EF$14:$EL$14,1,AC112)=1,0,AC115*(1-IF(AC113&lt;INDEX('Lease Cycles'!$DK$14:$DQ$14,1,AC112),0,IF(AC113=INDEX('Lease Cycles'!$DK$14:$DQ$14,1,AC112),1-INDEX('Lease Cycles'!$DR$14:$DX$14,1,AC112),1))-IF(AC113=0,INDEX('Lease Cycles'!$DD$14:$DJ$14,1,AC112),0))),0)</f>
        <v>0</v>
      </c>
      <c r="AD119" s="28">
        <f>IF(AD114=1,IF(INDEX('Lease Cycles'!$EF$14:$EL$14,1,AD112)=1,0,AD115*(1-IF(AD113&lt;INDEX('Lease Cycles'!$DK$14:$DQ$14,1,AD112),0,IF(AD113=INDEX('Lease Cycles'!$DK$14:$DQ$14,1,AD112),1-INDEX('Lease Cycles'!$DR$14:$DX$14,1,AD112),1))-IF(AD113=0,INDEX('Lease Cycles'!$DD$14:$DJ$14,1,AD112),0))),0)</f>
        <v>0</v>
      </c>
      <c r="AE119" s="28">
        <f>IF(AE114=1,IF(INDEX('Lease Cycles'!$EF$14:$EL$14,1,AE112)=1,0,AE115*(1-IF(AE113&lt;INDEX('Lease Cycles'!$DK$14:$DQ$14,1,AE112),0,IF(AE113=INDEX('Lease Cycles'!$DK$14:$DQ$14,1,AE112),1-INDEX('Lease Cycles'!$DR$14:$DX$14,1,AE112),1))-IF(AE113=0,INDEX('Lease Cycles'!$DD$14:$DJ$14,1,AE112),0))),0)</f>
        <v>0</v>
      </c>
      <c r="AF119" s="28">
        <f>IF(AF114=1,IF(INDEX('Lease Cycles'!$EF$14:$EL$14,1,AF112)=1,0,AF115*(1-IF(AF113&lt;INDEX('Lease Cycles'!$DK$14:$DQ$14,1,AF112),0,IF(AF113=INDEX('Lease Cycles'!$DK$14:$DQ$14,1,AF112),1-INDEX('Lease Cycles'!$DR$14:$DX$14,1,AF112),1))-IF(AF113=0,INDEX('Lease Cycles'!$DD$14:$DJ$14,1,AF112),0))),0)</f>
        <v>0</v>
      </c>
      <c r="AG119" s="28">
        <f>IF(AG114=1,IF(INDEX('Lease Cycles'!$EF$14:$EL$14,1,AG112)=1,0,AG115*(1-IF(AG113&lt;INDEX('Lease Cycles'!$DK$14:$DQ$14,1,AG112),0,IF(AG113=INDEX('Lease Cycles'!$DK$14:$DQ$14,1,AG112),1-INDEX('Lease Cycles'!$DR$14:$DX$14,1,AG112),1))-IF(AG113=0,INDEX('Lease Cycles'!$DD$14:$DJ$14,1,AG112),0))),0)</f>
        <v>0</v>
      </c>
      <c r="AH119" s="28">
        <f>IF(AH114=1,IF(INDEX('Lease Cycles'!$EF$14:$EL$14,1,AH112)=1,0,AH115*(1-IF(AH113&lt;INDEX('Lease Cycles'!$DK$14:$DQ$14,1,AH112),0,IF(AH113=INDEX('Lease Cycles'!$DK$14:$DQ$14,1,AH112),1-INDEX('Lease Cycles'!$DR$14:$DX$14,1,AH112),1))-IF(AH113=0,INDEX('Lease Cycles'!$DD$14:$DJ$14,1,AH112),0))),0)</f>
        <v>0</v>
      </c>
      <c r="AI119" s="28">
        <f>IF(AI114=1,IF(INDEX('Lease Cycles'!$EF$14:$EL$14,1,AI112)=1,0,AI115*(1-IF(AI113&lt;INDEX('Lease Cycles'!$DK$14:$DQ$14,1,AI112),0,IF(AI113=INDEX('Lease Cycles'!$DK$14:$DQ$14,1,AI112),1-INDEX('Lease Cycles'!$DR$14:$DX$14,1,AI112),1))-IF(AI113=0,INDEX('Lease Cycles'!$DD$14:$DJ$14,1,AI112),0))),0)</f>
        <v>0</v>
      </c>
      <c r="AJ119" s="28">
        <f>IF(AJ114=1,IF(INDEX('Lease Cycles'!$EF$14:$EL$14,1,AJ112)=1,0,AJ115*(1-IF(AJ113&lt;INDEX('Lease Cycles'!$DK$14:$DQ$14,1,AJ112),0,IF(AJ113=INDEX('Lease Cycles'!$DK$14:$DQ$14,1,AJ112),1-INDEX('Lease Cycles'!$DR$14:$DX$14,1,AJ112),1))-IF(AJ113=0,INDEX('Lease Cycles'!$DD$14:$DJ$14,1,AJ112),0))),0)</f>
        <v>0</v>
      </c>
      <c r="AK119" s="28">
        <f>IF(AK114=1,IF(INDEX('Lease Cycles'!$EF$14:$EL$14,1,AK112)=1,0,AK115*(1-IF(AK113&lt;INDEX('Lease Cycles'!$DK$14:$DQ$14,1,AK112),0,IF(AK113=INDEX('Lease Cycles'!$DK$14:$DQ$14,1,AK112),1-INDEX('Lease Cycles'!$DR$14:$DX$14,1,AK112),1))-IF(AK113=0,INDEX('Lease Cycles'!$DD$14:$DJ$14,1,AK112),0))),0)</f>
        <v>0</v>
      </c>
      <c r="AL119" s="28">
        <f>IF(AL114=1,IF(INDEX('Lease Cycles'!$EF$14:$EL$14,1,AL112)=1,0,AL115*(1-IF(AL113&lt;INDEX('Lease Cycles'!$DK$14:$DQ$14,1,AL112),0,IF(AL113=INDEX('Lease Cycles'!$DK$14:$DQ$14,1,AL112),1-INDEX('Lease Cycles'!$DR$14:$DX$14,1,AL112),1))-IF(AL113=0,INDEX('Lease Cycles'!$DD$14:$DJ$14,1,AL112),0))),0)</f>
        <v>0</v>
      </c>
      <c r="AM119" s="28">
        <f>IF(AM114=1,IF(INDEX('Lease Cycles'!$EF$14:$EL$14,1,AM112)=1,0,AM115*(1-IF(AM113&lt;INDEX('Lease Cycles'!$DK$14:$DQ$14,1,AM112),0,IF(AM113=INDEX('Lease Cycles'!$DK$14:$DQ$14,1,AM112),1-INDEX('Lease Cycles'!$DR$14:$DX$14,1,AM112),1))-IF(AM113=0,INDEX('Lease Cycles'!$DD$14:$DJ$14,1,AM112),0))),0)</f>
        <v>0</v>
      </c>
      <c r="AN119" s="28">
        <f>IF(AN114=1,IF(INDEX('Lease Cycles'!$EF$14:$EL$14,1,AN112)=1,0,AN115*(1-IF(AN113&lt;INDEX('Lease Cycles'!$DK$14:$DQ$14,1,AN112),0,IF(AN113=INDEX('Lease Cycles'!$DK$14:$DQ$14,1,AN112),1-INDEX('Lease Cycles'!$DR$14:$DX$14,1,AN112),1))-IF(AN113=0,INDEX('Lease Cycles'!$DD$14:$DJ$14,1,AN112),0))),0)</f>
        <v>0</v>
      </c>
      <c r="AO119" s="28">
        <f>IF(AO114=1,IF(INDEX('Lease Cycles'!$EF$14:$EL$14,1,AO112)=1,0,AO115*(1-IF(AO113&lt;INDEX('Lease Cycles'!$DK$14:$DQ$14,1,AO112),0,IF(AO113=INDEX('Lease Cycles'!$DK$14:$DQ$14,1,AO112),1-INDEX('Lease Cycles'!$DR$14:$DX$14,1,AO112),1))-IF(AO113=0,INDEX('Lease Cycles'!$DD$14:$DJ$14,1,AO112),0))),0)</f>
        <v>0</v>
      </c>
      <c r="AP119" s="28">
        <f>IF(AP114=1,IF(INDEX('Lease Cycles'!$EF$14:$EL$14,1,AP112)=1,0,AP115*(1-IF(AP113&lt;INDEX('Lease Cycles'!$DK$14:$DQ$14,1,AP112),0,IF(AP113=INDEX('Lease Cycles'!$DK$14:$DQ$14,1,AP112),1-INDEX('Lease Cycles'!$DR$14:$DX$14,1,AP112),1))-IF(AP113=0,INDEX('Lease Cycles'!$DD$14:$DJ$14,1,AP112),0))),0)</f>
        <v>0</v>
      </c>
      <c r="AQ119" s="28">
        <f>IF(AQ114=1,IF(INDEX('Lease Cycles'!$EF$14:$EL$14,1,AQ112)=1,0,AQ115*(1-IF(AQ113&lt;INDEX('Lease Cycles'!$DK$14:$DQ$14,1,AQ112),0,IF(AQ113=INDEX('Lease Cycles'!$DK$14:$DQ$14,1,AQ112),1-INDEX('Lease Cycles'!$DR$14:$DX$14,1,AQ112),1))-IF(AQ113=0,INDEX('Lease Cycles'!$DD$14:$DJ$14,1,AQ112),0))),0)</f>
        <v>0</v>
      </c>
      <c r="AR119" s="28">
        <f>IF(AR114=1,IF(INDEX('Lease Cycles'!$EF$14:$EL$14,1,AR112)=1,0,AR115*(1-IF(AR113&lt;INDEX('Lease Cycles'!$DK$14:$DQ$14,1,AR112),0,IF(AR113=INDEX('Lease Cycles'!$DK$14:$DQ$14,1,AR112),1-INDEX('Lease Cycles'!$DR$14:$DX$14,1,AR112),1))-IF(AR113=0,INDEX('Lease Cycles'!$DD$14:$DJ$14,1,AR112),0))),0)</f>
        <v>0</v>
      </c>
      <c r="AS119" s="28">
        <f>IF(AS114=1,IF(INDEX('Lease Cycles'!$EF$14:$EL$14,1,AS112)=1,0,AS115*(1-IF(AS113&lt;INDEX('Lease Cycles'!$DK$14:$DQ$14,1,AS112),0,IF(AS113=INDEX('Lease Cycles'!$DK$14:$DQ$14,1,AS112),1-INDEX('Lease Cycles'!$DR$14:$DX$14,1,AS112),1))-IF(AS113=0,INDEX('Lease Cycles'!$DD$14:$DJ$14,1,AS112),0))),0)</f>
        <v>0</v>
      </c>
      <c r="AT119" s="28">
        <f>IF(AT114=1,IF(INDEX('Lease Cycles'!$EF$14:$EL$14,1,AT112)=1,0,AT115*(1-IF(AT113&lt;INDEX('Lease Cycles'!$DK$14:$DQ$14,1,AT112),0,IF(AT113=INDEX('Lease Cycles'!$DK$14:$DQ$14,1,AT112),1-INDEX('Lease Cycles'!$DR$14:$DX$14,1,AT112),1))-IF(AT113=0,INDEX('Lease Cycles'!$DD$14:$DJ$14,1,AT112),0))),0)</f>
        <v>0</v>
      </c>
      <c r="AU119" s="28">
        <f>IF(AU114=1,IF(INDEX('Lease Cycles'!$EF$14:$EL$14,1,AU112)=1,0,AU115*(1-IF(AU113&lt;INDEX('Lease Cycles'!$DK$14:$DQ$14,1,AU112),0,IF(AU113=INDEX('Lease Cycles'!$DK$14:$DQ$14,1,AU112),1-INDEX('Lease Cycles'!$DR$14:$DX$14,1,AU112),1))-IF(AU113=0,INDEX('Lease Cycles'!$DD$14:$DJ$14,1,AU112),0))),0)</f>
        <v>1387.4690134148666</v>
      </c>
      <c r="AV119" s="28">
        <f>IF(AV114=1,IF(INDEX('Lease Cycles'!$EF$14:$EL$14,1,AV112)=1,0,AV115*(1-IF(AV113&lt;INDEX('Lease Cycles'!$DK$14:$DQ$14,1,AV112),0,IF(AV113=INDEX('Lease Cycles'!$DK$14:$DQ$14,1,AV112),1-INDEX('Lease Cycles'!$DR$14:$DX$14,1,AV112),1))-IF(AV113=0,INDEX('Lease Cycles'!$DD$14:$DJ$14,1,AV112),0))),0)</f>
        <v>0</v>
      </c>
      <c r="AW119" s="28">
        <f>IF(AW114=1,IF(INDEX('Lease Cycles'!$EF$14:$EL$14,1,AW112)=1,0,AW115*(1-IF(AW113&lt;INDEX('Lease Cycles'!$DK$14:$DQ$14,1,AW112),0,IF(AW113=INDEX('Lease Cycles'!$DK$14:$DQ$14,1,AW112),1-INDEX('Lease Cycles'!$DR$14:$DX$14,1,AW112),1))-IF(AW113=0,INDEX('Lease Cycles'!$DD$14:$DJ$14,1,AW112),0))),0)</f>
        <v>0</v>
      </c>
      <c r="AX119" s="28">
        <f>IF(AX114=1,IF(INDEX('Lease Cycles'!$EF$14:$EL$14,1,AX112)=1,0,AX115*(1-IF(AX113&lt;INDEX('Lease Cycles'!$DK$14:$DQ$14,1,AX112),0,IF(AX113=INDEX('Lease Cycles'!$DK$14:$DQ$14,1,AX112),1-INDEX('Lease Cycles'!$DR$14:$DX$14,1,AX112),1))-IF(AX113=0,INDEX('Lease Cycles'!$DD$14:$DJ$14,1,AX112),0))),0)</f>
        <v>0</v>
      </c>
      <c r="AY119" s="28">
        <f>IF(AY114=1,IF(INDEX('Lease Cycles'!$EF$14:$EL$14,1,AY112)=1,0,AY115*(1-IF(AY113&lt;INDEX('Lease Cycles'!$DK$14:$DQ$14,1,AY112),0,IF(AY113=INDEX('Lease Cycles'!$DK$14:$DQ$14,1,AY112),1-INDEX('Lease Cycles'!$DR$14:$DX$14,1,AY112),1))-IF(AY113=0,INDEX('Lease Cycles'!$DD$14:$DJ$14,1,AY112),0))),0)</f>
        <v>0</v>
      </c>
      <c r="AZ119" s="28">
        <f>IF(AZ114=1,IF(INDEX('Lease Cycles'!$EF$14:$EL$14,1,AZ112)=1,0,AZ115*(1-IF(AZ113&lt;INDEX('Lease Cycles'!$DK$14:$DQ$14,1,AZ112),0,IF(AZ113=INDEX('Lease Cycles'!$DK$14:$DQ$14,1,AZ112),1-INDEX('Lease Cycles'!$DR$14:$DX$14,1,AZ112),1))-IF(AZ113=0,INDEX('Lease Cycles'!$DD$14:$DJ$14,1,AZ112),0))),0)</f>
        <v>0</v>
      </c>
      <c r="BA119" s="28">
        <f>IF(BA114=1,IF(INDEX('Lease Cycles'!$EF$14:$EL$14,1,BA112)=1,0,BA115*(1-IF(BA113&lt;INDEX('Lease Cycles'!$DK$14:$DQ$14,1,BA112),0,IF(BA113=INDEX('Lease Cycles'!$DK$14:$DQ$14,1,BA112),1-INDEX('Lease Cycles'!$DR$14:$DX$14,1,BA112),1))-IF(BA113=0,INDEX('Lease Cycles'!$DD$14:$DJ$14,1,BA112),0))),0)</f>
        <v>0</v>
      </c>
      <c r="BB119" s="28">
        <f>IF(BB114=1,IF(INDEX('Lease Cycles'!$EF$14:$EL$14,1,BB112)=1,0,BB115*(1-IF(BB113&lt;INDEX('Lease Cycles'!$DK$14:$DQ$14,1,BB112),0,IF(BB113=INDEX('Lease Cycles'!$DK$14:$DQ$14,1,BB112),1-INDEX('Lease Cycles'!$DR$14:$DX$14,1,BB112),1))-IF(BB113=0,INDEX('Lease Cycles'!$DD$14:$DJ$14,1,BB112),0))),0)</f>
        <v>0</v>
      </c>
      <c r="BC119" s="28">
        <f>IF(BC114=1,IF(INDEX('Lease Cycles'!$EF$14:$EL$14,1,BC112)=1,0,BC115*(1-IF(BC113&lt;INDEX('Lease Cycles'!$DK$14:$DQ$14,1,BC112),0,IF(BC113=INDEX('Lease Cycles'!$DK$14:$DQ$14,1,BC112),1-INDEX('Lease Cycles'!$DR$14:$DX$14,1,BC112),1))-IF(BC113=0,INDEX('Lease Cycles'!$DD$14:$DJ$14,1,BC112),0))),0)</f>
        <v>0</v>
      </c>
      <c r="BD119" s="28">
        <f>IF(BD114=1,IF(INDEX('Lease Cycles'!$EF$14:$EL$14,1,BD112)=1,0,BD115*(1-IF(BD113&lt;INDEX('Lease Cycles'!$DK$14:$DQ$14,1,BD112),0,IF(BD113=INDEX('Lease Cycles'!$DK$14:$DQ$14,1,BD112),1-INDEX('Lease Cycles'!$DR$14:$DX$14,1,BD112),1))-IF(BD113=0,INDEX('Lease Cycles'!$DD$14:$DJ$14,1,BD112),0))),0)</f>
        <v>0</v>
      </c>
      <c r="BE119" s="28">
        <f>IF(BE114=1,IF(INDEX('Lease Cycles'!$EF$14:$EL$14,1,BE112)=1,0,BE115*(1-IF(BE113&lt;INDEX('Lease Cycles'!$DK$14:$DQ$14,1,BE112),0,IF(BE113=INDEX('Lease Cycles'!$DK$14:$DQ$14,1,BE112),1-INDEX('Lease Cycles'!$DR$14:$DX$14,1,BE112),1))-IF(BE113=0,INDEX('Lease Cycles'!$DD$14:$DJ$14,1,BE112),0))),0)</f>
        <v>0</v>
      </c>
      <c r="BF119" s="28">
        <f>IF(BF114=1,IF(INDEX('Lease Cycles'!$EF$14:$EL$14,1,BF112)=1,0,BF115*(1-IF(BF113&lt;INDEX('Lease Cycles'!$DK$14:$DQ$14,1,BF112),0,IF(BF113=INDEX('Lease Cycles'!$DK$14:$DQ$14,1,BF112),1-INDEX('Lease Cycles'!$DR$14:$DX$14,1,BF112),1))-IF(BF113=0,INDEX('Lease Cycles'!$DD$14:$DJ$14,1,BF112),0))),0)</f>
        <v>0</v>
      </c>
      <c r="BG119" s="28">
        <f>IF(BG114=1,IF(INDEX('Lease Cycles'!$EF$14:$EL$14,1,BG112)=1,0,BG115*(1-IF(BG113&lt;INDEX('Lease Cycles'!$DK$14:$DQ$14,1,BG112),0,IF(BG113=INDEX('Lease Cycles'!$DK$14:$DQ$14,1,BG112),1-INDEX('Lease Cycles'!$DR$14:$DX$14,1,BG112),1))-IF(BG113=0,INDEX('Lease Cycles'!$DD$14:$DJ$14,1,BG112),0))),0)</f>
        <v>0</v>
      </c>
      <c r="BH119" s="28">
        <f>IF(BH114=1,IF(INDEX('Lease Cycles'!$EF$14:$EL$14,1,BH112)=1,0,BH115*(1-IF(BH113&lt;INDEX('Lease Cycles'!$DK$14:$DQ$14,1,BH112),0,IF(BH113=INDEX('Lease Cycles'!$DK$14:$DQ$14,1,BH112),1-INDEX('Lease Cycles'!$DR$14:$DX$14,1,BH112),1))-IF(BH113=0,INDEX('Lease Cycles'!$DD$14:$DJ$14,1,BH112),0))),0)</f>
        <v>0</v>
      </c>
      <c r="BI119" s="28">
        <f>IF(BI114=1,IF(INDEX('Lease Cycles'!$EF$14:$EL$14,1,BI112)=1,0,BI115*(1-IF(BI113&lt;INDEX('Lease Cycles'!$DK$14:$DQ$14,1,BI112),0,IF(BI113=INDEX('Lease Cycles'!$DK$14:$DQ$14,1,BI112),1-INDEX('Lease Cycles'!$DR$14:$DX$14,1,BI112),1))-IF(BI113=0,INDEX('Lease Cycles'!$DD$14:$DJ$14,1,BI112),0))),0)</f>
        <v>0</v>
      </c>
      <c r="BJ119" s="28">
        <f>IF(BJ114=1,IF(INDEX('Lease Cycles'!$EF$14:$EL$14,1,BJ112)=1,0,BJ115*(1-IF(BJ113&lt;INDEX('Lease Cycles'!$DK$14:$DQ$14,1,BJ112),0,IF(BJ113=INDEX('Lease Cycles'!$DK$14:$DQ$14,1,BJ112),1-INDEX('Lease Cycles'!$DR$14:$DX$14,1,BJ112),1))-IF(BJ113=0,INDEX('Lease Cycles'!$DD$14:$DJ$14,1,BJ112),0))),0)</f>
        <v>0</v>
      </c>
      <c r="BK119" s="28">
        <f>IF(BK114=1,IF(INDEX('Lease Cycles'!$EF$14:$EL$14,1,BK112)=1,0,BK115*(1-IF(BK113&lt;INDEX('Lease Cycles'!$DK$14:$DQ$14,1,BK112),0,IF(BK113=INDEX('Lease Cycles'!$DK$14:$DQ$14,1,BK112),1-INDEX('Lease Cycles'!$DR$14:$DX$14,1,BK112),1))-IF(BK113=0,INDEX('Lease Cycles'!$DD$14:$DJ$14,1,BK112),0))),0)</f>
        <v>0</v>
      </c>
      <c r="BL119" s="28">
        <f>IF(BL114=1,IF(INDEX('Lease Cycles'!$EF$14:$EL$14,1,BL112)=1,0,BL115*(1-IF(BL113&lt;INDEX('Lease Cycles'!$DK$14:$DQ$14,1,BL112),0,IF(BL113=INDEX('Lease Cycles'!$DK$14:$DQ$14,1,BL112),1-INDEX('Lease Cycles'!$DR$14:$DX$14,1,BL112),1))-IF(BL113=0,INDEX('Lease Cycles'!$DD$14:$DJ$14,1,BL112),0))),0)</f>
        <v>0</v>
      </c>
      <c r="BM119" s="28">
        <f>IF(BM114=1,IF(INDEX('Lease Cycles'!$EF$14:$EL$14,1,BM112)=1,0,BM115*(1-IF(BM113&lt;INDEX('Lease Cycles'!$DK$14:$DQ$14,1,BM112),0,IF(BM113=INDEX('Lease Cycles'!$DK$14:$DQ$14,1,BM112),1-INDEX('Lease Cycles'!$DR$14:$DX$14,1,BM112),1))-IF(BM113=0,INDEX('Lease Cycles'!$DD$14:$DJ$14,1,BM112),0))),0)</f>
        <v>0</v>
      </c>
      <c r="BN119" s="28">
        <f>IF(BN114=1,IF(INDEX('Lease Cycles'!$EF$14:$EL$14,1,BN112)=1,0,BN115*(1-IF(BN113&lt;INDEX('Lease Cycles'!$DK$14:$DQ$14,1,BN112),0,IF(BN113=INDEX('Lease Cycles'!$DK$14:$DQ$14,1,BN112),1-INDEX('Lease Cycles'!$DR$14:$DX$14,1,BN112),1))-IF(BN113=0,INDEX('Lease Cycles'!$DD$14:$DJ$14,1,BN112),0))),0)</f>
        <v>0</v>
      </c>
      <c r="BO119" s="28">
        <f>IF(BO114=1,IF(INDEX('Lease Cycles'!$EF$14:$EL$14,1,BO112)=1,0,BO115*(1-IF(BO113&lt;INDEX('Lease Cycles'!$DK$14:$DQ$14,1,BO112),0,IF(BO113=INDEX('Lease Cycles'!$DK$14:$DQ$14,1,BO112),1-INDEX('Lease Cycles'!$DR$14:$DX$14,1,BO112),1))-IF(BO113=0,INDEX('Lease Cycles'!$DD$14:$DJ$14,1,BO112),0))),0)</f>
        <v>0</v>
      </c>
      <c r="BP119" s="28">
        <f>IF(BP114=1,IF(INDEX('Lease Cycles'!$EF$14:$EL$14,1,BP112)=1,0,BP115*(1-IF(BP113&lt;INDEX('Lease Cycles'!$DK$14:$DQ$14,1,BP112),0,IF(BP113=INDEX('Lease Cycles'!$DK$14:$DQ$14,1,BP112),1-INDEX('Lease Cycles'!$DR$14:$DX$14,1,BP112),1))-IF(BP113=0,INDEX('Lease Cycles'!$DD$14:$DJ$14,1,BP112),0))),0)</f>
        <v>0</v>
      </c>
      <c r="BQ119" s="28">
        <f>IF(BQ114=1,IF(INDEX('Lease Cycles'!$EF$14:$EL$14,1,BQ112)=1,0,BQ115*(1-IF(BQ113&lt;INDEX('Lease Cycles'!$DK$14:$DQ$14,1,BQ112),0,IF(BQ113=INDEX('Lease Cycles'!$DK$14:$DQ$14,1,BQ112),1-INDEX('Lease Cycles'!$DR$14:$DX$14,1,BQ112),1))-IF(BQ113=0,INDEX('Lease Cycles'!$DD$14:$DJ$14,1,BQ112),0))),0)</f>
        <v>0</v>
      </c>
      <c r="BR119" s="28">
        <f>IF(BR114=1,IF(INDEX('Lease Cycles'!$EF$14:$EL$14,1,BR112)=1,0,BR115*(1-IF(BR113&lt;INDEX('Lease Cycles'!$DK$14:$DQ$14,1,BR112),0,IF(BR113=INDEX('Lease Cycles'!$DK$14:$DQ$14,1,BR112),1-INDEX('Lease Cycles'!$DR$14:$DX$14,1,BR112),1))-IF(BR113=0,INDEX('Lease Cycles'!$DD$14:$DJ$14,1,BR112),0))),0)</f>
        <v>0</v>
      </c>
      <c r="BS119" s="28">
        <f>IF(BS114=1,IF(INDEX('Lease Cycles'!$EF$14:$EL$14,1,BS112)=1,0,BS115*(1-IF(BS113&lt;INDEX('Lease Cycles'!$DK$14:$DQ$14,1,BS112),0,IF(BS113=INDEX('Lease Cycles'!$DK$14:$DQ$14,1,BS112),1-INDEX('Lease Cycles'!$DR$14:$DX$14,1,BS112),1))-IF(BS113=0,INDEX('Lease Cycles'!$DD$14:$DJ$14,1,BS112),0))),0)</f>
        <v>0</v>
      </c>
      <c r="BT119" s="28">
        <f>IF(BT114=1,IF(INDEX('Lease Cycles'!$EF$14:$EL$14,1,BT112)=1,0,BT115*(1-IF(BT113&lt;INDEX('Lease Cycles'!$DK$14:$DQ$14,1,BT112),0,IF(BT113=INDEX('Lease Cycles'!$DK$14:$DQ$14,1,BT112),1-INDEX('Lease Cycles'!$DR$14:$DX$14,1,BT112),1))-IF(BT113=0,INDEX('Lease Cycles'!$DD$14:$DJ$14,1,BT112),0))),0)</f>
        <v>0</v>
      </c>
      <c r="BU119" s="28">
        <f>IF(BU114=1,IF(INDEX('Lease Cycles'!$EF$14:$EL$14,1,BU112)=1,0,BU115*(1-IF(BU113&lt;INDEX('Lease Cycles'!$DK$14:$DQ$14,1,BU112),0,IF(BU113=INDEX('Lease Cycles'!$DK$14:$DQ$14,1,BU112),1-INDEX('Lease Cycles'!$DR$14:$DX$14,1,BU112),1))-IF(BU113=0,INDEX('Lease Cycles'!$DD$14:$DJ$14,1,BU112),0))),0)</f>
        <v>0</v>
      </c>
      <c r="BV119" s="28">
        <f>IF(BV114=1,IF(INDEX('Lease Cycles'!$EF$14:$EL$14,1,BV112)=1,0,BV115*(1-IF(BV113&lt;INDEX('Lease Cycles'!$DK$14:$DQ$14,1,BV112),0,IF(BV113=INDEX('Lease Cycles'!$DK$14:$DQ$14,1,BV112),1-INDEX('Lease Cycles'!$DR$14:$DX$14,1,BV112),1))-IF(BV113=0,INDEX('Lease Cycles'!$DD$14:$DJ$14,1,BV112),0))),0)</f>
        <v>0</v>
      </c>
      <c r="BW119" s="28">
        <f>IF(BW114=1,IF(INDEX('Lease Cycles'!$EF$14:$EL$14,1,BW112)=1,0,BW115*(1-IF(BW113&lt;INDEX('Lease Cycles'!$DK$14:$DQ$14,1,BW112),0,IF(BW113=INDEX('Lease Cycles'!$DK$14:$DQ$14,1,BW112),1-INDEX('Lease Cycles'!$DR$14:$DX$14,1,BW112),1))-IF(BW113=0,INDEX('Lease Cycles'!$DD$14:$DJ$14,1,BW112),0))),0)</f>
        <v>0</v>
      </c>
      <c r="BX119" s="28">
        <f>IF(BX114=1,IF(INDEX('Lease Cycles'!$EF$14:$EL$14,1,BX112)=1,0,BX115*(1-IF(BX113&lt;INDEX('Lease Cycles'!$DK$14:$DQ$14,1,BX112),0,IF(BX113=INDEX('Lease Cycles'!$DK$14:$DQ$14,1,BX112),1-INDEX('Lease Cycles'!$DR$14:$DX$14,1,BX112),1))-IF(BX113=0,INDEX('Lease Cycles'!$DD$14:$DJ$14,1,BX112),0))),0)</f>
        <v>0</v>
      </c>
      <c r="BY119" s="28">
        <f>IF(BY114=1,IF(INDEX('Lease Cycles'!$EF$14:$EL$14,1,BY112)=1,0,BY115*(1-IF(BY113&lt;INDEX('Lease Cycles'!$DK$14:$DQ$14,1,BY112),0,IF(BY113=INDEX('Lease Cycles'!$DK$14:$DQ$14,1,BY112),1-INDEX('Lease Cycles'!$DR$14:$DX$14,1,BY112),1))-IF(BY113=0,INDEX('Lease Cycles'!$DD$14:$DJ$14,1,BY112),0))),0)</f>
        <v>0</v>
      </c>
      <c r="BZ119" s="28">
        <f>IF(BZ114=1,IF(INDEX('Lease Cycles'!$EF$14:$EL$14,1,BZ112)=1,0,BZ115*(1-IF(BZ113&lt;INDEX('Lease Cycles'!$DK$14:$DQ$14,1,BZ112),0,IF(BZ113=INDEX('Lease Cycles'!$DK$14:$DQ$14,1,BZ112),1-INDEX('Lease Cycles'!$DR$14:$DX$14,1,BZ112),1))-IF(BZ113=0,INDEX('Lease Cycles'!$DD$14:$DJ$14,1,BZ112),0))),0)</f>
        <v>0</v>
      </c>
      <c r="CA119" s="28">
        <f>IF(CA114=1,IF(INDEX('Lease Cycles'!$EF$14:$EL$14,1,CA112)=1,0,CA115*(1-IF(CA113&lt;INDEX('Lease Cycles'!$DK$14:$DQ$14,1,CA112),0,IF(CA113=INDEX('Lease Cycles'!$DK$14:$DQ$14,1,CA112),1-INDEX('Lease Cycles'!$DR$14:$DX$14,1,CA112),1))-IF(CA113=0,INDEX('Lease Cycles'!$DD$14:$DJ$14,1,CA112),0))),0)</f>
        <v>0</v>
      </c>
      <c r="CB119" s="28">
        <f>IF(CB114=1,IF(INDEX('Lease Cycles'!$EF$14:$EL$14,1,CB112)=1,0,CB115*(1-IF(CB113&lt;INDEX('Lease Cycles'!$DK$14:$DQ$14,1,CB112),0,IF(CB113=INDEX('Lease Cycles'!$DK$14:$DQ$14,1,CB112),1-INDEX('Lease Cycles'!$DR$14:$DX$14,1,CB112),1))-IF(CB113=0,INDEX('Lease Cycles'!$DD$14:$DJ$14,1,CB112),0))),0)</f>
        <v>0</v>
      </c>
      <c r="CC119" s="28">
        <f>IF(CC114=1,IF(INDEX('Lease Cycles'!$EF$14:$EL$14,1,CC112)=1,0,CC115*(1-IF(CC113&lt;INDEX('Lease Cycles'!$DK$14:$DQ$14,1,CC112),0,IF(CC113=INDEX('Lease Cycles'!$DK$14:$DQ$14,1,CC112),1-INDEX('Lease Cycles'!$DR$14:$DX$14,1,CC112),1))-IF(CC113=0,INDEX('Lease Cycles'!$DD$14:$DJ$14,1,CC112),0))),0)</f>
        <v>0</v>
      </c>
      <c r="CD119" s="28">
        <f>IF(CD114=1,IF(INDEX('Lease Cycles'!$EF$14:$EL$14,1,CD112)=1,0,CD115*(1-IF(CD113&lt;INDEX('Lease Cycles'!$DK$14:$DQ$14,1,CD112),0,IF(CD113=INDEX('Lease Cycles'!$DK$14:$DQ$14,1,CD112),1-INDEX('Lease Cycles'!$DR$14:$DX$14,1,CD112),1))-IF(CD113=0,INDEX('Lease Cycles'!$DD$14:$DJ$14,1,CD112),0))),0)</f>
        <v>0</v>
      </c>
      <c r="CE119" s="28">
        <f>IF(CE114=1,IF(INDEX('Lease Cycles'!$EF$14:$EL$14,1,CE112)=1,0,CE115*(1-IF(CE113&lt;INDEX('Lease Cycles'!$DK$14:$DQ$14,1,CE112),0,IF(CE113=INDEX('Lease Cycles'!$DK$14:$DQ$14,1,CE112),1-INDEX('Lease Cycles'!$DR$14:$DX$14,1,CE112),1))-IF(CE113=0,INDEX('Lease Cycles'!$DD$14:$DJ$14,1,CE112),0))),0)</f>
        <v>0</v>
      </c>
      <c r="CF119" s="28">
        <f>IF(CF114=1,IF(INDEX('Lease Cycles'!$EF$14:$EL$14,1,CF112)=1,0,CF115*(1-IF(CF113&lt;INDEX('Lease Cycles'!$DK$14:$DQ$14,1,CF112),0,IF(CF113=INDEX('Lease Cycles'!$DK$14:$DQ$14,1,CF112),1-INDEX('Lease Cycles'!$DR$14:$DX$14,1,CF112),1))-IF(CF113=0,INDEX('Lease Cycles'!$DD$14:$DJ$14,1,CF112),0))),0)</f>
        <v>0</v>
      </c>
      <c r="CG119" s="28">
        <f>IF(CG114=1,IF(INDEX('Lease Cycles'!$EF$14:$EL$14,1,CG112)=1,0,CG115*(1-IF(CG113&lt;INDEX('Lease Cycles'!$DK$14:$DQ$14,1,CG112),0,IF(CG113=INDEX('Lease Cycles'!$DK$14:$DQ$14,1,CG112),1-INDEX('Lease Cycles'!$DR$14:$DX$14,1,CG112),1))-IF(CG113=0,INDEX('Lease Cycles'!$DD$14:$DJ$14,1,CG112),0))),0)</f>
        <v>0</v>
      </c>
      <c r="CH119" s="28">
        <f>IF(CH114=1,IF(INDEX('Lease Cycles'!$EF$14:$EL$14,1,CH112)=1,0,CH115*(1-IF(CH113&lt;INDEX('Lease Cycles'!$DK$14:$DQ$14,1,CH112),0,IF(CH113=INDEX('Lease Cycles'!$DK$14:$DQ$14,1,CH112),1-INDEX('Lease Cycles'!$DR$14:$DX$14,1,CH112),1))-IF(CH113=0,INDEX('Lease Cycles'!$DD$14:$DJ$14,1,CH112),0))),0)</f>
        <v>0</v>
      </c>
      <c r="CI119" s="28">
        <f>IF(CI114=1,IF(INDEX('Lease Cycles'!$EF$14:$EL$14,1,CI112)=1,0,CI115*(1-IF(CI113&lt;INDEX('Lease Cycles'!$DK$14:$DQ$14,1,CI112),0,IF(CI113=INDEX('Lease Cycles'!$DK$14:$DQ$14,1,CI112),1-INDEX('Lease Cycles'!$DR$14:$DX$14,1,CI112),1))-IF(CI113=0,INDEX('Lease Cycles'!$DD$14:$DJ$14,1,CI112),0))),0)</f>
        <v>0</v>
      </c>
      <c r="CJ119" s="28">
        <f>IF(CJ114=1,IF(INDEX('Lease Cycles'!$EF$14:$EL$14,1,CJ112)=1,0,CJ115*(1-IF(CJ113&lt;INDEX('Lease Cycles'!$DK$14:$DQ$14,1,CJ112),0,IF(CJ113=INDEX('Lease Cycles'!$DK$14:$DQ$14,1,CJ112),1-INDEX('Lease Cycles'!$DR$14:$DX$14,1,CJ112),1))-IF(CJ113=0,INDEX('Lease Cycles'!$DD$14:$DJ$14,1,CJ112),0))),0)</f>
        <v>0</v>
      </c>
      <c r="CK119" s="28">
        <f>IF(CK114=1,IF(INDEX('Lease Cycles'!$EF$14:$EL$14,1,CK112)=1,0,CK115*(1-IF(CK113&lt;INDEX('Lease Cycles'!$DK$14:$DQ$14,1,CK112),0,IF(CK113=INDEX('Lease Cycles'!$DK$14:$DQ$14,1,CK112),1-INDEX('Lease Cycles'!$DR$14:$DX$14,1,CK112),1))-IF(CK113=0,INDEX('Lease Cycles'!$DD$14:$DJ$14,1,CK112),0))),0)</f>
        <v>0</v>
      </c>
      <c r="CL119" s="28">
        <f>IF(CL114=1,IF(INDEX('Lease Cycles'!$EF$14:$EL$14,1,CL112)=1,0,CL115*(1-IF(CL113&lt;INDEX('Lease Cycles'!$DK$14:$DQ$14,1,CL112),0,IF(CL113=INDEX('Lease Cycles'!$DK$14:$DQ$14,1,CL112),1-INDEX('Lease Cycles'!$DR$14:$DX$14,1,CL112),1))-IF(CL113=0,INDEX('Lease Cycles'!$DD$14:$DJ$14,1,CL112),0))),0)</f>
        <v>0</v>
      </c>
      <c r="CM119" s="28">
        <f>IF(CM114=1,IF(INDEX('Lease Cycles'!$EF$14:$EL$14,1,CM112)=1,0,CM115*(1-IF(CM113&lt;INDEX('Lease Cycles'!$DK$14:$DQ$14,1,CM112),0,IF(CM113=INDEX('Lease Cycles'!$DK$14:$DQ$14,1,CM112),1-INDEX('Lease Cycles'!$DR$14:$DX$14,1,CM112),1))-IF(CM113=0,INDEX('Lease Cycles'!$DD$14:$DJ$14,1,CM112),0))),0)</f>
        <v>0</v>
      </c>
      <c r="CN119" s="28">
        <f>IF(CN114=1,IF(INDEX('Lease Cycles'!$EF$14:$EL$14,1,CN112)=1,0,CN115*(1-IF(CN113&lt;INDEX('Lease Cycles'!$DK$14:$DQ$14,1,CN112),0,IF(CN113=INDEX('Lease Cycles'!$DK$14:$DQ$14,1,CN112),1-INDEX('Lease Cycles'!$DR$14:$DX$14,1,CN112),1))-IF(CN113=0,INDEX('Lease Cycles'!$DD$14:$DJ$14,1,CN112),0))),0)</f>
        <v>0</v>
      </c>
      <c r="CO119" s="28">
        <f>IF(CO114=1,IF(INDEX('Lease Cycles'!$EF$14:$EL$14,1,CO112)=1,0,CO115*(1-IF(CO113&lt;INDEX('Lease Cycles'!$DK$14:$DQ$14,1,CO112),0,IF(CO113=INDEX('Lease Cycles'!$DK$14:$DQ$14,1,CO112),1-INDEX('Lease Cycles'!$DR$14:$DX$14,1,CO112),1))-IF(CO113=0,INDEX('Lease Cycles'!$DD$14:$DJ$14,1,CO112),0))),0)</f>
        <v>0</v>
      </c>
      <c r="CP119" s="28">
        <f>IF(CP114=1,IF(INDEX('Lease Cycles'!$EF$14:$EL$14,1,CP112)=1,0,CP115*(1-IF(CP113&lt;INDEX('Lease Cycles'!$DK$14:$DQ$14,1,CP112),0,IF(CP113=INDEX('Lease Cycles'!$DK$14:$DQ$14,1,CP112),1-INDEX('Lease Cycles'!$DR$14:$DX$14,1,CP112),1))-IF(CP113=0,INDEX('Lease Cycles'!$DD$14:$DJ$14,1,CP112),0))),0)</f>
        <v>0</v>
      </c>
      <c r="CQ119" s="28">
        <f>IF(CQ114=1,IF(INDEX('Lease Cycles'!$EF$14:$EL$14,1,CQ112)=1,0,CQ115*(1-IF(CQ113&lt;INDEX('Lease Cycles'!$DK$14:$DQ$14,1,CQ112),0,IF(CQ113=INDEX('Lease Cycles'!$DK$14:$DQ$14,1,CQ112),1-INDEX('Lease Cycles'!$DR$14:$DX$14,1,CQ112),1))-IF(CQ113=0,INDEX('Lease Cycles'!$DD$14:$DJ$14,1,CQ112),0))),0)</f>
        <v>0</v>
      </c>
      <c r="CR119" s="28">
        <f>IF(CR114=1,IF(INDEX('Lease Cycles'!$EF$14:$EL$14,1,CR112)=1,0,CR115*(1-IF(CR113&lt;INDEX('Lease Cycles'!$DK$14:$DQ$14,1,CR112),0,IF(CR113=INDEX('Lease Cycles'!$DK$14:$DQ$14,1,CR112),1-INDEX('Lease Cycles'!$DR$14:$DX$14,1,CR112),1))-IF(CR113=0,INDEX('Lease Cycles'!$DD$14:$DJ$14,1,CR112),0))),0)</f>
        <v>0</v>
      </c>
      <c r="CS119" s="28">
        <f>IF(CS114=1,IF(INDEX('Lease Cycles'!$EF$14:$EL$14,1,CS112)=1,0,CS115*(1-IF(CS113&lt;INDEX('Lease Cycles'!$DK$14:$DQ$14,1,CS112),0,IF(CS113=INDEX('Lease Cycles'!$DK$14:$DQ$14,1,CS112),1-INDEX('Lease Cycles'!$DR$14:$DX$14,1,CS112),1))-IF(CS113=0,INDEX('Lease Cycles'!$DD$14:$DJ$14,1,CS112),0))),0)</f>
        <v>0</v>
      </c>
      <c r="CT119" s="28">
        <f>IF(CT114=1,IF(INDEX('Lease Cycles'!$EF$14:$EL$14,1,CT112)=1,0,CT115*(1-IF(CT113&lt;INDEX('Lease Cycles'!$DK$14:$DQ$14,1,CT112),0,IF(CT113=INDEX('Lease Cycles'!$DK$14:$DQ$14,1,CT112),1-INDEX('Lease Cycles'!$DR$14:$DX$14,1,CT112),1))-IF(CT113=0,INDEX('Lease Cycles'!$DD$14:$DJ$14,1,CT112),0))),0)</f>
        <v>0</v>
      </c>
      <c r="CU119" s="28">
        <f>IF(CU114=1,IF(INDEX('Lease Cycles'!$EF$14:$EL$14,1,CU112)=1,0,CU115*(1-IF(CU113&lt;INDEX('Lease Cycles'!$DK$14:$DQ$14,1,CU112),0,IF(CU113=INDEX('Lease Cycles'!$DK$14:$DQ$14,1,CU112),1-INDEX('Lease Cycles'!$DR$14:$DX$14,1,CU112),1))-IF(CU113=0,INDEX('Lease Cycles'!$DD$14:$DJ$14,1,CU112),0))),0)</f>
        <v>0</v>
      </c>
      <c r="CV119" s="28">
        <f>IF(CV114=1,IF(INDEX('Lease Cycles'!$EF$14:$EL$14,1,CV112)=1,0,CV115*(1-IF(CV113&lt;INDEX('Lease Cycles'!$DK$14:$DQ$14,1,CV112),0,IF(CV113=INDEX('Lease Cycles'!$DK$14:$DQ$14,1,CV112),1-INDEX('Lease Cycles'!$DR$14:$DX$14,1,CV112),1))-IF(CV113=0,INDEX('Lease Cycles'!$DD$14:$DJ$14,1,CV112),0))),0)</f>
        <v>0</v>
      </c>
      <c r="CW119" s="28">
        <f>IF(CW114=1,IF(INDEX('Lease Cycles'!$EF$14:$EL$14,1,CW112)=1,0,CW115*(1-IF(CW113&lt;INDEX('Lease Cycles'!$DK$14:$DQ$14,1,CW112),0,IF(CW113=INDEX('Lease Cycles'!$DK$14:$DQ$14,1,CW112),1-INDEX('Lease Cycles'!$DR$14:$DX$14,1,CW112),1))-IF(CW113=0,INDEX('Lease Cycles'!$DD$14:$DJ$14,1,CW112),0))),0)</f>
        <v>0</v>
      </c>
      <c r="CX119" s="28">
        <f>IF(CX114=1,IF(INDEX('Lease Cycles'!$EF$14:$EL$14,1,CX112)=1,0,CX115*(1-IF(CX113&lt;INDEX('Lease Cycles'!$DK$14:$DQ$14,1,CX112),0,IF(CX113=INDEX('Lease Cycles'!$DK$14:$DQ$14,1,CX112),1-INDEX('Lease Cycles'!$DR$14:$DX$14,1,CX112),1))-IF(CX113=0,INDEX('Lease Cycles'!$DD$14:$DJ$14,1,CX112),0))),0)</f>
        <v>0</v>
      </c>
      <c r="CY119" s="28">
        <f>IF(CY114=1,IF(INDEX('Lease Cycles'!$EF$14:$EL$14,1,CY112)=1,0,CY115*(1-IF(CY113&lt;INDEX('Lease Cycles'!$DK$14:$DQ$14,1,CY112),0,IF(CY113=INDEX('Lease Cycles'!$DK$14:$DQ$14,1,CY112),1-INDEX('Lease Cycles'!$DR$14:$DX$14,1,CY112),1))-IF(CY113=0,INDEX('Lease Cycles'!$DD$14:$DJ$14,1,CY112),0))),0)</f>
        <v>0</v>
      </c>
      <c r="CZ119" s="28">
        <f>IF(CZ114=1,IF(INDEX('Lease Cycles'!$EF$14:$EL$14,1,CZ112)=1,0,CZ115*(1-IF(CZ113&lt;INDEX('Lease Cycles'!$DK$14:$DQ$14,1,CZ112),0,IF(CZ113=INDEX('Lease Cycles'!$DK$14:$DQ$14,1,CZ112),1-INDEX('Lease Cycles'!$DR$14:$DX$14,1,CZ112),1))-IF(CZ113=0,INDEX('Lease Cycles'!$DD$14:$DJ$14,1,CZ112),0))),0)</f>
        <v>0</v>
      </c>
      <c r="DA119" s="28">
        <f>IF(DA114=1,IF(INDEX('Lease Cycles'!$EF$14:$EL$14,1,DA112)=1,0,DA115*(1-IF(DA113&lt;INDEX('Lease Cycles'!$DK$14:$DQ$14,1,DA112),0,IF(DA113=INDEX('Lease Cycles'!$DK$14:$DQ$14,1,DA112),1-INDEX('Lease Cycles'!$DR$14:$DX$14,1,DA112),1))-IF(DA113=0,INDEX('Lease Cycles'!$DD$14:$DJ$14,1,DA112),0))),0)</f>
        <v>0</v>
      </c>
      <c r="DB119" s="28">
        <f>IF(DB114=1,IF(INDEX('Lease Cycles'!$EF$14:$EL$14,1,DB112)=1,0,DB115*(1-IF(DB113&lt;INDEX('Lease Cycles'!$DK$14:$DQ$14,1,DB112),0,IF(DB113=INDEX('Lease Cycles'!$DK$14:$DQ$14,1,DB112),1-INDEX('Lease Cycles'!$DR$14:$DX$14,1,DB112),1))-IF(DB113=0,INDEX('Lease Cycles'!$DD$14:$DJ$14,1,DB112),0))),0)</f>
        <v>0</v>
      </c>
      <c r="DC119" s="28">
        <f>IF(DC114=1,IF(INDEX('Lease Cycles'!$EF$14:$EL$14,1,DC112)=1,0,DC115*(1-IF(DC113&lt;INDEX('Lease Cycles'!$DK$14:$DQ$14,1,DC112),0,IF(DC113=INDEX('Lease Cycles'!$DK$14:$DQ$14,1,DC112),1-INDEX('Lease Cycles'!$DR$14:$DX$14,1,DC112),1))-IF(DC113=0,INDEX('Lease Cycles'!$DD$14:$DJ$14,1,DC112),0))),0)</f>
        <v>0</v>
      </c>
      <c r="DD119" s="28">
        <f>IF(DD114=1,IF(INDEX('Lease Cycles'!$EF$14:$EL$14,1,DD112)=1,0,DD115*(1-IF(DD113&lt;INDEX('Lease Cycles'!$DK$14:$DQ$14,1,DD112),0,IF(DD113=INDEX('Lease Cycles'!$DK$14:$DQ$14,1,DD112),1-INDEX('Lease Cycles'!$DR$14:$DX$14,1,DD112),1))-IF(DD113=0,INDEX('Lease Cycles'!$DD$14:$DJ$14,1,DD112),0))),0)</f>
        <v>0</v>
      </c>
      <c r="DE119" s="28">
        <f>IF(DE114=1,IF(INDEX('Lease Cycles'!$EF$14:$EL$14,1,DE112)=1,0,DE115*(1-IF(DE113&lt;INDEX('Lease Cycles'!$DK$14:$DQ$14,1,DE112),0,IF(DE113=INDEX('Lease Cycles'!$DK$14:$DQ$14,1,DE112),1-INDEX('Lease Cycles'!$DR$14:$DX$14,1,DE112),1))-IF(DE113=0,INDEX('Lease Cycles'!$DD$14:$DJ$14,1,DE112),0))),0)</f>
        <v>0</v>
      </c>
      <c r="DF119" s="28">
        <f>IF(DF114=1,IF(INDEX('Lease Cycles'!$EF$14:$EL$14,1,DF112)=1,0,DF115*(1-IF(DF113&lt;INDEX('Lease Cycles'!$DK$14:$DQ$14,1,DF112),0,IF(DF113=INDEX('Lease Cycles'!$DK$14:$DQ$14,1,DF112),1-INDEX('Lease Cycles'!$DR$14:$DX$14,1,DF112),1))-IF(DF113=0,INDEX('Lease Cycles'!$DD$14:$DJ$14,1,DF112),0))),0)</f>
        <v>0</v>
      </c>
      <c r="DG119" s="28">
        <f>IF(DG114=1,IF(INDEX('Lease Cycles'!$EF$14:$EL$14,1,DG112)=1,0,DG115*(1-IF(DG113&lt;INDEX('Lease Cycles'!$DK$14:$DQ$14,1,DG112),0,IF(DG113=INDEX('Lease Cycles'!$DK$14:$DQ$14,1,DG112),1-INDEX('Lease Cycles'!$DR$14:$DX$14,1,DG112),1))-IF(DG113=0,INDEX('Lease Cycles'!$DD$14:$DJ$14,1,DG112),0))),0)</f>
        <v>0</v>
      </c>
      <c r="DH119" s="28">
        <f>IF(DH114=1,IF(INDEX('Lease Cycles'!$EF$14:$EL$14,1,DH112)=1,0,DH115*(1-IF(DH113&lt;INDEX('Lease Cycles'!$DK$14:$DQ$14,1,DH112),0,IF(DH113=INDEX('Lease Cycles'!$DK$14:$DQ$14,1,DH112),1-INDEX('Lease Cycles'!$DR$14:$DX$14,1,DH112),1))-IF(DH113=0,INDEX('Lease Cycles'!$DD$14:$DJ$14,1,DH112),0))),0)</f>
        <v>0</v>
      </c>
      <c r="DI119" s="28">
        <f>IF(DI114=1,IF(INDEX('Lease Cycles'!$EF$14:$EL$14,1,DI112)=1,0,DI115*(1-IF(DI113&lt;INDEX('Lease Cycles'!$DK$14:$DQ$14,1,DI112),0,IF(DI113=INDEX('Lease Cycles'!$DK$14:$DQ$14,1,DI112),1-INDEX('Lease Cycles'!$DR$14:$DX$14,1,DI112),1))-IF(DI113=0,INDEX('Lease Cycles'!$DD$14:$DJ$14,1,DI112),0))),0)</f>
        <v>0</v>
      </c>
      <c r="DJ119" s="28">
        <f>IF(DJ114=1,IF(INDEX('Lease Cycles'!$EF$14:$EL$14,1,DJ112)=1,0,DJ115*(1-IF(DJ113&lt;INDEX('Lease Cycles'!$DK$14:$DQ$14,1,DJ112),0,IF(DJ113=INDEX('Lease Cycles'!$DK$14:$DQ$14,1,DJ112),1-INDEX('Lease Cycles'!$DR$14:$DX$14,1,DJ112),1))-IF(DJ113=0,INDEX('Lease Cycles'!$DD$14:$DJ$14,1,DJ112),0))),0)</f>
        <v>0</v>
      </c>
      <c r="DK119" s="28">
        <f>IF(DK114=1,IF(INDEX('Lease Cycles'!$EF$14:$EL$14,1,DK112)=1,0,DK115*(1-IF(DK113&lt;INDEX('Lease Cycles'!$DK$14:$DQ$14,1,DK112),0,IF(DK113=INDEX('Lease Cycles'!$DK$14:$DQ$14,1,DK112),1-INDEX('Lease Cycles'!$DR$14:$DX$14,1,DK112),1))-IF(DK113=0,INDEX('Lease Cycles'!$DD$14:$DJ$14,1,DK112),0))),0)</f>
        <v>0</v>
      </c>
      <c r="DL119" s="28">
        <f>IF(DL114=1,IF(INDEX('Lease Cycles'!$EF$14:$EL$14,1,DL112)=1,0,DL115*(1-IF(DL113&lt;INDEX('Lease Cycles'!$DK$14:$DQ$14,1,DL112),0,IF(DL113=INDEX('Lease Cycles'!$DK$14:$DQ$14,1,DL112),1-INDEX('Lease Cycles'!$DR$14:$DX$14,1,DL112),1))-IF(DL113=0,INDEX('Lease Cycles'!$DD$14:$DJ$14,1,DL112),0))),0)</f>
        <v>0</v>
      </c>
      <c r="DM119" s="28">
        <f>IF(DM114=1,IF(INDEX('Lease Cycles'!$EF$14:$EL$14,1,DM112)=1,0,DM115*(1-IF(DM113&lt;INDEX('Lease Cycles'!$DK$14:$DQ$14,1,DM112),0,IF(DM113=INDEX('Lease Cycles'!$DK$14:$DQ$14,1,DM112),1-INDEX('Lease Cycles'!$DR$14:$DX$14,1,DM112),1))-IF(DM113=0,INDEX('Lease Cycles'!$DD$14:$DJ$14,1,DM112),0))),0)</f>
        <v>0</v>
      </c>
      <c r="DN119" s="28">
        <f>IF(DN114=1,IF(INDEX('Lease Cycles'!$EF$14:$EL$14,1,DN112)=1,0,DN115*(1-IF(DN113&lt;INDEX('Lease Cycles'!$DK$14:$DQ$14,1,DN112),0,IF(DN113=INDEX('Lease Cycles'!$DK$14:$DQ$14,1,DN112),1-INDEX('Lease Cycles'!$DR$14:$DX$14,1,DN112),1))-IF(DN113=0,INDEX('Lease Cycles'!$DD$14:$DJ$14,1,DN112),0))),0)</f>
        <v>0</v>
      </c>
      <c r="DO119" s="28">
        <f>IF(DO114=1,IF(INDEX('Lease Cycles'!$EF$14:$EL$14,1,DO112)=1,0,DO115*(1-IF(DO113&lt;INDEX('Lease Cycles'!$DK$14:$DQ$14,1,DO112),0,IF(DO113=INDEX('Lease Cycles'!$DK$14:$DQ$14,1,DO112),1-INDEX('Lease Cycles'!$DR$14:$DX$14,1,DO112),1))-IF(DO113=0,INDEX('Lease Cycles'!$DD$14:$DJ$14,1,DO112),0))),0)</f>
        <v>0</v>
      </c>
      <c r="DP119" s="28">
        <f>IF(DP114=1,IF(INDEX('Lease Cycles'!$EF$14:$EL$14,1,DP112)=1,0,DP115*(1-IF(DP113&lt;INDEX('Lease Cycles'!$DK$14:$DQ$14,1,DP112),0,IF(DP113=INDEX('Lease Cycles'!$DK$14:$DQ$14,1,DP112),1-INDEX('Lease Cycles'!$DR$14:$DX$14,1,DP112),1))-IF(DP113=0,INDEX('Lease Cycles'!$DD$14:$DJ$14,1,DP112),0))),0)</f>
        <v>0</v>
      </c>
      <c r="DQ119" s="28">
        <f>IF(DQ114=1,IF(INDEX('Lease Cycles'!$EF$14:$EL$14,1,DQ112)=1,0,DQ115*(1-IF(DQ113&lt;INDEX('Lease Cycles'!$DK$14:$DQ$14,1,DQ112),0,IF(DQ113=INDEX('Lease Cycles'!$DK$14:$DQ$14,1,DQ112),1-INDEX('Lease Cycles'!$DR$14:$DX$14,1,DQ112),1))-IF(DQ113=0,INDEX('Lease Cycles'!$DD$14:$DJ$14,1,DQ112),0))),0)</f>
        <v>0</v>
      </c>
      <c r="DR119" s="28">
        <f>IF(DR114=1,IF(INDEX('Lease Cycles'!$EF$14:$EL$14,1,DR112)=1,0,DR115*(1-IF(DR113&lt;INDEX('Lease Cycles'!$DK$14:$DQ$14,1,DR112),0,IF(DR113=INDEX('Lease Cycles'!$DK$14:$DQ$14,1,DR112),1-INDEX('Lease Cycles'!$DR$14:$DX$14,1,DR112),1))-IF(DR113=0,INDEX('Lease Cycles'!$DD$14:$DJ$14,1,DR112),0))),0)</f>
        <v>0</v>
      </c>
      <c r="DS119" s="28">
        <f>IF(DS114=1,IF(INDEX('Lease Cycles'!$EF$14:$EL$14,1,DS112)=1,0,DS115*(1-IF(DS113&lt;INDEX('Lease Cycles'!$DK$14:$DQ$14,1,DS112),0,IF(DS113=INDEX('Lease Cycles'!$DK$14:$DQ$14,1,DS112),1-INDEX('Lease Cycles'!$DR$14:$DX$14,1,DS112),1))-IF(DS113=0,INDEX('Lease Cycles'!$DD$14:$DJ$14,1,DS112),0))),0)</f>
        <v>0</v>
      </c>
      <c r="DT119" s="28">
        <f>IF(DT114=1,IF(INDEX('Lease Cycles'!$EF$14:$EL$14,1,DT112)=1,0,DT115*(1-IF(DT113&lt;INDEX('Lease Cycles'!$DK$14:$DQ$14,1,DT112),0,IF(DT113=INDEX('Lease Cycles'!$DK$14:$DQ$14,1,DT112),1-INDEX('Lease Cycles'!$DR$14:$DX$14,1,DT112),1))-IF(DT113=0,INDEX('Lease Cycles'!$DD$14:$DJ$14,1,DT112),0))),0)</f>
        <v>0</v>
      </c>
      <c r="DU119" s="28">
        <f>IF(DU114=1,IF(INDEX('Lease Cycles'!$EF$14:$EL$14,1,DU112)=1,0,DU115*(1-IF(DU113&lt;INDEX('Lease Cycles'!$DK$14:$DQ$14,1,DU112),0,IF(DU113=INDEX('Lease Cycles'!$DK$14:$DQ$14,1,DU112),1-INDEX('Lease Cycles'!$DR$14:$DX$14,1,DU112),1))-IF(DU113=0,INDEX('Lease Cycles'!$DD$14:$DJ$14,1,DU112),0))),0)</f>
        <v>0</v>
      </c>
      <c r="DV119" s="28">
        <f>IF(DV114=1,IF(INDEX('Lease Cycles'!$EF$14:$EL$14,1,DV112)=1,0,DV115*(1-IF(DV113&lt;INDEX('Lease Cycles'!$DK$14:$DQ$14,1,DV112),0,IF(DV113=INDEX('Lease Cycles'!$DK$14:$DQ$14,1,DV112),1-INDEX('Lease Cycles'!$DR$14:$DX$14,1,DV112),1))-IF(DV113=0,INDEX('Lease Cycles'!$DD$14:$DJ$14,1,DV112),0))),0)</f>
        <v>0</v>
      </c>
      <c r="DW119" s="28">
        <f>IF(DW114=1,IF(INDEX('Lease Cycles'!$EF$14:$EL$14,1,DW112)=1,0,DW115*(1-IF(DW113&lt;INDEX('Lease Cycles'!$DK$14:$DQ$14,1,DW112),0,IF(DW113=INDEX('Lease Cycles'!$DK$14:$DQ$14,1,DW112),1-INDEX('Lease Cycles'!$DR$14:$DX$14,1,DW112),1))-IF(DW113=0,INDEX('Lease Cycles'!$DD$14:$DJ$14,1,DW112),0))),0)</f>
        <v>0</v>
      </c>
      <c r="DX119" s="28">
        <f>IF(DX114=1,IF(INDEX('Lease Cycles'!$EF$14:$EL$14,1,DX112)=1,0,DX115*(1-IF(DX113&lt;INDEX('Lease Cycles'!$DK$14:$DQ$14,1,DX112),0,IF(DX113=INDEX('Lease Cycles'!$DK$14:$DQ$14,1,DX112),1-INDEX('Lease Cycles'!$DR$14:$DX$14,1,DX112),1))-IF(DX113=0,INDEX('Lease Cycles'!$DD$14:$DJ$14,1,DX112),0))),0)</f>
        <v>0</v>
      </c>
      <c r="DY119" s="28">
        <f>IF(DY114=1,IF(INDEX('Lease Cycles'!$EF$14:$EL$14,1,DY112)=1,0,DY115*(1-IF(DY113&lt;INDEX('Lease Cycles'!$DK$14:$DQ$14,1,DY112),0,IF(DY113=INDEX('Lease Cycles'!$DK$14:$DQ$14,1,DY112),1-INDEX('Lease Cycles'!$DR$14:$DX$14,1,DY112),1))-IF(DY113=0,INDEX('Lease Cycles'!$DD$14:$DJ$14,1,DY112),0))),0)</f>
        <v>0</v>
      </c>
      <c r="DZ119" s="28">
        <f>IF(DZ114=1,IF(INDEX('Lease Cycles'!$EF$14:$EL$14,1,DZ112)=1,0,DZ115*(1-IF(DZ113&lt;INDEX('Lease Cycles'!$DK$14:$DQ$14,1,DZ112),0,IF(DZ113=INDEX('Lease Cycles'!$DK$14:$DQ$14,1,DZ112),1-INDEX('Lease Cycles'!$DR$14:$DX$14,1,DZ112),1))-IF(DZ113=0,INDEX('Lease Cycles'!$DD$14:$DJ$14,1,DZ112),0))),0)</f>
        <v>0</v>
      </c>
      <c r="EA119" s="28">
        <f>IF(EA114=1,IF(INDEX('Lease Cycles'!$EF$14:$EL$14,1,EA112)=1,0,EA115*(1-IF(EA113&lt;INDEX('Lease Cycles'!$DK$14:$DQ$14,1,EA112),0,IF(EA113=INDEX('Lease Cycles'!$DK$14:$DQ$14,1,EA112),1-INDEX('Lease Cycles'!$DR$14:$DX$14,1,EA112),1))-IF(EA113=0,INDEX('Lease Cycles'!$DD$14:$DJ$14,1,EA112),0))),0)</f>
        <v>0</v>
      </c>
      <c r="EB119" s="28">
        <f>IF(EB114=1,IF(INDEX('Lease Cycles'!$EF$14:$EL$14,1,EB112)=1,0,EB115*(1-IF(EB113&lt;INDEX('Lease Cycles'!$DK$14:$DQ$14,1,EB112),0,IF(EB113=INDEX('Lease Cycles'!$DK$14:$DQ$14,1,EB112),1-INDEX('Lease Cycles'!$DR$14:$DX$14,1,EB112),1))-IF(EB113=0,INDEX('Lease Cycles'!$DD$14:$DJ$14,1,EB112),0))),0)</f>
        <v>0</v>
      </c>
      <c r="EC119" s="28">
        <f>IF(EC114=1,IF(INDEX('Lease Cycles'!$EF$14:$EL$14,1,EC112)=1,0,EC115*(1-IF(EC113&lt;INDEX('Lease Cycles'!$DK$14:$DQ$14,1,EC112),0,IF(EC113=INDEX('Lease Cycles'!$DK$14:$DQ$14,1,EC112),1-INDEX('Lease Cycles'!$DR$14:$DX$14,1,EC112),1))-IF(EC113=0,INDEX('Lease Cycles'!$DD$14:$DJ$14,1,EC112),0))),0)</f>
        <v>0</v>
      </c>
      <c r="ED119" s="28">
        <f>IF(ED114=1,IF(INDEX('Lease Cycles'!$EF$14:$EL$14,1,ED112)=1,0,ED115*(1-IF(ED113&lt;INDEX('Lease Cycles'!$DK$14:$DQ$14,1,ED112),0,IF(ED113=INDEX('Lease Cycles'!$DK$14:$DQ$14,1,ED112),1-INDEX('Lease Cycles'!$DR$14:$DX$14,1,ED112),1))-IF(ED113=0,INDEX('Lease Cycles'!$DD$14:$DJ$14,1,ED112),0))),0)</f>
        <v>0</v>
      </c>
      <c r="EE119" s="28">
        <f>IF(EE114=1,IF(INDEX('Lease Cycles'!$EF$14:$EL$14,1,EE112)=1,0,EE115*(1-IF(EE113&lt;INDEX('Lease Cycles'!$DK$14:$DQ$14,1,EE112),0,IF(EE113=INDEX('Lease Cycles'!$DK$14:$DQ$14,1,EE112),1-INDEX('Lease Cycles'!$DR$14:$DX$14,1,EE112),1))-IF(EE113=0,INDEX('Lease Cycles'!$DD$14:$DJ$14,1,EE112),0))),0)</f>
        <v>1723.3081446470255</v>
      </c>
      <c r="EF119" s="28">
        <f>IF(EF114=1,IF(INDEX('Lease Cycles'!$EF$14:$EL$14,1,EF112)=1,0,EF115*(1-IF(EF113&lt;INDEX('Lease Cycles'!$DK$14:$DQ$14,1,EF112),0,IF(EF113=INDEX('Lease Cycles'!$DK$14:$DQ$14,1,EF112),1-INDEX('Lease Cycles'!$DR$14:$DX$14,1,EF112),1))-IF(EF113=0,INDEX('Lease Cycles'!$DD$14:$DJ$14,1,EF112),0))),0)</f>
        <v>0</v>
      </c>
      <c r="EG119" s="28">
        <f>IF(EG114=1,IF(INDEX('Lease Cycles'!$EF$14:$EL$14,1,EG112)=1,0,EG115*(1-IF(EG113&lt;INDEX('Lease Cycles'!$DK$14:$DQ$14,1,EG112),0,IF(EG113=INDEX('Lease Cycles'!$DK$14:$DQ$14,1,EG112),1-INDEX('Lease Cycles'!$DR$14:$DX$14,1,EG112),1))-IF(EG113=0,INDEX('Lease Cycles'!$DD$14:$DJ$14,1,EG112),0))),0)</f>
        <v>0</v>
      </c>
      <c r="EH119" s="28">
        <f>IF(EH114=1,IF(INDEX('Lease Cycles'!$EF$14:$EL$14,1,EH112)=1,0,EH115*(1-IF(EH113&lt;INDEX('Lease Cycles'!$DK$14:$DQ$14,1,EH112),0,IF(EH113=INDEX('Lease Cycles'!$DK$14:$DQ$14,1,EH112),1-INDEX('Lease Cycles'!$DR$14:$DX$14,1,EH112),1))-IF(EH113=0,INDEX('Lease Cycles'!$DD$14:$DJ$14,1,EH112),0))),0)</f>
        <v>0</v>
      </c>
      <c r="EI119" s="28">
        <f>IF(EI114=1,IF(INDEX('Lease Cycles'!$EF$14:$EL$14,1,EI112)=1,0,EI115*(1-IF(EI113&lt;INDEX('Lease Cycles'!$DK$14:$DQ$14,1,EI112),0,IF(EI113=INDEX('Lease Cycles'!$DK$14:$DQ$14,1,EI112),1-INDEX('Lease Cycles'!$DR$14:$DX$14,1,EI112),1))-IF(EI113=0,INDEX('Lease Cycles'!$DD$14:$DJ$14,1,EI112),0))),0)</f>
        <v>0</v>
      </c>
      <c r="EJ119" s="28">
        <f>IF(EJ114=1,IF(INDEX('Lease Cycles'!$EF$14:$EL$14,1,EJ112)=1,0,EJ115*(1-IF(EJ113&lt;INDEX('Lease Cycles'!$DK$14:$DQ$14,1,EJ112),0,IF(EJ113=INDEX('Lease Cycles'!$DK$14:$DQ$14,1,EJ112),1-INDEX('Lease Cycles'!$DR$14:$DX$14,1,EJ112),1))-IF(EJ113=0,INDEX('Lease Cycles'!$DD$14:$DJ$14,1,EJ112),0))),0)</f>
        <v>0</v>
      </c>
      <c r="EK119" s="28">
        <f>IF(EK114=1,IF(INDEX('Lease Cycles'!$EF$14:$EL$14,1,EK112)=1,0,EK115*(1-IF(EK113&lt;INDEX('Lease Cycles'!$DK$14:$DQ$14,1,EK112),0,IF(EK113=INDEX('Lease Cycles'!$DK$14:$DQ$14,1,EK112),1-INDEX('Lease Cycles'!$DR$14:$DX$14,1,EK112),1))-IF(EK113=0,INDEX('Lease Cycles'!$DD$14:$DJ$14,1,EK112),0))),0)</f>
        <v>0</v>
      </c>
      <c r="EL119" s="28">
        <f>IF(EL114=1,IF(INDEX('Lease Cycles'!$EF$14:$EL$14,1,EL112)=1,0,EL115*(1-IF(EL113&lt;INDEX('Lease Cycles'!$DK$14:$DQ$14,1,EL112),0,IF(EL113=INDEX('Lease Cycles'!$DK$14:$DQ$14,1,EL112),1-INDEX('Lease Cycles'!$DR$14:$DX$14,1,EL112),1))-IF(EL113=0,INDEX('Lease Cycles'!$DD$14:$DJ$14,1,EL112),0))),0)</f>
        <v>0</v>
      </c>
      <c r="EM119" s="28">
        <f>IF(EM114=1,IF(INDEX('Lease Cycles'!$EF$14:$EL$14,1,EM112)=1,0,EM115*(1-IF(EM113&lt;INDEX('Lease Cycles'!$DK$14:$DQ$14,1,EM112),0,IF(EM113=INDEX('Lease Cycles'!$DK$14:$DQ$14,1,EM112),1-INDEX('Lease Cycles'!$DR$14:$DX$14,1,EM112),1))-IF(EM113=0,INDEX('Lease Cycles'!$DD$14:$DJ$14,1,EM112),0))),0)</f>
        <v>0</v>
      </c>
      <c r="EN119" s="28">
        <f>IF(EN114=1,IF(INDEX('Lease Cycles'!$EF$14:$EL$14,1,EN112)=1,0,EN115*(1-IF(EN113&lt;INDEX('Lease Cycles'!$DK$14:$DQ$14,1,EN112),0,IF(EN113=INDEX('Lease Cycles'!$DK$14:$DQ$14,1,EN112),1-INDEX('Lease Cycles'!$DR$14:$DX$14,1,EN112),1))-IF(EN113=0,INDEX('Lease Cycles'!$DD$14:$DJ$14,1,EN112),0))),0)</f>
        <v>0</v>
      </c>
      <c r="EO119" s="28">
        <f>IF(EO114=1,IF(INDEX('Lease Cycles'!$EF$14:$EL$14,1,EO112)=1,0,EO115*(1-IF(EO113&lt;INDEX('Lease Cycles'!$DK$14:$DQ$14,1,EO112),0,IF(EO113=INDEX('Lease Cycles'!$DK$14:$DQ$14,1,EO112),1-INDEX('Lease Cycles'!$DR$14:$DX$14,1,EO112),1))-IF(EO113=0,INDEX('Lease Cycles'!$DD$14:$DJ$14,1,EO112),0))),0)</f>
        <v>0</v>
      </c>
      <c r="EP119" s="28">
        <f>IF(EP114=1,IF(INDEX('Lease Cycles'!$EF$14:$EL$14,1,EP112)=1,0,EP115*(1-IF(EP113&lt;INDEX('Lease Cycles'!$DK$14:$DQ$14,1,EP112),0,IF(EP113=INDEX('Lease Cycles'!$DK$14:$DQ$14,1,EP112),1-INDEX('Lease Cycles'!$DR$14:$DX$14,1,EP112),1))-IF(EP113=0,INDEX('Lease Cycles'!$DD$14:$DJ$14,1,EP112),0))),0)</f>
        <v>0</v>
      </c>
      <c r="EQ119" s="28">
        <f>IF(EQ114=1,IF(INDEX('Lease Cycles'!$EF$14:$EL$14,1,EQ112)=1,0,EQ115*(1-IF(EQ113&lt;INDEX('Lease Cycles'!$DK$14:$DQ$14,1,EQ112),0,IF(EQ113=INDEX('Lease Cycles'!$DK$14:$DQ$14,1,EQ112),1-INDEX('Lease Cycles'!$DR$14:$DX$14,1,EQ112),1))-IF(EQ113=0,INDEX('Lease Cycles'!$DD$14:$DJ$14,1,EQ112),0))),0)</f>
        <v>0</v>
      </c>
      <c r="ER119" s="28">
        <f>IF(ER114=1,IF(INDEX('Lease Cycles'!$EF$14:$EL$14,1,ER112)=1,0,ER115*(1-IF(ER113&lt;INDEX('Lease Cycles'!$DK$14:$DQ$14,1,ER112),0,IF(ER113=INDEX('Lease Cycles'!$DK$14:$DQ$14,1,ER112),1-INDEX('Lease Cycles'!$DR$14:$DX$14,1,ER112),1))-IF(ER113=0,INDEX('Lease Cycles'!$DD$14:$DJ$14,1,ER112),0))),0)</f>
        <v>0</v>
      </c>
      <c r="ES119" s="28">
        <f>IF(ES114=1,IF(INDEX('Lease Cycles'!$EF$14:$EL$14,1,ES112)=1,0,ES115*(1-IF(ES113&lt;INDEX('Lease Cycles'!$DK$14:$DQ$14,1,ES112),0,IF(ES113=INDEX('Lease Cycles'!$DK$14:$DQ$14,1,ES112),1-INDEX('Lease Cycles'!$DR$14:$DX$14,1,ES112),1))-IF(ES113=0,INDEX('Lease Cycles'!$DD$14:$DJ$14,1,ES112),0))),0)</f>
        <v>0</v>
      </c>
      <c r="ET119" s="28">
        <f>IF(ET114=1,IF(INDEX('Lease Cycles'!$EF$14:$EL$14,1,ET112)=1,0,ET115*(1-IF(ET113&lt;INDEX('Lease Cycles'!$DK$14:$DQ$14,1,ET112),0,IF(ET113=INDEX('Lease Cycles'!$DK$14:$DQ$14,1,ET112),1-INDEX('Lease Cycles'!$DR$14:$DX$14,1,ET112),1))-IF(ET113=0,INDEX('Lease Cycles'!$DD$14:$DJ$14,1,ET112),0))),0)</f>
        <v>0</v>
      </c>
    </row>
    <row r="120">
      <c r="A120" s="103">
        <v>7</v>
      </c>
      <c r="B120" s="23" t="str">
        <f>IF('Lease Cycles'!$B$14="","(empty slot)",'Lease Cycles'!$B$14)</f>
        <v>Sunfield Nails</v>
      </c>
      <c r="C120" s="23" t="s">
        <v>683</v>
      </c>
      <c r="D120" s="104" t="s">
        <v>684</v>
      </c>
      <c r="E120" s="25">
        <f>'Lease Cycles'!$AL$14</f>
        <v>0</v>
      </c>
      <c r="G120" s="24">
        <f>SUM(S120:AD120)</f>
        <v>0.2814070351758794</v>
      </c>
      <c r="H120" s="24">
        <f>SUM(AE120:AP120)</f>
        <v>0.2814070351758794</v>
      </c>
      <c r="I120" s="24">
        <f>SUM(AQ120:BB120)</f>
        <v>0.2532663316582915</v>
      </c>
      <c r="J120" s="24">
        <f>SUM(BC120:BN120)</f>
        <v>0.2814070351758794</v>
      </c>
      <c r="K120" s="24">
        <f>SUM(BO120:BZ120)</f>
        <v>0.2814070351758794</v>
      </c>
      <c r="L120" s="24">
        <f>SUM(CA120:CL120)</f>
        <v>0.2814070351758794</v>
      </c>
      <c r="M120" s="24">
        <f>SUM(CM120:CX120)</f>
        <v>0.2814070351758794</v>
      </c>
      <c r="N120" s="24">
        <f>SUM(CY120:DJ120)</f>
        <v>0.2814070351758794</v>
      </c>
      <c r="O120" s="24">
        <f>SUM(DK120:DV120)</f>
        <v>0.2814070351758794</v>
      </c>
      <c r="P120" s="24">
        <f>SUM(DW120:EH120)</f>
        <v>0.2532663316582914</v>
      </c>
      <c r="Q120" s="24">
        <f>SUM(EI120:ET120)</f>
        <v>0.2814070351758794</v>
      </c>
      <c r="S120" s="24">
        <f>IF(S114=1,'Lease Cycles'!$D$14*IF(INDEX('Lease Cycles'!$EF$14:$EL$14,1,S112)=1,(1-'Lease Cycles'!$AJ$14)*INDEX('Lease Cycles'!$EM$14:$ES$14,1,S112)+(1-'Lease Cycles'!$BE$14)*IF(S113&lt;INDEX('Lease Cycles'!$FA$14:$FG$14,1,S112),0,1-INDEX('Lease Cycles'!$EM$14:$ES$14,1,S112)),IF(OR(INDEX('Lease Cycles'!$DY$14:$EE$14,1,S112)=1,S113&gt;0),1,1-INDEX('Lease Cycles'!$DD$14:$DJ$14,1,S112))*((1-'Lease Cycles'!$AJ$14)*INDEX('Lease Cycles'!$FO$14:$FU$14,1,S112)+(1-'Lease Cycles'!$BE$14)*(1-INDEX('Lease Cycles'!$FO$14:$FU$14,1,S112)))),0)</f>
        <v>0.023450586264656615</v>
      </c>
      <c r="T120" s="24">
        <f>IF(T114=1,'Lease Cycles'!$D$14*IF(INDEX('Lease Cycles'!$EF$14:$EL$14,1,T112)=1,(1-'Lease Cycles'!$AJ$14)*INDEX('Lease Cycles'!$EM$14:$ES$14,1,T112)+(1-'Lease Cycles'!$BE$14)*IF(T113&lt;INDEX('Lease Cycles'!$FA$14:$FG$14,1,T112),0,1-INDEX('Lease Cycles'!$EM$14:$ES$14,1,T112)),IF(OR(INDEX('Lease Cycles'!$DY$14:$EE$14,1,T112)=1,T113&gt;0),1,1-INDEX('Lease Cycles'!$DD$14:$DJ$14,1,T112))*((1-'Lease Cycles'!$AJ$14)*INDEX('Lease Cycles'!$FO$14:$FU$14,1,T112)+(1-'Lease Cycles'!$BE$14)*(1-INDEX('Lease Cycles'!$FO$14:$FU$14,1,T112)))),0)</f>
        <v>0.023450586264656615</v>
      </c>
      <c r="U120" s="24">
        <f>IF(U114=1,'Lease Cycles'!$D$14*IF(INDEX('Lease Cycles'!$EF$14:$EL$14,1,U112)=1,(1-'Lease Cycles'!$AJ$14)*INDEX('Lease Cycles'!$EM$14:$ES$14,1,U112)+(1-'Lease Cycles'!$BE$14)*IF(U113&lt;INDEX('Lease Cycles'!$FA$14:$FG$14,1,U112),0,1-INDEX('Lease Cycles'!$EM$14:$ES$14,1,U112)),IF(OR(INDEX('Lease Cycles'!$DY$14:$EE$14,1,U112)=1,U113&gt;0),1,1-INDEX('Lease Cycles'!$DD$14:$DJ$14,1,U112))*((1-'Lease Cycles'!$AJ$14)*INDEX('Lease Cycles'!$FO$14:$FU$14,1,U112)+(1-'Lease Cycles'!$BE$14)*(1-INDEX('Lease Cycles'!$FO$14:$FU$14,1,U112)))),0)</f>
        <v>0.023450586264656615</v>
      </c>
      <c r="V120" s="24">
        <f>IF(V114=1,'Lease Cycles'!$D$14*IF(INDEX('Lease Cycles'!$EF$14:$EL$14,1,V112)=1,(1-'Lease Cycles'!$AJ$14)*INDEX('Lease Cycles'!$EM$14:$ES$14,1,V112)+(1-'Lease Cycles'!$BE$14)*IF(V113&lt;INDEX('Lease Cycles'!$FA$14:$FG$14,1,V112),0,1-INDEX('Lease Cycles'!$EM$14:$ES$14,1,V112)),IF(OR(INDEX('Lease Cycles'!$DY$14:$EE$14,1,V112)=1,V113&gt;0),1,1-INDEX('Lease Cycles'!$DD$14:$DJ$14,1,V112))*((1-'Lease Cycles'!$AJ$14)*INDEX('Lease Cycles'!$FO$14:$FU$14,1,V112)+(1-'Lease Cycles'!$BE$14)*(1-INDEX('Lease Cycles'!$FO$14:$FU$14,1,V112)))),0)</f>
        <v>0.023450586264656615</v>
      </c>
      <c r="W120" s="24">
        <f>IF(W114=1,'Lease Cycles'!$D$14*IF(INDEX('Lease Cycles'!$EF$14:$EL$14,1,W112)=1,(1-'Lease Cycles'!$AJ$14)*INDEX('Lease Cycles'!$EM$14:$ES$14,1,W112)+(1-'Lease Cycles'!$BE$14)*IF(W113&lt;INDEX('Lease Cycles'!$FA$14:$FG$14,1,W112),0,1-INDEX('Lease Cycles'!$EM$14:$ES$14,1,W112)),IF(OR(INDEX('Lease Cycles'!$DY$14:$EE$14,1,W112)=1,W113&gt;0),1,1-INDEX('Lease Cycles'!$DD$14:$DJ$14,1,W112))*((1-'Lease Cycles'!$AJ$14)*INDEX('Lease Cycles'!$FO$14:$FU$14,1,W112)+(1-'Lease Cycles'!$BE$14)*(1-INDEX('Lease Cycles'!$FO$14:$FU$14,1,W112)))),0)</f>
        <v>0.023450586264656615</v>
      </c>
      <c r="X120" s="24">
        <f>IF(X114=1,'Lease Cycles'!$D$14*IF(INDEX('Lease Cycles'!$EF$14:$EL$14,1,X112)=1,(1-'Lease Cycles'!$AJ$14)*INDEX('Lease Cycles'!$EM$14:$ES$14,1,X112)+(1-'Lease Cycles'!$BE$14)*IF(X113&lt;INDEX('Lease Cycles'!$FA$14:$FG$14,1,X112),0,1-INDEX('Lease Cycles'!$EM$14:$ES$14,1,X112)),IF(OR(INDEX('Lease Cycles'!$DY$14:$EE$14,1,X112)=1,X113&gt;0),1,1-INDEX('Lease Cycles'!$DD$14:$DJ$14,1,X112))*((1-'Lease Cycles'!$AJ$14)*INDEX('Lease Cycles'!$FO$14:$FU$14,1,X112)+(1-'Lease Cycles'!$BE$14)*(1-INDEX('Lease Cycles'!$FO$14:$FU$14,1,X112)))),0)</f>
        <v>0.023450586264656615</v>
      </c>
      <c r="Y120" s="24">
        <f>IF(Y114=1,'Lease Cycles'!$D$14*IF(INDEX('Lease Cycles'!$EF$14:$EL$14,1,Y112)=1,(1-'Lease Cycles'!$AJ$14)*INDEX('Lease Cycles'!$EM$14:$ES$14,1,Y112)+(1-'Lease Cycles'!$BE$14)*IF(Y113&lt;INDEX('Lease Cycles'!$FA$14:$FG$14,1,Y112),0,1-INDEX('Lease Cycles'!$EM$14:$ES$14,1,Y112)),IF(OR(INDEX('Lease Cycles'!$DY$14:$EE$14,1,Y112)=1,Y113&gt;0),1,1-INDEX('Lease Cycles'!$DD$14:$DJ$14,1,Y112))*((1-'Lease Cycles'!$AJ$14)*INDEX('Lease Cycles'!$FO$14:$FU$14,1,Y112)+(1-'Lease Cycles'!$BE$14)*(1-INDEX('Lease Cycles'!$FO$14:$FU$14,1,Y112)))),0)</f>
        <v>0.023450586264656615</v>
      </c>
      <c r="Z120" s="24">
        <f>IF(Z114=1,'Lease Cycles'!$D$14*IF(INDEX('Lease Cycles'!$EF$14:$EL$14,1,Z112)=1,(1-'Lease Cycles'!$AJ$14)*INDEX('Lease Cycles'!$EM$14:$ES$14,1,Z112)+(1-'Lease Cycles'!$BE$14)*IF(Z113&lt;INDEX('Lease Cycles'!$FA$14:$FG$14,1,Z112),0,1-INDEX('Lease Cycles'!$EM$14:$ES$14,1,Z112)),IF(OR(INDEX('Lease Cycles'!$DY$14:$EE$14,1,Z112)=1,Z113&gt;0),1,1-INDEX('Lease Cycles'!$DD$14:$DJ$14,1,Z112))*((1-'Lease Cycles'!$AJ$14)*INDEX('Lease Cycles'!$FO$14:$FU$14,1,Z112)+(1-'Lease Cycles'!$BE$14)*(1-INDEX('Lease Cycles'!$FO$14:$FU$14,1,Z112)))),0)</f>
        <v>0.023450586264656615</v>
      </c>
      <c r="AA120" s="24">
        <f>IF(AA114=1,'Lease Cycles'!$D$14*IF(INDEX('Lease Cycles'!$EF$14:$EL$14,1,AA112)=1,(1-'Lease Cycles'!$AJ$14)*INDEX('Lease Cycles'!$EM$14:$ES$14,1,AA112)+(1-'Lease Cycles'!$BE$14)*IF(AA113&lt;INDEX('Lease Cycles'!$FA$14:$FG$14,1,AA112),0,1-INDEX('Lease Cycles'!$EM$14:$ES$14,1,AA112)),IF(OR(INDEX('Lease Cycles'!$DY$14:$EE$14,1,AA112)=1,AA113&gt;0),1,1-INDEX('Lease Cycles'!$DD$14:$DJ$14,1,AA112))*((1-'Lease Cycles'!$AJ$14)*INDEX('Lease Cycles'!$FO$14:$FU$14,1,AA112)+(1-'Lease Cycles'!$BE$14)*(1-INDEX('Lease Cycles'!$FO$14:$FU$14,1,AA112)))),0)</f>
        <v>0.023450586264656615</v>
      </c>
      <c r="AB120" s="24">
        <f>IF(AB114=1,'Lease Cycles'!$D$14*IF(INDEX('Lease Cycles'!$EF$14:$EL$14,1,AB112)=1,(1-'Lease Cycles'!$AJ$14)*INDEX('Lease Cycles'!$EM$14:$ES$14,1,AB112)+(1-'Lease Cycles'!$BE$14)*IF(AB113&lt;INDEX('Lease Cycles'!$FA$14:$FG$14,1,AB112),0,1-INDEX('Lease Cycles'!$EM$14:$ES$14,1,AB112)),IF(OR(INDEX('Lease Cycles'!$DY$14:$EE$14,1,AB112)=1,AB113&gt;0),1,1-INDEX('Lease Cycles'!$DD$14:$DJ$14,1,AB112))*((1-'Lease Cycles'!$AJ$14)*INDEX('Lease Cycles'!$FO$14:$FU$14,1,AB112)+(1-'Lease Cycles'!$BE$14)*(1-INDEX('Lease Cycles'!$FO$14:$FU$14,1,AB112)))),0)</f>
        <v>0.023450586264656615</v>
      </c>
      <c r="AC120" s="24">
        <f>IF(AC114=1,'Lease Cycles'!$D$14*IF(INDEX('Lease Cycles'!$EF$14:$EL$14,1,AC112)=1,(1-'Lease Cycles'!$AJ$14)*INDEX('Lease Cycles'!$EM$14:$ES$14,1,AC112)+(1-'Lease Cycles'!$BE$14)*IF(AC113&lt;INDEX('Lease Cycles'!$FA$14:$FG$14,1,AC112),0,1-INDEX('Lease Cycles'!$EM$14:$ES$14,1,AC112)),IF(OR(INDEX('Lease Cycles'!$DY$14:$EE$14,1,AC112)=1,AC113&gt;0),1,1-INDEX('Lease Cycles'!$DD$14:$DJ$14,1,AC112))*((1-'Lease Cycles'!$AJ$14)*INDEX('Lease Cycles'!$FO$14:$FU$14,1,AC112)+(1-'Lease Cycles'!$BE$14)*(1-INDEX('Lease Cycles'!$FO$14:$FU$14,1,AC112)))),0)</f>
        <v>0.023450586264656615</v>
      </c>
      <c r="AD120" s="24">
        <f>IF(AD114=1,'Lease Cycles'!$D$14*IF(INDEX('Lease Cycles'!$EF$14:$EL$14,1,AD112)=1,(1-'Lease Cycles'!$AJ$14)*INDEX('Lease Cycles'!$EM$14:$ES$14,1,AD112)+(1-'Lease Cycles'!$BE$14)*IF(AD113&lt;INDEX('Lease Cycles'!$FA$14:$FG$14,1,AD112),0,1-INDEX('Lease Cycles'!$EM$14:$ES$14,1,AD112)),IF(OR(INDEX('Lease Cycles'!$DY$14:$EE$14,1,AD112)=1,AD113&gt;0),1,1-INDEX('Lease Cycles'!$DD$14:$DJ$14,1,AD112))*((1-'Lease Cycles'!$AJ$14)*INDEX('Lease Cycles'!$FO$14:$FU$14,1,AD112)+(1-'Lease Cycles'!$BE$14)*(1-INDEX('Lease Cycles'!$FO$14:$FU$14,1,AD112)))),0)</f>
        <v>0.023450586264656615</v>
      </c>
      <c r="AE120" s="24">
        <f>IF(AE114=1,'Lease Cycles'!$D$14*IF(INDEX('Lease Cycles'!$EF$14:$EL$14,1,AE112)=1,(1-'Lease Cycles'!$AJ$14)*INDEX('Lease Cycles'!$EM$14:$ES$14,1,AE112)+(1-'Lease Cycles'!$BE$14)*IF(AE113&lt;INDEX('Lease Cycles'!$FA$14:$FG$14,1,AE112),0,1-INDEX('Lease Cycles'!$EM$14:$ES$14,1,AE112)),IF(OR(INDEX('Lease Cycles'!$DY$14:$EE$14,1,AE112)=1,AE113&gt;0),1,1-INDEX('Lease Cycles'!$DD$14:$DJ$14,1,AE112))*((1-'Lease Cycles'!$AJ$14)*INDEX('Lease Cycles'!$FO$14:$FU$14,1,AE112)+(1-'Lease Cycles'!$BE$14)*(1-INDEX('Lease Cycles'!$FO$14:$FU$14,1,AE112)))),0)</f>
        <v>0.023450586264656615</v>
      </c>
      <c r="AF120" s="24">
        <f>IF(AF114=1,'Lease Cycles'!$D$14*IF(INDEX('Lease Cycles'!$EF$14:$EL$14,1,AF112)=1,(1-'Lease Cycles'!$AJ$14)*INDEX('Lease Cycles'!$EM$14:$ES$14,1,AF112)+(1-'Lease Cycles'!$BE$14)*IF(AF113&lt;INDEX('Lease Cycles'!$FA$14:$FG$14,1,AF112),0,1-INDEX('Lease Cycles'!$EM$14:$ES$14,1,AF112)),IF(OR(INDEX('Lease Cycles'!$DY$14:$EE$14,1,AF112)=1,AF113&gt;0),1,1-INDEX('Lease Cycles'!$DD$14:$DJ$14,1,AF112))*((1-'Lease Cycles'!$AJ$14)*INDEX('Lease Cycles'!$FO$14:$FU$14,1,AF112)+(1-'Lease Cycles'!$BE$14)*(1-INDEX('Lease Cycles'!$FO$14:$FU$14,1,AF112)))),0)</f>
        <v>0.023450586264656615</v>
      </c>
      <c r="AG120" s="24">
        <f>IF(AG114=1,'Lease Cycles'!$D$14*IF(INDEX('Lease Cycles'!$EF$14:$EL$14,1,AG112)=1,(1-'Lease Cycles'!$AJ$14)*INDEX('Lease Cycles'!$EM$14:$ES$14,1,AG112)+(1-'Lease Cycles'!$BE$14)*IF(AG113&lt;INDEX('Lease Cycles'!$FA$14:$FG$14,1,AG112),0,1-INDEX('Lease Cycles'!$EM$14:$ES$14,1,AG112)),IF(OR(INDEX('Lease Cycles'!$DY$14:$EE$14,1,AG112)=1,AG113&gt;0),1,1-INDEX('Lease Cycles'!$DD$14:$DJ$14,1,AG112))*((1-'Lease Cycles'!$AJ$14)*INDEX('Lease Cycles'!$FO$14:$FU$14,1,AG112)+(1-'Lease Cycles'!$BE$14)*(1-INDEX('Lease Cycles'!$FO$14:$FU$14,1,AG112)))),0)</f>
        <v>0.023450586264656615</v>
      </c>
      <c r="AH120" s="24">
        <f>IF(AH114=1,'Lease Cycles'!$D$14*IF(INDEX('Lease Cycles'!$EF$14:$EL$14,1,AH112)=1,(1-'Lease Cycles'!$AJ$14)*INDEX('Lease Cycles'!$EM$14:$ES$14,1,AH112)+(1-'Lease Cycles'!$BE$14)*IF(AH113&lt;INDEX('Lease Cycles'!$FA$14:$FG$14,1,AH112),0,1-INDEX('Lease Cycles'!$EM$14:$ES$14,1,AH112)),IF(OR(INDEX('Lease Cycles'!$DY$14:$EE$14,1,AH112)=1,AH113&gt;0),1,1-INDEX('Lease Cycles'!$DD$14:$DJ$14,1,AH112))*((1-'Lease Cycles'!$AJ$14)*INDEX('Lease Cycles'!$FO$14:$FU$14,1,AH112)+(1-'Lease Cycles'!$BE$14)*(1-INDEX('Lease Cycles'!$FO$14:$FU$14,1,AH112)))),0)</f>
        <v>0.023450586264656615</v>
      </c>
      <c r="AI120" s="24">
        <f>IF(AI114=1,'Lease Cycles'!$D$14*IF(INDEX('Lease Cycles'!$EF$14:$EL$14,1,AI112)=1,(1-'Lease Cycles'!$AJ$14)*INDEX('Lease Cycles'!$EM$14:$ES$14,1,AI112)+(1-'Lease Cycles'!$BE$14)*IF(AI113&lt;INDEX('Lease Cycles'!$FA$14:$FG$14,1,AI112),0,1-INDEX('Lease Cycles'!$EM$14:$ES$14,1,AI112)),IF(OR(INDEX('Lease Cycles'!$DY$14:$EE$14,1,AI112)=1,AI113&gt;0),1,1-INDEX('Lease Cycles'!$DD$14:$DJ$14,1,AI112))*((1-'Lease Cycles'!$AJ$14)*INDEX('Lease Cycles'!$FO$14:$FU$14,1,AI112)+(1-'Lease Cycles'!$BE$14)*(1-INDEX('Lease Cycles'!$FO$14:$FU$14,1,AI112)))),0)</f>
        <v>0.023450586264656615</v>
      </c>
      <c r="AJ120" s="24">
        <f>IF(AJ114=1,'Lease Cycles'!$D$14*IF(INDEX('Lease Cycles'!$EF$14:$EL$14,1,AJ112)=1,(1-'Lease Cycles'!$AJ$14)*INDEX('Lease Cycles'!$EM$14:$ES$14,1,AJ112)+(1-'Lease Cycles'!$BE$14)*IF(AJ113&lt;INDEX('Lease Cycles'!$FA$14:$FG$14,1,AJ112),0,1-INDEX('Lease Cycles'!$EM$14:$ES$14,1,AJ112)),IF(OR(INDEX('Lease Cycles'!$DY$14:$EE$14,1,AJ112)=1,AJ113&gt;0),1,1-INDEX('Lease Cycles'!$DD$14:$DJ$14,1,AJ112))*((1-'Lease Cycles'!$AJ$14)*INDEX('Lease Cycles'!$FO$14:$FU$14,1,AJ112)+(1-'Lease Cycles'!$BE$14)*(1-INDEX('Lease Cycles'!$FO$14:$FU$14,1,AJ112)))),0)</f>
        <v>0.023450586264656615</v>
      </c>
      <c r="AK120" s="24">
        <f>IF(AK114=1,'Lease Cycles'!$D$14*IF(INDEX('Lease Cycles'!$EF$14:$EL$14,1,AK112)=1,(1-'Lease Cycles'!$AJ$14)*INDEX('Lease Cycles'!$EM$14:$ES$14,1,AK112)+(1-'Lease Cycles'!$BE$14)*IF(AK113&lt;INDEX('Lease Cycles'!$FA$14:$FG$14,1,AK112),0,1-INDEX('Lease Cycles'!$EM$14:$ES$14,1,AK112)),IF(OR(INDEX('Lease Cycles'!$DY$14:$EE$14,1,AK112)=1,AK113&gt;0),1,1-INDEX('Lease Cycles'!$DD$14:$DJ$14,1,AK112))*((1-'Lease Cycles'!$AJ$14)*INDEX('Lease Cycles'!$FO$14:$FU$14,1,AK112)+(1-'Lease Cycles'!$BE$14)*(1-INDEX('Lease Cycles'!$FO$14:$FU$14,1,AK112)))),0)</f>
        <v>0.023450586264656615</v>
      </c>
      <c r="AL120" s="24">
        <f>IF(AL114=1,'Lease Cycles'!$D$14*IF(INDEX('Lease Cycles'!$EF$14:$EL$14,1,AL112)=1,(1-'Lease Cycles'!$AJ$14)*INDEX('Lease Cycles'!$EM$14:$ES$14,1,AL112)+(1-'Lease Cycles'!$BE$14)*IF(AL113&lt;INDEX('Lease Cycles'!$FA$14:$FG$14,1,AL112),0,1-INDEX('Lease Cycles'!$EM$14:$ES$14,1,AL112)),IF(OR(INDEX('Lease Cycles'!$DY$14:$EE$14,1,AL112)=1,AL113&gt;0),1,1-INDEX('Lease Cycles'!$DD$14:$DJ$14,1,AL112))*((1-'Lease Cycles'!$AJ$14)*INDEX('Lease Cycles'!$FO$14:$FU$14,1,AL112)+(1-'Lease Cycles'!$BE$14)*(1-INDEX('Lease Cycles'!$FO$14:$FU$14,1,AL112)))),0)</f>
        <v>0.023450586264656615</v>
      </c>
      <c r="AM120" s="24">
        <f>IF(AM114=1,'Lease Cycles'!$D$14*IF(INDEX('Lease Cycles'!$EF$14:$EL$14,1,AM112)=1,(1-'Lease Cycles'!$AJ$14)*INDEX('Lease Cycles'!$EM$14:$ES$14,1,AM112)+(1-'Lease Cycles'!$BE$14)*IF(AM113&lt;INDEX('Lease Cycles'!$FA$14:$FG$14,1,AM112),0,1-INDEX('Lease Cycles'!$EM$14:$ES$14,1,AM112)),IF(OR(INDEX('Lease Cycles'!$DY$14:$EE$14,1,AM112)=1,AM113&gt;0),1,1-INDEX('Lease Cycles'!$DD$14:$DJ$14,1,AM112))*((1-'Lease Cycles'!$AJ$14)*INDEX('Lease Cycles'!$FO$14:$FU$14,1,AM112)+(1-'Lease Cycles'!$BE$14)*(1-INDEX('Lease Cycles'!$FO$14:$FU$14,1,AM112)))),0)</f>
        <v>0.023450586264656615</v>
      </c>
      <c r="AN120" s="24">
        <f>IF(AN114=1,'Lease Cycles'!$D$14*IF(INDEX('Lease Cycles'!$EF$14:$EL$14,1,AN112)=1,(1-'Lease Cycles'!$AJ$14)*INDEX('Lease Cycles'!$EM$14:$ES$14,1,AN112)+(1-'Lease Cycles'!$BE$14)*IF(AN113&lt;INDEX('Lease Cycles'!$FA$14:$FG$14,1,AN112),0,1-INDEX('Lease Cycles'!$EM$14:$ES$14,1,AN112)),IF(OR(INDEX('Lease Cycles'!$DY$14:$EE$14,1,AN112)=1,AN113&gt;0),1,1-INDEX('Lease Cycles'!$DD$14:$DJ$14,1,AN112))*((1-'Lease Cycles'!$AJ$14)*INDEX('Lease Cycles'!$FO$14:$FU$14,1,AN112)+(1-'Lease Cycles'!$BE$14)*(1-INDEX('Lease Cycles'!$FO$14:$FU$14,1,AN112)))),0)</f>
        <v>0.023450586264656615</v>
      </c>
      <c r="AO120" s="24">
        <f>IF(AO114=1,'Lease Cycles'!$D$14*IF(INDEX('Lease Cycles'!$EF$14:$EL$14,1,AO112)=1,(1-'Lease Cycles'!$AJ$14)*INDEX('Lease Cycles'!$EM$14:$ES$14,1,AO112)+(1-'Lease Cycles'!$BE$14)*IF(AO113&lt;INDEX('Lease Cycles'!$FA$14:$FG$14,1,AO112),0,1-INDEX('Lease Cycles'!$EM$14:$ES$14,1,AO112)),IF(OR(INDEX('Lease Cycles'!$DY$14:$EE$14,1,AO112)=1,AO113&gt;0),1,1-INDEX('Lease Cycles'!$DD$14:$DJ$14,1,AO112))*((1-'Lease Cycles'!$AJ$14)*INDEX('Lease Cycles'!$FO$14:$FU$14,1,AO112)+(1-'Lease Cycles'!$BE$14)*(1-INDEX('Lease Cycles'!$FO$14:$FU$14,1,AO112)))),0)</f>
        <v>0.023450586264656615</v>
      </c>
      <c r="AP120" s="24">
        <f>IF(AP114=1,'Lease Cycles'!$D$14*IF(INDEX('Lease Cycles'!$EF$14:$EL$14,1,AP112)=1,(1-'Lease Cycles'!$AJ$14)*INDEX('Lease Cycles'!$EM$14:$ES$14,1,AP112)+(1-'Lease Cycles'!$BE$14)*IF(AP113&lt;INDEX('Lease Cycles'!$FA$14:$FG$14,1,AP112),0,1-INDEX('Lease Cycles'!$EM$14:$ES$14,1,AP112)),IF(OR(INDEX('Lease Cycles'!$DY$14:$EE$14,1,AP112)=1,AP113&gt;0),1,1-INDEX('Lease Cycles'!$DD$14:$DJ$14,1,AP112))*((1-'Lease Cycles'!$AJ$14)*INDEX('Lease Cycles'!$FO$14:$FU$14,1,AP112)+(1-'Lease Cycles'!$BE$14)*(1-INDEX('Lease Cycles'!$FO$14:$FU$14,1,AP112)))),0)</f>
        <v>0.023450586264656615</v>
      </c>
      <c r="AQ120" s="24">
        <f>IF(AQ114=1,'Lease Cycles'!$D$14*IF(INDEX('Lease Cycles'!$EF$14:$EL$14,1,AQ112)=1,(1-'Lease Cycles'!$AJ$14)*INDEX('Lease Cycles'!$EM$14:$ES$14,1,AQ112)+(1-'Lease Cycles'!$BE$14)*IF(AQ113&lt;INDEX('Lease Cycles'!$FA$14:$FG$14,1,AQ112),0,1-INDEX('Lease Cycles'!$EM$14:$ES$14,1,AQ112)),IF(OR(INDEX('Lease Cycles'!$DY$14:$EE$14,1,AQ112)=1,AQ113&gt;0),1,1-INDEX('Lease Cycles'!$DD$14:$DJ$14,1,AQ112))*((1-'Lease Cycles'!$AJ$14)*INDEX('Lease Cycles'!$FO$14:$FU$14,1,AQ112)+(1-'Lease Cycles'!$BE$14)*(1-INDEX('Lease Cycles'!$FO$14:$FU$14,1,AQ112)))),0)</f>
        <v>0.023450586264656615</v>
      </c>
      <c r="AR120" s="24">
        <f>IF(AR114=1,'Lease Cycles'!$D$14*IF(INDEX('Lease Cycles'!$EF$14:$EL$14,1,AR112)=1,(1-'Lease Cycles'!$AJ$14)*INDEX('Lease Cycles'!$EM$14:$ES$14,1,AR112)+(1-'Lease Cycles'!$BE$14)*IF(AR113&lt;INDEX('Lease Cycles'!$FA$14:$FG$14,1,AR112),0,1-INDEX('Lease Cycles'!$EM$14:$ES$14,1,AR112)),IF(OR(INDEX('Lease Cycles'!$DY$14:$EE$14,1,AR112)=1,AR113&gt;0),1,1-INDEX('Lease Cycles'!$DD$14:$DJ$14,1,AR112))*((1-'Lease Cycles'!$AJ$14)*INDEX('Lease Cycles'!$FO$14:$FU$14,1,AR112)+(1-'Lease Cycles'!$BE$14)*(1-INDEX('Lease Cycles'!$FO$14:$FU$14,1,AR112)))),0)</f>
        <v>0.023450586264656615</v>
      </c>
      <c r="AS120" s="24">
        <f>IF(AS114=1,'Lease Cycles'!$D$14*IF(INDEX('Lease Cycles'!$EF$14:$EL$14,1,AS112)=1,(1-'Lease Cycles'!$AJ$14)*INDEX('Lease Cycles'!$EM$14:$ES$14,1,AS112)+(1-'Lease Cycles'!$BE$14)*IF(AS113&lt;INDEX('Lease Cycles'!$FA$14:$FG$14,1,AS112),0,1-INDEX('Lease Cycles'!$EM$14:$ES$14,1,AS112)),IF(OR(INDEX('Lease Cycles'!$DY$14:$EE$14,1,AS112)=1,AS113&gt;0),1,1-INDEX('Lease Cycles'!$DD$14:$DJ$14,1,AS112))*((1-'Lease Cycles'!$AJ$14)*INDEX('Lease Cycles'!$FO$14:$FU$14,1,AS112)+(1-'Lease Cycles'!$BE$14)*(1-INDEX('Lease Cycles'!$FO$14:$FU$14,1,AS112)))),0)</f>
        <v>0.023450586264656615</v>
      </c>
      <c r="AT120" s="24">
        <f>IF(AT114=1,'Lease Cycles'!$D$14*IF(INDEX('Lease Cycles'!$EF$14:$EL$14,1,AT112)=1,(1-'Lease Cycles'!$AJ$14)*INDEX('Lease Cycles'!$EM$14:$ES$14,1,AT112)+(1-'Lease Cycles'!$BE$14)*IF(AT113&lt;INDEX('Lease Cycles'!$FA$14:$FG$14,1,AT112),0,1-INDEX('Lease Cycles'!$EM$14:$ES$14,1,AT112)),IF(OR(INDEX('Lease Cycles'!$DY$14:$EE$14,1,AT112)=1,AT113&gt;0),1,1-INDEX('Lease Cycles'!$DD$14:$DJ$14,1,AT112))*((1-'Lease Cycles'!$AJ$14)*INDEX('Lease Cycles'!$FO$14:$FU$14,1,AT112)+(1-'Lease Cycles'!$BE$14)*(1-INDEX('Lease Cycles'!$FO$14:$FU$14,1,AT112)))),0)</f>
        <v>0</v>
      </c>
      <c r="AU120" s="24">
        <f>IF(AU114=1,'Lease Cycles'!$D$14*IF(INDEX('Lease Cycles'!$EF$14:$EL$14,1,AU112)=1,(1-'Lease Cycles'!$AJ$14)*INDEX('Lease Cycles'!$EM$14:$ES$14,1,AU112)+(1-'Lease Cycles'!$BE$14)*IF(AU113&lt;INDEX('Lease Cycles'!$FA$14:$FG$14,1,AU112),0,1-INDEX('Lease Cycles'!$EM$14:$ES$14,1,AU112)),IF(OR(INDEX('Lease Cycles'!$DY$14:$EE$14,1,AU112)=1,AU113&gt;0),1,1-INDEX('Lease Cycles'!$DD$14:$DJ$14,1,AU112))*((1-'Lease Cycles'!$AJ$14)*INDEX('Lease Cycles'!$FO$14:$FU$14,1,AU112)+(1-'Lease Cycles'!$BE$14)*(1-INDEX('Lease Cycles'!$FO$14:$FU$14,1,AU112)))),0)</f>
        <v>0.01876046901172531</v>
      </c>
      <c r="AV120" s="24">
        <f>IF(AV114=1,'Lease Cycles'!$D$14*IF(INDEX('Lease Cycles'!$EF$14:$EL$14,1,AV112)=1,(1-'Lease Cycles'!$AJ$14)*INDEX('Lease Cycles'!$EM$14:$ES$14,1,AV112)+(1-'Lease Cycles'!$BE$14)*IF(AV113&lt;INDEX('Lease Cycles'!$FA$14:$FG$14,1,AV112),0,1-INDEX('Lease Cycles'!$EM$14:$ES$14,1,AV112)),IF(OR(INDEX('Lease Cycles'!$DY$14:$EE$14,1,AV112)=1,AV113&gt;0),1,1-INDEX('Lease Cycles'!$DD$14:$DJ$14,1,AV112))*((1-'Lease Cycles'!$AJ$14)*INDEX('Lease Cycles'!$FO$14:$FU$14,1,AV112)+(1-'Lease Cycles'!$BE$14)*(1-INDEX('Lease Cycles'!$FO$14:$FU$14,1,AV112)))),0)</f>
        <v>0.023450586264656615</v>
      </c>
      <c r="AW120" s="24">
        <f>IF(AW114=1,'Lease Cycles'!$D$14*IF(INDEX('Lease Cycles'!$EF$14:$EL$14,1,AW112)=1,(1-'Lease Cycles'!$AJ$14)*INDEX('Lease Cycles'!$EM$14:$ES$14,1,AW112)+(1-'Lease Cycles'!$BE$14)*IF(AW113&lt;INDEX('Lease Cycles'!$FA$14:$FG$14,1,AW112),0,1-INDEX('Lease Cycles'!$EM$14:$ES$14,1,AW112)),IF(OR(INDEX('Lease Cycles'!$DY$14:$EE$14,1,AW112)=1,AW113&gt;0),1,1-INDEX('Lease Cycles'!$DD$14:$DJ$14,1,AW112))*((1-'Lease Cycles'!$AJ$14)*INDEX('Lease Cycles'!$FO$14:$FU$14,1,AW112)+(1-'Lease Cycles'!$BE$14)*(1-INDEX('Lease Cycles'!$FO$14:$FU$14,1,AW112)))),0)</f>
        <v>0.023450586264656615</v>
      </c>
      <c r="AX120" s="24">
        <f>IF(AX114=1,'Lease Cycles'!$D$14*IF(INDEX('Lease Cycles'!$EF$14:$EL$14,1,AX112)=1,(1-'Lease Cycles'!$AJ$14)*INDEX('Lease Cycles'!$EM$14:$ES$14,1,AX112)+(1-'Lease Cycles'!$BE$14)*IF(AX113&lt;INDEX('Lease Cycles'!$FA$14:$FG$14,1,AX112),0,1-INDEX('Lease Cycles'!$EM$14:$ES$14,1,AX112)),IF(OR(INDEX('Lease Cycles'!$DY$14:$EE$14,1,AX112)=1,AX113&gt;0),1,1-INDEX('Lease Cycles'!$DD$14:$DJ$14,1,AX112))*((1-'Lease Cycles'!$AJ$14)*INDEX('Lease Cycles'!$FO$14:$FU$14,1,AX112)+(1-'Lease Cycles'!$BE$14)*(1-INDEX('Lease Cycles'!$FO$14:$FU$14,1,AX112)))),0)</f>
        <v>0.023450586264656615</v>
      </c>
      <c r="AY120" s="24">
        <f>IF(AY114=1,'Lease Cycles'!$D$14*IF(INDEX('Lease Cycles'!$EF$14:$EL$14,1,AY112)=1,(1-'Lease Cycles'!$AJ$14)*INDEX('Lease Cycles'!$EM$14:$ES$14,1,AY112)+(1-'Lease Cycles'!$BE$14)*IF(AY113&lt;INDEX('Lease Cycles'!$FA$14:$FG$14,1,AY112),0,1-INDEX('Lease Cycles'!$EM$14:$ES$14,1,AY112)),IF(OR(INDEX('Lease Cycles'!$DY$14:$EE$14,1,AY112)=1,AY113&gt;0),1,1-INDEX('Lease Cycles'!$DD$14:$DJ$14,1,AY112))*((1-'Lease Cycles'!$AJ$14)*INDEX('Lease Cycles'!$FO$14:$FU$14,1,AY112)+(1-'Lease Cycles'!$BE$14)*(1-INDEX('Lease Cycles'!$FO$14:$FU$14,1,AY112)))),0)</f>
        <v>0.023450586264656615</v>
      </c>
      <c r="AZ120" s="24">
        <f>IF(AZ114=1,'Lease Cycles'!$D$14*IF(INDEX('Lease Cycles'!$EF$14:$EL$14,1,AZ112)=1,(1-'Lease Cycles'!$AJ$14)*INDEX('Lease Cycles'!$EM$14:$ES$14,1,AZ112)+(1-'Lease Cycles'!$BE$14)*IF(AZ113&lt;INDEX('Lease Cycles'!$FA$14:$FG$14,1,AZ112),0,1-INDEX('Lease Cycles'!$EM$14:$ES$14,1,AZ112)),IF(OR(INDEX('Lease Cycles'!$DY$14:$EE$14,1,AZ112)=1,AZ113&gt;0),1,1-INDEX('Lease Cycles'!$DD$14:$DJ$14,1,AZ112))*((1-'Lease Cycles'!$AJ$14)*INDEX('Lease Cycles'!$FO$14:$FU$14,1,AZ112)+(1-'Lease Cycles'!$BE$14)*(1-INDEX('Lease Cycles'!$FO$14:$FU$14,1,AZ112)))),0)</f>
        <v>0.023450586264656615</v>
      </c>
      <c r="BA120" s="24">
        <f>IF(BA114=1,'Lease Cycles'!$D$14*IF(INDEX('Lease Cycles'!$EF$14:$EL$14,1,BA112)=1,(1-'Lease Cycles'!$AJ$14)*INDEX('Lease Cycles'!$EM$14:$ES$14,1,BA112)+(1-'Lease Cycles'!$BE$14)*IF(BA113&lt;INDEX('Lease Cycles'!$FA$14:$FG$14,1,BA112),0,1-INDEX('Lease Cycles'!$EM$14:$ES$14,1,BA112)),IF(OR(INDEX('Lease Cycles'!$DY$14:$EE$14,1,BA112)=1,BA113&gt;0),1,1-INDEX('Lease Cycles'!$DD$14:$DJ$14,1,BA112))*((1-'Lease Cycles'!$AJ$14)*INDEX('Lease Cycles'!$FO$14:$FU$14,1,BA112)+(1-'Lease Cycles'!$BE$14)*(1-INDEX('Lease Cycles'!$FO$14:$FU$14,1,BA112)))),0)</f>
        <v>0.023450586264656615</v>
      </c>
      <c r="BB120" s="24">
        <f>IF(BB114=1,'Lease Cycles'!$D$14*IF(INDEX('Lease Cycles'!$EF$14:$EL$14,1,BB112)=1,(1-'Lease Cycles'!$AJ$14)*INDEX('Lease Cycles'!$EM$14:$ES$14,1,BB112)+(1-'Lease Cycles'!$BE$14)*IF(BB113&lt;INDEX('Lease Cycles'!$FA$14:$FG$14,1,BB112),0,1-INDEX('Lease Cycles'!$EM$14:$ES$14,1,BB112)),IF(OR(INDEX('Lease Cycles'!$DY$14:$EE$14,1,BB112)=1,BB113&gt;0),1,1-INDEX('Lease Cycles'!$DD$14:$DJ$14,1,BB112))*((1-'Lease Cycles'!$AJ$14)*INDEX('Lease Cycles'!$FO$14:$FU$14,1,BB112)+(1-'Lease Cycles'!$BE$14)*(1-INDEX('Lease Cycles'!$FO$14:$FU$14,1,BB112)))),0)</f>
        <v>0.023450586264656615</v>
      </c>
      <c r="BC120" s="24">
        <f>IF(BC114=1,'Lease Cycles'!$D$14*IF(INDEX('Lease Cycles'!$EF$14:$EL$14,1,BC112)=1,(1-'Lease Cycles'!$AJ$14)*INDEX('Lease Cycles'!$EM$14:$ES$14,1,BC112)+(1-'Lease Cycles'!$BE$14)*IF(BC113&lt;INDEX('Lease Cycles'!$FA$14:$FG$14,1,BC112),0,1-INDEX('Lease Cycles'!$EM$14:$ES$14,1,BC112)),IF(OR(INDEX('Lease Cycles'!$DY$14:$EE$14,1,BC112)=1,BC113&gt;0),1,1-INDEX('Lease Cycles'!$DD$14:$DJ$14,1,BC112))*((1-'Lease Cycles'!$AJ$14)*INDEX('Lease Cycles'!$FO$14:$FU$14,1,BC112)+(1-'Lease Cycles'!$BE$14)*(1-INDEX('Lease Cycles'!$FO$14:$FU$14,1,BC112)))),0)</f>
        <v>0.023450586264656615</v>
      </c>
      <c r="BD120" s="24">
        <f>IF(BD114=1,'Lease Cycles'!$D$14*IF(INDEX('Lease Cycles'!$EF$14:$EL$14,1,BD112)=1,(1-'Lease Cycles'!$AJ$14)*INDEX('Lease Cycles'!$EM$14:$ES$14,1,BD112)+(1-'Lease Cycles'!$BE$14)*IF(BD113&lt;INDEX('Lease Cycles'!$FA$14:$FG$14,1,BD112),0,1-INDEX('Lease Cycles'!$EM$14:$ES$14,1,BD112)),IF(OR(INDEX('Lease Cycles'!$DY$14:$EE$14,1,BD112)=1,BD113&gt;0),1,1-INDEX('Lease Cycles'!$DD$14:$DJ$14,1,BD112))*((1-'Lease Cycles'!$AJ$14)*INDEX('Lease Cycles'!$FO$14:$FU$14,1,BD112)+(1-'Lease Cycles'!$BE$14)*(1-INDEX('Lease Cycles'!$FO$14:$FU$14,1,BD112)))),0)</f>
        <v>0.023450586264656615</v>
      </c>
      <c r="BE120" s="24">
        <f>IF(BE114=1,'Lease Cycles'!$D$14*IF(INDEX('Lease Cycles'!$EF$14:$EL$14,1,BE112)=1,(1-'Lease Cycles'!$AJ$14)*INDEX('Lease Cycles'!$EM$14:$ES$14,1,BE112)+(1-'Lease Cycles'!$BE$14)*IF(BE113&lt;INDEX('Lease Cycles'!$FA$14:$FG$14,1,BE112),0,1-INDEX('Lease Cycles'!$EM$14:$ES$14,1,BE112)),IF(OR(INDEX('Lease Cycles'!$DY$14:$EE$14,1,BE112)=1,BE113&gt;0),1,1-INDEX('Lease Cycles'!$DD$14:$DJ$14,1,BE112))*((1-'Lease Cycles'!$AJ$14)*INDEX('Lease Cycles'!$FO$14:$FU$14,1,BE112)+(1-'Lease Cycles'!$BE$14)*(1-INDEX('Lease Cycles'!$FO$14:$FU$14,1,BE112)))),0)</f>
        <v>0.023450586264656615</v>
      </c>
      <c r="BF120" s="24">
        <f>IF(BF114=1,'Lease Cycles'!$D$14*IF(INDEX('Lease Cycles'!$EF$14:$EL$14,1,BF112)=1,(1-'Lease Cycles'!$AJ$14)*INDEX('Lease Cycles'!$EM$14:$ES$14,1,BF112)+(1-'Lease Cycles'!$BE$14)*IF(BF113&lt;INDEX('Lease Cycles'!$FA$14:$FG$14,1,BF112),0,1-INDEX('Lease Cycles'!$EM$14:$ES$14,1,BF112)),IF(OR(INDEX('Lease Cycles'!$DY$14:$EE$14,1,BF112)=1,BF113&gt;0),1,1-INDEX('Lease Cycles'!$DD$14:$DJ$14,1,BF112))*((1-'Lease Cycles'!$AJ$14)*INDEX('Lease Cycles'!$FO$14:$FU$14,1,BF112)+(1-'Lease Cycles'!$BE$14)*(1-INDEX('Lease Cycles'!$FO$14:$FU$14,1,BF112)))),0)</f>
        <v>0.023450586264656615</v>
      </c>
      <c r="BG120" s="24">
        <f>IF(BG114=1,'Lease Cycles'!$D$14*IF(INDEX('Lease Cycles'!$EF$14:$EL$14,1,BG112)=1,(1-'Lease Cycles'!$AJ$14)*INDEX('Lease Cycles'!$EM$14:$ES$14,1,BG112)+(1-'Lease Cycles'!$BE$14)*IF(BG113&lt;INDEX('Lease Cycles'!$FA$14:$FG$14,1,BG112),0,1-INDEX('Lease Cycles'!$EM$14:$ES$14,1,BG112)),IF(OR(INDEX('Lease Cycles'!$DY$14:$EE$14,1,BG112)=1,BG113&gt;0),1,1-INDEX('Lease Cycles'!$DD$14:$DJ$14,1,BG112))*((1-'Lease Cycles'!$AJ$14)*INDEX('Lease Cycles'!$FO$14:$FU$14,1,BG112)+(1-'Lease Cycles'!$BE$14)*(1-INDEX('Lease Cycles'!$FO$14:$FU$14,1,BG112)))),0)</f>
        <v>0.023450586264656615</v>
      </c>
      <c r="BH120" s="24">
        <f>IF(BH114=1,'Lease Cycles'!$D$14*IF(INDEX('Lease Cycles'!$EF$14:$EL$14,1,BH112)=1,(1-'Lease Cycles'!$AJ$14)*INDEX('Lease Cycles'!$EM$14:$ES$14,1,BH112)+(1-'Lease Cycles'!$BE$14)*IF(BH113&lt;INDEX('Lease Cycles'!$FA$14:$FG$14,1,BH112),0,1-INDEX('Lease Cycles'!$EM$14:$ES$14,1,BH112)),IF(OR(INDEX('Lease Cycles'!$DY$14:$EE$14,1,BH112)=1,BH113&gt;0),1,1-INDEX('Lease Cycles'!$DD$14:$DJ$14,1,BH112))*((1-'Lease Cycles'!$AJ$14)*INDEX('Lease Cycles'!$FO$14:$FU$14,1,BH112)+(1-'Lease Cycles'!$BE$14)*(1-INDEX('Lease Cycles'!$FO$14:$FU$14,1,BH112)))),0)</f>
        <v>0.023450586264656615</v>
      </c>
      <c r="BI120" s="24">
        <f>IF(BI114=1,'Lease Cycles'!$D$14*IF(INDEX('Lease Cycles'!$EF$14:$EL$14,1,BI112)=1,(1-'Lease Cycles'!$AJ$14)*INDEX('Lease Cycles'!$EM$14:$ES$14,1,BI112)+(1-'Lease Cycles'!$BE$14)*IF(BI113&lt;INDEX('Lease Cycles'!$FA$14:$FG$14,1,BI112),0,1-INDEX('Lease Cycles'!$EM$14:$ES$14,1,BI112)),IF(OR(INDEX('Lease Cycles'!$DY$14:$EE$14,1,BI112)=1,BI113&gt;0),1,1-INDEX('Lease Cycles'!$DD$14:$DJ$14,1,BI112))*((1-'Lease Cycles'!$AJ$14)*INDEX('Lease Cycles'!$FO$14:$FU$14,1,BI112)+(1-'Lease Cycles'!$BE$14)*(1-INDEX('Lease Cycles'!$FO$14:$FU$14,1,BI112)))),0)</f>
        <v>0.023450586264656615</v>
      </c>
      <c r="BJ120" s="24">
        <f>IF(BJ114=1,'Lease Cycles'!$D$14*IF(INDEX('Lease Cycles'!$EF$14:$EL$14,1,BJ112)=1,(1-'Lease Cycles'!$AJ$14)*INDEX('Lease Cycles'!$EM$14:$ES$14,1,BJ112)+(1-'Lease Cycles'!$BE$14)*IF(BJ113&lt;INDEX('Lease Cycles'!$FA$14:$FG$14,1,BJ112),0,1-INDEX('Lease Cycles'!$EM$14:$ES$14,1,BJ112)),IF(OR(INDEX('Lease Cycles'!$DY$14:$EE$14,1,BJ112)=1,BJ113&gt;0),1,1-INDEX('Lease Cycles'!$DD$14:$DJ$14,1,BJ112))*((1-'Lease Cycles'!$AJ$14)*INDEX('Lease Cycles'!$FO$14:$FU$14,1,BJ112)+(1-'Lease Cycles'!$BE$14)*(1-INDEX('Lease Cycles'!$FO$14:$FU$14,1,BJ112)))),0)</f>
        <v>0.023450586264656615</v>
      </c>
      <c r="BK120" s="24">
        <f>IF(BK114=1,'Lease Cycles'!$D$14*IF(INDEX('Lease Cycles'!$EF$14:$EL$14,1,BK112)=1,(1-'Lease Cycles'!$AJ$14)*INDEX('Lease Cycles'!$EM$14:$ES$14,1,BK112)+(1-'Lease Cycles'!$BE$14)*IF(BK113&lt;INDEX('Lease Cycles'!$FA$14:$FG$14,1,BK112),0,1-INDEX('Lease Cycles'!$EM$14:$ES$14,1,BK112)),IF(OR(INDEX('Lease Cycles'!$DY$14:$EE$14,1,BK112)=1,BK113&gt;0),1,1-INDEX('Lease Cycles'!$DD$14:$DJ$14,1,BK112))*((1-'Lease Cycles'!$AJ$14)*INDEX('Lease Cycles'!$FO$14:$FU$14,1,BK112)+(1-'Lease Cycles'!$BE$14)*(1-INDEX('Lease Cycles'!$FO$14:$FU$14,1,BK112)))),0)</f>
        <v>0.023450586264656615</v>
      </c>
      <c r="BL120" s="24">
        <f>IF(BL114=1,'Lease Cycles'!$D$14*IF(INDEX('Lease Cycles'!$EF$14:$EL$14,1,BL112)=1,(1-'Lease Cycles'!$AJ$14)*INDEX('Lease Cycles'!$EM$14:$ES$14,1,BL112)+(1-'Lease Cycles'!$BE$14)*IF(BL113&lt;INDEX('Lease Cycles'!$FA$14:$FG$14,1,BL112),0,1-INDEX('Lease Cycles'!$EM$14:$ES$14,1,BL112)),IF(OR(INDEX('Lease Cycles'!$DY$14:$EE$14,1,BL112)=1,BL113&gt;0),1,1-INDEX('Lease Cycles'!$DD$14:$DJ$14,1,BL112))*((1-'Lease Cycles'!$AJ$14)*INDEX('Lease Cycles'!$FO$14:$FU$14,1,BL112)+(1-'Lease Cycles'!$BE$14)*(1-INDEX('Lease Cycles'!$FO$14:$FU$14,1,BL112)))),0)</f>
        <v>0.023450586264656615</v>
      </c>
      <c r="BM120" s="24">
        <f>IF(BM114=1,'Lease Cycles'!$D$14*IF(INDEX('Lease Cycles'!$EF$14:$EL$14,1,BM112)=1,(1-'Lease Cycles'!$AJ$14)*INDEX('Lease Cycles'!$EM$14:$ES$14,1,BM112)+(1-'Lease Cycles'!$BE$14)*IF(BM113&lt;INDEX('Lease Cycles'!$FA$14:$FG$14,1,BM112),0,1-INDEX('Lease Cycles'!$EM$14:$ES$14,1,BM112)),IF(OR(INDEX('Lease Cycles'!$DY$14:$EE$14,1,BM112)=1,BM113&gt;0),1,1-INDEX('Lease Cycles'!$DD$14:$DJ$14,1,BM112))*((1-'Lease Cycles'!$AJ$14)*INDEX('Lease Cycles'!$FO$14:$FU$14,1,BM112)+(1-'Lease Cycles'!$BE$14)*(1-INDEX('Lease Cycles'!$FO$14:$FU$14,1,BM112)))),0)</f>
        <v>0.023450586264656615</v>
      </c>
      <c r="BN120" s="24">
        <f>IF(BN114=1,'Lease Cycles'!$D$14*IF(INDEX('Lease Cycles'!$EF$14:$EL$14,1,BN112)=1,(1-'Lease Cycles'!$AJ$14)*INDEX('Lease Cycles'!$EM$14:$ES$14,1,BN112)+(1-'Lease Cycles'!$BE$14)*IF(BN113&lt;INDEX('Lease Cycles'!$FA$14:$FG$14,1,BN112),0,1-INDEX('Lease Cycles'!$EM$14:$ES$14,1,BN112)),IF(OR(INDEX('Lease Cycles'!$DY$14:$EE$14,1,BN112)=1,BN113&gt;0),1,1-INDEX('Lease Cycles'!$DD$14:$DJ$14,1,BN112))*((1-'Lease Cycles'!$AJ$14)*INDEX('Lease Cycles'!$FO$14:$FU$14,1,BN112)+(1-'Lease Cycles'!$BE$14)*(1-INDEX('Lease Cycles'!$FO$14:$FU$14,1,BN112)))),0)</f>
        <v>0.023450586264656615</v>
      </c>
      <c r="BO120" s="24">
        <f>IF(BO114=1,'Lease Cycles'!$D$14*IF(INDEX('Lease Cycles'!$EF$14:$EL$14,1,BO112)=1,(1-'Lease Cycles'!$AJ$14)*INDEX('Lease Cycles'!$EM$14:$ES$14,1,BO112)+(1-'Lease Cycles'!$BE$14)*IF(BO113&lt;INDEX('Lease Cycles'!$FA$14:$FG$14,1,BO112),0,1-INDEX('Lease Cycles'!$EM$14:$ES$14,1,BO112)),IF(OR(INDEX('Lease Cycles'!$DY$14:$EE$14,1,BO112)=1,BO113&gt;0),1,1-INDEX('Lease Cycles'!$DD$14:$DJ$14,1,BO112))*((1-'Lease Cycles'!$AJ$14)*INDEX('Lease Cycles'!$FO$14:$FU$14,1,BO112)+(1-'Lease Cycles'!$BE$14)*(1-INDEX('Lease Cycles'!$FO$14:$FU$14,1,BO112)))),0)</f>
        <v>0.023450586264656615</v>
      </c>
      <c r="BP120" s="24">
        <f>IF(BP114=1,'Lease Cycles'!$D$14*IF(INDEX('Lease Cycles'!$EF$14:$EL$14,1,BP112)=1,(1-'Lease Cycles'!$AJ$14)*INDEX('Lease Cycles'!$EM$14:$ES$14,1,BP112)+(1-'Lease Cycles'!$BE$14)*IF(BP113&lt;INDEX('Lease Cycles'!$FA$14:$FG$14,1,BP112),0,1-INDEX('Lease Cycles'!$EM$14:$ES$14,1,BP112)),IF(OR(INDEX('Lease Cycles'!$DY$14:$EE$14,1,BP112)=1,BP113&gt;0),1,1-INDEX('Lease Cycles'!$DD$14:$DJ$14,1,BP112))*((1-'Lease Cycles'!$AJ$14)*INDEX('Lease Cycles'!$FO$14:$FU$14,1,BP112)+(1-'Lease Cycles'!$BE$14)*(1-INDEX('Lease Cycles'!$FO$14:$FU$14,1,BP112)))),0)</f>
        <v>0.023450586264656615</v>
      </c>
      <c r="BQ120" s="24">
        <f>IF(BQ114=1,'Lease Cycles'!$D$14*IF(INDEX('Lease Cycles'!$EF$14:$EL$14,1,BQ112)=1,(1-'Lease Cycles'!$AJ$14)*INDEX('Lease Cycles'!$EM$14:$ES$14,1,BQ112)+(1-'Lease Cycles'!$BE$14)*IF(BQ113&lt;INDEX('Lease Cycles'!$FA$14:$FG$14,1,BQ112),0,1-INDEX('Lease Cycles'!$EM$14:$ES$14,1,BQ112)),IF(OR(INDEX('Lease Cycles'!$DY$14:$EE$14,1,BQ112)=1,BQ113&gt;0),1,1-INDEX('Lease Cycles'!$DD$14:$DJ$14,1,BQ112))*((1-'Lease Cycles'!$AJ$14)*INDEX('Lease Cycles'!$FO$14:$FU$14,1,BQ112)+(1-'Lease Cycles'!$BE$14)*(1-INDEX('Lease Cycles'!$FO$14:$FU$14,1,BQ112)))),0)</f>
        <v>0.023450586264656615</v>
      </c>
      <c r="BR120" s="24">
        <f>IF(BR114=1,'Lease Cycles'!$D$14*IF(INDEX('Lease Cycles'!$EF$14:$EL$14,1,BR112)=1,(1-'Lease Cycles'!$AJ$14)*INDEX('Lease Cycles'!$EM$14:$ES$14,1,BR112)+(1-'Lease Cycles'!$BE$14)*IF(BR113&lt;INDEX('Lease Cycles'!$FA$14:$FG$14,1,BR112),0,1-INDEX('Lease Cycles'!$EM$14:$ES$14,1,BR112)),IF(OR(INDEX('Lease Cycles'!$DY$14:$EE$14,1,BR112)=1,BR113&gt;0),1,1-INDEX('Lease Cycles'!$DD$14:$DJ$14,1,BR112))*((1-'Lease Cycles'!$AJ$14)*INDEX('Lease Cycles'!$FO$14:$FU$14,1,BR112)+(1-'Lease Cycles'!$BE$14)*(1-INDEX('Lease Cycles'!$FO$14:$FU$14,1,BR112)))),0)</f>
        <v>0.023450586264656615</v>
      </c>
      <c r="BS120" s="24">
        <f>IF(BS114=1,'Lease Cycles'!$D$14*IF(INDEX('Lease Cycles'!$EF$14:$EL$14,1,BS112)=1,(1-'Lease Cycles'!$AJ$14)*INDEX('Lease Cycles'!$EM$14:$ES$14,1,BS112)+(1-'Lease Cycles'!$BE$14)*IF(BS113&lt;INDEX('Lease Cycles'!$FA$14:$FG$14,1,BS112),0,1-INDEX('Lease Cycles'!$EM$14:$ES$14,1,BS112)),IF(OR(INDEX('Lease Cycles'!$DY$14:$EE$14,1,BS112)=1,BS113&gt;0),1,1-INDEX('Lease Cycles'!$DD$14:$DJ$14,1,BS112))*((1-'Lease Cycles'!$AJ$14)*INDEX('Lease Cycles'!$FO$14:$FU$14,1,BS112)+(1-'Lease Cycles'!$BE$14)*(1-INDEX('Lease Cycles'!$FO$14:$FU$14,1,BS112)))),0)</f>
        <v>0.023450586264656615</v>
      </c>
      <c r="BT120" s="24">
        <f>IF(BT114=1,'Lease Cycles'!$D$14*IF(INDEX('Lease Cycles'!$EF$14:$EL$14,1,BT112)=1,(1-'Lease Cycles'!$AJ$14)*INDEX('Lease Cycles'!$EM$14:$ES$14,1,BT112)+(1-'Lease Cycles'!$BE$14)*IF(BT113&lt;INDEX('Lease Cycles'!$FA$14:$FG$14,1,BT112),0,1-INDEX('Lease Cycles'!$EM$14:$ES$14,1,BT112)),IF(OR(INDEX('Lease Cycles'!$DY$14:$EE$14,1,BT112)=1,BT113&gt;0),1,1-INDEX('Lease Cycles'!$DD$14:$DJ$14,1,BT112))*((1-'Lease Cycles'!$AJ$14)*INDEX('Lease Cycles'!$FO$14:$FU$14,1,BT112)+(1-'Lease Cycles'!$BE$14)*(1-INDEX('Lease Cycles'!$FO$14:$FU$14,1,BT112)))),0)</f>
        <v>0.023450586264656615</v>
      </c>
      <c r="BU120" s="24">
        <f>IF(BU114=1,'Lease Cycles'!$D$14*IF(INDEX('Lease Cycles'!$EF$14:$EL$14,1,BU112)=1,(1-'Lease Cycles'!$AJ$14)*INDEX('Lease Cycles'!$EM$14:$ES$14,1,BU112)+(1-'Lease Cycles'!$BE$14)*IF(BU113&lt;INDEX('Lease Cycles'!$FA$14:$FG$14,1,BU112),0,1-INDEX('Lease Cycles'!$EM$14:$ES$14,1,BU112)),IF(OR(INDEX('Lease Cycles'!$DY$14:$EE$14,1,BU112)=1,BU113&gt;0),1,1-INDEX('Lease Cycles'!$DD$14:$DJ$14,1,BU112))*((1-'Lease Cycles'!$AJ$14)*INDEX('Lease Cycles'!$FO$14:$FU$14,1,BU112)+(1-'Lease Cycles'!$BE$14)*(1-INDEX('Lease Cycles'!$FO$14:$FU$14,1,BU112)))),0)</f>
        <v>0.023450586264656615</v>
      </c>
      <c r="BV120" s="24">
        <f>IF(BV114=1,'Lease Cycles'!$D$14*IF(INDEX('Lease Cycles'!$EF$14:$EL$14,1,BV112)=1,(1-'Lease Cycles'!$AJ$14)*INDEX('Lease Cycles'!$EM$14:$ES$14,1,BV112)+(1-'Lease Cycles'!$BE$14)*IF(BV113&lt;INDEX('Lease Cycles'!$FA$14:$FG$14,1,BV112),0,1-INDEX('Lease Cycles'!$EM$14:$ES$14,1,BV112)),IF(OR(INDEX('Lease Cycles'!$DY$14:$EE$14,1,BV112)=1,BV113&gt;0),1,1-INDEX('Lease Cycles'!$DD$14:$DJ$14,1,BV112))*((1-'Lease Cycles'!$AJ$14)*INDEX('Lease Cycles'!$FO$14:$FU$14,1,BV112)+(1-'Lease Cycles'!$BE$14)*(1-INDEX('Lease Cycles'!$FO$14:$FU$14,1,BV112)))),0)</f>
        <v>0.023450586264656615</v>
      </c>
      <c r="BW120" s="24">
        <f>IF(BW114=1,'Lease Cycles'!$D$14*IF(INDEX('Lease Cycles'!$EF$14:$EL$14,1,BW112)=1,(1-'Lease Cycles'!$AJ$14)*INDEX('Lease Cycles'!$EM$14:$ES$14,1,BW112)+(1-'Lease Cycles'!$BE$14)*IF(BW113&lt;INDEX('Lease Cycles'!$FA$14:$FG$14,1,BW112),0,1-INDEX('Lease Cycles'!$EM$14:$ES$14,1,BW112)),IF(OR(INDEX('Lease Cycles'!$DY$14:$EE$14,1,BW112)=1,BW113&gt;0),1,1-INDEX('Lease Cycles'!$DD$14:$DJ$14,1,BW112))*((1-'Lease Cycles'!$AJ$14)*INDEX('Lease Cycles'!$FO$14:$FU$14,1,BW112)+(1-'Lease Cycles'!$BE$14)*(1-INDEX('Lease Cycles'!$FO$14:$FU$14,1,BW112)))),0)</f>
        <v>0.023450586264656615</v>
      </c>
      <c r="BX120" s="24">
        <f>IF(BX114=1,'Lease Cycles'!$D$14*IF(INDEX('Lease Cycles'!$EF$14:$EL$14,1,BX112)=1,(1-'Lease Cycles'!$AJ$14)*INDEX('Lease Cycles'!$EM$14:$ES$14,1,BX112)+(1-'Lease Cycles'!$BE$14)*IF(BX113&lt;INDEX('Lease Cycles'!$FA$14:$FG$14,1,BX112),0,1-INDEX('Lease Cycles'!$EM$14:$ES$14,1,BX112)),IF(OR(INDEX('Lease Cycles'!$DY$14:$EE$14,1,BX112)=1,BX113&gt;0),1,1-INDEX('Lease Cycles'!$DD$14:$DJ$14,1,BX112))*((1-'Lease Cycles'!$AJ$14)*INDEX('Lease Cycles'!$FO$14:$FU$14,1,BX112)+(1-'Lease Cycles'!$BE$14)*(1-INDEX('Lease Cycles'!$FO$14:$FU$14,1,BX112)))),0)</f>
        <v>0.023450586264656615</v>
      </c>
      <c r="BY120" s="24">
        <f>IF(BY114=1,'Lease Cycles'!$D$14*IF(INDEX('Lease Cycles'!$EF$14:$EL$14,1,BY112)=1,(1-'Lease Cycles'!$AJ$14)*INDEX('Lease Cycles'!$EM$14:$ES$14,1,BY112)+(1-'Lease Cycles'!$BE$14)*IF(BY113&lt;INDEX('Lease Cycles'!$FA$14:$FG$14,1,BY112),0,1-INDEX('Lease Cycles'!$EM$14:$ES$14,1,BY112)),IF(OR(INDEX('Lease Cycles'!$DY$14:$EE$14,1,BY112)=1,BY113&gt;0),1,1-INDEX('Lease Cycles'!$DD$14:$DJ$14,1,BY112))*((1-'Lease Cycles'!$AJ$14)*INDEX('Lease Cycles'!$FO$14:$FU$14,1,BY112)+(1-'Lease Cycles'!$BE$14)*(1-INDEX('Lease Cycles'!$FO$14:$FU$14,1,BY112)))),0)</f>
        <v>0.023450586264656615</v>
      </c>
      <c r="BZ120" s="24">
        <f>IF(BZ114=1,'Lease Cycles'!$D$14*IF(INDEX('Lease Cycles'!$EF$14:$EL$14,1,BZ112)=1,(1-'Lease Cycles'!$AJ$14)*INDEX('Lease Cycles'!$EM$14:$ES$14,1,BZ112)+(1-'Lease Cycles'!$BE$14)*IF(BZ113&lt;INDEX('Lease Cycles'!$FA$14:$FG$14,1,BZ112),0,1-INDEX('Lease Cycles'!$EM$14:$ES$14,1,BZ112)),IF(OR(INDEX('Lease Cycles'!$DY$14:$EE$14,1,BZ112)=1,BZ113&gt;0),1,1-INDEX('Lease Cycles'!$DD$14:$DJ$14,1,BZ112))*((1-'Lease Cycles'!$AJ$14)*INDEX('Lease Cycles'!$FO$14:$FU$14,1,BZ112)+(1-'Lease Cycles'!$BE$14)*(1-INDEX('Lease Cycles'!$FO$14:$FU$14,1,BZ112)))),0)</f>
        <v>0.023450586264656615</v>
      </c>
      <c r="CA120" s="24">
        <f>IF(CA114=1,'Lease Cycles'!$D$14*IF(INDEX('Lease Cycles'!$EF$14:$EL$14,1,CA112)=1,(1-'Lease Cycles'!$AJ$14)*INDEX('Lease Cycles'!$EM$14:$ES$14,1,CA112)+(1-'Lease Cycles'!$BE$14)*IF(CA113&lt;INDEX('Lease Cycles'!$FA$14:$FG$14,1,CA112),0,1-INDEX('Lease Cycles'!$EM$14:$ES$14,1,CA112)),IF(OR(INDEX('Lease Cycles'!$DY$14:$EE$14,1,CA112)=1,CA113&gt;0),1,1-INDEX('Lease Cycles'!$DD$14:$DJ$14,1,CA112))*((1-'Lease Cycles'!$AJ$14)*INDEX('Lease Cycles'!$FO$14:$FU$14,1,CA112)+(1-'Lease Cycles'!$BE$14)*(1-INDEX('Lease Cycles'!$FO$14:$FU$14,1,CA112)))),0)</f>
        <v>0.023450586264656615</v>
      </c>
      <c r="CB120" s="24">
        <f>IF(CB114=1,'Lease Cycles'!$D$14*IF(INDEX('Lease Cycles'!$EF$14:$EL$14,1,CB112)=1,(1-'Lease Cycles'!$AJ$14)*INDEX('Lease Cycles'!$EM$14:$ES$14,1,CB112)+(1-'Lease Cycles'!$BE$14)*IF(CB113&lt;INDEX('Lease Cycles'!$FA$14:$FG$14,1,CB112),0,1-INDEX('Lease Cycles'!$EM$14:$ES$14,1,CB112)),IF(OR(INDEX('Lease Cycles'!$DY$14:$EE$14,1,CB112)=1,CB113&gt;0),1,1-INDEX('Lease Cycles'!$DD$14:$DJ$14,1,CB112))*((1-'Lease Cycles'!$AJ$14)*INDEX('Lease Cycles'!$FO$14:$FU$14,1,CB112)+(1-'Lease Cycles'!$BE$14)*(1-INDEX('Lease Cycles'!$FO$14:$FU$14,1,CB112)))),0)</f>
        <v>0.023450586264656615</v>
      </c>
      <c r="CC120" s="24">
        <f>IF(CC114=1,'Lease Cycles'!$D$14*IF(INDEX('Lease Cycles'!$EF$14:$EL$14,1,CC112)=1,(1-'Lease Cycles'!$AJ$14)*INDEX('Lease Cycles'!$EM$14:$ES$14,1,CC112)+(1-'Lease Cycles'!$BE$14)*IF(CC113&lt;INDEX('Lease Cycles'!$FA$14:$FG$14,1,CC112),0,1-INDEX('Lease Cycles'!$EM$14:$ES$14,1,CC112)),IF(OR(INDEX('Lease Cycles'!$DY$14:$EE$14,1,CC112)=1,CC113&gt;0),1,1-INDEX('Lease Cycles'!$DD$14:$DJ$14,1,CC112))*((1-'Lease Cycles'!$AJ$14)*INDEX('Lease Cycles'!$FO$14:$FU$14,1,CC112)+(1-'Lease Cycles'!$BE$14)*(1-INDEX('Lease Cycles'!$FO$14:$FU$14,1,CC112)))),0)</f>
        <v>0.023450586264656615</v>
      </c>
      <c r="CD120" s="24">
        <f>IF(CD114=1,'Lease Cycles'!$D$14*IF(INDEX('Lease Cycles'!$EF$14:$EL$14,1,CD112)=1,(1-'Lease Cycles'!$AJ$14)*INDEX('Lease Cycles'!$EM$14:$ES$14,1,CD112)+(1-'Lease Cycles'!$BE$14)*IF(CD113&lt;INDEX('Lease Cycles'!$FA$14:$FG$14,1,CD112),0,1-INDEX('Lease Cycles'!$EM$14:$ES$14,1,CD112)),IF(OR(INDEX('Lease Cycles'!$DY$14:$EE$14,1,CD112)=1,CD113&gt;0),1,1-INDEX('Lease Cycles'!$DD$14:$DJ$14,1,CD112))*((1-'Lease Cycles'!$AJ$14)*INDEX('Lease Cycles'!$FO$14:$FU$14,1,CD112)+(1-'Lease Cycles'!$BE$14)*(1-INDEX('Lease Cycles'!$FO$14:$FU$14,1,CD112)))),0)</f>
        <v>0.023450586264656615</v>
      </c>
      <c r="CE120" s="24">
        <f>IF(CE114=1,'Lease Cycles'!$D$14*IF(INDEX('Lease Cycles'!$EF$14:$EL$14,1,CE112)=1,(1-'Lease Cycles'!$AJ$14)*INDEX('Lease Cycles'!$EM$14:$ES$14,1,CE112)+(1-'Lease Cycles'!$BE$14)*IF(CE113&lt;INDEX('Lease Cycles'!$FA$14:$FG$14,1,CE112),0,1-INDEX('Lease Cycles'!$EM$14:$ES$14,1,CE112)),IF(OR(INDEX('Lease Cycles'!$DY$14:$EE$14,1,CE112)=1,CE113&gt;0),1,1-INDEX('Lease Cycles'!$DD$14:$DJ$14,1,CE112))*((1-'Lease Cycles'!$AJ$14)*INDEX('Lease Cycles'!$FO$14:$FU$14,1,CE112)+(1-'Lease Cycles'!$BE$14)*(1-INDEX('Lease Cycles'!$FO$14:$FU$14,1,CE112)))),0)</f>
        <v>0.023450586264656615</v>
      </c>
      <c r="CF120" s="24">
        <f>IF(CF114=1,'Lease Cycles'!$D$14*IF(INDEX('Lease Cycles'!$EF$14:$EL$14,1,CF112)=1,(1-'Lease Cycles'!$AJ$14)*INDEX('Lease Cycles'!$EM$14:$ES$14,1,CF112)+(1-'Lease Cycles'!$BE$14)*IF(CF113&lt;INDEX('Lease Cycles'!$FA$14:$FG$14,1,CF112),0,1-INDEX('Lease Cycles'!$EM$14:$ES$14,1,CF112)),IF(OR(INDEX('Lease Cycles'!$DY$14:$EE$14,1,CF112)=1,CF113&gt;0),1,1-INDEX('Lease Cycles'!$DD$14:$DJ$14,1,CF112))*((1-'Lease Cycles'!$AJ$14)*INDEX('Lease Cycles'!$FO$14:$FU$14,1,CF112)+(1-'Lease Cycles'!$BE$14)*(1-INDEX('Lease Cycles'!$FO$14:$FU$14,1,CF112)))),0)</f>
        <v>0.023450586264656615</v>
      </c>
      <c r="CG120" s="24">
        <f>IF(CG114=1,'Lease Cycles'!$D$14*IF(INDEX('Lease Cycles'!$EF$14:$EL$14,1,CG112)=1,(1-'Lease Cycles'!$AJ$14)*INDEX('Lease Cycles'!$EM$14:$ES$14,1,CG112)+(1-'Lease Cycles'!$BE$14)*IF(CG113&lt;INDEX('Lease Cycles'!$FA$14:$FG$14,1,CG112),0,1-INDEX('Lease Cycles'!$EM$14:$ES$14,1,CG112)),IF(OR(INDEX('Lease Cycles'!$DY$14:$EE$14,1,CG112)=1,CG113&gt;0),1,1-INDEX('Lease Cycles'!$DD$14:$DJ$14,1,CG112))*((1-'Lease Cycles'!$AJ$14)*INDEX('Lease Cycles'!$FO$14:$FU$14,1,CG112)+(1-'Lease Cycles'!$BE$14)*(1-INDEX('Lease Cycles'!$FO$14:$FU$14,1,CG112)))),0)</f>
        <v>0.023450586264656615</v>
      </c>
      <c r="CH120" s="24">
        <f>IF(CH114=1,'Lease Cycles'!$D$14*IF(INDEX('Lease Cycles'!$EF$14:$EL$14,1,CH112)=1,(1-'Lease Cycles'!$AJ$14)*INDEX('Lease Cycles'!$EM$14:$ES$14,1,CH112)+(1-'Lease Cycles'!$BE$14)*IF(CH113&lt;INDEX('Lease Cycles'!$FA$14:$FG$14,1,CH112),0,1-INDEX('Lease Cycles'!$EM$14:$ES$14,1,CH112)),IF(OR(INDEX('Lease Cycles'!$DY$14:$EE$14,1,CH112)=1,CH113&gt;0),1,1-INDEX('Lease Cycles'!$DD$14:$DJ$14,1,CH112))*((1-'Lease Cycles'!$AJ$14)*INDEX('Lease Cycles'!$FO$14:$FU$14,1,CH112)+(1-'Lease Cycles'!$BE$14)*(1-INDEX('Lease Cycles'!$FO$14:$FU$14,1,CH112)))),0)</f>
        <v>0.023450586264656615</v>
      </c>
      <c r="CI120" s="24">
        <f>IF(CI114=1,'Lease Cycles'!$D$14*IF(INDEX('Lease Cycles'!$EF$14:$EL$14,1,CI112)=1,(1-'Lease Cycles'!$AJ$14)*INDEX('Lease Cycles'!$EM$14:$ES$14,1,CI112)+(1-'Lease Cycles'!$BE$14)*IF(CI113&lt;INDEX('Lease Cycles'!$FA$14:$FG$14,1,CI112),0,1-INDEX('Lease Cycles'!$EM$14:$ES$14,1,CI112)),IF(OR(INDEX('Lease Cycles'!$DY$14:$EE$14,1,CI112)=1,CI113&gt;0),1,1-INDEX('Lease Cycles'!$DD$14:$DJ$14,1,CI112))*((1-'Lease Cycles'!$AJ$14)*INDEX('Lease Cycles'!$FO$14:$FU$14,1,CI112)+(1-'Lease Cycles'!$BE$14)*(1-INDEX('Lease Cycles'!$FO$14:$FU$14,1,CI112)))),0)</f>
        <v>0.023450586264656615</v>
      </c>
      <c r="CJ120" s="24">
        <f>IF(CJ114=1,'Lease Cycles'!$D$14*IF(INDEX('Lease Cycles'!$EF$14:$EL$14,1,CJ112)=1,(1-'Lease Cycles'!$AJ$14)*INDEX('Lease Cycles'!$EM$14:$ES$14,1,CJ112)+(1-'Lease Cycles'!$BE$14)*IF(CJ113&lt;INDEX('Lease Cycles'!$FA$14:$FG$14,1,CJ112),0,1-INDEX('Lease Cycles'!$EM$14:$ES$14,1,CJ112)),IF(OR(INDEX('Lease Cycles'!$DY$14:$EE$14,1,CJ112)=1,CJ113&gt;0),1,1-INDEX('Lease Cycles'!$DD$14:$DJ$14,1,CJ112))*((1-'Lease Cycles'!$AJ$14)*INDEX('Lease Cycles'!$FO$14:$FU$14,1,CJ112)+(1-'Lease Cycles'!$BE$14)*(1-INDEX('Lease Cycles'!$FO$14:$FU$14,1,CJ112)))),0)</f>
        <v>0.023450586264656615</v>
      </c>
      <c r="CK120" s="24">
        <f>IF(CK114=1,'Lease Cycles'!$D$14*IF(INDEX('Lease Cycles'!$EF$14:$EL$14,1,CK112)=1,(1-'Lease Cycles'!$AJ$14)*INDEX('Lease Cycles'!$EM$14:$ES$14,1,CK112)+(1-'Lease Cycles'!$BE$14)*IF(CK113&lt;INDEX('Lease Cycles'!$FA$14:$FG$14,1,CK112),0,1-INDEX('Lease Cycles'!$EM$14:$ES$14,1,CK112)),IF(OR(INDEX('Lease Cycles'!$DY$14:$EE$14,1,CK112)=1,CK113&gt;0),1,1-INDEX('Lease Cycles'!$DD$14:$DJ$14,1,CK112))*((1-'Lease Cycles'!$AJ$14)*INDEX('Lease Cycles'!$FO$14:$FU$14,1,CK112)+(1-'Lease Cycles'!$BE$14)*(1-INDEX('Lease Cycles'!$FO$14:$FU$14,1,CK112)))),0)</f>
        <v>0.023450586264656615</v>
      </c>
      <c r="CL120" s="24">
        <f>IF(CL114=1,'Lease Cycles'!$D$14*IF(INDEX('Lease Cycles'!$EF$14:$EL$14,1,CL112)=1,(1-'Lease Cycles'!$AJ$14)*INDEX('Lease Cycles'!$EM$14:$ES$14,1,CL112)+(1-'Lease Cycles'!$BE$14)*IF(CL113&lt;INDEX('Lease Cycles'!$FA$14:$FG$14,1,CL112),0,1-INDEX('Lease Cycles'!$EM$14:$ES$14,1,CL112)),IF(OR(INDEX('Lease Cycles'!$DY$14:$EE$14,1,CL112)=1,CL113&gt;0),1,1-INDEX('Lease Cycles'!$DD$14:$DJ$14,1,CL112))*((1-'Lease Cycles'!$AJ$14)*INDEX('Lease Cycles'!$FO$14:$FU$14,1,CL112)+(1-'Lease Cycles'!$BE$14)*(1-INDEX('Lease Cycles'!$FO$14:$FU$14,1,CL112)))),0)</f>
        <v>0.023450586264656615</v>
      </c>
      <c r="CM120" s="24">
        <f>IF(CM114=1,'Lease Cycles'!$D$14*IF(INDEX('Lease Cycles'!$EF$14:$EL$14,1,CM112)=1,(1-'Lease Cycles'!$AJ$14)*INDEX('Lease Cycles'!$EM$14:$ES$14,1,CM112)+(1-'Lease Cycles'!$BE$14)*IF(CM113&lt;INDEX('Lease Cycles'!$FA$14:$FG$14,1,CM112),0,1-INDEX('Lease Cycles'!$EM$14:$ES$14,1,CM112)),IF(OR(INDEX('Lease Cycles'!$DY$14:$EE$14,1,CM112)=1,CM113&gt;0),1,1-INDEX('Lease Cycles'!$DD$14:$DJ$14,1,CM112))*((1-'Lease Cycles'!$AJ$14)*INDEX('Lease Cycles'!$FO$14:$FU$14,1,CM112)+(1-'Lease Cycles'!$BE$14)*(1-INDEX('Lease Cycles'!$FO$14:$FU$14,1,CM112)))),0)</f>
        <v>0.023450586264656615</v>
      </c>
      <c r="CN120" s="24">
        <f>IF(CN114=1,'Lease Cycles'!$D$14*IF(INDEX('Lease Cycles'!$EF$14:$EL$14,1,CN112)=1,(1-'Lease Cycles'!$AJ$14)*INDEX('Lease Cycles'!$EM$14:$ES$14,1,CN112)+(1-'Lease Cycles'!$BE$14)*IF(CN113&lt;INDEX('Lease Cycles'!$FA$14:$FG$14,1,CN112),0,1-INDEX('Lease Cycles'!$EM$14:$ES$14,1,CN112)),IF(OR(INDEX('Lease Cycles'!$DY$14:$EE$14,1,CN112)=1,CN113&gt;0),1,1-INDEX('Lease Cycles'!$DD$14:$DJ$14,1,CN112))*((1-'Lease Cycles'!$AJ$14)*INDEX('Lease Cycles'!$FO$14:$FU$14,1,CN112)+(1-'Lease Cycles'!$BE$14)*(1-INDEX('Lease Cycles'!$FO$14:$FU$14,1,CN112)))),0)</f>
        <v>0.023450586264656615</v>
      </c>
      <c r="CO120" s="24">
        <f>IF(CO114=1,'Lease Cycles'!$D$14*IF(INDEX('Lease Cycles'!$EF$14:$EL$14,1,CO112)=1,(1-'Lease Cycles'!$AJ$14)*INDEX('Lease Cycles'!$EM$14:$ES$14,1,CO112)+(1-'Lease Cycles'!$BE$14)*IF(CO113&lt;INDEX('Lease Cycles'!$FA$14:$FG$14,1,CO112),0,1-INDEX('Lease Cycles'!$EM$14:$ES$14,1,CO112)),IF(OR(INDEX('Lease Cycles'!$DY$14:$EE$14,1,CO112)=1,CO113&gt;0),1,1-INDEX('Lease Cycles'!$DD$14:$DJ$14,1,CO112))*((1-'Lease Cycles'!$AJ$14)*INDEX('Lease Cycles'!$FO$14:$FU$14,1,CO112)+(1-'Lease Cycles'!$BE$14)*(1-INDEX('Lease Cycles'!$FO$14:$FU$14,1,CO112)))),0)</f>
        <v>0.023450586264656615</v>
      </c>
      <c r="CP120" s="24">
        <f>IF(CP114=1,'Lease Cycles'!$D$14*IF(INDEX('Lease Cycles'!$EF$14:$EL$14,1,CP112)=1,(1-'Lease Cycles'!$AJ$14)*INDEX('Lease Cycles'!$EM$14:$ES$14,1,CP112)+(1-'Lease Cycles'!$BE$14)*IF(CP113&lt;INDEX('Lease Cycles'!$FA$14:$FG$14,1,CP112),0,1-INDEX('Lease Cycles'!$EM$14:$ES$14,1,CP112)),IF(OR(INDEX('Lease Cycles'!$DY$14:$EE$14,1,CP112)=1,CP113&gt;0),1,1-INDEX('Lease Cycles'!$DD$14:$DJ$14,1,CP112))*((1-'Lease Cycles'!$AJ$14)*INDEX('Lease Cycles'!$FO$14:$FU$14,1,CP112)+(1-'Lease Cycles'!$BE$14)*(1-INDEX('Lease Cycles'!$FO$14:$FU$14,1,CP112)))),0)</f>
        <v>0.023450586264656615</v>
      </c>
      <c r="CQ120" s="24">
        <f>IF(CQ114=1,'Lease Cycles'!$D$14*IF(INDEX('Lease Cycles'!$EF$14:$EL$14,1,CQ112)=1,(1-'Lease Cycles'!$AJ$14)*INDEX('Lease Cycles'!$EM$14:$ES$14,1,CQ112)+(1-'Lease Cycles'!$BE$14)*IF(CQ113&lt;INDEX('Lease Cycles'!$FA$14:$FG$14,1,CQ112),0,1-INDEX('Lease Cycles'!$EM$14:$ES$14,1,CQ112)),IF(OR(INDEX('Lease Cycles'!$DY$14:$EE$14,1,CQ112)=1,CQ113&gt;0),1,1-INDEX('Lease Cycles'!$DD$14:$DJ$14,1,CQ112))*((1-'Lease Cycles'!$AJ$14)*INDEX('Lease Cycles'!$FO$14:$FU$14,1,CQ112)+(1-'Lease Cycles'!$BE$14)*(1-INDEX('Lease Cycles'!$FO$14:$FU$14,1,CQ112)))),0)</f>
        <v>0.023450586264656615</v>
      </c>
      <c r="CR120" s="24">
        <f>IF(CR114=1,'Lease Cycles'!$D$14*IF(INDEX('Lease Cycles'!$EF$14:$EL$14,1,CR112)=1,(1-'Lease Cycles'!$AJ$14)*INDEX('Lease Cycles'!$EM$14:$ES$14,1,CR112)+(1-'Lease Cycles'!$BE$14)*IF(CR113&lt;INDEX('Lease Cycles'!$FA$14:$FG$14,1,CR112),0,1-INDEX('Lease Cycles'!$EM$14:$ES$14,1,CR112)),IF(OR(INDEX('Lease Cycles'!$DY$14:$EE$14,1,CR112)=1,CR113&gt;0),1,1-INDEX('Lease Cycles'!$DD$14:$DJ$14,1,CR112))*((1-'Lease Cycles'!$AJ$14)*INDEX('Lease Cycles'!$FO$14:$FU$14,1,CR112)+(1-'Lease Cycles'!$BE$14)*(1-INDEX('Lease Cycles'!$FO$14:$FU$14,1,CR112)))),0)</f>
        <v>0.023450586264656615</v>
      </c>
      <c r="CS120" s="24">
        <f>IF(CS114=1,'Lease Cycles'!$D$14*IF(INDEX('Lease Cycles'!$EF$14:$EL$14,1,CS112)=1,(1-'Lease Cycles'!$AJ$14)*INDEX('Lease Cycles'!$EM$14:$ES$14,1,CS112)+(1-'Lease Cycles'!$BE$14)*IF(CS113&lt;INDEX('Lease Cycles'!$FA$14:$FG$14,1,CS112),0,1-INDEX('Lease Cycles'!$EM$14:$ES$14,1,CS112)),IF(OR(INDEX('Lease Cycles'!$DY$14:$EE$14,1,CS112)=1,CS113&gt;0),1,1-INDEX('Lease Cycles'!$DD$14:$DJ$14,1,CS112))*((1-'Lease Cycles'!$AJ$14)*INDEX('Lease Cycles'!$FO$14:$FU$14,1,CS112)+(1-'Lease Cycles'!$BE$14)*(1-INDEX('Lease Cycles'!$FO$14:$FU$14,1,CS112)))),0)</f>
        <v>0.023450586264656615</v>
      </c>
      <c r="CT120" s="24">
        <f>IF(CT114=1,'Lease Cycles'!$D$14*IF(INDEX('Lease Cycles'!$EF$14:$EL$14,1,CT112)=1,(1-'Lease Cycles'!$AJ$14)*INDEX('Lease Cycles'!$EM$14:$ES$14,1,CT112)+(1-'Lease Cycles'!$BE$14)*IF(CT113&lt;INDEX('Lease Cycles'!$FA$14:$FG$14,1,CT112),0,1-INDEX('Lease Cycles'!$EM$14:$ES$14,1,CT112)),IF(OR(INDEX('Lease Cycles'!$DY$14:$EE$14,1,CT112)=1,CT113&gt;0),1,1-INDEX('Lease Cycles'!$DD$14:$DJ$14,1,CT112))*((1-'Lease Cycles'!$AJ$14)*INDEX('Lease Cycles'!$FO$14:$FU$14,1,CT112)+(1-'Lease Cycles'!$BE$14)*(1-INDEX('Lease Cycles'!$FO$14:$FU$14,1,CT112)))),0)</f>
        <v>0.023450586264656615</v>
      </c>
      <c r="CU120" s="24">
        <f>IF(CU114=1,'Lease Cycles'!$D$14*IF(INDEX('Lease Cycles'!$EF$14:$EL$14,1,CU112)=1,(1-'Lease Cycles'!$AJ$14)*INDEX('Lease Cycles'!$EM$14:$ES$14,1,CU112)+(1-'Lease Cycles'!$BE$14)*IF(CU113&lt;INDEX('Lease Cycles'!$FA$14:$FG$14,1,CU112),0,1-INDEX('Lease Cycles'!$EM$14:$ES$14,1,CU112)),IF(OR(INDEX('Lease Cycles'!$DY$14:$EE$14,1,CU112)=1,CU113&gt;0),1,1-INDEX('Lease Cycles'!$DD$14:$DJ$14,1,CU112))*((1-'Lease Cycles'!$AJ$14)*INDEX('Lease Cycles'!$FO$14:$FU$14,1,CU112)+(1-'Lease Cycles'!$BE$14)*(1-INDEX('Lease Cycles'!$FO$14:$FU$14,1,CU112)))),0)</f>
        <v>0.023450586264656615</v>
      </c>
      <c r="CV120" s="24">
        <f>IF(CV114=1,'Lease Cycles'!$D$14*IF(INDEX('Lease Cycles'!$EF$14:$EL$14,1,CV112)=1,(1-'Lease Cycles'!$AJ$14)*INDEX('Lease Cycles'!$EM$14:$ES$14,1,CV112)+(1-'Lease Cycles'!$BE$14)*IF(CV113&lt;INDEX('Lease Cycles'!$FA$14:$FG$14,1,CV112),0,1-INDEX('Lease Cycles'!$EM$14:$ES$14,1,CV112)),IF(OR(INDEX('Lease Cycles'!$DY$14:$EE$14,1,CV112)=1,CV113&gt;0),1,1-INDEX('Lease Cycles'!$DD$14:$DJ$14,1,CV112))*((1-'Lease Cycles'!$AJ$14)*INDEX('Lease Cycles'!$FO$14:$FU$14,1,CV112)+(1-'Lease Cycles'!$BE$14)*(1-INDEX('Lease Cycles'!$FO$14:$FU$14,1,CV112)))),0)</f>
        <v>0.023450586264656615</v>
      </c>
      <c r="CW120" s="24">
        <f>IF(CW114=1,'Lease Cycles'!$D$14*IF(INDEX('Lease Cycles'!$EF$14:$EL$14,1,CW112)=1,(1-'Lease Cycles'!$AJ$14)*INDEX('Lease Cycles'!$EM$14:$ES$14,1,CW112)+(1-'Lease Cycles'!$BE$14)*IF(CW113&lt;INDEX('Lease Cycles'!$FA$14:$FG$14,1,CW112),0,1-INDEX('Lease Cycles'!$EM$14:$ES$14,1,CW112)),IF(OR(INDEX('Lease Cycles'!$DY$14:$EE$14,1,CW112)=1,CW113&gt;0),1,1-INDEX('Lease Cycles'!$DD$14:$DJ$14,1,CW112))*((1-'Lease Cycles'!$AJ$14)*INDEX('Lease Cycles'!$FO$14:$FU$14,1,CW112)+(1-'Lease Cycles'!$BE$14)*(1-INDEX('Lease Cycles'!$FO$14:$FU$14,1,CW112)))),0)</f>
        <v>0.023450586264656615</v>
      </c>
      <c r="CX120" s="24">
        <f>IF(CX114=1,'Lease Cycles'!$D$14*IF(INDEX('Lease Cycles'!$EF$14:$EL$14,1,CX112)=1,(1-'Lease Cycles'!$AJ$14)*INDEX('Lease Cycles'!$EM$14:$ES$14,1,CX112)+(1-'Lease Cycles'!$BE$14)*IF(CX113&lt;INDEX('Lease Cycles'!$FA$14:$FG$14,1,CX112),0,1-INDEX('Lease Cycles'!$EM$14:$ES$14,1,CX112)),IF(OR(INDEX('Lease Cycles'!$DY$14:$EE$14,1,CX112)=1,CX113&gt;0),1,1-INDEX('Lease Cycles'!$DD$14:$DJ$14,1,CX112))*((1-'Lease Cycles'!$AJ$14)*INDEX('Lease Cycles'!$FO$14:$FU$14,1,CX112)+(1-'Lease Cycles'!$BE$14)*(1-INDEX('Lease Cycles'!$FO$14:$FU$14,1,CX112)))),0)</f>
        <v>0.023450586264656615</v>
      </c>
      <c r="CY120" s="24">
        <f>IF(CY114=1,'Lease Cycles'!$D$14*IF(INDEX('Lease Cycles'!$EF$14:$EL$14,1,CY112)=1,(1-'Lease Cycles'!$AJ$14)*INDEX('Lease Cycles'!$EM$14:$ES$14,1,CY112)+(1-'Lease Cycles'!$BE$14)*IF(CY113&lt;INDEX('Lease Cycles'!$FA$14:$FG$14,1,CY112),0,1-INDEX('Lease Cycles'!$EM$14:$ES$14,1,CY112)),IF(OR(INDEX('Lease Cycles'!$DY$14:$EE$14,1,CY112)=1,CY113&gt;0),1,1-INDEX('Lease Cycles'!$DD$14:$DJ$14,1,CY112))*((1-'Lease Cycles'!$AJ$14)*INDEX('Lease Cycles'!$FO$14:$FU$14,1,CY112)+(1-'Lease Cycles'!$BE$14)*(1-INDEX('Lease Cycles'!$FO$14:$FU$14,1,CY112)))),0)</f>
        <v>0.023450586264656615</v>
      </c>
      <c r="CZ120" s="24">
        <f>IF(CZ114=1,'Lease Cycles'!$D$14*IF(INDEX('Lease Cycles'!$EF$14:$EL$14,1,CZ112)=1,(1-'Lease Cycles'!$AJ$14)*INDEX('Lease Cycles'!$EM$14:$ES$14,1,CZ112)+(1-'Lease Cycles'!$BE$14)*IF(CZ113&lt;INDEX('Lease Cycles'!$FA$14:$FG$14,1,CZ112),0,1-INDEX('Lease Cycles'!$EM$14:$ES$14,1,CZ112)),IF(OR(INDEX('Lease Cycles'!$DY$14:$EE$14,1,CZ112)=1,CZ113&gt;0),1,1-INDEX('Lease Cycles'!$DD$14:$DJ$14,1,CZ112))*((1-'Lease Cycles'!$AJ$14)*INDEX('Lease Cycles'!$FO$14:$FU$14,1,CZ112)+(1-'Lease Cycles'!$BE$14)*(1-INDEX('Lease Cycles'!$FO$14:$FU$14,1,CZ112)))),0)</f>
        <v>0.023450586264656615</v>
      </c>
      <c r="DA120" s="24">
        <f>IF(DA114=1,'Lease Cycles'!$D$14*IF(INDEX('Lease Cycles'!$EF$14:$EL$14,1,DA112)=1,(1-'Lease Cycles'!$AJ$14)*INDEX('Lease Cycles'!$EM$14:$ES$14,1,DA112)+(1-'Lease Cycles'!$BE$14)*IF(DA113&lt;INDEX('Lease Cycles'!$FA$14:$FG$14,1,DA112),0,1-INDEX('Lease Cycles'!$EM$14:$ES$14,1,DA112)),IF(OR(INDEX('Lease Cycles'!$DY$14:$EE$14,1,DA112)=1,DA113&gt;0),1,1-INDEX('Lease Cycles'!$DD$14:$DJ$14,1,DA112))*((1-'Lease Cycles'!$AJ$14)*INDEX('Lease Cycles'!$FO$14:$FU$14,1,DA112)+(1-'Lease Cycles'!$BE$14)*(1-INDEX('Lease Cycles'!$FO$14:$FU$14,1,DA112)))),0)</f>
        <v>0.023450586264656615</v>
      </c>
      <c r="DB120" s="24">
        <f>IF(DB114=1,'Lease Cycles'!$D$14*IF(INDEX('Lease Cycles'!$EF$14:$EL$14,1,DB112)=1,(1-'Lease Cycles'!$AJ$14)*INDEX('Lease Cycles'!$EM$14:$ES$14,1,DB112)+(1-'Lease Cycles'!$BE$14)*IF(DB113&lt;INDEX('Lease Cycles'!$FA$14:$FG$14,1,DB112),0,1-INDEX('Lease Cycles'!$EM$14:$ES$14,1,DB112)),IF(OR(INDEX('Lease Cycles'!$DY$14:$EE$14,1,DB112)=1,DB113&gt;0),1,1-INDEX('Lease Cycles'!$DD$14:$DJ$14,1,DB112))*((1-'Lease Cycles'!$AJ$14)*INDEX('Lease Cycles'!$FO$14:$FU$14,1,DB112)+(1-'Lease Cycles'!$BE$14)*(1-INDEX('Lease Cycles'!$FO$14:$FU$14,1,DB112)))),0)</f>
        <v>0.023450586264656615</v>
      </c>
      <c r="DC120" s="24">
        <f>IF(DC114=1,'Lease Cycles'!$D$14*IF(INDEX('Lease Cycles'!$EF$14:$EL$14,1,DC112)=1,(1-'Lease Cycles'!$AJ$14)*INDEX('Lease Cycles'!$EM$14:$ES$14,1,DC112)+(1-'Lease Cycles'!$BE$14)*IF(DC113&lt;INDEX('Lease Cycles'!$FA$14:$FG$14,1,DC112),0,1-INDEX('Lease Cycles'!$EM$14:$ES$14,1,DC112)),IF(OR(INDEX('Lease Cycles'!$DY$14:$EE$14,1,DC112)=1,DC113&gt;0),1,1-INDEX('Lease Cycles'!$DD$14:$DJ$14,1,DC112))*((1-'Lease Cycles'!$AJ$14)*INDEX('Lease Cycles'!$FO$14:$FU$14,1,DC112)+(1-'Lease Cycles'!$BE$14)*(1-INDEX('Lease Cycles'!$FO$14:$FU$14,1,DC112)))),0)</f>
        <v>0.023450586264656615</v>
      </c>
      <c r="DD120" s="24">
        <f>IF(DD114=1,'Lease Cycles'!$D$14*IF(INDEX('Lease Cycles'!$EF$14:$EL$14,1,DD112)=1,(1-'Lease Cycles'!$AJ$14)*INDEX('Lease Cycles'!$EM$14:$ES$14,1,DD112)+(1-'Lease Cycles'!$BE$14)*IF(DD113&lt;INDEX('Lease Cycles'!$FA$14:$FG$14,1,DD112),0,1-INDEX('Lease Cycles'!$EM$14:$ES$14,1,DD112)),IF(OR(INDEX('Lease Cycles'!$DY$14:$EE$14,1,DD112)=1,DD113&gt;0),1,1-INDEX('Lease Cycles'!$DD$14:$DJ$14,1,DD112))*((1-'Lease Cycles'!$AJ$14)*INDEX('Lease Cycles'!$FO$14:$FU$14,1,DD112)+(1-'Lease Cycles'!$BE$14)*(1-INDEX('Lease Cycles'!$FO$14:$FU$14,1,DD112)))),0)</f>
        <v>0.023450586264656615</v>
      </c>
      <c r="DE120" s="24">
        <f>IF(DE114=1,'Lease Cycles'!$D$14*IF(INDEX('Lease Cycles'!$EF$14:$EL$14,1,DE112)=1,(1-'Lease Cycles'!$AJ$14)*INDEX('Lease Cycles'!$EM$14:$ES$14,1,DE112)+(1-'Lease Cycles'!$BE$14)*IF(DE113&lt;INDEX('Lease Cycles'!$FA$14:$FG$14,1,DE112),0,1-INDEX('Lease Cycles'!$EM$14:$ES$14,1,DE112)),IF(OR(INDEX('Lease Cycles'!$DY$14:$EE$14,1,DE112)=1,DE113&gt;0),1,1-INDEX('Lease Cycles'!$DD$14:$DJ$14,1,DE112))*((1-'Lease Cycles'!$AJ$14)*INDEX('Lease Cycles'!$FO$14:$FU$14,1,DE112)+(1-'Lease Cycles'!$BE$14)*(1-INDEX('Lease Cycles'!$FO$14:$FU$14,1,DE112)))),0)</f>
        <v>0.023450586264656615</v>
      </c>
      <c r="DF120" s="24">
        <f>IF(DF114=1,'Lease Cycles'!$D$14*IF(INDEX('Lease Cycles'!$EF$14:$EL$14,1,DF112)=1,(1-'Lease Cycles'!$AJ$14)*INDEX('Lease Cycles'!$EM$14:$ES$14,1,DF112)+(1-'Lease Cycles'!$BE$14)*IF(DF113&lt;INDEX('Lease Cycles'!$FA$14:$FG$14,1,DF112),0,1-INDEX('Lease Cycles'!$EM$14:$ES$14,1,DF112)),IF(OR(INDEX('Lease Cycles'!$DY$14:$EE$14,1,DF112)=1,DF113&gt;0),1,1-INDEX('Lease Cycles'!$DD$14:$DJ$14,1,DF112))*((1-'Lease Cycles'!$AJ$14)*INDEX('Lease Cycles'!$FO$14:$FU$14,1,DF112)+(1-'Lease Cycles'!$BE$14)*(1-INDEX('Lease Cycles'!$FO$14:$FU$14,1,DF112)))),0)</f>
        <v>0.023450586264656615</v>
      </c>
      <c r="DG120" s="24">
        <f>IF(DG114=1,'Lease Cycles'!$D$14*IF(INDEX('Lease Cycles'!$EF$14:$EL$14,1,DG112)=1,(1-'Lease Cycles'!$AJ$14)*INDEX('Lease Cycles'!$EM$14:$ES$14,1,DG112)+(1-'Lease Cycles'!$BE$14)*IF(DG113&lt;INDEX('Lease Cycles'!$FA$14:$FG$14,1,DG112),0,1-INDEX('Lease Cycles'!$EM$14:$ES$14,1,DG112)),IF(OR(INDEX('Lease Cycles'!$DY$14:$EE$14,1,DG112)=1,DG113&gt;0),1,1-INDEX('Lease Cycles'!$DD$14:$DJ$14,1,DG112))*((1-'Lease Cycles'!$AJ$14)*INDEX('Lease Cycles'!$FO$14:$FU$14,1,DG112)+(1-'Lease Cycles'!$BE$14)*(1-INDEX('Lease Cycles'!$FO$14:$FU$14,1,DG112)))),0)</f>
        <v>0.023450586264656615</v>
      </c>
      <c r="DH120" s="24">
        <f>IF(DH114=1,'Lease Cycles'!$D$14*IF(INDEX('Lease Cycles'!$EF$14:$EL$14,1,DH112)=1,(1-'Lease Cycles'!$AJ$14)*INDEX('Lease Cycles'!$EM$14:$ES$14,1,DH112)+(1-'Lease Cycles'!$BE$14)*IF(DH113&lt;INDEX('Lease Cycles'!$FA$14:$FG$14,1,DH112),0,1-INDEX('Lease Cycles'!$EM$14:$ES$14,1,DH112)),IF(OR(INDEX('Lease Cycles'!$DY$14:$EE$14,1,DH112)=1,DH113&gt;0),1,1-INDEX('Lease Cycles'!$DD$14:$DJ$14,1,DH112))*((1-'Lease Cycles'!$AJ$14)*INDEX('Lease Cycles'!$FO$14:$FU$14,1,DH112)+(1-'Lease Cycles'!$BE$14)*(1-INDEX('Lease Cycles'!$FO$14:$FU$14,1,DH112)))),0)</f>
        <v>0.023450586264656615</v>
      </c>
      <c r="DI120" s="24">
        <f>IF(DI114=1,'Lease Cycles'!$D$14*IF(INDEX('Lease Cycles'!$EF$14:$EL$14,1,DI112)=1,(1-'Lease Cycles'!$AJ$14)*INDEX('Lease Cycles'!$EM$14:$ES$14,1,DI112)+(1-'Lease Cycles'!$BE$14)*IF(DI113&lt;INDEX('Lease Cycles'!$FA$14:$FG$14,1,DI112),0,1-INDEX('Lease Cycles'!$EM$14:$ES$14,1,DI112)),IF(OR(INDEX('Lease Cycles'!$DY$14:$EE$14,1,DI112)=1,DI113&gt;0),1,1-INDEX('Lease Cycles'!$DD$14:$DJ$14,1,DI112))*((1-'Lease Cycles'!$AJ$14)*INDEX('Lease Cycles'!$FO$14:$FU$14,1,DI112)+(1-'Lease Cycles'!$BE$14)*(1-INDEX('Lease Cycles'!$FO$14:$FU$14,1,DI112)))),0)</f>
        <v>0.023450586264656615</v>
      </c>
      <c r="DJ120" s="24">
        <f>IF(DJ114=1,'Lease Cycles'!$D$14*IF(INDEX('Lease Cycles'!$EF$14:$EL$14,1,DJ112)=1,(1-'Lease Cycles'!$AJ$14)*INDEX('Lease Cycles'!$EM$14:$ES$14,1,DJ112)+(1-'Lease Cycles'!$BE$14)*IF(DJ113&lt;INDEX('Lease Cycles'!$FA$14:$FG$14,1,DJ112),0,1-INDEX('Lease Cycles'!$EM$14:$ES$14,1,DJ112)),IF(OR(INDEX('Lease Cycles'!$DY$14:$EE$14,1,DJ112)=1,DJ113&gt;0),1,1-INDEX('Lease Cycles'!$DD$14:$DJ$14,1,DJ112))*((1-'Lease Cycles'!$AJ$14)*INDEX('Lease Cycles'!$FO$14:$FU$14,1,DJ112)+(1-'Lease Cycles'!$BE$14)*(1-INDEX('Lease Cycles'!$FO$14:$FU$14,1,DJ112)))),0)</f>
        <v>0.023450586264656615</v>
      </c>
      <c r="DK120" s="24">
        <f>IF(DK114=1,'Lease Cycles'!$D$14*IF(INDEX('Lease Cycles'!$EF$14:$EL$14,1,DK112)=1,(1-'Lease Cycles'!$AJ$14)*INDEX('Lease Cycles'!$EM$14:$ES$14,1,DK112)+(1-'Lease Cycles'!$BE$14)*IF(DK113&lt;INDEX('Lease Cycles'!$FA$14:$FG$14,1,DK112),0,1-INDEX('Lease Cycles'!$EM$14:$ES$14,1,DK112)),IF(OR(INDEX('Lease Cycles'!$DY$14:$EE$14,1,DK112)=1,DK113&gt;0),1,1-INDEX('Lease Cycles'!$DD$14:$DJ$14,1,DK112))*((1-'Lease Cycles'!$AJ$14)*INDEX('Lease Cycles'!$FO$14:$FU$14,1,DK112)+(1-'Lease Cycles'!$BE$14)*(1-INDEX('Lease Cycles'!$FO$14:$FU$14,1,DK112)))),0)</f>
        <v>0.023450586264656615</v>
      </c>
      <c r="DL120" s="24">
        <f>IF(DL114=1,'Lease Cycles'!$D$14*IF(INDEX('Lease Cycles'!$EF$14:$EL$14,1,DL112)=1,(1-'Lease Cycles'!$AJ$14)*INDEX('Lease Cycles'!$EM$14:$ES$14,1,DL112)+(1-'Lease Cycles'!$BE$14)*IF(DL113&lt;INDEX('Lease Cycles'!$FA$14:$FG$14,1,DL112),0,1-INDEX('Lease Cycles'!$EM$14:$ES$14,1,DL112)),IF(OR(INDEX('Lease Cycles'!$DY$14:$EE$14,1,DL112)=1,DL113&gt;0),1,1-INDEX('Lease Cycles'!$DD$14:$DJ$14,1,DL112))*((1-'Lease Cycles'!$AJ$14)*INDEX('Lease Cycles'!$FO$14:$FU$14,1,DL112)+(1-'Lease Cycles'!$BE$14)*(1-INDEX('Lease Cycles'!$FO$14:$FU$14,1,DL112)))),0)</f>
        <v>0.023450586264656615</v>
      </c>
      <c r="DM120" s="24">
        <f>IF(DM114=1,'Lease Cycles'!$D$14*IF(INDEX('Lease Cycles'!$EF$14:$EL$14,1,DM112)=1,(1-'Lease Cycles'!$AJ$14)*INDEX('Lease Cycles'!$EM$14:$ES$14,1,DM112)+(1-'Lease Cycles'!$BE$14)*IF(DM113&lt;INDEX('Lease Cycles'!$FA$14:$FG$14,1,DM112),0,1-INDEX('Lease Cycles'!$EM$14:$ES$14,1,DM112)),IF(OR(INDEX('Lease Cycles'!$DY$14:$EE$14,1,DM112)=1,DM113&gt;0),1,1-INDEX('Lease Cycles'!$DD$14:$DJ$14,1,DM112))*((1-'Lease Cycles'!$AJ$14)*INDEX('Lease Cycles'!$FO$14:$FU$14,1,DM112)+(1-'Lease Cycles'!$BE$14)*(1-INDEX('Lease Cycles'!$FO$14:$FU$14,1,DM112)))),0)</f>
        <v>0.023450586264656615</v>
      </c>
      <c r="DN120" s="24">
        <f>IF(DN114=1,'Lease Cycles'!$D$14*IF(INDEX('Lease Cycles'!$EF$14:$EL$14,1,DN112)=1,(1-'Lease Cycles'!$AJ$14)*INDEX('Lease Cycles'!$EM$14:$ES$14,1,DN112)+(1-'Lease Cycles'!$BE$14)*IF(DN113&lt;INDEX('Lease Cycles'!$FA$14:$FG$14,1,DN112),0,1-INDEX('Lease Cycles'!$EM$14:$ES$14,1,DN112)),IF(OR(INDEX('Lease Cycles'!$DY$14:$EE$14,1,DN112)=1,DN113&gt;0),1,1-INDEX('Lease Cycles'!$DD$14:$DJ$14,1,DN112))*((1-'Lease Cycles'!$AJ$14)*INDEX('Lease Cycles'!$FO$14:$FU$14,1,DN112)+(1-'Lease Cycles'!$BE$14)*(1-INDEX('Lease Cycles'!$FO$14:$FU$14,1,DN112)))),0)</f>
        <v>0.023450586264656615</v>
      </c>
      <c r="DO120" s="24">
        <f>IF(DO114=1,'Lease Cycles'!$D$14*IF(INDEX('Lease Cycles'!$EF$14:$EL$14,1,DO112)=1,(1-'Lease Cycles'!$AJ$14)*INDEX('Lease Cycles'!$EM$14:$ES$14,1,DO112)+(1-'Lease Cycles'!$BE$14)*IF(DO113&lt;INDEX('Lease Cycles'!$FA$14:$FG$14,1,DO112),0,1-INDEX('Lease Cycles'!$EM$14:$ES$14,1,DO112)),IF(OR(INDEX('Lease Cycles'!$DY$14:$EE$14,1,DO112)=1,DO113&gt;0),1,1-INDEX('Lease Cycles'!$DD$14:$DJ$14,1,DO112))*((1-'Lease Cycles'!$AJ$14)*INDEX('Lease Cycles'!$FO$14:$FU$14,1,DO112)+(1-'Lease Cycles'!$BE$14)*(1-INDEX('Lease Cycles'!$FO$14:$FU$14,1,DO112)))),0)</f>
        <v>0.023450586264656615</v>
      </c>
      <c r="DP120" s="24">
        <f>IF(DP114=1,'Lease Cycles'!$D$14*IF(INDEX('Lease Cycles'!$EF$14:$EL$14,1,DP112)=1,(1-'Lease Cycles'!$AJ$14)*INDEX('Lease Cycles'!$EM$14:$ES$14,1,DP112)+(1-'Lease Cycles'!$BE$14)*IF(DP113&lt;INDEX('Lease Cycles'!$FA$14:$FG$14,1,DP112),0,1-INDEX('Lease Cycles'!$EM$14:$ES$14,1,DP112)),IF(OR(INDEX('Lease Cycles'!$DY$14:$EE$14,1,DP112)=1,DP113&gt;0),1,1-INDEX('Lease Cycles'!$DD$14:$DJ$14,1,DP112))*((1-'Lease Cycles'!$AJ$14)*INDEX('Lease Cycles'!$FO$14:$FU$14,1,DP112)+(1-'Lease Cycles'!$BE$14)*(1-INDEX('Lease Cycles'!$FO$14:$FU$14,1,DP112)))),0)</f>
        <v>0.023450586264656615</v>
      </c>
      <c r="DQ120" s="24">
        <f>IF(DQ114=1,'Lease Cycles'!$D$14*IF(INDEX('Lease Cycles'!$EF$14:$EL$14,1,DQ112)=1,(1-'Lease Cycles'!$AJ$14)*INDEX('Lease Cycles'!$EM$14:$ES$14,1,DQ112)+(1-'Lease Cycles'!$BE$14)*IF(DQ113&lt;INDEX('Lease Cycles'!$FA$14:$FG$14,1,DQ112),0,1-INDEX('Lease Cycles'!$EM$14:$ES$14,1,DQ112)),IF(OR(INDEX('Lease Cycles'!$DY$14:$EE$14,1,DQ112)=1,DQ113&gt;0),1,1-INDEX('Lease Cycles'!$DD$14:$DJ$14,1,DQ112))*((1-'Lease Cycles'!$AJ$14)*INDEX('Lease Cycles'!$FO$14:$FU$14,1,DQ112)+(1-'Lease Cycles'!$BE$14)*(1-INDEX('Lease Cycles'!$FO$14:$FU$14,1,DQ112)))),0)</f>
        <v>0.023450586264656615</v>
      </c>
      <c r="DR120" s="24">
        <f>IF(DR114=1,'Lease Cycles'!$D$14*IF(INDEX('Lease Cycles'!$EF$14:$EL$14,1,DR112)=1,(1-'Lease Cycles'!$AJ$14)*INDEX('Lease Cycles'!$EM$14:$ES$14,1,DR112)+(1-'Lease Cycles'!$BE$14)*IF(DR113&lt;INDEX('Lease Cycles'!$FA$14:$FG$14,1,DR112),0,1-INDEX('Lease Cycles'!$EM$14:$ES$14,1,DR112)),IF(OR(INDEX('Lease Cycles'!$DY$14:$EE$14,1,DR112)=1,DR113&gt;0),1,1-INDEX('Lease Cycles'!$DD$14:$DJ$14,1,DR112))*((1-'Lease Cycles'!$AJ$14)*INDEX('Lease Cycles'!$FO$14:$FU$14,1,DR112)+(1-'Lease Cycles'!$BE$14)*(1-INDEX('Lease Cycles'!$FO$14:$FU$14,1,DR112)))),0)</f>
        <v>0.023450586264656615</v>
      </c>
      <c r="DS120" s="24">
        <f>IF(DS114=1,'Lease Cycles'!$D$14*IF(INDEX('Lease Cycles'!$EF$14:$EL$14,1,DS112)=1,(1-'Lease Cycles'!$AJ$14)*INDEX('Lease Cycles'!$EM$14:$ES$14,1,DS112)+(1-'Lease Cycles'!$BE$14)*IF(DS113&lt;INDEX('Lease Cycles'!$FA$14:$FG$14,1,DS112),0,1-INDEX('Lease Cycles'!$EM$14:$ES$14,1,DS112)),IF(OR(INDEX('Lease Cycles'!$DY$14:$EE$14,1,DS112)=1,DS113&gt;0),1,1-INDEX('Lease Cycles'!$DD$14:$DJ$14,1,DS112))*((1-'Lease Cycles'!$AJ$14)*INDEX('Lease Cycles'!$FO$14:$FU$14,1,DS112)+(1-'Lease Cycles'!$BE$14)*(1-INDEX('Lease Cycles'!$FO$14:$FU$14,1,DS112)))),0)</f>
        <v>0.023450586264656615</v>
      </c>
      <c r="DT120" s="24">
        <f>IF(DT114=1,'Lease Cycles'!$D$14*IF(INDEX('Lease Cycles'!$EF$14:$EL$14,1,DT112)=1,(1-'Lease Cycles'!$AJ$14)*INDEX('Lease Cycles'!$EM$14:$ES$14,1,DT112)+(1-'Lease Cycles'!$BE$14)*IF(DT113&lt;INDEX('Lease Cycles'!$FA$14:$FG$14,1,DT112),0,1-INDEX('Lease Cycles'!$EM$14:$ES$14,1,DT112)),IF(OR(INDEX('Lease Cycles'!$DY$14:$EE$14,1,DT112)=1,DT113&gt;0),1,1-INDEX('Lease Cycles'!$DD$14:$DJ$14,1,DT112))*((1-'Lease Cycles'!$AJ$14)*INDEX('Lease Cycles'!$FO$14:$FU$14,1,DT112)+(1-'Lease Cycles'!$BE$14)*(1-INDEX('Lease Cycles'!$FO$14:$FU$14,1,DT112)))),0)</f>
        <v>0.023450586264656615</v>
      </c>
      <c r="DU120" s="24">
        <f>IF(DU114=1,'Lease Cycles'!$D$14*IF(INDEX('Lease Cycles'!$EF$14:$EL$14,1,DU112)=1,(1-'Lease Cycles'!$AJ$14)*INDEX('Lease Cycles'!$EM$14:$ES$14,1,DU112)+(1-'Lease Cycles'!$BE$14)*IF(DU113&lt;INDEX('Lease Cycles'!$FA$14:$FG$14,1,DU112),0,1-INDEX('Lease Cycles'!$EM$14:$ES$14,1,DU112)),IF(OR(INDEX('Lease Cycles'!$DY$14:$EE$14,1,DU112)=1,DU113&gt;0),1,1-INDEX('Lease Cycles'!$DD$14:$DJ$14,1,DU112))*((1-'Lease Cycles'!$AJ$14)*INDEX('Lease Cycles'!$FO$14:$FU$14,1,DU112)+(1-'Lease Cycles'!$BE$14)*(1-INDEX('Lease Cycles'!$FO$14:$FU$14,1,DU112)))),0)</f>
        <v>0.023450586264656615</v>
      </c>
      <c r="DV120" s="24">
        <f>IF(DV114=1,'Lease Cycles'!$D$14*IF(INDEX('Lease Cycles'!$EF$14:$EL$14,1,DV112)=1,(1-'Lease Cycles'!$AJ$14)*INDEX('Lease Cycles'!$EM$14:$ES$14,1,DV112)+(1-'Lease Cycles'!$BE$14)*IF(DV113&lt;INDEX('Lease Cycles'!$FA$14:$FG$14,1,DV112),0,1-INDEX('Lease Cycles'!$EM$14:$ES$14,1,DV112)),IF(OR(INDEX('Lease Cycles'!$DY$14:$EE$14,1,DV112)=1,DV113&gt;0),1,1-INDEX('Lease Cycles'!$DD$14:$DJ$14,1,DV112))*((1-'Lease Cycles'!$AJ$14)*INDEX('Lease Cycles'!$FO$14:$FU$14,1,DV112)+(1-'Lease Cycles'!$BE$14)*(1-INDEX('Lease Cycles'!$FO$14:$FU$14,1,DV112)))),0)</f>
        <v>0.023450586264656615</v>
      </c>
      <c r="DW120" s="24">
        <f>IF(DW114=1,'Lease Cycles'!$D$14*IF(INDEX('Lease Cycles'!$EF$14:$EL$14,1,DW112)=1,(1-'Lease Cycles'!$AJ$14)*INDEX('Lease Cycles'!$EM$14:$ES$14,1,DW112)+(1-'Lease Cycles'!$BE$14)*IF(DW113&lt;INDEX('Lease Cycles'!$FA$14:$FG$14,1,DW112),0,1-INDEX('Lease Cycles'!$EM$14:$ES$14,1,DW112)),IF(OR(INDEX('Lease Cycles'!$DY$14:$EE$14,1,DW112)=1,DW113&gt;0),1,1-INDEX('Lease Cycles'!$DD$14:$DJ$14,1,DW112))*((1-'Lease Cycles'!$AJ$14)*INDEX('Lease Cycles'!$FO$14:$FU$14,1,DW112)+(1-'Lease Cycles'!$BE$14)*(1-INDEX('Lease Cycles'!$FO$14:$FU$14,1,DW112)))),0)</f>
        <v>0.023450586264656615</v>
      </c>
      <c r="DX120" s="24">
        <f>IF(DX114=1,'Lease Cycles'!$D$14*IF(INDEX('Lease Cycles'!$EF$14:$EL$14,1,DX112)=1,(1-'Lease Cycles'!$AJ$14)*INDEX('Lease Cycles'!$EM$14:$ES$14,1,DX112)+(1-'Lease Cycles'!$BE$14)*IF(DX113&lt;INDEX('Lease Cycles'!$FA$14:$FG$14,1,DX112),0,1-INDEX('Lease Cycles'!$EM$14:$ES$14,1,DX112)),IF(OR(INDEX('Lease Cycles'!$DY$14:$EE$14,1,DX112)=1,DX113&gt;0),1,1-INDEX('Lease Cycles'!$DD$14:$DJ$14,1,DX112))*((1-'Lease Cycles'!$AJ$14)*INDEX('Lease Cycles'!$FO$14:$FU$14,1,DX112)+(1-'Lease Cycles'!$BE$14)*(1-INDEX('Lease Cycles'!$FO$14:$FU$14,1,DX112)))),0)</f>
        <v>0.023450586264656615</v>
      </c>
      <c r="DY120" s="24">
        <f>IF(DY114=1,'Lease Cycles'!$D$14*IF(INDEX('Lease Cycles'!$EF$14:$EL$14,1,DY112)=1,(1-'Lease Cycles'!$AJ$14)*INDEX('Lease Cycles'!$EM$14:$ES$14,1,DY112)+(1-'Lease Cycles'!$BE$14)*IF(DY113&lt;INDEX('Lease Cycles'!$FA$14:$FG$14,1,DY112),0,1-INDEX('Lease Cycles'!$EM$14:$ES$14,1,DY112)),IF(OR(INDEX('Lease Cycles'!$DY$14:$EE$14,1,DY112)=1,DY113&gt;0),1,1-INDEX('Lease Cycles'!$DD$14:$DJ$14,1,DY112))*((1-'Lease Cycles'!$AJ$14)*INDEX('Lease Cycles'!$FO$14:$FU$14,1,DY112)+(1-'Lease Cycles'!$BE$14)*(1-INDEX('Lease Cycles'!$FO$14:$FU$14,1,DY112)))),0)</f>
        <v>0.023450586264656615</v>
      </c>
      <c r="DZ120" s="24">
        <f>IF(DZ114=1,'Lease Cycles'!$D$14*IF(INDEX('Lease Cycles'!$EF$14:$EL$14,1,DZ112)=1,(1-'Lease Cycles'!$AJ$14)*INDEX('Lease Cycles'!$EM$14:$ES$14,1,DZ112)+(1-'Lease Cycles'!$BE$14)*IF(DZ113&lt;INDEX('Lease Cycles'!$FA$14:$FG$14,1,DZ112),0,1-INDEX('Lease Cycles'!$EM$14:$ES$14,1,DZ112)),IF(OR(INDEX('Lease Cycles'!$DY$14:$EE$14,1,DZ112)=1,DZ113&gt;0),1,1-INDEX('Lease Cycles'!$DD$14:$DJ$14,1,DZ112))*((1-'Lease Cycles'!$AJ$14)*INDEX('Lease Cycles'!$FO$14:$FU$14,1,DZ112)+(1-'Lease Cycles'!$BE$14)*(1-INDEX('Lease Cycles'!$FO$14:$FU$14,1,DZ112)))),0)</f>
        <v>0.023450586264656615</v>
      </c>
      <c r="EA120" s="24">
        <f>IF(EA114=1,'Lease Cycles'!$D$14*IF(INDEX('Lease Cycles'!$EF$14:$EL$14,1,EA112)=1,(1-'Lease Cycles'!$AJ$14)*INDEX('Lease Cycles'!$EM$14:$ES$14,1,EA112)+(1-'Lease Cycles'!$BE$14)*IF(EA113&lt;INDEX('Lease Cycles'!$FA$14:$FG$14,1,EA112),0,1-INDEX('Lease Cycles'!$EM$14:$ES$14,1,EA112)),IF(OR(INDEX('Lease Cycles'!$DY$14:$EE$14,1,EA112)=1,EA113&gt;0),1,1-INDEX('Lease Cycles'!$DD$14:$DJ$14,1,EA112))*((1-'Lease Cycles'!$AJ$14)*INDEX('Lease Cycles'!$FO$14:$FU$14,1,EA112)+(1-'Lease Cycles'!$BE$14)*(1-INDEX('Lease Cycles'!$FO$14:$FU$14,1,EA112)))),0)</f>
        <v>0.023450586264656615</v>
      </c>
      <c r="EB120" s="24">
        <f>IF(EB114=1,'Lease Cycles'!$D$14*IF(INDEX('Lease Cycles'!$EF$14:$EL$14,1,EB112)=1,(1-'Lease Cycles'!$AJ$14)*INDEX('Lease Cycles'!$EM$14:$ES$14,1,EB112)+(1-'Lease Cycles'!$BE$14)*IF(EB113&lt;INDEX('Lease Cycles'!$FA$14:$FG$14,1,EB112),0,1-INDEX('Lease Cycles'!$EM$14:$ES$14,1,EB112)),IF(OR(INDEX('Lease Cycles'!$DY$14:$EE$14,1,EB112)=1,EB113&gt;0),1,1-INDEX('Lease Cycles'!$DD$14:$DJ$14,1,EB112))*((1-'Lease Cycles'!$AJ$14)*INDEX('Lease Cycles'!$FO$14:$FU$14,1,EB112)+(1-'Lease Cycles'!$BE$14)*(1-INDEX('Lease Cycles'!$FO$14:$FU$14,1,EB112)))),0)</f>
        <v>0.023450586264656615</v>
      </c>
      <c r="EC120" s="24">
        <f>IF(EC114=1,'Lease Cycles'!$D$14*IF(INDEX('Lease Cycles'!$EF$14:$EL$14,1,EC112)=1,(1-'Lease Cycles'!$AJ$14)*INDEX('Lease Cycles'!$EM$14:$ES$14,1,EC112)+(1-'Lease Cycles'!$BE$14)*IF(EC113&lt;INDEX('Lease Cycles'!$FA$14:$FG$14,1,EC112),0,1-INDEX('Lease Cycles'!$EM$14:$ES$14,1,EC112)),IF(OR(INDEX('Lease Cycles'!$DY$14:$EE$14,1,EC112)=1,EC113&gt;0),1,1-INDEX('Lease Cycles'!$DD$14:$DJ$14,1,EC112))*((1-'Lease Cycles'!$AJ$14)*INDEX('Lease Cycles'!$FO$14:$FU$14,1,EC112)+(1-'Lease Cycles'!$BE$14)*(1-INDEX('Lease Cycles'!$FO$14:$FU$14,1,EC112)))),0)</f>
        <v>0.023450586264656615</v>
      </c>
      <c r="ED120" s="24">
        <f>IF(ED114=1,'Lease Cycles'!$D$14*IF(INDEX('Lease Cycles'!$EF$14:$EL$14,1,ED112)=1,(1-'Lease Cycles'!$AJ$14)*INDEX('Lease Cycles'!$EM$14:$ES$14,1,ED112)+(1-'Lease Cycles'!$BE$14)*IF(ED113&lt;INDEX('Lease Cycles'!$FA$14:$FG$14,1,ED112),0,1-INDEX('Lease Cycles'!$EM$14:$ES$14,1,ED112)),IF(OR(INDEX('Lease Cycles'!$DY$14:$EE$14,1,ED112)=1,ED113&gt;0),1,1-INDEX('Lease Cycles'!$DD$14:$DJ$14,1,ED112))*((1-'Lease Cycles'!$AJ$14)*INDEX('Lease Cycles'!$FO$14:$FU$14,1,ED112)+(1-'Lease Cycles'!$BE$14)*(1-INDEX('Lease Cycles'!$FO$14:$FU$14,1,ED112)))),0)</f>
        <v>0</v>
      </c>
      <c r="EE120" s="24">
        <f>IF(EE114=1,'Lease Cycles'!$D$14*IF(INDEX('Lease Cycles'!$EF$14:$EL$14,1,EE112)=1,(1-'Lease Cycles'!$AJ$14)*INDEX('Lease Cycles'!$EM$14:$ES$14,1,EE112)+(1-'Lease Cycles'!$BE$14)*IF(EE113&lt;INDEX('Lease Cycles'!$FA$14:$FG$14,1,EE112),0,1-INDEX('Lease Cycles'!$EM$14:$ES$14,1,EE112)),IF(OR(INDEX('Lease Cycles'!$DY$14:$EE$14,1,EE112)=1,EE113&gt;0),1,1-INDEX('Lease Cycles'!$DD$14:$DJ$14,1,EE112))*((1-'Lease Cycles'!$AJ$14)*INDEX('Lease Cycles'!$FO$14:$FU$14,1,EE112)+(1-'Lease Cycles'!$BE$14)*(1-INDEX('Lease Cycles'!$FO$14:$FU$14,1,EE112)))),0)</f>
        <v>0.018760469011725227</v>
      </c>
      <c r="EF120" s="24">
        <f>IF(EF114=1,'Lease Cycles'!$D$14*IF(INDEX('Lease Cycles'!$EF$14:$EL$14,1,EF112)=1,(1-'Lease Cycles'!$AJ$14)*INDEX('Lease Cycles'!$EM$14:$ES$14,1,EF112)+(1-'Lease Cycles'!$BE$14)*IF(EF113&lt;INDEX('Lease Cycles'!$FA$14:$FG$14,1,EF112),0,1-INDEX('Lease Cycles'!$EM$14:$ES$14,1,EF112)),IF(OR(INDEX('Lease Cycles'!$DY$14:$EE$14,1,EF112)=1,EF113&gt;0),1,1-INDEX('Lease Cycles'!$DD$14:$DJ$14,1,EF112))*((1-'Lease Cycles'!$AJ$14)*INDEX('Lease Cycles'!$FO$14:$FU$14,1,EF112)+(1-'Lease Cycles'!$BE$14)*(1-INDEX('Lease Cycles'!$FO$14:$FU$14,1,EF112)))),0)</f>
        <v>0.023450586264656615</v>
      </c>
      <c r="EG120" s="24">
        <f>IF(EG114=1,'Lease Cycles'!$D$14*IF(INDEX('Lease Cycles'!$EF$14:$EL$14,1,EG112)=1,(1-'Lease Cycles'!$AJ$14)*INDEX('Lease Cycles'!$EM$14:$ES$14,1,EG112)+(1-'Lease Cycles'!$BE$14)*IF(EG113&lt;INDEX('Lease Cycles'!$FA$14:$FG$14,1,EG112),0,1-INDEX('Lease Cycles'!$EM$14:$ES$14,1,EG112)),IF(OR(INDEX('Lease Cycles'!$DY$14:$EE$14,1,EG112)=1,EG113&gt;0),1,1-INDEX('Lease Cycles'!$DD$14:$DJ$14,1,EG112))*((1-'Lease Cycles'!$AJ$14)*INDEX('Lease Cycles'!$FO$14:$FU$14,1,EG112)+(1-'Lease Cycles'!$BE$14)*(1-INDEX('Lease Cycles'!$FO$14:$FU$14,1,EG112)))),0)</f>
        <v>0.023450586264656615</v>
      </c>
      <c r="EH120" s="24">
        <f>IF(EH114=1,'Lease Cycles'!$D$14*IF(INDEX('Lease Cycles'!$EF$14:$EL$14,1,EH112)=1,(1-'Lease Cycles'!$AJ$14)*INDEX('Lease Cycles'!$EM$14:$ES$14,1,EH112)+(1-'Lease Cycles'!$BE$14)*IF(EH113&lt;INDEX('Lease Cycles'!$FA$14:$FG$14,1,EH112),0,1-INDEX('Lease Cycles'!$EM$14:$ES$14,1,EH112)),IF(OR(INDEX('Lease Cycles'!$DY$14:$EE$14,1,EH112)=1,EH113&gt;0),1,1-INDEX('Lease Cycles'!$DD$14:$DJ$14,1,EH112))*((1-'Lease Cycles'!$AJ$14)*INDEX('Lease Cycles'!$FO$14:$FU$14,1,EH112)+(1-'Lease Cycles'!$BE$14)*(1-INDEX('Lease Cycles'!$FO$14:$FU$14,1,EH112)))),0)</f>
        <v>0.023450586264656615</v>
      </c>
      <c r="EI120" s="24">
        <f>IF(EI114=1,'Lease Cycles'!$D$14*IF(INDEX('Lease Cycles'!$EF$14:$EL$14,1,EI112)=1,(1-'Lease Cycles'!$AJ$14)*INDEX('Lease Cycles'!$EM$14:$ES$14,1,EI112)+(1-'Lease Cycles'!$BE$14)*IF(EI113&lt;INDEX('Lease Cycles'!$FA$14:$FG$14,1,EI112),0,1-INDEX('Lease Cycles'!$EM$14:$ES$14,1,EI112)),IF(OR(INDEX('Lease Cycles'!$DY$14:$EE$14,1,EI112)=1,EI113&gt;0),1,1-INDEX('Lease Cycles'!$DD$14:$DJ$14,1,EI112))*((1-'Lease Cycles'!$AJ$14)*INDEX('Lease Cycles'!$FO$14:$FU$14,1,EI112)+(1-'Lease Cycles'!$BE$14)*(1-INDEX('Lease Cycles'!$FO$14:$FU$14,1,EI112)))),0)</f>
        <v>0.023450586264656615</v>
      </c>
      <c r="EJ120" s="24">
        <f>IF(EJ114=1,'Lease Cycles'!$D$14*IF(INDEX('Lease Cycles'!$EF$14:$EL$14,1,EJ112)=1,(1-'Lease Cycles'!$AJ$14)*INDEX('Lease Cycles'!$EM$14:$ES$14,1,EJ112)+(1-'Lease Cycles'!$BE$14)*IF(EJ113&lt;INDEX('Lease Cycles'!$FA$14:$FG$14,1,EJ112),0,1-INDEX('Lease Cycles'!$EM$14:$ES$14,1,EJ112)),IF(OR(INDEX('Lease Cycles'!$DY$14:$EE$14,1,EJ112)=1,EJ113&gt;0),1,1-INDEX('Lease Cycles'!$DD$14:$DJ$14,1,EJ112))*((1-'Lease Cycles'!$AJ$14)*INDEX('Lease Cycles'!$FO$14:$FU$14,1,EJ112)+(1-'Lease Cycles'!$BE$14)*(1-INDEX('Lease Cycles'!$FO$14:$FU$14,1,EJ112)))),0)</f>
        <v>0.023450586264656615</v>
      </c>
      <c r="EK120" s="24">
        <f>IF(EK114=1,'Lease Cycles'!$D$14*IF(INDEX('Lease Cycles'!$EF$14:$EL$14,1,EK112)=1,(1-'Lease Cycles'!$AJ$14)*INDEX('Lease Cycles'!$EM$14:$ES$14,1,EK112)+(1-'Lease Cycles'!$BE$14)*IF(EK113&lt;INDEX('Lease Cycles'!$FA$14:$FG$14,1,EK112),0,1-INDEX('Lease Cycles'!$EM$14:$ES$14,1,EK112)),IF(OR(INDEX('Lease Cycles'!$DY$14:$EE$14,1,EK112)=1,EK113&gt;0),1,1-INDEX('Lease Cycles'!$DD$14:$DJ$14,1,EK112))*((1-'Lease Cycles'!$AJ$14)*INDEX('Lease Cycles'!$FO$14:$FU$14,1,EK112)+(1-'Lease Cycles'!$BE$14)*(1-INDEX('Lease Cycles'!$FO$14:$FU$14,1,EK112)))),0)</f>
        <v>0.023450586264656615</v>
      </c>
      <c r="EL120" s="24">
        <f>IF(EL114=1,'Lease Cycles'!$D$14*IF(INDEX('Lease Cycles'!$EF$14:$EL$14,1,EL112)=1,(1-'Lease Cycles'!$AJ$14)*INDEX('Lease Cycles'!$EM$14:$ES$14,1,EL112)+(1-'Lease Cycles'!$BE$14)*IF(EL113&lt;INDEX('Lease Cycles'!$FA$14:$FG$14,1,EL112),0,1-INDEX('Lease Cycles'!$EM$14:$ES$14,1,EL112)),IF(OR(INDEX('Lease Cycles'!$DY$14:$EE$14,1,EL112)=1,EL113&gt;0),1,1-INDEX('Lease Cycles'!$DD$14:$DJ$14,1,EL112))*((1-'Lease Cycles'!$AJ$14)*INDEX('Lease Cycles'!$FO$14:$FU$14,1,EL112)+(1-'Lease Cycles'!$BE$14)*(1-INDEX('Lease Cycles'!$FO$14:$FU$14,1,EL112)))),0)</f>
        <v>0.023450586264656615</v>
      </c>
      <c r="EM120" s="24">
        <f>IF(EM114=1,'Lease Cycles'!$D$14*IF(INDEX('Lease Cycles'!$EF$14:$EL$14,1,EM112)=1,(1-'Lease Cycles'!$AJ$14)*INDEX('Lease Cycles'!$EM$14:$ES$14,1,EM112)+(1-'Lease Cycles'!$BE$14)*IF(EM113&lt;INDEX('Lease Cycles'!$FA$14:$FG$14,1,EM112),0,1-INDEX('Lease Cycles'!$EM$14:$ES$14,1,EM112)),IF(OR(INDEX('Lease Cycles'!$DY$14:$EE$14,1,EM112)=1,EM113&gt;0),1,1-INDEX('Lease Cycles'!$DD$14:$DJ$14,1,EM112))*((1-'Lease Cycles'!$AJ$14)*INDEX('Lease Cycles'!$FO$14:$FU$14,1,EM112)+(1-'Lease Cycles'!$BE$14)*(1-INDEX('Lease Cycles'!$FO$14:$FU$14,1,EM112)))),0)</f>
        <v>0.023450586264656615</v>
      </c>
      <c r="EN120" s="24">
        <f>IF(EN114=1,'Lease Cycles'!$D$14*IF(INDEX('Lease Cycles'!$EF$14:$EL$14,1,EN112)=1,(1-'Lease Cycles'!$AJ$14)*INDEX('Lease Cycles'!$EM$14:$ES$14,1,EN112)+(1-'Lease Cycles'!$BE$14)*IF(EN113&lt;INDEX('Lease Cycles'!$FA$14:$FG$14,1,EN112),0,1-INDEX('Lease Cycles'!$EM$14:$ES$14,1,EN112)),IF(OR(INDEX('Lease Cycles'!$DY$14:$EE$14,1,EN112)=1,EN113&gt;0),1,1-INDEX('Lease Cycles'!$DD$14:$DJ$14,1,EN112))*((1-'Lease Cycles'!$AJ$14)*INDEX('Lease Cycles'!$FO$14:$FU$14,1,EN112)+(1-'Lease Cycles'!$BE$14)*(1-INDEX('Lease Cycles'!$FO$14:$FU$14,1,EN112)))),0)</f>
        <v>0.023450586264656615</v>
      </c>
      <c r="EO120" s="24">
        <f>IF(EO114=1,'Lease Cycles'!$D$14*IF(INDEX('Lease Cycles'!$EF$14:$EL$14,1,EO112)=1,(1-'Lease Cycles'!$AJ$14)*INDEX('Lease Cycles'!$EM$14:$ES$14,1,EO112)+(1-'Lease Cycles'!$BE$14)*IF(EO113&lt;INDEX('Lease Cycles'!$FA$14:$FG$14,1,EO112),0,1-INDEX('Lease Cycles'!$EM$14:$ES$14,1,EO112)),IF(OR(INDEX('Lease Cycles'!$DY$14:$EE$14,1,EO112)=1,EO113&gt;0),1,1-INDEX('Lease Cycles'!$DD$14:$DJ$14,1,EO112))*((1-'Lease Cycles'!$AJ$14)*INDEX('Lease Cycles'!$FO$14:$FU$14,1,EO112)+(1-'Lease Cycles'!$BE$14)*(1-INDEX('Lease Cycles'!$FO$14:$FU$14,1,EO112)))),0)</f>
        <v>0.023450586264656615</v>
      </c>
      <c r="EP120" s="24">
        <f>IF(EP114=1,'Lease Cycles'!$D$14*IF(INDEX('Lease Cycles'!$EF$14:$EL$14,1,EP112)=1,(1-'Lease Cycles'!$AJ$14)*INDEX('Lease Cycles'!$EM$14:$ES$14,1,EP112)+(1-'Lease Cycles'!$BE$14)*IF(EP113&lt;INDEX('Lease Cycles'!$FA$14:$FG$14,1,EP112),0,1-INDEX('Lease Cycles'!$EM$14:$ES$14,1,EP112)),IF(OR(INDEX('Lease Cycles'!$DY$14:$EE$14,1,EP112)=1,EP113&gt;0),1,1-INDEX('Lease Cycles'!$DD$14:$DJ$14,1,EP112))*((1-'Lease Cycles'!$AJ$14)*INDEX('Lease Cycles'!$FO$14:$FU$14,1,EP112)+(1-'Lease Cycles'!$BE$14)*(1-INDEX('Lease Cycles'!$FO$14:$FU$14,1,EP112)))),0)</f>
        <v>0.023450586264656615</v>
      </c>
      <c r="EQ120" s="24">
        <f>IF(EQ114=1,'Lease Cycles'!$D$14*IF(INDEX('Lease Cycles'!$EF$14:$EL$14,1,EQ112)=1,(1-'Lease Cycles'!$AJ$14)*INDEX('Lease Cycles'!$EM$14:$ES$14,1,EQ112)+(1-'Lease Cycles'!$BE$14)*IF(EQ113&lt;INDEX('Lease Cycles'!$FA$14:$FG$14,1,EQ112),0,1-INDEX('Lease Cycles'!$EM$14:$ES$14,1,EQ112)),IF(OR(INDEX('Lease Cycles'!$DY$14:$EE$14,1,EQ112)=1,EQ113&gt;0),1,1-INDEX('Lease Cycles'!$DD$14:$DJ$14,1,EQ112))*((1-'Lease Cycles'!$AJ$14)*INDEX('Lease Cycles'!$FO$14:$FU$14,1,EQ112)+(1-'Lease Cycles'!$BE$14)*(1-INDEX('Lease Cycles'!$FO$14:$FU$14,1,EQ112)))),0)</f>
        <v>0.023450586264656615</v>
      </c>
      <c r="ER120" s="24">
        <f>IF(ER114=1,'Lease Cycles'!$D$14*IF(INDEX('Lease Cycles'!$EF$14:$EL$14,1,ER112)=1,(1-'Lease Cycles'!$AJ$14)*INDEX('Lease Cycles'!$EM$14:$ES$14,1,ER112)+(1-'Lease Cycles'!$BE$14)*IF(ER113&lt;INDEX('Lease Cycles'!$FA$14:$FG$14,1,ER112),0,1-INDEX('Lease Cycles'!$EM$14:$ES$14,1,ER112)),IF(OR(INDEX('Lease Cycles'!$DY$14:$EE$14,1,ER112)=1,ER113&gt;0),1,1-INDEX('Lease Cycles'!$DD$14:$DJ$14,1,ER112))*((1-'Lease Cycles'!$AJ$14)*INDEX('Lease Cycles'!$FO$14:$FU$14,1,ER112)+(1-'Lease Cycles'!$BE$14)*(1-INDEX('Lease Cycles'!$FO$14:$FU$14,1,ER112)))),0)</f>
        <v>0.023450586264656615</v>
      </c>
      <c r="ES120" s="24">
        <f>IF(ES114=1,'Lease Cycles'!$D$14*IF(INDEX('Lease Cycles'!$EF$14:$EL$14,1,ES112)=1,(1-'Lease Cycles'!$AJ$14)*INDEX('Lease Cycles'!$EM$14:$ES$14,1,ES112)+(1-'Lease Cycles'!$BE$14)*IF(ES113&lt;INDEX('Lease Cycles'!$FA$14:$FG$14,1,ES112),0,1-INDEX('Lease Cycles'!$EM$14:$ES$14,1,ES112)),IF(OR(INDEX('Lease Cycles'!$DY$14:$EE$14,1,ES112)=1,ES113&gt;0),1,1-INDEX('Lease Cycles'!$DD$14:$DJ$14,1,ES112))*((1-'Lease Cycles'!$AJ$14)*INDEX('Lease Cycles'!$FO$14:$FU$14,1,ES112)+(1-'Lease Cycles'!$BE$14)*(1-INDEX('Lease Cycles'!$FO$14:$FU$14,1,ES112)))),0)</f>
        <v>0.023450586264656615</v>
      </c>
      <c r="ET120" s="24">
        <f>IF(ET114=1,'Lease Cycles'!$D$14*IF(INDEX('Lease Cycles'!$EF$14:$EL$14,1,ET112)=1,(1-'Lease Cycles'!$AJ$14)*INDEX('Lease Cycles'!$EM$14:$ES$14,1,ET112)+(1-'Lease Cycles'!$BE$14)*IF(ET113&lt;INDEX('Lease Cycles'!$FA$14:$FG$14,1,ET112),0,1-INDEX('Lease Cycles'!$EM$14:$ES$14,1,ET112)),IF(OR(INDEX('Lease Cycles'!$DY$14:$EE$14,1,ET112)=1,ET113&gt;0),1,1-INDEX('Lease Cycles'!$DD$14:$DJ$14,1,ET112))*((1-'Lease Cycles'!$AJ$14)*INDEX('Lease Cycles'!$FO$14:$FU$14,1,ET112)+(1-'Lease Cycles'!$BE$14)*(1-INDEX('Lease Cycles'!$FO$14:$FU$14,1,ET112)))),0)</f>
        <v>0.023450586264656615</v>
      </c>
    </row>
    <row r="121">
      <c r="A121" s="103">
        <v>7</v>
      </c>
      <c r="B121" s="23" t="str">
        <f>IF('Lease Cycles'!$B$14="","(empty slot)",'Lease Cycles'!$B$14)</f>
        <v>Sunfield Nails</v>
      </c>
      <c r="C121" s="23" t="s">
        <v>685</v>
      </c>
      <c r="D121" s="104" t="s">
        <v>686</v>
      </c>
      <c r="E121" s="25">
        <f>'Lease Cycles'!$AL$14</f>
        <v>0</v>
      </c>
      <c r="G121" s="24">
        <f>SUM(S121:AD121)</f>
        <v>0</v>
      </c>
      <c r="H121" s="24">
        <f>SUM(AE121:AP121)</f>
        <v>0</v>
      </c>
      <c r="I121" s="24">
        <f>SUM(AQ121:BB121)</f>
        <v>0</v>
      </c>
      <c r="J121" s="24">
        <f>SUM(BC121:BN121)</f>
        <v>0</v>
      </c>
      <c r="K121" s="24">
        <f>SUM(BO121:BZ121)</f>
        <v>0</v>
      </c>
      <c r="L121" s="24">
        <f>SUM(CA121:CL121)</f>
        <v>0</v>
      </c>
      <c r="M121" s="24">
        <f>SUM(CM121:CX121)</f>
        <v>0</v>
      </c>
      <c r="N121" s="24">
        <f>SUM(CY121:DJ121)</f>
        <v>0</v>
      </c>
      <c r="O121" s="24">
        <f>SUM(DK121:DV121)</f>
        <v>0</v>
      </c>
      <c r="P121" s="24">
        <f>SUM(DW121:EH121)</f>
        <v>0</v>
      </c>
      <c r="Q121" s="24">
        <f>SUM(EI121:ET121)</f>
        <v>0</v>
      </c>
      <c r="S121" s="24">
        <f>IF(S114=1,IF('Lease Cycles'!$AJ$14=1,0,'Lease Cycles'!$D$14*INDEX('Lease Cycles'!$FH$14:$FN$14,1,S112)*IF(INDEX('Lease Cycles'!$EF$14:$EL$14,1,S112)=1,1,IF(OR(INDEX('Lease Cycles'!$DY$14:$EE$14,1,S112)=1,S113&gt;0),1,1-INDEX('Lease Cycles'!$DD$14:$DJ$14,1,S112)))),0)</f>
        <v>0</v>
      </c>
      <c r="T121" s="24">
        <f>IF(T114=1,IF('Lease Cycles'!$AJ$14=1,0,'Lease Cycles'!$D$14*INDEX('Lease Cycles'!$FH$14:$FN$14,1,T112)*IF(INDEX('Lease Cycles'!$EF$14:$EL$14,1,T112)=1,1,IF(OR(INDEX('Lease Cycles'!$DY$14:$EE$14,1,T112)=1,T113&gt;0),1,1-INDEX('Lease Cycles'!$DD$14:$DJ$14,1,T112)))),0)</f>
        <v>0</v>
      </c>
      <c r="U121" s="24">
        <f>IF(U114=1,IF('Lease Cycles'!$AJ$14=1,0,'Lease Cycles'!$D$14*INDEX('Lease Cycles'!$FH$14:$FN$14,1,U112)*IF(INDEX('Lease Cycles'!$EF$14:$EL$14,1,U112)=1,1,IF(OR(INDEX('Lease Cycles'!$DY$14:$EE$14,1,U112)=1,U113&gt;0),1,1-INDEX('Lease Cycles'!$DD$14:$DJ$14,1,U112)))),0)</f>
        <v>0</v>
      </c>
      <c r="V121" s="24">
        <f>IF(V114=1,IF('Lease Cycles'!$AJ$14=1,0,'Lease Cycles'!$D$14*INDEX('Lease Cycles'!$FH$14:$FN$14,1,V112)*IF(INDEX('Lease Cycles'!$EF$14:$EL$14,1,V112)=1,1,IF(OR(INDEX('Lease Cycles'!$DY$14:$EE$14,1,V112)=1,V113&gt;0),1,1-INDEX('Lease Cycles'!$DD$14:$DJ$14,1,V112)))),0)</f>
        <v>0</v>
      </c>
      <c r="W121" s="24">
        <f>IF(W114=1,IF('Lease Cycles'!$AJ$14=1,0,'Lease Cycles'!$D$14*INDEX('Lease Cycles'!$FH$14:$FN$14,1,W112)*IF(INDEX('Lease Cycles'!$EF$14:$EL$14,1,W112)=1,1,IF(OR(INDEX('Lease Cycles'!$DY$14:$EE$14,1,W112)=1,W113&gt;0),1,1-INDEX('Lease Cycles'!$DD$14:$DJ$14,1,W112)))),0)</f>
        <v>0</v>
      </c>
      <c r="X121" s="24">
        <f>IF(X114=1,IF('Lease Cycles'!$AJ$14=1,0,'Lease Cycles'!$D$14*INDEX('Lease Cycles'!$FH$14:$FN$14,1,X112)*IF(INDEX('Lease Cycles'!$EF$14:$EL$14,1,X112)=1,1,IF(OR(INDEX('Lease Cycles'!$DY$14:$EE$14,1,X112)=1,X113&gt;0),1,1-INDEX('Lease Cycles'!$DD$14:$DJ$14,1,X112)))),0)</f>
        <v>0</v>
      </c>
      <c r="Y121" s="24">
        <f>IF(Y114=1,IF('Lease Cycles'!$AJ$14=1,0,'Lease Cycles'!$D$14*INDEX('Lease Cycles'!$FH$14:$FN$14,1,Y112)*IF(INDEX('Lease Cycles'!$EF$14:$EL$14,1,Y112)=1,1,IF(OR(INDEX('Lease Cycles'!$DY$14:$EE$14,1,Y112)=1,Y113&gt;0),1,1-INDEX('Lease Cycles'!$DD$14:$DJ$14,1,Y112)))),0)</f>
        <v>0</v>
      </c>
      <c r="Z121" s="24">
        <f>IF(Z114=1,IF('Lease Cycles'!$AJ$14=1,0,'Lease Cycles'!$D$14*INDEX('Lease Cycles'!$FH$14:$FN$14,1,Z112)*IF(INDEX('Lease Cycles'!$EF$14:$EL$14,1,Z112)=1,1,IF(OR(INDEX('Lease Cycles'!$DY$14:$EE$14,1,Z112)=1,Z113&gt;0),1,1-INDEX('Lease Cycles'!$DD$14:$DJ$14,1,Z112)))),0)</f>
        <v>0</v>
      </c>
      <c r="AA121" s="24">
        <f>IF(AA114=1,IF('Lease Cycles'!$AJ$14=1,0,'Lease Cycles'!$D$14*INDEX('Lease Cycles'!$FH$14:$FN$14,1,AA112)*IF(INDEX('Lease Cycles'!$EF$14:$EL$14,1,AA112)=1,1,IF(OR(INDEX('Lease Cycles'!$DY$14:$EE$14,1,AA112)=1,AA113&gt;0),1,1-INDEX('Lease Cycles'!$DD$14:$DJ$14,1,AA112)))),0)</f>
        <v>0</v>
      </c>
      <c r="AB121" s="24">
        <f>IF(AB114=1,IF('Lease Cycles'!$AJ$14=1,0,'Lease Cycles'!$D$14*INDEX('Lease Cycles'!$FH$14:$FN$14,1,AB112)*IF(INDEX('Lease Cycles'!$EF$14:$EL$14,1,AB112)=1,1,IF(OR(INDEX('Lease Cycles'!$DY$14:$EE$14,1,AB112)=1,AB113&gt;0),1,1-INDEX('Lease Cycles'!$DD$14:$DJ$14,1,AB112)))),0)</f>
        <v>0</v>
      </c>
      <c r="AC121" s="24">
        <f>IF(AC114=1,IF('Lease Cycles'!$AJ$14=1,0,'Lease Cycles'!$D$14*INDEX('Lease Cycles'!$FH$14:$FN$14,1,AC112)*IF(INDEX('Lease Cycles'!$EF$14:$EL$14,1,AC112)=1,1,IF(OR(INDEX('Lease Cycles'!$DY$14:$EE$14,1,AC112)=1,AC113&gt;0),1,1-INDEX('Lease Cycles'!$DD$14:$DJ$14,1,AC112)))),0)</f>
        <v>0</v>
      </c>
      <c r="AD121" s="24">
        <f>IF(AD114=1,IF('Lease Cycles'!$AJ$14=1,0,'Lease Cycles'!$D$14*INDEX('Lease Cycles'!$FH$14:$FN$14,1,AD112)*IF(INDEX('Lease Cycles'!$EF$14:$EL$14,1,AD112)=1,1,IF(OR(INDEX('Lease Cycles'!$DY$14:$EE$14,1,AD112)=1,AD113&gt;0),1,1-INDEX('Lease Cycles'!$DD$14:$DJ$14,1,AD112)))),0)</f>
        <v>0</v>
      </c>
      <c r="AE121" s="24">
        <f>IF(AE114=1,IF('Lease Cycles'!$AJ$14=1,0,'Lease Cycles'!$D$14*INDEX('Lease Cycles'!$FH$14:$FN$14,1,AE112)*IF(INDEX('Lease Cycles'!$EF$14:$EL$14,1,AE112)=1,1,IF(OR(INDEX('Lease Cycles'!$DY$14:$EE$14,1,AE112)=1,AE113&gt;0),1,1-INDEX('Lease Cycles'!$DD$14:$DJ$14,1,AE112)))),0)</f>
        <v>0</v>
      </c>
      <c r="AF121" s="24">
        <f>IF(AF114=1,IF('Lease Cycles'!$AJ$14=1,0,'Lease Cycles'!$D$14*INDEX('Lease Cycles'!$FH$14:$FN$14,1,AF112)*IF(INDEX('Lease Cycles'!$EF$14:$EL$14,1,AF112)=1,1,IF(OR(INDEX('Lease Cycles'!$DY$14:$EE$14,1,AF112)=1,AF113&gt;0),1,1-INDEX('Lease Cycles'!$DD$14:$DJ$14,1,AF112)))),0)</f>
        <v>0</v>
      </c>
      <c r="AG121" s="24">
        <f>IF(AG114=1,IF('Lease Cycles'!$AJ$14=1,0,'Lease Cycles'!$D$14*INDEX('Lease Cycles'!$FH$14:$FN$14,1,AG112)*IF(INDEX('Lease Cycles'!$EF$14:$EL$14,1,AG112)=1,1,IF(OR(INDEX('Lease Cycles'!$DY$14:$EE$14,1,AG112)=1,AG113&gt;0),1,1-INDEX('Lease Cycles'!$DD$14:$DJ$14,1,AG112)))),0)</f>
        <v>0</v>
      </c>
      <c r="AH121" s="24">
        <f>IF(AH114=1,IF('Lease Cycles'!$AJ$14=1,0,'Lease Cycles'!$D$14*INDEX('Lease Cycles'!$FH$14:$FN$14,1,AH112)*IF(INDEX('Lease Cycles'!$EF$14:$EL$14,1,AH112)=1,1,IF(OR(INDEX('Lease Cycles'!$DY$14:$EE$14,1,AH112)=1,AH113&gt;0),1,1-INDEX('Lease Cycles'!$DD$14:$DJ$14,1,AH112)))),0)</f>
        <v>0</v>
      </c>
      <c r="AI121" s="24">
        <f>IF(AI114=1,IF('Lease Cycles'!$AJ$14=1,0,'Lease Cycles'!$D$14*INDEX('Lease Cycles'!$FH$14:$FN$14,1,AI112)*IF(INDEX('Lease Cycles'!$EF$14:$EL$14,1,AI112)=1,1,IF(OR(INDEX('Lease Cycles'!$DY$14:$EE$14,1,AI112)=1,AI113&gt;0),1,1-INDEX('Lease Cycles'!$DD$14:$DJ$14,1,AI112)))),0)</f>
        <v>0</v>
      </c>
      <c r="AJ121" s="24">
        <f>IF(AJ114=1,IF('Lease Cycles'!$AJ$14=1,0,'Lease Cycles'!$D$14*INDEX('Lease Cycles'!$FH$14:$FN$14,1,AJ112)*IF(INDEX('Lease Cycles'!$EF$14:$EL$14,1,AJ112)=1,1,IF(OR(INDEX('Lease Cycles'!$DY$14:$EE$14,1,AJ112)=1,AJ113&gt;0),1,1-INDEX('Lease Cycles'!$DD$14:$DJ$14,1,AJ112)))),0)</f>
        <v>0</v>
      </c>
      <c r="AK121" s="24">
        <f>IF(AK114=1,IF('Lease Cycles'!$AJ$14=1,0,'Lease Cycles'!$D$14*INDEX('Lease Cycles'!$FH$14:$FN$14,1,AK112)*IF(INDEX('Lease Cycles'!$EF$14:$EL$14,1,AK112)=1,1,IF(OR(INDEX('Lease Cycles'!$DY$14:$EE$14,1,AK112)=1,AK113&gt;0),1,1-INDEX('Lease Cycles'!$DD$14:$DJ$14,1,AK112)))),0)</f>
        <v>0</v>
      </c>
      <c r="AL121" s="24">
        <f>IF(AL114=1,IF('Lease Cycles'!$AJ$14=1,0,'Lease Cycles'!$D$14*INDEX('Lease Cycles'!$FH$14:$FN$14,1,AL112)*IF(INDEX('Lease Cycles'!$EF$14:$EL$14,1,AL112)=1,1,IF(OR(INDEX('Lease Cycles'!$DY$14:$EE$14,1,AL112)=1,AL113&gt;0),1,1-INDEX('Lease Cycles'!$DD$14:$DJ$14,1,AL112)))),0)</f>
        <v>0</v>
      </c>
      <c r="AM121" s="24">
        <f>IF(AM114=1,IF('Lease Cycles'!$AJ$14=1,0,'Lease Cycles'!$D$14*INDEX('Lease Cycles'!$FH$14:$FN$14,1,AM112)*IF(INDEX('Lease Cycles'!$EF$14:$EL$14,1,AM112)=1,1,IF(OR(INDEX('Lease Cycles'!$DY$14:$EE$14,1,AM112)=1,AM113&gt;0),1,1-INDEX('Lease Cycles'!$DD$14:$DJ$14,1,AM112)))),0)</f>
        <v>0</v>
      </c>
      <c r="AN121" s="24">
        <f>IF(AN114=1,IF('Lease Cycles'!$AJ$14=1,0,'Lease Cycles'!$D$14*INDEX('Lease Cycles'!$FH$14:$FN$14,1,AN112)*IF(INDEX('Lease Cycles'!$EF$14:$EL$14,1,AN112)=1,1,IF(OR(INDEX('Lease Cycles'!$DY$14:$EE$14,1,AN112)=1,AN113&gt;0),1,1-INDEX('Lease Cycles'!$DD$14:$DJ$14,1,AN112)))),0)</f>
        <v>0</v>
      </c>
      <c r="AO121" s="24">
        <f>IF(AO114=1,IF('Lease Cycles'!$AJ$14=1,0,'Lease Cycles'!$D$14*INDEX('Lease Cycles'!$FH$14:$FN$14,1,AO112)*IF(INDEX('Lease Cycles'!$EF$14:$EL$14,1,AO112)=1,1,IF(OR(INDEX('Lease Cycles'!$DY$14:$EE$14,1,AO112)=1,AO113&gt;0),1,1-INDEX('Lease Cycles'!$DD$14:$DJ$14,1,AO112)))),0)</f>
        <v>0</v>
      </c>
      <c r="AP121" s="24">
        <f>IF(AP114=1,IF('Lease Cycles'!$AJ$14=1,0,'Lease Cycles'!$D$14*INDEX('Lease Cycles'!$FH$14:$FN$14,1,AP112)*IF(INDEX('Lease Cycles'!$EF$14:$EL$14,1,AP112)=1,1,IF(OR(INDEX('Lease Cycles'!$DY$14:$EE$14,1,AP112)=1,AP113&gt;0),1,1-INDEX('Lease Cycles'!$DD$14:$DJ$14,1,AP112)))),0)</f>
        <v>0</v>
      </c>
      <c r="AQ121" s="24">
        <f>IF(AQ114=1,IF('Lease Cycles'!$AJ$14=1,0,'Lease Cycles'!$D$14*INDEX('Lease Cycles'!$FH$14:$FN$14,1,AQ112)*IF(INDEX('Lease Cycles'!$EF$14:$EL$14,1,AQ112)=1,1,IF(OR(INDEX('Lease Cycles'!$DY$14:$EE$14,1,AQ112)=1,AQ113&gt;0),1,1-INDEX('Lease Cycles'!$DD$14:$DJ$14,1,AQ112)))),0)</f>
        <v>0</v>
      </c>
      <c r="AR121" s="24">
        <f>IF(AR114=1,IF('Lease Cycles'!$AJ$14=1,0,'Lease Cycles'!$D$14*INDEX('Lease Cycles'!$FH$14:$FN$14,1,AR112)*IF(INDEX('Lease Cycles'!$EF$14:$EL$14,1,AR112)=1,1,IF(OR(INDEX('Lease Cycles'!$DY$14:$EE$14,1,AR112)=1,AR113&gt;0),1,1-INDEX('Lease Cycles'!$DD$14:$DJ$14,1,AR112)))),0)</f>
        <v>0</v>
      </c>
      <c r="AS121" s="24">
        <f>IF(AS114=1,IF('Lease Cycles'!$AJ$14=1,0,'Lease Cycles'!$D$14*INDEX('Lease Cycles'!$FH$14:$FN$14,1,AS112)*IF(INDEX('Lease Cycles'!$EF$14:$EL$14,1,AS112)=1,1,IF(OR(INDEX('Lease Cycles'!$DY$14:$EE$14,1,AS112)=1,AS113&gt;0),1,1-INDEX('Lease Cycles'!$DD$14:$DJ$14,1,AS112)))),0)</f>
        <v>0</v>
      </c>
      <c r="AT121" s="24">
        <f>IF(AT114=1,IF('Lease Cycles'!$AJ$14=1,0,'Lease Cycles'!$D$14*INDEX('Lease Cycles'!$FH$14:$FN$14,1,AT112)*IF(INDEX('Lease Cycles'!$EF$14:$EL$14,1,AT112)=1,1,IF(OR(INDEX('Lease Cycles'!$DY$14:$EE$14,1,AT112)=1,AT113&gt;0),1,1-INDEX('Lease Cycles'!$DD$14:$DJ$14,1,AT112)))),0)</f>
        <v>0</v>
      </c>
      <c r="AU121" s="24">
        <f>IF(AU114=1,IF('Lease Cycles'!$AJ$14=1,0,'Lease Cycles'!$D$14*INDEX('Lease Cycles'!$FH$14:$FN$14,1,AU112)*IF(INDEX('Lease Cycles'!$EF$14:$EL$14,1,AU112)=1,1,IF(OR(INDEX('Lease Cycles'!$DY$14:$EE$14,1,AU112)=1,AU113&gt;0),1,1-INDEX('Lease Cycles'!$DD$14:$DJ$14,1,AU112)))),0)</f>
        <v>0</v>
      </c>
      <c r="AV121" s="24">
        <f>IF(AV114=1,IF('Lease Cycles'!$AJ$14=1,0,'Lease Cycles'!$D$14*INDEX('Lease Cycles'!$FH$14:$FN$14,1,AV112)*IF(INDEX('Lease Cycles'!$EF$14:$EL$14,1,AV112)=1,1,IF(OR(INDEX('Lease Cycles'!$DY$14:$EE$14,1,AV112)=1,AV113&gt;0),1,1-INDEX('Lease Cycles'!$DD$14:$DJ$14,1,AV112)))),0)</f>
        <v>0</v>
      </c>
      <c r="AW121" s="24">
        <f>IF(AW114=1,IF('Lease Cycles'!$AJ$14=1,0,'Lease Cycles'!$D$14*INDEX('Lease Cycles'!$FH$14:$FN$14,1,AW112)*IF(INDEX('Lease Cycles'!$EF$14:$EL$14,1,AW112)=1,1,IF(OR(INDEX('Lease Cycles'!$DY$14:$EE$14,1,AW112)=1,AW113&gt;0),1,1-INDEX('Lease Cycles'!$DD$14:$DJ$14,1,AW112)))),0)</f>
        <v>0</v>
      </c>
      <c r="AX121" s="24">
        <f>IF(AX114=1,IF('Lease Cycles'!$AJ$14=1,0,'Lease Cycles'!$D$14*INDEX('Lease Cycles'!$FH$14:$FN$14,1,AX112)*IF(INDEX('Lease Cycles'!$EF$14:$EL$14,1,AX112)=1,1,IF(OR(INDEX('Lease Cycles'!$DY$14:$EE$14,1,AX112)=1,AX113&gt;0),1,1-INDEX('Lease Cycles'!$DD$14:$DJ$14,1,AX112)))),0)</f>
        <v>0</v>
      </c>
      <c r="AY121" s="24">
        <f>IF(AY114=1,IF('Lease Cycles'!$AJ$14=1,0,'Lease Cycles'!$D$14*INDEX('Lease Cycles'!$FH$14:$FN$14,1,AY112)*IF(INDEX('Lease Cycles'!$EF$14:$EL$14,1,AY112)=1,1,IF(OR(INDEX('Lease Cycles'!$DY$14:$EE$14,1,AY112)=1,AY113&gt;0),1,1-INDEX('Lease Cycles'!$DD$14:$DJ$14,1,AY112)))),0)</f>
        <v>0</v>
      </c>
      <c r="AZ121" s="24">
        <f>IF(AZ114=1,IF('Lease Cycles'!$AJ$14=1,0,'Lease Cycles'!$D$14*INDEX('Lease Cycles'!$FH$14:$FN$14,1,AZ112)*IF(INDEX('Lease Cycles'!$EF$14:$EL$14,1,AZ112)=1,1,IF(OR(INDEX('Lease Cycles'!$DY$14:$EE$14,1,AZ112)=1,AZ113&gt;0),1,1-INDEX('Lease Cycles'!$DD$14:$DJ$14,1,AZ112)))),0)</f>
        <v>0</v>
      </c>
      <c r="BA121" s="24">
        <f>IF(BA114=1,IF('Lease Cycles'!$AJ$14=1,0,'Lease Cycles'!$D$14*INDEX('Lease Cycles'!$FH$14:$FN$14,1,BA112)*IF(INDEX('Lease Cycles'!$EF$14:$EL$14,1,BA112)=1,1,IF(OR(INDEX('Lease Cycles'!$DY$14:$EE$14,1,BA112)=1,BA113&gt;0),1,1-INDEX('Lease Cycles'!$DD$14:$DJ$14,1,BA112)))),0)</f>
        <v>0</v>
      </c>
      <c r="BB121" s="24">
        <f>IF(BB114=1,IF('Lease Cycles'!$AJ$14=1,0,'Lease Cycles'!$D$14*INDEX('Lease Cycles'!$FH$14:$FN$14,1,BB112)*IF(INDEX('Lease Cycles'!$EF$14:$EL$14,1,BB112)=1,1,IF(OR(INDEX('Lease Cycles'!$DY$14:$EE$14,1,BB112)=1,BB113&gt;0),1,1-INDEX('Lease Cycles'!$DD$14:$DJ$14,1,BB112)))),0)</f>
        <v>0</v>
      </c>
      <c r="BC121" s="24">
        <f>IF(BC114=1,IF('Lease Cycles'!$AJ$14=1,0,'Lease Cycles'!$D$14*INDEX('Lease Cycles'!$FH$14:$FN$14,1,BC112)*IF(INDEX('Lease Cycles'!$EF$14:$EL$14,1,BC112)=1,1,IF(OR(INDEX('Lease Cycles'!$DY$14:$EE$14,1,BC112)=1,BC113&gt;0),1,1-INDEX('Lease Cycles'!$DD$14:$DJ$14,1,BC112)))),0)</f>
        <v>0</v>
      </c>
      <c r="BD121" s="24">
        <f>IF(BD114=1,IF('Lease Cycles'!$AJ$14=1,0,'Lease Cycles'!$D$14*INDEX('Lease Cycles'!$FH$14:$FN$14,1,BD112)*IF(INDEX('Lease Cycles'!$EF$14:$EL$14,1,BD112)=1,1,IF(OR(INDEX('Lease Cycles'!$DY$14:$EE$14,1,BD112)=1,BD113&gt;0),1,1-INDEX('Lease Cycles'!$DD$14:$DJ$14,1,BD112)))),0)</f>
        <v>0</v>
      </c>
      <c r="BE121" s="24">
        <f>IF(BE114=1,IF('Lease Cycles'!$AJ$14=1,0,'Lease Cycles'!$D$14*INDEX('Lease Cycles'!$FH$14:$FN$14,1,BE112)*IF(INDEX('Lease Cycles'!$EF$14:$EL$14,1,BE112)=1,1,IF(OR(INDEX('Lease Cycles'!$DY$14:$EE$14,1,BE112)=1,BE113&gt;0),1,1-INDEX('Lease Cycles'!$DD$14:$DJ$14,1,BE112)))),0)</f>
        <v>0</v>
      </c>
      <c r="BF121" s="24">
        <f>IF(BF114=1,IF('Lease Cycles'!$AJ$14=1,0,'Lease Cycles'!$D$14*INDEX('Lease Cycles'!$FH$14:$FN$14,1,BF112)*IF(INDEX('Lease Cycles'!$EF$14:$EL$14,1,BF112)=1,1,IF(OR(INDEX('Lease Cycles'!$DY$14:$EE$14,1,BF112)=1,BF113&gt;0),1,1-INDEX('Lease Cycles'!$DD$14:$DJ$14,1,BF112)))),0)</f>
        <v>0</v>
      </c>
      <c r="BG121" s="24">
        <f>IF(BG114=1,IF('Lease Cycles'!$AJ$14=1,0,'Lease Cycles'!$D$14*INDEX('Lease Cycles'!$FH$14:$FN$14,1,BG112)*IF(INDEX('Lease Cycles'!$EF$14:$EL$14,1,BG112)=1,1,IF(OR(INDEX('Lease Cycles'!$DY$14:$EE$14,1,BG112)=1,BG113&gt;0),1,1-INDEX('Lease Cycles'!$DD$14:$DJ$14,1,BG112)))),0)</f>
        <v>0</v>
      </c>
      <c r="BH121" s="24">
        <f>IF(BH114=1,IF('Lease Cycles'!$AJ$14=1,0,'Lease Cycles'!$D$14*INDEX('Lease Cycles'!$FH$14:$FN$14,1,BH112)*IF(INDEX('Lease Cycles'!$EF$14:$EL$14,1,BH112)=1,1,IF(OR(INDEX('Lease Cycles'!$DY$14:$EE$14,1,BH112)=1,BH113&gt;0),1,1-INDEX('Lease Cycles'!$DD$14:$DJ$14,1,BH112)))),0)</f>
        <v>0</v>
      </c>
      <c r="BI121" s="24">
        <f>IF(BI114=1,IF('Lease Cycles'!$AJ$14=1,0,'Lease Cycles'!$D$14*INDEX('Lease Cycles'!$FH$14:$FN$14,1,BI112)*IF(INDEX('Lease Cycles'!$EF$14:$EL$14,1,BI112)=1,1,IF(OR(INDEX('Lease Cycles'!$DY$14:$EE$14,1,BI112)=1,BI113&gt;0),1,1-INDEX('Lease Cycles'!$DD$14:$DJ$14,1,BI112)))),0)</f>
        <v>0</v>
      </c>
      <c r="BJ121" s="24">
        <f>IF(BJ114=1,IF('Lease Cycles'!$AJ$14=1,0,'Lease Cycles'!$D$14*INDEX('Lease Cycles'!$FH$14:$FN$14,1,BJ112)*IF(INDEX('Lease Cycles'!$EF$14:$EL$14,1,BJ112)=1,1,IF(OR(INDEX('Lease Cycles'!$DY$14:$EE$14,1,BJ112)=1,BJ113&gt;0),1,1-INDEX('Lease Cycles'!$DD$14:$DJ$14,1,BJ112)))),0)</f>
        <v>0</v>
      </c>
      <c r="BK121" s="24">
        <f>IF(BK114=1,IF('Lease Cycles'!$AJ$14=1,0,'Lease Cycles'!$D$14*INDEX('Lease Cycles'!$FH$14:$FN$14,1,BK112)*IF(INDEX('Lease Cycles'!$EF$14:$EL$14,1,BK112)=1,1,IF(OR(INDEX('Lease Cycles'!$DY$14:$EE$14,1,BK112)=1,BK113&gt;0),1,1-INDEX('Lease Cycles'!$DD$14:$DJ$14,1,BK112)))),0)</f>
        <v>0</v>
      </c>
      <c r="BL121" s="24">
        <f>IF(BL114=1,IF('Lease Cycles'!$AJ$14=1,0,'Lease Cycles'!$D$14*INDEX('Lease Cycles'!$FH$14:$FN$14,1,BL112)*IF(INDEX('Lease Cycles'!$EF$14:$EL$14,1,BL112)=1,1,IF(OR(INDEX('Lease Cycles'!$DY$14:$EE$14,1,BL112)=1,BL113&gt;0),1,1-INDEX('Lease Cycles'!$DD$14:$DJ$14,1,BL112)))),0)</f>
        <v>0</v>
      </c>
      <c r="BM121" s="24">
        <f>IF(BM114=1,IF('Lease Cycles'!$AJ$14=1,0,'Lease Cycles'!$D$14*INDEX('Lease Cycles'!$FH$14:$FN$14,1,BM112)*IF(INDEX('Lease Cycles'!$EF$14:$EL$14,1,BM112)=1,1,IF(OR(INDEX('Lease Cycles'!$DY$14:$EE$14,1,BM112)=1,BM113&gt;0),1,1-INDEX('Lease Cycles'!$DD$14:$DJ$14,1,BM112)))),0)</f>
        <v>0</v>
      </c>
      <c r="BN121" s="24">
        <f>IF(BN114=1,IF('Lease Cycles'!$AJ$14=1,0,'Lease Cycles'!$D$14*INDEX('Lease Cycles'!$FH$14:$FN$14,1,BN112)*IF(INDEX('Lease Cycles'!$EF$14:$EL$14,1,BN112)=1,1,IF(OR(INDEX('Lease Cycles'!$DY$14:$EE$14,1,BN112)=1,BN113&gt;0),1,1-INDEX('Lease Cycles'!$DD$14:$DJ$14,1,BN112)))),0)</f>
        <v>0</v>
      </c>
      <c r="BO121" s="24">
        <f>IF(BO114=1,IF('Lease Cycles'!$AJ$14=1,0,'Lease Cycles'!$D$14*INDEX('Lease Cycles'!$FH$14:$FN$14,1,BO112)*IF(INDEX('Lease Cycles'!$EF$14:$EL$14,1,BO112)=1,1,IF(OR(INDEX('Lease Cycles'!$DY$14:$EE$14,1,BO112)=1,BO113&gt;0),1,1-INDEX('Lease Cycles'!$DD$14:$DJ$14,1,BO112)))),0)</f>
        <v>0</v>
      </c>
      <c r="BP121" s="24">
        <f>IF(BP114=1,IF('Lease Cycles'!$AJ$14=1,0,'Lease Cycles'!$D$14*INDEX('Lease Cycles'!$FH$14:$FN$14,1,BP112)*IF(INDEX('Lease Cycles'!$EF$14:$EL$14,1,BP112)=1,1,IF(OR(INDEX('Lease Cycles'!$DY$14:$EE$14,1,BP112)=1,BP113&gt;0),1,1-INDEX('Lease Cycles'!$DD$14:$DJ$14,1,BP112)))),0)</f>
        <v>0</v>
      </c>
      <c r="BQ121" s="24">
        <f>IF(BQ114=1,IF('Lease Cycles'!$AJ$14=1,0,'Lease Cycles'!$D$14*INDEX('Lease Cycles'!$FH$14:$FN$14,1,BQ112)*IF(INDEX('Lease Cycles'!$EF$14:$EL$14,1,BQ112)=1,1,IF(OR(INDEX('Lease Cycles'!$DY$14:$EE$14,1,BQ112)=1,BQ113&gt;0),1,1-INDEX('Lease Cycles'!$DD$14:$DJ$14,1,BQ112)))),0)</f>
        <v>0</v>
      </c>
      <c r="BR121" s="24">
        <f>IF(BR114=1,IF('Lease Cycles'!$AJ$14=1,0,'Lease Cycles'!$D$14*INDEX('Lease Cycles'!$FH$14:$FN$14,1,BR112)*IF(INDEX('Lease Cycles'!$EF$14:$EL$14,1,BR112)=1,1,IF(OR(INDEX('Lease Cycles'!$DY$14:$EE$14,1,BR112)=1,BR113&gt;0),1,1-INDEX('Lease Cycles'!$DD$14:$DJ$14,1,BR112)))),0)</f>
        <v>0</v>
      </c>
      <c r="BS121" s="24">
        <f>IF(BS114=1,IF('Lease Cycles'!$AJ$14=1,0,'Lease Cycles'!$D$14*INDEX('Lease Cycles'!$FH$14:$FN$14,1,BS112)*IF(INDEX('Lease Cycles'!$EF$14:$EL$14,1,BS112)=1,1,IF(OR(INDEX('Lease Cycles'!$DY$14:$EE$14,1,BS112)=1,BS113&gt;0),1,1-INDEX('Lease Cycles'!$DD$14:$DJ$14,1,BS112)))),0)</f>
        <v>0</v>
      </c>
      <c r="BT121" s="24">
        <f>IF(BT114=1,IF('Lease Cycles'!$AJ$14=1,0,'Lease Cycles'!$D$14*INDEX('Lease Cycles'!$FH$14:$FN$14,1,BT112)*IF(INDEX('Lease Cycles'!$EF$14:$EL$14,1,BT112)=1,1,IF(OR(INDEX('Lease Cycles'!$DY$14:$EE$14,1,BT112)=1,BT113&gt;0),1,1-INDEX('Lease Cycles'!$DD$14:$DJ$14,1,BT112)))),0)</f>
        <v>0</v>
      </c>
      <c r="BU121" s="24">
        <f>IF(BU114=1,IF('Lease Cycles'!$AJ$14=1,0,'Lease Cycles'!$D$14*INDEX('Lease Cycles'!$FH$14:$FN$14,1,BU112)*IF(INDEX('Lease Cycles'!$EF$14:$EL$14,1,BU112)=1,1,IF(OR(INDEX('Lease Cycles'!$DY$14:$EE$14,1,BU112)=1,BU113&gt;0),1,1-INDEX('Lease Cycles'!$DD$14:$DJ$14,1,BU112)))),0)</f>
        <v>0</v>
      </c>
      <c r="BV121" s="24">
        <f>IF(BV114=1,IF('Lease Cycles'!$AJ$14=1,0,'Lease Cycles'!$D$14*INDEX('Lease Cycles'!$FH$14:$FN$14,1,BV112)*IF(INDEX('Lease Cycles'!$EF$14:$EL$14,1,BV112)=1,1,IF(OR(INDEX('Lease Cycles'!$DY$14:$EE$14,1,BV112)=1,BV113&gt;0),1,1-INDEX('Lease Cycles'!$DD$14:$DJ$14,1,BV112)))),0)</f>
        <v>0</v>
      </c>
      <c r="BW121" s="24">
        <f>IF(BW114=1,IF('Lease Cycles'!$AJ$14=1,0,'Lease Cycles'!$D$14*INDEX('Lease Cycles'!$FH$14:$FN$14,1,BW112)*IF(INDEX('Lease Cycles'!$EF$14:$EL$14,1,BW112)=1,1,IF(OR(INDEX('Lease Cycles'!$DY$14:$EE$14,1,BW112)=1,BW113&gt;0),1,1-INDEX('Lease Cycles'!$DD$14:$DJ$14,1,BW112)))),0)</f>
        <v>0</v>
      </c>
      <c r="BX121" s="24">
        <f>IF(BX114=1,IF('Lease Cycles'!$AJ$14=1,0,'Lease Cycles'!$D$14*INDEX('Lease Cycles'!$FH$14:$FN$14,1,BX112)*IF(INDEX('Lease Cycles'!$EF$14:$EL$14,1,BX112)=1,1,IF(OR(INDEX('Lease Cycles'!$DY$14:$EE$14,1,BX112)=1,BX113&gt;0),1,1-INDEX('Lease Cycles'!$DD$14:$DJ$14,1,BX112)))),0)</f>
        <v>0</v>
      </c>
      <c r="BY121" s="24">
        <f>IF(BY114=1,IF('Lease Cycles'!$AJ$14=1,0,'Lease Cycles'!$D$14*INDEX('Lease Cycles'!$FH$14:$FN$14,1,BY112)*IF(INDEX('Lease Cycles'!$EF$14:$EL$14,1,BY112)=1,1,IF(OR(INDEX('Lease Cycles'!$DY$14:$EE$14,1,BY112)=1,BY113&gt;0),1,1-INDEX('Lease Cycles'!$DD$14:$DJ$14,1,BY112)))),0)</f>
        <v>0</v>
      </c>
      <c r="BZ121" s="24">
        <f>IF(BZ114=1,IF('Lease Cycles'!$AJ$14=1,0,'Lease Cycles'!$D$14*INDEX('Lease Cycles'!$FH$14:$FN$14,1,BZ112)*IF(INDEX('Lease Cycles'!$EF$14:$EL$14,1,BZ112)=1,1,IF(OR(INDEX('Lease Cycles'!$DY$14:$EE$14,1,BZ112)=1,BZ113&gt;0),1,1-INDEX('Lease Cycles'!$DD$14:$DJ$14,1,BZ112)))),0)</f>
        <v>0</v>
      </c>
      <c r="CA121" s="24">
        <f>IF(CA114=1,IF('Lease Cycles'!$AJ$14=1,0,'Lease Cycles'!$D$14*INDEX('Lease Cycles'!$FH$14:$FN$14,1,CA112)*IF(INDEX('Lease Cycles'!$EF$14:$EL$14,1,CA112)=1,1,IF(OR(INDEX('Lease Cycles'!$DY$14:$EE$14,1,CA112)=1,CA113&gt;0),1,1-INDEX('Lease Cycles'!$DD$14:$DJ$14,1,CA112)))),0)</f>
        <v>0</v>
      </c>
      <c r="CB121" s="24">
        <f>IF(CB114=1,IF('Lease Cycles'!$AJ$14=1,0,'Lease Cycles'!$D$14*INDEX('Lease Cycles'!$FH$14:$FN$14,1,CB112)*IF(INDEX('Lease Cycles'!$EF$14:$EL$14,1,CB112)=1,1,IF(OR(INDEX('Lease Cycles'!$DY$14:$EE$14,1,CB112)=1,CB113&gt;0),1,1-INDEX('Lease Cycles'!$DD$14:$DJ$14,1,CB112)))),0)</f>
        <v>0</v>
      </c>
      <c r="CC121" s="24">
        <f>IF(CC114=1,IF('Lease Cycles'!$AJ$14=1,0,'Lease Cycles'!$D$14*INDEX('Lease Cycles'!$FH$14:$FN$14,1,CC112)*IF(INDEX('Lease Cycles'!$EF$14:$EL$14,1,CC112)=1,1,IF(OR(INDEX('Lease Cycles'!$DY$14:$EE$14,1,CC112)=1,CC113&gt;0),1,1-INDEX('Lease Cycles'!$DD$14:$DJ$14,1,CC112)))),0)</f>
        <v>0</v>
      </c>
      <c r="CD121" s="24">
        <f>IF(CD114=1,IF('Lease Cycles'!$AJ$14=1,0,'Lease Cycles'!$D$14*INDEX('Lease Cycles'!$FH$14:$FN$14,1,CD112)*IF(INDEX('Lease Cycles'!$EF$14:$EL$14,1,CD112)=1,1,IF(OR(INDEX('Lease Cycles'!$DY$14:$EE$14,1,CD112)=1,CD113&gt;0),1,1-INDEX('Lease Cycles'!$DD$14:$DJ$14,1,CD112)))),0)</f>
        <v>0</v>
      </c>
      <c r="CE121" s="24">
        <f>IF(CE114=1,IF('Lease Cycles'!$AJ$14=1,0,'Lease Cycles'!$D$14*INDEX('Lease Cycles'!$FH$14:$FN$14,1,CE112)*IF(INDEX('Lease Cycles'!$EF$14:$EL$14,1,CE112)=1,1,IF(OR(INDEX('Lease Cycles'!$DY$14:$EE$14,1,CE112)=1,CE113&gt;0),1,1-INDEX('Lease Cycles'!$DD$14:$DJ$14,1,CE112)))),0)</f>
        <v>0</v>
      </c>
      <c r="CF121" s="24">
        <f>IF(CF114=1,IF('Lease Cycles'!$AJ$14=1,0,'Lease Cycles'!$D$14*INDEX('Lease Cycles'!$FH$14:$FN$14,1,CF112)*IF(INDEX('Lease Cycles'!$EF$14:$EL$14,1,CF112)=1,1,IF(OR(INDEX('Lease Cycles'!$DY$14:$EE$14,1,CF112)=1,CF113&gt;0),1,1-INDEX('Lease Cycles'!$DD$14:$DJ$14,1,CF112)))),0)</f>
        <v>0</v>
      </c>
      <c r="CG121" s="24">
        <f>IF(CG114=1,IF('Lease Cycles'!$AJ$14=1,0,'Lease Cycles'!$D$14*INDEX('Lease Cycles'!$FH$14:$FN$14,1,CG112)*IF(INDEX('Lease Cycles'!$EF$14:$EL$14,1,CG112)=1,1,IF(OR(INDEX('Lease Cycles'!$DY$14:$EE$14,1,CG112)=1,CG113&gt;0),1,1-INDEX('Lease Cycles'!$DD$14:$DJ$14,1,CG112)))),0)</f>
        <v>0</v>
      </c>
      <c r="CH121" s="24">
        <f>IF(CH114=1,IF('Lease Cycles'!$AJ$14=1,0,'Lease Cycles'!$D$14*INDEX('Lease Cycles'!$FH$14:$FN$14,1,CH112)*IF(INDEX('Lease Cycles'!$EF$14:$EL$14,1,CH112)=1,1,IF(OR(INDEX('Lease Cycles'!$DY$14:$EE$14,1,CH112)=1,CH113&gt;0),1,1-INDEX('Lease Cycles'!$DD$14:$DJ$14,1,CH112)))),0)</f>
        <v>0</v>
      </c>
      <c r="CI121" s="24">
        <f>IF(CI114=1,IF('Lease Cycles'!$AJ$14=1,0,'Lease Cycles'!$D$14*INDEX('Lease Cycles'!$FH$14:$FN$14,1,CI112)*IF(INDEX('Lease Cycles'!$EF$14:$EL$14,1,CI112)=1,1,IF(OR(INDEX('Lease Cycles'!$DY$14:$EE$14,1,CI112)=1,CI113&gt;0),1,1-INDEX('Lease Cycles'!$DD$14:$DJ$14,1,CI112)))),0)</f>
        <v>0</v>
      </c>
      <c r="CJ121" s="24">
        <f>IF(CJ114=1,IF('Lease Cycles'!$AJ$14=1,0,'Lease Cycles'!$D$14*INDEX('Lease Cycles'!$FH$14:$FN$14,1,CJ112)*IF(INDEX('Lease Cycles'!$EF$14:$EL$14,1,CJ112)=1,1,IF(OR(INDEX('Lease Cycles'!$DY$14:$EE$14,1,CJ112)=1,CJ113&gt;0),1,1-INDEX('Lease Cycles'!$DD$14:$DJ$14,1,CJ112)))),0)</f>
        <v>0</v>
      </c>
      <c r="CK121" s="24">
        <f>IF(CK114=1,IF('Lease Cycles'!$AJ$14=1,0,'Lease Cycles'!$D$14*INDEX('Lease Cycles'!$FH$14:$FN$14,1,CK112)*IF(INDEX('Lease Cycles'!$EF$14:$EL$14,1,CK112)=1,1,IF(OR(INDEX('Lease Cycles'!$DY$14:$EE$14,1,CK112)=1,CK113&gt;0),1,1-INDEX('Lease Cycles'!$DD$14:$DJ$14,1,CK112)))),0)</f>
        <v>0</v>
      </c>
      <c r="CL121" s="24">
        <f>IF(CL114=1,IF('Lease Cycles'!$AJ$14=1,0,'Lease Cycles'!$D$14*INDEX('Lease Cycles'!$FH$14:$FN$14,1,CL112)*IF(INDEX('Lease Cycles'!$EF$14:$EL$14,1,CL112)=1,1,IF(OR(INDEX('Lease Cycles'!$DY$14:$EE$14,1,CL112)=1,CL113&gt;0),1,1-INDEX('Lease Cycles'!$DD$14:$DJ$14,1,CL112)))),0)</f>
        <v>0</v>
      </c>
      <c r="CM121" s="24">
        <f>IF(CM114=1,IF('Lease Cycles'!$AJ$14=1,0,'Lease Cycles'!$D$14*INDEX('Lease Cycles'!$FH$14:$FN$14,1,CM112)*IF(INDEX('Lease Cycles'!$EF$14:$EL$14,1,CM112)=1,1,IF(OR(INDEX('Lease Cycles'!$DY$14:$EE$14,1,CM112)=1,CM113&gt;0),1,1-INDEX('Lease Cycles'!$DD$14:$DJ$14,1,CM112)))),0)</f>
        <v>0</v>
      </c>
      <c r="CN121" s="24">
        <f>IF(CN114=1,IF('Lease Cycles'!$AJ$14=1,0,'Lease Cycles'!$D$14*INDEX('Lease Cycles'!$FH$14:$FN$14,1,CN112)*IF(INDEX('Lease Cycles'!$EF$14:$EL$14,1,CN112)=1,1,IF(OR(INDEX('Lease Cycles'!$DY$14:$EE$14,1,CN112)=1,CN113&gt;0),1,1-INDEX('Lease Cycles'!$DD$14:$DJ$14,1,CN112)))),0)</f>
        <v>0</v>
      </c>
      <c r="CO121" s="24">
        <f>IF(CO114=1,IF('Lease Cycles'!$AJ$14=1,0,'Lease Cycles'!$D$14*INDEX('Lease Cycles'!$FH$14:$FN$14,1,CO112)*IF(INDEX('Lease Cycles'!$EF$14:$EL$14,1,CO112)=1,1,IF(OR(INDEX('Lease Cycles'!$DY$14:$EE$14,1,CO112)=1,CO113&gt;0),1,1-INDEX('Lease Cycles'!$DD$14:$DJ$14,1,CO112)))),0)</f>
        <v>0</v>
      </c>
      <c r="CP121" s="24">
        <f>IF(CP114=1,IF('Lease Cycles'!$AJ$14=1,0,'Lease Cycles'!$D$14*INDEX('Lease Cycles'!$FH$14:$FN$14,1,CP112)*IF(INDEX('Lease Cycles'!$EF$14:$EL$14,1,CP112)=1,1,IF(OR(INDEX('Lease Cycles'!$DY$14:$EE$14,1,CP112)=1,CP113&gt;0),1,1-INDEX('Lease Cycles'!$DD$14:$DJ$14,1,CP112)))),0)</f>
        <v>0</v>
      </c>
      <c r="CQ121" s="24">
        <f>IF(CQ114=1,IF('Lease Cycles'!$AJ$14=1,0,'Lease Cycles'!$D$14*INDEX('Lease Cycles'!$FH$14:$FN$14,1,CQ112)*IF(INDEX('Lease Cycles'!$EF$14:$EL$14,1,CQ112)=1,1,IF(OR(INDEX('Lease Cycles'!$DY$14:$EE$14,1,CQ112)=1,CQ113&gt;0),1,1-INDEX('Lease Cycles'!$DD$14:$DJ$14,1,CQ112)))),0)</f>
        <v>0</v>
      </c>
      <c r="CR121" s="24">
        <f>IF(CR114=1,IF('Lease Cycles'!$AJ$14=1,0,'Lease Cycles'!$D$14*INDEX('Lease Cycles'!$FH$14:$FN$14,1,CR112)*IF(INDEX('Lease Cycles'!$EF$14:$EL$14,1,CR112)=1,1,IF(OR(INDEX('Lease Cycles'!$DY$14:$EE$14,1,CR112)=1,CR113&gt;0),1,1-INDEX('Lease Cycles'!$DD$14:$DJ$14,1,CR112)))),0)</f>
        <v>0</v>
      </c>
      <c r="CS121" s="24">
        <f>IF(CS114=1,IF('Lease Cycles'!$AJ$14=1,0,'Lease Cycles'!$D$14*INDEX('Lease Cycles'!$FH$14:$FN$14,1,CS112)*IF(INDEX('Lease Cycles'!$EF$14:$EL$14,1,CS112)=1,1,IF(OR(INDEX('Lease Cycles'!$DY$14:$EE$14,1,CS112)=1,CS113&gt;0),1,1-INDEX('Lease Cycles'!$DD$14:$DJ$14,1,CS112)))),0)</f>
        <v>0</v>
      </c>
      <c r="CT121" s="24">
        <f>IF(CT114=1,IF('Lease Cycles'!$AJ$14=1,0,'Lease Cycles'!$D$14*INDEX('Lease Cycles'!$FH$14:$FN$14,1,CT112)*IF(INDEX('Lease Cycles'!$EF$14:$EL$14,1,CT112)=1,1,IF(OR(INDEX('Lease Cycles'!$DY$14:$EE$14,1,CT112)=1,CT113&gt;0),1,1-INDEX('Lease Cycles'!$DD$14:$DJ$14,1,CT112)))),0)</f>
        <v>0</v>
      </c>
      <c r="CU121" s="24">
        <f>IF(CU114=1,IF('Lease Cycles'!$AJ$14=1,0,'Lease Cycles'!$D$14*INDEX('Lease Cycles'!$FH$14:$FN$14,1,CU112)*IF(INDEX('Lease Cycles'!$EF$14:$EL$14,1,CU112)=1,1,IF(OR(INDEX('Lease Cycles'!$DY$14:$EE$14,1,CU112)=1,CU113&gt;0),1,1-INDEX('Lease Cycles'!$DD$14:$DJ$14,1,CU112)))),0)</f>
        <v>0</v>
      </c>
      <c r="CV121" s="24">
        <f>IF(CV114=1,IF('Lease Cycles'!$AJ$14=1,0,'Lease Cycles'!$D$14*INDEX('Lease Cycles'!$FH$14:$FN$14,1,CV112)*IF(INDEX('Lease Cycles'!$EF$14:$EL$14,1,CV112)=1,1,IF(OR(INDEX('Lease Cycles'!$DY$14:$EE$14,1,CV112)=1,CV113&gt;0),1,1-INDEX('Lease Cycles'!$DD$14:$DJ$14,1,CV112)))),0)</f>
        <v>0</v>
      </c>
      <c r="CW121" s="24">
        <f>IF(CW114=1,IF('Lease Cycles'!$AJ$14=1,0,'Lease Cycles'!$D$14*INDEX('Lease Cycles'!$FH$14:$FN$14,1,CW112)*IF(INDEX('Lease Cycles'!$EF$14:$EL$14,1,CW112)=1,1,IF(OR(INDEX('Lease Cycles'!$DY$14:$EE$14,1,CW112)=1,CW113&gt;0),1,1-INDEX('Lease Cycles'!$DD$14:$DJ$14,1,CW112)))),0)</f>
        <v>0</v>
      </c>
      <c r="CX121" s="24">
        <f>IF(CX114=1,IF('Lease Cycles'!$AJ$14=1,0,'Lease Cycles'!$D$14*INDEX('Lease Cycles'!$FH$14:$FN$14,1,CX112)*IF(INDEX('Lease Cycles'!$EF$14:$EL$14,1,CX112)=1,1,IF(OR(INDEX('Lease Cycles'!$DY$14:$EE$14,1,CX112)=1,CX113&gt;0),1,1-INDEX('Lease Cycles'!$DD$14:$DJ$14,1,CX112)))),0)</f>
        <v>0</v>
      </c>
      <c r="CY121" s="24">
        <f>IF(CY114=1,IF('Lease Cycles'!$AJ$14=1,0,'Lease Cycles'!$D$14*INDEX('Lease Cycles'!$FH$14:$FN$14,1,CY112)*IF(INDEX('Lease Cycles'!$EF$14:$EL$14,1,CY112)=1,1,IF(OR(INDEX('Lease Cycles'!$DY$14:$EE$14,1,CY112)=1,CY113&gt;0),1,1-INDEX('Lease Cycles'!$DD$14:$DJ$14,1,CY112)))),0)</f>
        <v>0</v>
      </c>
      <c r="CZ121" s="24">
        <f>IF(CZ114=1,IF('Lease Cycles'!$AJ$14=1,0,'Lease Cycles'!$D$14*INDEX('Lease Cycles'!$FH$14:$FN$14,1,CZ112)*IF(INDEX('Lease Cycles'!$EF$14:$EL$14,1,CZ112)=1,1,IF(OR(INDEX('Lease Cycles'!$DY$14:$EE$14,1,CZ112)=1,CZ113&gt;0),1,1-INDEX('Lease Cycles'!$DD$14:$DJ$14,1,CZ112)))),0)</f>
        <v>0</v>
      </c>
      <c r="DA121" s="24">
        <f>IF(DA114=1,IF('Lease Cycles'!$AJ$14=1,0,'Lease Cycles'!$D$14*INDEX('Lease Cycles'!$FH$14:$FN$14,1,DA112)*IF(INDEX('Lease Cycles'!$EF$14:$EL$14,1,DA112)=1,1,IF(OR(INDEX('Lease Cycles'!$DY$14:$EE$14,1,DA112)=1,DA113&gt;0),1,1-INDEX('Lease Cycles'!$DD$14:$DJ$14,1,DA112)))),0)</f>
        <v>0</v>
      </c>
      <c r="DB121" s="24">
        <f>IF(DB114=1,IF('Lease Cycles'!$AJ$14=1,0,'Lease Cycles'!$D$14*INDEX('Lease Cycles'!$FH$14:$FN$14,1,DB112)*IF(INDEX('Lease Cycles'!$EF$14:$EL$14,1,DB112)=1,1,IF(OR(INDEX('Lease Cycles'!$DY$14:$EE$14,1,DB112)=1,DB113&gt;0),1,1-INDEX('Lease Cycles'!$DD$14:$DJ$14,1,DB112)))),0)</f>
        <v>0</v>
      </c>
      <c r="DC121" s="24">
        <f>IF(DC114=1,IF('Lease Cycles'!$AJ$14=1,0,'Lease Cycles'!$D$14*INDEX('Lease Cycles'!$FH$14:$FN$14,1,DC112)*IF(INDEX('Lease Cycles'!$EF$14:$EL$14,1,DC112)=1,1,IF(OR(INDEX('Lease Cycles'!$DY$14:$EE$14,1,DC112)=1,DC113&gt;0),1,1-INDEX('Lease Cycles'!$DD$14:$DJ$14,1,DC112)))),0)</f>
        <v>0</v>
      </c>
      <c r="DD121" s="24">
        <f>IF(DD114=1,IF('Lease Cycles'!$AJ$14=1,0,'Lease Cycles'!$D$14*INDEX('Lease Cycles'!$FH$14:$FN$14,1,DD112)*IF(INDEX('Lease Cycles'!$EF$14:$EL$14,1,DD112)=1,1,IF(OR(INDEX('Lease Cycles'!$DY$14:$EE$14,1,DD112)=1,DD113&gt;0),1,1-INDEX('Lease Cycles'!$DD$14:$DJ$14,1,DD112)))),0)</f>
        <v>0</v>
      </c>
      <c r="DE121" s="24">
        <f>IF(DE114=1,IF('Lease Cycles'!$AJ$14=1,0,'Lease Cycles'!$D$14*INDEX('Lease Cycles'!$FH$14:$FN$14,1,DE112)*IF(INDEX('Lease Cycles'!$EF$14:$EL$14,1,DE112)=1,1,IF(OR(INDEX('Lease Cycles'!$DY$14:$EE$14,1,DE112)=1,DE113&gt;0),1,1-INDEX('Lease Cycles'!$DD$14:$DJ$14,1,DE112)))),0)</f>
        <v>0</v>
      </c>
      <c r="DF121" s="24">
        <f>IF(DF114=1,IF('Lease Cycles'!$AJ$14=1,0,'Lease Cycles'!$D$14*INDEX('Lease Cycles'!$FH$14:$FN$14,1,DF112)*IF(INDEX('Lease Cycles'!$EF$14:$EL$14,1,DF112)=1,1,IF(OR(INDEX('Lease Cycles'!$DY$14:$EE$14,1,DF112)=1,DF113&gt;0),1,1-INDEX('Lease Cycles'!$DD$14:$DJ$14,1,DF112)))),0)</f>
        <v>0</v>
      </c>
      <c r="DG121" s="24">
        <f>IF(DG114=1,IF('Lease Cycles'!$AJ$14=1,0,'Lease Cycles'!$D$14*INDEX('Lease Cycles'!$FH$14:$FN$14,1,DG112)*IF(INDEX('Lease Cycles'!$EF$14:$EL$14,1,DG112)=1,1,IF(OR(INDEX('Lease Cycles'!$DY$14:$EE$14,1,DG112)=1,DG113&gt;0),1,1-INDEX('Lease Cycles'!$DD$14:$DJ$14,1,DG112)))),0)</f>
        <v>0</v>
      </c>
      <c r="DH121" s="24">
        <f>IF(DH114=1,IF('Lease Cycles'!$AJ$14=1,0,'Lease Cycles'!$D$14*INDEX('Lease Cycles'!$FH$14:$FN$14,1,DH112)*IF(INDEX('Lease Cycles'!$EF$14:$EL$14,1,DH112)=1,1,IF(OR(INDEX('Lease Cycles'!$DY$14:$EE$14,1,DH112)=1,DH113&gt;0),1,1-INDEX('Lease Cycles'!$DD$14:$DJ$14,1,DH112)))),0)</f>
        <v>0</v>
      </c>
      <c r="DI121" s="24">
        <f>IF(DI114=1,IF('Lease Cycles'!$AJ$14=1,0,'Lease Cycles'!$D$14*INDEX('Lease Cycles'!$FH$14:$FN$14,1,DI112)*IF(INDEX('Lease Cycles'!$EF$14:$EL$14,1,DI112)=1,1,IF(OR(INDEX('Lease Cycles'!$DY$14:$EE$14,1,DI112)=1,DI113&gt;0),1,1-INDEX('Lease Cycles'!$DD$14:$DJ$14,1,DI112)))),0)</f>
        <v>0</v>
      </c>
      <c r="DJ121" s="24">
        <f>IF(DJ114=1,IF('Lease Cycles'!$AJ$14=1,0,'Lease Cycles'!$D$14*INDEX('Lease Cycles'!$FH$14:$FN$14,1,DJ112)*IF(INDEX('Lease Cycles'!$EF$14:$EL$14,1,DJ112)=1,1,IF(OR(INDEX('Lease Cycles'!$DY$14:$EE$14,1,DJ112)=1,DJ113&gt;0),1,1-INDEX('Lease Cycles'!$DD$14:$DJ$14,1,DJ112)))),0)</f>
        <v>0</v>
      </c>
      <c r="DK121" s="24">
        <f>IF(DK114=1,IF('Lease Cycles'!$AJ$14=1,0,'Lease Cycles'!$D$14*INDEX('Lease Cycles'!$FH$14:$FN$14,1,DK112)*IF(INDEX('Lease Cycles'!$EF$14:$EL$14,1,DK112)=1,1,IF(OR(INDEX('Lease Cycles'!$DY$14:$EE$14,1,DK112)=1,DK113&gt;0),1,1-INDEX('Lease Cycles'!$DD$14:$DJ$14,1,DK112)))),0)</f>
        <v>0</v>
      </c>
      <c r="DL121" s="24">
        <f>IF(DL114=1,IF('Lease Cycles'!$AJ$14=1,0,'Lease Cycles'!$D$14*INDEX('Lease Cycles'!$FH$14:$FN$14,1,DL112)*IF(INDEX('Lease Cycles'!$EF$14:$EL$14,1,DL112)=1,1,IF(OR(INDEX('Lease Cycles'!$DY$14:$EE$14,1,DL112)=1,DL113&gt;0),1,1-INDEX('Lease Cycles'!$DD$14:$DJ$14,1,DL112)))),0)</f>
        <v>0</v>
      </c>
      <c r="DM121" s="24">
        <f>IF(DM114=1,IF('Lease Cycles'!$AJ$14=1,0,'Lease Cycles'!$D$14*INDEX('Lease Cycles'!$FH$14:$FN$14,1,DM112)*IF(INDEX('Lease Cycles'!$EF$14:$EL$14,1,DM112)=1,1,IF(OR(INDEX('Lease Cycles'!$DY$14:$EE$14,1,DM112)=1,DM113&gt;0),1,1-INDEX('Lease Cycles'!$DD$14:$DJ$14,1,DM112)))),0)</f>
        <v>0</v>
      </c>
      <c r="DN121" s="24">
        <f>IF(DN114=1,IF('Lease Cycles'!$AJ$14=1,0,'Lease Cycles'!$D$14*INDEX('Lease Cycles'!$FH$14:$FN$14,1,DN112)*IF(INDEX('Lease Cycles'!$EF$14:$EL$14,1,DN112)=1,1,IF(OR(INDEX('Lease Cycles'!$DY$14:$EE$14,1,DN112)=1,DN113&gt;0),1,1-INDEX('Lease Cycles'!$DD$14:$DJ$14,1,DN112)))),0)</f>
        <v>0</v>
      </c>
      <c r="DO121" s="24">
        <f>IF(DO114=1,IF('Lease Cycles'!$AJ$14=1,0,'Lease Cycles'!$D$14*INDEX('Lease Cycles'!$FH$14:$FN$14,1,DO112)*IF(INDEX('Lease Cycles'!$EF$14:$EL$14,1,DO112)=1,1,IF(OR(INDEX('Lease Cycles'!$DY$14:$EE$14,1,DO112)=1,DO113&gt;0),1,1-INDEX('Lease Cycles'!$DD$14:$DJ$14,1,DO112)))),0)</f>
        <v>0</v>
      </c>
      <c r="DP121" s="24">
        <f>IF(DP114=1,IF('Lease Cycles'!$AJ$14=1,0,'Lease Cycles'!$D$14*INDEX('Lease Cycles'!$FH$14:$FN$14,1,DP112)*IF(INDEX('Lease Cycles'!$EF$14:$EL$14,1,DP112)=1,1,IF(OR(INDEX('Lease Cycles'!$DY$14:$EE$14,1,DP112)=1,DP113&gt;0),1,1-INDEX('Lease Cycles'!$DD$14:$DJ$14,1,DP112)))),0)</f>
        <v>0</v>
      </c>
      <c r="DQ121" s="24">
        <f>IF(DQ114=1,IF('Lease Cycles'!$AJ$14=1,0,'Lease Cycles'!$D$14*INDEX('Lease Cycles'!$FH$14:$FN$14,1,DQ112)*IF(INDEX('Lease Cycles'!$EF$14:$EL$14,1,DQ112)=1,1,IF(OR(INDEX('Lease Cycles'!$DY$14:$EE$14,1,DQ112)=1,DQ113&gt;0),1,1-INDEX('Lease Cycles'!$DD$14:$DJ$14,1,DQ112)))),0)</f>
        <v>0</v>
      </c>
      <c r="DR121" s="24">
        <f>IF(DR114=1,IF('Lease Cycles'!$AJ$14=1,0,'Lease Cycles'!$D$14*INDEX('Lease Cycles'!$FH$14:$FN$14,1,DR112)*IF(INDEX('Lease Cycles'!$EF$14:$EL$14,1,DR112)=1,1,IF(OR(INDEX('Lease Cycles'!$DY$14:$EE$14,1,DR112)=1,DR113&gt;0),1,1-INDEX('Lease Cycles'!$DD$14:$DJ$14,1,DR112)))),0)</f>
        <v>0</v>
      </c>
      <c r="DS121" s="24">
        <f>IF(DS114=1,IF('Lease Cycles'!$AJ$14=1,0,'Lease Cycles'!$D$14*INDEX('Lease Cycles'!$FH$14:$FN$14,1,DS112)*IF(INDEX('Lease Cycles'!$EF$14:$EL$14,1,DS112)=1,1,IF(OR(INDEX('Lease Cycles'!$DY$14:$EE$14,1,DS112)=1,DS113&gt;0),1,1-INDEX('Lease Cycles'!$DD$14:$DJ$14,1,DS112)))),0)</f>
        <v>0</v>
      </c>
      <c r="DT121" s="24">
        <f>IF(DT114=1,IF('Lease Cycles'!$AJ$14=1,0,'Lease Cycles'!$D$14*INDEX('Lease Cycles'!$FH$14:$FN$14,1,DT112)*IF(INDEX('Lease Cycles'!$EF$14:$EL$14,1,DT112)=1,1,IF(OR(INDEX('Lease Cycles'!$DY$14:$EE$14,1,DT112)=1,DT113&gt;0),1,1-INDEX('Lease Cycles'!$DD$14:$DJ$14,1,DT112)))),0)</f>
        <v>0</v>
      </c>
      <c r="DU121" s="24">
        <f>IF(DU114=1,IF('Lease Cycles'!$AJ$14=1,0,'Lease Cycles'!$D$14*INDEX('Lease Cycles'!$FH$14:$FN$14,1,DU112)*IF(INDEX('Lease Cycles'!$EF$14:$EL$14,1,DU112)=1,1,IF(OR(INDEX('Lease Cycles'!$DY$14:$EE$14,1,DU112)=1,DU113&gt;0),1,1-INDEX('Lease Cycles'!$DD$14:$DJ$14,1,DU112)))),0)</f>
        <v>0</v>
      </c>
      <c r="DV121" s="24">
        <f>IF(DV114=1,IF('Lease Cycles'!$AJ$14=1,0,'Lease Cycles'!$D$14*INDEX('Lease Cycles'!$FH$14:$FN$14,1,DV112)*IF(INDEX('Lease Cycles'!$EF$14:$EL$14,1,DV112)=1,1,IF(OR(INDEX('Lease Cycles'!$DY$14:$EE$14,1,DV112)=1,DV113&gt;0),1,1-INDEX('Lease Cycles'!$DD$14:$DJ$14,1,DV112)))),0)</f>
        <v>0</v>
      </c>
      <c r="DW121" s="24">
        <f>IF(DW114=1,IF('Lease Cycles'!$AJ$14=1,0,'Lease Cycles'!$D$14*INDEX('Lease Cycles'!$FH$14:$FN$14,1,DW112)*IF(INDEX('Lease Cycles'!$EF$14:$EL$14,1,DW112)=1,1,IF(OR(INDEX('Lease Cycles'!$DY$14:$EE$14,1,DW112)=1,DW113&gt;0),1,1-INDEX('Lease Cycles'!$DD$14:$DJ$14,1,DW112)))),0)</f>
        <v>0</v>
      </c>
      <c r="DX121" s="24">
        <f>IF(DX114=1,IF('Lease Cycles'!$AJ$14=1,0,'Lease Cycles'!$D$14*INDEX('Lease Cycles'!$FH$14:$FN$14,1,DX112)*IF(INDEX('Lease Cycles'!$EF$14:$EL$14,1,DX112)=1,1,IF(OR(INDEX('Lease Cycles'!$DY$14:$EE$14,1,DX112)=1,DX113&gt;0),1,1-INDEX('Lease Cycles'!$DD$14:$DJ$14,1,DX112)))),0)</f>
        <v>0</v>
      </c>
      <c r="DY121" s="24">
        <f>IF(DY114=1,IF('Lease Cycles'!$AJ$14=1,0,'Lease Cycles'!$D$14*INDEX('Lease Cycles'!$FH$14:$FN$14,1,DY112)*IF(INDEX('Lease Cycles'!$EF$14:$EL$14,1,DY112)=1,1,IF(OR(INDEX('Lease Cycles'!$DY$14:$EE$14,1,DY112)=1,DY113&gt;0),1,1-INDEX('Lease Cycles'!$DD$14:$DJ$14,1,DY112)))),0)</f>
        <v>0</v>
      </c>
      <c r="DZ121" s="24">
        <f>IF(DZ114=1,IF('Lease Cycles'!$AJ$14=1,0,'Lease Cycles'!$D$14*INDEX('Lease Cycles'!$FH$14:$FN$14,1,DZ112)*IF(INDEX('Lease Cycles'!$EF$14:$EL$14,1,DZ112)=1,1,IF(OR(INDEX('Lease Cycles'!$DY$14:$EE$14,1,DZ112)=1,DZ113&gt;0),1,1-INDEX('Lease Cycles'!$DD$14:$DJ$14,1,DZ112)))),0)</f>
        <v>0</v>
      </c>
      <c r="EA121" s="24">
        <f>IF(EA114=1,IF('Lease Cycles'!$AJ$14=1,0,'Lease Cycles'!$D$14*INDEX('Lease Cycles'!$FH$14:$FN$14,1,EA112)*IF(INDEX('Lease Cycles'!$EF$14:$EL$14,1,EA112)=1,1,IF(OR(INDEX('Lease Cycles'!$DY$14:$EE$14,1,EA112)=1,EA113&gt;0),1,1-INDEX('Lease Cycles'!$DD$14:$DJ$14,1,EA112)))),0)</f>
        <v>0</v>
      </c>
      <c r="EB121" s="24">
        <f>IF(EB114=1,IF('Lease Cycles'!$AJ$14=1,0,'Lease Cycles'!$D$14*INDEX('Lease Cycles'!$FH$14:$FN$14,1,EB112)*IF(INDEX('Lease Cycles'!$EF$14:$EL$14,1,EB112)=1,1,IF(OR(INDEX('Lease Cycles'!$DY$14:$EE$14,1,EB112)=1,EB113&gt;0),1,1-INDEX('Lease Cycles'!$DD$14:$DJ$14,1,EB112)))),0)</f>
        <v>0</v>
      </c>
      <c r="EC121" s="24">
        <f>IF(EC114=1,IF('Lease Cycles'!$AJ$14=1,0,'Lease Cycles'!$D$14*INDEX('Lease Cycles'!$FH$14:$FN$14,1,EC112)*IF(INDEX('Lease Cycles'!$EF$14:$EL$14,1,EC112)=1,1,IF(OR(INDEX('Lease Cycles'!$DY$14:$EE$14,1,EC112)=1,EC113&gt;0),1,1-INDEX('Lease Cycles'!$DD$14:$DJ$14,1,EC112)))),0)</f>
        <v>0</v>
      </c>
      <c r="ED121" s="24">
        <f>IF(ED114=1,IF('Lease Cycles'!$AJ$14=1,0,'Lease Cycles'!$D$14*INDEX('Lease Cycles'!$FH$14:$FN$14,1,ED112)*IF(INDEX('Lease Cycles'!$EF$14:$EL$14,1,ED112)=1,1,IF(OR(INDEX('Lease Cycles'!$DY$14:$EE$14,1,ED112)=1,ED113&gt;0),1,1-INDEX('Lease Cycles'!$DD$14:$DJ$14,1,ED112)))),0)</f>
        <v>0</v>
      </c>
      <c r="EE121" s="24">
        <f>IF(EE114=1,IF('Lease Cycles'!$AJ$14=1,0,'Lease Cycles'!$D$14*INDEX('Lease Cycles'!$FH$14:$FN$14,1,EE112)*IF(INDEX('Lease Cycles'!$EF$14:$EL$14,1,EE112)=1,1,IF(OR(INDEX('Lease Cycles'!$DY$14:$EE$14,1,EE112)=1,EE113&gt;0),1,1-INDEX('Lease Cycles'!$DD$14:$DJ$14,1,EE112)))),0)</f>
        <v>0</v>
      </c>
      <c r="EF121" s="24">
        <f>IF(EF114=1,IF('Lease Cycles'!$AJ$14=1,0,'Lease Cycles'!$D$14*INDEX('Lease Cycles'!$FH$14:$FN$14,1,EF112)*IF(INDEX('Lease Cycles'!$EF$14:$EL$14,1,EF112)=1,1,IF(OR(INDEX('Lease Cycles'!$DY$14:$EE$14,1,EF112)=1,EF113&gt;0),1,1-INDEX('Lease Cycles'!$DD$14:$DJ$14,1,EF112)))),0)</f>
        <v>0</v>
      </c>
      <c r="EG121" s="24">
        <f>IF(EG114=1,IF('Lease Cycles'!$AJ$14=1,0,'Lease Cycles'!$D$14*INDEX('Lease Cycles'!$FH$14:$FN$14,1,EG112)*IF(INDEX('Lease Cycles'!$EF$14:$EL$14,1,EG112)=1,1,IF(OR(INDEX('Lease Cycles'!$DY$14:$EE$14,1,EG112)=1,EG113&gt;0),1,1-INDEX('Lease Cycles'!$DD$14:$DJ$14,1,EG112)))),0)</f>
        <v>0</v>
      </c>
      <c r="EH121" s="24">
        <f>IF(EH114=1,IF('Lease Cycles'!$AJ$14=1,0,'Lease Cycles'!$D$14*INDEX('Lease Cycles'!$FH$14:$FN$14,1,EH112)*IF(INDEX('Lease Cycles'!$EF$14:$EL$14,1,EH112)=1,1,IF(OR(INDEX('Lease Cycles'!$DY$14:$EE$14,1,EH112)=1,EH113&gt;0),1,1-INDEX('Lease Cycles'!$DD$14:$DJ$14,1,EH112)))),0)</f>
        <v>0</v>
      </c>
      <c r="EI121" s="24">
        <f>IF(EI114=1,IF('Lease Cycles'!$AJ$14=1,0,'Lease Cycles'!$D$14*INDEX('Lease Cycles'!$FH$14:$FN$14,1,EI112)*IF(INDEX('Lease Cycles'!$EF$14:$EL$14,1,EI112)=1,1,IF(OR(INDEX('Lease Cycles'!$DY$14:$EE$14,1,EI112)=1,EI113&gt;0),1,1-INDEX('Lease Cycles'!$DD$14:$DJ$14,1,EI112)))),0)</f>
        <v>0</v>
      </c>
      <c r="EJ121" s="24">
        <f>IF(EJ114=1,IF('Lease Cycles'!$AJ$14=1,0,'Lease Cycles'!$D$14*INDEX('Lease Cycles'!$FH$14:$FN$14,1,EJ112)*IF(INDEX('Lease Cycles'!$EF$14:$EL$14,1,EJ112)=1,1,IF(OR(INDEX('Lease Cycles'!$DY$14:$EE$14,1,EJ112)=1,EJ113&gt;0),1,1-INDEX('Lease Cycles'!$DD$14:$DJ$14,1,EJ112)))),0)</f>
        <v>0</v>
      </c>
      <c r="EK121" s="24">
        <f>IF(EK114=1,IF('Lease Cycles'!$AJ$14=1,0,'Lease Cycles'!$D$14*INDEX('Lease Cycles'!$FH$14:$FN$14,1,EK112)*IF(INDEX('Lease Cycles'!$EF$14:$EL$14,1,EK112)=1,1,IF(OR(INDEX('Lease Cycles'!$DY$14:$EE$14,1,EK112)=1,EK113&gt;0),1,1-INDEX('Lease Cycles'!$DD$14:$DJ$14,1,EK112)))),0)</f>
        <v>0</v>
      </c>
      <c r="EL121" s="24">
        <f>IF(EL114=1,IF('Lease Cycles'!$AJ$14=1,0,'Lease Cycles'!$D$14*INDEX('Lease Cycles'!$FH$14:$FN$14,1,EL112)*IF(INDEX('Lease Cycles'!$EF$14:$EL$14,1,EL112)=1,1,IF(OR(INDEX('Lease Cycles'!$DY$14:$EE$14,1,EL112)=1,EL113&gt;0),1,1-INDEX('Lease Cycles'!$DD$14:$DJ$14,1,EL112)))),0)</f>
        <v>0</v>
      </c>
      <c r="EM121" s="24">
        <f>IF(EM114=1,IF('Lease Cycles'!$AJ$14=1,0,'Lease Cycles'!$D$14*INDEX('Lease Cycles'!$FH$14:$FN$14,1,EM112)*IF(INDEX('Lease Cycles'!$EF$14:$EL$14,1,EM112)=1,1,IF(OR(INDEX('Lease Cycles'!$DY$14:$EE$14,1,EM112)=1,EM113&gt;0),1,1-INDEX('Lease Cycles'!$DD$14:$DJ$14,1,EM112)))),0)</f>
        <v>0</v>
      </c>
      <c r="EN121" s="24">
        <f>IF(EN114=1,IF('Lease Cycles'!$AJ$14=1,0,'Lease Cycles'!$D$14*INDEX('Lease Cycles'!$FH$14:$FN$14,1,EN112)*IF(INDEX('Lease Cycles'!$EF$14:$EL$14,1,EN112)=1,1,IF(OR(INDEX('Lease Cycles'!$DY$14:$EE$14,1,EN112)=1,EN113&gt;0),1,1-INDEX('Lease Cycles'!$DD$14:$DJ$14,1,EN112)))),0)</f>
        <v>0</v>
      </c>
      <c r="EO121" s="24">
        <f>IF(EO114=1,IF('Lease Cycles'!$AJ$14=1,0,'Lease Cycles'!$D$14*INDEX('Lease Cycles'!$FH$14:$FN$14,1,EO112)*IF(INDEX('Lease Cycles'!$EF$14:$EL$14,1,EO112)=1,1,IF(OR(INDEX('Lease Cycles'!$DY$14:$EE$14,1,EO112)=1,EO113&gt;0),1,1-INDEX('Lease Cycles'!$DD$14:$DJ$14,1,EO112)))),0)</f>
        <v>0</v>
      </c>
      <c r="EP121" s="24">
        <f>IF(EP114=1,IF('Lease Cycles'!$AJ$14=1,0,'Lease Cycles'!$D$14*INDEX('Lease Cycles'!$FH$14:$FN$14,1,EP112)*IF(INDEX('Lease Cycles'!$EF$14:$EL$14,1,EP112)=1,1,IF(OR(INDEX('Lease Cycles'!$DY$14:$EE$14,1,EP112)=1,EP113&gt;0),1,1-INDEX('Lease Cycles'!$DD$14:$DJ$14,1,EP112)))),0)</f>
        <v>0</v>
      </c>
      <c r="EQ121" s="24">
        <f>IF(EQ114=1,IF('Lease Cycles'!$AJ$14=1,0,'Lease Cycles'!$D$14*INDEX('Lease Cycles'!$FH$14:$FN$14,1,EQ112)*IF(INDEX('Lease Cycles'!$EF$14:$EL$14,1,EQ112)=1,1,IF(OR(INDEX('Lease Cycles'!$DY$14:$EE$14,1,EQ112)=1,EQ113&gt;0),1,1-INDEX('Lease Cycles'!$DD$14:$DJ$14,1,EQ112)))),0)</f>
        <v>0</v>
      </c>
      <c r="ER121" s="24">
        <f>IF(ER114=1,IF('Lease Cycles'!$AJ$14=1,0,'Lease Cycles'!$D$14*INDEX('Lease Cycles'!$FH$14:$FN$14,1,ER112)*IF(INDEX('Lease Cycles'!$EF$14:$EL$14,1,ER112)=1,1,IF(OR(INDEX('Lease Cycles'!$DY$14:$EE$14,1,ER112)=1,ER113&gt;0),1,1-INDEX('Lease Cycles'!$DD$14:$DJ$14,1,ER112)))),0)</f>
        <v>0</v>
      </c>
      <c r="ES121" s="24">
        <f>IF(ES114=1,IF('Lease Cycles'!$AJ$14=1,0,'Lease Cycles'!$D$14*INDEX('Lease Cycles'!$FH$14:$FN$14,1,ES112)*IF(INDEX('Lease Cycles'!$EF$14:$EL$14,1,ES112)=1,1,IF(OR(INDEX('Lease Cycles'!$DY$14:$EE$14,1,ES112)=1,ES113&gt;0),1,1-INDEX('Lease Cycles'!$DD$14:$DJ$14,1,ES112)))),0)</f>
        <v>0</v>
      </c>
      <c r="ET121" s="24">
        <f>IF(ET114=1,IF('Lease Cycles'!$AJ$14=1,0,'Lease Cycles'!$D$14*INDEX('Lease Cycles'!$FH$14:$FN$14,1,ET112)*IF(INDEX('Lease Cycles'!$EF$14:$EL$14,1,ET112)=1,1,IF(OR(INDEX('Lease Cycles'!$DY$14:$EE$14,1,ET112)=1,ET113&gt;0),1,1-INDEX('Lease Cycles'!$DD$14:$DJ$14,1,ET112)))),0)</f>
        <v>0</v>
      </c>
    </row>
    <row r="122">
      <c r="A122" s="103">
        <v>7</v>
      </c>
      <c r="B122" s="23" t="str">
        <f>IF('Lease Cycles'!$B$14="","(empty slot)",'Lease Cycles'!$B$14)</f>
        <v>Sunfield Nails</v>
      </c>
      <c r="C122" s="23" t="s">
        <v>687</v>
      </c>
      <c r="D122" s="104" t="s">
        <v>688</v>
      </c>
      <c r="E122" s="25">
        <f>'Lease Cycles'!$AL$14</f>
        <v>0</v>
      </c>
      <c r="G122" s="24">
        <f>SUM(S122:AD122)</f>
        <v>0</v>
      </c>
      <c r="H122" s="24">
        <f>SUM(AE122:AP122)</f>
        <v>0</v>
      </c>
      <c r="I122" s="24">
        <f>SUM(AQ122:BB122)</f>
        <v>0</v>
      </c>
      <c r="J122" s="24">
        <f>SUM(BC122:BN122)</f>
        <v>0</v>
      </c>
      <c r="K122" s="24">
        <f>SUM(BO122:BZ122)</f>
        <v>0</v>
      </c>
      <c r="L122" s="24">
        <f>SUM(CA122:CL122)</f>
        <v>0</v>
      </c>
      <c r="M122" s="24">
        <f>SUM(CM122:CX122)</f>
        <v>0</v>
      </c>
      <c r="N122" s="24">
        <f>SUM(CY122:DJ122)</f>
        <v>0</v>
      </c>
      <c r="O122" s="24">
        <f>SUM(DK122:DV122)</f>
        <v>0</v>
      </c>
      <c r="P122" s="24">
        <f>SUM(DW122:EH122)</f>
        <v>0</v>
      </c>
      <c r="Q122" s="24">
        <f>SUM(EI122:ET122)</f>
        <v>0</v>
      </c>
      <c r="S122" s="24">
        <f>IF(S114=1,'Lease Cycles'!$D$14*IF(INDEX('Lease Cycles'!$EF$14:$EL$14,1,S112)=1,'Lease Cycles'!$AJ$14*INDEX('Lease Cycles'!$FO$14:$FU$14,1,S112)*INDEX('Lease Cycles'!$EM$14:$ES$14,1,S112)+'Lease Cycles'!$BE$14*IF(S113&lt;INDEX('Lease Cycles'!$FA$14:$FG$14,1,S112),0,1-INDEX('Lease Cycles'!$EM$14:$ES$14,1,S112)),IF(OR(INDEX('Lease Cycles'!$DY$14:$EE$14,1,S112)=1,S113&gt;0),1,1-INDEX('Lease Cycles'!$DD$14:$DJ$14,1,S112))*('Lease Cycles'!$AJ$14*INDEX('Lease Cycles'!$FO$14:$FU$14,1,S112)+'Lease Cycles'!$BE$14*(1-INDEX('Lease Cycles'!$FO$14:$FU$14,1,S112)))),0)</f>
        <v>0</v>
      </c>
      <c r="T122" s="24">
        <f>IF(T114=1,'Lease Cycles'!$D$14*IF(INDEX('Lease Cycles'!$EF$14:$EL$14,1,T112)=1,'Lease Cycles'!$AJ$14*INDEX('Lease Cycles'!$FO$14:$FU$14,1,T112)*INDEX('Lease Cycles'!$EM$14:$ES$14,1,T112)+'Lease Cycles'!$BE$14*IF(T113&lt;INDEX('Lease Cycles'!$FA$14:$FG$14,1,T112),0,1-INDEX('Lease Cycles'!$EM$14:$ES$14,1,T112)),IF(OR(INDEX('Lease Cycles'!$DY$14:$EE$14,1,T112)=1,T113&gt;0),1,1-INDEX('Lease Cycles'!$DD$14:$DJ$14,1,T112))*('Lease Cycles'!$AJ$14*INDEX('Lease Cycles'!$FO$14:$FU$14,1,T112)+'Lease Cycles'!$BE$14*(1-INDEX('Lease Cycles'!$FO$14:$FU$14,1,T112)))),0)</f>
        <v>0</v>
      </c>
      <c r="U122" s="24">
        <f>IF(U114=1,'Lease Cycles'!$D$14*IF(INDEX('Lease Cycles'!$EF$14:$EL$14,1,U112)=1,'Lease Cycles'!$AJ$14*INDEX('Lease Cycles'!$FO$14:$FU$14,1,U112)*INDEX('Lease Cycles'!$EM$14:$ES$14,1,U112)+'Lease Cycles'!$BE$14*IF(U113&lt;INDEX('Lease Cycles'!$FA$14:$FG$14,1,U112),0,1-INDEX('Lease Cycles'!$EM$14:$ES$14,1,U112)),IF(OR(INDEX('Lease Cycles'!$DY$14:$EE$14,1,U112)=1,U113&gt;0),1,1-INDEX('Lease Cycles'!$DD$14:$DJ$14,1,U112))*('Lease Cycles'!$AJ$14*INDEX('Lease Cycles'!$FO$14:$FU$14,1,U112)+'Lease Cycles'!$BE$14*(1-INDEX('Lease Cycles'!$FO$14:$FU$14,1,U112)))),0)</f>
        <v>0</v>
      </c>
      <c r="V122" s="24">
        <f>IF(V114=1,'Lease Cycles'!$D$14*IF(INDEX('Lease Cycles'!$EF$14:$EL$14,1,V112)=1,'Lease Cycles'!$AJ$14*INDEX('Lease Cycles'!$FO$14:$FU$14,1,V112)*INDEX('Lease Cycles'!$EM$14:$ES$14,1,V112)+'Lease Cycles'!$BE$14*IF(V113&lt;INDEX('Lease Cycles'!$FA$14:$FG$14,1,V112),0,1-INDEX('Lease Cycles'!$EM$14:$ES$14,1,V112)),IF(OR(INDEX('Lease Cycles'!$DY$14:$EE$14,1,V112)=1,V113&gt;0),1,1-INDEX('Lease Cycles'!$DD$14:$DJ$14,1,V112))*('Lease Cycles'!$AJ$14*INDEX('Lease Cycles'!$FO$14:$FU$14,1,V112)+'Lease Cycles'!$BE$14*(1-INDEX('Lease Cycles'!$FO$14:$FU$14,1,V112)))),0)</f>
        <v>0</v>
      </c>
      <c r="W122" s="24">
        <f>IF(W114=1,'Lease Cycles'!$D$14*IF(INDEX('Lease Cycles'!$EF$14:$EL$14,1,W112)=1,'Lease Cycles'!$AJ$14*INDEX('Lease Cycles'!$FO$14:$FU$14,1,W112)*INDEX('Lease Cycles'!$EM$14:$ES$14,1,W112)+'Lease Cycles'!$BE$14*IF(W113&lt;INDEX('Lease Cycles'!$FA$14:$FG$14,1,W112),0,1-INDEX('Lease Cycles'!$EM$14:$ES$14,1,W112)),IF(OR(INDEX('Lease Cycles'!$DY$14:$EE$14,1,W112)=1,W113&gt;0),1,1-INDEX('Lease Cycles'!$DD$14:$DJ$14,1,W112))*('Lease Cycles'!$AJ$14*INDEX('Lease Cycles'!$FO$14:$FU$14,1,W112)+'Lease Cycles'!$BE$14*(1-INDEX('Lease Cycles'!$FO$14:$FU$14,1,W112)))),0)</f>
        <v>0</v>
      </c>
      <c r="X122" s="24">
        <f>IF(X114=1,'Lease Cycles'!$D$14*IF(INDEX('Lease Cycles'!$EF$14:$EL$14,1,X112)=1,'Lease Cycles'!$AJ$14*INDEX('Lease Cycles'!$FO$14:$FU$14,1,X112)*INDEX('Lease Cycles'!$EM$14:$ES$14,1,X112)+'Lease Cycles'!$BE$14*IF(X113&lt;INDEX('Lease Cycles'!$FA$14:$FG$14,1,X112),0,1-INDEX('Lease Cycles'!$EM$14:$ES$14,1,X112)),IF(OR(INDEX('Lease Cycles'!$DY$14:$EE$14,1,X112)=1,X113&gt;0),1,1-INDEX('Lease Cycles'!$DD$14:$DJ$14,1,X112))*('Lease Cycles'!$AJ$14*INDEX('Lease Cycles'!$FO$14:$FU$14,1,X112)+'Lease Cycles'!$BE$14*(1-INDEX('Lease Cycles'!$FO$14:$FU$14,1,X112)))),0)</f>
        <v>0</v>
      </c>
      <c r="Y122" s="24">
        <f>IF(Y114=1,'Lease Cycles'!$D$14*IF(INDEX('Lease Cycles'!$EF$14:$EL$14,1,Y112)=1,'Lease Cycles'!$AJ$14*INDEX('Lease Cycles'!$FO$14:$FU$14,1,Y112)*INDEX('Lease Cycles'!$EM$14:$ES$14,1,Y112)+'Lease Cycles'!$BE$14*IF(Y113&lt;INDEX('Lease Cycles'!$FA$14:$FG$14,1,Y112),0,1-INDEX('Lease Cycles'!$EM$14:$ES$14,1,Y112)),IF(OR(INDEX('Lease Cycles'!$DY$14:$EE$14,1,Y112)=1,Y113&gt;0),1,1-INDEX('Lease Cycles'!$DD$14:$DJ$14,1,Y112))*('Lease Cycles'!$AJ$14*INDEX('Lease Cycles'!$FO$14:$FU$14,1,Y112)+'Lease Cycles'!$BE$14*(1-INDEX('Lease Cycles'!$FO$14:$FU$14,1,Y112)))),0)</f>
        <v>0</v>
      </c>
      <c r="Z122" s="24">
        <f>IF(Z114=1,'Lease Cycles'!$D$14*IF(INDEX('Lease Cycles'!$EF$14:$EL$14,1,Z112)=1,'Lease Cycles'!$AJ$14*INDEX('Lease Cycles'!$FO$14:$FU$14,1,Z112)*INDEX('Lease Cycles'!$EM$14:$ES$14,1,Z112)+'Lease Cycles'!$BE$14*IF(Z113&lt;INDEX('Lease Cycles'!$FA$14:$FG$14,1,Z112),0,1-INDEX('Lease Cycles'!$EM$14:$ES$14,1,Z112)),IF(OR(INDEX('Lease Cycles'!$DY$14:$EE$14,1,Z112)=1,Z113&gt;0),1,1-INDEX('Lease Cycles'!$DD$14:$DJ$14,1,Z112))*('Lease Cycles'!$AJ$14*INDEX('Lease Cycles'!$FO$14:$FU$14,1,Z112)+'Lease Cycles'!$BE$14*(1-INDEX('Lease Cycles'!$FO$14:$FU$14,1,Z112)))),0)</f>
        <v>0</v>
      </c>
      <c r="AA122" s="24">
        <f>IF(AA114=1,'Lease Cycles'!$D$14*IF(INDEX('Lease Cycles'!$EF$14:$EL$14,1,AA112)=1,'Lease Cycles'!$AJ$14*INDEX('Lease Cycles'!$FO$14:$FU$14,1,AA112)*INDEX('Lease Cycles'!$EM$14:$ES$14,1,AA112)+'Lease Cycles'!$BE$14*IF(AA113&lt;INDEX('Lease Cycles'!$FA$14:$FG$14,1,AA112),0,1-INDEX('Lease Cycles'!$EM$14:$ES$14,1,AA112)),IF(OR(INDEX('Lease Cycles'!$DY$14:$EE$14,1,AA112)=1,AA113&gt;0),1,1-INDEX('Lease Cycles'!$DD$14:$DJ$14,1,AA112))*('Lease Cycles'!$AJ$14*INDEX('Lease Cycles'!$FO$14:$FU$14,1,AA112)+'Lease Cycles'!$BE$14*(1-INDEX('Lease Cycles'!$FO$14:$FU$14,1,AA112)))),0)</f>
        <v>0</v>
      </c>
      <c r="AB122" s="24">
        <f>IF(AB114=1,'Lease Cycles'!$D$14*IF(INDEX('Lease Cycles'!$EF$14:$EL$14,1,AB112)=1,'Lease Cycles'!$AJ$14*INDEX('Lease Cycles'!$FO$14:$FU$14,1,AB112)*INDEX('Lease Cycles'!$EM$14:$ES$14,1,AB112)+'Lease Cycles'!$BE$14*IF(AB113&lt;INDEX('Lease Cycles'!$FA$14:$FG$14,1,AB112),0,1-INDEX('Lease Cycles'!$EM$14:$ES$14,1,AB112)),IF(OR(INDEX('Lease Cycles'!$DY$14:$EE$14,1,AB112)=1,AB113&gt;0),1,1-INDEX('Lease Cycles'!$DD$14:$DJ$14,1,AB112))*('Lease Cycles'!$AJ$14*INDEX('Lease Cycles'!$FO$14:$FU$14,1,AB112)+'Lease Cycles'!$BE$14*(1-INDEX('Lease Cycles'!$FO$14:$FU$14,1,AB112)))),0)</f>
        <v>0</v>
      </c>
      <c r="AC122" s="24">
        <f>IF(AC114=1,'Lease Cycles'!$D$14*IF(INDEX('Lease Cycles'!$EF$14:$EL$14,1,AC112)=1,'Lease Cycles'!$AJ$14*INDEX('Lease Cycles'!$FO$14:$FU$14,1,AC112)*INDEX('Lease Cycles'!$EM$14:$ES$14,1,AC112)+'Lease Cycles'!$BE$14*IF(AC113&lt;INDEX('Lease Cycles'!$FA$14:$FG$14,1,AC112),0,1-INDEX('Lease Cycles'!$EM$14:$ES$14,1,AC112)),IF(OR(INDEX('Lease Cycles'!$DY$14:$EE$14,1,AC112)=1,AC113&gt;0),1,1-INDEX('Lease Cycles'!$DD$14:$DJ$14,1,AC112))*('Lease Cycles'!$AJ$14*INDEX('Lease Cycles'!$FO$14:$FU$14,1,AC112)+'Lease Cycles'!$BE$14*(1-INDEX('Lease Cycles'!$FO$14:$FU$14,1,AC112)))),0)</f>
        <v>0</v>
      </c>
      <c r="AD122" s="24">
        <f>IF(AD114=1,'Lease Cycles'!$D$14*IF(INDEX('Lease Cycles'!$EF$14:$EL$14,1,AD112)=1,'Lease Cycles'!$AJ$14*INDEX('Lease Cycles'!$FO$14:$FU$14,1,AD112)*INDEX('Lease Cycles'!$EM$14:$ES$14,1,AD112)+'Lease Cycles'!$BE$14*IF(AD113&lt;INDEX('Lease Cycles'!$FA$14:$FG$14,1,AD112),0,1-INDEX('Lease Cycles'!$EM$14:$ES$14,1,AD112)),IF(OR(INDEX('Lease Cycles'!$DY$14:$EE$14,1,AD112)=1,AD113&gt;0),1,1-INDEX('Lease Cycles'!$DD$14:$DJ$14,1,AD112))*('Lease Cycles'!$AJ$14*INDEX('Lease Cycles'!$FO$14:$FU$14,1,AD112)+'Lease Cycles'!$BE$14*(1-INDEX('Lease Cycles'!$FO$14:$FU$14,1,AD112)))),0)</f>
        <v>0</v>
      </c>
      <c r="AE122" s="24">
        <f>IF(AE114=1,'Lease Cycles'!$D$14*IF(INDEX('Lease Cycles'!$EF$14:$EL$14,1,AE112)=1,'Lease Cycles'!$AJ$14*INDEX('Lease Cycles'!$FO$14:$FU$14,1,AE112)*INDEX('Lease Cycles'!$EM$14:$ES$14,1,AE112)+'Lease Cycles'!$BE$14*IF(AE113&lt;INDEX('Lease Cycles'!$FA$14:$FG$14,1,AE112),0,1-INDEX('Lease Cycles'!$EM$14:$ES$14,1,AE112)),IF(OR(INDEX('Lease Cycles'!$DY$14:$EE$14,1,AE112)=1,AE113&gt;0),1,1-INDEX('Lease Cycles'!$DD$14:$DJ$14,1,AE112))*('Lease Cycles'!$AJ$14*INDEX('Lease Cycles'!$FO$14:$FU$14,1,AE112)+'Lease Cycles'!$BE$14*(1-INDEX('Lease Cycles'!$FO$14:$FU$14,1,AE112)))),0)</f>
        <v>0</v>
      </c>
      <c r="AF122" s="24">
        <f>IF(AF114=1,'Lease Cycles'!$D$14*IF(INDEX('Lease Cycles'!$EF$14:$EL$14,1,AF112)=1,'Lease Cycles'!$AJ$14*INDEX('Lease Cycles'!$FO$14:$FU$14,1,AF112)*INDEX('Lease Cycles'!$EM$14:$ES$14,1,AF112)+'Lease Cycles'!$BE$14*IF(AF113&lt;INDEX('Lease Cycles'!$FA$14:$FG$14,1,AF112),0,1-INDEX('Lease Cycles'!$EM$14:$ES$14,1,AF112)),IF(OR(INDEX('Lease Cycles'!$DY$14:$EE$14,1,AF112)=1,AF113&gt;0),1,1-INDEX('Lease Cycles'!$DD$14:$DJ$14,1,AF112))*('Lease Cycles'!$AJ$14*INDEX('Lease Cycles'!$FO$14:$FU$14,1,AF112)+'Lease Cycles'!$BE$14*(1-INDEX('Lease Cycles'!$FO$14:$FU$14,1,AF112)))),0)</f>
        <v>0</v>
      </c>
      <c r="AG122" s="24">
        <f>IF(AG114=1,'Lease Cycles'!$D$14*IF(INDEX('Lease Cycles'!$EF$14:$EL$14,1,AG112)=1,'Lease Cycles'!$AJ$14*INDEX('Lease Cycles'!$FO$14:$FU$14,1,AG112)*INDEX('Lease Cycles'!$EM$14:$ES$14,1,AG112)+'Lease Cycles'!$BE$14*IF(AG113&lt;INDEX('Lease Cycles'!$FA$14:$FG$14,1,AG112),0,1-INDEX('Lease Cycles'!$EM$14:$ES$14,1,AG112)),IF(OR(INDEX('Lease Cycles'!$DY$14:$EE$14,1,AG112)=1,AG113&gt;0),1,1-INDEX('Lease Cycles'!$DD$14:$DJ$14,1,AG112))*('Lease Cycles'!$AJ$14*INDEX('Lease Cycles'!$FO$14:$FU$14,1,AG112)+'Lease Cycles'!$BE$14*(1-INDEX('Lease Cycles'!$FO$14:$FU$14,1,AG112)))),0)</f>
        <v>0</v>
      </c>
      <c r="AH122" s="24">
        <f>IF(AH114=1,'Lease Cycles'!$D$14*IF(INDEX('Lease Cycles'!$EF$14:$EL$14,1,AH112)=1,'Lease Cycles'!$AJ$14*INDEX('Lease Cycles'!$FO$14:$FU$14,1,AH112)*INDEX('Lease Cycles'!$EM$14:$ES$14,1,AH112)+'Lease Cycles'!$BE$14*IF(AH113&lt;INDEX('Lease Cycles'!$FA$14:$FG$14,1,AH112),0,1-INDEX('Lease Cycles'!$EM$14:$ES$14,1,AH112)),IF(OR(INDEX('Lease Cycles'!$DY$14:$EE$14,1,AH112)=1,AH113&gt;0),1,1-INDEX('Lease Cycles'!$DD$14:$DJ$14,1,AH112))*('Lease Cycles'!$AJ$14*INDEX('Lease Cycles'!$FO$14:$FU$14,1,AH112)+'Lease Cycles'!$BE$14*(1-INDEX('Lease Cycles'!$FO$14:$FU$14,1,AH112)))),0)</f>
        <v>0</v>
      </c>
      <c r="AI122" s="24">
        <f>IF(AI114=1,'Lease Cycles'!$D$14*IF(INDEX('Lease Cycles'!$EF$14:$EL$14,1,AI112)=1,'Lease Cycles'!$AJ$14*INDEX('Lease Cycles'!$FO$14:$FU$14,1,AI112)*INDEX('Lease Cycles'!$EM$14:$ES$14,1,AI112)+'Lease Cycles'!$BE$14*IF(AI113&lt;INDEX('Lease Cycles'!$FA$14:$FG$14,1,AI112),0,1-INDEX('Lease Cycles'!$EM$14:$ES$14,1,AI112)),IF(OR(INDEX('Lease Cycles'!$DY$14:$EE$14,1,AI112)=1,AI113&gt;0),1,1-INDEX('Lease Cycles'!$DD$14:$DJ$14,1,AI112))*('Lease Cycles'!$AJ$14*INDEX('Lease Cycles'!$FO$14:$FU$14,1,AI112)+'Lease Cycles'!$BE$14*(1-INDEX('Lease Cycles'!$FO$14:$FU$14,1,AI112)))),0)</f>
        <v>0</v>
      </c>
      <c r="AJ122" s="24">
        <f>IF(AJ114=1,'Lease Cycles'!$D$14*IF(INDEX('Lease Cycles'!$EF$14:$EL$14,1,AJ112)=1,'Lease Cycles'!$AJ$14*INDEX('Lease Cycles'!$FO$14:$FU$14,1,AJ112)*INDEX('Lease Cycles'!$EM$14:$ES$14,1,AJ112)+'Lease Cycles'!$BE$14*IF(AJ113&lt;INDEX('Lease Cycles'!$FA$14:$FG$14,1,AJ112),0,1-INDEX('Lease Cycles'!$EM$14:$ES$14,1,AJ112)),IF(OR(INDEX('Lease Cycles'!$DY$14:$EE$14,1,AJ112)=1,AJ113&gt;0),1,1-INDEX('Lease Cycles'!$DD$14:$DJ$14,1,AJ112))*('Lease Cycles'!$AJ$14*INDEX('Lease Cycles'!$FO$14:$FU$14,1,AJ112)+'Lease Cycles'!$BE$14*(1-INDEX('Lease Cycles'!$FO$14:$FU$14,1,AJ112)))),0)</f>
        <v>0</v>
      </c>
      <c r="AK122" s="24">
        <f>IF(AK114=1,'Lease Cycles'!$D$14*IF(INDEX('Lease Cycles'!$EF$14:$EL$14,1,AK112)=1,'Lease Cycles'!$AJ$14*INDEX('Lease Cycles'!$FO$14:$FU$14,1,AK112)*INDEX('Lease Cycles'!$EM$14:$ES$14,1,AK112)+'Lease Cycles'!$BE$14*IF(AK113&lt;INDEX('Lease Cycles'!$FA$14:$FG$14,1,AK112),0,1-INDEX('Lease Cycles'!$EM$14:$ES$14,1,AK112)),IF(OR(INDEX('Lease Cycles'!$DY$14:$EE$14,1,AK112)=1,AK113&gt;0),1,1-INDEX('Lease Cycles'!$DD$14:$DJ$14,1,AK112))*('Lease Cycles'!$AJ$14*INDEX('Lease Cycles'!$FO$14:$FU$14,1,AK112)+'Lease Cycles'!$BE$14*(1-INDEX('Lease Cycles'!$FO$14:$FU$14,1,AK112)))),0)</f>
        <v>0</v>
      </c>
      <c r="AL122" s="24">
        <f>IF(AL114=1,'Lease Cycles'!$D$14*IF(INDEX('Lease Cycles'!$EF$14:$EL$14,1,AL112)=1,'Lease Cycles'!$AJ$14*INDEX('Lease Cycles'!$FO$14:$FU$14,1,AL112)*INDEX('Lease Cycles'!$EM$14:$ES$14,1,AL112)+'Lease Cycles'!$BE$14*IF(AL113&lt;INDEX('Lease Cycles'!$FA$14:$FG$14,1,AL112),0,1-INDEX('Lease Cycles'!$EM$14:$ES$14,1,AL112)),IF(OR(INDEX('Lease Cycles'!$DY$14:$EE$14,1,AL112)=1,AL113&gt;0),1,1-INDEX('Lease Cycles'!$DD$14:$DJ$14,1,AL112))*('Lease Cycles'!$AJ$14*INDEX('Lease Cycles'!$FO$14:$FU$14,1,AL112)+'Lease Cycles'!$BE$14*(1-INDEX('Lease Cycles'!$FO$14:$FU$14,1,AL112)))),0)</f>
        <v>0</v>
      </c>
      <c r="AM122" s="24">
        <f>IF(AM114=1,'Lease Cycles'!$D$14*IF(INDEX('Lease Cycles'!$EF$14:$EL$14,1,AM112)=1,'Lease Cycles'!$AJ$14*INDEX('Lease Cycles'!$FO$14:$FU$14,1,AM112)*INDEX('Lease Cycles'!$EM$14:$ES$14,1,AM112)+'Lease Cycles'!$BE$14*IF(AM113&lt;INDEX('Lease Cycles'!$FA$14:$FG$14,1,AM112),0,1-INDEX('Lease Cycles'!$EM$14:$ES$14,1,AM112)),IF(OR(INDEX('Lease Cycles'!$DY$14:$EE$14,1,AM112)=1,AM113&gt;0),1,1-INDEX('Lease Cycles'!$DD$14:$DJ$14,1,AM112))*('Lease Cycles'!$AJ$14*INDEX('Lease Cycles'!$FO$14:$FU$14,1,AM112)+'Lease Cycles'!$BE$14*(1-INDEX('Lease Cycles'!$FO$14:$FU$14,1,AM112)))),0)</f>
        <v>0</v>
      </c>
      <c r="AN122" s="24">
        <f>IF(AN114=1,'Lease Cycles'!$D$14*IF(INDEX('Lease Cycles'!$EF$14:$EL$14,1,AN112)=1,'Lease Cycles'!$AJ$14*INDEX('Lease Cycles'!$FO$14:$FU$14,1,AN112)*INDEX('Lease Cycles'!$EM$14:$ES$14,1,AN112)+'Lease Cycles'!$BE$14*IF(AN113&lt;INDEX('Lease Cycles'!$FA$14:$FG$14,1,AN112),0,1-INDEX('Lease Cycles'!$EM$14:$ES$14,1,AN112)),IF(OR(INDEX('Lease Cycles'!$DY$14:$EE$14,1,AN112)=1,AN113&gt;0),1,1-INDEX('Lease Cycles'!$DD$14:$DJ$14,1,AN112))*('Lease Cycles'!$AJ$14*INDEX('Lease Cycles'!$FO$14:$FU$14,1,AN112)+'Lease Cycles'!$BE$14*(1-INDEX('Lease Cycles'!$FO$14:$FU$14,1,AN112)))),0)</f>
        <v>0</v>
      </c>
      <c r="AO122" s="24">
        <f>IF(AO114=1,'Lease Cycles'!$D$14*IF(INDEX('Lease Cycles'!$EF$14:$EL$14,1,AO112)=1,'Lease Cycles'!$AJ$14*INDEX('Lease Cycles'!$FO$14:$FU$14,1,AO112)*INDEX('Lease Cycles'!$EM$14:$ES$14,1,AO112)+'Lease Cycles'!$BE$14*IF(AO113&lt;INDEX('Lease Cycles'!$FA$14:$FG$14,1,AO112),0,1-INDEX('Lease Cycles'!$EM$14:$ES$14,1,AO112)),IF(OR(INDEX('Lease Cycles'!$DY$14:$EE$14,1,AO112)=1,AO113&gt;0),1,1-INDEX('Lease Cycles'!$DD$14:$DJ$14,1,AO112))*('Lease Cycles'!$AJ$14*INDEX('Lease Cycles'!$FO$14:$FU$14,1,AO112)+'Lease Cycles'!$BE$14*(1-INDEX('Lease Cycles'!$FO$14:$FU$14,1,AO112)))),0)</f>
        <v>0</v>
      </c>
      <c r="AP122" s="24">
        <f>IF(AP114=1,'Lease Cycles'!$D$14*IF(INDEX('Lease Cycles'!$EF$14:$EL$14,1,AP112)=1,'Lease Cycles'!$AJ$14*INDEX('Lease Cycles'!$FO$14:$FU$14,1,AP112)*INDEX('Lease Cycles'!$EM$14:$ES$14,1,AP112)+'Lease Cycles'!$BE$14*IF(AP113&lt;INDEX('Lease Cycles'!$FA$14:$FG$14,1,AP112),0,1-INDEX('Lease Cycles'!$EM$14:$ES$14,1,AP112)),IF(OR(INDEX('Lease Cycles'!$DY$14:$EE$14,1,AP112)=1,AP113&gt;0),1,1-INDEX('Lease Cycles'!$DD$14:$DJ$14,1,AP112))*('Lease Cycles'!$AJ$14*INDEX('Lease Cycles'!$FO$14:$FU$14,1,AP112)+'Lease Cycles'!$BE$14*(1-INDEX('Lease Cycles'!$FO$14:$FU$14,1,AP112)))),0)</f>
        <v>0</v>
      </c>
      <c r="AQ122" s="24">
        <f>IF(AQ114=1,'Lease Cycles'!$D$14*IF(INDEX('Lease Cycles'!$EF$14:$EL$14,1,AQ112)=1,'Lease Cycles'!$AJ$14*INDEX('Lease Cycles'!$FO$14:$FU$14,1,AQ112)*INDEX('Lease Cycles'!$EM$14:$ES$14,1,AQ112)+'Lease Cycles'!$BE$14*IF(AQ113&lt;INDEX('Lease Cycles'!$FA$14:$FG$14,1,AQ112),0,1-INDEX('Lease Cycles'!$EM$14:$ES$14,1,AQ112)),IF(OR(INDEX('Lease Cycles'!$DY$14:$EE$14,1,AQ112)=1,AQ113&gt;0),1,1-INDEX('Lease Cycles'!$DD$14:$DJ$14,1,AQ112))*('Lease Cycles'!$AJ$14*INDEX('Lease Cycles'!$FO$14:$FU$14,1,AQ112)+'Lease Cycles'!$BE$14*(1-INDEX('Lease Cycles'!$FO$14:$FU$14,1,AQ112)))),0)</f>
        <v>0</v>
      </c>
      <c r="AR122" s="24">
        <f>IF(AR114=1,'Lease Cycles'!$D$14*IF(INDEX('Lease Cycles'!$EF$14:$EL$14,1,AR112)=1,'Lease Cycles'!$AJ$14*INDEX('Lease Cycles'!$FO$14:$FU$14,1,AR112)*INDEX('Lease Cycles'!$EM$14:$ES$14,1,AR112)+'Lease Cycles'!$BE$14*IF(AR113&lt;INDEX('Lease Cycles'!$FA$14:$FG$14,1,AR112),0,1-INDEX('Lease Cycles'!$EM$14:$ES$14,1,AR112)),IF(OR(INDEX('Lease Cycles'!$DY$14:$EE$14,1,AR112)=1,AR113&gt;0),1,1-INDEX('Lease Cycles'!$DD$14:$DJ$14,1,AR112))*('Lease Cycles'!$AJ$14*INDEX('Lease Cycles'!$FO$14:$FU$14,1,AR112)+'Lease Cycles'!$BE$14*(1-INDEX('Lease Cycles'!$FO$14:$FU$14,1,AR112)))),0)</f>
        <v>0</v>
      </c>
      <c r="AS122" s="24">
        <f>IF(AS114=1,'Lease Cycles'!$D$14*IF(INDEX('Lease Cycles'!$EF$14:$EL$14,1,AS112)=1,'Lease Cycles'!$AJ$14*INDEX('Lease Cycles'!$FO$14:$FU$14,1,AS112)*INDEX('Lease Cycles'!$EM$14:$ES$14,1,AS112)+'Lease Cycles'!$BE$14*IF(AS113&lt;INDEX('Lease Cycles'!$FA$14:$FG$14,1,AS112),0,1-INDEX('Lease Cycles'!$EM$14:$ES$14,1,AS112)),IF(OR(INDEX('Lease Cycles'!$DY$14:$EE$14,1,AS112)=1,AS113&gt;0),1,1-INDEX('Lease Cycles'!$DD$14:$DJ$14,1,AS112))*('Lease Cycles'!$AJ$14*INDEX('Lease Cycles'!$FO$14:$FU$14,1,AS112)+'Lease Cycles'!$BE$14*(1-INDEX('Lease Cycles'!$FO$14:$FU$14,1,AS112)))),0)</f>
        <v>0</v>
      </c>
      <c r="AT122" s="24">
        <f>IF(AT114=1,'Lease Cycles'!$D$14*IF(INDEX('Lease Cycles'!$EF$14:$EL$14,1,AT112)=1,'Lease Cycles'!$AJ$14*INDEX('Lease Cycles'!$FO$14:$FU$14,1,AT112)*INDEX('Lease Cycles'!$EM$14:$ES$14,1,AT112)+'Lease Cycles'!$BE$14*IF(AT113&lt;INDEX('Lease Cycles'!$FA$14:$FG$14,1,AT112),0,1-INDEX('Lease Cycles'!$EM$14:$ES$14,1,AT112)),IF(OR(INDEX('Lease Cycles'!$DY$14:$EE$14,1,AT112)=1,AT113&gt;0),1,1-INDEX('Lease Cycles'!$DD$14:$DJ$14,1,AT112))*('Lease Cycles'!$AJ$14*INDEX('Lease Cycles'!$FO$14:$FU$14,1,AT112)+'Lease Cycles'!$BE$14*(1-INDEX('Lease Cycles'!$FO$14:$FU$14,1,AT112)))),0)</f>
        <v>0</v>
      </c>
      <c r="AU122" s="24">
        <f>IF(AU114=1,'Lease Cycles'!$D$14*IF(INDEX('Lease Cycles'!$EF$14:$EL$14,1,AU112)=1,'Lease Cycles'!$AJ$14*INDEX('Lease Cycles'!$FO$14:$FU$14,1,AU112)*INDEX('Lease Cycles'!$EM$14:$ES$14,1,AU112)+'Lease Cycles'!$BE$14*IF(AU113&lt;INDEX('Lease Cycles'!$FA$14:$FG$14,1,AU112),0,1-INDEX('Lease Cycles'!$EM$14:$ES$14,1,AU112)),IF(OR(INDEX('Lease Cycles'!$DY$14:$EE$14,1,AU112)=1,AU113&gt;0),1,1-INDEX('Lease Cycles'!$DD$14:$DJ$14,1,AU112))*('Lease Cycles'!$AJ$14*INDEX('Lease Cycles'!$FO$14:$FU$14,1,AU112)+'Lease Cycles'!$BE$14*(1-INDEX('Lease Cycles'!$FO$14:$FU$14,1,AU112)))),0)</f>
        <v>0</v>
      </c>
      <c r="AV122" s="24">
        <f>IF(AV114=1,'Lease Cycles'!$D$14*IF(INDEX('Lease Cycles'!$EF$14:$EL$14,1,AV112)=1,'Lease Cycles'!$AJ$14*INDEX('Lease Cycles'!$FO$14:$FU$14,1,AV112)*INDEX('Lease Cycles'!$EM$14:$ES$14,1,AV112)+'Lease Cycles'!$BE$14*IF(AV113&lt;INDEX('Lease Cycles'!$FA$14:$FG$14,1,AV112),0,1-INDEX('Lease Cycles'!$EM$14:$ES$14,1,AV112)),IF(OR(INDEX('Lease Cycles'!$DY$14:$EE$14,1,AV112)=1,AV113&gt;0),1,1-INDEX('Lease Cycles'!$DD$14:$DJ$14,1,AV112))*('Lease Cycles'!$AJ$14*INDEX('Lease Cycles'!$FO$14:$FU$14,1,AV112)+'Lease Cycles'!$BE$14*(1-INDEX('Lease Cycles'!$FO$14:$FU$14,1,AV112)))),0)</f>
        <v>0</v>
      </c>
      <c r="AW122" s="24">
        <f>IF(AW114=1,'Lease Cycles'!$D$14*IF(INDEX('Lease Cycles'!$EF$14:$EL$14,1,AW112)=1,'Lease Cycles'!$AJ$14*INDEX('Lease Cycles'!$FO$14:$FU$14,1,AW112)*INDEX('Lease Cycles'!$EM$14:$ES$14,1,AW112)+'Lease Cycles'!$BE$14*IF(AW113&lt;INDEX('Lease Cycles'!$FA$14:$FG$14,1,AW112),0,1-INDEX('Lease Cycles'!$EM$14:$ES$14,1,AW112)),IF(OR(INDEX('Lease Cycles'!$DY$14:$EE$14,1,AW112)=1,AW113&gt;0),1,1-INDEX('Lease Cycles'!$DD$14:$DJ$14,1,AW112))*('Lease Cycles'!$AJ$14*INDEX('Lease Cycles'!$FO$14:$FU$14,1,AW112)+'Lease Cycles'!$BE$14*(1-INDEX('Lease Cycles'!$FO$14:$FU$14,1,AW112)))),0)</f>
        <v>0</v>
      </c>
      <c r="AX122" s="24">
        <f>IF(AX114=1,'Lease Cycles'!$D$14*IF(INDEX('Lease Cycles'!$EF$14:$EL$14,1,AX112)=1,'Lease Cycles'!$AJ$14*INDEX('Lease Cycles'!$FO$14:$FU$14,1,AX112)*INDEX('Lease Cycles'!$EM$14:$ES$14,1,AX112)+'Lease Cycles'!$BE$14*IF(AX113&lt;INDEX('Lease Cycles'!$FA$14:$FG$14,1,AX112),0,1-INDEX('Lease Cycles'!$EM$14:$ES$14,1,AX112)),IF(OR(INDEX('Lease Cycles'!$DY$14:$EE$14,1,AX112)=1,AX113&gt;0),1,1-INDEX('Lease Cycles'!$DD$14:$DJ$14,1,AX112))*('Lease Cycles'!$AJ$14*INDEX('Lease Cycles'!$FO$14:$FU$14,1,AX112)+'Lease Cycles'!$BE$14*(1-INDEX('Lease Cycles'!$FO$14:$FU$14,1,AX112)))),0)</f>
        <v>0</v>
      </c>
      <c r="AY122" s="24">
        <f>IF(AY114=1,'Lease Cycles'!$D$14*IF(INDEX('Lease Cycles'!$EF$14:$EL$14,1,AY112)=1,'Lease Cycles'!$AJ$14*INDEX('Lease Cycles'!$FO$14:$FU$14,1,AY112)*INDEX('Lease Cycles'!$EM$14:$ES$14,1,AY112)+'Lease Cycles'!$BE$14*IF(AY113&lt;INDEX('Lease Cycles'!$FA$14:$FG$14,1,AY112),0,1-INDEX('Lease Cycles'!$EM$14:$ES$14,1,AY112)),IF(OR(INDEX('Lease Cycles'!$DY$14:$EE$14,1,AY112)=1,AY113&gt;0),1,1-INDEX('Lease Cycles'!$DD$14:$DJ$14,1,AY112))*('Lease Cycles'!$AJ$14*INDEX('Lease Cycles'!$FO$14:$FU$14,1,AY112)+'Lease Cycles'!$BE$14*(1-INDEX('Lease Cycles'!$FO$14:$FU$14,1,AY112)))),0)</f>
        <v>0</v>
      </c>
      <c r="AZ122" s="24">
        <f>IF(AZ114=1,'Lease Cycles'!$D$14*IF(INDEX('Lease Cycles'!$EF$14:$EL$14,1,AZ112)=1,'Lease Cycles'!$AJ$14*INDEX('Lease Cycles'!$FO$14:$FU$14,1,AZ112)*INDEX('Lease Cycles'!$EM$14:$ES$14,1,AZ112)+'Lease Cycles'!$BE$14*IF(AZ113&lt;INDEX('Lease Cycles'!$FA$14:$FG$14,1,AZ112),0,1-INDEX('Lease Cycles'!$EM$14:$ES$14,1,AZ112)),IF(OR(INDEX('Lease Cycles'!$DY$14:$EE$14,1,AZ112)=1,AZ113&gt;0),1,1-INDEX('Lease Cycles'!$DD$14:$DJ$14,1,AZ112))*('Lease Cycles'!$AJ$14*INDEX('Lease Cycles'!$FO$14:$FU$14,1,AZ112)+'Lease Cycles'!$BE$14*(1-INDEX('Lease Cycles'!$FO$14:$FU$14,1,AZ112)))),0)</f>
        <v>0</v>
      </c>
      <c r="BA122" s="24">
        <f>IF(BA114=1,'Lease Cycles'!$D$14*IF(INDEX('Lease Cycles'!$EF$14:$EL$14,1,BA112)=1,'Lease Cycles'!$AJ$14*INDEX('Lease Cycles'!$FO$14:$FU$14,1,BA112)*INDEX('Lease Cycles'!$EM$14:$ES$14,1,BA112)+'Lease Cycles'!$BE$14*IF(BA113&lt;INDEX('Lease Cycles'!$FA$14:$FG$14,1,BA112),0,1-INDEX('Lease Cycles'!$EM$14:$ES$14,1,BA112)),IF(OR(INDEX('Lease Cycles'!$DY$14:$EE$14,1,BA112)=1,BA113&gt;0),1,1-INDEX('Lease Cycles'!$DD$14:$DJ$14,1,BA112))*('Lease Cycles'!$AJ$14*INDEX('Lease Cycles'!$FO$14:$FU$14,1,BA112)+'Lease Cycles'!$BE$14*(1-INDEX('Lease Cycles'!$FO$14:$FU$14,1,BA112)))),0)</f>
        <v>0</v>
      </c>
      <c r="BB122" s="24">
        <f>IF(BB114=1,'Lease Cycles'!$D$14*IF(INDEX('Lease Cycles'!$EF$14:$EL$14,1,BB112)=1,'Lease Cycles'!$AJ$14*INDEX('Lease Cycles'!$FO$14:$FU$14,1,BB112)*INDEX('Lease Cycles'!$EM$14:$ES$14,1,BB112)+'Lease Cycles'!$BE$14*IF(BB113&lt;INDEX('Lease Cycles'!$FA$14:$FG$14,1,BB112),0,1-INDEX('Lease Cycles'!$EM$14:$ES$14,1,BB112)),IF(OR(INDEX('Lease Cycles'!$DY$14:$EE$14,1,BB112)=1,BB113&gt;0),1,1-INDEX('Lease Cycles'!$DD$14:$DJ$14,1,BB112))*('Lease Cycles'!$AJ$14*INDEX('Lease Cycles'!$FO$14:$FU$14,1,BB112)+'Lease Cycles'!$BE$14*(1-INDEX('Lease Cycles'!$FO$14:$FU$14,1,BB112)))),0)</f>
        <v>0</v>
      </c>
      <c r="BC122" s="24">
        <f>IF(BC114=1,'Lease Cycles'!$D$14*IF(INDEX('Lease Cycles'!$EF$14:$EL$14,1,BC112)=1,'Lease Cycles'!$AJ$14*INDEX('Lease Cycles'!$FO$14:$FU$14,1,BC112)*INDEX('Lease Cycles'!$EM$14:$ES$14,1,BC112)+'Lease Cycles'!$BE$14*IF(BC113&lt;INDEX('Lease Cycles'!$FA$14:$FG$14,1,BC112),0,1-INDEX('Lease Cycles'!$EM$14:$ES$14,1,BC112)),IF(OR(INDEX('Lease Cycles'!$DY$14:$EE$14,1,BC112)=1,BC113&gt;0),1,1-INDEX('Lease Cycles'!$DD$14:$DJ$14,1,BC112))*('Lease Cycles'!$AJ$14*INDEX('Lease Cycles'!$FO$14:$FU$14,1,BC112)+'Lease Cycles'!$BE$14*(1-INDEX('Lease Cycles'!$FO$14:$FU$14,1,BC112)))),0)</f>
        <v>0</v>
      </c>
      <c r="BD122" s="24">
        <f>IF(BD114=1,'Lease Cycles'!$D$14*IF(INDEX('Lease Cycles'!$EF$14:$EL$14,1,BD112)=1,'Lease Cycles'!$AJ$14*INDEX('Lease Cycles'!$FO$14:$FU$14,1,BD112)*INDEX('Lease Cycles'!$EM$14:$ES$14,1,BD112)+'Lease Cycles'!$BE$14*IF(BD113&lt;INDEX('Lease Cycles'!$FA$14:$FG$14,1,BD112),0,1-INDEX('Lease Cycles'!$EM$14:$ES$14,1,BD112)),IF(OR(INDEX('Lease Cycles'!$DY$14:$EE$14,1,BD112)=1,BD113&gt;0),1,1-INDEX('Lease Cycles'!$DD$14:$DJ$14,1,BD112))*('Lease Cycles'!$AJ$14*INDEX('Lease Cycles'!$FO$14:$FU$14,1,BD112)+'Lease Cycles'!$BE$14*(1-INDEX('Lease Cycles'!$FO$14:$FU$14,1,BD112)))),0)</f>
        <v>0</v>
      </c>
      <c r="BE122" s="24">
        <f>IF(BE114=1,'Lease Cycles'!$D$14*IF(INDEX('Lease Cycles'!$EF$14:$EL$14,1,BE112)=1,'Lease Cycles'!$AJ$14*INDEX('Lease Cycles'!$FO$14:$FU$14,1,BE112)*INDEX('Lease Cycles'!$EM$14:$ES$14,1,BE112)+'Lease Cycles'!$BE$14*IF(BE113&lt;INDEX('Lease Cycles'!$FA$14:$FG$14,1,BE112),0,1-INDEX('Lease Cycles'!$EM$14:$ES$14,1,BE112)),IF(OR(INDEX('Lease Cycles'!$DY$14:$EE$14,1,BE112)=1,BE113&gt;0),1,1-INDEX('Lease Cycles'!$DD$14:$DJ$14,1,BE112))*('Lease Cycles'!$AJ$14*INDEX('Lease Cycles'!$FO$14:$FU$14,1,BE112)+'Lease Cycles'!$BE$14*(1-INDEX('Lease Cycles'!$FO$14:$FU$14,1,BE112)))),0)</f>
        <v>0</v>
      </c>
      <c r="BF122" s="24">
        <f>IF(BF114=1,'Lease Cycles'!$D$14*IF(INDEX('Lease Cycles'!$EF$14:$EL$14,1,BF112)=1,'Lease Cycles'!$AJ$14*INDEX('Lease Cycles'!$FO$14:$FU$14,1,BF112)*INDEX('Lease Cycles'!$EM$14:$ES$14,1,BF112)+'Lease Cycles'!$BE$14*IF(BF113&lt;INDEX('Lease Cycles'!$FA$14:$FG$14,1,BF112),0,1-INDEX('Lease Cycles'!$EM$14:$ES$14,1,BF112)),IF(OR(INDEX('Lease Cycles'!$DY$14:$EE$14,1,BF112)=1,BF113&gt;0),1,1-INDEX('Lease Cycles'!$DD$14:$DJ$14,1,BF112))*('Lease Cycles'!$AJ$14*INDEX('Lease Cycles'!$FO$14:$FU$14,1,BF112)+'Lease Cycles'!$BE$14*(1-INDEX('Lease Cycles'!$FO$14:$FU$14,1,BF112)))),0)</f>
        <v>0</v>
      </c>
      <c r="BG122" s="24">
        <f>IF(BG114=1,'Lease Cycles'!$D$14*IF(INDEX('Lease Cycles'!$EF$14:$EL$14,1,BG112)=1,'Lease Cycles'!$AJ$14*INDEX('Lease Cycles'!$FO$14:$FU$14,1,BG112)*INDEX('Lease Cycles'!$EM$14:$ES$14,1,BG112)+'Lease Cycles'!$BE$14*IF(BG113&lt;INDEX('Lease Cycles'!$FA$14:$FG$14,1,BG112),0,1-INDEX('Lease Cycles'!$EM$14:$ES$14,1,BG112)),IF(OR(INDEX('Lease Cycles'!$DY$14:$EE$14,1,BG112)=1,BG113&gt;0),1,1-INDEX('Lease Cycles'!$DD$14:$DJ$14,1,BG112))*('Lease Cycles'!$AJ$14*INDEX('Lease Cycles'!$FO$14:$FU$14,1,BG112)+'Lease Cycles'!$BE$14*(1-INDEX('Lease Cycles'!$FO$14:$FU$14,1,BG112)))),0)</f>
        <v>0</v>
      </c>
      <c r="BH122" s="24">
        <f>IF(BH114=1,'Lease Cycles'!$D$14*IF(INDEX('Lease Cycles'!$EF$14:$EL$14,1,BH112)=1,'Lease Cycles'!$AJ$14*INDEX('Lease Cycles'!$FO$14:$FU$14,1,BH112)*INDEX('Lease Cycles'!$EM$14:$ES$14,1,BH112)+'Lease Cycles'!$BE$14*IF(BH113&lt;INDEX('Lease Cycles'!$FA$14:$FG$14,1,BH112),0,1-INDEX('Lease Cycles'!$EM$14:$ES$14,1,BH112)),IF(OR(INDEX('Lease Cycles'!$DY$14:$EE$14,1,BH112)=1,BH113&gt;0),1,1-INDEX('Lease Cycles'!$DD$14:$DJ$14,1,BH112))*('Lease Cycles'!$AJ$14*INDEX('Lease Cycles'!$FO$14:$FU$14,1,BH112)+'Lease Cycles'!$BE$14*(1-INDEX('Lease Cycles'!$FO$14:$FU$14,1,BH112)))),0)</f>
        <v>0</v>
      </c>
      <c r="BI122" s="24">
        <f>IF(BI114=1,'Lease Cycles'!$D$14*IF(INDEX('Lease Cycles'!$EF$14:$EL$14,1,BI112)=1,'Lease Cycles'!$AJ$14*INDEX('Lease Cycles'!$FO$14:$FU$14,1,BI112)*INDEX('Lease Cycles'!$EM$14:$ES$14,1,BI112)+'Lease Cycles'!$BE$14*IF(BI113&lt;INDEX('Lease Cycles'!$FA$14:$FG$14,1,BI112),0,1-INDEX('Lease Cycles'!$EM$14:$ES$14,1,BI112)),IF(OR(INDEX('Lease Cycles'!$DY$14:$EE$14,1,BI112)=1,BI113&gt;0),1,1-INDEX('Lease Cycles'!$DD$14:$DJ$14,1,BI112))*('Lease Cycles'!$AJ$14*INDEX('Lease Cycles'!$FO$14:$FU$14,1,BI112)+'Lease Cycles'!$BE$14*(1-INDEX('Lease Cycles'!$FO$14:$FU$14,1,BI112)))),0)</f>
        <v>0</v>
      </c>
      <c r="BJ122" s="24">
        <f>IF(BJ114=1,'Lease Cycles'!$D$14*IF(INDEX('Lease Cycles'!$EF$14:$EL$14,1,BJ112)=1,'Lease Cycles'!$AJ$14*INDEX('Lease Cycles'!$FO$14:$FU$14,1,BJ112)*INDEX('Lease Cycles'!$EM$14:$ES$14,1,BJ112)+'Lease Cycles'!$BE$14*IF(BJ113&lt;INDEX('Lease Cycles'!$FA$14:$FG$14,1,BJ112),0,1-INDEX('Lease Cycles'!$EM$14:$ES$14,1,BJ112)),IF(OR(INDEX('Lease Cycles'!$DY$14:$EE$14,1,BJ112)=1,BJ113&gt;0),1,1-INDEX('Lease Cycles'!$DD$14:$DJ$14,1,BJ112))*('Lease Cycles'!$AJ$14*INDEX('Lease Cycles'!$FO$14:$FU$14,1,BJ112)+'Lease Cycles'!$BE$14*(1-INDEX('Lease Cycles'!$FO$14:$FU$14,1,BJ112)))),0)</f>
        <v>0</v>
      </c>
      <c r="BK122" s="24">
        <f>IF(BK114=1,'Lease Cycles'!$D$14*IF(INDEX('Lease Cycles'!$EF$14:$EL$14,1,BK112)=1,'Lease Cycles'!$AJ$14*INDEX('Lease Cycles'!$FO$14:$FU$14,1,BK112)*INDEX('Lease Cycles'!$EM$14:$ES$14,1,BK112)+'Lease Cycles'!$BE$14*IF(BK113&lt;INDEX('Lease Cycles'!$FA$14:$FG$14,1,BK112),0,1-INDEX('Lease Cycles'!$EM$14:$ES$14,1,BK112)),IF(OR(INDEX('Lease Cycles'!$DY$14:$EE$14,1,BK112)=1,BK113&gt;0),1,1-INDEX('Lease Cycles'!$DD$14:$DJ$14,1,BK112))*('Lease Cycles'!$AJ$14*INDEX('Lease Cycles'!$FO$14:$FU$14,1,BK112)+'Lease Cycles'!$BE$14*(1-INDEX('Lease Cycles'!$FO$14:$FU$14,1,BK112)))),0)</f>
        <v>0</v>
      </c>
      <c r="BL122" s="24">
        <f>IF(BL114=1,'Lease Cycles'!$D$14*IF(INDEX('Lease Cycles'!$EF$14:$EL$14,1,BL112)=1,'Lease Cycles'!$AJ$14*INDEX('Lease Cycles'!$FO$14:$FU$14,1,BL112)*INDEX('Lease Cycles'!$EM$14:$ES$14,1,BL112)+'Lease Cycles'!$BE$14*IF(BL113&lt;INDEX('Lease Cycles'!$FA$14:$FG$14,1,BL112),0,1-INDEX('Lease Cycles'!$EM$14:$ES$14,1,BL112)),IF(OR(INDEX('Lease Cycles'!$DY$14:$EE$14,1,BL112)=1,BL113&gt;0),1,1-INDEX('Lease Cycles'!$DD$14:$DJ$14,1,BL112))*('Lease Cycles'!$AJ$14*INDEX('Lease Cycles'!$FO$14:$FU$14,1,BL112)+'Lease Cycles'!$BE$14*(1-INDEX('Lease Cycles'!$FO$14:$FU$14,1,BL112)))),0)</f>
        <v>0</v>
      </c>
      <c r="BM122" s="24">
        <f>IF(BM114=1,'Lease Cycles'!$D$14*IF(INDEX('Lease Cycles'!$EF$14:$EL$14,1,BM112)=1,'Lease Cycles'!$AJ$14*INDEX('Lease Cycles'!$FO$14:$FU$14,1,BM112)*INDEX('Lease Cycles'!$EM$14:$ES$14,1,BM112)+'Lease Cycles'!$BE$14*IF(BM113&lt;INDEX('Lease Cycles'!$FA$14:$FG$14,1,BM112),0,1-INDEX('Lease Cycles'!$EM$14:$ES$14,1,BM112)),IF(OR(INDEX('Lease Cycles'!$DY$14:$EE$14,1,BM112)=1,BM113&gt;0),1,1-INDEX('Lease Cycles'!$DD$14:$DJ$14,1,BM112))*('Lease Cycles'!$AJ$14*INDEX('Lease Cycles'!$FO$14:$FU$14,1,BM112)+'Lease Cycles'!$BE$14*(1-INDEX('Lease Cycles'!$FO$14:$FU$14,1,BM112)))),0)</f>
        <v>0</v>
      </c>
      <c r="BN122" s="24">
        <f>IF(BN114=1,'Lease Cycles'!$D$14*IF(INDEX('Lease Cycles'!$EF$14:$EL$14,1,BN112)=1,'Lease Cycles'!$AJ$14*INDEX('Lease Cycles'!$FO$14:$FU$14,1,BN112)*INDEX('Lease Cycles'!$EM$14:$ES$14,1,BN112)+'Lease Cycles'!$BE$14*IF(BN113&lt;INDEX('Lease Cycles'!$FA$14:$FG$14,1,BN112),0,1-INDEX('Lease Cycles'!$EM$14:$ES$14,1,BN112)),IF(OR(INDEX('Lease Cycles'!$DY$14:$EE$14,1,BN112)=1,BN113&gt;0),1,1-INDEX('Lease Cycles'!$DD$14:$DJ$14,1,BN112))*('Lease Cycles'!$AJ$14*INDEX('Lease Cycles'!$FO$14:$FU$14,1,BN112)+'Lease Cycles'!$BE$14*(1-INDEX('Lease Cycles'!$FO$14:$FU$14,1,BN112)))),0)</f>
        <v>0</v>
      </c>
      <c r="BO122" s="24">
        <f>IF(BO114=1,'Lease Cycles'!$D$14*IF(INDEX('Lease Cycles'!$EF$14:$EL$14,1,BO112)=1,'Lease Cycles'!$AJ$14*INDEX('Lease Cycles'!$FO$14:$FU$14,1,BO112)*INDEX('Lease Cycles'!$EM$14:$ES$14,1,BO112)+'Lease Cycles'!$BE$14*IF(BO113&lt;INDEX('Lease Cycles'!$FA$14:$FG$14,1,BO112),0,1-INDEX('Lease Cycles'!$EM$14:$ES$14,1,BO112)),IF(OR(INDEX('Lease Cycles'!$DY$14:$EE$14,1,BO112)=1,BO113&gt;0),1,1-INDEX('Lease Cycles'!$DD$14:$DJ$14,1,BO112))*('Lease Cycles'!$AJ$14*INDEX('Lease Cycles'!$FO$14:$FU$14,1,BO112)+'Lease Cycles'!$BE$14*(1-INDEX('Lease Cycles'!$FO$14:$FU$14,1,BO112)))),0)</f>
        <v>0</v>
      </c>
      <c r="BP122" s="24">
        <f>IF(BP114=1,'Lease Cycles'!$D$14*IF(INDEX('Lease Cycles'!$EF$14:$EL$14,1,BP112)=1,'Lease Cycles'!$AJ$14*INDEX('Lease Cycles'!$FO$14:$FU$14,1,BP112)*INDEX('Lease Cycles'!$EM$14:$ES$14,1,BP112)+'Lease Cycles'!$BE$14*IF(BP113&lt;INDEX('Lease Cycles'!$FA$14:$FG$14,1,BP112),0,1-INDEX('Lease Cycles'!$EM$14:$ES$14,1,BP112)),IF(OR(INDEX('Lease Cycles'!$DY$14:$EE$14,1,BP112)=1,BP113&gt;0),1,1-INDEX('Lease Cycles'!$DD$14:$DJ$14,1,BP112))*('Lease Cycles'!$AJ$14*INDEX('Lease Cycles'!$FO$14:$FU$14,1,BP112)+'Lease Cycles'!$BE$14*(1-INDEX('Lease Cycles'!$FO$14:$FU$14,1,BP112)))),0)</f>
        <v>0</v>
      </c>
      <c r="BQ122" s="24">
        <f>IF(BQ114=1,'Lease Cycles'!$D$14*IF(INDEX('Lease Cycles'!$EF$14:$EL$14,1,BQ112)=1,'Lease Cycles'!$AJ$14*INDEX('Lease Cycles'!$FO$14:$FU$14,1,BQ112)*INDEX('Lease Cycles'!$EM$14:$ES$14,1,BQ112)+'Lease Cycles'!$BE$14*IF(BQ113&lt;INDEX('Lease Cycles'!$FA$14:$FG$14,1,BQ112),0,1-INDEX('Lease Cycles'!$EM$14:$ES$14,1,BQ112)),IF(OR(INDEX('Lease Cycles'!$DY$14:$EE$14,1,BQ112)=1,BQ113&gt;0),1,1-INDEX('Lease Cycles'!$DD$14:$DJ$14,1,BQ112))*('Lease Cycles'!$AJ$14*INDEX('Lease Cycles'!$FO$14:$FU$14,1,BQ112)+'Lease Cycles'!$BE$14*(1-INDEX('Lease Cycles'!$FO$14:$FU$14,1,BQ112)))),0)</f>
        <v>0</v>
      </c>
      <c r="BR122" s="24">
        <f>IF(BR114=1,'Lease Cycles'!$D$14*IF(INDEX('Lease Cycles'!$EF$14:$EL$14,1,BR112)=1,'Lease Cycles'!$AJ$14*INDEX('Lease Cycles'!$FO$14:$FU$14,1,BR112)*INDEX('Lease Cycles'!$EM$14:$ES$14,1,BR112)+'Lease Cycles'!$BE$14*IF(BR113&lt;INDEX('Lease Cycles'!$FA$14:$FG$14,1,BR112),0,1-INDEX('Lease Cycles'!$EM$14:$ES$14,1,BR112)),IF(OR(INDEX('Lease Cycles'!$DY$14:$EE$14,1,BR112)=1,BR113&gt;0),1,1-INDEX('Lease Cycles'!$DD$14:$DJ$14,1,BR112))*('Lease Cycles'!$AJ$14*INDEX('Lease Cycles'!$FO$14:$FU$14,1,BR112)+'Lease Cycles'!$BE$14*(1-INDEX('Lease Cycles'!$FO$14:$FU$14,1,BR112)))),0)</f>
        <v>0</v>
      </c>
      <c r="BS122" s="24">
        <f>IF(BS114=1,'Lease Cycles'!$D$14*IF(INDEX('Lease Cycles'!$EF$14:$EL$14,1,BS112)=1,'Lease Cycles'!$AJ$14*INDEX('Lease Cycles'!$FO$14:$FU$14,1,BS112)*INDEX('Lease Cycles'!$EM$14:$ES$14,1,BS112)+'Lease Cycles'!$BE$14*IF(BS113&lt;INDEX('Lease Cycles'!$FA$14:$FG$14,1,BS112),0,1-INDEX('Lease Cycles'!$EM$14:$ES$14,1,BS112)),IF(OR(INDEX('Lease Cycles'!$DY$14:$EE$14,1,BS112)=1,BS113&gt;0),1,1-INDEX('Lease Cycles'!$DD$14:$DJ$14,1,BS112))*('Lease Cycles'!$AJ$14*INDEX('Lease Cycles'!$FO$14:$FU$14,1,BS112)+'Lease Cycles'!$BE$14*(1-INDEX('Lease Cycles'!$FO$14:$FU$14,1,BS112)))),0)</f>
        <v>0</v>
      </c>
      <c r="BT122" s="24">
        <f>IF(BT114=1,'Lease Cycles'!$D$14*IF(INDEX('Lease Cycles'!$EF$14:$EL$14,1,BT112)=1,'Lease Cycles'!$AJ$14*INDEX('Lease Cycles'!$FO$14:$FU$14,1,BT112)*INDEX('Lease Cycles'!$EM$14:$ES$14,1,BT112)+'Lease Cycles'!$BE$14*IF(BT113&lt;INDEX('Lease Cycles'!$FA$14:$FG$14,1,BT112),0,1-INDEX('Lease Cycles'!$EM$14:$ES$14,1,BT112)),IF(OR(INDEX('Lease Cycles'!$DY$14:$EE$14,1,BT112)=1,BT113&gt;0),1,1-INDEX('Lease Cycles'!$DD$14:$DJ$14,1,BT112))*('Lease Cycles'!$AJ$14*INDEX('Lease Cycles'!$FO$14:$FU$14,1,BT112)+'Lease Cycles'!$BE$14*(1-INDEX('Lease Cycles'!$FO$14:$FU$14,1,BT112)))),0)</f>
        <v>0</v>
      </c>
      <c r="BU122" s="24">
        <f>IF(BU114=1,'Lease Cycles'!$D$14*IF(INDEX('Lease Cycles'!$EF$14:$EL$14,1,BU112)=1,'Lease Cycles'!$AJ$14*INDEX('Lease Cycles'!$FO$14:$FU$14,1,BU112)*INDEX('Lease Cycles'!$EM$14:$ES$14,1,BU112)+'Lease Cycles'!$BE$14*IF(BU113&lt;INDEX('Lease Cycles'!$FA$14:$FG$14,1,BU112),0,1-INDEX('Lease Cycles'!$EM$14:$ES$14,1,BU112)),IF(OR(INDEX('Lease Cycles'!$DY$14:$EE$14,1,BU112)=1,BU113&gt;0),1,1-INDEX('Lease Cycles'!$DD$14:$DJ$14,1,BU112))*('Lease Cycles'!$AJ$14*INDEX('Lease Cycles'!$FO$14:$FU$14,1,BU112)+'Lease Cycles'!$BE$14*(1-INDEX('Lease Cycles'!$FO$14:$FU$14,1,BU112)))),0)</f>
        <v>0</v>
      </c>
      <c r="BV122" s="24">
        <f>IF(BV114=1,'Lease Cycles'!$D$14*IF(INDEX('Lease Cycles'!$EF$14:$EL$14,1,BV112)=1,'Lease Cycles'!$AJ$14*INDEX('Lease Cycles'!$FO$14:$FU$14,1,BV112)*INDEX('Lease Cycles'!$EM$14:$ES$14,1,BV112)+'Lease Cycles'!$BE$14*IF(BV113&lt;INDEX('Lease Cycles'!$FA$14:$FG$14,1,BV112),0,1-INDEX('Lease Cycles'!$EM$14:$ES$14,1,BV112)),IF(OR(INDEX('Lease Cycles'!$DY$14:$EE$14,1,BV112)=1,BV113&gt;0),1,1-INDEX('Lease Cycles'!$DD$14:$DJ$14,1,BV112))*('Lease Cycles'!$AJ$14*INDEX('Lease Cycles'!$FO$14:$FU$14,1,BV112)+'Lease Cycles'!$BE$14*(1-INDEX('Lease Cycles'!$FO$14:$FU$14,1,BV112)))),0)</f>
        <v>0</v>
      </c>
      <c r="BW122" s="24">
        <f>IF(BW114=1,'Lease Cycles'!$D$14*IF(INDEX('Lease Cycles'!$EF$14:$EL$14,1,BW112)=1,'Lease Cycles'!$AJ$14*INDEX('Lease Cycles'!$FO$14:$FU$14,1,BW112)*INDEX('Lease Cycles'!$EM$14:$ES$14,1,BW112)+'Lease Cycles'!$BE$14*IF(BW113&lt;INDEX('Lease Cycles'!$FA$14:$FG$14,1,BW112),0,1-INDEX('Lease Cycles'!$EM$14:$ES$14,1,BW112)),IF(OR(INDEX('Lease Cycles'!$DY$14:$EE$14,1,BW112)=1,BW113&gt;0),1,1-INDEX('Lease Cycles'!$DD$14:$DJ$14,1,BW112))*('Lease Cycles'!$AJ$14*INDEX('Lease Cycles'!$FO$14:$FU$14,1,BW112)+'Lease Cycles'!$BE$14*(1-INDEX('Lease Cycles'!$FO$14:$FU$14,1,BW112)))),0)</f>
        <v>0</v>
      </c>
      <c r="BX122" s="24">
        <f>IF(BX114=1,'Lease Cycles'!$D$14*IF(INDEX('Lease Cycles'!$EF$14:$EL$14,1,BX112)=1,'Lease Cycles'!$AJ$14*INDEX('Lease Cycles'!$FO$14:$FU$14,1,BX112)*INDEX('Lease Cycles'!$EM$14:$ES$14,1,BX112)+'Lease Cycles'!$BE$14*IF(BX113&lt;INDEX('Lease Cycles'!$FA$14:$FG$14,1,BX112),0,1-INDEX('Lease Cycles'!$EM$14:$ES$14,1,BX112)),IF(OR(INDEX('Lease Cycles'!$DY$14:$EE$14,1,BX112)=1,BX113&gt;0),1,1-INDEX('Lease Cycles'!$DD$14:$DJ$14,1,BX112))*('Lease Cycles'!$AJ$14*INDEX('Lease Cycles'!$FO$14:$FU$14,1,BX112)+'Lease Cycles'!$BE$14*(1-INDEX('Lease Cycles'!$FO$14:$FU$14,1,BX112)))),0)</f>
        <v>0</v>
      </c>
      <c r="BY122" s="24">
        <f>IF(BY114=1,'Lease Cycles'!$D$14*IF(INDEX('Lease Cycles'!$EF$14:$EL$14,1,BY112)=1,'Lease Cycles'!$AJ$14*INDEX('Lease Cycles'!$FO$14:$FU$14,1,BY112)*INDEX('Lease Cycles'!$EM$14:$ES$14,1,BY112)+'Lease Cycles'!$BE$14*IF(BY113&lt;INDEX('Lease Cycles'!$FA$14:$FG$14,1,BY112),0,1-INDEX('Lease Cycles'!$EM$14:$ES$14,1,BY112)),IF(OR(INDEX('Lease Cycles'!$DY$14:$EE$14,1,BY112)=1,BY113&gt;0),1,1-INDEX('Lease Cycles'!$DD$14:$DJ$14,1,BY112))*('Lease Cycles'!$AJ$14*INDEX('Lease Cycles'!$FO$14:$FU$14,1,BY112)+'Lease Cycles'!$BE$14*(1-INDEX('Lease Cycles'!$FO$14:$FU$14,1,BY112)))),0)</f>
        <v>0</v>
      </c>
      <c r="BZ122" s="24">
        <f>IF(BZ114=1,'Lease Cycles'!$D$14*IF(INDEX('Lease Cycles'!$EF$14:$EL$14,1,BZ112)=1,'Lease Cycles'!$AJ$14*INDEX('Lease Cycles'!$FO$14:$FU$14,1,BZ112)*INDEX('Lease Cycles'!$EM$14:$ES$14,1,BZ112)+'Lease Cycles'!$BE$14*IF(BZ113&lt;INDEX('Lease Cycles'!$FA$14:$FG$14,1,BZ112),0,1-INDEX('Lease Cycles'!$EM$14:$ES$14,1,BZ112)),IF(OR(INDEX('Lease Cycles'!$DY$14:$EE$14,1,BZ112)=1,BZ113&gt;0),1,1-INDEX('Lease Cycles'!$DD$14:$DJ$14,1,BZ112))*('Lease Cycles'!$AJ$14*INDEX('Lease Cycles'!$FO$14:$FU$14,1,BZ112)+'Lease Cycles'!$BE$14*(1-INDEX('Lease Cycles'!$FO$14:$FU$14,1,BZ112)))),0)</f>
        <v>0</v>
      </c>
      <c r="CA122" s="24">
        <f>IF(CA114=1,'Lease Cycles'!$D$14*IF(INDEX('Lease Cycles'!$EF$14:$EL$14,1,CA112)=1,'Lease Cycles'!$AJ$14*INDEX('Lease Cycles'!$FO$14:$FU$14,1,CA112)*INDEX('Lease Cycles'!$EM$14:$ES$14,1,CA112)+'Lease Cycles'!$BE$14*IF(CA113&lt;INDEX('Lease Cycles'!$FA$14:$FG$14,1,CA112),0,1-INDEX('Lease Cycles'!$EM$14:$ES$14,1,CA112)),IF(OR(INDEX('Lease Cycles'!$DY$14:$EE$14,1,CA112)=1,CA113&gt;0),1,1-INDEX('Lease Cycles'!$DD$14:$DJ$14,1,CA112))*('Lease Cycles'!$AJ$14*INDEX('Lease Cycles'!$FO$14:$FU$14,1,CA112)+'Lease Cycles'!$BE$14*(1-INDEX('Lease Cycles'!$FO$14:$FU$14,1,CA112)))),0)</f>
        <v>0</v>
      </c>
      <c r="CB122" s="24">
        <f>IF(CB114=1,'Lease Cycles'!$D$14*IF(INDEX('Lease Cycles'!$EF$14:$EL$14,1,CB112)=1,'Lease Cycles'!$AJ$14*INDEX('Lease Cycles'!$FO$14:$FU$14,1,CB112)*INDEX('Lease Cycles'!$EM$14:$ES$14,1,CB112)+'Lease Cycles'!$BE$14*IF(CB113&lt;INDEX('Lease Cycles'!$FA$14:$FG$14,1,CB112),0,1-INDEX('Lease Cycles'!$EM$14:$ES$14,1,CB112)),IF(OR(INDEX('Lease Cycles'!$DY$14:$EE$14,1,CB112)=1,CB113&gt;0),1,1-INDEX('Lease Cycles'!$DD$14:$DJ$14,1,CB112))*('Lease Cycles'!$AJ$14*INDEX('Lease Cycles'!$FO$14:$FU$14,1,CB112)+'Lease Cycles'!$BE$14*(1-INDEX('Lease Cycles'!$FO$14:$FU$14,1,CB112)))),0)</f>
        <v>0</v>
      </c>
      <c r="CC122" s="24">
        <f>IF(CC114=1,'Lease Cycles'!$D$14*IF(INDEX('Lease Cycles'!$EF$14:$EL$14,1,CC112)=1,'Lease Cycles'!$AJ$14*INDEX('Lease Cycles'!$FO$14:$FU$14,1,CC112)*INDEX('Lease Cycles'!$EM$14:$ES$14,1,CC112)+'Lease Cycles'!$BE$14*IF(CC113&lt;INDEX('Lease Cycles'!$FA$14:$FG$14,1,CC112),0,1-INDEX('Lease Cycles'!$EM$14:$ES$14,1,CC112)),IF(OR(INDEX('Lease Cycles'!$DY$14:$EE$14,1,CC112)=1,CC113&gt;0),1,1-INDEX('Lease Cycles'!$DD$14:$DJ$14,1,CC112))*('Lease Cycles'!$AJ$14*INDEX('Lease Cycles'!$FO$14:$FU$14,1,CC112)+'Lease Cycles'!$BE$14*(1-INDEX('Lease Cycles'!$FO$14:$FU$14,1,CC112)))),0)</f>
        <v>0</v>
      </c>
      <c r="CD122" s="24">
        <f>IF(CD114=1,'Lease Cycles'!$D$14*IF(INDEX('Lease Cycles'!$EF$14:$EL$14,1,CD112)=1,'Lease Cycles'!$AJ$14*INDEX('Lease Cycles'!$FO$14:$FU$14,1,CD112)*INDEX('Lease Cycles'!$EM$14:$ES$14,1,CD112)+'Lease Cycles'!$BE$14*IF(CD113&lt;INDEX('Lease Cycles'!$FA$14:$FG$14,1,CD112),0,1-INDEX('Lease Cycles'!$EM$14:$ES$14,1,CD112)),IF(OR(INDEX('Lease Cycles'!$DY$14:$EE$14,1,CD112)=1,CD113&gt;0),1,1-INDEX('Lease Cycles'!$DD$14:$DJ$14,1,CD112))*('Lease Cycles'!$AJ$14*INDEX('Lease Cycles'!$FO$14:$FU$14,1,CD112)+'Lease Cycles'!$BE$14*(1-INDEX('Lease Cycles'!$FO$14:$FU$14,1,CD112)))),0)</f>
        <v>0</v>
      </c>
      <c r="CE122" s="24">
        <f>IF(CE114=1,'Lease Cycles'!$D$14*IF(INDEX('Lease Cycles'!$EF$14:$EL$14,1,CE112)=1,'Lease Cycles'!$AJ$14*INDEX('Lease Cycles'!$FO$14:$FU$14,1,CE112)*INDEX('Lease Cycles'!$EM$14:$ES$14,1,CE112)+'Lease Cycles'!$BE$14*IF(CE113&lt;INDEX('Lease Cycles'!$FA$14:$FG$14,1,CE112),0,1-INDEX('Lease Cycles'!$EM$14:$ES$14,1,CE112)),IF(OR(INDEX('Lease Cycles'!$DY$14:$EE$14,1,CE112)=1,CE113&gt;0),1,1-INDEX('Lease Cycles'!$DD$14:$DJ$14,1,CE112))*('Lease Cycles'!$AJ$14*INDEX('Lease Cycles'!$FO$14:$FU$14,1,CE112)+'Lease Cycles'!$BE$14*(1-INDEX('Lease Cycles'!$FO$14:$FU$14,1,CE112)))),0)</f>
        <v>0</v>
      </c>
      <c r="CF122" s="24">
        <f>IF(CF114=1,'Lease Cycles'!$D$14*IF(INDEX('Lease Cycles'!$EF$14:$EL$14,1,CF112)=1,'Lease Cycles'!$AJ$14*INDEX('Lease Cycles'!$FO$14:$FU$14,1,CF112)*INDEX('Lease Cycles'!$EM$14:$ES$14,1,CF112)+'Lease Cycles'!$BE$14*IF(CF113&lt;INDEX('Lease Cycles'!$FA$14:$FG$14,1,CF112),0,1-INDEX('Lease Cycles'!$EM$14:$ES$14,1,CF112)),IF(OR(INDEX('Lease Cycles'!$DY$14:$EE$14,1,CF112)=1,CF113&gt;0),1,1-INDEX('Lease Cycles'!$DD$14:$DJ$14,1,CF112))*('Lease Cycles'!$AJ$14*INDEX('Lease Cycles'!$FO$14:$FU$14,1,CF112)+'Lease Cycles'!$BE$14*(1-INDEX('Lease Cycles'!$FO$14:$FU$14,1,CF112)))),0)</f>
        <v>0</v>
      </c>
      <c r="CG122" s="24">
        <f>IF(CG114=1,'Lease Cycles'!$D$14*IF(INDEX('Lease Cycles'!$EF$14:$EL$14,1,CG112)=1,'Lease Cycles'!$AJ$14*INDEX('Lease Cycles'!$FO$14:$FU$14,1,CG112)*INDEX('Lease Cycles'!$EM$14:$ES$14,1,CG112)+'Lease Cycles'!$BE$14*IF(CG113&lt;INDEX('Lease Cycles'!$FA$14:$FG$14,1,CG112),0,1-INDEX('Lease Cycles'!$EM$14:$ES$14,1,CG112)),IF(OR(INDEX('Lease Cycles'!$DY$14:$EE$14,1,CG112)=1,CG113&gt;0),1,1-INDEX('Lease Cycles'!$DD$14:$DJ$14,1,CG112))*('Lease Cycles'!$AJ$14*INDEX('Lease Cycles'!$FO$14:$FU$14,1,CG112)+'Lease Cycles'!$BE$14*(1-INDEX('Lease Cycles'!$FO$14:$FU$14,1,CG112)))),0)</f>
        <v>0</v>
      </c>
      <c r="CH122" s="24">
        <f>IF(CH114=1,'Lease Cycles'!$D$14*IF(INDEX('Lease Cycles'!$EF$14:$EL$14,1,CH112)=1,'Lease Cycles'!$AJ$14*INDEX('Lease Cycles'!$FO$14:$FU$14,1,CH112)*INDEX('Lease Cycles'!$EM$14:$ES$14,1,CH112)+'Lease Cycles'!$BE$14*IF(CH113&lt;INDEX('Lease Cycles'!$FA$14:$FG$14,1,CH112),0,1-INDEX('Lease Cycles'!$EM$14:$ES$14,1,CH112)),IF(OR(INDEX('Lease Cycles'!$DY$14:$EE$14,1,CH112)=1,CH113&gt;0),1,1-INDEX('Lease Cycles'!$DD$14:$DJ$14,1,CH112))*('Lease Cycles'!$AJ$14*INDEX('Lease Cycles'!$FO$14:$FU$14,1,CH112)+'Lease Cycles'!$BE$14*(1-INDEX('Lease Cycles'!$FO$14:$FU$14,1,CH112)))),0)</f>
        <v>0</v>
      </c>
      <c r="CI122" s="24">
        <f>IF(CI114=1,'Lease Cycles'!$D$14*IF(INDEX('Lease Cycles'!$EF$14:$EL$14,1,CI112)=1,'Lease Cycles'!$AJ$14*INDEX('Lease Cycles'!$FO$14:$FU$14,1,CI112)*INDEX('Lease Cycles'!$EM$14:$ES$14,1,CI112)+'Lease Cycles'!$BE$14*IF(CI113&lt;INDEX('Lease Cycles'!$FA$14:$FG$14,1,CI112),0,1-INDEX('Lease Cycles'!$EM$14:$ES$14,1,CI112)),IF(OR(INDEX('Lease Cycles'!$DY$14:$EE$14,1,CI112)=1,CI113&gt;0),1,1-INDEX('Lease Cycles'!$DD$14:$DJ$14,1,CI112))*('Lease Cycles'!$AJ$14*INDEX('Lease Cycles'!$FO$14:$FU$14,1,CI112)+'Lease Cycles'!$BE$14*(1-INDEX('Lease Cycles'!$FO$14:$FU$14,1,CI112)))),0)</f>
        <v>0</v>
      </c>
      <c r="CJ122" s="24">
        <f>IF(CJ114=1,'Lease Cycles'!$D$14*IF(INDEX('Lease Cycles'!$EF$14:$EL$14,1,CJ112)=1,'Lease Cycles'!$AJ$14*INDEX('Lease Cycles'!$FO$14:$FU$14,1,CJ112)*INDEX('Lease Cycles'!$EM$14:$ES$14,1,CJ112)+'Lease Cycles'!$BE$14*IF(CJ113&lt;INDEX('Lease Cycles'!$FA$14:$FG$14,1,CJ112),0,1-INDEX('Lease Cycles'!$EM$14:$ES$14,1,CJ112)),IF(OR(INDEX('Lease Cycles'!$DY$14:$EE$14,1,CJ112)=1,CJ113&gt;0),1,1-INDEX('Lease Cycles'!$DD$14:$DJ$14,1,CJ112))*('Lease Cycles'!$AJ$14*INDEX('Lease Cycles'!$FO$14:$FU$14,1,CJ112)+'Lease Cycles'!$BE$14*(1-INDEX('Lease Cycles'!$FO$14:$FU$14,1,CJ112)))),0)</f>
        <v>0</v>
      </c>
      <c r="CK122" s="24">
        <f>IF(CK114=1,'Lease Cycles'!$D$14*IF(INDEX('Lease Cycles'!$EF$14:$EL$14,1,CK112)=1,'Lease Cycles'!$AJ$14*INDEX('Lease Cycles'!$FO$14:$FU$14,1,CK112)*INDEX('Lease Cycles'!$EM$14:$ES$14,1,CK112)+'Lease Cycles'!$BE$14*IF(CK113&lt;INDEX('Lease Cycles'!$FA$14:$FG$14,1,CK112),0,1-INDEX('Lease Cycles'!$EM$14:$ES$14,1,CK112)),IF(OR(INDEX('Lease Cycles'!$DY$14:$EE$14,1,CK112)=1,CK113&gt;0),1,1-INDEX('Lease Cycles'!$DD$14:$DJ$14,1,CK112))*('Lease Cycles'!$AJ$14*INDEX('Lease Cycles'!$FO$14:$FU$14,1,CK112)+'Lease Cycles'!$BE$14*(1-INDEX('Lease Cycles'!$FO$14:$FU$14,1,CK112)))),0)</f>
        <v>0</v>
      </c>
      <c r="CL122" s="24">
        <f>IF(CL114=1,'Lease Cycles'!$D$14*IF(INDEX('Lease Cycles'!$EF$14:$EL$14,1,CL112)=1,'Lease Cycles'!$AJ$14*INDEX('Lease Cycles'!$FO$14:$FU$14,1,CL112)*INDEX('Lease Cycles'!$EM$14:$ES$14,1,CL112)+'Lease Cycles'!$BE$14*IF(CL113&lt;INDEX('Lease Cycles'!$FA$14:$FG$14,1,CL112),0,1-INDEX('Lease Cycles'!$EM$14:$ES$14,1,CL112)),IF(OR(INDEX('Lease Cycles'!$DY$14:$EE$14,1,CL112)=1,CL113&gt;0),1,1-INDEX('Lease Cycles'!$DD$14:$DJ$14,1,CL112))*('Lease Cycles'!$AJ$14*INDEX('Lease Cycles'!$FO$14:$FU$14,1,CL112)+'Lease Cycles'!$BE$14*(1-INDEX('Lease Cycles'!$FO$14:$FU$14,1,CL112)))),0)</f>
        <v>0</v>
      </c>
      <c r="CM122" s="24">
        <f>IF(CM114=1,'Lease Cycles'!$D$14*IF(INDEX('Lease Cycles'!$EF$14:$EL$14,1,CM112)=1,'Lease Cycles'!$AJ$14*INDEX('Lease Cycles'!$FO$14:$FU$14,1,CM112)*INDEX('Lease Cycles'!$EM$14:$ES$14,1,CM112)+'Lease Cycles'!$BE$14*IF(CM113&lt;INDEX('Lease Cycles'!$FA$14:$FG$14,1,CM112),0,1-INDEX('Lease Cycles'!$EM$14:$ES$14,1,CM112)),IF(OR(INDEX('Lease Cycles'!$DY$14:$EE$14,1,CM112)=1,CM113&gt;0),1,1-INDEX('Lease Cycles'!$DD$14:$DJ$14,1,CM112))*('Lease Cycles'!$AJ$14*INDEX('Lease Cycles'!$FO$14:$FU$14,1,CM112)+'Lease Cycles'!$BE$14*(1-INDEX('Lease Cycles'!$FO$14:$FU$14,1,CM112)))),0)</f>
        <v>0</v>
      </c>
      <c r="CN122" s="24">
        <f>IF(CN114=1,'Lease Cycles'!$D$14*IF(INDEX('Lease Cycles'!$EF$14:$EL$14,1,CN112)=1,'Lease Cycles'!$AJ$14*INDEX('Lease Cycles'!$FO$14:$FU$14,1,CN112)*INDEX('Lease Cycles'!$EM$14:$ES$14,1,CN112)+'Lease Cycles'!$BE$14*IF(CN113&lt;INDEX('Lease Cycles'!$FA$14:$FG$14,1,CN112),0,1-INDEX('Lease Cycles'!$EM$14:$ES$14,1,CN112)),IF(OR(INDEX('Lease Cycles'!$DY$14:$EE$14,1,CN112)=1,CN113&gt;0),1,1-INDEX('Lease Cycles'!$DD$14:$DJ$14,1,CN112))*('Lease Cycles'!$AJ$14*INDEX('Lease Cycles'!$FO$14:$FU$14,1,CN112)+'Lease Cycles'!$BE$14*(1-INDEX('Lease Cycles'!$FO$14:$FU$14,1,CN112)))),0)</f>
        <v>0</v>
      </c>
      <c r="CO122" s="24">
        <f>IF(CO114=1,'Lease Cycles'!$D$14*IF(INDEX('Lease Cycles'!$EF$14:$EL$14,1,CO112)=1,'Lease Cycles'!$AJ$14*INDEX('Lease Cycles'!$FO$14:$FU$14,1,CO112)*INDEX('Lease Cycles'!$EM$14:$ES$14,1,CO112)+'Lease Cycles'!$BE$14*IF(CO113&lt;INDEX('Lease Cycles'!$FA$14:$FG$14,1,CO112),0,1-INDEX('Lease Cycles'!$EM$14:$ES$14,1,CO112)),IF(OR(INDEX('Lease Cycles'!$DY$14:$EE$14,1,CO112)=1,CO113&gt;0),1,1-INDEX('Lease Cycles'!$DD$14:$DJ$14,1,CO112))*('Lease Cycles'!$AJ$14*INDEX('Lease Cycles'!$FO$14:$FU$14,1,CO112)+'Lease Cycles'!$BE$14*(1-INDEX('Lease Cycles'!$FO$14:$FU$14,1,CO112)))),0)</f>
        <v>0</v>
      </c>
      <c r="CP122" s="24">
        <f>IF(CP114=1,'Lease Cycles'!$D$14*IF(INDEX('Lease Cycles'!$EF$14:$EL$14,1,CP112)=1,'Lease Cycles'!$AJ$14*INDEX('Lease Cycles'!$FO$14:$FU$14,1,CP112)*INDEX('Lease Cycles'!$EM$14:$ES$14,1,CP112)+'Lease Cycles'!$BE$14*IF(CP113&lt;INDEX('Lease Cycles'!$FA$14:$FG$14,1,CP112),0,1-INDEX('Lease Cycles'!$EM$14:$ES$14,1,CP112)),IF(OR(INDEX('Lease Cycles'!$DY$14:$EE$14,1,CP112)=1,CP113&gt;0),1,1-INDEX('Lease Cycles'!$DD$14:$DJ$14,1,CP112))*('Lease Cycles'!$AJ$14*INDEX('Lease Cycles'!$FO$14:$FU$14,1,CP112)+'Lease Cycles'!$BE$14*(1-INDEX('Lease Cycles'!$FO$14:$FU$14,1,CP112)))),0)</f>
        <v>0</v>
      </c>
      <c r="CQ122" s="24">
        <f>IF(CQ114=1,'Lease Cycles'!$D$14*IF(INDEX('Lease Cycles'!$EF$14:$EL$14,1,CQ112)=1,'Lease Cycles'!$AJ$14*INDEX('Lease Cycles'!$FO$14:$FU$14,1,CQ112)*INDEX('Lease Cycles'!$EM$14:$ES$14,1,CQ112)+'Lease Cycles'!$BE$14*IF(CQ113&lt;INDEX('Lease Cycles'!$FA$14:$FG$14,1,CQ112),0,1-INDEX('Lease Cycles'!$EM$14:$ES$14,1,CQ112)),IF(OR(INDEX('Lease Cycles'!$DY$14:$EE$14,1,CQ112)=1,CQ113&gt;0),1,1-INDEX('Lease Cycles'!$DD$14:$DJ$14,1,CQ112))*('Lease Cycles'!$AJ$14*INDEX('Lease Cycles'!$FO$14:$FU$14,1,CQ112)+'Lease Cycles'!$BE$14*(1-INDEX('Lease Cycles'!$FO$14:$FU$14,1,CQ112)))),0)</f>
        <v>0</v>
      </c>
      <c r="CR122" s="24">
        <f>IF(CR114=1,'Lease Cycles'!$D$14*IF(INDEX('Lease Cycles'!$EF$14:$EL$14,1,CR112)=1,'Lease Cycles'!$AJ$14*INDEX('Lease Cycles'!$FO$14:$FU$14,1,CR112)*INDEX('Lease Cycles'!$EM$14:$ES$14,1,CR112)+'Lease Cycles'!$BE$14*IF(CR113&lt;INDEX('Lease Cycles'!$FA$14:$FG$14,1,CR112),0,1-INDEX('Lease Cycles'!$EM$14:$ES$14,1,CR112)),IF(OR(INDEX('Lease Cycles'!$DY$14:$EE$14,1,CR112)=1,CR113&gt;0),1,1-INDEX('Lease Cycles'!$DD$14:$DJ$14,1,CR112))*('Lease Cycles'!$AJ$14*INDEX('Lease Cycles'!$FO$14:$FU$14,1,CR112)+'Lease Cycles'!$BE$14*(1-INDEX('Lease Cycles'!$FO$14:$FU$14,1,CR112)))),0)</f>
        <v>0</v>
      </c>
      <c r="CS122" s="24">
        <f>IF(CS114=1,'Lease Cycles'!$D$14*IF(INDEX('Lease Cycles'!$EF$14:$EL$14,1,CS112)=1,'Lease Cycles'!$AJ$14*INDEX('Lease Cycles'!$FO$14:$FU$14,1,CS112)*INDEX('Lease Cycles'!$EM$14:$ES$14,1,CS112)+'Lease Cycles'!$BE$14*IF(CS113&lt;INDEX('Lease Cycles'!$FA$14:$FG$14,1,CS112),0,1-INDEX('Lease Cycles'!$EM$14:$ES$14,1,CS112)),IF(OR(INDEX('Lease Cycles'!$DY$14:$EE$14,1,CS112)=1,CS113&gt;0),1,1-INDEX('Lease Cycles'!$DD$14:$DJ$14,1,CS112))*('Lease Cycles'!$AJ$14*INDEX('Lease Cycles'!$FO$14:$FU$14,1,CS112)+'Lease Cycles'!$BE$14*(1-INDEX('Lease Cycles'!$FO$14:$FU$14,1,CS112)))),0)</f>
        <v>0</v>
      </c>
      <c r="CT122" s="24">
        <f>IF(CT114=1,'Lease Cycles'!$D$14*IF(INDEX('Lease Cycles'!$EF$14:$EL$14,1,CT112)=1,'Lease Cycles'!$AJ$14*INDEX('Lease Cycles'!$FO$14:$FU$14,1,CT112)*INDEX('Lease Cycles'!$EM$14:$ES$14,1,CT112)+'Lease Cycles'!$BE$14*IF(CT113&lt;INDEX('Lease Cycles'!$FA$14:$FG$14,1,CT112),0,1-INDEX('Lease Cycles'!$EM$14:$ES$14,1,CT112)),IF(OR(INDEX('Lease Cycles'!$DY$14:$EE$14,1,CT112)=1,CT113&gt;0),1,1-INDEX('Lease Cycles'!$DD$14:$DJ$14,1,CT112))*('Lease Cycles'!$AJ$14*INDEX('Lease Cycles'!$FO$14:$FU$14,1,CT112)+'Lease Cycles'!$BE$14*(1-INDEX('Lease Cycles'!$FO$14:$FU$14,1,CT112)))),0)</f>
        <v>0</v>
      </c>
      <c r="CU122" s="24">
        <f>IF(CU114=1,'Lease Cycles'!$D$14*IF(INDEX('Lease Cycles'!$EF$14:$EL$14,1,CU112)=1,'Lease Cycles'!$AJ$14*INDEX('Lease Cycles'!$FO$14:$FU$14,1,CU112)*INDEX('Lease Cycles'!$EM$14:$ES$14,1,CU112)+'Lease Cycles'!$BE$14*IF(CU113&lt;INDEX('Lease Cycles'!$FA$14:$FG$14,1,CU112),0,1-INDEX('Lease Cycles'!$EM$14:$ES$14,1,CU112)),IF(OR(INDEX('Lease Cycles'!$DY$14:$EE$14,1,CU112)=1,CU113&gt;0),1,1-INDEX('Lease Cycles'!$DD$14:$DJ$14,1,CU112))*('Lease Cycles'!$AJ$14*INDEX('Lease Cycles'!$FO$14:$FU$14,1,CU112)+'Lease Cycles'!$BE$14*(1-INDEX('Lease Cycles'!$FO$14:$FU$14,1,CU112)))),0)</f>
        <v>0</v>
      </c>
      <c r="CV122" s="24">
        <f>IF(CV114=1,'Lease Cycles'!$D$14*IF(INDEX('Lease Cycles'!$EF$14:$EL$14,1,CV112)=1,'Lease Cycles'!$AJ$14*INDEX('Lease Cycles'!$FO$14:$FU$14,1,CV112)*INDEX('Lease Cycles'!$EM$14:$ES$14,1,CV112)+'Lease Cycles'!$BE$14*IF(CV113&lt;INDEX('Lease Cycles'!$FA$14:$FG$14,1,CV112),0,1-INDEX('Lease Cycles'!$EM$14:$ES$14,1,CV112)),IF(OR(INDEX('Lease Cycles'!$DY$14:$EE$14,1,CV112)=1,CV113&gt;0),1,1-INDEX('Lease Cycles'!$DD$14:$DJ$14,1,CV112))*('Lease Cycles'!$AJ$14*INDEX('Lease Cycles'!$FO$14:$FU$14,1,CV112)+'Lease Cycles'!$BE$14*(1-INDEX('Lease Cycles'!$FO$14:$FU$14,1,CV112)))),0)</f>
        <v>0</v>
      </c>
      <c r="CW122" s="24">
        <f>IF(CW114=1,'Lease Cycles'!$D$14*IF(INDEX('Lease Cycles'!$EF$14:$EL$14,1,CW112)=1,'Lease Cycles'!$AJ$14*INDEX('Lease Cycles'!$FO$14:$FU$14,1,CW112)*INDEX('Lease Cycles'!$EM$14:$ES$14,1,CW112)+'Lease Cycles'!$BE$14*IF(CW113&lt;INDEX('Lease Cycles'!$FA$14:$FG$14,1,CW112),0,1-INDEX('Lease Cycles'!$EM$14:$ES$14,1,CW112)),IF(OR(INDEX('Lease Cycles'!$DY$14:$EE$14,1,CW112)=1,CW113&gt;0),1,1-INDEX('Lease Cycles'!$DD$14:$DJ$14,1,CW112))*('Lease Cycles'!$AJ$14*INDEX('Lease Cycles'!$FO$14:$FU$14,1,CW112)+'Lease Cycles'!$BE$14*(1-INDEX('Lease Cycles'!$FO$14:$FU$14,1,CW112)))),0)</f>
        <v>0</v>
      </c>
      <c r="CX122" s="24">
        <f>IF(CX114=1,'Lease Cycles'!$D$14*IF(INDEX('Lease Cycles'!$EF$14:$EL$14,1,CX112)=1,'Lease Cycles'!$AJ$14*INDEX('Lease Cycles'!$FO$14:$FU$14,1,CX112)*INDEX('Lease Cycles'!$EM$14:$ES$14,1,CX112)+'Lease Cycles'!$BE$14*IF(CX113&lt;INDEX('Lease Cycles'!$FA$14:$FG$14,1,CX112),0,1-INDEX('Lease Cycles'!$EM$14:$ES$14,1,CX112)),IF(OR(INDEX('Lease Cycles'!$DY$14:$EE$14,1,CX112)=1,CX113&gt;0),1,1-INDEX('Lease Cycles'!$DD$14:$DJ$14,1,CX112))*('Lease Cycles'!$AJ$14*INDEX('Lease Cycles'!$FO$14:$FU$14,1,CX112)+'Lease Cycles'!$BE$14*(1-INDEX('Lease Cycles'!$FO$14:$FU$14,1,CX112)))),0)</f>
        <v>0</v>
      </c>
      <c r="CY122" s="24">
        <f>IF(CY114=1,'Lease Cycles'!$D$14*IF(INDEX('Lease Cycles'!$EF$14:$EL$14,1,CY112)=1,'Lease Cycles'!$AJ$14*INDEX('Lease Cycles'!$FO$14:$FU$14,1,CY112)*INDEX('Lease Cycles'!$EM$14:$ES$14,1,CY112)+'Lease Cycles'!$BE$14*IF(CY113&lt;INDEX('Lease Cycles'!$FA$14:$FG$14,1,CY112),0,1-INDEX('Lease Cycles'!$EM$14:$ES$14,1,CY112)),IF(OR(INDEX('Lease Cycles'!$DY$14:$EE$14,1,CY112)=1,CY113&gt;0),1,1-INDEX('Lease Cycles'!$DD$14:$DJ$14,1,CY112))*('Lease Cycles'!$AJ$14*INDEX('Lease Cycles'!$FO$14:$FU$14,1,CY112)+'Lease Cycles'!$BE$14*(1-INDEX('Lease Cycles'!$FO$14:$FU$14,1,CY112)))),0)</f>
        <v>0</v>
      </c>
      <c r="CZ122" s="24">
        <f>IF(CZ114=1,'Lease Cycles'!$D$14*IF(INDEX('Lease Cycles'!$EF$14:$EL$14,1,CZ112)=1,'Lease Cycles'!$AJ$14*INDEX('Lease Cycles'!$FO$14:$FU$14,1,CZ112)*INDEX('Lease Cycles'!$EM$14:$ES$14,1,CZ112)+'Lease Cycles'!$BE$14*IF(CZ113&lt;INDEX('Lease Cycles'!$FA$14:$FG$14,1,CZ112),0,1-INDEX('Lease Cycles'!$EM$14:$ES$14,1,CZ112)),IF(OR(INDEX('Lease Cycles'!$DY$14:$EE$14,1,CZ112)=1,CZ113&gt;0),1,1-INDEX('Lease Cycles'!$DD$14:$DJ$14,1,CZ112))*('Lease Cycles'!$AJ$14*INDEX('Lease Cycles'!$FO$14:$FU$14,1,CZ112)+'Lease Cycles'!$BE$14*(1-INDEX('Lease Cycles'!$FO$14:$FU$14,1,CZ112)))),0)</f>
        <v>0</v>
      </c>
      <c r="DA122" s="24">
        <f>IF(DA114=1,'Lease Cycles'!$D$14*IF(INDEX('Lease Cycles'!$EF$14:$EL$14,1,DA112)=1,'Lease Cycles'!$AJ$14*INDEX('Lease Cycles'!$FO$14:$FU$14,1,DA112)*INDEX('Lease Cycles'!$EM$14:$ES$14,1,DA112)+'Lease Cycles'!$BE$14*IF(DA113&lt;INDEX('Lease Cycles'!$FA$14:$FG$14,1,DA112),0,1-INDEX('Lease Cycles'!$EM$14:$ES$14,1,DA112)),IF(OR(INDEX('Lease Cycles'!$DY$14:$EE$14,1,DA112)=1,DA113&gt;0),1,1-INDEX('Lease Cycles'!$DD$14:$DJ$14,1,DA112))*('Lease Cycles'!$AJ$14*INDEX('Lease Cycles'!$FO$14:$FU$14,1,DA112)+'Lease Cycles'!$BE$14*(1-INDEX('Lease Cycles'!$FO$14:$FU$14,1,DA112)))),0)</f>
        <v>0</v>
      </c>
      <c r="DB122" s="24">
        <f>IF(DB114=1,'Lease Cycles'!$D$14*IF(INDEX('Lease Cycles'!$EF$14:$EL$14,1,DB112)=1,'Lease Cycles'!$AJ$14*INDEX('Lease Cycles'!$FO$14:$FU$14,1,DB112)*INDEX('Lease Cycles'!$EM$14:$ES$14,1,DB112)+'Lease Cycles'!$BE$14*IF(DB113&lt;INDEX('Lease Cycles'!$FA$14:$FG$14,1,DB112),0,1-INDEX('Lease Cycles'!$EM$14:$ES$14,1,DB112)),IF(OR(INDEX('Lease Cycles'!$DY$14:$EE$14,1,DB112)=1,DB113&gt;0),1,1-INDEX('Lease Cycles'!$DD$14:$DJ$14,1,DB112))*('Lease Cycles'!$AJ$14*INDEX('Lease Cycles'!$FO$14:$FU$14,1,DB112)+'Lease Cycles'!$BE$14*(1-INDEX('Lease Cycles'!$FO$14:$FU$14,1,DB112)))),0)</f>
        <v>0</v>
      </c>
      <c r="DC122" s="24">
        <f>IF(DC114=1,'Lease Cycles'!$D$14*IF(INDEX('Lease Cycles'!$EF$14:$EL$14,1,DC112)=1,'Lease Cycles'!$AJ$14*INDEX('Lease Cycles'!$FO$14:$FU$14,1,DC112)*INDEX('Lease Cycles'!$EM$14:$ES$14,1,DC112)+'Lease Cycles'!$BE$14*IF(DC113&lt;INDEX('Lease Cycles'!$FA$14:$FG$14,1,DC112),0,1-INDEX('Lease Cycles'!$EM$14:$ES$14,1,DC112)),IF(OR(INDEX('Lease Cycles'!$DY$14:$EE$14,1,DC112)=1,DC113&gt;0),1,1-INDEX('Lease Cycles'!$DD$14:$DJ$14,1,DC112))*('Lease Cycles'!$AJ$14*INDEX('Lease Cycles'!$FO$14:$FU$14,1,DC112)+'Lease Cycles'!$BE$14*(1-INDEX('Lease Cycles'!$FO$14:$FU$14,1,DC112)))),0)</f>
        <v>0</v>
      </c>
      <c r="DD122" s="24">
        <f>IF(DD114=1,'Lease Cycles'!$D$14*IF(INDEX('Lease Cycles'!$EF$14:$EL$14,1,DD112)=1,'Lease Cycles'!$AJ$14*INDEX('Lease Cycles'!$FO$14:$FU$14,1,DD112)*INDEX('Lease Cycles'!$EM$14:$ES$14,1,DD112)+'Lease Cycles'!$BE$14*IF(DD113&lt;INDEX('Lease Cycles'!$FA$14:$FG$14,1,DD112),0,1-INDEX('Lease Cycles'!$EM$14:$ES$14,1,DD112)),IF(OR(INDEX('Lease Cycles'!$DY$14:$EE$14,1,DD112)=1,DD113&gt;0),1,1-INDEX('Lease Cycles'!$DD$14:$DJ$14,1,DD112))*('Lease Cycles'!$AJ$14*INDEX('Lease Cycles'!$FO$14:$FU$14,1,DD112)+'Lease Cycles'!$BE$14*(1-INDEX('Lease Cycles'!$FO$14:$FU$14,1,DD112)))),0)</f>
        <v>0</v>
      </c>
      <c r="DE122" s="24">
        <f>IF(DE114=1,'Lease Cycles'!$D$14*IF(INDEX('Lease Cycles'!$EF$14:$EL$14,1,DE112)=1,'Lease Cycles'!$AJ$14*INDEX('Lease Cycles'!$FO$14:$FU$14,1,DE112)*INDEX('Lease Cycles'!$EM$14:$ES$14,1,DE112)+'Lease Cycles'!$BE$14*IF(DE113&lt;INDEX('Lease Cycles'!$FA$14:$FG$14,1,DE112),0,1-INDEX('Lease Cycles'!$EM$14:$ES$14,1,DE112)),IF(OR(INDEX('Lease Cycles'!$DY$14:$EE$14,1,DE112)=1,DE113&gt;0),1,1-INDEX('Lease Cycles'!$DD$14:$DJ$14,1,DE112))*('Lease Cycles'!$AJ$14*INDEX('Lease Cycles'!$FO$14:$FU$14,1,DE112)+'Lease Cycles'!$BE$14*(1-INDEX('Lease Cycles'!$FO$14:$FU$14,1,DE112)))),0)</f>
        <v>0</v>
      </c>
      <c r="DF122" s="24">
        <f>IF(DF114=1,'Lease Cycles'!$D$14*IF(INDEX('Lease Cycles'!$EF$14:$EL$14,1,DF112)=1,'Lease Cycles'!$AJ$14*INDEX('Lease Cycles'!$FO$14:$FU$14,1,DF112)*INDEX('Lease Cycles'!$EM$14:$ES$14,1,DF112)+'Lease Cycles'!$BE$14*IF(DF113&lt;INDEX('Lease Cycles'!$FA$14:$FG$14,1,DF112),0,1-INDEX('Lease Cycles'!$EM$14:$ES$14,1,DF112)),IF(OR(INDEX('Lease Cycles'!$DY$14:$EE$14,1,DF112)=1,DF113&gt;0),1,1-INDEX('Lease Cycles'!$DD$14:$DJ$14,1,DF112))*('Lease Cycles'!$AJ$14*INDEX('Lease Cycles'!$FO$14:$FU$14,1,DF112)+'Lease Cycles'!$BE$14*(1-INDEX('Lease Cycles'!$FO$14:$FU$14,1,DF112)))),0)</f>
        <v>0</v>
      </c>
      <c r="DG122" s="24">
        <f>IF(DG114=1,'Lease Cycles'!$D$14*IF(INDEX('Lease Cycles'!$EF$14:$EL$14,1,DG112)=1,'Lease Cycles'!$AJ$14*INDEX('Lease Cycles'!$FO$14:$FU$14,1,DG112)*INDEX('Lease Cycles'!$EM$14:$ES$14,1,DG112)+'Lease Cycles'!$BE$14*IF(DG113&lt;INDEX('Lease Cycles'!$FA$14:$FG$14,1,DG112),0,1-INDEX('Lease Cycles'!$EM$14:$ES$14,1,DG112)),IF(OR(INDEX('Lease Cycles'!$DY$14:$EE$14,1,DG112)=1,DG113&gt;0),1,1-INDEX('Lease Cycles'!$DD$14:$DJ$14,1,DG112))*('Lease Cycles'!$AJ$14*INDEX('Lease Cycles'!$FO$14:$FU$14,1,DG112)+'Lease Cycles'!$BE$14*(1-INDEX('Lease Cycles'!$FO$14:$FU$14,1,DG112)))),0)</f>
        <v>0</v>
      </c>
      <c r="DH122" s="24">
        <f>IF(DH114=1,'Lease Cycles'!$D$14*IF(INDEX('Lease Cycles'!$EF$14:$EL$14,1,DH112)=1,'Lease Cycles'!$AJ$14*INDEX('Lease Cycles'!$FO$14:$FU$14,1,DH112)*INDEX('Lease Cycles'!$EM$14:$ES$14,1,DH112)+'Lease Cycles'!$BE$14*IF(DH113&lt;INDEX('Lease Cycles'!$FA$14:$FG$14,1,DH112),0,1-INDEX('Lease Cycles'!$EM$14:$ES$14,1,DH112)),IF(OR(INDEX('Lease Cycles'!$DY$14:$EE$14,1,DH112)=1,DH113&gt;0),1,1-INDEX('Lease Cycles'!$DD$14:$DJ$14,1,DH112))*('Lease Cycles'!$AJ$14*INDEX('Lease Cycles'!$FO$14:$FU$14,1,DH112)+'Lease Cycles'!$BE$14*(1-INDEX('Lease Cycles'!$FO$14:$FU$14,1,DH112)))),0)</f>
        <v>0</v>
      </c>
      <c r="DI122" s="24">
        <f>IF(DI114=1,'Lease Cycles'!$D$14*IF(INDEX('Lease Cycles'!$EF$14:$EL$14,1,DI112)=1,'Lease Cycles'!$AJ$14*INDEX('Lease Cycles'!$FO$14:$FU$14,1,DI112)*INDEX('Lease Cycles'!$EM$14:$ES$14,1,DI112)+'Lease Cycles'!$BE$14*IF(DI113&lt;INDEX('Lease Cycles'!$FA$14:$FG$14,1,DI112),0,1-INDEX('Lease Cycles'!$EM$14:$ES$14,1,DI112)),IF(OR(INDEX('Lease Cycles'!$DY$14:$EE$14,1,DI112)=1,DI113&gt;0),1,1-INDEX('Lease Cycles'!$DD$14:$DJ$14,1,DI112))*('Lease Cycles'!$AJ$14*INDEX('Lease Cycles'!$FO$14:$FU$14,1,DI112)+'Lease Cycles'!$BE$14*(1-INDEX('Lease Cycles'!$FO$14:$FU$14,1,DI112)))),0)</f>
        <v>0</v>
      </c>
      <c r="DJ122" s="24">
        <f>IF(DJ114=1,'Lease Cycles'!$D$14*IF(INDEX('Lease Cycles'!$EF$14:$EL$14,1,DJ112)=1,'Lease Cycles'!$AJ$14*INDEX('Lease Cycles'!$FO$14:$FU$14,1,DJ112)*INDEX('Lease Cycles'!$EM$14:$ES$14,1,DJ112)+'Lease Cycles'!$BE$14*IF(DJ113&lt;INDEX('Lease Cycles'!$FA$14:$FG$14,1,DJ112),0,1-INDEX('Lease Cycles'!$EM$14:$ES$14,1,DJ112)),IF(OR(INDEX('Lease Cycles'!$DY$14:$EE$14,1,DJ112)=1,DJ113&gt;0),1,1-INDEX('Lease Cycles'!$DD$14:$DJ$14,1,DJ112))*('Lease Cycles'!$AJ$14*INDEX('Lease Cycles'!$FO$14:$FU$14,1,DJ112)+'Lease Cycles'!$BE$14*(1-INDEX('Lease Cycles'!$FO$14:$FU$14,1,DJ112)))),0)</f>
        <v>0</v>
      </c>
      <c r="DK122" s="24">
        <f>IF(DK114=1,'Lease Cycles'!$D$14*IF(INDEX('Lease Cycles'!$EF$14:$EL$14,1,DK112)=1,'Lease Cycles'!$AJ$14*INDEX('Lease Cycles'!$FO$14:$FU$14,1,DK112)*INDEX('Lease Cycles'!$EM$14:$ES$14,1,DK112)+'Lease Cycles'!$BE$14*IF(DK113&lt;INDEX('Lease Cycles'!$FA$14:$FG$14,1,DK112),0,1-INDEX('Lease Cycles'!$EM$14:$ES$14,1,DK112)),IF(OR(INDEX('Lease Cycles'!$DY$14:$EE$14,1,DK112)=1,DK113&gt;0),1,1-INDEX('Lease Cycles'!$DD$14:$DJ$14,1,DK112))*('Lease Cycles'!$AJ$14*INDEX('Lease Cycles'!$FO$14:$FU$14,1,DK112)+'Lease Cycles'!$BE$14*(1-INDEX('Lease Cycles'!$FO$14:$FU$14,1,DK112)))),0)</f>
        <v>0</v>
      </c>
      <c r="DL122" s="24">
        <f>IF(DL114=1,'Lease Cycles'!$D$14*IF(INDEX('Lease Cycles'!$EF$14:$EL$14,1,DL112)=1,'Lease Cycles'!$AJ$14*INDEX('Lease Cycles'!$FO$14:$FU$14,1,DL112)*INDEX('Lease Cycles'!$EM$14:$ES$14,1,DL112)+'Lease Cycles'!$BE$14*IF(DL113&lt;INDEX('Lease Cycles'!$FA$14:$FG$14,1,DL112),0,1-INDEX('Lease Cycles'!$EM$14:$ES$14,1,DL112)),IF(OR(INDEX('Lease Cycles'!$DY$14:$EE$14,1,DL112)=1,DL113&gt;0),1,1-INDEX('Lease Cycles'!$DD$14:$DJ$14,1,DL112))*('Lease Cycles'!$AJ$14*INDEX('Lease Cycles'!$FO$14:$FU$14,1,DL112)+'Lease Cycles'!$BE$14*(1-INDEX('Lease Cycles'!$FO$14:$FU$14,1,DL112)))),0)</f>
        <v>0</v>
      </c>
      <c r="DM122" s="24">
        <f>IF(DM114=1,'Lease Cycles'!$D$14*IF(INDEX('Lease Cycles'!$EF$14:$EL$14,1,DM112)=1,'Lease Cycles'!$AJ$14*INDEX('Lease Cycles'!$FO$14:$FU$14,1,DM112)*INDEX('Lease Cycles'!$EM$14:$ES$14,1,DM112)+'Lease Cycles'!$BE$14*IF(DM113&lt;INDEX('Lease Cycles'!$FA$14:$FG$14,1,DM112),0,1-INDEX('Lease Cycles'!$EM$14:$ES$14,1,DM112)),IF(OR(INDEX('Lease Cycles'!$DY$14:$EE$14,1,DM112)=1,DM113&gt;0),1,1-INDEX('Lease Cycles'!$DD$14:$DJ$14,1,DM112))*('Lease Cycles'!$AJ$14*INDEX('Lease Cycles'!$FO$14:$FU$14,1,DM112)+'Lease Cycles'!$BE$14*(1-INDEX('Lease Cycles'!$FO$14:$FU$14,1,DM112)))),0)</f>
        <v>0</v>
      </c>
      <c r="DN122" s="24">
        <f>IF(DN114=1,'Lease Cycles'!$D$14*IF(INDEX('Lease Cycles'!$EF$14:$EL$14,1,DN112)=1,'Lease Cycles'!$AJ$14*INDEX('Lease Cycles'!$FO$14:$FU$14,1,DN112)*INDEX('Lease Cycles'!$EM$14:$ES$14,1,DN112)+'Lease Cycles'!$BE$14*IF(DN113&lt;INDEX('Lease Cycles'!$FA$14:$FG$14,1,DN112),0,1-INDEX('Lease Cycles'!$EM$14:$ES$14,1,DN112)),IF(OR(INDEX('Lease Cycles'!$DY$14:$EE$14,1,DN112)=1,DN113&gt;0),1,1-INDEX('Lease Cycles'!$DD$14:$DJ$14,1,DN112))*('Lease Cycles'!$AJ$14*INDEX('Lease Cycles'!$FO$14:$FU$14,1,DN112)+'Lease Cycles'!$BE$14*(1-INDEX('Lease Cycles'!$FO$14:$FU$14,1,DN112)))),0)</f>
        <v>0</v>
      </c>
      <c r="DO122" s="24">
        <f>IF(DO114=1,'Lease Cycles'!$D$14*IF(INDEX('Lease Cycles'!$EF$14:$EL$14,1,DO112)=1,'Lease Cycles'!$AJ$14*INDEX('Lease Cycles'!$FO$14:$FU$14,1,DO112)*INDEX('Lease Cycles'!$EM$14:$ES$14,1,DO112)+'Lease Cycles'!$BE$14*IF(DO113&lt;INDEX('Lease Cycles'!$FA$14:$FG$14,1,DO112),0,1-INDEX('Lease Cycles'!$EM$14:$ES$14,1,DO112)),IF(OR(INDEX('Lease Cycles'!$DY$14:$EE$14,1,DO112)=1,DO113&gt;0),1,1-INDEX('Lease Cycles'!$DD$14:$DJ$14,1,DO112))*('Lease Cycles'!$AJ$14*INDEX('Lease Cycles'!$FO$14:$FU$14,1,DO112)+'Lease Cycles'!$BE$14*(1-INDEX('Lease Cycles'!$FO$14:$FU$14,1,DO112)))),0)</f>
        <v>0</v>
      </c>
      <c r="DP122" s="24">
        <f>IF(DP114=1,'Lease Cycles'!$D$14*IF(INDEX('Lease Cycles'!$EF$14:$EL$14,1,DP112)=1,'Lease Cycles'!$AJ$14*INDEX('Lease Cycles'!$FO$14:$FU$14,1,DP112)*INDEX('Lease Cycles'!$EM$14:$ES$14,1,DP112)+'Lease Cycles'!$BE$14*IF(DP113&lt;INDEX('Lease Cycles'!$FA$14:$FG$14,1,DP112),0,1-INDEX('Lease Cycles'!$EM$14:$ES$14,1,DP112)),IF(OR(INDEX('Lease Cycles'!$DY$14:$EE$14,1,DP112)=1,DP113&gt;0),1,1-INDEX('Lease Cycles'!$DD$14:$DJ$14,1,DP112))*('Lease Cycles'!$AJ$14*INDEX('Lease Cycles'!$FO$14:$FU$14,1,DP112)+'Lease Cycles'!$BE$14*(1-INDEX('Lease Cycles'!$FO$14:$FU$14,1,DP112)))),0)</f>
        <v>0</v>
      </c>
      <c r="DQ122" s="24">
        <f>IF(DQ114=1,'Lease Cycles'!$D$14*IF(INDEX('Lease Cycles'!$EF$14:$EL$14,1,DQ112)=1,'Lease Cycles'!$AJ$14*INDEX('Lease Cycles'!$FO$14:$FU$14,1,DQ112)*INDEX('Lease Cycles'!$EM$14:$ES$14,1,DQ112)+'Lease Cycles'!$BE$14*IF(DQ113&lt;INDEX('Lease Cycles'!$FA$14:$FG$14,1,DQ112),0,1-INDEX('Lease Cycles'!$EM$14:$ES$14,1,DQ112)),IF(OR(INDEX('Lease Cycles'!$DY$14:$EE$14,1,DQ112)=1,DQ113&gt;0),1,1-INDEX('Lease Cycles'!$DD$14:$DJ$14,1,DQ112))*('Lease Cycles'!$AJ$14*INDEX('Lease Cycles'!$FO$14:$FU$14,1,DQ112)+'Lease Cycles'!$BE$14*(1-INDEX('Lease Cycles'!$FO$14:$FU$14,1,DQ112)))),0)</f>
        <v>0</v>
      </c>
      <c r="DR122" s="24">
        <f>IF(DR114=1,'Lease Cycles'!$D$14*IF(INDEX('Lease Cycles'!$EF$14:$EL$14,1,DR112)=1,'Lease Cycles'!$AJ$14*INDEX('Lease Cycles'!$FO$14:$FU$14,1,DR112)*INDEX('Lease Cycles'!$EM$14:$ES$14,1,DR112)+'Lease Cycles'!$BE$14*IF(DR113&lt;INDEX('Lease Cycles'!$FA$14:$FG$14,1,DR112),0,1-INDEX('Lease Cycles'!$EM$14:$ES$14,1,DR112)),IF(OR(INDEX('Lease Cycles'!$DY$14:$EE$14,1,DR112)=1,DR113&gt;0),1,1-INDEX('Lease Cycles'!$DD$14:$DJ$14,1,DR112))*('Lease Cycles'!$AJ$14*INDEX('Lease Cycles'!$FO$14:$FU$14,1,DR112)+'Lease Cycles'!$BE$14*(1-INDEX('Lease Cycles'!$FO$14:$FU$14,1,DR112)))),0)</f>
        <v>0</v>
      </c>
      <c r="DS122" s="24">
        <f>IF(DS114=1,'Lease Cycles'!$D$14*IF(INDEX('Lease Cycles'!$EF$14:$EL$14,1,DS112)=1,'Lease Cycles'!$AJ$14*INDEX('Lease Cycles'!$FO$14:$FU$14,1,DS112)*INDEX('Lease Cycles'!$EM$14:$ES$14,1,DS112)+'Lease Cycles'!$BE$14*IF(DS113&lt;INDEX('Lease Cycles'!$FA$14:$FG$14,1,DS112),0,1-INDEX('Lease Cycles'!$EM$14:$ES$14,1,DS112)),IF(OR(INDEX('Lease Cycles'!$DY$14:$EE$14,1,DS112)=1,DS113&gt;0),1,1-INDEX('Lease Cycles'!$DD$14:$DJ$14,1,DS112))*('Lease Cycles'!$AJ$14*INDEX('Lease Cycles'!$FO$14:$FU$14,1,DS112)+'Lease Cycles'!$BE$14*(1-INDEX('Lease Cycles'!$FO$14:$FU$14,1,DS112)))),0)</f>
        <v>0</v>
      </c>
      <c r="DT122" s="24">
        <f>IF(DT114=1,'Lease Cycles'!$D$14*IF(INDEX('Lease Cycles'!$EF$14:$EL$14,1,DT112)=1,'Lease Cycles'!$AJ$14*INDEX('Lease Cycles'!$FO$14:$FU$14,1,DT112)*INDEX('Lease Cycles'!$EM$14:$ES$14,1,DT112)+'Lease Cycles'!$BE$14*IF(DT113&lt;INDEX('Lease Cycles'!$FA$14:$FG$14,1,DT112),0,1-INDEX('Lease Cycles'!$EM$14:$ES$14,1,DT112)),IF(OR(INDEX('Lease Cycles'!$DY$14:$EE$14,1,DT112)=1,DT113&gt;0),1,1-INDEX('Lease Cycles'!$DD$14:$DJ$14,1,DT112))*('Lease Cycles'!$AJ$14*INDEX('Lease Cycles'!$FO$14:$FU$14,1,DT112)+'Lease Cycles'!$BE$14*(1-INDEX('Lease Cycles'!$FO$14:$FU$14,1,DT112)))),0)</f>
        <v>0</v>
      </c>
      <c r="DU122" s="24">
        <f>IF(DU114=1,'Lease Cycles'!$D$14*IF(INDEX('Lease Cycles'!$EF$14:$EL$14,1,DU112)=1,'Lease Cycles'!$AJ$14*INDEX('Lease Cycles'!$FO$14:$FU$14,1,DU112)*INDEX('Lease Cycles'!$EM$14:$ES$14,1,DU112)+'Lease Cycles'!$BE$14*IF(DU113&lt;INDEX('Lease Cycles'!$FA$14:$FG$14,1,DU112),0,1-INDEX('Lease Cycles'!$EM$14:$ES$14,1,DU112)),IF(OR(INDEX('Lease Cycles'!$DY$14:$EE$14,1,DU112)=1,DU113&gt;0),1,1-INDEX('Lease Cycles'!$DD$14:$DJ$14,1,DU112))*('Lease Cycles'!$AJ$14*INDEX('Lease Cycles'!$FO$14:$FU$14,1,DU112)+'Lease Cycles'!$BE$14*(1-INDEX('Lease Cycles'!$FO$14:$FU$14,1,DU112)))),0)</f>
        <v>0</v>
      </c>
      <c r="DV122" s="24">
        <f>IF(DV114=1,'Lease Cycles'!$D$14*IF(INDEX('Lease Cycles'!$EF$14:$EL$14,1,DV112)=1,'Lease Cycles'!$AJ$14*INDEX('Lease Cycles'!$FO$14:$FU$14,1,DV112)*INDEX('Lease Cycles'!$EM$14:$ES$14,1,DV112)+'Lease Cycles'!$BE$14*IF(DV113&lt;INDEX('Lease Cycles'!$FA$14:$FG$14,1,DV112),0,1-INDEX('Lease Cycles'!$EM$14:$ES$14,1,DV112)),IF(OR(INDEX('Lease Cycles'!$DY$14:$EE$14,1,DV112)=1,DV113&gt;0),1,1-INDEX('Lease Cycles'!$DD$14:$DJ$14,1,DV112))*('Lease Cycles'!$AJ$14*INDEX('Lease Cycles'!$FO$14:$FU$14,1,DV112)+'Lease Cycles'!$BE$14*(1-INDEX('Lease Cycles'!$FO$14:$FU$14,1,DV112)))),0)</f>
        <v>0</v>
      </c>
      <c r="DW122" s="24">
        <f>IF(DW114=1,'Lease Cycles'!$D$14*IF(INDEX('Lease Cycles'!$EF$14:$EL$14,1,DW112)=1,'Lease Cycles'!$AJ$14*INDEX('Lease Cycles'!$FO$14:$FU$14,1,DW112)*INDEX('Lease Cycles'!$EM$14:$ES$14,1,DW112)+'Lease Cycles'!$BE$14*IF(DW113&lt;INDEX('Lease Cycles'!$FA$14:$FG$14,1,DW112),0,1-INDEX('Lease Cycles'!$EM$14:$ES$14,1,DW112)),IF(OR(INDEX('Lease Cycles'!$DY$14:$EE$14,1,DW112)=1,DW113&gt;0),1,1-INDEX('Lease Cycles'!$DD$14:$DJ$14,1,DW112))*('Lease Cycles'!$AJ$14*INDEX('Lease Cycles'!$FO$14:$FU$14,1,DW112)+'Lease Cycles'!$BE$14*(1-INDEX('Lease Cycles'!$FO$14:$FU$14,1,DW112)))),0)</f>
        <v>0</v>
      </c>
      <c r="DX122" s="24">
        <f>IF(DX114=1,'Lease Cycles'!$D$14*IF(INDEX('Lease Cycles'!$EF$14:$EL$14,1,DX112)=1,'Lease Cycles'!$AJ$14*INDEX('Lease Cycles'!$FO$14:$FU$14,1,DX112)*INDEX('Lease Cycles'!$EM$14:$ES$14,1,DX112)+'Lease Cycles'!$BE$14*IF(DX113&lt;INDEX('Lease Cycles'!$FA$14:$FG$14,1,DX112),0,1-INDEX('Lease Cycles'!$EM$14:$ES$14,1,DX112)),IF(OR(INDEX('Lease Cycles'!$DY$14:$EE$14,1,DX112)=1,DX113&gt;0),1,1-INDEX('Lease Cycles'!$DD$14:$DJ$14,1,DX112))*('Lease Cycles'!$AJ$14*INDEX('Lease Cycles'!$FO$14:$FU$14,1,DX112)+'Lease Cycles'!$BE$14*(1-INDEX('Lease Cycles'!$FO$14:$FU$14,1,DX112)))),0)</f>
        <v>0</v>
      </c>
      <c r="DY122" s="24">
        <f>IF(DY114=1,'Lease Cycles'!$D$14*IF(INDEX('Lease Cycles'!$EF$14:$EL$14,1,DY112)=1,'Lease Cycles'!$AJ$14*INDEX('Lease Cycles'!$FO$14:$FU$14,1,DY112)*INDEX('Lease Cycles'!$EM$14:$ES$14,1,DY112)+'Lease Cycles'!$BE$14*IF(DY113&lt;INDEX('Lease Cycles'!$FA$14:$FG$14,1,DY112),0,1-INDEX('Lease Cycles'!$EM$14:$ES$14,1,DY112)),IF(OR(INDEX('Lease Cycles'!$DY$14:$EE$14,1,DY112)=1,DY113&gt;0),1,1-INDEX('Lease Cycles'!$DD$14:$DJ$14,1,DY112))*('Lease Cycles'!$AJ$14*INDEX('Lease Cycles'!$FO$14:$FU$14,1,DY112)+'Lease Cycles'!$BE$14*(1-INDEX('Lease Cycles'!$FO$14:$FU$14,1,DY112)))),0)</f>
        <v>0</v>
      </c>
      <c r="DZ122" s="24">
        <f>IF(DZ114=1,'Lease Cycles'!$D$14*IF(INDEX('Lease Cycles'!$EF$14:$EL$14,1,DZ112)=1,'Lease Cycles'!$AJ$14*INDEX('Lease Cycles'!$FO$14:$FU$14,1,DZ112)*INDEX('Lease Cycles'!$EM$14:$ES$14,1,DZ112)+'Lease Cycles'!$BE$14*IF(DZ113&lt;INDEX('Lease Cycles'!$FA$14:$FG$14,1,DZ112),0,1-INDEX('Lease Cycles'!$EM$14:$ES$14,1,DZ112)),IF(OR(INDEX('Lease Cycles'!$DY$14:$EE$14,1,DZ112)=1,DZ113&gt;0),1,1-INDEX('Lease Cycles'!$DD$14:$DJ$14,1,DZ112))*('Lease Cycles'!$AJ$14*INDEX('Lease Cycles'!$FO$14:$FU$14,1,DZ112)+'Lease Cycles'!$BE$14*(1-INDEX('Lease Cycles'!$FO$14:$FU$14,1,DZ112)))),0)</f>
        <v>0</v>
      </c>
      <c r="EA122" s="24">
        <f>IF(EA114=1,'Lease Cycles'!$D$14*IF(INDEX('Lease Cycles'!$EF$14:$EL$14,1,EA112)=1,'Lease Cycles'!$AJ$14*INDEX('Lease Cycles'!$FO$14:$FU$14,1,EA112)*INDEX('Lease Cycles'!$EM$14:$ES$14,1,EA112)+'Lease Cycles'!$BE$14*IF(EA113&lt;INDEX('Lease Cycles'!$FA$14:$FG$14,1,EA112),0,1-INDEX('Lease Cycles'!$EM$14:$ES$14,1,EA112)),IF(OR(INDEX('Lease Cycles'!$DY$14:$EE$14,1,EA112)=1,EA113&gt;0),1,1-INDEX('Lease Cycles'!$DD$14:$DJ$14,1,EA112))*('Lease Cycles'!$AJ$14*INDEX('Lease Cycles'!$FO$14:$FU$14,1,EA112)+'Lease Cycles'!$BE$14*(1-INDEX('Lease Cycles'!$FO$14:$FU$14,1,EA112)))),0)</f>
        <v>0</v>
      </c>
      <c r="EB122" s="24">
        <f>IF(EB114=1,'Lease Cycles'!$D$14*IF(INDEX('Lease Cycles'!$EF$14:$EL$14,1,EB112)=1,'Lease Cycles'!$AJ$14*INDEX('Lease Cycles'!$FO$14:$FU$14,1,EB112)*INDEX('Lease Cycles'!$EM$14:$ES$14,1,EB112)+'Lease Cycles'!$BE$14*IF(EB113&lt;INDEX('Lease Cycles'!$FA$14:$FG$14,1,EB112),0,1-INDEX('Lease Cycles'!$EM$14:$ES$14,1,EB112)),IF(OR(INDEX('Lease Cycles'!$DY$14:$EE$14,1,EB112)=1,EB113&gt;0),1,1-INDEX('Lease Cycles'!$DD$14:$DJ$14,1,EB112))*('Lease Cycles'!$AJ$14*INDEX('Lease Cycles'!$FO$14:$FU$14,1,EB112)+'Lease Cycles'!$BE$14*(1-INDEX('Lease Cycles'!$FO$14:$FU$14,1,EB112)))),0)</f>
        <v>0</v>
      </c>
      <c r="EC122" s="24">
        <f>IF(EC114=1,'Lease Cycles'!$D$14*IF(INDEX('Lease Cycles'!$EF$14:$EL$14,1,EC112)=1,'Lease Cycles'!$AJ$14*INDEX('Lease Cycles'!$FO$14:$FU$14,1,EC112)*INDEX('Lease Cycles'!$EM$14:$ES$14,1,EC112)+'Lease Cycles'!$BE$14*IF(EC113&lt;INDEX('Lease Cycles'!$FA$14:$FG$14,1,EC112),0,1-INDEX('Lease Cycles'!$EM$14:$ES$14,1,EC112)),IF(OR(INDEX('Lease Cycles'!$DY$14:$EE$14,1,EC112)=1,EC113&gt;0),1,1-INDEX('Lease Cycles'!$DD$14:$DJ$14,1,EC112))*('Lease Cycles'!$AJ$14*INDEX('Lease Cycles'!$FO$14:$FU$14,1,EC112)+'Lease Cycles'!$BE$14*(1-INDEX('Lease Cycles'!$FO$14:$FU$14,1,EC112)))),0)</f>
        <v>0</v>
      </c>
      <c r="ED122" s="24">
        <f>IF(ED114=1,'Lease Cycles'!$D$14*IF(INDEX('Lease Cycles'!$EF$14:$EL$14,1,ED112)=1,'Lease Cycles'!$AJ$14*INDEX('Lease Cycles'!$FO$14:$FU$14,1,ED112)*INDEX('Lease Cycles'!$EM$14:$ES$14,1,ED112)+'Lease Cycles'!$BE$14*IF(ED113&lt;INDEX('Lease Cycles'!$FA$14:$FG$14,1,ED112),0,1-INDEX('Lease Cycles'!$EM$14:$ES$14,1,ED112)),IF(OR(INDEX('Lease Cycles'!$DY$14:$EE$14,1,ED112)=1,ED113&gt;0),1,1-INDEX('Lease Cycles'!$DD$14:$DJ$14,1,ED112))*('Lease Cycles'!$AJ$14*INDEX('Lease Cycles'!$FO$14:$FU$14,1,ED112)+'Lease Cycles'!$BE$14*(1-INDEX('Lease Cycles'!$FO$14:$FU$14,1,ED112)))),0)</f>
        <v>0</v>
      </c>
      <c r="EE122" s="24">
        <f>IF(EE114=1,'Lease Cycles'!$D$14*IF(INDEX('Lease Cycles'!$EF$14:$EL$14,1,EE112)=1,'Lease Cycles'!$AJ$14*INDEX('Lease Cycles'!$FO$14:$FU$14,1,EE112)*INDEX('Lease Cycles'!$EM$14:$ES$14,1,EE112)+'Lease Cycles'!$BE$14*IF(EE113&lt;INDEX('Lease Cycles'!$FA$14:$FG$14,1,EE112),0,1-INDEX('Lease Cycles'!$EM$14:$ES$14,1,EE112)),IF(OR(INDEX('Lease Cycles'!$DY$14:$EE$14,1,EE112)=1,EE113&gt;0),1,1-INDEX('Lease Cycles'!$DD$14:$DJ$14,1,EE112))*('Lease Cycles'!$AJ$14*INDEX('Lease Cycles'!$FO$14:$FU$14,1,EE112)+'Lease Cycles'!$BE$14*(1-INDEX('Lease Cycles'!$FO$14:$FU$14,1,EE112)))),0)</f>
        <v>0</v>
      </c>
      <c r="EF122" s="24">
        <f>IF(EF114=1,'Lease Cycles'!$D$14*IF(INDEX('Lease Cycles'!$EF$14:$EL$14,1,EF112)=1,'Lease Cycles'!$AJ$14*INDEX('Lease Cycles'!$FO$14:$FU$14,1,EF112)*INDEX('Lease Cycles'!$EM$14:$ES$14,1,EF112)+'Lease Cycles'!$BE$14*IF(EF113&lt;INDEX('Lease Cycles'!$FA$14:$FG$14,1,EF112),0,1-INDEX('Lease Cycles'!$EM$14:$ES$14,1,EF112)),IF(OR(INDEX('Lease Cycles'!$DY$14:$EE$14,1,EF112)=1,EF113&gt;0),1,1-INDEX('Lease Cycles'!$DD$14:$DJ$14,1,EF112))*('Lease Cycles'!$AJ$14*INDEX('Lease Cycles'!$FO$14:$FU$14,1,EF112)+'Lease Cycles'!$BE$14*(1-INDEX('Lease Cycles'!$FO$14:$FU$14,1,EF112)))),0)</f>
        <v>0</v>
      </c>
      <c r="EG122" s="24">
        <f>IF(EG114=1,'Lease Cycles'!$D$14*IF(INDEX('Lease Cycles'!$EF$14:$EL$14,1,EG112)=1,'Lease Cycles'!$AJ$14*INDEX('Lease Cycles'!$FO$14:$FU$14,1,EG112)*INDEX('Lease Cycles'!$EM$14:$ES$14,1,EG112)+'Lease Cycles'!$BE$14*IF(EG113&lt;INDEX('Lease Cycles'!$FA$14:$FG$14,1,EG112),0,1-INDEX('Lease Cycles'!$EM$14:$ES$14,1,EG112)),IF(OR(INDEX('Lease Cycles'!$DY$14:$EE$14,1,EG112)=1,EG113&gt;0),1,1-INDEX('Lease Cycles'!$DD$14:$DJ$14,1,EG112))*('Lease Cycles'!$AJ$14*INDEX('Lease Cycles'!$FO$14:$FU$14,1,EG112)+'Lease Cycles'!$BE$14*(1-INDEX('Lease Cycles'!$FO$14:$FU$14,1,EG112)))),0)</f>
        <v>0</v>
      </c>
      <c r="EH122" s="24">
        <f>IF(EH114=1,'Lease Cycles'!$D$14*IF(INDEX('Lease Cycles'!$EF$14:$EL$14,1,EH112)=1,'Lease Cycles'!$AJ$14*INDEX('Lease Cycles'!$FO$14:$FU$14,1,EH112)*INDEX('Lease Cycles'!$EM$14:$ES$14,1,EH112)+'Lease Cycles'!$BE$14*IF(EH113&lt;INDEX('Lease Cycles'!$FA$14:$FG$14,1,EH112),0,1-INDEX('Lease Cycles'!$EM$14:$ES$14,1,EH112)),IF(OR(INDEX('Lease Cycles'!$DY$14:$EE$14,1,EH112)=1,EH113&gt;0),1,1-INDEX('Lease Cycles'!$DD$14:$DJ$14,1,EH112))*('Lease Cycles'!$AJ$14*INDEX('Lease Cycles'!$FO$14:$FU$14,1,EH112)+'Lease Cycles'!$BE$14*(1-INDEX('Lease Cycles'!$FO$14:$FU$14,1,EH112)))),0)</f>
        <v>0</v>
      </c>
      <c r="EI122" s="24">
        <f>IF(EI114=1,'Lease Cycles'!$D$14*IF(INDEX('Lease Cycles'!$EF$14:$EL$14,1,EI112)=1,'Lease Cycles'!$AJ$14*INDEX('Lease Cycles'!$FO$14:$FU$14,1,EI112)*INDEX('Lease Cycles'!$EM$14:$ES$14,1,EI112)+'Lease Cycles'!$BE$14*IF(EI113&lt;INDEX('Lease Cycles'!$FA$14:$FG$14,1,EI112),0,1-INDEX('Lease Cycles'!$EM$14:$ES$14,1,EI112)),IF(OR(INDEX('Lease Cycles'!$DY$14:$EE$14,1,EI112)=1,EI113&gt;0),1,1-INDEX('Lease Cycles'!$DD$14:$DJ$14,1,EI112))*('Lease Cycles'!$AJ$14*INDEX('Lease Cycles'!$FO$14:$FU$14,1,EI112)+'Lease Cycles'!$BE$14*(1-INDEX('Lease Cycles'!$FO$14:$FU$14,1,EI112)))),0)</f>
        <v>0</v>
      </c>
      <c r="EJ122" s="24">
        <f>IF(EJ114=1,'Lease Cycles'!$D$14*IF(INDEX('Lease Cycles'!$EF$14:$EL$14,1,EJ112)=1,'Lease Cycles'!$AJ$14*INDEX('Lease Cycles'!$FO$14:$FU$14,1,EJ112)*INDEX('Lease Cycles'!$EM$14:$ES$14,1,EJ112)+'Lease Cycles'!$BE$14*IF(EJ113&lt;INDEX('Lease Cycles'!$FA$14:$FG$14,1,EJ112),0,1-INDEX('Lease Cycles'!$EM$14:$ES$14,1,EJ112)),IF(OR(INDEX('Lease Cycles'!$DY$14:$EE$14,1,EJ112)=1,EJ113&gt;0),1,1-INDEX('Lease Cycles'!$DD$14:$DJ$14,1,EJ112))*('Lease Cycles'!$AJ$14*INDEX('Lease Cycles'!$FO$14:$FU$14,1,EJ112)+'Lease Cycles'!$BE$14*(1-INDEX('Lease Cycles'!$FO$14:$FU$14,1,EJ112)))),0)</f>
        <v>0</v>
      </c>
      <c r="EK122" s="24">
        <f>IF(EK114=1,'Lease Cycles'!$D$14*IF(INDEX('Lease Cycles'!$EF$14:$EL$14,1,EK112)=1,'Lease Cycles'!$AJ$14*INDEX('Lease Cycles'!$FO$14:$FU$14,1,EK112)*INDEX('Lease Cycles'!$EM$14:$ES$14,1,EK112)+'Lease Cycles'!$BE$14*IF(EK113&lt;INDEX('Lease Cycles'!$FA$14:$FG$14,1,EK112),0,1-INDEX('Lease Cycles'!$EM$14:$ES$14,1,EK112)),IF(OR(INDEX('Lease Cycles'!$DY$14:$EE$14,1,EK112)=1,EK113&gt;0),1,1-INDEX('Lease Cycles'!$DD$14:$DJ$14,1,EK112))*('Lease Cycles'!$AJ$14*INDEX('Lease Cycles'!$FO$14:$FU$14,1,EK112)+'Lease Cycles'!$BE$14*(1-INDEX('Lease Cycles'!$FO$14:$FU$14,1,EK112)))),0)</f>
        <v>0</v>
      </c>
      <c r="EL122" s="24">
        <f>IF(EL114=1,'Lease Cycles'!$D$14*IF(INDEX('Lease Cycles'!$EF$14:$EL$14,1,EL112)=1,'Lease Cycles'!$AJ$14*INDEX('Lease Cycles'!$FO$14:$FU$14,1,EL112)*INDEX('Lease Cycles'!$EM$14:$ES$14,1,EL112)+'Lease Cycles'!$BE$14*IF(EL113&lt;INDEX('Lease Cycles'!$FA$14:$FG$14,1,EL112),0,1-INDEX('Lease Cycles'!$EM$14:$ES$14,1,EL112)),IF(OR(INDEX('Lease Cycles'!$DY$14:$EE$14,1,EL112)=1,EL113&gt;0),1,1-INDEX('Lease Cycles'!$DD$14:$DJ$14,1,EL112))*('Lease Cycles'!$AJ$14*INDEX('Lease Cycles'!$FO$14:$FU$14,1,EL112)+'Lease Cycles'!$BE$14*(1-INDEX('Lease Cycles'!$FO$14:$FU$14,1,EL112)))),0)</f>
        <v>0</v>
      </c>
      <c r="EM122" s="24">
        <f>IF(EM114=1,'Lease Cycles'!$D$14*IF(INDEX('Lease Cycles'!$EF$14:$EL$14,1,EM112)=1,'Lease Cycles'!$AJ$14*INDEX('Lease Cycles'!$FO$14:$FU$14,1,EM112)*INDEX('Lease Cycles'!$EM$14:$ES$14,1,EM112)+'Lease Cycles'!$BE$14*IF(EM113&lt;INDEX('Lease Cycles'!$FA$14:$FG$14,1,EM112),0,1-INDEX('Lease Cycles'!$EM$14:$ES$14,1,EM112)),IF(OR(INDEX('Lease Cycles'!$DY$14:$EE$14,1,EM112)=1,EM113&gt;0),1,1-INDEX('Lease Cycles'!$DD$14:$DJ$14,1,EM112))*('Lease Cycles'!$AJ$14*INDEX('Lease Cycles'!$FO$14:$FU$14,1,EM112)+'Lease Cycles'!$BE$14*(1-INDEX('Lease Cycles'!$FO$14:$FU$14,1,EM112)))),0)</f>
        <v>0</v>
      </c>
      <c r="EN122" s="24">
        <f>IF(EN114=1,'Lease Cycles'!$D$14*IF(INDEX('Lease Cycles'!$EF$14:$EL$14,1,EN112)=1,'Lease Cycles'!$AJ$14*INDEX('Lease Cycles'!$FO$14:$FU$14,1,EN112)*INDEX('Lease Cycles'!$EM$14:$ES$14,1,EN112)+'Lease Cycles'!$BE$14*IF(EN113&lt;INDEX('Lease Cycles'!$FA$14:$FG$14,1,EN112),0,1-INDEX('Lease Cycles'!$EM$14:$ES$14,1,EN112)),IF(OR(INDEX('Lease Cycles'!$DY$14:$EE$14,1,EN112)=1,EN113&gt;0),1,1-INDEX('Lease Cycles'!$DD$14:$DJ$14,1,EN112))*('Lease Cycles'!$AJ$14*INDEX('Lease Cycles'!$FO$14:$FU$14,1,EN112)+'Lease Cycles'!$BE$14*(1-INDEX('Lease Cycles'!$FO$14:$FU$14,1,EN112)))),0)</f>
        <v>0</v>
      </c>
      <c r="EO122" s="24">
        <f>IF(EO114=1,'Lease Cycles'!$D$14*IF(INDEX('Lease Cycles'!$EF$14:$EL$14,1,EO112)=1,'Lease Cycles'!$AJ$14*INDEX('Lease Cycles'!$FO$14:$FU$14,1,EO112)*INDEX('Lease Cycles'!$EM$14:$ES$14,1,EO112)+'Lease Cycles'!$BE$14*IF(EO113&lt;INDEX('Lease Cycles'!$FA$14:$FG$14,1,EO112),0,1-INDEX('Lease Cycles'!$EM$14:$ES$14,1,EO112)),IF(OR(INDEX('Lease Cycles'!$DY$14:$EE$14,1,EO112)=1,EO113&gt;0),1,1-INDEX('Lease Cycles'!$DD$14:$DJ$14,1,EO112))*('Lease Cycles'!$AJ$14*INDEX('Lease Cycles'!$FO$14:$FU$14,1,EO112)+'Lease Cycles'!$BE$14*(1-INDEX('Lease Cycles'!$FO$14:$FU$14,1,EO112)))),0)</f>
        <v>0</v>
      </c>
      <c r="EP122" s="24">
        <f>IF(EP114=1,'Lease Cycles'!$D$14*IF(INDEX('Lease Cycles'!$EF$14:$EL$14,1,EP112)=1,'Lease Cycles'!$AJ$14*INDEX('Lease Cycles'!$FO$14:$FU$14,1,EP112)*INDEX('Lease Cycles'!$EM$14:$ES$14,1,EP112)+'Lease Cycles'!$BE$14*IF(EP113&lt;INDEX('Lease Cycles'!$FA$14:$FG$14,1,EP112),0,1-INDEX('Lease Cycles'!$EM$14:$ES$14,1,EP112)),IF(OR(INDEX('Lease Cycles'!$DY$14:$EE$14,1,EP112)=1,EP113&gt;0),1,1-INDEX('Lease Cycles'!$DD$14:$DJ$14,1,EP112))*('Lease Cycles'!$AJ$14*INDEX('Lease Cycles'!$FO$14:$FU$14,1,EP112)+'Lease Cycles'!$BE$14*(1-INDEX('Lease Cycles'!$FO$14:$FU$14,1,EP112)))),0)</f>
        <v>0</v>
      </c>
      <c r="EQ122" s="24">
        <f>IF(EQ114=1,'Lease Cycles'!$D$14*IF(INDEX('Lease Cycles'!$EF$14:$EL$14,1,EQ112)=1,'Lease Cycles'!$AJ$14*INDEX('Lease Cycles'!$FO$14:$FU$14,1,EQ112)*INDEX('Lease Cycles'!$EM$14:$ES$14,1,EQ112)+'Lease Cycles'!$BE$14*IF(EQ113&lt;INDEX('Lease Cycles'!$FA$14:$FG$14,1,EQ112),0,1-INDEX('Lease Cycles'!$EM$14:$ES$14,1,EQ112)),IF(OR(INDEX('Lease Cycles'!$DY$14:$EE$14,1,EQ112)=1,EQ113&gt;0),1,1-INDEX('Lease Cycles'!$DD$14:$DJ$14,1,EQ112))*('Lease Cycles'!$AJ$14*INDEX('Lease Cycles'!$FO$14:$FU$14,1,EQ112)+'Lease Cycles'!$BE$14*(1-INDEX('Lease Cycles'!$FO$14:$FU$14,1,EQ112)))),0)</f>
        <v>0</v>
      </c>
      <c r="ER122" s="24">
        <f>IF(ER114=1,'Lease Cycles'!$D$14*IF(INDEX('Lease Cycles'!$EF$14:$EL$14,1,ER112)=1,'Lease Cycles'!$AJ$14*INDEX('Lease Cycles'!$FO$14:$FU$14,1,ER112)*INDEX('Lease Cycles'!$EM$14:$ES$14,1,ER112)+'Lease Cycles'!$BE$14*IF(ER113&lt;INDEX('Lease Cycles'!$FA$14:$FG$14,1,ER112),0,1-INDEX('Lease Cycles'!$EM$14:$ES$14,1,ER112)),IF(OR(INDEX('Lease Cycles'!$DY$14:$EE$14,1,ER112)=1,ER113&gt;0),1,1-INDEX('Lease Cycles'!$DD$14:$DJ$14,1,ER112))*('Lease Cycles'!$AJ$14*INDEX('Lease Cycles'!$FO$14:$FU$14,1,ER112)+'Lease Cycles'!$BE$14*(1-INDEX('Lease Cycles'!$FO$14:$FU$14,1,ER112)))),0)</f>
        <v>0</v>
      </c>
      <c r="ES122" s="24">
        <f>IF(ES114=1,'Lease Cycles'!$D$14*IF(INDEX('Lease Cycles'!$EF$14:$EL$14,1,ES112)=1,'Lease Cycles'!$AJ$14*INDEX('Lease Cycles'!$FO$14:$FU$14,1,ES112)*INDEX('Lease Cycles'!$EM$14:$ES$14,1,ES112)+'Lease Cycles'!$BE$14*IF(ES113&lt;INDEX('Lease Cycles'!$FA$14:$FG$14,1,ES112),0,1-INDEX('Lease Cycles'!$EM$14:$ES$14,1,ES112)),IF(OR(INDEX('Lease Cycles'!$DY$14:$EE$14,1,ES112)=1,ES113&gt;0),1,1-INDEX('Lease Cycles'!$DD$14:$DJ$14,1,ES112))*('Lease Cycles'!$AJ$14*INDEX('Lease Cycles'!$FO$14:$FU$14,1,ES112)+'Lease Cycles'!$BE$14*(1-INDEX('Lease Cycles'!$FO$14:$FU$14,1,ES112)))),0)</f>
        <v>0</v>
      </c>
      <c r="ET122" s="24">
        <f>IF(ET114=1,'Lease Cycles'!$D$14*IF(INDEX('Lease Cycles'!$EF$14:$EL$14,1,ET112)=1,'Lease Cycles'!$AJ$14*INDEX('Lease Cycles'!$FO$14:$FU$14,1,ET112)*INDEX('Lease Cycles'!$EM$14:$ES$14,1,ET112)+'Lease Cycles'!$BE$14*IF(ET113&lt;INDEX('Lease Cycles'!$FA$14:$FG$14,1,ET112),0,1-INDEX('Lease Cycles'!$EM$14:$ES$14,1,ET112)),IF(OR(INDEX('Lease Cycles'!$DY$14:$EE$14,1,ET112)=1,ET113&gt;0),1,1-INDEX('Lease Cycles'!$DD$14:$DJ$14,1,ET112))*('Lease Cycles'!$AJ$14*INDEX('Lease Cycles'!$FO$14:$FU$14,1,ET112)+'Lease Cycles'!$BE$14*(1-INDEX('Lease Cycles'!$FO$14:$FU$14,1,ET112)))),0)</f>
        <v>0</v>
      </c>
    </row>
    <row r="123">
      <c r="A123" s="103">
        <v>7</v>
      </c>
      <c r="B123" s="23" t="str">
        <f>IF('Lease Cycles'!$B$14="","(empty slot)",'Lease Cycles'!$B$14)</f>
        <v>Sunfield Nails</v>
      </c>
      <c r="C123" s="23" t="s">
        <v>689</v>
      </c>
      <c r="D123" s="104" t="s">
        <v>690</v>
      </c>
      <c r="E123" s="25">
        <f>'Lease Cycles'!$AL$14</f>
        <v>0</v>
      </c>
      <c r="G123" s="28">
        <f>SUM(S123:AD123)</f>
        <v>0</v>
      </c>
      <c r="H123" s="28">
        <f>SUM(AE123:AP123)</f>
        <v>0</v>
      </c>
      <c r="I123" s="28">
        <f>SUM(AQ123:BB123)</f>
        <v>0</v>
      </c>
      <c r="J123" s="28">
        <f>SUM(BC123:BN123)</f>
        <v>0</v>
      </c>
      <c r="K123" s="28">
        <f>SUM(BO123:BZ123)</f>
        <v>0</v>
      </c>
      <c r="L123" s="28">
        <f>SUM(CA123:CL123)</f>
        <v>0</v>
      </c>
      <c r="M123" s="28">
        <f>SUM(CM123:CX123)</f>
        <v>0</v>
      </c>
      <c r="N123" s="28">
        <f>SUM(CY123:DJ123)</f>
        <v>0</v>
      </c>
      <c r="O123" s="28">
        <f>SUM(DK123:DV123)</f>
        <v>0</v>
      </c>
      <c r="P123" s="28">
        <f>SUM(DW123:EH123)</f>
        <v>0</v>
      </c>
      <c r="Q123" s="28">
        <f>SUM(EI123:ET123)</f>
        <v>0</v>
      </c>
      <c r="S123" s="28">
        <f>IF(S122=0,0,S122*MAX(0,(INDEX(c_CAMy,1,S$7)-INDEX(c_CAMy,1,INDEX('Lease Cycles'!$GC$14:$GI$14,1,S112)+1))*(1+'Lease Cycles'!$AK$14)+(INDEX(c_TAXy,1,S$7)-INDEX(c_TAXy,1,INDEX('Lease Cycles'!$GC$14:$GI$14,1,S112)+1))+(INDEX(c_INSy,1,S$7)-INDEX(c_INSy,1,INDEX('Lease Cycles'!$GC$14:$GI$14,1,S112)+1)))/12)</f>
        <v>0</v>
      </c>
      <c r="T123" s="28">
        <f>IF(T122=0,0,T122*MAX(0,(INDEX(c_CAMy,1,T$7)-INDEX(c_CAMy,1,INDEX('Lease Cycles'!$GC$14:$GI$14,1,T112)+1))*(1+'Lease Cycles'!$AK$14)+(INDEX(c_TAXy,1,T$7)-INDEX(c_TAXy,1,INDEX('Lease Cycles'!$GC$14:$GI$14,1,T112)+1))+(INDEX(c_INSy,1,T$7)-INDEX(c_INSy,1,INDEX('Lease Cycles'!$GC$14:$GI$14,1,T112)+1)))/12)</f>
        <v>0</v>
      </c>
      <c r="U123" s="28">
        <f>IF(U122=0,0,U122*MAX(0,(INDEX(c_CAMy,1,U$7)-INDEX(c_CAMy,1,INDEX('Lease Cycles'!$GC$14:$GI$14,1,U112)+1))*(1+'Lease Cycles'!$AK$14)+(INDEX(c_TAXy,1,U$7)-INDEX(c_TAXy,1,INDEX('Lease Cycles'!$GC$14:$GI$14,1,U112)+1))+(INDEX(c_INSy,1,U$7)-INDEX(c_INSy,1,INDEX('Lease Cycles'!$GC$14:$GI$14,1,U112)+1)))/12)</f>
        <v>0</v>
      </c>
      <c r="V123" s="28">
        <f>IF(V122=0,0,V122*MAX(0,(INDEX(c_CAMy,1,V$7)-INDEX(c_CAMy,1,INDEX('Lease Cycles'!$GC$14:$GI$14,1,V112)+1))*(1+'Lease Cycles'!$AK$14)+(INDEX(c_TAXy,1,V$7)-INDEX(c_TAXy,1,INDEX('Lease Cycles'!$GC$14:$GI$14,1,V112)+1))+(INDEX(c_INSy,1,V$7)-INDEX(c_INSy,1,INDEX('Lease Cycles'!$GC$14:$GI$14,1,V112)+1)))/12)</f>
        <v>0</v>
      </c>
      <c r="W123" s="28">
        <f>IF(W122=0,0,W122*MAX(0,(INDEX(c_CAMy,1,W$7)-INDEX(c_CAMy,1,INDEX('Lease Cycles'!$GC$14:$GI$14,1,W112)+1))*(1+'Lease Cycles'!$AK$14)+(INDEX(c_TAXy,1,W$7)-INDEX(c_TAXy,1,INDEX('Lease Cycles'!$GC$14:$GI$14,1,W112)+1))+(INDEX(c_INSy,1,W$7)-INDEX(c_INSy,1,INDEX('Lease Cycles'!$GC$14:$GI$14,1,W112)+1)))/12)</f>
        <v>0</v>
      </c>
      <c r="X123" s="28">
        <f>IF(X122=0,0,X122*MAX(0,(INDEX(c_CAMy,1,X$7)-INDEX(c_CAMy,1,INDEX('Lease Cycles'!$GC$14:$GI$14,1,X112)+1))*(1+'Lease Cycles'!$AK$14)+(INDEX(c_TAXy,1,X$7)-INDEX(c_TAXy,1,INDEX('Lease Cycles'!$GC$14:$GI$14,1,X112)+1))+(INDEX(c_INSy,1,X$7)-INDEX(c_INSy,1,INDEX('Lease Cycles'!$GC$14:$GI$14,1,X112)+1)))/12)</f>
        <v>0</v>
      </c>
      <c r="Y123" s="28">
        <f>IF(Y122=0,0,Y122*MAX(0,(INDEX(c_CAMy,1,Y$7)-INDEX(c_CAMy,1,INDEX('Lease Cycles'!$GC$14:$GI$14,1,Y112)+1))*(1+'Lease Cycles'!$AK$14)+(INDEX(c_TAXy,1,Y$7)-INDEX(c_TAXy,1,INDEX('Lease Cycles'!$GC$14:$GI$14,1,Y112)+1))+(INDEX(c_INSy,1,Y$7)-INDEX(c_INSy,1,INDEX('Lease Cycles'!$GC$14:$GI$14,1,Y112)+1)))/12)</f>
        <v>0</v>
      </c>
      <c r="Z123" s="28">
        <f>IF(Z122=0,0,Z122*MAX(0,(INDEX(c_CAMy,1,Z$7)-INDEX(c_CAMy,1,INDEX('Lease Cycles'!$GC$14:$GI$14,1,Z112)+1))*(1+'Lease Cycles'!$AK$14)+(INDEX(c_TAXy,1,Z$7)-INDEX(c_TAXy,1,INDEX('Lease Cycles'!$GC$14:$GI$14,1,Z112)+1))+(INDEX(c_INSy,1,Z$7)-INDEX(c_INSy,1,INDEX('Lease Cycles'!$GC$14:$GI$14,1,Z112)+1)))/12)</f>
        <v>0</v>
      </c>
      <c r="AA123" s="28">
        <f>IF(AA122=0,0,AA122*MAX(0,(INDEX(c_CAMy,1,AA$7)-INDEX(c_CAMy,1,INDEX('Lease Cycles'!$GC$14:$GI$14,1,AA112)+1))*(1+'Lease Cycles'!$AK$14)+(INDEX(c_TAXy,1,AA$7)-INDEX(c_TAXy,1,INDEX('Lease Cycles'!$GC$14:$GI$14,1,AA112)+1))+(INDEX(c_INSy,1,AA$7)-INDEX(c_INSy,1,INDEX('Lease Cycles'!$GC$14:$GI$14,1,AA112)+1)))/12)</f>
        <v>0</v>
      </c>
      <c r="AB123" s="28">
        <f>IF(AB122=0,0,AB122*MAX(0,(INDEX(c_CAMy,1,AB$7)-INDEX(c_CAMy,1,INDEX('Lease Cycles'!$GC$14:$GI$14,1,AB112)+1))*(1+'Lease Cycles'!$AK$14)+(INDEX(c_TAXy,1,AB$7)-INDEX(c_TAXy,1,INDEX('Lease Cycles'!$GC$14:$GI$14,1,AB112)+1))+(INDEX(c_INSy,1,AB$7)-INDEX(c_INSy,1,INDEX('Lease Cycles'!$GC$14:$GI$14,1,AB112)+1)))/12)</f>
        <v>0</v>
      </c>
      <c r="AC123" s="28">
        <f>IF(AC122=0,0,AC122*MAX(0,(INDEX(c_CAMy,1,AC$7)-INDEX(c_CAMy,1,INDEX('Lease Cycles'!$GC$14:$GI$14,1,AC112)+1))*(1+'Lease Cycles'!$AK$14)+(INDEX(c_TAXy,1,AC$7)-INDEX(c_TAXy,1,INDEX('Lease Cycles'!$GC$14:$GI$14,1,AC112)+1))+(INDEX(c_INSy,1,AC$7)-INDEX(c_INSy,1,INDEX('Lease Cycles'!$GC$14:$GI$14,1,AC112)+1)))/12)</f>
        <v>0</v>
      </c>
      <c r="AD123" s="28">
        <f>IF(AD122=0,0,AD122*MAX(0,(INDEX(c_CAMy,1,AD$7)-INDEX(c_CAMy,1,INDEX('Lease Cycles'!$GC$14:$GI$14,1,AD112)+1))*(1+'Lease Cycles'!$AK$14)+(INDEX(c_TAXy,1,AD$7)-INDEX(c_TAXy,1,INDEX('Lease Cycles'!$GC$14:$GI$14,1,AD112)+1))+(INDEX(c_INSy,1,AD$7)-INDEX(c_INSy,1,INDEX('Lease Cycles'!$GC$14:$GI$14,1,AD112)+1)))/12)</f>
        <v>0</v>
      </c>
      <c r="AE123" s="28">
        <f>IF(AE122=0,0,AE122*MAX(0,(INDEX(c_CAMy,1,AE$7)-INDEX(c_CAMy,1,INDEX('Lease Cycles'!$GC$14:$GI$14,1,AE112)+1))*(1+'Lease Cycles'!$AK$14)+(INDEX(c_TAXy,1,AE$7)-INDEX(c_TAXy,1,INDEX('Lease Cycles'!$GC$14:$GI$14,1,AE112)+1))+(INDEX(c_INSy,1,AE$7)-INDEX(c_INSy,1,INDEX('Lease Cycles'!$GC$14:$GI$14,1,AE112)+1)))/12)</f>
        <v>0</v>
      </c>
      <c r="AF123" s="28">
        <f>IF(AF122=0,0,AF122*MAX(0,(INDEX(c_CAMy,1,AF$7)-INDEX(c_CAMy,1,INDEX('Lease Cycles'!$GC$14:$GI$14,1,AF112)+1))*(1+'Lease Cycles'!$AK$14)+(INDEX(c_TAXy,1,AF$7)-INDEX(c_TAXy,1,INDEX('Lease Cycles'!$GC$14:$GI$14,1,AF112)+1))+(INDEX(c_INSy,1,AF$7)-INDEX(c_INSy,1,INDEX('Lease Cycles'!$GC$14:$GI$14,1,AF112)+1)))/12)</f>
        <v>0</v>
      </c>
      <c r="AG123" s="28">
        <f>IF(AG122=0,0,AG122*MAX(0,(INDEX(c_CAMy,1,AG$7)-INDEX(c_CAMy,1,INDEX('Lease Cycles'!$GC$14:$GI$14,1,AG112)+1))*(1+'Lease Cycles'!$AK$14)+(INDEX(c_TAXy,1,AG$7)-INDEX(c_TAXy,1,INDEX('Lease Cycles'!$GC$14:$GI$14,1,AG112)+1))+(INDEX(c_INSy,1,AG$7)-INDEX(c_INSy,1,INDEX('Lease Cycles'!$GC$14:$GI$14,1,AG112)+1)))/12)</f>
        <v>0</v>
      </c>
      <c r="AH123" s="28">
        <f>IF(AH122=0,0,AH122*MAX(0,(INDEX(c_CAMy,1,AH$7)-INDEX(c_CAMy,1,INDEX('Lease Cycles'!$GC$14:$GI$14,1,AH112)+1))*(1+'Lease Cycles'!$AK$14)+(INDEX(c_TAXy,1,AH$7)-INDEX(c_TAXy,1,INDEX('Lease Cycles'!$GC$14:$GI$14,1,AH112)+1))+(INDEX(c_INSy,1,AH$7)-INDEX(c_INSy,1,INDEX('Lease Cycles'!$GC$14:$GI$14,1,AH112)+1)))/12)</f>
        <v>0</v>
      </c>
      <c r="AI123" s="28">
        <f>IF(AI122=0,0,AI122*MAX(0,(INDEX(c_CAMy,1,AI$7)-INDEX(c_CAMy,1,INDEX('Lease Cycles'!$GC$14:$GI$14,1,AI112)+1))*(1+'Lease Cycles'!$AK$14)+(INDEX(c_TAXy,1,AI$7)-INDEX(c_TAXy,1,INDEX('Lease Cycles'!$GC$14:$GI$14,1,AI112)+1))+(INDEX(c_INSy,1,AI$7)-INDEX(c_INSy,1,INDEX('Lease Cycles'!$GC$14:$GI$14,1,AI112)+1)))/12)</f>
        <v>0</v>
      </c>
      <c r="AJ123" s="28">
        <f>IF(AJ122=0,0,AJ122*MAX(0,(INDEX(c_CAMy,1,AJ$7)-INDEX(c_CAMy,1,INDEX('Lease Cycles'!$GC$14:$GI$14,1,AJ112)+1))*(1+'Lease Cycles'!$AK$14)+(INDEX(c_TAXy,1,AJ$7)-INDEX(c_TAXy,1,INDEX('Lease Cycles'!$GC$14:$GI$14,1,AJ112)+1))+(INDEX(c_INSy,1,AJ$7)-INDEX(c_INSy,1,INDEX('Lease Cycles'!$GC$14:$GI$14,1,AJ112)+1)))/12)</f>
        <v>0</v>
      </c>
      <c r="AK123" s="28">
        <f>IF(AK122=0,0,AK122*MAX(0,(INDEX(c_CAMy,1,AK$7)-INDEX(c_CAMy,1,INDEX('Lease Cycles'!$GC$14:$GI$14,1,AK112)+1))*(1+'Lease Cycles'!$AK$14)+(INDEX(c_TAXy,1,AK$7)-INDEX(c_TAXy,1,INDEX('Lease Cycles'!$GC$14:$GI$14,1,AK112)+1))+(INDEX(c_INSy,1,AK$7)-INDEX(c_INSy,1,INDEX('Lease Cycles'!$GC$14:$GI$14,1,AK112)+1)))/12)</f>
        <v>0</v>
      </c>
      <c r="AL123" s="28">
        <f>IF(AL122=0,0,AL122*MAX(0,(INDEX(c_CAMy,1,AL$7)-INDEX(c_CAMy,1,INDEX('Lease Cycles'!$GC$14:$GI$14,1,AL112)+1))*(1+'Lease Cycles'!$AK$14)+(INDEX(c_TAXy,1,AL$7)-INDEX(c_TAXy,1,INDEX('Lease Cycles'!$GC$14:$GI$14,1,AL112)+1))+(INDEX(c_INSy,1,AL$7)-INDEX(c_INSy,1,INDEX('Lease Cycles'!$GC$14:$GI$14,1,AL112)+1)))/12)</f>
        <v>0</v>
      </c>
      <c r="AM123" s="28">
        <f>IF(AM122=0,0,AM122*MAX(0,(INDEX(c_CAMy,1,AM$7)-INDEX(c_CAMy,1,INDEX('Lease Cycles'!$GC$14:$GI$14,1,AM112)+1))*(1+'Lease Cycles'!$AK$14)+(INDEX(c_TAXy,1,AM$7)-INDEX(c_TAXy,1,INDEX('Lease Cycles'!$GC$14:$GI$14,1,AM112)+1))+(INDEX(c_INSy,1,AM$7)-INDEX(c_INSy,1,INDEX('Lease Cycles'!$GC$14:$GI$14,1,AM112)+1)))/12)</f>
        <v>0</v>
      </c>
      <c r="AN123" s="28">
        <f>IF(AN122=0,0,AN122*MAX(0,(INDEX(c_CAMy,1,AN$7)-INDEX(c_CAMy,1,INDEX('Lease Cycles'!$GC$14:$GI$14,1,AN112)+1))*(1+'Lease Cycles'!$AK$14)+(INDEX(c_TAXy,1,AN$7)-INDEX(c_TAXy,1,INDEX('Lease Cycles'!$GC$14:$GI$14,1,AN112)+1))+(INDEX(c_INSy,1,AN$7)-INDEX(c_INSy,1,INDEX('Lease Cycles'!$GC$14:$GI$14,1,AN112)+1)))/12)</f>
        <v>0</v>
      </c>
      <c r="AO123" s="28">
        <f>IF(AO122=0,0,AO122*MAX(0,(INDEX(c_CAMy,1,AO$7)-INDEX(c_CAMy,1,INDEX('Lease Cycles'!$GC$14:$GI$14,1,AO112)+1))*(1+'Lease Cycles'!$AK$14)+(INDEX(c_TAXy,1,AO$7)-INDEX(c_TAXy,1,INDEX('Lease Cycles'!$GC$14:$GI$14,1,AO112)+1))+(INDEX(c_INSy,1,AO$7)-INDEX(c_INSy,1,INDEX('Lease Cycles'!$GC$14:$GI$14,1,AO112)+1)))/12)</f>
        <v>0</v>
      </c>
      <c r="AP123" s="28">
        <f>IF(AP122=0,0,AP122*MAX(0,(INDEX(c_CAMy,1,AP$7)-INDEX(c_CAMy,1,INDEX('Lease Cycles'!$GC$14:$GI$14,1,AP112)+1))*(1+'Lease Cycles'!$AK$14)+(INDEX(c_TAXy,1,AP$7)-INDEX(c_TAXy,1,INDEX('Lease Cycles'!$GC$14:$GI$14,1,AP112)+1))+(INDEX(c_INSy,1,AP$7)-INDEX(c_INSy,1,INDEX('Lease Cycles'!$GC$14:$GI$14,1,AP112)+1)))/12)</f>
        <v>0</v>
      </c>
      <c r="AQ123" s="28">
        <f>IF(AQ122=0,0,AQ122*MAX(0,(INDEX(c_CAMy,1,AQ$7)-INDEX(c_CAMy,1,INDEX('Lease Cycles'!$GC$14:$GI$14,1,AQ112)+1))*(1+'Lease Cycles'!$AK$14)+(INDEX(c_TAXy,1,AQ$7)-INDEX(c_TAXy,1,INDEX('Lease Cycles'!$GC$14:$GI$14,1,AQ112)+1))+(INDEX(c_INSy,1,AQ$7)-INDEX(c_INSy,1,INDEX('Lease Cycles'!$GC$14:$GI$14,1,AQ112)+1)))/12)</f>
        <v>0</v>
      </c>
      <c r="AR123" s="28">
        <f>IF(AR122=0,0,AR122*MAX(0,(INDEX(c_CAMy,1,AR$7)-INDEX(c_CAMy,1,INDEX('Lease Cycles'!$GC$14:$GI$14,1,AR112)+1))*(1+'Lease Cycles'!$AK$14)+(INDEX(c_TAXy,1,AR$7)-INDEX(c_TAXy,1,INDEX('Lease Cycles'!$GC$14:$GI$14,1,AR112)+1))+(INDEX(c_INSy,1,AR$7)-INDEX(c_INSy,1,INDEX('Lease Cycles'!$GC$14:$GI$14,1,AR112)+1)))/12)</f>
        <v>0</v>
      </c>
      <c r="AS123" s="28">
        <f>IF(AS122=0,0,AS122*MAX(0,(INDEX(c_CAMy,1,AS$7)-INDEX(c_CAMy,1,INDEX('Lease Cycles'!$GC$14:$GI$14,1,AS112)+1))*(1+'Lease Cycles'!$AK$14)+(INDEX(c_TAXy,1,AS$7)-INDEX(c_TAXy,1,INDEX('Lease Cycles'!$GC$14:$GI$14,1,AS112)+1))+(INDEX(c_INSy,1,AS$7)-INDEX(c_INSy,1,INDEX('Lease Cycles'!$GC$14:$GI$14,1,AS112)+1)))/12)</f>
        <v>0</v>
      </c>
      <c r="AT123" s="28">
        <f>IF(AT122=0,0,AT122*MAX(0,(INDEX(c_CAMy,1,AT$7)-INDEX(c_CAMy,1,INDEX('Lease Cycles'!$GC$14:$GI$14,1,AT112)+1))*(1+'Lease Cycles'!$AK$14)+(INDEX(c_TAXy,1,AT$7)-INDEX(c_TAXy,1,INDEX('Lease Cycles'!$GC$14:$GI$14,1,AT112)+1))+(INDEX(c_INSy,1,AT$7)-INDEX(c_INSy,1,INDEX('Lease Cycles'!$GC$14:$GI$14,1,AT112)+1)))/12)</f>
        <v>0</v>
      </c>
      <c r="AU123" s="28">
        <f>IF(AU122=0,0,AU122*MAX(0,(INDEX(c_CAMy,1,AU$7)-INDEX(c_CAMy,1,INDEX('Lease Cycles'!$GC$14:$GI$14,1,AU112)+1))*(1+'Lease Cycles'!$AK$14)+(INDEX(c_TAXy,1,AU$7)-INDEX(c_TAXy,1,INDEX('Lease Cycles'!$GC$14:$GI$14,1,AU112)+1))+(INDEX(c_INSy,1,AU$7)-INDEX(c_INSy,1,INDEX('Lease Cycles'!$GC$14:$GI$14,1,AU112)+1)))/12)</f>
        <v>0</v>
      </c>
      <c r="AV123" s="28">
        <f>IF(AV122=0,0,AV122*MAX(0,(INDEX(c_CAMy,1,AV$7)-INDEX(c_CAMy,1,INDEX('Lease Cycles'!$GC$14:$GI$14,1,AV112)+1))*(1+'Lease Cycles'!$AK$14)+(INDEX(c_TAXy,1,AV$7)-INDEX(c_TAXy,1,INDEX('Lease Cycles'!$GC$14:$GI$14,1,AV112)+1))+(INDEX(c_INSy,1,AV$7)-INDEX(c_INSy,1,INDEX('Lease Cycles'!$GC$14:$GI$14,1,AV112)+1)))/12)</f>
        <v>0</v>
      </c>
      <c r="AW123" s="28">
        <f>IF(AW122=0,0,AW122*MAX(0,(INDEX(c_CAMy,1,AW$7)-INDEX(c_CAMy,1,INDEX('Lease Cycles'!$GC$14:$GI$14,1,AW112)+1))*(1+'Lease Cycles'!$AK$14)+(INDEX(c_TAXy,1,AW$7)-INDEX(c_TAXy,1,INDEX('Lease Cycles'!$GC$14:$GI$14,1,AW112)+1))+(INDEX(c_INSy,1,AW$7)-INDEX(c_INSy,1,INDEX('Lease Cycles'!$GC$14:$GI$14,1,AW112)+1)))/12)</f>
        <v>0</v>
      </c>
      <c r="AX123" s="28">
        <f>IF(AX122=0,0,AX122*MAX(0,(INDEX(c_CAMy,1,AX$7)-INDEX(c_CAMy,1,INDEX('Lease Cycles'!$GC$14:$GI$14,1,AX112)+1))*(1+'Lease Cycles'!$AK$14)+(INDEX(c_TAXy,1,AX$7)-INDEX(c_TAXy,1,INDEX('Lease Cycles'!$GC$14:$GI$14,1,AX112)+1))+(INDEX(c_INSy,1,AX$7)-INDEX(c_INSy,1,INDEX('Lease Cycles'!$GC$14:$GI$14,1,AX112)+1)))/12)</f>
        <v>0</v>
      </c>
      <c r="AY123" s="28">
        <f>IF(AY122=0,0,AY122*MAX(0,(INDEX(c_CAMy,1,AY$7)-INDEX(c_CAMy,1,INDEX('Lease Cycles'!$GC$14:$GI$14,1,AY112)+1))*(1+'Lease Cycles'!$AK$14)+(INDEX(c_TAXy,1,AY$7)-INDEX(c_TAXy,1,INDEX('Lease Cycles'!$GC$14:$GI$14,1,AY112)+1))+(INDEX(c_INSy,1,AY$7)-INDEX(c_INSy,1,INDEX('Lease Cycles'!$GC$14:$GI$14,1,AY112)+1)))/12)</f>
        <v>0</v>
      </c>
      <c r="AZ123" s="28">
        <f>IF(AZ122=0,0,AZ122*MAX(0,(INDEX(c_CAMy,1,AZ$7)-INDEX(c_CAMy,1,INDEX('Lease Cycles'!$GC$14:$GI$14,1,AZ112)+1))*(1+'Lease Cycles'!$AK$14)+(INDEX(c_TAXy,1,AZ$7)-INDEX(c_TAXy,1,INDEX('Lease Cycles'!$GC$14:$GI$14,1,AZ112)+1))+(INDEX(c_INSy,1,AZ$7)-INDEX(c_INSy,1,INDEX('Lease Cycles'!$GC$14:$GI$14,1,AZ112)+1)))/12)</f>
        <v>0</v>
      </c>
      <c r="BA123" s="28">
        <f>IF(BA122=0,0,BA122*MAX(0,(INDEX(c_CAMy,1,BA$7)-INDEX(c_CAMy,1,INDEX('Lease Cycles'!$GC$14:$GI$14,1,BA112)+1))*(1+'Lease Cycles'!$AK$14)+(INDEX(c_TAXy,1,BA$7)-INDEX(c_TAXy,1,INDEX('Lease Cycles'!$GC$14:$GI$14,1,BA112)+1))+(INDEX(c_INSy,1,BA$7)-INDEX(c_INSy,1,INDEX('Lease Cycles'!$GC$14:$GI$14,1,BA112)+1)))/12)</f>
        <v>0</v>
      </c>
      <c r="BB123" s="28">
        <f>IF(BB122=0,0,BB122*MAX(0,(INDEX(c_CAMy,1,BB$7)-INDEX(c_CAMy,1,INDEX('Lease Cycles'!$GC$14:$GI$14,1,BB112)+1))*(1+'Lease Cycles'!$AK$14)+(INDEX(c_TAXy,1,BB$7)-INDEX(c_TAXy,1,INDEX('Lease Cycles'!$GC$14:$GI$14,1,BB112)+1))+(INDEX(c_INSy,1,BB$7)-INDEX(c_INSy,1,INDEX('Lease Cycles'!$GC$14:$GI$14,1,BB112)+1)))/12)</f>
        <v>0</v>
      </c>
      <c r="BC123" s="28">
        <f>IF(BC122=0,0,BC122*MAX(0,(INDEX(c_CAMy,1,BC$7)-INDEX(c_CAMy,1,INDEX('Lease Cycles'!$GC$14:$GI$14,1,BC112)+1))*(1+'Lease Cycles'!$AK$14)+(INDEX(c_TAXy,1,BC$7)-INDEX(c_TAXy,1,INDEX('Lease Cycles'!$GC$14:$GI$14,1,BC112)+1))+(INDEX(c_INSy,1,BC$7)-INDEX(c_INSy,1,INDEX('Lease Cycles'!$GC$14:$GI$14,1,BC112)+1)))/12)</f>
        <v>0</v>
      </c>
      <c r="BD123" s="28">
        <f>IF(BD122=0,0,BD122*MAX(0,(INDEX(c_CAMy,1,BD$7)-INDEX(c_CAMy,1,INDEX('Lease Cycles'!$GC$14:$GI$14,1,BD112)+1))*(1+'Lease Cycles'!$AK$14)+(INDEX(c_TAXy,1,BD$7)-INDEX(c_TAXy,1,INDEX('Lease Cycles'!$GC$14:$GI$14,1,BD112)+1))+(INDEX(c_INSy,1,BD$7)-INDEX(c_INSy,1,INDEX('Lease Cycles'!$GC$14:$GI$14,1,BD112)+1)))/12)</f>
        <v>0</v>
      </c>
      <c r="BE123" s="28">
        <f>IF(BE122=0,0,BE122*MAX(0,(INDEX(c_CAMy,1,BE$7)-INDEX(c_CAMy,1,INDEX('Lease Cycles'!$GC$14:$GI$14,1,BE112)+1))*(1+'Lease Cycles'!$AK$14)+(INDEX(c_TAXy,1,BE$7)-INDEX(c_TAXy,1,INDEX('Lease Cycles'!$GC$14:$GI$14,1,BE112)+1))+(INDEX(c_INSy,1,BE$7)-INDEX(c_INSy,1,INDEX('Lease Cycles'!$GC$14:$GI$14,1,BE112)+1)))/12)</f>
        <v>0</v>
      </c>
      <c r="BF123" s="28">
        <f>IF(BF122=0,0,BF122*MAX(0,(INDEX(c_CAMy,1,BF$7)-INDEX(c_CAMy,1,INDEX('Lease Cycles'!$GC$14:$GI$14,1,BF112)+1))*(1+'Lease Cycles'!$AK$14)+(INDEX(c_TAXy,1,BF$7)-INDEX(c_TAXy,1,INDEX('Lease Cycles'!$GC$14:$GI$14,1,BF112)+1))+(INDEX(c_INSy,1,BF$7)-INDEX(c_INSy,1,INDEX('Lease Cycles'!$GC$14:$GI$14,1,BF112)+1)))/12)</f>
        <v>0</v>
      </c>
      <c r="BG123" s="28">
        <f>IF(BG122=0,0,BG122*MAX(0,(INDEX(c_CAMy,1,BG$7)-INDEX(c_CAMy,1,INDEX('Lease Cycles'!$GC$14:$GI$14,1,BG112)+1))*(1+'Lease Cycles'!$AK$14)+(INDEX(c_TAXy,1,BG$7)-INDEX(c_TAXy,1,INDEX('Lease Cycles'!$GC$14:$GI$14,1,BG112)+1))+(INDEX(c_INSy,1,BG$7)-INDEX(c_INSy,1,INDEX('Lease Cycles'!$GC$14:$GI$14,1,BG112)+1)))/12)</f>
        <v>0</v>
      </c>
      <c r="BH123" s="28">
        <f>IF(BH122=0,0,BH122*MAX(0,(INDEX(c_CAMy,1,BH$7)-INDEX(c_CAMy,1,INDEX('Lease Cycles'!$GC$14:$GI$14,1,BH112)+1))*(1+'Lease Cycles'!$AK$14)+(INDEX(c_TAXy,1,BH$7)-INDEX(c_TAXy,1,INDEX('Lease Cycles'!$GC$14:$GI$14,1,BH112)+1))+(INDEX(c_INSy,1,BH$7)-INDEX(c_INSy,1,INDEX('Lease Cycles'!$GC$14:$GI$14,1,BH112)+1)))/12)</f>
        <v>0</v>
      </c>
      <c r="BI123" s="28">
        <f>IF(BI122=0,0,BI122*MAX(0,(INDEX(c_CAMy,1,BI$7)-INDEX(c_CAMy,1,INDEX('Lease Cycles'!$GC$14:$GI$14,1,BI112)+1))*(1+'Lease Cycles'!$AK$14)+(INDEX(c_TAXy,1,BI$7)-INDEX(c_TAXy,1,INDEX('Lease Cycles'!$GC$14:$GI$14,1,BI112)+1))+(INDEX(c_INSy,1,BI$7)-INDEX(c_INSy,1,INDEX('Lease Cycles'!$GC$14:$GI$14,1,BI112)+1)))/12)</f>
        <v>0</v>
      </c>
      <c r="BJ123" s="28">
        <f>IF(BJ122=0,0,BJ122*MAX(0,(INDEX(c_CAMy,1,BJ$7)-INDEX(c_CAMy,1,INDEX('Lease Cycles'!$GC$14:$GI$14,1,BJ112)+1))*(1+'Lease Cycles'!$AK$14)+(INDEX(c_TAXy,1,BJ$7)-INDEX(c_TAXy,1,INDEX('Lease Cycles'!$GC$14:$GI$14,1,BJ112)+1))+(INDEX(c_INSy,1,BJ$7)-INDEX(c_INSy,1,INDEX('Lease Cycles'!$GC$14:$GI$14,1,BJ112)+1)))/12)</f>
        <v>0</v>
      </c>
      <c r="BK123" s="28">
        <f>IF(BK122=0,0,BK122*MAX(0,(INDEX(c_CAMy,1,BK$7)-INDEX(c_CAMy,1,INDEX('Lease Cycles'!$GC$14:$GI$14,1,BK112)+1))*(1+'Lease Cycles'!$AK$14)+(INDEX(c_TAXy,1,BK$7)-INDEX(c_TAXy,1,INDEX('Lease Cycles'!$GC$14:$GI$14,1,BK112)+1))+(INDEX(c_INSy,1,BK$7)-INDEX(c_INSy,1,INDEX('Lease Cycles'!$GC$14:$GI$14,1,BK112)+1)))/12)</f>
        <v>0</v>
      </c>
      <c r="BL123" s="28">
        <f>IF(BL122=0,0,BL122*MAX(0,(INDEX(c_CAMy,1,BL$7)-INDEX(c_CAMy,1,INDEX('Lease Cycles'!$GC$14:$GI$14,1,BL112)+1))*(1+'Lease Cycles'!$AK$14)+(INDEX(c_TAXy,1,BL$7)-INDEX(c_TAXy,1,INDEX('Lease Cycles'!$GC$14:$GI$14,1,BL112)+1))+(INDEX(c_INSy,1,BL$7)-INDEX(c_INSy,1,INDEX('Lease Cycles'!$GC$14:$GI$14,1,BL112)+1)))/12)</f>
        <v>0</v>
      </c>
      <c r="BM123" s="28">
        <f>IF(BM122=0,0,BM122*MAX(0,(INDEX(c_CAMy,1,BM$7)-INDEX(c_CAMy,1,INDEX('Lease Cycles'!$GC$14:$GI$14,1,BM112)+1))*(1+'Lease Cycles'!$AK$14)+(INDEX(c_TAXy,1,BM$7)-INDEX(c_TAXy,1,INDEX('Lease Cycles'!$GC$14:$GI$14,1,BM112)+1))+(INDEX(c_INSy,1,BM$7)-INDEX(c_INSy,1,INDEX('Lease Cycles'!$GC$14:$GI$14,1,BM112)+1)))/12)</f>
        <v>0</v>
      </c>
      <c r="BN123" s="28">
        <f>IF(BN122=0,0,BN122*MAX(0,(INDEX(c_CAMy,1,BN$7)-INDEX(c_CAMy,1,INDEX('Lease Cycles'!$GC$14:$GI$14,1,BN112)+1))*(1+'Lease Cycles'!$AK$14)+(INDEX(c_TAXy,1,BN$7)-INDEX(c_TAXy,1,INDEX('Lease Cycles'!$GC$14:$GI$14,1,BN112)+1))+(INDEX(c_INSy,1,BN$7)-INDEX(c_INSy,1,INDEX('Lease Cycles'!$GC$14:$GI$14,1,BN112)+1)))/12)</f>
        <v>0</v>
      </c>
      <c r="BO123" s="28">
        <f>IF(BO122=0,0,BO122*MAX(0,(INDEX(c_CAMy,1,BO$7)-INDEX(c_CAMy,1,INDEX('Lease Cycles'!$GC$14:$GI$14,1,BO112)+1))*(1+'Lease Cycles'!$AK$14)+(INDEX(c_TAXy,1,BO$7)-INDEX(c_TAXy,1,INDEX('Lease Cycles'!$GC$14:$GI$14,1,BO112)+1))+(INDEX(c_INSy,1,BO$7)-INDEX(c_INSy,1,INDEX('Lease Cycles'!$GC$14:$GI$14,1,BO112)+1)))/12)</f>
        <v>0</v>
      </c>
      <c r="BP123" s="28">
        <f>IF(BP122=0,0,BP122*MAX(0,(INDEX(c_CAMy,1,BP$7)-INDEX(c_CAMy,1,INDEX('Lease Cycles'!$GC$14:$GI$14,1,BP112)+1))*(1+'Lease Cycles'!$AK$14)+(INDEX(c_TAXy,1,BP$7)-INDEX(c_TAXy,1,INDEX('Lease Cycles'!$GC$14:$GI$14,1,BP112)+1))+(INDEX(c_INSy,1,BP$7)-INDEX(c_INSy,1,INDEX('Lease Cycles'!$GC$14:$GI$14,1,BP112)+1)))/12)</f>
        <v>0</v>
      </c>
      <c r="BQ123" s="28">
        <f>IF(BQ122=0,0,BQ122*MAX(0,(INDEX(c_CAMy,1,BQ$7)-INDEX(c_CAMy,1,INDEX('Lease Cycles'!$GC$14:$GI$14,1,BQ112)+1))*(1+'Lease Cycles'!$AK$14)+(INDEX(c_TAXy,1,BQ$7)-INDEX(c_TAXy,1,INDEX('Lease Cycles'!$GC$14:$GI$14,1,BQ112)+1))+(INDEX(c_INSy,1,BQ$7)-INDEX(c_INSy,1,INDEX('Lease Cycles'!$GC$14:$GI$14,1,BQ112)+1)))/12)</f>
        <v>0</v>
      </c>
      <c r="BR123" s="28">
        <f>IF(BR122=0,0,BR122*MAX(0,(INDEX(c_CAMy,1,BR$7)-INDEX(c_CAMy,1,INDEX('Lease Cycles'!$GC$14:$GI$14,1,BR112)+1))*(1+'Lease Cycles'!$AK$14)+(INDEX(c_TAXy,1,BR$7)-INDEX(c_TAXy,1,INDEX('Lease Cycles'!$GC$14:$GI$14,1,BR112)+1))+(INDEX(c_INSy,1,BR$7)-INDEX(c_INSy,1,INDEX('Lease Cycles'!$GC$14:$GI$14,1,BR112)+1)))/12)</f>
        <v>0</v>
      </c>
      <c r="BS123" s="28">
        <f>IF(BS122=0,0,BS122*MAX(0,(INDEX(c_CAMy,1,BS$7)-INDEX(c_CAMy,1,INDEX('Lease Cycles'!$GC$14:$GI$14,1,BS112)+1))*(1+'Lease Cycles'!$AK$14)+(INDEX(c_TAXy,1,BS$7)-INDEX(c_TAXy,1,INDEX('Lease Cycles'!$GC$14:$GI$14,1,BS112)+1))+(INDEX(c_INSy,1,BS$7)-INDEX(c_INSy,1,INDEX('Lease Cycles'!$GC$14:$GI$14,1,BS112)+1)))/12)</f>
        <v>0</v>
      </c>
      <c r="BT123" s="28">
        <f>IF(BT122=0,0,BT122*MAX(0,(INDEX(c_CAMy,1,BT$7)-INDEX(c_CAMy,1,INDEX('Lease Cycles'!$GC$14:$GI$14,1,BT112)+1))*(1+'Lease Cycles'!$AK$14)+(INDEX(c_TAXy,1,BT$7)-INDEX(c_TAXy,1,INDEX('Lease Cycles'!$GC$14:$GI$14,1,BT112)+1))+(INDEX(c_INSy,1,BT$7)-INDEX(c_INSy,1,INDEX('Lease Cycles'!$GC$14:$GI$14,1,BT112)+1)))/12)</f>
        <v>0</v>
      </c>
      <c r="BU123" s="28">
        <f>IF(BU122=0,0,BU122*MAX(0,(INDEX(c_CAMy,1,BU$7)-INDEX(c_CAMy,1,INDEX('Lease Cycles'!$GC$14:$GI$14,1,BU112)+1))*(1+'Lease Cycles'!$AK$14)+(INDEX(c_TAXy,1,BU$7)-INDEX(c_TAXy,1,INDEX('Lease Cycles'!$GC$14:$GI$14,1,BU112)+1))+(INDEX(c_INSy,1,BU$7)-INDEX(c_INSy,1,INDEX('Lease Cycles'!$GC$14:$GI$14,1,BU112)+1)))/12)</f>
        <v>0</v>
      </c>
      <c r="BV123" s="28">
        <f>IF(BV122=0,0,BV122*MAX(0,(INDEX(c_CAMy,1,BV$7)-INDEX(c_CAMy,1,INDEX('Lease Cycles'!$GC$14:$GI$14,1,BV112)+1))*(1+'Lease Cycles'!$AK$14)+(INDEX(c_TAXy,1,BV$7)-INDEX(c_TAXy,1,INDEX('Lease Cycles'!$GC$14:$GI$14,1,BV112)+1))+(INDEX(c_INSy,1,BV$7)-INDEX(c_INSy,1,INDEX('Lease Cycles'!$GC$14:$GI$14,1,BV112)+1)))/12)</f>
        <v>0</v>
      </c>
      <c r="BW123" s="28">
        <f>IF(BW122=0,0,BW122*MAX(0,(INDEX(c_CAMy,1,BW$7)-INDEX(c_CAMy,1,INDEX('Lease Cycles'!$GC$14:$GI$14,1,BW112)+1))*(1+'Lease Cycles'!$AK$14)+(INDEX(c_TAXy,1,BW$7)-INDEX(c_TAXy,1,INDEX('Lease Cycles'!$GC$14:$GI$14,1,BW112)+1))+(INDEX(c_INSy,1,BW$7)-INDEX(c_INSy,1,INDEX('Lease Cycles'!$GC$14:$GI$14,1,BW112)+1)))/12)</f>
        <v>0</v>
      </c>
      <c r="BX123" s="28">
        <f>IF(BX122=0,0,BX122*MAX(0,(INDEX(c_CAMy,1,BX$7)-INDEX(c_CAMy,1,INDEX('Lease Cycles'!$GC$14:$GI$14,1,BX112)+1))*(1+'Lease Cycles'!$AK$14)+(INDEX(c_TAXy,1,BX$7)-INDEX(c_TAXy,1,INDEX('Lease Cycles'!$GC$14:$GI$14,1,BX112)+1))+(INDEX(c_INSy,1,BX$7)-INDEX(c_INSy,1,INDEX('Lease Cycles'!$GC$14:$GI$14,1,BX112)+1)))/12)</f>
        <v>0</v>
      </c>
      <c r="BY123" s="28">
        <f>IF(BY122=0,0,BY122*MAX(0,(INDEX(c_CAMy,1,BY$7)-INDEX(c_CAMy,1,INDEX('Lease Cycles'!$GC$14:$GI$14,1,BY112)+1))*(1+'Lease Cycles'!$AK$14)+(INDEX(c_TAXy,1,BY$7)-INDEX(c_TAXy,1,INDEX('Lease Cycles'!$GC$14:$GI$14,1,BY112)+1))+(INDEX(c_INSy,1,BY$7)-INDEX(c_INSy,1,INDEX('Lease Cycles'!$GC$14:$GI$14,1,BY112)+1)))/12)</f>
        <v>0</v>
      </c>
      <c r="BZ123" s="28">
        <f>IF(BZ122=0,0,BZ122*MAX(0,(INDEX(c_CAMy,1,BZ$7)-INDEX(c_CAMy,1,INDEX('Lease Cycles'!$GC$14:$GI$14,1,BZ112)+1))*(1+'Lease Cycles'!$AK$14)+(INDEX(c_TAXy,1,BZ$7)-INDEX(c_TAXy,1,INDEX('Lease Cycles'!$GC$14:$GI$14,1,BZ112)+1))+(INDEX(c_INSy,1,BZ$7)-INDEX(c_INSy,1,INDEX('Lease Cycles'!$GC$14:$GI$14,1,BZ112)+1)))/12)</f>
        <v>0</v>
      </c>
      <c r="CA123" s="28">
        <f>IF(CA122=0,0,CA122*MAX(0,(INDEX(c_CAMy,1,CA$7)-INDEX(c_CAMy,1,INDEX('Lease Cycles'!$GC$14:$GI$14,1,CA112)+1))*(1+'Lease Cycles'!$AK$14)+(INDEX(c_TAXy,1,CA$7)-INDEX(c_TAXy,1,INDEX('Lease Cycles'!$GC$14:$GI$14,1,CA112)+1))+(INDEX(c_INSy,1,CA$7)-INDEX(c_INSy,1,INDEX('Lease Cycles'!$GC$14:$GI$14,1,CA112)+1)))/12)</f>
        <v>0</v>
      </c>
      <c r="CB123" s="28">
        <f>IF(CB122=0,0,CB122*MAX(0,(INDEX(c_CAMy,1,CB$7)-INDEX(c_CAMy,1,INDEX('Lease Cycles'!$GC$14:$GI$14,1,CB112)+1))*(1+'Lease Cycles'!$AK$14)+(INDEX(c_TAXy,1,CB$7)-INDEX(c_TAXy,1,INDEX('Lease Cycles'!$GC$14:$GI$14,1,CB112)+1))+(INDEX(c_INSy,1,CB$7)-INDEX(c_INSy,1,INDEX('Lease Cycles'!$GC$14:$GI$14,1,CB112)+1)))/12)</f>
        <v>0</v>
      </c>
      <c r="CC123" s="28">
        <f>IF(CC122=0,0,CC122*MAX(0,(INDEX(c_CAMy,1,CC$7)-INDEX(c_CAMy,1,INDEX('Lease Cycles'!$GC$14:$GI$14,1,CC112)+1))*(1+'Lease Cycles'!$AK$14)+(INDEX(c_TAXy,1,CC$7)-INDEX(c_TAXy,1,INDEX('Lease Cycles'!$GC$14:$GI$14,1,CC112)+1))+(INDEX(c_INSy,1,CC$7)-INDEX(c_INSy,1,INDEX('Lease Cycles'!$GC$14:$GI$14,1,CC112)+1)))/12)</f>
        <v>0</v>
      </c>
      <c r="CD123" s="28">
        <f>IF(CD122=0,0,CD122*MAX(0,(INDEX(c_CAMy,1,CD$7)-INDEX(c_CAMy,1,INDEX('Lease Cycles'!$GC$14:$GI$14,1,CD112)+1))*(1+'Lease Cycles'!$AK$14)+(INDEX(c_TAXy,1,CD$7)-INDEX(c_TAXy,1,INDEX('Lease Cycles'!$GC$14:$GI$14,1,CD112)+1))+(INDEX(c_INSy,1,CD$7)-INDEX(c_INSy,1,INDEX('Lease Cycles'!$GC$14:$GI$14,1,CD112)+1)))/12)</f>
        <v>0</v>
      </c>
      <c r="CE123" s="28">
        <f>IF(CE122=0,0,CE122*MAX(0,(INDEX(c_CAMy,1,CE$7)-INDEX(c_CAMy,1,INDEX('Lease Cycles'!$GC$14:$GI$14,1,CE112)+1))*(1+'Lease Cycles'!$AK$14)+(INDEX(c_TAXy,1,CE$7)-INDEX(c_TAXy,1,INDEX('Lease Cycles'!$GC$14:$GI$14,1,CE112)+1))+(INDEX(c_INSy,1,CE$7)-INDEX(c_INSy,1,INDEX('Lease Cycles'!$GC$14:$GI$14,1,CE112)+1)))/12)</f>
        <v>0</v>
      </c>
      <c r="CF123" s="28">
        <f>IF(CF122=0,0,CF122*MAX(0,(INDEX(c_CAMy,1,CF$7)-INDEX(c_CAMy,1,INDEX('Lease Cycles'!$GC$14:$GI$14,1,CF112)+1))*(1+'Lease Cycles'!$AK$14)+(INDEX(c_TAXy,1,CF$7)-INDEX(c_TAXy,1,INDEX('Lease Cycles'!$GC$14:$GI$14,1,CF112)+1))+(INDEX(c_INSy,1,CF$7)-INDEX(c_INSy,1,INDEX('Lease Cycles'!$GC$14:$GI$14,1,CF112)+1)))/12)</f>
        <v>0</v>
      </c>
      <c r="CG123" s="28">
        <f>IF(CG122=0,0,CG122*MAX(0,(INDEX(c_CAMy,1,CG$7)-INDEX(c_CAMy,1,INDEX('Lease Cycles'!$GC$14:$GI$14,1,CG112)+1))*(1+'Lease Cycles'!$AK$14)+(INDEX(c_TAXy,1,CG$7)-INDEX(c_TAXy,1,INDEX('Lease Cycles'!$GC$14:$GI$14,1,CG112)+1))+(INDEX(c_INSy,1,CG$7)-INDEX(c_INSy,1,INDEX('Lease Cycles'!$GC$14:$GI$14,1,CG112)+1)))/12)</f>
        <v>0</v>
      </c>
      <c r="CH123" s="28">
        <f>IF(CH122=0,0,CH122*MAX(0,(INDEX(c_CAMy,1,CH$7)-INDEX(c_CAMy,1,INDEX('Lease Cycles'!$GC$14:$GI$14,1,CH112)+1))*(1+'Lease Cycles'!$AK$14)+(INDEX(c_TAXy,1,CH$7)-INDEX(c_TAXy,1,INDEX('Lease Cycles'!$GC$14:$GI$14,1,CH112)+1))+(INDEX(c_INSy,1,CH$7)-INDEX(c_INSy,1,INDEX('Lease Cycles'!$GC$14:$GI$14,1,CH112)+1)))/12)</f>
        <v>0</v>
      </c>
      <c r="CI123" s="28">
        <f>IF(CI122=0,0,CI122*MAX(0,(INDEX(c_CAMy,1,CI$7)-INDEX(c_CAMy,1,INDEX('Lease Cycles'!$GC$14:$GI$14,1,CI112)+1))*(1+'Lease Cycles'!$AK$14)+(INDEX(c_TAXy,1,CI$7)-INDEX(c_TAXy,1,INDEX('Lease Cycles'!$GC$14:$GI$14,1,CI112)+1))+(INDEX(c_INSy,1,CI$7)-INDEX(c_INSy,1,INDEX('Lease Cycles'!$GC$14:$GI$14,1,CI112)+1)))/12)</f>
        <v>0</v>
      </c>
      <c r="CJ123" s="28">
        <f>IF(CJ122=0,0,CJ122*MAX(0,(INDEX(c_CAMy,1,CJ$7)-INDEX(c_CAMy,1,INDEX('Lease Cycles'!$GC$14:$GI$14,1,CJ112)+1))*(1+'Lease Cycles'!$AK$14)+(INDEX(c_TAXy,1,CJ$7)-INDEX(c_TAXy,1,INDEX('Lease Cycles'!$GC$14:$GI$14,1,CJ112)+1))+(INDEX(c_INSy,1,CJ$7)-INDEX(c_INSy,1,INDEX('Lease Cycles'!$GC$14:$GI$14,1,CJ112)+1)))/12)</f>
        <v>0</v>
      </c>
      <c r="CK123" s="28">
        <f>IF(CK122=0,0,CK122*MAX(0,(INDEX(c_CAMy,1,CK$7)-INDEX(c_CAMy,1,INDEX('Lease Cycles'!$GC$14:$GI$14,1,CK112)+1))*(1+'Lease Cycles'!$AK$14)+(INDEX(c_TAXy,1,CK$7)-INDEX(c_TAXy,1,INDEX('Lease Cycles'!$GC$14:$GI$14,1,CK112)+1))+(INDEX(c_INSy,1,CK$7)-INDEX(c_INSy,1,INDEX('Lease Cycles'!$GC$14:$GI$14,1,CK112)+1)))/12)</f>
        <v>0</v>
      </c>
      <c r="CL123" s="28">
        <f>IF(CL122=0,0,CL122*MAX(0,(INDEX(c_CAMy,1,CL$7)-INDEX(c_CAMy,1,INDEX('Lease Cycles'!$GC$14:$GI$14,1,CL112)+1))*(1+'Lease Cycles'!$AK$14)+(INDEX(c_TAXy,1,CL$7)-INDEX(c_TAXy,1,INDEX('Lease Cycles'!$GC$14:$GI$14,1,CL112)+1))+(INDEX(c_INSy,1,CL$7)-INDEX(c_INSy,1,INDEX('Lease Cycles'!$GC$14:$GI$14,1,CL112)+1)))/12)</f>
        <v>0</v>
      </c>
      <c r="CM123" s="28">
        <f>IF(CM122=0,0,CM122*MAX(0,(INDEX(c_CAMy,1,CM$7)-INDEX(c_CAMy,1,INDEX('Lease Cycles'!$GC$14:$GI$14,1,CM112)+1))*(1+'Lease Cycles'!$AK$14)+(INDEX(c_TAXy,1,CM$7)-INDEX(c_TAXy,1,INDEX('Lease Cycles'!$GC$14:$GI$14,1,CM112)+1))+(INDEX(c_INSy,1,CM$7)-INDEX(c_INSy,1,INDEX('Lease Cycles'!$GC$14:$GI$14,1,CM112)+1)))/12)</f>
        <v>0</v>
      </c>
      <c r="CN123" s="28">
        <f>IF(CN122=0,0,CN122*MAX(0,(INDEX(c_CAMy,1,CN$7)-INDEX(c_CAMy,1,INDEX('Lease Cycles'!$GC$14:$GI$14,1,CN112)+1))*(1+'Lease Cycles'!$AK$14)+(INDEX(c_TAXy,1,CN$7)-INDEX(c_TAXy,1,INDEX('Lease Cycles'!$GC$14:$GI$14,1,CN112)+1))+(INDEX(c_INSy,1,CN$7)-INDEX(c_INSy,1,INDEX('Lease Cycles'!$GC$14:$GI$14,1,CN112)+1)))/12)</f>
        <v>0</v>
      </c>
      <c r="CO123" s="28">
        <f>IF(CO122=0,0,CO122*MAX(0,(INDEX(c_CAMy,1,CO$7)-INDEX(c_CAMy,1,INDEX('Lease Cycles'!$GC$14:$GI$14,1,CO112)+1))*(1+'Lease Cycles'!$AK$14)+(INDEX(c_TAXy,1,CO$7)-INDEX(c_TAXy,1,INDEX('Lease Cycles'!$GC$14:$GI$14,1,CO112)+1))+(INDEX(c_INSy,1,CO$7)-INDEX(c_INSy,1,INDEX('Lease Cycles'!$GC$14:$GI$14,1,CO112)+1)))/12)</f>
        <v>0</v>
      </c>
      <c r="CP123" s="28">
        <f>IF(CP122=0,0,CP122*MAX(0,(INDEX(c_CAMy,1,CP$7)-INDEX(c_CAMy,1,INDEX('Lease Cycles'!$GC$14:$GI$14,1,CP112)+1))*(1+'Lease Cycles'!$AK$14)+(INDEX(c_TAXy,1,CP$7)-INDEX(c_TAXy,1,INDEX('Lease Cycles'!$GC$14:$GI$14,1,CP112)+1))+(INDEX(c_INSy,1,CP$7)-INDEX(c_INSy,1,INDEX('Lease Cycles'!$GC$14:$GI$14,1,CP112)+1)))/12)</f>
        <v>0</v>
      </c>
      <c r="CQ123" s="28">
        <f>IF(CQ122=0,0,CQ122*MAX(0,(INDEX(c_CAMy,1,CQ$7)-INDEX(c_CAMy,1,INDEX('Lease Cycles'!$GC$14:$GI$14,1,CQ112)+1))*(1+'Lease Cycles'!$AK$14)+(INDEX(c_TAXy,1,CQ$7)-INDEX(c_TAXy,1,INDEX('Lease Cycles'!$GC$14:$GI$14,1,CQ112)+1))+(INDEX(c_INSy,1,CQ$7)-INDEX(c_INSy,1,INDEX('Lease Cycles'!$GC$14:$GI$14,1,CQ112)+1)))/12)</f>
        <v>0</v>
      </c>
      <c r="CR123" s="28">
        <f>IF(CR122=0,0,CR122*MAX(0,(INDEX(c_CAMy,1,CR$7)-INDEX(c_CAMy,1,INDEX('Lease Cycles'!$GC$14:$GI$14,1,CR112)+1))*(1+'Lease Cycles'!$AK$14)+(INDEX(c_TAXy,1,CR$7)-INDEX(c_TAXy,1,INDEX('Lease Cycles'!$GC$14:$GI$14,1,CR112)+1))+(INDEX(c_INSy,1,CR$7)-INDEX(c_INSy,1,INDEX('Lease Cycles'!$GC$14:$GI$14,1,CR112)+1)))/12)</f>
        <v>0</v>
      </c>
      <c r="CS123" s="28">
        <f>IF(CS122=0,0,CS122*MAX(0,(INDEX(c_CAMy,1,CS$7)-INDEX(c_CAMy,1,INDEX('Lease Cycles'!$GC$14:$GI$14,1,CS112)+1))*(1+'Lease Cycles'!$AK$14)+(INDEX(c_TAXy,1,CS$7)-INDEX(c_TAXy,1,INDEX('Lease Cycles'!$GC$14:$GI$14,1,CS112)+1))+(INDEX(c_INSy,1,CS$7)-INDEX(c_INSy,1,INDEX('Lease Cycles'!$GC$14:$GI$14,1,CS112)+1)))/12)</f>
        <v>0</v>
      </c>
      <c r="CT123" s="28">
        <f>IF(CT122=0,0,CT122*MAX(0,(INDEX(c_CAMy,1,CT$7)-INDEX(c_CAMy,1,INDEX('Lease Cycles'!$GC$14:$GI$14,1,CT112)+1))*(1+'Lease Cycles'!$AK$14)+(INDEX(c_TAXy,1,CT$7)-INDEX(c_TAXy,1,INDEX('Lease Cycles'!$GC$14:$GI$14,1,CT112)+1))+(INDEX(c_INSy,1,CT$7)-INDEX(c_INSy,1,INDEX('Lease Cycles'!$GC$14:$GI$14,1,CT112)+1)))/12)</f>
        <v>0</v>
      </c>
      <c r="CU123" s="28">
        <f>IF(CU122=0,0,CU122*MAX(0,(INDEX(c_CAMy,1,CU$7)-INDEX(c_CAMy,1,INDEX('Lease Cycles'!$GC$14:$GI$14,1,CU112)+1))*(1+'Lease Cycles'!$AK$14)+(INDEX(c_TAXy,1,CU$7)-INDEX(c_TAXy,1,INDEX('Lease Cycles'!$GC$14:$GI$14,1,CU112)+1))+(INDEX(c_INSy,1,CU$7)-INDEX(c_INSy,1,INDEX('Lease Cycles'!$GC$14:$GI$14,1,CU112)+1)))/12)</f>
        <v>0</v>
      </c>
      <c r="CV123" s="28">
        <f>IF(CV122=0,0,CV122*MAX(0,(INDEX(c_CAMy,1,CV$7)-INDEX(c_CAMy,1,INDEX('Lease Cycles'!$GC$14:$GI$14,1,CV112)+1))*(1+'Lease Cycles'!$AK$14)+(INDEX(c_TAXy,1,CV$7)-INDEX(c_TAXy,1,INDEX('Lease Cycles'!$GC$14:$GI$14,1,CV112)+1))+(INDEX(c_INSy,1,CV$7)-INDEX(c_INSy,1,INDEX('Lease Cycles'!$GC$14:$GI$14,1,CV112)+1)))/12)</f>
        <v>0</v>
      </c>
      <c r="CW123" s="28">
        <f>IF(CW122=0,0,CW122*MAX(0,(INDEX(c_CAMy,1,CW$7)-INDEX(c_CAMy,1,INDEX('Lease Cycles'!$GC$14:$GI$14,1,CW112)+1))*(1+'Lease Cycles'!$AK$14)+(INDEX(c_TAXy,1,CW$7)-INDEX(c_TAXy,1,INDEX('Lease Cycles'!$GC$14:$GI$14,1,CW112)+1))+(INDEX(c_INSy,1,CW$7)-INDEX(c_INSy,1,INDEX('Lease Cycles'!$GC$14:$GI$14,1,CW112)+1)))/12)</f>
        <v>0</v>
      </c>
      <c r="CX123" s="28">
        <f>IF(CX122=0,0,CX122*MAX(0,(INDEX(c_CAMy,1,CX$7)-INDEX(c_CAMy,1,INDEX('Lease Cycles'!$GC$14:$GI$14,1,CX112)+1))*(1+'Lease Cycles'!$AK$14)+(INDEX(c_TAXy,1,CX$7)-INDEX(c_TAXy,1,INDEX('Lease Cycles'!$GC$14:$GI$14,1,CX112)+1))+(INDEX(c_INSy,1,CX$7)-INDEX(c_INSy,1,INDEX('Lease Cycles'!$GC$14:$GI$14,1,CX112)+1)))/12)</f>
        <v>0</v>
      </c>
      <c r="CY123" s="28">
        <f>IF(CY122=0,0,CY122*MAX(0,(INDEX(c_CAMy,1,CY$7)-INDEX(c_CAMy,1,INDEX('Lease Cycles'!$GC$14:$GI$14,1,CY112)+1))*(1+'Lease Cycles'!$AK$14)+(INDEX(c_TAXy,1,CY$7)-INDEX(c_TAXy,1,INDEX('Lease Cycles'!$GC$14:$GI$14,1,CY112)+1))+(INDEX(c_INSy,1,CY$7)-INDEX(c_INSy,1,INDEX('Lease Cycles'!$GC$14:$GI$14,1,CY112)+1)))/12)</f>
        <v>0</v>
      </c>
      <c r="CZ123" s="28">
        <f>IF(CZ122=0,0,CZ122*MAX(0,(INDEX(c_CAMy,1,CZ$7)-INDEX(c_CAMy,1,INDEX('Lease Cycles'!$GC$14:$GI$14,1,CZ112)+1))*(1+'Lease Cycles'!$AK$14)+(INDEX(c_TAXy,1,CZ$7)-INDEX(c_TAXy,1,INDEX('Lease Cycles'!$GC$14:$GI$14,1,CZ112)+1))+(INDEX(c_INSy,1,CZ$7)-INDEX(c_INSy,1,INDEX('Lease Cycles'!$GC$14:$GI$14,1,CZ112)+1)))/12)</f>
        <v>0</v>
      </c>
      <c r="DA123" s="28">
        <f>IF(DA122=0,0,DA122*MAX(0,(INDEX(c_CAMy,1,DA$7)-INDEX(c_CAMy,1,INDEX('Lease Cycles'!$GC$14:$GI$14,1,DA112)+1))*(1+'Lease Cycles'!$AK$14)+(INDEX(c_TAXy,1,DA$7)-INDEX(c_TAXy,1,INDEX('Lease Cycles'!$GC$14:$GI$14,1,DA112)+1))+(INDEX(c_INSy,1,DA$7)-INDEX(c_INSy,1,INDEX('Lease Cycles'!$GC$14:$GI$14,1,DA112)+1)))/12)</f>
        <v>0</v>
      </c>
      <c r="DB123" s="28">
        <f>IF(DB122=0,0,DB122*MAX(0,(INDEX(c_CAMy,1,DB$7)-INDEX(c_CAMy,1,INDEX('Lease Cycles'!$GC$14:$GI$14,1,DB112)+1))*(1+'Lease Cycles'!$AK$14)+(INDEX(c_TAXy,1,DB$7)-INDEX(c_TAXy,1,INDEX('Lease Cycles'!$GC$14:$GI$14,1,DB112)+1))+(INDEX(c_INSy,1,DB$7)-INDEX(c_INSy,1,INDEX('Lease Cycles'!$GC$14:$GI$14,1,DB112)+1)))/12)</f>
        <v>0</v>
      </c>
      <c r="DC123" s="28">
        <f>IF(DC122=0,0,DC122*MAX(0,(INDEX(c_CAMy,1,DC$7)-INDEX(c_CAMy,1,INDEX('Lease Cycles'!$GC$14:$GI$14,1,DC112)+1))*(1+'Lease Cycles'!$AK$14)+(INDEX(c_TAXy,1,DC$7)-INDEX(c_TAXy,1,INDEX('Lease Cycles'!$GC$14:$GI$14,1,DC112)+1))+(INDEX(c_INSy,1,DC$7)-INDEX(c_INSy,1,INDEX('Lease Cycles'!$GC$14:$GI$14,1,DC112)+1)))/12)</f>
        <v>0</v>
      </c>
      <c r="DD123" s="28">
        <f>IF(DD122=0,0,DD122*MAX(0,(INDEX(c_CAMy,1,DD$7)-INDEX(c_CAMy,1,INDEX('Lease Cycles'!$GC$14:$GI$14,1,DD112)+1))*(1+'Lease Cycles'!$AK$14)+(INDEX(c_TAXy,1,DD$7)-INDEX(c_TAXy,1,INDEX('Lease Cycles'!$GC$14:$GI$14,1,DD112)+1))+(INDEX(c_INSy,1,DD$7)-INDEX(c_INSy,1,INDEX('Lease Cycles'!$GC$14:$GI$14,1,DD112)+1)))/12)</f>
        <v>0</v>
      </c>
      <c r="DE123" s="28">
        <f>IF(DE122=0,0,DE122*MAX(0,(INDEX(c_CAMy,1,DE$7)-INDEX(c_CAMy,1,INDEX('Lease Cycles'!$GC$14:$GI$14,1,DE112)+1))*(1+'Lease Cycles'!$AK$14)+(INDEX(c_TAXy,1,DE$7)-INDEX(c_TAXy,1,INDEX('Lease Cycles'!$GC$14:$GI$14,1,DE112)+1))+(INDEX(c_INSy,1,DE$7)-INDEX(c_INSy,1,INDEX('Lease Cycles'!$GC$14:$GI$14,1,DE112)+1)))/12)</f>
        <v>0</v>
      </c>
      <c r="DF123" s="28">
        <f>IF(DF122=0,0,DF122*MAX(0,(INDEX(c_CAMy,1,DF$7)-INDEX(c_CAMy,1,INDEX('Lease Cycles'!$GC$14:$GI$14,1,DF112)+1))*(1+'Lease Cycles'!$AK$14)+(INDEX(c_TAXy,1,DF$7)-INDEX(c_TAXy,1,INDEX('Lease Cycles'!$GC$14:$GI$14,1,DF112)+1))+(INDEX(c_INSy,1,DF$7)-INDEX(c_INSy,1,INDEX('Lease Cycles'!$GC$14:$GI$14,1,DF112)+1)))/12)</f>
        <v>0</v>
      </c>
      <c r="DG123" s="28">
        <f>IF(DG122=0,0,DG122*MAX(0,(INDEX(c_CAMy,1,DG$7)-INDEX(c_CAMy,1,INDEX('Lease Cycles'!$GC$14:$GI$14,1,DG112)+1))*(1+'Lease Cycles'!$AK$14)+(INDEX(c_TAXy,1,DG$7)-INDEX(c_TAXy,1,INDEX('Lease Cycles'!$GC$14:$GI$14,1,DG112)+1))+(INDEX(c_INSy,1,DG$7)-INDEX(c_INSy,1,INDEX('Lease Cycles'!$GC$14:$GI$14,1,DG112)+1)))/12)</f>
        <v>0</v>
      </c>
      <c r="DH123" s="28">
        <f>IF(DH122=0,0,DH122*MAX(0,(INDEX(c_CAMy,1,DH$7)-INDEX(c_CAMy,1,INDEX('Lease Cycles'!$GC$14:$GI$14,1,DH112)+1))*(1+'Lease Cycles'!$AK$14)+(INDEX(c_TAXy,1,DH$7)-INDEX(c_TAXy,1,INDEX('Lease Cycles'!$GC$14:$GI$14,1,DH112)+1))+(INDEX(c_INSy,1,DH$7)-INDEX(c_INSy,1,INDEX('Lease Cycles'!$GC$14:$GI$14,1,DH112)+1)))/12)</f>
        <v>0</v>
      </c>
      <c r="DI123" s="28">
        <f>IF(DI122=0,0,DI122*MAX(0,(INDEX(c_CAMy,1,DI$7)-INDEX(c_CAMy,1,INDEX('Lease Cycles'!$GC$14:$GI$14,1,DI112)+1))*(1+'Lease Cycles'!$AK$14)+(INDEX(c_TAXy,1,DI$7)-INDEX(c_TAXy,1,INDEX('Lease Cycles'!$GC$14:$GI$14,1,DI112)+1))+(INDEX(c_INSy,1,DI$7)-INDEX(c_INSy,1,INDEX('Lease Cycles'!$GC$14:$GI$14,1,DI112)+1)))/12)</f>
        <v>0</v>
      </c>
      <c r="DJ123" s="28">
        <f>IF(DJ122=0,0,DJ122*MAX(0,(INDEX(c_CAMy,1,DJ$7)-INDEX(c_CAMy,1,INDEX('Lease Cycles'!$GC$14:$GI$14,1,DJ112)+1))*(1+'Lease Cycles'!$AK$14)+(INDEX(c_TAXy,1,DJ$7)-INDEX(c_TAXy,1,INDEX('Lease Cycles'!$GC$14:$GI$14,1,DJ112)+1))+(INDEX(c_INSy,1,DJ$7)-INDEX(c_INSy,1,INDEX('Lease Cycles'!$GC$14:$GI$14,1,DJ112)+1)))/12)</f>
        <v>0</v>
      </c>
      <c r="DK123" s="28">
        <f>IF(DK122=0,0,DK122*MAX(0,(INDEX(c_CAMy,1,DK$7)-INDEX(c_CAMy,1,INDEX('Lease Cycles'!$GC$14:$GI$14,1,DK112)+1))*(1+'Lease Cycles'!$AK$14)+(INDEX(c_TAXy,1,DK$7)-INDEX(c_TAXy,1,INDEX('Lease Cycles'!$GC$14:$GI$14,1,DK112)+1))+(INDEX(c_INSy,1,DK$7)-INDEX(c_INSy,1,INDEX('Lease Cycles'!$GC$14:$GI$14,1,DK112)+1)))/12)</f>
        <v>0</v>
      </c>
      <c r="DL123" s="28">
        <f>IF(DL122=0,0,DL122*MAX(0,(INDEX(c_CAMy,1,DL$7)-INDEX(c_CAMy,1,INDEX('Lease Cycles'!$GC$14:$GI$14,1,DL112)+1))*(1+'Lease Cycles'!$AK$14)+(INDEX(c_TAXy,1,DL$7)-INDEX(c_TAXy,1,INDEX('Lease Cycles'!$GC$14:$GI$14,1,DL112)+1))+(INDEX(c_INSy,1,DL$7)-INDEX(c_INSy,1,INDEX('Lease Cycles'!$GC$14:$GI$14,1,DL112)+1)))/12)</f>
        <v>0</v>
      </c>
      <c r="DM123" s="28">
        <f>IF(DM122=0,0,DM122*MAX(0,(INDEX(c_CAMy,1,DM$7)-INDEX(c_CAMy,1,INDEX('Lease Cycles'!$GC$14:$GI$14,1,DM112)+1))*(1+'Lease Cycles'!$AK$14)+(INDEX(c_TAXy,1,DM$7)-INDEX(c_TAXy,1,INDEX('Lease Cycles'!$GC$14:$GI$14,1,DM112)+1))+(INDEX(c_INSy,1,DM$7)-INDEX(c_INSy,1,INDEX('Lease Cycles'!$GC$14:$GI$14,1,DM112)+1)))/12)</f>
        <v>0</v>
      </c>
      <c r="DN123" s="28">
        <f>IF(DN122=0,0,DN122*MAX(0,(INDEX(c_CAMy,1,DN$7)-INDEX(c_CAMy,1,INDEX('Lease Cycles'!$GC$14:$GI$14,1,DN112)+1))*(1+'Lease Cycles'!$AK$14)+(INDEX(c_TAXy,1,DN$7)-INDEX(c_TAXy,1,INDEX('Lease Cycles'!$GC$14:$GI$14,1,DN112)+1))+(INDEX(c_INSy,1,DN$7)-INDEX(c_INSy,1,INDEX('Lease Cycles'!$GC$14:$GI$14,1,DN112)+1)))/12)</f>
        <v>0</v>
      </c>
      <c r="DO123" s="28">
        <f>IF(DO122=0,0,DO122*MAX(0,(INDEX(c_CAMy,1,DO$7)-INDEX(c_CAMy,1,INDEX('Lease Cycles'!$GC$14:$GI$14,1,DO112)+1))*(1+'Lease Cycles'!$AK$14)+(INDEX(c_TAXy,1,DO$7)-INDEX(c_TAXy,1,INDEX('Lease Cycles'!$GC$14:$GI$14,1,DO112)+1))+(INDEX(c_INSy,1,DO$7)-INDEX(c_INSy,1,INDEX('Lease Cycles'!$GC$14:$GI$14,1,DO112)+1)))/12)</f>
        <v>0</v>
      </c>
      <c r="DP123" s="28">
        <f>IF(DP122=0,0,DP122*MAX(0,(INDEX(c_CAMy,1,DP$7)-INDEX(c_CAMy,1,INDEX('Lease Cycles'!$GC$14:$GI$14,1,DP112)+1))*(1+'Lease Cycles'!$AK$14)+(INDEX(c_TAXy,1,DP$7)-INDEX(c_TAXy,1,INDEX('Lease Cycles'!$GC$14:$GI$14,1,DP112)+1))+(INDEX(c_INSy,1,DP$7)-INDEX(c_INSy,1,INDEX('Lease Cycles'!$GC$14:$GI$14,1,DP112)+1)))/12)</f>
        <v>0</v>
      </c>
      <c r="DQ123" s="28">
        <f>IF(DQ122=0,0,DQ122*MAX(0,(INDEX(c_CAMy,1,DQ$7)-INDEX(c_CAMy,1,INDEX('Lease Cycles'!$GC$14:$GI$14,1,DQ112)+1))*(1+'Lease Cycles'!$AK$14)+(INDEX(c_TAXy,1,DQ$7)-INDEX(c_TAXy,1,INDEX('Lease Cycles'!$GC$14:$GI$14,1,DQ112)+1))+(INDEX(c_INSy,1,DQ$7)-INDEX(c_INSy,1,INDEX('Lease Cycles'!$GC$14:$GI$14,1,DQ112)+1)))/12)</f>
        <v>0</v>
      </c>
      <c r="DR123" s="28">
        <f>IF(DR122=0,0,DR122*MAX(0,(INDEX(c_CAMy,1,DR$7)-INDEX(c_CAMy,1,INDEX('Lease Cycles'!$GC$14:$GI$14,1,DR112)+1))*(1+'Lease Cycles'!$AK$14)+(INDEX(c_TAXy,1,DR$7)-INDEX(c_TAXy,1,INDEX('Lease Cycles'!$GC$14:$GI$14,1,DR112)+1))+(INDEX(c_INSy,1,DR$7)-INDEX(c_INSy,1,INDEX('Lease Cycles'!$GC$14:$GI$14,1,DR112)+1)))/12)</f>
        <v>0</v>
      </c>
      <c r="DS123" s="28">
        <f>IF(DS122=0,0,DS122*MAX(0,(INDEX(c_CAMy,1,DS$7)-INDEX(c_CAMy,1,INDEX('Lease Cycles'!$GC$14:$GI$14,1,DS112)+1))*(1+'Lease Cycles'!$AK$14)+(INDEX(c_TAXy,1,DS$7)-INDEX(c_TAXy,1,INDEX('Lease Cycles'!$GC$14:$GI$14,1,DS112)+1))+(INDEX(c_INSy,1,DS$7)-INDEX(c_INSy,1,INDEX('Lease Cycles'!$GC$14:$GI$14,1,DS112)+1)))/12)</f>
        <v>0</v>
      </c>
      <c r="DT123" s="28">
        <f>IF(DT122=0,0,DT122*MAX(0,(INDEX(c_CAMy,1,DT$7)-INDEX(c_CAMy,1,INDEX('Lease Cycles'!$GC$14:$GI$14,1,DT112)+1))*(1+'Lease Cycles'!$AK$14)+(INDEX(c_TAXy,1,DT$7)-INDEX(c_TAXy,1,INDEX('Lease Cycles'!$GC$14:$GI$14,1,DT112)+1))+(INDEX(c_INSy,1,DT$7)-INDEX(c_INSy,1,INDEX('Lease Cycles'!$GC$14:$GI$14,1,DT112)+1)))/12)</f>
        <v>0</v>
      </c>
      <c r="DU123" s="28">
        <f>IF(DU122=0,0,DU122*MAX(0,(INDEX(c_CAMy,1,DU$7)-INDEX(c_CAMy,1,INDEX('Lease Cycles'!$GC$14:$GI$14,1,DU112)+1))*(1+'Lease Cycles'!$AK$14)+(INDEX(c_TAXy,1,DU$7)-INDEX(c_TAXy,1,INDEX('Lease Cycles'!$GC$14:$GI$14,1,DU112)+1))+(INDEX(c_INSy,1,DU$7)-INDEX(c_INSy,1,INDEX('Lease Cycles'!$GC$14:$GI$14,1,DU112)+1)))/12)</f>
        <v>0</v>
      </c>
      <c r="DV123" s="28">
        <f>IF(DV122=0,0,DV122*MAX(0,(INDEX(c_CAMy,1,DV$7)-INDEX(c_CAMy,1,INDEX('Lease Cycles'!$GC$14:$GI$14,1,DV112)+1))*(1+'Lease Cycles'!$AK$14)+(INDEX(c_TAXy,1,DV$7)-INDEX(c_TAXy,1,INDEX('Lease Cycles'!$GC$14:$GI$14,1,DV112)+1))+(INDEX(c_INSy,1,DV$7)-INDEX(c_INSy,1,INDEX('Lease Cycles'!$GC$14:$GI$14,1,DV112)+1)))/12)</f>
        <v>0</v>
      </c>
      <c r="DW123" s="28">
        <f>IF(DW122=0,0,DW122*MAX(0,(INDEX(c_CAMy,1,DW$7)-INDEX(c_CAMy,1,INDEX('Lease Cycles'!$GC$14:$GI$14,1,DW112)+1))*(1+'Lease Cycles'!$AK$14)+(INDEX(c_TAXy,1,DW$7)-INDEX(c_TAXy,1,INDEX('Lease Cycles'!$GC$14:$GI$14,1,DW112)+1))+(INDEX(c_INSy,1,DW$7)-INDEX(c_INSy,1,INDEX('Lease Cycles'!$GC$14:$GI$14,1,DW112)+1)))/12)</f>
        <v>0</v>
      </c>
      <c r="DX123" s="28">
        <f>IF(DX122=0,0,DX122*MAX(0,(INDEX(c_CAMy,1,DX$7)-INDEX(c_CAMy,1,INDEX('Lease Cycles'!$GC$14:$GI$14,1,DX112)+1))*(1+'Lease Cycles'!$AK$14)+(INDEX(c_TAXy,1,DX$7)-INDEX(c_TAXy,1,INDEX('Lease Cycles'!$GC$14:$GI$14,1,DX112)+1))+(INDEX(c_INSy,1,DX$7)-INDEX(c_INSy,1,INDEX('Lease Cycles'!$GC$14:$GI$14,1,DX112)+1)))/12)</f>
        <v>0</v>
      </c>
      <c r="DY123" s="28">
        <f>IF(DY122=0,0,DY122*MAX(0,(INDEX(c_CAMy,1,DY$7)-INDEX(c_CAMy,1,INDEX('Lease Cycles'!$GC$14:$GI$14,1,DY112)+1))*(1+'Lease Cycles'!$AK$14)+(INDEX(c_TAXy,1,DY$7)-INDEX(c_TAXy,1,INDEX('Lease Cycles'!$GC$14:$GI$14,1,DY112)+1))+(INDEX(c_INSy,1,DY$7)-INDEX(c_INSy,1,INDEX('Lease Cycles'!$GC$14:$GI$14,1,DY112)+1)))/12)</f>
        <v>0</v>
      </c>
      <c r="DZ123" s="28">
        <f>IF(DZ122=0,0,DZ122*MAX(0,(INDEX(c_CAMy,1,DZ$7)-INDEX(c_CAMy,1,INDEX('Lease Cycles'!$GC$14:$GI$14,1,DZ112)+1))*(1+'Lease Cycles'!$AK$14)+(INDEX(c_TAXy,1,DZ$7)-INDEX(c_TAXy,1,INDEX('Lease Cycles'!$GC$14:$GI$14,1,DZ112)+1))+(INDEX(c_INSy,1,DZ$7)-INDEX(c_INSy,1,INDEX('Lease Cycles'!$GC$14:$GI$14,1,DZ112)+1)))/12)</f>
        <v>0</v>
      </c>
      <c r="EA123" s="28">
        <f>IF(EA122=0,0,EA122*MAX(0,(INDEX(c_CAMy,1,EA$7)-INDEX(c_CAMy,1,INDEX('Lease Cycles'!$GC$14:$GI$14,1,EA112)+1))*(1+'Lease Cycles'!$AK$14)+(INDEX(c_TAXy,1,EA$7)-INDEX(c_TAXy,1,INDEX('Lease Cycles'!$GC$14:$GI$14,1,EA112)+1))+(INDEX(c_INSy,1,EA$7)-INDEX(c_INSy,1,INDEX('Lease Cycles'!$GC$14:$GI$14,1,EA112)+1)))/12)</f>
        <v>0</v>
      </c>
      <c r="EB123" s="28">
        <f>IF(EB122=0,0,EB122*MAX(0,(INDEX(c_CAMy,1,EB$7)-INDEX(c_CAMy,1,INDEX('Lease Cycles'!$GC$14:$GI$14,1,EB112)+1))*(1+'Lease Cycles'!$AK$14)+(INDEX(c_TAXy,1,EB$7)-INDEX(c_TAXy,1,INDEX('Lease Cycles'!$GC$14:$GI$14,1,EB112)+1))+(INDEX(c_INSy,1,EB$7)-INDEX(c_INSy,1,INDEX('Lease Cycles'!$GC$14:$GI$14,1,EB112)+1)))/12)</f>
        <v>0</v>
      </c>
      <c r="EC123" s="28">
        <f>IF(EC122=0,0,EC122*MAX(0,(INDEX(c_CAMy,1,EC$7)-INDEX(c_CAMy,1,INDEX('Lease Cycles'!$GC$14:$GI$14,1,EC112)+1))*(1+'Lease Cycles'!$AK$14)+(INDEX(c_TAXy,1,EC$7)-INDEX(c_TAXy,1,INDEX('Lease Cycles'!$GC$14:$GI$14,1,EC112)+1))+(INDEX(c_INSy,1,EC$7)-INDEX(c_INSy,1,INDEX('Lease Cycles'!$GC$14:$GI$14,1,EC112)+1)))/12)</f>
        <v>0</v>
      </c>
      <c r="ED123" s="28">
        <f>IF(ED122=0,0,ED122*MAX(0,(INDEX(c_CAMy,1,ED$7)-INDEX(c_CAMy,1,INDEX('Lease Cycles'!$GC$14:$GI$14,1,ED112)+1))*(1+'Lease Cycles'!$AK$14)+(INDEX(c_TAXy,1,ED$7)-INDEX(c_TAXy,1,INDEX('Lease Cycles'!$GC$14:$GI$14,1,ED112)+1))+(INDEX(c_INSy,1,ED$7)-INDEX(c_INSy,1,INDEX('Lease Cycles'!$GC$14:$GI$14,1,ED112)+1)))/12)</f>
        <v>0</v>
      </c>
      <c r="EE123" s="28">
        <f>IF(EE122=0,0,EE122*MAX(0,(INDEX(c_CAMy,1,EE$7)-INDEX(c_CAMy,1,INDEX('Lease Cycles'!$GC$14:$GI$14,1,EE112)+1))*(1+'Lease Cycles'!$AK$14)+(INDEX(c_TAXy,1,EE$7)-INDEX(c_TAXy,1,INDEX('Lease Cycles'!$GC$14:$GI$14,1,EE112)+1))+(INDEX(c_INSy,1,EE$7)-INDEX(c_INSy,1,INDEX('Lease Cycles'!$GC$14:$GI$14,1,EE112)+1)))/12)</f>
        <v>0</v>
      </c>
      <c r="EF123" s="28">
        <f>IF(EF122=0,0,EF122*MAX(0,(INDEX(c_CAMy,1,EF$7)-INDEX(c_CAMy,1,INDEX('Lease Cycles'!$GC$14:$GI$14,1,EF112)+1))*(1+'Lease Cycles'!$AK$14)+(INDEX(c_TAXy,1,EF$7)-INDEX(c_TAXy,1,INDEX('Lease Cycles'!$GC$14:$GI$14,1,EF112)+1))+(INDEX(c_INSy,1,EF$7)-INDEX(c_INSy,1,INDEX('Lease Cycles'!$GC$14:$GI$14,1,EF112)+1)))/12)</f>
        <v>0</v>
      </c>
      <c r="EG123" s="28">
        <f>IF(EG122=0,0,EG122*MAX(0,(INDEX(c_CAMy,1,EG$7)-INDEX(c_CAMy,1,INDEX('Lease Cycles'!$GC$14:$GI$14,1,EG112)+1))*(1+'Lease Cycles'!$AK$14)+(INDEX(c_TAXy,1,EG$7)-INDEX(c_TAXy,1,INDEX('Lease Cycles'!$GC$14:$GI$14,1,EG112)+1))+(INDEX(c_INSy,1,EG$7)-INDEX(c_INSy,1,INDEX('Lease Cycles'!$GC$14:$GI$14,1,EG112)+1)))/12)</f>
        <v>0</v>
      </c>
      <c r="EH123" s="28">
        <f>IF(EH122=0,0,EH122*MAX(0,(INDEX(c_CAMy,1,EH$7)-INDEX(c_CAMy,1,INDEX('Lease Cycles'!$GC$14:$GI$14,1,EH112)+1))*(1+'Lease Cycles'!$AK$14)+(INDEX(c_TAXy,1,EH$7)-INDEX(c_TAXy,1,INDEX('Lease Cycles'!$GC$14:$GI$14,1,EH112)+1))+(INDEX(c_INSy,1,EH$7)-INDEX(c_INSy,1,INDEX('Lease Cycles'!$GC$14:$GI$14,1,EH112)+1)))/12)</f>
        <v>0</v>
      </c>
      <c r="EI123" s="28">
        <f>IF(EI122=0,0,EI122*MAX(0,(INDEX(c_CAMy,1,EI$7)-INDEX(c_CAMy,1,INDEX('Lease Cycles'!$GC$14:$GI$14,1,EI112)+1))*(1+'Lease Cycles'!$AK$14)+(INDEX(c_TAXy,1,EI$7)-INDEX(c_TAXy,1,INDEX('Lease Cycles'!$GC$14:$GI$14,1,EI112)+1))+(INDEX(c_INSy,1,EI$7)-INDEX(c_INSy,1,INDEX('Lease Cycles'!$GC$14:$GI$14,1,EI112)+1)))/12)</f>
        <v>0</v>
      </c>
      <c r="EJ123" s="28">
        <f>IF(EJ122=0,0,EJ122*MAX(0,(INDEX(c_CAMy,1,EJ$7)-INDEX(c_CAMy,1,INDEX('Lease Cycles'!$GC$14:$GI$14,1,EJ112)+1))*(1+'Lease Cycles'!$AK$14)+(INDEX(c_TAXy,1,EJ$7)-INDEX(c_TAXy,1,INDEX('Lease Cycles'!$GC$14:$GI$14,1,EJ112)+1))+(INDEX(c_INSy,1,EJ$7)-INDEX(c_INSy,1,INDEX('Lease Cycles'!$GC$14:$GI$14,1,EJ112)+1)))/12)</f>
        <v>0</v>
      </c>
      <c r="EK123" s="28">
        <f>IF(EK122=0,0,EK122*MAX(0,(INDEX(c_CAMy,1,EK$7)-INDEX(c_CAMy,1,INDEX('Lease Cycles'!$GC$14:$GI$14,1,EK112)+1))*(1+'Lease Cycles'!$AK$14)+(INDEX(c_TAXy,1,EK$7)-INDEX(c_TAXy,1,INDEX('Lease Cycles'!$GC$14:$GI$14,1,EK112)+1))+(INDEX(c_INSy,1,EK$7)-INDEX(c_INSy,1,INDEX('Lease Cycles'!$GC$14:$GI$14,1,EK112)+1)))/12)</f>
        <v>0</v>
      </c>
      <c r="EL123" s="28">
        <f>IF(EL122=0,0,EL122*MAX(0,(INDEX(c_CAMy,1,EL$7)-INDEX(c_CAMy,1,INDEX('Lease Cycles'!$GC$14:$GI$14,1,EL112)+1))*(1+'Lease Cycles'!$AK$14)+(INDEX(c_TAXy,1,EL$7)-INDEX(c_TAXy,1,INDEX('Lease Cycles'!$GC$14:$GI$14,1,EL112)+1))+(INDEX(c_INSy,1,EL$7)-INDEX(c_INSy,1,INDEX('Lease Cycles'!$GC$14:$GI$14,1,EL112)+1)))/12)</f>
        <v>0</v>
      </c>
      <c r="EM123" s="28">
        <f>IF(EM122=0,0,EM122*MAX(0,(INDEX(c_CAMy,1,EM$7)-INDEX(c_CAMy,1,INDEX('Lease Cycles'!$GC$14:$GI$14,1,EM112)+1))*(1+'Lease Cycles'!$AK$14)+(INDEX(c_TAXy,1,EM$7)-INDEX(c_TAXy,1,INDEX('Lease Cycles'!$GC$14:$GI$14,1,EM112)+1))+(INDEX(c_INSy,1,EM$7)-INDEX(c_INSy,1,INDEX('Lease Cycles'!$GC$14:$GI$14,1,EM112)+1)))/12)</f>
        <v>0</v>
      </c>
      <c r="EN123" s="28">
        <f>IF(EN122=0,0,EN122*MAX(0,(INDEX(c_CAMy,1,EN$7)-INDEX(c_CAMy,1,INDEX('Lease Cycles'!$GC$14:$GI$14,1,EN112)+1))*(1+'Lease Cycles'!$AK$14)+(INDEX(c_TAXy,1,EN$7)-INDEX(c_TAXy,1,INDEX('Lease Cycles'!$GC$14:$GI$14,1,EN112)+1))+(INDEX(c_INSy,1,EN$7)-INDEX(c_INSy,1,INDEX('Lease Cycles'!$GC$14:$GI$14,1,EN112)+1)))/12)</f>
        <v>0</v>
      </c>
      <c r="EO123" s="28">
        <f>IF(EO122=0,0,EO122*MAX(0,(INDEX(c_CAMy,1,EO$7)-INDEX(c_CAMy,1,INDEX('Lease Cycles'!$GC$14:$GI$14,1,EO112)+1))*(1+'Lease Cycles'!$AK$14)+(INDEX(c_TAXy,1,EO$7)-INDEX(c_TAXy,1,INDEX('Lease Cycles'!$GC$14:$GI$14,1,EO112)+1))+(INDEX(c_INSy,1,EO$7)-INDEX(c_INSy,1,INDEX('Lease Cycles'!$GC$14:$GI$14,1,EO112)+1)))/12)</f>
        <v>0</v>
      </c>
      <c r="EP123" s="28">
        <f>IF(EP122=0,0,EP122*MAX(0,(INDEX(c_CAMy,1,EP$7)-INDEX(c_CAMy,1,INDEX('Lease Cycles'!$GC$14:$GI$14,1,EP112)+1))*(1+'Lease Cycles'!$AK$14)+(INDEX(c_TAXy,1,EP$7)-INDEX(c_TAXy,1,INDEX('Lease Cycles'!$GC$14:$GI$14,1,EP112)+1))+(INDEX(c_INSy,1,EP$7)-INDEX(c_INSy,1,INDEX('Lease Cycles'!$GC$14:$GI$14,1,EP112)+1)))/12)</f>
        <v>0</v>
      </c>
      <c r="EQ123" s="28">
        <f>IF(EQ122=0,0,EQ122*MAX(0,(INDEX(c_CAMy,1,EQ$7)-INDEX(c_CAMy,1,INDEX('Lease Cycles'!$GC$14:$GI$14,1,EQ112)+1))*(1+'Lease Cycles'!$AK$14)+(INDEX(c_TAXy,1,EQ$7)-INDEX(c_TAXy,1,INDEX('Lease Cycles'!$GC$14:$GI$14,1,EQ112)+1))+(INDEX(c_INSy,1,EQ$7)-INDEX(c_INSy,1,INDEX('Lease Cycles'!$GC$14:$GI$14,1,EQ112)+1)))/12)</f>
        <v>0</v>
      </c>
      <c r="ER123" s="28">
        <f>IF(ER122=0,0,ER122*MAX(0,(INDEX(c_CAMy,1,ER$7)-INDEX(c_CAMy,1,INDEX('Lease Cycles'!$GC$14:$GI$14,1,ER112)+1))*(1+'Lease Cycles'!$AK$14)+(INDEX(c_TAXy,1,ER$7)-INDEX(c_TAXy,1,INDEX('Lease Cycles'!$GC$14:$GI$14,1,ER112)+1))+(INDEX(c_INSy,1,ER$7)-INDEX(c_INSy,1,INDEX('Lease Cycles'!$GC$14:$GI$14,1,ER112)+1)))/12)</f>
        <v>0</v>
      </c>
      <c r="ES123" s="28">
        <f>IF(ES122=0,0,ES122*MAX(0,(INDEX(c_CAMy,1,ES$7)-INDEX(c_CAMy,1,INDEX('Lease Cycles'!$GC$14:$GI$14,1,ES112)+1))*(1+'Lease Cycles'!$AK$14)+(INDEX(c_TAXy,1,ES$7)-INDEX(c_TAXy,1,INDEX('Lease Cycles'!$GC$14:$GI$14,1,ES112)+1))+(INDEX(c_INSy,1,ES$7)-INDEX(c_INSy,1,INDEX('Lease Cycles'!$GC$14:$GI$14,1,ES112)+1)))/12)</f>
        <v>0</v>
      </c>
      <c r="ET123" s="28">
        <f>IF(ET122=0,0,ET122*MAX(0,(INDEX(c_CAMy,1,ET$7)-INDEX(c_CAMy,1,INDEX('Lease Cycles'!$GC$14:$GI$14,1,ET112)+1))*(1+'Lease Cycles'!$AK$14)+(INDEX(c_TAXy,1,ET$7)-INDEX(c_TAXy,1,INDEX('Lease Cycles'!$GC$14:$GI$14,1,ET112)+1))+(INDEX(c_INSy,1,ET$7)-INDEX(c_INSy,1,INDEX('Lease Cycles'!$GC$14:$GI$14,1,ET112)+1)))/12)</f>
        <v>0</v>
      </c>
    </row>
    <row r="124">
      <c r="A124" s="103">
        <v>7</v>
      </c>
      <c r="B124" s="23" t="str">
        <f>IF('Lease Cycles'!$B$14="","(empty slot)",'Lease Cycles'!$B$14)</f>
        <v>Sunfield Nails</v>
      </c>
      <c r="C124" s="23" t="s">
        <v>530</v>
      </c>
      <c r="D124" s="104" t="s">
        <v>531</v>
      </c>
      <c r="E124" s="25">
        <f>'Lease Cycles'!$AL$14</f>
        <v>0</v>
      </c>
      <c r="G124" s="28">
        <f>SUM(S124:AD124)</f>
        <v>0</v>
      </c>
      <c r="H124" s="28">
        <f>SUM(AE124:AP124)</f>
        <v>0</v>
      </c>
      <c r="I124" s="28">
        <f>SUM(AQ124:BB124)</f>
        <v>10263.444616858145</v>
      </c>
      <c r="J124" s="28">
        <f>SUM(BC124:BN124)</f>
        <v>0</v>
      </c>
      <c r="K124" s="28">
        <f>SUM(BO124:BZ124)</f>
        <v>0</v>
      </c>
      <c r="L124" s="28">
        <f>SUM(CA124:CL124)</f>
        <v>0</v>
      </c>
      <c r="M124" s="28">
        <f>SUM(CM124:CX124)</f>
        <v>0</v>
      </c>
      <c r="N124" s="28">
        <f>SUM(CY124:DJ124)</f>
        <v>0</v>
      </c>
      <c r="O124" s="28">
        <f>SUM(DK124:DV124)</f>
        <v>0</v>
      </c>
      <c r="P124" s="28">
        <f>SUM(DW124:EH124)</f>
        <v>11867.549979245949</v>
      </c>
      <c r="Q124" s="28">
        <f>SUM(EI124:ET124)</f>
        <v>0</v>
      </c>
      <c r="S124" s="28">
        <f>SUMIF('Lease Cycles'!$HL$14:$HR$14,S$6,'Lease Cycles'!$HS$14:$HY$14)</f>
        <v>0</v>
      </c>
      <c r="T124" s="28">
        <f>SUMIF('Lease Cycles'!$HL$14:$HR$14,T$6,'Lease Cycles'!$HS$14:$HY$14)</f>
        <v>0</v>
      </c>
      <c r="U124" s="28">
        <f>SUMIF('Lease Cycles'!$HL$14:$HR$14,U$6,'Lease Cycles'!$HS$14:$HY$14)</f>
        <v>0</v>
      </c>
      <c r="V124" s="28">
        <f>SUMIF('Lease Cycles'!$HL$14:$HR$14,V$6,'Lease Cycles'!$HS$14:$HY$14)</f>
        <v>0</v>
      </c>
      <c r="W124" s="28">
        <f>SUMIF('Lease Cycles'!$HL$14:$HR$14,W$6,'Lease Cycles'!$HS$14:$HY$14)</f>
        <v>0</v>
      </c>
      <c r="X124" s="28">
        <f>SUMIF('Lease Cycles'!$HL$14:$HR$14,X$6,'Lease Cycles'!$HS$14:$HY$14)</f>
        <v>0</v>
      </c>
      <c r="Y124" s="28">
        <f>SUMIF('Lease Cycles'!$HL$14:$HR$14,Y$6,'Lease Cycles'!$HS$14:$HY$14)</f>
        <v>0</v>
      </c>
      <c r="Z124" s="28">
        <f>SUMIF('Lease Cycles'!$HL$14:$HR$14,Z$6,'Lease Cycles'!$HS$14:$HY$14)</f>
        <v>0</v>
      </c>
      <c r="AA124" s="28">
        <f>SUMIF('Lease Cycles'!$HL$14:$HR$14,AA$6,'Lease Cycles'!$HS$14:$HY$14)</f>
        <v>0</v>
      </c>
      <c r="AB124" s="28">
        <f>SUMIF('Lease Cycles'!$HL$14:$HR$14,AB$6,'Lease Cycles'!$HS$14:$HY$14)</f>
        <v>0</v>
      </c>
      <c r="AC124" s="28">
        <f>SUMIF('Lease Cycles'!$HL$14:$HR$14,AC$6,'Lease Cycles'!$HS$14:$HY$14)</f>
        <v>0</v>
      </c>
      <c r="AD124" s="28">
        <f>SUMIF('Lease Cycles'!$HL$14:$HR$14,AD$6,'Lease Cycles'!$HS$14:$HY$14)</f>
        <v>0</v>
      </c>
      <c r="AE124" s="28">
        <f>SUMIF('Lease Cycles'!$HL$14:$HR$14,AE$6,'Lease Cycles'!$HS$14:$HY$14)</f>
        <v>0</v>
      </c>
      <c r="AF124" s="28">
        <f>SUMIF('Lease Cycles'!$HL$14:$HR$14,AF$6,'Lease Cycles'!$HS$14:$HY$14)</f>
        <v>0</v>
      </c>
      <c r="AG124" s="28">
        <f>SUMIF('Lease Cycles'!$HL$14:$HR$14,AG$6,'Lease Cycles'!$HS$14:$HY$14)</f>
        <v>0</v>
      </c>
      <c r="AH124" s="28">
        <f>SUMIF('Lease Cycles'!$HL$14:$HR$14,AH$6,'Lease Cycles'!$HS$14:$HY$14)</f>
        <v>0</v>
      </c>
      <c r="AI124" s="28">
        <f>SUMIF('Lease Cycles'!$HL$14:$HR$14,AI$6,'Lease Cycles'!$HS$14:$HY$14)</f>
        <v>0</v>
      </c>
      <c r="AJ124" s="28">
        <f>SUMIF('Lease Cycles'!$HL$14:$HR$14,AJ$6,'Lease Cycles'!$HS$14:$HY$14)</f>
        <v>0</v>
      </c>
      <c r="AK124" s="28">
        <f>SUMIF('Lease Cycles'!$HL$14:$HR$14,AK$6,'Lease Cycles'!$HS$14:$HY$14)</f>
        <v>0</v>
      </c>
      <c r="AL124" s="28">
        <f>SUMIF('Lease Cycles'!$HL$14:$HR$14,AL$6,'Lease Cycles'!$HS$14:$HY$14)</f>
        <v>0</v>
      </c>
      <c r="AM124" s="28">
        <f>SUMIF('Lease Cycles'!$HL$14:$HR$14,AM$6,'Lease Cycles'!$HS$14:$HY$14)</f>
        <v>0</v>
      </c>
      <c r="AN124" s="28">
        <f>SUMIF('Lease Cycles'!$HL$14:$HR$14,AN$6,'Lease Cycles'!$HS$14:$HY$14)</f>
        <v>0</v>
      </c>
      <c r="AO124" s="28">
        <f>SUMIF('Lease Cycles'!$HL$14:$HR$14,AO$6,'Lease Cycles'!$HS$14:$HY$14)</f>
        <v>0</v>
      </c>
      <c r="AP124" s="28">
        <f>SUMIF('Lease Cycles'!$HL$14:$HR$14,AP$6,'Lease Cycles'!$HS$14:$HY$14)</f>
        <v>0</v>
      </c>
      <c r="AQ124" s="28">
        <f>SUMIF('Lease Cycles'!$HL$14:$HR$14,AQ$6,'Lease Cycles'!$HS$14:$HY$14)</f>
        <v>0</v>
      </c>
      <c r="AR124" s="28">
        <f>SUMIF('Lease Cycles'!$HL$14:$HR$14,AR$6,'Lease Cycles'!$HS$14:$HY$14)</f>
        <v>0</v>
      </c>
      <c r="AS124" s="28">
        <f>SUMIF('Lease Cycles'!$HL$14:$HR$14,AS$6,'Lease Cycles'!$HS$14:$HY$14)</f>
        <v>0</v>
      </c>
      <c r="AT124" s="28">
        <f>SUMIF('Lease Cycles'!$HL$14:$HR$14,AT$6,'Lease Cycles'!$HS$14:$HY$14)</f>
        <v>0</v>
      </c>
      <c r="AU124" s="28">
        <f>SUMIF('Lease Cycles'!$HL$14:$HR$14,AU$6,'Lease Cycles'!$HS$14:$HY$14)</f>
        <v>10263.444616858145</v>
      </c>
      <c r="AV124" s="28">
        <f>SUMIF('Lease Cycles'!$HL$14:$HR$14,AV$6,'Lease Cycles'!$HS$14:$HY$14)</f>
        <v>0</v>
      </c>
      <c r="AW124" s="28">
        <f>SUMIF('Lease Cycles'!$HL$14:$HR$14,AW$6,'Lease Cycles'!$HS$14:$HY$14)</f>
        <v>0</v>
      </c>
      <c r="AX124" s="28">
        <f>SUMIF('Lease Cycles'!$HL$14:$HR$14,AX$6,'Lease Cycles'!$HS$14:$HY$14)</f>
        <v>0</v>
      </c>
      <c r="AY124" s="28">
        <f>SUMIF('Lease Cycles'!$HL$14:$HR$14,AY$6,'Lease Cycles'!$HS$14:$HY$14)</f>
        <v>0</v>
      </c>
      <c r="AZ124" s="28">
        <f>SUMIF('Lease Cycles'!$HL$14:$HR$14,AZ$6,'Lease Cycles'!$HS$14:$HY$14)</f>
        <v>0</v>
      </c>
      <c r="BA124" s="28">
        <f>SUMIF('Lease Cycles'!$HL$14:$HR$14,BA$6,'Lease Cycles'!$HS$14:$HY$14)</f>
        <v>0</v>
      </c>
      <c r="BB124" s="28">
        <f>SUMIF('Lease Cycles'!$HL$14:$HR$14,BB$6,'Lease Cycles'!$HS$14:$HY$14)</f>
        <v>0</v>
      </c>
      <c r="BC124" s="28">
        <f>SUMIF('Lease Cycles'!$HL$14:$HR$14,BC$6,'Lease Cycles'!$HS$14:$HY$14)</f>
        <v>0</v>
      </c>
      <c r="BD124" s="28">
        <f>SUMIF('Lease Cycles'!$HL$14:$HR$14,BD$6,'Lease Cycles'!$HS$14:$HY$14)</f>
        <v>0</v>
      </c>
      <c r="BE124" s="28">
        <f>SUMIF('Lease Cycles'!$HL$14:$HR$14,BE$6,'Lease Cycles'!$HS$14:$HY$14)</f>
        <v>0</v>
      </c>
      <c r="BF124" s="28">
        <f>SUMIF('Lease Cycles'!$HL$14:$HR$14,BF$6,'Lease Cycles'!$HS$14:$HY$14)</f>
        <v>0</v>
      </c>
      <c r="BG124" s="28">
        <f>SUMIF('Lease Cycles'!$HL$14:$HR$14,BG$6,'Lease Cycles'!$HS$14:$HY$14)</f>
        <v>0</v>
      </c>
      <c r="BH124" s="28">
        <f>SUMIF('Lease Cycles'!$HL$14:$HR$14,BH$6,'Lease Cycles'!$HS$14:$HY$14)</f>
        <v>0</v>
      </c>
      <c r="BI124" s="28">
        <f>SUMIF('Lease Cycles'!$HL$14:$HR$14,BI$6,'Lease Cycles'!$HS$14:$HY$14)</f>
        <v>0</v>
      </c>
      <c r="BJ124" s="28">
        <f>SUMIF('Lease Cycles'!$HL$14:$HR$14,BJ$6,'Lease Cycles'!$HS$14:$HY$14)</f>
        <v>0</v>
      </c>
      <c r="BK124" s="28">
        <f>SUMIF('Lease Cycles'!$HL$14:$HR$14,BK$6,'Lease Cycles'!$HS$14:$HY$14)</f>
        <v>0</v>
      </c>
      <c r="BL124" s="28">
        <f>SUMIF('Lease Cycles'!$HL$14:$HR$14,BL$6,'Lease Cycles'!$HS$14:$HY$14)</f>
        <v>0</v>
      </c>
      <c r="BM124" s="28">
        <f>SUMIF('Lease Cycles'!$HL$14:$HR$14,BM$6,'Lease Cycles'!$HS$14:$HY$14)</f>
        <v>0</v>
      </c>
      <c r="BN124" s="28">
        <f>SUMIF('Lease Cycles'!$HL$14:$HR$14,BN$6,'Lease Cycles'!$HS$14:$HY$14)</f>
        <v>0</v>
      </c>
      <c r="BO124" s="28">
        <f>SUMIF('Lease Cycles'!$HL$14:$HR$14,BO$6,'Lease Cycles'!$HS$14:$HY$14)</f>
        <v>0</v>
      </c>
      <c r="BP124" s="28">
        <f>SUMIF('Lease Cycles'!$HL$14:$HR$14,BP$6,'Lease Cycles'!$HS$14:$HY$14)</f>
        <v>0</v>
      </c>
      <c r="BQ124" s="28">
        <f>SUMIF('Lease Cycles'!$HL$14:$HR$14,BQ$6,'Lease Cycles'!$HS$14:$HY$14)</f>
        <v>0</v>
      </c>
      <c r="BR124" s="28">
        <f>SUMIF('Lease Cycles'!$HL$14:$HR$14,BR$6,'Lease Cycles'!$HS$14:$HY$14)</f>
        <v>0</v>
      </c>
      <c r="BS124" s="28">
        <f>SUMIF('Lease Cycles'!$HL$14:$HR$14,BS$6,'Lease Cycles'!$HS$14:$HY$14)</f>
        <v>0</v>
      </c>
      <c r="BT124" s="28">
        <f>SUMIF('Lease Cycles'!$HL$14:$HR$14,BT$6,'Lease Cycles'!$HS$14:$HY$14)</f>
        <v>0</v>
      </c>
      <c r="BU124" s="28">
        <f>SUMIF('Lease Cycles'!$HL$14:$HR$14,BU$6,'Lease Cycles'!$HS$14:$HY$14)</f>
        <v>0</v>
      </c>
      <c r="BV124" s="28">
        <f>SUMIF('Lease Cycles'!$HL$14:$HR$14,BV$6,'Lease Cycles'!$HS$14:$HY$14)</f>
        <v>0</v>
      </c>
      <c r="BW124" s="28">
        <f>SUMIF('Lease Cycles'!$HL$14:$HR$14,BW$6,'Lease Cycles'!$HS$14:$HY$14)</f>
        <v>0</v>
      </c>
      <c r="BX124" s="28">
        <f>SUMIF('Lease Cycles'!$HL$14:$HR$14,BX$6,'Lease Cycles'!$HS$14:$HY$14)</f>
        <v>0</v>
      </c>
      <c r="BY124" s="28">
        <f>SUMIF('Lease Cycles'!$HL$14:$HR$14,BY$6,'Lease Cycles'!$HS$14:$HY$14)</f>
        <v>0</v>
      </c>
      <c r="BZ124" s="28">
        <f>SUMIF('Lease Cycles'!$HL$14:$HR$14,BZ$6,'Lease Cycles'!$HS$14:$HY$14)</f>
        <v>0</v>
      </c>
      <c r="CA124" s="28">
        <f>SUMIF('Lease Cycles'!$HL$14:$HR$14,CA$6,'Lease Cycles'!$HS$14:$HY$14)</f>
        <v>0</v>
      </c>
      <c r="CB124" s="28">
        <f>SUMIF('Lease Cycles'!$HL$14:$HR$14,CB$6,'Lease Cycles'!$HS$14:$HY$14)</f>
        <v>0</v>
      </c>
      <c r="CC124" s="28">
        <f>SUMIF('Lease Cycles'!$HL$14:$HR$14,CC$6,'Lease Cycles'!$HS$14:$HY$14)</f>
        <v>0</v>
      </c>
      <c r="CD124" s="28">
        <f>SUMIF('Lease Cycles'!$HL$14:$HR$14,CD$6,'Lease Cycles'!$HS$14:$HY$14)</f>
        <v>0</v>
      </c>
      <c r="CE124" s="28">
        <f>SUMIF('Lease Cycles'!$HL$14:$HR$14,CE$6,'Lease Cycles'!$HS$14:$HY$14)</f>
        <v>0</v>
      </c>
      <c r="CF124" s="28">
        <f>SUMIF('Lease Cycles'!$HL$14:$HR$14,CF$6,'Lease Cycles'!$HS$14:$HY$14)</f>
        <v>0</v>
      </c>
      <c r="CG124" s="28">
        <f>SUMIF('Lease Cycles'!$HL$14:$HR$14,CG$6,'Lease Cycles'!$HS$14:$HY$14)</f>
        <v>0</v>
      </c>
      <c r="CH124" s="28">
        <f>SUMIF('Lease Cycles'!$HL$14:$HR$14,CH$6,'Lease Cycles'!$HS$14:$HY$14)</f>
        <v>0</v>
      </c>
      <c r="CI124" s="28">
        <f>SUMIF('Lease Cycles'!$HL$14:$HR$14,CI$6,'Lease Cycles'!$HS$14:$HY$14)</f>
        <v>0</v>
      </c>
      <c r="CJ124" s="28">
        <f>SUMIF('Lease Cycles'!$HL$14:$HR$14,CJ$6,'Lease Cycles'!$HS$14:$HY$14)</f>
        <v>0</v>
      </c>
      <c r="CK124" s="28">
        <f>SUMIF('Lease Cycles'!$HL$14:$HR$14,CK$6,'Lease Cycles'!$HS$14:$HY$14)</f>
        <v>0</v>
      </c>
      <c r="CL124" s="28">
        <f>SUMIF('Lease Cycles'!$HL$14:$HR$14,CL$6,'Lease Cycles'!$HS$14:$HY$14)</f>
        <v>0</v>
      </c>
      <c r="CM124" s="28">
        <f>SUMIF('Lease Cycles'!$HL$14:$HR$14,CM$6,'Lease Cycles'!$HS$14:$HY$14)</f>
        <v>0</v>
      </c>
      <c r="CN124" s="28">
        <f>SUMIF('Lease Cycles'!$HL$14:$HR$14,CN$6,'Lease Cycles'!$HS$14:$HY$14)</f>
        <v>0</v>
      </c>
      <c r="CO124" s="28">
        <f>SUMIF('Lease Cycles'!$HL$14:$HR$14,CO$6,'Lease Cycles'!$HS$14:$HY$14)</f>
        <v>0</v>
      </c>
      <c r="CP124" s="28">
        <f>SUMIF('Lease Cycles'!$HL$14:$HR$14,CP$6,'Lease Cycles'!$HS$14:$HY$14)</f>
        <v>0</v>
      </c>
      <c r="CQ124" s="28">
        <f>SUMIF('Lease Cycles'!$HL$14:$HR$14,CQ$6,'Lease Cycles'!$HS$14:$HY$14)</f>
        <v>0</v>
      </c>
      <c r="CR124" s="28">
        <f>SUMIF('Lease Cycles'!$HL$14:$HR$14,CR$6,'Lease Cycles'!$HS$14:$HY$14)</f>
        <v>0</v>
      </c>
      <c r="CS124" s="28">
        <f>SUMIF('Lease Cycles'!$HL$14:$HR$14,CS$6,'Lease Cycles'!$HS$14:$HY$14)</f>
        <v>0</v>
      </c>
      <c r="CT124" s="28">
        <f>SUMIF('Lease Cycles'!$HL$14:$HR$14,CT$6,'Lease Cycles'!$HS$14:$HY$14)</f>
        <v>0</v>
      </c>
      <c r="CU124" s="28">
        <f>SUMIF('Lease Cycles'!$HL$14:$HR$14,CU$6,'Lease Cycles'!$HS$14:$HY$14)</f>
        <v>0</v>
      </c>
      <c r="CV124" s="28">
        <f>SUMIF('Lease Cycles'!$HL$14:$HR$14,CV$6,'Lease Cycles'!$HS$14:$HY$14)</f>
        <v>0</v>
      </c>
      <c r="CW124" s="28">
        <f>SUMIF('Lease Cycles'!$HL$14:$HR$14,CW$6,'Lease Cycles'!$HS$14:$HY$14)</f>
        <v>0</v>
      </c>
      <c r="CX124" s="28">
        <f>SUMIF('Lease Cycles'!$HL$14:$HR$14,CX$6,'Lease Cycles'!$HS$14:$HY$14)</f>
        <v>0</v>
      </c>
      <c r="CY124" s="28">
        <f>SUMIF('Lease Cycles'!$HL$14:$HR$14,CY$6,'Lease Cycles'!$HS$14:$HY$14)</f>
        <v>0</v>
      </c>
      <c r="CZ124" s="28">
        <f>SUMIF('Lease Cycles'!$HL$14:$HR$14,CZ$6,'Lease Cycles'!$HS$14:$HY$14)</f>
        <v>0</v>
      </c>
      <c r="DA124" s="28">
        <f>SUMIF('Lease Cycles'!$HL$14:$HR$14,DA$6,'Lease Cycles'!$HS$14:$HY$14)</f>
        <v>0</v>
      </c>
      <c r="DB124" s="28">
        <f>SUMIF('Lease Cycles'!$HL$14:$HR$14,DB$6,'Lease Cycles'!$HS$14:$HY$14)</f>
        <v>0</v>
      </c>
      <c r="DC124" s="28">
        <f>SUMIF('Lease Cycles'!$HL$14:$HR$14,DC$6,'Lease Cycles'!$HS$14:$HY$14)</f>
        <v>0</v>
      </c>
      <c r="DD124" s="28">
        <f>SUMIF('Lease Cycles'!$HL$14:$HR$14,DD$6,'Lease Cycles'!$HS$14:$HY$14)</f>
        <v>0</v>
      </c>
      <c r="DE124" s="28">
        <f>SUMIF('Lease Cycles'!$HL$14:$HR$14,DE$6,'Lease Cycles'!$HS$14:$HY$14)</f>
        <v>0</v>
      </c>
      <c r="DF124" s="28">
        <f>SUMIF('Lease Cycles'!$HL$14:$HR$14,DF$6,'Lease Cycles'!$HS$14:$HY$14)</f>
        <v>0</v>
      </c>
      <c r="DG124" s="28">
        <f>SUMIF('Lease Cycles'!$HL$14:$HR$14,DG$6,'Lease Cycles'!$HS$14:$HY$14)</f>
        <v>0</v>
      </c>
      <c r="DH124" s="28">
        <f>SUMIF('Lease Cycles'!$HL$14:$HR$14,DH$6,'Lease Cycles'!$HS$14:$HY$14)</f>
        <v>0</v>
      </c>
      <c r="DI124" s="28">
        <f>SUMIF('Lease Cycles'!$HL$14:$HR$14,DI$6,'Lease Cycles'!$HS$14:$HY$14)</f>
        <v>0</v>
      </c>
      <c r="DJ124" s="28">
        <f>SUMIF('Lease Cycles'!$HL$14:$HR$14,DJ$6,'Lease Cycles'!$HS$14:$HY$14)</f>
        <v>0</v>
      </c>
      <c r="DK124" s="28">
        <f>SUMIF('Lease Cycles'!$HL$14:$HR$14,DK$6,'Lease Cycles'!$HS$14:$HY$14)</f>
        <v>0</v>
      </c>
      <c r="DL124" s="28">
        <f>SUMIF('Lease Cycles'!$HL$14:$HR$14,DL$6,'Lease Cycles'!$HS$14:$HY$14)</f>
        <v>0</v>
      </c>
      <c r="DM124" s="28">
        <f>SUMIF('Lease Cycles'!$HL$14:$HR$14,DM$6,'Lease Cycles'!$HS$14:$HY$14)</f>
        <v>0</v>
      </c>
      <c r="DN124" s="28">
        <f>SUMIF('Lease Cycles'!$HL$14:$HR$14,DN$6,'Lease Cycles'!$HS$14:$HY$14)</f>
        <v>0</v>
      </c>
      <c r="DO124" s="28">
        <f>SUMIF('Lease Cycles'!$HL$14:$HR$14,DO$6,'Lease Cycles'!$HS$14:$HY$14)</f>
        <v>0</v>
      </c>
      <c r="DP124" s="28">
        <f>SUMIF('Lease Cycles'!$HL$14:$HR$14,DP$6,'Lease Cycles'!$HS$14:$HY$14)</f>
        <v>0</v>
      </c>
      <c r="DQ124" s="28">
        <f>SUMIF('Lease Cycles'!$HL$14:$HR$14,DQ$6,'Lease Cycles'!$HS$14:$HY$14)</f>
        <v>0</v>
      </c>
      <c r="DR124" s="28">
        <f>SUMIF('Lease Cycles'!$HL$14:$HR$14,DR$6,'Lease Cycles'!$HS$14:$HY$14)</f>
        <v>0</v>
      </c>
      <c r="DS124" s="28">
        <f>SUMIF('Lease Cycles'!$HL$14:$HR$14,DS$6,'Lease Cycles'!$HS$14:$HY$14)</f>
        <v>0</v>
      </c>
      <c r="DT124" s="28">
        <f>SUMIF('Lease Cycles'!$HL$14:$HR$14,DT$6,'Lease Cycles'!$HS$14:$HY$14)</f>
        <v>0</v>
      </c>
      <c r="DU124" s="28">
        <f>SUMIF('Lease Cycles'!$HL$14:$HR$14,DU$6,'Lease Cycles'!$HS$14:$HY$14)</f>
        <v>0</v>
      </c>
      <c r="DV124" s="28">
        <f>SUMIF('Lease Cycles'!$HL$14:$HR$14,DV$6,'Lease Cycles'!$HS$14:$HY$14)</f>
        <v>0</v>
      </c>
      <c r="DW124" s="28">
        <f>SUMIF('Lease Cycles'!$HL$14:$HR$14,DW$6,'Lease Cycles'!$HS$14:$HY$14)</f>
        <v>0</v>
      </c>
      <c r="DX124" s="28">
        <f>SUMIF('Lease Cycles'!$HL$14:$HR$14,DX$6,'Lease Cycles'!$HS$14:$HY$14)</f>
        <v>0</v>
      </c>
      <c r="DY124" s="28">
        <f>SUMIF('Lease Cycles'!$HL$14:$HR$14,DY$6,'Lease Cycles'!$HS$14:$HY$14)</f>
        <v>0</v>
      </c>
      <c r="DZ124" s="28">
        <f>SUMIF('Lease Cycles'!$HL$14:$HR$14,DZ$6,'Lease Cycles'!$HS$14:$HY$14)</f>
        <v>0</v>
      </c>
      <c r="EA124" s="28">
        <f>SUMIF('Lease Cycles'!$HL$14:$HR$14,EA$6,'Lease Cycles'!$HS$14:$HY$14)</f>
        <v>0</v>
      </c>
      <c r="EB124" s="28">
        <f>SUMIF('Lease Cycles'!$HL$14:$HR$14,EB$6,'Lease Cycles'!$HS$14:$HY$14)</f>
        <v>0</v>
      </c>
      <c r="EC124" s="28">
        <f>SUMIF('Lease Cycles'!$HL$14:$HR$14,EC$6,'Lease Cycles'!$HS$14:$HY$14)</f>
        <v>0</v>
      </c>
      <c r="ED124" s="28">
        <f>SUMIF('Lease Cycles'!$HL$14:$HR$14,ED$6,'Lease Cycles'!$HS$14:$HY$14)</f>
        <v>0</v>
      </c>
      <c r="EE124" s="28">
        <f>SUMIF('Lease Cycles'!$HL$14:$HR$14,EE$6,'Lease Cycles'!$HS$14:$HY$14)</f>
        <v>11867.549979245949</v>
      </c>
      <c r="EF124" s="28">
        <f>SUMIF('Lease Cycles'!$HL$14:$HR$14,EF$6,'Lease Cycles'!$HS$14:$HY$14)</f>
        <v>0</v>
      </c>
      <c r="EG124" s="28">
        <f>SUMIF('Lease Cycles'!$HL$14:$HR$14,EG$6,'Lease Cycles'!$HS$14:$HY$14)</f>
        <v>0</v>
      </c>
      <c r="EH124" s="28">
        <f>SUMIF('Lease Cycles'!$HL$14:$HR$14,EH$6,'Lease Cycles'!$HS$14:$HY$14)</f>
        <v>0</v>
      </c>
      <c r="EI124" s="28">
        <f>SUMIF('Lease Cycles'!$HL$14:$HR$14,EI$6,'Lease Cycles'!$HS$14:$HY$14)</f>
        <v>0</v>
      </c>
      <c r="EJ124" s="28">
        <f>SUMIF('Lease Cycles'!$HL$14:$HR$14,EJ$6,'Lease Cycles'!$HS$14:$HY$14)</f>
        <v>0</v>
      </c>
      <c r="EK124" s="28">
        <f>SUMIF('Lease Cycles'!$HL$14:$HR$14,EK$6,'Lease Cycles'!$HS$14:$HY$14)</f>
        <v>0</v>
      </c>
      <c r="EL124" s="28">
        <f>SUMIF('Lease Cycles'!$HL$14:$HR$14,EL$6,'Lease Cycles'!$HS$14:$HY$14)</f>
        <v>0</v>
      </c>
      <c r="EM124" s="28">
        <f>SUMIF('Lease Cycles'!$HL$14:$HR$14,EM$6,'Lease Cycles'!$HS$14:$HY$14)</f>
        <v>0</v>
      </c>
      <c r="EN124" s="28">
        <f>SUMIF('Lease Cycles'!$HL$14:$HR$14,EN$6,'Lease Cycles'!$HS$14:$HY$14)</f>
        <v>0</v>
      </c>
      <c r="EO124" s="28">
        <f>SUMIF('Lease Cycles'!$HL$14:$HR$14,EO$6,'Lease Cycles'!$HS$14:$HY$14)</f>
        <v>0</v>
      </c>
      <c r="EP124" s="28">
        <f>SUMIF('Lease Cycles'!$HL$14:$HR$14,EP$6,'Lease Cycles'!$HS$14:$HY$14)</f>
        <v>0</v>
      </c>
      <c r="EQ124" s="28">
        <f>SUMIF('Lease Cycles'!$HL$14:$HR$14,EQ$6,'Lease Cycles'!$HS$14:$HY$14)</f>
        <v>0</v>
      </c>
      <c r="ER124" s="28">
        <f>SUMIF('Lease Cycles'!$HL$14:$HR$14,ER$6,'Lease Cycles'!$HS$14:$HY$14)</f>
        <v>0</v>
      </c>
      <c r="ES124" s="28">
        <f>SUMIF('Lease Cycles'!$HL$14:$HR$14,ES$6,'Lease Cycles'!$HS$14:$HY$14)</f>
        <v>0</v>
      </c>
      <c r="ET124" s="28">
        <f>SUMIF('Lease Cycles'!$HL$14:$HR$14,ET$6,'Lease Cycles'!$HS$14:$HY$14)</f>
        <v>0</v>
      </c>
    </row>
    <row r="125">
      <c r="A125" s="103">
        <v>7</v>
      </c>
      <c r="B125" s="23" t="str">
        <f>IF('Lease Cycles'!$B$14="","(empty slot)",'Lease Cycles'!$B$14)</f>
        <v>Sunfield Nails</v>
      </c>
      <c r="C125" s="23" t="s">
        <v>532</v>
      </c>
      <c r="D125" s="104" t="s">
        <v>533</v>
      </c>
      <c r="E125" s="25">
        <f>'Lease Cycles'!$AL$14</f>
        <v>0</v>
      </c>
      <c r="G125" s="28">
        <f>SUM(S125:AD125)</f>
        <v>0</v>
      </c>
      <c r="H125" s="28">
        <f>SUM(AE125:AP125)</f>
        <v>0</v>
      </c>
      <c r="I125" s="28">
        <f>SUM(AQ125:BB125)</f>
        <v>6415.67717494565</v>
      </c>
      <c r="J125" s="28">
        <f>SUM(BC125:BN125)</f>
        <v>0</v>
      </c>
      <c r="K125" s="28">
        <f>SUM(BO125:BZ125)</f>
        <v>0</v>
      </c>
      <c r="L125" s="28">
        <f>SUM(CA125:CL125)</f>
        <v>0</v>
      </c>
      <c r="M125" s="28">
        <f>SUM(CM125:CX125)</f>
        <v>0</v>
      </c>
      <c r="N125" s="28">
        <f>SUM(CY125:DJ125)</f>
        <v>0</v>
      </c>
      <c r="O125" s="28">
        <f>SUM(DK125:DV125)</f>
        <v>0</v>
      </c>
      <c r="P125" s="28">
        <f>SUM(DW125:EH125)</f>
        <v>7968.602269392775</v>
      </c>
      <c r="Q125" s="28">
        <f>SUM(EI125:ET125)</f>
        <v>0</v>
      </c>
      <c r="S125" s="28">
        <f>SUMIF('Lease Cycles'!$HL$14:$HR$14,S$6,'Lease Cycles'!$HZ$14:$IF$14)</f>
        <v>0</v>
      </c>
      <c r="T125" s="28">
        <f>SUMIF('Lease Cycles'!$HL$14:$HR$14,T$6,'Lease Cycles'!$HZ$14:$IF$14)</f>
        <v>0</v>
      </c>
      <c r="U125" s="28">
        <f>SUMIF('Lease Cycles'!$HL$14:$HR$14,U$6,'Lease Cycles'!$HZ$14:$IF$14)</f>
        <v>0</v>
      </c>
      <c r="V125" s="28">
        <f>SUMIF('Lease Cycles'!$HL$14:$HR$14,V$6,'Lease Cycles'!$HZ$14:$IF$14)</f>
        <v>0</v>
      </c>
      <c r="W125" s="28">
        <f>SUMIF('Lease Cycles'!$HL$14:$HR$14,W$6,'Lease Cycles'!$HZ$14:$IF$14)</f>
        <v>0</v>
      </c>
      <c r="X125" s="28">
        <f>SUMIF('Lease Cycles'!$HL$14:$HR$14,X$6,'Lease Cycles'!$HZ$14:$IF$14)</f>
        <v>0</v>
      </c>
      <c r="Y125" s="28">
        <f>SUMIF('Lease Cycles'!$HL$14:$HR$14,Y$6,'Lease Cycles'!$HZ$14:$IF$14)</f>
        <v>0</v>
      </c>
      <c r="Z125" s="28">
        <f>SUMIF('Lease Cycles'!$HL$14:$HR$14,Z$6,'Lease Cycles'!$HZ$14:$IF$14)</f>
        <v>0</v>
      </c>
      <c r="AA125" s="28">
        <f>SUMIF('Lease Cycles'!$HL$14:$HR$14,AA$6,'Lease Cycles'!$HZ$14:$IF$14)</f>
        <v>0</v>
      </c>
      <c r="AB125" s="28">
        <f>SUMIF('Lease Cycles'!$HL$14:$HR$14,AB$6,'Lease Cycles'!$HZ$14:$IF$14)</f>
        <v>0</v>
      </c>
      <c r="AC125" s="28">
        <f>SUMIF('Lease Cycles'!$HL$14:$HR$14,AC$6,'Lease Cycles'!$HZ$14:$IF$14)</f>
        <v>0</v>
      </c>
      <c r="AD125" s="28">
        <f>SUMIF('Lease Cycles'!$HL$14:$HR$14,AD$6,'Lease Cycles'!$HZ$14:$IF$14)</f>
        <v>0</v>
      </c>
      <c r="AE125" s="28">
        <f>SUMIF('Lease Cycles'!$HL$14:$HR$14,AE$6,'Lease Cycles'!$HZ$14:$IF$14)</f>
        <v>0</v>
      </c>
      <c r="AF125" s="28">
        <f>SUMIF('Lease Cycles'!$HL$14:$HR$14,AF$6,'Lease Cycles'!$HZ$14:$IF$14)</f>
        <v>0</v>
      </c>
      <c r="AG125" s="28">
        <f>SUMIF('Lease Cycles'!$HL$14:$HR$14,AG$6,'Lease Cycles'!$HZ$14:$IF$14)</f>
        <v>0</v>
      </c>
      <c r="AH125" s="28">
        <f>SUMIF('Lease Cycles'!$HL$14:$HR$14,AH$6,'Lease Cycles'!$HZ$14:$IF$14)</f>
        <v>0</v>
      </c>
      <c r="AI125" s="28">
        <f>SUMIF('Lease Cycles'!$HL$14:$HR$14,AI$6,'Lease Cycles'!$HZ$14:$IF$14)</f>
        <v>0</v>
      </c>
      <c r="AJ125" s="28">
        <f>SUMIF('Lease Cycles'!$HL$14:$HR$14,AJ$6,'Lease Cycles'!$HZ$14:$IF$14)</f>
        <v>0</v>
      </c>
      <c r="AK125" s="28">
        <f>SUMIF('Lease Cycles'!$HL$14:$HR$14,AK$6,'Lease Cycles'!$HZ$14:$IF$14)</f>
        <v>0</v>
      </c>
      <c r="AL125" s="28">
        <f>SUMIF('Lease Cycles'!$HL$14:$HR$14,AL$6,'Lease Cycles'!$HZ$14:$IF$14)</f>
        <v>0</v>
      </c>
      <c r="AM125" s="28">
        <f>SUMIF('Lease Cycles'!$HL$14:$HR$14,AM$6,'Lease Cycles'!$HZ$14:$IF$14)</f>
        <v>0</v>
      </c>
      <c r="AN125" s="28">
        <f>SUMIF('Lease Cycles'!$HL$14:$HR$14,AN$6,'Lease Cycles'!$HZ$14:$IF$14)</f>
        <v>0</v>
      </c>
      <c r="AO125" s="28">
        <f>SUMIF('Lease Cycles'!$HL$14:$HR$14,AO$6,'Lease Cycles'!$HZ$14:$IF$14)</f>
        <v>0</v>
      </c>
      <c r="AP125" s="28">
        <f>SUMIF('Lease Cycles'!$HL$14:$HR$14,AP$6,'Lease Cycles'!$HZ$14:$IF$14)</f>
        <v>0</v>
      </c>
      <c r="AQ125" s="28">
        <f>SUMIF('Lease Cycles'!$HL$14:$HR$14,AQ$6,'Lease Cycles'!$HZ$14:$IF$14)</f>
        <v>0</v>
      </c>
      <c r="AR125" s="28">
        <f>SUMIF('Lease Cycles'!$HL$14:$HR$14,AR$6,'Lease Cycles'!$HZ$14:$IF$14)</f>
        <v>0</v>
      </c>
      <c r="AS125" s="28">
        <f>SUMIF('Lease Cycles'!$HL$14:$HR$14,AS$6,'Lease Cycles'!$HZ$14:$IF$14)</f>
        <v>0</v>
      </c>
      <c r="AT125" s="28">
        <f>SUMIF('Lease Cycles'!$HL$14:$HR$14,AT$6,'Lease Cycles'!$HZ$14:$IF$14)</f>
        <v>0</v>
      </c>
      <c r="AU125" s="28">
        <f>SUMIF('Lease Cycles'!$HL$14:$HR$14,AU$6,'Lease Cycles'!$HZ$14:$IF$14)</f>
        <v>6415.67717494565</v>
      </c>
      <c r="AV125" s="28">
        <f>SUMIF('Lease Cycles'!$HL$14:$HR$14,AV$6,'Lease Cycles'!$HZ$14:$IF$14)</f>
        <v>0</v>
      </c>
      <c r="AW125" s="28">
        <f>SUMIF('Lease Cycles'!$HL$14:$HR$14,AW$6,'Lease Cycles'!$HZ$14:$IF$14)</f>
        <v>0</v>
      </c>
      <c r="AX125" s="28">
        <f>SUMIF('Lease Cycles'!$HL$14:$HR$14,AX$6,'Lease Cycles'!$HZ$14:$IF$14)</f>
        <v>0</v>
      </c>
      <c r="AY125" s="28">
        <f>SUMIF('Lease Cycles'!$HL$14:$HR$14,AY$6,'Lease Cycles'!$HZ$14:$IF$14)</f>
        <v>0</v>
      </c>
      <c r="AZ125" s="28">
        <f>SUMIF('Lease Cycles'!$HL$14:$HR$14,AZ$6,'Lease Cycles'!$HZ$14:$IF$14)</f>
        <v>0</v>
      </c>
      <c r="BA125" s="28">
        <f>SUMIF('Lease Cycles'!$HL$14:$HR$14,BA$6,'Lease Cycles'!$HZ$14:$IF$14)</f>
        <v>0</v>
      </c>
      <c r="BB125" s="28">
        <f>SUMIF('Lease Cycles'!$HL$14:$HR$14,BB$6,'Lease Cycles'!$HZ$14:$IF$14)</f>
        <v>0</v>
      </c>
      <c r="BC125" s="28">
        <f>SUMIF('Lease Cycles'!$HL$14:$HR$14,BC$6,'Lease Cycles'!$HZ$14:$IF$14)</f>
        <v>0</v>
      </c>
      <c r="BD125" s="28">
        <f>SUMIF('Lease Cycles'!$HL$14:$HR$14,BD$6,'Lease Cycles'!$HZ$14:$IF$14)</f>
        <v>0</v>
      </c>
      <c r="BE125" s="28">
        <f>SUMIF('Lease Cycles'!$HL$14:$HR$14,BE$6,'Lease Cycles'!$HZ$14:$IF$14)</f>
        <v>0</v>
      </c>
      <c r="BF125" s="28">
        <f>SUMIF('Lease Cycles'!$HL$14:$HR$14,BF$6,'Lease Cycles'!$HZ$14:$IF$14)</f>
        <v>0</v>
      </c>
      <c r="BG125" s="28">
        <f>SUMIF('Lease Cycles'!$HL$14:$HR$14,BG$6,'Lease Cycles'!$HZ$14:$IF$14)</f>
        <v>0</v>
      </c>
      <c r="BH125" s="28">
        <f>SUMIF('Lease Cycles'!$HL$14:$HR$14,BH$6,'Lease Cycles'!$HZ$14:$IF$14)</f>
        <v>0</v>
      </c>
      <c r="BI125" s="28">
        <f>SUMIF('Lease Cycles'!$HL$14:$HR$14,BI$6,'Lease Cycles'!$HZ$14:$IF$14)</f>
        <v>0</v>
      </c>
      <c r="BJ125" s="28">
        <f>SUMIF('Lease Cycles'!$HL$14:$HR$14,BJ$6,'Lease Cycles'!$HZ$14:$IF$14)</f>
        <v>0</v>
      </c>
      <c r="BK125" s="28">
        <f>SUMIF('Lease Cycles'!$HL$14:$HR$14,BK$6,'Lease Cycles'!$HZ$14:$IF$14)</f>
        <v>0</v>
      </c>
      <c r="BL125" s="28">
        <f>SUMIF('Lease Cycles'!$HL$14:$HR$14,BL$6,'Lease Cycles'!$HZ$14:$IF$14)</f>
        <v>0</v>
      </c>
      <c r="BM125" s="28">
        <f>SUMIF('Lease Cycles'!$HL$14:$HR$14,BM$6,'Lease Cycles'!$HZ$14:$IF$14)</f>
        <v>0</v>
      </c>
      <c r="BN125" s="28">
        <f>SUMIF('Lease Cycles'!$HL$14:$HR$14,BN$6,'Lease Cycles'!$HZ$14:$IF$14)</f>
        <v>0</v>
      </c>
      <c r="BO125" s="28">
        <f>SUMIF('Lease Cycles'!$HL$14:$HR$14,BO$6,'Lease Cycles'!$HZ$14:$IF$14)</f>
        <v>0</v>
      </c>
      <c r="BP125" s="28">
        <f>SUMIF('Lease Cycles'!$HL$14:$HR$14,BP$6,'Lease Cycles'!$HZ$14:$IF$14)</f>
        <v>0</v>
      </c>
      <c r="BQ125" s="28">
        <f>SUMIF('Lease Cycles'!$HL$14:$HR$14,BQ$6,'Lease Cycles'!$HZ$14:$IF$14)</f>
        <v>0</v>
      </c>
      <c r="BR125" s="28">
        <f>SUMIF('Lease Cycles'!$HL$14:$HR$14,BR$6,'Lease Cycles'!$HZ$14:$IF$14)</f>
        <v>0</v>
      </c>
      <c r="BS125" s="28">
        <f>SUMIF('Lease Cycles'!$HL$14:$HR$14,BS$6,'Lease Cycles'!$HZ$14:$IF$14)</f>
        <v>0</v>
      </c>
      <c r="BT125" s="28">
        <f>SUMIF('Lease Cycles'!$HL$14:$HR$14,BT$6,'Lease Cycles'!$HZ$14:$IF$14)</f>
        <v>0</v>
      </c>
      <c r="BU125" s="28">
        <f>SUMIF('Lease Cycles'!$HL$14:$HR$14,BU$6,'Lease Cycles'!$HZ$14:$IF$14)</f>
        <v>0</v>
      </c>
      <c r="BV125" s="28">
        <f>SUMIF('Lease Cycles'!$HL$14:$HR$14,BV$6,'Lease Cycles'!$HZ$14:$IF$14)</f>
        <v>0</v>
      </c>
      <c r="BW125" s="28">
        <f>SUMIF('Lease Cycles'!$HL$14:$HR$14,BW$6,'Lease Cycles'!$HZ$14:$IF$14)</f>
        <v>0</v>
      </c>
      <c r="BX125" s="28">
        <f>SUMIF('Lease Cycles'!$HL$14:$HR$14,BX$6,'Lease Cycles'!$HZ$14:$IF$14)</f>
        <v>0</v>
      </c>
      <c r="BY125" s="28">
        <f>SUMIF('Lease Cycles'!$HL$14:$HR$14,BY$6,'Lease Cycles'!$HZ$14:$IF$14)</f>
        <v>0</v>
      </c>
      <c r="BZ125" s="28">
        <f>SUMIF('Lease Cycles'!$HL$14:$HR$14,BZ$6,'Lease Cycles'!$HZ$14:$IF$14)</f>
        <v>0</v>
      </c>
      <c r="CA125" s="28">
        <f>SUMIF('Lease Cycles'!$HL$14:$HR$14,CA$6,'Lease Cycles'!$HZ$14:$IF$14)</f>
        <v>0</v>
      </c>
      <c r="CB125" s="28">
        <f>SUMIF('Lease Cycles'!$HL$14:$HR$14,CB$6,'Lease Cycles'!$HZ$14:$IF$14)</f>
        <v>0</v>
      </c>
      <c r="CC125" s="28">
        <f>SUMIF('Lease Cycles'!$HL$14:$HR$14,CC$6,'Lease Cycles'!$HZ$14:$IF$14)</f>
        <v>0</v>
      </c>
      <c r="CD125" s="28">
        <f>SUMIF('Lease Cycles'!$HL$14:$HR$14,CD$6,'Lease Cycles'!$HZ$14:$IF$14)</f>
        <v>0</v>
      </c>
      <c r="CE125" s="28">
        <f>SUMIF('Lease Cycles'!$HL$14:$HR$14,CE$6,'Lease Cycles'!$HZ$14:$IF$14)</f>
        <v>0</v>
      </c>
      <c r="CF125" s="28">
        <f>SUMIF('Lease Cycles'!$HL$14:$HR$14,CF$6,'Lease Cycles'!$HZ$14:$IF$14)</f>
        <v>0</v>
      </c>
      <c r="CG125" s="28">
        <f>SUMIF('Lease Cycles'!$HL$14:$HR$14,CG$6,'Lease Cycles'!$HZ$14:$IF$14)</f>
        <v>0</v>
      </c>
      <c r="CH125" s="28">
        <f>SUMIF('Lease Cycles'!$HL$14:$HR$14,CH$6,'Lease Cycles'!$HZ$14:$IF$14)</f>
        <v>0</v>
      </c>
      <c r="CI125" s="28">
        <f>SUMIF('Lease Cycles'!$HL$14:$HR$14,CI$6,'Lease Cycles'!$HZ$14:$IF$14)</f>
        <v>0</v>
      </c>
      <c r="CJ125" s="28">
        <f>SUMIF('Lease Cycles'!$HL$14:$HR$14,CJ$6,'Lease Cycles'!$HZ$14:$IF$14)</f>
        <v>0</v>
      </c>
      <c r="CK125" s="28">
        <f>SUMIF('Lease Cycles'!$HL$14:$HR$14,CK$6,'Lease Cycles'!$HZ$14:$IF$14)</f>
        <v>0</v>
      </c>
      <c r="CL125" s="28">
        <f>SUMIF('Lease Cycles'!$HL$14:$HR$14,CL$6,'Lease Cycles'!$HZ$14:$IF$14)</f>
        <v>0</v>
      </c>
      <c r="CM125" s="28">
        <f>SUMIF('Lease Cycles'!$HL$14:$HR$14,CM$6,'Lease Cycles'!$HZ$14:$IF$14)</f>
        <v>0</v>
      </c>
      <c r="CN125" s="28">
        <f>SUMIF('Lease Cycles'!$HL$14:$HR$14,CN$6,'Lease Cycles'!$HZ$14:$IF$14)</f>
        <v>0</v>
      </c>
      <c r="CO125" s="28">
        <f>SUMIF('Lease Cycles'!$HL$14:$HR$14,CO$6,'Lease Cycles'!$HZ$14:$IF$14)</f>
        <v>0</v>
      </c>
      <c r="CP125" s="28">
        <f>SUMIF('Lease Cycles'!$HL$14:$HR$14,CP$6,'Lease Cycles'!$HZ$14:$IF$14)</f>
        <v>0</v>
      </c>
      <c r="CQ125" s="28">
        <f>SUMIF('Lease Cycles'!$HL$14:$HR$14,CQ$6,'Lease Cycles'!$HZ$14:$IF$14)</f>
        <v>0</v>
      </c>
      <c r="CR125" s="28">
        <f>SUMIF('Lease Cycles'!$HL$14:$HR$14,CR$6,'Lease Cycles'!$HZ$14:$IF$14)</f>
        <v>0</v>
      </c>
      <c r="CS125" s="28">
        <f>SUMIF('Lease Cycles'!$HL$14:$HR$14,CS$6,'Lease Cycles'!$HZ$14:$IF$14)</f>
        <v>0</v>
      </c>
      <c r="CT125" s="28">
        <f>SUMIF('Lease Cycles'!$HL$14:$HR$14,CT$6,'Lease Cycles'!$HZ$14:$IF$14)</f>
        <v>0</v>
      </c>
      <c r="CU125" s="28">
        <f>SUMIF('Lease Cycles'!$HL$14:$HR$14,CU$6,'Lease Cycles'!$HZ$14:$IF$14)</f>
        <v>0</v>
      </c>
      <c r="CV125" s="28">
        <f>SUMIF('Lease Cycles'!$HL$14:$HR$14,CV$6,'Lease Cycles'!$HZ$14:$IF$14)</f>
        <v>0</v>
      </c>
      <c r="CW125" s="28">
        <f>SUMIF('Lease Cycles'!$HL$14:$HR$14,CW$6,'Lease Cycles'!$HZ$14:$IF$14)</f>
        <v>0</v>
      </c>
      <c r="CX125" s="28">
        <f>SUMIF('Lease Cycles'!$HL$14:$HR$14,CX$6,'Lease Cycles'!$HZ$14:$IF$14)</f>
        <v>0</v>
      </c>
      <c r="CY125" s="28">
        <f>SUMIF('Lease Cycles'!$HL$14:$HR$14,CY$6,'Lease Cycles'!$HZ$14:$IF$14)</f>
        <v>0</v>
      </c>
      <c r="CZ125" s="28">
        <f>SUMIF('Lease Cycles'!$HL$14:$HR$14,CZ$6,'Lease Cycles'!$HZ$14:$IF$14)</f>
        <v>0</v>
      </c>
      <c r="DA125" s="28">
        <f>SUMIF('Lease Cycles'!$HL$14:$HR$14,DA$6,'Lease Cycles'!$HZ$14:$IF$14)</f>
        <v>0</v>
      </c>
      <c r="DB125" s="28">
        <f>SUMIF('Lease Cycles'!$HL$14:$HR$14,DB$6,'Lease Cycles'!$HZ$14:$IF$14)</f>
        <v>0</v>
      </c>
      <c r="DC125" s="28">
        <f>SUMIF('Lease Cycles'!$HL$14:$HR$14,DC$6,'Lease Cycles'!$HZ$14:$IF$14)</f>
        <v>0</v>
      </c>
      <c r="DD125" s="28">
        <f>SUMIF('Lease Cycles'!$HL$14:$HR$14,DD$6,'Lease Cycles'!$HZ$14:$IF$14)</f>
        <v>0</v>
      </c>
      <c r="DE125" s="28">
        <f>SUMIF('Lease Cycles'!$HL$14:$HR$14,DE$6,'Lease Cycles'!$HZ$14:$IF$14)</f>
        <v>0</v>
      </c>
      <c r="DF125" s="28">
        <f>SUMIF('Lease Cycles'!$HL$14:$HR$14,DF$6,'Lease Cycles'!$HZ$14:$IF$14)</f>
        <v>0</v>
      </c>
      <c r="DG125" s="28">
        <f>SUMIF('Lease Cycles'!$HL$14:$HR$14,DG$6,'Lease Cycles'!$HZ$14:$IF$14)</f>
        <v>0</v>
      </c>
      <c r="DH125" s="28">
        <f>SUMIF('Lease Cycles'!$HL$14:$HR$14,DH$6,'Lease Cycles'!$HZ$14:$IF$14)</f>
        <v>0</v>
      </c>
      <c r="DI125" s="28">
        <f>SUMIF('Lease Cycles'!$HL$14:$HR$14,DI$6,'Lease Cycles'!$HZ$14:$IF$14)</f>
        <v>0</v>
      </c>
      <c r="DJ125" s="28">
        <f>SUMIF('Lease Cycles'!$HL$14:$HR$14,DJ$6,'Lease Cycles'!$HZ$14:$IF$14)</f>
        <v>0</v>
      </c>
      <c r="DK125" s="28">
        <f>SUMIF('Lease Cycles'!$HL$14:$HR$14,DK$6,'Lease Cycles'!$HZ$14:$IF$14)</f>
        <v>0</v>
      </c>
      <c r="DL125" s="28">
        <f>SUMIF('Lease Cycles'!$HL$14:$HR$14,DL$6,'Lease Cycles'!$HZ$14:$IF$14)</f>
        <v>0</v>
      </c>
      <c r="DM125" s="28">
        <f>SUMIF('Lease Cycles'!$HL$14:$HR$14,DM$6,'Lease Cycles'!$HZ$14:$IF$14)</f>
        <v>0</v>
      </c>
      <c r="DN125" s="28">
        <f>SUMIF('Lease Cycles'!$HL$14:$HR$14,DN$6,'Lease Cycles'!$HZ$14:$IF$14)</f>
        <v>0</v>
      </c>
      <c r="DO125" s="28">
        <f>SUMIF('Lease Cycles'!$HL$14:$HR$14,DO$6,'Lease Cycles'!$HZ$14:$IF$14)</f>
        <v>0</v>
      </c>
      <c r="DP125" s="28">
        <f>SUMIF('Lease Cycles'!$HL$14:$HR$14,DP$6,'Lease Cycles'!$HZ$14:$IF$14)</f>
        <v>0</v>
      </c>
      <c r="DQ125" s="28">
        <f>SUMIF('Lease Cycles'!$HL$14:$HR$14,DQ$6,'Lease Cycles'!$HZ$14:$IF$14)</f>
        <v>0</v>
      </c>
      <c r="DR125" s="28">
        <f>SUMIF('Lease Cycles'!$HL$14:$HR$14,DR$6,'Lease Cycles'!$HZ$14:$IF$14)</f>
        <v>0</v>
      </c>
      <c r="DS125" s="28">
        <f>SUMIF('Lease Cycles'!$HL$14:$HR$14,DS$6,'Lease Cycles'!$HZ$14:$IF$14)</f>
        <v>0</v>
      </c>
      <c r="DT125" s="28">
        <f>SUMIF('Lease Cycles'!$HL$14:$HR$14,DT$6,'Lease Cycles'!$HZ$14:$IF$14)</f>
        <v>0</v>
      </c>
      <c r="DU125" s="28">
        <f>SUMIF('Lease Cycles'!$HL$14:$HR$14,DU$6,'Lease Cycles'!$HZ$14:$IF$14)</f>
        <v>0</v>
      </c>
      <c r="DV125" s="28">
        <f>SUMIF('Lease Cycles'!$HL$14:$HR$14,DV$6,'Lease Cycles'!$HZ$14:$IF$14)</f>
        <v>0</v>
      </c>
      <c r="DW125" s="28">
        <f>SUMIF('Lease Cycles'!$HL$14:$HR$14,DW$6,'Lease Cycles'!$HZ$14:$IF$14)</f>
        <v>0</v>
      </c>
      <c r="DX125" s="28">
        <f>SUMIF('Lease Cycles'!$HL$14:$HR$14,DX$6,'Lease Cycles'!$HZ$14:$IF$14)</f>
        <v>0</v>
      </c>
      <c r="DY125" s="28">
        <f>SUMIF('Lease Cycles'!$HL$14:$HR$14,DY$6,'Lease Cycles'!$HZ$14:$IF$14)</f>
        <v>0</v>
      </c>
      <c r="DZ125" s="28">
        <f>SUMIF('Lease Cycles'!$HL$14:$HR$14,DZ$6,'Lease Cycles'!$HZ$14:$IF$14)</f>
        <v>0</v>
      </c>
      <c r="EA125" s="28">
        <f>SUMIF('Lease Cycles'!$HL$14:$HR$14,EA$6,'Lease Cycles'!$HZ$14:$IF$14)</f>
        <v>0</v>
      </c>
      <c r="EB125" s="28">
        <f>SUMIF('Lease Cycles'!$HL$14:$HR$14,EB$6,'Lease Cycles'!$HZ$14:$IF$14)</f>
        <v>0</v>
      </c>
      <c r="EC125" s="28">
        <f>SUMIF('Lease Cycles'!$HL$14:$HR$14,EC$6,'Lease Cycles'!$HZ$14:$IF$14)</f>
        <v>0</v>
      </c>
      <c r="ED125" s="28">
        <f>SUMIF('Lease Cycles'!$HL$14:$HR$14,ED$6,'Lease Cycles'!$HZ$14:$IF$14)</f>
        <v>0</v>
      </c>
      <c r="EE125" s="28">
        <f>SUMIF('Lease Cycles'!$HL$14:$HR$14,EE$6,'Lease Cycles'!$HZ$14:$IF$14)</f>
        <v>7968.602269392775</v>
      </c>
      <c r="EF125" s="28">
        <f>SUMIF('Lease Cycles'!$HL$14:$HR$14,EF$6,'Lease Cycles'!$HZ$14:$IF$14)</f>
        <v>0</v>
      </c>
      <c r="EG125" s="28">
        <f>SUMIF('Lease Cycles'!$HL$14:$HR$14,EG$6,'Lease Cycles'!$HZ$14:$IF$14)</f>
        <v>0</v>
      </c>
      <c r="EH125" s="28">
        <f>SUMIF('Lease Cycles'!$HL$14:$HR$14,EH$6,'Lease Cycles'!$HZ$14:$IF$14)</f>
        <v>0</v>
      </c>
      <c r="EI125" s="28">
        <f>SUMIF('Lease Cycles'!$HL$14:$HR$14,EI$6,'Lease Cycles'!$HZ$14:$IF$14)</f>
        <v>0</v>
      </c>
      <c r="EJ125" s="28">
        <f>SUMIF('Lease Cycles'!$HL$14:$HR$14,EJ$6,'Lease Cycles'!$HZ$14:$IF$14)</f>
        <v>0</v>
      </c>
      <c r="EK125" s="28">
        <f>SUMIF('Lease Cycles'!$HL$14:$HR$14,EK$6,'Lease Cycles'!$HZ$14:$IF$14)</f>
        <v>0</v>
      </c>
      <c r="EL125" s="28">
        <f>SUMIF('Lease Cycles'!$HL$14:$HR$14,EL$6,'Lease Cycles'!$HZ$14:$IF$14)</f>
        <v>0</v>
      </c>
      <c r="EM125" s="28">
        <f>SUMIF('Lease Cycles'!$HL$14:$HR$14,EM$6,'Lease Cycles'!$HZ$14:$IF$14)</f>
        <v>0</v>
      </c>
      <c r="EN125" s="28">
        <f>SUMIF('Lease Cycles'!$HL$14:$HR$14,EN$6,'Lease Cycles'!$HZ$14:$IF$14)</f>
        <v>0</v>
      </c>
      <c r="EO125" s="28">
        <f>SUMIF('Lease Cycles'!$HL$14:$HR$14,EO$6,'Lease Cycles'!$HZ$14:$IF$14)</f>
        <v>0</v>
      </c>
      <c r="EP125" s="28">
        <f>SUMIF('Lease Cycles'!$HL$14:$HR$14,EP$6,'Lease Cycles'!$HZ$14:$IF$14)</f>
        <v>0</v>
      </c>
      <c r="EQ125" s="28">
        <f>SUMIF('Lease Cycles'!$HL$14:$HR$14,EQ$6,'Lease Cycles'!$HZ$14:$IF$14)</f>
        <v>0</v>
      </c>
      <c r="ER125" s="28">
        <f>SUMIF('Lease Cycles'!$HL$14:$HR$14,ER$6,'Lease Cycles'!$HZ$14:$IF$14)</f>
        <v>0</v>
      </c>
      <c r="ES125" s="28">
        <f>SUMIF('Lease Cycles'!$HL$14:$HR$14,ES$6,'Lease Cycles'!$HZ$14:$IF$14)</f>
        <v>0</v>
      </c>
      <c r="ET125" s="28">
        <f>SUMIF('Lease Cycles'!$HL$14:$HR$14,ET$6,'Lease Cycles'!$HZ$14:$IF$14)</f>
        <v>0</v>
      </c>
    </row>
    <row r="126">
      <c r="A126" s="103">
        <v>7</v>
      </c>
      <c r="B126" s="23" t="str">
        <f>IF('Lease Cycles'!$B$14="","(empty slot)",'Lease Cycles'!$B$14)</f>
        <v>Sunfield Nails</v>
      </c>
      <c r="C126" s="23" t="s">
        <v>691</v>
      </c>
      <c r="D126" s="104" t="s">
        <v>692</v>
      </c>
      <c r="E126" s="25">
        <f>'Lease Cycles'!$AL$14</f>
        <v>0</v>
      </c>
      <c r="G126" s="28">
        <f>SUM(S126:AD126)</f>
        <v>0</v>
      </c>
      <c r="H126" s="28">
        <f>SUM(AE126:AP126)</f>
        <v>0</v>
      </c>
      <c r="I126" s="28">
        <f>SUM(AQ126:BB126)</f>
        <v>0</v>
      </c>
      <c r="J126" s="28">
        <f>SUM(BC126:BN126)</f>
        <v>0</v>
      </c>
      <c r="K126" s="28">
        <f>SUM(BO126:BZ126)</f>
        <v>0</v>
      </c>
      <c r="L126" s="28">
        <f>SUM(CA126:CL126)</f>
        <v>0</v>
      </c>
      <c r="M126" s="28">
        <f>SUM(CM126:CX126)</f>
        <v>0</v>
      </c>
      <c r="N126" s="28">
        <f>SUM(CY126:DJ126)</f>
        <v>0</v>
      </c>
      <c r="O126" s="28">
        <f>SUM(DK126:DV126)</f>
        <v>0</v>
      </c>
      <c r="P126" s="28">
        <f>SUM(DW126:EH126)</f>
        <v>0</v>
      </c>
      <c r="Q126" s="28">
        <f>SUM(EI126:ET126)</f>
        <v>0</v>
      </c>
      <c r="S126" s="28">
        <f>IF(S$6='Lease Cycles'!$HL$14,'Lease Cycles'!$HS$14+'Lease Cycles'!$HZ$14,0)</f>
        <v>0</v>
      </c>
      <c r="T126" s="28">
        <f>IF(T$6='Lease Cycles'!$HL$14,'Lease Cycles'!$HS$14+'Lease Cycles'!$HZ$14,0)</f>
        <v>0</v>
      </c>
      <c r="U126" s="28">
        <f>IF(U$6='Lease Cycles'!$HL$14,'Lease Cycles'!$HS$14+'Lease Cycles'!$HZ$14,0)</f>
        <v>0</v>
      </c>
      <c r="V126" s="28">
        <f>IF(V$6='Lease Cycles'!$HL$14,'Lease Cycles'!$HS$14+'Lease Cycles'!$HZ$14,0)</f>
        <v>0</v>
      </c>
      <c r="W126" s="28">
        <f>IF(W$6='Lease Cycles'!$HL$14,'Lease Cycles'!$HS$14+'Lease Cycles'!$HZ$14,0)</f>
        <v>0</v>
      </c>
      <c r="X126" s="28">
        <f>IF(X$6='Lease Cycles'!$HL$14,'Lease Cycles'!$HS$14+'Lease Cycles'!$HZ$14,0)</f>
        <v>0</v>
      </c>
      <c r="Y126" s="28">
        <f>IF(Y$6='Lease Cycles'!$HL$14,'Lease Cycles'!$HS$14+'Lease Cycles'!$HZ$14,0)</f>
        <v>0</v>
      </c>
      <c r="Z126" s="28">
        <f>IF(Z$6='Lease Cycles'!$HL$14,'Lease Cycles'!$HS$14+'Lease Cycles'!$HZ$14,0)</f>
        <v>0</v>
      </c>
      <c r="AA126" s="28">
        <f>IF(AA$6='Lease Cycles'!$HL$14,'Lease Cycles'!$HS$14+'Lease Cycles'!$HZ$14,0)</f>
        <v>0</v>
      </c>
      <c r="AB126" s="28">
        <f>IF(AB$6='Lease Cycles'!$HL$14,'Lease Cycles'!$HS$14+'Lease Cycles'!$HZ$14,0)</f>
        <v>0</v>
      </c>
      <c r="AC126" s="28">
        <f>IF(AC$6='Lease Cycles'!$HL$14,'Lease Cycles'!$HS$14+'Lease Cycles'!$HZ$14,0)</f>
        <v>0</v>
      </c>
      <c r="AD126" s="28">
        <f>IF(AD$6='Lease Cycles'!$HL$14,'Lease Cycles'!$HS$14+'Lease Cycles'!$HZ$14,0)</f>
        <v>0</v>
      </c>
      <c r="AE126" s="28">
        <f>IF(AE$6='Lease Cycles'!$HL$14,'Lease Cycles'!$HS$14+'Lease Cycles'!$HZ$14,0)</f>
        <v>0</v>
      </c>
      <c r="AF126" s="28">
        <f>IF(AF$6='Lease Cycles'!$HL$14,'Lease Cycles'!$HS$14+'Lease Cycles'!$HZ$14,0)</f>
        <v>0</v>
      </c>
      <c r="AG126" s="28">
        <f>IF(AG$6='Lease Cycles'!$HL$14,'Lease Cycles'!$HS$14+'Lease Cycles'!$HZ$14,0)</f>
        <v>0</v>
      </c>
      <c r="AH126" s="28">
        <f>IF(AH$6='Lease Cycles'!$HL$14,'Lease Cycles'!$HS$14+'Lease Cycles'!$HZ$14,0)</f>
        <v>0</v>
      </c>
      <c r="AI126" s="28">
        <f>IF(AI$6='Lease Cycles'!$HL$14,'Lease Cycles'!$HS$14+'Lease Cycles'!$HZ$14,0)</f>
        <v>0</v>
      </c>
      <c r="AJ126" s="28">
        <f>IF(AJ$6='Lease Cycles'!$HL$14,'Lease Cycles'!$HS$14+'Lease Cycles'!$HZ$14,0)</f>
        <v>0</v>
      </c>
      <c r="AK126" s="28">
        <f>IF(AK$6='Lease Cycles'!$HL$14,'Lease Cycles'!$HS$14+'Lease Cycles'!$HZ$14,0)</f>
        <v>0</v>
      </c>
      <c r="AL126" s="28">
        <f>IF(AL$6='Lease Cycles'!$HL$14,'Lease Cycles'!$HS$14+'Lease Cycles'!$HZ$14,0)</f>
        <v>0</v>
      </c>
      <c r="AM126" s="28">
        <f>IF(AM$6='Lease Cycles'!$HL$14,'Lease Cycles'!$HS$14+'Lease Cycles'!$HZ$14,0)</f>
        <v>0</v>
      </c>
      <c r="AN126" s="28">
        <f>IF(AN$6='Lease Cycles'!$HL$14,'Lease Cycles'!$HS$14+'Lease Cycles'!$HZ$14,0)</f>
        <v>0</v>
      </c>
      <c r="AO126" s="28">
        <f>IF(AO$6='Lease Cycles'!$HL$14,'Lease Cycles'!$HS$14+'Lease Cycles'!$HZ$14,0)</f>
        <v>0</v>
      </c>
      <c r="AP126" s="28">
        <f>IF(AP$6='Lease Cycles'!$HL$14,'Lease Cycles'!$HS$14+'Lease Cycles'!$HZ$14,0)</f>
        <v>0</v>
      </c>
      <c r="AQ126" s="28">
        <f>IF(AQ$6='Lease Cycles'!$HL$14,'Lease Cycles'!$HS$14+'Lease Cycles'!$HZ$14,0)</f>
        <v>0</v>
      </c>
      <c r="AR126" s="28">
        <f>IF(AR$6='Lease Cycles'!$HL$14,'Lease Cycles'!$HS$14+'Lease Cycles'!$HZ$14,0)</f>
        <v>0</v>
      </c>
      <c r="AS126" s="28">
        <f>IF(AS$6='Lease Cycles'!$HL$14,'Lease Cycles'!$HS$14+'Lease Cycles'!$HZ$14,0)</f>
        <v>0</v>
      </c>
      <c r="AT126" s="28">
        <f>IF(AT$6='Lease Cycles'!$HL$14,'Lease Cycles'!$HS$14+'Lease Cycles'!$HZ$14,0)</f>
        <v>0</v>
      </c>
      <c r="AU126" s="28">
        <f>IF(AU$6='Lease Cycles'!$HL$14,'Lease Cycles'!$HS$14+'Lease Cycles'!$HZ$14,0)</f>
        <v>0</v>
      </c>
      <c r="AV126" s="28">
        <f>IF(AV$6='Lease Cycles'!$HL$14,'Lease Cycles'!$HS$14+'Lease Cycles'!$HZ$14,0)</f>
        <v>0</v>
      </c>
      <c r="AW126" s="28">
        <f>IF(AW$6='Lease Cycles'!$HL$14,'Lease Cycles'!$HS$14+'Lease Cycles'!$HZ$14,0)</f>
        <v>0</v>
      </c>
      <c r="AX126" s="28">
        <f>IF(AX$6='Lease Cycles'!$HL$14,'Lease Cycles'!$HS$14+'Lease Cycles'!$HZ$14,0)</f>
        <v>0</v>
      </c>
      <c r="AY126" s="28">
        <f>IF(AY$6='Lease Cycles'!$HL$14,'Lease Cycles'!$HS$14+'Lease Cycles'!$HZ$14,0)</f>
        <v>0</v>
      </c>
      <c r="AZ126" s="28">
        <f>IF(AZ$6='Lease Cycles'!$HL$14,'Lease Cycles'!$HS$14+'Lease Cycles'!$HZ$14,0)</f>
        <v>0</v>
      </c>
      <c r="BA126" s="28">
        <f>IF(BA$6='Lease Cycles'!$HL$14,'Lease Cycles'!$HS$14+'Lease Cycles'!$HZ$14,0)</f>
        <v>0</v>
      </c>
      <c r="BB126" s="28">
        <f>IF(BB$6='Lease Cycles'!$HL$14,'Lease Cycles'!$HS$14+'Lease Cycles'!$HZ$14,0)</f>
        <v>0</v>
      </c>
      <c r="BC126" s="28">
        <f>IF(BC$6='Lease Cycles'!$HL$14,'Lease Cycles'!$HS$14+'Lease Cycles'!$HZ$14,0)</f>
        <v>0</v>
      </c>
      <c r="BD126" s="28">
        <f>IF(BD$6='Lease Cycles'!$HL$14,'Lease Cycles'!$HS$14+'Lease Cycles'!$HZ$14,0)</f>
        <v>0</v>
      </c>
      <c r="BE126" s="28">
        <f>IF(BE$6='Lease Cycles'!$HL$14,'Lease Cycles'!$HS$14+'Lease Cycles'!$HZ$14,0)</f>
        <v>0</v>
      </c>
      <c r="BF126" s="28">
        <f>IF(BF$6='Lease Cycles'!$HL$14,'Lease Cycles'!$HS$14+'Lease Cycles'!$HZ$14,0)</f>
        <v>0</v>
      </c>
      <c r="BG126" s="28">
        <f>IF(BG$6='Lease Cycles'!$HL$14,'Lease Cycles'!$HS$14+'Lease Cycles'!$HZ$14,0)</f>
        <v>0</v>
      </c>
      <c r="BH126" s="28">
        <f>IF(BH$6='Lease Cycles'!$HL$14,'Lease Cycles'!$HS$14+'Lease Cycles'!$HZ$14,0)</f>
        <v>0</v>
      </c>
      <c r="BI126" s="28">
        <f>IF(BI$6='Lease Cycles'!$HL$14,'Lease Cycles'!$HS$14+'Lease Cycles'!$HZ$14,0)</f>
        <v>0</v>
      </c>
      <c r="BJ126" s="28">
        <f>IF(BJ$6='Lease Cycles'!$HL$14,'Lease Cycles'!$HS$14+'Lease Cycles'!$HZ$14,0)</f>
        <v>0</v>
      </c>
      <c r="BK126" s="28">
        <f>IF(BK$6='Lease Cycles'!$HL$14,'Lease Cycles'!$HS$14+'Lease Cycles'!$HZ$14,0)</f>
        <v>0</v>
      </c>
      <c r="BL126" s="28">
        <f>IF(BL$6='Lease Cycles'!$HL$14,'Lease Cycles'!$HS$14+'Lease Cycles'!$HZ$14,0)</f>
        <v>0</v>
      </c>
      <c r="BM126" s="28">
        <f>IF(BM$6='Lease Cycles'!$HL$14,'Lease Cycles'!$HS$14+'Lease Cycles'!$HZ$14,0)</f>
        <v>0</v>
      </c>
      <c r="BN126" s="28">
        <f>IF(BN$6='Lease Cycles'!$HL$14,'Lease Cycles'!$HS$14+'Lease Cycles'!$HZ$14,0)</f>
        <v>0</v>
      </c>
      <c r="BO126" s="28">
        <f>IF(BO$6='Lease Cycles'!$HL$14,'Lease Cycles'!$HS$14+'Lease Cycles'!$HZ$14,0)</f>
        <v>0</v>
      </c>
      <c r="BP126" s="28">
        <f>IF(BP$6='Lease Cycles'!$HL$14,'Lease Cycles'!$HS$14+'Lease Cycles'!$HZ$14,0)</f>
        <v>0</v>
      </c>
      <c r="BQ126" s="28">
        <f>IF(BQ$6='Lease Cycles'!$HL$14,'Lease Cycles'!$HS$14+'Lease Cycles'!$HZ$14,0)</f>
        <v>0</v>
      </c>
      <c r="BR126" s="28">
        <f>IF(BR$6='Lease Cycles'!$HL$14,'Lease Cycles'!$HS$14+'Lease Cycles'!$HZ$14,0)</f>
        <v>0</v>
      </c>
      <c r="BS126" s="28">
        <f>IF(BS$6='Lease Cycles'!$HL$14,'Lease Cycles'!$HS$14+'Lease Cycles'!$HZ$14,0)</f>
        <v>0</v>
      </c>
      <c r="BT126" s="28">
        <f>IF(BT$6='Lease Cycles'!$HL$14,'Lease Cycles'!$HS$14+'Lease Cycles'!$HZ$14,0)</f>
        <v>0</v>
      </c>
      <c r="BU126" s="28">
        <f>IF(BU$6='Lease Cycles'!$HL$14,'Lease Cycles'!$HS$14+'Lease Cycles'!$HZ$14,0)</f>
        <v>0</v>
      </c>
      <c r="BV126" s="28">
        <f>IF(BV$6='Lease Cycles'!$HL$14,'Lease Cycles'!$HS$14+'Lease Cycles'!$HZ$14,0)</f>
        <v>0</v>
      </c>
      <c r="BW126" s="28">
        <f>IF(BW$6='Lease Cycles'!$HL$14,'Lease Cycles'!$HS$14+'Lease Cycles'!$HZ$14,0)</f>
        <v>0</v>
      </c>
      <c r="BX126" s="28">
        <f>IF(BX$6='Lease Cycles'!$HL$14,'Lease Cycles'!$HS$14+'Lease Cycles'!$HZ$14,0)</f>
        <v>0</v>
      </c>
      <c r="BY126" s="28">
        <f>IF(BY$6='Lease Cycles'!$HL$14,'Lease Cycles'!$HS$14+'Lease Cycles'!$HZ$14,0)</f>
        <v>0</v>
      </c>
      <c r="BZ126" s="28">
        <f>IF(BZ$6='Lease Cycles'!$HL$14,'Lease Cycles'!$HS$14+'Lease Cycles'!$HZ$14,0)</f>
        <v>0</v>
      </c>
      <c r="CA126" s="28">
        <f>IF(CA$6='Lease Cycles'!$HL$14,'Lease Cycles'!$HS$14+'Lease Cycles'!$HZ$14,0)</f>
        <v>0</v>
      </c>
      <c r="CB126" s="28">
        <f>IF(CB$6='Lease Cycles'!$HL$14,'Lease Cycles'!$HS$14+'Lease Cycles'!$HZ$14,0)</f>
        <v>0</v>
      </c>
      <c r="CC126" s="28">
        <f>IF(CC$6='Lease Cycles'!$HL$14,'Lease Cycles'!$HS$14+'Lease Cycles'!$HZ$14,0)</f>
        <v>0</v>
      </c>
      <c r="CD126" s="28">
        <f>IF(CD$6='Lease Cycles'!$HL$14,'Lease Cycles'!$HS$14+'Lease Cycles'!$HZ$14,0)</f>
        <v>0</v>
      </c>
      <c r="CE126" s="28">
        <f>IF(CE$6='Lease Cycles'!$HL$14,'Lease Cycles'!$HS$14+'Lease Cycles'!$HZ$14,0)</f>
        <v>0</v>
      </c>
      <c r="CF126" s="28">
        <f>IF(CF$6='Lease Cycles'!$HL$14,'Lease Cycles'!$HS$14+'Lease Cycles'!$HZ$14,0)</f>
        <v>0</v>
      </c>
      <c r="CG126" s="28">
        <f>IF(CG$6='Lease Cycles'!$HL$14,'Lease Cycles'!$HS$14+'Lease Cycles'!$HZ$14,0)</f>
        <v>0</v>
      </c>
      <c r="CH126" s="28">
        <f>IF(CH$6='Lease Cycles'!$HL$14,'Lease Cycles'!$HS$14+'Lease Cycles'!$HZ$14,0)</f>
        <v>0</v>
      </c>
      <c r="CI126" s="28">
        <f>IF(CI$6='Lease Cycles'!$HL$14,'Lease Cycles'!$HS$14+'Lease Cycles'!$HZ$14,0)</f>
        <v>0</v>
      </c>
      <c r="CJ126" s="28">
        <f>IF(CJ$6='Lease Cycles'!$HL$14,'Lease Cycles'!$HS$14+'Lease Cycles'!$HZ$14,0)</f>
        <v>0</v>
      </c>
      <c r="CK126" s="28">
        <f>IF(CK$6='Lease Cycles'!$HL$14,'Lease Cycles'!$HS$14+'Lease Cycles'!$HZ$14,0)</f>
        <v>0</v>
      </c>
      <c r="CL126" s="28">
        <f>IF(CL$6='Lease Cycles'!$HL$14,'Lease Cycles'!$HS$14+'Lease Cycles'!$HZ$14,0)</f>
        <v>0</v>
      </c>
      <c r="CM126" s="28">
        <f>IF(CM$6='Lease Cycles'!$HL$14,'Lease Cycles'!$HS$14+'Lease Cycles'!$HZ$14,0)</f>
        <v>0</v>
      </c>
      <c r="CN126" s="28">
        <f>IF(CN$6='Lease Cycles'!$HL$14,'Lease Cycles'!$HS$14+'Lease Cycles'!$HZ$14,0)</f>
        <v>0</v>
      </c>
      <c r="CO126" s="28">
        <f>IF(CO$6='Lease Cycles'!$HL$14,'Lease Cycles'!$HS$14+'Lease Cycles'!$HZ$14,0)</f>
        <v>0</v>
      </c>
      <c r="CP126" s="28">
        <f>IF(CP$6='Lease Cycles'!$HL$14,'Lease Cycles'!$HS$14+'Lease Cycles'!$HZ$14,0)</f>
        <v>0</v>
      </c>
      <c r="CQ126" s="28">
        <f>IF(CQ$6='Lease Cycles'!$HL$14,'Lease Cycles'!$HS$14+'Lease Cycles'!$HZ$14,0)</f>
        <v>0</v>
      </c>
      <c r="CR126" s="28">
        <f>IF(CR$6='Lease Cycles'!$HL$14,'Lease Cycles'!$HS$14+'Lease Cycles'!$HZ$14,0)</f>
        <v>0</v>
      </c>
      <c r="CS126" s="28">
        <f>IF(CS$6='Lease Cycles'!$HL$14,'Lease Cycles'!$HS$14+'Lease Cycles'!$HZ$14,0)</f>
        <v>0</v>
      </c>
      <c r="CT126" s="28">
        <f>IF(CT$6='Lease Cycles'!$HL$14,'Lease Cycles'!$HS$14+'Lease Cycles'!$HZ$14,0)</f>
        <v>0</v>
      </c>
      <c r="CU126" s="28">
        <f>IF(CU$6='Lease Cycles'!$HL$14,'Lease Cycles'!$HS$14+'Lease Cycles'!$HZ$14,0)</f>
        <v>0</v>
      </c>
      <c r="CV126" s="28">
        <f>IF(CV$6='Lease Cycles'!$HL$14,'Lease Cycles'!$HS$14+'Lease Cycles'!$HZ$14,0)</f>
        <v>0</v>
      </c>
      <c r="CW126" s="28">
        <f>IF(CW$6='Lease Cycles'!$HL$14,'Lease Cycles'!$HS$14+'Lease Cycles'!$HZ$14,0)</f>
        <v>0</v>
      </c>
      <c r="CX126" s="28">
        <f>IF(CX$6='Lease Cycles'!$HL$14,'Lease Cycles'!$HS$14+'Lease Cycles'!$HZ$14,0)</f>
        <v>0</v>
      </c>
      <c r="CY126" s="28">
        <f>IF(CY$6='Lease Cycles'!$HL$14,'Lease Cycles'!$HS$14+'Lease Cycles'!$HZ$14,0)</f>
        <v>0</v>
      </c>
      <c r="CZ126" s="28">
        <f>IF(CZ$6='Lease Cycles'!$HL$14,'Lease Cycles'!$HS$14+'Lease Cycles'!$HZ$14,0)</f>
        <v>0</v>
      </c>
      <c r="DA126" s="28">
        <f>IF(DA$6='Lease Cycles'!$HL$14,'Lease Cycles'!$HS$14+'Lease Cycles'!$HZ$14,0)</f>
        <v>0</v>
      </c>
      <c r="DB126" s="28">
        <f>IF(DB$6='Lease Cycles'!$HL$14,'Lease Cycles'!$HS$14+'Lease Cycles'!$HZ$14,0)</f>
        <v>0</v>
      </c>
      <c r="DC126" s="28">
        <f>IF(DC$6='Lease Cycles'!$HL$14,'Lease Cycles'!$HS$14+'Lease Cycles'!$HZ$14,0)</f>
        <v>0</v>
      </c>
      <c r="DD126" s="28">
        <f>IF(DD$6='Lease Cycles'!$HL$14,'Lease Cycles'!$HS$14+'Lease Cycles'!$HZ$14,0)</f>
        <v>0</v>
      </c>
      <c r="DE126" s="28">
        <f>IF(DE$6='Lease Cycles'!$HL$14,'Lease Cycles'!$HS$14+'Lease Cycles'!$HZ$14,0)</f>
        <v>0</v>
      </c>
      <c r="DF126" s="28">
        <f>IF(DF$6='Lease Cycles'!$HL$14,'Lease Cycles'!$HS$14+'Lease Cycles'!$HZ$14,0)</f>
        <v>0</v>
      </c>
      <c r="DG126" s="28">
        <f>IF(DG$6='Lease Cycles'!$HL$14,'Lease Cycles'!$HS$14+'Lease Cycles'!$HZ$14,0)</f>
        <v>0</v>
      </c>
      <c r="DH126" s="28">
        <f>IF(DH$6='Lease Cycles'!$HL$14,'Lease Cycles'!$HS$14+'Lease Cycles'!$HZ$14,0)</f>
        <v>0</v>
      </c>
      <c r="DI126" s="28">
        <f>IF(DI$6='Lease Cycles'!$HL$14,'Lease Cycles'!$HS$14+'Lease Cycles'!$HZ$14,0)</f>
        <v>0</v>
      </c>
      <c r="DJ126" s="28">
        <f>IF(DJ$6='Lease Cycles'!$HL$14,'Lease Cycles'!$HS$14+'Lease Cycles'!$HZ$14,0)</f>
        <v>0</v>
      </c>
      <c r="DK126" s="28">
        <f>IF(DK$6='Lease Cycles'!$HL$14,'Lease Cycles'!$HS$14+'Lease Cycles'!$HZ$14,0)</f>
        <v>0</v>
      </c>
      <c r="DL126" s="28">
        <f>IF(DL$6='Lease Cycles'!$HL$14,'Lease Cycles'!$HS$14+'Lease Cycles'!$HZ$14,0)</f>
        <v>0</v>
      </c>
      <c r="DM126" s="28">
        <f>IF(DM$6='Lease Cycles'!$HL$14,'Lease Cycles'!$HS$14+'Lease Cycles'!$HZ$14,0)</f>
        <v>0</v>
      </c>
      <c r="DN126" s="28">
        <f>IF(DN$6='Lease Cycles'!$HL$14,'Lease Cycles'!$HS$14+'Lease Cycles'!$HZ$14,0)</f>
        <v>0</v>
      </c>
      <c r="DO126" s="28">
        <f>IF(DO$6='Lease Cycles'!$HL$14,'Lease Cycles'!$HS$14+'Lease Cycles'!$HZ$14,0)</f>
        <v>0</v>
      </c>
      <c r="DP126" s="28">
        <f>IF(DP$6='Lease Cycles'!$HL$14,'Lease Cycles'!$HS$14+'Lease Cycles'!$HZ$14,0)</f>
        <v>0</v>
      </c>
      <c r="DQ126" s="28">
        <f>IF(DQ$6='Lease Cycles'!$HL$14,'Lease Cycles'!$HS$14+'Lease Cycles'!$HZ$14,0)</f>
        <v>0</v>
      </c>
      <c r="DR126" s="28">
        <f>IF(DR$6='Lease Cycles'!$HL$14,'Lease Cycles'!$HS$14+'Lease Cycles'!$HZ$14,0)</f>
        <v>0</v>
      </c>
      <c r="DS126" s="28">
        <f>IF(DS$6='Lease Cycles'!$HL$14,'Lease Cycles'!$HS$14+'Lease Cycles'!$HZ$14,0)</f>
        <v>0</v>
      </c>
      <c r="DT126" s="28">
        <f>IF(DT$6='Lease Cycles'!$HL$14,'Lease Cycles'!$HS$14+'Lease Cycles'!$HZ$14,0)</f>
        <v>0</v>
      </c>
      <c r="DU126" s="28">
        <f>IF(DU$6='Lease Cycles'!$HL$14,'Lease Cycles'!$HS$14+'Lease Cycles'!$HZ$14,0)</f>
        <v>0</v>
      </c>
      <c r="DV126" s="28">
        <f>IF(DV$6='Lease Cycles'!$HL$14,'Lease Cycles'!$HS$14+'Lease Cycles'!$HZ$14,0)</f>
        <v>0</v>
      </c>
      <c r="DW126" s="28">
        <f>IF(DW$6='Lease Cycles'!$HL$14,'Lease Cycles'!$HS$14+'Lease Cycles'!$HZ$14,0)</f>
        <v>0</v>
      </c>
      <c r="DX126" s="28">
        <f>IF(DX$6='Lease Cycles'!$HL$14,'Lease Cycles'!$HS$14+'Lease Cycles'!$HZ$14,0)</f>
        <v>0</v>
      </c>
      <c r="DY126" s="28">
        <f>IF(DY$6='Lease Cycles'!$HL$14,'Lease Cycles'!$HS$14+'Lease Cycles'!$HZ$14,0)</f>
        <v>0</v>
      </c>
      <c r="DZ126" s="28">
        <f>IF(DZ$6='Lease Cycles'!$HL$14,'Lease Cycles'!$HS$14+'Lease Cycles'!$HZ$14,0)</f>
        <v>0</v>
      </c>
      <c r="EA126" s="28">
        <f>IF(EA$6='Lease Cycles'!$HL$14,'Lease Cycles'!$HS$14+'Lease Cycles'!$HZ$14,0)</f>
        <v>0</v>
      </c>
      <c r="EB126" s="28">
        <f>IF(EB$6='Lease Cycles'!$HL$14,'Lease Cycles'!$HS$14+'Lease Cycles'!$HZ$14,0)</f>
        <v>0</v>
      </c>
      <c r="EC126" s="28">
        <f>IF(EC$6='Lease Cycles'!$HL$14,'Lease Cycles'!$HS$14+'Lease Cycles'!$HZ$14,0)</f>
        <v>0</v>
      </c>
      <c r="ED126" s="28">
        <f>IF(ED$6='Lease Cycles'!$HL$14,'Lease Cycles'!$HS$14+'Lease Cycles'!$HZ$14,0)</f>
        <v>0</v>
      </c>
      <c r="EE126" s="28">
        <f>IF(EE$6='Lease Cycles'!$HL$14,'Lease Cycles'!$HS$14+'Lease Cycles'!$HZ$14,0)</f>
        <v>0</v>
      </c>
      <c r="EF126" s="28">
        <f>IF(EF$6='Lease Cycles'!$HL$14,'Lease Cycles'!$HS$14+'Lease Cycles'!$HZ$14,0)</f>
        <v>0</v>
      </c>
      <c r="EG126" s="28">
        <f>IF(EG$6='Lease Cycles'!$HL$14,'Lease Cycles'!$HS$14+'Lease Cycles'!$HZ$14,0)</f>
        <v>0</v>
      </c>
      <c r="EH126" s="28">
        <f>IF(EH$6='Lease Cycles'!$HL$14,'Lease Cycles'!$HS$14+'Lease Cycles'!$HZ$14,0)</f>
        <v>0</v>
      </c>
      <c r="EI126" s="28">
        <f>IF(EI$6='Lease Cycles'!$HL$14,'Lease Cycles'!$HS$14+'Lease Cycles'!$HZ$14,0)</f>
        <v>0</v>
      </c>
      <c r="EJ126" s="28">
        <f>IF(EJ$6='Lease Cycles'!$HL$14,'Lease Cycles'!$HS$14+'Lease Cycles'!$HZ$14,0)</f>
        <v>0</v>
      </c>
      <c r="EK126" s="28">
        <f>IF(EK$6='Lease Cycles'!$HL$14,'Lease Cycles'!$HS$14+'Lease Cycles'!$HZ$14,0)</f>
        <v>0</v>
      </c>
      <c r="EL126" s="28">
        <f>IF(EL$6='Lease Cycles'!$HL$14,'Lease Cycles'!$HS$14+'Lease Cycles'!$HZ$14,0)</f>
        <v>0</v>
      </c>
      <c r="EM126" s="28">
        <f>IF(EM$6='Lease Cycles'!$HL$14,'Lease Cycles'!$HS$14+'Lease Cycles'!$HZ$14,0)</f>
        <v>0</v>
      </c>
      <c r="EN126" s="28">
        <f>IF(EN$6='Lease Cycles'!$HL$14,'Lease Cycles'!$HS$14+'Lease Cycles'!$HZ$14,0)</f>
        <v>0</v>
      </c>
      <c r="EO126" s="28">
        <f>IF(EO$6='Lease Cycles'!$HL$14,'Lease Cycles'!$HS$14+'Lease Cycles'!$HZ$14,0)</f>
        <v>0</v>
      </c>
      <c r="EP126" s="28">
        <f>IF(EP$6='Lease Cycles'!$HL$14,'Lease Cycles'!$HS$14+'Lease Cycles'!$HZ$14,0)</f>
        <v>0</v>
      </c>
      <c r="EQ126" s="28">
        <f>IF(EQ$6='Lease Cycles'!$HL$14,'Lease Cycles'!$HS$14+'Lease Cycles'!$HZ$14,0)</f>
        <v>0</v>
      </c>
      <c r="ER126" s="28">
        <f>IF(ER$6='Lease Cycles'!$HL$14,'Lease Cycles'!$HS$14+'Lease Cycles'!$HZ$14,0)</f>
        <v>0</v>
      </c>
      <c r="ES126" s="28">
        <f>IF(ES$6='Lease Cycles'!$HL$14,'Lease Cycles'!$HS$14+'Lease Cycles'!$HZ$14,0)</f>
        <v>0</v>
      </c>
      <c r="ET126" s="28">
        <f>IF(ET$6='Lease Cycles'!$HL$14,'Lease Cycles'!$HS$14+'Lease Cycles'!$HZ$14,0)</f>
        <v>0</v>
      </c>
    </row>
    <row r="127">
      <c r="A127" s="103">
        <v>7</v>
      </c>
      <c r="B127" s="23" t="str">
        <f>IF('Lease Cycles'!$B$14="","(empty slot)",'Lease Cycles'!$B$14)</f>
        <v>Sunfield Nails</v>
      </c>
      <c r="C127" s="23" t="s">
        <v>499</v>
      </c>
      <c r="D127" s="104" t="s">
        <v>500</v>
      </c>
      <c r="E127" s="25">
        <f>'Lease Cycles'!$AL$14</f>
        <v>0</v>
      </c>
      <c r="G127" s="28">
        <f>MAX(0,'Lease Cycles'!$AN$14*'Lease Cycles'!$C$14*'Lease Cycles'!$AM$14*(1+a_SalesGrowth)^(G$6-1)-G117)</f>
        <v>0</v>
      </c>
      <c r="H127" s="28">
        <f>MAX(0,'Lease Cycles'!$AN$14*'Lease Cycles'!$C$14*'Lease Cycles'!$AM$14*(1+a_SalesGrowth)^(H$6-1)-H117)</f>
        <v>0</v>
      </c>
      <c r="I127" s="28">
        <f>MAX(0,'Lease Cycles'!$AN$14*'Lease Cycles'!$C$14*'Lease Cycles'!$AM$14*(1+a_SalesGrowth)^(I$6-1)-I117)</f>
        <v>0</v>
      </c>
      <c r="J127" s="28">
        <f>MAX(0,'Lease Cycles'!$AN$14*'Lease Cycles'!$C$14*'Lease Cycles'!$AM$14*(1+a_SalesGrowth)^(J$6-1)-J117)</f>
        <v>0</v>
      </c>
      <c r="K127" s="28">
        <f>MAX(0,'Lease Cycles'!$AN$14*'Lease Cycles'!$C$14*'Lease Cycles'!$AM$14*(1+a_SalesGrowth)^(K$6-1)-K117)</f>
        <v>0</v>
      </c>
      <c r="L127" s="28">
        <f>MAX(0,'Lease Cycles'!$AN$14*'Lease Cycles'!$C$14*'Lease Cycles'!$AM$14*(1+a_SalesGrowth)^(L$6-1)-L117)</f>
        <v>0</v>
      </c>
      <c r="M127" s="28">
        <f>MAX(0,'Lease Cycles'!$AN$14*'Lease Cycles'!$C$14*'Lease Cycles'!$AM$14*(1+a_SalesGrowth)^(M$6-1)-M117)</f>
        <v>0</v>
      </c>
      <c r="N127" s="28">
        <f>MAX(0,'Lease Cycles'!$AN$14*'Lease Cycles'!$C$14*'Lease Cycles'!$AM$14*(1+a_SalesGrowth)^(N$6-1)-N117)</f>
        <v>0</v>
      </c>
      <c r="O127" s="28">
        <f>MAX(0,'Lease Cycles'!$AN$14*'Lease Cycles'!$C$14*'Lease Cycles'!$AM$14*(1+a_SalesGrowth)^(O$6-1)-O117)</f>
        <v>0</v>
      </c>
      <c r="P127" s="28">
        <f>MAX(0,'Lease Cycles'!$AN$14*'Lease Cycles'!$C$14*'Lease Cycles'!$AM$14*(1+a_SalesGrowth)^(P$6-1)-P117)</f>
        <v>0</v>
      </c>
      <c r="Q127" s="28">
        <f>MAX(0,'Lease Cycles'!$AN$14*'Lease Cycles'!$C$14*'Lease Cycles'!$AM$14*(1+a_SalesGrowth)^(Q$6-1)-Q117)</f>
        <v>0</v>
      </c>
    </row>
    <row r="129">
      <c r="A129" s="103">
        <v>8</v>
      </c>
      <c r="B129" s="23" t="str">
        <f>IF('Lease Cycles'!$B$15="","(empty slot)",'Lease Cycles'!$B$15)</f>
        <v>Sunfield Bagels</v>
      </c>
      <c r="C129" s="23" t="s">
        <v>671</v>
      </c>
      <c r="D129" s="104" t="s">
        <v>672</v>
      </c>
      <c r="E129" s="25">
        <f>'Lease Cycles'!$AL$15</f>
        <v>0</v>
      </c>
      <c r="S129" s="25">
        <f>IF('Lease Cycles'!$C$15&gt;0,COUNTIF('Lease Cycles'!$BG$15:$BM$15,"&lt;="&amp;S$6),0)</f>
        <v>1</v>
      </c>
      <c r="T129" s="25">
        <f>IF('Lease Cycles'!$C$15&gt;0,COUNTIF('Lease Cycles'!$BG$15:$BM$15,"&lt;="&amp;T$6),0)</f>
        <v>1</v>
      </c>
      <c r="U129" s="25">
        <f>IF('Lease Cycles'!$C$15&gt;0,COUNTIF('Lease Cycles'!$BG$15:$BM$15,"&lt;="&amp;U$6),0)</f>
        <v>1</v>
      </c>
      <c r="V129" s="25">
        <f>IF('Lease Cycles'!$C$15&gt;0,COUNTIF('Lease Cycles'!$BG$15:$BM$15,"&lt;="&amp;V$6),0)</f>
        <v>1</v>
      </c>
      <c r="W129" s="25">
        <f>IF('Lease Cycles'!$C$15&gt;0,COUNTIF('Lease Cycles'!$BG$15:$BM$15,"&lt;="&amp;W$6),0)</f>
        <v>1</v>
      </c>
      <c r="X129" s="25">
        <f>IF('Lease Cycles'!$C$15&gt;0,COUNTIF('Lease Cycles'!$BG$15:$BM$15,"&lt;="&amp;X$6),0)</f>
        <v>1</v>
      </c>
      <c r="Y129" s="25">
        <f>IF('Lease Cycles'!$C$15&gt;0,COUNTIF('Lease Cycles'!$BG$15:$BM$15,"&lt;="&amp;Y$6),0)</f>
        <v>1</v>
      </c>
      <c r="Z129" s="25">
        <f>IF('Lease Cycles'!$C$15&gt;0,COUNTIF('Lease Cycles'!$BG$15:$BM$15,"&lt;="&amp;Z$6),0)</f>
        <v>1</v>
      </c>
      <c r="AA129" s="25">
        <f>IF('Lease Cycles'!$C$15&gt;0,COUNTIF('Lease Cycles'!$BG$15:$BM$15,"&lt;="&amp;AA$6),0)</f>
        <v>1</v>
      </c>
      <c r="AB129" s="25">
        <f>IF('Lease Cycles'!$C$15&gt;0,COUNTIF('Lease Cycles'!$BG$15:$BM$15,"&lt;="&amp;AB$6),0)</f>
        <v>1</v>
      </c>
      <c r="AC129" s="25">
        <f>IF('Lease Cycles'!$C$15&gt;0,COUNTIF('Lease Cycles'!$BG$15:$BM$15,"&lt;="&amp;AC$6),0)</f>
        <v>1</v>
      </c>
      <c r="AD129" s="25">
        <f>IF('Lease Cycles'!$C$15&gt;0,COUNTIF('Lease Cycles'!$BG$15:$BM$15,"&lt;="&amp;AD$6),0)</f>
        <v>1</v>
      </c>
      <c r="AE129" s="25">
        <f>IF('Lease Cycles'!$C$15&gt;0,COUNTIF('Lease Cycles'!$BG$15:$BM$15,"&lt;="&amp;AE$6),0)</f>
        <v>1</v>
      </c>
      <c r="AF129" s="25">
        <f>IF('Lease Cycles'!$C$15&gt;0,COUNTIF('Lease Cycles'!$BG$15:$BM$15,"&lt;="&amp;AF$6),0)</f>
        <v>1</v>
      </c>
      <c r="AG129" s="25">
        <f>IF('Lease Cycles'!$C$15&gt;0,COUNTIF('Lease Cycles'!$BG$15:$BM$15,"&lt;="&amp;AG$6),0)</f>
        <v>1</v>
      </c>
      <c r="AH129" s="25">
        <f>IF('Lease Cycles'!$C$15&gt;0,COUNTIF('Lease Cycles'!$BG$15:$BM$15,"&lt;="&amp;AH$6),0)</f>
        <v>1</v>
      </c>
      <c r="AI129" s="25">
        <f>IF('Lease Cycles'!$C$15&gt;0,COUNTIF('Lease Cycles'!$BG$15:$BM$15,"&lt;="&amp;AI$6),0)</f>
        <v>1</v>
      </c>
      <c r="AJ129" s="25">
        <f>IF('Lease Cycles'!$C$15&gt;0,COUNTIF('Lease Cycles'!$BG$15:$BM$15,"&lt;="&amp;AJ$6),0)</f>
        <v>1</v>
      </c>
      <c r="AK129" s="25">
        <f>IF('Lease Cycles'!$C$15&gt;0,COUNTIF('Lease Cycles'!$BG$15:$BM$15,"&lt;="&amp;AK$6),0)</f>
        <v>1</v>
      </c>
      <c r="AL129" s="25">
        <f>IF('Lease Cycles'!$C$15&gt;0,COUNTIF('Lease Cycles'!$BG$15:$BM$15,"&lt;="&amp;AL$6),0)</f>
        <v>1</v>
      </c>
      <c r="AM129" s="25">
        <f>IF('Lease Cycles'!$C$15&gt;0,COUNTIF('Lease Cycles'!$BG$15:$BM$15,"&lt;="&amp;AM$6),0)</f>
        <v>1</v>
      </c>
      <c r="AN129" s="25">
        <f>IF('Lease Cycles'!$C$15&gt;0,COUNTIF('Lease Cycles'!$BG$15:$BM$15,"&lt;="&amp;AN$6),0)</f>
        <v>1</v>
      </c>
      <c r="AO129" s="25">
        <f>IF('Lease Cycles'!$C$15&gt;0,COUNTIF('Lease Cycles'!$BG$15:$BM$15,"&lt;="&amp;AO$6),0)</f>
        <v>1</v>
      </c>
      <c r="AP129" s="25">
        <f>IF('Lease Cycles'!$C$15&gt;0,COUNTIF('Lease Cycles'!$BG$15:$BM$15,"&lt;="&amp;AP$6),0)</f>
        <v>1</v>
      </c>
      <c r="AQ129" s="25">
        <f>IF('Lease Cycles'!$C$15&gt;0,COUNTIF('Lease Cycles'!$BG$15:$BM$15,"&lt;="&amp;AQ$6),0)</f>
        <v>1</v>
      </c>
      <c r="AR129" s="25">
        <f>IF('Lease Cycles'!$C$15&gt;0,COUNTIF('Lease Cycles'!$BG$15:$BM$15,"&lt;="&amp;AR$6),0)</f>
        <v>1</v>
      </c>
      <c r="AS129" s="25">
        <f>IF('Lease Cycles'!$C$15&gt;0,COUNTIF('Lease Cycles'!$BG$15:$BM$15,"&lt;="&amp;AS$6),0)</f>
        <v>1</v>
      </c>
      <c r="AT129" s="25">
        <f>IF('Lease Cycles'!$C$15&gt;0,COUNTIF('Lease Cycles'!$BG$15:$BM$15,"&lt;="&amp;AT$6),0)</f>
        <v>1</v>
      </c>
      <c r="AU129" s="25">
        <f>IF('Lease Cycles'!$C$15&gt;0,COUNTIF('Lease Cycles'!$BG$15:$BM$15,"&lt;="&amp;AU$6),0)</f>
        <v>1</v>
      </c>
      <c r="AV129" s="25">
        <f>IF('Lease Cycles'!$C$15&gt;0,COUNTIF('Lease Cycles'!$BG$15:$BM$15,"&lt;="&amp;AV$6),0)</f>
        <v>1</v>
      </c>
      <c r="AW129" s="25">
        <f>IF('Lease Cycles'!$C$15&gt;0,COUNTIF('Lease Cycles'!$BG$15:$BM$15,"&lt;="&amp;AW$6),0)</f>
        <v>1</v>
      </c>
      <c r="AX129" s="25">
        <f>IF('Lease Cycles'!$C$15&gt;0,COUNTIF('Lease Cycles'!$BG$15:$BM$15,"&lt;="&amp;AX$6),0)</f>
        <v>1</v>
      </c>
      <c r="AY129" s="25">
        <f>IF('Lease Cycles'!$C$15&gt;0,COUNTIF('Lease Cycles'!$BG$15:$BM$15,"&lt;="&amp;AY$6),0)</f>
        <v>1</v>
      </c>
      <c r="AZ129" s="25">
        <f>IF('Lease Cycles'!$C$15&gt;0,COUNTIF('Lease Cycles'!$BG$15:$BM$15,"&lt;="&amp;AZ$6),0)</f>
        <v>1</v>
      </c>
      <c r="BA129" s="25">
        <f>IF('Lease Cycles'!$C$15&gt;0,COUNTIF('Lease Cycles'!$BG$15:$BM$15,"&lt;="&amp;BA$6),0)</f>
        <v>1</v>
      </c>
      <c r="BB129" s="25">
        <f>IF('Lease Cycles'!$C$15&gt;0,COUNTIF('Lease Cycles'!$BG$15:$BM$15,"&lt;="&amp;BB$6),0)</f>
        <v>1</v>
      </c>
      <c r="BC129" s="25">
        <f>IF('Lease Cycles'!$C$15&gt;0,COUNTIF('Lease Cycles'!$BG$15:$BM$15,"&lt;="&amp;BC$6),0)</f>
        <v>1</v>
      </c>
      <c r="BD129" s="25">
        <f>IF('Lease Cycles'!$C$15&gt;0,COUNTIF('Lease Cycles'!$BG$15:$BM$15,"&lt;="&amp;BD$6),0)</f>
        <v>1</v>
      </c>
      <c r="BE129" s="25">
        <f>IF('Lease Cycles'!$C$15&gt;0,COUNTIF('Lease Cycles'!$BG$15:$BM$15,"&lt;="&amp;BE$6),0)</f>
        <v>1</v>
      </c>
      <c r="BF129" s="25">
        <f>IF('Lease Cycles'!$C$15&gt;0,COUNTIF('Lease Cycles'!$BG$15:$BM$15,"&lt;="&amp;BF$6),0)</f>
        <v>1</v>
      </c>
      <c r="BG129" s="25">
        <f>IF('Lease Cycles'!$C$15&gt;0,COUNTIF('Lease Cycles'!$BG$15:$BM$15,"&lt;="&amp;BG$6),0)</f>
        <v>1</v>
      </c>
      <c r="BH129" s="25">
        <f>IF('Lease Cycles'!$C$15&gt;0,COUNTIF('Lease Cycles'!$BG$15:$BM$15,"&lt;="&amp;BH$6),0)</f>
        <v>2</v>
      </c>
      <c r="BI129" s="25">
        <f>IF('Lease Cycles'!$C$15&gt;0,COUNTIF('Lease Cycles'!$BG$15:$BM$15,"&lt;="&amp;BI$6),0)</f>
        <v>3</v>
      </c>
      <c r="BJ129" s="25">
        <f>IF('Lease Cycles'!$C$15&gt;0,COUNTIF('Lease Cycles'!$BG$15:$BM$15,"&lt;="&amp;BJ$6),0)</f>
        <v>3</v>
      </c>
      <c r="BK129" s="25">
        <f>IF('Lease Cycles'!$C$15&gt;0,COUNTIF('Lease Cycles'!$BG$15:$BM$15,"&lt;="&amp;BK$6),0)</f>
        <v>3</v>
      </c>
      <c r="BL129" s="25">
        <f>IF('Lease Cycles'!$C$15&gt;0,COUNTIF('Lease Cycles'!$BG$15:$BM$15,"&lt;="&amp;BL$6),0)</f>
        <v>3</v>
      </c>
      <c r="BM129" s="25">
        <f>IF('Lease Cycles'!$C$15&gt;0,COUNTIF('Lease Cycles'!$BG$15:$BM$15,"&lt;="&amp;BM$6),0)</f>
        <v>3</v>
      </c>
      <c r="BN129" s="25">
        <f>IF('Lease Cycles'!$C$15&gt;0,COUNTIF('Lease Cycles'!$BG$15:$BM$15,"&lt;="&amp;BN$6),0)</f>
        <v>3</v>
      </c>
      <c r="BO129" s="25">
        <f>IF('Lease Cycles'!$C$15&gt;0,COUNTIF('Lease Cycles'!$BG$15:$BM$15,"&lt;="&amp;BO$6),0)</f>
        <v>3</v>
      </c>
      <c r="BP129" s="25">
        <f>IF('Lease Cycles'!$C$15&gt;0,COUNTIF('Lease Cycles'!$BG$15:$BM$15,"&lt;="&amp;BP$6),0)</f>
        <v>3</v>
      </c>
      <c r="BQ129" s="25">
        <f>IF('Lease Cycles'!$C$15&gt;0,COUNTIF('Lease Cycles'!$BG$15:$BM$15,"&lt;="&amp;BQ$6),0)</f>
        <v>3</v>
      </c>
      <c r="BR129" s="25">
        <f>IF('Lease Cycles'!$C$15&gt;0,COUNTIF('Lease Cycles'!$BG$15:$BM$15,"&lt;="&amp;BR$6),0)</f>
        <v>3</v>
      </c>
      <c r="BS129" s="25">
        <f>IF('Lease Cycles'!$C$15&gt;0,COUNTIF('Lease Cycles'!$BG$15:$BM$15,"&lt;="&amp;BS$6),0)</f>
        <v>3</v>
      </c>
      <c r="BT129" s="25">
        <f>IF('Lease Cycles'!$C$15&gt;0,COUNTIF('Lease Cycles'!$BG$15:$BM$15,"&lt;="&amp;BT$6),0)</f>
        <v>3</v>
      </c>
      <c r="BU129" s="25">
        <f>IF('Lease Cycles'!$C$15&gt;0,COUNTIF('Lease Cycles'!$BG$15:$BM$15,"&lt;="&amp;BU$6),0)</f>
        <v>3</v>
      </c>
      <c r="BV129" s="25">
        <f>IF('Lease Cycles'!$C$15&gt;0,COUNTIF('Lease Cycles'!$BG$15:$BM$15,"&lt;="&amp;BV$6),0)</f>
        <v>3</v>
      </c>
      <c r="BW129" s="25">
        <f>IF('Lease Cycles'!$C$15&gt;0,COUNTIF('Lease Cycles'!$BG$15:$BM$15,"&lt;="&amp;BW$6),0)</f>
        <v>3</v>
      </c>
      <c r="BX129" s="25">
        <f>IF('Lease Cycles'!$C$15&gt;0,COUNTIF('Lease Cycles'!$BG$15:$BM$15,"&lt;="&amp;BX$6),0)</f>
        <v>3</v>
      </c>
      <c r="BY129" s="25">
        <f>IF('Lease Cycles'!$C$15&gt;0,COUNTIF('Lease Cycles'!$BG$15:$BM$15,"&lt;="&amp;BY$6),0)</f>
        <v>3</v>
      </c>
      <c r="BZ129" s="25">
        <f>IF('Lease Cycles'!$C$15&gt;0,COUNTIF('Lease Cycles'!$BG$15:$BM$15,"&lt;="&amp;BZ$6),0)</f>
        <v>3</v>
      </c>
      <c r="CA129" s="25">
        <f>IF('Lease Cycles'!$C$15&gt;0,COUNTIF('Lease Cycles'!$BG$15:$BM$15,"&lt;="&amp;CA$6),0)</f>
        <v>3</v>
      </c>
      <c r="CB129" s="25">
        <f>IF('Lease Cycles'!$C$15&gt;0,COUNTIF('Lease Cycles'!$BG$15:$BM$15,"&lt;="&amp;CB$6),0)</f>
        <v>3</v>
      </c>
      <c r="CC129" s="25">
        <f>IF('Lease Cycles'!$C$15&gt;0,COUNTIF('Lease Cycles'!$BG$15:$BM$15,"&lt;="&amp;CC$6),0)</f>
        <v>3</v>
      </c>
      <c r="CD129" s="25">
        <f>IF('Lease Cycles'!$C$15&gt;0,COUNTIF('Lease Cycles'!$BG$15:$BM$15,"&lt;="&amp;CD$6),0)</f>
        <v>3</v>
      </c>
      <c r="CE129" s="25">
        <f>IF('Lease Cycles'!$C$15&gt;0,COUNTIF('Lease Cycles'!$BG$15:$BM$15,"&lt;="&amp;CE$6),0)</f>
        <v>3</v>
      </c>
      <c r="CF129" s="25">
        <f>IF('Lease Cycles'!$C$15&gt;0,COUNTIF('Lease Cycles'!$BG$15:$BM$15,"&lt;="&amp;CF$6),0)</f>
        <v>3</v>
      </c>
      <c r="CG129" s="25">
        <f>IF('Lease Cycles'!$C$15&gt;0,COUNTIF('Lease Cycles'!$BG$15:$BM$15,"&lt;="&amp;CG$6),0)</f>
        <v>3</v>
      </c>
      <c r="CH129" s="25">
        <f>IF('Lease Cycles'!$C$15&gt;0,COUNTIF('Lease Cycles'!$BG$15:$BM$15,"&lt;="&amp;CH$6),0)</f>
        <v>3</v>
      </c>
      <c r="CI129" s="25">
        <f>IF('Lease Cycles'!$C$15&gt;0,COUNTIF('Lease Cycles'!$BG$15:$BM$15,"&lt;="&amp;CI$6),0)</f>
        <v>3</v>
      </c>
      <c r="CJ129" s="25">
        <f>IF('Lease Cycles'!$C$15&gt;0,COUNTIF('Lease Cycles'!$BG$15:$BM$15,"&lt;="&amp;CJ$6),0)</f>
        <v>3</v>
      </c>
      <c r="CK129" s="25">
        <f>IF('Lease Cycles'!$C$15&gt;0,COUNTIF('Lease Cycles'!$BG$15:$BM$15,"&lt;="&amp;CK$6),0)</f>
        <v>3</v>
      </c>
      <c r="CL129" s="25">
        <f>IF('Lease Cycles'!$C$15&gt;0,COUNTIF('Lease Cycles'!$BG$15:$BM$15,"&lt;="&amp;CL$6),0)</f>
        <v>3</v>
      </c>
      <c r="CM129" s="25">
        <f>IF('Lease Cycles'!$C$15&gt;0,COUNTIF('Lease Cycles'!$BG$15:$BM$15,"&lt;="&amp;CM$6),0)</f>
        <v>3</v>
      </c>
      <c r="CN129" s="25">
        <f>IF('Lease Cycles'!$C$15&gt;0,COUNTIF('Lease Cycles'!$BG$15:$BM$15,"&lt;="&amp;CN$6),0)</f>
        <v>3</v>
      </c>
      <c r="CO129" s="25">
        <f>IF('Lease Cycles'!$C$15&gt;0,COUNTIF('Lease Cycles'!$BG$15:$BM$15,"&lt;="&amp;CO$6),0)</f>
        <v>3</v>
      </c>
      <c r="CP129" s="25">
        <f>IF('Lease Cycles'!$C$15&gt;0,COUNTIF('Lease Cycles'!$BG$15:$BM$15,"&lt;="&amp;CP$6),0)</f>
        <v>3</v>
      </c>
      <c r="CQ129" s="25">
        <f>IF('Lease Cycles'!$C$15&gt;0,COUNTIF('Lease Cycles'!$BG$15:$BM$15,"&lt;="&amp;CQ$6),0)</f>
        <v>3</v>
      </c>
      <c r="CR129" s="25">
        <f>IF('Lease Cycles'!$C$15&gt;0,COUNTIF('Lease Cycles'!$BG$15:$BM$15,"&lt;="&amp;CR$6),0)</f>
        <v>3</v>
      </c>
      <c r="CS129" s="25">
        <f>IF('Lease Cycles'!$C$15&gt;0,COUNTIF('Lease Cycles'!$BG$15:$BM$15,"&lt;="&amp;CS$6),0)</f>
        <v>3</v>
      </c>
      <c r="CT129" s="25">
        <f>IF('Lease Cycles'!$C$15&gt;0,COUNTIF('Lease Cycles'!$BG$15:$BM$15,"&lt;="&amp;CT$6),0)</f>
        <v>3</v>
      </c>
      <c r="CU129" s="25">
        <f>IF('Lease Cycles'!$C$15&gt;0,COUNTIF('Lease Cycles'!$BG$15:$BM$15,"&lt;="&amp;CU$6),0)</f>
        <v>3</v>
      </c>
      <c r="CV129" s="25">
        <f>IF('Lease Cycles'!$C$15&gt;0,COUNTIF('Lease Cycles'!$BG$15:$BM$15,"&lt;="&amp;CV$6),0)</f>
        <v>3</v>
      </c>
      <c r="CW129" s="25">
        <f>IF('Lease Cycles'!$C$15&gt;0,COUNTIF('Lease Cycles'!$BG$15:$BM$15,"&lt;="&amp;CW$6),0)</f>
        <v>3</v>
      </c>
      <c r="CX129" s="25">
        <f>IF('Lease Cycles'!$C$15&gt;0,COUNTIF('Lease Cycles'!$BG$15:$BM$15,"&lt;="&amp;CX$6),0)</f>
        <v>3</v>
      </c>
      <c r="CY129" s="25">
        <f>IF('Lease Cycles'!$C$15&gt;0,COUNTIF('Lease Cycles'!$BG$15:$BM$15,"&lt;="&amp;CY$6),0)</f>
        <v>3</v>
      </c>
      <c r="CZ129" s="25">
        <f>IF('Lease Cycles'!$C$15&gt;0,COUNTIF('Lease Cycles'!$BG$15:$BM$15,"&lt;="&amp;CZ$6),0)</f>
        <v>3</v>
      </c>
      <c r="DA129" s="25">
        <f>IF('Lease Cycles'!$C$15&gt;0,COUNTIF('Lease Cycles'!$BG$15:$BM$15,"&lt;="&amp;DA$6),0)</f>
        <v>3</v>
      </c>
      <c r="DB129" s="25">
        <f>IF('Lease Cycles'!$C$15&gt;0,COUNTIF('Lease Cycles'!$BG$15:$BM$15,"&lt;="&amp;DB$6),0)</f>
        <v>3</v>
      </c>
      <c r="DC129" s="25">
        <f>IF('Lease Cycles'!$C$15&gt;0,COUNTIF('Lease Cycles'!$BG$15:$BM$15,"&lt;="&amp;DC$6),0)</f>
        <v>3</v>
      </c>
      <c r="DD129" s="25">
        <f>IF('Lease Cycles'!$C$15&gt;0,COUNTIF('Lease Cycles'!$BG$15:$BM$15,"&lt;="&amp;DD$6),0)</f>
        <v>3</v>
      </c>
      <c r="DE129" s="25">
        <f>IF('Lease Cycles'!$C$15&gt;0,COUNTIF('Lease Cycles'!$BG$15:$BM$15,"&lt;="&amp;DE$6),0)</f>
        <v>3</v>
      </c>
      <c r="DF129" s="25">
        <f>IF('Lease Cycles'!$C$15&gt;0,COUNTIF('Lease Cycles'!$BG$15:$BM$15,"&lt;="&amp;DF$6),0)</f>
        <v>3</v>
      </c>
      <c r="DG129" s="25">
        <f>IF('Lease Cycles'!$C$15&gt;0,COUNTIF('Lease Cycles'!$BG$15:$BM$15,"&lt;="&amp;DG$6),0)</f>
        <v>3</v>
      </c>
      <c r="DH129" s="25">
        <f>IF('Lease Cycles'!$C$15&gt;0,COUNTIF('Lease Cycles'!$BG$15:$BM$15,"&lt;="&amp;DH$6),0)</f>
        <v>3</v>
      </c>
      <c r="DI129" s="25">
        <f>IF('Lease Cycles'!$C$15&gt;0,COUNTIF('Lease Cycles'!$BG$15:$BM$15,"&lt;="&amp;DI$6),0)</f>
        <v>3</v>
      </c>
      <c r="DJ129" s="25">
        <f>IF('Lease Cycles'!$C$15&gt;0,COUNTIF('Lease Cycles'!$BG$15:$BM$15,"&lt;="&amp;DJ$6),0)</f>
        <v>3</v>
      </c>
      <c r="DK129" s="25">
        <f>IF('Lease Cycles'!$C$15&gt;0,COUNTIF('Lease Cycles'!$BG$15:$BM$15,"&lt;="&amp;DK$6),0)</f>
        <v>3</v>
      </c>
      <c r="DL129" s="25">
        <f>IF('Lease Cycles'!$C$15&gt;0,COUNTIF('Lease Cycles'!$BG$15:$BM$15,"&lt;="&amp;DL$6),0)</f>
        <v>3</v>
      </c>
      <c r="DM129" s="25">
        <f>IF('Lease Cycles'!$C$15&gt;0,COUNTIF('Lease Cycles'!$BG$15:$BM$15,"&lt;="&amp;DM$6),0)</f>
        <v>3</v>
      </c>
      <c r="DN129" s="25">
        <f>IF('Lease Cycles'!$C$15&gt;0,COUNTIF('Lease Cycles'!$BG$15:$BM$15,"&lt;="&amp;DN$6),0)</f>
        <v>3</v>
      </c>
      <c r="DO129" s="25">
        <f>IF('Lease Cycles'!$C$15&gt;0,COUNTIF('Lease Cycles'!$BG$15:$BM$15,"&lt;="&amp;DO$6),0)</f>
        <v>3</v>
      </c>
      <c r="DP129" s="25">
        <f>IF('Lease Cycles'!$C$15&gt;0,COUNTIF('Lease Cycles'!$BG$15:$BM$15,"&lt;="&amp;DP$6),0)</f>
        <v>3</v>
      </c>
      <c r="DQ129" s="25">
        <f>IF('Lease Cycles'!$C$15&gt;0,COUNTIF('Lease Cycles'!$BG$15:$BM$15,"&lt;="&amp;DQ$6),0)</f>
        <v>3</v>
      </c>
      <c r="DR129" s="25">
        <f>IF('Lease Cycles'!$C$15&gt;0,COUNTIF('Lease Cycles'!$BG$15:$BM$15,"&lt;="&amp;DR$6),0)</f>
        <v>3</v>
      </c>
      <c r="DS129" s="25">
        <f>IF('Lease Cycles'!$C$15&gt;0,COUNTIF('Lease Cycles'!$BG$15:$BM$15,"&lt;="&amp;DS$6),0)</f>
        <v>3</v>
      </c>
      <c r="DT129" s="25">
        <f>IF('Lease Cycles'!$C$15&gt;0,COUNTIF('Lease Cycles'!$BG$15:$BM$15,"&lt;="&amp;DT$6),0)</f>
        <v>3</v>
      </c>
      <c r="DU129" s="25">
        <f>IF('Lease Cycles'!$C$15&gt;0,COUNTIF('Lease Cycles'!$BG$15:$BM$15,"&lt;="&amp;DU$6),0)</f>
        <v>3</v>
      </c>
      <c r="DV129" s="25">
        <f>IF('Lease Cycles'!$C$15&gt;0,COUNTIF('Lease Cycles'!$BG$15:$BM$15,"&lt;="&amp;DV$6),0)</f>
        <v>3</v>
      </c>
      <c r="DW129" s="25">
        <f>IF('Lease Cycles'!$C$15&gt;0,COUNTIF('Lease Cycles'!$BG$15:$BM$15,"&lt;="&amp;DW$6),0)</f>
        <v>3</v>
      </c>
      <c r="DX129" s="25">
        <f>IF('Lease Cycles'!$C$15&gt;0,COUNTIF('Lease Cycles'!$BG$15:$BM$15,"&lt;="&amp;DX$6),0)</f>
        <v>3</v>
      </c>
      <c r="DY129" s="25">
        <f>IF('Lease Cycles'!$C$15&gt;0,COUNTIF('Lease Cycles'!$BG$15:$BM$15,"&lt;="&amp;DY$6),0)</f>
        <v>3</v>
      </c>
      <c r="DZ129" s="25">
        <f>IF('Lease Cycles'!$C$15&gt;0,COUNTIF('Lease Cycles'!$BG$15:$BM$15,"&lt;="&amp;DZ$6),0)</f>
        <v>3</v>
      </c>
      <c r="EA129" s="25">
        <f>IF('Lease Cycles'!$C$15&gt;0,COUNTIF('Lease Cycles'!$BG$15:$BM$15,"&lt;="&amp;EA$6),0)</f>
        <v>3</v>
      </c>
      <c r="EB129" s="25">
        <f>IF('Lease Cycles'!$C$15&gt;0,COUNTIF('Lease Cycles'!$BG$15:$BM$15,"&lt;="&amp;EB$6),0)</f>
        <v>3</v>
      </c>
      <c r="EC129" s="25">
        <f>IF('Lease Cycles'!$C$15&gt;0,COUNTIF('Lease Cycles'!$BG$15:$BM$15,"&lt;="&amp;EC$6),0)</f>
        <v>3</v>
      </c>
      <c r="ED129" s="25">
        <f>IF('Lease Cycles'!$C$15&gt;0,COUNTIF('Lease Cycles'!$BG$15:$BM$15,"&lt;="&amp;ED$6),0)</f>
        <v>3</v>
      </c>
      <c r="EE129" s="25">
        <f>IF('Lease Cycles'!$C$15&gt;0,COUNTIF('Lease Cycles'!$BG$15:$BM$15,"&lt;="&amp;EE$6),0)</f>
        <v>3</v>
      </c>
      <c r="EF129" s="25">
        <f>IF('Lease Cycles'!$C$15&gt;0,COUNTIF('Lease Cycles'!$BG$15:$BM$15,"&lt;="&amp;EF$6),0)</f>
        <v>3</v>
      </c>
      <c r="EG129" s="25">
        <f>IF('Lease Cycles'!$C$15&gt;0,COUNTIF('Lease Cycles'!$BG$15:$BM$15,"&lt;="&amp;EG$6),0)</f>
        <v>3</v>
      </c>
      <c r="EH129" s="25">
        <f>IF('Lease Cycles'!$C$15&gt;0,COUNTIF('Lease Cycles'!$BG$15:$BM$15,"&lt;="&amp;EH$6),0)</f>
        <v>3</v>
      </c>
      <c r="EI129" s="25">
        <f>IF('Lease Cycles'!$C$15&gt;0,COUNTIF('Lease Cycles'!$BG$15:$BM$15,"&lt;="&amp;EI$6),0)</f>
        <v>3</v>
      </c>
      <c r="EJ129" s="25">
        <f>IF('Lease Cycles'!$C$15&gt;0,COUNTIF('Lease Cycles'!$BG$15:$BM$15,"&lt;="&amp;EJ$6),0)</f>
        <v>3</v>
      </c>
      <c r="EK129" s="25">
        <f>IF('Lease Cycles'!$C$15&gt;0,COUNTIF('Lease Cycles'!$BG$15:$BM$15,"&lt;="&amp;EK$6),0)</f>
        <v>3</v>
      </c>
      <c r="EL129" s="25">
        <f>IF('Lease Cycles'!$C$15&gt;0,COUNTIF('Lease Cycles'!$BG$15:$BM$15,"&lt;="&amp;EL$6),0)</f>
        <v>3</v>
      </c>
      <c r="EM129" s="25">
        <f>IF('Lease Cycles'!$C$15&gt;0,COUNTIF('Lease Cycles'!$BG$15:$BM$15,"&lt;="&amp;EM$6),0)</f>
        <v>3</v>
      </c>
      <c r="EN129" s="25">
        <f>IF('Lease Cycles'!$C$15&gt;0,COUNTIF('Lease Cycles'!$BG$15:$BM$15,"&lt;="&amp;EN$6),0)</f>
        <v>3</v>
      </c>
      <c r="EO129" s="25">
        <f>IF('Lease Cycles'!$C$15&gt;0,COUNTIF('Lease Cycles'!$BG$15:$BM$15,"&lt;="&amp;EO$6),0)</f>
        <v>3</v>
      </c>
      <c r="EP129" s="25">
        <f>IF('Lease Cycles'!$C$15&gt;0,COUNTIF('Lease Cycles'!$BG$15:$BM$15,"&lt;="&amp;EP$6),0)</f>
        <v>3</v>
      </c>
      <c r="EQ129" s="25">
        <f>IF('Lease Cycles'!$C$15&gt;0,COUNTIF('Lease Cycles'!$BG$15:$BM$15,"&lt;="&amp;EQ$6),0)</f>
        <v>3</v>
      </c>
      <c r="ER129" s="25">
        <f>IF('Lease Cycles'!$C$15&gt;0,COUNTIF('Lease Cycles'!$BG$15:$BM$15,"&lt;="&amp;ER$6),0)</f>
        <v>3</v>
      </c>
      <c r="ES129" s="25">
        <f>IF('Lease Cycles'!$C$15&gt;0,COUNTIF('Lease Cycles'!$BG$15:$BM$15,"&lt;="&amp;ES$6),0)</f>
        <v>4</v>
      </c>
      <c r="ET129" s="25">
        <f>IF('Lease Cycles'!$C$15&gt;0,COUNTIF('Lease Cycles'!$BG$15:$BM$15,"&lt;="&amp;ET$6),0)</f>
        <v>4</v>
      </c>
    </row>
    <row r="130">
      <c r="A130" s="103">
        <v>8</v>
      </c>
      <c r="B130" s="23" t="str">
        <f>IF('Lease Cycles'!$B$15="","(empty slot)",'Lease Cycles'!$B$15)</f>
        <v>Sunfield Bagels</v>
      </c>
      <c r="C130" s="23" t="s">
        <v>673</v>
      </c>
      <c r="D130" s="104" t="s">
        <v>674</v>
      </c>
      <c r="E130" s="25">
        <f>'Lease Cycles'!$AL$15</f>
        <v>0</v>
      </c>
      <c r="S130" s="25">
        <f>IF(S129=0,-1,S$6-INDEX('Lease Cycles'!$BG$15:$BM$15,1,S129))</f>
        <v>0</v>
      </c>
      <c r="T130" s="25">
        <f>IF(T129=0,-1,T$6-INDEX('Lease Cycles'!$BG$15:$BM$15,1,T129))</f>
        <v>1</v>
      </c>
      <c r="U130" s="25">
        <f>IF(U129=0,-1,U$6-INDEX('Lease Cycles'!$BG$15:$BM$15,1,U129))</f>
        <v>2</v>
      </c>
      <c r="V130" s="25">
        <f>IF(V129=0,-1,V$6-INDEX('Lease Cycles'!$BG$15:$BM$15,1,V129))</f>
        <v>3</v>
      </c>
      <c r="W130" s="25">
        <f>IF(W129=0,-1,W$6-INDEX('Lease Cycles'!$BG$15:$BM$15,1,W129))</f>
        <v>4</v>
      </c>
      <c r="X130" s="25">
        <f>IF(X129=0,-1,X$6-INDEX('Lease Cycles'!$BG$15:$BM$15,1,X129))</f>
        <v>5</v>
      </c>
      <c r="Y130" s="25">
        <f>IF(Y129=0,-1,Y$6-INDEX('Lease Cycles'!$BG$15:$BM$15,1,Y129))</f>
        <v>6</v>
      </c>
      <c r="Z130" s="25">
        <f>IF(Z129=0,-1,Z$6-INDEX('Lease Cycles'!$BG$15:$BM$15,1,Z129))</f>
        <v>7</v>
      </c>
      <c r="AA130" s="25">
        <f>IF(AA129=0,-1,AA$6-INDEX('Lease Cycles'!$BG$15:$BM$15,1,AA129))</f>
        <v>8</v>
      </c>
      <c r="AB130" s="25">
        <f>IF(AB129=0,-1,AB$6-INDEX('Lease Cycles'!$BG$15:$BM$15,1,AB129))</f>
        <v>9</v>
      </c>
      <c r="AC130" s="25">
        <f>IF(AC129=0,-1,AC$6-INDEX('Lease Cycles'!$BG$15:$BM$15,1,AC129))</f>
        <v>10</v>
      </c>
      <c r="AD130" s="25">
        <f>IF(AD129=0,-1,AD$6-INDEX('Lease Cycles'!$BG$15:$BM$15,1,AD129))</f>
        <v>11</v>
      </c>
      <c r="AE130" s="25">
        <f>IF(AE129=0,-1,AE$6-INDEX('Lease Cycles'!$BG$15:$BM$15,1,AE129))</f>
        <v>12</v>
      </c>
      <c r="AF130" s="25">
        <f>IF(AF129=0,-1,AF$6-INDEX('Lease Cycles'!$BG$15:$BM$15,1,AF129))</f>
        <v>13</v>
      </c>
      <c r="AG130" s="25">
        <f>IF(AG129=0,-1,AG$6-INDEX('Lease Cycles'!$BG$15:$BM$15,1,AG129))</f>
        <v>14</v>
      </c>
      <c r="AH130" s="25">
        <f>IF(AH129=0,-1,AH$6-INDEX('Lease Cycles'!$BG$15:$BM$15,1,AH129))</f>
        <v>15</v>
      </c>
      <c r="AI130" s="25">
        <f>IF(AI129=0,-1,AI$6-INDEX('Lease Cycles'!$BG$15:$BM$15,1,AI129))</f>
        <v>16</v>
      </c>
      <c r="AJ130" s="25">
        <f>IF(AJ129=0,-1,AJ$6-INDEX('Lease Cycles'!$BG$15:$BM$15,1,AJ129))</f>
        <v>17</v>
      </c>
      <c r="AK130" s="25">
        <f>IF(AK129=0,-1,AK$6-INDEX('Lease Cycles'!$BG$15:$BM$15,1,AK129))</f>
        <v>18</v>
      </c>
      <c r="AL130" s="25">
        <f>IF(AL129=0,-1,AL$6-INDEX('Lease Cycles'!$BG$15:$BM$15,1,AL129))</f>
        <v>19</v>
      </c>
      <c r="AM130" s="25">
        <f>IF(AM129=0,-1,AM$6-INDEX('Lease Cycles'!$BG$15:$BM$15,1,AM129))</f>
        <v>20</v>
      </c>
      <c r="AN130" s="25">
        <f>IF(AN129=0,-1,AN$6-INDEX('Lease Cycles'!$BG$15:$BM$15,1,AN129))</f>
        <v>21</v>
      </c>
      <c r="AO130" s="25">
        <f>IF(AO129=0,-1,AO$6-INDEX('Lease Cycles'!$BG$15:$BM$15,1,AO129))</f>
        <v>22</v>
      </c>
      <c r="AP130" s="25">
        <f>IF(AP129=0,-1,AP$6-INDEX('Lease Cycles'!$BG$15:$BM$15,1,AP129))</f>
        <v>23</v>
      </c>
      <c r="AQ130" s="25">
        <f>IF(AQ129=0,-1,AQ$6-INDEX('Lease Cycles'!$BG$15:$BM$15,1,AQ129))</f>
        <v>24</v>
      </c>
      <c r="AR130" s="25">
        <f>IF(AR129=0,-1,AR$6-INDEX('Lease Cycles'!$BG$15:$BM$15,1,AR129))</f>
        <v>25</v>
      </c>
      <c r="AS130" s="25">
        <f>IF(AS129=0,-1,AS$6-INDEX('Lease Cycles'!$BG$15:$BM$15,1,AS129))</f>
        <v>26</v>
      </c>
      <c r="AT130" s="25">
        <f>IF(AT129=0,-1,AT$6-INDEX('Lease Cycles'!$BG$15:$BM$15,1,AT129))</f>
        <v>27</v>
      </c>
      <c r="AU130" s="25">
        <f>IF(AU129=0,-1,AU$6-INDEX('Lease Cycles'!$BG$15:$BM$15,1,AU129))</f>
        <v>28</v>
      </c>
      <c r="AV130" s="25">
        <f>IF(AV129=0,-1,AV$6-INDEX('Lease Cycles'!$BG$15:$BM$15,1,AV129))</f>
        <v>29</v>
      </c>
      <c r="AW130" s="25">
        <f>IF(AW129=0,-1,AW$6-INDEX('Lease Cycles'!$BG$15:$BM$15,1,AW129))</f>
        <v>30</v>
      </c>
      <c r="AX130" s="25">
        <f>IF(AX129=0,-1,AX$6-INDEX('Lease Cycles'!$BG$15:$BM$15,1,AX129))</f>
        <v>31</v>
      </c>
      <c r="AY130" s="25">
        <f>IF(AY129=0,-1,AY$6-INDEX('Lease Cycles'!$BG$15:$BM$15,1,AY129))</f>
        <v>32</v>
      </c>
      <c r="AZ130" s="25">
        <f>IF(AZ129=0,-1,AZ$6-INDEX('Lease Cycles'!$BG$15:$BM$15,1,AZ129))</f>
        <v>33</v>
      </c>
      <c r="BA130" s="25">
        <f>IF(BA129=0,-1,BA$6-INDEX('Lease Cycles'!$BG$15:$BM$15,1,BA129))</f>
        <v>34</v>
      </c>
      <c r="BB130" s="25">
        <f>IF(BB129=0,-1,BB$6-INDEX('Lease Cycles'!$BG$15:$BM$15,1,BB129))</f>
        <v>35</v>
      </c>
      <c r="BC130" s="25">
        <f>IF(BC129=0,-1,BC$6-INDEX('Lease Cycles'!$BG$15:$BM$15,1,BC129))</f>
        <v>36</v>
      </c>
      <c r="BD130" s="25">
        <f>IF(BD129=0,-1,BD$6-INDEX('Lease Cycles'!$BG$15:$BM$15,1,BD129))</f>
        <v>37</v>
      </c>
      <c r="BE130" s="25">
        <f>IF(BE129=0,-1,BE$6-INDEX('Lease Cycles'!$BG$15:$BM$15,1,BE129))</f>
        <v>38</v>
      </c>
      <c r="BF130" s="25">
        <f>IF(BF129=0,-1,BF$6-INDEX('Lease Cycles'!$BG$15:$BM$15,1,BF129))</f>
        <v>39</v>
      </c>
      <c r="BG130" s="25">
        <f>IF(BG129=0,-1,BG$6-INDEX('Lease Cycles'!$BG$15:$BM$15,1,BG129))</f>
        <v>40</v>
      </c>
      <c r="BH130" s="25">
        <f>IF(BH129=0,-1,BH$6-INDEX('Lease Cycles'!$BG$15:$BM$15,1,BH129))</f>
        <v>0</v>
      </c>
      <c r="BI130" s="25">
        <f>IF(BI129=0,-1,BI$6-INDEX('Lease Cycles'!$BG$15:$BM$15,1,BI129))</f>
        <v>0</v>
      </c>
      <c r="BJ130" s="25">
        <f>IF(BJ129=0,-1,BJ$6-INDEX('Lease Cycles'!$BG$15:$BM$15,1,BJ129))</f>
        <v>1</v>
      </c>
      <c r="BK130" s="25">
        <f>IF(BK129=0,-1,BK$6-INDEX('Lease Cycles'!$BG$15:$BM$15,1,BK129))</f>
        <v>2</v>
      </c>
      <c r="BL130" s="25">
        <f>IF(BL129=0,-1,BL$6-INDEX('Lease Cycles'!$BG$15:$BM$15,1,BL129))</f>
        <v>3</v>
      </c>
      <c r="BM130" s="25">
        <f>IF(BM129=0,-1,BM$6-INDEX('Lease Cycles'!$BG$15:$BM$15,1,BM129))</f>
        <v>4</v>
      </c>
      <c r="BN130" s="25">
        <f>IF(BN129=0,-1,BN$6-INDEX('Lease Cycles'!$BG$15:$BM$15,1,BN129))</f>
        <v>5</v>
      </c>
      <c r="BO130" s="25">
        <f>IF(BO129=0,-1,BO$6-INDEX('Lease Cycles'!$BG$15:$BM$15,1,BO129))</f>
        <v>6</v>
      </c>
      <c r="BP130" s="25">
        <f>IF(BP129=0,-1,BP$6-INDEX('Lease Cycles'!$BG$15:$BM$15,1,BP129))</f>
        <v>7</v>
      </c>
      <c r="BQ130" s="25">
        <f>IF(BQ129=0,-1,BQ$6-INDEX('Lease Cycles'!$BG$15:$BM$15,1,BQ129))</f>
        <v>8</v>
      </c>
      <c r="BR130" s="25">
        <f>IF(BR129=0,-1,BR$6-INDEX('Lease Cycles'!$BG$15:$BM$15,1,BR129))</f>
        <v>9</v>
      </c>
      <c r="BS130" s="25">
        <f>IF(BS129=0,-1,BS$6-INDEX('Lease Cycles'!$BG$15:$BM$15,1,BS129))</f>
        <v>10</v>
      </c>
      <c r="BT130" s="25">
        <f>IF(BT129=0,-1,BT$6-INDEX('Lease Cycles'!$BG$15:$BM$15,1,BT129))</f>
        <v>11</v>
      </c>
      <c r="BU130" s="25">
        <f>IF(BU129=0,-1,BU$6-INDEX('Lease Cycles'!$BG$15:$BM$15,1,BU129))</f>
        <v>12</v>
      </c>
      <c r="BV130" s="25">
        <f>IF(BV129=0,-1,BV$6-INDEX('Lease Cycles'!$BG$15:$BM$15,1,BV129))</f>
        <v>13</v>
      </c>
      <c r="BW130" s="25">
        <f>IF(BW129=0,-1,BW$6-INDEX('Lease Cycles'!$BG$15:$BM$15,1,BW129))</f>
        <v>14</v>
      </c>
      <c r="BX130" s="25">
        <f>IF(BX129=0,-1,BX$6-INDEX('Lease Cycles'!$BG$15:$BM$15,1,BX129))</f>
        <v>15</v>
      </c>
      <c r="BY130" s="25">
        <f>IF(BY129=0,-1,BY$6-INDEX('Lease Cycles'!$BG$15:$BM$15,1,BY129))</f>
        <v>16</v>
      </c>
      <c r="BZ130" s="25">
        <f>IF(BZ129=0,-1,BZ$6-INDEX('Lease Cycles'!$BG$15:$BM$15,1,BZ129))</f>
        <v>17</v>
      </c>
      <c r="CA130" s="25">
        <f>IF(CA129=0,-1,CA$6-INDEX('Lease Cycles'!$BG$15:$BM$15,1,CA129))</f>
        <v>18</v>
      </c>
      <c r="CB130" s="25">
        <f>IF(CB129=0,-1,CB$6-INDEX('Lease Cycles'!$BG$15:$BM$15,1,CB129))</f>
        <v>19</v>
      </c>
      <c r="CC130" s="25">
        <f>IF(CC129=0,-1,CC$6-INDEX('Lease Cycles'!$BG$15:$BM$15,1,CC129))</f>
        <v>20</v>
      </c>
      <c r="CD130" s="25">
        <f>IF(CD129=0,-1,CD$6-INDEX('Lease Cycles'!$BG$15:$BM$15,1,CD129))</f>
        <v>21</v>
      </c>
      <c r="CE130" s="25">
        <f>IF(CE129=0,-1,CE$6-INDEX('Lease Cycles'!$BG$15:$BM$15,1,CE129))</f>
        <v>22</v>
      </c>
      <c r="CF130" s="25">
        <f>IF(CF129=0,-1,CF$6-INDEX('Lease Cycles'!$BG$15:$BM$15,1,CF129))</f>
        <v>23</v>
      </c>
      <c r="CG130" s="25">
        <f>IF(CG129=0,-1,CG$6-INDEX('Lease Cycles'!$BG$15:$BM$15,1,CG129))</f>
        <v>24</v>
      </c>
      <c r="CH130" s="25">
        <f>IF(CH129=0,-1,CH$6-INDEX('Lease Cycles'!$BG$15:$BM$15,1,CH129))</f>
        <v>25</v>
      </c>
      <c r="CI130" s="25">
        <f>IF(CI129=0,-1,CI$6-INDEX('Lease Cycles'!$BG$15:$BM$15,1,CI129))</f>
        <v>26</v>
      </c>
      <c r="CJ130" s="25">
        <f>IF(CJ129=0,-1,CJ$6-INDEX('Lease Cycles'!$BG$15:$BM$15,1,CJ129))</f>
        <v>27</v>
      </c>
      <c r="CK130" s="25">
        <f>IF(CK129=0,-1,CK$6-INDEX('Lease Cycles'!$BG$15:$BM$15,1,CK129))</f>
        <v>28</v>
      </c>
      <c r="CL130" s="25">
        <f>IF(CL129=0,-1,CL$6-INDEX('Lease Cycles'!$BG$15:$BM$15,1,CL129))</f>
        <v>29</v>
      </c>
      <c r="CM130" s="25">
        <f>IF(CM129=0,-1,CM$6-INDEX('Lease Cycles'!$BG$15:$BM$15,1,CM129))</f>
        <v>30</v>
      </c>
      <c r="CN130" s="25">
        <f>IF(CN129=0,-1,CN$6-INDEX('Lease Cycles'!$BG$15:$BM$15,1,CN129))</f>
        <v>31</v>
      </c>
      <c r="CO130" s="25">
        <f>IF(CO129=0,-1,CO$6-INDEX('Lease Cycles'!$BG$15:$BM$15,1,CO129))</f>
        <v>32</v>
      </c>
      <c r="CP130" s="25">
        <f>IF(CP129=0,-1,CP$6-INDEX('Lease Cycles'!$BG$15:$BM$15,1,CP129))</f>
        <v>33</v>
      </c>
      <c r="CQ130" s="25">
        <f>IF(CQ129=0,-1,CQ$6-INDEX('Lease Cycles'!$BG$15:$BM$15,1,CQ129))</f>
        <v>34</v>
      </c>
      <c r="CR130" s="25">
        <f>IF(CR129=0,-1,CR$6-INDEX('Lease Cycles'!$BG$15:$BM$15,1,CR129))</f>
        <v>35</v>
      </c>
      <c r="CS130" s="25">
        <f>IF(CS129=0,-1,CS$6-INDEX('Lease Cycles'!$BG$15:$BM$15,1,CS129))</f>
        <v>36</v>
      </c>
      <c r="CT130" s="25">
        <f>IF(CT129=0,-1,CT$6-INDEX('Lease Cycles'!$BG$15:$BM$15,1,CT129))</f>
        <v>37</v>
      </c>
      <c r="CU130" s="25">
        <f>IF(CU129=0,-1,CU$6-INDEX('Lease Cycles'!$BG$15:$BM$15,1,CU129))</f>
        <v>38</v>
      </c>
      <c r="CV130" s="25">
        <f>IF(CV129=0,-1,CV$6-INDEX('Lease Cycles'!$BG$15:$BM$15,1,CV129))</f>
        <v>39</v>
      </c>
      <c r="CW130" s="25">
        <f>IF(CW129=0,-1,CW$6-INDEX('Lease Cycles'!$BG$15:$BM$15,1,CW129))</f>
        <v>40</v>
      </c>
      <c r="CX130" s="25">
        <f>IF(CX129=0,-1,CX$6-INDEX('Lease Cycles'!$BG$15:$BM$15,1,CX129))</f>
        <v>41</v>
      </c>
      <c r="CY130" s="25">
        <f>IF(CY129=0,-1,CY$6-INDEX('Lease Cycles'!$BG$15:$BM$15,1,CY129))</f>
        <v>42</v>
      </c>
      <c r="CZ130" s="25">
        <f>IF(CZ129=0,-1,CZ$6-INDEX('Lease Cycles'!$BG$15:$BM$15,1,CZ129))</f>
        <v>43</v>
      </c>
      <c r="DA130" s="25">
        <f>IF(DA129=0,-1,DA$6-INDEX('Lease Cycles'!$BG$15:$BM$15,1,DA129))</f>
        <v>44</v>
      </c>
      <c r="DB130" s="25">
        <f>IF(DB129=0,-1,DB$6-INDEX('Lease Cycles'!$BG$15:$BM$15,1,DB129))</f>
        <v>45</v>
      </c>
      <c r="DC130" s="25">
        <f>IF(DC129=0,-1,DC$6-INDEX('Lease Cycles'!$BG$15:$BM$15,1,DC129))</f>
        <v>46</v>
      </c>
      <c r="DD130" s="25">
        <f>IF(DD129=0,-1,DD$6-INDEX('Lease Cycles'!$BG$15:$BM$15,1,DD129))</f>
        <v>47</v>
      </c>
      <c r="DE130" s="25">
        <f>IF(DE129=0,-1,DE$6-INDEX('Lease Cycles'!$BG$15:$BM$15,1,DE129))</f>
        <v>48</v>
      </c>
      <c r="DF130" s="25">
        <f>IF(DF129=0,-1,DF$6-INDEX('Lease Cycles'!$BG$15:$BM$15,1,DF129))</f>
        <v>49</v>
      </c>
      <c r="DG130" s="25">
        <f>IF(DG129=0,-1,DG$6-INDEX('Lease Cycles'!$BG$15:$BM$15,1,DG129))</f>
        <v>50</v>
      </c>
      <c r="DH130" s="25">
        <f>IF(DH129=0,-1,DH$6-INDEX('Lease Cycles'!$BG$15:$BM$15,1,DH129))</f>
        <v>51</v>
      </c>
      <c r="DI130" s="25">
        <f>IF(DI129=0,-1,DI$6-INDEX('Lease Cycles'!$BG$15:$BM$15,1,DI129))</f>
        <v>52</v>
      </c>
      <c r="DJ130" s="25">
        <f>IF(DJ129=0,-1,DJ$6-INDEX('Lease Cycles'!$BG$15:$BM$15,1,DJ129))</f>
        <v>53</v>
      </c>
      <c r="DK130" s="25">
        <f>IF(DK129=0,-1,DK$6-INDEX('Lease Cycles'!$BG$15:$BM$15,1,DK129))</f>
        <v>54</v>
      </c>
      <c r="DL130" s="25">
        <f>IF(DL129=0,-1,DL$6-INDEX('Lease Cycles'!$BG$15:$BM$15,1,DL129))</f>
        <v>55</v>
      </c>
      <c r="DM130" s="25">
        <f>IF(DM129=0,-1,DM$6-INDEX('Lease Cycles'!$BG$15:$BM$15,1,DM129))</f>
        <v>56</v>
      </c>
      <c r="DN130" s="25">
        <f>IF(DN129=0,-1,DN$6-INDEX('Lease Cycles'!$BG$15:$BM$15,1,DN129))</f>
        <v>57</v>
      </c>
      <c r="DO130" s="25">
        <f>IF(DO129=0,-1,DO$6-INDEX('Lease Cycles'!$BG$15:$BM$15,1,DO129))</f>
        <v>58</v>
      </c>
      <c r="DP130" s="25">
        <f>IF(DP129=0,-1,DP$6-INDEX('Lease Cycles'!$BG$15:$BM$15,1,DP129))</f>
        <v>59</v>
      </c>
      <c r="DQ130" s="25">
        <f>IF(DQ129=0,-1,DQ$6-INDEX('Lease Cycles'!$BG$15:$BM$15,1,DQ129))</f>
        <v>60</v>
      </c>
      <c r="DR130" s="25">
        <f>IF(DR129=0,-1,DR$6-INDEX('Lease Cycles'!$BG$15:$BM$15,1,DR129))</f>
        <v>61</v>
      </c>
      <c r="DS130" s="25">
        <f>IF(DS129=0,-1,DS$6-INDEX('Lease Cycles'!$BG$15:$BM$15,1,DS129))</f>
        <v>62</v>
      </c>
      <c r="DT130" s="25">
        <f>IF(DT129=0,-1,DT$6-INDEX('Lease Cycles'!$BG$15:$BM$15,1,DT129))</f>
        <v>63</v>
      </c>
      <c r="DU130" s="25">
        <f>IF(DU129=0,-1,DU$6-INDEX('Lease Cycles'!$BG$15:$BM$15,1,DU129))</f>
        <v>64</v>
      </c>
      <c r="DV130" s="25">
        <f>IF(DV129=0,-1,DV$6-INDEX('Lease Cycles'!$BG$15:$BM$15,1,DV129))</f>
        <v>65</v>
      </c>
      <c r="DW130" s="25">
        <f>IF(DW129=0,-1,DW$6-INDEX('Lease Cycles'!$BG$15:$BM$15,1,DW129))</f>
        <v>66</v>
      </c>
      <c r="DX130" s="25">
        <f>IF(DX129=0,-1,DX$6-INDEX('Lease Cycles'!$BG$15:$BM$15,1,DX129))</f>
        <v>67</v>
      </c>
      <c r="DY130" s="25">
        <f>IF(DY129=0,-1,DY$6-INDEX('Lease Cycles'!$BG$15:$BM$15,1,DY129))</f>
        <v>68</v>
      </c>
      <c r="DZ130" s="25">
        <f>IF(DZ129=0,-1,DZ$6-INDEX('Lease Cycles'!$BG$15:$BM$15,1,DZ129))</f>
        <v>69</v>
      </c>
      <c r="EA130" s="25">
        <f>IF(EA129=0,-1,EA$6-INDEX('Lease Cycles'!$BG$15:$BM$15,1,EA129))</f>
        <v>70</v>
      </c>
      <c r="EB130" s="25">
        <f>IF(EB129=0,-1,EB$6-INDEX('Lease Cycles'!$BG$15:$BM$15,1,EB129))</f>
        <v>71</v>
      </c>
      <c r="EC130" s="25">
        <f>IF(EC129=0,-1,EC$6-INDEX('Lease Cycles'!$BG$15:$BM$15,1,EC129))</f>
        <v>72</v>
      </c>
      <c r="ED130" s="25">
        <f>IF(ED129=0,-1,ED$6-INDEX('Lease Cycles'!$BG$15:$BM$15,1,ED129))</f>
        <v>73</v>
      </c>
      <c r="EE130" s="25">
        <f>IF(EE129=0,-1,EE$6-INDEX('Lease Cycles'!$BG$15:$BM$15,1,EE129))</f>
        <v>74</v>
      </c>
      <c r="EF130" s="25">
        <f>IF(EF129=0,-1,EF$6-INDEX('Lease Cycles'!$BG$15:$BM$15,1,EF129))</f>
        <v>75</v>
      </c>
      <c r="EG130" s="25">
        <f>IF(EG129=0,-1,EG$6-INDEX('Lease Cycles'!$BG$15:$BM$15,1,EG129))</f>
        <v>76</v>
      </c>
      <c r="EH130" s="25">
        <f>IF(EH129=0,-1,EH$6-INDEX('Lease Cycles'!$BG$15:$BM$15,1,EH129))</f>
        <v>77</v>
      </c>
      <c r="EI130" s="25">
        <f>IF(EI129=0,-1,EI$6-INDEX('Lease Cycles'!$BG$15:$BM$15,1,EI129))</f>
        <v>78</v>
      </c>
      <c r="EJ130" s="25">
        <f>IF(EJ129=0,-1,EJ$6-INDEX('Lease Cycles'!$BG$15:$BM$15,1,EJ129))</f>
        <v>79</v>
      </c>
      <c r="EK130" s="25">
        <f>IF(EK129=0,-1,EK$6-INDEX('Lease Cycles'!$BG$15:$BM$15,1,EK129))</f>
        <v>80</v>
      </c>
      <c r="EL130" s="25">
        <f>IF(EL129=0,-1,EL$6-INDEX('Lease Cycles'!$BG$15:$BM$15,1,EL129))</f>
        <v>81</v>
      </c>
      <c r="EM130" s="25">
        <f>IF(EM129=0,-1,EM$6-INDEX('Lease Cycles'!$BG$15:$BM$15,1,EM129))</f>
        <v>82</v>
      </c>
      <c r="EN130" s="25">
        <f>IF(EN129=0,-1,EN$6-INDEX('Lease Cycles'!$BG$15:$BM$15,1,EN129))</f>
        <v>83</v>
      </c>
      <c r="EO130" s="25">
        <f>IF(EO129=0,-1,EO$6-INDEX('Lease Cycles'!$BG$15:$BM$15,1,EO129))</f>
        <v>84</v>
      </c>
      <c r="EP130" s="25">
        <f>IF(EP129=0,-1,EP$6-INDEX('Lease Cycles'!$BG$15:$BM$15,1,EP129))</f>
        <v>85</v>
      </c>
      <c r="EQ130" s="25">
        <f>IF(EQ129=0,-1,EQ$6-INDEX('Lease Cycles'!$BG$15:$BM$15,1,EQ129))</f>
        <v>86</v>
      </c>
      <c r="ER130" s="25">
        <f>IF(ER129=0,-1,ER$6-INDEX('Lease Cycles'!$BG$15:$BM$15,1,ER129))</f>
        <v>87</v>
      </c>
      <c r="ES130" s="25">
        <f>IF(ES129=0,-1,ES$6-INDEX('Lease Cycles'!$BG$15:$BM$15,1,ES129))</f>
        <v>0</v>
      </c>
      <c r="ET130" s="25">
        <f>IF(ET129=0,-1,ET$6-INDEX('Lease Cycles'!$BG$15:$BM$15,1,ET129))</f>
        <v>1</v>
      </c>
    </row>
    <row r="131">
      <c r="A131" s="103">
        <v>8</v>
      </c>
      <c r="B131" s="23" t="str">
        <f>IF('Lease Cycles'!$B$15="","(empty slot)",'Lease Cycles'!$B$15)</f>
        <v>Sunfield Bagels</v>
      </c>
      <c r="C131" s="23" t="s">
        <v>675</v>
      </c>
      <c r="D131" s="104" t="s">
        <v>676</v>
      </c>
      <c r="E131" s="25">
        <f>'Lease Cycles'!$AL$15</f>
        <v>0</v>
      </c>
      <c r="S131" s="25">
        <f>IF(S129=0,0,IF(S130&lt;INDEX('Lease Cycles'!$BN$15:$BT$15,1,S129),1,0))</f>
        <v>1</v>
      </c>
      <c r="T131" s="25">
        <f>IF(T129=0,0,IF(T130&lt;INDEX('Lease Cycles'!$BN$15:$BT$15,1,T129),1,0))</f>
        <v>1</v>
      </c>
      <c r="U131" s="25">
        <f>IF(U129=0,0,IF(U130&lt;INDEX('Lease Cycles'!$BN$15:$BT$15,1,U129),1,0))</f>
        <v>1</v>
      </c>
      <c r="V131" s="25">
        <f>IF(V129=0,0,IF(V130&lt;INDEX('Lease Cycles'!$BN$15:$BT$15,1,V129),1,0))</f>
        <v>1</v>
      </c>
      <c r="W131" s="25">
        <f>IF(W129=0,0,IF(W130&lt;INDEX('Lease Cycles'!$BN$15:$BT$15,1,W129),1,0))</f>
        <v>1</v>
      </c>
      <c r="X131" s="25">
        <f>IF(X129=0,0,IF(X130&lt;INDEX('Lease Cycles'!$BN$15:$BT$15,1,X129),1,0))</f>
        <v>1</v>
      </c>
      <c r="Y131" s="25">
        <f>IF(Y129=0,0,IF(Y130&lt;INDEX('Lease Cycles'!$BN$15:$BT$15,1,Y129),1,0))</f>
        <v>1</v>
      </c>
      <c r="Z131" s="25">
        <f>IF(Z129=0,0,IF(Z130&lt;INDEX('Lease Cycles'!$BN$15:$BT$15,1,Z129),1,0))</f>
        <v>1</v>
      </c>
      <c r="AA131" s="25">
        <f>IF(AA129=0,0,IF(AA130&lt;INDEX('Lease Cycles'!$BN$15:$BT$15,1,AA129),1,0))</f>
        <v>1</v>
      </c>
      <c r="AB131" s="25">
        <f>IF(AB129=0,0,IF(AB130&lt;INDEX('Lease Cycles'!$BN$15:$BT$15,1,AB129),1,0))</f>
        <v>1</v>
      </c>
      <c r="AC131" s="25">
        <f>IF(AC129=0,0,IF(AC130&lt;INDEX('Lease Cycles'!$BN$15:$BT$15,1,AC129),1,0))</f>
        <v>1</v>
      </c>
      <c r="AD131" s="25">
        <f>IF(AD129=0,0,IF(AD130&lt;INDEX('Lease Cycles'!$BN$15:$BT$15,1,AD129),1,0))</f>
        <v>1</v>
      </c>
      <c r="AE131" s="25">
        <f>IF(AE129=0,0,IF(AE130&lt;INDEX('Lease Cycles'!$BN$15:$BT$15,1,AE129),1,0))</f>
        <v>1</v>
      </c>
      <c r="AF131" s="25">
        <f>IF(AF129=0,0,IF(AF130&lt;INDEX('Lease Cycles'!$BN$15:$BT$15,1,AF129),1,0))</f>
        <v>1</v>
      </c>
      <c r="AG131" s="25">
        <f>IF(AG129=0,0,IF(AG130&lt;INDEX('Lease Cycles'!$BN$15:$BT$15,1,AG129),1,0))</f>
        <v>1</v>
      </c>
      <c r="AH131" s="25">
        <f>IF(AH129=0,0,IF(AH130&lt;INDEX('Lease Cycles'!$BN$15:$BT$15,1,AH129),1,0))</f>
        <v>1</v>
      </c>
      <c r="AI131" s="25">
        <f>IF(AI129=0,0,IF(AI130&lt;INDEX('Lease Cycles'!$BN$15:$BT$15,1,AI129),1,0))</f>
        <v>1</v>
      </c>
      <c r="AJ131" s="25">
        <f>IF(AJ129=0,0,IF(AJ130&lt;INDEX('Lease Cycles'!$BN$15:$BT$15,1,AJ129),1,0))</f>
        <v>1</v>
      </c>
      <c r="AK131" s="25">
        <f>IF(AK129=0,0,IF(AK130&lt;INDEX('Lease Cycles'!$BN$15:$BT$15,1,AK129),1,0))</f>
        <v>1</v>
      </c>
      <c r="AL131" s="25">
        <f>IF(AL129=0,0,IF(AL130&lt;INDEX('Lease Cycles'!$BN$15:$BT$15,1,AL129),1,0))</f>
        <v>1</v>
      </c>
      <c r="AM131" s="25">
        <f>IF(AM129=0,0,IF(AM130&lt;INDEX('Lease Cycles'!$BN$15:$BT$15,1,AM129),1,0))</f>
        <v>1</v>
      </c>
      <c r="AN131" s="25">
        <f>IF(AN129=0,0,IF(AN130&lt;INDEX('Lease Cycles'!$BN$15:$BT$15,1,AN129),1,0))</f>
        <v>1</v>
      </c>
      <c r="AO131" s="25">
        <f>IF(AO129=0,0,IF(AO130&lt;INDEX('Lease Cycles'!$BN$15:$BT$15,1,AO129),1,0))</f>
        <v>1</v>
      </c>
      <c r="AP131" s="25">
        <f>IF(AP129=0,0,IF(AP130&lt;INDEX('Lease Cycles'!$BN$15:$BT$15,1,AP129),1,0))</f>
        <v>1</v>
      </c>
      <c r="AQ131" s="25">
        <f>IF(AQ129=0,0,IF(AQ130&lt;INDEX('Lease Cycles'!$BN$15:$BT$15,1,AQ129),1,0))</f>
        <v>1</v>
      </c>
      <c r="AR131" s="25">
        <f>IF(AR129=0,0,IF(AR130&lt;INDEX('Lease Cycles'!$BN$15:$BT$15,1,AR129),1,0))</f>
        <v>1</v>
      </c>
      <c r="AS131" s="25">
        <f>IF(AS129=0,0,IF(AS130&lt;INDEX('Lease Cycles'!$BN$15:$BT$15,1,AS129),1,0))</f>
        <v>1</v>
      </c>
      <c r="AT131" s="25">
        <f>IF(AT129=0,0,IF(AT130&lt;INDEX('Lease Cycles'!$BN$15:$BT$15,1,AT129),1,0))</f>
        <v>1</v>
      </c>
      <c r="AU131" s="25">
        <f>IF(AU129=0,0,IF(AU130&lt;INDEX('Lease Cycles'!$BN$15:$BT$15,1,AU129),1,0))</f>
        <v>1</v>
      </c>
      <c r="AV131" s="25">
        <f>IF(AV129=0,0,IF(AV130&lt;INDEX('Lease Cycles'!$BN$15:$BT$15,1,AV129),1,0))</f>
        <v>1</v>
      </c>
      <c r="AW131" s="25">
        <f>IF(AW129=0,0,IF(AW130&lt;INDEX('Lease Cycles'!$BN$15:$BT$15,1,AW129),1,0))</f>
        <v>1</v>
      </c>
      <c r="AX131" s="25">
        <f>IF(AX129=0,0,IF(AX130&lt;INDEX('Lease Cycles'!$BN$15:$BT$15,1,AX129),1,0))</f>
        <v>1</v>
      </c>
      <c r="AY131" s="25">
        <f>IF(AY129=0,0,IF(AY130&lt;INDEX('Lease Cycles'!$BN$15:$BT$15,1,AY129),1,0))</f>
        <v>1</v>
      </c>
      <c r="AZ131" s="25">
        <f>IF(AZ129=0,0,IF(AZ130&lt;INDEX('Lease Cycles'!$BN$15:$BT$15,1,AZ129),1,0))</f>
        <v>1</v>
      </c>
      <c r="BA131" s="25">
        <f>IF(BA129=0,0,IF(BA130&lt;INDEX('Lease Cycles'!$BN$15:$BT$15,1,BA129),1,0))</f>
        <v>1</v>
      </c>
      <c r="BB131" s="25">
        <f>IF(BB129=0,0,IF(BB130&lt;INDEX('Lease Cycles'!$BN$15:$BT$15,1,BB129),1,0))</f>
        <v>1</v>
      </c>
      <c r="BC131" s="25">
        <f>IF(BC129=0,0,IF(BC130&lt;INDEX('Lease Cycles'!$BN$15:$BT$15,1,BC129),1,0))</f>
        <v>1</v>
      </c>
      <c r="BD131" s="25">
        <f>IF(BD129=0,0,IF(BD130&lt;INDEX('Lease Cycles'!$BN$15:$BT$15,1,BD129),1,0))</f>
        <v>1</v>
      </c>
      <c r="BE131" s="25">
        <f>IF(BE129=0,0,IF(BE130&lt;INDEX('Lease Cycles'!$BN$15:$BT$15,1,BE129),1,0))</f>
        <v>1</v>
      </c>
      <c r="BF131" s="25">
        <f>IF(BF129=0,0,IF(BF130&lt;INDEX('Lease Cycles'!$BN$15:$BT$15,1,BF129),1,0))</f>
        <v>1</v>
      </c>
      <c r="BG131" s="25">
        <f>IF(BG129=0,0,IF(BG130&lt;INDEX('Lease Cycles'!$BN$15:$BT$15,1,BG129),1,0))</f>
        <v>1</v>
      </c>
      <c r="BH131" s="25">
        <f>IF(BH129=0,0,IF(BH130&lt;INDEX('Lease Cycles'!$BN$15:$BT$15,1,BH129),1,0))</f>
        <v>0</v>
      </c>
      <c r="BI131" s="25">
        <f>IF(BI129=0,0,IF(BI130&lt;INDEX('Lease Cycles'!$BN$15:$BT$15,1,BI129),1,0))</f>
        <v>1</v>
      </c>
      <c r="BJ131" s="25">
        <f>IF(BJ129=0,0,IF(BJ130&lt;INDEX('Lease Cycles'!$BN$15:$BT$15,1,BJ129),1,0))</f>
        <v>1</v>
      </c>
      <c r="BK131" s="25">
        <f>IF(BK129=0,0,IF(BK130&lt;INDEX('Lease Cycles'!$BN$15:$BT$15,1,BK129),1,0))</f>
        <v>1</v>
      </c>
      <c r="BL131" s="25">
        <f>IF(BL129=0,0,IF(BL130&lt;INDEX('Lease Cycles'!$BN$15:$BT$15,1,BL129),1,0))</f>
        <v>1</v>
      </c>
      <c r="BM131" s="25">
        <f>IF(BM129=0,0,IF(BM130&lt;INDEX('Lease Cycles'!$BN$15:$BT$15,1,BM129),1,0))</f>
        <v>1</v>
      </c>
      <c r="BN131" s="25">
        <f>IF(BN129=0,0,IF(BN130&lt;INDEX('Lease Cycles'!$BN$15:$BT$15,1,BN129),1,0))</f>
        <v>1</v>
      </c>
      <c r="BO131" s="25">
        <f>IF(BO129=0,0,IF(BO130&lt;INDEX('Lease Cycles'!$BN$15:$BT$15,1,BO129),1,0))</f>
        <v>1</v>
      </c>
      <c r="BP131" s="25">
        <f>IF(BP129=0,0,IF(BP130&lt;INDEX('Lease Cycles'!$BN$15:$BT$15,1,BP129),1,0))</f>
        <v>1</v>
      </c>
      <c r="BQ131" s="25">
        <f>IF(BQ129=0,0,IF(BQ130&lt;INDEX('Lease Cycles'!$BN$15:$BT$15,1,BQ129),1,0))</f>
        <v>1</v>
      </c>
      <c r="BR131" s="25">
        <f>IF(BR129=0,0,IF(BR130&lt;INDEX('Lease Cycles'!$BN$15:$BT$15,1,BR129),1,0))</f>
        <v>1</v>
      </c>
      <c r="BS131" s="25">
        <f>IF(BS129=0,0,IF(BS130&lt;INDEX('Lease Cycles'!$BN$15:$BT$15,1,BS129),1,0))</f>
        <v>1</v>
      </c>
      <c r="BT131" s="25">
        <f>IF(BT129=0,0,IF(BT130&lt;INDEX('Lease Cycles'!$BN$15:$BT$15,1,BT129),1,0))</f>
        <v>1</v>
      </c>
      <c r="BU131" s="25">
        <f>IF(BU129=0,0,IF(BU130&lt;INDEX('Lease Cycles'!$BN$15:$BT$15,1,BU129),1,0))</f>
        <v>1</v>
      </c>
      <c r="BV131" s="25">
        <f>IF(BV129=0,0,IF(BV130&lt;INDEX('Lease Cycles'!$BN$15:$BT$15,1,BV129),1,0))</f>
        <v>1</v>
      </c>
      <c r="BW131" s="25">
        <f>IF(BW129=0,0,IF(BW130&lt;INDEX('Lease Cycles'!$BN$15:$BT$15,1,BW129),1,0))</f>
        <v>1</v>
      </c>
      <c r="BX131" s="25">
        <f>IF(BX129=0,0,IF(BX130&lt;INDEX('Lease Cycles'!$BN$15:$BT$15,1,BX129),1,0))</f>
        <v>1</v>
      </c>
      <c r="BY131" s="25">
        <f>IF(BY129=0,0,IF(BY130&lt;INDEX('Lease Cycles'!$BN$15:$BT$15,1,BY129),1,0))</f>
        <v>1</v>
      </c>
      <c r="BZ131" s="25">
        <f>IF(BZ129=0,0,IF(BZ130&lt;INDEX('Lease Cycles'!$BN$15:$BT$15,1,BZ129),1,0))</f>
        <v>1</v>
      </c>
      <c r="CA131" s="25">
        <f>IF(CA129=0,0,IF(CA130&lt;INDEX('Lease Cycles'!$BN$15:$BT$15,1,CA129),1,0))</f>
        <v>1</v>
      </c>
      <c r="CB131" s="25">
        <f>IF(CB129=0,0,IF(CB130&lt;INDEX('Lease Cycles'!$BN$15:$BT$15,1,CB129),1,0))</f>
        <v>1</v>
      </c>
      <c r="CC131" s="25">
        <f>IF(CC129=0,0,IF(CC130&lt;INDEX('Lease Cycles'!$BN$15:$BT$15,1,CC129),1,0))</f>
        <v>1</v>
      </c>
      <c r="CD131" s="25">
        <f>IF(CD129=0,0,IF(CD130&lt;INDEX('Lease Cycles'!$BN$15:$BT$15,1,CD129),1,0))</f>
        <v>1</v>
      </c>
      <c r="CE131" s="25">
        <f>IF(CE129=0,0,IF(CE130&lt;INDEX('Lease Cycles'!$BN$15:$BT$15,1,CE129),1,0))</f>
        <v>1</v>
      </c>
      <c r="CF131" s="25">
        <f>IF(CF129=0,0,IF(CF130&lt;INDEX('Lease Cycles'!$BN$15:$BT$15,1,CF129),1,0))</f>
        <v>1</v>
      </c>
      <c r="CG131" s="25">
        <f>IF(CG129=0,0,IF(CG130&lt;INDEX('Lease Cycles'!$BN$15:$BT$15,1,CG129),1,0))</f>
        <v>1</v>
      </c>
      <c r="CH131" s="25">
        <f>IF(CH129=0,0,IF(CH130&lt;INDEX('Lease Cycles'!$BN$15:$BT$15,1,CH129),1,0))</f>
        <v>1</v>
      </c>
      <c r="CI131" s="25">
        <f>IF(CI129=0,0,IF(CI130&lt;INDEX('Lease Cycles'!$BN$15:$BT$15,1,CI129),1,0))</f>
        <v>1</v>
      </c>
      <c r="CJ131" s="25">
        <f>IF(CJ129=0,0,IF(CJ130&lt;INDEX('Lease Cycles'!$BN$15:$BT$15,1,CJ129),1,0))</f>
        <v>1</v>
      </c>
      <c r="CK131" s="25">
        <f>IF(CK129=0,0,IF(CK130&lt;INDEX('Lease Cycles'!$BN$15:$BT$15,1,CK129),1,0))</f>
        <v>1</v>
      </c>
      <c r="CL131" s="25">
        <f>IF(CL129=0,0,IF(CL130&lt;INDEX('Lease Cycles'!$BN$15:$BT$15,1,CL129),1,0))</f>
        <v>1</v>
      </c>
      <c r="CM131" s="25">
        <f>IF(CM129=0,0,IF(CM130&lt;INDEX('Lease Cycles'!$BN$15:$BT$15,1,CM129),1,0))</f>
        <v>1</v>
      </c>
      <c r="CN131" s="25">
        <f>IF(CN129=0,0,IF(CN130&lt;INDEX('Lease Cycles'!$BN$15:$BT$15,1,CN129),1,0))</f>
        <v>1</v>
      </c>
      <c r="CO131" s="25">
        <f>IF(CO129=0,0,IF(CO130&lt;INDEX('Lease Cycles'!$BN$15:$BT$15,1,CO129),1,0))</f>
        <v>1</v>
      </c>
      <c r="CP131" s="25">
        <f>IF(CP129=0,0,IF(CP130&lt;INDEX('Lease Cycles'!$BN$15:$BT$15,1,CP129),1,0))</f>
        <v>1</v>
      </c>
      <c r="CQ131" s="25">
        <f>IF(CQ129=0,0,IF(CQ130&lt;INDEX('Lease Cycles'!$BN$15:$BT$15,1,CQ129),1,0))</f>
        <v>1</v>
      </c>
      <c r="CR131" s="25">
        <f>IF(CR129=0,0,IF(CR130&lt;INDEX('Lease Cycles'!$BN$15:$BT$15,1,CR129),1,0))</f>
        <v>1</v>
      </c>
      <c r="CS131" s="25">
        <f>IF(CS129=0,0,IF(CS130&lt;INDEX('Lease Cycles'!$BN$15:$BT$15,1,CS129),1,0))</f>
        <v>1</v>
      </c>
      <c r="CT131" s="25">
        <f>IF(CT129=0,0,IF(CT130&lt;INDEX('Lease Cycles'!$BN$15:$BT$15,1,CT129),1,0))</f>
        <v>1</v>
      </c>
      <c r="CU131" s="25">
        <f>IF(CU129=0,0,IF(CU130&lt;INDEX('Lease Cycles'!$BN$15:$BT$15,1,CU129),1,0))</f>
        <v>1</v>
      </c>
      <c r="CV131" s="25">
        <f>IF(CV129=0,0,IF(CV130&lt;INDEX('Lease Cycles'!$BN$15:$BT$15,1,CV129),1,0))</f>
        <v>1</v>
      </c>
      <c r="CW131" s="25">
        <f>IF(CW129=0,0,IF(CW130&lt;INDEX('Lease Cycles'!$BN$15:$BT$15,1,CW129),1,0))</f>
        <v>1</v>
      </c>
      <c r="CX131" s="25">
        <f>IF(CX129=0,0,IF(CX130&lt;INDEX('Lease Cycles'!$BN$15:$BT$15,1,CX129),1,0))</f>
        <v>1</v>
      </c>
      <c r="CY131" s="25">
        <f>IF(CY129=0,0,IF(CY130&lt;INDEX('Lease Cycles'!$BN$15:$BT$15,1,CY129),1,0))</f>
        <v>1</v>
      </c>
      <c r="CZ131" s="25">
        <f>IF(CZ129=0,0,IF(CZ130&lt;INDEX('Lease Cycles'!$BN$15:$BT$15,1,CZ129),1,0))</f>
        <v>1</v>
      </c>
      <c r="DA131" s="25">
        <f>IF(DA129=0,0,IF(DA130&lt;INDEX('Lease Cycles'!$BN$15:$BT$15,1,DA129),1,0))</f>
        <v>1</v>
      </c>
      <c r="DB131" s="25">
        <f>IF(DB129=0,0,IF(DB130&lt;INDEX('Lease Cycles'!$BN$15:$BT$15,1,DB129),1,0))</f>
        <v>1</v>
      </c>
      <c r="DC131" s="25">
        <f>IF(DC129=0,0,IF(DC130&lt;INDEX('Lease Cycles'!$BN$15:$BT$15,1,DC129),1,0))</f>
        <v>1</v>
      </c>
      <c r="DD131" s="25">
        <f>IF(DD129=0,0,IF(DD130&lt;INDEX('Lease Cycles'!$BN$15:$BT$15,1,DD129),1,0))</f>
        <v>1</v>
      </c>
      <c r="DE131" s="25">
        <f>IF(DE129=0,0,IF(DE130&lt;INDEX('Lease Cycles'!$BN$15:$BT$15,1,DE129),1,0))</f>
        <v>1</v>
      </c>
      <c r="DF131" s="25">
        <f>IF(DF129=0,0,IF(DF130&lt;INDEX('Lease Cycles'!$BN$15:$BT$15,1,DF129),1,0))</f>
        <v>1</v>
      </c>
      <c r="DG131" s="25">
        <f>IF(DG129=0,0,IF(DG130&lt;INDEX('Lease Cycles'!$BN$15:$BT$15,1,DG129),1,0))</f>
        <v>1</v>
      </c>
      <c r="DH131" s="25">
        <f>IF(DH129=0,0,IF(DH130&lt;INDEX('Lease Cycles'!$BN$15:$BT$15,1,DH129),1,0))</f>
        <v>1</v>
      </c>
      <c r="DI131" s="25">
        <f>IF(DI129=0,0,IF(DI130&lt;INDEX('Lease Cycles'!$BN$15:$BT$15,1,DI129),1,0))</f>
        <v>1</v>
      </c>
      <c r="DJ131" s="25">
        <f>IF(DJ129=0,0,IF(DJ130&lt;INDEX('Lease Cycles'!$BN$15:$BT$15,1,DJ129),1,0))</f>
        <v>1</v>
      </c>
      <c r="DK131" s="25">
        <f>IF(DK129=0,0,IF(DK130&lt;INDEX('Lease Cycles'!$BN$15:$BT$15,1,DK129),1,0))</f>
        <v>1</v>
      </c>
      <c r="DL131" s="25">
        <f>IF(DL129=0,0,IF(DL130&lt;INDEX('Lease Cycles'!$BN$15:$BT$15,1,DL129),1,0))</f>
        <v>1</v>
      </c>
      <c r="DM131" s="25">
        <f>IF(DM129=0,0,IF(DM130&lt;INDEX('Lease Cycles'!$BN$15:$BT$15,1,DM129),1,0))</f>
        <v>1</v>
      </c>
      <c r="DN131" s="25">
        <f>IF(DN129=0,0,IF(DN130&lt;INDEX('Lease Cycles'!$BN$15:$BT$15,1,DN129),1,0))</f>
        <v>1</v>
      </c>
      <c r="DO131" s="25">
        <f>IF(DO129=0,0,IF(DO130&lt;INDEX('Lease Cycles'!$BN$15:$BT$15,1,DO129),1,0))</f>
        <v>1</v>
      </c>
      <c r="DP131" s="25">
        <f>IF(DP129=0,0,IF(DP130&lt;INDEX('Lease Cycles'!$BN$15:$BT$15,1,DP129),1,0))</f>
        <v>1</v>
      </c>
      <c r="DQ131" s="25">
        <f>IF(DQ129=0,0,IF(DQ130&lt;INDEX('Lease Cycles'!$BN$15:$BT$15,1,DQ129),1,0))</f>
        <v>1</v>
      </c>
      <c r="DR131" s="25">
        <f>IF(DR129=0,0,IF(DR130&lt;INDEX('Lease Cycles'!$BN$15:$BT$15,1,DR129),1,0))</f>
        <v>1</v>
      </c>
      <c r="DS131" s="25">
        <f>IF(DS129=0,0,IF(DS130&lt;INDEX('Lease Cycles'!$BN$15:$BT$15,1,DS129),1,0))</f>
        <v>1</v>
      </c>
      <c r="DT131" s="25">
        <f>IF(DT129=0,0,IF(DT130&lt;INDEX('Lease Cycles'!$BN$15:$BT$15,1,DT129),1,0))</f>
        <v>1</v>
      </c>
      <c r="DU131" s="25">
        <f>IF(DU129=0,0,IF(DU130&lt;INDEX('Lease Cycles'!$BN$15:$BT$15,1,DU129),1,0))</f>
        <v>1</v>
      </c>
      <c r="DV131" s="25">
        <f>IF(DV129=0,0,IF(DV130&lt;INDEX('Lease Cycles'!$BN$15:$BT$15,1,DV129),1,0))</f>
        <v>1</v>
      </c>
      <c r="DW131" s="25">
        <f>IF(DW129=0,0,IF(DW130&lt;INDEX('Lease Cycles'!$BN$15:$BT$15,1,DW129),1,0))</f>
        <v>1</v>
      </c>
      <c r="DX131" s="25">
        <f>IF(DX129=0,0,IF(DX130&lt;INDEX('Lease Cycles'!$BN$15:$BT$15,1,DX129),1,0))</f>
        <v>1</v>
      </c>
      <c r="DY131" s="25">
        <f>IF(DY129=0,0,IF(DY130&lt;INDEX('Lease Cycles'!$BN$15:$BT$15,1,DY129),1,0))</f>
        <v>1</v>
      </c>
      <c r="DZ131" s="25">
        <f>IF(DZ129=0,0,IF(DZ130&lt;INDEX('Lease Cycles'!$BN$15:$BT$15,1,DZ129),1,0))</f>
        <v>1</v>
      </c>
      <c r="EA131" s="25">
        <f>IF(EA129=0,0,IF(EA130&lt;INDEX('Lease Cycles'!$BN$15:$BT$15,1,EA129),1,0))</f>
        <v>1</v>
      </c>
      <c r="EB131" s="25">
        <f>IF(EB129=0,0,IF(EB130&lt;INDEX('Lease Cycles'!$BN$15:$BT$15,1,EB129),1,0))</f>
        <v>1</v>
      </c>
      <c r="EC131" s="25">
        <f>IF(EC129=0,0,IF(EC130&lt;INDEX('Lease Cycles'!$BN$15:$BT$15,1,EC129),1,0))</f>
        <v>1</v>
      </c>
      <c r="ED131" s="25">
        <f>IF(ED129=0,0,IF(ED130&lt;INDEX('Lease Cycles'!$BN$15:$BT$15,1,ED129),1,0))</f>
        <v>1</v>
      </c>
      <c r="EE131" s="25">
        <f>IF(EE129=0,0,IF(EE130&lt;INDEX('Lease Cycles'!$BN$15:$BT$15,1,EE129),1,0))</f>
        <v>1</v>
      </c>
      <c r="EF131" s="25">
        <f>IF(EF129=0,0,IF(EF130&lt;INDEX('Lease Cycles'!$BN$15:$BT$15,1,EF129),1,0))</f>
        <v>1</v>
      </c>
      <c r="EG131" s="25">
        <f>IF(EG129=0,0,IF(EG130&lt;INDEX('Lease Cycles'!$BN$15:$BT$15,1,EG129),1,0))</f>
        <v>1</v>
      </c>
      <c r="EH131" s="25">
        <f>IF(EH129=0,0,IF(EH130&lt;INDEX('Lease Cycles'!$BN$15:$BT$15,1,EH129),1,0))</f>
        <v>1</v>
      </c>
      <c r="EI131" s="25">
        <f>IF(EI129=0,0,IF(EI130&lt;INDEX('Lease Cycles'!$BN$15:$BT$15,1,EI129),1,0))</f>
        <v>1</v>
      </c>
      <c r="EJ131" s="25">
        <f>IF(EJ129=0,0,IF(EJ130&lt;INDEX('Lease Cycles'!$BN$15:$BT$15,1,EJ129),1,0))</f>
        <v>1</v>
      </c>
      <c r="EK131" s="25">
        <f>IF(EK129=0,0,IF(EK130&lt;INDEX('Lease Cycles'!$BN$15:$BT$15,1,EK129),1,0))</f>
        <v>1</v>
      </c>
      <c r="EL131" s="25">
        <f>IF(EL129=0,0,IF(EL130&lt;INDEX('Lease Cycles'!$BN$15:$BT$15,1,EL129),1,0))</f>
        <v>1</v>
      </c>
      <c r="EM131" s="25">
        <f>IF(EM129=0,0,IF(EM130&lt;INDEX('Lease Cycles'!$BN$15:$BT$15,1,EM129),1,0))</f>
        <v>1</v>
      </c>
      <c r="EN131" s="25">
        <f>IF(EN129=0,0,IF(EN130&lt;INDEX('Lease Cycles'!$BN$15:$BT$15,1,EN129),1,0))</f>
        <v>1</v>
      </c>
      <c r="EO131" s="25">
        <f>IF(EO129=0,0,IF(EO130&lt;INDEX('Lease Cycles'!$BN$15:$BT$15,1,EO129),1,0))</f>
        <v>1</v>
      </c>
      <c r="EP131" s="25">
        <f>IF(EP129=0,0,IF(EP130&lt;INDEX('Lease Cycles'!$BN$15:$BT$15,1,EP129),1,0))</f>
        <v>1</v>
      </c>
      <c r="EQ131" s="25">
        <f>IF(EQ129=0,0,IF(EQ130&lt;INDEX('Lease Cycles'!$BN$15:$BT$15,1,EQ129),1,0))</f>
        <v>1</v>
      </c>
      <c r="ER131" s="25">
        <f>IF(ER129=0,0,IF(ER130&lt;INDEX('Lease Cycles'!$BN$15:$BT$15,1,ER129),1,0))</f>
        <v>0</v>
      </c>
      <c r="ES131" s="25">
        <f>IF(ES129=0,0,IF(ES130&lt;INDEX('Lease Cycles'!$BN$15:$BT$15,1,ES129),1,0))</f>
        <v>1</v>
      </c>
      <c r="ET131" s="25">
        <f>IF(ET129=0,0,IF(ET130&lt;INDEX('Lease Cycles'!$BN$15:$BT$15,1,ET129),1,0))</f>
        <v>1</v>
      </c>
    </row>
    <row r="132">
      <c r="A132" s="103">
        <v>8</v>
      </c>
      <c r="B132" s="23" t="str">
        <f>IF('Lease Cycles'!$B$15="","(empty slot)",'Lease Cycles'!$B$15)</f>
        <v>Sunfield Bagels</v>
      </c>
      <c r="C132" s="23" t="s">
        <v>677</v>
      </c>
      <c r="D132" s="104" t="s">
        <v>678</v>
      </c>
      <c r="E132" s="25">
        <f>'Lease Cycles'!$AL$15</f>
        <v>0</v>
      </c>
      <c r="S132" s="28">
        <f>IF(S129=0,IF('Lease Cycles'!$F$15&gt;0,'Lease Cycles'!$C$15*'Lease Cycles'!$E$15/12,0),IF(S131=1,IF('Lease Cycles'!$AT$15&gt;=9999,'Lease Cycles'!$C$15*INDEX('Lease Cycles'!$CB$15:$CH$15,1,S129)*(1+INDEX('Lease Cycles'!$CI$15:$CO$15,1,S129))^INT(INT(S130/12)/INDEX('Lease Cycles'!$CP$15:$CV$15,1,S129))/12,IF(S129=1,IF(S130&gt;=INDEX('Lease Cycles'!$DK$15:$DQ$15,1,S129),IF(S$6&gt;='Lease Cycles'!$AZ$15,'Lease Cycles'!$C$15*'Lease Cycles'!$BA$15/12,IF(S$6&gt;='Lease Cycles'!$AX$15,'Lease Cycles'!$C$15*'Lease Cycles'!$AY$15/12,IF(S$6&gt;='Lease Cycles'!$AV$15,'Lease Cycles'!$C$15*'Lease Cycles'!$AW$15/12,IF(S$6&gt;='Lease Cycles'!$AT$15,'Lease Cycles'!$C$15*'Lease Cycles'!$AU$15/12,'Lease Cycles'!$C$15*INDEX('Lease Cycles'!$CB$15:$CH$15,1,S129)*(1+INDEX('Lease Cycles'!$CI$15:$CO$15,1,S129))^INT(INT(S130/12)/INDEX('Lease Cycles'!$CP$15:$CV$15,1,S129))/12)))),'Lease Cycles'!$C$15*INDEX('Lease Cycles'!$CB$15:$CH$15,1,S129)*(1+INDEX('Lease Cycles'!$CI$15:$CO$15,1,S129))^INT(INT(S130/12)/INDEX('Lease Cycles'!$CP$15:$CV$15,1,S129))/12),IF(INDEX('Lease Cycles'!$EF$15:$EL$15,1,S129)=1,IF(AND('Lease Cycles'!$AZ$15&gt;=INDEX('Lease Cycles'!$BG$15:$BM$15,1,S129),'Lease Cycles'!$AZ$15&lt;=S$6),'Lease Cycles'!$C$15*'Lease Cycles'!$BA$15/12,IF(AND('Lease Cycles'!$AX$15&gt;=INDEX('Lease Cycles'!$BG$15:$BM$15,1,S129),'Lease Cycles'!$AX$15&lt;=S$6),'Lease Cycles'!$C$15*'Lease Cycles'!$AY$15/12,IF(AND('Lease Cycles'!$AV$15&gt;=INDEX('Lease Cycles'!$BG$15:$BM$15,1,S129),'Lease Cycles'!$AV$15&lt;=S$6),'Lease Cycles'!$C$15*'Lease Cycles'!$AW$15/12,IF(AND('Lease Cycles'!$AT$15&gt;=INDEX('Lease Cycles'!$BG$15:$BM$15,1,S129),'Lease Cycles'!$AT$15&lt;=S$6),'Lease Cycles'!$C$15*'Lease Cycles'!$AU$15/12,'Lease Cycles'!$C$15*INDEX('Lease Cycles'!$CB$15:$CH$15,1,S129)*(1+INDEX('Lease Cycles'!$CI$15:$CO$15,1,S129))^INT(INT(S130/12)/INDEX('Lease Cycles'!$CP$15:$CV$15,1,S129))/12)))),'Lease Cycles'!$C$15*INDEX('Lease Cycles'!$CB$15:$CH$15,1,S129)*(1+INDEX('Lease Cycles'!$CI$15:$CO$15,1,S129))^INT(INT(S130/12)/INDEX('Lease Cycles'!$CP$15:$CV$15,1,S129))/12))),IF('Lease Cycles'!$N$15=1,'Lease Cycles'!$C$15*'Lease Cycles'!$E$15*INDEX('Lease Cycles'!$HE$15:$HK$15,1,S129)*(1+INDEX('Lease Cycles'!$GQ$15:$GW$15,1,S129))^INT(INT((S$6-INDEX('Lease Cycles'!$GJ$15:$GP$15,1,S129))/12)/INDEX('Lease Cycles'!$GX$15:$HD$15,1,S129))/12,0)))</f>
        <v>3200</v>
      </c>
      <c r="T132" s="28">
        <f>IF(T129=0,IF('Lease Cycles'!$F$15&gt;0,'Lease Cycles'!$C$15*'Lease Cycles'!$E$15/12,0),IF(T131=1,IF('Lease Cycles'!$AT$15&gt;=9999,'Lease Cycles'!$C$15*INDEX('Lease Cycles'!$CB$15:$CH$15,1,T129)*(1+INDEX('Lease Cycles'!$CI$15:$CO$15,1,T129))^INT(INT(T130/12)/INDEX('Lease Cycles'!$CP$15:$CV$15,1,T129))/12,IF(T129=1,IF(T130&gt;=INDEX('Lease Cycles'!$DK$15:$DQ$15,1,T129),IF(T$6&gt;='Lease Cycles'!$AZ$15,'Lease Cycles'!$C$15*'Lease Cycles'!$BA$15/12,IF(T$6&gt;='Lease Cycles'!$AX$15,'Lease Cycles'!$C$15*'Lease Cycles'!$AY$15/12,IF(T$6&gt;='Lease Cycles'!$AV$15,'Lease Cycles'!$C$15*'Lease Cycles'!$AW$15/12,IF(T$6&gt;='Lease Cycles'!$AT$15,'Lease Cycles'!$C$15*'Lease Cycles'!$AU$15/12,'Lease Cycles'!$C$15*INDEX('Lease Cycles'!$CB$15:$CH$15,1,T129)*(1+INDEX('Lease Cycles'!$CI$15:$CO$15,1,T129))^INT(INT(T130/12)/INDEX('Lease Cycles'!$CP$15:$CV$15,1,T129))/12)))),'Lease Cycles'!$C$15*INDEX('Lease Cycles'!$CB$15:$CH$15,1,T129)*(1+INDEX('Lease Cycles'!$CI$15:$CO$15,1,T129))^INT(INT(T130/12)/INDEX('Lease Cycles'!$CP$15:$CV$15,1,T129))/12),IF(INDEX('Lease Cycles'!$EF$15:$EL$15,1,T129)=1,IF(AND('Lease Cycles'!$AZ$15&gt;=INDEX('Lease Cycles'!$BG$15:$BM$15,1,T129),'Lease Cycles'!$AZ$15&lt;=T$6),'Lease Cycles'!$C$15*'Lease Cycles'!$BA$15/12,IF(AND('Lease Cycles'!$AX$15&gt;=INDEX('Lease Cycles'!$BG$15:$BM$15,1,T129),'Lease Cycles'!$AX$15&lt;=T$6),'Lease Cycles'!$C$15*'Lease Cycles'!$AY$15/12,IF(AND('Lease Cycles'!$AV$15&gt;=INDEX('Lease Cycles'!$BG$15:$BM$15,1,T129),'Lease Cycles'!$AV$15&lt;=T$6),'Lease Cycles'!$C$15*'Lease Cycles'!$AW$15/12,IF(AND('Lease Cycles'!$AT$15&gt;=INDEX('Lease Cycles'!$BG$15:$BM$15,1,T129),'Lease Cycles'!$AT$15&lt;=T$6),'Lease Cycles'!$C$15*'Lease Cycles'!$AU$15/12,'Lease Cycles'!$C$15*INDEX('Lease Cycles'!$CB$15:$CH$15,1,T129)*(1+INDEX('Lease Cycles'!$CI$15:$CO$15,1,T129))^INT(INT(T130/12)/INDEX('Lease Cycles'!$CP$15:$CV$15,1,T129))/12)))),'Lease Cycles'!$C$15*INDEX('Lease Cycles'!$CB$15:$CH$15,1,T129)*(1+INDEX('Lease Cycles'!$CI$15:$CO$15,1,T129))^INT(INT(T130/12)/INDEX('Lease Cycles'!$CP$15:$CV$15,1,T129))/12))),IF('Lease Cycles'!$N$15=1,'Lease Cycles'!$C$15*'Lease Cycles'!$E$15*INDEX('Lease Cycles'!$HE$15:$HK$15,1,T129)*(1+INDEX('Lease Cycles'!$GQ$15:$GW$15,1,T129))^INT(INT((T$6-INDEX('Lease Cycles'!$GJ$15:$GP$15,1,T129))/12)/INDEX('Lease Cycles'!$GX$15:$HD$15,1,T129))/12,0)))</f>
        <v>3200</v>
      </c>
      <c r="U132" s="28">
        <f>IF(U129=0,IF('Lease Cycles'!$F$15&gt;0,'Lease Cycles'!$C$15*'Lease Cycles'!$E$15/12,0),IF(U131=1,IF('Lease Cycles'!$AT$15&gt;=9999,'Lease Cycles'!$C$15*INDEX('Lease Cycles'!$CB$15:$CH$15,1,U129)*(1+INDEX('Lease Cycles'!$CI$15:$CO$15,1,U129))^INT(INT(U130/12)/INDEX('Lease Cycles'!$CP$15:$CV$15,1,U129))/12,IF(U129=1,IF(U130&gt;=INDEX('Lease Cycles'!$DK$15:$DQ$15,1,U129),IF(U$6&gt;='Lease Cycles'!$AZ$15,'Lease Cycles'!$C$15*'Lease Cycles'!$BA$15/12,IF(U$6&gt;='Lease Cycles'!$AX$15,'Lease Cycles'!$C$15*'Lease Cycles'!$AY$15/12,IF(U$6&gt;='Lease Cycles'!$AV$15,'Lease Cycles'!$C$15*'Lease Cycles'!$AW$15/12,IF(U$6&gt;='Lease Cycles'!$AT$15,'Lease Cycles'!$C$15*'Lease Cycles'!$AU$15/12,'Lease Cycles'!$C$15*INDEX('Lease Cycles'!$CB$15:$CH$15,1,U129)*(1+INDEX('Lease Cycles'!$CI$15:$CO$15,1,U129))^INT(INT(U130/12)/INDEX('Lease Cycles'!$CP$15:$CV$15,1,U129))/12)))),'Lease Cycles'!$C$15*INDEX('Lease Cycles'!$CB$15:$CH$15,1,U129)*(1+INDEX('Lease Cycles'!$CI$15:$CO$15,1,U129))^INT(INT(U130/12)/INDEX('Lease Cycles'!$CP$15:$CV$15,1,U129))/12),IF(INDEX('Lease Cycles'!$EF$15:$EL$15,1,U129)=1,IF(AND('Lease Cycles'!$AZ$15&gt;=INDEX('Lease Cycles'!$BG$15:$BM$15,1,U129),'Lease Cycles'!$AZ$15&lt;=U$6),'Lease Cycles'!$C$15*'Lease Cycles'!$BA$15/12,IF(AND('Lease Cycles'!$AX$15&gt;=INDEX('Lease Cycles'!$BG$15:$BM$15,1,U129),'Lease Cycles'!$AX$15&lt;=U$6),'Lease Cycles'!$C$15*'Lease Cycles'!$AY$15/12,IF(AND('Lease Cycles'!$AV$15&gt;=INDEX('Lease Cycles'!$BG$15:$BM$15,1,U129),'Lease Cycles'!$AV$15&lt;=U$6),'Lease Cycles'!$C$15*'Lease Cycles'!$AW$15/12,IF(AND('Lease Cycles'!$AT$15&gt;=INDEX('Lease Cycles'!$BG$15:$BM$15,1,U129),'Lease Cycles'!$AT$15&lt;=U$6),'Lease Cycles'!$C$15*'Lease Cycles'!$AU$15/12,'Lease Cycles'!$C$15*INDEX('Lease Cycles'!$CB$15:$CH$15,1,U129)*(1+INDEX('Lease Cycles'!$CI$15:$CO$15,1,U129))^INT(INT(U130/12)/INDEX('Lease Cycles'!$CP$15:$CV$15,1,U129))/12)))),'Lease Cycles'!$C$15*INDEX('Lease Cycles'!$CB$15:$CH$15,1,U129)*(1+INDEX('Lease Cycles'!$CI$15:$CO$15,1,U129))^INT(INT(U130/12)/INDEX('Lease Cycles'!$CP$15:$CV$15,1,U129))/12))),IF('Lease Cycles'!$N$15=1,'Lease Cycles'!$C$15*'Lease Cycles'!$E$15*INDEX('Lease Cycles'!$HE$15:$HK$15,1,U129)*(1+INDEX('Lease Cycles'!$GQ$15:$GW$15,1,U129))^INT(INT((U$6-INDEX('Lease Cycles'!$GJ$15:$GP$15,1,U129))/12)/INDEX('Lease Cycles'!$GX$15:$HD$15,1,U129))/12,0)))</f>
        <v>3200</v>
      </c>
      <c r="V132" s="28">
        <f>IF(V129=0,IF('Lease Cycles'!$F$15&gt;0,'Lease Cycles'!$C$15*'Lease Cycles'!$E$15/12,0),IF(V131=1,IF('Lease Cycles'!$AT$15&gt;=9999,'Lease Cycles'!$C$15*INDEX('Lease Cycles'!$CB$15:$CH$15,1,V129)*(1+INDEX('Lease Cycles'!$CI$15:$CO$15,1,V129))^INT(INT(V130/12)/INDEX('Lease Cycles'!$CP$15:$CV$15,1,V129))/12,IF(V129=1,IF(V130&gt;=INDEX('Lease Cycles'!$DK$15:$DQ$15,1,V129),IF(V$6&gt;='Lease Cycles'!$AZ$15,'Lease Cycles'!$C$15*'Lease Cycles'!$BA$15/12,IF(V$6&gt;='Lease Cycles'!$AX$15,'Lease Cycles'!$C$15*'Lease Cycles'!$AY$15/12,IF(V$6&gt;='Lease Cycles'!$AV$15,'Lease Cycles'!$C$15*'Lease Cycles'!$AW$15/12,IF(V$6&gt;='Lease Cycles'!$AT$15,'Lease Cycles'!$C$15*'Lease Cycles'!$AU$15/12,'Lease Cycles'!$C$15*INDEX('Lease Cycles'!$CB$15:$CH$15,1,V129)*(1+INDEX('Lease Cycles'!$CI$15:$CO$15,1,V129))^INT(INT(V130/12)/INDEX('Lease Cycles'!$CP$15:$CV$15,1,V129))/12)))),'Lease Cycles'!$C$15*INDEX('Lease Cycles'!$CB$15:$CH$15,1,V129)*(1+INDEX('Lease Cycles'!$CI$15:$CO$15,1,V129))^INT(INT(V130/12)/INDEX('Lease Cycles'!$CP$15:$CV$15,1,V129))/12),IF(INDEX('Lease Cycles'!$EF$15:$EL$15,1,V129)=1,IF(AND('Lease Cycles'!$AZ$15&gt;=INDEX('Lease Cycles'!$BG$15:$BM$15,1,V129),'Lease Cycles'!$AZ$15&lt;=V$6),'Lease Cycles'!$C$15*'Lease Cycles'!$BA$15/12,IF(AND('Lease Cycles'!$AX$15&gt;=INDEX('Lease Cycles'!$BG$15:$BM$15,1,V129),'Lease Cycles'!$AX$15&lt;=V$6),'Lease Cycles'!$C$15*'Lease Cycles'!$AY$15/12,IF(AND('Lease Cycles'!$AV$15&gt;=INDEX('Lease Cycles'!$BG$15:$BM$15,1,V129),'Lease Cycles'!$AV$15&lt;=V$6),'Lease Cycles'!$C$15*'Lease Cycles'!$AW$15/12,IF(AND('Lease Cycles'!$AT$15&gt;=INDEX('Lease Cycles'!$BG$15:$BM$15,1,V129),'Lease Cycles'!$AT$15&lt;=V$6),'Lease Cycles'!$C$15*'Lease Cycles'!$AU$15/12,'Lease Cycles'!$C$15*INDEX('Lease Cycles'!$CB$15:$CH$15,1,V129)*(1+INDEX('Lease Cycles'!$CI$15:$CO$15,1,V129))^INT(INT(V130/12)/INDEX('Lease Cycles'!$CP$15:$CV$15,1,V129))/12)))),'Lease Cycles'!$C$15*INDEX('Lease Cycles'!$CB$15:$CH$15,1,V129)*(1+INDEX('Lease Cycles'!$CI$15:$CO$15,1,V129))^INT(INT(V130/12)/INDEX('Lease Cycles'!$CP$15:$CV$15,1,V129))/12))),IF('Lease Cycles'!$N$15=1,'Lease Cycles'!$C$15*'Lease Cycles'!$E$15*INDEX('Lease Cycles'!$HE$15:$HK$15,1,V129)*(1+INDEX('Lease Cycles'!$GQ$15:$GW$15,1,V129))^INT(INT((V$6-INDEX('Lease Cycles'!$GJ$15:$GP$15,1,V129))/12)/INDEX('Lease Cycles'!$GX$15:$HD$15,1,V129))/12,0)))</f>
        <v>3200</v>
      </c>
      <c r="W132" s="28">
        <f>IF(W129=0,IF('Lease Cycles'!$F$15&gt;0,'Lease Cycles'!$C$15*'Lease Cycles'!$E$15/12,0),IF(W131=1,IF('Lease Cycles'!$AT$15&gt;=9999,'Lease Cycles'!$C$15*INDEX('Lease Cycles'!$CB$15:$CH$15,1,W129)*(1+INDEX('Lease Cycles'!$CI$15:$CO$15,1,W129))^INT(INT(W130/12)/INDEX('Lease Cycles'!$CP$15:$CV$15,1,W129))/12,IF(W129=1,IF(W130&gt;=INDEX('Lease Cycles'!$DK$15:$DQ$15,1,W129),IF(W$6&gt;='Lease Cycles'!$AZ$15,'Lease Cycles'!$C$15*'Lease Cycles'!$BA$15/12,IF(W$6&gt;='Lease Cycles'!$AX$15,'Lease Cycles'!$C$15*'Lease Cycles'!$AY$15/12,IF(W$6&gt;='Lease Cycles'!$AV$15,'Lease Cycles'!$C$15*'Lease Cycles'!$AW$15/12,IF(W$6&gt;='Lease Cycles'!$AT$15,'Lease Cycles'!$C$15*'Lease Cycles'!$AU$15/12,'Lease Cycles'!$C$15*INDEX('Lease Cycles'!$CB$15:$CH$15,1,W129)*(1+INDEX('Lease Cycles'!$CI$15:$CO$15,1,W129))^INT(INT(W130/12)/INDEX('Lease Cycles'!$CP$15:$CV$15,1,W129))/12)))),'Lease Cycles'!$C$15*INDEX('Lease Cycles'!$CB$15:$CH$15,1,W129)*(1+INDEX('Lease Cycles'!$CI$15:$CO$15,1,W129))^INT(INT(W130/12)/INDEX('Lease Cycles'!$CP$15:$CV$15,1,W129))/12),IF(INDEX('Lease Cycles'!$EF$15:$EL$15,1,W129)=1,IF(AND('Lease Cycles'!$AZ$15&gt;=INDEX('Lease Cycles'!$BG$15:$BM$15,1,W129),'Lease Cycles'!$AZ$15&lt;=W$6),'Lease Cycles'!$C$15*'Lease Cycles'!$BA$15/12,IF(AND('Lease Cycles'!$AX$15&gt;=INDEX('Lease Cycles'!$BG$15:$BM$15,1,W129),'Lease Cycles'!$AX$15&lt;=W$6),'Lease Cycles'!$C$15*'Lease Cycles'!$AY$15/12,IF(AND('Lease Cycles'!$AV$15&gt;=INDEX('Lease Cycles'!$BG$15:$BM$15,1,W129),'Lease Cycles'!$AV$15&lt;=W$6),'Lease Cycles'!$C$15*'Lease Cycles'!$AW$15/12,IF(AND('Lease Cycles'!$AT$15&gt;=INDEX('Lease Cycles'!$BG$15:$BM$15,1,W129),'Lease Cycles'!$AT$15&lt;=W$6),'Lease Cycles'!$C$15*'Lease Cycles'!$AU$15/12,'Lease Cycles'!$C$15*INDEX('Lease Cycles'!$CB$15:$CH$15,1,W129)*(1+INDEX('Lease Cycles'!$CI$15:$CO$15,1,W129))^INT(INT(W130/12)/INDEX('Lease Cycles'!$CP$15:$CV$15,1,W129))/12)))),'Lease Cycles'!$C$15*INDEX('Lease Cycles'!$CB$15:$CH$15,1,W129)*(1+INDEX('Lease Cycles'!$CI$15:$CO$15,1,W129))^INT(INT(W130/12)/INDEX('Lease Cycles'!$CP$15:$CV$15,1,W129))/12))),IF('Lease Cycles'!$N$15=1,'Lease Cycles'!$C$15*'Lease Cycles'!$E$15*INDEX('Lease Cycles'!$HE$15:$HK$15,1,W129)*(1+INDEX('Lease Cycles'!$GQ$15:$GW$15,1,W129))^INT(INT((W$6-INDEX('Lease Cycles'!$GJ$15:$GP$15,1,W129))/12)/INDEX('Lease Cycles'!$GX$15:$HD$15,1,W129))/12,0)))</f>
        <v>3200</v>
      </c>
      <c r="X132" s="28">
        <f>IF(X129=0,IF('Lease Cycles'!$F$15&gt;0,'Lease Cycles'!$C$15*'Lease Cycles'!$E$15/12,0),IF(X131=1,IF('Lease Cycles'!$AT$15&gt;=9999,'Lease Cycles'!$C$15*INDEX('Lease Cycles'!$CB$15:$CH$15,1,X129)*(1+INDEX('Lease Cycles'!$CI$15:$CO$15,1,X129))^INT(INT(X130/12)/INDEX('Lease Cycles'!$CP$15:$CV$15,1,X129))/12,IF(X129=1,IF(X130&gt;=INDEX('Lease Cycles'!$DK$15:$DQ$15,1,X129),IF(X$6&gt;='Lease Cycles'!$AZ$15,'Lease Cycles'!$C$15*'Lease Cycles'!$BA$15/12,IF(X$6&gt;='Lease Cycles'!$AX$15,'Lease Cycles'!$C$15*'Lease Cycles'!$AY$15/12,IF(X$6&gt;='Lease Cycles'!$AV$15,'Lease Cycles'!$C$15*'Lease Cycles'!$AW$15/12,IF(X$6&gt;='Lease Cycles'!$AT$15,'Lease Cycles'!$C$15*'Lease Cycles'!$AU$15/12,'Lease Cycles'!$C$15*INDEX('Lease Cycles'!$CB$15:$CH$15,1,X129)*(1+INDEX('Lease Cycles'!$CI$15:$CO$15,1,X129))^INT(INT(X130/12)/INDEX('Lease Cycles'!$CP$15:$CV$15,1,X129))/12)))),'Lease Cycles'!$C$15*INDEX('Lease Cycles'!$CB$15:$CH$15,1,X129)*(1+INDEX('Lease Cycles'!$CI$15:$CO$15,1,X129))^INT(INT(X130/12)/INDEX('Lease Cycles'!$CP$15:$CV$15,1,X129))/12),IF(INDEX('Lease Cycles'!$EF$15:$EL$15,1,X129)=1,IF(AND('Lease Cycles'!$AZ$15&gt;=INDEX('Lease Cycles'!$BG$15:$BM$15,1,X129),'Lease Cycles'!$AZ$15&lt;=X$6),'Lease Cycles'!$C$15*'Lease Cycles'!$BA$15/12,IF(AND('Lease Cycles'!$AX$15&gt;=INDEX('Lease Cycles'!$BG$15:$BM$15,1,X129),'Lease Cycles'!$AX$15&lt;=X$6),'Lease Cycles'!$C$15*'Lease Cycles'!$AY$15/12,IF(AND('Lease Cycles'!$AV$15&gt;=INDEX('Lease Cycles'!$BG$15:$BM$15,1,X129),'Lease Cycles'!$AV$15&lt;=X$6),'Lease Cycles'!$C$15*'Lease Cycles'!$AW$15/12,IF(AND('Lease Cycles'!$AT$15&gt;=INDEX('Lease Cycles'!$BG$15:$BM$15,1,X129),'Lease Cycles'!$AT$15&lt;=X$6),'Lease Cycles'!$C$15*'Lease Cycles'!$AU$15/12,'Lease Cycles'!$C$15*INDEX('Lease Cycles'!$CB$15:$CH$15,1,X129)*(1+INDEX('Lease Cycles'!$CI$15:$CO$15,1,X129))^INT(INT(X130/12)/INDEX('Lease Cycles'!$CP$15:$CV$15,1,X129))/12)))),'Lease Cycles'!$C$15*INDEX('Lease Cycles'!$CB$15:$CH$15,1,X129)*(1+INDEX('Lease Cycles'!$CI$15:$CO$15,1,X129))^INT(INT(X130/12)/INDEX('Lease Cycles'!$CP$15:$CV$15,1,X129))/12))),IF('Lease Cycles'!$N$15=1,'Lease Cycles'!$C$15*'Lease Cycles'!$E$15*INDEX('Lease Cycles'!$HE$15:$HK$15,1,X129)*(1+INDEX('Lease Cycles'!$GQ$15:$GW$15,1,X129))^INT(INT((X$6-INDEX('Lease Cycles'!$GJ$15:$GP$15,1,X129))/12)/INDEX('Lease Cycles'!$GX$15:$HD$15,1,X129))/12,0)))</f>
        <v>3200</v>
      </c>
      <c r="Y132" s="28">
        <f>IF(Y129=0,IF('Lease Cycles'!$F$15&gt;0,'Lease Cycles'!$C$15*'Lease Cycles'!$E$15/12,0),IF(Y131=1,IF('Lease Cycles'!$AT$15&gt;=9999,'Lease Cycles'!$C$15*INDEX('Lease Cycles'!$CB$15:$CH$15,1,Y129)*(1+INDEX('Lease Cycles'!$CI$15:$CO$15,1,Y129))^INT(INT(Y130/12)/INDEX('Lease Cycles'!$CP$15:$CV$15,1,Y129))/12,IF(Y129=1,IF(Y130&gt;=INDEX('Lease Cycles'!$DK$15:$DQ$15,1,Y129),IF(Y$6&gt;='Lease Cycles'!$AZ$15,'Lease Cycles'!$C$15*'Lease Cycles'!$BA$15/12,IF(Y$6&gt;='Lease Cycles'!$AX$15,'Lease Cycles'!$C$15*'Lease Cycles'!$AY$15/12,IF(Y$6&gt;='Lease Cycles'!$AV$15,'Lease Cycles'!$C$15*'Lease Cycles'!$AW$15/12,IF(Y$6&gt;='Lease Cycles'!$AT$15,'Lease Cycles'!$C$15*'Lease Cycles'!$AU$15/12,'Lease Cycles'!$C$15*INDEX('Lease Cycles'!$CB$15:$CH$15,1,Y129)*(1+INDEX('Lease Cycles'!$CI$15:$CO$15,1,Y129))^INT(INT(Y130/12)/INDEX('Lease Cycles'!$CP$15:$CV$15,1,Y129))/12)))),'Lease Cycles'!$C$15*INDEX('Lease Cycles'!$CB$15:$CH$15,1,Y129)*(1+INDEX('Lease Cycles'!$CI$15:$CO$15,1,Y129))^INT(INT(Y130/12)/INDEX('Lease Cycles'!$CP$15:$CV$15,1,Y129))/12),IF(INDEX('Lease Cycles'!$EF$15:$EL$15,1,Y129)=1,IF(AND('Lease Cycles'!$AZ$15&gt;=INDEX('Lease Cycles'!$BG$15:$BM$15,1,Y129),'Lease Cycles'!$AZ$15&lt;=Y$6),'Lease Cycles'!$C$15*'Lease Cycles'!$BA$15/12,IF(AND('Lease Cycles'!$AX$15&gt;=INDEX('Lease Cycles'!$BG$15:$BM$15,1,Y129),'Lease Cycles'!$AX$15&lt;=Y$6),'Lease Cycles'!$C$15*'Lease Cycles'!$AY$15/12,IF(AND('Lease Cycles'!$AV$15&gt;=INDEX('Lease Cycles'!$BG$15:$BM$15,1,Y129),'Lease Cycles'!$AV$15&lt;=Y$6),'Lease Cycles'!$C$15*'Lease Cycles'!$AW$15/12,IF(AND('Lease Cycles'!$AT$15&gt;=INDEX('Lease Cycles'!$BG$15:$BM$15,1,Y129),'Lease Cycles'!$AT$15&lt;=Y$6),'Lease Cycles'!$C$15*'Lease Cycles'!$AU$15/12,'Lease Cycles'!$C$15*INDEX('Lease Cycles'!$CB$15:$CH$15,1,Y129)*(1+INDEX('Lease Cycles'!$CI$15:$CO$15,1,Y129))^INT(INT(Y130/12)/INDEX('Lease Cycles'!$CP$15:$CV$15,1,Y129))/12)))),'Lease Cycles'!$C$15*INDEX('Lease Cycles'!$CB$15:$CH$15,1,Y129)*(1+INDEX('Lease Cycles'!$CI$15:$CO$15,1,Y129))^INT(INT(Y130/12)/INDEX('Lease Cycles'!$CP$15:$CV$15,1,Y129))/12))),IF('Lease Cycles'!$N$15=1,'Lease Cycles'!$C$15*'Lease Cycles'!$E$15*INDEX('Lease Cycles'!$HE$15:$HK$15,1,Y129)*(1+INDEX('Lease Cycles'!$GQ$15:$GW$15,1,Y129))^INT(INT((Y$6-INDEX('Lease Cycles'!$GJ$15:$GP$15,1,Y129))/12)/INDEX('Lease Cycles'!$GX$15:$HD$15,1,Y129))/12,0)))</f>
        <v>3200</v>
      </c>
      <c r="Z132" s="28">
        <f>IF(Z129=0,IF('Lease Cycles'!$F$15&gt;0,'Lease Cycles'!$C$15*'Lease Cycles'!$E$15/12,0),IF(Z131=1,IF('Lease Cycles'!$AT$15&gt;=9999,'Lease Cycles'!$C$15*INDEX('Lease Cycles'!$CB$15:$CH$15,1,Z129)*(1+INDEX('Lease Cycles'!$CI$15:$CO$15,1,Z129))^INT(INT(Z130/12)/INDEX('Lease Cycles'!$CP$15:$CV$15,1,Z129))/12,IF(Z129=1,IF(Z130&gt;=INDEX('Lease Cycles'!$DK$15:$DQ$15,1,Z129),IF(Z$6&gt;='Lease Cycles'!$AZ$15,'Lease Cycles'!$C$15*'Lease Cycles'!$BA$15/12,IF(Z$6&gt;='Lease Cycles'!$AX$15,'Lease Cycles'!$C$15*'Lease Cycles'!$AY$15/12,IF(Z$6&gt;='Lease Cycles'!$AV$15,'Lease Cycles'!$C$15*'Lease Cycles'!$AW$15/12,IF(Z$6&gt;='Lease Cycles'!$AT$15,'Lease Cycles'!$C$15*'Lease Cycles'!$AU$15/12,'Lease Cycles'!$C$15*INDEX('Lease Cycles'!$CB$15:$CH$15,1,Z129)*(1+INDEX('Lease Cycles'!$CI$15:$CO$15,1,Z129))^INT(INT(Z130/12)/INDEX('Lease Cycles'!$CP$15:$CV$15,1,Z129))/12)))),'Lease Cycles'!$C$15*INDEX('Lease Cycles'!$CB$15:$CH$15,1,Z129)*(1+INDEX('Lease Cycles'!$CI$15:$CO$15,1,Z129))^INT(INT(Z130/12)/INDEX('Lease Cycles'!$CP$15:$CV$15,1,Z129))/12),IF(INDEX('Lease Cycles'!$EF$15:$EL$15,1,Z129)=1,IF(AND('Lease Cycles'!$AZ$15&gt;=INDEX('Lease Cycles'!$BG$15:$BM$15,1,Z129),'Lease Cycles'!$AZ$15&lt;=Z$6),'Lease Cycles'!$C$15*'Lease Cycles'!$BA$15/12,IF(AND('Lease Cycles'!$AX$15&gt;=INDEX('Lease Cycles'!$BG$15:$BM$15,1,Z129),'Lease Cycles'!$AX$15&lt;=Z$6),'Lease Cycles'!$C$15*'Lease Cycles'!$AY$15/12,IF(AND('Lease Cycles'!$AV$15&gt;=INDEX('Lease Cycles'!$BG$15:$BM$15,1,Z129),'Lease Cycles'!$AV$15&lt;=Z$6),'Lease Cycles'!$C$15*'Lease Cycles'!$AW$15/12,IF(AND('Lease Cycles'!$AT$15&gt;=INDEX('Lease Cycles'!$BG$15:$BM$15,1,Z129),'Lease Cycles'!$AT$15&lt;=Z$6),'Lease Cycles'!$C$15*'Lease Cycles'!$AU$15/12,'Lease Cycles'!$C$15*INDEX('Lease Cycles'!$CB$15:$CH$15,1,Z129)*(1+INDEX('Lease Cycles'!$CI$15:$CO$15,1,Z129))^INT(INT(Z130/12)/INDEX('Lease Cycles'!$CP$15:$CV$15,1,Z129))/12)))),'Lease Cycles'!$C$15*INDEX('Lease Cycles'!$CB$15:$CH$15,1,Z129)*(1+INDEX('Lease Cycles'!$CI$15:$CO$15,1,Z129))^INT(INT(Z130/12)/INDEX('Lease Cycles'!$CP$15:$CV$15,1,Z129))/12))),IF('Lease Cycles'!$N$15=1,'Lease Cycles'!$C$15*'Lease Cycles'!$E$15*INDEX('Lease Cycles'!$HE$15:$HK$15,1,Z129)*(1+INDEX('Lease Cycles'!$GQ$15:$GW$15,1,Z129))^INT(INT((Z$6-INDEX('Lease Cycles'!$GJ$15:$GP$15,1,Z129))/12)/INDEX('Lease Cycles'!$GX$15:$HD$15,1,Z129))/12,0)))</f>
        <v>3200</v>
      </c>
      <c r="AA132" s="28">
        <f>IF(AA129=0,IF('Lease Cycles'!$F$15&gt;0,'Lease Cycles'!$C$15*'Lease Cycles'!$E$15/12,0),IF(AA131=1,IF('Lease Cycles'!$AT$15&gt;=9999,'Lease Cycles'!$C$15*INDEX('Lease Cycles'!$CB$15:$CH$15,1,AA129)*(1+INDEX('Lease Cycles'!$CI$15:$CO$15,1,AA129))^INT(INT(AA130/12)/INDEX('Lease Cycles'!$CP$15:$CV$15,1,AA129))/12,IF(AA129=1,IF(AA130&gt;=INDEX('Lease Cycles'!$DK$15:$DQ$15,1,AA129),IF(AA$6&gt;='Lease Cycles'!$AZ$15,'Lease Cycles'!$C$15*'Lease Cycles'!$BA$15/12,IF(AA$6&gt;='Lease Cycles'!$AX$15,'Lease Cycles'!$C$15*'Lease Cycles'!$AY$15/12,IF(AA$6&gt;='Lease Cycles'!$AV$15,'Lease Cycles'!$C$15*'Lease Cycles'!$AW$15/12,IF(AA$6&gt;='Lease Cycles'!$AT$15,'Lease Cycles'!$C$15*'Lease Cycles'!$AU$15/12,'Lease Cycles'!$C$15*INDEX('Lease Cycles'!$CB$15:$CH$15,1,AA129)*(1+INDEX('Lease Cycles'!$CI$15:$CO$15,1,AA129))^INT(INT(AA130/12)/INDEX('Lease Cycles'!$CP$15:$CV$15,1,AA129))/12)))),'Lease Cycles'!$C$15*INDEX('Lease Cycles'!$CB$15:$CH$15,1,AA129)*(1+INDEX('Lease Cycles'!$CI$15:$CO$15,1,AA129))^INT(INT(AA130/12)/INDEX('Lease Cycles'!$CP$15:$CV$15,1,AA129))/12),IF(INDEX('Lease Cycles'!$EF$15:$EL$15,1,AA129)=1,IF(AND('Lease Cycles'!$AZ$15&gt;=INDEX('Lease Cycles'!$BG$15:$BM$15,1,AA129),'Lease Cycles'!$AZ$15&lt;=AA$6),'Lease Cycles'!$C$15*'Lease Cycles'!$BA$15/12,IF(AND('Lease Cycles'!$AX$15&gt;=INDEX('Lease Cycles'!$BG$15:$BM$15,1,AA129),'Lease Cycles'!$AX$15&lt;=AA$6),'Lease Cycles'!$C$15*'Lease Cycles'!$AY$15/12,IF(AND('Lease Cycles'!$AV$15&gt;=INDEX('Lease Cycles'!$BG$15:$BM$15,1,AA129),'Lease Cycles'!$AV$15&lt;=AA$6),'Lease Cycles'!$C$15*'Lease Cycles'!$AW$15/12,IF(AND('Lease Cycles'!$AT$15&gt;=INDEX('Lease Cycles'!$BG$15:$BM$15,1,AA129),'Lease Cycles'!$AT$15&lt;=AA$6),'Lease Cycles'!$C$15*'Lease Cycles'!$AU$15/12,'Lease Cycles'!$C$15*INDEX('Lease Cycles'!$CB$15:$CH$15,1,AA129)*(1+INDEX('Lease Cycles'!$CI$15:$CO$15,1,AA129))^INT(INT(AA130/12)/INDEX('Lease Cycles'!$CP$15:$CV$15,1,AA129))/12)))),'Lease Cycles'!$C$15*INDEX('Lease Cycles'!$CB$15:$CH$15,1,AA129)*(1+INDEX('Lease Cycles'!$CI$15:$CO$15,1,AA129))^INT(INT(AA130/12)/INDEX('Lease Cycles'!$CP$15:$CV$15,1,AA129))/12))),IF('Lease Cycles'!$N$15=1,'Lease Cycles'!$C$15*'Lease Cycles'!$E$15*INDEX('Lease Cycles'!$HE$15:$HK$15,1,AA129)*(1+INDEX('Lease Cycles'!$GQ$15:$GW$15,1,AA129))^INT(INT((AA$6-INDEX('Lease Cycles'!$GJ$15:$GP$15,1,AA129))/12)/INDEX('Lease Cycles'!$GX$15:$HD$15,1,AA129))/12,0)))</f>
        <v>3200</v>
      </c>
      <c r="AB132" s="28">
        <f>IF(AB129=0,IF('Lease Cycles'!$F$15&gt;0,'Lease Cycles'!$C$15*'Lease Cycles'!$E$15/12,0),IF(AB131=1,IF('Lease Cycles'!$AT$15&gt;=9999,'Lease Cycles'!$C$15*INDEX('Lease Cycles'!$CB$15:$CH$15,1,AB129)*(1+INDEX('Lease Cycles'!$CI$15:$CO$15,1,AB129))^INT(INT(AB130/12)/INDEX('Lease Cycles'!$CP$15:$CV$15,1,AB129))/12,IF(AB129=1,IF(AB130&gt;=INDEX('Lease Cycles'!$DK$15:$DQ$15,1,AB129),IF(AB$6&gt;='Lease Cycles'!$AZ$15,'Lease Cycles'!$C$15*'Lease Cycles'!$BA$15/12,IF(AB$6&gt;='Lease Cycles'!$AX$15,'Lease Cycles'!$C$15*'Lease Cycles'!$AY$15/12,IF(AB$6&gt;='Lease Cycles'!$AV$15,'Lease Cycles'!$C$15*'Lease Cycles'!$AW$15/12,IF(AB$6&gt;='Lease Cycles'!$AT$15,'Lease Cycles'!$C$15*'Lease Cycles'!$AU$15/12,'Lease Cycles'!$C$15*INDEX('Lease Cycles'!$CB$15:$CH$15,1,AB129)*(1+INDEX('Lease Cycles'!$CI$15:$CO$15,1,AB129))^INT(INT(AB130/12)/INDEX('Lease Cycles'!$CP$15:$CV$15,1,AB129))/12)))),'Lease Cycles'!$C$15*INDEX('Lease Cycles'!$CB$15:$CH$15,1,AB129)*(1+INDEX('Lease Cycles'!$CI$15:$CO$15,1,AB129))^INT(INT(AB130/12)/INDEX('Lease Cycles'!$CP$15:$CV$15,1,AB129))/12),IF(INDEX('Lease Cycles'!$EF$15:$EL$15,1,AB129)=1,IF(AND('Lease Cycles'!$AZ$15&gt;=INDEX('Lease Cycles'!$BG$15:$BM$15,1,AB129),'Lease Cycles'!$AZ$15&lt;=AB$6),'Lease Cycles'!$C$15*'Lease Cycles'!$BA$15/12,IF(AND('Lease Cycles'!$AX$15&gt;=INDEX('Lease Cycles'!$BG$15:$BM$15,1,AB129),'Lease Cycles'!$AX$15&lt;=AB$6),'Lease Cycles'!$C$15*'Lease Cycles'!$AY$15/12,IF(AND('Lease Cycles'!$AV$15&gt;=INDEX('Lease Cycles'!$BG$15:$BM$15,1,AB129),'Lease Cycles'!$AV$15&lt;=AB$6),'Lease Cycles'!$C$15*'Lease Cycles'!$AW$15/12,IF(AND('Lease Cycles'!$AT$15&gt;=INDEX('Lease Cycles'!$BG$15:$BM$15,1,AB129),'Lease Cycles'!$AT$15&lt;=AB$6),'Lease Cycles'!$C$15*'Lease Cycles'!$AU$15/12,'Lease Cycles'!$C$15*INDEX('Lease Cycles'!$CB$15:$CH$15,1,AB129)*(1+INDEX('Lease Cycles'!$CI$15:$CO$15,1,AB129))^INT(INT(AB130/12)/INDEX('Lease Cycles'!$CP$15:$CV$15,1,AB129))/12)))),'Lease Cycles'!$C$15*INDEX('Lease Cycles'!$CB$15:$CH$15,1,AB129)*(1+INDEX('Lease Cycles'!$CI$15:$CO$15,1,AB129))^INT(INT(AB130/12)/INDEX('Lease Cycles'!$CP$15:$CV$15,1,AB129))/12))),IF('Lease Cycles'!$N$15=1,'Lease Cycles'!$C$15*'Lease Cycles'!$E$15*INDEX('Lease Cycles'!$HE$15:$HK$15,1,AB129)*(1+INDEX('Lease Cycles'!$GQ$15:$GW$15,1,AB129))^INT(INT((AB$6-INDEX('Lease Cycles'!$GJ$15:$GP$15,1,AB129))/12)/INDEX('Lease Cycles'!$GX$15:$HD$15,1,AB129))/12,0)))</f>
        <v>3200</v>
      </c>
      <c r="AC132" s="28">
        <f>IF(AC129=0,IF('Lease Cycles'!$F$15&gt;0,'Lease Cycles'!$C$15*'Lease Cycles'!$E$15/12,0),IF(AC131=1,IF('Lease Cycles'!$AT$15&gt;=9999,'Lease Cycles'!$C$15*INDEX('Lease Cycles'!$CB$15:$CH$15,1,AC129)*(1+INDEX('Lease Cycles'!$CI$15:$CO$15,1,AC129))^INT(INT(AC130/12)/INDEX('Lease Cycles'!$CP$15:$CV$15,1,AC129))/12,IF(AC129=1,IF(AC130&gt;=INDEX('Lease Cycles'!$DK$15:$DQ$15,1,AC129),IF(AC$6&gt;='Lease Cycles'!$AZ$15,'Lease Cycles'!$C$15*'Lease Cycles'!$BA$15/12,IF(AC$6&gt;='Lease Cycles'!$AX$15,'Lease Cycles'!$C$15*'Lease Cycles'!$AY$15/12,IF(AC$6&gt;='Lease Cycles'!$AV$15,'Lease Cycles'!$C$15*'Lease Cycles'!$AW$15/12,IF(AC$6&gt;='Lease Cycles'!$AT$15,'Lease Cycles'!$C$15*'Lease Cycles'!$AU$15/12,'Lease Cycles'!$C$15*INDEX('Lease Cycles'!$CB$15:$CH$15,1,AC129)*(1+INDEX('Lease Cycles'!$CI$15:$CO$15,1,AC129))^INT(INT(AC130/12)/INDEX('Lease Cycles'!$CP$15:$CV$15,1,AC129))/12)))),'Lease Cycles'!$C$15*INDEX('Lease Cycles'!$CB$15:$CH$15,1,AC129)*(1+INDEX('Lease Cycles'!$CI$15:$CO$15,1,AC129))^INT(INT(AC130/12)/INDEX('Lease Cycles'!$CP$15:$CV$15,1,AC129))/12),IF(INDEX('Lease Cycles'!$EF$15:$EL$15,1,AC129)=1,IF(AND('Lease Cycles'!$AZ$15&gt;=INDEX('Lease Cycles'!$BG$15:$BM$15,1,AC129),'Lease Cycles'!$AZ$15&lt;=AC$6),'Lease Cycles'!$C$15*'Lease Cycles'!$BA$15/12,IF(AND('Lease Cycles'!$AX$15&gt;=INDEX('Lease Cycles'!$BG$15:$BM$15,1,AC129),'Lease Cycles'!$AX$15&lt;=AC$6),'Lease Cycles'!$C$15*'Lease Cycles'!$AY$15/12,IF(AND('Lease Cycles'!$AV$15&gt;=INDEX('Lease Cycles'!$BG$15:$BM$15,1,AC129),'Lease Cycles'!$AV$15&lt;=AC$6),'Lease Cycles'!$C$15*'Lease Cycles'!$AW$15/12,IF(AND('Lease Cycles'!$AT$15&gt;=INDEX('Lease Cycles'!$BG$15:$BM$15,1,AC129),'Lease Cycles'!$AT$15&lt;=AC$6),'Lease Cycles'!$C$15*'Lease Cycles'!$AU$15/12,'Lease Cycles'!$C$15*INDEX('Lease Cycles'!$CB$15:$CH$15,1,AC129)*(1+INDEX('Lease Cycles'!$CI$15:$CO$15,1,AC129))^INT(INT(AC130/12)/INDEX('Lease Cycles'!$CP$15:$CV$15,1,AC129))/12)))),'Lease Cycles'!$C$15*INDEX('Lease Cycles'!$CB$15:$CH$15,1,AC129)*(1+INDEX('Lease Cycles'!$CI$15:$CO$15,1,AC129))^INT(INT(AC130/12)/INDEX('Lease Cycles'!$CP$15:$CV$15,1,AC129))/12))),IF('Lease Cycles'!$N$15=1,'Lease Cycles'!$C$15*'Lease Cycles'!$E$15*INDEX('Lease Cycles'!$HE$15:$HK$15,1,AC129)*(1+INDEX('Lease Cycles'!$GQ$15:$GW$15,1,AC129))^INT(INT((AC$6-INDEX('Lease Cycles'!$GJ$15:$GP$15,1,AC129))/12)/INDEX('Lease Cycles'!$GX$15:$HD$15,1,AC129))/12,0)))</f>
        <v>3200</v>
      </c>
      <c r="AD132" s="28">
        <f>IF(AD129=0,IF('Lease Cycles'!$F$15&gt;0,'Lease Cycles'!$C$15*'Lease Cycles'!$E$15/12,0),IF(AD131=1,IF('Lease Cycles'!$AT$15&gt;=9999,'Lease Cycles'!$C$15*INDEX('Lease Cycles'!$CB$15:$CH$15,1,AD129)*(1+INDEX('Lease Cycles'!$CI$15:$CO$15,1,AD129))^INT(INT(AD130/12)/INDEX('Lease Cycles'!$CP$15:$CV$15,1,AD129))/12,IF(AD129=1,IF(AD130&gt;=INDEX('Lease Cycles'!$DK$15:$DQ$15,1,AD129),IF(AD$6&gt;='Lease Cycles'!$AZ$15,'Lease Cycles'!$C$15*'Lease Cycles'!$BA$15/12,IF(AD$6&gt;='Lease Cycles'!$AX$15,'Lease Cycles'!$C$15*'Lease Cycles'!$AY$15/12,IF(AD$6&gt;='Lease Cycles'!$AV$15,'Lease Cycles'!$C$15*'Lease Cycles'!$AW$15/12,IF(AD$6&gt;='Lease Cycles'!$AT$15,'Lease Cycles'!$C$15*'Lease Cycles'!$AU$15/12,'Lease Cycles'!$C$15*INDEX('Lease Cycles'!$CB$15:$CH$15,1,AD129)*(1+INDEX('Lease Cycles'!$CI$15:$CO$15,1,AD129))^INT(INT(AD130/12)/INDEX('Lease Cycles'!$CP$15:$CV$15,1,AD129))/12)))),'Lease Cycles'!$C$15*INDEX('Lease Cycles'!$CB$15:$CH$15,1,AD129)*(1+INDEX('Lease Cycles'!$CI$15:$CO$15,1,AD129))^INT(INT(AD130/12)/INDEX('Lease Cycles'!$CP$15:$CV$15,1,AD129))/12),IF(INDEX('Lease Cycles'!$EF$15:$EL$15,1,AD129)=1,IF(AND('Lease Cycles'!$AZ$15&gt;=INDEX('Lease Cycles'!$BG$15:$BM$15,1,AD129),'Lease Cycles'!$AZ$15&lt;=AD$6),'Lease Cycles'!$C$15*'Lease Cycles'!$BA$15/12,IF(AND('Lease Cycles'!$AX$15&gt;=INDEX('Lease Cycles'!$BG$15:$BM$15,1,AD129),'Lease Cycles'!$AX$15&lt;=AD$6),'Lease Cycles'!$C$15*'Lease Cycles'!$AY$15/12,IF(AND('Lease Cycles'!$AV$15&gt;=INDEX('Lease Cycles'!$BG$15:$BM$15,1,AD129),'Lease Cycles'!$AV$15&lt;=AD$6),'Lease Cycles'!$C$15*'Lease Cycles'!$AW$15/12,IF(AND('Lease Cycles'!$AT$15&gt;=INDEX('Lease Cycles'!$BG$15:$BM$15,1,AD129),'Lease Cycles'!$AT$15&lt;=AD$6),'Lease Cycles'!$C$15*'Lease Cycles'!$AU$15/12,'Lease Cycles'!$C$15*INDEX('Lease Cycles'!$CB$15:$CH$15,1,AD129)*(1+INDEX('Lease Cycles'!$CI$15:$CO$15,1,AD129))^INT(INT(AD130/12)/INDEX('Lease Cycles'!$CP$15:$CV$15,1,AD129))/12)))),'Lease Cycles'!$C$15*INDEX('Lease Cycles'!$CB$15:$CH$15,1,AD129)*(1+INDEX('Lease Cycles'!$CI$15:$CO$15,1,AD129))^INT(INT(AD130/12)/INDEX('Lease Cycles'!$CP$15:$CV$15,1,AD129))/12))),IF('Lease Cycles'!$N$15=1,'Lease Cycles'!$C$15*'Lease Cycles'!$E$15*INDEX('Lease Cycles'!$HE$15:$HK$15,1,AD129)*(1+INDEX('Lease Cycles'!$GQ$15:$GW$15,1,AD129))^INT(INT((AD$6-INDEX('Lease Cycles'!$GJ$15:$GP$15,1,AD129))/12)/INDEX('Lease Cycles'!$GX$15:$HD$15,1,AD129))/12,0)))</f>
        <v>3200</v>
      </c>
      <c r="AE132" s="28">
        <f>IF(AE129=0,IF('Lease Cycles'!$F$15&gt;0,'Lease Cycles'!$C$15*'Lease Cycles'!$E$15/12,0),IF(AE131=1,IF('Lease Cycles'!$AT$15&gt;=9999,'Lease Cycles'!$C$15*INDEX('Lease Cycles'!$CB$15:$CH$15,1,AE129)*(1+INDEX('Lease Cycles'!$CI$15:$CO$15,1,AE129))^INT(INT(AE130/12)/INDEX('Lease Cycles'!$CP$15:$CV$15,1,AE129))/12,IF(AE129=1,IF(AE130&gt;=INDEX('Lease Cycles'!$DK$15:$DQ$15,1,AE129),IF(AE$6&gt;='Lease Cycles'!$AZ$15,'Lease Cycles'!$C$15*'Lease Cycles'!$BA$15/12,IF(AE$6&gt;='Lease Cycles'!$AX$15,'Lease Cycles'!$C$15*'Lease Cycles'!$AY$15/12,IF(AE$6&gt;='Lease Cycles'!$AV$15,'Lease Cycles'!$C$15*'Lease Cycles'!$AW$15/12,IF(AE$6&gt;='Lease Cycles'!$AT$15,'Lease Cycles'!$C$15*'Lease Cycles'!$AU$15/12,'Lease Cycles'!$C$15*INDEX('Lease Cycles'!$CB$15:$CH$15,1,AE129)*(1+INDEX('Lease Cycles'!$CI$15:$CO$15,1,AE129))^INT(INT(AE130/12)/INDEX('Lease Cycles'!$CP$15:$CV$15,1,AE129))/12)))),'Lease Cycles'!$C$15*INDEX('Lease Cycles'!$CB$15:$CH$15,1,AE129)*(1+INDEX('Lease Cycles'!$CI$15:$CO$15,1,AE129))^INT(INT(AE130/12)/INDEX('Lease Cycles'!$CP$15:$CV$15,1,AE129))/12),IF(INDEX('Lease Cycles'!$EF$15:$EL$15,1,AE129)=1,IF(AND('Lease Cycles'!$AZ$15&gt;=INDEX('Lease Cycles'!$BG$15:$BM$15,1,AE129),'Lease Cycles'!$AZ$15&lt;=AE$6),'Lease Cycles'!$C$15*'Lease Cycles'!$BA$15/12,IF(AND('Lease Cycles'!$AX$15&gt;=INDEX('Lease Cycles'!$BG$15:$BM$15,1,AE129),'Lease Cycles'!$AX$15&lt;=AE$6),'Lease Cycles'!$C$15*'Lease Cycles'!$AY$15/12,IF(AND('Lease Cycles'!$AV$15&gt;=INDEX('Lease Cycles'!$BG$15:$BM$15,1,AE129),'Lease Cycles'!$AV$15&lt;=AE$6),'Lease Cycles'!$C$15*'Lease Cycles'!$AW$15/12,IF(AND('Lease Cycles'!$AT$15&gt;=INDEX('Lease Cycles'!$BG$15:$BM$15,1,AE129),'Lease Cycles'!$AT$15&lt;=AE$6),'Lease Cycles'!$C$15*'Lease Cycles'!$AU$15/12,'Lease Cycles'!$C$15*INDEX('Lease Cycles'!$CB$15:$CH$15,1,AE129)*(1+INDEX('Lease Cycles'!$CI$15:$CO$15,1,AE129))^INT(INT(AE130/12)/INDEX('Lease Cycles'!$CP$15:$CV$15,1,AE129))/12)))),'Lease Cycles'!$C$15*INDEX('Lease Cycles'!$CB$15:$CH$15,1,AE129)*(1+INDEX('Lease Cycles'!$CI$15:$CO$15,1,AE129))^INT(INT(AE130/12)/INDEX('Lease Cycles'!$CP$15:$CV$15,1,AE129))/12))),IF('Lease Cycles'!$N$15=1,'Lease Cycles'!$C$15*'Lease Cycles'!$E$15*INDEX('Lease Cycles'!$HE$15:$HK$15,1,AE129)*(1+INDEX('Lease Cycles'!$GQ$15:$GW$15,1,AE129))^INT(INT((AE$6-INDEX('Lease Cycles'!$GJ$15:$GP$15,1,AE129))/12)/INDEX('Lease Cycles'!$GX$15:$HD$15,1,AE129))/12,0)))</f>
        <v>3200</v>
      </c>
      <c r="AF132" s="28">
        <f>IF(AF129=0,IF('Lease Cycles'!$F$15&gt;0,'Lease Cycles'!$C$15*'Lease Cycles'!$E$15/12,0),IF(AF131=1,IF('Lease Cycles'!$AT$15&gt;=9999,'Lease Cycles'!$C$15*INDEX('Lease Cycles'!$CB$15:$CH$15,1,AF129)*(1+INDEX('Lease Cycles'!$CI$15:$CO$15,1,AF129))^INT(INT(AF130/12)/INDEX('Lease Cycles'!$CP$15:$CV$15,1,AF129))/12,IF(AF129=1,IF(AF130&gt;=INDEX('Lease Cycles'!$DK$15:$DQ$15,1,AF129),IF(AF$6&gt;='Lease Cycles'!$AZ$15,'Lease Cycles'!$C$15*'Lease Cycles'!$BA$15/12,IF(AF$6&gt;='Lease Cycles'!$AX$15,'Lease Cycles'!$C$15*'Lease Cycles'!$AY$15/12,IF(AF$6&gt;='Lease Cycles'!$AV$15,'Lease Cycles'!$C$15*'Lease Cycles'!$AW$15/12,IF(AF$6&gt;='Lease Cycles'!$AT$15,'Lease Cycles'!$C$15*'Lease Cycles'!$AU$15/12,'Lease Cycles'!$C$15*INDEX('Lease Cycles'!$CB$15:$CH$15,1,AF129)*(1+INDEX('Lease Cycles'!$CI$15:$CO$15,1,AF129))^INT(INT(AF130/12)/INDEX('Lease Cycles'!$CP$15:$CV$15,1,AF129))/12)))),'Lease Cycles'!$C$15*INDEX('Lease Cycles'!$CB$15:$CH$15,1,AF129)*(1+INDEX('Lease Cycles'!$CI$15:$CO$15,1,AF129))^INT(INT(AF130/12)/INDEX('Lease Cycles'!$CP$15:$CV$15,1,AF129))/12),IF(INDEX('Lease Cycles'!$EF$15:$EL$15,1,AF129)=1,IF(AND('Lease Cycles'!$AZ$15&gt;=INDEX('Lease Cycles'!$BG$15:$BM$15,1,AF129),'Lease Cycles'!$AZ$15&lt;=AF$6),'Lease Cycles'!$C$15*'Lease Cycles'!$BA$15/12,IF(AND('Lease Cycles'!$AX$15&gt;=INDEX('Lease Cycles'!$BG$15:$BM$15,1,AF129),'Lease Cycles'!$AX$15&lt;=AF$6),'Lease Cycles'!$C$15*'Lease Cycles'!$AY$15/12,IF(AND('Lease Cycles'!$AV$15&gt;=INDEX('Lease Cycles'!$BG$15:$BM$15,1,AF129),'Lease Cycles'!$AV$15&lt;=AF$6),'Lease Cycles'!$C$15*'Lease Cycles'!$AW$15/12,IF(AND('Lease Cycles'!$AT$15&gt;=INDEX('Lease Cycles'!$BG$15:$BM$15,1,AF129),'Lease Cycles'!$AT$15&lt;=AF$6),'Lease Cycles'!$C$15*'Lease Cycles'!$AU$15/12,'Lease Cycles'!$C$15*INDEX('Lease Cycles'!$CB$15:$CH$15,1,AF129)*(1+INDEX('Lease Cycles'!$CI$15:$CO$15,1,AF129))^INT(INT(AF130/12)/INDEX('Lease Cycles'!$CP$15:$CV$15,1,AF129))/12)))),'Lease Cycles'!$C$15*INDEX('Lease Cycles'!$CB$15:$CH$15,1,AF129)*(1+INDEX('Lease Cycles'!$CI$15:$CO$15,1,AF129))^INT(INT(AF130/12)/INDEX('Lease Cycles'!$CP$15:$CV$15,1,AF129))/12))),IF('Lease Cycles'!$N$15=1,'Lease Cycles'!$C$15*'Lease Cycles'!$E$15*INDEX('Lease Cycles'!$HE$15:$HK$15,1,AF129)*(1+INDEX('Lease Cycles'!$GQ$15:$GW$15,1,AF129))^INT(INT((AF$6-INDEX('Lease Cycles'!$GJ$15:$GP$15,1,AF129))/12)/INDEX('Lease Cycles'!$GX$15:$HD$15,1,AF129))/12,0)))</f>
        <v>3200</v>
      </c>
      <c r="AG132" s="28">
        <f>IF(AG129=0,IF('Lease Cycles'!$F$15&gt;0,'Lease Cycles'!$C$15*'Lease Cycles'!$E$15/12,0),IF(AG131=1,IF('Lease Cycles'!$AT$15&gt;=9999,'Lease Cycles'!$C$15*INDEX('Lease Cycles'!$CB$15:$CH$15,1,AG129)*(1+INDEX('Lease Cycles'!$CI$15:$CO$15,1,AG129))^INT(INT(AG130/12)/INDEX('Lease Cycles'!$CP$15:$CV$15,1,AG129))/12,IF(AG129=1,IF(AG130&gt;=INDEX('Lease Cycles'!$DK$15:$DQ$15,1,AG129),IF(AG$6&gt;='Lease Cycles'!$AZ$15,'Lease Cycles'!$C$15*'Lease Cycles'!$BA$15/12,IF(AG$6&gt;='Lease Cycles'!$AX$15,'Lease Cycles'!$C$15*'Lease Cycles'!$AY$15/12,IF(AG$6&gt;='Lease Cycles'!$AV$15,'Lease Cycles'!$C$15*'Lease Cycles'!$AW$15/12,IF(AG$6&gt;='Lease Cycles'!$AT$15,'Lease Cycles'!$C$15*'Lease Cycles'!$AU$15/12,'Lease Cycles'!$C$15*INDEX('Lease Cycles'!$CB$15:$CH$15,1,AG129)*(1+INDEX('Lease Cycles'!$CI$15:$CO$15,1,AG129))^INT(INT(AG130/12)/INDEX('Lease Cycles'!$CP$15:$CV$15,1,AG129))/12)))),'Lease Cycles'!$C$15*INDEX('Lease Cycles'!$CB$15:$CH$15,1,AG129)*(1+INDEX('Lease Cycles'!$CI$15:$CO$15,1,AG129))^INT(INT(AG130/12)/INDEX('Lease Cycles'!$CP$15:$CV$15,1,AG129))/12),IF(INDEX('Lease Cycles'!$EF$15:$EL$15,1,AG129)=1,IF(AND('Lease Cycles'!$AZ$15&gt;=INDEX('Lease Cycles'!$BG$15:$BM$15,1,AG129),'Lease Cycles'!$AZ$15&lt;=AG$6),'Lease Cycles'!$C$15*'Lease Cycles'!$BA$15/12,IF(AND('Lease Cycles'!$AX$15&gt;=INDEX('Lease Cycles'!$BG$15:$BM$15,1,AG129),'Lease Cycles'!$AX$15&lt;=AG$6),'Lease Cycles'!$C$15*'Lease Cycles'!$AY$15/12,IF(AND('Lease Cycles'!$AV$15&gt;=INDEX('Lease Cycles'!$BG$15:$BM$15,1,AG129),'Lease Cycles'!$AV$15&lt;=AG$6),'Lease Cycles'!$C$15*'Lease Cycles'!$AW$15/12,IF(AND('Lease Cycles'!$AT$15&gt;=INDEX('Lease Cycles'!$BG$15:$BM$15,1,AG129),'Lease Cycles'!$AT$15&lt;=AG$6),'Lease Cycles'!$C$15*'Lease Cycles'!$AU$15/12,'Lease Cycles'!$C$15*INDEX('Lease Cycles'!$CB$15:$CH$15,1,AG129)*(1+INDEX('Lease Cycles'!$CI$15:$CO$15,1,AG129))^INT(INT(AG130/12)/INDEX('Lease Cycles'!$CP$15:$CV$15,1,AG129))/12)))),'Lease Cycles'!$C$15*INDEX('Lease Cycles'!$CB$15:$CH$15,1,AG129)*(1+INDEX('Lease Cycles'!$CI$15:$CO$15,1,AG129))^INT(INT(AG130/12)/INDEX('Lease Cycles'!$CP$15:$CV$15,1,AG129))/12))),IF('Lease Cycles'!$N$15=1,'Lease Cycles'!$C$15*'Lease Cycles'!$E$15*INDEX('Lease Cycles'!$HE$15:$HK$15,1,AG129)*(1+INDEX('Lease Cycles'!$GQ$15:$GW$15,1,AG129))^INT(INT((AG$6-INDEX('Lease Cycles'!$GJ$15:$GP$15,1,AG129))/12)/INDEX('Lease Cycles'!$GX$15:$HD$15,1,AG129))/12,0)))</f>
        <v>3200</v>
      </c>
      <c r="AH132" s="28">
        <f>IF(AH129=0,IF('Lease Cycles'!$F$15&gt;0,'Lease Cycles'!$C$15*'Lease Cycles'!$E$15/12,0),IF(AH131=1,IF('Lease Cycles'!$AT$15&gt;=9999,'Lease Cycles'!$C$15*INDEX('Lease Cycles'!$CB$15:$CH$15,1,AH129)*(1+INDEX('Lease Cycles'!$CI$15:$CO$15,1,AH129))^INT(INT(AH130/12)/INDEX('Lease Cycles'!$CP$15:$CV$15,1,AH129))/12,IF(AH129=1,IF(AH130&gt;=INDEX('Lease Cycles'!$DK$15:$DQ$15,1,AH129),IF(AH$6&gt;='Lease Cycles'!$AZ$15,'Lease Cycles'!$C$15*'Lease Cycles'!$BA$15/12,IF(AH$6&gt;='Lease Cycles'!$AX$15,'Lease Cycles'!$C$15*'Lease Cycles'!$AY$15/12,IF(AH$6&gt;='Lease Cycles'!$AV$15,'Lease Cycles'!$C$15*'Lease Cycles'!$AW$15/12,IF(AH$6&gt;='Lease Cycles'!$AT$15,'Lease Cycles'!$C$15*'Lease Cycles'!$AU$15/12,'Lease Cycles'!$C$15*INDEX('Lease Cycles'!$CB$15:$CH$15,1,AH129)*(1+INDEX('Lease Cycles'!$CI$15:$CO$15,1,AH129))^INT(INT(AH130/12)/INDEX('Lease Cycles'!$CP$15:$CV$15,1,AH129))/12)))),'Lease Cycles'!$C$15*INDEX('Lease Cycles'!$CB$15:$CH$15,1,AH129)*(1+INDEX('Lease Cycles'!$CI$15:$CO$15,1,AH129))^INT(INT(AH130/12)/INDEX('Lease Cycles'!$CP$15:$CV$15,1,AH129))/12),IF(INDEX('Lease Cycles'!$EF$15:$EL$15,1,AH129)=1,IF(AND('Lease Cycles'!$AZ$15&gt;=INDEX('Lease Cycles'!$BG$15:$BM$15,1,AH129),'Lease Cycles'!$AZ$15&lt;=AH$6),'Lease Cycles'!$C$15*'Lease Cycles'!$BA$15/12,IF(AND('Lease Cycles'!$AX$15&gt;=INDEX('Lease Cycles'!$BG$15:$BM$15,1,AH129),'Lease Cycles'!$AX$15&lt;=AH$6),'Lease Cycles'!$C$15*'Lease Cycles'!$AY$15/12,IF(AND('Lease Cycles'!$AV$15&gt;=INDEX('Lease Cycles'!$BG$15:$BM$15,1,AH129),'Lease Cycles'!$AV$15&lt;=AH$6),'Lease Cycles'!$C$15*'Lease Cycles'!$AW$15/12,IF(AND('Lease Cycles'!$AT$15&gt;=INDEX('Lease Cycles'!$BG$15:$BM$15,1,AH129),'Lease Cycles'!$AT$15&lt;=AH$6),'Lease Cycles'!$C$15*'Lease Cycles'!$AU$15/12,'Lease Cycles'!$C$15*INDEX('Lease Cycles'!$CB$15:$CH$15,1,AH129)*(1+INDEX('Lease Cycles'!$CI$15:$CO$15,1,AH129))^INT(INT(AH130/12)/INDEX('Lease Cycles'!$CP$15:$CV$15,1,AH129))/12)))),'Lease Cycles'!$C$15*INDEX('Lease Cycles'!$CB$15:$CH$15,1,AH129)*(1+INDEX('Lease Cycles'!$CI$15:$CO$15,1,AH129))^INT(INT(AH130/12)/INDEX('Lease Cycles'!$CP$15:$CV$15,1,AH129))/12))),IF('Lease Cycles'!$N$15=1,'Lease Cycles'!$C$15*'Lease Cycles'!$E$15*INDEX('Lease Cycles'!$HE$15:$HK$15,1,AH129)*(1+INDEX('Lease Cycles'!$GQ$15:$GW$15,1,AH129))^INT(INT((AH$6-INDEX('Lease Cycles'!$GJ$15:$GP$15,1,AH129))/12)/INDEX('Lease Cycles'!$GX$15:$HD$15,1,AH129))/12,0)))</f>
        <v>3200</v>
      </c>
      <c r="AI132" s="28">
        <f>IF(AI129=0,IF('Lease Cycles'!$F$15&gt;0,'Lease Cycles'!$C$15*'Lease Cycles'!$E$15/12,0),IF(AI131=1,IF('Lease Cycles'!$AT$15&gt;=9999,'Lease Cycles'!$C$15*INDEX('Lease Cycles'!$CB$15:$CH$15,1,AI129)*(1+INDEX('Lease Cycles'!$CI$15:$CO$15,1,AI129))^INT(INT(AI130/12)/INDEX('Lease Cycles'!$CP$15:$CV$15,1,AI129))/12,IF(AI129=1,IF(AI130&gt;=INDEX('Lease Cycles'!$DK$15:$DQ$15,1,AI129),IF(AI$6&gt;='Lease Cycles'!$AZ$15,'Lease Cycles'!$C$15*'Lease Cycles'!$BA$15/12,IF(AI$6&gt;='Lease Cycles'!$AX$15,'Lease Cycles'!$C$15*'Lease Cycles'!$AY$15/12,IF(AI$6&gt;='Lease Cycles'!$AV$15,'Lease Cycles'!$C$15*'Lease Cycles'!$AW$15/12,IF(AI$6&gt;='Lease Cycles'!$AT$15,'Lease Cycles'!$C$15*'Lease Cycles'!$AU$15/12,'Lease Cycles'!$C$15*INDEX('Lease Cycles'!$CB$15:$CH$15,1,AI129)*(1+INDEX('Lease Cycles'!$CI$15:$CO$15,1,AI129))^INT(INT(AI130/12)/INDEX('Lease Cycles'!$CP$15:$CV$15,1,AI129))/12)))),'Lease Cycles'!$C$15*INDEX('Lease Cycles'!$CB$15:$CH$15,1,AI129)*(1+INDEX('Lease Cycles'!$CI$15:$CO$15,1,AI129))^INT(INT(AI130/12)/INDEX('Lease Cycles'!$CP$15:$CV$15,1,AI129))/12),IF(INDEX('Lease Cycles'!$EF$15:$EL$15,1,AI129)=1,IF(AND('Lease Cycles'!$AZ$15&gt;=INDEX('Lease Cycles'!$BG$15:$BM$15,1,AI129),'Lease Cycles'!$AZ$15&lt;=AI$6),'Lease Cycles'!$C$15*'Lease Cycles'!$BA$15/12,IF(AND('Lease Cycles'!$AX$15&gt;=INDEX('Lease Cycles'!$BG$15:$BM$15,1,AI129),'Lease Cycles'!$AX$15&lt;=AI$6),'Lease Cycles'!$C$15*'Lease Cycles'!$AY$15/12,IF(AND('Lease Cycles'!$AV$15&gt;=INDEX('Lease Cycles'!$BG$15:$BM$15,1,AI129),'Lease Cycles'!$AV$15&lt;=AI$6),'Lease Cycles'!$C$15*'Lease Cycles'!$AW$15/12,IF(AND('Lease Cycles'!$AT$15&gt;=INDEX('Lease Cycles'!$BG$15:$BM$15,1,AI129),'Lease Cycles'!$AT$15&lt;=AI$6),'Lease Cycles'!$C$15*'Lease Cycles'!$AU$15/12,'Lease Cycles'!$C$15*INDEX('Lease Cycles'!$CB$15:$CH$15,1,AI129)*(1+INDEX('Lease Cycles'!$CI$15:$CO$15,1,AI129))^INT(INT(AI130/12)/INDEX('Lease Cycles'!$CP$15:$CV$15,1,AI129))/12)))),'Lease Cycles'!$C$15*INDEX('Lease Cycles'!$CB$15:$CH$15,1,AI129)*(1+INDEX('Lease Cycles'!$CI$15:$CO$15,1,AI129))^INT(INT(AI130/12)/INDEX('Lease Cycles'!$CP$15:$CV$15,1,AI129))/12))),IF('Lease Cycles'!$N$15=1,'Lease Cycles'!$C$15*'Lease Cycles'!$E$15*INDEX('Lease Cycles'!$HE$15:$HK$15,1,AI129)*(1+INDEX('Lease Cycles'!$GQ$15:$GW$15,1,AI129))^INT(INT((AI$6-INDEX('Lease Cycles'!$GJ$15:$GP$15,1,AI129))/12)/INDEX('Lease Cycles'!$GX$15:$HD$15,1,AI129))/12,0)))</f>
        <v>3200</v>
      </c>
      <c r="AJ132" s="28">
        <f>IF(AJ129=0,IF('Lease Cycles'!$F$15&gt;0,'Lease Cycles'!$C$15*'Lease Cycles'!$E$15/12,0),IF(AJ131=1,IF('Lease Cycles'!$AT$15&gt;=9999,'Lease Cycles'!$C$15*INDEX('Lease Cycles'!$CB$15:$CH$15,1,AJ129)*(1+INDEX('Lease Cycles'!$CI$15:$CO$15,1,AJ129))^INT(INT(AJ130/12)/INDEX('Lease Cycles'!$CP$15:$CV$15,1,AJ129))/12,IF(AJ129=1,IF(AJ130&gt;=INDEX('Lease Cycles'!$DK$15:$DQ$15,1,AJ129),IF(AJ$6&gt;='Lease Cycles'!$AZ$15,'Lease Cycles'!$C$15*'Lease Cycles'!$BA$15/12,IF(AJ$6&gt;='Lease Cycles'!$AX$15,'Lease Cycles'!$C$15*'Lease Cycles'!$AY$15/12,IF(AJ$6&gt;='Lease Cycles'!$AV$15,'Lease Cycles'!$C$15*'Lease Cycles'!$AW$15/12,IF(AJ$6&gt;='Lease Cycles'!$AT$15,'Lease Cycles'!$C$15*'Lease Cycles'!$AU$15/12,'Lease Cycles'!$C$15*INDEX('Lease Cycles'!$CB$15:$CH$15,1,AJ129)*(1+INDEX('Lease Cycles'!$CI$15:$CO$15,1,AJ129))^INT(INT(AJ130/12)/INDEX('Lease Cycles'!$CP$15:$CV$15,1,AJ129))/12)))),'Lease Cycles'!$C$15*INDEX('Lease Cycles'!$CB$15:$CH$15,1,AJ129)*(1+INDEX('Lease Cycles'!$CI$15:$CO$15,1,AJ129))^INT(INT(AJ130/12)/INDEX('Lease Cycles'!$CP$15:$CV$15,1,AJ129))/12),IF(INDEX('Lease Cycles'!$EF$15:$EL$15,1,AJ129)=1,IF(AND('Lease Cycles'!$AZ$15&gt;=INDEX('Lease Cycles'!$BG$15:$BM$15,1,AJ129),'Lease Cycles'!$AZ$15&lt;=AJ$6),'Lease Cycles'!$C$15*'Lease Cycles'!$BA$15/12,IF(AND('Lease Cycles'!$AX$15&gt;=INDEX('Lease Cycles'!$BG$15:$BM$15,1,AJ129),'Lease Cycles'!$AX$15&lt;=AJ$6),'Lease Cycles'!$C$15*'Lease Cycles'!$AY$15/12,IF(AND('Lease Cycles'!$AV$15&gt;=INDEX('Lease Cycles'!$BG$15:$BM$15,1,AJ129),'Lease Cycles'!$AV$15&lt;=AJ$6),'Lease Cycles'!$C$15*'Lease Cycles'!$AW$15/12,IF(AND('Lease Cycles'!$AT$15&gt;=INDEX('Lease Cycles'!$BG$15:$BM$15,1,AJ129),'Lease Cycles'!$AT$15&lt;=AJ$6),'Lease Cycles'!$C$15*'Lease Cycles'!$AU$15/12,'Lease Cycles'!$C$15*INDEX('Lease Cycles'!$CB$15:$CH$15,1,AJ129)*(1+INDEX('Lease Cycles'!$CI$15:$CO$15,1,AJ129))^INT(INT(AJ130/12)/INDEX('Lease Cycles'!$CP$15:$CV$15,1,AJ129))/12)))),'Lease Cycles'!$C$15*INDEX('Lease Cycles'!$CB$15:$CH$15,1,AJ129)*(1+INDEX('Lease Cycles'!$CI$15:$CO$15,1,AJ129))^INT(INT(AJ130/12)/INDEX('Lease Cycles'!$CP$15:$CV$15,1,AJ129))/12))),IF('Lease Cycles'!$N$15=1,'Lease Cycles'!$C$15*'Lease Cycles'!$E$15*INDEX('Lease Cycles'!$HE$15:$HK$15,1,AJ129)*(1+INDEX('Lease Cycles'!$GQ$15:$GW$15,1,AJ129))^INT(INT((AJ$6-INDEX('Lease Cycles'!$GJ$15:$GP$15,1,AJ129))/12)/INDEX('Lease Cycles'!$GX$15:$HD$15,1,AJ129))/12,0)))</f>
        <v>3200</v>
      </c>
      <c r="AK132" s="28">
        <f>IF(AK129=0,IF('Lease Cycles'!$F$15&gt;0,'Lease Cycles'!$C$15*'Lease Cycles'!$E$15/12,0),IF(AK131=1,IF('Lease Cycles'!$AT$15&gt;=9999,'Lease Cycles'!$C$15*INDEX('Lease Cycles'!$CB$15:$CH$15,1,AK129)*(1+INDEX('Lease Cycles'!$CI$15:$CO$15,1,AK129))^INT(INT(AK130/12)/INDEX('Lease Cycles'!$CP$15:$CV$15,1,AK129))/12,IF(AK129=1,IF(AK130&gt;=INDEX('Lease Cycles'!$DK$15:$DQ$15,1,AK129),IF(AK$6&gt;='Lease Cycles'!$AZ$15,'Lease Cycles'!$C$15*'Lease Cycles'!$BA$15/12,IF(AK$6&gt;='Lease Cycles'!$AX$15,'Lease Cycles'!$C$15*'Lease Cycles'!$AY$15/12,IF(AK$6&gt;='Lease Cycles'!$AV$15,'Lease Cycles'!$C$15*'Lease Cycles'!$AW$15/12,IF(AK$6&gt;='Lease Cycles'!$AT$15,'Lease Cycles'!$C$15*'Lease Cycles'!$AU$15/12,'Lease Cycles'!$C$15*INDEX('Lease Cycles'!$CB$15:$CH$15,1,AK129)*(1+INDEX('Lease Cycles'!$CI$15:$CO$15,1,AK129))^INT(INT(AK130/12)/INDEX('Lease Cycles'!$CP$15:$CV$15,1,AK129))/12)))),'Lease Cycles'!$C$15*INDEX('Lease Cycles'!$CB$15:$CH$15,1,AK129)*(1+INDEX('Lease Cycles'!$CI$15:$CO$15,1,AK129))^INT(INT(AK130/12)/INDEX('Lease Cycles'!$CP$15:$CV$15,1,AK129))/12),IF(INDEX('Lease Cycles'!$EF$15:$EL$15,1,AK129)=1,IF(AND('Lease Cycles'!$AZ$15&gt;=INDEX('Lease Cycles'!$BG$15:$BM$15,1,AK129),'Lease Cycles'!$AZ$15&lt;=AK$6),'Lease Cycles'!$C$15*'Lease Cycles'!$BA$15/12,IF(AND('Lease Cycles'!$AX$15&gt;=INDEX('Lease Cycles'!$BG$15:$BM$15,1,AK129),'Lease Cycles'!$AX$15&lt;=AK$6),'Lease Cycles'!$C$15*'Lease Cycles'!$AY$15/12,IF(AND('Lease Cycles'!$AV$15&gt;=INDEX('Lease Cycles'!$BG$15:$BM$15,1,AK129),'Lease Cycles'!$AV$15&lt;=AK$6),'Lease Cycles'!$C$15*'Lease Cycles'!$AW$15/12,IF(AND('Lease Cycles'!$AT$15&gt;=INDEX('Lease Cycles'!$BG$15:$BM$15,1,AK129),'Lease Cycles'!$AT$15&lt;=AK$6),'Lease Cycles'!$C$15*'Lease Cycles'!$AU$15/12,'Lease Cycles'!$C$15*INDEX('Lease Cycles'!$CB$15:$CH$15,1,AK129)*(1+INDEX('Lease Cycles'!$CI$15:$CO$15,1,AK129))^INT(INT(AK130/12)/INDEX('Lease Cycles'!$CP$15:$CV$15,1,AK129))/12)))),'Lease Cycles'!$C$15*INDEX('Lease Cycles'!$CB$15:$CH$15,1,AK129)*(1+INDEX('Lease Cycles'!$CI$15:$CO$15,1,AK129))^INT(INT(AK130/12)/INDEX('Lease Cycles'!$CP$15:$CV$15,1,AK129))/12))),IF('Lease Cycles'!$N$15=1,'Lease Cycles'!$C$15*'Lease Cycles'!$E$15*INDEX('Lease Cycles'!$HE$15:$HK$15,1,AK129)*(1+INDEX('Lease Cycles'!$GQ$15:$GW$15,1,AK129))^INT(INT((AK$6-INDEX('Lease Cycles'!$GJ$15:$GP$15,1,AK129))/12)/INDEX('Lease Cycles'!$GX$15:$HD$15,1,AK129))/12,0)))</f>
        <v>3200</v>
      </c>
      <c r="AL132" s="28">
        <f>IF(AL129=0,IF('Lease Cycles'!$F$15&gt;0,'Lease Cycles'!$C$15*'Lease Cycles'!$E$15/12,0),IF(AL131=1,IF('Lease Cycles'!$AT$15&gt;=9999,'Lease Cycles'!$C$15*INDEX('Lease Cycles'!$CB$15:$CH$15,1,AL129)*(1+INDEX('Lease Cycles'!$CI$15:$CO$15,1,AL129))^INT(INT(AL130/12)/INDEX('Lease Cycles'!$CP$15:$CV$15,1,AL129))/12,IF(AL129=1,IF(AL130&gt;=INDEX('Lease Cycles'!$DK$15:$DQ$15,1,AL129),IF(AL$6&gt;='Lease Cycles'!$AZ$15,'Lease Cycles'!$C$15*'Lease Cycles'!$BA$15/12,IF(AL$6&gt;='Lease Cycles'!$AX$15,'Lease Cycles'!$C$15*'Lease Cycles'!$AY$15/12,IF(AL$6&gt;='Lease Cycles'!$AV$15,'Lease Cycles'!$C$15*'Lease Cycles'!$AW$15/12,IF(AL$6&gt;='Lease Cycles'!$AT$15,'Lease Cycles'!$C$15*'Lease Cycles'!$AU$15/12,'Lease Cycles'!$C$15*INDEX('Lease Cycles'!$CB$15:$CH$15,1,AL129)*(1+INDEX('Lease Cycles'!$CI$15:$CO$15,1,AL129))^INT(INT(AL130/12)/INDEX('Lease Cycles'!$CP$15:$CV$15,1,AL129))/12)))),'Lease Cycles'!$C$15*INDEX('Lease Cycles'!$CB$15:$CH$15,1,AL129)*(1+INDEX('Lease Cycles'!$CI$15:$CO$15,1,AL129))^INT(INT(AL130/12)/INDEX('Lease Cycles'!$CP$15:$CV$15,1,AL129))/12),IF(INDEX('Lease Cycles'!$EF$15:$EL$15,1,AL129)=1,IF(AND('Lease Cycles'!$AZ$15&gt;=INDEX('Lease Cycles'!$BG$15:$BM$15,1,AL129),'Lease Cycles'!$AZ$15&lt;=AL$6),'Lease Cycles'!$C$15*'Lease Cycles'!$BA$15/12,IF(AND('Lease Cycles'!$AX$15&gt;=INDEX('Lease Cycles'!$BG$15:$BM$15,1,AL129),'Lease Cycles'!$AX$15&lt;=AL$6),'Lease Cycles'!$C$15*'Lease Cycles'!$AY$15/12,IF(AND('Lease Cycles'!$AV$15&gt;=INDEX('Lease Cycles'!$BG$15:$BM$15,1,AL129),'Lease Cycles'!$AV$15&lt;=AL$6),'Lease Cycles'!$C$15*'Lease Cycles'!$AW$15/12,IF(AND('Lease Cycles'!$AT$15&gt;=INDEX('Lease Cycles'!$BG$15:$BM$15,1,AL129),'Lease Cycles'!$AT$15&lt;=AL$6),'Lease Cycles'!$C$15*'Lease Cycles'!$AU$15/12,'Lease Cycles'!$C$15*INDEX('Lease Cycles'!$CB$15:$CH$15,1,AL129)*(1+INDEX('Lease Cycles'!$CI$15:$CO$15,1,AL129))^INT(INT(AL130/12)/INDEX('Lease Cycles'!$CP$15:$CV$15,1,AL129))/12)))),'Lease Cycles'!$C$15*INDEX('Lease Cycles'!$CB$15:$CH$15,1,AL129)*(1+INDEX('Lease Cycles'!$CI$15:$CO$15,1,AL129))^INT(INT(AL130/12)/INDEX('Lease Cycles'!$CP$15:$CV$15,1,AL129))/12))),IF('Lease Cycles'!$N$15=1,'Lease Cycles'!$C$15*'Lease Cycles'!$E$15*INDEX('Lease Cycles'!$HE$15:$HK$15,1,AL129)*(1+INDEX('Lease Cycles'!$GQ$15:$GW$15,1,AL129))^INT(INT((AL$6-INDEX('Lease Cycles'!$GJ$15:$GP$15,1,AL129))/12)/INDEX('Lease Cycles'!$GX$15:$HD$15,1,AL129))/12,0)))</f>
        <v>3200</v>
      </c>
      <c r="AM132" s="28">
        <f>IF(AM129=0,IF('Lease Cycles'!$F$15&gt;0,'Lease Cycles'!$C$15*'Lease Cycles'!$E$15/12,0),IF(AM131=1,IF('Lease Cycles'!$AT$15&gt;=9999,'Lease Cycles'!$C$15*INDEX('Lease Cycles'!$CB$15:$CH$15,1,AM129)*(1+INDEX('Lease Cycles'!$CI$15:$CO$15,1,AM129))^INT(INT(AM130/12)/INDEX('Lease Cycles'!$CP$15:$CV$15,1,AM129))/12,IF(AM129=1,IF(AM130&gt;=INDEX('Lease Cycles'!$DK$15:$DQ$15,1,AM129),IF(AM$6&gt;='Lease Cycles'!$AZ$15,'Lease Cycles'!$C$15*'Lease Cycles'!$BA$15/12,IF(AM$6&gt;='Lease Cycles'!$AX$15,'Lease Cycles'!$C$15*'Lease Cycles'!$AY$15/12,IF(AM$6&gt;='Lease Cycles'!$AV$15,'Lease Cycles'!$C$15*'Lease Cycles'!$AW$15/12,IF(AM$6&gt;='Lease Cycles'!$AT$15,'Lease Cycles'!$C$15*'Lease Cycles'!$AU$15/12,'Lease Cycles'!$C$15*INDEX('Lease Cycles'!$CB$15:$CH$15,1,AM129)*(1+INDEX('Lease Cycles'!$CI$15:$CO$15,1,AM129))^INT(INT(AM130/12)/INDEX('Lease Cycles'!$CP$15:$CV$15,1,AM129))/12)))),'Lease Cycles'!$C$15*INDEX('Lease Cycles'!$CB$15:$CH$15,1,AM129)*(1+INDEX('Lease Cycles'!$CI$15:$CO$15,1,AM129))^INT(INT(AM130/12)/INDEX('Lease Cycles'!$CP$15:$CV$15,1,AM129))/12),IF(INDEX('Lease Cycles'!$EF$15:$EL$15,1,AM129)=1,IF(AND('Lease Cycles'!$AZ$15&gt;=INDEX('Lease Cycles'!$BG$15:$BM$15,1,AM129),'Lease Cycles'!$AZ$15&lt;=AM$6),'Lease Cycles'!$C$15*'Lease Cycles'!$BA$15/12,IF(AND('Lease Cycles'!$AX$15&gt;=INDEX('Lease Cycles'!$BG$15:$BM$15,1,AM129),'Lease Cycles'!$AX$15&lt;=AM$6),'Lease Cycles'!$C$15*'Lease Cycles'!$AY$15/12,IF(AND('Lease Cycles'!$AV$15&gt;=INDEX('Lease Cycles'!$BG$15:$BM$15,1,AM129),'Lease Cycles'!$AV$15&lt;=AM$6),'Lease Cycles'!$C$15*'Lease Cycles'!$AW$15/12,IF(AND('Lease Cycles'!$AT$15&gt;=INDEX('Lease Cycles'!$BG$15:$BM$15,1,AM129),'Lease Cycles'!$AT$15&lt;=AM$6),'Lease Cycles'!$C$15*'Lease Cycles'!$AU$15/12,'Lease Cycles'!$C$15*INDEX('Lease Cycles'!$CB$15:$CH$15,1,AM129)*(1+INDEX('Lease Cycles'!$CI$15:$CO$15,1,AM129))^INT(INT(AM130/12)/INDEX('Lease Cycles'!$CP$15:$CV$15,1,AM129))/12)))),'Lease Cycles'!$C$15*INDEX('Lease Cycles'!$CB$15:$CH$15,1,AM129)*(1+INDEX('Lease Cycles'!$CI$15:$CO$15,1,AM129))^INT(INT(AM130/12)/INDEX('Lease Cycles'!$CP$15:$CV$15,1,AM129))/12))),IF('Lease Cycles'!$N$15=1,'Lease Cycles'!$C$15*'Lease Cycles'!$E$15*INDEX('Lease Cycles'!$HE$15:$HK$15,1,AM129)*(1+INDEX('Lease Cycles'!$GQ$15:$GW$15,1,AM129))^INT(INT((AM$6-INDEX('Lease Cycles'!$GJ$15:$GP$15,1,AM129))/12)/INDEX('Lease Cycles'!$GX$15:$HD$15,1,AM129))/12,0)))</f>
        <v>3200</v>
      </c>
      <c r="AN132" s="28">
        <f>IF(AN129=0,IF('Lease Cycles'!$F$15&gt;0,'Lease Cycles'!$C$15*'Lease Cycles'!$E$15/12,0),IF(AN131=1,IF('Lease Cycles'!$AT$15&gt;=9999,'Lease Cycles'!$C$15*INDEX('Lease Cycles'!$CB$15:$CH$15,1,AN129)*(1+INDEX('Lease Cycles'!$CI$15:$CO$15,1,AN129))^INT(INT(AN130/12)/INDEX('Lease Cycles'!$CP$15:$CV$15,1,AN129))/12,IF(AN129=1,IF(AN130&gt;=INDEX('Lease Cycles'!$DK$15:$DQ$15,1,AN129),IF(AN$6&gt;='Lease Cycles'!$AZ$15,'Lease Cycles'!$C$15*'Lease Cycles'!$BA$15/12,IF(AN$6&gt;='Lease Cycles'!$AX$15,'Lease Cycles'!$C$15*'Lease Cycles'!$AY$15/12,IF(AN$6&gt;='Lease Cycles'!$AV$15,'Lease Cycles'!$C$15*'Lease Cycles'!$AW$15/12,IF(AN$6&gt;='Lease Cycles'!$AT$15,'Lease Cycles'!$C$15*'Lease Cycles'!$AU$15/12,'Lease Cycles'!$C$15*INDEX('Lease Cycles'!$CB$15:$CH$15,1,AN129)*(1+INDEX('Lease Cycles'!$CI$15:$CO$15,1,AN129))^INT(INT(AN130/12)/INDEX('Lease Cycles'!$CP$15:$CV$15,1,AN129))/12)))),'Lease Cycles'!$C$15*INDEX('Lease Cycles'!$CB$15:$CH$15,1,AN129)*(1+INDEX('Lease Cycles'!$CI$15:$CO$15,1,AN129))^INT(INT(AN130/12)/INDEX('Lease Cycles'!$CP$15:$CV$15,1,AN129))/12),IF(INDEX('Lease Cycles'!$EF$15:$EL$15,1,AN129)=1,IF(AND('Lease Cycles'!$AZ$15&gt;=INDEX('Lease Cycles'!$BG$15:$BM$15,1,AN129),'Lease Cycles'!$AZ$15&lt;=AN$6),'Lease Cycles'!$C$15*'Lease Cycles'!$BA$15/12,IF(AND('Lease Cycles'!$AX$15&gt;=INDEX('Lease Cycles'!$BG$15:$BM$15,1,AN129),'Lease Cycles'!$AX$15&lt;=AN$6),'Lease Cycles'!$C$15*'Lease Cycles'!$AY$15/12,IF(AND('Lease Cycles'!$AV$15&gt;=INDEX('Lease Cycles'!$BG$15:$BM$15,1,AN129),'Lease Cycles'!$AV$15&lt;=AN$6),'Lease Cycles'!$C$15*'Lease Cycles'!$AW$15/12,IF(AND('Lease Cycles'!$AT$15&gt;=INDEX('Lease Cycles'!$BG$15:$BM$15,1,AN129),'Lease Cycles'!$AT$15&lt;=AN$6),'Lease Cycles'!$C$15*'Lease Cycles'!$AU$15/12,'Lease Cycles'!$C$15*INDEX('Lease Cycles'!$CB$15:$CH$15,1,AN129)*(1+INDEX('Lease Cycles'!$CI$15:$CO$15,1,AN129))^INT(INT(AN130/12)/INDEX('Lease Cycles'!$CP$15:$CV$15,1,AN129))/12)))),'Lease Cycles'!$C$15*INDEX('Lease Cycles'!$CB$15:$CH$15,1,AN129)*(1+INDEX('Lease Cycles'!$CI$15:$CO$15,1,AN129))^INT(INT(AN130/12)/INDEX('Lease Cycles'!$CP$15:$CV$15,1,AN129))/12))),IF('Lease Cycles'!$N$15=1,'Lease Cycles'!$C$15*'Lease Cycles'!$E$15*INDEX('Lease Cycles'!$HE$15:$HK$15,1,AN129)*(1+INDEX('Lease Cycles'!$GQ$15:$GW$15,1,AN129))^INT(INT((AN$6-INDEX('Lease Cycles'!$GJ$15:$GP$15,1,AN129))/12)/INDEX('Lease Cycles'!$GX$15:$HD$15,1,AN129))/12,0)))</f>
        <v>3200</v>
      </c>
      <c r="AO132" s="28">
        <f>IF(AO129=0,IF('Lease Cycles'!$F$15&gt;0,'Lease Cycles'!$C$15*'Lease Cycles'!$E$15/12,0),IF(AO131=1,IF('Lease Cycles'!$AT$15&gt;=9999,'Lease Cycles'!$C$15*INDEX('Lease Cycles'!$CB$15:$CH$15,1,AO129)*(1+INDEX('Lease Cycles'!$CI$15:$CO$15,1,AO129))^INT(INT(AO130/12)/INDEX('Lease Cycles'!$CP$15:$CV$15,1,AO129))/12,IF(AO129=1,IF(AO130&gt;=INDEX('Lease Cycles'!$DK$15:$DQ$15,1,AO129),IF(AO$6&gt;='Lease Cycles'!$AZ$15,'Lease Cycles'!$C$15*'Lease Cycles'!$BA$15/12,IF(AO$6&gt;='Lease Cycles'!$AX$15,'Lease Cycles'!$C$15*'Lease Cycles'!$AY$15/12,IF(AO$6&gt;='Lease Cycles'!$AV$15,'Lease Cycles'!$C$15*'Lease Cycles'!$AW$15/12,IF(AO$6&gt;='Lease Cycles'!$AT$15,'Lease Cycles'!$C$15*'Lease Cycles'!$AU$15/12,'Lease Cycles'!$C$15*INDEX('Lease Cycles'!$CB$15:$CH$15,1,AO129)*(1+INDEX('Lease Cycles'!$CI$15:$CO$15,1,AO129))^INT(INT(AO130/12)/INDEX('Lease Cycles'!$CP$15:$CV$15,1,AO129))/12)))),'Lease Cycles'!$C$15*INDEX('Lease Cycles'!$CB$15:$CH$15,1,AO129)*(1+INDEX('Lease Cycles'!$CI$15:$CO$15,1,AO129))^INT(INT(AO130/12)/INDEX('Lease Cycles'!$CP$15:$CV$15,1,AO129))/12),IF(INDEX('Lease Cycles'!$EF$15:$EL$15,1,AO129)=1,IF(AND('Lease Cycles'!$AZ$15&gt;=INDEX('Lease Cycles'!$BG$15:$BM$15,1,AO129),'Lease Cycles'!$AZ$15&lt;=AO$6),'Lease Cycles'!$C$15*'Lease Cycles'!$BA$15/12,IF(AND('Lease Cycles'!$AX$15&gt;=INDEX('Lease Cycles'!$BG$15:$BM$15,1,AO129),'Lease Cycles'!$AX$15&lt;=AO$6),'Lease Cycles'!$C$15*'Lease Cycles'!$AY$15/12,IF(AND('Lease Cycles'!$AV$15&gt;=INDEX('Lease Cycles'!$BG$15:$BM$15,1,AO129),'Lease Cycles'!$AV$15&lt;=AO$6),'Lease Cycles'!$C$15*'Lease Cycles'!$AW$15/12,IF(AND('Lease Cycles'!$AT$15&gt;=INDEX('Lease Cycles'!$BG$15:$BM$15,1,AO129),'Lease Cycles'!$AT$15&lt;=AO$6),'Lease Cycles'!$C$15*'Lease Cycles'!$AU$15/12,'Lease Cycles'!$C$15*INDEX('Lease Cycles'!$CB$15:$CH$15,1,AO129)*(1+INDEX('Lease Cycles'!$CI$15:$CO$15,1,AO129))^INT(INT(AO130/12)/INDEX('Lease Cycles'!$CP$15:$CV$15,1,AO129))/12)))),'Lease Cycles'!$C$15*INDEX('Lease Cycles'!$CB$15:$CH$15,1,AO129)*(1+INDEX('Lease Cycles'!$CI$15:$CO$15,1,AO129))^INT(INT(AO130/12)/INDEX('Lease Cycles'!$CP$15:$CV$15,1,AO129))/12))),IF('Lease Cycles'!$N$15=1,'Lease Cycles'!$C$15*'Lease Cycles'!$E$15*INDEX('Lease Cycles'!$HE$15:$HK$15,1,AO129)*(1+INDEX('Lease Cycles'!$GQ$15:$GW$15,1,AO129))^INT(INT((AO$6-INDEX('Lease Cycles'!$GJ$15:$GP$15,1,AO129))/12)/INDEX('Lease Cycles'!$GX$15:$HD$15,1,AO129))/12,0)))</f>
        <v>3200</v>
      </c>
      <c r="AP132" s="28">
        <f>IF(AP129=0,IF('Lease Cycles'!$F$15&gt;0,'Lease Cycles'!$C$15*'Lease Cycles'!$E$15/12,0),IF(AP131=1,IF('Lease Cycles'!$AT$15&gt;=9999,'Lease Cycles'!$C$15*INDEX('Lease Cycles'!$CB$15:$CH$15,1,AP129)*(1+INDEX('Lease Cycles'!$CI$15:$CO$15,1,AP129))^INT(INT(AP130/12)/INDEX('Lease Cycles'!$CP$15:$CV$15,1,AP129))/12,IF(AP129=1,IF(AP130&gt;=INDEX('Lease Cycles'!$DK$15:$DQ$15,1,AP129),IF(AP$6&gt;='Lease Cycles'!$AZ$15,'Lease Cycles'!$C$15*'Lease Cycles'!$BA$15/12,IF(AP$6&gt;='Lease Cycles'!$AX$15,'Lease Cycles'!$C$15*'Lease Cycles'!$AY$15/12,IF(AP$6&gt;='Lease Cycles'!$AV$15,'Lease Cycles'!$C$15*'Lease Cycles'!$AW$15/12,IF(AP$6&gt;='Lease Cycles'!$AT$15,'Lease Cycles'!$C$15*'Lease Cycles'!$AU$15/12,'Lease Cycles'!$C$15*INDEX('Lease Cycles'!$CB$15:$CH$15,1,AP129)*(1+INDEX('Lease Cycles'!$CI$15:$CO$15,1,AP129))^INT(INT(AP130/12)/INDEX('Lease Cycles'!$CP$15:$CV$15,1,AP129))/12)))),'Lease Cycles'!$C$15*INDEX('Lease Cycles'!$CB$15:$CH$15,1,AP129)*(1+INDEX('Lease Cycles'!$CI$15:$CO$15,1,AP129))^INT(INT(AP130/12)/INDEX('Lease Cycles'!$CP$15:$CV$15,1,AP129))/12),IF(INDEX('Lease Cycles'!$EF$15:$EL$15,1,AP129)=1,IF(AND('Lease Cycles'!$AZ$15&gt;=INDEX('Lease Cycles'!$BG$15:$BM$15,1,AP129),'Lease Cycles'!$AZ$15&lt;=AP$6),'Lease Cycles'!$C$15*'Lease Cycles'!$BA$15/12,IF(AND('Lease Cycles'!$AX$15&gt;=INDEX('Lease Cycles'!$BG$15:$BM$15,1,AP129),'Lease Cycles'!$AX$15&lt;=AP$6),'Lease Cycles'!$C$15*'Lease Cycles'!$AY$15/12,IF(AND('Lease Cycles'!$AV$15&gt;=INDEX('Lease Cycles'!$BG$15:$BM$15,1,AP129),'Lease Cycles'!$AV$15&lt;=AP$6),'Lease Cycles'!$C$15*'Lease Cycles'!$AW$15/12,IF(AND('Lease Cycles'!$AT$15&gt;=INDEX('Lease Cycles'!$BG$15:$BM$15,1,AP129),'Lease Cycles'!$AT$15&lt;=AP$6),'Lease Cycles'!$C$15*'Lease Cycles'!$AU$15/12,'Lease Cycles'!$C$15*INDEX('Lease Cycles'!$CB$15:$CH$15,1,AP129)*(1+INDEX('Lease Cycles'!$CI$15:$CO$15,1,AP129))^INT(INT(AP130/12)/INDEX('Lease Cycles'!$CP$15:$CV$15,1,AP129))/12)))),'Lease Cycles'!$C$15*INDEX('Lease Cycles'!$CB$15:$CH$15,1,AP129)*(1+INDEX('Lease Cycles'!$CI$15:$CO$15,1,AP129))^INT(INT(AP130/12)/INDEX('Lease Cycles'!$CP$15:$CV$15,1,AP129))/12))),IF('Lease Cycles'!$N$15=1,'Lease Cycles'!$C$15*'Lease Cycles'!$E$15*INDEX('Lease Cycles'!$HE$15:$HK$15,1,AP129)*(1+INDEX('Lease Cycles'!$GQ$15:$GW$15,1,AP129))^INT(INT((AP$6-INDEX('Lease Cycles'!$GJ$15:$GP$15,1,AP129))/12)/INDEX('Lease Cycles'!$GX$15:$HD$15,1,AP129))/12,0)))</f>
        <v>3200</v>
      </c>
      <c r="AQ132" s="28">
        <f>IF(AQ129=0,IF('Lease Cycles'!$F$15&gt;0,'Lease Cycles'!$C$15*'Lease Cycles'!$E$15/12,0),IF(AQ131=1,IF('Lease Cycles'!$AT$15&gt;=9999,'Lease Cycles'!$C$15*INDEX('Lease Cycles'!$CB$15:$CH$15,1,AQ129)*(1+INDEX('Lease Cycles'!$CI$15:$CO$15,1,AQ129))^INT(INT(AQ130/12)/INDEX('Lease Cycles'!$CP$15:$CV$15,1,AQ129))/12,IF(AQ129=1,IF(AQ130&gt;=INDEX('Lease Cycles'!$DK$15:$DQ$15,1,AQ129),IF(AQ$6&gt;='Lease Cycles'!$AZ$15,'Lease Cycles'!$C$15*'Lease Cycles'!$BA$15/12,IF(AQ$6&gt;='Lease Cycles'!$AX$15,'Lease Cycles'!$C$15*'Lease Cycles'!$AY$15/12,IF(AQ$6&gt;='Lease Cycles'!$AV$15,'Lease Cycles'!$C$15*'Lease Cycles'!$AW$15/12,IF(AQ$6&gt;='Lease Cycles'!$AT$15,'Lease Cycles'!$C$15*'Lease Cycles'!$AU$15/12,'Lease Cycles'!$C$15*INDEX('Lease Cycles'!$CB$15:$CH$15,1,AQ129)*(1+INDEX('Lease Cycles'!$CI$15:$CO$15,1,AQ129))^INT(INT(AQ130/12)/INDEX('Lease Cycles'!$CP$15:$CV$15,1,AQ129))/12)))),'Lease Cycles'!$C$15*INDEX('Lease Cycles'!$CB$15:$CH$15,1,AQ129)*(1+INDEX('Lease Cycles'!$CI$15:$CO$15,1,AQ129))^INT(INT(AQ130/12)/INDEX('Lease Cycles'!$CP$15:$CV$15,1,AQ129))/12),IF(INDEX('Lease Cycles'!$EF$15:$EL$15,1,AQ129)=1,IF(AND('Lease Cycles'!$AZ$15&gt;=INDEX('Lease Cycles'!$BG$15:$BM$15,1,AQ129),'Lease Cycles'!$AZ$15&lt;=AQ$6),'Lease Cycles'!$C$15*'Lease Cycles'!$BA$15/12,IF(AND('Lease Cycles'!$AX$15&gt;=INDEX('Lease Cycles'!$BG$15:$BM$15,1,AQ129),'Lease Cycles'!$AX$15&lt;=AQ$6),'Lease Cycles'!$C$15*'Lease Cycles'!$AY$15/12,IF(AND('Lease Cycles'!$AV$15&gt;=INDEX('Lease Cycles'!$BG$15:$BM$15,1,AQ129),'Lease Cycles'!$AV$15&lt;=AQ$6),'Lease Cycles'!$C$15*'Lease Cycles'!$AW$15/12,IF(AND('Lease Cycles'!$AT$15&gt;=INDEX('Lease Cycles'!$BG$15:$BM$15,1,AQ129),'Lease Cycles'!$AT$15&lt;=AQ$6),'Lease Cycles'!$C$15*'Lease Cycles'!$AU$15/12,'Lease Cycles'!$C$15*INDEX('Lease Cycles'!$CB$15:$CH$15,1,AQ129)*(1+INDEX('Lease Cycles'!$CI$15:$CO$15,1,AQ129))^INT(INT(AQ130/12)/INDEX('Lease Cycles'!$CP$15:$CV$15,1,AQ129))/12)))),'Lease Cycles'!$C$15*INDEX('Lease Cycles'!$CB$15:$CH$15,1,AQ129)*(1+INDEX('Lease Cycles'!$CI$15:$CO$15,1,AQ129))^INT(INT(AQ130/12)/INDEX('Lease Cycles'!$CP$15:$CV$15,1,AQ129))/12))),IF('Lease Cycles'!$N$15=1,'Lease Cycles'!$C$15*'Lease Cycles'!$E$15*INDEX('Lease Cycles'!$HE$15:$HK$15,1,AQ129)*(1+INDEX('Lease Cycles'!$GQ$15:$GW$15,1,AQ129))^INT(INT((AQ$6-INDEX('Lease Cycles'!$GJ$15:$GP$15,1,AQ129))/12)/INDEX('Lease Cycles'!$GX$15:$HD$15,1,AQ129))/12,0)))</f>
        <v>3200</v>
      </c>
      <c r="AR132" s="28">
        <f>IF(AR129=0,IF('Lease Cycles'!$F$15&gt;0,'Lease Cycles'!$C$15*'Lease Cycles'!$E$15/12,0),IF(AR131=1,IF('Lease Cycles'!$AT$15&gt;=9999,'Lease Cycles'!$C$15*INDEX('Lease Cycles'!$CB$15:$CH$15,1,AR129)*(1+INDEX('Lease Cycles'!$CI$15:$CO$15,1,AR129))^INT(INT(AR130/12)/INDEX('Lease Cycles'!$CP$15:$CV$15,1,AR129))/12,IF(AR129=1,IF(AR130&gt;=INDEX('Lease Cycles'!$DK$15:$DQ$15,1,AR129),IF(AR$6&gt;='Lease Cycles'!$AZ$15,'Lease Cycles'!$C$15*'Lease Cycles'!$BA$15/12,IF(AR$6&gt;='Lease Cycles'!$AX$15,'Lease Cycles'!$C$15*'Lease Cycles'!$AY$15/12,IF(AR$6&gt;='Lease Cycles'!$AV$15,'Lease Cycles'!$C$15*'Lease Cycles'!$AW$15/12,IF(AR$6&gt;='Lease Cycles'!$AT$15,'Lease Cycles'!$C$15*'Lease Cycles'!$AU$15/12,'Lease Cycles'!$C$15*INDEX('Lease Cycles'!$CB$15:$CH$15,1,AR129)*(1+INDEX('Lease Cycles'!$CI$15:$CO$15,1,AR129))^INT(INT(AR130/12)/INDEX('Lease Cycles'!$CP$15:$CV$15,1,AR129))/12)))),'Lease Cycles'!$C$15*INDEX('Lease Cycles'!$CB$15:$CH$15,1,AR129)*(1+INDEX('Lease Cycles'!$CI$15:$CO$15,1,AR129))^INT(INT(AR130/12)/INDEX('Lease Cycles'!$CP$15:$CV$15,1,AR129))/12),IF(INDEX('Lease Cycles'!$EF$15:$EL$15,1,AR129)=1,IF(AND('Lease Cycles'!$AZ$15&gt;=INDEX('Lease Cycles'!$BG$15:$BM$15,1,AR129),'Lease Cycles'!$AZ$15&lt;=AR$6),'Lease Cycles'!$C$15*'Lease Cycles'!$BA$15/12,IF(AND('Lease Cycles'!$AX$15&gt;=INDEX('Lease Cycles'!$BG$15:$BM$15,1,AR129),'Lease Cycles'!$AX$15&lt;=AR$6),'Lease Cycles'!$C$15*'Lease Cycles'!$AY$15/12,IF(AND('Lease Cycles'!$AV$15&gt;=INDEX('Lease Cycles'!$BG$15:$BM$15,1,AR129),'Lease Cycles'!$AV$15&lt;=AR$6),'Lease Cycles'!$C$15*'Lease Cycles'!$AW$15/12,IF(AND('Lease Cycles'!$AT$15&gt;=INDEX('Lease Cycles'!$BG$15:$BM$15,1,AR129),'Lease Cycles'!$AT$15&lt;=AR$6),'Lease Cycles'!$C$15*'Lease Cycles'!$AU$15/12,'Lease Cycles'!$C$15*INDEX('Lease Cycles'!$CB$15:$CH$15,1,AR129)*(1+INDEX('Lease Cycles'!$CI$15:$CO$15,1,AR129))^INT(INT(AR130/12)/INDEX('Lease Cycles'!$CP$15:$CV$15,1,AR129))/12)))),'Lease Cycles'!$C$15*INDEX('Lease Cycles'!$CB$15:$CH$15,1,AR129)*(1+INDEX('Lease Cycles'!$CI$15:$CO$15,1,AR129))^INT(INT(AR130/12)/INDEX('Lease Cycles'!$CP$15:$CV$15,1,AR129))/12))),IF('Lease Cycles'!$N$15=1,'Lease Cycles'!$C$15*'Lease Cycles'!$E$15*INDEX('Lease Cycles'!$HE$15:$HK$15,1,AR129)*(1+INDEX('Lease Cycles'!$GQ$15:$GW$15,1,AR129))^INT(INT((AR$6-INDEX('Lease Cycles'!$GJ$15:$GP$15,1,AR129))/12)/INDEX('Lease Cycles'!$GX$15:$HD$15,1,AR129))/12,0)))</f>
        <v>3200</v>
      </c>
      <c r="AS132" s="28">
        <f>IF(AS129=0,IF('Lease Cycles'!$F$15&gt;0,'Lease Cycles'!$C$15*'Lease Cycles'!$E$15/12,0),IF(AS131=1,IF('Lease Cycles'!$AT$15&gt;=9999,'Lease Cycles'!$C$15*INDEX('Lease Cycles'!$CB$15:$CH$15,1,AS129)*(1+INDEX('Lease Cycles'!$CI$15:$CO$15,1,AS129))^INT(INT(AS130/12)/INDEX('Lease Cycles'!$CP$15:$CV$15,1,AS129))/12,IF(AS129=1,IF(AS130&gt;=INDEX('Lease Cycles'!$DK$15:$DQ$15,1,AS129),IF(AS$6&gt;='Lease Cycles'!$AZ$15,'Lease Cycles'!$C$15*'Lease Cycles'!$BA$15/12,IF(AS$6&gt;='Lease Cycles'!$AX$15,'Lease Cycles'!$C$15*'Lease Cycles'!$AY$15/12,IF(AS$6&gt;='Lease Cycles'!$AV$15,'Lease Cycles'!$C$15*'Lease Cycles'!$AW$15/12,IF(AS$6&gt;='Lease Cycles'!$AT$15,'Lease Cycles'!$C$15*'Lease Cycles'!$AU$15/12,'Lease Cycles'!$C$15*INDEX('Lease Cycles'!$CB$15:$CH$15,1,AS129)*(1+INDEX('Lease Cycles'!$CI$15:$CO$15,1,AS129))^INT(INT(AS130/12)/INDEX('Lease Cycles'!$CP$15:$CV$15,1,AS129))/12)))),'Lease Cycles'!$C$15*INDEX('Lease Cycles'!$CB$15:$CH$15,1,AS129)*(1+INDEX('Lease Cycles'!$CI$15:$CO$15,1,AS129))^INT(INT(AS130/12)/INDEX('Lease Cycles'!$CP$15:$CV$15,1,AS129))/12),IF(INDEX('Lease Cycles'!$EF$15:$EL$15,1,AS129)=1,IF(AND('Lease Cycles'!$AZ$15&gt;=INDEX('Lease Cycles'!$BG$15:$BM$15,1,AS129),'Lease Cycles'!$AZ$15&lt;=AS$6),'Lease Cycles'!$C$15*'Lease Cycles'!$BA$15/12,IF(AND('Lease Cycles'!$AX$15&gt;=INDEX('Lease Cycles'!$BG$15:$BM$15,1,AS129),'Lease Cycles'!$AX$15&lt;=AS$6),'Lease Cycles'!$C$15*'Lease Cycles'!$AY$15/12,IF(AND('Lease Cycles'!$AV$15&gt;=INDEX('Lease Cycles'!$BG$15:$BM$15,1,AS129),'Lease Cycles'!$AV$15&lt;=AS$6),'Lease Cycles'!$C$15*'Lease Cycles'!$AW$15/12,IF(AND('Lease Cycles'!$AT$15&gt;=INDEX('Lease Cycles'!$BG$15:$BM$15,1,AS129),'Lease Cycles'!$AT$15&lt;=AS$6),'Lease Cycles'!$C$15*'Lease Cycles'!$AU$15/12,'Lease Cycles'!$C$15*INDEX('Lease Cycles'!$CB$15:$CH$15,1,AS129)*(1+INDEX('Lease Cycles'!$CI$15:$CO$15,1,AS129))^INT(INT(AS130/12)/INDEX('Lease Cycles'!$CP$15:$CV$15,1,AS129))/12)))),'Lease Cycles'!$C$15*INDEX('Lease Cycles'!$CB$15:$CH$15,1,AS129)*(1+INDEX('Lease Cycles'!$CI$15:$CO$15,1,AS129))^INT(INT(AS130/12)/INDEX('Lease Cycles'!$CP$15:$CV$15,1,AS129))/12))),IF('Lease Cycles'!$N$15=1,'Lease Cycles'!$C$15*'Lease Cycles'!$E$15*INDEX('Lease Cycles'!$HE$15:$HK$15,1,AS129)*(1+INDEX('Lease Cycles'!$GQ$15:$GW$15,1,AS129))^INT(INT((AS$6-INDEX('Lease Cycles'!$GJ$15:$GP$15,1,AS129))/12)/INDEX('Lease Cycles'!$GX$15:$HD$15,1,AS129))/12,0)))</f>
        <v>3200</v>
      </c>
      <c r="AT132" s="28">
        <f>IF(AT129=0,IF('Lease Cycles'!$F$15&gt;0,'Lease Cycles'!$C$15*'Lease Cycles'!$E$15/12,0),IF(AT131=1,IF('Lease Cycles'!$AT$15&gt;=9999,'Lease Cycles'!$C$15*INDEX('Lease Cycles'!$CB$15:$CH$15,1,AT129)*(1+INDEX('Lease Cycles'!$CI$15:$CO$15,1,AT129))^INT(INT(AT130/12)/INDEX('Lease Cycles'!$CP$15:$CV$15,1,AT129))/12,IF(AT129=1,IF(AT130&gt;=INDEX('Lease Cycles'!$DK$15:$DQ$15,1,AT129),IF(AT$6&gt;='Lease Cycles'!$AZ$15,'Lease Cycles'!$C$15*'Lease Cycles'!$BA$15/12,IF(AT$6&gt;='Lease Cycles'!$AX$15,'Lease Cycles'!$C$15*'Lease Cycles'!$AY$15/12,IF(AT$6&gt;='Lease Cycles'!$AV$15,'Lease Cycles'!$C$15*'Lease Cycles'!$AW$15/12,IF(AT$6&gt;='Lease Cycles'!$AT$15,'Lease Cycles'!$C$15*'Lease Cycles'!$AU$15/12,'Lease Cycles'!$C$15*INDEX('Lease Cycles'!$CB$15:$CH$15,1,AT129)*(1+INDEX('Lease Cycles'!$CI$15:$CO$15,1,AT129))^INT(INT(AT130/12)/INDEX('Lease Cycles'!$CP$15:$CV$15,1,AT129))/12)))),'Lease Cycles'!$C$15*INDEX('Lease Cycles'!$CB$15:$CH$15,1,AT129)*(1+INDEX('Lease Cycles'!$CI$15:$CO$15,1,AT129))^INT(INT(AT130/12)/INDEX('Lease Cycles'!$CP$15:$CV$15,1,AT129))/12),IF(INDEX('Lease Cycles'!$EF$15:$EL$15,1,AT129)=1,IF(AND('Lease Cycles'!$AZ$15&gt;=INDEX('Lease Cycles'!$BG$15:$BM$15,1,AT129),'Lease Cycles'!$AZ$15&lt;=AT$6),'Lease Cycles'!$C$15*'Lease Cycles'!$BA$15/12,IF(AND('Lease Cycles'!$AX$15&gt;=INDEX('Lease Cycles'!$BG$15:$BM$15,1,AT129),'Lease Cycles'!$AX$15&lt;=AT$6),'Lease Cycles'!$C$15*'Lease Cycles'!$AY$15/12,IF(AND('Lease Cycles'!$AV$15&gt;=INDEX('Lease Cycles'!$BG$15:$BM$15,1,AT129),'Lease Cycles'!$AV$15&lt;=AT$6),'Lease Cycles'!$C$15*'Lease Cycles'!$AW$15/12,IF(AND('Lease Cycles'!$AT$15&gt;=INDEX('Lease Cycles'!$BG$15:$BM$15,1,AT129),'Lease Cycles'!$AT$15&lt;=AT$6),'Lease Cycles'!$C$15*'Lease Cycles'!$AU$15/12,'Lease Cycles'!$C$15*INDEX('Lease Cycles'!$CB$15:$CH$15,1,AT129)*(1+INDEX('Lease Cycles'!$CI$15:$CO$15,1,AT129))^INT(INT(AT130/12)/INDEX('Lease Cycles'!$CP$15:$CV$15,1,AT129))/12)))),'Lease Cycles'!$C$15*INDEX('Lease Cycles'!$CB$15:$CH$15,1,AT129)*(1+INDEX('Lease Cycles'!$CI$15:$CO$15,1,AT129))^INT(INT(AT130/12)/INDEX('Lease Cycles'!$CP$15:$CV$15,1,AT129))/12))),IF('Lease Cycles'!$N$15=1,'Lease Cycles'!$C$15*'Lease Cycles'!$E$15*INDEX('Lease Cycles'!$HE$15:$HK$15,1,AT129)*(1+INDEX('Lease Cycles'!$GQ$15:$GW$15,1,AT129))^INT(INT((AT$6-INDEX('Lease Cycles'!$GJ$15:$GP$15,1,AT129))/12)/INDEX('Lease Cycles'!$GX$15:$HD$15,1,AT129))/12,0)))</f>
        <v>3200</v>
      </c>
      <c r="AU132" s="28">
        <f>IF(AU129=0,IF('Lease Cycles'!$F$15&gt;0,'Lease Cycles'!$C$15*'Lease Cycles'!$E$15/12,0),IF(AU131=1,IF('Lease Cycles'!$AT$15&gt;=9999,'Lease Cycles'!$C$15*INDEX('Lease Cycles'!$CB$15:$CH$15,1,AU129)*(1+INDEX('Lease Cycles'!$CI$15:$CO$15,1,AU129))^INT(INT(AU130/12)/INDEX('Lease Cycles'!$CP$15:$CV$15,1,AU129))/12,IF(AU129=1,IF(AU130&gt;=INDEX('Lease Cycles'!$DK$15:$DQ$15,1,AU129),IF(AU$6&gt;='Lease Cycles'!$AZ$15,'Lease Cycles'!$C$15*'Lease Cycles'!$BA$15/12,IF(AU$6&gt;='Lease Cycles'!$AX$15,'Lease Cycles'!$C$15*'Lease Cycles'!$AY$15/12,IF(AU$6&gt;='Lease Cycles'!$AV$15,'Lease Cycles'!$C$15*'Lease Cycles'!$AW$15/12,IF(AU$6&gt;='Lease Cycles'!$AT$15,'Lease Cycles'!$C$15*'Lease Cycles'!$AU$15/12,'Lease Cycles'!$C$15*INDEX('Lease Cycles'!$CB$15:$CH$15,1,AU129)*(1+INDEX('Lease Cycles'!$CI$15:$CO$15,1,AU129))^INT(INT(AU130/12)/INDEX('Lease Cycles'!$CP$15:$CV$15,1,AU129))/12)))),'Lease Cycles'!$C$15*INDEX('Lease Cycles'!$CB$15:$CH$15,1,AU129)*(1+INDEX('Lease Cycles'!$CI$15:$CO$15,1,AU129))^INT(INT(AU130/12)/INDEX('Lease Cycles'!$CP$15:$CV$15,1,AU129))/12),IF(INDEX('Lease Cycles'!$EF$15:$EL$15,1,AU129)=1,IF(AND('Lease Cycles'!$AZ$15&gt;=INDEX('Lease Cycles'!$BG$15:$BM$15,1,AU129),'Lease Cycles'!$AZ$15&lt;=AU$6),'Lease Cycles'!$C$15*'Lease Cycles'!$BA$15/12,IF(AND('Lease Cycles'!$AX$15&gt;=INDEX('Lease Cycles'!$BG$15:$BM$15,1,AU129),'Lease Cycles'!$AX$15&lt;=AU$6),'Lease Cycles'!$C$15*'Lease Cycles'!$AY$15/12,IF(AND('Lease Cycles'!$AV$15&gt;=INDEX('Lease Cycles'!$BG$15:$BM$15,1,AU129),'Lease Cycles'!$AV$15&lt;=AU$6),'Lease Cycles'!$C$15*'Lease Cycles'!$AW$15/12,IF(AND('Lease Cycles'!$AT$15&gt;=INDEX('Lease Cycles'!$BG$15:$BM$15,1,AU129),'Lease Cycles'!$AT$15&lt;=AU$6),'Lease Cycles'!$C$15*'Lease Cycles'!$AU$15/12,'Lease Cycles'!$C$15*INDEX('Lease Cycles'!$CB$15:$CH$15,1,AU129)*(1+INDEX('Lease Cycles'!$CI$15:$CO$15,1,AU129))^INT(INT(AU130/12)/INDEX('Lease Cycles'!$CP$15:$CV$15,1,AU129))/12)))),'Lease Cycles'!$C$15*INDEX('Lease Cycles'!$CB$15:$CH$15,1,AU129)*(1+INDEX('Lease Cycles'!$CI$15:$CO$15,1,AU129))^INT(INT(AU130/12)/INDEX('Lease Cycles'!$CP$15:$CV$15,1,AU129))/12))),IF('Lease Cycles'!$N$15=1,'Lease Cycles'!$C$15*'Lease Cycles'!$E$15*INDEX('Lease Cycles'!$HE$15:$HK$15,1,AU129)*(1+INDEX('Lease Cycles'!$GQ$15:$GW$15,1,AU129))^INT(INT((AU$6-INDEX('Lease Cycles'!$GJ$15:$GP$15,1,AU129))/12)/INDEX('Lease Cycles'!$GX$15:$HD$15,1,AU129))/12,0)))</f>
        <v>3200</v>
      </c>
      <c r="AV132" s="28">
        <f>IF(AV129=0,IF('Lease Cycles'!$F$15&gt;0,'Lease Cycles'!$C$15*'Lease Cycles'!$E$15/12,0),IF(AV131=1,IF('Lease Cycles'!$AT$15&gt;=9999,'Lease Cycles'!$C$15*INDEX('Lease Cycles'!$CB$15:$CH$15,1,AV129)*(1+INDEX('Lease Cycles'!$CI$15:$CO$15,1,AV129))^INT(INT(AV130/12)/INDEX('Lease Cycles'!$CP$15:$CV$15,1,AV129))/12,IF(AV129=1,IF(AV130&gt;=INDEX('Lease Cycles'!$DK$15:$DQ$15,1,AV129),IF(AV$6&gt;='Lease Cycles'!$AZ$15,'Lease Cycles'!$C$15*'Lease Cycles'!$BA$15/12,IF(AV$6&gt;='Lease Cycles'!$AX$15,'Lease Cycles'!$C$15*'Lease Cycles'!$AY$15/12,IF(AV$6&gt;='Lease Cycles'!$AV$15,'Lease Cycles'!$C$15*'Lease Cycles'!$AW$15/12,IF(AV$6&gt;='Lease Cycles'!$AT$15,'Lease Cycles'!$C$15*'Lease Cycles'!$AU$15/12,'Lease Cycles'!$C$15*INDEX('Lease Cycles'!$CB$15:$CH$15,1,AV129)*(1+INDEX('Lease Cycles'!$CI$15:$CO$15,1,AV129))^INT(INT(AV130/12)/INDEX('Lease Cycles'!$CP$15:$CV$15,1,AV129))/12)))),'Lease Cycles'!$C$15*INDEX('Lease Cycles'!$CB$15:$CH$15,1,AV129)*(1+INDEX('Lease Cycles'!$CI$15:$CO$15,1,AV129))^INT(INT(AV130/12)/INDEX('Lease Cycles'!$CP$15:$CV$15,1,AV129))/12),IF(INDEX('Lease Cycles'!$EF$15:$EL$15,1,AV129)=1,IF(AND('Lease Cycles'!$AZ$15&gt;=INDEX('Lease Cycles'!$BG$15:$BM$15,1,AV129),'Lease Cycles'!$AZ$15&lt;=AV$6),'Lease Cycles'!$C$15*'Lease Cycles'!$BA$15/12,IF(AND('Lease Cycles'!$AX$15&gt;=INDEX('Lease Cycles'!$BG$15:$BM$15,1,AV129),'Lease Cycles'!$AX$15&lt;=AV$6),'Lease Cycles'!$C$15*'Lease Cycles'!$AY$15/12,IF(AND('Lease Cycles'!$AV$15&gt;=INDEX('Lease Cycles'!$BG$15:$BM$15,1,AV129),'Lease Cycles'!$AV$15&lt;=AV$6),'Lease Cycles'!$C$15*'Lease Cycles'!$AW$15/12,IF(AND('Lease Cycles'!$AT$15&gt;=INDEX('Lease Cycles'!$BG$15:$BM$15,1,AV129),'Lease Cycles'!$AT$15&lt;=AV$6),'Lease Cycles'!$C$15*'Lease Cycles'!$AU$15/12,'Lease Cycles'!$C$15*INDEX('Lease Cycles'!$CB$15:$CH$15,1,AV129)*(1+INDEX('Lease Cycles'!$CI$15:$CO$15,1,AV129))^INT(INT(AV130/12)/INDEX('Lease Cycles'!$CP$15:$CV$15,1,AV129))/12)))),'Lease Cycles'!$C$15*INDEX('Lease Cycles'!$CB$15:$CH$15,1,AV129)*(1+INDEX('Lease Cycles'!$CI$15:$CO$15,1,AV129))^INT(INT(AV130/12)/INDEX('Lease Cycles'!$CP$15:$CV$15,1,AV129))/12))),IF('Lease Cycles'!$N$15=1,'Lease Cycles'!$C$15*'Lease Cycles'!$E$15*INDEX('Lease Cycles'!$HE$15:$HK$15,1,AV129)*(1+INDEX('Lease Cycles'!$GQ$15:$GW$15,1,AV129))^INT(INT((AV$6-INDEX('Lease Cycles'!$GJ$15:$GP$15,1,AV129))/12)/INDEX('Lease Cycles'!$GX$15:$HD$15,1,AV129))/12,0)))</f>
        <v>3200</v>
      </c>
      <c r="AW132" s="28">
        <f>IF(AW129=0,IF('Lease Cycles'!$F$15&gt;0,'Lease Cycles'!$C$15*'Lease Cycles'!$E$15/12,0),IF(AW131=1,IF('Lease Cycles'!$AT$15&gt;=9999,'Lease Cycles'!$C$15*INDEX('Lease Cycles'!$CB$15:$CH$15,1,AW129)*(1+INDEX('Lease Cycles'!$CI$15:$CO$15,1,AW129))^INT(INT(AW130/12)/INDEX('Lease Cycles'!$CP$15:$CV$15,1,AW129))/12,IF(AW129=1,IF(AW130&gt;=INDEX('Lease Cycles'!$DK$15:$DQ$15,1,AW129),IF(AW$6&gt;='Lease Cycles'!$AZ$15,'Lease Cycles'!$C$15*'Lease Cycles'!$BA$15/12,IF(AW$6&gt;='Lease Cycles'!$AX$15,'Lease Cycles'!$C$15*'Lease Cycles'!$AY$15/12,IF(AW$6&gt;='Lease Cycles'!$AV$15,'Lease Cycles'!$C$15*'Lease Cycles'!$AW$15/12,IF(AW$6&gt;='Lease Cycles'!$AT$15,'Lease Cycles'!$C$15*'Lease Cycles'!$AU$15/12,'Lease Cycles'!$C$15*INDEX('Lease Cycles'!$CB$15:$CH$15,1,AW129)*(1+INDEX('Lease Cycles'!$CI$15:$CO$15,1,AW129))^INT(INT(AW130/12)/INDEX('Lease Cycles'!$CP$15:$CV$15,1,AW129))/12)))),'Lease Cycles'!$C$15*INDEX('Lease Cycles'!$CB$15:$CH$15,1,AW129)*(1+INDEX('Lease Cycles'!$CI$15:$CO$15,1,AW129))^INT(INT(AW130/12)/INDEX('Lease Cycles'!$CP$15:$CV$15,1,AW129))/12),IF(INDEX('Lease Cycles'!$EF$15:$EL$15,1,AW129)=1,IF(AND('Lease Cycles'!$AZ$15&gt;=INDEX('Lease Cycles'!$BG$15:$BM$15,1,AW129),'Lease Cycles'!$AZ$15&lt;=AW$6),'Lease Cycles'!$C$15*'Lease Cycles'!$BA$15/12,IF(AND('Lease Cycles'!$AX$15&gt;=INDEX('Lease Cycles'!$BG$15:$BM$15,1,AW129),'Lease Cycles'!$AX$15&lt;=AW$6),'Lease Cycles'!$C$15*'Lease Cycles'!$AY$15/12,IF(AND('Lease Cycles'!$AV$15&gt;=INDEX('Lease Cycles'!$BG$15:$BM$15,1,AW129),'Lease Cycles'!$AV$15&lt;=AW$6),'Lease Cycles'!$C$15*'Lease Cycles'!$AW$15/12,IF(AND('Lease Cycles'!$AT$15&gt;=INDEX('Lease Cycles'!$BG$15:$BM$15,1,AW129),'Lease Cycles'!$AT$15&lt;=AW$6),'Lease Cycles'!$C$15*'Lease Cycles'!$AU$15/12,'Lease Cycles'!$C$15*INDEX('Lease Cycles'!$CB$15:$CH$15,1,AW129)*(1+INDEX('Lease Cycles'!$CI$15:$CO$15,1,AW129))^INT(INT(AW130/12)/INDEX('Lease Cycles'!$CP$15:$CV$15,1,AW129))/12)))),'Lease Cycles'!$C$15*INDEX('Lease Cycles'!$CB$15:$CH$15,1,AW129)*(1+INDEX('Lease Cycles'!$CI$15:$CO$15,1,AW129))^INT(INT(AW130/12)/INDEX('Lease Cycles'!$CP$15:$CV$15,1,AW129))/12))),IF('Lease Cycles'!$N$15=1,'Lease Cycles'!$C$15*'Lease Cycles'!$E$15*INDEX('Lease Cycles'!$HE$15:$HK$15,1,AW129)*(1+INDEX('Lease Cycles'!$GQ$15:$GW$15,1,AW129))^INT(INT((AW$6-INDEX('Lease Cycles'!$GJ$15:$GP$15,1,AW129))/12)/INDEX('Lease Cycles'!$GX$15:$HD$15,1,AW129))/12,0)))</f>
        <v>3200</v>
      </c>
      <c r="AX132" s="28">
        <f>IF(AX129=0,IF('Lease Cycles'!$F$15&gt;0,'Lease Cycles'!$C$15*'Lease Cycles'!$E$15/12,0),IF(AX131=1,IF('Lease Cycles'!$AT$15&gt;=9999,'Lease Cycles'!$C$15*INDEX('Lease Cycles'!$CB$15:$CH$15,1,AX129)*(1+INDEX('Lease Cycles'!$CI$15:$CO$15,1,AX129))^INT(INT(AX130/12)/INDEX('Lease Cycles'!$CP$15:$CV$15,1,AX129))/12,IF(AX129=1,IF(AX130&gt;=INDEX('Lease Cycles'!$DK$15:$DQ$15,1,AX129),IF(AX$6&gt;='Lease Cycles'!$AZ$15,'Lease Cycles'!$C$15*'Lease Cycles'!$BA$15/12,IF(AX$6&gt;='Lease Cycles'!$AX$15,'Lease Cycles'!$C$15*'Lease Cycles'!$AY$15/12,IF(AX$6&gt;='Lease Cycles'!$AV$15,'Lease Cycles'!$C$15*'Lease Cycles'!$AW$15/12,IF(AX$6&gt;='Lease Cycles'!$AT$15,'Lease Cycles'!$C$15*'Lease Cycles'!$AU$15/12,'Lease Cycles'!$C$15*INDEX('Lease Cycles'!$CB$15:$CH$15,1,AX129)*(1+INDEX('Lease Cycles'!$CI$15:$CO$15,1,AX129))^INT(INT(AX130/12)/INDEX('Lease Cycles'!$CP$15:$CV$15,1,AX129))/12)))),'Lease Cycles'!$C$15*INDEX('Lease Cycles'!$CB$15:$CH$15,1,AX129)*(1+INDEX('Lease Cycles'!$CI$15:$CO$15,1,AX129))^INT(INT(AX130/12)/INDEX('Lease Cycles'!$CP$15:$CV$15,1,AX129))/12),IF(INDEX('Lease Cycles'!$EF$15:$EL$15,1,AX129)=1,IF(AND('Lease Cycles'!$AZ$15&gt;=INDEX('Lease Cycles'!$BG$15:$BM$15,1,AX129),'Lease Cycles'!$AZ$15&lt;=AX$6),'Lease Cycles'!$C$15*'Lease Cycles'!$BA$15/12,IF(AND('Lease Cycles'!$AX$15&gt;=INDEX('Lease Cycles'!$BG$15:$BM$15,1,AX129),'Lease Cycles'!$AX$15&lt;=AX$6),'Lease Cycles'!$C$15*'Lease Cycles'!$AY$15/12,IF(AND('Lease Cycles'!$AV$15&gt;=INDEX('Lease Cycles'!$BG$15:$BM$15,1,AX129),'Lease Cycles'!$AV$15&lt;=AX$6),'Lease Cycles'!$C$15*'Lease Cycles'!$AW$15/12,IF(AND('Lease Cycles'!$AT$15&gt;=INDEX('Lease Cycles'!$BG$15:$BM$15,1,AX129),'Lease Cycles'!$AT$15&lt;=AX$6),'Lease Cycles'!$C$15*'Lease Cycles'!$AU$15/12,'Lease Cycles'!$C$15*INDEX('Lease Cycles'!$CB$15:$CH$15,1,AX129)*(1+INDEX('Lease Cycles'!$CI$15:$CO$15,1,AX129))^INT(INT(AX130/12)/INDEX('Lease Cycles'!$CP$15:$CV$15,1,AX129))/12)))),'Lease Cycles'!$C$15*INDEX('Lease Cycles'!$CB$15:$CH$15,1,AX129)*(1+INDEX('Lease Cycles'!$CI$15:$CO$15,1,AX129))^INT(INT(AX130/12)/INDEX('Lease Cycles'!$CP$15:$CV$15,1,AX129))/12))),IF('Lease Cycles'!$N$15=1,'Lease Cycles'!$C$15*'Lease Cycles'!$E$15*INDEX('Lease Cycles'!$HE$15:$HK$15,1,AX129)*(1+INDEX('Lease Cycles'!$GQ$15:$GW$15,1,AX129))^INT(INT((AX$6-INDEX('Lease Cycles'!$GJ$15:$GP$15,1,AX129))/12)/INDEX('Lease Cycles'!$GX$15:$HD$15,1,AX129))/12,0)))</f>
        <v>3200</v>
      </c>
      <c r="AY132" s="28">
        <f>IF(AY129=0,IF('Lease Cycles'!$F$15&gt;0,'Lease Cycles'!$C$15*'Lease Cycles'!$E$15/12,0),IF(AY131=1,IF('Lease Cycles'!$AT$15&gt;=9999,'Lease Cycles'!$C$15*INDEX('Lease Cycles'!$CB$15:$CH$15,1,AY129)*(1+INDEX('Lease Cycles'!$CI$15:$CO$15,1,AY129))^INT(INT(AY130/12)/INDEX('Lease Cycles'!$CP$15:$CV$15,1,AY129))/12,IF(AY129=1,IF(AY130&gt;=INDEX('Lease Cycles'!$DK$15:$DQ$15,1,AY129),IF(AY$6&gt;='Lease Cycles'!$AZ$15,'Lease Cycles'!$C$15*'Lease Cycles'!$BA$15/12,IF(AY$6&gt;='Lease Cycles'!$AX$15,'Lease Cycles'!$C$15*'Lease Cycles'!$AY$15/12,IF(AY$6&gt;='Lease Cycles'!$AV$15,'Lease Cycles'!$C$15*'Lease Cycles'!$AW$15/12,IF(AY$6&gt;='Lease Cycles'!$AT$15,'Lease Cycles'!$C$15*'Lease Cycles'!$AU$15/12,'Lease Cycles'!$C$15*INDEX('Lease Cycles'!$CB$15:$CH$15,1,AY129)*(1+INDEX('Lease Cycles'!$CI$15:$CO$15,1,AY129))^INT(INT(AY130/12)/INDEX('Lease Cycles'!$CP$15:$CV$15,1,AY129))/12)))),'Lease Cycles'!$C$15*INDEX('Lease Cycles'!$CB$15:$CH$15,1,AY129)*(1+INDEX('Lease Cycles'!$CI$15:$CO$15,1,AY129))^INT(INT(AY130/12)/INDEX('Lease Cycles'!$CP$15:$CV$15,1,AY129))/12),IF(INDEX('Lease Cycles'!$EF$15:$EL$15,1,AY129)=1,IF(AND('Lease Cycles'!$AZ$15&gt;=INDEX('Lease Cycles'!$BG$15:$BM$15,1,AY129),'Lease Cycles'!$AZ$15&lt;=AY$6),'Lease Cycles'!$C$15*'Lease Cycles'!$BA$15/12,IF(AND('Lease Cycles'!$AX$15&gt;=INDEX('Lease Cycles'!$BG$15:$BM$15,1,AY129),'Lease Cycles'!$AX$15&lt;=AY$6),'Lease Cycles'!$C$15*'Lease Cycles'!$AY$15/12,IF(AND('Lease Cycles'!$AV$15&gt;=INDEX('Lease Cycles'!$BG$15:$BM$15,1,AY129),'Lease Cycles'!$AV$15&lt;=AY$6),'Lease Cycles'!$C$15*'Lease Cycles'!$AW$15/12,IF(AND('Lease Cycles'!$AT$15&gt;=INDEX('Lease Cycles'!$BG$15:$BM$15,1,AY129),'Lease Cycles'!$AT$15&lt;=AY$6),'Lease Cycles'!$C$15*'Lease Cycles'!$AU$15/12,'Lease Cycles'!$C$15*INDEX('Lease Cycles'!$CB$15:$CH$15,1,AY129)*(1+INDEX('Lease Cycles'!$CI$15:$CO$15,1,AY129))^INT(INT(AY130/12)/INDEX('Lease Cycles'!$CP$15:$CV$15,1,AY129))/12)))),'Lease Cycles'!$C$15*INDEX('Lease Cycles'!$CB$15:$CH$15,1,AY129)*(1+INDEX('Lease Cycles'!$CI$15:$CO$15,1,AY129))^INT(INT(AY130/12)/INDEX('Lease Cycles'!$CP$15:$CV$15,1,AY129))/12))),IF('Lease Cycles'!$N$15=1,'Lease Cycles'!$C$15*'Lease Cycles'!$E$15*INDEX('Lease Cycles'!$HE$15:$HK$15,1,AY129)*(1+INDEX('Lease Cycles'!$GQ$15:$GW$15,1,AY129))^INT(INT((AY$6-INDEX('Lease Cycles'!$GJ$15:$GP$15,1,AY129))/12)/INDEX('Lease Cycles'!$GX$15:$HD$15,1,AY129))/12,0)))</f>
        <v>3200</v>
      </c>
      <c r="AZ132" s="28">
        <f>IF(AZ129=0,IF('Lease Cycles'!$F$15&gt;0,'Lease Cycles'!$C$15*'Lease Cycles'!$E$15/12,0),IF(AZ131=1,IF('Lease Cycles'!$AT$15&gt;=9999,'Lease Cycles'!$C$15*INDEX('Lease Cycles'!$CB$15:$CH$15,1,AZ129)*(1+INDEX('Lease Cycles'!$CI$15:$CO$15,1,AZ129))^INT(INT(AZ130/12)/INDEX('Lease Cycles'!$CP$15:$CV$15,1,AZ129))/12,IF(AZ129=1,IF(AZ130&gt;=INDEX('Lease Cycles'!$DK$15:$DQ$15,1,AZ129),IF(AZ$6&gt;='Lease Cycles'!$AZ$15,'Lease Cycles'!$C$15*'Lease Cycles'!$BA$15/12,IF(AZ$6&gt;='Lease Cycles'!$AX$15,'Lease Cycles'!$C$15*'Lease Cycles'!$AY$15/12,IF(AZ$6&gt;='Lease Cycles'!$AV$15,'Lease Cycles'!$C$15*'Lease Cycles'!$AW$15/12,IF(AZ$6&gt;='Lease Cycles'!$AT$15,'Lease Cycles'!$C$15*'Lease Cycles'!$AU$15/12,'Lease Cycles'!$C$15*INDEX('Lease Cycles'!$CB$15:$CH$15,1,AZ129)*(1+INDEX('Lease Cycles'!$CI$15:$CO$15,1,AZ129))^INT(INT(AZ130/12)/INDEX('Lease Cycles'!$CP$15:$CV$15,1,AZ129))/12)))),'Lease Cycles'!$C$15*INDEX('Lease Cycles'!$CB$15:$CH$15,1,AZ129)*(1+INDEX('Lease Cycles'!$CI$15:$CO$15,1,AZ129))^INT(INT(AZ130/12)/INDEX('Lease Cycles'!$CP$15:$CV$15,1,AZ129))/12),IF(INDEX('Lease Cycles'!$EF$15:$EL$15,1,AZ129)=1,IF(AND('Lease Cycles'!$AZ$15&gt;=INDEX('Lease Cycles'!$BG$15:$BM$15,1,AZ129),'Lease Cycles'!$AZ$15&lt;=AZ$6),'Lease Cycles'!$C$15*'Lease Cycles'!$BA$15/12,IF(AND('Lease Cycles'!$AX$15&gt;=INDEX('Lease Cycles'!$BG$15:$BM$15,1,AZ129),'Lease Cycles'!$AX$15&lt;=AZ$6),'Lease Cycles'!$C$15*'Lease Cycles'!$AY$15/12,IF(AND('Lease Cycles'!$AV$15&gt;=INDEX('Lease Cycles'!$BG$15:$BM$15,1,AZ129),'Lease Cycles'!$AV$15&lt;=AZ$6),'Lease Cycles'!$C$15*'Lease Cycles'!$AW$15/12,IF(AND('Lease Cycles'!$AT$15&gt;=INDEX('Lease Cycles'!$BG$15:$BM$15,1,AZ129),'Lease Cycles'!$AT$15&lt;=AZ$6),'Lease Cycles'!$C$15*'Lease Cycles'!$AU$15/12,'Lease Cycles'!$C$15*INDEX('Lease Cycles'!$CB$15:$CH$15,1,AZ129)*(1+INDEX('Lease Cycles'!$CI$15:$CO$15,1,AZ129))^INT(INT(AZ130/12)/INDEX('Lease Cycles'!$CP$15:$CV$15,1,AZ129))/12)))),'Lease Cycles'!$C$15*INDEX('Lease Cycles'!$CB$15:$CH$15,1,AZ129)*(1+INDEX('Lease Cycles'!$CI$15:$CO$15,1,AZ129))^INT(INT(AZ130/12)/INDEX('Lease Cycles'!$CP$15:$CV$15,1,AZ129))/12))),IF('Lease Cycles'!$N$15=1,'Lease Cycles'!$C$15*'Lease Cycles'!$E$15*INDEX('Lease Cycles'!$HE$15:$HK$15,1,AZ129)*(1+INDEX('Lease Cycles'!$GQ$15:$GW$15,1,AZ129))^INT(INT((AZ$6-INDEX('Lease Cycles'!$GJ$15:$GP$15,1,AZ129))/12)/INDEX('Lease Cycles'!$GX$15:$HD$15,1,AZ129))/12,0)))</f>
        <v>3200</v>
      </c>
      <c r="BA132" s="28">
        <f>IF(BA129=0,IF('Lease Cycles'!$F$15&gt;0,'Lease Cycles'!$C$15*'Lease Cycles'!$E$15/12,0),IF(BA131=1,IF('Lease Cycles'!$AT$15&gt;=9999,'Lease Cycles'!$C$15*INDEX('Lease Cycles'!$CB$15:$CH$15,1,BA129)*(1+INDEX('Lease Cycles'!$CI$15:$CO$15,1,BA129))^INT(INT(BA130/12)/INDEX('Lease Cycles'!$CP$15:$CV$15,1,BA129))/12,IF(BA129=1,IF(BA130&gt;=INDEX('Lease Cycles'!$DK$15:$DQ$15,1,BA129),IF(BA$6&gt;='Lease Cycles'!$AZ$15,'Lease Cycles'!$C$15*'Lease Cycles'!$BA$15/12,IF(BA$6&gt;='Lease Cycles'!$AX$15,'Lease Cycles'!$C$15*'Lease Cycles'!$AY$15/12,IF(BA$6&gt;='Lease Cycles'!$AV$15,'Lease Cycles'!$C$15*'Lease Cycles'!$AW$15/12,IF(BA$6&gt;='Lease Cycles'!$AT$15,'Lease Cycles'!$C$15*'Lease Cycles'!$AU$15/12,'Lease Cycles'!$C$15*INDEX('Lease Cycles'!$CB$15:$CH$15,1,BA129)*(1+INDEX('Lease Cycles'!$CI$15:$CO$15,1,BA129))^INT(INT(BA130/12)/INDEX('Lease Cycles'!$CP$15:$CV$15,1,BA129))/12)))),'Lease Cycles'!$C$15*INDEX('Lease Cycles'!$CB$15:$CH$15,1,BA129)*(1+INDEX('Lease Cycles'!$CI$15:$CO$15,1,BA129))^INT(INT(BA130/12)/INDEX('Lease Cycles'!$CP$15:$CV$15,1,BA129))/12),IF(INDEX('Lease Cycles'!$EF$15:$EL$15,1,BA129)=1,IF(AND('Lease Cycles'!$AZ$15&gt;=INDEX('Lease Cycles'!$BG$15:$BM$15,1,BA129),'Lease Cycles'!$AZ$15&lt;=BA$6),'Lease Cycles'!$C$15*'Lease Cycles'!$BA$15/12,IF(AND('Lease Cycles'!$AX$15&gt;=INDEX('Lease Cycles'!$BG$15:$BM$15,1,BA129),'Lease Cycles'!$AX$15&lt;=BA$6),'Lease Cycles'!$C$15*'Lease Cycles'!$AY$15/12,IF(AND('Lease Cycles'!$AV$15&gt;=INDEX('Lease Cycles'!$BG$15:$BM$15,1,BA129),'Lease Cycles'!$AV$15&lt;=BA$6),'Lease Cycles'!$C$15*'Lease Cycles'!$AW$15/12,IF(AND('Lease Cycles'!$AT$15&gt;=INDEX('Lease Cycles'!$BG$15:$BM$15,1,BA129),'Lease Cycles'!$AT$15&lt;=BA$6),'Lease Cycles'!$C$15*'Lease Cycles'!$AU$15/12,'Lease Cycles'!$C$15*INDEX('Lease Cycles'!$CB$15:$CH$15,1,BA129)*(1+INDEX('Lease Cycles'!$CI$15:$CO$15,1,BA129))^INT(INT(BA130/12)/INDEX('Lease Cycles'!$CP$15:$CV$15,1,BA129))/12)))),'Lease Cycles'!$C$15*INDEX('Lease Cycles'!$CB$15:$CH$15,1,BA129)*(1+INDEX('Lease Cycles'!$CI$15:$CO$15,1,BA129))^INT(INT(BA130/12)/INDEX('Lease Cycles'!$CP$15:$CV$15,1,BA129))/12))),IF('Lease Cycles'!$N$15=1,'Lease Cycles'!$C$15*'Lease Cycles'!$E$15*INDEX('Lease Cycles'!$HE$15:$HK$15,1,BA129)*(1+INDEX('Lease Cycles'!$GQ$15:$GW$15,1,BA129))^INT(INT((BA$6-INDEX('Lease Cycles'!$GJ$15:$GP$15,1,BA129))/12)/INDEX('Lease Cycles'!$GX$15:$HD$15,1,BA129))/12,0)))</f>
        <v>3200</v>
      </c>
      <c r="BB132" s="28">
        <f>IF(BB129=0,IF('Lease Cycles'!$F$15&gt;0,'Lease Cycles'!$C$15*'Lease Cycles'!$E$15/12,0),IF(BB131=1,IF('Lease Cycles'!$AT$15&gt;=9999,'Lease Cycles'!$C$15*INDEX('Lease Cycles'!$CB$15:$CH$15,1,BB129)*(1+INDEX('Lease Cycles'!$CI$15:$CO$15,1,BB129))^INT(INT(BB130/12)/INDEX('Lease Cycles'!$CP$15:$CV$15,1,BB129))/12,IF(BB129=1,IF(BB130&gt;=INDEX('Lease Cycles'!$DK$15:$DQ$15,1,BB129),IF(BB$6&gt;='Lease Cycles'!$AZ$15,'Lease Cycles'!$C$15*'Lease Cycles'!$BA$15/12,IF(BB$6&gt;='Lease Cycles'!$AX$15,'Lease Cycles'!$C$15*'Lease Cycles'!$AY$15/12,IF(BB$6&gt;='Lease Cycles'!$AV$15,'Lease Cycles'!$C$15*'Lease Cycles'!$AW$15/12,IF(BB$6&gt;='Lease Cycles'!$AT$15,'Lease Cycles'!$C$15*'Lease Cycles'!$AU$15/12,'Lease Cycles'!$C$15*INDEX('Lease Cycles'!$CB$15:$CH$15,1,BB129)*(1+INDEX('Lease Cycles'!$CI$15:$CO$15,1,BB129))^INT(INT(BB130/12)/INDEX('Lease Cycles'!$CP$15:$CV$15,1,BB129))/12)))),'Lease Cycles'!$C$15*INDEX('Lease Cycles'!$CB$15:$CH$15,1,BB129)*(1+INDEX('Lease Cycles'!$CI$15:$CO$15,1,BB129))^INT(INT(BB130/12)/INDEX('Lease Cycles'!$CP$15:$CV$15,1,BB129))/12),IF(INDEX('Lease Cycles'!$EF$15:$EL$15,1,BB129)=1,IF(AND('Lease Cycles'!$AZ$15&gt;=INDEX('Lease Cycles'!$BG$15:$BM$15,1,BB129),'Lease Cycles'!$AZ$15&lt;=BB$6),'Lease Cycles'!$C$15*'Lease Cycles'!$BA$15/12,IF(AND('Lease Cycles'!$AX$15&gt;=INDEX('Lease Cycles'!$BG$15:$BM$15,1,BB129),'Lease Cycles'!$AX$15&lt;=BB$6),'Lease Cycles'!$C$15*'Lease Cycles'!$AY$15/12,IF(AND('Lease Cycles'!$AV$15&gt;=INDEX('Lease Cycles'!$BG$15:$BM$15,1,BB129),'Lease Cycles'!$AV$15&lt;=BB$6),'Lease Cycles'!$C$15*'Lease Cycles'!$AW$15/12,IF(AND('Lease Cycles'!$AT$15&gt;=INDEX('Lease Cycles'!$BG$15:$BM$15,1,BB129),'Lease Cycles'!$AT$15&lt;=BB$6),'Lease Cycles'!$C$15*'Lease Cycles'!$AU$15/12,'Lease Cycles'!$C$15*INDEX('Lease Cycles'!$CB$15:$CH$15,1,BB129)*(1+INDEX('Lease Cycles'!$CI$15:$CO$15,1,BB129))^INT(INT(BB130/12)/INDEX('Lease Cycles'!$CP$15:$CV$15,1,BB129))/12)))),'Lease Cycles'!$C$15*INDEX('Lease Cycles'!$CB$15:$CH$15,1,BB129)*(1+INDEX('Lease Cycles'!$CI$15:$CO$15,1,BB129))^INT(INT(BB130/12)/INDEX('Lease Cycles'!$CP$15:$CV$15,1,BB129))/12))),IF('Lease Cycles'!$N$15=1,'Lease Cycles'!$C$15*'Lease Cycles'!$E$15*INDEX('Lease Cycles'!$HE$15:$HK$15,1,BB129)*(1+INDEX('Lease Cycles'!$GQ$15:$GW$15,1,BB129))^INT(INT((BB$6-INDEX('Lease Cycles'!$GJ$15:$GP$15,1,BB129))/12)/INDEX('Lease Cycles'!$GX$15:$HD$15,1,BB129))/12,0)))</f>
        <v>3200</v>
      </c>
      <c r="BC132" s="28">
        <f>IF(BC129=0,IF('Lease Cycles'!$F$15&gt;0,'Lease Cycles'!$C$15*'Lease Cycles'!$E$15/12,0),IF(BC131=1,IF('Lease Cycles'!$AT$15&gt;=9999,'Lease Cycles'!$C$15*INDEX('Lease Cycles'!$CB$15:$CH$15,1,BC129)*(1+INDEX('Lease Cycles'!$CI$15:$CO$15,1,BC129))^INT(INT(BC130/12)/INDEX('Lease Cycles'!$CP$15:$CV$15,1,BC129))/12,IF(BC129=1,IF(BC130&gt;=INDEX('Lease Cycles'!$DK$15:$DQ$15,1,BC129),IF(BC$6&gt;='Lease Cycles'!$AZ$15,'Lease Cycles'!$C$15*'Lease Cycles'!$BA$15/12,IF(BC$6&gt;='Lease Cycles'!$AX$15,'Lease Cycles'!$C$15*'Lease Cycles'!$AY$15/12,IF(BC$6&gt;='Lease Cycles'!$AV$15,'Lease Cycles'!$C$15*'Lease Cycles'!$AW$15/12,IF(BC$6&gt;='Lease Cycles'!$AT$15,'Lease Cycles'!$C$15*'Lease Cycles'!$AU$15/12,'Lease Cycles'!$C$15*INDEX('Lease Cycles'!$CB$15:$CH$15,1,BC129)*(1+INDEX('Lease Cycles'!$CI$15:$CO$15,1,BC129))^INT(INT(BC130/12)/INDEX('Lease Cycles'!$CP$15:$CV$15,1,BC129))/12)))),'Lease Cycles'!$C$15*INDEX('Lease Cycles'!$CB$15:$CH$15,1,BC129)*(1+INDEX('Lease Cycles'!$CI$15:$CO$15,1,BC129))^INT(INT(BC130/12)/INDEX('Lease Cycles'!$CP$15:$CV$15,1,BC129))/12),IF(INDEX('Lease Cycles'!$EF$15:$EL$15,1,BC129)=1,IF(AND('Lease Cycles'!$AZ$15&gt;=INDEX('Lease Cycles'!$BG$15:$BM$15,1,BC129),'Lease Cycles'!$AZ$15&lt;=BC$6),'Lease Cycles'!$C$15*'Lease Cycles'!$BA$15/12,IF(AND('Lease Cycles'!$AX$15&gt;=INDEX('Lease Cycles'!$BG$15:$BM$15,1,BC129),'Lease Cycles'!$AX$15&lt;=BC$6),'Lease Cycles'!$C$15*'Lease Cycles'!$AY$15/12,IF(AND('Lease Cycles'!$AV$15&gt;=INDEX('Lease Cycles'!$BG$15:$BM$15,1,BC129),'Lease Cycles'!$AV$15&lt;=BC$6),'Lease Cycles'!$C$15*'Lease Cycles'!$AW$15/12,IF(AND('Lease Cycles'!$AT$15&gt;=INDEX('Lease Cycles'!$BG$15:$BM$15,1,BC129),'Lease Cycles'!$AT$15&lt;=BC$6),'Lease Cycles'!$C$15*'Lease Cycles'!$AU$15/12,'Lease Cycles'!$C$15*INDEX('Lease Cycles'!$CB$15:$CH$15,1,BC129)*(1+INDEX('Lease Cycles'!$CI$15:$CO$15,1,BC129))^INT(INT(BC130/12)/INDEX('Lease Cycles'!$CP$15:$CV$15,1,BC129))/12)))),'Lease Cycles'!$C$15*INDEX('Lease Cycles'!$CB$15:$CH$15,1,BC129)*(1+INDEX('Lease Cycles'!$CI$15:$CO$15,1,BC129))^INT(INT(BC130/12)/INDEX('Lease Cycles'!$CP$15:$CV$15,1,BC129))/12))),IF('Lease Cycles'!$N$15=1,'Lease Cycles'!$C$15*'Lease Cycles'!$E$15*INDEX('Lease Cycles'!$HE$15:$HK$15,1,BC129)*(1+INDEX('Lease Cycles'!$GQ$15:$GW$15,1,BC129))^INT(INT((BC$6-INDEX('Lease Cycles'!$GJ$15:$GP$15,1,BC129))/12)/INDEX('Lease Cycles'!$GX$15:$HD$15,1,BC129))/12,0)))</f>
        <v>3200</v>
      </c>
      <c r="BD132" s="28">
        <f>IF(BD129=0,IF('Lease Cycles'!$F$15&gt;0,'Lease Cycles'!$C$15*'Lease Cycles'!$E$15/12,0),IF(BD131=1,IF('Lease Cycles'!$AT$15&gt;=9999,'Lease Cycles'!$C$15*INDEX('Lease Cycles'!$CB$15:$CH$15,1,BD129)*(1+INDEX('Lease Cycles'!$CI$15:$CO$15,1,BD129))^INT(INT(BD130/12)/INDEX('Lease Cycles'!$CP$15:$CV$15,1,BD129))/12,IF(BD129=1,IF(BD130&gt;=INDEX('Lease Cycles'!$DK$15:$DQ$15,1,BD129),IF(BD$6&gt;='Lease Cycles'!$AZ$15,'Lease Cycles'!$C$15*'Lease Cycles'!$BA$15/12,IF(BD$6&gt;='Lease Cycles'!$AX$15,'Lease Cycles'!$C$15*'Lease Cycles'!$AY$15/12,IF(BD$6&gt;='Lease Cycles'!$AV$15,'Lease Cycles'!$C$15*'Lease Cycles'!$AW$15/12,IF(BD$6&gt;='Lease Cycles'!$AT$15,'Lease Cycles'!$C$15*'Lease Cycles'!$AU$15/12,'Lease Cycles'!$C$15*INDEX('Lease Cycles'!$CB$15:$CH$15,1,BD129)*(1+INDEX('Lease Cycles'!$CI$15:$CO$15,1,BD129))^INT(INT(BD130/12)/INDEX('Lease Cycles'!$CP$15:$CV$15,1,BD129))/12)))),'Lease Cycles'!$C$15*INDEX('Lease Cycles'!$CB$15:$CH$15,1,BD129)*(1+INDEX('Lease Cycles'!$CI$15:$CO$15,1,BD129))^INT(INT(BD130/12)/INDEX('Lease Cycles'!$CP$15:$CV$15,1,BD129))/12),IF(INDEX('Lease Cycles'!$EF$15:$EL$15,1,BD129)=1,IF(AND('Lease Cycles'!$AZ$15&gt;=INDEX('Lease Cycles'!$BG$15:$BM$15,1,BD129),'Lease Cycles'!$AZ$15&lt;=BD$6),'Lease Cycles'!$C$15*'Lease Cycles'!$BA$15/12,IF(AND('Lease Cycles'!$AX$15&gt;=INDEX('Lease Cycles'!$BG$15:$BM$15,1,BD129),'Lease Cycles'!$AX$15&lt;=BD$6),'Lease Cycles'!$C$15*'Lease Cycles'!$AY$15/12,IF(AND('Lease Cycles'!$AV$15&gt;=INDEX('Lease Cycles'!$BG$15:$BM$15,1,BD129),'Lease Cycles'!$AV$15&lt;=BD$6),'Lease Cycles'!$C$15*'Lease Cycles'!$AW$15/12,IF(AND('Lease Cycles'!$AT$15&gt;=INDEX('Lease Cycles'!$BG$15:$BM$15,1,BD129),'Lease Cycles'!$AT$15&lt;=BD$6),'Lease Cycles'!$C$15*'Lease Cycles'!$AU$15/12,'Lease Cycles'!$C$15*INDEX('Lease Cycles'!$CB$15:$CH$15,1,BD129)*(1+INDEX('Lease Cycles'!$CI$15:$CO$15,1,BD129))^INT(INT(BD130/12)/INDEX('Lease Cycles'!$CP$15:$CV$15,1,BD129))/12)))),'Lease Cycles'!$C$15*INDEX('Lease Cycles'!$CB$15:$CH$15,1,BD129)*(1+INDEX('Lease Cycles'!$CI$15:$CO$15,1,BD129))^INT(INT(BD130/12)/INDEX('Lease Cycles'!$CP$15:$CV$15,1,BD129))/12))),IF('Lease Cycles'!$N$15=1,'Lease Cycles'!$C$15*'Lease Cycles'!$E$15*INDEX('Lease Cycles'!$HE$15:$HK$15,1,BD129)*(1+INDEX('Lease Cycles'!$GQ$15:$GW$15,1,BD129))^INT(INT((BD$6-INDEX('Lease Cycles'!$GJ$15:$GP$15,1,BD129))/12)/INDEX('Lease Cycles'!$GX$15:$HD$15,1,BD129))/12,0)))</f>
        <v>3200</v>
      </c>
      <c r="BE132" s="28">
        <f>IF(BE129=0,IF('Lease Cycles'!$F$15&gt;0,'Lease Cycles'!$C$15*'Lease Cycles'!$E$15/12,0),IF(BE131=1,IF('Lease Cycles'!$AT$15&gt;=9999,'Lease Cycles'!$C$15*INDEX('Lease Cycles'!$CB$15:$CH$15,1,BE129)*(1+INDEX('Lease Cycles'!$CI$15:$CO$15,1,BE129))^INT(INT(BE130/12)/INDEX('Lease Cycles'!$CP$15:$CV$15,1,BE129))/12,IF(BE129=1,IF(BE130&gt;=INDEX('Lease Cycles'!$DK$15:$DQ$15,1,BE129),IF(BE$6&gt;='Lease Cycles'!$AZ$15,'Lease Cycles'!$C$15*'Lease Cycles'!$BA$15/12,IF(BE$6&gt;='Lease Cycles'!$AX$15,'Lease Cycles'!$C$15*'Lease Cycles'!$AY$15/12,IF(BE$6&gt;='Lease Cycles'!$AV$15,'Lease Cycles'!$C$15*'Lease Cycles'!$AW$15/12,IF(BE$6&gt;='Lease Cycles'!$AT$15,'Lease Cycles'!$C$15*'Lease Cycles'!$AU$15/12,'Lease Cycles'!$C$15*INDEX('Lease Cycles'!$CB$15:$CH$15,1,BE129)*(1+INDEX('Lease Cycles'!$CI$15:$CO$15,1,BE129))^INT(INT(BE130/12)/INDEX('Lease Cycles'!$CP$15:$CV$15,1,BE129))/12)))),'Lease Cycles'!$C$15*INDEX('Lease Cycles'!$CB$15:$CH$15,1,BE129)*(1+INDEX('Lease Cycles'!$CI$15:$CO$15,1,BE129))^INT(INT(BE130/12)/INDEX('Lease Cycles'!$CP$15:$CV$15,1,BE129))/12),IF(INDEX('Lease Cycles'!$EF$15:$EL$15,1,BE129)=1,IF(AND('Lease Cycles'!$AZ$15&gt;=INDEX('Lease Cycles'!$BG$15:$BM$15,1,BE129),'Lease Cycles'!$AZ$15&lt;=BE$6),'Lease Cycles'!$C$15*'Lease Cycles'!$BA$15/12,IF(AND('Lease Cycles'!$AX$15&gt;=INDEX('Lease Cycles'!$BG$15:$BM$15,1,BE129),'Lease Cycles'!$AX$15&lt;=BE$6),'Lease Cycles'!$C$15*'Lease Cycles'!$AY$15/12,IF(AND('Lease Cycles'!$AV$15&gt;=INDEX('Lease Cycles'!$BG$15:$BM$15,1,BE129),'Lease Cycles'!$AV$15&lt;=BE$6),'Lease Cycles'!$C$15*'Lease Cycles'!$AW$15/12,IF(AND('Lease Cycles'!$AT$15&gt;=INDEX('Lease Cycles'!$BG$15:$BM$15,1,BE129),'Lease Cycles'!$AT$15&lt;=BE$6),'Lease Cycles'!$C$15*'Lease Cycles'!$AU$15/12,'Lease Cycles'!$C$15*INDEX('Lease Cycles'!$CB$15:$CH$15,1,BE129)*(1+INDEX('Lease Cycles'!$CI$15:$CO$15,1,BE129))^INT(INT(BE130/12)/INDEX('Lease Cycles'!$CP$15:$CV$15,1,BE129))/12)))),'Lease Cycles'!$C$15*INDEX('Lease Cycles'!$CB$15:$CH$15,1,BE129)*(1+INDEX('Lease Cycles'!$CI$15:$CO$15,1,BE129))^INT(INT(BE130/12)/INDEX('Lease Cycles'!$CP$15:$CV$15,1,BE129))/12))),IF('Lease Cycles'!$N$15=1,'Lease Cycles'!$C$15*'Lease Cycles'!$E$15*INDEX('Lease Cycles'!$HE$15:$HK$15,1,BE129)*(1+INDEX('Lease Cycles'!$GQ$15:$GW$15,1,BE129))^INT(INT((BE$6-INDEX('Lease Cycles'!$GJ$15:$GP$15,1,BE129))/12)/INDEX('Lease Cycles'!$GX$15:$HD$15,1,BE129))/12,0)))</f>
        <v>3200</v>
      </c>
      <c r="BF132" s="28">
        <f>IF(BF129=0,IF('Lease Cycles'!$F$15&gt;0,'Lease Cycles'!$C$15*'Lease Cycles'!$E$15/12,0),IF(BF131=1,IF('Lease Cycles'!$AT$15&gt;=9999,'Lease Cycles'!$C$15*INDEX('Lease Cycles'!$CB$15:$CH$15,1,BF129)*(1+INDEX('Lease Cycles'!$CI$15:$CO$15,1,BF129))^INT(INT(BF130/12)/INDEX('Lease Cycles'!$CP$15:$CV$15,1,BF129))/12,IF(BF129=1,IF(BF130&gt;=INDEX('Lease Cycles'!$DK$15:$DQ$15,1,BF129),IF(BF$6&gt;='Lease Cycles'!$AZ$15,'Lease Cycles'!$C$15*'Lease Cycles'!$BA$15/12,IF(BF$6&gt;='Lease Cycles'!$AX$15,'Lease Cycles'!$C$15*'Lease Cycles'!$AY$15/12,IF(BF$6&gt;='Lease Cycles'!$AV$15,'Lease Cycles'!$C$15*'Lease Cycles'!$AW$15/12,IF(BF$6&gt;='Lease Cycles'!$AT$15,'Lease Cycles'!$C$15*'Lease Cycles'!$AU$15/12,'Lease Cycles'!$C$15*INDEX('Lease Cycles'!$CB$15:$CH$15,1,BF129)*(1+INDEX('Lease Cycles'!$CI$15:$CO$15,1,BF129))^INT(INT(BF130/12)/INDEX('Lease Cycles'!$CP$15:$CV$15,1,BF129))/12)))),'Lease Cycles'!$C$15*INDEX('Lease Cycles'!$CB$15:$CH$15,1,BF129)*(1+INDEX('Lease Cycles'!$CI$15:$CO$15,1,BF129))^INT(INT(BF130/12)/INDEX('Lease Cycles'!$CP$15:$CV$15,1,BF129))/12),IF(INDEX('Lease Cycles'!$EF$15:$EL$15,1,BF129)=1,IF(AND('Lease Cycles'!$AZ$15&gt;=INDEX('Lease Cycles'!$BG$15:$BM$15,1,BF129),'Lease Cycles'!$AZ$15&lt;=BF$6),'Lease Cycles'!$C$15*'Lease Cycles'!$BA$15/12,IF(AND('Lease Cycles'!$AX$15&gt;=INDEX('Lease Cycles'!$BG$15:$BM$15,1,BF129),'Lease Cycles'!$AX$15&lt;=BF$6),'Lease Cycles'!$C$15*'Lease Cycles'!$AY$15/12,IF(AND('Lease Cycles'!$AV$15&gt;=INDEX('Lease Cycles'!$BG$15:$BM$15,1,BF129),'Lease Cycles'!$AV$15&lt;=BF$6),'Lease Cycles'!$C$15*'Lease Cycles'!$AW$15/12,IF(AND('Lease Cycles'!$AT$15&gt;=INDEX('Lease Cycles'!$BG$15:$BM$15,1,BF129),'Lease Cycles'!$AT$15&lt;=BF$6),'Lease Cycles'!$C$15*'Lease Cycles'!$AU$15/12,'Lease Cycles'!$C$15*INDEX('Lease Cycles'!$CB$15:$CH$15,1,BF129)*(1+INDEX('Lease Cycles'!$CI$15:$CO$15,1,BF129))^INT(INT(BF130/12)/INDEX('Lease Cycles'!$CP$15:$CV$15,1,BF129))/12)))),'Lease Cycles'!$C$15*INDEX('Lease Cycles'!$CB$15:$CH$15,1,BF129)*(1+INDEX('Lease Cycles'!$CI$15:$CO$15,1,BF129))^INT(INT(BF130/12)/INDEX('Lease Cycles'!$CP$15:$CV$15,1,BF129))/12))),IF('Lease Cycles'!$N$15=1,'Lease Cycles'!$C$15*'Lease Cycles'!$E$15*INDEX('Lease Cycles'!$HE$15:$HK$15,1,BF129)*(1+INDEX('Lease Cycles'!$GQ$15:$GW$15,1,BF129))^INT(INT((BF$6-INDEX('Lease Cycles'!$GJ$15:$GP$15,1,BF129))/12)/INDEX('Lease Cycles'!$GX$15:$HD$15,1,BF129))/12,0)))</f>
        <v>3200</v>
      </c>
      <c r="BG132" s="28">
        <f>IF(BG129=0,IF('Lease Cycles'!$F$15&gt;0,'Lease Cycles'!$C$15*'Lease Cycles'!$E$15/12,0),IF(BG131=1,IF('Lease Cycles'!$AT$15&gt;=9999,'Lease Cycles'!$C$15*INDEX('Lease Cycles'!$CB$15:$CH$15,1,BG129)*(1+INDEX('Lease Cycles'!$CI$15:$CO$15,1,BG129))^INT(INT(BG130/12)/INDEX('Lease Cycles'!$CP$15:$CV$15,1,BG129))/12,IF(BG129=1,IF(BG130&gt;=INDEX('Lease Cycles'!$DK$15:$DQ$15,1,BG129),IF(BG$6&gt;='Lease Cycles'!$AZ$15,'Lease Cycles'!$C$15*'Lease Cycles'!$BA$15/12,IF(BG$6&gt;='Lease Cycles'!$AX$15,'Lease Cycles'!$C$15*'Lease Cycles'!$AY$15/12,IF(BG$6&gt;='Lease Cycles'!$AV$15,'Lease Cycles'!$C$15*'Lease Cycles'!$AW$15/12,IF(BG$6&gt;='Lease Cycles'!$AT$15,'Lease Cycles'!$C$15*'Lease Cycles'!$AU$15/12,'Lease Cycles'!$C$15*INDEX('Lease Cycles'!$CB$15:$CH$15,1,BG129)*(1+INDEX('Lease Cycles'!$CI$15:$CO$15,1,BG129))^INT(INT(BG130/12)/INDEX('Lease Cycles'!$CP$15:$CV$15,1,BG129))/12)))),'Lease Cycles'!$C$15*INDEX('Lease Cycles'!$CB$15:$CH$15,1,BG129)*(1+INDEX('Lease Cycles'!$CI$15:$CO$15,1,BG129))^INT(INT(BG130/12)/INDEX('Lease Cycles'!$CP$15:$CV$15,1,BG129))/12),IF(INDEX('Lease Cycles'!$EF$15:$EL$15,1,BG129)=1,IF(AND('Lease Cycles'!$AZ$15&gt;=INDEX('Lease Cycles'!$BG$15:$BM$15,1,BG129),'Lease Cycles'!$AZ$15&lt;=BG$6),'Lease Cycles'!$C$15*'Lease Cycles'!$BA$15/12,IF(AND('Lease Cycles'!$AX$15&gt;=INDEX('Lease Cycles'!$BG$15:$BM$15,1,BG129),'Lease Cycles'!$AX$15&lt;=BG$6),'Lease Cycles'!$C$15*'Lease Cycles'!$AY$15/12,IF(AND('Lease Cycles'!$AV$15&gt;=INDEX('Lease Cycles'!$BG$15:$BM$15,1,BG129),'Lease Cycles'!$AV$15&lt;=BG$6),'Lease Cycles'!$C$15*'Lease Cycles'!$AW$15/12,IF(AND('Lease Cycles'!$AT$15&gt;=INDEX('Lease Cycles'!$BG$15:$BM$15,1,BG129),'Lease Cycles'!$AT$15&lt;=BG$6),'Lease Cycles'!$C$15*'Lease Cycles'!$AU$15/12,'Lease Cycles'!$C$15*INDEX('Lease Cycles'!$CB$15:$CH$15,1,BG129)*(1+INDEX('Lease Cycles'!$CI$15:$CO$15,1,BG129))^INT(INT(BG130/12)/INDEX('Lease Cycles'!$CP$15:$CV$15,1,BG129))/12)))),'Lease Cycles'!$C$15*INDEX('Lease Cycles'!$CB$15:$CH$15,1,BG129)*(1+INDEX('Lease Cycles'!$CI$15:$CO$15,1,BG129))^INT(INT(BG130/12)/INDEX('Lease Cycles'!$CP$15:$CV$15,1,BG129))/12))),IF('Lease Cycles'!$N$15=1,'Lease Cycles'!$C$15*'Lease Cycles'!$E$15*INDEX('Lease Cycles'!$HE$15:$HK$15,1,BG129)*(1+INDEX('Lease Cycles'!$GQ$15:$GW$15,1,BG129))^INT(INT((BG$6-INDEX('Lease Cycles'!$GJ$15:$GP$15,1,BG129))/12)/INDEX('Lease Cycles'!$GX$15:$HD$15,1,BG129))/12,0)))</f>
        <v>3200</v>
      </c>
      <c r="BH132" s="28">
        <f>IF(BH129=0,IF('Lease Cycles'!$F$15&gt;0,'Lease Cycles'!$C$15*'Lease Cycles'!$E$15/12,0),IF(BH131=1,IF('Lease Cycles'!$AT$15&gt;=9999,'Lease Cycles'!$C$15*INDEX('Lease Cycles'!$CB$15:$CH$15,1,BH129)*(1+INDEX('Lease Cycles'!$CI$15:$CO$15,1,BH129))^INT(INT(BH130/12)/INDEX('Lease Cycles'!$CP$15:$CV$15,1,BH129))/12,IF(BH129=1,IF(BH130&gt;=INDEX('Lease Cycles'!$DK$15:$DQ$15,1,BH129),IF(BH$6&gt;='Lease Cycles'!$AZ$15,'Lease Cycles'!$C$15*'Lease Cycles'!$BA$15/12,IF(BH$6&gt;='Lease Cycles'!$AX$15,'Lease Cycles'!$C$15*'Lease Cycles'!$AY$15/12,IF(BH$6&gt;='Lease Cycles'!$AV$15,'Lease Cycles'!$C$15*'Lease Cycles'!$AW$15/12,IF(BH$6&gt;='Lease Cycles'!$AT$15,'Lease Cycles'!$C$15*'Lease Cycles'!$AU$15/12,'Lease Cycles'!$C$15*INDEX('Lease Cycles'!$CB$15:$CH$15,1,BH129)*(1+INDEX('Lease Cycles'!$CI$15:$CO$15,1,BH129))^INT(INT(BH130/12)/INDEX('Lease Cycles'!$CP$15:$CV$15,1,BH129))/12)))),'Lease Cycles'!$C$15*INDEX('Lease Cycles'!$CB$15:$CH$15,1,BH129)*(1+INDEX('Lease Cycles'!$CI$15:$CO$15,1,BH129))^INT(INT(BH130/12)/INDEX('Lease Cycles'!$CP$15:$CV$15,1,BH129))/12),IF(INDEX('Lease Cycles'!$EF$15:$EL$15,1,BH129)=1,IF(AND('Lease Cycles'!$AZ$15&gt;=INDEX('Lease Cycles'!$BG$15:$BM$15,1,BH129),'Lease Cycles'!$AZ$15&lt;=BH$6),'Lease Cycles'!$C$15*'Lease Cycles'!$BA$15/12,IF(AND('Lease Cycles'!$AX$15&gt;=INDEX('Lease Cycles'!$BG$15:$BM$15,1,BH129),'Lease Cycles'!$AX$15&lt;=BH$6),'Lease Cycles'!$C$15*'Lease Cycles'!$AY$15/12,IF(AND('Lease Cycles'!$AV$15&gt;=INDEX('Lease Cycles'!$BG$15:$BM$15,1,BH129),'Lease Cycles'!$AV$15&lt;=BH$6),'Lease Cycles'!$C$15*'Lease Cycles'!$AW$15/12,IF(AND('Lease Cycles'!$AT$15&gt;=INDEX('Lease Cycles'!$BG$15:$BM$15,1,BH129),'Lease Cycles'!$AT$15&lt;=BH$6),'Lease Cycles'!$C$15*'Lease Cycles'!$AU$15/12,'Lease Cycles'!$C$15*INDEX('Lease Cycles'!$CB$15:$CH$15,1,BH129)*(1+INDEX('Lease Cycles'!$CI$15:$CO$15,1,BH129))^INT(INT(BH130/12)/INDEX('Lease Cycles'!$CP$15:$CV$15,1,BH129))/12)))),'Lease Cycles'!$C$15*INDEX('Lease Cycles'!$CB$15:$CH$15,1,BH129)*(1+INDEX('Lease Cycles'!$CI$15:$CO$15,1,BH129))^INT(INT(BH130/12)/INDEX('Lease Cycles'!$CP$15:$CV$15,1,BH129))/12))),IF('Lease Cycles'!$N$15=1,'Lease Cycles'!$C$15*'Lease Cycles'!$E$15*INDEX('Lease Cycles'!$HE$15:$HK$15,1,BH129)*(1+INDEX('Lease Cycles'!$GQ$15:$GW$15,1,BH129))^INT(INT((BH$6-INDEX('Lease Cycles'!$GJ$15:$GP$15,1,BH129))/12)/INDEX('Lease Cycles'!$GX$15:$HD$15,1,BH129))/12,0)))</f>
        <v>3540.0589662189705</v>
      </c>
      <c r="BI132" s="28">
        <f>IF(BI129=0,IF('Lease Cycles'!$F$15&gt;0,'Lease Cycles'!$C$15*'Lease Cycles'!$E$15/12,0),IF(BI131=1,IF('Lease Cycles'!$AT$15&gt;=9999,'Lease Cycles'!$C$15*INDEX('Lease Cycles'!$CB$15:$CH$15,1,BI129)*(1+INDEX('Lease Cycles'!$CI$15:$CO$15,1,BI129))^INT(INT(BI130/12)/INDEX('Lease Cycles'!$CP$15:$CV$15,1,BI129))/12,IF(BI129=1,IF(BI130&gt;=INDEX('Lease Cycles'!$DK$15:$DQ$15,1,BI129),IF(BI$6&gt;='Lease Cycles'!$AZ$15,'Lease Cycles'!$C$15*'Lease Cycles'!$BA$15/12,IF(BI$6&gt;='Lease Cycles'!$AX$15,'Lease Cycles'!$C$15*'Lease Cycles'!$AY$15/12,IF(BI$6&gt;='Lease Cycles'!$AV$15,'Lease Cycles'!$C$15*'Lease Cycles'!$AW$15/12,IF(BI$6&gt;='Lease Cycles'!$AT$15,'Lease Cycles'!$C$15*'Lease Cycles'!$AU$15/12,'Lease Cycles'!$C$15*INDEX('Lease Cycles'!$CB$15:$CH$15,1,BI129)*(1+INDEX('Lease Cycles'!$CI$15:$CO$15,1,BI129))^INT(INT(BI130/12)/INDEX('Lease Cycles'!$CP$15:$CV$15,1,BI129))/12)))),'Lease Cycles'!$C$15*INDEX('Lease Cycles'!$CB$15:$CH$15,1,BI129)*(1+INDEX('Lease Cycles'!$CI$15:$CO$15,1,BI129))^INT(INT(BI130/12)/INDEX('Lease Cycles'!$CP$15:$CV$15,1,BI129))/12),IF(INDEX('Lease Cycles'!$EF$15:$EL$15,1,BI129)=1,IF(AND('Lease Cycles'!$AZ$15&gt;=INDEX('Lease Cycles'!$BG$15:$BM$15,1,BI129),'Lease Cycles'!$AZ$15&lt;=BI$6),'Lease Cycles'!$C$15*'Lease Cycles'!$BA$15/12,IF(AND('Lease Cycles'!$AX$15&gt;=INDEX('Lease Cycles'!$BG$15:$BM$15,1,BI129),'Lease Cycles'!$AX$15&lt;=BI$6),'Lease Cycles'!$C$15*'Lease Cycles'!$AY$15/12,IF(AND('Lease Cycles'!$AV$15&gt;=INDEX('Lease Cycles'!$BG$15:$BM$15,1,BI129),'Lease Cycles'!$AV$15&lt;=BI$6),'Lease Cycles'!$C$15*'Lease Cycles'!$AW$15/12,IF(AND('Lease Cycles'!$AT$15&gt;=INDEX('Lease Cycles'!$BG$15:$BM$15,1,BI129),'Lease Cycles'!$AT$15&lt;=BI$6),'Lease Cycles'!$C$15*'Lease Cycles'!$AU$15/12,'Lease Cycles'!$C$15*INDEX('Lease Cycles'!$CB$15:$CH$15,1,BI129)*(1+INDEX('Lease Cycles'!$CI$15:$CO$15,1,BI129))^INT(INT(BI130/12)/INDEX('Lease Cycles'!$CP$15:$CV$15,1,BI129))/12)))),'Lease Cycles'!$C$15*INDEX('Lease Cycles'!$CB$15:$CH$15,1,BI129)*(1+INDEX('Lease Cycles'!$CI$15:$CO$15,1,BI129))^INT(INT(BI130/12)/INDEX('Lease Cycles'!$CP$15:$CV$15,1,BI129))/12))),IF('Lease Cycles'!$N$15=1,'Lease Cycles'!$C$15*'Lease Cycles'!$E$15*INDEX('Lease Cycles'!$HE$15:$HK$15,1,BI129)*(1+INDEX('Lease Cycles'!$GQ$15:$GW$15,1,BI129))^INT(INT((BI$6-INDEX('Lease Cycles'!$GJ$15:$GP$15,1,BI129))/12)/INDEX('Lease Cycles'!$GX$15:$HD$15,1,BI129))/12,0)))</f>
        <v>2051.644049150977</v>
      </c>
      <c r="BJ132" s="28">
        <f>IF(BJ129=0,IF('Lease Cycles'!$F$15&gt;0,'Lease Cycles'!$C$15*'Lease Cycles'!$E$15/12,0),IF(BJ131=1,IF('Lease Cycles'!$AT$15&gt;=9999,'Lease Cycles'!$C$15*INDEX('Lease Cycles'!$CB$15:$CH$15,1,BJ129)*(1+INDEX('Lease Cycles'!$CI$15:$CO$15,1,BJ129))^INT(INT(BJ130/12)/INDEX('Lease Cycles'!$CP$15:$CV$15,1,BJ129))/12,IF(BJ129=1,IF(BJ130&gt;=INDEX('Lease Cycles'!$DK$15:$DQ$15,1,BJ129),IF(BJ$6&gt;='Lease Cycles'!$AZ$15,'Lease Cycles'!$C$15*'Lease Cycles'!$BA$15/12,IF(BJ$6&gt;='Lease Cycles'!$AX$15,'Lease Cycles'!$C$15*'Lease Cycles'!$AY$15/12,IF(BJ$6&gt;='Lease Cycles'!$AV$15,'Lease Cycles'!$C$15*'Lease Cycles'!$AW$15/12,IF(BJ$6&gt;='Lease Cycles'!$AT$15,'Lease Cycles'!$C$15*'Lease Cycles'!$AU$15/12,'Lease Cycles'!$C$15*INDEX('Lease Cycles'!$CB$15:$CH$15,1,BJ129)*(1+INDEX('Lease Cycles'!$CI$15:$CO$15,1,BJ129))^INT(INT(BJ130/12)/INDEX('Lease Cycles'!$CP$15:$CV$15,1,BJ129))/12)))),'Lease Cycles'!$C$15*INDEX('Lease Cycles'!$CB$15:$CH$15,1,BJ129)*(1+INDEX('Lease Cycles'!$CI$15:$CO$15,1,BJ129))^INT(INT(BJ130/12)/INDEX('Lease Cycles'!$CP$15:$CV$15,1,BJ129))/12),IF(INDEX('Lease Cycles'!$EF$15:$EL$15,1,BJ129)=1,IF(AND('Lease Cycles'!$AZ$15&gt;=INDEX('Lease Cycles'!$BG$15:$BM$15,1,BJ129),'Lease Cycles'!$AZ$15&lt;=BJ$6),'Lease Cycles'!$C$15*'Lease Cycles'!$BA$15/12,IF(AND('Lease Cycles'!$AX$15&gt;=INDEX('Lease Cycles'!$BG$15:$BM$15,1,BJ129),'Lease Cycles'!$AX$15&lt;=BJ$6),'Lease Cycles'!$C$15*'Lease Cycles'!$AY$15/12,IF(AND('Lease Cycles'!$AV$15&gt;=INDEX('Lease Cycles'!$BG$15:$BM$15,1,BJ129),'Lease Cycles'!$AV$15&lt;=BJ$6),'Lease Cycles'!$C$15*'Lease Cycles'!$AW$15/12,IF(AND('Lease Cycles'!$AT$15&gt;=INDEX('Lease Cycles'!$BG$15:$BM$15,1,BJ129),'Lease Cycles'!$AT$15&lt;=BJ$6),'Lease Cycles'!$C$15*'Lease Cycles'!$AU$15/12,'Lease Cycles'!$C$15*INDEX('Lease Cycles'!$CB$15:$CH$15,1,BJ129)*(1+INDEX('Lease Cycles'!$CI$15:$CO$15,1,BJ129))^INT(INT(BJ130/12)/INDEX('Lease Cycles'!$CP$15:$CV$15,1,BJ129))/12)))),'Lease Cycles'!$C$15*INDEX('Lease Cycles'!$CB$15:$CH$15,1,BJ129)*(1+INDEX('Lease Cycles'!$CI$15:$CO$15,1,BJ129))^INT(INT(BJ130/12)/INDEX('Lease Cycles'!$CP$15:$CV$15,1,BJ129))/12))),IF('Lease Cycles'!$N$15=1,'Lease Cycles'!$C$15*'Lease Cycles'!$E$15*INDEX('Lease Cycles'!$HE$15:$HK$15,1,BJ129)*(1+INDEX('Lease Cycles'!$GQ$15:$GW$15,1,BJ129))^INT(INT((BJ$6-INDEX('Lease Cycles'!$GJ$15:$GP$15,1,BJ129))/12)/INDEX('Lease Cycles'!$GX$15:$HD$15,1,BJ129))/12,0)))</f>
        <v>2051.644049150977</v>
      </c>
      <c r="BK132" s="28">
        <f>IF(BK129=0,IF('Lease Cycles'!$F$15&gt;0,'Lease Cycles'!$C$15*'Lease Cycles'!$E$15/12,0),IF(BK131=1,IF('Lease Cycles'!$AT$15&gt;=9999,'Lease Cycles'!$C$15*INDEX('Lease Cycles'!$CB$15:$CH$15,1,BK129)*(1+INDEX('Lease Cycles'!$CI$15:$CO$15,1,BK129))^INT(INT(BK130/12)/INDEX('Lease Cycles'!$CP$15:$CV$15,1,BK129))/12,IF(BK129=1,IF(BK130&gt;=INDEX('Lease Cycles'!$DK$15:$DQ$15,1,BK129),IF(BK$6&gt;='Lease Cycles'!$AZ$15,'Lease Cycles'!$C$15*'Lease Cycles'!$BA$15/12,IF(BK$6&gt;='Lease Cycles'!$AX$15,'Lease Cycles'!$C$15*'Lease Cycles'!$AY$15/12,IF(BK$6&gt;='Lease Cycles'!$AV$15,'Lease Cycles'!$C$15*'Lease Cycles'!$AW$15/12,IF(BK$6&gt;='Lease Cycles'!$AT$15,'Lease Cycles'!$C$15*'Lease Cycles'!$AU$15/12,'Lease Cycles'!$C$15*INDEX('Lease Cycles'!$CB$15:$CH$15,1,BK129)*(1+INDEX('Lease Cycles'!$CI$15:$CO$15,1,BK129))^INT(INT(BK130/12)/INDEX('Lease Cycles'!$CP$15:$CV$15,1,BK129))/12)))),'Lease Cycles'!$C$15*INDEX('Lease Cycles'!$CB$15:$CH$15,1,BK129)*(1+INDEX('Lease Cycles'!$CI$15:$CO$15,1,BK129))^INT(INT(BK130/12)/INDEX('Lease Cycles'!$CP$15:$CV$15,1,BK129))/12),IF(INDEX('Lease Cycles'!$EF$15:$EL$15,1,BK129)=1,IF(AND('Lease Cycles'!$AZ$15&gt;=INDEX('Lease Cycles'!$BG$15:$BM$15,1,BK129),'Lease Cycles'!$AZ$15&lt;=BK$6),'Lease Cycles'!$C$15*'Lease Cycles'!$BA$15/12,IF(AND('Lease Cycles'!$AX$15&gt;=INDEX('Lease Cycles'!$BG$15:$BM$15,1,BK129),'Lease Cycles'!$AX$15&lt;=BK$6),'Lease Cycles'!$C$15*'Lease Cycles'!$AY$15/12,IF(AND('Lease Cycles'!$AV$15&gt;=INDEX('Lease Cycles'!$BG$15:$BM$15,1,BK129),'Lease Cycles'!$AV$15&lt;=BK$6),'Lease Cycles'!$C$15*'Lease Cycles'!$AW$15/12,IF(AND('Lease Cycles'!$AT$15&gt;=INDEX('Lease Cycles'!$BG$15:$BM$15,1,BK129),'Lease Cycles'!$AT$15&lt;=BK$6),'Lease Cycles'!$C$15*'Lease Cycles'!$AU$15/12,'Lease Cycles'!$C$15*INDEX('Lease Cycles'!$CB$15:$CH$15,1,BK129)*(1+INDEX('Lease Cycles'!$CI$15:$CO$15,1,BK129))^INT(INT(BK130/12)/INDEX('Lease Cycles'!$CP$15:$CV$15,1,BK129))/12)))),'Lease Cycles'!$C$15*INDEX('Lease Cycles'!$CB$15:$CH$15,1,BK129)*(1+INDEX('Lease Cycles'!$CI$15:$CO$15,1,BK129))^INT(INT(BK130/12)/INDEX('Lease Cycles'!$CP$15:$CV$15,1,BK129))/12))),IF('Lease Cycles'!$N$15=1,'Lease Cycles'!$C$15*'Lease Cycles'!$E$15*INDEX('Lease Cycles'!$HE$15:$HK$15,1,BK129)*(1+INDEX('Lease Cycles'!$GQ$15:$GW$15,1,BK129))^INT(INT((BK$6-INDEX('Lease Cycles'!$GJ$15:$GP$15,1,BK129))/12)/INDEX('Lease Cycles'!$GX$15:$HD$15,1,BK129))/12,0)))</f>
        <v>2051.644049150977</v>
      </c>
      <c r="BL132" s="28">
        <f>IF(BL129=0,IF('Lease Cycles'!$F$15&gt;0,'Lease Cycles'!$C$15*'Lease Cycles'!$E$15/12,0),IF(BL131=1,IF('Lease Cycles'!$AT$15&gt;=9999,'Lease Cycles'!$C$15*INDEX('Lease Cycles'!$CB$15:$CH$15,1,BL129)*(1+INDEX('Lease Cycles'!$CI$15:$CO$15,1,BL129))^INT(INT(BL130/12)/INDEX('Lease Cycles'!$CP$15:$CV$15,1,BL129))/12,IF(BL129=1,IF(BL130&gt;=INDEX('Lease Cycles'!$DK$15:$DQ$15,1,BL129),IF(BL$6&gt;='Lease Cycles'!$AZ$15,'Lease Cycles'!$C$15*'Lease Cycles'!$BA$15/12,IF(BL$6&gt;='Lease Cycles'!$AX$15,'Lease Cycles'!$C$15*'Lease Cycles'!$AY$15/12,IF(BL$6&gt;='Lease Cycles'!$AV$15,'Lease Cycles'!$C$15*'Lease Cycles'!$AW$15/12,IF(BL$6&gt;='Lease Cycles'!$AT$15,'Lease Cycles'!$C$15*'Lease Cycles'!$AU$15/12,'Lease Cycles'!$C$15*INDEX('Lease Cycles'!$CB$15:$CH$15,1,BL129)*(1+INDEX('Lease Cycles'!$CI$15:$CO$15,1,BL129))^INT(INT(BL130/12)/INDEX('Lease Cycles'!$CP$15:$CV$15,1,BL129))/12)))),'Lease Cycles'!$C$15*INDEX('Lease Cycles'!$CB$15:$CH$15,1,BL129)*(1+INDEX('Lease Cycles'!$CI$15:$CO$15,1,BL129))^INT(INT(BL130/12)/INDEX('Lease Cycles'!$CP$15:$CV$15,1,BL129))/12),IF(INDEX('Lease Cycles'!$EF$15:$EL$15,1,BL129)=1,IF(AND('Lease Cycles'!$AZ$15&gt;=INDEX('Lease Cycles'!$BG$15:$BM$15,1,BL129),'Lease Cycles'!$AZ$15&lt;=BL$6),'Lease Cycles'!$C$15*'Lease Cycles'!$BA$15/12,IF(AND('Lease Cycles'!$AX$15&gt;=INDEX('Lease Cycles'!$BG$15:$BM$15,1,BL129),'Lease Cycles'!$AX$15&lt;=BL$6),'Lease Cycles'!$C$15*'Lease Cycles'!$AY$15/12,IF(AND('Lease Cycles'!$AV$15&gt;=INDEX('Lease Cycles'!$BG$15:$BM$15,1,BL129),'Lease Cycles'!$AV$15&lt;=BL$6),'Lease Cycles'!$C$15*'Lease Cycles'!$AW$15/12,IF(AND('Lease Cycles'!$AT$15&gt;=INDEX('Lease Cycles'!$BG$15:$BM$15,1,BL129),'Lease Cycles'!$AT$15&lt;=BL$6),'Lease Cycles'!$C$15*'Lease Cycles'!$AU$15/12,'Lease Cycles'!$C$15*INDEX('Lease Cycles'!$CB$15:$CH$15,1,BL129)*(1+INDEX('Lease Cycles'!$CI$15:$CO$15,1,BL129))^INT(INT(BL130/12)/INDEX('Lease Cycles'!$CP$15:$CV$15,1,BL129))/12)))),'Lease Cycles'!$C$15*INDEX('Lease Cycles'!$CB$15:$CH$15,1,BL129)*(1+INDEX('Lease Cycles'!$CI$15:$CO$15,1,BL129))^INT(INT(BL130/12)/INDEX('Lease Cycles'!$CP$15:$CV$15,1,BL129))/12))),IF('Lease Cycles'!$N$15=1,'Lease Cycles'!$C$15*'Lease Cycles'!$E$15*INDEX('Lease Cycles'!$HE$15:$HK$15,1,BL129)*(1+INDEX('Lease Cycles'!$GQ$15:$GW$15,1,BL129))^INT(INT((BL$6-INDEX('Lease Cycles'!$GJ$15:$GP$15,1,BL129))/12)/INDEX('Lease Cycles'!$GX$15:$HD$15,1,BL129))/12,0)))</f>
        <v>2051.644049150977</v>
      </c>
      <c r="BM132" s="28">
        <f>IF(BM129=0,IF('Lease Cycles'!$F$15&gt;0,'Lease Cycles'!$C$15*'Lease Cycles'!$E$15/12,0),IF(BM131=1,IF('Lease Cycles'!$AT$15&gt;=9999,'Lease Cycles'!$C$15*INDEX('Lease Cycles'!$CB$15:$CH$15,1,BM129)*(1+INDEX('Lease Cycles'!$CI$15:$CO$15,1,BM129))^INT(INT(BM130/12)/INDEX('Lease Cycles'!$CP$15:$CV$15,1,BM129))/12,IF(BM129=1,IF(BM130&gt;=INDEX('Lease Cycles'!$DK$15:$DQ$15,1,BM129),IF(BM$6&gt;='Lease Cycles'!$AZ$15,'Lease Cycles'!$C$15*'Lease Cycles'!$BA$15/12,IF(BM$6&gt;='Lease Cycles'!$AX$15,'Lease Cycles'!$C$15*'Lease Cycles'!$AY$15/12,IF(BM$6&gt;='Lease Cycles'!$AV$15,'Lease Cycles'!$C$15*'Lease Cycles'!$AW$15/12,IF(BM$6&gt;='Lease Cycles'!$AT$15,'Lease Cycles'!$C$15*'Lease Cycles'!$AU$15/12,'Lease Cycles'!$C$15*INDEX('Lease Cycles'!$CB$15:$CH$15,1,BM129)*(1+INDEX('Lease Cycles'!$CI$15:$CO$15,1,BM129))^INT(INT(BM130/12)/INDEX('Lease Cycles'!$CP$15:$CV$15,1,BM129))/12)))),'Lease Cycles'!$C$15*INDEX('Lease Cycles'!$CB$15:$CH$15,1,BM129)*(1+INDEX('Lease Cycles'!$CI$15:$CO$15,1,BM129))^INT(INT(BM130/12)/INDEX('Lease Cycles'!$CP$15:$CV$15,1,BM129))/12),IF(INDEX('Lease Cycles'!$EF$15:$EL$15,1,BM129)=1,IF(AND('Lease Cycles'!$AZ$15&gt;=INDEX('Lease Cycles'!$BG$15:$BM$15,1,BM129),'Lease Cycles'!$AZ$15&lt;=BM$6),'Lease Cycles'!$C$15*'Lease Cycles'!$BA$15/12,IF(AND('Lease Cycles'!$AX$15&gt;=INDEX('Lease Cycles'!$BG$15:$BM$15,1,BM129),'Lease Cycles'!$AX$15&lt;=BM$6),'Lease Cycles'!$C$15*'Lease Cycles'!$AY$15/12,IF(AND('Lease Cycles'!$AV$15&gt;=INDEX('Lease Cycles'!$BG$15:$BM$15,1,BM129),'Lease Cycles'!$AV$15&lt;=BM$6),'Lease Cycles'!$C$15*'Lease Cycles'!$AW$15/12,IF(AND('Lease Cycles'!$AT$15&gt;=INDEX('Lease Cycles'!$BG$15:$BM$15,1,BM129),'Lease Cycles'!$AT$15&lt;=BM$6),'Lease Cycles'!$C$15*'Lease Cycles'!$AU$15/12,'Lease Cycles'!$C$15*INDEX('Lease Cycles'!$CB$15:$CH$15,1,BM129)*(1+INDEX('Lease Cycles'!$CI$15:$CO$15,1,BM129))^INT(INT(BM130/12)/INDEX('Lease Cycles'!$CP$15:$CV$15,1,BM129))/12)))),'Lease Cycles'!$C$15*INDEX('Lease Cycles'!$CB$15:$CH$15,1,BM129)*(1+INDEX('Lease Cycles'!$CI$15:$CO$15,1,BM129))^INT(INT(BM130/12)/INDEX('Lease Cycles'!$CP$15:$CV$15,1,BM129))/12))),IF('Lease Cycles'!$N$15=1,'Lease Cycles'!$C$15*'Lease Cycles'!$E$15*INDEX('Lease Cycles'!$HE$15:$HK$15,1,BM129)*(1+INDEX('Lease Cycles'!$GQ$15:$GW$15,1,BM129))^INT(INT((BM$6-INDEX('Lease Cycles'!$GJ$15:$GP$15,1,BM129))/12)/INDEX('Lease Cycles'!$GX$15:$HD$15,1,BM129))/12,0)))</f>
        <v>2051.644049150977</v>
      </c>
      <c r="BN132" s="28">
        <f>IF(BN129=0,IF('Lease Cycles'!$F$15&gt;0,'Lease Cycles'!$C$15*'Lease Cycles'!$E$15/12,0),IF(BN131=1,IF('Lease Cycles'!$AT$15&gt;=9999,'Lease Cycles'!$C$15*INDEX('Lease Cycles'!$CB$15:$CH$15,1,BN129)*(1+INDEX('Lease Cycles'!$CI$15:$CO$15,1,BN129))^INT(INT(BN130/12)/INDEX('Lease Cycles'!$CP$15:$CV$15,1,BN129))/12,IF(BN129=1,IF(BN130&gt;=INDEX('Lease Cycles'!$DK$15:$DQ$15,1,BN129),IF(BN$6&gt;='Lease Cycles'!$AZ$15,'Lease Cycles'!$C$15*'Lease Cycles'!$BA$15/12,IF(BN$6&gt;='Lease Cycles'!$AX$15,'Lease Cycles'!$C$15*'Lease Cycles'!$AY$15/12,IF(BN$6&gt;='Lease Cycles'!$AV$15,'Lease Cycles'!$C$15*'Lease Cycles'!$AW$15/12,IF(BN$6&gt;='Lease Cycles'!$AT$15,'Lease Cycles'!$C$15*'Lease Cycles'!$AU$15/12,'Lease Cycles'!$C$15*INDEX('Lease Cycles'!$CB$15:$CH$15,1,BN129)*(1+INDEX('Lease Cycles'!$CI$15:$CO$15,1,BN129))^INT(INT(BN130/12)/INDEX('Lease Cycles'!$CP$15:$CV$15,1,BN129))/12)))),'Lease Cycles'!$C$15*INDEX('Lease Cycles'!$CB$15:$CH$15,1,BN129)*(1+INDEX('Lease Cycles'!$CI$15:$CO$15,1,BN129))^INT(INT(BN130/12)/INDEX('Lease Cycles'!$CP$15:$CV$15,1,BN129))/12),IF(INDEX('Lease Cycles'!$EF$15:$EL$15,1,BN129)=1,IF(AND('Lease Cycles'!$AZ$15&gt;=INDEX('Lease Cycles'!$BG$15:$BM$15,1,BN129),'Lease Cycles'!$AZ$15&lt;=BN$6),'Lease Cycles'!$C$15*'Lease Cycles'!$BA$15/12,IF(AND('Lease Cycles'!$AX$15&gt;=INDEX('Lease Cycles'!$BG$15:$BM$15,1,BN129),'Lease Cycles'!$AX$15&lt;=BN$6),'Lease Cycles'!$C$15*'Lease Cycles'!$AY$15/12,IF(AND('Lease Cycles'!$AV$15&gt;=INDEX('Lease Cycles'!$BG$15:$BM$15,1,BN129),'Lease Cycles'!$AV$15&lt;=BN$6),'Lease Cycles'!$C$15*'Lease Cycles'!$AW$15/12,IF(AND('Lease Cycles'!$AT$15&gt;=INDEX('Lease Cycles'!$BG$15:$BM$15,1,BN129),'Lease Cycles'!$AT$15&lt;=BN$6),'Lease Cycles'!$C$15*'Lease Cycles'!$AU$15/12,'Lease Cycles'!$C$15*INDEX('Lease Cycles'!$CB$15:$CH$15,1,BN129)*(1+INDEX('Lease Cycles'!$CI$15:$CO$15,1,BN129))^INT(INT(BN130/12)/INDEX('Lease Cycles'!$CP$15:$CV$15,1,BN129))/12)))),'Lease Cycles'!$C$15*INDEX('Lease Cycles'!$CB$15:$CH$15,1,BN129)*(1+INDEX('Lease Cycles'!$CI$15:$CO$15,1,BN129))^INT(INT(BN130/12)/INDEX('Lease Cycles'!$CP$15:$CV$15,1,BN129))/12))),IF('Lease Cycles'!$N$15=1,'Lease Cycles'!$C$15*'Lease Cycles'!$E$15*INDEX('Lease Cycles'!$HE$15:$HK$15,1,BN129)*(1+INDEX('Lease Cycles'!$GQ$15:$GW$15,1,BN129))^INT(INT((BN$6-INDEX('Lease Cycles'!$GJ$15:$GP$15,1,BN129))/12)/INDEX('Lease Cycles'!$GX$15:$HD$15,1,BN129))/12,0)))</f>
        <v>2051.644049150977</v>
      </c>
      <c r="BO132" s="28">
        <f>IF(BO129=0,IF('Lease Cycles'!$F$15&gt;0,'Lease Cycles'!$C$15*'Lease Cycles'!$E$15/12,0),IF(BO131=1,IF('Lease Cycles'!$AT$15&gt;=9999,'Lease Cycles'!$C$15*INDEX('Lease Cycles'!$CB$15:$CH$15,1,BO129)*(1+INDEX('Lease Cycles'!$CI$15:$CO$15,1,BO129))^INT(INT(BO130/12)/INDEX('Lease Cycles'!$CP$15:$CV$15,1,BO129))/12,IF(BO129=1,IF(BO130&gt;=INDEX('Lease Cycles'!$DK$15:$DQ$15,1,BO129),IF(BO$6&gt;='Lease Cycles'!$AZ$15,'Lease Cycles'!$C$15*'Lease Cycles'!$BA$15/12,IF(BO$6&gt;='Lease Cycles'!$AX$15,'Lease Cycles'!$C$15*'Lease Cycles'!$AY$15/12,IF(BO$6&gt;='Lease Cycles'!$AV$15,'Lease Cycles'!$C$15*'Lease Cycles'!$AW$15/12,IF(BO$6&gt;='Lease Cycles'!$AT$15,'Lease Cycles'!$C$15*'Lease Cycles'!$AU$15/12,'Lease Cycles'!$C$15*INDEX('Lease Cycles'!$CB$15:$CH$15,1,BO129)*(1+INDEX('Lease Cycles'!$CI$15:$CO$15,1,BO129))^INT(INT(BO130/12)/INDEX('Lease Cycles'!$CP$15:$CV$15,1,BO129))/12)))),'Lease Cycles'!$C$15*INDEX('Lease Cycles'!$CB$15:$CH$15,1,BO129)*(1+INDEX('Lease Cycles'!$CI$15:$CO$15,1,BO129))^INT(INT(BO130/12)/INDEX('Lease Cycles'!$CP$15:$CV$15,1,BO129))/12),IF(INDEX('Lease Cycles'!$EF$15:$EL$15,1,BO129)=1,IF(AND('Lease Cycles'!$AZ$15&gt;=INDEX('Lease Cycles'!$BG$15:$BM$15,1,BO129),'Lease Cycles'!$AZ$15&lt;=BO$6),'Lease Cycles'!$C$15*'Lease Cycles'!$BA$15/12,IF(AND('Lease Cycles'!$AX$15&gt;=INDEX('Lease Cycles'!$BG$15:$BM$15,1,BO129),'Lease Cycles'!$AX$15&lt;=BO$6),'Lease Cycles'!$C$15*'Lease Cycles'!$AY$15/12,IF(AND('Lease Cycles'!$AV$15&gt;=INDEX('Lease Cycles'!$BG$15:$BM$15,1,BO129),'Lease Cycles'!$AV$15&lt;=BO$6),'Lease Cycles'!$C$15*'Lease Cycles'!$AW$15/12,IF(AND('Lease Cycles'!$AT$15&gt;=INDEX('Lease Cycles'!$BG$15:$BM$15,1,BO129),'Lease Cycles'!$AT$15&lt;=BO$6),'Lease Cycles'!$C$15*'Lease Cycles'!$AU$15/12,'Lease Cycles'!$C$15*INDEX('Lease Cycles'!$CB$15:$CH$15,1,BO129)*(1+INDEX('Lease Cycles'!$CI$15:$CO$15,1,BO129))^INT(INT(BO130/12)/INDEX('Lease Cycles'!$CP$15:$CV$15,1,BO129))/12)))),'Lease Cycles'!$C$15*INDEX('Lease Cycles'!$CB$15:$CH$15,1,BO129)*(1+INDEX('Lease Cycles'!$CI$15:$CO$15,1,BO129))^INT(INT(BO130/12)/INDEX('Lease Cycles'!$CP$15:$CV$15,1,BO129))/12))),IF('Lease Cycles'!$N$15=1,'Lease Cycles'!$C$15*'Lease Cycles'!$E$15*INDEX('Lease Cycles'!$HE$15:$HK$15,1,BO129)*(1+INDEX('Lease Cycles'!$GQ$15:$GW$15,1,BO129))^INT(INT((BO$6-INDEX('Lease Cycles'!$GJ$15:$GP$15,1,BO129))/12)/INDEX('Lease Cycles'!$GX$15:$HD$15,1,BO129))/12,0)))</f>
        <v>2051.644049150977</v>
      </c>
      <c r="BP132" s="28">
        <f>IF(BP129=0,IF('Lease Cycles'!$F$15&gt;0,'Lease Cycles'!$C$15*'Lease Cycles'!$E$15/12,0),IF(BP131=1,IF('Lease Cycles'!$AT$15&gt;=9999,'Lease Cycles'!$C$15*INDEX('Lease Cycles'!$CB$15:$CH$15,1,BP129)*(1+INDEX('Lease Cycles'!$CI$15:$CO$15,1,BP129))^INT(INT(BP130/12)/INDEX('Lease Cycles'!$CP$15:$CV$15,1,BP129))/12,IF(BP129=1,IF(BP130&gt;=INDEX('Lease Cycles'!$DK$15:$DQ$15,1,BP129),IF(BP$6&gt;='Lease Cycles'!$AZ$15,'Lease Cycles'!$C$15*'Lease Cycles'!$BA$15/12,IF(BP$6&gt;='Lease Cycles'!$AX$15,'Lease Cycles'!$C$15*'Lease Cycles'!$AY$15/12,IF(BP$6&gt;='Lease Cycles'!$AV$15,'Lease Cycles'!$C$15*'Lease Cycles'!$AW$15/12,IF(BP$6&gt;='Lease Cycles'!$AT$15,'Lease Cycles'!$C$15*'Lease Cycles'!$AU$15/12,'Lease Cycles'!$C$15*INDEX('Lease Cycles'!$CB$15:$CH$15,1,BP129)*(1+INDEX('Lease Cycles'!$CI$15:$CO$15,1,BP129))^INT(INT(BP130/12)/INDEX('Lease Cycles'!$CP$15:$CV$15,1,BP129))/12)))),'Lease Cycles'!$C$15*INDEX('Lease Cycles'!$CB$15:$CH$15,1,BP129)*(1+INDEX('Lease Cycles'!$CI$15:$CO$15,1,BP129))^INT(INT(BP130/12)/INDEX('Lease Cycles'!$CP$15:$CV$15,1,BP129))/12),IF(INDEX('Lease Cycles'!$EF$15:$EL$15,1,BP129)=1,IF(AND('Lease Cycles'!$AZ$15&gt;=INDEX('Lease Cycles'!$BG$15:$BM$15,1,BP129),'Lease Cycles'!$AZ$15&lt;=BP$6),'Lease Cycles'!$C$15*'Lease Cycles'!$BA$15/12,IF(AND('Lease Cycles'!$AX$15&gt;=INDEX('Lease Cycles'!$BG$15:$BM$15,1,BP129),'Lease Cycles'!$AX$15&lt;=BP$6),'Lease Cycles'!$C$15*'Lease Cycles'!$AY$15/12,IF(AND('Lease Cycles'!$AV$15&gt;=INDEX('Lease Cycles'!$BG$15:$BM$15,1,BP129),'Lease Cycles'!$AV$15&lt;=BP$6),'Lease Cycles'!$C$15*'Lease Cycles'!$AW$15/12,IF(AND('Lease Cycles'!$AT$15&gt;=INDEX('Lease Cycles'!$BG$15:$BM$15,1,BP129),'Lease Cycles'!$AT$15&lt;=BP$6),'Lease Cycles'!$C$15*'Lease Cycles'!$AU$15/12,'Lease Cycles'!$C$15*INDEX('Lease Cycles'!$CB$15:$CH$15,1,BP129)*(1+INDEX('Lease Cycles'!$CI$15:$CO$15,1,BP129))^INT(INT(BP130/12)/INDEX('Lease Cycles'!$CP$15:$CV$15,1,BP129))/12)))),'Lease Cycles'!$C$15*INDEX('Lease Cycles'!$CB$15:$CH$15,1,BP129)*(1+INDEX('Lease Cycles'!$CI$15:$CO$15,1,BP129))^INT(INT(BP130/12)/INDEX('Lease Cycles'!$CP$15:$CV$15,1,BP129))/12))),IF('Lease Cycles'!$N$15=1,'Lease Cycles'!$C$15*'Lease Cycles'!$E$15*INDEX('Lease Cycles'!$HE$15:$HK$15,1,BP129)*(1+INDEX('Lease Cycles'!$GQ$15:$GW$15,1,BP129))^INT(INT((BP$6-INDEX('Lease Cycles'!$GJ$15:$GP$15,1,BP129))/12)/INDEX('Lease Cycles'!$GX$15:$HD$15,1,BP129))/12,0)))</f>
        <v>2051.644049150977</v>
      </c>
      <c r="BQ132" s="28">
        <f>IF(BQ129=0,IF('Lease Cycles'!$F$15&gt;0,'Lease Cycles'!$C$15*'Lease Cycles'!$E$15/12,0),IF(BQ131=1,IF('Lease Cycles'!$AT$15&gt;=9999,'Lease Cycles'!$C$15*INDEX('Lease Cycles'!$CB$15:$CH$15,1,BQ129)*(1+INDEX('Lease Cycles'!$CI$15:$CO$15,1,BQ129))^INT(INT(BQ130/12)/INDEX('Lease Cycles'!$CP$15:$CV$15,1,BQ129))/12,IF(BQ129=1,IF(BQ130&gt;=INDEX('Lease Cycles'!$DK$15:$DQ$15,1,BQ129),IF(BQ$6&gt;='Lease Cycles'!$AZ$15,'Lease Cycles'!$C$15*'Lease Cycles'!$BA$15/12,IF(BQ$6&gt;='Lease Cycles'!$AX$15,'Lease Cycles'!$C$15*'Lease Cycles'!$AY$15/12,IF(BQ$6&gt;='Lease Cycles'!$AV$15,'Lease Cycles'!$C$15*'Lease Cycles'!$AW$15/12,IF(BQ$6&gt;='Lease Cycles'!$AT$15,'Lease Cycles'!$C$15*'Lease Cycles'!$AU$15/12,'Lease Cycles'!$C$15*INDEX('Lease Cycles'!$CB$15:$CH$15,1,BQ129)*(1+INDEX('Lease Cycles'!$CI$15:$CO$15,1,BQ129))^INT(INT(BQ130/12)/INDEX('Lease Cycles'!$CP$15:$CV$15,1,BQ129))/12)))),'Lease Cycles'!$C$15*INDEX('Lease Cycles'!$CB$15:$CH$15,1,BQ129)*(1+INDEX('Lease Cycles'!$CI$15:$CO$15,1,BQ129))^INT(INT(BQ130/12)/INDEX('Lease Cycles'!$CP$15:$CV$15,1,BQ129))/12),IF(INDEX('Lease Cycles'!$EF$15:$EL$15,1,BQ129)=1,IF(AND('Lease Cycles'!$AZ$15&gt;=INDEX('Lease Cycles'!$BG$15:$BM$15,1,BQ129),'Lease Cycles'!$AZ$15&lt;=BQ$6),'Lease Cycles'!$C$15*'Lease Cycles'!$BA$15/12,IF(AND('Lease Cycles'!$AX$15&gt;=INDEX('Lease Cycles'!$BG$15:$BM$15,1,BQ129),'Lease Cycles'!$AX$15&lt;=BQ$6),'Lease Cycles'!$C$15*'Lease Cycles'!$AY$15/12,IF(AND('Lease Cycles'!$AV$15&gt;=INDEX('Lease Cycles'!$BG$15:$BM$15,1,BQ129),'Lease Cycles'!$AV$15&lt;=BQ$6),'Lease Cycles'!$C$15*'Lease Cycles'!$AW$15/12,IF(AND('Lease Cycles'!$AT$15&gt;=INDEX('Lease Cycles'!$BG$15:$BM$15,1,BQ129),'Lease Cycles'!$AT$15&lt;=BQ$6),'Lease Cycles'!$C$15*'Lease Cycles'!$AU$15/12,'Lease Cycles'!$C$15*INDEX('Lease Cycles'!$CB$15:$CH$15,1,BQ129)*(1+INDEX('Lease Cycles'!$CI$15:$CO$15,1,BQ129))^INT(INT(BQ130/12)/INDEX('Lease Cycles'!$CP$15:$CV$15,1,BQ129))/12)))),'Lease Cycles'!$C$15*INDEX('Lease Cycles'!$CB$15:$CH$15,1,BQ129)*(1+INDEX('Lease Cycles'!$CI$15:$CO$15,1,BQ129))^INT(INT(BQ130/12)/INDEX('Lease Cycles'!$CP$15:$CV$15,1,BQ129))/12))),IF('Lease Cycles'!$N$15=1,'Lease Cycles'!$C$15*'Lease Cycles'!$E$15*INDEX('Lease Cycles'!$HE$15:$HK$15,1,BQ129)*(1+INDEX('Lease Cycles'!$GQ$15:$GW$15,1,BQ129))^INT(INT((BQ$6-INDEX('Lease Cycles'!$GJ$15:$GP$15,1,BQ129))/12)/INDEX('Lease Cycles'!$GX$15:$HD$15,1,BQ129))/12,0)))</f>
        <v>2051.644049150977</v>
      </c>
      <c r="BR132" s="28">
        <f>IF(BR129=0,IF('Lease Cycles'!$F$15&gt;0,'Lease Cycles'!$C$15*'Lease Cycles'!$E$15/12,0),IF(BR131=1,IF('Lease Cycles'!$AT$15&gt;=9999,'Lease Cycles'!$C$15*INDEX('Lease Cycles'!$CB$15:$CH$15,1,BR129)*(1+INDEX('Lease Cycles'!$CI$15:$CO$15,1,BR129))^INT(INT(BR130/12)/INDEX('Lease Cycles'!$CP$15:$CV$15,1,BR129))/12,IF(BR129=1,IF(BR130&gt;=INDEX('Lease Cycles'!$DK$15:$DQ$15,1,BR129),IF(BR$6&gt;='Lease Cycles'!$AZ$15,'Lease Cycles'!$C$15*'Lease Cycles'!$BA$15/12,IF(BR$6&gt;='Lease Cycles'!$AX$15,'Lease Cycles'!$C$15*'Lease Cycles'!$AY$15/12,IF(BR$6&gt;='Lease Cycles'!$AV$15,'Lease Cycles'!$C$15*'Lease Cycles'!$AW$15/12,IF(BR$6&gt;='Lease Cycles'!$AT$15,'Lease Cycles'!$C$15*'Lease Cycles'!$AU$15/12,'Lease Cycles'!$C$15*INDEX('Lease Cycles'!$CB$15:$CH$15,1,BR129)*(1+INDEX('Lease Cycles'!$CI$15:$CO$15,1,BR129))^INT(INT(BR130/12)/INDEX('Lease Cycles'!$CP$15:$CV$15,1,BR129))/12)))),'Lease Cycles'!$C$15*INDEX('Lease Cycles'!$CB$15:$CH$15,1,BR129)*(1+INDEX('Lease Cycles'!$CI$15:$CO$15,1,BR129))^INT(INT(BR130/12)/INDEX('Lease Cycles'!$CP$15:$CV$15,1,BR129))/12),IF(INDEX('Lease Cycles'!$EF$15:$EL$15,1,BR129)=1,IF(AND('Lease Cycles'!$AZ$15&gt;=INDEX('Lease Cycles'!$BG$15:$BM$15,1,BR129),'Lease Cycles'!$AZ$15&lt;=BR$6),'Lease Cycles'!$C$15*'Lease Cycles'!$BA$15/12,IF(AND('Lease Cycles'!$AX$15&gt;=INDEX('Lease Cycles'!$BG$15:$BM$15,1,BR129),'Lease Cycles'!$AX$15&lt;=BR$6),'Lease Cycles'!$C$15*'Lease Cycles'!$AY$15/12,IF(AND('Lease Cycles'!$AV$15&gt;=INDEX('Lease Cycles'!$BG$15:$BM$15,1,BR129),'Lease Cycles'!$AV$15&lt;=BR$6),'Lease Cycles'!$C$15*'Lease Cycles'!$AW$15/12,IF(AND('Lease Cycles'!$AT$15&gt;=INDEX('Lease Cycles'!$BG$15:$BM$15,1,BR129),'Lease Cycles'!$AT$15&lt;=BR$6),'Lease Cycles'!$C$15*'Lease Cycles'!$AU$15/12,'Lease Cycles'!$C$15*INDEX('Lease Cycles'!$CB$15:$CH$15,1,BR129)*(1+INDEX('Lease Cycles'!$CI$15:$CO$15,1,BR129))^INT(INT(BR130/12)/INDEX('Lease Cycles'!$CP$15:$CV$15,1,BR129))/12)))),'Lease Cycles'!$C$15*INDEX('Lease Cycles'!$CB$15:$CH$15,1,BR129)*(1+INDEX('Lease Cycles'!$CI$15:$CO$15,1,BR129))^INT(INT(BR130/12)/INDEX('Lease Cycles'!$CP$15:$CV$15,1,BR129))/12))),IF('Lease Cycles'!$N$15=1,'Lease Cycles'!$C$15*'Lease Cycles'!$E$15*INDEX('Lease Cycles'!$HE$15:$HK$15,1,BR129)*(1+INDEX('Lease Cycles'!$GQ$15:$GW$15,1,BR129))^INT(INT((BR$6-INDEX('Lease Cycles'!$GJ$15:$GP$15,1,BR129))/12)/INDEX('Lease Cycles'!$GX$15:$HD$15,1,BR129))/12,0)))</f>
        <v>2051.644049150977</v>
      </c>
      <c r="BS132" s="28">
        <f>IF(BS129=0,IF('Lease Cycles'!$F$15&gt;0,'Lease Cycles'!$C$15*'Lease Cycles'!$E$15/12,0),IF(BS131=1,IF('Lease Cycles'!$AT$15&gt;=9999,'Lease Cycles'!$C$15*INDEX('Lease Cycles'!$CB$15:$CH$15,1,BS129)*(1+INDEX('Lease Cycles'!$CI$15:$CO$15,1,BS129))^INT(INT(BS130/12)/INDEX('Lease Cycles'!$CP$15:$CV$15,1,BS129))/12,IF(BS129=1,IF(BS130&gt;=INDEX('Lease Cycles'!$DK$15:$DQ$15,1,BS129),IF(BS$6&gt;='Lease Cycles'!$AZ$15,'Lease Cycles'!$C$15*'Lease Cycles'!$BA$15/12,IF(BS$6&gt;='Lease Cycles'!$AX$15,'Lease Cycles'!$C$15*'Lease Cycles'!$AY$15/12,IF(BS$6&gt;='Lease Cycles'!$AV$15,'Lease Cycles'!$C$15*'Lease Cycles'!$AW$15/12,IF(BS$6&gt;='Lease Cycles'!$AT$15,'Lease Cycles'!$C$15*'Lease Cycles'!$AU$15/12,'Lease Cycles'!$C$15*INDEX('Lease Cycles'!$CB$15:$CH$15,1,BS129)*(1+INDEX('Lease Cycles'!$CI$15:$CO$15,1,BS129))^INT(INT(BS130/12)/INDEX('Lease Cycles'!$CP$15:$CV$15,1,BS129))/12)))),'Lease Cycles'!$C$15*INDEX('Lease Cycles'!$CB$15:$CH$15,1,BS129)*(1+INDEX('Lease Cycles'!$CI$15:$CO$15,1,BS129))^INT(INT(BS130/12)/INDEX('Lease Cycles'!$CP$15:$CV$15,1,BS129))/12),IF(INDEX('Lease Cycles'!$EF$15:$EL$15,1,BS129)=1,IF(AND('Lease Cycles'!$AZ$15&gt;=INDEX('Lease Cycles'!$BG$15:$BM$15,1,BS129),'Lease Cycles'!$AZ$15&lt;=BS$6),'Lease Cycles'!$C$15*'Lease Cycles'!$BA$15/12,IF(AND('Lease Cycles'!$AX$15&gt;=INDEX('Lease Cycles'!$BG$15:$BM$15,1,BS129),'Lease Cycles'!$AX$15&lt;=BS$6),'Lease Cycles'!$C$15*'Lease Cycles'!$AY$15/12,IF(AND('Lease Cycles'!$AV$15&gt;=INDEX('Lease Cycles'!$BG$15:$BM$15,1,BS129),'Lease Cycles'!$AV$15&lt;=BS$6),'Lease Cycles'!$C$15*'Lease Cycles'!$AW$15/12,IF(AND('Lease Cycles'!$AT$15&gt;=INDEX('Lease Cycles'!$BG$15:$BM$15,1,BS129),'Lease Cycles'!$AT$15&lt;=BS$6),'Lease Cycles'!$C$15*'Lease Cycles'!$AU$15/12,'Lease Cycles'!$C$15*INDEX('Lease Cycles'!$CB$15:$CH$15,1,BS129)*(1+INDEX('Lease Cycles'!$CI$15:$CO$15,1,BS129))^INT(INT(BS130/12)/INDEX('Lease Cycles'!$CP$15:$CV$15,1,BS129))/12)))),'Lease Cycles'!$C$15*INDEX('Lease Cycles'!$CB$15:$CH$15,1,BS129)*(1+INDEX('Lease Cycles'!$CI$15:$CO$15,1,BS129))^INT(INT(BS130/12)/INDEX('Lease Cycles'!$CP$15:$CV$15,1,BS129))/12))),IF('Lease Cycles'!$N$15=1,'Lease Cycles'!$C$15*'Lease Cycles'!$E$15*INDEX('Lease Cycles'!$HE$15:$HK$15,1,BS129)*(1+INDEX('Lease Cycles'!$GQ$15:$GW$15,1,BS129))^INT(INT((BS$6-INDEX('Lease Cycles'!$GJ$15:$GP$15,1,BS129))/12)/INDEX('Lease Cycles'!$GX$15:$HD$15,1,BS129))/12,0)))</f>
        <v>2051.644049150977</v>
      </c>
      <c r="BT132" s="28">
        <f>IF(BT129=0,IF('Lease Cycles'!$F$15&gt;0,'Lease Cycles'!$C$15*'Lease Cycles'!$E$15/12,0),IF(BT131=1,IF('Lease Cycles'!$AT$15&gt;=9999,'Lease Cycles'!$C$15*INDEX('Lease Cycles'!$CB$15:$CH$15,1,BT129)*(1+INDEX('Lease Cycles'!$CI$15:$CO$15,1,BT129))^INT(INT(BT130/12)/INDEX('Lease Cycles'!$CP$15:$CV$15,1,BT129))/12,IF(BT129=1,IF(BT130&gt;=INDEX('Lease Cycles'!$DK$15:$DQ$15,1,BT129),IF(BT$6&gt;='Lease Cycles'!$AZ$15,'Lease Cycles'!$C$15*'Lease Cycles'!$BA$15/12,IF(BT$6&gt;='Lease Cycles'!$AX$15,'Lease Cycles'!$C$15*'Lease Cycles'!$AY$15/12,IF(BT$6&gt;='Lease Cycles'!$AV$15,'Lease Cycles'!$C$15*'Lease Cycles'!$AW$15/12,IF(BT$6&gt;='Lease Cycles'!$AT$15,'Lease Cycles'!$C$15*'Lease Cycles'!$AU$15/12,'Lease Cycles'!$C$15*INDEX('Lease Cycles'!$CB$15:$CH$15,1,BT129)*(1+INDEX('Lease Cycles'!$CI$15:$CO$15,1,BT129))^INT(INT(BT130/12)/INDEX('Lease Cycles'!$CP$15:$CV$15,1,BT129))/12)))),'Lease Cycles'!$C$15*INDEX('Lease Cycles'!$CB$15:$CH$15,1,BT129)*(1+INDEX('Lease Cycles'!$CI$15:$CO$15,1,BT129))^INT(INT(BT130/12)/INDEX('Lease Cycles'!$CP$15:$CV$15,1,BT129))/12),IF(INDEX('Lease Cycles'!$EF$15:$EL$15,1,BT129)=1,IF(AND('Lease Cycles'!$AZ$15&gt;=INDEX('Lease Cycles'!$BG$15:$BM$15,1,BT129),'Lease Cycles'!$AZ$15&lt;=BT$6),'Lease Cycles'!$C$15*'Lease Cycles'!$BA$15/12,IF(AND('Lease Cycles'!$AX$15&gt;=INDEX('Lease Cycles'!$BG$15:$BM$15,1,BT129),'Lease Cycles'!$AX$15&lt;=BT$6),'Lease Cycles'!$C$15*'Lease Cycles'!$AY$15/12,IF(AND('Lease Cycles'!$AV$15&gt;=INDEX('Lease Cycles'!$BG$15:$BM$15,1,BT129),'Lease Cycles'!$AV$15&lt;=BT$6),'Lease Cycles'!$C$15*'Lease Cycles'!$AW$15/12,IF(AND('Lease Cycles'!$AT$15&gt;=INDEX('Lease Cycles'!$BG$15:$BM$15,1,BT129),'Lease Cycles'!$AT$15&lt;=BT$6),'Lease Cycles'!$C$15*'Lease Cycles'!$AU$15/12,'Lease Cycles'!$C$15*INDEX('Lease Cycles'!$CB$15:$CH$15,1,BT129)*(1+INDEX('Lease Cycles'!$CI$15:$CO$15,1,BT129))^INT(INT(BT130/12)/INDEX('Lease Cycles'!$CP$15:$CV$15,1,BT129))/12)))),'Lease Cycles'!$C$15*INDEX('Lease Cycles'!$CB$15:$CH$15,1,BT129)*(1+INDEX('Lease Cycles'!$CI$15:$CO$15,1,BT129))^INT(INT(BT130/12)/INDEX('Lease Cycles'!$CP$15:$CV$15,1,BT129))/12))),IF('Lease Cycles'!$N$15=1,'Lease Cycles'!$C$15*'Lease Cycles'!$E$15*INDEX('Lease Cycles'!$HE$15:$HK$15,1,BT129)*(1+INDEX('Lease Cycles'!$GQ$15:$GW$15,1,BT129))^INT(INT((BT$6-INDEX('Lease Cycles'!$GJ$15:$GP$15,1,BT129))/12)/INDEX('Lease Cycles'!$GX$15:$HD$15,1,BT129))/12,0)))</f>
        <v>2051.644049150977</v>
      </c>
      <c r="BU132" s="28">
        <f>IF(BU129=0,IF('Lease Cycles'!$F$15&gt;0,'Lease Cycles'!$C$15*'Lease Cycles'!$E$15/12,0),IF(BU131=1,IF('Lease Cycles'!$AT$15&gt;=9999,'Lease Cycles'!$C$15*INDEX('Lease Cycles'!$CB$15:$CH$15,1,BU129)*(1+INDEX('Lease Cycles'!$CI$15:$CO$15,1,BU129))^INT(INT(BU130/12)/INDEX('Lease Cycles'!$CP$15:$CV$15,1,BU129))/12,IF(BU129=1,IF(BU130&gt;=INDEX('Lease Cycles'!$DK$15:$DQ$15,1,BU129),IF(BU$6&gt;='Lease Cycles'!$AZ$15,'Lease Cycles'!$C$15*'Lease Cycles'!$BA$15/12,IF(BU$6&gt;='Lease Cycles'!$AX$15,'Lease Cycles'!$C$15*'Lease Cycles'!$AY$15/12,IF(BU$6&gt;='Lease Cycles'!$AV$15,'Lease Cycles'!$C$15*'Lease Cycles'!$AW$15/12,IF(BU$6&gt;='Lease Cycles'!$AT$15,'Lease Cycles'!$C$15*'Lease Cycles'!$AU$15/12,'Lease Cycles'!$C$15*INDEX('Lease Cycles'!$CB$15:$CH$15,1,BU129)*(1+INDEX('Lease Cycles'!$CI$15:$CO$15,1,BU129))^INT(INT(BU130/12)/INDEX('Lease Cycles'!$CP$15:$CV$15,1,BU129))/12)))),'Lease Cycles'!$C$15*INDEX('Lease Cycles'!$CB$15:$CH$15,1,BU129)*(1+INDEX('Lease Cycles'!$CI$15:$CO$15,1,BU129))^INT(INT(BU130/12)/INDEX('Lease Cycles'!$CP$15:$CV$15,1,BU129))/12),IF(INDEX('Lease Cycles'!$EF$15:$EL$15,1,BU129)=1,IF(AND('Lease Cycles'!$AZ$15&gt;=INDEX('Lease Cycles'!$BG$15:$BM$15,1,BU129),'Lease Cycles'!$AZ$15&lt;=BU$6),'Lease Cycles'!$C$15*'Lease Cycles'!$BA$15/12,IF(AND('Lease Cycles'!$AX$15&gt;=INDEX('Lease Cycles'!$BG$15:$BM$15,1,BU129),'Lease Cycles'!$AX$15&lt;=BU$6),'Lease Cycles'!$C$15*'Lease Cycles'!$AY$15/12,IF(AND('Lease Cycles'!$AV$15&gt;=INDEX('Lease Cycles'!$BG$15:$BM$15,1,BU129),'Lease Cycles'!$AV$15&lt;=BU$6),'Lease Cycles'!$C$15*'Lease Cycles'!$AW$15/12,IF(AND('Lease Cycles'!$AT$15&gt;=INDEX('Lease Cycles'!$BG$15:$BM$15,1,BU129),'Lease Cycles'!$AT$15&lt;=BU$6),'Lease Cycles'!$C$15*'Lease Cycles'!$AU$15/12,'Lease Cycles'!$C$15*INDEX('Lease Cycles'!$CB$15:$CH$15,1,BU129)*(1+INDEX('Lease Cycles'!$CI$15:$CO$15,1,BU129))^INT(INT(BU130/12)/INDEX('Lease Cycles'!$CP$15:$CV$15,1,BU129))/12)))),'Lease Cycles'!$C$15*INDEX('Lease Cycles'!$CB$15:$CH$15,1,BU129)*(1+INDEX('Lease Cycles'!$CI$15:$CO$15,1,BU129))^INT(INT(BU130/12)/INDEX('Lease Cycles'!$CP$15:$CV$15,1,BU129))/12))),IF('Lease Cycles'!$N$15=1,'Lease Cycles'!$C$15*'Lease Cycles'!$E$15*INDEX('Lease Cycles'!$HE$15:$HK$15,1,BU129)*(1+INDEX('Lease Cycles'!$GQ$15:$GW$15,1,BU129))^INT(INT((BU$6-INDEX('Lease Cycles'!$GJ$15:$GP$15,1,BU129))/12)/INDEX('Lease Cycles'!$GX$15:$HD$15,1,BU129))/12,0)))</f>
        <v>2113.1933706255063</v>
      </c>
      <c r="BV132" s="28">
        <f>IF(BV129=0,IF('Lease Cycles'!$F$15&gt;0,'Lease Cycles'!$C$15*'Lease Cycles'!$E$15/12,0),IF(BV131=1,IF('Lease Cycles'!$AT$15&gt;=9999,'Lease Cycles'!$C$15*INDEX('Lease Cycles'!$CB$15:$CH$15,1,BV129)*(1+INDEX('Lease Cycles'!$CI$15:$CO$15,1,BV129))^INT(INT(BV130/12)/INDEX('Lease Cycles'!$CP$15:$CV$15,1,BV129))/12,IF(BV129=1,IF(BV130&gt;=INDEX('Lease Cycles'!$DK$15:$DQ$15,1,BV129),IF(BV$6&gt;='Lease Cycles'!$AZ$15,'Lease Cycles'!$C$15*'Lease Cycles'!$BA$15/12,IF(BV$6&gt;='Lease Cycles'!$AX$15,'Lease Cycles'!$C$15*'Lease Cycles'!$AY$15/12,IF(BV$6&gt;='Lease Cycles'!$AV$15,'Lease Cycles'!$C$15*'Lease Cycles'!$AW$15/12,IF(BV$6&gt;='Lease Cycles'!$AT$15,'Lease Cycles'!$C$15*'Lease Cycles'!$AU$15/12,'Lease Cycles'!$C$15*INDEX('Lease Cycles'!$CB$15:$CH$15,1,BV129)*(1+INDEX('Lease Cycles'!$CI$15:$CO$15,1,BV129))^INT(INT(BV130/12)/INDEX('Lease Cycles'!$CP$15:$CV$15,1,BV129))/12)))),'Lease Cycles'!$C$15*INDEX('Lease Cycles'!$CB$15:$CH$15,1,BV129)*(1+INDEX('Lease Cycles'!$CI$15:$CO$15,1,BV129))^INT(INT(BV130/12)/INDEX('Lease Cycles'!$CP$15:$CV$15,1,BV129))/12),IF(INDEX('Lease Cycles'!$EF$15:$EL$15,1,BV129)=1,IF(AND('Lease Cycles'!$AZ$15&gt;=INDEX('Lease Cycles'!$BG$15:$BM$15,1,BV129),'Lease Cycles'!$AZ$15&lt;=BV$6),'Lease Cycles'!$C$15*'Lease Cycles'!$BA$15/12,IF(AND('Lease Cycles'!$AX$15&gt;=INDEX('Lease Cycles'!$BG$15:$BM$15,1,BV129),'Lease Cycles'!$AX$15&lt;=BV$6),'Lease Cycles'!$C$15*'Lease Cycles'!$AY$15/12,IF(AND('Lease Cycles'!$AV$15&gt;=INDEX('Lease Cycles'!$BG$15:$BM$15,1,BV129),'Lease Cycles'!$AV$15&lt;=BV$6),'Lease Cycles'!$C$15*'Lease Cycles'!$AW$15/12,IF(AND('Lease Cycles'!$AT$15&gt;=INDEX('Lease Cycles'!$BG$15:$BM$15,1,BV129),'Lease Cycles'!$AT$15&lt;=BV$6),'Lease Cycles'!$C$15*'Lease Cycles'!$AU$15/12,'Lease Cycles'!$C$15*INDEX('Lease Cycles'!$CB$15:$CH$15,1,BV129)*(1+INDEX('Lease Cycles'!$CI$15:$CO$15,1,BV129))^INT(INT(BV130/12)/INDEX('Lease Cycles'!$CP$15:$CV$15,1,BV129))/12)))),'Lease Cycles'!$C$15*INDEX('Lease Cycles'!$CB$15:$CH$15,1,BV129)*(1+INDEX('Lease Cycles'!$CI$15:$CO$15,1,BV129))^INT(INT(BV130/12)/INDEX('Lease Cycles'!$CP$15:$CV$15,1,BV129))/12))),IF('Lease Cycles'!$N$15=1,'Lease Cycles'!$C$15*'Lease Cycles'!$E$15*INDEX('Lease Cycles'!$HE$15:$HK$15,1,BV129)*(1+INDEX('Lease Cycles'!$GQ$15:$GW$15,1,BV129))^INT(INT((BV$6-INDEX('Lease Cycles'!$GJ$15:$GP$15,1,BV129))/12)/INDEX('Lease Cycles'!$GX$15:$HD$15,1,BV129))/12,0)))</f>
        <v>2113.1933706255063</v>
      </c>
      <c r="BW132" s="28">
        <f>IF(BW129=0,IF('Lease Cycles'!$F$15&gt;0,'Lease Cycles'!$C$15*'Lease Cycles'!$E$15/12,0),IF(BW131=1,IF('Lease Cycles'!$AT$15&gt;=9999,'Lease Cycles'!$C$15*INDEX('Lease Cycles'!$CB$15:$CH$15,1,BW129)*(1+INDEX('Lease Cycles'!$CI$15:$CO$15,1,BW129))^INT(INT(BW130/12)/INDEX('Lease Cycles'!$CP$15:$CV$15,1,BW129))/12,IF(BW129=1,IF(BW130&gt;=INDEX('Lease Cycles'!$DK$15:$DQ$15,1,BW129),IF(BW$6&gt;='Lease Cycles'!$AZ$15,'Lease Cycles'!$C$15*'Lease Cycles'!$BA$15/12,IF(BW$6&gt;='Lease Cycles'!$AX$15,'Lease Cycles'!$C$15*'Lease Cycles'!$AY$15/12,IF(BW$6&gt;='Lease Cycles'!$AV$15,'Lease Cycles'!$C$15*'Lease Cycles'!$AW$15/12,IF(BW$6&gt;='Lease Cycles'!$AT$15,'Lease Cycles'!$C$15*'Lease Cycles'!$AU$15/12,'Lease Cycles'!$C$15*INDEX('Lease Cycles'!$CB$15:$CH$15,1,BW129)*(1+INDEX('Lease Cycles'!$CI$15:$CO$15,1,BW129))^INT(INT(BW130/12)/INDEX('Lease Cycles'!$CP$15:$CV$15,1,BW129))/12)))),'Lease Cycles'!$C$15*INDEX('Lease Cycles'!$CB$15:$CH$15,1,BW129)*(1+INDEX('Lease Cycles'!$CI$15:$CO$15,1,BW129))^INT(INT(BW130/12)/INDEX('Lease Cycles'!$CP$15:$CV$15,1,BW129))/12),IF(INDEX('Lease Cycles'!$EF$15:$EL$15,1,BW129)=1,IF(AND('Lease Cycles'!$AZ$15&gt;=INDEX('Lease Cycles'!$BG$15:$BM$15,1,BW129),'Lease Cycles'!$AZ$15&lt;=BW$6),'Lease Cycles'!$C$15*'Lease Cycles'!$BA$15/12,IF(AND('Lease Cycles'!$AX$15&gt;=INDEX('Lease Cycles'!$BG$15:$BM$15,1,BW129),'Lease Cycles'!$AX$15&lt;=BW$6),'Lease Cycles'!$C$15*'Lease Cycles'!$AY$15/12,IF(AND('Lease Cycles'!$AV$15&gt;=INDEX('Lease Cycles'!$BG$15:$BM$15,1,BW129),'Lease Cycles'!$AV$15&lt;=BW$6),'Lease Cycles'!$C$15*'Lease Cycles'!$AW$15/12,IF(AND('Lease Cycles'!$AT$15&gt;=INDEX('Lease Cycles'!$BG$15:$BM$15,1,BW129),'Lease Cycles'!$AT$15&lt;=BW$6),'Lease Cycles'!$C$15*'Lease Cycles'!$AU$15/12,'Lease Cycles'!$C$15*INDEX('Lease Cycles'!$CB$15:$CH$15,1,BW129)*(1+INDEX('Lease Cycles'!$CI$15:$CO$15,1,BW129))^INT(INT(BW130/12)/INDEX('Lease Cycles'!$CP$15:$CV$15,1,BW129))/12)))),'Lease Cycles'!$C$15*INDEX('Lease Cycles'!$CB$15:$CH$15,1,BW129)*(1+INDEX('Lease Cycles'!$CI$15:$CO$15,1,BW129))^INT(INT(BW130/12)/INDEX('Lease Cycles'!$CP$15:$CV$15,1,BW129))/12))),IF('Lease Cycles'!$N$15=1,'Lease Cycles'!$C$15*'Lease Cycles'!$E$15*INDEX('Lease Cycles'!$HE$15:$HK$15,1,BW129)*(1+INDEX('Lease Cycles'!$GQ$15:$GW$15,1,BW129))^INT(INT((BW$6-INDEX('Lease Cycles'!$GJ$15:$GP$15,1,BW129))/12)/INDEX('Lease Cycles'!$GX$15:$HD$15,1,BW129))/12,0)))</f>
        <v>2113.1933706255063</v>
      </c>
      <c r="BX132" s="28">
        <f>IF(BX129=0,IF('Lease Cycles'!$F$15&gt;0,'Lease Cycles'!$C$15*'Lease Cycles'!$E$15/12,0),IF(BX131=1,IF('Lease Cycles'!$AT$15&gt;=9999,'Lease Cycles'!$C$15*INDEX('Lease Cycles'!$CB$15:$CH$15,1,BX129)*(1+INDEX('Lease Cycles'!$CI$15:$CO$15,1,BX129))^INT(INT(BX130/12)/INDEX('Lease Cycles'!$CP$15:$CV$15,1,BX129))/12,IF(BX129=1,IF(BX130&gt;=INDEX('Lease Cycles'!$DK$15:$DQ$15,1,BX129),IF(BX$6&gt;='Lease Cycles'!$AZ$15,'Lease Cycles'!$C$15*'Lease Cycles'!$BA$15/12,IF(BX$6&gt;='Lease Cycles'!$AX$15,'Lease Cycles'!$C$15*'Lease Cycles'!$AY$15/12,IF(BX$6&gt;='Lease Cycles'!$AV$15,'Lease Cycles'!$C$15*'Lease Cycles'!$AW$15/12,IF(BX$6&gt;='Lease Cycles'!$AT$15,'Lease Cycles'!$C$15*'Lease Cycles'!$AU$15/12,'Lease Cycles'!$C$15*INDEX('Lease Cycles'!$CB$15:$CH$15,1,BX129)*(1+INDEX('Lease Cycles'!$CI$15:$CO$15,1,BX129))^INT(INT(BX130/12)/INDEX('Lease Cycles'!$CP$15:$CV$15,1,BX129))/12)))),'Lease Cycles'!$C$15*INDEX('Lease Cycles'!$CB$15:$CH$15,1,BX129)*(1+INDEX('Lease Cycles'!$CI$15:$CO$15,1,BX129))^INT(INT(BX130/12)/INDEX('Lease Cycles'!$CP$15:$CV$15,1,BX129))/12),IF(INDEX('Lease Cycles'!$EF$15:$EL$15,1,BX129)=1,IF(AND('Lease Cycles'!$AZ$15&gt;=INDEX('Lease Cycles'!$BG$15:$BM$15,1,BX129),'Lease Cycles'!$AZ$15&lt;=BX$6),'Lease Cycles'!$C$15*'Lease Cycles'!$BA$15/12,IF(AND('Lease Cycles'!$AX$15&gt;=INDEX('Lease Cycles'!$BG$15:$BM$15,1,BX129),'Lease Cycles'!$AX$15&lt;=BX$6),'Lease Cycles'!$C$15*'Lease Cycles'!$AY$15/12,IF(AND('Lease Cycles'!$AV$15&gt;=INDEX('Lease Cycles'!$BG$15:$BM$15,1,BX129),'Lease Cycles'!$AV$15&lt;=BX$6),'Lease Cycles'!$C$15*'Lease Cycles'!$AW$15/12,IF(AND('Lease Cycles'!$AT$15&gt;=INDEX('Lease Cycles'!$BG$15:$BM$15,1,BX129),'Lease Cycles'!$AT$15&lt;=BX$6),'Lease Cycles'!$C$15*'Lease Cycles'!$AU$15/12,'Lease Cycles'!$C$15*INDEX('Lease Cycles'!$CB$15:$CH$15,1,BX129)*(1+INDEX('Lease Cycles'!$CI$15:$CO$15,1,BX129))^INT(INT(BX130/12)/INDEX('Lease Cycles'!$CP$15:$CV$15,1,BX129))/12)))),'Lease Cycles'!$C$15*INDEX('Lease Cycles'!$CB$15:$CH$15,1,BX129)*(1+INDEX('Lease Cycles'!$CI$15:$CO$15,1,BX129))^INT(INT(BX130/12)/INDEX('Lease Cycles'!$CP$15:$CV$15,1,BX129))/12))),IF('Lease Cycles'!$N$15=1,'Lease Cycles'!$C$15*'Lease Cycles'!$E$15*INDEX('Lease Cycles'!$HE$15:$HK$15,1,BX129)*(1+INDEX('Lease Cycles'!$GQ$15:$GW$15,1,BX129))^INT(INT((BX$6-INDEX('Lease Cycles'!$GJ$15:$GP$15,1,BX129))/12)/INDEX('Lease Cycles'!$GX$15:$HD$15,1,BX129))/12,0)))</f>
        <v>2113.1933706255063</v>
      </c>
      <c r="BY132" s="28">
        <f>IF(BY129=0,IF('Lease Cycles'!$F$15&gt;0,'Lease Cycles'!$C$15*'Lease Cycles'!$E$15/12,0),IF(BY131=1,IF('Lease Cycles'!$AT$15&gt;=9999,'Lease Cycles'!$C$15*INDEX('Lease Cycles'!$CB$15:$CH$15,1,BY129)*(1+INDEX('Lease Cycles'!$CI$15:$CO$15,1,BY129))^INT(INT(BY130/12)/INDEX('Lease Cycles'!$CP$15:$CV$15,1,BY129))/12,IF(BY129=1,IF(BY130&gt;=INDEX('Lease Cycles'!$DK$15:$DQ$15,1,BY129),IF(BY$6&gt;='Lease Cycles'!$AZ$15,'Lease Cycles'!$C$15*'Lease Cycles'!$BA$15/12,IF(BY$6&gt;='Lease Cycles'!$AX$15,'Lease Cycles'!$C$15*'Lease Cycles'!$AY$15/12,IF(BY$6&gt;='Lease Cycles'!$AV$15,'Lease Cycles'!$C$15*'Lease Cycles'!$AW$15/12,IF(BY$6&gt;='Lease Cycles'!$AT$15,'Lease Cycles'!$C$15*'Lease Cycles'!$AU$15/12,'Lease Cycles'!$C$15*INDEX('Lease Cycles'!$CB$15:$CH$15,1,BY129)*(1+INDEX('Lease Cycles'!$CI$15:$CO$15,1,BY129))^INT(INT(BY130/12)/INDEX('Lease Cycles'!$CP$15:$CV$15,1,BY129))/12)))),'Lease Cycles'!$C$15*INDEX('Lease Cycles'!$CB$15:$CH$15,1,BY129)*(1+INDEX('Lease Cycles'!$CI$15:$CO$15,1,BY129))^INT(INT(BY130/12)/INDEX('Lease Cycles'!$CP$15:$CV$15,1,BY129))/12),IF(INDEX('Lease Cycles'!$EF$15:$EL$15,1,BY129)=1,IF(AND('Lease Cycles'!$AZ$15&gt;=INDEX('Lease Cycles'!$BG$15:$BM$15,1,BY129),'Lease Cycles'!$AZ$15&lt;=BY$6),'Lease Cycles'!$C$15*'Lease Cycles'!$BA$15/12,IF(AND('Lease Cycles'!$AX$15&gt;=INDEX('Lease Cycles'!$BG$15:$BM$15,1,BY129),'Lease Cycles'!$AX$15&lt;=BY$6),'Lease Cycles'!$C$15*'Lease Cycles'!$AY$15/12,IF(AND('Lease Cycles'!$AV$15&gt;=INDEX('Lease Cycles'!$BG$15:$BM$15,1,BY129),'Lease Cycles'!$AV$15&lt;=BY$6),'Lease Cycles'!$C$15*'Lease Cycles'!$AW$15/12,IF(AND('Lease Cycles'!$AT$15&gt;=INDEX('Lease Cycles'!$BG$15:$BM$15,1,BY129),'Lease Cycles'!$AT$15&lt;=BY$6),'Lease Cycles'!$C$15*'Lease Cycles'!$AU$15/12,'Lease Cycles'!$C$15*INDEX('Lease Cycles'!$CB$15:$CH$15,1,BY129)*(1+INDEX('Lease Cycles'!$CI$15:$CO$15,1,BY129))^INT(INT(BY130/12)/INDEX('Lease Cycles'!$CP$15:$CV$15,1,BY129))/12)))),'Lease Cycles'!$C$15*INDEX('Lease Cycles'!$CB$15:$CH$15,1,BY129)*(1+INDEX('Lease Cycles'!$CI$15:$CO$15,1,BY129))^INT(INT(BY130/12)/INDEX('Lease Cycles'!$CP$15:$CV$15,1,BY129))/12))),IF('Lease Cycles'!$N$15=1,'Lease Cycles'!$C$15*'Lease Cycles'!$E$15*INDEX('Lease Cycles'!$HE$15:$HK$15,1,BY129)*(1+INDEX('Lease Cycles'!$GQ$15:$GW$15,1,BY129))^INT(INT((BY$6-INDEX('Lease Cycles'!$GJ$15:$GP$15,1,BY129))/12)/INDEX('Lease Cycles'!$GX$15:$HD$15,1,BY129))/12,0)))</f>
        <v>2113.1933706255063</v>
      </c>
      <c r="BZ132" s="28">
        <f>IF(BZ129=0,IF('Lease Cycles'!$F$15&gt;0,'Lease Cycles'!$C$15*'Lease Cycles'!$E$15/12,0),IF(BZ131=1,IF('Lease Cycles'!$AT$15&gt;=9999,'Lease Cycles'!$C$15*INDEX('Lease Cycles'!$CB$15:$CH$15,1,BZ129)*(1+INDEX('Lease Cycles'!$CI$15:$CO$15,1,BZ129))^INT(INT(BZ130/12)/INDEX('Lease Cycles'!$CP$15:$CV$15,1,BZ129))/12,IF(BZ129=1,IF(BZ130&gt;=INDEX('Lease Cycles'!$DK$15:$DQ$15,1,BZ129),IF(BZ$6&gt;='Lease Cycles'!$AZ$15,'Lease Cycles'!$C$15*'Lease Cycles'!$BA$15/12,IF(BZ$6&gt;='Lease Cycles'!$AX$15,'Lease Cycles'!$C$15*'Lease Cycles'!$AY$15/12,IF(BZ$6&gt;='Lease Cycles'!$AV$15,'Lease Cycles'!$C$15*'Lease Cycles'!$AW$15/12,IF(BZ$6&gt;='Lease Cycles'!$AT$15,'Lease Cycles'!$C$15*'Lease Cycles'!$AU$15/12,'Lease Cycles'!$C$15*INDEX('Lease Cycles'!$CB$15:$CH$15,1,BZ129)*(1+INDEX('Lease Cycles'!$CI$15:$CO$15,1,BZ129))^INT(INT(BZ130/12)/INDEX('Lease Cycles'!$CP$15:$CV$15,1,BZ129))/12)))),'Lease Cycles'!$C$15*INDEX('Lease Cycles'!$CB$15:$CH$15,1,BZ129)*(1+INDEX('Lease Cycles'!$CI$15:$CO$15,1,BZ129))^INT(INT(BZ130/12)/INDEX('Lease Cycles'!$CP$15:$CV$15,1,BZ129))/12),IF(INDEX('Lease Cycles'!$EF$15:$EL$15,1,BZ129)=1,IF(AND('Lease Cycles'!$AZ$15&gt;=INDEX('Lease Cycles'!$BG$15:$BM$15,1,BZ129),'Lease Cycles'!$AZ$15&lt;=BZ$6),'Lease Cycles'!$C$15*'Lease Cycles'!$BA$15/12,IF(AND('Lease Cycles'!$AX$15&gt;=INDEX('Lease Cycles'!$BG$15:$BM$15,1,BZ129),'Lease Cycles'!$AX$15&lt;=BZ$6),'Lease Cycles'!$C$15*'Lease Cycles'!$AY$15/12,IF(AND('Lease Cycles'!$AV$15&gt;=INDEX('Lease Cycles'!$BG$15:$BM$15,1,BZ129),'Lease Cycles'!$AV$15&lt;=BZ$6),'Lease Cycles'!$C$15*'Lease Cycles'!$AW$15/12,IF(AND('Lease Cycles'!$AT$15&gt;=INDEX('Lease Cycles'!$BG$15:$BM$15,1,BZ129),'Lease Cycles'!$AT$15&lt;=BZ$6),'Lease Cycles'!$C$15*'Lease Cycles'!$AU$15/12,'Lease Cycles'!$C$15*INDEX('Lease Cycles'!$CB$15:$CH$15,1,BZ129)*(1+INDEX('Lease Cycles'!$CI$15:$CO$15,1,BZ129))^INT(INT(BZ130/12)/INDEX('Lease Cycles'!$CP$15:$CV$15,1,BZ129))/12)))),'Lease Cycles'!$C$15*INDEX('Lease Cycles'!$CB$15:$CH$15,1,BZ129)*(1+INDEX('Lease Cycles'!$CI$15:$CO$15,1,BZ129))^INT(INT(BZ130/12)/INDEX('Lease Cycles'!$CP$15:$CV$15,1,BZ129))/12))),IF('Lease Cycles'!$N$15=1,'Lease Cycles'!$C$15*'Lease Cycles'!$E$15*INDEX('Lease Cycles'!$HE$15:$HK$15,1,BZ129)*(1+INDEX('Lease Cycles'!$GQ$15:$GW$15,1,BZ129))^INT(INT((BZ$6-INDEX('Lease Cycles'!$GJ$15:$GP$15,1,BZ129))/12)/INDEX('Lease Cycles'!$GX$15:$HD$15,1,BZ129))/12,0)))</f>
        <v>2113.1933706255063</v>
      </c>
      <c r="CA132" s="28">
        <f>IF(CA129=0,IF('Lease Cycles'!$F$15&gt;0,'Lease Cycles'!$C$15*'Lease Cycles'!$E$15/12,0),IF(CA131=1,IF('Lease Cycles'!$AT$15&gt;=9999,'Lease Cycles'!$C$15*INDEX('Lease Cycles'!$CB$15:$CH$15,1,CA129)*(1+INDEX('Lease Cycles'!$CI$15:$CO$15,1,CA129))^INT(INT(CA130/12)/INDEX('Lease Cycles'!$CP$15:$CV$15,1,CA129))/12,IF(CA129=1,IF(CA130&gt;=INDEX('Lease Cycles'!$DK$15:$DQ$15,1,CA129),IF(CA$6&gt;='Lease Cycles'!$AZ$15,'Lease Cycles'!$C$15*'Lease Cycles'!$BA$15/12,IF(CA$6&gt;='Lease Cycles'!$AX$15,'Lease Cycles'!$C$15*'Lease Cycles'!$AY$15/12,IF(CA$6&gt;='Lease Cycles'!$AV$15,'Lease Cycles'!$C$15*'Lease Cycles'!$AW$15/12,IF(CA$6&gt;='Lease Cycles'!$AT$15,'Lease Cycles'!$C$15*'Lease Cycles'!$AU$15/12,'Lease Cycles'!$C$15*INDEX('Lease Cycles'!$CB$15:$CH$15,1,CA129)*(1+INDEX('Lease Cycles'!$CI$15:$CO$15,1,CA129))^INT(INT(CA130/12)/INDEX('Lease Cycles'!$CP$15:$CV$15,1,CA129))/12)))),'Lease Cycles'!$C$15*INDEX('Lease Cycles'!$CB$15:$CH$15,1,CA129)*(1+INDEX('Lease Cycles'!$CI$15:$CO$15,1,CA129))^INT(INT(CA130/12)/INDEX('Lease Cycles'!$CP$15:$CV$15,1,CA129))/12),IF(INDEX('Lease Cycles'!$EF$15:$EL$15,1,CA129)=1,IF(AND('Lease Cycles'!$AZ$15&gt;=INDEX('Lease Cycles'!$BG$15:$BM$15,1,CA129),'Lease Cycles'!$AZ$15&lt;=CA$6),'Lease Cycles'!$C$15*'Lease Cycles'!$BA$15/12,IF(AND('Lease Cycles'!$AX$15&gt;=INDEX('Lease Cycles'!$BG$15:$BM$15,1,CA129),'Lease Cycles'!$AX$15&lt;=CA$6),'Lease Cycles'!$C$15*'Lease Cycles'!$AY$15/12,IF(AND('Lease Cycles'!$AV$15&gt;=INDEX('Lease Cycles'!$BG$15:$BM$15,1,CA129),'Lease Cycles'!$AV$15&lt;=CA$6),'Lease Cycles'!$C$15*'Lease Cycles'!$AW$15/12,IF(AND('Lease Cycles'!$AT$15&gt;=INDEX('Lease Cycles'!$BG$15:$BM$15,1,CA129),'Lease Cycles'!$AT$15&lt;=CA$6),'Lease Cycles'!$C$15*'Lease Cycles'!$AU$15/12,'Lease Cycles'!$C$15*INDEX('Lease Cycles'!$CB$15:$CH$15,1,CA129)*(1+INDEX('Lease Cycles'!$CI$15:$CO$15,1,CA129))^INT(INT(CA130/12)/INDEX('Lease Cycles'!$CP$15:$CV$15,1,CA129))/12)))),'Lease Cycles'!$C$15*INDEX('Lease Cycles'!$CB$15:$CH$15,1,CA129)*(1+INDEX('Lease Cycles'!$CI$15:$CO$15,1,CA129))^INT(INT(CA130/12)/INDEX('Lease Cycles'!$CP$15:$CV$15,1,CA129))/12))),IF('Lease Cycles'!$N$15=1,'Lease Cycles'!$C$15*'Lease Cycles'!$E$15*INDEX('Lease Cycles'!$HE$15:$HK$15,1,CA129)*(1+INDEX('Lease Cycles'!$GQ$15:$GW$15,1,CA129))^INT(INT((CA$6-INDEX('Lease Cycles'!$GJ$15:$GP$15,1,CA129))/12)/INDEX('Lease Cycles'!$GX$15:$HD$15,1,CA129))/12,0)))</f>
        <v>2113.1933706255063</v>
      </c>
      <c r="CB132" s="28">
        <f>IF(CB129=0,IF('Lease Cycles'!$F$15&gt;0,'Lease Cycles'!$C$15*'Lease Cycles'!$E$15/12,0),IF(CB131=1,IF('Lease Cycles'!$AT$15&gt;=9999,'Lease Cycles'!$C$15*INDEX('Lease Cycles'!$CB$15:$CH$15,1,CB129)*(1+INDEX('Lease Cycles'!$CI$15:$CO$15,1,CB129))^INT(INT(CB130/12)/INDEX('Lease Cycles'!$CP$15:$CV$15,1,CB129))/12,IF(CB129=1,IF(CB130&gt;=INDEX('Lease Cycles'!$DK$15:$DQ$15,1,CB129),IF(CB$6&gt;='Lease Cycles'!$AZ$15,'Lease Cycles'!$C$15*'Lease Cycles'!$BA$15/12,IF(CB$6&gt;='Lease Cycles'!$AX$15,'Lease Cycles'!$C$15*'Lease Cycles'!$AY$15/12,IF(CB$6&gt;='Lease Cycles'!$AV$15,'Lease Cycles'!$C$15*'Lease Cycles'!$AW$15/12,IF(CB$6&gt;='Lease Cycles'!$AT$15,'Lease Cycles'!$C$15*'Lease Cycles'!$AU$15/12,'Lease Cycles'!$C$15*INDEX('Lease Cycles'!$CB$15:$CH$15,1,CB129)*(1+INDEX('Lease Cycles'!$CI$15:$CO$15,1,CB129))^INT(INT(CB130/12)/INDEX('Lease Cycles'!$CP$15:$CV$15,1,CB129))/12)))),'Lease Cycles'!$C$15*INDEX('Lease Cycles'!$CB$15:$CH$15,1,CB129)*(1+INDEX('Lease Cycles'!$CI$15:$CO$15,1,CB129))^INT(INT(CB130/12)/INDEX('Lease Cycles'!$CP$15:$CV$15,1,CB129))/12),IF(INDEX('Lease Cycles'!$EF$15:$EL$15,1,CB129)=1,IF(AND('Lease Cycles'!$AZ$15&gt;=INDEX('Lease Cycles'!$BG$15:$BM$15,1,CB129),'Lease Cycles'!$AZ$15&lt;=CB$6),'Lease Cycles'!$C$15*'Lease Cycles'!$BA$15/12,IF(AND('Lease Cycles'!$AX$15&gt;=INDEX('Lease Cycles'!$BG$15:$BM$15,1,CB129),'Lease Cycles'!$AX$15&lt;=CB$6),'Lease Cycles'!$C$15*'Lease Cycles'!$AY$15/12,IF(AND('Lease Cycles'!$AV$15&gt;=INDEX('Lease Cycles'!$BG$15:$BM$15,1,CB129),'Lease Cycles'!$AV$15&lt;=CB$6),'Lease Cycles'!$C$15*'Lease Cycles'!$AW$15/12,IF(AND('Lease Cycles'!$AT$15&gt;=INDEX('Lease Cycles'!$BG$15:$BM$15,1,CB129),'Lease Cycles'!$AT$15&lt;=CB$6),'Lease Cycles'!$C$15*'Lease Cycles'!$AU$15/12,'Lease Cycles'!$C$15*INDEX('Lease Cycles'!$CB$15:$CH$15,1,CB129)*(1+INDEX('Lease Cycles'!$CI$15:$CO$15,1,CB129))^INT(INT(CB130/12)/INDEX('Lease Cycles'!$CP$15:$CV$15,1,CB129))/12)))),'Lease Cycles'!$C$15*INDEX('Lease Cycles'!$CB$15:$CH$15,1,CB129)*(1+INDEX('Lease Cycles'!$CI$15:$CO$15,1,CB129))^INT(INT(CB130/12)/INDEX('Lease Cycles'!$CP$15:$CV$15,1,CB129))/12))),IF('Lease Cycles'!$N$15=1,'Lease Cycles'!$C$15*'Lease Cycles'!$E$15*INDEX('Lease Cycles'!$HE$15:$HK$15,1,CB129)*(1+INDEX('Lease Cycles'!$GQ$15:$GW$15,1,CB129))^INT(INT((CB$6-INDEX('Lease Cycles'!$GJ$15:$GP$15,1,CB129))/12)/INDEX('Lease Cycles'!$GX$15:$HD$15,1,CB129))/12,0)))</f>
        <v>2113.1933706255063</v>
      </c>
      <c r="CC132" s="28">
        <f>IF(CC129=0,IF('Lease Cycles'!$F$15&gt;0,'Lease Cycles'!$C$15*'Lease Cycles'!$E$15/12,0),IF(CC131=1,IF('Lease Cycles'!$AT$15&gt;=9999,'Lease Cycles'!$C$15*INDEX('Lease Cycles'!$CB$15:$CH$15,1,CC129)*(1+INDEX('Lease Cycles'!$CI$15:$CO$15,1,CC129))^INT(INT(CC130/12)/INDEX('Lease Cycles'!$CP$15:$CV$15,1,CC129))/12,IF(CC129=1,IF(CC130&gt;=INDEX('Lease Cycles'!$DK$15:$DQ$15,1,CC129),IF(CC$6&gt;='Lease Cycles'!$AZ$15,'Lease Cycles'!$C$15*'Lease Cycles'!$BA$15/12,IF(CC$6&gt;='Lease Cycles'!$AX$15,'Lease Cycles'!$C$15*'Lease Cycles'!$AY$15/12,IF(CC$6&gt;='Lease Cycles'!$AV$15,'Lease Cycles'!$C$15*'Lease Cycles'!$AW$15/12,IF(CC$6&gt;='Lease Cycles'!$AT$15,'Lease Cycles'!$C$15*'Lease Cycles'!$AU$15/12,'Lease Cycles'!$C$15*INDEX('Lease Cycles'!$CB$15:$CH$15,1,CC129)*(1+INDEX('Lease Cycles'!$CI$15:$CO$15,1,CC129))^INT(INT(CC130/12)/INDEX('Lease Cycles'!$CP$15:$CV$15,1,CC129))/12)))),'Lease Cycles'!$C$15*INDEX('Lease Cycles'!$CB$15:$CH$15,1,CC129)*(1+INDEX('Lease Cycles'!$CI$15:$CO$15,1,CC129))^INT(INT(CC130/12)/INDEX('Lease Cycles'!$CP$15:$CV$15,1,CC129))/12),IF(INDEX('Lease Cycles'!$EF$15:$EL$15,1,CC129)=1,IF(AND('Lease Cycles'!$AZ$15&gt;=INDEX('Lease Cycles'!$BG$15:$BM$15,1,CC129),'Lease Cycles'!$AZ$15&lt;=CC$6),'Lease Cycles'!$C$15*'Lease Cycles'!$BA$15/12,IF(AND('Lease Cycles'!$AX$15&gt;=INDEX('Lease Cycles'!$BG$15:$BM$15,1,CC129),'Lease Cycles'!$AX$15&lt;=CC$6),'Lease Cycles'!$C$15*'Lease Cycles'!$AY$15/12,IF(AND('Lease Cycles'!$AV$15&gt;=INDEX('Lease Cycles'!$BG$15:$BM$15,1,CC129),'Lease Cycles'!$AV$15&lt;=CC$6),'Lease Cycles'!$C$15*'Lease Cycles'!$AW$15/12,IF(AND('Lease Cycles'!$AT$15&gt;=INDEX('Lease Cycles'!$BG$15:$BM$15,1,CC129),'Lease Cycles'!$AT$15&lt;=CC$6),'Lease Cycles'!$C$15*'Lease Cycles'!$AU$15/12,'Lease Cycles'!$C$15*INDEX('Lease Cycles'!$CB$15:$CH$15,1,CC129)*(1+INDEX('Lease Cycles'!$CI$15:$CO$15,1,CC129))^INT(INT(CC130/12)/INDEX('Lease Cycles'!$CP$15:$CV$15,1,CC129))/12)))),'Lease Cycles'!$C$15*INDEX('Lease Cycles'!$CB$15:$CH$15,1,CC129)*(1+INDEX('Lease Cycles'!$CI$15:$CO$15,1,CC129))^INT(INT(CC130/12)/INDEX('Lease Cycles'!$CP$15:$CV$15,1,CC129))/12))),IF('Lease Cycles'!$N$15=1,'Lease Cycles'!$C$15*'Lease Cycles'!$E$15*INDEX('Lease Cycles'!$HE$15:$HK$15,1,CC129)*(1+INDEX('Lease Cycles'!$GQ$15:$GW$15,1,CC129))^INT(INT((CC$6-INDEX('Lease Cycles'!$GJ$15:$GP$15,1,CC129))/12)/INDEX('Lease Cycles'!$GX$15:$HD$15,1,CC129))/12,0)))</f>
        <v>2113.1933706255063</v>
      </c>
      <c r="CD132" s="28">
        <f>IF(CD129=0,IF('Lease Cycles'!$F$15&gt;0,'Lease Cycles'!$C$15*'Lease Cycles'!$E$15/12,0),IF(CD131=1,IF('Lease Cycles'!$AT$15&gt;=9999,'Lease Cycles'!$C$15*INDEX('Lease Cycles'!$CB$15:$CH$15,1,CD129)*(1+INDEX('Lease Cycles'!$CI$15:$CO$15,1,CD129))^INT(INT(CD130/12)/INDEX('Lease Cycles'!$CP$15:$CV$15,1,CD129))/12,IF(CD129=1,IF(CD130&gt;=INDEX('Lease Cycles'!$DK$15:$DQ$15,1,CD129),IF(CD$6&gt;='Lease Cycles'!$AZ$15,'Lease Cycles'!$C$15*'Lease Cycles'!$BA$15/12,IF(CD$6&gt;='Lease Cycles'!$AX$15,'Lease Cycles'!$C$15*'Lease Cycles'!$AY$15/12,IF(CD$6&gt;='Lease Cycles'!$AV$15,'Lease Cycles'!$C$15*'Lease Cycles'!$AW$15/12,IF(CD$6&gt;='Lease Cycles'!$AT$15,'Lease Cycles'!$C$15*'Lease Cycles'!$AU$15/12,'Lease Cycles'!$C$15*INDEX('Lease Cycles'!$CB$15:$CH$15,1,CD129)*(1+INDEX('Lease Cycles'!$CI$15:$CO$15,1,CD129))^INT(INT(CD130/12)/INDEX('Lease Cycles'!$CP$15:$CV$15,1,CD129))/12)))),'Lease Cycles'!$C$15*INDEX('Lease Cycles'!$CB$15:$CH$15,1,CD129)*(1+INDEX('Lease Cycles'!$CI$15:$CO$15,1,CD129))^INT(INT(CD130/12)/INDEX('Lease Cycles'!$CP$15:$CV$15,1,CD129))/12),IF(INDEX('Lease Cycles'!$EF$15:$EL$15,1,CD129)=1,IF(AND('Lease Cycles'!$AZ$15&gt;=INDEX('Lease Cycles'!$BG$15:$BM$15,1,CD129),'Lease Cycles'!$AZ$15&lt;=CD$6),'Lease Cycles'!$C$15*'Lease Cycles'!$BA$15/12,IF(AND('Lease Cycles'!$AX$15&gt;=INDEX('Lease Cycles'!$BG$15:$BM$15,1,CD129),'Lease Cycles'!$AX$15&lt;=CD$6),'Lease Cycles'!$C$15*'Lease Cycles'!$AY$15/12,IF(AND('Lease Cycles'!$AV$15&gt;=INDEX('Lease Cycles'!$BG$15:$BM$15,1,CD129),'Lease Cycles'!$AV$15&lt;=CD$6),'Lease Cycles'!$C$15*'Lease Cycles'!$AW$15/12,IF(AND('Lease Cycles'!$AT$15&gt;=INDEX('Lease Cycles'!$BG$15:$BM$15,1,CD129),'Lease Cycles'!$AT$15&lt;=CD$6),'Lease Cycles'!$C$15*'Lease Cycles'!$AU$15/12,'Lease Cycles'!$C$15*INDEX('Lease Cycles'!$CB$15:$CH$15,1,CD129)*(1+INDEX('Lease Cycles'!$CI$15:$CO$15,1,CD129))^INT(INT(CD130/12)/INDEX('Lease Cycles'!$CP$15:$CV$15,1,CD129))/12)))),'Lease Cycles'!$C$15*INDEX('Lease Cycles'!$CB$15:$CH$15,1,CD129)*(1+INDEX('Lease Cycles'!$CI$15:$CO$15,1,CD129))^INT(INT(CD130/12)/INDEX('Lease Cycles'!$CP$15:$CV$15,1,CD129))/12))),IF('Lease Cycles'!$N$15=1,'Lease Cycles'!$C$15*'Lease Cycles'!$E$15*INDEX('Lease Cycles'!$HE$15:$HK$15,1,CD129)*(1+INDEX('Lease Cycles'!$GQ$15:$GW$15,1,CD129))^INT(INT((CD$6-INDEX('Lease Cycles'!$GJ$15:$GP$15,1,CD129))/12)/INDEX('Lease Cycles'!$GX$15:$HD$15,1,CD129))/12,0)))</f>
        <v>2113.1933706255063</v>
      </c>
      <c r="CE132" s="28">
        <f>IF(CE129=0,IF('Lease Cycles'!$F$15&gt;0,'Lease Cycles'!$C$15*'Lease Cycles'!$E$15/12,0),IF(CE131=1,IF('Lease Cycles'!$AT$15&gt;=9999,'Lease Cycles'!$C$15*INDEX('Lease Cycles'!$CB$15:$CH$15,1,CE129)*(1+INDEX('Lease Cycles'!$CI$15:$CO$15,1,CE129))^INT(INT(CE130/12)/INDEX('Lease Cycles'!$CP$15:$CV$15,1,CE129))/12,IF(CE129=1,IF(CE130&gt;=INDEX('Lease Cycles'!$DK$15:$DQ$15,1,CE129),IF(CE$6&gt;='Lease Cycles'!$AZ$15,'Lease Cycles'!$C$15*'Lease Cycles'!$BA$15/12,IF(CE$6&gt;='Lease Cycles'!$AX$15,'Lease Cycles'!$C$15*'Lease Cycles'!$AY$15/12,IF(CE$6&gt;='Lease Cycles'!$AV$15,'Lease Cycles'!$C$15*'Lease Cycles'!$AW$15/12,IF(CE$6&gt;='Lease Cycles'!$AT$15,'Lease Cycles'!$C$15*'Lease Cycles'!$AU$15/12,'Lease Cycles'!$C$15*INDEX('Lease Cycles'!$CB$15:$CH$15,1,CE129)*(1+INDEX('Lease Cycles'!$CI$15:$CO$15,1,CE129))^INT(INT(CE130/12)/INDEX('Lease Cycles'!$CP$15:$CV$15,1,CE129))/12)))),'Lease Cycles'!$C$15*INDEX('Lease Cycles'!$CB$15:$CH$15,1,CE129)*(1+INDEX('Lease Cycles'!$CI$15:$CO$15,1,CE129))^INT(INT(CE130/12)/INDEX('Lease Cycles'!$CP$15:$CV$15,1,CE129))/12),IF(INDEX('Lease Cycles'!$EF$15:$EL$15,1,CE129)=1,IF(AND('Lease Cycles'!$AZ$15&gt;=INDEX('Lease Cycles'!$BG$15:$BM$15,1,CE129),'Lease Cycles'!$AZ$15&lt;=CE$6),'Lease Cycles'!$C$15*'Lease Cycles'!$BA$15/12,IF(AND('Lease Cycles'!$AX$15&gt;=INDEX('Lease Cycles'!$BG$15:$BM$15,1,CE129),'Lease Cycles'!$AX$15&lt;=CE$6),'Lease Cycles'!$C$15*'Lease Cycles'!$AY$15/12,IF(AND('Lease Cycles'!$AV$15&gt;=INDEX('Lease Cycles'!$BG$15:$BM$15,1,CE129),'Lease Cycles'!$AV$15&lt;=CE$6),'Lease Cycles'!$C$15*'Lease Cycles'!$AW$15/12,IF(AND('Lease Cycles'!$AT$15&gt;=INDEX('Lease Cycles'!$BG$15:$BM$15,1,CE129),'Lease Cycles'!$AT$15&lt;=CE$6),'Lease Cycles'!$C$15*'Lease Cycles'!$AU$15/12,'Lease Cycles'!$C$15*INDEX('Lease Cycles'!$CB$15:$CH$15,1,CE129)*(1+INDEX('Lease Cycles'!$CI$15:$CO$15,1,CE129))^INT(INT(CE130/12)/INDEX('Lease Cycles'!$CP$15:$CV$15,1,CE129))/12)))),'Lease Cycles'!$C$15*INDEX('Lease Cycles'!$CB$15:$CH$15,1,CE129)*(1+INDEX('Lease Cycles'!$CI$15:$CO$15,1,CE129))^INT(INT(CE130/12)/INDEX('Lease Cycles'!$CP$15:$CV$15,1,CE129))/12))),IF('Lease Cycles'!$N$15=1,'Lease Cycles'!$C$15*'Lease Cycles'!$E$15*INDEX('Lease Cycles'!$HE$15:$HK$15,1,CE129)*(1+INDEX('Lease Cycles'!$GQ$15:$GW$15,1,CE129))^INT(INT((CE$6-INDEX('Lease Cycles'!$GJ$15:$GP$15,1,CE129))/12)/INDEX('Lease Cycles'!$GX$15:$HD$15,1,CE129))/12,0)))</f>
        <v>2113.1933706255063</v>
      </c>
      <c r="CF132" s="28">
        <f>IF(CF129=0,IF('Lease Cycles'!$F$15&gt;0,'Lease Cycles'!$C$15*'Lease Cycles'!$E$15/12,0),IF(CF131=1,IF('Lease Cycles'!$AT$15&gt;=9999,'Lease Cycles'!$C$15*INDEX('Lease Cycles'!$CB$15:$CH$15,1,CF129)*(1+INDEX('Lease Cycles'!$CI$15:$CO$15,1,CF129))^INT(INT(CF130/12)/INDEX('Lease Cycles'!$CP$15:$CV$15,1,CF129))/12,IF(CF129=1,IF(CF130&gt;=INDEX('Lease Cycles'!$DK$15:$DQ$15,1,CF129),IF(CF$6&gt;='Lease Cycles'!$AZ$15,'Lease Cycles'!$C$15*'Lease Cycles'!$BA$15/12,IF(CF$6&gt;='Lease Cycles'!$AX$15,'Lease Cycles'!$C$15*'Lease Cycles'!$AY$15/12,IF(CF$6&gt;='Lease Cycles'!$AV$15,'Lease Cycles'!$C$15*'Lease Cycles'!$AW$15/12,IF(CF$6&gt;='Lease Cycles'!$AT$15,'Lease Cycles'!$C$15*'Lease Cycles'!$AU$15/12,'Lease Cycles'!$C$15*INDEX('Lease Cycles'!$CB$15:$CH$15,1,CF129)*(1+INDEX('Lease Cycles'!$CI$15:$CO$15,1,CF129))^INT(INT(CF130/12)/INDEX('Lease Cycles'!$CP$15:$CV$15,1,CF129))/12)))),'Lease Cycles'!$C$15*INDEX('Lease Cycles'!$CB$15:$CH$15,1,CF129)*(1+INDEX('Lease Cycles'!$CI$15:$CO$15,1,CF129))^INT(INT(CF130/12)/INDEX('Lease Cycles'!$CP$15:$CV$15,1,CF129))/12),IF(INDEX('Lease Cycles'!$EF$15:$EL$15,1,CF129)=1,IF(AND('Lease Cycles'!$AZ$15&gt;=INDEX('Lease Cycles'!$BG$15:$BM$15,1,CF129),'Lease Cycles'!$AZ$15&lt;=CF$6),'Lease Cycles'!$C$15*'Lease Cycles'!$BA$15/12,IF(AND('Lease Cycles'!$AX$15&gt;=INDEX('Lease Cycles'!$BG$15:$BM$15,1,CF129),'Lease Cycles'!$AX$15&lt;=CF$6),'Lease Cycles'!$C$15*'Lease Cycles'!$AY$15/12,IF(AND('Lease Cycles'!$AV$15&gt;=INDEX('Lease Cycles'!$BG$15:$BM$15,1,CF129),'Lease Cycles'!$AV$15&lt;=CF$6),'Lease Cycles'!$C$15*'Lease Cycles'!$AW$15/12,IF(AND('Lease Cycles'!$AT$15&gt;=INDEX('Lease Cycles'!$BG$15:$BM$15,1,CF129),'Lease Cycles'!$AT$15&lt;=CF$6),'Lease Cycles'!$C$15*'Lease Cycles'!$AU$15/12,'Lease Cycles'!$C$15*INDEX('Lease Cycles'!$CB$15:$CH$15,1,CF129)*(1+INDEX('Lease Cycles'!$CI$15:$CO$15,1,CF129))^INT(INT(CF130/12)/INDEX('Lease Cycles'!$CP$15:$CV$15,1,CF129))/12)))),'Lease Cycles'!$C$15*INDEX('Lease Cycles'!$CB$15:$CH$15,1,CF129)*(1+INDEX('Lease Cycles'!$CI$15:$CO$15,1,CF129))^INT(INT(CF130/12)/INDEX('Lease Cycles'!$CP$15:$CV$15,1,CF129))/12))),IF('Lease Cycles'!$N$15=1,'Lease Cycles'!$C$15*'Lease Cycles'!$E$15*INDEX('Lease Cycles'!$HE$15:$HK$15,1,CF129)*(1+INDEX('Lease Cycles'!$GQ$15:$GW$15,1,CF129))^INT(INT((CF$6-INDEX('Lease Cycles'!$GJ$15:$GP$15,1,CF129))/12)/INDEX('Lease Cycles'!$GX$15:$HD$15,1,CF129))/12,0)))</f>
        <v>2113.1933706255063</v>
      </c>
      <c r="CG132" s="28">
        <f>IF(CG129=0,IF('Lease Cycles'!$F$15&gt;0,'Lease Cycles'!$C$15*'Lease Cycles'!$E$15/12,0),IF(CG131=1,IF('Lease Cycles'!$AT$15&gt;=9999,'Lease Cycles'!$C$15*INDEX('Lease Cycles'!$CB$15:$CH$15,1,CG129)*(1+INDEX('Lease Cycles'!$CI$15:$CO$15,1,CG129))^INT(INT(CG130/12)/INDEX('Lease Cycles'!$CP$15:$CV$15,1,CG129))/12,IF(CG129=1,IF(CG130&gt;=INDEX('Lease Cycles'!$DK$15:$DQ$15,1,CG129),IF(CG$6&gt;='Lease Cycles'!$AZ$15,'Lease Cycles'!$C$15*'Lease Cycles'!$BA$15/12,IF(CG$6&gt;='Lease Cycles'!$AX$15,'Lease Cycles'!$C$15*'Lease Cycles'!$AY$15/12,IF(CG$6&gt;='Lease Cycles'!$AV$15,'Lease Cycles'!$C$15*'Lease Cycles'!$AW$15/12,IF(CG$6&gt;='Lease Cycles'!$AT$15,'Lease Cycles'!$C$15*'Lease Cycles'!$AU$15/12,'Lease Cycles'!$C$15*INDEX('Lease Cycles'!$CB$15:$CH$15,1,CG129)*(1+INDEX('Lease Cycles'!$CI$15:$CO$15,1,CG129))^INT(INT(CG130/12)/INDEX('Lease Cycles'!$CP$15:$CV$15,1,CG129))/12)))),'Lease Cycles'!$C$15*INDEX('Lease Cycles'!$CB$15:$CH$15,1,CG129)*(1+INDEX('Lease Cycles'!$CI$15:$CO$15,1,CG129))^INT(INT(CG130/12)/INDEX('Lease Cycles'!$CP$15:$CV$15,1,CG129))/12),IF(INDEX('Lease Cycles'!$EF$15:$EL$15,1,CG129)=1,IF(AND('Lease Cycles'!$AZ$15&gt;=INDEX('Lease Cycles'!$BG$15:$BM$15,1,CG129),'Lease Cycles'!$AZ$15&lt;=CG$6),'Lease Cycles'!$C$15*'Lease Cycles'!$BA$15/12,IF(AND('Lease Cycles'!$AX$15&gt;=INDEX('Lease Cycles'!$BG$15:$BM$15,1,CG129),'Lease Cycles'!$AX$15&lt;=CG$6),'Lease Cycles'!$C$15*'Lease Cycles'!$AY$15/12,IF(AND('Lease Cycles'!$AV$15&gt;=INDEX('Lease Cycles'!$BG$15:$BM$15,1,CG129),'Lease Cycles'!$AV$15&lt;=CG$6),'Lease Cycles'!$C$15*'Lease Cycles'!$AW$15/12,IF(AND('Lease Cycles'!$AT$15&gt;=INDEX('Lease Cycles'!$BG$15:$BM$15,1,CG129),'Lease Cycles'!$AT$15&lt;=CG$6),'Lease Cycles'!$C$15*'Lease Cycles'!$AU$15/12,'Lease Cycles'!$C$15*INDEX('Lease Cycles'!$CB$15:$CH$15,1,CG129)*(1+INDEX('Lease Cycles'!$CI$15:$CO$15,1,CG129))^INT(INT(CG130/12)/INDEX('Lease Cycles'!$CP$15:$CV$15,1,CG129))/12)))),'Lease Cycles'!$C$15*INDEX('Lease Cycles'!$CB$15:$CH$15,1,CG129)*(1+INDEX('Lease Cycles'!$CI$15:$CO$15,1,CG129))^INT(INT(CG130/12)/INDEX('Lease Cycles'!$CP$15:$CV$15,1,CG129))/12))),IF('Lease Cycles'!$N$15=1,'Lease Cycles'!$C$15*'Lease Cycles'!$E$15*INDEX('Lease Cycles'!$HE$15:$HK$15,1,CG129)*(1+INDEX('Lease Cycles'!$GQ$15:$GW$15,1,CG129))^INT(INT((CG$6-INDEX('Lease Cycles'!$GJ$15:$GP$15,1,CG129))/12)/INDEX('Lease Cycles'!$GX$15:$HD$15,1,CG129))/12,0)))</f>
        <v>2176.5891717442714</v>
      </c>
      <c r="CH132" s="28">
        <f>IF(CH129=0,IF('Lease Cycles'!$F$15&gt;0,'Lease Cycles'!$C$15*'Lease Cycles'!$E$15/12,0),IF(CH131=1,IF('Lease Cycles'!$AT$15&gt;=9999,'Lease Cycles'!$C$15*INDEX('Lease Cycles'!$CB$15:$CH$15,1,CH129)*(1+INDEX('Lease Cycles'!$CI$15:$CO$15,1,CH129))^INT(INT(CH130/12)/INDEX('Lease Cycles'!$CP$15:$CV$15,1,CH129))/12,IF(CH129=1,IF(CH130&gt;=INDEX('Lease Cycles'!$DK$15:$DQ$15,1,CH129),IF(CH$6&gt;='Lease Cycles'!$AZ$15,'Lease Cycles'!$C$15*'Lease Cycles'!$BA$15/12,IF(CH$6&gt;='Lease Cycles'!$AX$15,'Lease Cycles'!$C$15*'Lease Cycles'!$AY$15/12,IF(CH$6&gt;='Lease Cycles'!$AV$15,'Lease Cycles'!$C$15*'Lease Cycles'!$AW$15/12,IF(CH$6&gt;='Lease Cycles'!$AT$15,'Lease Cycles'!$C$15*'Lease Cycles'!$AU$15/12,'Lease Cycles'!$C$15*INDEX('Lease Cycles'!$CB$15:$CH$15,1,CH129)*(1+INDEX('Lease Cycles'!$CI$15:$CO$15,1,CH129))^INT(INT(CH130/12)/INDEX('Lease Cycles'!$CP$15:$CV$15,1,CH129))/12)))),'Lease Cycles'!$C$15*INDEX('Lease Cycles'!$CB$15:$CH$15,1,CH129)*(1+INDEX('Lease Cycles'!$CI$15:$CO$15,1,CH129))^INT(INT(CH130/12)/INDEX('Lease Cycles'!$CP$15:$CV$15,1,CH129))/12),IF(INDEX('Lease Cycles'!$EF$15:$EL$15,1,CH129)=1,IF(AND('Lease Cycles'!$AZ$15&gt;=INDEX('Lease Cycles'!$BG$15:$BM$15,1,CH129),'Lease Cycles'!$AZ$15&lt;=CH$6),'Lease Cycles'!$C$15*'Lease Cycles'!$BA$15/12,IF(AND('Lease Cycles'!$AX$15&gt;=INDEX('Lease Cycles'!$BG$15:$BM$15,1,CH129),'Lease Cycles'!$AX$15&lt;=CH$6),'Lease Cycles'!$C$15*'Lease Cycles'!$AY$15/12,IF(AND('Lease Cycles'!$AV$15&gt;=INDEX('Lease Cycles'!$BG$15:$BM$15,1,CH129),'Lease Cycles'!$AV$15&lt;=CH$6),'Lease Cycles'!$C$15*'Lease Cycles'!$AW$15/12,IF(AND('Lease Cycles'!$AT$15&gt;=INDEX('Lease Cycles'!$BG$15:$BM$15,1,CH129),'Lease Cycles'!$AT$15&lt;=CH$6),'Lease Cycles'!$C$15*'Lease Cycles'!$AU$15/12,'Lease Cycles'!$C$15*INDEX('Lease Cycles'!$CB$15:$CH$15,1,CH129)*(1+INDEX('Lease Cycles'!$CI$15:$CO$15,1,CH129))^INT(INT(CH130/12)/INDEX('Lease Cycles'!$CP$15:$CV$15,1,CH129))/12)))),'Lease Cycles'!$C$15*INDEX('Lease Cycles'!$CB$15:$CH$15,1,CH129)*(1+INDEX('Lease Cycles'!$CI$15:$CO$15,1,CH129))^INT(INT(CH130/12)/INDEX('Lease Cycles'!$CP$15:$CV$15,1,CH129))/12))),IF('Lease Cycles'!$N$15=1,'Lease Cycles'!$C$15*'Lease Cycles'!$E$15*INDEX('Lease Cycles'!$HE$15:$HK$15,1,CH129)*(1+INDEX('Lease Cycles'!$GQ$15:$GW$15,1,CH129))^INT(INT((CH$6-INDEX('Lease Cycles'!$GJ$15:$GP$15,1,CH129))/12)/INDEX('Lease Cycles'!$GX$15:$HD$15,1,CH129))/12,0)))</f>
        <v>2176.5891717442714</v>
      </c>
      <c r="CI132" s="28">
        <f>IF(CI129=0,IF('Lease Cycles'!$F$15&gt;0,'Lease Cycles'!$C$15*'Lease Cycles'!$E$15/12,0),IF(CI131=1,IF('Lease Cycles'!$AT$15&gt;=9999,'Lease Cycles'!$C$15*INDEX('Lease Cycles'!$CB$15:$CH$15,1,CI129)*(1+INDEX('Lease Cycles'!$CI$15:$CO$15,1,CI129))^INT(INT(CI130/12)/INDEX('Lease Cycles'!$CP$15:$CV$15,1,CI129))/12,IF(CI129=1,IF(CI130&gt;=INDEX('Lease Cycles'!$DK$15:$DQ$15,1,CI129),IF(CI$6&gt;='Lease Cycles'!$AZ$15,'Lease Cycles'!$C$15*'Lease Cycles'!$BA$15/12,IF(CI$6&gt;='Lease Cycles'!$AX$15,'Lease Cycles'!$C$15*'Lease Cycles'!$AY$15/12,IF(CI$6&gt;='Lease Cycles'!$AV$15,'Lease Cycles'!$C$15*'Lease Cycles'!$AW$15/12,IF(CI$6&gt;='Lease Cycles'!$AT$15,'Lease Cycles'!$C$15*'Lease Cycles'!$AU$15/12,'Lease Cycles'!$C$15*INDEX('Lease Cycles'!$CB$15:$CH$15,1,CI129)*(1+INDEX('Lease Cycles'!$CI$15:$CO$15,1,CI129))^INT(INT(CI130/12)/INDEX('Lease Cycles'!$CP$15:$CV$15,1,CI129))/12)))),'Lease Cycles'!$C$15*INDEX('Lease Cycles'!$CB$15:$CH$15,1,CI129)*(1+INDEX('Lease Cycles'!$CI$15:$CO$15,1,CI129))^INT(INT(CI130/12)/INDEX('Lease Cycles'!$CP$15:$CV$15,1,CI129))/12),IF(INDEX('Lease Cycles'!$EF$15:$EL$15,1,CI129)=1,IF(AND('Lease Cycles'!$AZ$15&gt;=INDEX('Lease Cycles'!$BG$15:$BM$15,1,CI129),'Lease Cycles'!$AZ$15&lt;=CI$6),'Lease Cycles'!$C$15*'Lease Cycles'!$BA$15/12,IF(AND('Lease Cycles'!$AX$15&gt;=INDEX('Lease Cycles'!$BG$15:$BM$15,1,CI129),'Lease Cycles'!$AX$15&lt;=CI$6),'Lease Cycles'!$C$15*'Lease Cycles'!$AY$15/12,IF(AND('Lease Cycles'!$AV$15&gt;=INDEX('Lease Cycles'!$BG$15:$BM$15,1,CI129),'Lease Cycles'!$AV$15&lt;=CI$6),'Lease Cycles'!$C$15*'Lease Cycles'!$AW$15/12,IF(AND('Lease Cycles'!$AT$15&gt;=INDEX('Lease Cycles'!$BG$15:$BM$15,1,CI129),'Lease Cycles'!$AT$15&lt;=CI$6),'Lease Cycles'!$C$15*'Lease Cycles'!$AU$15/12,'Lease Cycles'!$C$15*INDEX('Lease Cycles'!$CB$15:$CH$15,1,CI129)*(1+INDEX('Lease Cycles'!$CI$15:$CO$15,1,CI129))^INT(INT(CI130/12)/INDEX('Lease Cycles'!$CP$15:$CV$15,1,CI129))/12)))),'Lease Cycles'!$C$15*INDEX('Lease Cycles'!$CB$15:$CH$15,1,CI129)*(1+INDEX('Lease Cycles'!$CI$15:$CO$15,1,CI129))^INT(INT(CI130/12)/INDEX('Lease Cycles'!$CP$15:$CV$15,1,CI129))/12))),IF('Lease Cycles'!$N$15=1,'Lease Cycles'!$C$15*'Lease Cycles'!$E$15*INDEX('Lease Cycles'!$HE$15:$HK$15,1,CI129)*(1+INDEX('Lease Cycles'!$GQ$15:$GW$15,1,CI129))^INT(INT((CI$6-INDEX('Lease Cycles'!$GJ$15:$GP$15,1,CI129))/12)/INDEX('Lease Cycles'!$GX$15:$HD$15,1,CI129))/12,0)))</f>
        <v>2176.5891717442714</v>
      </c>
      <c r="CJ132" s="28">
        <f>IF(CJ129=0,IF('Lease Cycles'!$F$15&gt;0,'Lease Cycles'!$C$15*'Lease Cycles'!$E$15/12,0),IF(CJ131=1,IF('Lease Cycles'!$AT$15&gt;=9999,'Lease Cycles'!$C$15*INDEX('Lease Cycles'!$CB$15:$CH$15,1,CJ129)*(1+INDEX('Lease Cycles'!$CI$15:$CO$15,1,CJ129))^INT(INT(CJ130/12)/INDEX('Lease Cycles'!$CP$15:$CV$15,1,CJ129))/12,IF(CJ129=1,IF(CJ130&gt;=INDEX('Lease Cycles'!$DK$15:$DQ$15,1,CJ129),IF(CJ$6&gt;='Lease Cycles'!$AZ$15,'Lease Cycles'!$C$15*'Lease Cycles'!$BA$15/12,IF(CJ$6&gt;='Lease Cycles'!$AX$15,'Lease Cycles'!$C$15*'Lease Cycles'!$AY$15/12,IF(CJ$6&gt;='Lease Cycles'!$AV$15,'Lease Cycles'!$C$15*'Lease Cycles'!$AW$15/12,IF(CJ$6&gt;='Lease Cycles'!$AT$15,'Lease Cycles'!$C$15*'Lease Cycles'!$AU$15/12,'Lease Cycles'!$C$15*INDEX('Lease Cycles'!$CB$15:$CH$15,1,CJ129)*(1+INDEX('Lease Cycles'!$CI$15:$CO$15,1,CJ129))^INT(INT(CJ130/12)/INDEX('Lease Cycles'!$CP$15:$CV$15,1,CJ129))/12)))),'Lease Cycles'!$C$15*INDEX('Lease Cycles'!$CB$15:$CH$15,1,CJ129)*(1+INDEX('Lease Cycles'!$CI$15:$CO$15,1,CJ129))^INT(INT(CJ130/12)/INDEX('Lease Cycles'!$CP$15:$CV$15,1,CJ129))/12),IF(INDEX('Lease Cycles'!$EF$15:$EL$15,1,CJ129)=1,IF(AND('Lease Cycles'!$AZ$15&gt;=INDEX('Lease Cycles'!$BG$15:$BM$15,1,CJ129),'Lease Cycles'!$AZ$15&lt;=CJ$6),'Lease Cycles'!$C$15*'Lease Cycles'!$BA$15/12,IF(AND('Lease Cycles'!$AX$15&gt;=INDEX('Lease Cycles'!$BG$15:$BM$15,1,CJ129),'Lease Cycles'!$AX$15&lt;=CJ$6),'Lease Cycles'!$C$15*'Lease Cycles'!$AY$15/12,IF(AND('Lease Cycles'!$AV$15&gt;=INDEX('Lease Cycles'!$BG$15:$BM$15,1,CJ129),'Lease Cycles'!$AV$15&lt;=CJ$6),'Lease Cycles'!$C$15*'Lease Cycles'!$AW$15/12,IF(AND('Lease Cycles'!$AT$15&gt;=INDEX('Lease Cycles'!$BG$15:$BM$15,1,CJ129),'Lease Cycles'!$AT$15&lt;=CJ$6),'Lease Cycles'!$C$15*'Lease Cycles'!$AU$15/12,'Lease Cycles'!$C$15*INDEX('Lease Cycles'!$CB$15:$CH$15,1,CJ129)*(1+INDEX('Lease Cycles'!$CI$15:$CO$15,1,CJ129))^INT(INT(CJ130/12)/INDEX('Lease Cycles'!$CP$15:$CV$15,1,CJ129))/12)))),'Lease Cycles'!$C$15*INDEX('Lease Cycles'!$CB$15:$CH$15,1,CJ129)*(1+INDEX('Lease Cycles'!$CI$15:$CO$15,1,CJ129))^INT(INT(CJ130/12)/INDEX('Lease Cycles'!$CP$15:$CV$15,1,CJ129))/12))),IF('Lease Cycles'!$N$15=1,'Lease Cycles'!$C$15*'Lease Cycles'!$E$15*INDEX('Lease Cycles'!$HE$15:$HK$15,1,CJ129)*(1+INDEX('Lease Cycles'!$GQ$15:$GW$15,1,CJ129))^INT(INT((CJ$6-INDEX('Lease Cycles'!$GJ$15:$GP$15,1,CJ129))/12)/INDEX('Lease Cycles'!$GX$15:$HD$15,1,CJ129))/12,0)))</f>
        <v>2176.5891717442714</v>
      </c>
      <c r="CK132" s="28">
        <f>IF(CK129=0,IF('Lease Cycles'!$F$15&gt;0,'Lease Cycles'!$C$15*'Lease Cycles'!$E$15/12,0),IF(CK131=1,IF('Lease Cycles'!$AT$15&gt;=9999,'Lease Cycles'!$C$15*INDEX('Lease Cycles'!$CB$15:$CH$15,1,CK129)*(1+INDEX('Lease Cycles'!$CI$15:$CO$15,1,CK129))^INT(INT(CK130/12)/INDEX('Lease Cycles'!$CP$15:$CV$15,1,CK129))/12,IF(CK129=1,IF(CK130&gt;=INDEX('Lease Cycles'!$DK$15:$DQ$15,1,CK129),IF(CK$6&gt;='Lease Cycles'!$AZ$15,'Lease Cycles'!$C$15*'Lease Cycles'!$BA$15/12,IF(CK$6&gt;='Lease Cycles'!$AX$15,'Lease Cycles'!$C$15*'Lease Cycles'!$AY$15/12,IF(CK$6&gt;='Lease Cycles'!$AV$15,'Lease Cycles'!$C$15*'Lease Cycles'!$AW$15/12,IF(CK$6&gt;='Lease Cycles'!$AT$15,'Lease Cycles'!$C$15*'Lease Cycles'!$AU$15/12,'Lease Cycles'!$C$15*INDEX('Lease Cycles'!$CB$15:$CH$15,1,CK129)*(1+INDEX('Lease Cycles'!$CI$15:$CO$15,1,CK129))^INT(INT(CK130/12)/INDEX('Lease Cycles'!$CP$15:$CV$15,1,CK129))/12)))),'Lease Cycles'!$C$15*INDEX('Lease Cycles'!$CB$15:$CH$15,1,CK129)*(1+INDEX('Lease Cycles'!$CI$15:$CO$15,1,CK129))^INT(INT(CK130/12)/INDEX('Lease Cycles'!$CP$15:$CV$15,1,CK129))/12),IF(INDEX('Lease Cycles'!$EF$15:$EL$15,1,CK129)=1,IF(AND('Lease Cycles'!$AZ$15&gt;=INDEX('Lease Cycles'!$BG$15:$BM$15,1,CK129),'Lease Cycles'!$AZ$15&lt;=CK$6),'Lease Cycles'!$C$15*'Lease Cycles'!$BA$15/12,IF(AND('Lease Cycles'!$AX$15&gt;=INDEX('Lease Cycles'!$BG$15:$BM$15,1,CK129),'Lease Cycles'!$AX$15&lt;=CK$6),'Lease Cycles'!$C$15*'Lease Cycles'!$AY$15/12,IF(AND('Lease Cycles'!$AV$15&gt;=INDEX('Lease Cycles'!$BG$15:$BM$15,1,CK129),'Lease Cycles'!$AV$15&lt;=CK$6),'Lease Cycles'!$C$15*'Lease Cycles'!$AW$15/12,IF(AND('Lease Cycles'!$AT$15&gt;=INDEX('Lease Cycles'!$BG$15:$BM$15,1,CK129),'Lease Cycles'!$AT$15&lt;=CK$6),'Lease Cycles'!$C$15*'Lease Cycles'!$AU$15/12,'Lease Cycles'!$C$15*INDEX('Lease Cycles'!$CB$15:$CH$15,1,CK129)*(1+INDEX('Lease Cycles'!$CI$15:$CO$15,1,CK129))^INT(INT(CK130/12)/INDEX('Lease Cycles'!$CP$15:$CV$15,1,CK129))/12)))),'Lease Cycles'!$C$15*INDEX('Lease Cycles'!$CB$15:$CH$15,1,CK129)*(1+INDEX('Lease Cycles'!$CI$15:$CO$15,1,CK129))^INT(INT(CK130/12)/INDEX('Lease Cycles'!$CP$15:$CV$15,1,CK129))/12))),IF('Lease Cycles'!$N$15=1,'Lease Cycles'!$C$15*'Lease Cycles'!$E$15*INDEX('Lease Cycles'!$HE$15:$HK$15,1,CK129)*(1+INDEX('Lease Cycles'!$GQ$15:$GW$15,1,CK129))^INT(INT((CK$6-INDEX('Lease Cycles'!$GJ$15:$GP$15,1,CK129))/12)/INDEX('Lease Cycles'!$GX$15:$HD$15,1,CK129))/12,0)))</f>
        <v>2176.5891717442714</v>
      </c>
      <c r="CL132" s="28">
        <f>IF(CL129=0,IF('Lease Cycles'!$F$15&gt;0,'Lease Cycles'!$C$15*'Lease Cycles'!$E$15/12,0),IF(CL131=1,IF('Lease Cycles'!$AT$15&gt;=9999,'Lease Cycles'!$C$15*INDEX('Lease Cycles'!$CB$15:$CH$15,1,CL129)*(1+INDEX('Lease Cycles'!$CI$15:$CO$15,1,CL129))^INT(INT(CL130/12)/INDEX('Lease Cycles'!$CP$15:$CV$15,1,CL129))/12,IF(CL129=1,IF(CL130&gt;=INDEX('Lease Cycles'!$DK$15:$DQ$15,1,CL129),IF(CL$6&gt;='Lease Cycles'!$AZ$15,'Lease Cycles'!$C$15*'Lease Cycles'!$BA$15/12,IF(CL$6&gt;='Lease Cycles'!$AX$15,'Lease Cycles'!$C$15*'Lease Cycles'!$AY$15/12,IF(CL$6&gt;='Lease Cycles'!$AV$15,'Lease Cycles'!$C$15*'Lease Cycles'!$AW$15/12,IF(CL$6&gt;='Lease Cycles'!$AT$15,'Lease Cycles'!$C$15*'Lease Cycles'!$AU$15/12,'Lease Cycles'!$C$15*INDEX('Lease Cycles'!$CB$15:$CH$15,1,CL129)*(1+INDEX('Lease Cycles'!$CI$15:$CO$15,1,CL129))^INT(INT(CL130/12)/INDEX('Lease Cycles'!$CP$15:$CV$15,1,CL129))/12)))),'Lease Cycles'!$C$15*INDEX('Lease Cycles'!$CB$15:$CH$15,1,CL129)*(1+INDEX('Lease Cycles'!$CI$15:$CO$15,1,CL129))^INT(INT(CL130/12)/INDEX('Lease Cycles'!$CP$15:$CV$15,1,CL129))/12),IF(INDEX('Lease Cycles'!$EF$15:$EL$15,1,CL129)=1,IF(AND('Lease Cycles'!$AZ$15&gt;=INDEX('Lease Cycles'!$BG$15:$BM$15,1,CL129),'Lease Cycles'!$AZ$15&lt;=CL$6),'Lease Cycles'!$C$15*'Lease Cycles'!$BA$15/12,IF(AND('Lease Cycles'!$AX$15&gt;=INDEX('Lease Cycles'!$BG$15:$BM$15,1,CL129),'Lease Cycles'!$AX$15&lt;=CL$6),'Lease Cycles'!$C$15*'Lease Cycles'!$AY$15/12,IF(AND('Lease Cycles'!$AV$15&gt;=INDEX('Lease Cycles'!$BG$15:$BM$15,1,CL129),'Lease Cycles'!$AV$15&lt;=CL$6),'Lease Cycles'!$C$15*'Lease Cycles'!$AW$15/12,IF(AND('Lease Cycles'!$AT$15&gt;=INDEX('Lease Cycles'!$BG$15:$BM$15,1,CL129),'Lease Cycles'!$AT$15&lt;=CL$6),'Lease Cycles'!$C$15*'Lease Cycles'!$AU$15/12,'Lease Cycles'!$C$15*INDEX('Lease Cycles'!$CB$15:$CH$15,1,CL129)*(1+INDEX('Lease Cycles'!$CI$15:$CO$15,1,CL129))^INT(INT(CL130/12)/INDEX('Lease Cycles'!$CP$15:$CV$15,1,CL129))/12)))),'Lease Cycles'!$C$15*INDEX('Lease Cycles'!$CB$15:$CH$15,1,CL129)*(1+INDEX('Lease Cycles'!$CI$15:$CO$15,1,CL129))^INT(INT(CL130/12)/INDEX('Lease Cycles'!$CP$15:$CV$15,1,CL129))/12))),IF('Lease Cycles'!$N$15=1,'Lease Cycles'!$C$15*'Lease Cycles'!$E$15*INDEX('Lease Cycles'!$HE$15:$HK$15,1,CL129)*(1+INDEX('Lease Cycles'!$GQ$15:$GW$15,1,CL129))^INT(INT((CL$6-INDEX('Lease Cycles'!$GJ$15:$GP$15,1,CL129))/12)/INDEX('Lease Cycles'!$GX$15:$HD$15,1,CL129))/12,0)))</f>
        <v>2176.5891717442714</v>
      </c>
      <c r="CM132" s="28">
        <f>IF(CM129=0,IF('Lease Cycles'!$F$15&gt;0,'Lease Cycles'!$C$15*'Lease Cycles'!$E$15/12,0),IF(CM131=1,IF('Lease Cycles'!$AT$15&gt;=9999,'Lease Cycles'!$C$15*INDEX('Lease Cycles'!$CB$15:$CH$15,1,CM129)*(1+INDEX('Lease Cycles'!$CI$15:$CO$15,1,CM129))^INT(INT(CM130/12)/INDEX('Lease Cycles'!$CP$15:$CV$15,1,CM129))/12,IF(CM129=1,IF(CM130&gt;=INDEX('Lease Cycles'!$DK$15:$DQ$15,1,CM129),IF(CM$6&gt;='Lease Cycles'!$AZ$15,'Lease Cycles'!$C$15*'Lease Cycles'!$BA$15/12,IF(CM$6&gt;='Lease Cycles'!$AX$15,'Lease Cycles'!$C$15*'Lease Cycles'!$AY$15/12,IF(CM$6&gt;='Lease Cycles'!$AV$15,'Lease Cycles'!$C$15*'Lease Cycles'!$AW$15/12,IF(CM$6&gt;='Lease Cycles'!$AT$15,'Lease Cycles'!$C$15*'Lease Cycles'!$AU$15/12,'Lease Cycles'!$C$15*INDEX('Lease Cycles'!$CB$15:$CH$15,1,CM129)*(1+INDEX('Lease Cycles'!$CI$15:$CO$15,1,CM129))^INT(INT(CM130/12)/INDEX('Lease Cycles'!$CP$15:$CV$15,1,CM129))/12)))),'Lease Cycles'!$C$15*INDEX('Lease Cycles'!$CB$15:$CH$15,1,CM129)*(1+INDEX('Lease Cycles'!$CI$15:$CO$15,1,CM129))^INT(INT(CM130/12)/INDEX('Lease Cycles'!$CP$15:$CV$15,1,CM129))/12),IF(INDEX('Lease Cycles'!$EF$15:$EL$15,1,CM129)=1,IF(AND('Lease Cycles'!$AZ$15&gt;=INDEX('Lease Cycles'!$BG$15:$BM$15,1,CM129),'Lease Cycles'!$AZ$15&lt;=CM$6),'Lease Cycles'!$C$15*'Lease Cycles'!$BA$15/12,IF(AND('Lease Cycles'!$AX$15&gt;=INDEX('Lease Cycles'!$BG$15:$BM$15,1,CM129),'Lease Cycles'!$AX$15&lt;=CM$6),'Lease Cycles'!$C$15*'Lease Cycles'!$AY$15/12,IF(AND('Lease Cycles'!$AV$15&gt;=INDEX('Lease Cycles'!$BG$15:$BM$15,1,CM129),'Lease Cycles'!$AV$15&lt;=CM$6),'Lease Cycles'!$C$15*'Lease Cycles'!$AW$15/12,IF(AND('Lease Cycles'!$AT$15&gt;=INDEX('Lease Cycles'!$BG$15:$BM$15,1,CM129),'Lease Cycles'!$AT$15&lt;=CM$6),'Lease Cycles'!$C$15*'Lease Cycles'!$AU$15/12,'Lease Cycles'!$C$15*INDEX('Lease Cycles'!$CB$15:$CH$15,1,CM129)*(1+INDEX('Lease Cycles'!$CI$15:$CO$15,1,CM129))^INT(INT(CM130/12)/INDEX('Lease Cycles'!$CP$15:$CV$15,1,CM129))/12)))),'Lease Cycles'!$C$15*INDEX('Lease Cycles'!$CB$15:$CH$15,1,CM129)*(1+INDEX('Lease Cycles'!$CI$15:$CO$15,1,CM129))^INT(INT(CM130/12)/INDEX('Lease Cycles'!$CP$15:$CV$15,1,CM129))/12))),IF('Lease Cycles'!$N$15=1,'Lease Cycles'!$C$15*'Lease Cycles'!$E$15*INDEX('Lease Cycles'!$HE$15:$HK$15,1,CM129)*(1+INDEX('Lease Cycles'!$GQ$15:$GW$15,1,CM129))^INT(INT((CM$6-INDEX('Lease Cycles'!$GJ$15:$GP$15,1,CM129))/12)/INDEX('Lease Cycles'!$GX$15:$HD$15,1,CM129))/12,0)))</f>
        <v>2176.5891717442714</v>
      </c>
      <c r="CN132" s="28">
        <f>IF(CN129=0,IF('Lease Cycles'!$F$15&gt;0,'Lease Cycles'!$C$15*'Lease Cycles'!$E$15/12,0),IF(CN131=1,IF('Lease Cycles'!$AT$15&gt;=9999,'Lease Cycles'!$C$15*INDEX('Lease Cycles'!$CB$15:$CH$15,1,CN129)*(1+INDEX('Lease Cycles'!$CI$15:$CO$15,1,CN129))^INT(INT(CN130/12)/INDEX('Lease Cycles'!$CP$15:$CV$15,1,CN129))/12,IF(CN129=1,IF(CN130&gt;=INDEX('Lease Cycles'!$DK$15:$DQ$15,1,CN129),IF(CN$6&gt;='Lease Cycles'!$AZ$15,'Lease Cycles'!$C$15*'Lease Cycles'!$BA$15/12,IF(CN$6&gt;='Lease Cycles'!$AX$15,'Lease Cycles'!$C$15*'Lease Cycles'!$AY$15/12,IF(CN$6&gt;='Lease Cycles'!$AV$15,'Lease Cycles'!$C$15*'Lease Cycles'!$AW$15/12,IF(CN$6&gt;='Lease Cycles'!$AT$15,'Lease Cycles'!$C$15*'Lease Cycles'!$AU$15/12,'Lease Cycles'!$C$15*INDEX('Lease Cycles'!$CB$15:$CH$15,1,CN129)*(1+INDEX('Lease Cycles'!$CI$15:$CO$15,1,CN129))^INT(INT(CN130/12)/INDEX('Lease Cycles'!$CP$15:$CV$15,1,CN129))/12)))),'Lease Cycles'!$C$15*INDEX('Lease Cycles'!$CB$15:$CH$15,1,CN129)*(1+INDEX('Lease Cycles'!$CI$15:$CO$15,1,CN129))^INT(INT(CN130/12)/INDEX('Lease Cycles'!$CP$15:$CV$15,1,CN129))/12),IF(INDEX('Lease Cycles'!$EF$15:$EL$15,1,CN129)=1,IF(AND('Lease Cycles'!$AZ$15&gt;=INDEX('Lease Cycles'!$BG$15:$BM$15,1,CN129),'Lease Cycles'!$AZ$15&lt;=CN$6),'Lease Cycles'!$C$15*'Lease Cycles'!$BA$15/12,IF(AND('Lease Cycles'!$AX$15&gt;=INDEX('Lease Cycles'!$BG$15:$BM$15,1,CN129),'Lease Cycles'!$AX$15&lt;=CN$6),'Lease Cycles'!$C$15*'Lease Cycles'!$AY$15/12,IF(AND('Lease Cycles'!$AV$15&gt;=INDEX('Lease Cycles'!$BG$15:$BM$15,1,CN129),'Lease Cycles'!$AV$15&lt;=CN$6),'Lease Cycles'!$C$15*'Lease Cycles'!$AW$15/12,IF(AND('Lease Cycles'!$AT$15&gt;=INDEX('Lease Cycles'!$BG$15:$BM$15,1,CN129),'Lease Cycles'!$AT$15&lt;=CN$6),'Lease Cycles'!$C$15*'Lease Cycles'!$AU$15/12,'Lease Cycles'!$C$15*INDEX('Lease Cycles'!$CB$15:$CH$15,1,CN129)*(1+INDEX('Lease Cycles'!$CI$15:$CO$15,1,CN129))^INT(INT(CN130/12)/INDEX('Lease Cycles'!$CP$15:$CV$15,1,CN129))/12)))),'Lease Cycles'!$C$15*INDEX('Lease Cycles'!$CB$15:$CH$15,1,CN129)*(1+INDEX('Lease Cycles'!$CI$15:$CO$15,1,CN129))^INT(INT(CN130/12)/INDEX('Lease Cycles'!$CP$15:$CV$15,1,CN129))/12))),IF('Lease Cycles'!$N$15=1,'Lease Cycles'!$C$15*'Lease Cycles'!$E$15*INDEX('Lease Cycles'!$HE$15:$HK$15,1,CN129)*(1+INDEX('Lease Cycles'!$GQ$15:$GW$15,1,CN129))^INT(INT((CN$6-INDEX('Lease Cycles'!$GJ$15:$GP$15,1,CN129))/12)/INDEX('Lease Cycles'!$GX$15:$HD$15,1,CN129))/12,0)))</f>
        <v>2176.5891717442714</v>
      </c>
      <c r="CO132" s="28">
        <f>IF(CO129=0,IF('Lease Cycles'!$F$15&gt;0,'Lease Cycles'!$C$15*'Lease Cycles'!$E$15/12,0),IF(CO131=1,IF('Lease Cycles'!$AT$15&gt;=9999,'Lease Cycles'!$C$15*INDEX('Lease Cycles'!$CB$15:$CH$15,1,CO129)*(1+INDEX('Lease Cycles'!$CI$15:$CO$15,1,CO129))^INT(INT(CO130/12)/INDEX('Lease Cycles'!$CP$15:$CV$15,1,CO129))/12,IF(CO129=1,IF(CO130&gt;=INDEX('Lease Cycles'!$DK$15:$DQ$15,1,CO129),IF(CO$6&gt;='Lease Cycles'!$AZ$15,'Lease Cycles'!$C$15*'Lease Cycles'!$BA$15/12,IF(CO$6&gt;='Lease Cycles'!$AX$15,'Lease Cycles'!$C$15*'Lease Cycles'!$AY$15/12,IF(CO$6&gt;='Lease Cycles'!$AV$15,'Lease Cycles'!$C$15*'Lease Cycles'!$AW$15/12,IF(CO$6&gt;='Lease Cycles'!$AT$15,'Lease Cycles'!$C$15*'Lease Cycles'!$AU$15/12,'Lease Cycles'!$C$15*INDEX('Lease Cycles'!$CB$15:$CH$15,1,CO129)*(1+INDEX('Lease Cycles'!$CI$15:$CO$15,1,CO129))^INT(INT(CO130/12)/INDEX('Lease Cycles'!$CP$15:$CV$15,1,CO129))/12)))),'Lease Cycles'!$C$15*INDEX('Lease Cycles'!$CB$15:$CH$15,1,CO129)*(1+INDEX('Lease Cycles'!$CI$15:$CO$15,1,CO129))^INT(INT(CO130/12)/INDEX('Lease Cycles'!$CP$15:$CV$15,1,CO129))/12),IF(INDEX('Lease Cycles'!$EF$15:$EL$15,1,CO129)=1,IF(AND('Lease Cycles'!$AZ$15&gt;=INDEX('Lease Cycles'!$BG$15:$BM$15,1,CO129),'Lease Cycles'!$AZ$15&lt;=CO$6),'Lease Cycles'!$C$15*'Lease Cycles'!$BA$15/12,IF(AND('Lease Cycles'!$AX$15&gt;=INDEX('Lease Cycles'!$BG$15:$BM$15,1,CO129),'Lease Cycles'!$AX$15&lt;=CO$6),'Lease Cycles'!$C$15*'Lease Cycles'!$AY$15/12,IF(AND('Lease Cycles'!$AV$15&gt;=INDEX('Lease Cycles'!$BG$15:$BM$15,1,CO129),'Lease Cycles'!$AV$15&lt;=CO$6),'Lease Cycles'!$C$15*'Lease Cycles'!$AW$15/12,IF(AND('Lease Cycles'!$AT$15&gt;=INDEX('Lease Cycles'!$BG$15:$BM$15,1,CO129),'Lease Cycles'!$AT$15&lt;=CO$6),'Lease Cycles'!$C$15*'Lease Cycles'!$AU$15/12,'Lease Cycles'!$C$15*INDEX('Lease Cycles'!$CB$15:$CH$15,1,CO129)*(1+INDEX('Lease Cycles'!$CI$15:$CO$15,1,CO129))^INT(INT(CO130/12)/INDEX('Lease Cycles'!$CP$15:$CV$15,1,CO129))/12)))),'Lease Cycles'!$C$15*INDEX('Lease Cycles'!$CB$15:$CH$15,1,CO129)*(1+INDEX('Lease Cycles'!$CI$15:$CO$15,1,CO129))^INT(INT(CO130/12)/INDEX('Lease Cycles'!$CP$15:$CV$15,1,CO129))/12))),IF('Lease Cycles'!$N$15=1,'Lease Cycles'!$C$15*'Lease Cycles'!$E$15*INDEX('Lease Cycles'!$HE$15:$HK$15,1,CO129)*(1+INDEX('Lease Cycles'!$GQ$15:$GW$15,1,CO129))^INT(INT((CO$6-INDEX('Lease Cycles'!$GJ$15:$GP$15,1,CO129))/12)/INDEX('Lease Cycles'!$GX$15:$HD$15,1,CO129))/12,0)))</f>
        <v>2176.5891717442714</v>
      </c>
      <c r="CP132" s="28">
        <f>IF(CP129=0,IF('Lease Cycles'!$F$15&gt;0,'Lease Cycles'!$C$15*'Lease Cycles'!$E$15/12,0),IF(CP131=1,IF('Lease Cycles'!$AT$15&gt;=9999,'Lease Cycles'!$C$15*INDEX('Lease Cycles'!$CB$15:$CH$15,1,CP129)*(1+INDEX('Lease Cycles'!$CI$15:$CO$15,1,CP129))^INT(INT(CP130/12)/INDEX('Lease Cycles'!$CP$15:$CV$15,1,CP129))/12,IF(CP129=1,IF(CP130&gt;=INDEX('Lease Cycles'!$DK$15:$DQ$15,1,CP129),IF(CP$6&gt;='Lease Cycles'!$AZ$15,'Lease Cycles'!$C$15*'Lease Cycles'!$BA$15/12,IF(CP$6&gt;='Lease Cycles'!$AX$15,'Lease Cycles'!$C$15*'Lease Cycles'!$AY$15/12,IF(CP$6&gt;='Lease Cycles'!$AV$15,'Lease Cycles'!$C$15*'Lease Cycles'!$AW$15/12,IF(CP$6&gt;='Lease Cycles'!$AT$15,'Lease Cycles'!$C$15*'Lease Cycles'!$AU$15/12,'Lease Cycles'!$C$15*INDEX('Lease Cycles'!$CB$15:$CH$15,1,CP129)*(1+INDEX('Lease Cycles'!$CI$15:$CO$15,1,CP129))^INT(INT(CP130/12)/INDEX('Lease Cycles'!$CP$15:$CV$15,1,CP129))/12)))),'Lease Cycles'!$C$15*INDEX('Lease Cycles'!$CB$15:$CH$15,1,CP129)*(1+INDEX('Lease Cycles'!$CI$15:$CO$15,1,CP129))^INT(INT(CP130/12)/INDEX('Lease Cycles'!$CP$15:$CV$15,1,CP129))/12),IF(INDEX('Lease Cycles'!$EF$15:$EL$15,1,CP129)=1,IF(AND('Lease Cycles'!$AZ$15&gt;=INDEX('Lease Cycles'!$BG$15:$BM$15,1,CP129),'Lease Cycles'!$AZ$15&lt;=CP$6),'Lease Cycles'!$C$15*'Lease Cycles'!$BA$15/12,IF(AND('Lease Cycles'!$AX$15&gt;=INDEX('Lease Cycles'!$BG$15:$BM$15,1,CP129),'Lease Cycles'!$AX$15&lt;=CP$6),'Lease Cycles'!$C$15*'Lease Cycles'!$AY$15/12,IF(AND('Lease Cycles'!$AV$15&gt;=INDEX('Lease Cycles'!$BG$15:$BM$15,1,CP129),'Lease Cycles'!$AV$15&lt;=CP$6),'Lease Cycles'!$C$15*'Lease Cycles'!$AW$15/12,IF(AND('Lease Cycles'!$AT$15&gt;=INDEX('Lease Cycles'!$BG$15:$BM$15,1,CP129),'Lease Cycles'!$AT$15&lt;=CP$6),'Lease Cycles'!$C$15*'Lease Cycles'!$AU$15/12,'Lease Cycles'!$C$15*INDEX('Lease Cycles'!$CB$15:$CH$15,1,CP129)*(1+INDEX('Lease Cycles'!$CI$15:$CO$15,1,CP129))^INT(INT(CP130/12)/INDEX('Lease Cycles'!$CP$15:$CV$15,1,CP129))/12)))),'Lease Cycles'!$C$15*INDEX('Lease Cycles'!$CB$15:$CH$15,1,CP129)*(1+INDEX('Lease Cycles'!$CI$15:$CO$15,1,CP129))^INT(INT(CP130/12)/INDEX('Lease Cycles'!$CP$15:$CV$15,1,CP129))/12))),IF('Lease Cycles'!$N$15=1,'Lease Cycles'!$C$15*'Lease Cycles'!$E$15*INDEX('Lease Cycles'!$HE$15:$HK$15,1,CP129)*(1+INDEX('Lease Cycles'!$GQ$15:$GW$15,1,CP129))^INT(INT((CP$6-INDEX('Lease Cycles'!$GJ$15:$GP$15,1,CP129))/12)/INDEX('Lease Cycles'!$GX$15:$HD$15,1,CP129))/12,0)))</f>
        <v>2176.5891717442714</v>
      </c>
      <c r="CQ132" s="28">
        <f>IF(CQ129=0,IF('Lease Cycles'!$F$15&gt;0,'Lease Cycles'!$C$15*'Lease Cycles'!$E$15/12,0),IF(CQ131=1,IF('Lease Cycles'!$AT$15&gt;=9999,'Lease Cycles'!$C$15*INDEX('Lease Cycles'!$CB$15:$CH$15,1,CQ129)*(1+INDEX('Lease Cycles'!$CI$15:$CO$15,1,CQ129))^INT(INT(CQ130/12)/INDEX('Lease Cycles'!$CP$15:$CV$15,1,CQ129))/12,IF(CQ129=1,IF(CQ130&gt;=INDEX('Lease Cycles'!$DK$15:$DQ$15,1,CQ129),IF(CQ$6&gt;='Lease Cycles'!$AZ$15,'Lease Cycles'!$C$15*'Lease Cycles'!$BA$15/12,IF(CQ$6&gt;='Lease Cycles'!$AX$15,'Lease Cycles'!$C$15*'Lease Cycles'!$AY$15/12,IF(CQ$6&gt;='Lease Cycles'!$AV$15,'Lease Cycles'!$C$15*'Lease Cycles'!$AW$15/12,IF(CQ$6&gt;='Lease Cycles'!$AT$15,'Lease Cycles'!$C$15*'Lease Cycles'!$AU$15/12,'Lease Cycles'!$C$15*INDEX('Lease Cycles'!$CB$15:$CH$15,1,CQ129)*(1+INDEX('Lease Cycles'!$CI$15:$CO$15,1,CQ129))^INT(INT(CQ130/12)/INDEX('Lease Cycles'!$CP$15:$CV$15,1,CQ129))/12)))),'Lease Cycles'!$C$15*INDEX('Lease Cycles'!$CB$15:$CH$15,1,CQ129)*(1+INDEX('Lease Cycles'!$CI$15:$CO$15,1,CQ129))^INT(INT(CQ130/12)/INDEX('Lease Cycles'!$CP$15:$CV$15,1,CQ129))/12),IF(INDEX('Lease Cycles'!$EF$15:$EL$15,1,CQ129)=1,IF(AND('Lease Cycles'!$AZ$15&gt;=INDEX('Lease Cycles'!$BG$15:$BM$15,1,CQ129),'Lease Cycles'!$AZ$15&lt;=CQ$6),'Lease Cycles'!$C$15*'Lease Cycles'!$BA$15/12,IF(AND('Lease Cycles'!$AX$15&gt;=INDEX('Lease Cycles'!$BG$15:$BM$15,1,CQ129),'Lease Cycles'!$AX$15&lt;=CQ$6),'Lease Cycles'!$C$15*'Lease Cycles'!$AY$15/12,IF(AND('Lease Cycles'!$AV$15&gt;=INDEX('Lease Cycles'!$BG$15:$BM$15,1,CQ129),'Lease Cycles'!$AV$15&lt;=CQ$6),'Lease Cycles'!$C$15*'Lease Cycles'!$AW$15/12,IF(AND('Lease Cycles'!$AT$15&gt;=INDEX('Lease Cycles'!$BG$15:$BM$15,1,CQ129),'Lease Cycles'!$AT$15&lt;=CQ$6),'Lease Cycles'!$C$15*'Lease Cycles'!$AU$15/12,'Lease Cycles'!$C$15*INDEX('Lease Cycles'!$CB$15:$CH$15,1,CQ129)*(1+INDEX('Lease Cycles'!$CI$15:$CO$15,1,CQ129))^INT(INT(CQ130/12)/INDEX('Lease Cycles'!$CP$15:$CV$15,1,CQ129))/12)))),'Lease Cycles'!$C$15*INDEX('Lease Cycles'!$CB$15:$CH$15,1,CQ129)*(1+INDEX('Lease Cycles'!$CI$15:$CO$15,1,CQ129))^INT(INT(CQ130/12)/INDEX('Lease Cycles'!$CP$15:$CV$15,1,CQ129))/12))),IF('Lease Cycles'!$N$15=1,'Lease Cycles'!$C$15*'Lease Cycles'!$E$15*INDEX('Lease Cycles'!$HE$15:$HK$15,1,CQ129)*(1+INDEX('Lease Cycles'!$GQ$15:$GW$15,1,CQ129))^INT(INT((CQ$6-INDEX('Lease Cycles'!$GJ$15:$GP$15,1,CQ129))/12)/INDEX('Lease Cycles'!$GX$15:$HD$15,1,CQ129))/12,0)))</f>
        <v>2176.5891717442714</v>
      </c>
      <c r="CR132" s="28">
        <f>IF(CR129=0,IF('Lease Cycles'!$F$15&gt;0,'Lease Cycles'!$C$15*'Lease Cycles'!$E$15/12,0),IF(CR131=1,IF('Lease Cycles'!$AT$15&gt;=9999,'Lease Cycles'!$C$15*INDEX('Lease Cycles'!$CB$15:$CH$15,1,CR129)*(1+INDEX('Lease Cycles'!$CI$15:$CO$15,1,CR129))^INT(INT(CR130/12)/INDEX('Lease Cycles'!$CP$15:$CV$15,1,CR129))/12,IF(CR129=1,IF(CR130&gt;=INDEX('Lease Cycles'!$DK$15:$DQ$15,1,CR129),IF(CR$6&gt;='Lease Cycles'!$AZ$15,'Lease Cycles'!$C$15*'Lease Cycles'!$BA$15/12,IF(CR$6&gt;='Lease Cycles'!$AX$15,'Lease Cycles'!$C$15*'Lease Cycles'!$AY$15/12,IF(CR$6&gt;='Lease Cycles'!$AV$15,'Lease Cycles'!$C$15*'Lease Cycles'!$AW$15/12,IF(CR$6&gt;='Lease Cycles'!$AT$15,'Lease Cycles'!$C$15*'Lease Cycles'!$AU$15/12,'Lease Cycles'!$C$15*INDEX('Lease Cycles'!$CB$15:$CH$15,1,CR129)*(1+INDEX('Lease Cycles'!$CI$15:$CO$15,1,CR129))^INT(INT(CR130/12)/INDEX('Lease Cycles'!$CP$15:$CV$15,1,CR129))/12)))),'Lease Cycles'!$C$15*INDEX('Lease Cycles'!$CB$15:$CH$15,1,CR129)*(1+INDEX('Lease Cycles'!$CI$15:$CO$15,1,CR129))^INT(INT(CR130/12)/INDEX('Lease Cycles'!$CP$15:$CV$15,1,CR129))/12),IF(INDEX('Lease Cycles'!$EF$15:$EL$15,1,CR129)=1,IF(AND('Lease Cycles'!$AZ$15&gt;=INDEX('Lease Cycles'!$BG$15:$BM$15,1,CR129),'Lease Cycles'!$AZ$15&lt;=CR$6),'Lease Cycles'!$C$15*'Lease Cycles'!$BA$15/12,IF(AND('Lease Cycles'!$AX$15&gt;=INDEX('Lease Cycles'!$BG$15:$BM$15,1,CR129),'Lease Cycles'!$AX$15&lt;=CR$6),'Lease Cycles'!$C$15*'Lease Cycles'!$AY$15/12,IF(AND('Lease Cycles'!$AV$15&gt;=INDEX('Lease Cycles'!$BG$15:$BM$15,1,CR129),'Lease Cycles'!$AV$15&lt;=CR$6),'Lease Cycles'!$C$15*'Lease Cycles'!$AW$15/12,IF(AND('Lease Cycles'!$AT$15&gt;=INDEX('Lease Cycles'!$BG$15:$BM$15,1,CR129),'Lease Cycles'!$AT$15&lt;=CR$6),'Lease Cycles'!$C$15*'Lease Cycles'!$AU$15/12,'Lease Cycles'!$C$15*INDEX('Lease Cycles'!$CB$15:$CH$15,1,CR129)*(1+INDEX('Lease Cycles'!$CI$15:$CO$15,1,CR129))^INT(INT(CR130/12)/INDEX('Lease Cycles'!$CP$15:$CV$15,1,CR129))/12)))),'Lease Cycles'!$C$15*INDEX('Lease Cycles'!$CB$15:$CH$15,1,CR129)*(1+INDEX('Lease Cycles'!$CI$15:$CO$15,1,CR129))^INT(INT(CR130/12)/INDEX('Lease Cycles'!$CP$15:$CV$15,1,CR129))/12))),IF('Lease Cycles'!$N$15=1,'Lease Cycles'!$C$15*'Lease Cycles'!$E$15*INDEX('Lease Cycles'!$HE$15:$HK$15,1,CR129)*(1+INDEX('Lease Cycles'!$GQ$15:$GW$15,1,CR129))^INT(INT((CR$6-INDEX('Lease Cycles'!$GJ$15:$GP$15,1,CR129))/12)/INDEX('Lease Cycles'!$GX$15:$HD$15,1,CR129))/12,0)))</f>
        <v>2176.5891717442714</v>
      </c>
      <c r="CS132" s="28">
        <f>IF(CS129=0,IF('Lease Cycles'!$F$15&gt;0,'Lease Cycles'!$C$15*'Lease Cycles'!$E$15/12,0),IF(CS131=1,IF('Lease Cycles'!$AT$15&gt;=9999,'Lease Cycles'!$C$15*INDEX('Lease Cycles'!$CB$15:$CH$15,1,CS129)*(1+INDEX('Lease Cycles'!$CI$15:$CO$15,1,CS129))^INT(INT(CS130/12)/INDEX('Lease Cycles'!$CP$15:$CV$15,1,CS129))/12,IF(CS129=1,IF(CS130&gt;=INDEX('Lease Cycles'!$DK$15:$DQ$15,1,CS129),IF(CS$6&gt;='Lease Cycles'!$AZ$15,'Lease Cycles'!$C$15*'Lease Cycles'!$BA$15/12,IF(CS$6&gt;='Lease Cycles'!$AX$15,'Lease Cycles'!$C$15*'Lease Cycles'!$AY$15/12,IF(CS$6&gt;='Lease Cycles'!$AV$15,'Lease Cycles'!$C$15*'Lease Cycles'!$AW$15/12,IF(CS$6&gt;='Lease Cycles'!$AT$15,'Lease Cycles'!$C$15*'Lease Cycles'!$AU$15/12,'Lease Cycles'!$C$15*INDEX('Lease Cycles'!$CB$15:$CH$15,1,CS129)*(1+INDEX('Lease Cycles'!$CI$15:$CO$15,1,CS129))^INT(INT(CS130/12)/INDEX('Lease Cycles'!$CP$15:$CV$15,1,CS129))/12)))),'Lease Cycles'!$C$15*INDEX('Lease Cycles'!$CB$15:$CH$15,1,CS129)*(1+INDEX('Lease Cycles'!$CI$15:$CO$15,1,CS129))^INT(INT(CS130/12)/INDEX('Lease Cycles'!$CP$15:$CV$15,1,CS129))/12),IF(INDEX('Lease Cycles'!$EF$15:$EL$15,1,CS129)=1,IF(AND('Lease Cycles'!$AZ$15&gt;=INDEX('Lease Cycles'!$BG$15:$BM$15,1,CS129),'Lease Cycles'!$AZ$15&lt;=CS$6),'Lease Cycles'!$C$15*'Lease Cycles'!$BA$15/12,IF(AND('Lease Cycles'!$AX$15&gt;=INDEX('Lease Cycles'!$BG$15:$BM$15,1,CS129),'Lease Cycles'!$AX$15&lt;=CS$6),'Lease Cycles'!$C$15*'Lease Cycles'!$AY$15/12,IF(AND('Lease Cycles'!$AV$15&gt;=INDEX('Lease Cycles'!$BG$15:$BM$15,1,CS129),'Lease Cycles'!$AV$15&lt;=CS$6),'Lease Cycles'!$C$15*'Lease Cycles'!$AW$15/12,IF(AND('Lease Cycles'!$AT$15&gt;=INDEX('Lease Cycles'!$BG$15:$BM$15,1,CS129),'Lease Cycles'!$AT$15&lt;=CS$6),'Lease Cycles'!$C$15*'Lease Cycles'!$AU$15/12,'Lease Cycles'!$C$15*INDEX('Lease Cycles'!$CB$15:$CH$15,1,CS129)*(1+INDEX('Lease Cycles'!$CI$15:$CO$15,1,CS129))^INT(INT(CS130/12)/INDEX('Lease Cycles'!$CP$15:$CV$15,1,CS129))/12)))),'Lease Cycles'!$C$15*INDEX('Lease Cycles'!$CB$15:$CH$15,1,CS129)*(1+INDEX('Lease Cycles'!$CI$15:$CO$15,1,CS129))^INT(INT(CS130/12)/INDEX('Lease Cycles'!$CP$15:$CV$15,1,CS129))/12))),IF('Lease Cycles'!$N$15=1,'Lease Cycles'!$C$15*'Lease Cycles'!$E$15*INDEX('Lease Cycles'!$HE$15:$HK$15,1,CS129)*(1+INDEX('Lease Cycles'!$GQ$15:$GW$15,1,CS129))^INT(INT((CS$6-INDEX('Lease Cycles'!$GJ$15:$GP$15,1,CS129))/12)/INDEX('Lease Cycles'!$GX$15:$HD$15,1,CS129))/12,0)))</f>
        <v>2241.8868468965998</v>
      </c>
      <c r="CT132" s="28">
        <f>IF(CT129=0,IF('Lease Cycles'!$F$15&gt;0,'Lease Cycles'!$C$15*'Lease Cycles'!$E$15/12,0),IF(CT131=1,IF('Lease Cycles'!$AT$15&gt;=9999,'Lease Cycles'!$C$15*INDEX('Lease Cycles'!$CB$15:$CH$15,1,CT129)*(1+INDEX('Lease Cycles'!$CI$15:$CO$15,1,CT129))^INT(INT(CT130/12)/INDEX('Lease Cycles'!$CP$15:$CV$15,1,CT129))/12,IF(CT129=1,IF(CT130&gt;=INDEX('Lease Cycles'!$DK$15:$DQ$15,1,CT129),IF(CT$6&gt;='Lease Cycles'!$AZ$15,'Lease Cycles'!$C$15*'Lease Cycles'!$BA$15/12,IF(CT$6&gt;='Lease Cycles'!$AX$15,'Lease Cycles'!$C$15*'Lease Cycles'!$AY$15/12,IF(CT$6&gt;='Lease Cycles'!$AV$15,'Lease Cycles'!$C$15*'Lease Cycles'!$AW$15/12,IF(CT$6&gt;='Lease Cycles'!$AT$15,'Lease Cycles'!$C$15*'Lease Cycles'!$AU$15/12,'Lease Cycles'!$C$15*INDEX('Lease Cycles'!$CB$15:$CH$15,1,CT129)*(1+INDEX('Lease Cycles'!$CI$15:$CO$15,1,CT129))^INT(INT(CT130/12)/INDEX('Lease Cycles'!$CP$15:$CV$15,1,CT129))/12)))),'Lease Cycles'!$C$15*INDEX('Lease Cycles'!$CB$15:$CH$15,1,CT129)*(1+INDEX('Lease Cycles'!$CI$15:$CO$15,1,CT129))^INT(INT(CT130/12)/INDEX('Lease Cycles'!$CP$15:$CV$15,1,CT129))/12),IF(INDEX('Lease Cycles'!$EF$15:$EL$15,1,CT129)=1,IF(AND('Lease Cycles'!$AZ$15&gt;=INDEX('Lease Cycles'!$BG$15:$BM$15,1,CT129),'Lease Cycles'!$AZ$15&lt;=CT$6),'Lease Cycles'!$C$15*'Lease Cycles'!$BA$15/12,IF(AND('Lease Cycles'!$AX$15&gt;=INDEX('Lease Cycles'!$BG$15:$BM$15,1,CT129),'Lease Cycles'!$AX$15&lt;=CT$6),'Lease Cycles'!$C$15*'Lease Cycles'!$AY$15/12,IF(AND('Lease Cycles'!$AV$15&gt;=INDEX('Lease Cycles'!$BG$15:$BM$15,1,CT129),'Lease Cycles'!$AV$15&lt;=CT$6),'Lease Cycles'!$C$15*'Lease Cycles'!$AW$15/12,IF(AND('Lease Cycles'!$AT$15&gt;=INDEX('Lease Cycles'!$BG$15:$BM$15,1,CT129),'Lease Cycles'!$AT$15&lt;=CT$6),'Lease Cycles'!$C$15*'Lease Cycles'!$AU$15/12,'Lease Cycles'!$C$15*INDEX('Lease Cycles'!$CB$15:$CH$15,1,CT129)*(1+INDEX('Lease Cycles'!$CI$15:$CO$15,1,CT129))^INT(INT(CT130/12)/INDEX('Lease Cycles'!$CP$15:$CV$15,1,CT129))/12)))),'Lease Cycles'!$C$15*INDEX('Lease Cycles'!$CB$15:$CH$15,1,CT129)*(1+INDEX('Lease Cycles'!$CI$15:$CO$15,1,CT129))^INT(INT(CT130/12)/INDEX('Lease Cycles'!$CP$15:$CV$15,1,CT129))/12))),IF('Lease Cycles'!$N$15=1,'Lease Cycles'!$C$15*'Lease Cycles'!$E$15*INDEX('Lease Cycles'!$HE$15:$HK$15,1,CT129)*(1+INDEX('Lease Cycles'!$GQ$15:$GW$15,1,CT129))^INT(INT((CT$6-INDEX('Lease Cycles'!$GJ$15:$GP$15,1,CT129))/12)/INDEX('Lease Cycles'!$GX$15:$HD$15,1,CT129))/12,0)))</f>
        <v>2241.8868468965998</v>
      </c>
      <c r="CU132" s="28">
        <f>IF(CU129=0,IF('Lease Cycles'!$F$15&gt;0,'Lease Cycles'!$C$15*'Lease Cycles'!$E$15/12,0),IF(CU131=1,IF('Lease Cycles'!$AT$15&gt;=9999,'Lease Cycles'!$C$15*INDEX('Lease Cycles'!$CB$15:$CH$15,1,CU129)*(1+INDEX('Lease Cycles'!$CI$15:$CO$15,1,CU129))^INT(INT(CU130/12)/INDEX('Lease Cycles'!$CP$15:$CV$15,1,CU129))/12,IF(CU129=1,IF(CU130&gt;=INDEX('Lease Cycles'!$DK$15:$DQ$15,1,CU129),IF(CU$6&gt;='Lease Cycles'!$AZ$15,'Lease Cycles'!$C$15*'Lease Cycles'!$BA$15/12,IF(CU$6&gt;='Lease Cycles'!$AX$15,'Lease Cycles'!$C$15*'Lease Cycles'!$AY$15/12,IF(CU$6&gt;='Lease Cycles'!$AV$15,'Lease Cycles'!$C$15*'Lease Cycles'!$AW$15/12,IF(CU$6&gt;='Lease Cycles'!$AT$15,'Lease Cycles'!$C$15*'Lease Cycles'!$AU$15/12,'Lease Cycles'!$C$15*INDEX('Lease Cycles'!$CB$15:$CH$15,1,CU129)*(1+INDEX('Lease Cycles'!$CI$15:$CO$15,1,CU129))^INT(INT(CU130/12)/INDEX('Lease Cycles'!$CP$15:$CV$15,1,CU129))/12)))),'Lease Cycles'!$C$15*INDEX('Lease Cycles'!$CB$15:$CH$15,1,CU129)*(1+INDEX('Lease Cycles'!$CI$15:$CO$15,1,CU129))^INT(INT(CU130/12)/INDEX('Lease Cycles'!$CP$15:$CV$15,1,CU129))/12),IF(INDEX('Lease Cycles'!$EF$15:$EL$15,1,CU129)=1,IF(AND('Lease Cycles'!$AZ$15&gt;=INDEX('Lease Cycles'!$BG$15:$BM$15,1,CU129),'Lease Cycles'!$AZ$15&lt;=CU$6),'Lease Cycles'!$C$15*'Lease Cycles'!$BA$15/12,IF(AND('Lease Cycles'!$AX$15&gt;=INDEX('Lease Cycles'!$BG$15:$BM$15,1,CU129),'Lease Cycles'!$AX$15&lt;=CU$6),'Lease Cycles'!$C$15*'Lease Cycles'!$AY$15/12,IF(AND('Lease Cycles'!$AV$15&gt;=INDEX('Lease Cycles'!$BG$15:$BM$15,1,CU129),'Lease Cycles'!$AV$15&lt;=CU$6),'Lease Cycles'!$C$15*'Lease Cycles'!$AW$15/12,IF(AND('Lease Cycles'!$AT$15&gt;=INDEX('Lease Cycles'!$BG$15:$BM$15,1,CU129),'Lease Cycles'!$AT$15&lt;=CU$6),'Lease Cycles'!$C$15*'Lease Cycles'!$AU$15/12,'Lease Cycles'!$C$15*INDEX('Lease Cycles'!$CB$15:$CH$15,1,CU129)*(1+INDEX('Lease Cycles'!$CI$15:$CO$15,1,CU129))^INT(INT(CU130/12)/INDEX('Lease Cycles'!$CP$15:$CV$15,1,CU129))/12)))),'Lease Cycles'!$C$15*INDEX('Lease Cycles'!$CB$15:$CH$15,1,CU129)*(1+INDEX('Lease Cycles'!$CI$15:$CO$15,1,CU129))^INT(INT(CU130/12)/INDEX('Lease Cycles'!$CP$15:$CV$15,1,CU129))/12))),IF('Lease Cycles'!$N$15=1,'Lease Cycles'!$C$15*'Lease Cycles'!$E$15*INDEX('Lease Cycles'!$HE$15:$HK$15,1,CU129)*(1+INDEX('Lease Cycles'!$GQ$15:$GW$15,1,CU129))^INT(INT((CU$6-INDEX('Lease Cycles'!$GJ$15:$GP$15,1,CU129))/12)/INDEX('Lease Cycles'!$GX$15:$HD$15,1,CU129))/12,0)))</f>
        <v>2241.8868468965998</v>
      </c>
      <c r="CV132" s="28">
        <f>IF(CV129=0,IF('Lease Cycles'!$F$15&gt;0,'Lease Cycles'!$C$15*'Lease Cycles'!$E$15/12,0),IF(CV131=1,IF('Lease Cycles'!$AT$15&gt;=9999,'Lease Cycles'!$C$15*INDEX('Lease Cycles'!$CB$15:$CH$15,1,CV129)*(1+INDEX('Lease Cycles'!$CI$15:$CO$15,1,CV129))^INT(INT(CV130/12)/INDEX('Lease Cycles'!$CP$15:$CV$15,1,CV129))/12,IF(CV129=1,IF(CV130&gt;=INDEX('Lease Cycles'!$DK$15:$DQ$15,1,CV129),IF(CV$6&gt;='Lease Cycles'!$AZ$15,'Lease Cycles'!$C$15*'Lease Cycles'!$BA$15/12,IF(CV$6&gt;='Lease Cycles'!$AX$15,'Lease Cycles'!$C$15*'Lease Cycles'!$AY$15/12,IF(CV$6&gt;='Lease Cycles'!$AV$15,'Lease Cycles'!$C$15*'Lease Cycles'!$AW$15/12,IF(CV$6&gt;='Lease Cycles'!$AT$15,'Lease Cycles'!$C$15*'Lease Cycles'!$AU$15/12,'Lease Cycles'!$C$15*INDEX('Lease Cycles'!$CB$15:$CH$15,1,CV129)*(1+INDEX('Lease Cycles'!$CI$15:$CO$15,1,CV129))^INT(INT(CV130/12)/INDEX('Lease Cycles'!$CP$15:$CV$15,1,CV129))/12)))),'Lease Cycles'!$C$15*INDEX('Lease Cycles'!$CB$15:$CH$15,1,CV129)*(1+INDEX('Lease Cycles'!$CI$15:$CO$15,1,CV129))^INT(INT(CV130/12)/INDEX('Lease Cycles'!$CP$15:$CV$15,1,CV129))/12),IF(INDEX('Lease Cycles'!$EF$15:$EL$15,1,CV129)=1,IF(AND('Lease Cycles'!$AZ$15&gt;=INDEX('Lease Cycles'!$BG$15:$BM$15,1,CV129),'Lease Cycles'!$AZ$15&lt;=CV$6),'Lease Cycles'!$C$15*'Lease Cycles'!$BA$15/12,IF(AND('Lease Cycles'!$AX$15&gt;=INDEX('Lease Cycles'!$BG$15:$BM$15,1,CV129),'Lease Cycles'!$AX$15&lt;=CV$6),'Lease Cycles'!$C$15*'Lease Cycles'!$AY$15/12,IF(AND('Lease Cycles'!$AV$15&gt;=INDEX('Lease Cycles'!$BG$15:$BM$15,1,CV129),'Lease Cycles'!$AV$15&lt;=CV$6),'Lease Cycles'!$C$15*'Lease Cycles'!$AW$15/12,IF(AND('Lease Cycles'!$AT$15&gt;=INDEX('Lease Cycles'!$BG$15:$BM$15,1,CV129),'Lease Cycles'!$AT$15&lt;=CV$6),'Lease Cycles'!$C$15*'Lease Cycles'!$AU$15/12,'Lease Cycles'!$C$15*INDEX('Lease Cycles'!$CB$15:$CH$15,1,CV129)*(1+INDEX('Lease Cycles'!$CI$15:$CO$15,1,CV129))^INT(INT(CV130/12)/INDEX('Lease Cycles'!$CP$15:$CV$15,1,CV129))/12)))),'Lease Cycles'!$C$15*INDEX('Lease Cycles'!$CB$15:$CH$15,1,CV129)*(1+INDEX('Lease Cycles'!$CI$15:$CO$15,1,CV129))^INT(INT(CV130/12)/INDEX('Lease Cycles'!$CP$15:$CV$15,1,CV129))/12))),IF('Lease Cycles'!$N$15=1,'Lease Cycles'!$C$15*'Lease Cycles'!$E$15*INDEX('Lease Cycles'!$HE$15:$HK$15,1,CV129)*(1+INDEX('Lease Cycles'!$GQ$15:$GW$15,1,CV129))^INT(INT((CV$6-INDEX('Lease Cycles'!$GJ$15:$GP$15,1,CV129))/12)/INDEX('Lease Cycles'!$GX$15:$HD$15,1,CV129))/12,0)))</f>
        <v>2241.8868468965998</v>
      </c>
      <c r="CW132" s="28">
        <f>IF(CW129=0,IF('Lease Cycles'!$F$15&gt;0,'Lease Cycles'!$C$15*'Lease Cycles'!$E$15/12,0),IF(CW131=1,IF('Lease Cycles'!$AT$15&gt;=9999,'Lease Cycles'!$C$15*INDEX('Lease Cycles'!$CB$15:$CH$15,1,CW129)*(1+INDEX('Lease Cycles'!$CI$15:$CO$15,1,CW129))^INT(INT(CW130/12)/INDEX('Lease Cycles'!$CP$15:$CV$15,1,CW129))/12,IF(CW129=1,IF(CW130&gt;=INDEX('Lease Cycles'!$DK$15:$DQ$15,1,CW129),IF(CW$6&gt;='Lease Cycles'!$AZ$15,'Lease Cycles'!$C$15*'Lease Cycles'!$BA$15/12,IF(CW$6&gt;='Lease Cycles'!$AX$15,'Lease Cycles'!$C$15*'Lease Cycles'!$AY$15/12,IF(CW$6&gt;='Lease Cycles'!$AV$15,'Lease Cycles'!$C$15*'Lease Cycles'!$AW$15/12,IF(CW$6&gt;='Lease Cycles'!$AT$15,'Lease Cycles'!$C$15*'Lease Cycles'!$AU$15/12,'Lease Cycles'!$C$15*INDEX('Lease Cycles'!$CB$15:$CH$15,1,CW129)*(1+INDEX('Lease Cycles'!$CI$15:$CO$15,1,CW129))^INT(INT(CW130/12)/INDEX('Lease Cycles'!$CP$15:$CV$15,1,CW129))/12)))),'Lease Cycles'!$C$15*INDEX('Lease Cycles'!$CB$15:$CH$15,1,CW129)*(1+INDEX('Lease Cycles'!$CI$15:$CO$15,1,CW129))^INT(INT(CW130/12)/INDEX('Lease Cycles'!$CP$15:$CV$15,1,CW129))/12),IF(INDEX('Lease Cycles'!$EF$15:$EL$15,1,CW129)=1,IF(AND('Lease Cycles'!$AZ$15&gt;=INDEX('Lease Cycles'!$BG$15:$BM$15,1,CW129),'Lease Cycles'!$AZ$15&lt;=CW$6),'Lease Cycles'!$C$15*'Lease Cycles'!$BA$15/12,IF(AND('Lease Cycles'!$AX$15&gt;=INDEX('Lease Cycles'!$BG$15:$BM$15,1,CW129),'Lease Cycles'!$AX$15&lt;=CW$6),'Lease Cycles'!$C$15*'Lease Cycles'!$AY$15/12,IF(AND('Lease Cycles'!$AV$15&gt;=INDEX('Lease Cycles'!$BG$15:$BM$15,1,CW129),'Lease Cycles'!$AV$15&lt;=CW$6),'Lease Cycles'!$C$15*'Lease Cycles'!$AW$15/12,IF(AND('Lease Cycles'!$AT$15&gt;=INDEX('Lease Cycles'!$BG$15:$BM$15,1,CW129),'Lease Cycles'!$AT$15&lt;=CW$6),'Lease Cycles'!$C$15*'Lease Cycles'!$AU$15/12,'Lease Cycles'!$C$15*INDEX('Lease Cycles'!$CB$15:$CH$15,1,CW129)*(1+INDEX('Lease Cycles'!$CI$15:$CO$15,1,CW129))^INT(INT(CW130/12)/INDEX('Lease Cycles'!$CP$15:$CV$15,1,CW129))/12)))),'Lease Cycles'!$C$15*INDEX('Lease Cycles'!$CB$15:$CH$15,1,CW129)*(1+INDEX('Lease Cycles'!$CI$15:$CO$15,1,CW129))^INT(INT(CW130/12)/INDEX('Lease Cycles'!$CP$15:$CV$15,1,CW129))/12))),IF('Lease Cycles'!$N$15=1,'Lease Cycles'!$C$15*'Lease Cycles'!$E$15*INDEX('Lease Cycles'!$HE$15:$HK$15,1,CW129)*(1+INDEX('Lease Cycles'!$GQ$15:$GW$15,1,CW129))^INT(INT((CW$6-INDEX('Lease Cycles'!$GJ$15:$GP$15,1,CW129))/12)/INDEX('Lease Cycles'!$GX$15:$HD$15,1,CW129))/12,0)))</f>
        <v>2241.8868468965998</v>
      </c>
      <c r="CX132" s="28">
        <f>IF(CX129=0,IF('Lease Cycles'!$F$15&gt;0,'Lease Cycles'!$C$15*'Lease Cycles'!$E$15/12,0),IF(CX131=1,IF('Lease Cycles'!$AT$15&gt;=9999,'Lease Cycles'!$C$15*INDEX('Lease Cycles'!$CB$15:$CH$15,1,CX129)*(1+INDEX('Lease Cycles'!$CI$15:$CO$15,1,CX129))^INT(INT(CX130/12)/INDEX('Lease Cycles'!$CP$15:$CV$15,1,CX129))/12,IF(CX129=1,IF(CX130&gt;=INDEX('Lease Cycles'!$DK$15:$DQ$15,1,CX129),IF(CX$6&gt;='Lease Cycles'!$AZ$15,'Lease Cycles'!$C$15*'Lease Cycles'!$BA$15/12,IF(CX$6&gt;='Lease Cycles'!$AX$15,'Lease Cycles'!$C$15*'Lease Cycles'!$AY$15/12,IF(CX$6&gt;='Lease Cycles'!$AV$15,'Lease Cycles'!$C$15*'Lease Cycles'!$AW$15/12,IF(CX$6&gt;='Lease Cycles'!$AT$15,'Lease Cycles'!$C$15*'Lease Cycles'!$AU$15/12,'Lease Cycles'!$C$15*INDEX('Lease Cycles'!$CB$15:$CH$15,1,CX129)*(1+INDEX('Lease Cycles'!$CI$15:$CO$15,1,CX129))^INT(INT(CX130/12)/INDEX('Lease Cycles'!$CP$15:$CV$15,1,CX129))/12)))),'Lease Cycles'!$C$15*INDEX('Lease Cycles'!$CB$15:$CH$15,1,CX129)*(1+INDEX('Lease Cycles'!$CI$15:$CO$15,1,CX129))^INT(INT(CX130/12)/INDEX('Lease Cycles'!$CP$15:$CV$15,1,CX129))/12),IF(INDEX('Lease Cycles'!$EF$15:$EL$15,1,CX129)=1,IF(AND('Lease Cycles'!$AZ$15&gt;=INDEX('Lease Cycles'!$BG$15:$BM$15,1,CX129),'Lease Cycles'!$AZ$15&lt;=CX$6),'Lease Cycles'!$C$15*'Lease Cycles'!$BA$15/12,IF(AND('Lease Cycles'!$AX$15&gt;=INDEX('Lease Cycles'!$BG$15:$BM$15,1,CX129),'Lease Cycles'!$AX$15&lt;=CX$6),'Lease Cycles'!$C$15*'Lease Cycles'!$AY$15/12,IF(AND('Lease Cycles'!$AV$15&gt;=INDEX('Lease Cycles'!$BG$15:$BM$15,1,CX129),'Lease Cycles'!$AV$15&lt;=CX$6),'Lease Cycles'!$C$15*'Lease Cycles'!$AW$15/12,IF(AND('Lease Cycles'!$AT$15&gt;=INDEX('Lease Cycles'!$BG$15:$BM$15,1,CX129),'Lease Cycles'!$AT$15&lt;=CX$6),'Lease Cycles'!$C$15*'Lease Cycles'!$AU$15/12,'Lease Cycles'!$C$15*INDEX('Lease Cycles'!$CB$15:$CH$15,1,CX129)*(1+INDEX('Lease Cycles'!$CI$15:$CO$15,1,CX129))^INT(INT(CX130/12)/INDEX('Lease Cycles'!$CP$15:$CV$15,1,CX129))/12)))),'Lease Cycles'!$C$15*INDEX('Lease Cycles'!$CB$15:$CH$15,1,CX129)*(1+INDEX('Lease Cycles'!$CI$15:$CO$15,1,CX129))^INT(INT(CX130/12)/INDEX('Lease Cycles'!$CP$15:$CV$15,1,CX129))/12))),IF('Lease Cycles'!$N$15=1,'Lease Cycles'!$C$15*'Lease Cycles'!$E$15*INDEX('Lease Cycles'!$HE$15:$HK$15,1,CX129)*(1+INDEX('Lease Cycles'!$GQ$15:$GW$15,1,CX129))^INT(INT((CX$6-INDEX('Lease Cycles'!$GJ$15:$GP$15,1,CX129))/12)/INDEX('Lease Cycles'!$GX$15:$HD$15,1,CX129))/12,0)))</f>
        <v>2241.8868468965998</v>
      </c>
      <c r="CY132" s="28">
        <f>IF(CY129=0,IF('Lease Cycles'!$F$15&gt;0,'Lease Cycles'!$C$15*'Lease Cycles'!$E$15/12,0),IF(CY131=1,IF('Lease Cycles'!$AT$15&gt;=9999,'Lease Cycles'!$C$15*INDEX('Lease Cycles'!$CB$15:$CH$15,1,CY129)*(1+INDEX('Lease Cycles'!$CI$15:$CO$15,1,CY129))^INT(INT(CY130/12)/INDEX('Lease Cycles'!$CP$15:$CV$15,1,CY129))/12,IF(CY129=1,IF(CY130&gt;=INDEX('Lease Cycles'!$DK$15:$DQ$15,1,CY129),IF(CY$6&gt;='Lease Cycles'!$AZ$15,'Lease Cycles'!$C$15*'Lease Cycles'!$BA$15/12,IF(CY$6&gt;='Lease Cycles'!$AX$15,'Lease Cycles'!$C$15*'Lease Cycles'!$AY$15/12,IF(CY$6&gt;='Lease Cycles'!$AV$15,'Lease Cycles'!$C$15*'Lease Cycles'!$AW$15/12,IF(CY$6&gt;='Lease Cycles'!$AT$15,'Lease Cycles'!$C$15*'Lease Cycles'!$AU$15/12,'Lease Cycles'!$C$15*INDEX('Lease Cycles'!$CB$15:$CH$15,1,CY129)*(1+INDEX('Lease Cycles'!$CI$15:$CO$15,1,CY129))^INT(INT(CY130/12)/INDEX('Lease Cycles'!$CP$15:$CV$15,1,CY129))/12)))),'Lease Cycles'!$C$15*INDEX('Lease Cycles'!$CB$15:$CH$15,1,CY129)*(1+INDEX('Lease Cycles'!$CI$15:$CO$15,1,CY129))^INT(INT(CY130/12)/INDEX('Lease Cycles'!$CP$15:$CV$15,1,CY129))/12),IF(INDEX('Lease Cycles'!$EF$15:$EL$15,1,CY129)=1,IF(AND('Lease Cycles'!$AZ$15&gt;=INDEX('Lease Cycles'!$BG$15:$BM$15,1,CY129),'Lease Cycles'!$AZ$15&lt;=CY$6),'Lease Cycles'!$C$15*'Lease Cycles'!$BA$15/12,IF(AND('Lease Cycles'!$AX$15&gt;=INDEX('Lease Cycles'!$BG$15:$BM$15,1,CY129),'Lease Cycles'!$AX$15&lt;=CY$6),'Lease Cycles'!$C$15*'Lease Cycles'!$AY$15/12,IF(AND('Lease Cycles'!$AV$15&gt;=INDEX('Lease Cycles'!$BG$15:$BM$15,1,CY129),'Lease Cycles'!$AV$15&lt;=CY$6),'Lease Cycles'!$C$15*'Lease Cycles'!$AW$15/12,IF(AND('Lease Cycles'!$AT$15&gt;=INDEX('Lease Cycles'!$BG$15:$BM$15,1,CY129),'Lease Cycles'!$AT$15&lt;=CY$6),'Lease Cycles'!$C$15*'Lease Cycles'!$AU$15/12,'Lease Cycles'!$C$15*INDEX('Lease Cycles'!$CB$15:$CH$15,1,CY129)*(1+INDEX('Lease Cycles'!$CI$15:$CO$15,1,CY129))^INT(INT(CY130/12)/INDEX('Lease Cycles'!$CP$15:$CV$15,1,CY129))/12)))),'Lease Cycles'!$C$15*INDEX('Lease Cycles'!$CB$15:$CH$15,1,CY129)*(1+INDEX('Lease Cycles'!$CI$15:$CO$15,1,CY129))^INT(INT(CY130/12)/INDEX('Lease Cycles'!$CP$15:$CV$15,1,CY129))/12))),IF('Lease Cycles'!$N$15=1,'Lease Cycles'!$C$15*'Lease Cycles'!$E$15*INDEX('Lease Cycles'!$HE$15:$HK$15,1,CY129)*(1+INDEX('Lease Cycles'!$GQ$15:$GW$15,1,CY129))^INT(INT((CY$6-INDEX('Lease Cycles'!$GJ$15:$GP$15,1,CY129))/12)/INDEX('Lease Cycles'!$GX$15:$HD$15,1,CY129))/12,0)))</f>
        <v>2241.8868468965998</v>
      </c>
      <c r="CZ132" s="28">
        <f>IF(CZ129=0,IF('Lease Cycles'!$F$15&gt;0,'Lease Cycles'!$C$15*'Lease Cycles'!$E$15/12,0),IF(CZ131=1,IF('Lease Cycles'!$AT$15&gt;=9999,'Lease Cycles'!$C$15*INDEX('Lease Cycles'!$CB$15:$CH$15,1,CZ129)*(1+INDEX('Lease Cycles'!$CI$15:$CO$15,1,CZ129))^INT(INT(CZ130/12)/INDEX('Lease Cycles'!$CP$15:$CV$15,1,CZ129))/12,IF(CZ129=1,IF(CZ130&gt;=INDEX('Lease Cycles'!$DK$15:$DQ$15,1,CZ129),IF(CZ$6&gt;='Lease Cycles'!$AZ$15,'Lease Cycles'!$C$15*'Lease Cycles'!$BA$15/12,IF(CZ$6&gt;='Lease Cycles'!$AX$15,'Lease Cycles'!$C$15*'Lease Cycles'!$AY$15/12,IF(CZ$6&gt;='Lease Cycles'!$AV$15,'Lease Cycles'!$C$15*'Lease Cycles'!$AW$15/12,IF(CZ$6&gt;='Lease Cycles'!$AT$15,'Lease Cycles'!$C$15*'Lease Cycles'!$AU$15/12,'Lease Cycles'!$C$15*INDEX('Lease Cycles'!$CB$15:$CH$15,1,CZ129)*(1+INDEX('Lease Cycles'!$CI$15:$CO$15,1,CZ129))^INT(INT(CZ130/12)/INDEX('Lease Cycles'!$CP$15:$CV$15,1,CZ129))/12)))),'Lease Cycles'!$C$15*INDEX('Lease Cycles'!$CB$15:$CH$15,1,CZ129)*(1+INDEX('Lease Cycles'!$CI$15:$CO$15,1,CZ129))^INT(INT(CZ130/12)/INDEX('Lease Cycles'!$CP$15:$CV$15,1,CZ129))/12),IF(INDEX('Lease Cycles'!$EF$15:$EL$15,1,CZ129)=1,IF(AND('Lease Cycles'!$AZ$15&gt;=INDEX('Lease Cycles'!$BG$15:$BM$15,1,CZ129),'Lease Cycles'!$AZ$15&lt;=CZ$6),'Lease Cycles'!$C$15*'Lease Cycles'!$BA$15/12,IF(AND('Lease Cycles'!$AX$15&gt;=INDEX('Lease Cycles'!$BG$15:$BM$15,1,CZ129),'Lease Cycles'!$AX$15&lt;=CZ$6),'Lease Cycles'!$C$15*'Lease Cycles'!$AY$15/12,IF(AND('Lease Cycles'!$AV$15&gt;=INDEX('Lease Cycles'!$BG$15:$BM$15,1,CZ129),'Lease Cycles'!$AV$15&lt;=CZ$6),'Lease Cycles'!$C$15*'Lease Cycles'!$AW$15/12,IF(AND('Lease Cycles'!$AT$15&gt;=INDEX('Lease Cycles'!$BG$15:$BM$15,1,CZ129),'Lease Cycles'!$AT$15&lt;=CZ$6),'Lease Cycles'!$C$15*'Lease Cycles'!$AU$15/12,'Lease Cycles'!$C$15*INDEX('Lease Cycles'!$CB$15:$CH$15,1,CZ129)*(1+INDEX('Lease Cycles'!$CI$15:$CO$15,1,CZ129))^INT(INT(CZ130/12)/INDEX('Lease Cycles'!$CP$15:$CV$15,1,CZ129))/12)))),'Lease Cycles'!$C$15*INDEX('Lease Cycles'!$CB$15:$CH$15,1,CZ129)*(1+INDEX('Lease Cycles'!$CI$15:$CO$15,1,CZ129))^INT(INT(CZ130/12)/INDEX('Lease Cycles'!$CP$15:$CV$15,1,CZ129))/12))),IF('Lease Cycles'!$N$15=1,'Lease Cycles'!$C$15*'Lease Cycles'!$E$15*INDEX('Lease Cycles'!$HE$15:$HK$15,1,CZ129)*(1+INDEX('Lease Cycles'!$GQ$15:$GW$15,1,CZ129))^INT(INT((CZ$6-INDEX('Lease Cycles'!$GJ$15:$GP$15,1,CZ129))/12)/INDEX('Lease Cycles'!$GX$15:$HD$15,1,CZ129))/12,0)))</f>
        <v>2241.8868468965998</v>
      </c>
      <c r="DA132" s="28">
        <f>IF(DA129=0,IF('Lease Cycles'!$F$15&gt;0,'Lease Cycles'!$C$15*'Lease Cycles'!$E$15/12,0),IF(DA131=1,IF('Lease Cycles'!$AT$15&gt;=9999,'Lease Cycles'!$C$15*INDEX('Lease Cycles'!$CB$15:$CH$15,1,DA129)*(1+INDEX('Lease Cycles'!$CI$15:$CO$15,1,DA129))^INT(INT(DA130/12)/INDEX('Lease Cycles'!$CP$15:$CV$15,1,DA129))/12,IF(DA129=1,IF(DA130&gt;=INDEX('Lease Cycles'!$DK$15:$DQ$15,1,DA129),IF(DA$6&gt;='Lease Cycles'!$AZ$15,'Lease Cycles'!$C$15*'Lease Cycles'!$BA$15/12,IF(DA$6&gt;='Lease Cycles'!$AX$15,'Lease Cycles'!$C$15*'Lease Cycles'!$AY$15/12,IF(DA$6&gt;='Lease Cycles'!$AV$15,'Lease Cycles'!$C$15*'Lease Cycles'!$AW$15/12,IF(DA$6&gt;='Lease Cycles'!$AT$15,'Lease Cycles'!$C$15*'Lease Cycles'!$AU$15/12,'Lease Cycles'!$C$15*INDEX('Lease Cycles'!$CB$15:$CH$15,1,DA129)*(1+INDEX('Lease Cycles'!$CI$15:$CO$15,1,DA129))^INT(INT(DA130/12)/INDEX('Lease Cycles'!$CP$15:$CV$15,1,DA129))/12)))),'Lease Cycles'!$C$15*INDEX('Lease Cycles'!$CB$15:$CH$15,1,DA129)*(1+INDEX('Lease Cycles'!$CI$15:$CO$15,1,DA129))^INT(INT(DA130/12)/INDEX('Lease Cycles'!$CP$15:$CV$15,1,DA129))/12),IF(INDEX('Lease Cycles'!$EF$15:$EL$15,1,DA129)=1,IF(AND('Lease Cycles'!$AZ$15&gt;=INDEX('Lease Cycles'!$BG$15:$BM$15,1,DA129),'Lease Cycles'!$AZ$15&lt;=DA$6),'Lease Cycles'!$C$15*'Lease Cycles'!$BA$15/12,IF(AND('Lease Cycles'!$AX$15&gt;=INDEX('Lease Cycles'!$BG$15:$BM$15,1,DA129),'Lease Cycles'!$AX$15&lt;=DA$6),'Lease Cycles'!$C$15*'Lease Cycles'!$AY$15/12,IF(AND('Lease Cycles'!$AV$15&gt;=INDEX('Lease Cycles'!$BG$15:$BM$15,1,DA129),'Lease Cycles'!$AV$15&lt;=DA$6),'Lease Cycles'!$C$15*'Lease Cycles'!$AW$15/12,IF(AND('Lease Cycles'!$AT$15&gt;=INDEX('Lease Cycles'!$BG$15:$BM$15,1,DA129),'Lease Cycles'!$AT$15&lt;=DA$6),'Lease Cycles'!$C$15*'Lease Cycles'!$AU$15/12,'Lease Cycles'!$C$15*INDEX('Lease Cycles'!$CB$15:$CH$15,1,DA129)*(1+INDEX('Lease Cycles'!$CI$15:$CO$15,1,DA129))^INT(INT(DA130/12)/INDEX('Lease Cycles'!$CP$15:$CV$15,1,DA129))/12)))),'Lease Cycles'!$C$15*INDEX('Lease Cycles'!$CB$15:$CH$15,1,DA129)*(1+INDEX('Lease Cycles'!$CI$15:$CO$15,1,DA129))^INT(INT(DA130/12)/INDEX('Lease Cycles'!$CP$15:$CV$15,1,DA129))/12))),IF('Lease Cycles'!$N$15=1,'Lease Cycles'!$C$15*'Lease Cycles'!$E$15*INDEX('Lease Cycles'!$HE$15:$HK$15,1,DA129)*(1+INDEX('Lease Cycles'!$GQ$15:$GW$15,1,DA129))^INT(INT((DA$6-INDEX('Lease Cycles'!$GJ$15:$GP$15,1,DA129))/12)/INDEX('Lease Cycles'!$GX$15:$HD$15,1,DA129))/12,0)))</f>
        <v>2241.8868468965998</v>
      </c>
      <c r="DB132" s="28">
        <f>IF(DB129=0,IF('Lease Cycles'!$F$15&gt;0,'Lease Cycles'!$C$15*'Lease Cycles'!$E$15/12,0),IF(DB131=1,IF('Lease Cycles'!$AT$15&gt;=9999,'Lease Cycles'!$C$15*INDEX('Lease Cycles'!$CB$15:$CH$15,1,DB129)*(1+INDEX('Lease Cycles'!$CI$15:$CO$15,1,DB129))^INT(INT(DB130/12)/INDEX('Lease Cycles'!$CP$15:$CV$15,1,DB129))/12,IF(DB129=1,IF(DB130&gt;=INDEX('Lease Cycles'!$DK$15:$DQ$15,1,DB129),IF(DB$6&gt;='Lease Cycles'!$AZ$15,'Lease Cycles'!$C$15*'Lease Cycles'!$BA$15/12,IF(DB$6&gt;='Lease Cycles'!$AX$15,'Lease Cycles'!$C$15*'Lease Cycles'!$AY$15/12,IF(DB$6&gt;='Lease Cycles'!$AV$15,'Lease Cycles'!$C$15*'Lease Cycles'!$AW$15/12,IF(DB$6&gt;='Lease Cycles'!$AT$15,'Lease Cycles'!$C$15*'Lease Cycles'!$AU$15/12,'Lease Cycles'!$C$15*INDEX('Lease Cycles'!$CB$15:$CH$15,1,DB129)*(1+INDEX('Lease Cycles'!$CI$15:$CO$15,1,DB129))^INT(INT(DB130/12)/INDEX('Lease Cycles'!$CP$15:$CV$15,1,DB129))/12)))),'Lease Cycles'!$C$15*INDEX('Lease Cycles'!$CB$15:$CH$15,1,DB129)*(1+INDEX('Lease Cycles'!$CI$15:$CO$15,1,DB129))^INT(INT(DB130/12)/INDEX('Lease Cycles'!$CP$15:$CV$15,1,DB129))/12),IF(INDEX('Lease Cycles'!$EF$15:$EL$15,1,DB129)=1,IF(AND('Lease Cycles'!$AZ$15&gt;=INDEX('Lease Cycles'!$BG$15:$BM$15,1,DB129),'Lease Cycles'!$AZ$15&lt;=DB$6),'Lease Cycles'!$C$15*'Lease Cycles'!$BA$15/12,IF(AND('Lease Cycles'!$AX$15&gt;=INDEX('Lease Cycles'!$BG$15:$BM$15,1,DB129),'Lease Cycles'!$AX$15&lt;=DB$6),'Lease Cycles'!$C$15*'Lease Cycles'!$AY$15/12,IF(AND('Lease Cycles'!$AV$15&gt;=INDEX('Lease Cycles'!$BG$15:$BM$15,1,DB129),'Lease Cycles'!$AV$15&lt;=DB$6),'Lease Cycles'!$C$15*'Lease Cycles'!$AW$15/12,IF(AND('Lease Cycles'!$AT$15&gt;=INDEX('Lease Cycles'!$BG$15:$BM$15,1,DB129),'Lease Cycles'!$AT$15&lt;=DB$6),'Lease Cycles'!$C$15*'Lease Cycles'!$AU$15/12,'Lease Cycles'!$C$15*INDEX('Lease Cycles'!$CB$15:$CH$15,1,DB129)*(1+INDEX('Lease Cycles'!$CI$15:$CO$15,1,DB129))^INT(INT(DB130/12)/INDEX('Lease Cycles'!$CP$15:$CV$15,1,DB129))/12)))),'Lease Cycles'!$C$15*INDEX('Lease Cycles'!$CB$15:$CH$15,1,DB129)*(1+INDEX('Lease Cycles'!$CI$15:$CO$15,1,DB129))^INT(INT(DB130/12)/INDEX('Lease Cycles'!$CP$15:$CV$15,1,DB129))/12))),IF('Lease Cycles'!$N$15=1,'Lease Cycles'!$C$15*'Lease Cycles'!$E$15*INDEX('Lease Cycles'!$HE$15:$HK$15,1,DB129)*(1+INDEX('Lease Cycles'!$GQ$15:$GW$15,1,DB129))^INT(INT((DB$6-INDEX('Lease Cycles'!$GJ$15:$GP$15,1,DB129))/12)/INDEX('Lease Cycles'!$GX$15:$HD$15,1,DB129))/12,0)))</f>
        <v>2241.8868468965998</v>
      </c>
      <c r="DC132" s="28">
        <f>IF(DC129=0,IF('Lease Cycles'!$F$15&gt;0,'Lease Cycles'!$C$15*'Lease Cycles'!$E$15/12,0),IF(DC131=1,IF('Lease Cycles'!$AT$15&gt;=9999,'Lease Cycles'!$C$15*INDEX('Lease Cycles'!$CB$15:$CH$15,1,DC129)*(1+INDEX('Lease Cycles'!$CI$15:$CO$15,1,DC129))^INT(INT(DC130/12)/INDEX('Lease Cycles'!$CP$15:$CV$15,1,DC129))/12,IF(DC129=1,IF(DC130&gt;=INDEX('Lease Cycles'!$DK$15:$DQ$15,1,DC129),IF(DC$6&gt;='Lease Cycles'!$AZ$15,'Lease Cycles'!$C$15*'Lease Cycles'!$BA$15/12,IF(DC$6&gt;='Lease Cycles'!$AX$15,'Lease Cycles'!$C$15*'Lease Cycles'!$AY$15/12,IF(DC$6&gt;='Lease Cycles'!$AV$15,'Lease Cycles'!$C$15*'Lease Cycles'!$AW$15/12,IF(DC$6&gt;='Lease Cycles'!$AT$15,'Lease Cycles'!$C$15*'Lease Cycles'!$AU$15/12,'Lease Cycles'!$C$15*INDEX('Lease Cycles'!$CB$15:$CH$15,1,DC129)*(1+INDEX('Lease Cycles'!$CI$15:$CO$15,1,DC129))^INT(INT(DC130/12)/INDEX('Lease Cycles'!$CP$15:$CV$15,1,DC129))/12)))),'Lease Cycles'!$C$15*INDEX('Lease Cycles'!$CB$15:$CH$15,1,DC129)*(1+INDEX('Lease Cycles'!$CI$15:$CO$15,1,DC129))^INT(INT(DC130/12)/INDEX('Lease Cycles'!$CP$15:$CV$15,1,DC129))/12),IF(INDEX('Lease Cycles'!$EF$15:$EL$15,1,DC129)=1,IF(AND('Lease Cycles'!$AZ$15&gt;=INDEX('Lease Cycles'!$BG$15:$BM$15,1,DC129),'Lease Cycles'!$AZ$15&lt;=DC$6),'Lease Cycles'!$C$15*'Lease Cycles'!$BA$15/12,IF(AND('Lease Cycles'!$AX$15&gt;=INDEX('Lease Cycles'!$BG$15:$BM$15,1,DC129),'Lease Cycles'!$AX$15&lt;=DC$6),'Lease Cycles'!$C$15*'Lease Cycles'!$AY$15/12,IF(AND('Lease Cycles'!$AV$15&gt;=INDEX('Lease Cycles'!$BG$15:$BM$15,1,DC129),'Lease Cycles'!$AV$15&lt;=DC$6),'Lease Cycles'!$C$15*'Lease Cycles'!$AW$15/12,IF(AND('Lease Cycles'!$AT$15&gt;=INDEX('Lease Cycles'!$BG$15:$BM$15,1,DC129),'Lease Cycles'!$AT$15&lt;=DC$6),'Lease Cycles'!$C$15*'Lease Cycles'!$AU$15/12,'Lease Cycles'!$C$15*INDEX('Lease Cycles'!$CB$15:$CH$15,1,DC129)*(1+INDEX('Lease Cycles'!$CI$15:$CO$15,1,DC129))^INT(INT(DC130/12)/INDEX('Lease Cycles'!$CP$15:$CV$15,1,DC129))/12)))),'Lease Cycles'!$C$15*INDEX('Lease Cycles'!$CB$15:$CH$15,1,DC129)*(1+INDEX('Lease Cycles'!$CI$15:$CO$15,1,DC129))^INT(INT(DC130/12)/INDEX('Lease Cycles'!$CP$15:$CV$15,1,DC129))/12))),IF('Lease Cycles'!$N$15=1,'Lease Cycles'!$C$15*'Lease Cycles'!$E$15*INDEX('Lease Cycles'!$HE$15:$HK$15,1,DC129)*(1+INDEX('Lease Cycles'!$GQ$15:$GW$15,1,DC129))^INT(INT((DC$6-INDEX('Lease Cycles'!$GJ$15:$GP$15,1,DC129))/12)/INDEX('Lease Cycles'!$GX$15:$HD$15,1,DC129))/12,0)))</f>
        <v>2241.8868468965998</v>
      </c>
      <c r="DD132" s="28">
        <f>IF(DD129=0,IF('Lease Cycles'!$F$15&gt;0,'Lease Cycles'!$C$15*'Lease Cycles'!$E$15/12,0),IF(DD131=1,IF('Lease Cycles'!$AT$15&gt;=9999,'Lease Cycles'!$C$15*INDEX('Lease Cycles'!$CB$15:$CH$15,1,DD129)*(1+INDEX('Lease Cycles'!$CI$15:$CO$15,1,DD129))^INT(INT(DD130/12)/INDEX('Lease Cycles'!$CP$15:$CV$15,1,DD129))/12,IF(DD129=1,IF(DD130&gt;=INDEX('Lease Cycles'!$DK$15:$DQ$15,1,DD129),IF(DD$6&gt;='Lease Cycles'!$AZ$15,'Lease Cycles'!$C$15*'Lease Cycles'!$BA$15/12,IF(DD$6&gt;='Lease Cycles'!$AX$15,'Lease Cycles'!$C$15*'Lease Cycles'!$AY$15/12,IF(DD$6&gt;='Lease Cycles'!$AV$15,'Lease Cycles'!$C$15*'Lease Cycles'!$AW$15/12,IF(DD$6&gt;='Lease Cycles'!$AT$15,'Lease Cycles'!$C$15*'Lease Cycles'!$AU$15/12,'Lease Cycles'!$C$15*INDEX('Lease Cycles'!$CB$15:$CH$15,1,DD129)*(1+INDEX('Lease Cycles'!$CI$15:$CO$15,1,DD129))^INT(INT(DD130/12)/INDEX('Lease Cycles'!$CP$15:$CV$15,1,DD129))/12)))),'Lease Cycles'!$C$15*INDEX('Lease Cycles'!$CB$15:$CH$15,1,DD129)*(1+INDEX('Lease Cycles'!$CI$15:$CO$15,1,DD129))^INT(INT(DD130/12)/INDEX('Lease Cycles'!$CP$15:$CV$15,1,DD129))/12),IF(INDEX('Lease Cycles'!$EF$15:$EL$15,1,DD129)=1,IF(AND('Lease Cycles'!$AZ$15&gt;=INDEX('Lease Cycles'!$BG$15:$BM$15,1,DD129),'Lease Cycles'!$AZ$15&lt;=DD$6),'Lease Cycles'!$C$15*'Lease Cycles'!$BA$15/12,IF(AND('Lease Cycles'!$AX$15&gt;=INDEX('Lease Cycles'!$BG$15:$BM$15,1,DD129),'Lease Cycles'!$AX$15&lt;=DD$6),'Lease Cycles'!$C$15*'Lease Cycles'!$AY$15/12,IF(AND('Lease Cycles'!$AV$15&gt;=INDEX('Lease Cycles'!$BG$15:$BM$15,1,DD129),'Lease Cycles'!$AV$15&lt;=DD$6),'Lease Cycles'!$C$15*'Lease Cycles'!$AW$15/12,IF(AND('Lease Cycles'!$AT$15&gt;=INDEX('Lease Cycles'!$BG$15:$BM$15,1,DD129),'Lease Cycles'!$AT$15&lt;=DD$6),'Lease Cycles'!$C$15*'Lease Cycles'!$AU$15/12,'Lease Cycles'!$C$15*INDEX('Lease Cycles'!$CB$15:$CH$15,1,DD129)*(1+INDEX('Lease Cycles'!$CI$15:$CO$15,1,DD129))^INT(INT(DD130/12)/INDEX('Lease Cycles'!$CP$15:$CV$15,1,DD129))/12)))),'Lease Cycles'!$C$15*INDEX('Lease Cycles'!$CB$15:$CH$15,1,DD129)*(1+INDEX('Lease Cycles'!$CI$15:$CO$15,1,DD129))^INT(INT(DD130/12)/INDEX('Lease Cycles'!$CP$15:$CV$15,1,DD129))/12))),IF('Lease Cycles'!$N$15=1,'Lease Cycles'!$C$15*'Lease Cycles'!$E$15*INDEX('Lease Cycles'!$HE$15:$HK$15,1,DD129)*(1+INDEX('Lease Cycles'!$GQ$15:$GW$15,1,DD129))^INT(INT((DD$6-INDEX('Lease Cycles'!$GJ$15:$GP$15,1,DD129))/12)/INDEX('Lease Cycles'!$GX$15:$HD$15,1,DD129))/12,0)))</f>
        <v>2241.8868468965998</v>
      </c>
      <c r="DE132" s="28">
        <f>IF(DE129=0,IF('Lease Cycles'!$F$15&gt;0,'Lease Cycles'!$C$15*'Lease Cycles'!$E$15/12,0),IF(DE131=1,IF('Lease Cycles'!$AT$15&gt;=9999,'Lease Cycles'!$C$15*INDEX('Lease Cycles'!$CB$15:$CH$15,1,DE129)*(1+INDEX('Lease Cycles'!$CI$15:$CO$15,1,DE129))^INT(INT(DE130/12)/INDEX('Lease Cycles'!$CP$15:$CV$15,1,DE129))/12,IF(DE129=1,IF(DE130&gt;=INDEX('Lease Cycles'!$DK$15:$DQ$15,1,DE129),IF(DE$6&gt;='Lease Cycles'!$AZ$15,'Lease Cycles'!$C$15*'Lease Cycles'!$BA$15/12,IF(DE$6&gt;='Lease Cycles'!$AX$15,'Lease Cycles'!$C$15*'Lease Cycles'!$AY$15/12,IF(DE$6&gt;='Lease Cycles'!$AV$15,'Lease Cycles'!$C$15*'Lease Cycles'!$AW$15/12,IF(DE$6&gt;='Lease Cycles'!$AT$15,'Lease Cycles'!$C$15*'Lease Cycles'!$AU$15/12,'Lease Cycles'!$C$15*INDEX('Lease Cycles'!$CB$15:$CH$15,1,DE129)*(1+INDEX('Lease Cycles'!$CI$15:$CO$15,1,DE129))^INT(INT(DE130/12)/INDEX('Lease Cycles'!$CP$15:$CV$15,1,DE129))/12)))),'Lease Cycles'!$C$15*INDEX('Lease Cycles'!$CB$15:$CH$15,1,DE129)*(1+INDEX('Lease Cycles'!$CI$15:$CO$15,1,DE129))^INT(INT(DE130/12)/INDEX('Lease Cycles'!$CP$15:$CV$15,1,DE129))/12),IF(INDEX('Lease Cycles'!$EF$15:$EL$15,1,DE129)=1,IF(AND('Lease Cycles'!$AZ$15&gt;=INDEX('Lease Cycles'!$BG$15:$BM$15,1,DE129),'Lease Cycles'!$AZ$15&lt;=DE$6),'Lease Cycles'!$C$15*'Lease Cycles'!$BA$15/12,IF(AND('Lease Cycles'!$AX$15&gt;=INDEX('Lease Cycles'!$BG$15:$BM$15,1,DE129),'Lease Cycles'!$AX$15&lt;=DE$6),'Lease Cycles'!$C$15*'Lease Cycles'!$AY$15/12,IF(AND('Lease Cycles'!$AV$15&gt;=INDEX('Lease Cycles'!$BG$15:$BM$15,1,DE129),'Lease Cycles'!$AV$15&lt;=DE$6),'Lease Cycles'!$C$15*'Lease Cycles'!$AW$15/12,IF(AND('Lease Cycles'!$AT$15&gt;=INDEX('Lease Cycles'!$BG$15:$BM$15,1,DE129),'Lease Cycles'!$AT$15&lt;=DE$6),'Lease Cycles'!$C$15*'Lease Cycles'!$AU$15/12,'Lease Cycles'!$C$15*INDEX('Lease Cycles'!$CB$15:$CH$15,1,DE129)*(1+INDEX('Lease Cycles'!$CI$15:$CO$15,1,DE129))^INT(INT(DE130/12)/INDEX('Lease Cycles'!$CP$15:$CV$15,1,DE129))/12)))),'Lease Cycles'!$C$15*INDEX('Lease Cycles'!$CB$15:$CH$15,1,DE129)*(1+INDEX('Lease Cycles'!$CI$15:$CO$15,1,DE129))^INT(INT(DE130/12)/INDEX('Lease Cycles'!$CP$15:$CV$15,1,DE129))/12))),IF('Lease Cycles'!$N$15=1,'Lease Cycles'!$C$15*'Lease Cycles'!$E$15*INDEX('Lease Cycles'!$HE$15:$HK$15,1,DE129)*(1+INDEX('Lease Cycles'!$GQ$15:$GW$15,1,DE129))^INT(INT((DE$6-INDEX('Lease Cycles'!$GJ$15:$GP$15,1,DE129))/12)/INDEX('Lease Cycles'!$GX$15:$HD$15,1,DE129))/12,0)))</f>
        <v>2309.143452303498</v>
      </c>
      <c r="DF132" s="28">
        <f>IF(DF129=0,IF('Lease Cycles'!$F$15&gt;0,'Lease Cycles'!$C$15*'Lease Cycles'!$E$15/12,0),IF(DF131=1,IF('Lease Cycles'!$AT$15&gt;=9999,'Lease Cycles'!$C$15*INDEX('Lease Cycles'!$CB$15:$CH$15,1,DF129)*(1+INDEX('Lease Cycles'!$CI$15:$CO$15,1,DF129))^INT(INT(DF130/12)/INDEX('Lease Cycles'!$CP$15:$CV$15,1,DF129))/12,IF(DF129=1,IF(DF130&gt;=INDEX('Lease Cycles'!$DK$15:$DQ$15,1,DF129),IF(DF$6&gt;='Lease Cycles'!$AZ$15,'Lease Cycles'!$C$15*'Lease Cycles'!$BA$15/12,IF(DF$6&gt;='Lease Cycles'!$AX$15,'Lease Cycles'!$C$15*'Lease Cycles'!$AY$15/12,IF(DF$6&gt;='Lease Cycles'!$AV$15,'Lease Cycles'!$C$15*'Lease Cycles'!$AW$15/12,IF(DF$6&gt;='Lease Cycles'!$AT$15,'Lease Cycles'!$C$15*'Lease Cycles'!$AU$15/12,'Lease Cycles'!$C$15*INDEX('Lease Cycles'!$CB$15:$CH$15,1,DF129)*(1+INDEX('Lease Cycles'!$CI$15:$CO$15,1,DF129))^INT(INT(DF130/12)/INDEX('Lease Cycles'!$CP$15:$CV$15,1,DF129))/12)))),'Lease Cycles'!$C$15*INDEX('Lease Cycles'!$CB$15:$CH$15,1,DF129)*(1+INDEX('Lease Cycles'!$CI$15:$CO$15,1,DF129))^INT(INT(DF130/12)/INDEX('Lease Cycles'!$CP$15:$CV$15,1,DF129))/12),IF(INDEX('Lease Cycles'!$EF$15:$EL$15,1,DF129)=1,IF(AND('Lease Cycles'!$AZ$15&gt;=INDEX('Lease Cycles'!$BG$15:$BM$15,1,DF129),'Lease Cycles'!$AZ$15&lt;=DF$6),'Lease Cycles'!$C$15*'Lease Cycles'!$BA$15/12,IF(AND('Lease Cycles'!$AX$15&gt;=INDEX('Lease Cycles'!$BG$15:$BM$15,1,DF129),'Lease Cycles'!$AX$15&lt;=DF$6),'Lease Cycles'!$C$15*'Lease Cycles'!$AY$15/12,IF(AND('Lease Cycles'!$AV$15&gt;=INDEX('Lease Cycles'!$BG$15:$BM$15,1,DF129),'Lease Cycles'!$AV$15&lt;=DF$6),'Lease Cycles'!$C$15*'Lease Cycles'!$AW$15/12,IF(AND('Lease Cycles'!$AT$15&gt;=INDEX('Lease Cycles'!$BG$15:$BM$15,1,DF129),'Lease Cycles'!$AT$15&lt;=DF$6),'Lease Cycles'!$C$15*'Lease Cycles'!$AU$15/12,'Lease Cycles'!$C$15*INDEX('Lease Cycles'!$CB$15:$CH$15,1,DF129)*(1+INDEX('Lease Cycles'!$CI$15:$CO$15,1,DF129))^INT(INT(DF130/12)/INDEX('Lease Cycles'!$CP$15:$CV$15,1,DF129))/12)))),'Lease Cycles'!$C$15*INDEX('Lease Cycles'!$CB$15:$CH$15,1,DF129)*(1+INDEX('Lease Cycles'!$CI$15:$CO$15,1,DF129))^INT(INT(DF130/12)/INDEX('Lease Cycles'!$CP$15:$CV$15,1,DF129))/12))),IF('Lease Cycles'!$N$15=1,'Lease Cycles'!$C$15*'Lease Cycles'!$E$15*INDEX('Lease Cycles'!$HE$15:$HK$15,1,DF129)*(1+INDEX('Lease Cycles'!$GQ$15:$GW$15,1,DF129))^INT(INT((DF$6-INDEX('Lease Cycles'!$GJ$15:$GP$15,1,DF129))/12)/INDEX('Lease Cycles'!$GX$15:$HD$15,1,DF129))/12,0)))</f>
        <v>2309.143452303498</v>
      </c>
      <c r="DG132" s="28">
        <f>IF(DG129=0,IF('Lease Cycles'!$F$15&gt;0,'Lease Cycles'!$C$15*'Lease Cycles'!$E$15/12,0),IF(DG131=1,IF('Lease Cycles'!$AT$15&gt;=9999,'Lease Cycles'!$C$15*INDEX('Lease Cycles'!$CB$15:$CH$15,1,DG129)*(1+INDEX('Lease Cycles'!$CI$15:$CO$15,1,DG129))^INT(INT(DG130/12)/INDEX('Lease Cycles'!$CP$15:$CV$15,1,DG129))/12,IF(DG129=1,IF(DG130&gt;=INDEX('Lease Cycles'!$DK$15:$DQ$15,1,DG129),IF(DG$6&gt;='Lease Cycles'!$AZ$15,'Lease Cycles'!$C$15*'Lease Cycles'!$BA$15/12,IF(DG$6&gt;='Lease Cycles'!$AX$15,'Lease Cycles'!$C$15*'Lease Cycles'!$AY$15/12,IF(DG$6&gt;='Lease Cycles'!$AV$15,'Lease Cycles'!$C$15*'Lease Cycles'!$AW$15/12,IF(DG$6&gt;='Lease Cycles'!$AT$15,'Lease Cycles'!$C$15*'Lease Cycles'!$AU$15/12,'Lease Cycles'!$C$15*INDEX('Lease Cycles'!$CB$15:$CH$15,1,DG129)*(1+INDEX('Lease Cycles'!$CI$15:$CO$15,1,DG129))^INT(INT(DG130/12)/INDEX('Lease Cycles'!$CP$15:$CV$15,1,DG129))/12)))),'Lease Cycles'!$C$15*INDEX('Lease Cycles'!$CB$15:$CH$15,1,DG129)*(1+INDEX('Lease Cycles'!$CI$15:$CO$15,1,DG129))^INT(INT(DG130/12)/INDEX('Lease Cycles'!$CP$15:$CV$15,1,DG129))/12),IF(INDEX('Lease Cycles'!$EF$15:$EL$15,1,DG129)=1,IF(AND('Lease Cycles'!$AZ$15&gt;=INDEX('Lease Cycles'!$BG$15:$BM$15,1,DG129),'Lease Cycles'!$AZ$15&lt;=DG$6),'Lease Cycles'!$C$15*'Lease Cycles'!$BA$15/12,IF(AND('Lease Cycles'!$AX$15&gt;=INDEX('Lease Cycles'!$BG$15:$BM$15,1,DG129),'Lease Cycles'!$AX$15&lt;=DG$6),'Lease Cycles'!$C$15*'Lease Cycles'!$AY$15/12,IF(AND('Lease Cycles'!$AV$15&gt;=INDEX('Lease Cycles'!$BG$15:$BM$15,1,DG129),'Lease Cycles'!$AV$15&lt;=DG$6),'Lease Cycles'!$C$15*'Lease Cycles'!$AW$15/12,IF(AND('Lease Cycles'!$AT$15&gt;=INDEX('Lease Cycles'!$BG$15:$BM$15,1,DG129),'Lease Cycles'!$AT$15&lt;=DG$6),'Lease Cycles'!$C$15*'Lease Cycles'!$AU$15/12,'Lease Cycles'!$C$15*INDEX('Lease Cycles'!$CB$15:$CH$15,1,DG129)*(1+INDEX('Lease Cycles'!$CI$15:$CO$15,1,DG129))^INT(INT(DG130/12)/INDEX('Lease Cycles'!$CP$15:$CV$15,1,DG129))/12)))),'Lease Cycles'!$C$15*INDEX('Lease Cycles'!$CB$15:$CH$15,1,DG129)*(1+INDEX('Lease Cycles'!$CI$15:$CO$15,1,DG129))^INT(INT(DG130/12)/INDEX('Lease Cycles'!$CP$15:$CV$15,1,DG129))/12))),IF('Lease Cycles'!$N$15=1,'Lease Cycles'!$C$15*'Lease Cycles'!$E$15*INDEX('Lease Cycles'!$HE$15:$HK$15,1,DG129)*(1+INDEX('Lease Cycles'!$GQ$15:$GW$15,1,DG129))^INT(INT((DG$6-INDEX('Lease Cycles'!$GJ$15:$GP$15,1,DG129))/12)/INDEX('Lease Cycles'!$GX$15:$HD$15,1,DG129))/12,0)))</f>
        <v>2309.143452303498</v>
      </c>
      <c r="DH132" s="28">
        <f>IF(DH129=0,IF('Lease Cycles'!$F$15&gt;0,'Lease Cycles'!$C$15*'Lease Cycles'!$E$15/12,0),IF(DH131=1,IF('Lease Cycles'!$AT$15&gt;=9999,'Lease Cycles'!$C$15*INDEX('Lease Cycles'!$CB$15:$CH$15,1,DH129)*(1+INDEX('Lease Cycles'!$CI$15:$CO$15,1,DH129))^INT(INT(DH130/12)/INDEX('Lease Cycles'!$CP$15:$CV$15,1,DH129))/12,IF(DH129=1,IF(DH130&gt;=INDEX('Lease Cycles'!$DK$15:$DQ$15,1,DH129),IF(DH$6&gt;='Lease Cycles'!$AZ$15,'Lease Cycles'!$C$15*'Lease Cycles'!$BA$15/12,IF(DH$6&gt;='Lease Cycles'!$AX$15,'Lease Cycles'!$C$15*'Lease Cycles'!$AY$15/12,IF(DH$6&gt;='Lease Cycles'!$AV$15,'Lease Cycles'!$C$15*'Lease Cycles'!$AW$15/12,IF(DH$6&gt;='Lease Cycles'!$AT$15,'Lease Cycles'!$C$15*'Lease Cycles'!$AU$15/12,'Lease Cycles'!$C$15*INDEX('Lease Cycles'!$CB$15:$CH$15,1,DH129)*(1+INDEX('Lease Cycles'!$CI$15:$CO$15,1,DH129))^INT(INT(DH130/12)/INDEX('Lease Cycles'!$CP$15:$CV$15,1,DH129))/12)))),'Lease Cycles'!$C$15*INDEX('Lease Cycles'!$CB$15:$CH$15,1,DH129)*(1+INDEX('Lease Cycles'!$CI$15:$CO$15,1,DH129))^INT(INT(DH130/12)/INDEX('Lease Cycles'!$CP$15:$CV$15,1,DH129))/12),IF(INDEX('Lease Cycles'!$EF$15:$EL$15,1,DH129)=1,IF(AND('Lease Cycles'!$AZ$15&gt;=INDEX('Lease Cycles'!$BG$15:$BM$15,1,DH129),'Lease Cycles'!$AZ$15&lt;=DH$6),'Lease Cycles'!$C$15*'Lease Cycles'!$BA$15/12,IF(AND('Lease Cycles'!$AX$15&gt;=INDEX('Lease Cycles'!$BG$15:$BM$15,1,DH129),'Lease Cycles'!$AX$15&lt;=DH$6),'Lease Cycles'!$C$15*'Lease Cycles'!$AY$15/12,IF(AND('Lease Cycles'!$AV$15&gt;=INDEX('Lease Cycles'!$BG$15:$BM$15,1,DH129),'Lease Cycles'!$AV$15&lt;=DH$6),'Lease Cycles'!$C$15*'Lease Cycles'!$AW$15/12,IF(AND('Lease Cycles'!$AT$15&gt;=INDEX('Lease Cycles'!$BG$15:$BM$15,1,DH129),'Lease Cycles'!$AT$15&lt;=DH$6),'Lease Cycles'!$C$15*'Lease Cycles'!$AU$15/12,'Lease Cycles'!$C$15*INDEX('Lease Cycles'!$CB$15:$CH$15,1,DH129)*(1+INDEX('Lease Cycles'!$CI$15:$CO$15,1,DH129))^INT(INT(DH130/12)/INDEX('Lease Cycles'!$CP$15:$CV$15,1,DH129))/12)))),'Lease Cycles'!$C$15*INDEX('Lease Cycles'!$CB$15:$CH$15,1,DH129)*(1+INDEX('Lease Cycles'!$CI$15:$CO$15,1,DH129))^INT(INT(DH130/12)/INDEX('Lease Cycles'!$CP$15:$CV$15,1,DH129))/12))),IF('Lease Cycles'!$N$15=1,'Lease Cycles'!$C$15*'Lease Cycles'!$E$15*INDEX('Lease Cycles'!$HE$15:$HK$15,1,DH129)*(1+INDEX('Lease Cycles'!$GQ$15:$GW$15,1,DH129))^INT(INT((DH$6-INDEX('Lease Cycles'!$GJ$15:$GP$15,1,DH129))/12)/INDEX('Lease Cycles'!$GX$15:$HD$15,1,DH129))/12,0)))</f>
        <v>2309.143452303498</v>
      </c>
      <c r="DI132" s="28">
        <f>IF(DI129=0,IF('Lease Cycles'!$F$15&gt;0,'Lease Cycles'!$C$15*'Lease Cycles'!$E$15/12,0),IF(DI131=1,IF('Lease Cycles'!$AT$15&gt;=9999,'Lease Cycles'!$C$15*INDEX('Lease Cycles'!$CB$15:$CH$15,1,DI129)*(1+INDEX('Lease Cycles'!$CI$15:$CO$15,1,DI129))^INT(INT(DI130/12)/INDEX('Lease Cycles'!$CP$15:$CV$15,1,DI129))/12,IF(DI129=1,IF(DI130&gt;=INDEX('Lease Cycles'!$DK$15:$DQ$15,1,DI129),IF(DI$6&gt;='Lease Cycles'!$AZ$15,'Lease Cycles'!$C$15*'Lease Cycles'!$BA$15/12,IF(DI$6&gt;='Lease Cycles'!$AX$15,'Lease Cycles'!$C$15*'Lease Cycles'!$AY$15/12,IF(DI$6&gt;='Lease Cycles'!$AV$15,'Lease Cycles'!$C$15*'Lease Cycles'!$AW$15/12,IF(DI$6&gt;='Lease Cycles'!$AT$15,'Lease Cycles'!$C$15*'Lease Cycles'!$AU$15/12,'Lease Cycles'!$C$15*INDEX('Lease Cycles'!$CB$15:$CH$15,1,DI129)*(1+INDEX('Lease Cycles'!$CI$15:$CO$15,1,DI129))^INT(INT(DI130/12)/INDEX('Lease Cycles'!$CP$15:$CV$15,1,DI129))/12)))),'Lease Cycles'!$C$15*INDEX('Lease Cycles'!$CB$15:$CH$15,1,DI129)*(1+INDEX('Lease Cycles'!$CI$15:$CO$15,1,DI129))^INT(INT(DI130/12)/INDEX('Lease Cycles'!$CP$15:$CV$15,1,DI129))/12),IF(INDEX('Lease Cycles'!$EF$15:$EL$15,1,DI129)=1,IF(AND('Lease Cycles'!$AZ$15&gt;=INDEX('Lease Cycles'!$BG$15:$BM$15,1,DI129),'Lease Cycles'!$AZ$15&lt;=DI$6),'Lease Cycles'!$C$15*'Lease Cycles'!$BA$15/12,IF(AND('Lease Cycles'!$AX$15&gt;=INDEX('Lease Cycles'!$BG$15:$BM$15,1,DI129),'Lease Cycles'!$AX$15&lt;=DI$6),'Lease Cycles'!$C$15*'Lease Cycles'!$AY$15/12,IF(AND('Lease Cycles'!$AV$15&gt;=INDEX('Lease Cycles'!$BG$15:$BM$15,1,DI129),'Lease Cycles'!$AV$15&lt;=DI$6),'Lease Cycles'!$C$15*'Lease Cycles'!$AW$15/12,IF(AND('Lease Cycles'!$AT$15&gt;=INDEX('Lease Cycles'!$BG$15:$BM$15,1,DI129),'Lease Cycles'!$AT$15&lt;=DI$6),'Lease Cycles'!$C$15*'Lease Cycles'!$AU$15/12,'Lease Cycles'!$C$15*INDEX('Lease Cycles'!$CB$15:$CH$15,1,DI129)*(1+INDEX('Lease Cycles'!$CI$15:$CO$15,1,DI129))^INT(INT(DI130/12)/INDEX('Lease Cycles'!$CP$15:$CV$15,1,DI129))/12)))),'Lease Cycles'!$C$15*INDEX('Lease Cycles'!$CB$15:$CH$15,1,DI129)*(1+INDEX('Lease Cycles'!$CI$15:$CO$15,1,DI129))^INT(INT(DI130/12)/INDEX('Lease Cycles'!$CP$15:$CV$15,1,DI129))/12))),IF('Lease Cycles'!$N$15=1,'Lease Cycles'!$C$15*'Lease Cycles'!$E$15*INDEX('Lease Cycles'!$HE$15:$HK$15,1,DI129)*(1+INDEX('Lease Cycles'!$GQ$15:$GW$15,1,DI129))^INT(INT((DI$6-INDEX('Lease Cycles'!$GJ$15:$GP$15,1,DI129))/12)/INDEX('Lease Cycles'!$GX$15:$HD$15,1,DI129))/12,0)))</f>
        <v>2309.143452303498</v>
      </c>
      <c r="DJ132" s="28">
        <f>IF(DJ129=0,IF('Lease Cycles'!$F$15&gt;0,'Lease Cycles'!$C$15*'Lease Cycles'!$E$15/12,0),IF(DJ131=1,IF('Lease Cycles'!$AT$15&gt;=9999,'Lease Cycles'!$C$15*INDEX('Lease Cycles'!$CB$15:$CH$15,1,DJ129)*(1+INDEX('Lease Cycles'!$CI$15:$CO$15,1,DJ129))^INT(INT(DJ130/12)/INDEX('Lease Cycles'!$CP$15:$CV$15,1,DJ129))/12,IF(DJ129=1,IF(DJ130&gt;=INDEX('Lease Cycles'!$DK$15:$DQ$15,1,DJ129),IF(DJ$6&gt;='Lease Cycles'!$AZ$15,'Lease Cycles'!$C$15*'Lease Cycles'!$BA$15/12,IF(DJ$6&gt;='Lease Cycles'!$AX$15,'Lease Cycles'!$C$15*'Lease Cycles'!$AY$15/12,IF(DJ$6&gt;='Lease Cycles'!$AV$15,'Lease Cycles'!$C$15*'Lease Cycles'!$AW$15/12,IF(DJ$6&gt;='Lease Cycles'!$AT$15,'Lease Cycles'!$C$15*'Lease Cycles'!$AU$15/12,'Lease Cycles'!$C$15*INDEX('Lease Cycles'!$CB$15:$CH$15,1,DJ129)*(1+INDEX('Lease Cycles'!$CI$15:$CO$15,1,DJ129))^INT(INT(DJ130/12)/INDEX('Lease Cycles'!$CP$15:$CV$15,1,DJ129))/12)))),'Lease Cycles'!$C$15*INDEX('Lease Cycles'!$CB$15:$CH$15,1,DJ129)*(1+INDEX('Lease Cycles'!$CI$15:$CO$15,1,DJ129))^INT(INT(DJ130/12)/INDEX('Lease Cycles'!$CP$15:$CV$15,1,DJ129))/12),IF(INDEX('Lease Cycles'!$EF$15:$EL$15,1,DJ129)=1,IF(AND('Lease Cycles'!$AZ$15&gt;=INDEX('Lease Cycles'!$BG$15:$BM$15,1,DJ129),'Lease Cycles'!$AZ$15&lt;=DJ$6),'Lease Cycles'!$C$15*'Lease Cycles'!$BA$15/12,IF(AND('Lease Cycles'!$AX$15&gt;=INDEX('Lease Cycles'!$BG$15:$BM$15,1,DJ129),'Lease Cycles'!$AX$15&lt;=DJ$6),'Lease Cycles'!$C$15*'Lease Cycles'!$AY$15/12,IF(AND('Lease Cycles'!$AV$15&gt;=INDEX('Lease Cycles'!$BG$15:$BM$15,1,DJ129),'Lease Cycles'!$AV$15&lt;=DJ$6),'Lease Cycles'!$C$15*'Lease Cycles'!$AW$15/12,IF(AND('Lease Cycles'!$AT$15&gt;=INDEX('Lease Cycles'!$BG$15:$BM$15,1,DJ129),'Lease Cycles'!$AT$15&lt;=DJ$6),'Lease Cycles'!$C$15*'Lease Cycles'!$AU$15/12,'Lease Cycles'!$C$15*INDEX('Lease Cycles'!$CB$15:$CH$15,1,DJ129)*(1+INDEX('Lease Cycles'!$CI$15:$CO$15,1,DJ129))^INT(INT(DJ130/12)/INDEX('Lease Cycles'!$CP$15:$CV$15,1,DJ129))/12)))),'Lease Cycles'!$C$15*INDEX('Lease Cycles'!$CB$15:$CH$15,1,DJ129)*(1+INDEX('Lease Cycles'!$CI$15:$CO$15,1,DJ129))^INT(INT(DJ130/12)/INDEX('Lease Cycles'!$CP$15:$CV$15,1,DJ129))/12))),IF('Lease Cycles'!$N$15=1,'Lease Cycles'!$C$15*'Lease Cycles'!$E$15*INDEX('Lease Cycles'!$HE$15:$HK$15,1,DJ129)*(1+INDEX('Lease Cycles'!$GQ$15:$GW$15,1,DJ129))^INT(INT((DJ$6-INDEX('Lease Cycles'!$GJ$15:$GP$15,1,DJ129))/12)/INDEX('Lease Cycles'!$GX$15:$HD$15,1,DJ129))/12,0)))</f>
        <v>2309.143452303498</v>
      </c>
      <c r="DK132" s="28">
        <f>IF(DK129=0,IF('Lease Cycles'!$F$15&gt;0,'Lease Cycles'!$C$15*'Lease Cycles'!$E$15/12,0),IF(DK131=1,IF('Lease Cycles'!$AT$15&gt;=9999,'Lease Cycles'!$C$15*INDEX('Lease Cycles'!$CB$15:$CH$15,1,DK129)*(1+INDEX('Lease Cycles'!$CI$15:$CO$15,1,DK129))^INT(INT(DK130/12)/INDEX('Lease Cycles'!$CP$15:$CV$15,1,DK129))/12,IF(DK129=1,IF(DK130&gt;=INDEX('Lease Cycles'!$DK$15:$DQ$15,1,DK129),IF(DK$6&gt;='Lease Cycles'!$AZ$15,'Lease Cycles'!$C$15*'Lease Cycles'!$BA$15/12,IF(DK$6&gt;='Lease Cycles'!$AX$15,'Lease Cycles'!$C$15*'Lease Cycles'!$AY$15/12,IF(DK$6&gt;='Lease Cycles'!$AV$15,'Lease Cycles'!$C$15*'Lease Cycles'!$AW$15/12,IF(DK$6&gt;='Lease Cycles'!$AT$15,'Lease Cycles'!$C$15*'Lease Cycles'!$AU$15/12,'Lease Cycles'!$C$15*INDEX('Lease Cycles'!$CB$15:$CH$15,1,DK129)*(1+INDEX('Lease Cycles'!$CI$15:$CO$15,1,DK129))^INT(INT(DK130/12)/INDEX('Lease Cycles'!$CP$15:$CV$15,1,DK129))/12)))),'Lease Cycles'!$C$15*INDEX('Lease Cycles'!$CB$15:$CH$15,1,DK129)*(1+INDEX('Lease Cycles'!$CI$15:$CO$15,1,DK129))^INT(INT(DK130/12)/INDEX('Lease Cycles'!$CP$15:$CV$15,1,DK129))/12),IF(INDEX('Lease Cycles'!$EF$15:$EL$15,1,DK129)=1,IF(AND('Lease Cycles'!$AZ$15&gt;=INDEX('Lease Cycles'!$BG$15:$BM$15,1,DK129),'Lease Cycles'!$AZ$15&lt;=DK$6),'Lease Cycles'!$C$15*'Lease Cycles'!$BA$15/12,IF(AND('Lease Cycles'!$AX$15&gt;=INDEX('Lease Cycles'!$BG$15:$BM$15,1,DK129),'Lease Cycles'!$AX$15&lt;=DK$6),'Lease Cycles'!$C$15*'Lease Cycles'!$AY$15/12,IF(AND('Lease Cycles'!$AV$15&gt;=INDEX('Lease Cycles'!$BG$15:$BM$15,1,DK129),'Lease Cycles'!$AV$15&lt;=DK$6),'Lease Cycles'!$C$15*'Lease Cycles'!$AW$15/12,IF(AND('Lease Cycles'!$AT$15&gt;=INDEX('Lease Cycles'!$BG$15:$BM$15,1,DK129),'Lease Cycles'!$AT$15&lt;=DK$6),'Lease Cycles'!$C$15*'Lease Cycles'!$AU$15/12,'Lease Cycles'!$C$15*INDEX('Lease Cycles'!$CB$15:$CH$15,1,DK129)*(1+INDEX('Lease Cycles'!$CI$15:$CO$15,1,DK129))^INT(INT(DK130/12)/INDEX('Lease Cycles'!$CP$15:$CV$15,1,DK129))/12)))),'Lease Cycles'!$C$15*INDEX('Lease Cycles'!$CB$15:$CH$15,1,DK129)*(1+INDEX('Lease Cycles'!$CI$15:$CO$15,1,DK129))^INT(INT(DK130/12)/INDEX('Lease Cycles'!$CP$15:$CV$15,1,DK129))/12))),IF('Lease Cycles'!$N$15=1,'Lease Cycles'!$C$15*'Lease Cycles'!$E$15*INDEX('Lease Cycles'!$HE$15:$HK$15,1,DK129)*(1+INDEX('Lease Cycles'!$GQ$15:$GW$15,1,DK129))^INT(INT((DK$6-INDEX('Lease Cycles'!$GJ$15:$GP$15,1,DK129))/12)/INDEX('Lease Cycles'!$GX$15:$HD$15,1,DK129))/12,0)))</f>
        <v>2309.143452303498</v>
      </c>
      <c r="DL132" s="28">
        <f>IF(DL129=0,IF('Lease Cycles'!$F$15&gt;0,'Lease Cycles'!$C$15*'Lease Cycles'!$E$15/12,0),IF(DL131=1,IF('Lease Cycles'!$AT$15&gt;=9999,'Lease Cycles'!$C$15*INDEX('Lease Cycles'!$CB$15:$CH$15,1,DL129)*(1+INDEX('Lease Cycles'!$CI$15:$CO$15,1,DL129))^INT(INT(DL130/12)/INDEX('Lease Cycles'!$CP$15:$CV$15,1,DL129))/12,IF(DL129=1,IF(DL130&gt;=INDEX('Lease Cycles'!$DK$15:$DQ$15,1,DL129),IF(DL$6&gt;='Lease Cycles'!$AZ$15,'Lease Cycles'!$C$15*'Lease Cycles'!$BA$15/12,IF(DL$6&gt;='Lease Cycles'!$AX$15,'Lease Cycles'!$C$15*'Lease Cycles'!$AY$15/12,IF(DL$6&gt;='Lease Cycles'!$AV$15,'Lease Cycles'!$C$15*'Lease Cycles'!$AW$15/12,IF(DL$6&gt;='Lease Cycles'!$AT$15,'Lease Cycles'!$C$15*'Lease Cycles'!$AU$15/12,'Lease Cycles'!$C$15*INDEX('Lease Cycles'!$CB$15:$CH$15,1,DL129)*(1+INDEX('Lease Cycles'!$CI$15:$CO$15,1,DL129))^INT(INT(DL130/12)/INDEX('Lease Cycles'!$CP$15:$CV$15,1,DL129))/12)))),'Lease Cycles'!$C$15*INDEX('Lease Cycles'!$CB$15:$CH$15,1,DL129)*(1+INDEX('Lease Cycles'!$CI$15:$CO$15,1,DL129))^INT(INT(DL130/12)/INDEX('Lease Cycles'!$CP$15:$CV$15,1,DL129))/12),IF(INDEX('Lease Cycles'!$EF$15:$EL$15,1,DL129)=1,IF(AND('Lease Cycles'!$AZ$15&gt;=INDEX('Lease Cycles'!$BG$15:$BM$15,1,DL129),'Lease Cycles'!$AZ$15&lt;=DL$6),'Lease Cycles'!$C$15*'Lease Cycles'!$BA$15/12,IF(AND('Lease Cycles'!$AX$15&gt;=INDEX('Lease Cycles'!$BG$15:$BM$15,1,DL129),'Lease Cycles'!$AX$15&lt;=DL$6),'Lease Cycles'!$C$15*'Lease Cycles'!$AY$15/12,IF(AND('Lease Cycles'!$AV$15&gt;=INDEX('Lease Cycles'!$BG$15:$BM$15,1,DL129),'Lease Cycles'!$AV$15&lt;=DL$6),'Lease Cycles'!$C$15*'Lease Cycles'!$AW$15/12,IF(AND('Lease Cycles'!$AT$15&gt;=INDEX('Lease Cycles'!$BG$15:$BM$15,1,DL129),'Lease Cycles'!$AT$15&lt;=DL$6),'Lease Cycles'!$C$15*'Lease Cycles'!$AU$15/12,'Lease Cycles'!$C$15*INDEX('Lease Cycles'!$CB$15:$CH$15,1,DL129)*(1+INDEX('Lease Cycles'!$CI$15:$CO$15,1,DL129))^INT(INT(DL130/12)/INDEX('Lease Cycles'!$CP$15:$CV$15,1,DL129))/12)))),'Lease Cycles'!$C$15*INDEX('Lease Cycles'!$CB$15:$CH$15,1,DL129)*(1+INDEX('Lease Cycles'!$CI$15:$CO$15,1,DL129))^INT(INT(DL130/12)/INDEX('Lease Cycles'!$CP$15:$CV$15,1,DL129))/12))),IF('Lease Cycles'!$N$15=1,'Lease Cycles'!$C$15*'Lease Cycles'!$E$15*INDEX('Lease Cycles'!$HE$15:$HK$15,1,DL129)*(1+INDEX('Lease Cycles'!$GQ$15:$GW$15,1,DL129))^INT(INT((DL$6-INDEX('Lease Cycles'!$GJ$15:$GP$15,1,DL129))/12)/INDEX('Lease Cycles'!$GX$15:$HD$15,1,DL129))/12,0)))</f>
        <v>2309.143452303498</v>
      </c>
      <c r="DM132" s="28">
        <f>IF(DM129=0,IF('Lease Cycles'!$F$15&gt;0,'Lease Cycles'!$C$15*'Lease Cycles'!$E$15/12,0),IF(DM131=1,IF('Lease Cycles'!$AT$15&gt;=9999,'Lease Cycles'!$C$15*INDEX('Lease Cycles'!$CB$15:$CH$15,1,DM129)*(1+INDEX('Lease Cycles'!$CI$15:$CO$15,1,DM129))^INT(INT(DM130/12)/INDEX('Lease Cycles'!$CP$15:$CV$15,1,DM129))/12,IF(DM129=1,IF(DM130&gt;=INDEX('Lease Cycles'!$DK$15:$DQ$15,1,DM129),IF(DM$6&gt;='Lease Cycles'!$AZ$15,'Lease Cycles'!$C$15*'Lease Cycles'!$BA$15/12,IF(DM$6&gt;='Lease Cycles'!$AX$15,'Lease Cycles'!$C$15*'Lease Cycles'!$AY$15/12,IF(DM$6&gt;='Lease Cycles'!$AV$15,'Lease Cycles'!$C$15*'Lease Cycles'!$AW$15/12,IF(DM$6&gt;='Lease Cycles'!$AT$15,'Lease Cycles'!$C$15*'Lease Cycles'!$AU$15/12,'Lease Cycles'!$C$15*INDEX('Lease Cycles'!$CB$15:$CH$15,1,DM129)*(1+INDEX('Lease Cycles'!$CI$15:$CO$15,1,DM129))^INT(INT(DM130/12)/INDEX('Lease Cycles'!$CP$15:$CV$15,1,DM129))/12)))),'Lease Cycles'!$C$15*INDEX('Lease Cycles'!$CB$15:$CH$15,1,DM129)*(1+INDEX('Lease Cycles'!$CI$15:$CO$15,1,DM129))^INT(INT(DM130/12)/INDEX('Lease Cycles'!$CP$15:$CV$15,1,DM129))/12),IF(INDEX('Lease Cycles'!$EF$15:$EL$15,1,DM129)=1,IF(AND('Lease Cycles'!$AZ$15&gt;=INDEX('Lease Cycles'!$BG$15:$BM$15,1,DM129),'Lease Cycles'!$AZ$15&lt;=DM$6),'Lease Cycles'!$C$15*'Lease Cycles'!$BA$15/12,IF(AND('Lease Cycles'!$AX$15&gt;=INDEX('Lease Cycles'!$BG$15:$BM$15,1,DM129),'Lease Cycles'!$AX$15&lt;=DM$6),'Lease Cycles'!$C$15*'Lease Cycles'!$AY$15/12,IF(AND('Lease Cycles'!$AV$15&gt;=INDEX('Lease Cycles'!$BG$15:$BM$15,1,DM129),'Lease Cycles'!$AV$15&lt;=DM$6),'Lease Cycles'!$C$15*'Lease Cycles'!$AW$15/12,IF(AND('Lease Cycles'!$AT$15&gt;=INDEX('Lease Cycles'!$BG$15:$BM$15,1,DM129),'Lease Cycles'!$AT$15&lt;=DM$6),'Lease Cycles'!$C$15*'Lease Cycles'!$AU$15/12,'Lease Cycles'!$C$15*INDEX('Lease Cycles'!$CB$15:$CH$15,1,DM129)*(1+INDEX('Lease Cycles'!$CI$15:$CO$15,1,DM129))^INT(INT(DM130/12)/INDEX('Lease Cycles'!$CP$15:$CV$15,1,DM129))/12)))),'Lease Cycles'!$C$15*INDEX('Lease Cycles'!$CB$15:$CH$15,1,DM129)*(1+INDEX('Lease Cycles'!$CI$15:$CO$15,1,DM129))^INT(INT(DM130/12)/INDEX('Lease Cycles'!$CP$15:$CV$15,1,DM129))/12))),IF('Lease Cycles'!$N$15=1,'Lease Cycles'!$C$15*'Lease Cycles'!$E$15*INDEX('Lease Cycles'!$HE$15:$HK$15,1,DM129)*(1+INDEX('Lease Cycles'!$GQ$15:$GW$15,1,DM129))^INT(INT((DM$6-INDEX('Lease Cycles'!$GJ$15:$GP$15,1,DM129))/12)/INDEX('Lease Cycles'!$GX$15:$HD$15,1,DM129))/12,0)))</f>
        <v>2309.143452303498</v>
      </c>
      <c r="DN132" s="28">
        <f>IF(DN129=0,IF('Lease Cycles'!$F$15&gt;0,'Lease Cycles'!$C$15*'Lease Cycles'!$E$15/12,0),IF(DN131=1,IF('Lease Cycles'!$AT$15&gt;=9999,'Lease Cycles'!$C$15*INDEX('Lease Cycles'!$CB$15:$CH$15,1,DN129)*(1+INDEX('Lease Cycles'!$CI$15:$CO$15,1,DN129))^INT(INT(DN130/12)/INDEX('Lease Cycles'!$CP$15:$CV$15,1,DN129))/12,IF(DN129=1,IF(DN130&gt;=INDEX('Lease Cycles'!$DK$15:$DQ$15,1,DN129),IF(DN$6&gt;='Lease Cycles'!$AZ$15,'Lease Cycles'!$C$15*'Lease Cycles'!$BA$15/12,IF(DN$6&gt;='Lease Cycles'!$AX$15,'Lease Cycles'!$C$15*'Lease Cycles'!$AY$15/12,IF(DN$6&gt;='Lease Cycles'!$AV$15,'Lease Cycles'!$C$15*'Lease Cycles'!$AW$15/12,IF(DN$6&gt;='Lease Cycles'!$AT$15,'Lease Cycles'!$C$15*'Lease Cycles'!$AU$15/12,'Lease Cycles'!$C$15*INDEX('Lease Cycles'!$CB$15:$CH$15,1,DN129)*(1+INDEX('Lease Cycles'!$CI$15:$CO$15,1,DN129))^INT(INT(DN130/12)/INDEX('Lease Cycles'!$CP$15:$CV$15,1,DN129))/12)))),'Lease Cycles'!$C$15*INDEX('Lease Cycles'!$CB$15:$CH$15,1,DN129)*(1+INDEX('Lease Cycles'!$CI$15:$CO$15,1,DN129))^INT(INT(DN130/12)/INDEX('Lease Cycles'!$CP$15:$CV$15,1,DN129))/12),IF(INDEX('Lease Cycles'!$EF$15:$EL$15,1,DN129)=1,IF(AND('Lease Cycles'!$AZ$15&gt;=INDEX('Lease Cycles'!$BG$15:$BM$15,1,DN129),'Lease Cycles'!$AZ$15&lt;=DN$6),'Lease Cycles'!$C$15*'Lease Cycles'!$BA$15/12,IF(AND('Lease Cycles'!$AX$15&gt;=INDEX('Lease Cycles'!$BG$15:$BM$15,1,DN129),'Lease Cycles'!$AX$15&lt;=DN$6),'Lease Cycles'!$C$15*'Lease Cycles'!$AY$15/12,IF(AND('Lease Cycles'!$AV$15&gt;=INDEX('Lease Cycles'!$BG$15:$BM$15,1,DN129),'Lease Cycles'!$AV$15&lt;=DN$6),'Lease Cycles'!$C$15*'Lease Cycles'!$AW$15/12,IF(AND('Lease Cycles'!$AT$15&gt;=INDEX('Lease Cycles'!$BG$15:$BM$15,1,DN129),'Lease Cycles'!$AT$15&lt;=DN$6),'Lease Cycles'!$C$15*'Lease Cycles'!$AU$15/12,'Lease Cycles'!$C$15*INDEX('Lease Cycles'!$CB$15:$CH$15,1,DN129)*(1+INDEX('Lease Cycles'!$CI$15:$CO$15,1,DN129))^INT(INT(DN130/12)/INDEX('Lease Cycles'!$CP$15:$CV$15,1,DN129))/12)))),'Lease Cycles'!$C$15*INDEX('Lease Cycles'!$CB$15:$CH$15,1,DN129)*(1+INDEX('Lease Cycles'!$CI$15:$CO$15,1,DN129))^INT(INT(DN130/12)/INDEX('Lease Cycles'!$CP$15:$CV$15,1,DN129))/12))),IF('Lease Cycles'!$N$15=1,'Lease Cycles'!$C$15*'Lease Cycles'!$E$15*INDEX('Lease Cycles'!$HE$15:$HK$15,1,DN129)*(1+INDEX('Lease Cycles'!$GQ$15:$GW$15,1,DN129))^INT(INT((DN$6-INDEX('Lease Cycles'!$GJ$15:$GP$15,1,DN129))/12)/INDEX('Lease Cycles'!$GX$15:$HD$15,1,DN129))/12,0)))</f>
        <v>2309.143452303498</v>
      </c>
      <c r="DO132" s="28">
        <f>IF(DO129=0,IF('Lease Cycles'!$F$15&gt;0,'Lease Cycles'!$C$15*'Lease Cycles'!$E$15/12,0),IF(DO131=1,IF('Lease Cycles'!$AT$15&gt;=9999,'Lease Cycles'!$C$15*INDEX('Lease Cycles'!$CB$15:$CH$15,1,DO129)*(1+INDEX('Lease Cycles'!$CI$15:$CO$15,1,DO129))^INT(INT(DO130/12)/INDEX('Lease Cycles'!$CP$15:$CV$15,1,DO129))/12,IF(DO129=1,IF(DO130&gt;=INDEX('Lease Cycles'!$DK$15:$DQ$15,1,DO129),IF(DO$6&gt;='Lease Cycles'!$AZ$15,'Lease Cycles'!$C$15*'Lease Cycles'!$BA$15/12,IF(DO$6&gt;='Lease Cycles'!$AX$15,'Lease Cycles'!$C$15*'Lease Cycles'!$AY$15/12,IF(DO$6&gt;='Lease Cycles'!$AV$15,'Lease Cycles'!$C$15*'Lease Cycles'!$AW$15/12,IF(DO$6&gt;='Lease Cycles'!$AT$15,'Lease Cycles'!$C$15*'Lease Cycles'!$AU$15/12,'Lease Cycles'!$C$15*INDEX('Lease Cycles'!$CB$15:$CH$15,1,DO129)*(1+INDEX('Lease Cycles'!$CI$15:$CO$15,1,DO129))^INT(INT(DO130/12)/INDEX('Lease Cycles'!$CP$15:$CV$15,1,DO129))/12)))),'Lease Cycles'!$C$15*INDEX('Lease Cycles'!$CB$15:$CH$15,1,DO129)*(1+INDEX('Lease Cycles'!$CI$15:$CO$15,1,DO129))^INT(INT(DO130/12)/INDEX('Lease Cycles'!$CP$15:$CV$15,1,DO129))/12),IF(INDEX('Lease Cycles'!$EF$15:$EL$15,1,DO129)=1,IF(AND('Lease Cycles'!$AZ$15&gt;=INDEX('Lease Cycles'!$BG$15:$BM$15,1,DO129),'Lease Cycles'!$AZ$15&lt;=DO$6),'Lease Cycles'!$C$15*'Lease Cycles'!$BA$15/12,IF(AND('Lease Cycles'!$AX$15&gt;=INDEX('Lease Cycles'!$BG$15:$BM$15,1,DO129),'Lease Cycles'!$AX$15&lt;=DO$6),'Lease Cycles'!$C$15*'Lease Cycles'!$AY$15/12,IF(AND('Lease Cycles'!$AV$15&gt;=INDEX('Lease Cycles'!$BG$15:$BM$15,1,DO129),'Lease Cycles'!$AV$15&lt;=DO$6),'Lease Cycles'!$C$15*'Lease Cycles'!$AW$15/12,IF(AND('Lease Cycles'!$AT$15&gt;=INDEX('Lease Cycles'!$BG$15:$BM$15,1,DO129),'Lease Cycles'!$AT$15&lt;=DO$6),'Lease Cycles'!$C$15*'Lease Cycles'!$AU$15/12,'Lease Cycles'!$C$15*INDEX('Lease Cycles'!$CB$15:$CH$15,1,DO129)*(1+INDEX('Lease Cycles'!$CI$15:$CO$15,1,DO129))^INT(INT(DO130/12)/INDEX('Lease Cycles'!$CP$15:$CV$15,1,DO129))/12)))),'Lease Cycles'!$C$15*INDEX('Lease Cycles'!$CB$15:$CH$15,1,DO129)*(1+INDEX('Lease Cycles'!$CI$15:$CO$15,1,DO129))^INT(INT(DO130/12)/INDEX('Lease Cycles'!$CP$15:$CV$15,1,DO129))/12))),IF('Lease Cycles'!$N$15=1,'Lease Cycles'!$C$15*'Lease Cycles'!$E$15*INDEX('Lease Cycles'!$HE$15:$HK$15,1,DO129)*(1+INDEX('Lease Cycles'!$GQ$15:$GW$15,1,DO129))^INT(INT((DO$6-INDEX('Lease Cycles'!$GJ$15:$GP$15,1,DO129))/12)/INDEX('Lease Cycles'!$GX$15:$HD$15,1,DO129))/12,0)))</f>
        <v>2309.143452303498</v>
      </c>
      <c r="DP132" s="28">
        <f>IF(DP129=0,IF('Lease Cycles'!$F$15&gt;0,'Lease Cycles'!$C$15*'Lease Cycles'!$E$15/12,0),IF(DP131=1,IF('Lease Cycles'!$AT$15&gt;=9999,'Lease Cycles'!$C$15*INDEX('Lease Cycles'!$CB$15:$CH$15,1,DP129)*(1+INDEX('Lease Cycles'!$CI$15:$CO$15,1,DP129))^INT(INT(DP130/12)/INDEX('Lease Cycles'!$CP$15:$CV$15,1,DP129))/12,IF(DP129=1,IF(DP130&gt;=INDEX('Lease Cycles'!$DK$15:$DQ$15,1,DP129),IF(DP$6&gt;='Lease Cycles'!$AZ$15,'Lease Cycles'!$C$15*'Lease Cycles'!$BA$15/12,IF(DP$6&gt;='Lease Cycles'!$AX$15,'Lease Cycles'!$C$15*'Lease Cycles'!$AY$15/12,IF(DP$6&gt;='Lease Cycles'!$AV$15,'Lease Cycles'!$C$15*'Lease Cycles'!$AW$15/12,IF(DP$6&gt;='Lease Cycles'!$AT$15,'Lease Cycles'!$C$15*'Lease Cycles'!$AU$15/12,'Lease Cycles'!$C$15*INDEX('Lease Cycles'!$CB$15:$CH$15,1,DP129)*(1+INDEX('Lease Cycles'!$CI$15:$CO$15,1,DP129))^INT(INT(DP130/12)/INDEX('Lease Cycles'!$CP$15:$CV$15,1,DP129))/12)))),'Lease Cycles'!$C$15*INDEX('Lease Cycles'!$CB$15:$CH$15,1,DP129)*(1+INDEX('Lease Cycles'!$CI$15:$CO$15,1,DP129))^INT(INT(DP130/12)/INDEX('Lease Cycles'!$CP$15:$CV$15,1,DP129))/12),IF(INDEX('Lease Cycles'!$EF$15:$EL$15,1,DP129)=1,IF(AND('Lease Cycles'!$AZ$15&gt;=INDEX('Lease Cycles'!$BG$15:$BM$15,1,DP129),'Lease Cycles'!$AZ$15&lt;=DP$6),'Lease Cycles'!$C$15*'Lease Cycles'!$BA$15/12,IF(AND('Lease Cycles'!$AX$15&gt;=INDEX('Lease Cycles'!$BG$15:$BM$15,1,DP129),'Lease Cycles'!$AX$15&lt;=DP$6),'Lease Cycles'!$C$15*'Lease Cycles'!$AY$15/12,IF(AND('Lease Cycles'!$AV$15&gt;=INDEX('Lease Cycles'!$BG$15:$BM$15,1,DP129),'Lease Cycles'!$AV$15&lt;=DP$6),'Lease Cycles'!$C$15*'Lease Cycles'!$AW$15/12,IF(AND('Lease Cycles'!$AT$15&gt;=INDEX('Lease Cycles'!$BG$15:$BM$15,1,DP129),'Lease Cycles'!$AT$15&lt;=DP$6),'Lease Cycles'!$C$15*'Lease Cycles'!$AU$15/12,'Lease Cycles'!$C$15*INDEX('Lease Cycles'!$CB$15:$CH$15,1,DP129)*(1+INDEX('Lease Cycles'!$CI$15:$CO$15,1,DP129))^INT(INT(DP130/12)/INDEX('Lease Cycles'!$CP$15:$CV$15,1,DP129))/12)))),'Lease Cycles'!$C$15*INDEX('Lease Cycles'!$CB$15:$CH$15,1,DP129)*(1+INDEX('Lease Cycles'!$CI$15:$CO$15,1,DP129))^INT(INT(DP130/12)/INDEX('Lease Cycles'!$CP$15:$CV$15,1,DP129))/12))),IF('Lease Cycles'!$N$15=1,'Lease Cycles'!$C$15*'Lease Cycles'!$E$15*INDEX('Lease Cycles'!$HE$15:$HK$15,1,DP129)*(1+INDEX('Lease Cycles'!$GQ$15:$GW$15,1,DP129))^INT(INT((DP$6-INDEX('Lease Cycles'!$GJ$15:$GP$15,1,DP129))/12)/INDEX('Lease Cycles'!$GX$15:$HD$15,1,DP129))/12,0)))</f>
        <v>2309.143452303498</v>
      </c>
      <c r="DQ132" s="28">
        <f>IF(DQ129=0,IF('Lease Cycles'!$F$15&gt;0,'Lease Cycles'!$C$15*'Lease Cycles'!$E$15/12,0),IF(DQ131=1,IF('Lease Cycles'!$AT$15&gt;=9999,'Lease Cycles'!$C$15*INDEX('Lease Cycles'!$CB$15:$CH$15,1,DQ129)*(1+INDEX('Lease Cycles'!$CI$15:$CO$15,1,DQ129))^INT(INT(DQ130/12)/INDEX('Lease Cycles'!$CP$15:$CV$15,1,DQ129))/12,IF(DQ129=1,IF(DQ130&gt;=INDEX('Lease Cycles'!$DK$15:$DQ$15,1,DQ129),IF(DQ$6&gt;='Lease Cycles'!$AZ$15,'Lease Cycles'!$C$15*'Lease Cycles'!$BA$15/12,IF(DQ$6&gt;='Lease Cycles'!$AX$15,'Lease Cycles'!$C$15*'Lease Cycles'!$AY$15/12,IF(DQ$6&gt;='Lease Cycles'!$AV$15,'Lease Cycles'!$C$15*'Lease Cycles'!$AW$15/12,IF(DQ$6&gt;='Lease Cycles'!$AT$15,'Lease Cycles'!$C$15*'Lease Cycles'!$AU$15/12,'Lease Cycles'!$C$15*INDEX('Lease Cycles'!$CB$15:$CH$15,1,DQ129)*(1+INDEX('Lease Cycles'!$CI$15:$CO$15,1,DQ129))^INT(INT(DQ130/12)/INDEX('Lease Cycles'!$CP$15:$CV$15,1,DQ129))/12)))),'Lease Cycles'!$C$15*INDEX('Lease Cycles'!$CB$15:$CH$15,1,DQ129)*(1+INDEX('Lease Cycles'!$CI$15:$CO$15,1,DQ129))^INT(INT(DQ130/12)/INDEX('Lease Cycles'!$CP$15:$CV$15,1,DQ129))/12),IF(INDEX('Lease Cycles'!$EF$15:$EL$15,1,DQ129)=1,IF(AND('Lease Cycles'!$AZ$15&gt;=INDEX('Lease Cycles'!$BG$15:$BM$15,1,DQ129),'Lease Cycles'!$AZ$15&lt;=DQ$6),'Lease Cycles'!$C$15*'Lease Cycles'!$BA$15/12,IF(AND('Lease Cycles'!$AX$15&gt;=INDEX('Lease Cycles'!$BG$15:$BM$15,1,DQ129),'Lease Cycles'!$AX$15&lt;=DQ$6),'Lease Cycles'!$C$15*'Lease Cycles'!$AY$15/12,IF(AND('Lease Cycles'!$AV$15&gt;=INDEX('Lease Cycles'!$BG$15:$BM$15,1,DQ129),'Lease Cycles'!$AV$15&lt;=DQ$6),'Lease Cycles'!$C$15*'Lease Cycles'!$AW$15/12,IF(AND('Lease Cycles'!$AT$15&gt;=INDEX('Lease Cycles'!$BG$15:$BM$15,1,DQ129),'Lease Cycles'!$AT$15&lt;=DQ$6),'Lease Cycles'!$C$15*'Lease Cycles'!$AU$15/12,'Lease Cycles'!$C$15*INDEX('Lease Cycles'!$CB$15:$CH$15,1,DQ129)*(1+INDEX('Lease Cycles'!$CI$15:$CO$15,1,DQ129))^INT(INT(DQ130/12)/INDEX('Lease Cycles'!$CP$15:$CV$15,1,DQ129))/12)))),'Lease Cycles'!$C$15*INDEX('Lease Cycles'!$CB$15:$CH$15,1,DQ129)*(1+INDEX('Lease Cycles'!$CI$15:$CO$15,1,DQ129))^INT(INT(DQ130/12)/INDEX('Lease Cycles'!$CP$15:$CV$15,1,DQ129))/12))),IF('Lease Cycles'!$N$15=1,'Lease Cycles'!$C$15*'Lease Cycles'!$E$15*INDEX('Lease Cycles'!$HE$15:$HK$15,1,DQ129)*(1+INDEX('Lease Cycles'!$GQ$15:$GW$15,1,DQ129))^INT(INT((DQ$6-INDEX('Lease Cycles'!$GJ$15:$GP$15,1,DQ129))/12)/INDEX('Lease Cycles'!$GX$15:$HD$15,1,DQ129))/12,0)))</f>
        <v>2378.417755872603</v>
      </c>
      <c r="DR132" s="28">
        <f>IF(DR129=0,IF('Lease Cycles'!$F$15&gt;0,'Lease Cycles'!$C$15*'Lease Cycles'!$E$15/12,0),IF(DR131=1,IF('Lease Cycles'!$AT$15&gt;=9999,'Lease Cycles'!$C$15*INDEX('Lease Cycles'!$CB$15:$CH$15,1,DR129)*(1+INDEX('Lease Cycles'!$CI$15:$CO$15,1,DR129))^INT(INT(DR130/12)/INDEX('Lease Cycles'!$CP$15:$CV$15,1,DR129))/12,IF(DR129=1,IF(DR130&gt;=INDEX('Lease Cycles'!$DK$15:$DQ$15,1,DR129),IF(DR$6&gt;='Lease Cycles'!$AZ$15,'Lease Cycles'!$C$15*'Lease Cycles'!$BA$15/12,IF(DR$6&gt;='Lease Cycles'!$AX$15,'Lease Cycles'!$C$15*'Lease Cycles'!$AY$15/12,IF(DR$6&gt;='Lease Cycles'!$AV$15,'Lease Cycles'!$C$15*'Lease Cycles'!$AW$15/12,IF(DR$6&gt;='Lease Cycles'!$AT$15,'Lease Cycles'!$C$15*'Lease Cycles'!$AU$15/12,'Lease Cycles'!$C$15*INDEX('Lease Cycles'!$CB$15:$CH$15,1,DR129)*(1+INDEX('Lease Cycles'!$CI$15:$CO$15,1,DR129))^INT(INT(DR130/12)/INDEX('Lease Cycles'!$CP$15:$CV$15,1,DR129))/12)))),'Lease Cycles'!$C$15*INDEX('Lease Cycles'!$CB$15:$CH$15,1,DR129)*(1+INDEX('Lease Cycles'!$CI$15:$CO$15,1,DR129))^INT(INT(DR130/12)/INDEX('Lease Cycles'!$CP$15:$CV$15,1,DR129))/12),IF(INDEX('Lease Cycles'!$EF$15:$EL$15,1,DR129)=1,IF(AND('Lease Cycles'!$AZ$15&gt;=INDEX('Lease Cycles'!$BG$15:$BM$15,1,DR129),'Lease Cycles'!$AZ$15&lt;=DR$6),'Lease Cycles'!$C$15*'Lease Cycles'!$BA$15/12,IF(AND('Lease Cycles'!$AX$15&gt;=INDEX('Lease Cycles'!$BG$15:$BM$15,1,DR129),'Lease Cycles'!$AX$15&lt;=DR$6),'Lease Cycles'!$C$15*'Lease Cycles'!$AY$15/12,IF(AND('Lease Cycles'!$AV$15&gt;=INDEX('Lease Cycles'!$BG$15:$BM$15,1,DR129),'Lease Cycles'!$AV$15&lt;=DR$6),'Lease Cycles'!$C$15*'Lease Cycles'!$AW$15/12,IF(AND('Lease Cycles'!$AT$15&gt;=INDEX('Lease Cycles'!$BG$15:$BM$15,1,DR129),'Lease Cycles'!$AT$15&lt;=DR$6),'Lease Cycles'!$C$15*'Lease Cycles'!$AU$15/12,'Lease Cycles'!$C$15*INDEX('Lease Cycles'!$CB$15:$CH$15,1,DR129)*(1+INDEX('Lease Cycles'!$CI$15:$CO$15,1,DR129))^INT(INT(DR130/12)/INDEX('Lease Cycles'!$CP$15:$CV$15,1,DR129))/12)))),'Lease Cycles'!$C$15*INDEX('Lease Cycles'!$CB$15:$CH$15,1,DR129)*(1+INDEX('Lease Cycles'!$CI$15:$CO$15,1,DR129))^INT(INT(DR130/12)/INDEX('Lease Cycles'!$CP$15:$CV$15,1,DR129))/12))),IF('Lease Cycles'!$N$15=1,'Lease Cycles'!$C$15*'Lease Cycles'!$E$15*INDEX('Lease Cycles'!$HE$15:$HK$15,1,DR129)*(1+INDEX('Lease Cycles'!$GQ$15:$GW$15,1,DR129))^INT(INT((DR$6-INDEX('Lease Cycles'!$GJ$15:$GP$15,1,DR129))/12)/INDEX('Lease Cycles'!$GX$15:$HD$15,1,DR129))/12,0)))</f>
        <v>2378.417755872603</v>
      </c>
      <c r="DS132" s="28">
        <f>IF(DS129=0,IF('Lease Cycles'!$F$15&gt;0,'Lease Cycles'!$C$15*'Lease Cycles'!$E$15/12,0),IF(DS131=1,IF('Lease Cycles'!$AT$15&gt;=9999,'Lease Cycles'!$C$15*INDEX('Lease Cycles'!$CB$15:$CH$15,1,DS129)*(1+INDEX('Lease Cycles'!$CI$15:$CO$15,1,DS129))^INT(INT(DS130/12)/INDEX('Lease Cycles'!$CP$15:$CV$15,1,DS129))/12,IF(DS129=1,IF(DS130&gt;=INDEX('Lease Cycles'!$DK$15:$DQ$15,1,DS129),IF(DS$6&gt;='Lease Cycles'!$AZ$15,'Lease Cycles'!$C$15*'Lease Cycles'!$BA$15/12,IF(DS$6&gt;='Lease Cycles'!$AX$15,'Lease Cycles'!$C$15*'Lease Cycles'!$AY$15/12,IF(DS$6&gt;='Lease Cycles'!$AV$15,'Lease Cycles'!$C$15*'Lease Cycles'!$AW$15/12,IF(DS$6&gt;='Lease Cycles'!$AT$15,'Lease Cycles'!$C$15*'Lease Cycles'!$AU$15/12,'Lease Cycles'!$C$15*INDEX('Lease Cycles'!$CB$15:$CH$15,1,DS129)*(1+INDEX('Lease Cycles'!$CI$15:$CO$15,1,DS129))^INT(INT(DS130/12)/INDEX('Lease Cycles'!$CP$15:$CV$15,1,DS129))/12)))),'Lease Cycles'!$C$15*INDEX('Lease Cycles'!$CB$15:$CH$15,1,DS129)*(1+INDEX('Lease Cycles'!$CI$15:$CO$15,1,DS129))^INT(INT(DS130/12)/INDEX('Lease Cycles'!$CP$15:$CV$15,1,DS129))/12),IF(INDEX('Lease Cycles'!$EF$15:$EL$15,1,DS129)=1,IF(AND('Lease Cycles'!$AZ$15&gt;=INDEX('Lease Cycles'!$BG$15:$BM$15,1,DS129),'Lease Cycles'!$AZ$15&lt;=DS$6),'Lease Cycles'!$C$15*'Lease Cycles'!$BA$15/12,IF(AND('Lease Cycles'!$AX$15&gt;=INDEX('Lease Cycles'!$BG$15:$BM$15,1,DS129),'Lease Cycles'!$AX$15&lt;=DS$6),'Lease Cycles'!$C$15*'Lease Cycles'!$AY$15/12,IF(AND('Lease Cycles'!$AV$15&gt;=INDEX('Lease Cycles'!$BG$15:$BM$15,1,DS129),'Lease Cycles'!$AV$15&lt;=DS$6),'Lease Cycles'!$C$15*'Lease Cycles'!$AW$15/12,IF(AND('Lease Cycles'!$AT$15&gt;=INDEX('Lease Cycles'!$BG$15:$BM$15,1,DS129),'Lease Cycles'!$AT$15&lt;=DS$6),'Lease Cycles'!$C$15*'Lease Cycles'!$AU$15/12,'Lease Cycles'!$C$15*INDEX('Lease Cycles'!$CB$15:$CH$15,1,DS129)*(1+INDEX('Lease Cycles'!$CI$15:$CO$15,1,DS129))^INT(INT(DS130/12)/INDEX('Lease Cycles'!$CP$15:$CV$15,1,DS129))/12)))),'Lease Cycles'!$C$15*INDEX('Lease Cycles'!$CB$15:$CH$15,1,DS129)*(1+INDEX('Lease Cycles'!$CI$15:$CO$15,1,DS129))^INT(INT(DS130/12)/INDEX('Lease Cycles'!$CP$15:$CV$15,1,DS129))/12))),IF('Lease Cycles'!$N$15=1,'Lease Cycles'!$C$15*'Lease Cycles'!$E$15*INDEX('Lease Cycles'!$HE$15:$HK$15,1,DS129)*(1+INDEX('Lease Cycles'!$GQ$15:$GW$15,1,DS129))^INT(INT((DS$6-INDEX('Lease Cycles'!$GJ$15:$GP$15,1,DS129))/12)/INDEX('Lease Cycles'!$GX$15:$HD$15,1,DS129))/12,0)))</f>
        <v>2378.417755872603</v>
      </c>
      <c r="DT132" s="28">
        <f>IF(DT129=0,IF('Lease Cycles'!$F$15&gt;0,'Lease Cycles'!$C$15*'Lease Cycles'!$E$15/12,0),IF(DT131=1,IF('Lease Cycles'!$AT$15&gt;=9999,'Lease Cycles'!$C$15*INDEX('Lease Cycles'!$CB$15:$CH$15,1,DT129)*(1+INDEX('Lease Cycles'!$CI$15:$CO$15,1,DT129))^INT(INT(DT130/12)/INDEX('Lease Cycles'!$CP$15:$CV$15,1,DT129))/12,IF(DT129=1,IF(DT130&gt;=INDEX('Lease Cycles'!$DK$15:$DQ$15,1,DT129),IF(DT$6&gt;='Lease Cycles'!$AZ$15,'Lease Cycles'!$C$15*'Lease Cycles'!$BA$15/12,IF(DT$6&gt;='Lease Cycles'!$AX$15,'Lease Cycles'!$C$15*'Lease Cycles'!$AY$15/12,IF(DT$6&gt;='Lease Cycles'!$AV$15,'Lease Cycles'!$C$15*'Lease Cycles'!$AW$15/12,IF(DT$6&gt;='Lease Cycles'!$AT$15,'Lease Cycles'!$C$15*'Lease Cycles'!$AU$15/12,'Lease Cycles'!$C$15*INDEX('Lease Cycles'!$CB$15:$CH$15,1,DT129)*(1+INDEX('Lease Cycles'!$CI$15:$CO$15,1,DT129))^INT(INT(DT130/12)/INDEX('Lease Cycles'!$CP$15:$CV$15,1,DT129))/12)))),'Lease Cycles'!$C$15*INDEX('Lease Cycles'!$CB$15:$CH$15,1,DT129)*(1+INDEX('Lease Cycles'!$CI$15:$CO$15,1,DT129))^INT(INT(DT130/12)/INDEX('Lease Cycles'!$CP$15:$CV$15,1,DT129))/12),IF(INDEX('Lease Cycles'!$EF$15:$EL$15,1,DT129)=1,IF(AND('Lease Cycles'!$AZ$15&gt;=INDEX('Lease Cycles'!$BG$15:$BM$15,1,DT129),'Lease Cycles'!$AZ$15&lt;=DT$6),'Lease Cycles'!$C$15*'Lease Cycles'!$BA$15/12,IF(AND('Lease Cycles'!$AX$15&gt;=INDEX('Lease Cycles'!$BG$15:$BM$15,1,DT129),'Lease Cycles'!$AX$15&lt;=DT$6),'Lease Cycles'!$C$15*'Lease Cycles'!$AY$15/12,IF(AND('Lease Cycles'!$AV$15&gt;=INDEX('Lease Cycles'!$BG$15:$BM$15,1,DT129),'Lease Cycles'!$AV$15&lt;=DT$6),'Lease Cycles'!$C$15*'Lease Cycles'!$AW$15/12,IF(AND('Lease Cycles'!$AT$15&gt;=INDEX('Lease Cycles'!$BG$15:$BM$15,1,DT129),'Lease Cycles'!$AT$15&lt;=DT$6),'Lease Cycles'!$C$15*'Lease Cycles'!$AU$15/12,'Lease Cycles'!$C$15*INDEX('Lease Cycles'!$CB$15:$CH$15,1,DT129)*(1+INDEX('Lease Cycles'!$CI$15:$CO$15,1,DT129))^INT(INT(DT130/12)/INDEX('Lease Cycles'!$CP$15:$CV$15,1,DT129))/12)))),'Lease Cycles'!$C$15*INDEX('Lease Cycles'!$CB$15:$CH$15,1,DT129)*(1+INDEX('Lease Cycles'!$CI$15:$CO$15,1,DT129))^INT(INT(DT130/12)/INDEX('Lease Cycles'!$CP$15:$CV$15,1,DT129))/12))),IF('Lease Cycles'!$N$15=1,'Lease Cycles'!$C$15*'Lease Cycles'!$E$15*INDEX('Lease Cycles'!$HE$15:$HK$15,1,DT129)*(1+INDEX('Lease Cycles'!$GQ$15:$GW$15,1,DT129))^INT(INT((DT$6-INDEX('Lease Cycles'!$GJ$15:$GP$15,1,DT129))/12)/INDEX('Lease Cycles'!$GX$15:$HD$15,1,DT129))/12,0)))</f>
        <v>2378.417755872603</v>
      </c>
      <c r="DU132" s="28">
        <f>IF(DU129=0,IF('Lease Cycles'!$F$15&gt;0,'Lease Cycles'!$C$15*'Lease Cycles'!$E$15/12,0),IF(DU131=1,IF('Lease Cycles'!$AT$15&gt;=9999,'Lease Cycles'!$C$15*INDEX('Lease Cycles'!$CB$15:$CH$15,1,DU129)*(1+INDEX('Lease Cycles'!$CI$15:$CO$15,1,DU129))^INT(INT(DU130/12)/INDEX('Lease Cycles'!$CP$15:$CV$15,1,DU129))/12,IF(DU129=1,IF(DU130&gt;=INDEX('Lease Cycles'!$DK$15:$DQ$15,1,DU129),IF(DU$6&gt;='Lease Cycles'!$AZ$15,'Lease Cycles'!$C$15*'Lease Cycles'!$BA$15/12,IF(DU$6&gt;='Lease Cycles'!$AX$15,'Lease Cycles'!$C$15*'Lease Cycles'!$AY$15/12,IF(DU$6&gt;='Lease Cycles'!$AV$15,'Lease Cycles'!$C$15*'Lease Cycles'!$AW$15/12,IF(DU$6&gt;='Lease Cycles'!$AT$15,'Lease Cycles'!$C$15*'Lease Cycles'!$AU$15/12,'Lease Cycles'!$C$15*INDEX('Lease Cycles'!$CB$15:$CH$15,1,DU129)*(1+INDEX('Lease Cycles'!$CI$15:$CO$15,1,DU129))^INT(INT(DU130/12)/INDEX('Lease Cycles'!$CP$15:$CV$15,1,DU129))/12)))),'Lease Cycles'!$C$15*INDEX('Lease Cycles'!$CB$15:$CH$15,1,DU129)*(1+INDEX('Lease Cycles'!$CI$15:$CO$15,1,DU129))^INT(INT(DU130/12)/INDEX('Lease Cycles'!$CP$15:$CV$15,1,DU129))/12),IF(INDEX('Lease Cycles'!$EF$15:$EL$15,1,DU129)=1,IF(AND('Lease Cycles'!$AZ$15&gt;=INDEX('Lease Cycles'!$BG$15:$BM$15,1,DU129),'Lease Cycles'!$AZ$15&lt;=DU$6),'Lease Cycles'!$C$15*'Lease Cycles'!$BA$15/12,IF(AND('Lease Cycles'!$AX$15&gt;=INDEX('Lease Cycles'!$BG$15:$BM$15,1,DU129),'Lease Cycles'!$AX$15&lt;=DU$6),'Lease Cycles'!$C$15*'Lease Cycles'!$AY$15/12,IF(AND('Lease Cycles'!$AV$15&gt;=INDEX('Lease Cycles'!$BG$15:$BM$15,1,DU129),'Lease Cycles'!$AV$15&lt;=DU$6),'Lease Cycles'!$C$15*'Lease Cycles'!$AW$15/12,IF(AND('Lease Cycles'!$AT$15&gt;=INDEX('Lease Cycles'!$BG$15:$BM$15,1,DU129),'Lease Cycles'!$AT$15&lt;=DU$6),'Lease Cycles'!$C$15*'Lease Cycles'!$AU$15/12,'Lease Cycles'!$C$15*INDEX('Lease Cycles'!$CB$15:$CH$15,1,DU129)*(1+INDEX('Lease Cycles'!$CI$15:$CO$15,1,DU129))^INT(INT(DU130/12)/INDEX('Lease Cycles'!$CP$15:$CV$15,1,DU129))/12)))),'Lease Cycles'!$C$15*INDEX('Lease Cycles'!$CB$15:$CH$15,1,DU129)*(1+INDEX('Lease Cycles'!$CI$15:$CO$15,1,DU129))^INT(INT(DU130/12)/INDEX('Lease Cycles'!$CP$15:$CV$15,1,DU129))/12))),IF('Lease Cycles'!$N$15=1,'Lease Cycles'!$C$15*'Lease Cycles'!$E$15*INDEX('Lease Cycles'!$HE$15:$HK$15,1,DU129)*(1+INDEX('Lease Cycles'!$GQ$15:$GW$15,1,DU129))^INT(INT((DU$6-INDEX('Lease Cycles'!$GJ$15:$GP$15,1,DU129))/12)/INDEX('Lease Cycles'!$GX$15:$HD$15,1,DU129))/12,0)))</f>
        <v>2378.417755872603</v>
      </c>
      <c r="DV132" s="28">
        <f>IF(DV129=0,IF('Lease Cycles'!$F$15&gt;0,'Lease Cycles'!$C$15*'Lease Cycles'!$E$15/12,0),IF(DV131=1,IF('Lease Cycles'!$AT$15&gt;=9999,'Lease Cycles'!$C$15*INDEX('Lease Cycles'!$CB$15:$CH$15,1,DV129)*(1+INDEX('Lease Cycles'!$CI$15:$CO$15,1,DV129))^INT(INT(DV130/12)/INDEX('Lease Cycles'!$CP$15:$CV$15,1,DV129))/12,IF(DV129=1,IF(DV130&gt;=INDEX('Lease Cycles'!$DK$15:$DQ$15,1,DV129),IF(DV$6&gt;='Lease Cycles'!$AZ$15,'Lease Cycles'!$C$15*'Lease Cycles'!$BA$15/12,IF(DV$6&gt;='Lease Cycles'!$AX$15,'Lease Cycles'!$C$15*'Lease Cycles'!$AY$15/12,IF(DV$6&gt;='Lease Cycles'!$AV$15,'Lease Cycles'!$C$15*'Lease Cycles'!$AW$15/12,IF(DV$6&gt;='Lease Cycles'!$AT$15,'Lease Cycles'!$C$15*'Lease Cycles'!$AU$15/12,'Lease Cycles'!$C$15*INDEX('Lease Cycles'!$CB$15:$CH$15,1,DV129)*(1+INDEX('Lease Cycles'!$CI$15:$CO$15,1,DV129))^INT(INT(DV130/12)/INDEX('Lease Cycles'!$CP$15:$CV$15,1,DV129))/12)))),'Lease Cycles'!$C$15*INDEX('Lease Cycles'!$CB$15:$CH$15,1,DV129)*(1+INDEX('Lease Cycles'!$CI$15:$CO$15,1,DV129))^INT(INT(DV130/12)/INDEX('Lease Cycles'!$CP$15:$CV$15,1,DV129))/12),IF(INDEX('Lease Cycles'!$EF$15:$EL$15,1,DV129)=1,IF(AND('Lease Cycles'!$AZ$15&gt;=INDEX('Lease Cycles'!$BG$15:$BM$15,1,DV129),'Lease Cycles'!$AZ$15&lt;=DV$6),'Lease Cycles'!$C$15*'Lease Cycles'!$BA$15/12,IF(AND('Lease Cycles'!$AX$15&gt;=INDEX('Lease Cycles'!$BG$15:$BM$15,1,DV129),'Lease Cycles'!$AX$15&lt;=DV$6),'Lease Cycles'!$C$15*'Lease Cycles'!$AY$15/12,IF(AND('Lease Cycles'!$AV$15&gt;=INDEX('Lease Cycles'!$BG$15:$BM$15,1,DV129),'Lease Cycles'!$AV$15&lt;=DV$6),'Lease Cycles'!$C$15*'Lease Cycles'!$AW$15/12,IF(AND('Lease Cycles'!$AT$15&gt;=INDEX('Lease Cycles'!$BG$15:$BM$15,1,DV129),'Lease Cycles'!$AT$15&lt;=DV$6),'Lease Cycles'!$C$15*'Lease Cycles'!$AU$15/12,'Lease Cycles'!$C$15*INDEX('Lease Cycles'!$CB$15:$CH$15,1,DV129)*(1+INDEX('Lease Cycles'!$CI$15:$CO$15,1,DV129))^INT(INT(DV130/12)/INDEX('Lease Cycles'!$CP$15:$CV$15,1,DV129))/12)))),'Lease Cycles'!$C$15*INDEX('Lease Cycles'!$CB$15:$CH$15,1,DV129)*(1+INDEX('Lease Cycles'!$CI$15:$CO$15,1,DV129))^INT(INT(DV130/12)/INDEX('Lease Cycles'!$CP$15:$CV$15,1,DV129))/12))),IF('Lease Cycles'!$N$15=1,'Lease Cycles'!$C$15*'Lease Cycles'!$E$15*INDEX('Lease Cycles'!$HE$15:$HK$15,1,DV129)*(1+INDEX('Lease Cycles'!$GQ$15:$GW$15,1,DV129))^INT(INT((DV$6-INDEX('Lease Cycles'!$GJ$15:$GP$15,1,DV129))/12)/INDEX('Lease Cycles'!$GX$15:$HD$15,1,DV129))/12,0)))</f>
        <v>2378.417755872603</v>
      </c>
      <c r="DW132" s="28">
        <f>IF(DW129=0,IF('Lease Cycles'!$F$15&gt;0,'Lease Cycles'!$C$15*'Lease Cycles'!$E$15/12,0),IF(DW131=1,IF('Lease Cycles'!$AT$15&gt;=9999,'Lease Cycles'!$C$15*INDEX('Lease Cycles'!$CB$15:$CH$15,1,DW129)*(1+INDEX('Lease Cycles'!$CI$15:$CO$15,1,DW129))^INT(INT(DW130/12)/INDEX('Lease Cycles'!$CP$15:$CV$15,1,DW129))/12,IF(DW129=1,IF(DW130&gt;=INDEX('Lease Cycles'!$DK$15:$DQ$15,1,DW129),IF(DW$6&gt;='Lease Cycles'!$AZ$15,'Lease Cycles'!$C$15*'Lease Cycles'!$BA$15/12,IF(DW$6&gt;='Lease Cycles'!$AX$15,'Lease Cycles'!$C$15*'Lease Cycles'!$AY$15/12,IF(DW$6&gt;='Lease Cycles'!$AV$15,'Lease Cycles'!$C$15*'Lease Cycles'!$AW$15/12,IF(DW$6&gt;='Lease Cycles'!$AT$15,'Lease Cycles'!$C$15*'Lease Cycles'!$AU$15/12,'Lease Cycles'!$C$15*INDEX('Lease Cycles'!$CB$15:$CH$15,1,DW129)*(1+INDEX('Lease Cycles'!$CI$15:$CO$15,1,DW129))^INT(INT(DW130/12)/INDEX('Lease Cycles'!$CP$15:$CV$15,1,DW129))/12)))),'Lease Cycles'!$C$15*INDEX('Lease Cycles'!$CB$15:$CH$15,1,DW129)*(1+INDEX('Lease Cycles'!$CI$15:$CO$15,1,DW129))^INT(INT(DW130/12)/INDEX('Lease Cycles'!$CP$15:$CV$15,1,DW129))/12),IF(INDEX('Lease Cycles'!$EF$15:$EL$15,1,DW129)=1,IF(AND('Lease Cycles'!$AZ$15&gt;=INDEX('Lease Cycles'!$BG$15:$BM$15,1,DW129),'Lease Cycles'!$AZ$15&lt;=DW$6),'Lease Cycles'!$C$15*'Lease Cycles'!$BA$15/12,IF(AND('Lease Cycles'!$AX$15&gt;=INDEX('Lease Cycles'!$BG$15:$BM$15,1,DW129),'Lease Cycles'!$AX$15&lt;=DW$6),'Lease Cycles'!$C$15*'Lease Cycles'!$AY$15/12,IF(AND('Lease Cycles'!$AV$15&gt;=INDEX('Lease Cycles'!$BG$15:$BM$15,1,DW129),'Lease Cycles'!$AV$15&lt;=DW$6),'Lease Cycles'!$C$15*'Lease Cycles'!$AW$15/12,IF(AND('Lease Cycles'!$AT$15&gt;=INDEX('Lease Cycles'!$BG$15:$BM$15,1,DW129),'Lease Cycles'!$AT$15&lt;=DW$6),'Lease Cycles'!$C$15*'Lease Cycles'!$AU$15/12,'Lease Cycles'!$C$15*INDEX('Lease Cycles'!$CB$15:$CH$15,1,DW129)*(1+INDEX('Lease Cycles'!$CI$15:$CO$15,1,DW129))^INT(INT(DW130/12)/INDEX('Lease Cycles'!$CP$15:$CV$15,1,DW129))/12)))),'Lease Cycles'!$C$15*INDEX('Lease Cycles'!$CB$15:$CH$15,1,DW129)*(1+INDEX('Lease Cycles'!$CI$15:$CO$15,1,DW129))^INT(INT(DW130/12)/INDEX('Lease Cycles'!$CP$15:$CV$15,1,DW129))/12))),IF('Lease Cycles'!$N$15=1,'Lease Cycles'!$C$15*'Lease Cycles'!$E$15*INDEX('Lease Cycles'!$HE$15:$HK$15,1,DW129)*(1+INDEX('Lease Cycles'!$GQ$15:$GW$15,1,DW129))^INT(INT((DW$6-INDEX('Lease Cycles'!$GJ$15:$GP$15,1,DW129))/12)/INDEX('Lease Cycles'!$GX$15:$HD$15,1,DW129))/12,0)))</f>
        <v>2378.417755872603</v>
      </c>
      <c r="DX132" s="28">
        <f>IF(DX129=0,IF('Lease Cycles'!$F$15&gt;0,'Lease Cycles'!$C$15*'Lease Cycles'!$E$15/12,0),IF(DX131=1,IF('Lease Cycles'!$AT$15&gt;=9999,'Lease Cycles'!$C$15*INDEX('Lease Cycles'!$CB$15:$CH$15,1,DX129)*(1+INDEX('Lease Cycles'!$CI$15:$CO$15,1,DX129))^INT(INT(DX130/12)/INDEX('Lease Cycles'!$CP$15:$CV$15,1,DX129))/12,IF(DX129=1,IF(DX130&gt;=INDEX('Lease Cycles'!$DK$15:$DQ$15,1,DX129),IF(DX$6&gt;='Lease Cycles'!$AZ$15,'Lease Cycles'!$C$15*'Lease Cycles'!$BA$15/12,IF(DX$6&gt;='Lease Cycles'!$AX$15,'Lease Cycles'!$C$15*'Lease Cycles'!$AY$15/12,IF(DX$6&gt;='Lease Cycles'!$AV$15,'Lease Cycles'!$C$15*'Lease Cycles'!$AW$15/12,IF(DX$6&gt;='Lease Cycles'!$AT$15,'Lease Cycles'!$C$15*'Lease Cycles'!$AU$15/12,'Lease Cycles'!$C$15*INDEX('Lease Cycles'!$CB$15:$CH$15,1,DX129)*(1+INDEX('Lease Cycles'!$CI$15:$CO$15,1,DX129))^INT(INT(DX130/12)/INDEX('Lease Cycles'!$CP$15:$CV$15,1,DX129))/12)))),'Lease Cycles'!$C$15*INDEX('Lease Cycles'!$CB$15:$CH$15,1,DX129)*(1+INDEX('Lease Cycles'!$CI$15:$CO$15,1,DX129))^INT(INT(DX130/12)/INDEX('Lease Cycles'!$CP$15:$CV$15,1,DX129))/12),IF(INDEX('Lease Cycles'!$EF$15:$EL$15,1,DX129)=1,IF(AND('Lease Cycles'!$AZ$15&gt;=INDEX('Lease Cycles'!$BG$15:$BM$15,1,DX129),'Lease Cycles'!$AZ$15&lt;=DX$6),'Lease Cycles'!$C$15*'Lease Cycles'!$BA$15/12,IF(AND('Lease Cycles'!$AX$15&gt;=INDEX('Lease Cycles'!$BG$15:$BM$15,1,DX129),'Lease Cycles'!$AX$15&lt;=DX$6),'Lease Cycles'!$C$15*'Lease Cycles'!$AY$15/12,IF(AND('Lease Cycles'!$AV$15&gt;=INDEX('Lease Cycles'!$BG$15:$BM$15,1,DX129),'Lease Cycles'!$AV$15&lt;=DX$6),'Lease Cycles'!$C$15*'Lease Cycles'!$AW$15/12,IF(AND('Lease Cycles'!$AT$15&gt;=INDEX('Lease Cycles'!$BG$15:$BM$15,1,DX129),'Lease Cycles'!$AT$15&lt;=DX$6),'Lease Cycles'!$C$15*'Lease Cycles'!$AU$15/12,'Lease Cycles'!$C$15*INDEX('Lease Cycles'!$CB$15:$CH$15,1,DX129)*(1+INDEX('Lease Cycles'!$CI$15:$CO$15,1,DX129))^INT(INT(DX130/12)/INDEX('Lease Cycles'!$CP$15:$CV$15,1,DX129))/12)))),'Lease Cycles'!$C$15*INDEX('Lease Cycles'!$CB$15:$CH$15,1,DX129)*(1+INDEX('Lease Cycles'!$CI$15:$CO$15,1,DX129))^INT(INT(DX130/12)/INDEX('Lease Cycles'!$CP$15:$CV$15,1,DX129))/12))),IF('Lease Cycles'!$N$15=1,'Lease Cycles'!$C$15*'Lease Cycles'!$E$15*INDEX('Lease Cycles'!$HE$15:$HK$15,1,DX129)*(1+INDEX('Lease Cycles'!$GQ$15:$GW$15,1,DX129))^INT(INT((DX$6-INDEX('Lease Cycles'!$GJ$15:$GP$15,1,DX129))/12)/INDEX('Lease Cycles'!$GX$15:$HD$15,1,DX129))/12,0)))</f>
        <v>2378.417755872603</v>
      </c>
      <c r="DY132" s="28">
        <f>IF(DY129=0,IF('Lease Cycles'!$F$15&gt;0,'Lease Cycles'!$C$15*'Lease Cycles'!$E$15/12,0),IF(DY131=1,IF('Lease Cycles'!$AT$15&gt;=9999,'Lease Cycles'!$C$15*INDEX('Lease Cycles'!$CB$15:$CH$15,1,DY129)*(1+INDEX('Lease Cycles'!$CI$15:$CO$15,1,DY129))^INT(INT(DY130/12)/INDEX('Lease Cycles'!$CP$15:$CV$15,1,DY129))/12,IF(DY129=1,IF(DY130&gt;=INDEX('Lease Cycles'!$DK$15:$DQ$15,1,DY129),IF(DY$6&gt;='Lease Cycles'!$AZ$15,'Lease Cycles'!$C$15*'Lease Cycles'!$BA$15/12,IF(DY$6&gt;='Lease Cycles'!$AX$15,'Lease Cycles'!$C$15*'Lease Cycles'!$AY$15/12,IF(DY$6&gt;='Lease Cycles'!$AV$15,'Lease Cycles'!$C$15*'Lease Cycles'!$AW$15/12,IF(DY$6&gt;='Lease Cycles'!$AT$15,'Lease Cycles'!$C$15*'Lease Cycles'!$AU$15/12,'Lease Cycles'!$C$15*INDEX('Lease Cycles'!$CB$15:$CH$15,1,DY129)*(1+INDEX('Lease Cycles'!$CI$15:$CO$15,1,DY129))^INT(INT(DY130/12)/INDEX('Lease Cycles'!$CP$15:$CV$15,1,DY129))/12)))),'Lease Cycles'!$C$15*INDEX('Lease Cycles'!$CB$15:$CH$15,1,DY129)*(1+INDEX('Lease Cycles'!$CI$15:$CO$15,1,DY129))^INT(INT(DY130/12)/INDEX('Lease Cycles'!$CP$15:$CV$15,1,DY129))/12),IF(INDEX('Lease Cycles'!$EF$15:$EL$15,1,DY129)=1,IF(AND('Lease Cycles'!$AZ$15&gt;=INDEX('Lease Cycles'!$BG$15:$BM$15,1,DY129),'Lease Cycles'!$AZ$15&lt;=DY$6),'Lease Cycles'!$C$15*'Lease Cycles'!$BA$15/12,IF(AND('Lease Cycles'!$AX$15&gt;=INDEX('Lease Cycles'!$BG$15:$BM$15,1,DY129),'Lease Cycles'!$AX$15&lt;=DY$6),'Lease Cycles'!$C$15*'Lease Cycles'!$AY$15/12,IF(AND('Lease Cycles'!$AV$15&gt;=INDEX('Lease Cycles'!$BG$15:$BM$15,1,DY129),'Lease Cycles'!$AV$15&lt;=DY$6),'Lease Cycles'!$C$15*'Lease Cycles'!$AW$15/12,IF(AND('Lease Cycles'!$AT$15&gt;=INDEX('Lease Cycles'!$BG$15:$BM$15,1,DY129),'Lease Cycles'!$AT$15&lt;=DY$6),'Lease Cycles'!$C$15*'Lease Cycles'!$AU$15/12,'Lease Cycles'!$C$15*INDEX('Lease Cycles'!$CB$15:$CH$15,1,DY129)*(1+INDEX('Lease Cycles'!$CI$15:$CO$15,1,DY129))^INT(INT(DY130/12)/INDEX('Lease Cycles'!$CP$15:$CV$15,1,DY129))/12)))),'Lease Cycles'!$C$15*INDEX('Lease Cycles'!$CB$15:$CH$15,1,DY129)*(1+INDEX('Lease Cycles'!$CI$15:$CO$15,1,DY129))^INT(INT(DY130/12)/INDEX('Lease Cycles'!$CP$15:$CV$15,1,DY129))/12))),IF('Lease Cycles'!$N$15=1,'Lease Cycles'!$C$15*'Lease Cycles'!$E$15*INDEX('Lease Cycles'!$HE$15:$HK$15,1,DY129)*(1+INDEX('Lease Cycles'!$GQ$15:$GW$15,1,DY129))^INT(INT((DY$6-INDEX('Lease Cycles'!$GJ$15:$GP$15,1,DY129))/12)/INDEX('Lease Cycles'!$GX$15:$HD$15,1,DY129))/12,0)))</f>
        <v>2378.417755872603</v>
      </c>
      <c r="DZ132" s="28">
        <f>IF(DZ129=0,IF('Lease Cycles'!$F$15&gt;0,'Lease Cycles'!$C$15*'Lease Cycles'!$E$15/12,0),IF(DZ131=1,IF('Lease Cycles'!$AT$15&gt;=9999,'Lease Cycles'!$C$15*INDEX('Lease Cycles'!$CB$15:$CH$15,1,DZ129)*(1+INDEX('Lease Cycles'!$CI$15:$CO$15,1,DZ129))^INT(INT(DZ130/12)/INDEX('Lease Cycles'!$CP$15:$CV$15,1,DZ129))/12,IF(DZ129=1,IF(DZ130&gt;=INDEX('Lease Cycles'!$DK$15:$DQ$15,1,DZ129),IF(DZ$6&gt;='Lease Cycles'!$AZ$15,'Lease Cycles'!$C$15*'Lease Cycles'!$BA$15/12,IF(DZ$6&gt;='Lease Cycles'!$AX$15,'Lease Cycles'!$C$15*'Lease Cycles'!$AY$15/12,IF(DZ$6&gt;='Lease Cycles'!$AV$15,'Lease Cycles'!$C$15*'Lease Cycles'!$AW$15/12,IF(DZ$6&gt;='Lease Cycles'!$AT$15,'Lease Cycles'!$C$15*'Lease Cycles'!$AU$15/12,'Lease Cycles'!$C$15*INDEX('Lease Cycles'!$CB$15:$CH$15,1,DZ129)*(1+INDEX('Lease Cycles'!$CI$15:$CO$15,1,DZ129))^INT(INT(DZ130/12)/INDEX('Lease Cycles'!$CP$15:$CV$15,1,DZ129))/12)))),'Lease Cycles'!$C$15*INDEX('Lease Cycles'!$CB$15:$CH$15,1,DZ129)*(1+INDEX('Lease Cycles'!$CI$15:$CO$15,1,DZ129))^INT(INT(DZ130/12)/INDEX('Lease Cycles'!$CP$15:$CV$15,1,DZ129))/12),IF(INDEX('Lease Cycles'!$EF$15:$EL$15,1,DZ129)=1,IF(AND('Lease Cycles'!$AZ$15&gt;=INDEX('Lease Cycles'!$BG$15:$BM$15,1,DZ129),'Lease Cycles'!$AZ$15&lt;=DZ$6),'Lease Cycles'!$C$15*'Lease Cycles'!$BA$15/12,IF(AND('Lease Cycles'!$AX$15&gt;=INDEX('Lease Cycles'!$BG$15:$BM$15,1,DZ129),'Lease Cycles'!$AX$15&lt;=DZ$6),'Lease Cycles'!$C$15*'Lease Cycles'!$AY$15/12,IF(AND('Lease Cycles'!$AV$15&gt;=INDEX('Lease Cycles'!$BG$15:$BM$15,1,DZ129),'Lease Cycles'!$AV$15&lt;=DZ$6),'Lease Cycles'!$C$15*'Lease Cycles'!$AW$15/12,IF(AND('Lease Cycles'!$AT$15&gt;=INDEX('Lease Cycles'!$BG$15:$BM$15,1,DZ129),'Lease Cycles'!$AT$15&lt;=DZ$6),'Lease Cycles'!$C$15*'Lease Cycles'!$AU$15/12,'Lease Cycles'!$C$15*INDEX('Lease Cycles'!$CB$15:$CH$15,1,DZ129)*(1+INDEX('Lease Cycles'!$CI$15:$CO$15,1,DZ129))^INT(INT(DZ130/12)/INDEX('Lease Cycles'!$CP$15:$CV$15,1,DZ129))/12)))),'Lease Cycles'!$C$15*INDEX('Lease Cycles'!$CB$15:$CH$15,1,DZ129)*(1+INDEX('Lease Cycles'!$CI$15:$CO$15,1,DZ129))^INT(INT(DZ130/12)/INDEX('Lease Cycles'!$CP$15:$CV$15,1,DZ129))/12))),IF('Lease Cycles'!$N$15=1,'Lease Cycles'!$C$15*'Lease Cycles'!$E$15*INDEX('Lease Cycles'!$HE$15:$HK$15,1,DZ129)*(1+INDEX('Lease Cycles'!$GQ$15:$GW$15,1,DZ129))^INT(INT((DZ$6-INDEX('Lease Cycles'!$GJ$15:$GP$15,1,DZ129))/12)/INDEX('Lease Cycles'!$GX$15:$HD$15,1,DZ129))/12,0)))</f>
        <v>2378.417755872603</v>
      </c>
      <c r="EA132" s="28">
        <f>IF(EA129=0,IF('Lease Cycles'!$F$15&gt;0,'Lease Cycles'!$C$15*'Lease Cycles'!$E$15/12,0),IF(EA131=1,IF('Lease Cycles'!$AT$15&gt;=9999,'Lease Cycles'!$C$15*INDEX('Lease Cycles'!$CB$15:$CH$15,1,EA129)*(1+INDEX('Lease Cycles'!$CI$15:$CO$15,1,EA129))^INT(INT(EA130/12)/INDEX('Lease Cycles'!$CP$15:$CV$15,1,EA129))/12,IF(EA129=1,IF(EA130&gt;=INDEX('Lease Cycles'!$DK$15:$DQ$15,1,EA129),IF(EA$6&gt;='Lease Cycles'!$AZ$15,'Lease Cycles'!$C$15*'Lease Cycles'!$BA$15/12,IF(EA$6&gt;='Lease Cycles'!$AX$15,'Lease Cycles'!$C$15*'Lease Cycles'!$AY$15/12,IF(EA$6&gt;='Lease Cycles'!$AV$15,'Lease Cycles'!$C$15*'Lease Cycles'!$AW$15/12,IF(EA$6&gt;='Lease Cycles'!$AT$15,'Lease Cycles'!$C$15*'Lease Cycles'!$AU$15/12,'Lease Cycles'!$C$15*INDEX('Lease Cycles'!$CB$15:$CH$15,1,EA129)*(1+INDEX('Lease Cycles'!$CI$15:$CO$15,1,EA129))^INT(INT(EA130/12)/INDEX('Lease Cycles'!$CP$15:$CV$15,1,EA129))/12)))),'Lease Cycles'!$C$15*INDEX('Lease Cycles'!$CB$15:$CH$15,1,EA129)*(1+INDEX('Lease Cycles'!$CI$15:$CO$15,1,EA129))^INT(INT(EA130/12)/INDEX('Lease Cycles'!$CP$15:$CV$15,1,EA129))/12),IF(INDEX('Lease Cycles'!$EF$15:$EL$15,1,EA129)=1,IF(AND('Lease Cycles'!$AZ$15&gt;=INDEX('Lease Cycles'!$BG$15:$BM$15,1,EA129),'Lease Cycles'!$AZ$15&lt;=EA$6),'Lease Cycles'!$C$15*'Lease Cycles'!$BA$15/12,IF(AND('Lease Cycles'!$AX$15&gt;=INDEX('Lease Cycles'!$BG$15:$BM$15,1,EA129),'Lease Cycles'!$AX$15&lt;=EA$6),'Lease Cycles'!$C$15*'Lease Cycles'!$AY$15/12,IF(AND('Lease Cycles'!$AV$15&gt;=INDEX('Lease Cycles'!$BG$15:$BM$15,1,EA129),'Lease Cycles'!$AV$15&lt;=EA$6),'Lease Cycles'!$C$15*'Lease Cycles'!$AW$15/12,IF(AND('Lease Cycles'!$AT$15&gt;=INDEX('Lease Cycles'!$BG$15:$BM$15,1,EA129),'Lease Cycles'!$AT$15&lt;=EA$6),'Lease Cycles'!$C$15*'Lease Cycles'!$AU$15/12,'Lease Cycles'!$C$15*INDEX('Lease Cycles'!$CB$15:$CH$15,1,EA129)*(1+INDEX('Lease Cycles'!$CI$15:$CO$15,1,EA129))^INT(INT(EA130/12)/INDEX('Lease Cycles'!$CP$15:$CV$15,1,EA129))/12)))),'Lease Cycles'!$C$15*INDEX('Lease Cycles'!$CB$15:$CH$15,1,EA129)*(1+INDEX('Lease Cycles'!$CI$15:$CO$15,1,EA129))^INT(INT(EA130/12)/INDEX('Lease Cycles'!$CP$15:$CV$15,1,EA129))/12))),IF('Lease Cycles'!$N$15=1,'Lease Cycles'!$C$15*'Lease Cycles'!$E$15*INDEX('Lease Cycles'!$HE$15:$HK$15,1,EA129)*(1+INDEX('Lease Cycles'!$GQ$15:$GW$15,1,EA129))^INT(INT((EA$6-INDEX('Lease Cycles'!$GJ$15:$GP$15,1,EA129))/12)/INDEX('Lease Cycles'!$GX$15:$HD$15,1,EA129))/12,0)))</f>
        <v>2378.417755872603</v>
      </c>
      <c r="EB132" s="28">
        <f>IF(EB129=0,IF('Lease Cycles'!$F$15&gt;0,'Lease Cycles'!$C$15*'Lease Cycles'!$E$15/12,0),IF(EB131=1,IF('Lease Cycles'!$AT$15&gt;=9999,'Lease Cycles'!$C$15*INDEX('Lease Cycles'!$CB$15:$CH$15,1,EB129)*(1+INDEX('Lease Cycles'!$CI$15:$CO$15,1,EB129))^INT(INT(EB130/12)/INDEX('Lease Cycles'!$CP$15:$CV$15,1,EB129))/12,IF(EB129=1,IF(EB130&gt;=INDEX('Lease Cycles'!$DK$15:$DQ$15,1,EB129),IF(EB$6&gt;='Lease Cycles'!$AZ$15,'Lease Cycles'!$C$15*'Lease Cycles'!$BA$15/12,IF(EB$6&gt;='Lease Cycles'!$AX$15,'Lease Cycles'!$C$15*'Lease Cycles'!$AY$15/12,IF(EB$6&gt;='Lease Cycles'!$AV$15,'Lease Cycles'!$C$15*'Lease Cycles'!$AW$15/12,IF(EB$6&gt;='Lease Cycles'!$AT$15,'Lease Cycles'!$C$15*'Lease Cycles'!$AU$15/12,'Lease Cycles'!$C$15*INDEX('Lease Cycles'!$CB$15:$CH$15,1,EB129)*(1+INDEX('Lease Cycles'!$CI$15:$CO$15,1,EB129))^INT(INT(EB130/12)/INDEX('Lease Cycles'!$CP$15:$CV$15,1,EB129))/12)))),'Lease Cycles'!$C$15*INDEX('Lease Cycles'!$CB$15:$CH$15,1,EB129)*(1+INDEX('Lease Cycles'!$CI$15:$CO$15,1,EB129))^INT(INT(EB130/12)/INDEX('Lease Cycles'!$CP$15:$CV$15,1,EB129))/12),IF(INDEX('Lease Cycles'!$EF$15:$EL$15,1,EB129)=1,IF(AND('Lease Cycles'!$AZ$15&gt;=INDEX('Lease Cycles'!$BG$15:$BM$15,1,EB129),'Lease Cycles'!$AZ$15&lt;=EB$6),'Lease Cycles'!$C$15*'Lease Cycles'!$BA$15/12,IF(AND('Lease Cycles'!$AX$15&gt;=INDEX('Lease Cycles'!$BG$15:$BM$15,1,EB129),'Lease Cycles'!$AX$15&lt;=EB$6),'Lease Cycles'!$C$15*'Lease Cycles'!$AY$15/12,IF(AND('Lease Cycles'!$AV$15&gt;=INDEX('Lease Cycles'!$BG$15:$BM$15,1,EB129),'Lease Cycles'!$AV$15&lt;=EB$6),'Lease Cycles'!$C$15*'Lease Cycles'!$AW$15/12,IF(AND('Lease Cycles'!$AT$15&gt;=INDEX('Lease Cycles'!$BG$15:$BM$15,1,EB129),'Lease Cycles'!$AT$15&lt;=EB$6),'Lease Cycles'!$C$15*'Lease Cycles'!$AU$15/12,'Lease Cycles'!$C$15*INDEX('Lease Cycles'!$CB$15:$CH$15,1,EB129)*(1+INDEX('Lease Cycles'!$CI$15:$CO$15,1,EB129))^INT(INT(EB130/12)/INDEX('Lease Cycles'!$CP$15:$CV$15,1,EB129))/12)))),'Lease Cycles'!$C$15*INDEX('Lease Cycles'!$CB$15:$CH$15,1,EB129)*(1+INDEX('Lease Cycles'!$CI$15:$CO$15,1,EB129))^INT(INT(EB130/12)/INDEX('Lease Cycles'!$CP$15:$CV$15,1,EB129))/12))),IF('Lease Cycles'!$N$15=1,'Lease Cycles'!$C$15*'Lease Cycles'!$E$15*INDEX('Lease Cycles'!$HE$15:$HK$15,1,EB129)*(1+INDEX('Lease Cycles'!$GQ$15:$GW$15,1,EB129))^INT(INT((EB$6-INDEX('Lease Cycles'!$GJ$15:$GP$15,1,EB129))/12)/INDEX('Lease Cycles'!$GX$15:$HD$15,1,EB129))/12,0)))</f>
        <v>2378.417755872603</v>
      </c>
      <c r="EC132" s="28">
        <f>IF(EC129=0,IF('Lease Cycles'!$F$15&gt;0,'Lease Cycles'!$C$15*'Lease Cycles'!$E$15/12,0),IF(EC131=1,IF('Lease Cycles'!$AT$15&gt;=9999,'Lease Cycles'!$C$15*INDEX('Lease Cycles'!$CB$15:$CH$15,1,EC129)*(1+INDEX('Lease Cycles'!$CI$15:$CO$15,1,EC129))^INT(INT(EC130/12)/INDEX('Lease Cycles'!$CP$15:$CV$15,1,EC129))/12,IF(EC129=1,IF(EC130&gt;=INDEX('Lease Cycles'!$DK$15:$DQ$15,1,EC129),IF(EC$6&gt;='Lease Cycles'!$AZ$15,'Lease Cycles'!$C$15*'Lease Cycles'!$BA$15/12,IF(EC$6&gt;='Lease Cycles'!$AX$15,'Lease Cycles'!$C$15*'Lease Cycles'!$AY$15/12,IF(EC$6&gt;='Lease Cycles'!$AV$15,'Lease Cycles'!$C$15*'Lease Cycles'!$AW$15/12,IF(EC$6&gt;='Lease Cycles'!$AT$15,'Lease Cycles'!$C$15*'Lease Cycles'!$AU$15/12,'Lease Cycles'!$C$15*INDEX('Lease Cycles'!$CB$15:$CH$15,1,EC129)*(1+INDEX('Lease Cycles'!$CI$15:$CO$15,1,EC129))^INT(INT(EC130/12)/INDEX('Lease Cycles'!$CP$15:$CV$15,1,EC129))/12)))),'Lease Cycles'!$C$15*INDEX('Lease Cycles'!$CB$15:$CH$15,1,EC129)*(1+INDEX('Lease Cycles'!$CI$15:$CO$15,1,EC129))^INT(INT(EC130/12)/INDEX('Lease Cycles'!$CP$15:$CV$15,1,EC129))/12),IF(INDEX('Lease Cycles'!$EF$15:$EL$15,1,EC129)=1,IF(AND('Lease Cycles'!$AZ$15&gt;=INDEX('Lease Cycles'!$BG$15:$BM$15,1,EC129),'Lease Cycles'!$AZ$15&lt;=EC$6),'Lease Cycles'!$C$15*'Lease Cycles'!$BA$15/12,IF(AND('Lease Cycles'!$AX$15&gt;=INDEX('Lease Cycles'!$BG$15:$BM$15,1,EC129),'Lease Cycles'!$AX$15&lt;=EC$6),'Lease Cycles'!$C$15*'Lease Cycles'!$AY$15/12,IF(AND('Lease Cycles'!$AV$15&gt;=INDEX('Lease Cycles'!$BG$15:$BM$15,1,EC129),'Lease Cycles'!$AV$15&lt;=EC$6),'Lease Cycles'!$C$15*'Lease Cycles'!$AW$15/12,IF(AND('Lease Cycles'!$AT$15&gt;=INDEX('Lease Cycles'!$BG$15:$BM$15,1,EC129),'Lease Cycles'!$AT$15&lt;=EC$6),'Lease Cycles'!$C$15*'Lease Cycles'!$AU$15/12,'Lease Cycles'!$C$15*INDEX('Lease Cycles'!$CB$15:$CH$15,1,EC129)*(1+INDEX('Lease Cycles'!$CI$15:$CO$15,1,EC129))^INT(INT(EC130/12)/INDEX('Lease Cycles'!$CP$15:$CV$15,1,EC129))/12)))),'Lease Cycles'!$C$15*INDEX('Lease Cycles'!$CB$15:$CH$15,1,EC129)*(1+INDEX('Lease Cycles'!$CI$15:$CO$15,1,EC129))^INT(INT(EC130/12)/INDEX('Lease Cycles'!$CP$15:$CV$15,1,EC129))/12))),IF('Lease Cycles'!$N$15=1,'Lease Cycles'!$C$15*'Lease Cycles'!$E$15*INDEX('Lease Cycles'!$HE$15:$HK$15,1,EC129)*(1+INDEX('Lease Cycles'!$GQ$15:$GW$15,1,EC129))^INT(INT((EC$6-INDEX('Lease Cycles'!$GJ$15:$GP$15,1,EC129))/12)/INDEX('Lease Cycles'!$GX$15:$HD$15,1,EC129))/12,0)))</f>
        <v>2449.770288548781</v>
      </c>
      <c r="ED132" s="28">
        <f>IF(ED129=0,IF('Lease Cycles'!$F$15&gt;0,'Lease Cycles'!$C$15*'Lease Cycles'!$E$15/12,0),IF(ED131=1,IF('Lease Cycles'!$AT$15&gt;=9999,'Lease Cycles'!$C$15*INDEX('Lease Cycles'!$CB$15:$CH$15,1,ED129)*(1+INDEX('Lease Cycles'!$CI$15:$CO$15,1,ED129))^INT(INT(ED130/12)/INDEX('Lease Cycles'!$CP$15:$CV$15,1,ED129))/12,IF(ED129=1,IF(ED130&gt;=INDEX('Lease Cycles'!$DK$15:$DQ$15,1,ED129),IF(ED$6&gt;='Lease Cycles'!$AZ$15,'Lease Cycles'!$C$15*'Lease Cycles'!$BA$15/12,IF(ED$6&gt;='Lease Cycles'!$AX$15,'Lease Cycles'!$C$15*'Lease Cycles'!$AY$15/12,IF(ED$6&gt;='Lease Cycles'!$AV$15,'Lease Cycles'!$C$15*'Lease Cycles'!$AW$15/12,IF(ED$6&gt;='Lease Cycles'!$AT$15,'Lease Cycles'!$C$15*'Lease Cycles'!$AU$15/12,'Lease Cycles'!$C$15*INDEX('Lease Cycles'!$CB$15:$CH$15,1,ED129)*(1+INDEX('Lease Cycles'!$CI$15:$CO$15,1,ED129))^INT(INT(ED130/12)/INDEX('Lease Cycles'!$CP$15:$CV$15,1,ED129))/12)))),'Lease Cycles'!$C$15*INDEX('Lease Cycles'!$CB$15:$CH$15,1,ED129)*(1+INDEX('Lease Cycles'!$CI$15:$CO$15,1,ED129))^INT(INT(ED130/12)/INDEX('Lease Cycles'!$CP$15:$CV$15,1,ED129))/12),IF(INDEX('Lease Cycles'!$EF$15:$EL$15,1,ED129)=1,IF(AND('Lease Cycles'!$AZ$15&gt;=INDEX('Lease Cycles'!$BG$15:$BM$15,1,ED129),'Lease Cycles'!$AZ$15&lt;=ED$6),'Lease Cycles'!$C$15*'Lease Cycles'!$BA$15/12,IF(AND('Lease Cycles'!$AX$15&gt;=INDEX('Lease Cycles'!$BG$15:$BM$15,1,ED129),'Lease Cycles'!$AX$15&lt;=ED$6),'Lease Cycles'!$C$15*'Lease Cycles'!$AY$15/12,IF(AND('Lease Cycles'!$AV$15&gt;=INDEX('Lease Cycles'!$BG$15:$BM$15,1,ED129),'Lease Cycles'!$AV$15&lt;=ED$6),'Lease Cycles'!$C$15*'Lease Cycles'!$AW$15/12,IF(AND('Lease Cycles'!$AT$15&gt;=INDEX('Lease Cycles'!$BG$15:$BM$15,1,ED129),'Lease Cycles'!$AT$15&lt;=ED$6),'Lease Cycles'!$C$15*'Lease Cycles'!$AU$15/12,'Lease Cycles'!$C$15*INDEX('Lease Cycles'!$CB$15:$CH$15,1,ED129)*(1+INDEX('Lease Cycles'!$CI$15:$CO$15,1,ED129))^INT(INT(ED130/12)/INDEX('Lease Cycles'!$CP$15:$CV$15,1,ED129))/12)))),'Lease Cycles'!$C$15*INDEX('Lease Cycles'!$CB$15:$CH$15,1,ED129)*(1+INDEX('Lease Cycles'!$CI$15:$CO$15,1,ED129))^INT(INT(ED130/12)/INDEX('Lease Cycles'!$CP$15:$CV$15,1,ED129))/12))),IF('Lease Cycles'!$N$15=1,'Lease Cycles'!$C$15*'Lease Cycles'!$E$15*INDEX('Lease Cycles'!$HE$15:$HK$15,1,ED129)*(1+INDEX('Lease Cycles'!$GQ$15:$GW$15,1,ED129))^INT(INT((ED$6-INDEX('Lease Cycles'!$GJ$15:$GP$15,1,ED129))/12)/INDEX('Lease Cycles'!$GX$15:$HD$15,1,ED129))/12,0)))</f>
        <v>2449.770288548781</v>
      </c>
      <c r="EE132" s="28">
        <f>IF(EE129=0,IF('Lease Cycles'!$F$15&gt;0,'Lease Cycles'!$C$15*'Lease Cycles'!$E$15/12,0),IF(EE131=1,IF('Lease Cycles'!$AT$15&gt;=9999,'Lease Cycles'!$C$15*INDEX('Lease Cycles'!$CB$15:$CH$15,1,EE129)*(1+INDEX('Lease Cycles'!$CI$15:$CO$15,1,EE129))^INT(INT(EE130/12)/INDEX('Lease Cycles'!$CP$15:$CV$15,1,EE129))/12,IF(EE129=1,IF(EE130&gt;=INDEX('Lease Cycles'!$DK$15:$DQ$15,1,EE129),IF(EE$6&gt;='Lease Cycles'!$AZ$15,'Lease Cycles'!$C$15*'Lease Cycles'!$BA$15/12,IF(EE$6&gt;='Lease Cycles'!$AX$15,'Lease Cycles'!$C$15*'Lease Cycles'!$AY$15/12,IF(EE$6&gt;='Lease Cycles'!$AV$15,'Lease Cycles'!$C$15*'Lease Cycles'!$AW$15/12,IF(EE$6&gt;='Lease Cycles'!$AT$15,'Lease Cycles'!$C$15*'Lease Cycles'!$AU$15/12,'Lease Cycles'!$C$15*INDEX('Lease Cycles'!$CB$15:$CH$15,1,EE129)*(1+INDEX('Lease Cycles'!$CI$15:$CO$15,1,EE129))^INT(INT(EE130/12)/INDEX('Lease Cycles'!$CP$15:$CV$15,1,EE129))/12)))),'Lease Cycles'!$C$15*INDEX('Lease Cycles'!$CB$15:$CH$15,1,EE129)*(1+INDEX('Lease Cycles'!$CI$15:$CO$15,1,EE129))^INT(INT(EE130/12)/INDEX('Lease Cycles'!$CP$15:$CV$15,1,EE129))/12),IF(INDEX('Lease Cycles'!$EF$15:$EL$15,1,EE129)=1,IF(AND('Lease Cycles'!$AZ$15&gt;=INDEX('Lease Cycles'!$BG$15:$BM$15,1,EE129),'Lease Cycles'!$AZ$15&lt;=EE$6),'Lease Cycles'!$C$15*'Lease Cycles'!$BA$15/12,IF(AND('Lease Cycles'!$AX$15&gt;=INDEX('Lease Cycles'!$BG$15:$BM$15,1,EE129),'Lease Cycles'!$AX$15&lt;=EE$6),'Lease Cycles'!$C$15*'Lease Cycles'!$AY$15/12,IF(AND('Lease Cycles'!$AV$15&gt;=INDEX('Lease Cycles'!$BG$15:$BM$15,1,EE129),'Lease Cycles'!$AV$15&lt;=EE$6),'Lease Cycles'!$C$15*'Lease Cycles'!$AW$15/12,IF(AND('Lease Cycles'!$AT$15&gt;=INDEX('Lease Cycles'!$BG$15:$BM$15,1,EE129),'Lease Cycles'!$AT$15&lt;=EE$6),'Lease Cycles'!$C$15*'Lease Cycles'!$AU$15/12,'Lease Cycles'!$C$15*INDEX('Lease Cycles'!$CB$15:$CH$15,1,EE129)*(1+INDEX('Lease Cycles'!$CI$15:$CO$15,1,EE129))^INT(INT(EE130/12)/INDEX('Lease Cycles'!$CP$15:$CV$15,1,EE129))/12)))),'Lease Cycles'!$C$15*INDEX('Lease Cycles'!$CB$15:$CH$15,1,EE129)*(1+INDEX('Lease Cycles'!$CI$15:$CO$15,1,EE129))^INT(INT(EE130/12)/INDEX('Lease Cycles'!$CP$15:$CV$15,1,EE129))/12))),IF('Lease Cycles'!$N$15=1,'Lease Cycles'!$C$15*'Lease Cycles'!$E$15*INDEX('Lease Cycles'!$HE$15:$HK$15,1,EE129)*(1+INDEX('Lease Cycles'!$GQ$15:$GW$15,1,EE129))^INT(INT((EE$6-INDEX('Lease Cycles'!$GJ$15:$GP$15,1,EE129))/12)/INDEX('Lease Cycles'!$GX$15:$HD$15,1,EE129))/12,0)))</f>
        <v>2449.770288548781</v>
      </c>
      <c r="EF132" s="28">
        <f>IF(EF129=0,IF('Lease Cycles'!$F$15&gt;0,'Lease Cycles'!$C$15*'Lease Cycles'!$E$15/12,0),IF(EF131=1,IF('Lease Cycles'!$AT$15&gt;=9999,'Lease Cycles'!$C$15*INDEX('Lease Cycles'!$CB$15:$CH$15,1,EF129)*(1+INDEX('Lease Cycles'!$CI$15:$CO$15,1,EF129))^INT(INT(EF130/12)/INDEX('Lease Cycles'!$CP$15:$CV$15,1,EF129))/12,IF(EF129=1,IF(EF130&gt;=INDEX('Lease Cycles'!$DK$15:$DQ$15,1,EF129),IF(EF$6&gt;='Lease Cycles'!$AZ$15,'Lease Cycles'!$C$15*'Lease Cycles'!$BA$15/12,IF(EF$6&gt;='Lease Cycles'!$AX$15,'Lease Cycles'!$C$15*'Lease Cycles'!$AY$15/12,IF(EF$6&gt;='Lease Cycles'!$AV$15,'Lease Cycles'!$C$15*'Lease Cycles'!$AW$15/12,IF(EF$6&gt;='Lease Cycles'!$AT$15,'Lease Cycles'!$C$15*'Lease Cycles'!$AU$15/12,'Lease Cycles'!$C$15*INDEX('Lease Cycles'!$CB$15:$CH$15,1,EF129)*(1+INDEX('Lease Cycles'!$CI$15:$CO$15,1,EF129))^INT(INT(EF130/12)/INDEX('Lease Cycles'!$CP$15:$CV$15,1,EF129))/12)))),'Lease Cycles'!$C$15*INDEX('Lease Cycles'!$CB$15:$CH$15,1,EF129)*(1+INDEX('Lease Cycles'!$CI$15:$CO$15,1,EF129))^INT(INT(EF130/12)/INDEX('Lease Cycles'!$CP$15:$CV$15,1,EF129))/12),IF(INDEX('Lease Cycles'!$EF$15:$EL$15,1,EF129)=1,IF(AND('Lease Cycles'!$AZ$15&gt;=INDEX('Lease Cycles'!$BG$15:$BM$15,1,EF129),'Lease Cycles'!$AZ$15&lt;=EF$6),'Lease Cycles'!$C$15*'Lease Cycles'!$BA$15/12,IF(AND('Lease Cycles'!$AX$15&gt;=INDEX('Lease Cycles'!$BG$15:$BM$15,1,EF129),'Lease Cycles'!$AX$15&lt;=EF$6),'Lease Cycles'!$C$15*'Lease Cycles'!$AY$15/12,IF(AND('Lease Cycles'!$AV$15&gt;=INDEX('Lease Cycles'!$BG$15:$BM$15,1,EF129),'Lease Cycles'!$AV$15&lt;=EF$6),'Lease Cycles'!$C$15*'Lease Cycles'!$AW$15/12,IF(AND('Lease Cycles'!$AT$15&gt;=INDEX('Lease Cycles'!$BG$15:$BM$15,1,EF129),'Lease Cycles'!$AT$15&lt;=EF$6),'Lease Cycles'!$C$15*'Lease Cycles'!$AU$15/12,'Lease Cycles'!$C$15*INDEX('Lease Cycles'!$CB$15:$CH$15,1,EF129)*(1+INDEX('Lease Cycles'!$CI$15:$CO$15,1,EF129))^INT(INT(EF130/12)/INDEX('Lease Cycles'!$CP$15:$CV$15,1,EF129))/12)))),'Lease Cycles'!$C$15*INDEX('Lease Cycles'!$CB$15:$CH$15,1,EF129)*(1+INDEX('Lease Cycles'!$CI$15:$CO$15,1,EF129))^INT(INT(EF130/12)/INDEX('Lease Cycles'!$CP$15:$CV$15,1,EF129))/12))),IF('Lease Cycles'!$N$15=1,'Lease Cycles'!$C$15*'Lease Cycles'!$E$15*INDEX('Lease Cycles'!$HE$15:$HK$15,1,EF129)*(1+INDEX('Lease Cycles'!$GQ$15:$GW$15,1,EF129))^INT(INT((EF$6-INDEX('Lease Cycles'!$GJ$15:$GP$15,1,EF129))/12)/INDEX('Lease Cycles'!$GX$15:$HD$15,1,EF129))/12,0)))</f>
        <v>2449.770288548781</v>
      </c>
      <c r="EG132" s="28">
        <f>IF(EG129=0,IF('Lease Cycles'!$F$15&gt;0,'Lease Cycles'!$C$15*'Lease Cycles'!$E$15/12,0),IF(EG131=1,IF('Lease Cycles'!$AT$15&gt;=9999,'Lease Cycles'!$C$15*INDEX('Lease Cycles'!$CB$15:$CH$15,1,EG129)*(1+INDEX('Lease Cycles'!$CI$15:$CO$15,1,EG129))^INT(INT(EG130/12)/INDEX('Lease Cycles'!$CP$15:$CV$15,1,EG129))/12,IF(EG129=1,IF(EG130&gt;=INDEX('Lease Cycles'!$DK$15:$DQ$15,1,EG129),IF(EG$6&gt;='Lease Cycles'!$AZ$15,'Lease Cycles'!$C$15*'Lease Cycles'!$BA$15/12,IF(EG$6&gt;='Lease Cycles'!$AX$15,'Lease Cycles'!$C$15*'Lease Cycles'!$AY$15/12,IF(EG$6&gt;='Lease Cycles'!$AV$15,'Lease Cycles'!$C$15*'Lease Cycles'!$AW$15/12,IF(EG$6&gt;='Lease Cycles'!$AT$15,'Lease Cycles'!$C$15*'Lease Cycles'!$AU$15/12,'Lease Cycles'!$C$15*INDEX('Lease Cycles'!$CB$15:$CH$15,1,EG129)*(1+INDEX('Lease Cycles'!$CI$15:$CO$15,1,EG129))^INT(INT(EG130/12)/INDEX('Lease Cycles'!$CP$15:$CV$15,1,EG129))/12)))),'Lease Cycles'!$C$15*INDEX('Lease Cycles'!$CB$15:$CH$15,1,EG129)*(1+INDEX('Lease Cycles'!$CI$15:$CO$15,1,EG129))^INT(INT(EG130/12)/INDEX('Lease Cycles'!$CP$15:$CV$15,1,EG129))/12),IF(INDEX('Lease Cycles'!$EF$15:$EL$15,1,EG129)=1,IF(AND('Lease Cycles'!$AZ$15&gt;=INDEX('Lease Cycles'!$BG$15:$BM$15,1,EG129),'Lease Cycles'!$AZ$15&lt;=EG$6),'Lease Cycles'!$C$15*'Lease Cycles'!$BA$15/12,IF(AND('Lease Cycles'!$AX$15&gt;=INDEX('Lease Cycles'!$BG$15:$BM$15,1,EG129),'Lease Cycles'!$AX$15&lt;=EG$6),'Lease Cycles'!$C$15*'Lease Cycles'!$AY$15/12,IF(AND('Lease Cycles'!$AV$15&gt;=INDEX('Lease Cycles'!$BG$15:$BM$15,1,EG129),'Lease Cycles'!$AV$15&lt;=EG$6),'Lease Cycles'!$C$15*'Lease Cycles'!$AW$15/12,IF(AND('Lease Cycles'!$AT$15&gt;=INDEX('Lease Cycles'!$BG$15:$BM$15,1,EG129),'Lease Cycles'!$AT$15&lt;=EG$6),'Lease Cycles'!$C$15*'Lease Cycles'!$AU$15/12,'Lease Cycles'!$C$15*INDEX('Lease Cycles'!$CB$15:$CH$15,1,EG129)*(1+INDEX('Lease Cycles'!$CI$15:$CO$15,1,EG129))^INT(INT(EG130/12)/INDEX('Lease Cycles'!$CP$15:$CV$15,1,EG129))/12)))),'Lease Cycles'!$C$15*INDEX('Lease Cycles'!$CB$15:$CH$15,1,EG129)*(1+INDEX('Lease Cycles'!$CI$15:$CO$15,1,EG129))^INT(INT(EG130/12)/INDEX('Lease Cycles'!$CP$15:$CV$15,1,EG129))/12))),IF('Lease Cycles'!$N$15=1,'Lease Cycles'!$C$15*'Lease Cycles'!$E$15*INDEX('Lease Cycles'!$HE$15:$HK$15,1,EG129)*(1+INDEX('Lease Cycles'!$GQ$15:$GW$15,1,EG129))^INT(INT((EG$6-INDEX('Lease Cycles'!$GJ$15:$GP$15,1,EG129))/12)/INDEX('Lease Cycles'!$GX$15:$HD$15,1,EG129))/12,0)))</f>
        <v>2449.770288548781</v>
      </c>
      <c r="EH132" s="28">
        <f>IF(EH129=0,IF('Lease Cycles'!$F$15&gt;0,'Lease Cycles'!$C$15*'Lease Cycles'!$E$15/12,0),IF(EH131=1,IF('Lease Cycles'!$AT$15&gt;=9999,'Lease Cycles'!$C$15*INDEX('Lease Cycles'!$CB$15:$CH$15,1,EH129)*(1+INDEX('Lease Cycles'!$CI$15:$CO$15,1,EH129))^INT(INT(EH130/12)/INDEX('Lease Cycles'!$CP$15:$CV$15,1,EH129))/12,IF(EH129=1,IF(EH130&gt;=INDEX('Lease Cycles'!$DK$15:$DQ$15,1,EH129),IF(EH$6&gt;='Lease Cycles'!$AZ$15,'Lease Cycles'!$C$15*'Lease Cycles'!$BA$15/12,IF(EH$6&gt;='Lease Cycles'!$AX$15,'Lease Cycles'!$C$15*'Lease Cycles'!$AY$15/12,IF(EH$6&gt;='Lease Cycles'!$AV$15,'Lease Cycles'!$C$15*'Lease Cycles'!$AW$15/12,IF(EH$6&gt;='Lease Cycles'!$AT$15,'Lease Cycles'!$C$15*'Lease Cycles'!$AU$15/12,'Lease Cycles'!$C$15*INDEX('Lease Cycles'!$CB$15:$CH$15,1,EH129)*(1+INDEX('Lease Cycles'!$CI$15:$CO$15,1,EH129))^INT(INT(EH130/12)/INDEX('Lease Cycles'!$CP$15:$CV$15,1,EH129))/12)))),'Lease Cycles'!$C$15*INDEX('Lease Cycles'!$CB$15:$CH$15,1,EH129)*(1+INDEX('Lease Cycles'!$CI$15:$CO$15,1,EH129))^INT(INT(EH130/12)/INDEX('Lease Cycles'!$CP$15:$CV$15,1,EH129))/12),IF(INDEX('Lease Cycles'!$EF$15:$EL$15,1,EH129)=1,IF(AND('Lease Cycles'!$AZ$15&gt;=INDEX('Lease Cycles'!$BG$15:$BM$15,1,EH129),'Lease Cycles'!$AZ$15&lt;=EH$6),'Lease Cycles'!$C$15*'Lease Cycles'!$BA$15/12,IF(AND('Lease Cycles'!$AX$15&gt;=INDEX('Lease Cycles'!$BG$15:$BM$15,1,EH129),'Lease Cycles'!$AX$15&lt;=EH$6),'Lease Cycles'!$C$15*'Lease Cycles'!$AY$15/12,IF(AND('Lease Cycles'!$AV$15&gt;=INDEX('Lease Cycles'!$BG$15:$BM$15,1,EH129),'Lease Cycles'!$AV$15&lt;=EH$6),'Lease Cycles'!$C$15*'Lease Cycles'!$AW$15/12,IF(AND('Lease Cycles'!$AT$15&gt;=INDEX('Lease Cycles'!$BG$15:$BM$15,1,EH129),'Lease Cycles'!$AT$15&lt;=EH$6),'Lease Cycles'!$C$15*'Lease Cycles'!$AU$15/12,'Lease Cycles'!$C$15*INDEX('Lease Cycles'!$CB$15:$CH$15,1,EH129)*(1+INDEX('Lease Cycles'!$CI$15:$CO$15,1,EH129))^INT(INT(EH130/12)/INDEX('Lease Cycles'!$CP$15:$CV$15,1,EH129))/12)))),'Lease Cycles'!$C$15*INDEX('Lease Cycles'!$CB$15:$CH$15,1,EH129)*(1+INDEX('Lease Cycles'!$CI$15:$CO$15,1,EH129))^INT(INT(EH130/12)/INDEX('Lease Cycles'!$CP$15:$CV$15,1,EH129))/12))),IF('Lease Cycles'!$N$15=1,'Lease Cycles'!$C$15*'Lease Cycles'!$E$15*INDEX('Lease Cycles'!$HE$15:$HK$15,1,EH129)*(1+INDEX('Lease Cycles'!$GQ$15:$GW$15,1,EH129))^INT(INT((EH$6-INDEX('Lease Cycles'!$GJ$15:$GP$15,1,EH129))/12)/INDEX('Lease Cycles'!$GX$15:$HD$15,1,EH129))/12,0)))</f>
        <v>2449.770288548781</v>
      </c>
      <c r="EI132" s="28">
        <f>IF(EI129=0,IF('Lease Cycles'!$F$15&gt;0,'Lease Cycles'!$C$15*'Lease Cycles'!$E$15/12,0),IF(EI131=1,IF('Lease Cycles'!$AT$15&gt;=9999,'Lease Cycles'!$C$15*INDEX('Lease Cycles'!$CB$15:$CH$15,1,EI129)*(1+INDEX('Lease Cycles'!$CI$15:$CO$15,1,EI129))^INT(INT(EI130/12)/INDEX('Lease Cycles'!$CP$15:$CV$15,1,EI129))/12,IF(EI129=1,IF(EI130&gt;=INDEX('Lease Cycles'!$DK$15:$DQ$15,1,EI129),IF(EI$6&gt;='Lease Cycles'!$AZ$15,'Lease Cycles'!$C$15*'Lease Cycles'!$BA$15/12,IF(EI$6&gt;='Lease Cycles'!$AX$15,'Lease Cycles'!$C$15*'Lease Cycles'!$AY$15/12,IF(EI$6&gt;='Lease Cycles'!$AV$15,'Lease Cycles'!$C$15*'Lease Cycles'!$AW$15/12,IF(EI$6&gt;='Lease Cycles'!$AT$15,'Lease Cycles'!$C$15*'Lease Cycles'!$AU$15/12,'Lease Cycles'!$C$15*INDEX('Lease Cycles'!$CB$15:$CH$15,1,EI129)*(1+INDEX('Lease Cycles'!$CI$15:$CO$15,1,EI129))^INT(INT(EI130/12)/INDEX('Lease Cycles'!$CP$15:$CV$15,1,EI129))/12)))),'Lease Cycles'!$C$15*INDEX('Lease Cycles'!$CB$15:$CH$15,1,EI129)*(1+INDEX('Lease Cycles'!$CI$15:$CO$15,1,EI129))^INT(INT(EI130/12)/INDEX('Lease Cycles'!$CP$15:$CV$15,1,EI129))/12),IF(INDEX('Lease Cycles'!$EF$15:$EL$15,1,EI129)=1,IF(AND('Lease Cycles'!$AZ$15&gt;=INDEX('Lease Cycles'!$BG$15:$BM$15,1,EI129),'Lease Cycles'!$AZ$15&lt;=EI$6),'Lease Cycles'!$C$15*'Lease Cycles'!$BA$15/12,IF(AND('Lease Cycles'!$AX$15&gt;=INDEX('Lease Cycles'!$BG$15:$BM$15,1,EI129),'Lease Cycles'!$AX$15&lt;=EI$6),'Lease Cycles'!$C$15*'Lease Cycles'!$AY$15/12,IF(AND('Lease Cycles'!$AV$15&gt;=INDEX('Lease Cycles'!$BG$15:$BM$15,1,EI129),'Lease Cycles'!$AV$15&lt;=EI$6),'Lease Cycles'!$C$15*'Lease Cycles'!$AW$15/12,IF(AND('Lease Cycles'!$AT$15&gt;=INDEX('Lease Cycles'!$BG$15:$BM$15,1,EI129),'Lease Cycles'!$AT$15&lt;=EI$6),'Lease Cycles'!$C$15*'Lease Cycles'!$AU$15/12,'Lease Cycles'!$C$15*INDEX('Lease Cycles'!$CB$15:$CH$15,1,EI129)*(1+INDEX('Lease Cycles'!$CI$15:$CO$15,1,EI129))^INT(INT(EI130/12)/INDEX('Lease Cycles'!$CP$15:$CV$15,1,EI129))/12)))),'Lease Cycles'!$C$15*INDEX('Lease Cycles'!$CB$15:$CH$15,1,EI129)*(1+INDEX('Lease Cycles'!$CI$15:$CO$15,1,EI129))^INT(INT(EI130/12)/INDEX('Lease Cycles'!$CP$15:$CV$15,1,EI129))/12))),IF('Lease Cycles'!$N$15=1,'Lease Cycles'!$C$15*'Lease Cycles'!$E$15*INDEX('Lease Cycles'!$HE$15:$HK$15,1,EI129)*(1+INDEX('Lease Cycles'!$GQ$15:$GW$15,1,EI129))^INT(INT((EI$6-INDEX('Lease Cycles'!$GJ$15:$GP$15,1,EI129))/12)/INDEX('Lease Cycles'!$GX$15:$HD$15,1,EI129))/12,0)))</f>
        <v>2449.770288548781</v>
      </c>
      <c r="EJ132" s="28">
        <f>IF(EJ129=0,IF('Lease Cycles'!$F$15&gt;0,'Lease Cycles'!$C$15*'Lease Cycles'!$E$15/12,0),IF(EJ131=1,IF('Lease Cycles'!$AT$15&gt;=9999,'Lease Cycles'!$C$15*INDEX('Lease Cycles'!$CB$15:$CH$15,1,EJ129)*(1+INDEX('Lease Cycles'!$CI$15:$CO$15,1,EJ129))^INT(INT(EJ130/12)/INDEX('Lease Cycles'!$CP$15:$CV$15,1,EJ129))/12,IF(EJ129=1,IF(EJ130&gt;=INDEX('Lease Cycles'!$DK$15:$DQ$15,1,EJ129),IF(EJ$6&gt;='Lease Cycles'!$AZ$15,'Lease Cycles'!$C$15*'Lease Cycles'!$BA$15/12,IF(EJ$6&gt;='Lease Cycles'!$AX$15,'Lease Cycles'!$C$15*'Lease Cycles'!$AY$15/12,IF(EJ$6&gt;='Lease Cycles'!$AV$15,'Lease Cycles'!$C$15*'Lease Cycles'!$AW$15/12,IF(EJ$6&gt;='Lease Cycles'!$AT$15,'Lease Cycles'!$C$15*'Lease Cycles'!$AU$15/12,'Lease Cycles'!$C$15*INDEX('Lease Cycles'!$CB$15:$CH$15,1,EJ129)*(1+INDEX('Lease Cycles'!$CI$15:$CO$15,1,EJ129))^INT(INT(EJ130/12)/INDEX('Lease Cycles'!$CP$15:$CV$15,1,EJ129))/12)))),'Lease Cycles'!$C$15*INDEX('Lease Cycles'!$CB$15:$CH$15,1,EJ129)*(1+INDEX('Lease Cycles'!$CI$15:$CO$15,1,EJ129))^INT(INT(EJ130/12)/INDEX('Lease Cycles'!$CP$15:$CV$15,1,EJ129))/12),IF(INDEX('Lease Cycles'!$EF$15:$EL$15,1,EJ129)=1,IF(AND('Lease Cycles'!$AZ$15&gt;=INDEX('Lease Cycles'!$BG$15:$BM$15,1,EJ129),'Lease Cycles'!$AZ$15&lt;=EJ$6),'Lease Cycles'!$C$15*'Lease Cycles'!$BA$15/12,IF(AND('Lease Cycles'!$AX$15&gt;=INDEX('Lease Cycles'!$BG$15:$BM$15,1,EJ129),'Lease Cycles'!$AX$15&lt;=EJ$6),'Lease Cycles'!$C$15*'Lease Cycles'!$AY$15/12,IF(AND('Lease Cycles'!$AV$15&gt;=INDEX('Lease Cycles'!$BG$15:$BM$15,1,EJ129),'Lease Cycles'!$AV$15&lt;=EJ$6),'Lease Cycles'!$C$15*'Lease Cycles'!$AW$15/12,IF(AND('Lease Cycles'!$AT$15&gt;=INDEX('Lease Cycles'!$BG$15:$BM$15,1,EJ129),'Lease Cycles'!$AT$15&lt;=EJ$6),'Lease Cycles'!$C$15*'Lease Cycles'!$AU$15/12,'Lease Cycles'!$C$15*INDEX('Lease Cycles'!$CB$15:$CH$15,1,EJ129)*(1+INDEX('Lease Cycles'!$CI$15:$CO$15,1,EJ129))^INT(INT(EJ130/12)/INDEX('Lease Cycles'!$CP$15:$CV$15,1,EJ129))/12)))),'Lease Cycles'!$C$15*INDEX('Lease Cycles'!$CB$15:$CH$15,1,EJ129)*(1+INDEX('Lease Cycles'!$CI$15:$CO$15,1,EJ129))^INT(INT(EJ130/12)/INDEX('Lease Cycles'!$CP$15:$CV$15,1,EJ129))/12))),IF('Lease Cycles'!$N$15=1,'Lease Cycles'!$C$15*'Lease Cycles'!$E$15*INDEX('Lease Cycles'!$HE$15:$HK$15,1,EJ129)*(1+INDEX('Lease Cycles'!$GQ$15:$GW$15,1,EJ129))^INT(INT((EJ$6-INDEX('Lease Cycles'!$GJ$15:$GP$15,1,EJ129))/12)/INDEX('Lease Cycles'!$GX$15:$HD$15,1,EJ129))/12,0)))</f>
        <v>2449.770288548781</v>
      </c>
      <c r="EK132" s="28">
        <f>IF(EK129=0,IF('Lease Cycles'!$F$15&gt;0,'Lease Cycles'!$C$15*'Lease Cycles'!$E$15/12,0),IF(EK131=1,IF('Lease Cycles'!$AT$15&gt;=9999,'Lease Cycles'!$C$15*INDEX('Lease Cycles'!$CB$15:$CH$15,1,EK129)*(1+INDEX('Lease Cycles'!$CI$15:$CO$15,1,EK129))^INT(INT(EK130/12)/INDEX('Lease Cycles'!$CP$15:$CV$15,1,EK129))/12,IF(EK129=1,IF(EK130&gt;=INDEX('Lease Cycles'!$DK$15:$DQ$15,1,EK129),IF(EK$6&gt;='Lease Cycles'!$AZ$15,'Lease Cycles'!$C$15*'Lease Cycles'!$BA$15/12,IF(EK$6&gt;='Lease Cycles'!$AX$15,'Lease Cycles'!$C$15*'Lease Cycles'!$AY$15/12,IF(EK$6&gt;='Lease Cycles'!$AV$15,'Lease Cycles'!$C$15*'Lease Cycles'!$AW$15/12,IF(EK$6&gt;='Lease Cycles'!$AT$15,'Lease Cycles'!$C$15*'Lease Cycles'!$AU$15/12,'Lease Cycles'!$C$15*INDEX('Lease Cycles'!$CB$15:$CH$15,1,EK129)*(1+INDEX('Lease Cycles'!$CI$15:$CO$15,1,EK129))^INT(INT(EK130/12)/INDEX('Lease Cycles'!$CP$15:$CV$15,1,EK129))/12)))),'Lease Cycles'!$C$15*INDEX('Lease Cycles'!$CB$15:$CH$15,1,EK129)*(1+INDEX('Lease Cycles'!$CI$15:$CO$15,1,EK129))^INT(INT(EK130/12)/INDEX('Lease Cycles'!$CP$15:$CV$15,1,EK129))/12),IF(INDEX('Lease Cycles'!$EF$15:$EL$15,1,EK129)=1,IF(AND('Lease Cycles'!$AZ$15&gt;=INDEX('Lease Cycles'!$BG$15:$BM$15,1,EK129),'Lease Cycles'!$AZ$15&lt;=EK$6),'Lease Cycles'!$C$15*'Lease Cycles'!$BA$15/12,IF(AND('Lease Cycles'!$AX$15&gt;=INDEX('Lease Cycles'!$BG$15:$BM$15,1,EK129),'Lease Cycles'!$AX$15&lt;=EK$6),'Lease Cycles'!$C$15*'Lease Cycles'!$AY$15/12,IF(AND('Lease Cycles'!$AV$15&gt;=INDEX('Lease Cycles'!$BG$15:$BM$15,1,EK129),'Lease Cycles'!$AV$15&lt;=EK$6),'Lease Cycles'!$C$15*'Lease Cycles'!$AW$15/12,IF(AND('Lease Cycles'!$AT$15&gt;=INDEX('Lease Cycles'!$BG$15:$BM$15,1,EK129),'Lease Cycles'!$AT$15&lt;=EK$6),'Lease Cycles'!$C$15*'Lease Cycles'!$AU$15/12,'Lease Cycles'!$C$15*INDEX('Lease Cycles'!$CB$15:$CH$15,1,EK129)*(1+INDEX('Lease Cycles'!$CI$15:$CO$15,1,EK129))^INT(INT(EK130/12)/INDEX('Lease Cycles'!$CP$15:$CV$15,1,EK129))/12)))),'Lease Cycles'!$C$15*INDEX('Lease Cycles'!$CB$15:$CH$15,1,EK129)*(1+INDEX('Lease Cycles'!$CI$15:$CO$15,1,EK129))^INT(INT(EK130/12)/INDEX('Lease Cycles'!$CP$15:$CV$15,1,EK129))/12))),IF('Lease Cycles'!$N$15=1,'Lease Cycles'!$C$15*'Lease Cycles'!$E$15*INDEX('Lease Cycles'!$HE$15:$HK$15,1,EK129)*(1+INDEX('Lease Cycles'!$GQ$15:$GW$15,1,EK129))^INT(INT((EK$6-INDEX('Lease Cycles'!$GJ$15:$GP$15,1,EK129))/12)/INDEX('Lease Cycles'!$GX$15:$HD$15,1,EK129))/12,0)))</f>
        <v>2449.770288548781</v>
      </c>
      <c r="EL132" s="28">
        <f>IF(EL129=0,IF('Lease Cycles'!$F$15&gt;0,'Lease Cycles'!$C$15*'Lease Cycles'!$E$15/12,0),IF(EL131=1,IF('Lease Cycles'!$AT$15&gt;=9999,'Lease Cycles'!$C$15*INDEX('Lease Cycles'!$CB$15:$CH$15,1,EL129)*(1+INDEX('Lease Cycles'!$CI$15:$CO$15,1,EL129))^INT(INT(EL130/12)/INDEX('Lease Cycles'!$CP$15:$CV$15,1,EL129))/12,IF(EL129=1,IF(EL130&gt;=INDEX('Lease Cycles'!$DK$15:$DQ$15,1,EL129),IF(EL$6&gt;='Lease Cycles'!$AZ$15,'Lease Cycles'!$C$15*'Lease Cycles'!$BA$15/12,IF(EL$6&gt;='Lease Cycles'!$AX$15,'Lease Cycles'!$C$15*'Lease Cycles'!$AY$15/12,IF(EL$6&gt;='Lease Cycles'!$AV$15,'Lease Cycles'!$C$15*'Lease Cycles'!$AW$15/12,IF(EL$6&gt;='Lease Cycles'!$AT$15,'Lease Cycles'!$C$15*'Lease Cycles'!$AU$15/12,'Lease Cycles'!$C$15*INDEX('Lease Cycles'!$CB$15:$CH$15,1,EL129)*(1+INDEX('Lease Cycles'!$CI$15:$CO$15,1,EL129))^INT(INT(EL130/12)/INDEX('Lease Cycles'!$CP$15:$CV$15,1,EL129))/12)))),'Lease Cycles'!$C$15*INDEX('Lease Cycles'!$CB$15:$CH$15,1,EL129)*(1+INDEX('Lease Cycles'!$CI$15:$CO$15,1,EL129))^INT(INT(EL130/12)/INDEX('Lease Cycles'!$CP$15:$CV$15,1,EL129))/12),IF(INDEX('Lease Cycles'!$EF$15:$EL$15,1,EL129)=1,IF(AND('Lease Cycles'!$AZ$15&gt;=INDEX('Lease Cycles'!$BG$15:$BM$15,1,EL129),'Lease Cycles'!$AZ$15&lt;=EL$6),'Lease Cycles'!$C$15*'Lease Cycles'!$BA$15/12,IF(AND('Lease Cycles'!$AX$15&gt;=INDEX('Lease Cycles'!$BG$15:$BM$15,1,EL129),'Lease Cycles'!$AX$15&lt;=EL$6),'Lease Cycles'!$C$15*'Lease Cycles'!$AY$15/12,IF(AND('Lease Cycles'!$AV$15&gt;=INDEX('Lease Cycles'!$BG$15:$BM$15,1,EL129),'Lease Cycles'!$AV$15&lt;=EL$6),'Lease Cycles'!$C$15*'Lease Cycles'!$AW$15/12,IF(AND('Lease Cycles'!$AT$15&gt;=INDEX('Lease Cycles'!$BG$15:$BM$15,1,EL129),'Lease Cycles'!$AT$15&lt;=EL$6),'Lease Cycles'!$C$15*'Lease Cycles'!$AU$15/12,'Lease Cycles'!$C$15*INDEX('Lease Cycles'!$CB$15:$CH$15,1,EL129)*(1+INDEX('Lease Cycles'!$CI$15:$CO$15,1,EL129))^INT(INT(EL130/12)/INDEX('Lease Cycles'!$CP$15:$CV$15,1,EL129))/12)))),'Lease Cycles'!$C$15*INDEX('Lease Cycles'!$CB$15:$CH$15,1,EL129)*(1+INDEX('Lease Cycles'!$CI$15:$CO$15,1,EL129))^INT(INT(EL130/12)/INDEX('Lease Cycles'!$CP$15:$CV$15,1,EL129))/12))),IF('Lease Cycles'!$N$15=1,'Lease Cycles'!$C$15*'Lease Cycles'!$E$15*INDEX('Lease Cycles'!$HE$15:$HK$15,1,EL129)*(1+INDEX('Lease Cycles'!$GQ$15:$GW$15,1,EL129))^INT(INT((EL$6-INDEX('Lease Cycles'!$GJ$15:$GP$15,1,EL129))/12)/INDEX('Lease Cycles'!$GX$15:$HD$15,1,EL129))/12,0)))</f>
        <v>2449.770288548781</v>
      </c>
      <c r="EM132" s="28">
        <f>IF(EM129=0,IF('Lease Cycles'!$F$15&gt;0,'Lease Cycles'!$C$15*'Lease Cycles'!$E$15/12,0),IF(EM131=1,IF('Lease Cycles'!$AT$15&gt;=9999,'Lease Cycles'!$C$15*INDEX('Lease Cycles'!$CB$15:$CH$15,1,EM129)*(1+INDEX('Lease Cycles'!$CI$15:$CO$15,1,EM129))^INT(INT(EM130/12)/INDEX('Lease Cycles'!$CP$15:$CV$15,1,EM129))/12,IF(EM129=1,IF(EM130&gt;=INDEX('Lease Cycles'!$DK$15:$DQ$15,1,EM129),IF(EM$6&gt;='Lease Cycles'!$AZ$15,'Lease Cycles'!$C$15*'Lease Cycles'!$BA$15/12,IF(EM$6&gt;='Lease Cycles'!$AX$15,'Lease Cycles'!$C$15*'Lease Cycles'!$AY$15/12,IF(EM$6&gt;='Lease Cycles'!$AV$15,'Lease Cycles'!$C$15*'Lease Cycles'!$AW$15/12,IF(EM$6&gt;='Lease Cycles'!$AT$15,'Lease Cycles'!$C$15*'Lease Cycles'!$AU$15/12,'Lease Cycles'!$C$15*INDEX('Lease Cycles'!$CB$15:$CH$15,1,EM129)*(1+INDEX('Lease Cycles'!$CI$15:$CO$15,1,EM129))^INT(INT(EM130/12)/INDEX('Lease Cycles'!$CP$15:$CV$15,1,EM129))/12)))),'Lease Cycles'!$C$15*INDEX('Lease Cycles'!$CB$15:$CH$15,1,EM129)*(1+INDEX('Lease Cycles'!$CI$15:$CO$15,1,EM129))^INT(INT(EM130/12)/INDEX('Lease Cycles'!$CP$15:$CV$15,1,EM129))/12),IF(INDEX('Lease Cycles'!$EF$15:$EL$15,1,EM129)=1,IF(AND('Lease Cycles'!$AZ$15&gt;=INDEX('Lease Cycles'!$BG$15:$BM$15,1,EM129),'Lease Cycles'!$AZ$15&lt;=EM$6),'Lease Cycles'!$C$15*'Lease Cycles'!$BA$15/12,IF(AND('Lease Cycles'!$AX$15&gt;=INDEX('Lease Cycles'!$BG$15:$BM$15,1,EM129),'Lease Cycles'!$AX$15&lt;=EM$6),'Lease Cycles'!$C$15*'Lease Cycles'!$AY$15/12,IF(AND('Lease Cycles'!$AV$15&gt;=INDEX('Lease Cycles'!$BG$15:$BM$15,1,EM129),'Lease Cycles'!$AV$15&lt;=EM$6),'Lease Cycles'!$C$15*'Lease Cycles'!$AW$15/12,IF(AND('Lease Cycles'!$AT$15&gt;=INDEX('Lease Cycles'!$BG$15:$BM$15,1,EM129),'Lease Cycles'!$AT$15&lt;=EM$6),'Lease Cycles'!$C$15*'Lease Cycles'!$AU$15/12,'Lease Cycles'!$C$15*INDEX('Lease Cycles'!$CB$15:$CH$15,1,EM129)*(1+INDEX('Lease Cycles'!$CI$15:$CO$15,1,EM129))^INT(INT(EM130/12)/INDEX('Lease Cycles'!$CP$15:$CV$15,1,EM129))/12)))),'Lease Cycles'!$C$15*INDEX('Lease Cycles'!$CB$15:$CH$15,1,EM129)*(1+INDEX('Lease Cycles'!$CI$15:$CO$15,1,EM129))^INT(INT(EM130/12)/INDEX('Lease Cycles'!$CP$15:$CV$15,1,EM129))/12))),IF('Lease Cycles'!$N$15=1,'Lease Cycles'!$C$15*'Lease Cycles'!$E$15*INDEX('Lease Cycles'!$HE$15:$HK$15,1,EM129)*(1+INDEX('Lease Cycles'!$GQ$15:$GW$15,1,EM129))^INT(INT((EM$6-INDEX('Lease Cycles'!$GJ$15:$GP$15,1,EM129))/12)/INDEX('Lease Cycles'!$GX$15:$HD$15,1,EM129))/12,0)))</f>
        <v>2449.770288548781</v>
      </c>
      <c r="EN132" s="28">
        <f>IF(EN129=0,IF('Lease Cycles'!$F$15&gt;0,'Lease Cycles'!$C$15*'Lease Cycles'!$E$15/12,0),IF(EN131=1,IF('Lease Cycles'!$AT$15&gt;=9999,'Lease Cycles'!$C$15*INDEX('Lease Cycles'!$CB$15:$CH$15,1,EN129)*(1+INDEX('Lease Cycles'!$CI$15:$CO$15,1,EN129))^INT(INT(EN130/12)/INDEX('Lease Cycles'!$CP$15:$CV$15,1,EN129))/12,IF(EN129=1,IF(EN130&gt;=INDEX('Lease Cycles'!$DK$15:$DQ$15,1,EN129),IF(EN$6&gt;='Lease Cycles'!$AZ$15,'Lease Cycles'!$C$15*'Lease Cycles'!$BA$15/12,IF(EN$6&gt;='Lease Cycles'!$AX$15,'Lease Cycles'!$C$15*'Lease Cycles'!$AY$15/12,IF(EN$6&gt;='Lease Cycles'!$AV$15,'Lease Cycles'!$C$15*'Lease Cycles'!$AW$15/12,IF(EN$6&gt;='Lease Cycles'!$AT$15,'Lease Cycles'!$C$15*'Lease Cycles'!$AU$15/12,'Lease Cycles'!$C$15*INDEX('Lease Cycles'!$CB$15:$CH$15,1,EN129)*(1+INDEX('Lease Cycles'!$CI$15:$CO$15,1,EN129))^INT(INT(EN130/12)/INDEX('Lease Cycles'!$CP$15:$CV$15,1,EN129))/12)))),'Lease Cycles'!$C$15*INDEX('Lease Cycles'!$CB$15:$CH$15,1,EN129)*(1+INDEX('Lease Cycles'!$CI$15:$CO$15,1,EN129))^INT(INT(EN130/12)/INDEX('Lease Cycles'!$CP$15:$CV$15,1,EN129))/12),IF(INDEX('Lease Cycles'!$EF$15:$EL$15,1,EN129)=1,IF(AND('Lease Cycles'!$AZ$15&gt;=INDEX('Lease Cycles'!$BG$15:$BM$15,1,EN129),'Lease Cycles'!$AZ$15&lt;=EN$6),'Lease Cycles'!$C$15*'Lease Cycles'!$BA$15/12,IF(AND('Lease Cycles'!$AX$15&gt;=INDEX('Lease Cycles'!$BG$15:$BM$15,1,EN129),'Lease Cycles'!$AX$15&lt;=EN$6),'Lease Cycles'!$C$15*'Lease Cycles'!$AY$15/12,IF(AND('Lease Cycles'!$AV$15&gt;=INDEX('Lease Cycles'!$BG$15:$BM$15,1,EN129),'Lease Cycles'!$AV$15&lt;=EN$6),'Lease Cycles'!$C$15*'Lease Cycles'!$AW$15/12,IF(AND('Lease Cycles'!$AT$15&gt;=INDEX('Lease Cycles'!$BG$15:$BM$15,1,EN129),'Lease Cycles'!$AT$15&lt;=EN$6),'Lease Cycles'!$C$15*'Lease Cycles'!$AU$15/12,'Lease Cycles'!$C$15*INDEX('Lease Cycles'!$CB$15:$CH$15,1,EN129)*(1+INDEX('Lease Cycles'!$CI$15:$CO$15,1,EN129))^INT(INT(EN130/12)/INDEX('Lease Cycles'!$CP$15:$CV$15,1,EN129))/12)))),'Lease Cycles'!$C$15*INDEX('Lease Cycles'!$CB$15:$CH$15,1,EN129)*(1+INDEX('Lease Cycles'!$CI$15:$CO$15,1,EN129))^INT(INT(EN130/12)/INDEX('Lease Cycles'!$CP$15:$CV$15,1,EN129))/12))),IF('Lease Cycles'!$N$15=1,'Lease Cycles'!$C$15*'Lease Cycles'!$E$15*INDEX('Lease Cycles'!$HE$15:$HK$15,1,EN129)*(1+INDEX('Lease Cycles'!$GQ$15:$GW$15,1,EN129))^INT(INT((EN$6-INDEX('Lease Cycles'!$GJ$15:$GP$15,1,EN129))/12)/INDEX('Lease Cycles'!$GX$15:$HD$15,1,EN129))/12,0)))</f>
        <v>2449.770288548781</v>
      </c>
      <c r="EO132" s="28">
        <f>IF(EO129=0,IF('Lease Cycles'!$F$15&gt;0,'Lease Cycles'!$C$15*'Lease Cycles'!$E$15/12,0),IF(EO131=1,IF('Lease Cycles'!$AT$15&gt;=9999,'Lease Cycles'!$C$15*INDEX('Lease Cycles'!$CB$15:$CH$15,1,EO129)*(1+INDEX('Lease Cycles'!$CI$15:$CO$15,1,EO129))^INT(INT(EO130/12)/INDEX('Lease Cycles'!$CP$15:$CV$15,1,EO129))/12,IF(EO129=1,IF(EO130&gt;=INDEX('Lease Cycles'!$DK$15:$DQ$15,1,EO129),IF(EO$6&gt;='Lease Cycles'!$AZ$15,'Lease Cycles'!$C$15*'Lease Cycles'!$BA$15/12,IF(EO$6&gt;='Lease Cycles'!$AX$15,'Lease Cycles'!$C$15*'Lease Cycles'!$AY$15/12,IF(EO$6&gt;='Lease Cycles'!$AV$15,'Lease Cycles'!$C$15*'Lease Cycles'!$AW$15/12,IF(EO$6&gt;='Lease Cycles'!$AT$15,'Lease Cycles'!$C$15*'Lease Cycles'!$AU$15/12,'Lease Cycles'!$C$15*INDEX('Lease Cycles'!$CB$15:$CH$15,1,EO129)*(1+INDEX('Lease Cycles'!$CI$15:$CO$15,1,EO129))^INT(INT(EO130/12)/INDEX('Lease Cycles'!$CP$15:$CV$15,1,EO129))/12)))),'Lease Cycles'!$C$15*INDEX('Lease Cycles'!$CB$15:$CH$15,1,EO129)*(1+INDEX('Lease Cycles'!$CI$15:$CO$15,1,EO129))^INT(INT(EO130/12)/INDEX('Lease Cycles'!$CP$15:$CV$15,1,EO129))/12),IF(INDEX('Lease Cycles'!$EF$15:$EL$15,1,EO129)=1,IF(AND('Lease Cycles'!$AZ$15&gt;=INDEX('Lease Cycles'!$BG$15:$BM$15,1,EO129),'Lease Cycles'!$AZ$15&lt;=EO$6),'Lease Cycles'!$C$15*'Lease Cycles'!$BA$15/12,IF(AND('Lease Cycles'!$AX$15&gt;=INDEX('Lease Cycles'!$BG$15:$BM$15,1,EO129),'Lease Cycles'!$AX$15&lt;=EO$6),'Lease Cycles'!$C$15*'Lease Cycles'!$AY$15/12,IF(AND('Lease Cycles'!$AV$15&gt;=INDEX('Lease Cycles'!$BG$15:$BM$15,1,EO129),'Lease Cycles'!$AV$15&lt;=EO$6),'Lease Cycles'!$C$15*'Lease Cycles'!$AW$15/12,IF(AND('Lease Cycles'!$AT$15&gt;=INDEX('Lease Cycles'!$BG$15:$BM$15,1,EO129),'Lease Cycles'!$AT$15&lt;=EO$6),'Lease Cycles'!$C$15*'Lease Cycles'!$AU$15/12,'Lease Cycles'!$C$15*INDEX('Lease Cycles'!$CB$15:$CH$15,1,EO129)*(1+INDEX('Lease Cycles'!$CI$15:$CO$15,1,EO129))^INT(INT(EO130/12)/INDEX('Lease Cycles'!$CP$15:$CV$15,1,EO129))/12)))),'Lease Cycles'!$C$15*INDEX('Lease Cycles'!$CB$15:$CH$15,1,EO129)*(1+INDEX('Lease Cycles'!$CI$15:$CO$15,1,EO129))^INT(INT(EO130/12)/INDEX('Lease Cycles'!$CP$15:$CV$15,1,EO129))/12))),IF('Lease Cycles'!$N$15=1,'Lease Cycles'!$C$15*'Lease Cycles'!$E$15*INDEX('Lease Cycles'!$HE$15:$HK$15,1,EO129)*(1+INDEX('Lease Cycles'!$GQ$15:$GW$15,1,EO129))^INT(INT((EO$6-INDEX('Lease Cycles'!$GJ$15:$GP$15,1,EO129))/12)/INDEX('Lease Cycles'!$GX$15:$HD$15,1,EO129))/12,0)))</f>
        <v>2523.263397205245</v>
      </c>
      <c r="EP132" s="28">
        <f>IF(EP129=0,IF('Lease Cycles'!$F$15&gt;0,'Lease Cycles'!$C$15*'Lease Cycles'!$E$15/12,0),IF(EP131=1,IF('Lease Cycles'!$AT$15&gt;=9999,'Lease Cycles'!$C$15*INDEX('Lease Cycles'!$CB$15:$CH$15,1,EP129)*(1+INDEX('Lease Cycles'!$CI$15:$CO$15,1,EP129))^INT(INT(EP130/12)/INDEX('Lease Cycles'!$CP$15:$CV$15,1,EP129))/12,IF(EP129=1,IF(EP130&gt;=INDEX('Lease Cycles'!$DK$15:$DQ$15,1,EP129),IF(EP$6&gt;='Lease Cycles'!$AZ$15,'Lease Cycles'!$C$15*'Lease Cycles'!$BA$15/12,IF(EP$6&gt;='Lease Cycles'!$AX$15,'Lease Cycles'!$C$15*'Lease Cycles'!$AY$15/12,IF(EP$6&gt;='Lease Cycles'!$AV$15,'Lease Cycles'!$C$15*'Lease Cycles'!$AW$15/12,IF(EP$6&gt;='Lease Cycles'!$AT$15,'Lease Cycles'!$C$15*'Lease Cycles'!$AU$15/12,'Lease Cycles'!$C$15*INDEX('Lease Cycles'!$CB$15:$CH$15,1,EP129)*(1+INDEX('Lease Cycles'!$CI$15:$CO$15,1,EP129))^INT(INT(EP130/12)/INDEX('Lease Cycles'!$CP$15:$CV$15,1,EP129))/12)))),'Lease Cycles'!$C$15*INDEX('Lease Cycles'!$CB$15:$CH$15,1,EP129)*(1+INDEX('Lease Cycles'!$CI$15:$CO$15,1,EP129))^INT(INT(EP130/12)/INDEX('Lease Cycles'!$CP$15:$CV$15,1,EP129))/12),IF(INDEX('Lease Cycles'!$EF$15:$EL$15,1,EP129)=1,IF(AND('Lease Cycles'!$AZ$15&gt;=INDEX('Lease Cycles'!$BG$15:$BM$15,1,EP129),'Lease Cycles'!$AZ$15&lt;=EP$6),'Lease Cycles'!$C$15*'Lease Cycles'!$BA$15/12,IF(AND('Lease Cycles'!$AX$15&gt;=INDEX('Lease Cycles'!$BG$15:$BM$15,1,EP129),'Lease Cycles'!$AX$15&lt;=EP$6),'Lease Cycles'!$C$15*'Lease Cycles'!$AY$15/12,IF(AND('Lease Cycles'!$AV$15&gt;=INDEX('Lease Cycles'!$BG$15:$BM$15,1,EP129),'Lease Cycles'!$AV$15&lt;=EP$6),'Lease Cycles'!$C$15*'Lease Cycles'!$AW$15/12,IF(AND('Lease Cycles'!$AT$15&gt;=INDEX('Lease Cycles'!$BG$15:$BM$15,1,EP129),'Lease Cycles'!$AT$15&lt;=EP$6),'Lease Cycles'!$C$15*'Lease Cycles'!$AU$15/12,'Lease Cycles'!$C$15*INDEX('Lease Cycles'!$CB$15:$CH$15,1,EP129)*(1+INDEX('Lease Cycles'!$CI$15:$CO$15,1,EP129))^INT(INT(EP130/12)/INDEX('Lease Cycles'!$CP$15:$CV$15,1,EP129))/12)))),'Lease Cycles'!$C$15*INDEX('Lease Cycles'!$CB$15:$CH$15,1,EP129)*(1+INDEX('Lease Cycles'!$CI$15:$CO$15,1,EP129))^INT(INT(EP130/12)/INDEX('Lease Cycles'!$CP$15:$CV$15,1,EP129))/12))),IF('Lease Cycles'!$N$15=1,'Lease Cycles'!$C$15*'Lease Cycles'!$E$15*INDEX('Lease Cycles'!$HE$15:$HK$15,1,EP129)*(1+INDEX('Lease Cycles'!$GQ$15:$GW$15,1,EP129))^INT(INT((EP$6-INDEX('Lease Cycles'!$GJ$15:$GP$15,1,EP129))/12)/INDEX('Lease Cycles'!$GX$15:$HD$15,1,EP129))/12,0)))</f>
        <v>2523.263397205245</v>
      </c>
      <c r="EQ132" s="28">
        <f>IF(EQ129=0,IF('Lease Cycles'!$F$15&gt;0,'Lease Cycles'!$C$15*'Lease Cycles'!$E$15/12,0),IF(EQ131=1,IF('Lease Cycles'!$AT$15&gt;=9999,'Lease Cycles'!$C$15*INDEX('Lease Cycles'!$CB$15:$CH$15,1,EQ129)*(1+INDEX('Lease Cycles'!$CI$15:$CO$15,1,EQ129))^INT(INT(EQ130/12)/INDEX('Lease Cycles'!$CP$15:$CV$15,1,EQ129))/12,IF(EQ129=1,IF(EQ130&gt;=INDEX('Lease Cycles'!$DK$15:$DQ$15,1,EQ129),IF(EQ$6&gt;='Lease Cycles'!$AZ$15,'Lease Cycles'!$C$15*'Lease Cycles'!$BA$15/12,IF(EQ$6&gt;='Lease Cycles'!$AX$15,'Lease Cycles'!$C$15*'Lease Cycles'!$AY$15/12,IF(EQ$6&gt;='Lease Cycles'!$AV$15,'Lease Cycles'!$C$15*'Lease Cycles'!$AW$15/12,IF(EQ$6&gt;='Lease Cycles'!$AT$15,'Lease Cycles'!$C$15*'Lease Cycles'!$AU$15/12,'Lease Cycles'!$C$15*INDEX('Lease Cycles'!$CB$15:$CH$15,1,EQ129)*(1+INDEX('Lease Cycles'!$CI$15:$CO$15,1,EQ129))^INT(INT(EQ130/12)/INDEX('Lease Cycles'!$CP$15:$CV$15,1,EQ129))/12)))),'Lease Cycles'!$C$15*INDEX('Lease Cycles'!$CB$15:$CH$15,1,EQ129)*(1+INDEX('Lease Cycles'!$CI$15:$CO$15,1,EQ129))^INT(INT(EQ130/12)/INDEX('Lease Cycles'!$CP$15:$CV$15,1,EQ129))/12),IF(INDEX('Lease Cycles'!$EF$15:$EL$15,1,EQ129)=1,IF(AND('Lease Cycles'!$AZ$15&gt;=INDEX('Lease Cycles'!$BG$15:$BM$15,1,EQ129),'Lease Cycles'!$AZ$15&lt;=EQ$6),'Lease Cycles'!$C$15*'Lease Cycles'!$BA$15/12,IF(AND('Lease Cycles'!$AX$15&gt;=INDEX('Lease Cycles'!$BG$15:$BM$15,1,EQ129),'Lease Cycles'!$AX$15&lt;=EQ$6),'Lease Cycles'!$C$15*'Lease Cycles'!$AY$15/12,IF(AND('Lease Cycles'!$AV$15&gt;=INDEX('Lease Cycles'!$BG$15:$BM$15,1,EQ129),'Lease Cycles'!$AV$15&lt;=EQ$6),'Lease Cycles'!$C$15*'Lease Cycles'!$AW$15/12,IF(AND('Lease Cycles'!$AT$15&gt;=INDEX('Lease Cycles'!$BG$15:$BM$15,1,EQ129),'Lease Cycles'!$AT$15&lt;=EQ$6),'Lease Cycles'!$C$15*'Lease Cycles'!$AU$15/12,'Lease Cycles'!$C$15*INDEX('Lease Cycles'!$CB$15:$CH$15,1,EQ129)*(1+INDEX('Lease Cycles'!$CI$15:$CO$15,1,EQ129))^INT(INT(EQ130/12)/INDEX('Lease Cycles'!$CP$15:$CV$15,1,EQ129))/12)))),'Lease Cycles'!$C$15*INDEX('Lease Cycles'!$CB$15:$CH$15,1,EQ129)*(1+INDEX('Lease Cycles'!$CI$15:$CO$15,1,EQ129))^INT(INT(EQ130/12)/INDEX('Lease Cycles'!$CP$15:$CV$15,1,EQ129))/12))),IF('Lease Cycles'!$N$15=1,'Lease Cycles'!$C$15*'Lease Cycles'!$E$15*INDEX('Lease Cycles'!$HE$15:$HK$15,1,EQ129)*(1+INDEX('Lease Cycles'!$GQ$15:$GW$15,1,EQ129))^INT(INT((EQ$6-INDEX('Lease Cycles'!$GJ$15:$GP$15,1,EQ129))/12)/INDEX('Lease Cycles'!$GX$15:$HD$15,1,EQ129))/12,0)))</f>
        <v>2523.263397205245</v>
      </c>
      <c r="ER132" s="28">
        <f>IF(ER129=0,IF('Lease Cycles'!$F$15&gt;0,'Lease Cycles'!$C$15*'Lease Cycles'!$E$15/12,0),IF(ER131=1,IF('Lease Cycles'!$AT$15&gt;=9999,'Lease Cycles'!$C$15*INDEX('Lease Cycles'!$CB$15:$CH$15,1,ER129)*(1+INDEX('Lease Cycles'!$CI$15:$CO$15,1,ER129))^INT(INT(ER130/12)/INDEX('Lease Cycles'!$CP$15:$CV$15,1,ER129))/12,IF(ER129=1,IF(ER130&gt;=INDEX('Lease Cycles'!$DK$15:$DQ$15,1,ER129),IF(ER$6&gt;='Lease Cycles'!$AZ$15,'Lease Cycles'!$C$15*'Lease Cycles'!$BA$15/12,IF(ER$6&gt;='Lease Cycles'!$AX$15,'Lease Cycles'!$C$15*'Lease Cycles'!$AY$15/12,IF(ER$6&gt;='Lease Cycles'!$AV$15,'Lease Cycles'!$C$15*'Lease Cycles'!$AW$15/12,IF(ER$6&gt;='Lease Cycles'!$AT$15,'Lease Cycles'!$C$15*'Lease Cycles'!$AU$15/12,'Lease Cycles'!$C$15*INDEX('Lease Cycles'!$CB$15:$CH$15,1,ER129)*(1+INDEX('Lease Cycles'!$CI$15:$CO$15,1,ER129))^INT(INT(ER130/12)/INDEX('Lease Cycles'!$CP$15:$CV$15,1,ER129))/12)))),'Lease Cycles'!$C$15*INDEX('Lease Cycles'!$CB$15:$CH$15,1,ER129)*(1+INDEX('Lease Cycles'!$CI$15:$CO$15,1,ER129))^INT(INT(ER130/12)/INDEX('Lease Cycles'!$CP$15:$CV$15,1,ER129))/12),IF(INDEX('Lease Cycles'!$EF$15:$EL$15,1,ER129)=1,IF(AND('Lease Cycles'!$AZ$15&gt;=INDEX('Lease Cycles'!$BG$15:$BM$15,1,ER129),'Lease Cycles'!$AZ$15&lt;=ER$6),'Lease Cycles'!$C$15*'Lease Cycles'!$BA$15/12,IF(AND('Lease Cycles'!$AX$15&gt;=INDEX('Lease Cycles'!$BG$15:$BM$15,1,ER129),'Lease Cycles'!$AX$15&lt;=ER$6),'Lease Cycles'!$C$15*'Lease Cycles'!$AY$15/12,IF(AND('Lease Cycles'!$AV$15&gt;=INDEX('Lease Cycles'!$BG$15:$BM$15,1,ER129),'Lease Cycles'!$AV$15&lt;=ER$6),'Lease Cycles'!$C$15*'Lease Cycles'!$AW$15/12,IF(AND('Lease Cycles'!$AT$15&gt;=INDEX('Lease Cycles'!$BG$15:$BM$15,1,ER129),'Lease Cycles'!$AT$15&lt;=ER$6),'Lease Cycles'!$C$15*'Lease Cycles'!$AU$15/12,'Lease Cycles'!$C$15*INDEX('Lease Cycles'!$CB$15:$CH$15,1,ER129)*(1+INDEX('Lease Cycles'!$CI$15:$CO$15,1,ER129))^INT(INT(ER130/12)/INDEX('Lease Cycles'!$CP$15:$CV$15,1,ER129))/12)))),'Lease Cycles'!$C$15*INDEX('Lease Cycles'!$CB$15:$CH$15,1,ER129)*(1+INDEX('Lease Cycles'!$CI$15:$CO$15,1,ER129))^INT(INT(ER130/12)/INDEX('Lease Cycles'!$CP$15:$CV$15,1,ER129))/12))),IF('Lease Cycles'!$N$15=1,'Lease Cycles'!$C$15*'Lease Cycles'!$E$15*INDEX('Lease Cycles'!$HE$15:$HK$15,1,ER129)*(1+INDEX('Lease Cycles'!$GQ$15:$GW$15,1,ER129))^INT(INT((ER$6-INDEX('Lease Cycles'!$GJ$15:$GP$15,1,ER129))/12)/INDEX('Lease Cycles'!$GX$15:$HD$15,1,ER129))/12,0)))</f>
        <v>5407.676669955859</v>
      </c>
      <c r="ES132" s="28">
        <f>IF(ES129=0,IF('Lease Cycles'!$F$15&gt;0,'Lease Cycles'!$C$15*'Lease Cycles'!$E$15/12,0),IF(ES131=1,IF('Lease Cycles'!$AT$15&gt;=9999,'Lease Cycles'!$C$15*INDEX('Lease Cycles'!$CB$15:$CH$15,1,ES129)*(1+INDEX('Lease Cycles'!$CI$15:$CO$15,1,ES129))^INT(INT(ES130/12)/INDEX('Lease Cycles'!$CP$15:$CV$15,1,ES129))/12,IF(ES129=1,IF(ES130&gt;=INDEX('Lease Cycles'!$DK$15:$DQ$15,1,ES129),IF(ES$6&gt;='Lease Cycles'!$AZ$15,'Lease Cycles'!$C$15*'Lease Cycles'!$BA$15/12,IF(ES$6&gt;='Lease Cycles'!$AX$15,'Lease Cycles'!$C$15*'Lease Cycles'!$AY$15/12,IF(ES$6&gt;='Lease Cycles'!$AV$15,'Lease Cycles'!$C$15*'Lease Cycles'!$AW$15/12,IF(ES$6&gt;='Lease Cycles'!$AT$15,'Lease Cycles'!$C$15*'Lease Cycles'!$AU$15/12,'Lease Cycles'!$C$15*INDEX('Lease Cycles'!$CB$15:$CH$15,1,ES129)*(1+INDEX('Lease Cycles'!$CI$15:$CO$15,1,ES129))^INT(INT(ES130/12)/INDEX('Lease Cycles'!$CP$15:$CV$15,1,ES129))/12)))),'Lease Cycles'!$C$15*INDEX('Lease Cycles'!$CB$15:$CH$15,1,ES129)*(1+INDEX('Lease Cycles'!$CI$15:$CO$15,1,ES129))^INT(INT(ES130/12)/INDEX('Lease Cycles'!$CP$15:$CV$15,1,ES129))/12),IF(INDEX('Lease Cycles'!$EF$15:$EL$15,1,ES129)=1,IF(AND('Lease Cycles'!$AZ$15&gt;=INDEX('Lease Cycles'!$BG$15:$BM$15,1,ES129),'Lease Cycles'!$AZ$15&lt;=ES$6),'Lease Cycles'!$C$15*'Lease Cycles'!$BA$15/12,IF(AND('Lease Cycles'!$AX$15&gt;=INDEX('Lease Cycles'!$BG$15:$BM$15,1,ES129),'Lease Cycles'!$AX$15&lt;=ES$6),'Lease Cycles'!$C$15*'Lease Cycles'!$AY$15/12,IF(AND('Lease Cycles'!$AV$15&gt;=INDEX('Lease Cycles'!$BG$15:$BM$15,1,ES129),'Lease Cycles'!$AV$15&lt;=ES$6),'Lease Cycles'!$C$15*'Lease Cycles'!$AW$15/12,IF(AND('Lease Cycles'!$AT$15&gt;=INDEX('Lease Cycles'!$BG$15:$BM$15,1,ES129),'Lease Cycles'!$AT$15&lt;=ES$6),'Lease Cycles'!$C$15*'Lease Cycles'!$AU$15/12,'Lease Cycles'!$C$15*INDEX('Lease Cycles'!$CB$15:$CH$15,1,ES129)*(1+INDEX('Lease Cycles'!$CI$15:$CO$15,1,ES129))^INT(INT(ES130/12)/INDEX('Lease Cycles'!$CP$15:$CV$15,1,ES129))/12)))),'Lease Cycles'!$C$15*INDEX('Lease Cycles'!$CB$15:$CH$15,1,ES129)*(1+INDEX('Lease Cycles'!$CI$15:$CO$15,1,ES129))^INT(INT(ES130/12)/INDEX('Lease Cycles'!$CP$15:$CV$15,1,ES129))/12))),IF('Lease Cycles'!$N$15=1,'Lease Cycles'!$C$15*'Lease Cycles'!$E$15*INDEX('Lease Cycles'!$HE$15:$HK$15,1,ES129)*(1+INDEX('Lease Cycles'!$GQ$15:$GW$15,1,ES129))^INT(INT((ES$6-INDEX('Lease Cycles'!$GJ$15:$GP$15,1,ES129))/12)/INDEX('Lease Cycles'!$GX$15:$HD$15,1,ES129))/12,0)))</f>
        <v>2548.247827976033</v>
      </c>
      <c r="ET132" s="28">
        <f>IF(ET129=0,IF('Lease Cycles'!$F$15&gt;0,'Lease Cycles'!$C$15*'Lease Cycles'!$E$15/12,0),IF(ET131=1,IF('Lease Cycles'!$AT$15&gt;=9999,'Lease Cycles'!$C$15*INDEX('Lease Cycles'!$CB$15:$CH$15,1,ET129)*(1+INDEX('Lease Cycles'!$CI$15:$CO$15,1,ET129))^INT(INT(ET130/12)/INDEX('Lease Cycles'!$CP$15:$CV$15,1,ET129))/12,IF(ET129=1,IF(ET130&gt;=INDEX('Lease Cycles'!$DK$15:$DQ$15,1,ET129),IF(ET$6&gt;='Lease Cycles'!$AZ$15,'Lease Cycles'!$C$15*'Lease Cycles'!$BA$15/12,IF(ET$6&gt;='Lease Cycles'!$AX$15,'Lease Cycles'!$C$15*'Lease Cycles'!$AY$15/12,IF(ET$6&gt;='Lease Cycles'!$AV$15,'Lease Cycles'!$C$15*'Lease Cycles'!$AW$15/12,IF(ET$6&gt;='Lease Cycles'!$AT$15,'Lease Cycles'!$C$15*'Lease Cycles'!$AU$15/12,'Lease Cycles'!$C$15*INDEX('Lease Cycles'!$CB$15:$CH$15,1,ET129)*(1+INDEX('Lease Cycles'!$CI$15:$CO$15,1,ET129))^INT(INT(ET130/12)/INDEX('Lease Cycles'!$CP$15:$CV$15,1,ET129))/12)))),'Lease Cycles'!$C$15*INDEX('Lease Cycles'!$CB$15:$CH$15,1,ET129)*(1+INDEX('Lease Cycles'!$CI$15:$CO$15,1,ET129))^INT(INT(ET130/12)/INDEX('Lease Cycles'!$CP$15:$CV$15,1,ET129))/12),IF(INDEX('Lease Cycles'!$EF$15:$EL$15,1,ET129)=1,IF(AND('Lease Cycles'!$AZ$15&gt;=INDEX('Lease Cycles'!$BG$15:$BM$15,1,ET129),'Lease Cycles'!$AZ$15&lt;=ET$6),'Lease Cycles'!$C$15*'Lease Cycles'!$BA$15/12,IF(AND('Lease Cycles'!$AX$15&gt;=INDEX('Lease Cycles'!$BG$15:$BM$15,1,ET129),'Lease Cycles'!$AX$15&lt;=ET$6),'Lease Cycles'!$C$15*'Lease Cycles'!$AY$15/12,IF(AND('Lease Cycles'!$AV$15&gt;=INDEX('Lease Cycles'!$BG$15:$BM$15,1,ET129),'Lease Cycles'!$AV$15&lt;=ET$6),'Lease Cycles'!$C$15*'Lease Cycles'!$AW$15/12,IF(AND('Lease Cycles'!$AT$15&gt;=INDEX('Lease Cycles'!$BG$15:$BM$15,1,ET129),'Lease Cycles'!$AT$15&lt;=ET$6),'Lease Cycles'!$C$15*'Lease Cycles'!$AU$15/12,'Lease Cycles'!$C$15*INDEX('Lease Cycles'!$CB$15:$CH$15,1,ET129)*(1+INDEX('Lease Cycles'!$CI$15:$CO$15,1,ET129))^INT(INT(ET130/12)/INDEX('Lease Cycles'!$CP$15:$CV$15,1,ET129))/12)))),'Lease Cycles'!$C$15*INDEX('Lease Cycles'!$CB$15:$CH$15,1,ET129)*(1+INDEX('Lease Cycles'!$CI$15:$CO$15,1,ET129))^INT(INT(ET130/12)/INDEX('Lease Cycles'!$CP$15:$CV$15,1,ET129))/12))),IF('Lease Cycles'!$N$15=1,'Lease Cycles'!$C$15*'Lease Cycles'!$E$15*INDEX('Lease Cycles'!$HE$15:$HK$15,1,ET129)*(1+INDEX('Lease Cycles'!$GQ$15:$GW$15,1,ET129))^INT(INT((ET$6-INDEX('Lease Cycles'!$GJ$15:$GP$15,1,ET129))/12)/INDEX('Lease Cycles'!$GX$15:$HD$15,1,ET129))/12,0)))</f>
        <v>2548.247827976033</v>
      </c>
    </row>
    <row r="133">
      <c r="A133" s="103">
        <v>8</v>
      </c>
      <c r="B133" s="23" t="str">
        <f>IF('Lease Cycles'!$B$15="","(empty slot)",'Lease Cycles'!$B$15)</f>
        <v>Sunfield Bagels</v>
      </c>
      <c r="C133" s="23" t="s">
        <v>679</v>
      </c>
      <c r="D133" s="104" t="s">
        <v>680</v>
      </c>
      <c r="E133" s="25">
        <f>'Lease Cycles'!$AL$15</f>
        <v>0</v>
      </c>
      <c r="S133" s="28">
        <f>IF(S131=1,IF(INDEX('Lease Cycles'!$EF$15:$EL$15,1,S129)=1,'Lease Cycles'!$C$15*INDEX('Lease Cycles'!$ET$15:$EZ$15,1,S129)*(1+'Lease Cycles'!$V$15)^INT(INT(S130/12)/'Lease Cycles'!$W$15)/12,0),0)</f>
        <v>0</v>
      </c>
      <c r="T133" s="28">
        <f>IF(T131=1,IF(INDEX('Lease Cycles'!$EF$15:$EL$15,1,T129)=1,'Lease Cycles'!$C$15*INDEX('Lease Cycles'!$ET$15:$EZ$15,1,T129)*(1+'Lease Cycles'!$V$15)^INT(INT(T130/12)/'Lease Cycles'!$W$15)/12,0),0)</f>
        <v>0</v>
      </c>
      <c r="U133" s="28">
        <f>IF(U131=1,IF(INDEX('Lease Cycles'!$EF$15:$EL$15,1,U129)=1,'Lease Cycles'!$C$15*INDEX('Lease Cycles'!$ET$15:$EZ$15,1,U129)*(1+'Lease Cycles'!$V$15)^INT(INT(U130/12)/'Lease Cycles'!$W$15)/12,0),0)</f>
        <v>0</v>
      </c>
      <c r="V133" s="28">
        <f>IF(V131=1,IF(INDEX('Lease Cycles'!$EF$15:$EL$15,1,V129)=1,'Lease Cycles'!$C$15*INDEX('Lease Cycles'!$ET$15:$EZ$15,1,V129)*(1+'Lease Cycles'!$V$15)^INT(INT(V130/12)/'Lease Cycles'!$W$15)/12,0),0)</f>
        <v>0</v>
      </c>
      <c r="W133" s="28">
        <f>IF(W131=1,IF(INDEX('Lease Cycles'!$EF$15:$EL$15,1,W129)=1,'Lease Cycles'!$C$15*INDEX('Lease Cycles'!$ET$15:$EZ$15,1,W129)*(1+'Lease Cycles'!$V$15)^INT(INT(W130/12)/'Lease Cycles'!$W$15)/12,0),0)</f>
        <v>0</v>
      </c>
      <c r="X133" s="28">
        <f>IF(X131=1,IF(INDEX('Lease Cycles'!$EF$15:$EL$15,1,X129)=1,'Lease Cycles'!$C$15*INDEX('Lease Cycles'!$ET$15:$EZ$15,1,X129)*(1+'Lease Cycles'!$V$15)^INT(INT(X130/12)/'Lease Cycles'!$W$15)/12,0),0)</f>
        <v>0</v>
      </c>
      <c r="Y133" s="28">
        <f>IF(Y131=1,IF(INDEX('Lease Cycles'!$EF$15:$EL$15,1,Y129)=1,'Lease Cycles'!$C$15*INDEX('Lease Cycles'!$ET$15:$EZ$15,1,Y129)*(1+'Lease Cycles'!$V$15)^INT(INT(Y130/12)/'Lease Cycles'!$W$15)/12,0),0)</f>
        <v>0</v>
      </c>
      <c r="Z133" s="28">
        <f>IF(Z131=1,IF(INDEX('Lease Cycles'!$EF$15:$EL$15,1,Z129)=1,'Lease Cycles'!$C$15*INDEX('Lease Cycles'!$ET$15:$EZ$15,1,Z129)*(1+'Lease Cycles'!$V$15)^INT(INT(Z130/12)/'Lease Cycles'!$W$15)/12,0),0)</f>
        <v>0</v>
      </c>
      <c r="AA133" s="28">
        <f>IF(AA131=1,IF(INDEX('Lease Cycles'!$EF$15:$EL$15,1,AA129)=1,'Lease Cycles'!$C$15*INDEX('Lease Cycles'!$ET$15:$EZ$15,1,AA129)*(1+'Lease Cycles'!$V$15)^INT(INT(AA130/12)/'Lease Cycles'!$W$15)/12,0),0)</f>
        <v>0</v>
      </c>
      <c r="AB133" s="28">
        <f>IF(AB131=1,IF(INDEX('Lease Cycles'!$EF$15:$EL$15,1,AB129)=1,'Lease Cycles'!$C$15*INDEX('Lease Cycles'!$ET$15:$EZ$15,1,AB129)*(1+'Lease Cycles'!$V$15)^INT(INT(AB130/12)/'Lease Cycles'!$W$15)/12,0),0)</f>
        <v>0</v>
      </c>
      <c r="AC133" s="28">
        <f>IF(AC131=1,IF(INDEX('Lease Cycles'!$EF$15:$EL$15,1,AC129)=1,'Lease Cycles'!$C$15*INDEX('Lease Cycles'!$ET$15:$EZ$15,1,AC129)*(1+'Lease Cycles'!$V$15)^INT(INT(AC130/12)/'Lease Cycles'!$W$15)/12,0),0)</f>
        <v>0</v>
      </c>
      <c r="AD133" s="28">
        <f>IF(AD131=1,IF(INDEX('Lease Cycles'!$EF$15:$EL$15,1,AD129)=1,'Lease Cycles'!$C$15*INDEX('Lease Cycles'!$ET$15:$EZ$15,1,AD129)*(1+'Lease Cycles'!$V$15)^INT(INT(AD130/12)/'Lease Cycles'!$W$15)/12,0),0)</f>
        <v>0</v>
      </c>
      <c r="AE133" s="28">
        <f>IF(AE131=1,IF(INDEX('Lease Cycles'!$EF$15:$EL$15,1,AE129)=1,'Lease Cycles'!$C$15*INDEX('Lease Cycles'!$ET$15:$EZ$15,1,AE129)*(1+'Lease Cycles'!$V$15)^INT(INT(AE130/12)/'Lease Cycles'!$W$15)/12,0),0)</f>
        <v>0</v>
      </c>
      <c r="AF133" s="28">
        <f>IF(AF131=1,IF(INDEX('Lease Cycles'!$EF$15:$EL$15,1,AF129)=1,'Lease Cycles'!$C$15*INDEX('Lease Cycles'!$ET$15:$EZ$15,1,AF129)*(1+'Lease Cycles'!$V$15)^INT(INT(AF130/12)/'Lease Cycles'!$W$15)/12,0),0)</f>
        <v>0</v>
      </c>
      <c r="AG133" s="28">
        <f>IF(AG131=1,IF(INDEX('Lease Cycles'!$EF$15:$EL$15,1,AG129)=1,'Lease Cycles'!$C$15*INDEX('Lease Cycles'!$ET$15:$EZ$15,1,AG129)*(1+'Lease Cycles'!$V$15)^INT(INT(AG130/12)/'Lease Cycles'!$W$15)/12,0),0)</f>
        <v>0</v>
      </c>
      <c r="AH133" s="28">
        <f>IF(AH131=1,IF(INDEX('Lease Cycles'!$EF$15:$EL$15,1,AH129)=1,'Lease Cycles'!$C$15*INDEX('Lease Cycles'!$ET$15:$EZ$15,1,AH129)*(1+'Lease Cycles'!$V$15)^INT(INT(AH130/12)/'Lease Cycles'!$W$15)/12,0),0)</f>
        <v>0</v>
      </c>
      <c r="AI133" s="28">
        <f>IF(AI131=1,IF(INDEX('Lease Cycles'!$EF$15:$EL$15,1,AI129)=1,'Lease Cycles'!$C$15*INDEX('Lease Cycles'!$ET$15:$EZ$15,1,AI129)*(1+'Lease Cycles'!$V$15)^INT(INT(AI130/12)/'Lease Cycles'!$W$15)/12,0),0)</f>
        <v>0</v>
      </c>
      <c r="AJ133" s="28">
        <f>IF(AJ131=1,IF(INDEX('Lease Cycles'!$EF$15:$EL$15,1,AJ129)=1,'Lease Cycles'!$C$15*INDEX('Lease Cycles'!$ET$15:$EZ$15,1,AJ129)*(1+'Lease Cycles'!$V$15)^INT(INT(AJ130/12)/'Lease Cycles'!$W$15)/12,0),0)</f>
        <v>0</v>
      </c>
      <c r="AK133" s="28">
        <f>IF(AK131=1,IF(INDEX('Lease Cycles'!$EF$15:$EL$15,1,AK129)=1,'Lease Cycles'!$C$15*INDEX('Lease Cycles'!$ET$15:$EZ$15,1,AK129)*(1+'Lease Cycles'!$V$15)^INT(INT(AK130/12)/'Lease Cycles'!$W$15)/12,0),0)</f>
        <v>0</v>
      </c>
      <c r="AL133" s="28">
        <f>IF(AL131=1,IF(INDEX('Lease Cycles'!$EF$15:$EL$15,1,AL129)=1,'Lease Cycles'!$C$15*INDEX('Lease Cycles'!$ET$15:$EZ$15,1,AL129)*(1+'Lease Cycles'!$V$15)^INT(INT(AL130/12)/'Lease Cycles'!$W$15)/12,0),0)</f>
        <v>0</v>
      </c>
      <c r="AM133" s="28">
        <f>IF(AM131=1,IF(INDEX('Lease Cycles'!$EF$15:$EL$15,1,AM129)=1,'Lease Cycles'!$C$15*INDEX('Lease Cycles'!$ET$15:$EZ$15,1,AM129)*(1+'Lease Cycles'!$V$15)^INT(INT(AM130/12)/'Lease Cycles'!$W$15)/12,0),0)</f>
        <v>0</v>
      </c>
      <c r="AN133" s="28">
        <f>IF(AN131=1,IF(INDEX('Lease Cycles'!$EF$15:$EL$15,1,AN129)=1,'Lease Cycles'!$C$15*INDEX('Lease Cycles'!$ET$15:$EZ$15,1,AN129)*(1+'Lease Cycles'!$V$15)^INT(INT(AN130/12)/'Lease Cycles'!$W$15)/12,0),0)</f>
        <v>0</v>
      </c>
      <c r="AO133" s="28">
        <f>IF(AO131=1,IF(INDEX('Lease Cycles'!$EF$15:$EL$15,1,AO129)=1,'Lease Cycles'!$C$15*INDEX('Lease Cycles'!$ET$15:$EZ$15,1,AO129)*(1+'Lease Cycles'!$V$15)^INT(INT(AO130/12)/'Lease Cycles'!$W$15)/12,0),0)</f>
        <v>0</v>
      </c>
      <c r="AP133" s="28">
        <f>IF(AP131=1,IF(INDEX('Lease Cycles'!$EF$15:$EL$15,1,AP129)=1,'Lease Cycles'!$C$15*INDEX('Lease Cycles'!$ET$15:$EZ$15,1,AP129)*(1+'Lease Cycles'!$V$15)^INT(INT(AP130/12)/'Lease Cycles'!$W$15)/12,0),0)</f>
        <v>0</v>
      </c>
      <c r="AQ133" s="28">
        <f>IF(AQ131=1,IF(INDEX('Lease Cycles'!$EF$15:$EL$15,1,AQ129)=1,'Lease Cycles'!$C$15*INDEX('Lease Cycles'!$ET$15:$EZ$15,1,AQ129)*(1+'Lease Cycles'!$V$15)^INT(INT(AQ130/12)/'Lease Cycles'!$W$15)/12,0),0)</f>
        <v>0</v>
      </c>
      <c r="AR133" s="28">
        <f>IF(AR131=1,IF(INDEX('Lease Cycles'!$EF$15:$EL$15,1,AR129)=1,'Lease Cycles'!$C$15*INDEX('Lease Cycles'!$ET$15:$EZ$15,1,AR129)*(1+'Lease Cycles'!$V$15)^INT(INT(AR130/12)/'Lease Cycles'!$W$15)/12,0),0)</f>
        <v>0</v>
      </c>
      <c r="AS133" s="28">
        <f>IF(AS131=1,IF(INDEX('Lease Cycles'!$EF$15:$EL$15,1,AS129)=1,'Lease Cycles'!$C$15*INDEX('Lease Cycles'!$ET$15:$EZ$15,1,AS129)*(1+'Lease Cycles'!$V$15)^INT(INT(AS130/12)/'Lease Cycles'!$W$15)/12,0),0)</f>
        <v>0</v>
      </c>
      <c r="AT133" s="28">
        <f>IF(AT131=1,IF(INDEX('Lease Cycles'!$EF$15:$EL$15,1,AT129)=1,'Lease Cycles'!$C$15*INDEX('Lease Cycles'!$ET$15:$EZ$15,1,AT129)*(1+'Lease Cycles'!$V$15)^INT(INT(AT130/12)/'Lease Cycles'!$W$15)/12,0),0)</f>
        <v>0</v>
      </c>
      <c r="AU133" s="28">
        <f>IF(AU131=1,IF(INDEX('Lease Cycles'!$EF$15:$EL$15,1,AU129)=1,'Lease Cycles'!$C$15*INDEX('Lease Cycles'!$ET$15:$EZ$15,1,AU129)*(1+'Lease Cycles'!$V$15)^INT(INT(AU130/12)/'Lease Cycles'!$W$15)/12,0),0)</f>
        <v>0</v>
      </c>
      <c r="AV133" s="28">
        <f>IF(AV131=1,IF(INDEX('Lease Cycles'!$EF$15:$EL$15,1,AV129)=1,'Lease Cycles'!$C$15*INDEX('Lease Cycles'!$ET$15:$EZ$15,1,AV129)*(1+'Lease Cycles'!$V$15)^INT(INT(AV130/12)/'Lease Cycles'!$W$15)/12,0),0)</f>
        <v>0</v>
      </c>
      <c r="AW133" s="28">
        <f>IF(AW131=1,IF(INDEX('Lease Cycles'!$EF$15:$EL$15,1,AW129)=1,'Lease Cycles'!$C$15*INDEX('Lease Cycles'!$ET$15:$EZ$15,1,AW129)*(1+'Lease Cycles'!$V$15)^INT(INT(AW130/12)/'Lease Cycles'!$W$15)/12,0),0)</f>
        <v>0</v>
      </c>
      <c r="AX133" s="28">
        <f>IF(AX131=1,IF(INDEX('Lease Cycles'!$EF$15:$EL$15,1,AX129)=1,'Lease Cycles'!$C$15*INDEX('Lease Cycles'!$ET$15:$EZ$15,1,AX129)*(1+'Lease Cycles'!$V$15)^INT(INT(AX130/12)/'Lease Cycles'!$W$15)/12,0),0)</f>
        <v>0</v>
      </c>
      <c r="AY133" s="28">
        <f>IF(AY131=1,IF(INDEX('Lease Cycles'!$EF$15:$EL$15,1,AY129)=1,'Lease Cycles'!$C$15*INDEX('Lease Cycles'!$ET$15:$EZ$15,1,AY129)*(1+'Lease Cycles'!$V$15)^INT(INT(AY130/12)/'Lease Cycles'!$W$15)/12,0),0)</f>
        <v>0</v>
      </c>
      <c r="AZ133" s="28">
        <f>IF(AZ131=1,IF(INDEX('Lease Cycles'!$EF$15:$EL$15,1,AZ129)=1,'Lease Cycles'!$C$15*INDEX('Lease Cycles'!$ET$15:$EZ$15,1,AZ129)*(1+'Lease Cycles'!$V$15)^INT(INT(AZ130/12)/'Lease Cycles'!$W$15)/12,0),0)</f>
        <v>0</v>
      </c>
      <c r="BA133" s="28">
        <f>IF(BA131=1,IF(INDEX('Lease Cycles'!$EF$15:$EL$15,1,BA129)=1,'Lease Cycles'!$C$15*INDEX('Lease Cycles'!$ET$15:$EZ$15,1,BA129)*(1+'Lease Cycles'!$V$15)^INT(INT(BA130/12)/'Lease Cycles'!$W$15)/12,0),0)</f>
        <v>0</v>
      </c>
      <c r="BB133" s="28">
        <f>IF(BB131=1,IF(INDEX('Lease Cycles'!$EF$15:$EL$15,1,BB129)=1,'Lease Cycles'!$C$15*INDEX('Lease Cycles'!$ET$15:$EZ$15,1,BB129)*(1+'Lease Cycles'!$V$15)^INT(INT(BB130/12)/'Lease Cycles'!$W$15)/12,0),0)</f>
        <v>0</v>
      </c>
      <c r="BC133" s="28">
        <f>IF(BC131=1,IF(INDEX('Lease Cycles'!$EF$15:$EL$15,1,BC129)=1,'Lease Cycles'!$C$15*INDEX('Lease Cycles'!$ET$15:$EZ$15,1,BC129)*(1+'Lease Cycles'!$V$15)^INT(INT(BC130/12)/'Lease Cycles'!$W$15)/12,0),0)</f>
        <v>0</v>
      </c>
      <c r="BD133" s="28">
        <f>IF(BD131=1,IF(INDEX('Lease Cycles'!$EF$15:$EL$15,1,BD129)=1,'Lease Cycles'!$C$15*INDEX('Lease Cycles'!$ET$15:$EZ$15,1,BD129)*(1+'Lease Cycles'!$V$15)^INT(INT(BD130/12)/'Lease Cycles'!$W$15)/12,0),0)</f>
        <v>0</v>
      </c>
      <c r="BE133" s="28">
        <f>IF(BE131=1,IF(INDEX('Lease Cycles'!$EF$15:$EL$15,1,BE129)=1,'Lease Cycles'!$C$15*INDEX('Lease Cycles'!$ET$15:$EZ$15,1,BE129)*(1+'Lease Cycles'!$V$15)^INT(INT(BE130/12)/'Lease Cycles'!$W$15)/12,0),0)</f>
        <v>0</v>
      </c>
      <c r="BF133" s="28">
        <f>IF(BF131=1,IF(INDEX('Lease Cycles'!$EF$15:$EL$15,1,BF129)=1,'Lease Cycles'!$C$15*INDEX('Lease Cycles'!$ET$15:$EZ$15,1,BF129)*(1+'Lease Cycles'!$V$15)^INT(INT(BF130/12)/'Lease Cycles'!$W$15)/12,0),0)</f>
        <v>0</v>
      </c>
      <c r="BG133" s="28">
        <f>IF(BG131=1,IF(INDEX('Lease Cycles'!$EF$15:$EL$15,1,BG129)=1,'Lease Cycles'!$C$15*INDEX('Lease Cycles'!$ET$15:$EZ$15,1,BG129)*(1+'Lease Cycles'!$V$15)^INT(INT(BG130/12)/'Lease Cycles'!$W$15)/12,0),0)</f>
        <v>0</v>
      </c>
      <c r="BH133" s="28">
        <f>IF(BH131=1,IF(INDEX('Lease Cycles'!$EF$15:$EL$15,1,BH129)=1,'Lease Cycles'!$C$15*INDEX('Lease Cycles'!$ET$15:$EZ$15,1,BH129)*(1+'Lease Cycles'!$V$15)^INT(INT(BH130/12)/'Lease Cycles'!$W$15)/12,0),0)</f>
        <v>0</v>
      </c>
      <c r="BI133" s="28">
        <f>IF(BI131=1,IF(INDEX('Lease Cycles'!$EF$15:$EL$15,1,BI129)=1,'Lease Cycles'!$C$15*INDEX('Lease Cycles'!$ET$15:$EZ$15,1,BI129)*(1+'Lease Cycles'!$V$15)^INT(INT(BI130/12)/'Lease Cycles'!$W$15)/12,0),0)</f>
        <v>0</v>
      </c>
      <c r="BJ133" s="28">
        <f>IF(BJ131=1,IF(INDEX('Lease Cycles'!$EF$15:$EL$15,1,BJ129)=1,'Lease Cycles'!$C$15*INDEX('Lease Cycles'!$ET$15:$EZ$15,1,BJ129)*(1+'Lease Cycles'!$V$15)^INT(INT(BJ130/12)/'Lease Cycles'!$W$15)/12,0),0)</f>
        <v>0</v>
      </c>
      <c r="BK133" s="28">
        <f>IF(BK131=1,IF(INDEX('Lease Cycles'!$EF$15:$EL$15,1,BK129)=1,'Lease Cycles'!$C$15*INDEX('Lease Cycles'!$ET$15:$EZ$15,1,BK129)*(1+'Lease Cycles'!$V$15)^INT(INT(BK130/12)/'Lease Cycles'!$W$15)/12,0),0)</f>
        <v>0</v>
      </c>
      <c r="BL133" s="28">
        <f>IF(BL131=1,IF(INDEX('Lease Cycles'!$EF$15:$EL$15,1,BL129)=1,'Lease Cycles'!$C$15*INDEX('Lease Cycles'!$ET$15:$EZ$15,1,BL129)*(1+'Lease Cycles'!$V$15)^INT(INT(BL130/12)/'Lease Cycles'!$W$15)/12,0),0)</f>
        <v>0</v>
      </c>
      <c r="BM133" s="28">
        <f>IF(BM131=1,IF(INDEX('Lease Cycles'!$EF$15:$EL$15,1,BM129)=1,'Lease Cycles'!$C$15*INDEX('Lease Cycles'!$ET$15:$EZ$15,1,BM129)*(1+'Lease Cycles'!$V$15)^INT(INT(BM130/12)/'Lease Cycles'!$W$15)/12,0),0)</f>
        <v>0</v>
      </c>
      <c r="BN133" s="28">
        <f>IF(BN131=1,IF(INDEX('Lease Cycles'!$EF$15:$EL$15,1,BN129)=1,'Lease Cycles'!$C$15*INDEX('Lease Cycles'!$ET$15:$EZ$15,1,BN129)*(1+'Lease Cycles'!$V$15)^INT(INT(BN130/12)/'Lease Cycles'!$W$15)/12,0),0)</f>
        <v>0</v>
      </c>
      <c r="BO133" s="28">
        <f>IF(BO131=1,IF(INDEX('Lease Cycles'!$EF$15:$EL$15,1,BO129)=1,'Lease Cycles'!$C$15*INDEX('Lease Cycles'!$ET$15:$EZ$15,1,BO129)*(1+'Lease Cycles'!$V$15)^INT(INT(BO130/12)/'Lease Cycles'!$W$15)/12,0),0)</f>
        <v>0</v>
      </c>
      <c r="BP133" s="28">
        <f>IF(BP131=1,IF(INDEX('Lease Cycles'!$EF$15:$EL$15,1,BP129)=1,'Lease Cycles'!$C$15*INDEX('Lease Cycles'!$ET$15:$EZ$15,1,BP129)*(1+'Lease Cycles'!$V$15)^INT(INT(BP130/12)/'Lease Cycles'!$W$15)/12,0),0)</f>
        <v>0</v>
      </c>
      <c r="BQ133" s="28">
        <f>IF(BQ131=1,IF(INDEX('Lease Cycles'!$EF$15:$EL$15,1,BQ129)=1,'Lease Cycles'!$C$15*INDEX('Lease Cycles'!$ET$15:$EZ$15,1,BQ129)*(1+'Lease Cycles'!$V$15)^INT(INT(BQ130/12)/'Lease Cycles'!$W$15)/12,0),0)</f>
        <v>0</v>
      </c>
      <c r="BR133" s="28">
        <f>IF(BR131=1,IF(INDEX('Lease Cycles'!$EF$15:$EL$15,1,BR129)=1,'Lease Cycles'!$C$15*INDEX('Lease Cycles'!$ET$15:$EZ$15,1,BR129)*(1+'Lease Cycles'!$V$15)^INT(INT(BR130/12)/'Lease Cycles'!$W$15)/12,0),0)</f>
        <v>0</v>
      </c>
      <c r="BS133" s="28">
        <f>IF(BS131=1,IF(INDEX('Lease Cycles'!$EF$15:$EL$15,1,BS129)=1,'Lease Cycles'!$C$15*INDEX('Lease Cycles'!$ET$15:$EZ$15,1,BS129)*(1+'Lease Cycles'!$V$15)^INT(INT(BS130/12)/'Lease Cycles'!$W$15)/12,0),0)</f>
        <v>0</v>
      </c>
      <c r="BT133" s="28">
        <f>IF(BT131=1,IF(INDEX('Lease Cycles'!$EF$15:$EL$15,1,BT129)=1,'Lease Cycles'!$C$15*INDEX('Lease Cycles'!$ET$15:$EZ$15,1,BT129)*(1+'Lease Cycles'!$V$15)^INT(INT(BT130/12)/'Lease Cycles'!$W$15)/12,0),0)</f>
        <v>0</v>
      </c>
      <c r="BU133" s="28">
        <f>IF(BU131=1,IF(INDEX('Lease Cycles'!$EF$15:$EL$15,1,BU129)=1,'Lease Cycles'!$C$15*INDEX('Lease Cycles'!$ET$15:$EZ$15,1,BU129)*(1+'Lease Cycles'!$V$15)^INT(INT(BU130/12)/'Lease Cycles'!$W$15)/12,0),0)</f>
        <v>0</v>
      </c>
      <c r="BV133" s="28">
        <f>IF(BV131=1,IF(INDEX('Lease Cycles'!$EF$15:$EL$15,1,BV129)=1,'Lease Cycles'!$C$15*INDEX('Lease Cycles'!$ET$15:$EZ$15,1,BV129)*(1+'Lease Cycles'!$V$15)^INT(INT(BV130/12)/'Lease Cycles'!$W$15)/12,0),0)</f>
        <v>0</v>
      </c>
      <c r="BW133" s="28">
        <f>IF(BW131=1,IF(INDEX('Lease Cycles'!$EF$15:$EL$15,1,BW129)=1,'Lease Cycles'!$C$15*INDEX('Lease Cycles'!$ET$15:$EZ$15,1,BW129)*(1+'Lease Cycles'!$V$15)^INT(INT(BW130/12)/'Lease Cycles'!$W$15)/12,0),0)</f>
        <v>0</v>
      </c>
      <c r="BX133" s="28">
        <f>IF(BX131=1,IF(INDEX('Lease Cycles'!$EF$15:$EL$15,1,BX129)=1,'Lease Cycles'!$C$15*INDEX('Lease Cycles'!$ET$15:$EZ$15,1,BX129)*(1+'Lease Cycles'!$V$15)^INT(INT(BX130/12)/'Lease Cycles'!$W$15)/12,0),0)</f>
        <v>0</v>
      </c>
      <c r="BY133" s="28">
        <f>IF(BY131=1,IF(INDEX('Lease Cycles'!$EF$15:$EL$15,1,BY129)=1,'Lease Cycles'!$C$15*INDEX('Lease Cycles'!$ET$15:$EZ$15,1,BY129)*(1+'Lease Cycles'!$V$15)^INT(INT(BY130/12)/'Lease Cycles'!$W$15)/12,0),0)</f>
        <v>0</v>
      </c>
      <c r="BZ133" s="28">
        <f>IF(BZ131=1,IF(INDEX('Lease Cycles'!$EF$15:$EL$15,1,BZ129)=1,'Lease Cycles'!$C$15*INDEX('Lease Cycles'!$ET$15:$EZ$15,1,BZ129)*(1+'Lease Cycles'!$V$15)^INT(INT(BZ130/12)/'Lease Cycles'!$W$15)/12,0),0)</f>
        <v>0</v>
      </c>
      <c r="CA133" s="28">
        <f>IF(CA131=1,IF(INDEX('Lease Cycles'!$EF$15:$EL$15,1,CA129)=1,'Lease Cycles'!$C$15*INDEX('Lease Cycles'!$ET$15:$EZ$15,1,CA129)*(1+'Lease Cycles'!$V$15)^INT(INT(CA130/12)/'Lease Cycles'!$W$15)/12,0),0)</f>
        <v>0</v>
      </c>
      <c r="CB133" s="28">
        <f>IF(CB131=1,IF(INDEX('Lease Cycles'!$EF$15:$EL$15,1,CB129)=1,'Lease Cycles'!$C$15*INDEX('Lease Cycles'!$ET$15:$EZ$15,1,CB129)*(1+'Lease Cycles'!$V$15)^INT(INT(CB130/12)/'Lease Cycles'!$W$15)/12,0),0)</f>
        <v>0</v>
      </c>
      <c r="CC133" s="28">
        <f>IF(CC131=1,IF(INDEX('Lease Cycles'!$EF$15:$EL$15,1,CC129)=1,'Lease Cycles'!$C$15*INDEX('Lease Cycles'!$ET$15:$EZ$15,1,CC129)*(1+'Lease Cycles'!$V$15)^INT(INT(CC130/12)/'Lease Cycles'!$W$15)/12,0),0)</f>
        <v>0</v>
      </c>
      <c r="CD133" s="28">
        <f>IF(CD131=1,IF(INDEX('Lease Cycles'!$EF$15:$EL$15,1,CD129)=1,'Lease Cycles'!$C$15*INDEX('Lease Cycles'!$ET$15:$EZ$15,1,CD129)*(1+'Lease Cycles'!$V$15)^INT(INT(CD130/12)/'Lease Cycles'!$W$15)/12,0),0)</f>
        <v>0</v>
      </c>
      <c r="CE133" s="28">
        <f>IF(CE131=1,IF(INDEX('Lease Cycles'!$EF$15:$EL$15,1,CE129)=1,'Lease Cycles'!$C$15*INDEX('Lease Cycles'!$ET$15:$EZ$15,1,CE129)*(1+'Lease Cycles'!$V$15)^INT(INT(CE130/12)/'Lease Cycles'!$W$15)/12,0),0)</f>
        <v>0</v>
      </c>
      <c r="CF133" s="28">
        <f>IF(CF131=1,IF(INDEX('Lease Cycles'!$EF$15:$EL$15,1,CF129)=1,'Lease Cycles'!$C$15*INDEX('Lease Cycles'!$ET$15:$EZ$15,1,CF129)*(1+'Lease Cycles'!$V$15)^INT(INT(CF130/12)/'Lease Cycles'!$W$15)/12,0),0)</f>
        <v>0</v>
      </c>
      <c r="CG133" s="28">
        <f>IF(CG131=1,IF(INDEX('Lease Cycles'!$EF$15:$EL$15,1,CG129)=1,'Lease Cycles'!$C$15*INDEX('Lease Cycles'!$ET$15:$EZ$15,1,CG129)*(1+'Lease Cycles'!$V$15)^INT(INT(CG130/12)/'Lease Cycles'!$W$15)/12,0),0)</f>
        <v>0</v>
      </c>
      <c r="CH133" s="28">
        <f>IF(CH131=1,IF(INDEX('Lease Cycles'!$EF$15:$EL$15,1,CH129)=1,'Lease Cycles'!$C$15*INDEX('Lease Cycles'!$ET$15:$EZ$15,1,CH129)*(1+'Lease Cycles'!$V$15)^INT(INT(CH130/12)/'Lease Cycles'!$W$15)/12,0),0)</f>
        <v>0</v>
      </c>
      <c r="CI133" s="28">
        <f>IF(CI131=1,IF(INDEX('Lease Cycles'!$EF$15:$EL$15,1,CI129)=1,'Lease Cycles'!$C$15*INDEX('Lease Cycles'!$ET$15:$EZ$15,1,CI129)*(1+'Lease Cycles'!$V$15)^INT(INT(CI130/12)/'Lease Cycles'!$W$15)/12,0),0)</f>
        <v>0</v>
      </c>
      <c r="CJ133" s="28">
        <f>IF(CJ131=1,IF(INDEX('Lease Cycles'!$EF$15:$EL$15,1,CJ129)=1,'Lease Cycles'!$C$15*INDEX('Lease Cycles'!$ET$15:$EZ$15,1,CJ129)*(1+'Lease Cycles'!$V$15)^INT(INT(CJ130/12)/'Lease Cycles'!$W$15)/12,0),0)</f>
        <v>0</v>
      </c>
      <c r="CK133" s="28">
        <f>IF(CK131=1,IF(INDEX('Lease Cycles'!$EF$15:$EL$15,1,CK129)=1,'Lease Cycles'!$C$15*INDEX('Lease Cycles'!$ET$15:$EZ$15,1,CK129)*(1+'Lease Cycles'!$V$15)^INT(INT(CK130/12)/'Lease Cycles'!$W$15)/12,0),0)</f>
        <v>0</v>
      </c>
      <c r="CL133" s="28">
        <f>IF(CL131=1,IF(INDEX('Lease Cycles'!$EF$15:$EL$15,1,CL129)=1,'Lease Cycles'!$C$15*INDEX('Lease Cycles'!$ET$15:$EZ$15,1,CL129)*(1+'Lease Cycles'!$V$15)^INT(INT(CL130/12)/'Lease Cycles'!$W$15)/12,0),0)</f>
        <v>0</v>
      </c>
      <c r="CM133" s="28">
        <f>IF(CM131=1,IF(INDEX('Lease Cycles'!$EF$15:$EL$15,1,CM129)=1,'Lease Cycles'!$C$15*INDEX('Lease Cycles'!$ET$15:$EZ$15,1,CM129)*(1+'Lease Cycles'!$V$15)^INT(INT(CM130/12)/'Lease Cycles'!$W$15)/12,0),0)</f>
        <v>0</v>
      </c>
      <c r="CN133" s="28">
        <f>IF(CN131=1,IF(INDEX('Lease Cycles'!$EF$15:$EL$15,1,CN129)=1,'Lease Cycles'!$C$15*INDEX('Lease Cycles'!$ET$15:$EZ$15,1,CN129)*(1+'Lease Cycles'!$V$15)^INT(INT(CN130/12)/'Lease Cycles'!$W$15)/12,0),0)</f>
        <v>0</v>
      </c>
      <c r="CO133" s="28">
        <f>IF(CO131=1,IF(INDEX('Lease Cycles'!$EF$15:$EL$15,1,CO129)=1,'Lease Cycles'!$C$15*INDEX('Lease Cycles'!$ET$15:$EZ$15,1,CO129)*(1+'Lease Cycles'!$V$15)^INT(INT(CO130/12)/'Lease Cycles'!$W$15)/12,0),0)</f>
        <v>0</v>
      </c>
      <c r="CP133" s="28">
        <f>IF(CP131=1,IF(INDEX('Lease Cycles'!$EF$15:$EL$15,1,CP129)=1,'Lease Cycles'!$C$15*INDEX('Lease Cycles'!$ET$15:$EZ$15,1,CP129)*(1+'Lease Cycles'!$V$15)^INT(INT(CP130/12)/'Lease Cycles'!$W$15)/12,0),0)</f>
        <v>0</v>
      </c>
      <c r="CQ133" s="28">
        <f>IF(CQ131=1,IF(INDEX('Lease Cycles'!$EF$15:$EL$15,1,CQ129)=1,'Lease Cycles'!$C$15*INDEX('Lease Cycles'!$ET$15:$EZ$15,1,CQ129)*(1+'Lease Cycles'!$V$15)^INT(INT(CQ130/12)/'Lease Cycles'!$W$15)/12,0),0)</f>
        <v>0</v>
      </c>
      <c r="CR133" s="28">
        <f>IF(CR131=1,IF(INDEX('Lease Cycles'!$EF$15:$EL$15,1,CR129)=1,'Lease Cycles'!$C$15*INDEX('Lease Cycles'!$ET$15:$EZ$15,1,CR129)*(1+'Lease Cycles'!$V$15)^INT(INT(CR130/12)/'Lease Cycles'!$W$15)/12,0),0)</f>
        <v>0</v>
      </c>
      <c r="CS133" s="28">
        <f>IF(CS131=1,IF(INDEX('Lease Cycles'!$EF$15:$EL$15,1,CS129)=1,'Lease Cycles'!$C$15*INDEX('Lease Cycles'!$ET$15:$EZ$15,1,CS129)*(1+'Lease Cycles'!$V$15)^INT(INT(CS130/12)/'Lease Cycles'!$W$15)/12,0),0)</f>
        <v>0</v>
      </c>
      <c r="CT133" s="28">
        <f>IF(CT131=1,IF(INDEX('Lease Cycles'!$EF$15:$EL$15,1,CT129)=1,'Lease Cycles'!$C$15*INDEX('Lease Cycles'!$ET$15:$EZ$15,1,CT129)*(1+'Lease Cycles'!$V$15)^INT(INT(CT130/12)/'Lease Cycles'!$W$15)/12,0),0)</f>
        <v>0</v>
      </c>
      <c r="CU133" s="28">
        <f>IF(CU131=1,IF(INDEX('Lease Cycles'!$EF$15:$EL$15,1,CU129)=1,'Lease Cycles'!$C$15*INDEX('Lease Cycles'!$ET$15:$EZ$15,1,CU129)*(1+'Lease Cycles'!$V$15)^INT(INT(CU130/12)/'Lease Cycles'!$W$15)/12,0),0)</f>
        <v>0</v>
      </c>
      <c r="CV133" s="28">
        <f>IF(CV131=1,IF(INDEX('Lease Cycles'!$EF$15:$EL$15,1,CV129)=1,'Lease Cycles'!$C$15*INDEX('Lease Cycles'!$ET$15:$EZ$15,1,CV129)*(1+'Lease Cycles'!$V$15)^INT(INT(CV130/12)/'Lease Cycles'!$W$15)/12,0),0)</f>
        <v>0</v>
      </c>
      <c r="CW133" s="28">
        <f>IF(CW131=1,IF(INDEX('Lease Cycles'!$EF$15:$EL$15,1,CW129)=1,'Lease Cycles'!$C$15*INDEX('Lease Cycles'!$ET$15:$EZ$15,1,CW129)*(1+'Lease Cycles'!$V$15)^INT(INT(CW130/12)/'Lease Cycles'!$W$15)/12,0),0)</f>
        <v>0</v>
      </c>
      <c r="CX133" s="28">
        <f>IF(CX131=1,IF(INDEX('Lease Cycles'!$EF$15:$EL$15,1,CX129)=1,'Lease Cycles'!$C$15*INDEX('Lease Cycles'!$ET$15:$EZ$15,1,CX129)*(1+'Lease Cycles'!$V$15)^INT(INT(CX130/12)/'Lease Cycles'!$W$15)/12,0),0)</f>
        <v>0</v>
      </c>
      <c r="CY133" s="28">
        <f>IF(CY131=1,IF(INDEX('Lease Cycles'!$EF$15:$EL$15,1,CY129)=1,'Lease Cycles'!$C$15*INDEX('Lease Cycles'!$ET$15:$EZ$15,1,CY129)*(1+'Lease Cycles'!$V$15)^INT(INT(CY130/12)/'Lease Cycles'!$W$15)/12,0),0)</f>
        <v>0</v>
      </c>
      <c r="CZ133" s="28">
        <f>IF(CZ131=1,IF(INDEX('Lease Cycles'!$EF$15:$EL$15,1,CZ129)=1,'Lease Cycles'!$C$15*INDEX('Lease Cycles'!$ET$15:$EZ$15,1,CZ129)*(1+'Lease Cycles'!$V$15)^INT(INT(CZ130/12)/'Lease Cycles'!$W$15)/12,0),0)</f>
        <v>0</v>
      </c>
      <c r="DA133" s="28">
        <f>IF(DA131=1,IF(INDEX('Lease Cycles'!$EF$15:$EL$15,1,DA129)=1,'Lease Cycles'!$C$15*INDEX('Lease Cycles'!$ET$15:$EZ$15,1,DA129)*(1+'Lease Cycles'!$V$15)^INT(INT(DA130/12)/'Lease Cycles'!$W$15)/12,0),0)</f>
        <v>0</v>
      </c>
      <c r="DB133" s="28">
        <f>IF(DB131=1,IF(INDEX('Lease Cycles'!$EF$15:$EL$15,1,DB129)=1,'Lease Cycles'!$C$15*INDEX('Lease Cycles'!$ET$15:$EZ$15,1,DB129)*(1+'Lease Cycles'!$V$15)^INT(INT(DB130/12)/'Lease Cycles'!$W$15)/12,0),0)</f>
        <v>0</v>
      </c>
      <c r="DC133" s="28">
        <f>IF(DC131=1,IF(INDEX('Lease Cycles'!$EF$15:$EL$15,1,DC129)=1,'Lease Cycles'!$C$15*INDEX('Lease Cycles'!$ET$15:$EZ$15,1,DC129)*(1+'Lease Cycles'!$V$15)^INT(INT(DC130/12)/'Lease Cycles'!$W$15)/12,0),0)</f>
        <v>0</v>
      </c>
      <c r="DD133" s="28">
        <f>IF(DD131=1,IF(INDEX('Lease Cycles'!$EF$15:$EL$15,1,DD129)=1,'Lease Cycles'!$C$15*INDEX('Lease Cycles'!$ET$15:$EZ$15,1,DD129)*(1+'Lease Cycles'!$V$15)^INT(INT(DD130/12)/'Lease Cycles'!$W$15)/12,0),0)</f>
        <v>0</v>
      </c>
      <c r="DE133" s="28">
        <f>IF(DE131=1,IF(INDEX('Lease Cycles'!$EF$15:$EL$15,1,DE129)=1,'Lease Cycles'!$C$15*INDEX('Lease Cycles'!$ET$15:$EZ$15,1,DE129)*(1+'Lease Cycles'!$V$15)^INT(INT(DE130/12)/'Lease Cycles'!$W$15)/12,0),0)</f>
        <v>0</v>
      </c>
      <c r="DF133" s="28">
        <f>IF(DF131=1,IF(INDEX('Lease Cycles'!$EF$15:$EL$15,1,DF129)=1,'Lease Cycles'!$C$15*INDEX('Lease Cycles'!$ET$15:$EZ$15,1,DF129)*(1+'Lease Cycles'!$V$15)^INT(INT(DF130/12)/'Lease Cycles'!$W$15)/12,0),0)</f>
        <v>0</v>
      </c>
      <c r="DG133" s="28">
        <f>IF(DG131=1,IF(INDEX('Lease Cycles'!$EF$15:$EL$15,1,DG129)=1,'Lease Cycles'!$C$15*INDEX('Lease Cycles'!$ET$15:$EZ$15,1,DG129)*(1+'Lease Cycles'!$V$15)^INT(INT(DG130/12)/'Lease Cycles'!$W$15)/12,0),0)</f>
        <v>0</v>
      </c>
      <c r="DH133" s="28">
        <f>IF(DH131=1,IF(INDEX('Lease Cycles'!$EF$15:$EL$15,1,DH129)=1,'Lease Cycles'!$C$15*INDEX('Lease Cycles'!$ET$15:$EZ$15,1,DH129)*(1+'Lease Cycles'!$V$15)^INT(INT(DH130/12)/'Lease Cycles'!$W$15)/12,0),0)</f>
        <v>0</v>
      </c>
      <c r="DI133" s="28">
        <f>IF(DI131=1,IF(INDEX('Lease Cycles'!$EF$15:$EL$15,1,DI129)=1,'Lease Cycles'!$C$15*INDEX('Lease Cycles'!$ET$15:$EZ$15,1,DI129)*(1+'Lease Cycles'!$V$15)^INT(INT(DI130/12)/'Lease Cycles'!$W$15)/12,0),0)</f>
        <v>0</v>
      </c>
      <c r="DJ133" s="28">
        <f>IF(DJ131=1,IF(INDEX('Lease Cycles'!$EF$15:$EL$15,1,DJ129)=1,'Lease Cycles'!$C$15*INDEX('Lease Cycles'!$ET$15:$EZ$15,1,DJ129)*(1+'Lease Cycles'!$V$15)^INT(INT(DJ130/12)/'Lease Cycles'!$W$15)/12,0),0)</f>
        <v>0</v>
      </c>
      <c r="DK133" s="28">
        <f>IF(DK131=1,IF(INDEX('Lease Cycles'!$EF$15:$EL$15,1,DK129)=1,'Lease Cycles'!$C$15*INDEX('Lease Cycles'!$ET$15:$EZ$15,1,DK129)*(1+'Lease Cycles'!$V$15)^INT(INT(DK130/12)/'Lease Cycles'!$W$15)/12,0),0)</f>
        <v>0</v>
      </c>
      <c r="DL133" s="28">
        <f>IF(DL131=1,IF(INDEX('Lease Cycles'!$EF$15:$EL$15,1,DL129)=1,'Lease Cycles'!$C$15*INDEX('Lease Cycles'!$ET$15:$EZ$15,1,DL129)*(1+'Lease Cycles'!$V$15)^INT(INT(DL130/12)/'Lease Cycles'!$W$15)/12,0),0)</f>
        <v>0</v>
      </c>
      <c r="DM133" s="28">
        <f>IF(DM131=1,IF(INDEX('Lease Cycles'!$EF$15:$EL$15,1,DM129)=1,'Lease Cycles'!$C$15*INDEX('Lease Cycles'!$ET$15:$EZ$15,1,DM129)*(1+'Lease Cycles'!$V$15)^INT(INT(DM130/12)/'Lease Cycles'!$W$15)/12,0),0)</f>
        <v>0</v>
      </c>
      <c r="DN133" s="28">
        <f>IF(DN131=1,IF(INDEX('Lease Cycles'!$EF$15:$EL$15,1,DN129)=1,'Lease Cycles'!$C$15*INDEX('Lease Cycles'!$ET$15:$EZ$15,1,DN129)*(1+'Lease Cycles'!$V$15)^INT(INT(DN130/12)/'Lease Cycles'!$W$15)/12,0),0)</f>
        <v>0</v>
      </c>
      <c r="DO133" s="28">
        <f>IF(DO131=1,IF(INDEX('Lease Cycles'!$EF$15:$EL$15,1,DO129)=1,'Lease Cycles'!$C$15*INDEX('Lease Cycles'!$ET$15:$EZ$15,1,DO129)*(1+'Lease Cycles'!$V$15)^INT(INT(DO130/12)/'Lease Cycles'!$W$15)/12,0),0)</f>
        <v>0</v>
      </c>
      <c r="DP133" s="28">
        <f>IF(DP131=1,IF(INDEX('Lease Cycles'!$EF$15:$EL$15,1,DP129)=1,'Lease Cycles'!$C$15*INDEX('Lease Cycles'!$ET$15:$EZ$15,1,DP129)*(1+'Lease Cycles'!$V$15)^INT(INT(DP130/12)/'Lease Cycles'!$W$15)/12,0),0)</f>
        <v>0</v>
      </c>
      <c r="DQ133" s="28">
        <f>IF(DQ131=1,IF(INDEX('Lease Cycles'!$EF$15:$EL$15,1,DQ129)=1,'Lease Cycles'!$C$15*INDEX('Lease Cycles'!$ET$15:$EZ$15,1,DQ129)*(1+'Lease Cycles'!$V$15)^INT(INT(DQ130/12)/'Lease Cycles'!$W$15)/12,0),0)</f>
        <v>0</v>
      </c>
      <c r="DR133" s="28">
        <f>IF(DR131=1,IF(INDEX('Lease Cycles'!$EF$15:$EL$15,1,DR129)=1,'Lease Cycles'!$C$15*INDEX('Lease Cycles'!$ET$15:$EZ$15,1,DR129)*(1+'Lease Cycles'!$V$15)^INT(INT(DR130/12)/'Lease Cycles'!$W$15)/12,0),0)</f>
        <v>0</v>
      </c>
      <c r="DS133" s="28">
        <f>IF(DS131=1,IF(INDEX('Lease Cycles'!$EF$15:$EL$15,1,DS129)=1,'Lease Cycles'!$C$15*INDEX('Lease Cycles'!$ET$15:$EZ$15,1,DS129)*(1+'Lease Cycles'!$V$15)^INT(INT(DS130/12)/'Lease Cycles'!$W$15)/12,0),0)</f>
        <v>0</v>
      </c>
      <c r="DT133" s="28">
        <f>IF(DT131=1,IF(INDEX('Lease Cycles'!$EF$15:$EL$15,1,DT129)=1,'Lease Cycles'!$C$15*INDEX('Lease Cycles'!$ET$15:$EZ$15,1,DT129)*(1+'Lease Cycles'!$V$15)^INT(INT(DT130/12)/'Lease Cycles'!$W$15)/12,0),0)</f>
        <v>0</v>
      </c>
      <c r="DU133" s="28">
        <f>IF(DU131=1,IF(INDEX('Lease Cycles'!$EF$15:$EL$15,1,DU129)=1,'Lease Cycles'!$C$15*INDEX('Lease Cycles'!$ET$15:$EZ$15,1,DU129)*(1+'Lease Cycles'!$V$15)^INT(INT(DU130/12)/'Lease Cycles'!$W$15)/12,0),0)</f>
        <v>0</v>
      </c>
      <c r="DV133" s="28">
        <f>IF(DV131=1,IF(INDEX('Lease Cycles'!$EF$15:$EL$15,1,DV129)=1,'Lease Cycles'!$C$15*INDEX('Lease Cycles'!$ET$15:$EZ$15,1,DV129)*(1+'Lease Cycles'!$V$15)^INT(INT(DV130/12)/'Lease Cycles'!$W$15)/12,0),0)</f>
        <v>0</v>
      </c>
      <c r="DW133" s="28">
        <f>IF(DW131=1,IF(INDEX('Lease Cycles'!$EF$15:$EL$15,1,DW129)=1,'Lease Cycles'!$C$15*INDEX('Lease Cycles'!$ET$15:$EZ$15,1,DW129)*(1+'Lease Cycles'!$V$15)^INT(INT(DW130/12)/'Lease Cycles'!$W$15)/12,0),0)</f>
        <v>0</v>
      </c>
      <c r="DX133" s="28">
        <f>IF(DX131=1,IF(INDEX('Lease Cycles'!$EF$15:$EL$15,1,DX129)=1,'Lease Cycles'!$C$15*INDEX('Lease Cycles'!$ET$15:$EZ$15,1,DX129)*(1+'Lease Cycles'!$V$15)^INT(INT(DX130/12)/'Lease Cycles'!$W$15)/12,0),0)</f>
        <v>0</v>
      </c>
      <c r="DY133" s="28">
        <f>IF(DY131=1,IF(INDEX('Lease Cycles'!$EF$15:$EL$15,1,DY129)=1,'Lease Cycles'!$C$15*INDEX('Lease Cycles'!$ET$15:$EZ$15,1,DY129)*(1+'Lease Cycles'!$V$15)^INT(INT(DY130/12)/'Lease Cycles'!$W$15)/12,0),0)</f>
        <v>0</v>
      </c>
      <c r="DZ133" s="28">
        <f>IF(DZ131=1,IF(INDEX('Lease Cycles'!$EF$15:$EL$15,1,DZ129)=1,'Lease Cycles'!$C$15*INDEX('Lease Cycles'!$ET$15:$EZ$15,1,DZ129)*(1+'Lease Cycles'!$V$15)^INT(INT(DZ130/12)/'Lease Cycles'!$W$15)/12,0),0)</f>
        <v>0</v>
      </c>
      <c r="EA133" s="28">
        <f>IF(EA131=1,IF(INDEX('Lease Cycles'!$EF$15:$EL$15,1,EA129)=1,'Lease Cycles'!$C$15*INDEX('Lease Cycles'!$ET$15:$EZ$15,1,EA129)*(1+'Lease Cycles'!$V$15)^INT(INT(EA130/12)/'Lease Cycles'!$W$15)/12,0),0)</f>
        <v>0</v>
      </c>
      <c r="EB133" s="28">
        <f>IF(EB131=1,IF(INDEX('Lease Cycles'!$EF$15:$EL$15,1,EB129)=1,'Lease Cycles'!$C$15*INDEX('Lease Cycles'!$ET$15:$EZ$15,1,EB129)*(1+'Lease Cycles'!$V$15)^INT(INT(EB130/12)/'Lease Cycles'!$W$15)/12,0),0)</f>
        <v>0</v>
      </c>
      <c r="EC133" s="28">
        <f>IF(EC131=1,IF(INDEX('Lease Cycles'!$EF$15:$EL$15,1,EC129)=1,'Lease Cycles'!$C$15*INDEX('Lease Cycles'!$ET$15:$EZ$15,1,EC129)*(1+'Lease Cycles'!$V$15)^INT(INT(EC130/12)/'Lease Cycles'!$W$15)/12,0),0)</f>
        <v>0</v>
      </c>
      <c r="ED133" s="28">
        <f>IF(ED131=1,IF(INDEX('Lease Cycles'!$EF$15:$EL$15,1,ED129)=1,'Lease Cycles'!$C$15*INDEX('Lease Cycles'!$ET$15:$EZ$15,1,ED129)*(1+'Lease Cycles'!$V$15)^INT(INT(ED130/12)/'Lease Cycles'!$W$15)/12,0),0)</f>
        <v>0</v>
      </c>
      <c r="EE133" s="28">
        <f>IF(EE131=1,IF(INDEX('Lease Cycles'!$EF$15:$EL$15,1,EE129)=1,'Lease Cycles'!$C$15*INDEX('Lease Cycles'!$ET$15:$EZ$15,1,EE129)*(1+'Lease Cycles'!$V$15)^INT(INT(EE130/12)/'Lease Cycles'!$W$15)/12,0),0)</f>
        <v>0</v>
      </c>
      <c r="EF133" s="28">
        <f>IF(EF131=1,IF(INDEX('Lease Cycles'!$EF$15:$EL$15,1,EF129)=1,'Lease Cycles'!$C$15*INDEX('Lease Cycles'!$ET$15:$EZ$15,1,EF129)*(1+'Lease Cycles'!$V$15)^INT(INT(EF130/12)/'Lease Cycles'!$W$15)/12,0),0)</f>
        <v>0</v>
      </c>
      <c r="EG133" s="28">
        <f>IF(EG131=1,IF(INDEX('Lease Cycles'!$EF$15:$EL$15,1,EG129)=1,'Lease Cycles'!$C$15*INDEX('Lease Cycles'!$ET$15:$EZ$15,1,EG129)*(1+'Lease Cycles'!$V$15)^INT(INT(EG130/12)/'Lease Cycles'!$W$15)/12,0),0)</f>
        <v>0</v>
      </c>
      <c r="EH133" s="28">
        <f>IF(EH131=1,IF(INDEX('Lease Cycles'!$EF$15:$EL$15,1,EH129)=1,'Lease Cycles'!$C$15*INDEX('Lease Cycles'!$ET$15:$EZ$15,1,EH129)*(1+'Lease Cycles'!$V$15)^INT(INT(EH130/12)/'Lease Cycles'!$W$15)/12,0),0)</f>
        <v>0</v>
      </c>
      <c r="EI133" s="28">
        <f>IF(EI131=1,IF(INDEX('Lease Cycles'!$EF$15:$EL$15,1,EI129)=1,'Lease Cycles'!$C$15*INDEX('Lease Cycles'!$ET$15:$EZ$15,1,EI129)*(1+'Lease Cycles'!$V$15)^INT(INT(EI130/12)/'Lease Cycles'!$W$15)/12,0),0)</f>
        <v>0</v>
      </c>
      <c r="EJ133" s="28">
        <f>IF(EJ131=1,IF(INDEX('Lease Cycles'!$EF$15:$EL$15,1,EJ129)=1,'Lease Cycles'!$C$15*INDEX('Lease Cycles'!$ET$15:$EZ$15,1,EJ129)*(1+'Lease Cycles'!$V$15)^INT(INT(EJ130/12)/'Lease Cycles'!$W$15)/12,0),0)</f>
        <v>0</v>
      </c>
      <c r="EK133" s="28">
        <f>IF(EK131=1,IF(INDEX('Lease Cycles'!$EF$15:$EL$15,1,EK129)=1,'Lease Cycles'!$C$15*INDEX('Lease Cycles'!$ET$15:$EZ$15,1,EK129)*(1+'Lease Cycles'!$V$15)^INT(INT(EK130/12)/'Lease Cycles'!$W$15)/12,0),0)</f>
        <v>0</v>
      </c>
      <c r="EL133" s="28">
        <f>IF(EL131=1,IF(INDEX('Lease Cycles'!$EF$15:$EL$15,1,EL129)=1,'Lease Cycles'!$C$15*INDEX('Lease Cycles'!$ET$15:$EZ$15,1,EL129)*(1+'Lease Cycles'!$V$15)^INT(INT(EL130/12)/'Lease Cycles'!$W$15)/12,0),0)</f>
        <v>0</v>
      </c>
      <c r="EM133" s="28">
        <f>IF(EM131=1,IF(INDEX('Lease Cycles'!$EF$15:$EL$15,1,EM129)=1,'Lease Cycles'!$C$15*INDEX('Lease Cycles'!$ET$15:$EZ$15,1,EM129)*(1+'Lease Cycles'!$V$15)^INT(INT(EM130/12)/'Lease Cycles'!$W$15)/12,0),0)</f>
        <v>0</v>
      </c>
      <c r="EN133" s="28">
        <f>IF(EN131=1,IF(INDEX('Lease Cycles'!$EF$15:$EL$15,1,EN129)=1,'Lease Cycles'!$C$15*INDEX('Lease Cycles'!$ET$15:$EZ$15,1,EN129)*(1+'Lease Cycles'!$V$15)^INT(INT(EN130/12)/'Lease Cycles'!$W$15)/12,0),0)</f>
        <v>0</v>
      </c>
      <c r="EO133" s="28">
        <f>IF(EO131=1,IF(INDEX('Lease Cycles'!$EF$15:$EL$15,1,EO129)=1,'Lease Cycles'!$C$15*INDEX('Lease Cycles'!$ET$15:$EZ$15,1,EO129)*(1+'Lease Cycles'!$V$15)^INT(INT(EO130/12)/'Lease Cycles'!$W$15)/12,0),0)</f>
        <v>0</v>
      </c>
      <c r="EP133" s="28">
        <f>IF(EP131=1,IF(INDEX('Lease Cycles'!$EF$15:$EL$15,1,EP129)=1,'Lease Cycles'!$C$15*INDEX('Lease Cycles'!$ET$15:$EZ$15,1,EP129)*(1+'Lease Cycles'!$V$15)^INT(INT(EP130/12)/'Lease Cycles'!$W$15)/12,0),0)</f>
        <v>0</v>
      </c>
      <c r="EQ133" s="28">
        <f>IF(EQ131=1,IF(INDEX('Lease Cycles'!$EF$15:$EL$15,1,EQ129)=1,'Lease Cycles'!$C$15*INDEX('Lease Cycles'!$ET$15:$EZ$15,1,EQ129)*(1+'Lease Cycles'!$V$15)^INT(INT(EQ130/12)/'Lease Cycles'!$W$15)/12,0),0)</f>
        <v>0</v>
      </c>
      <c r="ER133" s="28">
        <f>IF(ER131=1,IF(INDEX('Lease Cycles'!$EF$15:$EL$15,1,ER129)=1,'Lease Cycles'!$C$15*INDEX('Lease Cycles'!$ET$15:$EZ$15,1,ER129)*(1+'Lease Cycles'!$V$15)^INT(INT(ER130/12)/'Lease Cycles'!$W$15)/12,0),0)</f>
        <v>0</v>
      </c>
      <c r="ES133" s="28">
        <f>IF(ES131=1,IF(INDEX('Lease Cycles'!$EF$15:$EL$15,1,ES129)=1,'Lease Cycles'!$C$15*INDEX('Lease Cycles'!$ET$15:$EZ$15,1,ES129)*(1+'Lease Cycles'!$V$15)^INT(INT(ES130/12)/'Lease Cycles'!$W$15)/12,0),0)</f>
        <v>0</v>
      </c>
      <c r="ET133" s="28">
        <f>IF(ET131=1,IF(INDEX('Lease Cycles'!$EF$15:$EL$15,1,ET129)=1,'Lease Cycles'!$C$15*INDEX('Lease Cycles'!$ET$15:$EZ$15,1,ET129)*(1+'Lease Cycles'!$V$15)^INT(INT(ET130/12)/'Lease Cycles'!$W$15)/12,0),0)</f>
        <v>0</v>
      </c>
    </row>
    <row r="134">
      <c r="A134" s="103">
        <v>8</v>
      </c>
      <c r="B134" s="23" t="str">
        <f>IF('Lease Cycles'!$B$15="","(empty slot)",'Lease Cycles'!$B$15)</f>
        <v>Sunfield Bagels</v>
      </c>
      <c r="C134" s="23" t="s">
        <v>681</v>
      </c>
      <c r="D134" s="104" t="s">
        <v>490</v>
      </c>
      <c r="E134" s="25">
        <f>'Lease Cycles'!$AL$15</f>
        <v>0</v>
      </c>
      <c r="G134" s="28">
        <f>SUM(S134:AD134)</f>
        <v>38400</v>
      </c>
      <c r="H134" s="28">
        <f>SUM(AE134:AP134)</f>
        <v>38400</v>
      </c>
      <c r="I134" s="28">
        <f>SUM(AQ134:BB134)</f>
        <v>38400</v>
      </c>
      <c r="J134" s="28">
        <f>SUM(BC134:BN134)</f>
        <v>31849.923261124834</v>
      </c>
      <c r="K134" s="28">
        <f>SUM(BO134:BZ134)</f>
        <v>24989.0245186589</v>
      </c>
      <c r="L134" s="28">
        <f>SUM(CA134:CL134)</f>
        <v>25738.695254218666</v>
      </c>
      <c r="M134" s="28">
        <f>SUM(CM134:CX134)</f>
        <v>26510.856111845227</v>
      </c>
      <c r="N134" s="28">
        <f>SUM(CY134:DJ134)</f>
        <v>27306.181795200588</v>
      </c>
      <c r="O134" s="28">
        <f>SUM(DK134:DV134)</f>
        <v>28125.367249056606</v>
      </c>
      <c r="P134" s="28">
        <f>SUM(DW134:EH134)</f>
        <v>28969.128266528303</v>
      </c>
      <c r="Q134" s="28">
        <f>SUM(EI134:ET134)</f>
        <v>32772.58424881635</v>
      </c>
      <c r="S134" s="28">
        <f>IF(S131=1,IF(INDEX('Lease Cycles'!$EF$15:$EL$15,1,S129)=1,S132*INDEX('Lease Cycles'!$EM$15:$ES$15,1,S129)+S133*(1-INDEX('Lease Cycles'!$EM$15:$ES$15,1,S129)),S132),S132)</f>
        <v>3200</v>
      </c>
      <c r="T134" s="28">
        <f>IF(T131=1,IF(INDEX('Lease Cycles'!$EF$15:$EL$15,1,T129)=1,T132*INDEX('Lease Cycles'!$EM$15:$ES$15,1,T129)+T133*(1-INDEX('Lease Cycles'!$EM$15:$ES$15,1,T129)),T132),T132)</f>
        <v>3200</v>
      </c>
      <c r="U134" s="28">
        <f>IF(U131=1,IF(INDEX('Lease Cycles'!$EF$15:$EL$15,1,U129)=1,U132*INDEX('Lease Cycles'!$EM$15:$ES$15,1,U129)+U133*(1-INDEX('Lease Cycles'!$EM$15:$ES$15,1,U129)),U132),U132)</f>
        <v>3200</v>
      </c>
      <c r="V134" s="28">
        <f>IF(V131=1,IF(INDEX('Lease Cycles'!$EF$15:$EL$15,1,V129)=1,V132*INDEX('Lease Cycles'!$EM$15:$ES$15,1,V129)+V133*(1-INDEX('Lease Cycles'!$EM$15:$ES$15,1,V129)),V132),V132)</f>
        <v>3200</v>
      </c>
      <c r="W134" s="28">
        <f>IF(W131=1,IF(INDEX('Lease Cycles'!$EF$15:$EL$15,1,W129)=1,W132*INDEX('Lease Cycles'!$EM$15:$ES$15,1,W129)+W133*(1-INDEX('Lease Cycles'!$EM$15:$ES$15,1,W129)),W132),W132)</f>
        <v>3200</v>
      </c>
      <c r="X134" s="28">
        <f>IF(X131=1,IF(INDEX('Lease Cycles'!$EF$15:$EL$15,1,X129)=1,X132*INDEX('Lease Cycles'!$EM$15:$ES$15,1,X129)+X133*(1-INDEX('Lease Cycles'!$EM$15:$ES$15,1,X129)),X132),X132)</f>
        <v>3200</v>
      </c>
      <c r="Y134" s="28">
        <f>IF(Y131=1,IF(INDEX('Lease Cycles'!$EF$15:$EL$15,1,Y129)=1,Y132*INDEX('Lease Cycles'!$EM$15:$ES$15,1,Y129)+Y133*(1-INDEX('Lease Cycles'!$EM$15:$ES$15,1,Y129)),Y132),Y132)</f>
        <v>3200</v>
      </c>
      <c r="Z134" s="28">
        <f>IF(Z131=1,IF(INDEX('Lease Cycles'!$EF$15:$EL$15,1,Z129)=1,Z132*INDEX('Lease Cycles'!$EM$15:$ES$15,1,Z129)+Z133*(1-INDEX('Lease Cycles'!$EM$15:$ES$15,1,Z129)),Z132),Z132)</f>
        <v>3200</v>
      </c>
      <c r="AA134" s="28">
        <f>IF(AA131=1,IF(INDEX('Lease Cycles'!$EF$15:$EL$15,1,AA129)=1,AA132*INDEX('Lease Cycles'!$EM$15:$ES$15,1,AA129)+AA133*(1-INDEX('Lease Cycles'!$EM$15:$ES$15,1,AA129)),AA132),AA132)</f>
        <v>3200</v>
      </c>
      <c r="AB134" s="28">
        <f>IF(AB131=1,IF(INDEX('Lease Cycles'!$EF$15:$EL$15,1,AB129)=1,AB132*INDEX('Lease Cycles'!$EM$15:$ES$15,1,AB129)+AB133*(1-INDEX('Lease Cycles'!$EM$15:$ES$15,1,AB129)),AB132),AB132)</f>
        <v>3200</v>
      </c>
      <c r="AC134" s="28">
        <f>IF(AC131=1,IF(INDEX('Lease Cycles'!$EF$15:$EL$15,1,AC129)=1,AC132*INDEX('Lease Cycles'!$EM$15:$ES$15,1,AC129)+AC133*(1-INDEX('Lease Cycles'!$EM$15:$ES$15,1,AC129)),AC132),AC132)</f>
        <v>3200</v>
      </c>
      <c r="AD134" s="28">
        <f>IF(AD131=1,IF(INDEX('Lease Cycles'!$EF$15:$EL$15,1,AD129)=1,AD132*INDEX('Lease Cycles'!$EM$15:$ES$15,1,AD129)+AD133*(1-INDEX('Lease Cycles'!$EM$15:$ES$15,1,AD129)),AD132),AD132)</f>
        <v>3200</v>
      </c>
      <c r="AE134" s="28">
        <f>IF(AE131=1,IF(INDEX('Lease Cycles'!$EF$15:$EL$15,1,AE129)=1,AE132*INDEX('Lease Cycles'!$EM$15:$ES$15,1,AE129)+AE133*(1-INDEX('Lease Cycles'!$EM$15:$ES$15,1,AE129)),AE132),AE132)</f>
        <v>3200</v>
      </c>
      <c r="AF134" s="28">
        <f>IF(AF131=1,IF(INDEX('Lease Cycles'!$EF$15:$EL$15,1,AF129)=1,AF132*INDEX('Lease Cycles'!$EM$15:$ES$15,1,AF129)+AF133*(1-INDEX('Lease Cycles'!$EM$15:$ES$15,1,AF129)),AF132),AF132)</f>
        <v>3200</v>
      </c>
      <c r="AG134" s="28">
        <f>IF(AG131=1,IF(INDEX('Lease Cycles'!$EF$15:$EL$15,1,AG129)=1,AG132*INDEX('Lease Cycles'!$EM$15:$ES$15,1,AG129)+AG133*(1-INDEX('Lease Cycles'!$EM$15:$ES$15,1,AG129)),AG132),AG132)</f>
        <v>3200</v>
      </c>
      <c r="AH134" s="28">
        <f>IF(AH131=1,IF(INDEX('Lease Cycles'!$EF$15:$EL$15,1,AH129)=1,AH132*INDEX('Lease Cycles'!$EM$15:$ES$15,1,AH129)+AH133*(1-INDEX('Lease Cycles'!$EM$15:$ES$15,1,AH129)),AH132),AH132)</f>
        <v>3200</v>
      </c>
      <c r="AI134" s="28">
        <f>IF(AI131=1,IF(INDEX('Lease Cycles'!$EF$15:$EL$15,1,AI129)=1,AI132*INDEX('Lease Cycles'!$EM$15:$ES$15,1,AI129)+AI133*(1-INDEX('Lease Cycles'!$EM$15:$ES$15,1,AI129)),AI132),AI132)</f>
        <v>3200</v>
      </c>
      <c r="AJ134" s="28">
        <f>IF(AJ131=1,IF(INDEX('Lease Cycles'!$EF$15:$EL$15,1,AJ129)=1,AJ132*INDEX('Lease Cycles'!$EM$15:$ES$15,1,AJ129)+AJ133*(1-INDEX('Lease Cycles'!$EM$15:$ES$15,1,AJ129)),AJ132),AJ132)</f>
        <v>3200</v>
      </c>
      <c r="AK134" s="28">
        <f>IF(AK131=1,IF(INDEX('Lease Cycles'!$EF$15:$EL$15,1,AK129)=1,AK132*INDEX('Lease Cycles'!$EM$15:$ES$15,1,AK129)+AK133*(1-INDEX('Lease Cycles'!$EM$15:$ES$15,1,AK129)),AK132),AK132)</f>
        <v>3200</v>
      </c>
      <c r="AL134" s="28">
        <f>IF(AL131=1,IF(INDEX('Lease Cycles'!$EF$15:$EL$15,1,AL129)=1,AL132*INDEX('Lease Cycles'!$EM$15:$ES$15,1,AL129)+AL133*(1-INDEX('Lease Cycles'!$EM$15:$ES$15,1,AL129)),AL132),AL132)</f>
        <v>3200</v>
      </c>
      <c r="AM134" s="28">
        <f>IF(AM131=1,IF(INDEX('Lease Cycles'!$EF$15:$EL$15,1,AM129)=1,AM132*INDEX('Lease Cycles'!$EM$15:$ES$15,1,AM129)+AM133*(1-INDEX('Lease Cycles'!$EM$15:$ES$15,1,AM129)),AM132),AM132)</f>
        <v>3200</v>
      </c>
      <c r="AN134" s="28">
        <f>IF(AN131=1,IF(INDEX('Lease Cycles'!$EF$15:$EL$15,1,AN129)=1,AN132*INDEX('Lease Cycles'!$EM$15:$ES$15,1,AN129)+AN133*(1-INDEX('Lease Cycles'!$EM$15:$ES$15,1,AN129)),AN132),AN132)</f>
        <v>3200</v>
      </c>
      <c r="AO134" s="28">
        <f>IF(AO131=1,IF(INDEX('Lease Cycles'!$EF$15:$EL$15,1,AO129)=1,AO132*INDEX('Lease Cycles'!$EM$15:$ES$15,1,AO129)+AO133*(1-INDEX('Lease Cycles'!$EM$15:$ES$15,1,AO129)),AO132),AO132)</f>
        <v>3200</v>
      </c>
      <c r="AP134" s="28">
        <f>IF(AP131=1,IF(INDEX('Lease Cycles'!$EF$15:$EL$15,1,AP129)=1,AP132*INDEX('Lease Cycles'!$EM$15:$ES$15,1,AP129)+AP133*(1-INDEX('Lease Cycles'!$EM$15:$ES$15,1,AP129)),AP132),AP132)</f>
        <v>3200</v>
      </c>
      <c r="AQ134" s="28">
        <f>IF(AQ131=1,IF(INDEX('Lease Cycles'!$EF$15:$EL$15,1,AQ129)=1,AQ132*INDEX('Lease Cycles'!$EM$15:$ES$15,1,AQ129)+AQ133*(1-INDEX('Lease Cycles'!$EM$15:$ES$15,1,AQ129)),AQ132),AQ132)</f>
        <v>3200</v>
      </c>
      <c r="AR134" s="28">
        <f>IF(AR131=1,IF(INDEX('Lease Cycles'!$EF$15:$EL$15,1,AR129)=1,AR132*INDEX('Lease Cycles'!$EM$15:$ES$15,1,AR129)+AR133*(1-INDEX('Lease Cycles'!$EM$15:$ES$15,1,AR129)),AR132),AR132)</f>
        <v>3200</v>
      </c>
      <c r="AS134" s="28">
        <f>IF(AS131=1,IF(INDEX('Lease Cycles'!$EF$15:$EL$15,1,AS129)=1,AS132*INDEX('Lease Cycles'!$EM$15:$ES$15,1,AS129)+AS133*(1-INDEX('Lease Cycles'!$EM$15:$ES$15,1,AS129)),AS132),AS132)</f>
        <v>3200</v>
      </c>
      <c r="AT134" s="28">
        <f>IF(AT131=1,IF(INDEX('Lease Cycles'!$EF$15:$EL$15,1,AT129)=1,AT132*INDEX('Lease Cycles'!$EM$15:$ES$15,1,AT129)+AT133*(1-INDEX('Lease Cycles'!$EM$15:$ES$15,1,AT129)),AT132),AT132)</f>
        <v>3200</v>
      </c>
      <c r="AU134" s="28">
        <f>IF(AU131=1,IF(INDEX('Lease Cycles'!$EF$15:$EL$15,1,AU129)=1,AU132*INDEX('Lease Cycles'!$EM$15:$ES$15,1,AU129)+AU133*(1-INDEX('Lease Cycles'!$EM$15:$ES$15,1,AU129)),AU132),AU132)</f>
        <v>3200</v>
      </c>
      <c r="AV134" s="28">
        <f>IF(AV131=1,IF(INDEX('Lease Cycles'!$EF$15:$EL$15,1,AV129)=1,AV132*INDEX('Lease Cycles'!$EM$15:$ES$15,1,AV129)+AV133*(1-INDEX('Lease Cycles'!$EM$15:$ES$15,1,AV129)),AV132),AV132)</f>
        <v>3200</v>
      </c>
      <c r="AW134" s="28">
        <f>IF(AW131=1,IF(INDEX('Lease Cycles'!$EF$15:$EL$15,1,AW129)=1,AW132*INDEX('Lease Cycles'!$EM$15:$ES$15,1,AW129)+AW133*(1-INDEX('Lease Cycles'!$EM$15:$ES$15,1,AW129)),AW132),AW132)</f>
        <v>3200</v>
      </c>
      <c r="AX134" s="28">
        <f>IF(AX131=1,IF(INDEX('Lease Cycles'!$EF$15:$EL$15,1,AX129)=1,AX132*INDEX('Lease Cycles'!$EM$15:$ES$15,1,AX129)+AX133*(1-INDEX('Lease Cycles'!$EM$15:$ES$15,1,AX129)),AX132),AX132)</f>
        <v>3200</v>
      </c>
      <c r="AY134" s="28">
        <f>IF(AY131=1,IF(INDEX('Lease Cycles'!$EF$15:$EL$15,1,AY129)=1,AY132*INDEX('Lease Cycles'!$EM$15:$ES$15,1,AY129)+AY133*(1-INDEX('Lease Cycles'!$EM$15:$ES$15,1,AY129)),AY132),AY132)</f>
        <v>3200</v>
      </c>
      <c r="AZ134" s="28">
        <f>IF(AZ131=1,IF(INDEX('Lease Cycles'!$EF$15:$EL$15,1,AZ129)=1,AZ132*INDEX('Lease Cycles'!$EM$15:$ES$15,1,AZ129)+AZ133*(1-INDEX('Lease Cycles'!$EM$15:$ES$15,1,AZ129)),AZ132),AZ132)</f>
        <v>3200</v>
      </c>
      <c r="BA134" s="28">
        <f>IF(BA131=1,IF(INDEX('Lease Cycles'!$EF$15:$EL$15,1,BA129)=1,BA132*INDEX('Lease Cycles'!$EM$15:$ES$15,1,BA129)+BA133*(1-INDEX('Lease Cycles'!$EM$15:$ES$15,1,BA129)),BA132),BA132)</f>
        <v>3200</v>
      </c>
      <c r="BB134" s="28">
        <f>IF(BB131=1,IF(INDEX('Lease Cycles'!$EF$15:$EL$15,1,BB129)=1,BB132*INDEX('Lease Cycles'!$EM$15:$ES$15,1,BB129)+BB133*(1-INDEX('Lease Cycles'!$EM$15:$ES$15,1,BB129)),BB132),BB132)</f>
        <v>3200</v>
      </c>
      <c r="BC134" s="28">
        <f>IF(BC131=1,IF(INDEX('Lease Cycles'!$EF$15:$EL$15,1,BC129)=1,BC132*INDEX('Lease Cycles'!$EM$15:$ES$15,1,BC129)+BC133*(1-INDEX('Lease Cycles'!$EM$15:$ES$15,1,BC129)),BC132),BC132)</f>
        <v>3200</v>
      </c>
      <c r="BD134" s="28">
        <f>IF(BD131=1,IF(INDEX('Lease Cycles'!$EF$15:$EL$15,1,BD129)=1,BD132*INDEX('Lease Cycles'!$EM$15:$ES$15,1,BD129)+BD133*(1-INDEX('Lease Cycles'!$EM$15:$ES$15,1,BD129)),BD132),BD132)</f>
        <v>3200</v>
      </c>
      <c r="BE134" s="28">
        <f>IF(BE131=1,IF(INDEX('Lease Cycles'!$EF$15:$EL$15,1,BE129)=1,BE132*INDEX('Lease Cycles'!$EM$15:$ES$15,1,BE129)+BE133*(1-INDEX('Lease Cycles'!$EM$15:$ES$15,1,BE129)),BE132),BE132)</f>
        <v>3200</v>
      </c>
      <c r="BF134" s="28">
        <f>IF(BF131=1,IF(INDEX('Lease Cycles'!$EF$15:$EL$15,1,BF129)=1,BF132*INDEX('Lease Cycles'!$EM$15:$ES$15,1,BF129)+BF133*(1-INDEX('Lease Cycles'!$EM$15:$ES$15,1,BF129)),BF132),BF132)</f>
        <v>3200</v>
      </c>
      <c r="BG134" s="28">
        <f>IF(BG131=1,IF(INDEX('Lease Cycles'!$EF$15:$EL$15,1,BG129)=1,BG132*INDEX('Lease Cycles'!$EM$15:$ES$15,1,BG129)+BG133*(1-INDEX('Lease Cycles'!$EM$15:$ES$15,1,BG129)),BG132),BG132)</f>
        <v>3200</v>
      </c>
      <c r="BH134" s="28">
        <f>IF(BH131=1,IF(INDEX('Lease Cycles'!$EF$15:$EL$15,1,BH129)=1,BH132*INDEX('Lease Cycles'!$EM$15:$ES$15,1,BH129)+BH133*(1-INDEX('Lease Cycles'!$EM$15:$ES$15,1,BH129)),BH132),BH132)</f>
        <v>3540.0589662189705</v>
      </c>
      <c r="BI134" s="28">
        <f>IF(BI131=1,IF(INDEX('Lease Cycles'!$EF$15:$EL$15,1,BI129)=1,BI132*INDEX('Lease Cycles'!$EM$15:$ES$15,1,BI129)+BI133*(1-INDEX('Lease Cycles'!$EM$15:$ES$15,1,BI129)),BI132),BI132)</f>
        <v>2051.644049150977</v>
      </c>
      <c r="BJ134" s="28">
        <f>IF(BJ131=1,IF(INDEX('Lease Cycles'!$EF$15:$EL$15,1,BJ129)=1,BJ132*INDEX('Lease Cycles'!$EM$15:$ES$15,1,BJ129)+BJ133*(1-INDEX('Lease Cycles'!$EM$15:$ES$15,1,BJ129)),BJ132),BJ132)</f>
        <v>2051.644049150977</v>
      </c>
      <c r="BK134" s="28">
        <f>IF(BK131=1,IF(INDEX('Lease Cycles'!$EF$15:$EL$15,1,BK129)=1,BK132*INDEX('Lease Cycles'!$EM$15:$ES$15,1,BK129)+BK133*(1-INDEX('Lease Cycles'!$EM$15:$ES$15,1,BK129)),BK132),BK132)</f>
        <v>2051.644049150977</v>
      </c>
      <c r="BL134" s="28">
        <f>IF(BL131=1,IF(INDEX('Lease Cycles'!$EF$15:$EL$15,1,BL129)=1,BL132*INDEX('Lease Cycles'!$EM$15:$ES$15,1,BL129)+BL133*(1-INDEX('Lease Cycles'!$EM$15:$ES$15,1,BL129)),BL132),BL132)</f>
        <v>2051.644049150977</v>
      </c>
      <c r="BM134" s="28">
        <f>IF(BM131=1,IF(INDEX('Lease Cycles'!$EF$15:$EL$15,1,BM129)=1,BM132*INDEX('Lease Cycles'!$EM$15:$ES$15,1,BM129)+BM133*(1-INDEX('Lease Cycles'!$EM$15:$ES$15,1,BM129)),BM132),BM132)</f>
        <v>2051.644049150977</v>
      </c>
      <c r="BN134" s="28">
        <f>IF(BN131=1,IF(INDEX('Lease Cycles'!$EF$15:$EL$15,1,BN129)=1,BN132*INDEX('Lease Cycles'!$EM$15:$ES$15,1,BN129)+BN133*(1-INDEX('Lease Cycles'!$EM$15:$ES$15,1,BN129)),BN132),BN132)</f>
        <v>2051.644049150977</v>
      </c>
      <c r="BO134" s="28">
        <f>IF(BO131=1,IF(INDEX('Lease Cycles'!$EF$15:$EL$15,1,BO129)=1,BO132*INDEX('Lease Cycles'!$EM$15:$ES$15,1,BO129)+BO133*(1-INDEX('Lease Cycles'!$EM$15:$ES$15,1,BO129)),BO132),BO132)</f>
        <v>2051.644049150977</v>
      </c>
      <c r="BP134" s="28">
        <f>IF(BP131=1,IF(INDEX('Lease Cycles'!$EF$15:$EL$15,1,BP129)=1,BP132*INDEX('Lease Cycles'!$EM$15:$ES$15,1,BP129)+BP133*(1-INDEX('Lease Cycles'!$EM$15:$ES$15,1,BP129)),BP132),BP132)</f>
        <v>2051.644049150977</v>
      </c>
      <c r="BQ134" s="28">
        <f>IF(BQ131=1,IF(INDEX('Lease Cycles'!$EF$15:$EL$15,1,BQ129)=1,BQ132*INDEX('Lease Cycles'!$EM$15:$ES$15,1,BQ129)+BQ133*(1-INDEX('Lease Cycles'!$EM$15:$ES$15,1,BQ129)),BQ132),BQ132)</f>
        <v>2051.644049150977</v>
      </c>
      <c r="BR134" s="28">
        <f>IF(BR131=1,IF(INDEX('Lease Cycles'!$EF$15:$EL$15,1,BR129)=1,BR132*INDEX('Lease Cycles'!$EM$15:$ES$15,1,BR129)+BR133*(1-INDEX('Lease Cycles'!$EM$15:$ES$15,1,BR129)),BR132),BR132)</f>
        <v>2051.644049150977</v>
      </c>
      <c r="BS134" s="28">
        <f>IF(BS131=1,IF(INDEX('Lease Cycles'!$EF$15:$EL$15,1,BS129)=1,BS132*INDEX('Lease Cycles'!$EM$15:$ES$15,1,BS129)+BS133*(1-INDEX('Lease Cycles'!$EM$15:$ES$15,1,BS129)),BS132),BS132)</f>
        <v>2051.644049150977</v>
      </c>
      <c r="BT134" s="28">
        <f>IF(BT131=1,IF(INDEX('Lease Cycles'!$EF$15:$EL$15,1,BT129)=1,BT132*INDEX('Lease Cycles'!$EM$15:$ES$15,1,BT129)+BT133*(1-INDEX('Lease Cycles'!$EM$15:$ES$15,1,BT129)),BT132),BT132)</f>
        <v>2051.644049150977</v>
      </c>
      <c r="BU134" s="28">
        <f>IF(BU131=1,IF(INDEX('Lease Cycles'!$EF$15:$EL$15,1,BU129)=1,BU132*INDEX('Lease Cycles'!$EM$15:$ES$15,1,BU129)+BU133*(1-INDEX('Lease Cycles'!$EM$15:$ES$15,1,BU129)),BU132),BU132)</f>
        <v>2113.1933706255063</v>
      </c>
      <c r="BV134" s="28">
        <f>IF(BV131=1,IF(INDEX('Lease Cycles'!$EF$15:$EL$15,1,BV129)=1,BV132*INDEX('Lease Cycles'!$EM$15:$ES$15,1,BV129)+BV133*(1-INDEX('Lease Cycles'!$EM$15:$ES$15,1,BV129)),BV132),BV132)</f>
        <v>2113.1933706255063</v>
      </c>
      <c r="BW134" s="28">
        <f>IF(BW131=1,IF(INDEX('Lease Cycles'!$EF$15:$EL$15,1,BW129)=1,BW132*INDEX('Lease Cycles'!$EM$15:$ES$15,1,BW129)+BW133*(1-INDEX('Lease Cycles'!$EM$15:$ES$15,1,BW129)),BW132),BW132)</f>
        <v>2113.1933706255063</v>
      </c>
      <c r="BX134" s="28">
        <f>IF(BX131=1,IF(INDEX('Lease Cycles'!$EF$15:$EL$15,1,BX129)=1,BX132*INDEX('Lease Cycles'!$EM$15:$ES$15,1,BX129)+BX133*(1-INDEX('Lease Cycles'!$EM$15:$ES$15,1,BX129)),BX132),BX132)</f>
        <v>2113.1933706255063</v>
      </c>
      <c r="BY134" s="28">
        <f>IF(BY131=1,IF(INDEX('Lease Cycles'!$EF$15:$EL$15,1,BY129)=1,BY132*INDEX('Lease Cycles'!$EM$15:$ES$15,1,BY129)+BY133*(1-INDEX('Lease Cycles'!$EM$15:$ES$15,1,BY129)),BY132),BY132)</f>
        <v>2113.1933706255063</v>
      </c>
      <c r="BZ134" s="28">
        <f>IF(BZ131=1,IF(INDEX('Lease Cycles'!$EF$15:$EL$15,1,BZ129)=1,BZ132*INDEX('Lease Cycles'!$EM$15:$ES$15,1,BZ129)+BZ133*(1-INDEX('Lease Cycles'!$EM$15:$ES$15,1,BZ129)),BZ132),BZ132)</f>
        <v>2113.1933706255063</v>
      </c>
      <c r="CA134" s="28">
        <f>IF(CA131=1,IF(INDEX('Lease Cycles'!$EF$15:$EL$15,1,CA129)=1,CA132*INDEX('Lease Cycles'!$EM$15:$ES$15,1,CA129)+CA133*(1-INDEX('Lease Cycles'!$EM$15:$ES$15,1,CA129)),CA132),CA132)</f>
        <v>2113.1933706255063</v>
      </c>
      <c r="CB134" s="28">
        <f>IF(CB131=1,IF(INDEX('Lease Cycles'!$EF$15:$EL$15,1,CB129)=1,CB132*INDEX('Lease Cycles'!$EM$15:$ES$15,1,CB129)+CB133*(1-INDEX('Lease Cycles'!$EM$15:$ES$15,1,CB129)),CB132),CB132)</f>
        <v>2113.1933706255063</v>
      </c>
      <c r="CC134" s="28">
        <f>IF(CC131=1,IF(INDEX('Lease Cycles'!$EF$15:$EL$15,1,CC129)=1,CC132*INDEX('Lease Cycles'!$EM$15:$ES$15,1,CC129)+CC133*(1-INDEX('Lease Cycles'!$EM$15:$ES$15,1,CC129)),CC132),CC132)</f>
        <v>2113.1933706255063</v>
      </c>
      <c r="CD134" s="28">
        <f>IF(CD131=1,IF(INDEX('Lease Cycles'!$EF$15:$EL$15,1,CD129)=1,CD132*INDEX('Lease Cycles'!$EM$15:$ES$15,1,CD129)+CD133*(1-INDEX('Lease Cycles'!$EM$15:$ES$15,1,CD129)),CD132),CD132)</f>
        <v>2113.1933706255063</v>
      </c>
      <c r="CE134" s="28">
        <f>IF(CE131=1,IF(INDEX('Lease Cycles'!$EF$15:$EL$15,1,CE129)=1,CE132*INDEX('Lease Cycles'!$EM$15:$ES$15,1,CE129)+CE133*(1-INDEX('Lease Cycles'!$EM$15:$ES$15,1,CE129)),CE132),CE132)</f>
        <v>2113.1933706255063</v>
      </c>
      <c r="CF134" s="28">
        <f>IF(CF131=1,IF(INDEX('Lease Cycles'!$EF$15:$EL$15,1,CF129)=1,CF132*INDEX('Lease Cycles'!$EM$15:$ES$15,1,CF129)+CF133*(1-INDEX('Lease Cycles'!$EM$15:$ES$15,1,CF129)),CF132),CF132)</f>
        <v>2113.1933706255063</v>
      </c>
      <c r="CG134" s="28">
        <f>IF(CG131=1,IF(INDEX('Lease Cycles'!$EF$15:$EL$15,1,CG129)=1,CG132*INDEX('Lease Cycles'!$EM$15:$ES$15,1,CG129)+CG133*(1-INDEX('Lease Cycles'!$EM$15:$ES$15,1,CG129)),CG132),CG132)</f>
        <v>2176.5891717442714</v>
      </c>
      <c r="CH134" s="28">
        <f>IF(CH131=1,IF(INDEX('Lease Cycles'!$EF$15:$EL$15,1,CH129)=1,CH132*INDEX('Lease Cycles'!$EM$15:$ES$15,1,CH129)+CH133*(1-INDEX('Lease Cycles'!$EM$15:$ES$15,1,CH129)),CH132),CH132)</f>
        <v>2176.5891717442714</v>
      </c>
      <c r="CI134" s="28">
        <f>IF(CI131=1,IF(INDEX('Lease Cycles'!$EF$15:$EL$15,1,CI129)=1,CI132*INDEX('Lease Cycles'!$EM$15:$ES$15,1,CI129)+CI133*(1-INDEX('Lease Cycles'!$EM$15:$ES$15,1,CI129)),CI132),CI132)</f>
        <v>2176.5891717442714</v>
      </c>
      <c r="CJ134" s="28">
        <f>IF(CJ131=1,IF(INDEX('Lease Cycles'!$EF$15:$EL$15,1,CJ129)=1,CJ132*INDEX('Lease Cycles'!$EM$15:$ES$15,1,CJ129)+CJ133*(1-INDEX('Lease Cycles'!$EM$15:$ES$15,1,CJ129)),CJ132),CJ132)</f>
        <v>2176.5891717442714</v>
      </c>
      <c r="CK134" s="28">
        <f>IF(CK131=1,IF(INDEX('Lease Cycles'!$EF$15:$EL$15,1,CK129)=1,CK132*INDEX('Lease Cycles'!$EM$15:$ES$15,1,CK129)+CK133*(1-INDEX('Lease Cycles'!$EM$15:$ES$15,1,CK129)),CK132),CK132)</f>
        <v>2176.5891717442714</v>
      </c>
      <c r="CL134" s="28">
        <f>IF(CL131=1,IF(INDEX('Lease Cycles'!$EF$15:$EL$15,1,CL129)=1,CL132*INDEX('Lease Cycles'!$EM$15:$ES$15,1,CL129)+CL133*(1-INDEX('Lease Cycles'!$EM$15:$ES$15,1,CL129)),CL132),CL132)</f>
        <v>2176.5891717442714</v>
      </c>
      <c r="CM134" s="28">
        <f>IF(CM131=1,IF(INDEX('Lease Cycles'!$EF$15:$EL$15,1,CM129)=1,CM132*INDEX('Lease Cycles'!$EM$15:$ES$15,1,CM129)+CM133*(1-INDEX('Lease Cycles'!$EM$15:$ES$15,1,CM129)),CM132),CM132)</f>
        <v>2176.5891717442714</v>
      </c>
      <c r="CN134" s="28">
        <f>IF(CN131=1,IF(INDEX('Lease Cycles'!$EF$15:$EL$15,1,CN129)=1,CN132*INDEX('Lease Cycles'!$EM$15:$ES$15,1,CN129)+CN133*(1-INDEX('Lease Cycles'!$EM$15:$ES$15,1,CN129)),CN132),CN132)</f>
        <v>2176.5891717442714</v>
      </c>
      <c r="CO134" s="28">
        <f>IF(CO131=1,IF(INDEX('Lease Cycles'!$EF$15:$EL$15,1,CO129)=1,CO132*INDEX('Lease Cycles'!$EM$15:$ES$15,1,CO129)+CO133*(1-INDEX('Lease Cycles'!$EM$15:$ES$15,1,CO129)),CO132),CO132)</f>
        <v>2176.5891717442714</v>
      </c>
      <c r="CP134" s="28">
        <f>IF(CP131=1,IF(INDEX('Lease Cycles'!$EF$15:$EL$15,1,CP129)=1,CP132*INDEX('Lease Cycles'!$EM$15:$ES$15,1,CP129)+CP133*(1-INDEX('Lease Cycles'!$EM$15:$ES$15,1,CP129)),CP132),CP132)</f>
        <v>2176.5891717442714</v>
      </c>
      <c r="CQ134" s="28">
        <f>IF(CQ131=1,IF(INDEX('Lease Cycles'!$EF$15:$EL$15,1,CQ129)=1,CQ132*INDEX('Lease Cycles'!$EM$15:$ES$15,1,CQ129)+CQ133*(1-INDEX('Lease Cycles'!$EM$15:$ES$15,1,CQ129)),CQ132),CQ132)</f>
        <v>2176.5891717442714</v>
      </c>
      <c r="CR134" s="28">
        <f>IF(CR131=1,IF(INDEX('Lease Cycles'!$EF$15:$EL$15,1,CR129)=1,CR132*INDEX('Lease Cycles'!$EM$15:$ES$15,1,CR129)+CR133*(1-INDEX('Lease Cycles'!$EM$15:$ES$15,1,CR129)),CR132),CR132)</f>
        <v>2176.5891717442714</v>
      </c>
      <c r="CS134" s="28">
        <f>IF(CS131=1,IF(INDEX('Lease Cycles'!$EF$15:$EL$15,1,CS129)=1,CS132*INDEX('Lease Cycles'!$EM$15:$ES$15,1,CS129)+CS133*(1-INDEX('Lease Cycles'!$EM$15:$ES$15,1,CS129)),CS132),CS132)</f>
        <v>2241.8868468965998</v>
      </c>
      <c r="CT134" s="28">
        <f>IF(CT131=1,IF(INDEX('Lease Cycles'!$EF$15:$EL$15,1,CT129)=1,CT132*INDEX('Lease Cycles'!$EM$15:$ES$15,1,CT129)+CT133*(1-INDEX('Lease Cycles'!$EM$15:$ES$15,1,CT129)),CT132),CT132)</f>
        <v>2241.8868468965998</v>
      </c>
      <c r="CU134" s="28">
        <f>IF(CU131=1,IF(INDEX('Lease Cycles'!$EF$15:$EL$15,1,CU129)=1,CU132*INDEX('Lease Cycles'!$EM$15:$ES$15,1,CU129)+CU133*(1-INDEX('Lease Cycles'!$EM$15:$ES$15,1,CU129)),CU132),CU132)</f>
        <v>2241.8868468965998</v>
      </c>
      <c r="CV134" s="28">
        <f>IF(CV131=1,IF(INDEX('Lease Cycles'!$EF$15:$EL$15,1,CV129)=1,CV132*INDEX('Lease Cycles'!$EM$15:$ES$15,1,CV129)+CV133*(1-INDEX('Lease Cycles'!$EM$15:$ES$15,1,CV129)),CV132),CV132)</f>
        <v>2241.8868468965998</v>
      </c>
      <c r="CW134" s="28">
        <f>IF(CW131=1,IF(INDEX('Lease Cycles'!$EF$15:$EL$15,1,CW129)=1,CW132*INDEX('Lease Cycles'!$EM$15:$ES$15,1,CW129)+CW133*(1-INDEX('Lease Cycles'!$EM$15:$ES$15,1,CW129)),CW132),CW132)</f>
        <v>2241.8868468965998</v>
      </c>
      <c r="CX134" s="28">
        <f>IF(CX131=1,IF(INDEX('Lease Cycles'!$EF$15:$EL$15,1,CX129)=1,CX132*INDEX('Lease Cycles'!$EM$15:$ES$15,1,CX129)+CX133*(1-INDEX('Lease Cycles'!$EM$15:$ES$15,1,CX129)),CX132),CX132)</f>
        <v>2241.8868468965998</v>
      </c>
      <c r="CY134" s="28">
        <f>IF(CY131=1,IF(INDEX('Lease Cycles'!$EF$15:$EL$15,1,CY129)=1,CY132*INDEX('Lease Cycles'!$EM$15:$ES$15,1,CY129)+CY133*(1-INDEX('Lease Cycles'!$EM$15:$ES$15,1,CY129)),CY132),CY132)</f>
        <v>2241.8868468965998</v>
      </c>
      <c r="CZ134" s="28">
        <f>IF(CZ131=1,IF(INDEX('Lease Cycles'!$EF$15:$EL$15,1,CZ129)=1,CZ132*INDEX('Lease Cycles'!$EM$15:$ES$15,1,CZ129)+CZ133*(1-INDEX('Lease Cycles'!$EM$15:$ES$15,1,CZ129)),CZ132),CZ132)</f>
        <v>2241.8868468965998</v>
      </c>
      <c r="DA134" s="28">
        <f>IF(DA131=1,IF(INDEX('Lease Cycles'!$EF$15:$EL$15,1,DA129)=1,DA132*INDEX('Lease Cycles'!$EM$15:$ES$15,1,DA129)+DA133*(1-INDEX('Lease Cycles'!$EM$15:$ES$15,1,DA129)),DA132),DA132)</f>
        <v>2241.8868468965998</v>
      </c>
      <c r="DB134" s="28">
        <f>IF(DB131=1,IF(INDEX('Lease Cycles'!$EF$15:$EL$15,1,DB129)=1,DB132*INDEX('Lease Cycles'!$EM$15:$ES$15,1,DB129)+DB133*(1-INDEX('Lease Cycles'!$EM$15:$ES$15,1,DB129)),DB132),DB132)</f>
        <v>2241.8868468965998</v>
      </c>
      <c r="DC134" s="28">
        <f>IF(DC131=1,IF(INDEX('Lease Cycles'!$EF$15:$EL$15,1,DC129)=1,DC132*INDEX('Lease Cycles'!$EM$15:$ES$15,1,DC129)+DC133*(1-INDEX('Lease Cycles'!$EM$15:$ES$15,1,DC129)),DC132),DC132)</f>
        <v>2241.8868468965998</v>
      </c>
      <c r="DD134" s="28">
        <f>IF(DD131=1,IF(INDEX('Lease Cycles'!$EF$15:$EL$15,1,DD129)=1,DD132*INDEX('Lease Cycles'!$EM$15:$ES$15,1,DD129)+DD133*(1-INDEX('Lease Cycles'!$EM$15:$ES$15,1,DD129)),DD132),DD132)</f>
        <v>2241.8868468965998</v>
      </c>
      <c r="DE134" s="28">
        <f>IF(DE131=1,IF(INDEX('Lease Cycles'!$EF$15:$EL$15,1,DE129)=1,DE132*INDEX('Lease Cycles'!$EM$15:$ES$15,1,DE129)+DE133*(1-INDEX('Lease Cycles'!$EM$15:$ES$15,1,DE129)),DE132),DE132)</f>
        <v>2309.143452303498</v>
      </c>
      <c r="DF134" s="28">
        <f>IF(DF131=1,IF(INDEX('Lease Cycles'!$EF$15:$EL$15,1,DF129)=1,DF132*INDEX('Lease Cycles'!$EM$15:$ES$15,1,DF129)+DF133*(1-INDEX('Lease Cycles'!$EM$15:$ES$15,1,DF129)),DF132),DF132)</f>
        <v>2309.143452303498</v>
      </c>
      <c r="DG134" s="28">
        <f>IF(DG131=1,IF(INDEX('Lease Cycles'!$EF$15:$EL$15,1,DG129)=1,DG132*INDEX('Lease Cycles'!$EM$15:$ES$15,1,DG129)+DG133*(1-INDEX('Lease Cycles'!$EM$15:$ES$15,1,DG129)),DG132),DG132)</f>
        <v>2309.143452303498</v>
      </c>
      <c r="DH134" s="28">
        <f>IF(DH131=1,IF(INDEX('Lease Cycles'!$EF$15:$EL$15,1,DH129)=1,DH132*INDEX('Lease Cycles'!$EM$15:$ES$15,1,DH129)+DH133*(1-INDEX('Lease Cycles'!$EM$15:$ES$15,1,DH129)),DH132),DH132)</f>
        <v>2309.143452303498</v>
      </c>
      <c r="DI134" s="28">
        <f>IF(DI131=1,IF(INDEX('Lease Cycles'!$EF$15:$EL$15,1,DI129)=1,DI132*INDEX('Lease Cycles'!$EM$15:$ES$15,1,DI129)+DI133*(1-INDEX('Lease Cycles'!$EM$15:$ES$15,1,DI129)),DI132),DI132)</f>
        <v>2309.143452303498</v>
      </c>
      <c r="DJ134" s="28">
        <f>IF(DJ131=1,IF(INDEX('Lease Cycles'!$EF$15:$EL$15,1,DJ129)=1,DJ132*INDEX('Lease Cycles'!$EM$15:$ES$15,1,DJ129)+DJ133*(1-INDEX('Lease Cycles'!$EM$15:$ES$15,1,DJ129)),DJ132),DJ132)</f>
        <v>2309.143452303498</v>
      </c>
      <c r="DK134" s="28">
        <f>IF(DK131=1,IF(INDEX('Lease Cycles'!$EF$15:$EL$15,1,DK129)=1,DK132*INDEX('Lease Cycles'!$EM$15:$ES$15,1,DK129)+DK133*(1-INDEX('Lease Cycles'!$EM$15:$ES$15,1,DK129)),DK132),DK132)</f>
        <v>2309.143452303498</v>
      </c>
      <c r="DL134" s="28">
        <f>IF(DL131=1,IF(INDEX('Lease Cycles'!$EF$15:$EL$15,1,DL129)=1,DL132*INDEX('Lease Cycles'!$EM$15:$ES$15,1,DL129)+DL133*(1-INDEX('Lease Cycles'!$EM$15:$ES$15,1,DL129)),DL132),DL132)</f>
        <v>2309.143452303498</v>
      </c>
      <c r="DM134" s="28">
        <f>IF(DM131=1,IF(INDEX('Lease Cycles'!$EF$15:$EL$15,1,DM129)=1,DM132*INDEX('Lease Cycles'!$EM$15:$ES$15,1,DM129)+DM133*(1-INDEX('Lease Cycles'!$EM$15:$ES$15,1,DM129)),DM132),DM132)</f>
        <v>2309.143452303498</v>
      </c>
      <c r="DN134" s="28">
        <f>IF(DN131=1,IF(INDEX('Lease Cycles'!$EF$15:$EL$15,1,DN129)=1,DN132*INDEX('Lease Cycles'!$EM$15:$ES$15,1,DN129)+DN133*(1-INDEX('Lease Cycles'!$EM$15:$ES$15,1,DN129)),DN132),DN132)</f>
        <v>2309.143452303498</v>
      </c>
      <c r="DO134" s="28">
        <f>IF(DO131=1,IF(INDEX('Lease Cycles'!$EF$15:$EL$15,1,DO129)=1,DO132*INDEX('Lease Cycles'!$EM$15:$ES$15,1,DO129)+DO133*(1-INDEX('Lease Cycles'!$EM$15:$ES$15,1,DO129)),DO132),DO132)</f>
        <v>2309.143452303498</v>
      </c>
      <c r="DP134" s="28">
        <f>IF(DP131=1,IF(INDEX('Lease Cycles'!$EF$15:$EL$15,1,DP129)=1,DP132*INDEX('Lease Cycles'!$EM$15:$ES$15,1,DP129)+DP133*(1-INDEX('Lease Cycles'!$EM$15:$ES$15,1,DP129)),DP132),DP132)</f>
        <v>2309.143452303498</v>
      </c>
      <c r="DQ134" s="28">
        <f>IF(DQ131=1,IF(INDEX('Lease Cycles'!$EF$15:$EL$15,1,DQ129)=1,DQ132*INDEX('Lease Cycles'!$EM$15:$ES$15,1,DQ129)+DQ133*(1-INDEX('Lease Cycles'!$EM$15:$ES$15,1,DQ129)),DQ132),DQ132)</f>
        <v>2378.417755872603</v>
      </c>
      <c r="DR134" s="28">
        <f>IF(DR131=1,IF(INDEX('Lease Cycles'!$EF$15:$EL$15,1,DR129)=1,DR132*INDEX('Lease Cycles'!$EM$15:$ES$15,1,DR129)+DR133*(1-INDEX('Lease Cycles'!$EM$15:$ES$15,1,DR129)),DR132),DR132)</f>
        <v>2378.417755872603</v>
      </c>
      <c r="DS134" s="28">
        <f>IF(DS131=1,IF(INDEX('Lease Cycles'!$EF$15:$EL$15,1,DS129)=1,DS132*INDEX('Lease Cycles'!$EM$15:$ES$15,1,DS129)+DS133*(1-INDEX('Lease Cycles'!$EM$15:$ES$15,1,DS129)),DS132),DS132)</f>
        <v>2378.417755872603</v>
      </c>
      <c r="DT134" s="28">
        <f>IF(DT131=1,IF(INDEX('Lease Cycles'!$EF$15:$EL$15,1,DT129)=1,DT132*INDEX('Lease Cycles'!$EM$15:$ES$15,1,DT129)+DT133*(1-INDEX('Lease Cycles'!$EM$15:$ES$15,1,DT129)),DT132),DT132)</f>
        <v>2378.417755872603</v>
      </c>
      <c r="DU134" s="28">
        <f>IF(DU131=1,IF(INDEX('Lease Cycles'!$EF$15:$EL$15,1,DU129)=1,DU132*INDEX('Lease Cycles'!$EM$15:$ES$15,1,DU129)+DU133*(1-INDEX('Lease Cycles'!$EM$15:$ES$15,1,DU129)),DU132),DU132)</f>
        <v>2378.417755872603</v>
      </c>
      <c r="DV134" s="28">
        <f>IF(DV131=1,IF(INDEX('Lease Cycles'!$EF$15:$EL$15,1,DV129)=1,DV132*INDEX('Lease Cycles'!$EM$15:$ES$15,1,DV129)+DV133*(1-INDEX('Lease Cycles'!$EM$15:$ES$15,1,DV129)),DV132),DV132)</f>
        <v>2378.417755872603</v>
      </c>
      <c r="DW134" s="28">
        <f>IF(DW131=1,IF(INDEX('Lease Cycles'!$EF$15:$EL$15,1,DW129)=1,DW132*INDEX('Lease Cycles'!$EM$15:$ES$15,1,DW129)+DW133*(1-INDEX('Lease Cycles'!$EM$15:$ES$15,1,DW129)),DW132),DW132)</f>
        <v>2378.417755872603</v>
      </c>
      <c r="DX134" s="28">
        <f>IF(DX131=1,IF(INDEX('Lease Cycles'!$EF$15:$EL$15,1,DX129)=1,DX132*INDEX('Lease Cycles'!$EM$15:$ES$15,1,DX129)+DX133*(1-INDEX('Lease Cycles'!$EM$15:$ES$15,1,DX129)),DX132),DX132)</f>
        <v>2378.417755872603</v>
      </c>
      <c r="DY134" s="28">
        <f>IF(DY131=1,IF(INDEX('Lease Cycles'!$EF$15:$EL$15,1,DY129)=1,DY132*INDEX('Lease Cycles'!$EM$15:$ES$15,1,DY129)+DY133*(1-INDEX('Lease Cycles'!$EM$15:$ES$15,1,DY129)),DY132),DY132)</f>
        <v>2378.417755872603</v>
      </c>
      <c r="DZ134" s="28">
        <f>IF(DZ131=1,IF(INDEX('Lease Cycles'!$EF$15:$EL$15,1,DZ129)=1,DZ132*INDEX('Lease Cycles'!$EM$15:$ES$15,1,DZ129)+DZ133*(1-INDEX('Lease Cycles'!$EM$15:$ES$15,1,DZ129)),DZ132),DZ132)</f>
        <v>2378.417755872603</v>
      </c>
      <c r="EA134" s="28">
        <f>IF(EA131=1,IF(INDEX('Lease Cycles'!$EF$15:$EL$15,1,EA129)=1,EA132*INDEX('Lease Cycles'!$EM$15:$ES$15,1,EA129)+EA133*(1-INDEX('Lease Cycles'!$EM$15:$ES$15,1,EA129)),EA132),EA132)</f>
        <v>2378.417755872603</v>
      </c>
      <c r="EB134" s="28">
        <f>IF(EB131=1,IF(INDEX('Lease Cycles'!$EF$15:$EL$15,1,EB129)=1,EB132*INDEX('Lease Cycles'!$EM$15:$ES$15,1,EB129)+EB133*(1-INDEX('Lease Cycles'!$EM$15:$ES$15,1,EB129)),EB132),EB132)</f>
        <v>2378.417755872603</v>
      </c>
      <c r="EC134" s="28">
        <f>IF(EC131=1,IF(INDEX('Lease Cycles'!$EF$15:$EL$15,1,EC129)=1,EC132*INDEX('Lease Cycles'!$EM$15:$ES$15,1,EC129)+EC133*(1-INDEX('Lease Cycles'!$EM$15:$ES$15,1,EC129)),EC132),EC132)</f>
        <v>2449.770288548781</v>
      </c>
      <c r="ED134" s="28">
        <f>IF(ED131=1,IF(INDEX('Lease Cycles'!$EF$15:$EL$15,1,ED129)=1,ED132*INDEX('Lease Cycles'!$EM$15:$ES$15,1,ED129)+ED133*(1-INDEX('Lease Cycles'!$EM$15:$ES$15,1,ED129)),ED132),ED132)</f>
        <v>2449.770288548781</v>
      </c>
      <c r="EE134" s="28">
        <f>IF(EE131=1,IF(INDEX('Lease Cycles'!$EF$15:$EL$15,1,EE129)=1,EE132*INDEX('Lease Cycles'!$EM$15:$ES$15,1,EE129)+EE133*(1-INDEX('Lease Cycles'!$EM$15:$ES$15,1,EE129)),EE132),EE132)</f>
        <v>2449.770288548781</v>
      </c>
      <c r="EF134" s="28">
        <f>IF(EF131=1,IF(INDEX('Lease Cycles'!$EF$15:$EL$15,1,EF129)=1,EF132*INDEX('Lease Cycles'!$EM$15:$ES$15,1,EF129)+EF133*(1-INDEX('Lease Cycles'!$EM$15:$ES$15,1,EF129)),EF132),EF132)</f>
        <v>2449.770288548781</v>
      </c>
      <c r="EG134" s="28">
        <f>IF(EG131=1,IF(INDEX('Lease Cycles'!$EF$15:$EL$15,1,EG129)=1,EG132*INDEX('Lease Cycles'!$EM$15:$ES$15,1,EG129)+EG133*(1-INDEX('Lease Cycles'!$EM$15:$ES$15,1,EG129)),EG132),EG132)</f>
        <v>2449.770288548781</v>
      </c>
      <c r="EH134" s="28">
        <f>IF(EH131=1,IF(INDEX('Lease Cycles'!$EF$15:$EL$15,1,EH129)=1,EH132*INDEX('Lease Cycles'!$EM$15:$ES$15,1,EH129)+EH133*(1-INDEX('Lease Cycles'!$EM$15:$ES$15,1,EH129)),EH132),EH132)</f>
        <v>2449.770288548781</v>
      </c>
      <c r="EI134" s="28">
        <f>IF(EI131=1,IF(INDEX('Lease Cycles'!$EF$15:$EL$15,1,EI129)=1,EI132*INDEX('Lease Cycles'!$EM$15:$ES$15,1,EI129)+EI133*(1-INDEX('Lease Cycles'!$EM$15:$ES$15,1,EI129)),EI132),EI132)</f>
        <v>2449.770288548781</v>
      </c>
      <c r="EJ134" s="28">
        <f>IF(EJ131=1,IF(INDEX('Lease Cycles'!$EF$15:$EL$15,1,EJ129)=1,EJ132*INDEX('Lease Cycles'!$EM$15:$ES$15,1,EJ129)+EJ133*(1-INDEX('Lease Cycles'!$EM$15:$ES$15,1,EJ129)),EJ132),EJ132)</f>
        <v>2449.770288548781</v>
      </c>
      <c r="EK134" s="28">
        <f>IF(EK131=1,IF(INDEX('Lease Cycles'!$EF$15:$EL$15,1,EK129)=1,EK132*INDEX('Lease Cycles'!$EM$15:$ES$15,1,EK129)+EK133*(1-INDEX('Lease Cycles'!$EM$15:$ES$15,1,EK129)),EK132),EK132)</f>
        <v>2449.770288548781</v>
      </c>
      <c r="EL134" s="28">
        <f>IF(EL131=1,IF(INDEX('Lease Cycles'!$EF$15:$EL$15,1,EL129)=1,EL132*INDEX('Lease Cycles'!$EM$15:$ES$15,1,EL129)+EL133*(1-INDEX('Lease Cycles'!$EM$15:$ES$15,1,EL129)),EL132),EL132)</f>
        <v>2449.770288548781</v>
      </c>
      <c r="EM134" s="28">
        <f>IF(EM131=1,IF(INDEX('Lease Cycles'!$EF$15:$EL$15,1,EM129)=1,EM132*INDEX('Lease Cycles'!$EM$15:$ES$15,1,EM129)+EM133*(1-INDEX('Lease Cycles'!$EM$15:$ES$15,1,EM129)),EM132),EM132)</f>
        <v>2449.770288548781</v>
      </c>
      <c r="EN134" s="28">
        <f>IF(EN131=1,IF(INDEX('Lease Cycles'!$EF$15:$EL$15,1,EN129)=1,EN132*INDEX('Lease Cycles'!$EM$15:$ES$15,1,EN129)+EN133*(1-INDEX('Lease Cycles'!$EM$15:$ES$15,1,EN129)),EN132),EN132)</f>
        <v>2449.770288548781</v>
      </c>
      <c r="EO134" s="28">
        <f>IF(EO131=1,IF(INDEX('Lease Cycles'!$EF$15:$EL$15,1,EO129)=1,EO132*INDEX('Lease Cycles'!$EM$15:$ES$15,1,EO129)+EO133*(1-INDEX('Lease Cycles'!$EM$15:$ES$15,1,EO129)),EO132),EO132)</f>
        <v>2523.263397205245</v>
      </c>
      <c r="EP134" s="28">
        <f>IF(EP131=1,IF(INDEX('Lease Cycles'!$EF$15:$EL$15,1,EP129)=1,EP132*INDEX('Lease Cycles'!$EM$15:$ES$15,1,EP129)+EP133*(1-INDEX('Lease Cycles'!$EM$15:$ES$15,1,EP129)),EP132),EP132)</f>
        <v>2523.263397205245</v>
      </c>
      <c r="EQ134" s="28">
        <f>IF(EQ131=1,IF(INDEX('Lease Cycles'!$EF$15:$EL$15,1,EQ129)=1,EQ132*INDEX('Lease Cycles'!$EM$15:$ES$15,1,EQ129)+EQ133*(1-INDEX('Lease Cycles'!$EM$15:$ES$15,1,EQ129)),EQ132),EQ132)</f>
        <v>2523.263397205245</v>
      </c>
      <c r="ER134" s="28">
        <f>IF(ER131=1,IF(INDEX('Lease Cycles'!$EF$15:$EL$15,1,ER129)=1,ER132*INDEX('Lease Cycles'!$EM$15:$ES$15,1,ER129)+ER133*(1-INDEX('Lease Cycles'!$EM$15:$ES$15,1,ER129)),ER132),ER132)</f>
        <v>5407.676669955859</v>
      </c>
      <c r="ES134" s="28">
        <f>IF(ES131=1,IF(INDEX('Lease Cycles'!$EF$15:$EL$15,1,ES129)=1,ES132*INDEX('Lease Cycles'!$EM$15:$ES$15,1,ES129)+ES133*(1-INDEX('Lease Cycles'!$EM$15:$ES$15,1,ES129)),ES132),ES132)</f>
        <v>2548.247827976033</v>
      </c>
      <c r="ET134" s="28">
        <f>IF(ET131=1,IF(INDEX('Lease Cycles'!$EF$15:$EL$15,1,ET129)=1,ET132*INDEX('Lease Cycles'!$EM$15:$ES$15,1,ET129)+ET133*(1-INDEX('Lease Cycles'!$EM$15:$ES$15,1,ET129)),ET132),ET132)</f>
        <v>2548.247827976033</v>
      </c>
    </row>
    <row r="135">
      <c r="A135" s="103">
        <v>8</v>
      </c>
      <c r="B135" s="23" t="str">
        <f>IF('Lease Cycles'!$B$15="","(empty slot)",'Lease Cycles'!$B$15)</f>
        <v>Sunfield Bagels</v>
      </c>
      <c r="C135" s="23" t="s">
        <v>682</v>
      </c>
      <c r="D135" s="104" t="s">
        <v>495</v>
      </c>
      <c r="E135" s="25">
        <f>'Lease Cycles'!$AL$15</f>
        <v>0</v>
      </c>
      <c r="G135" s="28">
        <f>SUM(S135:AD135)</f>
        <v>38400</v>
      </c>
      <c r="H135" s="28">
        <f>SUM(AE135:AP135)</f>
        <v>38400</v>
      </c>
      <c r="I135" s="28">
        <f>SUM(AQ135:BB135)</f>
        <v>38400</v>
      </c>
      <c r="J135" s="28">
        <f>SUM(BC135:BN135)</f>
        <v>26668.549055585074</v>
      </c>
      <c r="K135" s="28">
        <f>SUM(BO135:BZ135)</f>
        <v>24989.0245186589</v>
      </c>
      <c r="L135" s="28">
        <f>SUM(CA135:CL135)</f>
        <v>25738.695254218666</v>
      </c>
      <c r="M135" s="28">
        <f>SUM(CM135:CX135)</f>
        <v>26510.856111845227</v>
      </c>
      <c r="N135" s="28">
        <f>SUM(CY135:DJ135)</f>
        <v>27306.181795200588</v>
      </c>
      <c r="O135" s="28">
        <f>SUM(DK135:DV135)</f>
        <v>28125.367249056606</v>
      </c>
      <c r="P135" s="28">
        <f>SUM(DW135:EH135)</f>
        <v>28969.128266528303</v>
      </c>
      <c r="Q135" s="28">
        <f>SUM(EI135:ET135)</f>
        <v>25326.309316479692</v>
      </c>
      <c r="S135" s="28">
        <f>IF(S131=1,IF(INDEX('Lease Cycles'!$EF$15:$EL$15,1,S129)=1,S132*INDEX('Lease Cycles'!$EM$15:$ES$15,1,S129)+S133*IF(S130&lt;INDEX('Lease Cycles'!$FA$15:$FG$15,1,S129),0,1-INDEX('Lease Cycles'!$EM$15:$ES$15,1,S129)),S132*IF(S130&lt;INDEX('Lease Cycles'!$DK$15:$DQ$15,1,S129),0,IF(S130=INDEX('Lease Cycles'!$DK$15:$DQ$15,1,S129),1-INDEX('Lease Cycles'!$DR$15:$DX$15,1,S129),1))),0)</f>
        <v>3200</v>
      </c>
      <c r="T135" s="28">
        <f>IF(T131=1,IF(INDEX('Lease Cycles'!$EF$15:$EL$15,1,T129)=1,T132*INDEX('Lease Cycles'!$EM$15:$ES$15,1,T129)+T133*IF(T130&lt;INDEX('Lease Cycles'!$FA$15:$FG$15,1,T129),0,1-INDEX('Lease Cycles'!$EM$15:$ES$15,1,T129)),T132*IF(T130&lt;INDEX('Lease Cycles'!$DK$15:$DQ$15,1,T129),0,IF(T130=INDEX('Lease Cycles'!$DK$15:$DQ$15,1,T129),1-INDEX('Lease Cycles'!$DR$15:$DX$15,1,T129),1))),0)</f>
        <v>3200</v>
      </c>
      <c r="U135" s="28">
        <f>IF(U131=1,IF(INDEX('Lease Cycles'!$EF$15:$EL$15,1,U129)=1,U132*INDEX('Lease Cycles'!$EM$15:$ES$15,1,U129)+U133*IF(U130&lt;INDEX('Lease Cycles'!$FA$15:$FG$15,1,U129),0,1-INDEX('Lease Cycles'!$EM$15:$ES$15,1,U129)),U132*IF(U130&lt;INDEX('Lease Cycles'!$DK$15:$DQ$15,1,U129),0,IF(U130=INDEX('Lease Cycles'!$DK$15:$DQ$15,1,U129),1-INDEX('Lease Cycles'!$DR$15:$DX$15,1,U129),1))),0)</f>
        <v>3200</v>
      </c>
      <c r="V135" s="28">
        <f>IF(V131=1,IF(INDEX('Lease Cycles'!$EF$15:$EL$15,1,V129)=1,V132*INDEX('Lease Cycles'!$EM$15:$ES$15,1,V129)+V133*IF(V130&lt;INDEX('Lease Cycles'!$FA$15:$FG$15,1,V129),0,1-INDEX('Lease Cycles'!$EM$15:$ES$15,1,V129)),V132*IF(V130&lt;INDEX('Lease Cycles'!$DK$15:$DQ$15,1,V129),0,IF(V130=INDEX('Lease Cycles'!$DK$15:$DQ$15,1,V129),1-INDEX('Lease Cycles'!$DR$15:$DX$15,1,V129),1))),0)</f>
        <v>3200</v>
      </c>
      <c r="W135" s="28">
        <f>IF(W131=1,IF(INDEX('Lease Cycles'!$EF$15:$EL$15,1,W129)=1,W132*INDEX('Lease Cycles'!$EM$15:$ES$15,1,W129)+W133*IF(W130&lt;INDEX('Lease Cycles'!$FA$15:$FG$15,1,W129),0,1-INDEX('Lease Cycles'!$EM$15:$ES$15,1,W129)),W132*IF(W130&lt;INDEX('Lease Cycles'!$DK$15:$DQ$15,1,W129),0,IF(W130=INDEX('Lease Cycles'!$DK$15:$DQ$15,1,W129),1-INDEX('Lease Cycles'!$DR$15:$DX$15,1,W129),1))),0)</f>
        <v>3200</v>
      </c>
      <c r="X135" s="28">
        <f>IF(X131=1,IF(INDEX('Lease Cycles'!$EF$15:$EL$15,1,X129)=1,X132*INDEX('Lease Cycles'!$EM$15:$ES$15,1,X129)+X133*IF(X130&lt;INDEX('Lease Cycles'!$FA$15:$FG$15,1,X129),0,1-INDEX('Lease Cycles'!$EM$15:$ES$15,1,X129)),X132*IF(X130&lt;INDEX('Lease Cycles'!$DK$15:$DQ$15,1,X129),0,IF(X130=INDEX('Lease Cycles'!$DK$15:$DQ$15,1,X129),1-INDEX('Lease Cycles'!$DR$15:$DX$15,1,X129),1))),0)</f>
        <v>3200</v>
      </c>
      <c r="Y135" s="28">
        <f>IF(Y131=1,IF(INDEX('Lease Cycles'!$EF$15:$EL$15,1,Y129)=1,Y132*INDEX('Lease Cycles'!$EM$15:$ES$15,1,Y129)+Y133*IF(Y130&lt;INDEX('Lease Cycles'!$FA$15:$FG$15,1,Y129),0,1-INDEX('Lease Cycles'!$EM$15:$ES$15,1,Y129)),Y132*IF(Y130&lt;INDEX('Lease Cycles'!$DK$15:$DQ$15,1,Y129),0,IF(Y130=INDEX('Lease Cycles'!$DK$15:$DQ$15,1,Y129),1-INDEX('Lease Cycles'!$DR$15:$DX$15,1,Y129),1))),0)</f>
        <v>3200</v>
      </c>
      <c r="Z135" s="28">
        <f>IF(Z131=1,IF(INDEX('Lease Cycles'!$EF$15:$EL$15,1,Z129)=1,Z132*INDEX('Lease Cycles'!$EM$15:$ES$15,1,Z129)+Z133*IF(Z130&lt;INDEX('Lease Cycles'!$FA$15:$FG$15,1,Z129),0,1-INDEX('Lease Cycles'!$EM$15:$ES$15,1,Z129)),Z132*IF(Z130&lt;INDEX('Lease Cycles'!$DK$15:$DQ$15,1,Z129),0,IF(Z130=INDEX('Lease Cycles'!$DK$15:$DQ$15,1,Z129),1-INDEX('Lease Cycles'!$DR$15:$DX$15,1,Z129),1))),0)</f>
        <v>3200</v>
      </c>
      <c r="AA135" s="28">
        <f>IF(AA131=1,IF(INDEX('Lease Cycles'!$EF$15:$EL$15,1,AA129)=1,AA132*INDEX('Lease Cycles'!$EM$15:$ES$15,1,AA129)+AA133*IF(AA130&lt;INDEX('Lease Cycles'!$FA$15:$FG$15,1,AA129),0,1-INDEX('Lease Cycles'!$EM$15:$ES$15,1,AA129)),AA132*IF(AA130&lt;INDEX('Lease Cycles'!$DK$15:$DQ$15,1,AA129),0,IF(AA130=INDEX('Lease Cycles'!$DK$15:$DQ$15,1,AA129),1-INDEX('Lease Cycles'!$DR$15:$DX$15,1,AA129),1))),0)</f>
        <v>3200</v>
      </c>
      <c r="AB135" s="28">
        <f>IF(AB131=1,IF(INDEX('Lease Cycles'!$EF$15:$EL$15,1,AB129)=1,AB132*INDEX('Lease Cycles'!$EM$15:$ES$15,1,AB129)+AB133*IF(AB130&lt;INDEX('Lease Cycles'!$FA$15:$FG$15,1,AB129),0,1-INDEX('Lease Cycles'!$EM$15:$ES$15,1,AB129)),AB132*IF(AB130&lt;INDEX('Lease Cycles'!$DK$15:$DQ$15,1,AB129),0,IF(AB130=INDEX('Lease Cycles'!$DK$15:$DQ$15,1,AB129),1-INDEX('Lease Cycles'!$DR$15:$DX$15,1,AB129),1))),0)</f>
        <v>3200</v>
      </c>
      <c r="AC135" s="28">
        <f>IF(AC131=1,IF(INDEX('Lease Cycles'!$EF$15:$EL$15,1,AC129)=1,AC132*INDEX('Lease Cycles'!$EM$15:$ES$15,1,AC129)+AC133*IF(AC130&lt;INDEX('Lease Cycles'!$FA$15:$FG$15,1,AC129),0,1-INDEX('Lease Cycles'!$EM$15:$ES$15,1,AC129)),AC132*IF(AC130&lt;INDEX('Lease Cycles'!$DK$15:$DQ$15,1,AC129),0,IF(AC130=INDEX('Lease Cycles'!$DK$15:$DQ$15,1,AC129),1-INDEX('Lease Cycles'!$DR$15:$DX$15,1,AC129),1))),0)</f>
        <v>3200</v>
      </c>
      <c r="AD135" s="28">
        <f>IF(AD131=1,IF(INDEX('Lease Cycles'!$EF$15:$EL$15,1,AD129)=1,AD132*INDEX('Lease Cycles'!$EM$15:$ES$15,1,AD129)+AD133*IF(AD130&lt;INDEX('Lease Cycles'!$FA$15:$FG$15,1,AD129),0,1-INDEX('Lease Cycles'!$EM$15:$ES$15,1,AD129)),AD132*IF(AD130&lt;INDEX('Lease Cycles'!$DK$15:$DQ$15,1,AD129),0,IF(AD130=INDEX('Lease Cycles'!$DK$15:$DQ$15,1,AD129),1-INDEX('Lease Cycles'!$DR$15:$DX$15,1,AD129),1))),0)</f>
        <v>3200</v>
      </c>
      <c r="AE135" s="28">
        <f>IF(AE131=1,IF(INDEX('Lease Cycles'!$EF$15:$EL$15,1,AE129)=1,AE132*INDEX('Lease Cycles'!$EM$15:$ES$15,1,AE129)+AE133*IF(AE130&lt;INDEX('Lease Cycles'!$FA$15:$FG$15,1,AE129),0,1-INDEX('Lease Cycles'!$EM$15:$ES$15,1,AE129)),AE132*IF(AE130&lt;INDEX('Lease Cycles'!$DK$15:$DQ$15,1,AE129),0,IF(AE130=INDEX('Lease Cycles'!$DK$15:$DQ$15,1,AE129),1-INDEX('Lease Cycles'!$DR$15:$DX$15,1,AE129),1))),0)</f>
        <v>3200</v>
      </c>
      <c r="AF135" s="28">
        <f>IF(AF131=1,IF(INDEX('Lease Cycles'!$EF$15:$EL$15,1,AF129)=1,AF132*INDEX('Lease Cycles'!$EM$15:$ES$15,1,AF129)+AF133*IF(AF130&lt;INDEX('Lease Cycles'!$FA$15:$FG$15,1,AF129),0,1-INDEX('Lease Cycles'!$EM$15:$ES$15,1,AF129)),AF132*IF(AF130&lt;INDEX('Lease Cycles'!$DK$15:$DQ$15,1,AF129),0,IF(AF130=INDEX('Lease Cycles'!$DK$15:$DQ$15,1,AF129),1-INDEX('Lease Cycles'!$DR$15:$DX$15,1,AF129),1))),0)</f>
        <v>3200</v>
      </c>
      <c r="AG135" s="28">
        <f>IF(AG131=1,IF(INDEX('Lease Cycles'!$EF$15:$EL$15,1,AG129)=1,AG132*INDEX('Lease Cycles'!$EM$15:$ES$15,1,AG129)+AG133*IF(AG130&lt;INDEX('Lease Cycles'!$FA$15:$FG$15,1,AG129),0,1-INDEX('Lease Cycles'!$EM$15:$ES$15,1,AG129)),AG132*IF(AG130&lt;INDEX('Lease Cycles'!$DK$15:$DQ$15,1,AG129),0,IF(AG130=INDEX('Lease Cycles'!$DK$15:$DQ$15,1,AG129),1-INDEX('Lease Cycles'!$DR$15:$DX$15,1,AG129),1))),0)</f>
        <v>3200</v>
      </c>
      <c r="AH135" s="28">
        <f>IF(AH131=1,IF(INDEX('Lease Cycles'!$EF$15:$EL$15,1,AH129)=1,AH132*INDEX('Lease Cycles'!$EM$15:$ES$15,1,AH129)+AH133*IF(AH130&lt;INDEX('Lease Cycles'!$FA$15:$FG$15,1,AH129),0,1-INDEX('Lease Cycles'!$EM$15:$ES$15,1,AH129)),AH132*IF(AH130&lt;INDEX('Lease Cycles'!$DK$15:$DQ$15,1,AH129),0,IF(AH130=INDEX('Lease Cycles'!$DK$15:$DQ$15,1,AH129),1-INDEX('Lease Cycles'!$DR$15:$DX$15,1,AH129),1))),0)</f>
        <v>3200</v>
      </c>
      <c r="AI135" s="28">
        <f>IF(AI131=1,IF(INDEX('Lease Cycles'!$EF$15:$EL$15,1,AI129)=1,AI132*INDEX('Lease Cycles'!$EM$15:$ES$15,1,AI129)+AI133*IF(AI130&lt;INDEX('Lease Cycles'!$FA$15:$FG$15,1,AI129),0,1-INDEX('Lease Cycles'!$EM$15:$ES$15,1,AI129)),AI132*IF(AI130&lt;INDEX('Lease Cycles'!$DK$15:$DQ$15,1,AI129),0,IF(AI130=INDEX('Lease Cycles'!$DK$15:$DQ$15,1,AI129),1-INDEX('Lease Cycles'!$DR$15:$DX$15,1,AI129),1))),0)</f>
        <v>3200</v>
      </c>
      <c r="AJ135" s="28">
        <f>IF(AJ131=1,IF(INDEX('Lease Cycles'!$EF$15:$EL$15,1,AJ129)=1,AJ132*INDEX('Lease Cycles'!$EM$15:$ES$15,1,AJ129)+AJ133*IF(AJ130&lt;INDEX('Lease Cycles'!$FA$15:$FG$15,1,AJ129),0,1-INDEX('Lease Cycles'!$EM$15:$ES$15,1,AJ129)),AJ132*IF(AJ130&lt;INDEX('Lease Cycles'!$DK$15:$DQ$15,1,AJ129),0,IF(AJ130=INDEX('Lease Cycles'!$DK$15:$DQ$15,1,AJ129),1-INDEX('Lease Cycles'!$DR$15:$DX$15,1,AJ129),1))),0)</f>
        <v>3200</v>
      </c>
      <c r="AK135" s="28">
        <f>IF(AK131=1,IF(INDEX('Lease Cycles'!$EF$15:$EL$15,1,AK129)=1,AK132*INDEX('Lease Cycles'!$EM$15:$ES$15,1,AK129)+AK133*IF(AK130&lt;INDEX('Lease Cycles'!$FA$15:$FG$15,1,AK129),0,1-INDEX('Lease Cycles'!$EM$15:$ES$15,1,AK129)),AK132*IF(AK130&lt;INDEX('Lease Cycles'!$DK$15:$DQ$15,1,AK129),0,IF(AK130=INDEX('Lease Cycles'!$DK$15:$DQ$15,1,AK129),1-INDEX('Lease Cycles'!$DR$15:$DX$15,1,AK129),1))),0)</f>
        <v>3200</v>
      </c>
      <c r="AL135" s="28">
        <f>IF(AL131=1,IF(INDEX('Lease Cycles'!$EF$15:$EL$15,1,AL129)=1,AL132*INDEX('Lease Cycles'!$EM$15:$ES$15,1,AL129)+AL133*IF(AL130&lt;INDEX('Lease Cycles'!$FA$15:$FG$15,1,AL129),0,1-INDEX('Lease Cycles'!$EM$15:$ES$15,1,AL129)),AL132*IF(AL130&lt;INDEX('Lease Cycles'!$DK$15:$DQ$15,1,AL129),0,IF(AL130=INDEX('Lease Cycles'!$DK$15:$DQ$15,1,AL129),1-INDEX('Lease Cycles'!$DR$15:$DX$15,1,AL129),1))),0)</f>
        <v>3200</v>
      </c>
      <c r="AM135" s="28">
        <f>IF(AM131=1,IF(INDEX('Lease Cycles'!$EF$15:$EL$15,1,AM129)=1,AM132*INDEX('Lease Cycles'!$EM$15:$ES$15,1,AM129)+AM133*IF(AM130&lt;INDEX('Lease Cycles'!$FA$15:$FG$15,1,AM129),0,1-INDEX('Lease Cycles'!$EM$15:$ES$15,1,AM129)),AM132*IF(AM130&lt;INDEX('Lease Cycles'!$DK$15:$DQ$15,1,AM129),0,IF(AM130=INDEX('Lease Cycles'!$DK$15:$DQ$15,1,AM129),1-INDEX('Lease Cycles'!$DR$15:$DX$15,1,AM129),1))),0)</f>
        <v>3200</v>
      </c>
      <c r="AN135" s="28">
        <f>IF(AN131=1,IF(INDEX('Lease Cycles'!$EF$15:$EL$15,1,AN129)=1,AN132*INDEX('Lease Cycles'!$EM$15:$ES$15,1,AN129)+AN133*IF(AN130&lt;INDEX('Lease Cycles'!$FA$15:$FG$15,1,AN129),0,1-INDEX('Lease Cycles'!$EM$15:$ES$15,1,AN129)),AN132*IF(AN130&lt;INDEX('Lease Cycles'!$DK$15:$DQ$15,1,AN129),0,IF(AN130=INDEX('Lease Cycles'!$DK$15:$DQ$15,1,AN129),1-INDEX('Lease Cycles'!$DR$15:$DX$15,1,AN129),1))),0)</f>
        <v>3200</v>
      </c>
      <c r="AO135" s="28">
        <f>IF(AO131=1,IF(INDEX('Lease Cycles'!$EF$15:$EL$15,1,AO129)=1,AO132*INDEX('Lease Cycles'!$EM$15:$ES$15,1,AO129)+AO133*IF(AO130&lt;INDEX('Lease Cycles'!$FA$15:$FG$15,1,AO129),0,1-INDEX('Lease Cycles'!$EM$15:$ES$15,1,AO129)),AO132*IF(AO130&lt;INDEX('Lease Cycles'!$DK$15:$DQ$15,1,AO129),0,IF(AO130=INDEX('Lease Cycles'!$DK$15:$DQ$15,1,AO129),1-INDEX('Lease Cycles'!$DR$15:$DX$15,1,AO129),1))),0)</f>
        <v>3200</v>
      </c>
      <c r="AP135" s="28">
        <f>IF(AP131=1,IF(INDEX('Lease Cycles'!$EF$15:$EL$15,1,AP129)=1,AP132*INDEX('Lease Cycles'!$EM$15:$ES$15,1,AP129)+AP133*IF(AP130&lt;INDEX('Lease Cycles'!$FA$15:$FG$15,1,AP129),0,1-INDEX('Lease Cycles'!$EM$15:$ES$15,1,AP129)),AP132*IF(AP130&lt;INDEX('Lease Cycles'!$DK$15:$DQ$15,1,AP129),0,IF(AP130=INDEX('Lease Cycles'!$DK$15:$DQ$15,1,AP129),1-INDEX('Lease Cycles'!$DR$15:$DX$15,1,AP129),1))),0)</f>
        <v>3200</v>
      </c>
      <c r="AQ135" s="28">
        <f>IF(AQ131=1,IF(INDEX('Lease Cycles'!$EF$15:$EL$15,1,AQ129)=1,AQ132*INDEX('Lease Cycles'!$EM$15:$ES$15,1,AQ129)+AQ133*IF(AQ130&lt;INDEX('Lease Cycles'!$FA$15:$FG$15,1,AQ129),0,1-INDEX('Lease Cycles'!$EM$15:$ES$15,1,AQ129)),AQ132*IF(AQ130&lt;INDEX('Lease Cycles'!$DK$15:$DQ$15,1,AQ129),0,IF(AQ130=INDEX('Lease Cycles'!$DK$15:$DQ$15,1,AQ129),1-INDEX('Lease Cycles'!$DR$15:$DX$15,1,AQ129),1))),0)</f>
        <v>3200</v>
      </c>
      <c r="AR135" s="28">
        <f>IF(AR131=1,IF(INDEX('Lease Cycles'!$EF$15:$EL$15,1,AR129)=1,AR132*INDEX('Lease Cycles'!$EM$15:$ES$15,1,AR129)+AR133*IF(AR130&lt;INDEX('Lease Cycles'!$FA$15:$FG$15,1,AR129),0,1-INDEX('Lease Cycles'!$EM$15:$ES$15,1,AR129)),AR132*IF(AR130&lt;INDEX('Lease Cycles'!$DK$15:$DQ$15,1,AR129),0,IF(AR130=INDEX('Lease Cycles'!$DK$15:$DQ$15,1,AR129),1-INDEX('Lease Cycles'!$DR$15:$DX$15,1,AR129),1))),0)</f>
        <v>3200</v>
      </c>
      <c r="AS135" s="28">
        <f>IF(AS131=1,IF(INDEX('Lease Cycles'!$EF$15:$EL$15,1,AS129)=1,AS132*INDEX('Lease Cycles'!$EM$15:$ES$15,1,AS129)+AS133*IF(AS130&lt;INDEX('Lease Cycles'!$FA$15:$FG$15,1,AS129),0,1-INDEX('Lease Cycles'!$EM$15:$ES$15,1,AS129)),AS132*IF(AS130&lt;INDEX('Lease Cycles'!$DK$15:$DQ$15,1,AS129),0,IF(AS130=INDEX('Lease Cycles'!$DK$15:$DQ$15,1,AS129),1-INDEX('Lease Cycles'!$DR$15:$DX$15,1,AS129),1))),0)</f>
        <v>3200</v>
      </c>
      <c r="AT135" s="28">
        <f>IF(AT131=1,IF(INDEX('Lease Cycles'!$EF$15:$EL$15,1,AT129)=1,AT132*INDEX('Lease Cycles'!$EM$15:$ES$15,1,AT129)+AT133*IF(AT130&lt;INDEX('Lease Cycles'!$FA$15:$FG$15,1,AT129),0,1-INDEX('Lease Cycles'!$EM$15:$ES$15,1,AT129)),AT132*IF(AT130&lt;INDEX('Lease Cycles'!$DK$15:$DQ$15,1,AT129),0,IF(AT130=INDEX('Lease Cycles'!$DK$15:$DQ$15,1,AT129),1-INDEX('Lease Cycles'!$DR$15:$DX$15,1,AT129),1))),0)</f>
        <v>3200</v>
      </c>
      <c r="AU135" s="28">
        <f>IF(AU131=1,IF(INDEX('Lease Cycles'!$EF$15:$EL$15,1,AU129)=1,AU132*INDEX('Lease Cycles'!$EM$15:$ES$15,1,AU129)+AU133*IF(AU130&lt;INDEX('Lease Cycles'!$FA$15:$FG$15,1,AU129),0,1-INDEX('Lease Cycles'!$EM$15:$ES$15,1,AU129)),AU132*IF(AU130&lt;INDEX('Lease Cycles'!$DK$15:$DQ$15,1,AU129),0,IF(AU130=INDEX('Lease Cycles'!$DK$15:$DQ$15,1,AU129),1-INDEX('Lease Cycles'!$DR$15:$DX$15,1,AU129),1))),0)</f>
        <v>3200</v>
      </c>
      <c r="AV135" s="28">
        <f>IF(AV131=1,IF(INDEX('Lease Cycles'!$EF$15:$EL$15,1,AV129)=1,AV132*INDEX('Lease Cycles'!$EM$15:$ES$15,1,AV129)+AV133*IF(AV130&lt;INDEX('Lease Cycles'!$FA$15:$FG$15,1,AV129),0,1-INDEX('Lease Cycles'!$EM$15:$ES$15,1,AV129)),AV132*IF(AV130&lt;INDEX('Lease Cycles'!$DK$15:$DQ$15,1,AV129),0,IF(AV130=INDEX('Lease Cycles'!$DK$15:$DQ$15,1,AV129),1-INDEX('Lease Cycles'!$DR$15:$DX$15,1,AV129),1))),0)</f>
        <v>3200</v>
      </c>
      <c r="AW135" s="28">
        <f>IF(AW131=1,IF(INDEX('Lease Cycles'!$EF$15:$EL$15,1,AW129)=1,AW132*INDEX('Lease Cycles'!$EM$15:$ES$15,1,AW129)+AW133*IF(AW130&lt;INDEX('Lease Cycles'!$FA$15:$FG$15,1,AW129),0,1-INDEX('Lease Cycles'!$EM$15:$ES$15,1,AW129)),AW132*IF(AW130&lt;INDEX('Lease Cycles'!$DK$15:$DQ$15,1,AW129),0,IF(AW130=INDEX('Lease Cycles'!$DK$15:$DQ$15,1,AW129),1-INDEX('Lease Cycles'!$DR$15:$DX$15,1,AW129),1))),0)</f>
        <v>3200</v>
      </c>
      <c r="AX135" s="28">
        <f>IF(AX131=1,IF(INDEX('Lease Cycles'!$EF$15:$EL$15,1,AX129)=1,AX132*INDEX('Lease Cycles'!$EM$15:$ES$15,1,AX129)+AX133*IF(AX130&lt;INDEX('Lease Cycles'!$FA$15:$FG$15,1,AX129),0,1-INDEX('Lease Cycles'!$EM$15:$ES$15,1,AX129)),AX132*IF(AX130&lt;INDEX('Lease Cycles'!$DK$15:$DQ$15,1,AX129),0,IF(AX130=INDEX('Lease Cycles'!$DK$15:$DQ$15,1,AX129),1-INDEX('Lease Cycles'!$DR$15:$DX$15,1,AX129),1))),0)</f>
        <v>3200</v>
      </c>
      <c r="AY135" s="28">
        <f>IF(AY131=1,IF(INDEX('Lease Cycles'!$EF$15:$EL$15,1,AY129)=1,AY132*INDEX('Lease Cycles'!$EM$15:$ES$15,1,AY129)+AY133*IF(AY130&lt;INDEX('Lease Cycles'!$FA$15:$FG$15,1,AY129),0,1-INDEX('Lease Cycles'!$EM$15:$ES$15,1,AY129)),AY132*IF(AY130&lt;INDEX('Lease Cycles'!$DK$15:$DQ$15,1,AY129),0,IF(AY130=INDEX('Lease Cycles'!$DK$15:$DQ$15,1,AY129),1-INDEX('Lease Cycles'!$DR$15:$DX$15,1,AY129),1))),0)</f>
        <v>3200</v>
      </c>
      <c r="AZ135" s="28">
        <f>IF(AZ131=1,IF(INDEX('Lease Cycles'!$EF$15:$EL$15,1,AZ129)=1,AZ132*INDEX('Lease Cycles'!$EM$15:$ES$15,1,AZ129)+AZ133*IF(AZ130&lt;INDEX('Lease Cycles'!$FA$15:$FG$15,1,AZ129),0,1-INDEX('Lease Cycles'!$EM$15:$ES$15,1,AZ129)),AZ132*IF(AZ130&lt;INDEX('Lease Cycles'!$DK$15:$DQ$15,1,AZ129),0,IF(AZ130=INDEX('Lease Cycles'!$DK$15:$DQ$15,1,AZ129),1-INDEX('Lease Cycles'!$DR$15:$DX$15,1,AZ129),1))),0)</f>
        <v>3200</v>
      </c>
      <c r="BA135" s="28">
        <f>IF(BA131=1,IF(INDEX('Lease Cycles'!$EF$15:$EL$15,1,BA129)=1,BA132*INDEX('Lease Cycles'!$EM$15:$ES$15,1,BA129)+BA133*IF(BA130&lt;INDEX('Lease Cycles'!$FA$15:$FG$15,1,BA129),0,1-INDEX('Lease Cycles'!$EM$15:$ES$15,1,BA129)),BA132*IF(BA130&lt;INDEX('Lease Cycles'!$DK$15:$DQ$15,1,BA129),0,IF(BA130=INDEX('Lease Cycles'!$DK$15:$DQ$15,1,BA129),1-INDEX('Lease Cycles'!$DR$15:$DX$15,1,BA129),1))),0)</f>
        <v>3200</v>
      </c>
      <c r="BB135" s="28">
        <f>IF(BB131=1,IF(INDEX('Lease Cycles'!$EF$15:$EL$15,1,BB129)=1,BB132*INDEX('Lease Cycles'!$EM$15:$ES$15,1,BB129)+BB133*IF(BB130&lt;INDEX('Lease Cycles'!$FA$15:$FG$15,1,BB129),0,1-INDEX('Lease Cycles'!$EM$15:$ES$15,1,BB129)),BB132*IF(BB130&lt;INDEX('Lease Cycles'!$DK$15:$DQ$15,1,BB129),0,IF(BB130=INDEX('Lease Cycles'!$DK$15:$DQ$15,1,BB129),1-INDEX('Lease Cycles'!$DR$15:$DX$15,1,BB129),1))),0)</f>
        <v>3200</v>
      </c>
      <c r="BC135" s="28">
        <f>IF(BC131=1,IF(INDEX('Lease Cycles'!$EF$15:$EL$15,1,BC129)=1,BC132*INDEX('Lease Cycles'!$EM$15:$ES$15,1,BC129)+BC133*IF(BC130&lt;INDEX('Lease Cycles'!$FA$15:$FG$15,1,BC129),0,1-INDEX('Lease Cycles'!$EM$15:$ES$15,1,BC129)),BC132*IF(BC130&lt;INDEX('Lease Cycles'!$DK$15:$DQ$15,1,BC129),0,IF(BC130=INDEX('Lease Cycles'!$DK$15:$DQ$15,1,BC129),1-INDEX('Lease Cycles'!$DR$15:$DX$15,1,BC129),1))),0)</f>
        <v>3200</v>
      </c>
      <c r="BD135" s="28">
        <f>IF(BD131=1,IF(INDEX('Lease Cycles'!$EF$15:$EL$15,1,BD129)=1,BD132*INDEX('Lease Cycles'!$EM$15:$ES$15,1,BD129)+BD133*IF(BD130&lt;INDEX('Lease Cycles'!$FA$15:$FG$15,1,BD129),0,1-INDEX('Lease Cycles'!$EM$15:$ES$15,1,BD129)),BD132*IF(BD130&lt;INDEX('Lease Cycles'!$DK$15:$DQ$15,1,BD129),0,IF(BD130=INDEX('Lease Cycles'!$DK$15:$DQ$15,1,BD129),1-INDEX('Lease Cycles'!$DR$15:$DX$15,1,BD129),1))),0)</f>
        <v>3200</v>
      </c>
      <c r="BE135" s="28">
        <f>IF(BE131=1,IF(INDEX('Lease Cycles'!$EF$15:$EL$15,1,BE129)=1,BE132*INDEX('Lease Cycles'!$EM$15:$ES$15,1,BE129)+BE133*IF(BE130&lt;INDEX('Lease Cycles'!$FA$15:$FG$15,1,BE129),0,1-INDEX('Lease Cycles'!$EM$15:$ES$15,1,BE129)),BE132*IF(BE130&lt;INDEX('Lease Cycles'!$DK$15:$DQ$15,1,BE129),0,IF(BE130=INDEX('Lease Cycles'!$DK$15:$DQ$15,1,BE129),1-INDEX('Lease Cycles'!$DR$15:$DX$15,1,BE129),1))),0)</f>
        <v>3200</v>
      </c>
      <c r="BF135" s="28">
        <f>IF(BF131=1,IF(INDEX('Lease Cycles'!$EF$15:$EL$15,1,BF129)=1,BF132*INDEX('Lease Cycles'!$EM$15:$ES$15,1,BF129)+BF133*IF(BF130&lt;INDEX('Lease Cycles'!$FA$15:$FG$15,1,BF129),0,1-INDEX('Lease Cycles'!$EM$15:$ES$15,1,BF129)),BF132*IF(BF130&lt;INDEX('Lease Cycles'!$DK$15:$DQ$15,1,BF129),0,IF(BF130=INDEX('Lease Cycles'!$DK$15:$DQ$15,1,BF129),1-INDEX('Lease Cycles'!$DR$15:$DX$15,1,BF129),1))),0)</f>
        <v>3200</v>
      </c>
      <c r="BG135" s="28">
        <f>IF(BG131=1,IF(INDEX('Lease Cycles'!$EF$15:$EL$15,1,BG129)=1,BG132*INDEX('Lease Cycles'!$EM$15:$ES$15,1,BG129)+BG133*IF(BG130&lt;INDEX('Lease Cycles'!$FA$15:$FG$15,1,BG129),0,1-INDEX('Lease Cycles'!$EM$15:$ES$15,1,BG129)),BG132*IF(BG130&lt;INDEX('Lease Cycles'!$DK$15:$DQ$15,1,BG129),0,IF(BG130=INDEX('Lease Cycles'!$DK$15:$DQ$15,1,BG129),1-INDEX('Lease Cycles'!$DR$15:$DX$15,1,BG129),1))),0)</f>
        <v>3200</v>
      </c>
      <c r="BH135" s="28">
        <f>IF(BH131=1,IF(INDEX('Lease Cycles'!$EF$15:$EL$15,1,BH129)=1,BH132*INDEX('Lease Cycles'!$EM$15:$ES$15,1,BH129)+BH133*IF(BH130&lt;INDEX('Lease Cycles'!$FA$15:$FG$15,1,BH129),0,1-INDEX('Lease Cycles'!$EM$15:$ES$15,1,BH129)),BH132*IF(BH130&lt;INDEX('Lease Cycles'!$DK$15:$DQ$15,1,BH129),0,IF(BH130=INDEX('Lease Cycles'!$DK$15:$DQ$15,1,BH129),1-INDEX('Lease Cycles'!$DR$15:$DX$15,1,BH129),1))),0)</f>
        <v>0</v>
      </c>
      <c r="BI135" s="28">
        <f>IF(BI131=1,IF(INDEX('Lease Cycles'!$EF$15:$EL$15,1,BI129)=1,BI132*INDEX('Lease Cycles'!$EM$15:$ES$15,1,BI129)+BI133*IF(BI130&lt;INDEX('Lease Cycles'!$FA$15:$FG$15,1,BI129),0,1-INDEX('Lease Cycles'!$EM$15:$ES$15,1,BI129)),BI132*IF(BI130&lt;INDEX('Lease Cycles'!$DK$15:$DQ$15,1,BI129),0,IF(BI130=INDEX('Lease Cycles'!$DK$15:$DQ$15,1,BI129),1-INDEX('Lease Cycles'!$DR$15:$DX$15,1,BI129),1))),0)</f>
        <v>410.32880983018987</v>
      </c>
      <c r="BJ135" s="28">
        <f>IF(BJ131=1,IF(INDEX('Lease Cycles'!$EF$15:$EL$15,1,BJ129)=1,BJ132*INDEX('Lease Cycles'!$EM$15:$ES$15,1,BJ129)+BJ133*IF(BJ130&lt;INDEX('Lease Cycles'!$FA$15:$FG$15,1,BJ129),0,1-INDEX('Lease Cycles'!$EM$15:$ES$15,1,BJ129)),BJ132*IF(BJ130&lt;INDEX('Lease Cycles'!$DK$15:$DQ$15,1,BJ129),0,IF(BJ130=INDEX('Lease Cycles'!$DK$15:$DQ$15,1,BJ129),1-INDEX('Lease Cycles'!$DR$15:$DX$15,1,BJ129),1))),0)</f>
        <v>2051.644049150977</v>
      </c>
      <c r="BK135" s="28">
        <f>IF(BK131=1,IF(INDEX('Lease Cycles'!$EF$15:$EL$15,1,BK129)=1,BK132*INDEX('Lease Cycles'!$EM$15:$ES$15,1,BK129)+BK133*IF(BK130&lt;INDEX('Lease Cycles'!$FA$15:$FG$15,1,BK129),0,1-INDEX('Lease Cycles'!$EM$15:$ES$15,1,BK129)),BK132*IF(BK130&lt;INDEX('Lease Cycles'!$DK$15:$DQ$15,1,BK129),0,IF(BK130=INDEX('Lease Cycles'!$DK$15:$DQ$15,1,BK129),1-INDEX('Lease Cycles'!$DR$15:$DX$15,1,BK129),1))),0)</f>
        <v>2051.644049150977</v>
      </c>
      <c r="BL135" s="28">
        <f>IF(BL131=1,IF(INDEX('Lease Cycles'!$EF$15:$EL$15,1,BL129)=1,BL132*INDEX('Lease Cycles'!$EM$15:$ES$15,1,BL129)+BL133*IF(BL130&lt;INDEX('Lease Cycles'!$FA$15:$FG$15,1,BL129),0,1-INDEX('Lease Cycles'!$EM$15:$ES$15,1,BL129)),BL132*IF(BL130&lt;INDEX('Lease Cycles'!$DK$15:$DQ$15,1,BL129),0,IF(BL130=INDEX('Lease Cycles'!$DK$15:$DQ$15,1,BL129),1-INDEX('Lease Cycles'!$DR$15:$DX$15,1,BL129),1))),0)</f>
        <v>2051.644049150977</v>
      </c>
      <c r="BM135" s="28">
        <f>IF(BM131=1,IF(INDEX('Lease Cycles'!$EF$15:$EL$15,1,BM129)=1,BM132*INDEX('Lease Cycles'!$EM$15:$ES$15,1,BM129)+BM133*IF(BM130&lt;INDEX('Lease Cycles'!$FA$15:$FG$15,1,BM129),0,1-INDEX('Lease Cycles'!$EM$15:$ES$15,1,BM129)),BM132*IF(BM130&lt;INDEX('Lease Cycles'!$DK$15:$DQ$15,1,BM129),0,IF(BM130=INDEX('Lease Cycles'!$DK$15:$DQ$15,1,BM129),1-INDEX('Lease Cycles'!$DR$15:$DX$15,1,BM129),1))),0)</f>
        <v>2051.644049150977</v>
      </c>
      <c r="BN135" s="28">
        <f>IF(BN131=1,IF(INDEX('Lease Cycles'!$EF$15:$EL$15,1,BN129)=1,BN132*INDEX('Lease Cycles'!$EM$15:$ES$15,1,BN129)+BN133*IF(BN130&lt;INDEX('Lease Cycles'!$FA$15:$FG$15,1,BN129),0,1-INDEX('Lease Cycles'!$EM$15:$ES$15,1,BN129)),BN132*IF(BN130&lt;INDEX('Lease Cycles'!$DK$15:$DQ$15,1,BN129),0,IF(BN130=INDEX('Lease Cycles'!$DK$15:$DQ$15,1,BN129),1-INDEX('Lease Cycles'!$DR$15:$DX$15,1,BN129),1))),0)</f>
        <v>2051.644049150977</v>
      </c>
      <c r="BO135" s="28">
        <f>IF(BO131=1,IF(INDEX('Lease Cycles'!$EF$15:$EL$15,1,BO129)=1,BO132*INDEX('Lease Cycles'!$EM$15:$ES$15,1,BO129)+BO133*IF(BO130&lt;INDEX('Lease Cycles'!$FA$15:$FG$15,1,BO129),0,1-INDEX('Lease Cycles'!$EM$15:$ES$15,1,BO129)),BO132*IF(BO130&lt;INDEX('Lease Cycles'!$DK$15:$DQ$15,1,BO129),0,IF(BO130=INDEX('Lease Cycles'!$DK$15:$DQ$15,1,BO129),1-INDEX('Lease Cycles'!$DR$15:$DX$15,1,BO129),1))),0)</f>
        <v>2051.644049150977</v>
      </c>
      <c r="BP135" s="28">
        <f>IF(BP131=1,IF(INDEX('Lease Cycles'!$EF$15:$EL$15,1,BP129)=1,BP132*INDEX('Lease Cycles'!$EM$15:$ES$15,1,BP129)+BP133*IF(BP130&lt;INDEX('Lease Cycles'!$FA$15:$FG$15,1,BP129),0,1-INDEX('Lease Cycles'!$EM$15:$ES$15,1,BP129)),BP132*IF(BP130&lt;INDEX('Lease Cycles'!$DK$15:$DQ$15,1,BP129),0,IF(BP130=INDEX('Lease Cycles'!$DK$15:$DQ$15,1,BP129),1-INDEX('Lease Cycles'!$DR$15:$DX$15,1,BP129),1))),0)</f>
        <v>2051.644049150977</v>
      </c>
      <c r="BQ135" s="28">
        <f>IF(BQ131=1,IF(INDEX('Lease Cycles'!$EF$15:$EL$15,1,BQ129)=1,BQ132*INDEX('Lease Cycles'!$EM$15:$ES$15,1,BQ129)+BQ133*IF(BQ130&lt;INDEX('Lease Cycles'!$FA$15:$FG$15,1,BQ129),0,1-INDEX('Lease Cycles'!$EM$15:$ES$15,1,BQ129)),BQ132*IF(BQ130&lt;INDEX('Lease Cycles'!$DK$15:$DQ$15,1,BQ129),0,IF(BQ130=INDEX('Lease Cycles'!$DK$15:$DQ$15,1,BQ129),1-INDEX('Lease Cycles'!$DR$15:$DX$15,1,BQ129),1))),0)</f>
        <v>2051.644049150977</v>
      </c>
      <c r="BR135" s="28">
        <f>IF(BR131=1,IF(INDEX('Lease Cycles'!$EF$15:$EL$15,1,BR129)=1,BR132*INDEX('Lease Cycles'!$EM$15:$ES$15,1,BR129)+BR133*IF(BR130&lt;INDEX('Lease Cycles'!$FA$15:$FG$15,1,BR129),0,1-INDEX('Lease Cycles'!$EM$15:$ES$15,1,BR129)),BR132*IF(BR130&lt;INDEX('Lease Cycles'!$DK$15:$DQ$15,1,BR129),0,IF(BR130=INDEX('Lease Cycles'!$DK$15:$DQ$15,1,BR129),1-INDEX('Lease Cycles'!$DR$15:$DX$15,1,BR129),1))),0)</f>
        <v>2051.644049150977</v>
      </c>
      <c r="BS135" s="28">
        <f>IF(BS131=1,IF(INDEX('Lease Cycles'!$EF$15:$EL$15,1,BS129)=1,BS132*INDEX('Lease Cycles'!$EM$15:$ES$15,1,BS129)+BS133*IF(BS130&lt;INDEX('Lease Cycles'!$FA$15:$FG$15,1,BS129),0,1-INDEX('Lease Cycles'!$EM$15:$ES$15,1,BS129)),BS132*IF(BS130&lt;INDEX('Lease Cycles'!$DK$15:$DQ$15,1,BS129),0,IF(BS130=INDEX('Lease Cycles'!$DK$15:$DQ$15,1,BS129),1-INDEX('Lease Cycles'!$DR$15:$DX$15,1,BS129),1))),0)</f>
        <v>2051.644049150977</v>
      </c>
      <c r="BT135" s="28">
        <f>IF(BT131=1,IF(INDEX('Lease Cycles'!$EF$15:$EL$15,1,BT129)=1,BT132*INDEX('Lease Cycles'!$EM$15:$ES$15,1,BT129)+BT133*IF(BT130&lt;INDEX('Lease Cycles'!$FA$15:$FG$15,1,BT129),0,1-INDEX('Lease Cycles'!$EM$15:$ES$15,1,BT129)),BT132*IF(BT130&lt;INDEX('Lease Cycles'!$DK$15:$DQ$15,1,BT129),0,IF(BT130=INDEX('Lease Cycles'!$DK$15:$DQ$15,1,BT129),1-INDEX('Lease Cycles'!$DR$15:$DX$15,1,BT129),1))),0)</f>
        <v>2051.644049150977</v>
      </c>
      <c r="BU135" s="28">
        <f>IF(BU131=1,IF(INDEX('Lease Cycles'!$EF$15:$EL$15,1,BU129)=1,BU132*INDEX('Lease Cycles'!$EM$15:$ES$15,1,BU129)+BU133*IF(BU130&lt;INDEX('Lease Cycles'!$FA$15:$FG$15,1,BU129),0,1-INDEX('Lease Cycles'!$EM$15:$ES$15,1,BU129)),BU132*IF(BU130&lt;INDEX('Lease Cycles'!$DK$15:$DQ$15,1,BU129),0,IF(BU130=INDEX('Lease Cycles'!$DK$15:$DQ$15,1,BU129),1-INDEX('Lease Cycles'!$DR$15:$DX$15,1,BU129),1))),0)</f>
        <v>2113.1933706255063</v>
      </c>
      <c r="BV135" s="28">
        <f>IF(BV131=1,IF(INDEX('Lease Cycles'!$EF$15:$EL$15,1,BV129)=1,BV132*INDEX('Lease Cycles'!$EM$15:$ES$15,1,BV129)+BV133*IF(BV130&lt;INDEX('Lease Cycles'!$FA$15:$FG$15,1,BV129),0,1-INDEX('Lease Cycles'!$EM$15:$ES$15,1,BV129)),BV132*IF(BV130&lt;INDEX('Lease Cycles'!$DK$15:$DQ$15,1,BV129),0,IF(BV130=INDEX('Lease Cycles'!$DK$15:$DQ$15,1,BV129),1-INDEX('Lease Cycles'!$DR$15:$DX$15,1,BV129),1))),0)</f>
        <v>2113.1933706255063</v>
      </c>
      <c r="BW135" s="28">
        <f>IF(BW131=1,IF(INDEX('Lease Cycles'!$EF$15:$EL$15,1,BW129)=1,BW132*INDEX('Lease Cycles'!$EM$15:$ES$15,1,BW129)+BW133*IF(BW130&lt;INDEX('Lease Cycles'!$FA$15:$FG$15,1,BW129),0,1-INDEX('Lease Cycles'!$EM$15:$ES$15,1,BW129)),BW132*IF(BW130&lt;INDEX('Lease Cycles'!$DK$15:$DQ$15,1,BW129),0,IF(BW130=INDEX('Lease Cycles'!$DK$15:$DQ$15,1,BW129),1-INDEX('Lease Cycles'!$DR$15:$DX$15,1,BW129),1))),0)</f>
        <v>2113.1933706255063</v>
      </c>
      <c r="BX135" s="28">
        <f>IF(BX131=1,IF(INDEX('Lease Cycles'!$EF$15:$EL$15,1,BX129)=1,BX132*INDEX('Lease Cycles'!$EM$15:$ES$15,1,BX129)+BX133*IF(BX130&lt;INDEX('Lease Cycles'!$FA$15:$FG$15,1,BX129),0,1-INDEX('Lease Cycles'!$EM$15:$ES$15,1,BX129)),BX132*IF(BX130&lt;INDEX('Lease Cycles'!$DK$15:$DQ$15,1,BX129),0,IF(BX130=INDEX('Lease Cycles'!$DK$15:$DQ$15,1,BX129),1-INDEX('Lease Cycles'!$DR$15:$DX$15,1,BX129),1))),0)</f>
        <v>2113.1933706255063</v>
      </c>
      <c r="BY135" s="28">
        <f>IF(BY131=1,IF(INDEX('Lease Cycles'!$EF$15:$EL$15,1,BY129)=1,BY132*INDEX('Lease Cycles'!$EM$15:$ES$15,1,BY129)+BY133*IF(BY130&lt;INDEX('Lease Cycles'!$FA$15:$FG$15,1,BY129),0,1-INDEX('Lease Cycles'!$EM$15:$ES$15,1,BY129)),BY132*IF(BY130&lt;INDEX('Lease Cycles'!$DK$15:$DQ$15,1,BY129),0,IF(BY130=INDEX('Lease Cycles'!$DK$15:$DQ$15,1,BY129),1-INDEX('Lease Cycles'!$DR$15:$DX$15,1,BY129),1))),0)</f>
        <v>2113.1933706255063</v>
      </c>
      <c r="BZ135" s="28">
        <f>IF(BZ131=1,IF(INDEX('Lease Cycles'!$EF$15:$EL$15,1,BZ129)=1,BZ132*INDEX('Lease Cycles'!$EM$15:$ES$15,1,BZ129)+BZ133*IF(BZ130&lt;INDEX('Lease Cycles'!$FA$15:$FG$15,1,BZ129),0,1-INDEX('Lease Cycles'!$EM$15:$ES$15,1,BZ129)),BZ132*IF(BZ130&lt;INDEX('Lease Cycles'!$DK$15:$DQ$15,1,BZ129),0,IF(BZ130=INDEX('Lease Cycles'!$DK$15:$DQ$15,1,BZ129),1-INDEX('Lease Cycles'!$DR$15:$DX$15,1,BZ129),1))),0)</f>
        <v>2113.1933706255063</v>
      </c>
      <c r="CA135" s="28">
        <f>IF(CA131=1,IF(INDEX('Lease Cycles'!$EF$15:$EL$15,1,CA129)=1,CA132*INDEX('Lease Cycles'!$EM$15:$ES$15,1,CA129)+CA133*IF(CA130&lt;INDEX('Lease Cycles'!$FA$15:$FG$15,1,CA129),0,1-INDEX('Lease Cycles'!$EM$15:$ES$15,1,CA129)),CA132*IF(CA130&lt;INDEX('Lease Cycles'!$DK$15:$DQ$15,1,CA129),0,IF(CA130=INDEX('Lease Cycles'!$DK$15:$DQ$15,1,CA129),1-INDEX('Lease Cycles'!$DR$15:$DX$15,1,CA129),1))),0)</f>
        <v>2113.1933706255063</v>
      </c>
      <c r="CB135" s="28">
        <f>IF(CB131=1,IF(INDEX('Lease Cycles'!$EF$15:$EL$15,1,CB129)=1,CB132*INDEX('Lease Cycles'!$EM$15:$ES$15,1,CB129)+CB133*IF(CB130&lt;INDEX('Lease Cycles'!$FA$15:$FG$15,1,CB129),0,1-INDEX('Lease Cycles'!$EM$15:$ES$15,1,CB129)),CB132*IF(CB130&lt;INDEX('Lease Cycles'!$DK$15:$DQ$15,1,CB129),0,IF(CB130=INDEX('Lease Cycles'!$DK$15:$DQ$15,1,CB129),1-INDEX('Lease Cycles'!$DR$15:$DX$15,1,CB129),1))),0)</f>
        <v>2113.1933706255063</v>
      </c>
      <c r="CC135" s="28">
        <f>IF(CC131=1,IF(INDEX('Lease Cycles'!$EF$15:$EL$15,1,CC129)=1,CC132*INDEX('Lease Cycles'!$EM$15:$ES$15,1,CC129)+CC133*IF(CC130&lt;INDEX('Lease Cycles'!$FA$15:$FG$15,1,CC129),0,1-INDEX('Lease Cycles'!$EM$15:$ES$15,1,CC129)),CC132*IF(CC130&lt;INDEX('Lease Cycles'!$DK$15:$DQ$15,1,CC129),0,IF(CC130=INDEX('Lease Cycles'!$DK$15:$DQ$15,1,CC129),1-INDEX('Lease Cycles'!$DR$15:$DX$15,1,CC129),1))),0)</f>
        <v>2113.1933706255063</v>
      </c>
      <c r="CD135" s="28">
        <f>IF(CD131=1,IF(INDEX('Lease Cycles'!$EF$15:$EL$15,1,CD129)=1,CD132*INDEX('Lease Cycles'!$EM$15:$ES$15,1,CD129)+CD133*IF(CD130&lt;INDEX('Lease Cycles'!$FA$15:$FG$15,1,CD129),0,1-INDEX('Lease Cycles'!$EM$15:$ES$15,1,CD129)),CD132*IF(CD130&lt;INDEX('Lease Cycles'!$DK$15:$DQ$15,1,CD129),0,IF(CD130=INDEX('Lease Cycles'!$DK$15:$DQ$15,1,CD129),1-INDEX('Lease Cycles'!$DR$15:$DX$15,1,CD129),1))),0)</f>
        <v>2113.1933706255063</v>
      </c>
      <c r="CE135" s="28">
        <f>IF(CE131=1,IF(INDEX('Lease Cycles'!$EF$15:$EL$15,1,CE129)=1,CE132*INDEX('Lease Cycles'!$EM$15:$ES$15,1,CE129)+CE133*IF(CE130&lt;INDEX('Lease Cycles'!$FA$15:$FG$15,1,CE129),0,1-INDEX('Lease Cycles'!$EM$15:$ES$15,1,CE129)),CE132*IF(CE130&lt;INDEX('Lease Cycles'!$DK$15:$DQ$15,1,CE129),0,IF(CE130=INDEX('Lease Cycles'!$DK$15:$DQ$15,1,CE129),1-INDEX('Lease Cycles'!$DR$15:$DX$15,1,CE129),1))),0)</f>
        <v>2113.1933706255063</v>
      </c>
      <c r="CF135" s="28">
        <f>IF(CF131=1,IF(INDEX('Lease Cycles'!$EF$15:$EL$15,1,CF129)=1,CF132*INDEX('Lease Cycles'!$EM$15:$ES$15,1,CF129)+CF133*IF(CF130&lt;INDEX('Lease Cycles'!$FA$15:$FG$15,1,CF129),0,1-INDEX('Lease Cycles'!$EM$15:$ES$15,1,CF129)),CF132*IF(CF130&lt;INDEX('Lease Cycles'!$DK$15:$DQ$15,1,CF129),0,IF(CF130=INDEX('Lease Cycles'!$DK$15:$DQ$15,1,CF129),1-INDEX('Lease Cycles'!$DR$15:$DX$15,1,CF129),1))),0)</f>
        <v>2113.1933706255063</v>
      </c>
      <c r="CG135" s="28">
        <f>IF(CG131=1,IF(INDEX('Lease Cycles'!$EF$15:$EL$15,1,CG129)=1,CG132*INDEX('Lease Cycles'!$EM$15:$ES$15,1,CG129)+CG133*IF(CG130&lt;INDEX('Lease Cycles'!$FA$15:$FG$15,1,CG129),0,1-INDEX('Lease Cycles'!$EM$15:$ES$15,1,CG129)),CG132*IF(CG130&lt;INDEX('Lease Cycles'!$DK$15:$DQ$15,1,CG129),0,IF(CG130=INDEX('Lease Cycles'!$DK$15:$DQ$15,1,CG129),1-INDEX('Lease Cycles'!$DR$15:$DX$15,1,CG129),1))),0)</f>
        <v>2176.5891717442714</v>
      </c>
      <c r="CH135" s="28">
        <f>IF(CH131=1,IF(INDEX('Lease Cycles'!$EF$15:$EL$15,1,CH129)=1,CH132*INDEX('Lease Cycles'!$EM$15:$ES$15,1,CH129)+CH133*IF(CH130&lt;INDEX('Lease Cycles'!$FA$15:$FG$15,1,CH129),0,1-INDEX('Lease Cycles'!$EM$15:$ES$15,1,CH129)),CH132*IF(CH130&lt;INDEX('Lease Cycles'!$DK$15:$DQ$15,1,CH129),0,IF(CH130=INDEX('Lease Cycles'!$DK$15:$DQ$15,1,CH129),1-INDEX('Lease Cycles'!$DR$15:$DX$15,1,CH129),1))),0)</f>
        <v>2176.5891717442714</v>
      </c>
      <c r="CI135" s="28">
        <f>IF(CI131=1,IF(INDEX('Lease Cycles'!$EF$15:$EL$15,1,CI129)=1,CI132*INDEX('Lease Cycles'!$EM$15:$ES$15,1,CI129)+CI133*IF(CI130&lt;INDEX('Lease Cycles'!$FA$15:$FG$15,1,CI129),0,1-INDEX('Lease Cycles'!$EM$15:$ES$15,1,CI129)),CI132*IF(CI130&lt;INDEX('Lease Cycles'!$DK$15:$DQ$15,1,CI129),0,IF(CI130=INDEX('Lease Cycles'!$DK$15:$DQ$15,1,CI129),1-INDEX('Lease Cycles'!$DR$15:$DX$15,1,CI129),1))),0)</f>
        <v>2176.5891717442714</v>
      </c>
      <c r="CJ135" s="28">
        <f>IF(CJ131=1,IF(INDEX('Lease Cycles'!$EF$15:$EL$15,1,CJ129)=1,CJ132*INDEX('Lease Cycles'!$EM$15:$ES$15,1,CJ129)+CJ133*IF(CJ130&lt;INDEX('Lease Cycles'!$FA$15:$FG$15,1,CJ129),0,1-INDEX('Lease Cycles'!$EM$15:$ES$15,1,CJ129)),CJ132*IF(CJ130&lt;INDEX('Lease Cycles'!$DK$15:$DQ$15,1,CJ129),0,IF(CJ130=INDEX('Lease Cycles'!$DK$15:$DQ$15,1,CJ129),1-INDEX('Lease Cycles'!$DR$15:$DX$15,1,CJ129),1))),0)</f>
        <v>2176.5891717442714</v>
      </c>
      <c r="CK135" s="28">
        <f>IF(CK131=1,IF(INDEX('Lease Cycles'!$EF$15:$EL$15,1,CK129)=1,CK132*INDEX('Lease Cycles'!$EM$15:$ES$15,1,CK129)+CK133*IF(CK130&lt;INDEX('Lease Cycles'!$FA$15:$FG$15,1,CK129),0,1-INDEX('Lease Cycles'!$EM$15:$ES$15,1,CK129)),CK132*IF(CK130&lt;INDEX('Lease Cycles'!$DK$15:$DQ$15,1,CK129),0,IF(CK130=INDEX('Lease Cycles'!$DK$15:$DQ$15,1,CK129),1-INDEX('Lease Cycles'!$DR$15:$DX$15,1,CK129),1))),0)</f>
        <v>2176.5891717442714</v>
      </c>
      <c r="CL135" s="28">
        <f>IF(CL131=1,IF(INDEX('Lease Cycles'!$EF$15:$EL$15,1,CL129)=1,CL132*INDEX('Lease Cycles'!$EM$15:$ES$15,1,CL129)+CL133*IF(CL130&lt;INDEX('Lease Cycles'!$FA$15:$FG$15,1,CL129),0,1-INDEX('Lease Cycles'!$EM$15:$ES$15,1,CL129)),CL132*IF(CL130&lt;INDEX('Lease Cycles'!$DK$15:$DQ$15,1,CL129),0,IF(CL130=INDEX('Lease Cycles'!$DK$15:$DQ$15,1,CL129),1-INDEX('Lease Cycles'!$DR$15:$DX$15,1,CL129),1))),0)</f>
        <v>2176.5891717442714</v>
      </c>
      <c r="CM135" s="28">
        <f>IF(CM131=1,IF(INDEX('Lease Cycles'!$EF$15:$EL$15,1,CM129)=1,CM132*INDEX('Lease Cycles'!$EM$15:$ES$15,1,CM129)+CM133*IF(CM130&lt;INDEX('Lease Cycles'!$FA$15:$FG$15,1,CM129),0,1-INDEX('Lease Cycles'!$EM$15:$ES$15,1,CM129)),CM132*IF(CM130&lt;INDEX('Lease Cycles'!$DK$15:$DQ$15,1,CM129),0,IF(CM130=INDEX('Lease Cycles'!$DK$15:$DQ$15,1,CM129),1-INDEX('Lease Cycles'!$DR$15:$DX$15,1,CM129),1))),0)</f>
        <v>2176.5891717442714</v>
      </c>
      <c r="CN135" s="28">
        <f>IF(CN131=1,IF(INDEX('Lease Cycles'!$EF$15:$EL$15,1,CN129)=1,CN132*INDEX('Lease Cycles'!$EM$15:$ES$15,1,CN129)+CN133*IF(CN130&lt;INDEX('Lease Cycles'!$FA$15:$FG$15,1,CN129),0,1-INDEX('Lease Cycles'!$EM$15:$ES$15,1,CN129)),CN132*IF(CN130&lt;INDEX('Lease Cycles'!$DK$15:$DQ$15,1,CN129),0,IF(CN130=INDEX('Lease Cycles'!$DK$15:$DQ$15,1,CN129),1-INDEX('Lease Cycles'!$DR$15:$DX$15,1,CN129),1))),0)</f>
        <v>2176.5891717442714</v>
      </c>
      <c r="CO135" s="28">
        <f>IF(CO131=1,IF(INDEX('Lease Cycles'!$EF$15:$EL$15,1,CO129)=1,CO132*INDEX('Lease Cycles'!$EM$15:$ES$15,1,CO129)+CO133*IF(CO130&lt;INDEX('Lease Cycles'!$FA$15:$FG$15,1,CO129),0,1-INDEX('Lease Cycles'!$EM$15:$ES$15,1,CO129)),CO132*IF(CO130&lt;INDEX('Lease Cycles'!$DK$15:$DQ$15,1,CO129),0,IF(CO130=INDEX('Lease Cycles'!$DK$15:$DQ$15,1,CO129),1-INDEX('Lease Cycles'!$DR$15:$DX$15,1,CO129),1))),0)</f>
        <v>2176.5891717442714</v>
      </c>
      <c r="CP135" s="28">
        <f>IF(CP131=1,IF(INDEX('Lease Cycles'!$EF$15:$EL$15,1,CP129)=1,CP132*INDEX('Lease Cycles'!$EM$15:$ES$15,1,CP129)+CP133*IF(CP130&lt;INDEX('Lease Cycles'!$FA$15:$FG$15,1,CP129),0,1-INDEX('Lease Cycles'!$EM$15:$ES$15,1,CP129)),CP132*IF(CP130&lt;INDEX('Lease Cycles'!$DK$15:$DQ$15,1,CP129),0,IF(CP130=INDEX('Lease Cycles'!$DK$15:$DQ$15,1,CP129),1-INDEX('Lease Cycles'!$DR$15:$DX$15,1,CP129),1))),0)</f>
        <v>2176.5891717442714</v>
      </c>
      <c r="CQ135" s="28">
        <f>IF(CQ131=1,IF(INDEX('Lease Cycles'!$EF$15:$EL$15,1,CQ129)=1,CQ132*INDEX('Lease Cycles'!$EM$15:$ES$15,1,CQ129)+CQ133*IF(CQ130&lt;INDEX('Lease Cycles'!$FA$15:$FG$15,1,CQ129),0,1-INDEX('Lease Cycles'!$EM$15:$ES$15,1,CQ129)),CQ132*IF(CQ130&lt;INDEX('Lease Cycles'!$DK$15:$DQ$15,1,CQ129),0,IF(CQ130=INDEX('Lease Cycles'!$DK$15:$DQ$15,1,CQ129),1-INDEX('Lease Cycles'!$DR$15:$DX$15,1,CQ129),1))),0)</f>
        <v>2176.5891717442714</v>
      </c>
      <c r="CR135" s="28">
        <f>IF(CR131=1,IF(INDEX('Lease Cycles'!$EF$15:$EL$15,1,CR129)=1,CR132*INDEX('Lease Cycles'!$EM$15:$ES$15,1,CR129)+CR133*IF(CR130&lt;INDEX('Lease Cycles'!$FA$15:$FG$15,1,CR129),0,1-INDEX('Lease Cycles'!$EM$15:$ES$15,1,CR129)),CR132*IF(CR130&lt;INDEX('Lease Cycles'!$DK$15:$DQ$15,1,CR129),0,IF(CR130=INDEX('Lease Cycles'!$DK$15:$DQ$15,1,CR129),1-INDEX('Lease Cycles'!$DR$15:$DX$15,1,CR129),1))),0)</f>
        <v>2176.5891717442714</v>
      </c>
      <c r="CS135" s="28">
        <f>IF(CS131=1,IF(INDEX('Lease Cycles'!$EF$15:$EL$15,1,CS129)=1,CS132*INDEX('Lease Cycles'!$EM$15:$ES$15,1,CS129)+CS133*IF(CS130&lt;INDEX('Lease Cycles'!$FA$15:$FG$15,1,CS129),0,1-INDEX('Lease Cycles'!$EM$15:$ES$15,1,CS129)),CS132*IF(CS130&lt;INDEX('Lease Cycles'!$DK$15:$DQ$15,1,CS129),0,IF(CS130=INDEX('Lease Cycles'!$DK$15:$DQ$15,1,CS129),1-INDEX('Lease Cycles'!$DR$15:$DX$15,1,CS129),1))),0)</f>
        <v>2241.8868468965998</v>
      </c>
      <c r="CT135" s="28">
        <f>IF(CT131=1,IF(INDEX('Lease Cycles'!$EF$15:$EL$15,1,CT129)=1,CT132*INDEX('Lease Cycles'!$EM$15:$ES$15,1,CT129)+CT133*IF(CT130&lt;INDEX('Lease Cycles'!$FA$15:$FG$15,1,CT129),0,1-INDEX('Lease Cycles'!$EM$15:$ES$15,1,CT129)),CT132*IF(CT130&lt;INDEX('Lease Cycles'!$DK$15:$DQ$15,1,CT129),0,IF(CT130=INDEX('Lease Cycles'!$DK$15:$DQ$15,1,CT129),1-INDEX('Lease Cycles'!$DR$15:$DX$15,1,CT129),1))),0)</f>
        <v>2241.8868468965998</v>
      </c>
      <c r="CU135" s="28">
        <f>IF(CU131=1,IF(INDEX('Lease Cycles'!$EF$15:$EL$15,1,CU129)=1,CU132*INDEX('Lease Cycles'!$EM$15:$ES$15,1,CU129)+CU133*IF(CU130&lt;INDEX('Lease Cycles'!$FA$15:$FG$15,1,CU129),0,1-INDEX('Lease Cycles'!$EM$15:$ES$15,1,CU129)),CU132*IF(CU130&lt;INDEX('Lease Cycles'!$DK$15:$DQ$15,1,CU129),0,IF(CU130=INDEX('Lease Cycles'!$DK$15:$DQ$15,1,CU129),1-INDEX('Lease Cycles'!$DR$15:$DX$15,1,CU129),1))),0)</f>
        <v>2241.8868468965998</v>
      </c>
      <c r="CV135" s="28">
        <f>IF(CV131=1,IF(INDEX('Lease Cycles'!$EF$15:$EL$15,1,CV129)=1,CV132*INDEX('Lease Cycles'!$EM$15:$ES$15,1,CV129)+CV133*IF(CV130&lt;INDEX('Lease Cycles'!$FA$15:$FG$15,1,CV129),0,1-INDEX('Lease Cycles'!$EM$15:$ES$15,1,CV129)),CV132*IF(CV130&lt;INDEX('Lease Cycles'!$DK$15:$DQ$15,1,CV129),0,IF(CV130=INDEX('Lease Cycles'!$DK$15:$DQ$15,1,CV129),1-INDEX('Lease Cycles'!$DR$15:$DX$15,1,CV129),1))),0)</f>
        <v>2241.8868468965998</v>
      </c>
      <c r="CW135" s="28">
        <f>IF(CW131=1,IF(INDEX('Lease Cycles'!$EF$15:$EL$15,1,CW129)=1,CW132*INDEX('Lease Cycles'!$EM$15:$ES$15,1,CW129)+CW133*IF(CW130&lt;INDEX('Lease Cycles'!$FA$15:$FG$15,1,CW129),0,1-INDEX('Lease Cycles'!$EM$15:$ES$15,1,CW129)),CW132*IF(CW130&lt;INDEX('Lease Cycles'!$DK$15:$DQ$15,1,CW129),0,IF(CW130=INDEX('Lease Cycles'!$DK$15:$DQ$15,1,CW129),1-INDEX('Lease Cycles'!$DR$15:$DX$15,1,CW129),1))),0)</f>
        <v>2241.8868468965998</v>
      </c>
      <c r="CX135" s="28">
        <f>IF(CX131=1,IF(INDEX('Lease Cycles'!$EF$15:$EL$15,1,CX129)=1,CX132*INDEX('Lease Cycles'!$EM$15:$ES$15,1,CX129)+CX133*IF(CX130&lt;INDEX('Lease Cycles'!$FA$15:$FG$15,1,CX129),0,1-INDEX('Lease Cycles'!$EM$15:$ES$15,1,CX129)),CX132*IF(CX130&lt;INDEX('Lease Cycles'!$DK$15:$DQ$15,1,CX129),0,IF(CX130=INDEX('Lease Cycles'!$DK$15:$DQ$15,1,CX129),1-INDEX('Lease Cycles'!$DR$15:$DX$15,1,CX129),1))),0)</f>
        <v>2241.8868468965998</v>
      </c>
      <c r="CY135" s="28">
        <f>IF(CY131=1,IF(INDEX('Lease Cycles'!$EF$15:$EL$15,1,CY129)=1,CY132*INDEX('Lease Cycles'!$EM$15:$ES$15,1,CY129)+CY133*IF(CY130&lt;INDEX('Lease Cycles'!$FA$15:$FG$15,1,CY129),0,1-INDEX('Lease Cycles'!$EM$15:$ES$15,1,CY129)),CY132*IF(CY130&lt;INDEX('Lease Cycles'!$DK$15:$DQ$15,1,CY129),0,IF(CY130=INDEX('Lease Cycles'!$DK$15:$DQ$15,1,CY129),1-INDEX('Lease Cycles'!$DR$15:$DX$15,1,CY129),1))),0)</f>
        <v>2241.8868468965998</v>
      </c>
      <c r="CZ135" s="28">
        <f>IF(CZ131=1,IF(INDEX('Lease Cycles'!$EF$15:$EL$15,1,CZ129)=1,CZ132*INDEX('Lease Cycles'!$EM$15:$ES$15,1,CZ129)+CZ133*IF(CZ130&lt;INDEX('Lease Cycles'!$FA$15:$FG$15,1,CZ129),0,1-INDEX('Lease Cycles'!$EM$15:$ES$15,1,CZ129)),CZ132*IF(CZ130&lt;INDEX('Lease Cycles'!$DK$15:$DQ$15,1,CZ129),0,IF(CZ130=INDEX('Lease Cycles'!$DK$15:$DQ$15,1,CZ129),1-INDEX('Lease Cycles'!$DR$15:$DX$15,1,CZ129),1))),0)</f>
        <v>2241.8868468965998</v>
      </c>
      <c r="DA135" s="28">
        <f>IF(DA131=1,IF(INDEX('Lease Cycles'!$EF$15:$EL$15,1,DA129)=1,DA132*INDEX('Lease Cycles'!$EM$15:$ES$15,1,DA129)+DA133*IF(DA130&lt;INDEX('Lease Cycles'!$FA$15:$FG$15,1,DA129),0,1-INDEX('Lease Cycles'!$EM$15:$ES$15,1,DA129)),DA132*IF(DA130&lt;INDEX('Lease Cycles'!$DK$15:$DQ$15,1,DA129),0,IF(DA130=INDEX('Lease Cycles'!$DK$15:$DQ$15,1,DA129),1-INDEX('Lease Cycles'!$DR$15:$DX$15,1,DA129),1))),0)</f>
        <v>2241.8868468965998</v>
      </c>
      <c r="DB135" s="28">
        <f>IF(DB131=1,IF(INDEX('Lease Cycles'!$EF$15:$EL$15,1,DB129)=1,DB132*INDEX('Lease Cycles'!$EM$15:$ES$15,1,DB129)+DB133*IF(DB130&lt;INDEX('Lease Cycles'!$FA$15:$FG$15,1,DB129),0,1-INDEX('Lease Cycles'!$EM$15:$ES$15,1,DB129)),DB132*IF(DB130&lt;INDEX('Lease Cycles'!$DK$15:$DQ$15,1,DB129),0,IF(DB130=INDEX('Lease Cycles'!$DK$15:$DQ$15,1,DB129),1-INDEX('Lease Cycles'!$DR$15:$DX$15,1,DB129),1))),0)</f>
        <v>2241.8868468965998</v>
      </c>
      <c r="DC135" s="28">
        <f>IF(DC131=1,IF(INDEX('Lease Cycles'!$EF$15:$EL$15,1,DC129)=1,DC132*INDEX('Lease Cycles'!$EM$15:$ES$15,1,DC129)+DC133*IF(DC130&lt;INDEX('Lease Cycles'!$FA$15:$FG$15,1,DC129),0,1-INDEX('Lease Cycles'!$EM$15:$ES$15,1,DC129)),DC132*IF(DC130&lt;INDEX('Lease Cycles'!$DK$15:$DQ$15,1,DC129),0,IF(DC130=INDEX('Lease Cycles'!$DK$15:$DQ$15,1,DC129),1-INDEX('Lease Cycles'!$DR$15:$DX$15,1,DC129),1))),0)</f>
        <v>2241.8868468965998</v>
      </c>
      <c r="DD135" s="28">
        <f>IF(DD131=1,IF(INDEX('Lease Cycles'!$EF$15:$EL$15,1,DD129)=1,DD132*INDEX('Lease Cycles'!$EM$15:$ES$15,1,DD129)+DD133*IF(DD130&lt;INDEX('Lease Cycles'!$FA$15:$FG$15,1,DD129),0,1-INDEX('Lease Cycles'!$EM$15:$ES$15,1,DD129)),DD132*IF(DD130&lt;INDEX('Lease Cycles'!$DK$15:$DQ$15,1,DD129),0,IF(DD130=INDEX('Lease Cycles'!$DK$15:$DQ$15,1,DD129),1-INDEX('Lease Cycles'!$DR$15:$DX$15,1,DD129),1))),0)</f>
        <v>2241.8868468965998</v>
      </c>
      <c r="DE135" s="28">
        <f>IF(DE131=1,IF(INDEX('Lease Cycles'!$EF$15:$EL$15,1,DE129)=1,DE132*INDEX('Lease Cycles'!$EM$15:$ES$15,1,DE129)+DE133*IF(DE130&lt;INDEX('Lease Cycles'!$FA$15:$FG$15,1,DE129),0,1-INDEX('Lease Cycles'!$EM$15:$ES$15,1,DE129)),DE132*IF(DE130&lt;INDEX('Lease Cycles'!$DK$15:$DQ$15,1,DE129),0,IF(DE130=INDEX('Lease Cycles'!$DK$15:$DQ$15,1,DE129),1-INDEX('Lease Cycles'!$DR$15:$DX$15,1,DE129),1))),0)</f>
        <v>2309.143452303498</v>
      </c>
      <c r="DF135" s="28">
        <f>IF(DF131=1,IF(INDEX('Lease Cycles'!$EF$15:$EL$15,1,DF129)=1,DF132*INDEX('Lease Cycles'!$EM$15:$ES$15,1,DF129)+DF133*IF(DF130&lt;INDEX('Lease Cycles'!$FA$15:$FG$15,1,DF129),0,1-INDEX('Lease Cycles'!$EM$15:$ES$15,1,DF129)),DF132*IF(DF130&lt;INDEX('Lease Cycles'!$DK$15:$DQ$15,1,DF129),0,IF(DF130=INDEX('Lease Cycles'!$DK$15:$DQ$15,1,DF129),1-INDEX('Lease Cycles'!$DR$15:$DX$15,1,DF129),1))),0)</f>
        <v>2309.143452303498</v>
      </c>
      <c r="DG135" s="28">
        <f>IF(DG131=1,IF(INDEX('Lease Cycles'!$EF$15:$EL$15,1,DG129)=1,DG132*INDEX('Lease Cycles'!$EM$15:$ES$15,1,DG129)+DG133*IF(DG130&lt;INDEX('Lease Cycles'!$FA$15:$FG$15,1,DG129),0,1-INDEX('Lease Cycles'!$EM$15:$ES$15,1,DG129)),DG132*IF(DG130&lt;INDEX('Lease Cycles'!$DK$15:$DQ$15,1,DG129),0,IF(DG130=INDEX('Lease Cycles'!$DK$15:$DQ$15,1,DG129),1-INDEX('Lease Cycles'!$DR$15:$DX$15,1,DG129),1))),0)</f>
        <v>2309.143452303498</v>
      </c>
      <c r="DH135" s="28">
        <f>IF(DH131=1,IF(INDEX('Lease Cycles'!$EF$15:$EL$15,1,DH129)=1,DH132*INDEX('Lease Cycles'!$EM$15:$ES$15,1,DH129)+DH133*IF(DH130&lt;INDEX('Lease Cycles'!$FA$15:$FG$15,1,DH129),0,1-INDEX('Lease Cycles'!$EM$15:$ES$15,1,DH129)),DH132*IF(DH130&lt;INDEX('Lease Cycles'!$DK$15:$DQ$15,1,DH129),0,IF(DH130=INDEX('Lease Cycles'!$DK$15:$DQ$15,1,DH129),1-INDEX('Lease Cycles'!$DR$15:$DX$15,1,DH129),1))),0)</f>
        <v>2309.143452303498</v>
      </c>
      <c r="DI135" s="28">
        <f>IF(DI131=1,IF(INDEX('Lease Cycles'!$EF$15:$EL$15,1,DI129)=1,DI132*INDEX('Lease Cycles'!$EM$15:$ES$15,1,DI129)+DI133*IF(DI130&lt;INDEX('Lease Cycles'!$FA$15:$FG$15,1,DI129),0,1-INDEX('Lease Cycles'!$EM$15:$ES$15,1,DI129)),DI132*IF(DI130&lt;INDEX('Lease Cycles'!$DK$15:$DQ$15,1,DI129),0,IF(DI130=INDEX('Lease Cycles'!$DK$15:$DQ$15,1,DI129),1-INDEX('Lease Cycles'!$DR$15:$DX$15,1,DI129),1))),0)</f>
        <v>2309.143452303498</v>
      </c>
      <c r="DJ135" s="28">
        <f>IF(DJ131=1,IF(INDEX('Lease Cycles'!$EF$15:$EL$15,1,DJ129)=1,DJ132*INDEX('Lease Cycles'!$EM$15:$ES$15,1,DJ129)+DJ133*IF(DJ130&lt;INDEX('Lease Cycles'!$FA$15:$FG$15,1,DJ129),0,1-INDEX('Lease Cycles'!$EM$15:$ES$15,1,DJ129)),DJ132*IF(DJ130&lt;INDEX('Lease Cycles'!$DK$15:$DQ$15,1,DJ129),0,IF(DJ130=INDEX('Lease Cycles'!$DK$15:$DQ$15,1,DJ129),1-INDEX('Lease Cycles'!$DR$15:$DX$15,1,DJ129),1))),0)</f>
        <v>2309.143452303498</v>
      </c>
      <c r="DK135" s="28">
        <f>IF(DK131=1,IF(INDEX('Lease Cycles'!$EF$15:$EL$15,1,DK129)=1,DK132*INDEX('Lease Cycles'!$EM$15:$ES$15,1,DK129)+DK133*IF(DK130&lt;INDEX('Lease Cycles'!$FA$15:$FG$15,1,DK129),0,1-INDEX('Lease Cycles'!$EM$15:$ES$15,1,DK129)),DK132*IF(DK130&lt;INDEX('Lease Cycles'!$DK$15:$DQ$15,1,DK129),0,IF(DK130=INDEX('Lease Cycles'!$DK$15:$DQ$15,1,DK129),1-INDEX('Lease Cycles'!$DR$15:$DX$15,1,DK129),1))),0)</f>
        <v>2309.143452303498</v>
      </c>
      <c r="DL135" s="28">
        <f>IF(DL131=1,IF(INDEX('Lease Cycles'!$EF$15:$EL$15,1,DL129)=1,DL132*INDEX('Lease Cycles'!$EM$15:$ES$15,1,DL129)+DL133*IF(DL130&lt;INDEX('Lease Cycles'!$FA$15:$FG$15,1,DL129),0,1-INDEX('Lease Cycles'!$EM$15:$ES$15,1,DL129)),DL132*IF(DL130&lt;INDEX('Lease Cycles'!$DK$15:$DQ$15,1,DL129),0,IF(DL130=INDEX('Lease Cycles'!$DK$15:$DQ$15,1,DL129),1-INDEX('Lease Cycles'!$DR$15:$DX$15,1,DL129),1))),0)</f>
        <v>2309.143452303498</v>
      </c>
      <c r="DM135" s="28">
        <f>IF(DM131=1,IF(INDEX('Lease Cycles'!$EF$15:$EL$15,1,DM129)=1,DM132*INDEX('Lease Cycles'!$EM$15:$ES$15,1,DM129)+DM133*IF(DM130&lt;INDEX('Lease Cycles'!$FA$15:$FG$15,1,DM129),0,1-INDEX('Lease Cycles'!$EM$15:$ES$15,1,DM129)),DM132*IF(DM130&lt;INDEX('Lease Cycles'!$DK$15:$DQ$15,1,DM129),0,IF(DM130=INDEX('Lease Cycles'!$DK$15:$DQ$15,1,DM129),1-INDEX('Lease Cycles'!$DR$15:$DX$15,1,DM129),1))),0)</f>
        <v>2309.143452303498</v>
      </c>
      <c r="DN135" s="28">
        <f>IF(DN131=1,IF(INDEX('Lease Cycles'!$EF$15:$EL$15,1,DN129)=1,DN132*INDEX('Lease Cycles'!$EM$15:$ES$15,1,DN129)+DN133*IF(DN130&lt;INDEX('Lease Cycles'!$FA$15:$FG$15,1,DN129),0,1-INDEX('Lease Cycles'!$EM$15:$ES$15,1,DN129)),DN132*IF(DN130&lt;INDEX('Lease Cycles'!$DK$15:$DQ$15,1,DN129),0,IF(DN130=INDEX('Lease Cycles'!$DK$15:$DQ$15,1,DN129),1-INDEX('Lease Cycles'!$DR$15:$DX$15,1,DN129),1))),0)</f>
        <v>2309.143452303498</v>
      </c>
      <c r="DO135" s="28">
        <f>IF(DO131=1,IF(INDEX('Lease Cycles'!$EF$15:$EL$15,1,DO129)=1,DO132*INDEX('Lease Cycles'!$EM$15:$ES$15,1,DO129)+DO133*IF(DO130&lt;INDEX('Lease Cycles'!$FA$15:$FG$15,1,DO129),0,1-INDEX('Lease Cycles'!$EM$15:$ES$15,1,DO129)),DO132*IF(DO130&lt;INDEX('Lease Cycles'!$DK$15:$DQ$15,1,DO129),0,IF(DO130=INDEX('Lease Cycles'!$DK$15:$DQ$15,1,DO129),1-INDEX('Lease Cycles'!$DR$15:$DX$15,1,DO129),1))),0)</f>
        <v>2309.143452303498</v>
      </c>
      <c r="DP135" s="28">
        <f>IF(DP131=1,IF(INDEX('Lease Cycles'!$EF$15:$EL$15,1,DP129)=1,DP132*INDEX('Lease Cycles'!$EM$15:$ES$15,1,DP129)+DP133*IF(DP130&lt;INDEX('Lease Cycles'!$FA$15:$FG$15,1,DP129),0,1-INDEX('Lease Cycles'!$EM$15:$ES$15,1,DP129)),DP132*IF(DP130&lt;INDEX('Lease Cycles'!$DK$15:$DQ$15,1,DP129),0,IF(DP130=INDEX('Lease Cycles'!$DK$15:$DQ$15,1,DP129),1-INDEX('Lease Cycles'!$DR$15:$DX$15,1,DP129),1))),0)</f>
        <v>2309.143452303498</v>
      </c>
      <c r="DQ135" s="28">
        <f>IF(DQ131=1,IF(INDEX('Lease Cycles'!$EF$15:$EL$15,1,DQ129)=1,DQ132*INDEX('Lease Cycles'!$EM$15:$ES$15,1,DQ129)+DQ133*IF(DQ130&lt;INDEX('Lease Cycles'!$FA$15:$FG$15,1,DQ129),0,1-INDEX('Lease Cycles'!$EM$15:$ES$15,1,DQ129)),DQ132*IF(DQ130&lt;INDEX('Lease Cycles'!$DK$15:$DQ$15,1,DQ129),0,IF(DQ130=INDEX('Lease Cycles'!$DK$15:$DQ$15,1,DQ129),1-INDEX('Lease Cycles'!$DR$15:$DX$15,1,DQ129),1))),0)</f>
        <v>2378.417755872603</v>
      </c>
      <c r="DR135" s="28">
        <f>IF(DR131=1,IF(INDEX('Lease Cycles'!$EF$15:$EL$15,1,DR129)=1,DR132*INDEX('Lease Cycles'!$EM$15:$ES$15,1,DR129)+DR133*IF(DR130&lt;INDEX('Lease Cycles'!$FA$15:$FG$15,1,DR129),0,1-INDEX('Lease Cycles'!$EM$15:$ES$15,1,DR129)),DR132*IF(DR130&lt;INDEX('Lease Cycles'!$DK$15:$DQ$15,1,DR129),0,IF(DR130=INDEX('Lease Cycles'!$DK$15:$DQ$15,1,DR129),1-INDEX('Lease Cycles'!$DR$15:$DX$15,1,DR129),1))),0)</f>
        <v>2378.417755872603</v>
      </c>
      <c r="DS135" s="28">
        <f>IF(DS131=1,IF(INDEX('Lease Cycles'!$EF$15:$EL$15,1,DS129)=1,DS132*INDEX('Lease Cycles'!$EM$15:$ES$15,1,DS129)+DS133*IF(DS130&lt;INDEX('Lease Cycles'!$FA$15:$FG$15,1,DS129),0,1-INDEX('Lease Cycles'!$EM$15:$ES$15,1,DS129)),DS132*IF(DS130&lt;INDEX('Lease Cycles'!$DK$15:$DQ$15,1,DS129),0,IF(DS130=INDEX('Lease Cycles'!$DK$15:$DQ$15,1,DS129),1-INDEX('Lease Cycles'!$DR$15:$DX$15,1,DS129),1))),0)</f>
        <v>2378.417755872603</v>
      </c>
      <c r="DT135" s="28">
        <f>IF(DT131=1,IF(INDEX('Lease Cycles'!$EF$15:$EL$15,1,DT129)=1,DT132*INDEX('Lease Cycles'!$EM$15:$ES$15,1,DT129)+DT133*IF(DT130&lt;INDEX('Lease Cycles'!$FA$15:$FG$15,1,DT129),0,1-INDEX('Lease Cycles'!$EM$15:$ES$15,1,DT129)),DT132*IF(DT130&lt;INDEX('Lease Cycles'!$DK$15:$DQ$15,1,DT129),0,IF(DT130=INDEX('Lease Cycles'!$DK$15:$DQ$15,1,DT129),1-INDEX('Lease Cycles'!$DR$15:$DX$15,1,DT129),1))),0)</f>
        <v>2378.417755872603</v>
      </c>
      <c r="DU135" s="28">
        <f>IF(DU131=1,IF(INDEX('Lease Cycles'!$EF$15:$EL$15,1,DU129)=1,DU132*INDEX('Lease Cycles'!$EM$15:$ES$15,1,DU129)+DU133*IF(DU130&lt;INDEX('Lease Cycles'!$FA$15:$FG$15,1,DU129),0,1-INDEX('Lease Cycles'!$EM$15:$ES$15,1,DU129)),DU132*IF(DU130&lt;INDEX('Lease Cycles'!$DK$15:$DQ$15,1,DU129),0,IF(DU130=INDEX('Lease Cycles'!$DK$15:$DQ$15,1,DU129),1-INDEX('Lease Cycles'!$DR$15:$DX$15,1,DU129),1))),0)</f>
        <v>2378.417755872603</v>
      </c>
      <c r="DV135" s="28">
        <f>IF(DV131=1,IF(INDEX('Lease Cycles'!$EF$15:$EL$15,1,DV129)=1,DV132*INDEX('Lease Cycles'!$EM$15:$ES$15,1,DV129)+DV133*IF(DV130&lt;INDEX('Lease Cycles'!$FA$15:$FG$15,1,DV129),0,1-INDEX('Lease Cycles'!$EM$15:$ES$15,1,DV129)),DV132*IF(DV130&lt;INDEX('Lease Cycles'!$DK$15:$DQ$15,1,DV129),0,IF(DV130=INDEX('Lease Cycles'!$DK$15:$DQ$15,1,DV129),1-INDEX('Lease Cycles'!$DR$15:$DX$15,1,DV129),1))),0)</f>
        <v>2378.417755872603</v>
      </c>
      <c r="DW135" s="28">
        <f>IF(DW131=1,IF(INDEX('Lease Cycles'!$EF$15:$EL$15,1,DW129)=1,DW132*INDEX('Lease Cycles'!$EM$15:$ES$15,1,DW129)+DW133*IF(DW130&lt;INDEX('Lease Cycles'!$FA$15:$FG$15,1,DW129),0,1-INDEX('Lease Cycles'!$EM$15:$ES$15,1,DW129)),DW132*IF(DW130&lt;INDEX('Lease Cycles'!$DK$15:$DQ$15,1,DW129),0,IF(DW130=INDEX('Lease Cycles'!$DK$15:$DQ$15,1,DW129),1-INDEX('Lease Cycles'!$DR$15:$DX$15,1,DW129),1))),0)</f>
        <v>2378.417755872603</v>
      </c>
      <c r="DX135" s="28">
        <f>IF(DX131=1,IF(INDEX('Lease Cycles'!$EF$15:$EL$15,1,DX129)=1,DX132*INDEX('Lease Cycles'!$EM$15:$ES$15,1,DX129)+DX133*IF(DX130&lt;INDEX('Lease Cycles'!$FA$15:$FG$15,1,DX129),0,1-INDEX('Lease Cycles'!$EM$15:$ES$15,1,DX129)),DX132*IF(DX130&lt;INDEX('Lease Cycles'!$DK$15:$DQ$15,1,DX129),0,IF(DX130=INDEX('Lease Cycles'!$DK$15:$DQ$15,1,DX129),1-INDEX('Lease Cycles'!$DR$15:$DX$15,1,DX129),1))),0)</f>
        <v>2378.417755872603</v>
      </c>
      <c r="DY135" s="28">
        <f>IF(DY131=1,IF(INDEX('Lease Cycles'!$EF$15:$EL$15,1,DY129)=1,DY132*INDEX('Lease Cycles'!$EM$15:$ES$15,1,DY129)+DY133*IF(DY130&lt;INDEX('Lease Cycles'!$FA$15:$FG$15,1,DY129),0,1-INDEX('Lease Cycles'!$EM$15:$ES$15,1,DY129)),DY132*IF(DY130&lt;INDEX('Lease Cycles'!$DK$15:$DQ$15,1,DY129),0,IF(DY130=INDEX('Lease Cycles'!$DK$15:$DQ$15,1,DY129),1-INDEX('Lease Cycles'!$DR$15:$DX$15,1,DY129),1))),0)</f>
        <v>2378.417755872603</v>
      </c>
      <c r="DZ135" s="28">
        <f>IF(DZ131=1,IF(INDEX('Lease Cycles'!$EF$15:$EL$15,1,DZ129)=1,DZ132*INDEX('Lease Cycles'!$EM$15:$ES$15,1,DZ129)+DZ133*IF(DZ130&lt;INDEX('Lease Cycles'!$FA$15:$FG$15,1,DZ129),0,1-INDEX('Lease Cycles'!$EM$15:$ES$15,1,DZ129)),DZ132*IF(DZ130&lt;INDEX('Lease Cycles'!$DK$15:$DQ$15,1,DZ129),0,IF(DZ130=INDEX('Lease Cycles'!$DK$15:$DQ$15,1,DZ129),1-INDEX('Lease Cycles'!$DR$15:$DX$15,1,DZ129),1))),0)</f>
        <v>2378.417755872603</v>
      </c>
      <c r="EA135" s="28">
        <f>IF(EA131=1,IF(INDEX('Lease Cycles'!$EF$15:$EL$15,1,EA129)=1,EA132*INDEX('Lease Cycles'!$EM$15:$ES$15,1,EA129)+EA133*IF(EA130&lt;INDEX('Lease Cycles'!$FA$15:$FG$15,1,EA129),0,1-INDEX('Lease Cycles'!$EM$15:$ES$15,1,EA129)),EA132*IF(EA130&lt;INDEX('Lease Cycles'!$DK$15:$DQ$15,1,EA129),0,IF(EA130=INDEX('Lease Cycles'!$DK$15:$DQ$15,1,EA129),1-INDEX('Lease Cycles'!$DR$15:$DX$15,1,EA129),1))),0)</f>
        <v>2378.417755872603</v>
      </c>
      <c r="EB135" s="28">
        <f>IF(EB131=1,IF(INDEX('Lease Cycles'!$EF$15:$EL$15,1,EB129)=1,EB132*INDEX('Lease Cycles'!$EM$15:$ES$15,1,EB129)+EB133*IF(EB130&lt;INDEX('Lease Cycles'!$FA$15:$FG$15,1,EB129),0,1-INDEX('Lease Cycles'!$EM$15:$ES$15,1,EB129)),EB132*IF(EB130&lt;INDEX('Lease Cycles'!$DK$15:$DQ$15,1,EB129),0,IF(EB130=INDEX('Lease Cycles'!$DK$15:$DQ$15,1,EB129),1-INDEX('Lease Cycles'!$DR$15:$DX$15,1,EB129),1))),0)</f>
        <v>2378.417755872603</v>
      </c>
      <c r="EC135" s="28">
        <f>IF(EC131=1,IF(INDEX('Lease Cycles'!$EF$15:$EL$15,1,EC129)=1,EC132*INDEX('Lease Cycles'!$EM$15:$ES$15,1,EC129)+EC133*IF(EC130&lt;INDEX('Lease Cycles'!$FA$15:$FG$15,1,EC129),0,1-INDEX('Lease Cycles'!$EM$15:$ES$15,1,EC129)),EC132*IF(EC130&lt;INDEX('Lease Cycles'!$DK$15:$DQ$15,1,EC129),0,IF(EC130=INDEX('Lease Cycles'!$DK$15:$DQ$15,1,EC129),1-INDEX('Lease Cycles'!$DR$15:$DX$15,1,EC129),1))),0)</f>
        <v>2449.770288548781</v>
      </c>
      <c r="ED135" s="28">
        <f>IF(ED131=1,IF(INDEX('Lease Cycles'!$EF$15:$EL$15,1,ED129)=1,ED132*INDEX('Lease Cycles'!$EM$15:$ES$15,1,ED129)+ED133*IF(ED130&lt;INDEX('Lease Cycles'!$FA$15:$FG$15,1,ED129),0,1-INDEX('Lease Cycles'!$EM$15:$ES$15,1,ED129)),ED132*IF(ED130&lt;INDEX('Lease Cycles'!$DK$15:$DQ$15,1,ED129),0,IF(ED130=INDEX('Lease Cycles'!$DK$15:$DQ$15,1,ED129),1-INDEX('Lease Cycles'!$DR$15:$DX$15,1,ED129),1))),0)</f>
        <v>2449.770288548781</v>
      </c>
      <c r="EE135" s="28">
        <f>IF(EE131=1,IF(INDEX('Lease Cycles'!$EF$15:$EL$15,1,EE129)=1,EE132*INDEX('Lease Cycles'!$EM$15:$ES$15,1,EE129)+EE133*IF(EE130&lt;INDEX('Lease Cycles'!$FA$15:$FG$15,1,EE129),0,1-INDEX('Lease Cycles'!$EM$15:$ES$15,1,EE129)),EE132*IF(EE130&lt;INDEX('Lease Cycles'!$DK$15:$DQ$15,1,EE129),0,IF(EE130=INDEX('Lease Cycles'!$DK$15:$DQ$15,1,EE129),1-INDEX('Lease Cycles'!$DR$15:$DX$15,1,EE129),1))),0)</f>
        <v>2449.770288548781</v>
      </c>
      <c r="EF135" s="28">
        <f>IF(EF131=1,IF(INDEX('Lease Cycles'!$EF$15:$EL$15,1,EF129)=1,EF132*INDEX('Lease Cycles'!$EM$15:$ES$15,1,EF129)+EF133*IF(EF130&lt;INDEX('Lease Cycles'!$FA$15:$FG$15,1,EF129),0,1-INDEX('Lease Cycles'!$EM$15:$ES$15,1,EF129)),EF132*IF(EF130&lt;INDEX('Lease Cycles'!$DK$15:$DQ$15,1,EF129),0,IF(EF130=INDEX('Lease Cycles'!$DK$15:$DQ$15,1,EF129),1-INDEX('Lease Cycles'!$DR$15:$DX$15,1,EF129),1))),0)</f>
        <v>2449.770288548781</v>
      </c>
      <c r="EG135" s="28">
        <f>IF(EG131=1,IF(INDEX('Lease Cycles'!$EF$15:$EL$15,1,EG129)=1,EG132*INDEX('Lease Cycles'!$EM$15:$ES$15,1,EG129)+EG133*IF(EG130&lt;INDEX('Lease Cycles'!$FA$15:$FG$15,1,EG129),0,1-INDEX('Lease Cycles'!$EM$15:$ES$15,1,EG129)),EG132*IF(EG130&lt;INDEX('Lease Cycles'!$DK$15:$DQ$15,1,EG129),0,IF(EG130=INDEX('Lease Cycles'!$DK$15:$DQ$15,1,EG129),1-INDEX('Lease Cycles'!$DR$15:$DX$15,1,EG129),1))),0)</f>
        <v>2449.770288548781</v>
      </c>
      <c r="EH135" s="28">
        <f>IF(EH131=1,IF(INDEX('Lease Cycles'!$EF$15:$EL$15,1,EH129)=1,EH132*INDEX('Lease Cycles'!$EM$15:$ES$15,1,EH129)+EH133*IF(EH130&lt;INDEX('Lease Cycles'!$FA$15:$FG$15,1,EH129),0,1-INDEX('Lease Cycles'!$EM$15:$ES$15,1,EH129)),EH132*IF(EH130&lt;INDEX('Lease Cycles'!$DK$15:$DQ$15,1,EH129),0,IF(EH130=INDEX('Lease Cycles'!$DK$15:$DQ$15,1,EH129),1-INDEX('Lease Cycles'!$DR$15:$DX$15,1,EH129),1))),0)</f>
        <v>2449.770288548781</v>
      </c>
      <c r="EI135" s="28">
        <f>IF(EI131=1,IF(INDEX('Lease Cycles'!$EF$15:$EL$15,1,EI129)=1,EI132*INDEX('Lease Cycles'!$EM$15:$ES$15,1,EI129)+EI133*IF(EI130&lt;INDEX('Lease Cycles'!$FA$15:$FG$15,1,EI129),0,1-INDEX('Lease Cycles'!$EM$15:$ES$15,1,EI129)),EI132*IF(EI130&lt;INDEX('Lease Cycles'!$DK$15:$DQ$15,1,EI129),0,IF(EI130=INDEX('Lease Cycles'!$DK$15:$DQ$15,1,EI129),1-INDEX('Lease Cycles'!$DR$15:$DX$15,1,EI129),1))),0)</f>
        <v>2449.770288548781</v>
      </c>
      <c r="EJ135" s="28">
        <f>IF(EJ131=1,IF(INDEX('Lease Cycles'!$EF$15:$EL$15,1,EJ129)=1,EJ132*INDEX('Lease Cycles'!$EM$15:$ES$15,1,EJ129)+EJ133*IF(EJ130&lt;INDEX('Lease Cycles'!$FA$15:$FG$15,1,EJ129),0,1-INDEX('Lease Cycles'!$EM$15:$ES$15,1,EJ129)),EJ132*IF(EJ130&lt;INDEX('Lease Cycles'!$DK$15:$DQ$15,1,EJ129),0,IF(EJ130=INDEX('Lease Cycles'!$DK$15:$DQ$15,1,EJ129),1-INDEX('Lease Cycles'!$DR$15:$DX$15,1,EJ129),1))),0)</f>
        <v>2449.770288548781</v>
      </c>
      <c r="EK135" s="28">
        <f>IF(EK131=1,IF(INDEX('Lease Cycles'!$EF$15:$EL$15,1,EK129)=1,EK132*INDEX('Lease Cycles'!$EM$15:$ES$15,1,EK129)+EK133*IF(EK130&lt;INDEX('Lease Cycles'!$FA$15:$FG$15,1,EK129),0,1-INDEX('Lease Cycles'!$EM$15:$ES$15,1,EK129)),EK132*IF(EK130&lt;INDEX('Lease Cycles'!$DK$15:$DQ$15,1,EK129),0,IF(EK130=INDEX('Lease Cycles'!$DK$15:$DQ$15,1,EK129),1-INDEX('Lease Cycles'!$DR$15:$DX$15,1,EK129),1))),0)</f>
        <v>2449.770288548781</v>
      </c>
      <c r="EL135" s="28">
        <f>IF(EL131=1,IF(INDEX('Lease Cycles'!$EF$15:$EL$15,1,EL129)=1,EL132*INDEX('Lease Cycles'!$EM$15:$ES$15,1,EL129)+EL133*IF(EL130&lt;INDEX('Lease Cycles'!$FA$15:$FG$15,1,EL129),0,1-INDEX('Lease Cycles'!$EM$15:$ES$15,1,EL129)),EL132*IF(EL130&lt;INDEX('Lease Cycles'!$DK$15:$DQ$15,1,EL129),0,IF(EL130=INDEX('Lease Cycles'!$DK$15:$DQ$15,1,EL129),1-INDEX('Lease Cycles'!$DR$15:$DX$15,1,EL129),1))),0)</f>
        <v>2449.770288548781</v>
      </c>
      <c r="EM135" s="28">
        <f>IF(EM131=1,IF(INDEX('Lease Cycles'!$EF$15:$EL$15,1,EM129)=1,EM132*INDEX('Lease Cycles'!$EM$15:$ES$15,1,EM129)+EM133*IF(EM130&lt;INDEX('Lease Cycles'!$FA$15:$FG$15,1,EM129),0,1-INDEX('Lease Cycles'!$EM$15:$ES$15,1,EM129)),EM132*IF(EM130&lt;INDEX('Lease Cycles'!$DK$15:$DQ$15,1,EM129),0,IF(EM130=INDEX('Lease Cycles'!$DK$15:$DQ$15,1,EM129),1-INDEX('Lease Cycles'!$DR$15:$DX$15,1,EM129),1))),0)</f>
        <v>2449.770288548781</v>
      </c>
      <c r="EN135" s="28">
        <f>IF(EN131=1,IF(INDEX('Lease Cycles'!$EF$15:$EL$15,1,EN129)=1,EN132*INDEX('Lease Cycles'!$EM$15:$ES$15,1,EN129)+EN133*IF(EN130&lt;INDEX('Lease Cycles'!$FA$15:$FG$15,1,EN129),0,1-INDEX('Lease Cycles'!$EM$15:$ES$15,1,EN129)),EN132*IF(EN130&lt;INDEX('Lease Cycles'!$DK$15:$DQ$15,1,EN129),0,IF(EN130=INDEX('Lease Cycles'!$DK$15:$DQ$15,1,EN129),1-INDEX('Lease Cycles'!$DR$15:$DX$15,1,EN129),1))),0)</f>
        <v>2449.770288548781</v>
      </c>
      <c r="EO135" s="28">
        <f>IF(EO131=1,IF(INDEX('Lease Cycles'!$EF$15:$EL$15,1,EO129)=1,EO132*INDEX('Lease Cycles'!$EM$15:$ES$15,1,EO129)+EO133*IF(EO130&lt;INDEX('Lease Cycles'!$FA$15:$FG$15,1,EO129),0,1-INDEX('Lease Cycles'!$EM$15:$ES$15,1,EO129)),EO132*IF(EO130&lt;INDEX('Lease Cycles'!$DK$15:$DQ$15,1,EO129),0,IF(EO130=INDEX('Lease Cycles'!$DK$15:$DQ$15,1,EO129),1-INDEX('Lease Cycles'!$DR$15:$DX$15,1,EO129),1))),0)</f>
        <v>2523.263397205245</v>
      </c>
      <c r="EP135" s="28">
        <f>IF(EP131=1,IF(INDEX('Lease Cycles'!$EF$15:$EL$15,1,EP129)=1,EP132*INDEX('Lease Cycles'!$EM$15:$ES$15,1,EP129)+EP133*IF(EP130&lt;INDEX('Lease Cycles'!$FA$15:$FG$15,1,EP129),0,1-INDEX('Lease Cycles'!$EM$15:$ES$15,1,EP129)),EP132*IF(EP130&lt;INDEX('Lease Cycles'!$DK$15:$DQ$15,1,EP129),0,IF(EP130=INDEX('Lease Cycles'!$DK$15:$DQ$15,1,EP129),1-INDEX('Lease Cycles'!$DR$15:$DX$15,1,EP129),1))),0)</f>
        <v>2523.263397205245</v>
      </c>
      <c r="EQ135" s="28">
        <f>IF(EQ131=1,IF(INDEX('Lease Cycles'!$EF$15:$EL$15,1,EQ129)=1,EQ132*INDEX('Lease Cycles'!$EM$15:$ES$15,1,EQ129)+EQ133*IF(EQ130&lt;INDEX('Lease Cycles'!$FA$15:$FG$15,1,EQ129),0,1-INDEX('Lease Cycles'!$EM$15:$ES$15,1,EQ129)),EQ132*IF(EQ130&lt;INDEX('Lease Cycles'!$DK$15:$DQ$15,1,EQ129),0,IF(EQ130=INDEX('Lease Cycles'!$DK$15:$DQ$15,1,EQ129),1-INDEX('Lease Cycles'!$DR$15:$DX$15,1,EQ129),1))),0)</f>
        <v>2523.263397205245</v>
      </c>
      <c r="ER135" s="28">
        <f>IF(ER131=1,IF(INDEX('Lease Cycles'!$EF$15:$EL$15,1,ER129)=1,ER132*INDEX('Lease Cycles'!$EM$15:$ES$15,1,ER129)+ER133*IF(ER130&lt;INDEX('Lease Cycles'!$FA$15:$FG$15,1,ER129),0,1-INDEX('Lease Cycles'!$EM$15:$ES$15,1,ER129)),ER132*IF(ER130&lt;INDEX('Lease Cycles'!$DK$15:$DQ$15,1,ER129),0,IF(ER130=INDEX('Lease Cycles'!$DK$15:$DQ$15,1,ER129),1-INDEX('Lease Cycles'!$DR$15:$DX$15,1,ER129),1))),0)</f>
        <v>0</v>
      </c>
      <c r="ES135" s="28">
        <f>IF(ES131=1,IF(INDEX('Lease Cycles'!$EF$15:$EL$15,1,ES129)=1,ES132*INDEX('Lease Cycles'!$EM$15:$ES$15,1,ES129)+ES133*IF(ES130&lt;INDEX('Lease Cycles'!$FA$15:$FG$15,1,ES129),0,1-INDEX('Lease Cycles'!$EM$15:$ES$15,1,ES129)),ES132*IF(ES130&lt;INDEX('Lease Cycles'!$DK$15:$DQ$15,1,ES129),0,IF(ES130=INDEX('Lease Cycles'!$DK$15:$DQ$15,1,ES129),1-INDEX('Lease Cycles'!$DR$15:$DX$15,1,ES129),1))),0)</f>
        <v>509.6495655952359</v>
      </c>
      <c r="ET135" s="28">
        <f>IF(ET131=1,IF(INDEX('Lease Cycles'!$EF$15:$EL$15,1,ET129)=1,ET132*INDEX('Lease Cycles'!$EM$15:$ES$15,1,ET129)+ET133*IF(ET130&lt;INDEX('Lease Cycles'!$FA$15:$FG$15,1,ET129),0,1-INDEX('Lease Cycles'!$EM$15:$ES$15,1,ET129)),ET132*IF(ET130&lt;INDEX('Lease Cycles'!$DK$15:$DQ$15,1,ET129),0,IF(ET130=INDEX('Lease Cycles'!$DK$15:$DQ$15,1,ET129),1-INDEX('Lease Cycles'!$DR$15:$DX$15,1,ET129),1))),0)</f>
        <v>2548.247827976033</v>
      </c>
    </row>
    <row r="136">
      <c r="A136" s="103">
        <v>8</v>
      </c>
      <c r="B136" s="23" t="str">
        <f>IF('Lease Cycles'!$B$15="","(empty slot)",'Lease Cycles'!$B$15)</f>
        <v>Sunfield Bagels</v>
      </c>
      <c r="C136" s="23" t="s">
        <v>493</v>
      </c>
      <c r="D136" s="104" t="s">
        <v>494</v>
      </c>
      <c r="E136" s="25">
        <f>'Lease Cycles'!$AL$15</f>
        <v>0</v>
      </c>
      <c r="G136" s="28">
        <f>SUM(S136:AD136)</f>
        <v>0</v>
      </c>
      <c r="H136" s="28">
        <f>SUM(AE136:AP136)</f>
        <v>0</v>
      </c>
      <c r="I136" s="28">
        <f>SUM(AQ136:BB136)</f>
        <v>0</v>
      </c>
      <c r="J136" s="28">
        <f>SUM(BC136:BN136)</f>
        <v>1230.986429490586</v>
      </c>
      <c r="K136" s="28">
        <f>SUM(BO136:BZ136)</f>
        <v>0</v>
      </c>
      <c r="L136" s="28">
        <f>SUM(CA136:CL136)</f>
        <v>0</v>
      </c>
      <c r="M136" s="28">
        <f>SUM(CM136:CX136)</f>
        <v>0</v>
      </c>
      <c r="N136" s="28">
        <f>SUM(CY136:DJ136)</f>
        <v>0</v>
      </c>
      <c r="O136" s="28">
        <f>SUM(DK136:DV136)</f>
        <v>0</v>
      </c>
      <c r="P136" s="28">
        <f>SUM(DW136:EH136)</f>
        <v>0</v>
      </c>
      <c r="Q136" s="28">
        <f>SUM(EI136:ET136)</f>
        <v>1528.9486967856194</v>
      </c>
      <c r="S136" s="28">
        <f>IF(S131=1,IF(INDEX('Lease Cycles'!$EF$15:$EL$15,1,S129)=1,0,S132*(1-IF(S130&lt;INDEX('Lease Cycles'!$DK$15:$DQ$15,1,S129),0,IF(S130=INDEX('Lease Cycles'!$DK$15:$DQ$15,1,S129),1-INDEX('Lease Cycles'!$DR$15:$DX$15,1,S129),1))-IF(S130=0,INDEX('Lease Cycles'!$DD$15:$DJ$15,1,S129),0))),0)</f>
        <v>0</v>
      </c>
      <c r="T136" s="28">
        <f>IF(T131=1,IF(INDEX('Lease Cycles'!$EF$15:$EL$15,1,T129)=1,0,T132*(1-IF(T130&lt;INDEX('Lease Cycles'!$DK$15:$DQ$15,1,T129),0,IF(T130=INDEX('Lease Cycles'!$DK$15:$DQ$15,1,T129),1-INDEX('Lease Cycles'!$DR$15:$DX$15,1,T129),1))-IF(T130=0,INDEX('Lease Cycles'!$DD$15:$DJ$15,1,T129),0))),0)</f>
        <v>0</v>
      </c>
      <c r="U136" s="28">
        <f>IF(U131=1,IF(INDEX('Lease Cycles'!$EF$15:$EL$15,1,U129)=1,0,U132*(1-IF(U130&lt;INDEX('Lease Cycles'!$DK$15:$DQ$15,1,U129),0,IF(U130=INDEX('Lease Cycles'!$DK$15:$DQ$15,1,U129),1-INDEX('Lease Cycles'!$DR$15:$DX$15,1,U129),1))-IF(U130=0,INDEX('Lease Cycles'!$DD$15:$DJ$15,1,U129),0))),0)</f>
        <v>0</v>
      </c>
      <c r="V136" s="28">
        <f>IF(V131=1,IF(INDEX('Lease Cycles'!$EF$15:$EL$15,1,V129)=1,0,V132*(1-IF(V130&lt;INDEX('Lease Cycles'!$DK$15:$DQ$15,1,V129),0,IF(V130=INDEX('Lease Cycles'!$DK$15:$DQ$15,1,V129),1-INDEX('Lease Cycles'!$DR$15:$DX$15,1,V129),1))-IF(V130=0,INDEX('Lease Cycles'!$DD$15:$DJ$15,1,V129),0))),0)</f>
        <v>0</v>
      </c>
      <c r="W136" s="28">
        <f>IF(W131=1,IF(INDEX('Lease Cycles'!$EF$15:$EL$15,1,W129)=1,0,W132*(1-IF(W130&lt;INDEX('Lease Cycles'!$DK$15:$DQ$15,1,W129),0,IF(W130=INDEX('Lease Cycles'!$DK$15:$DQ$15,1,W129),1-INDEX('Lease Cycles'!$DR$15:$DX$15,1,W129),1))-IF(W130=0,INDEX('Lease Cycles'!$DD$15:$DJ$15,1,W129),0))),0)</f>
        <v>0</v>
      </c>
      <c r="X136" s="28">
        <f>IF(X131=1,IF(INDEX('Lease Cycles'!$EF$15:$EL$15,1,X129)=1,0,X132*(1-IF(X130&lt;INDEX('Lease Cycles'!$DK$15:$DQ$15,1,X129),0,IF(X130=INDEX('Lease Cycles'!$DK$15:$DQ$15,1,X129),1-INDEX('Lease Cycles'!$DR$15:$DX$15,1,X129),1))-IF(X130=0,INDEX('Lease Cycles'!$DD$15:$DJ$15,1,X129),0))),0)</f>
        <v>0</v>
      </c>
      <c r="Y136" s="28">
        <f>IF(Y131=1,IF(INDEX('Lease Cycles'!$EF$15:$EL$15,1,Y129)=1,0,Y132*(1-IF(Y130&lt;INDEX('Lease Cycles'!$DK$15:$DQ$15,1,Y129),0,IF(Y130=INDEX('Lease Cycles'!$DK$15:$DQ$15,1,Y129),1-INDEX('Lease Cycles'!$DR$15:$DX$15,1,Y129),1))-IF(Y130=0,INDEX('Lease Cycles'!$DD$15:$DJ$15,1,Y129),0))),0)</f>
        <v>0</v>
      </c>
      <c r="Z136" s="28">
        <f>IF(Z131=1,IF(INDEX('Lease Cycles'!$EF$15:$EL$15,1,Z129)=1,0,Z132*(1-IF(Z130&lt;INDEX('Lease Cycles'!$DK$15:$DQ$15,1,Z129),0,IF(Z130=INDEX('Lease Cycles'!$DK$15:$DQ$15,1,Z129),1-INDEX('Lease Cycles'!$DR$15:$DX$15,1,Z129),1))-IF(Z130=0,INDEX('Lease Cycles'!$DD$15:$DJ$15,1,Z129),0))),0)</f>
        <v>0</v>
      </c>
      <c r="AA136" s="28">
        <f>IF(AA131=1,IF(INDEX('Lease Cycles'!$EF$15:$EL$15,1,AA129)=1,0,AA132*(1-IF(AA130&lt;INDEX('Lease Cycles'!$DK$15:$DQ$15,1,AA129),0,IF(AA130=INDEX('Lease Cycles'!$DK$15:$DQ$15,1,AA129),1-INDEX('Lease Cycles'!$DR$15:$DX$15,1,AA129),1))-IF(AA130=0,INDEX('Lease Cycles'!$DD$15:$DJ$15,1,AA129),0))),0)</f>
        <v>0</v>
      </c>
      <c r="AB136" s="28">
        <f>IF(AB131=1,IF(INDEX('Lease Cycles'!$EF$15:$EL$15,1,AB129)=1,0,AB132*(1-IF(AB130&lt;INDEX('Lease Cycles'!$DK$15:$DQ$15,1,AB129),0,IF(AB130=INDEX('Lease Cycles'!$DK$15:$DQ$15,1,AB129),1-INDEX('Lease Cycles'!$DR$15:$DX$15,1,AB129),1))-IF(AB130=0,INDEX('Lease Cycles'!$DD$15:$DJ$15,1,AB129),0))),0)</f>
        <v>0</v>
      </c>
      <c r="AC136" s="28">
        <f>IF(AC131=1,IF(INDEX('Lease Cycles'!$EF$15:$EL$15,1,AC129)=1,0,AC132*(1-IF(AC130&lt;INDEX('Lease Cycles'!$DK$15:$DQ$15,1,AC129),0,IF(AC130=INDEX('Lease Cycles'!$DK$15:$DQ$15,1,AC129),1-INDEX('Lease Cycles'!$DR$15:$DX$15,1,AC129),1))-IF(AC130=0,INDEX('Lease Cycles'!$DD$15:$DJ$15,1,AC129),0))),0)</f>
        <v>0</v>
      </c>
      <c r="AD136" s="28">
        <f>IF(AD131=1,IF(INDEX('Lease Cycles'!$EF$15:$EL$15,1,AD129)=1,0,AD132*(1-IF(AD130&lt;INDEX('Lease Cycles'!$DK$15:$DQ$15,1,AD129),0,IF(AD130=INDEX('Lease Cycles'!$DK$15:$DQ$15,1,AD129),1-INDEX('Lease Cycles'!$DR$15:$DX$15,1,AD129),1))-IF(AD130=0,INDEX('Lease Cycles'!$DD$15:$DJ$15,1,AD129),0))),0)</f>
        <v>0</v>
      </c>
      <c r="AE136" s="28">
        <f>IF(AE131=1,IF(INDEX('Lease Cycles'!$EF$15:$EL$15,1,AE129)=1,0,AE132*(1-IF(AE130&lt;INDEX('Lease Cycles'!$DK$15:$DQ$15,1,AE129),0,IF(AE130=INDEX('Lease Cycles'!$DK$15:$DQ$15,1,AE129),1-INDEX('Lease Cycles'!$DR$15:$DX$15,1,AE129),1))-IF(AE130=0,INDEX('Lease Cycles'!$DD$15:$DJ$15,1,AE129),0))),0)</f>
        <v>0</v>
      </c>
      <c r="AF136" s="28">
        <f>IF(AF131=1,IF(INDEX('Lease Cycles'!$EF$15:$EL$15,1,AF129)=1,0,AF132*(1-IF(AF130&lt;INDEX('Lease Cycles'!$DK$15:$DQ$15,1,AF129),0,IF(AF130=INDEX('Lease Cycles'!$DK$15:$DQ$15,1,AF129),1-INDEX('Lease Cycles'!$DR$15:$DX$15,1,AF129),1))-IF(AF130=0,INDEX('Lease Cycles'!$DD$15:$DJ$15,1,AF129),0))),0)</f>
        <v>0</v>
      </c>
      <c r="AG136" s="28">
        <f>IF(AG131=1,IF(INDEX('Lease Cycles'!$EF$15:$EL$15,1,AG129)=1,0,AG132*(1-IF(AG130&lt;INDEX('Lease Cycles'!$DK$15:$DQ$15,1,AG129),0,IF(AG130=INDEX('Lease Cycles'!$DK$15:$DQ$15,1,AG129),1-INDEX('Lease Cycles'!$DR$15:$DX$15,1,AG129),1))-IF(AG130=0,INDEX('Lease Cycles'!$DD$15:$DJ$15,1,AG129),0))),0)</f>
        <v>0</v>
      </c>
      <c r="AH136" s="28">
        <f>IF(AH131=1,IF(INDEX('Lease Cycles'!$EF$15:$EL$15,1,AH129)=1,0,AH132*(1-IF(AH130&lt;INDEX('Lease Cycles'!$DK$15:$DQ$15,1,AH129),0,IF(AH130=INDEX('Lease Cycles'!$DK$15:$DQ$15,1,AH129),1-INDEX('Lease Cycles'!$DR$15:$DX$15,1,AH129),1))-IF(AH130=0,INDEX('Lease Cycles'!$DD$15:$DJ$15,1,AH129),0))),0)</f>
        <v>0</v>
      </c>
      <c r="AI136" s="28">
        <f>IF(AI131=1,IF(INDEX('Lease Cycles'!$EF$15:$EL$15,1,AI129)=1,0,AI132*(1-IF(AI130&lt;INDEX('Lease Cycles'!$DK$15:$DQ$15,1,AI129),0,IF(AI130=INDEX('Lease Cycles'!$DK$15:$DQ$15,1,AI129),1-INDEX('Lease Cycles'!$DR$15:$DX$15,1,AI129),1))-IF(AI130=0,INDEX('Lease Cycles'!$DD$15:$DJ$15,1,AI129),0))),0)</f>
        <v>0</v>
      </c>
      <c r="AJ136" s="28">
        <f>IF(AJ131=1,IF(INDEX('Lease Cycles'!$EF$15:$EL$15,1,AJ129)=1,0,AJ132*(1-IF(AJ130&lt;INDEX('Lease Cycles'!$DK$15:$DQ$15,1,AJ129),0,IF(AJ130=INDEX('Lease Cycles'!$DK$15:$DQ$15,1,AJ129),1-INDEX('Lease Cycles'!$DR$15:$DX$15,1,AJ129),1))-IF(AJ130=0,INDEX('Lease Cycles'!$DD$15:$DJ$15,1,AJ129),0))),0)</f>
        <v>0</v>
      </c>
      <c r="AK136" s="28">
        <f>IF(AK131=1,IF(INDEX('Lease Cycles'!$EF$15:$EL$15,1,AK129)=1,0,AK132*(1-IF(AK130&lt;INDEX('Lease Cycles'!$DK$15:$DQ$15,1,AK129),0,IF(AK130=INDEX('Lease Cycles'!$DK$15:$DQ$15,1,AK129),1-INDEX('Lease Cycles'!$DR$15:$DX$15,1,AK129),1))-IF(AK130=0,INDEX('Lease Cycles'!$DD$15:$DJ$15,1,AK129),0))),0)</f>
        <v>0</v>
      </c>
      <c r="AL136" s="28">
        <f>IF(AL131=1,IF(INDEX('Lease Cycles'!$EF$15:$EL$15,1,AL129)=1,0,AL132*(1-IF(AL130&lt;INDEX('Lease Cycles'!$DK$15:$DQ$15,1,AL129),0,IF(AL130=INDEX('Lease Cycles'!$DK$15:$DQ$15,1,AL129),1-INDEX('Lease Cycles'!$DR$15:$DX$15,1,AL129),1))-IF(AL130=0,INDEX('Lease Cycles'!$DD$15:$DJ$15,1,AL129),0))),0)</f>
        <v>0</v>
      </c>
      <c r="AM136" s="28">
        <f>IF(AM131=1,IF(INDEX('Lease Cycles'!$EF$15:$EL$15,1,AM129)=1,0,AM132*(1-IF(AM130&lt;INDEX('Lease Cycles'!$DK$15:$DQ$15,1,AM129),0,IF(AM130=INDEX('Lease Cycles'!$DK$15:$DQ$15,1,AM129),1-INDEX('Lease Cycles'!$DR$15:$DX$15,1,AM129),1))-IF(AM130=0,INDEX('Lease Cycles'!$DD$15:$DJ$15,1,AM129),0))),0)</f>
        <v>0</v>
      </c>
      <c r="AN136" s="28">
        <f>IF(AN131=1,IF(INDEX('Lease Cycles'!$EF$15:$EL$15,1,AN129)=1,0,AN132*(1-IF(AN130&lt;INDEX('Lease Cycles'!$DK$15:$DQ$15,1,AN129),0,IF(AN130=INDEX('Lease Cycles'!$DK$15:$DQ$15,1,AN129),1-INDEX('Lease Cycles'!$DR$15:$DX$15,1,AN129),1))-IF(AN130=0,INDEX('Lease Cycles'!$DD$15:$DJ$15,1,AN129),0))),0)</f>
        <v>0</v>
      </c>
      <c r="AO136" s="28">
        <f>IF(AO131=1,IF(INDEX('Lease Cycles'!$EF$15:$EL$15,1,AO129)=1,0,AO132*(1-IF(AO130&lt;INDEX('Lease Cycles'!$DK$15:$DQ$15,1,AO129),0,IF(AO130=INDEX('Lease Cycles'!$DK$15:$DQ$15,1,AO129),1-INDEX('Lease Cycles'!$DR$15:$DX$15,1,AO129),1))-IF(AO130=0,INDEX('Lease Cycles'!$DD$15:$DJ$15,1,AO129),0))),0)</f>
        <v>0</v>
      </c>
      <c r="AP136" s="28">
        <f>IF(AP131=1,IF(INDEX('Lease Cycles'!$EF$15:$EL$15,1,AP129)=1,0,AP132*(1-IF(AP130&lt;INDEX('Lease Cycles'!$DK$15:$DQ$15,1,AP129),0,IF(AP130=INDEX('Lease Cycles'!$DK$15:$DQ$15,1,AP129),1-INDEX('Lease Cycles'!$DR$15:$DX$15,1,AP129),1))-IF(AP130=0,INDEX('Lease Cycles'!$DD$15:$DJ$15,1,AP129),0))),0)</f>
        <v>0</v>
      </c>
      <c r="AQ136" s="28">
        <f>IF(AQ131=1,IF(INDEX('Lease Cycles'!$EF$15:$EL$15,1,AQ129)=1,0,AQ132*(1-IF(AQ130&lt;INDEX('Lease Cycles'!$DK$15:$DQ$15,1,AQ129),0,IF(AQ130=INDEX('Lease Cycles'!$DK$15:$DQ$15,1,AQ129),1-INDEX('Lease Cycles'!$DR$15:$DX$15,1,AQ129),1))-IF(AQ130=0,INDEX('Lease Cycles'!$DD$15:$DJ$15,1,AQ129),0))),0)</f>
        <v>0</v>
      </c>
      <c r="AR136" s="28">
        <f>IF(AR131=1,IF(INDEX('Lease Cycles'!$EF$15:$EL$15,1,AR129)=1,0,AR132*(1-IF(AR130&lt;INDEX('Lease Cycles'!$DK$15:$DQ$15,1,AR129),0,IF(AR130=INDEX('Lease Cycles'!$DK$15:$DQ$15,1,AR129),1-INDEX('Lease Cycles'!$DR$15:$DX$15,1,AR129),1))-IF(AR130=0,INDEX('Lease Cycles'!$DD$15:$DJ$15,1,AR129),0))),0)</f>
        <v>0</v>
      </c>
      <c r="AS136" s="28">
        <f>IF(AS131=1,IF(INDEX('Lease Cycles'!$EF$15:$EL$15,1,AS129)=1,0,AS132*(1-IF(AS130&lt;INDEX('Lease Cycles'!$DK$15:$DQ$15,1,AS129),0,IF(AS130=INDEX('Lease Cycles'!$DK$15:$DQ$15,1,AS129),1-INDEX('Lease Cycles'!$DR$15:$DX$15,1,AS129),1))-IF(AS130=0,INDEX('Lease Cycles'!$DD$15:$DJ$15,1,AS129),0))),0)</f>
        <v>0</v>
      </c>
      <c r="AT136" s="28">
        <f>IF(AT131=1,IF(INDEX('Lease Cycles'!$EF$15:$EL$15,1,AT129)=1,0,AT132*(1-IF(AT130&lt;INDEX('Lease Cycles'!$DK$15:$DQ$15,1,AT129),0,IF(AT130=INDEX('Lease Cycles'!$DK$15:$DQ$15,1,AT129),1-INDEX('Lease Cycles'!$DR$15:$DX$15,1,AT129),1))-IF(AT130=0,INDEX('Lease Cycles'!$DD$15:$DJ$15,1,AT129),0))),0)</f>
        <v>0</v>
      </c>
      <c r="AU136" s="28">
        <f>IF(AU131=1,IF(INDEX('Lease Cycles'!$EF$15:$EL$15,1,AU129)=1,0,AU132*(1-IF(AU130&lt;INDEX('Lease Cycles'!$DK$15:$DQ$15,1,AU129),0,IF(AU130=INDEX('Lease Cycles'!$DK$15:$DQ$15,1,AU129),1-INDEX('Lease Cycles'!$DR$15:$DX$15,1,AU129),1))-IF(AU130=0,INDEX('Lease Cycles'!$DD$15:$DJ$15,1,AU129),0))),0)</f>
        <v>0</v>
      </c>
      <c r="AV136" s="28">
        <f>IF(AV131=1,IF(INDEX('Lease Cycles'!$EF$15:$EL$15,1,AV129)=1,0,AV132*(1-IF(AV130&lt;INDEX('Lease Cycles'!$DK$15:$DQ$15,1,AV129),0,IF(AV130=INDEX('Lease Cycles'!$DK$15:$DQ$15,1,AV129),1-INDEX('Lease Cycles'!$DR$15:$DX$15,1,AV129),1))-IF(AV130=0,INDEX('Lease Cycles'!$DD$15:$DJ$15,1,AV129),0))),0)</f>
        <v>0</v>
      </c>
      <c r="AW136" s="28">
        <f>IF(AW131=1,IF(INDEX('Lease Cycles'!$EF$15:$EL$15,1,AW129)=1,0,AW132*(1-IF(AW130&lt;INDEX('Lease Cycles'!$DK$15:$DQ$15,1,AW129),0,IF(AW130=INDEX('Lease Cycles'!$DK$15:$DQ$15,1,AW129),1-INDEX('Lease Cycles'!$DR$15:$DX$15,1,AW129),1))-IF(AW130=0,INDEX('Lease Cycles'!$DD$15:$DJ$15,1,AW129),0))),0)</f>
        <v>0</v>
      </c>
      <c r="AX136" s="28">
        <f>IF(AX131=1,IF(INDEX('Lease Cycles'!$EF$15:$EL$15,1,AX129)=1,0,AX132*(1-IF(AX130&lt;INDEX('Lease Cycles'!$DK$15:$DQ$15,1,AX129),0,IF(AX130=INDEX('Lease Cycles'!$DK$15:$DQ$15,1,AX129),1-INDEX('Lease Cycles'!$DR$15:$DX$15,1,AX129),1))-IF(AX130=0,INDEX('Lease Cycles'!$DD$15:$DJ$15,1,AX129),0))),0)</f>
        <v>0</v>
      </c>
      <c r="AY136" s="28">
        <f>IF(AY131=1,IF(INDEX('Lease Cycles'!$EF$15:$EL$15,1,AY129)=1,0,AY132*(1-IF(AY130&lt;INDEX('Lease Cycles'!$DK$15:$DQ$15,1,AY129),0,IF(AY130=INDEX('Lease Cycles'!$DK$15:$DQ$15,1,AY129),1-INDEX('Lease Cycles'!$DR$15:$DX$15,1,AY129),1))-IF(AY130=0,INDEX('Lease Cycles'!$DD$15:$DJ$15,1,AY129),0))),0)</f>
        <v>0</v>
      </c>
      <c r="AZ136" s="28">
        <f>IF(AZ131=1,IF(INDEX('Lease Cycles'!$EF$15:$EL$15,1,AZ129)=1,0,AZ132*(1-IF(AZ130&lt;INDEX('Lease Cycles'!$DK$15:$DQ$15,1,AZ129),0,IF(AZ130=INDEX('Lease Cycles'!$DK$15:$DQ$15,1,AZ129),1-INDEX('Lease Cycles'!$DR$15:$DX$15,1,AZ129),1))-IF(AZ130=0,INDEX('Lease Cycles'!$DD$15:$DJ$15,1,AZ129),0))),0)</f>
        <v>0</v>
      </c>
      <c r="BA136" s="28">
        <f>IF(BA131=1,IF(INDEX('Lease Cycles'!$EF$15:$EL$15,1,BA129)=1,0,BA132*(1-IF(BA130&lt;INDEX('Lease Cycles'!$DK$15:$DQ$15,1,BA129),0,IF(BA130=INDEX('Lease Cycles'!$DK$15:$DQ$15,1,BA129),1-INDEX('Lease Cycles'!$DR$15:$DX$15,1,BA129),1))-IF(BA130=0,INDEX('Lease Cycles'!$DD$15:$DJ$15,1,BA129),0))),0)</f>
        <v>0</v>
      </c>
      <c r="BB136" s="28">
        <f>IF(BB131=1,IF(INDEX('Lease Cycles'!$EF$15:$EL$15,1,BB129)=1,0,BB132*(1-IF(BB130&lt;INDEX('Lease Cycles'!$DK$15:$DQ$15,1,BB129),0,IF(BB130=INDEX('Lease Cycles'!$DK$15:$DQ$15,1,BB129),1-INDEX('Lease Cycles'!$DR$15:$DX$15,1,BB129),1))-IF(BB130=0,INDEX('Lease Cycles'!$DD$15:$DJ$15,1,BB129),0))),0)</f>
        <v>0</v>
      </c>
      <c r="BC136" s="28">
        <f>IF(BC131=1,IF(INDEX('Lease Cycles'!$EF$15:$EL$15,1,BC129)=1,0,BC132*(1-IF(BC130&lt;INDEX('Lease Cycles'!$DK$15:$DQ$15,1,BC129),0,IF(BC130=INDEX('Lease Cycles'!$DK$15:$DQ$15,1,BC129),1-INDEX('Lease Cycles'!$DR$15:$DX$15,1,BC129),1))-IF(BC130=0,INDEX('Lease Cycles'!$DD$15:$DJ$15,1,BC129),0))),0)</f>
        <v>0</v>
      </c>
      <c r="BD136" s="28">
        <f>IF(BD131=1,IF(INDEX('Lease Cycles'!$EF$15:$EL$15,1,BD129)=1,0,BD132*(1-IF(BD130&lt;INDEX('Lease Cycles'!$DK$15:$DQ$15,1,BD129),0,IF(BD130=INDEX('Lease Cycles'!$DK$15:$DQ$15,1,BD129),1-INDEX('Lease Cycles'!$DR$15:$DX$15,1,BD129),1))-IF(BD130=0,INDEX('Lease Cycles'!$DD$15:$DJ$15,1,BD129),0))),0)</f>
        <v>0</v>
      </c>
      <c r="BE136" s="28">
        <f>IF(BE131=1,IF(INDEX('Lease Cycles'!$EF$15:$EL$15,1,BE129)=1,0,BE132*(1-IF(BE130&lt;INDEX('Lease Cycles'!$DK$15:$DQ$15,1,BE129),0,IF(BE130=INDEX('Lease Cycles'!$DK$15:$DQ$15,1,BE129),1-INDEX('Lease Cycles'!$DR$15:$DX$15,1,BE129),1))-IF(BE130=0,INDEX('Lease Cycles'!$DD$15:$DJ$15,1,BE129),0))),0)</f>
        <v>0</v>
      </c>
      <c r="BF136" s="28">
        <f>IF(BF131=1,IF(INDEX('Lease Cycles'!$EF$15:$EL$15,1,BF129)=1,0,BF132*(1-IF(BF130&lt;INDEX('Lease Cycles'!$DK$15:$DQ$15,1,BF129),0,IF(BF130=INDEX('Lease Cycles'!$DK$15:$DQ$15,1,BF129),1-INDEX('Lease Cycles'!$DR$15:$DX$15,1,BF129),1))-IF(BF130=0,INDEX('Lease Cycles'!$DD$15:$DJ$15,1,BF129),0))),0)</f>
        <v>0</v>
      </c>
      <c r="BG136" s="28">
        <f>IF(BG131=1,IF(INDEX('Lease Cycles'!$EF$15:$EL$15,1,BG129)=1,0,BG132*(1-IF(BG130&lt;INDEX('Lease Cycles'!$DK$15:$DQ$15,1,BG129),0,IF(BG130=INDEX('Lease Cycles'!$DK$15:$DQ$15,1,BG129),1-INDEX('Lease Cycles'!$DR$15:$DX$15,1,BG129),1))-IF(BG130=0,INDEX('Lease Cycles'!$DD$15:$DJ$15,1,BG129),0))),0)</f>
        <v>0</v>
      </c>
      <c r="BH136" s="28">
        <f>IF(BH131=1,IF(INDEX('Lease Cycles'!$EF$15:$EL$15,1,BH129)=1,0,BH132*(1-IF(BH130&lt;INDEX('Lease Cycles'!$DK$15:$DQ$15,1,BH129),0,IF(BH130=INDEX('Lease Cycles'!$DK$15:$DQ$15,1,BH129),1-INDEX('Lease Cycles'!$DR$15:$DX$15,1,BH129),1))-IF(BH130=0,INDEX('Lease Cycles'!$DD$15:$DJ$15,1,BH129),0))),0)</f>
        <v>0</v>
      </c>
      <c r="BI136" s="28">
        <f>IF(BI131=1,IF(INDEX('Lease Cycles'!$EF$15:$EL$15,1,BI129)=1,0,BI132*(1-IF(BI130&lt;INDEX('Lease Cycles'!$DK$15:$DQ$15,1,BI129),0,IF(BI130=INDEX('Lease Cycles'!$DK$15:$DQ$15,1,BI129),1-INDEX('Lease Cycles'!$DR$15:$DX$15,1,BI129),1))-IF(BI130=0,INDEX('Lease Cycles'!$DD$15:$DJ$15,1,BI129),0))),0)</f>
        <v>1230.986429490586</v>
      </c>
      <c r="BJ136" s="28">
        <f>IF(BJ131=1,IF(INDEX('Lease Cycles'!$EF$15:$EL$15,1,BJ129)=1,0,BJ132*(1-IF(BJ130&lt;INDEX('Lease Cycles'!$DK$15:$DQ$15,1,BJ129),0,IF(BJ130=INDEX('Lease Cycles'!$DK$15:$DQ$15,1,BJ129),1-INDEX('Lease Cycles'!$DR$15:$DX$15,1,BJ129),1))-IF(BJ130=0,INDEX('Lease Cycles'!$DD$15:$DJ$15,1,BJ129),0))),0)</f>
        <v>0</v>
      </c>
      <c r="BK136" s="28">
        <f>IF(BK131=1,IF(INDEX('Lease Cycles'!$EF$15:$EL$15,1,BK129)=1,0,BK132*(1-IF(BK130&lt;INDEX('Lease Cycles'!$DK$15:$DQ$15,1,BK129),0,IF(BK130=INDEX('Lease Cycles'!$DK$15:$DQ$15,1,BK129),1-INDEX('Lease Cycles'!$DR$15:$DX$15,1,BK129),1))-IF(BK130=0,INDEX('Lease Cycles'!$DD$15:$DJ$15,1,BK129),0))),0)</f>
        <v>0</v>
      </c>
      <c r="BL136" s="28">
        <f>IF(BL131=1,IF(INDEX('Lease Cycles'!$EF$15:$EL$15,1,BL129)=1,0,BL132*(1-IF(BL130&lt;INDEX('Lease Cycles'!$DK$15:$DQ$15,1,BL129),0,IF(BL130=INDEX('Lease Cycles'!$DK$15:$DQ$15,1,BL129),1-INDEX('Lease Cycles'!$DR$15:$DX$15,1,BL129),1))-IF(BL130=0,INDEX('Lease Cycles'!$DD$15:$DJ$15,1,BL129),0))),0)</f>
        <v>0</v>
      </c>
      <c r="BM136" s="28">
        <f>IF(BM131=1,IF(INDEX('Lease Cycles'!$EF$15:$EL$15,1,BM129)=1,0,BM132*(1-IF(BM130&lt;INDEX('Lease Cycles'!$DK$15:$DQ$15,1,BM129),0,IF(BM130=INDEX('Lease Cycles'!$DK$15:$DQ$15,1,BM129),1-INDEX('Lease Cycles'!$DR$15:$DX$15,1,BM129),1))-IF(BM130=0,INDEX('Lease Cycles'!$DD$15:$DJ$15,1,BM129),0))),0)</f>
        <v>0</v>
      </c>
      <c r="BN136" s="28">
        <f>IF(BN131=1,IF(INDEX('Lease Cycles'!$EF$15:$EL$15,1,BN129)=1,0,BN132*(1-IF(BN130&lt;INDEX('Lease Cycles'!$DK$15:$DQ$15,1,BN129),0,IF(BN130=INDEX('Lease Cycles'!$DK$15:$DQ$15,1,BN129),1-INDEX('Lease Cycles'!$DR$15:$DX$15,1,BN129),1))-IF(BN130=0,INDEX('Lease Cycles'!$DD$15:$DJ$15,1,BN129),0))),0)</f>
        <v>0</v>
      </c>
      <c r="BO136" s="28">
        <f>IF(BO131=1,IF(INDEX('Lease Cycles'!$EF$15:$EL$15,1,BO129)=1,0,BO132*(1-IF(BO130&lt;INDEX('Lease Cycles'!$DK$15:$DQ$15,1,BO129),0,IF(BO130=INDEX('Lease Cycles'!$DK$15:$DQ$15,1,BO129),1-INDEX('Lease Cycles'!$DR$15:$DX$15,1,BO129),1))-IF(BO130=0,INDEX('Lease Cycles'!$DD$15:$DJ$15,1,BO129),0))),0)</f>
        <v>0</v>
      </c>
      <c r="BP136" s="28">
        <f>IF(BP131=1,IF(INDEX('Lease Cycles'!$EF$15:$EL$15,1,BP129)=1,0,BP132*(1-IF(BP130&lt;INDEX('Lease Cycles'!$DK$15:$DQ$15,1,BP129),0,IF(BP130=INDEX('Lease Cycles'!$DK$15:$DQ$15,1,BP129),1-INDEX('Lease Cycles'!$DR$15:$DX$15,1,BP129),1))-IF(BP130=0,INDEX('Lease Cycles'!$DD$15:$DJ$15,1,BP129),0))),0)</f>
        <v>0</v>
      </c>
      <c r="BQ136" s="28">
        <f>IF(BQ131=1,IF(INDEX('Lease Cycles'!$EF$15:$EL$15,1,BQ129)=1,0,BQ132*(1-IF(BQ130&lt;INDEX('Lease Cycles'!$DK$15:$DQ$15,1,BQ129),0,IF(BQ130=INDEX('Lease Cycles'!$DK$15:$DQ$15,1,BQ129),1-INDEX('Lease Cycles'!$DR$15:$DX$15,1,BQ129),1))-IF(BQ130=0,INDEX('Lease Cycles'!$DD$15:$DJ$15,1,BQ129),0))),0)</f>
        <v>0</v>
      </c>
      <c r="BR136" s="28">
        <f>IF(BR131=1,IF(INDEX('Lease Cycles'!$EF$15:$EL$15,1,BR129)=1,0,BR132*(1-IF(BR130&lt;INDEX('Lease Cycles'!$DK$15:$DQ$15,1,BR129),0,IF(BR130=INDEX('Lease Cycles'!$DK$15:$DQ$15,1,BR129),1-INDEX('Lease Cycles'!$DR$15:$DX$15,1,BR129),1))-IF(BR130=0,INDEX('Lease Cycles'!$DD$15:$DJ$15,1,BR129),0))),0)</f>
        <v>0</v>
      </c>
      <c r="BS136" s="28">
        <f>IF(BS131=1,IF(INDEX('Lease Cycles'!$EF$15:$EL$15,1,BS129)=1,0,BS132*(1-IF(BS130&lt;INDEX('Lease Cycles'!$DK$15:$DQ$15,1,BS129),0,IF(BS130=INDEX('Lease Cycles'!$DK$15:$DQ$15,1,BS129),1-INDEX('Lease Cycles'!$DR$15:$DX$15,1,BS129),1))-IF(BS130=0,INDEX('Lease Cycles'!$DD$15:$DJ$15,1,BS129),0))),0)</f>
        <v>0</v>
      </c>
      <c r="BT136" s="28">
        <f>IF(BT131=1,IF(INDEX('Lease Cycles'!$EF$15:$EL$15,1,BT129)=1,0,BT132*(1-IF(BT130&lt;INDEX('Lease Cycles'!$DK$15:$DQ$15,1,BT129),0,IF(BT130=INDEX('Lease Cycles'!$DK$15:$DQ$15,1,BT129),1-INDEX('Lease Cycles'!$DR$15:$DX$15,1,BT129),1))-IF(BT130=0,INDEX('Lease Cycles'!$DD$15:$DJ$15,1,BT129),0))),0)</f>
        <v>0</v>
      </c>
      <c r="BU136" s="28">
        <f>IF(BU131=1,IF(INDEX('Lease Cycles'!$EF$15:$EL$15,1,BU129)=1,0,BU132*(1-IF(BU130&lt;INDEX('Lease Cycles'!$DK$15:$DQ$15,1,BU129),0,IF(BU130=INDEX('Lease Cycles'!$DK$15:$DQ$15,1,BU129),1-INDEX('Lease Cycles'!$DR$15:$DX$15,1,BU129),1))-IF(BU130=0,INDEX('Lease Cycles'!$DD$15:$DJ$15,1,BU129),0))),0)</f>
        <v>0</v>
      </c>
      <c r="BV136" s="28">
        <f>IF(BV131=1,IF(INDEX('Lease Cycles'!$EF$15:$EL$15,1,BV129)=1,0,BV132*(1-IF(BV130&lt;INDEX('Lease Cycles'!$DK$15:$DQ$15,1,BV129),0,IF(BV130=INDEX('Lease Cycles'!$DK$15:$DQ$15,1,BV129),1-INDEX('Lease Cycles'!$DR$15:$DX$15,1,BV129),1))-IF(BV130=0,INDEX('Lease Cycles'!$DD$15:$DJ$15,1,BV129),0))),0)</f>
        <v>0</v>
      </c>
      <c r="BW136" s="28">
        <f>IF(BW131=1,IF(INDEX('Lease Cycles'!$EF$15:$EL$15,1,BW129)=1,0,BW132*(1-IF(BW130&lt;INDEX('Lease Cycles'!$DK$15:$DQ$15,1,BW129),0,IF(BW130=INDEX('Lease Cycles'!$DK$15:$DQ$15,1,BW129),1-INDEX('Lease Cycles'!$DR$15:$DX$15,1,BW129),1))-IF(BW130=0,INDEX('Lease Cycles'!$DD$15:$DJ$15,1,BW129),0))),0)</f>
        <v>0</v>
      </c>
      <c r="BX136" s="28">
        <f>IF(BX131=1,IF(INDEX('Lease Cycles'!$EF$15:$EL$15,1,BX129)=1,0,BX132*(1-IF(BX130&lt;INDEX('Lease Cycles'!$DK$15:$DQ$15,1,BX129),0,IF(BX130=INDEX('Lease Cycles'!$DK$15:$DQ$15,1,BX129),1-INDEX('Lease Cycles'!$DR$15:$DX$15,1,BX129),1))-IF(BX130=0,INDEX('Lease Cycles'!$DD$15:$DJ$15,1,BX129),0))),0)</f>
        <v>0</v>
      </c>
      <c r="BY136" s="28">
        <f>IF(BY131=1,IF(INDEX('Lease Cycles'!$EF$15:$EL$15,1,BY129)=1,0,BY132*(1-IF(BY130&lt;INDEX('Lease Cycles'!$DK$15:$DQ$15,1,BY129),0,IF(BY130=INDEX('Lease Cycles'!$DK$15:$DQ$15,1,BY129),1-INDEX('Lease Cycles'!$DR$15:$DX$15,1,BY129),1))-IF(BY130=0,INDEX('Lease Cycles'!$DD$15:$DJ$15,1,BY129),0))),0)</f>
        <v>0</v>
      </c>
      <c r="BZ136" s="28">
        <f>IF(BZ131=1,IF(INDEX('Lease Cycles'!$EF$15:$EL$15,1,BZ129)=1,0,BZ132*(1-IF(BZ130&lt;INDEX('Lease Cycles'!$DK$15:$DQ$15,1,BZ129),0,IF(BZ130=INDEX('Lease Cycles'!$DK$15:$DQ$15,1,BZ129),1-INDEX('Lease Cycles'!$DR$15:$DX$15,1,BZ129),1))-IF(BZ130=0,INDEX('Lease Cycles'!$DD$15:$DJ$15,1,BZ129),0))),0)</f>
        <v>0</v>
      </c>
      <c r="CA136" s="28">
        <f>IF(CA131=1,IF(INDEX('Lease Cycles'!$EF$15:$EL$15,1,CA129)=1,0,CA132*(1-IF(CA130&lt;INDEX('Lease Cycles'!$DK$15:$DQ$15,1,CA129),0,IF(CA130=INDEX('Lease Cycles'!$DK$15:$DQ$15,1,CA129),1-INDEX('Lease Cycles'!$DR$15:$DX$15,1,CA129),1))-IF(CA130=0,INDEX('Lease Cycles'!$DD$15:$DJ$15,1,CA129),0))),0)</f>
        <v>0</v>
      </c>
      <c r="CB136" s="28">
        <f>IF(CB131=1,IF(INDEX('Lease Cycles'!$EF$15:$EL$15,1,CB129)=1,0,CB132*(1-IF(CB130&lt;INDEX('Lease Cycles'!$DK$15:$DQ$15,1,CB129),0,IF(CB130=INDEX('Lease Cycles'!$DK$15:$DQ$15,1,CB129),1-INDEX('Lease Cycles'!$DR$15:$DX$15,1,CB129),1))-IF(CB130=0,INDEX('Lease Cycles'!$DD$15:$DJ$15,1,CB129),0))),0)</f>
        <v>0</v>
      </c>
      <c r="CC136" s="28">
        <f>IF(CC131=1,IF(INDEX('Lease Cycles'!$EF$15:$EL$15,1,CC129)=1,0,CC132*(1-IF(CC130&lt;INDEX('Lease Cycles'!$DK$15:$DQ$15,1,CC129),0,IF(CC130=INDEX('Lease Cycles'!$DK$15:$DQ$15,1,CC129),1-INDEX('Lease Cycles'!$DR$15:$DX$15,1,CC129),1))-IF(CC130=0,INDEX('Lease Cycles'!$DD$15:$DJ$15,1,CC129),0))),0)</f>
        <v>0</v>
      </c>
      <c r="CD136" s="28">
        <f>IF(CD131=1,IF(INDEX('Lease Cycles'!$EF$15:$EL$15,1,CD129)=1,0,CD132*(1-IF(CD130&lt;INDEX('Lease Cycles'!$DK$15:$DQ$15,1,CD129),0,IF(CD130=INDEX('Lease Cycles'!$DK$15:$DQ$15,1,CD129),1-INDEX('Lease Cycles'!$DR$15:$DX$15,1,CD129),1))-IF(CD130=0,INDEX('Lease Cycles'!$DD$15:$DJ$15,1,CD129),0))),0)</f>
        <v>0</v>
      </c>
      <c r="CE136" s="28">
        <f>IF(CE131=1,IF(INDEX('Lease Cycles'!$EF$15:$EL$15,1,CE129)=1,0,CE132*(1-IF(CE130&lt;INDEX('Lease Cycles'!$DK$15:$DQ$15,1,CE129),0,IF(CE130=INDEX('Lease Cycles'!$DK$15:$DQ$15,1,CE129),1-INDEX('Lease Cycles'!$DR$15:$DX$15,1,CE129),1))-IF(CE130=0,INDEX('Lease Cycles'!$DD$15:$DJ$15,1,CE129),0))),0)</f>
        <v>0</v>
      </c>
      <c r="CF136" s="28">
        <f>IF(CF131=1,IF(INDEX('Lease Cycles'!$EF$15:$EL$15,1,CF129)=1,0,CF132*(1-IF(CF130&lt;INDEX('Lease Cycles'!$DK$15:$DQ$15,1,CF129),0,IF(CF130=INDEX('Lease Cycles'!$DK$15:$DQ$15,1,CF129),1-INDEX('Lease Cycles'!$DR$15:$DX$15,1,CF129),1))-IF(CF130=0,INDEX('Lease Cycles'!$DD$15:$DJ$15,1,CF129),0))),0)</f>
        <v>0</v>
      </c>
      <c r="CG136" s="28">
        <f>IF(CG131=1,IF(INDEX('Lease Cycles'!$EF$15:$EL$15,1,CG129)=1,0,CG132*(1-IF(CG130&lt;INDEX('Lease Cycles'!$DK$15:$DQ$15,1,CG129),0,IF(CG130=INDEX('Lease Cycles'!$DK$15:$DQ$15,1,CG129),1-INDEX('Lease Cycles'!$DR$15:$DX$15,1,CG129),1))-IF(CG130=0,INDEX('Lease Cycles'!$DD$15:$DJ$15,1,CG129),0))),0)</f>
        <v>0</v>
      </c>
      <c r="CH136" s="28">
        <f>IF(CH131=1,IF(INDEX('Lease Cycles'!$EF$15:$EL$15,1,CH129)=1,0,CH132*(1-IF(CH130&lt;INDEX('Lease Cycles'!$DK$15:$DQ$15,1,CH129),0,IF(CH130=INDEX('Lease Cycles'!$DK$15:$DQ$15,1,CH129),1-INDEX('Lease Cycles'!$DR$15:$DX$15,1,CH129),1))-IF(CH130=0,INDEX('Lease Cycles'!$DD$15:$DJ$15,1,CH129),0))),0)</f>
        <v>0</v>
      </c>
      <c r="CI136" s="28">
        <f>IF(CI131=1,IF(INDEX('Lease Cycles'!$EF$15:$EL$15,1,CI129)=1,0,CI132*(1-IF(CI130&lt;INDEX('Lease Cycles'!$DK$15:$DQ$15,1,CI129),0,IF(CI130=INDEX('Lease Cycles'!$DK$15:$DQ$15,1,CI129),1-INDEX('Lease Cycles'!$DR$15:$DX$15,1,CI129),1))-IF(CI130=0,INDEX('Lease Cycles'!$DD$15:$DJ$15,1,CI129),0))),0)</f>
        <v>0</v>
      </c>
      <c r="CJ136" s="28">
        <f>IF(CJ131=1,IF(INDEX('Lease Cycles'!$EF$15:$EL$15,1,CJ129)=1,0,CJ132*(1-IF(CJ130&lt;INDEX('Lease Cycles'!$DK$15:$DQ$15,1,CJ129),0,IF(CJ130=INDEX('Lease Cycles'!$DK$15:$DQ$15,1,CJ129),1-INDEX('Lease Cycles'!$DR$15:$DX$15,1,CJ129),1))-IF(CJ130=0,INDEX('Lease Cycles'!$DD$15:$DJ$15,1,CJ129),0))),0)</f>
        <v>0</v>
      </c>
      <c r="CK136" s="28">
        <f>IF(CK131=1,IF(INDEX('Lease Cycles'!$EF$15:$EL$15,1,CK129)=1,0,CK132*(1-IF(CK130&lt;INDEX('Lease Cycles'!$DK$15:$DQ$15,1,CK129),0,IF(CK130=INDEX('Lease Cycles'!$DK$15:$DQ$15,1,CK129),1-INDEX('Lease Cycles'!$DR$15:$DX$15,1,CK129),1))-IF(CK130=0,INDEX('Lease Cycles'!$DD$15:$DJ$15,1,CK129),0))),0)</f>
        <v>0</v>
      </c>
      <c r="CL136" s="28">
        <f>IF(CL131=1,IF(INDEX('Lease Cycles'!$EF$15:$EL$15,1,CL129)=1,0,CL132*(1-IF(CL130&lt;INDEX('Lease Cycles'!$DK$15:$DQ$15,1,CL129),0,IF(CL130=INDEX('Lease Cycles'!$DK$15:$DQ$15,1,CL129),1-INDEX('Lease Cycles'!$DR$15:$DX$15,1,CL129),1))-IF(CL130=0,INDEX('Lease Cycles'!$DD$15:$DJ$15,1,CL129),0))),0)</f>
        <v>0</v>
      </c>
      <c r="CM136" s="28">
        <f>IF(CM131=1,IF(INDEX('Lease Cycles'!$EF$15:$EL$15,1,CM129)=1,0,CM132*(1-IF(CM130&lt;INDEX('Lease Cycles'!$DK$15:$DQ$15,1,CM129),0,IF(CM130=INDEX('Lease Cycles'!$DK$15:$DQ$15,1,CM129),1-INDEX('Lease Cycles'!$DR$15:$DX$15,1,CM129),1))-IF(CM130=0,INDEX('Lease Cycles'!$DD$15:$DJ$15,1,CM129),0))),0)</f>
        <v>0</v>
      </c>
      <c r="CN136" s="28">
        <f>IF(CN131=1,IF(INDEX('Lease Cycles'!$EF$15:$EL$15,1,CN129)=1,0,CN132*(1-IF(CN130&lt;INDEX('Lease Cycles'!$DK$15:$DQ$15,1,CN129),0,IF(CN130=INDEX('Lease Cycles'!$DK$15:$DQ$15,1,CN129),1-INDEX('Lease Cycles'!$DR$15:$DX$15,1,CN129),1))-IF(CN130=0,INDEX('Lease Cycles'!$DD$15:$DJ$15,1,CN129),0))),0)</f>
        <v>0</v>
      </c>
      <c r="CO136" s="28">
        <f>IF(CO131=1,IF(INDEX('Lease Cycles'!$EF$15:$EL$15,1,CO129)=1,0,CO132*(1-IF(CO130&lt;INDEX('Lease Cycles'!$DK$15:$DQ$15,1,CO129),0,IF(CO130=INDEX('Lease Cycles'!$DK$15:$DQ$15,1,CO129),1-INDEX('Lease Cycles'!$DR$15:$DX$15,1,CO129),1))-IF(CO130=0,INDEX('Lease Cycles'!$DD$15:$DJ$15,1,CO129),0))),0)</f>
        <v>0</v>
      </c>
      <c r="CP136" s="28">
        <f>IF(CP131=1,IF(INDEX('Lease Cycles'!$EF$15:$EL$15,1,CP129)=1,0,CP132*(1-IF(CP130&lt;INDEX('Lease Cycles'!$DK$15:$DQ$15,1,CP129),0,IF(CP130=INDEX('Lease Cycles'!$DK$15:$DQ$15,1,CP129),1-INDEX('Lease Cycles'!$DR$15:$DX$15,1,CP129),1))-IF(CP130=0,INDEX('Lease Cycles'!$DD$15:$DJ$15,1,CP129),0))),0)</f>
        <v>0</v>
      </c>
      <c r="CQ136" s="28">
        <f>IF(CQ131=1,IF(INDEX('Lease Cycles'!$EF$15:$EL$15,1,CQ129)=1,0,CQ132*(1-IF(CQ130&lt;INDEX('Lease Cycles'!$DK$15:$DQ$15,1,CQ129),0,IF(CQ130=INDEX('Lease Cycles'!$DK$15:$DQ$15,1,CQ129),1-INDEX('Lease Cycles'!$DR$15:$DX$15,1,CQ129),1))-IF(CQ130=0,INDEX('Lease Cycles'!$DD$15:$DJ$15,1,CQ129),0))),0)</f>
        <v>0</v>
      </c>
      <c r="CR136" s="28">
        <f>IF(CR131=1,IF(INDEX('Lease Cycles'!$EF$15:$EL$15,1,CR129)=1,0,CR132*(1-IF(CR130&lt;INDEX('Lease Cycles'!$DK$15:$DQ$15,1,CR129),0,IF(CR130=INDEX('Lease Cycles'!$DK$15:$DQ$15,1,CR129),1-INDEX('Lease Cycles'!$DR$15:$DX$15,1,CR129),1))-IF(CR130=0,INDEX('Lease Cycles'!$DD$15:$DJ$15,1,CR129),0))),0)</f>
        <v>0</v>
      </c>
      <c r="CS136" s="28">
        <f>IF(CS131=1,IF(INDEX('Lease Cycles'!$EF$15:$EL$15,1,CS129)=1,0,CS132*(1-IF(CS130&lt;INDEX('Lease Cycles'!$DK$15:$DQ$15,1,CS129),0,IF(CS130=INDEX('Lease Cycles'!$DK$15:$DQ$15,1,CS129),1-INDEX('Lease Cycles'!$DR$15:$DX$15,1,CS129),1))-IF(CS130=0,INDEX('Lease Cycles'!$DD$15:$DJ$15,1,CS129),0))),0)</f>
        <v>0</v>
      </c>
      <c r="CT136" s="28">
        <f>IF(CT131=1,IF(INDEX('Lease Cycles'!$EF$15:$EL$15,1,CT129)=1,0,CT132*(1-IF(CT130&lt;INDEX('Lease Cycles'!$DK$15:$DQ$15,1,CT129),0,IF(CT130=INDEX('Lease Cycles'!$DK$15:$DQ$15,1,CT129),1-INDEX('Lease Cycles'!$DR$15:$DX$15,1,CT129),1))-IF(CT130=0,INDEX('Lease Cycles'!$DD$15:$DJ$15,1,CT129),0))),0)</f>
        <v>0</v>
      </c>
      <c r="CU136" s="28">
        <f>IF(CU131=1,IF(INDEX('Lease Cycles'!$EF$15:$EL$15,1,CU129)=1,0,CU132*(1-IF(CU130&lt;INDEX('Lease Cycles'!$DK$15:$DQ$15,1,CU129),0,IF(CU130=INDEX('Lease Cycles'!$DK$15:$DQ$15,1,CU129),1-INDEX('Lease Cycles'!$DR$15:$DX$15,1,CU129),1))-IF(CU130=0,INDEX('Lease Cycles'!$DD$15:$DJ$15,1,CU129),0))),0)</f>
        <v>0</v>
      </c>
      <c r="CV136" s="28">
        <f>IF(CV131=1,IF(INDEX('Lease Cycles'!$EF$15:$EL$15,1,CV129)=1,0,CV132*(1-IF(CV130&lt;INDEX('Lease Cycles'!$DK$15:$DQ$15,1,CV129),0,IF(CV130=INDEX('Lease Cycles'!$DK$15:$DQ$15,1,CV129),1-INDEX('Lease Cycles'!$DR$15:$DX$15,1,CV129),1))-IF(CV130=0,INDEX('Lease Cycles'!$DD$15:$DJ$15,1,CV129),0))),0)</f>
        <v>0</v>
      </c>
      <c r="CW136" s="28">
        <f>IF(CW131=1,IF(INDEX('Lease Cycles'!$EF$15:$EL$15,1,CW129)=1,0,CW132*(1-IF(CW130&lt;INDEX('Lease Cycles'!$DK$15:$DQ$15,1,CW129),0,IF(CW130=INDEX('Lease Cycles'!$DK$15:$DQ$15,1,CW129),1-INDEX('Lease Cycles'!$DR$15:$DX$15,1,CW129),1))-IF(CW130=0,INDEX('Lease Cycles'!$DD$15:$DJ$15,1,CW129),0))),0)</f>
        <v>0</v>
      </c>
      <c r="CX136" s="28">
        <f>IF(CX131=1,IF(INDEX('Lease Cycles'!$EF$15:$EL$15,1,CX129)=1,0,CX132*(1-IF(CX130&lt;INDEX('Lease Cycles'!$DK$15:$DQ$15,1,CX129),0,IF(CX130=INDEX('Lease Cycles'!$DK$15:$DQ$15,1,CX129),1-INDEX('Lease Cycles'!$DR$15:$DX$15,1,CX129),1))-IF(CX130=0,INDEX('Lease Cycles'!$DD$15:$DJ$15,1,CX129),0))),0)</f>
        <v>0</v>
      </c>
      <c r="CY136" s="28">
        <f>IF(CY131=1,IF(INDEX('Lease Cycles'!$EF$15:$EL$15,1,CY129)=1,0,CY132*(1-IF(CY130&lt;INDEX('Lease Cycles'!$DK$15:$DQ$15,1,CY129),0,IF(CY130=INDEX('Lease Cycles'!$DK$15:$DQ$15,1,CY129),1-INDEX('Lease Cycles'!$DR$15:$DX$15,1,CY129),1))-IF(CY130=0,INDEX('Lease Cycles'!$DD$15:$DJ$15,1,CY129),0))),0)</f>
        <v>0</v>
      </c>
      <c r="CZ136" s="28">
        <f>IF(CZ131=1,IF(INDEX('Lease Cycles'!$EF$15:$EL$15,1,CZ129)=1,0,CZ132*(1-IF(CZ130&lt;INDEX('Lease Cycles'!$DK$15:$DQ$15,1,CZ129),0,IF(CZ130=INDEX('Lease Cycles'!$DK$15:$DQ$15,1,CZ129),1-INDEX('Lease Cycles'!$DR$15:$DX$15,1,CZ129),1))-IF(CZ130=0,INDEX('Lease Cycles'!$DD$15:$DJ$15,1,CZ129),0))),0)</f>
        <v>0</v>
      </c>
      <c r="DA136" s="28">
        <f>IF(DA131=1,IF(INDEX('Lease Cycles'!$EF$15:$EL$15,1,DA129)=1,0,DA132*(1-IF(DA130&lt;INDEX('Lease Cycles'!$DK$15:$DQ$15,1,DA129),0,IF(DA130=INDEX('Lease Cycles'!$DK$15:$DQ$15,1,DA129),1-INDEX('Lease Cycles'!$DR$15:$DX$15,1,DA129),1))-IF(DA130=0,INDEX('Lease Cycles'!$DD$15:$DJ$15,1,DA129),0))),0)</f>
        <v>0</v>
      </c>
      <c r="DB136" s="28">
        <f>IF(DB131=1,IF(INDEX('Lease Cycles'!$EF$15:$EL$15,1,DB129)=1,0,DB132*(1-IF(DB130&lt;INDEX('Lease Cycles'!$DK$15:$DQ$15,1,DB129),0,IF(DB130=INDEX('Lease Cycles'!$DK$15:$DQ$15,1,DB129),1-INDEX('Lease Cycles'!$DR$15:$DX$15,1,DB129),1))-IF(DB130=0,INDEX('Lease Cycles'!$DD$15:$DJ$15,1,DB129),0))),0)</f>
        <v>0</v>
      </c>
      <c r="DC136" s="28">
        <f>IF(DC131=1,IF(INDEX('Lease Cycles'!$EF$15:$EL$15,1,DC129)=1,0,DC132*(1-IF(DC130&lt;INDEX('Lease Cycles'!$DK$15:$DQ$15,1,DC129),0,IF(DC130=INDEX('Lease Cycles'!$DK$15:$DQ$15,1,DC129),1-INDEX('Lease Cycles'!$DR$15:$DX$15,1,DC129),1))-IF(DC130=0,INDEX('Lease Cycles'!$DD$15:$DJ$15,1,DC129),0))),0)</f>
        <v>0</v>
      </c>
      <c r="DD136" s="28">
        <f>IF(DD131=1,IF(INDEX('Lease Cycles'!$EF$15:$EL$15,1,DD129)=1,0,DD132*(1-IF(DD130&lt;INDEX('Lease Cycles'!$DK$15:$DQ$15,1,DD129),0,IF(DD130=INDEX('Lease Cycles'!$DK$15:$DQ$15,1,DD129),1-INDEX('Lease Cycles'!$DR$15:$DX$15,1,DD129),1))-IF(DD130=0,INDEX('Lease Cycles'!$DD$15:$DJ$15,1,DD129),0))),0)</f>
        <v>0</v>
      </c>
      <c r="DE136" s="28">
        <f>IF(DE131=1,IF(INDEX('Lease Cycles'!$EF$15:$EL$15,1,DE129)=1,0,DE132*(1-IF(DE130&lt;INDEX('Lease Cycles'!$DK$15:$DQ$15,1,DE129),0,IF(DE130=INDEX('Lease Cycles'!$DK$15:$DQ$15,1,DE129),1-INDEX('Lease Cycles'!$DR$15:$DX$15,1,DE129),1))-IF(DE130=0,INDEX('Lease Cycles'!$DD$15:$DJ$15,1,DE129),0))),0)</f>
        <v>0</v>
      </c>
      <c r="DF136" s="28">
        <f>IF(DF131=1,IF(INDEX('Lease Cycles'!$EF$15:$EL$15,1,DF129)=1,0,DF132*(1-IF(DF130&lt;INDEX('Lease Cycles'!$DK$15:$DQ$15,1,DF129),0,IF(DF130=INDEX('Lease Cycles'!$DK$15:$DQ$15,1,DF129),1-INDEX('Lease Cycles'!$DR$15:$DX$15,1,DF129),1))-IF(DF130=0,INDEX('Lease Cycles'!$DD$15:$DJ$15,1,DF129),0))),0)</f>
        <v>0</v>
      </c>
      <c r="DG136" s="28">
        <f>IF(DG131=1,IF(INDEX('Lease Cycles'!$EF$15:$EL$15,1,DG129)=1,0,DG132*(1-IF(DG130&lt;INDEX('Lease Cycles'!$DK$15:$DQ$15,1,DG129),0,IF(DG130=INDEX('Lease Cycles'!$DK$15:$DQ$15,1,DG129),1-INDEX('Lease Cycles'!$DR$15:$DX$15,1,DG129),1))-IF(DG130=0,INDEX('Lease Cycles'!$DD$15:$DJ$15,1,DG129),0))),0)</f>
        <v>0</v>
      </c>
      <c r="DH136" s="28">
        <f>IF(DH131=1,IF(INDEX('Lease Cycles'!$EF$15:$EL$15,1,DH129)=1,0,DH132*(1-IF(DH130&lt;INDEX('Lease Cycles'!$DK$15:$DQ$15,1,DH129),0,IF(DH130=INDEX('Lease Cycles'!$DK$15:$DQ$15,1,DH129),1-INDEX('Lease Cycles'!$DR$15:$DX$15,1,DH129),1))-IF(DH130=0,INDEX('Lease Cycles'!$DD$15:$DJ$15,1,DH129),0))),0)</f>
        <v>0</v>
      </c>
      <c r="DI136" s="28">
        <f>IF(DI131=1,IF(INDEX('Lease Cycles'!$EF$15:$EL$15,1,DI129)=1,0,DI132*(1-IF(DI130&lt;INDEX('Lease Cycles'!$DK$15:$DQ$15,1,DI129),0,IF(DI130=INDEX('Lease Cycles'!$DK$15:$DQ$15,1,DI129),1-INDEX('Lease Cycles'!$DR$15:$DX$15,1,DI129),1))-IF(DI130=0,INDEX('Lease Cycles'!$DD$15:$DJ$15,1,DI129),0))),0)</f>
        <v>0</v>
      </c>
      <c r="DJ136" s="28">
        <f>IF(DJ131=1,IF(INDEX('Lease Cycles'!$EF$15:$EL$15,1,DJ129)=1,0,DJ132*(1-IF(DJ130&lt;INDEX('Lease Cycles'!$DK$15:$DQ$15,1,DJ129),0,IF(DJ130=INDEX('Lease Cycles'!$DK$15:$DQ$15,1,DJ129),1-INDEX('Lease Cycles'!$DR$15:$DX$15,1,DJ129),1))-IF(DJ130=0,INDEX('Lease Cycles'!$DD$15:$DJ$15,1,DJ129),0))),0)</f>
        <v>0</v>
      </c>
      <c r="DK136" s="28">
        <f>IF(DK131=1,IF(INDEX('Lease Cycles'!$EF$15:$EL$15,1,DK129)=1,0,DK132*(1-IF(DK130&lt;INDEX('Lease Cycles'!$DK$15:$DQ$15,1,DK129),0,IF(DK130=INDEX('Lease Cycles'!$DK$15:$DQ$15,1,DK129),1-INDEX('Lease Cycles'!$DR$15:$DX$15,1,DK129),1))-IF(DK130=0,INDEX('Lease Cycles'!$DD$15:$DJ$15,1,DK129),0))),0)</f>
        <v>0</v>
      </c>
      <c r="DL136" s="28">
        <f>IF(DL131=1,IF(INDEX('Lease Cycles'!$EF$15:$EL$15,1,DL129)=1,0,DL132*(1-IF(DL130&lt;INDEX('Lease Cycles'!$DK$15:$DQ$15,1,DL129),0,IF(DL130=INDEX('Lease Cycles'!$DK$15:$DQ$15,1,DL129),1-INDEX('Lease Cycles'!$DR$15:$DX$15,1,DL129),1))-IF(DL130=0,INDEX('Lease Cycles'!$DD$15:$DJ$15,1,DL129),0))),0)</f>
        <v>0</v>
      </c>
      <c r="DM136" s="28">
        <f>IF(DM131=1,IF(INDEX('Lease Cycles'!$EF$15:$EL$15,1,DM129)=1,0,DM132*(1-IF(DM130&lt;INDEX('Lease Cycles'!$DK$15:$DQ$15,1,DM129),0,IF(DM130=INDEX('Lease Cycles'!$DK$15:$DQ$15,1,DM129),1-INDEX('Lease Cycles'!$DR$15:$DX$15,1,DM129),1))-IF(DM130=0,INDEX('Lease Cycles'!$DD$15:$DJ$15,1,DM129),0))),0)</f>
        <v>0</v>
      </c>
      <c r="DN136" s="28">
        <f>IF(DN131=1,IF(INDEX('Lease Cycles'!$EF$15:$EL$15,1,DN129)=1,0,DN132*(1-IF(DN130&lt;INDEX('Lease Cycles'!$DK$15:$DQ$15,1,DN129),0,IF(DN130=INDEX('Lease Cycles'!$DK$15:$DQ$15,1,DN129),1-INDEX('Lease Cycles'!$DR$15:$DX$15,1,DN129),1))-IF(DN130=0,INDEX('Lease Cycles'!$DD$15:$DJ$15,1,DN129),0))),0)</f>
        <v>0</v>
      </c>
      <c r="DO136" s="28">
        <f>IF(DO131=1,IF(INDEX('Lease Cycles'!$EF$15:$EL$15,1,DO129)=1,0,DO132*(1-IF(DO130&lt;INDEX('Lease Cycles'!$DK$15:$DQ$15,1,DO129),0,IF(DO130=INDEX('Lease Cycles'!$DK$15:$DQ$15,1,DO129),1-INDEX('Lease Cycles'!$DR$15:$DX$15,1,DO129),1))-IF(DO130=0,INDEX('Lease Cycles'!$DD$15:$DJ$15,1,DO129),0))),0)</f>
        <v>0</v>
      </c>
      <c r="DP136" s="28">
        <f>IF(DP131=1,IF(INDEX('Lease Cycles'!$EF$15:$EL$15,1,DP129)=1,0,DP132*(1-IF(DP130&lt;INDEX('Lease Cycles'!$DK$15:$DQ$15,1,DP129),0,IF(DP130=INDEX('Lease Cycles'!$DK$15:$DQ$15,1,DP129),1-INDEX('Lease Cycles'!$DR$15:$DX$15,1,DP129),1))-IF(DP130=0,INDEX('Lease Cycles'!$DD$15:$DJ$15,1,DP129),0))),0)</f>
        <v>0</v>
      </c>
      <c r="DQ136" s="28">
        <f>IF(DQ131=1,IF(INDEX('Lease Cycles'!$EF$15:$EL$15,1,DQ129)=1,0,DQ132*(1-IF(DQ130&lt;INDEX('Lease Cycles'!$DK$15:$DQ$15,1,DQ129),0,IF(DQ130=INDEX('Lease Cycles'!$DK$15:$DQ$15,1,DQ129),1-INDEX('Lease Cycles'!$DR$15:$DX$15,1,DQ129),1))-IF(DQ130=0,INDEX('Lease Cycles'!$DD$15:$DJ$15,1,DQ129),0))),0)</f>
        <v>0</v>
      </c>
      <c r="DR136" s="28">
        <f>IF(DR131=1,IF(INDEX('Lease Cycles'!$EF$15:$EL$15,1,DR129)=1,0,DR132*(1-IF(DR130&lt;INDEX('Lease Cycles'!$DK$15:$DQ$15,1,DR129),0,IF(DR130=INDEX('Lease Cycles'!$DK$15:$DQ$15,1,DR129),1-INDEX('Lease Cycles'!$DR$15:$DX$15,1,DR129),1))-IF(DR130=0,INDEX('Lease Cycles'!$DD$15:$DJ$15,1,DR129),0))),0)</f>
        <v>0</v>
      </c>
      <c r="DS136" s="28">
        <f>IF(DS131=1,IF(INDEX('Lease Cycles'!$EF$15:$EL$15,1,DS129)=1,0,DS132*(1-IF(DS130&lt;INDEX('Lease Cycles'!$DK$15:$DQ$15,1,DS129),0,IF(DS130=INDEX('Lease Cycles'!$DK$15:$DQ$15,1,DS129),1-INDEX('Lease Cycles'!$DR$15:$DX$15,1,DS129),1))-IF(DS130=0,INDEX('Lease Cycles'!$DD$15:$DJ$15,1,DS129),0))),0)</f>
        <v>0</v>
      </c>
      <c r="DT136" s="28">
        <f>IF(DT131=1,IF(INDEX('Lease Cycles'!$EF$15:$EL$15,1,DT129)=1,0,DT132*(1-IF(DT130&lt;INDEX('Lease Cycles'!$DK$15:$DQ$15,1,DT129),0,IF(DT130=INDEX('Lease Cycles'!$DK$15:$DQ$15,1,DT129),1-INDEX('Lease Cycles'!$DR$15:$DX$15,1,DT129),1))-IF(DT130=0,INDEX('Lease Cycles'!$DD$15:$DJ$15,1,DT129),0))),0)</f>
        <v>0</v>
      </c>
      <c r="DU136" s="28">
        <f>IF(DU131=1,IF(INDEX('Lease Cycles'!$EF$15:$EL$15,1,DU129)=1,0,DU132*(1-IF(DU130&lt;INDEX('Lease Cycles'!$DK$15:$DQ$15,1,DU129),0,IF(DU130=INDEX('Lease Cycles'!$DK$15:$DQ$15,1,DU129),1-INDEX('Lease Cycles'!$DR$15:$DX$15,1,DU129),1))-IF(DU130=0,INDEX('Lease Cycles'!$DD$15:$DJ$15,1,DU129),0))),0)</f>
        <v>0</v>
      </c>
      <c r="DV136" s="28">
        <f>IF(DV131=1,IF(INDEX('Lease Cycles'!$EF$15:$EL$15,1,DV129)=1,0,DV132*(1-IF(DV130&lt;INDEX('Lease Cycles'!$DK$15:$DQ$15,1,DV129),0,IF(DV130=INDEX('Lease Cycles'!$DK$15:$DQ$15,1,DV129),1-INDEX('Lease Cycles'!$DR$15:$DX$15,1,DV129),1))-IF(DV130=0,INDEX('Lease Cycles'!$DD$15:$DJ$15,1,DV129),0))),0)</f>
        <v>0</v>
      </c>
      <c r="DW136" s="28">
        <f>IF(DW131=1,IF(INDEX('Lease Cycles'!$EF$15:$EL$15,1,DW129)=1,0,DW132*(1-IF(DW130&lt;INDEX('Lease Cycles'!$DK$15:$DQ$15,1,DW129),0,IF(DW130=INDEX('Lease Cycles'!$DK$15:$DQ$15,1,DW129),1-INDEX('Lease Cycles'!$DR$15:$DX$15,1,DW129),1))-IF(DW130=0,INDEX('Lease Cycles'!$DD$15:$DJ$15,1,DW129),0))),0)</f>
        <v>0</v>
      </c>
      <c r="DX136" s="28">
        <f>IF(DX131=1,IF(INDEX('Lease Cycles'!$EF$15:$EL$15,1,DX129)=1,0,DX132*(1-IF(DX130&lt;INDEX('Lease Cycles'!$DK$15:$DQ$15,1,DX129),0,IF(DX130=INDEX('Lease Cycles'!$DK$15:$DQ$15,1,DX129),1-INDEX('Lease Cycles'!$DR$15:$DX$15,1,DX129),1))-IF(DX130=0,INDEX('Lease Cycles'!$DD$15:$DJ$15,1,DX129),0))),0)</f>
        <v>0</v>
      </c>
      <c r="DY136" s="28">
        <f>IF(DY131=1,IF(INDEX('Lease Cycles'!$EF$15:$EL$15,1,DY129)=1,0,DY132*(1-IF(DY130&lt;INDEX('Lease Cycles'!$DK$15:$DQ$15,1,DY129),0,IF(DY130=INDEX('Lease Cycles'!$DK$15:$DQ$15,1,DY129),1-INDEX('Lease Cycles'!$DR$15:$DX$15,1,DY129),1))-IF(DY130=0,INDEX('Lease Cycles'!$DD$15:$DJ$15,1,DY129),0))),0)</f>
        <v>0</v>
      </c>
      <c r="DZ136" s="28">
        <f>IF(DZ131=1,IF(INDEX('Lease Cycles'!$EF$15:$EL$15,1,DZ129)=1,0,DZ132*(1-IF(DZ130&lt;INDEX('Lease Cycles'!$DK$15:$DQ$15,1,DZ129),0,IF(DZ130=INDEX('Lease Cycles'!$DK$15:$DQ$15,1,DZ129),1-INDEX('Lease Cycles'!$DR$15:$DX$15,1,DZ129),1))-IF(DZ130=0,INDEX('Lease Cycles'!$DD$15:$DJ$15,1,DZ129),0))),0)</f>
        <v>0</v>
      </c>
      <c r="EA136" s="28">
        <f>IF(EA131=1,IF(INDEX('Lease Cycles'!$EF$15:$EL$15,1,EA129)=1,0,EA132*(1-IF(EA130&lt;INDEX('Lease Cycles'!$DK$15:$DQ$15,1,EA129),0,IF(EA130=INDEX('Lease Cycles'!$DK$15:$DQ$15,1,EA129),1-INDEX('Lease Cycles'!$DR$15:$DX$15,1,EA129),1))-IF(EA130=0,INDEX('Lease Cycles'!$DD$15:$DJ$15,1,EA129),0))),0)</f>
        <v>0</v>
      </c>
      <c r="EB136" s="28">
        <f>IF(EB131=1,IF(INDEX('Lease Cycles'!$EF$15:$EL$15,1,EB129)=1,0,EB132*(1-IF(EB130&lt;INDEX('Lease Cycles'!$DK$15:$DQ$15,1,EB129),0,IF(EB130=INDEX('Lease Cycles'!$DK$15:$DQ$15,1,EB129),1-INDEX('Lease Cycles'!$DR$15:$DX$15,1,EB129),1))-IF(EB130=0,INDEX('Lease Cycles'!$DD$15:$DJ$15,1,EB129),0))),0)</f>
        <v>0</v>
      </c>
      <c r="EC136" s="28">
        <f>IF(EC131=1,IF(INDEX('Lease Cycles'!$EF$15:$EL$15,1,EC129)=1,0,EC132*(1-IF(EC130&lt;INDEX('Lease Cycles'!$DK$15:$DQ$15,1,EC129),0,IF(EC130=INDEX('Lease Cycles'!$DK$15:$DQ$15,1,EC129),1-INDEX('Lease Cycles'!$DR$15:$DX$15,1,EC129),1))-IF(EC130=0,INDEX('Lease Cycles'!$DD$15:$DJ$15,1,EC129),0))),0)</f>
        <v>0</v>
      </c>
      <c r="ED136" s="28">
        <f>IF(ED131=1,IF(INDEX('Lease Cycles'!$EF$15:$EL$15,1,ED129)=1,0,ED132*(1-IF(ED130&lt;INDEX('Lease Cycles'!$DK$15:$DQ$15,1,ED129),0,IF(ED130=INDEX('Lease Cycles'!$DK$15:$DQ$15,1,ED129),1-INDEX('Lease Cycles'!$DR$15:$DX$15,1,ED129),1))-IF(ED130=0,INDEX('Lease Cycles'!$DD$15:$DJ$15,1,ED129),0))),0)</f>
        <v>0</v>
      </c>
      <c r="EE136" s="28">
        <f>IF(EE131=1,IF(INDEX('Lease Cycles'!$EF$15:$EL$15,1,EE129)=1,0,EE132*(1-IF(EE130&lt;INDEX('Lease Cycles'!$DK$15:$DQ$15,1,EE129),0,IF(EE130=INDEX('Lease Cycles'!$DK$15:$DQ$15,1,EE129),1-INDEX('Lease Cycles'!$DR$15:$DX$15,1,EE129),1))-IF(EE130=0,INDEX('Lease Cycles'!$DD$15:$DJ$15,1,EE129),0))),0)</f>
        <v>0</v>
      </c>
      <c r="EF136" s="28">
        <f>IF(EF131=1,IF(INDEX('Lease Cycles'!$EF$15:$EL$15,1,EF129)=1,0,EF132*(1-IF(EF130&lt;INDEX('Lease Cycles'!$DK$15:$DQ$15,1,EF129),0,IF(EF130=INDEX('Lease Cycles'!$DK$15:$DQ$15,1,EF129),1-INDEX('Lease Cycles'!$DR$15:$DX$15,1,EF129),1))-IF(EF130=0,INDEX('Lease Cycles'!$DD$15:$DJ$15,1,EF129),0))),0)</f>
        <v>0</v>
      </c>
      <c r="EG136" s="28">
        <f>IF(EG131=1,IF(INDEX('Lease Cycles'!$EF$15:$EL$15,1,EG129)=1,0,EG132*(1-IF(EG130&lt;INDEX('Lease Cycles'!$DK$15:$DQ$15,1,EG129),0,IF(EG130=INDEX('Lease Cycles'!$DK$15:$DQ$15,1,EG129),1-INDEX('Lease Cycles'!$DR$15:$DX$15,1,EG129),1))-IF(EG130=0,INDEX('Lease Cycles'!$DD$15:$DJ$15,1,EG129),0))),0)</f>
        <v>0</v>
      </c>
      <c r="EH136" s="28">
        <f>IF(EH131=1,IF(INDEX('Lease Cycles'!$EF$15:$EL$15,1,EH129)=1,0,EH132*(1-IF(EH130&lt;INDEX('Lease Cycles'!$DK$15:$DQ$15,1,EH129),0,IF(EH130=INDEX('Lease Cycles'!$DK$15:$DQ$15,1,EH129),1-INDEX('Lease Cycles'!$DR$15:$DX$15,1,EH129),1))-IF(EH130=0,INDEX('Lease Cycles'!$DD$15:$DJ$15,1,EH129),0))),0)</f>
        <v>0</v>
      </c>
      <c r="EI136" s="28">
        <f>IF(EI131=1,IF(INDEX('Lease Cycles'!$EF$15:$EL$15,1,EI129)=1,0,EI132*(1-IF(EI130&lt;INDEX('Lease Cycles'!$DK$15:$DQ$15,1,EI129),0,IF(EI130=INDEX('Lease Cycles'!$DK$15:$DQ$15,1,EI129),1-INDEX('Lease Cycles'!$DR$15:$DX$15,1,EI129),1))-IF(EI130=0,INDEX('Lease Cycles'!$DD$15:$DJ$15,1,EI129),0))),0)</f>
        <v>0</v>
      </c>
      <c r="EJ136" s="28">
        <f>IF(EJ131=1,IF(INDEX('Lease Cycles'!$EF$15:$EL$15,1,EJ129)=1,0,EJ132*(1-IF(EJ130&lt;INDEX('Lease Cycles'!$DK$15:$DQ$15,1,EJ129),0,IF(EJ130=INDEX('Lease Cycles'!$DK$15:$DQ$15,1,EJ129),1-INDEX('Lease Cycles'!$DR$15:$DX$15,1,EJ129),1))-IF(EJ130=0,INDEX('Lease Cycles'!$DD$15:$DJ$15,1,EJ129),0))),0)</f>
        <v>0</v>
      </c>
      <c r="EK136" s="28">
        <f>IF(EK131=1,IF(INDEX('Lease Cycles'!$EF$15:$EL$15,1,EK129)=1,0,EK132*(1-IF(EK130&lt;INDEX('Lease Cycles'!$DK$15:$DQ$15,1,EK129),0,IF(EK130=INDEX('Lease Cycles'!$DK$15:$DQ$15,1,EK129),1-INDEX('Lease Cycles'!$DR$15:$DX$15,1,EK129),1))-IF(EK130=0,INDEX('Lease Cycles'!$DD$15:$DJ$15,1,EK129),0))),0)</f>
        <v>0</v>
      </c>
      <c r="EL136" s="28">
        <f>IF(EL131=1,IF(INDEX('Lease Cycles'!$EF$15:$EL$15,1,EL129)=1,0,EL132*(1-IF(EL130&lt;INDEX('Lease Cycles'!$DK$15:$DQ$15,1,EL129),0,IF(EL130=INDEX('Lease Cycles'!$DK$15:$DQ$15,1,EL129),1-INDEX('Lease Cycles'!$DR$15:$DX$15,1,EL129),1))-IF(EL130=0,INDEX('Lease Cycles'!$DD$15:$DJ$15,1,EL129),0))),0)</f>
        <v>0</v>
      </c>
      <c r="EM136" s="28">
        <f>IF(EM131=1,IF(INDEX('Lease Cycles'!$EF$15:$EL$15,1,EM129)=1,0,EM132*(1-IF(EM130&lt;INDEX('Lease Cycles'!$DK$15:$DQ$15,1,EM129),0,IF(EM130=INDEX('Lease Cycles'!$DK$15:$DQ$15,1,EM129),1-INDEX('Lease Cycles'!$DR$15:$DX$15,1,EM129),1))-IF(EM130=0,INDEX('Lease Cycles'!$DD$15:$DJ$15,1,EM129),0))),0)</f>
        <v>0</v>
      </c>
      <c r="EN136" s="28">
        <f>IF(EN131=1,IF(INDEX('Lease Cycles'!$EF$15:$EL$15,1,EN129)=1,0,EN132*(1-IF(EN130&lt;INDEX('Lease Cycles'!$DK$15:$DQ$15,1,EN129),0,IF(EN130=INDEX('Lease Cycles'!$DK$15:$DQ$15,1,EN129),1-INDEX('Lease Cycles'!$DR$15:$DX$15,1,EN129),1))-IF(EN130=0,INDEX('Lease Cycles'!$DD$15:$DJ$15,1,EN129),0))),0)</f>
        <v>0</v>
      </c>
      <c r="EO136" s="28">
        <f>IF(EO131=1,IF(INDEX('Lease Cycles'!$EF$15:$EL$15,1,EO129)=1,0,EO132*(1-IF(EO130&lt;INDEX('Lease Cycles'!$DK$15:$DQ$15,1,EO129),0,IF(EO130=INDEX('Lease Cycles'!$DK$15:$DQ$15,1,EO129),1-INDEX('Lease Cycles'!$DR$15:$DX$15,1,EO129),1))-IF(EO130=0,INDEX('Lease Cycles'!$DD$15:$DJ$15,1,EO129),0))),0)</f>
        <v>0</v>
      </c>
      <c r="EP136" s="28">
        <f>IF(EP131=1,IF(INDEX('Lease Cycles'!$EF$15:$EL$15,1,EP129)=1,0,EP132*(1-IF(EP130&lt;INDEX('Lease Cycles'!$DK$15:$DQ$15,1,EP129),0,IF(EP130=INDEX('Lease Cycles'!$DK$15:$DQ$15,1,EP129),1-INDEX('Lease Cycles'!$DR$15:$DX$15,1,EP129),1))-IF(EP130=0,INDEX('Lease Cycles'!$DD$15:$DJ$15,1,EP129),0))),0)</f>
        <v>0</v>
      </c>
      <c r="EQ136" s="28">
        <f>IF(EQ131=1,IF(INDEX('Lease Cycles'!$EF$15:$EL$15,1,EQ129)=1,0,EQ132*(1-IF(EQ130&lt;INDEX('Lease Cycles'!$DK$15:$DQ$15,1,EQ129),0,IF(EQ130=INDEX('Lease Cycles'!$DK$15:$DQ$15,1,EQ129),1-INDEX('Lease Cycles'!$DR$15:$DX$15,1,EQ129),1))-IF(EQ130=0,INDEX('Lease Cycles'!$DD$15:$DJ$15,1,EQ129),0))),0)</f>
        <v>0</v>
      </c>
      <c r="ER136" s="28">
        <f>IF(ER131=1,IF(INDEX('Lease Cycles'!$EF$15:$EL$15,1,ER129)=1,0,ER132*(1-IF(ER130&lt;INDEX('Lease Cycles'!$DK$15:$DQ$15,1,ER129),0,IF(ER130=INDEX('Lease Cycles'!$DK$15:$DQ$15,1,ER129),1-INDEX('Lease Cycles'!$DR$15:$DX$15,1,ER129),1))-IF(ER130=0,INDEX('Lease Cycles'!$DD$15:$DJ$15,1,ER129),0))),0)</f>
        <v>0</v>
      </c>
      <c r="ES136" s="28">
        <f>IF(ES131=1,IF(INDEX('Lease Cycles'!$EF$15:$EL$15,1,ES129)=1,0,ES132*(1-IF(ES130&lt;INDEX('Lease Cycles'!$DK$15:$DQ$15,1,ES129),0,IF(ES130=INDEX('Lease Cycles'!$DK$15:$DQ$15,1,ES129),1-INDEX('Lease Cycles'!$DR$15:$DX$15,1,ES129),1))-IF(ES130=0,INDEX('Lease Cycles'!$DD$15:$DJ$15,1,ES129),0))),0)</f>
        <v>1528.9486967856194</v>
      </c>
      <c r="ET136" s="28">
        <f>IF(ET131=1,IF(INDEX('Lease Cycles'!$EF$15:$EL$15,1,ET129)=1,0,ET132*(1-IF(ET130&lt;INDEX('Lease Cycles'!$DK$15:$DQ$15,1,ET129),0,IF(ET130=INDEX('Lease Cycles'!$DK$15:$DQ$15,1,ET129),1-INDEX('Lease Cycles'!$DR$15:$DX$15,1,ET129),1))-IF(ET130=0,INDEX('Lease Cycles'!$DD$15:$DJ$15,1,ET129),0))),0)</f>
        <v>0</v>
      </c>
    </row>
    <row r="137">
      <c r="A137" s="103">
        <v>8</v>
      </c>
      <c r="B137" s="23" t="str">
        <f>IF('Lease Cycles'!$B$15="","(empty slot)",'Lease Cycles'!$B$15)</f>
        <v>Sunfield Bagels</v>
      </c>
      <c r="C137" s="23" t="s">
        <v>683</v>
      </c>
      <c r="D137" s="104" t="s">
        <v>684</v>
      </c>
      <c r="E137" s="25">
        <f>'Lease Cycles'!$AL$15</f>
        <v>0</v>
      </c>
      <c r="G137" s="24">
        <f>SUM(S137:AD137)</f>
        <v>0.24120603015075376</v>
      </c>
      <c r="H137" s="24">
        <f>SUM(AE137:AP137)</f>
        <v>0.24120603015075376</v>
      </c>
      <c r="I137" s="24">
        <f>SUM(AQ137:BB137)</f>
        <v>0.24120603015075376</v>
      </c>
      <c r="J137" s="24">
        <f>SUM(BC137:BN137)</f>
        <v>0.21708542713567833</v>
      </c>
      <c r="K137" s="24">
        <f>SUM(BO137:BZ137)</f>
        <v>0.24120603015075376</v>
      </c>
      <c r="L137" s="24">
        <f>SUM(CA137:CL137)</f>
        <v>0.24120603015075376</v>
      </c>
      <c r="M137" s="24">
        <f>SUM(CM137:CX137)</f>
        <v>0.24120603015075376</v>
      </c>
      <c r="N137" s="24">
        <f>SUM(CY137:DJ137)</f>
        <v>0.24120603015075376</v>
      </c>
      <c r="O137" s="24">
        <f>SUM(DK137:DV137)</f>
        <v>0.24120603015075376</v>
      </c>
      <c r="P137" s="24">
        <f>SUM(DW137:EH137)</f>
        <v>0.24120603015075376</v>
      </c>
      <c r="Q137" s="24">
        <f>SUM(EI137:ET137)</f>
        <v>0.21708542713567863</v>
      </c>
      <c r="S137" s="24">
        <f>IF(S131=1,'Lease Cycles'!$D$15*IF(INDEX('Lease Cycles'!$EF$15:$EL$15,1,S129)=1,(1-'Lease Cycles'!$AJ$15)*INDEX('Lease Cycles'!$EM$15:$ES$15,1,S129)+(1-'Lease Cycles'!$BE$15)*IF(S130&lt;INDEX('Lease Cycles'!$FA$15:$FG$15,1,S129),0,1-INDEX('Lease Cycles'!$EM$15:$ES$15,1,S129)),IF(OR(INDEX('Lease Cycles'!$DY$15:$EE$15,1,S129)=1,S130&gt;0),1,1-INDEX('Lease Cycles'!$DD$15:$DJ$15,1,S129))*((1-'Lease Cycles'!$AJ$15)*INDEX('Lease Cycles'!$FO$15:$FU$15,1,S129)+(1-'Lease Cycles'!$BE$15)*(1-INDEX('Lease Cycles'!$FO$15:$FU$15,1,S129)))),0)</f>
        <v>0.020100502512562814</v>
      </c>
      <c r="T137" s="24">
        <f>IF(T131=1,'Lease Cycles'!$D$15*IF(INDEX('Lease Cycles'!$EF$15:$EL$15,1,T129)=1,(1-'Lease Cycles'!$AJ$15)*INDEX('Lease Cycles'!$EM$15:$ES$15,1,T129)+(1-'Lease Cycles'!$BE$15)*IF(T130&lt;INDEX('Lease Cycles'!$FA$15:$FG$15,1,T129),0,1-INDEX('Lease Cycles'!$EM$15:$ES$15,1,T129)),IF(OR(INDEX('Lease Cycles'!$DY$15:$EE$15,1,T129)=1,T130&gt;0),1,1-INDEX('Lease Cycles'!$DD$15:$DJ$15,1,T129))*((1-'Lease Cycles'!$AJ$15)*INDEX('Lease Cycles'!$FO$15:$FU$15,1,T129)+(1-'Lease Cycles'!$BE$15)*(1-INDEX('Lease Cycles'!$FO$15:$FU$15,1,T129)))),0)</f>
        <v>0.020100502512562814</v>
      </c>
      <c r="U137" s="24">
        <f>IF(U131=1,'Lease Cycles'!$D$15*IF(INDEX('Lease Cycles'!$EF$15:$EL$15,1,U129)=1,(1-'Lease Cycles'!$AJ$15)*INDEX('Lease Cycles'!$EM$15:$ES$15,1,U129)+(1-'Lease Cycles'!$BE$15)*IF(U130&lt;INDEX('Lease Cycles'!$FA$15:$FG$15,1,U129),0,1-INDEX('Lease Cycles'!$EM$15:$ES$15,1,U129)),IF(OR(INDEX('Lease Cycles'!$DY$15:$EE$15,1,U129)=1,U130&gt;0),1,1-INDEX('Lease Cycles'!$DD$15:$DJ$15,1,U129))*((1-'Lease Cycles'!$AJ$15)*INDEX('Lease Cycles'!$FO$15:$FU$15,1,U129)+(1-'Lease Cycles'!$BE$15)*(1-INDEX('Lease Cycles'!$FO$15:$FU$15,1,U129)))),0)</f>
        <v>0.020100502512562814</v>
      </c>
      <c r="V137" s="24">
        <f>IF(V131=1,'Lease Cycles'!$D$15*IF(INDEX('Lease Cycles'!$EF$15:$EL$15,1,V129)=1,(1-'Lease Cycles'!$AJ$15)*INDEX('Lease Cycles'!$EM$15:$ES$15,1,V129)+(1-'Lease Cycles'!$BE$15)*IF(V130&lt;INDEX('Lease Cycles'!$FA$15:$FG$15,1,V129),0,1-INDEX('Lease Cycles'!$EM$15:$ES$15,1,V129)),IF(OR(INDEX('Lease Cycles'!$DY$15:$EE$15,1,V129)=1,V130&gt;0),1,1-INDEX('Lease Cycles'!$DD$15:$DJ$15,1,V129))*((1-'Lease Cycles'!$AJ$15)*INDEX('Lease Cycles'!$FO$15:$FU$15,1,V129)+(1-'Lease Cycles'!$BE$15)*(1-INDEX('Lease Cycles'!$FO$15:$FU$15,1,V129)))),0)</f>
        <v>0.020100502512562814</v>
      </c>
      <c r="W137" s="24">
        <f>IF(W131=1,'Lease Cycles'!$D$15*IF(INDEX('Lease Cycles'!$EF$15:$EL$15,1,W129)=1,(1-'Lease Cycles'!$AJ$15)*INDEX('Lease Cycles'!$EM$15:$ES$15,1,W129)+(1-'Lease Cycles'!$BE$15)*IF(W130&lt;INDEX('Lease Cycles'!$FA$15:$FG$15,1,W129),0,1-INDEX('Lease Cycles'!$EM$15:$ES$15,1,W129)),IF(OR(INDEX('Lease Cycles'!$DY$15:$EE$15,1,W129)=1,W130&gt;0),1,1-INDEX('Lease Cycles'!$DD$15:$DJ$15,1,W129))*((1-'Lease Cycles'!$AJ$15)*INDEX('Lease Cycles'!$FO$15:$FU$15,1,W129)+(1-'Lease Cycles'!$BE$15)*(1-INDEX('Lease Cycles'!$FO$15:$FU$15,1,W129)))),0)</f>
        <v>0.020100502512562814</v>
      </c>
      <c r="X137" s="24">
        <f>IF(X131=1,'Lease Cycles'!$D$15*IF(INDEX('Lease Cycles'!$EF$15:$EL$15,1,X129)=1,(1-'Lease Cycles'!$AJ$15)*INDEX('Lease Cycles'!$EM$15:$ES$15,1,X129)+(1-'Lease Cycles'!$BE$15)*IF(X130&lt;INDEX('Lease Cycles'!$FA$15:$FG$15,1,X129),0,1-INDEX('Lease Cycles'!$EM$15:$ES$15,1,X129)),IF(OR(INDEX('Lease Cycles'!$DY$15:$EE$15,1,X129)=1,X130&gt;0),1,1-INDEX('Lease Cycles'!$DD$15:$DJ$15,1,X129))*((1-'Lease Cycles'!$AJ$15)*INDEX('Lease Cycles'!$FO$15:$FU$15,1,X129)+(1-'Lease Cycles'!$BE$15)*(1-INDEX('Lease Cycles'!$FO$15:$FU$15,1,X129)))),0)</f>
        <v>0.020100502512562814</v>
      </c>
      <c r="Y137" s="24">
        <f>IF(Y131=1,'Lease Cycles'!$D$15*IF(INDEX('Lease Cycles'!$EF$15:$EL$15,1,Y129)=1,(1-'Lease Cycles'!$AJ$15)*INDEX('Lease Cycles'!$EM$15:$ES$15,1,Y129)+(1-'Lease Cycles'!$BE$15)*IF(Y130&lt;INDEX('Lease Cycles'!$FA$15:$FG$15,1,Y129),0,1-INDEX('Lease Cycles'!$EM$15:$ES$15,1,Y129)),IF(OR(INDEX('Lease Cycles'!$DY$15:$EE$15,1,Y129)=1,Y130&gt;0),1,1-INDEX('Lease Cycles'!$DD$15:$DJ$15,1,Y129))*((1-'Lease Cycles'!$AJ$15)*INDEX('Lease Cycles'!$FO$15:$FU$15,1,Y129)+(1-'Lease Cycles'!$BE$15)*(1-INDEX('Lease Cycles'!$FO$15:$FU$15,1,Y129)))),0)</f>
        <v>0.020100502512562814</v>
      </c>
      <c r="Z137" s="24">
        <f>IF(Z131=1,'Lease Cycles'!$D$15*IF(INDEX('Lease Cycles'!$EF$15:$EL$15,1,Z129)=1,(1-'Lease Cycles'!$AJ$15)*INDEX('Lease Cycles'!$EM$15:$ES$15,1,Z129)+(1-'Lease Cycles'!$BE$15)*IF(Z130&lt;INDEX('Lease Cycles'!$FA$15:$FG$15,1,Z129),0,1-INDEX('Lease Cycles'!$EM$15:$ES$15,1,Z129)),IF(OR(INDEX('Lease Cycles'!$DY$15:$EE$15,1,Z129)=1,Z130&gt;0),1,1-INDEX('Lease Cycles'!$DD$15:$DJ$15,1,Z129))*((1-'Lease Cycles'!$AJ$15)*INDEX('Lease Cycles'!$FO$15:$FU$15,1,Z129)+(1-'Lease Cycles'!$BE$15)*(1-INDEX('Lease Cycles'!$FO$15:$FU$15,1,Z129)))),0)</f>
        <v>0.020100502512562814</v>
      </c>
      <c r="AA137" s="24">
        <f>IF(AA131=1,'Lease Cycles'!$D$15*IF(INDEX('Lease Cycles'!$EF$15:$EL$15,1,AA129)=1,(1-'Lease Cycles'!$AJ$15)*INDEX('Lease Cycles'!$EM$15:$ES$15,1,AA129)+(1-'Lease Cycles'!$BE$15)*IF(AA130&lt;INDEX('Lease Cycles'!$FA$15:$FG$15,1,AA129),0,1-INDEX('Lease Cycles'!$EM$15:$ES$15,1,AA129)),IF(OR(INDEX('Lease Cycles'!$DY$15:$EE$15,1,AA129)=1,AA130&gt;0),1,1-INDEX('Lease Cycles'!$DD$15:$DJ$15,1,AA129))*((1-'Lease Cycles'!$AJ$15)*INDEX('Lease Cycles'!$FO$15:$FU$15,1,AA129)+(1-'Lease Cycles'!$BE$15)*(1-INDEX('Lease Cycles'!$FO$15:$FU$15,1,AA129)))),0)</f>
        <v>0.020100502512562814</v>
      </c>
      <c r="AB137" s="24">
        <f>IF(AB131=1,'Lease Cycles'!$D$15*IF(INDEX('Lease Cycles'!$EF$15:$EL$15,1,AB129)=1,(1-'Lease Cycles'!$AJ$15)*INDEX('Lease Cycles'!$EM$15:$ES$15,1,AB129)+(1-'Lease Cycles'!$BE$15)*IF(AB130&lt;INDEX('Lease Cycles'!$FA$15:$FG$15,1,AB129),0,1-INDEX('Lease Cycles'!$EM$15:$ES$15,1,AB129)),IF(OR(INDEX('Lease Cycles'!$DY$15:$EE$15,1,AB129)=1,AB130&gt;0),1,1-INDEX('Lease Cycles'!$DD$15:$DJ$15,1,AB129))*((1-'Lease Cycles'!$AJ$15)*INDEX('Lease Cycles'!$FO$15:$FU$15,1,AB129)+(1-'Lease Cycles'!$BE$15)*(1-INDEX('Lease Cycles'!$FO$15:$FU$15,1,AB129)))),0)</f>
        <v>0.020100502512562814</v>
      </c>
      <c r="AC137" s="24">
        <f>IF(AC131=1,'Lease Cycles'!$D$15*IF(INDEX('Lease Cycles'!$EF$15:$EL$15,1,AC129)=1,(1-'Lease Cycles'!$AJ$15)*INDEX('Lease Cycles'!$EM$15:$ES$15,1,AC129)+(1-'Lease Cycles'!$BE$15)*IF(AC130&lt;INDEX('Lease Cycles'!$FA$15:$FG$15,1,AC129),0,1-INDEX('Lease Cycles'!$EM$15:$ES$15,1,AC129)),IF(OR(INDEX('Lease Cycles'!$DY$15:$EE$15,1,AC129)=1,AC130&gt;0),1,1-INDEX('Lease Cycles'!$DD$15:$DJ$15,1,AC129))*((1-'Lease Cycles'!$AJ$15)*INDEX('Lease Cycles'!$FO$15:$FU$15,1,AC129)+(1-'Lease Cycles'!$BE$15)*(1-INDEX('Lease Cycles'!$FO$15:$FU$15,1,AC129)))),0)</f>
        <v>0.020100502512562814</v>
      </c>
      <c r="AD137" s="24">
        <f>IF(AD131=1,'Lease Cycles'!$D$15*IF(INDEX('Lease Cycles'!$EF$15:$EL$15,1,AD129)=1,(1-'Lease Cycles'!$AJ$15)*INDEX('Lease Cycles'!$EM$15:$ES$15,1,AD129)+(1-'Lease Cycles'!$BE$15)*IF(AD130&lt;INDEX('Lease Cycles'!$FA$15:$FG$15,1,AD129),0,1-INDEX('Lease Cycles'!$EM$15:$ES$15,1,AD129)),IF(OR(INDEX('Lease Cycles'!$DY$15:$EE$15,1,AD129)=1,AD130&gt;0),1,1-INDEX('Lease Cycles'!$DD$15:$DJ$15,1,AD129))*((1-'Lease Cycles'!$AJ$15)*INDEX('Lease Cycles'!$FO$15:$FU$15,1,AD129)+(1-'Lease Cycles'!$BE$15)*(1-INDEX('Lease Cycles'!$FO$15:$FU$15,1,AD129)))),0)</f>
        <v>0.020100502512562814</v>
      </c>
      <c r="AE137" s="24">
        <f>IF(AE131=1,'Lease Cycles'!$D$15*IF(INDEX('Lease Cycles'!$EF$15:$EL$15,1,AE129)=1,(1-'Lease Cycles'!$AJ$15)*INDEX('Lease Cycles'!$EM$15:$ES$15,1,AE129)+(1-'Lease Cycles'!$BE$15)*IF(AE130&lt;INDEX('Lease Cycles'!$FA$15:$FG$15,1,AE129),0,1-INDEX('Lease Cycles'!$EM$15:$ES$15,1,AE129)),IF(OR(INDEX('Lease Cycles'!$DY$15:$EE$15,1,AE129)=1,AE130&gt;0),1,1-INDEX('Lease Cycles'!$DD$15:$DJ$15,1,AE129))*((1-'Lease Cycles'!$AJ$15)*INDEX('Lease Cycles'!$FO$15:$FU$15,1,AE129)+(1-'Lease Cycles'!$BE$15)*(1-INDEX('Lease Cycles'!$FO$15:$FU$15,1,AE129)))),0)</f>
        <v>0.020100502512562814</v>
      </c>
      <c r="AF137" s="24">
        <f>IF(AF131=1,'Lease Cycles'!$D$15*IF(INDEX('Lease Cycles'!$EF$15:$EL$15,1,AF129)=1,(1-'Lease Cycles'!$AJ$15)*INDEX('Lease Cycles'!$EM$15:$ES$15,1,AF129)+(1-'Lease Cycles'!$BE$15)*IF(AF130&lt;INDEX('Lease Cycles'!$FA$15:$FG$15,1,AF129),0,1-INDEX('Lease Cycles'!$EM$15:$ES$15,1,AF129)),IF(OR(INDEX('Lease Cycles'!$DY$15:$EE$15,1,AF129)=1,AF130&gt;0),1,1-INDEX('Lease Cycles'!$DD$15:$DJ$15,1,AF129))*((1-'Lease Cycles'!$AJ$15)*INDEX('Lease Cycles'!$FO$15:$FU$15,1,AF129)+(1-'Lease Cycles'!$BE$15)*(1-INDEX('Lease Cycles'!$FO$15:$FU$15,1,AF129)))),0)</f>
        <v>0.020100502512562814</v>
      </c>
      <c r="AG137" s="24">
        <f>IF(AG131=1,'Lease Cycles'!$D$15*IF(INDEX('Lease Cycles'!$EF$15:$EL$15,1,AG129)=1,(1-'Lease Cycles'!$AJ$15)*INDEX('Lease Cycles'!$EM$15:$ES$15,1,AG129)+(1-'Lease Cycles'!$BE$15)*IF(AG130&lt;INDEX('Lease Cycles'!$FA$15:$FG$15,1,AG129),0,1-INDEX('Lease Cycles'!$EM$15:$ES$15,1,AG129)),IF(OR(INDEX('Lease Cycles'!$DY$15:$EE$15,1,AG129)=1,AG130&gt;0),1,1-INDEX('Lease Cycles'!$DD$15:$DJ$15,1,AG129))*((1-'Lease Cycles'!$AJ$15)*INDEX('Lease Cycles'!$FO$15:$FU$15,1,AG129)+(1-'Lease Cycles'!$BE$15)*(1-INDEX('Lease Cycles'!$FO$15:$FU$15,1,AG129)))),0)</f>
        <v>0.020100502512562814</v>
      </c>
      <c r="AH137" s="24">
        <f>IF(AH131=1,'Lease Cycles'!$D$15*IF(INDEX('Lease Cycles'!$EF$15:$EL$15,1,AH129)=1,(1-'Lease Cycles'!$AJ$15)*INDEX('Lease Cycles'!$EM$15:$ES$15,1,AH129)+(1-'Lease Cycles'!$BE$15)*IF(AH130&lt;INDEX('Lease Cycles'!$FA$15:$FG$15,1,AH129),0,1-INDEX('Lease Cycles'!$EM$15:$ES$15,1,AH129)),IF(OR(INDEX('Lease Cycles'!$DY$15:$EE$15,1,AH129)=1,AH130&gt;0),1,1-INDEX('Lease Cycles'!$DD$15:$DJ$15,1,AH129))*((1-'Lease Cycles'!$AJ$15)*INDEX('Lease Cycles'!$FO$15:$FU$15,1,AH129)+(1-'Lease Cycles'!$BE$15)*(1-INDEX('Lease Cycles'!$FO$15:$FU$15,1,AH129)))),0)</f>
        <v>0.020100502512562814</v>
      </c>
      <c r="AI137" s="24">
        <f>IF(AI131=1,'Lease Cycles'!$D$15*IF(INDEX('Lease Cycles'!$EF$15:$EL$15,1,AI129)=1,(1-'Lease Cycles'!$AJ$15)*INDEX('Lease Cycles'!$EM$15:$ES$15,1,AI129)+(1-'Lease Cycles'!$BE$15)*IF(AI130&lt;INDEX('Lease Cycles'!$FA$15:$FG$15,1,AI129),0,1-INDEX('Lease Cycles'!$EM$15:$ES$15,1,AI129)),IF(OR(INDEX('Lease Cycles'!$DY$15:$EE$15,1,AI129)=1,AI130&gt;0),1,1-INDEX('Lease Cycles'!$DD$15:$DJ$15,1,AI129))*((1-'Lease Cycles'!$AJ$15)*INDEX('Lease Cycles'!$FO$15:$FU$15,1,AI129)+(1-'Lease Cycles'!$BE$15)*(1-INDEX('Lease Cycles'!$FO$15:$FU$15,1,AI129)))),0)</f>
        <v>0.020100502512562814</v>
      </c>
      <c r="AJ137" s="24">
        <f>IF(AJ131=1,'Lease Cycles'!$D$15*IF(INDEX('Lease Cycles'!$EF$15:$EL$15,1,AJ129)=1,(1-'Lease Cycles'!$AJ$15)*INDEX('Lease Cycles'!$EM$15:$ES$15,1,AJ129)+(1-'Lease Cycles'!$BE$15)*IF(AJ130&lt;INDEX('Lease Cycles'!$FA$15:$FG$15,1,AJ129),0,1-INDEX('Lease Cycles'!$EM$15:$ES$15,1,AJ129)),IF(OR(INDEX('Lease Cycles'!$DY$15:$EE$15,1,AJ129)=1,AJ130&gt;0),1,1-INDEX('Lease Cycles'!$DD$15:$DJ$15,1,AJ129))*((1-'Lease Cycles'!$AJ$15)*INDEX('Lease Cycles'!$FO$15:$FU$15,1,AJ129)+(1-'Lease Cycles'!$BE$15)*(1-INDEX('Lease Cycles'!$FO$15:$FU$15,1,AJ129)))),0)</f>
        <v>0.020100502512562814</v>
      </c>
      <c r="AK137" s="24">
        <f>IF(AK131=1,'Lease Cycles'!$D$15*IF(INDEX('Lease Cycles'!$EF$15:$EL$15,1,AK129)=1,(1-'Lease Cycles'!$AJ$15)*INDEX('Lease Cycles'!$EM$15:$ES$15,1,AK129)+(1-'Lease Cycles'!$BE$15)*IF(AK130&lt;INDEX('Lease Cycles'!$FA$15:$FG$15,1,AK129),0,1-INDEX('Lease Cycles'!$EM$15:$ES$15,1,AK129)),IF(OR(INDEX('Lease Cycles'!$DY$15:$EE$15,1,AK129)=1,AK130&gt;0),1,1-INDEX('Lease Cycles'!$DD$15:$DJ$15,1,AK129))*((1-'Lease Cycles'!$AJ$15)*INDEX('Lease Cycles'!$FO$15:$FU$15,1,AK129)+(1-'Lease Cycles'!$BE$15)*(1-INDEX('Lease Cycles'!$FO$15:$FU$15,1,AK129)))),0)</f>
        <v>0.020100502512562814</v>
      </c>
      <c r="AL137" s="24">
        <f>IF(AL131=1,'Lease Cycles'!$D$15*IF(INDEX('Lease Cycles'!$EF$15:$EL$15,1,AL129)=1,(1-'Lease Cycles'!$AJ$15)*INDEX('Lease Cycles'!$EM$15:$ES$15,1,AL129)+(1-'Lease Cycles'!$BE$15)*IF(AL130&lt;INDEX('Lease Cycles'!$FA$15:$FG$15,1,AL129),0,1-INDEX('Lease Cycles'!$EM$15:$ES$15,1,AL129)),IF(OR(INDEX('Lease Cycles'!$DY$15:$EE$15,1,AL129)=1,AL130&gt;0),1,1-INDEX('Lease Cycles'!$DD$15:$DJ$15,1,AL129))*((1-'Lease Cycles'!$AJ$15)*INDEX('Lease Cycles'!$FO$15:$FU$15,1,AL129)+(1-'Lease Cycles'!$BE$15)*(1-INDEX('Lease Cycles'!$FO$15:$FU$15,1,AL129)))),0)</f>
        <v>0.020100502512562814</v>
      </c>
      <c r="AM137" s="24">
        <f>IF(AM131=1,'Lease Cycles'!$D$15*IF(INDEX('Lease Cycles'!$EF$15:$EL$15,1,AM129)=1,(1-'Lease Cycles'!$AJ$15)*INDEX('Lease Cycles'!$EM$15:$ES$15,1,AM129)+(1-'Lease Cycles'!$BE$15)*IF(AM130&lt;INDEX('Lease Cycles'!$FA$15:$FG$15,1,AM129),0,1-INDEX('Lease Cycles'!$EM$15:$ES$15,1,AM129)),IF(OR(INDEX('Lease Cycles'!$DY$15:$EE$15,1,AM129)=1,AM130&gt;0),1,1-INDEX('Lease Cycles'!$DD$15:$DJ$15,1,AM129))*((1-'Lease Cycles'!$AJ$15)*INDEX('Lease Cycles'!$FO$15:$FU$15,1,AM129)+(1-'Lease Cycles'!$BE$15)*(1-INDEX('Lease Cycles'!$FO$15:$FU$15,1,AM129)))),0)</f>
        <v>0.020100502512562814</v>
      </c>
      <c r="AN137" s="24">
        <f>IF(AN131=1,'Lease Cycles'!$D$15*IF(INDEX('Lease Cycles'!$EF$15:$EL$15,1,AN129)=1,(1-'Lease Cycles'!$AJ$15)*INDEX('Lease Cycles'!$EM$15:$ES$15,1,AN129)+(1-'Lease Cycles'!$BE$15)*IF(AN130&lt;INDEX('Lease Cycles'!$FA$15:$FG$15,1,AN129),0,1-INDEX('Lease Cycles'!$EM$15:$ES$15,1,AN129)),IF(OR(INDEX('Lease Cycles'!$DY$15:$EE$15,1,AN129)=1,AN130&gt;0),1,1-INDEX('Lease Cycles'!$DD$15:$DJ$15,1,AN129))*((1-'Lease Cycles'!$AJ$15)*INDEX('Lease Cycles'!$FO$15:$FU$15,1,AN129)+(1-'Lease Cycles'!$BE$15)*(1-INDEX('Lease Cycles'!$FO$15:$FU$15,1,AN129)))),0)</f>
        <v>0.020100502512562814</v>
      </c>
      <c r="AO137" s="24">
        <f>IF(AO131=1,'Lease Cycles'!$D$15*IF(INDEX('Lease Cycles'!$EF$15:$EL$15,1,AO129)=1,(1-'Lease Cycles'!$AJ$15)*INDEX('Lease Cycles'!$EM$15:$ES$15,1,AO129)+(1-'Lease Cycles'!$BE$15)*IF(AO130&lt;INDEX('Lease Cycles'!$FA$15:$FG$15,1,AO129),0,1-INDEX('Lease Cycles'!$EM$15:$ES$15,1,AO129)),IF(OR(INDEX('Lease Cycles'!$DY$15:$EE$15,1,AO129)=1,AO130&gt;0),1,1-INDEX('Lease Cycles'!$DD$15:$DJ$15,1,AO129))*((1-'Lease Cycles'!$AJ$15)*INDEX('Lease Cycles'!$FO$15:$FU$15,1,AO129)+(1-'Lease Cycles'!$BE$15)*(1-INDEX('Lease Cycles'!$FO$15:$FU$15,1,AO129)))),0)</f>
        <v>0.020100502512562814</v>
      </c>
      <c r="AP137" s="24">
        <f>IF(AP131=1,'Lease Cycles'!$D$15*IF(INDEX('Lease Cycles'!$EF$15:$EL$15,1,AP129)=1,(1-'Lease Cycles'!$AJ$15)*INDEX('Lease Cycles'!$EM$15:$ES$15,1,AP129)+(1-'Lease Cycles'!$BE$15)*IF(AP130&lt;INDEX('Lease Cycles'!$FA$15:$FG$15,1,AP129),0,1-INDEX('Lease Cycles'!$EM$15:$ES$15,1,AP129)),IF(OR(INDEX('Lease Cycles'!$DY$15:$EE$15,1,AP129)=1,AP130&gt;0),1,1-INDEX('Lease Cycles'!$DD$15:$DJ$15,1,AP129))*((1-'Lease Cycles'!$AJ$15)*INDEX('Lease Cycles'!$FO$15:$FU$15,1,AP129)+(1-'Lease Cycles'!$BE$15)*(1-INDEX('Lease Cycles'!$FO$15:$FU$15,1,AP129)))),0)</f>
        <v>0.020100502512562814</v>
      </c>
      <c r="AQ137" s="24">
        <f>IF(AQ131=1,'Lease Cycles'!$D$15*IF(INDEX('Lease Cycles'!$EF$15:$EL$15,1,AQ129)=1,(1-'Lease Cycles'!$AJ$15)*INDEX('Lease Cycles'!$EM$15:$ES$15,1,AQ129)+(1-'Lease Cycles'!$BE$15)*IF(AQ130&lt;INDEX('Lease Cycles'!$FA$15:$FG$15,1,AQ129),0,1-INDEX('Lease Cycles'!$EM$15:$ES$15,1,AQ129)),IF(OR(INDEX('Lease Cycles'!$DY$15:$EE$15,1,AQ129)=1,AQ130&gt;0),1,1-INDEX('Lease Cycles'!$DD$15:$DJ$15,1,AQ129))*((1-'Lease Cycles'!$AJ$15)*INDEX('Lease Cycles'!$FO$15:$FU$15,1,AQ129)+(1-'Lease Cycles'!$BE$15)*(1-INDEX('Lease Cycles'!$FO$15:$FU$15,1,AQ129)))),0)</f>
        <v>0.020100502512562814</v>
      </c>
      <c r="AR137" s="24">
        <f>IF(AR131=1,'Lease Cycles'!$D$15*IF(INDEX('Lease Cycles'!$EF$15:$EL$15,1,AR129)=1,(1-'Lease Cycles'!$AJ$15)*INDEX('Lease Cycles'!$EM$15:$ES$15,1,AR129)+(1-'Lease Cycles'!$BE$15)*IF(AR130&lt;INDEX('Lease Cycles'!$FA$15:$FG$15,1,AR129),0,1-INDEX('Lease Cycles'!$EM$15:$ES$15,1,AR129)),IF(OR(INDEX('Lease Cycles'!$DY$15:$EE$15,1,AR129)=1,AR130&gt;0),1,1-INDEX('Lease Cycles'!$DD$15:$DJ$15,1,AR129))*((1-'Lease Cycles'!$AJ$15)*INDEX('Lease Cycles'!$FO$15:$FU$15,1,AR129)+(1-'Lease Cycles'!$BE$15)*(1-INDEX('Lease Cycles'!$FO$15:$FU$15,1,AR129)))),0)</f>
        <v>0.020100502512562814</v>
      </c>
      <c r="AS137" s="24">
        <f>IF(AS131=1,'Lease Cycles'!$D$15*IF(INDEX('Lease Cycles'!$EF$15:$EL$15,1,AS129)=1,(1-'Lease Cycles'!$AJ$15)*INDEX('Lease Cycles'!$EM$15:$ES$15,1,AS129)+(1-'Lease Cycles'!$BE$15)*IF(AS130&lt;INDEX('Lease Cycles'!$FA$15:$FG$15,1,AS129),0,1-INDEX('Lease Cycles'!$EM$15:$ES$15,1,AS129)),IF(OR(INDEX('Lease Cycles'!$DY$15:$EE$15,1,AS129)=1,AS130&gt;0),1,1-INDEX('Lease Cycles'!$DD$15:$DJ$15,1,AS129))*((1-'Lease Cycles'!$AJ$15)*INDEX('Lease Cycles'!$FO$15:$FU$15,1,AS129)+(1-'Lease Cycles'!$BE$15)*(1-INDEX('Lease Cycles'!$FO$15:$FU$15,1,AS129)))),0)</f>
        <v>0.020100502512562814</v>
      </c>
      <c r="AT137" s="24">
        <f>IF(AT131=1,'Lease Cycles'!$D$15*IF(INDEX('Lease Cycles'!$EF$15:$EL$15,1,AT129)=1,(1-'Lease Cycles'!$AJ$15)*INDEX('Lease Cycles'!$EM$15:$ES$15,1,AT129)+(1-'Lease Cycles'!$BE$15)*IF(AT130&lt;INDEX('Lease Cycles'!$FA$15:$FG$15,1,AT129),0,1-INDEX('Lease Cycles'!$EM$15:$ES$15,1,AT129)),IF(OR(INDEX('Lease Cycles'!$DY$15:$EE$15,1,AT129)=1,AT130&gt;0),1,1-INDEX('Lease Cycles'!$DD$15:$DJ$15,1,AT129))*((1-'Lease Cycles'!$AJ$15)*INDEX('Lease Cycles'!$FO$15:$FU$15,1,AT129)+(1-'Lease Cycles'!$BE$15)*(1-INDEX('Lease Cycles'!$FO$15:$FU$15,1,AT129)))),0)</f>
        <v>0.020100502512562814</v>
      </c>
      <c r="AU137" s="24">
        <f>IF(AU131=1,'Lease Cycles'!$D$15*IF(INDEX('Lease Cycles'!$EF$15:$EL$15,1,AU129)=1,(1-'Lease Cycles'!$AJ$15)*INDEX('Lease Cycles'!$EM$15:$ES$15,1,AU129)+(1-'Lease Cycles'!$BE$15)*IF(AU130&lt;INDEX('Lease Cycles'!$FA$15:$FG$15,1,AU129),0,1-INDEX('Lease Cycles'!$EM$15:$ES$15,1,AU129)),IF(OR(INDEX('Lease Cycles'!$DY$15:$EE$15,1,AU129)=1,AU130&gt;0),1,1-INDEX('Lease Cycles'!$DD$15:$DJ$15,1,AU129))*((1-'Lease Cycles'!$AJ$15)*INDEX('Lease Cycles'!$FO$15:$FU$15,1,AU129)+(1-'Lease Cycles'!$BE$15)*(1-INDEX('Lease Cycles'!$FO$15:$FU$15,1,AU129)))),0)</f>
        <v>0.020100502512562814</v>
      </c>
      <c r="AV137" s="24">
        <f>IF(AV131=1,'Lease Cycles'!$D$15*IF(INDEX('Lease Cycles'!$EF$15:$EL$15,1,AV129)=1,(1-'Lease Cycles'!$AJ$15)*INDEX('Lease Cycles'!$EM$15:$ES$15,1,AV129)+(1-'Lease Cycles'!$BE$15)*IF(AV130&lt;INDEX('Lease Cycles'!$FA$15:$FG$15,1,AV129),0,1-INDEX('Lease Cycles'!$EM$15:$ES$15,1,AV129)),IF(OR(INDEX('Lease Cycles'!$DY$15:$EE$15,1,AV129)=1,AV130&gt;0),1,1-INDEX('Lease Cycles'!$DD$15:$DJ$15,1,AV129))*((1-'Lease Cycles'!$AJ$15)*INDEX('Lease Cycles'!$FO$15:$FU$15,1,AV129)+(1-'Lease Cycles'!$BE$15)*(1-INDEX('Lease Cycles'!$FO$15:$FU$15,1,AV129)))),0)</f>
        <v>0.020100502512562814</v>
      </c>
      <c r="AW137" s="24">
        <f>IF(AW131=1,'Lease Cycles'!$D$15*IF(INDEX('Lease Cycles'!$EF$15:$EL$15,1,AW129)=1,(1-'Lease Cycles'!$AJ$15)*INDEX('Lease Cycles'!$EM$15:$ES$15,1,AW129)+(1-'Lease Cycles'!$BE$15)*IF(AW130&lt;INDEX('Lease Cycles'!$FA$15:$FG$15,1,AW129),0,1-INDEX('Lease Cycles'!$EM$15:$ES$15,1,AW129)),IF(OR(INDEX('Lease Cycles'!$DY$15:$EE$15,1,AW129)=1,AW130&gt;0),1,1-INDEX('Lease Cycles'!$DD$15:$DJ$15,1,AW129))*((1-'Lease Cycles'!$AJ$15)*INDEX('Lease Cycles'!$FO$15:$FU$15,1,AW129)+(1-'Lease Cycles'!$BE$15)*(1-INDEX('Lease Cycles'!$FO$15:$FU$15,1,AW129)))),0)</f>
        <v>0.020100502512562814</v>
      </c>
      <c r="AX137" s="24">
        <f>IF(AX131=1,'Lease Cycles'!$D$15*IF(INDEX('Lease Cycles'!$EF$15:$EL$15,1,AX129)=1,(1-'Lease Cycles'!$AJ$15)*INDEX('Lease Cycles'!$EM$15:$ES$15,1,AX129)+(1-'Lease Cycles'!$BE$15)*IF(AX130&lt;INDEX('Lease Cycles'!$FA$15:$FG$15,1,AX129),0,1-INDEX('Lease Cycles'!$EM$15:$ES$15,1,AX129)),IF(OR(INDEX('Lease Cycles'!$DY$15:$EE$15,1,AX129)=1,AX130&gt;0),1,1-INDEX('Lease Cycles'!$DD$15:$DJ$15,1,AX129))*((1-'Lease Cycles'!$AJ$15)*INDEX('Lease Cycles'!$FO$15:$FU$15,1,AX129)+(1-'Lease Cycles'!$BE$15)*(1-INDEX('Lease Cycles'!$FO$15:$FU$15,1,AX129)))),0)</f>
        <v>0.020100502512562814</v>
      </c>
      <c r="AY137" s="24">
        <f>IF(AY131=1,'Lease Cycles'!$D$15*IF(INDEX('Lease Cycles'!$EF$15:$EL$15,1,AY129)=1,(1-'Lease Cycles'!$AJ$15)*INDEX('Lease Cycles'!$EM$15:$ES$15,1,AY129)+(1-'Lease Cycles'!$BE$15)*IF(AY130&lt;INDEX('Lease Cycles'!$FA$15:$FG$15,1,AY129),0,1-INDEX('Lease Cycles'!$EM$15:$ES$15,1,AY129)),IF(OR(INDEX('Lease Cycles'!$DY$15:$EE$15,1,AY129)=1,AY130&gt;0),1,1-INDEX('Lease Cycles'!$DD$15:$DJ$15,1,AY129))*((1-'Lease Cycles'!$AJ$15)*INDEX('Lease Cycles'!$FO$15:$FU$15,1,AY129)+(1-'Lease Cycles'!$BE$15)*(1-INDEX('Lease Cycles'!$FO$15:$FU$15,1,AY129)))),0)</f>
        <v>0.020100502512562814</v>
      </c>
      <c r="AZ137" s="24">
        <f>IF(AZ131=1,'Lease Cycles'!$D$15*IF(INDEX('Lease Cycles'!$EF$15:$EL$15,1,AZ129)=1,(1-'Lease Cycles'!$AJ$15)*INDEX('Lease Cycles'!$EM$15:$ES$15,1,AZ129)+(1-'Lease Cycles'!$BE$15)*IF(AZ130&lt;INDEX('Lease Cycles'!$FA$15:$FG$15,1,AZ129),0,1-INDEX('Lease Cycles'!$EM$15:$ES$15,1,AZ129)),IF(OR(INDEX('Lease Cycles'!$DY$15:$EE$15,1,AZ129)=1,AZ130&gt;0),1,1-INDEX('Lease Cycles'!$DD$15:$DJ$15,1,AZ129))*((1-'Lease Cycles'!$AJ$15)*INDEX('Lease Cycles'!$FO$15:$FU$15,1,AZ129)+(1-'Lease Cycles'!$BE$15)*(1-INDEX('Lease Cycles'!$FO$15:$FU$15,1,AZ129)))),0)</f>
        <v>0.020100502512562814</v>
      </c>
      <c r="BA137" s="24">
        <f>IF(BA131=1,'Lease Cycles'!$D$15*IF(INDEX('Lease Cycles'!$EF$15:$EL$15,1,BA129)=1,(1-'Lease Cycles'!$AJ$15)*INDEX('Lease Cycles'!$EM$15:$ES$15,1,BA129)+(1-'Lease Cycles'!$BE$15)*IF(BA130&lt;INDEX('Lease Cycles'!$FA$15:$FG$15,1,BA129),0,1-INDEX('Lease Cycles'!$EM$15:$ES$15,1,BA129)),IF(OR(INDEX('Lease Cycles'!$DY$15:$EE$15,1,BA129)=1,BA130&gt;0),1,1-INDEX('Lease Cycles'!$DD$15:$DJ$15,1,BA129))*((1-'Lease Cycles'!$AJ$15)*INDEX('Lease Cycles'!$FO$15:$FU$15,1,BA129)+(1-'Lease Cycles'!$BE$15)*(1-INDEX('Lease Cycles'!$FO$15:$FU$15,1,BA129)))),0)</f>
        <v>0.020100502512562814</v>
      </c>
      <c r="BB137" s="24">
        <f>IF(BB131=1,'Lease Cycles'!$D$15*IF(INDEX('Lease Cycles'!$EF$15:$EL$15,1,BB129)=1,(1-'Lease Cycles'!$AJ$15)*INDEX('Lease Cycles'!$EM$15:$ES$15,1,BB129)+(1-'Lease Cycles'!$BE$15)*IF(BB130&lt;INDEX('Lease Cycles'!$FA$15:$FG$15,1,BB129),0,1-INDEX('Lease Cycles'!$EM$15:$ES$15,1,BB129)),IF(OR(INDEX('Lease Cycles'!$DY$15:$EE$15,1,BB129)=1,BB130&gt;0),1,1-INDEX('Lease Cycles'!$DD$15:$DJ$15,1,BB129))*((1-'Lease Cycles'!$AJ$15)*INDEX('Lease Cycles'!$FO$15:$FU$15,1,BB129)+(1-'Lease Cycles'!$BE$15)*(1-INDEX('Lease Cycles'!$FO$15:$FU$15,1,BB129)))),0)</f>
        <v>0.020100502512562814</v>
      </c>
      <c r="BC137" s="24">
        <f>IF(BC131=1,'Lease Cycles'!$D$15*IF(INDEX('Lease Cycles'!$EF$15:$EL$15,1,BC129)=1,(1-'Lease Cycles'!$AJ$15)*INDEX('Lease Cycles'!$EM$15:$ES$15,1,BC129)+(1-'Lease Cycles'!$BE$15)*IF(BC130&lt;INDEX('Lease Cycles'!$FA$15:$FG$15,1,BC129),0,1-INDEX('Lease Cycles'!$EM$15:$ES$15,1,BC129)),IF(OR(INDEX('Lease Cycles'!$DY$15:$EE$15,1,BC129)=1,BC130&gt;0),1,1-INDEX('Lease Cycles'!$DD$15:$DJ$15,1,BC129))*((1-'Lease Cycles'!$AJ$15)*INDEX('Lease Cycles'!$FO$15:$FU$15,1,BC129)+(1-'Lease Cycles'!$BE$15)*(1-INDEX('Lease Cycles'!$FO$15:$FU$15,1,BC129)))),0)</f>
        <v>0.020100502512562814</v>
      </c>
      <c r="BD137" s="24">
        <f>IF(BD131=1,'Lease Cycles'!$D$15*IF(INDEX('Lease Cycles'!$EF$15:$EL$15,1,BD129)=1,(1-'Lease Cycles'!$AJ$15)*INDEX('Lease Cycles'!$EM$15:$ES$15,1,BD129)+(1-'Lease Cycles'!$BE$15)*IF(BD130&lt;INDEX('Lease Cycles'!$FA$15:$FG$15,1,BD129),0,1-INDEX('Lease Cycles'!$EM$15:$ES$15,1,BD129)),IF(OR(INDEX('Lease Cycles'!$DY$15:$EE$15,1,BD129)=1,BD130&gt;0),1,1-INDEX('Lease Cycles'!$DD$15:$DJ$15,1,BD129))*((1-'Lease Cycles'!$AJ$15)*INDEX('Lease Cycles'!$FO$15:$FU$15,1,BD129)+(1-'Lease Cycles'!$BE$15)*(1-INDEX('Lease Cycles'!$FO$15:$FU$15,1,BD129)))),0)</f>
        <v>0.020100502512562814</v>
      </c>
      <c r="BE137" s="24">
        <f>IF(BE131=1,'Lease Cycles'!$D$15*IF(INDEX('Lease Cycles'!$EF$15:$EL$15,1,BE129)=1,(1-'Lease Cycles'!$AJ$15)*INDEX('Lease Cycles'!$EM$15:$ES$15,1,BE129)+(1-'Lease Cycles'!$BE$15)*IF(BE130&lt;INDEX('Lease Cycles'!$FA$15:$FG$15,1,BE129),0,1-INDEX('Lease Cycles'!$EM$15:$ES$15,1,BE129)),IF(OR(INDEX('Lease Cycles'!$DY$15:$EE$15,1,BE129)=1,BE130&gt;0),1,1-INDEX('Lease Cycles'!$DD$15:$DJ$15,1,BE129))*((1-'Lease Cycles'!$AJ$15)*INDEX('Lease Cycles'!$FO$15:$FU$15,1,BE129)+(1-'Lease Cycles'!$BE$15)*(1-INDEX('Lease Cycles'!$FO$15:$FU$15,1,BE129)))),0)</f>
        <v>0.020100502512562814</v>
      </c>
      <c r="BF137" s="24">
        <f>IF(BF131=1,'Lease Cycles'!$D$15*IF(INDEX('Lease Cycles'!$EF$15:$EL$15,1,BF129)=1,(1-'Lease Cycles'!$AJ$15)*INDEX('Lease Cycles'!$EM$15:$ES$15,1,BF129)+(1-'Lease Cycles'!$BE$15)*IF(BF130&lt;INDEX('Lease Cycles'!$FA$15:$FG$15,1,BF129),0,1-INDEX('Lease Cycles'!$EM$15:$ES$15,1,BF129)),IF(OR(INDEX('Lease Cycles'!$DY$15:$EE$15,1,BF129)=1,BF130&gt;0),1,1-INDEX('Lease Cycles'!$DD$15:$DJ$15,1,BF129))*((1-'Lease Cycles'!$AJ$15)*INDEX('Lease Cycles'!$FO$15:$FU$15,1,BF129)+(1-'Lease Cycles'!$BE$15)*(1-INDEX('Lease Cycles'!$FO$15:$FU$15,1,BF129)))),0)</f>
        <v>0.020100502512562814</v>
      </c>
      <c r="BG137" s="24">
        <f>IF(BG131=1,'Lease Cycles'!$D$15*IF(INDEX('Lease Cycles'!$EF$15:$EL$15,1,BG129)=1,(1-'Lease Cycles'!$AJ$15)*INDEX('Lease Cycles'!$EM$15:$ES$15,1,BG129)+(1-'Lease Cycles'!$BE$15)*IF(BG130&lt;INDEX('Lease Cycles'!$FA$15:$FG$15,1,BG129),0,1-INDEX('Lease Cycles'!$EM$15:$ES$15,1,BG129)),IF(OR(INDEX('Lease Cycles'!$DY$15:$EE$15,1,BG129)=1,BG130&gt;0),1,1-INDEX('Lease Cycles'!$DD$15:$DJ$15,1,BG129))*((1-'Lease Cycles'!$AJ$15)*INDEX('Lease Cycles'!$FO$15:$FU$15,1,BG129)+(1-'Lease Cycles'!$BE$15)*(1-INDEX('Lease Cycles'!$FO$15:$FU$15,1,BG129)))),0)</f>
        <v>0.020100502512562814</v>
      </c>
      <c r="BH137" s="24">
        <f>IF(BH131=1,'Lease Cycles'!$D$15*IF(INDEX('Lease Cycles'!$EF$15:$EL$15,1,BH129)=1,(1-'Lease Cycles'!$AJ$15)*INDEX('Lease Cycles'!$EM$15:$ES$15,1,BH129)+(1-'Lease Cycles'!$BE$15)*IF(BH130&lt;INDEX('Lease Cycles'!$FA$15:$FG$15,1,BH129),0,1-INDEX('Lease Cycles'!$EM$15:$ES$15,1,BH129)),IF(OR(INDEX('Lease Cycles'!$DY$15:$EE$15,1,BH129)=1,BH130&gt;0),1,1-INDEX('Lease Cycles'!$DD$15:$DJ$15,1,BH129))*((1-'Lease Cycles'!$AJ$15)*INDEX('Lease Cycles'!$FO$15:$FU$15,1,BH129)+(1-'Lease Cycles'!$BE$15)*(1-INDEX('Lease Cycles'!$FO$15:$FU$15,1,BH129)))),0)</f>
        <v>0</v>
      </c>
      <c r="BI137" s="24">
        <f>IF(BI131=1,'Lease Cycles'!$D$15*IF(INDEX('Lease Cycles'!$EF$15:$EL$15,1,BI129)=1,(1-'Lease Cycles'!$AJ$15)*INDEX('Lease Cycles'!$EM$15:$ES$15,1,BI129)+(1-'Lease Cycles'!$BE$15)*IF(BI130&lt;INDEX('Lease Cycles'!$FA$15:$FG$15,1,BI129),0,1-INDEX('Lease Cycles'!$EM$15:$ES$15,1,BI129)),IF(OR(INDEX('Lease Cycles'!$DY$15:$EE$15,1,BI129)=1,BI130&gt;0),1,1-INDEX('Lease Cycles'!$DD$15:$DJ$15,1,BI129))*((1-'Lease Cycles'!$AJ$15)*INDEX('Lease Cycles'!$FO$15:$FU$15,1,BI129)+(1-'Lease Cycles'!$BE$15)*(1-INDEX('Lease Cycles'!$FO$15:$FU$15,1,BI129)))),0)</f>
        <v>0.016080402010050194</v>
      </c>
      <c r="BJ137" s="24">
        <f>IF(BJ131=1,'Lease Cycles'!$D$15*IF(INDEX('Lease Cycles'!$EF$15:$EL$15,1,BJ129)=1,(1-'Lease Cycles'!$AJ$15)*INDEX('Lease Cycles'!$EM$15:$ES$15,1,BJ129)+(1-'Lease Cycles'!$BE$15)*IF(BJ130&lt;INDEX('Lease Cycles'!$FA$15:$FG$15,1,BJ129),0,1-INDEX('Lease Cycles'!$EM$15:$ES$15,1,BJ129)),IF(OR(INDEX('Lease Cycles'!$DY$15:$EE$15,1,BJ129)=1,BJ130&gt;0),1,1-INDEX('Lease Cycles'!$DD$15:$DJ$15,1,BJ129))*((1-'Lease Cycles'!$AJ$15)*INDEX('Lease Cycles'!$FO$15:$FU$15,1,BJ129)+(1-'Lease Cycles'!$BE$15)*(1-INDEX('Lease Cycles'!$FO$15:$FU$15,1,BJ129)))),0)</f>
        <v>0.020100502512562814</v>
      </c>
      <c r="BK137" s="24">
        <f>IF(BK131=1,'Lease Cycles'!$D$15*IF(INDEX('Lease Cycles'!$EF$15:$EL$15,1,BK129)=1,(1-'Lease Cycles'!$AJ$15)*INDEX('Lease Cycles'!$EM$15:$ES$15,1,BK129)+(1-'Lease Cycles'!$BE$15)*IF(BK130&lt;INDEX('Lease Cycles'!$FA$15:$FG$15,1,BK129),0,1-INDEX('Lease Cycles'!$EM$15:$ES$15,1,BK129)),IF(OR(INDEX('Lease Cycles'!$DY$15:$EE$15,1,BK129)=1,BK130&gt;0),1,1-INDEX('Lease Cycles'!$DD$15:$DJ$15,1,BK129))*((1-'Lease Cycles'!$AJ$15)*INDEX('Lease Cycles'!$FO$15:$FU$15,1,BK129)+(1-'Lease Cycles'!$BE$15)*(1-INDEX('Lease Cycles'!$FO$15:$FU$15,1,BK129)))),0)</f>
        <v>0.020100502512562814</v>
      </c>
      <c r="BL137" s="24">
        <f>IF(BL131=1,'Lease Cycles'!$D$15*IF(INDEX('Lease Cycles'!$EF$15:$EL$15,1,BL129)=1,(1-'Lease Cycles'!$AJ$15)*INDEX('Lease Cycles'!$EM$15:$ES$15,1,BL129)+(1-'Lease Cycles'!$BE$15)*IF(BL130&lt;INDEX('Lease Cycles'!$FA$15:$FG$15,1,BL129),0,1-INDEX('Lease Cycles'!$EM$15:$ES$15,1,BL129)),IF(OR(INDEX('Lease Cycles'!$DY$15:$EE$15,1,BL129)=1,BL130&gt;0),1,1-INDEX('Lease Cycles'!$DD$15:$DJ$15,1,BL129))*((1-'Lease Cycles'!$AJ$15)*INDEX('Lease Cycles'!$FO$15:$FU$15,1,BL129)+(1-'Lease Cycles'!$BE$15)*(1-INDEX('Lease Cycles'!$FO$15:$FU$15,1,BL129)))),0)</f>
        <v>0.020100502512562814</v>
      </c>
      <c r="BM137" s="24">
        <f>IF(BM131=1,'Lease Cycles'!$D$15*IF(INDEX('Lease Cycles'!$EF$15:$EL$15,1,BM129)=1,(1-'Lease Cycles'!$AJ$15)*INDEX('Lease Cycles'!$EM$15:$ES$15,1,BM129)+(1-'Lease Cycles'!$BE$15)*IF(BM130&lt;INDEX('Lease Cycles'!$FA$15:$FG$15,1,BM129),0,1-INDEX('Lease Cycles'!$EM$15:$ES$15,1,BM129)),IF(OR(INDEX('Lease Cycles'!$DY$15:$EE$15,1,BM129)=1,BM130&gt;0),1,1-INDEX('Lease Cycles'!$DD$15:$DJ$15,1,BM129))*((1-'Lease Cycles'!$AJ$15)*INDEX('Lease Cycles'!$FO$15:$FU$15,1,BM129)+(1-'Lease Cycles'!$BE$15)*(1-INDEX('Lease Cycles'!$FO$15:$FU$15,1,BM129)))),0)</f>
        <v>0.020100502512562814</v>
      </c>
      <c r="BN137" s="24">
        <f>IF(BN131=1,'Lease Cycles'!$D$15*IF(INDEX('Lease Cycles'!$EF$15:$EL$15,1,BN129)=1,(1-'Lease Cycles'!$AJ$15)*INDEX('Lease Cycles'!$EM$15:$ES$15,1,BN129)+(1-'Lease Cycles'!$BE$15)*IF(BN130&lt;INDEX('Lease Cycles'!$FA$15:$FG$15,1,BN129),0,1-INDEX('Lease Cycles'!$EM$15:$ES$15,1,BN129)),IF(OR(INDEX('Lease Cycles'!$DY$15:$EE$15,1,BN129)=1,BN130&gt;0),1,1-INDEX('Lease Cycles'!$DD$15:$DJ$15,1,BN129))*((1-'Lease Cycles'!$AJ$15)*INDEX('Lease Cycles'!$FO$15:$FU$15,1,BN129)+(1-'Lease Cycles'!$BE$15)*(1-INDEX('Lease Cycles'!$FO$15:$FU$15,1,BN129)))),0)</f>
        <v>0.020100502512562814</v>
      </c>
      <c r="BO137" s="24">
        <f>IF(BO131=1,'Lease Cycles'!$D$15*IF(INDEX('Lease Cycles'!$EF$15:$EL$15,1,BO129)=1,(1-'Lease Cycles'!$AJ$15)*INDEX('Lease Cycles'!$EM$15:$ES$15,1,BO129)+(1-'Lease Cycles'!$BE$15)*IF(BO130&lt;INDEX('Lease Cycles'!$FA$15:$FG$15,1,BO129),0,1-INDEX('Lease Cycles'!$EM$15:$ES$15,1,BO129)),IF(OR(INDEX('Lease Cycles'!$DY$15:$EE$15,1,BO129)=1,BO130&gt;0),1,1-INDEX('Lease Cycles'!$DD$15:$DJ$15,1,BO129))*((1-'Lease Cycles'!$AJ$15)*INDEX('Lease Cycles'!$FO$15:$FU$15,1,BO129)+(1-'Lease Cycles'!$BE$15)*(1-INDEX('Lease Cycles'!$FO$15:$FU$15,1,BO129)))),0)</f>
        <v>0.020100502512562814</v>
      </c>
      <c r="BP137" s="24">
        <f>IF(BP131=1,'Lease Cycles'!$D$15*IF(INDEX('Lease Cycles'!$EF$15:$EL$15,1,BP129)=1,(1-'Lease Cycles'!$AJ$15)*INDEX('Lease Cycles'!$EM$15:$ES$15,1,BP129)+(1-'Lease Cycles'!$BE$15)*IF(BP130&lt;INDEX('Lease Cycles'!$FA$15:$FG$15,1,BP129),0,1-INDEX('Lease Cycles'!$EM$15:$ES$15,1,BP129)),IF(OR(INDEX('Lease Cycles'!$DY$15:$EE$15,1,BP129)=1,BP130&gt;0),1,1-INDEX('Lease Cycles'!$DD$15:$DJ$15,1,BP129))*((1-'Lease Cycles'!$AJ$15)*INDEX('Lease Cycles'!$FO$15:$FU$15,1,BP129)+(1-'Lease Cycles'!$BE$15)*(1-INDEX('Lease Cycles'!$FO$15:$FU$15,1,BP129)))),0)</f>
        <v>0.020100502512562814</v>
      </c>
      <c r="BQ137" s="24">
        <f>IF(BQ131=1,'Lease Cycles'!$D$15*IF(INDEX('Lease Cycles'!$EF$15:$EL$15,1,BQ129)=1,(1-'Lease Cycles'!$AJ$15)*INDEX('Lease Cycles'!$EM$15:$ES$15,1,BQ129)+(1-'Lease Cycles'!$BE$15)*IF(BQ130&lt;INDEX('Lease Cycles'!$FA$15:$FG$15,1,BQ129),0,1-INDEX('Lease Cycles'!$EM$15:$ES$15,1,BQ129)),IF(OR(INDEX('Lease Cycles'!$DY$15:$EE$15,1,BQ129)=1,BQ130&gt;0),1,1-INDEX('Lease Cycles'!$DD$15:$DJ$15,1,BQ129))*((1-'Lease Cycles'!$AJ$15)*INDEX('Lease Cycles'!$FO$15:$FU$15,1,BQ129)+(1-'Lease Cycles'!$BE$15)*(1-INDEX('Lease Cycles'!$FO$15:$FU$15,1,BQ129)))),0)</f>
        <v>0.020100502512562814</v>
      </c>
      <c r="BR137" s="24">
        <f>IF(BR131=1,'Lease Cycles'!$D$15*IF(INDEX('Lease Cycles'!$EF$15:$EL$15,1,BR129)=1,(1-'Lease Cycles'!$AJ$15)*INDEX('Lease Cycles'!$EM$15:$ES$15,1,BR129)+(1-'Lease Cycles'!$BE$15)*IF(BR130&lt;INDEX('Lease Cycles'!$FA$15:$FG$15,1,BR129),0,1-INDEX('Lease Cycles'!$EM$15:$ES$15,1,BR129)),IF(OR(INDEX('Lease Cycles'!$DY$15:$EE$15,1,BR129)=1,BR130&gt;0),1,1-INDEX('Lease Cycles'!$DD$15:$DJ$15,1,BR129))*((1-'Lease Cycles'!$AJ$15)*INDEX('Lease Cycles'!$FO$15:$FU$15,1,BR129)+(1-'Lease Cycles'!$BE$15)*(1-INDEX('Lease Cycles'!$FO$15:$FU$15,1,BR129)))),0)</f>
        <v>0.020100502512562814</v>
      </c>
      <c r="BS137" s="24">
        <f>IF(BS131=1,'Lease Cycles'!$D$15*IF(INDEX('Lease Cycles'!$EF$15:$EL$15,1,BS129)=1,(1-'Lease Cycles'!$AJ$15)*INDEX('Lease Cycles'!$EM$15:$ES$15,1,BS129)+(1-'Lease Cycles'!$BE$15)*IF(BS130&lt;INDEX('Lease Cycles'!$FA$15:$FG$15,1,BS129),0,1-INDEX('Lease Cycles'!$EM$15:$ES$15,1,BS129)),IF(OR(INDEX('Lease Cycles'!$DY$15:$EE$15,1,BS129)=1,BS130&gt;0),1,1-INDEX('Lease Cycles'!$DD$15:$DJ$15,1,BS129))*((1-'Lease Cycles'!$AJ$15)*INDEX('Lease Cycles'!$FO$15:$FU$15,1,BS129)+(1-'Lease Cycles'!$BE$15)*(1-INDEX('Lease Cycles'!$FO$15:$FU$15,1,BS129)))),0)</f>
        <v>0.020100502512562814</v>
      </c>
      <c r="BT137" s="24">
        <f>IF(BT131=1,'Lease Cycles'!$D$15*IF(INDEX('Lease Cycles'!$EF$15:$EL$15,1,BT129)=1,(1-'Lease Cycles'!$AJ$15)*INDEX('Lease Cycles'!$EM$15:$ES$15,1,BT129)+(1-'Lease Cycles'!$BE$15)*IF(BT130&lt;INDEX('Lease Cycles'!$FA$15:$FG$15,1,BT129),0,1-INDEX('Lease Cycles'!$EM$15:$ES$15,1,BT129)),IF(OR(INDEX('Lease Cycles'!$DY$15:$EE$15,1,BT129)=1,BT130&gt;0),1,1-INDEX('Lease Cycles'!$DD$15:$DJ$15,1,BT129))*((1-'Lease Cycles'!$AJ$15)*INDEX('Lease Cycles'!$FO$15:$FU$15,1,BT129)+(1-'Lease Cycles'!$BE$15)*(1-INDEX('Lease Cycles'!$FO$15:$FU$15,1,BT129)))),0)</f>
        <v>0.020100502512562814</v>
      </c>
      <c r="BU137" s="24">
        <f>IF(BU131=1,'Lease Cycles'!$D$15*IF(INDEX('Lease Cycles'!$EF$15:$EL$15,1,BU129)=1,(1-'Lease Cycles'!$AJ$15)*INDEX('Lease Cycles'!$EM$15:$ES$15,1,BU129)+(1-'Lease Cycles'!$BE$15)*IF(BU130&lt;INDEX('Lease Cycles'!$FA$15:$FG$15,1,BU129),0,1-INDEX('Lease Cycles'!$EM$15:$ES$15,1,BU129)),IF(OR(INDEX('Lease Cycles'!$DY$15:$EE$15,1,BU129)=1,BU130&gt;0),1,1-INDEX('Lease Cycles'!$DD$15:$DJ$15,1,BU129))*((1-'Lease Cycles'!$AJ$15)*INDEX('Lease Cycles'!$FO$15:$FU$15,1,BU129)+(1-'Lease Cycles'!$BE$15)*(1-INDEX('Lease Cycles'!$FO$15:$FU$15,1,BU129)))),0)</f>
        <v>0.020100502512562814</v>
      </c>
      <c r="BV137" s="24">
        <f>IF(BV131=1,'Lease Cycles'!$D$15*IF(INDEX('Lease Cycles'!$EF$15:$EL$15,1,BV129)=1,(1-'Lease Cycles'!$AJ$15)*INDEX('Lease Cycles'!$EM$15:$ES$15,1,BV129)+(1-'Lease Cycles'!$BE$15)*IF(BV130&lt;INDEX('Lease Cycles'!$FA$15:$FG$15,1,BV129),0,1-INDEX('Lease Cycles'!$EM$15:$ES$15,1,BV129)),IF(OR(INDEX('Lease Cycles'!$DY$15:$EE$15,1,BV129)=1,BV130&gt;0),1,1-INDEX('Lease Cycles'!$DD$15:$DJ$15,1,BV129))*((1-'Lease Cycles'!$AJ$15)*INDEX('Lease Cycles'!$FO$15:$FU$15,1,BV129)+(1-'Lease Cycles'!$BE$15)*(1-INDEX('Lease Cycles'!$FO$15:$FU$15,1,BV129)))),0)</f>
        <v>0.020100502512562814</v>
      </c>
      <c r="BW137" s="24">
        <f>IF(BW131=1,'Lease Cycles'!$D$15*IF(INDEX('Lease Cycles'!$EF$15:$EL$15,1,BW129)=1,(1-'Lease Cycles'!$AJ$15)*INDEX('Lease Cycles'!$EM$15:$ES$15,1,BW129)+(1-'Lease Cycles'!$BE$15)*IF(BW130&lt;INDEX('Lease Cycles'!$FA$15:$FG$15,1,BW129),0,1-INDEX('Lease Cycles'!$EM$15:$ES$15,1,BW129)),IF(OR(INDEX('Lease Cycles'!$DY$15:$EE$15,1,BW129)=1,BW130&gt;0),1,1-INDEX('Lease Cycles'!$DD$15:$DJ$15,1,BW129))*((1-'Lease Cycles'!$AJ$15)*INDEX('Lease Cycles'!$FO$15:$FU$15,1,BW129)+(1-'Lease Cycles'!$BE$15)*(1-INDEX('Lease Cycles'!$FO$15:$FU$15,1,BW129)))),0)</f>
        <v>0.020100502512562814</v>
      </c>
      <c r="BX137" s="24">
        <f>IF(BX131=1,'Lease Cycles'!$D$15*IF(INDEX('Lease Cycles'!$EF$15:$EL$15,1,BX129)=1,(1-'Lease Cycles'!$AJ$15)*INDEX('Lease Cycles'!$EM$15:$ES$15,1,BX129)+(1-'Lease Cycles'!$BE$15)*IF(BX130&lt;INDEX('Lease Cycles'!$FA$15:$FG$15,1,BX129),0,1-INDEX('Lease Cycles'!$EM$15:$ES$15,1,BX129)),IF(OR(INDEX('Lease Cycles'!$DY$15:$EE$15,1,BX129)=1,BX130&gt;0),1,1-INDEX('Lease Cycles'!$DD$15:$DJ$15,1,BX129))*((1-'Lease Cycles'!$AJ$15)*INDEX('Lease Cycles'!$FO$15:$FU$15,1,BX129)+(1-'Lease Cycles'!$BE$15)*(1-INDEX('Lease Cycles'!$FO$15:$FU$15,1,BX129)))),0)</f>
        <v>0.020100502512562814</v>
      </c>
      <c r="BY137" s="24">
        <f>IF(BY131=1,'Lease Cycles'!$D$15*IF(INDEX('Lease Cycles'!$EF$15:$EL$15,1,BY129)=1,(1-'Lease Cycles'!$AJ$15)*INDEX('Lease Cycles'!$EM$15:$ES$15,1,BY129)+(1-'Lease Cycles'!$BE$15)*IF(BY130&lt;INDEX('Lease Cycles'!$FA$15:$FG$15,1,BY129),0,1-INDEX('Lease Cycles'!$EM$15:$ES$15,1,BY129)),IF(OR(INDEX('Lease Cycles'!$DY$15:$EE$15,1,BY129)=1,BY130&gt;0),1,1-INDEX('Lease Cycles'!$DD$15:$DJ$15,1,BY129))*((1-'Lease Cycles'!$AJ$15)*INDEX('Lease Cycles'!$FO$15:$FU$15,1,BY129)+(1-'Lease Cycles'!$BE$15)*(1-INDEX('Lease Cycles'!$FO$15:$FU$15,1,BY129)))),0)</f>
        <v>0.020100502512562814</v>
      </c>
      <c r="BZ137" s="24">
        <f>IF(BZ131=1,'Lease Cycles'!$D$15*IF(INDEX('Lease Cycles'!$EF$15:$EL$15,1,BZ129)=1,(1-'Lease Cycles'!$AJ$15)*INDEX('Lease Cycles'!$EM$15:$ES$15,1,BZ129)+(1-'Lease Cycles'!$BE$15)*IF(BZ130&lt;INDEX('Lease Cycles'!$FA$15:$FG$15,1,BZ129),0,1-INDEX('Lease Cycles'!$EM$15:$ES$15,1,BZ129)),IF(OR(INDEX('Lease Cycles'!$DY$15:$EE$15,1,BZ129)=1,BZ130&gt;0),1,1-INDEX('Lease Cycles'!$DD$15:$DJ$15,1,BZ129))*((1-'Lease Cycles'!$AJ$15)*INDEX('Lease Cycles'!$FO$15:$FU$15,1,BZ129)+(1-'Lease Cycles'!$BE$15)*(1-INDEX('Lease Cycles'!$FO$15:$FU$15,1,BZ129)))),0)</f>
        <v>0.020100502512562814</v>
      </c>
      <c r="CA137" s="24">
        <f>IF(CA131=1,'Lease Cycles'!$D$15*IF(INDEX('Lease Cycles'!$EF$15:$EL$15,1,CA129)=1,(1-'Lease Cycles'!$AJ$15)*INDEX('Lease Cycles'!$EM$15:$ES$15,1,CA129)+(1-'Lease Cycles'!$BE$15)*IF(CA130&lt;INDEX('Lease Cycles'!$FA$15:$FG$15,1,CA129),0,1-INDEX('Lease Cycles'!$EM$15:$ES$15,1,CA129)),IF(OR(INDEX('Lease Cycles'!$DY$15:$EE$15,1,CA129)=1,CA130&gt;0),1,1-INDEX('Lease Cycles'!$DD$15:$DJ$15,1,CA129))*((1-'Lease Cycles'!$AJ$15)*INDEX('Lease Cycles'!$FO$15:$FU$15,1,CA129)+(1-'Lease Cycles'!$BE$15)*(1-INDEX('Lease Cycles'!$FO$15:$FU$15,1,CA129)))),0)</f>
        <v>0.020100502512562814</v>
      </c>
      <c r="CB137" s="24">
        <f>IF(CB131=1,'Lease Cycles'!$D$15*IF(INDEX('Lease Cycles'!$EF$15:$EL$15,1,CB129)=1,(1-'Lease Cycles'!$AJ$15)*INDEX('Lease Cycles'!$EM$15:$ES$15,1,CB129)+(1-'Lease Cycles'!$BE$15)*IF(CB130&lt;INDEX('Lease Cycles'!$FA$15:$FG$15,1,CB129),0,1-INDEX('Lease Cycles'!$EM$15:$ES$15,1,CB129)),IF(OR(INDEX('Lease Cycles'!$DY$15:$EE$15,1,CB129)=1,CB130&gt;0),1,1-INDEX('Lease Cycles'!$DD$15:$DJ$15,1,CB129))*((1-'Lease Cycles'!$AJ$15)*INDEX('Lease Cycles'!$FO$15:$FU$15,1,CB129)+(1-'Lease Cycles'!$BE$15)*(1-INDEX('Lease Cycles'!$FO$15:$FU$15,1,CB129)))),0)</f>
        <v>0.020100502512562814</v>
      </c>
      <c r="CC137" s="24">
        <f>IF(CC131=1,'Lease Cycles'!$D$15*IF(INDEX('Lease Cycles'!$EF$15:$EL$15,1,CC129)=1,(1-'Lease Cycles'!$AJ$15)*INDEX('Lease Cycles'!$EM$15:$ES$15,1,CC129)+(1-'Lease Cycles'!$BE$15)*IF(CC130&lt;INDEX('Lease Cycles'!$FA$15:$FG$15,1,CC129),0,1-INDEX('Lease Cycles'!$EM$15:$ES$15,1,CC129)),IF(OR(INDEX('Lease Cycles'!$DY$15:$EE$15,1,CC129)=1,CC130&gt;0),1,1-INDEX('Lease Cycles'!$DD$15:$DJ$15,1,CC129))*((1-'Lease Cycles'!$AJ$15)*INDEX('Lease Cycles'!$FO$15:$FU$15,1,CC129)+(1-'Lease Cycles'!$BE$15)*(1-INDEX('Lease Cycles'!$FO$15:$FU$15,1,CC129)))),0)</f>
        <v>0.020100502512562814</v>
      </c>
      <c r="CD137" s="24">
        <f>IF(CD131=1,'Lease Cycles'!$D$15*IF(INDEX('Lease Cycles'!$EF$15:$EL$15,1,CD129)=1,(1-'Lease Cycles'!$AJ$15)*INDEX('Lease Cycles'!$EM$15:$ES$15,1,CD129)+(1-'Lease Cycles'!$BE$15)*IF(CD130&lt;INDEX('Lease Cycles'!$FA$15:$FG$15,1,CD129),0,1-INDEX('Lease Cycles'!$EM$15:$ES$15,1,CD129)),IF(OR(INDEX('Lease Cycles'!$DY$15:$EE$15,1,CD129)=1,CD130&gt;0),1,1-INDEX('Lease Cycles'!$DD$15:$DJ$15,1,CD129))*((1-'Lease Cycles'!$AJ$15)*INDEX('Lease Cycles'!$FO$15:$FU$15,1,CD129)+(1-'Lease Cycles'!$BE$15)*(1-INDEX('Lease Cycles'!$FO$15:$FU$15,1,CD129)))),0)</f>
        <v>0.020100502512562814</v>
      </c>
      <c r="CE137" s="24">
        <f>IF(CE131=1,'Lease Cycles'!$D$15*IF(INDEX('Lease Cycles'!$EF$15:$EL$15,1,CE129)=1,(1-'Lease Cycles'!$AJ$15)*INDEX('Lease Cycles'!$EM$15:$ES$15,1,CE129)+(1-'Lease Cycles'!$BE$15)*IF(CE130&lt;INDEX('Lease Cycles'!$FA$15:$FG$15,1,CE129),0,1-INDEX('Lease Cycles'!$EM$15:$ES$15,1,CE129)),IF(OR(INDEX('Lease Cycles'!$DY$15:$EE$15,1,CE129)=1,CE130&gt;0),1,1-INDEX('Lease Cycles'!$DD$15:$DJ$15,1,CE129))*((1-'Lease Cycles'!$AJ$15)*INDEX('Lease Cycles'!$FO$15:$FU$15,1,CE129)+(1-'Lease Cycles'!$BE$15)*(1-INDEX('Lease Cycles'!$FO$15:$FU$15,1,CE129)))),0)</f>
        <v>0.020100502512562814</v>
      </c>
      <c r="CF137" s="24">
        <f>IF(CF131=1,'Lease Cycles'!$D$15*IF(INDEX('Lease Cycles'!$EF$15:$EL$15,1,CF129)=1,(1-'Lease Cycles'!$AJ$15)*INDEX('Lease Cycles'!$EM$15:$ES$15,1,CF129)+(1-'Lease Cycles'!$BE$15)*IF(CF130&lt;INDEX('Lease Cycles'!$FA$15:$FG$15,1,CF129),0,1-INDEX('Lease Cycles'!$EM$15:$ES$15,1,CF129)),IF(OR(INDEX('Lease Cycles'!$DY$15:$EE$15,1,CF129)=1,CF130&gt;0),1,1-INDEX('Lease Cycles'!$DD$15:$DJ$15,1,CF129))*((1-'Lease Cycles'!$AJ$15)*INDEX('Lease Cycles'!$FO$15:$FU$15,1,CF129)+(1-'Lease Cycles'!$BE$15)*(1-INDEX('Lease Cycles'!$FO$15:$FU$15,1,CF129)))),0)</f>
        <v>0.020100502512562814</v>
      </c>
      <c r="CG137" s="24">
        <f>IF(CG131=1,'Lease Cycles'!$D$15*IF(INDEX('Lease Cycles'!$EF$15:$EL$15,1,CG129)=1,(1-'Lease Cycles'!$AJ$15)*INDEX('Lease Cycles'!$EM$15:$ES$15,1,CG129)+(1-'Lease Cycles'!$BE$15)*IF(CG130&lt;INDEX('Lease Cycles'!$FA$15:$FG$15,1,CG129),0,1-INDEX('Lease Cycles'!$EM$15:$ES$15,1,CG129)),IF(OR(INDEX('Lease Cycles'!$DY$15:$EE$15,1,CG129)=1,CG130&gt;0),1,1-INDEX('Lease Cycles'!$DD$15:$DJ$15,1,CG129))*((1-'Lease Cycles'!$AJ$15)*INDEX('Lease Cycles'!$FO$15:$FU$15,1,CG129)+(1-'Lease Cycles'!$BE$15)*(1-INDEX('Lease Cycles'!$FO$15:$FU$15,1,CG129)))),0)</f>
        <v>0.020100502512562814</v>
      </c>
      <c r="CH137" s="24">
        <f>IF(CH131=1,'Lease Cycles'!$D$15*IF(INDEX('Lease Cycles'!$EF$15:$EL$15,1,CH129)=1,(1-'Lease Cycles'!$AJ$15)*INDEX('Lease Cycles'!$EM$15:$ES$15,1,CH129)+(1-'Lease Cycles'!$BE$15)*IF(CH130&lt;INDEX('Lease Cycles'!$FA$15:$FG$15,1,CH129),0,1-INDEX('Lease Cycles'!$EM$15:$ES$15,1,CH129)),IF(OR(INDEX('Lease Cycles'!$DY$15:$EE$15,1,CH129)=1,CH130&gt;0),1,1-INDEX('Lease Cycles'!$DD$15:$DJ$15,1,CH129))*((1-'Lease Cycles'!$AJ$15)*INDEX('Lease Cycles'!$FO$15:$FU$15,1,CH129)+(1-'Lease Cycles'!$BE$15)*(1-INDEX('Lease Cycles'!$FO$15:$FU$15,1,CH129)))),0)</f>
        <v>0.020100502512562814</v>
      </c>
      <c r="CI137" s="24">
        <f>IF(CI131=1,'Lease Cycles'!$D$15*IF(INDEX('Lease Cycles'!$EF$15:$EL$15,1,CI129)=1,(1-'Lease Cycles'!$AJ$15)*INDEX('Lease Cycles'!$EM$15:$ES$15,1,CI129)+(1-'Lease Cycles'!$BE$15)*IF(CI130&lt;INDEX('Lease Cycles'!$FA$15:$FG$15,1,CI129),0,1-INDEX('Lease Cycles'!$EM$15:$ES$15,1,CI129)),IF(OR(INDEX('Lease Cycles'!$DY$15:$EE$15,1,CI129)=1,CI130&gt;0),1,1-INDEX('Lease Cycles'!$DD$15:$DJ$15,1,CI129))*((1-'Lease Cycles'!$AJ$15)*INDEX('Lease Cycles'!$FO$15:$FU$15,1,CI129)+(1-'Lease Cycles'!$BE$15)*(1-INDEX('Lease Cycles'!$FO$15:$FU$15,1,CI129)))),0)</f>
        <v>0.020100502512562814</v>
      </c>
      <c r="CJ137" s="24">
        <f>IF(CJ131=1,'Lease Cycles'!$D$15*IF(INDEX('Lease Cycles'!$EF$15:$EL$15,1,CJ129)=1,(1-'Lease Cycles'!$AJ$15)*INDEX('Lease Cycles'!$EM$15:$ES$15,1,CJ129)+(1-'Lease Cycles'!$BE$15)*IF(CJ130&lt;INDEX('Lease Cycles'!$FA$15:$FG$15,1,CJ129),0,1-INDEX('Lease Cycles'!$EM$15:$ES$15,1,CJ129)),IF(OR(INDEX('Lease Cycles'!$DY$15:$EE$15,1,CJ129)=1,CJ130&gt;0),1,1-INDEX('Lease Cycles'!$DD$15:$DJ$15,1,CJ129))*((1-'Lease Cycles'!$AJ$15)*INDEX('Lease Cycles'!$FO$15:$FU$15,1,CJ129)+(1-'Lease Cycles'!$BE$15)*(1-INDEX('Lease Cycles'!$FO$15:$FU$15,1,CJ129)))),0)</f>
        <v>0.020100502512562814</v>
      </c>
      <c r="CK137" s="24">
        <f>IF(CK131=1,'Lease Cycles'!$D$15*IF(INDEX('Lease Cycles'!$EF$15:$EL$15,1,CK129)=1,(1-'Lease Cycles'!$AJ$15)*INDEX('Lease Cycles'!$EM$15:$ES$15,1,CK129)+(1-'Lease Cycles'!$BE$15)*IF(CK130&lt;INDEX('Lease Cycles'!$FA$15:$FG$15,1,CK129),0,1-INDEX('Lease Cycles'!$EM$15:$ES$15,1,CK129)),IF(OR(INDEX('Lease Cycles'!$DY$15:$EE$15,1,CK129)=1,CK130&gt;0),1,1-INDEX('Lease Cycles'!$DD$15:$DJ$15,1,CK129))*((1-'Lease Cycles'!$AJ$15)*INDEX('Lease Cycles'!$FO$15:$FU$15,1,CK129)+(1-'Lease Cycles'!$BE$15)*(1-INDEX('Lease Cycles'!$FO$15:$FU$15,1,CK129)))),0)</f>
        <v>0.020100502512562814</v>
      </c>
      <c r="CL137" s="24">
        <f>IF(CL131=1,'Lease Cycles'!$D$15*IF(INDEX('Lease Cycles'!$EF$15:$EL$15,1,CL129)=1,(1-'Lease Cycles'!$AJ$15)*INDEX('Lease Cycles'!$EM$15:$ES$15,1,CL129)+(1-'Lease Cycles'!$BE$15)*IF(CL130&lt;INDEX('Lease Cycles'!$FA$15:$FG$15,1,CL129),0,1-INDEX('Lease Cycles'!$EM$15:$ES$15,1,CL129)),IF(OR(INDEX('Lease Cycles'!$DY$15:$EE$15,1,CL129)=1,CL130&gt;0),1,1-INDEX('Lease Cycles'!$DD$15:$DJ$15,1,CL129))*((1-'Lease Cycles'!$AJ$15)*INDEX('Lease Cycles'!$FO$15:$FU$15,1,CL129)+(1-'Lease Cycles'!$BE$15)*(1-INDEX('Lease Cycles'!$FO$15:$FU$15,1,CL129)))),0)</f>
        <v>0.020100502512562814</v>
      </c>
      <c r="CM137" s="24">
        <f>IF(CM131=1,'Lease Cycles'!$D$15*IF(INDEX('Lease Cycles'!$EF$15:$EL$15,1,CM129)=1,(1-'Lease Cycles'!$AJ$15)*INDEX('Lease Cycles'!$EM$15:$ES$15,1,CM129)+(1-'Lease Cycles'!$BE$15)*IF(CM130&lt;INDEX('Lease Cycles'!$FA$15:$FG$15,1,CM129),0,1-INDEX('Lease Cycles'!$EM$15:$ES$15,1,CM129)),IF(OR(INDEX('Lease Cycles'!$DY$15:$EE$15,1,CM129)=1,CM130&gt;0),1,1-INDEX('Lease Cycles'!$DD$15:$DJ$15,1,CM129))*((1-'Lease Cycles'!$AJ$15)*INDEX('Lease Cycles'!$FO$15:$FU$15,1,CM129)+(1-'Lease Cycles'!$BE$15)*(1-INDEX('Lease Cycles'!$FO$15:$FU$15,1,CM129)))),0)</f>
        <v>0.020100502512562814</v>
      </c>
      <c r="CN137" s="24">
        <f>IF(CN131=1,'Lease Cycles'!$D$15*IF(INDEX('Lease Cycles'!$EF$15:$EL$15,1,CN129)=1,(1-'Lease Cycles'!$AJ$15)*INDEX('Lease Cycles'!$EM$15:$ES$15,1,CN129)+(1-'Lease Cycles'!$BE$15)*IF(CN130&lt;INDEX('Lease Cycles'!$FA$15:$FG$15,1,CN129),0,1-INDEX('Lease Cycles'!$EM$15:$ES$15,1,CN129)),IF(OR(INDEX('Lease Cycles'!$DY$15:$EE$15,1,CN129)=1,CN130&gt;0),1,1-INDEX('Lease Cycles'!$DD$15:$DJ$15,1,CN129))*((1-'Lease Cycles'!$AJ$15)*INDEX('Lease Cycles'!$FO$15:$FU$15,1,CN129)+(1-'Lease Cycles'!$BE$15)*(1-INDEX('Lease Cycles'!$FO$15:$FU$15,1,CN129)))),0)</f>
        <v>0.020100502512562814</v>
      </c>
      <c r="CO137" s="24">
        <f>IF(CO131=1,'Lease Cycles'!$D$15*IF(INDEX('Lease Cycles'!$EF$15:$EL$15,1,CO129)=1,(1-'Lease Cycles'!$AJ$15)*INDEX('Lease Cycles'!$EM$15:$ES$15,1,CO129)+(1-'Lease Cycles'!$BE$15)*IF(CO130&lt;INDEX('Lease Cycles'!$FA$15:$FG$15,1,CO129),0,1-INDEX('Lease Cycles'!$EM$15:$ES$15,1,CO129)),IF(OR(INDEX('Lease Cycles'!$DY$15:$EE$15,1,CO129)=1,CO130&gt;0),1,1-INDEX('Lease Cycles'!$DD$15:$DJ$15,1,CO129))*((1-'Lease Cycles'!$AJ$15)*INDEX('Lease Cycles'!$FO$15:$FU$15,1,CO129)+(1-'Lease Cycles'!$BE$15)*(1-INDEX('Lease Cycles'!$FO$15:$FU$15,1,CO129)))),0)</f>
        <v>0.020100502512562814</v>
      </c>
      <c r="CP137" s="24">
        <f>IF(CP131=1,'Lease Cycles'!$D$15*IF(INDEX('Lease Cycles'!$EF$15:$EL$15,1,CP129)=1,(1-'Lease Cycles'!$AJ$15)*INDEX('Lease Cycles'!$EM$15:$ES$15,1,CP129)+(1-'Lease Cycles'!$BE$15)*IF(CP130&lt;INDEX('Lease Cycles'!$FA$15:$FG$15,1,CP129),0,1-INDEX('Lease Cycles'!$EM$15:$ES$15,1,CP129)),IF(OR(INDEX('Lease Cycles'!$DY$15:$EE$15,1,CP129)=1,CP130&gt;0),1,1-INDEX('Lease Cycles'!$DD$15:$DJ$15,1,CP129))*((1-'Lease Cycles'!$AJ$15)*INDEX('Lease Cycles'!$FO$15:$FU$15,1,CP129)+(1-'Lease Cycles'!$BE$15)*(1-INDEX('Lease Cycles'!$FO$15:$FU$15,1,CP129)))),0)</f>
        <v>0.020100502512562814</v>
      </c>
      <c r="CQ137" s="24">
        <f>IF(CQ131=1,'Lease Cycles'!$D$15*IF(INDEX('Lease Cycles'!$EF$15:$EL$15,1,CQ129)=1,(1-'Lease Cycles'!$AJ$15)*INDEX('Lease Cycles'!$EM$15:$ES$15,1,CQ129)+(1-'Lease Cycles'!$BE$15)*IF(CQ130&lt;INDEX('Lease Cycles'!$FA$15:$FG$15,1,CQ129),0,1-INDEX('Lease Cycles'!$EM$15:$ES$15,1,CQ129)),IF(OR(INDEX('Lease Cycles'!$DY$15:$EE$15,1,CQ129)=1,CQ130&gt;0),1,1-INDEX('Lease Cycles'!$DD$15:$DJ$15,1,CQ129))*((1-'Lease Cycles'!$AJ$15)*INDEX('Lease Cycles'!$FO$15:$FU$15,1,CQ129)+(1-'Lease Cycles'!$BE$15)*(1-INDEX('Lease Cycles'!$FO$15:$FU$15,1,CQ129)))),0)</f>
        <v>0.020100502512562814</v>
      </c>
      <c r="CR137" s="24">
        <f>IF(CR131=1,'Lease Cycles'!$D$15*IF(INDEX('Lease Cycles'!$EF$15:$EL$15,1,CR129)=1,(1-'Lease Cycles'!$AJ$15)*INDEX('Lease Cycles'!$EM$15:$ES$15,1,CR129)+(1-'Lease Cycles'!$BE$15)*IF(CR130&lt;INDEX('Lease Cycles'!$FA$15:$FG$15,1,CR129),0,1-INDEX('Lease Cycles'!$EM$15:$ES$15,1,CR129)),IF(OR(INDEX('Lease Cycles'!$DY$15:$EE$15,1,CR129)=1,CR130&gt;0),1,1-INDEX('Lease Cycles'!$DD$15:$DJ$15,1,CR129))*((1-'Lease Cycles'!$AJ$15)*INDEX('Lease Cycles'!$FO$15:$FU$15,1,CR129)+(1-'Lease Cycles'!$BE$15)*(1-INDEX('Lease Cycles'!$FO$15:$FU$15,1,CR129)))),0)</f>
        <v>0.020100502512562814</v>
      </c>
      <c r="CS137" s="24">
        <f>IF(CS131=1,'Lease Cycles'!$D$15*IF(INDEX('Lease Cycles'!$EF$15:$EL$15,1,CS129)=1,(1-'Lease Cycles'!$AJ$15)*INDEX('Lease Cycles'!$EM$15:$ES$15,1,CS129)+(1-'Lease Cycles'!$BE$15)*IF(CS130&lt;INDEX('Lease Cycles'!$FA$15:$FG$15,1,CS129),0,1-INDEX('Lease Cycles'!$EM$15:$ES$15,1,CS129)),IF(OR(INDEX('Lease Cycles'!$DY$15:$EE$15,1,CS129)=1,CS130&gt;0),1,1-INDEX('Lease Cycles'!$DD$15:$DJ$15,1,CS129))*((1-'Lease Cycles'!$AJ$15)*INDEX('Lease Cycles'!$FO$15:$FU$15,1,CS129)+(1-'Lease Cycles'!$BE$15)*(1-INDEX('Lease Cycles'!$FO$15:$FU$15,1,CS129)))),0)</f>
        <v>0.020100502512562814</v>
      </c>
      <c r="CT137" s="24">
        <f>IF(CT131=1,'Lease Cycles'!$D$15*IF(INDEX('Lease Cycles'!$EF$15:$EL$15,1,CT129)=1,(1-'Lease Cycles'!$AJ$15)*INDEX('Lease Cycles'!$EM$15:$ES$15,1,CT129)+(1-'Lease Cycles'!$BE$15)*IF(CT130&lt;INDEX('Lease Cycles'!$FA$15:$FG$15,1,CT129),0,1-INDEX('Lease Cycles'!$EM$15:$ES$15,1,CT129)),IF(OR(INDEX('Lease Cycles'!$DY$15:$EE$15,1,CT129)=1,CT130&gt;0),1,1-INDEX('Lease Cycles'!$DD$15:$DJ$15,1,CT129))*((1-'Lease Cycles'!$AJ$15)*INDEX('Lease Cycles'!$FO$15:$FU$15,1,CT129)+(1-'Lease Cycles'!$BE$15)*(1-INDEX('Lease Cycles'!$FO$15:$FU$15,1,CT129)))),0)</f>
        <v>0.020100502512562814</v>
      </c>
      <c r="CU137" s="24">
        <f>IF(CU131=1,'Lease Cycles'!$D$15*IF(INDEX('Lease Cycles'!$EF$15:$EL$15,1,CU129)=1,(1-'Lease Cycles'!$AJ$15)*INDEX('Lease Cycles'!$EM$15:$ES$15,1,CU129)+(1-'Lease Cycles'!$BE$15)*IF(CU130&lt;INDEX('Lease Cycles'!$FA$15:$FG$15,1,CU129),0,1-INDEX('Lease Cycles'!$EM$15:$ES$15,1,CU129)),IF(OR(INDEX('Lease Cycles'!$DY$15:$EE$15,1,CU129)=1,CU130&gt;0),1,1-INDEX('Lease Cycles'!$DD$15:$DJ$15,1,CU129))*((1-'Lease Cycles'!$AJ$15)*INDEX('Lease Cycles'!$FO$15:$FU$15,1,CU129)+(1-'Lease Cycles'!$BE$15)*(1-INDEX('Lease Cycles'!$FO$15:$FU$15,1,CU129)))),0)</f>
        <v>0.020100502512562814</v>
      </c>
      <c r="CV137" s="24">
        <f>IF(CV131=1,'Lease Cycles'!$D$15*IF(INDEX('Lease Cycles'!$EF$15:$EL$15,1,CV129)=1,(1-'Lease Cycles'!$AJ$15)*INDEX('Lease Cycles'!$EM$15:$ES$15,1,CV129)+(1-'Lease Cycles'!$BE$15)*IF(CV130&lt;INDEX('Lease Cycles'!$FA$15:$FG$15,1,CV129),0,1-INDEX('Lease Cycles'!$EM$15:$ES$15,1,CV129)),IF(OR(INDEX('Lease Cycles'!$DY$15:$EE$15,1,CV129)=1,CV130&gt;0),1,1-INDEX('Lease Cycles'!$DD$15:$DJ$15,1,CV129))*((1-'Lease Cycles'!$AJ$15)*INDEX('Lease Cycles'!$FO$15:$FU$15,1,CV129)+(1-'Lease Cycles'!$BE$15)*(1-INDEX('Lease Cycles'!$FO$15:$FU$15,1,CV129)))),0)</f>
        <v>0.020100502512562814</v>
      </c>
      <c r="CW137" s="24">
        <f>IF(CW131=1,'Lease Cycles'!$D$15*IF(INDEX('Lease Cycles'!$EF$15:$EL$15,1,CW129)=1,(1-'Lease Cycles'!$AJ$15)*INDEX('Lease Cycles'!$EM$15:$ES$15,1,CW129)+(1-'Lease Cycles'!$BE$15)*IF(CW130&lt;INDEX('Lease Cycles'!$FA$15:$FG$15,1,CW129),0,1-INDEX('Lease Cycles'!$EM$15:$ES$15,1,CW129)),IF(OR(INDEX('Lease Cycles'!$DY$15:$EE$15,1,CW129)=1,CW130&gt;0),1,1-INDEX('Lease Cycles'!$DD$15:$DJ$15,1,CW129))*((1-'Lease Cycles'!$AJ$15)*INDEX('Lease Cycles'!$FO$15:$FU$15,1,CW129)+(1-'Lease Cycles'!$BE$15)*(1-INDEX('Lease Cycles'!$FO$15:$FU$15,1,CW129)))),0)</f>
        <v>0.020100502512562814</v>
      </c>
      <c r="CX137" s="24">
        <f>IF(CX131=1,'Lease Cycles'!$D$15*IF(INDEX('Lease Cycles'!$EF$15:$EL$15,1,CX129)=1,(1-'Lease Cycles'!$AJ$15)*INDEX('Lease Cycles'!$EM$15:$ES$15,1,CX129)+(1-'Lease Cycles'!$BE$15)*IF(CX130&lt;INDEX('Lease Cycles'!$FA$15:$FG$15,1,CX129),0,1-INDEX('Lease Cycles'!$EM$15:$ES$15,1,CX129)),IF(OR(INDEX('Lease Cycles'!$DY$15:$EE$15,1,CX129)=1,CX130&gt;0),1,1-INDEX('Lease Cycles'!$DD$15:$DJ$15,1,CX129))*((1-'Lease Cycles'!$AJ$15)*INDEX('Lease Cycles'!$FO$15:$FU$15,1,CX129)+(1-'Lease Cycles'!$BE$15)*(1-INDEX('Lease Cycles'!$FO$15:$FU$15,1,CX129)))),0)</f>
        <v>0.020100502512562814</v>
      </c>
      <c r="CY137" s="24">
        <f>IF(CY131=1,'Lease Cycles'!$D$15*IF(INDEX('Lease Cycles'!$EF$15:$EL$15,1,CY129)=1,(1-'Lease Cycles'!$AJ$15)*INDEX('Lease Cycles'!$EM$15:$ES$15,1,CY129)+(1-'Lease Cycles'!$BE$15)*IF(CY130&lt;INDEX('Lease Cycles'!$FA$15:$FG$15,1,CY129),0,1-INDEX('Lease Cycles'!$EM$15:$ES$15,1,CY129)),IF(OR(INDEX('Lease Cycles'!$DY$15:$EE$15,1,CY129)=1,CY130&gt;0),1,1-INDEX('Lease Cycles'!$DD$15:$DJ$15,1,CY129))*((1-'Lease Cycles'!$AJ$15)*INDEX('Lease Cycles'!$FO$15:$FU$15,1,CY129)+(1-'Lease Cycles'!$BE$15)*(1-INDEX('Lease Cycles'!$FO$15:$FU$15,1,CY129)))),0)</f>
        <v>0.020100502512562814</v>
      </c>
      <c r="CZ137" s="24">
        <f>IF(CZ131=1,'Lease Cycles'!$D$15*IF(INDEX('Lease Cycles'!$EF$15:$EL$15,1,CZ129)=1,(1-'Lease Cycles'!$AJ$15)*INDEX('Lease Cycles'!$EM$15:$ES$15,1,CZ129)+(1-'Lease Cycles'!$BE$15)*IF(CZ130&lt;INDEX('Lease Cycles'!$FA$15:$FG$15,1,CZ129),0,1-INDEX('Lease Cycles'!$EM$15:$ES$15,1,CZ129)),IF(OR(INDEX('Lease Cycles'!$DY$15:$EE$15,1,CZ129)=1,CZ130&gt;0),1,1-INDEX('Lease Cycles'!$DD$15:$DJ$15,1,CZ129))*((1-'Lease Cycles'!$AJ$15)*INDEX('Lease Cycles'!$FO$15:$FU$15,1,CZ129)+(1-'Lease Cycles'!$BE$15)*(1-INDEX('Lease Cycles'!$FO$15:$FU$15,1,CZ129)))),0)</f>
        <v>0.020100502512562814</v>
      </c>
      <c r="DA137" s="24">
        <f>IF(DA131=1,'Lease Cycles'!$D$15*IF(INDEX('Lease Cycles'!$EF$15:$EL$15,1,DA129)=1,(1-'Lease Cycles'!$AJ$15)*INDEX('Lease Cycles'!$EM$15:$ES$15,1,DA129)+(1-'Lease Cycles'!$BE$15)*IF(DA130&lt;INDEX('Lease Cycles'!$FA$15:$FG$15,1,DA129),0,1-INDEX('Lease Cycles'!$EM$15:$ES$15,1,DA129)),IF(OR(INDEX('Lease Cycles'!$DY$15:$EE$15,1,DA129)=1,DA130&gt;0),1,1-INDEX('Lease Cycles'!$DD$15:$DJ$15,1,DA129))*((1-'Lease Cycles'!$AJ$15)*INDEX('Lease Cycles'!$FO$15:$FU$15,1,DA129)+(1-'Lease Cycles'!$BE$15)*(1-INDEX('Lease Cycles'!$FO$15:$FU$15,1,DA129)))),0)</f>
        <v>0.020100502512562814</v>
      </c>
      <c r="DB137" s="24">
        <f>IF(DB131=1,'Lease Cycles'!$D$15*IF(INDEX('Lease Cycles'!$EF$15:$EL$15,1,DB129)=1,(1-'Lease Cycles'!$AJ$15)*INDEX('Lease Cycles'!$EM$15:$ES$15,1,DB129)+(1-'Lease Cycles'!$BE$15)*IF(DB130&lt;INDEX('Lease Cycles'!$FA$15:$FG$15,1,DB129),0,1-INDEX('Lease Cycles'!$EM$15:$ES$15,1,DB129)),IF(OR(INDEX('Lease Cycles'!$DY$15:$EE$15,1,DB129)=1,DB130&gt;0),1,1-INDEX('Lease Cycles'!$DD$15:$DJ$15,1,DB129))*((1-'Lease Cycles'!$AJ$15)*INDEX('Lease Cycles'!$FO$15:$FU$15,1,DB129)+(1-'Lease Cycles'!$BE$15)*(1-INDEX('Lease Cycles'!$FO$15:$FU$15,1,DB129)))),0)</f>
        <v>0.020100502512562814</v>
      </c>
      <c r="DC137" s="24">
        <f>IF(DC131=1,'Lease Cycles'!$D$15*IF(INDEX('Lease Cycles'!$EF$15:$EL$15,1,DC129)=1,(1-'Lease Cycles'!$AJ$15)*INDEX('Lease Cycles'!$EM$15:$ES$15,1,DC129)+(1-'Lease Cycles'!$BE$15)*IF(DC130&lt;INDEX('Lease Cycles'!$FA$15:$FG$15,1,DC129),0,1-INDEX('Lease Cycles'!$EM$15:$ES$15,1,DC129)),IF(OR(INDEX('Lease Cycles'!$DY$15:$EE$15,1,DC129)=1,DC130&gt;0),1,1-INDEX('Lease Cycles'!$DD$15:$DJ$15,1,DC129))*((1-'Lease Cycles'!$AJ$15)*INDEX('Lease Cycles'!$FO$15:$FU$15,1,DC129)+(1-'Lease Cycles'!$BE$15)*(1-INDEX('Lease Cycles'!$FO$15:$FU$15,1,DC129)))),0)</f>
        <v>0.020100502512562814</v>
      </c>
      <c r="DD137" s="24">
        <f>IF(DD131=1,'Lease Cycles'!$D$15*IF(INDEX('Lease Cycles'!$EF$15:$EL$15,1,DD129)=1,(1-'Lease Cycles'!$AJ$15)*INDEX('Lease Cycles'!$EM$15:$ES$15,1,DD129)+(1-'Lease Cycles'!$BE$15)*IF(DD130&lt;INDEX('Lease Cycles'!$FA$15:$FG$15,1,DD129),0,1-INDEX('Lease Cycles'!$EM$15:$ES$15,1,DD129)),IF(OR(INDEX('Lease Cycles'!$DY$15:$EE$15,1,DD129)=1,DD130&gt;0),1,1-INDEX('Lease Cycles'!$DD$15:$DJ$15,1,DD129))*((1-'Lease Cycles'!$AJ$15)*INDEX('Lease Cycles'!$FO$15:$FU$15,1,DD129)+(1-'Lease Cycles'!$BE$15)*(1-INDEX('Lease Cycles'!$FO$15:$FU$15,1,DD129)))),0)</f>
        <v>0.020100502512562814</v>
      </c>
      <c r="DE137" s="24">
        <f>IF(DE131=1,'Lease Cycles'!$D$15*IF(INDEX('Lease Cycles'!$EF$15:$EL$15,1,DE129)=1,(1-'Lease Cycles'!$AJ$15)*INDEX('Lease Cycles'!$EM$15:$ES$15,1,DE129)+(1-'Lease Cycles'!$BE$15)*IF(DE130&lt;INDEX('Lease Cycles'!$FA$15:$FG$15,1,DE129),0,1-INDEX('Lease Cycles'!$EM$15:$ES$15,1,DE129)),IF(OR(INDEX('Lease Cycles'!$DY$15:$EE$15,1,DE129)=1,DE130&gt;0),1,1-INDEX('Lease Cycles'!$DD$15:$DJ$15,1,DE129))*((1-'Lease Cycles'!$AJ$15)*INDEX('Lease Cycles'!$FO$15:$FU$15,1,DE129)+(1-'Lease Cycles'!$BE$15)*(1-INDEX('Lease Cycles'!$FO$15:$FU$15,1,DE129)))),0)</f>
        <v>0.020100502512562814</v>
      </c>
      <c r="DF137" s="24">
        <f>IF(DF131=1,'Lease Cycles'!$D$15*IF(INDEX('Lease Cycles'!$EF$15:$EL$15,1,DF129)=1,(1-'Lease Cycles'!$AJ$15)*INDEX('Lease Cycles'!$EM$15:$ES$15,1,DF129)+(1-'Lease Cycles'!$BE$15)*IF(DF130&lt;INDEX('Lease Cycles'!$FA$15:$FG$15,1,DF129),0,1-INDEX('Lease Cycles'!$EM$15:$ES$15,1,DF129)),IF(OR(INDEX('Lease Cycles'!$DY$15:$EE$15,1,DF129)=1,DF130&gt;0),1,1-INDEX('Lease Cycles'!$DD$15:$DJ$15,1,DF129))*((1-'Lease Cycles'!$AJ$15)*INDEX('Lease Cycles'!$FO$15:$FU$15,1,DF129)+(1-'Lease Cycles'!$BE$15)*(1-INDEX('Lease Cycles'!$FO$15:$FU$15,1,DF129)))),0)</f>
        <v>0.020100502512562814</v>
      </c>
      <c r="DG137" s="24">
        <f>IF(DG131=1,'Lease Cycles'!$D$15*IF(INDEX('Lease Cycles'!$EF$15:$EL$15,1,DG129)=1,(1-'Lease Cycles'!$AJ$15)*INDEX('Lease Cycles'!$EM$15:$ES$15,1,DG129)+(1-'Lease Cycles'!$BE$15)*IF(DG130&lt;INDEX('Lease Cycles'!$FA$15:$FG$15,1,DG129),0,1-INDEX('Lease Cycles'!$EM$15:$ES$15,1,DG129)),IF(OR(INDEX('Lease Cycles'!$DY$15:$EE$15,1,DG129)=1,DG130&gt;0),1,1-INDEX('Lease Cycles'!$DD$15:$DJ$15,1,DG129))*((1-'Lease Cycles'!$AJ$15)*INDEX('Lease Cycles'!$FO$15:$FU$15,1,DG129)+(1-'Lease Cycles'!$BE$15)*(1-INDEX('Lease Cycles'!$FO$15:$FU$15,1,DG129)))),0)</f>
        <v>0.020100502512562814</v>
      </c>
      <c r="DH137" s="24">
        <f>IF(DH131=1,'Lease Cycles'!$D$15*IF(INDEX('Lease Cycles'!$EF$15:$EL$15,1,DH129)=1,(1-'Lease Cycles'!$AJ$15)*INDEX('Lease Cycles'!$EM$15:$ES$15,1,DH129)+(1-'Lease Cycles'!$BE$15)*IF(DH130&lt;INDEX('Lease Cycles'!$FA$15:$FG$15,1,DH129),0,1-INDEX('Lease Cycles'!$EM$15:$ES$15,1,DH129)),IF(OR(INDEX('Lease Cycles'!$DY$15:$EE$15,1,DH129)=1,DH130&gt;0),1,1-INDEX('Lease Cycles'!$DD$15:$DJ$15,1,DH129))*((1-'Lease Cycles'!$AJ$15)*INDEX('Lease Cycles'!$FO$15:$FU$15,1,DH129)+(1-'Lease Cycles'!$BE$15)*(1-INDEX('Lease Cycles'!$FO$15:$FU$15,1,DH129)))),0)</f>
        <v>0.020100502512562814</v>
      </c>
      <c r="DI137" s="24">
        <f>IF(DI131=1,'Lease Cycles'!$D$15*IF(INDEX('Lease Cycles'!$EF$15:$EL$15,1,DI129)=1,(1-'Lease Cycles'!$AJ$15)*INDEX('Lease Cycles'!$EM$15:$ES$15,1,DI129)+(1-'Lease Cycles'!$BE$15)*IF(DI130&lt;INDEX('Lease Cycles'!$FA$15:$FG$15,1,DI129),0,1-INDEX('Lease Cycles'!$EM$15:$ES$15,1,DI129)),IF(OR(INDEX('Lease Cycles'!$DY$15:$EE$15,1,DI129)=1,DI130&gt;0),1,1-INDEX('Lease Cycles'!$DD$15:$DJ$15,1,DI129))*((1-'Lease Cycles'!$AJ$15)*INDEX('Lease Cycles'!$FO$15:$FU$15,1,DI129)+(1-'Lease Cycles'!$BE$15)*(1-INDEX('Lease Cycles'!$FO$15:$FU$15,1,DI129)))),0)</f>
        <v>0.020100502512562814</v>
      </c>
      <c r="DJ137" s="24">
        <f>IF(DJ131=1,'Lease Cycles'!$D$15*IF(INDEX('Lease Cycles'!$EF$15:$EL$15,1,DJ129)=1,(1-'Lease Cycles'!$AJ$15)*INDEX('Lease Cycles'!$EM$15:$ES$15,1,DJ129)+(1-'Lease Cycles'!$BE$15)*IF(DJ130&lt;INDEX('Lease Cycles'!$FA$15:$FG$15,1,DJ129),0,1-INDEX('Lease Cycles'!$EM$15:$ES$15,1,DJ129)),IF(OR(INDEX('Lease Cycles'!$DY$15:$EE$15,1,DJ129)=1,DJ130&gt;0),1,1-INDEX('Lease Cycles'!$DD$15:$DJ$15,1,DJ129))*((1-'Lease Cycles'!$AJ$15)*INDEX('Lease Cycles'!$FO$15:$FU$15,1,DJ129)+(1-'Lease Cycles'!$BE$15)*(1-INDEX('Lease Cycles'!$FO$15:$FU$15,1,DJ129)))),0)</f>
        <v>0.020100502512562814</v>
      </c>
      <c r="DK137" s="24">
        <f>IF(DK131=1,'Lease Cycles'!$D$15*IF(INDEX('Lease Cycles'!$EF$15:$EL$15,1,DK129)=1,(1-'Lease Cycles'!$AJ$15)*INDEX('Lease Cycles'!$EM$15:$ES$15,1,DK129)+(1-'Lease Cycles'!$BE$15)*IF(DK130&lt;INDEX('Lease Cycles'!$FA$15:$FG$15,1,DK129),0,1-INDEX('Lease Cycles'!$EM$15:$ES$15,1,DK129)),IF(OR(INDEX('Lease Cycles'!$DY$15:$EE$15,1,DK129)=1,DK130&gt;0),1,1-INDEX('Lease Cycles'!$DD$15:$DJ$15,1,DK129))*((1-'Lease Cycles'!$AJ$15)*INDEX('Lease Cycles'!$FO$15:$FU$15,1,DK129)+(1-'Lease Cycles'!$BE$15)*(1-INDEX('Lease Cycles'!$FO$15:$FU$15,1,DK129)))),0)</f>
        <v>0.020100502512562814</v>
      </c>
      <c r="DL137" s="24">
        <f>IF(DL131=1,'Lease Cycles'!$D$15*IF(INDEX('Lease Cycles'!$EF$15:$EL$15,1,DL129)=1,(1-'Lease Cycles'!$AJ$15)*INDEX('Lease Cycles'!$EM$15:$ES$15,1,DL129)+(1-'Lease Cycles'!$BE$15)*IF(DL130&lt;INDEX('Lease Cycles'!$FA$15:$FG$15,1,DL129),0,1-INDEX('Lease Cycles'!$EM$15:$ES$15,1,DL129)),IF(OR(INDEX('Lease Cycles'!$DY$15:$EE$15,1,DL129)=1,DL130&gt;0),1,1-INDEX('Lease Cycles'!$DD$15:$DJ$15,1,DL129))*((1-'Lease Cycles'!$AJ$15)*INDEX('Lease Cycles'!$FO$15:$FU$15,1,DL129)+(1-'Lease Cycles'!$BE$15)*(1-INDEX('Lease Cycles'!$FO$15:$FU$15,1,DL129)))),0)</f>
        <v>0.020100502512562814</v>
      </c>
      <c r="DM137" s="24">
        <f>IF(DM131=1,'Lease Cycles'!$D$15*IF(INDEX('Lease Cycles'!$EF$15:$EL$15,1,DM129)=1,(1-'Lease Cycles'!$AJ$15)*INDEX('Lease Cycles'!$EM$15:$ES$15,1,DM129)+(1-'Lease Cycles'!$BE$15)*IF(DM130&lt;INDEX('Lease Cycles'!$FA$15:$FG$15,1,DM129),0,1-INDEX('Lease Cycles'!$EM$15:$ES$15,1,DM129)),IF(OR(INDEX('Lease Cycles'!$DY$15:$EE$15,1,DM129)=1,DM130&gt;0),1,1-INDEX('Lease Cycles'!$DD$15:$DJ$15,1,DM129))*((1-'Lease Cycles'!$AJ$15)*INDEX('Lease Cycles'!$FO$15:$FU$15,1,DM129)+(1-'Lease Cycles'!$BE$15)*(1-INDEX('Lease Cycles'!$FO$15:$FU$15,1,DM129)))),0)</f>
        <v>0.020100502512562814</v>
      </c>
      <c r="DN137" s="24">
        <f>IF(DN131=1,'Lease Cycles'!$D$15*IF(INDEX('Lease Cycles'!$EF$15:$EL$15,1,DN129)=1,(1-'Lease Cycles'!$AJ$15)*INDEX('Lease Cycles'!$EM$15:$ES$15,1,DN129)+(1-'Lease Cycles'!$BE$15)*IF(DN130&lt;INDEX('Lease Cycles'!$FA$15:$FG$15,1,DN129),0,1-INDEX('Lease Cycles'!$EM$15:$ES$15,1,DN129)),IF(OR(INDEX('Lease Cycles'!$DY$15:$EE$15,1,DN129)=1,DN130&gt;0),1,1-INDEX('Lease Cycles'!$DD$15:$DJ$15,1,DN129))*((1-'Lease Cycles'!$AJ$15)*INDEX('Lease Cycles'!$FO$15:$FU$15,1,DN129)+(1-'Lease Cycles'!$BE$15)*(1-INDEX('Lease Cycles'!$FO$15:$FU$15,1,DN129)))),0)</f>
        <v>0.020100502512562814</v>
      </c>
      <c r="DO137" s="24">
        <f>IF(DO131=1,'Lease Cycles'!$D$15*IF(INDEX('Lease Cycles'!$EF$15:$EL$15,1,DO129)=1,(1-'Lease Cycles'!$AJ$15)*INDEX('Lease Cycles'!$EM$15:$ES$15,1,DO129)+(1-'Lease Cycles'!$BE$15)*IF(DO130&lt;INDEX('Lease Cycles'!$FA$15:$FG$15,1,DO129),0,1-INDEX('Lease Cycles'!$EM$15:$ES$15,1,DO129)),IF(OR(INDEX('Lease Cycles'!$DY$15:$EE$15,1,DO129)=1,DO130&gt;0),1,1-INDEX('Lease Cycles'!$DD$15:$DJ$15,1,DO129))*((1-'Lease Cycles'!$AJ$15)*INDEX('Lease Cycles'!$FO$15:$FU$15,1,DO129)+(1-'Lease Cycles'!$BE$15)*(1-INDEX('Lease Cycles'!$FO$15:$FU$15,1,DO129)))),0)</f>
        <v>0.020100502512562814</v>
      </c>
      <c r="DP137" s="24">
        <f>IF(DP131=1,'Lease Cycles'!$D$15*IF(INDEX('Lease Cycles'!$EF$15:$EL$15,1,DP129)=1,(1-'Lease Cycles'!$AJ$15)*INDEX('Lease Cycles'!$EM$15:$ES$15,1,DP129)+(1-'Lease Cycles'!$BE$15)*IF(DP130&lt;INDEX('Lease Cycles'!$FA$15:$FG$15,1,DP129),0,1-INDEX('Lease Cycles'!$EM$15:$ES$15,1,DP129)),IF(OR(INDEX('Lease Cycles'!$DY$15:$EE$15,1,DP129)=1,DP130&gt;0),1,1-INDEX('Lease Cycles'!$DD$15:$DJ$15,1,DP129))*((1-'Lease Cycles'!$AJ$15)*INDEX('Lease Cycles'!$FO$15:$FU$15,1,DP129)+(1-'Lease Cycles'!$BE$15)*(1-INDEX('Lease Cycles'!$FO$15:$FU$15,1,DP129)))),0)</f>
        <v>0.020100502512562814</v>
      </c>
      <c r="DQ137" s="24">
        <f>IF(DQ131=1,'Lease Cycles'!$D$15*IF(INDEX('Lease Cycles'!$EF$15:$EL$15,1,DQ129)=1,(1-'Lease Cycles'!$AJ$15)*INDEX('Lease Cycles'!$EM$15:$ES$15,1,DQ129)+(1-'Lease Cycles'!$BE$15)*IF(DQ130&lt;INDEX('Lease Cycles'!$FA$15:$FG$15,1,DQ129),0,1-INDEX('Lease Cycles'!$EM$15:$ES$15,1,DQ129)),IF(OR(INDEX('Lease Cycles'!$DY$15:$EE$15,1,DQ129)=1,DQ130&gt;0),1,1-INDEX('Lease Cycles'!$DD$15:$DJ$15,1,DQ129))*((1-'Lease Cycles'!$AJ$15)*INDEX('Lease Cycles'!$FO$15:$FU$15,1,DQ129)+(1-'Lease Cycles'!$BE$15)*(1-INDEX('Lease Cycles'!$FO$15:$FU$15,1,DQ129)))),0)</f>
        <v>0.020100502512562814</v>
      </c>
      <c r="DR137" s="24">
        <f>IF(DR131=1,'Lease Cycles'!$D$15*IF(INDEX('Lease Cycles'!$EF$15:$EL$15,1,DR129)=1,(1-'Lease Cycles'!$AJ$15)*INDEX('Lease Cycles'!$EM$15:$ES$15,1,DR129)+(1-'Lease Cycles'!$BE$15)*IF(DR130&lt;INDEX('Lease Cycles'!$FA$15:$FG$15,1,DR129),0,1-INDEX('Lease Cycles'!$EM$15:$ES$15,1,DR129)),IF(OR(INDEX('Lease Cycles'!$DY$15:$EE$15,1,DR129)=1,DR130&gt;0),1,1-INDEX('Lease Cycles'!$DD$15:$DJ$15,1,DR129))*((1-'Lease Cycles'!$AJ$15)*INDEX('Lease Cycles'!$FO$15:$FU$15,1,DR129)+(1-'Lease Cycles'!$BE$15)*(1-INDEX('Lease Cycles'!$FO$15:$FU$15,1,DR129)))),0)</f>
        <v>0.020100502512562814</v>
      </c>
      <c r="DS137" s="24">
        <f>IF(DS131=1,'Lease Cycles'!$D$15*IF(INDEX('Lease Cycles'!$EF$15:$EL$15,1,DS129)=1,(1-'Lease Cycles'!$AJ$15)*INDEX('Lease Cycles'!$EM$15:$ES$15,1,DS129)+(1-'Lease Cycles'!$BE$15)*IF(DS130&lt;INDEX('Lease Cycles'!$FA$15:$FG$15,1,DS129),0,1-INDEX('Lease Cycles'!$EM$15:$ES$15,1,DS129)),IF(OR(INDEX('Lease Cycles'!$DY$15:$EE$15,1,DS129)=1,DS130&gt;0),1,1-INDEX('Lease Cycles'!$DD$15:$DJ$15,1,DS129))*((1-'Lease Cycles'!$AJ$15)*INDEX('Lease Cycles'!$FO$15:$FU$15,1,DS129)+(1-'Lease Cycles'!$BE$15)*(1-INDEX('Lease Cycles'!$FO$15:$FU$15,1,DS129)))),0)</f>
        <v>0.020100502512562814</v>
      </c>
      <c r="DT137" s="24">
        <f>IF(DT131=1,'Lease Cycles'!$D$15*IF(INDEX('Lease Cycles'!$EF$15:$EL$15,1,DT129)=1,(1-'Lease Cycles'!$AJ$15)*INDEX('Lease Cycles'!$EM$15:$ES$15,1,DT129)+(1-'Lease Cycles'!$BE$15)*IF(DT130&lt;INDEX('Lease Cycles'!$FA$15:$FG$15,1,DT129),0,1-INDEX('Lease Cycles'!$EM$15:$ES$15,1,DT129)),IF(OR(INDEX('Lease Cycles'!$DY$15:$EE$15,1,DT129)=1,DT130&gt;0),1,1-INDEX('Lease Cycles'!$DD$15:$DJ$15,1,DT129))*((1-'Lease Cycles'!$AJ$15)*INDEX('Lease Cycles'!$FO$15:$FU$15,1,DT129)+(1-'Lease Cycles'!$BE$15)*(1-INDEX('Lease Cycles'!$FO$15:$FU$15,1,DT129)))),0)</f>
        <v>0.020100502512562814</v>
      </c>
      <c r="DU137" s="24">
        <f>IF(DU131=1,'Lease Cycles'!$D$15*IF(INDEX('Lease Cycles'!$EF$15:$EL$15,1,DU129)=1,(1-'Lease Cycles'!$AJ$15)*INDEX('Lease Cycles'!$EM$15:$ES$15,1,DU129)+(1-'Lease Cycles'!$BE$15)*IF(DU130&lt;INDEX('Lease Cycles'!$FA$15:$FG$15,1,DU129),0,1-INDEX('Lease Cycles'!$EM$15:$ES$15,1,DU129)),IF(OR(INDEX('Lease Cycles'!$DY$15:$EE$15,1,DU129)=1,DU130&gt;0),1,1-INDEX('Lease Cycles'!$DD$15:$DJ$15,1,DU129))*((1-'Lease Cycles'!$AJ$15)*INDEX('Lease Cycles'!$FO$15:$FU$15,1,DU129)+(1-'Lease Cycles'!$BE$15)*(1-INDEX('Lease Cycles'!$FO$15:$FU$15,1,DU129)))),0)</f>
        <v>0.020100502512562814</v>
      </c>
      <c r="DV137" s="24">
        <f>IF(DV131=1,'Lease Cycles'!$D$15*IF(INDEX('Lease Cycles'!$EF$15:$EL$15,1,DV129)=1,(1-'Lease Cycles'!$AJ$15)*INDEX('Lease Cycles'!$EM$15:$ES$15,1,DV129)+(1-'Lease Cycles'!$BE$15)*IF(DV130&lt;INDEX('Lease Cycles'!$FA$15:$FG$15,1,DV129),0,1-INDEX('Lease Cycles'!$EM$15:$ES$15,1,DV129)),IF(OR(INDEX('Lease Cycles'!$DY$15:$EE$15,1,DV129)=1,DV130&gt;0),1,1-INDEX('Lease Cycles'!$DD$15:$DJ$15,1,DV129))*((1-'Lease Cycles'!$AJ$15)*INDEX('Lease Cycles'!$FO$15:$FU$15,1,DV129)+(1-'Lease Cycles'!$BE$15)*(1-INDEX('Lease Cycles'!$FO$15:$FU$15,1,DV129)))),0)</f>
        <v>0.020100502512562814</v>
      </c>
      <c r="DW137" s="24">
        <f>IF(DW131=1,'Lease Cycles'!$D$15*IF(INDEX('Lease Cycles'!$EF$15:$EL$15,1,DW129)=1,(1-'Lease Cycles'!$AJ$15)*INDEX('Lease Cycles'!$EM$15:$ES$15,1,DW129)+(1-'Lease Cycles'!$BE$15)*IF(DW130&lt;INDEX('Lease Cycles'!$FA$15:$FG$15,1,DW129),0,1-INDEX('Lease Cycles'!$EM$15:$ES$15,1,DW129)),IF(OR(INDEX('Lease Cycles'!$DY$15:$EE$15,1,DW129)=1,DW130&gt;0),1,1-INDEX('Lease Cycles'!$DD$15:$DJ$15,1,DW129))*((1-'Lease Cycles'!$AJ$15)*INDEX('Lease Cycles'!$FO$15:$FU$15,1,DW129)+(1-'Lease Cycles'!$BE$15)*(1-INDEX('Lease Cycles'!$FO$15:$FU$15,1,DW129)))),0)</f>
        <v>0.020100502512562814</v>
      </c>
      <c r="DX137" s="24">
        <f>IF(DX131=1,'Lease Cycles'!$D$15*IF(INDEX('Lease Cycles'!$EF$15:$EL$15,1,DX129)=1,(1-'Lease Cycles'!$AJ$15)*INDEX('Lease Cycles'!$EM$15:$ES$15,1,DX129)+(1-'Lease Cycles'!$BE$15)*IF(DX130&lt;INDEX('Lease Cycles'!$FA$15:$FG$15,1,DX129),0,1-INDEX('Lease Cycles'!$EM$15:$ES$15,1,DX129)),IF(OR(INDEX('Lease Cycles'!$DY$15:$EE$15,1,DX129)=1,DX130&gt;0),1,1-INDEX('Lease Cycles'!$DD$15:$DJ$15,1,DX129))*((1-'Lease Cycles'!$AJ$15)*INDEX('Lease Cycles'!$FO$15:$FU$15,1,DX129)+(1-'Lease Cycles'!$BE$15)*(1-INDEX('Lease Cycles'!$FO$15:$FU$15,1,DX129)))),0)</f>
        <v>0.020100502512562814</v>
      </c>
      <c r="DY137" s="24">
        <f>IF(DY131=1,'Lease Cycles'!$D$15*IF(INDEX('Lease Cycles'!$EF$15:$EL$15,1,DY129)=1,(1-'Lease Cycles'!$AJ$15)*INDEX('Lease Cycles'!$EM$15:$ES$15,1,DY129)+(1-'Lease Cycles'!$BE$15)*IF(DY130&lt;INDEX('Lease Cycles'!$FA$15:$FG$15,1,DY129),0,1-INDEX('Lease Cycles'!$EM$15:$ES$15,1,DY129)),IF(OR(INDEX('Lease Cycles'!$DY$15:$EE$15,1,DY129)=1,DY130&gt;0),1,1-INDEX('Lease Cycles'!$DD$15:$DJ$15,1,DY129))*((1-'Lease Cycles'!$AJ$15)*INDEX('Lease Cycles'!$FO$15:$FU$15,1,DY129)+(1-'Lease Cycles'!$BE$15)*(1-INDEX('Lease Cycles'!$FO$15:$FU$15,1,DY129)))),0)</f>
        <v>0.020100502512562814</v>
      </c>
      <c r="DZ137" s="24">
        <f>IF(DZ131=1,'Lease Cycles'!$D$15*IF(INDEX('Lease Cycles'!$EF$15:$EL$15,1,DZ129)=1,(1-'Lease Cycles'!$AJ$15)*INDEX('Lease Cycles'!$EM$15:$ES$15,1,DZ129)+(1-'Lease Cycles'!$BE$15)*IF(DZ130&lt;INDEX('Lease Cycles'!$FA$15:$FG$15,1,DZ129),0,1-INDEX('Lease Cycles'!$EM$15:$ES$15,1,DZ129)),IF(OR(INDEX('Lease Cycles'!$DY$15:$EE$15,1,DZ129)=1,DZ130&gt;0),1,1-INDEX('Lease Cycles'!$DD$15:$DJ$15,1,DZ129))*((1-'Lease Cycles'!$AJ$15)*INDEX('Lease Cycles'!$FO$15:$FU$15,1,DZ129)+(1-'Lease Cycles'!$BE$15)*(1-INDEX('Lease Cycles'!$FO$15:$FU$15,1,DZ129)))),0)</f>
        <v>0.020100502512562814</v>
      </c>
      <c r="EA137" s="24">
        <f>IF(EA131=1,'Lease Cycles'!$D$15*IF(INDEX('Lease Cycles'!$EF$15:$EL$15,1,EA129)=1,(1-'Lease Cycles'!$AJ$15)*INDEX('Lease Cycles'!$EM$15:$ES$15,1,EA129)+(1-'Lease Cycles'!$BE$15)*IF(EA130&lt;INDEX('Lease Cycles'!$FA$15:$FG$15,1,EA129),0,1-INDEX('Lease Cycles'!$EM$15:$ES$15,1,EA129)),IF(OR(INDEX('Lease Cycles'!$DY$15:$EE$15,1,EA129)=1,EA130&gt;0),1,1-INDEX('Lease Cycles'!$DD$15:$DJ$15,1,EA129))*((1-'Lease Cycles'!$AJ$15)*INDEX('Lease Cycles'!$FO$15:$FU$15,1,EA129)+(1-'Lease Cycles'!$BE$15)*(1-INDEX('Lease Cycles'!$FO$15:$FU$15,1,EA129)))),0)</f>
        <v>0.020100502512562814</v>
      </c>
      <c r="EB137" s="24">
        <f>IF(EB131=1,'Lease Cycles'!$D$15*IF(INDEX('Lease Cycles'!$EF$15:$EL$15,1,EB129)=1,(1-'Lease Cycles'!$AJ$15)*INDEX('Lease Cycles'!$EM$15:$ES$15,1,EB129)+(1-'Lease Cycles'!$BE$15)*IF(EB130&lt;INDEX('Lease Cycles'!$FA$15:$FG$15,1,EB129),0,1-INDEX('Lease Cycles'!$EM$15:$ES$15,1,EB129)),IF(OR(INDEX('Lease Cycles'!$DY$15:$EE$15,1,EB129)=1,EB130&gt;0),1,1-INDEX('Lease Cycles'!$DD$15:$DJ$15,1,EB129))*((1-'Lease Cycles'!$AJ$15)*INDEX('Lease Cycles'!$FO$15:$FU$15,1,EB129)+(1-'Lease Cycles'!$BE$15)*(1-INDEX('Lease Cycles'!$FO$15:$FU$15,1,EB129)))),0)</f>
        <v>0.020100502512562814</v>
      </c>
      <c r="EC137" s="24">
        <f>IF(EC131=1,'Lease Cycles'!$D$15*IF(INDEX('Lease Cycles'!$EF$15:$EL$15,1,EC129)=1,(1-'Lease Cycles'!$AJ$15)*INDEX('Lease Cycles'!$EM$15:$ES$15,1,EC129)+(1-'Lease Cycles'!$BE$15)*IF(EC130&lt;INDEX('Lease Cycles'!$FA$15:$FG$15,1,EC129),0,1-INDEX('Lease Cycles'!$EM$15:$ES$15,1,EC129)),IF(OR(INDEX('Lease Cycles'!$DY$15:$EE$15,1,EC129)=1,EC130&gt;0),1,1-INDEX('Lease Cycles'!$DD$15:$DJ$15,1,EC129))*((1-'Lease Cycles'!$AJ$15)*INDEX('Lease Cycles'!$FO$15:$FU$15,1,EC129)+(1-'Lease Cycles'!$BE$15)*(1-INDEX('Lease Cycles'!$FO$15:$FU$15,1,EC129)))),0)</f>
        <v>0.020100502512562814</v>
      </c>
      <c r="ED137" s="24">
        <f>IF(ED131=1,'Lease Cycles'!$D$15*IF(INDEX('Lease Cycles'!$EF$15:$EL$15,1,ED129)=1,(1-'Lease Cycles'!$AJ$15)*INDEX('Lease Cycles'!$EM$15:$ES$15,1,ED129)+(1-'Lease Cycles'!$BE$15)*IF(ED130&lt;INDEX('Lease Cycles'!$FA$15:$FG$15,1,ED129),0,1-INDEX('Lease Cycles'!$EM$15:$ES$15,1,ED129)),IF(OR(INDEX('Lease Cycles'!$DY$15:$EE$15,1,ED129)=1,ED130&gt;0),1,1-INDEX('Lease Cycles'!$DD$15:$DJ$15,1,ED129))*((1-'Lease Cycles'!$AJ$15)*INDEX('Lease Cycles'!$FO$15:$FU$15,1,ED129)+(1-'Lease Cycles'!$BE$15)*(1-INDEX('Lease Cycles'!$FO$15:$FU$15,1,ED129)))),0)</f>
        <v>0.020100502512562814</v>
      </c>
      <c r="EE137" s="24">
        <f>IF(EE131=1,'Lease Cycles'!$D$15*IF(INDEX('Lease Cycles'!$EF$15:$EL$15,1,EE129)=1,(1-'Lease Cycles'!$AJ$15)*INDEX('Lease Cycles'!$EM$15:$ES$15,1,EE129)+(1-'Lease Cycles'!$BE$15)*IF(EE130&lt;INDEX('Lease Cycles'!$FA$15:$FG$15,1,EE129),0,1-INDEX('Lease Cycles'!$EM$15:$ES$15,1,EE129)),IF(OR(INDEX('Lease Cycles'!$DY$15:$EE$15,1,EE129)=1,EE130&gt;0),1,1-INDEX('Lease Cycles'!$DD$15:$DJ$15,1,EE129))*((1-'Lease Cycles'!$AJ$15)*INDEX('Lease Cycles'!$FO$15:$FU$15,1,EE129)+(1-'Lease Cycles'!$BE$15)*(1-INDEX('Lease Cycles'!$FO$15:$FU$15,1,EE129)))),0)</f>
        <v>0.020100502512562814</v>
      </c>
      <c r="EF137" s="24">
        <f>IF(EF131=1,'Lease Cycles'!$D$15*IF(INDEX('Lease Cycles'!$EF$15:$EL$15,1,EF129)=1,(1-'Lease Cycles'!$AJ$15)*INDEX('Lease Cycles'!$EM$15:$ES$15,1,EF129)+(1-'Lease Cycles'!$BE$15)*IF(EF130&lt;INDEX('Lease Cycles'!$FA$15:$FG$15,1,EF129),0,1-INDEX('Lease Cycles'!$EM$15:$ES$15,1,EF129)),IF(OR(INDEX('Lease Cycles'!$DY$15:$EE$15,1,EF129)=1,EF130&gt;0),1,1-INDEX('Lease Cycles'!$DD$15:$DJ$15,1,EF129))*((1-'Lease Cycles'!$AJ$15)*INDEX('Lease Cycles'!$FO$15:$FU$15,1,EF129)+(1-'Lease Cycles'!$BE$15)*(1-INDEX('Lease Cycles'!$FO$15:$FU$15,1,EF129)))),0)</f>
        <v>0.020100502512562814</v>
      </c>
      <c r="EG137" s="24">
        <f>IF(EG131=1,'Lease Cycles'!$D$15*IF(INDEX('Lease Cycles'!$EF$15:$EL$15,1,EG129)=1,(1-'Lease Cycles'!$AJ$15)*INDEX('Lease Cycles'!$EM$15:$ES$15,1,EG129)+(1-'Lease Cycles'!$BE$15)*IF(EG130&lt;INDEX('Lease Cycles'!$FA$15:$FG$15,1,EG129),0,1-INDEX('Lease Cycles'!$EM$15:$ES$15,1,EG129)),IF(OR(INDEX('Lease Cycles'!$DY$15:$EE$15,1,EG129)=1,EG130&gt;0),1,1-INDEX('Lease Cycles'!$DD$15:$DJ$15,1,EG129))*((1-'Lease Cycles'!$AJ$15)*INDEX('Lease Cycles'!$FO$15:$FU$15,1,EG129)+(1-'Lease Cycles'!$BE$15)*(1-INDEX('Lease Cycles'!$FO$15:$FU$15,1,EG129)))),0)</f>
        <v>0.020100502512562814</v>
      </c>
      <c r="EH137" s="24">
        <f>IF(EH131=1,'Lease Cycles'!$D$15*IF(INDEX('Lease Cycles'!$EF$15:$EL$15,1,EH129)=1,(1-'Lease Cycles'!$AJ$15)*INDEX('Lease Cycles'!$EM$15:$ES$15,1,EH129)+(1-'Lease Cycles'!$BE$15)*IF(EH130&lt;INDEX('Lease Cycles'!$FA$15:$FG$15,1,EH129),0,1-INDEX('Lease Cycles'!$EM$15:$ES$15,1,EH129)),IF(OR(INDEX('Lease Cycles'!$DY$15:$EE$15,1,EH129)=1,EH130&gt;0),1,1-INDEX('Lease Cycles'!$DD$15:$DJ$15,1,EH129))*((1-'Lease Cycles'!$AJ$15)*INDEX('Lease Cycles'!$FO$15:$FU$15,1,EH129)+(1-'Lease Cycles'!$BE$15)*(1-INDEX('Lease Cycles'!$FO$15:$FU$15,1,EH129)))),0)</f>
        <v>0.020100502512562814</v>
      </c>
      <c r="EI137" s="24">
        <f>IF(EI131=1,'Lease Cycles'!$D$15*IF(INDEX('Lease Cycles'!$EF$15:$EL$15,1,EI129)=1,(1-'Lease Cycles'!$AJ$15)*INDEX('Lease Cycles'!$EM$15:$ES$15,1,EI129)+(1-'Lease Cycles'!$BE$15)*IF(EI130&lt;INDEX('Lease Cycles'!$FA$15:$FG$15,1,EI129),0,1-INDEX('Lease Cycles'!$EM$15:$ES$15,1,EI129)),IF(OR(INDEX('Lease Cycles'!$DY$15:$EE$15,1,EI129)=1,EI130&gt;0),1,1-INDEX('Lease Cycles'!$DD$15:$DJ$15,1,EI129))*((1-'Lease Cycles'!$AJ$15)*INDEX('Lease Cycles'!$FO$15:$FU$15,1,EI129)+(1-'Lease Cycles'!$BE$15)*(1-INDEX('Lease Cycles'!$FO$15:$FU$15,1,EI129)))),0)</f>
        <v>0.020100502512562814</v>
      </c>
      <c r="EJ137" s="24">
        <f>IF(EJ131=1,'Lease Cycles'!$D$15*IF(INDEX('Lease Cycles'!$EF$15:$EL$15,1,EJ129)=1,(1-'Lease Cycles'!$AJ$15)*INDEX('Lease Cycles'!$EM$15:$ES$15,1,EJ129)+(1-'Lease Cycles'!$BE$15)*IF(EJ130&lt;INDEX('Lease Cycles'!$FA$15:$FG$15,1,EJ129),0,1-INDEX('Lease Cycles'!$EM$15:$ES$15,1,EJ129)),IF(OR(INDEX('Lease Cycles'!$DY$15:$EE$15,1,EJ129)=1,EJ130&gt;0),1,1-INDEX('Lease Cycles'!$DD$15:$DJ$15,1,EJ129))*((1-'Lease Cycles'!$AJ$15)*INDEX('Lease Cycles'!$FO$15:$FU$15,1,EJ129)+(1-'Lease Cycles'!$BE$15)*(1-INDEX('Lease Cycles'!$FO$15:$FU$15,1,EJ129)))),0)</f>
        <v>0.020100502512562814</v>
      </c>
      <c r="EK137" s="24">
        <f>IF(EK131=1,'Lease Cycles'!$D$15*IF(INDEX('Lease Cycles'!$EF$15:$EL$15,1,EK129)=1,(1-'Lease Cycles'!$AJ$15)*INDEX('Lease Cycles'!$EM$15:$ES$15,1,EK129)+(1-'Lease Cycles'!$BE$15)*IF(EK130&lt;INDEX('Lease Cycles'!$FA$15:$FG$15,1,EK129),0,1-INDEX('Lease Cycles'!$EM$15:$ES$15,1,EK129)),IF(OR(INDEX('Lease Cycles'!$DY$15:$EE$15,1,EK129)=1,EK130&gt;0),1,1-INDEX('Lease Cycles'!$DD$15:$DJ$15,1,EK129))*((1-'Lease Cycles'!$AJ$15)*INDEX('Lease Cycles'!$FO$15:$FU$15,1,EK129)+(1-'Lease Cycles'!$BE$15)*(1-INDEX('Lease Cycles'!$FO$15:$FU$15,1,EK129)))),0)</f>
        <v>0.020100502512562814</v>
      </c>
      <c r="EL137" s="24">
        <f>IF(EL131=1,'Lease Cycles'!$D$15*IF(INDEX('Lease Cycles'!$EF$15:$EL$15,1,EL129)=1,(1-'Lease Cycles'!$AJ$15)*INDEX('Lease Cycles'!$EM$15:$ES$15,1,EL129)+(1-'Lease Cycles'!$BE$15)*IF(EL130&lt;INDEX('Lease Cycles'!$FA$15:$FG$15,1,EL129),0,1-INDEX('Lease Cycles'!$EM$15:$ES$15,1,EL129)),IF(OR(INDEX('Lease Cycles'!$DY$15:$EE$15,1,EL129)=1,EL130&gt;0),1,1-INDEX('Lease Cycles'!$DD$15:$DJ$15,1,EL129))*((1-'Lease Cycles'!$AJ$15)*INDEX('Lease Cycles'!$FO$15:$FU$15,1,EL129)+(1-'Lease Cycles'!$BE$15)*(1-INDEX('Lease Cycles'!$FO$15:$FU$15,1,EL129)))),0)</f>
        <v>0.020100502512562814</v>
      </c>
      <c r="EM137" s="24">
        <f>IF(EM131=1,'Lease Cycles'!$D$15*IF(INDEX('Lease Cycles'!$EF$15:$EL$15,1,EM129)=1,(1-'Lease Cycles'!$AJ$15)*INDEX('Lease Cycles'!$EM$15:$ES$15,1,EM129)+(1-'Lease Cycles'!$BE$15)*IF(EM130&lt;INDEX('Lease Cycles'!$FA$15:$FG$15,1,EM129),0,1-INDEX('Lease Cycles'!$EM$15:$ES$15,1,EM129)),IF(OR(INDEX('Lease Cycles'!$DY$15:$EE$15,1,EM129)=1,EM130&gt;0),1,1-INDEX('Lease Cycles'!$DD$15:$DJ$15,1,EM129))*((1-'Lease Cycles'!$AJ$15)*INDEX('Lease Cycles'!$FO$15:$FU$15,1,EM129)+(1-'Lease Cycles'!$BE$15)*(1-INDEX('Lease Cycles'!$FO$15:$FU$15,1,EM129)))),0)</f>
        <v>0.020100502512562814</v>
      </c>
      <c r="EN137" s="24">
        <f>IF(EN131=1,'Lease Cycles'!$D$15*IF(INDEX('Lease Cycles'!$EF$15:$EL$15,1,EN129)=1,(1-'Lease Cycles'!$AJ$15)*INDEX('Lease Cycles'!$EM$15:$ES$15,1,EN129)+(1-'Lease Cycles'!$BE$15)*IF(EN130&lt;INDEX('Lease Cycles'!$FA$15:$FG$15,1,EN129),0,1-INDEX('Lease Cycles'!$EM$15:$ES$15,1,EN129)),IF(OR(INDEX('Lease Cycles'!$DY$15:$EE$15,1,EN129)=1,EN130&gt;0),1,1-INDEX('Lease Cycles'!$DD$15:$DJ$15,1,EN129))*((1-'Lease Cycles'!$AJ$15)*INDEX('Lease Cycles'!$FO$15:$FU$15,1,EN129)+(1-'Lease Cycles'!$BE$15)*(1-INDEX('Lease Cycles'!$FO$15:$FU$15,1,EN129)))),0)</f>
        <v>0.020100502512562814</v>
      </c>
      <c r="EO137" s="24">
        <f>IF(EO131=1,'Lease Cycles'!$D$15*IF(INDEX('Lease Cycles'!$EF$15:$EL$15,1,EO129)=1,(1-'Lease Cycles'!$AJ$15)*INDEX('Lease Cycles'!$EM$15:$ES$15,1,EO129)+(1-'Lease Cycles'!$BE$15)*IF(EO130&lt;INDEX('Lease Cycles'!$FA$15:$FG$15,1,EO129),0,1-INDEX('Lease Cycles'!$EM$15:$ES$15,1,EO129)),IF(OR(INDEX('Lease Cycles'!$DY$15:$EE$15,1,EO129)=1,EO130&gt;0),1,1-INDEX('Lease Cycles'!$DD$15:$DJ$15,1,EO129))*((1-'Lease Cycles'!$AJ$15)*INDEX('Lease Cycles'!$FO$15:$FU$15,1,EO129)+(1-'Lease Cycles'!$BE$15)*(1-INDEX('Lease Cycles'!$FO$15:$FU$15,1,EO129)))),0)</f>
        <v>0.020100502512562814</v>
      </c>
      <c r="EP137" s="24">
        <f>IF(EP131=1,'Lease Cycles'!$D$15*IF(INDEX('Lease Cycles'!$EF$15:$EL$15,1,EP129)=1,(1-'Lease Cycles'!$AJ$15)*INDEX('Lease Cycles'!$EM$15:$ES$15,1,EP129)+(1-'Lease Cycles'!$BE$15)*IF(EP130&lt;INDEX('Lease Cycles'!$FA$15:$FG$15,1,EP129),0,1-INDEX('Lease Cycles'!$EM$15:$ES$15,1,EP129)),IF(OR(INDEX('Lease Cycles'!$DY$15:$EE$15,1,EP129)=1,EP130&gt;0),1,1-INDEX('Lease Cycles'!$DD$15:$DJ$15,1,EP129))*((1-'Lease Cycles'!$AJ$15)*INDEX('Lease Cycles'!$FO$15:$FU$15,1,EP129)+(1-'Lease Cycles'!$BE$15)*(1-INDEX('Lease Cycles'!$FO$15:$FU$15,1,EP129)))),0)</f>
        <v>0.020100502512562814</v>
      </c>
      <c r="EQ137" s="24">
        <f>IF(EQ131=1,'Lease Cycles'!$D$15*IF(INDEX('Lease Cycles'!$EF$15:$EL$15,1,EQ129)=1,(1-'Lease Cycles'!$AJ$15)*INDEX('Lease Cycles'!$EM$15:$ES$15,1,EQ129)+(1-'Lease Cycles'!$BE$15)*IF(EQ130&lt;INDEX('Lease Cycles'!$FA$15:$FG$15,1,EQ129),0,1-INDEX('Lease Cycles'!$EM$15:$ES$15,1,EQ129)),IF(OR(INDEX('Lease Cycles'!$DY$15:$EE$15,1,EQ129)=1,EQ130&gt;0),1,1-INDEX('Lease Cycles'!$DD$15:$DJ$15,1,EQ129))*((1-'Lease Cycles'!$AJ$15)*INDEX('Lease Cycles'!$FO$15:$FU$15,1,EQ129)+(1-'Lease Cycles'!$BE$15)*(1-INDEX('Lease Cycles'!$FO$15:$FU$15,1,EQ129)))),0)</f>
        <v>0.020100502512562814</v>
      </c>
      <c r="ER137" s="24">
        <f>IF(ER131=1,'Lease Cycles'!$D$15*IF(INDEX('Lease Cycles'!$EF$15:$EL$15,1,ER129)=1,(1-'Lease Cycles'!$AJ$15)*INDEX('Lease Cycles'!$EM$15:$ES$15,1,ER129)+(1-'Lease Cycles'!$BE$15)*IF(ER130&lt;INDEX('Lease Cycles'!$FA$15:$FG$15,1,ER129),0,1-INDEX('Lease Cycles'!$EM$15:$ES$15,1,ER129)),IF(OR(INDEX('Lease Cycles'!$DY$15:$EE$15,1,ER129)=1,ER130&gt;0),1,1-INDEX('Lease Cycles'!$DD$15:$DJ$15,1,ER129))*((1-'Lease Cycles'!$AJ$15)*INDEX('Lease Cycles'!$FO$15:$FU$15,1,ER129)+(1-'Lease Cycles'!$BE$15)*(1-INDEX('Lease Cycles'!$FO$15:$FU$15,1,ER129)))),0)</f>
        <v>0</v>
      </c>
      <c r="ES137" s="24">
        <f>IF(ES131=1,'Lease Cycles'!$D$15*IF(INDEX('Lease Cycles'!$EF$15:$EL$15,1,ES129)=1,(1-'Lease Cycles'!$AJ$15)*INDEX('Lease Cycles'!$EM$15:$ES$15,1,ES129)+(1-'Lease Cycles'!$BE$15)*IF(ES130&lt;INDEX('Lease Cycles'!$FA$15:$FG$15,1,ES129),0,1-INDEX('Lease Cycles'!$EM$15:$ES$15,1,ES129)),IF(OR(INDEX('Lease Cycles'!$DY$15:$EE$15,1,ES129)=1,ES130&gt;0),1,1-INDEX('Lease Cycles'!$DD$15:$DJ$15,1,ES129))*((1-'Lease Cycles'!$AJ$15)*INDEX('Lease Cycles'!$FO$15:$FU$15,1,ES129)+(1-'Lease Cycles'!$BE$15)*(1-INDEX('Lease Cycles'!$FO$15:$FU$15,1,ES129)))),0)</f>
        <v>0.01608040201005048</v>
      </c>
      <c r="ET137" s="24">
        <f>IF(ET131=1,'Lease Cycles'!$D$15*IF(INDEX('Lease Cycles'!$EF$15:$EL$15,1,ET129)=1,(1-'Lease Cycles'!$AJ$15)*INDEX('Lease Cycles'!$EM$15:$ES$15,1,ET129)+(1-'Lease Cycles'!$BE$15)*IF(ET130&lt;INDEX('Lease Cycles'!$FA$15:$FG$15,1,ET129),0,1-INDEX('Lease Cycles'!$EM$15:$ES$15,1,ET129)),IF(OR(INDEX('Lease Cycles'!$DY$15:$EE$15,1,ET129)=1,ET130&gt;0),1,1-INDEX('Lease Cycles'!$DD$15:$DJ$15,1,ET129))*((1-'Lease Cycles'!$AJ$15)*INDEX('Lease Cycles'!$FO$15:$FU$15,1,ET129)+(1-'Lease Cycles'!$BE$15)*(1-INDEX('Lease Cycles'!$FO$15:$FU$15,1,ET129)))),0)</f>
        <v>0.020100502512562814</v>
      </c>
    </row>
    <row r="138">
      <c r="A138" s="103">
        <v>8</v>
      </c>
      <c r="B138" s="23" t="str">
        <f>IF('Lease Cycles'!$B$15="","(empty slot)",'Lease Cycles'!$B$15)</f>
        <v>Sunfield Bagels</v>
      </c>
      <c r="C138" s="23" t="s">
        <v>685</v>
      </c>
      <c r="D138" s="104" t="s">
        <v>686</v>
      </c>
      <c r="E138" s="25">
        <f>'Lease Cycles'!$AL$15</f>
        <v>0</v>
      </c>
      <c r="G138" s="24">
        <f>SUM(S138:AD138)</f>
        <v>0</v>
      </c>
      <c r="H138" s="24">
        <f>SUM(AE138:AP138)</f>
        <v>0</v>
      </c>
      <c r="I138" s="24">
        <f>SUM(AQ138:BB138)</f>
        <v>0</v>
      </c>
      <c r="J138" s="24">
        <f>SUM(BC138:BN138)</f>
        <v>0</v>
      </c>
      <c r="K138" s="24">
        <f>SUM(BO138:BZ138)</f>
        <v>0</v>
      </c>
      <c r="L138" s="24">
        <f>SUM(CA138:CL138)</f>
        <v>0</v>
      </c>
      <c r="M138" s="24">
        <f>SUM(CM138:CX138)</f>
        <v>0</v>
      </c>
      <c r="N138" s="24">
        <f>SUM(CY138:DJ138)</f>
        <v>0</v>
      </c>
      <c r="O138" s="24">
        <f>SUM(DK138:DV138)</f>
        <v>0</v>
      </c>
      <c r="P138" s="24">
        <f>SUM(DW138:EH138)</f>
        <v>0</v>
      </c>
      <c r="Q138" s="24">
        <f>SUM(EI138:ET138)</f>
        <v>0</v>
      </c>
      <c r="S138" s="24">
        <f>IF(S131=1,IF('Lease Cycles'!$AJ$15=1,0,'Lease Cycles'!$D$15*INDEX('Lease Cycles'!$FH$15:$FN$15,1,S129)*IF(INDEX('Lease Cycles'!$EF$15:$EL$15,1,S129)=1,1,IF(OR(INDEX('Lease Cycles'!$DY$15:$EE$15,1,S129)=1,S130&gt;0),1,1-INDEX('Lease Cycles'!$DD$15:$DJ$15,1,S129)))),0)</f>
        <v>0</v>
      </c>
      <c r="T138" s="24">
        <f>IF(T131=1,IF('Lease Cycles'!$AJ$15=1,0,'Lease Cycles'!$D$15*INDEX('Lease Cycles'!$FH$15:$FN$15,1,T129)*IF(INDEX('Lease Cycles'!$EF$15:$EL$15,1,T129)=1,1,IF(OR(INDEX('Lease Cycles'!$DY$15:$EE$15,1,T129)=1,T130&gt;0),1,1-INDEX('Lease Cycles'!$DD$15:$DJ$15,1,T129)))),0)</f>
        <v>0</v>
      </c>
      <c r="U138" s="24">
        <f>IF(U131=1,IF('Lease Cycles'!$AJ$15=1,0,'Lease Cycles'!$D$15*INDEX('Lease Cycles'!$FH$15:$FN$15,1,U129)*IF(INDEX('Lease Cycles'!$EF$15:$EL$15,1,U129)=1,1,IF(OR(INDEX('Lease Cycles'!$DY$15:$EE$15,1,U129)=1,U130&gt;0),1,1-INDEX('Lease Cycles'!$DD$15:$DJ$15,1,U129)))),0)</f>
        <v>0</v>
      </c>
      <c r="V138" s="24">
        <f>IF(V131=1,IF('Lease Cycles'!$AJ$15=1,0,'Lease Cycles'!$D$15*INDEX('Lease Cycles'!$FH$15:$FN$15,1,V129)*IF(INDEX('Lease Cycles'!$EF$15:$EL$15,1,V129)=1,1,IF(OR(INDEX('Lease Cycles'!$DY$15:$EE$15,1,V129)=1,V130&gt;0),1,1-INDEX('Lease Cycles'!$DD$15:$DJ$15,1,V129)))),0)</f>
        <v>0</v>
      </c>
      <c r="W138" s="24">
        <f>IF(W131=1,IF('Lease Cycles'!$AJ$15=1,0,'Lease Cycles'!$D$15*INDEX('Lease Cycles'!$FH$15:$FN$15,1,W129)*IF(INDEX('Lease Cycles'!$EF$15:$EL$15,1,W129)=1,1,IF(OR(INDEX('Lease Cycles'!$DY$15:$EE$15,1,W129)=1,W130&gt;0),1,1-INDEX('Lease Cycles'!$DD$15:$DJ$15,1,W129)))),0)</f>
        <v>0</v>
      </c>
      <c r="X138" s="24">
        <f>IF(X131=1,IF('Lease Cycles'!$AJ$15=1,0,'Lease Cycles'!$D$15*INDEX('Lease Cycles'!$FH$15:$FN$15,1,X129)*IF(INDEX('Lease Cycles'!$EF$15:$EL$15,1,X129)=1,1,IF(OR(INDEX('Lease Cycles'!$DY$15:$EE$15,1,X129)=1,X130&gt;0),1,1-INDEX('Lease Cycles'!$DD$15:$DJ$15,1,X129)))),0)</f>
        <v>0</v>
      </c>
      <c r="Y138" s="24">
        <f>IF(Y131=1,IF('Lease Cycles'!$AJ$15=1,0,'Lease Cycles'!$D$15*INDEX('Lease Cycles'!$FH$15:$FN$15,1,Y129)*IF(INDEX('Lease Cycles'!$EF$15:$EL$15,1,Y129)=1,1,IF(OR(INDEX('Lease Cycles'!$DY$15:$EE$15,1,Y129)=1,Y130&gt;0),1,1-INDEX('Lease Cycles'!$DD$15:$DJ$15,1,Y129)))),0)</f>
        <v>0</v>
      </c>
      <c r="Z138" s="24">
        <f>IF(Z131=1,IF('Lease Cycles'!$AJ$15=1,0,'Lease Cycles'!$D$15*INDEX('Lease Cycles'!$FH$15:$FN$15,1,Z129)*IF(INDEX('Lease Cycles'!$EF$15:$EL$15,1,Z129)=1,1,IF(OR(INDEX('Lease Cycles'!$DY$15:$EE$15,1,Z129)=1,Z130&gt;0),1,1-INDEX('Lease Cycles'!$DD$15:$DJ$15,1,Z129)))),0)</f>
        <v>0</v>
      </c>
      <c r="AA138" s="24">
        <f>IF(AA131=1,IF('Lease Cycles'!$AJ$15=1,0,'Lease Cycles'!$D$15*INDEX('Lease Cycles'!$FH$15:$FN$15,1,AA129)*IF(INDEX('Lease Cycles'!$EF$15:$EL$15,1,AA129)=1,1,IF(OR(INDEX('Lease Cycles'!$DY$15:$EE$15,1,AA129)=1,AA130&gt;0),1,1-INDEX('Lease Cycles'!$DD$15:$DJ$15,1,AA129)))),0)</f>
        <v>0</v>
      </c>
      <c r="AB138" s="24">
        <f>IF(AB131=1,IF('Lease Cycles'!$AJ$15=1,0,'Lease Cycles'!$D$15*INDEX('Lease Cycles'!$FH$15:$FN$15,1,AB129)*IF(INDEX('Lease Cycles'!$EF$15:$EL$15,1,AB129)=1,1,IF(OR(INDEX('Lease Cycles'!$DY$15:$EE$15,1,AB129)=1,AB130&gt;0),1,1-INDEX('Lease Cycles'!$DD$15:$DJ$15,1,AB129)))),0)</f>
        <v>0</v>
      </c>
      <c r="AC138" s="24">
        <f>IF(AC131=1,IF('Lease Cycles'!$AJ$15=1,0,'Lease Cycles'!$D$15*INDEX('Lease Cycles'!$FH$15:$FN$15,1,AC129)*IF(INDEX('Lease Cycles'!$EF$15:$EL$15,1,AC129)=1,1,IF(OR(INDEX('Lease Cycles'!$DY$15:$EE$15,1,AC129)=1,AC130&gt;0),1,1-INDEX('Lease Cycles'!$DD$15:$DJ$15,1,AC129)))),0)</f>
        <v>0</v>
      </c>
      <c r="AD138" s="24">
        <f>IF(AD131=1,IF('Lease Cycles'!$AJ$15=1,0,'Lease Cycles'!$D$15*INDEX('Lease Cycles'!$FH$15:$FN$15,1,AD129)*IF(INDEX('Lease Cycles'!$EF$15:$EL$15,1,AD129)=1,1,IF(OR(INDEX('Lease Cycles'!$DY$15:$EE$15,1,AD129)=1,AD130&gt;0),1,1-INDEX('Lease Cycles'!$DD$15:$DJ$15,1,AD129)))),0)</f>
        <v>0</v>
      </c>
      <c r="AE138" s="24">
        <f>IF(AE131=1,IF('Lease Cycles'!$AJ$15=1,0,'Lease Cycles'!$D$15*INDEX('Lease Cycles'!$FH$15:$FN$15,1,AE129)*IF(INDEX('Lease Cycles'!$EF$15:$EL$15,1,AE129)=1,1,IF(OR(INDEX('Lease Cycles'!$DY$15:$EE$15,1,AE129)=1,AE130&gt;0),1,1-INDEX('Lease Cycles'!$DD$15:$DJ$15,1,AE129)))),0)</f>
        <v>0</v>
      </c>
      <c r="AF138" s="24">
        <f>IF(AF131=1,IF('Lease Cycles'!$AJ$15=1,0,'Lease Cycles'!$D$15*INDEX('Lease Cycles'!$FH$15:$FN$15,1,AF129)*IF(INDEX('Lease Cycles'!$EF$15:$EL$15,1,AF129)=1,1,IF(OR(INDEX('Lease Cycles'!$DY$15:$EE$15,1,AF129)=1,AF130&gt;0),1,1-INDEX('Lease Cycles'!$DD$15:$DJ$15,1,AF129)))),0)</f>
        <v>0</v>
      </c>
      <c r="AG138" s="24">
        <f>IF(AG131=1,IF('Lease Cycles'!$AJ$15=1,0,'Lease Cycles'!$D$15*INDEX('Lease Cycles'!$FH$15:$FN$15,1,AG129)*IF(INDEX('Lease Cycles'!$EF$15:$EL$15,1,AG129)=1,1,IF(OR(INDEX('Lease Cycles'!$DY$15:$EE$15,1,AG129)=1,AG130&gt;0),1,1-INDEX('Lease Cycles'!$DD$15:$DJ$15,1,AG129)))),0)</f>
        <v>0</v>
      </c>
      <c r="AH138" s="24">
        <f>IF(AH131=1,IF('Lease Cycles'!$AJ$15=1,0,'Lease Cycles'!$D$15*INDEX('Lease Cycles'!$FH$15:$FN$15,1,AH129)*IF(INDEX('Lease Cycles'!$EF$15:$EL$15,1,AH129)=1,1,IF(OR(INDEX('Lease Cycles'!$DY$15:$EE$15,1,AH129)=1,AH130&gt;0),1,1-INDEX('Lease Cycles'!$DD$15:$DJ$15,1,AH129)))),0)</f>
        <v>0</v>
      </c>
      <c r="AI138" s="24">
        <f>IF(AI131=1,IF('Lease Cycles'!$AJ$15=1,0,'Lease Cycles'!$D$15*INDEX('Lease Cycles'!$FH$15:$FN$15,1,AI129)*IF(INDEX('Lease Cycles'!$EF$15:$EL$15,1,AI129)=1,1,IF(OR(INDEX('Lease Cycles'!$DY$15:$EE$15,1,AI129)=1,AI130&gt;0),1,1-INDEX('Lease Cycles'!$DD$15:$DJ$15,1,AI129)))),0)</f>
        <v>0</v>
      </c>
      <c r="AJ138" s="24">
        <f>IF(AJ131=1,IF('Lease Cycles'!$AJ$15=1,0,'Lease Cycles'!$D$15*INDEX('Lease Cycles'!$FH$15:$FN$15,1,AJ129)*IF(INDEX('Lease Cycles'!$EF$15:$EL$15,1,AJ129)=1,1,IF(OR(INDEX('Lease Cycles'!$DY$15:$EE$15,1,AJ129)=1,AJ130&gt;0),1,1-INDEX('Lease Cycles'!$DD$15:$DJ$15,1,AJ129)))),0)</f>
        <v>0</v>
      </c>
      <c r="AK138" s="24">
        <f>IF(AK131=1,IF('Lease Cycles'!$AJ$15=1,0,'Lease Cycles'!$D$15*INDEX('Lease Cycles'!$FH$15:$FN$15,1,AK129)*IF(INDEX('Lease Cycles'!$EF$15:$EL$15,1,AK129)=1,1,IF(OR(INDEX('Lease Cycles'!$DY$15:$EE$15,1,AK129)=1,AK130&gt;0),1,1-INDEX('Lease Cycles'!$DD$15:$DJ$15,1,AK129)))),0)</f>
        <v>0</v>
      </c>
      <c r="AL138" s="24">
        <f>IF(AL131=1,IF('Lease Cycles'!$AJ$15=1,0,'Lease Cycles'!$D$15*INDEX('Lease Cycles'!$FH$15:$FN$15,1,AL129)*IF(INDEX('Lease Cycles'!$EF$15:$EL$15,1,AL129)=1,1,IF(OR(INDEX('Lease Cycles'!$DY$15:$EE$15,1,AL129)=1,AL130&gt;0),1,1-INDEX('Lease Cycles'!$DD$15:$DJ$15,1,AL129)))),0)</f>
        <v>0</v>
      </c>
      <c r="AM138" s="24">
        <f>IF(AM131=1,IF('Lease Cycles'!$AJ$15=1,0,'Lease Cycles'!$D$15*INDEX('Lease Cycles'!$FH$15:$FN$15,1,AM129)*IF(INDEX('Lease Cycles'!$EF$15:$EL$15,1,AM129)=1,1,IF(OR(INDEX('Lease Cycles'!$DY$15:$EE$15,1,AM129)=1,AM130&gt;0),1,1-INDEX('Lease Cycles'!$DD$15:$DJ$15,1,AM129)))),0)</f>
        <v>0</v>
      </c>
      <c r="AN138" s="24">
        <f>IF(AN131=1,IF('Lease Cycles'!$AJ$15=1,0,'Lease Cycles'!$D$15*INDEX('Lease Cycles'!$FH$15:$FN$15,1,AN129)*IF(INDEX('Lease Cycles'!$EF$15:$EL$15,1,AN129)=1,1,IF(OR(INDEX('Lease Cycles'!$DY$15:$EE$15,1,AN129)=1,AN130&gt;0),1,1-INDEX('Lease Cycles'!$DD$15:$DJ$15,1,AN129)))),0)</f>
        <v>0</v>
      </c>
      <c r="AO138" s="24">
        <f>IF(AO131=1,IF('Lease Cycles'!$AJ$15=1,0,'Lease Cycles'!$D$15*INDEX('Lease Cycles'!$FH$15:$FN$15,1,AO129)*IF(INDEX('Lease Cycles'!$EF$15:$EL$15,1,AO129)=1,1,IF(OR(INDEX('Lease Cycles'!$DY$15:$EE$15,1,AO129)=1,AO130&gt;0),1,1-INDEX('Lease Cycles'!$DD$15:$DJ$15,1,AO129)))),0)</f>
        <v>0</v>
      </c>
      <c r="AP138" s="24">
        <f>IF(AP131=1,IF('Lease Cycles'!$AJ$15=1,0,'Lease Cycles'!$D$15*INDEX('Lease Cycles'!$FH$15:$FN$15,1,AP129)*IF(INDEX('Lease Cycles'!$EF$15:$EL$15,1,AP129)=1,1,IF(OR(INDEX('Lease Cycles'!$DY$15:$EE$15,1,AP129)=1,AP130&gt;0),1,1-INDEX('Lease Cycles'!$DD$15:$DJ$15,1,AP129)))),0)</f>
        <v>0</v>
      </c>
      <c r="AQ138" s="24">
        <f>IF(AQ131=1,IF('Lease Cycles'!$AJ$15=1,0,'Lease Cycles'!$D$15*INDEX('Lease Cycles'!$FH$15:$FN$15,1,AQ129)*IF(INDEX('Lease Cycles'!$EF$15:$EL$15,1,AQ129)=1,1,IF(OR(INDEX('Lease Cycles'!$DY$15:$EE$15,1,AQ129)=1,AQ130&gt;0),1,1-INDEX('Lease Cycles'!$DD$15:$DJ$15,1,AQ129)))),0)</f>
        <v>0</v>
      </c>
      <c r="AR138" s="24">
        <f>IF(AR131=1,IF('Lease Cycles'!$AJ$15=1,0,'Lease Cycles'!$D$15*INDEX('Lease Cycles'!$FH$15:$FN$15,1,AR129)*IF(INDEX('Lease Cycles'!$EF$15:$EL$15,1,AR129)=1,1,IF(OR(INDEX('Lease Cycles'!$DY$15:$EE$15,1,AR129)=1,AR130&gt;0),1,1-INDEX('Lease Cycles'!$DD$15:$DJ$15,1,AR129)))),0)</f>
        <v>0</v>
      </c>
      <c r="AS138" s="24">
        <f>IF(AS131=1,IF('Lease Cycles'!$AJ$15=1,0,'Lease Cycles'!$D$15*INDEX('Lease Cycles'!$FH$15:$FN$15,1,AS129)*IF(INDEX('Lease Cycles'!$EF$15:$EL$15,1,AS129)=1,1,IF(OR(INDEX('Lease Cycles'!$DY$15:$EE$15,1,AS129)=1,AS130&gt;0),1,1-INDEX('Lease Cycles'!$DD$15:$DJ$15,1,AS129)))),0)</f>
        <v>0</v>
      </c>
      <c r="AT138" s="24">
        <f>IF(AT131=1,IF('Lease Cycles'!$AJ$15=1,0,'Lease Cycles'!$D$15*INDEX('Lease Cycles'!$FH$15:$FN$15,1,AT129)*IF(INDEX('Lease Cycles'!$EF$15:$EL$15,1,AT129)=1,1,IF(OR(INDEX('Lease Cycles'!$DY$15:$EE$15,1,AT129)=1,AT130&gt;0),1,1-INDEX('Lease Cycles'!$DD$15:$DJ$15,1,AT129)))),0)</f>
        <v>0</v>
      </c>
      <c r="AU138" s="24">
        <f>IF(AU131=1,IF('Lease Cycles'!$AJ$15=1,0,'Lease Cycles'!$D$15*INDEX('Lease Cycles'!$FH$15:$FN$15,1,AU129)*IF(INDEX('Lease Cycles'!$EF$15:$EL$15,1,AU129)=1,1,IF(OR(INDEX('Lease Cycles'!$DY$15:$EE$15,1,AU129)=1,AU130&gt;0),1,1-INDEX('Lease Cycles'!$DD$15:$DJ$15,1,AU129)))),0)</f>
        <v>0</v>
      </c>
      <c r="AV138" s="24">
        <f>IF(AV131=1,IF('Lease Cycles'!$AJ$15=1,0,'Lease Cycles'!$D$15*INDEX('Lease Cycles'!$FH$15:$FN$15,1,AV129)*IF(INDEX('Lease Cycles'!$EF$15:$EL$15,1,AV129)=1,1,IF(OR(INDEX('Lease Cycles'!$DY$15:$EE$15,1,AV129)=1,AV130&gt;0),1,1-INDEX('Lease Cycles'!$DD$15:$DJ$15,1,AV129)))),0)</f>
        <v>0</v>
      </c>
      <c r="AW138" s="24">
        <f>IF(AW131=1,IF('Lease Cycles'!$AJ$15=1,0,'Lease Cycles'!$D$15*INDEX('Lease Cycles'!$FH$15:$FN$15,1,AW129)*IF(INDEX('Lease Cycles'!$EF$15:$EL$15,1,AW129)=1,1,IF(OR(INDEX('Lease Cycles'!$DY$15:$EE$15,1,AW129)=1,AW130&gt;0),1,1-INDEX('Lease Cycles'!$DD$15:$DJ$15,1,AW129)))),0)</f>
        <v>0</v>
      </c>
      <c r="AX138" s="24">
        <f>IF(AX131=1,IF('Lease Cycles'!$AJ$15=1,0,'Lease Cycles'!$D$15*INDEX('Lease Cycles'!$FH$15:$FN$15,1,AX129)*IF(INDEX('Lease Cycles'!$EF$15:$EL$15,1,AX129)=1,1,IF(OR(INDEX('Lease Cycles'!$DY$15:$EE$15,1,AX129)=1,AX130&gt;0),1,1-INDEX('Lease Cycles'!$DD$15:$DJ$15,1,AX129)))),0)</f>
        <v>0</v>
      </c>
      <c r="AY138" s="24">
        <f>IF(AY131=1,IF('Lease Cycles'!$AJ$15=1,0,'Lease Cycles'!$D$15*INDEX('Lease Cycles'!$FH$15:$FN$15,1,AY129)*IF(INDEX('Lease Cycles'!$EF$15:$EL$15,1,AY129)=1,1,IF(OR(INDEX('Lease Cycles'!$DY$15:$EE$15,1,AY129)=1,AY130&gt;0),1,1-INDEX('Lease Cycles'!$DD$15:$DJ$15,1,AY129)))),0)</f>
        <v>0</v>
      </c>
      <c r="AZ138" s="24">
        <f>IF(AZ131=1,IF('Lease Cycles'!$AJ$15=1,0,'Lease Cycles'!$D$15*INDEX('Lease Cycles'!$FH$15:$FN$15,1,AZ129)*IF(INDEX('Lease Cycles'!$EF$15:$EL$15,1,AZ129)=1,1,IF(OR(INDEX('Lease Cycles'!$DY$15:$EE$15,1,AZ129)=1,AZ130&gt;0),1,1-INDEX('Lease Cycles'!$DD$15:$DJ$15,1,AZ129)))),0)</f>
        <v>0</v>
      </c>
      <c r="BA138" s="24">
        <f>IF(BA131=1,IF('Lease Cycles'!$AJ$15=1,0,'Lease Cycles'!$D$15*INDEX('Lease Cycles'!$FH$15:$FN$15,1,BA129)*IF(INDEX('Lease Cycles'!$EF$15:$EL$15,1,BA129)=1,1,IF(OR(INDEX('Lease Cycles'!$DY$15:$EE$15,1,BA129)=1,BA130&gt;0),1,1-INDEX('Lease Cycles'!$DD$15:$DJ$15,1,BA129)))),0)</f>
        <v>0</v>
      </c>
      <c r="BB138" s="24">
        <f>IF(BB131=1,IF('Lease Cycles'!$AJ$15=1,0,'Lease Cycles'!$D$15*INDEX('Lease Cycles'!$FH$15:$FN$15,1,BB129)*IF(INDEX('Lease Cycles'!$EF$15:$EL$15,1,BB129)=1,1,IF(OR(INDEX('Lease Cycles'!$DY$15:$EE$15,1,BB129)=1,BB130&gt;0),1,1-INDEX('Lease Cycles'!$DD$15:$DJ$15,1,BB129)))),0)</f>
        <v>0</v>
      </c>
      <c r="BC138" s="24">
        <f>IF(BC131=1,IF('Lease Cycles'!$AJ$15=1,0,'Lease Cycles'!$D$15*INDEX('Lease Cycles'!$FH$15:$FN$15,1,BC129)*IF(INDEX('Lease Cycles'!$EF$15:$EL$15,1,BC129)=1,1,IF(OR(INDEX('Lease Cycles'!$DY$15:$EE$15,1,BC129)=1,BC130&gt;0),1,1-INDEX('Lease Cycles'!$DD$15:$DJ$15,1,BC129)))),0)</f>
        <v>0</v>
      </c>
      <c r="BD138" s="24">
        <f>IF(BD131=1,IF('Lease Cycles'!$AJ$15=1,0,'Lease Cycles'!$D$15*INDEX('Lease Cycles'!$FH$15:$FN$15,1,BD129)*IF(INDEX('Lease Cycles'!$EF$15:$EL$15,1,BD129)=1,1,IF(OR(INDEX('Lease Cycles'!$DY$15:$EE$15,1,BD129)=1,BD130&gt;0),1,1-INDEX('Lease Cycles'!$DD$15:$DJ$15,1,BD129)))),0)</f>
        <v>0</v>
      </c>
      <c r="BE138" s="24">
        <f>IF(BE131=1,IF('Lease Cycles'!$AJ$15=1,0,'Lease Cycles'!$D$15*INDEX('Lease Cycles'!$FH$15:$FN$15,1,BE129)*IF(INDEX('Lease Cycles'!$EF$15:$EL$15,1,BE129)=1,1,IF(OR(INDEX('Lease Cycles'!$DY$15:$EE$15,1,BE129)=1,BE130&gt;0),1,1-INDEX('Lease Cycles'!$DD$15:$DJ$15,1,BE129)))),0)</f>
        <v>0</v>
      </c>
      <c r="BF138" s="24">
        <f>IF(BF131=1,IF('Lease Cycles'!$AJ$15=1,0,'Lease Cycles'!$D$15*INDEX('Lease Cycles'!$FH$15:$FN$15,1,BF129)*IF(INDEX('Lease Cycles'!$EF$15:$EL$15,1,BF129)=1,1,IF(OR(INDEX('Lease Cycles'!$DY$15:$EE$15,1,BF129)=1,BF130&gt;0),1,1-INDEX('Lease Cycles'!$DD$15:$DJ$15,1,BF129)))),0)</f>
        <v>0</v>
      </c>
      <c r="BG138" s="24">
        <f>IF(BG131=1,IF('Lease Cycles'!$AJ$15=1,0,'Lease Cycles'!$D$15*INDEX('Lease Cycles'!$FH$15:$FN$15,1,BG129)*IF(INDEX('Lease Cycles'!$EF$15:$EL$15,1,BG129)=1,1,IF(OR(INDEX('Lease Cycles'!$DY$15:$EE$15,1,BG129)=1,BG130&gt;0),1,1-INDEX('Lease Cycles'!$DD$15:$DJ$15,1,BG129)))),0)</f>
        <v>0</v>
      </c>
      <c r="BH138" s="24">
        <f>IF(BH131=1,IF('Lease Cycles'!$AJ$15=1,0,'Lease Cycles'!$D$15*INDEX('Lease Cycles'!$FH$15:$FN$15,1,BH129)*IF(INDEX('Lease Cycles'!$EF$15:$EL$15,1,BH129)=1,1,IF(OR(INDEX('Lease Cycles'!$DY$15:$EE$15,1,BH129)=1,BH130&gt;0),1,1-INDEX('Lease Cycles'!$DD$15:$DJ$15,1,BH129)))),0)</f>
        <v>0</v>
      </c>
      <c r="BI138" s="24">
        <f>IF(BI131=1,IF('Lease Cycles'!$AJ$15=1,0,'Lease Cycles'!$D$15*INDEX('Lease Cycles'!$FH$15:$FN$15,1,BI129)*IF(INDEX('Lease Cycles'!$EF$15:$EL$15,1,BI129)=1,1,IF(OR(INDEX('Lease Cycles'!$DY$15:$EE$15,1,BI129)=1,BI130&gt;0),1,1-INDEX('Lease Cycles'!$DD$15:$DJ$15,1,BI129)))),0)</f>
        <v>0</v>
      </c>
      <c r="BJ138" s="24">
        <f>IF(BJ131=1,IF('Lease Cycles'!$AJ$15=1,0,'Lease Cycles'!$D$15*INDEX('Lease Cycles'!$FH$15:$FN$15,1,BJ129)*IF(INDEX('Lease Cycles'!$EF$15:$EL$15,1,BJ129)=1,1,IF(OR(INDEX('Lease Cycles'!$DY$15:$EE$15,1,BJ129)=1,BJ130&gt;0),1,1-INDEX('Lease Cycles'!$DD$15:$DJ$15,1,BJ129)))),0)</f>
        <v>0</v>
      </c>
      <c r="BK138" s="24">
        <f>IF(BK131=1,IF('Lease Cycles'!$AJ$15=1,0,'Lease Cycles'!$D$15*INDEX('Lease Cycles'!$FH$15:$FN$15,1,BK129)*IF(INDEX('Lease Cycles'!$EF$15:$EL$15,1,BK129)=1,1,IF(OR(INDEX('Lease Cycles'!$DY$15:$EE$15,1,BK129)=1,BK130&gt;0),1,1-INDEX('Lease Cycles'!$DD$15:$DJ$15,1,BK129)))),0)</f>
        <v>0</v>
      </c>
      <c r="BL138" s="24">
        <f>IF(BL131=1,IF('Lease Cycles'!$AJ$15=1,0,'Lease Cycles'!$D$15*INDEX('Lease Cycles'!$FH$15:$FN$15,1,BL129)*IF(INDEX('Lease Cycles'!$EF$15:$EL$15,1,BL129)=1,1,IF(OR(INDEX('Lease Cycles'!$DY$15:$EE$15,1,BL129)=1,BL130&gt;0),1,1-INDEX('Lease Cycles'!$DD$15:$DJ$15,1,BL129)))),0)</f>
        <v>0</v>
      </c>
      <c r="BM138" s="24">
        <f>IF(BM131=1,IF('Lease Cycles'!$AJ$15=1,0,'Lease Cycles'!$D$15*INDEX('Lease Cycles'!$FH$15:$FN$15,1,BM129)*IF(INDEX('Lease Cycles'!$EF$15:$EL$15,1,BM129)=1,1,IF(OR(INDEX('Lease Cycles'!$DY$15:$EE$15,1,BM129)=1,BM130&gt;0),1,1-INDEX('Lease Cycles'!$DD$15:$DJ$15,1,BM129)))),0)</f>
        <v>0</v>
      </c>
      <c r="BN138" s="24">
        <f>IF(BN131=1,IF('Lease Cycles'!$AJ$15=1,0,'Lease Cycles'!$D$15*INDEX('Lease Cycles'!$FH$15:$FN$15,1,BN129)*IF(INDEX('Lease Cycles'!$EF$15:$EL$15,1,BN129)=1,1,IF(OR(INDEX('Lease Cycles'!$DY$15:$EE$15,1,BN129)=1,BN130&gt;0),1,1-INDEX('Lease Cycles'!$DD$15:$DJ$15,1,BN129)))),0)</f>
        <v>0</v>
      </c>
      <c r="BO138" s="24">
        <f>IF(BO131=1,IF('Lease Cycles'!$AJ$15=1,0,'Lease Cycles'!$D$15*INDEX('Lease Cycles'!$FH$15:$FN$15,1,BO129)*IF(INDEX('Lease Cycles'!$EF$15:$EL$15,1,BO129)=1,1,IF(OR(INDEX('Lease Cycles'!$DY$15:$EE$15,1,BO129)=1,BO130&gt;0),1,1-INDEX('Lease Cycles'!$DD$15:$DJ$15,1,BO129)))),0)</f>
        <v>0</v>
      </c>
      <c r="BP138" s="24">
        <f>IF(BP131=1,IF('Lease Cycles'!$AJ$15=1,0,'Lease Cycles'!$D$15*INDEX('Lease Cycles'!$FH$15:$FN$15,1,BP129)*IF(INDEX('Lease Cycles'!$EF$15:$EL$15,1,BP129)=1,1,IF(OR(INDEX('Lease Cycles'!$DY$15:$EE$15,1,BP129)=1,BP130&gt;0),1,1-INDEX('Lease Cycles'!$DD$15:$DJ$15,1,BP129)))),0)</f>
        <v>0</v>
      </c>
      <c r="BQ138" s="24">
        <f>IF(BQ131=1,IF('Lease Cycles'!$AJ$15=1,0,'Lease Cycles'!$D$15*INDEX('Lease Cycles'!$FH$15:$FN$15,1,BQ129)*IF(INDEX('Lease Cycles'!$EF$15:$EL$15,1,BQ129)=1,1,IF(OR(INDEX('Lease Cycles'!$DY$15:$EE$15,1,BQ129)=1,BQ130&gt;0),1,1-INDEX('Lease Cycles'!$DD$15:$DJ$15,1,BQ129)))),0)</f>
        <v>0</v>
      </c>
      <c r="BR138" s="24">
        <f>IF(BR131=1,IF('Lease Cycles'!$AJ$15=1,0,'Lease Cycles'!$D$15*INDEX('Lease Cycles'!$FH$15:$FN$15,1,BR129)*IF(INDEX('Lease Cycles'!$EF$15:$EL$15,1,BR129)=1,1,IF(OR(INDEX('Lease Cycles'!$DY$15:$EE$15,1,BR129)=1,BR130&gt;0),1,1-INDEX('Lease Cycles'!$DD$15:$DJ$15,1,BR129)))),0)</f>
        <v>0</v>
      </c>
      <c r="BS138" s="24">
        <f>IF(BS131=1,IF('Lease Cycles'!$AJ$15=1,0,'Lease Cycles'!$D$15*INDEX('Lease Cycles'!$FH$15:$FN$15,1,BS129)*IF(INDEX('Lease Cycles'!$EF$15:$EL$15,1,BS129)=1,1,IF(OR(INDEX('Lease Cycles'!$DY$15:$EE$15,1,BS129)=1,BS130&gt;0),1,1-INDEX('Lease Cycles'!$DD$15:$DJ$15,1,BS129)))),0)</f>
        <v>0</v>
      </c>
      <c r="BT138" s="24">
        <f>IF(BT131=1,IF('Lease Cycles'!$AJ$15=1,0,'Lease Cycles'!$D$15*INDEX('Lease Cycles'!$FH$15:$FN$15,1,BT129)*IF(INDEX('Lease Cycles'!$EF$15:$EL$15,1,BT129)=1,1,IF(OR(INDEX('Lease Cycles'!$DY$15:$EE$15,1,BT129)=1,BT130&gt;0),1,1-INDEX('Lease Cycles'!$DD$15:$DJ$15,1,BT129)))),0)</f>
        <v>0</v>
      </c>
      <c r="BU138" s="24">
        <f>IF(BU131=1,IF('Lease Cycles'!$AJ$15=1,0,'Lease Cycles'!$D$15*INDEX('Lease Cycles'!$FH$15:$FN$15,1,BU129)*IF(INDEX('Lease Cycles'!$EF$15:$EL$15,1,BU129)=1,1,IF(OR(INDEX('Lease Cycles'!$DY$15:$EE$15,1,BU129)=1,BU130&gt;0),1,1-INDEX('Lease Cycles'!$DD$15:$DJ$15,1,BU129)))),0)</f>
        <v>0</v>
      </c>
      <c r="BV138" s="24">
        <f>IF(BV131=1,IF('Lease Cycles'!$AJ$15=1,0,'Lease Cycles'!$D$15*INDEX('Lease Cycles'!$FH$15:$FN$15,1,BV129)*IF(INDEX('Lease Cycles'!$EF$15:$EL$15,1,BV129)=1,1,IF(OR(INDEX('Lease Cycles'!$DY$15:$EE$15,1,BV129)=1,BV130&gt;0),1,1-INDEX('Lease Cycles'!$DD$15:$DJ$15,1,BV129)))),0)</f>
        <v>0</v>
      </c>
      <c r="BW138" s="24">
        <f>IF(BW131=1,IF('Lease Cycles'!$AJ$15=1,0,'Lease Cycles'!$D$15*INDEX('Lease Cycles'!$FH$15:$FN$15,1,BW129)*IF(INDEX('Lease Cycles'!$EF$15:$EL$15,1,BW129)=1,1,IF(OR(INDEX('Lease Cycles'!$DY$15:$EE$15,1,BW129)=1,BW130&gt;0),1,1-INDEX('Lease Cycles'!$DD$15:$DJ$15,1,BW129)))),0)</f>
        <v>0</v>
      </c>
      <c r="BX138" s="24">
        <f>IF(BX131=1,IF('Lease Cycles'!$AJ$15=1,0,'Lease Cycles'!$D$15*INDEX('Lease Cycles'!$FH$15:$FN$15,1,BX129)*IF(INDEX('Lease Cycles'!$EF$15:$EL$15,1,BX129)=1,1,IF(OR(INDEX('Lease Cycles'!$DY$15:$EE$15,1,BX129)=1,BX130&gt;0),1,1-INDEX('Lease Cycles'!$DD$15:$DJ$15,1,BX129)))),0)</f>
        <v>0</v>
      </c>
      <c r="BY138" s="24">
        <f>IF(BY131=1,IF('Lease Cycles'!$AJ$15=1,0,'Lease Cycles'!$D$15*INDEX('Lease Cycles'!$FH$15:$FN$15,1,BY129)*IF(INDEX('Lease Cycles'!$EF$15:$EL$15,1,BY129)=1,1,IF(OR(INDEX('Lease Cycles'!$DY$15:$EE$15,1,BY129)=1,BY130&gt;0),1,1-INDEX('Lease Cycles'!$DD$15:$DJ$15,1,BY129)))),0)</f>
        <v>0</v>
      </c>
      <c r="BZ138" s="24">
        <f>IF(BZ131=1,IF('Lease Cycles'!$AJ$15=1,0,'Lease Cycles'!$D$15*INDEX('Lease Cycles'!$FH$15:$FN$15,1,BZ129)*IF(INDEX('Lease Cycles'!$EF$15:$EL$15,1,BZ129)=1,1,IF(OR(INDEX('Lease Cycles'!$DY$15:$EE$15,1,BZ129)=1,BZ130&gt;0),1,1-INDEX('Lease Cycles'!$DD$15:$DJ$15,1,BZ129)))),0)</f>
        <v>0</v>
      </c>
      <c r="CA138" s="24">
        <f>IF(CA131=1,IF('Lease Cycles'!$AJ$15=1,0,'Lease Cycles'!$D$15*INDEX('Lease Cycles'!$FH$15:$FN$15,1,CA129)*IF(INDEX('Lease Cycles'!$EF$15:$EL$15,1,CA129)=1,1,IF(OR(INDEX('Lease Cycles'!$DY$15:$EE$15,1,CA129)=1,CA130&gt;0),1,1-INDEX('Lease Cycles'!$DD$15:$DJ$15,1,CA129)))),0)</f>
        <v>0</v>
      </c>
      <c r="CB138" s="24">
        <f>IF(CB131=1,IF('Lease Cycles'!$AJ$15=1,0,'Lease Cycles'!$D$15*INDEX('Lease Cycles'!$FH$15:$FN$15,1,CB129)*IF(INDEX('Lease Cycles'!$EF$15:$EL$15,1,CB129)=1,1,IF(OR(INDEX('Lease Cycles'!$DY$15:$EE$15,1,CB129)=1,CB130&gt;0),1,1-INDEX('Lease Cycles'!$DD$15:$DJ$15,1,CB129)))),0)</f>
        <v>0</v>
      </c>
      <c r="CC138" s="24">
        <f>IF(CC131=1,IF('Lease Cycles'!$AJ$15=1,0,'Lease Cycles'!$D$15*INDEX('Lease Cycles'!$FH$15:$FN$15,1,CC129)*IF(INDEX('Lease Cycles'!$EF$15:$EL$15,1,CC129)=1,1,IF(OR(INDEX('Lease Cycles'!$DY$15:$EE$15,1,CC129)=1,CC130&gt;0),1,1-INDEX('Lease Cycles'!$DD$15:$DJ$15,1,CC129)))),0)</f>
        <v>0</v>
      </c>
      <c r="CD138" s="24">
        <f>IF(CD131=1,IF('Lease Cycles'!$AJ$15=1,0,'Lease Cycles'!$D$15*INDEX('Lease Cycles'!$FH$15:$FN$15,1,CD129)*IF(INDEX('Lease Cycles'!$EF$15:$EL$15,1,CD129)=1,1,IF(OR(INDEX('Lease Cycles'!$DY$15:$EE$15,1,CD129)=1,CD130&gt;0),1,1-INDEX('Lease Cycles'!$DD$15:$DJ$15,1,CD129)))),0)</f>
        <v>0</v>
      </c>
      <c r="CE138" s="24">
        <f>IF(CE131=1,IF('Lease Cycles'!$AJ$15=1,0,'Lease Cycles'!$D$15*INDEX('Lease Cycles'!$FH$15:$FN$15,1,CE129)*IF(INDEX('Lease Cycles'!$EF$15:$EL$15,1,CE129)=1,1,IF(OR(INDEX('Lease Cycles'!$DY$15:$EE$15,1,CE129)=1,CE130&gt;0),1,1-INDEX('Lease Cycles'!$DD$15:$DJ$15,1,CE129)))),0)</f>
        <v>0</v>
      </c>
      <c r="CF138" s="24">
        <f>IF(CF131=1,IF('Lease Cycles'!$AJ$15=1,0,'Lease Cycles'!$D$15*INDEX('Lease Cycles'!$FH$15:$FN$15,1,CF129)*IF(INDEX('Lease Cycles'!$EF$15:$EL$15,1,CF129)=1,1,IF(OR(INDEX('Lease Cycles'!$DY$15:$EE$15,1,CF129)=1,CF130&gt;0),1,1-INDEX('Lease Cycles'!$DD$15:$DJ$15,1,CF129)))),0)</f>
        <v>0</v>
      </c>
      <c r="CG138" s="24">
        <f>IF(CG131=1,IF('Lease Cycles'!$AJ$15=1,0,'Lease Cycles'!$D$15*INDEX('Lease Cycles'!$FH$15:$FN$15,1,CG129)*IF(INDEX('Lease Cycles'!$EF$15:$EL$15,1,CG129)=1,1,IF(OR(INDEX('Lease Cycles'!$DY$15:$EE$15,1,CG129)=1,CG130&gt;0),1,1-INDEX('Lease Cycles'!$DD$15:$DJ$15,1,CG129)))),0)</f>
        <v>0</v>
      </c>
      <c r="CH138" s="24">
        <f>IF(CH131=1,IF('Lease Cycles'!$AJ$15=1,0,'Lease Cycles'!$D$15*INDEX('Lease Cycles'!$FH$15:$FN$15,1,CH129)*IF(INDEX('Lease Cycles'!$EF$15:$EL$15,1,CH129)=1,1,IF(OR(INDEX('Lease Cycles'!$DY$15:$EE$15,1,CH129)=1,CH130&gt;0),1,1-INDEX('Lease Cycles'!$DD$15:$DJ$15,1,CH129)))),0)</f>
        <v>0</v>
      </c>
      <c r="CI138" s="24">
        <f>IF(CI131=1,IF('Lease Cycles'!$AJ$15=1,0,'Lease Cycles'!$D$15*INDEX('Lease Cycles'!$FH$15:$FN$15,1,CI129)*IF(INDEX('Lease Cycles'!$EF$15:$EL$15,1,CI129)=1,1,IF(OR(INDEX('Lease Cycles'!$DY$15:$EE$15,1,CI129)=1,CI130&gt;0),1,1-INDEX('Lease Cycles'!$DD$15:$DJ$15,1,CI129)))),0)</f>
        <v>0</v>
      </c>
      <c r="CJ138" s="24">
        <f>IF(CJ131=1,IF('Lease Cycles'!$AJ$15=1,0,'Lease Cycles'!$D$15*INDEX('Lease Cycles'!$FH$15:$FN$15,1,CJ129)*IF(INDEX('Lease Cycles'!$EF$15:$EL$15,1,CJ129)=1,1,IF(OR(INDEX('Lease Cycles'!$DY$15:$EE$15,1,CJ129)=1,CJ130&gt;0),1,1-INDEX('Lease Cycles'!$DD$15:$DJ$15,1,CJ129)))),0)</f>
        <v>0</v>
      </c>
      <c r="CK138" s="24">
        <f>IF(CK131=1,IF('Lease Cycles'!$AJ$15=1,0,'Lease Cycles'!$D$15*INDEX('Lease Cycles'!$FH$15:$FN$15,1,CK129)*IF(INDEX('Lease Cycles'!$EF$15:$EL$15,1,CK129)=1,1,IF(OR(INDEX('Lease Cycles'!$DY$15:$EE$15,1,CK129)=1,CK130&gt;0),1,1-INDEX('Lease Cycles'!$DD$15:$DJ$15,1,CK129)))),0)</f>
        <v>0</v>
      </c>
      <c r="CL138" s="24">
        <f>IF(CL131=1,IF('Lease Cycles'!$AJ$15=1,0,'Lease Cycles'!$D$15*INDEX('Lease Cycles'!$FH$15:$FN$15,1,CL129)*IF(INDEX('Lease Cycles'!$EF$15:$EL$15,1,CL129)=1,1,IF(OR(INDEX('Lease Cycles'!$DY$15:$EE$15,1,CL129)=1,CL130&gt;0),1,1-INDEX('Lease Cycles'!$DD$15:$DJ$15,1,CL129)))),0)</f>
        <v>0</v>
      </c>
      <c r="CM138" s="24">
        <f>IF(CM131=1,IF('Lease Cycles'!$AJ$15=1,0,'Lease Cycles'!$D$15*INDEX('Lease Cycles'!$FH$15:$FN$15,1,CM129)*IF(INDEX('Lease Cycles'!$EF$15:$EL$15,1,CM129)=1,1,IF(OR(INDEX('Lease Cycles'!$DY$15:$EE$15,1,CM129)=1,CM130&gt;0),1,1-INDEX('Lease Cycles'!$DD$15:$DJ$15,1,CM129)))),0)</f>
        <v>0</v>
      </c>
      <c r="CN138" s="24">
        <f>IF(CN131=1,IF('Lease Cycles'!$AJ$15=1,0,'Lease Cycles'!$D$15*INDEX('Lease Cycles'!$FH$15:$FN$15,1,CN129)*IF(INDEX('Lease Cycles'!$EF$15:$EL$15,1,CN129)=1,1,IF(OR(INDEX('Lease Cycles'!$DY$15:$EE$15,1,CN129)=1,CN130&gt;0),1,1-INDEX('Lease Cycles'!$DD$15:$DJ$15,1,CN129)))),0)</f>
        <v>0</v>
      </c>
      <c r="CO138" s="24">
        <f>IF(CO131=1,IF('Lease Cycles'!$AJ$15=1,0,'Lease Cycles'!$D$15*INDEX('Lease Cycles'!$FH$15:$FN$15,1,CO129)*IF(INDEX('Lease Cycles'!$EF$15:$EL$15,1,CO129)=1,1,IF(OR(INDEX('Lease Cycles'!$DY$15:$EE$15,1,CO129)=1,CO130&gt;0),1,1-INDEX('Lease Cycles'!$DD$15:$DJ$15,1,CO129)))),0)</f>
        <v>0</v>
      </c>
      <c r="CP138" s="24">
        <f>IF(CP131=1,IF('Lease Cycles'!$AJ$15=1,0,'Lease Cycles'!$D$15*INDEX('Lease Cycles'!$FH$15:$FN$15,1,CP129)*IF(INDEX('Lease Cycles'!$EF$15:$EL$15,1,CP129)=1,1,IF(OR(INDEX('Lease Cycles'!$DY$15:$EE$15,1,CP129)=1,CP130&gt;0),1,1-INDEX('Lease Cycles'!$DD$15:$DJ$15,1,CP129)))),0)</f>
        <v>0</v>
      </c>
      <c r="CQ138" s="24">
        <f>IF(CQ131=1,IF('Lease Cycles'!$AJ$15=1,0,'Lease Cycles'!$D$15*INDEX('Lease Cycles'!$FH$15:$FN$15,1,CQ129)*IF(INDEX('Lease Cycles'!$EF$15:$EL$15,1,CQ129)=1,1,IF(OR(INDEX('Lease Cycles'!$DY$15:$EE$15,1,CQ129)=1,CQ130&gt;0),1,1-INDEX('Lease Cycles'!$DD$15:$DJ$15,1,CQ129)))),0)</f>
        <v>0</v>
      </c>
      <c r="CR138" s="24">
        <f>IF(CR131=1,IF('Lease Cycles'!$AJ$15=1,0,'Lease Cycles'!$D$15*INDEX('Lease Cycles'!$FH$15:$FN$15,1,CR129)*IF(INDEX('Lease Cycles'!$EF$15:$EL$15,1,CR129)=1,1,IF(OR(INDEX('Lease Cycles'!$DY$15:$EE$15,1,CR129)=1,CR130&gt;0),1,1-INDEX('Lease Cycles'!$DD$15:$DJ$15,1,CR129)))),0)</f>
        <v>0</v>
      </c>
      <c r="CS138" s="24">
        <f>IF(CS131=1,IF('Lease Cycles'!$AJ$15=1,0,'Lease Cycles'!$D$15*INDEX('Lease Cycles'!$FH$15:$FN$15,1,CS129)*IF(INDEX('Lease Cycles'!$EF$15:$EL$15,1,CS129)=1,1,IF(OR(INDEX('Lease Cycles'!$DY$15:$EE$15,1,CS129)=1,CS130&gt;0),1,1-INDEX('Lease Cycles'!$DD$15:$DJ$15,1,CS129)))),0)</f>
        <v>0</v>
      </c>
      <c r="CT138" s="24">
        <f>IF(CT131=1,IF('Lease Cycles'!$AJ$15=1,0,'Lease Cycles'!$D$15*INDEX('Lease Cycles'!$FH$15:$FN$15,1,CT129)*IF(INDEX('Lease Cycles'!$EF$15:$EL$15,1,CT129)=1,1,IF(OR(INDEX('Lease Cycles'!$DY$15:$EE$15,1,CT129)=1,CT130&gt;0),1,1-INDEX('Lease Cycles'!$DD$15:$DJ$15,1,CT129)))),0)</f>
        <v>0</v>
      </c>
      <c r="CU138" s="24">
        <f>IF(CU131=1,IF('Lease Cycles'!$AJ$15=1,0,'Lease Cycles'!$D$15*INDEX('Lease Cycles'!$FH$15:$FN$15,1,CU129)*IF(INDEX('Lease Cycles'!$EF$15:$EL$15,1,CU129)=1,1,IF(OR(INDEX('Lease Cycles'!$DY$15:$EE$15,1,CU129)=1,CU130&gt;0),1,1-INDEX('Lease Cycles'!$DD$15:$DJ$15,1,CU129)))),0)</f>
        <v>0</v>
      </c>
      <c r="CV138" s="24">
        <f>IF(CV131=1,IF('Lease Cycles'!$AJ$15=1,0,'Lease Cycles'!$D$15*INDEX('Lease Cycles'!$FH$15:$FN$15,1,CV129)*IF(INDEX('Lease Cycles'!$EF$15:$EL$15,1,CV129)=1,1,IF(OR(INDEX('Lease Cycles'!$DY$15:$EE$15,1,CV129)=1,CV130&gt;0),1,1-INDEX('Lease Cycles'!$DD$15:$DJ$15,1,CV129)))),0)</f>
        <v>0</v>
      </c>
      <c r="CW138" s="24">
        <f>IF(CW131=1,IF('Lease Cycles'!$AJ$15=1,0,'Lease Cycles'!$D$15*INDEX('Lease Cycles'!$FH$15:$FN$15,1,CW129)*IF(INDEX('Lease Cycles'!$EF$15:$EL$15,1,CW129)=1,1,IF(OR(INDEX('Lease Cycles'!$DY$15:$EE$15,1,CW129)=1,CW130&gt;0),1,1-INDEX('Lease Cycles'!$DD$15:$DJ$15,1,CW129)))),0)</f>
        <v>0</v>
      </c>
      <c r="CX138" s="24">
        <f>IF(CX131=1,IF('Lease Cycles'!$AJ$15=1,0,'Lease Cycles'!$D$15*INDEX('Lease Cycles'!$FH$15:$FN$15,1,CX129)*IF(INDEX('Lease Cycles'!$EF$15:$EL$15,1,CX129)=1,1,IF(OR(INDEX('Lease Cycles'!$DY$15:$EE$15,1,CX129)=1,CX130&gt;0),1,1-INDEX('Lease Cycles'!$DD$15:$DJ$15,1,CX129)))),0)</f>
        <v>0</v>
      </c>
      <c r="CY138" s="24">
        <f>IF(CY131=1,IF('Lease Cycles'!$AJ$15=1,0,'Lease Cycles'!$D$15*INDEX('Lease Cycles'!$FH$15:$FN$15,1,CY129)*IF(INDEX('Lease Cycles'!$EF$15:$EL$15,1,CY129)=1,1,IF(OR(INDEX('Lease Cycles'!$DY$15:$EE$15,1,CY129)=1,CY130&gt;0),1,1-INDEX('Lease Cycles'!$DD$15:$DJ$15,1,CY129)))),0)</f>
        <v>0</v>
      </c>
      <c r="CZ138" s="24">
        <f>IF(CZ131=1,IF('Lease Cycles'!$AJ$15=1,0,'Lease Cycles'!$D$15*INDEX('Lease Cycles'!$FH$15:$FN$15,1,CZ129)*IF(INDEX('Lease Cycles'!$EF$15:$EL$15,1,CZ129)=1,1,IF(OR(INDEX('Lease Cycles'!$DY$15:$EE$15,1,CZ129)=1,CZ130&gt;0),1,1-INDEX('Lease Cycles'!$DD$15:$DJ$15,1,CZ129)))),0)</f>
        <v>0</v>
      </c>
      <c r="DA138" s="24">
        <f>IF(DA131=1,IF('Lease Cycles'!$AJ$15=1,0,'Lease Cycles'!$D$15*INDEX('Lease Cycles'!$FH$15:$FN$15,1,DA129)*IF(INDEX('Lease Cycles'!$EF$15:$EL$15,1,DA129)=1,1,IF(OR(INDEX('Lease Cycles'!$DY$15:$EE$15,1,DA129)=1,DA130&gt;0),1,1-INDEX('Lease Cycles'!$DD$15:$DJ$15,1,DA129)))),0)</f>
        <v>0</v>
      </c>
      <c r="DB138" s="24">
        <f>IF(DB131=1,IF('Lease Cycles'!$AJ$15=1,0,'Lease Cycles'!$D$15*INDEX('Lease Cycles'!$FH$15:$FN$15,1,DB129)*IF(INDEX('Lease Cycles'!$EF$15:$EL$15,1,DB129)=1,1,IF(OR(INDEX('Lease Cycles'!$DY$15:$EE$15,1,DB129)=1,DB130&gt;0),1,1-INDEX('Lease Cycles'!$DD$15:$DJ$15,1,DB129)))),0)</f>
        <v>0</v>
      </c>
      <c r="DC138" s="24">
        <f>IF(DC131=1,IF('Lease Cycles'!$AJ$15=1,0,'Lease Cycles'!$D$15*INDEX('Lease Cycles'!$FH$15:$FN$15,1,DC129)*IF(INDEX('Lease Cycles'!$EF$15:$EL$15,1,DC129)=1,1,IF(OR(INDEX('Lease Cycles'!$DY$15:$EE$15,1,DC129)=1,DC130&gt;0),1,1-INDEX('Lease Cycles'!$DD$15:$DJ$15,1,DC129)))),0)</f>
        <v>0</v>
      </c>
      <c r="DD138" s="24">
        <f>IF(DD131=1,IF('Lease Cycles'!$AJ$15=1,0,'Lease Cycles'!$D$15*INDEX('Lease Cycles'!$FH$15:$FN$15,1,DD129)*IF(INDEX('Lease Cycles'!$EF$15:$EL$15,1,DD129)=1,1,IF(OR(INDEX('Lease Cycles'!$DY$15:$EE$15,1,DD129)=1,DD130&gt;0),1,1-INDEX('Lease Cycles'!$DD$15:$DJ$15,1,DD129)))),0)</f>
        <v>0</v>
      </c>
      <c r="DE138" s="24">
        <f>IF(DE131=1,IF('Lease Cycles'!$AJ$15=1,0,'Lease Cycles'!$D$15*INDEX('Lease Cycles'!$FH$15:$FN$15,1,DE129)*IF(INDEX('Lease Cycles'!$EF$15:$EL$15,1,DE129)=1,1,IF(OR(INDEX('Lease Cycles'!$DY$15:$EE$15,1,DE129)=1,DE130&gt;0),1,1-INDEX('Lease Cycles'!$DD$15:$DJ$15,1,DE129)))),0)</f>
        <v>0</v>
      </c>
      <c r="DF138" s="24">
        <f>IF(DF131=1,IF('Lease Cycles'!$AJ$15=1,0,'Lease Cycles'!$D$15*INDEX('Lease Cycles'!$FH$15:$FN$15,1,DF129)*IF(INDEX('Lease Cycles'!$EF$15:$EL$15,1,DF129)=1,1,IF(OR(INDEX('Lease Cycles'!$DY$15:$EE$15,1,DF129)=1,DF130&gt;0),1,1-INDEX('Lease Cycles'!$DD$15:$DJ$15,1,DF129)))),0)</f>
        <v>0</v>
      </c>
      <c r="DG138" s="24">
        <f>IF(DG131=1,IF('Lease Cycles'!$AJ$15=1,0,'Lease Cycles'!$D$15*INDEX('Lease Cycles'!$FH$15:$FN$15,1,DG129)*IF(INDEX('Lease Cycles'!$EF$15:$EL$15,1,DG129)=1,1,IF(OR(INDEX('Lease Cycles'!$DY$15:$EE$15,1,DG129)=1,DG130&gt;0),1,1-INDEX('Lease Cycles'!$DD$15:$DJ$15,1,DG129)))),0)</f>
        <v>0</v>
      </c>
      <c r="DH138" s="24">
        <f>IF(DH131=1,IF('Lease Cycles'!$AJ$15=1,0,'Lease Cycles'!$D$15*INDEX('Lease Cycles'!$FH$15:$FN$15,1,DH129)*IF(INDEX('Lease Cycles'!$EF$15:$EL$15,1,DH129)=1,1,IF(OR(INDEX('Lease Cycles'!$DY$15:$EE$15,1,DH129)=1,DH130&gt;0),1,1-INDEX('Lease Cycles'!$DD$15:$DJ$15,1,DH129)))),0)</f>
        <v>0</v>
      </c>
      <c r="DI138" s="24">
        <f>IF(DI131=1,IF('Lease Cycles'!$AJ$15=1,0,'Lease Cycles'!$D$15*INDEX('Lease Cycles'!$FH$15:$FN$15,1,DI129)*IF(INDEX('Lease Cycles'!$EF$15:$EL$15,1,DI129)=1,1,IF(OR(INDEX('Lease Cycles'!$DY$15:$EE$15,1,DI129)=1,DI130&gt;0),1,1-INDEX('Lease Cycles'!$DD$15:$DJ$15,1,DI129)))),0)</f>
        <v>0</v>
      </c>
      <c r="DJ138" s="24">
        <f>IF(DJ131=1,IF('Lease Cycles'!$AJ$15=1,0,'Lease Cycles'!$D$15*INDEX('Lease Cycles'!$FH$15:$FN$15,1,DJ129)*IF(INDEX('Lease Cycles'!$EF$15:$EL$15,1,DJ129)=1,1,IF(OR(INDEX('Lease Cycles'!$DY$15:$EE$15,1,DJ129)=1,DJ130&gt;0),1,1-INDEX('Lease Cycles'!$DD$15:$DJ$15,1,DJ129)))),0)</f>
        <v>0</v>
      </c>
      <c r="DK138" s="24">
        <f>IF(DK131=1,IF('Lease Cycles'!$AJ$15=1,0,'Lease Cycles'!$D$15*INDEX('Lease Cycles'!$FH$15:$FN$15,1,DK129)*IF(INDEX('Lease Cycles'!$EF$15:$EL$15,1,DK129)=1,1,IF(OR(INDEX('Lease Cycles'!$DY$15:$EE$15,1,DK129)=1,DK130&gt;0),1,1-INDEX('Lease Cycles'!$DD$15:$DJ$15,1,DK129)))),0)</f>
        <v>0</v>
      </c>
      <c r="DL138" s="24">
        <f>IF(DL131=1,IF('Lease Cycles'!$AJ$15=1,0,'Lease Cycles'!$D$15*INDEX('Lease Cycles'!$FH$15:$FN$15,1,DL129)*IF(INDEX('Lease Cycles'!$EF$15:$EL$15,1,DL129)=1,1,IF(OR(INDEX('Lease Cycles'!$DY$15:$EE$15,1,DL129)=1,DL130&gt;0),1,1-INDEX('Lease Cycles'!$DD$15:$DJ$15,1,DL129)))),0)</f>
        <v>0</v>
      </c>
      <c r="DM138" s="24">
        <f>IF(DM131=1,IF('Lease Cycles'!$AJ$15=1,0,'Lease Cycles'!$D$15*INDEX('Lease Cycles'!$FH$15:$FN$15,1,DM129)*IF(INDEX('Lease Cycles'!$EF$15:$EL$15,1,DM129)=1,1,IF(OR(INDEX('Lease Cycles'!$DY$15:$EE$15,1,DM129)=1,DM130&gt;0),1,1-INDEX('Lease Cycles'!$DD$15:$DJ$15,1,DM129)))),0)</f>
        <v>0</v>
      </c>
      <c r="DN138" s="24">
        <f>IF(DN131=1,IF('Lease Cycles'!$AJ$15=1,0,'Lease Cycles'!$D$15*INDEX('Lease Cycles'!$FH$15:$FN$15,1,DN129)*IF(INDEX('Lease Cycles'!$EF$15:$EL$15,1,DN129)=1,1,IF(OR(INDEX('Lease Cycles'!$DY$15:$EE$15,1,DN129)=1,DN130&gt;0),1,1-INDEX('Lease Cycles'!$DD$15:$DJ$15,1,DN129)))),0)</f>
        <v>0</v>
      </c>
      <c r="DO138" s="24">
        <f>IF(DO131=1,IF('Lease Cycles'!$AJ$15=1,0,'Lease Cycles'!$D$15*INDEX('Lease Cycles'!$FH$15:$FN$15,1,DO129)*IF(INDEX('Lease Cycles'!$EF$15:$EL$15,1,DO129)=1,1,IF(OR(INDEX('Lease Cycles'!$DY$15:$EE$15,1,DO129)=1,DO130&gt;0),1,1-INDEX('Lease Cycles'!$DD$15:$DJ$15,1,DO129)))),0)</f>
        <v>0</v>
      </c>
      <c r="DP138" s="24">
        <f>IF(DP131=1,IF('Lease Cycles'!$AJ$15=1,0,'Lease Cycles'!$D$15*INDEX('Lease Cycles'!$FH$15:$FN$15,1,DP129)*IF(INDEX('Lease Cycles'!$EF$15:$EL$15,1,DP129)=1,1,IF(OR(INDEX('Lease Cycles'!$DY$15:$EE$15,1,DP129)=1,DP130&gt;0),1,1-INDEX('Lease Cycles'!$DD$15:$DJ$15,1,DP129)))),0)</f>
        <v>0</v>
      </c>
      <c r="DQ138" s="24">
        <f>IF(DQ131=1,IF('Lease Cycles'!$AJ$15=1,0,'Lease Cycles'!$D$15*INDEX('Lease Cycles'!$FH$15:$FN$15,1,DQ129)*IF(INDEX('Lease Cycles'!$EF$15:$EL$15,1,DQ129)=1,1,IF(OR(INDEX('Lease Cycles'!$DY$15:$EE$15,1,DQ129)=1,DQ130&gt;0),1,1-INDEX('Lease Cycles'!$DD$15:$DJ$15,1,DQ129)))),0)</f>
        <v>0</v>
      </c>
      <c r="DR138" s="24">
        <f>IF(DR131=1,IF('Lease Cycles'!$AJ$15=1,0,'Lease Cycles'!$D$15*INDEX('Lease Cycles'!$FH$15:$FN$15,1,DR129)*IF(INDEX('Lease Cycles'!$EF$15:$EL$15,1,DR129)=1,1,IF(OR(INDEX('Lease Cycles'!$DY$15:$EE$15,1,DR129)=1,DR130&gt;0),1,1-INDEX('Lease Cycles'!$DD$15:$DJ$15,1,DR129)))),0)</f>
        <v>0</v>
      </c>
      <c r="DS138" s="24">
        <f>IF(DS131=1,IF('Lease Cycles'!$AJ$15=1,0,'Lease Cycles'!$D$15*INDEX('Lease Cycles'!$FH$15:$FN$15,1,DS129)*IF(INDEX('Lease Cycles'!$EF$15:$EL$15,1,DS129)=1,1,IF(OR(INDEX('Lease Cycles'!$DY$15:$EE$15,1,DS129)=1,DS130&gt;0),1,1-INDEX('Lease Cycles'!$DD$15:$DJ$15,1,DS129)))),0)</f>
        <v>0</v>
      </c>
      <c r="DT138" s="24">
        <f>IF(DT131=1,IF('Lease Cycles'!$AJ$15=1,0,'Lease Cycles'!$D$15*INDEX('Lease Cycles'!$FH$15:$FN$15,1,DT129)*IF(INDEX('Lease Cycles'!$EF$15:$EL$15,1,DT129)=1,1,IF(OR(INDEX('Lease Cycles'!$DY$15:$EE$15,1,DT129)=1,DT130&gt;0),1,1-INDEX('Lease Cycles'!$DD$15:$DJ$15,1,DT129)))),0)</f>
        <v>0</v>
      </c>
      <c r="DU138" s="24">
        <f>IF(DU131=1,IF('Lease Cycles'!$AJ$15=1,0,'Lease Cycles'!$D$15*INDEX('Lease Cycles'!$FH$15:$FN$15,1,DU129)*IF(INDEX('Lease Cycles'!$EF$15:$EL$15,1,DU129)=1,1,IF(OR(INDEX('Lease Cycles'!$DY$15:$EE$15,1,DU129)=1,DU130&gt;0),1,1-INDEX('Lease Cycles'!$DD$15:$DJ$15,1,DU129)))),0)</f>
        <v>0</v>
      </c>
      <c r="DV138" s="24">
        <f>IF(DV131=1,IF('Lease Cycles'!$AJ$15=1,0,'Lease Cycles'!$D$15*INDEX('Lease Cycles'!$FH$15:$FN$15,1,DV129)*IF(INDEX('Lease Cycles'!$EF$15:$EL$15,1,DV129)=1,1,IF(OR(INDEX('Lease Cycles'!$DY$15:$EE$15,1,DV129)=1,DV130&gt;0),1,1-INDEX('Lease Cycles'!$DD$15:$DJ$15,1,DV129)))),0)</f>
        <v>0</v>
      </c>
      <c r="DW138" s="24">
        <f>IF(DW131=1,IF('Lease Cycles'!$AJ$15=1,0,'Lease Cycles'!$D$15*INDEX('Lease Cycles'!$FH$15:$FN$15,1,DW129)*IF(INDEX('Lease Cycles'!$EF$15:$EL$15,1,DW129)=1,1,IF(OR(INDEX('Lease Cycles'!$DY$15:$EE$15,1,DW129)=1,DW130&gt;0),1,1-INDEX('Lease Cycles'!$DD$15:$DJ$15,1,DW129)))),0)</f>
        <v>0</v>
      </c>
      <c r="DX138" s="24">
        <f>IF(DX131=1,IF('Lease Cycles'!$AJ$15=1,0,'Lease Cycles'!$D$15*INDEX('Lease Cycles'!$FH$15:$FN$15,1,DX129)*IF(INDEX('Lease Cycles'!$EF$15:$EL$15,1,DX129)=1,1,IF(OR(INDEX('Lease Cycles'!$DY$15:$EE$15,1,DX129)=1,DX130&gt;0),1,1-INDEX('Lease Cycles'!$DD$15:$DJ$15,1,DX129)))),0)</f>
        <v>0</v>
      </c>
      <c r="DY138" s="24">
        <f>IF(DY131=1,IF('Lease Cycles'!$AJ$15=1,0,'Lease Cycles'!$D$15*INDEX('Lease Cycles'!$FH$15:$FN$15,1,DY129)*IF(INDEX('Lease Cycles'!$EF$15:$EL$15,1,DY129)=1,1,IF(OR(INDEX('Lease Cycles'!$DY$15:$EE$15,1,DY129)=1,DY130&gt;0),1,1-INDEX('Lease Cycles'!$DD$15:$DJ$15,1,DY129)))),0)</f>
        <v>0</v>
      </c>
      <c r="DZ138" s="24">
        <f>IF(DZ131=1,IF('Lease Cycles'!$AJ$15=1,0,'Lease Cycles'!$D$15*INDEX('Lease Cycles'!$FH$15:$FN$15,1,DZ129)*IF(INDEX('Lease Cycles'!$EF$15:$EL$15,1,DZ129)=1,1,IF(OR(INDEX('Lease Cycles'!$DY$15:$EE$15,1,DZ129)=1,DZ130&gt;0),1,1-INDEX('Lease Cycles'!$DD$15:$DJ$15,1,DZ129)))),0)</f>
        <v>0</v>
      </c>
      <c r="EA138" s="24">
        <f>IF(EA131=1,IF('Lease Cycles'!$AJ$15=1,0,'Lease Cycles'!$D$15*INDEX('Lease Cycles'!$FH$15:$FN$15,1,EA129)*IF(INDEX('Lease Cycles'!$EF$15:$EL$15,1,EA129)=1,1,IF(OR(INDEX('Lease Cycles'!$DY$15:$EE$15,1,EA129)=1,EA130&gt;0),1,1-INDEX('Lease Cycles'!$DD$15:$DJ$15,1,EA129)))),0)</f>
        <v>0</v>
      </c>
      <c r="EB138" s="24">
        <f>IF(EB131=1,IF('Lease Cycles'!$AJ$15=1,0,'Lease Cycles'!$D$15*INDEX('Lease Cycles'!$FH$15:$FN$15,1,EB129)*IF(INDEX('Lease Cycles'!$EF$15:$EL$15,1,EB129)=1,1,IF(OR(INDEX('Lease Cycles'!$DY$15:$EE$15,1,EB129)=1,EB130&gt;0),1,1-INDEX('Lease Cycles'!$DD$15:$DJ$15,1,EB129)))),0)</f>
        <v>0</v>
      </c>
      <c r="EC138" s="24">
        <f>IF(EC131=1,IF('Lease Cycles'!$AJ$15=1,0,'Lease Cycles'!$D$15*INDEX('Lease Cycles'!$FH$15:$FN$15,1,EC129)*IF(INDEX('Lease Cycles'!$EF$15:$EL$15,1,EC129)=1,1,IF(OR(INDEX('Lease Cycles'!$DY$15:$EE$15,1,EC129)=1,EC130&gt;0),1,1-INDEX('Lease Cycles'!$DD$15:$DJ$15,1,EC129)))),0)</f>
        <v>0</v>
      </c>
      <c r="ED138" s="24">
        <f>IF(ED131=1,IF('Lease Cycles'!$AJ$15=1,0,'Lease Cycles'!$D$15*INDEX('Lease Cycles'!$FH$15:$FN$15,1,ED129)*IF(INDEX('Lease Cycles'!$EF$15:$EL$15,1,ED129)=1,1,IF(OR(INDEX('Lease Cycles'!$DY$15:$EE$15,1,ED129)=1,ED130&gt;0),1,1-INDEX('Lease Cycles'!$DD$15:$DJ$15,1,ED129)))),0)</f>
        <v>0</v>
      </c>
      <c r="EE138" s="24">
        <f>IF(EE131=1,IF('Lease Cycles'!$AJ$15=1,0,'Lease Cycles'!$D$15*INDEX('Lease Cycles'!$FH$15:$FN$15,1,EE129)*IF(INDEX('Lease Cycles'!$EF$15:$EL$15,1,EE129)=1,1,IF(OR(INDEX('Lease Cycles'!$DY$15:$EE$15,1,EE129)=1,EE130&gt;0),1,1-INDEX('Lease Cycles'!$DD$15:$DJ$15,1,EE129)))),0)</f>
        <v>0</v>
      </c>
      <c r="EF138" s="24">
        <f>IF(EF131=1,IF('Lease Cycles'!$AJ$15=1,0,'Lease Cycles'!$D$15*INDEX('Lease Cycles'!$FH$15:$FN$15,1,EF129)*IF(INDEX('Lease Cycles'!$EF$15:$EL$15,1,EF129)=1,1,IF(OR(INDEX('Lease Cycles'!$DY$15:$EE$15,1,EF129)=1,EF130&gt;0),1,1-INDEX('Lease Cycles'!$DD$15:$DJ$15,1,EF129)))),0)</f>
        <v>0</v>
      </c>
      <c r="EG138" s="24">
        <f>IF(EG131=1,IF('Lease Cycles'!$AJ$15=1,0,'Lease Cycles'!$D$15*INDEX('Lease Cycles'!$FH$15:$FN$15,1,EG129)*IF(INDEX('Lease Cycles'!$EF$15:$EL$15,1,EG129)=1,1,IF(OR(INDEX('Lease Cycles'!$DY$15:$EE$15,1,EG129)=1,EG130&gt;0),1,1-INDEX('Lease Cycles'!$DD$15:$DJ$15,1,EG129)))),0)</f>
        <v>0</v>
      </c>
      <c r="EH138" s="24">
        <f>IF(EH131=1,IF('Lease Cycles'!$AJ$15=1,0,'Lease Cycles'!$D$15*INDEX('Lease Cycles'!$FH$15:$FN$15,1,EH129)*IF(INDEX('Lease Cycles'!$EF$15:$EL$15,1,EH129)=1,1,IF(OR(INDEX('Lease Cycles'!$DY$15:$EE$15,1,EH129)=1,EH130&gt;0),1,1-INDEX('Lease Cycles'!$DD$15:$DJ$15,1,EH129)))),0)</f>
        <v>0</v>
      </c>
      <c r="EI138" s="24">
        <f>IF(EI131=1,IF('Lease Cycles'!$AJ$15=1,0,'Lease Cycles'!$D$15*INDEX('Lease Cycles'!$FH$15:$FN$15,1,EI129)*IF(INDEX('Lease Cycles'!$EF$15:$EL$15,1,EI129)=1,1,IF(OR(INDEX('Lease Cycles'!$DY$15:$EE$15,1,EI129)=1,EI130&gt;0),1,1-INDEX('Lease Cycles'!$DD$15:$DJ$15,1,EI129)))),0)</f>
        <v>0</v>
      </c>
      <c r="EJ138" s="24">
        <f>IF(EJ131=1,IF('Lease Cycles'!$AJ$15=1,0,'Lease Cycles'!$D$15*INDEX('Lease Cycles'!$FH$15:$FN$15,1,EJ129)*IF(INDEX('Lease Cycles'!$EF$15:$EL$15,1,EJ129)=1,1,IF(OR(INDEX('Lease Cycles'!$DY$15:$EE$15,1,EJ129)=1,EJ130&gt;0),1,1-INDEX('Lease Cycles'!$DD$15:$DJ$15,1,EJ129)))),0)</f>
        <v>0</v>
      </c>
      <c r="EK138" s="24">
        <f>IF(EK131=1,IF('Lease Cycles'!$AJ$15=1,0,'Lease Cycles'!$D$15*INDEX('Lease Cycles'!$FH$15:$FN$15,1,EK129)*IF(INDEX('Lease Cycles'!$EF$15:$EL$15,1,EK129)=1,1,IF(OR(INDEX('Lease Cycles'!$DY$15:$EE$15,1,EK129)=1,EK130&gt;0),1,1-INDEX('Lease Cycles'!$DD$15:$DJ$15,1,EK129)))),0)</f>
        <v>0</v>
      </c>
      <c r="EL138" s="24">
        <f>IF(EL131=1,IF('Lease Cycles'!$AJ$15=1,0,'Lease Cycles'!$D$15*INDEX('Lease Cycles'!$FH$15:$FN$15,1,EL129)*IF(INDEX('Lease Cycles'!$EF$15:$EL$15,1,EL129)=1,1,IF(OR(INDEX('Lease Cycles'!$DY$15:$EE$15,1,EL129)=1,EL130&gt;0),1,1-INDEX('Lease Cycles'!$DD$15:$DJ$15,1,EL129)))),0)</f>
        <v>0</v>
      </c>
      <c r="EM138" s="24">
        <f>IF(EM131=1,IF('Lease Cycles'!$AJ$15=1,0,'Lease Cycles'!$D$15*INDEX('Lease Cycles'!$FH$15:$FN$15,1,EM129)*IF(INDEX('Lease Cycles'!$EF$15:$EL$15,1,EM129)=1,1,IF(OR(INDEX('Lease Cycles'!$DY$15:$EE$15,1,EM129)=1,EM130&gt;0),1,1-INDEX('Lease Cycles'!$DD$15:$DJ$15,1,EM129)))),0)</f>
        <v>0</v>
      </c>
      <c r="EN138" s="24">
        <f>IF(EN131=1,IF('Lease Cycles'!$AJ$15=1,0,'Lease Cycles'!$D$15*INDEX('Lease Cycles'!$FH$15:$FN$15,1,EN129)*IF(INDEX('Lease Cycles'!$EF$15:$EL$15,1,EN129)=1,1,IF(OR(INDEX('Lease Cycles'!$DY$15:$EE$15,1,EN129)=1,EN130&gt;0),1,1-INDEX('Lease Cycles'!$DD$15:$DJ$15,1,EN129)))),0)</f>
        <v>0</v>
      </c>
      <c r="EO138" s="24">
        <f>IF(EO131=1,IF('Lease Cycles'!$AJ$15=1,0,'Lease Cycles'!$D$15*INDEX('Lease Cycles'!$FH$15:$FN$15,1,EO129)*IF(INDEX('Lease Cycles'!$EF$15:$EL$15,1,EO129)=1,1,IF(OR(INDEX('Lease Cycles'!$DY$15:$EE$15,1,EO129)=1,EO130&gt;0),1,1-INDEX('Lease Cycles'!$DD$15:$DJ$15,1,EO129)))),0)</f>
        <v>0</v>
      </c>
      <c r="EP138" s="24">
        <f>IF(EP131=1,IF('Lease Cycles'!$AJ$15=1,0,'Lease Cycles'!$D$15*INDEX('Lease Cycles'!$FH$15:$FN$15,1,EP129)*IF(INDEX('Lease Cycles'!$EF$15:$EL$15,1,EP129)=1,1,IF(OR(INDEX('Lease Cycles'!$DY$15:$EE$15,1,EP129)=1,EP130&gt;0),1,1-INDEX('Lease Cycles'!$DD$15:$DJ$15,1,EP129)))),0)</f>
        <v>0</v>
      </c>
      <c r="EQ138" s="24">
        <f>IF(EQ131=1,IF('Lease Cycles'!$AJ$15=1,0,'Lease Cycles'!$D$15*INDEX('Lease Cycles'!$FH$15:$FN$15,1,EQ129)*IF(INDEX('Lease Cycles'!$EF$15:$EL$15,1,EQ129)=1,1,IF(OR(INDEX('Lease Cycles'!$DY$15:$EE$15,1,EQ129)=1,EQ130&gt;0),1,1-INDEX('Lease Cycles'!$DD$15:$DJ$15,1,EQ129)))),0)</f>
        <v>0</v>
      </c>
      <c r="ER138" s="24">
        <f>IF(ER131=1,IF('Lease Cycles'!$AJ$15=1,0,'Lease Cycles'!$D$15*INDEX('Lease Cycles'!$FH$15:$FN$15,1,ER129)*IF(INDEX('Lease Cycles'!$EF$15:$EL$15,1,ER129)=1,1,IF(OR(INDEX('Lease Cycles'!$DY$15:$EE$15,1,ER129)=1,ER130&gt;0),1,1-INDEX('Lease Cycles'!$DD$15:$DJ$15,1,ER129)))),0)</f>
        <v>0</v>
      </c>
      <c r="ES138" s="24">
        <f>IF(ES131=1,IF('Lease Cycles'!$AJ$15=1,0,'Lease Cycles'!$D$15*INDEX('Lease Cycles'!$FH$15:$FN$15,1,ES129)*IF(INDEX('Lease Cycles'!$EF$15:$EL$15,1,ES129)=1,1,IF(OR(INDEX('Lease Cycles'!$DY$15:$EE$15,1,ES129)=1,ES130&gt;0),1,1-INDEX('Lease Cycles'!$DD$15:$DJ$15,1,ES129)))),0)</f>
        <v>0</v>
      </c>
      <c r="ET138" s="24">
        <f>IF(ET131=1,IF('Lease Cycles'!$AJ$15=1,0,'Lease Cycles'!$D$15*INDEX('Lease Cycles'!$FH$15:$FN$15,1,ET129)*IF(INDEX('Lease Cycles'!$EF$15:$EL$15,1,ET129)=1,1,IF(OR(INDEX('Lease Cycles'!$DY$15:$EE$15,1,ET129)=1,ET130&gt;0),1,1-INDEX('Lease Cycles'!$DD$15:$DJ$15,1,ET129)))),0)</f>
        <v>0</v>
      </c>
    </row>
    <row r="139">
      <c r="A139" s="103">
        <v>8</v>
      </c>
      <c r="B139" s="23" t="str">
        <f>IF('Lease Cycles'!$B$15="","(empty slot)",'Lease Cycles'!$B$15)</f>
        <v>Sunfield Bagels</v>
      </c>
      <c r="C139" s="23" t="s">
        <v>687</v>
      </c>
      <c r="D139" s="104" t="s">
        <v>688</v>
      </c>
      <c r="E139" s="25">
        <f>'Lease Cycles'!$AL$15</f>
        <v>0</v>
      </c>
      <c r="G139" s="24">
        <f>SUM(S139:AD139)</f>
        <v>0</v>
      </c>
      <c r="H139" s="24">
        <f>SUM(AE139:AP139)</f>
        <v>0</v>
      </c>
      <c r="I139" s="24">
        <f>SUM(AQ139:BB139)</f>
        <v>0</v>
      </c>
      <c r="J139" s="24">
        <f>SUM(BC139:BN139)</f>
        <v>0</v>
      </c>
      <c r="K139" s="24">
        <f>SUM(BO139:BZ139)</f>
        <v>0</v>
      </c>
      <c r="L139" s="24">
        <f>SUM(CA139:CL139)</f>
        <v>0</v>
      </c>
      <c r="M139" s="24">
        <f>SUM(CM139:CX139)</f>
        <v>0</v>
      </c>
      <c r="N139" s="24">
        <f>SUM(CY139:DJ139)</f>
        <v>0</v>
      </c>
      <c r="O139" s="24">
        <f>SUM(DK139:DV139)</f>
        <v>0</v>
      </c>
      <c r="P139" s="24">
        <f>SUM(DW139:EH139)</f>
        <v>0</v>
      </c>
      <c r="Q139" s="24">
        <f>SUM(EI139:ET139)</f>
        <v>0</v>
      </c>
      <c r="S139" s="24">
        <f>IF(S131=1,'Lease Cycles'!$D$15*IF(INDEX('Lease Cycles'!$EF$15:$EL$15,1,S129)=1,'Lease Cycles'!$AJ$15*INDEX('Lease Cycles'!$FO$15:$FU$15,1,S129)*INDEX('Lease Cycles'!$EM$15:$ES$15,1,S129)+'Lease Cycles'!$BE$15*IF(S130&lt;INDEX('Lease Cycles'!$FA$15:$FG$15,1,S129),0,1-INDEX('Lease Cycles'!$EM$15:$ES$15,1,S129)),IF(OR(INDEX('Lease Cycles'!$DY$15:$EE$15,1,S129)=1,S130&gt;0),1,1-INDEX('Lease Cycles'!$DD$15:$DJ$15,1,S129))*('Lease Cycles'!$AJ$15*INDEX('Lease Cycles'!$FO$15:$FU$15,1,S129)+'Lease Cycles'!$BE$15*(1-INDEX('Lease Cycles'!$FO$15:$FU$15,1,S129)))),0)</f>
        <v>0</v>
      </c>
      <c r="T139" s="24">
        <f>IF(T131=1,'Lease Cycles'!$D$15*IF(INDEX('Lease Cycles'!$EF$15:$EL$15,1,T129)=1,'Lease Cycles'!$AJ$15*INDEX('Lease Cycles'!$FO$15:$FU$15,1,T129)*INDEX('Lease Cycles'!$EM$15:$ES$15,1,T129)+'Lease Cycles'!$BE$15*IF(T130&lt;INDEX('Lease Cycles'!$FA$15:$FG$15,1,T129),0,1-INDEX('Lease Cycles'!$EM$15:$ES$15,1,T129)),IF(OR(INDEX('Lease Cycles'!$DY$15:$EE$15,1,T129)=1,T130&gt;0),1,1-INDEX('Lease Cycles'!$DD$15:$DJ$15,1,T129))*('Lease Cycles'!$AJ$15*INDEX('Lease Cycles'!$FO$15:$FU$15,1,T129)+'Lease Cycles'!$BE$15*(1-INDEX('Lease Cycles'!$FO$15:$FU$15,1,T129)))),0)</f>
        <v>0</v>
      </c>
      <c r="U139" s="24">
        <f>IF(U131=1,'Lease Cycles'!$D$15*IF(INDEX('Lease Cycles'!$EF$15:$EL$15,1,U129)=1,'Lease Cycles'!$AJ$15*INDEX('Lease Cycles'!$FO$15:$FU$15,1,U129)*INDEX('Lease Cycles'!$EM$15:$ES$15,1,U129)+'Lease Cycles'!$BE$15*IF(U130&lt;INDEX('Lease Cycles'!$FA$15:$FG$15,1,U129),0,1-INDEX('Lease Cycles'!$EM$15:$ES$15,1,U129)),IF(OR(INDEX('Lease Cycles'!$DY$15:$EE$15,1,U129)=1,U130&gt;0),1,1-INDEX('Lease Cycles'!$DD$15:$DJ$15,1,U129))*('Lease Cycles'!$AJ$15*INDEX('Lease Cycles'!$FO$15:$FU$15,1,U129)+'Lease Cycles'!$BE$15*(1-INDEX('Lease Cycles'!$FO$15:$FU$15,1,U129)))),0)</f>
        <v>0</v>
      </c>
      <c r="V139" s="24">
        <f>IF(V131=1,'Lease Cycles'!$D$15*IF(INDEX('Lease Cycles'!$EF$15:$EL$15,1,V129)=1,'Lease Cycles'!$AJ$15*INDEX('Lease Cycles'!$FO$15:$FU$15,1,V129)*INDEX('Lease Cycles'!$EM$15:$ES$15,1,V129)+'Lease Cycles'!$BE$15*IF(V130&lt;INDEX('Lease Cycles'!$FA$15:$FG$15,1,V129),0,1-INDEX('Lease Cycles'!$EM$15:$ES$15,1,V129)),IF(OR(INDEX('Lease Cycles'!$DY$15:$EE$15,1,V129)=1,V130&gt;0),1,1-INDEX('Lease Cycles'!$DD$15:$DJ$15,1,V129))*('Lease Cycles'!$AJ$15*INDEX('Lease Cycles'!$FO$15:$FU$15,1,V129)+'Lease Cycles'!$BE$15*(1-INDEX('Lease Cycles'!$FO$15:$FU$15,1,V129)))),0)</f>
        <v>0</v>
      </c>
      <c r="W139" s="24">
        <f>IF(W131=1,'Lease Cycles'!$D$15*IF(INDEX('Lease Cycles'!$EF$15:$EL$15,1,W129)=1,'Lease Cycles'!$AJ$15*INDEX('Lease Cycles'!$FO$15:$FU$15,1,W129)*INDEX('Lease Cycles'!$EM$15:$ES$15,1,W129)+'Lease Cycles'!$BE$15*IF(W130&lt;INDEX('Lease Cycles'!$FA$15:$FG$15,1,W129),0,1-INDEX('Lease Cycles'!$EM$15:$ES$15,1,W129)),IF(OR(INDEX('Lease Cycles'!$DY$15:$EE$15,1,W129)=1,W130&gt;0),1,1-INDEX('Lease Cycles'!$DD$15:$DJ$15,1,W129))*('Lease Cycles'!$AJ$15*INDEX('Lease Cycles'!$FO$15:$FU$15,1,W129)+'Lease Cycles'!$BE$15*(1-INDEX('Lease Cycles'!$FO$15:$FU$15,1,W129)))),0)</f>
        <v>0</v>
      </c>
      <c r="X139" s="24">
        <f>IF(X131=1,'Lease Cycles'!$D$15*IF(INDEX('Lease Cycles'!$EF$15:$EL$15,1,X129)=1,'Lease Cycles'!$AJ$15*INDEX('Lease Cycles'!$FO$15:$FU$15,1,X129)*INDEX('Lease Cycles'!$EM$15:$ES$15,1,X129)+'Lease Cycles'!$BE$15*IF(X130&lt;INDEX('Lease Cycles'!$FA$15:$FG$15,1,X129),0,1-INDEX('Lease Cycles'!$EM$15:$ES$15,1,X129)),IF(OR(INDEX('Lease Cycles'!$DY$15:$EE$15,1,X129)=1,X130&gt;0),1,1-INDEX('Lease Cycles'!$DD$15:$DJ$15,1,X129))*('Lease Cycles'!$AJ$15*INDEX('Lease Cycles'!$FO$15:$FU$15,1,X129)+'Lease Cycles'!$BE$15*(1-INDEX('Lease Cycles'!$FO$15:$FU$15,1,X129)))),0)</f>
        <v>0</v>
      </c>
      <c r="Y139" s="24">
        <f>IF(Y131=1,'Lease Cycles'!$D$15*IF(INDEX('Lease Cycles'!$EF$15:$EL$15,1,Y129)=1,'Lease Cycles'!$AJ$15*INDEX('Lease Cycles'!$FO$15:$FU$15,1,Y129)*INDEX('Lease Cycles'!$EM$15:$ES$15,1,Y129)+'Lease Cycles'!$BE$15*IF(Y130&lt;INDEX('Lease Cycles'!$FA$15:$FG$15,1,Y129),0,1-INDEX('Lease Cycles'!$EM$15:$ES$15,1,Y129)),IF(OR(INDEX('Lease Cycles'!$DY$15:$EE$15,1,Y129)=1,Y130&gt;0),1,1-INDEX('Lease Cycles'!$DD$15:$DJ$15,1,Y129))*('Lease Cycles'!$AJ$15*INDEX('Lease Cycles'!$FO$15:$FU$15,1,Y129)+'Lease Cycles'!$BE$15*(1-INDEX('Lease Cycles'!$FO$15:$FU$15,1,Y129)))),0)</f>
        <v>0</v>
      </c>
      <c r="Z139" s="24">
        <f>IF(Z131=1,'Lease Cycles'!$D$15*IF(INDEX('Lease Cycles'!$EF$15:$EL$15,1,Z129)=1,'Lease Cycles'!$AJ$15*INDEX('Lease Cycles'!$FO$15:$FU$15,1,Z129)*INDEX('Lease Cycles'!$EM$15:$ES$15,1,Z129)+'Lease Cycles'!$BE$15*IF(Z130&lt;INDEX('Lease Cycles'!$FA$15:$FG$15,1,Z129),0,1-INDEX('Lease Cycles'!$EM$15:$ES$15,1,Z129)),IF(OR(INDEX('Lease Cycles'!$DY$15:$EE$15,1,Z129)=1,Z130&gt;0),1,1-INDEX('Lease Cycles'!$DD$15:$DJ$15,1,Z129))*('Lease Cycles'!$AJ$15*INDEX('Lease Cycles'!$FO$15:$FU$15,1,Z129)+'Lease Cycles'!$BE$15*(1-INDEX('Lease Cycles'!$FO$15:$FU$15,1,Z129)))),0)</f>
        <v>0</v>
      </c>
      <c r="AA139" s="24">
        <f>IF(AA131=1,'Lease Cycles'!$D$15*IF(INDEX('Lease Cycles'!$EF$15:$EL$15,1,AA129)=1,'Lease Cycles'!$AJ$15*INDEX('Lease Cycles'!$FO$15:$FU$15,1,AA129)*INDEX('Lease Cycles'!$EM$15:$ES$15,1,AA129)+'Lease Cycles'!$BE$15*IF(AA130&lt;INDEX('Lease Cycles'!$FA$15:$FG$15,1,AA129),0,1-INDEX('Lease Cycles'!$EM$15:$ES$15,1,AA129)),IF(OR(INDEX('Lease Cycles'!$DY$15:$EE$15,1,AA129)=1,AA130&gt;0),1,1-INDEX('Lease Cycles'!$DD$15:$DJ$15,1,AA129))*('Lease Cycles'!$AJ$15*INDEX('Lease Cycles'!$FO$15:$FU$15,1,AA129)+'Lease Cycles'!$BE$15*(1-INDEX('Lease Cycles'!$FO$15:$FU$15,1,AA129)))),0)</f>
        <v>0</v>
      </c>
      <c r="AB139" s="24">
        <f>IF(AB131=1,'Lease Cycles'!$D$15*IF(INDEX('Lease Cycles'!$EF$15:$EL$15,1,AB129)=1,'Lease Cycles'!$AJ$15*INDEX('Lease Cycles'!$FO$15:$FU$15,1,AB129)*INDEX('Lease Cycles'!$EM$15:$ES$15,1,AB129)+'Lease Cycles'!$BE$15*IF(AB130&lt;INDEX('Lease Cycles'!$FA$15:$FG$15,1,AB129),0,1-INDEX('Lease Cycles'!$EM$15:$ES$15,1,AB129)),IF(OR(INDEX('Lease Cycles'!$DY$15:$EE$15,1,AB129)=1,AB130&gt;0),1,1-INDEX('Lease Cycles'!$DD$15:$DJ$15,1,AB129))*('Lease Cycles'!$AJ$15*INDEX('Lease Cycles'!$FO$15:$FU$15,1,AB129)+'Lease Cycles'!$BE$15*(1-INDEX('Lease Cycles'!$FO$15:$FU$15,1,AB129)))),0)</f>
        <v>0</v>
      </c>
      <c r="AC139" s="24">
        <f>IF(AC131=1,'Lease Cycles'!$D$15*IF(INDEX('Lease Cycles'!$EF$15:$EL$15,1,AC129)=1,'Lease Cycles'!$AJ$15*INDEX('Lease Cycles'!$FO$15:$FU$15,1,AC129)*INDEX('Lease Cycles'!$EM$15:$ES$15,1,AC129)+'Lease Cycles'!$BE$15*IF(AC130&lt;INDEX('Lease Cycles'!$FA$15:$FG$15,1,AC129),0,1-INDEX('Lease Cycles'!$EM$15:$ES$15,1,AC129)),IF(OR(INDEX('Lease Cycles'!$DY$15:$EE$15,1,AC129)=1,AC130&gt;0),1,1-INDEX('Lease Cycles'!$DD$15:$DJ$15,1,AC129))*('Lease Cycles'!$AJ$15*INDEX('Lease Cycles'!$FO$15:$FU$15,1,AC129)+'Lease Cycles'!$BE$15*(1-INDEX('Lease Cycles'!$FO$15:$FU$15,1,AC129)))),0)</f>
        <v>0</v>
      </c>
      <c r="AD139" s="24">
        <f>IF(AD131=1,'Lease Cycles'!$D$15*IF(INDEX('Lease Cycles'!$EF$15:$EL$15,1,AD129)=1,'Lease Cycles'!$AJ$15*INDEX('Lease Cycles'!$FO$15:$FU$15,1,AD129)*INDEX('Lease Cycles'!$EM$15:$ES$15,1,AD129)+'Lease Cycles'!$BE$15*IF(AD130&lt;INDEX('Lease Cycles'!$FA$15:$FG$15,1,AD129),0,1-INDEX('Lease Cycles'!$EM$15:$ES$15,1,AD129)),IF(OR(INDEX('Lease Cycles'!$DY$15:$EE$15,1,AD129)=1,AD130&gt;0),1,1-INDEX('Lease Cycles'!$DD$15:$DJ$15,1,AD129))*('Lease Cycles'!$AJ$15*INDEX('Lease Cycles'!$FO$15:$FU$15,1,AD129)+'Lease Cycles'!$BE$15*(1-INDEX('Lease Cycles'!$FO$15:$FU$15,1,AD129)))),0)</f>
        <v>0</v>
      </c>
      <c r="AE139" s="24">
        <f>IF(AE131=1,'Lease Cycles'!$D$15*IF(INDEX('Lease Cycles'!$EF$15:$EL$15,1,AE129)=1,'Lease Cycles'!$AJ$15*INDEX('Lease Cycles'!$FO$15:$FU$15,1,AE129)*INDEX('Lease Cycles'!$EM$15:$ES$15,1,AE129)+'Lease Cycles'!$BE$15*IF(AE130&lt;INDEX('Lease Cycles'!$FA$15:$FG$15,1,AE129),0,1-INDEX('Lease Cycles'!$EM$15:$ES$15,1,AE129)),IF(OR(INDEX('Lease Cycles'!$DY$15:$EE$15,1,AE129)=1,AE130&gt;0),1,1-INDEX('Lease Cycles'!$DD$15:$DJ$15,1,AE129))*('Lease Cycles'!$AJ$15*INDEX('Lease Cycles'!$FO$15:$FU$15,1,AE129)+'Lease Cycles'!$BE$15*(1-INDEX('Lease Cycles'!$FO$15:$FU$15,1,AE129)))),0)</f>
        <v>0</v>
      </c>
      <c r="AF139" s="24">
        <f>IF(AF131=1,'Lease Cycles'!$D$15*IF(INDEX('Lease Cycles'!$EF$15:$EL$15,1,AF129)=1,'Lease Cycles'!$AJ$15*INDEX('Lease Cycles'!$FO$15:$FU$15,1,AF129)*INDEX('Lease Cycles'!$EM$15:$ES$15,1,AF129)+'Lease Cycles'!$BE$15*IF(AF130&lt;INDEX('Lease Cycles'!$FA$15:$FG$15,1,AF129),0,1-INDEX('Lease Cycles'!$EM$15:$ES$15,1,AF129)),IF(OR(INDEX('Lease Cycles'!$DY$15:$EE$15,1,AF129)=1,AF130&gt;0),1,1-INDEX('Lease Cycles'!$DD$15:$DJ$15,1,AF129))*('Lease Cycles'!$AJ$15*INDEX('Lease Cycles'!$FO$15:$FU$15,1,AF129)+'Lease Cycles'!$BE$15*(1-INDEX('Lease Cycles'!$FO$15:$FU$15,1,AF129)))),0)</f>
        <v>0</v>
      </c>
      <c r="AG139" s="24">
        <f>IF(AG131=1,'Lease Cycles'!$D$15*IF(INDEX('Lease Cycles'!$EF$15:$EL$15,1,AG129)=1,'Lease Cycles'!$AJ$15*INDEX('Lease Cycles'!$FO$15:$FU$15,1,AG129)*INDEX('Lease Cycles'!$EM$15:$ES$15,1,AG129)+'Lease Cycles'!$BE$15*IF(AG130&lt;INDEX('Lease Cycles'!$FA$15:$FG$15,1,AG129),0,1-INDEX('Lease Cycles'!$EM$15:$ES$15,1,AG129)),IF(OR(INDEX('Lease Cycles'!$DY$15:$EE$15,1,AG129)=1,AG130&gt;0),1,1-INDEX('Lease Cycles'!$DD$15:$DJ$15,1,AG129))*('Lease Cycles'!$AJ$15*INDEX('Lease Cycles'!$FO$15:$FU$15,1,AG129)+'Lease Cycles'!$BE$15*(1-INDEX('Lease Cycles'!$FO$15:$FU$15,1,AG129)))),0)</f>
        <v>0</v>
      </c>
      <c r="AH139" s="24">
        <f>IF(AH131=1,'Lease Cycles'!$D$15*IF(INDEX('Lease Cycles'!$EF$15:$EL$15,1,AH129)=1,'Lease Cycles'!$AJ$15*INDEX('Lease Cycles'!$FO$15:$FU$15,1,AH129)*INDEX('Lease Cycles'!$EM$15:$ES$15,1,AH129)+'Lease Cycles'!$BE$15*IF(AH130&lt;INDEX('Lease Cycles'!$FA$15:$FG$15,1,AH129),0,1-INDEX('Lease Cycles'!$EM$15:$ES$15,1,AH129)),IF(OR(INDEX('Lease Cycles'!$DY$15:$EE$15,1,AH129)=1,AH130&gt;0),1,1-INDEX('Lease Cycles'!$DD$15:$DJ$15,1,AH129))*('Lease Cycles'!$AJ$15*INDEX('Lease Cycles'!$FO$15:$FU$15,1,AH129)+'Lease Cycles'!$BE$15*(1-INDEX('Lease Cycles'!$FO$15:$FU$15,1,AH129)))),0)</f>
        <v>0</v>
      </c>
      <c r="AI139" s="24">
        <f>IF(AI131=1,'Lease Cycles'!$D$15*IF(INDEX('Lease Cycles'!$EF$15:$EL$15,1,AI129)=1,'Lease Cycles'!$AJ$15*INDEX('Lease Cycles'!$FO$15:$FU$15,1,AI129)*INDEX('Lease Cycles'!$EM$15:$ES$15,1,AI129)+'Lease Cycles'!$BE$15*IF(AI130&lt;INDEX('Lease Cycles'!$FA$15:$FG$15,1,AI129),0,1-INDEX('Lease Cycles'!$EM$15:$ES$15,1,AI129)),IF(OR(INDEX('Lease Cycles'!$DY$15:$EE$15,1,AI129)=1,AI130&gt;0),1,1-INDEX('Lease Cycles'!$DD$15:$DJ$15,1,AI129))*('Lease Cycles'!$AJ$15*INDEX('Lease Cycles'!$FO$15:$FU$15,1,AI129)+'Lease Cycles'!$BE$15*(1-INDEX('Lease Cycles'!$FO$15:$FU$15,1,AI129)))),0)</f>
        <v>0</v>
      </c>
      <c r="AJ139" s="24">
        <f>IF(AJ131=1,'Lease Cycles'!$D$15*IF(INDEX('Lease Cycles'!$EF$15:$EL$15,1,AJ129)=1,'Lease Cycles'!$AJ$15*INDEX('Lease Cycles'!$FO$15:$FU$15,1,AJ129)*INDEX('Lease Cycles'!$EM$15:$ES$15,1,AJ129)+'Lease Cycles'!$BE$15*IF(AJ130&lt;INDEX('Lease Cycles'!$FA$15:$FG$15,1,AJ129),0,1-INDEX('Lease Cycles'!$EM$15:$ES$15,1,AJ129)),IF(OR(INDEX('Lease Cycles'!$DY$15:$EE$15,1,AJ129)=1,AJ130&gt;0),1,1-INDEX('Lease Cycles'!$DD$15:$DJ$15,1,AJ129))*('Lease Cycles'!$AJ$15*INDEX('Lease Cycles'!$FO$15:$FU$15,1,AJ129)+'Lease Cycles'!$BE$15*(1-INDEX('Lease Cycles'!$FO$15:$FU$15,1,AJ129)))),0)</f>
        <v>0</v>
      </c>
      <c r="AK139" s="24">
        <f>IF(AK131=1,'Lease Cycles'!$D$15*IF(INDEX('Lease Cycles'!$EF$15:$EL$15,1,AK129)=1,'Lease Cycles'!$AJ$15*INDEX('Lease Cycles'!$FO$15:$FU$15,1,AK129)*INDEX('Lease Cycles'!$EM$15:$ES$15,1,AK129)+'Lease Cycles'!$BE$15*IF(AK130&lt;INDEX('Lease Cycles'!$FA$15:$FG$15,1,AK129),0,1-INDEX('Lease Cycles'!$EM$15:$ES$15,1,AK129)),IF(OR(INDEX('Lease Cycles'!$DY$15:$EE$15,1,AK129)=1,AK130&gt;0),1,1-INDEX('Lease Cycles'!$DD$15:$DJ$15,1,AK129))*('Lease Cycles'!$AJ$15*INDEX('Lease Cycles'!$FO$15:$FU$15,1,AK129)+'Lease Cycles'!$BE$15*(1-INDEX('Lease Cycles'!$FO$15:$FU$15,1,AK129)))),0)</f>
        <v>0</v>
      </c>
      <c r="AL139" s="24">
        <f>IF(AL131=1,'Lease Cycles'!$D$15*IF(INDEX('Lease Cycles'!$EF$15:$EL$15,1,AL129)=1,'Lease Cycles'!$AJ$15*INDEX('Lease Cycles'!$FO$15:$FU$15,1,AL129)*INDEX('Lease Cycles'!$EM$15:$ES$15,1,AL129)+'Lease Cycles'!$BE$15*IF(AL130&lt;INDEX('Lease Cycles'!$FA$15:$FG$15,1,AL129),0,1-INDEX('Lease Cycles'!$EM$15:$ES$15,1,AL129)),IF(OR(INDEX('Lease Cycles'!$DY$15:$EE$15,1,AL129)=1,AL130&gt;0),1,1-INDEX('Lease Cycles'!$DD$15:$DJ$15,1,AL129))*('Lease Cycles'!$AJ$15*INDEX('Lease Cycles'!$FO$15:$FU$15,1,AL129)+'Lease Cycles'!$BE$15*(1-INDEX('Lease Cycles'!$FO$15:$FU$15,1,AL129)))),0)</f>
        <v>0</v>
      </c>
      <c r="AM139" s="24">
        <f>IF(AM131=1,'Lease Cycles'!$D$15*IF(INDEX('Lease Cycles'!$EF$15:$EL$15,1,AM129)=1,'Lease Cycles'!$AJ$15*INDEX('Lease Cycles'!$FO$15:$FU$15,1,AM129)*INDEX('Lease Cycles'!$EM$15:$ES$15,1,AM129)+'Lease Cycles'!$BE$15*IF(AM130&lt;INDEX('Lease Cycles'!$FA$15:$FG$15,1,AM129),0,1-INDEX('Lease Cycles'!$EM$15:$ES$15,1,AM129)),IF(OR(INDEX('Lease Cycles'!$DY$15:$EE$15,1,AM129)=1,AM130&gt;0),1,1-INDEX('Lease Cycles'!$DD$15:$DJ$15,1,AM129))*('Lease Cycles'!$AJ$15*INDEX('Lease Cycles'!$FO$15:$FU$15,1,AM129)+'Lease Cycles'!$BE$15*(1-INDEX('Lease Cycles'!$FO$15:$FU$15,1,AM129)))),0)</f>
        <v>0</v>
      </c>
      <c r="AN139" s="24">
        <f>IF(AN131=1,'Lease Cycles'!$D$15*IF(INDEX('Lease Cycles'!$EF$15:$EL$15,1,AN129)=1,'Lease Cycles'!$AJ$15*INDEX('Lease Cycles'!$FO$15:$FU$15,1,AN129)*INDEX('Lease Cycles'!$EM$15:$ES$15,1,AN129)+'Lease Cycles'!$BE$15*IF(AN130&lt;INDEX('Lease Cycles'!$FA$15:$FG$15,1,AN129),0,1-INDEX('Lease Cycles'!$EM$15:$ES$15,1,AN129)),IF(OR(INDEX('Lease Cycles'!$DY$15:$EE$15,1,AN129)=1,AN130&gt;0),1,1-INDEX('Lease Cycles'!$DD$15:$DJ$15,1,AN129))*('Lease Cycles'!$AJ$15*INDEX('Lease Cycles'!$FO$15:$FU$15,1,AN129)+'Lease Cycles'!$BE$15*(1-INDEX('Lease Cycles'!$FO$15:$FU$15,1,AN129)))),0)</f>
        <v>0</v>
      </c>
      <c r="AO139" s="24">
        <f>IF(AO131=1,'Lease Cycles'!$D$15*IF(INDEX('Lease Cycles'!$EF$15:$EL$15,1,AO129)=1,'Lease Cycles'!$AJ$15*INDEX('Lease Cycles'!$FO$15:$FU$15,1,AO129)*INDEX('Lease Cycles'!$EM$15:$ES$15,1,AO129)+'Lease Cycles'!$BE$15*IF(AO130&lt;INDEX('Lease Cycles'!$FA$15:$FG$15,1,AO129),0,1-INDEX('Lease Cycles'!$EM$15:$ES$15,1,AO129)),IF(OR(INDEX('Lease Cycles'!$DY$15:$EE$15,1,AO129)=1,AO130&gt;0),1,1-INDEX('Lease Cycles'!$DD$15:$DJ$15,1,AO129))*('Lease Cycles'!$AJ$15*INDEX('Lease Cycles'!$FO$15:$FU$15,1,AO129)+'Lease Cycles'!$BE$15*(1-INDEX('Lease Cycles'!$FO$15:$FU$15,1,AO129)))),0)</f>
        <v>0</v>
      </c>
      <c r="AP139" s="24">
        <f>IF(AP131=1,'Lease Cycles'!$D$15*IF(INDEX('Lease Cycles'!$EF$15:$EL$15,1,AP129)=1,'Lease Cycles'!$AJ$15*INDEX('Lease Cycles'!$FO$15:$FU$15,1,AP129)*INDEX('Lease Cycles'!$EM$15:$ES$15,1,AP129)+'Lease Cycles'!$BE$15*IF(AP130&lt;INDEX('Lease Cycles'!$FA$15:$FG$15,1,AP129),0,1-INDEX('Lease Cycles'!$EM$15:$ES$15,1,AP129)),IF(OR(INDEX('Lease Cycles'!$DY$15:$EE$15,1,AP129)=1,AP130&gt;0),1,1-INDEX('Lease Cycles'!$DD$15:$DJ$15,1,AP129))*('Lease Cycles'!$AJ$15*INDEX('Lease Cycles'!$FO$15:$FU$15,1,AP129)+'Lease Cycles'!$BE$15*(1-INDEX('Lease Cycles'!$FO$15:$FU$15,1,AP129)))),0)</f>
        <v>0</v>
      </c>
      <c r="AQ139" s="24">
        <f>IF(AQ131=1,'Lease Cycles'!$D$15*IF(INDEX('Lease Cycles'!$EF$15:$EL$15,1,AQ129)=1,'Lease Cycles'!$AJ$15*INDEX('Lease Cycles'!$FO$15:$FU$15,1,AQ129)*INDEX('Lease Cycles'!$EM$15:$ES$15,1,AQ129)+'Lease Cycles'!$BE$15*IF(AQ130&lt;INDEX('Lease Cycles'!$FA$15:$FG$15,1,AQ129),0,1-INDEX('Lease Cycles'!$EM$15:$ES$15,1,AQ129)),IF(OR(INDEX('Lease Cycles'!$DY$15:$EE$15,1,AQ129)=1,AQ130&gt;0),1,1-INDEX('Lease Cycles'!$DD$15:$DJ$15,1,AQ129))*('Lease Cycles'!$AJ$15*INDEX('Lease Cycles'!$FO$15:$FU$15,1,AQ129)+'Lease Cycles'!$BE$15*(1-INDEX('Lease Cycles'!$FO$15:$FU$15,1,AQ129)))),0)</f>
        <v>0</v>
      </c>
      <c r="AR139" s="24">
        <f>IF(AR131=1,'Lease Cycles'!$D$15*IF(INDEX('Lease Cycles'!$EF$15:$EL$15,1,AR129)=1,'Lease Cycles'!$AJ$15*INDEX('Lease Cycles'!$FO$15:$FU$15,1,AR129)*INDEX('Lease Cycles'!$EM$15:$ES$15,1,AR129)+'Lease Cycles'!$BE$15*IF(AR130&lt;INDEX('Lease Cycles'!$FA$15:$FG$15,1,AR129),0,1-INDEX('Lease Cycles'!$EM$15:$ES$15,1,AR129)),IF(OR(INDEX('Lease Cycles'!$DY$15:$EE$15,1,AR129)=1,AR130&gt;0),1,1-INDEX('Lease Cycles'!$DD$15:$DJ$15,1,AR129))*('Lease Cycles'!$AJ$15*INDEX('Lease Cycles'!$FO$15:$FU$15,1,AR129)+'Lease Cycles'!$BE$15*(1-INDEX('Lease Cycles'!$FO$15:$FU$15,1,AR129)))),0)</f>
        <v>0</v>
      </c>
      <c r="AS139" s="24">
        <f>IF(AS131=1,'Lease Cycles'!$D$15*IF(INDEX('Lease Cycles'!$EF$15:$EL$15,1,AS129)=1,'Lease Cycles'!$AJ$15*INDEX('Lease Cycles'!$FO$15:$FU$15,1,AS129)*INDEX('Lease Cycles'!$EM$15:$ES$15,1,AS129)+'Lease Cycles'!$BE$15*IF(AS130&lt;INDEX('Lease Cycles'!$FA$15:$FG$15,1,AS129),0,1-INDEX('Lease Cycles'!$EM$15:$ES$15,1,AS129)),IF(OR(INDEX('Lease Cycles'!$DY$15:$EE$15,1,AS129)=1,AS130&gt;0),1,1-INDEX('Lease Cycles'!$DD$15:$DJ$15,1,AS129))*('Lease Cycles'!$AJ$15*INDEX('Lease Cycles'!$FO$15:$FU$15,1,AS129)+'Lease Cycles'!$BE$15*(1-INDEX('Lease Cycles'!$FO$15:$FU$15,1,AS129)))),0)</f>
        <v>0</v>
      </c>
      <c r="AT139" s="24">
        <f>IF(AT131=1,'Lease Cycles'!$D$15*IF(INDEX('Lease Cycles'!$EF$15:$EL$15,1,AT129)=1,'Lease Cycles'!$AJ$15*INDEX('Lease Cycles'!$FO$15:$FU$15,1,AT129)*INDEX('Lease Cycles'!$EM$15:$ES$15,1,AT129)+'Lease Cycles'!$BE$15*IF(AT130&lt;INDEX('Lease Cycles'!$FA$15:$FG$15,1,AT129),0,1-INDEX('Lease Cycles'!$EM$15:$ES$15,1,AT129)),IF(OR(INDEX('Lease Cycles'!$DY$15:$EE$15,1,AT129)=1,AT130&gt;0),1,1-INDEX('Lease Cycles'!$DD$15:$DJ$15,1,AT129))*('Lease Cycles'!$AJ$15*INDEX('Lease Cycles'!$FO$15:$FU$15,1,AT129)+'Lease Cycles'!$BE$15*(1-INDEX('Lease Cycles'!$FO$15:$FU$15,1,AT129)))),0)</f>
        <v>0</v>
      </c>
      <c r="AU139" s="24">
        <f>IF(AU131=1,'Lease Cycles'!$D$15*IF(INDEX('Lease Cycles'!$EF$15:$EL$15,1,AU129)=1,'Lease Cycles'!$AJ$15*INDEX('Lease Cycles'!$FO$15:$FU$15,1,AU129)*INDEX('Lease Cycles'!$EM$15:$ES$15,1,AU129)+'Lease Cycles'!$BE$15*IF(AU130&lt;INDEX('Lease Cycles'!$FA$15:$FG$15,1,AU129),0,1-INDEX('Lease Cycles'!$EM$15:$ES$15,1,AU129)),IF(OR(INDEX('Lease Cycles'!$DY$15:$EE$15,1,AU129)=1,AU130&gt;0),1,1-INDEX('Lease Cycles'!$DD$15:$DJ$15,1,AU129))*('Lease Cycles'!$AJ$15*INDEX('Lease Cycles'!$FO$15:$FU$15,1,AU129)+'Lease Cycles'!$BE$15*(1-INDEX('Lease Cycles'!$FO$15:$FU$15,1,AU129)))),0)</f>
        <v>0</v>
      </c>
      <c r="AV139" s="24">
        <f>IF(AV131=1,'Lease Cycles'!$D$15*IF(INDEX('Lease Cycles'!$EF$15:$EL$15,1,AV129)=1,'Lease Cycles'!$AJ$15*INDEX('Lease Cycles'!$FO$15:$FU$15,1,AV129)*INDEX('Lease Cycles'!$EM$15:$ES$15,1,AV129)+'Lease Cycles'!$BE$15*IF(AV130&lt;INDEX('Lease Cycles'!$FA$15:$FG$15,1,AV129),0,1-INDEX('Lease Cycles'!$EM$15:$ES$15,1,AV129)),IF(OR(INDEX('Lease Cycles'!$DY$15:$EE$15,1,AV129)=1,AV130&gt;0),1,1-INDEX('Lease Cycles'!$DD$15:$DJ$15,1,AV129))*('Lease Cycles'!$AJ$15*INDEX('Lease Cycles'!$FO$15:$FU$15,1,AV129)+'Lease Cycles'!$BE$15*(1-INDEX('Lease Cycles'!$FO$15:$FU$15,1,AV129)))),0)</f>
        <v>0</v>
      </c>
      <c r="AW139" s="24">
        <f>IF(AW131=1,'Lease Cycles'!$D$15*IF(INDEX('Lease Cycles'!$EF$15:$EL$15,1,AW129)=1,'Lease Cycles'!$AJ$15*INDEX('Lease Cycles'!$FO$15:$FU$15,1,AW129)*INDEX('Lease Cycles'!$EM$15:$ES$15,1,AW129)+'Lease Cycles'!$BE$15*IF(AW130&lt;INDEX('Lease Cycles'!$FA$15:$FG$15,1,AW129),0,1-INDEX('Lease Cycles'!$EM$15:$ES$15,1,AW129)),IF(OR(INDEX('Lease Cycles'!$DY$15:$EE$15,1,AW129)=1,AW130&gt;0),1,1-INDEX('Lease Cycles'!$DD$15:$DJ$15,1,AW129))*('Lease Cycles'!$AJ$15*INDEX('Lease Cycles'!$FO$15:$FU$15,1,AW129)+'Lease Cycles'!$BE$15*(1-INDEX('Lease Cycles'!$FO$15:$FU$15,1,AW129)))),0)</f>
        <v>0</v>
      </c>
      <c r="AX139" s="24">
        <f>IF(AX131=1,'Lease Cycles'!$D$15*IF(INDEX('Lease Cycles'!$EF$15:$EL$15,1,AX129)=1,'Lease Cycles'!$AJ$15*INDEX('Lease Cycles'!$FO$15:$FU$15,1,AX129)*INDEX('Lease Cycles'!$EM$15:$ES$15,1,AX129)+'Lease Cycles'!$BE$15*IF(AX130&lt;INDEX('Lease Cycles'!$FA$15:$FG$15,1,AX129),0,1-INDEX('Lease Cycles'!$EM$15:$ES$15,1,AX129)),IF(OR(INDEX('Lease Cycles'!$DY$15:$EE$15,1,AX129)=1,AX130&gt;0),1,1-INDEX('Lease Cycles'!$DD$15:$DJ$15,1,AX129))*('Lease Cycles'!$AJ$15*INDEX('Lease Cycles'!$FO$15:$FU$15,1,AX129)+'Lease Cycles'!$BE$15*(1-INDEX('Lease Cycles'!$FO$15:$FU$15,1,AX129)))),0)</f>
        <v>0</v>
      </c>
      <c r="AY139" s="24">
        <f>IF(AY131=1,'Lease Cycles'!$D$15*IF(INDEX('Lease Cycles'!$EF$15:$EL$15,1,AY129)=1,'Lease Cycles'!$AJ$15*INDEX('Lease Cycles'!$FO$15:$FU$15,1,AY129)*INDEX('Lease Cycles'!$EM$15:$ES$15,1,AY129)+'Lease Cycles'!$BE$15*IF(AY130&lt;INDEX('Lease Cycles'!$FA$15:$FG$15,1,AY129),0,1-INDEX('Lease Cycles'!$EM$15:$ES$15,1,AY129)),IF(OR(INDEX('Lease Cycles'!$DY$15:$EE$15,1,AY129)=1,AY130&gt;0),1,1-INDEX('Lease Cycles'!$DD$15:$DJ$15,1,AY129))*('Lease Cycles'!$AJ$15*INDEX('Lease Cycles'!$FO$15:$FU$15,1,AY129)+'Lease Cycles'!$BE$15*(1-INDEX('Lease Cycles'!$FO$15:$FU$15,1,AY129)))),0)</f>
        <v>0</v>
      </c>
      <c r="AZ139" s="24">
        <f>IF(AZ131=1,'Lease Cycles'!$D$15*IF(INDEX('Lease Cycles'!$EF$15:$EL$15,1,AZ129)=1,'Lease Cycles'!$AJ$15*INDEX('Lease Cycles'!$FO$15:$FU$15,1,AZ129)*INDEX('Lease Cycles'!$EM$15:$ES$15,1,AZ129)+'Lease Cycles'!$BE$15*IF(AZ130&lt;INDEX('Lease Cycles'!$FA$15:$FG$15,1,AZ129),0,1-INDEX('Lease Cycles'!$EM$15:$ES$15,1,AZ129)),IF(OR(INDEX('Lease Cycles'!$DY$15:$EE$15,1,AZ129)=1,AZ130&gt;0),1,1-INDEX('Lease Cycles'!$DD$15:$DJ$15,1,AZ129))*('Lease Cycles'!$AJ$15*INDEX('Lease Cycles'!$FO$15:$FU$15,1,AZ129)+'Lease Cycles'!$BE$15*(1-INDEX('Lease Cycles'!$FO$15:$FU$15,1,AZ129)))),0)</f>
        <v>0</v>
      </c>
      <c r="BA139" s="24">
        <f>IF(BA131=1,'Lease Cycles'!$D$15*IF(INDEX('Lease Cycles'!$EF$15:$EL$15,1,BA129)=1,'Lease Cycles'!$AJ$15*INDEX('Lease Cycles'!$FO$15:$FU$15,1,BA129)*INDEX('Lease Cycles'!$EM$15:$ES$15,1,BA129)+'Lease Cycles'!$BE$15*IF(BA130&lt;INDEX('Lease Cycles'!$FA$15:$FG$15,1,BA129),0,1-INDEX('Lease Cycles'!$EM$15:$ES$15,1,BA129)),IF(OR(INDEX('Lease Cycles'!$DY$15:$EE$15,1,BA129)=1,BA130&gt;0),1,1-INDEX('Lease Cycles'!$DD$15:$DJ$15,1,BA129))*('Lease Cycles'!$AJ$15*INDEX('Lease Cycles'!$FO$15:$FU$15,1,BA129)+'Lease Cycles'!$BE$15*(1-INDEX('Lease Cycles'!$FO$15:$FU$15,1,BA129)))),0)</f>
        <v>0</v>
      </c>
      <c r="BB139" s="24">
        <f>IF(BB131=1,'Lease Cycles'!$D$15*IF(INDEX('Lease Cycles'!$EF$15:$EL$15,1,BB129)=1,'Lease Cycles'!$AJ$15*INDEX('Lease Cycles'!$FO$15:$FU$15,1,BB129)*INDEX('Lease Cycles'!$EM$15:$ES$15,1,BB129)+'Lease Cycles'!$BE$15*IF(BB130&lt;INDEX('Lease Cycles'!$FA$15:$FG$15,1,BB129),0,1-INDEX('Lease Cycles'!$EM$15:$ES$15,1,BB129)),IF(OR(INDEX('Lease Cycles'!$DY$15:$EE$15,1,BB129)=1,BB130&gt;0),1,1-INDEX('Lease Cycles'!$DD$15:$DJ$15,1,BB129))*('Lease Cycles'!$AJ$15*INDEX('Lease Cycles'!$FO$15:$FU$15,1,BB129)+'Lease Cycles'!$BE$15*(1-INDEX('Lease Cycles'!$FO$15:$FU$15,1,BB129)))),0)</f>
        <v>0</v>
      </c>
      <c r="BC139" s="24">
        <f>IF(BC131=1,'Lease Cycles'!$D$15*IF(INDEX('Lease Cycles'!$EF$15:$EL$15,1,BC129)=1,'Lease Cycles'!$AJ$15*INDEX('Lease Cycles'!$FO$15:$FU$15,1,BC129)*INDEX('Lease Cycles'!$EM$15:$ES$15,1,BC129)+'Lease Cycles'!$BE$15*IF(BC130&lt;INDEX('Lease Cycles'!$FA$15:$FG$15,1,BC129),0,1-INDEX('Lease Cycles'!$EM$15:$ES$15,1,BC129)),IF(OR(INDEX('Lease Cycles'!$DY$15:$EE$15,1,BC129)=1,BC130&gt;0),1,1-INDEX('Lease Cycles'!$DD$15:$DJ$15,1,BC129))*('Lease Cycles'!$AJ$15*INDEX('Lease Cycles'!$FO$15:$FU$15,1,BC129)+'Lease Cycles'!$BE$15*(1-INDEX('Lease Cycles'!$FO$15:$FU$15,1,BC129)))),0)</f>
        <v>0</v>
      </c>
      <c r="BD139" s="24">
        <f>IF(BD131=1,'Lease Cycles'!$D$15*IF(INDEX('Lease Cycles'!$EF$15:$EL$15,1,BD129)=1,'Lease Cycles'!$AJ$15*INDEX('Lease Cycles'!$FO$15:$FU$15,1,BD129)*INDEX('Lease Cycles'!$EM$15:$ES$15,1,BD129)+'Lease Cycles'!$BE$15*IF(BD130&lt;INDEX('Lease Cycles'!$FA$15:$FG$15,1,BD129),0,1-INDEX('Lease Cycles'!$EM$15:$ES$15,1,BD129)),IF(OR(INDEX('Lease Cycles'!$DY$15:$EE$15,1,BD129)=1,BD130&gt;0),1,1-INDEX('Lease Cycles'!$DD$15:$DJ$15,1,BD129))*('Lease Cycles'!$AJ$15*INDEX('Lease Cycles'!$FO$15:$FU$15,1,BD129)+'Lease Cycles'!$BE$15*(1-INDEX('Lease Cycles'!$FO$15:$FU$15,1,BD129)))),0)</f>
        <v>0</v>
      </c>
      <c r="BE139" s="24">
        <f>IF(BE131=1,'Lease Cycles'!$D$15*IF(INDEX('Lease Cycles'!$EF$15:$EL$15,1,BE129)=1,'Lease Cycles'!$AJ$15*INDEX('Lease Cycles'!$FO$15:$FU$15,1,BE129)*INDEX('Lease Cycles'!$EM$15:$ES$15,1,BE129)+'Lease Cycles'!$BE$15*IF(BE130&lt;INDEX('Lease Cycles'!$FA$15:$FG$15,1,BE129),0,1-INDEX('Lease Cycles'!$EM$15:$ES$15,1,BE129)),IF(OR(INDEX('Lease Cycles'!$DY$15:$EE$15,1,BE129)=1,BE130&gt;0),1,1-INDEX('Lease Cycles'!$DD$15:$DJ$15,1,BE129))*('Lease Cycles'!$AJ$15*INDEX('Lease Cycles'!$FO$15:$FU$15,1,BE129)+'Lease Cycles'!$BE$15*(1-INDEX('Lease Cycles'!$FO$15:$FU$15,1,BE129)))),0)</f>
        <v>0</v>
      </c>
      <c r="BF139" s="24">
        <f>IF(BF131=1,'Lease Cycles'!$D$15*IF(INDEX('Lease Cycles'!$EF$15:$EL$15,1,BF129)=1,'Lease Cycles'!$AJ$15*INDEX('Lease Cycles'!$FO$15:$FU$15,1,BF129)*INDEX('Lease Cycles'!$EM$15:$ES$15,1,BF129)+'Lease Cycles'!$BE$15*IF(BF130&lt;INDEX('Lease Cycles'!$FA$15:$FG$15,1,BF129),0,1-INDEX('Lease Cycles'!$EM$15:$ES$15,1,BF129)),IF(OR(INDEX('Lease Cycles'!$DY$15:$EE$15,1,BF129)=1,BF130&gt;0),1,1-INDEX('Lease Cycles'!$DD$15:$DJ$15,1,BF129))*('Lease Cycles'!$AJ$15*INDEX('Lease Cycles'!$FO$15:$FU$15,1,BF129)+'Lease Cycles'!$BE$15*(1-INDEX('Lease Cycles'!$FO$15:$FU$15,1,BF129)))),0)</f>
        <v>0</v>
      </c>
      <c r="BG139" s="24">
        <f>IF(BG131=1,'Lease Cycles'!$D$15*IF(INDEX('Lease Cycles'!$EF$15:$EL$15,1,BG129)=1,'Lease Cycles'!$AJ$15*INDEX('Lease Cycles'!$FO$15:$FU$15,1,BG129)*INDEX('Lease Cycles'!$EM$15:$ES$15,1,BG129)+'Lease Cycles'!$BE$15*IF(BG130&lt;INDEX('Lease Cycles'!$FA$15:$FG$15,1,BG129),0,1-INDEX('Lease Cycles'!$EM$15:$ES$15,1,BG129)),IF(OR(INDEX('Lease Cycles'!$DY$15:$EE$15,1,BG129)=1,BG130&gt;0),1,1-INDEX('Lease Cycles'!$DD$15:$DJ$15,1,BG129))*('Lease Cycles'!$AJ$15*INDEX('Lease Cycles'!$FO$15:$FU$15,1,BG129)+'Lease Cycles'!$BE$15*(1-INDEX('Lease Cycles'!$FO$15:$FU$15,1,BG129)))),0)</f>
        <v>0</v>
      </c>
      <c r="BH139" s="24">
        <f>IF(BH131=1,'Lease Cycles'!$D$15*IF(INDEX('Lease Cycles'!$EF$15:$EL$15,1,BH129)=1,'Lease Cycles'!$AJ$15*INDEX('Lease Cycles'!$FO$15:$FU$15,1,BH129)*INDEX('Lease Cycles'!$EM$15:$ES$15,1,BH129)+'Lease Cycles'!$BE$15*IF(BH130&lt;INDEX('Lease Cycles'!$FA$15:$FG$15,1,BH129),0,1-INDEX('Lease Cycles'!$EM$15:$ES$15,1,BH129)),IF(OR(INDEX('Lease Cycles'!$DY$15:$EE$15,1,BH129)=1,BH130&gt;0),1,1-INDEX('Lease Cycles'!$DD$15:$DJ$15,1,BH129))*('Lease Cycles'!$AJ$15*INDEX('Lease Cycles'!$FO$15:$FU$15,1,BH129)+'Lease Cycles'!$BE$15*(1-INDEX('Lease Cycles'!$FO$15:$FU$15,1,BH129)))),0)</f>
        <v>0</v>
      </c>
      <c r="BI139" s="24">
        <f>IF(BI131=1,'Lease Cycles'!$D$15*IF(INDEX('Lease Cycles'!$EF$15:$EL$15,1,BI129)=1,'Lease Cycles'!$AJ$15*INDEX('Lease Cycles'!$FO$15:$FU$15,1,BI129)*INDEX('Lease Cycles'!$EM$15:$ES$15,1,BI129)+'Lease Cycles'!$BE$15*IF(BI130&lt;INDEX('Lease Cycles'!$FA$15:$FG$15,1,BI129),0,1-INDEX('Lease Cycles'!$EM$15:$ES$15,1,BI129)),IF(OR(INDEX('Lease Cycles'!$DY$15:$EE$15,1,BI129)=1,BI130&gt;0),1,1-INDEX('Lease Cycles'!$DD$15:$DJ$15,1,BI129))*('Lease Cycles'!$AJ$15*INDEX('Lease Cycles'!$FO$15:$FU$15,1,BI129)+'Lease Cycles'!$BE$15*(1-INDEX('Lease Cycles'!$FO$15:$FU$15,1,BI129)))),0)</f>
        <v>0</v>
      </c>
      <c r="BJ139" s="24">
        <f>IF(BJ131=1,'Lease Cycles'!$D$15*IF(INDEX('Lease Cycles'!$EF$15:$EL$15,1,BJ129)=1,'Lease Cycles'!$AJ$15*INDEX('Lease Cycles'!$FO$15:$FU$15,1,BJ129)*INDEX('Lease Cycles'!$EM$15:$ES$15,1,BJ129)+'Lease Cycles'!$BE$15*IF(BJ130&lt;INDEX('Lease Cycles'!$FA$15:$FG$15,1,BJ129),0,1-INDEX('Lease Cycles'!$EM$15:$ES$15,1,BJ129)),IF(OR(INDEX('Lease Cycles'!$DY$15:$EE$15,1,BJ129)=1,BJ130&gt;0),1,1-INDEX('Lease Cycles'!$DD$15:$DJ$15,1,BJ129))*('Lease Cycles'!$AJ$15*INDEX('Lease Cycles'!$FO$15:$FU$15,1,BJ129)+'Lease Cycles'!$BE$15*(1-INDEX('Lease Cycles'!$FO$15:$FU$15,1,BJ129)))),0)</f>
        <v>0</v>
      </c>
      <c r="BK139" s="24">
        <f>IF(BK131=1,'Lease Cycles'!$D$15*IF(INDEX('Lease Cycles'!$EF$15:$EL$15,1,BK129)=1,'Lease Cycles'!$AJ$15*INDEX('Lease Cycles'!$FO$15:$FU$15,1,BK129)*INDEX('Lease Cycles'!$EM$15:$ES$15,1,BK129)+'Lease Cycles'!$BE$15*IF(BK130&lt;INDEX('Lease Cycles'!$FA$15:$FG$15,1,BK129),0,1-INDEX('Lease Cycles'!$EM$15:$ES$15,1,BK129)),IF(OR(INDEX('Lease Cycles'!$DY$15:$EE$15,1,BK129)=1,BK130&gt;0),1,1-INDEX('Lease Cycles'!$DD$15:$DJ$15,1,BK129))*('Lease Cycles'!$AJ$15*INDEX('Lease Cycles'!$FO$15:$FU$15,1,BK129)+'Lease Cycles'!$BE$15*(1-INDEX('Lease Cycles'!$FO$15:$FU$15,1,BK129)))),0)</f>
        <v>0</v>
      </c>
      <c r="BL139" s="24">
        <f>IF(BL131=1,'Lease Cycles'!$D$15*IF(INDEX('Lease Cycles'!$EF$15:$EL$15,1,BL129)=1,'Lease Cycles'!$AJ$15*INDEX('Lease Cycles'!$FO$15:$FU$15,1,BL129)*INDEX('Lease Cycles'!$EM$15:$ES$15,1,BL129)+'Lease Cycles'!$BE$15*IF(BL130&lt;INDEX('Lease Cycles'!$FA$15:$FG$15,1,BL129),0,1-INDEX('Lease Cycles'!$EM$15:$ES$15,1,BL129)),IF(OR(INDEX('Lease Cycles'!$DY$15:$EE$15,1,BL129)=1,BL130&gt;0),1,1-INDEX('Lease Cycles'!$DD$15:$DJ$15,1,BL129))*('Lease Cycles'!$AJ$15*INDEX('Lease Cycles'!$FO$15:$FU$15,1,BL129)+'Lease Cycles'!$BE$15*(1-INDEX('Lease Cycles'!$FO$15:$FU$15,1,BL129)))),0)</f>
        <v>0</v>
      </c>
      <c r="BM139" s="24">
        <f>IF(BM131=1,'Lease Cycles'!$D$15*IF(INDEX('Lease Cycles'!$EF$15:$EL$15,1,BM129)=1,'Lease Cycles'!$AJ$15*INDEX('Lease Cycles'!$FO$15:$FU$15,1,BM129)*INDEX('Lease Cycles'!$EM$15:$ES$15,1,BM129)+'Lease Cycles'!$BE$15*IF(BM130&lt;INDEX('Lease Cycles'!$FA$15:$FG$15,1,BM129),0,1-INDEX('Lease Cycles'!$EM$15:$ES$15,1,BM129)),IF(OR(INDEX('Lease Cycles'!$DY$15:$EE$15,1,BM129)=1,BM130&gt;0),1,1-INDEX('Lease Cycles'!$DD$15:$DJ$15,1,BM129))*('Lease Cycles'!$AJ$15*INDEX('Lease Cycles'!$FO$15:$FU$15,1,BM129)+'Lease Cycles'!$BE$15*(1-INDEX('Lease Cycles'!$FO$15:$FU$15,1,BM129)))),0)</f>
        <v>0</v>
      </c>
      <c r="BN139" s="24">
        <f>IF(BN131=1,'Lease Cycles'!$D$15*IF(INDEX('Lease Cycles'!$EF$15:$EL$15,1,BN129)=1,'Lease Cycles'!$AJ$15*INDEX('Lease Cycles'!$FO$15:$FU$15,1,BN129)*INDEX('Lease Cycles'!$EM$15:$ES$15,1,BN129)+'Lease Cycles'!$BE$15*IF(BN130&lt;INDEX('Lease Cycles'!$FA$15:$FG$15,1,BN129),0,1-INDEX('Lease Cycles'!$EM$15:$ES$15,1,BN129)),IF(OR(INDEX('Lease Cycles'!$DY$15:$EE$15,1,BN129)=1,BN130&gt;0),1,1-INDEX('Lease Cycles'!$DD$15:$DJ$15,1,BN129))*('Lease Cycles'!$AJ$15*INDEX('Lease Cycles'!$FO$15:$FU$15,1,BN129)+'Lease Cycles'!$BE$15*(1-INDEX('Lease Cycles'!$FO$15:$FU$15,1,BN129)))),0)</f>
        <v>0</v>
      </c>
      <c r="BO139" s="24">
        <f>IF(BO131=1,'Lease Cycles'!$D$15*IF(INDEX('Lease Cycles'!$EF$15:$EL$15,1,BO129)=1,'Lease Cycles'!$AJ$15*INDEX('Lease Cycles'!$FO$15:$FU$15,1,BO129)*INDEX('Lease Cycles'!$EM$15:$ES$15,1,BO129)+'Lease Cycles'!$BE$15*IF(BO130&lt;INDEX('Lease Cycles'!$FA$15:$FG$15,1,BO129),0,1-INDEX('Lease Cycles'!$EM$15:$ES$15,1,BO129)),IF(OR(INDEX('Lease Cycles'!$DY$15:$EE$15,1,BO129)=1,BO130&gt;0),1,1-INDEX('Lease Cycles'!$DD$15:$DJ$15,1,BO129))*('Lease Cycles'!$AJ$15*INDEX('Lease Cycles'!$FO$15:$FU$15,1,BO129)+'Lease Cycles'!$BE$15*(1-INDEX('Lease Cycles'!$FO$15:$FU$15,1,BO129)))),0)</f>
        <v>0</v>
      </c>
      <c r="BP139" s="24">
        <f>IF(BP131=1,'Lease Cycles'!$D$15*IF(INDEX('Lease Cycles'!$EF$15:$EL$15,1,BP129)=1,'Lease Cycles'!$AJ$15*INDEX('Lease Cycles'!$FO$15:$FU$15,1,BP129)*INDEX('Lease Cycles'!$EM$15:$ES$15,1,BP129)+'Lease Cycles'!$BE$15*IF(BP130&lt;INDEX('Lease Cycles'!$FA$15:$FG$15,1,BP129),0,1-INDEX('Lease Cycles'!$EM$15:$ES$15,1,BP129)),IF(OR(INDEX('Lease Cycles'!$DY$15:$EE$15,1,BP129)=1,BP130&gt;0),1,1-INDEX('Lease Cycles'!$DD$15:$DJ$15,1,BP129))*('Lease Cycles'!$AJ$15*INDEX('Lease Cycles'!$FO$15:$FU$15,1,BP129)+'Lease Cycles'!$BE$15*(1-INDEX('Lease Cycles'!$FO$15:$FU$15,1,BP129)))),0)</f>
        <v>0</v>
      </c>
      <c r="BQ139" s="24">
        <f>IF(BQ131=1,'Lease Cycles'!$D$15*IF(INDEX('Lease Cycles'!$EF$15:$EL$15,1,BQ129)=1,'Lease Cycles'!$AJ$15*INDEX('Lease Cycles'!$FO$15:$FU$15,1,BQ129)*INDEX('Lease Cycles'!$EM$15:$ES$15,1,BQ129)+'Lease Cycles'!$BE$15*IF(BQ130&lt;INDEX('Lease Cycles'!$FA$15:$FG$15,1,BQ129),0,1-INDEX('Lease Cycles'!$EM$15:$ES$15,1,BQ129)),IF(OR(INDEX('Lease Cycles'!$DY$15:$EE$15,1,BQ129)=1,BQ130&gt;0),1,1-INDEX('Lease Cycles'!$DD$15:$DJ$15,1,BQ129))*('Lease Cycles'!$AJ$15*INDEX('Lease Cycles'!$FO$15:$FU$15,1,BQ129)+'Lease Cycles'!$BE$15*(1-INDEX('Lease Cycles'!$FO$15:$FU$15,1,BQ129)))),0)</f>
        <v>0</v>
      </c>
      <c r="BR139" s="24">
        <f>IF(BR131=1,'Lease Cycles'!$D$15*IF(INDEX('Lease Cycles'!$EF$15:$EL$15,1,BR129)=1,'Lease Cycles'!$AJ$15*INDEX('Lease Cycles'!$FO$15:$FU$15,1,BR129)*INDEX('Lease Cycles'!$EM$15:$ES$15,1,BR129)+'Lease Cycles'!$BE$15*IF(BR130&lt;INDEX('Lease Cycles'!$FA$15:$FG$15,1,BR129),0,1-INDEX('Lease Cycles'!$EM$15:$ES$15,1,BR129)),IF(OR(INDEX('Lease Cycles'!$DY$15:$EE$15,1,BR129)=1,BR130&gt;0),1,1-INDEX('Lease Cycles'!$DD$15:$DJ$15,1,BR129))*('Lease Cycles'!$AJ$15*INDEX('Lease Cycles'!$FO$15:$FU$15,1,BR129)+'Lease Cycles'!$BE$15*(1-INDEX('Lease Cycles'!$FO$15:$FU$15,1,BR129)))),0)</f>
        <v>0</v>
      </c>
      <c r="BS139" s="24">
        <f>IF(BS131=1,'Lease Cycles'!$D$15*IF(INDEX('Lease Cycles'!$EF$15:$EL$15,1,BS129)=1,'Lease Cycles'!$AJ$15*INDEX('Lease Cycles'!$FO$15:$FU$15,1,BS129)*INDEX('Lease Cycles'!$EM$15:$ES$15,1,BS129)+'Lease Cycles'!$BE$15*IF(BS130&lt;INDEX('Lease Cycles'!$FA$15:$FG$15,1,BS129),0,1-INDEX('Lease Cycles'!$EM$15:$ES$15,1,BS129)),IF(OR(INDEX('Lease Cycles'!$DY$15:$EE$15,1,BS129)=1,BS130&gt;0),1,1-INDEX('Lease Cycles'!$DD$15:$DJ$15,1,BS129))*('Lease Cycles'!$AJ$15*INDEX('Lease Cycles'!$FO$15:$FU$15,1,BS129)+'Lease Cycles'!$BE$15*(1-INDEX('Lease Cycles'!$FO$15:$FU$15,1,BS129)))),0)</f>
        <v>0</v>
      </c>
      <c r="BT139" s="24">
        <f>IF(BT131=1,'Lease Cycles'!$D$15*IF(INDEX('Lease Cycles'!$EF$15:$EL$15,1,BT129)=1,'Lease Cycles'!$AJ$15*INDEX('Lease Cycles'!$FO$15:$FU$15,1,BT129)*INDEX('Lease Cycles'!$EM$15:$ES$15,1,BT129)+'Lease Cycles'!$BE$15*IF(BT130&lt;INDEX('Lease Cycles'!$FA$15:$FG$15,1,BT129),0,1-INDEX('Lease Cycles'!$EM$15:$ES$15,1,BT129)),IF(OR(INDEX('Lease Cycles'!$DY$15:$EE$15,1,BT129)=1,BT130&gt;0),1,1-INDEX('Lease Cycles'!$DD$15:$DJ$15,1,BT129))*('Lease Cycles'!$AJ$15*INDEX('Lease Cycles'!$FO$15:$FU$15,1,BT129)+'Lease Cycles'!$BE$15*(1-INDEX('Lease Cycles'!$FO$15:$FU$15,1,BT129)))),0)</f>
        <v>0</v>
      </c>
      <c r="BU139" s="24">
        <f>IF(BU131=1,'Lease Cycles'!$D$15*IF(INDEX('Lease Cycles'!$EF$15:$EL$15,1,BU129)=1,'Lease Cycles'!$AJ$15*INDEX('Lease Cycles'!$FO$15:$FU$15,1,BU129)*INDEX('Lease Cycles'!$EM$15:$ES$15,1,BU129)+'Lease Cycles'!$BE$15*IF(BU130&lt;INDEX('Lease Cycles'!$FA$15:$FG$15,1,BU129),0,1-INDEX('Lease Cycles'!$EM$15:$ES$15,1,BU129)),IF(OR(INDEX('Lease Cycles'!$DY$15:$EE$15,1,BU129)=1,BU130&gt;0),1,1-INDEX('Lease Cycles'!$DD$15:$DJ$15,1,BU129))*('Lease Cycles'!$AJ$15*INDEX('Lease Cycles'!$FO$15:$FU$15,1,BU129)+'Lease Cycles'!$BE$15*(1-INDEX('Lease Cycles'!$FO$15:$FU$15,1,BU129)))),0)</f>
        <v>0</v>
      </c>
      <c r="BV139" s="24">
        <f>IF(BV131=1,'Lease Cycles'!$D$15*IF(INDEX('Lease Cycles'!$EF$15:$EL$15,1,BV129)=1,'Lease Cycles'!$AJ$15*INDEX('Lease Cycles'!$FO$15:$FU$15,1,BV129)*INDEX('Lease Cycles'!$EM$15:$ES$15,1,BV129)+'Lease Cycles'!$BE$15*IF(BV130&lt;INDEX('Lease Cycles'!$FA$15:$FG$15,1,BV129),0,1-INDEX('Lease Cycles'!$EM$15:$ES$15,1,BV129)),IF(OR(INDEX('Lease Cycles'!$DY$15:$EE$15,1,BV129)=1,BV130&gt;0),1,1-INDEX('Lease Cycles'!$DD$15:$DJ$15,1,BV129))*('Lease Cycles'!$AJ$15*INDEX('Lease Cycles'!$FO$15:$FU$15,1,BV129)+'Lease Cycles'!$BE$15*(1-INDEX('Lease Cycles'!$FO$15:$FU$15,1,BV129)))),0)</f>
        <v>0</v>
      </c>
      <c r="BW139" s="24">
        <f>IF(BW131=1,'Lease Cycles'!$D$15*IF(INDEX('Lease Cycles'!$EF$15:$EL$15,1,BW129)=1,'Lease Cycles'!$AJ$15*INDEX('Lease Cycles'!$FO$15:$FU$15,1,BW129)*INDEX('Lease Cycles'!$EM$15:$ES$15,1,BW129)+'Lease Cycles'!$BE$15*IF(BW130&lt;INDEX('Lease Cycles'!$FA$15:$FG$15,1,BW129),0,1-INDEX('Lease Cycles'!$EM$15:$ES$15,1,BW129)),IF(OR(INDEX('Lease Cycles'!$DY$15:$EE$15,1,BW129)=1,BW130&gt;0),1,1-INDEX('Lease Cycles'!$DD$15:$DJ$15,1,BW129))*('Lease Cycles'!$AJ$15*INDEX('Lease Cycles'!$FO$15:$FU$15,1,BW129)+'Lease Cycles'!$BE$15*(1-INDEX('Lease Cycles'!$FO$15:$FU$15,1,BW129)))),0)</f>
        <v>0</v>
      </c>
      <c r="BX139" s="24">
        <f>IF(BX131=1,'Lease Cycles'!$D$15*IF(INDEX('Lease Cycles'!$EF$15:$EL$15,1,BX129)=1,'Lease Cycles'!$AJ$15*INDEX('Lease Cycles'!$FO$15:$FU$15,1,BX129)*INDEX('Lease Cycles'!$EM$15:$ES$15,1,BX129)+'Lease Cycles'!$BE$15*IF(BX130&lt;INDEX('Lease Cycles'!$FA$15:$FG$15,1,BX129),0,1-INDEX('Lease Cycles'!$EM$15:$ES$15,1,BX129)),IF(OR(INDEX('Lease Cycles'!$DY$15:$EE$15,1,BX129)=1,BX130&gt;0),1,1-INDEX('Lease Cycles'!$DD$15:$DJ$15,1,BX129))*('Lease Cycles'!$AJ$15*INDEX('Lease Cycles'!$FO$15:$FU$15,1,BX129)+'Lease Cycles'!$BE$15*(1-INDEX('Lease Cycles'!$FO$15:$FU$15,1,BX129)))),0)</f>
        <v>0</v>
      </c>
      <c r="BY139" s="24">
        <f>IF(BY131=1,'Lease Cycles'!$D$15*IF(INDEX('Lease Cycles'!$EF$15:$EL$15,1,BY129)=1,'Lease Cycles'!$AJ$15*INDEX('Lease Cycles'!$FO$15:$FU$15,1,BY129)*INDEX('Lease Cycles'!$EM$15:$ES$15,1,BY129)+'Lease Cycles'!$BE$15*IF(BY130&lt;INDEX('Lease Cycles'!$FA$15:$FG$15,1,BY129),0,1-INDEX('Lease Cycles'!$EM$15:$ES$15,1,BY129)),IF(OR(INDEX('Lease Cycles'!$DY$15:$EE$15,1,BY129)=1,BY130&gt;0),1,1-INDEX('Lease Cycles'!$DD$15:$DJ$15,1,BY129))*('Lease Cycles'!$AJ$15*INDEX('Lease Cycles'!$FO$15:$FU$15,1,BY129)+'Lease Cycles'!$BE$15*(1-INDEX('Lease Cycles'!$FO$15:$FU$15,1,BY129)))),0)</f>
        <v>0</v>
      </c>
      <c r="BZ139" s="24">
        <f>IF(BZ131=1,'Lease Cycles'!$D$15*IF(INDEX('Lease Cycles'!$EF$15:$EL$15,1,BZ129)=1,'Lease Cycles'!$AJ$15*INDEX('Lease Cycles'!$FO$15:$FU$15,1,BZ129)*INDEX('Lease Cycles'!$EM$15:$ES$15,1,BZ129)+'Lease Cycles'!$BE$15*IF(BZ130&lt;INDEX('Lease Cycles'!$FA$15:$FG$15,1,BZ129),0,1-INDEX('Lease Cycles'!$EM$15:$ES$15,1,BZ129)),IF(OR(INDEX('Lease Cycles'!$DY$15:$EE$15,1,BZ129)=1,BZ130&gt;0),1,1-INDEX('Lease Cycles'!$DD$15:$DJ$15,1,BZ129))*('Lease Cycles'!$AJ$15*INDEX('Lease Cycles'!$FO$15:$FU$15,1,BZ129)+'Lease Cycles'!$BE$15*(1-INDEX('Lease Cycles'!$FO$15:$FU$15,1,BZ129)))),0)</f>
        <v>0</v>
      </c>
      <c r="CA139" s="24">
        <f>IF(CA131=1,'Lease Cycles'!$D$15*IF(INDEX('Lease Cycles'!$EF$15:$EL$15,1,CA129)=1,'Lease Cycles'!$AJ$15*INDEX('Lease Cycles'!$FO$15:$FU$15,1,CA129)*INDEX('Lease Cycles'!$EM$15:$ES$15,1,CA129)+'Lease Cycles'!$BE$15*IF(CA130&lt;INDEX('Lease Cycles'!$FA$15:$FG$15,1,CA129),0,1-INDEX('Lease Cycles'!$EM$15:$ES$15,1,CA129)),IF(OR(INDEX('Lease Cycles'!$DY$15:$EE$15,1,CA129)=1,CA130&gt;0),1,1-INDEX('Lease Cycles'!$DD$15:$DJ$15,1,CA129))*('Lease Cycles'!$AJ$15*INDEX('Lease Cycles'!$FO$15:$FU$15,1,CA129)+'Lease Cycles'!$BE$15*(1-INDEX('Lease Cycles'!$FO$15:$FU$15,1,CA129)))),0)</f>
        <v>0</v>
      </c>
      <c r="CB139" s="24">
        <f>IF(CB131=1,'Lease Cycles'!$D$15*IF(INDEX('Lease Cycles'!$EF$15:$EL$15,1,CB129)=1,'Lease Cycles'!$AJ$15*INDEX('Lease Cycles'!$FO$15:$FU$15,1,CB129)*INDEX('Lease Cycles'!$EM$15:$ES$15,1,CB129)+'Lease Cycles'!$BE$15*IF(CB130&lt;INDEX('Lease Cycles'!$FA$15:$FG$15,1,CB129),0,1-INDEX('Lease Cycles'!$EM$15:$ES$15,1,CB129)),IF(OR(INDEX('Lease Cycles'!$DY$15:$EE$15,1,CB129)=1,CB130&gt;0),1,1-INDEX('Lease Cycles'!$DD$15:$DJ$15,1,CB129))*('Lease Cycles'!$AJ$15*INDEX('Lease Cycles'!$FO$15:$FU$15,1,CB129)+'Lease Cycles'!$BE$15*(1-INDEX('Lease Cycles'!$FO$15:$FU$15,1,CB129)))),0)</f>
        <v>0</v>
      </c>
      <c r="CC139" s="24">
        <f>IF(CC131=1,'Lease Cycles'!$D$15*IF(INDEX('Lease Cycles'!$EF$15:$EL$15,1,CC129)=1,'Lease Cycles'!$AJ$15*INDEX('Lease Cycles'!$FO$15:$FU$15,1,CC129)*INDEX('Lease Cycles'!$EM$15:$ES$15,1,CC129)+'Lease Cycles'!$BE$15*IF(CC130&lt;INDEX('Lease Cycles'!$FA$15:$FG$15,1,CC129),0,1-INDEX('Lease Cycles'!$EM$15:$ES$15,1,CC129)),IF(OR(INDEX('Lease Cycles'!$DY$15:$EE$15,1,CC129)=1,CC130&gt;0),1,1-INDEX('Lease Cycles'!$DD$15:$DJ$15,1,CC129))*('Lease Cycles'!$AJ$15*INDEX('Lease Cycles'!$FO$15:$FU$15,1,CC129)+'Lease Cycles'!$BE$15*(1-INDEX('Lease Cycles'!$FO$15:$FU$15,1,CC129)))),0)</f>
        <v>0</v>
      </c>
      <c r="CD139" s="24">
        <f>IF(CD131=1,'Lease Cycles'!$D$15*IF(INDEX('Lease Cycles'!$EF$15:$EL$15,1,CD129)=1,'Lease Cycles'!$AJ$15*INDEX('Lease Cycles'!$FO$15:$FU$15,1,CD129)*INDEX('Lease Cycles'!$EM$15:$ES$15,1,CD129)+'Lease Cycles'!$BE$15*IF(CD130&lt;INDEX('Lease Cycles'!$FA$15:$FG$15,1,CD129),0,1-INDEX('Lease Cycles'!$EM$15:$ES$15,1,CD129)),IF(OR(INDEX('Lease Cycles'!$DY$15:$EE$15,1,CD129)=1,CD130&gt;0),1,1-INDEX('Lease Cycles'!$DD$15:$DJ$15,1,CD129))*('Lease Cycles'!$AJ$15*INDEX('Lease Cycles'!$FO$15:$FU$15,1,CD129)+'Lease Cycles'!$BE$15*(1-INDEX('Lease Cycles'!$FO$15:$FU$15,1,CD129)))),0)</f>
        <v>0</v>
      </c>
      <c r="CE139" s="24">
        <f>IF(CE131=1,'Lease Cycles'!$D$15*IF(INDEX('Lease Cycles'!$EF$15:$EL$15,1,CE129)=1,'Lease Cycles'!$AJ$15*INDEX('Lease Cycles'!$FO$15:$FU$15,1,CE129)*INDEX('Lease Cycles'!$EM$15:$ES$15,1,CE129)+'Lease Cycles'!$BE$15*IF(CE130&lt;INDEX('Lease Cycles'!$FA$15:$FG$15,1,CE129),0,1-INDEX('Lease Cycles'!$EM$15:$ES$15,1,CE129)),IF(OR(INDEX('Lease Cycles'!$DY$15:$EE$15,1,CE129)=1,CE130&gt;0),1,1-INDEX('Lease Cycles'!$DD$15:$DJ$15,1,CE129))*('Lease Cycles'!$AJ$15*INDEX('Lease Cycles'!$FO$15:$FU$15,1,CE129)+'Lease Cycles'!$BE$15*(1-INDEX('Lease Cycles'!$FO$15:$FU$15,1,CE129)))),0)</f>
        <v>0</v>
      </c>
      <c r="CF139" s="24">
        <f>IF(CF131=1,'Lease Cycles'!$D$15*IF(INDEX('Lease Cycles'!$EF$15:$EL$15,1,CF129)=1,'Lease Cycles'!$AJ$15*INDEX('Lease Cycles'!$FO$15:$FU$15,1,CF129)*INDEX('Lease Cycles'!$EM$15:$ES$15,1,CF129)+'Lease Cycles'!$BE$15*IF(CF130&lt;INDEX('Lease Cycles'!$FA$15:$FG$15,1,CF129),0,1-INDEX('Lease Cycles'!$EM$15:$ES$15,1,CF129)),IF(OR(INDEX('Lease Cycles'!$DY$15:$EE$15,1,CF129)=1,CF130&gt;0),1,1-INDEX('Lease Cycles'!$DD$15:$DJ$15,1,CF129))*('Lease Cycles'!$AJ$15*INDEX('Lease Cycles'!$FO$15:$FU$15,1,CF129)+'Lease Cycles'!$BE$15*(1-INDEX('Lease Cycles'!$FO$15:$FU$15,1,CF129)))),0)</f>
        <v>0</v>
      </c>
      <c r="CG139" s="24">
        <f>IF(CG131=1,'Lease Cycles'!$D$15*IF(INDEX('Lease Cycles'!$EF$15:$EL$15,1,CG129)=1,'Lease Cycles'!$AJ$15*INDEX('Lease Cycles'!$FO$15:$FU$15,1,CG129)*INDEX('Lease Cycles'!$EM$15:$ES$15,1,CG129)+'Lease Cycles'!$BE$15*IF(CG130&lt;INDEX('Lease Cycles'!$FA$15:$FG$15,1,CG129),0,1-INDEX('Lease Cycles'!$EM$15:$ES$15,1,CG129)),IF(OR(INDEX('Lease Cycles'!$DY$15:$EE$15,1,CG129)=1,CG130&gt;0),1,1-INDEX('Lease Cycles'!$DD$15:$DJ$15,1,CG129))*('Lease Cycles'!$AJ$15*INDEX('Lease Cycles'!$FO$15:$FU$15,1,CG129)+'Lease Cycles'!$BE$15*(1-INDEX('Lease Cycles'!$FO$15:$FU$15,1,CG129)))),0)</f>
        <v>0</v>
      </c>
      <c r="CH139" s="24">
        <f>IF(CH131=1,'Lease Cycles'!$D$15*IF(INDEX('Lease Cycles'!$EF$15:$EL$15,1,CH129)=1,'Lease Cycles'!$AJ$15*INDEX('Lease Cycles'!$FO$15:$FU$15,1,CH129)*INDEX('Lease Cycles'!$EM$15:$ES$15,1,CH129)+'Lease Cycles'!$BE$15*IF(CH130&lt;INDEX('Lease Cycles'!$FA$15:$FG$15,1,CH129),0,1-INDEX('Lease Cycles'!$EM$15:$ES$15,1,CH129)),IF(OR(INDEX('Lease Cycles'!$DY$15:$EE$15,1,CH129)=1,CH130&gt;0),1,1-INDEX('Lease Cycles'!$DD$15:$DJ$15,1,CH129))*('Lease Cycles'!$AJ$15*INDEX('Lease Cycles'!$FO$15:$FU$15,1,CH129)+'Lease Cycles'!$BE$15*(1-INDEX('Lease Cycles'!$FO$15:$FU$15,1,CH129)))),0)</f>
        <v>0</v>
      </c>
      <c r="CI139" s="24">
        <f>IF(CI131=1,'Lease Cycles'!$D$15*IF(INDEX('Lease Cycles'!$EF$15:$EL$15,1,CI129)=1,'Lease Cycles'!$AJ$15*INDEX('Lease Cycles'!$FO$15:$FU$15,1,CI129)*INDEX('Lease Cycles'!$EM$15:$ES$15,1,CI129)+'Lease Cycles'!$BE$15*IF(CI130&lt;INDEX('Lease Cycles'!$FA$15:$FG$15,1,CI129),0,1-INDEX('Lease Cycles'!$EM$15:$ES$15,1,CI129)),IF(OR(INDEX('Lease Cycles'!$DY$15:$EE$15,1,CI129)=1,CI130&gt;0),1,1-INDEX('Lease Cycles'!$DD$15:$DJ$15,1,CI129))*('Lease Cycles'!$AJ$15*INDEX('Lease Cycles'!$FO$15:$FU$15,1,CI129)+'Lease Cycles'!$BE$15*(1-INDEX('Lease Cycles'!$FO$15:$FU$15,1,CI129)))),0)</f>
        <v>0</v>
      </c>
      <c r="CJ139" s="24">
        <f>IF(CJ131=1,'Lease Cycles'!$D$15*IF(INDEX('Lease Cycles'!$EF$15:$EL$15,1,CJ129)=1,'Lease Cycles'!$AJ$15*INDEX('Lease Cycles'!$FO$15:$FU$15,1,CJ129)*INDEX('Lease Cycles'!$EM$15:$ES$15,1,CJ129)+'Lease Cycles'!$BE$15*IF(CJ130&lt;INDEX('Lease Cycles'!$FA$15:$FG$15,1,CJ129),0,1-INDEX('Lease Cycles'!$EM$15:$ES$15,1,CJ129)),IF(OR(INDEX('Lease Cycles'!$DY$15:$EE$15,1,CJ129)=1,CJ130&gt;0),1,1-INDEX('Lease Cycles'!$DD$15:$DJ$15,1,CJ129))*('Lease Cycles'!$AJ$15*INDEX('Lease Cycles'!$FO$15:$FU$15,1,CJ129)+'Lease Cycles'!$BE$15*(1-INDEX('Lease Cycles'!$FO$15:$FU$15,1,CJ129)))),0)</f>
        <v>0</v>
      </c>
      <c r="CK139" s="24">
        <f>IF(CK131=1,'Lease Cycles'!$D$15*IF(INDEX('Lease Cycles'!$EF$15:$EL$15,1,CK129)=1,'Lease Cycles'!$AJ$15*INDEX('Lease Cycles'!$FO$15:$FU$15,1,CK129)*INDEX('Lease Cycles'!$EM$15:$ES$15,1,CK129)+'Lease Cycles'!$BE$15*IF(CK130&lt;INDEX('Lease Cycles'!$FA$15:$FG$15,1,CK129),0,1-INDEX('Lease Cycles'!$EM$15:$ES$15,1,CK129)),IF(OR(INDEX('Lease Cycles'!$DY$15:$EE$15,1,CK129)=1,CK130&gt;0),1,1-INDEX('Lease Cycles'!$DD$15:$DJ$15,1,CK129))*('Lease Cycles'!$AJ$15*INDEX('Lease Cycles'!$FO$15:$FU$15,1,CK129)+'Lease Cycles'!$BE$15*(1-INDEX('Lease Cycles'!$FO$15:$FU$15,1,CK129)))),0)</f>
        <v>0</v>
      </c>
      <c r="CL139" s="24">
        <f>IF(CL131=1,'Lease Cycles'!$D$15*IF(INDEX('Lease Cycles'!$EF$15:$EL$15,1,CL129)=1,'Lease Cycles'!$AJ$15*INDEX('Lease Cycles'!$FO$15:$FU$15,1,CL129)*INDEX('Lease Cycles'!$EM$15:$ES$15,1,CL129)+'Lease Cycles'!$BE$15*IF(CL130&lt;INDEX('Lease Cycles'!$FA$15:$FG$15,1,CL129),0,1-INDEX('Lease Cycles'!$EM$15:$ES$15,1,CL129)),IF(OR(INDEX('Lease Cycles'!$DY$15:$EE$15,1,CL129)=1,CL130&gt;0),1,1-INDEX('Lease Cycles'!$DD$15:$DJ$15,1,CL129))*('Lease Cycles'!$AJ$15*INDEX('Lease Cycles'!$FO$15:$FU$15,1,CL129)+'Lease Cycles'!$BE$15*(1-INDEX('Lease Cycles'!$FO$15:$FU$15,1,CL129)))),0)</f>
        <v>0</v>
      </c>
      <c r="CM139" s="24">
        <f>IF(CM131=1,'Lease Cycles'!$D$15*IF(INDEX('Lease Cycles'!$EF$15:$EL$15,1,CM129)=1,'Lease Cycles'!$AJ$15*INDEX('Lease Cycles'!$FO$15:$FU$15,1,CM129)*INDEX('Lease Cycles'!$EM$15:$ES$15,1,CM129)+'Lease Cycles'!$BE$15*IF(CM130&lt;INDEX('Lease Cycles'!$FA$15:$FG$15,1,CM129),0,1-INDEX('Lease Cycles'!$EM$15:$ES$15,1,CM129)),IF(OR(INDEX('Lease Cycles'!$DY$15:$EE$15,1,CM129)=1,CM130&gt;0),1,1-INDEX('Lease Cycles'!$DD$15:$DJ$15,1,CM129))*('Lease Cycles'!$AJ$15*INDEX('Lease Cycles'!$FO$15:$FU$15,1,CM129)+'Lease Cycles'!$BE$15*(1-INDEX('Lease Cycles'!$FO$15:$FU$15,1,CM129)))),0)</f>
        <v>0</v>
      </c>
      <c r="CN139" s="24">
        <f>IF(CN131=1,'Lease Cycles'!$D$15*IF(INDEX('Lease Cycles'!$EF$15:$EL$15,1,CN129)=1,'Lease Cycles'!$AJ$15*INDEX('Lease Cycles'!$FO$15:$FU$15,1,CN129)*INDEX('Lease Cycles'!$EM$15:$ES$15,1,CN129)+'Lease Cycles'!$BE$15*IF(CN130&lt;INDEX('Lease Cycles'!$FA$15:$FG$15,1,CN129),0,1-INDEX('Lease Cycles'!$EM$15:$ES$15,1,CN129)),IF(OR(INDEX('Lease Cycles'!$DY$15:$EE$15,1,CN129)=1,CN130&gt;0),1,1-INDEX('Lease Cycles'!$DD$15:$DJ$15,1,CN129))*('Lease Cycles'!$AJ$15*INDEX('Lease Cycles'!$FO$15:$FU$15,1,CN129)+'Lease Cycles'!$BE$15*(1-INDEX('Lease Cycles'!$FO$15:$FU$15,1,CN129)))),0)</f>
        <v>0</v>
      </c>
      <c r="CO139" s="24">
        <f>IF(CO131=1,'Lease Cycles'!$D$15*IF(INDEX('Lease Cycles'!$EF$15:$EL$15,1,CO129)=1,'Lease Cycles'!$AJ$15*INDEX('Lease Cycles'!$FO$15:$FU$15,1,CO129)*INDEX('Lease Cycles'!$EM$15:$ES$15,1,CO129)+'Lease Cycles'!$BE$15*IF(CO130&lt;INDEX('Lease Cycles'!$FA$15:$FG$15,1,CO129),0,1-INDEX('Lease Cycles'!$EM$15:$ES$15,1,CO129)),IF(OR(INDEX('Lease Cycles'!$DY$15:$EE$15,1,CO129)=1,CO130&gt;0),1,1-INDEX('Lease Cycles'!$DD$15:$DJ$15,1,CO129))*('Lease Cycles'!$AJ$15*INDEX('Lease Cycles'!$FO$15:$FU$15,1,CO129)+'Lease Cycles'!$BE$15*(1-INDEX('Lease Cycles'!$FO$15:$FU$15,1,CO129)))),0)</f>
        <v>0</v>
      </c>
      <c r="CP139" s="24">
        <f>IF(CP131=1,'Lease Cycles'!$D$15*IF(INDEX('Lease Cycles'!$EF$15:$EL$15,1,CP129)=1,'Lease Cycles'!$AJ$15*INDEX('Lease Cycles'!$FO$15:$FU$15,1,CP129)*INDEX('Lease Cycles'!$EM$15:$ES$15,1,CP129)+'Lease Cycles'!$BE$15*IF(CP130&lt;INDEX('Lease Cycles'!$FA$15:$FG$15,1,CP129),0,1-INDEX('Lease Cycles'!$EM$15:$ES$15,1,CP129)),IF(OR(INDEX('Lease Cycles'!$DY$15:$EE$15,1,CP129)=1,CP130&gt;0),1,1-INDEX('Lease Cycles'!$DD$15:$DJ$15,1,CP129))*('Lease Cycles'!$AJ$15*INDEX('Lease Cycles'!$FO$15:$FU$15,1,CP129)+'Lease Cycles'!$BE$15*(1-INDEX('Lease Cycles'!$FO$15:$FU$15,1,CP129)))),0)</f>
        <v>0</v>
      </c>
      <c r="CQ139" s="24">
        <f>IF(CQ131=1,'Lease Cycles'!$D$15*IF(INDEX('Lease Cycles'!$EF$15:$EL$15,1,CQ129)=1,'Lease Cycles'!$AJ$15*INDEX('Lease Cycles'!$FO$15:$FU$15,1,CQ129)*INDEX('Lease Cycles'!$EM$15:$ES$15,1,CQ129)+'Lease Cycles'!$BE$15*IF(CQ130&lt;INDEX('Lease Cycles'!$FA$15:$FG$15,1,CQ129),0,1-INDEX('Lease Cycles'!$EM$15:$ES$15,1,CQ129)),IF(OR(INDEX('Lease Cycles'!$DY$15:$EE$15,1,CQ129)=1,CQ130&gt;0),1,1-INDEX('Lease Cycles'!$DD$15:$DJ$15,1,CQ129))*('Lease Cycles'!$AJ$15*INDEX('Lease Cycles'!$FO$15:$FU$15,1,CQ129)+'Lease Cycles'!$BE$15*(1-INDEX('Lease Cycles'!$FO$15:$FU$15,1,CQ129)))),0)</f>
        <v>0</v>
      </c>
      <c r="CR139" s="24">
        <f>IF(CR131=1,'Lease Cycles'!$D$15*IF(INDEX('Lease Cycles'!$EF$15:$EL$15,1,CR129)=1,'Lease Cycles'!$AJ$15*INDEX('Lease Cycles'!$FO$15:$FU$15,1,CR129)*INDEX('Lease Cycles'!$EM$15:$ES$15,1,CR129)+'Lease Cycles'!$BE$15*IF(CR130&lt;INDEX('Lease Cycles'!$FA$15:$FG$15,1,CR129),0,1-INDEX('Lease Cycles'!$EM$15:$ES$15,1,CR129)),IF(OR(INDEX('Lease Cycles'!$DY$15:$EE$15,1,CR129)=1,CR130&gt;0),1,1-INDEX('Lease Cycles'!$DD$15:$DJ$15,1,CR129))*('Lease Cycles'!$AJ$15*INDEX('Lease Cycles'!$FO$15:$FU$15,1,CR129)+'Lease Cycles'!$BE$15*(1-INDEX('Lease Cycles'!$FO$15:$FU$15,1,CR129)))),0)</f>
        <v>0</v>
      </c>
      <c r="CS139" s="24">
        <f>IF(CS131=1,'Lease Cycles'!$D$15*IF(INDEX('Lease Cycles'!$EF$15:$EL$15,1,CS129)=1,'Lease Cycles'!$AJ$15*INDEX('Lease Cycles'!$FO$15:$FU$15,1,CS129)*INDEX('Lease Cycles'!$EM$15:$ES$15,1,CS129)+'Lease Cycles'!$BE$15*IF(CS130&lt;INDEX('Lease Cycles'!$FA$15:$FG$15,1,CS129),0,1-INDEX('Lease Cycles'!$EM$15:$ES$15,1,CS129)),IF(OR(INDEX('Lease Cycles'!$DY$15:$EE$15,1,CS129)=1,CS130&gt;0),1,1-INDEX('Lease Cycles'!$DD$15:$DJ$15,1,CS129))*('Lease Cycles'!$AJ$15*INDEX('Lease Cycles'!$FO$15:$FU$15,1,CS129)+'Lease Cycles'!$BE$15*(1-INDEX('Lease Cycles'!$FO$15:$FU$15,1,CS129)))),0)</f>
        <v>0</v>
      </c>
      <c r="CT139" s="24">
        <f>IF(CT131=1,'Lease Cycles'!$D$15*IF(INDEX('Lease Cycles'!$EF$15:$EL$15,1,CT129)=1,'Lease Cycles'!$AJ$15*INDEX('Lease Cycles'!$FO$15:$FU$15,1,CT129)*INDEX('Lease Cycles'!$EM$15:$ES$15,1,CT129)+'Lease Cycles'!$BE$15*IF(CT130&lt;INDEX('Lease Cycles'!$FA$15:$FG$15,1,CT129),0,1-INDEX('Lease Cycles'!$EM$15:$ES$15,1,CT129)),IF(OR(INDEX('Lease Cycles'!$DY$15:$EE$15,1,CT129)=1,CT130&gt;0),1,1-INDEX('Lease Cycles'!$DD$15:$DJ$15,1,CT129))*('Lease Cycles'!$AJ$15*INDEX('Lease Cycles'!$FO$15:$FU$15,1,CT129)+'Lease Cycles'!$BE$15*(1-INDEX('Lease Cycles'!$FO$15:$FU$15,1,CT129)))),0)</f>
        <v>0</v>
      </c>
      <c r="CU139" s="24">
        <f>IF(CU131=1,'Lease Cycles'!$D$15*IF(INDEX('Lease Cycles'!$EF$15:$EL$15,1,CU129)=1,'Lease Cycles'!$AJ$15*INDEX('Lease Cycles'!$FO$15:$FU$15,1,CU129)*INDEX('Lease Cycles'!$EM$15:$ES$15,1,CU129)+'Lease Cycles'!$BE$15*IF(CU130&lt;INDEX('Lease Cycles'!$FA$15:$FG$15,1,CU129),0,1-INDEX('Lease Cycles'!$EM$15:$ES$15,1,CU129)),IF(OR(INDEX('Lease Cycles'!$DY$15:$EE$15,1,CU129)=1,CU130&gt;0),1,1-INDEX('Lease Cycles'!$DD$15:$DJ$15,1,CU129))*('Lease Cycles'!$AJ$15*INDEX('Lease Cycles'!$FO$15:$FU$15,1,CU129)+'Lease Cycles'!$BE$15*(1-INDEX('Lease Cycles'!$FO$15:$FU$15,1,CU129)))),0)</f>
        <v>0</v>
      </c>
      <c r="CV139" s="24">
        <f>IF(CV131=1,'Lease Cycles'!$D$15*IF(INDEX('Lease Cycles'!$EF$15:$EL$15,1,CV129)=1,'Lease Cycles'!$AJ$15*INDEX('Lease Cycles'!$FO$15:$FU$15,1,CV129)*INDEX('Lease Cycles'!$EM$15:$ES$15,1,CV129)+'Lease Cycles'!$BE$15*IF(CV130&lt;INDEX('Lease Cycles'!$FA$15:$FG$15,1,CV129),0,1-INDEX('Lease Cycles'!$EM$15:$ES$15,1,CV129)),IF(OR(INDEX('Lease Cycles'!$DY$15:$EE$15,1,CV129)=1,CV130&gt;0),1,1-INDEX('Lease Cycles'!$DD$15:$DJ$15,1,CV129))*('Lease Cycles'!$AJ$15*INDEX('Lease Cycles'!$FO$15:$FU$15,1,CV129)+'Lease Cycles'!$BE$15*(1-INDEX('Lease Cycles'!$FO$15:$FU$15,1,CV129)))),0)</f>
        <v>0</v>
      </c>
      <c r="CW139" s="24">
        <f>IF(CW131=1,'Lease Cycles'!$D$15*IF(INDEX('Lease Cycles'!$EF$15:$EL$15,1,CW129)=1,'Lease Cycles'!$AJ$15*INDEX('Lease Cycles'!$FO$15:$FU$15,1,CW129)*INDEX('Lease Cycles'!$EM$15:$ES$15,1,CW129)+'Lease Cycles'!$BE$15*IF(CW130&lt;INDEX('Lease Cycles'!$FA$15:$FG$15,1,CW129),0,1-INDEX('Lease Cycles'!$EM$15:$ES$15,1,CW129)),IF(OR(INDEX('Lease Cycles'!$DY$15:$EE$15,1,CW129)=1,CW130&gt;0),1,1-INDEX('Lease Cycles'!$DD$15:$DJ$15,1,CW129))*('Lease Cycles'!$AJ$15*INDEX('Lease Cycles'!$FO$15:$FU$15,1,CW129)+'Lease Cycles'!$BE$15*(1-INDEX('Lease Cycles'!$FO$15:$FU$15,1,CW129)))),0)</f>
        <v>0</v>
      </c>
      <c r="CX139" s="24">
        <f>IF(CX131=1,'Lease Cycles'!$D$15*IF(INDEX('Lease Cycles'!$EF$15:$EL$15,1,CX129)=1,'Lease Cycles'!$AJ$15*INDEX('Lease Cycles'!$FO$15:$FU$15,1,CX129)*INDEX('Lease Cycles'!$EM$15:$ES$15,1,CX129)+'Lease Cycles'!$BE$15*IF(CX130&lt;INDEX('Lease Cycles'!$FA$15:$FG$15,1,CX129),0,1-INDEX('Lease Cycles'!$EM$15:$ES$15,1,CX129)),IF(OR(INDEX('Lease Cycles'!$DY$15:$EE$15,1,CX129)=1,CX130&gt;0),1,1-INDEX('Lease Cycles'!$DD$15:$DJ$15,1,CX129))*('Lease Cycles'!$AJ$15*INDEX('Lease Cycles'!$FO$15:$FU$15,1,CX129)+'Lease Cycles'!$BE$15*(1-INDEX('Lease Cycles'!$FO$15:$FU$15,1,CX129)))),0)</f>
        <v>0</v>
      </c>
      <c r="CY139" s="24">
        <f>IF(CY131=1,'Lease Cycles'!$D$15*IF(INDEX('Lease Cycles'!$EF$15:$EL$15,1,CY129)=1,'Lease Cycles'!$AJ$15*INDEX('Lease Cycles'!$FO$15:$FU$15,1,CY129)*INDEX('Lease Cycles'!$EM$15:$ES$15,1,CY129)+'Lease Cycles'!$BE$15*IF(CY130&lt;INDEX('Lease Cycles'!$FA$15:$FG$15,1,CY129),0,1-INDEX('Lease Cycles'!$EM$15:$ES$15,1,CY129)),IF(OR(INDEX('Lease Cycles'!$DY$15:$EE$15,1,CY129)=1,CY130&gt;0),1,1-INDEX('Lease Cycles'!$DD$15:$DJ$15,1,CY129))*('Lease Cycles'!$AJ$15*INDEX('Lease Cycles'!$FO$15:$FU$15,1,CY129)+'Lease Cycles'!$BE$15*(1-INDEX('Lease Cycles'!$FO$15:$FU$15,1,CY129)))),0)</f>
        <v>0</v>
      </c>
      <c r="CZ139" s="24">
        <f>IF(CZ131=1,'Lease Cycles'!$D$15*IF(INDEX('Lease Cycles'!$EF$15:$EL$15,1,CZ129)=1,'Lease Cycles'!$AJ$15*INDEX('Lease Cycles'!$FO$15:$FU$15,1,CZ129)*INDEX('Lease Cycles'!$EM$15:$ES$15,1,CZ129)+'Lease Cycles'!$BE$15*IF(CZ130&lt;INDEX('Lease Cycles'!$FA$15:$FG$15,1,CZ129),0,1-INDEX('Lease Cycles'!$EM$15:$ES$15,1,CZ129)),IF(OR(INDEX('Lease Cycles'!$DY$15:$EE$15,1,CZ129)=1,CZ130&gt;0),1,1-INDEX('Lease Cycles'!$DD$15:$DJ$15,1,CZ129))*('Lease Cycles'!$AJ$15*INDEX('Lease Cycles'!$FO$15:$FU$15,1,CZ129)+'Lease Cycles'!$BE$15*(1-INDEX('Lease Cycles'!$FO$15:$FU$15,1,CZ129)))),0)</f>
        <v>0</v>
      </c>
      <c r="DA139" s="24">
        <f>IF(DA131=1,'Lease Cycles'!$D$15*IF(INDEX('Lease Cycles'!$EF$15:$EL$15,1,DA129)=1,'Lease Cycles'!$AJ$15*INDEX('Lease Cycles'!$FO$15:$FU$15,1,DA129)*INDEX('Lease Cycles'!$EM$15:$ES$15,1,DA129)+'Lease Cycles'!$BE$15*IF(DA130&lt;INDEX('Lease Cycles'!$FA$15:$FG$15,1,DA129),0,1-INDEX('Lease Cycles'!$EM$15:$ES$15,1,DA129)),IF(OR(INDEX('Lease Cycles'!$DY$15:$EE$15,1,DA129)=1,DA130&gt;0),1,1-INDEX('Lease Cycles'!$DD$15:$DJ$15,1,DA129))*('Lease Cycles'!$AJ$15*INDEX('Lease Cycles'!$FO$15:$FU$15,1,DA129)+'Lease Cycles'!$BE$15*(1-INDEX('Lease Cycles'!$FO$15:$FU$15,1,DA129)))),0)</f>
        <v>0</v>
      </c>
      <c r="DB139" s="24">
        <f>IF(DB131=1,'Lease Cycles'!$D$15*IF(INDEX('Lease Cycles'!$EF$15:$EL$15,1,DB129)=1,'Lease Cycles'!$AJ$15*INDEX('Lease Cycles'!$FO$15:$FU$15,1,DB129)*INDEX('Lease Cycles'!$EM$15:$ES$15,1,DB129)+'Lease Cycles'!$BE$15*IF(DB130&lt;INDEX('Lease Cycles'!$FA$15:$FG$15,1,DB129),0,1-INDEX('Lease Cycles'!$EM$15:$ES$15,1,DB129)),IF(OR(INDEX('Lease Cycles'!$DY$15:$EE$15,1,DB129)=1,DB130&gt;0),1,1-INDEX('Lease Cycles'!$DD$15:$DJ$15,1,DB129))*('Lease Cycles'!$AJ$15*INDEX('Lease Cycles'!$FO$15:$FU$15,1,DB129)+'Lease Cycles'!$BE$15*(1-INDEX('Lease Cycles'!$FO$15:$FU$15,1,DB129)))),0)</f>
        <v>0</v>
      </c>
      <c r="DC139" s="24">
        <f>IF(DC131=1,'Lease Cycles'!$D$15*IF(INDEX('Lease Cycles'!$EF$15:$EL$15,1,DC129)=1,'Lease Cycles'!$AJ$15*INDEX('Lease Cycles'!$FO$15:$FU$15,1,DC129)*INDEX('Lease Cycles'!$EM$15:$ES$15,1,DC129)+'Lease Cycles'!$BE$15*IF(DC130&lt;INDEX('Lease Cycles'!$FA$15:$FG$15,1,DC129),0,1-INDEX('Lease Cycles'!$EM$15:$ES$15,1,DC129)),IF(OR(INDEX('Lease Cycles'!$DY$15:$EE$15,1,DC129)=1,DC130&gt;0),1,1-INDEX('Lease Cycles'!$DD$15:$DJ$15,1,DC129))*('Lease Cycles'!$AJ$15*INDEX('Lease Cycles'!$FO$15:$FU$15,1,DC129)+'Lease Cycles'!$BE$15*(1-INDEX('Lease Cycles'!$FO$15:$FU$15,1,DC129)))),0)</f>
        <v>0</v>
      </c>
      <c r="DD139" s="24">
        <f>IF(DD131=1,'Lease Cycles'!$D$15*IF(INDEX('Lease Cycles'!$EF$15:$EL$15,1,DD129)=1,'Lease Cycles'!$AJ$15*INDEX('Lease Cycles'!$FO$15:$FU$15,1,DD129)*INDEX('Lease Cycles'!$EM$15:$ES$15,1,DD129)+'Lease Cycles'!$BE$15*IF(DD130&lt;INDEX('Lease Cycles'!$FA$15:$FG$15,1,DD129),0,1-INDEX('Lease Cycles'!$EM$15:$ES$15,1,DD129)),IF(OR(INDEX('Lease Cycles'!$DY$15:$EE$15,1,DD129)=1,DD130&gt;0),1,1-INDEX('Lease Cycles'!$DD$15:$DJ$15,1,DD129))*('Lease Cycles'!$AJ$15*INDEX('Lease Cycles'!$FO$15:$FU$15,1,DD129)+'Lease Cycles'!$BE$15*(1-INDEX('Lease Cycles'!$FO$15:$FU$15,1,DD129)))),0)</f>
        <v>0</v>
      </c>
      <c r="DE139" s="24">
        <f>IF(DE131=1,'Lease Cycles'!$D$15*IF(INDEX('Lease Cycles'!$EF$15:$EL$15,1,DE129)=1,'Lease Cycles'!$AJ$15*INDEX('Lease Cycles'!$FO$15:$FU$15,1,DE129)*INDEX('Lease Cycles'!$EM$15:$ES$15,1,DE129)+'Lease Cycles'!$BE$15*IF(DE130&lt;INDEX('Lease Cycles'!$FA$15:$FG$15,1,DE129),0,1-INDEX('Lease Cycles'!$EM$15:$ES$15,1,DE129)),IF(OR(INDEX('Lease Cycles'!$DY$15:$EE$15,1,DE129)=1,DE130&gt;0),1,1-INDEX('Lease Cycles'!$DD$15:$DJ$15,1,DE129))*('Lease Cycles'!$AJ$15*INDEX('Lease Cycles'!$FO$15:$FU$15,1,DE129)+'Lease Cycles'!$BE$15*(1-INDEX('Lease Cycles'!$FO$15:$FU$15,1,DE129)))),0)</f>
        <v>0</v>
      </c>
      <c r="DF139" s="24">
        <f>IF(DF131=1,'Lease Cycles'!$D$15*IF(INDEX('Lease Cycles'!$EF$15:$EL$15,1,DF129)=1,'Lease Cycles'!$AJ$15*INDEX('Lease Cycles'!$FO$15:$FU$15,1,DF129)*INDEX('Lease Cycles'!$EM$15:$ES$15,1,DF129)+'Lease Cycles'!$BE$15*IF(DF130&lt;INDEX('Lease Cycles'!$FA$15:$FG$15,1,DF129),0,1-INDEX('Lease Cycles'!$EM$15:$ES$15,1,DF129)),IF(OR(INDEX('Lease Cycles'!$DY$15:$EE$15,1,DF129)=1,DF130&gt;0),1,1-INDEX('Lease Cycles'!$DD$15:$DJ$15,1,DF129))*('Lease Cycles'!$AJ$15*INDEX('Lease Cycles'!$FO$15:$FU$15,1,DF129)+'Lease Cycles'!$BE$15*(1-INDEX('Lease Cycles'!$FO$15:$FU$15,1,DF129)))),0)</f>
        <v>0</v>
      </c>
      <c r="DG139" s="24">
        <f>IF(DG131=1,'Lease Cycles'!$D$15*IF(INDEX('Lease Cycles'!$EF$15:$EL$15,1,DG129)=1,'Lease Cycles'!$AJ$15*INDEX('Lease Cycles'!$FO$15:$FU$15,1,DG129)*INDEX('Lease Cycles'!$EM$15:$ES$15,1,DG129)+'Lease Cycles'!$BE$15*IF(DG130&lt;INDEX('Lease Cycles'!$FA$15:$FG$15,1,DG129),0,1-INDEX('Lease Cycles'!$EM$15:$ES$15,1,DG129)),IF(OR(INDEX('Lease Cycles'!$DY$15:$EE$15,1,DG129)=1,DG130&gt;0),1,1-INDEX('Lease Cycles'!$DD$15:$DJ$15,1,DG129))*('Lease Cycles'!$AJ$15*INDEX('Lease Cycles'!$FO$15:$FU$15,1,DG129)+'Lease Cycles'!$BE$15*(1-INDEX('Lease Cycles'!$FO$15:$FU$15,1,DG129)))),0)</f>
        <v>0</v>
      </c>
      <c r="DH139" s="24">
        <f>IF(DH131=1,'Lease Cycles'!$D$15*IF(INDEX('Lease Cycles'!$EF$15:$EL$15,1,DH129)=1,'Lease Cycles'!$AJ$15*INDEX('Lease Cycles'!$FO$15:$FU$15,1,DH129)*INDEX('Lease Cycles'!$EM$15:$ES$15,1,DH129)+'Lease Cycles'!$BE$15*IF(DH130&lt;INDEX('Lease Cycles'!$FA$15:$FG$15,1,DH129),0,1-INDEX('Lease Cycles'!$EM$15:$ES$15,1,DH129)),IF(OR(INDEX('Lease Cycles'!$DY$15:$EE$15,1,DH129)=1,DH130&gt;0),1,1-INDEX('Lease Cycles'!$DD$15:$DJ$15,1,DH129))*('Lease Cycles'!$AJ$15*INDEX('Lease Cycles'!$FO$15:$FU$15,1,DH129)+'Lease Cycles'!$BE$15*(1-INDEX('Lease Cycles'!$FO$15:$FU$15,1,DH129)))),0)</f>
        <v>0</v>
      </c>
      <c r="DI139" s="24">
        <f>IF(DI131=1,'Lease Cycles'!$D$15*IF(INDEX('Lease Cycles'!$EF$15:$EL$15,1,DI129)=1,'Lease Cycles'!$AJ$15*INDEX('Lease Cycles'!$FO$15:$FU$15,1,DI129)*INDEX('Lease Cycles'!$EM$15:$ES$15,1,DI129)+'Lease Cycles'!$BE$15*IF(DI130&lt;INDEX('Lease Cycles'!$FA$15:$FG$15,1,DI129),0,1-INDEX('Lease Cycles'!$EM$15:$ES$15,1,DI129)),IF(OR(INDEX('Lease Cycles'!$DY$15:$EE$15,1,DI129)=1,DI130&gt;0),1,1-INDEX('Lease Cycles'!$DD$15:$DJ$15,1,DI129))*('Lease Cycles'!$AJ$15*INDEX('Lease Cycles'!$FO$15:$FU$15,1,DI129)+'Lease Cycles'!$BE$15*(1-INDEX('Lease Cycles'!$FO$15:$FU$15,1,DI129)))),0)</f>
        <v>0</v>
      </c>
      <c r="DJ139" s="24">
        <f>IF(DJ131=1,'Lease Cycles'!$D$15*IF(INDEX('Lease Cycles'!$EF$15:$EL$15,1,DJ129)=1,'Lease Cycles'!$AJ$15*INDEX('Lease Cycles'!$FO$15:$FU$15,1,DJ129)*INDEX('Lease Cycles'!$EM$15:$ES$15,1,DJ129)+'Lease Cycles'!$BE$15*IF(DJ130&lt;INDEX('Lease Cycles'!$FA$15:$FG$15,1,DJ129),0,1-INDEX('Lease Cycles'!$EM$15:$ES$15,1,DJ129)),IF(OR(INDEX('Lease Cycles'!$DY$15:$EE$15,1,DJ129)=1,DJ130&gt;0),1,1-INDEX('Lease Cycles'!$DD$15:$DJ$15,1,DJ129))*('Lease Cycles'!$AJ$15*INDEX('Lease Cycles'!$FO$15:$FU$15,1,DJ129)+'Lease Cycles'!$BE$15*(1-INDEX('Lease Cycles'!$FO$15:$FU$15,1,DJ129)))),0)</f>
        <v>0</v>
      </c>
      <c r="DK139" s="24">
        <f>IF(DK131=1,'Lease Cycles'!$D$15*IF(INDEX('Lease Cycles'!$EF$15:$EL$15,1,DK129)=1,'Lease Cycles'!$AJ$15*INDEX('Lease Cycles'!$FO$15:$FU$15,1,DK129)*INDEX('Lease Cycles'!$EM$15:$ES$15,1,DK129)+'Lease Cycles'!$BE$15*IF(DK130&lt;INDEX('Lease Cycles'!$FA$15:$FG$15,1,DK129),0,1-INDEX('Lease Cycles'!$EM$15:$ES$15,1,DK129)),IF(OR(INDEX('Lease Cycles'!$DY$15:$EE$15,1,DK129)=1,DK130&gt;0),1,1-INDEX('Lease Cycles'!$DD$15:$DJ$15,1,DK129))*('Lease Cycles'!$AJ$15*INDEX('Lease Cycles'!$FO$15:$FU$15,1,DK129)+'Lease Cycles'!$BE$15*(1-INDEX('Lease Cycles'!$FO$15:$FU$15,1,DK129)))),0)</f>
        <v>0</v>
      </c>
      <c r="DL139" s="24">
        <f>IF(DL131=1,'Lease Cycles'!$D$15*IF(INDEX('Lease Cycles'!$EF$15:$EL$15,1,DL129)=1,'Lease Cycles'!$AJ$15*INDEX('Lease Cycles'!$FO$15:$FU$15,1,DL129)*INDEX('Lease Cycles'!$EM$15:$ES$15,1,DL129)+'Lease Cycles'!$BE$15*IF(DL130&lt;INDEX('Lease Cycles'!$FA$15:$FG$15,1,DL129),0,1-INDEX('Lease Cycles'!$EM$15:$ES$15,1,DL129)),IF(OR(INDEX('Lease Cycles'!$DY$15:$EE$15,1,DL129)=1,DL130&gt;0),1,1-INDEX('Lease Cycles'!$DD$15:$DJ$15,1,DL129))*('Lease Cycles'!$AJ$15*INDEX('Lease Cycles'!$FO$15:$FU$15,1,DL129)+'Lease Cycles'!$BE$15*(1-INDEX('Lease Cycles'!$FO$15:$FU$15,1,DL129)))),0)</f>
        <v>0</v>
      </c>
      <c r="DM139" s="24">
        <f>IF(DM131=1,'Lease Cycles'!$D$15*IF(INDEX('Lease Cycles'!$EF$15:$EL$15,1,DM129)=1,'Lease Cycles'!$AJ$15*INDEX('Lease Cycles'!$FO$15:$FU$15,1,DM129)*INDEX('Lease Cycles'!$EM$15:$ES$15,1,DM129)+'Lease Cycles'!$BE$15*IF(DM130&lt;INDEX('Lease Cycles'!$FA$15:$FG$15,1,DM129),0,1-INDEX('Lease Cycles'!$EM$15:$ES$15,1,DM129)),IF(OR(INDEX('Lease Cycles'!$DY$15:$EE$15,1,DM129)=1,DM130&gt;0),1,1-INDEX('Lease Cycles'!$DD$15:$DJ$15,1,DM129))*('Lease Cycles'!$AJ$15*INDEX('Lease Cycles'!$FO$15:$FU$15,1,DM129)+'Lease Cycles'!$BE$15*(1-INDEX('Lease Cycles'!$FO$15:$FU$15,1,DM129)))),0)</f>
        <v>0</v>
      </c>
      <c r="DN139" s="24">
        <f>IF(DN131=1,'Lease Cycles'!$D$15*IF(INDEX('Lease Cycles'!$EF$15:$EL$15,1,DN129)=1,'Lease Cycles'!$AJ$15*INDEX('Lease Cycles'!$FO$15:$FU$15,1,DN129)*INDEX('Lease Cycles'!$EM$15:$ES$15,1,DN129)+'Lease Cycles'!$BE$15*IF(DN130&lt;INDEX('Lease Cycles'!$FA$15:$FG$15,1,DN129),0,1-INDEX('Lease Cycles'!$EM$15:$ES$15,1,DN129)),IF(OR(INDEX('Lease Cycles'!$DY$15:$EE$15,1,DN129)=1,DN130&gt;0),1,1-INDEX('Lease Cycles'!$DD$15:$DJ$15,1,DN129))*('Lease Cycles'!$AJ$15*INDEX('Lease Cycles'!$FO$15:$FU$15,1,DN129)+'Lease Cycles'!$BE$15*(1-INDEX('Lease Cycles'!$FO$15:$FU$15,1,DN129)))),0)</f>
        <v>0</v>
      </c>
      <c r="DO139" s="24">
        <f>IF(DO131=1,'Lease Cycles'!$D$15*IF(INDEX('Lease Cycles'!$EF$15:$EL$15,1,DO129)=1,'Lease Cycles'!$AJ$15*INDEX('Lease Cycles'!$FO$15:$FU$15,1,DO129)*INDEX('Lease Cycles'!$EM$15:$ES$15,1,DO129)+'Lease Cycles'!$BE$15*IF(DO130&lt;INDEX('Lease Cycles'!$FA$15:$FG$15,1,DO129),0,1-INDEX('Lease Cycles'!$EM$15:$ES$15,1,DO129)),IF(OR(INDEX('Lease Cycles'!$DY$15:$EE$15,1,DO129)=1,DO130&gt;0),1,1-INDEX('Lease Cycles'!$DD$15:$DJ$15,1,DO129))*('Lease Cycles'!$AJ$15*INDEX('Lease Cycles'!$FO$15:$FU$15,1,DO129)+'Lease Cycles'!$BE$15*(1-INDEX('Lease Cycles'!$FO$15:$FU$15,1,DO129)))),0)</f>
        <v>0</v>
      </c>
      <c r="DP139" s="24">
        <f>IF(DP131=1,'Lease Cycles'!$D$15*IF(INDEX('Lease Cycles'!$EF$15:$EL$15,1,DP129)=1,'Lease Cycles'!$AJ$15*INDEX('Lease Cycles'!$FO$15:$FU$15,1,DP129)*INDEX('Lease Cycles'!$EM$15:$ES$15,1,DP129)+'Lease Cycles'!$BE$15*IF(DP130&lt;INDEX('Lease Cycles'!$FA$15:$FG$15,1,DP129),0,1-INDEX('Lease Cycles'!$EM$15:$ES$15,1,DP129)),IF(OR(INDEX('Lease Cycles'!$DY$15:$EE$15,1,DP129)=1,DP130&gt;0),1,1-INDEX('Lease Cycles'!$DD$15:$DJ$15,1,DP129))*('Lease Cycles'!$AJ$15*INDEX('Lease Cycles'!$FO$15:$FU$15,1,DP129)+'Lease Cycles'!$BE$15*(1-INDEX('Lease Cycles'!$FO$15:$FU$15,1,DP129)))),0)</f>
        <v>0</v>
      </c>
      <c r="DQ139" s="24">
        <f>IF(DQ131=1,'Lease Cycles'!$D$15*IF(INDEX('Lease Cycles'!$EF$15:$EL$15,1,DQ129)=1,'Lease Cycles'!$AJ$15*INDEX('Lease Cycles'!$FO$15:$FU$15,1,DQ129)*INDEX('Lease Cycles'!$EM$15:$ES$15,1,DQ129)+'Lease Cycles'!$BE$15*IF(DQ130&lt;INDEX('Lease Cycles'!$FA$15:$FG$15,1,DQ129),0,1-INDEX('Lease Cycles'!$EM$15:$ES$15,1,DQ129)),IF(OR(INDEX('Lease Cycles'!$DY$15:$EE$15,1,DQ129)=1,DQ130&gt;0),1,1-INDEX('Lease Cycles'!$DD$15:$DJ$15,1,DQ129))*('Lease Cycles'!$AJ$15*INDEX('Lease Cycles'!$FO$15:$FU$15,1,DQ129)+'Lease Cycles'!$BE$15*(1-INDEX('Lease Cycles'!$FO$15:$FU$15,1,DQ129)))),0)</f>
        <v>0</v>
      </c>
      <c r="DR139" s="24">
        <f>IF(DR131=1,'Lease Cycles'!$D$15*IF(INDEX('Lease Cycles'!$EF$15:$EL$15,1,DR129)=1,'Lease Cycles'!$AJ$15*INDEX('Lease Cycles'!$FO$15:$FU$15,1,DR129)*INDEX('Lease Cycles'!$EM$15:$ES$15,1,DR129)+'Lease Cycles'!$BE$15*IF(DR130&lt;INDEX('Lease Cycles'!$FA$15:$FG$15,1,DR129),0,1-INDEX('Lease Cycles'!$EM$15:$ES$15,1,DR129)),IF(OR(INDEX('Lease Cycles'!$DY$15:$EE$15,1,DR129)=1,DR130&gt;0),1,1-INDEX('Lease Cycles'!$DD$15:$DJ$15,1,DR129))*('Lease Cycles'!$AJ$15*INDEX('Lease Cycles'!$FO$15:$FU$15,1,DR129)+'Lease Cycles'!$BE$15*(1-INDEX('Lease Cycles'!$FO$15:$FU$15,1,DR129)))),0)</f>
        <v>0</v>
      </c>
      <c r="DS139" s="24">
        <f>IF(DS131=1,'Lease Cycles'!$D$15*IF(INDEX('Lease Cycles'!$EF$15:$EL$15,1,DS129)=1,'Lease Cycles'!$AJ$15*INDEX('Lease Cycles'!$FO$15:$FU$15,1,DS129)*INDEX('Lease Cycles'!$EM$15:$ES$15,1,DS129)+'Lease Cycles'!$BE$15*IF(DS130&lt;INDEX('Lease Cycles'!$FA$15:$FG$15,1,DS129),0,1-INDEX('Lease Cycles'!$EM$15:$ES$15,1,DS129)),IF(OR(INDEX('Lease Cycles'!$DY$15:$EE$15,1,DS129)=1,DS130&gt;0),1,1-INDEX('Lease Cycles'!$DD$15:$DJ$15,1,DS129))*('Lease Cycles'!$AJ$15*INDEX('Lease Cycles'!$FO$15:$FU$15,1,DS129)+'Lease Cycles'!$BE$15*(1-INDEX('Lease Cycles'!$FO$15:$FU$15,1,DS129)))),0)</f>
        <v>0</v>
      </c>
      <c r="DT139" s="24">
        <f>IF(DT131=1,'Lease Cycles'!$D$15*IF(INDEX('Lease Cycles'!$EF$15:$EL$15,1,DT129)=1,'Lease Cycles'!$AJ$15*INDEX('Lease Cycles'!$FO$15:$FU$15,1,DT129)*INDEX('Lease Cycles'!$EM$15:$ES$15,1,DT129)+'Lease Cycles'!$BE$15*IF(DT130&lt;INDEX('Lease Cycles'!$FA$15:$FG$15,1,DT129),0,1-INDEX('Lease Cycles'!$EM$15:$ES$15,1,DT129)),IF(OR(INDEX('Lease Cycles'!$DY$15:$EE$15,1,DT129)=1,DT130&gt;0),1,1-INDEX('Lease Cycles'!$DD$15:$DJ$15,1,DT129))*('Lease Cycles'!$AJ$15*INDEX('Lease Cycles'!$FO$15:$FU$15,1,DT129)+'Lease Cycles'!$BE$15*(1-INDEX('Lease Cycles'!$FO$15:$FU$15,1,DT129)))),0)</f>
        <v>0</v>
      </c>
      <c r="DU139" s="24">
        <f>IF(DU131=1,'Lease Cycles'!$D$15*IF(INDEX('Lease Cycles'!$EF$15:$EL$15,1,DU129)=1,'Lease Cycles'!$AJ$15*INDEX('Lease Cycles'!$FO$15:$FU$15,1,DU129)*INDEX('Lease Cycles'!$EM$15:$ES$15,1,DU129)+'Lease Cycles'!$BE$15*IF(DU130&lt;INDEX('Lease Cycles'!$FA$15:$FG$15,1,DU129),0,1-INDEX('Lease Cycles'!$EM$15:$ES$15,1,DU129)),IF(OR(INDEX('Lease Cycles'!$DY$15:$EE$15,1,DU129)=1,DU130&gt;0),1,1-INDEX('Lease Cycles'!$DD$15:$DJ$15,1,DU129))*('Lease Cycles'!$AJ$15*INDEX('Lease Cycles'!$FO$15:$FU$15,1,DU129)+'Lease Cycles'!$BE$15*(1-INDEX('Lease Cycles'!$FO$15:$FU$15,1,DU129)))),0)</f>
        <v>0</v>
      </c>
      <c r="DV139" s="24">
        <f>IF(DV131=1,'Lease Cycles'!$D$15*IF(INDEX('Lease Cycles'!$EF$15:$EL$15,1,DV129)=1,'Lease Cycles'!$AJ$15*INDEX('Lease Cycles'!$FO$15:$FU$15,1,DV129)*INDEX('Lease Cycles'!$EM$15:$ES$15,1,DV129)+'Lease Cycles'!$BE$15*IF(DV130&lt;INDEX('Lease Cycles'!$FA$15:$FG$15,1,DV129),0,1-INDEX('Lease Cycles'!$EM$15:$ES$15,1,DV129)),IF(OR(INDEX('Lease Cycles'!$DY$15:$EE$15,1,DV129)=1,DV130&gt;0),1,1-INDEX('Lease Cycles'!$DD$15:$DJ$15,1,DV129))*('Lease Cycles'!$AJ$15*INDEX('Lease Cycles'!$FO$15:$FU$15,1,DV129)+'Lease Cycles'!$BE$15*(1-INDEX('Lease Cycles'!$FO$15:$FU$15,1,DV129)))),0)</f>
        <v>0</v>
      </c>
      <c r="DW139" s="24">
        <f>IF(DW131=1,'Lease Cycles'!$D$15*IF(INDEX('Lease Cycles'!$EF$15:$EL$15,1,DW129)=1,'Lease Cycles'!$AJ$15*INDEX('Lease Cycles'!$FO$15:$FU$15,1,DW129)*INDEX('Lease Cycles'!$EM$15:$ES$15,1,DW129)+'Lease Cycles'!$BE$15*IF(DW130&lt;INDEX('Lease Cycles'!$FA$15:$FG$15,1,DW129),0,1-INDEX('Lease Cycles'!$EM$15:$ES$15,1,DW129)),IF(OR(INDEX('Lease Cycles'!$DY$15:$EE$15,1,DW129)=1,DW130&gt;0),1,1-INDEX('Lease Cycles'!$DD$15:$DJ$15,1,DW129))*('Lease Cycles'!$AJ$15*INDEX('Lease Cycles'!$FO$15:$FU$15,1,DW129)+'Lease Cycles'!$BE$15*(1-INDEX('Lease Cycles'!$FO$15:$FU$15,1,DW129)))),0)</f>
        <v>0</v>
      </c>
      <c r="DX139" s="24">
        <f>IF(DX131=1,'Lease Cycles'!$D$15*IF(INDEX('Lease Cycles'!$EF$15:$EL$15,1,DX129)=1,'Lease Cycles'!$AJ$15*INDEX('Lease Cycles'!$FO$15:$FU$15,1,DX129)*INDEX('Lease Cycles'!$EM$15:$ES$15,1,DX129)+'Lease Cycles'!$BE$15*IF(DX130&lt;INDEX('Lease Cycles'!$FA$15:$FG$15,1,DX129),0,1-INDEX('Lease Cycles'!$EM$15:$ES$15,1,DX129)),IF(OR(INDEX('Lease Cycles'!$DY$15:$EE$15,1,DX129)=1,DX130&gt;0),1,1-INDEX('Lease Cycles'!$DD$15:$DJ$15,1,DX129))*('Lease Cycles'!$AJ$15*INDEX('Lease Cycles'!$FO$15:$FU$15,1,DX129)+'Lease Cycles'!$BE$15*(1-INDEX('Lease Cycles'!$FO$15:$FU$15,1,DX129)))),0)</f>
        <v>0</v>
      </c>
      <c r="DY139" s="24">
        <f>IF(DY131=1,'Lease Cycles'!$D$15*IF(INDEX('Lease Cycles'!$EF$15:$EL$15,1,DY129)=1,'Lease Cycles'!$AJ$15*INDEX('Lease Cycles'!$FO$15:$FU$15,1,DY129)*INDEX('Lease Cycles'!$EM$15:$ES$15,1,DY129)+'Lease Cycles'!$BE$15*IF(DY130&lt;INDEX('Lease Cycles'!$FA$15:$FG$15,1,DY129),0,1-INDEX('Lease Cycles'!$EM$15:$ES$15,1,DY129)),IF(OR(INDEX('Lease Cycles'!$DY$15:$EE$15,1,DY129)=1,DY130&gt;0),1,1-INDEX('Lease Cycles'!$DD$15:$DJ$15,1,DY129))*('Lease Cycles'!$AJ$15*INDEX('Lease Cycles'!$FO$15:$FU$15,1,DY129)+'Lease Cycles'!$BE$15*(1-INDEX('Lease Cycles'!$FO$15:$FU$15,1,DY129)))),0)</f>
        <v>0</v>
      </c>
      <c r="DZ139" s="24">
        <f>IF(DZ131=1,'Lease Cycles'!$D$15*IF(INDEX('Lease Cycles'!$EF$15:$EL$15,1,DZ129)=1,'Lease Cycles'!$AJ$15*INDEX('Lease Cycles'!$FO$15:$FU$15,1,DZ129)*INDEX('Lease Cycles'!$EM$15:$ES$15,1,DZ129)+'Lease Cycles'!$BE$15*IF(DZ130&lt;INDEX('Lease Cycles'!$FA$15:$FG$15,1,DZ129),0,1-INDEX('Lease Cycles'!$EM$15:$ES$15,1,DZ129)),IF(OR(INDEX('Lease Cycles'!$DY$15:$EE$15,1,DZ129)=1,DZ130&gt;0),1,1-INDEX('Lease Cycles'!$DD$15:$DJ$15,1,DZ129))*('Lease Cycles'!$AJ$15*INDEX('Lease Cycles'!$FO$15:$FU$15,1,DZ129)+'Lease Cycles'!$BE$15*(1-INDEX('Lease Cycles'!$FO$15:$FU$15,1,DZ129)))),0)</f>
        <v>0</v>
      </c>
      <c r="EA139" s="24">
        <f>IF(EA131=1,'Lease Cycles'!$D$15*IF(INDEX('Lease Cycles'!$EF$15:$EL$15,1,EA129)=1,'Lease Cycles'!$AJ$15*INDEX('Lease Cycles'!$FO$15:$FU$15,1,EA129)*INDEX('Lease Cycles'!$EM$15:$ES$15,1,EA129)+'Lease Cycles'!$BE$15*IF(EA130&lt;INDEX('Lease Cycles'!$FA$15:$FG$15,1,EA129),0,1-INDEX('Lease Cycles'!$EM$15:$ES$15,1,EA129)),IF(OR(INDEX('Lease Cycles'!$DY$15:$EE$15,1,EA129)=1,EA130&gt;0),1,1-INDEX('Lease Cycles'!$DD$15:$DJ$15,1,EA129))*('Lease Cycles'!$AJ$15*INDEX('Lease Cycles'!$FO$15:$FU$15,1,EA129)+'Lease Cycles'!$BE$15*(1-INDEX('Lease Cycles'!$FO$15:$FU$15,1,EA129)))),0)</f>
        <v>0</v>
      </c>
      <c r="EB139" s="24">
        <f>IF(EB131=1,'Lease Cycles'!$D$15*IF(INDEX('Lease Cycles'!$EF$15:$EL$15,1,EB129)=1,'Lease Cycles'!$AJ$15*INDEX('Lease Cycles'!$FO$15:$FU$15,1,EB129)*INDEX('Lease Cycles'!$EM$15:$ES$15,1,EB129)+'Lease Cycles'!$BE$15*IF(EB130&lt;INDEX('Lease Cycles'!$FA$15:$FG$15,1,EB129),0,1-INDEX('Lease Cycles'!$EM$15:$ES$15,1,EB129)),IF(OR(INDEX('Lease Cycles'!$DY$15:$EE$15,1,EB129)=1,EB130&gt;0),1,1-INDEX('Lease Cycles'!$DD$15:$DJ$15,1,EB129))*('Lease Cycles'!$AJ$15*INDEX('Lease Cycles'!$FO$15:$FU$15,1,EB129)+'Lease Cycles'!$BE$15*(1-INDEX('Lease Cycles'!$FO$15:$FU$15,1,EB129)))),0)</f>
        <v>0</v>
      </c>
      <c r="EC139" s="24">
        <f>IF(EC131=1,'Lease Cycles'!$D$15*IF(INDEX('Lease Cycles'!$EF$15:$EL$15,1,EC129)=1,'Lease Cycles'!$AJ$15*INDEX('Lease Cycles'!$FO$15:$FU$15,1,EC129)*INDEX('Lease Cycles'!$EM$15:$ES$15,1,EC129)+'Lease Cycles'!$BE$15*IF(EC130&lt;INDEX('Lease Cycles'!$FA$15:$FG$15,1,EC129),0,1-INDEX('Lease Cycles'!$EM$15:$ES$15,1,EC129)),IF(OR(INDEX('Lease Cycles'!$DY$15:$EE$15,1,EC129)=1,EC130&gt;0),1,1-INDEX('Lease Cycles'!$DD$15:$DJ$15,1,EC129))*('Lease Cycles'!$AJ$15*INDEX('Lease Cycles'!$FO$15:$FU$15,1,EC129)+'Lease Cycles'!$BE$15*(1-INDEX('Lease Cycles'!$FO$15:$FU$15,1,EC129)))),0)</f>
        <v>0</v>
      </c>
      <c r="ED139" s="24">
        <f>IF(ED131=1,'Lease Cycles'!$D$15*IF(INDEX('Lease Cycles'!$EF$15:$EL$15,1,ED129)=1,'Lease Cycles'!$AJ$15*INDEX('Lease Cycles'!$FO$15:$FU$15,1,ED129)*INDEX('Lease Cycles'!$EM$15:$ES$15,1,ED129)+'Lease Cycles'!$BE$15*IF(ED130&lt;INDEX('Lease Cycles'!$FA$15:$FG$15,1,ED129),0,1-INDEX('Lease Cycles'!$EM$15:$ES$15,1,ED129)),IF(OR(INDEX('Lease Cycles'!$DY$15:$EE$15,1,ED129)=1,ED130&gt;0),1,1-INDEX('Lease Cycles'!$DD$15:$DJ$15,1,ED129))*('Lease Cycles'!$AJ$15*INDEX('Lease Cycles'!$FO$15:$FU$15,1,ED129)+'Lease Cycles'!$BE$15*(1-INDEX('Lease Cycles'!$FO$15:$FU$15,1,ED129)))),0)</f>
        <v>0</v>
      </c>
      <c r="EE139" s="24">
        <f>IF(EE131=1,'Lease Cycles'!$D$15*IF(INDEX('Lease Cycles'!$EF$15:$EL$15,1,EE129)=1,'Lease Cycles'!$AJ$15*INDEX('Lease Cycles'!$FO$15:$FU$15,1,EE129)*INDEX('Lease Cycles'!$EM$15:$ES$15,1,EE129)+'Lease Cycles'!$BE$15*IF(EE130&lt;INDEX('Lease Cycles'!$FA$15:$FG$15,1,EE129),0,1-INDEX('Lease Cycles'!$EM$15:$ES$15,1,EE129)),IF(OR(INDEX('Lease Cycles'!$DY$15:$EE$15,1,EE129)=1,EE130&gt;0),1,1-INDEX('Lease Cycles'!$DD$15:$DJ$15,1,EE129))*('Lease Cycles'!$AJ$15*INDEX('Lease Cycles'!$FO$15:$FU$15,1,EE129)+'Lease Cycles'!$BE$15*(1-INDEX('Lease Cycles'!$FO$15:$FU$15,1,EE129)))),0)</f>
        <v>0</v>
      </c>
      <c r="EF139" s="24">
        <f>IF(EF131=1,'Lease Cycles'!$D$15*IF(INDEX('Lease Cycles'!$EF$15:$EL$15,1,EF129)=1,'Lease Cycles'!$AJ$15*INDEX('Lease Cycles'!$FO$15:$FU$15,1,EF129)*INDEX('Lease Cycles'!$EM$15:$ES$15,1,EF129)+'Lease Cycles'!$BE$15*IF(EF130&lt;INDEX('Lease Cycles'!$FA$15:$FG$15,1,EF129),0,1-INDEX('Lease Cycles'!$EM$15:$ES$15,1,EF129)),IF(OR(INDEX('Lease Cycles'!$DY$15:$EE$15,1,EF129)=1,EF130&gt;0),1,1-INDEX('Lease Cycles'!$DD$15:$DJ$15,1,EF129))*('Lease Cycles'!$AJ$15*INDEX('Lease Cycles'!$FO$15:$FU$15,1,EF129)+'Lease Cycles'!$BE$15*(1-INDEX('Lease Cycles'!$FO$15:$FU$15,1,EF129)))),0)</f>
        <v>0</v>
      </c>
      <c r="EG139" s="24">
        <f>IF(EG131=1,'Lease Cycles'!$D$15*IF(INDEX('Lease Cycles'!$EF$15:$EL$15,1,EG129)=1,'Lease Cycles'!$AJ$15*INDEX('Lease Cycles'!$FO$15:$FU$15,1,EG129)*INDEX('Lease Cycles'!$EM$15:$ES$15,1,EG129)+'Lease Cycles'!$BE$15*IF(EG130&lt;INDEX('Lease Cycles'!$FA$15:$FG$15,1,EG129),0,1-INDEX('Lease Cycles'!$EM$15:$ES$15,1,EG129)),IF(OR(INDEX('Lease Cycles'!$DY$15:$EE$15,1,EG129)=1,EG130&gt;0),1,1-INDEX('Lease Cycles'!$DD$15:$DJ$15,1,EG129))*('Lease Cycles'!$AJ$15*INDEX('Lease Cycles'!$FO$15:$FU$15,1,EG129)+'Lease Cycles'!$BE$15*(1-INDEX('Lease Cycles'!$FO$15:$FU$15,1,EG129)))),0)</f>
        <v>0</v>
      </c>
      <c r="EH139" s="24">
        <f>IF(EH131=1,'Lease Cycles'!$D$15*IF(INDEX('Lease Cycles'!$EF$15:$EL$15,1,EH129)=1,'Lease Cycles'!$AJ$15*INDEX('Lease Cycles'!$FO$15:$FU$15,1,EH129)*INDEX('Lease Cycles'!$EM$15:$ES$15,1,EH129)+'Lease Cycles'!$BE$15*IF(EH130&lt;INDEX('Lease Cycles'!$FA$15:$FG$15,1,EH129),0,1-INDEX('Lease Cycles'!$EM$15:$ES$15,1,EH129)),IF(OR(INDEX('Lease Cycles'!$DY$15:$EE$15,1,EH129)=1,EH130&gt;0),1,1-INDEX('Lease Cycles'!$DD$15:$DJ$15,1,EH129))*('Lease Cycles'!$AJ$15*INDEX('Lease Cycles'!$FO$15:$FU$15,1,EH129)+'Lease Cycles'!$BE$15*(1-INDEX('Lease Cycles'!$FO$15:$FU$15,1,EH129)))),0)</f>
        <v>0</v>
      </c>
      <c r="EI139" s="24">
        <f>IF(EI131=1,'Lease Cycles'!$D$15*IF(INDEX('Lease Cycles'!$EF$15:$EL$15,1,EI129)=1,'Lease Cycles'!$AJ$15*INDEX('Lease Cycles'!$FO$15:$FU$15,1,EI129)*INDEX('Lease Cycles'!$EM$15:$ES$15,1,EI129)+'Lease Cycles'!$BE$15*IF(EI130&lt;INDEX('Lease Cycles'!$FA$15:$FG$15,1,EI129),0,1-INDEX('Lease Cycles'!$EM$15:$ES$15,1,EI129)),IF(OR(INDEX('Lease Cycles'!$DY$15:$EE$15,1,EI129)=1,EI130&gt;0),1,1-INDEX('Lease Cycles'!$DD$15:$DJ$15,1,EI129))*('Lease Cycles'!$AJ$15*INDEX('Lease Cycles'!$FO$15:$FU$15,1,EI129)+'Lease Cycles'!$BE$15*(1-INDEX('Lease Cycles'!$FO$15:$FU$15,1,EI129)))),0)</f>
        <v>0</v>
      </c>
      <c r="EJ139" s="24">
        <f>IF(EJ131=1,'Lease Cycles'!$D$15*IF(INDEX('Lease Cycles'!$EF$15:$EL$15,1,EJ129)=1,'Lease Cycles'!$AJ$15*INDEX('Lease Cycles'!$FO$15:$FU$15,1,EJ129)*INDEX('Lease Cycles'!$EM$15:$ES$15,1,EJ129)+'Lease Cycles'!$BE$15*IF(EJ130&lt;INDEX('Lease Cycles'!$FA$15:$FG$15,1,EJ129),0,1-INDEX('Lease Cycles'!$EM$15:$ES$15,1,EJ129)),IF(OR(INDEX('Lease Cycles'!$DY$15:$EE$15,1,EJ129)=1,EJ130&gt;0),1,1-INDEX('Lease Cycles'!$DD$15:$DJ$15,1,EJ129))*('Lease Cycles'!$AJ$15*INDEX('Lease Cycles'!$FO$15:$FU$15,1,EJ129)+'Lease Cycles'!$BE$15*(1-INDEX('Lease Cycles'!$FO$15:$FU$15,1,EJ129)))),0)</f>
        <v>0</v>
      </c>
      <c r="EK139" s="24">
        <f>IF(EK131=1,'Lease Cycles'!$D$15*IF(INDEX('Lease Cycles'!$EF$15:$EL$15,1,EK129)=1,'Lease Cycles'!$AJ$15*INDEX('Lease Cycles'!$FO$15:$FU$15,1,EK129)*INDEX('Lease Cycles'!$EM$15:$ES$15,1,EK129)+'Lease Cycles'!$BE$15*IF(EK130&lt;INDEX('Lease Cycles'!$FA$15:$FG$15,1,EK129),0,1-INDEX('Lease Cycles'!$EM$15:$ES$15,1,EK129)),IF(OR(INDEX('Lease Cycles'!$DY$15:$EE$15,1,EK129)=1,EK130&gt;0),1,1-INDEX('Lease Cycles'!$DD$15:$DJ$15,1,EK129))*('Lease Cycles'!$AJ$15*INDEX('Lease Cycles'!$FO$15:$FU$15,1,EK129)+'Lease Cycles'!$BE$15*(1-INDEX('Lease Cycles'!$FO$15:$FU$15,1,EK129)))),0)</f>
        <v>0</v>
      </c>
      <c r="EL139" s="24">
        <f>IF(EL131=1,'Lease Cycles'!$D$15*IF(INDEX('Lease Cycles'!$EF$15:$EL$15,1,EL129)=1,'Lease Cycles'!$AJ$15*INDEX('Lease Cycles'!$FO$15:$FU$15,1,EL129)*INDEX('Lease Cycles'!$EM$15:$ES$15,1,EL129)+'Lease Cycles'!$BE$15*IF(EL130&lt;INDEX('Lease Cycles'!$FA$15:$FG$15,1,EL129),0,1-INDEX('Lease Cycles'!$EM$15:$ES$15,1,EL129)),IF(OR(INDEX('Lease Cycles'!$DY$15:$EE$15,1,EL129)=1,EL130&gt;0),1,1-INDEX('Lease Cycles'!$DD$15:$DJ$15,1,EL129))*('Lease Cycles'!$AJ$15*INDEX('Lease Cycles'!$FO$15:$FU$15,1,EL129)+'Lease Cycles'!$BE$15*(1-INDEX('Lease Cycles'!$FO$15:$FU$15,1,EL129)))),0)</f>
        <v>0</v>
      </c>
      <c r="EM139" s="24">
        <f>IF(EM131=1,'Lease Cycles'!$D$15*IF(INDEX('Lease Cycles'!$EF$15:$EL$15,1,EM129)=1,'Lease Cycles'!$AJ$15*INDEX('Lease Cycles'!$FO$15:$FU$15,1,EM129)*INDEX('Lease Cycles'!$EM$15:$ES$15,1,EM129)+'Lease Cycles'!$BE$15*IF(EM130&lt;INDEX('Lease Cycles'!$FA$15:$FG$15,1,EM129),0,1-INDEX('Lease Cycles'!$EM$15:$ES$15,1,EM129)),IF(OR(INDEX('Lease Cycles'!$DY$15:$EE$15,1,EM129)=1,EM130&gt;0),1,1-INDEX('Lease Cycles'!$DD$15:$DJ$15,1,EM129))*('Lease Cycles'!$AJ$15*INDEX('Lease Cycles'!$FO$15:$FU$15,1,EM129)+'Lease Cycles'!$BE$15*(1-INDEX('Lease Cycles'!$FO$15:$FU$15,1,EM129)))),0)</f>
        <v>0</v>
      </c>
      <c r="EN139" s="24">
        <f>IF(EN131=1,'Lease Cycles'!$D$15*IF(INDEX('Lease Cycles'!$EF$15:$EL$15,1,EN129)=1,'Lease Cycles'!$AJ$15*INDEX('Lease Cycles'!$FO$15:$FU$15,1,EN129)*INDEX('Lease Cycles'!$EM$15:$ES$15,1,EN129)+'Lease Cycles'!$BE$15*IF(EN130&lt;INDEX('Lease Cycles'!$FA$15:$FG$15,1,EN129),0,1-INDEX('Lease Cycles'!$EM$15:$ES$15,1,EN129)),IF(OR(INDEX('Lease Cycles'!$DY$15:$EE$15,1,EN129)=1,EN130&gt;0),1,1-INDEX('Lease Cycles'!$DD$15:$DJ$15,1,EN129))*('Lease Cycles'!$AJ$15*INDEX('Lease Cycles'!$FO$15:$FU$15,1,EN129)+'Lease Cycles'!$BE$15*(1-INDEX('Lease Cycles'!$FO$15:$FU$15,1,EN129)))),0)</f>
        <v>0</v>
      </c>
      <c r="EO139" s="24">
        <f>IF(EO131=1,'Lease Cycles'!$D$15*IF(INDEX('Lease Cycles'!$EF$15:$EL$15,1,EO129)=1,'Lease Cycles'!$AJ$15*INDEX('Lease Cycles'!$FO$15:$FU$15,1,EO129)*INDEX('Lease Cycles'!$EM$15:$ES$15,1,EO129)+'Lease Cycles'!$BE$15*IF(EO130&lt;INDEX('Lease Cycles'!$FA$15:$FG$15,1,EO129),0,1-INDEX('Lease Cycles'!$EM$15:$ES$15,1,EO129)),IF(OR(INDEX('Lease Cycles'!$DY$15:$EE$15,1,EO129)=1,EO130&gt;0),1,1-INDEX('Lease Cycles'!$DD$15:$DJ$15,1,EO129))*('Lease Cycles'!$AJ$15*INDEX('Lease Cycles'!$FO$15:$FU$15,1,EO129)+'Lease Cycles'!$BE$15*(1-INDEX('Lease Cycles'!$FO$15:$FU$15,1,EO129)))),0)</f>
        <v>0</v>
      </c>
      <c r="EP139" s="24">
        <f>IF(EP131=1,'Lease Cycles'!$D$15*IF(INDEX('Lease Cycles'!$EF$15:$EL$15,1,EP129)=1,'Lease Cycles'!$AJ$15*INDEX('Lease Cycles'!$FO$15:$FU$15,1,EP129)*INDEX('Lease Cycles'!$EM$15:$ES$15,1,EP129)+'Lease Cycles'!$BE$15*IF(EP130&lt;INDEX('Lease Cycles'!$FA$15:$FG$15,1,EP129),0,1-INDEX('Lease Cycles'!$EM$15:$ES$15,1,EP129)),IF(OR(INDEX('Lease Cycles'!$DY$15:$EE$15,1,EP129)=1,EP130&gt;0),1,1-INDEX('Lease Cycles'!$DD$15:$DJ$15,1,EP129))*('Lease Cycles'!$AJ$15*INDEX('Lease Cycles'!$FO$15:$FU$15,1,EP129)+'Lease Cycles'!$BE$15*(1-INDEX('Lease Cycles'!$FO$15:$FU$15,1,EP129)))),0)</f>
        <v>0</v>
      </c>
      <c r="EQ139" s="24">
        <f>IF(EQ131=1,'Lease Cycles'!$D$15*IF(INDEX('Lease Cycles'!$EF$15:$EL$15,1,EQ129)=1,'Lease Cycles'!$AJ$15*INDEX('Lease Cycles'!$FO$15:$FU$15,1,EQ129)*INDEX('Lease Cycles'!$EM$15:$ES$15,1,EQ129)+'Lease Cycles'!$BE$15*IF(EQ130&lt;INDEX('Lease Cycles'!$FA$15:$FG$15,1,EQ129),0,1-INDEX('Lease Cycles'!$EM$15:$ES$15,1,EQ129)),IF(OR(INDEX('Lease Cycles'!$DY$15:$EE$15,1,EQ129)=1,EQ130&gt;0),1,1-INDEX('Lease Cycles'!$DD$15:$DJ$15,1,EQ129))*('Lease Cycles'!$AJ$15*INDEX('Lease Cycles'!$FO$15:$FU$15,1,EQ129)+'Lease Cycles'!$BE$15*(1-INDEX('Lease Cycles'!$FO$15:$FU$15,1,EQ129)))),0)</f>
        <v>0</v>
      </c>
      <c r="ER139" s="24">
        <f>IF(ER131=1,'Lease Cycles'!$D$15*IF(INDEX('Lease Cycles'!$EF$15:$EL$15,1,ER129)=1,'Lease Cycles'!$AJ$15*INDEX('Lease Cycles'!$FO$15:$FU$15,1,ER129)*INDEX('Lease Cycles'!$EM$15:$ES$15,1,ER129)+'Lease Cycles'!$BE$15*IF(ER130&lt;INDEX('Lease Cycles'!$FA$15:$FG$15,1,ER129),0,1-INDEX('Lease Cycles'!$EM$15:$ES$15,1,ER129)),IF(OR(INDEX('Lease Cycles'!$DY$15:$EE$15,1,ER129)=1,ER130&gt;0),1,1-INDEX('Lease Cycles'!$DD$15:$DJ$15,1,ER129))*('Lease Cycles'!$AJ$15*INDEX('Lease Cycles'!$FO$15:$FU$15,1,ER129)+'Lease Cycles'!$BE$15*(1-INDEX('Lease Cycles'!$FO$15:$FU$15,1,ER129)))),0)</f>
        <v>0</v>
      </c>
      <c r="ES139" s="24">
        <f>IF(ES131=1,'Lease Cycles'!$D$15*IF(INDEX('Lease Cycles'!$EF$15:$EL$15,1,ES129)=1,'Lease Cycles'!$AJ$15*INDEX('Lease Cycles'!$FO$15:$FU$15,1,ES129)*INDEX('Lease Cycles'!$EM$15:$ES$15,1,ES129)+'Lease Cycles'!$BE$15*IF(ES130&lt;INDEX('Lease Cycles'!$FA$15:$FG$15,1,ES129),0,1-INDEX('Lease Cycles'!$EM$15:$ES$15,1,ES129)),IF(OR(INDEX('Lease Cycles'!$DY$15:$EE$15,1,ES129)=1,ES130&gt;0),1,1-INDEX('Lease Cycles'!$DD$15:$DJ$15,1,ES129))*('Lease Cycles'!$AJ$15*INDEX('Lease Cycles'!$FO$15:$FU$15,1,ES129)+'Lease Cycles'!$BE$15*(1-INDEX('Lease Cycles'!$FO$15:$FU$15,1,ES129)))),0)</f>
        <v>0</v>
      </c>
      <c r="ET139" s="24">
        <f>IF(ET131=1,'Lease Cycles'!$D$15*IF(INDEX('Lease Cycles'!$EF$15:$EL$15,1,ET129)=1,'Lease Cycles'!$AJ$15*INDEX('Lease Cycles'!$FO$15:$FU$15,1,ET129)*INDEX('Lease Cycles'!$EM$15:$ES$15,1,ET129)+'Lease Cycles'!$BE$15*IF(ET130&lt;INDEX('Lease Cycles'!$FA$15:$FG$15,1,ET129),0,1-INDEX('Lease Cycles'!$EM$15:$ES$15,1,ET129)),IF(OR(INDEX('Lease Cycles'!$DY$15:$EE$15,1,ET129)=1,ET130&gt;0),1,1-INDEX('Lease Cycles'!$DD$15:$DJ$15,1,ET129))*('Lease Cycles'!$AJ$15*INDEX('Lease Cycles'!$FO$15:$FU$15,1,ET129)+'Lease Cycles'!$BE$15*(1-INDEX('Lease Cycles'!$FO$15:$FU$15,1,ET129)))),0)</f>
        <v>0</v>
      </c>
    </row>
    <row r="140">
      <c r="A140" s="103">
        <v>8</v>
      </c>
      <c r="B140" s="23" t="str">
        <f>IF('Lease Cycles'!$B$15="","(empty slot)",'Lease Cycles'!$B$15)</f>
        <v>Sunfield Bagels</v>
      </c>
      <c r="C140" s="23" t="s">
        <v>689</v>
      </c>
      <c r="D140" s="104" t="s">
        <v>690</v>
      </c>
      <c r="E140" s="25">
        <f>'Lease Cycles'!$AL$15</f>
        <v>0</v>
      </c>
      <c r="G140" s="28">
        <f>SUM(S140:AD140)</f>
        <v>0</v>
      </c>
      <c r="H140" s="28">
        <f>SUM(AE140:AP140)</f>
        <v>0</v>
      </c>
      <c r="I140" s="28">
        <f>SUM(AQ140:BB140)</f>
        <v>0</v>
      </c>
      <c r="J140" s="28">
        <f>SUM(BC140:BN140)</f>
        <v>0</v>
      </c>
      <c r="K140" s="28">
        <f>SUM(BO140:BZ140)</f>
        <v>0</v>
      </c>
      <c r="L140" s="28">
        <f>SUM(CA140:CL140)</f>
        <v>0</v>
      </c>
      <c r="M140" s="28">
        <f>SUM(CM140:CX140)</f>
        <v>0</v>
      </c>
      <c r="N140" s="28">
        <f>SUM(CY140:DJ140)</f>
        <v>0</v>
      </c>
      <c r="O140" s="28">
        <f>SUM(DK140:DV140)</f>
        <v>0</v>
      </c>
      <c r="P140" s="28">
        <f>SUM(DW140:EH140)</f>
        <v>0</v>
      </c>
      <c r="Q140" s="28">
        <f>SUM(EI140:ET140)</f>
        <v>0</v>
      </c>
      <c r="S140" s="28">
        <f>IF(S139=0,0,S139*MAX(0,(INDEX(c_CAMy,1,S$7)-INDEX(c_CAMy,1,INDEX('Lease Cycles'!$GC$15:$GI$15,1,S129)+1))*(1+'Lease Cycles'!$AK$15)+(INDEX(c_TAXy,1,S$7)-INDEX(c_TAXy,1,INDEX('Lease Cycles'!$GC$15:$GI$15,1,S129)+1))+(INDEX(c_INSy,1,S$7)-INDEX(c_INSy,1,INDEX('Lease Cycles'!$GC$15:$GI$15,1,S129)+1)))/12)</f>
        <v>0</v>
      </c>
      <c r="T140" s="28">
        <f>IF(T139=0,0,T139*MAX(0,(INDEX(c_CAMy,1,T$7)-INDEX(c_CAMy,1,INDEX('Lease Cycles'!$GC$15:$GI$15,1,T129)+1))*(1+'Lease Cycles'!$AK$15)+(INDEX(c_TAXy,1,T$7)-INDEX(c_TAXy,1,INDEX('Lease Cycles'!$GC$15:$GI$15,1,T129)+1))+(INDEX(c_INSy,1,T$7)-INDEX(c_INSy,1,INDEX('Lease Cycles'!$GC$15:$GI$15,1,T129)+1)))/12)</f>
        <v>0</v>
      </c>
      <c r="U140" s="28">
        <f>IF(U139=0,0,U139*MAX(0,(INDEX(c_CAMy,1,U$7)-INDEX(c_CAMy,1,INDEX('Lease Cycles'!$GC$15:$GI$15,1,U129)+1))*(1+'Lease Cycles'!$AK$15)+(INDEX(c_TAXy,1,U$7)-INDEX(c_TAXy,1,INDEX('Lease Cycles'!$GC$15:$GI$15,1,U129)+1))+(INDEX(c_INSy,1,U$7)-INDEX(c_INSy,1,INDEX('Lease Cycles'!$GC$15:$GI$15,1,U129)+1)))/12)</f>
        <v>0</v>
      </c>
      <c r="V140" s="28">
        <f>IF(V139=0,0,V139*MAX(0,(INDEX(c_CAMy,1,V$7)-INDEX(c_CAMy,1,INDEX('Lease Cycles'!$GC$15:$GI$15,1,V129)+1))*(1+'Lease Cycles'!$AK$15)+(INDEX(c_TAXy,1,V$7)-INDEX(c_TAXy,1,INDEX('Lease Cycles'!$GC$15:$GI$15,1,V129)+1))+(INDEX(c_INSy,1,V$7)-INDEX(c_INSy,1,INDEX('Lease Cycles'!$GC$15:$GI$15,1,V129)+1)))/12)</f>
        <v>0</v>
      </c>
      <c r="W140" s="28">
        <f>IF(W139=0,0,W139*MAX(0,(INDEX(c_CAMy,1,W$7)-INDEX(c_CAMy,1,INDEX('Lease Cycles'!$GC$15:$GI$15,1,W129)+1))*(1+'Lease Cycles'!$AK$15)+(INDEX(c_TAXy,1,W$7)-INDEX(c_TAXy,1,INDEX('Lease Cycles'!$GC$15:$GI$15,1,W129)+1))+(INDEX(c_INSy,1,W$7)-INDEX(c_INSy,1,INDEX('Lease Cycles'!$GC$15:$GI$15,1,W129)+1)))/12)</f>
        <v>0</v>
      </c>
      <c r="X140" s="28">
        <f>IF(X139=0,0,X139*MAX(0,(INDEX(c_CAMy,1,X$7)-INDEX(c_CAMy,1,INDEX('Lease Cycles'!$GC$15:$GI$15,1,X129)+1))*(1+'Lease Cycles'!$AK$15)+(INDEX(c_TAXy,1,X$7)-INDEX(c_TAXy,1,INDEX('Lease Cycles'!$GC$15:$GI$15,1,X129)+1))+(INDEX(c_INSy,1,X$7)-INDEX(c_INSy,1,INDEX('Lease Cycles'!$GC$15:$GI$15,1,X129)+1)))/12)</f>
        <v>0</v>
      </c>
      <c r="Y140" s="28">
        <f>IF(Y139=0,0,Y139*MAX(0,(INDEX(c_CAMy,1,Y$7)-INDEX(c_CAMy,1,INDEX('Lease Cycles'!$GC$15:$GI$15,1,Y129)+1))*(1+'Lease Cycles'!$AK$15)+(INDEX(c_TAXy,1,Y$7)-INDEX(c_TAXy,1,INDEX('Lease Cycles'!$GC$15:$GI$15,1,Y129)+1))+(INDEX(c_INSy,1,Y$7)-INDEX(c_INSy,1,INDEX('Lease Cycles'!$GC$15:$GI$15,1,Y129)+1)))/12)</f>
        <v>0</v>
      </c>
      <c r="Z140" s="28">
        <f>IF(Z139=0,0,Z139*MAX(0,(INDEX(c_CAMy,1,Z$7)-INDEX(c_CAMy,1,INDEX('Lease Cycles'!$GC$15:$GI$15,1,Z129)+1))*(1+'Lease Cycles'!$AK$15)+(INDEX(c_TAXy,1,Z$7)-INDEX(c_TAXy,1,INDEX('Lease Cycles'!$GC$15:$GI$15,1,Z129)+1))+(INDEX(c_INSy,1,Z$7)-INDEX(c_INSy,1,INDEX('Lease Cycles'!$GC$15:$GI$15,1,Z129)+1)))/12)</f>
        <v>0</v>
      </c>
      <c r="AA140" s="28">
        <f>IF(AA139=0,0,AA139*MAX(0,(INDEX(c_CAMy,1,AA$7)-INDEX(c_CAMy,1,INDEX('Lease Cycles'!$GC$15:$GI$15,1,AA129)+1))*(1+'Lease Cycles'!$AK$15)+(INDEX(c_TAXy,1,AA$7)-INDEX(c_TAXy,1,INDEX('Lease Cycles'!$GC$15:$GI$15,1,AA129)+1))+(INDEX(c_INSy,1,AA$7)-INDEX(c_INSy,1,INDEX('Lease Cycles'!$GC$15:$GI$15,1,AA129)+1)))/12)</f>
        <v>0</v>
      </c>
      <c r="AB140" s="28">
        <f>IF(AB139=0,0,AB139*MAX(0,(INDEX(c_CAMy,1,AB$7)-INDEX(c_CAMy,1,INDEX('Lease Cycles'!$GC$15:$GI$15,1,AB129)+1))*(1+'Lease Cycles'!$AK$15)+(INDEX(c_TAXy,1,AB$7)-INDEX(c_TAXy,1,INDEX('Lease Cycles'!$GC$15:$GI$15,1,AB129)+1))+(INDEX(c_INSy,1,AB$7)-INDEX(c_INSy,1,INDEX('Lease Cycles'!$GC$15:$GI$15,1,AB129)+1)))/12)</f>
        <v>0</v>
      </c>
      <c r="AC140" s="28">
        <f>IF(AC139=0,0,AC139*MAX(0,(INDEX(c_CAMy,1,AC$7)-INDEX(c_CAMy,1,INDEX('Lease Cycles'!$GC$15:$GI$15,1,AC129)+1))*(1+'Lease Cycles'!$AK$15)+(INDEX(c_TAXy,1,AC$7)-INDEX(c_TAXy,1,INDEX('Lease Cycles'!$GC$15:$GI$15,1,AC129)+1))+(INDEX(c_INSy,1,AC$7)-INDEX(c_INSy,1,INDEX('Lease Cycles'!$GC$15:$GI$15,1,AC129)+1)))/12)</f>
        <v>0</v>
      </c>
      <c r="AD140" s="28">
        <f>IF(AD139=0,0,AD139*MAX(0,(INDEX(c_CAMy,1,AD$7)-INDEX(c_CAMy,1,INDEX('Lease Cycles'!$GC$15:$GI$15,1,AD129)+1))*(1+'Lease Cycles'!$AK$15)+(INDEX(c_TAXy,1,AD$7)-INDEX(c_TAXy,1,INDEX('Lease Cycles'!$GC$15:$GI$15,1,AD129)+1))+(INDEX(c_INSy,1,AD$7)-INDEX(c_INSy,1,INDEX('Lease Cycles'!$GC$15:$GI$15,1,AD129)+1)))/12)</f>
        <v>0</v>
      </c>
      <c r="AE140" s="28">
        <f>IF(AE139=0,0,AE139*MAX(0,(INDEX(c_CAMy,1,AE$7)-INDEX(c_CAMy,1,INDEX('Lease Cycles'!$GC$15:$GI$15,1,AE129)+1))*(1+'Lease Cycles'!$AK$15)+(INDEX(c_TAXy,1,AE$7)-INDEX(c_TAXy,1,INDEX('Lease Cycles'!$GC$15:$GI$15,1,AE129)+1))+(INDEX(c_INSy,1,AE$7)-INDEX(c_INSy,1,INDEX('Lease Cycles'!$GC$15:$GI$15,1,AE129)+1)))/12)</f>
        <v>0</v>
      </c>
      <c r="AF140" s="28">
        <f>IF(AF139=0,0,AF139*MAX(0,(INDEX(c_CAMy,1,AF$7)-INDEX(c_CAMy,1,INDEX('Lease Cycles'!$GC$15:$GI$15,1,AF129)+1))*(1+'Lease Cycles'!$AK$15)+(INDEX(c_TAXy,1,AF$7)-INDEX(c_TAXy,1,INDEX('Lease Cycles'!$GC$15:$GI$15,1,AF129)+1))+(INDEX(c_INSy,1,AF$7)-INDEX(c_INSy,1,INDEX('Lease Cycles'!$GC$15:$GI$15,1,AF129)+1)))/12)</f>
        <v>0</v>
      </c>
      <c r="AG140" s="28">
        <f>IF(AG139=0,0,AG139*MAX(0,(INDEX(c_CAMy,1,AG$7)-INDEX(c_CAMy,1,INDEX('Lease Cycles'!$GC$15:$GI$15,1,AG129)+1))*(1+'Lease Cycles'!$AK$15)+(INDEX(c_TAXy,1,AG$7)-INDEX(c_TAXy,1,INDEX('Lease Cycles'!$GC$15:$GI$15,1,AG129)+1))+(INDEX(c_INSy,1,AG$7)-INDEX(c_INSy,1,INDEX('Lease Cycles'!$GC$15:$GI$15,1,AG129)+1)))/12)</f>
        <v>0</v>
      </c>
      <c r="AH140" s="28">
        <f>IF(AH139=0,0,AH139*MAX(0,(INDEX(c_CAMy,1,AH$7)-INDEX(c_CAMy,1,INDEX('Lease Cycles'!$GC$15:$GI$15,1,AH129)+1))*(1+'Lease Cycles'!$AK$15)+(INDEX(c_TAXy,1,AH$7)-INDEX(c_TAXy,1,INDEX('Lease Cycles'!$GC$15:$GI$15,1,AH129)+1))+(INDEX(c_INSy,1,AH$7)-INDEX(c_INSy,1,INDEX('Lease Cycles'!$GC$15:$GI$15,1,AH129)+1)))/12)</f>
        <v>0</v>
      </c>
      <c r="AI140" s="28">
        <f>IF(AI139=0,0,AI139*MAX(0,(INDEX(c_CAMy,1,AI$7)-INDEX(c_CAMy,1,INDEX('Lease Cycles'!$GC$15:$GI$15,1,AI129)+1))*(1+'Lease Cycles'!$AK$15)+(INDEX(c_TAXy,1,AI$7)-INDEX(c_TAXy,1,INDEX('Lease Cycles'!$GC$15:$GI$15,1,AI129)+1))+(INDEX(c_INSy,1,AI$7)-INDEX(c_INSy,1,INDEX('Lease Cycles'!$GC$15:$GI$15,1,AI129)+1)))/12)</f>
        <v>0</v>
      </c>
      <c r="AJ140" s="28">
        <f>IF(AJ139=0,0,AJ139*MAX(0,(INDEX(c_CAMy,1,AJ$7)-INDEX(c_CAMy,1,INDEX('Lease Cycles'!$GC$15:$GI$15,1,AJ129)+1))*(1+'Lease Cycles'!$AK$15)+(INDEX(c_TAXy,1,AJ$7)-INDEX(c_TAXy,1,INDEX('Lease Cycles'!$GC$15:$GI$15,1,AJ129)+1))+(INDEX(c_INSy,1,AJ$7)-INDEX(c_INSy,1,INDEX('Lease Cycles'!$GC$15:$GI$15,1,AJ129)+1)))/12)</f>
        <v>0</v>
      </c>
      <c r="AK140" s="28">
        <f>IF(AK139=0,0,AK139*MAX(0,(INDEX(c_CAMy,1,AK$7)-INDEX(c_CAMy,1,INDEX('Lease Cycles'!$GC$15:$GI$15,1,AK129)+1))*(1+'Lease Cycles'!$AK$15)+(INDEX(c_TAXy,1,AK$7)-INDEX(c_TAXy,1,INDEX('Lease Cycles'!$GC$15:$GI$15,1,AK129)+1))+(INDEX(c_INSy,1,AK$7)-INDEX(c_INSy,1,INDEX('Lease Cycles'!$GC$15:$GI$15,1,AK129)+1)))/12)</f>
        <v>0</v>
      </c>
      <c r="AL140" s="28">
        <f>IF(AL139=0,0,AL139*MAX(0,(INDEX(c_CAMy,1,AL$7)-INDEX(c_CAMy,1,INDEX('Lease Cycles'!$GC$15:$GI$15,1,AL129)+1))*(1+'Lease Cycles'!$AK$15)+(INDEX(c_TAXy,1,AL$7)-INDEX(c_TAXy,1,INDEX('Lease Cycles'!$GC$15:$GI$15,1,AL129)+1))+(INDEX(c_INSy,1,AL$7)-INDEX(c_INSy,1,INDEX('Lease Cycles'!$GC$15:$GI$15,1,AL129)+1)))/12)</f>
        <v>0</v>
      </c>
      <c r="AM140" s="28">
        <f>IF(AM139=0,0,AM139*MAX(0,(INDEX(c_CAMy,1,AM$7)-INDEX(c_CAMy,1,INDEX('Lease Cycles'!$GC$15:$GI$15,1,AM129)+1))*(1+'Lease Cycles'!$AK$15)+(INDEX(c_TAXy,1,AM$7)-INDEX(c_TAXy,1,INDEX('Lease Cycles'!$GC$15:$GI$15,1,AM129)+1))+(INDEX(c_INSy,1,AM$7)-INDEX(c_INSy,1,INDEX('Lease Cycles'!$GC$15:$GI$15,1,AM129)+1)))/12)</f>
        <v>0</v>
      </c>
      <c r="AN140" s="28">
        <f>IF(AN139=0,0,AN139*MAX(0,(INDEX(c_CAMy,1,AN$7)-INDEX(c_CAMy,1,INDEX('Lease Cycles'!$GC$15:$GI$15,1,AN129)+1))*(1+'Lease Cycles'!$AK$15)+(INDEX(c_TAXy,1,AN$7)-INDEX(c_TAXy,1,INDEX('Lease Cycles'!$GC$15:$GI$15,1,AN129)+1))+(INDEX(c_INSy,1,AN$7)-INDEX(c_INSy,1,INDEX('Lease Cycles'!$GC$15:$GI$15,1,AN129)+1)))/12)</f>
        <v>0</v>
      </c>
      <c r="AO140" s="28">
        <f>IF(AO139=0,0,AO139*MAX(0,(INDEX(c_CAMy,1,AO$7)-INDEX(c_CAMy,1,INDEX('Lease Cycles'!$GC$15:$GI$15,1,AO129)+1))*(1+'Lease Cycles'!$AK$15)+(INDEX(c_TAXy,1,AO$7)-INDEX(c_TAXy,1,INDEX('Lease Cycles'!$GC$15:$GI$15,1,AO129)+1))+(INDEX(c_INSy,1,AO$7)-INDEX(c_INSy,1,INDEX('Lease Cycles'!$GC$15:$GI$15,1,AO129)+1)))/12)</f>
        <v>0</v>
      </c>
      <c r="AP140" s="28">
        <f>IF(AP139=0,0,AP139*MAX(0,(INDEX(c_CAMy,1,AP$7)-INDEX(c_CAMy,1,INDEX('Lease Cycles'!$GC$15:$GI$15,1,AP129)+1))*(1+'Lease Cycles'!$AK$15)+(INDEX(c_TAXy,1,AP$7)-INDEX(c_TAXy,1,INDEX('Lease Cycles'!$GC$15:$GI$15,1,AP129)+1))+(INDEX(c_INSy,1,AP$7)-INDEX(c_INSy,1,INDEX('Lease Cycles'!$GC$15:$GI$15,1,AP129)+1)))/12)</f>
        <v>0</v>
      </c>
      <c r="AQ140" s="28">
        <f>IF(AQ139=0,0,AQ139*MAX(0,(INDEX(c_CAMy,1,AQ$7)-INDEX(c_CAMy,1,INDEX('Lease Cycles'!$GC$15:$GI$15,1,AQ129)+1))*(1+'Lease Cycles'!$AK$15)+(INDEX(c_TAXy,1,AQ$7)-INDEX(c_TAXy,1,INDEX('Lease Cycles'!$GC$15:$GI$15,1,AQ129)+1))+(INDEX(c_INSy,1,AQ$7)-INDEX(c_INSy,1,INDEX('Lease Cycles'!$GC$15:$GI$15,1,AQ129)+1)))/12)</f>
        <v>0</v>
      </c>
      <c r="AR140" s="28">
        <f>IF(AR139=0,0,AR139*MAX(0,(INDEX(c_CAMy,1,AR$7)-INDEX(c_CAMy,1,INDEX('Lease Cycles'!$GC$15:$GI$15,1,AR129)+1))*(1+'Lease Cycles'!$AK$15)+(INDEX(c_TAXy,1,AR$7)-INDEX(c_TAXy,1,INDEX('Lease Cycles'!$GC$15:$GI$15,1,AR129)+1))+(INDEX(c_INSy,1,AR$7)-INDEX(c_INSy,1,INDEX('Lease Cycles'!$GC$15:$GI$15,1,AR129)+1)))/12)</f>
        <v>0</v>
      </c>
      <c r="AS140" s="28">
        <f>IF(AS139=0,0,AS139*MAX(0,(INDEX(c_CAMy,1,AS$7)-INDEX(c_CAMy,1,INDEX('Lease Cycles'!$GC$15:$GI$15,1,AS129)+1))*(1+'Lease Cycles'!$AK$15)+(INDEX(c_TAXy,1,AS$7)-INDEX(c_TAXy,1,INDEX('Lease Cycles'!$GC$15:$GI$15,1,AS129)+1))+(INDEX(c_INSy,1,AS$7)-INDEX(c_INSy,1,INDEX('Lease Cycles'!$GC$15:$GI$15,1,AS129)+1)))/12)</f>
        <v>0</v>
      </c>
      <c r="AT140" s="28">
        <f>IF(AT139=0,0,AT139*MAX(0,(INDEX(c_CAMy,1,AT$7)-INDEX(c_CAMy,1,INDEX('Lease Cycles'!$GC$15:$GI$15,1,AT129)+1))*(1+'Lease Cycles'!$AK$15)+(INDEX(c_TAXy,1,AT$7)-INDEX(c_TAXy,1,INDEX('Lease Cycles'!$GC$15:$GI$15,1,AT129)+1))+(INDEX(c_INSy,1,AT$7)-INDEX(c_INSy,1,INDEX('Lease Cycles'!$GC$15:$GI$15,1,AT129)+1)))/12)</f>
        <v>0</v>
      </c>
      <c r="AU140" s="28">
        <f>IF(AU139=0,0,AU139*MAX(0,(INDEX(c_CAMy,1,AU$7)-INDEX(c_CAMy,1,INDEX('Lease Cycles'!$GC$15:$GI$15,1,AU129)+1))*(1+'Lease Cycles'!$AK$15)+(INDEX(c_TAXy,1,AU$7)-INDEX(c_TAXy,1,INDEX('Lease Cycles'!$GC$15:$GI$15,1,AU129)+1))+(INDEX(c_INSy,1,AU$7)-INDEX(c_INSy,1,INDEX('Lease Cycles'!$GC$15:$GI$15,1,AU129)+1)))/12)</f>
        <v>0</v>
      </c>
      <c r="AV140" s="28">
        <f>IF(AV139=0,0,AV139*MAX(0,(INDEX(c_CAMy,1,AV$7)-INDEX(c_CAMy,1,INDEX('Lease Cycles'!$GC$15:$GI$15,1,AV129)+1))*(1+'Lease Cycles'!$AK$15)+(INDEX(c_TAXy,1,AV$7)-INDEX(c_TAXy,1,INDEX('Lease Cycles'!$GC$15:$GI$15,1,AV129)+1))+(INDEX(c_INSy,1,AV$7)-INDEX(c_INSy,1,INDEX('Lease Cycles'!$GC$15:$GI$15,1,AV129)+1)))/12)</f>
        <v>0</v>
      </c>
      <c r="AW140" s="28">
        <f>IF(AW139=0,0,AW139*MAX(0,(INDEX(c_CAMy,1,AW$7)-INDEX(c_CAMy,1,INDEX('Lease Cycles'!$GC$15:$GI$15,1,AW129)+1))*(1+'Lease Cycles'!$AK$15)+(INDEX(c_TAXy,1,AW$7)-INDEX(c_TAXy,1,INDEX('Lease Cycles'!$GC$15:$GI$15,1,AW129)+1))+(INDEX(c_INSy,1,AW$7)-INDEX(c_INSy,1,INDEX('Lease Cycles'!$GC$15:$GI$15,1,AW129)+1)))/12)</f>
        <v>0</v>
      </c>
      <c r="AX140" s="28">
        <f>IF(AX139=0,0,AX139*MAX(0,(INDEX(c_CAMy,1,AX$7)-INDEX(c_CAMy,1,INDEX('Lease Cycles'!$GC$15:$GI$15,1,AX129)+1))*(1+'Lease Cycles'!$AK$15)+(INDEX(c_TAXy,1,AX$7)-INDEX(c_TAXy,1,INDEX('Lease Cycles'!$GC$15:$GI$15,1,AX129)+1))+(INDEX(c_INSy,1,AX$7)-INDEX(c_INSy,1,INDEX('Lease Cycles'!$GC$15:$GI$15,1,AX129)+1)))/12)</f>
        <v>0</v>
      </c>
      <c r="AY140" s="28">
        <f>IF(AY139=0,0,AY139*MAX(0,(INDEX(c_CAMy,1,AY$7)-INDEX(c_CAMy,1,INDEX('Lease Cycles'!$GC$15:$GI$15,1,AY129)+1))*(1+'Lease Cycles'!$AK$15)+(INDEX(c_TAXy,1,AY$7)-INDEX(c_TAXy,1,INDEX('Lease Cycles'!$GC$15:$GI$15,1,AY129)+1))+(INDEX(c_INSy,1,AY$7)-INDEX(c_INSy,1,INDEX('Lease Cycles'!$GC$15:$GI$15,1,AY129)+1)))/12)</f>
        <v>0</v>
      </c>
      <c r="AZ140" s="28">
        <f>IF(AZ139=0,0,AZ139*MAX(0,(INDEX(c_CAMy,1,AZ$7)-INDEX(c_CAMy,1,INDEX('Lease Cycles'!$GC$15:$GI$15,1,AZ129)+1))*(1+'Lease Cycles'!$AK$15)+(INDEX(c_TAXy,1,AZ$7)-INDEX(c_TAXy,1,INDEX('Lease Cycles'!$GC$15:$GI$15,1,AZ129)+1))+(INDEX(c_INSy,1,AZ$7)-INDEX(c_INSy,1,INDEX('Lease Cycles'!$GC$15:$GI$15,1,AZ129)+1)))/12)</f>
        <v>0</v>
      </c>
      <c r="BA140" s="28">
        <f>IF(BA139=0,0,BA139*MAX(0,(INDEX(c_CAMy,1,BA$7)-INDEX(c_CAMy,1,INDEX('Lease Cycles'!$GC$15:$GI$15,1,BA129)+1))*(1+'Lease Cycles'!$AK$15)+(INDEX(c_TAXy,1,BA$7)-INDEX(c_TAXy,1,INDEX('Lease Cycles'!$GC$15:$GI$15,1,BA129)+1))+(INDEX(c_INSy,1,BA$7)-INDEX(c_INSy,1,INDEX('Lease Cycles'!$GC$15:$GI$15,1,BA129)+1)))/12)</f>
        <v>0</v>
      </c>
      <c r="BB140" s="28">
        <f>IF(BB139=0,0,BB139*MAX(0,(INDEX(c_CAMy,1,BB$7)-INDEX(c_CAMy,1,INDEX('Lease Cycles'!$GC$15:$GI$15,1,BB129)+1))*(1+'Lease Cycles'!$AK$15)+(INDEX(c_TAXy,1,BB$7)-INDEX(c_TAXy,1,INDEX('Lease Cycles'!$GC$15:$GI$15,1,BB129)+1))+(INDEX(c_INSy,1,BB$7)-INDEX(c_INSy,1,INDEX('Lease Cycles'!$GC$15:$GI$15,1,BB129)+1)))/12)</f>
        <v>0</v>
      </c>
      <c r="BC140" s="28">
        <f>IF(BC139=0,0,BC139*MAX(0,(INDEX(c_CAMy,1,BC$7)-INDEX(c_CAMy,1,INDEX('Lease Cycles'!$GC$15:$GI$15,1,BC129)+1))*(1+'Lease Cycles'!$AK$15)+(INDEX(c_TAXy,1,BC$7)-INDEX(c_TAXy,1,INDEX('Lease Cycles'!$GC$15:$GI$15,1,BC129)+1))+(INDEX(c_INSy,1,BC$7)-INDEX(c_INSy,1,INDEX('Lease Cycles'!$GC$15:$GI$15,1,BC129)+1)))/12)</f>
        <v>0</v>
      </c>
      <c r="BD140" s="28">
        <f>IF(BD139=0,0,BD139*MAX(0,(INDEX(c_CAMy,1,BD$7)-INDEX(c_CAMy,1,INDEX('Lease Cycles'!$GC$15:$GI$15,1,BD129)+1))*(1+'Lease Cycles'!$AK$15)+(INDEX(c_TAXy,1,BD$7)-INDEX(c_TAXy,1,INDEX('Lease Cycles'!$GC$15:$GI$15,1,BD129)+1))+(INDEX(c_INSy,1,BD$7)-INDEX(c_INSy,1,INDEX('Lease Cycles'!$GC$15:$GI$15,1,BD129)+1)))/12)</f>
        <v>0</v>
      </c>
      <c r="BE140" s="28">
        <f>IF(BE139=0,0,BE139*MAX(0,(INDEX(c_CAMy,1,BE$7)-INDEX(c_CAMy,1,INDEX('Lease Cycles'!$GC$15:$GI$15,1,BE129)+1))*(1+'Lease Cycles'!$AK$15)+(INDEX(c_TAXy,1,BE$7)-INDEX(c_TAXy,1,INDEX('Lease Cycles'!$GC$15:$GI$15,1,BE129)+1))+(INDEX(c_INSy,1,BE$7)-INDEX(c_INSy,1,INDEX('Lease Cycles'!$GC$15:$GI$15,1,BE129)+1)))/12)</f>
        <v>0</v>
      </c>
      <c r="BF140" s="28">
        <f>IF(BF139=0,0,BF139*MAX(0,(INDEX(c_CAMy,1,BF$7)-INDEX(c_CAMy,1,INDEX('Lease Cycles'!$GC$15:$GI$15,1,BF129)+1))*(1+'Lease Cycles'!$AK$15)+(INDEX(c_TAXy,1,BF$7)-INDEX(c_TAXy,1,INDEX('Lease Cycles'!$GC$15:$GI$15,1,BF129)+1))+(INDEX(c_INSy,1,BF$7)-INDEX(c_INSy,1,INDEX('Lease Cycles'!$GC$15:$GI$15,1,BF129)+1)))/12)</f>
        <v>0</v>
      </c>
      <c r="BG140" s="28">
        <f>IF(BG139=0,0,BG139*MAX(0,(INDEX(c_CAMy,1,BG$7)-INDEX(c_CAMy,1,INDEX('Lease Cycles'!$GC$15:$GI$15,1,BG129)+1))*(1+'Lease Cycles'!$AK$15)+(INDEX(c_TAXy,1,BG$7)-INDEX(c_TAXy,1,INDEX('Lease Cycles'!$GC$15:$GI$15,1,BG129)+1))+(INDEX(c_INSy,1,BG$7)-INDEX(c_INSy,1,INDEX('Lease Cycles'!$GC$15:$GI$15,1,BG129)+1)))/12)</f>
        <v>0</v>
      </c>
      <c r="BH140" s="28">
        <f>IF(BH139=0,0,BH139*MAX(0,(INDEX(c_CAMy,1,BH$7)-INDEX(c_CAMy,1,INDEX('Lease Cycles'!$GC$15:$GI$15,1,BH129)+1))*(1+'Lease Cycles'!$AK$15)+(INDEX(c_TAXy,1,BH$7)-INDEX(c_TAXy,1,INDEX('Lease Cycles'!$GC$15:$GI$15,1,BH129)+1))+(INDEX(c_INSy,1,BH$7)-INDEX(c_INSy,1,INDEX('Lease Cycles'!$GC$15:$GI$15,1,BH129)+1)))/12)</f>
        <v>0</v>
      </c>
      <c r="BI140" s="28">
        <f>IF(BI139=0,0,BI139*MAX(0,(INDEX(c_CAMy,1,BI$7)-INDEX(c_CAMy,1,INDEX('Lease Cycles'!$GC$15:$GI$15,1,BI129)+1))*(1+'Lease Cycles'!$AK$15)+(INDEX(c_TAXy,1,BI$7)-INDEX(c_TAXy,1,INDEX('Lease Cycles'!$GC$15:$GI$15,1,BI129)+1))+(INDEX(c_INSy,1,BI$7)-INDEX(c_INSy,1,INDEX('Lease Cycles'!$GC$15:$GI$15,1,BI129)+1)))/12)</f>
        <v>0</v>
      </c>
      <c r="BJ140" s="28">
        <f>IF(BJ139=0,0,BJ139*MAX(0,(INDEX(c_CAMy,1,BJ$7)-INDEX(c_CAMy,1,INDEX('Lease Cycles'!$GC$15:$GI$15,1,BJ129)+1))*(1+'Lease Cycles'!$AK$15)+(INDEX(c_TAXy,1,BJ$7)-INDEX(c_TAXy,1,INDEX('Lease Cycles'!$GC$15:$GI$15,1,BJ129)+1))+(INDEX(c_INSy,1,BJ$7)-INDEX(c_INSy,1,INDEX('Lease Cycles'!$GC$15:$GI$15,1,BJ129)+1)))/12)</f>
        <v>0</v>
      </c>
      <c r="BK140" s="28">
        <f>IF(BK139=0,0,BK139*MAX(0,(INDEX(c_CAMy,1,BK$7)-INDEX(c_CAMy,1,INDEX('Lease Cycles'!$GC$15:$GI$15,1,BK129)+1))*(1+'Lease Cycles'!$AK$15)+(INDEX(c_TAXy,1,BK$7)-INDEX(c_TAXy,1,INDEX('Lease Cycles'!$GC$15:$GI$15,1,BK129)+1))+(INDEX(c_INSy,1,BK$7)-INDEX(c_INSy,1,INDEX('Lease Cycles'!$GC$15:$GI$15,1,BK129)+1)))/12)</f>
        <v>0</v>
      </c>
      <c r="BL140" s="28">
        <f>IF(BL139=0,0,BL139*MAX(0,(INDEX(c_CAMy,1,BL$7)-INDEX(c_CAMy,1,INDEX('Lease Cycles'!$GC$15:$GI$15,1,BL129)+1))*(1+'Lease Cycles'!$AK$15)+(INDEX(c_TAXy,1,BL$7)-INDEX(c_TAXy,1,INDEX('Lease Cycles'!$GC$15:$GI$15,1,BL129)+1))+(INDEX(c_INSy,1,BL$7)-INDEX(c_INSy,1,INDEX('Lease Cycles'!$GC$15:$GI$15,1,BL129)+1)))/12)</f>
        <v>0</v>
      </c>
      <c r="BM140" s="28">
        <f>IF(BM139=0,0,BM139*MAX(0,(INDEX(c_CAMy,1,BM$7)-INDEX(c_CAMy,1,INDEX('Lease Cycles'!$GC$15:$GI$15,1,BM129)+1))*(1+'Lease Cycles'!$AK$15)+(INDEX(c_TAXy,1,BM$7)-INDEX(c_TAXy,1,INDEX('Lease Cycles'!$GC$15:$GI$15,1,BM129)+1))+(INDEX(c_INSy,1,BM$7)-INDEX(c_INSy,1,INDEX('Lease Cycles'!$GC$15:$GI$15,1,BM129)+1)))/12)</f>
        <v>0</v>
      </c>
      <c r="BN140" s="28">
        <f>IF(BN139=0,0,BN139*MAX(0,(INDEX(c_CAMy,1,BN$7)-INDEX(c_CAMy,1,INDEX('Lease Cycles'!$GC$15:$GI$15,1,BN129)+1))*(1+'Lease Cycles'!$AK$15)+(INDEX(c_TAXy,1,BN$7)-INDEX(c_TAXy,1,INDEX('Lease Cycles'!$GC$15:$GI$15,1,BN129)+1))+(INDEX(c_INSy,1,BN$7)-INDEX(c_INSy,1,INDEX('Lease Cycles'!$GC$15:$GI$15,1,BN129)+1)))/12)</f>
        <v>0</v>
      </c>
      <c r="BO140" s="28">
        <f>IF(BO139=0,0,BO139*MAX(0,(INDEX(c_CAMy,1,BO$7)-INDEX(c_CAMy,1,INDEX('Lease Cycles'!$GC$15:$GI$15,1,BO129)+1))*(1+'Lease Cycles'!$AK$15)+(INDEX(c_TAXy,1,BO$7)-INDEX(c_TAXy,1,INDEX('Lease Cycles'!$GC$15:$GI$15,1,BO129)+1))+(INDEX(c_INSy,1,BO$7)-INDEX(c_INSy,1,INDEX('Lease Cycles'!$GC$15:$GI$15,1,BO129)+1)))/12)</f>
        <v>0</v>
      </c>
      <c r="BP140" s="28">
        <f>IF(BP139=0,0,BP139*MAX(0,(INDEX(c_CAMy,1,BP$7)-INDEX(c_CAMy,1,INDEX('Lease Cycles'!$GC$15:$GI$15,1,BP129)+1))*(1+'Lease Cycles'!$AK$15)+(INDEX(c_TAXy,1,BP$7)-INDEX(c_TAXy,1,INDEX('Lease Cycles'!$GC$15:$GI$15,1,BP129)+1))+(INDEX(c_INSy,1,BP$7)-INDEX(c_INSy,1,INDEX('Lease Cycles'!$GC$15:$GI$15,1,BP129)+1)))/12)</f>
        <v>0</v>
      </c>
      <c r="BQ140" s="28">
        <f>IF(BQ139=0,0,BQ139*MAX(0,(INDEX(c_CAMy,1,BQ$7)-INDEX(c_CAMy,1,INDEX('Lease Cycles'!$GC$15:$GI$15,1,BQ129)+1))*(1+'Lease Cycles'!$AK$15)+(INDEX(c_TAXy,1,BQ$7)-INDEX(c_TAXy,1,INDEX('Lease Cycles'!$GC$15:$GI$15,1,BQ129)+1))+(INDEX(c_INSy,1,BQ$7)-INDEX(c_INSy,1,INDEX('Lease Cycles'!$GC$15:$GI$15,1,BQ129)+1)))/12)</f>
        <v>0</v>
      </c>
      <c r="BR140" s="28">
        <f>IF(BR139=0,0,BR139*MAX(0,(INDEX(c_CAMy,1,BR$7)-INDEX(c_CAMy,1,INDEX('Lease Cycles'!$GC$15:$GI$15,1,BR129)+1))*(1+'Lease Cycles'!$AK$15)+(INDEX(c_TAXy,1,BR$7)-INDEX(c_TAXy,1,INDEX('Lease Cycles'!$GC$15:$GI$15,1,BR129)+1))+(INDEX(c_INSy,1,BR$7)-INDEX(c_INSy,1,INDEX('Lease Cycles'!$GC$15:$GI$15,1,BR129)+1)))/12)</f>
        <v>0</v>
      </c>
      <c r="BS140" s="28">
        <f>IF(BS139=0,0,BS139*MAX(0,(INDEX(c_CAMy,1,BS$7)-INDEX(c_CAMy,1,INDEX('Lease Cycles'!$GC$15:$GI$15,1,BS129)+1))*(1+'Lease Cycles'!$AK$15)+(INDEX(c_TAXy,1,BS$7)-INDEX(c_TAXy,1,INDEX('Lease Cycles'!$GC$15:$GI$15,1,BS129)+1))+(INDEX(c_INSy,1,BS$7)-INDEX(c_INSy,1,INDEX('Lease Cycles'!$GC$15:$GI$15,1,BS129)+1)))/12)</f>
        <v>0</v>
      </c>
      <c r="BT140" s="28">
        <f>IF(BT139=0,0,BT139*MAX(0,(INDEX(c_CAMy,1,BT$7)-INDEX(c_CAMy,1,INDEX('Lease Cycles'!$GC$15:$GI$15,1,BT129)+1))*(1+'Lease Cycles'!$AK$15)+(INDEX(c_TAXy,1,BT$7)-INDEX(c_TAXy,1,INDEX('Lease Cycles'!$GC$15:$GI$15,1,BT129)+1))+(INDEX(c_INSy,1,BT$7)-INDEX(c_INSy,1,INDEX('Lease Cycles'!$GC$15:$GI$15,1,BT129)+1)))/12)</f>
        <v>0</v>
      </c>
      <c r="BU140" s="28">
        <f>IF(BU139=0,0,BU139*MAX(0,(INDEX(c_CAMy,1,BU$7)-INDEX(c_CAMy,1,INDEX('Lease Cycles'!$GC$15:$GI$15,1,BU129)+1))*(1+'Lease Cycles'!$AK$15)+(INDEX(c_TAXy,1,BU$7)-INDEX(c_TAXy,1,INDEX('Lease Cycles'!$GC$15:$GI$15,1,BU129)+1))+(INDEX(c_INSy,1,BU$7)-INDEX(c_INSy,1,INDEX('Lease Cycles'!$GC$15:$GI$15,1,BU129)+1)))/12)</f>
        <v>0</v>
      </c>
      <c r="BV140" s="28">
        <f>IF(BV139=0,0,BV139*MAX(0,(INDEX(c_CAMy,1,BV$7)-INDEX(c_CAMy,1,INDEX('Lease Cycles'!$GC$15:$GI$15,1,BV129)+1))*(1+'Lease Cycles'!$AK$15)+(INDEX(c_TAXy,1,BV$7)-INDEX(c_TAXy,1,INDEX('Lease Cycles'!$GC$15:$GI$15,1,BV129)+1))+(INDEX(c_INSy,1,BV$7)-INDEX(c_INSy,1,INDEX('Lease Cycles'!$GC$15:$GI$15,1,BV129)+1)))/12)</f>
        <v>0</v>
      </c>
      <c r="BW140" s="28">
        <f>IF(BW139=0,0,BW139*MAX(0,(INDEX(c_CAMy,1,BW$7)-INDEX(c_CAMy,1,INDEX('Lease Cycles'!$GC$15:$GI$15,1,BW129)+1))*(1+'Lease Cycles'!$AK$15)+(INDEX(c_TAXy,1,BW$7)-INDEX(c_TAXy,1,INDEX('Lease Cycles'!$GC$15:$GI$15,1,BW129)+1))+(INDEX(c_INSy,1,BW$7)-INDEX(c_INSy,1,INDEX('Lease Cycles'!$GC$15:$GI$15,1,BW129)+1)))/12)</f>
        <v>0</v>
      </c>
      <c r="BX140" s="28">
        <f>IF(BX139=0,0,BX139*MAX(0,(INDEX(c_CAMy,1,BX$7)-INDEX(c_CAMy,1,INDEX('Lease Cycles'!$GC$15:$GI$15,1,BX129)+1))*(1+'Lease Cycles'!$AK$15)+(INDEX(c_TAXy,1,BX$7)-INDEX(c_TAXy,1,INDEX('Lease Cycles'!$GC$15:$GI$15,1,BX129)+1))+(INDEX(c_INSy,1,BX$7)-INDEX(c_INSy,1,INDEX('Lease Cycles'!$GC$15:$GI$15,1,BX129)+1)))/12)</f>
        <v>0</v>
      </c>
      <c r="BY140" s="28">
        <f>IF(BY139=0,0,BY139*MAX(0,(INDEX(c_CAMy,1,BY$7)-INDEX(c_CAMy,1,INDEX('Lease Cycles'!$GC$15:$GI$15,1,BY129)+1))*(1+'Lease Cycles'!$AK$15)+(INDEX(c_TAXy,1,BY$7)-INDEX(c_TAXy,1,INDEX('Lease Cycles'!$GC$15:$GI$15,1,BY129)+1))+(INDEX(c_INSy,1,BY$7)-INDEX(c_INSy,1,INDEX('Lease Cycles'!$GC$15:$GI$15,1,BY129)+1)))/12)</f>
        <v>0</v>
      </c>
      <c r="BZ140" s="28">
        <f>IF(BZ139=0,0,BZ139*MAX(0,(INDEX(c_CAMy,1,BZ$7)-INDEX(c_CAMy,1,INDEX('Lease Cycles'!$GC$15:$GI$15,1,BZ129)+1))*(1+'Lease Cycles'!$AK$15)+(INDEX(c_TAXy,1,BZ$7)-INDEX(c_TAXy,1,INDEX('Lease Cycles'!$GC$15:$GI$15,1,BZ129)+1))+(INDEX(c_INSy,1,BZ$7)-INDEX(c_INSy,1,INDEX('Lease Cycles'!$GC$15:$GI$15,1,BZ129)+1)))/12)</f>
        <v>0</v>
      </c>
      <c r="CA140" s="28">
        <f>IF(CA139=0,0,CA139*MAX(0,(INDEX(c_CAMy,1,CA$7)-INDEX(c_CAMy,1,INDEX('Lease Cycles'!$GC$15:$GI$15,1,CA129)+1))*(1+'Lease Cycles'!$AK$15)+(INDEX(c_TAXy,1,CA$7)-INDEX(c_TAXy,1,INDEX('Lease Cycles'!$GC$15:$GI$15,1,CA129)+1))+(INDEX(c_INSy,1,CA$7)-INDEX(c_INSy,1,INDEX('Lease Cycles'!$GC$15:$GI$15,1,CA129)+1)))/12)</f>
        <v>0</v>
      </c>
      <c r="CB140" s="28">
        <f>IF(CB139=0,0,CB139*MAX(0,(INDEX(c_CAMy,1,CB$7)-INDEX(c_CAMy,1,INDEX('Lease Cycles'!$GC$15:$GI$15,1,CB129)+1))*(1+'Lease Cycles'!$AK$15)+(INDEX(c_TAXy,1,CB$7)-INDEX(c_TAXy,1,INDEX('Lease Cycles'!$GC$15:$GI$15,1,CB129)+1))+(INDEX(c_INSy,1,CB$7)-INDEX(c_INSy,1,INDEX('Lease Cycles'!$GC$15:$GI$15,1,CB129)+1)))/12)</f>
        <v>0</v>
      </c>
      <c r="CC140" s="28">
        <f>IF(CC139=0,0,CC139*MAX(0,(INDEX(c_CAMy,1,CC$7)-INDEX(c_CAMy,1,INDEX('Lease Cycles'!$GC$15:$GI$15,1,CC129)+1))*(1+'Lease Cycles'!$AK$15)+(INDEX(c_TAXy,1,CC$7)-INDEX(c_TAXy,1,INDEX('Lease Cycles'!$GC$15:$GI$15,1,CC129)+1))+(INDEX(c_INSy,1,CC$7)-INDEX(c_INSy,1,INDEX('Lease Cycles'!$GC$15:$GI$15,1,CC129)+1)))/12)</f>
        <v>0</v>
      </c>
      <c r="CD140" s="28">
        <f>IF(CD139=0,0,CD139*MAX(0,(INDEX(c_CAMy,1,CD$7)-INDEX(c_CAMy,1,INDEX('Lease Cycles'!$GC$15:$GI$15,1,CD129)+1))*(1+'Lease Cycles'!$AK$15)+(INDEX(c_TAXy,1,CD$7)-INDEX(c_TAXy,1,INDEX('Lease Cycles'!$GC$15:$GI$15,1,CD129)+1))+(INDEX(c_INSy,1,CD$7)-INDEX(c_INSy,1,INDEX('Lease Cycles'!$GC$15:$GI$15,1,CD129)+1)))/12)</f>
        <v>0</v>
      </c>
      <c r="CE140" s="28">
        <f>IF(CE139=0,0,CE139*MAX(0,(INDEX(c_CAMy,1,CE$7)-INDEX(c_CAMy,1,INDEX('Lease Cycles'!$GC$15:$GI$15,1,CE129)+1))*(1+'Lease Cycles'!$AK$15)+(INDEX(c_TAXy,1,CE$7)-INDEX(c_TAXy,1,INDEX('Lease Cycles'!$GC$15:$GI$15,1,CE129)+1))+(INDEX(c_INSy,1,CE$7)-INDEX(c_INSy,1,INDEX('Lease Cycles'!$GC$15:$GI$15,1,CE129)+1)))/12)</f>
        <v>0</v>
      </c>
      <c r="CF140" s="28">
        <f>IF(CF139=0,0,CF139*MAX(0,(INDEX(c_CAMy,1,CF$7)-INDEX(c_CAMy,1,INDEX('Lease Cycles'!$GC$15:$GI$15,1,CF129)+1))*(1+'Lease Cycles'!$AK$15)+(INDEX(c_TAXy,1,CF$7)-INDEX(c_TAXy,1,INDEX('Lease Cycles'!$GC$15:$GI$15,1,CF129)+1))+(INDEX(c_INSy,1,CF$7)-INDEX(c_INSy,1,INDEX('Lease Cycles'!$GC$15:$GI$15,1,CF129)+1)))/12)</f>
        <v>0</v>
      </c>
      <c r="CG140" s="28">
        <f>IF(CG139=0,0,CG139*MAX(0,(INDEX(c_CAMy,1,CG$7)-INDEX(c_CAMy,1,INDEX('Lease Cycles'!$GC$15:$GI$15,1,CG129)+1))*(1+'Lease Cycles'!$AK$15)+(INDEX(c_TAXy,1,CG$7)-INDEX(c_TAXy,1,INDEX('Lease Cycles'!$GC$15:$GI$15,1,CG129)+1))+(INDEX(c_INSy,1,CG$7)-INDEX(c_INSy,1,INDEX('Lease Cycles'!$GC$15:$GI$15,1,CG129)+1)))/12)</f>
        <v>0</v>
      </c>
      <c r="CH140" s="28">
        <f>IF(CH139=0,0,CH139*MAX(0,(INDEX(c_CAMy,1,CH$7)-INDEX(c_CAMy,1,INDEX('Lease Cycles'!$GC$15:$GI$15,1,CH129)+1))*(1+'Lease Cycles'!$AK$15)+(INDEX(c_TAXy,1,CH$7)-INDEX(c_TAXy,1,INDEX('Lease Cycles'!$GC$15:$GI$15,1,CH129)+1))+(INDEX(c_INSy,1,CH$7)-INDEX(c_INSy,1,INDEX('Lease Cycles'!$GC$15:$GI$15,1,CH129)+1)))/12)</f>
        <v>0</v>
      </c>
      <c r="CI140" s="28">
        <f>IF(CI139=0,0,CI139*MAX(0,(INDEX(c_CAMy,1,CI$7)-INDEX(c_CAMy,1,INDEX('Lease Cycles'!$GC$15:$GI$15,1,CI129)+1))*(1+'Lease Cycles'!$AK$15)+(INDEX(c_TAXy,1,CI$7)-INDEX(c_TAXy,1,INDEX('Lease Cycles'!$GC$15:$GI$15,1,CI129)+1))+(INDEX(c_INSy,1,CI$7)-INDEX(c_INSy,1,INDEX('Lease Cycles'!$GC$15:$GI$15,1,CI129)+1)))/12)</f>
        <v>0</v>
      </c>
      <c r="CJ140" s="28">
        <f>IF(CJ139=0,0,CJ139*MAX(0,(INDEX(c_CAMy,1,CJ$7)-INDEX(c_CAMy,1,INDEX('Lease Cycles'!$GC$15:$GI$15,1,CJ129)+1))*(1+'Lease Cycles'!$AK$15)+(INDEX(c_TAXy,1,CJ$7)-INDEX(c_TAXy,1,INDEX('Lease Cycles'!$GC$15:$GI$15,1,CJ129)+1))+(INDEX(c_INSy,1,CJ$7)-INDEX(c_INSy,1,INDEX('Lease Cycles'!$GC$15:$GI$15,1,CJ129)+1)))/12)</f>
        <v>0</v>
      </c>
      <c r="CK140" s="28">
        <f>IF(CK139=0,0,CK139*MAX(0,(INDEX(c_CAMy,1,CK$7)-INDEX(c_CAMy,1,INDEX('Lease Cycles'!$GC$15:$GI$15,1,CK129)+1))*(1+'Lease Cycles'!$AK$15)+(INDEX(c_TAXy,1,CK$7)-INDEX(c_TAXy,1,INDEX('Lease Cycles'!$GC$15:$GI$15,1,CK129)+1))+(INDEX(c_INSy,1,CK$7)-INDEX(c_INSy,1,INDEX('Lease Cycles'!$GC$15:$GI$15,1,CK129)+1)))/12)</f>
        <v>0</v>
      </c>
      <c r="CL140" s="28">
        <f>IF(CL139=0,0,CL139*MAX(0,(INDEX(c_CAMy,1,CL$7)-INDEX(c_CAMy,1,INDEX('Lease Cycles'!$GC$15:$GI$15,1,CL129)+1))*(1+'Lease Cycles'!$AK$15)+(INDEX(c_TAXy,1,CL$7)-INDEX(c_TAXy,1,INDEX('Lease Cycles'!$GC$15:$GI$15,1,CL129)+1))+(INDEX(c_INSy,1,CL$7)-INDEX(c_INSy,1,INDEX('Lease Cycles'!$GC$15:$GI$15,1,CL129)+1)))/12)</f>
        <v>0</v>
      </c>
      <c r="CM140" s="28">
        <f>IF(CM139=0,0,CM139*MAX(0,(INDEX(c_CAMy,1,CM$7)-INDEX(c_CAMy,1,INDEX('Lease Cycles'!$GC$15:$GI$15,1,CM129)+1))*(1+'Lease Cycles'!$AK$15)+(INDEX(c_TAXy,1,CM$7)-INDEX(c_TAXy,1,INDEX('Lease Cycles'!$GC$15:$GI$15,1,CM129)+1))+(INDEX(c_INSy,1,CM$7)-INDEX(c_INSy,1,INDEX('Lease Cycles'!$GC$15:$GI$15,1,CM129)+1)))/12)</f>
        <v>0</v>
      </c>
      <c r="CN140" s="28">
        <f>IF(CN139=0,0,CN139*MAX(0,(INDEX(c_CAMy,1,CN$7)-INDEX(c_CAMy,1,INDEX('Lease Cycles'!$GC$15:$GI$15,1,CN129)+1))*(1+'Lease Cycles'!$AK$15)+(INDEX(c_TAXy,1,CN$7)-INDEX(c_TAXy,1,INDEX('Lease Cycles'!$GC$15:$GI$15,1,CN129)+1))+(INDEX(c_INSy,1,CN$7)-INDEX(c_INSy,1,INDEX('Lease Cycles'!$GC$15:$GI$15,1,CN129)+1)))/12)</f>
        <v>0</v>
      </c>
      <c r="CO140" s="28">
        <f>IF(CO139=0,0,CO139*MAX(0,(INDEX(c_CAMy,1,CO$7)-INDEX(c_CAMy,1,INDEX('Lease Cycles'!$GC$15:$GI$15,1,CO129)+1))*(1+'Lease Cycles'!$AK$15)+(INDEX(c_TAXy,1,CO$7)-INDEX(c_TAXy,1,INDEX('Lease Cycles'!$GC$15:$GI$15,1,CO129)+1))+(INDEX(c_INSy,1,CO$7)-INDEX(c_INSy,1,INDEX('Lease Cycles'!$GC$15:$GI$15,1,CO129)+1)))/12)</f>
        <v>0</v>
      </c>
      <c r="CP140" s="28">
        <f>IF(CP139=0,0,CP139*MAX(0,(INDEX(c_CAMy,1,CP$7)-INDEX(c_CAMy,1,INDEX('Lease Cycles'!$GC$15:$GI$15,1,CP129)+1))*(1+'Lease Cycles'!$AK$15)+(INDEX(c_TAXy,1,CP$7)-INDEX(c_TAXy,1,INDEX('Lease Cycles'!$GC$15:$GI$15,1,CP129)+1))+(INDEX(c_INSy,1,CP$7)-INDEX(c_INSy,1,INDEX('Lease Cycles'!$GC$15:$GI$15,1,CP129)+1)))/12)</f>
        <v>0</v>
      </c>
      <c r="CQ140" s="28">
        <f>IF(CQ139=0,0,CQ139*MAX(0,(INDEX(c_CAMy,1,CQ$7)-INDEX(c_CAMy,1,INDEX('Lease Cycles'!$GC$15:$GI$15,1,CQ129)+1))*(1+'Lease Cycles'!$AK$15)+(INDEX(c_TAXy,1,CQ$7)-INDEX(c_TAXy,1,INDEX('Lease Cycles'!$GC$15:$GI$15,1,CQ129)+1))+(INDEX(c_INSy,1,CQ$7)-INDEX(c_INSy,1,INDEX('Lease Cycles'!$GC$15:$GI$15,1,CQ129)+1)))/12)</f>
        <v>0</v>
      </c>
      <c r="CR140" s="28">
        <f>IF(CR139=0,0,CR139*MAX(0,(INDEX(c_CAMy,1,CR$7)-INDEX(c_CAMy,1,INDEX('Lease Cycles'!$GC$15:$GI$15,1,CR129)+1))*(1+'Lease Cycles'!$AK$15)+(INDEX(c_TAXy,1,CR$7)-INDEX(c_TAXy,1,INDEX('Lease Cycles'!$GC$15:$GI$15,1,CR129)+1))+(INDEX(c_INSy,1,CR$7)-INDEX(c_INSy,1,INDEX('Lease Cycles'!$GC$15:$GI$15,1,CR129)+1)))/12)</f>
        <v>0</v>
      </c>
      <c r="CS140" s="28">
        <f>IF(CS139=0,0,CS139*MAX(0,(INDEX(c_CAMy,1,CS$7)-INDEX(c_CAMy,1,INDEX('Lease Cycles'!$GC$15:$GI$15,1,CS129)+1))*(1+'Lease Cycles'!$AK$15)+(INDEX(c_TAXy,1,CS$7)-INDEX(c_TAXy,1,INDEX('Lease Cycles'!$GC$15:$GI$15,1,CS129)+1))+(INDEX(c_INSy,1,CS$7)-INDEX(c_INSy,1,INDEX('Lease Cycles'!$GC$15:$GI$15,1,CS129)+1)))/12)</f>
        <v>0</v>
      </c>
      <c r="CT140" s="28">
        <f>IF(CT139=0,0,CT139*MAX(0,(INDEX(c_CAMy,1,CT$7)-INDEX(c_CAMy,1,INDEX('Lease Cycles'!$GC$15:$GI$15,1,CT129)+1))*(1+'Lease Cycles'!$AK$15)+(INDEX(c_TAXy,1,CT$7)-INDEX(c_TAXy,1,INDEX('Lease Cycles'!$GC$15:$GI$15,1,CT129)+1))+(INDEX(c_INSy,1,CT$7)-INDEX(c_INSy,1,INDEX('Lease Cycles'!$GC$15:$GI$15,1,CT129)+1)))/12)</f>
        <v>0</v>
      </c>
      <c r="CU140" s="28">
        <f>IF(CU139=0,0,CU139*MAX(0,(INDEX(c_CAMy,1,CU$7)-INDEX(c_CAMy,1,INDEX('Lease Cycles'!$GC$15:$GI$15,1,CU129)+1))*(1+'Lease Cycles'!$AK$15)+(INDEX(c_TAXy,1,CU$7)-INDEX(c_TAXy,1,INDEX('Lease Cycles'!$GC$15:$GI$15,1,CU129)+1))+(INDEX(c_INSy,1,CU$7)-INDEX(c_INSy,1,INDEX('Lease Cycles'!$GC$15:$GI$15,1,CU129)+1)))/12)</f>
        <v>0</v>
      </c>
      <c r="CV140" s="28">
        <f>IF(CV139=0,0,CV139*MAX(0,(INDEX(c_CAMy,1,CV$7)-INDEX(c_CAMy,1,INDEX('Lease Cycles'!$GC$15:$GI$15,1,CV129)+1))*(1+'Lease Cycles'!$AK$15)+(INDEX(c_TAXy,1,CV$7)-INDEX(c_TAXy,1,INDEX('Lease Cycles'!$GC$15:$GI$15,1,CV129)+1))+(INDEX(c_INSy,1,CV$7)-INDEX(c_INSy,1,INDEX('Lease Cycles'!$GC$15:$GI$15,1,CV129)+1)))/12)</f>
        <v>0</v>
      </c>
      <c r="CW140" s="28">
        <f>IF(CW139=0,0,CW139*MAX(0,(INDEX(c_CAMy,1,CW$7)-INDEX(c_CAMy,1,INDEX('Lease Cycles'!$GC$15:$GI$15,1,CW129)+1))*(1+'Lease Cycles'!$AK$15)+(INDEX(c_TAXy,1,CW$7)-INDEX(c_TAXy,1,INDEX('Lease Cycles'!$GC$15:$GI$15,1,CW129)+1))+(INDEX(c_INSy,1,CW$7)-INDEX(c_INSy,1,INDEX('Lease Cycles'!$GC$15:$GI$15,1,CW129)+1)))/12)</f>
        <v>0</v>
      </c>
      <c r="CX140" s="28">
        <f>IF(CX139=0,0,CX139*MAX(0,(INDEX(c_CAMy,1,CX$7)-INDEX(c_CAMy,1,INDEX('Lease Cycles'!$GC$15:$GI$15,1,CX129)+1))*(1+'Lease Cycles'!$AK$15)+(INDEX(c_TAXy,1,CX$7)-INDEX(c_TAXy,1,INDEX('Lease Cycles'!$GC$15:$GI$15,1,CX129)+1))+(INDEX(c_INSy,1,CX$7)-INDEX(c_INSy,1,INDEX('Lease Cycles'!$GC$15:$GI$15,1,CX129)+1)))/12)</f>
        <v>0</v>
      </c>
      <c r="CY140" s="28">
        <f>IF(CY139=0,0,CY139*MAX(0,(INDEX(c_CAMy,1,CY$7)-INDEX(c_CAMy,1,INDEX('Lease Cycles'!$GC$15:$GI$15,1,CY129)+1))*(1+'Lease Cycles'!$AK$15)+(INDEX(c_TAXy,1,CY$7)-INDEX(c_TAXy,1,INDEX('Lease Cycles'!$GC$15:$GI$15,1,CY129)+1))+(INDEX(c_INSy,1,CY$7)-INDEX(c_INSy,1,INDEX('Lease Cycles'!$GC$15:$GI$15,1,CY129)+1)))/12)</f>
        <v>0</v>
      </c>
      <c r="CZ140" s="28">
        <f>IF(CZ139=0,0,CZ139*MAX(0,(INDEX(c_CAMy,1,CZ$7)-INDEX(c_CAMy,1,INDEX('Lease Cycles'!$GC$15:$GI$15,1,CZ129)+1))*(1+'Lease Cycles'!$AK$15)+(INDEX(c_TAXy,1,CZ$7)-INDEX(c_TAXy,1,INDEX('Lease Cycles'!$GC$15:$GI$15,1,CZ129)+1))+(INDEX(c_INSy,1,CZ$7)-INDEX(c_INSy,1,INDEX('Lease Cycles'!$GC$15:$GI$15,1,CZ129)+1)))/12)</f>
        <v>0</v>
      </c>
      <c r="DA140" s="28">
        <f>IF(DA139=0,0,DA139*MAX(0,(INDEX(c_CAMy,1,DA$7)-INDEX(c_CAMy,1,INDEX('Lease Cycles'!$GC$15:$GI$15,1,DA129)+1))*(1+'Lease Cycles'!$AK$15)+(INDEX(c_TAXy,1,DA$7)-INDEX(c_TAXy,1,INDEX('Lease Cycles'!$GC$15:$GI$15,1,DA129)+1))+(INDEX(c_INSy,1,DA$7)-INDEX(c_INSy,1,INDEX('Lease Cycles'!$GC$15:$GI$15,1,DA129)+1)))/12)</f>
        <v>0</v>
      </c>
      <c r="DB140" s="28">
        <f>IF(DB139=0,0,DB139*MAX(0,(INDEX(c_CAMy,1,DB$7)-INDEX(c_CAMy,1,INDEX('Lease Cycles'!$GC$15:$GI$15,1,DB129)+1))*(1+'Lease Cycles'!$AK$15)+(INDEX(c_TAXy,1,DB$7)-INDEX(c_TAXy,1,INDEX('Lease Cycles'!$GC$15:$GI$15,1,DB129)+1))+(INDEX(c_INSy,1,DB$7)-INDEX(c_INSy,1,INDEX('Lease Cycles'!$GC$15:$GI$15,1,DB129)+1)))/12)</f>
        <v>0</v>
      </c>
      <c r="DC140" s="28">
        <f>IF(DC139=0,0,DC139*MAX(0,(INDEX(c_CAMy,1,DC$7)-INDEX(c_CAMy,1,INDEX('Lease Cycles'!$GC$15:$GI$15,1,DC129)+1))*(1+'Lease Cycles'!$AK$15)+(INDEX(c_TAXy,1,DC$7)-INDEX(c_TAXy,1,INDEX('Lease Cycles'!$GC$15:$GI$15,1,DC129)+1))+(INDEX(c_INSy,1,DC$7)-INDEX(c_INSy,1,INDEX('Lease Cycles'!$GC$15:$GI$15,1,DC129)+1)))/12)</f>
        <v>0</v>
      </c>
      <c r="DD140" s="28">
        <f>IF(DD139=0,0,DD139*MAX(0,(INDEX(c_CAMy,1,DD$7)-INDEX(c_CAMy,1,INDEX('Lease Cycles'!$GC$15:$GI$15,1,DD129)+1))*(1+'Lease Cycles'!$AK$15)+(INDEX(c_TAXy,1,DD$7)-INDEX(c_TAXy,1,INDEX('Lease Cycles'!$GC$15:$GI$15,1,DD129)+1))+(INDEX(c_INSy,1,DD$7)-INDEX(c_INSy,1,INDEX('Lease Cycles'!$GC$15:$GI$15,1,DD129)+1)))/12)</f>
        <v>0</v>
      </c>
      <c r="DE140" s="28">
        <f>IF(DE139=0,0,DE139*MAX(0,(INDEX(c_CAMy,1,DE$7)-INDEX(c_CAMy,1,INDEX('Lease Cycles'!$GC$15:$GI$15,1,DE129)+1))*(1+'Lease Cycles'!$AK$15)+(INDEX(c_TAXy,1,DE$7)-INDEX(c_TAXy,1,INDEX('Lease Cycles'!$GC$15:$GI$15,1,DE129)+1))+(INDEX(c_INSy,1,DE$7)-INDEX(c_INSy,1,INDEX('Lease Cycles'!$GC$15:$GI$15,1,DE129)+1)))/12)</f>
        <v>0</v>
      </c>
      <c r="DF140" s="28">
        <f>IF(DF139=0,0,DF139*MAX(0,(INDEX(c_CAMy,1,DF$7)-INDEX(c_CAMy,1,INDEX('Lease Cycles'!$GC$15:$GI$15,1,DF129)+1))*(1+'Lease Cycles'!$AK$15)+(INDEX(c_TAXy,1,DF$7)-INDEX(c_TAXy,1,INDEX('Lease Cycles'!$GC$15:$GI$15,1,DF129)+1))+(INDEX(c_INSy,1,DF$7)-INDEX(c_INSy,1,INDEX('Lease Cycles'!$GC$15:$GI$15,1,DF129)+1)))/12)</f>
        <v>0</v>
      </c>
      <c r="DG140" s="28">
        <f>IF(DG139=0,0,DG139*MAX(0,(INDEX(c_CAMy,1,DG$7)-INDEX(c_CAMy,1,INDEX('Lease Cycles'!$GC$15:$GI$15,1,DG129)+1))*(1+'Lease Cycles'!$AK$15)+(INDEX(c_TAXy,1,DG$7)-INDEX(c_TAXy,1,INDEX('Lease Cycles'!$GC$15:$GI$15,1,DG129)+1))+(INDEX(c_INSy,1,DG$7)-INDEX(c_INSy,1,INDEX('Lease Cycles'!$GC$15:$GI$15,1,DG129)+1)))/12)</f>
        <v>0</v>
      </c>
      <c r="DH140" s="28">
        <f>IF(DH139=0,0,DH139*MAX(0,(INDEX(c_CAMy,1,DH$7)-INDEX(c_CAMy,1,INDEX('Lease Cycles'!$GC$15:$GI$15,1,DH129)+1))*(1+'Lease Cycles'!$AK$15)+(INDEX(c_TAXy,1,DH$7)-INDEX(c_TAXy,1,INDEX('Lease Cycles'!$GC$15:$GI$15,1,DH129)+1))+(INDEX(c_INSy,1,DH$7)-INDEX(c_INSy,1,INDEX('Lease Cycles'!$GC$15:$GI$15,1,DH129)+1)))/12)</f>
        <v>0</v>
      </c>
      <c r="DI140" s="28">
        <f>IF(DI139=0,0,DI139*MAX(0,(INDEX(c_CAMy,1,DI$7)-INDEX(c_CAMy,1,INDEX('Lease Cycles'!$GC$15:$GI$15,1,DI129)+1))*(1+'Lease Cycles'!$AK$15)+(INDEX(c_TAXy,1,DI$7)-INDEX(c_TAXy,1,INDEX('Lease Cycles'!$GC$15:$GI$15,1,DI129)+1))+(INDEX(c_INSy,1,DI$7)-INDEX(c_INSy,1,INDEX('Lease Cycles'!$GC$15:$GI$15,1,DI129)+1)))/12)</f>
        <v>0</v>
      </c>
      <c r="DJ140" s="28">
        <f>IF(DJ139=0,0,DJ139*MAX(0,(INDEX(c_CAMy,1,DJ$7)-INDEX(c_CAMy,1,INDEX('Lease Cycles'!$GC$15:$GI$15,1,DJ129)+1))*(1+'Lease Cycles'!$AK$15)+(INDEX(c_TAXy,1,DJ$7)-INDEX(c_TAXy,1,INDEX('Lease Cycles'!$GC$15:$GI$15,1,DJ129)+1))+(INDEX(c_INSy,1,DJ$7)-INDEX(c_INSy,1,INDEX('Lease Cycles'!$GC$15:$GI$15,1,DJ129)+1)))/12)</f>
        <v>0</v>
      </c>
      <c r="DK140" s="28">
        <f>IF(DK139=0,0,DK139*MAX(0,(INDEX(c_CAMy,1,DK$7)-INDEX(c_CAMy,1,INDEX('Lease Cycles'!$GC$15:$GI$15,1,DK129)+1))*(1+'Lease Cycles'!$AK$15)+(INDEX(c_TAXy,1,DK$7)-INDEX(c_TAXy,1,INDEX('Lease Cycles'!$GC$15:$GI$15,1,DK129)+1))+(INDEX(c_INSy,1,DK$7)-INDEX(c_INSy,1,INDEX('Lease Cycles'!$GC$15:$GI$15,1,DK129)+1)))/12)</f>
        <v>0</v>
      </c>
      <c r="DL140" s="28">
        <f>IF(DL139=0,0,DL139*MAX(0,(INDEX(c_CAMy,1,DL$7)-INDEX(c_CAMy,1,INDEX('Lease Cycles'!$GC$15:$GI$15,1,DL129)+1))*(1+'Lease Cycles'!$AK$15)+(INDEX(c_TAXy,1,DL$7)-INDEX(c_TAXy,1,INDEX('Lease Cycles'!$GC$15:$GI$15,1,DL129)+1))+(INDEX(c_INSy,1,DL$7)-INDEX(c_INSy,1,INDEX('Lease Cycles'!$GC$15:$GI$15,1,DL129)+1)))/12)</f>
        <v>0</v>
      </c>
      <c r="DM140" s="28">
        <f>IF(DM139=0,0,DM139*MAX(0,(INDEX(c_CAMy,1,DM$7)-INDEX(c_CAMy,1,INDEX('Lease Cycles'!$GC$15:$GI$15,1,DM129)+1))*(1+'Lease Cycles'!$AK$15)+(INDEX(c_TAXy,1,DM$7)-INDEX(c_TAXy,1,INDEX('Lease Cycles'!$GC$15:$GI$15,1,DM129)+1))+(INDEX(c_INSy,1,DM$7)-INDEX(c_INSy,1,INDEX('Lease Cycles'!$GC$15:$GI$15,1,DM129)+1)))/12)</f>
        <v>0</v>
      </c>
      <c r="DN140" s="28">
        <f>IF(DN139=0,0,DN139*MAX(0,(INDEX(c_CAMy,1,DN$7)-INDEX(c_CAMy,1,INDEX('Lease Cycles'!$GC$15:$GI$15,1,DN129)+1))*(1+'Lease Cycles'!$AK$15)+(INDEX(c_TAXy,1,DN$7)-INDEX(c_TAXy,1,INDEX('Lease Cycles'!$GC$15:$GI$15,1,DN129)+1))+(INDEX(c_INSy,1,DN$7)-INDEX(c_INSy,1,INDEX('Lease Cycles'!$GC$15:$GI$15,1,DN129)+1)))/12)</f>
        <v>0</v>
      </c>
      <c r="DO140" s="28">
        <f>IF(DO139=0,0,DO139*MAX(0,(INDEX(c_CAMy,1,DO$7)-INDEX(c_CAMy,1,INDEX('Lease Cycles'!$GC$15:$GI$15,1,DO129)+1))*(1+'Lease Cycles'!$AK$15)+(INDEX(c_TAXy,1,DO$7)-INDEX(c_TAXy,1,INDEX('Lease Cycles'!$GC$15:$GI$15,1,DO129)+1))+(INDEX(c_INSy,1,DO$7)-INDEX(c_INSy,1,INDEX('Lease Cycles'!$GC$15:$GI$15,1,DO129)+1)))/12)</f>
        <v>0</v>
      </c>
      <c r="DP140" s="28">
        <f>IF(DP139=0,0,DP139*MAX(0,(INDEX(c_CAMy,1,DP$7)-INDEX(c_CAMy,1,INDEX('Lease Cycles'!$GC$15:$GI$15,1,DP129)+1))*(1+'Lease Cycles'!$AK$15)+(INDEX(c_TAXy,1,DP$7)-INDEX(c_TAXy,1,INDEX('Lease Cycles'!$GC$15:$GI$15,1,DP129)+1))+(INDEX(c_INSy,1,DP$7)-INDEX(c_INSy,1,INDEX('Lease Cycles'!$GC$15:$GI$15,1,DP129)+1)))/12)</f>
        <v>0</v>
      </c>
      <c r="DQ140" s="28">
        <f>IF(DQ139=0,0,DQ139*MAX(0,(INDEX(c_CAMy,1,DQ$7)-INDEX(c_CAMy,1,INDEX('Lease Cycles'!$GC$15:$GI$15,1,DQ129)+1))*(1+'Lease Cycles'!$AK$15)+(INDEX(c_TAXy,1,DQ$7)-INDEX(c_TAXy,1,INDEX('Lease Cycles'!$GC$15:$GI$15,1,DQ129)+1))+(INDEX(c_INSy,1,DQ$7)-INDEX(c_INSy,1,INDEX('Lease Cycles'!$GC$15:$GI$15,1,DQ129)+1)))/12)</f>
        <v>0</v>
      </c>
      <c r="DR140" s="28">
        <f>IF(DR139=0,0,DR139*MAX(0,(INDEX(c_CAMy,1,DR$7)-INDEX(c_CAMy,1,INDEX('Lease Cycles'!$GC$15:$GI$15,1,DR129)+1))*(1+'Lease Cycles'!$AK$15)+(INDEX(c_TAXy,1,DR$7)-INDEX(c_TAXy,1,INDEX('Lease Cycles'!$GC$15:$GI$15,1,DR129)+1))+(INDEX(c_INSy,1,DR$7)-INDEX(c_INSy,1,INDEX('Lease Cycles'!$GC$15:$GI$15,1,DR129)+1)))/12)</f>
        <v>0</v>
      </c>
      <c r="DS140" s="28">
        <f>IF(DS139=0,0,DS139*MAX(0,(INDEX(c_CAMy,1,DS$7)-INDEX(c_CAMy,1,INDEX('Lease Cycles'!$GC$15:$GI$15,1,DS129)+1))*(1+'Lease Cycles'!$AK$15)+(INDEX(c_TAXy,1,DS$7)-INDEX(c_TAXy,1,INDEX('Lease Cycles'!$GC$15:$GI$15,1,DS129)+1))+(INDEX(c_INSy,1,DS$7)-INDEX(c_INSy,1,INDEX('Lease Cycles'!$GC$15:$GI$15,1,DS129)+1)))/12)</f>
        <v>0</v>
      </c>
      <c r="DT140" s="28">
        <f>IF(DT139=0,0,DT139*MAX(0,(INDEX(c_CAMy,1,DT$7)-INDEX(c_CAMy,1,INDEX('Lease Cycles'!$GC$15:$GI$15,1,DT129)+1))*(1+'Lease Cycles'!$AK$15)+(INDEX(c_TAXy,1,DT$7)-INDEX(c_TAXy,1,INDEX('Lease Cycles'!$GC$15:$GI$15,1,DT129)+1))+(INDEX(c_INSy,1,DT$7)-INDEX(c_INSy,1,INDEX('Lease Cycles'!$GC$15:$GI$15,1,DT129)+1)))/12)</f>
        <v>0</v>
      </c>
      <c r="DU140" s="28">
        <f>IF(DU139=0,0,DU139*MAX(0,(INDEX(c_CAMy,1,DU$7)-INDEX(c_CAMy,1,INDEX('Lease Cycles'!$GC$15:$GI$15,1,DU129)+1))*(1+'Lease Cycles'!$AK$15)+(INDEX(c_TAXy,1,DU$7)-INDEX(c_TAXy,1,INDEX('Lease Cycles'!$GC$15:$GI$15,1,DU129)+1))+(INDEX(c_INSy,1,DU$7)-INDEX(c_INSy,1,INDEX('Lease Cycles'!$GC$15:$GI$15,1,DU129)+1)))/12)</f>
        <v>0</v>
      </c>
      <c r="DV140" s="28">
        <f>IF(DV139=0,0,DV139*MAX(0,(INDEX(c_CAMy,1,DV$7)-INDEX(c_CAMy,1,INDEX('Lease Cycles'!$GC$15:$GI$15,1,DV129)+1))*(1+'Lease Cycles'!$AK$15)+(INDEX(c_TAXy,1,DV$7)-INDEX(c_TAXy,1,INDEX('Lease Cycles'!$GC$15:$GI$15,1,DV129)+1))+(INDEX(c_INSy,1,DV$7)-INDEX(c_INSy,1,INDEX('Lease Cycles'!$GC$15:$GI$15,1,DV129)+1)))/12)</f>
        <v>0</v>
      </c>
      <c r="DW140" s="28">
        <f>IF(DW139=0,0,DW139*MAX(0,(INDEX(c_CAMy,1,DW$7)-INDEX(c_CAMy,1,INDEX('Lease Cycles'!$GC$15:$GI$15,1,DW129)+1))*(1+'Lease Cycles'!$AK$15)+(INDEX(c_TAXy,1,DW$7)-INDEX(c_TAXy,1,INDEX('Lease Cycles'!$GC$15:$GI$15,1,DW129)+1))+(INDEX(c_INSy,1,DW$7)-INDEX(c_INSy,1,INDEX('Lease Cycles'!$GC$15:$GI$15,1,DW129)+1)))/12)</f>
        <v>0</v>
      </c>
      <c r="DX140" s="28">
        <f>IF(DX139=0,0,DX139*MAX(0,(INDEX(c_CAMy,1,DX$7)-INDEX(c_CAMy,1,INDEX('Lease Cycles'!$GC$15:$GI$15,1,DX129)+1))*(1+'Lease Cycles'!$AK$15)+(INDEX(c_TAXy,1,DX$7)-INDEX(c_TAXy,1,INDEX('Lease Cycles'!$GC$15:$GI$15,1,DX129)+1))+(INDEX(c_INSy,1,DX$7)-INDEX(c_INSy,1,INDEX('Lease Cycles'!$GC$15:$GI$15,1,DX129)+1)))/12)</f>
        <v>0</v>
      </c>
      <c r="DY140" s="28">
        <f>IF(DY139=0,0,DY139*MAX(0,(INDEX(c_CAMy,1,DY$7)-INDEX(c_CAMy,1,INDEX('Lease Cycles'!$GC$15:$GI$15,1,DY129)+1))*(1+'Lease Cycles'!$AK$15)+(INDEX(c_TAXy,1,DY$7)-INDEX(c_TAXy,1,INDEX('Lease Cycles'!$GC$15:$GI$15,1,DY129)+1))+(INDEX(c_INSy,1,DY$7)-INDEX(c_INSy,1,INDEX('Lease Cycles'!$GC$15:$GI$15,1,DY129)+1)))/12)</f>
        <v>0</v>
      </c>
      <c r="DZ140" s="28">
        <f>IF(DZ139=0,0,DZ139*MAX(0,(INDEX(c_CAMy,1,DZ$7)-INDEX(c_CAMy,1,INDEX('Lease Cycles'!$GC$15:$GI$15,1,DZ129)+1))*(1+'Lease Cycles'!$AK$15)+(INDEX(c_TAXy,1,DZ$7)-INDEX(c_TAXy,1,INDEX('Lease Cycles'!$GC$15:$GI$15,1,DZ129)+1))+(INDEX(c_INSy,1,DZ$7)-INDEX(c_INSy,1,INDEX('Lease Cycles'!$GC$15:$GI$15,1,DZ129)+1)))/12)</f>
        <v>0</v>
      </c>
      <c r="EA140" s="28">
        <f>IF(EA139=0,0,EA139*MAX(0,(INDEX(c_CAMy,1,EA$7)-INDEX(c_CAMy,1,INDEX('Lease Cycles'!$GC$15:$GI$15,1,EA129)+1))*(1+'Lease Cycles'!$AK$15)+(INDEX(c_TAXy,1,EA$7)-INDEX(c_TAXy,1,INDEX('Lease Cycles'!$GC$15:$GI$15,1,EA129)+1))+(INDEX(c_INSy,1,EA$7)-INDEX(c_INSy,1,INDEX('Lease Cycles'!$GC$15:$GI$15,1,EA129)+1)))/12)</f>
        <v>0</v>
      </c>
      <c r="EB140" s="28">
        <f>IF(EB139=0,0,EB139*MAX(0,(INDEX(c_CAMy,1,EB$7)-INDEX(c_CAMy,1,INDEX('Lease Cycles'!$GC$15:$GI$15,1,EB129)+1))*(1+'Lease Cycles'!$AK$15)+(INDEX(c_TAXy,1,EB$7)-INDEX(c_TAXy,1,INDEX('Lease Cycles'!$GC$15:$GI$15,1,EB129)+1))+(INDEX(c_INSy,1,EB$7)-INDEX(c_INSy,1,INDEX('Lease Cycles'!$GC$15:$GI$15,1,EB129)+1)))/12)</f>
        <v>0</v>
      </c>
      <c r="EC140" s="28">
        <f>IF(EC139=0,0,EC139*MAX(0,(INDEX(c_CAMy,1,EC$7)-INDEX(c_CAMy,1,INDEX('Lease Cycles'!$GC$15:$GI$15,1,EC129)+1))*(1+'Lease Cycles'!$AK$15)+(INDEX(c_TAXy,1,EC$7)-INDEX(c_TAXy,1,INDEX('Lease Cycles'!$GC$15:$GI$15,1,EC129)+1))+(INDEX(c_INSy,1,EC$7)-INDEX(c_INSy,1,INDEX('Lease Cycles'!$GC$15:$GI$15,1,EC129)+1)))/12)</f>
        <v>0</v>
      </c>
      <c r="ED140" s="28">
        <f>IF(ED139=0,0,ED139*MAX(0,(INDEX(c_CAMy,1,ED$7)-INDEX(c_CAMy,1,INDEX('Lease Cycles'!$GC$15:$GI$15,1,ED129)+1))*(1+'Lease Cycles'!$AK$15)+(INDEX(c_TAXy,1,ED$7)-INDEX(c_TAXy,1,INDEX('Lease Cycles'!$GC$15:$GI$15,1,ED129)+1))+(INDEX(c_INSy,1,ED$7)-INDEX(c_INSy,1,INDEX('Lease Cycles'!$GC$15:$GI$15,1,ED129)+1)))/12)</f>
        <v>0</v>
      </c>
      <c r="EE140" s="28">
        <f>IF(EE139=0,0,EE139*MAX(0,(INDEX(c_CAMy,1,EE$7)-INDEX(c_CAMy,1,INDEX('Lease Cycles'!$GC$15:$GI$15,1,EE129)+1))*(1+'Lease Cycles'!$AK$15)+(INDEX(c_TAXy,1,EE$7)-INDEX(c_TAXy,1,INDEX('Lease Cycles'!$GC$15:$GI$15,1,EE129)+1))+(INDEX(c_INSy,1,EE$7)-INDEX(c_INSy,1,INDEX('Lease Cycles'!$GC$15:$GI$15,1,EE129)+1)))/12)</f>
        <v>0</v>
      </c>
      <c r="EF140" s="28">
        <f>IF(EF139=0,0,EF139*MAX(0,(INDEX(c_CAMy,1,EF$7)-INDEX(c_CAMy,1,INDEX('Lease Cycles'!$GC$15:$GI$15,1,EF129)+1))*(1+'Lease Cycles'!$AK$15)+(INDEX(c_TAXy,1,EF$7)-INDEX(c_TAXy,1,INDEX('Lease Cycles'!$GC$15:$GI$15,1,EF129)+1))+(INDEX(c_INSy,1,EF$7)-INDEX(c_INSy,1,INDEX('Lease Cycles'!$GC$15:$GI$15,1,EF129)+1)))/12)</f>
        <v>0</v>
      </c>
      <c r="EG140" s="28">
        <f>IF(EG139=0,0,EG139*MAX(0,(INDEX(c_CAMy,1,EG$7)-INDEX(c_CAMy,1,INDEX('Lease Cycles'!$GC$15:$GI$15,1,EG129)+1))*(1+'Lease Cycles'!$AK$15)+(INDEX(c_TAXy,1,EG$7)-INDEX(c_TAXy,1,INDEX('Lease Cycles'!$GC$15:$GI$15,1,EG129)+1))+(INDEX(c_INSy,1,EG$7)-INDEX(c_INSy,1,INDEX('Lease Cycles'!$GC$15:$GI$15,1,EG129)+1)))/12)</f>
        <v>0</v>
      </c>
      <c r="EH140" s="28">
        <f>IF(EH139=0,0,EH139*MAX(0,(INDEX(c_CAMy,1,EH$7)-INDEX(c_CAMy,1,INDEX('Lease Cycles'!$GC$15:$GI$15,1,EH129)+1))*(1+'Lease Cycles'!$AK$15)+(INDEX(c_TAXy,1,EH$7)-INDEX(c_TAXy,1,INDEX('Lease Cycles'!$GC$15:$GI$15,1,EH129)+1))+(INDEX(c_INSy,1,EH$7)-INDEX(c_INSy,1,INDEX('Lease Cycles'!$GC$15:$GI$15,1,EH129)+1)))/12)</f>
        <v>0</v>
      </c>
      <c r="EI140" s="28">
        <f>IF(EI139=0,0,EI139*MAX(0,(INDEX(c_CAMy,1,EI$7)-INDEX(c_CAMy,1,INDEX('Lease Cycles'!$GC$15:$GI$15,1,EI129)+1))*(1+'Lease Cycles'!$AK$15)+(INDEX(c_TAXy,1,EI$7)-INDEX(c_TAXy,1,INDEX('Lease Cycles'!$GC$15:$GI$15,1,EI129)+1))+(INDEX(c_INSy,1,EI$7)-INDEX(c_INSy,1,INDEX('Lease Cycles'!$GC$15:$GI$15,1,EI129)+1)))/12)</f>
        <v>0</v>
      </c>
      <c r="EJ140" s="28">
        <f>IF(EJ139=0,0,EJ139*MAX(0,(INDEX(c_CAMy,1,EJ$7)-INDEX(c_CAMy,1,INDEX('Lease Cycles'!$GC$15:$GI$15,1,EJ129)+1))*(1+'Lease Cycles'!$AK$15)+(INDEX(c_TAXy,1,EJ$7)-INDEX(c_TAXy,1,INDEX('Lease Cycles'!$GC$15:$GI$15,1,EJ129)+1))+(INDEX(c_INSy,1,EJ$7)-INDEX(c_INSy,1,INDEX('Lease Cycles'!$GC$15:$GI$15,1,EJ129)+1)))/12)</f>
        <v>0</v>
      </c>
      <c r="EK140" s="28">
        <f>IF(EK139=0,0,EK139*MAX(0,(INDEX(c_CAMy,1,EK$7)-INDEX(c_CAMy,1,INDEX('Lease Cycles'!$GC$15:$GI$15,1,EK129)+1))*(1+'Lease Cycles'!$AK$15)+(INDEX(c_TAXy,1,EK$7)-INDEX(c_TAXy,1,INDEX('Lease Cycles'!$GC$15:$GI$15,1,EK129)+1))+(INDEX(c_INSy,1,EK$7)-INDEX(c_INSy,1,INDEX('Lease Cycles'!$GC$15:$GI$15,1,EK129)+1)))/12)</f>
        <v>0</v>
      </c>
      <c r="EL140" s="28">
        <f>IF(EL139=0,0,EL139*MAX(0,(INDEX(c_CAMy,1,EL$7)-INDEX(c_CAMy,1,INDEX('Lease Cycles'!$GC$15:$GI$15,1,EL129)+1))*(1+'Lease Cycles'!$AK$15)+(INDEX(c_TAXy,1,EL$7)-INDEX(c_TAXy,1,INDEX('Lease Cycles'!$GC$15:$GI$15,1,EL129)+1))+(INDEX(c_INSy,1,EL$7)-INDEX(c_INSy,1,INDEX('Lease Cycles'!$GC$15:$GI$15,1,EL129)+1)))/12)</f>
        <v>0</v>
      </c>
      <c r="EM140" s="28">
        <f>IF(EM139=0,0,EM139*MAX(0,(INDEX(c_CAMy,1,EM$7)-INDEX(c_CAMy,1,INDEX('Lease Cycles'!$GC$15:$GI$15,1,EM129)+1))*(1+'Lease Cycles'!$AK$15)+(INDEX(c_TAXy,1,EM$7)-INDEX(c_TAXy,1,INDEX('Lease Cycles'!$GC$15:$GI$15,1,EM129)+1))+(INDEX(c_INSy,1,EM$7)-INDEX(c_INSy,1,INDEX('Lease Cycles'!$GC$15:$GI$15,1,EM129)+1)))/12)</f>
        <v>0</v>
      </c>
      <c r="EN140" s="28">
        <f>IF(EN139=0,0,EN139*MAX(0,(INDEX(c_CAMy,1,EN$7)-INDEX(c_CAMy,1,INDEX('Lease Cycles'!$GC$15:$GI$15,1,EN129)+1))*(1+'Lease Cycles'!$AK$15)+(INDEX(c_TAXy,1,EN$7)-INDEX(c_TAXy,1,INDEX('Lease Cycles'!$GC$15:$GI$15,1,EN129)+1))+(INDEX(c_INSy,1,EN$7)-INDEX(c_INSy,1,INDEX('Lease Cycles'!$GC$15:$GI$15,1,EN129)+1)))/12)</f>
        <v>0</v>
      </c>
      <c r="EO140" s="28">
        <f>IF(EO139=0,0,EO139*MAX(0,(INDEX(c_CAMy,1,EO$7)-INDEX(c_CAMy,1,INDEX('Lease Cycles'!$GC$15:$GI$15,1,EO129)+1))*(1+'Lease Cycles'!$AK$15)+(INDEX(c_TAXy,1,EO$7)-INDEX(c_TAXy,1,INDEX('Lease Cycles'!$GC$15:$GI$15,1,EO129)+1))+(INDEX(c_INSy,1,EO$7)-INDEX(c_INSy,1,INDEX('Lease Cycles'!$GC$15:$GI$15,1,EO129)+1)))/12)</f>
        <v>0</v>
      </c>
      <c r="EP140" s="28">
        <f>IF(EP139=0,0,EP139*MAX(0,(INDEX(c_CAMy,1,EP$7)-INDEX(c_CAMy,1,INDEX('Lease Cycles'!$GC$15:$GI$15,1,EP129)+1))*(1+'Lease Cycles'!$AK$15)+(INDEX(c_TAXy,1,EP$7)-INDEX(c_TAXy,1,INDEX('Lease Cycles'!$GC$15:$GI$15,1,EP129)+1))+(INDEX(c_INSy,1,EP$7)-INDEX(c_INSy,1,INDEX('Lease Cycles'!$GC$15:$GI$15,1,EP129)+1)))/12)</f>
        <v>0</v>
      </c>
      <c r="EQ140" s="28">
        <f>IF(EQ139=0,0,EQ139*MAX(0,(INDEX(c_CAMy,1,EQ$7)-INDEX(c_CAMy,1,INDEX('Lease Cycles'!$GC$15:$GI$15,1,EQ129)+1))*(1+'Lease Cycles'!$AK$15)+(INDEX(c_TAXy,1,EQ$7)-INDEX(c_TAXy,1,INDEX('Lease Cycles'!$GC$15:$GI$15,1,EQ129)+1))+(INDEX(c_INSy,1,EQ$7)-INDEX(c_INSy,1,INDEX('Lease Cycles'!$GC$15:$GI$15,1,EQ129)+1)))/12)</f>
        <v>0</v>
      </c>
      <c r="ER140" s="28">
        <f>IF(ER139=0,0,ER139*MAX(0,(INDEX(c_CAMy,1,ER$7)-INDEX(c_CAMy,1,INDEX('Lease Cycles'!$GC$15:$GI$15,1,ER129)+1))*(1+'Lease Cycles'!$AK$15)+(INDEX(c_TAXy,1,ER$7)-INDEX(c_TAXy,1,INDEX('Lease Cycles'!$GC$15:$GI$15,1,ER129)+1))+(INDEX(c_INSy,1,ER$7)-INDEX(c_INSy,1,INDEX('Lease Cycles'!$GC$15:$GI$15,1,ER129)+1)))/12)</f>
        <v>0</v>
      </c>
      <c r="ES140" s="28">
        <f>IF(ES139=0,0,ES139*MAX(0,(INDEX(c_CAMy,1,ES$7)-INDEX(c_CAMy,1,INDEX('Lease Cycles'!$GC$15:$GI$15,1,ES129)+1))*(1+'Lease Cycles'!$AK$15)+(INDEX(c_TAXy,1,ES$7)-INDEX(c_TAXy,1,INDEX('Lease Cycles'!$GC$15:$GI$15,1,ES129)+1))+(INDEX(c_INSy,1,ES$7)-INDEX(c_INSy,1,INDEX('Lease Cycles'!$GC$15:$GI$15,1,ES129)+1)))/12)</f>
        <v>0</v>
      </c>
      <c r="ET140" s="28">
        <f>IF(ET139=0,0,ET139*MAX(0,(INDEX(c_CAMy,1,ET$7)-INDEX(c_CAMy,1,INDEX('Lease Cycles'!$GC$15:$GI$15,1,ET129)+1))*(1+'Lease Cycles'!$AK$15)+(INDEX(c_TAXy,1,ET$7)-INDEX(c_TAXy,1,INDEX('Lease Cycles'!$GC$15:$GI$15,1,ET129)+1))+(INDEX(c_INSy,1,ET$7)-INDEX(c_INSy,1,INDEX('Lease Cycles'!$GC$15:$GI$15,1,ET129)+1)))/12)</f>
        <v>0</v>
      </c>
    </row>
    <row r="141">
      <c r="A141" s="103">
        <v>8</v>
      </c>
      <c r="B141" s="23" t="str">
        <f>IF('Lease Cycles'!$B$15="","(empty slot)",'Lease Cycles'!$B$15)</f>
        <v>Sunfield Bagels</v>
      </c>
      <c r="C141" s="23" t="s">
        <v>530</v>
      </c>
      <c r="D141" s="104" t="s">
        <v>531</v>
      </c>
      <c r="E141" s="25">
        <f>'Lease Cycles'!$AL$15</f>
        <v>0</v>
      </c>
      <c r="G141" s="28">
        <f>SUM(S141:AD141)</f>
        <v>0</v>
      </c>
      <c r="H141" s="28">
        <f>SUM(AE141:AP141)</f>
        <v>0</v>
      </c>
      <c r="I141" s="28">
        <f>SUM(AQ141:BB141)</f>
        <v>0</v>
      </c>
      <c r="J141" s="28">
        <f>SUM(BC141:BN141)</f>
        <v>9002.847366768647</v>
      </c>
      <c r="K141" s="28">
        <f>SUM(BO141:BZ141)</f>
        <v>0</v>
      </c>
      <c r="L141" s="28">
        <f>SUM(CA141:CL141)</f>
        <v>0</v>
      </c>
      <c r="M141" s="28">
        <f>SUM(CM141:CX141)</f>
        <v>0</v>
      </c>
      <c r="N141" s="28">
        <f>SUM(CY141:DJ141)</f>
        <v>0</v>
      </c>
      <c r="O141" s="28">
        <f>SUM(DK141:DV141)</f>
        <v>0</v>
      </c>
      <c r="P141" s="28">
        <f>SUM(DW141:EH141)</f>
        <v>0</v>
      </c>
      <c r="Q141" s="28">
        <f>SUM(EI141:ET141)</f>
        <v>10409.93010330641</v>
      </c>
      <c r="S141" s="28">
        <f>SUMIF('Lease Cycles'!$HL$15:$HR$15,S$6,'Lease Cycles'!$HS$15:$HY$15)</f>
        <v>0</v>
      </c>
      <c r="T141" s="28">
        <f>SUMIF('Lease Cycles'!$HL$15:$HR$15,T$6,'Lease Cycles'!$HS$15:$HY$15)</f>
        <v>0</v>
      </c>
      <c r="U141" s="28">
        <f>SUMIF('Lease Cycles'!$HL$15:$HR$15,U$6,'Lease Cycles'!$HS$15:$HY$15)</f>
        <v>0</v>
      </c>
      <c r="V141" s="28">
        <f>SUMIF('Lease Cycles'!$HL$15:$HR$15,V$6,'Lease Cycles'!$HS$15:$HY$15)</f>
        <v>0</v>
      </c>
      <c r="W141" s="28">
        <f>SUMIF('Lease Cycles'!$HL$15:$HR$15,W$6,'Lease Cycles'!$HS$15:$HY$15)</f>
        <v>0</v>
      </c>
      <c r="X141" s="28">
        <f>SUMIF('Lease Cycles'!$HL$15:$HR$15,X$6,'Lease Cycles'!$HS$15:$HY$15)</f>
        <v>0</v>
      </c>
      <c r="Y141" s="28">
        <f>SUMIF('Lease Cycles'!$HL$15:$HR$15,Y$6,'Lease Cycles'!$HS$15:$HY$15)</f>
        <v>0</v>
      </c>
      <c r="Z141" s="28">
        <f>SUMIF('Lease Cycles'!$HL$15:$HR$15,Z$6,'Lease Cycles'!$HS$15:$HY$15)</f>
        <v>0</v>
      </c>
      <c r="AA141" s="28">
        <f>SUMIF('Lease Cycles'!$HL$15:$HR$15,AA$6,'Lease Cycles'!$HS$15:$HY$15)</f>
        <v>0</v>
      </c>
      <c r="AB141" s="28">
        <f>SUMIF('Lease Cycles'!$HL$15:$HR$15,AB$6,'Lease Cycles'!$HS$15:$HY$15)</f>
        <v>0</v>
      </c>
      <c r="AC141" s="28">
        <f>SUMIF('Lease Cycles'!$HL$15:$HR$15,AC$6,'Lease Cycles'!$HS$15:$HY$15)</f>
        <v>0</v>
      </c>
      <c r="AD141" s="28">
        <f>SUMIF('Lease Cycles'!$HL$15:$HR$15,AD$6,'Lease Cycles'!$HS$15:$HY$15)</f>
        <v>0</v>
      </c>
      <c r="AE141" s="28">
        <f>SUMIF('Lease Cycles'!$HL$15:$HR$15,AE$6,'Lease Cycles'!$HS$15:$HY$15)</f>
        <v>0</v>
      </c>
      <c r="AF141" s="28">
        <f>SUMIF('Lease Cycles'!$HL$15:$HR$15,AF$6,'Lease Cycles'!$HS$15:$HY$15)</f>
        <v>0</v>
      </c>
      <c r="AG141" s="28">
        <f>SUMIF('Lease Cycles'!$HL$15:$HR$15,AG$6,'Lease Cycles'!$HS$15:$HY$15)</f>
        <v>0</v>
      </c>
      <c r="AH141" s="28">
        <f>SUMIF('Lease Cycles'!$HL$15:$HR$15,AH$6,'Lease Cycles'!$HS$15:$HY$15)</f>
        <v>0</v>
      </c>
      <c r="AI141" s="28">
        <f>SUMIF('Lease Cycles'!$HL$15:$HR$15,AI$6,'Lease Cycles'!$HS$15:$HY$15)</f>
        <v>0</v>
      </c>
      <c r="AJ141" s="28">
        <f>SUMIF('Lease Cycles'!$HL$15:$HR$15,AJ$6,'Lease Cycles'!$HS$15:$HY$15)</f>
        <v>0</v>
      </c>
      <c r="AK141" s="28">
        <f>SUMIF('Lease Cycles'!$HL$15:$HR$15,AK$6,'Lease Cycles'!$HS$15:$HY$15)</f>
        <v>0</v>
      </c>
      <c r="AL141" s="28">
        <f>SUMIF('Lease Cycles'!$HL$15:$HR$15,AL$6,'Lease Cycles'!$HS$15:$HY$15)</f>
        <v>0</v>
      </c>
      <c r="AM141" s="28">
        <f>SUMIF('Lease Cycles'!$HL$15:$HR$15,AM$6,'Lease Cycles'!$HS$15:$HY$15)</f>
        <v>0</v>
      </c>
      <c r="AN141" s="28">
        <f>SUMIF('Lease Cycles'!$HL$15:$HR$15,AN$6,'Lease Cycles'!$HS$15:$HY$15)</f>
        <v>0</v>
      </c>
      <c r="AO141" s="28">
        <f>SUMIF('Lease Cycles'!$HL$15:$HR$15,AO$6,'Lease Cycles'!$HS$15:$HY$15)</f>
        <v>0</v>
      </c>
      <c r="AP141" s="28">
        <f>SUMIF('Lease Cycles'!$HL$15:$HR$15,AP$6,'Lease Cycles'!$HS$15:$HY$15)</f>
        <v>0</v>
      </c>
      <c r="AQ141" s="28">
        <f>SUMIF('Lease Cycles'!$HL$15:$HR$15,AQ$6,'Lease Cycles'!$HS$15:$HY$15)</f>
        <v>0</v>
      </c>
      <c r="AR141" s="28">
        <f>SUMIF('Lease Cycles'!$HL$15:$HR$15,AR$6,'Lease Cycles'!$HS$15:$HY$15)</f>
        <v>0</v>
      </c>
      <c r="AS141" s="28">
        <f>SUMIF('Lease Cycles'!$HL$15:$HR$15,AS$6,'Lease Cycles'!$HS$15:$HY$15)</f>
        <v>0</v>
      </c>
      <c r="AT141" s="28">
        <f>SUMIF('Lease Cycles'!$HL$15:$HR$15,AT$6,'Lease Cycles'!$HS$15:$HY$15)</f>
        <v>0</v>
      </c>
      <c r="AU141" s="28">
        <f>SUMIF('Lease Cycles'!$HL$15:$HR$15,AU$6,'Lease Cycles'!$HS$15:$HY$15)</f>
        <v>0</v>
      </c>
      <c r="AV141" s="28">
        <f>SUMIF('Lease Cycles'!$HL$15:$HR$15,AV$6,'Lease Cycles'!$HS$15:$HY$15)</f>
        <v>0</v>
      </c>
      <c r="AW141" s="28">
        <f>SUMIF('Lease Cycles'!$HL$15:$HR$15,AW$6,'Lease Cycles'!$HS$15:$HY$15)</f>
        <v>0</v>
      </c>
      <c r="AX141" s="28">
        <f>SUMIF('Lease Cycles'!$HL$15:$HR$15,AX$6,'Lease Cycles'!$HS$15:$HY$15)</f>
        <v>0</v>
      </c>
      <c r="AY141" s="28">
        <f>SUMIF('Lease Cycles'!$HL$15:$HR$15,AY$6,'Lease Cycles'!$HS$15:$HY$15)</f>
        <v>0</v>
      </c>
      <c r="AZ141" s="28">
        <f>SUMIF('Lease Cycles'!$HL$15:$HR$15,AZ$6,'Lease Cycles'!$HS$15:$HY$15)</f>
        <v>0</v>
      </c>
      <c r="BA141" s="28">
        <f>SUMIF('Lease Cycles'!$HL$15:$HR$15,BA$6,'Lease Cycles'!$HS$15:$HY$15)</f>
        <v>0</v>
      </c>
      <c r="BB141" s="28">
        <f>SUMIF('Lease Cycles'!$HL$15:$HR$15,BB$6,'Lease Cycles'!$HS$15:$HY$15)</f>
        <v>0</v>
      </c>
      <c r="BC141" s="28">
        <f>SUMIF('Lease Cycles'!$HL$15:$HR$15,BC$6,'Lease Cycles'!$HS$15:$HY$15)</f>
        <v>0</v>
      </c>
      <c r="BD141" s="28">
        <f>SUMIF('Lease Cycles'!$HL$15:$HR$15,BD$6,'Lease Cycles'!$HS$15:$HY$15)</f>
        <v>0</v>
      </c>
      <c r="BE141" s="28">
        <f>SUMIF('Lease Cycles'!$HL$15:$HR$15,BE$6,'Lease Cycles'!$HS$15:$HY$15)</f>
        <v>0</v>
      </c>
      <c r="BF141" s="28">
        <f>SUMIF('Lease Cycles'!$HL$15:$HR$15,BF$6,'Lease Cycles'!$HS$15:$HY$15)</f>
        <v>0</v>
      </c>
      <c r="BG141" s="28">
        <f>SUMIF('Lease Cycles'!$HL$15:$HR$15,BG$6,'Lease Cycles'!$HS$15:$HY$15)</f>
        <v>0</v>
      </c>
      <c r="BH141" s="28">
        <f>SUMIF('Lease Cycles'!$HL$15:$HR$15,BH$6,'Lease Cycles'!$HS$15:$HY$15)</f>
        <v>0</v>
      </c>
      <c r="BI141" s="28">
        <f>SUMIF('Lease Cycles'!$HL$15:$HR$15,BI$6,'Lease Cycles'!$HS$15:$HY$15)</f>
        <v>9002.847366768647</v>
      </c>
      <c r="BJ141" s="28">
        <f>SUMIF('Lease Cycles'!$HL$15:$HR$15,BJ$6,'Lease Cycles'!$HS$15:$HY$15)</f>
        <v>0</v>
      </c>
      <c r="BK141" s="28">
        <f>SUMIF('Lease Cycles'!$HL$15:$HR$15,BK$6,'Lease Cycles'!$HS$15:$HY$15)</f>
        <v>0</v>
      </c>
      <c r="BL141" s="28">
        <f>SUMIF('Lease Cycles'!$HL$15:$HR$15,BL$6,'Lease Cycles'!$HS$15:$HY$15)</f>
        <v>0</v>
      </c>
      <c r="BM141" s="28">
        <f>SUMIF('Lease Cycles'!$HL$15:$HR$15,BM$6,'Lease Cycles'!$HS$15:$HY$15)</f>
        <v>0</v>
      </c>
      <c r="BN141" s="28">
        <f>SUMIF('Lease Cycles'!$HL$15:$HR$15,BN$6,'Lease Cycles'!$HS$15:$HY$15)</f>
        <v>0</v>
      </c>
      <c r="BO141" s="28">
        <f>SUMIF('Lease Cycles'!$HL$15:$HR$15,BO$6,'Lease Cycles'!$HS$15:$HY$15)</f>
        <v>0</v>
      </c>
      <c r="BP141" s="28">
        <f>SUMIF('Lease Cycles'!$HL$15:$HR$15,BP$6,'Lease Cycles'!$HS$15:$HY$15)</f>
        <v>0</v>
      </c>
      <c r="BQ141" s="28">
        <f>SUMIF('Lease Cycles'!$HL$15:$HR$15,BQ$6,'Lease Cycles'!$HS$15:$HY$15)</f>
        <v>0</v>
      </c>
      <c r="BR141" s="28">
        <f>SUMIF('Lease Cycles'!$HL$15:$HR$15,BR$6,'Lease Cycles'!$HS$15:$HY$15)</f>
        <v>0</v>
      </c>
      <c r="BS141" s="28">
        <f>SUMIF('Lease Cycles'!$HL$15:$HR$15,BS$6,'Lease Cycles'!$HS$15:$HY$15)</f>
        <v>0</v>
      </c>
      <c r="BT141" s="28">
        <f>SUMIF('Lease Cycles'!$HL$15:$HR$15,BT$6,'Lease Cycles'!$HS$15:$HY$15)</f>
        <v>0</v>
      </c>
      <c r="BU141" s="28">
        <f>SUMIF('Lease Cycles'!$HL$15:$HR$15,BU$6,'Lease Cycles'!$HS$15:$HY$15)</f>
        <v>0</v>
      </c>
      <c r="BV141" s="28">
        <f>SUMIF('Lease Cycles'!$HL$15:$HR$15,BV$6,'Lease Cycles'!$HS$15:$HY$15)</f>
        <v>0</v>
      </c>
      <c r="BW141" s="28">
        <f>SUMIF('Lease Cycles'!$HL$15:$HR$15,BW$6,'Lease Cycles'!$HS$15:$HY$15)</f>
        <v>0</v>
      </c>
      <c r="BX141" s="28">
        <f>SUMIF('Lease Cycles'!$HL$15:$HR$15,BX$6,'Lease Cycles'!$HS$15:$HY$15)</f>
        <v>0</v>
      </c>
      <c r="BY141" s="28">
        <f>SUMIF('Lease Cycles'!$HL$15:$HR$15,BY$6,'Lease Cycles'!$HS$15:$HY$15)</f>
        <v>0</v>
      </c>
      <c r="BZ141" s="28">
        <f>SUMIF('Lease Cycles'!$HL$15:$HR$15,BZ$6,'Lease Cycles'!$HS$15:$HY$15)</f>
        <v>0</v>
      </c>
      <c r="CA141" s="28">
        <f>SUMIF('Lease Cycles'!$HL$15:$HR$15,CA$6,'Lease Cycles'!$HS$15:$HY$15)</f>
        <v>0</v>
      </c>
      <c r="CB141" s="28">
        <f>SUMIF('Lease Cycles'!$HL$15:$HR$15,CB$6,'Lease Cycles'!$HS$15:$HY$15)</f>
        <v>0</v>
      </c>
      <c r="CC141" s="28">
        <f>SUMIF('Lease Cycles'!$HL$15:$HR$15,CC$6,'Lease Cycles'!$HS$15:$HY$15)</f>
        <v>0</v>
      </c>
      <c r="CD141" s="28">
        <f>SUMIF('Lease Cycles'!$HL$15:$HR$15,CD$6,'Lease Cycles'!$HS$15:$HY$15)</f>
        <v>0</v>
      </c>
      <c r="CE141" s="28">
        <f>SUMIF('Lease Cycles'!$HL$15:$HR$15,CE$6,'Lease Cycles'!$HS$15:$HY$15)</f>
        <v>0</v>
      </c>
      <c r="CF141" s="28">
        <f>SUMIF('Lease Cycles'!$HL$15:$HR$15,CF$6,'Lease Cycles'!$HS$15:$HY$15)</f>
        <v>0</v>
      </c>
      <c r="CG141" s="28">
        <f>SUMIF('Lease Cycles'!$HL$15:$HR$15,CG$6,'Lease Cycles'!$HS$15:$HY$15)</f>
        <v>0</v>
      </c>
      <c r="CH141" s="28">
        <f>SUMIF('Lease Cycles'!$HL$15:$HR$15,CH$6,'Lease Cycles'!$HS$15:$HY$15)</f>
        <v>0</v>
      </c>
      <c r="CI141" s="28">
        <f>SUMIF('Lease Cycles'!$HL$15:$HR$15,CI$6,'Lease Cycles'!$HS$15:$HY$15)</f>
        <v>0</v>
      </c>
      <c r="CJ141" s="28">
        <f>SUMIF('Lease Cycles'!$HL$15:$HR$15,CJ$6,'Lease Cycles'!$HS$15:$HY$15)</f>
        <v>0</v>
      </c>
      <c r="CK141" s="28">
        <f>SUMIF('Lease Cycles'!$HL$15:$HR$15,CK$6,'Lease Cycles'!$HS$15:$HY$15)</f>
        <v>0</v>
      </c>
      <c r="CL141" s="28">
        <f>SUMIF('Lease Cycles'!$HL$15:$HR$15,CL$6,'Lease Cycles'!$HS$15:$HY$15)</f>
        <v>0</v>
      </c>
      <c r="CM141" s="28">
        <f>SUMIF('Lease Cycles'!$HL$15:$HR$15,CM$6,'Lease Cycles'!$HS$15:$HY$15)</f>
        <v>0</v>
      </c>
      <c r="CN141" s="28">
        <f>SUMIF('Lease Cycles'!$HL$15:$HR$15,CN$6,'Lease Cycles'!$HS$15:$HY$15)</f>
        <v>0</v>
      </c>
      <c r="CO141" s="28">
        <f>SUMIF('Lease Cycles'!$HL$15:$HR$15,CO$6,'Lease Cycles'!$HS$15:$HY$15)</f>
        <v>0</v>
      </c>
      <c r="CP141" s="28">
        <f>SUMIF('Lease Cycles'!$HL$15:$HR$15,CP$6,'Lease Cycles'!$HS$15:$HY$15)</f>
        <v>0</v>
      </c>
      <c r="CQ141" s="28">
        <f>SUMIF('Lease Cycles'!$HL$15:$HR$15,CQ$6,'Lease Cycles'!$HS$15:$HY$15)</f>
        <v>0</v>
      </c>
      <c r="CR141" s="28">
        <f>SUMIF('Lease Cycles'!$HL$15:$HR$15,CR$6,'Lease Cycles'!$HS$15:$HY$15)</f>
        <v>0</v>
      </c>
      <c r="CS141" s="28">
        <f>SUMIF('Lease Cycles'!$HL$15:$HR$15,CS$6,'Lease Cycles'!$HS$15:$HY$15)</f>
        <v>0</v>
      </c>
      <c r="CT141" s="28">
        <f>SUMIF('Lease Cycles'!$HL$15:$HR$15,CT$6,'Lease Cycles'!$HS$15:$HY$15)</f>
        <v>0</v>
      </c>
      <c r="CU141" s="28">
        <f>SUMIF('Lease Cycles'!$HL$15:$HR$15,CU$6,'Lease Cycles'!$HS$15:$HY$15)</f>
        <v>0</v>
      </c>
      <c r="CV141" s="28">
        <f>SUMIF('Lease Cycles'!$HL$15:$HR$15,CV$6,'Lease Cycles'!$HS$15:$HY$15)</f>
        <v>0</v>
      </c>
      <c r="CW141" s="28">
        <f>SUMIF('Lease Cycles'!$HL$15:$HR$15,CW$6,'Lease Cycles'!$HS$15:$HY$15)</f>
        <v>0</v>
      </c>
      <c r="CX141" s="28">
        <f>SUMIF('Lease Cycles'!$HL$15:$HR$15,CX$6,'Lease Cycles'!$HS$15:$HY$15)</f>
        <v>0</v>
      </c>
      <c r="CY141" s="28">
        <f>SUMIF('Lease Cycles'!$HL$15:$HR$15,CY$6,'Lease Cycles'!$HS$15:$HY$15)</f>
        <v>0</v>
      </c>
      <c r="CZ141" s="28">
        <f>SUMIF('Lease Cycles'!$HL$15:$HR$15,CZ$6,'Lease Cycles'!$HS$15:$HY$15)</f>
        <v>0</v>
      </c>
      <c r="DA141" s="28">
        <f>SUMIF('Lease Cycles'!$HL$15:$HR$15,DA$6,'Lease Cycles'!$HS$15:$HY$15)</f>
        <v>0</v>
      </c>
      <c r="DB141" s="28">
        <f>SUMIF('Lease Cycles'!$HL$15:$HR$15,DB$6,'Lease Cycles'!$HS$15:$HY$15)</f>
        <v>0</v>
      </c>
      <c r="DC141" s="28">
        <f>SUMIF('Lease Cycles'!$HL$15:$HR$15,DC$6,'Lease Cycles'!$HS$15:$HY$15)</f>
        <v>0</v>
      </c>
      <c r="DD141" s="28">
        <f>SUMIF('Lease Cycles'!$HL$15:$HR$15,DD$6,'Lease Cycles'!$HS$15:$HY$15)</f>
        <v>0</v>
      </c>
      <c r="DE141" s="28">
        <f>SUMIF('Lease Cycles'!$HL$15:$HR$15,DE$6,'Lease Cycles'!$HS$15:$HY$15)</f>
        <v>0</v>
      </c>
      <c r="DF141" s="28">
        <f>SUMIF('Lease Cycles'!$HL$15:$HR$15,DF$6,'Lease Cycles'!$HS$15:$HY$15)</f>
        <v>0</v>
      </c>
      <c r="DG141" s="28">
        <f>SUMIF('Lease Cycles'!$HL$15:$HR$15,DG$6,'Lease Cycles'!$HS$15:$HY$15)</f>
        <v>0</v>
      </c>
      <c r="DH141" s="28">
        <f>SUMIF('Lease Cycles'!$HL$15:$HR$15,DH$6,'Lease Cycles'!$HS$15:$HY$15)</f>
        <v>0</v>
      </c>
      <c r="DI141" s="28">
        <f>SUMIF('Lease Cycles'!$HL$15:$HR$15,DI$6,'Lease Cycles'!$HS$15:$HY$15)</f>
        <v>0</v>
      </c>
      <c r="DJ141" s="28">
        <f>SUMIF('Lease Cycles'!$HL$15:$HR$15,DJ$6,'Lease Cycles'!$HS$15:$HY$15)</f>
        <v>0</v>
      </c>
      <c r="DK141" s="28">
        <f>SUMIF('Lease Cycles'!$HL$15:$HR$15,DK$6,'Lease Cycles'!$HS$15:$HY$15)</f>
        <v>0</v>
      </c>
      <c r="DL141" s="28">
        <f>SUMIF('Lease Cycles'!$HL$15:$HR$15,DL$6,'Lease Cycles'!$HS$15:$HY$15)</f>
        <v>0</v>
      </c>
      <c r="DM141" s="28">
        <f>SUMIF('Lease Cycles'!$HL$15:$HR$15,DM$6,'Lease Cycles'!$HS$15:$HY$15)</f>
        <v>0</v>
      </c>
      <c r="DN141" s="28">
        <f>SUMIF('Lease Cycles'!$HL$15:$HR$15,DN$6,'Lease Cycles'!$HS$15:$HY$15)</f>
        <v>0</v>
      </c>
      <c r="DO141" s="28">
        <f>SUMIF('Lease Cycles'!$HL$15:$HR$15,DO$6,'Lease Cycles'!$HS$15:$HY$15)</f>
        <v>0</v>
      </c>
      <c r="DP141" s="28">
        <f>SUMIF('Lease Cycles'!$HL$15:$HR$15,DP$6,'Lease Cycles'!$HS$15:$HY$15)</f>
        <v>0</v>
      </c>
      <c r="DQ141" s="28">
        <f>SUMIF('Lease Cycles'!$HL$15:$HR$15,DQ$6,'Lease Cycles'!$HS$15:$HY$15)</f>
        <v>0</v>
      </c>
      <c r="DR141" s="28">
        <f>SUMIF('Lease Cycles'!$HL$15:$HR$15,DR$6,'Lease Cycles'!$HS$15:$HY$15)</f>
        <v>0</v>
      </c>
      <c r="DS141" s="28">
        <f>SUMIF('Lease Cycles'!$HL$15:$HR$15,DS$6,'Lease Cycles'!$HS$15:$HY$15)</f>
        <v>0</v>
      </c>
      <c r="DT141" s="28">
        <f>SUMIF('Lease Cycles'!$HL$15:$HR$15,DT$6,'Lease Cycles'!$HS$15:$HY$15)</f>
        <v>0</v>
      </c>
      <c r="DU141" s="28">
        <f>SUMIF('Lease Cycles'!$HL$15:$HR$15,DU$6,'Lease Cycles'!$HS$15:$HY$15)</f>
        <v>0</v>
      </c>
      <c r="DV141" s="28">
        <f>SUMIF('Lease Cycles'!$HL$15:$HR$15,DV$6,'Lease Cycles'!$HS$15:$HY$15)</f>
        <v>0</v>
      </c>
      <c r="DW141" s="28">
        <f>SUMIF('Lease Cycles'!$HL$15:$HR$15,DW$6,'Lease Cycles'!$HS$15:$HY$15)</f>
        <v>0</v>
      </c>
      <c r="DX141" s="28">
        <f>SUMIF('Lease Cycles'!$HL$15:$HR$15,DX$6,'Lease Cycles'!$HS$15:$HY$15)</f>
        <v>0</v>
      </c>
      <c r="DY141" s="28">
        <f>SUMIF('Lease Cycles'!$HL$15:$HR$15,DY$6,'Lease Cycles'!$HS$15:$HY$15)</f>
        <v>0</v>
      </c>
      <c r="DZ141" s="28">
        <f>SUMIF('Lease Cycles'!$HL$15:$HR$15,DZ$6,'Lease Cycles'!$HS$15:$HY$15)</f>
        <v>0</v>
      </c>
      <c r="EA141" s="28">
        <f>SUMIF('Lease Cycles'!$HL$15:$HR$15,EA$6,'Lease Cycles'!$HS$15:$HY$15)</f>
        <v>0</v>
      </c>
      <c r="EB141" s="28">
        <f>SUMIF('Lease Cycles'!$HL$15:$HR$15,EB$6,'Lease Cycles'!$HS$15:$HY$15)</f>
        <v>0</v>
      </c>
      <c r="EC141" s="28">
        <f>SUMIF('Lease Cycles'!$HL$15:$HR$15,EC$6,'Lease Cycles'!$HS$15:$HY$15)</f>
        <v>0</v>
      </c>
      <c r="ED141" s="28">
        <f>SUMIF('Lease Cycles'!$HL$15:$HR$15,ED$6,'Lease Cycles'!$HS$15:$HY$15)</f>
        <v>0</v>
      </c>
      <c r="EE141" s="28">
        <f>SUMIF('Lease Cycles'!$HL$15:$HR$15,EE$6,'Lease Cycles'!$HS$15:$HY$15)</f>
        <v>0</v>
      </c>
      <c r="EF141" s="28">
        <f>SUMIF('Lease Cycles'!$HL$15:$HR$15,EF$6,'Lease Cycles'!$HS$15:$HY$15)</f>
        <v>0</v>
      </c>
      <c r="EG141" s="28">
        <f>SUMIF('Lease Cycles'!$HL$15:$HR$15,EG$6,'Lease Cycles'!$HS$15:$HY$15)</f>
        <v>0</v>
      </c>
      <c r="EH141" s="28">
        <f>SUMIF('Lease Cycles'!$HL$15:$HR$15,EH$6,'Lease Cycles'!$HS$15:$HY$15)</f>
        <v>0</v>
      </c>
      <c r="EI141" s="28">
        <f>SUMIF('Lease Cycles'!$HL$15:$HR$15,EI$6,'Lease Cycles'!$HS$15:$HY$15)</f>
        <v>0</v>
      </c>
      <c r="EJ141" s="28">
        <f>SUMIF('Lease Cycles'!$HL$15:$HR$15,EJ$6,'Lease Cycles'!$HS$15:$HY$15)</f>
        <v>0</v>
      </c>
      <c r="EK141" s="28">
        <f>SUMIF('Lease Cycles'!$HL$15:$HR$15,EK$6,'Lease Cycles'!$HS$15:$HY$15)</f>
        <v>0</v>
      </c>
      <c r="EL141" s="28">
        <f>SUMIF('Lease Cycles'!$HL$15:$HR$15,EL$6,'Lease Cycles'!$HS$15:$HY$15)</f>
        <v>0</v>
      </c>
      <c r="EM141" s="28">
        <f>SUMIF('Lease Cycles'!$HL$15:$HR$15,EM$6,'Lease Cycles'!$HS$15:$HY$15)</f>
        <v>0</v>
      </c>
      <c r="EN141" s="28">
        <f>SUMIF('Lease Cycles'!$HL$15:$HR$15,EN$6,'Lease Cycles'!$HS$15:$HY$15)</f>
        <v>0</v>
      </c>
      <c r="EO141" s="28">
        <f>SUMIF('Lease Cycles'!$HL$15:$HR$15,EO$6,'Lease Cycles'!$HS$15:$HY$15)</f>
        <v>0</v>
      </c>
      <c r="EP141" s="28">
        <f>SUMIF('Lease Cycles'!$HL$15:$HR$15,EP$6,'Lease Cycles'!$HS$15:$HY$15)</f>
        <v>0</v>
      </c>
      <c r="EQ141" s="28">
        <f>SUMIF('Lease Cycles'!$HL$15:$HR$15,EQ$6,'Lease Cycles'!$HS$15:$HY$15)</f>
        <v>0</v>
      </c>
      <c r="ER141" s="28">
        <f>SUMIF('Lease Cycles'!$HL$15:$HR$15,ER$6,'Lease Cycles'!$HS$15:$HY$15)</f>
        <v>0</v>
      </c>
      <c r="ES141" s="28">
        <f>SUMIF('Lease Cycles'!$HL$15:$HR$15,ES$6,'Lease Cycles'!$HS$15:$HY$15)</f>
        <v>10409.93010330641</v>
      </c>
      <c r="ET141" s="28">
        <f>SUMIF('Lease Cycles'!$HL$15:$HR$15,ET$6,'Lease Cycles'!$HS$15:$HY$15)</f>
        <v>0</v>
      </c>
    </row>
    <row r="142">
      <c r="A142" s="103">
        <v>8</v>
      </c>
      <c r="B142" s="23" t="str">
        <f>IF('Lease Cycles'!$B$15="","(empty slot)",'Lease Cycles'!$B$15)</f>
        <v>Sunfield Bagels</v>
      </c>
      <c r="C142" s="23" t="s">
        <v>532</v>
      </c>
      <c r="D142" s="104" t="s">
        <v>533</v>
      </c>
      <c r="E142" s="25">
        <f>'Lease Cycles'!$AL$15</f>
        <v>0</v>
      </c>
      <c r="G142" s="28">
        <f>SUM(S142:AD142)</f>
        <v>0</v>
      </c>
      <c r="H142" s="28">
        <f>SUM(AE142:AP142)</f>
        <v>0</v>
      </c>
      <c r="I142" s="28">
        <f>SUM(AQ142:BB142)</f>
        <v>0</v>
      </c>
      <c r="J142" s="28">
        <f>SUM(BC142:BN142)</f>
        <v>5692.09939969242</v>
      </c>
      <c r="K142" s="28">
        <f>SUM(BO142:BZ142)</f>
        <v>0</v>
      </c>
      <c r="L142" s="28">
        <f>SUM(CA142:CL142)</f>
        <v>0</v>
      </c>
      <c r="M142" s="28">
        <f>SUM(CM142:CX142)</f>
        <v>0</v>
      </c>
      <c r="N142" s="28">
        <f>SUM(CY142:DJ142)</f>
        <v>0</v>
      </c>
      <c r="O142" s="28">
        <f>SUM(DK142:DV142)</f>
        <v>0</v>
      </c>
      <c r="P142" s="28">
        <f>SUM(DW142:EH142)</f>
        <v>0</v>
      </c>
      <c r="Q142" s="28">
        <f>SUM(EI142:ET142)</f>
        <v>7069.881316835821</v>
      </c>
      <c r="S142" s="28">
        <f>SUMIF('Lease Cycles'!$HL$15:$HR$15,S$6,'Lease Cycles'!$HZ$15:$IF$15)</f>
        <v>0</v>
      </c>
      <c r="T142" s="28">
        <f>SUMIF('Lease Cycles'!$HL$15:$HR$15,T$6,'Lease Cycles'!$HZ$15:$IF$15)</f>
        <v>0</v>
      </c>
      <c r="U142" s="28">
        <f>SUMIF('Lease Cycles'!$HL$15:$HR$15,U$6,'Lease Cycles'!$HZ$15:$IF$15)</f>
        <v>0</v>
      </c>
      <c r="V142" s="28">
        <f>SUMIF('Lease Cycles'!$HL$15:$HR$15,V$6,'Lease Cycles'!$HZ$15:$IF$15)</f>
        <v>0</v>
      </c>
      <c r="W142" s="28">
        <f>SUMIF('Lease Cycles'!$HL$15:$HR$15,W$6,'Lease Cycles'!$HZ$15:$IF$15)</f>
        <v>0</v>
      </c>
      <c r="X142" s="28">
        <f>SUMIF('Lease Cycles'!$HL$15:$HR$15,X$6,'Lease Cycles'!$HZ$15:$IF$15)</f>
        <v>0</v>
      </c>
      <c r="Y142" s="28">
        <f>SUMIF('Lease Cycles'!$HL$15:$HR$15,Y$6,'Lease Cycles'!$HZ$15:$IF$15)</f>
        <v>0</v>
      </c>
      <c r="Z142" s="28">
        <f>SUMIF('Lease Cycles'!$HL$15:$HR$15,Z$6,'Lease Cycles'!$HZ$15:$IF$15)</f>
        <v>0</v>
      </c>
      <c r="AA142" s="28">
        <f>SUMIF('Lease Cycles'!$HL$15:$HR$15,AA$6,'Lease Cycles'!$HZ$15:$IF$15)</f>
        <v>0</v>
      </c>
      <c r="AB142" s="28">
        <f>SUMIF('Lease Cycles'!$HL$15:$HR$15,AB$6,'Lease Cycles'!$HZ$15:$IF$15)</f>
        <v>0</v>
      </c>
      <c r="AC142" s="28">
        <f>SUMIF('Lease Cycles'!$HL$15:$HR$15,AC$6,'Lease Cycles'!$HZ$15:$IF$15)</f>
        <v>0</v>
      </c>
      <c r="AD142" s="28">
        <f>SUMIF('Lease Cycles'!$HL$15:$HR$15,AD$6,'Lease Cycles'!$HZ$15:$IF$15)</f>
        <v>0</v>
      </c>
      <c r="AE142" s="28">
        <f>SUMIF('Lease Cycles'!$HL$15:$HR$15,AE$6,'Lease Cycles'!$HZ$15:$IF$15)</f>
        <v>0</v>
      </c>
      <c r="AF142" s="28">
        <f>SUMIF('Lease Cycles'!$HL$15:$HR$15,AF$6,'Lease Cycles'!$HZ$15:$IF$15)</f>
        <v>0</v>
      </c>
      <c r="AG142" s="28">
        <f>SUMIF('Lease Cycles'!$HL$15:$HR$15,AG$6,'Lease Cycles'!$HZ$15:$IF$15)</f>
        <v>0</v>
      </c>
      <c r="AH142" s="28">
        <f>SUMIF('Lease Cycles'!$HL$15:$HR$15,AH$6,'Lease Cycles'!$HZ$15:$IF$15)</f>
        <v>0</v>
      </c>
      <c r="AI142" s="28">
        <f>SUMIF('Lease Cycles'!$HL$15:$HR$15,AI$6,'Lease Cycles'!$HZ$15:$IF$15)</f>
        <v>0</v>
      </c>
      <c r="AJ142" s="28">
        <f>SUMIF('Lease Cycles'!$HL$15:$HR$15,AJ$6,'Lease Cycles'!$HZ$15:$IF$15)</f>
        <v>0</v>
      </c>
      <c r="AK142" s="28">
        <f>SUMIF('Lease Cycles'!$HL$15:$HR$15,AK$6,'Lease Cycles'!$HZ$15:$IF$15)</f>
        <v>0</v>
      </c>
      <c r="AL142" s="28">
        <f>SUMIF('Lease Cycles'!$HL$15:$HR$15,AL$6,'Lease Cycles'!$HZ$15:$IF$15)</f>
        <v>0</v>
      </c>
      <c r="AM142" s="28">
        <f>SUMIF('Lease Cycles'!$HL$15:$HR$15,AM$6,'Lease Cycles'!$HZ$15:$IF$15)</f>
        <v>0</v>
      </c>
      <c r="AN142" s="28">
        <f>SUMIF('Lease Cycles'!$HL$15:$HR$15,AN$6,'Lease Cycles'!$HZ$15:$IF$15)</f>
        <v>0</v>
      </c>
      <c r="AO142" s="28">
        <f>SUMIF('Lease Cycles'!$HL$15:$HR$15,AO$6,'Lease Cycles'!$HZ$15:$IF$15)</f>
        <v>0</v>
      </c>
      <c r="AP142" s="28">
        <f>SUMIF('Lease Cycles'!$HL$15:$HR$15,AP$6,'Lease Cycles'!$HZ$15:$IF$15)</f>
        <v>0</v>
      </c>
      <c r="AQ142" s="28">
        <f>SUMIF('Lease Cycles'!$HL$15:$HR$15,AQ$6,'Lease Cycles'!$HZ$15:$IF$15)</f>
        <v>0</v>
      </c>
      <c r="AR142" s="28">
        <f>SUMIF('Lease Cycles'!$HL$15:$HR$15,AR$6,'Lease Cycles'!$HZ$15:$IF$15)</f>
        <v>0</v>
      </c>
      <c r="AS142" s="28">
        <f>SUMIF('Lease Cycles'!$HL$15:$HR$15,AS$6,'Lease Cycles'!$HZ$15:$IF$15)</f>
        <v>0</v>
      </c>
      <c r="AT142" s="28">
        <f>SUMIF('Lease Cycles'!$HL$15:$HR$15,AT$6,'Lease Cycles'!$HZ$15:$IF$15)</f>
        <v>0</v>
      </c>
      <c r="AU142" s="28">
        <f>SUMIF('Lease Cycles'!$HL$15:$HR$15,AU$6,'Lease Cycles'!$HZ$15:$IF$15)</f>
        <v>0</v>
      </c>
      <c r="AV142" s="28">
        <f>SUMIF('Lease Cycles'!$HL$15:$HR$15,AV$6,'Lease Cycles'!$HZ$15:$IF$15)</f>
        <v>0</v>
      </c>
      <c r="AW142" s="28">
        <f>SUMIF('Lease Cycles'!$HL$15:$HR$15,AW$6,'Lease Cycles'!$HZ$15:$IF$15)</f>
        <v>0</v>
      </c>
      <c r="AX142" s="28">
        <f>SUMIF('Lease Cycles'!$HL$15:$HR$15,AX$6,'Lease Cycles'!$HZ$15:$IF$15)</f>
        <v>0</v>
      </c>
      <c r="AY142" s="28">
        <f>SUMIF('Lease Cycles'!$HL$15:$HR$15,AY$6,'Lease Cycles'!$HZ$15:$IF$15)</f>
        <v>0</v>
      </c>
      <c r="AZ142" s="28">
        <f>SUMIF('Lease Cycles'!$HL$15:$HR$15,AZ$6,'Lease Cycles'!$HZ$15:$IF$15)</f>
        <v>0</v>
      </c>
      <c r="BA142" s="28">
        <f>SUMIF('Lease Cycles'!$HL$15:$HR$15,BA$6,'Lease Cycles'!$HZ$15:$IF$15)</f>
        <v>0</v>
      </c>
      <c r="BB142" s="28">
        <f>SUMIF('Lease Cycles'!$HL$15:$HR$15,BB$6,'Lease Cycles'!$HZ$15:$IF$15)</f>
        <v>0</v>
      </c>
      <c r="BC142" s="28">
        <f>SUMIF('Lease Cycles'!$HL$15:$HR$15,BC$6,'Lease Cycles'!$HZ$15:$IF$15)</f>
        <v>0</v>
      </c>
      <c r="BD142" s="28">
        <f>SUMIF('Lease Cycles'!$HL$15:$HR$15,BD$6,'Lease Cycles'!$HZ$15:$IF$15)</f>
        <v>0</v>
      </c>
      <c r="BE142" s="28">
        <f>SUMIF('Lease Cycles'!$HL$15:$HR$15,BE$6,'Lease Cycles'!$HZ$15:$IF$15)</f>
        <v>0</v>
      </c>
      <c r="BF142" s="28">
        <f>SUMIF('Lease Cycles'!$HL$15:$HR$15,BF$6,'Lease Cycles'!$HZ$15:$IF$15)</f>
        <v>0</v>
      </c>
      <c r="BG142" s="28">
        <f>SUMIF('Lease Cycles'!$HL$15:$HR$15,BG$6,'Lease Cycles'!$HZ$15:$IF$15)</f>
        <v>0</v>
      </c>
      <c r="BH142" s="28">
        <f>SUMIF('Lease Cycles'!$HL$15:$HR$15,BH$6,'Lease Cycles'!$HZ$15:$IF$15)</f>
        <v>0</v>
      </c>
      <c r="BI142" s="28">
        <f>SUMIF('Lease Cycles'!$HL$15:$HR$15,BI$6,'Lease Cycles'!$HZ$15:$IF$15)</f>
        <v>5692.09939969242</v>
      </c>
      <c r="BJ142" s="28">
        <f>SUMIF('Lease Cycles'!$HL$15:$HR$15,BJ$6,'Lease Cycles'!$HZ$15:$IF$15)</f>
        <v>0</v>
      </c>
      <c r="BK142" s="28">
        <f>SUMIF('Lease Cycles'!$HL$15:$HR$15,BK$6,'Lease Cycles'!$HZ$15:$IF$15)</f>
        <v>0</v>
      </c>
      <c r="BL142" s="28">
        <f>SUMIF('Lease Cycles'!$HL$15:$HR$15,BL$6,'Lease Cycles'!$HZ$15:$IF$15)</f>
        <v>0</v>
      </c>
      <c r="BM142" s="28">
        <f>SUMIF('Lease Cycles'!$HL$15:$HR$15,BM$6,'Lease Cycles'!$HZ$15:$IF$15)</f>
        <v>0</v>
      </c>
      <c r="BN142" s="28">
        <f>SUMIF('Lease Cycles'!$HL$15:$HR$15,BN$6,'Lease Cycles'!$HZ$15:$IF$15)</f>
        <v>0</v>
      </c>
      <c r="BO142" s="28">
        <f>SUMIF('Lease Cycles'!$HL$15:$HR$15,BO$6,'Lease Cycles'!$HZ$15:$IF$15)</f>
        <v>0</v>
      </c>
      <c r="BP142" s="28">
        <f>SUMIF('Lease Cycles'!$HL$15:$HR$15,BP$6,'Lease Cycles'!$HZ$15:$IF$15)</f>
        <v>0</v>
      </c>
      <c r="BQ142" s="28">
        <f>SUMIF('Lease Cycles'!$HL$15:$HR$15,BQ$6,'Lease Cycles'!$HZ$15:$IF$15)</f>
        <v>0</v>
      </c>
      <c r="BR142" s="28">
        <f>SUMIF('Lease Cycles'!$HL$15:$HR$15,BR$6,'Lease Cycles'!$HZ$15:$IF$15)</f>
        <v>0</v>
      </c>
      <c r="BS142" s="28">
        <f>SUMIF('Lease Cycles'!$HL$15:$HR$15,BS$6,'Lease Cycles'!$HZ$15:$IF$15)</f>
        <v>0</v>
      </c>
      <c r="BT142" s="28">
        <f>SUMIF('Lease Cycles'!$HL$15:$HR$15,BT$6,'Lease Cycles'!$HZ$15:$IF$15)</f>
        <v>0</v>
      </c>
      <c r="BU142" s="28">
        <f>SUMIF('Lease Cycles'!$HL$15:$HR$15,BU$6,'Lease Cycles'!$HZ$15:$IF$15)</f>
        <v>0</v>
      </c>
      <c r="BV142" s="28">
        <f>SUMIF('Lease Cycles'!$HL$15:$HR$15,BV$6,'Lease Cycles'!$HZ$15:$IF$15)</f>
        <v>0</v>
      </c>
      <c r="BW142" s="28">
        <f>SUMIF('Lease Cycles'!$HL$15:$HR$15,BW$6,'Lease Cycles'!$HZ$15:$IF$15)</f>
        <v>0</v>
      </c>
      <c r="BX142" s="28">
        <f>SUMIF('Lease Cycles'!$HL$15:$HR$15,BX$6,'Lease Cycles'!$HZ$15:$IF$15)</f>
        <v>0</v>
      </c>
      <c r="BY142" s="28">
        <f>SUMIF('Lease Cycles'!$HL$15:$HR$15,BY$6,'Lease Cycles'!$HZ$15:$IF$15)</f>
        <v>0</v>
      </c>
      <c r="BZ142" s="28">
        <f>SUMIF('Lease Cycles'!$HL$15:$HR$15,BZ$6,'Lease Cycles'!$HZ$15:$IF$15)</f>
        <v>0</v>
      </c>
      <c r="CA142" s="28">
        <f>SUMIF('Lease Cycles'!$HL$15:$HR$15,CA$6,'Lease Cycles'!$HZ$15:$IF$15)</f>
        <v>0</v>
      </c>
      <c r="CB142" s="28">
        <f>SUMIF('Lease Cycles'!$HL$15:$HR$15,CB$6,'Lease Cycles'!$HZ$15:$IF$15)</f>
        <v>0</v>
      </c>
      <c r="CC142" s="28">
        <f>SUMIF('Lease Cycles'!$HL$15:$HR$15,CC$6,'Lease Cycles'!$HZ$15:$IF$15)</f>
        <v>0</v>
      </c>
      <c r="CD142" s="28">
        <f>SUMIF('Lease Cycles'!$HL$15:$HR$15,CD$6,'Lease Cycles'!$HZ$15:$IF$15)</f>
        <v>0</v>
      </c>
      <c r="CE142" s="28">
        <f>SUMIF('Lease Cycles'!$HL$15:$HR$15,CE$6,'Lease Cycles'!$HZ$15:$IF$15)</f>
        <v>0</v>
      </c>
      <c r="CF142" s="28">
        <f>SUMIF('Lease Cycles'!$HL$15:$HR$15,CF$6,'Lease Cycles'!$HZ$15:$IF$15)</f>
        <v>0</v>
      </c>
      <c r="CG142" s="28">
        <f>SUMIF('Lease Cycles'!$HL$15:$HR$15,CG$6,'Lease Cycles'!$HZ$15:$IF$15)</f>
        <v>0</v>
      </c>
      <c r="CH142" s="28">
        <f>SUMIF('Lease Cycles'!$HL$15:$HR$15,CH$6,'Lease Cycles'!$HZ$15:$IF$15)</f>
        <v>0</v>
      </c>
      <c r="CI142" s="28">
        <f>SUMIF('Lease Cycles'!$HL$15:$HR$15,CI$6,'Lease Cycles'!$HZ$15:$IF$15)</f>
        <v>0</v>
      </c>
      <c r="CJ142" s="28">
        <f>SUMIF('Lease Cycles'!$HL$15:$HR$15,CJ$6,'Lease Cycles'!$HZ$15:$IF$15)</f>
        <v>0</v>
      </c>
      <c r="CK142" s="28">
        <f>SUMIF('Lease Cycles'!$HL$15:$HR$15,CK$6,'Lease Cycles'!$HZ$15:$IF$15)</f>
        <v>0</v>
      </c>
      <c r="CL142" s="28">
        <f>SUMIF('Lease Cycles'!$HL$15:$HR$15,CL$6,'Lease Cycles'!$HZ$15:$IF$15)</f>
        <v>0</v>
      </c>
      <c r="CM142" s="28">
        <f>SUMIF('Lease Cycles'!$HL$15:$HR$15,CM$6,'Lease Cycles'!$HZ$15:$IF$15)</f>
        <v>0</v>
      </c>
      <c r="CN142" s="28">
        <f>SUMIF('Lease Cycles'!$HL$15:$HR$15,CN$6,'Lease Cycles'!$HZ$15:$IF$15)</f>
        <v>0</v>
      </c>
      <c r="CO142" s="28">
        <f>SUMIF('Lease Cycles'!$HL$15:$HR$15,CO$6,'Lease Cycles'!$HZ$15:$IF$15)</f>
        <v>0</v>
      </c>
      <c r="CP142" s="28">
        <f>SUMIF('Lease Cycles'!$HL$15:$HR$15,CP$6,'Lease Cycles'!$HZ$15:$IF$15)</f>
        <v>0</v>
      </c>
      <c r="CQ142" s="28">
        <f>SUMIF('Lease Cycles'!$HL$15:$HR$15,CQ$6,'Lease Cycles'!$HZ$15:$IF$15)</f>
        <v>0</v>
      </c>
      <c r="CR142" s="28">
        <f>SUMIF('Lease Cycles'!$HL$15:$HR$15,CR$6,'Lease Cycles'!$HZ$15:$IF$15)</f>
        <v>0</v>
      </c>
      <c r="CS142" s="28">
        <f>SUMIF('Lease Cycles'!$HL$15:$HR$15,CS$6,'Lease Cycles'!$HZ$15:$IF$15)</f>
        <v>0</v>
      </c>
      <c r="CT142" s="28">
        <f>SUMIF('Lease Cycles'!$HL$15:$HR$15,CT$6,'Lease Cycles'!$HZ$15:$IF$15)</f>
        <v>0</v>
      </c>
      <c r="CU142" s="28">
        <f>SUMIF('Lease Cycles'!$HL$15:$HR$15,CU$6,'Lease Cycles'!$HZ$15:$IF$15)</f>
        <v>0</v>
      </c>
      <c r="CV142" s="28">
        <f>SUMIF('Lease Cycles'!$HL$15:$HR$15,CV$6,'Lease Cycles'!$HZ$15:$IF$15)</f>
        <v>0</v>
      </c>
      <c r="CW142" s="28">
        <f>SUMIF('Lease Cycles'!$HL$15:$HR$15,CW$6,'Lease Cycles'!$HZ$15:$IF$15)</f>
        <v>0</v>
      </c>
      <c r="CX142" s="28">
        <f>SUMIF('Lease Cycles'!$HL$15:$HR$15,CX$6,'Lease Cycles'!$HZ$15:$IF$15)</f>
        <v>0</v>
      </c>
      <c r="CY142" s="28">
        <f>SUMIF('Lease Cycles'!$HL$15:$HR$15,CY$6,'Lease Cycles'!$HZ$15:$IF$15)</f>
        <v>0</v>
      </c>
      <c r="CZ142" s="28">
        <f>SUMIF('Lease Cycles'!$HL$15:$HR$15,CZ$6,'Lease Cycles'!$HZ$15:$IF$15)</f>
        <v>0</v>
      </c>
      <c r="DA142" s="28">
        <f>SUMIF('Lease Cycles'!$HL$15:$HR$15,DA$6,'Lease Cycles'!$HZ$15:$IF$15)</f>
        <v>0</v>
      </c>
      <c r="DB142" s="28">
        <f>SUMIF('Lease Cycles'!$HL$15:$HR$15,DB$6,'Lease Cycles'!$HZ$15:$IF$15)</f>
        <v>0</v>
      </c>
      <c r="DC142" s="28">
        <f>SUMIF('Lease Cycles'!$HL$15:$HR$15,DC$6,'Lease Cycles'!$HZ$15:$IF$15)</f>
        <v>0</v>
      </c>
      <c r="DD142" s="28">
        <f>SUMIF('Lease Cycles'!$HL$15:$HR$15,DD$6,'Lease Cycles'!$HZ$15:$IF$15)</f>
        <v>0</v>
      </c>
      <c r="DE142" s="28">
        <f>SUMIF('Lease Cycles'!$HL$15:$HR$15,DE$6,'Lease Cycles'!$HZ$15:$IF$15)</f>
        <v>0</v>
      </c>
      <c r="DF142" s="28">
        <f>SUMIF('Lease Cycles'!$HL$15:$HR$15,DF$6,'Lease Cycles'!$HZ$15:$IF$15)</f>
        <v>0</v>
      </c>
      <c r="DG142" s="28">
        <f>SUMIF('Lease Cycles'!$HL$15:$HR$15,DG$6,'Lease Cycles'!$HZ$15:$IF$15)</f>
        <v>0</v>
      </c>
      <c r="DH142" s="28">
        <f>SUMIF('Lease Cycles'!$HL$15:$HR$15,DH$6,'Lease Cycles'!$HZ$15:$IF$15)</f>
        <v>0</v>
      </c>
      <c r="DI142" s="28">
        <f>SUMIF('Lease Cycles'!$HL$15:$HR$15,DI$6,'Lease Cycles'!$HZ$15:$IF$15)</f>
        <v>0</v>
      </c>
      <c r="DJ142" s="28">
        <f>SUMIF('Lease Cycles'!$HL$15:$HR$15,DJ$6,'Lease Cycles'!$HZ$15:$IF$15)</f>
        <v>0</v>
      </c>
      <c r="DK142" s="28">
        <f>SUMIF('Lease Cycles'!$HL$15:$HR$15,DK$6,'Lease Cycles'!$HZ$15:$IF$15)</f>
        <v>0</v>
      </c>
      <c r="DL142" s="28">
        <f>SUMIF('Lease Cycles'!$HL$15:$HR$15,DL$6,'Lease Cycles'!$HZ$15:$IF$15)</f>
        <v>0</v>
      </c>
      <c r="DM142" s="28">
        <f>SUMIF('Lease Cycles'!$HL$15:$HR$15,DM$6,'Lease Cycles'!$HZ$15:$IF$15)</f>
        <v>0</v>
      </c>
      <c r="DN142" s="28">
        <f>SUMIF('Lease Cycles'!$HL$15:$HR$15,DN$6,'Lease Cycles'!$HZ$15:$IF$15)</f>
        <v>0</v>
      </c>
      <c r="DO142" s="28">
        <f>SUMIF('Lease Cycles'!$HL$15:$HR$15,DO$6,'Lease Cycles'!$HZ$15:$IF$15)</f>
        <v>0</v>
      </c>
      <c r="DP142" s="28">
        <f>SUMIF('Lease Cycles'!$HL$15:$HR$15,DP$6,'Lease Cycles'!$HZ$15:$IF$15)</f>
        <v>0</v>
      </c>
      <c r="DQ142" s="28">
        <f>SUMIF('Lease Cycles'!$HL$15:$HR$15,DQ$6,'Lease Cycles'!$HZ$15:$IF$15)</f>
        <v>0</v>
      </c>
      <c r="DR142" s="28">
        <f>SUMIF('Lease Cycles'!$HL$15:$HR$15,DR$6,'Lease Cycles'!$HZ$15:$IF$15)</f>
        <v>0</v>
      </c>
      <c r="DS142" s="28">
        <f>SUMIF('Lease Cycles'!$HL$15:$HR$15,DS$6,'Lease Cycles'!$HZ$15:$IF$15)</f>
        <v>0</v>
      </c>
      <c r="DT142" s="28">
        <f>SUMIF('Lease Cycles'!$HL$15:$HR$15,DT$6,'Lease Cycles'!$HZ$15:$IF$15)</f>
        <v>0</v>
      </c>
      <c r="DU142" s="28">
        <f>SUMIF('Lease Cycles'!$HL$15:$HR$15,DU$6,'Lease Cycles'!$HZ$15:$IF$15)</f>
        <v>0</v>
      </c>
      <c r="DV142" s="28">
        <f>SUMIF('Lease Cycles'!$HL$15:$HR$15,DV$6,'Lease Cycles'!$HZ$15:$IF$15)</f>
        <v>0</v>
      </c>
      <c r="DW142" s="28">
        <f>SUMIF('Lease Cycles'!$HL$15:$HR$15,DW$6,'Lease Cycles'!$HZ$15:$IF$15)</f>
        <v>0</v>
      </c>
      <c r="DX142" s="28">
        <f>SUMIF('Lease Cycles'!$HL$15:$HR$15,DX$6,'Lease Cycles'!$HZ$15:$IF$15)</f>
        <v>0</v>
      </c>
      <c r="DY142" s="28">
        <f>SUMIF('Lease Cycles'!$HL$15:$HR$15,DY$6,'Lease Cycles'!$HZ$15:$IF$15)</f>
        <v>0</v>
      </c>
      <c r="DZ142" s="28">
        <f>SUMIF('Lease Cycles'!$HL$15:$HR$15,DZ$6,'Lease Cycles'!$HZ$15:$IF$15)</f>
        <v>0</v>
      </c>
      <c r="EA142" s="28">
        <f>SUMIF('Lease Cycles'!$HL$15:$HR$15,EA$6,'Lease Cycles'!$HZ$15:$IF$15)</f>
        <v>0</v>
      </c>
      <c r="EB142" s="28">
        <f>SUMIF('Lease Cycles'!$HL$15:$HR$15,EB$6,'Lease Cycles'!$HZ$15:$IF$15)</f>
        <v>0</v>
      </c>
      <c r="EC142" s="28">
        <f>SUMIF('Lease Cycles'!$HL$15:$HR$15,EC$6,'Lease Cycles'!$HZ$15:$IF$15)</f>
        <v>0</v>
      </c>
      <c r="ED142" s="28">
        <f>SUMIF('Lease Cycles'!$HL$15:$HR$15,ED$6,'Lease Cycles'!$HZ$15:$IF$15)</f>
        <v>0</v>
      </c>
      <c r="EE142" s="28">
        <f>SUMIF('Lease Cycles'!$HL$15:$HR$15,EE$6,'Lease Cycles'!$HZ$15:$IF$15)</f>
        <v>0</v>
      </c>
      <c r="EF142" s="28">
        <f>SUMIF('Lease Cycles'!$HL$15:$HR$15,EF$6,'Lease Cycles'!$HZ$15:$IF$15)</f>
        <v>0</v>
      </c>
      <c r="EG142" s="28">
        <f>SUMIF('Lease Cycles'!$HL$15:$HR$15,EG$6,'Lease Cycles'!$HZ$15:$IF$15)</f>
        <v>0</v>
      </c>
      <c r="EH142" s="28">
        <f>SUMIF('Lease Cycles'!$HL$15:$HR$15,EH$6,'Lease Cycles'!$HZ$15:$IF$15)</f>
        <v>0</v>
      </c>
      <c r="EI142" s="28">
        <f>SUMIF('Lease Cycles'!$HL$15:$HR$15,EI$6,'Lease Cycles'!$HZ$15:$IF$15)</f>
        <v>0</v>
      </c>
      <c r="EJ142" s="28">
        <f>SUMIF('Lease Cycles'!$HL$15:$HR$15,EJ$6,'Lease Cycles'!$HZ$15:$IF$15)</f>
        <v>0</v>
      </c>
      <c r="EK142" s="28">
        <f>SUMIF('Lease Cycles'!$HL$15:$HR$15,EK$6,'Lease Cycles'!$HZ$15:$IF$15)</f>
        <v>0</v>
      </c>
      <c r="EL142" s="28">
        <f>SUMIF('Lease Cycles'!$HL$15:$HR$15,EL$6,'Lease Cycles'!$HZ$15:$IF$15)</f>
        <v>0</v>
      </c>
      <c r="EM142" s="28">
        <f>SUMIF('Lease Cycles'!$HL$15:$HR$15,EM$6,'Lease Cycles'!$HZ$15:$IF$15)</f>
        <v>0</v>
      </c>
      <c r="EN142" s="28">
        <f>SUMIF('Lease Cycles'!$HL$15:$HR$15,EN$6,'Lease Cycles'!$HZ$15:$IF$15)</f>
        <v>0</v>
      </c>
      <c r="EO142" s="28">
        <f>SUMIF('Lease Cycles'!$HL$15:$HR$15,EO$6,'Lease Cycles'!$HZ$15:$IF$15)</f>
        <v>0</v>
      </c>
      <c r="EP142" s="28">
        <f>SUMIF('Lease Cycles'!$HL$15:$HR$15,EP$6,'Lease Cycles'!$HZ$15:$IF$15)</f>
        <v>0</v>
      </c>
      <c r="EQ142" s="28">
        <f>SUMIF('Lease Cycles'!$HL$15:$HR$15,EQ$6,'Lease Cycles'!$HZ$15:$IF$15)</f>
        <v>0</v>
      </c>
      <c r="ER142" s="28">
        <f>SUMIF('Lease Cycles'!$HL$15:$HR$15,ER$6,'Lease Cycles'!$HZ$15:$IF$15)</f>
        <v>0</v>
      </c>
      <c r="ES142" s="28">
        <f>SUMIF('Lease Cycles'!$HL$15:$HR$15,ES$6,'Lease Cycles'!$HZ$15:$IF$15)</f>
        <v>7069.881316835821</v>
      </c>
      <c r="ET142" s="28">
        <f>SUMIF('Lease Cycles'!$HL$15:$HR$15,ET$6,'Lease Cycles'!$HZ$15:$IF$15)</f>
        <v>0</v>
      </c>
    </row>
    <row r="143">
      <c r="A143" s="103">
        <v>8</v>
      </c>
      <c r="B143" s="23" t="str">
        <f>IF('Lease Cycles'!$B$15="","(empty slot)",'Lease Cycles'!$B$15)</f>
        <v>Sunfield Bagels</v>
      </c>
      <c r="C143" s="23" t="s">
        <v>691</v>
      </c>
      <c r="D143" s="104" t="s">
        <v>692</v>
      </c>
      <c r="E143" s="25">
        <f>'Lease Cycles'!$AL$15</f>
        <v>0</v>
      </c>
      <c r="G143" s="28">
        <f>SUM(S143:AD143)</f>
        <v>0</v>
      </c>
      <c r="H143" s="28">
        <f>SUM(AE143:AP143)</f>
        <v>0</v>
      </c>
      <c r="I143" s="28">
        <f>SUM(AQ143:BB143)</f>
        <v>0</v>
      </c>
      <c r="J143" s="28">
        <f>SUM(BC143:BN143)</f>
        <v>0</v>
      </c>
      <c r="K143" s="28">
        <f>SUM(BO143:BZ143)</f>
        <v>0</v>
      </c>
      <c r="L143" s="28">
        <f>SUM(CA143:CL143)</f>
        <v>0</v>
      </c>
      <c r="M143" s="28">
        <f>SUM(CM143:CX143)</f>
        <v>0</v>
      </c>
      <c r="N143" s="28">
        <f>SUM(CY143:DJ143)</f>
        <v>0</v>
      </c>
      <c r="O143" s="28">
        <f>SUM(DK143:DV143)</f>
        <v>0</v>
      </c>
      <c r="P143" s="28">
        <f>SUM(DW143:EH143)</f>
        <v>0</v>
      </c>
      <c r="Q143" s="28">
        <f>SUM(EI143:ET143)</f>
        <v>0</v>
      </c>
      <c r="S143" s="28">
        <f>IF(S$6='Lease Cycles'!$HL$15,'Lease Cycles'!$HS$15+'Lease Cycles'!$HZ$15,0)</f>
        <v>0</v>
      </c>
      <c r="T143" s="28">
        <f>IF(T$6='Lease Cycles'!$HL$15,'Lease Cycles'!$HS$15+'Lease Cycles'!$HZ$15,0)</f>
        <v>0</v>
      </c>
      <c r="U143" s="28">
        <f>IF(U$6='Lease Cycles'!$HL$15,'Lease Cycles'!$HS$15+'Lease Cycles'!$HZ$15,0)</f>
        <v>0</v>
      </c>
      <c r="V143" s="28">
        <f>IF(V$6='Lease Cycles'!$HL$15,'Lease Cycles'!$HS$15+'Lease Cycles'!$HZ$15,0)</f>
        <v>0</v>
      </c>
      <c r="W143" s="28">
        <f>IF(W$6='Lease Cycles'!$HL$15,'Lease Cycles'!$HS$15+'Lease Cycles'!$HZ$15,0)</f>
        <v>0</v>
      </c>
      <c r="X143" s="28">
        <f>IF(X$6='Lease Cycles'!$HL$15,'Lease Cycles'!$HS$15+'Lease Cycles'!$HZ$15,0)</f>
        <v>0</v>
      </c>
      <c r="Y143" s="28">
        <f>IF(Y$6='Lease Cycles'!$HL$15,'Lease Cycles'!$HS$15+'Lease Cycles'!$HZ$15,0)</f>
        <v>0</v>
      </c>
      <c r="Z143" s="28">
        <f>IF(Z$6='Lease Cycles'!$HL$15,'Lease Cycles'!$HS$15+'Lease Cycles'!$HZ$15,0)</f>
        <v>0</v>
      </c>
      <c r="AA143" s="28">
        <f>IF(AA$6='Lease Cycles'!$HL$15,'Lease Cycles'!$HS$15+'Lease Cycles'!$HZ$15,0)</f>
        <v>0</v>
      </c>
      <c r="AB143" s="28">
        <f>IF(AB$6='Lease Cycles'!$HL$15,'Lease Cycles'!$HS$15+'Lease Cycles'!$HZ$15,0)</f>
        <v>0</v>
      </c>
      <c r="AC143" s="28">
        <f>IF(AC$6='Lease Cycles'!$HL$15,'Lease Cycles'!$HS$15+'Lease Cycles'!$HZ$15,0)</f>
        <v>0</v>
      </c>
      <c r="AD143" s="28">
        <f>IF(AD$6='Lease Cycles'!$HL$15,'Lease Cycles'!$HS$15+'Lease Cycles'!$HZ$15,0)</f>
        <v>0</v>
      </c>
      <c r="AE143" s="28">
        <f>IF(AE$6='Lease Cycles'!$HL$15,'Lease Cycles'!$HS$15+'Lease Cycles'!$HZ$15,0)</f>
        <v>0</v>
      </c>
      <c r="AF143" s="28">
        <f>IF(AF$6='Lease Cycles'!$HL$15,'Lease Cycles'!$HS$15+'Lease Cycles'!$HZ$15,0)</f>
        <v>0</v>
      </c>
      <c r="AG143" s="28">
        <f>IF(AG$6='Lease Cycles'!$HL$15,'Lease Cycles'!$HS$15+'Lease Cycles'!$HZ$15,0)</f>
        <v>0</v>
      </c>
      <c r="AH143" s="28">
        <f>IF(AH$6='Lease Cycles'!$HL$15,'Lease Cycles'!$HS$15+'Lease Cycles'!$HZ$15,0)</f>
        <v>0</v>
      </c>
      <c r="AI143" s="28">
        <f>IF(AI$6='Lease Cycles'!$HL$15,'Lease Cycles'!$HS$15+'Lease Cycles'!$HZ$15,0)</f>
        <v>0</v>
      </c>
      <c r="AJ143" s="28">
        <f>IF(AJ$6='Lease Cycles'!$HL$15,'Lease Cycles'!$HS$15+'Lease Cycles'!$HZ$15,0)</f>
        <v>0</v>
      </c>
      <c r="AK143" s="28">
        <f>IF(AK$6='Lease Cycles'!$HL$15,'Lease Cycles'!$HS$15+'Lease Cycles'!$HZ$15,0)</f>
        <v>0</v>
      </c>
      <c r="AL143" s="28">
        <f>IF(AL$6='Lease Cycles'!$HL$15,'Lease Cycles'!$HS$15+'Lease Cycles'!$HZ$15,0)</f>
        <v>0</v>
      </c>
      <c r="AM143" s="28">
        <f>IF(AM$6='Lease Cycles'!$HL$15,'Lease Cycles'!$HS$15+'Lease Cycles'!$HZ$15,0)</f>
        <v>0</v>
      </c>
      <c r="AN143" s="28">
        <f>IF(AN$6='Lease Cycles'!$HL$15,'Lease Cycles'!$HS$15+'Lease Cycles'!$HZ$15,0)</f>
        <v>0</v>
      </c>
      <c r="AO143" s="28">
        <f>IF(AO$6='Lease Cycles'!$HL$15,'Lease Cycles'!$HS$15+'Lease Cycles'!$HZ$15,0)</f>
        <v>0</v>
      </c>
      <c r="AP143" s="28">
        <f>IF(AP$6='Lease Cycles'!$HL$15,'Lease Cycles'!$HS$15+'Lease Cycles'!$HZ$15,0)</f>
        <v>0</v>
      </c>
      <c r="AQ143" s="28">
        <f>IF(AQ$6='Lease Cycles'!$HL$15,'Lease Cycles'!$HS$15+'Lease Cycles'!$HZ$15,0)</f>
        <v>0</v>
      </c>
      <c r="AR143" s="28">
        <f>IF(AR$6='Lease Cycles'!$HL$15,'Lease Cycles'!$HS$15+'Lease Cycles'!$HZ$15,0)</f>
        <v>0</v>
      </c>
      <c r="AS143" s="28">
        <f>IF(AS$6='Lease Cycles'!$HL$15,'Lease Cycles'!$HS$15+'Lease Cycles'!$HZ$15,0)</f>
        <v>0</v>
      </c>
      <c r="AT143" s="28">
        <f>IF(AT$6='Lease Cycles'!$HL$15,'Lease Cycles'!$HS$15+'Lease Cycles'!$HZ$15,0)</f>
        <v>0</v>
      </c>
      <c r="AU143" s="28">
        <f>IF(AU$6='Lease Cycles'!$HL$15,'Lease Cycles'!$HS$15+'Lease Cycles'!$HZ$15,0)</f>
        <v>0</v>
      </c>
      <c r="AV143" s="28">
        <f>IF(AV$6='Lease Cycles'!$HL$15,'Lease Cycles'!$HS$15+'Lease Cycles'!$HZ$15,0)</f>
        <v>0</v>
      </c>
      <c r="AW143" s="28">
        <f>IF(AW$6='Lease Cycles'!$HL$15,'Lease Cycles'!$HS$15+'Lease Cycles'!$HZ$15,0)</f>
        <v>0</v>
      </c>
      <c r="AX143" s="28">
        <f>IF(AX$6='Lease Cycles'!$HL$15,'Lease Cycles'!$HS$15+'Lease Cycles'!$HZ$15,0)</f>
        <v>0</v>
      </c>
      <c r="AY143" s="28">
        <f>IF(AY$6='Lease Cycles'!$HL$15,'Lease Cycles'!$HS$15+'Lease Cycles'!$HZ$15,0)</f>
        <v>0</v>
      </c>
      <c r="AZ143" s="28">
        <f>IF(AZ$6='Lease Cycles'!$HL$15,'Lease Cycles'!$HS$15+'Lease Cycles'!$HZ$15,0)</f>
        <v>0</v>
      </c>
      <c r="BA143" s="28">
        <f>IF(BA$6='Lease Cycles'!$HL$15,'Lease Cycles'!$HS$15+'Lease Cycles'!$HZ$15,0)</f>
        <v>0</v>
      </c>
      <c r="BB143" s="28">
        <f>IF(BB$6='Lease Cycles'!$HL$15,'Lease Cycles'!$HS$15+'Lease Cycles'!$HZ$15,0)</f>
        <v>0</v>
      </c>
      <c r="BC143" s="28">
        <f>IF(BC$6='Lease Cycles'!$HL$15,'Lease Cycles'!$HS$15+'Lease Cycles'!$HZ$15,0)</f>
        <v>0</v>
      </c>
      <c r="BD143" s="28">
        <f>IF(BD$6='Lease Cycles'!$HL$15,'Lease Cycles'!$HS$15+'Lease Cycles'!$HZ$15,0)</f>
        <v>0</v>
      </c>
      <c r="BE143" s="28">
        <f>IF(BE$6='Lease Cycles'!$HL$15,'Lease Cycles'!$HS$15+'Lease Cycles'!$HZ$15,0)</f>
        <v>0</v>
      </c>
      <c r="BF143" s="28">
        <f>IF(BF$6='Lease Cycles'!$HL$15,'Lease Cycles'!$HS$15+'Lease Cycles'!$HZ$15,0)</f>
        <v>0</v>
      </c>
      <c r="BG143" s="28">
        <f>IF(BG$6='Lease Cycles'!$HL$15,'Lease Cycles'!$HS$15+'Lease Cycles'!$HZ$15,0)</f>
        <v>0</v>
      </c>
      <c r="BH143" s="28">
        <f>IF(BH$6='Lease Cycles'!$HL$15,'Lease Cycles'!$HS$15+'Lease Cycles'!$HZ$15,0)</f>
        <v>0</v>
      </c>
      <c r="BI143" s="28">
        <f>IF(BI$6='Lease Cycles'!$HL$15,'Lease Cycles'!$HS$15+'Lease Cycles'!$HZ$15,0)</f>
        <v>0</v>
      </c>
      <c r="BJ143" s="28">
        <f>IF(BJ$6='Lease Cycles'!$HL$15,'Lease Cycles'!$HS$15+'Lease Cycles'!$HZ$15,0)</f>
        <v>0</v>
      </c>
      <c r="BK143" s="28">
        <f>IF(BK$6='Lease Cycles'!$HL$15,'Lease Cycles'!$HS$15+'Lease Cycles'!$HZ$15,0)</f>
        <v>0</v>
      </c>
      <c r="BL143" s="28">
        <f>IF(BL$6='Lease Cycles'!$HL$15,'Lease Cycles'!$HS$15+'Lease Cycles'!$HZ$15,0)</f>
        <v>0</v>
      </c>
      <c r="BM143" s="28">
        <f>IF(BM$6='Lease Cycles'!$HL$15,'Lease Cycles'!$HS$15+'Lease Cycles'!$HZ$15,0)</f>
        <v>0</v>
      </c>
      <c r="BN143" s="28">
        <f>IF(BN$6='Lease Cycles'!$HL$15,'Lease Cycles'!$HS$15+'Lease Cycles'!$HZ$15,0)</f>
        <v>0</v>
      </c>
      <c r="BO143" s="28">
        <f>IF(BO$6='Lease Cycles'!$HL$15,'Lease Cycles'!$HS$15+'Lease Cycles'!$HZ$15,0)</f>
        <v>0</v>
      </c>
      <c r="BP143" s="28">
        <f>IF(BP$6='Lease Cycles'!$HL$15,'Lease Cycles'!$HS$15+'Lease Cycles'!$HZ$15,0)</f>
        <v>0</v>
      </c>
      <c r="BQ143" s="28">
        <f>IF(BQ$6='Lease Cycles'!$HL$15,'Lease Cycles'!$HS$15+'Lease Cycles'!$HZ$15,0)</f>
        <v>0</v>
      </c>
      <c r="BR143" s="28">
        <f>IF(BR$6='Lease Cycles'!$HL$15,'Lease Cycles'!$HS$15+'Lease Cycles'!$HZ$15,0)</f>
        <v>0</v>
      </c>
      <c r="BS143" s="28">
        <f>IF(BS$6='Lease Cycles'!$HL$15,'Lease Cycles'!$HS$15+'Lease Cycles'!$HZ$15,0)</f>
        <v>0</v>
      </c>
      <c r="BT143" s="28">
        <f>IF(BT$6='Lease Cycles'!$HL$15,'Lease Cycles'!$HS$15+'Lease Cycles'!$HZ$15,0)</f>
        <v>0</v>
      </c>
      <c r="BU143" s="28">
        <f>IF(BU$6='Lease Cycles'!$HL$15,'Lease Cycles'!$HS$15+'Lease Cycles'!$HZ$15,0)</f>
        <v>0</v>
      </c>
      <c r="BV143" s="28">
        <f>IF(BV$6='Lease Cycles'!$HL$15,'Lease Cycles'!$HS$15+'Lease Cycles'!$HZ$15,0)</f>
        <v>0</v>
      </c>
      <c r="BW143" s="28">
        <f>IF(BW$6='Lease Cycles'!$HL$15,'Lease Cycles'!$HS$15+'Lease Cycles'!$HZ$15,0)</f>
        <v>0</v>
      </c>
      <c r="BX143" s="28">
        <f>IF(BX$6='Lease Cycles'!$HL$15,'Lease Cycles'!$HS$15+'Lease Cycles'!$HZ$15,0)</f>
        <v>0</v>
      </c>
      <c r="BY143" s="28">
        <f>IF(BY$6='Lease Cycles'!$HL$15,'Lease Cycles'!$HS$15+'Lease Cycles'!$HZ$15,0)</f>
        <v>0</v>
      </c>
      <c r="BZ143" s="28">
        <f>IF(BZ$6='Lease Cycles'!$HL$15,'Lease Cycles'!$HS$15+'Lease Cycles'!$HZ$15,0)</f>
        <v>0</v>
      </c>
      <c r="CA143" s="28">
        <f>IF(CA$6='Lease Cycles'!$HL$15,'Lease Cycles'!$HS$15+'Lease Cycles'!$HZ$15,0)</f>
        <v>0</v>
      </c>
      <c r="CB143" s="28">
        <f>IF(CB$6='Lease Cycles'!$HL$15,'Lease Cycles'!$HS$15+'Lease Cycles'!$HZ$15,0)</f>
        <v>0</v>
      </c>
      <c r="CC143" s="28">
        <f>IF(CC$6='Lease Cycles'!$HL$15,'Lease Cycles'!$HS$15+'Lease Cycles'!$HZ$15,0)</f>
        <v>0</v>
      </c>
      <c r="CD143" s="28">
        <f>IF(CD$6='Lease Cycles'!$HL$15,'Lease Cycles'!$HS$15+'Lease Cycles'!$HZ$15,0)</f>
        <v>0</v>
      </c>
      <c r="CE143" s="28">
        <f>IF(CE$6='Lease Cycles'!$HL$15,'Lease Cycles'!$HS$15+'Lease Cycles'!$HZ$15,0)</f>
        <v>0</v>
      </c>
      <c r="CF143" s="28">
        <f>IF(CF$6='Lease Cycles'!$HL$15,'Lease Cycles'!$HS$15+'Lease Cycles'!$HZ$15,0)</f>
        <v>0</v>
      </c>
      <c r="CG143" s="28">
        <f>IF(CG$6='Lease Cycles'!$HL$15,'Lease Cycles'!$HS$15+'Lease Cycles'!$HZ$15,0)</f>
        <v>0</v>
      </c>
      <c r="CH143" s="28">
        <f>IF(CH$6='Lease Cycles'!$HL$15,'Lease Cycles'!$HS$15+'Lease Cycles'!$HZ$15,0)</f>
        <v>0</v>
      </c>
      <c r="CI143" s="28">
        <f>IF(CI$6='Lease Cycles'!$HL$15,'Lease Cycles'!$HS$15+'Lease Cycles'!$HZ$15,0)</f>
        <v>0</v>
      </c>
      <c r="CJ143" s="28">
        <f>IF(CJ$6='Lease Cycles'!$HL$15,'Lease Cycles'!$HS$15+'Lease Cycles'!$HZ$15,0)</f>
        <v>0</v>
      </c>
      <c r="CK143" s="28">
        <f>IF(CK$6='Lease Cycles'!$HL$15,'Lease Cycles'!$HS$15+'Lease Cycles'!$HZ$15,0)</f>
        <v>0</v>
      </c>
      <c r="CL143" s="28">
        <f>IF(CL$6='Lease Cycles'!$HL$15,'Lease Cycles'!$HS$15+'Lease Cycles'!$HZ$15,0)</f>
        <v>0</v>
      </c>
      <c r="CM143" s="28">
        <f>IF(CM$6='Lease Cycles'!$HL$15,'Lease Cycles'!$HS$15+'Lease Cycles'!$HZ$15,0)</f>
        <v>0</v>
      </c>
      <c r="CN143" s="28">
        <f>IF(CN$6='Lease Cycles'!$HL$15,'Lease Cycles'!$HS$15+'Lease Cycles'!$HZ$15,0)</f>
        <v>0</v>
      </c>
      <c r="CO143" s="28">
        <f>IF(CO$6='Lease Cycles'!$HL$15,'Lease Cycles'!$HS$15+'Lease Cycles'!$HZ$15,0)</f>
        <v>0</v>
      </c>
      <c r="CP143" s="28">
        <f>IF(CP$6='Lease Cycles'!$HL$15,'Lease Cycles'!$HS$15+'Lease Cycles'!$HZ$15,0)</f>
        <v>0</v>
      </c>
      <c r="CQ143" s="28">
        <f>IF(CQ$6='Lease Cycles'!$HL$15,'Lease Cycles'!$HS$15+'Lease Cycles'!$HZ$15,0)</f>
        <v>0</v>
      </c>
      <c r="CR143" s="28">
        <f>IF(CR$6='Lease Cycles'!$HL$15,'Lease Cycles'!$HS$15+'Lease Cycles'!$HZ$15,0)</f>
        <v>0</v>
      </c>
      <c r="CS143" s="28">
        <f>IF(CS$6='Lease Cycles'!$HL$15,'Lease Cycles'!$HS$15+'Lease Cycles'!$HZ$15,0)</f>
        <v>0</v>
      </c>
      <c r="CT143" s="28">
        <f>IF(CT$6='Lease Cycles'!$HL$15,'Lease Cycles'!$HS$15+'Lease Cycles'!$HZ$15,0)</f>
        <v>0</v>
      </c>
      <c r="CU143" s="28">
        <f>IF(CU$6='Lease Cycles'!$HL$15,'Lease Cycles'!$HS$15+'Lease Cycles'!$HZ$15,0)</f>
        <v>0</v>
      </c>
      <c r="CV143" s="28">
        <f>IF(CV$6='Lease Cycles'!$HL$15,'Lease Cycles'!$HS$15+'Lease Cycles'!$HZ$15,0)</f>
        <v>0</v>
      </c>
      <c r="CW143" s="28">
        <f>IF(CW$6='Lease Cycles'!$HL$15,'Lease Cycles'!$HS$15+'Lease Cycles'!$HZ$15,0)</f>
        <v>0</v>
      </c>
      <c r="CX143" s="28">
        <f>IF(CX$6='Lease Cycles'!$HL$15,'Lease Cycles'!$HS$15+'Lease Cycles'!$HZ$15,0)</f>
        <v>0</v>
      </c>
      <c r="CY143" s="28">
        <f>IF(CY$6='Lease Cycles'!$HL$15,'Lease Cycles'!$HS$15+'Lease Cycles'!$HZ$15,0)</f>
        <v>0</v>
      </c>
      <c r="CZ143" s="28">
        <f>IF(CZ$6='Lease Cycles'!$HL$15,'Lease Cycles'!$HS$15+'Lease Cycles'!$HZ$15,0)</f>
        <v>0</v>
      </c>
      <c r="DA143" s="28">
        <f>IF(DA$6='Lease Cycles'!$HL$15,'Lease Cycles'!$HS$15+'Lease Cycles'!$HZ$15,0)</f>
        <v>0</v>
      </c>
      <c r="DB143" s="28">
        <f>IF(DB$6='Lease Cycles'!$HL$15,'Lease Cycles'!$HS$15+'Lease Cycles'!$HZ$15,0)</f>
        <v>0</v>
      </c>
      <c r="DC143" s="28">
        <f>IF(DC$6='Lease Cycles'!$HL$15,'Lease Cycles'!$HS$15+'Lease Cycles'!$HZ$15,0)</f>
        <v>0</v>
      </c>
      <c r="DD143" s="28">
        <f>IF(DD$6='Lease Cycles'!$HL$15,'Lease Cycles'!$HS$15+'Lease Cycles'!$HZ$15,0)</f>
        <v>0</v>
      </c>
      <c r="DE143" s="28">
        <f>IF(DE$6='Lease Cycles'!$HL$15,'Lease Cycles'!$HS$15+'Lease Cycles'!$HZ$15,0)</f>
        <v>0</v>
      </c>
      <c r="DF143" s="28">
        <f>IF(DF$6='Lease Cycles'!$HL$15,'Lease Cycles'!$HS$15+'Lease Cycles'!$HZ$15,0)</f>
        <v>0</v>
      </c>
      <c r="DG143" s="28">
        <f>IF(DG$6='Lease Cycles'!$HL$15,'Lease Cycles'!$HS$15+'Lease Cycles'!$HZ$15,0)</f>
        <v>0</v>
      </c>
      <c r="DH143" s="28">
        <f>IF(DH$6='Lease Cycles'!$HL$15,'Lease Cycles'!$HS$15+'Lease Cycles'!$HZ$15,0)</f>
        <v>0</v>
      </c>
      <c r="DI143" s="28">
        <f>IF(DI$6='Lease Cycles'!$HL$15,'Lease Cycles'!$HS$15+'Lease Cycles'!$HZ$15,0)</f>
        <v>0</v>
      </c>
      <c r="DJ143" s="28">
        <f>IF(DJ$6='Lease Cycles'!$HL$15,'Lease Cycles'!$HS$15+'Lease Cycles'!$HZ$15,0)</f>
        <v>0</v>
      </c>
      <c r="DK143" s="28">
        <f>IF(DK$6='Lease Cycles'!$HL$15,'Lease Cycles'!$HS$15+'Lease Cycles'!$HZ$15,0)</f>
        <v>0</v>
      </c>
      <c r="DL143" s="28">
        <f>IF(DL$6='Lease Cycles'!$HL$15,'Lease Cycles'!$HS$15+'Lease Cycles'!$HZ$15,0)</f>
        <v>0</v>
      </c>
      <c r="DM143" s="28">
        <f>IF(DM$6='Lease Cycles'!$HL$15,'Lease Cycles'!$HS$15+'Lease Cycles'!$HZ$15,0)</f>
        <v>0</v>
      </c>
      <c r="DN143" s="28">
        <f>IF(DN$6='Lease Cycles'!$HL$15,'Lease Cycles'!$HS$15+'Lease Cycles'!$HZ$15,0)</f>
        <v>0</v>
      </c>
      <c r="DO143" s="28">
        <f>IF(DO$6='Lease Cycles'!$HL$15,'Lease Cycles'!$HS$15+'Lease Cycles'!$HZ$15,0)</f>
        <v>0</v>
      </c>
      <c r="DP143" s="28">
        <f>IF(DP$6='Lease Cycles'!$HL$15,'Lease Cycles'!$HS$15+'Lease Cycles'!$HZ$15,0)</f>
        <v>0</v>
      </c>
      <c r="DQ143" s="28">
        <f>IF(DQ$6='Lease Cycles'!$HL$15,'Lease Cycles'!$HS$15+'Lease Cycles'!$HZ$15,0)</f>
        <v>0</v>
      </c>
      <c r="DR143" s="28">
        <f>IF(DR$6='Lease Cycles'!$HL$15,'Lease Cycles'!$HS$15+'Lease Cycles'!$HZ$15,0)</f>
        <v>0</v>
      </c>
      <c r="DS143" s="28">
        <f>IF(DS$6='Lease Cycles'!$HL$15,'Lease Cycles'!$HS$15+'Lease Cycles'!$HZ$15,0)</f>
        <v>0</v>
      </c>
      <c r="DT143" s="28">
        <f>IF(DT$6='Lease Cycles'!$HL$15,'Lease Cycles'!$HS$15+'Lease Cycles'!$HZ$15,0)</f>
        <v>0</v>
      </c>
      <c r="DU143" s="28">
        <f>IF(DU$6='Lease Cycles'!$HL$15,'Lease Cycles'!$HS$15+'Lease Cycles'!$HZ$15,0)</f>
        <v>0</v>
      </c>
      <c r="DV143" s="28">
        <f>IF(DV$6='Lease Cycles'!$HL$15,'Lease Cycles'!$HS$15+'Lease Cycles'!$HZ$15,0)</f>
        <v>0</v>
      </c>
      <c r="DW143" s="28">
        <f>IF(DW$6='Lease Cycles'!$HL$15,'Lease Cycles'!$HS$15+'Lease Cycles'!$HZ$15,0)</f>
        <v>0</v>
      </c>
      <c r="DX143" s="28">
        <f>IF(DX$6='Lease Cycles'!$HL$15,'Lease Cycles'!$HS$15+'Lease Cycles'!$HZ$15,0)</f>
        <v>0</v>
      </c>
      <c r="DY143" s="28">
        <f>IF(DY$6='Lease Cycles'!$HL$15,'Lease Cycles'!$HS$15+'Lease Cycles'!$HZ$15,0)</f>
        <v>0</v>
      </c>
      <c r="DZ143" s="28">
        <f>IF(DZ$6='Lease Cycles'!$HL$15,'Lease Cycles'!$HS$15+'Lease Cycles'!$HZ$15,0)</f>
        <v>0</v>
      </c>
      <c r="EA143" s="28">
        <f>IF(EA$6='Lease Cycles'!$HL$15,'Lease Cycles'!$HS$15+'Lease Cycles'!$HZ$15,0)</f>
        <v>0</v>
      </c>
      <c r="EB143" s="28">
        <f>IF(EB$6='Lease Cycles'!$HL$15,'Lease Cycles'!$HS$15+'Lease Cycles'!$HZ$15,0)</f>
        <v>0</v>
      </c>
      <c r="EC143" s="28">
        <f>IF(EC$6='Lease Cycles'!$HL$15,'Lease Cycles'!$HS$15+'Lease Cycles'!$HZ$15,0)</f>
        <v>0</v>
      </c>
      <c r="ED143" s="28">
        <f>IF(ED$6='Lease Cycles'!$HL$15,'Lease Cycles'!$HS$15+'Lease Cycles'!$HZ$15,0)</f>
        <v>0</v>
      </c>
      <c r="EE143" s="28">
        <f>IF(EE$6='Lease Cycles'!$HL$15,'Lease Cycles'!$HS$15+'Lease Cycles'!$HZ$15,0)</f>
        <v>0</v>
      </c>
      <c r="EF143" s="28">
        <f>IF(EF$6='Lease Cycles'!$HL$15,'Lease Cycles'!$HS$15+'Lease Cycles'!$HZ$15,0)</f>
        <v>0</v>
      </c>
      <c r="EG143" s="28">
        <f>IF(EG$6='Lease Cycles'!$HL$15,'Lease Cycles'!$HS$15+'Lease Cycles'!$HZ$15,0)</f>
        <v>0</v>
      </c>
      <c r="EH143" s="28">
        <f>IF(EH$6='Lease Cycles'!$HL$15,'Lease Cycles'!$HS$15+'Lease Cycles'!$HZ$15,0)</f>
        <v>0</v>
      </c>
      <c r="EI143" s="28">
        <f>IF(EI$6='Lease Cycles'!$HL$15,'Lease Cycles'!$HS$15+'Lease Cycles'!$HZ$15,0)</f>
        <v>0</v>
      </c>
      <c r="EJ143" s="28">
        <f>IF(EJ$6='Lease Cycles'!$HL$15,'Lease Cycles'!$HS$15+'Lease Cycles'!$HZ$15,0)</f>
        <v>0</v>
      </c>
      <c r="EK143" s="28">
        <f>IF(EK$6='Lease Cycles'!$HL$15,'Lease Cycles'!$HS$15+'Lease Cycles'!$HZ$15,0)</f>
        <v>0</v>
      </c>
      <c r="EL143" s="28">
        <f>IF(EL$6='Lease Cycles'!$HL$15,'Lease Cycles'!$HS$15+'Lease Cycles'!$HZ$15,0)</f>
        <v>0</v>
      </c>
      <c r="EM143" s="28">
        <f>IF(EM$6='Lease Cycles'!$HL$15,'Lease Cycles'!$HS$15+'Lease Cycles'!$HZ$15,0)</f>
        <v>0</v>
      </c>
      <c r="EN143" s="28">
        <f>IF(EN$6='Lease Cycles'!$HL$15,'Lease Cycles'!$HS$15+'Lease Cycles'!$HZ$15,0)</f>
        <v>0</v>
      </c>
      <c r="EO143" s="28">
        <f>IF(EO$6='Lease Cycles'!$HL$15,'Lease Cycles'!$HS$15+'Lease Cycles'!$HZ$15,0)</f>
        <v>0</v>
      </c>
      <c r="EP143" s="28">
        <f>IF(EP$6='Lease Cycles'!$HL$15,'Lease Cycles'!$HS$15+'Lease Cycles'!$HZ$15,0)</f>
        <v>0</v>
      </c>
      <c r="EQ143" s="28">
        <f>IF(EQ$6='Lease Cycles'!$HL$15,'Lease Cycles'!$HS$15+'Lease Cycles'!$HZ$15,0)</f>
        <v>0</v>
      </c>
      <c r="ER143" s="28">
        <f>IF(ER$6='Lease Cycles'!$HL$15,'Lease Cycles'!$HS$15+'Lease Cycles'!$HZ$15,0)</f>
        <v>0</v>
      </c>
      <c r="ES143" s="28">
        <f>IF(ES$6='Lease Cycles'!$HL$15,'Lease Cycles'!$HS$15+'Lease Cycles'!$HZ$15,0)</f>
        <v>0</v>
      </c>
      <c r="ET143" s="28">
        <f>IF(ET$6='Lease Cycles'!$HL$15,'Lease Cycles'!$HS$15+'Lease Cycles'!$HZ$15,0)</f>
        <v>0</v>
      </c>
    </row>
    <row r="144">
      <c r="A144" s="103">
        <v>8</v>
      </c>
      <c r="B144" s="23" t="str">
        <f>IF('Lease Cycles'!$B$15="","(empty slot)",'Lease Cycles'!$B$15)</f>
        <v>Sunfield Bagels</v>
      </c>
      <c r="C144" s="23" t="s">
        <v>499</v>
      </c>
      <c r="D144" s="104" t="s">
        <v>500</v>
      </c>
      <c r="E144" s="25">
        <f>'Lease Cycles'!$AL$15</f>
        <v>0</v>
      </c>
      <c r="G144" s="28">
        <f>MAX(0,'Lease Cycles'!$AN$15*'Lease Cycles'!$C$15*'Lease Cycles'!$AM$15*(1+a_SalesGrowth)^(G$6-1)-G134)</f>
        <v>0</v>
      </c>
      <c r="H144" s="28">
        <f>MAX(0,'Lease Cycles'!$AN$15*'Lease Cycles'!$C$15*'Lease Cycles'!$AM$15*(1+a_SalesGrowth)^(H$6-1)-H134)</f>
        <v>0</v>
      </c>
      <c r="I144" s="28">
        <f>MAX(0,'Lease Cycles'!$AN$15*'Lease Cycles'!$C$15*'Lease Cycles'!$AM$15*(1+a_SalesGrowth)^(I$6-1)-I134)</f>
        <v>0</v>
      </c>
      <c r="J144" s="28">
        <f>MAX(0,'Lease Cycles'!$AN$15*'Lease Cycles'!$C$15*'Lease Cycles'!$AM$15*(1+a_SalesGrowth)^(J$6-1)-J134)</f>
        <v>0</v>
      </c>
      <c r="K144" s="28">
        <f>MAX(0,'Lease Cycles'!$AN$15*'Lease Cycles'!$C$15*'Lease Cycles'!$AM$15*(1+a_SalesGrowth)^(K$6-1)-K134)</f>
        <v>0</v>
      </c>
      <c r="L144" s="28">
        <f>MAX(0,'Lease Cycles'!$AN$15*'Lease Cycles'!$C$15*'Lease Cycles'!$AM$15*(1+a_SalesGrowth)^(L$6-1)-L134)</f>
        <v>0</v>
      </c>
      <c r="M144" s="28">
        <f>MAX(0,'Lease Cycles'!$AN$15*'Lease Cycles'!$C$15*'Lease Cycles'!$AM$15*(1+a_SalesGrowth)^(M$6-1)-M134)</f>
        <v>0</v>
      </c>
      <c r="N144" s="28">
        <f>MAX(0,'Lease Cycles'!$AN$15*'Lease Cycles'!$C$15*'Lease Cycles'!$AM$15*(1+a_SalesGrowth)^(N$6-1)-N134)</f>
        <v>0</v>
      </c>
      <c r="O144" s="28">
        <f>MAX(0,'Lease Cycles'!$AN$15*'Lease Cycles'!$C$15*'Lease Cycles'!$AM$15*(1+a_SalesGrowth)^(O$6-1)-O134)</f>
        <v>0</v>
      </c>
      <c r="P144" s="28">
        <f>MAX(0,'Lease Cycles'!$AN$15*'Lease Cycles'!$C$15*'Lease Cycles'!$AM$15*(1+a_SalesGrowth)^(P$6-1)-P134)</f>
        <v>0</v>
      </c>
      <c r="Q144" s="28">
        <f>MAX(0,'Lease Cycles'!$AN$15*'Lease Cycles'!$C$15*'Lease Cycles'!$AM$15*(1+a_SalesGrowth)^(Q$6-1)-Q134)</f>
        <v>0</v>
      </c>
    </row>
    <row r="146">
      <c r="A146" s="103">
        <v>9</v>
      </c>
      <c r="B146" s="23" t="str">
        <f>IF('Lease Cycles'!$B$16="","(empty slot)",'Lease Cycles'!$B$16)</f>
        <v>Sunfield Office Suite</v>
      </c>
      <c r="C146" s="23" t="s">
        <v>671</v>
      </c>
      <c r="D146" s="104" t="s">
        <v>672</v>
      </c>
      <c r="E146" s="25">
        <f>'Lease Cycles'!$AL$16</f>
        <v>0</v>
      </c>
      <c r="S146" s="25">
        <f>IF('Lease Cycles'!$C$16&gt;0,COUNTIF('Lease Cycles'!$BG$16:$BM$16,"&lt;="&amp;S$6),0)</f>
        <v>1</v>
      </c>
      <c r="T146" s="25">
        <f>IF('Lease Cycles'!$C$16&gt;0,COUNTIF('Lease Cycles'!$BG$16:$BM$16,"&lt;="&amp;T$6),0)</f>
        <v>1</v>
      </c>
      <c r="U146" s="25">
        <f>IF('Lease Cycles'!$C$16&gt;0,COUNTIF('Lease Cycles'!$BG$16:$BM$16,"&lt;="&amp;U$6),0)</f>
        <v>1</v>
      </c>
      <c r="V146" s="25">
        <f>IF('Lease Cycles'!$C$16&gt;0,COUNTIF('Lease Cycles'!$BG$16:$BM$16,"&lt;="&amp;V$6),0)</f>
        <v>1</v>
      </c>
      <c r="W146" s="25">
        <f>IF('Lease Cycles'!$C$16&gt;0,COUNTIF('Lease Cycles'!$BG$16:$BM$16,"&lt;="&amp;W$6),0)</f>
        <v>1</v>
      </c>
      <c r="X146" s="25">
        <f>IF('Lease Cycles'!$C$16&gt;0,COUNTIF('Lease Cycles'!$BG$16:$BM$16,"&lt;="&amp;X$6),0)</f>
        <v>1</v>
      </c>
      <c r="Y146" s="25">
        <f>IF('Lease Cycles'!$C$16&gt;0,COUNTIF('Lease Cycles'!$BG$16:$BM$16,"&lt;="&amp;Y$6),0)</f>
        <v>1</v>
      </c>
      <c r="Z146" s="25">
        <f>IF('Lease Cycles'!$C$16&gt;0,COUNTIF('Lease Cycles'!$BG$16:$BM$16,"&lt;="&amp;Z$6),0)</f>
        <v>1</v>
      </c>
      <c r="AA146" s="25">
        <f>IF('Lease Cycles'!$C$16&gt;0,COUNTIF('Lease Cycles'!$BG$16:$BM$16,"&lt;="&amp;AA$6),0)</f>
        <v>1</v>
      </c>
      <c r="AB146" s="25">
        <f>IF('Lease Cycles'!$C$16&gt;0,COUNTIF('Lease Cycles'!$BG$16:$BM$16,"&lt;="&amp;AB$6),0)</f>
        <v>1</v>
      </c>
      <c r="AC146" s="25">
        <f>IF('Lease Cycles'!$C$16&gt;0,COUNTIF('Lease Cycles'!$BG$16:$BM$16,"&lt;="&amp;AC$6),0)</f>
        <v>1</v>
      </c>
      <c r="AD146" s="25">
        <f>IF('Lease Cycles'!$C$16&gt;0,COUNTIF('Lease Cycles'!$BG$16:$BM$16,"&lt;="&amp;AD$6),0)</f>
        <v>1</v>
      </c>
      <c r="AE146" s="25">
        <f>IF('Lease Cycles'!$C$16&gt;0,COUNTIF('Lease Cycles'!$BG$16:$BM$16,"&lt;="&amp;AE$6),0)</f>
        <v>1</v>
      </c>
      <c r="AF146" s="25">
        <f>IF('Lease Cycles'!$C$16&gt;0,COUNTIF('Lease Cycles'!$BG$16:$BM$16,"&lt;="&amp;AF$6),0)</f>
        <v>1</v>
      </c>
      <c r="AG146" s="25">
        <f>IF('Lease Cycles'!$C$16&gt;0,COUNTIF('Lease Cycles'!$BG$16:$BM$16,"&lt;="&amp;AG$6),0)</f>
        <v>1</v>
      </c>
      <c r="AH146" s="25">
        <f>IF('Lease Cycles'!$C$16&gt;0,COUNTIF('Lease Cycles'!$BG$16:$BM$16,"&lt;="&amp;AH$6),0)</f>
        <v>1</v>
      </c>
      <c r="AI146" s="25">
        <f>IF('Lease Cycles'!$C$16&gt;0,COUNTIF('Lease Cycles'!$BG$16:$BM$16,"&lt;="&amp;AI$6),0)</f>
        <v>1</v>
      </c>
      <c r="AJ146" s="25">
        <f>IF('Lease Cycles'!$C$16&gt;0,COUNTIF('Lease Cycles'!$BG$16:$BM$16,"&lt;="&amp;AJ$6),0)</f>
        <v>1</v>
      </c>
      <c r="AK146" s="25">
        <f>IF('Lease Cycles'!$C$16&gt;0,COUNTIF('Lease Cycles'!$BG$16:$BM$16,"&lt;="&amp;AK$6),0)</f>
        <v>1</v>
      </c>
      <c r="AL146" s="25">
        <f>IF('Lease Cycles'!$C$16&gt;0,COUNTIF('Lease Cycles'!$BG$16:$BM$16,"&lt;="&amp;AL$6),0)</f>
        <v>1</v>
      </c>
      <c r="AM146" s="25">
        <f>IF('Lease Cycles'!$C$16&gt;0,COUNTIF('Lease Cycles'!$BG$16:$BM$16,"&lt;="&amp;AM$6),0)</f>
        <v>1</v>
      </c>
      <c r="AN146" s="25">
        <f>IF('Lease Cycles'!$C$16&gt;0,COUNTIF('Lease Cycles'!$BG$16:$BM$16,"&lt;="&amp;AN$6),0)</f>
        <v>1</v>
      </c>
      <c r="AO146" s="25">
        <f>IF('Lease Cycles'!$C$16&gt;0,COUNTIF('Lease Cycles'!$BG$16:$BM$16,"&lt;="&amp;AO$6),0)</f>
        <v>1</v>
      </c>
      <c r="AP146" s="25">
        <f>IF('Lease Cycles'!$C$16&gt;0,COUNTIF('Lease Cycles'!$BG$16:$BM$16,"&lt;="&amp;AP$6),0)</f>
        <v>1</v>
      </c>
      <c r="AQ146" s="25">
        <f>IF('Lease Cycles'!$C$16&gt;0,COUNTIF('Lease Cycles'!$BG$16:$BM$16,"&lt;="&amp;AQ$6),0)</f>
        <v>1</v>
      </c>
      <c r="AR146" s="25">
        <f>IF('Lease Cycles'!$C$16&gt;0,COUNTIF('Lease Cycles'!$BG$16:$BM$16,"&lt;="&amp;AR$6),0)</f>
        <v>1</v>
      </c>
      <c r="AS146" s="25">
        <f>IF('Lease Cycles'!$C$16&gt;0,COUNTIF('Lease Cycles'!$BG$16:$BM$16,"&lt;="&amp;AS$6),0)</f>
        <v>1</v>
      </c>
      <c r="AT146" s="25">
        <f>IF('Lease Cycles'!$C$16&gt;0,COUNTIF('Lease Cycles'!$BG$16:$BM$16,"&lt;="&amp;AT$6),0)</f>
        <v>1</v>
      </c>
      <c r="AU146" s="25">
        <f>IF('Lease Cycles'!$C$16&gt;0,COUNTIF('Lease Cycles'!$BG$16:$BM$16,"&lt;="&amp;AU$6),0)</f>
        <v>1</v>
      </c>
      <c r="AV146" s="25">
        <f>IF('Lease Cycles'!$C$16&gt;0,COUNTIF('Lease Cycles'!$BG$16:$BM$16,"&lt;="&amp;AV$6),0)</f>
        <v>1</v>
      </c>
      <c r="AW146" s="25">
        <f>IF('Lease Cycles'!$C$16&gt;0,COUNTIF('Lease Cycles'!$BG$16:$BM$16,"&lt;="&amp;AW$6),0)</f>
        <v>1</v>
      </c>
      <c r="AX146" s="25">
        <f>IF('Lease Cycles'!$C$16&gt;0,COUNTIF('Lease Cycles'!$BG$16:$BM$16,"&lt;="&amp;AX$6),0)</f>
        <v>1</v>
      </c>
      <c r="AY146" s="25">
        <f>IF('Lease Cycles'!$C$16&gt;0,COUNTIF('Lease Cycles'!$BG$16:$BM$16,"&lt;="&amp;AY$6),0)</f>
        <v>1</v>
      </c>
      <c r="AZ146" s="25">
        <f>IF('Lease Cycles'!$C$16&gt;0,COUNTIF('Lease Cycles'!$BG$16:$BM$16,"&lt;="&amp;AZ$6),0)</f>
        <v>1</v>
      </c>
      <c r="BA146" s="25">
        <f>IF('Lease Cycles'!$C$16&gt;0,COUNTIF('Lease Cycles'!$BG$16:$BM$16,"&lt;="&amp;BA$6),0)</f>
        <v>1</v>
      </c>
      <c r="BB146" s="25">
        <f>IF('Lease Cycles'!$C$16&gt;0,COUNTIF('Lease Cycles'!$BG$16:$BM$16,"&lt;="&amp;BB$6),0)</f>
        <v>1</v>
      </c>
      <c r="BC146" s="25">
        <f>IF('Lease Cycles'!$C$16&gt;0,COUNTIF('Lease Cycles'!$BG$16:$BM$16,"&lt;="&amp;BC$6),0)</f>
        <v>1</v>
      </c>
      <c r="BD146" s="25">
        <f>IF('Lease Cycles'!$C$16&gt;0,COUNTIF('Lease Cycles'!$BG$16:$BM$16,"&lt;="&amp;BD$6),0)</f>
        <v>1</v>
      </c>
      <c r="BE146" s="25">
        <f>IF('Lease Cycles'!$C$16&gt;0,COUNTIF('Lease Cycles'!$BG$16:$BM$16,"&lt;="&amp;BE$6),0)</f>
        <v>1</v>
      </c>
      <c r="BF146" s="25">
        <f>IF('Lease Cycles'!$C$16&gt;0,COUNTIF('Lease Cycles'!$BG$16:$BM$16,"&lt;="&amp;BF$6),0)</f>
        <v>1</v>
      </c>
      <c r="BG146" s="25">
        <f>IF('Lease Cycles'!$C$16&gt;0,COUNTIF('Lease Cycles'!$BG$16:$BM$16,"&lt;="&amp;BG$6),0)</f>
        <v>1</v>
      </c>
      <c r="BH146" s="25">
        <f>IF('Lease Cycles'!$C$16&gt;0,COUNTIF('Lease Cycles'!$BG$16:$BM$16,"&lt;="&amp;BH$6),0)</f>
        <v>1</v>
      </c>
      <c r="BI146" s="25">
        <f>IF('Lease Cycles'!$C$16&gt;0,COUNTIF('Lease Cycles'!$BG$16:$BM$16,"&lt;="&amp;BI$6),0)</f>
        <v>1</v>
      </c>
      <c r="BJ146" s="25">
        <f>IF('Lease Cycles'!$C$16&gt;0,COUNTIF('Lease Cycles'!$BG$16:$BM$16,"&lt;="&amp;BJ$6),0)</f>
        <v>1</v>
      </c>
      <c r="BK146" s="25">
        <f>IF('Lease Cycles'!$C$16&gt;0,COUNTIF('Lease Cycles'!$BG$16:$BM$16,"&lt;="&amp;BK$6),0)</f>
        <v>1</v>
      </c>
      <c r="BL146" s="25">
        <f>IF('Lease Cycles'!$C$16&gt;0,COUNTIF('Lease Cycles'!$BG$16:$BM$16,"&lt;="&amp;BL$6),0)</f>
        <v>1</v>
      </c>
      <c r="BM146" s="25">
        <f>IF('Lease Cycles'!$C$16&gt;0,COUNTIF('Lease Cycles'!$BG$16:$BM$16,"&lt;="&amp;BM$6),0)</f>
        <v>1</v>
      </c>
      <c r="BN146" s="25">
        <f>IF('Lease Cycles'!$C$16&gt;0,COUNTIF('Lease Cycles'!$BG$16:$BM$16,"&lt;="&amp;BN$6),0)</f>
        <v>1</v>
      </c>
      <c r="BO146" s="25">
        <f>IF('Lease Cycles'!$C$16&gt;0,COUNTIF('Lease Cycles'!$BG$16:$BM$16,"&lt;="&amp;BO$6),0)</f>
        <v>1</v>
      </c>
      <c r="BP146" s="25">
        <f>IF('Lease Cycles'!$C$16&gt;0,COUNTIF('Lease Cycles'!$BG$16:$BM$16,"&lt;="&amp;BP$6),0)</f>
        <v>1</v>
      </c>
      <c r="BQ146" s="25">
        <f>IF('Lease Cycles'!$C$16&gt;0,COUNTIF('Lease Cycles'!$BG$16:$BM$16,"&lt;="&amp;BQ$6),0)</f>
        <v>1</v>
      </c>
      <c r="BR146" s="25">
        <f>IF('Lease Cycles'!$C$16&gt;0,COUNTIF('Lease Cycles'!$BG$16:$BM$16,"&lt;="&amp;BR$6),0)</f>
        <v>1</v>
      </c>
      <c r="BS146" s="25">
        <f>IF('Lease Cycles'!$C$16&gt;0,COUNTIF('Lease Cycles'!$BG$16:$BM$16,"&lt;="&amp;BS$6),0)</f>
        <v>1</v>
      </c>
      <c r="BT146" s="25">
        <f>IF('Lease Cycles'!$C$16&gt;0,COUNTIF('Lease Cycles'!$BG$16:$BM$16,"&lt;="&amp;BT$6),0)</f>
        <v>1</v>
      </c>
      <c r="BU146" s="25">
        <f>IF('Lease Cycles'!$C$16&gt;0,COUNTIF('Lease Cycles'!$BG$16:$BM$16,"&lt;="&amp;BU$6),0)</f>
        <v>1</v>
      </c>
      <c r="BV146" s="25">
        <f>IF('Lease Cycles'!$C$16&gt;0,COUNTIF('Lease Cycles'!$BG$16:$BM$16,"&lt;="&amp;BV$6),0)</f>
        <v>1</v>
      </c>
      <c r="BW146" s="25">
        <f>IF('Lease Cycles'!$C$16&gt;0,COUNTIF('Lease Cycles'!$BG$16:$BM$16,"&lt;="&amp;BW$6),0)</f>
        <v>1</v>
      </c>
      <c r="BX146" s="25">
        <f>IF('Lease Cycles'!$C$16&gt;0,COUNTIF('Lease Cycles'!$BG$16:$BM$16,"&lt;="&amp;BX$6),0)</f>
        <v>2</v>
      </c>
      <c r="BY146" s="25">
        <f>IF('Lease Cycles'!$C$16&gt;0,COUNTIF('Lease Cycles'!$BG$16:$BM$16,"&lt;="&amp;BY$6),0)</f>
        <v>3</v>
      </c>
      <c r="BZ146" s="25">
        <f>IF('Lease Cycles'!$C$16&gt;0,COUNTIF('Lease Cycles'!$BG$16:$BM$16,"&lt;="&amp;BZ$6),0)</f>
        <v>3</v>
      </c>
      <c r="CA146" s="25">
        <f>IF('Lease Cycles'!$C$16&gt;0,COUNTIF('Lease Cycles'!$BG$16:$BM$16,"&lt;="&amp;CA$6),0)</f>
        <v>3</v>
      </c>
      <c r="CB146" s="25">
        <f>IF('Lease Cycles'!$C$16&gt;0,COUNTIF('Lease Cycles'!$BG$16:$BM$16,"&lt;="&amp;CB$6),0)</f>
        <v>3</v>
      </c>
      <c r="CC146" s="25">
        <f>IF('Lease Cycles'!$C$16&gt;0,COUNTIF('Lease Cycles'!$BG$16:$BM$16,"&lt;="&amp;CC$6),0)</f>
        <v>3</v>
      </c>
      <c r="CD146" s="25">
        <f>IF('Lease Cycles'!$C$16&gt;0,COUNTIF('Lease Cycles'!$BG$16:$BM$16,"&lt;="&amp;CD$6),0)</f>
        <v>3</v>
      </c>
      <c r="CE146" s="25">
        <f>IF('Lease Cycles'!$C$16&gt;0,COUNTIF('Lease Cycles'!$BG$16:$BM$16,"&lt;="&amp;CE$6),0)</f>
        <v>3</v>
      </c>
      <c r="CF146" s="25">
        <f>IF('Lease Cycles'!$C$16&gt;0,COUNTIF('Lease Cycles'!$BG$16:$BM$16,"&lt;="&amp;CF$6),0)</f>
        <v>3</v>
      </c>
      <c r="CG146" s="25">
        <f>IF('Lease Cycles'!$C$16&gt;0,COUNTIF('Lease Cycles'!$BG$16:$BM$16,"&lt;="&amp;CG$6),0)</f>
        <v>3</v>
      </c>
      <c r="CH146" s="25">
        <f>IF('Lease Cycles'!$C$16&gt;0,COUNTIF('Lease Cycles'!$BG$16:$BM$16,"&lt;="&amp;CH$6),0)</f>
        <v>3</v>
      </c>
      <c r="CI146" s="25">
        <f>IF('Lease Cycles'!$C$16&gt;0,COUNTIF('Lease Cycles'!$BG$16:$BM$16,"&lt;="&amp;CI$6),0)</f>
        <v>3</v>
      </c>
      <c r="CJ146" s="25">
        <f>IF('Lease Cycles'!$C$16&gt;0,COUNTIF('Lease Cycles'!$BG$16:$BM$16,"&lt;="&amp;CJ$6),0)</f>
        <v>3</v>
      </c>
      <c r="CK146" s="25">
        <f>IF('Lease Cycles'!$C$16&gt;0,COUNTIF('Lease Cycles'!$BG$16:$BM$16,"&lt;="&amp;CK$6),0)</f>
        <v>3</v>
      </c>
      <c r="CL146" s="25">
        <f>IF('Lease Cycles'!$C$16&gt;0,COUNTIF('Lease Cycles'!$BG$16:$BM$16,"&lt;="&amp;CL$6),0)</f>
        <v>3</v>
      </c>
      <c r="CM146" s="25">
        <f>IF('Lease Cycles'!$C$16&gt;0,COUNTIF('Lease Cycles'!$BG$16:$BM$16,"&lt;="&amp;CM$6),0)</f>
        <v>3</v>
      </c>
      <c r="CN146" s="25">
        <f>IF('Lease Cycles'!$C$16&gt;0,COUNTIF('Lease Cycles'!$BG$16:$BM$16,"&lt;="&amp;CN$6),0)</f>
        <v>3</v>
      </c>
      <c r="CO146" s="25">
        <f>IF('Lease Cycles'!$C$16&gt;0,COUNTIF('Lease Cycles'!$BG$16:$BM$16,"&lt;="&amp;CO$6),0)</f>
        <v>3</v>
      </c>
      <c r="CP146" s="25">
        <f>IF('Lease Cycles'!$C$16&gt;0,COUNTIF('Lease Cycles'!$BG$16:$BM$16,"&lt;="&amp;CP$6),0)</f>
        <v>3</v>
      </c>
      <c r="CQ146" s="25">
        <f>IF('Lease Cycles'!$C$16&gt;0,COUNTIF('Lease Cycles'!$BG$16:$BM$16,"&lt;="&amp;CQ$6),0)</f>
        <v>3</v>
      </c>
      <c r="CR146" s="25">
        <f>IF('Lease Cycles'!$C$16&gt;0,COUNTIF('Lease Cycles'!$BG$16:$BM$16,"&lt;="&amp;CR$6),0)</f>
        <v>3</v>
      </c>
      <c r="CS146" s="25">
        <f>IF('Lease Cycles'!$C$16&gt;0,COUNTIF('Lease Cycles'!$BG$16:$BM$16,"&lt;="&amp;CS$6),0)</f>
        <v>3</v>
      </c>
      <c r="CT146" s="25">
        <f>IF('Lease Cycles'!$C$16&gt;0,COUNTIF('Lease Cycles'!$BG$16:$BM$16,"&lt;="&amp;CT$6),0)</f>
        <v>3</v>
      </c>
      <c r="CU146" s="25">
        <f>IF('Lease Cycles'!$C$16&gt;0,COUNTIF('Lease Cycles'!$BG$16:$BM$16,"&lt;="&amp;CU$6),0)</f>
        <v>3</v>
      </c>
      <c r="CV146" s="25">
        <f>IF('Lease Cycles'!$C$16&gt;0,COUNTIF('Lease Cycles'!$BG$16:$BM$16,"&lt;="&amp;CV$6),0)</f>
        <v>3</v>
      </c>
      <c r="CW146" s="25">
        <f>IF('Lease Cycles'!$C$16&gt;0,COUNTIF('Lease Cycles'!$BG$16:$BM$16,"&lt;="&amp;CW$6),0)</f>
        <v>3</v>
      </c>
      <c r="CX146" s="25">
        <f>IF('Lease Cycles'!$C$16&gt;0,COUNTIF('Lease Cycles'!$BG$16:$BM$16,"&lt;="&amp;CX$6),0)</f>
        <v>3</v>
      </c>
      <c r="CY146" s="25">
        <f>IF('Lease Cycles'!$C$16&gt;0,COUNTIF('Lease Cycles'!$BG$16:$BM$16,"&lt;="&amp;CY$6),0)</f>
        <v>3</v>
      </c>
      <c r="CZ146" s="25">
        <f>IF('Lease Cycles'!$C$16&gt;0,COUNTIF('Lease Cycles'!$BG$16:$BM$16,"&lt;="&amp;CZ$6),0)</f>
        <v>3</v>
      </c>
      <c r="DA146" s="25">
        <f>IF('Lease Cycles'!$C$16&gt;0,COUNTIF('Lease Cycles'!$BG$16:$BM$16,"&lt;="&amp;DA$6),0)</f>
        <v>3</v>
      </c>
      <c r="DB146" s="25">
        <f>IF('Lease Cycles'!$C$16&gt;0,COUNTIF('Lease Cycles'!$BG$16:$BM$16,"&lt;="&amp;DB$6),0)</f>
        <v>3</v>
      </c>
      <c r="DC146" s="25">
        <f>IF('Lease Cycles'!$C$16&gt;0,COUNTIF('Lease Cycles'!$BG$16:$BM$16,"&lt;="&amp;DC$6),0)</f>
        <v>3</v>
      </c>
      <c r="DD146" s="25">
        <f>IF('Lease Cycles'!$C$16&gt;0,COUNTIF('Lease Cycles'!$BG$16:$BM$16,"&lt;="&amp;DD$6),0)</f>
        <v>3</v>
      </c>
      <c r="DE146" s="25">
        <f>IF('Lease Cycles'!$C$16&gt;0,COUNTIF('Lease Cycles'!$BG$16:$BM$16,"&lt;="&amp;DE$6),0)</f>
        <v>3</v>
      </c>
      <c r="DF146" s="25">
        <f>IF('Lease Cycles'!$C$16&gt;0,COUNTIF('Lease Cycles'!$BG$16:$BM$16,"&lt;="&amp;DF$6),0)</f>
        <v>3</v>
      </c>
      <c r="DG146" s="25">
        <f>IF('Lease Cycles'!$C$16&gt;0,COUNTIF('Lease Cycles'!$BG$16:$BM$16,"&lt;="&amp;DG$6),0)</f>
        <v>3</v>
      </c>
      <c r="DH146" s="25">
        <f>IF('Lease Cycles'!$C$16&gt;0,COUNTIF('Lease Cycles'!$BG$16:$BM$16,"&lt;="&amp;DH$6),0)</f>
        <v>3</v>
      </c>
      <c r="DI146" s="25">
        <f>IF('Lease Cycles'!$C$16&gt;0,COUNTIF('Lease Cycles'!$BG$16:$BM$16,"&lt;="&amp;DI$6),0)</f>
        <v>3</v>
      </c>
      <c r="DJ146" s="25">
        <f>IF('Lease Cycles'!$C$16&gt;0,COUNTIF('Lease Cycles'!$BG$16:$BM$16,"&lt;="&amp;DJ$6),0)</f>
        <v>3</v>
      </c>
      <c r="DK146" s="25">
        <f>IF('Lease Cycles'!$C$16&gt;0,COUNTIF('Lease Cycles'!$BG$16:$BM$16,"&lt;="&amp;DK$6),0)</f>
        <v>3</v>
      </c>
      <c r="DL146" s="25">
        <f>IF('Lease Cycles'!$C$16&gt;0,COUNTIF('Lease Cycles'!$BG$16:$BM$16,"&lt;="&amp;DL$6),0)</f>
        <v>3</v>
      </c>
      <c r="DM146" s="25">
        <f>IF('Lease Cycles'!$C$16&gt;0,COUNTIF('Lease Cycles'!$BG$16:$BM$16,"&lt;="&amp;DM$6),0)</f>
        <v>3</v>
      </c>
      <c r="DN146" s="25">
        <f>IF('Lease Cycles'!$C$16&gt;0,COUNTIF('Lease Cycles'!$BG$16:$BM$16,"&lt;="&amp;DN$6),0)</f>
        <v>3</v>
      </c>
      <c r="DO146" s="25">
        <f>IF('Lease Cycles'!$C$16&gt;0,COUNTIF('Lease Cycles'!$BG$16:$BM$16,"&lt;="&amp;DO$6),0)</f>
        <v>3</v>
      </c>
      <c r="DP146" s="25">
        <f>IF('Lease Cycles'!$C$16&gt;0,COUNTIF('Lease Cycles'!$BG$16:$BM$16,"&lt;="&amp;DP$6),0)</f>
        <v>3</v>
      </c>
      <c r="DQ146" s="25">
        <f>IF('Lease Cycles'!$C$16&gt;0,COUNTIF('Lease Cycles'!$BG$16:$BM$16,"&lt;="&amp;DQ$6),0)</f>
        <v>3</v>
      </c>
      <c r="DR146" s="25">
        <f>IF('Lease Cycles'!$C$16&gt;0,COUNTIF('Lease Cycles'!$BG$16:$BM$16,"&lt;="&amp;DR$6),0)</f>
        <v>3</v>
      </c>
      <c r="DS146" s="25">
        <f>IF('Lease Cycles'!$C$16&gt;0,COUNTIF('Lease Cycles'!$BG$16:$BM$16,"&lt;="&amp;DS$6),0)</f>
        <v>3</v>
      </c>
      <c r="DT146" s="25">
        <f>IF('Lease Cycles'!$C$16&gt;0,COUNTIF('Lease Cycles'!$BG$16:$BM$16,"&lt;="&amp;DT$6),0)</f>
        <v>3</v>
      </c>
      <c r="DU146" s="25">
        <f>IF('Lease Cycles'!$C$16&gt;0,COUNTIF('Lease Cycles'!$BG$16:$BM$16,"&lt;="&amp;DU$6),0)</f>
        <v>3</v>
      </c>
      <c r="DV146" s="25">
        <f>IF('Lease Cycles'!$C$16&gt;0,COUNTIF('Lease Cycles'!$BG$16:$BM$16,"&lt;="&amp;DV$6),0)</f>
        <v>3</v>
      </c>
      <c r="DW146" s="25">
        <f>IF('Lease Cycles'!$C$16&gt;0,COUNTIF('Lease Cycles'!$BG$16:$BM$16,"&lt;="&amp;DW$6),0)</f>
        <v>3</v>
      </c>
      <c r="DX146" s="25">
        <f>IF('Lease Cycles'!$C$16&gt;0,COUNTIF('Lease Cycles'!$BG$16:$BM$16,"&lt;="&amp;DX$6),0)</f>
        <v>3</v>
      </c>
      <c r="DY146" s="25">
        <f>IF('Lease Cycles'!$C$16&gt;0,COUNTIF('Lease Cycles'!$BG$16:$BM$16,"&lt;="&amp;DY$6),0)</f>
        <v>3</v>
      </c>
      <c r="DZ146" s="25">
        <f>IF('Lease Cycles'!$C$16&gt;0,COUNTIF('Lease Cycles'!$BG$16:$BM$16,"&lt;="&amp;DZ$6),0)</f>
        <v>3</v>
      </c>
      <c r="EA146" s="25">
        <f>IF('Lease Cycles'!$C$16&gt;0,COUNTIF('Lease Cycles'!$BG$16:$BM$16,"&lt;="&amp;EA$6),0)</f>
        <v>3</v>
      </c>
      <c r="EB146" s="25">
        <f>IF('Lease Cycles'!$C$16&gt;0,COUNTIF('Lease Cycles'!$BG$16:$BM$16,"&lt;="&amp;EB$6),0)</f>
        <v>3</v>
      </c>
      <c r="EC146" s="25">
        <f>IF('Lease Cycles'!$C$16&gt;0,COUNTIF('Lease Cycles'!$BG$16:$BM$16,"&lt;="&amp;EC$6),0)</f>
        <v>3</v>
      </c>
      <c r="ED146" s="25">
        <f>IF('Lease Cycles'!$C$16&gt;0,COUNTIF('Lease Cycles'!$BG$16:$BM$16,"&lt;="&amp;ED$6),0)</f>
        <v>3</v>
      </c>
      <c r="EE146" s="25">
        <f>IF('Lease Cycles'!$C$16&gt;0,COUNTIF('Lease Cycles'!$BG$16:$BM$16,"&lt;="&amp;EE$6),0)</f>
        <v>3</v>
      </c>
      <c r="EF146" s="25">
        <f>IF('Lease Cycles'!$C$16&gt;0,COUNTIF('Lease Cycles'!$BG$16:$BM$16,"&lt;="&amp;EF$6),0)</f>
        <v>3</v>
      </c>
      <c r="EG146" s="25">
        <f>IF('Lease Cycles'!$C$16&gt;0,COUNTIF('Lease Cycles'!$BG$16:$BM$16,"&lt;="&amp;EG$6),0)</f>
        <v>3</v>
      </c>
      <c r="EH146" s="25">
        <f>IF('Lease Cycles'!$C$16&gt;0,COUNTIF('Lease Cycles'!$BG$16:$BM$16,"&lt;="&amp;EH$6),0)</f>
        <v>3</v>
      </c>
      <c r="EI146" s="25">
        <f>IF('Lease Cycles'!$C$16&gt;0,COUNTIF('Lease Cycles'!$BG$16:$BM$16,"&lt;="&amp;EI$6),0)</f>
        <v>3</v>
      </c>
      <c r="EJ146" s="25">
        <f>IF('Lease Cycles'!$C$16&gt;0,COUNTIF('Lease Cycles'!$BG$16:$BM$16,"&lt;="&amp;EJ$6),0)</f>
        <v>3</v>
      </c>
      <c r="EK146" s="25">
        <f>IF('Lease Cycles'!$C$16&gt;0,COUNTIF('Lease Cycles'!$BG$16:$BM$16,"&lt;="&amp;EK$6),0)</f>
        <v>3</v>
      </c>
      <c r="EL146" s="25">
        <f>IF('Lease Cycles'!$C$16&gt;0,COUNTIF('Lease Cycles'!$BG$16:$BM$16,"&lt;="&amp;EL$6),0)</f>
        <v>3</v>
      </c>
      <c r="EM146" s="25">
        <f>IF('Lease Cycles'!$C$16&gt;0,COUNTIF('Lease Cycles'!$BG$16:$BM$16,"&lt;="&amp;EM$6),0)</f>
        <v>3</v>
      </c>
      <c r="EN146" s="25">
        <f>IF('Lease Cycles'!$C$16&gt;0,COUNTIF('Lease Cycles'!$BG$16:$BM$16,"&lt;="&amp;EN$6),0)</f>
        <v>3</v>
      </c>
      <c r="EO146" s="25">
        <f>IF('Lease Cycles'!$C$16&gt;0,COUNTIF('Lease Cycles'!$BG$16:$BM$16,"&lt;="&amp;EO$6),0)</f>
        <v>3</v>
      </c>
      <c r="EP146" s="25">
        <f>IF('Lease Cycles'!$C$16&gt;0,COUNTIF('Lease Cycles'!$BG$16:$BM$16,"&lt;="&amp;EP$6),0)</f>
        <v>3</v>
      </c>
      <c r="EQ146" s="25">
        <f>IF('Lease Cycles'!$C$16&gt;0,COUNTIF('Lease Cycles'!$BG$16:$BM$16,"&lt;="&amp;EQ$6),0)</f>
        <v>3</v>
      </c>
      <c r="ER146" s="25">
        <f>IF('Lease Cycles'!$C$16&gt;0,COUNTIF('Lease Cycles'!$BG$16:$BM$16,"&lt;="&amp;ER$6),0)</f>
        <v>3</v>
      </c>
      <c r="ES146" s="25">
        <f>IF('Lease Cycles'!$C$16&gt;0,COUNTIF('Lease Cycles'!$BG$16:$BM$16,"&lt;="&amp;ES$6),0)</f>
        <v>3</v>
      </c>
      <c r="ET146" s="25">
        <f>IF('Lease Cycles'!$C$16&gt;0,COUNTIF('Lease Cycles'!$BG$16:$BM$16,"&lt;="&amp;ET$6),0)</f>
        <v>3</v>
      </c>
    </row>
    <row r="147">
      <c r="A147" s="103">
        <v>9</v>
      </c>
      <c r="B147" s="23" t="str">
        <f>IF('Lease Cycles'!$B$16="","(empty slot)",'Lease Cycles'!$B$16)</f>
        <v>Sunfield Office Suite</v>
      </c>
      <c r="C147" s="23" t="s">
        <v>673</v>
      </c>
      <c r="D147" s="104" t="s">
        <v>674</v>
      </c>
      <c r="E147" s="25">
        <f>'Lease Cycles'!$AL$16</f>
        <v>0</v>
      </c>
      <c r="S147" s="25">
        <f>IF(S146=0,-1,S$6-INDEX('Lease Cycles'!$BG$16:$BM$16,1,S146))</f>
        <v>0</v>
      </c>
      <c r="T147" s="25">
        <f>IF(T146=0,-1,T$6-INDEX('Lease Cycles'!$BG$16:$BM$16,1,T146))</f>
        <v>1</v>
      </c>
      <c r="U147" s="25">
        <f>IF(U146=0,-1,U$6-INDEX('Lease Cycles'!$BG$16:$BM$16,1,U146))</f>
        <v>2</v>
      </c>
      <c r="V147" s="25">
        <f>IF(V146=0,-1,V$6-INDEX('Lease Cycles'!$BG$16:$BM$16,1,V146))</f>
        <v>3</v>
      </c>
      <c r="W147" s="25">
        <f>IF(W146=0,-1,W$6-INDEX('Lease Cycles'!$BG$16:$BM$16,1,W146))</f>
        <v>4</v>
      </c>
      <c r="X147" s="25">
        <f>IF(X146=0,-1,X$6-INDEX('Lease Cycles'!$BG$16:$BM$16,1,X146))</f>
        <v>5</v>
      </c>
      <c r="Y147" s="25">
        <f>IF(Y146=0,-1,Y$6-INDEX('Lease Cycles'!$BG$16:$BM$16,1,Y146))</f>
        <v>6</v>
      </c>
      <c r="Z147" s="25">
        <f>IF(Z146=0,-1,Z$6-INDEX('Lease Cycles'!$BG$16:$BM$16,1,Z146))</f>
        <v>7</v>
      </c>
      <c r="AA147" s="25">
        <f>IF(AA146=0,-1,AA$6-INDEX('Lease Cycles'!$BG$16:$BM$16,1,AA146))</f>
        <v>8</v>
      </c>
      <c r="AB147" s="25">
        <f>IF(AB146=0,-1,AB$6-INDEX('Lease Cycles'!$BG$16:$BM$16,1,AB146))</f>
        <v>9</v>
      </c>
      <c r="AC147" s="25">
        <f>IF(AC146=0,-1,AC$6-INDEX('Lease Cycles'!$BG$16:$BM$16,1,AC146))</f>
        <v>10</v>
      </c>
      <c r="AD147" s="25">
        <f>IF(AD146=0,-1,AD$6-INDEX('Lease Cycles'!$BG$16:$BM$16,1,AD146))</f>
        <v>11</v>
      </c>
      <c r="AE147" s="25">
        <f>IF(AE146=0,-1,AE$6-INDEX('Lease Cycles'!$BG$16:$BM$16,1,AE146))</f>
        <v>12</v>
      </c>
      <c r="AF147" s="25">
        <f>IF(AF146=0,-1,AF$6-INDEX('Lease Cycles'!$BG$16:$BM$16,1,AF146))</f>
        <v>13</v>
      </c>
      <c r="AG147" s="25">
        <f>IF(AG146=0,-1,AG$6-INDEX('Lease Cycles'!$BG$16:$BM$16,1,AG146))</f>
        <v>14</v>
      </c>
      <c r="AH147" s="25">
        <f>IF(AH146=0,-1,AH$6-INDEX('Lease Cycles'!$BG$16:$BM$16,1,AH146))</f>
        <v>15</v>
      </c>
      <c r="AI147" s="25">
        <f>IF(AI146=0,-1,AI$6-INDEX('Lease Cycles'!$BG$16:$BM$16,1,AI146))</f>
        <v>16</v>
      </c>
      <c r="AJ147" s="25">
        <f>IF(AJ146=0,-1,AJ$6-INDEX('Lease Cycles'!$BG$16:$BM$16,1,AJ146))</f>
        <v>17</v>
      </c>
      <c r="AK147" s="25">
        <f>IF(AK146=0,-1,AK$6-INDEX('Lease Cycles'!$BG$16:$BM$16,1,AK146))</f>
        <v>18</v>
      </c>
      <c r="AL147" s="25">
        <f>IF(AL146=0,-1,AL$6-INDEX('Lease Cycles'!$BG$16:$BM$16,1,AL146))</f>
        <v>19</v>
      </c>
      <c r="AM147" s="25">
        <f>IF(AM146=0,-1,AM$6-INDEX('Lease Cycles'!$BG$16:$BM$16,1,AM146))</f>
        <v>20</v>
      </c>
      <c r="AN147" s="25">
        <f>IF(AN146=0,-1,AN$6-INDEX('Lease Cycles'!$BG$16:$BM$16,1,AN146))</f>
        <v>21</v>
      </c>
      <c r="AO147" s="25">
        <f>IF(AO146=0,-1,AO$6-INDEX('Lease Cycles'!$BG$16:$BM$16,1,AO146))</f>
        <v>22</v>
      </c>
      <c r="AP147" s="25">
        <f>IF(AP146=0,-1,AP$6-INDEX('Lease Cycles'!$BG$16:$BM$16,1,AP146))</f>
        <v>23</v>
      </c>
      <c r="AQ147" s="25">
        <f>IF(AQ146=0,-1,AQ$6-INDEX('Lease Cycles'!$BG$16:$BM$16,1,AQ146))</f>
        <v>24</v>
      </c>
      <c r="AR147" s="25">
        <f>IF(AR146=0,-1,AR$6-INDEX('Lease Cycles'!$BG$16:$BM$16,1,AR146))</f>
        <v>25</v>
      </c>
      <c r="AS147" s="25">
        <f>IF(AS146=0,-1,AS$6-INDEX('Lease Cycles'!$BG$16:$BM$16,1,AS146))</f>
        <v>26</v>
      </c>
      <c r="AT147" s="25">
        <f>IF(AT146=0,-1,AT$6-INDEX('Lease Cycles'!$BG$16:$BM$16,1,AT146))</f>
        <v>27</v>
      </c>
      <c r="AU147" s="25">
        <f>IF(AU146=0,-1,AU$6-INDEX('Lease Cycles'!$BG$16:$BM$16,1,AU146))</f>
        <v>28</v>
      </c>
      <c r="AV147" s="25">
        <f>IF(AV146=0,-1,AV$6-INDEX('Lease Cycles'!$BG$16:$BM$16,1,AV146))</f>
        <v>29</v>
      </c>
      <c r="AW147" s="25">
        <f>IF(AW146=0,-1,AW$6-INDEX('Lease Cycles'!$BG$16:$BM$16,1,AW146))</f>
        <v>30</v>
      </c>
      <c r="AX147" s="25">
        <f>IF(AX146=0,-1,AX$6-INDEX('Lease Cycles'!$BG$16:$BM$16,1,AX146))</f>
        <v>31</v>
      </c>
      <c r="AY147" s="25">
        <f>IF(AY146=0,-1,AY$6-INDEX('Lease Cycles'!$BG$16:$BM$16,1,AY146))</f>
        <v>32</v>
      </c>
      <c r="AZ147" s="25">
        <f>IF(AZ146=0,-1,AZ$6-INDEX('Lease Cycles'!$BG$16:$BM$16,1,AZ146))</f>
        <v>33</v>
      </c>
      <c r="BA147" s="25">
        <f>IF(BA146=0,-1,BA$6-INDEX('Lease Cycles'!$BG$16:$BM$16,1,BA146))</f>
        <v>34</v>
      </c>
      <c r="BB147" s="25">
        <f>IF(BB146=0,-1,BB$6-INDEX('Lease Cycles'!$BG$16:$BM$16,1,BB146))</f>
        <v>35</v>
      </c>
      <c r="BC147" s="25">
        <f>IF(BC146=0,-1,BC$6-INDEX('Lease Cycles'!$BG$16:$BM$16,1,BC146))</f>
        <v>36</v>
      </c>
      <c r="BD147" s="25">
        <f>IF(BD146=0,-1,BD$6-INDEX('Lease Cycles'!$BG$16:$BM$16,1,BD146))</f>
        <v>37</v>
      </c>
      <c r="BE147" s="25">
        <f>IF(BE146=0,-1,BE$6-INDEX('Lease Cycles'!$BG$16:$BM$16,1,BE146))</f>
        <v>38</v>
      </c>
      <c r="BF147" s="25">
        <f>IF(BF146=0,-1,BF$6-INDEX('Lease Cycles'!$BG$16:$BM$16,1,BF146))</f>
        <v>39</v>
      </c>
      <c r="BG147" s="25">
        <f>IF(BG146=0,-1,BG$6-INDEX('Lease Cycles'!$BG$16:$BM$16,1,BG146))</f>
        <v>40</v>
      </c>
      <c r="BH147" s="25">
        <f>IF(BH146=0,-1,BH$6-INDEX('Lease Cycles'!$BG$16:$BM$16,1,BH146))</f>
        <v>41</v>
      </c>
      <c r="BI147" s="25">
        <f>IF(BI146=0,-1,BI$6-INDEX('Lease Cycles'!$BG$16:$BM$16,1,BI146))</f>
        <v>42</v>
      </c>
      <c r="BJ147" s="25">
        <f>IF(BJ146=0,-1,BJ$6-INDEX('Lease Cycles'!$BG$16:$BM$16,1,BJ146))</f>
        <v>43</v>
      </c>
      <c r="BK147" s="25">
        <f>IF(BK146=0,-1,BK$6-INDEX('Lease Cycles'!$BG$16:$BM$16,1,BK146))</f>
        <v>44</v>
      </c>
      <c r="BL147" s="25">
        <f>IF(BL146=0,-1,BL$6-INDEX('Lease Cycles'!$BG$16:$BM$16,1,BL146))</f>
        <v>45</v>
      </c>
      <c r="BM147" s="25">
        <f>IF(BM146=0,-1,BM$6-INDEX('Lease Cycles'!$BG$16:$BM$16,1,BM146))</f>
        <v>46</v>
      </c>
      <c r="BN147" s="25">
        <f>IF(BN146=0,-1,BN$6-INDEX('Lease Cycles'!$BG$16:$BM$16,1,BN146))</f>
        <v>47</v>
      </c>
      <c r="BO147" s="25">
        <f>IF(BO146=0,-1,BO$6-INDEX('Lease Cycles'!$BG$16:$BM$16,1,BO146))</f>
        <v>48</v>
      </c>
      <c r="BP147" s="25">
        <f>IF(BP146=0,-1,BP$6-INDEX('Lease Cycles'!$BG$16:$BM$16,1,BP146))</f>
        <v>49</v>
      </c>
      <c r="BQ147" s="25">
        <f>IF(BQ146=0,-1,BQ$6-INDEX('Lease Cycles'!$BG$16:$BM$16,1,BQ146))</f>
        <v>50</v>
      </c>
      <c r="BR147" s="25">
        <f>IF(BR146=0,-1,BR$6-INDEX('Lease Cycles'!$BG$16:$BM$16,1,BR146))</f>
        <v>51</v>
      </c>
      <c r="BS147" s="25">
        <f>IF(BS146=0,-1,BS$6-INDEX('Lease Cycles'!$BG$16:$BM$16,1,BS146))</f>
        <v>52</v>
      </c>
      <c r="BT147" s="25">
        <f>IF(BT146=0,-1,BT$6-INDEX('Lease Cycles'!$BG$16:$BM$16,1,BT146))</f>
        <v>53</v>
      </c>
      <c r="BU147" s="25">
        <f>IF(BU146=0,-1,BU$6-INDEX('Lease Cycles'!$BG$16:$BM$16,1,BU146))</f>
        <v>54</v>
      </c>
      <c r="BV147" s="25">
        <f>IF(BV146=0,-1,BV$6-INDEX('Lease Cycles'!$BG$16:$BM$16,1,BV146))</f>
        <v>55</v>
      </c>
      <c r="BW147" s="25">
        <f>IF(BW146=0,-1,BW$6-INDEX('Lease Cycles'!$BG$16:$BM$16,1,BW146))</f>
        <v>56</v>
      </c>
      <c r="BX147" s="25">
        <f>IF(BX146=0,-1,BX$6-INDEX('Lease Cycles'!$BG$16:$BM$16,1,BX146))</f>
        <v>0</v>
      </c>
      <c r="BY147" s="25">
        <f>IF(BY146=0,-1,BY$6-INDEX('Lease Cycles'!$BG$16:$BM$16,1,BY146))</f>
        <v>0</v>
      </c>
      <c r="BZ147" s="25">
        <f>IF(BZ146=0,-1,BZ$6-INDEX('Lease Cycles'!$BG$16:$BM$16,1,BZ146))</f>
        <v>1</v>
      </c>
      <c r="CA147" s="25">
        <f>IF(CA146=0,-1,CA$6-INDEX('Lease Cycles'!$BG$16:$BM$16,1,CA146))</f>
        <v>2</v>
      </c>
      <c r="CB147" s="25">
        <f>IF(CB146=0,-1,CB$6-INDEX('Lease Cycles'!$BG$16:$BM$16,1,CB146))</f>
        <v>3</v>
      </c>
      <c r="CC147" s="25">
        <f>IF(CC146=0,-1,CC$6-INDEX('Lease Cycles'!$BG$16:$BM$16,1,CC146))</f>
        <v>4</v>
      </c>
      <c r="CD147" s="25">
        <f>IF(CD146=0,-1,CD$6-INDEX('Lease Cycles'!$BG$16:$BM$16,1,CD146))</f>
        <v>5</v>
      </c>
      <c r="CE147" s="25">
        <f>IF(CE146=0,-1,CE$6-INDEX('Lease Cycles'!$BG$16:$BM$16,1,CE146))</f>
        <v>6</v>
      </c>
      <c r="CF147" s="25">
        <f>IF(CF146=0,-1,CF$6-INDEX('Lease Cycles'!$BG$16:$BM$16,1,CF146))</f>
        <v>7</v>
      </c>
      <c r="CG147" s="25">
        <f>IF(CG146=0,-1,CG$6-INDEX('Lease Cycles'!$BG$16:$BM$16,1,CG146))</f>
        <v>8</v>
      </c>
      <c r="CH147" s="25">
        <f>IF(CH146=0,-1,CH$6-INDEX('Lease Cycles'!$BG$16:$BM$16,1,CH146))</f>
        <v>9</v>
      </c>
      <c r="CI147" s="25">
        <f>IF(CI146=0,-1,CI$6-INDEX('Lease Cycles'!$BG$16:$BM$16,1,CI146))</f>
        <v>10</v>
      </c>
      <c r="CJ147" s="25">
        <f>IF(CJ146=0,-1,CJ$6-INDEX('Lease Cycles'!$BG$16:$BM$16,1,CJ146))</f>
        <v>11</v>
      </c>
      <c r="CK147" s="25">
        <f>IF(CK146=0,-1,CK$6-INDEX('Lease Cycles'!$BG$16:$BM$16,1,CK146))</f>
        <v>12</v>
      </c>
      <c r="CL147" s="25">
        <f>IF(CL146=0,-1,CL$6-INDEX('Lease Cycles'!$BG$16:$BM$16,1,CL146))</f>
        <v>13</v>
      </c>
      <c r="CM147" s="25">
        <f>IF(CM146=0,-1,CM$6-INDEX('Lease Cycles'!$BG$16:$BM$16,1,CM146))</f>
        <v>14</v>
      </c>
      <c r="CN147" s="25">
        <f>IF(CN146=0,-1,CN$6-INDEX('Lease Cycles'!$BG$16:$BM$16,1,CN146))</f>
        <v>15</v>
      </c>
      <c r="CO147" s="25">
        <f>IF(CO146=0,-1,CO$6-INDEX('Lease Cycles'!$BG$16:$BM$16,1,CO146))</f>
        <v>16</v>
      </c>
      <c r="CP147" s="25">
        <f>IF(CP146=0,-1,CP$6-INDEX('Lease Cycles'!$BG$16:$BM$16,1,CP146))</f>
        <v>17</v>
      </c>
      <c r="CQ147" s="25">
        <f>IF(CQ146=0,-1,CQ$6-INDEX('Lease Cycles'!$BG$16:$BM$16,1,CQ146))</f>
        <v>18</v>
      </c>
      <c r="CR147" s="25">
        <f>IF(CR146=0,-1,CR$6-INDEX('Lease Cycles'!$BG$16:$BM$16,1,CR146))</f>
        <v>19</v>
      </c>
      <c r="CS147" s="25">
        <f>IF(CS146=0,-1,CS$6-INDEX('Lease Cycles'!$BG$16:$BM$16,1,CS146))</f>
        <v>20</v>
      </c>
      <c r="CT147" s="25">
        <f>IF(CT146=0,-1,CT$6-INDEX('Lease Cycles'!$BG$16:$BM$16,1,CT146))</f>
        <v>21</v>
      </c>
      <c r="CU147" s="25">
        <f>IF(CU146=0,-1,CU$6-INDEX('Lease Cycles'!$BG$16:$BM$16,1,CU146))</f>
        <v>22</v>
      </c>
      <c r="CV147" s="25">
        <f>IF(CV146=0,-1,CV$6-INDEX('Lease Cycles'!$BG$16:$BM$16,1,CV146))</f>
        <v>23</v>
      </c>
      <c r="CW147" s="25">
        <f>IF(CW146=0,-1,CW$6-INDEX('Lease Cycles'!$BG$16:$BM$16,1,CW146))</f>
        <v>24</v>
      </c>
      <c r="CX147" s="25">
        <f>IF(CX146=0,-1,CX$6-INDEX('Lease Cycles'!$BG$16:$BM$16,1,CX146))</f>
        <v>25</v>
      </c>
      <c r="CY147" s="25">
        <f>IF(CY146=0,-1,CY$6-INDEX('Lease Cycles'!$BG$16:$BM$16,1,CY146))</f>
        <v>26</v>
      </c>
      <c r="CZ147" s="25">
        <f>IF(CZ146=0,-1,CZ$6-INDEX('Lease Cycles'!$BG$16:$BM$16,1,CZ146))</f>
        <v>27</v>
      </c>
      <c r="DA147" s="25">
        <f>IF(DA146=0,-1,DA$6-INDEX('Lease Cycles'!$BG$16:$BM$16,1,DA146))</f>
        <v>28</v>
      </c>
      <c r="DB147" s="25">
        <f>IF(DB146=0,-1,DB$6-INDEX('Lease Cycles'!$BG$16:$BM$16,1,DB146))</f>
        <v>29</v>
      </c>
      <c r="DC147" s="25">
        <f>IF(DC146=0,-1,DC$6-INDEX('Lease Cycles'!$BG$16:$BM$16,1,DC146))</f>
        <v>30</v>
      </c>
      <c r="DD147" s="25">
        <f>IF(DD146=0,-1,DD$6-INDEX('Lease Cycles'!$BG$16:$BM$16,1,DD146))</f>
        <v>31</v>
      </c>
      <c r="DE147" s="25">
        <f>IF(DE146=0,-1,DE$6-INDEX('Lease Cycles'!$BG$16:$BM$16,1,DE146))</f>
        <v>32</v>
      </c>
      <c r="DF147" s="25">
        <f>IF(DF146=0,-1,DF$6-INDEX('Lease Cycles'!$BG$16:$BM$16,1,DF146))</f>
        <v>33</v>
      </c>
      <c r="DG147" s="25">
        <f>IF(DG146=0,-1,DG$6-INDEX('Lease Cycles'!$BG$16:$BM$16,1,DG146))</f>
        <v>34</v>
      </c>
      <c r="DH147" s="25">
        <f>IF(DH146=0,-1,DH$6-INDEX('Lease Cycles'!$BG$16:$BM$16,1,DH146))</f>
        <v>35</v>
      </c>
      <c r="DI147" s="25">
        <f>IF(DI146=0,-1,DI$6-INDEX('Lease Cycles'!$BG$16:$BM$16,1,DI146))</f>
        <v>36</v>
      </c>
      <c r="DJ147" s="25">
        <f>IF(DJ146=0,-1,DJ$6-INDEX('Lease Cycles'!$BG$16:$BM$16,1,DJ146))</f>
        <v>37</v>
      </c>
      <c r="DK147" s="25">
        <f>IF(DK146=0,-1,DK$6-INDEX('Lease Cycles'!$BG$16:$BM$16,1,DK146))</f>
        <v>38</v>
      </c>
      <c r="DL147" s="25">
        <f>IF(DL146=0,-1,DL$6-INDEX('Lease Cycles'!$BG$16:$BM$16,1,DL146))</f>
        <v>39</v>
      </c>
      <c r="DM147" s="25">
        <f>IF(DM146=0,-1,DM$6-INDEX('Lease Cycles'!$BG$16:$BM$16,1,DM146))</f>
        <v>40</v>
      </c>
      <c r="DN147" s="25">
        <f>IF(DN146=0,-1,DN$6-INDEX('Lease Cycles'!$BG$16:$BM$16,1,DN146))</f>
        <v>41</v>
      </c>
      <c r="DO147" s="25">
        <f>IF(DO146=0,-1,DO$6-INDEX('Lease Cycles'!$BG$16:$BM$16,1,DO146))</f>
        <v>42</v>
      </c>
      <c r="DP147" s="25">
        <f>IF(DP146=0,-1,DP$6-INDEX('Lease Cycles'!$BG$16:$BM$16,1,DP146))</f>
        <v>43</v>
      </c>
      <c r="DQ147" s="25">
        <f>IF(DQ146=0,-1,DQ$6-INDEX('Lease Cycles'!$BG$16:$BM$16,1,DQ146))</f>
        <v>44</v>
      </c>
      <c r="DR147" s="25">
        <f>IF(DR146=0,-1,DR$6-INDEX('Lease Cycles'!$BG$16:$BM$16,1,DR146))</f>
        <v>45</v>
      </c>
      <c r="DS147" s="25">
        <f>IF(DS146=0,-1,DS$6-INDEX('Lease Cycles'!$BG$16:$BM$16,1,DS146))</f>
        <v>46</v>
      </c>
      <c r="DT147" s="25">
        <f>IF(DT146=0,-1,DT$6-INDEX('Lease Cycles'!$BG$16:$BM$16,1,DT146))</f>
        <v>47</v>
      </c>
      <c r="DU147" s="25">
        <f>IF(DU146=0,-1,DU$6-INDEX('Lease Cycles'!$BG$16:$BM$16,1,DU146))</f>
        <v>48</v>
      </c>
      <c r="DV147" s="25">
        <f>IF(DV146=0,-1,DV$6-INDEX('Lease Cycles'!$BG$16:$BM$16,1,DV146))</f>
        <v>49</v>
      </c>
      <c r="DW147" s="25">
        <f>IF(DW146=0,-1,DW$6-INDEX('Lease Cycles'!$BG$16:$BM$16,1,DW146))</f>
        <v>50</v>
      </c>
      <c r="DX147" s="25">
        <f>IF(DX146=0,-1,DX$6-INDEX('Lease Cycles'!$BG$16:$BM$16,1,DX146))</f>
        <v>51</v>
      </c>
      <c r="DY147" s="25">
        <f>IF(DY146=0,-1,DY$6-INDEX('Lease Cycles'!$BG$16:$BM$16,1,DY146))</f>
        <v>52</v>
      </c>
      <c r="DZ147" s="25">
        <f>IF(DZ146=0,-1,DZ$6-INDEX('Lease Cycles'!$BG$16:$BM$16,1,DZ146))</f>
        <v>53</v>
      </c>
      <c r="EA147" s="25">
        <f>IF(EA146=0,-1,EA$6-INDEX('Lease Cycles'!$BG$16:$BM$16,1,EA146))</f>
        <v>54</v>
      </c>
      <c r="EB147" s="25">
        <f>IF(EB146=0,-1,EB$6-INDEX('Lease Cycles'!$BG$16:$BM$16,1,EB146))</f>
        <v>55</v>
      </c>
      <c r="EC147" s="25">
        <f>IF(EC146=0,-1,EC$6-INDEX('Lease Cycles'!$BG$16:$BM$16,1,EC146))</f>
        <v>56</v>
      </c>
      <c r="ED147" s="25">
        <f>IF(ED146=0,-1,ED$6-INDEX('Lease Cycles'!$BG$16:$BM$16,1,ED146))</f>
        <v>57</v>
      </c>
      <c r="EE147" s="25">
        <f>IF(EE146=0,-1,EE$6-INDEX('Lease Cycles'!$BG$16:$BM$16,1,EE146))</f>
        <v>58</v>
      </c>
      <c r="EF147" s="25">
        <f>IF(EF146=0,-1,EF$6-INDEX('Lease Cycles'!$BG$16:$BM$16,1,EF146))</f>
        <v>59</v>
      </c>
      <c r="EG147" s="25">
        <f>IF(EG146=0,-1,EG$6-INDEX('Lease Cycles'!$BG$16:$BM$16,1,EG146))</f>
        <v>60</v>
      </c>
      <c r="EH147" s="25">
        <f>IF(EH146=0,-1,EH$6-INDEX('Lease Cycles'!$BG$16:$BM$16,1,EH146))</f>
        <v>61</v>
      </c>
      <c r="EI147" s="25">
        <f>IF(EI146=0,-1,EI$6-INDEX('Lease Cycles'!$BG$16:$BM$16,1,EI146))</f>
        <v>62</v>
      </c>
      <c r="EJ147" s="25">
        <f>IF(EJ146=0,-1,EJ$6-INDEX('Lease Cycles'!$BG$16:$BM$16,1,EJ146))</f>
        <v>63</v>
      </c>
      <c r="EK147" s="25">
        <f>IF(EK146=0,-1,EK$6-INDEX('Lease Cycles'!$BG$16:$BM$16,1,EK146))</f>
        <v>64</v>
      </c>
      <c r="EL147" s="25">
        <f>IF(EL146=0,-1,EL$6-INDEX('Lease Cycles'!$BG$16:$BM$16,1,EL146))</f>
        <v>65</v>
      </c>
      <c r="EM147" s="25">
        <f>IF(EM146=0,-1,EM$6-INDEX('Lease Cycles'!$BG$16:$BM$16,1,EM146))</f>
        <v>66</v>
      </c>
      <c r="EN147" s="25">
        <f>IF(EN146=0,-1,EN$6-INDEX('Lease Cycles'!$BG$16:$BM$16,1,EN146))</f>
        <v>67</v>
      </c>
      <c r="EO147" s="25">
        <f>IF(EO146=0,-1,EO$6-INDEX('Lease Cycles'!$BG$16:$BM$16,1,EO146))</f>
        <v>68</v>
      </c>
      <c r="EP147" s="25">
        <f>IF(EP146=0,-1,EP$6-INDEX('Lease Cycles'!$BG$16:$BM$16,1,EP146))</f>
        <v>69</v>
      </c>
      <c r="EQ147" s="25">
        <f>IF(EQ146=0,-1,EQ$6-INDEX('Lease Cycles'!$BG$16:$BM$16,1,EQ146))</f>
        <v>70</v>
      </c>
      <c r="ER147" s="25">
        <f>IF(ER146=0,-1,ER$6-INDEX('Lease Cycles'!$BG$16:$BM$16,1,ER146))</f>
        <v>71</v>
      </c>
      <c r="ES147" s="25">
        <f>IF(ES146=0,-1,ES$6-INDEX('Lease Cycles'!$BG$16:$BM$16,1,ES146))</f>
        <v>72</v>
      </c>
      <c r="ET147" s="25">
        <f>IF(ET146=0,-1,ET$6-INDEX('Lease Cycles'!$BG$16:$BM$16,1,ET146))</f>
        <v>73</v>
      </c>
    </row>
    <row r="148">
      <c r="A148" s="103">
        <v>9</v>
      </c>
      <c r="B148" s="23" t="str">
        <f>IF('Lease Cycles'!$B$16="","(empty slot)",'Lease Cycles'!$B$16)</f>
        <v>Sunfield Office Suite</v>
      </c>
      <c r="C148" s="23" t="s">
        <v>675</v>
      </c>
      <c r="D148" s="104" t="s">
        <v>676</v>
      </c>
      <c r="E148" s="25">
        <f>'Lease Cycles'!$AL$16</f>
        <v>0</v>
      </c>
      <c r="S148" s="25">
        <f>IF(S146=0,0,IF(S147&lt;INDEX('Lease Cycles'!$BN$16:$BT$16,1,S146),1,0))</f>
        <v>1</v>
      </c>
      <c r="T148" s="25">
        <f>IF(T146=0,0,IF(T147&lt;INDEX('Lease Cycles'!$BN$16:$BT$16,1,T146),1,0))</f>
        <v>1</v>
      </c>
      <c r="U148" s="25">
        <f>IF(U146=0,0,IF(U147&lt;INDEX('Lease Cycles'!$BN$16:$BT$16,1,U146),1,0))</f>
        <v>1</v>
      </c>
      <c r="V148" s="25">
        <f>IF(V146=0,0,IF(V147&lt;INDEX('Lease Cycles'!$BN$16:$BT$16,1,V146),1,0))</f>
        <v>1</v>
      </c>
      <c r="W148" s="25">
        <f>IF(W146=0,0,IF(W147&lt;INDEX('Lease Cycles'!$BN$16:$BT$16,1,W146),1,0))</f>
        <v>1</v>
      </c>
      <c r="X148" s="25">
        <f>IF(X146=0,0,IF(X147&lt;INDEX('Lease Cycles'!$BN$16:$BT$16,1,X146),1,0))</f>
        <v>1</v>
      </c>
      <c r="Y148" s="25">
        <f>IF(Y146=0,0,IF(Y147&lt;INDEX('Lease Cycles'!$BN$16:$BT$16,1,Y146),1,0))</f>
        <v>1</v>
      </c>
      <c r="Z148" s="25">
        <f>IF(Z146=0,0,IF(Z147&lt;INDEX('Lease Cycles'!$BN$16:$BT$16,1,Z146),1,0))</f>
        <v>1</v>
      </c>
      <c r="AA148" s="25">
        <f>IF(AA146=0,0,IF(AA147&lt;INDEX('Lease Cycles'!$BN$16:$BT$16,1,AA146),1,0))</f>
        <v>1</v>
      </c>
      <c r="AB148" s="25">
        <f>IF(AB146=0,0,IF(AB147&lt;INDEX('Lease Cycles'!$BN$16:$BT$16,1,AB146),1,0))</f>
        <v>1</v>
      </c>
      <c r="AC148" s="25">
        <f>IF(AC146=0,0,IF(AC147&lt;INDEX('Lease Cycles'!$BN$16:$BT$16,1,AC146),1,0))</f>
        <v>1</v>
      </c>
      <c r="AD148" s="25">
        <f>IF(AD146=0,0,IF(AD147&lt;INDEX('Lease Cycles'!$BN$16:$BT$16,1,AD146),1,0))</f>
        <v>1</v>
      </c>
      <c r="AE148" s="25">
        <f>IF(AE146=0,0,IF(AE147&lt;INDEX('Lease Cycles'!$BN$16:$BT$16,1,AE146),1,0))</f>
        <v>1</v>
      </c>
      <c r="AF148" s="25">
        <f>IF(AF146=0,0,IF(AF147&lt;INDEX('Lease Cycles'!$BN$16:$BT$16,1,AF146),1,0))</f>
        <v>1</v>
      </c>
      <c r="AG148" s="25">
        <f>IF(AG146=0,0,IF(AG147&lt;INDEX('Lease Cycles'!$BN$16:$BT$16,1,AG146),1,0))</f>
        <v>1</v>
      </c>
      <c r="AH148" s="25">
        <f>IF(AH146=0,0,IF(AH147&lt;INDEX('Lease Cycles'!$BN$16:$BT$16,1,AH146),1,0))</f>
        <v>1</v>
      </c>
      <c r="AI148" s="25">
        <f>IF(AI146=0,0,IF(AI147&lt;INDEX('Lease Cycles'!$BN$16:$BT$16,1,AI146),1,0))</f>
        <v>1</v>
      </c>
      <c r="AJ148" s="25">
        <f>IF(AJ146=0,0,IF(AJ147&lt;INDEX('Lease Cycles'!$BN$16:$BT$16,1,AJ146),1,0))</f>
        <v>1</v>
      </c>
      <c r="AK148" s="25">
        <f>IF(AK146=0,0,IF(AK147&lt;INDEX('Lease Cycles'!$BN$16:$BT$16,1,AK146),1,0))</f>
        <v>1</v>
      </c>
      <c r="AL148" s="25">
        <f>IF(AL146=0,0,IF(AL147&lt;INDEX('Lease Cycles'!$BN$16:$BT$16,1,AL146),1,0))</f>
        <v>1</v>
      </c>
      <c r="AM148" s="25">
        <f>IF(AM146=0,0,IF(AM147&lt;INDEX('Lease Cycles'!$BN$16:$BT$16,1,AM146),1,0))</f>
        <v>1</v>
      </c>
      <c r="AN148" s="25">
        <f>IF(AN146=0,0,IF(AN147&lt;INDEX('Lease Cycles'!$BN$16:$BT$16,1,AN146),1,0))</f>
        <v>1</v>
      </c>
      <c r="AO148" s="25">
        <f>IF(AO146=0,0,IF(AO147&lt;INDEX('Lease Cycles'!$BN$16:$BT$16,1,AO146),1,0))</f>
        <v>1</v>
      </c>
      <c r="AP148" s="25">
        <f>IF(AP146=0,0,IF(AP147&lt;INDEX('Lease Cycles'!$BN$16:$BT$16,1,AP146),1,0))</f>
        <v>1</v>
      </c>
      <c r="AQ148" s="25">
        <f>IF(AQ146=0,0,IF(AQ147&lt;INDEX('Lease Cycles'!$BN$16:$BT$16,1,AQ146),1,0))</f>
        <v>1</v>
      </c>
      <c r="AR148" s="25">
        <f>IF(AR146=0,0,IF(AR147&lt;INDEX('Lease Cycles'!$BN$16:$BT$16,1,AR146),1,0))</f>
        <v>1</v>
      </c>
      <c r="AS148" s="25">
        <f>IF(AS146=0,0,IF(AS147&lt;INDEX('Lease Cycles'!$BN$16:$BT$16,1,AS146),1,0))</f>
        <v>1</v>
      </c>
      <c r="AT148" s="25">
        <f>IF(AT146=0,0,IF(AT147&lt;INDEX('Lease Cycles'!$BN$16:$BT$16,1,AT146),1,0))</f>
        <v>1</v>
      </c>
      <c r="AU148" s="25">
        <f>IF(AU146=0,0,IF(AU147&lt;INDEX('Lease Cycles'!$BN$16:$BT$16,1,AU146),1,0))</f>
        <v>1</v>
      </c>
      <c r="AV148" s="25">
        <f>IF(AV146=0,0,IF(AV147&lt;INDEX('Lease Cycles'!$BN$16:$BT$16,1,AV146),1,0))</f>
        <v>1</v>
      </c>
      <c r="AW148" s="25">
        <f>IF(AW146=0,0,IF(AW147&lt;INDEX('Lease Cycles'!$BN$16:$BT$16,1,AW146),1,0))</f>
        <v>1</v>
      </c>
      <c r="AX148" s="25">
        <f>IF(AX146=0,0,IF(AX147&lt;INDEX('Lease Cycles'!$BN$16:$BT$16,1,AX146),1,0))</f>
        <v>1</v>
      </c>
      <c r="AY148" s="25">
        <f>IF(AY146=0,0,IF(AY147&lt;INDEX('Lease Cycles'!$BN$16:$BT$16,1,AY146),1,0))</f>
        <v>1</v>
      </c>
      <c r="AZ148" s="25">
        <f>IF(AZ146=0,0,IF(AZ147&lt;INDEX('Lease Cycles'!$BN$16:$BT$16,1,AZ146),1,0))</f>
        <v>1</v>
      </c>
      <c r="BA148" s="25">
        <f>IF(BA146=0,0,IF(BA147&lt;INDEX('Lease Cycles'!$BN$16:$BT$16,1,BA146),1,0))</f>
        <v>1</v>
      </c>
      <c r="BB148" s="25">
        <f>IF(BB146=0,0,IF(BB147&lt;INDEX('Lease Cycles'!$BN$16:$BT$16,1,BB146),1,0))</f>
        <v>1</v>
      </c>
      <c r="BC148" s="25">
        <f>IF(BC146=0,0,IF(BC147&lt;INDEX('Lease Cycles'!$BN$16:$BT$16,1,BC146),1,0))</f>
        <v>1</v>
      </c>
      <c r="BD148" s="25">
        <f>IF(BD146=0,0,IF(BD147&lt;INDEX('Lease Cycles'!$BN$16:$BT$16,1,BD146),1,0))</f>
        <v>1</v>
      </c>
      <c r="BE148" s="25">
        <f>IF(BE146=0,0,IF(BE147&lt;INDEX('Lease Cycles'!$BN$16:$BT$16,1,BE146),1,0))</f>
        <v>1</v>
      </c>
      <c r="BF148" s="25">
        <f>IF(BF146=0,0,IF(BF147&lt;INDEX('Lease Cycles'!$BN$16:$BT$16,1,BF146),1,0))</f>
        <v>1</v>
      </c>
      <c r="BG148" s="25">
        <f>IF(BG146=0,0,IF(BG147&lt;INDEX('Lease Cycles'!$BN$16:$BT$16,1,BG146),1,0))</f>
        <v>1</v>
      </c>
      <c r="BH148" s="25">
        <f>IF(BH146=0,0,IF(BH147&lt;INDEX('Lease Cycles'!$BN$16:$BT$16,1,BH146),1,0))</f>
        <v>1</v>
      </c>
      <c r="BI148" s="25">
        <f>IF(BI146=0,0,IF(BI147&lt;INDEX('Lease Cycles'!$BN$16:$BT$16,1,BI146),1,0))</f>
        <v>1</v>
      </c>
      <c r="BJ148" s="25">
        <f>IF(BJ146=0,0,IF(BJ147&lt;INDEX('Lease Cycles'!$BN$16:$BT$16,1,BJ146),1,0))</f>
        <v>1</v>
      </c>
      <c r="BK148" s="25">
        <f>IF(BK146=0,0,IF(BK147&lt;INDEX('Lease Cycles'!$BN$16:$BT$16,1,BK146),1,0))</f>
        <v>1</v>
      </c>
      <c r="BL148" s="25">
        <f>IF(BL146=0,0,IF(BL147&lt;INDEX('Lease Cycles'!$BN$16:$BT$16,1,BL146),1,0))</f>
        <v>1</v>
      </c>
      <c r="BM148" s="25">
        <f>IF(BM146=0,0,IF(BM147&lt;INDEX('Lease Cycles'!$BN$16:$BT$16,1,BM146),1,0))</f>
        <v>1</v>
      </c>
      <c r="BN148" s="25">
        <f>IF(BN146=0,0,IF(BN147&lt;INDEX('Lease Cycles'!$BN$16:$BT$16,1,BN146),1,0))</f>
        <v>1</v>
      </c>
      <c r="BO148" s="25">
        <f>IF(BO146=0,0,IF(BO147&lt;INDEX('Lease Cycles'!$BN$16:$BT$16,1,BO146),1,0))</f>
        <v>1</v>
      </c>
      <c r="BP148" s="25">
        <f>IF(BP146=0,0,IF(BP147&lt;INDEX('Lease Cycles'!$BN$16:$BT$16,1,BP146),1,0))</f>
        <v>1</v>
      </c>
      <c r="BQ148" s="25">
        <f>IF(BQ146=0,0,IF(BQ147&lt;INDEX('Lease Cycles'!$BN$16:$BT$16,1,BQ146),1,0))</f>
        <v>1</v>
      </c>
      <c r="BR148" s="25">
        <f>IF(BR146=0,0,IF(BR147&lt;INDEX('Lease Cycles'!$BN$16:$BT$16,1,BR146),1,0))</f>
        <v>1</v>
      </c>
      <c r="BS148" s="25">
        <f>IF(BS146=0,0,IF(BS147&lt;INDEX('Lease Cycles'!$BN$16:$BT$16,1,BS146),1,0))</f>
        <v>1</v>
      </c>
      <c r="BT148" s="25">
        <f>IF(BT146=0,0,IF(BT147&lt;INDEX('Lease Cycles'!$BN$16:$BT$16,1,BT146),1,0))</f>
        <v>1</v>
      </c>
      <c r="BU148" s="25">
        <f>IF(BU146=0,0,IF(BU147&lt;INDEX('Lease Cycles'!$BN$16:$BT$16,1,BU146),1,0))</f>
        <v>1</v>
      </c>
      <c r="BV148" s="25">
        <f>IF(BV146=0,0,IF(BV147&lt;INDEX('Lease Cycles'!$BN$16:$BT$16,1,BV146),1,0))</f>
        <v>1</v>
      </c>
      <c r="BW148" s="25">
        <f>IF(BW146=0,0,IF(BW147&lt;INDEX('Lease Cycles'!$BN$16:$BT$16,1,BW146),1,0))</f>
        <v>1</v>
      </c>
      <c r="BX148" s="25">
        <f>IF(BX146=0,0,IF(BX147&lt;INDEX('Lease Cycles'!$BN$16:$BT$16,1,BX146),1,0))</f>
        <v>0</v>
      </c>
      <c r="BY148" s="25">
        <f>IF(BY146=0,0,IF(BY147&lt;INDEX('Lease Cycles'!$BN$16:$BT$16,1,BY146),1,0))</f>
        <v>1</v>
      </c>
      <c r="BZ148" s="25">
        <f>IF(BZ146=0,0,IF(BZ147&lt;INDEX('Lease Cycles'!$BN$16:$BT$16,1,BZ146),1,0))</f>
        <v>1</v>
      </c>
      <c r="CA148" s="25">
        <f>IF(CA146=0,0,IF(CA147&lt;INDEX('Lease Cycles'!$BN$16:$BT$16,1,CA146),1,0))</f>
        <v>1</v>
      </c>
      <c r="CB148" s="25">
        <f>IF(CB146=0,0,IF(CB147&lt;INDEX('Lease Cycles'!$BN$16:$BT$16,1,CB146),1,0))</f>
        <v>1</v>
      </c>
      <c r="CC148" s="25">
        <f>IF(CC146=0,0,IF(CC147&lt;INDEX('Lease Cycles'!$BN$16:$BT$16,1,CC146),1,0))</f>
        <v>1</v>
      </c>
      <c r="CD148" s="25">
        <f>IF(CD146=0,0,IF(CD147&lt;INDEX('Lease Cycles'!$BN$16:$BT$16,1,CD146),1,0))</f>
        <v>1</v>
      </c>
      <c r="CE148" s="25">
        <f>IF(CE146=0,0,IF(CE147&lt;INDEX('Lease Cycles'!$BN$16:$BT$16,1,CE146),1,0))</f>
        <v>1</v>
      </c>
      <c r="CF148" s="25">
        <f>IF(CF146=0,0,IF(CF147&lt;INDEX('Lease Cycles'!$BN$16:$BT$16,1,CF146),1,0))</f>
        <v>1</v>
      </c>
      <c r="CG148" s="25">
        <f>IF(CG146=0,0,IF(CG147&lt;INDEX('Lease Cycles'!$BN$16:$BT$16,1,CG146),1,0))</f>
        <v>1</v>
      </c>
      <c r="CH148" s="25">
        <f>IF(CH146=0,0,IF(CH147&lt;INDEX('Lease Cycles'!$BN$16:$BT$16,1,CH146),1,0))</f>
        <v>1</v>
      </c>
      <c r="CI148" s="25">
        <f>IF(CI146=0,0,IF(CI147&lt;INDEX('Lease Cycles'!$BN$16:$BT$16,1,CI146),1,0))</f>
        <v>1</v>
      </c>
      <c r="CJ148" s="25">
        <f>IF(CJ146=0,0,IF(CJ147&lt;INDEX('Lease Cycles'!$BN$16:$BT$16,1,CJ146),1,0))</f>
        <v>1</v>
      </c>
      <c r="CK148" s="25">
        <f>IF(CK146=0,0,IF(CK147&lt;INDEX('Lease Cycles'!$BN$16:$BT$16,1,CK146),1,0))</f>
        <v>1</v>
      </c>
      <c r="CL148" s="25">
        <f>IF(CL146=0,0,IF(CL147&lt;INDEX('Lease Cycles'!$BN$16:$BT$16,1,CL146),1,0))</f>
        <v>1</v>
      </c>
      <c r="CM148" s="25">
        <f>IF(CM146=0,0,IF(CM147&lt;INDEX('Lease Cycles'!$BN$16:$BT$16,1,CM146),1,0))</f>
        <v>1</v>
      </c>
      <c r="CN148" s="25">
        <f>IF(CN146=0,0,IF(CN147&lt;INDEX('Lease Cycles'!$BN$16:$BT$16,1,CN146),1,0))</f>
        <v>1</v>
      </c>
      <c r="CO148" s="25">
        <f>IF(CO146=0,0,IF(CO147&lt;INDEX('Lease Cycles'!$BN$16:$BT$16,1,CO146),1,0))</f>
        <v>1</v>
      </c>
      <c r="CP148" s="25">
        <f>IF(CP146=0,0,IF(CP147&lt;INDEX('Lease Cycles'!$BN$16:$BT$16,1,CP146),1,0))</f>
        <v>1</v>
      </c>
      <c r="CQ148" s="25">
        <f>IF(CQ146=0,0,IF(CQ147&lt;INDEX('Lease Cycles'!$BN$16:$BT$16,1,CQ146),1,0))</f>
        <v>1</v>
      </c>
      <c r="CR148" s="25">
        <f>IF(CR146=0,0,IF(CR147&lt;INDEX('Lease Cycles'!$BN$16:$BT$16,1,CR146),1,0))</f>
        <v>1</v>
      </c>
      <c r="CS148" s="25">
        <f>IF(CS146=0,0,IF(CS147&lt;INDEX('Lease Cycles'!$BN$16:$BT$16,1,CS146),1,0))</f>
        <v>1</v>
      </c>
      <c r="CT148" s="25">
        <f>IF(CT146=0,0,IF(CT147&lt;INDEX('Lease Cycles'!$BN$16:$BT$16,1,CT146),1,0))</f>
        <v>1</v>
      </c>
      <c r="CU148" s="25">
        <f>IF(CU146=0,0,IF(CU147&lt;INDEX('Lease Cycles'!$BN$16:$BT$16,1,CU146),1,0))</f>
        <v>1</v>
      </c>
      <c r="CV148" s="25">
        <f>IF(CV146=0,0,IF(CV147&lt;INDEX('Lease Cycles'!$BN$16:$BT$16,1,CV146),1,0))</f>
        <v>1</v>
      </c>
      <c r="CW148" s="25">
        <f>IF(CW146=0,0,IF(CW147&lt;INDEX('Lease Cycles'!$BN$16:$BT$16,1,CW146),1,0))</f>
        <v>1</v>
      </c>
      <c r="CX148" s="25">
        <f>IF(CX146=0,0,IF(CX147&lt;INDEX('Lease Cycles'!$BN$16:$BT$16,1,CX146),1,0))</f>
        <v>1</v>
      </c>
      <c r="CY148" s="25">
        <f>IF(CY146=0,0,IF(CY147&lt;INDEX('Lease Cycles'!$BN$16:$BT$16,1,CY146),1,0))</f>
        <v>1</v>
      </c>
      <c r="CZ148" s="25">
        <f>IF(CZ146=0,0,IF(CZ147&lt;INDEX('Lease Cycles'!$BN$16:$BT$16,1,CZ146),1,0))</f>
        <v>1</v>
      </c>
      <c r="DA148" s="25">
        <f>IF(DA146=0,0,IF(DA147&lt;INDEX('Lease Cycles'!$BN$16:$BT$16,1,DA146),1,0))</f>
        <v>1</v>
      </c>
      <c r="DB148" s="25">
        <f>IF(DB146=0,0,IF(DB147&lt;INDEX('Lease Cycles'!$BN$16:$BT$16,1,DB146),1,0))</f>
        <v>1</v>
      </c>
      <c r="DC148" s="25">
        <f>IF(DC146=0,0,IF(DC147&lt;INDEX('Lease Cycles'!$BN$16:$BT$16,1,DC146),1,0))</f>
        <v>1</v>
      </c>
      <c r="DD148" s="25">
        <f>IF(DD146=0,0,IF(DD147&lt;INDEX('Lease Cycles'!$BN$16:$BT$16,1,DD146),1,0))</f>
        <v>1</v>
      </c>
      <c r="DE148" s="25">
        <f>IF(DE146=0,0,IF(DE147&lt;INDEX('Lease Cycles'!$BN$16:$BT$16,1,DE146),1,0))</f>
        <v>1</v>
      </c>
      <c r="DF148" s="25">
        <f>IF(DF146=0,0,IF(DF147&lt;INDEX('Lease Cycles'!$BN$16:$BT$16,1,DF146),1,0))</f>
        <v>1</v>
      </c>
      <c r="DG148" s="25">
        <f>IF(DG146=0,0,IF(DG147&lt;INDEX('Lease Cycles'!$BN$16:$BT$16,1,DG146),1,0))</f>
        <v>1</v>
      </c>
      <c r="DH148" s="25">
        <f>IF(DH146=0,0,IF(DH147&lt;INDEX('Lease Cycles'!$BN$16:$BT$16,1,DH146),1,0))</f>
        <v>1</v>
      </c>
      <c r="DI148" s="25">
        <f>IF(DI146=0,0,IF(DI147&lt;INDEX('Lease Cycles'!$BN$16:$BT$16,1,DI146),1,0))</f>
        <v>1</v>
      </c>
      <c r="DJ148" s="25">
        <f>IF(DJ146=0,0,IF(DJ147&lt;INDEX('Lease Cycles'!$BN$16:$BT$16,1,DJ146),1,0))</f>
        <v>1</v>
      </c>
      <c r="DK148" s="25">
        <f>IF(DK146=0,0,IF(DK147&lt;INDEX('Lease Cycles'!$BN$16:$BT$16,1,DK146),1,0))</f>
        <v>1</v>
      </c>
      <c r="DL148" s="25">
        <f>IF(DL146=0,0,IF(DL147&lt;INDEX('Lease Cycles'!$BN$16:$BT$16,1,DL146),1,0))</f>
        <v>1</v>
      </c>
      <c r="DM148" s="25">
        <f>IF(DM146=0,0,IF(DM147&lt;INDEX('Lease Cycles'!$BN$16:$BT$16,1,DM146),1,0))</f>
        <v>1</v>
      </c>
      <c r="DN148" s="25">
        <f>IF(DN146=0,0,IF(DN147&lt;INDEX('Lease Cycles'!$BN$16:$BT$16,1,DN146),1,0))</f>
        <v>1</v>
      </c>
      <c r="DO148" s="25">
        <f>IF(DO146=0,0,IF(DO147&lt;INDEX('Lease Cycles'!$BN$16:$BT$16,1,DO146),1,0))</f>
        <v>1</v>
      </c>
      <c r="DP148" s="25">
        <f>IF(DP146=0,0,IF(DP147&lt;INDEX('Lease Cycles'!$BN$16:$BT$16,1,DP146),1,0))</f>
        <v>1</v>
      </c>
      <c r="DQ148" s="25">
        <f>IF(DQ146=0,0,IF(DQ147&lt;INDEX('Lease Cycles'!$BN$16:$BT$16,1,DQ146),1,0))</f>
        <v>1</v>
      </c>
      <c r="DR148" s="25">
        <f>IF(DR146=0,0,IF(DR147&lt;INDEX('Lease Cycles'!$BN$16:$BT$16,1,DR146),1,0))</f>
        <v>1</v>
      </c>
      <c r="DS148" s="25">
        <f>IF(DS146=0,0,IF(DS147&lt;INDEX('Lease Cycles'!$BN$16:$BT$16,1,DS146),1,0))</f>
        <v>1</v>
      </c>
      <c r="DT148" s="25">
        <f>IF(DT146=0,0,IF(DT147&lt;INDEX('Lease Cycles'!$BN$16:$BT$16,1,DT146),1,0))</f>
        <v>1</v>
      </c>
      <c r="DU148" s="25">
        <f>IF(DU146=0,0,IF(DU147&lt;INDEX('Lease Cycles'!$BN$16:$BT$16,1,DU146),1,0))</f>
        <v>1</v>
      </c>
      <c r="DV148" s="25">
        <f>IF(DV146=0,0,IF(DV147&lt;INDEX('Lease Cycles'!$BN$16:$BT$16,1,DV146),1,0))</f>
        <v>1</v>
      </c>
      <c r="DW148" s="25">
        <f>IF(DW146=0,0,IF(DW147&lt;INDEX('Lease Cycles'!$BN$16:$BT$16,1,DW146),1,0))</f>
        <v>1</v>
      </c>
      <c r="DX148" s="25">
        <f>IF(DX146=0,0,IF(DX147&lt;INDEX('Lease Cycles'!$BN$16:$BT$16,1,DX146),1,0))</f>
        <v>1</v>
      </c>
      <c r="DY148" s="25">
        <f>IF(DY146=0,0,IF(DY147&lt;INDEX('Lease Cycles'!$BN$16:$BT$16,1,DY146),1,0))</f>
        <v>1</v>
      </c>
      <c r="DZ148" s="25">
        <f>IF(DZ146=0,0,IF(DZ147&lt;INDEX('Lease Cycles'!$BN$16:$BT$16,1,DZ146),1,0))</f>
        <v>1</v>
      </c>
      <c r="EA148" s="25">
        <f>IF(EA146=0,0,IF(EA147&lt;INDEX('Lease Cycles'!$BN$16:$BT$16,1,EA146),1,0))</f>
        <v>1</v>
      </c>
      <c r="EB148" s="25">
        <f>IF(EB146=0,0,IF(EB147&lt;INDEX('Lease Cycles'!$BN$16:$BT$16,1,EB146),1,0))</f>
        <v>1</v>
      </c>
      <c r="EC148" s="25">
        <f>IF(EC146=0,0,IF(EC147&lt;INDEX('Lease Cycles'!$BN$16:$BT$16,1,EC146),1,0))</f>
        <v>1</v>
      </c>
      <c r="ED148" s="25">
        <f>IF(ED146=0,0,IF(ED147&lt;INDEX('Lease Cycles'!$BN$16:$BT$16,1,ED146),1,0))</f>
        <v>1</v>
      </c>
      <c r="EE148" s="25">
        <f>IF(EE146=0,0,IF(EE147&lt;INDEX('Lease Cycles'!$BN$16:$BT$16,1,EE146),1,0))</f>
        <v>1</v>
      </c>
      <c r="EF148" s="25">
        <f>IF(EF146=0,0,IF(EF147&lt;INDEX('Lease Cycles'!$BN$16:$BT$16,1,EF146),1,0))</f>
        <v>1</v>
      </c>
      <c r="EG148" s="25">
        <f>IF(EG146=0,0,IF(EG147&lt;INDEX('Lease Cycles'!$BN$16:$BT$16,1,EG146),1,0))</f>
        <v>1</v>
      </c>
      <c r="EH148" s="25">
        <f>IF(EH146=0,0,IF(EH147&lt;INDEX('Lease Cycles'!$BN$16:$BT$16,1,EH146),1,0))</f>
        <v>1</v>
      </c>
      <c r="EI148" s="25">
        <f>IF(EI146=0,0,IF(EI147&lt;INDEX('Lease Cycles'!$BN$16:$BT$16,1,EI146),1,0))</f>
        <v>1</v>
      </c>
      <c r="EJ148" s="25">
        <f>IF(EJ146=0,0,IF(EJ147&lt;INDEX('Lease Cycles'!$BN$16:$BT$16,1,EJ146),1,0))</f>
        <v>1</v>
      </c>
      <c r="EK148" s="25">
        <f>IF(EK146=0,0,IF(EK147&lt;INDEX('Lease Cycles'!$BN$16:$BT$16,1,EK146),1,0))</f>
        <v>1</v>
      </c>
      <c r="EL148" s="25">
        <f>IF(EL146=0,0,IF(EL147&lt;INDEX('Lease Cycles'!$BN$16:$BT$16,1,EL146),1,0))</f>
        <v>1</v>
      </c>
      <c r="EM148" s="25">
        <f>IF(EM146=0,0,IF(EM147&lt;INDEX('Lease Cycles'!$BN$16:$BT$16,1,EM146),1,0))</f>
        <v>1</v>
      </c>
      <c r="EN148" s="25">
        <f>IF(EN146=0,0,IF(EN147&lt;INDEX('Lease Cycles'!$BN$16:$BT$16,1,EN146),1,0))</f>
        <v>1</v>
      </c>
      <c r="EO148" s="25">
        <f>IF(EO146=0,0,IF(EO147&lt;INDEX('Lease Cycles'!$BN$16:$BT$16,1,EO146),1,0))</f>
        <v>1</v>
      </c>
      <c r="EP148" s="25">
        <f>IF(EP146=0,0,IF(EP147&lt;INDEX('Lease Cycles'!$BN$16:$BT$16,1,EP146),1,0))</f>
        <v>1</v>
      </c>
      <c r="EQ148" s="25">
        <f>IF(EQ146=0,0,IF(EQ147&lt;INDEX('Lease Cycles'!$BN$16:$BT$16,1,EQ146),1,0))</f>
        <v>1</v>
      </c>
      <c r="ER148" s="25">
        <f>IF(ER146=0,0,IF(ER147&lt;INDEX('Lease Cycles'!$BN$16:$BT$16,1,ER146),1,0))</f>
        <v>1</v>
      </c>
      <c r="ES148" s="25">
        <f>IF(ES146=0,0,IF(ES147&lt;INDEX('Lease Cycles'!$BN$16:$BT$16,1,ES146),1,0))</f>
        <v>1</v>
      </c>
      <c r="ET148" s="25">
        <f>IF(ET146=0,0,IF(ET147&lt;INDEX('Lease Cycles'!$BN$16:$BT$16,1,ET146),1,0))</f>
        <v>1</v>
      </c>
    </row>
    <row r="149">
      <c r="A149" s="103">
        <v>9</v>
      </c>
      <c r="B149" s="23" t="str">
        <f>IF('Lease Cycles'!$B$16="","(empty slot)",'Lease Cycles'!$B$16)</f>
        <v>Sunfield Office Suite</v>
      </c>
      <c r="C149" s="23" t="s">
        <v>677</v>
      </c>
      <c r="D149" s="104" t="s">
        <v>678</v>
      </c>
      <c r="E149" s="25">
        <f>'Lease Cycles'!$AL$16</f>
        <v>0</v>
      </c>
      <c r="S149" s="28">
        <f>IF(S146=0,IF('Lease Cycles'!$F$16&gt;0,'Lease Cycles'!$C$16*'Lease Cycles'!$E$16/12,0),IF(S148=1,IF('Lease Cycles'!$AT$16&gt;=9999,'Lease Cycles'!$C$16*INDEX('Lease Cycles'!$CB$16:$CH$16,1,S146)*(1+INDEX('Lease Cycles'!$CI$16:$CO$16,1,S146))^INT(INT(S147/12)/INDEX('Lease Cycles'!$CP$16:$CV$16,1,S146))/12,IF(S146=1,IF(S147&gt;=INDEX('Lease Cycles'!$DK$16:$DQ$16,1,S146),IF(S$6&gt;='Lease Cycles'!$AZ$16,'Lease Cycles'!$C$16*'Lease Cycles'!$BA$16/12,IF(S$6&gt;='Lease Cycles'!$AX$16,'Lease Cycles'!$C$16*'Lease Cycles'!$AY$16/12,IF(S$6&gt;='Lease Cycles'!$AV$16,'Lease Cycles'!$C$16*'Lease Cycles'!$AW$16/12,IF(S$6&gt;='Lease Cycles'!$AT$16,'Lease Cycles'!$C$16*'Lease Cycles'!$AU$16/12,'Lease Cycles'!$C$16*INDEX('Lease Cycles'!$CB$16:$CH$16,1,S146)*(1+INDEX('Lease Cycles'!$CI$16:$CO$16,1,S146))^INT(INT(S147/12)/INDEX('Lease Cycles'!$CP$16:$CV$16,1,S146))/12)))),'Lease Cycles'!$C$16*INDEX('Lease Cycles'!$CB$16:$CH$16,1,S146)*(1+INDEX('Lease Cycles'!$CI$16:$CO$16,1,S146))^INT(INT(S147/12)/INDEX('Lease Cycles'!$CP$16:$CV$16,1,S146))/12),IF(INDEX('Lease Cycles'!$EF$16:$EL$16,1,S146)=1,IF(AND('Lease Cycles'!$AZ$16&gt;=INDEX('Lease Cycles'!$BG$16:$BM$16,1,S146),'Lease Cycles'!$AZ$16&lt;=S$6),'Lease Cycles'!$C$16*'Lease Cycles'!$BA$16/12,IF(AND('Lease Cycles'!$AX$16&gt;=INDEX('Lease Cycles'!$BG$16:$BM$16,1,S146),'Lease Cycles'!$AX$16&lt;=S$6),'Lease Cycles'!$C$16*'Lease Cycles'!$AY$16/12,IF(AND('Lease Cycles'!$AV$16&gt;=INDEX('Lease Cycles'!$BG$16:$BM$16,1,S146),'Lease Cycles'!$AV$16&lt;=S$6),'Lease Cycles'!$C$16*'Lease Cycles'!$AW$16/12,IF(AND('Lease Cycles'!$AT$16&gt;=INDEX('Lease Cycles'!$BG$16:$BM$16,1,S146),'Lease Cycles'!$AT$16&lt;=S$6),'Lease Cycles'!$C$16*'Lease Cycles'!$AU$16/12,'Lease Cycles'!$C$16*INDEX('Lease Cycles'!$CB$16:$CH$16,1,S146)*(1+INDEX('Lease Cycles'!$CI$16:$CO$16,1,S146))^INT(INT(S147/12)/INDEX('Lease Cycles'!$CP$16:$CV$16,1,S146))/12)))),'Lease Cycles'!$C$16*INDEX('Lease Cycles'!$CB$16:$CH$16,1,S146)*(1+INDEX('Lease Cycles'!$CI$16:$CO$16,1,S146))^INT(INT(S147/12)/INDEX('Lease Cycles'!$CP$16:$CV$16,1,S146))/12))),IF('Lease Cycles'!$N$16=1,'Lease Cycles'!$C$16*'Lease Cycles'!$E$16*INDEX('Lease Cycles'!$HE$16:$HK$16,1,S146)*(1+INDEX('Lease Cycles'!$GQ$16:$GW$16,1,S146))^INT(INT((S$6-INDEX('Lease Cycles'!$GJ$16:$GP$16,1,S146))/12)/INDEX('Lease Cycles'!$GX$16:$HD$16,1,S146))/12,0)))</f>
        <v>4400</v>
      </c>
      <c r="T149" s="28">
        <f>IF(T146=0,IF('Lease Cycles'!$F$16&gt;0,'Lease Cycles'!$C$16*'Lease Cycles'!$E$16/12,0),IF(T148=1,IF('Lease Cycles'!$AT$16&gt;=9999,'Lease Cycles'!$C$16*INDEX('Lease Cycles'!$CB$16:$CH$16,1,T146)*(1+INDEX('Lease Cycles'!$CI$16:$CO$16,1,T146))^INT(INT(T147/12)/INDEX('Lease Cycles'!$CP$16:$CV$16,1,T146))/12,IF(T146=1,IF(T147&gt;=INDEX('Lease Cycles'!$DK$16:$DQ$16,1,T146),IF(T$6&gt;='Lease Cycles'!$AZ$16,'Lease Cycles'!$C$16*'Lease Cycles'!$BA$16/12,IF(T$6&gt;='Lease Cycles'!$AX$16,'Lease Cycles'!$C$16*'Lease Cycles'!$AY$16/12,IF(T$6&gt;='Lease Cycles'!$AV$16,'Lease Cycles'!$C$16*'Lease Cycles'!$AW$16/12,IF(T$6&gt;='Lease Cycles'!$AT$16,'Lease Cycles'!$C$16*'Lease Cycles'!$AU$16/12,'Lease Cycles'!$C$16*INDEX('Lease Cycles'!$CB$16:$CH$16,1,T146)*(1+INDEX('Lease Cycles'!$CI$16:$CO$16,1,T146))^INT(INT(T147/12)/INDEX('Lease Cycles'!$CP$16:$CV$16,1,T146))/12)))),'Lease Cycles'!$C$16*INDEX('Lease Cycles'!$CB$16:$CH$16,1,T146)*(1+INDEX('Lease Cycles'!$CI$16:$CO$16,1,T146))^INT(INT(T147/12)/INDEX('Lease Cycles'!$CP$16:$CV$16,1,T146))/12),IF(INDEX('Lease Cycles'!$EF$16:$EL$16,1,T146)=1,IF(AND('Lease Cycles'!$AZ$16&gt;=INDEX('Lease Cycles'!$BG$16:$BM$16,1,T146),'Lease Cycles'!$AZ$16&lt;=T$6),'Lease Cycles'!$C$16*'Lease Cycles'!$BA$16/12,IF(AND('Lease Cycles'!$AX$16&gt;=INDEX('Lease Cycles'!$BG$16:$BM$16,1,T146),'Lease Cycles'!$AX$16&lt;=T$6),'Lease Cycles'!$C$16*'Lease Cycles'!$AY$16/12,IF(AND('Lease Cycles'!$AV$16&gt;=INDEX('Lease Cycles'!$BG$16:$BM$16,1,T146),'Lease Cycles'!$AV$16&lt;=T$6),'Lease Cycles'!$C$16*'Lease Cycles'!$AW$16/12,IF(AND('Lease Cycles'!$AT$16&gt;=INDEX('Lease Cycles'!$BG$16:$BM$16,1,T146),'Lease Cycles'!$AT$16&lt;=T$6),'Lease Cycles'!$C$16*'Lease Cycles'!$AU$16/12,'Lease Cycles'!$C$16*INDEX('Lease Cycles'!$CB$16:$CH$16,1,T146)*(1+INDEX('Lease Cycles'!$CI$16:$CO$16,1,T146))^INT(INT(T147/12)/INDEX('Lease Cycles'!$CP$16:$CV$16,1,T146))/12)))),'Lease Cycles'!$C$16*INDEX('Lease Cycles'!$CB$16:$CH$16,1,T146)*(1+INDEX('Lease Cycles'!$CI$16:$CO$16,1,T146))^INT(INT(T147/12)/INDEX('Lease Cycles'!$CP$16:$CV$16,1,T146))/12))),IF('Lease Cycles'!$N$16=1,'Lease Cycles'!$C$16*'Lease Cycles'!$E$16*INDEX('Lease Cycles'!$HE$16:$HK$16,1,T146)*(1+INDEX('Lease Cycles'!$GQ$16:$GW$16,1,T146))^INT(INT((T$6-INDEX('Lease Cycles'!$GJ$16:$GP$16,1,T146))/12)/INDEX('Lease Cycles'!$GX$16:$HD$16,1,T146))/12,0)))</f>
        <v>4400</v>
      </c>
      <c r="U149" s="28">
        <f>IF(U146=0,IF('Lease Cycles'!$F$16&gt;0,'Lease Cycles'!$C$16*'Lease Cycles'!$E$16/12,0),IF(U148=1,IF('Lease Cycles'!$AT$16&gt;=9999,'Lease Cycles'!$C$16*INDEX('Lease Cycles'!$CB$16:$CH$16,1,U146)*(1+INDEX('Lease Cycles'!$CI$16:$CO$16,1,U146))^INT(INT(U147/12)/INDEX('Lease Cycles'!$CP$16:$CV$16,1,U146))/12,IF(U146=1,IF(U147&gt;=INDEX('Lease Cycles'!$DK$16:$DQ$16,1,U146),IF(U$6&gt;='Lease Cycles'!$AZ$16,'Lease Cycles'!$C$16*'Lease Cycles'!$BA$16/12,IF(U$6&gt;='Lease Cycles'!$AX$16,'Lease Cycles'!$C$16*'Lease Cycles'!$AY$16/12,IF(U$6&gt;='Lease Cycles'!$AV$16,'Lease Cycles'!$C$16*'Lease Cycles'!$AW$16/12,IF(U$6&gt;='Lease Cycles'!$AT$16,'Lease Cycles'!$C$16*'Lease Cycles'!$AU$16/12,'Lease Cycles'!$C$16*INDEX('Lease Cycles'!$CB$16:$CH$16,1,U146)*(1+INDEX('Lease Cycles'!$CI$16:$CO$16,1,U146))^INT(INT(U147/12)/INDEX('Lease Cycles'!$CP$16:$CV$16,1,U146))/12)))),'Lease Cycles'!$C$16*INDEX('Lease Cycles'!$CB$16:$CH$16,1,U146)*(1+INDEX('Lease Cycles'!$CI$16:$CO$16,1,U146))^INT(INT(U147/12)/INDEX('Lease Cycles'!$CP$16:$CV$16,1,U146))/12),IF(INDEX('Lease Cycles'!$EF$16:$EL$16,1,U146)=1,IF(AND('Lease Cycles'!$AZ$16&gt;=INDEX('Lease Cycles'!$BG$16:$BM$16,1,U146),'Lease Cycles'!$AZ$16&lt;=U$6),'Lease Cycles'!$C$16*'Lease Cycles'!$BA$16/12,IF(AND('Lease Cycles'!$AX$16&gt;=INDEX('Lease Cycles'!$BG$16:$BM$16,1,U146),'Lease Cycles'!$AX$16&lt;=U$6),'Lease Cycles'!$C$16*'Lease Cycles'!$AY$16/12,IF(AND('Lease Cycles'!$AV$16&gt;=INDEX('Lease Cycles'!$BG$16:$BM$16,1,U146),'Lease Cycles'!$AV$16&lt;=U$6),'Lease Cycles'!$C$16*'Lease Cycles'!$AW$16/12,IF(AND('Lease Cycles'!$AT$16&gt;=INDEX('Lease Cycles'!$BG$16:$BM$16,1,U146),'Lease Cycles'!$AT$16&lt;=U$6),'Lease Cycles'!$C$16*'Lease Cycles'!$AU$16/12,'Lease Cycles'!$C$16*INDEX('Lease Cycles'!$CB$16:$CH$16,1,U146)*(1+INDEX('Lease Cycles'!$CI$16:$CO$16,1,U146))^INT(INT(U147/12)/INDEX('Lease Cycles'!$CP$16:$CV$16,1,U146))/12)))),'Lease Cycles'!$C$16*INDEX('Lease Cycles'!$CB$16:$CH$16,1,U146)*(1+INDEX('Lease Cycles'!$CI$16:$CO$16,1,U146))^INT(INT(U147/12)/INDEX('Lease Cycles'!$CP$16:$CV$16,1,U146))/12))),IF('Lease Cycles'!$N$16=1,'Lease Cycles'!$C$16*'Lease Cycles'!$E$16*INDEX('Lease Cycles'!$HE$16:$HK$16,1,U146)*(1+INDEX('Lease Cycles'!$GQ$16:$GW$16,1,U146))^INT(INT((U$6-INDEX('Lease Cycles'!$GJ$16:$GP$16,1,U146))/12)/INDEX('Lease Cycles'!$GX$16:$HD$16,1,U146))/12,0)))</f>
        <v>4400</v>
      </c>
      <c r="V149" s="28">
        <f>IF(V146=0,IF('Lease Cycles'!$F$16&gt;0,'Lease Cycles'!$C$16*'Lease Cycles'!$E$16/12,0),IF(V148=1,IF('Lease Cycles'!$AT$16&gt;=9999,'Lease Cycles'!$C$16*INDEX('Lease Cycles'!$CB$16:$CH$16,1,V146)*(1+INDEX('Lease Cycles'!$CI$16:$CO$16,1,V146))^INT(INT(V147/12)/INDEX('Lease Cycles'!$CP$16:$CV$16,1,V146))/12,IF(V146=1,IF(V147&gt;=INDEX('Lease Cycles'!$DK$16:$DQ$16,1,V146),IF(V$6&gt;='Lease Cycles'!$AZ$16,'Lease Cycles'!$C$16*'Lease Cycles'!$BA$16/12,IF(V$6&gt;='Lease Cycles'!$AX$16,'Lease Cycles'!$C$16*'Lease Cycles'!$AY$16/12,IF(V$6&gt;='Lease Cycles'!$AV$16,'Lease Cycles'!$C$16*'Lease Cycles'!$AW$16/12,IF(V$6&gt;='Lease Cycles'!$AT$16,'Lease Cycles'!$C$16*'Lease Cycles'!$AU$16/12,'Lease Cycles'!$C$16*INDEX('Lease Cycles'!$CB$16:$CH$16,1,V146)*(1+INDEX('Lease Cycles'!$CI$16:$CO$16,1,V146))^INT(INT(V147/12)/INDEX('Lease Cycles'!$CP$16:$CV$16,1,V146))/12)))),'Lease Cycles'!$C$16*INDEX('Lease Cycles'!$CB$16:$CH$16,1,V146)*(1+INDEX('Lease Cycles'!$CI$16:$CO$16,1,V146))^INT(INT(V147/12)/INDEX('Lease Cycles'!$CP$16:$CV$16,1,V146))/12),IF(INDEX('Lease Cycles'!$EF$16:$EL$16,1,V146)=1,IF(AND('Lease Cycles'!$AZ$16&gt;=INDEX('Lease Cycles'!$BG$16:$BM$16,1,V146),'Lease Cycles'!$AZ$16&lt;=V$6),'Lease Cycles'!$C$16*'Lease Cycles'!$BA$16/12,IF(AND('Lease Cycles'!$AX$16&gt;=INDEX('Lease Cycles'!$BG$16:$BM$16,1,V146),'Lease Cycles'!$AX$16&lt;=V$6),'Lease Cycles'!$C$16*'Lease Cycles'!$AY$16/12,IF(AND('Lease Cycles'!$AV$16&gt;=INDEX('Lease Cycles'!$BG$16:$BM$16,1,V146),'Lease Cycles'!$AV$16&lt;=V$6),'Lease Cycles'!$C$16*'Lease Cycles'!$AW$16/12,IF(AND('Lease Cycles'!$AT$16&gt;=INDEX('Lease Cycles'!$BG$16:$BM$16,1,V146),'Lease Cycles'!$AT$16&lt;=V$6),'Lease Cycles'!$C$16*'Lease Cycles'!$AU$16/12,'Lease Cycles'!$C$16*INDEX('Lease Cycles'!$CB$16:$CH$16,1,V146)*(1+INDEX('Lease Cycles'!$CI$16:$CO$16,1,V146))^INT(INT(V147/12)/INDEX('Lease Cycles'!$CP$16:$CV$16,1,V146))/12)))),'Lease Cycles'!$C$16*INDEX('Lease Cycles'!$CB$16:$CH$16,1,V146)*(1+INDEX('Lease Cycles'!$CI$16:$CO$16,1,V146))^INT(INT(V147/12)/INDEX('Lease Cycles'!$CP$16:$CV$16,1,V146))/12))),IF('Lease Cycles'!$N$16=1,'Lease Cycles'!$C$16*'Lease Cycles'!$E$16*INDEX('Lease Cycles'!$HE$16:$HK$16,1,V146)*(1+INDEX('Lease Cycles'!$GQ$16:$GW$16,1,V146))^INT(INT((V$6-INDEX('Lease Cycles'!$GJ$16:$GP$16,1,V146))/12)/INDEX('Lease Cycles'!$GX$16:$HD$16,1,V146))/12,0)))</f>
        <v>4400</v>
      </c>
      <c r="W149" s="28">
        <f>IF(W146=0,IF('Lease Cycles'!$F$16&gt;0,'Lease Cycles'!$C$16*'Lease Cycles'!$E$16/12,0),IF(W148=1,IF('Lease Cycles'!$AT$16&gt;=9999,'Lease Cycles'!$C$16*INDEX('Lease Cycles'!$CB$16:$CH$16,1,W146)*(1+INDEX('Lease Cycles'!$CI$16:$CO$16,1,W146))^INT(INT(W147/12)/INDEX('Lease Cycles'!$CP$16:$CV$16,1,W146))/12,IF(W146=1,IF(W147&gt;=INDEX('Lease Cycles'!$DK$16:$DQ$16,1,W146),IF(W$6&gt;='Lease Cycles'!$AZ$16,'Lease Cycles'!$C$16*'Lease Cycles'!$BA$16/12,IF(W$6&gt;='Lease Cycles'!$AX$16,'Lease Cycles'!$C$16*'Lease Cycles'!$AY$16/12,IF(W$6&gt;='Lease Cycles'!$AV$16,'Lease Cycles'!$C$16*'Lease Cycles'!$AW$16/12,IF(W$6&gt;='Lease Cycles'!$AT$16,'Lease Cycles'!$C$16*'Lease Cycles'!$AU$16/12,'Lease Cycles'!$C$16*INDEX('Lease Cycles'!$CB$16:$CH$16,1,W146)*(1+INDEX('Lease Cycles'!$CI$16:$CO$16,1,W146))^INT(INT(W147/12)/INDEX('Lease Cycles'!$CP$16:$CV$16,1,W146))/12)))),'Lease Cycles'!$C$16*INDEX('Lease Cycles'!$CB$16:$CH$16,1,W146)*(1+INDEX('Lease Cycles'!$CI$16:$CO$16,1,W146))^INT(INT(W147/12)/INDEX('Lease Cycles'!$CP$16:$CV$16,1,W146))/12),IF(INDEX('Lease Cycles'!$EF$16:$EL$16,1,W146)=1,IF(AND('Lease Cycles'!$AZ$16&gt;=INDEX('Lease Cycles'!$BG$16:$BM$16,1,W146),'Lease Cycles'!$AZ$16&lt;=W$6),'Lease Cycles'!$C$16*'Lease Cycles'!$BA$16/12,IF(AND('Lease Cycles'!$AX$16&gt;=INDEX('Lease Cycles'!$BG$16:$BM$16,1,W146),'Lease Cycles'!$AX$16&lt;=W$6),'Lease Cycles'!$C$16*'Lease Cycles'!$AY$16/12,IF(AND('Lease Cycles'!$AV$16&gt;=INDEX('Lease Cycles'!$BG$16:$BM$16,1,W146),'Lease Cycles'!$AV$16&lt;=W$6),'Lease Cycles'!$C$16*'Lease Cycles'!$AW$16/12,IF(AND('Lease Cycles'!$AT$16&gt;=INDEX('Lease Cycles'!$BG$16:$BM$16,1,W146),'Lease Cycles'!$AT$16&lt;=W$6),'Lease Cycles'!$C$16*'Lease Cycles'!$AU$16/12,'Lease Cycles'!$C$16*INDEX('Lease Cycles'!$CB$16:$CH$16,1,W146)*(1+INDEX('Lease Cycles'!$CI$16:$CO$16,1,W146))^INT(INT(W147/12)/INDEX('Lease Cycles'!$CP$16:$CV$16,1,W146))/12)))),'Lease Cycles'!$C$16*INDEX('Lease Cycles'!$CB$16:$CH$16,1,W146)*(1+INDEX('Lease Cycles'!$CI$16:$CO$16,1,W146))^INT(INT(W147/12)/INDEX('Lease Cycles'!$CP$16:$CV$16,1,W146))/12))),IF('Lease Cycles'!$N$16=1,'Lease Cycles'!$C$16*'Lease Cycles'!$E$16*INDEX('Lease Cycles'!$HE$16:$HK$16,1,W146)*(1+INDEX('Lease Cycles'!$GQ$16:$GW$16,1,W146))^INT(INT((W$6-INDEX('Lease Cycles'!$GJ$16:$GP$16,1,W146))/12)/INDEX('Lease Cycles'!$GX$16:$HD$16,1,W146))/12,0)))</f>
        <v>4400</v>
      </c>
      <c r="X149" s="28">
        <f>IF(X146=0,IF('Lease Cycles'!$F$16&gt;0,'Lease Cycles'!$C$16*'Lease Cycles'!$E$16/12,0),IF(X148=1,IF('Lease Cycles'!$AT$16&gt;=9999,'Lease Cycles'!$C$16*INDEX('Lease Cycles'!$CB$16:$CH$16,1,X146)*(1+INDEX('Lease Cycles'!$CI$16:$CO$16,1,X146))^INT(INT(X147/12)/INDEX('Lease Cycles'!$CP$16:$CV$16,1,X146))/12,IF(X146=1,IF(X147&gt;=INDEX('Lease Cycles'!$DK$16:$DQ$16,1,X146),IF(X$6&gt;='Lease Cycles'!$AZ$16,'Lease Cycles'!$C$16*'Lease Cycles'!$BA$16/12,IF(X$6&gt;='Lease Cycles'!$AX$16,'Lease Cycles'!$C$16*'Lease Cycles'!$AY$16/12,IF(X$6&gt;='Lease Cycles'!$AV$16,'Lease Cycles'!$C$16*'Lease Cycles'!$AW$16/12,IF(X$6&gt;='Lease Cycles'!$AT$16,'Lease Cycles'!$C$16*'Lease Cycles'!$AU$16/12,'Lease Cycles'!$C$16*INDEX('Lease Cycles'!$CB$16:$CH$16,1,X146)*(1+INDEX('Lease Cycles'!$CI$16:$CO$16,1,X146))^INT(INT(X147/12)/INDEX('Lease Cycles'!$CP$16:$CV$16,1,X146))/12)))),'Lease Cycles'!$C$16*INDEX('Lease Cycles'!$CB$16:$CH$16,1,X146)*(1+INDEX('Lease Cycles'!$CI$16:$CO$16,1,X146))^INT(INT(X147/12)/INDEX('Lease Cycles'!$CP$16:$CV$16,1,X146))/12),IF(INDEX('Lease Cycles'!$EF$16:$EL$16,1,X146)=1,IF(AND('Lease Cycles'!$AZ$16&gt;=INDEX('Lease Cycles'!$BG$16:$BM$16,1,X146),'Lease Cycles'!$AZ$16&lt;=X$6),'Lease Cycles'!$C$16*'Lease Cycles'!$BA$16/12,IF(AND('Lease Cycles'!$AX$16&gt;=INDEX('Lease Cycles'!$BG$16:$BM$16,1,X146),'Lease Cycles'!$AX$16&lt;=X$6),'Lease Cycles'!$C$16*'Lease Cycles'!$AY$16/12,IF(AND('Lease Cycles'!$AV$16&gt;=INDEX('Lease Cycles'!$BG$16:$BM$16,1,X146),'Lease Cycles'!$AV$16&lt;=X$6),'Lease Cycles'!$C$16*'Lease Cycles'!$AW$16/12,IF(AND('Lease Cycles'!$AT$16&gt;=INDEX('Lease Cycles'!$BG$16:$BM$16,1,X146),'Lease Cycles'!$AT$16&lt;=X$6),'Lease Cycles'!$C$16*'Lease Cycles'!$AU$16/12,'Lease Cycles'!$C$16*INDEX('Lease Cycles'!$CB$16:$CH$16,1,X146)*(1+INDEX('Lease Cycles'!$CI$16:$CO$16,1,X146))^INT(INT(X147/12)/INDEX('Lease Cycles'!$CP$16:$CV$16,1,X146))/12)))),'Lease Cycles'!$C$16*INDEX('Lease Cycles'!$CB$16:$CH$16,1,X146)*(1+INDEX('Lease Cycles'!$CI$16:$CO$16,1,X146))^INT(INT(X147/12)/INDEX('Lease Cycles'!$CP$16:$CV$16,1,X146))/12))),IF('Lease Cycles'!$N$16=1,'Lease Cycles'!$C$16*'Lease Cycles'!$E$16*INDEX('Lease Cycles'!$HE$16:$HK$16,1,X146)*(1+INDEX('Lease Cycles'!$GQ$16:$GW$16,1,X146))^INT(INT((X$6-INDEX('Lease Cycles'!$GJ$16:$GP$16,1,X146))/12)/INDEX('Lease Cycles'!$GX$16:$HD$16,1,X146))/12,0)))</f>
        <v>4400</v>
      </c>
      <c r="Y149" s="28">
        <f>IF(Y146=0,IF('Lease Cycles'!$F$16&gt;0,'Lease Cycles'!$C$16*'Lease Cycles'!$E$16/12,0),IF(Y148=1,IF('Lease Cycles'!$AT$16&gt;=9999,'Lease Cycles'!$C$16*INDEX('Lease Cycles'!$CB$16:$CH$16,1,Y146)*(1+INDEX('Lease Cycles'!$CI$16:$CO$16,1,Y146))^INT(INT(Y147/12)/INDEX('Lease Cycles'!$CP$16:$CV$16,1,Y146))/12,IF(Y146=1,IF(Y147&gt;=INDEX('Lease Cycles'!$DK$16:$DQ$16,1,Y146),IF(Y$6&gt;='Lease Cycles'!$AZ$16,'Lease Cycles'!$C$16*'Lease Cycles'!$BA$16/12,IF(Y$6&gt;='Lease Cycles'!$AX$16,'Lease Cycles'!$C$16*'Lease Cycles'!$AY$16/12,IF(Y$6&gt;='Lease Cycles'!$AV$16,'Lease Cycles'!$C$16*'Lease Cycles'!$AW$16/12,IF(Y$6&gt;='Lease Cycles'!$AT$16,'Lease Cycles'!$C$16*'Lease Cycles'!$AU$16/12,'Lease Cycles'!$C$16*INDEX('Lease Cycles'!$CB$16:$CH$16,1,Y146)*(1+INDEX('Lease Cycles'!$CI$16:$CO$16,1,Y146))^INT(INT(Y147/12)/INDEX('Lease Cycles'!$CP$16:$CV$16,1,Y146))/12)))),'Lease Cycles'!$C$16*INDEX('Lease Cycles'!$CB$16:$CH$16,1,Y146)*(1+INDEX('Lease Cycles'!$CI$16:$CO$16,1,Y146))^INT(INT(Y147/12)/INDEX('Lease Cycles'!$CP$16:$CV$16,1,Y146))/12),IF(INDEX('Lease Cycles'!$EF$16:$EL$16,1,Y146)=1,IF(AND('Lease Cycles'!$AZ$16&gt;=INDEX('Lease Cycles'!$BG$16:$BM$16,1,Y146),'Lease Cycles'!$AZ$16&lt;=Y$6),'Lease Cycles'!$C$16*'Lease Cycles'!$BA$16/12,IF(AND('Lease Cycles'!$AX$16&gt;=INDEX('Lease Cycles'!$BG$16:$BM$16,1,Y146),'Lease Cycles'!$AX$16&lt;=Y$6),'Lease Cycles'!$C$16*'Lease Cycles'!$AY$16/12,IF(AND('Lease Cycles'!$AV$16&gt;=INDEX('Lease Cycles'!$BG$16:$BM$16,1,Y146),'Lease Cycles'!$AV$16&lt;=Y$6),'Lease Cycles'!$C$16*'Lease Cycles'!$AW$16/12,IF(AND('Lease Cycles'!$AT$16&gt;=INDEX('Lease Cycles'!$BG$16:$BM$16,1,Y146),'Lease Cycles'!$AT$16&lt;=Y$6),'Lease Cycles'!$C$16*'Lease Cycles'!$AU$16/12,'Lease Cycles'!$C$16*INDEX('Lease Cycles'!$CB$16:$CH$16,1,Y146)*(1+INDEX('Lease Cycles'!$CI$16:$CO$16,1,Y146))^INT(INT(Y147/12)/INDEX('Lease Cycles'!$CP$16:$CV$16,1,Y146))/12)))),'Lease Cycles'!$C$16*INDEX('Lease Cycles'!$CB$16:$CH$16,1,Y146)*(1+INDEX('Lease Cycles'!$CI$16:$CO$16,1,Y146))^INT(INT(Y147/12)/INDEX('Lease Cycles'!$CP$16:$CV$16,1,Y146))/12))),IF('Lease Cycles'!$N$16=1,'Lease Cycles'!$C$16*'Lease Cycles'!$E$16*INDEX('Lease Cycles'!$HE$16:$HK$16,1,Y146)*(1+INDEX('Lease Cycles'!$GQ$16:$GW$16,1,Y146))^INT(INT((Y$6-INDEX('Lease Cycles'!$GJ$16:$GP$16,1,Y146))/12)/INDEX('Lease Cycles'!$GX$16:$HD$16,1,Y146))/12,0)))</f>
        <v>4400</v>
      </c>
      <c r="Z149" s="28">
        <f>IF(Z146=0,IF('Lease Cycles'!$F$16&gt;0,'Lease Cycles'!$C$16*'Lease Cycles'!$E$16/12,0),IF(Z148=1,IF('Lease Cycles'!$AT$16&gt;=9999,'Lease Cycles'!$C$16*INDEX('Lease Cycles'!$CB$16:$CH$16,1,Z146)*(1+INDEX('Lease Cycles'!$CI$16:$CO$16,1,Z146))^INT(INT(Z147/12)/INDEX('Lease Cycles'!$CP$16:$CV$16,1,Z146))/12,IF(Z146=1,IF(Z147&gt;=INDEX('Lease Cycles'!$DK$16:$DQ$16,1,Z146),IF(Z$6&gt;='Lease Cycles'!$AZ$16,'Lease Cycles'!$C$16*'Lease Cycles'!$BA$16/12,IF(Z$6&gt;='Lease Cycles'!$AX$16,'Lease Cycles'!$C$16*'Lease Cycles'!$AY$16/12,IF(Z$6&gt;='Lease Cycles'!$AV$16,'Lease Cycles'!$C$16*'Lease Cycles'!$AW$16/12,IF(Z$6&gt;='Lease Cycles'!$AT$16,'Lease Cycles'!$C$16*'Lease Cycles'!$AU$16/12,'Lease Cycles'!$C$16*INDEX('Lease Cycles'!$CB$16:$CH$16,1,Z146)*(1+INDEX('Lease Cycles'!$CI$16:$CO$16,1,Z146))^INT(INT(Z147/12)/INDEX('Lease Cycles'!$CP$16:$CV$16,1,Z146))/12)))),'Lease Cycles'!$C$16*INDEX('Lease Cycles'!$CB$16:$CH$16,1,Z146)*(1+INDEX('Lease Cycles'!$CI$16:$CO$16,1,Z146))^INT(INT(Z147/12)/INDEX('Lease Cycles'!$CP$16:$CV$16,1,Z146))/12),IF(INDEX('Lease Cycles'!$EF$16:$EL$16,1,Z146)=1,IF(AND('Lease Cycles'!$AZ$16&gt;=INDEX('Lease Cycles'!$BG$16:$BM$16,1,Z146),'Lease Cycles'!$AZ$16&lt;=Z$6),'Lease Cycles'!$C$16*'Lease Cycles'!$BA$16/12,IF(AND('Lease Cycles'!$AX$16&gt;=INDEX('Lease Cycles'!$BG$16:$BM$16,1,Z146),'Lease Cycles'!$AX$16&lt;=Z$6),'Lease Cycles'!$C$16*'Lease Cycles'!$AY$16/12,IF(AND('Lease Cycles'!$AV$16&gt;=INDEX('Lease Cycles'!$BG$16:$BM$16,1,Z146),'Lease Cycles'!$AV$16&lt;=Z$6),'Lease Cycles'!$C$16*'Lease Cycles'!$AW$16/12,IF(AND('Lease Cycles'!$AT$16&gt;=INDEX('Lease Cycles'!$BG$16:$BM$16,1,Z146),'Lease Cycles'!$AT$16&lt;=Z$6),'Lease Cycles'!$C$16*'Lease Cycles'!$AU$16/12,'Lease Cycles'!$C$16*INDEX('Lease Cycles'!$CB$16:$CH$16,1,Z146)*(1+INDEX('Lease Cycles'!$CI$16:$CO$16,1,Z146))^INT(INT(Z147/12)/INDEX('Lease Cycles'!$CP$16:$CV$16,1,Z146))/12)))),'Lease Cycles'!$C$16*INDEX('Lease Cycles'!$CB$16:$CH$16,1,Z146)*(1+INDEX('Lease Cycles'!$CI$16:$CO$16,1,Z146))^INT(INT(Z147/12)/INDEX('Lease Cycles'!$CP$16:$CV$16,1,Z146))/12))),IF('Lease Cycles'!$N$16=1,'Lease Cycles'!$C$16*'Lease Cycles'!$E$16*INDEX('Lease Cycles'!$HE$16:$HK$16,1,Z146)*(1+INDEX('Lease Cycles'!$GQ$16:$GW$16,1,Z146))^INT(INT((Z$6-INDEX('Lease Cycles'!$GJ$16:$GP$16,1,Z146))/12)/INDEX('Lease Cycles'!$GX$16:$HD$16,1,Z146))/12,0)))</f>
        <v>4400</v>
      </c>
      <c r="AA149" s="28">
        <f>IF(AA146=0,IF('Lease Cycles'!$F$16&gt;0,'Lease Cycles'!$C$16*'Lease Cycles'!$E$16/12,0),IF(AA148=1,IF('Lease Cycles'!$AT$16&gt;=9999,'Lease Cycles'!$C$16*INDEX('Lease Cycles'!$CB$16:$CH$16,1,AA146)*(1+INDEX('Lease Cycles'!$CI$16:$CO$16,1,AA146))^INT(INT(AA147/12)/INDEX('Lease Cycles'!$CP$16:$CV$16,1,AA146))/12,IF(AA146=1,IF(AA147&gt;=INDEX('Lease Cycles'!$DK$16:$DQ$16,1,AA146),IF(AA$6&gt;='Lease Cycles'!$AZ$16,'Lease Cycles'!$C$16*'Lease Cycles'!$BA$16/12,IF(AA$6&gt;='Lease Cycles'!$AX$16,'Lease Cycles'!$C$16*'Lease Cycles'!$AY$16/12,IF(AA$6&gt;='Lease Cycles'!$AV$16,'Lease Cycles'!$C$16*'Lease Cycles'!$AW$16/12,IF(AA$6&gt;='Lease Cycles'!$AT$16,'Lease Cycles'!$C$16*'Lease Cycles'!$AU$16/12,'Lease Cycles'!$C$16*INDEX('Lease Cycles'!$CB$16:$CH$16,1,AA146)*(1+INDEX('Lease Cycles'!$CI$16:$CO$16,1,AA146))^INT(INT(AA147/12)/INDEX('Lease Cycles'!$CP$16:$CV$16,1,AA146))/12)))),'Lease Cycles'!$C$16*INDEX('Lease Cycles'!$CB$16:$CH$16,1,AA146)*(1+INDEX('Lease Cycles'!$CI$16:$CO$16,1,AA146))^INT(INT(AA147/12)/INDEX('Lease Cycles'!$CP$16:$CV$16,1,AA146))/12),IF(INDEX('Lease Cycles'!$EF$16:$EL$16,1,AA146)=1,IF(AND('Lease Cycles'!$AZ$16&gt;=INDEX('Lease Cycles'!$BG$16:$BM$16,1,AA146),'Lease Cycles'!$AZ$16&lt;=AA$6),'Lease Cycles'!$C$16*'Lease Cycles'!$BA$16/12,IF(AND('Lease Cycles'!$AX$16&gt;=INDEX('Lease Cycles'!$BG$16:$BM$16,1,AA146),'Lease Cycles'!$AX$16&lt;=AA$6),'Lease Cycles'!$C$16*'Lease Cycles'!$AY$16/12,IF(AND('Lease Cycles'!$AV$16&gt;=INDEX('Lease Cycles'!$BG$16:$BM$16,1,AA146),'Lease Cycles'!$AV$16&lt;=AA$6),'Lease Cycles'!$C$16*'Lease Cycles'!$AW$16/12,IF(AND('Lease Cycles'!$AT$16&gt;=INDEX('Lease Cycles'!$BG$16:$BM$16,1,AA146),'Lease Cycles'!$AT$16&lt;=AA$6),'Lease Cycles'!$C$16*'Lease Cycles'!$AU$16/12,'Lease Cycles'!$C$16*INDEX('Lease Cycles'!$CB$16:$CH$16,1,AA146)*(1+INDEX('Lease Cycles'!$CI$16:$CO$16,1,AA146))^INT(INT(AA147/12)/INDEX('Lease Cycles'!$CP$16:$CV$16,1,AA146))/12)))),'Lease Cycles'!$C$16*INDEX('Lease Cycles'!$CB$16:$CH$16,1,AA146)*(1+INDEX('Lease Cycles'!$CI$16:$CO$16,1,AA146))^INT(INT(AA147/12)/INDEX('Lease Cycles'!$CP$16:$CV$16,1,AA146))/12))),IF('Lease Cycles'!$N$16=1,'Lease Cycles'!$C$16*'Lease Cycles'!$E$16*INDEX('Lease Cycles'!$HE$16:$HK$16,1,AA146)*(1+INDEX('Lease Cycles'!$GQ$16:$GW$16,1,AA146))^INT(INT((AA$6-INDEX('Lease Cycles'!$GJ$16:$GP$16,1,AA146))/12)/INDEX('Lease Cycles'!$GX$16:$HD$16,1,AA146))/12,0)))</f>
        <v>4400</v>
      </c>
      <c r="AB149" s="28">
        <f>IF(AB146=0,IF('Lease Cycles'!$F$16&gt;0,'Lease Cycles'!$C$16*'Lease Cycles'!$E$16/12,0),IF(AB148=1,IF('Lease Cycles'!$AT$16&gt;=9999,'Lease Cycles'!$C$16*INDEX('Lease Cycles'!$CB$16:$CH$16,1,AB146)*(1+INDEX('Lease Cycles'!$CI$16:$CO$16,1,AB146))^INT(INT(AB147/12)/INDEX('Lease Cycles'!$CP$16:$CV$16,1,AB146))/12,IF(AB146=1,IF(AB147&gt;=INDEX('Lease Cycles'!$DK$16:$DQ$16,1,AB146),IF(AB$6&gt;='Lease Cycles'!$AZ$16,'Lease Cycles'!$C$16*'Lease Cycles'!$BA$16/12,IF(AB$6&gt;='Lease Cycles'!$AX$16,'Lease Cycles'!$C$16*'Lease Cycles'!$AY$16/12,IF(AB$6&gt;='Lease Cycles'!$AV$16,'Lease Cycles'!$C$16*'Lease Cycles'!$AW$16/12,IF(AB$6&gt;='Lease Cycles'!$AT$16,'Lease Cycles'!$C$16*'Lease Cycles'!$AU$16/12,'Lease Cycles'!$C$16*INDEX('Lease Cycles'!$CB$16:$CH$16,1,AB146)*(1+INDEX('Lease Cycles'!$CI$16:$CO$16,1,AB146))^INT(INT(AB147/12)/INDEX('Lease Cycles'!$CP$16:$CV$16,1,AB146))/12)))),'Lease Cycles'!$C$16*INDEX('Lease Cycles'!$CB$16:$CH$16,1,AB146)*(1+INDEX('Lease Cycles'!$CI$16:$CO$16,1,AB146))^INT(INT(AB147/12)/INDEX('Lease Cycles'!$CP$16:$CV$16,1,AB146))/12),IF(INDEX('Lease Cycles'!$EF$16:$EL$16,1,AB146)=1,IF(AND('Lease Cycles'!$AZ$16&gt;=INDEX('Lease Cycles'!$BG$16:$BM$16,1,AB146),'Lease Cycles'!$AZ$16&lt;=AB$6),'Lease Cycles'!$C$16*'Lease Cycles'!$BA$16/12,IF(AND('Lease Cycles'!$AX$16&gt;=INDEX('Lease Cycles'!$BG$16:$BM$16,1,AB146),'Lease Cycles'!$AX$16&lt;=AB$6),'Lease Cycles'!$C$16*'Lease Cycles'!$AY$16/12,IF(AND('Lease Cycles'!$AV$16&gt;=INDEX('Lease Cycles'!$BG$16:$BM$16,1,AB146),'Lease Cycles'!$AV$16&lt;=AB$6),'Lease Cycles'!$C$16*'Lease Cycles'!$AW$16/12,IF(AND('Lease Cycles'!$AT$16&gt;=INDEX('Lease Cycles'!$BG$16:$BM$16,1,AB146),'Lease Cycles'!$AT$16&lt;=AB$6),'Lease Cycles'!$C$16*'Lease Cycles'!$AU$16/12,'Lease Cycles'!$C$16*INDEX('Lease Cycles'!$CB$16:$CH$16,1,AB146)*(1+INDEX('Lease Cycles'!$CI$16:$CO$16,1,AB146))^INT(INT(AB147/12)/INDEX('Lease Cycles'!$CP$16:$CV$16,1,AB146))/12)))),'Lease Cycles'!$C$16*INDEX('Lease Cycles'!$CB$16:$CH$16,1,AB146)*(1+INDEX('Lease Cycles'!$CI$16:$CO$16,1,AB146))^INT(INT(AB147/12)/INDEX('Lease Cycles'!$CP$16:$CV$16,1,AB146))/12))),IF('Lease Cycles'!$N$16=1,'Lease Cycles'!$C$16*'Lease Cycles'!$E$16*INDEX('Lease Cycles'!$HE$16:$HK$16,1,AB146)*(1+INDEX('Lease Cycles'!$GQ$16:$GW$16,1,AB146))^INT(INT((AB$6-INDEX('Lease Cycles'!$GJ$16:$GP$16,1,AB146))/12)/INDEX('Lease Cycles'!$GX$16:$HD$16,1,AB146))/12,0)))</f>
        <v>4400</v>
      </c>
      <c r="AC149" s="28">
        <f>IF(AC146=0,IF('Lease Cycles'!$F$16&gt;0,'Lease Cycles'!$C$16*'Lease Cycles'!$E$16/12,0),IF(AC148=1,IF('Lease Cycles'!$AT$16&gt;=9999,'Lease Cycles'!$C$16*INDEX('Lease Cycles'!$CB$16:$CH$16,1,AC146)*(1+INDEX('Lease Cycles'!$CI$16:$CO$16,1,AC146))^INT(INT(AC147/12)/INDEX('Lease Cycles'!$CP$16:$CV$16,1,AC146))/12,IF(AC146=1,IF(AC147&gt;=INDEX('Lease Cycles'!$DK$16:$DQ$16,1,AC146),IF(AC$6&gt;='Lease Cycles'!$AZ$16,'Lease Cycles'!$C$16*'Lease Cycles'!$BA$16/12,IF(AC$6&gt;='Lease Cycles'!$AX$16,'Lease Cycles'!$C$16*'Lease Cycles'!$AY$16/12,IF(AC$6&gt;='Lease Cycles'!$AV$16,'Lease Cycles'!$C$16*'Lease Cycles'!$AW$16/12,IF(AC$6&gt;='Lease Cycles'!$AT$16,'Lease Cycles'!$C$16*'Lease Cycles'!$AU$16/12,'Lease Cycles'!$C$16*INDEX('Lease Cycles'!$CB$16:$CH$16,1,AC146)*(1+INDEX('Lease Cycles'!$CI$16:$CO$16,1,AC146))^INT(INT(AC147/12)/INDEX('Lease Cycles'!$CP$16:$CV$16,1,AC146))/12)))),'Lease Cycles'!$C$16*INDEX('Lease Cycles'!$CB$16:$CH$16,1,AC146)*(1+INDEX('Lease Cycles'!$CI$16:$CO$16,1,AC146))^INT(INT(AC147/12)/INDEX('Lease Cycles'!$CP$16:$CV$16,1,AC146))/12),IF(INDEX('Lease Cycles'!$EF$16:$EL$16,1,AC146)=1,IF(AND('Lease Cycles'!$AZ$16&gt;=INDEX('Lease Cycles'!$BG$16:$BM$16,1,AC146),'Lease Cycles'!$AZ$16&lt;=AC$6),'Lease Cycles'!$C$16*'Lease Cycles'!$BA$16/12,IF(AND('Lease Cycles'!$AX$16&gt;=INDEX('Lease Cycles'!$BG$16:$BM$16,1,AC146),'Lease Cycles'!$AX$16&lt;=AC$6),'Lease Cycles'!$C$16*'Lease Cycles'!$AY$16/12,IF(AND('Lease Cycles'!$AV$16&gt;=INDEX('Lease Cycles'!$BG$16:$BM$16,1,AC146),'Lease Cycles'!$AV$16&lt;=AC$6),'Lease Cycles'!$C$16*'Lease Cycles'!$AW$16/12,IF(AND('Lease Cycles'!$AT$16&gt;=INDEX('Lease Cycles'!$BG$16:$BM$16,1,AC146),'Lease Cycles'!$AT$16&lt;=AC$6),'Lease Cycles'!$C$16*'Lease Cycles'!$AU$16/12,'Lease Cycles'!$C$16*INDEX('Lease Cycles'!$CB$16:$CH$16,1,AC146)*(1+INDEX('Lease Cycles'!$CI$16:$CO$16,1,AC146))^INT(INT(AC147/12)/INDEX('Lease Cycles'!$CP$16:$CV$16,1,AC146))/12)))),'Lease Cycles'!$C$16*INDEX('Lease Cycles'!$CB$16:$CH$16,1,AC146)*(1+INDEX('Lease Cycles'!$CI$16:$CO$16,1,AC146))^INT(INT(AC147/12)/INDEX('Lease Cycles'!$CP$16:$CV$16,1,AC146))/12))),IF('Lease Cycles'!$N$16=1,'Lease Cycles'!$C$16*'Lease Cycles'!$E$16*INDEX('Lease Cycles'!$HE$16:$HK$16,1,AC146)*(1+INDEX('Lease Cycles'!$GQ$16:$GW$16,1,AC146))^INT(INT((AC$6-INDEX('Lease Cycles'!$GJ$16:$GP$16,1,AC146))/12)/INDEX('Lease Cycles'!$GX$16:$HD$16,1,AC146))/12,0)))</f>
        <v>4400</v>
      </c>
      <c r="AD149" s="28">
        <f>IF(AD146=0,IF('Lease Cycles'!$F$16&gt;0,'Lease Cycles'!$C$16*'Lease Cycles'!$E$16/12,0),IF(AD148=1,IF('Lease Cycles'!$AT$16&gt;=9999,'Lease Cycles'!$C$16*INDEX('Lease Cycles'!$CB$16:$CH$16,1,AD146)*(1+INDEX('Lease Cycles'!$CI$16:$CO$16,1,AD146))^INT(INT(AD147/12)/INDEX('Lease Cycles'!$CP$16:$CV$16,1,AD146))/12,IF(AD146=1,IF(AD147&gt;=INDEX('Lease Cycles'!$DK$16:$DQ$16,1,AD146),IF(AD$6&gt;='Lease Cycles'!$AZ$16,'Lease Cycles'!$C$16*'Lease Cycles'!$BA$16/12,IF(AD$6&gt;='Lease Cycles'!$AX$16,'Lease Cycles'!$C$16*'Lease Cycles'!$AY$16/12,IF(AD$6&gt;='Lease Cycles'!$AV$16,'Lease Cycles'!$C$16*'Lease Cycles'!$AW$16/12,IF(AD$6&gt;='Lease Cycles'!$AT$16,'Lease Cycles'!$C$16*'Lease Cycles'!$AU$16/12,'Lease Cycles'!$C$16*INDEX('Lease Cycles'!$CB$16:$CH$16,1,AD146)*(1+INDEX('Lease Cycles'!$CI$16:$CO$16,1,AD146))^INT(INT(AD147/12)/INDEX('Lease Cycles'!$CP$16:$CV$16,1,AD146))/12)))),'Lease Cycles'!$C$16*INDEX('Lease Cycles'!$CB$16:$CH$16,1,AD146)*(1+INDEX('Lease Cycles'!$CI$16:$CO$16,1,AD146))^INT(INT(AD147/12)/INDEX('Lease Cycles'!$CP$16:$CV$16,1,AD146))/12),IF(INDEX('Lease Cycles'!$EF$16:$EL$16,1,AD146)=1,IF(AND('Lease Cycles'!$AZ$16&gt;=INDEX('Lease Cycles'!$BG$16:$BM$16,1,AD146),'Lease Cycles'!$AZ$16&lt;=AD$6),'Lease Cycles'!$C$16*'Lease Cycles'!$BA$16/12,IF(AND('Lease Cycles'!$AX$16&gt;=INDEX('Lease Cycles'!$BG$16:$BM$16,1,AD146),'Lease Cycles'!$AX$16&lt;=AD$6),'Lease Cycles'!$C$16*'Lease Cycles'!$AY$16/12,IF(AND('Lease Cycles'!$AV$16&gt;=INDEX('Lease Cycles'!$BG$16:$BM$16,1,AD146),'Lease Cycles'!$AV$16&lt;=AD$6),'Lease Cycles'!$C$16*'Lease Cycles'!$AW$16/12,IF(AND('Lease Cycles'!$AT$16&gt;=INDEX('Lease Cycles'!$BG$16:$BM$16,1,AD146),'Lease Cycles'!$AT$16&lt;=AD$6),'Lease Cycles'!$C$16*'Lease Cycles'!$AU$16/12,'Lease Cycles'!$C$16*INDEX('Lease Cycles'!$CB$16:$CH$16,1,AD146)*(1+INDEX('Lease Cycles'!$CI$16:$CO$16,1,AD146))^INT(INT(AD147/12)/INDEX('Lease Cycles'!$CP$16:$CV$16,1,AD146))/12)))),'Lease Cycles'!$C$16*INDEX('Lease Cycles'!$CB$16:$CH$16,1,AD146)*(1+INDEX('Lease Cycles'!$CI$16:$CO$16,1,AD146))^INT(INT(AD147/12)/INDEX('Lease Cycles'!$CP$16:$CV$16,1,AD146))/12))),IF('Lease Cycles'!$N$16=1,'Lease Cycles'!$C$16*'Lease Cycles'!$E$16*INDEX('Lease Cycles'!$HE$16:$HK$16,1,AD146)*(1+INDEX('Lease Cycles'!$GQ$16:$GW$16,1,AD146))^INT(INT((AD$6-INDEX('Lease Cycles'!$GJ$16:$GP$16,1,AD146))/12)/INDEX('Lease Cycles'!$GX$16:$HD$16,1,AD146))/12,0)))</f>
        <v>4400</v>
      </c>
      <c r="AE149" s="28">
        <f>IF(AE146=0,IF('Lease Cycles'!$F$16&gt;0,'Lease Cycles'!$C$16*'Lease Cycles'!$E$16/12,0),IF(AE148=1,IF('Lease Cycles'!$AT$16&gt;=9999,'Lease Cycles'!$C$16*INDEX('Lease Cycles'!$CB$16:$CH$16,1,AE146)*(1+INDEX('Lease Cycles'!$CI$16:$CO$16,1,AE146))^INT(INT(AE147/12)/INDEX('Lease Cycles'!$CP$16:$CV$16,1,AE146))/12,IF(AE146=1,IF(AE147&gt;=INDEX('Lease Cycles'!$DK$16:$DQ$16,1,AE146),IF(AE$6&gt;='Lease Cycles'!$AZ$16,'Lease Cycles'!$C$16*'Lease Cycles'!$BA$16/12,IF(AE$6&gt;='Lease Cycles'!$AX$16,'Lease Cycles'!$C$16*'Lease Cycles'!$AY$16/12,IF(AE$6&gt;='Lease Cycles'!$AV$16,'Lease Cycles'!$C$16*'Lease Cycles'!$AW$16/12,IF(AE$6&gt;='Lease Cycles'!$AT$16,'Lease Cycles'!$C$16*'Lease Cycles'!$AU$16/12,'Lease Cycles'!$C$16*INDEX('Lease Cycles'!$CB$16:$CH$16,1,AE146)*(1+INDEX('Lease Cycles'!$CI$16:$CO$16,1,AE146))^INT(INT(AE147/12)/INDEX('Lease Cycles'!$CP$16:$CV$16,1,AE146))/12)))),'Lease Cycles'!$C$16*INDEX('Lease Cycles'!$CB$16:$CH$16,1,AE146)*(1+INDEX('Lease Cycles'!$CI$16:$CO$16,1,AE146))^INT(INT(AE147/12)/INDEX('Lease Cycles'!$CP$16:$CV$16,1,AE146))/12),IF(INDEX('Lease Cycles'!$EF$16:$EL$16,1,AE146)=1,IF(AND('Lease Cycles'!$AZ$16&gt;=INDEX('Lease Cycles'!$BG$16:$BM$16,1,AE146),'Lease Cycles'!$AZ$16&lt;=AE$6),'Lease Cycles'!$C$16*'Lease Cycles'!$BA$16/12,IF(AND('Lease Cycles'!$AX$16&gt;=INDEX('Lease Cycles'!$BG$16:$BM$16,1,AE146),'Lease Cycles'!$AX$16&lt;=AE$6),'Lease Cycles'!$C$16*'Lease Cycles'!$AY$16/12,IF(AND('Lease Cycles'!$AV$16&gt;=INDEX('Lease Cycles'!$BG$16:$BM$16,1,AE146),'Lease Cycles'!$AV$16&lt;=AE$6),'Lease Cycles'!$C$16*'Lease Cycles'!$AW$16/12,IF(AND('Lease Cycles'!$AT$16&gt;=INDEX('Lease Cycles'!$BG$16:$BM$16,1,AE146),'Lease Cycles'!$AT$16&lt;=AE$6),'Lease Cycles'!$C$16*'Lease Cycles'!$AU$16/12,'Lease Cycles'!$C$16*INDEX('Lease Cycles'!$CB$16:$CH$16,1,AE146)*(1+INDEX('Lease Cycles'!$CI$16:$CO$16,1,AE146))^INT(INT(AE147/12)/INDEX('Lease Cycles'!$CP$16:$CV$16,1,AE146))/12)))),'Lease Cycles'!$C$16*INDEX('Lease Cycles'!$CB$16:$CH$16,1,AE146)*(1+INDEX('Lease Cycles'!$CI$16:$CO$16,1,AE146))^INT(INT(AE147/12)/INDEX('Lease Cycles'!$CP$16:$CV$16,1,AE146))/12))),IF('Lease Cycles'!$N$16=1,'Lease Cycles'!$C$16*'Lease Cycles'!$E$16*INDEX('Lease Cycles'!$HE$16:$HK$16,1,AE146)*(1+INDEX('Lease Cycles'!$GQ$16:$GW$16,1,AE146))^INT(INT((AE$6-INDEX('Lease Cycles'!$GJ$16:$GP$16,1,AE146))/12)/INDEX('Lease Cycles'!$GX$16:$HD$16,1,AE146))/12,0)))</f>
        <v>4400</v>
      </c>
      <c r="AF149" s="28">
        <f>IF(AF146=0,IF('Lease Cycles'!$F$16&gt;0,'Lease Cycles'!$C$16*'Lease Cycles'!$E$16/12,0),IF(AF148=1,IF('Lease Cycles'!$AT$16&gt;=9999,'Lease Cycles'!$C$16*INDEX('Lease Cycles'!$CB$16:$CH$16,1,AF146)*(1+INDEX('Lease Cycles'!$CI$16:$CO$16,1,AF146))^INT(INT(AF147/12)/INDEX('Lease Cycles'!$CP$16:$CV$16,1,AF146))/12,IF(AF146=1,IF(AF147&gt;=INDEX('Lease Cycles'!$DK$16:$DQ$16,1,AF146),IF(AF$6&gt;='Lease Cycles'!$AZ$16,'Lease Cycles'!$C$16*'Lease Cycles'!$BA$16/12,IF(AF$6&gt;='Lease Cycles'!$AX$16,'Lease Cycles'!$C$16*'Lease Cycles'!$AY$16/12,IF(AF$6&gt;='Lease Cycles'!$AV$16,'Lease Cycles'!$C$16*'Lease Cycles'!$AW$16/12,IF(AF$6&gt;='Lease Cycles'!$AT$16,'Lease Cycles'!$C$16*'Lease Cycles'!$AU$16/12,'Lease Cycles'!$C$16*INDEX('Lease Cycles'!$CB$16:$CH$16,1,AF146)*(1+INDEX('Lease Cycles'!$CI$16:$CO$16,1,AF146))^INT(INT(AF147/12)/INDEX('Lease Cycles'!$CP$16:$CV$16,1,AF146))/12)))),'Lease Cycles'!$C$16*INDEX('Lease Cycles'!$CB$16:$CH$16,1,AF146)*(1+INDEX('Lease Cycles'!$CI$16:$CO$16,1,AF146))^INT(INT(AF147/12)/INDEX('Lease Cycles'!$CP$16:$CV$16,1,AF146))/12),IF(INDEX('Lease Cycles'!$EF$16:$EL$16,1,AF146)=1,IF(AND('Lease Cycles'!$AZ$16&gt;=INDEX('Lease Cycles'!$BG$16:$BM$16,1,AF146),'Lease Cycles'!$AZ$16&lt;=AF$6),'Lease Cycles'!$C$16*'Lease Cycles'!$BA$16/12,IF(AND('Lease Cycles'!$AX$16&gt;=INDEX('Lease Cycles'!$BG$16:$BM$16,1,AF146),'Lease Cycles'!$AX$16&lt;=AF$6),'Lease Cycles'!$C$16*'Lease Cycles'!$AY$16/12,IF(AND('Lease Cycles'!$AV$16&gt;=INDEX('Lease Cycles'!$BG$16:$BM$16,1,AF146),'Lease Cycles'!$AV$16&lt;=AF$6),'Lease Cycles'!$C$16*'Lease Cycles'!$AW$16/12,IF(AND('Lease Cycles'!$AT$16&gt;=INDEX('Lease Cycles'!$BG$16:$BM$16,1,AF146),'Lease Cycles'!$AT$16&lt;=AF$6),'Lease Cycles'!$C$16*'Lease Cycles'!$AU$16/12,'Lease Cycles'!$C$16*INDEX('Lease Cycles'!$CB$16:$CH$16,1,AF146)*(1+INDEX('Lease Cycles'!$CI$16:$CO$16,1,AF146))^INT(INT(AF147/12)/INDEX('Lease Cycles'!$CP$16:$CV$16,1,AF146))/12)))),'Lease Cycles'!$C$16*INDEX('Lease Cycles'!$CB$16:$CH$16,1,AF146)*(1+INDEX('Lease Cycles'!$CI$16:$CO$16,1,AF146))^INT(INT(AF147/12)/INDEX('Lease Cycles'!$CP$16:$CV$16,1,AF146))/12))),IF('Lease Cycles'!$N$16=1,'Lease Cycles'!$C$16*'Lease Cycles'!$E$16*INDEX('Lease Cycles'!$HE$16:$HK$16,1,AF146)*(1+INDEX('Lease Cycles'!$GQ$16:$GW$16,1,AF146))^INT(INT((AF$6-INDEX('Lease Cycles'!$GJ$16:$GP$16,1,AF146))/12)/INDEX('Lease Cycles'!$GX$16:$HD$16,1,AF146))/12,0)))</f>
        <v>4400</v>
      </c>
      <c r="AG149" s="28">
        <f>IF(AG146=0,IF('Lease Cycles'!$F$16&gt;0,'Lease Cycles'!$C$16*'Lease Cycles'!$E$16/12,0),IF(AG148=1,IF('Lease Cycles'!$AT$16&gt;=9999,'Lease Cycles'!$C$16*INDEX('Lease Cycles'!$CB$16:$CH$16,1,AG146)*(1+INDEX('Lease Cycles'!$CI$16:$CO$16,1,AG146))^INT(INT(AG147/12)/INDEX('Lease Cycles'!$CP$16:$CV$16,1,AG146))/12,IF(AG146=1,IF(AG147&gt;=INDEX('Lease Cycles'!$DK$16:$DQ$16,1,AG146),IF(AG$6&gt;='Lease Cycles'!$AZ$16,'Lease Cycles'!$C$16*'Lease Cycles'!$BA$16/12,IF(AG$6&gt;='Lease Cycles'!$AX$16,'Lease Cycles'!$C$16*'Lease Cycles'!$AY$16/12,IF(AG$6&gt;='Lease Cycles'!$AV$16,'Lease Cycles'!$C$16*'Lease Cycles'!$AW$16/12,IF(AG$6&gt;='Lease Cycles'!$AT$16,'Lease Cycles'!$C$16*'Lease Cycles'!$AU$16/12,'Lease Cycles'!$C$16*INDEX('Lease Cycles'!$CB$16:$CH$16,1,AG146)*(1+INDEX('Lease Cycles'!$CI$16:$CO$16,1,AG146))^INT(INT(AG147/12)/INDEX('Lease Cycles'!$CP$16:$CV$16,1,AG146))/12)))),'Lease Cycles'!$C$16*INDEX('Lease Cycles'!$CB$16:$CH$16,1,AG146)*(1+INDEX('Lease Cycles'!$CI$16:$CO$16,1,AG146))^INT(INT(AG147/12)/INDEX('Lease Cycles'!$CP$16:$CV$16,1,AG146))/12),IF(INDEX('Lease Cycles'!$EF$16:$EL$16,1,AG146)=1,IF(AND('Lease Cycles'!$AZ$16&gt;=INDEX('Lease Cycles'!$BG$16:$BM$16,1,AG146),'Lease Cycles'!$AZ$16&lt;=AG$6),'Lease Cycles'!$C$16*'Lease Cycles'!$BA$16/12,IF(AND('Lease Cycles'!$AX$16&gt;=INDEX('Lease Cycles'!$BG$16:$BM$16,1,AG146),'Lease Cycles'!$AX$16&lt;=AG$6),'Lease Cycles'!$C$16*'Lease Cycles'!$AY$16/12,IF(AND('Lease Cycles'!$AV$16&gt;=INDEX('Lease Cycles'!$BG$16:$BM$16,1,AG146),'Lease Cycles'!$AV$16&lt;=AG$6),'Lease Cycles'!$C$16*'Lease Cycles'!$AW$16/12,IF(AND('Lease Cycles'!$AT$16&gt;=INDEX('Lease Cycles'!$BG$16:$BM$16,1,AG146),'Lease Cycles'!$AT$16&lt;=AG$6),'Lease Cycles'!$C$16*'Lease Cycles'!$AU$16/12,'Lease Cycles'!$C$16*INDEX('Lease Cycles'!$CB$16:$CH$16,1,AG146)*(1+INDEX('Lease Cycles'!$CI$16:$CO$16,1,AG146))^INT(INT(AG147/12)/INDEX('Lease Cycles'!$CP$16:$CV$16,1,AG146))/12)))),'Lease Cycles'!$C$16*INDEX('Lease Cycles'!$CB$16:$CH$16,1,AG146)*(1+INDEX('Lease Cycles'!$CI$16:$CO$16,1,AG146))^INT(INT(AG147/12)/INDEX('Lease Cycles'!$CP$16:$CV$16,1,AG146))/12))),IF('Lease Cycles'!$N$16=1,'Lease Cycles'!$C$16*'Lease Cycles'!$E$16*INDEX('Lease Cycles'!$HE$16:$HK$16,1,AG146)*(1+INDEX('Lease Cycles'!$GQ$16:$GW$16,1,AG146))^INT(INT((AG$6-INDEX('Lease Cycles'!$GJ$16:$GP$16,1,AG146))/12)/INDEX('Lease Cycles'!$GX$16:$HD$16,1,AG146))/12,0)))</f>
        <v>4400</v>
      </c>
      <c r="AH149" s="28">
        <f>IF(AH146=0,IF('Lease Cycles'!$F$16&gt;0,'Lease Cycles'!$C$16*'Lease Cycles'!$E$16/12,0),IF(AH148=1,IF('Lease Cycles'!$AT$16&gt;=9999,'Lease Cycles'!$C$16*INDEX('Lease Cycles'!$CB$16:$CH$16,1,AH146)*(1+INDEX('Lease Cycles'!$CI$16:$CO$16,1,AH146))^INT(INT(AH147/12)/INDEX('Lease Cycles'!$CP$16:$CV$16,1,AH146))/12,IF(AH146=1,IF(AH147&gt;=INDEX('Lease Cycles'!$DK$16:$DQ$16,1,AH146),IF(AH$6&gt;='Lease Cycles'!$AZ$16,'Lease Cycles'!$C$16*'Lease Cycles'!$BA$16/12,IF(AH$6&gt;='Lease Cycles'!$AX$16,'Lease Cycles'!$C$16*'Lease Cycles'!$AY$16/12,IF(AH$6&gt;='Lease Cycles'!$AV$16,'Lease Cycles'!$C$16*'Lease Cycles'!$AW$16/12,IF(AH$6&gt;='Lease Cycles'!$AT$16,'Lease Cycles'!$C$16*'Lease Cycles'!$AU$16/12,'Lease Cycles'!$C$16*INDEX('Lease Cycles'!$CB$16:$CH$16,1,AH146)*(1+INDEX('Lease Cycles'!$CI$16:$CO$16,1,AH146))^INT(INT(AH147/12)/INDEX('Lease Cycles'!$CP$16:$CV$16,1,AH146))/12)))),'Lease Cycles'!$C$16*INDEX('Lease Cycles'!$CB$16:$CH$16,1,AH146)*(1+INDEX('Lease Cycles'!$CI$16:$CO$16,1,AH146))^INT(INT(AH147/12)/INDEX('Lease Cycles'!$CP$16:$CV$16,1,AH146))/12),IF(INDEX('Lease Cycles'!$EF$16:$EL$16,1,AH146)=1,IF(AND('Lease Cycles'!$AZ$16&gt;=INDEX('Lease Cycles'!$BG$16:$BM$16,1,AH146),'Lease Cycles'!$AZ$16&lt;=AH$6),'Lease Cycles'!$C$16*'Lease Cycles'!$BA$16/12,IF(AND('Lease Cycles'!$AX$16&gt;=INDEX('Lease Cycles'!$BG$16:$BM$16,1,AH146),'Lease Cycles'!$AX$16&lt;=AH$6),'Lease Cycles'!$C$16*'Lease Cycles'!$AY$16/12,IF(AND('Lease Cycles'!$AV$16&gt;=INDEX('Lease Cycles'!$BG$16:$BM$16,1,AH146),'Lease Cycles'!$AV$16&lt;=AH$6),'Lease Cycles'!$C$16*'Lease Cycles'!$AW$16/12,IF(AND('Lease Cycles'!$AT$16&gt;=INDEX('Lease Cycles'!$BG$16:$BM$16,1,AH146),'Lease Cycles'!$AT$16&lt;=AH$6),'Lease Cycles'!$C$16*'Lease Cycles'!$AU$16/12,'Lease Cycles'!$C$16*INDEX('Lease Cycles'!$CB$16:$CH$16,1,AH146)*(1+INDEX('Lease Cycles'!$CI$16:$CO$16,1,AH146))^INT(INT(AH147/12)/INDEX('Lease Cycles'!$CP$16:$CV$16,1,AH146))/12)))),'Lease Cycles'!$C$16*INDEX('Lease Cycles'!$CB$16:$CH$16,1,AH146)*(1+INDEX('Lease Cycles'!$CI$16:$CO$16,1,AH146))^INT(INT(AH147/12)/INDEX('Lease Cycles'!$CP$16:$CV$16,1,AH146))/12))),IF('Lease Cycles'!$N$16=1,'Lease Cycles'!$C$16*'Lease Cycles'!$E$16*INDEX('Lease Cycles'!$HE$16:$HK$16,1,AH146)*(1+INDEX('Lease Cycles'!$GQ$16:$GW$16,1,AH146))^INT(INT((AH$6-INDEX('Lease Cycles'!$GJ$16:$GP$16,1,AH146))/12)/INDEX('Lease Cycles'!$GX$16:$HD$16,1,AH146))/12,0)))</f>
        <v>4400</v>
      </c>
      <c r="AI149" s="28">
        <f>IF(AI146=0,IF('Lease Cycles'!$F$16&gt;0,'Lease Cycles'!$C$16*'Lease Cycles'!$E$16/12,0),IF(AI148=1,IF('Lease Cycles'!$AT$16&gt;=9999,'Lease Cycles'!$C$16*INDEX('Lease Cycles'!$CB$16:$CH$16,1,AI146)*(1+INDEX('Lease Cycles'!$CI$16:$CO$16,1,AI146))^INT(INT(AI147/12)/INDEX('Lease Cycles'!$CP$16:$CV$16,1,AI146))/12,IF(AI146=1,IF(AI147&gt;=INDEX('Lease Cycles'!$DK$16:$DQ$16,1,AI146),IF(AI$6&gt;='Lease Cycles'!$AZ$16,'Lease Cycles'!$C$16*'Lease Cycles'!$BA$16/12,IF(AI$6&gt;='Lease Cycles'!$AX$16,'Lease Cycles'!$C$16*'Lease Cycles'!$AY$16/12,IF(AI$6&gt;='Lease Cycles'!$AV$16,'Lease Cycles'!$C$16*'Lease Cycles'!$AW$16/12,IF(AI$6&gt;='Lease Cycles'!$AT$16,'Lease Cycles'!$C$16*'Lease Cycles'!$AU$16/12,'Lease Cycles'!$C$16*INDEX('Lease Cycles'!$CB$16:$CH$16,1,AI146)*(1+INDEX('Lease Cycles'!$CI$16:$CO$16,1,AI146))^INT(INT(AI147/12)/INDEX('Lease Cycles'!$CP$16:$CV$16,1,AI146))/12)))),'Lease Cycles'!$C$16*INDEX('Lease Cycles'!$CB$16:$CH$16,1,AI146)*(1+INDEX('Lease Cycles'!$CI$16:$CO$16,1,AI146))^INT(INT(AI147/12)/INDEX('Lease Cycles'!$CP$16:$CV$16,1,AI146))/12),IF(INDEX('Lease Cycles'!$EF$16:$EL$16,1,AI146)=1,IF(AND('Lease Cycles'!$AZ$16&gt;=INDEX('Lease Cycles'!$BG$16:$BM$16,1,AI146),'Lease Cycles'!$AZ$16&lt;=AI$6),'Lease Cycles'!$C$16*'Lease Cycles'!$BA$16/12,IF(AND('Lease Cycles'!$AX$16&gt;=INDEX('Lease Cycles'!$BG$16:$BM$16,1,AI146),'Lease Cycles'!$AX$16&lt;=AI$6),'Lease Cycles'!$C$16*'Lease Cycles'!$AY$16/12,IF(AND('Lease Cycles'!$AV$16&gt;=INDEX('Lease Cycles'!$BG$16:$BM$16,1,AI146),'Lease Cycles'!$AV$16&lt;=AI$6),'Lease Cycles'!$C$16*'Lease Cycles'!$AW$16/12,IF(AND('Lease Cycles'!$AT$16&gt;=INDEX('Lease Cycles'!$BG$16:$BM$16,1,AI146),'Lease Cycles'!$AT$16&lt;=AI$6),'Lease Cycles'!$C$16*'Lease Cycles'!$AU$16/12,'Lease Cycles'!$C$16*INDEX('Lease Cycles'!$CB$16:$CH$16,1,AI146)*(1+INDEX('Lease Cycles'!$CI$16:$CO$16,1,AI146))^INT(INT(AI147/12)/INDEX('Lease Cycles'!$CP$16:$CV$16,1,AI146))/12)))),'Lease Cycles'!$C$16*INDEX('Lease Cycles'!$CB$16:$CH$16,1,AI146)*(1+INDEX('Lease Cycles'!$CI$16:$CO$16,1,AI146))^INT(INT(AI147/12)/INDEX('Lease Cycles'!$CP$16:$CV$16,1,AI146))/12))),IF('Lease Cycles'!$N$16=1,'Lease Cycles'!$C$16*'Lease Cycles'!$E$16*INDEX('Lease Cycles'!$HE$16:$HK$16,1,AI146)*(1+INDEX('Lease Cycles'!$GQ$16:$GW$16,1,AI146))^INT(INT((AI$6-INDEX('Lease Cycles'!$GJ$16:$GP$16,1,AI146))/12)/INDEX('Lease Cycles'!$GX$16:$HD$16,1,AI146))/12,0)))</f>
        <v>4400</v>
      </c>
      <c r="AJ149" s="28">
        <f>IF(AJ146=0,IF('Lease Cycles'!$F$16&gt;0,'Lease Cycles'!$C$16*'Lease Cycles'!$E$16/12,0),IF(AJ148=1,IF('Lease Cycles'!$AT$16&gt;=9999,'Lease Cycles'!$C$16*INDEX('Lease Cycles'!$CB$16:$CH$16,1,AJ146)*(1+INDEX('Lease Cycles'!$CI$16:$CO$16,1,AJ146))^INT(INT(AJ147/12)/INDEX('Lease Cycles'!$CP$16:$CV$16,1,AJ146))/12,IF(AJ146=1,IF(AJ147&gt;=INDEX('Lease Cycles'!$DK$16:$DQ$16,1,AJ146),IF(AJ$6&gt;='Lease Cycles'!$AZ$16,'Lease Cycles'!$C$16*'Lease Cycles'!$BA$16/12,IF(AJ$6&gt;='Lease Cycles'!$AX$16,'Lease Cycles'!$C$16*'Lease Cycles'!$AY$16/12,IF(AJ$6&gt;='Lease Cycles'!$AV$16,'Lease Cycles'!$C$16*'Lease Cycles'!$AW$16/12,IF(AJ$6&gt;='Lease Cycles'!$AT$16,'Lease Cycles'!$C$16*'Lease Cycles'!$AU$16/12,'Lease Cycles'!$C$16*INDEX('Lease Cycles'!$CB$16:$CH$16,1,AJ146)*(1+INDEX('Lease Cycles'!$CI$16:$CO$16,1,AJ146))^INT(INT(AJ147/12)/INDEX('Lease Cycles'!$CP$16:$CV$16,1,AJ146))/12)))),'Lease Cycles'!$C$16*INDEX('Lease Cycles'!$CB$16:$CH$16,1,AJ146)*(1+INDEX('Lease Cycles'!$CI$16:$CO$16,1,AJ146))^INT(INT(AJ147/12)/INDEX('Lease Cycles'!$CP$16:$CV$16,1,AJ146))/12),IF(INDEX('Lease Cycles'!$EF$16:$EL$16,1,AJ146)=1,IF(AND('Lease Cycles'!$AZ$16&gt;=INDEX('Lease Cycles'!$BG$16:$BM$16,1,AJ146),'Lease Cycles'!$AZ$16&lt;=AJ$6),'Lease Cycles'!$C$16*'Lease Cycles'!$BA$16/12,IF(AND('Lease Cycles'!$AX$16&gt;=INDEX('Lease Cycles'!$BG$16:$BM$16,1,AJ146),'Lease Cycles'!$AX$16&lt;=AJ$6),'Lease Cycles'!$C$16*'Lease Cycles'!$AY$16/12,IF(AND('Lease Cycles'!$AV$16&gt;=INDEX('Lease Cycles'!$BG$16:$BM$16,1,AJ146),'Lease Cycles'!$AV$16&lt;=AJ$6),'Lease Cycles'!$C$16*'Lease Cycles'!$AW$16/12,IF(AND('Lease Cycles'!$AT$16&gt;=INDEX('Lease Cycles'!$BG$16:$BM$16,1,AJ146),'Lease Cycles'!$AT$16&lt;=AJ$6),'Lease Cycles'!$C$16*'Lease Cycles'!$AU$16/12,'Lease Cycles'!$C$16*INDEX('Lease Cycles'!$CB$16:$CH$16,1,AJ146)*(1+INDEX('Lease Cycles'!$CI$16:$CO$16,1,AJ146))^INT(INT(AJ147/12)/INDEX('Lease Cycles'!$CP$16:$CV$16,1,AJ146))/12)))),'Lease Cycles'!$C$16*INDEX('Lease Cycles'!$CB$16:$CH$16,1,AJ146)*(1+INDEX('Lease Cycles'!$CI$16:$CO$16,1,AJ146))^INT(INT(AJ147/12)/INDEX('Lease Cycles'!$CP$16:$CV$16,1,AJ146))/12))),IF('Lease Cycles'!$N$16=1,'Lease Cycles'!$C$16*'Lease Cycles'!$E$16*INDEX('Lease Cycles'!$HE$16:$HK$16,1,AJ146)*(1+INDEX('Lease Cycles'!$GQ$16:$GW$16,1,AJ146))^INT(INT((AJ$6-INDEX('Lease Cycles'!$GJ$16:$GP$16,1,AJ146))/12)/INDEX('Lease Cycles'!$GX$16:$HD$16,1,AJ146))/12,0)))</f>
        <v>4400</v>
      </c>
      <c r="AK149" s="28">
        <f>IF(AK146=0,IF('Lease Cycles'!$F$16&gt;0,'Lease Cycles'!$C$16*'Lease Cycles'!$E$16/12,0),IF(AK148=1,IF('Lease Cycles'!$AT$16&gt;=9999,'Lease Cycles'!$C$16*INDEX('Lease Cycles'!$CB$16:$CH$16,1,AK146)*(1+INDEX('Lease Cycles'!$CI$16:$CO$16,1,AK146))^INT(INT(AK147/12)/INDEX('Lease Cycles'!$CP$16:$CV$16,1,AK146))/12,IF(AK146=1,IF(AK147&gt;=INDEX('Lease Cycles'!$DK$16:$DQ$16,1,AK146),IF(AK$6&gt;='Lease Cycles'!$AZ$16,'Lease Cycles'!$C$16*'Lease Cycles'!$BA$16/12,IF(AK$6&gt;='Lease Cycles'!$AX$16,'Lease Cycles'!$C$16*'Lease Cycles'!$AY$16/12,IF(AK$6&gt;='Lease Cycles'!$AV$16,'Lease Cycles'!$C$16*'Lease Cycles'!$AW$16/12,IF(AK$6&gt;='Lease Cycles'!$AT$16,'Lease Cycles'!$C$16*'Lease Cycles'!$AU$16/12,'Lease Cycles'!$C$16*INDEX('Lease Cycles'!$CB$16:$CH$16,1,AK146)*(1+INDEX('Lease Cycles'!$CI$16:$CO$16,1,AK146))^INT(INT(AK147/12)/INDEX('Lease Cycles'!$CP$16:$CV$16,1,AK146))/12)))),'Lease Cycles'!$C$16*INDEX('Lease Cycles'!$CB$16:$CH$16,1,AK146)*(1+INDEX('Lease Cycles'!$CI$16:$CO$16,1,AK146))^INT(INT(AK147/12)/INDEX('Lease Cycles'!$CP$16:$CV$16,1,AK146))/12),IF(INDEX('Lease Cycles'!$EF$16:$EL$16,1,AK146)=1,IF(AND('Lease Cycles'!$AZ$16&gt;=INDEX('Lease Cycles'!$BG$16:$BM$16,1,AK146),'Lease Cycles'!$AZ$16&lt;=AK$6),'Lease Cycles'!$C$16*'Lease Cycles'!$BA$16/12,IF(AND('Lease Cycles'!$AX$16&gt;=INDEX('Lease Cycles'!$BG$16:$BM$16,1,AK146),'Lease Cycles'!$AX$16&lt;=AK$6),'Lease Cycles'!$C$16*'Lease Cycles'!$AY$16/12,IF(AND('Lease Cycles'!$AV$16&gt;=INDEX('Lease Cycles'!$BG$16:$BM$16,1,AK146),'Lease Cycles'!$AV$16&lt;=AK$6),'Lease Cycles'!$C$16*'Lease Cycles'!$AW$16/12,IF(AND('Lease Cycles'!$AT$16&gt;=INDEX('Lease Cycles'!$BG$16:$BM$16,1,AK146),'Lease Cycles'!$AT$16&lt;=AK$6),'Lease Cycles'!$C$16*'Lease Cycles'!$AU$16/12,'Lease Cycles'!$C$16*INDEX('Lease Cycles'!$CB$16:$CH$16,1,AK146)*(1+INDEX('Lease Cycles'!$CI$16:$CO$16,1,AK146))^INT(INT(AK147/12)/INDEX('Lease Cycles'!$CP$16:$CV$16,1,AK146))/12)))),'Lease Cycles'!$C$16*INDEX('Lease Cycles'!$CB$16:$CH$16,1,AK146)*(1+INDEX('Lease Cycles'!$CI$16:$CO$16,1,AK146))^INT(INT(AK147/12)/INDEX('Lease Cycles'!$CP$16:$CV$16,1,AK146))/12))),IF('Lease Cycles'!$N$16=1,'Lease Cycles'!$C$16*'Lease Cycles'!$E$16*INDEX('Lease Cycles'!$HE$16:$HK$16,1,AK146)*(1+INDEX('Lease Cycles'!$GQ$16:$GW$16,1,AK146))^INT(INT((AK$6-INDEX('Lease Cycles'!$GJ$16:$GP$16,1,AK146))/12)/INDEX('Lease Cycles'!$GX$16:$HD$16,1,AK146))/12,0)))</f>
        <v>4400</v>
      </c>
      <c r="AL149" s="28">
        <f>IF(AL146=0,IF('Lease Cycles'!$F$16&gt;0,'Lease Cycles'!$C$16*'Lease Cycles'!$E$16/12,0),IF(AL148=1,IF('Lease Cycles'!$AT$16&gt;=9999,'Lease Cycles'!$C$16*INDEX('Lease Cycles'!$CB$16:$CH$16,1,AL146)*(1+INDEX('Lease Cycles'!$CI$16:$CO$16,1,AL146))^INT(INT(AL147/12)/INDEX('Lease Cycles'!$CP$16:$CV$16,1,AL146))/12,IF(AL146=1,IF(AL147&gt;=INDEX('Lease Cycles'!$DK$16:$DQ$16,1,AL146),IF(AL$6&gt;='Lease Cycles'!$AZ$16,'Lease Cycles'!$C$16*'Lease Cycles'!$BA$16/12,IF(AL$6&gt;='Lease Cycles'!$AX$16,'Lease Cycles'!$C$16*'Lease Cycles'!$AY$16/12,IF(AL$6&gt;='Lease Cycles'!$AV$16,'Lease Cycles'!$C$16*'Lease Cycles'!$AW$16/12,IF(AL$6&gt;='Lease Cycles'!$AT$16,'Lease Cycles'!$C$16*'Lease Cycles'!$AU$16/12,'Lease Cycles'!$C$16*INDEX('Lease Cycles'!$CB$16:$CH$16,1,AL146)*(1+INDEX('Lease Cycles'!$CI$16:$CO$16,1,AL146))^INT(INT(AL147/12)/INDEX('Lease Cycles'!$CP$16:$CV$16,1,AL146))/12)))),'Lease Cycles'!$C$16*INDEX('Lease Cycles'!$CB$16:$CH$16,1,AL146)*(1+INDEX('Lease Cycles'!$CI$16:$CO$16,1,AL146))^INT(INT(AL147/12)/INDEX('Lease Cycles'!$CP$16:$CV$16,1,AL146))/12),IF(INDEX('Lease Cycles'!$EF$16:$EL$16,1,AL146)=1,IF(AND('Lease Cycles'!$AZ$16&gt;=INDEX('Lease Cycles'!$BG$16:$BM$16,1,AL146),'Lease Cycles'!$AZ$16&lt;=AL$6),'Lease Cycles'!$C$16*'Lease Cycles'!$BA$16/12,IF(AND('Lease Cycles'!$AX$16&gt;=INDEX('Lease Cycles'!$BG$16:$BM$16,1,AL146),'Lease Cycles'!$AX$16&lt;=AL$6),'Lease Cycles'!$C$16*'Lease Cycles'!$AY$16/12,IF(AND('Lease Cycles'!$AV$16&gt;=INDEX('Lease Cycles'!$BG$16:$BM$16,1,AL146),'Lease Cycles'!$AV$16&lt;=AL$6),'Lease Cycles'!$C$16*'Lease Cycles'!$AW$16/12,IF(AND('Lease Cycles'!$AT$16&gt;=INDEX('Lease Cycles'!$BG$16:$BM$16,1,AL146),'Lease Cycles'!$AT$16&lt;=AL$6),'Lease Cycles'!$C$16*'Lease Cycles'!$AU$16/12,'Lease Cycles'!$C$16*INDEX('Lease Cycles'!$CB$16:$CH$16,1,AL146)*(1+INDEX('Lease Cycles'!$CI$16:$CO$16,1,AL146))^INT(INT(AL147/12)/INDEX('Lease Cycles'!$CP$16:$CV$16,1,AL146))/12)))),'Lease Cycles'!$C$16*INDEX('Lease Cycles'!$CB$16:$CH$16,1,AL146)*(1+INDEX('Lease Cycles'!$CI$16:$CO$16,1,AL146))^INT(INT(AL147/12)/INDEX('Lease Cycles'!$CP$16:$CV$16,1,AL146))/12))),IF('Lease Cycles'!$N$16=1,'Lease Cycles'!$C$16*'Lease Cycles'!$E$16*INDEX('Lease Cycles'!$HE$16:$HK$16,1,AL146)*(1+INDEX('Lease Cycles'!$GQ$16:$GW$16,1,AL146))^INT(INT((AL$6-INDEX('Lease Cycles'!$GJ$16:$GP$16,1,AL146))/12)/INDEX('Lease Cycles'!$GX$16:$HD$16,1,AL146))/12,0)))</f>
        <v>4400</v>
      </c>
      <c r="AM149" s="28">
        <f>IF(AM146=0,IF('Lease Cycles'!$F$16&gt;0,'Lease Cycles'!$C$16*'Lease Cycles'!$E$16/12,0),IF(AM148=1,IF('Lease Cycles'!$AT$16&gt;=9999,'Lease Cycles'!$C$16*INDEX('Lease Cycles'!$CB$16:$CH$16,1,AM146)*(1+INDEX('Lease Cycles'!$CI$16:$CO$16,1,AM146))^INT(INT(AM147/12)/INDEX('Lease Cycles'!$CP$16:$CV$16,1,AM146))/12,IF(AM146=1,IF(AM147&gt;=INDEX('Lease Cycles'!$DK$16:$DQ$16,1,AM146),IF(AM$6&gt;='Lease Cycles'!$AZ$16,'Lease Cycles'!$C$16*'Lease Cycles'!$BA$16/12,IF(AM$6&gt;='Lease Cycles'!$AX$16,'Lease Cycles'!$C$16*'Lease Cycles'!$AY$16/12,IF(AM$6&gt;='Lease Cycles'!$AV$16,'Lease Cycles'!$C$16*'Lease Cycles'!$AW$16/12,IF(AM$6&gt;='Lease Cycles'!$AT$16,'Lease Cycles'!$C$16*'Lease Cycles'!$AU$16/12,'Lease Cycles'!$C$16*INDEX('Lease Cycles'!$CB$16:$CH$16,1,AM146)*(1+INDEX('Lease Cycles'!$CI$16:$CO$16,1,AM146))^INT(INT(AM147/12)/INDEX('Lease Cycles'!$CP$16:$CV$16,1,AM146))/12)))),'Lease Cycles'!$C$16*INDEX('Lease Cycles'!$CB$16:$CH$16,1,AM146)*(1+INDEX('Lease Cycles'!$CI$16:$CO$16,1,AM146))^INT(INT(AM147/12)/INDEX('Lease Cycles'!$CP$16:$CV$16,1,AM146))/12),IF(INDEX('Lease Cycles'!$EF$16:$EL$16,1,AM146)=1,IF(AND('Lease Cycles'!$AZ$16&gt;=INDEX('Lease Cycles'!$BG$16:$BM$16,1,AM146),'Lease Cycles'!$AZ$16&lt;=AM$6),'Lease Cycles'!$C$16*'Lease Cycles'!$BA$16/12,IF(AND('Lease Cycles'!$AX$16&gt;=INDEX('Lease Cycles'!$BG$16:$BM$16,1,AM146),'Lease Cycles'!$AX$16&lt;=AM$6),'Lease Cycles'!$C$16*'Lease Cycles'!$AY$16/12,IF(AND('Lease Cycles'!$AV$16&gt;=INDEX('Lease Cycles'!$BG$16:$BM$16,1,AM146),'Lease Cycles'!$AV$16&lt;=AM$6),'Lease Cycles'!$C$16*'Lease Cycles'!$AW$16/12,IF(AND('Lease Cycles'!$AT$16&gt;=INDEX('Lease Cycles'!$BG$16:$BM$16,1,AM146),'Lease Cycles'!$AT$16&lt;=AM$6),'Lease Cycles'!$C$16*'Lease Cycles'!$AU$16/12,'Lease Cycles'!$C$16*INDEX('Lease Cycles'!$CB$16:$CH$16,1,AM146)*(1+INDEX('Lease Cycles'!$CI$16:$CO$16,1,AM146))^INT(INT(AM147/12)/INDEX('Lease Cycles'!$CP$16:$CV$16,1,AM146))/12)))),'Lease Cycles'!$C$16*INDEX('Lease Cycles'!$CB$16:$CH$16,1,AM146)*(1+INDEX('Lease Cycles'!$CI$16:$CO$16,1,AM146))^INT(INT(AM147/12)/INDEX('Lease Cycles'!$CP$16:$CV$16,1,AM146))/12))),IF('Lease Cycles'!$N$16=1,'Lease Cycles'!$C$16*'Lease Cycles'!$E$16*INDEX('Lease Cycles'!$HE$16:$HK$16,1,AM146)*(1+INDEX('Lease Cycles'!$GQ$16:$GW$16,1,AM146))^INT(INT((AM$6-INDEX('Lease Cycles'!$GJ$16:$GP$16,1,AM146))/12)/INDEX('Lease Cycles'!$GX$16:$HD$16,1,AM146))/12,0)))</f>
        <v>4400</v>
      </c>
      <c r="AN149" s="28">
        <f>IF(AN146=0,IF('Lease Cycles'!$F$16&gt;0,'Lease Cycles'!$C$16*'Lease Cycles'!$E$16/12,0),IF(AN148=1,IF('Lease Cycles'!$AT$16&gt;=9999,'Lease Cycles'!$C$16*INDEX('Lease Cycles'!$CB$16:$CH$16,1,AN146)*(1+INDEX('Lease Cycles'!$CI$16:$CO$16,1,AN146))^INT(INT(AN147/12)/INDEX('Lease Cycles'!$CP$16:$CV$16,1,AN146))/12,IF(AN146=1,IF(AN147&gt;=INDEX('Lease Cycles'!$DK$16:$DQ$16,1,AN146),IF(AN$6&gt;='Lease Cycles'!$AZ$16,'Lease Cycles'!$C$16*'Lease Cycles'!$BA$16/12,IF(AN$6&gt;='Lease Cycles'!$AX$16,'Lease Cycles'!$C$16*'Lease Cycles'!$AY$16/12,IF(AN$6&gt;='Lease Cycles'!$AV$16,'Lease Cycles'!$C$16*'Lease Cycles'!$AW$16/12,IF(AN$6&gt;='Lease Cycles'!$AT$16,'Lease Cycles'!$C$16*'Lease Cycles'!$AU$16/12,'Lease Cycles'!$C$16*INDEX('Lease Cycles'!$CB$16:$CH$16,1,AN146)*(1+INDEX('Lease Cycles'!$CI$16:$CO$16,1,AN146))^INT(INT(AN147/12)/INDEX('Lease Cycles'!$CP$16:$CV$16,1,AN146))/12)))),'Lease Cycles'!$C$16*INDEX('Lease Cycles'!$CB$16:$CH$16,1,AN146)*(1+INDEX('Lease Cycles'!$CI$16:$CO$16,1,AN146))^INT(INT(AN147/12)/INDEX('Lease Cycles'!$CP$16:$CV$16,1,AN146))/12),IF(INDEX('Lease Cycles'!$EF$16:$EL$16,1,AN146)=1,IF(AND('Lease Cycles'!$AZ$16&gt;=INDEX('Lease Cycles'!$BG$16:$BM$16,1,AN146),'Lease Cycles'!$AZ$16&lt;=AN$6),'Lease Cycles'!$C$16*'Lease Cycles'!$BA$16/12,IF(AND('Lease Cycles'!$AX$16&gt;=INDEX('Lease Cycles'!$BG$16:$BM$16,1,AN146),'Lease Cycles'!$AX$16&lt;=AN$6),'Lease Cycles'!$C$16*'Lease Cycles'!$AY$16/12,IF(AND('Lease Cycles'!$AV$16&gt;=INDEX('Lease Cycles'!$BG$16:$BM$16,1,AN146),'Lease Cycles'!$AV$16&lt;=AN$6),'Lease Cycles'!$C$16*'Lease Cycles'!$AW$16/12,IF(AND('Lease Cycles'!$AT$16&gt;=INDEX('Lease Cycles'!$BG$16:$BM$16,1,AN146),'Lease Cycles'!$AT$16&lt;=AN$6),'Lease Cycles'!$C$16*'Lease Cycles'!$AU$16/12,'Lease Cycles'!$C$16*INDEX('Lease Cycles'!$CB$16:$CH$16,1,AN146)*(1+INDEX('Lease Cycles'!$CI$16:$CO$16,1,AN146))^INT(INT(AN147/12)/INDEX('Lease Cycles'!$CP$16:$CV$16,1,AN146))/12)))),'Lease Cycles'!$C$16*INDEX('Lease Cycles'!$CB$16:$CH$16,1,AN146)*(1+INDEX('Lease Cycles'!$CI$16:$CO$16,1,AN146))^INT(INT(AN147/12)/INDEX('Lease Cycles'!$CP$16:$CV$16,1,AN146))/12))),IF('Lease Cycles'!$N$16=1,'Lease Cycles'!$C$16*'Lease Cycles'!$E$16*INDEX('Lease Cycles'!$HE$16:$HK$16,1,AN146)*(1+INDEX('Lease Cycles'!$GQ$16:$GW$16,1,AN146))^INT(INT((AN$6-INDEX('Lease Cycles'!$GJ$16:$GP$16,1,AN146))/12)/INDEX('Lease Cycles'!$GX$16:$HD$16,1,AN146))/12,0)))</f>
        <v>4400</v>
      </c>
      <c r="AO149" s="28">
        <f>IF(AO146=0,IF('Lease Cycles'!$F$16&gt;0,'Lease Cycles'!$C$16*'Lease Cycles'!$E$16/12,0),IF(AO148=1,IF('Lease Cycles'!$AT$16&gt;=9999,'Lease Cycles'!$C$16*INDEX('Lease Cycles'!$CB$16:$CH$16,1,AO146)*(1+INDEX('Lease Cycles'!$CI$16:$CO$16,1,AO146))^INT(INT(AO147/12)/INDEX('Lease Cycles'!$CP$16:$CV$16,1,AO146))/12,IF(AO146=1,IF(AO147&gt;=INDEX('Lease Cycles'!$DK$16:$DQ$16,1,AO146),IF(AO$6&gt;='Lease Cycles'!$AZ$16,'Lease Cycles'!$C$16*'Lease Cycles'!$BA$16/12,IF(AO$6&gt;='Lease Cycles'!$AX$16,'Lease Cycles'!$C$16*'Lease Cycles'!$AY$16/12,IF(AO$6&gt;='Lease Cycles'!$AV$16,'Lease Cycles'!$C$16*'Lease Cycles'!$AW$16/12,IF(AO$6&gt;='Lease Cycles'!$AT$16,'Lease Cycles'!$C$16*'Lease Cycles'!$AU$16/12,'Lease Cycles'!$C$16*INDEX('Lease Cycles'!$CB$16:$CH$16,1,AO146)*(1+INDEX('Lease Cycles'!$CI$16:$CO$16,1,AO146))^INT(INT(AO147/12)/INDEX('Lease Cycles'!$CP$16:$CV$16,1,AO146))/12)))),'Lease Cycles'!$C$16*INDEX('Lease Cycles'!$CB$16:$CH$16,1,AO146)*(1+INDEX('Lease Cycles'!$CI$16:$CO$16,1,AO146))^INT(INT(AO147/12)/INDEX('Lease Cycles'!$CP$16:$CV$16,1,AO146))/12),IF(INDEX('Lease Cycles'!$EF$16:$EL$16,1,AO146)=1,IF(AND('Lease Cycles'!$AZ$16&gt;=INDEX('Lease Cycles'!$BG$16:$BM$16,1,AO146),'Lease Cycles'!$AZ$16&lt;=AO$6),'Lease Cycles'!$C$16*'Lease Cycles'!$BA$16/12,IF(AND('Lease Cycles'!$AX$16&gt;=INDEX('Lease Cycles'!$BG$16:$BM$16,1,AO146),'Lease Cycles'!$AX$16&lt;=AO$6),'Lease Cycles'!$C$16*'Lease Cycles'!$AY$16/12,IF(AND('Lease Cycles'!$AV$16&gt;=INDEX('Lease Cycles'!$BG$16:$BM$16,1,AO146),'Lease Cycles'!$AV$16&lt;=AO$6),'Lease Cycles'!$C$16*'Lease Cycles'!$AW$16/12,IF(AND('Lease Cycles'!$AT$16&gt;=INDEX('Lease Cycles'!$BG$16:$BM$16,1,AO146),'Lease Cycles'!$AT$16&lt;=AO$6),'Lease Cycles'!$C$16*'Lease Cycles'!$AU$16/12,'Lease Cycles'!$C$16*INDEX('Lease Cycles'!$CB$16:$CH$16,1,AO146)*(1+INDEX('Lease Cycles'!$CI$16:$CO$16,1,AO146))^INT(INT(AO147/12)/INDEX('Lease Cycles'!$CP$16:$CV$16,1,AO146))/12)))),'Lease Cycles'!$C$16*INDEX('Lease Cycles'!$CB$16:$CH$16,1,AO146)*(1+INDEX('Lease Cycles'!$CI$16:$CO$16,1,AO146))^INT(INT(AO147/12)/INDEX('Lease Cycles'!$CP$16:$CV$16,1,AO146))/12))),IF('Lease Cycles'!$N$16=1,'Lease Cycles'!$C$16*'Lease Cycles'!$E$16*INDEX('Lease Cycles'!$HE$16:$HK$16,1,AO146)*(1+INDEX('Lease Cycles'!$GQ$16:$GW$16,1,AO146))^INT(INT((AO$6-INDEX('Lease Cycles'!$GJ$16:$GP$16,1,AO146))/12)/INDEX('Lease Cycles'!$GX$16:$HD$16,1,AO146))/12,0)))</f>
        <v>4400</v>
      </c>
      <c r="AP149" s="28">
        <f>IF(AP146=0,IF('Lease Cycles'!$F$16&gt;0,'Lease Cycles'!$C$16*'Lease Cycles'!$E$16/12,0),IF(AP148=1,IF('Lease Cycles'!$AT$16&gt;=9999,'Lease Cycles'!$C$16*INDEX('Lease Cycles'!$CB$16:$CH$16,1,AP146)*(1+INDEX('Lease Cycles'!$CI$16:$CO$16,1,AP146))^INT(INT(AP147/12)/INDEX('Lease Cycles'!$CP$16:$CV$16,1,AP146))/12,IF(AP146=1,IF(AP147&gt;=INDEX('Lease Cycles'!$DK$16:$DQ$16,1,AP146),IF(AP$6&gt;='Lease Cycles'!$AZ$16,'Lease Cycles'!$C$16*'Lease Cycles'!$BA$16/12,IF(AP$6&gt;='Lease Cycles'!$AX$16,'Lease Cycles'!$C$16*'Lease Cycles'!$AY$16/12,IF(AP$6&gt;='Lease Cycles'!$AV$16,'Lease Cycles'!$C$16*'Lease Cycles'!$AW$16/12,IF(AP$6&gt;='Lease Cycles'!$AT$16,'Lease Cycles'!$C$16*'Lease Cycles'!$AU$16/12,'Lease Cycles'!$C$16*INDEX('Lease Cycles'!$CB$16:$CH$16,1,AP146)*(1+INDEX('Lease Cycles'!$CI$16:$CO$16,1,AP146))^INT(INT(AP147/12)/INDEX('Lease Cycles'!$CP$16:$CV$16,1,AP146))/12)))),'Lease Cycles'!$C$16*INDEX('Lease Cycles'!$CB$16:$CH$16,1,AP146)*(1+INDEX('Lease Cycles'!$CI$16:$CO$16,1,AP146))^INT(INT(AP147/12)/INDEX('Lease Cycles'!$CP$16:$CV$16,1,AP146))/12),IF(INDEX('Lease Cycles'!$EF$16:$EL$16,1,AP146)=1,IF(AND('Lease Cycles'!$AZ$16&gt;=INDEX('Lease Cycles'!$BG$16:$BM$16,1,AP146),'Lease Cycles'!$AZ$16&lt;=AP$6),'Lease Cycles'!$C$16*'Lease Cycles'!$BA$16/12,IF(AND('Lease Cycles'!$AX$16&gt;=INDEX('Lease Cycles'!$BG$16:$BM$16,1,AP146),'Lease Cycles'!$AX$16&lt;=AP$6),'Lease Cycles'!$C$16*'Lease Cycles'!$AY$16/12,IF(AND('Lease Cycles'!$AV$16&gt;=INDEX('Lease Cycles'!$BG$16:$BM$16,1,AP146),'Lease Cycles'!$AV$16&lt;=AP$6),'Lease Cycles'!$C$16*'Lease Cycles'!$AW$16/12,IF(AND('Lease Cycles'!$AT$16&gt;=INDEX('Lease Cycles'!$BG$16:$BM$16,1,AP146),'Lease Cycles'!$AT$16&lt;=AP$6),'Lease Cycles'!$C$16*'Lease Cycles'!$AU$16/12,'Lease Cycles'!$C$16*INDEX('Lease Cycles'!$CB$16:$CH$16,1,AP146)*(1+INDEX('Lease Cycles'!$CI$16:$CO$16,1,AP146))^INT(INT(AP147/12)/INDEX('Lease Cycles'!$CP$16:$CV$16,1,AP146))/12)))),'Lease Cycles'!$C$16*INDEX('Lease Cycles'!$CB$16:$CH$16,1,AP146)*(1+INDEX('Lease Cycles'!$CI$16:$CO$16,1,AP146))^INT(INT(AP147/12)/INDEX('Lease Cycles'!$CP$16:$CV$16,1,AP146))/12))),IF('Lease Cycles'!$N$16=1,'Lease Cycles'!$C$16*'Lease Cycles'!$E$16*INDEX('Lease Cycles'!$HE$16:$HK$16,1,AP146)*(1+INDEX('Lease Cycles'!$GQ$16:$GW$16,1,AP146))^INT(INT((AP$6-INDEX('Lease Cycles'!$GJ$16:$GP$16,1,AP146))/12)/INDEX('Lease Cycles'!$GX$16:$HD$16,1,AP146))/12,0)))</f>
        <v>4400</v>
      </c>
      <c r="AQ149" s="28">
        <f>IF(AQ146=0,IF('Lease Cycles'!$F$16&gt;0,'Lease Cycles'!$C$16*'Lease Cycles'!$E$16/12,0),IF(AQ148=1,IF('Lease Cycles'!$AT$16&gt;=9999,'Lease Cycles'!$C$16*INDEX('Lease Cycles'!$CB$16:$CH$16,1,AQ146)*(1+INDEX('Lease Cycles'!$CI$16:$CO$16,1,AQ146))^INT(INT(AQ147/12)/INDEX('Lease Cycles'!$CP$16:$CV$16,1,AQ146))/12,IF(AQ146=1,IF(AQ147&gt;=INDEX('Lease Cycles'!$DK$16:$DQ$16,1,AQ146),IF(AQ$6&gt;='Lease Cycles'!$AZ$16,'Lease Cycles'!$C$16*'Lease Cycles'!$BA$16/12,IF(AQ$6&gt;='Lease Cycles'!$AX$16,'Lease Cycles'!$C$16*'Lease Cycles'!$AY$16/12,IF(AQ$6&gt;='Lease Cycles'!$AV$16,'Lease Cycles'!$C$16*'Lease Cycles'!$AW$16/12,IF(AQ$6&gt;='Lease Cycles'!$AT$16,'Lease Cycles'!$C$16*'Lease Cycles'!$AU$16/12,'Lease Cycles'!$C$16*INDEX('Lease Cycles'!$CB$16:$CH$16,1,AQ146)*(1+INDEX('Lease Cycles'!$CI$16:$CO$16,1,AQ146))^INT(INT(AQ147/12)/INDEX('Lease Cycles'!$CP$16:$CV$16,1,AQ146))/12)))),'Lease Cycles'!$C$16*INDEX('Lease Cycles'!$CB$16:$CH$16,1,AQ146)*(1+INDEX('Lease Cycles'!$CI$16:$CO$16,1,AQ146))^INT(INT(AQ147/12)/INDEX('Lease Cycles'!$CP$16:$CV$16,1,AQ146))/12),IF(INDEX('Lease Cycles'!$EF$16:$EL$16,1,AQ146)=1,IF(AND('Lease Cycles'!$AZ$16&gt;=INDEX('Lease Cycles'!$BG$16:$BM$16,1,AQ146),'Lease Cycles'!$AZ$16&lt;=AQ$6),'Lease Cycles'!$C$16*'Lease Cycles'!$BA$16/12,IF(AND('Lease Cycles'!$AX$16&gt;=INDEX('Lease Cycles'!$BG$16:$BM$16,1,AQ146),'Lease Cycles'!$AX$16&lt;=AQ$6),'Lease Cycles'!$C$16*'Lease Cycles'!$AY$16/12,IF(AND('Lease Cycles'!$AV$16&gt;=INDEX('Lease Cycles'!$BG$16:$BM$16,1,AQ146),'Lease Cycles'!$AV$16&lt;=AQ$6),'Lease Cycles'!$C$16*'Lease Cycles'!$AW$16/12,IF(AND('Lease Cycles'!$AT$16&gt;=INDEX('Lease Cycles'!$BG$16:$BM$16,1,AQ146),'Lease Cycles'!$AT$16&lt;=AQ$6),'Lease Cycles'!$C$16*'Lease Cycles'!$AU$16/12,'Lease Cycles'!$C$16*INDEX('Lease Cycles'!$CB$16:$CH$16,1,AQ146)*(1+INDEX('Lease Cycles'!$CI$16:$CO$16,1,AQ146))^INT(INT(AQ147/12)/INDEX('Lease Cycles'!$CP$16:$CV$16,1,AQ146))/12)))),'Lease Cycles'!$C$16*INDEX('Lease Cycles'!$CB$16:$CH$16,1,AQ146)*(1+INDEX('Lease Cycles'!$CI$16:$CO$16,1,AQ146))^INT(INT(AQ147/12)/INDEX('Lease Cycles'!$CP$16:$CV$16,1,AQ146))/12))),IF('Lease Cycles'!$N$16=1,'Lease Cycles'!$C$16*'Lease Cycles'!$E$16*INDEX('Lease Cycles'!$HE$16:$HK$16,1,AQ146)*(1+INDEX('Lease Cycles'!$GQ$16:$GW$16,1,AQ146))^INT(INT((AQ$6-INDEX('Lease Cycles'!$GJ$16:$GP$16,1,AQ146))/12)/INDEX('Lease Cycles'!$GX$16:$HD$16,1,AQ146))/12,0)))</f>
        <v>4400</v>
      </c>
      <c r="AR149" s="28">
        <f>IF(AR146=0,IF('Lease Cycles'!$F$16&gt;0,'Lease Cycles'!$C$16*'Lease Cycles'!$E$16/12,0),IF(AR148=1,IF('Lease Cycles'!$AT$16&gt;=9999,'Lease Cycles'!$C$16*INDEX('Lease Cycles'!$CB$16:$CH$16,1,AR146)*(1+INDEX('Lease Cycles'!$CI$16:$CO$16,1,AR146))^INT(INT(AR147/12)/INDEX('Lease Cycles'!$CP$16:$CV$16,1,AR146))/12,IF(AR146=1,IF(AR147&gt;=INDEX('Lease Cycles'!$DK$16:$DQ$16,1,AR146),IF(AR$6&gt;='Lease Cycles'!$AZ$16,'Lease Cycles'!$C$16*'Lease Cycles'!$BA$16/12,IF(AR$6&gt;='Lease Cycles'!$AX$16,'Lease Cycles'!$C$16*'Lease Cycles'!$AY$16/12,IF(AR$6&gt;='Lease Cycles'!$AV$16,'Lease Cycles'!$C$16*'Lease Cycles'!$AW$16/12,IF(AR$6&gt;='Lease Cycles'!$AT$16,'Lease Cycles'!$C$16*'Lease Cycles'!$AU$16/12,'Lease Cycles'!$C$16*INDEX('Lease Cycles'!$CB$16:$CH$16,1,AR146)*(1+INDEX('Lease Cycles'!$CI$16:$CO$16,1,AR146))^INT(INT(AR147/12)/INDEX('Lease Cycles'!$CP$16:$CV$16,1,AR146))/12)))),'Lease Cycles'!$C$16*INDEX('Lease Cycles'!$CB$16:$CH$16,1,AR146)*(1+INDEX('Lease Cycles'!$CI$16:$CO$16,1,AR146))^INT(INT(AR147/12)/INDEX('Lease Cycles'!$CP$16:$CV$16,1,AR146))/12),IF(INDEX('Lease Cycles'!$EF$16:$EL$16,1,AR146)=1,IF(AND('Lease Cycles'!$AZ$16&gt;=INDEX('Lease Cycles'!$BG$16:$BM$16,1,AR146),'Lease Cycles'!$AZ$16&lt;=AR$6),'Lease Cycles'!$C$16*'Lease Cycles'!$BA$16/12,IF(AND('Lease Cycles'!$AX$16&gt;=INDEX('Lease Cycles'!$BG$16:$BM$16,1,AR146),'Lease Cycles'!$AX$16&lt;=AR$6),'Lease Cycles'!$C$16*'Lease Cycles'!$AY$16/12,IF(AND('Lease Cycles'!$AV$16&gt;=INDEX('Lease Cycles'!$BG$16:$BM$16,1,AR146),'Lease Cycles'!$AV$16&lt;=AR$6),'Lease Cycles'!$C$16*'Lease Cycles'!$AW$16/12,IF(AND('Lease Cycles'!$AT$16&gt;=INDEX('Lease Cycles'!$BG$16:$BM$16,1,AR146),'Lease Cycles'!$AT$16&lt;=AR$6),'Lease Cycles'!$C$16*'Lease Cycles'!$AU$16/12,'Lease Cycles'!$C$16*INDEX('Lease Cycles'!$CB$16:$CH$16,1,AR146)*(1+INDEX('Lease Cycles'!$CI$16:$CO$16,1,AR146))^INT(INT(AR147/12)/INDEX('Lease Cycles'!$CP$16:$CV$16,1,AR146))/12)))),'Lease Cycles'!$C$16*INDEX('Lease Cycles'!$CB$16:$CH$16,1,AR146)*(1+INDEX('Lease Cycles'!$CI$16:$CO$16,1,AR146))^INT(INT(AR147/12)/INDEX('Lease Cycles'!$CP$16:$CV$16,1,AR146))/12))),IF('Lease Cycles'!$N$16=1,'Lease Cycles'!$C$16*'Lease Cycles'!$E$16*INDEX('Lease Cycles'!$HE$16:$HK$16,1,AR146)*(1+INDEX('Lease Cycles'!$GQ$16:$GW$16,1,AR146))^INT(INT((AR$6-INDEX('Lease Cycles'!$GJ$16:$GP$16,1,AR146))/12)/INDEX('Lease Cycles'!$GX$16:$HD$16,1,AR146))/12,0)))</f>
        <v>4400</v>
      </c>
      <c r="AS149" s="28">
        <f>IF(AS146=0,IF('Lease Cycles'!$F$16&gt;0,'Lease Cycles'!$C$16*'Lease Cycles'!$E$16/12,0),IF(AS148=1,IF('Lease Cycles'!$AT$16&gt;=9999,'Lease Cycles'!$C$16*INDEX('Lease Cycles'!$CB$16:$CH$16,1,AS146)*(1+INDEX('Lease Cycles'!$CI$16:$CO$16,1,AS146))^INT(INT(AS147/12)/INDEX('Lease Cycles'!$CP$16:$CV$16,1,AS146))/12,IF(AS146=1,IF(AS147&gt;=INDEX('Lease Cycles'!$DK$16:$DQ$16,1,AS146),IF(AS$6&gt;='Lease Cycles'!$AZ$16,'Lease Cycles'!$C$16*'Lease Cycles'!$BA$16/12,IF(AS$6&gt;='Lease Cycles'!$AX$16,'Lease Cycles'!$C$16*'Lease Cycles'!$AY$16/12,IF(AS$6&gt;='Lease Cycles'!$AV$16,'Lease Cycles'!$C$16*'Lease Cycles'!$AW$16/12,IF(AS$6&gt;='Lease Cycles'!$AT$16,'Lease Cycles'!$C$16*'Lease Cycles'!$AU$16/12,'Lease Cycles'!$C$16*INDEX('Lease Cycles'!$CB$16:$CH$16,1,AS146)*(1+INDEX('Lease Cycles'!$CI$16:$CO$16,1,AS146))^INT(INT(AS147/12)/INDEX('Lease Cycles'!$CP$16:$CV$16,1,AS146))/12)))),'Lease Cycles'!$C$16*INDEX('Lease Cycles'!$CB$16:$CH$16,1,AS146)*(1+INDEX('Lease Cycles'!$CI$16:$CO$16,1,AS146))^INT(INT(AS147/12)/INDEX('Lease Cycles'!$CP$16:$CV$16,1,AS146))/12),IF(INDEX('Lease Cycles'!$EF$16:$EL$16,1,AS146)=1,IF(AND('Lease Cycles'!$AZ$16&gt;=INDEX('Lease Cycles'!$BG$16:$BM$16,1,AS146),'Lease Cycles'!$AZ$16&lt;=AS$6),'Lease Cycles'!$C$16*'Lease Cycles'!$BA$16/12,IF(AND('Lease Cycles'!$AX$16&gt;=INDEX('Lease Cycles'!$BG$16:$BM$16,1,AS146),'Lease Cycles'!$AX$16&lt;=AS$6),'Lease Cycles'!$C$16*'Lease Cycles'!$AY$16/12,IF(AND('Lease Cycles'!$AV$16&gt;=INDEX('Lease Cycles'!$BG$16:$BM$16,1,AS146),'Lease Cycles'!$AV$16&lt;=AS$6),'Lease Cycles'!$C$16*'Lease Cycles'!$AW$16/12,IF(AND('Lease Cycles'!$AT$16&gt;=INDEX('Lease Cycles'!$BG$16:$BM$16,1,AS146),'Lease Cycles'!$AT$16&lt;=AS$6),'Lease Cycles'!$C$16*'Lease Cycles'!$AU$16/12,'Lease Cycles'!$C$16*INDEX('Lease Cycles'!$CB$16:$CH$16,1,AS146)*(1+INDEX('Lease Cycles'!$CI$16:$CO$16,1,AS146))^INT(INT(AS147/12)/INDEX('Lease Cycles'!$CP$16:$CV$16,1,AS146))/12)))),'Lease Cycles'!$C$16*INDEX('Lease Cycles'!$CB$16:$CH$16,1,AS146)*(1+INDEX('Lease Cycles'!$CI$16:$CO$16,1,AS146))^INT(INT(AS147/12)/INDEX('Lease Cycles'!$CP$16:$CV$16,1,AS146))/12))),IF('Lease Cycles'!$N$16=1,'Lease Cycles'!$C$16*'Lease Cycles'!$E$16*INDEX('Lease Cycles'!$HE$16:$HK$16,1,AS146)*(1+INDEX('Lease Cycles'!$GQ$16:$GW$16,1,AS146))^INT(INT((AS$6-INDEX('Lease Cycles'!$GJ$16:$GP$16,1,AS146))/12)/INDEX('Lease Cycles'!$GX$16:$HD$16,1,AS146))/12,0)))</f>
        <v>4400</v>
      </c>
      <c r="AT149" s="28">
        <f>IF(AT146=0,IF('Lease Cycles'!$F$16&gt;0,'Lease Cycles'!$C$16*'Lease Cycles'!$E$16/12,0),IF(AT148=1,IF('Lease Cycles'!$AT$16&gt;=9999,'Lease Cycles'!$C$16*INDEX('Lease Cycles'!$CB$16:$CH$16,1,AT146)*(1+INDEX('Lease Cycles'!$CI$16:$CO$16,1,AT146))^INT(INT(AT147/12)/INDEX('Lease Cycles'!$CP$16:$CV$16,1,AT146))/12,IF(AT146=1,IF(AT147&gt;=INDEX('Lease Cycles'!$DK$16:$DQ$16,1,AT146),IF(AT$6&gt;='Lease Cycles'!$AZ$16,'Lease Cycles'!$C$16*'Lease Cycles'!$BA$16/12,IF(AT$6&gt;='Lease Cycles'!$AX$16,'Lease Cycles'!$C$16*'Lease Cycles'!$AY$16/12,IF(AT$6&gt;='Lease Cycles'!$AV$16,'Lease Cycles'!$C$16*'Lease Cycles'!$AW$16/12,IF(AT$6&gt;='Lease Cycles'!$AT$16,'Lease Cycles'!$C$16*'Lease Cycles'!$AU$16/12,'Lease Cycles'!$C$16*INDEX('Lease Cycles'!$CB$16:$CH$16,1,AT146)*(1+INDEX('Lease Cycles'!$CI$16:$CO$16,1,AT146))^INT(INT(AT147/12)/INDEX('Lease Cycles'!$CP$16:$CV$16,1,AT146))/12)))),'Lease Cycles'!$C$16*INDEX('Lease Cycles'!$CB$16:$CH$16,1,AT146)*(1+INDEX('Lease Cycles'!$CI$16:$CO$16,1,AT146))^INT(INT(AT147/12)/INDEX('Lease Cycles'!$CP$16:$CV$16,1,AT146))/12),IF(INDEX('Lease Cycles'!$EF$16:$EL$16,1,AT146)=1,IF(AND('Lease Cycles'!$AZ$16&gt;=INDEX('Lease Cycles'!$BG$16:$BM$16,1,AT146),'Lease Cycles'!$AZ$16&lt;=AT$6),'Lease Cycles'!$C$16*'Lease Cycles'!$BA$16/12,IF(AND('Lease Cycles'!$AX$16&gt;=INDEX('Lease Cycles'!$BG$16:$BM$16,1,AT146),'Lease Cycles'!$AX$16&lt;=AT$6),'Lease Cycles'!$C$16*'Lease Cycles'!$AY$16/12,IF(AND('Lease Cycles'!$AV$16&gt;=INDEX('Lease Cycles'!$BG$16:$BM$16,1,AT146),'Lease Cycles'!$AV$16&lt;=AT$6),'Lease Cycles'!$C$16*'Lease Cycles'!$AW$16/12,IF(AND('Lease Cycles'!$AT$16&gt;=INDEX('Lease Cycles'!$BG$16:$BM$16,1,AT146),'Lease Cycles'!$AT$16&lt;=AT$6),'Lease Cycles'!$C$16*'Lease Cycles'!$AU$16/12,'Lease Cycles'!$C$16*INDEX('Lease Cycles'!$CB$16:$CH$16,1,AT146)*(1+INDEX('Lease Cycles'!$CI$16:$CO$16,1,AT146))^INT(INT(AT147/12)/INDEX('Lease Cycles'!$CP$16:$CV$16,1,AT146))/12)))),'Lease Cycles'!$C$16*INDEX('Lease Cycles'!$CB$16:$CH$16,1,AT146)*(1+INDEX('Lease Cycles'!$CI$16:$CO$16,1,AT146))^INT(INT(AT147/12)/INDEX('Lease Cycles'!$CP$16:$CV$16,1,AT146))/12))),IF('Lease Cycles'!$N$16=1,'Lease Cycles'!$C$16*'Lease Cycles'!$E$16*INDEX('Lease Cycles'!$HE$16:$HK$16,1,AT146)*(1+INDEX('Lease Cycles'!$GQ$16:$GW$16,1,AT146))^INT(INT((AT$6-INDEX('Lease Cycles'!$GJ$16:$GP$16,1,AT146))/12)/INDEX('Lease Cycles'!$GX$16:$HD$16,1,AT146))/12,0)))</f>
        <v>4400</v>
      </c>
      <c r="AU149" s="28">
        <f>IF(AU146=0,IF('Lease Cycles'!$F$16&gt;0,'Lease Cycles'!$C$16*'Lease Cycles'!$E$16/12,0),IF(AU148=1,IF('Lease Cycles'!$AT$16&gt;=9999,'Lease Cycles'!$C$16*INDEX('Lease Cycles'!$CB$16:$CH$16,1,AU146)*(1+INDEX('Lease Cycles'!$CI$16:$CO$16,1,AU146))^INT(INT(AU147/12)/INDEX('Lease Cycles'!$CP$16:$CV$16,1,AU146))/12,IF(AU146=1,IF(AU147&gt;=INDEX('Lease Cycles'!$DK$16:$DQ$16,1,AU146),IF(AU$6&gt;='Lease Cycles'!$AZ$16,'Lease Cycles'!$C$16*'Lease Cycles'!$BA$16/12,IF(AU$6&gt;='Lease Cycles'!$AX$16,'Lease Cycles'!$C$16*'Lease Cycles'!$AY$16/12,IF(AU$6&gt;='Lease Cycles'!$AV$16,'Lease Cycles'!$C$16*'Lease Cycles'!$AW$16/12,IF(AU$6&gt;='Lease Cycles'!$AT$16,'Lease Cycles'!$C$16*'Lease Cycles'!$AU$16/12,'Lease Cycles'!$C$16*INDEX('Lease Cycles'!$CB$16:$CH$16,1,AU146)*(1+INDEX('Lease Cycles'!$CI$16:$CO$16,1,AU146))^INT(INT(AU147/12)/INDEX('Lease Cycles'!$CP$16:$CV$16,1,AU146))/12)))),'Lease Cycles'!$C$16*INDEX('Lease Cycles'!$CB$16:$CH$16,1,AU146)*(1+INDEX('Lease Cycles'!$CI$16:$CO$16,1,AU146))^INT(INT(AU147/12)/INDEX('Lease Cycles'!$CP$16:$CV$16,1,AU146))/12),IF(INDEX('Lease Cycles'!$EF$16:$EL$16,1,AU146)=1,IF(AND('Lease Cycles'!$AZ$16&gt;=INDEX('Lease Cycles'!$BG$16:$BM$16,1,AU146),'Lease Cycles'!$AZ$16&lt;=AU$6),'Lease Cycles'!$C$16*'Lease Cycles'!$BA$16/12,IF(AND('Lease Cycles'!$AX$16&gt;=INDEX('Lease Cycles'!$BG$16:$BM$16,1,AU146),'Lease Cycles'!$AX$16&lt;=AU$6),'Lease Cycles'!$C$16*'Lease Cycles'!$AY$16/12,IF(AND('Lease Cycles'!$AV$16&gt;=INDEX('Lease Cycles'!$BG$16:$BM$16,1,AU146),'Lease Cycles'!$AV$16&lt;=AU$6),'Lease Cycles'!$C$16*'Lease Cycles'!$AW$16/12,IF(AND('Lease Cycles'!$AT$16&gt;=INDEX('Lease Cycles'!$BG$16:$BM$16,1,AU146),'Lease Cycles'!$AT$16&lt;=AU$6),'Lease Cycles'!$C$16*'Lease Cycles'!$AU$16/12,'Lease Cycles'!$C$16*INDEX('Lease Cycles'!$CB$16:$CH$16,1,AU146)*(1+INDEX('Lease Cycles'!$CI$16:$CO$16,1,AU146))^INT(INT(AU147/12)/INDEX('Lease Cycles'!$CP$16:$CV$16,1,AU146))/12)))),'Lease Cycles'!$C$16*INDEX('Lease Cycles'!$CB$16:$CH$16,1,AU146)*(1+INDEX('Lease Cycles'!$CI$16:$CO$16,1,AU146))^INT(INT(AU147/12)/INDEX('Lease Cycles'!$CP$16:$CV$16,1,AU146))/12))),IF('Lease Cycles'!$N$16=1,'Lease Cycles'!$C$16*'Lease Cycles'!$E$16*INDEX('Lease Cycles'!$HE$16:$HK$16,1,AU146)*(1+INDEX('Lease Cycles'!$GQ$16:$GW$16,1,AU146))^INT(INT((AU$6-INDEX('Lease Cycles'!$GJ$16:$GP$16,1,AU146))/12)/INDEX('Lease Cycles'!$GX$16:$HD$16,1,AU146))/12,0)))</f>
        <v>4400</v>
      </c>
      <c r="AV149" s="28">
        <f>IF(AV146=0,IF('Lease Cycles'!$F$16&gt;0,'Lease Cycles'!$C$16*'Lease Cycles'!$E$16/12,0),IF(AV148=1,IF('Lease Cycles'!$AT$16&gt;=9999,'Lease Cycles'!$C$16*INDEX('Lease Cycles'!$CB$16:$CH$16,1,AV146)*(1+INDEX('Lease Cycles'!$CI$16:$CO$16,1,AV146))^INT(INT(AV147/12)/INDEX('Lease Cycles'!$CP$16:$CV$16,1,AV146))/12,IF(AV146=1,IF(AV147&gt;=INDEX('Lease Cycles'!$DK$16:$DQ$16,1,AV146),IF(AV$6&gt;='Lease Cycles'!$AZ$16,'Lease Cycles'!$C$16*'Lease Cycles'!$BA$16/12,IF(AV$6&gt;='Lease Cycles'!$AX$16,'Lease Cycles'!$C$16*'Lease Cycles'!$AY$16/12,IF(AV$6&gt;='Lease Cycles'!$AV$16,'Lease Cycles'!$C$16*'Lease Cycles'!$AW$16/12,IF(AV$6&gt;='Lease Cycles'!$AT$16,'Lease Cycles'!$C$16*'Lease Cycles'!$AU$16/12,'Lease Cycles'!$C$16*INDEX('Lease Cycles'!$CB$16:$CH$16,1,AV146)*(1+INDEX('Lease Cycles'!$CI$16:$CO$16,1,AV146))^INT(INT(AV147/12)/INDEX('Lease Cycles'!$CP$16:$CV$16,1,AV146))/12)))),'Lease Cycles'!$C$16*INDEX('Lease Cycles'!$CB$16:$CH$16,1,AV146)*(1+INDEX('Lease Cycles'!$CI$16:$CO$16,1,AV146))^INT(INT(AV147/12)/INDEX('Lease Cycles'!$CP$16:$CV$16,1,AV146))/12),IF(INDEX('Lease Cycles'!$EF$16:$EL$16,1,AV146)=1,IF(AND('Lease Cycles'!$AZ$16&gt;=INDEX('Lease Cycles'!$BG$16:$BM$16,1,AV146),'Lease Cycles'!$AZ$16&lt;=AV$6),'Lease Cycles'!$C$16*'Lease Cycles'!$BA$16/12,IF(AND('Lease Cycles'!$AX$16&gt;=INDEX('Lease Cycles'!$BG$16:$BM$16,1,AV146),'Lease Cycles'!$AX$16&lt;=AV$6),'Lease Cycles'!$C$16*'Lease Cycles'!$AY$16/12,IF(AND('Lease Cycles'!$AV$16&gt;=INDEX('Lease Cycles'!$BG$16:$BM$16,1,AV146),'Lease Cycles'!$AV$16&lt;=AV$6),'Lease Cycles'!$C$16*'Lease Cycles'!$AW$16/12,IF(AND('Lease Cycles'!$AT$16&gt;=INDEX('Lease Cycles'!$BG$16:$BM$16,1,AV146),'Lease Cycles'!$AT$16&lt;=AV$6),'Lease Cycles'!$C$16*'Lease Cycles'!$AU$16/12,'Lease Cycles'!$C$16*INDEX('Lease Cycles'!$CB$16:$CH$16,1,AV146)*(1+INDEX('Lease Cycles'!$CI$16:$CO$16,1,AV146))^INT(INT(AV147/12)/INDEX('Lease Cycles'!$CP$16:$CV$16,1,AV146))/12)))),'Lease Cycles'!$C$16*INDEX('Lease Cycles'!$CB$16:$CH$16,1,AV146)*(1+INDEX('Lease Cycles'!$CI$16:$CO$16,1,AV146))^INT(INT(AV147/12)/INDEX('Lease Cycles'!$CP$16:$CV$16,1,AV146))/12))),IF('Lease Cycles'!$N$16=1,'Lease Cycles'!$C$16*'Lease Cycles'!$E$16*INDEX('Lease Cycles'!$HE$16:$HK$16,1,AV146)*(1+INDEX('Lease Cycles'!$GQ$16:$GW$16,1,AV146))^INT(INT((AV$6-INDEX('Lease Cycles'!$GJ$16:$GP$16,1,AV146))/12)/INDEX('Lease Cycles'!$GX$16:$HD$16,1,AV146))/12,0)))</f>
        <v>4400</v>
      </c>
      <c r="AW149" s="28">
        <f>IF(AW146=0,IF('Lease Cycles'!$F$16&gt;0,'Lease Cycles'!$C$16*'Lease Cycles'!$E$16/12,0),IF(AW148=1,IF('Lease Cycles'!$AT$16&gt;=9999,'Lease Cycles'!$C$16*INDEX('Lease Cycles'!$CB$16:$CH$16,1,AW146)*(1+INDEX('Lease Cycles'!$CI$16:$CO$16,1,AW146))^INT(INT(AW147/12)/INDEX('Lease Cycles'!$CP$16:$CV$16,1,AW146))/12,IF(AW146=1,IF(AW147&gt;=INDEX('Lease Cycles'!$DK$16:$DQ$16,1,AW146),IF(AW$6&gt;='Lease Cycles'!$AZ$16,'Lease Cycles'!$C$16*'Lease Cycles'!$BA$16/12,IF(AW$6&gt;='Lease Cycles'!$AX$16,'Lease Cycles'!$C$16*'Lease Cycles'!$AY$16/12,IF(AW$6&gt;='Lease Cycles'!$AV$16,'Lease Cycles'!$C$16*'Lease Cycles'!$AW$16/12,IF(AW$6&gt;='Lease Cycles'!$AT$16,'Lease Cycles'!$C$16*'Lease Cycles'!$AU$16/12,'Lease Cycles'!$C$16*INDEX('Lease Cycles'!$CB$16:$CH$16,1,AW146)*(1+INDEX('Lease Cycles'!$CI$16:$CO$16,1,AW146))^INT(INT(AW147/12)/INDEX('Lease Cycles'!$CP$16:$CV$16,1,AW146))/12)))),'Lease Cycles'!$C$16*INDEX('Lease Cycles'!$CB$16:$CH$16,1,AW146)*(1+INDEX('Lease Cycles'!$CI$16:$CO$16,1,AW146))^INT(INT(AW147/12)/INDEX('Lease Cycles'!$CP$16:$CV$16,1,AW146))/12),IF(INDEX('Lease Cycles'!$EF$16:$EL$16,1,AW146)=1,IF(AND('Lease Cycles'!$AZ$16&gt;=INDEX('Lease Cycles'!$BG$16:$BM$16,1,AW146),'Lease Cycles'!$AZ$16&lt;=AW$6),'Lease Cycles'!$C$16*'Lease Cycles'!$BA$16/12,IF(AND('Lease Cycles'!$AX$16&gt;=INDEX('Lease Cycles'!$BG$16:$BM$16,1,AW146),'Lease Cycles'!$AX$16&lt;=AW$6),'Lease Cycles'!$C$16*'Lease Cycles'!$AY$16/12,IF(AND('Lease Cycles'!$AV$16&gt;=INDEX('Lease Cycles'!$BG$16:$BM$16,1,AW146),'Lease Cycles'!$AV$16&lt;=AW$6),'Lease Cycles'!$C$16*'Lease Cycles'!$AW$16/12,IF(AND('Lease Cycles'!$AT$16&gt;=INDEX('Lease Cycles'!$BG$16:$BM$16,1,AW146),'Lease Cycles'!$AT$16&lt;=AW$6),'Lease Cycles'!$C$16*'Lease Cycles'!$AU$16/12,'Lease Cycles'!$C$16*INDEX('Lease Cycles'!$CB$16:$CH$16,1,AW146)*(1+INDEX('Lease Cycles'!$CI$16:$CO$16,1,AW146))^INT(INT(AW147/12)/INDEX('Lease Cycles'!$CP$16:$CV$16,1,AW146))/12)))),'Lease Cycles'!$C$16*INDEX('Lease Cycles'!$CB$16:$CH$16,1,AW146)*(1+INDEX('Lease Cycles'!$CI$16:$CO$16,1,AW146))^INT(INT(AW147/12)/INDEX('Lease Cycles'!$CP$16:$CV$16,1,AW146))/12))),IF('Lease Cycles'!$N$16=1,'Lease Cycles'!$C$16*'Lease Cycles'!$E$16*INDEX('Lease Cycles'!$HE$16:$HK$16,1,AW146)*(1+INDEX('Lease Cycles'!$GQ$16:$GW$16,1,AW146))^INT(INT((AW$6-INDEX('Lease Cycles'!$GJ$16:$GP$16,1,AW146))/12)/INDEX('Lease Cycles'!$GX$16:$HD$16,1,AW146))/12,0)))</f>
        <v>4400</v>
      </c>
      <c r="AX149" s="28">
        <f>IF(AX146=0,IF('Lease Cycles'!$F$16&gt;0,'Lease Cycles'!$C$16*'Lease Cycles'!$E$16/12,0),IF(AX148=1,IF('Lease Cycles'!$AT$16&gt;=9999,'Lease Cycles'!$C$16*INDEX('Lease Cycles'!$CB$16:$CH$16,1,AX146)*(1+INDEX('Lease Cycles'!$CI$16:$CO$16,1,AX146))^INT(INT(AX147/12)/INDEX('Lease Cycles'!$CP$16:$CV$16,1,AX146))/12,IF(AX146=1,IF(AX147&gt;=INDEX('Lease Cycles'!$DK$16:$DQ$16,1,AX146),IF(AX$6&gt;='Lease Cycles'!$AZ$16,'Lease Cycles'!$C$16*'Lease Cycles'!$BA$16/12,IF(AX$6&gt;='Lease Cycles'!$AX$16,'Lease Cycles'!$C$16*'Lease Cycles'!$AY$16/12,IF(AX$6&gt;='Lease Cycles'!$AV$16,'Lease Cycles'!$C$16*'Lease Cycles'!$AW$16/12,IF(AX$6&gt;='Lease Cycles'!$AT$16,'Lease Cycles'!$C$16*'Lease Cycles'!$AU$16/12,'Lease Cycles'!$C$16*INDEX('Lease Cycles'!$CB$16:$CH$16,1,AX146)*(1+INDEX('Lease Cycles'!$CI$16:$CO$16,1,AX146))^INT(INT(AX147/12)/INDEX('Lease Cycles'!$CP$16:$CV$16,1,AX146))/12)))),'Lease Cycles'!$C$16*INDEX('Lease Cycles'!$CB$16:$CH$16,1,AX146)*(1+INDEX('Lease Cycles'!$CI$16:$CO$16,1,AX146))^INT(INT(AX147/12)/INDEX('Lease Cycles'!$CP$16:$CV$16,1,AX146))/12),IF(INDEX('Lease Cycles'!$EF$16:$EL$16,1,AX146)=1,IF(AND('Lease Cycles'!$AZ$16&gt;=INDEX('Lease Cycles'!$BG$16:$BM$16,1,AX146),'Lease Cycles'!$AZ$16&lt;=AX$6),'Lease Cycles'!$C$16*'Lease Cycles'!$BA$16/12,IF(AND('Lease Cycles'!$AX$16&gt;=INDEX('Lease Cycles'!$BG$16:$BM$16,1,AX146),'Lease Cycles'!$AX$16&lt;=AX$6),'Lease Cycles'!$C$16*'Lease Cycles'!$AY$16/12,IF(AND('Lease Cycles'!$AV$16&gt;=INDEX('Lease Cycles'!$BG$16:$BM$16,1,AX146),'Lease Cycles'!$AV$16&lt;=AX$6),'Lease Cycles'!$C$16*'Lease Cycles'!$AW$16/12,IF(AND('Lease Cycles'!$AT$16&gt;=INDEX('Lease Cycles'!$BG$16:$BM$16,1,AX146),'Lease Cycles'!$AT$16&lt;=AX$6),'Lease Cycles'!$C$16*'Lease Cycles'!$AU$16/12,'Lease Cycles'!$C$16*INDEX('Lease Cycles'!$CB$16:$CH$16,1,AX146)*(1+INDEX('Lease Cycles'!$CI$16:$CO$16,1,AX146))^INT(INT(AX147/12)/INDEX('Lease Cycles'!$CP$16:$CV$16,1,AX146))/12)))),'Lease Cycles'!$C$16*INDEX('Lease Cycles'!$CB$16:$CH$16,1,AX146)*(1+INDEX('Lease Cycles'!$CI$16:$CO$16,1,AX146))^INT(INT(AX147/12)/INDEX('Lease Cycles'!$CP$16:$CV$16,1,AX146))/12))),IF('Lease Cycles'!$N$16=1,'Lease Cycles'!$C$16*'Lease Cycles'!$E$16*INDEX('Lease Cycles'!$HE$16:$HK$16,1,AX146)*(1+INDEX('Lease Cycles'!$GQ$16:$GW$16,1,AX146))^INT(INT((AX$6-INDEX('Lease Cycles'!$GJ$16:$GP$16,1,AX146))/12)/INDEX('Lease Cycles'!$GX$16:$HD$16,1,AX146))/12,0)))</f>
        <v>4400</v>
      </c>
      <c r="AY149" s="28">
        <f>IF(AY146=0,IF('Lease Cycles'!$F$16&gt;0,'Lease Cycles'!$C$16*'Lease Cycles'!$E$16/12,0),IF(AY148=1,IF('Lease Cycles'!$AT$16&gt;=9999,'Lease Cycles'!$C$16*INDEX('Lease Cycles'!$CB$16:$CH$16,1,AY146)*(1+INDEX('Lease Cycles'!$CI$16:$CO$16,1,AY146))^INT(INT(AY147/12)/INDEX('Lease Cycles'!$CP$16:$CV$16,1,AY146))/12,IF(AY146=1,IF(AY147&gt;=INDEX('Lease Cycles'!$DK$16:$DQ$16,1,AY146),IF(AY$6&gt;='Lease Cycles'!$AZ$16,'Lease Cycles'!$C$16*'Lease Cycles'!$BA$16/12,IF(AY$6&gt;='Lease Cycles'!$AX$16,'Lease Cycles'!$C$16*'Lease Cycles'!$AY$16/12,IF(AY$6&gt;='Lease Cycles'!$AV$16,'Lease Cycles'!$C$16*'Lease Cycles'!$AW$16/12,IF(AY$6&gt;='Lease Cycles'!$AT$16,'Lease Cycles'!$C$16*'Lease Cycles'!$AU$16/12,'Lease Cycles'!$C$16*INDEX('Lease Cycles'!$CB$16:$CH$16,1,AY146)*(1+INDEX('Lease Cycles'!$CI$16:$CO$16,1,AY146))^INT(INT(AY147/12)/INDEX('Lease Cycles'!$CP$16:$CV$16,1,AY146))/12)))),'Lease Cycles'!$C$16*INDEX('Lease Cycles'!$CB$16:$CH$16,1,AY146)*(1+INDEX('Lease Cycles'!$CI$16:$CO$16,1,AY146))^INT(INT(AY147/12)/INDEX('Lease Cycles'!$CP$16:$CV$16,1,AY146))/12),IF(INDEX('Lease Cycles'!$EF$16:$EL$16,1,AY146)=1,IF(AND('Lease Cycles'!$AZ$16&gt;=INDEX('Lease Cycles'!$BG$16:$BM$16,1,AY146),'Lease Cycles'!$AZ$16&lt;=AY$6),'Lease Cycles'!$C$16*'Lease Cycles'!$BA$16/12,IF(AND('Lease Cycles'!$AX$16&gt;=INDEX('Lease Cycles'!$BG$16:$BM$16,1,AY146),'Lease Cycles'!$AX$16&lt;=AY$6),'Lease Cycles'!$C$16*'Lease Cycles'!$AY$16/12,IF(AND('Lease Cycles'!$AV$16&gt;=INDEX('Lease Cycles'!$BG$16:$BM$16,1,AY146),'Lease Cycles'!$AV$16&lt;=AY$6),'Lease Cycles'!$C$16*'Lease Cycles'!$AW$16/12,IF(AND('Lease Cycles'!$AT$16&gt;=INDEX('Lease Cycles'!$BG$16:$BM$16,1,AY146),'Lease Cycles'!$AT$16&lt;=AY$6),'Lease Cycles'!$C$16*'Lease Cycles'!$AU$16/12,'Lease Cycles'!$C$16*INDEX('Lease Cycles'!$CB$16:$CH$16,1,AY146)*(1+INDEX('Lease Cycles'!$CI$16:$CO$16,1,AY146))^INT(INT(AY147/12)/INDEX('Lease Cycles'!$CP$16:$CV$16,1,AY146))/12)))),'Lease Cycles'!$C$16*INDEX('Lease Cycles'!$CB$16:$CH$16,1,AY146)*(1+INDEX('Lease Cycles'!$CI$16:$CO$16,1,AY146))^INT(INT(AY147/12)/INDEX('Lease Cycles'!$CP$16:$CV$16,1,AY146))/12))),IF('Lease Cycles'!$N$16=1,'Lease Cycles'!$C$16*'Lease Cycles'!$E$16*INDEX('Lease Cycles'!$HE$16:$HK$16,1,AY146)*(1+INDEX('Lease Cycles'!$GQ$16:$GW$16,1,AY146))^INT(INT((AY$6-INDEX('Lease Cycles'!$GJ$16:$GP$16,1,AY146))/12)/INDEX('Lease Cycles'!$GX$16:$HD$16,1,AY146))/12,0)))</f>
        <v>4400</v>
      </c>
      <c r="AZ149" s="28">
        <f>IF(AZ146=0,IF('Lease Cycles'!$F$16&gt;0,'Lease Cycles'!$C$16*'Lease Cycles'!$E$16/12,0),IF(AZ148=1,IF('Lease Cycles'!$AT$16&gt;=9999,'Lease Cycles'!$C$16*INDEX('Lease Cycles'!$CB$16:$CH$16,1,AZ146)*(1+INDEX('Lease Cycles'!$CI$16:$CO$16,1,AZ146))^INT(INT(AZ147/12)/INDEX('Lease Cycles'!$CP$16:$CV$16,1,AZ146))/12,IF(AZ146=1,IF(AZ147&gt;=INDEX('Lease Cycles'!$DK$16:$DQ$16,1,AZ146),IF(AZ$6&gt;='Lease Cycles'!$AZ$16,'Lease Cycles'!$C$16*'Lease Cycles'!$BA$16/12,IF(AZ$6&gt;='Lease Cycles'!$AX$16,'Lease Cycles'!$C$16*'Lease Cycles'!$AY$16/12,IF(AZ$6&gt;='Lease Cycles'!$AV$16,'Lease Cycles'!$C$16*'Lease Cycles'!$AW$16/12,IF(AZ$6&gt;='Lease Cycles'!$AT$16,'Lease Cycles'!$C$16*'Lease Cycles'!$AU$16/12,'Lease Cycles'!$C$16*INDEX('Lease Cycles'!$CB$16:$CH$16,1,AZ146)*(1+INDEX('Lease Cycles'!$CI$16:$CO$16,1,AZ146))^INT(INT(AZ147/12)/INDEX('Lease Cycles'!$CP$16:$CV$16,1,AZ146))/12)))),'Lease Cycles'!$C$16*INDEX('Lease Cycles'!$CB$16:$CH$16,1,AZ146)*(1+INDEX('Lease Cycles'!$CI$16:$CO$16,1,AZ146))^INT(INT(AZ147/12)/INDEX('Lease Cycles'!$CP$16:$CV$16,1,AZ146))/12),IF(INDEX('Lease Cycles'!$EF$16:$EL$16,1,AZ146)=1,IF(AND('Lease Cycles'!$AZ$16&gt;=INDEX('Lease Cycles'!$BG$16:$BM$16,1,AZ146),'Lease Cycles'!$AZ$16&lt;=AZ$6),'Lease Cycles'!$C$16*'Lease Cycles'!$BA$16/12,IF(AND('Lease Cycles'!$AX$16&gt;=INDEX('Lease Cycles'!$BG$16:$BM$16,1,AZ146),'Lease Cycles'!$AX$16&lt;=AZ$6),'Lease Cycles'!$C$16*'Lease Cycles'!$AY$16/12,IF(AND('Lease Cycles'!$AV$16&gt;=INDEX('Lease Cycles'!$BG$16:$BM$16,1,AZ146),'Lease Cycles'!$AV$16&lt;=AZ$6),'Lease Cycles'!$C$16*'Lease Cycles'!$AW$16/12,IF(AND('Lease Cycles'!$AT$16&gt;=INDEX('Lease Cycles'!$BG$16:$BM$16,1,AZ146),'Lease Cycles'!$AT$16&lt;=AZ$6),'Lease Cycles'!$C$16*'Lease Cycles'!$AU$16/12,'Lease Cycles'!$C$16*INDEX('Lease Cycles'!$CB$16:$CH$16,1,AZ146)*(1+INDEX('Lease Cycles'!$CI$16:$CO$16,1,AZ146))^INT(INT(AZ147/12)/INDEX('Lease Cycles'!$CP$16:$CV$16,1,AZ146))/12)))),'Lease Cycles'!$C$16*INDEX('Lease Cycles'!$CB$16:$CH$16,1,AZ146)*(1+INDEX('Lease Cycles'!$CI$16:$CO$16,1,AZ146))^INT(INT(AZ147/12)/INDEX('Lease Cycles'!$CP$16:$CV$16,1,AZ146))/12))),IF('Lease Cycles'!$N$16=1,'Lease Cycles'!$C$16*'Lease Cycles'!$E$16*INDEX('Lease Cycles'!$HE$16:$HK$16,1,AZ146)*(1+INDEX('Lease Cycles'!$GQ$16:$GW$16,1,AZ146))^INT(INT((AZ$6-INDEX('Lease Cycles'!$GJ$16:$GP$16,1,AZ146))/12)/INDEX('Lease Cycles'!$GX$16:$HD$16,1,AZ146))/12,0)))</f>
        <v>4400</v>
      </c>
      <c r="BA149" s="28">
        <f>IF(BA146=0,IF('Lease Cycles'!$F$16&gt;0,'Lease Cycles'!$C$16*'Lease Cycles'!$E$16/12,0),IF(BA148=1,IF('Lease Cycles'!$AT$16&gt;=9999,'Lease Cycles'!$C$16*INDEX('Lease Cycles'!$CB$16:$CH$16,1,BA146)*(1+INDEX('Lease Cycles'!$CI$16:$CO$16,1,BA146))^INT(INT(BA147/12)/INDEX('Lease Cycles'!$CP$16:$CV$16,1,BA146))/12,IF(BA146=1,IF(BA147&gt;=INDEX('Lease Cycles'!$DK$16:$DQ$16,1,BA146),IF(BA$6&gt;='Lease Cycles'!$AZ$16,'Lease Cycles'!$C$16*'Lease Cycles'!$BA$16/12,IF(BA$6&gt;='Lease Cycles'!$AX$16,'Lease Cycles'!$C$16*'Lease Cycles'!$AY$16/12,IF(BA$6&gt;='Lease Cycles'!$AV$16,'Lease Cycles'!$C$16*'Lease Cycles'!$AW$16/12,IF(BA$6&gt;='Lease Cycles'!$AT$16,'Lease Cycles'!$C$16*'Lease Cycles'!$AU$16/12,'Lease Cycles'!$C$16*INDEX('Lease Cycles'!$CB$16:$CH$16,1,BA146)*(1+INDEX('Lease Cycles'!$CI$16:$CO$16,1,BA146))^INT(INT(BA147/12)/INDEX('Lease Cycles'!$CP$16:$CV$16,1,BA146))/12)))),'Lease Cycles'!$C$16*INDEX('Lease Cycles'!$CB$16:$CH$16,1,BA146)*(1+INDEX('Lease Cycles'!$CI$16:$CO$16,1,BA146))^INT(INT(BA147/12)/INDEX('Lease Cycles'!$CP$16:$CV$16,1,BA146))/12),IF(INDEX('Lease Cycles'!$EF$16:$EL$16,1,BA146)=1,IF(AND('Lease Cycles'!$AZ$16&gt;=INDEX('Lease Cycles'!$BG$16:$BM$16,1,BA146),'Lease Cycles'!$AZ$16&lt;=BA$6),'Lease Cycles'!$C$16*'Lease Cycles'!$BA$16/12,IF(AND('Lease Cycles'!$AX$16&gt;=INDEX('Lease Cycles'!$BG$16:$BM$16,1,BA146),'Lease Cycles'!$AX$16&lt;=BA$6),'Lease Cycles'!$C$16*'Lease Cycles'!$AY$16/12,IF(AND('Lease Cycles'!$AV$16&gt;=INDEX('Lease Cycles'!$BG$16:$BM$16,1,BA146),'Lease Cycles'!$AV$16&lt;=BA$6),'Lease Cycles'!$C$16*'Lease Cycles'!$AW$16/12,IF(AND('Lease Cycles'!$AT$16&gt;=INDEX('Lease Cycles'!$BG$16:$BM$16,1,BA146),'Lease Cycles'!$AT$16&lt;=BA$6),'Lease Cycles'!$C$16*'Lease Cycles'!$AU$16/12,'Lease Cycles'!$C$16*INDEX('Lease Cycles'!$CB$16:$CH$16,1,BA146)*(1+INDEX('Lease Cycles'!$CI$16:$CO$16,1,BA146))^INT(INT(BA147/12)/INDEX('Lease Cycles'!$CP$16:$CV$16,1,BA146))/12)))),'Lease Cycles'!$C$16*INDEX('Lease Cycles'!$CB$16:$CH$16,1,BA146)*(1+INDEX('Lease Cycles'!$CI$16:$CO$16,1,BA146))^INT(INT(BA147/12)/INDEX('Lease Cycles'!$CP$16:$CV$16,1,BA146))/12))),IF('Lease Cycles'!$N$16=1,'Lease Cycles'!$C$16*'Lease Cycles'!$E$16*INDEX('Lease Cycles'!$HE$16:$HK$16,1,BA146)*(1+INDEX('Lease Cycles'!$GQ$16:$GW$16,1,BA146))^INT(INT((BA$6-INDEX('Lease Cycles'!$GJ$16:$GP$16,1,BA146))/12)/INDEX('Lease Cycles'!$GX$16:$HD$16,1,BA146))/12,0)))</f>
        <v>4400</v>
      </c>
      <c r="BB149" s="28">
        <f>IF(BB146=0,IF('Lease Cycles'!$F$16&gt;0,'Lease Cycles'!$C$16*'Lease Cycles'!$E$16/12,0),IF(BB148=1,IF('Lease Cycles'!$AT$16&gt;=9999,'Lease Cycles'!$C$16*INDEX('Lease Cycles'!$CB$16:$CH$16,1,BB146)*(1+INDEX('Lease Cycles'!$CI$16:$CO$16,1,BB146))^INT(INT(BB147/12)/INDEX('Lease Cycles'!$CP$16:$CV$16,1,BB146))/12,IF(BB146=1,IF(BB147&gt;=INDEX('Lease Cycles'!$DK$16:$DQ$16,1,BB146),IF(BB$6&gt;='Lease Cycles'!$AZ$16,'Lease Cycles'!$C$16*'Lease Cycles'!$BA$16/12,IF(BB$6&gt;='Lease Cycles'!$AX$16,'Lease Cycles'!$C$16*'Lease Cycles'!$AY$16/12,IF(BB$6&gt;='Lease Cycles'!$AV$16,'Lease Cycles'!$C$16*'Lease Cycles'!$AW$16/12,IF(BB$6&gt;='Lease Cycles'!$AT$16,'Lease Cycles'!$C$16*'Lease Cycles'!$AU$16/12,'Lease Cycles'!$C$16*INDEX('Lease Cycles'!$CB$16:$CH$16,1,BB146)*(1+INDEX('Lease Cycles'!$CI$16:$CO$16,1,BB146))^INT(INT(BB147/12)/INDEX('Lease Cycles'!$CP$16:$CV$16,1,BB146))/12)))),'Lease Cycles'!$C$16*INDEX('Lease Cycles'!$CB$16:$CH$16,1,BB146)*(1+INDEX('Lease Cycles'!$CI$16:$CO$16,1,BB146))^INT(INT(BB147/12)/INDEX('Lease Cycles'!$CP$16:$CV$16,1,BB146))/12),IF(INDEX('Lease Cycles'!$EF$16:$EL$16,1,BB146)=1,IF(AND('Lease Cycles'!$AZ$16&gt;=INDEX('Lease Cycles'!$BG$16:$BM$16,1,BB146),'Lease Cycles'!$AZ$16&lt;=BB$6),'Lease Cycles'!$C$16*'Lease Cycles'!$BA$16/12,IF(AND('Lease Cycles'!$AX$16&gt;=INDEX('Lease Cycles'!$BG$16:$BM$16,1,BB146),'Lease Cycles'!$AX$16&lt;=BB$6),'Lease Cycles'!$C$16*'Lease Cycles'!$AY$16/12,IF(AND('Lease Cycles'!$AV$16&gt;=INDEX('Lease Cycles'!$BG$16:$BM$16,1,BB146),'Lease Cycles'!$AV$16&lt;=BB$6),'Lease Cycles'!$C$16*'Lease Cycles'!$AW$16/12,IF(AND('Lease Cycles'!$AT$16&gt;=INDEX('Lease Cycles'!$BG$16:$BM$16,1,BB146),'Lease Cycles'!$AT$16&lt;=BB$6),'Lease Cycles'!$C$16*'Lease Cycles'!$AU$16/12,'Lease Cycles'!$C$16*INDEX('Lease Cycles'!$CB$16:$CH$16,1,BB146)*(1+INDEX('Lease Cycles'!$CI$16:$CO$16,1,BB146))^INT(INT(BB147/12)/INDEX('Lease Cycles'!$CP$16:$CV$16,1,BB146))/12)))),'Lease Cycles'!$C$16*INDEX('Lease Cycles'!$CB$16:$CH$16,1,BB146)*(1+INDEX('Lease Cycles'!$CI$16:$CO$16,1,BB146))^INT(INT(BB147/12)/INDEX('Lease Cycles'!$CP$16:$CV$16,1,BB146))/12))),IF('Lease Cycles'!$N$16=1,'Lease Cycles'!$C$16*'Lease Cycles'!$E$16*INDEX('Lease Cycles'!$HE$16:$HK$16,1,BB146)*(1+INDEX('Lease Cycles'!$GQ$16:$GW$16,1,BB146))^INT(INT((BB$6-INDEX('Lease Cycles'!$GJ$16:$GP$16,1,BB146))/12)/INDEX('Lease Cycles'!$GX$16:$HD$16,1,BB146))/12,0)))</f>
        <v>4400</v>
      </c>
      <c r="BC149" s="28">
        <f>IF(BC146=0,IF('Lease Cycles'!$F$16&gt;0,'Lease Cycles'!$C$16*'Lease Cycles'!$E$16/12,0),IF(BC148=1,IF('Lease Cycles'!$AT$16&gt;=9999,'Lease Cycles'!$C$16*INDEX('Lease Cycles'!$CB$16:$CH$16,1,BC146)*(1+INDEX('Lease Cycles'!$CI$16:$CO$16,1,BC146))^INT(INT(BC147/12)/INDEX('Lease Cycles'!$CP$16:$CV$16,1,BC146))/12,IF(BC146=1,IF(BC147&gt;=INDEX('Lease Cycles'!$DK$16:$DQ$16,1,BC146),IF(BC$6&gt;='Lease Cycles'!$AZ$16,'Lease Cycles'!$C$16*'Lease Cycles'!$BA$16/12,IF(BC$6&gt;='Lease Cycles'!$AX$16,'Lease Cycles'!$C$16*'Lease Cycles'!$AY$16/12,IF(BC$6&gt;='Lease Cycles'!$AV$16,'Lease Cycles'!$C$16*'Lease Cycles'!$AW$16/12,IF(BC$6&gt;='Lease Cycles'!$AT$16,'Lease Cycles'!$C$16*'Lease Cycles'!$AU$16/12,'Lease Cycles'!$C$16*INDEX('Lease Cycles'!$CB$16:$CH$16,1,BC146)*(1+INDEX('Lease Cycles'!$CI$16:$CO$16,1,BC146))^INT(INT(BC147/12)/INDEX('Lease Cycles'!$CP$16:$CV$16,1,BC146))/12)))),'Lease Cycles'!$C$16*INDEX('Lease Cycles'!$CB$16:$CH$16,1,BC146)*(1+INDEX('Lease Cycles'!$CI$16:$CO$16,1,BC146))^INT(INT(BC147/12)/INDEX('Lease Cycles'!$CP$16:$CV$16,1,BC146))/12),IF(INDEX('Lease Cycles'!$EF$16:$EL$16,1,BC146)=1,IF(AND('Lease Cycles'!$AZ$16&gt;=INDEX('Lease Cycles'!$BG$16:$BM$16,1,BC146),'Lease Cycles'!$AZ$16&lt;=BC$6),'Lease Cycles'!$C$16*'Lease Cycles'!$BA$16/12,IF(AND('Lease Cycles'!$AX$16&gt;=INDEX('Lease Cycles'!$BG$16:$BM$16,1,BC146),'Lease Cycles'!$AX$16&lt;=BC$6),'Lease Cycles'!$C$16*'Lease Cycles'!$AY$16/12,IF(AND('Lease Cycles'!$AV$16&gt;=INDEX('Lease Cycles'!$BG$16:$BM$16,1,BC146),'Lease Cycles'!$AV$16&lt;=BC$6),'Lease Cycles'!$C$16*'Lease Cycles'!$AW$16/12,IF(AND('Lease Cycles'!$AT$16&gt;=INDEX('Lease Cycles'!$BG$16:$BM$16,1,BC146),'Lease Cycles'!$AT$16&lt;=BC$6),'Lease Cycles'!$C$16*'Lease Cycles'!$AU$16/12,'Lease Cycles'!$C$16*INDEX('Lease Cycles'!$CB$16:$CH$16,1,BC146)*(1+INDEX('Lease Cycles'!$CI$16:$CO$16,1,BC146))^INT(INT(BC147/12)/INDEX('Lease Cycles'!$CP$16:$CV$16,1,BC146))/12)))),'Lease Cycles'!$C$16*INDEX('Lease Cycles'!$CB$16:$CH$16,1,BC146)*(1+INDEX('Lease Cycles'!$CI$16:$CO$16,1,BC146))^INT(INT(BC147/12)/INDEX('Lease Cycles'!$CP$16:$CV$16,1,BC146))/12))),IF('Lease Cycles'!$N$16=1,'Lease Cycles'!$C$16*'Lease Cycles'!$E$16*INDEX('Lease Cycles'!$HE$16:$HK$16,1,BC146)*(1+INDEX('Lease Cycles'!$GQ$16:$GW$16,1,BC146))^INT(INT((BC$6-INDEX('Lease Cycles'!$GJ$16:$GP$16,1,BC146))/12)/INDEX('Lease Cycles'!$GX$16:$HD$16,1,BC146))/12,0)))</f>
        <v>4400</v>
      </c>
      <c r="BD149" s="28">
        <f>IF(BD146=0,IF('Lease Cycles'!$F$16&gt;0,'Lease Cycles'!$C$16*'Lease Cycles'!$E$16/12,0),IF(BD148=1,IF('Lease Cycles'!$AT$16&gt;=9999,'Lease Cycles'!$C$16*INDEX('Lease Cycles'!$CB$16:$CH$16,1,BD146)*(1+INDEX('Lease Cycles'!$CI$16:$CO$16,1,BD146))^INT(INT(BD147/12)/INDEX('Lease Cycles'!$CP$16:$CV$16,1,BD146))/12,IF(BD146=1,IF(BD147&gt;=INDEX('Lease Cycles'!$DK$16:$DQ$16,1,BD146),IF(BD$6&gt;='Lease Cycles'!$AZ$16,'Lease Cycles'!$C$16*'Lease Cycles'!$BA$16/12,IF(BD$6&gt;='Lease Cycles'!$AX$16,'Lease Cycles'!$C$16*'Lease Cycles'!$AY$16/12,IF(BD$6&gt;='Lease Cycles'!$AV$16,'Lease Cycles'!$C$16*'Lease Cycles'!$AW$16/12,IF(BD$6&gt;='Lease Cycles'!$AT$16,'Lease Cycles'!$C$16*'Lease Cycles'!$AU$16/12,'Lease Cycles'!$C$16*INDEX('Lease Cycles'!$CB$16:$CH$16,1,BD146)*(1+INDEX('Lease Cycles'!$CI$16:$CO$16,1,BD146))^INT(INT(BD147/12)/INDEX('Lease Cycles'!$CP$16:$CV$16,1,BD146))/12)))),'Lease Cycles'!$C$16*INDEX('Lease Cycles'!$CB$16:$CH$16,1,BD146)*(1+INDEX('Lease Cycles'!$CI$16:$CO$16,1,BD146))^INT(INT(BD147/12)/INDEX('Lease Cycles'!$CP$16:$CV$16,1,BD146))/12),IF(INDEX('Lease Cycles'!$EF$16:$EL$16,1,BD146)=1,IF(AND('Lease Cycles'!$AZ$16&gt;=INDEX('Lease Cycles'!$BG$16:$BM$16,1,BD146),'Lease Cycles'!$AZ$16&lt;=BD$6),'Lease Cycles'!$C$16*'Lease Cycles'!$BA$16/12,IF(AND('Lease Cycles'!$AX$16&gt;=INDEX('Lease Cycles'!$BG$16:$BM$16,1,BD146),'Lease Cycles'!$AX$16&lt;=BD$6),'Lease Cycles'!$C$16*'Lease Cycles'!$AY$16/12,IF(AND('Lease Cycles'!$AV$16&gt;=INDEX('Lease Cycles'!$BG$16:$BM$16,1,BD146),'Lease Cycles'!$AV$16&lt;=BD$6),'Lease Cycles'!$C$16*'Lease Cycles'!$AW$16/12,IF(AND('Lease Cycles'!$AT$16&gt;=INDEX('Lease Cycles'!$BG$16:$BM$16,1,BD146),'Lease Cycles'!$AT$16&lt;=BD$6),'Lease Cycles'!$C$16*'Lease Cycles'!$AU$16/12,'Lease Cycles'!$C$16*INDEX('Lease Cycles'!$CB$16:$CH$16,1,BD146)*(1+INDEX('Lease Cycles'!$CI$16:$CO$16,1,BD146))^INT(INT(BD147/12)/INDEX('Lease Cycles'!$CP$16:$CV$16,1,BD146))/12)))),'Lease Cycles'!$C$16*INDEX('Lease Cycles'!$CB$16:$CH$16,1,BD146)*(1+INDEX('Lease Cycles'!$CI$16:$CO$16,1,BD146))^INT(INT(BD147/12)/INDEX('Lease Cycles'!$CP$16:$CV$16,1,BD146))/12))),IF('Lease Cycles'!$N$16=1,'Lease Cycles'!$C$16*'Lease Cycles'!$E$16*INDEX('Lease Cycles'!$HE$16:$HK$16,1,BD146)*(1+INDEX('Lease Cycles'!$GQ$16:$GW$16,1,BD146))^INT(INT((BD$6-INDEX('Lease Cycles'!$GJ$16:$GP$16,1,BD146))/12)/INDEX('Lease Cycles'!$GX$16:$HD$16,1,BD146))/12,0)))</f>
        <v>4400</v>
      </c>
      <c r="BE149" s="28">
        <f>IF(BE146=0,IF('Lease Cycles'!$F$16&gt;0,'Lease Cycles'!$C$16*'Lease Cycles'!$E$16/12,0),IF(BE148=1,IF('Lease Cycles'!$AT$16&gt;=9999,'Lease Cycles'!$C$16*INDEX('Lease Cycles'!$CB$16:$CH$16,1,BE146)*(1+INDEX('Lease Cycles'!$CI$16:$CO$16,1,BE146))^INT(INT(BE147/12)/INDEX('Lease Cycles'!$CP$16:$CV$16,1,BE146))/12,IF(BE146=1,IF(BE147&gt;=INDEX('Lease Cycles'!$DK$16:$DQ$16,1,BE146),IF(BE$6&gt;='Lease Cycles'!$AZ$16,'Lease Cycles'!$C$16*'Lease Cycles'!$BA$16/12,IF(BE$6&gt;='Lease Cycles'!$AX$16,'Lease Cycles'!$C$16*'Lease Cycles'!$AY$16/12,IF(BE$6&gt;='Lease Cycles'!$AV$16,'Lease Cycles'!$C$16*'Lease Cycles'!$AW$16/12,IF(BE$6&gt;='Lease Cycles'!$AT$16,'Lease Cycles'!$C$16*'Lease Cycles'!$AU$16/12,'Lease Cycles'!$C$16*INDEX('Lease Cycles'!$CB$16:$CH$16,1,BE146)*(1+INDEX('Lease Cycles'!$CI$16:$CO$16,1,BE146))^INT(INT(BE147/12)/INDEX('Lease Cycles'!$CP$16:$CV$16,1,BE146))/12)))),'Lease Cycles'!$C$16*INDEX('Lease Cycles'!$CB$16:$CH$16,1,BE146)*(1+INDEX('Lease Cycles'!$CI$16:$CO$16,1,BE146))^INT(INT(BE147/12)/INDEX('Lease Cycles'!$CP$16:$CV$16,1,BE146))/12),IF(INDEX('Lease Cycles'!$EF$16:$EL$16,1,BE146)=1,IF(AND('Lease Cycles'!$AZ$16&gt;=INDEX('Lease Cycles'!$BG$16:$BM$16,1,BE146),'Lease Cycles'!$AZ$16&lt;=BE$6),'Lease Cycles'!$C$16*'Lease Cycles'!$BA$16/12,IF(AND('Lease Cycles'!$AX$16&gt;=INDEX('Lease Cycles'!$BG$16:$BM$16,1,BE146),'Lease Cycles'!$AX$16&lt;=BE$6),'Lease Cycles'!$C$16*'Lease Cycles'!$AY$16/12,IF(AND('Lease Cycles'!$AV$16&gt;=INDEX('Lease Cycles'!$BG$16:$BM$16,1,BE146),'Lease Cycles'!$AV$16&lt;=BE$6),'Lease Cycles'!$C$16*'Lease Cycles'!$AW$16/12,IF(AND('Lease Cycles'!$AT$16&gt;=INDEX('Lease Cycles'!$BG$16:$BM$16,1,BE146),'Lease Cycles'!$AT$16&lt;=BE$6),'Lease Cycles'!$C$16*'Lease Cycles'!$AU$16/12,'Lease Cycles'!$C$16*INDEX('Lease Cycles'!$CB$16:$CH$16,1,BE146)*(1+INDEX('Lease Cycles'!$CI$16:$CO$16,1,BE146))^INT(INT(BE147/12)/INDEX('Lease Cycles'!$CP$16:$CV$16,1,BE146))/12)))),'Lease Cycles'!$C$16*INDEX('Lease Cycles'!$CB$16:$CH$16,1,BE146)*(1+INDEX('Lease Cycles'!$CI$16:$CO$16,1,BE146))^INT(INT(BE147/12)/INDEX('Lease Cycles'!$CP$16:$CV$16,1,BE146))/12))),IF('Lease Cycles'!$N$16=1,'Lease Cycles'!$C$16*'Lease Cycles'!$E$16*INDEX('Lease Cycles'!$HE$16:$HK$16,1,BE146)*(1+INDEX('Lease Cycles'!$GQ$16:$GW$16,1,BE146))^INT(INT((BE$6-INDEX('Lease Cycles'!$GJ$16:$GP$16,1,BE146))/12)/INDEX('Lease Cycles'!$GX$16:$HD$16,1,BE146))/12,0)))</f>
        <v>4400</v>
      </c>
      <c r="BF149" s="28">
        <f>IF(BF146=0,IF('Lease Cycles'!$F$16&gt;0,'Lease Cycles'!$C$16*'Lease Cycles'!$E$16/12,0),IF(BF148=1,IF('Lease Cycles'!$AT$16&gt;=9999,'Lease Cycles'!$C$16*INDEX('Lease Cycles'!$CB$16:$CH$16,1,BF146)*(1+INDEX('Lease Cycles'!$CI$16:$CO$16,1,BF146))^INT(INT(BF147/12)/INDEX('Lease Cycles'!$CP$16:$CV$16,1,BF146))/12,IF(BF146=1,IF(BF147&gt;=INDEX('Lease Cycles'!$DK$16:$DQ$16,1,BF146),IF(BF$6&gt;='Lease Cycles'!$AZ$16,'Lease Cycles'!$C$16*'Lease Cycles'!$BA$16/12,IF(BF$6&gt;='Lease Cycles'!$AX$16,'Lease Cycles'!$C$16*'Lease Cycles'!$AY$16/12,IF(BF$6&gt;='Lease Cycles'!$AV$16,'Lease Cycles'!$C$16*'Lease Cycles'!$AW$16/12,IF(BF$6&gt;='Lease Cycles'!$AT$16,'Lease Cycles'!$C$16*'Lease Cycles'!$AU$16/12,'Lease Cycles'!$C$16*INDEX('Lease Cycles'!$CB$16:$CH$16,1,BF146)*(1+INDEX('Lease Cycles'!$CI$16:$CO$16,1,BF146))^INT(INT(BF147/12)/INDEX('Lease Cycles'!$CP$16:$CV$16,1,BF146))/12)))),'Lease Cycles'!$C$16*INDEX('Lease Cycles'!$CB$16:$CH$16,1,BF146)*(1+INDEX('Lease Cycles'!$CI$16:$CO$16,1,BF146))^INT(INT(BF147/12)/INDEX('Lease Cycles'!$CP$16:$CV$16,1,BF146))/12),IF(INDEX('Lease Cycles'!$EF$16:$EL$16,1,BF146)=1,IF(AND('Lease Cycles'!$AZ$16&gt;=INDEX('Lease Cycles'!$BG$16:$BM$16,1,BF146),'Lease Cycles'!$AZ$16&lt;=BF$6),'Lease Cycles'!$C$16*'Lease Cycles'!$BA$16/12,IF(AND('Lease Cycles'!$AX$16&gt;=INDEX('Lease Cycles'!$BG$16:$BM$16,1,BF146),'Lease Cycles'!$AX$16&lt;=BF$6),'Lease Cycles'!$C$16*'Lease Cycles'!$AY$16/12,IF(AND('Lease Cycles'!$AV$16&gt;=INDEX('Lease Cycles'!$BG$16:$BM$16,1,BF146),'Lease Cycles'!$AV$16&lt;=BF$6),'Lease Cycles'!$C$16*'Lease Cycles'!$AW$16/12,IF(AND('Lease Cycles'!$AT$16&gt;=INDEX('Lease Cycles'!$BG$16:$BM$16,1,BF146),'Lease Cycles'!$AT$16&lt;=BF$6),'Lease Cycles'!$C$16*'Lease Cycles'!$AU$16/12,'Lease Cycles'!$C$16*INDEX('Lease Cycles'!$CB$16:$CH$16,1,BF146)*(1+INDEX('Lease Cycles'!$CI$16:$CO$16,1,BF146))^INT(INT(BF147/12)/INDEX('Lease Cycles'!$CP$16:$CV$16,1,BF146))/12)))),'Lease Cycles'!$C$16*INDEX('Lease Cycles'!$CB$16:$CH$16,1,BF146)*(1+INDEX('Lease Cycles'!$CI$16:$CO$16,1,BF146))^INT(INT(BF147/12)/INDEX('Lease Cycles'!$CP$16:$CV$16,1,BF146))/12))),IF('Lease Cycles'!$N$16=1,'Lease Cycles'!$C$16*'Lease Cycles'!$E$16*INDEX('Lease Cycles'!$HE$16:$HK$16,1,BF146)*(1+INDEX('Lease Cycles'!$GQ$16:$GW$16,1,BF146))^INT(INT((BF$6-INDEX('Lease Cycles'!$GJ$16:$GP$16,1,BF146))/12)/INDEX('Lease Cycles'!$GX$16:$HD$16,1,BF146))/12,0)))</f>
        <v>4400</v>
      </c>
      <c r="BG149" s="28">
        <f>IF(BG146=0,IF('Lease Cycles'!$F$16&gt;0,'Lease Cycles'!$C$16*'Lease Cycles'!$E$16/12,0),IF(BG148=1,IF('Lease Cycles'!$AT$16&gt;=9999,'Lease Cycles'!$C$16*INDEX('Lease Cycles'!$CB$16:$CH$16,1,BG146)*(1+INDEX('Lease Cycles'!$CI$16:$CO$16,1,BG146))^INT(INT(BG147/12)/INDEX('Lease Cycles'!$CP$16:$CV$16,1,BG146))/12,IF(BG146=1,IF(BG147&gt;=INDEX('Lease Cycles'!$DK$16:$DQ$16,1,BG146),IF(BG$6&gt;='Lease Cycles'!$AZ$16,'Lease Cycles'!$C$16*'Lease Cycles'!$BA$16/12,IF(BG$6&gt;='Lease Cycles'!$AX$16,'Lease Cycles'!$C$16*'Lease Cycles'!$AY$16/12,IF(BG$6&gt;='Lease Cycles'!$AV$16,'Lease Cycles'!$C$16*'Lease Cycles'!$AW$16/12,IF(BG$6&gt;='Lease Cycles'!$AT$16,'Lease Cycles'!$C$16*'Lease Cycles'!$AU$16/12,'Lease Cycles'!$C$16*INDEX('Lease Cycles'!$CB$16:$CH$16,1,BG146)*(1+INDEX('Lease Cycles'!$CI$16:$CO$16,1,BG146))^INT(INT(BG147/12)/INDEX('Lease Cycles'!$CP$16:$CV$16,1,BG146))/12)))),'Lease Cycles'!$C$16*INDEX('Lease Cycles'!$CB$16:$CH$16,1,BG146)*(1+INDEX('Lease Cycles'!$CI$16:$CO$16,1,BG146))^INT(INT(BG147/12)/INDEX('Lease Cycles'!$CP$16:$CV$16,1,BG146))/12),IF(INDEX('Lease Cycles'!$EF$16:$EL$16,1,BG146)=1,IF(AND('Lease Cycles'!$AZ$16&gt;=INDEX('Lease Cycles'!$BG$16:$BM$16,1,BG146),'Lease Cycles'!$AZ$16&lt;=BG$6),'Lease Cycles'!$C$16*'Lease Cycles'!$BA$16/12,IF(AND('Lease Cycles'!$AX$16&gt;=INDEX('Lease Cycles'!$BG$16:$BM$16,1,BG146),'Lease Cycles'!$AX$16&lt;=BG$6),'Lease Cycles'!$C$16*'Lease Cycles'!$AY$16/12,IF(AND('Lease Cycles'!$AV$16&gt;=INDEX('Lease Cycles'!$BG$16:$BM$16,1,BG146),'Lease Cycles'!$AV$16&lt;=BG$6),'Lease Cycles'!$C$16*'Lease Cycles'!$AW$16/12,IF(AND('Lease Cycles'!$AT$16&gt;=INDEX('Lease Cycles'!$BG$16:$BM$16,1,BG146),'Lease Cycles'!$AT$16&lt;=BG$6),'Lease Cycles'!$C$16*'Lease Cycles'!$AU$16/12,'Lease Cycles'!$C$16*INDEX('Lease Cycles'!$CB$16:$CH$16,1,BG146)*(1+INDEX('Lease Cycles'!$CI$16:$CO$16,1,BG146))^INT(INT(BG147/12)/INDEX('Lease Cycles'!$CP$16:$CV$16,1,BG146))/12)))),'Lease Cycles'!$C$16*INDEX('Lease Cycles'!$CB$16:$CH$16,1,BG146)*(1+INDEX('Lease Cycles'!$CI$16:$CO$16,1,BG146))^INT(INT(BG147/12)/INDEX('Lease Cycles'!$CP$16:$CV$16,1,BG146))/12))),IF('Lease Cycles'!$N$16=1,'Lease Cycles'!$C$16*'Lease Cycles'!$E$16*INDEX('Lease Cycles'!$HE$16:$HK$16,1,BG146)*(1+INDEX('Lease Cycles'!$GQ$16:$GW$16,1,BG146))^INT(INT((BG$6-INDEX('Lease Cycles'!$GJ$16:$GP$16,1,BG146))/12)/INDEX('Lease Cycles'!$GX$16:$HD$16,1,BG146))/12,0)))</f>
        <v>4400</v>
      </c>
      <c r="BH149" s="28">
        <f>IF(BH146=0,IF('Lease Cycles'!$F$16&gt;0,'Lease Cycles'!$C$16*'Lease Cycles'!$E$16/12,0),IF(BH148=1,IF('Lease Cycles'!$AT$16&gt;=9999,'Lease Cycles'!$C$16*INDEX('Lease Cycles'!$CB$16:$CH$16,1,BH146)*(1+INDEX('Lease Cycles'!$CI$16:$CO$16,1,BH146))^INT(INT(BH147/12)/INDEX('Lease Cycles'!$CP$16:$CV$16,1,BH146))/12,IF(BH146=1,IF(BH147&gt;=INDEX('Lease Cycles'!$DK$16:$DQ$16,1,BH146),IF(BH$6&gt;='Lease Cycles'!$AZ$16,'Lease Cycles'!$C$16*'Lease Cycles'!$BA$16/12,IF(BH$6&gt;='Lease Cycles'!$AX$16,'Lease Cycles'!$C$16*'Lease Cycles'!$AY$16/12,IF(BH$6&gt;='Lease Cycles'!$AV$16,'Lease Cycles'!$C$16*'Lease Cycles'!$AW$16/12,IF(BH$6&gt;='Lease Cycles'!$AT$16,'Lease Cycles'!$C$16*'Lease Cycles'!$AU$16/12,'Lease Cycles'!$C$16*INDEX('Lease Cycles'!$CB$16:$CH$16,1,BH146)*(1+INDEX('Lease Cycles'!$CI$16:$CO$16,1,BH146))^INT(INT(BH147/12)/INDEX('Lease Cycles'!$CP$16:$CV$16,1,BH146))/12)))),'Lease Cycles'!$C$16*INDEX('Lease Cycles'!$CB$16:$CH$16,1,BH146)*(1+INDEX('Lease Cycles'!$CI$16:$CO$16,1,BH146))^INT(INT(BH147/12)/INDEX('Lease Cycles'!$CP$16:$CV$16,1,BH146))/12),IF(INDEX('Lease Cycles'!$EF$16:$EL$16,1,BH146)=1,IF(AND('Lease Cycles'!$AZ$16&gt;=INDEX('Lease Cycles'!$BG$16:$BM$16,1,BH146),'Lease Cycles'!$AZ$16&lt;=BH$6),'Lease Cycles'!$C$16*'Lease Cycles'!$BA$16/12,IF(AND('Lease Cycles'!$AX$16&gt;=INDEX('Lease Cycles'!$BG$16:$BM$16,1,BH146),'Lease Cycles'!$AX$16&lt;=BH$6),'Lease Cycles'!$C$16*'Lease Cycles'!$AY$16/12,IF(AND('Lease Cycles'!$AV$16&gt;=INDEX('Lease Cycles'!$BG$16:$BM$16,1,BH146),'Lease Cycles'!$AV$16&lt;=BH$6),'Lease Cycles'!$C$16*'Lease Cycles'!$AW$16/12,IF(AND('Lease Cycles'!$AT$16&gt;=INDEX('Lease Cycles'!$BG$16:$BM$16,1,BH146),'Lease Cycles'!$AT$16&lt;=BH$6),'Lease Cycles'!$C$16*'Lease Cycles'!$AU$16/12,'Lease Cycles'!$C$16*INDEX('Lease Cycles'!$CB$16:$CH$16,1,BH146)*(1+INDEX('Lease Cycles'!$CI$16:$CO$16,1,BH146))^INT(INT(BH147/12)/INDEX('Lease Cycles'!$CP$16:$CV$16,1,BH146))/12)))),'Lease Cycles'!$C$16*INDEX('Lease Cycles'!$CB$16:$CH$16,1,BH146)*(1+INDEX('Lease Cycles'!$CI$16:$CO$16,1,BH146))^INT(INT(BH147/12)/INDEX('Lease Cycles'!$CP$16:$CV$16,1,BH146))/12))),IF('Lease Cycles'!$N$16=1,'Lease Cycles'!$C$16*'Lease Cycles'!$E$16*INDEX('Lease Cycles'!$HE$16:$HK$16,1,BH146)*(1+INDEX('Lease Cycles'!$GQ$16:$GW$16,1,BH146))^INT(INT((BH$6-INDEX('Lease Cycles'!$GJ$16:$GP$16,1,BH146))/12)/INDEX('Lease Cycles'!$GX$16:$HD$16,1,BH146))/12,0)))</f>
        <v>4400</v>
      </c>
      <c r="BI149" s="28">
        <f>IF(BI146=0,IF('Lease Cycles'!$F$16&gt;0,'Lease Cycles'!$C$16*'Lease Cycles'!$E$16/12,0),IF(BI148=1,IF('Lease Cycles'!$AT$16&gt;=9999,'Lease Cycles'!$C$16*INDEX('Lease Cycles'!$CB$16:$CH$16,1,BI146)*(1+INDEX('Lease Cycles'!$CI$16:$CO$16,1,BI146))^INT(INT(BI147/12)/INDEX('Lease Cycles'!$CP$16:$CV$16,1,BI146))/12,IF(BI146=1,IF(BI147&gt;=INDEX('Lease Cycles'!$DK$16:$DQ$16,1,BI146),IF(BI$6&gt;='Lease Cycles'!$AZ$16,'Lease Cycles'!$C$16*'Lease Cycles'!$BA$16/12,IF(BI$6&gt;='Lease Cycles'!$AX$16,'Lease Cycles'!$C$16*'Lease Cycles'!$AY$16/12,IF(BI$6&gt;='Lease Cycles'!$AV$16,'Lease Cycles'!$C$16*'Lease Cycles'!$AW$16/12,IF(BI$6&gt;='Lease Cycles'!$AT$16,'Lease Cycles'!$C$16*'Lease Cycles'!$AU$16/12,'Lease Cycles'!$C$16*INDEX('Lease Cycles'!$CB$16:$CH$16,1,BI146)*(1+INDEX('Lease Cycles'!$CI$16:$CO$16,1,BI146))^INT(INT(BI147/12)/INDEX('Lease Cycles'!$CP$16:$CV$16,1,BI146))/12)))),'Lease Cycles'!$C$16*INDEX('Lease Cycles'!$CB$16:$CH$16,1,BI146)*(1+INDEX('Lease Cycles'!$CI$16:$CO$16,1,BI146))^INT(INT(BI147/12)/INDEX('Lease Cycles'!$CP$16:$CV$16,1,BI146))/12),IF(INDEX('Lease Cycles'!$EF$16:$EL$16,1,BI146)=1,IF(AND('Lease Cycles'!$AZ$16&gt;=INDEX('Lease Cycles'!$BG$16:$BM$16,1,BI146),'Lease Cycles'!$AZ$16&lt;=BI$6),'Lease Cycles'!$C$16*'Lease Cycles'!$BA$16/12,IF(AND('Lease Cycles'!$AX$16&gt;=INDEX('Lease Cycles'!$BG$16:$BM$16,1,BI146),'Lease Cycles'!$AX$16&lt;=BI$6),'Lease Cycles'!$C$16*'Lease Cycles'!$AY$16/12,IF(AND('Lease Cycles'!$AV$16&gt;=INDEX('Lease Cycles'!$BG$16:$BM$16,1,BI146),'Lease Cycles'!$AV$16&lt;=BI$6),'Lease Cycles'!$C$16*'Lease Cycles'!$AW$16/12,IF(AND('Lease Cycles'!$AT$16&gt;=INDEX('Lease Cycles'!$BG$16:$BM$16,1,BI146),'Lease Cycles'!$AT$16&lt;=BI$6),'Lease Cycles'!$C$16*'Lease Cycles'!$AU$16/12,'Lease Cycles'!$C$16*INDEX('Lease Cycles'!$CB$16:$CH$16,1,BI146)*(1+INDEX('Lease Cycles'!$CI$16:$CO$16,1,BI146))^INT(INT(BI147/12)/INDEX('Lease Cycles'!$CP$16:$CV$16,1,BI146))/12)))),'Lease Cycles'!$C$16*INDEX('Lease Cycles'!$CB$16:$CH$16,1,BI146)*(1+INDEX('Lease Cycles'!$CI$16:$CO$16,1,BI146))^INT(INT(BI147/12)/INDEX('Lease Cycles'!$CP$16:$CV$16,1,BI146))/12))),IF('Lease Cycles'!$N$16=1,'Lease Cycles'!$C$16*'Lease Cycles'!$E$16*INDEX('Lease Cycles'!$HE$16:$HK$16,1,BI146)*(1+INDEX('Lease Cycles'!$GQ$16:$GW$16,1,BI146))^INT(INT((BI$6-INDEX('Lease Cycles'!$GJ$16:$GP$16,1,BI146))/12)/INDEX('Lease Cycles'!$GX$16:$HD$16,1,BI146))/12,0)))</f>
        <v>4400</v>
      </c>
      <c r="BJ149" s="28">
        <f>IF(BJ146=0,IF('Lease Cycles'!$F$16&gt;0,'Lease Cycles'!$C$16*'Lease Cycles'!$E$16/12,0),IF(BJ148=1,IF('Lease Cycles'!$AT$16&gt;=9999,'Lease Cycles'!$C$16*INDEX('Lease Cycles'!$CB$16:$CH$16,1,BJ146)*(1+INDEX('Lease Cycles'!$CI$16:$CO$16,1,BJ146))^INT(INT(BJ147/12)/INDEX('Lease Cycles'!$CP$16:$CV$16,1,BJ146))/12,IF(BJ146=1,IF(BJ147&gt;=INDEX('Lease Cycles'!$DK$16:$DQ$16,1,BJ146),IF(BJ$6&gt;='Lease Cycles'!$AZ$16,'Lease Cycles'!$C$16*'Lease Cycles'!$BA$16/12,IF(BJ$6&gt;='Lease Cycles'!$AX$16,'Lease Cycles'!$C$16*'Lease Cycles'!$AY$16/12,IF(BJ$6&gt;='Lease Cycles'!$AV$16,'Lease Cycles'!$C$16*'Lease Cycles'!$AW$16/12,IF(BJ$6&gt;='Lease Cycles'!$AT$16,'Lease Cycles'!$C$16*'Lease Cycles'!$AU$16/12,'Lease Cycles'!$C$16*INDEX('Lease Cycles'!$CB$16:$CH$16,1,BJ146)*(1+INDEX('Lease Cycles'!$CI$16:$CO$16,1,BJ146))^INT(INT(BJ147/12)/INDEX('Lease Cycles'!$CP$16:$CV$16,1,BJ146))/12)))),'Lease Cycles'!$C$16*INDEX('Lease Cycles'!$CB$16:$CH$16,1,BJ146)*(1+INDEX('Lease Cycles'!$CI$16:$CO$16,1,BJ146))^INT(INT(BJ147/12)/INDEX('Lease Cycles'!$CP$16:$CV$16,1,BJ146))/12),IF(INDEX('Lease Cycles'!$EF$16:$EL$16,1,BJ146)=1,IF(AND('Lease Cycles'!$AZ$16&gt;=INDEX('Lease Cycles'!$BG$16:$BM$16,1,BJ146),'Lease Cycles'!$AZ$16&lt;=BJ$6),'Lease Cycles'!$C$16*'Lease Cycles'!$BA$16/12,IF(AND('Lease Cycles'!$AX$16&gt;=INDEX('Lease Cycles'!$BG$16:$BM$16,1,BJ146),'Lease Cycles'!$AX$16&lt;=BJ$6),'Lease Cycles'!$C$16*'Lease Cycles'!$AY$16/12,IF(AND('Lease Cycles'!$AV$16&gt;=INDEX('Lease Cycles'!$BG$16:$BM$16,1,BJ146),'Lease Cycles'!$AV$16&lt;=BJ$6),'Lease Cycles'!$C$16*'Lease Cycles'!$AW$16/12,IF(AND('Lease Cycles'!$AT$16&gt;=INDEX('Lease Cycles'!$BG$16:$BM$16,1,BJ146),'Lease Cycles'!$AT$16&lt;=BJ$6),'Lease Cycles'!$C$16*'Lease Cycles'!$AU$16/12,'Lease Cycles'!$C$16*INDEX('Lease Cycles'!$CB$16:$CH$16,1,BJ146)*(1+INDEX('Lease Cycles'!$CI$16:$CO$16,1,BJ146))^INT(INT(BJ147/12)/INDEX('Lease Cycles'!$CP$16:$CV$16,1,BJ146))/12)))),'Lease Cycles'!$C$16*INDEX('Lease Cycles'!$CB$16:$CH$16,1,BJ146)*(1+INDEX('Lease Cycles'!$CI$16:$CO$16,1,BJ146))^INT(INT(BJ147/12)/INDEX('Lease Cycles'!$CP$16:$CV$16,1,BJ146))/12))),IF('Lease Cycles'!$N$16=1,'Lease Cycles'!$C$16*'Lease Cycles'!$E$16*INDEX('Lease Cycles'!$HE$16:$HK$16,1,BJ146)*(1+INDEX('Lease Cycles'!$GQ$16:$GW$16,1,BJ146))^INT(INT((BJ$6-INDEX('Lease Cycles'!$GJ$16:$GP$16,1,BJ146))/12)/INDEX('Lease Cycles'!$GX$16:$HD$16,1,BJ146))/12,0)))</f>
        <v>4400</v>
      </c>
      <c r="BK149" s="28">
        <f>IF(BK146=0,IF('Lease Cycles'!$F$16&gt;0,'Lease Cycles'!$C$16*'Lease Cycles'!$E$16/12,0),IF(BK148=1,IF('Lease Cycles'!$AT$16&gt;=9999,'Lease Cycles'!$C$16*INDEX('Lease Cycles'!$CB$16:$CH$16,1,BK146)*(1+INDEX('Lease Cycles'!$CI$16:$CO$16,1,BK146))^INT(INT(BK147/12)/INDEX('Lease Cycles'!$CP$16:$CV$16,1,BK146))/12,IF(BK146=1,IF(BK147&gt;=INDEX('Lease Cycles'!$DK$16:$DQ$16,1,BK146),IF(BK$6&gt;='Lease Cycles'!$AZ$16,'Lease Cycles'!$C$16*'Lease Cycles'!$BA$16/12,IF(BK$6&gt;='Lease Cycles'!$AX$16,'Lease Cycles'!$C$16*'Lease Cycles'!$AY$16/12,IF(BK$6&gt;='Lease Cycles'!$AV$16,'Lease Cycles'!$C$16*'Lease Cycles'!$AW$16/12,IF(BK$6&gt;='Lease Cycles'!$AT$16,'Lease Cycles'!$C$16*'Lease Cycles'!$AU$16/12,'Lease Cycles'!$C$16*INDEX('Lease Cycles'!$CB$16:$CH$16,1,BK146)*(1+INDEX('Lease Cycles'!$CI$16:$CO$16,1,BK146))^INT(INT(BK147/12)/INDEX('Lease Cycles'!$CP$16:$CV$16,1,BK146))/12)))),'Lease Cycles'!$C$16*INDEX('Lease Cycles'!$CB$16:$CH$16,1,BK146)*(1+INDEX('Lease Cycles'!$CI$16:$CO$16,1,BK146))^INT(INT(BK147/12)/INDEX('Lease Cycles'!$CP$16:$CV$16,1,BK146))/12),IF(INDEX('Lease Cycles'!$EF$16:$EL$16,1,BK146)=1,IF(AND('Lease Cycles'!$AZ$16&gt;=INDEX('Lease Cycles'!$BG$16:$BM$16,1,BK146),'Lease Cycles'!$AZ$16&lt;=BK$6),'Lease Cycles'!$C$16*'Lease Cycles'!$BA$16/12,IF(AND('Lease Cycles'!$AX$16&gt;=INDEX('Lease Cycles'!$BG$16:$BM$16,1,BK146),'Lease Cycles'!$AX$16&lt;=BK$6),'Lease Cycles'!$C$16*'Lease Cycles'!$AY$16/12,IF(AND('Lease Cycles'!$AV$16&gt;=INDEX('Lease Cycles'!$BG$16:$BM$16,1,BK146),'Lease Cycles'!$AV$16&lt;=BK$6),'Lease Cycles'!$C$16*'Lease Cycles'!$AW$16/12,IF(AND('Lease Cycles'!$AT$16&gt;=INDEX('Lease Cycles'!$BG$16:$BM$16,1,BK146),'Lease Cycles'!$AT$16&lt;=BK$6),'Lease Cycles'!$C$16*'Lease Cycles'!$AU$16/12,'Lease Cycles'!$C$16*INDEX('Lease Cycles'!$CB$16:$CH$16,1,BK146)*(1+INDEX('Lease Cycles'!$CI$16:$CO$16,1,BK146))^INT(INT(BK147/12)/INDEX('Lease Cycles'!$CP$16:$CV$16,1,BK146))/12)))),'Lease Cycles'!$C$16*INDEX('Lease Cycles'!$CB$16:$CH$16,1,BK146)*(1+INDEX('Lease Cycles'!$CI$16:$CO$16,1,BK146))^INT(INT(BK147/12)/INDEX('Lease Cycles'!$CP$16:$CV$16,1,BK146))/12))),IF('Lease Cycles'!$N$16=1,'Lease Cycles'!$C$16*'Lease Cycles'!$E$16*INDEX('Lease Cycles'!$HE$16:$HK$16,1,BK146)*(1+INDEX('Lease Cycles'!$GQ$16:$GW$16,1,BK146))^INT(INT((BK$6-INDEX('Lease Cycles'!$GJ$16:$GP$16,1,BK146))/12)/INDEX('Lease Cycles'!$GX$16:$HD$16,1,BK146))/12,0)))</f>
        <v>4400</v>
      </c>
      <c r="BL149" s="28">
        <f>IF(BL146=0,IF('Lease Cycles'!$F$16&gt;0,'Lease Cycles'!$C$16*'Lease Cycles'!$E$16/12,0),IF(BL148=1,IF('Lease Cycles'!$AT$16&gt;=9999,'Lease Cycles'!$C$16*INDEX('Lease Cycles'!$CB$16:$CH$16,1,BL146)*(1+INDEX('Lease Cycles'!$CI$16:$CO$16,1,BL146))^INT(INT(BL147/12)/INDEX('Lease Cycles'!$CP$16:$CV$16,1,BL146))/12,IF(BL146=1,IF(BL147&gt;=INDEX('Lease Cycles'!$DK$16:$DQ$16,1,BL146),IF(BL$6&gt;='Lease Cycles'!$AZ$16,'Lease Cycles'!$C$16*'Lease Cycles'!$BA$16/12,IF(BL$6&gt;='Lease Cycles'!$AX$16,'Lease Cycles'!$C$16*'Lease Cycles'!$AY$16/12,IF(BL$6&gt;='Lease Cycles'!$AV$16,'Lease Cycles'!$C$16*'Lease Cycles'!$AW$16/12,IF(BL$6&gt;='Lease Cycles'!$AT$16,'Lease Cycles'!$C$16*'Lease Cycles'!$AU$16/12,'Lease Cycles'!$C$16*INDEX('Lease Cycles'!$CB$16:$CH$16,1,BL146)*(1+INDEX('Lease Cycles'!$CI$16:$CO$16,1,BL146))^INT(INT(BL147/12)/INDEX('Lease Cycles'!$CP$16:$CV$16,1,BL146))/12)))),'Lease Cycles'!$C$16*INDEX('Lease Cycles'!$CB$16:$CH$16,1,BL146)*(1+INDEX('Lease Cycles'!$CI$16:$CO$16,1,BL146))^INT(INT(BL147/12)/INDEX('Lease Cycles'!$CP$16:$CV$16,1,BL146))/12),IF(INDEX('Lease Cycles'!$EF$16:$EL$16,1,BL146)=1,IF(AND('Lease Cycles'!$AZ$16&gt;=INDEX('Lease Cycles'!$BG$16:$BM$16,1,BL146),'Lease Cycles'!$AZ$16&lt;=BL$6),'Lease Cycles'!$C$16*'Lease Cycles'!$BA$16/12,IF(AND('Lease Cycles'!$AX$16&gt;=INDEX('Lease Cycles'!$BG$16:$BM$16,1,BL146),'Lease Cycles'!$AX$16&lt;=BL$6),'Lease Cycles'!$C$16*'Lease Cycles'!$AY$16/12,IF(AND('Lease Cycles'!$AV$16&gt;=INDEX('Lease Cycles'!$BG$16:$BM$16,1,BL146),'Lease Cycles'!$AV$16&lt;=BL$6),'Lease Cycles'!$C$16*'Lease Cycles'!$AW$16/12,IF(AND('Lease Cycles'!$AT$16&gt;=INDEX('Lease Cycles'!$BG$16:$BM$16,1,BL146),'Lease Cycles'!$AT$16&lt;=BL$6),'Lease Cycles'!$C$16*'Lease Cycles'!$AU$16/12,'Lease Cycles'!$C$16*INDEX('Lease Cycles'!$CB$16:$CH$16,1,BL146)*(1+INDEX('Lease Cycles'!$CI$16:$CO$16,1,BL146))^INT(INT(BL147/12)/INDEX('Lease Cycles'!$CP$16:$CV$16,1,BL146))/12)))),'Lease Cycles'!$C$16*INDEX('Lease Cycles'!$CB$16:$CH$16,1,BL146)*(1+INDEX('Lease Cycles'!$CI$16:$CO$16,1,BL146))^INT(INT(BL147/12)/INDEX('Lease Cycles'!$CP$16:$CV$16,1,BL146))/12))),IF('Lease Cycles'!$N$16=1,'Lease Cycles'!$C$16*'Lease Cycles'!$E$16*INDEX('Lease Cycles'!$HE$16:$HK$16,1,BL146)*(1+INDEX('Lease Cycles'!$GQ$16:$GW$16,1,BL146))^INT(INT((BL$6-INDEX('Lease Cycles'!$GJ$16:$GP$16,1,BL146))/12)/INDEX('Lease Cycles'!$GX$16:$HD$16,1,BL146))/12,0)))</f>
        <v>4400</v>
      </c>
      <c r="BM149" s="28">
        <f>IF(BM146=0,IF('Lease Cycles'!$F$16&gt;0,'Lease Cycles'!$C$16*'Lease Cycles'!$E$16/12,0),IF(BM148=1,IF('Lease Cycles'!$AT$16&gt;=9999,'Lease Cycles'!$C$16*INDEX('Lease Cycles'!$CB$16:$CH$16,1,BM146)*(1+INDEX('Lease Cycles'!$CI$16:$CO$16,1,BM146))^INT(INT(BM147/12)/INDEX('Lease Cycles'!$CP$16:$CV$16,1,BM146))/12,IF(BM146=1,IF(BM147&gt;=INDEX('Lease Cycles'!$DK$16:$DQ$16,1,BM146),IF(BM$6&gt;='Lease Cycles'!$AZ$16,'Lease Cycles'!$C$16*'Lease Cycles'!$BA$16/12,IF(BM$6&gt;='Lease Cycles'!$AX$16,'Lease Cycles'!$C$16*'Lease Cycles'!$AY$16/12,IF(BM$6&gt;='Lease Cycles'!$AV$16,'Lease Cycles'!$C$16*'Lease Cycles'!$AW$16/12,IF(BM$6&gt;='Lease Cycles'!$AT$16,'Lease Cycles'!$C$16*'Lease Cycles'!$AU$16/12,'Lease Cycles'!$C$16*INDEX('Lease Cycles'!$CB$16:$CH$16,1,BM146)*(1+INDEX('Lease Cycles'!$CI$16:$CO$16,1,BM146))^INT(INT(BM147/12)/INDEX('Lease Cycles'!$CP$16:$CV$16,1,BM146))/12)))),'Lease Cycles'!$C$16*INDEX('Lease Cycles'!$CB$16:$CH$16,1,BM146)*(1+INDEX('Lease Cycles'!$CI$16:$CO$16,1,BM146))^INT(INT(BM147/12)/INDEX('Lease Cycles'!$CP$16:$CV$16,1,BM146))/12),IF(INDEX('Lease Cycles'!$EF$16:$EL$16,1,BM146)=1,IF(AND('Lease Cycles'!$AZ$16&gt;=INDEX('Lease Cycles'!$BG$16:$BM$16,1,BM146),'Lease Cycles'!$AZ$16&lt;=BM$6),'Lease Cycles'!$C$16*'Lease Cycles'!$BA$16/12,IF(AND('Lease Cycles'!$AX$16&gt;=INDEX('Lease Cycles'!$BG$16:$BM$16,1,BM146),'Lease Cycles'!$AX$16&lt;=BM$6),'Lease Cycles'!$C$16*'Lease Cycles'!$AY$16/12,IF(AND('Lease Cycles'!$AV$16&gt;=INDEX('Lease Cycles'!$BG$16:$BM$16,1,BM146),'Lease Cycles'!$AV$16&lt;=BM$6),'Lease Cycles'!$C$16*'Lease Cycles'!$AW$16/12,IF(AND('Lease Cycles'!$AT$16&gt;=INDEX('Lease Cycles'!$BG$16:$BM$16,1,BM146),'Lease Cycles'!$AT$16&lt;=BM$6),'Lease Cycles'!$C$16*'Lease Cycles'!$AU$16/12,'Lease Cycles'!$C$16*INDEX('Lease Cycles'!$CB$16:$CH$16,1,BM146)*(1+INDEX('Lease Cycles'!$CI$16:$CO$16,1,BM146))^INT(INT(BM147/12)/INDEX('Lease Cycles'!$CP$16:$CV$16,1,BM146))/12)))),'Lease Cycles'!$C$16*INDEX('Lease Cycles'!$CB$16:$CH$16,1,BM146)*(1+INDEX('Lease Cycles'!$CI$16:$CO$16,1,BM146))^INT(INT(BM147/12)/INDEX('Lease Cycles'!$CP$16:$CV$16,1,BM146))/12))),IF('Lease Cycles'!$N$16=1,'Lease Cycles'!$C$16*'Lease Cycles'!$E$16*INDEX('Lease Cycles'!$HE$16:$HK$16,1,BM146)*(1+INDEX('Lease Cycles'!$GQ$16:$GW$16,1,BM146))^INT(INT((BM$6-INDEX('Lease Cycles'!$GJ$16:$GP$16,1,BM146))/12)/INDEX('Lease Cycles'!$GX$16:$HD$16,1,BM146))/12,0)))</f>
        <v>4400</v>
      </c>
      <c r="BN149" s="28">
        <f>IF(BN146=0,IF('Lease Cycles'!$F$16&gt;0,'Lease Cycles'!$C$16*'Lease Cycles'!$E$16/12,0),IF(BN148=1,IF('Lease Cycles'!$AT$16&gt;=9999,'Lease Cycles'!$C$16*INDEX('Lease Cycles'!$CB$16:$CH$16,1,BN146)*(1+INDEX('Lease Cycles'!$CI$16:$CO$16,1,BN146))^INT(INT(BN147/12)/INDEX('Lease Cycles'!$CP$16:$CV$16,1,BN146))/12,IF(BN146=1,IF(BN147&gt;=INDEX('Lease Cycles'!$DK$16:$DQ$16,1,BN146),IF(BN$6&gt;='Lease Cycles'!$AZ$16,'Lease Cycles'!$C$16*'Lease Cycles'!$BA$16/12,IF(BN$6&gt;='Lease Cycles'!$AX$16,'Lease Cycles'!$C$16*'Lease Cycles'!$AY$16/12,IF(BN$6&gt;='Lease Cycles'!$AV$16,'Lease Cycles'!$C$16*'Lease Cycles'!$AW$16/12,IF(BN$6&gt;='Lease Cycles'!$AT$16,'Lease Cycles'!$C$16*'Lease Cycles'!$AU$16/12,'Lease Cycles'!$C$16*INDEX('Lease Cycles'!$CB$16:$CH$16,1,BN146)*(1+INDEX('Lease Cycles'!$CI$16:$CO$16,1,BN146))^INT(INT(BN147/12)/INDEX('Lease Cycles'!$CP$16:$CV$16,1,BN146))/12)))),'Lease Cycles'!$C$16*INDEX('Lease Cycles'!$CB$16:$CH$16,1,BN146)*(1+INDEX('Lease Cycles'!$CI$16:$CO$16,1,BN146))^INT(INT(BN147/12)/INDEX('Lease Cycles'!$CP$16:$CV$16,1,BN146))/12),IF(INDEX('Lease Cycles'!$EF$16:$EL$16,1,BN146)=1,IF(AND('Lease Cycles'!$AZ$16&gt;=INDEX('Lease Cycles'!$BG$16:$BM$16,1,BN146),'Lease Cycles'!$AZ$16&lt;=BN$6),'Lease Cycles'!$C$16*'Lease Cycles'!$BA$16/12,IF(AND('Lease Cycles'!$AX$16&gt;=INDEX('Lease Cycles'!$BG$16:$BM$16,1,BN146),'Lease Cycles'!$AX$16&lt;=BN$6),'Lease Cycles'!$C$16*'Lease Cycles'!$AY$16/12,IF(AND('Lease Cycles'!$AV$16&gt;=INDEX('Lease Cycles'!$BG$16:$BM$16,1,BN146),'Lease Cycles'!$AV$16&lt;=BN$6),'Lease Cycles'!$C$16*'Lease Cycles'!$AW$16/12,IF(AND('Lease Cycles'!$AT$16&gt;=INDEX('Lease Cycles'!$BG$16:$BM$16,1,BN146),'Lease Cycles'!$AT$16&lt;=BN$6),'Lease Cycles'!$C$16*'Lease Cycles'!$AU$16/12,'Lease Cycles'!$C$16*INDEX('Lease Cycles'!$CB$16:$CH$16,1,BN146)*(1+INDEX('Lease Cycles'!$CI$16:$CO$16,1,BN146))^INT(INT(BN147/12)/INDEX('Lease Cycles'!$CP$16:$CV$16,1,BN146))/12)))),'Lease Cycles'!$C$16*INDEX('Lease Cycles'!$CB$16:$CH$16,1,BN146)*(1+INDEX('Lease Cycles'!$CI$16:$CO$16,1,BN146))^INT(INT(BN147/12)/INDEX('Lease Cycles'!$CP$16:$CV$16,1,BN146))/12))),IF('Lease Cycles'!$N$16=1,'Lease Cycles'!$C$16*'Lease Cycles'!$E$16*INDEX('Lease Cycles'!$HE$16:$HK$16,1,BN146)*(1+INDEX('Lease Cycles'!$GQ$16:$GW$16,1,BN146))^INT(INT((BN$6-INDEX('Lease Cycles'!$GJ$16:$GP$16,1,BN146))/12)/INDEX('Lease Cycles'!$GX$16:$HD$16,1,BN146))/12,0)))</f>
        <v>4400</v>
      </c>
      <c r="BO149" s="28">
        <f>IF(BO146=0,IF('Lease Cycles'!$F$16&gt;0,'Lease Cycles'!$C$16*'Lease Cycles'!$E$16/12,0),IF(BO148=1,IF('Lease Cycles'!$AT$16&gt;=9999,'Lease Cycles'!$C$16*INDEX('Lease Cycles'!$CB$16:$CH$16,1,BO146)*(1+INDEX('Lease Cycles'!$CI$16:$CO$16,1,BO146))^INT(INT(BO147/12)/INDEX('Lease Cycles'!$CP$16:$CV$16,1,BO146))/12,IF(BO146=1,IF(BO147&gt;=INDEX('Lease Cycles'!$DK$16:$DQ$16,1,BO146),IF(BO$6&gt;='Lease Cycles'!$AZ$16,'Lease Cycles'!$C$16*'Lease Cycles'!$BA$16/12,IF(BO$6&gt;='Lease Cycles'!$AX$16,'Lease Cycles'!$C$16*'Lease Cycles'!$AY$16/12,IF(BO$6&gt;='Lease Cycles'!$AV$16,'Lease Cycles'!$C$16*'Lease Cycles'!$AW$16/12,IF(BO$6&gt;='Lease Cycles'!$AT$16,'Lease Cycles'!$C$16*'Lease Cycles'!$AU$16/12,'Lease Cycles'!$C$16*INDEX('Lease Cycles'!$CB$16:$CH$16,1,BO146)*(1+INDEX('Lease Cycles'!$CI$16:$CO$16,1,BO146))^INT(INT(BO147/12)/INDEX('Lease Cycles'!$CP$16:$CV$16,1,BO146))/12)))),'Lease Cycles'!$C$16*INDEX('Lease Cycles'!$CB$16:$CH$16,1,BO146)*(1+INDEX('Lease Cycles'!$CI$16:$CO$16,1,BO146))^INT(INT(BO147/12)/INDEX('Lease Cycles'!$CP$16:$CV$16,1,BO146))/12),IF(INDEX('Lease Cycles'!$EF$16:$EL$16,1,BO146)=1,IF(AND('Lease Cycles'!$AZ$16&gt;=INDEX('Lease Cycles'!$BG$16:$BM$16,1,BO146),'Lease Cycles'!$AZ$16&lt;=BO$6),'Lease Cycles'!$C$16*'Lease Cycles'!$BA$16/12,IF(AND('Lease Cycles'!$AX$16&gt;=INDEX('Lease Cycles'!$BG$16:$BM$16,1,BO146),'Lease Cycles'!$AX$16&lt;=BO$6),'Lease Cycles'!$C$16*'Lease Cycles'!$AY$16/12,IF(AND('Lease Cycles'!$AV$16&gt;=INDEX('Lease Cycles'!$BG$16:$BM$16,1,BO146),'Lease Cycles'!$AV$16&lt;=BO$6),'Lease Cycles'!$C$16*'Lease Cycles'!$AW$16/12,IF(AND('Lease Cycles'!$AT$16&gt;=INDEX('Lease Cycles'!$BG$16:$BM$16,1,BO146),'Lease Cycles'!$AT$16&lt;=BO$6),'Lease Cycles'!$C$16*'Lease Cycles'!$AU$16/12,'Lease Cycles'!$C$16*INDEX('Lease Cycles'!$CB$16:$CH$16,1,BO146)*(1+INDEX('Lease Cycles'!$CI$16:$CO$16,1,BO146))^INT(INT(BO147/12)/INDEX('Lease Cycles'!$CP$16:$CV$16,1,BO146))/12)))),'Lease Cycles'!$C$16*INDEX('Lease Cycles'!$CB$16:$CH$16,1,BO146)*(1+INDEX('Lease Cycles'!$CI$16:$CO$16,1,BO146))^INT(INT(BO147/12)/INDEX('Lease Cycles'!$CP$16:$CV$16,1,BO146))/12))),IF('Lease Cycles'!$N$16=1,'Lease Cycles'!$C$16*'Lease Cycles'!$E$16*INDEX('Lease Cycles'!$HE$16:$HK$16,1,BO146)*(1+INDEX('Lease Cycles'!$GQ$16:$GW$16,1,BO146))^INT(INT((BO$6-INDEX('Lease Cycles'!$GJ$16:$GP$16,1,BO146))/12)/INDEX('Lease Cycles'!$GX$16:$HD$16,1,BO146))/12,0)))</f>
        <v>4400</v>
      </c>
      <c r="BP149" s="28">
        <f>IF(BP146=0,IF('Lease Cycles'!$F$16&gt;0,'Lease Cycles'!$C$16*'Lease Cycles'!$E$16/12,0),IF(BP148=1,IF('Lease Cycles'!$AT$16&gt;=9999,'Lease Cycles'!$C$16*INDEX('Lease Cycles'!$CB$16:$CH$16,1,BP146)*(1+INDEX('Lease Cycles'!$CI$16:$CO$16,1,BP146))^INT(INT(BP147/12)/INDEX('Lease Cycles'!$CP$16:$CV$16,1,BP146))/12,IF(BP146=1,IF(BP147&gt;=INDEX('Lease Cycles'!$DK$16:$DQ$16,1,BP146),IF(BP$6&gt;='Lease Cycles'!$AZ$16,'Lease Cycles'!$C$16*'Lease Cycles'!$BA$16/12,IF(BP$6&gt;='Lease Cycles'!$AX$16,'Lease Cycles'!$C$16*'Lease Cycles'!$AY$16/12,IF(BP$6&gt;='Lease Cycles'!$AV$16,'Lease Cycles'!$C$16*'Lease Cycles'!$AW$16/12,IF(BP$6&gt;='Lease Cycles'!$AT$16,'Lease Cycles'!$C$16*'Lease Cycles'!$AU$16/12,'Lease Cycles'!$C$16*INDEX('Lease Cycles'!$CB$16:$CH$16,1,BP146)*(1+INDEX('Lease Cycles'!$CI$16:$CO$16,1,BP146))^INT(INT(BP147/12)/INDEX('Lease Cycles'!$CP$16:$CV$16,1,BP146))/12)))),'Lease Cycles'!$C$16*INDEX('Lease Cycles'!$CB$16:$CH$16,1,BP146)*(1+INDEX('Lease Cycles'!$CI$16:$CO$16,1,BP146))^INT(INT(BP147/12)/INDEX('Lease Cycles'!$CP$16:$CV$16,1,BP146))/12),IF(INDEX('Lease Cycles'!$EF$16:$EL$16,1,BP146)=1,IF(AND('Lease Cycles'!$AZ$16&gt;=INDEX('Lease Cycles'!$BG$16:$BM$16,1,BP146),'Lease Cycles'!$AZ$16&lt;=BP$6),'Lease Cycles'!$C$16*'Lease Cycles'!$BA$16/12,IF(AND('Lease Cycles'!$AX$16&gt;=INDEX('Lease Cycles'!$BG$16:$BM$16,1,BP146),'Lease Cycles'!$AX$16&lt;=BP$6),'Lease Cycles'!$C$16*'Lease Cycles'!$AY$16/12,IF(AND('Lease Cycles'!$AV$16&gt;=INDEX('Lease Cycles'!$BG$16:$BM$16,1,BP146),'Lease Cycles'!$AV$16&lt;=BP$6),'Lease Cycles'!$C$16*'Lease Cycles'!$AW$16/12,IF(AND('Lease Cycles'!$AT$16&gt;=INDEX('Lease Cycles'!$BG$16:$BM$16,1,BP146),'Lease Cycles'!$AT$16&lt;=BP$6),'Lease Cycles'!$C$16*'Lease Cycles'!$AU$16/12,'Lease Cycles'!$C$16*INDEX('Lease Cycles'!$CB$16:$CH$16,1,BP146)*(1+INDEX('Lease Cycles'!$CI$16:$CO$16,1,BP146))^INT(INT(BP147/12)/INDEX('Lease Cycles'!$CP$16:$CV$16,1,BP146))/12)))),'Lease Cycles'!$C$16*INDEX('Lease Cycles'!$CB$16:$CH$16,1,BP146)*(1+INDEX('Lease Cycles'!$CI$16:$CO$16,1,BP146))^INT(INT(BP147/12)/INDEX('Lease Cycles'!$CP$16:$CV$16,1,BP146))/12))),IF('Lease Cycles'!$N$16=1,'Lease Cycles'!$C$16*'Lease Cycles'!$E$16*INDEX('Lease Cycles'!$HE$16:$HK$16,1,BP146)*(1+INDEX('Lease Cycles'!$GQ$16:$GW$16,1,BP146))^INT(INT((BP$6-INDEX('Lease Cycles'!$GJ$16:$GP$16,1,BP146))/12)/INDEX('Lease Cycles'!$GX$16:$HD$16,1,BP146))/12,0)))</f>
        <v>4400</v>
      </c>
      <c r="BQ149" s="28">
        <f>IF(BQ146=0,IF('Lease Cycles'!$F$16&gt;0,'Lease Cycles'!$C$16*'Lease Cycles'!$E$16/12,0),IF(BQ148=1,IF('Lease Cycles'!$AT$16&gt;=9999,'Lease Cycles'!$C$16*INDEX('Lease Cycles'!$CB$16:$CH$16,1,BQ146)*(1+INDEX('Lease Cycles'!$CI$16:$CO$16,1,BQ146))^INT(INT(BQ147/12)/INDEX('Lease Cycles'!$CP$16:$CV$16,1,BQ146))/12,IF(BQ146=1,IF(BQ147&gt;=INDEX('Lease Cycles'!$DK$16:$DQ$16,1,BQ146),IF(BQ$6&gt;='Lease Cycles'!$AZ$16,'Lease Cycles'!$C$16*'Lease Cycles'!$BA$16/12,IF(BQ$6&gt;='Lease Cycles'!$AX$16,'Lease Cycles'!$C$16*'Lease Cycles'!$AY$16/12,IF(BQ$6&gt;='Lease Cycles'!$AV$16,'Lease Cycles'!$C$16*'Lease Cycles'!$AW$16/12,IF(BQ$6&gt;='Lease Cycles'!$AT$16,'Lease Cycles'!$C$16*'Lease Cycles'!$AU$16/12,'Lease Cycles'!$C$16*INDEX('Lease Cycles'!$CB$16:$CH$16,1,BQ146)*(1+INDEX('Lease Cycles'!$CI$16:$CO$16,1,BQ146))^INT(INT(BQ147/12)/INDEX('Lease Cycles'!$CP$16:$CV$16,1,BQ146))/12)))),'Lease Cycles'!$C$16*INDEX('Lease Cycles'!$CB$16:$CH$16,1,BQ146)*(1+INDEX('Lease Cycles'!$CI$16:$CO$16,1,BQ146))^INT(INT(BQ147/12)/INDEX('Lease Cycles'!$CP$16:$CV$16,1,BQ146))/12),IF(INDEX('Lease Cycles'!$EF$16:$EL$16,1,BQ146)=1,IF(AND('Lease Cycles'!$AZ$16&gt;=INDEX('Lease Cycles'!$BG$16:$BM$16,1,BQ146),'Lease Cycles'!$AZ$16&lt;=BQ$6),'Lease Cycles'!$C$16*'Lease Cycles'!$BA$16/12,IF(AND('Lease Cycles'!$AX$16&gt;=INDEX('Lease Cycles'!$BG$16:$BM$16,1,BQ146),'Lease Cycles'!$AX$16&lt;=BQ$6),'Lease Cycles'!$C$16*'Lease Cycles'!$AY$16/12,IF(AND('Lease Cycles'!$AV$16&gt;=INDEX('Lease Cycles'!$BG$16:$BM$16,1,BQ146),'Lease Cycles'!$AV$16&lt;=BQ$6),'Lease Cycles'!$C$16*'Lease Cycles'!$AW$16/12,IF(AND('Lease Cycles'!$AT$16&gt;=INDEX('Lease Cycles'!$BG$16:$BM$16,1,BQ146),'Lease Cycles'!$AT$16&lt;=BQ$6),'Lease Cycles'!$C$16*'Lease Cycles'!$AU$16/12,'Lease Cycles'!$C$16*INDEX('Lease Cycles'!$CB$16:$CH$16,1,BQ146)*(1+INDEX('Lease Cycles'!$CI$16:$CO$16,1,BQ146))^INT(INT(BQ147/12)/INDEX('Lease Cycles'!$CP$16:$CV$16,1,BQ146))/12)))),'Lease Cycles'!$C$16*INDEX('Lease Cycles'!$CB$16:$CH$16,1,BQ146)*(1+INDEX('Lease Cycles'!$CI$16:$CO$16,1,BQ146))^INT(INT(BQ147/12)/INDEX('Lease Cycles'!$CP$16:$CV$16,1,BQ146))/12))),IF('Lease Cycles'!$N$16=1,'Lease Cycles'!$C$16*'Lease Cycles'!$E$16*INDEX('Lease Cycles'!$HE$16:$HK$16,1,BQ146)*(1+INDEX('Lease Cycles'!$GQ$16:$GW$16,1,BQ146))^INT(INT((BQ$6-INDEX('Lease Cycles'!$GJ$16:$GP$16,1,BQ146))/12)/INDEX('Lease Cycles'!$GX$16:$HD$16,1,BQ146))/12,0)))</f>
        <v>4400</v>
      </c>
      <c r="BR149" s="28">
        <f>IF(BR146=0,IF('Lease Cycles'!$F$16&gt;0,'Lease Cycles'!$C$16*'Lease Cycles'!$E$16/12,0),IF(BR148=1,IF('Lease Cycles'!$AT$16&gt;=9999,'Lease Cycles'!$C$16*INDEX('Lease Cycles'!$CB$16:$CH$16,1,BR146)*(1+INDEX('Lease Cycles'!$CI$16:$CO$16,1,BR146))^INT(INT(BR147/12)/INDEX('Lease Cycles'!$CP$16:$CV$16,1,BR146))/12,IF(BR146=1,IF(BR147&gt;=INDEX('Lease Cycles'!$DK$16:$DQ$16,1,BR146),IF(BR$6&gt;='Lease Cycles'!$AZ$16,'Lease Cycles'!$C$16*'Lease Cycles'!$BA$16/12,IF(BR$6&gt;='Lease Cycles'!$AX$16,'Lease Cycles'!$C$16*'Lease Cycles'!$AY$16/12,IF(BR$6&gt;='Lease Cycles'!$AV$16,'Lease Cycles'!$C$16*'Lease Cycles'!$AW$16/12,IF(BR$6&gt;='Lease Cycles'!$AT$16,'Lease Cycles'!$C$16*'Lease Cycles'!$AU$16/12,'Lease Cycles'!$C$16*INDEX('Lease Cycles'!$CB$16:$CH$16,1,BR146)*(1+INDEX('Lease Cycles'!$CI$16:$CO$16,1,BR146))^INT(INT(BR147/12)/INDEX('Lease Cycles'!$CP$16:$CV$16,1,BR146))/12)))),'Lease Cycles'!$C$16*INDEX('Lease Cycles'!$CB$16:$CH$16,1,BR146)*(1+INDEX('Lease Cycles'!$CI$16:$CO$16,1,BR146))^INT(INT(BR147/12)/INDEX('Lease Cycles'!$CP$16:$CV$16,1,BR146))/12),IF(INDEX('Lease Cycles'!$EF$16:$EL$16,1,BR146)=1,IF(AND('Lease Cycles'!$AZ$16&gt;=INDEX('Lease Cycles'!$BG$16:$BM$16,1,BR146),'Lease Cycles'!$AZ$16&lt;=BR$6),'Lease Cycles'!$C$16*'Lease Cycles'!$BA$16/12,IF(AND('Lease Cycles'!$AX$16&gt;=INDEX('Lease Cycles'!$BG$16:$BM$16,1,BR146),'Lease Cycles'!$AX$16&lt;=BR$6),'Lease Cycles'!$C$16*'Lease Cycles'!$AY$16/12,IF(AND('Lease Cycles'!$AV$16&gt;=INDEX('Lease Cycles'!$BG$16:$BM$16,1,BR146),'Lease Cycles'!$AV$16&lt;=BR$6),'Lease Cycles'!$C$16*'Lease Cycles'!$AW$16/12,IF(AND('Lease Cycles'!$AT$16&gt;=INDEX('Lease Cycles'!$BG$16:$BM$16,1,BR146),'Lease Cycles'!$AT$16&lt;=BR$6),'Lease Cycles'!$C$16*'Lease Cycles'!$AU$16/12,'Lease Cycles'!$C$16*INDEX('Lease Cycles'!$CB$16:$CH$16,1,BR146)*(1+INDEX('Lease Cycles'!$CI$16:$CO$16,1,BR146))^INT(INT(BR147/12)/INDEX('Lease Cycles'!$CP$16:$CV$16,1,BR146))/12)))),'Lease Cycles'!$C$16*INDEX('Lease Cycles'!$CB$16:$CH$16,1,BR146)*(1+INDEX('Lease Cycles'!$CI$16:$CO$16,1,BR146))^INT(INT(BR147/12)/INDEX('Lease Cycles'!$CP$16:$CV$16,1,BR146))/12))),IF('Lease Cycles'!$N$16=1,'Lease Cycles'!$C$16*'Lease Cycles'!$E$16*INDEX('Lease Cycles'!$HE$16:$HK$16,1,BR146)*(1+INDEX('Lease Cycles'!$GQ$16:$GW$16,1,BR146))^INT(INT((BR$6-INDEX('Lease Cycles'!$GJ$16:$GP$16,1,BR146))/12)/INDEX('Lease Cycles'!$GX$16:$HD$16,1,BR146))/12,0)))</f>
        <v>4400</v>
      </c>
      <c r="BS149" s="28">
        <f>IF(BS146=0,IF('Lease Cycles'!$F$16&gt;0,'Lease Cycles'!$C$16*'Lease Cycles'!$E$16/12,0),IF(BS148=1,IF('Lease Cycles'!$AT$16&gt;=9999,'Lease Cycles'!$C$16*INDEX('Lease Cycles'!$CB$16:$CH$16,1,BS146)*(1+INDEX('Lease Cycles'!$CI$16:$CO$16,1,BS146))^INT(INT(BS147/12)/INDEX('Lease Cycles'!$CP$16:$CV$16,1,BS146))/12,IF(BS146=1,IF(BS147&gt;=INDEX('Lease Cycles'!$DK$16:$DQ$16,1,BS146),IF(BS$6&gt;='Lease Cycles'!$AZ$16,'Lease Cycles'!$C$16*'Lease Cycles'!$BA$16/12,IF(BS$6&gt;='Lease Cycles'!$AX$16,'Lease Cycles'!$C$16*'Lease Cycles'!$AY$16/12,IF(BS$6&gt;='Lease Cycles'!$AV$16,'Lease Cycles'!$C$16*'Lease Cycles'!$AW$16/12,IF(BS$6&gt;='Lease Cycles'!$AT$16,'Lease Cycles'!$C$16*'Lease Cycles'!$AU$16/12,'Lease Cycles'!$C$16*INDEX('Lease Cycles'!$CB$16:$CH$16,1,BS146)*(1+INDEX('Lease Cycles'!$CI$16:$CO$16,1,BS146))^INT(INT(BS147/12)/INDEX('Lease Cycles'!$CP$16:$CV$16,1,BS146))/12)))),'Lease Cycles'!$C$16*INDEX('Lease Cycles'!$CB$16:$CH$16,1,BS146)*(1+INDEX('Lease Cycles'!$CI$16:$CO$16,1,BS146))^INT(INT(BS147/12)/INDEX('Lease Cycles'!$CP$16:$CV$16,1,BS146))/12),IF(INDEX('Lease Cycles'!$EF$16:$EL$16,1,BS146)=1,IF(AND('Lease Cycles'!$AZ$16&gt;=INDEX('Lease Cycles'!$BG$16:$BM$16,1,BS146),'Lease Cycles'!$AZ$16&lt;=BS$6),'Lease Cycles'!$C$16*'Lease Cycles'!$BA$16/12,IF(AND('Lease Cycles'!$AX$16&gt;=INDEX('Lease Cycles'!$BG$16:$BM$16,1,BS146),'Lease Cycles'!$AX$16&lt;=BS$6),'Lease Cycles'!$C$16*'Lease Cycles'!$AY$16/12,IF(AND('Lease Cycles'!$AV$16&gt;=INDEX('Lease Cycles'!$BG$16:$BM$16,1,BS146),'Lease Cycles'!$AV$16&lt;=BS$6),'Lease Cycles'!$C$16*'Lease Cycles'!$AW$16/12,IF(AND('Lease Cycles'!$AT$16&gt;=INDEX('Lease Cycles'!$BG$16:$BM$16,1,BS146),'Lease Cycles'!$AT$16&lt;=BS$6),'Lease Cycles'!$C$16*'Lease Cycles'!$AU$16/12,'Lease Cycles'!$C$16*INDEX('Lease Cycles'!$CB$16:$CH$16,1,BS146)*(1+INDEX('Lease Cycles'!$CI$16:$CO$16,1,BS146))^INT(INT(BS147/12)/INDEX('Lease Cycles'!$CP$16:$CV$16,1,BS146))/12)))),'Lease Cycles'!$C$16*INDEX('Lease Cycles'!$CB$16:$CH$16,1,BS146)*(1+INDEX('Lease Cycles'!$CI$16:$CO$16,1,BS146))^INT(INT(BS147/12)/INDEX('Lease Cycles'!$CP$16:$CV$16,1,BS146))/12))),IF('Lease Cycles'!$N$16=1,'Lease Cycles'!$C$16*'Lease Cycles'!$E$16*INDEX('Lease Cycles'!$HE$16:$HK$16,1,BS146)*(1+INDEX('Lease Cycles'!$GQ$16:$GW$16,1,BS146))^INT(INT((BS$6-INDEX('Lease Cycles'!$GJ$16:$GP$16,1,BS146))/12)/INDEX('Lease Cycles'!$GX$16:$HD$16,1,BS146))/12,0)))</f>
        <v>4400</v>
      </c>
      <c r="BT149" s="28">
        <f>IF(BT146=0,IF('Lease Cycles'!$F$16&gt;0,'Lease Cycles'!$C$16*'Lease Cycles'!$E$16/12,0),IF(BT148=1,IF('Lease Cycles'!$AT$16&gt;=9999,'Lease Cycles'!$C$16*INDEX('Lease Cycles'!$CB$16:$CH$16,1,BT146)*(1+INDEX('Lease Cycles'!$CI$16:$CO$16,1,BT146))^INT(INT(BT147/12)/INDEX('Lease Cycles'!$CP$16:$CV$16,1,BT146))/12,IF(BT146=1,IF(BT147&gt;=INDEX('Lease Cycles'!$DK$16:$DQ$16,1,BT146),IF(BT$6&gt;='Lease Cycles'!$AZ$16,'Lease Cycles'!$C$16*'Lease Cycles'!$BA$16/12,IF(BT$6&gt;='Lease Cycles'!$AX$16,'Lease Cycles'!$C$16*'Lease Cycles'!$AY$16/12,IF(BT$6&gt;='Lease Cycles'!$AV$16,'Lease Cycles'!$C$16*'Lease Cycles'!$AW$16/12,IF(BT$6&gt;='Lease Cycles'!$AT$16,'Lease Cycles'!$C$16*'Lease Cycles'!$AU$16/12,'Lease Cycles'!$C$16*INDEX('Lease Cycles'!$CB$16:$CH$16,1,BT146)*(1+INDEX('Lease Cycles'!$CI$16:$CO$16,1,BT146))^INT(INT(BT147/12)/INDEX('Lease Cycles'!$CP$16:$CV$16,1,BT146))/12)))),'Lease Cycles'!$C$16*INDEX('Lease Cycles'!$CB$16:$CH$16,1,BT146)*(1+INDEX('Lease Cycles'!$CI$16:$CO$16,1,BT146))^INT(INT(BT147/12)/INDEX('Lease Cycles'!$CP$16:$CV$16,1,BT146))/12),IF(INDEX('Lease Cycles'!$EF$16:$EL$16,1,BT146)=1,IF(AND('Lease Cycles'!$AZ$16&gt;=INDEX('Lease Cycles'!$BG$16:$BM$16,1,BT146),'Lease Cycles'!$AZ$16&lt;=BT$6),'Lease Cycles'!$C$16*'Lease Cycles'!$BA$16/12,IF(AND('Lease Cycles'!$AX$16&gt;=INDEX('Lease Cycles'!$BG$16:$BM$16,1,BT146),'Lease Cycles'!$AX$16&lt;=BT$6),'Lease Cycles'!$C$16*'Lease Cycles'!$AY$16/12,IF(AND('Lease Cycles'!$AV$16&gt;=INDEX('Lease Cycles'!$BG$16:$BM$16,1,BT146),'Lease Cycles'!$AV$16&lt;=BT$6),'Lease Cycles'!$C$16*'Lease Cycles'!$AW$16/12,IF(AND('Lease Cycles'!$AT$16&gt;=INDEX('Lease Cycles'!$BG$16:$BM$16,1,BT146),'Lease Cycles'!$AT$16&lt;=BT$6),'Lease Cycles'!$C$16*'Lease Cycles'!$AU$16/12,'Lease Cycles'!$C$16*INDEX('Lease Cycles'!$CB$16:$CH$16,1,BT146)*(1+INDEX('Lease Cycles'!$CI$16:$CO$16,1,BT146))^INT(INT(BT147/12)/INDEX('Lease Cycles'!$CP$16:$CV$16,1,BT146))/12)))),'Lease Cycles'!$C$16*INDEX('Lease Cycles'!$CB$16:$CH$16,1,BT146)*(1+INDEX('Lease Cycles'!$CI$16:$CO$16,1,BT146))^INT(INT(BT147/12)/INDEX('Lease Cycles'!$CP$16:$CV$16,1,BT146))/12))),IF('Lease Cycles'!$N$16=1,'Lease Cycles'!$C$16*'Lease Cycles'!$E$16*INDEX('Lease Cycles'!$HE$16:$HK$16,1,BT146)*(1+INDEX('Lease Cycles'!$GQ$16:$GW$16,1,BT146))^INT(INT((BT$6-INDEX('Lease Cycles'!$GJ$16:$GP$16,1,BT146))/12)/INDEX('Lease Cycles'!$GX$16:$HD$16,1,BT146))/12,0)))</f>
        <v>4400</v>
      </c>
      <c r="BU149" s="28">
        <f>IF(BU146=0,IF('Lease Cycles'!$F$16&gt;0,'Lease Cycles'!$C$16*'Lease Cycles'!$E$16/12,0),IF(BU148=1,IF('Lease Cycles'!$AT$16&gt;=9999,'Lease Cycles'!$C$16*INDEX('Lease Cycles'!$CB$16:$CH$16,1,BU146)*(1+INDEX('Lease Cycles'!$CI$16:$CO$16,1,BU146))^INT(INT(BU147/12)/INDEX('Lease Cycles'!$CP$16:$CV$16,1,BU146))/12,IF(BU146=1,IF(BU147&gt;=INDEX('Lease Cycles'!$DK$16:$DQ$16,1,BU146),IF(BU$6&gt;='Lease Cycles'!$AZ$16,'Lease Cycles'!$C$16*'Lease Cycles'!$BA$16/12,IF(BU$6&gt;='Lease Cycles'!$AX$16,'Lease Cycles'!$C$16*'Lease Cycles'!$AY$16/12,IF(BU$6&gt;='Lease Cycles'!$AV$16,'Lease Cycles'!$C$16*'Lease Cycles'!$AW$16/12,IF(BU$6&gt;='Lease Cycles'!$AT$16,'Lease Cycles'!$C$16*'Lease Cycles'!$AU$16/12,'Lease Cycles'!$C$16*INDEX('Lease Cycles'!$CB$16:$CH$16,1,BU146)*(1+INDEX('Lease Cycles'!$CI$16:$CO$16,1,BU146))^INT(INT(BU147/12)/INDEX('Lease Cycles'!$CP$16:$CV$16,1,BU146))/12)))),'Lease Cycles'!$C$16*INDEX('Lease Cycles'!$CB$16:$CH$16,1,BU146)*(1+INDEX('Lease Cycles'!$CI$16:$CO$16,1,BU146))^INT(INT(BU147/12)/INDEX('Lease Cycles'!$CP$16:$CV$16,1,BU146))/12),IF(INDEX('Lease Cycles'!$EF$16:$EL$16,1,BU146)=1,IF(AND('Lease Cycles'!$AZ$16&gt;=INDEX('Lease Cycles'!$BG$16:$BM$16,1,BU146),'Lease Cycles'!$AZ$16&lt;=BU$6),'Lease Cycles'!$C$16*'Lease Cycles'!$BA$16/12,IF(AND('Lease Cycles'!$AX$16&gt;=INDEX('Lease Cycles'!$BG$16:$BM$16,1,BU146),'Lease Cycles'!$AX$16&lt;=BU$6),'Lease Cycles'!$C$16*'Lease Cycles'!$AY$16/12,IF(AND('Lease Cycles'!$AV$16&gt;=INDEX('Lease Cycles'!$BG$16:$BM$16,1,BU146),'Lease Cycles'!$AV$16&lt;=BU$6),'Lease Cycles'!$C$16*'Lease Cycles'!$AW$16/12,IF(AND('Lease Cycles'!$AT$16&gt;=INDEX('Lease Cycles'!$BG$16:$BM$16,1,BU146),'Lease Cycles'!$AT$16&lt;=BU$6),'Lease Cycles'!$C$16*'Lease Cycles'!$AU$16/12,'Lease Cycles'!$C$16*INDEX('Lease Cycles'!$CB$16:$CH$16,1,BU146)*(1+INDEX('Lease Cycles'!$CI$16:$CO$16,1,BU146))^INT(INT(BU147/12)/INDEX('Lease Cycles'!$CP$16:$CV$16,1,BU146))/12)))),'Lease Cycles'!$C$16*INDEX('Lease Cycles'!$CB$16:$CH$16,1,BU146)*(1+INDEX('Lease Cycles'!$CI$16:$CO$16,1,BU146))^INT(INT(BU147/12)/INDEX('Lease Cycles'!$CP$16:$CV$16,1,BU146))/12))),IF('Lease Cycles'!$N$16=1,'Lease Cycles'!$C$16*'Lease Cycles'!$E$16*INDEX('Lease Cycles'!$HE$16:$HK$16,1,BU146)*(1+INDEX('Lease Cycles'!$GQ$16:$GW$16,1,BU146))^INT(INT((BU$6-INDEX('Lease Cycles'!$GJ$16:$GP$16,1,BU146))/12)/INDEX('Lease Cycles'!$GX$16:$HD$16,1,BU146))/12,0)))</f>
        <v>4400</v>
      </c>
      <c r="BV149" s="28">
        <f>IF(BV146=0,IF('Lease Cycles'!$F$16&gt;0,'Lease Cycles'!$C$16*'Lease Cycles'!$E$16/12,0),IF(BV148=1,IF('Lease Cycles'!$AT$16&gt;=9999,'Lease Cycles'!$C$16*INDEX('Lease Cycles'!$CB$16:$CH$16,1,BV146)*(1+INDEX('Lease Cycles'!$CI$16:$CO$16,1,BV146))^INT(INT(BV147/12)/INDEX('Lease Cycles'!$CP$16:$CV$16,1,BV146))/12,IF(BV146=1,IF(BV147&gt;=INDEX('Lease Cycles'!$DK$16:$DQ$16,1,BV146),IF(BV$6&gt;='Lease Cycles'!$AZ$16,'Lease Cycles'!$C$16*'Lease Cycles'!$BA$16/12,IF(BV$6&gt;='Lease Cycles'!$AX$16,'Lease Cycles'!$C$16*'Lease Cycles'!$AY$16/12,IF(BV$6&gt;='Lease Cycles'!$AV$16,'Lease Cycles'!$C$16*'Lease Cycles'!$AW$16/12,IF(BV$6&gt;='Lease Cycles'!$AT$16,'Lease Cycles'!$C$16*'Lease Cycles'!$AU$16/12,'Lease Cycles'!$C$16*INDEX('Lease Cycles'!$CB$16:$CH$16,1,BV146)*(1+INDEX('Lease Cycles'!$CI$16:$CO$16,1,BV146))^INT(INT(BV147/12)/INDEX('Lease Cycles'!$CP$16:$CV$16,1,BV146))/12)))),'Lease Cycles'!$C$16*INDEX('Lease Cycles'!$CB$16:$CH$16,1,BV146)*(1+INDEX('Lease Cycles'!$CI$16:$CO$16,1,BV146))^INT(INT(BV147/12)/INDEX('Lease Cycles'!$CP$16:$CV$16,1,BV146))/12),IF(INDEX('Lease Cycles'!$EF$16:$EL$16,1,BV146)=1,IF(AND('Lease Cycles'!$AZ$16&gt;=INDEX('Lease Cycles'!$BG$16:$BM$16,1,BV146),'Lease Cycles'!$AZ$16&lt;=BV$6),'Lease Cycles'!$C$16*'Lease Cycles'!$BA$16/12,IF(AND('Lease Cycles'!$AX$16&gt;=INDEX('Lease Cycles'!$BG$16:$BM$16,1,BV146),'Lease Cycles'!$AX$16&lt;=BV$6),'Lease Cycles'!$C$16*'Lease Cycles'!$AY$16/12,IF(AND('Lease Cycles'!$AV$16&gt;=INDEX('Lease Cycles'!$BG$16:$BM$16,1,BV146),'Lease Cycles'!$AV$16&lt;=BV$6),'Lease Cycles'!$C$16*'Lease Cycles'!$AW$16/12,IF(AND('Lease Cycles'!$AT$16&gt;=INDEX('Lease Cycles'!$BG$16:$BM$16,1,BV146),'Lease Cycles'!$AT$16&lt;=BV$6),'Lease Cycles'!$C$16*'Lease Cycles'!$AU$16/12,'Lease Cycles'!$C$16*INDEX('Lease Cycles'!$CB$16:$CH$16,1,BV146)*(1+INDEX('Lease Cycles'!$CI$16:$CO$16,1,BV146))^INT(INT(BV147/12)/INDEX('Lease Cycles'!$CP$16:$CV$16,1,BV146))/12)))),'Lease Cycles'!$C$16*INDEX('Lease Cycles'!$CB$16:$CH$16,1,BV146)*(1+INDEX('Lease Cycles'!$CI$16:$CO$16,1,BV146))^INT(INT(BV147/12)/INDEX('Lease Cycles'!$CP$16:$CV$16,1,BV146))/12))),IF('Lease Cycles'!$N$16=1,'Lease Cycles'!$C$16*'Lease Cycles'!$E$16*INDEX('Lease Cycles'!$HE$16:$HK$16,1,BV146)*(1+INDEX('Lease Cycles'!$GQ$16:$GW$16,1,BV146))^INT(INT((BV$6-INDEX('Lease Cycles'!$GJ$16:$GP$16,1,BV146))/12)/INDEX('Lease Cycles'!$GX$16:$HD$16,1,BV146))/12,0)))</f>
        <v>4400</v>
      </c>
      <c r="BW149" s="28">
        <f>IF(BW146=0,IF('Lease Cycles'!$F$16&gt;0,'Lease Cycles'!$C$16*'Lease Cycles'!$E$16/12,0),IF(BW148=1,IF('Lease Cycles'!$AT$16&gt;=9999,'Lease Cycles'!$C$16*INDEX('Lease Cycles'!$CB$16:$CH$16,1,BW146)*(1+INDEX('Lease Cycles'!$CI$16:$CO$16,1,BW146))^INT(INT(BW147/12)/INDEX('Lease Cycles'!$CP$16:$CV$16,1,BW146))/12,IF(BW146=1,IF(BW147&gt;=INDEX('Lease Cycles'!$DK$16:$DQ$16,1,BW146),IF(BW$6&gt;='Lease Cycles'!$AZ$16,'Lease Cycles'!$C$16*'Lease Cycles'!$BA$16/12,IF(BW$6&gt;='Lease Cycles'!$AX$16,'Lease Cycles'!$C$16*'Lease Cycles'!$AY$16/12,IF(BW$6&gt;='Lease Cycles'!$AV$16,'Lease Cycles'!$C$16*'Lease Cycles'!$AW$16/12,IF(BW$6&gt;='Lease Cycles'!$AT$16,'Lease Cycles'!$C$16*'Lease Cycles'!$AU$16/12,'Lease Cycles'!$C$16*INDEX('Lease Cycles'!$CB$16:$CH$16,1,BW146)*(1+INDEX('Lease Cycles'!$CI$16:$CO$16,1,BW146))^INT(INT(BW147/12)/INDEX('Lease Cycles'!$CP$16:$CV$16,1,BW146))/12)))),'Lease Cycles'!$C$16*INDEX('Lease Cycles'!$CB$16:$CH$16,1,BW146)*(1+INDEX('Lease Cycles'!$CI$16:$CO$16,1,BW146))^INT(INT(BW147/12)/INDEX('Lease Cycles'!$CP$16:$CV$16,1,BW146))/12),IF(INDEX('Lease Cycles'!$EF$16:$EL$16,1,BW146)=1,IF(AND('Lease Cycles'!$AZ$16&gt;=INDEX('Lease Cycles'!$BG$16:$BM$16,1,BW146),'Lease Cycles'!$AZ$16&lt;=BW$6),'Lease Cycles'!$C$16*'Lease Cycles'!$BA$16/12,IF(AND('Lease Cycles'!$AX$16&gt;=INDEX('Lease Cycles'!$BG$16:$BM$16,1,BW146),'Lease Cycles'!$AX$16&lt;=BW$6),'Lease Cycles'!$C$16*'Lease Cycles'!$AY$16/12,IF(AND('Lease Cycles'!$AV$16&gt;=INDEX('Lease Cycles'!$BG$16:$BM$16,1,BW146),'Lease Cycles'!$AV$16&lt;=BW$6),'Lease Cycles'!$C$16*'Lease Cycles'!$AW$16/12,IF(AND('Lease Cycles'!$AT$16&gt;=INDEX('Lease Cycles'!$BG$16:$BM$16,1,BW146),'Lease Cycles'!$AT$16&lt;=BW$6),'Lease Cycles'!$C$16*'Lease Cycles'!$AU$16/12,'Lease Cycles'!$C$16*INDEX('Lease Cycles'!$CB$16:$CH$16,1,BW146)*(1+INDEX('Lease Cycles'!$CI$16:$CO$16,1,BW146))^INT(INT(BW147/12)/INDEX('Lease Cycles'!$CP$16:$CV$16,1,BW146))/12)))),'Lease Cycles'!$C$16*INDEX('Lease Cycles'!$CB$16:$CH$16,1,BW146)*(1+INDEX('Lease Cycles'!$CI$16:$CO$16,1,BW146))^INT(INT(BW147/12)/INDEX('Lease Cycles'!$CP$16:$CV$16,1,BW146))/12))),IF('Lease Cycles'!$N$16=1,'Lease Cycles'!$C$16*'Lease Cycles'!$E$16*INDEX('Lease Cycles'!$HE$16:$HK$16,1,BW146)*(1+INDEX('Lease Cycles'!$GQ$16:$GW$16,1,BW146))^INT(INT((BW$6-INDEX('Lease Cycles'!$GJ$16:$GP$16,1,BW146))/12)/INDEX('Lease Cycles'!$GX$16:$HD$16,1,BW146))/12,0)))</f>
        <v>4400</v>
      </c>
      <c r="BX149" s="28">
        <f>IF(BX146=0,IF('Lease Cycles'!$F$16&gt;0,'Lease Cycles'!$C$16*'Lease Cycles'!$E$16/12,0),IF(BX148=1,IF('Lease Cycles'!$AT$16&gt;=9999,'Lease Cycles'!$C$16*INDEX('Lease Cycles'!$CB$16:$CH$16,1,BX146)*(1+INDEX('Lease Cycles'!$CI$16:$CO$16,1,BX146))^INT(INT(BX147/12)/INDEX('Lease Cycles'!$CP$16:$CV$16,1,BX146))/12,IF(BX146=1,IF(BX147&gt;=INDEX('Lease Cycles'!$DK$16:$DQ$16,1,BX146),IF(BX$6&gt;='Lease Cycles'!$AZ$16,'Lease Cycles'!$C$16*'Lease Cycles'!$BA$16/12,IF(BX$6&gt;='Lease Cycles'!$AX$16,'Lease Cycles'!$C$16*'Lease Cycles'!$AY$16/12,IF(BX$6&gt;='Lease Cycles'!$AV$16,'Lease Cycles'!$C$16*'Lease Cycles'!$AW$16/12,IF(BX$6&gt;='Lease Cycles'!$AT$16,'Lease Cycles'!$C$16*'Lease Cycles'!$AU$16/12,'Lease Cycles'!$C$16*INDEX('Lease Cycles'!$CB$16:$CH$16,1,BX146)*(1+INDEX('Lease Cycles'!$CI$16:$CO$16,1,BX146))^INT(INT(BX147/12)/INDEX('Lease Cycles'!$CP$16:$CV$16,1,BX146))/12)))),'Lease Cycles'!$C$16*INDEX('Lease Cycles'!$CB$16:$CH$16,1,BX146)*(1+INDEX('Lease Cycles'!$CI$16:$CO$16,1,BX146))^INT(INT(BX147/12)/INDEX('Lease Cycles'!$CP$16:$CV$16,1,BX146))/12),IF(INDEX('Lease Cycles'!$EF$16:$EL$16,1,BX146)=1,IF(AND('Lease Cycles'!$AZ$16&gt;=INDEX('Lease Cycles'!$BG$16:$BM$16,1,BX146),'Lease Cycles'!$AZ$16&lt;=BX$6),'Lease Cycles'!$C$16*'Lease Cycles'!$BA$16/12,IF(AND('Lease Cycles'!$AX$16&gt;=INDEX('Lease Cycles'!$BG$16:$BM$16,1,BX146),'Lease Cycles'!$AX$16&lt;=BX$6),'Lease Cycles'!$C$16*'Lease Cycles'!$AY$16/12,IF(AND('Lease Cycles'!$AV$16&gt;=INDEX('Lease Cycles'!$BG$16:$BM$16,1,BX146),'Lease Cycles'!$AV$16&lt;=BX$6),'Lease Cycles'!$C$16*'Lease Cycles'!$AW$16/12,IF(AND('Lease Cycles'!$AT$16&gt;=INDEX('Lease Cycles'!$BG$16:$BM$16,1,BX146),'Lease Cycles'!$AT$16&lt;=BX$6),'Lease Cycles'!$C$16*'Lease Cycles'!$AU$16/12,'Lease Cycles'!$C$16*INDEX('Lease Cycles'!$CB$16:$CH$16,1,BX146)*(1+INDEX('Lease Cycles'!$CI$16:$CO$16,1,BX146))^INT(INT(BX147/12)/INDEX('Lease Cycles'!$CP$16:$CV$16,1,BX146))/12)))),'Lease Cycles'!$C$16*INDEX('Lease Cycles'!$CB$16:$CH$16,1,BX146)*(1+INDEX('Lease Cycles'!$CI$16:$CO$16,1,BX146))^INT(INT(BX147/12)/INDEX('Lease Cycles'!$CP$16:$CV$16,1,BX146))/12))),IF('Lease Cycles'!$N$16=1,'Lease Cycles'!$C$16*'Lease Cycles'!$E$16*INDEX('Lease Cycles'!$HE$16:$HK$16,1,BX146)*(1+INDEX('Lease Cycles'!$GQ$16:$GW$16,1,BX146))^INT(INT((BX$6-INDEX('Lease Cycles'!$GJ$16:$GP$16,1,BX146))/12)/INDEX('Lease Cycles'!$GX$16:$HD$16,1,BX146))/12,0)))</f>
        <v>5063.251427652393</v>
      </c>
      <c r="BY149" s="28">
        <f>IF(BY146=0,IF('Lease Cycles'!$F$16&gt;0,'Lease Cycles'!$C$16*'Lease Cycles'!$E$16/12,0),IF(BY148=1,IF('Lease Cycles'!$AT$16&gt;=9999,'Lease Cycles'!$C$16*INDEX('Lease Cycles'!$CB$16:$CH$16,1,BY146)*(1+INDEX('Lease Cycles'!$CI$16:$CO$16,1,BY146))^INT(INT(BY147/12)/INDEX('Lease Cycles'!$CP$16:$CV$16,1,BY146))/12,IF(BY146=1,IF(BY147&gt;=INDEX('Lease Cycles'!$DK$16:$DQ$16,1,BY146),IF(BY$6&gt;='Lease Cycles'!$AZ$16,'Lease Cycles'!$C$16*'Lease Cycles'!$BA$16/12,IF(BY$6&gt;='Lease Cycles'!$AX$16,'Lease Cycles'!$C$16*'Lease Cycles'!$AY$16/12,IF(BY$6&gt;='Lease Cycles'!$AV$16,'Lease Cycles'!$C$16*'Lease Cycles'!$AW$16/12,IF(BY$6&gt;='Lease Cycles'!$AT$16,'Lease Cycles'!$C$16*'Lease Cycles'!$AU$16/12,'Lease Cycles'!$C$16*INDEX('Lease Cycles'!$CB$16:$CH$16,1,BY146)*(1+INDEX('Lease Cycles'!$CI$16:$CO$16,1,BY146))^INT(INT(BY147/12)/INDEX('Lease Cycles'!$CP$16:$CV$16,1,BY146))/12)))),'Lease Cycles'!$C$16*INDEX('Lease Cycles'!$CB$16:$CH$16,1,BY146)*(1+INDEX('Lease Cycles'!$CI$16:$CO$16,1,BY146))^INT(INT(BY147/12)/INDEX('Lease Cycles'!$CP$16:$CV$16,1,BY146))/12),IF(INDEX('Lease Cycles'!$EF$16:$EL$16,1,BY146)=1,IF(AND('Lease Cycles'!$AZ$16&gt;=INDEX('Lease Cycles'!$BG$16:$BM$16,1,BY146),'Lease Cycles'!$AZ$16&lt;=BY$6),'Lease Cycles'!$C$16*'Lease Cycles'!$BA$16/12,IF(AND('Lease Cycles'!$AX$16&gt;=INDEX('Lease Cycles'!$BG$16:$BM$16,1,BY146),'Lease Cycles'!$AX$16&lt;=BY$6),'Lease Cycles'!$C$16*'Lease Cycles'!$AY$16/12,IF(AND('Lease Cycles'!$AV$16&gt;=INDEX('Lease Cycles'!$BG$16:$BM$16,1,BY146),'Lease Cycles'!$AV$16&lt;=BY$6),'Lease Cycles'!$C$16*'Lease Cycles'!$AW$16/12,IF(AND('Lease Cycles'!$AT$16&gt;=INDEX('Lease Cycles'!$BG$16:$BM$16,1,BY146),'Lease Cycles'!$AT$16&lt;=BY$6),'Lease Cycles'!$C$16*'Lease Cycles'!$AU$16/12,'Lease Cycles'!$C$16*INDEX('Lease Cycles'!$CB$16:$CH$16,1,BY146)*(1+INDEX('Lease Cycles'!$CI$16:$CO$16,1,BY146))^INT(INT(BY147/12)/INDEX('Lease Cycles'!$CP$16:$CV$16,1,BY146))/12)))),'Lease Cycles'!$C$16*INDEX('Lease Cycles'!$CB$16:$CH$16,1,BY146)*(1+INDEX('Lease Cycles'!$CI$16:$CO$16,1,BY146))^INT(INT(BY147/12)/INDEX('Lease Cycles'!$CP$16:$CV$16,1,BY146))/12))),IF('Lease Cycles'!$N$16=1,'Lease Cycles'!$C$16*'Lease Cycles'!$E$16*INDEX('Lease Cycles'!$HE$16:$HK$16,1,BY146)*(1+INDEX('Lease Cycles'!$GQ$16:$GW$16,1,BY146))^INT(INT((BY$6-INDEX('Lease Cycles'!$GJ$16:$GP$16,1,BY146))/12)/INDEX('Lease Cycles'!$GX$16:$HD$16,1,BY146))/12,0)))</f>
        <v>3912.5486364401145</v>
      </c>
      <c r="BZ149" s="28">
        <f>IF(BZ146=0,IF('Lease Cycles'!$F$16&gt;0,'Lease Cycles'!$C$16*'Lease Cycles'!$E$16/12,0),IF(BZ148=1,IF('Lease Cycles'!$AT$16&gt;=9999,'Lease Cycles'!$C$16*INDEX('Lease Cycles'!$CB$16:$CH$16,1,BZ146)*(1+INDEX('Lease Cycles'!$CI$16:$CO$16,1,BZ146))^INT(INT(BZ147/12)/INDEX('Lease Cycles'!$CP$16:$CV$16,1,BZ146))/12,IF(BZ146=1,IF(BZ147&gt;=INDEX('Lease Cycles'!$DK$16:$DQ$16,1,BZ146),IF(BZ$6&gt;='Lease Cycles'!$AZ$16,'Lease Cycles'!$C$16*'Lease Cycles'!$BA$16/12,IF(BZ$6&gt;='Lease Cycles'!$AX$16,'Lease Cycles'!$C$16*'Lease Cycles'!$AY$16/12,IF(BZ$6&gt;='Lease Cycles'!$AV$16,'Lease Cycles'!$C$16*'Lease Cycles'!$AW$16/12,IF(BZ$6&gt;='Lease Cycles'!$AT$16,'Lease Cycles'!$C$16*'Lease Cycles'!$AU$16/12,'Lease Cycles'!$C$16*INDEX('Lease Cycles'!$CB$16:$CH$16,1,BZ146)*(1+INDEX('Lease Cycles'!$CI$16:$CO$16,1,BZ146))^INT(INT(BZ147/12)/INDEX('Lease Cycles'!$CP$16:$CV$16,1,BZ146))/12)))),'Lease Cycles'!$C$16*INDEX('Lease Cycles'!$CB$16:$CH$16,1,BZ146)*(1+INDEX('Lease Cycles'!$CI$16:$CO$16,1,BZ146))^INT(INT(BZ147/12)/INDEX('Lease Cycles'!$CP$16:$CV$16,1,BZ146))/12),IF(INDEX('Lease Cycles'!$EF$16:$EL$16,1,BZ146)=1,IF(AND('Lease Cycles'!$AZ$16&gt;=INDEX('Lease Cycles'!$BG$16:$BM$16,1,BZ146),'Lease Cycles'!$AZ$16&lt;=BZ$6),'Lease Cycles'!$C$16*'Lease Cycles'!$BA$16/12,IF(AND('Lease Cycles'!$AX$16&gt;=INDEX('Lease Cycles'!$BG$16:$BM$16,1,BZ146),'Lease Cycles'!$AX$16&lt;=BZ$6),'Lease Cycles'!$C$16*'Lease Cycles'!$AY$16/12,IF(AND('Lease Cycles'!$AV$16&gt;=INDEX('Lease Cycles'!$BG$16:$BM$16,1,BZ146),'Lease Cycles'!$AV$16&lt;=BZ$6),'Lease Cycles'!$C$16*'Lease Cycles'!$AW$16/12,IF(AND('Lease Cycles'!$AT$16&gt;=INDEX('Lease Cycles'!$BG$16:$BM$16,1,BZ146),'Lease Cycles'!$AT$16&lt;=BZ$6),'Lease Cycles'!$C$16*'Lease Cycles'!$AU$16/12,'Lease Cycles'!$C$16*INDEX('Lease Cycles'!$CB$16:$CH$16,1,BZ146)*(1+INDEX('Lease Cycles'!$CI$16:$CO$16,1,BZ146))^INT(INT(BZ147/12)/INDEX('Lease Cycles'!$CP$16:$CV$16,1,BZ146))/12)))),'Lease Cycles'!$C$16*INDEX('Lease Cycles'!$CB$16:$CH$16,1,BZ146)*(1+INDEX('Lease Cycles'!$CI$16:$CO$16,1,BZ146))^INT(INT(BZ147/12)/INDEX('Lease Cycles'!$CP$16:$CV$16,1,BZ146))/12))),IF('Lease Cycles'!$N$16=1,'Lease Cycles'!$C$16*'Lease Cycles'!$E$16*INDEX('Lease Cycles'!$HE$16:$HK$16,1,BZ146)*(1+INDEX('Lease Cycles'!$GQ$16:$GW$16,1,BZ146))^INT(INT((BZ$6-INDEX('Lease Cycles'!$GJ$16:$GP$16,1,BZ146))/12)/INDEX('Lease Cycles'!$GX$16:$HD$16,1,BZ146))/12,0)))</f>
        <v>3912.5486364401145</v>
      </c>
      <c r="CA149" s="28">
        <f>IF(CA146=0,IF('Lease Cycles'!$F$16&gt;0,'Lease Cycles'!$C$16*'Lease Cycles'!$E$16/12,0),IF(CA148=1,IF('Lease Cycles'!$AT$16&gt;=9999,'Lease Cycles'!$C$16*INDEX('Lease Cycles'!$CB$16:$CH$16,1,CA146)*(1+INDEX('Lease Cycles'!$CI$16:$CO$16,1,CA146))^INT(INT(CA147/12)/INDEX('Lease Cycles'!$CP$16:$CV$16,1,CA146))/12,IF(CA146=1,IF(CA147&gt;=INDEX('Lease Cycles'!$DK$16:$DQ$16,1,CA146),IF(CA$6&gt;='Lease Cycles'!$AZ$16,'Lease Cycles'!$C$16*'Lease Cycles'!$BA$16/12,IF(CA$6&gt;='Lease Cycles'!$AX$16,'Lease Cycles'!$C$16*'Lease Cycles'!$AY$16/12,IF(CA$6&gt;='Lease Cycles'!$AV$16,'Lease Cycles'!$C$16*'Lease Cycles'!$AW$16/12,IF(CA$6&gt;='Lease Cycles'!$AT$16,'Lease Cycles'!$C$16*'Lease Cycles'!$AU$16/12,'Lease Cycles'!$C$16*INDEX('Lease Cycles'!$CB$16:$CH$16,1,CA146)*(1+INDEX('Lease Cycles'!$CI$16:$CO$16,1,CA146))^INT(INT(CA147/12)/INDEX('Lease Cycles'!$CP$16:$CV$16,1,CA146))/12)))),'Lease Cycles'!$C$16*INDEX('Lease Cycles'!$CB$16:$CH$16,1,CA146)*(1+INDEX('Lease Cycles'!$CI$16:$CO$16,1,CA146))^INT(INT(CA147/12)/INDEX('Lease Cycles'!$CP$16:$CV$16,1,CA146))/12),IF(INDEX('Lease Cycles'!$EF$16:$EL$16,1,CA146)=1,IF(AND('Lease Cycles'!$AZ$16&gt;=INDEX('Lease Cycles'!$BG$16:$BM$16,1,CA146),'Lease Cycles'!$AZ$16&lt;=CA$6),'Lease Cycles'!$C$16*'Lease Cycles'!$BA$16/12,IF(AND('Lease Cycles'!$AX$16&gt;=INDEX('Lease Cycles'!$BG$16:$BM$16,1,CA146),'Lease Cycles'!$AX$16&lt;=CA$6),'Lease Cycles'!$C$16*'Lease Cycles'!$AY$16/12,IF(AND('Lease Cycles'!$AV$16&gt;=INDEX('Lease Cycles'!$BG$16:$BM$16,1,CA146),'Lease Cycles'!$AV$16&lt;=CA$6),'Lease Cycles'!$C$16*'Lease Cycles'!$AW$16/12,IF(AND('Lease Cycles'!$AT$16&gt;=INDEX('Lease Cycles'!$BG$16:$BM$16,1,CA146),'Lease Cycles'!$AT$16&lt;=CA$6),'Lease Cycles'!$C$16*'Lease Cycles'!$AU$16/12,'Lease Cycles'!$C$16*INDEX('Lease Cycles'!$CB$16:$CH$16,1,CA146)*(1+INDEX('Lease Cycles'!$CI$16:$CO$16,1,CA146))^INT(INT(CA147/12)/INDEX('Lease Cycles'!$CP$16:$CV$16,1,CA146))/12)))),'Lease Cycles'!$C$16*INDEX('Lease Cycles'!$CB$16:$CH$16,1,CA146)*(1+INDEX('Lease Cycles'!$CI$16:$CO$16,1,CA146))^INT(INT(CA147/12)/INDEX('Lease Cycles'!$CP$16:$CV$16,1,CA146))/12))),IF('Lease Cycles'!$N$16=1,'Lease Cycles'!$C$16*'Lease Cycles'!$E$16*INDEX('Lease Cycles'!$HE$16:$HK$16,1,CA146)*(1+INDEX('Lease Cycles'!$GQ$16:$GW$16,1,CA146))^INT(INT((CA$6-INDEX('Lease Cycles'!$GJ$16:$GP$16,1,CA146))/12)/INDEX('Lease Cycles'!$GX$16:$HD$16,1,CA146))/12,0)))</f>
        <v>3912.5486364401145</v>
      </c>
      <c r="CB149" s="28">
        <f>IF(CB146=0,IF('Lease Cycles'!$F$16&gt;0,'Lease Cycles'!$C$16*'Lease Cycles'!$E$16/12,0),IF(CB148=1,IF('Lease Cycles'!$AT$16&gt;=9999,'Lease Cycles'!$C$16*INDEX('Lease Cycles'!$CB$16:$CH$16,1,CB146)*(1+INDEX('Lease Cycles'!$CI$16:$CO$16,1,CB146))^INT(INT(CB147/12)/INDEX('Lease Cycles'!$CP$16:$CV$16,1,CB146))/12,IF(CB146=1,IF(CB147&gt;=INDEX('Lease Cycles'!$DK$16:$DQ$16,1,CB146),IF(CB$6&gt;='Lease Cycles'!$AZ$16,'Lease Cycles'!$C$16*'Lease Cycles'!$BA$16/12,IF(CB$6&gt;='Lease Cycles'!$AX$16,'Lease Cycles'!$C$16*'Lease Cycles'!$AY$16/12,IF(CB$6&gt;='Lease Cycles'!$AV$16,'Lease Cycles'!$C$16*'Lease Cycles'!$AW$16/12,IF(CB$6&gt;='Lease Cycles'!$AT$16,'Lease Cycles'!$C$16*'Lease Cycles'!$AU$16/12,'Lease Cycles'!$C$16*INDEX('Lease Cycles'!$CB$16:$CH$16,1,CB146)*(1+INDEX('Lease Cycles'!$CI$16:$CO$16,1,CB146))^INT(INT(CB147/12)/INDEX('Lease Cycles'!$CP$16:$CV$16,1,CB146))/12)))),'Lease Cycles'!$C$16*INDEX('Lease Cycles'!$CB$16:$CH$16,1,CB146)*(1+INDEX('Lease Cycles'!$CI$16:$CO$16,1,CB146))^INT(INT(CB147/12)/INDEX('Lease Cycles'!$CP$16:$CV$16,1,CB146))/12),IF(INDEX('Lease Cycles'!$EF$16:$EL$16,1,CB146)=1,IF(AND('Lease Cycles'!$AZ$16&gt;=INDEX('Lease Cycles'!$BG$16:$BM$16,1,CB146),'Lease Cycles'!$AZ$16&lt;=CB$6),'Lease Cycles'!$C$16*'Lease Cycles'!$BA$16/12,IF(AND('Lease Cycles'!$AX$16&gt;=INDEX('Lease Cycles'!$BG$16:$BM$16,1,CB146),'Lease Cycles'!$AX$16&lt;=CB$6),'Lease Cycles'!$C$16*'Lease Cycles'!$AY$16/12,IF(AND('Lease Cycles'!$AV$16&gt;=INDEX('Lease Cycles'!$BG$16:$BM$16,1,CB146),'Lease Cycles'!$AV$16&lt;=CB$6),'Lease Cycles'!$C$16*'Lease Cycles'!$AW$16/12,IF(AND('Lease Cycles'!$AT$16&gt;=INDEX('Lease Cycles'!$BG$16:$BM$16,1,CB146),'Lease Cycles'!$AT$16&lt;=CB$6),'Lease Cycles'!$C$16*'Lease Cycles'!$AU$16/12,'Lease Cycles'!$C$16*INDEX('Lease Cycles'!$CB$16:$CH$16,1,CB146)*(1+INDEX('Lease Cycles'!$CI$16:$CO$16,1,CB146))^INT(INT(CB147/12)/INDEX('Lease Cycles'!$CP$16:$CV$16,1,CB146))/12)))),'Lease Cycles'!$C$16*INDEX('Lease Cycles'!$CB$16:$CH$16,1,CB146)*(1+INDEX('Lease Cycles'!$CI$16:$CO$16,1,CB146))^INT(INT(CB147/12)/INDEX('Lease Cycles'!$CP$16:$CV$16,1,CB146))/12))),IF('Lease Cycles'!$N$16=1,'Lease Cycles'!$C$16*'Lease Cycles'!$E$16*INDEX('Lease Cycles'!$HE$16:$HK$16,1,CB146)*(1+INDEX('Lease Cycles'!$GQ$16:$GW$16,1,CB146))^INT(INT((CB$6-INDEX('Lease Cycles'!$GJ$16:$GP$16,1,CB146))/12)/INDEX('Lease Cycles'!$GX$16:$HD$16,1,CB146))/12,0)))</f>
        <v>3912.5486364401145</v>
      </c>
      <c r="CC149" s="28">
        <f>IF(CC146=0,IF('Lease Cycles'!$F$16&gt;0,'Lease Cycles'!$C$16*'Lease Cycles'!$E$16/12,0),IF(CC148=1,IF('Lease Cycles'!$AT$16&gt;=9999,'Lease Cycles'!$C$16*INDEX('Lease Cycles'!$CB$16:$CH$16,1,CC146)*(1+INDEX('Lease Cycles'!$CI$16:$CO$16,1,CC146))^INT(INT(CC147/12)/INDEX('Lease Cycles'!$CP$16:$CV$16,1,CC146))/12,IF(CC146=1,IF(CC147&gt;=INDEX('Lease Cycles'!$DK$16:$DQ$16,1,CC146),IF(CC$6&gt;='Lease Cycles'!$AZ$16,'Lease Cycles'!$C$16*'Lease Cycles'!$BA$16/12,IF(CC$6&gt;='Lease Cycles'!$AX$16,'Lease Cycles'!$C$16*'Lease Cycles'!$AY$16/12,IF(CC$6&gt;='Lease Cycles'!$AV$16,'Lease Cycles'!$C$16*'Lease Cycles'!$AW$16/12,IF(CC$6&gt;='Lease Cycles'!$AT$16,'Lease Cycles'!$C$16*'Lease Cycles'!$AU$16/12,'Lease Cycles'!$C$16*INDEX('Lease Cycles'!$CB$16:$CH$16,1,CC146)*(1+INDEX('Lease Cycles'!$CI$16:$CO$16,1,CC146))^INT(INT(CC147/12)/INDEX('Lease Cycles'!$CP$16:$CV$16,1,CC146))/12)))),'Lease Cycles'!$C$16*INDEX('Lease Cycles'!$CB$16:$CH$16,1,CC146)*(1+INDEX('Lease Cycles'!$CI$16:$CO$16,1,CC146))^INT(INT(CC147/12)/INDEX('Lease Cycles'!$CP$16:$CV$16,1,CC146))/12),IF(INDEX('Lease Cycles'!$EF$16:$EL$16,1,CC146)=1,IF(AND('Lease Cycles'!$AZ$16&gt;=INDEX('Lease Cycles'!$BG$16:$BM$16,1,CC146),'Lease Cycles'!$AZ$16&lt;=CC$6),'Lease Cycles'!$C$16*'Lease Cycles'!$BA$16/12,IF(AND('Lease Cycles'!$AX$16&gt;=INDEX('Lease Cycles'!$BG$16:$BM$16,1,CC146),'Lease Cycles'!$AX$16&lt;=CC$6),'Lease Cycles'!$C$16*'Lease Cycles'!$AY$16/12,IF(AND('Lease Cycles'!$AV$16&gt;=INDEX('Lease Cycles'!$BG$16:$BM$16,1,CC146),'Lease Cycles'!$AV$16&lt;=CC$6),'Lease Cycles'!$C$16*'Lease Cycles'!$AW$16/12,IF(AND('Lease Cycles'!$AT$16&gt;=INDEX('Lease Cycles'!$BG$16:$BM$16,1,CC146),'Lease Cycles'!$AT$16&lt;=CC$6),'Lease Cycles'!$C$16*'Lease Cycles'!$AU$16/12,'Lease Cycles'!$C$16*INDEX('Lease Cycles'!$CB$16:$CH$16,1,CC146)*(1+INDEX('Lease Cycles'!$CI$16:$CO$16,1,CC146))^INT(INT(CC147/12)/INDEX('Lease Cycles'!$CP$16:$CV$16,1,CC146))/12)))),'Lease Cycles'!$C$16*INDEX('Lease Cycles'!$CB$16:$CH$16,1,CC146)*(1+INDEX('Lease Cycles'!$CI$16:$CO$16,1,CC146))^INT(INT(CC147/12)/INDEX('Lease Cycles'!$CP$16:$CV$16,1,CC146))/12))),IF('Lease Cycles'!$N$16=1,'Lease Cycles'!$C$16*'Lease Cycles'!$E$16*INDEX('Lease Cycles'!$HE$16:$HK$16,1,CC146)*(1+INDEX('Lease Cycles'!$GQ$16:$GW$16,1,CC146))^INT(INT((CC$6-INDEX('Lease Cycles'!$GJ$16:$GP$16,1,CC146))/12)/INDEX('Lease Cycles'!$GX$16:$HD$16,1,CC146))/12,0)))</f>
        <v>3912.5486364401145</v>
      </c>
      <c r="CD149" s="28">
        <f>IF(CD146=0,IF('Lease Cycles'!$F$16&gt;0,'Lease Cycles'!$C$16*'Lease Cycles'!$E$16/12,0),IF(CD148=1,IF('Lease Cycles'!$AT$16&gt;=9999,'Lease Cycles'!$C$16*INDEX('Lease Cycles'!$CB$16:$CH$16,1,CD146)*(1+INDEX('Lease Cycles'!$CI$16:$CO$16,1,CD146))^INT(INT(CD147/12)/INDEX('Lease Cycles'!$CP$16:$CV$16,1,CD146))/12,IF(CD146=1,IF(CD147&gt;=INDEX('Lease Cycles'!$DK$16:$DQ$16,1,CD146),IF(CD$6&gt;='Lease Cycles'!$AZ$16,'Lease Cycles'!$C$16*'Lease Cycles'!$BA$16/12,IF(CD$6&gt;='Lease Cycles'!$AX$16,'Lease Cycles'!$C$16*'Lease Cycles'!$AY$16/12,IF(CD$6&gt;='Lease Cycles'!$AV$16,'Lease Cycles'!$C$16*'Lease Cycles'!$AW$16/12,IF(CD$6&gt;='Lease Cycles'!$AT$16,'Lease Cycles'!$C$16*'Lease Cycles'!$AU$16/12,'Lease Cycles'!$C$16*INDEX('Lease Cycles'!$CB$16:$CH$16,1,CD146)*(1+INDEX('Lease Cycles'!$CI$16:$CO$16,1,CD146))^INT(INT(CD147/12)/INDEX('Lease Cycles'!$CP$16:$CV$16,1,CD146))/12)))),'Lease Cycles'!$C$16*INDEX('Lease Cycles'!$CB$16:$CH$16,1,CD146)*(1+INDEX('Lease Cycles'!$CI$16:$CO$16,1,CD146))^INT(INT(CD147/12)/INDEX('Lease Cycles'!$CP$16:$CV$16,1,CD146))/12),IF(INDEX('Lease Cycles'!$EF$16:$EL$16,1,CD146)=1,IF(AND('Lease Cycles'!$AZ$16&gt;=INDEX('Lease Cycles'!$BG$16:$BM$16,1,CD146),'Lease Cycles'!$AZ$16&lt;=CD$6),'Lease Cycles'!$C$16*'Lease Cycles'!$BA$16/12,IF(AND('Lease Cycles'!$AX$16&gt;=INDEX('Lease Cycles'!$BG$16:$BM$16,1,CD146),'Lease Cycles'!$AX$16&lt;=CD$6),'Lease Cycles'!$C$16*'Lease Cycles'!$AY$16/12,IF(AND('Lease Cycles'!$AV$16&gt;=INDEX('Lease Cycles'!$BG$16:$BM$16,1,CD146),'Lease Cycles'!$AV$16&lt;=CD$6),'Lease Cycles'!$C$16*'Lease Cycles'!$AW$16/12,IF(AND('Lease Cycles'!$AT$16&gt;=INDEX('Lease Cycles'!$BG$16:$BM$16,1,CD146),'Lease Cycles'!$AT$16&lt;=CD$6),'Lease Cycles'!$C$16*'Lease Cycles'!$AU$16/12,'Lease Cycles'!$C$16*INDEX('Lease Cycles'!$CB$16:$CH$16,1,CD146)*(1+INDEX('Lease Cycles'!$CI$16:$CO$16,1,CD146))^INT(INT(CD147/12)/INDEX('Lease Cycles'!$CP$16:$CV$16,1,CD146))/12)))),'Lease Cycles'!$C$16*INDEX('Lease Cycles'!$CB$16:$CH$16,1,CD146)*(1+INDEX('Lease Cycles'!$CI$16:$CO$16,1,CD146))^INT(INT(CD147/12)/INDEX('Lease Cycles'!$CP$16:$CV$16,1,CD146))/12))),IF('Lease Cycles'!$N$16=1,'Lease Cycles'!$C$16*'Lease Cycles'!$E$16*INDEX('Lease Cycles'!$HE$16:$HK$16,1,CD146)*(1+INDEX('Lease Cycles'!$GQ$16:$GW$16,1,CD146))^INT(INT((CD$6-INDEX('Lease Cycles'!$GJ$16:$GP$16,1,CD146))/12)/INDEX('Lease Cycles'!$GX$16:$HD$16,1,CD146))/12,0)))</f>
        <v>3912.5486364401145</v>
      </c>
      <c r="CE149" s="28">
        <f>IF(CE146=0,IF('Lease Cycles'!$F$16&gt;0,'Lease Cycles'!$C$16*'Lease Cycles'!$E$16/12,0),IF(CE148=1,IF('Lease Cycles'!$AT$16&gt;=9999,'Lease Cycles'!$C$16*INDEX('Lease Cycles'!$CB$16:$CH$16,1,CE146)*(1+INDEX('Lease Cycles'!$CI$16:$CO$16,1,CE146))^INT(INT(CE147/12)/INDEX('Lease Cycles'!$CP$16:$CV$16,1,CE146))/12,IF(CE146=1,IF(CE147&gt;=INDEX('Lease Cycles'!$DK$16:$DQ$16,1,CE146),IF(CE$6&gt;='Lease Cycles'!$AZ$16,'Lease Cycles'!$C$16*'Lease Cycles'!$BA$16/12,IF(CE$6&gt;='Lease Cycles'!$AX$16,'Lease Cycles'!$C$16*'Lease Cycles'!$AY$16/12,IF(CE$6&gt;='Lease Cycles'!$AV$16,'Lease Cycles'!$C$16*'Lease Cycles'!$AW$16/12,IF(CE$6&gt;='Lease Cycles'!$AT$16,'Lease Cycles'!$C$16*'Lease Cycles'!$AU$16/12,'Lease Cycles'!$C$16*INDEX('Lease Cycles'!$CB$16:$CH$16,1,CE146)*(1+INDEX('Lease Cycles'!$CI$16:$CO$16,1,CE146))^INT(INT(CE147/12)/INDEX('Lease Cycles'!$CP$16:$CV$16,1,CE146))/12)))),'Lease Cycles'!$C$16*INDEX('Lease Cycles'!$CB$16:$CH$16,1,CE146)*(1+INDEX('Lease Cycles'!$CI$16:$CO$16,1,CE146))^INT(INT(CE147/12)/INDEX('Lease Cycles'!$CP$16:$CV$16,1,CE146))/12),IF(INDEX('Lease Cycles'!$EF$16:$EL$16,1,CE146)=1,IF(AND('Lease Cycles'!$AZ$16&gt;=INDEX('Lease Cycles'!$BG$16:$BM$16,1,CE146),'Lease Cycles'!$AZ$16&lt;=CE$6),'Lease Cycles'!$C$16*'Lease Cycles'!$BA$16/12,IF(AND('Lease Cycles'!$AX$16&gt;=INDEX('Lease Cycles'!$BG$16:$BM$16,1,CE146),'Lease Cycles'!$AX$16&lt;=CE$6),'Lease Cycles'!$C$16*'Lease Cycles'!$AY$16/12,IF(AND('Lease Cycles'!$AV$16&gt;=INDEX('Lease Cycles'!$BG$16:$BM$16,1,CE146),'Lease Cycles'!$AV$16&lt;=CE$6),'Lease Cycles'!$C$16*'Lease Cycles'!$AW$16/12,IF(AND('Lease Cycles'!$AT$16&gt;=INDEX('Lease Cycles'!$BG$16:$BM$16,1,CE146),'Lease Cycles'!$AT$16&lt;=CE$6),'Lease Cycles'!$C$16*'Lease Cycles'!$AU$16/12,'Lease Cycles'!$C$16*INDEX('Lease Cycles'!$CB$16:$CH$16,1,CE146)*(1+INDEX('Lease Cycles'!$CI$16:$CO$16,1,CE146))^INT(INT(CE147/12)/INDEX('Lease Cycles'!$CP$16:$CV$16,1,CE146))/12)))),'Lease Cycles'!$C$16*INDEX('Lease Cycles'!$CB$16:$CH$16,1,CE146)*(1+INDEX('Lease Cycles'!$CI$16:$CO$16,1,CE146))^INT(INT(CE147/12)/INDEX('Lease Cycles'!$CP$16:$CV$16,1,CE146))/12))),IF('Lease Cycles'!$N$16=1,'Lease Cycles'!$C$16*'Lease Cycles'!$E$16*INDEX('Lease Cycles'!$HE$16:$HK$16,1,CE146)*(1+INDEX('Lease Cycles'!$GQ$16:$GW$16,1,CE146))^INT(INT((CE$6-INDEX('Lease Cycles'!$GJ$16:$GP$16,1,CE146))/12)/INDEX('Lease Cycles'!$GX$16:$HD$16,1,CE146))/12,0)))</f>
        <v>3912.5486364401145</v>
      </c>
      <c r="CF149" s="28">
        <f>IF(CF146=0,IF('Lease Cycles'!$F$16&gt;0,'Lease Cycles'!$C$16*'Lease Cycles'!$E$16/12,0),IF(CF148=1,IF('Lease Cycles'!$AT$16&gt;=9999,'Lease Cycles'!$C$16*INDEX('Lease Cycles'!$CB$16:$CH$16,1,CF146)*(1+INDEX('Lease Cycles'!$CI$16:$CO$16,1,CF146))^INT(INT(CF147/12)/INDEX('Lease Cycles'!$CP$16:$CV$16,1,CF146))/12,IF(CF146=1,IF(CF147&gt;=INDEX('Lease Cycles'!$DK$16:$DQ$16,1,CF146),IF(CF$6&gt;='Lease Cycles'!$AZ$16,'Lease Cycles'!$C$16*'Lease Cycles'!$BA$16/12,IF(CF$6&gt;='Lease Cycles'!$AX$16,'Lease Cycles'!$C$16*'Lease Cycles'!$AY$16/12,IF(CF$6&gt;='Lease Cycles'!$AV$16,'Lease Cycles'!$C$16*'Lease Cycles'!$AW$16/12,IF(CF$6&gt;='Lease Cycles'!$AT$16,'Lease Cycles'!$C$16*'Lease Cycles'!$AU$16/12,'Lease Cycles'!$C$16*INDEX('Lease Cycles'!$CB$16:$CH$16,1,CF146)*(1+INDEX('Lease Cycles'!$CI$16:$CO$16,1,CF146))^INT(INT(CF147/12)/INDEX('Lease Cycles'!$CP$16:$CV$16,1,CF146))/12)))),'Lease Cycles'!$C$16*INDEX('Lease Cycles'!$CB$16:$CH$16,1,CF146)*(1+INDEX('Lease Cycles'!$CI$16:$CO$16,1,CF146))^INT(INT(CF147/12)/INDEX('Lease Cycles'!$CP$16:$CV$16,1,CF146))/12),IF(INDEX('Lease Cycles'!$EF$16:$EL$16,1,CF146)=1,IF(AND('Lease Cycles'!$AZ$16&gt;=INDEX('Lease Cycles'!$BG$16:$BM$16,1,CF146),'Lease Cycles'!$AZ$16&lt;=CF$6),'Lease Cycles'!$C$16*'Lease Cycles'!$BA$16/12,IF(AND('Lease Cycles'!$AX$16&gt;=INDEX('Lease Cycles'!$BG$16:$BM$16,1,CF146),'Lease Cycles'!$AX$16&lt;=CF$6),'Lease Cycles'!$C$16*'Lease Cycles'!$AY$16/12,IF(AND('Lease Cycles'!$AV$16&gt;=INDEX('Lease Cycles'!$BG$16:$BM$16,1,CF146),'Lease Cycles'!$AV$16&lt;=CF$6),'Lease Cycles'!$C$16*'Lease Cycles'!$AW$16/12,IF(AND('Lease Cycles'!$AT$16&gt;=INDEX('Lease Cycles'!$BG$16:$BM$16,1,CF146),'Lease Cycles'!$AT$16&lt;=CF$6),'Lease Cycles'!$C$16*'Lease Cycles'!$AU$16/12,'Lease Cycles'!$C$16*INDEX('Lease Cycles'!$CB$16:$CH$16,1,CF146)*(1+INDEX('Lease Cycles'!$CI$16:$CO$16,1,CF146))^INT(INT(CF147/12)/INDEX('Lease Cycles'!$CP$16:$CV$16,1,CF146))/12)))),'Lease Cycles'!$C$16*INDEX('Lease Cycles'!$CB$16:$CH$16,1,CF146)*(1+INDEX('Lease Cycles'!$CI$16:$CO$16,1,CF146))^INT(INT(CF147/12)/INDEX('Lease Cycles'!$CP$16:$CV$16,1,CF146))/12))),IF('Lease Cycles'!$N$16=1,'Lease Cycles'!$C$16*'Lease Cycles'!$E$16*INDEX('Lease Cycles'!$HE$16:$HK$16,1,CF146)*(1+INDEX('Lease Cycles'!$GQ$16:$GW$16,1,CF146))^INT(INT((CF$6-INDEX('Lease Cycles'!$GJ$16:$GP$16,1,CF146))/12)/INDEX('Lease Cycles'!$GX$16:$HD$16,1,CF146))/12,0)))</f>
        <v>3912.5486364401145</v>
      </c>
      <c r="CG149" s="28">
        <f>IF(CG146=0,IF('Lease Cycles'!$F$16&gt;0,'Lease Cycles'!$C$16*'Lease Cycles'!$E$16/12,0),IF(CG148=1,IF('Lease Cycles'!$AT$16&gt;=9999,'Lease Cycles'!$C$16*INDEX('Lease Cycles'!$CB$16:$CH$16,1,CG146)*(1+INDEX('Lease Cycles'!$CI$16:$CO$16,1,CG146))^INT(INT(CG147/12)/INDEX('Lease Cycles'!$CP$16:$CV$16,1,CG146))/12,IF(CG146=1,IF(CG147&gt;=INDEX('Lease Cycles'!$DK$16:$DQ$16,1,CG146),IF(CG$6&gt;='Lease Cycles'!$AZ$16,'Lease Cycles'!$C$16*'Lease Cycles'!$BA$16/12,IF(CG$6&gt;='Lease Cycles'!$AX$16,'Lease Cycles'!$C$16*'Lease Cycles'!$AY$16/12,IF(CG$6&gt;='Lease Cycles'!$AV$16,'Lease Cycles'!$C$16*'Lease Cycles'!$AW$16/12,IF(CG$6&gt;='Lease Cycles'!$AT$16,'Lease Cycles'!$C$16*'Lease Cycles'!$AU$16/12,'Lease Cycles'!$C$16*INDEX('Lease Cycles'!$CB$16:$CH$16,1,CG146)*(1+INDEX('Lease Cycles'!$CI$16:$CO$16,1,CG146))^INT(INT(CG147/12)/INDEX('Lease Cycles'!$CP$16:$CV$16,1,CG146))/12)))),'Lease Cycles'!$C$16*INDEX('Lease Cycles'!$CB$16:$CH$16,1,CG146)*(1+INDEX('Lease Cycles'!$CI$16:$CO$16,1,CG146))^INT(INT(CG147/12)/INDEX('Lease Cycles'!$CP$16:$CV$16,1,CG146))/12),IF(INDEX('Lease Cycles'!$EF$16:$EL$16,1,CG146)=1,IF(AND('Lease Cycles'!$AZ$16&gt;=INDEX('Lease Cycles'!$BG$16:$BM$16,1,CG146),'Lease Cycles'!$AZ$16&lt;=CG$6),'Lease Cycles'!$C$16*'Lease Cycles'!$BA$16/12,IF(AND('Lease Cycles'!$AX$16&gt;=INDEX('Lease Cycles'!$BG$16:$BM$16,1,CG146),'Lease Cycles'!$AX$16&lt;=CG$6),'Lease Cycles'!$C$16*'Lease Cycles'!$AY$16/12,IF(AND('Lease Cycles'!$AV$16&gt;=INDEX('Lease Cycles'!$BG$16:$BM$16,1,CG146),'Lease Cycles'!$AV$16&lt;=CG$6),'Lease Cycles'!$C$16*'Lease Cycles'!$AW$16/12,IF(AND('Lease Cycles'!$AT$16&gt;=INDEX('Lease Cycles'!$BG$16:$BM$16,1,CG146),'Lease Cycles'!$AT$16&lt;=CG$6),'Lease Cycles'!$C$16*'Lease Cycles'!$AU$16/12,'Lease Cycles'!$C$16*INDEX('Lease Cycles'!$CB$16:$CH$16,1,CG146)*(1+INDEX('Lease Cycles'!$CI$16:$CO$16,1,CG146))^INT(INT(CG147/12)/INDEX('Lease Cycles'!$CP$16:$CV$16,1,CG146))/12)))),'Lease Cycles'!$C$16*INDEX('Lease Cycles'!$CB$16:$CH$16,1,CG146)*(1+INDEX('Lease Cycles'!$CI$16:$CO$16,1,CG146))^INT(INT(CG147/12)/INDEX('Lease Cycles'!$CP$16:$CV$16,1,CG146))/12))),IF('Lease Cycles'!$N$16=1,'Lease Cycles'!$C$16*'Lease Cycles'!$E$16*INDEX('Lease Cycles'!$HE$16:$HK$16,1,CG146)*(1+INDEX('Lease Cycles'!$GQ$16:$GW$16,1,CG146))^INT(INT((CG$6-INDEX('Lease Cycles'!$GJ$16:$GP$16,1,CG146))/12)/INDEX('Lease Cycles'!$GX$16:$HD$16,1,CG146))/12,0)))</f>
        <v>3912.5486364401145</v>
      </c>
      <c r="CH149" s="28">
        <f>IF(CH146=0,IF('Lease Cycles'!$F$16&gt;0,'Lease Cycles'!$C$16*'Lease Cycles'!$E$16/12,0),IF(CH148=1,IF('Lease Cycles'!$AT$16&gt;=9999,'Lease Cycles'!$C$16*INDEX('Lease Cycles'!$CB$16:$CH$16,1,CH146)*(1+INDEX('Lease Cycles'!$CI$16:$CO$16,1,CH146))^INT(INT(CH147/12)/INDEX('Lease Cycles'!$CP$16:$CV$16,1,CH146))/12,IF(CH146=1,IF(CH147&gt;=INDEX('Lease Cycles'!$DK$16:$DQ$16,1,CH146),IF(CH$6&gt;='Lease Cycles'!$AZ$16,'Lease Cycles'!$C$16*'Lease Cycles'!$BA$16/12,IF(CH$6&gt;='Lease Cycles'!$AX$16,'Lease Cycles'!$C$16*'Lease Cycles'!$AY$16/12,IF(CH$6&gt;='Lease Cycles'!$AV$16,'Lease Cycles'!$C$16*'Lease Cycles'!$AW$16/12,IF(CH$6&gt;='Lease Cycles'!$AT$16,'Lease Cycles'!$C$16*'Lease Cycles'!$AU$16/12,'Lease Cycles'!$C$16*INDEX('Lease Cycles'!$CB$16:$CH$16,1,CH146)*(1+INDEX('Lease Cycles'!$CI$16:$CO$16,1,CH146))^INT(INT(CH147/12)/INDEX('Lease Cycles'!$CP$16:$CV$16,1,CH146))/12)))),'Lease Cycles'!$C$16*INDEX('Lease Cycles'!$CB$16:$CH$16,1,CH146)*(1+INDEX('Lease Cycles'!$CI$16:$CO$16,1,CH146))^INT(INT(CH147/12)/INDEX('Lease Cycles'!$CP$16:$CV$16,1,CH146))/12),IF(INDEX('Lease Cycles'!$EF$16:$EL$16,1,CH146)=1,IF(AND('Lease Cycles'!$AZ$16&gt;=INDEX('Lease Cycles'!$BG$16:$BM$16,1,CH146),'Lease Cycles'!$AZ$16&lt;=CH$6),'Lease Cycles'!$C$16*'Lease Cycles'!$BA$16/12,IF(AND('Lease Cycles'!$AX$16&gt;=INDEX('Lease Cycles'!$BG$16:$BM$16,1,CH146),'Lease Cycles'!$AX$16&lt;=CH$6),'Lease Cycles'!$C$16*'Lease Cycles'!$AY$16/12,IF(AND('Lease Cycles'!$AV$16&gt;=INDEX('Lease Cycles'!$BG$16:$BM$16,1,CH146),'Lease Cycles'!$AV$16&lt;=CH$6),'Lease Cycles'!$C$16*'Lease Cycles'!$AW$16/12,IF(AND('Lease Cycles'!$AT$16&gt;=INDEX('Lease Cycles'!$BG$16:$BM$16,1,CH146),'Lease Cycles'!$AT$16&lt;=CH$6),'Lease Cycles'!$C$16*'Lease Cycles'!$AU$16/12,'Lease Cycles'!$C$16*INDEX('Lease Cycles'!$CB$16:$CH$16,1,CH146)*(1+INDEX('Lease Cycles'!$CI$16:$CO$16,1,CH146))^INT(INT(CH147/12)/INDEX('Lease Cycles'!$CP$16:$CV$16,1,CH146))/12)))),'Lease Cycles'!$C$16*INDEX('Lease Cycles'!$CB$16:$CH$16,1,CH146)*(1+INDEX('Lease Cycles'!$CI$16:$CO$16,1,CH146))^INT(INT(CH147/12)/INDEX('Lease Cycles'!$CP$16:$CV$16,1,CH146))/12))),IF('Lease Cycles'!$N$16=1,'Lease Cycles'!$C$16*'Lease Cycles'!$E$16*INDEX('Lease Cycles'!$HE$16:$HK$16,1,CH146)*(1+INDEX('Lease Cycles'!$GQ$16:$GW$16,1,CH146))^INT(INT((CH$6-INDEX('Lease Cycles'!$GJ$16:$GP$16,1,CH146))/12)/INDEX('Lease Cycles'!$GX$16:$HD$16,1,CH146))/12,0)))</f>
        <v>3912.5486364401145</v>
      </c>
      <c r="CI149" s="28">
        <f>IF(CI146=0,IF('Lease Cycles'!$F$16&gt;0,'Lease Cycles'!$C$16*'Lease Cycles'!$E$16/12,0),IF(CI148=1,IF('Lease Cycles'!$AT$16&gt;=9999,'Lease Cycles'!$C$16*INDEX('Lease Cycles'!$CB$16:$CH$16,1,CI146)*(1+INDEX('Lease Cycles'!$CI$16:$CO$16,1,CI146))^INT(INT(CI147/12)/INDEX('Lease Cycles'!$CP$16:$CV$16,1,CI146))/12,IF(CI146=1,IF(CI147&gt;=INDEX('Lease Cycles'!$DK$16:$DQ$16,1,CI146),IF(CI$6&gt;='Lease Cycles'!$AZ$16,'Lease Cycles'!$C$16*'Lease Cycles'!$BA$16/12,IF(CI$6&gt;='Lease Cycles'!$AX$16,'Lease Cycles'!$C$16*'Lease Cycles'!$AY$16/12,IF(CI$6&gt;='Lease Cycles'!$AV$16,'Lease Cycles'!$C$16*'Lease Cycles'!$AW$16/12,IF(CI$6&gt;='Lease Cycles'!$AT$16,'Lease Cycles'!$C$16*'Lease Cycles'!$AU$16/12,'Lease Cycles'!$C$16*INDEX('Lease Cycles'!$CB$16:$CH$16,1,CI146)*(1+INDEX('Lease Cycles'!$CI$16:$CO$16,1,CI146))^INT(INT(CI147/12)/INDEX('Lease Cycles'!$CP$16:$CV$16,1,CI146))/12)))),'Lease Cycles'!$C$16*INDEX('Lease Cycles'!$CB$16:$CH$16,1,CI146)*(1+INDEX('Lease Cycles'!$CI$16:$CO$16,1,CI146))^INT(INT(CI147/12)/INDEX('Lease Cycles'!$CP$16:$CV$16,1,CI146))/12),IF(INDEX('Lease Cycles'!$EF$16:$EL$16,1,CI146)=1,IF(AND('Lease Cycles'!$AZ$16&gt;=INDEX('Lease Cycles'!$BG$16:$BM$16,1,CI146),'Lease Cycles'!$AZ$16&lt;=CI$6),'Lease Cycles'!$C$16*'Lease Cycles'!$BA$16/12,IF(AND('Lease Cycles'!$AX$16&gt;=INDEX('Lease Cycles'!$BG$16:$BM$16,1,CI146),'Lease Cycles'!$AX$16&lt;=CI$6),'Lease Cycles'!$C$16*'Lease Cycles'!$AY$16/12,IF(AND('Lease Cycles'!$AV$16&gt;=INDEX('Lease Cycles'!$BG$16:$BM$16,1,CI146),'Lease Cycles'!$AV$16&lt;=CI$6),'Lease Cycles'!$C$16*'Lease Cycles'!$AW$16/12,IF(AND('Lease Cycles'!$AT$16&gt;=INDEX('Lease Cycles'!$BG$16:$BM$16,1,CI146),'Lease Cycles'!$AT$16&lt;=CI$6),'Lease Cycles'!$C$16*'Lease Cycles'!$AU$16/12,'Lease Cycles'!$C$16*INDEX('Lease Cycles'!$CB$16:$CH$16,1,CI146)*(1+INDEX('Lease Cycles'!$CI$16:$CO$16,1,CI146))^INT(INT(CI147/12)/INDEX('Lease Cycles'!$CP$16:$CV$16,1,CI146))/12)))),'Lease Cycles'!$C$16*INDEX('Lease Cycles'!$CB$16:$CH$16,1,CI146)*(1+INDEX('Lease Cycles'!$CI$16:$CO$16,1,CI146))^INT(INT(CI147/12)/INDEX('Lease Cycles'!$CP$16:$CV$16,1,CI146))/12))),IF('Lease Cycles'!$N$16=1,'Lease Cycles'!$C$16*'Lease Cycles'!$E$16*INDEX('Lease Cycles'!$HE$16:$HK$16,1,CI146)*(1+INDEX('Lease Cycles'!$GQ$16:$GW$16,1,CI146))^INT(INT((CI$6-INDEX('Lease Cycles'!$GJ$16:$GP$16,1,CI146))/12)/INDEX('Lease Cycles'!$GX$16:$HD$16,1,CI146))/12,0)))</f>
        <v>3912.5486364401145</v>
      </c>
      <c r="CJ149" s="28">
        <f>IF(CJ146=0,IF('Lease Cycles'!$F$16&gt;0,'Lease Cycles'!$C$16*'Lease Cycles'!$E$16/12,0),IF(CJ148=1,IF('Lease Cycles'!$AT$16&gt;=9999,'Lease Cycles'!$C$16*INDEX('Lease Cycles'!$CB$16:$CH$16,1,CJ146)*(1+INDEX('Lease Cycles'!$CI$16:$CO$16,1,CJ146))^INT(INT(CJ147/12)/INDEX('Lease Cycles'!$CP$16:$CV$16,1,CJ146))/12,IF(CJ146=1,IF(CJ147&gt;=INDEX('Lease Cycles'!$DK$16:$DQ$16,1,CJ146),IF(CJ$6&gt;='Lease Cycles'!$AZ$16,'Lease Cycles'!$C$16*'Lease Cycles'!$BA$16/12,IF(CJ$6&gt;='Lease Cycles'!$AX$16,'Lease Cycles'!$C$16*'Lease Cycles'!$AY$16/12,IF(CJ$6&gt;='Lease Cycles'!$AV$16,'Lease Cycles'!$C$16*'Lease Cycles'!$AW$16/12,IF(CJ$6&gt;='Lease Cycles'!$AT$16,'Lease Cycles'!$C$16*'Lease Cycles'!$AU$16/12,'Lease Cycles'!$C$16*INDEX('Lease Cycles'!$CB$16:$CH$16,1,CJ146)*(1+INDEX('Lease Cycles'!$CI$16:$CO$16,1,CJ146))^INT(INT(CJ147/12)/INDEX('Lease Cycles'!$CP$16:$CV$16,1,CJ146))/12)))),'Lease Cycles'!$C$16*INDEX('Lease Cycles'!$CB$16:$CH$16,1,CJ146)*(1+INDEX('Lease Cycles'!$CI$16:$CO$16,1,CJ146))^INT(INT(CJ147/12)/INDEX('Lease Cycles'!$CP$16:$CV$16,1,CJ146))/12),IF(INDEX('Lease Cycles'!$EF$16:$EL$16,1,CJ146)=1,IF(AND('Lease Cycles'!$AZ$16&gt;=INDEX('Lease Cycles'!$BG$16:$BM$16,1,CJ146),'Lease Cycles'!$AZ$16&lt;=CJ$6),'Lease Cycles'!$C$16*'Lease Cycles'!$BA$16/12,IF(AND('Lease Cycles'!$AX$16&gt;=INDEX('Lease Cycles'!$BG$16:$BM$16,1,CJ146),'Lease Cycles'!$AX$16&lt;=CJ$6),'Lease Cycles'!$C$16*'Lease Cycles'!$AY$16/12,IF(AND('Lease Cycles'!$AV$16&gt;=INDEX('Lease Cycles'!$BG$16:$BM$16,1,CJ146),'Lease Cycles'!$AV$16&lt;=CJ$6),'Lease Cycles'!$C$16*'Lease Cycles'!$AW$16/12,IF(AND('Lease Cycles'!$AT$16&gt;=INDEX('Lease Cycles'!$BG$16:$BM$16,1,CJ146),'Lease Cycles'!$AT$16&lt;=CJ$6),'Lease Cycles'!$C$16*'Lease Cycles'!$AU$16/12,'Lease Cycles'!$C$16*INDEX('Lease Cycles'!$CB$16:$CH$16,1,CJ146)*(1+INDEX('Lease Cycles'!$CI$16:$CO$16,1,CJ146))^INT(INT(CJ147/12)/INDEX('Lease Cycles'!$CP$16:$CV$16,1,CJ146))/12)))),'Lease Cycles'!$C$16*INDEX('Lease Cycles'!$CB$16:$CH$16,1,CJ146)*(1+INDEX('Lease Cycles'!$CI$16:$CO$16,1,CJ146))^INT(INT(CJ147/12)/INDEX('Lease Cycles'!$CP$16:$CV$16,1,CJ146))/12))),IF('Lease Cycles'!$N$16=1,'Lease Cycles'!$C$16*'Lease Cycles'!$E$16*INDEX('Lease Cycles'!$HE$16:$HK$16,1,CJ146)*(1+INDEX('Lease Cycles'!$GQ$16:$GW$16,1,CJ146))^INT(INT((CJ$6-INDEX('Lease Cycles'!$GJ$16:$GP$16,1,CJ146))/12)/INDEX('Lease Cycles'!$GX$16:$HD$16,1,CJ146))/12,0)))</f>
        <v>3912.5486364401145</v>
      </c>
      <c r="CK149" s="28">
        <f>IF(CK146=0,IF('Lease Cycles'!$F$16&gt;0,'Lease Cycles'!$C$16*'Lease Cycles'!$E$16/12,0),IF(CK148=1,IF('Lease Cycles'!$AT$16&gt;=9999,'Lease Cycles'!$C$16*INDEX('Lease Cycles'!$CB$16:$CH$16,1,CK146)*(1+INDEX('Lease Cycles'!$CI$16:$CO$16,1,CK146))^INT(INT(CK147/12)/INDEX('Lease Cycles'!$CP$16:$CV$16,1,CK146))/12,IF(CK146=1,IF(CK147&gt;=INDEX('Lease Cycles'!$DK$16:$DQ$16,1,CK146),IF(CK$6&gt;='Lease Cycles'!$AZ$16,'Lease Cycles'!$C$16*'Lease Cycles'!$BA$16/12,IF(CK$6&gt;='Lease Cycles'!$AX$16,'Lease Cycles'!$C$16*'Lease Cycles'!$AY$16/12,IF(CK$6&gt;='Lease Cycles'!$AV$16,'Lease Cycles'!$C$16*'Lease Cycles'!$AW$16/12,IF(CK$6&gt;='Lease Cycles'!$AT$16,'Lease Cycles'!$C$16*'Lease Cycles'!$AU$16/12,'Lease Cycles'!$C$16*INDEX('Lease Cycles'!$CB$16:$CH$16,1,CK146)*(1+INDEX('Lease Cycles'!$CI$16:$CO$16,1,CK146))^INT(INT(CK147/12)/INDEX('Lease Cycles'!$CP$16:$CV$16,1,CK146))/12)))),'Lease Cycles'!$C$16*INDEX('Lease Cycles'!$CB$16:$CH$16,1,CK146)*(1+INDEX('Lease Cycles'!$CI$16:$CO$16,1,CK146))^INT(INT(CK147/12)/INDEX('Lease Cycles'!$CP$16:$CV$16,1,CK146))/12),IF(INDEX('Lease Cycles'!$EF$16:$EL$16,1,CK146)=1,IF(AND('Lease Cycles'!$AZ$16&gt;=INDEX('Lease Cycles'!$BG$16:$BM$16,1,CK146),'Lease Cycles'!$AZ$16&lt;=CK$6),'Lease Cycles'!$C$16*'Lease Cycles'!$BA$16/12,IF(AND('Lease Cycles'!$AX$16&gt;=INDEX('Lease Cycles'!$BG$16:$BM$16,1,CK146),'Lease Cycles'!$AX$16&lt;=CK$6),'Lease Cycles'!$C$16*'Lease Cycles'!$AY$16/12,IF(AND('Lease Cycles'!$AV$16&gt;=INDEX('Lease Cycles'!$BG$16:$BM$16,1,CK146),'Lease Cycles'!$AV$16&lt;=CK$6),'Lease Cycles'!$C$16*'Lease Cycles'!$AW$16/12,IF(AND('Lease Cycles'!$AT$16&gt;=INDEX('Lease Cycles'!$BG$16:$BM$16,1,CK146),'Lease Cycles'!$AT$16&lt;=CK$6),'Lease Cycles'!$C$16*'Lease Cycles'!$AU$16/12,'Lease Cycles'!$C$16*INDEX('Lease Cycles'!$CB$16:$CH$16,1,CK146)*(1+INDEX('Lease Cycles'!$CI$16:$CO$16,1,CK146))^INT(INT(CK147/12)/INDEX('Lease Cycles'!$CP$16:$CV$16,1,CK146))/12)))),'Lease Cycles'!$C$16*INDEX('Lease Cycles'!$CB$16:$CH$16,1,CK146)*(1+INDEX('Lease Cycles'!$CI$16:$CO$16,1,CK146))^INT(INT(CK147/12)/INDEX('Lease Cycles'!$CP$16:$CV$16,1,CK146))/12))),IF('Lease Cycles'!$N$16=1,'Lease Cycles'!$C$16*'Lease Cycles'!$E$16*INDEX('Lease Cycles'!$HE$16:$HK$16,1,CK146)*(1+INDEX('Lease Cycles'!$GQ$16:$GW$16,1,CK146))^INT(INT((CK$6-INDEX('Lease Cycles'!$GJ$16:$GP$16,1,CK146))/12)/INDEX('Lease Cycles'!$GX$16:$HD$16,1,CK146))/12,0)))</f>
        <v>4029.9250955333177</v>
      </c>
      <c r="CL149" s="28">
        <f>IF(CL146=0,IF('Lease Cycles'!$F$16&gt;0,'Lease Cycles'!$C$16*'Lease Cycles'!$E$16/12,0),IF(CL148=1,IF('Lease Cycles'!$AT$16&gt;=9999,'Lease Cycles'!$C$16*INDEX('Lease Cycles'!$CB$16:$CH$16,1,CL146)*(1+INDEX('Lease Cycles'!$CI$16:$CO$16,1,CL146))^INT(INT(CL147/12)/INDEX('Lease Cycles'!$CP$16:$CV$16,1,CL146))/12,IF(CL146=1,IF(CL147&gt;=INDEX('Lease Cycles'!$DK$16:$DQ$16,1,CL146),IF(CL$6&gt;='Lease Cycles'!$AZ$16,'Lease Cycles'!$C$16*'Lease Cycles'!$BA$16/12,IF(CL$6&gt;='Lease Cycles'!$AX$16,'Lease Cycles'!$C$16*'Lease Cycles'!$AY$16/12,IF(CL$6&gt;='Lease Cycles'!$AV$16,'Lease Cycles'!$C$16*'Lease Cycles'!$AW$16/12,IF(CL$6&gt;='Lease Cycles'!$AT$16,'Lease Cycles'!$C$16*'Lease Cycles'!$AU$16/12,'Lease Cycles'!$C$16*INDEX('Lease Cycles'!$CB$16:$CH$16,1,CL146)*(1+INDEX('Lease Cycles'!$CI$16:$CO$16,1,CL146))^INT(INT(CL147/12)/INDEX('Lease Cycles'!$CP$16:$CV$16,1,CL146))/12)))),'Lease Cycles'!$C$16*INDEX('Lease Cycles'!$CB$16:$CH$16,1,CL146)*(1+INDEX('Lease Cycles'!$CI$16:$CO$16,1,CL146))^INT(INT(CL147/12)/INDEX('Lease Cycles'!$CP$16:$CV$16,1,CL146))/12),IF(INDEX('Lease Cycles'!$EF$16:$EL$16,1,CL146)=1,IF(AND('Lease Cycles'!$AZ$16&gt;=INDEX('Lease Cycles'!$BG$16:$BM$16,1,CL146),'Lease Cycles'!$AZ$16&lt;=CL$6),'Lease Cycles'!$C$16*'Lease Cycles'!$BA$16/12,IF(AND('Lease Cycles'!$AX$16&gt;=INDEX('Lease Cycles'!$BG$16:$BM$16,1,CL146),'Lease Cycles'!$AX$16&lt;=CL$6),'Lease Cycles'!$C$16*'Lease Cycles'!$AY$16/12,IF(AND('Lease Cycles'!$AV$16&gt;=INDEX('Lease Cycles'!$BG$16:$BM$16,1,CL146),'Lease Cycles'!$AV$16&lt;=CL$6),'Lease Cycles'!$C$16*'Lease Cycles'!$AW$16/12,IF(AND('Lease Cycles'!$AT$16&gt;=INDEX('Lease Cycles'!$BG$16:$BM$16,1,CL146),'Lease Cycles'!$AT$16&lt;=CL$6),'Lease Cycles'!$C$16*'Lease Cycles'!$AU$16/12,'Lease Cycles'!$C$16*INDEX('Lease Cycles'!$CB$16:$CH$16,1,CL146)*(1+INDEX('Lease Cycles'!$CI$16:$CO$16,1,CL146))^INT(INT(CL147/12)/INDEX('Lease Cycles'!$CP$16:$CV$16,1,CL146))/12)))),'Lease Cycles'!$C$16*INDEX('Lease Cycles'!$CB$16:$CH$16,1,CL146)*(1+INDEX('Lease Cycles'!$CI$16:$CO$16,1,CL146))^INT(INT(CL147/12)/INDEX('Lease Cycles'!$CP$16:$CV$16,1,CL146))/12))),IF('Lease Cycles'!$N$16=1,'Lease Cycles'!$C$16*'Lease Cycles'!$E$16*INDEX('Lease Cycles'!$HE$16:$HK$16,1,CL146)*(1+INDEX('Lease Cycles'!$GQ$16:$GW$16,1,CL146))^INT(INT((CL$6-INDEX('Lease Cycles'!$GJ$16:$GP$16,1,CL146))/12)/INDEX('Lease Cycles'!$GX$16:$HD$16,1,CL146))/12,0)))</f>
        <v>4029.9250955333177</v>
      </c>
      <c r="CM149" s="28">
        <f>IF(CM146=0,IF('Lease Cycles'!$F$16&gt;0,'Lease Cycles'!$C$16*'Lease Cycles'!$E$16/12,0),IF(CM148=1,IF('Lease Cycles'!$AT$16&gt;=9999,'Lease Cycles'!$C$16*INDEX('Lease Cycles'!$CB$16:$CH$16,1,CM146)*(1+INDEX('Lease Cycles'!$CI$16:$CO$16,1,CM146))^INT(INT(CM147/12)/INDEX('Lease Cycles'!$CP$16:$CV$16,1,CM146))/12,IF(CM146=1,IF(CM147&gt;=INDEX('Lease Cycles'!$DK$16:$DQ$16,1,CM146),IF(CM$6&gt;='Lease Cycles'!$AZ$16,'Lease Cycles'!$C$16*'Lease Cycles'!$BA$16/12,IF(CM$6&gt;='Lease Cycles'!$AX$16,'Lease Cycles'!$C$16*'Lease Cycles'!$AY$16/12,IF(CM$6&gt;='Lease Cycles'!$AV$16,'Lease Cycles'!$C$16*'Lease Cycles'!$AW$16/12,IF(CM$6&gt;='Lease Cycles'!$AT$16,'Lease Cycles'!$C$16*'Lease Cycles'!$AU$16/12,'Lease Cycles'!$C$16*INDEX('Lease Cycles'!$CB$16:$CH$16,1,CM146)*(1+INDEX('Lease Cycles'!$CI$16:$CO$16,1,CM146))^INT(INT(CM147/12)/INDEX('Lease Cycles'!$CP$16:$CV$16,1,CM146))/12)))),'Lease Cycles'!$C$16*INDEX('Lease Cycles'!$CB$16:$CH$16,1,CM146)*(1+INDEX('Lease Cycles'!$CI$16:$CO$16,1,CM146))^INT(INT(CM147/12)/INDEX('Lease Cycles'!$CP$16:$CV$16,1,CM146))/12),IF(INDEX('Lease Cycles'!$EF$16:$EL$16,1,CM146)=1,IF(AND('Lease Cycles'!$AZ$16&gt;=INDEX('Lease Cycles'!$BG$16:$BM$16,1,CM146),'Lease Cycles'!$AZ$16&lt;=CM$6),'Lease Cycles'!$C$16*'Lease Cycles'!$BA$16/12,IF(AND('Lease Cycles'!$AX$16&gt;=INDEX('Lease Cycles'!$BG$16:$BM$16,1,CM146),'Lease Cycles'!$AX$16&lt;=CM$6),'Lease Cycles'!$C$16*'Lease Cycles'!$AY$16/12,IF(AND('Lease Cycles'!$AV$16&gt;=INDEX('Lease Cycles'!$BG$16:$BM$16,1,CM146),'Lease Cycles'!$AV$16&lt;=CM$6),'Lease Cycles'!$C$16*'Lease Cycles'!$AW$16/12,IF(AND('Lease Cycles'!$AT$16&gt;=INDEX('Lease Cycles'!$BG$16:$BM$16,1,CM146),'Lease Cycles'!$AT$16&lt;=CM$6),'Lease Cycles'!$C$16*'Lease Cycles'!$AU$16/12,'Lease Cycles'!$C$16*INDEX('Lease Cycles'!$CB$16:$CH$16,1,CM146)*(1+INDEX('Lease Cycles'!$CI$16:$CO$16,1,CM146))^INT(INT(CM147/12)/INDEX('Lease Cycles'!$CP$16:$CV$16,1,CM146))/12)))),'Lease Cycles'!$C$16*INDEX('Lease Cycles'!$CB$16:$CH$16,1,CM146)*(1+INDEX('Lease Cycles'!$CI$16:$CO$16,1,CM146))^INT(INT(CM147/12)/INDEX('Lease Cycles'!$CP$16:$CV$16,1,CM146))/12))),IF('Lease Cycles'!$N$16=1,'Lease Cycles'!$C$16*'Lease Cycles'!$E$16*INDEX('Lease Cycles'!$HE$16:$HK$16,1,CM146)*(1+INDEX('Lease Cycles'!$GQ$16:$GW$16,1,CM146))^INT(INT((CM$6-INDEX('Lease Cycles'!$GJ$16:$GP$16,1,CM146))/12)/INDEX('Lease Cycles'!$GX$16:$HD$16,1,CM146))/12,0)))</f>
        <v>4029.9250955333177</v>
      </c>
      <c r="CN149" s="28">
        <f>IF(CN146=0,IF('Lease Cycles'!$F$16&gt;0,'Lease Cycles'!$C$16*'Lease Cycles'!$E$16/12,0),IF(CN148=1,IF('Lease Cycles'!$AT$16&gt;=9999,'Lease Cycles'!$C$16*INDEX('Lease Cycles'!$CB$16:$CH$16,1,CN146)*(1+INDEX('Lease Cycles'!$CI$16:$CO$16,1,CN146))^INT(INT(CN147/12)/INDEX('Lease Cycles'!$CP$16:$CV$16,1,CN146))/12,IF(CN146=1,IF(CN147&gt;=INDEX('Lease Cycles'!$DK$16:$DQ$16,1,CN146),IF(CN$6&gt;='Lease Cycles'!$AZ$16,'Lease Cycles'!$C$16*'Lease Cycles'!$BA$16/12,IF(CN$6&gt;='Lease Cycles'!$AX$16,'Lease Cycles'!$C$16*'Lease Cycles'!$AY$16/12,IF(CN$6&gt;='Lease Cycles'!$AV$16,'Lease Cycles'!$C$16*'Lease Cycles'!$AW$16/12,IF(CN$6&gt;='Lease Cycles'!$AT$16,'Lease Cycles'!$C$16*'Lease Cycles'!$AU$16/12,'Lease Cycles'!$C$16*INDEX('Lease Cycles'!$CB$16:$CH$16,1,CN146)*(1+INDEX('Lease Cycles'!$CI$16:$CO$16,1,CN146))^INT(INT(CN147/12)/INDEX('Lease Cycles'!$CP$16:$CV$16,1,CN146))/12)))),'Lease Cycles'!$C$16*INDEX('Lease Cycles'!$CB$16:$CH$16,1,CN146)*(1+INDEX('Lease Cycles'!$CI$16:$CO$16,1,CN146))^INT(INT(CN147/12)/INDEX('Lease Cycles'!$CP$16:$CV$16,1,CN146))/12),IF(INDEX('Lease Cycles'!$EF$16:$EL$16,1,CN146)=1,IF(AND('Lease Cycles'!$AZ$16&gt;=INDEX('Lease Cycles'!$BG$16:$BM$16,1,CN146),'Lease Cycles'!$AZ$16&lt;=CN$6),'Lease Cycles'!$C$16*'Lease Cycles'!$BA$16/12,IF(AND('Lease Cycles'!$AX$16&gt;=INDEX('Lease Cycles'!$BG$16:$BM$16,1,CN146),'Lease Cycles'!$AX$16&lt;=CN$6),'Lease Cycles'!$C$16*'Lease Cycles'!$AY$16/12,IF(AND('Lease Cycles'!$AV$16&gt;=INDEX('Lease Cycles'!$BG$16:$BM$16,1,CN146),'Lease Cycles'!$AV$16&lt;=CN$6),'Lease Cycles'!$C$16*'Lease Cycles'!$AW$16/12,IF(AND('Lease Cycles'!$AT$16&gt;=INDEX('Lease Cycles'!$BG$16:$BM$16,1,CN146),'Lease Cycles'!$AT$16&lt;=CN$6),'Lease Cycles'!$C$16*'Lease Cycles'!$AU$16/12,'Lease Cycles'!$C$16*INDEX('Lease Cycles'!$CB$16:$CH$16,1,CN146)*(1+INDEX('Lease Cycles'!$CI$16:$CO$16,1,CN146))^INT(INT(CN147/12)/INDEX('Lease Cycles'!$CP$16:$CV$16,1,CN146))/12)))),'Lease Cycles'!$C$16*INDEX('Lease Cycles'!$CB$16:$CH$16,1,CN146)*(1+INDEX('Lease Cycles'!$CI$16:$CO$16,1,CN146))^INT(INT(CN147/12)/INDEX('Lease Cycles'!$CP$16:$CV$16,1,CN146))/12))),IF('Lease Cycles'!$N$16=1,'Lease Cycles'!$C$16*'Lease Cycles'!$E$16*INDEX('Lease Cycles'!$HE$16:$HK$16,1,CN146)*(1+INDEX('Lease Cycles'!$GQ$16:$GW$16,1,CN146))^INT(INT((CN$6-INDEX('Lease Cycles'!$GJ$16:$GP$16,1,CN146))/12)/INDEX('Lease Cycles'!$GX$16:$HD$16,1,CN146))/12,0)))</f>
        <v>4029.9250955333177</v>
      </c>
      <c r="CO149" s="28">
        <f>IF(CO146=0,IF('Lease Cycles'!$F$16&gt;0,'Lease Cycles'!$C$16*'Lease Cycles'!$E$16/12,0),IF(CO148=1,IF('Lease Cycles'!$AT$16&gt;=9999,'Lease Cycles'!$C$16*INDEX('Lease Cycles'!$CB$16:$CH$16,1,CO146)*(1+INDEX('Lease Cycles'!$CI$16:$CO$16,1,CO146))^INT(INT(CO147/12)/INDEX('Lease Cycles'!$CP$16:$CV$16,1,CO146))/12,IF(CO146=1,IF(CO147&gt;=INDEX('Lease Cycles'!$DK$16:$DQ$16,1,CO146),IF(CO$6&gt;='Lease Cycles'!$AZ$16,'Lease Cycles'!$C$16*'Lease Cycles'!$BA$16/12,IF(CO$6&gt;='Lease Cycles'!$AX$16,'Lease Cycles'!$C$16*'Lease Cycles'!$AY$16/12,IF(CO$6&gt;='Lease Cycles'!$AV$16,'Lease Cycles'!$C$16*'Lease Cycles'!$AW$16/12,IF(CO$6&gt;='Lease Cycles'!$AT$16,'Lease Cycles'!$C$16*'Lease Cycles'!$AU$16/12,'Lease Cycles'!$C$16*INDEX('Lease Cycles'!$CB$16:$CH$16,1,CO146)*(1+INDEX('Lease Cycles'!$CI$16:$CO$16,1,CO146))^INT(INT(CO147/12)/INDEX('Lease Cycles'!$CP$16:$CV$16,1,CO146))/12)))),'Lease Cycles'!$C$16*INDEX('Lease Cycles'!$CB$16:$CH$16,1,CO146)*(1+INDEX('Lease Cycles'!$CI$16:$CO$16,1,CO146))^INT(INT(CO147/12)/INDEX('Lease Cycles'!$CP$16:$CV$16,1,CO146))/12),IF(INDEX('Lease Cycles'!$EF$16:$EL$16,1,CO146)=1,IF(AND('Lease Cycles'!$AZ$16&gt;=INDEX('Lease Cycles'!$BG$16:$BM$16,1,CO146),'Lease Cycles'!$AZ$16&lt;=CO$6),'Lease Cycles'!$C$16*'Lease Cycles'!$BA$16/12,IF(AND('Lease Cycles'!$AX$16&gt;=INDEX('Lease Cycles'!$BG$16:$BM$16,1,CO146),'Lease Cycles'!$AX$16&lt;=CO$6),'Lease Cycles'!$C$16*'Lease Cycles'!$AY$16/12,IF(AND('Lease Cycles'!$AV$16&gt;=INDEX('Lease Cycles'!$BG$16:$BM$16,1,CO146),'Lease Cycles'!$AV$16&lt;=CO$6),'Lease Cycles'!$C$16*'Lease Cycles'!$AW$16/12,IF(AND('Lease Cycles'!$AT$16&gt;=INDEX('Lease Cycles'!$BG$16:$BM$16,1,CO146),'Lease Cycles'!$AT$16&lt;=CO$6),'Lease Cycles'!$C$16*'Lease Cycles'!$AU$16/12,'Lease Cycles'!$C$16*INDEX('Lease Cycles'!$CB$16:$CH$16,1,CO146)*(1+INDEX('Lease Cycles'!$CI$16:$CO$16,1,CO146))^INT(INT(CO147/12)/INDEX('Lease Cycles'!$CP$16:$CV$16,1,CO146))/12)))),'Lease Cycles'!$C$16*INDEX('Lease Cycles'!$CB$16:$CH$16,1,CO146)*(1+INDEX('Lease Cycles'!$CI$16:$CO$16,1,CO146))^INT(INT(CO147/12)/INDEX('Lease Cycles'!$CP$16:$CV$16,1,CO146))/12))),IF('Lease Cycles'!$N$16=1,'Lease Cycles'!$C$16*'Lease Cycles'!$E$16*INDEX('Lease Cycles'!$HE$16:$HK$16,1,CO146)*(1+INDEX('Lease Cycles'!$GQ$16:$GW$16,1,CO146))^INT(INT((CO$6-INDEX('Lease Cycles'!$GJ$16:$GP$16,1,CO146))/12)/INDEX('Lease Cycles'!$GX$16:$HD$16,1,CO146))/12,0)))</f>
        <v>4029.9250955333177</v>
      </c>
      <c r="CP149" s="28">
        <f>IF(CP146=0,IF('Lease Cycles'!$F$16&gt;0,'Lease Cycles'!$C$16*'Lease Cycles'!$E$16/12,0),IF(CP148=1,IF('Lease Cycles'!$AT$16&gt;=9999,'Lease Cycles'!$C$16*INDEX('Lease Cycles'!$CB$16:$CH$16,1,CP146)*(1+INDEX('Lease Cycles'!$CI$16:$CO$16,1,CP146))^INT(INT(CP147/12)/INDEX('Lease Cycles'!$CP$16:$CV$16,1,CP146))/12,IF(CP146=1,IF(CP147&gt;=INDEX('Lease Cycles'!$DK$16:$DQ$16,1,CP146),IF(CP$6&gt;='Lease Cycles'!$AZ$16,'Lease Cycles'!$C$16*'Lease Cycles'!$BA$16/12,IF(CP$6&gt;='Lease Cycles'!$AX$16,'Lease Cycles'!$C$16*'Lease Cycles'!$AY$16/12,IF(CP$6&gt;='Lease Cycles'!$AV$16,'Lease Cycles'!$C$16*'Lease Cycles'!$AW$16/12,IF(CP$6&gt;='Lease Cycles'!$AT$16,'Lease Cycles'!$C$16*'Lease Cycles'!$AU$16/12,'Lease Cycles'!$C$16*INDEX('Lease Cycles'!$CB$16:$CH$16,1,CP146)*(1+INDEX('Lease Cycles'!$CI$16:$CO$16,1,CP146))^INT(INT(CP147/12)/INDEX('Lease Cycles'!$CP$16:$CV$16,1,CP146))/12)))),'Lease Cycles'!$C$16*INDEX('Lease Cycles'!$CB$16:$CH$16,1,CP146)*(1+INDEX('Lease Cycles'!$CI$16:$CO$16,1,CP146))^INT(INT(CP147/12)/INDEX('Lease Cycles'!$CP$16:$CV$16,1,CP146))/12),IF(INDEX('Lease Cycles'!$EF$16:$EL$16,1,CP146)=1,IF(AND('Lease Cycles'!$AZ$16&gt;=INDEX('Lease Cycles'!$BG$16:$BM$16,1,CP146),'Lease Cycles'!$AZ$16&lt;=CP$6),'Lease Cycles'!$C$16*'Lease Cycles'!$BA$16/12,IF(AND('Lease Cycles'!$AX$16&gt;=INDEX('Lease Cycles'!$BG$16:$BM$16,1,CP146),'Lease Cycles'!$AX$16&lt;=CP$6),'Lease Cycles'!$C$16*'Lease Cycles'!$AY$16/12,IF(AND('Lease Cycles'!$AV$16&gt;=INDEX('Lease Cycles'!$BG$16:$BM$16,1,CP146),'Lease Cycles'!$AV$16&lt;=CP$6),'Lease Cycles'!$C$16*'Lease Cycles'!$AW$16/12,IF(AND('Lease Cycles'!$AT$16&gt;=INDEX('Lease Cycles'!$BG$16:$BM$16,1,CP146),'Lease Cycles'!$AT$16&lt;=CP$6),'Lease Cycles'!$C$16*'Lease Cycles'!$AU$16/12,'Lease Cycles'!$C$16*INDEX('Lease Cycles'!$CB$16:$CH$16,1,CP146)*(1+INDEX('Lease Cycles'!$CI$16:$CO$16,1,CP146))^INT(INT(CP147/12)/INDEX('Lease Cycles'!$CP$16:$CV$16,1,CP146))/12)))),'Lease Cycles'!$C$16*INDEX('Lease Cycles'!$CB$16:$CH$16,1,CP146)*(1+INDEX('Lease Cycles'!$CI$16:$CO$16,1,CP146))^INT(INT(CP147/12)/INDEX('Lease Cycles'!$CP$16:$CV$16,1,CP146))/12))),IF('Lease Cycles'!$N$16=1,'Lease Cycles'!$C$16*'Lease Cycles'!$E$16*INDEX('Lease Cycles'!$HE$16:$HK$16,1,CP146)*(1+INDEX('Lease Cycles'!$GQ$16:$GW$16,1,CP146))^INT(INT((CP$6-INDEX('Lease Cycles'!$GJ$16:$GP$16,1,CP146))/12)/INDEX('Lease Cycles'!$GX$16:$HD$16,1,CP146))/12,0)))</f>
        <v>4029.9250955333177</v>
      </c>
      <c r="CQ149" s="28">
        <f>IF(CQ146=0,IF('Lease Cycles'!$F$16&gt;0,'Lease Cycles'!$C$16*'Lease Cycles'!$E$16/12,0),IF(CQ148=1,IF('Lease Cycles'!$AT$16&gt;=9999,'Lease Cycles'!$C$16*INDEX('Lease Cycles'!$CB$16:$CH$16,1,CQ146)*(1+INDEX('Lease Cycles'!$CI$16:$CO$16,1,CQ146))^INT(INT(CQ147/12)/INDEX('Lease Cycles'!$CP$16:$CV$16,1,CQ146))/12,IF(CQ146=1,IF(CQ147&gt;=INDEX('Lease Cycles'!$DK$16:$DQ$16,1,CQ146),IF(CQ$6&gt;='Lease Cycles'!$AZ$16,'Lease Cycles'!$C$16*'Lease Cycles'!$BA$16/12,IF(CQ$6&gt;='Lease Cycles'!$AX$16,'Lease Cycles'!$C$16*'Lease Cycles'!$AY$16/12,IF(CQ$6&gt;='Lease Cycles'!$AV$16,'Lease Cycles'!$C$16*'Lease Cycles'!$AW$16/12,IF(CQ$6&gt;='Lease Cycles'!$AT$16,'Lease Cycles'!$C$16*'Lease Cycles'!$AU$16/12,'Lease Cycles'!$C$16*INDEX('Lease Cycles'!$CB$16:$CH$16,1,CQ146)*(1+INDEX('Lease Cycles'!$CI$16:$CO$16,1,CQ146))^INT(INT(CQ147/12)/INDEX('Lease Cycles'!$CP$16:$CV$16,1,CQ146))/12)))),'Lease Cycles'!$C$16*INDEX('Lease Cycles'!$CB$16:$CH$16,1,CQ146)*(1+INDEX('Lease Cycles'!$CI$16:$CO$16,1,CQ146))^INT(INT(CQ147/12)/INDEX('Lease Cycles'!$CP$16:$CV$16,1,CQ146))/12),IF(INDEX('Lease Cycles'!$EF$16:$EL$16,1,CQ146)=1,IF(AND('Lease Cycles'!$AZ$16&gt;=INDEX('Lease Cycles'!$BG$16:$BM$16,1,CQ146),'Lease Cycles'!$AZ$16&lt;=CQ$6),'Lease Cycles'!$C$16*'Lease Cycles'!$BA$16/12,IF(AND('Lease Cycles'!$AX$16&gt;=INDEX('Lease Cycles'!$BG$16:$BM$16,1,CQ146),'Lease Cycles'!$AX$16&lt;=CQ$6),'Lease Cycles'!$C$16*'Lease Cycles'!$AY$16/12,IF(AND('Lease Cycles'!$AV$16&gt;=INDEX('Lease Cycles'!$BG$16:$BM$16,1,CQ146),'Lease Cycles'!$AV$16&lt;=CQ$6),'Lease Cycles'!$C$16*'Lease Cycles'!$AW$16/12,IF(AND('Lease Cycles'!$AT$16&gt;=INDEX('Lease Cycles'!$BG$16:$BM$16,1,CQ146),'Lease Cycles'!$AT$16&lt;=CQ$6),'Lease Cycles'!$C$16*'Lease Cycles'!$AU$16/12,'Lease Cycles'!$C$16*INDEX('Lease Cycles'!$CB$16:$CH$16,1,CQ146)*(1+INDEX('Lease Cycles'!$CI$16:$CO$16,1,CQ146))^INT(INT(CQ147/12)/INDEX('Lease Cycles'!$CP$16:$CV$16,1,CQ146))/12)))),'Lease Cycles'!$C$16*INDEX('Lease Cycles'!$CB$16:$CH$16,1,CQ146)*(1+INDEX('Lease Cycles'!$CI$16:$CO$16,1,CQ146))^INT(INT(CQ147/12)/INDEX('Lease Cycles'!$CP$16:$CV$16,1,CQ146))/12))),IF('Lease Cycles'!$N$16=1,'Lease Cycles'!$C$16*'Lease Cycles'!$E$16*INDEX('Lease Cycles'!$HE$16:$HK$16,1,CQ146)*(1+INDEX('Lease Cycles'!$GQ$16:$GW$16,1,CQ146))^INT(INT((CQ$6-INDEX('Lease Cycles'!$GJ$16:$GP$16,1,CQ146))/12)/INDEX('Lease Cycles'!$GX$16:$HD$16,1,CQ146))/12,0)))</f>
        <v>4029.9250955333177</v>
      </c>
      <c r="CR149" s="28">
        <f>IF(CR146=0,IF('Lease Cycles'!$F$16&gt;0,'Lease Cycles'!$C$16*'Lease Cycles'!$E$16/12,0),IF(CR148=1,IF('Lease Cycles'!$AT$16&gt;=9999,'Lease Cycles'!$C$16*INDEX('Lease Cycles'!$CB$16:$CH$16,1,CR146)*(1+INDEX('Lease Cycles'!$CI$16:$CO$16,1,CR146))^INT(INT(CR147/12)/INDEX('Lease Cycles'!$CP$16:$CV$16,1,CR146))/12,IF(CR146=1,IF(CR147&gt;=INDEX('Lease Cycles'!$DK$16:$DQ$16,1,CR146),IF(CR$6&gt;='Lease Cycles'!$AZ$16,'Lease Cycles'!$C$16*'Lease Cycles'!$BA$16/12,IF(CR$6&gt;='Lease Cycles'!$AX$16,'Lease Cycles'!$C$16*'Lease Cycles'!$AY$16/12,IF(CR$6&gt;='Lease Cycles'!$AV$16,'Lease Cycles'!$C$16*'Lease Cycles'!$AW$16/12,IF(CR$6&gt;='Lease Cycles'!$AT$16,'Lease Cycles'!$C$16*'Lease Cycles'!$AU$16/12,'Lease Cycles'!$C$16*INDEX('Lease Cycles'!$CB$16:$CH$16,1,CR146)*(1+INDEX('Lease Cycles'!$CI$16:$CO$16,1,CR146))^INT(INT(CR147/12)/INDEX('Lease Cycles'!$CP$16:$CV$16,1,CR146))/12)))),'Lease Cycles'!$C$16*INDEX('Lease Cycles'!$CB$16:$CH$16,1,CR146)*(1+INDEX('Lease Cycles'!$CI$16:$CO$16,1,CR146))^INT(INT(CR147/12)/INDEX('Lease Cycles'!$CP$16:$CV$16,1,CR146))/12),IF(INDEX('Lease Cycles'!$EF$16:$EL$16,1,CR146)=1,IF(AND('Lease Cycles'!$AZ$16&gt;=INDEX('Lease Cycles'!$BG$16:$BM$16,1,CR146),'Lease Cycles'!$AZ$16&lt;=CR$6),'Lease Cycles'!$C$16*'Lease Cycles'!$BA$16/12,IF(AND('Lease Cycles'!$AX$16&gt;=INDEX('Lease Cycles'!$BG$16:$BM$16,1,CR146),'Lease Cycles'!$AX$16&lt;=CR$6),'Lease Cycles'!$C$16*'Lease Cycles'!$AY$16/12,IF(AND('Lease Cycles'!$AV$16&gt;=INDEX('Lease Cycles'!$BG$16:$BM$16,1,CR146),'Lease Cycles'!$AV$16&lt;=CR$6),'Lease Cycles'!$C$16*'Lease Cycles'!$AW$16/12,IF(AND('Lease Cycles'!$AT$16&gt;=INDEX('Lease Cycles'!$BG$16:$BM$16,1,CR146),'Lease Cycles'!$AT$16&lt;=CR$6),'Lease Cycles'!$C$16*'Lease Cycles'!$AU$16/12,'Lease Cycles'!$C$16*INDEX('Lease Cycles'!$CB$16:$CH$16,1,CR146)*(1+INDEX('Lease Cycles'!$CI$16:$CO$16,1,CR146))^INT(INT(CR147/12)/INDEX('Lease Cycles'!$CP$16:$CV$16,1,CR146))/12)))),'Lease Cycles'!$C$16*INDEX('Lease Cycles'!$CB$16:$CH$16,1,CR146)*(1+INDEX('Lease Cycles'!$CI$16:$CO$16,1,CR146))^INT(INT(CR147/12)/INDEX('Lease Cycles'!$CP$16:$CV$16,1,CR146))/12))),IF('Lease Cycles'!$N$16=1,'Lease Cycles'!$C$16*'Lease Cycles'!$E$16*INDEX('Lease Cycles'!$HE$16:$HK$16,1,CR146)*(1+INDEX('Lease Cycles'!$GQ$16:$GW$16,1,CR146))^INT(INT((CR$6-INDEX('Lease Cycles'!$GJ$16:$GP$16,1,CR146))/12)/INDEX('Lease Cycles'!$GX$16:$HD$16,1,CR146))/12,0)))</f>
        <v>4029.9250955333177</v>
      </c>
      <c r="CS149" s="28">
        <f>IF(CS146=0,IF('Lease Cycles'!$F$16&gt;0,'Lease Cycles'!$C$16*'Lease Cycles'!$E$16/12,0),IF(CS148=1,IF('Lease Cycles'!$AT$16&gt;=9999,'Lease Cycles'!$C$16*INDEX('Lease Cycles'!$CB$16:$CH$16,1,CS146)*(1+INDEX('Lease Cycles'!$CI$16:$CO$16,1,CS146))^INT(INT(CS147/12)/INDEX('Lease Cycles'!$CP$16:$CV$16,1,CS146))/12,IF(CS146=1,IF(CS147&gt;=INDEX('Lease Cycles'!$DK$16:$DQ$16,1,CS146),IF(CS$6&gt;='Lease Cycles'!$AZ$16,'Lease Cycles'!$C$16*'Lease Cycles'!$BA$16/12,IF(CS$6&gt;='Lease Cycles'!$AX$16,'Lease Cycles'!$C$16*'Lease Cycles'!$AY$16/12,IF(CS$6&gt;='Lease Cycles'!$AV$16,'Lease Cycles'!$C$16*'Lease Cycles'!$AW$16/12,IF(CS$6&gt;='Lease Cycles'!$AT$16,'Lease Cycles'!$C$16*'Lease Cycles'!$AU$16/12,'Lease Cycles'!$C$16*INDEX('Lease Cycles'!$CB$16:$CH$16,1,CS146)*(1+INDEX('Lease Cycles'!$CI$16:$CO$16,1,CS146))^INT(INT(CS147/12)/INDEX('Lease Cycles'!$CP$16:$CV$16,1,CS146))/12)))),'Lease Cycles'!$C$16*INDEX('Lease Cycles'!$CB$16:$CH$16,1,CS146)*(1+INDEX('Lease Cycles'!$CI$16:$CO$16,1,CS146))^INT(INT(CS147/12)/INDEX('Lease Cycles'!$CP$16:$CV$16,1,CS146))/12),IF(INDEX('Lease Cycles'!$EF$16:$EL$16,1,CS146)=1,IF(AND('Lease Cycles'!$AZ$16&gt;=INDEX('Lease Cycles'!$BG$16:$BM$16,1,CS146),'Lease Cycles'!$AZ$16&lt;=CS$6),'Lease Cycles'!$C$16*'Lease Cycles'!$BA$16/12,IF(AND('Lease Cycles'!$AX$16&gt;=INDEX('Lease Cycles'!$BG$16:$BM$16,1,CS146),'Lease Cycles'!$AX$16&lt;=CS$6),'Lease Cycles'!$C$16*'Lease Cycles'!$AY$16/12,IF(AND('Lease Cycles'!$AV$16&gt;=INDEX('Lease Cycles'!$BG$16:$BM$16,1,CS146),'Lease Cycles'!$AV$16&lt;=CS$6),'Lease Cycles'!$C$16*'Lease Cycles'!$AW$16/12,IF(AND('Lease Cycles'!$AT$16&gt;=INDEX('Lease Cycles'!$BG$16:$BM$16,1,CS146),'Lease Cycles'!$AT$16&lt;=CS$6),'Lease Cycles'!$C$16*'Lease Cycles'!$AU$16/12,'Lease Cycles'!$C$16*INDEX('Lease Cycles'!$CB$16:$CH$16,1,CS146)*(1+INDEX('Lease Cycles'!$CI$16:$CO$16,1,CS146))^INT(INT(CS147/12)/INDEX('Lease Cycles'!$CP$16:$CV$16,1,CS146))/12)))),'Lease Cycles'!$C$16*INDEX('Lease Cycles'!$CB$16:$CH$16,1,CS146)*(1+INDEX('Lease Cycles'!$CI$16:$CO$16,1,CS146))^INT(INT(CS147/12)/INDEX('Lease Cycles'!$CP$16:$CV$16,1,CS146))/12))),IF('Lease Cycles'!$N$16=1,'Lease Cycles'!$C$16*'Lease Cycles'!$E$16*INDEX('Lease Cycles'!$HE$16:$HK$16,1,CS146)*(1+INDEX('Lease Cycles'!$GQ$16:$GW$16,1,CS146))^INT(INT((CS$6-INDEX('Lease Cycles'!$GJ$16:$GP$16,1,CS146))/12)/INDEX('Lease Cycles'!$GX$16:$HD$16,1,CS146))/12,0)))</f>
        <v>4029.9250955333177</v>
      </c>
      <c r="CT149" s="28">
        <f>IF(CT146=0,IF('Lease Cycles'!$F$16&gt;0,'Lease Cycles'!$C$16*'Lease Cycles'!$E$16/12,0),IF(CT148=1,IF('Lease Cycles'!$AT$16&gt;=9999,'Lease Cycles'!$C$16*INDEX('Lease Cycles'!$CB$16:$CH$16,1,CT146)*(1+INDEX('Lease Cycles'!$CI$16:$CO$16,1,CT146))^INT(INT(CT147/12)/INDEX('Lease Cycles'!$CP$16:$CV$16,1,CT146))/12,IF(CT146=1,IF(CT147&gt;=INDEX('Lease Cycles'!$DK$16:$DQ$16,1,CT146),IF(CT$6&gt;='Lease Cycles'!$AZ$16,'Lease Cycles'!$C$16*'Lease Cycles'!$BA$16/12,IF(CT$6&gt;='Lease Cycles'!$AX$16,'Lease Cycles'!$C$16*'Lease Cycles'!$AY$16/12,IF(CT$6&gt;='Lease Cycles'!$AV$16,'Lease Cycles'!$C$16*'Lease Cycles'!$AW$16/12,IF(CT$6&gt;='Lease Cycles'!$AT$16,'Lease Cycles'!$C$16*'Lease Cycles'!$AU$16/12,'Lease Cycles'!$C$16*INDEX('Lease Cycles'!$CB$16:$CH$16,1,CT146)*(1+INDEX('Lease Cycles'!$CI$16:$CO$16,1,CT146))^INT(INT(CT147/12)/INDEX('Lease Cycles'!$CP$16:$CV$16,1,CT146))/12)))),'Lease Cycles'!$C$16*INDEX('Lease Cycles'!$CB$16:$CH$16,1,CT146)*(1+INDEX('Lease Cycles'!$CI$16:$CO$16,1,CT146))^INT(INT(CT147/12)/INDEX('Lease Cycles'!$CP$16:$CV$16,1,CT146))/12),IF(INDEX('Lease Cycles'!$EF$16:$EL$16,1,CT146)=1,IF(AND('Lease Cycles'!$AZ$16&gt;=INDEX('Lease Cycles'!$BG$16:$BM$16,1,CT146),'Lease Cycles'!$AZ$16&lt;=CT$6),'Lease Cycles'!$C$16*'Lease Cycles'!$BA$16/12,IF(AND('Lease Cycles'!$AX$16&gt;=INDEX('Lease Cycles'!$BG$16:$BM$16,1,CT146),'Lease Cycles'!$AX$16&lt;=CT$6),'Lease Cycles'!$C$16*'Lease Cycles'!$AY$16/12,IF(AND('Lease Cycles'!$AV$16&gt;=INDEX('Lease Cycles'!$BG$16:$BM$16,1,CT146),'Lease Cycles'!$AV$16&lt;=CT$6),'Lease Cycles'!$C$16*'Lease Cycles'!$AW$16/12,IF(AND('Lease Cycles'!$AT$16&gt;=INDEX('Lease Cycles'!$BG$16:$BM$16,1,CT146),'Lease Cycles'!$AT$16&lt;=CT$6),'Lease Cycles'!$C$16*'Lease Cycles'!$AU$16/12,'Lease Cycles'!$C$16*INDEX('Lease Cycles'!$CB$16:$CH$16,1,CT146)*(1+INDEX('Lease Cycles'!$CI$16:$CO$16,1,CT146))^INT(INT(CT147/12)/INDEX('Lease Cycles'!$CP$16:$CV$16,1,CT146))/12)))),'Lease Cycles'!$C$16*INDEX('Lease Cycles'!$CB$16:$CH$16,1,CT146)*(1+INDEX('Lease Cycles'!$CI$16:$CO$16,1,CT146))^INT(INT(CT147/12)/INDEX('Lease Cycles'!$CP$16:$CV$16,1,CT146))/12))),IF('Lease Cycles'!$N$16=1,'Lease Cycles'!$C$16*'Lease Cycles'!$E$16*INDEX('Lease Cycles'!$HE$16:$HK$16,1,CT146)*(1+INDEX('Lease Cycles'!$GQ$16:$GW$16,1,CT146))^INT(INT((CT$6-INDEX('Lease Cycles'!$GJ$16:$GP$16,1,CT146))/12)/INDEX('Lease Cycles'!$GX$16:$HD$16,1,CT146))/12,0)))</f>
        <v>4029.9250955333177</v>
      </c>
      <c r="CU149" s="28">
        <f>IF(CU146=0,IF('Lease Cycles'!$F$16&gt;0,'Lease Cycles'!$C$16*'Lease Cycles'!$E$16/12,0),IF(CU148=1,IF('Lease Cycles'!$AT$16&gt;=9999,'Lease Cycles'!$C$16*INDEX('Lease Cycles'!$CB$16:$CH$16,1,CU146)*(1+INDEX('Lease Cycles'!$CI$16:$CO$16,1,CU146))^INT(INT(CU147/12)/INDEX('Lease Cycles'!$CP$16:$CV$16,1,CU146))/12,IF(CU146=1,IF(CU147&gt;=INDEX('Lease Cycles'!$DK$16:$DQ$16,1,CU146),IF(CU$6&gt;='Lease Cycles'!$AZ$16,'Lease Cycles'!$C$16*'Lease Cycles'!$BA$16/12,IF(CU$6&gt;='Lease Cycles'!$AX$16,'Lease Cycles'!$C$16*'Lease Cycles'!$AY$16/12,IF(CU$6&gt;='Lease Cycles'!$AV$16,'Lease Cycles'!$C$16*'Lease Cycles'!$AW$16/12,IF(CU$6&gt;='Lease Cycles'!$AT$16,'Lease Cycles'!$C$16*'Lease Cycles'!$AU$16/12,'Lease Cycles'!$C$16*INDEX('Lease Cycles'!$CB$16:$CH$16,1,CU146)*(1+INDEX('Lease Cycles'!$CI$16:$CO$16,1,CU146))^INT(INT(CU147/12)/INDEX('Lease Cycles'!$CP$16:$CV$16,1,CU146))/12)))),'Lease Cycles'!$C$16*INDEX('Lease Cycles'!$CB$16:$CH$16,1,CU146)*(1+INDEX('Lease Cycles'!$CI$16:$CO$16,1,CU146))^INT(INT(CU147/12)/INDEX('Lease Cycles'!$CP$16:$CV$16,1,CU146))/12),IF(INDEX('Lease Cycles'!$EF$16:$EL$16,1,CU146)=1,IF(AND('Lease Cycles'!$AZ$16&gt;=INDEX('Lease Cycles'!$BG$16:$BM$16,1,CU146),'Lease Cycles'!$AZ$16&lt;=CU$6),'Lease Cycles'!$C$16*'Lease Cycles'!$BA$16/12,IF(AND('Lease Cycles'!$AX$16&gt;=INDEX('Lease Cycles'!$BG$16:$BM$16,1,CU146),'Lease Cycles'!$AX$16&lt;=CU$6),'Lease Cycles'!$C$16*'Lease Cycles'!$AY$16/12,IF(AND('Lease Cycles'!$AV$16&gt;=INDEX('Lease Cycles'!$BG$16:$BM$16,1,CU146),'Lease Cycles'!$AV$16&lt;=CU$6),'Lease Cycles'!$C$16*'Lease Cycles'!$AW$16/12,IF(AND('Lease Cycles'!$AT$16&gt;=INDEX('Lease Cycles'!$BG$16:$BM$16,1,CU146),'Lease Cycles'!$AT$16&lt;=CU$6),'Lease Cycles'!$C$16*'Lease Cycles'!$AU$16/12,'Lease Cycles'!$C$16*INDEX('Lease Cycles'!$CB$16:$CH$16,1,CU146)*(1+INDEX('Lease Cycles'!$CI$16:$CO$16,1,CU146))^INT(INT(CU147/12)/INDEX('Lease Cycles'!$CP$16:$CV$16,1,CU146))/12)))),'Lease Cycles'!$C$16*INDEX('Lease Cycles'!$CB$16:$CH$16,1,CU146)*(1+INDEX('Lease Cycles'!$CI$16:$CO$16,1,CU146))^INT(INT(CU147/12)/INDEX('Lease Cycles'!$CP$16:$CV$16,1,CU146))/12))),IF('Lease Cycles'!$N$16=1,'Lease Cycles'!$C$16*'Lease Cycles'!$E$16*INDEX('Lease Cycles'!$HE$16:$HK$16,1,CU146)*(1+INDEX('Lease Cycles'!$GQ$16:$GW$16,1,CU146))^INT(INT((CU$6-INDEX('Lease Cycles'!$GJ$16:$GP$16,1,CU146))/12)/INDEX('Lease Cycles'!$GX$16:$HD$16,1,CU146))/12,0)))</f>
        <v>4029.9250955333177</v>
      </c>
      <c r="CV149" s="28">
        <f>IF(CV146=0,IF('Lease Cycles'!$F$16&gt;0,'Lease Cycles'!$C$16*'Lease Cycles'!$E$16/12,0),IF(CV148=1,IF('Lease Cycles'!$AT$16&gt;=9999,'Lease Cycles'!$C$16*INDEX('Lease Cycles'!$CB$16:$CH$16,1,CV146)*(1+INDEX('Lease Cycles'!$CI$16:$CO$16,1,CV146))^INT(INT(CV147/12)/INDEX('Lease Cycles'!$CP$16:$CV$16,1,CV146))/12,IF(CV146=1,IF(CV147&gt;=INDEX('Lease Cycles'!$DK$16:$DQ$16,1,CV146),IF(CV$6&gt;='Lease Cycles'!$AZ$16,'Lease Cycles'!$C$16*'Lease Cycles'!$BA$16/12,IF(CV$6&gt;='Lease Cycles'!$AX$16,'Lease Cycles'!$C$16*'Lease Cycles'!$AY$16/12,IF(CV$6&gt;='Lease Cycles'!$AV$16,'Lease Cycles'!$C$16*'Lease Cycles'!$AW$16/12,IF(CV$6&gt;='Lease Cycles'!$AT$16,'Lease Cycles'!$C$16*'Lease Cycles'!$AU$16/12,'Lease Cycles'!$C$16*INDEX('Lease Cycles'!$CB$16:$CH$16,1,CV146)*(1+INDEX('Lease Cycles'!$CI$16:$CO$16,1,CV146))^INT(INT(CV147/12)/INDEX('Lease Cycles'!$CP$16:$CV$16,1,CV146))/12)))),'Lease Cycles'!$C$16*INDEX('Lease Cycles'!$CB$16:$CH$16,1,CV146)*(1+INDEX('Lease Cycles'!$CI$16:$CO$16,1,CV146))^INT(INT(CV147/12)/INDEX('Lease Cycles'!$CP$16:$CV$16,1,CV146))/12),IF(INDEX('Lease Cycles'!$EF$16:$EL$16,1,CV146)=1,IF(AND('Lease Cycles'!$AZ$16&gt;=INDEX('Lease Cycles'!$BG$16:$BM$16,1,CV146),'Lease Cycles'!$AZ$16&lt;=CV$6),'Lease Cycles'!$C$16*'Lease Cycles'!$BA$16/12,IF(AND('Lease Cycles'!$AX$16&gt;=INDEX('Lease Cycles'!$BG$16:$BM$16,1,CV146),'Lease Cycles'!$AX$16&lt;=CV$6),'Lease Cycles'!$C$16*'Lease Cycles'!$AY$16/12,IF(AND('Lease Cycles'!$AV$16&gt;=INDEX('Lease Cycles'!$BG$16:$BM$16,1,CV146),'Lease Cycles'!$AV$16&lt;=CV$6),'Lease Cycles'!$C$16*'Lease Cycles'!$AW$16/12,IF(AND('Lease Cycles'!$AT$16&gt;=INDEX('Lease Cycles'!$BG$16:$BM$16,1,CV146),'Lease Cycles'!$AT$16&lt;=CV$6),'Lease Cycles'!$C$16*'Lease Cycles'!$AU$16/12,'Lease Cycles'!$C$16*INDEX('Lease Cycles'!$CB$16:$CH$16,1,CV146)*(1+INDEX('Lease Cycles'!$CI$16:$CO$16,1,CV146))^INT(INT(CV147/12)/INDEX('Lease Cycles'!$CP$16:$CV$16,1,CV146))/12)))),'Lease Cycles'!$C$16*INDEX('Lease Cycles'!$CB$16:$CH$16,1,CV146)*(1+INDEX('Lease Cycles'!$CI$16:$CO$16,1,CV146))^INT(INT(CV147/12)/INDEX('Lease Cycles'!$CP$16:$CV$16,1,CV146))/12))),IF('Lease Cycles'!$N$16=1,'Lease Cycles'!$C$16*'Lease Cycles'!$E$16*INDEX('Lease Cycles'!$HE$16:$HK$16,1,CV146)*(1+INDEX('Lease Cycles'!$GQ$16:$GW$16,1,CV146))^INT(INT((CV$6-INDEX('Lease Cycles'!$GJ$16:$GP$16,1,CV146))/12)/INDEX('Lease Cycles'!$GX$16:$HD$16,1,CV146))/12,0)))</f>
        <v>4029.9250955333177</v>
      </c>
      <c r="CW149" s="28">
        <f>IF(CW146=0,IF('Lease Cycles'!$F$16&gt;0,'Lease Cycles'!$C$16*'Lease Cycles'!$E$16/12,0),IF(CW148=1,IF('Lease Cycles'!$AT$16&gt;=9999,'Lease Cycles'!$C$16*INDEX('Lease Cycles'!$CB$16:$CH$16,1,CW146)*(1+INDEX('Lease Cycles'!$CI$16:$CO$16,1,CW146))^INT(INT(CW147/12)/INDEX('Lease Cycles'!$CP$16:$CV$16,1,CW146))/12,IF(CW146=1,IF(CW147&gt;=INDEX('Lease Cycles'!$DK$16:$DQ$16,1,CW146),IF(CW$6&gt;='Lease Cycles'!$AZ$16,'Lease Cycles'!$C$16*'Lease Cycles'!$BA$16/12,IF(CW$6&gt;='Lease Cycles'!$AX$16,'Lease Cycles'!$C$16*'Lease Cycles'!$AY$16/12,IF(CW$6&gt;='Lease Cycles'!$AV$16,'Lease Cycles'!$C$16*'Lease Cycles'!$AW$16/12,IF(CW$6&gt;='Lease Cycles'!$AT$16,'Lease Cycles'!$C$16*'Lease Cycles'!$AU$16/12,'Lease Cycles'!$C$16*INDEX('Lease Cycles'!$CB$16:$CH$16,1,CW146)*(1+INDEX('Lease Cycles'!$CI$16:$CO$16,1,CW146))^INT(INT(CW147/12)/INDEX('Lease Cycles'!$CP$16:$CV$16,1,CW146))/12)))),'Lease Cycles'!$C$16*INDEX('Lease Cycles'!$CB$16:$CH$16,1,CW146)*(1+INDEX('Lease Cycles'!$CI$16:$CO$16,1,CW146))^INT(INT(CW147/12)/INDEX('Lease Cycles'!$CP$16:$CV$16,1,CW146))/12),IF(INDEX('Lease Cycles'!$EF$16:$EL$16,1,CW146)=1,IF(AND('Lease Cycles'!$AZ$16&gt;=INDEX('Lease Cycles'!$BG$16:$BM$16,1,CW146),'Lease Cycles'!$AZ$16&lt;=CW$6),'Lease Cycles'!$C$16*'Lease Cycles'!$BA$16/12,IF(AND('Lease Cycles'!$AX$16&gt;=INDEX('Lease Cycles'!$BG$16:$BM$16,1,CW146),'Lease Cycles'!$AX$16&lt;=CW$6),'Lease Cycles'!$C$16*'Lease Cycles'!$AY$16/12,IF(AND('Lease Cycles'!$AV$16&gt;=INDEX('Lease Cycles'!$BG$16:$BM$16,1,CW146),'Lease Cycles'!$AV$16&lt;=CW$6),'Lease Cycles'!$C$16*'Lease Cycles'!$AW$16/12,IF(AND('Lease Cycles'!$AT$16&gt;=INDEX('Lease Cycles'!$BG$16:$BM$16,1,CW146),'Lease Cycles'!$AT$16&lt;=CW$6),'Lease Cycles'!$C$16*'Lease Cycles'!$AU$16/12,'Lease Cycles'!$C$16*INDEX('Lease Cycles'!$CB$16:$CH$16,1,CW146)*(1+INDEX('Lease Cycles'!$CI$16:$CO$16,1,CW146))^INT(INT(CW147/12)/INDEX('Lease Cycles'!$CP$16:$CV$16,1,CW146))/12)))),'Lease Cycles'!$C$16*INDEX('Lease Cycles'!$CB$16:$CH$16,1,CW146)*(1+INDEX('Lease Cycles'!$CI$16:$CO$16,1,CW146))^INT(INT(CW147/12)/INDEX('Lease Cycles'!$CP$16:$CV$16,1,CW146))/12))),IF('Lease Cycles'!$N$16=1,'Lease Cycles'!$C$16*'Lease Cycles'!$E$16*INDEX('Lease Cycles'!$HE$16:$HK$16,1,CW146)*(1+INDEX('Lease Cycles'!$GQ$16:$GW$16,1,CW146))^INT(INT((CW$6-INDEX('Lease Cycles'!$GJ$16:$GP$16,1,CW146))/12)/INDEX('Lease Cycles'!$GX$16:$HD$16,1,CW146))/12,0)))</f>
        <v>4150.822848399317</v>
      </c>
      <c r="CX149" s="28">
        <f>IF(CX146=0,IF('Lease Cycles'!$F$16&gt;0,'Lease Cycles'!$C$16*'Lease Cycles'!$E$16/12,0),IF(CX148=1,IF('Lease Cycles'!$AT$16&gt;=9999,'Lease Cycles'!$C$16*INDEX('Lease Cycles'!$CB$16:$CH$16,1,CX146)*(1+INDEX('Lease Cycles'!$CI$16:$CO$16,1,CX146))^INT(INT(CX147/12)/INDEX('Lease Cycles'!$CP$16:$CV$16,1,CX146))/12,IF(CX146=1,IF(CX147&gt;=INDEX('Lease Cycles'!$DK$16:$DQ$16,1,CX146),IF(CX$6&gt;='Lease Cycles'!$AZ$16,'Lease Cycles'!$C$16*'Lease Cycles'!$BA$16/12,IF(CX$6&gt;='Lease Cycles'!$AX$16,'Lease Cycles'!$C$16*'Lease Cycles'!$AY$16/12,IF(CX$6&gt;='Lease Cycles'!$AV$16,'Lease Cycles'!$C$16*'Lease Cycles'!$AW$16/12,IF(CX$6&gt;='Lease Cycles'!$AT$16,'Lease Cycles'!$C$16*'Lease Cycles'!$AU$16/12,'Lease Cycles'!$C$16*INDEX('Lease Cycles'!$CB$16:$CH$16,1,CX146)*(1+INDEX('Lease Cycles'!$CI$16:$CO$16,1,CX146))^INT(INT(CX147/12)/INDEX('Lease Cycles'!$CP$16:$CV$16,1,CX146))/12)))),'Lease Cycles'!$C$16*INDEX('Lease Cycles'!$CB$16:$CH$16,1,CX146)*(1+INDEX('Lease Cycles'!$CI$16:$CO$16,1,CX146))^INT(INT(CX147/12)/INDEX('Lease Cycles'!$CP$16:$CV$16,1,CX146))/12),IF(INDEX('Lease Cycles'!$EF$16:$EL$16,1,CX146)=1,IF(AND('Lease Cycles'!$AZ$16&gt;=INDEX('Lease Cycles'!$BG$16:$BM$16,1,CX146),'Lease Cycles'!$AZ$16&lt;=CX$6),'Lease Cycles'!$C$16*'Lease Cycles'!$BA$16/12,IF(AND('Lease Cycles'!$AX$16&gt;=INDEX('Lease Cycles'!$BG$16:$BM$16,1,CX146),'Lease Cycles'!$AX$16&lt;=CX$6),'Lease Cycles'!$C$16*'Lease Cycles'!$AY$16/12,IF(AND('Lease Cycles'!$AV$16&gt;=INDEX('Lease Cycles'!$BG$16:$BM$16,1,CX146),'Lease Cycles'!$AV$16&lt;=CX$6),'Lease Cycles'!$C$16*'Lease Cycles'!$AW$16/12,IF(AND('Lease Cycles'!$AT$16&gt;=INDEX('Lease Cycles'!$BG$16:$BM$16,1,CX146),'Lease Cycles'!$AT$16&lt;=CX$6),'Lease Cycles'!$C$16*'Lease Cycles'!$AU$16/12,'Lease Cycles'!$C$16*INDEX('Lease Cycles'!$CB$16:$CH$16,1,CX146)*(1+INDEX('Lease Cycles'!$CI$16:$CO$16,1,CX146))^INT(INT(CX147/12)/INDEX('Lease Cycles'!$CP$16:$CV$16,1,CX146))/12)))),'Lease Cycles'!$C$16*INDEX('Lease Cycles'!$CB$16:$CH$16,1,CX146)*(1+INDEX('Lease Cycles'!$CI$16:$CO$16,1,CX146))^INT(INT(CX147/12)/INDEX('Lease Cycles'!$CP$16:$CV$16,1,CX146))/12))),IF('Lease Cycles'!$N$16=1,'Lease Cycles'!$C$16*'Lease Cycles'!$E$16*INDEX('Lease Cycles'!$HE$16:$HK$16,1,CX146)*(1+INDEX('Lease Cycles'!$GQ$16:$GW$16,1,CX146))^INT(INT((CX$6-INDEX('Lease Cycles'!$GJ$16:$GP$16,1,CX146))/12)/INDEX('Lease Cycles'!$GX$16:$HD$16,1,CX146))/12,0)))</f>
        <v>4150.822848399317</v>
      </c>
      <c r="CY149" s="28">
        <f>IF(CY146=0,IF('Lease Cycles'!$F$16&gt;0,'Lease Cycles'!$C$16*'Lease Cycles'!$E$16/12,0),IF(CY148=1,IF('Lease Cycles'!$AT$16&gt;=9999,'Lease Cycles'!$C$16*INDEX('Lease Cycles'!$CB$16:$CH$16,1,CY146)*(1+INDEX('Lease Cycles'!$CI$16:$CO$16,1,CY146))^INT(INT(CY147/12)/INDEX('Lease Cycles'!$CP$16:$CV$16,1,CY146))/12,IF(CY146=1,IF(CY147&gt;=INDEX('Lease Cycles'!$DK$16:$DQ$16,1,CY146),IF(CY$6&gt;='Lease Cycles'!$AZ$16,'Lease Cycles'!$C$16*'Lease Cycles'!$BA$16/12,IF(CY$6&gt;='Lease Cycles'!$AX$16,'Lease Cycles'!$C$16*'Lease Cycles'!$AY$16/12,IF(CY$6&gt;='Lease Cycles'!$AV$16,'Lease Cycles'!$C$16*'Lease Cycles'!$AW$16/12,IF(CY$6&gt;='Lease Cycles'!$AT$16,'Lease Cycles'!$C$16*'Lease Cycles'!$AU$16/12,'Lease Cycles'!$C$16*INDEX('Lease Cycles'!$CB$16:$CH$16,1,CY146)*(1+INDEX('Lease Cycles'!$CI$16:$CO$16,1,CY146))^INT(INT(CY147/12)/INDEX('Lease Cycles'!$CP$16:$CV$16,1,CY146))/12)))),'Lease Cycles'!$C$16*INDEX('Lease Cycles'!$CB$16:$CH$16,1,CY146)*(1+INDEX('Lease Cycles'!$CI$16:$CO$16,1,CY146))^INT(INT(CY147/12)/INDEX('Lease Cycles'!$CP$16:$CV$16,1,CY146))/12),IF(INDEX('Lease Cycles'!$EF$16:$EL$16,1,CY146)=1,IF(AND('Lease Cycles'!$AZ$16&gt;=INDEX('Lease Cycles'!$BG$16:$BM$16,1,CY146),'Lease Cycles'!$AZ$16&lt;=CY$6),'Lease Cycles'!$C$16*'Lease Cycles'!$BA$16/12,IF(AND('Lease Cycles'!$AX$16&gt;=INDEX('Lease Cycles'!$BG$16:$BM$16,1,CY146),'Lease Cycles'!$AX$16&lt;=CY$6),'Lease Cycles'!$C$16*'Lease Cycles'!$AY$16/12,IF(AND('Lease Cycles'!$AV$16&gt;=INDEX('Lease Cycles'!$BG$16:$BM$16,1,CY146),'Lease Cycles'!$AV$16&lt;=CY$6),'Lease Cycles'!$C$16*'Lease Cycles'!$AW$16/12,IF(AND('Lease Cycles'!$AT$16&gt;=INDEX('Lease Cycles'!$BG$16:$BM$16,1,CY146),'Lease Cycles'!$AT$16&lt;=CY$6),'Lease Cycles'!$C$16*'Lease Cycles'!$AU$16/12,'Lease Cycles'!$C$16*INDEX('Lease Cycles'!$CB$16:$CH$16,1,CY146)*(1+INDEX('Lease Cycles'!$CI$16:$CO$16,1,CY146))^INT(INT(CY147/12)/INDEX('Lease Cycles'!$CP$16:$CV$16,1,CY146))/12)))),'Lease Cycles'!$C$16*INDEX('Lease Cycles'!$CB$16:$CH$16,1,CY146)*(1+INDEX('Lease Cycles'!$CI$16:$CO$16,1,CY146))^INT(INT(CY147/12)/INDEX('Lease Cycles'!$CP$16:$CV$16,1,CY146))/12))),IF('Lease Cycles'!$N$16=1,'Lease Cycles'!$C$16*'Lease Cycles'!$E$16*INDEX('Lease Cycles'!$HE$16:$HK$16,1,CY146)*(1+INDEX('Lease Cycles'!$GQ$16:$GW$16,1,CY146))^INT(INT((CY$6-INDEX('Lease Cycles'!$GJ$16:$GP$16,1,CY146))/12)/INDEX('Lease Cycles'!$GX$16:$HD$16,1,CY146))/12,0)))</f>
        <v>4150.822848399317</v>
      </c>
      <c r="CZ149" s="28">
        <f>IF(CZ146=0,IF('Lease Cycles'!$F$16&gt;0,'Lease Cycles'!$C$16*'Lease Cycles'!$E$16/12,0),IF(CZ148=1,IF('Lease Cycles'!$AT$16&gt;=9999,'Lease Cycles'!$C$16*INDEX('Lease Cycles'!$CB$16:$CH$16,1,CZ146)*(1+INDEX('Lease Cycles'!$CI$16:$CO$16,1,CZ146))^INT(INT(CZ147/12)/INDEX('Lease Cycles'!$CP$16:$CV$16,1,CZ146))/12,IF(CZ146=1,IF(CZ147&gt;=INDEX('Lease Cycles'!$DK$16:$DQ$16,1,CZ146),IF(CZ$6&gt;='Lease Cycles'!$AZ$16,'Lease Cycles'!$C$16*'Lease Cycles'!$BA$16/12,IF(CZ$6&gt;='Lease Cycles'!$AX$16,'Lease Cycles'!$C$16*'Lease Cycles'!$AY$16/12,IF(CZ$6&gt;='Lease Cycles'!$AV$16,'Lease Cycles'!$C$16*'Lease Cycles'!$AW$16/12,IF(CZ$6&gt;='Lease Cycles'!$AT$16,'Lease Cycles'!$C$16*'Lease Cycles'!$AU$16/12,'Lease Cycles'!$C$16*INDEX('Lease Cycles'!$CB$16:$CH$16,1,CZ146)*(1+INDEX('Lease Cycles'!$CI$16:$CO$16,1,CZ146))^INT(INT(CZ147/12)/INDEX('Lease Cycles'!$CP$16:$CV$16,1,CZ146))/12)))),'Lease Cycles'!$C$16*INDEX('Lease Cycles'!$CB$16:$CH$16,1,CZ146)*(1+INDEX('Lease Cycles'!$CI$16:$CO$16,1,CZ146))^INT(INT(CZ147/12)/INDEX('Lease Cycles'!$CP$16:$CV$16,1,CZ146))/12),IF(INDEX('Lease Cycles'!$EF$16:$EL$16,1,CZ146)=1,IF(AND('Lease Cycles'!$AZ$16&gt;=INDEX('Lease Cycles'!$BG$16:$BM$16,1,CZ146),'Lease Cycles'!$AZ$16&lt;=CZ$6),'Lease Cycles'!$C$16*'Lease Cycles'!$BA$16/12,IF(AND('Lease Cycles'!$AX$16&gt;=INDEX('Lease Cycles'!$BG$16:$BM$16,1,CZ146),'Lease Cycles'!$AX$16&lt;=CZ$6),'Lease Cycles'!$C$16*'Lease Cycles'!$AY$16/12,IF(AND('Lease Cycles'!$AV$16&gt;=INDEX('Lease Cycles'!$BG$16:$BM$16,1,CZ146),'Lease Cycles'!$AV$16&lt;=CZ$6),'Lease Cycles'!$C$16*'Lease Cycles'!$AW$16/12,IF(AND('Lease Cycles'!$AT$16&gt;=INDEX('Lease Cycles'!$BG$16:$BM$16,1,CZ146),'Lease Cycles'!$AT$16&lt;=CZ$6),'Lease Cycles'!$C$16*'Lease Cycles'!$AU$16/12,'Lease Cycles'!$C$16*INDEX('Lease Cycles'!$CB$16:$CH$16,1,CZ146)*(1+INDEX('Lease Cycles'!$CI$16:$CO$16,1,CZ146))^INT(INT(CZ147/12)/INDEX('Lease Cycles'!$CP$16:$CV$16,1,CZ146))/12)))),'Lease Cycles'!$C$16*INDEX('Lease Cycles'!$CB$16:$CH$16,1,CZ146)*(1+INDEX('Lease Cycles'!$CI$16:$CO$16,1,CZ146))^INT(INT(CZ147/12)/INDEX('Lease Cycles'!$CP$16:$CV$16,1,CZ146))/12))),IF('Lease Cycles'!$N$16=1,'Lease Cycles'!$C$16*'Lease Cycles'!$E$16*INDEX('Lease Cycles'!$HE$16:$HK$16,1,CZ146)*(1+INDEX('Lease Cycles'!$GQ$16:$GW$16,1,CZ146))^INT(INT((CZ$6-INDEX('Lease Cycles'!$GJ$16:$GP$16,1,CZ146))/12)/INDEX('Lease Cycles'!$GX$16:$HD$16,1,CZ146))/12,0)))</f>
        <v>4150.822848399317</v>
      </c>
      <c r="DA149" s="28">
        <f>IF(DA146=0,IF('Lease Cycles'!$F$16&gt;0,'Lease Cycles'!$C$16*'Lease Cycles'!$E$16/12,0),IF(DA148=1,IF('Lease Cycles'!$AT$16&gt;=9999,'Lease Cycles'!$C$16*INDEX('Lease Cycles'!$CB$16:$CH$16,1,DA146)*(1+INDEX('Lease Cycles'!$CI$16:$CO$16,1,DA146))^INT(INT(DA147/12)/INDEX('Lease Cycles'!$CP$16:$CV$16,1,DA146))/12,IF(DA146=1,IF(DA147&gt;=INDEX('Lease Cycles'!$DK$16:$DQ$16,1,DA146),IF(DA$6&gt;='Lease Cycles'!$AZ$16,'Lease Cycles'!$C$16*'Lease Cycles'!$BA$16/12,IF(DA$6&gt;='Lease Cycles'!$AX$16,'Lease Cycles'!$C$16*'Lease Cycles'!$AY$16/12,IF(DA$6&gt;='Lease Cycles'!$AV$16,'Lease Cycles'!$C$16*'Lease Cycles'!$AW$16/12,IF(DA$6&gt;='Lease Cycles'!$AT$16,'Lease Cycles'!$C$16*'Lease Cycles'!$AU$16/12,'Lease Cycles'!$C$16*INDEX('Lease Cycles'!$CB$16:$CH$16,1,DA146)*(1+INDEX('Lease Cycles'!$CI$16:$CO$16,1,DA146))^INT(INT(DA147/12)/INDEX('Lease Cycles'!$CP$16:$CV$16,1,DA146))/12)))),'Lease Cycles'!$C$16*INDEX('Lease Cycles'!$CB$16:$CH$16,1,DA146)*(1+INDEX('Lease Cycles'!$CI$16:$CO$16,1,DA146))^INT(INT(DA147/12)/INDEX('Lease Cycles'!$CP$16:$CV$16,1,DA146))/12),IF(INDEX('Lease Cycles'!$EF$16:$EL$16,1,DA146)=1,IF(AND('Lease Cycles'!$AZ$16&gt;=INDEX('Lease Cycles'!$BG$16:$BM$16,1,DA146),'Lease Cycles'!$AZ$16&lt;=DA$6),'Lease Cycles'!$C$16*'Lease Cycles'!$BA$16/12,IF(AND('Lease Cycles'!$AX$16&gt;=INDEX('Lease Cycles'!$BG$16:$BM$16,1,DA146),'Lease Cycles'!$AX$16&lt;=DA$6),'Lease Cycles'!$C$16*'Lease Cycles'!$AY$16/12,IF(AND('Lease Cycles'!$AV$16&gt;=INDEX('Lease Cycles'!$BG$16:$BM$16,1,DA146),'Lease Cycles'!$AV$16&lt;=DA$6),'Lease Cycles'!$C$16*'Lease Cycles'!$AW$16/12,IF(AND('Lease Cycles'!$AT$16&gt;=INDEX('Lease Cycles'!$BG$16:$BM$16,1,DA146),'Lease Cycles'!$AT$16&lt;=DA$6),'Lease Cycles'!$C$16*'Lease Cycles'!$AU$16/12,'Lease Cycles'!$C$16*INDEX('Lease Cycles'!$CB$16:$CH$16,1,DA146)*(1+INDEX('Lease Cycles'!$CI$16:$CO$16,1,DA146))^INT(INT(DA147/12)/INDEX('Lease Cycles'!$CP$16:$CV$16,1,DA146))/12)))),'Lease Cycles'!$C$16*INDEX('Lease Cycles'!$CB$16:$CH$16,1,DA146)*(1+INDEX('Lease Cycles'!$CI$16:$CO$16,1,DA146))^INT(INT(DA147/12)/INDEX('Lease Cycles'!$CP$16:$CV$16,1,DA146))/12))),IF('Lease Cycles'!$N$16=1,'Lease Cycles'!$C$16*'Lease Cycles'!$E$16*INDEX('Lease Cycles'!$HE$16:$HK$16,1,DA146)*(1+INDEX('Lease Cycles'!$GQ$16:$GW$16,1,DA146))^INT(INT((DA$6-INDEX('Lease Cycles'!$GJ$16:$GP$16,1,DA146))/12)/INDEX('Lease Cycles'!$GX$16:$HD$16,1,DA146))/12,0)))</f>
        <v>4150.822848399317</v>
      </c>
      <c r="DB149" s="28">
        <f>IF(DB146=0,IF('Lease Cycles'!$F$16&gt;0,'Lease Cycles'!$C$16*'Lease Cycles'!$E$16/12,0),IF(DB148=1,IF('Lease Cycles'!$AT$16&gt;=9999,'Lease Cycles'!$C$16*INDEX('Lease Cycles'!$CB$16:$CH$16,1,DB146)*(1+INDEX('Lease Cycles'!$CI$16:$CO$16,1,DB146))^INT(INT(DB147/12)/INDEX('Lease Cycles'!$CP$16:$CV$16,1,DB146))/12,IF(DB146=1,IF(DB147&gt;=INDEX('Lease Cycles'!$DK$16:$DQ$16,1,DB146),IF(DB$6&gt;='Lease Cycles'!$AZ$16,'Lease Cycles'!$C$16*'Lease Cycles'!$BA$16/12,IF(DB$6&gt;='Lease Cycles'!$AX$16,'Lease Cycles'!$C$16*'Lease Cycles'!$AY$16/12,IF(DB$6&gt;='Lease Cycles'!$AV$16,'Lease Cycles'!$C$16*'Lease Cycles'!$AW$16/12,IF(DB$6&gt;='Lease Cycles'!$AT$16,'Lease Cycles'!$C$16*'Lease Cycles'!$AU$16/12,'Lease Cycles'!$C$16*INDEX('Lease Cycles'!$CB$16:$CH$16,1,DB146)*(1+INDEX('Lease Cycles'!$CI$16:$CO$16,1,DB146))^INT(INT(DB147/12)/INDEX('Lease Cycles'!$CP$16:$CV$16,1,DB146))/12)))),'Lease Cycles'!$C$16*INDEX('Lease Cycles'!$CB$16:$CH$16,1,DB146)*(1+INDEX('Lease Cycles'!$CI$16:$CO$16,1,DB146))^INT(INT(DB147/12)/INDEX('Lease Cycles'!$CP$16:$CV$16,1,DB146))/12),IF(INDEX('Lease Cycles'!$EF$16:$EL$16,1,DB146)=1,IF(AND('Lease Cycles'!$AZ$16&gt;=INDEX('Lease Cycles'!$BG$16:$BM$16,1,DB146),'Lease Cycles'!$AZ$16&lt;=DB$6),'Lease Cycles'!$C$16*'Lease Cycles'!$BA$16/12,IF(AND('Lease Cycles'!$AX$16&gt;=INDEX('Lease Cycles'!$BG$16:$BM$16,1,DB146),'Lease Cycles'!$AX$16&lt;=DB$6),'Lease Cycles'!$C$16*'Lease Cycles'!$AY$16/12,IF(AND('Lease Cycles'!$AV$16&gt;=INDEX('Lease Cycles'!$BG$16:$BM$16,1,DB146),'Lease Cycles'!$AV$16&lt;=DB$6),'Lease Cycles'!$C$16*'Lease Cycles'!$AW$16/12,IF(AND('Lease Cycles'!$AT$16&gt;=INDEX('Lease Cycles'!$BG$16:$BM$16,1,DB146),'Lease Cycles'!$AT$16&lt;=DB$6),'Lease Cycles'!$C$16*'Lease Cycles'!$AU$16/12,'Lease Cycles'!$C$16*INDEX('Lease Cycles'!$CB$16:$CH$16,1,DB146)*(1+INDEX('Lease Cycles'!$CI$16:$CO$16,1,DB146))^INT(INT(DB147/12)/INDEX('Lease Cycles'!$CP$16:$CV$16,1,DB146))/12)))),'Lease Cycles'!$C$16*INDEX('Lease Cycles'!$CB$16:$CH$16,1,DB146)*(1+INDEX('Lease Cycles'!$CI$16:$CO$16,1,DB146))^INT(INT(DB147/12)/INDEX('Lease Cycles'!$CP$16:$CV$16,1,DB146))/12))),IF('Lease Cycles'!$N$16=1,'Lease Cycles'!$C$16*'Lease Cycles'!$E$16*INDEX('Lease Cycles'!$HE$16:$HK$16,1,DB146)*(1+INDEX('Lease Cycles'!$GQ$16:$GW$16,1,DB146))^INT(INT((DB$6-INDEX('Lease Cycles'!$GJ$16:$GP$16,1,DB146))/12)/INDEX('Lease Cycles'!$GX$16:$HD$16,1,DB146))/12,0)))</f>
        <v>4150.822848399317</v>
      </c>
      <c r="DC149" s="28">
        <f>IF(DC146=0,IF('Lease Cycles'!$F$16&gt;0,'Lease Cycles'!$C$16*'Lease Cycles'!$E$16/12,0),IF(DC148=1,IF('Lease Cycles'!$AT$16&gt;=9999,'Lease Cycles'!$C$16*INDEX('Lease Cycles'!$CB$16:$CH$16,1,DC146)*(1+INDEX('Lease Cycles'!$CI$16:$CO$16,1,DC146))^INT(INT(DC147/12)/INDEX('Lease Cycles'!$CP$16:$CV$16,1,DC146))/12,IF(DC146=1,IF(DC147&gt;=INDEX('Lease Cycles'!$DK$16:$DQ$16,1,DC146),IF(DC$6&gt;='Lease Cycles'!$AZ$16,'Lease Cycles'!$C$16*'Lease Cycles'!$BA$16/12,IF(DC$6&gt;='Lease Cycles'!$AX$16,'Lease Cycles'!$C$16*'Lease Cycles'!$AY$16/12,IF(DC$6&gt;='Lease Cycles'!$AV$16,'Lease Cycles'!$C$16*'Lease Cycles'!$AW$16/12,IF(DC$6&gt;='Lease Cycles'!$AT$16,'Lease Cycles'!$C$16*'Lease Cycles'!$AU$16/12,'Lease Cycles'!$C$16*INDEX('Lease Cycles'!$CB$16:$CH$16,1,DC146)*(1+INDEX('Lease Cycles'!$CI$16:$CO$16,1,DC146))^INT(INT(DC147/12)/INDEX('Lease Cycles'!$CP$16:$CV$16,1,DC146))/12)))),'Lease Cycles'!$C$16*INDEX('Lease Cycles'!$CB$16:$CH$16,1,DC146)*(1+INDEX('Lease Cycles'!$CI$16:$CO$16,1,DC146))^INT(INT(DC147/12)/INDEX('Lease Cycles'!$CP$16:$CV$16,1,DC146))/12),IF(INDEX('Lease Cycles'!$EF$16:$EL$16,1,DC146)=1,IF(AND('Lease Cycles'!$AZ$16&gt;=INDEX('Lease Cycles'!$BG$16:$BM$16,1,DC146),'Lease Cycles'!$AZ$16&lt;=DC$6),'Lease Cycles'!$C$16*'Lease Cycles'!$BA$16/12,IF(AND('Lease Cycles'!$AX$16&gt;=INDEX('Lease Cycles'!$BG$16:$BM$16,1,DC146),'Lease Cycles'!$AX$16&lt;=DC$6),'Lease Cycles'!$C$16*'Lease Cycles'!$AY$16/12,IF(AND('Lease Cycles'!$AV$16&gt;=INDEX('Lease Cycles'!$BG$16:$BM$16,1,DC146),'Lease Cycles'!$AV$16&lt;=DC$6),'Lease Cycles'!$C$16*'Lease Cycles'!$AW$16/12,IF(AND('Lease Cycles'!$AT$16&gt;=INDEX('Lease Cycles'!$BG$16:$BM$16,1,DC146),'Lease Cycles'!$AT$16&lt;=DC$6),'Lease Cycles'!$C$16*'Lease Cycles'!$AU$16/12,'Lease Cycles'!$C$16*INDEX('Lease Cycles'!$CB$16:$CH$16,1,DC146)*(1+INDEX('Lease Cycles'!$CI$16:$CO$16,1,DC146))^INT(INT(DC147/12)/INDEX('Lease Cycles'!$CP$16:$CV$16,1,DC146))/12)))),'Lease Cycles'!$C$16*INDEX('Lease Cycles'!$CB$16:$CH$16,1,DC146)*(1+INDEX('Lease Cycles'!$CI$16:$CO$16,1,DC146))^INT(INT(DC147/12)/INDEX('Lease Cycles'!$CP$16:$CV$16,1,DC146))/12))),IF('Lease Cycles'!$N$16=1,'Lease Cycles'!$C$16*'Lease Cycles'!$E$16*INDEX('Lease Cycles'!$HE$16:$HK$16,1,DC146)*(1+INDEX('Lease Cycles'!$GQ$16:$GW$16,1,DC146))^INT(INT((DC$6-INDEX('Lease Cycles'!$GJ$16:$GP$16,1,DC146))/12)/INDEX('Lease Cycles'!$GX$16:$HD$16,1,DC146))/12,0)))</f>
        <v>4150.822848399317</v>
      </c>
      <c r="DD149" s="28">
        <f>IF(DD146=0,IF('Lease Cycles'!$F$16&gt;0,'Lease Cycles'!$C$16*'Lease Cycles'!$E$16/12,0),IF(DD148=1,IF('Lease Cycles'!$AT$16&gt;=9999,'Lease Cycles'!$C$16*INDEX('Lease Cycles'!$CB$16:$CH$16,1,DD146)*(1+INDEX('Lease Cycles'!$CI$16:$CO$16,1,DD146))^INT(INT(DD147/12)/INDEX('Lease Cycles'!$CP$16:$CV$16,1,DD146))/12,IF(DD146=1,IF(DD147&gt;=INDEX('Lease Cycles'!$DK$16:$DQ$16,1,DD146),IF(DD$6&gt;='Lease Cycles'!$AZ$16,'Lease Cycles'!$C$16*'Lease Cycles'!$BA$16/12,IF(DD$6&gt;='Lease Cycles'!$AX$16,'Lease Cycles'!$C$16*'Lease Cycles'!$AY$16/12,IF(DD$6&gt;='Lease Cycles'!$AV$16,'Lease Cycles'!$C$16*'Lease Cycles'!$AW$16/12,IF(DD$6&gt;='Lease Cycles'!$AT$16,'Lease Cycles'!$C$16*'Lease Cycles'!$AU$16/12,'Lease Cycles'!$C$16*INDEX('Lease Cycles'!$CB$16:$CH$16,1,DD146)*(1+INDEX('Lease Cycles'!$CI$16:$CO$16,1,DD146))^INT(INT(DD147/12)/INDEX('Lease Cycles'!$CP$16:$CV$16,1,DD146))/12)))),'Lease Cycles'!$C$16*INDEX('Lease Cycles'!$CB$16:$CH$16,1,DD146)*(1+INDEX('Lease Cycles'!$CI$16:$CO$16,1,DD146))^INT(INT(DD147/12)/INDEX('Lease Cycles'!$CP$16:$CV$16,1,DD146))/12),IF(INDEX('Lease Cycles'!$EF$16:$EL$16,1,DD146)=1,IF(AND('Lease Cycles'!$AZ$16&gt;=INDEX('Lease Cycles'!$BG$16:$BM$16,1,DD146),'Lease Cycles'!$AZ$16&lt;=DD$6),'Lease Cycles'!$C$16*'Lease Cycles'!$BA$16/12,IF(AND('Lease Cycles'!$AX$16&gt;=INDEX('Lease Cycles'!$BG$16:$BM$16,1,DD146),'Lease Cycles'!$AX$16&lt;=DD$6),'Lease Cycles'!$C$16*'Lease Cycles'!$AY$16/12,IF(AND('Lease Cycles'!$AV$16&gt;=INDEX('Lease Cycles'!$BG$16:$BM$16,1,DD146),'Lease Cycles'!$AV$16&lt;=DD$6),'Lease Cycles'!$C$16*'Lease Cycles'!$AW$16/12,IF(AND('Lease Cycles'!$AT$16&gt;=INDEX('Lease Cycles'!$BG$16:$BM$16,1,DD146),'Lease Cycles'!$AT$16&lt;=DD$6),'Lease Cycles'!$C$16*'Lease Cycles'!$AU$16/12,'Lease Cycles'!$C$16*INDEX('Lease Cycles'!$CB$16:$CH$16,1,DD146)*(1+INDEX('Lease Cycles'!$CI$16:$CO$16,1,DD146))^INT(INT(DD147/12)/INDEX('Lease Cycles'!$CP$16:$CV$16,1,DD146))/12)))),'Lease Cycles'!$C$16*INDEX('Lease Cycles'!$CB$16:$CH$16,1,DD146)*(1+INDEX('Lease Cycles'!$CI$16:$CO$16,1,DD146))^INT(INT(DD147/12)/INDEX('Lease Cycles'!$CP$16:$CV$16,1,DD146))/12))),IF('Lease Cycles'!$N$16=1,'Lease Cycles'!$C$16*'Lease Cycles'!$E$16*INDEX('Lease Cycles'!$HE$16:$HK$16,1,DD146)*(1+INDEX('Lease Cycles'!$GQ$16:$GW$16,1,DD146))^INT(INT((DD$6-INDEX('Lease Cycles'!$GJ$16:$GP$16,1,DD146))/12)/INDEX('Lease Cycles'!$GX$16:$HD$16,1,DD146))/12,0)))</f>
        <v>4150.822848399317</v>
      </c>
      <c r="DE149" s="28">
        <f>IF(DE146=0,IF('Lease Cycles'!$F$16&gt;0,'Lease Cycles'!$C$16*'Lease Cycles'!$E$16/12,0),IF(DE148=1,IF('Lease Cycles'!$AT$16&gt;=9999,'Lease Cycles'!$C$16*INDEX('Lease Cycles'!$CB$16:$CH$16,1,DE146)*(1+INDEX('Lease Cycles'!$CI$16:$CO$16,1,DE146))^INT(INT(DE147/12)/INDEX('Lease Cycles'!$CP$16:$CV$16,1,DE146))/12,IF(DE146=1,IF(DE147&gt;=INDEX('Lease Cycles'!$DK$16:$DQ$16,1,DE146),IF(DE$6&gt;='Lease Cycles'!$AZ$16,'Lease Cycles'!$C$16*'Lease Cycles'!$BA$16/12,IF(DE$6&gt;='Lease Cycles'!$AX$16,'Lease Cycles'!$C$16*'Lease Cycles'!$AY$16/12,IF(DE$6&gt;='Lease Cycles'!$AV$16,'Lease Cycles'!$C$16*'Lease Cycles'!$AW$16/12,IF(DE$6&gt;='Lease Cycles'!$AT$16,'Lease Cycles'!$C$16*'Lease Cycles'!$AU$16/12,'Lease Cycles'!$C$16*INDEX('Lease Cycles'!$CB$16:$CH$16,1,DE146)*(1+INDEX('Lease Cycles'!$CI$16:$CO$16,1,DE146))^INT(INT(DE147/12)/INDEX('Lease Cycles'!$CP$16:$CV$16,1,DE146))/12)))),'Lease Cycles'!$C$16*INDEX('Lease Cycles'!$CB$16:$CH$16,1,DE146)*(1+INDEX('Lease Cycles'!$CI$16:$CO$16,1,DE146))^INT(INT(DE147/12)/INDEX('Lease Cycles'!$CP$16:$CV$16,1,DE146))/12),IF(INDEX('Lease Cycles'!$EF$16:$EL$16,1,DE146)=1,IF(AND('Lease Cycles'!$AZ$16&gt;=INDEX('Lease Cycles'!$BG$16:$BM$16,1,DE146),'Lease Cycles'!$AZ$16&lt;=DE$6),'Lease Cycles'!$C$16*'Lease Cycles'!$BA$16/12,IF(AND('Lease Cycles'!$AX$16&gt;=INDEX('Lease Cycles'!$BG$16:$BM$16,1,DE146),'Lease Cycles'!$AX$16&lt;=DE$6),'Lease Cycles'!$C$16*'Lease Cycles'!$AY$16/12,IF(AND('Lease Cycles'!$AV$16&gt;=INDEX('Lease Cycles'!$BG$16:$BM$16,1,DE146),'Lease Cycles'!$AV$16&lt;=DE$6),'Lease Cycles'!$C$16*'Lease Cycles'!$AW$16/12,IF(AND('Lease Cycles'!$AT$16&gt;=INDEX('Lease Cycles'!$BG$16:$BM$16,1,DE146),'Lease Cycles'!$AT$16&lt;=DE$6),'Lease Cycles'!$C$16*'Lease Cycles'!$AU$16/12,'Lease Cycles'!$C$16*INDEX('Lease Cycles'!$CB$16:$CH$16,1,DE146)*(1+INDEX('Lease Cycles'!$CI$16:$CO$16,1,DE146))^INT(INT(DE147/12)/INDEX('Lease Cycles'!$CP$16:$CV$16,1,DE146))/12)))),'Lease Cycles'!$C$16*INDEX('Lease Cycles'!$CB$16:$CH$16,1,DE146)*(1+INDEX('Lease Cycles'!$CI$16:$CO$16,1,DE146))^INT(INT(DE147/12)/INDEX('Lease Cycles'!$CP$16:$CV$16,1,DE146))/12))),IF('Lease Cycles'!$N$16=1,'Lease Cycles'!$C$16*'Lease Cycles'!$E$16*INDEX('Lease Cycles'!$HE$16:$HK$16,1,DE146)*(1+INDEX('Lease Cycles'!$GQ$16:$GW$16,1,DE146))^INT(INT((DE$6-INDEX('Lease Cycles'!$GJ$16:$GP$16,1,DE146))/12)/INDEX('Lease Cycles'!$GX$16:$HD$16,1,DE146))/12,0)))</f>
        <v>4150.822848399317</v>
      </c>
      <c r="DF149" s="28">
        <f>IF(DF146=0,IF('Lease Cycles'!$F$16&gt;0,'Lease Cycles'!$C$16*'Lease Cycles'!$E$16/12,0),IF(DF148=1,IF('Lease Cycles'!$AT$16&gt;=9999,'Lease Cycles'!$C$16*INDEX('Lease Cycles'!$CB$16:$CH$16,1,DF146)*(1+INDEX('Lease Cycles'!$CI$16:$CO$16,1,DF146))^INT(INT(DF147/12)/INDEX('Lease Cycles'!$CP$16:$CV$16,1,DF146))/12,IF(DF146=1,IF(DF147&gt;=INDEX('Lease Cycles'!$DK$16:$DQ$16,1,DF146),IF(DF$6&gt;='Lease Cycles'!$AZ$16,'Lease Cycles'!$C$16*'Lease Cycles'!$BA$16/12,IF(DF$6&gt;='Lease Cycles'!$AX$16,'Lease Cycles'!$C$16*'Lease Cycles'!$AY$16/12,IF(DF$6&gt;='Lease Cycles'!$AV$16,'Lease Cycles'!$C$16*'Lease Cycles'!$AW$16/12,IF(DF$6&gt;='Lease Cycles'!$AT$16,'Lease Cycles'!$C$16*'Lease Cycles'!$AU$16/12,'Lease Cycles'!$C$16*INDEX('Lease Cycles'!$CB$16:$CH$16,1,DF146)*(1+INDEX('Lease Cycles'!$CI$16:$CO$16,1,DF146))^INT(INT(DF147/12)/INDEX('Lease Cycles'!$CP$16:$CV$16,1,DF146))/12)))),'Lease Cycles'!$C$16*INDEX('Lease Cycles'!$CB$16:$CH$16,1,DF146)*(1+INDEX('Lease Cycles'!$CI$16:$CO$16,1,DF146))^INT(INT(DF147/12)/INDEX('Lease Cycles'!$CP$16:$CV$16,1,DF146))/12),IF(INDEX('Lease Cycles'!$EF$16:$EL$16,1,DF146)=1,IF(AND('Lease Cycles'!$AZ$16&gt;=INDEX('Lease Cycles'!$BG$16:$BM$16,1,DF146),'Lease Cycles'!$AZ$16&lt;=DF$6),'Lease Cycles'!$C$16*'Lease Cycles'!$BA$16/12,IF(AND('Lease Cycles'!$AX$16&gt;=INDEX('Lease Cycles'!$BG$16:$BM$16,1,DF146),'Lease Cycles'!$AX$16&lt;=DF$6),'Lease Cycles'!$C$16*'Lease Cycles'!$AY$16/12,IF(AND('Lease Cycles'!$AV$16&gt;=INDEX('Lease Cycles'!$BG$16:$BM$16,1,DF146),'Lease Cycles'!$AV$16&lt;=DF$6),'Lease Cycles'!$C$16*'Lease Cycles'!$AW$16/12,IF(AND('Lease Cycles'!$AT$16&gt;=INDEX('Lease Cycles'!$BG$16:$BM$16,1,DF146),'Lease Cycles'!$AT$16&lt;=DF$6),'Lease Cycles'!$C$16*'Lease Cycles'!$AU$16/12,'Lease Cycles'!$C$16*INDEX('Lease Cycles'!$CB$16:$CH$16,1,DF146)*(1+INDEX('Lease Cycles'!$CI$16:$CO$16,1,DF146))^INT(INT(DF147/12)/INDEX('Lease Cycles'!$CP$16:$CV$16,1,DF146))/12)))),'Lease Cycles'!$C$16*INDEX('Lease Cycles'!$CB$16:$CH$16,1,DF146)*(1+INDEX('Lease Cycles'!$CI$16:$CO$16,1,DF146))^INT(INT(DF147/12)/INDEX('Lease Cycles'!$CP$16:$CV$16,1,DF146))/12))),IF('Lease Cycles'!$N$16=1,'Lease Cycles'!$C$16*'Lease Cycles'!$E$16*INDEX('Lease Cycles'!$HE$16:$HK$16,1,DF146)*(1+INDEX('Lease Cycles'!$GQ$16:$GW$16,1,DF146))^INT(INT((DF$6-INDEX('Lease Cycles'!$GJ$16:$GP$16,1,DF146))/12)/INDEX('Lease Cycles'!$GX$16:$HD$16,1,DF146))/12,0)))</f>
        <v>4150.822848399317</v>
      </c>
      <c r="DG149" s="28">
        <f>IF(DG146=0,IF('Lease Cycles'!$F$16&gt;0,'Lease Cycles'!$C$16*'Lease Cycles'!$E$16/12,0),IF(DG148=1,IF('Lease Cycles'!$AT$16&gt;=9999,'Lease Cycles'!$C$16*INDEX('Lease Cycles'!$CB$16:$CH$16,1,DG146)*(1+INDEX('Lease Cycles'!$CI$16:$CO$16,1,DG146))^INT(INT(DG147/12)/INDEX('Lease Cycles'!$CP$16:$CV$16,1,DG146))/12,IF(DG146=1,IF(DG147&gt;=INDEX('Lease Cycles'!$DK$16:$DQ$16,1,DG146),IF(DG$6&gt;='Lease Cycles'!$AZ$16,'Lease Cycles'!$C$16*'Lease Cycles'!$BA$16/12,IF(DG$6&gt;='Lease Cycles'!$AX$16,'Lease Cycles'!$C$16*'Lease Cycles'!$AY$16/12,IF(DG$6&gt;='Lease Cycles'!$AV$16,'Lease Cycles'!$C$16*'Lease Cycles'!$AW$16/12,IF(DG$6&gt;='Lease Cycles'!$AT$16,'Lease Cycles'!$C$16*'Lease Cycles'!$AU$16/12,'Lease Cycles'!$C$16*INDEX('Lease Cycles'!$CB$16:$CH$16,1,DG146)*(1+INDEX('Lease Cycles'!$CI$16:$CO$16,1,DG146))^INT(INT(DG147/12)/INDEX('Lease Cycles'!$CP$16:$CV$16,1,DG146))/12)))),'Lease Cycles'!$C$16*INDEX('Lease Cycles'!$CB$16:$CH$16,1,DG146)*(1+INDEX('Lease Cycles'!$CI$16:$CO$16,1,DG146))^INT(INT(DG147/12)/INDEX('Lease Cycles'!$CP$16:$CV$16,1,DG146))/12),IF(INDEX('Lease Cycles'!$EF$16:$EL$16,1,DG146)=1,IF(AND('Lease Cycles'!$AZ$16&gt;=INDEX('Lease Cycles'!$BG$16:$BM$16,1,DG146),'Lease Cycles'!$AZ$16&lt;=DG$6),'Lease Cycles'!$C$16*'Lease Cycles'!$BA$16/12,IF(AND('Lease Cycles'!$AX$16&gt;=INDEX('Lease Cycles'!$BG$16:$BM$16,1,DG146),'Lease Cycles'!$AX$16&lt;=DG$6),'Lease Cycles'!$C$16*'Lease Cycles'!$AY$16/12,IF(AND('Lease Cycles'!$AV$16&gt;=INDEX('Lease Cycles'!$BG$16:$BM$16,1,DG146),'Lease Cycles'!$AV$16&lt;=DG$6),'Lease Cycles'!$C$16*'Lease Cycles'!$AW$16/12,IF(AND('Lease Cycles'!$AT$16&gt;=INDEX('Lease Cycles'!$BG$16:$BM$16,1,DG146),'Lease Cycles'!$AT$16&lt;=DG$6),'Lease Cycles'!$C$16*'Lease Cycles'!$AU$16/12,'Lease Cycles'!$C$16*INDEX('Lease Cycles'!$CB$16:$CH$16,1,DG146)*(1+INDEX('Lease Cycles'!$CI$16:$CO$16,1,DG146))^INT(INT(DG147/12)/INDEX('Lease Cycles'!$CP$16:$CV$16,1,DG146))/12)))),'Lease Cycles'!$C$16*INDEX('Lease Cycles'!$CB$16:$CH$16,1,DG146)*(1+INDEX('Lease Cycles'!$CI$16:$CO$16,1,DG146))^INT(INT(DG147/12)/INDEX('Lease Cycles'!$CP$16:$CV$16,1,DG146))/12))),IF('Lease Cycles'!$N$16=1,'Lease Cycles'!$C$16*'Lease Cycles'!$E$16*INDEX('Lease Cycles'!$HE$16:$HK$16,1,DG146)*(1+INDEX('Lease Cycles'!$GQ$16:$GW$16,1,DG146))^INT(INT((DG$6-INDEX('Lease Cycles'!$GJ$16:$GP$16,1,DG146))/12)/INDEX('Lease Cycles'!$GX$16:$HD$16,1,DG146))/12,0)))</f>
        <v>4150.822848399317</v>
      </c>
      <c r="DH149" s="28">
        <f>IF(DH146=0,IF('Lease Cycles'!$F$16&gt;0,'Lease Cycles'!$C$16*'Lease Cycles'!$E$16/12,0),IF(DH148=1,IF('Lease Cycles'!$AT$16&gt;=9999,'Lease Cycles'!$C$16*INDEX('Lease Cycles'!$CB$16:$CH$16,1,DH146)*(1+INDEX('Lease Cycles'!$CI$16:$CO$16,1,DH146))^INT(INT(DH147/12)/INDEX('Lease Cycles'!$CP$16:$CV$16,1,DH146))/12,IF(DH146=1,IF(DH147&gt;=INDEX('Lease Cycles'!$DK$16:$DQ$16,1,DH146),IF(DH$6&gt;='Lease Cycles'!$AZ$16,'Lease Cycles'!$C$16*'Lease Cycles'!$BA$16/12,IF(DH$6&gt;='Lease Cycles'!$AX$16,'Lease Cycles'!$C$16*'Lease Cycles'!$AY$16/12,IF(DH$6&gt;='Lease Cycles'!$AV$16,'Lease Cycles'!$C$16*'Lease Cycles'!$AW$16/12,IF(DH$6&gt;='Lease Cycles'!$AT$16,'Lease Cycles'!$C$16*'Lease Cycles'!$AU$16/12,'Lease Cycles'!$C$16*INDEX('Lease Cycles'!$CB$16:$CH$16,1,DH146)*(1+INDEX('Lease Cycles'!$CI$16:$CO$16,1,DH146))^INT(INT(DH147/12)/INDEX('Lease Cycles'!$CP$16:$CV$16,1,DH146))/12)))),'Lease Cycles'!$C$16*INDEX('Lease Cycles'!$CB$16:$CH$16,1,DH146)*(1+INDEX('Lease Cycles'!$CI$16:$CO$16,1,DH146))^INT(INT(DH147/12)/INDEX('Lease Cycles'!$CP$16:$CV$16,1,DH146))/12),IF(INDEX('Lease Cycles'!$EF$16:$EL$16,1,DH146)=1,IF(AND('Lease Cycles'!$AZ$16&gt;=INDEX('Lease Cycles'!$BG$16:$BM$16,1,DH146),'Lease Cycles'!$AZ$16&lt;=DH$6),'Lease Cycles'!$C$16*'Lease Cycles'!$BA$16/12,IF(AND('Lease Cycles'!$AX$16&gt;=INDEX('Lease Cycles'!$BG$16:$BM$16,1,DH146),'Lease Cycles'!$AX$16&lt;=DH$6),'Lease Cycles'!$C$16*'Lease Cycles'!$AY$16/12,IF(AND('Lease Cycles'!$AV$16&gt;=INDEX('Lease Cycles'!$BG$16:$BM$16,1,DH146),'Lease Cycles'!$AV$16&lt;=DH$6),'Lease Cycles'!$C$16*'Lease Cycles'!$AW$16/12,IF(AND('Lease Cycles'!$AT$16&gt;=INDEX('Lease Cycles'!$BG$16:$BM$16,1,DH146),'Lease Cycles'!$AT$16&lt;=DH$6),'Lease Cycles'!$C$16*'Lease Cycles'!$AU$16/12,'Lease Cycles'!$C$16*INDEX('Lease Cycles'!$CB$16:$CH$16,1,DH146)*(1+INDEX('Lease Cycles'!$CI$16:$CO$16,1,DH146))^INT(INT(DH147/12)/INDEX('Lease Cycles'!$CP$16:$CV$16,1,DH146))/12)))),'Lease Cycles'!$C$16*INDEX('Lease Cycles'!$CB$16:$CH$16,1,DH146)*(1+INDEX('Lease Cycles'!$CI$16:$CO$16,1,DH146))^INT(INT(DH147/12)/INDEX('Lease Cycles'!$CP$16:$CV$16,1,DH146))/12))),IF('Lease Cycles'!$N$16=1,'Lease Cycles'!$C$16*'Lease Cycles'!$E$16*INDEX('Lease Cycles'!$HE$16:$HK$16,1,DH146)*(1+INDEX('Lease Cycles'!$GQ$16:$GW$16,1,DH146))^INT(INT((DH$6-INDEX('Lease Cycles'!$GJ$16:$GP$16,1,DH146))/12)/INDEX('Lease Cycles'!$GX$16:$HD$16,1,DH146))/12,0)))</f>
        <v>4150.822848399317</v>
      </c>
      <c r="DI149" s="28">
        <f>IF(DI146=0,IF('Lease Cycles'!$F$16&gt;0,'Lease Cycles'!$C$16*'Lease Cycles'!$E$16/12,0),IF(DI148=1,IF('Lease Cycles'!$AT$16&gt;=9999,'Lease Cycles'!$C$16*INDEX('Lease Cycles'!$CB$16:$CH$16,1,DI146)*(1+INDEX('Lease Cycles'!$CI$16:$CO$16,1,DI146))^INT(INT(DI147/12)/INDEX('Lease Cycles'!$CP$16:$CV$16,1,DI146))/12,IF(DI146=1,IF(DI147&gt;=INDEX('Lease Cycles'!$DK$16:$DQ$16,1,DI146),IF(DI$6&gt;='Lease Cycles'!$AZ$16,'Lease Cycles'!$C$16*'Lease Cycles'!$BA$16/12,IF(DI$6&gt;='Lease Cycles'!$AX$16,'Lease Cycles'!$C$16*'Lease Cycles'!$AY$16/12,IF(DI$6&gt;='Lease Cycles'!$AV$16,'Lease Cycles'!$C$16*'Lease Cycles'!$AW$16/12,IF(DI$6&gt;='Lease Cycles'!$AT$16,'Lease Cycles'!$C$16*'Lease Cycles'!$AU$16/12,'Lease Cycles'!$C$16*INDEX('Lease Cycles'!$CB$16:$CH$16,1,DI146)*(1+INDEX('Lease Cycles'!$CI$16:$CO$16,1,DI146))^INT(INT(DI147/12)/INDEX('Lease Cycles'!$CP$16:$CV$16,1,DI146))/12)))),'Lease Cycles'!$C$16*INDEX('Lease Cycles'!$CB$16:$CH$16,1,DI146)*(1+INDEX('Lease Cycles'!$CI$16:$CO$16,1,DI146))^INT(INT(DI147/12)/INDEX('Lease Cycles'!$CP$16:$CV$16,1,DI146))/12),IF(INDEX('Lease Cycles'!$EF$16:$EL$16,1,DI146)=1,IF(AND('Lease Cycles'!$AZ$16&gt;=INDEX('Lease Cycles'!$BG$16:$BM$16,1,DI146),'Lease Cycles'!$AZ$16&lt;=DI$6),'Lease Cycles'!$C$16*'Lease Cycles'!$BA$16/12,IF(AND('Lease Cycles'!$AX$16&gt;=INDEX('Lease Cycles'!$BG$16:$BM$16,1,DI146),'Lease Cycles'!$AX$16&lt;=DI$6),'Lease Cycles'!$C$16*'Lease Cycles'!$AY$16/12,IF(AND('Lease Cycles'!$AV$16&gt;=INDEX('Lease Cycles'!$BG$16:$BM$16,1,DI146),'Lease Cycles'!$AV$16&lt;=DI$6),'Lease Cycles'!$C$16*'Lease Cycles'!$AW$16/12,IF(AND('Lease Cycles'!$AT$16&gt;=INDEX('Lease Cycles'!$BG$16:$BM$16,1,DI146),'Lease Cycles'!$AT$16&lt;=DI$6),'Lease Cycles'!$C$16*'Lease Cycles'!$AU$16/12,'Lease Cycles'!$C$16*INDEX('Lease Cycles'!$CB$16:$CH$16,1,DI146)*(1+INDEX('Lease Cycles'!$CI$16:$CO$16,1,DI146))^INT(INT(DI147/12)/INDEX('Lease Cycles'!$CP$16:$CV$16,1,DI146))/12)))),'Lease Cycles'!$C$16*INDEX('Lease Cycles'!$CB$16:$CH$16,1,DI146)*(1+INDEX('Lease Cycles'!$CI$16:$CO$16,1,DI146))^INT(INT(DI147/12)/INDEX('Lease Cycles'!$CP$16:$CV$16,1,DI146))/12))),IF('Lease Cycles'!$N$16=1,'Lease Cycles'!$C$16*'Lease Cycles'!$E$16*INDEX('Lease Cycles'!$HE$16:$HK$16,1,DI146)*(1+INDEX('Lease Cycles'!$GQ$16:$GW$16,1,DI146))^INT(INT((DI$6-INDEX('Lease Cycles'!$GJ$16:$GP$16,1,DI146))/12)/INDEX('Lease Cycles'!$GX$16:$HD$16,1,DI146))/12,0)))</f>
        <v>4275.347533851297</v>
      </c>
      <c r="DJ149" s="28">
        <f>IF(DJ146=0,IF('Lease Cycles'!$F$16&gt;0,'Lease Cycles'!$C$16*'Lease Cycles'!$E$16/12,0),IF(DJ148=1,IF('Lease Cycles'!$AT$16&gt;=9999,'Lease Cycles'!$C$16*INDEX('Lease Cycles'!$CB$16:$CH$16,1,DJ146)*(1+INDEX('Lease Cycles'!$CI$16:$CO$16,1,DJ146))^INT(INT(DJ147/12)/INDEX('Lease Cycles'!$CP$16:$CV$16,1,DJ146))/12,IF(DJ146=1,IF(DJ147&gt;=INDEX('Lease Cycles'!$DK$16:$DQ$16,1,DJ146),IF(DJ$6&gt;='Lease Cycles'!$AZ$16,'Lease Cycles'!$C$16*'Lease Cycles'!$BA$16/12,IF(DJ$6&gt;='Lease Cycles'!$AX$16,'Lease Cycles'!$C$16*'Lease Cycles'!$AY$16/12,IF(DJ$6&gt;='Lease Cycles'!$AV$16,'Lease Cycles'!$C$16*'Lease Cycles'!$AW$16/12,IF(DJ$6&gt;='Lease Cycles'!$AT$16,'Lease Cycles'!$C$16*'Lease Cycles'!$AU$16/12,'Lease Cycles'!$C$16*INDEX('Lease Cycles'!$CB$16:$CH$16,1,DJ146)*(1+INDEX('Lease Cycles'!$CI$16:$CO$16,1,DJ146))^INT(INT(DJ147/12)/INDEX('Lease Cycles'!$CP$16:$CV$16,1,DJ146))/12)))),'Lease Cycles'!$C$16*INDEX('Lease Cycles'!$CB$16:$CH$16,1,DJ146)*(1+INDEX('Lease Cycles'!$CI$16:$CO$16,1,DJ146))^INT(INT(DJ147/12)/INDEX('Lease Cycles'!$CP$16:$CV$16,1,DJ146))/12),IF(INDEX('Lease Cycles'!$EF$16:$EL$16,1,DJ146)=1,IF(AND('Lease Cycles'!$AZ$16&gt;=INDEX('Lease Cycles'!$BG$16:$BM$16,1,DJ146),'Lease Cycles'!$AZ$16&lt;=DJ$6),'Lease Cycles'!$C$16*'Lease Cycles'!$BA$16/12,IF(AND('Lease Cycles'!$AX$16&gt;=INDEX('Lease Cycles'!$BG$16:$BM$16,1,DJ146),'Lease Cycles'!$AX$16&lt;=DJ$6),'Lease Cycles'!$C$16*'Lease Cycles'!$AY$16/12,IF(AND('Lease Cycles'!$AV$16&gt;=INDEX('Lease Cycles'!$BG$16:$BM$16,1,DJ146),'Lease Cycles'!$AV$16&lt;=DJ$6),'Lease Cycles'!$C$16*'Lease Cycles'!$AW$16/12,IF(AND('Lease Cycles'!$AT$16&gt;=INDEX('Lease Cycles'!$BG$16:$BM$16,1,DJ146),'Lease Cycles'!$AT$16&lt;=DJ$6),'Lease Cycles'!$C$16*'Lease Cycles'!$AU$16/12,'Lease Cycles'!$C$16*INDEX('Lease Cycles'!$CB$16:$CH$16,1,DJ146)*(1+INDEX('Lease Cycles'!$CI$16:$CO$16,1,DJ146))^INT(INT(DJ147/12)/INDEX('Lease Cycles'!$CP$16:$CV$16,1,DJ146))/12)))),'Lease Cycles'!$C$16*INDEX('Lease Cycles'!$CB$16:$CH$16,1,DJ146)*(1+INDEX('Lease Cycles'!$CI$16:$CO$16,1,DJ146))^INT(INT(DJ147/12)/INDEX('Lease Cycles'!$CP$16:$CV$16,1,DJ146))/12))),IF('Lease Cycles'!$N$16=1,'Lease Cycles'!$C$16*'Lease Cycles'!$E$16*INDEX('Lease Cycles'!$HE$16:$HK$16,1,DJ146)*(1+INDEX('Lease Cycles'!$GQ$16:$GW$16,1,DJ146))^INT(INT((DJ$6-INDEX('Lease Cycles'!$GJ$16:$GP$16,1,DJ146))/12)/INDEX('Lease Cycles'!$GX$16:$HD$16,1,DJ146))/12,0)))</f>
        <v>4275.347533851297</v>
      </c>
      <c r="DK149" s="28">
        <f>IF(DK146=0,IF('Lease Cycles'!$F$16&gt;0,'Lease Cycles'!$C$16*'Lease Cycles'!$E$16/12,0),IF(DK148=1,IF('Lease Cycles'!$AT$16&gt;=9999,'Lease Cycles'!$C$16*INDEX('Lease Cycles'!$CB$16:$CH$16,1,DK146)*(1+INDEX('Lease Cycles'!$CI$16:$CO$16,1,DK146))^INT(INT(DK147/12)/INDEX('Lease Cycles'!$CP$16:$CV$16,1,DK146))/12,IF(DK146=1,IF(DK147&gt;=INDEX('Lease Cycles'!$DK$16:$DQ$16,1,DK146),IF(DK$6&gt;='Lease Cycles'!$AZ$16,'Lease Cycles'!$C$16*'Lease Cycles'!$BA$16/12,IF(DK$6&gt;='Lease Cycles'!$AX$16,'Lease Cycles'!$C$16*'Lease Cycles'!$AY$16/12,IF(DK$6&gt;='Lease Cycles'!$AV$16,'Lease Cycles'!$C$16*'Lease Cycles'!$AW$16/12,IF(DK$6&gt;='Lease Cycles'!$AT$16,'Lease Cycles'!$C$16*'Lease Cycles'!$AU$16/12,'Lease Cycles'!$C$16*INDEX('Lease Cycles'!$CB$16:$CH$16,1,DK146)*(1+INDEX('Lease Cycles'!$CI$16:$CO$16,1,DK146))^INT(INT(DK147/12)/INDEX('Lease Cycles'!$CP$16:$CV$16,1,DK146))/12)))),'Lease Cycles'!$C$16*INDEX('Lease Cycles'!$CB$16:$CH$16,1,DK146)*(1+INDEX('Lease Cycles'!$CI$16:$CO$16,1,DK146))^INT(INT(DK147/12)/INDEX('Lease Cycles'!$CP$16:$CV$16,1,DK146))/12),IF(INDEX('Lease Cycles'!$EF$16:$EL$16,1,DK146)=1,IF(AND('Lease Cycles'!$AZ$16&gt;=INDEX('Lease Cycles'!$BG$16:$BM$16,1,DK146),'Lease Cycles'!$AZ$16&lt;=DK$6),'Lease Cycles'!$C$16*'Lease Cycles'!$BA$16/12,IF(AND('Lease Cycles'!$AX$16&gt;=INDEX('Lease Cycles'!$BG$16:$BM$16,1,DK146),'Lease Cycles'!$AX$16&lt;=DK$6),'Lease Cycles'!$C$16*'Lease Cycles'!$AY$16/12,IF(AND('Lease Cycles'!$AV$16&gt;=INDEX('Lease Cycles'!$BG$16:$BM$16,1,DK146),'Lease Cycles'!$AV$16&lt;=DK$6),'Lease Cycles'!$C$16*'Lease Cycles'!$AW$16/12,IF(AND('Lease Cycles'!$AT$16&gt;=INDEX('Lease Cycles'!$BG$16:$BM$16,1,DK146),'Lease Cycles'!$AT$16&lt;=DK$6),'Lease Cycles'!$C$16*'Lease Cycles'!$AU$16/12,'Lease Cycles'!$C$16*INDEX('Lease Cycles'!$CB$16:$CH$16,1,DK146)*(1+INDEX('Lease Cycles'!$CI$16:$CO$16,1,DK146))^INT(INT(DK147/12)/INDEX('Lease Cycles'!$CP$16:$CV$16,1,DK146))/12)))),'Lease Cycles'!$C$16*INDEX('Lease Cycles'!$CB$16:$CH$16,1,DK146)*(1+INDEX('Lease Cycles'!$CI$16:$CO$16,1,DK146))^INT(INT(DK147/12)/INDEX('Lease Cycles'!$CP$16:$CV$16,1,DK146))/12))),IF('Lease Cycles'!$N$16=1,'Lease Cycles'!$C$16*'Lease Cycles'!$E$16*INDEX('Lease Cycles'!$HE$16:$HK$16,1,DK146)*(1+INDEX('Lease Cycles'!$GQ$16:$GW$16,1,DK146))^INT(INT((DK$6-INDEX('Lease Cycles'!$GJ$16:$GP$16,1,DK146))/12)/INDEX('Lease Cycles'!$GX$16:$HD$16,1,DK146))/12,0)))</f>
        <v>4275.347533851297</v>
      </c>
      <c r="DL149" s="28">
        <f>IF(DL146=0,IF('Lease Cycles'!$F$16&gt;0,'Lease Cycles'!$C$16*'Lease Cycles'!$E$16/12,0),IF(DL148=1,IF('Lease Cycles'!$AT$16&gt;=9999,'Lease Cycles'!$C$16*INDEX('Lease Cycles'!$CB$16:$CH$16,1,DL146)*(1+INDEX('Lease Cycles'!$CI$16:$CO$16,1,DL146))^INT(INT(DL147/12)/INDEX('Lease Cycles'!$CP$16:$CV$16,1,DL146))/12,IF(DL146=1,IF(DL147&gt;=INDEX('Lease Cycles'!$DK$16:$DQ$16,1,DL146),IF(DL$6&gt;='Lease Cycles'!$AZ$16,'Lease Cycles'!$C$16*'Lease Cycles'!$BA$16/12,IF(DL$6&gt;='Lease Cycles'!$AX$16,'Lease Cycles'!$C$16*'Lease Cycles'!$AY$16/12,IF(DL$6&gt;='Lease Cycles'!$AV$16,'Lease Cycles'!$C$16*'Lease Cycles'!$AW$16/12,IF(DL$6&gt;='Lease Cycles'!$AT$16,'Lease Cycles'!$C$16*'Lease Cycles'!$AU$16/12,'Lease Cycles'!$C$16*INDEX('Lease Cycles'!$CB$16:$CH$16,1,DL146)*(1+INDEX('Lease Cycles'!$CI$16:$CO$16,1,DL146))^INT(INT(DL147/12)/INDEX('Lease Cycles'!$CP$16:$CV$16,1,DL146))/12)))),'Lease Cycles'!$C$16*INDEX('Lease Cycles'!$CB$16:$CH$16,1,DL146)*(1+INDEX('Lease Cycles'!$CI$16:$CO$16,1,DL146))^INT(INT(DL147/12)/INDEX('Lease Cycles'!$CP$16:$CV$16,1,DL146))/12),IF(INDEX('Lease Cycles'!$EF$16:$EL$16,1,DL146)=1,IF(AND('Lease Cycles'!$AZ$16&gt;=INDEX('Lease Cycles'!$BG$16:$BM$16,1,DL146),'Lease Cycles'!$AZ$16&lt;=DL$6),'Lease Cycles'!$C$16*'Lease Cycles'!$BA$16/12,IF(AND('Lease Cycles'!$AX$16&gt;=INDEX('Lease Cycles'!$BG$16:$BM$16,1,DL146),'Lease Cycles'!$AX$16&lt;=DL$6),'Lease Cycles'!$C$16*'Lease Cycles'!$AY$16/12,IF(AND('Lease Cycles'!$AV$16&gt;=INDEX('Lease Cycles'!$BG$16:$BM$16,1,DL146),'Lease Cycles'!$AV$16&lt;=DL$6),'Lease Cycles'!$C$16*'Lease Cycles'!$AW$16/12,IF(AND('Lease Cycles'!$AT$16&gt;=INDEX('Lease Cycles'!$BG$16:$BM$16,1,DL146),'Lease Cycles'!$AT$16&lt;=DL$6),'Lease Cycles'!$C$16*'Lease Cycles'!$AU$16/12,'Lease Cycles'!$C$16*INDEX('Lease Cycles'!$CB$16:$CH$16,1,DL146)*(1+INDEX('Lease Cycles'!$CI$16:$CO$16,1,DL146))^INT(INT(DL147/12)/INDEX('Lease Cycles'!$CP$16:$CV$16,1,DL146))/12)))),'Lease Cycles'!$C$16*INDEX('Lease Cycles'!$CB$16:$CH$16,1,DL146)*(1+INDEX('Lease Cycles'!$CI$16:$CO$16,1,DL146))^INT(INT(DL147/12)/INDEX('Lease Cycles'!$CP$16:$CV$16,1,DL146))/12))),IF('Lease Cycles'!$N$16=1,'Lease Cycles'!$C$16*'Lease Cycles'!$E$16*INDEX('Lease Cycles'!$HE$16:$HK$16,1,DL146)*(1+INDEX('Lease Cycles'!$GQ$16:$GW$16,1,DL146))^INT(INT((DL$6-INDEX('Lease Cycles'!$GJ$16:$GP$16,1,DL146))/12)/INDEX('Lease Cycles'!$GX$16:$HD$16,1,DL146))/12,0)))</f>
        <v>4275.347533851297</v>
      </c>
      <c r="DM149" s="28">
        <f>IF(DM146=0,IF('Lease Cycles'!$F$16&gt;0,'Lease Cycles'!$C$16*'Lease Cycles'!$E$16/12,0),IF(DM148=1,IF('Lease Cycles'!$AT$16&gt;=9999,'Lease Cycles'!$C$16*INDEX('Lease Cycles'!$CB$16:$CH$16,1,DM146)*(1+INDEX('Lease Cycles'!$CI$16:$CO$16,1,DM146))^INT(INT(DM147/12)/INDEX('Lease Cycles'!$CP$16:$CV$16,1,DM146))/12,IF(DM146=1,IF(DM147&gt;=INDEX('Lease Cycles'!$DK$16:$DQ$16,1,DM146),IF(DM$6&gt;='Lease Cycles'!$AZ$16,'Lease Cycles'!$C$16*'Lease Cycles'!$BA$16/12,IF(DM$6&gt;='Lease Cycles'!$AX$16,'Lease Cycles'!$C$16*'Lease Cycles'!$AY$16/12,IF(DM$6&gt;='Lease Cycles'!$AV$16,'Lease Cycles'!$C$16*'Lease Cycles'!$AW$16/12,IF(DM$6&gt;='Lease Cycles'!$AT$16,'Lease Cycles'!$C$16*'Lease Cycles'!$AU$16/12,'Lease Cycles'!$C$16*INDEX('Lease Cycles'!$CB$16:$CH$16,1,DM146)*(1+INDEX('Lease Cycles'!$CI$16:$CO$16,1,DM146))^INT(INT(DM147/12)/INDEX('Lease Cycles'!$CP$16:$CV$16,1,DM146))/12)))),'Lease Cycles'!$C$16*INDEX('Lease Cycles'!$CB$16:$CH$16,1,DM146)*(1+INDEX('Lease Cycles'!$CI$16:$CO$16,1,DM146))^INT(INT(DM147/12)/INDEX('Lease Cycles'!$CP$16:$CV$16,1,DM146))/12),IF(INDEX('Lease Cycles'!$EF$16:$EL$16,1,DM146)=1,IF(AND('Lease Cycles'!$AZ$16&gt;=INDEX('Lease Cycles'!$BG$16:$BM$16,1,DM146),'Lease Cycles'!$AZ$16&lt;=DM$6),'Lease Cycles'!$C$16*'Lease Cycles'!$BA$16/12,IF(AND('Lease Cycles'!$AX$16&gt;=INDEX('Lease Cycles'!$BG$16:$BM$16,1,DM146),'Lease Cycles'!$AX$16&lt;=DM$6),'Lease Cycles'!$C$16*'Lease Cycles'!$AY$16/12,IF(AND('Lease Cycles'!$AV$16&gt;=INDEX('Lease Cycles'!$BG$16:$BM$16,1,DM146),'Lease Cycles'!$AV$16&lt;=DM$6),'Lease Cycles'!$C$16*'Lease Cycles'!$AW$16/12,IF(AND('Lease Cycles'!$AT$16&gt;=INDEX('Lease Cycles'!$BG$16:$BM$16,1,DM146),'Lease Cycles'!$AT$16&lt;=DM$6),'Lease Cycles'!$C$16*'Lease Cycles'!$AU$16/12,'Lease Cycles'!$C$16*INDEX('Lease Cycles'!$CB$16:$CH$16,1,DM146)*(1+INDEX('Lease Cycles'!$CI$16:$CO$16,1,DM146))^INT(INT(DM147/12)/INDEX('Lease Cycles'!$CP$16:$CV$16,1,DM146))/12)))),'Lease Cycles'!$C$16*INDEX('Lease Cycles'!$CB$16:$CH$16,1,DM146)*(1+INDEX('Lease Cycles'!$CI$16:$CO$16,1,DM146))^INT(INT(DM147/12)/INDEX('Lease Cycles'!$CP$16:$CV$16,1,DM146))/12))),IF('Lease Cycles'!$N$16=1,'Lease Cycles'!$C$16*'Lease Cycles'!$E$16*INDEX('Lease Cycles'!$HE$16:$HK$16,1,DM146)*(1+INDEX('Lease Cycles'!$GQ$16:$GW$16,1,DM146))^INT(INT((DM$6-INDEX('Lease Cycles'!$GJ$16:$GP$16,1,DM146))/12)/INDEX('Lease Cycles'!$GX$16:$HD$16,1,DM146))/12,0)))</f>
        <v>4275.347533851297</v>
      </c>
      <c r="DN149" s="28">
        <f>IF(DN146=0,IF('Lease Cycles'!$F$16&gt;0,'Lease Cycles'!$C$16*'Lease Cycles'!$E$16/12,0),IF(DN148=1,IF('Lease Cycles'!$AT$16&gt;=9999,'Lease Cycles'!$C$16*INDEX('Lease Cycles'!$CB$16:$CH$16,1,DN146)*(1+INDEX('Lease Cycles'!$CI$16:$CO$16,1,DN146))^INT(INT(DN147/12)/INDEX('Lease Cycles'!$CP$16:$CV$16,1,DN146))/12,IF(DN146=1,IF(DN147&gt;=INDEX('Lease Cycles'!$DK$16:$DQ$16,1,DN146),IF(DN$6&gt;='Lease Cycles'!$AZ$16,'Lease Cycles'!$C$16*'Lease Cycles'!$BA$16/12,IF(DN$6&gt;='Lease Cycles'!$AX$16,'Lease Cycles'!$C$16*'Lease Cycles'!$AY$16/12,IF(DN$6&gt;='Lease Cycles'!$AV$16,'Lease Cycles'!$C$16*'Lease Cycles'!$AW$16/12,IF(DN$6&gt;='Lease Cycles'!$AT$16,'Lease Cycles'!$C$16*'Lease Cycles'!$AU$16/12,'Lease Cycles'!$C$16*INDEX('Lease Cycles'!$CB$16:$CH$16,1,DN146)*(1+INDEX('Lease Cycles'!$CI$16:$CO$16,1,DN146))^INT(INT(DN147/12)/INDEX('Lease Cycles'!$CP$16:$CV$16,1,DN146))/12)))),'Lease Cycles'!$C$16*INDEX('Lease Cycles'!$CB$16:$CH$16,1,DN146)*(1+INDEX('Lease Cycles'!$CI$16:$CO$16,1,DN146))^INT(INT(DN147/12)/INDEX('Lease Cycles'!$CP$16:$CV$16,1,DN146))/12),IF(INDEX('Lease Cycles'!$EF$16:$EL$16,1,DN146)=1,IF(AND('Lease Cycles'!$AZ$16&gt;=INDEX('Lease Cycles'!$BG$16:$BM$16,1,DN146),'Lease Cycles'!$AZ$16&lt;=DN$6),'Lease Cycles'!$C$16*'Lease Cycles'!$BA$16/12,IF(AND('Lease Cycles'!$AX$16&gt;=INDEX('Lease Cycles'!$BG$16:$BM$16,1,DN146),'Lease Cycles'!$AX$16&lt;=DN$6),'Lease Cycles'!$C$16*'Lease Cycles'!$AY$16/12,IF(AND('Lease Cycles'!$AV$16&gt;=INDEX('Lease Cycles'!$BG$16:$BM$16,1,DN146),'Lease Cycles'!$AV$16&lt;=DN$6),'Lease Cycles'!$C$16*'Lease Cycles'!$AW$16/12,IF(AND('Lease Cycles'!$AT$16&gt;=INDEX('Lease Cycles'!$BG$16:$BM$16,1,DN146),'Lease Cycles'!$AT$16&lt;=DN$6),'Lease Cycles'!$C$16*'Lease Cycles'!$AU$16/12,'Lease Cycles'!$C$16*INDEX('Lease Cycles'!$CB$16:$CH$16,1,DN146)*(1+INDEX('Lease Cycles'!$CI$16:$CO$16,1,DN146))^INT(INT(DN147/12)/INDEX('Lease Cycles'!$CP$16:$CV$16,1,DN146))/12)))),'Lease Cycles'!$C$16*INDEX('Lease Cycles'!$CB$16:$CH$16,1,DN146)*(1+INDEX('Lease Cycles'!$CI$16:$CO$16,1,DN146))^INT(INT(DN147/12)/INDEX('Lease Cycles'!$CP$16:$CV$16,1,DN146))/12))),IF('Lease Cycles'!$N$16=1,'Lease Cycles'!$C$16*'Lease Cycles'!$E$16*INDEX('Lease Cycles'!$HE$16:$HK$16,1,DN146)*(1+INDEX('Lease Cycles'!$GQ$16:$GW$16,1,DN146))^INT(INT((DN$6-INDEX('Lease Cycles'!$GJ$16:$GP$16,1,DN146))/12)/INDEX('Lease Cycles'!$GX$16:$HD$16,1,DN146))/12,0)))</f>
        <v>4275.347533851297</v>
      </c>
      <c r="DO149" s="28">
        <f>IF(DO146=0,IF('Lease Cycles'!$F$16&gt;0,'Lease Cycles'!$C$16*'Lease Cycles'!$E$16/12,0),IF(DO148=1,IF('Lease Cycles'!$AT$16&gt;=9999,'Lease Cycles'!$C$16*INDEX('Lease Cycles'!$CB$16:$CH$16,1,DO146)*(1+INDEX('Lease Cycles'!$CI$16:$CO$16,1,DO146))^INT(INT(DO147/12)/INDEX('Lease Cycles'!$CP$16:$CV$16,1,DO146))/12,IF(DO146=1,IF(DO147&gt;=INDEX('Lease Cycles'!$DK$16:$DQ$16,1,DO146),IF(DO$6&gt;='Lease Cycles'!$AZ$16,'Lease Cycles'!$C$16*'Lease Cycles'!$BA$16/12,IF(DO$6&gt;='Lease Cycles'!$AX$16,'Lease Cycles'!$C$16*'Lease Cycles'!$AY$16/12,IF(DO$6&gt;='Lease Cycles'!$AV$16,'Lease Cycles'!$C$16*'Lease Cycles'!$AW$16/12,IF(DO$6&gt;='Lease Cycles'!$AT$16,'Lease Cycles'!$C$16*'Lease Cycles'!$AU$16/12,'Lease Cycles'!$C$16*INDEX('Lease Cycles'!$CB$16:$CH$16,1,DO146)*(1+INDEX('Lease Cycles'!$CI$16:$CO$16,1,DO146))^INT(INT(DO147/12)/INDEX('Lease Cycles'!$CP$16:$CV$16,1,DO146))/12)))),'Lease Cycles'!$C$16*INDEX('Lease Cycles'!$CB$16:$CH$16,1,DO146)*(1+INDEX('Lease Cycles'!$CI$16:$CO$16,1,DO146))^INT(INT(DO147/12)/INDEX('Lease Cycles'!$CP$16:$CV$16,1,DO146))/12),IF(INDEX('Lease Cycles'!$EF$16:$EL$16,1,DO146)=1,IF(AND('Lease Cycles'!$AZ$16&gt;=INDEX('Lease Cycles'!$BG$16:$BM$16,1,DO146),'Lease Cycles'!$AZ$16&lt;=DO$6),'Lease Cycles'!$C$16*'Lease Cycles'!$BA$16/12,IF(AND('Lease Cycles'!$AX$16&gt;=INDEX('Lease Cycles'!$BG$16:$BM$16,1,DO146),'Lease Cycles'!$AX$16&lt;=DO$6),'Lease Cycles'!$C$16*'Lease Cycles'!$AY$16/12,IF(AND('Lease Cycles'!$AV$16&gt;=INDEX('Lease Cycles'!$BG$16:$BM$16,1,DO146),'Lease Cycles'!$AV$16&lt;=DO$6),'Lease Cycles'!$C$16*'Lease Cycles'!$AW$16/12,IF(AND('Lease Cycles'!$AT$16&gt;=INDEX('Lease Cycles'!$BG$16:$BM$16,1,DO146),'Lease Cycles'!$AT$16&lt;=DO$6),'Lease Cycles'!$C$16*'Lease Cycles'!$AU$16/12,'Lease Cycles'!$C$16*INDEX('Lease Cycles'!$CB$16:$CH$16,1,DO146)*(1+INDEX('Lease Cycles'!$CI$16:$CO$16,1,DO146))^INT(INT(DO147/12)/INDEX('Lease Cycles'!$CP$16:$CV$16,1,DO146))/12)))),'Lease Cycles'!$C$16*INDEX('Lease Cycles'!$CB$16:$CH$16,1,DO146)*(1+INDEX('Lease Cycles'!$CI$16:$CO$16,1,DO146))^INT(INT(DO147/12)/INDEX('Lease Cycles'!$CP$16:$CV$16,1,DO146))/12))),IF('Lease Cycles'!$N$16=1,'Lease Cycles'!$C$16*'Lease Cycles'!$E$16*INDEX('Lease Cycles'!$HE$16:$HK$16,1,DO146)*(1+INDEX('Lease Cycles'!$GQ$16:$GW$16,1,DO146))^INT(INT((DO$6-INDEX('Lease Cycles'!$GJ$16:$GP$16,1,DO146))/12)/INDEX('Lease Cycles'!$GX$16:$HD$16,1,DO146))/12,0)))</f>
        <v>4275.347533851297</v>
      </c>
      <c r="DP149" s="28">
        <f>IF(DP146=0,IF('Lease Cycles'!$F$16&gt;0,'Lease Cycles'!$C$16*'Lease Cycles'!$E$16/12,0),IF(DP148=1,IF('Lease Cycles'!$AT$16&gt;=9999,'Lease Cycles'!$C$16*INDEX('Lease Cycles'!$CB$16:$CH$16,1,DP146)*(1+INDEX('Lease Cycles'!$CI$16:$CO$16,1,DP146))^INT(INT(DP147/12)/INDEX('Lease Cycles'!$CP$16:$CV$16,1,DP146))/12,IF(DP146=1,IF(DP147&gt;=INDEX('Lease Cycles'!$DK$16:$DQ$16,1,DP146),IF(DP$6&gt;='Lease Cycles'!$AZ$16,'Lease Cycles'!$C$16*'Lease Cycles'!$BA$16/12,IF(DP$6&gt;='Lease Cycles'!$AX$16,'Lease Cycles'!$C$16*'Lease Cycles'!$AY$16/12,IF(DP$6&gt;='Lease Cycles'!$AV$16,'Lease Cycles'!$C$16*'Lease Cycles'!$AW$16/12,IF(DP$6&gt;='Lease Cycles'!$AT$16,'Lease Cycles'!$C$16*'Lease Cycles'!$AU$16/12,'Lease Cycles'!$C$16*INDEX('Lease Cycles'!$CB$16:$CH$16,1,DP146)*(1+INDEX('Lease Cycles'!$CI$16:$CO$16,1,DP146))^INT(INT(DP147/12)/INDEX('Lease Cycles'!$CP$16:$CV$16,1,DP146))/12)))),'Lease Cycles'!$C$16*INDEX('Lease Cycles'!$CB$16:$CH$16,1,DP146)*(1+INDEX('Lease Cycles'!$CI$16:$CO$16,1,DP146))^INT(INT(DP147/12)/INDEX('Lease Cycles'!$CP$16:$CV$16,1,DP146))/12),IF(INDEX('Lease Cycles'!$EF$16:$EL$16,1,DP146)=1,IF(AND('Lease Cycles'!$AZ$16&gt;=INDEX('Lease Cycles'!$BG$16:$BM$16,1,DP146),'Lease Cycles'!$AZ$16&lt;=DP$6),'Lease Cycles'!$C$16*'Lease Cycles'!$BA$16/12,IF(AND('Lease Cycles'!$AX$16&gt;=INDEX('Lease Cycles'!$BG$16:$BM$16,1,DP146),'Lease Cycles'!$AX$16&lt;=DP$6),'Lease Cycles'!$C$16*'Lease Cycles'!$AY$16/12,IF(AND('Lease Cycles'!$AV$16&gt;=INDEX('Lease Cycles'!$BG$16:$BM$16,1,DP146),'Lease Cycles'!$AV$16&lt;=DP$6),'Lease Cycles'!$C$16*'Lease Cycles'!$AW$16/12,IF(AND('Lease Cycles'!$AT$16&gt;=INDEX('Lease Cycles'!$BG$16:$BM$16,1,DP146),'Lease Cycles'!$AT$16&lt;=DP$6),'Lease Cycles'!$C$16*'Lease Cycles'!$AU$16/12,'Lease Cycles'!$C$16*INDEX('Lease Cycles'!$CB$16:$CH$16,1,DP146)*(1+INDEX('Lease Cycles'!$CI$16:$CO$16,1,DP146))^INT(INT(DP147/12)/INDEX('Lease Cycles'!$CP$16:$CV$16,1,DP146))/12)))),'Lease Cycles'!$C$16*INDEX('Lease Cycles'!$CB$16:$CH$16,1,DP146)*(1+INDEX('Lease Cycles'!$CI$16:$CO$16,1,DP146))^INT(INT(DP147/12)/INDEX('Lease Cycles'!$CP$16:$CV$16,1,DP146))/12))),IF('Lease Cycles'!$N$16=1,'Lease Cycles'!$C$16*'Lease Cycles'!$E$16*INDEX('Lease Cycles'!$HE$16:$HK$16,1,DP146)*(1+INDEX('Lease Cycles'!$GQ$16:$GW$16,1,DP146))^INT(INT((DP$6-INDEX('Lease Cycles'!$GJ$16:$GP$16,1,DP146))/12)/INDEX('Lease Cycles'!$GX$16:$HD$16,1,DP146))/12,0)))</f>
        <v>4275.347533851297</v>
      </c>
      <c r="DQ149" s="28">
        <f>IF(DQ146=0,IF('Lease Cycles'!$F$16&gt;0,'Lease Cycles'!$C$16*'Lease Cycles'!$E$16/12,0),IF(DQ148=1,IF('Lease Cycles'!$AT$16&gt;=9999,'Lease Cycles'!$C$16*INDEX('Lease Cycles'!$CB$16:$CH$16,1,DQ146)*(1+INDEX('Lease Cycles'!$CI$16:$CO$16,1,DQ146))^INT(INT(DQ147/12)/INDEX('Lease Cycles'!$CP$16:$CV$16,1,DQ146))/12,IF(DQ146=1,IF(DQ147&gt;=INDEX('Lease Cycles'!$DK$16:$DQ$16,1,DQ146),IF(DQ$6&gt;='Lease Cycles'!$AZ$16,'Lease Cycles'!$C$16*'Lease Cycles'!$BA$16/12,IF(DQ$6&gt;='Lease Cycles'!$AX$16,'Lease Cycles'!$C$16*'Lease Cycles'!$AY$16/12,IF(DQ$6&gt;='Lease Cycles'!$AV$16,'Lease Cycles'!$C$16*'Lease Cycles'!$AW$16/12,IF(DQ$6&gt;='Lease Cycles'!$AT$16,'Lease Cycles'!$C$16*'Lease Cycles'!$AU$16/12,'Lease Cycles'!$C$16*INDEX('Lease Cycles'!$CB$16:$CH$16,1,DQ146)*(1+INDEX('Lease Cycles'!$CI$16:$CO$16,1,DQ146))^INT(INT(DQ147/12)/INDEX('Lease Cycles'!$CP$16:$CV$16,1,DQ146))/12)))),'Lease Cycles'!$C$16*INDEX('Lease Cycles'!$CB$16:$CH$16,1,DQ146)*(1+INDEX('Lease Cycles'!$CI$16:$CO$16,1,DQ146))^INT(INT(DQ147/12)/INDEX('Lease Cycles'!$CP$16:$CV$16,1,DQ146))/12),IF(INDEX('Lease Cycles'!$EF$16:$EL$16,1,DQ146)=1,IF(AND('Lease Cycles'!$AZ$16&gt;=INDEX('Lease Cycles'!$BG$16:$BM$16,1,DQ146),'Lease Cycles'!$AZ$16&lt;=DQ$6),'Lease Cycles'!$C$16*'Lease Cycles'!$BA$16/12,IF(AND('Lease Cycles'!$AX$16&gt;=INDEX('Lease Cycles'!$BG$16:$BM$16,1,DQ146),'Lease Cycles'!$AX$16&lt;=DQ$6),'Lease Cycles'!$C$16*'Lease Cycles'!$AY$16/12,IF(AND('Lease Cycles'!$AV$16&gt;=INDEX('Lease Cycles'!$BG$16:$BM$16,1,DQ146),'Lease Cycles'!$AV$16&lt;=DQ$6),'Lease Cycles'!$C$16*'Lease Cycles'!$AW$16/12,IF(AND('Lease Cycles'!$AT$16&gt;=INDEX('Lease Cycles'!$BG$16:$BM$16,1,DQ146),'Lease Cycles'!$AT$16&lt;=DQ$6),'Lease Cycles'!$C$16*'Lease Cycles'!$AU$16/12,'Lease Cycles'!$C$16*INDEX('Lease Cycles'!$CB$16:$CH$16,1,DQ146)*(1+INDEX('Lease Cycles'!$CI$16:$CO$16,1,DQ146))^INT(INT(DQ147/12)/INDEX('Lease Cycles'!$CP$16:$CV$16,1,DQ146))/12)))),'Lease Cycles'!$C$16*INDEX('Lease Cycles'!$CB$16:$CH$16,1,DQ146)*(1+INDEX('Lease Cycles'!$CI$16:$CO$16,1,DQ146))^INT(INT(DQ147/12)/INDEX('Lease Cycles'!$CP$16:$CV$16,1,DQ146))/12))),IF('Lease Cycles'!$N$16=1,'Lease Cycles'!$C$16*'Lease Cycles'!$E$16*INDEX('Lease Cycles'!$HE$16:$HK$16,1,DQ146)*(1+INDEX('Lease Cycles'!$GQ$16:$GW$16,1,DQ146))^INT(INT((DQ$6-INDEX('Lease Cycles'!$GJ$16:$GP$16,1,DQ146))/12)/INDEX('Lease Cycles'!$GX$16:$HD$16,1,DQ146))/12,0)))</f>
        <v>4275.347533851297</v>
      </c>
      <c r="DR149" s="28">
        <f>IF(DR146=0,IF('Lease Cycles'!$F$16&gt;0,'Lease Cycles'!$C$16*'Lease Cycles'!$E$16/12,0),IF(DR148=1,IF('Lease Cycles'!$AT$16&gt;=9999,'Lease Cycles'!$C$16*INDEX('Lease Cycles'!$CB$16:$CH$16,1,DR146)*(1+INDEX('Lease Cycles'!$CI$16:$CO$16,1,DR146))^INT(INT(DR147/12)/INDEX('Lease Cycles'!$CP$16:$CV$16,1,DR146))/12,IF(DR146=1,IF(DR147&gt;=INDEX('Lease Cycles'!$DK$16:$DQ$16,1,DR146),IF(DR$6&gt;='Lease Cycles'!$AZ$16,'Lease Cycles'!$C$16*'Lease Cycles'!$BA$16/12,IF(DR$6&gt;='Lease Cycles'!$AX$16,'Lease Cycles'!$C$16*'Lease Cycles'!$AY$16/12,IF(DR$6&gt;='Lease Cycles'!$AV$16,'Lease Cycles'!$C$16*'Lease Cycles'!$AW$16/12,IF(DR$6&gt;='Lease Cycles'!$AT$16,'Lease Cycles'!$C$16*'Lease Cycles'!$AU$16/12,'Lease Cycles'!$C$16*INDEX('Lease Cycles'!$CB$16:$CH$16,1,DR146)*(1+INDEX('Lease Cycles'!$CI$16:$CO$16,1,DR146))^INT(INT(DR147/12)/INDEX('Lease Cycles'!$CP$16:$CV$16,1,DR146))/12)))),'Lease Cycles'!$C$16*INDEX('Lease Cycles'!$CB$16:$CH$16,1,DR146)*(1+INDEX('Lease Cycles'!$CI$16:$CO$16,1,DR146))^INT(INT(DR147/12)/INDEX('Lease Cycles'!$CP$16:$CV$16,1,DR146))/12),IF(INDEX('Lease Cycles'!$EF$16:$EL$16,1,DR146)=1,IF(AND('Lease Cycles'!$AZ$16&gt;=INDEX('Lease Cycles'!$BG$16:$BM$16,1,DR146),'Lease Cycles'!$AZ$16&lt;=DR$6),'Lease Cycles'!$C$16*'Lease Cycles'!$BA$16/12,IF(AND('Lease Cycles'!$AX$16&gt;=INDEX('Lease Cycles'!$BG$16:$BM$16,1,DR146),'Lease Cycles'!$AX$16&lt;=DR$6),'Lease Cycles'!$C$16*'Lease Cycles'!$AY$16/12,IF(AND('Lease Cycles'!$AV$16&gt;=INDEX('Lease Cycles'!$BG$16:$BM$16,1,DR146),'Lease Cycles'!$AV$16&lt;=DR$6),'Lease Cycles'!$C$16*'Lease Cycles'!$AW$16/12,IF(AND('Lease Cycles'!$AT$16&gt;=INDEX('Lease Cycles'!$BG$16:$BM$16,1,DR146),'Lease Cycles'!$AT$16&lt;=DR$6),'Lease Cycles'!$C$16*'Lease Cycles'!$AU$16/12,'Lease Cycles'!$C$16*INDEX('Lease Cycles'!$CB$16:$CH$16,1,DR146)*(1+INDEX('Lease Cycles'!$CI$16:$CO$16,1,DR146))^INT(INT(DR147/12)/INDEX('Lease Cycles'!$CP$16:$CV$16,1,DR146))/12)))),'Lease Cycles'!$C$16*INDEX('Lease Cycles'!$CB$16:$CH$16,1,DR146)*(1+INDEX('Lease Cycles'!$CI$16:$CO$16,1,DR146))^INT(INT(DR147/12)/INDEX('Lease Cycles'!$CP$16:$CV$16,1,DR146))/12))),IF('Lease Cycles'!$N$16=1,'Lease Cycles'!$C$16*'Lease Cycles'!$E$16*INDEX('Lease Cycles'!$HE$16:$HK$16,1,DR146)*(1+INDEX('Lease Cycles'!$GQ$16:$GW$16,1,DR146))^INT(INT((DR$6-INDEX('Lease Cycles'!$GJ$16:$GP$16,1,DR146))/12)/INDEX('Lease Cycles'!$GX$16:$HD$16,1,DR146))/12,0)))</f>
        <v>4275.347533851297</v>
      </c>
      <c r="DS149" s="28">
        <f>IF(DS146=0,IF('Lease Cycles'!$F$16&gt;0,'Lease Cycles'!$C$16*'Lease Cycles'!$E$16/12,0),IF(DS148=1,IF('Lease Cycles'!$AT$16&gt;=9999,'Lease Cycles'!$C$16*INDEX('Lease Cycles'!$CB$16:$CH$16,1,DS146)*(1+INDEX('Lease Cycles'!$CI$16:$CO$16,1,DS146))^INT(INT(DS147/12)/INDEX('Lease Cycles'!$CP$16:$CV$16,1,DS146))/12,IF(DS146=1,IF(DS147&gt;=INDEX('Lease Cycles'!$DK$16:$DQ$16,1,DS146),IF(DS$6&gt;='Lease Cycles'!$AZ$16,'Lease Cycles'!$C$16*'Lease Cycles'!$BA$16/12,IF(DS$6&gt;='Lease Cycles'!$AX$16,'Lease Cycles'!$C$16*'Lease Cycles'!$AY$16/12,IF(DS$6&gt;='Lease Cycles'!$AV$16,'Lease Cycles'!$C$16*'Lease Cycles'!$AW$16/12,IF(DS$6&gt;='Lease Cycles'!$AT$16,'Lease Cycles'!$C$16*'Lease Cycles'!$AU$16/12,'Lease Cycles'!$C$16*INDEX('Lease Cycles'!$CB$16:$CH$16,1,DS146)*(1+INDEX('Lease Cycles'!$CI$16:$CO$16,1,DS146))^INT(INT(DS147/12)/INDEX('Lease Cycles'!$CP$16:$CV$16,1,DS146))/12)))),'Lease Cycles'!$C$16*INDEX('Lease Cycles'!$CB$16:$CH$16,1,DS146)*(1+INDEX('Lease Cycles'!$CI$16:$CO$16,1,DS146))^INT(INT(DS147/12)/INDEX('Lease Cycles'!$CP$16:$CV$16,1,DS146))/12),IF(INDEX('Lease Cycles'!$EF$16:$EL$16,1,DS146)=1,IF(AND('Lease Cycles'!$AZ$16&gt;=INDEX('Lease Cycles'!$BG$16:$BM$16,1,DS146),'Lease Cycles'!$AZ$16&lt;=DS$6),'Lease Cycles'!$C$16*'Lease Cycles'!$BA$16/12,IF(AND('Lease Cycles'!$AX$16&gt;=INDEX('Lease Cycles'!$BG$16:$BM$16,1,DS146),'Lease Cycles'!$AX$16&lt;=DS$6),'Lease Cycles'!$C$16*'Lease Cycles'!$AY$16/12,IF(AND('Lease Cycles'!$AV$16&gt;=INDEX('Lease Cycles'!$BG$16:$BM$16,1,DS146),'Lease Cycles'!$AV$16&lt;=DS$6),'Lease Cycles'!$C$16*'Lease Cycles'!$AW$16/12,IF(AND('Lease Cycles'!$AT$16&gt;=INDEX('Lease Cycles'!$BG$16:$BM$16,1,DS146),'Lease Cycles'!$AT$16&lt;=DS$6),'Lease Cycles'!$C$16*'Lease Cycles'!$AU$16/12,'Lease Cycles'!$C$16*INDEX('Lease Cycles'!$CB$16:$CH$16,1,DS146)*(1+INDEX('Lease Cycles'!$CI$16:$CO$16,1,DS146))^INT(INT(DS147/12)/INDEX('Lease Cycles'!$CP$16:$CV$16,1,DS146))/12)))),'Lease Cycles'!$C$16*INDEX('Lease Cycles'!$CB$16:$CH$16,1,DS146)*(1+INDEX('Lease Cycles'!$CI$16:$CO$16,1,DS146))^INT(INT(DS147/12)/INDEX('Lease Cycles'!$CP$16:$CV$16,1,DS146))/12))),IF('Lease Cycles'!$N$16=1,'Lease Cycles'!$C$16*'Lease Cycles'!$E$16*INDEX('Lease Cycles'!$HE$16:$HK$16,1,DS146)*(1+INDEX('Lease Cycles'!$GQ$16:$GW$16,1,DS146))^INT(INT((DS$6-INDEX('Lease Cycles'!$GJ$16:$GP$16,1,DS146))/12)/INDEX('Lease Cycles'!$GX$16:$HD$16,1,DS146))/12,0)))</f>
        <v>4275.347533851297</v>
      </c>
      <c r="DT149" s="28">
        <f>IF(DT146=0,IF('Lease Cycles'!$F$16&gt;0,'Lease Cycles'!$C$16*'Lease Cycles'!$E$16/12,0),IF(DT148=1,IF('Lease Cycles'!$AT$16&gt;=9999,'Lease Cycles'!$C$16*INDEX('Lease Cycles'!$CB$16:$CH$16,1,DT146)*(1+INDEX('Lease Cycles'!$CI$16:$CO$16,1,DT146))^INT(INT(DT147/12)/INDEX('Lease Cycles'!$CP$16:$CV$16,1,DT146))/12,IF(DT146=1,IF(DT147&gt;=INDEX('Lease Cycles'!$DK$16:$DQ$16,1,DT146),IF(DT$6&gt;='Lease Cycles'!$AZ$16,'Lease Cycles'!$C$16*'Lease Cycles'!$BA$16/12,IF(DT$6&gt;='Lease Cycles'!$AX$16,'Lease Cycles'!$C$16*'Lease Cycles'!$AY$16/12,IF(DT$6&gt;='Lease Cycles'!$AV$16,'Lease Cycles'!$C$16*'Lease Cycles'!$AW$16/12,IF(DT$6&gt;='Lease Cycles'!$AT$16,'Lease Cycles'!$C$16*'Lease Cycles'!$AU$16/12,'Lease Cycles'!$C$16*INDEX('Lease Cycles'!$CB$16:$CH$16,1,DT146)*(1+INDEX('Lease Cycles'!$CI$16:$CO$16,1,DT146))^INT(INT(DT147/12)/INDEX('Lease Cycles'!$CP$16:$CV$16,1,DT146))/12)))),'Lease Cycles'!$C$16*INDEX('Lease Cycles'!$CB$16:$CH$16,1,DT146)*(1+INDEX('Lease Cycles'!$CI$16:$CO$16,1,DT146))^INT(INT(DT147/12)/INDEX('Lease Cycles'!$CP$16:$CV$16,1,DT146))/12),IF(INDEX('Lease Cycles'!$EF$16:$EL$16,1,DT146)=1,IF(AND('Lease Cycles'!$AZ$16&gt;=INDEX('Lease Cycles'!$BG$16:$BM$16,1,DT146),'Lease Cycles'!$AZ$16&lt;=DT$6),'Lease Cycles'!$C$16*'Lease Cycles'!$BA$16/12,IF(AND('Lease Cycles'!$AX$16&gt;=INDEX('Lease Cycles'!$BG$16:$BM$16,1,DT146),'Lease Cycles'!$AX$16&lt;=DT$6),'Lease Cycles'!$C$16*'Lease Cycles'!$AY$16/12,IF(AND('Lease Cycles'!$AV$16&gt;=INDEX('Lease Cycles'!$BG$16:$BM$16,1,DT146),'Lease Cycles'!$AV$16&lt;=DT$6),'Lease Cycles'!$C$16*'Lease Cycles'!$AW$16/12,IF(AND('Lease Cycles'!$AT$16&gt;=INDEX('Lease Cycles'!$BG$16:$BM$16,1,DT146),'Lease Cycles'!$AT$16&lt;=DT$6),'Lease Cycles'!$C$16*'Lease Cycles'!$AU$16/12,'Lease Cycles'!$C$16*INDEX('Lease Cycles'!$CB$16:$CH$16,1,DT146)*(1+INDEX('Lease Cycles'!$CI$16:$CO$16,1,DT146))^INT(INT(DT147/12)/INDEX('Lease Cycles'!$CP$16:$CV$16,1,DT146))/12)))),'Lease Cycles'!$C$16*INDEX('Lease Cycles'!$CB$16:$CH$16,1,DT146)*(1+INDEX('Lease Cycles'!$CI$16:$CO$16,1,DT146))^INT(INT(DT147/12)/INDEX('Lease Cycles'!$CP$16:$CV$16,1,DT146))/12))),IF('Lease Cycles'!$N$16=1,'Lease Cycles'!$C$16*'Lease Cycles'!$E$16*INDEX('Lease Cycles'!$HE$16:$HK$16,1,DT146)*(1+INDEX('Lease Cycles'!$GQ$16:$GW$16,1,DT146))^INT(INT((DT$6-INDEX('Lease Cycles'!$GJ$16:$GP$16,1,DT146))/12)/INDEX('Lease Cycles'!$GX$16:$HD$16,1,DT146))/12,0)))</f>
        <v>4275.347533851297</v>
      </c>
      <c r="DU149" s="28">
        <f>IF(DU146=0,IF('Lease Cycles'!$F$16&gt;0,'Lease Cycles'!$C$16*'Lease Cycles'!$E$16/12,0),IF(DU148=1,IF('Lease Cycles'!$AT$16&gt;=9999,'Lease Cycles'!$C$16*INDEX('Lease Cycles'!$CB$16:$CH$16,1,DU146)*(1+INDEX('Lease Cycles'!$CI$16:$CO$16,1,DU146))^INT(INT(DU147/12)/INDEX('Lease Cycles'!$CP$16:$CV$16,1,DU146))/12,IF(DU146=1,IF(DU147&gt;=INDEX('Lease Cycles'!$DK$16:$DQ$16,1,DU146),IF(DU$6&gt;='Lease Cycles'!$AZ$16,'Lease Cycles'!$C$16*'Lease Cycles'!$BA$16/12,IF(DU$6&gt;='Lease Cycles'!$AX$16,'Lease Cycles'!$C$16*'Lease Cycles'!$AY$16/12,IF(DU$6&gt;='Lease Cycles'!$AV$16,'Lease Cycles'!$C$16*'Lease Cycles'!$AW$16/12,IF(DU$6&gt;='Lease Cycles'!$AT$16,'Lease Cycles'!$C$16*'Lease Cycles'!$AU$16/12,'Lease Cycles'!$C$16*INDEX('Lease Cycles'!$CB$16:$CH$16,1,DU146)*(1+INDEX('Lease Cycles'!$CI$16:$CO$16,1,DU146))^INT(INT(DU147/12)/INDEX('Lease Cycles'!$CP$16:$CV$16,1,DU146))/12)))),'Lease Cycles'!$C$16*INDEX('Lease Cycles'!$CB$16:$CH$16,1,DU146)*(1+INDEX('Lease Cycles'!$CI$16:$CO$16,1,DU146))^INT(INT(DU147/12)/INDEX('Lease Cycles'!$CP$16:$CV$16,1,DU146))/12),IF(INDEX('Lease Cycles'!$EF$16:$EL$16,1,DU146)=1,IF(AND('Lease Cycles'!$AZ$16&gt;=INDEX('Lease Cycles'!$BG$16:$BM$16,1,DU146),'Lease Cycles'!$AZ$16&lt;=DU$6),'Lease Cycles'!$C$16*'Lease Cycles'!$BA$16/12,IF(AND('Lease Cycles'!$AX$16&gt;=INDEX('Lease Cycles'!$BG$16:$BM$16,1,DU146),'Lease Cycles'!$AX$16&lt;=DU$6),'Lease Cycles'!$C$16*'Lease Cycles'!$AY$16/12,IF(AND('Lease Cycles'!$AV$16&gt;=INDEX('Lease Cycles'!$BG$16:$BM$16,1,DU146),'Lease Cycles'!$AV$16&lt;=DU$6),'Lease Cycles'!$C$16*'Lease Cycles'!$AW$16/12,IF(AND('Lease Cycles'!$AT$16&gt;=INDEX('Lease Cycles'!$BG$16:$BM$16,1,DU146),'Lease Cycles'!$AT$16&lt;=DU$6),'Lease Cycles'!$C$16*'Lease Cycles'!$AU$16/12,'Lease Cycles'!$C$16*INDEX('Lease Cycles'!$CB$16:$CH$16,1,DU146)*(1+INDEX('Lease Cycles'!$CI$16:$CO$16,1,DU146))^INT(INT(DU147/12)/INDEX('Lease Cycles'!$CP$16:$CV$16,1,DU146))/12)))),'Lease Cycles'!$C$16*INDEX('Lease Cycles'!$CB$16:$CH$16,1,DU146)*(1+INDEX('Lease Cycles'!$CI$16:$CO$16,1,DU146))^INT(INT(DU147/12)/INDEX('Lease Cycles'!$CP$16:$CV$16,1,DU146))/12))),IF('Lease Cycles'!$N$16=1,'Lease Cycles'!$C$16*'Lease Cycles'!$E$16*INDEX('Lease Cycles'!$HE$16:$HK$16,1,DU146)*(1+INDEX('Lease Cycles'!$GQ$16:$GW$16,1,DU146))^INT(INT((DU$6-INDEX('Lease Cycles'!$GJ$16:$GP$16,1,DU146))/12)/INDEX('Lease Cycles'!$GX$16:$HD$16,1,DU146))/12,0)))</f>
        <v>4403.607959866836</v>
      </c>
      <c r="DV149" s="28">
        <f>IF(DV146=0,IF('Lease Cycles'!$F$16&gt;0,'Lease Cycles'!$C$16*'Lease Cycles'!$E$16/12,0),IF(DV148=1,IF('Lease Cycles'!$AT$16&gt;=9999,'Lease Cycles'!$C$16*INDEX('Lease Cycles'!$CB$16:$CH$16,1,DV146)*(1+INDEX('Lease Cycles'!$CI$16:$CO$16,1,DV146))^INT(INT(DV147/12)/INDEX('Lease Cycles'!$CP$16:$CV$16,1,DV146))/12,IF(DV146=1,IF(DV147&gt;=INDEX('Lease Cycles'!$DK$16:$DQ$16,1,DV146),IF(DV$6&gt;='Lease Cycles'!$AZ$16,'Lease Cycles'!$C$16*'Lease Cycles'!$BA$16/12,IF(DV$6&gt;='Lease Cycles'!$AX$16,'Lease Cycles'!$C$16*'Lease Cycles'!$AY$16/12,IF(DV$6&gt;='Lease Cycles'!$AV$16,'Lease Cycles'!$C$16*'Lease Cycles'!$AW$16/12,IF(DV$6&gt;='Lease Cycles'!$AT$16,'Lease Cycles'!$C$16*'Lease Cycles'!$AU$16/12,'Lease Cycles'!$C$16*INDEX('Lease Cycles'!$CB$16:$CH$16,1,DV146)*(1+INDEX('Lease Cycles'!$CI$16:$CO$16,1,DV146))^INT(INT(DV147/12)/INDEX('Lease Cycles'!$CP$16:$CV$16,1,DV146))/12)))),'Lease Cycles'!$C$16*INDEX('Lease Cycles'!$CB$16:$CH$16,1,DV146)*(1+INDEX('Lease Cycles'!$CI$16:$CO$16,1,DV146))^INT(INT(DV147/12)/INDEX('Lease Cycles'!$CP$16:$CV$16,1,DV146))/12),IF(INDEX('Lease Cycles'!$EF$16:$EL$16,1,DV146)=1,IF(AND('Lease Cycles'!$AZ$16&gt;=INDEX('Lease Cycles'!$BG$16:$BM$16,1,DV146),'Lease Cycles'!$AZ$16&lt;=DV$6),'Lease Cycles'!$C$16*'Lease Cycles'!$BA$16/12,IF(AND('Lease Cycles'!$AX$16&gt;=INDEX('Lease Cycles'!$BG$16:$BM$16,1,DV146),'Lease Cycles'!$AX$16&lt;=DV$6),'Lease Cycles'!$C$16*'Lease Cycles'!$AY$16/12,IF(AND('Lease Cycles'!$AV$16&gt;=INDEX('Lease Cycles'!$BG$16:$BM$16,1,DV146),'Lease Cycles'!$AV$16&lt;=DV$6),'Lease Cycles'!$C$16*'Lease Cycles'!$AW$16/12,IF(AND('Lease Cycles'!$AT$16&gt;=INDEX('Lease Cycles'!$BG$16:$BM$16,1,DV146),'Lease Cycles'!$AT$16&lt;=DV$6),'Lease Cycles'!$C$16*'Lease Cycles'!$AU$16/12,'Lease Cycles'!$C$16*INDEX('Lease Cycles'!$CB$16:$CH$16,1,DV146)*(1+INDEX('Lease Cycles'!$CI$16:$CO$16,1,DV146))^INT(INT(DV147/12)/INDEX('Lease Cycles'!$CP$16:$CV$16,1,DV146))/12)))),'Lease Cycles'!$C$16*INDEX('Lease Cycles'!$CB$16:$CH$16,1,DV146)*(1+INDEX('Lease Cycles'!$CI$16:$CO$16,1,DV146))^INT(INT(DV147/12)/INDEX('Lease Cycles'!$CP$16:$CV$16,1,DV146))/12))),IF('Lease Cycles'!$N$16=1,'Lease Cycles'!$C$16*'Lease Cycles'!$E$16*INDEX('Lease Cycles'!$HE$16:$HK$16,1,DV146)*(1+INDEX('Lease Cycles'!$GQ$16:$GW$16,1,DV146))^INT(INT((DV$6-INDEX('Lease Cycles'!$GJ$16:$GP$16,1,DV146))/12)/INDEX('Lease Cycles'!$GX$16:$HD$16,1,DV146))/12,0)))</f>
        <v>4403.607959866836</v>
      </c>
      <c r="DW149" s="28">
        <f>IF(DW146=0,IF('Lease Cycles'!$F$16&gt;0,'Lease Cycles'!$C$16*'Lease Cycles'!$E$16/12,0),IF(DW148=1,IF('Lease Cycles'!$AT$16&gt;=9999,'Lease Cycles'!$C$16*INDEX('Lease Cycles'!$CB$16:$CH$16,1,DW146)*(1+INDEX('Lease Cycles'!$CI$16:$CO$16,1,DW146))^INT(INT(DW147/12)/INDEX('Lease Cycles'!$CP$16:$CV$16,1,DW146))/12,IF(DW146=1,IF(DW147&gt;=INDEX('Lease Cycles'!$DK$16:$DQ$16,1,DW146),IF(DW$6&gt;='Lease Cycles'!$AZ$16,'Lease Cycles'!$C$16*'Lease Cycles'!$BA$16/12,IF(DW$6&gt;='Lease Cycles'!$AX$16,'Lease Cycles'!$C$16*'Lease Cycles'!$AY$16/12,IF(DW$6&gt;='Lease Cycles'!$AV$16,'Lease Cycles'!$C$16*'Lease Cycles'!$AW$16/12,IF(DW$6&gt;='Lease Cycles'!$AT$16,'Lease Cycles'!$C$16*'Lease Cycles'!$AU$16/12,'Lease Cycles'!$C$16*INDEX('Lease Cycles'!$CB$16:$CH$16,1,DW146)*(1+INDEX('Lease Cycles'!$CI$16:$CO$16,1,DW146))^INT(INT(DW147/12)/INDEX('Lease Cycles'!$CP$16:$CV$16,1,DW146))/12)))),'Lease Cycles'!$C$16*INDEX('Lease Cycles'!$CB$16:$CH$16,1,DW146)*(1+INDEX('Lease Cycles'!$CI$16:$CO$16,1,DW146))^INT(INT(DW147/12)/INDEX('Lease Cycles'!$CP$16:$CV$16,1,DW146))/12),IF(INDEX('Lease Cycles'!$EF$16:$EL$16,1,DW146)=1,IF(AND('Lease Cycles'!$AZ$16&gt;=INDEX('Lease Cycles'!$BG$16:$BM$16,1,DW146),'Lease Cycles'!$AZ$16&lt;=DW$6),'Lease Cycles'!$C$16*'Lease Cycles'!$BA$16/12,IF(AND('Lease Cycles'!$AX$16&gt;=INDEX('Lease Cycles'!$BG$16:$BM$16,1,DW146),'Lease Cycles'!$AX$16&lt;=DW$6),'Lease Cycles'!$C$16*'Lease Cycles'!$AY$16/12,IF(AND('Lease Cycles'!$AV$16&gt;=INDEX('Lease Cycles'!$BG$16:$BM$16,1,DW146),'Lease Cycles'!$AV$16&lt;=DW$6),'Lease Cycles'!$C$16*'Lease Cycles'!$AW$16/12,IF(AND('Lease Cycles'!$AT$16&gt;=INDEX('Lease Cycles'!$BG$16:$BM$16,1,DW146),'Lease Cycles'!$AT$16&lt;=DW$6),'Lease Cycles'!$C$16*'Lease Cycles'!$AU$16/12,'Lease Cycles'!$C$16*INDEX('Lease Cycles'!$CB$16:$CH$16,1,DW146)*(1+INDEX('Lease Cycles'!$CI$16:$CO$16,1,DW146))^INT(INT(DW147/12)/INDEX('Lease Cycles'!$CP$16:$CV$16,1,DW146))/12)))),'Lease Cycles'!$C$16*INDEX('Lease Cycles'!$CB$16:$CH$16,1,DW146)*(1+INDEX('Lease Cycles'!$CI$16:$CO$16,1,DW146))^INT(INT(DW147/12)/INDEX('Lease Cycles'!$CP$16:$CV$16,1,DW146))/12))),IF('Lease Cycles'!$N$16=1,'Lease Cycles'!$C$16*'Lease Cycles'!$E$16*INDEX('Lease Cycles'!$HE$16:$HK$16,1,DW146)*(1+INDEX('Lease Cycles'!$GQ$16:$GW$16,1,DW146))^INT(INT((DW$6-INDEX('Lease Cycles'!$GJ$16:$GP$16,1,DW146))/12)/INDEX('Lease Cycles'!$GX$16:$HD$16,1,DW146))/12,0)))</f>
        <v>4403.607959866836</v>
      </c>
      <c r="DX149" s="28">
        <f>IF(DX146=0,IF('Lease Cycles'!$F$16&gt;0,'Lease Cycles'!$C$16*'Lease Cycles'!$E$16/12,0),IF(DX148=1,IF('Lease Cycles'!$AT$16&gt;=9999,'Lease Cycles'!$C$16*INDEX('Lease Cycles'!$CB$16:$CH$16,1,DX146)*(1+INDEX('Lease Cycles'!$CI$16:$CO$16,1,DX146))^INT(INT(DX147/12)/INDEX('Lease Cycles'!$CP$16:$CV$16,1,DX146))/12,IF(DX146=1,IF(DX147&gt;=INDEX('Lease Cycles'!$DK$16:$DQ$16,1,DX146),IF(DX$6&gt;='Lease Cycles'!$AZ$16,'Lease Cycles'!$C$16*'Lease Cycles'!$BA$16/12,IF(DX$6&gt;='Lease Cycles'!$AX$16,'Lease Cycles'!$C$16*'Lease Cycles'!$AY$16/12,IF(DX$6&gt;='Lease Cycles'!$AV$16,'Lease Cycles'!$C$16*'Lease Cycles'!$AW$16/12,IF(DX$6&gt;='Lease Cycles'!$AT$16,'Lease Cycles'!$C$16*'Lease Cycles'!$AU$16/12,'Lease Cycles'!$C$16*INDEX('Lease Cycles'!$CB$16:$CH$16,1,DX146)*(1+INDEX('Lease Cycles'!$CI$16:$CO$16,1,DX146))^INT(INT(DX147/12)/INDEX('Lease Cycles'!$CP$16:$CV$16,1,DX146))/12)))),'Lease Cycles'!$C$16*INDEX('Lease Cycles'!$CB$16:$CH$16,1,DX146)*(1+INDEX('Lease Cycles'!$CI$16:$CO$16,1,DX146))^INT(INT(DX147/12)/INDEX('Lease Cycles'!$CP$16:$CV$16,1,DX146))/12),IF(INDEX('Lease Cycles'!$EF$16:$EL$16,1,DX146)=1,IF(AND('Lease Cycles'!$AZ$16&gt;=INDEX('Lease Cycles'!$BG$16:$BM$16,1,DX146),'Lease Cycles'!$AZ$16&lt;=DX$6),'Lease Cycles'!$C$16*'Lease Cycles'!$BA$16/12,IF(AND('Lease Cycles'!$AX$16&gt;=INDEX('Lease Cycles'!$BG$16:$BM$16,1,DX146),'Lease Cycles'!$AX$16&lt;=DX$6),'Lease Cycles'!$C$16*'Lease Cycles'!$AY$16/12,IF(AND('Lease Cycles'!$AV$16&gt;=INDEX('Lease Cycles'!$BG$16:$BM$16,1,DX146),'Lease Cycles'!$AV$16&lt;=DX$6),'Lease Cycles'!$C$16*'Lease Cycles'!$AW$16/12,IF(AND('Lease Cycles'!$AT$16&gt;=INDEX('Lease Cycles'!$BG$16:$BM$16,1,DX146),'Lease Cycles'!$AT$16&lt;=DX$6),'Lease Cycles'!$C$16*'Lease Cycles'!$AU$16/12,'Lease Cycles'!$C$16*INDEX('Lease Cycles'!$CB$16:$CH$16,1,DX146)*(1+INDEX('Lease Cycles'!$CI$16:$CO$16,1,DX146))^INT(INT(DX147/12)/INDEX('Lease Cycles'!$CP$16:$CV$16,1,DX146))/12)))),'Lease Cycles'!$C$16*INDEX('Lease Cycles'!$CB$16:$CH$16,1,DX146)*(1+INDEX('Lease Cycles'!$CI$16:$CO$16,1,DX146))^INT(INT(DX147/12)/INDEX('Lease Cycles'!$CP$16:$CV$16,1,DX146))/12))),IF('Lease Cycles'!$N$16=1,'Lease Cycles'!$C$16*'Lease Cycles'!$E$16*INDEX('Lease Cycles'!$HE$16:$HK$16,1,DX146)*(1+INDEX('Lease Cycles'!$GQ$16:$GW$16,1,DX146))^INT(INT((DX$6-INDEX('Lease Cycles'!$GJ$16:$GP$16,1,DX146))/12)/INDEX('Lease Cycles'!$GX$16:$HD$16,1,DX146))/12,0)))</f>
        <v>4403.607959866836</v>
      </c>
      <c r="DY149" s="28">
        <f>IF(DY146=0,IF('Lease Cycles'!$F$16&gt;0,'Lease Cycles'!$C$16*'Lease Cycles'!$E$16/12,0),IF(DY148=1,IF('Lease Cycles'!$AT$16&gt;=9999,'Lease Cycles'!$C$16*INDEX('Lease Cycles'!$CB$16:$CH$16,1,DY146)*(1+INDEX('Lease Cycles'!$CI$16:$CO$16,1,DY146))^INT(INT(DY147/12)/INDEX('Lease Cycles'!$CP$16:$CV$16,1,DY146))/12,IF(DY146=1,IF(DY147&gt;=INDEX('Lease Cycles'!$DK$16:$DQ$16,1,DY146),IF(DY$6&gt;='Lease Cycles'!$AZ$16,'Lease Cycles'!$C$16*'Lease Cycles'!$BA$16/12,IF(DY$6&gt;='Lease Cycles'!$AX$16,'Lease Cycles'!$C$16*'Lease Cycles'!$AY$16/12,IF(DY$6&gt;='Lease Cycles'!$AV$16,'Lease Cycles'!$C$16*'Lease Cycles'!$AW$16/12,IF(DY$6&gt;='Lease Cycles'!$AT$16,'Lease Cycles'!$C$16*'Lease Cycles'!$AU$16/12,'Lease Cycles'!$C$16*INDEX('Lease Cycles'!$CB$16:$CH$16,1,DY146)*(1+INDEX('Lease Cycles'!$CI$16:$CO$16,1,DY146))^INT(INT(DY147/12)/INDEX('Lease Cycles'!$CP$16:$CV$16,1,DY146))/12)))),'Lease Cycles'!$C$16*INDEX('Lease Cycles'!$CB$16:$CH$16,1,DY146)*(1+INDEX('Lease Cycles'!$CI$16:$CO$16,1,DY146))^INT(INT(DY147/12)/INDEX('Lease Cycles'!$CP$16:$CV$16,1,DY146))/12),IF(INDEX('Lease Cycles'!$EF$16:$EL$16,1,DY146)=1,IF(AND('Lease Cycles'!$AZ$16&gt;=INDEX('Lease Cycles'!$BG$16:$BM$16,1,DY146),'Lease Cycles'!$AZ$16&lt;=DY$6),'Lease Cycles'!$C$16*'Lease Cycles'!$BA$16/12,IF(AND('Lease Cycles'!$AX$16&gt;=INDEX('Lease Cycles'!$BG$16:$BM$16,1,DY146),'Lease Cycles'!$AX$16&lt;=DY$6),'Lease Cycles'!$C$16*'Lease Cycles'!$AY$16/12,IF(AND('Lease Cycles'!$AV$16&gt;=INDEX('Lease Cycles'!$BG$16:$BM$16,1,DY146),'Lease Cycles'!$AV$16&lt;=DY$6),'Lease Cycles'!$C$16*'Lease Cycles'!$AW$16/12,IF(AND('Lease Cycles'!$AT$16&gt;=INDEX('Lease Cycles'!$BG$16:$BM$16,1,DY146),'Lease Cycles'!$AT$16&lt;=DY$6),'Lease Cycles'!$C$16*'Lease Cycles'!$AU$16/12,'Lease Cycles'!$C$16*INDEX('Lease Cycles'!$CB$16:$CH$16,1,DY146)*(1+INDEX('Lease Cycles'!$CI$16:$CO$16,1,DY146))^INT(INT(DY147/12)/INDEX('Lease Cycles'!$CP$16:$CV$16,1,DY146))/12)))),'Lease Cycles'!$C$16*INDEX('Lease Cycles'!$CB$16:$CH$16,1,DY146)*(1+INDEX('Lease Cycles'!$CI$16:$CO$16,1,DY146))^INT(INT(DY147/12)/INDEX('Lease Cycles'!$CP$16:$CV$16,1,DY146))/12))),IF('Lease Cycles'!$N$16=1,'Lease Cycles'!$C$16*'Lease Cycles'!$E$16*INDEX('Lease Cycles'!$HE$16:$HK$16,1,DY146)*(1+INDEX('Lease Cycles'!$GQ$16:$GW$16,1,DY146))^INT(INT((DY$6-INDEX('Lease Cycles'!$GJ$16:$GP$16,1,DY146))/12)/INDEX('Lease Cycles'!$GX$16:$HD$16,1,DY146))/12,0)))</f>
        <v>4403.607959866836</v>
      </c>
      <c r="DZ149" s="28">
        <f>IF(DZ146=0,IF('Lease Cycles'!$F$16&gt;0,'Lease Cycles'!$C$16*'Lease Cycles'!$E$16/12,0),IF(DZ148=1,IF('Lease Cycles'!$AT$16&gt;=9999,'Lease Cycles'!$C$16*INDEX('Lease Cycles'!$CB$16:$CH$16,1,DZ146)*(1+INDEX('Lease Cycles'!$CI$16:$CO$16,1,DZ146))^INT(INT(DZ147/12)/INDEX('Lease Cycles'!$CP$16:$CV$16,1,DZ146))/12,IF(DZ146=1,IF(DZ147&gt;=INDEX('Lease Cycles'!$DK$16:$DQ$16,1,DZ146),IF(DZ$6&gt;='Lease Cycles'!$AZ$16,'Lease Cycles'!$C$16*'Lease Cycles'!$BA$16/12,IF(DZ$6&gt;='Lease Cycles'!$AX$16,'Lease Cycles'!$C$16*'Lease Cycles'!$AY$16/12,IF(DZ$6&gt;='Lease Cycles'!$AV$16,'Lease Cycles'!$C$16*'Lease Cycles'!$AW$16/12,IF(DZ$6&gt;='Lease Cycles'!$AT$16,'Lease Cycles'!$C$16*'Lease Cycles'!$AU$16/12,'Lease Cycles'!$C$16*INDEX('Lease Cycles'!$CB$16:$CH$16,1,DZ146)*(1+INDEX('Lease Cycles'!$CI$16:$CO$16,1,DZ146))^INT(INT(DZ147/12)/INDEX('Lease Cycles'!$CP$16:$CV$16,1,DZ146))/12)))),'Lease Cycles'!$C$16*INDEX('Lease Cycles'!$CB$16:$CH$16,1,DZ146)*(1+INDEX('Lease Cycles'!$CI$16:$CO$16,1,DZ146))^INT(INT(DZ147/12)/INDEX('Lease Cycles'!$CP$16:$CV$16,1,DZ146))/12),IF(INDEX('Lease Cycles'!$EF$16:$EL$16,1,DZ146)=1,IF(AND('Lease Cycles'!$AZ$16&gt;=INDEX('Lease Cycles'!$BG$16:$BM$16,1,DZ146),'Lease Cycles'!$AZ$16&lt;=DZ$6),'Lease Cycles'!$C$16*'Lease Cycles'!$BA$16/12,IF(AND('Lease Cycles'!$AX$16&gt;=INDEX('Lease Cycles'!$BG$16:$BM$16,1,DZ146),'Lease Cycles'!$AX$16&lt;=DZ$6),'Lease Cycles'!$C$16*'Lease Cycles'!$AY$16/12,IF(AND('Lease Cycles'!$AV$16&gt;=INDEX('Lease Cycles'!$BG$16:$BM$16,1,DZ146),'Lease Cycles'!$AV$16&lt;=DZ$6),'Lease Cycles'!$C$16*'Lease Cycles'!$AW$16/12,IF(AND('Lease Cycles'!$AT$16&gt;=INDEX('Lease Cycles'!$BG$16:$BM$16,1,DZ146),'Lease Cycles'!$AT$16&lt;=DZ$6),'Lease Cycles'!$C$16*'Lease Cycles'!$AU$16/12,'Lease Cycles'!$C$16*INDEX('Lease Cycles'!$CB$16:$CH$16,1,DZ146)*(1+INDEX('Lease Cycles'!$CI$16:$CO$16,1,DZ146))^INT(INT(DZ147/12)/INDEX('Lease Cycles'!$CP$16:$CV$16,1,DZ146))/12)))),'Lease Cycles'!$C$16*INDEX('Lease Cycles'!$CB$16:$CH$16,1,DZ146)*(1+INDEX('Lease Cycles'!$CI$16:$CO$16,1,DZ146))^INT(INT(DZ147/12)/INDEX('Lease Cycles'!$CP$16:$CV$16,1,DZ146))/12))),IF('Lease Cycles'!$N$16=1,'Lease Cycles'!$C$16*'Lease Cycles'!$E$16*INDEX('Lease Cycles'!$HE$16:$HK$16,1,DZ146)*(1+INDEX('Lease Cycles'!$GQ$16:$GW$16,1,DZ146))^INT(INT((DZ$6-INDEX('Lease Cycles'!$GJ$16:$GP$16,1,DZ146))/12)/INDEX('Lease Cycles'!$GX$16:$HD$16,1,DZ146))/12,0)))</f>
        <v>4403.607959866836</v>
      </c>
      <c r="EA149" s="28">
        <f>IF(EA146=0,IF('Lease Cycles'!$F$16&gt;0,'Lease Cycles'!$C$16*'Lease Cycles'!$E$16/12,0),IF(EA148=1,IF('Lease Cycles'!$AT$16&gt;=9999,'Lease Cycles'!$C$16*INDEX('Lease Cycles'!$CB$16:$CH$16,1,EA146)*(1+INDEX('Lease Cycles'!$CI$16:$CO$16,1,EA146))^INT(INT(EA147/12)/INDEX('Lease Cycles'!$CP$16:$CV$16,1,EA146))/12,IF(EA146=1,IF(EA147&gt;=INDEX('Lease Cycles'!$DK$16:$DQ$16,1,EA146),IF(EA$6&gt;='Lease Cycles'!$AZ$16,'Lease Cycles'!$C$16*'Lease Cycles'!$BA$16/12,IF(EA$6&gt;='Lease Cycles'!$AX$16,'Lease Cycles'!$C$16*'Lease Cycles'!$AY$16/12,IF(EA$6&gt;='Lease Cycles'!$AV$16,'Lease Cycles'!$C$16*'Lease Cycles'!$AW$16/12,IF(EA$6&gt;='Lease Cycles'!$AT$16,'Lease Cycles'!$C$16*'Lease Cycles'!$AU$16/12,'Lease Cycles'!$C$16*INDEX('Lease Cycles'!$CB$16:$CH$16,1,EA146)*(1+INDEX('Lease Cycles'!$CI$16:$CO$16,1,EA146))^INT(INT(EA147/12)/INDEX('Lease Cycles'!$CP$16:$CV$16,1,EA146))/12)))),'Lease Cycles'!$C$16*INDEX('Lease Cycles'!$CB$16:$CH$16,1,EA146)*(1+INDEX('Lease Cycles'!$CI$16:$CO$16,1,EA146))^INT(INT(EA147/12)/INDEX('Lease Cycles'!$CP$16:$CV$16,1,EA146))/12),IF(INDEX('Lease Cycles'!$EF$16:$EL$16,1,EA146)=1,IF(AND('Lease Cycles'!$AZ$16&gt;=INDEX('Lease Cycles'!$BG$16:$BM$16,1,EA146),'Lease Cycles'!$AZ$16&lt;=EA$6),'Lease Cycles'!$C$16*'Lease Cycles'!$BA$16/12,IF(AND('Lease Cycles'!$AX$16&gt;=INDEX('Lease Cycles'!$BG$16:$BM$16,1,EA146),'Lease Cycles'!$AX$16&lt;=EA$6),'Lease Cycles'!$C$16*'Lease Cycles'!$AY$16/12,IF(AND('Lease Cycles'!$AV$16&gt;=INDEX('Lease Cycles'!$BG$16:$BM$16,1,EA146),'Lease Cycles'!$AV$16&lt;=EA$6),'Lease Cycles'!$C$16*'Lease Cycles'!$AW$16/12,IF(AND('Lease Cycles'!$AT$16&gt;=INDEX('Lease Cycles'!$BG$16:$BM$16,1,EA146),'Lease Cycles'!$AT$16&lt;=EA$6),'Lease Cycles'!$C$16*'Lease Cycles'!$AU$16/12,'Lease Cycles'!$C$16*INDEX('Lease Cycles'!$CB$16:$CH$16,1,EA146)*(1+INDEX('Lease Cycles'!$CI$16:$CO$16,1,EA146))^INT(INT(EA147/12)/INDEX('Lease Cycles'!$CP$16:$CV$16,1,EA146))/12)))),'Lease Cycles'!$C$16*INDEX('Lease Cycles'!$CB$16:$CH$16,1,EA146)*(1+INDEX('Lease Cycles'!$CI$16:$CO$16,1,EA146))^INT(INT(EA147/12)/INDEX('Lease Cycles'!$CP$16:$CV$16,1,EA146))/12))),IF('Lease Cycles'!$N$16=1,'Lease Cycles'!$C$16*'Lease Cycles'!$E$16*INDEX('Lease Cycles'!$HE$16:$HK$16,1,EA146)*(1+INDEX('Lease Cycles'!$GQ$16:$GW$16,1,EA146))^INT(INT((EA$6-INDEX('Lease Cycles'!$GJ$16:$GP$16,1,EA146))/12)/INDEX('Lease Cycles'!$GX$16:$HD$16,1,EA146))/12,0)))</f>
        <v>4403.607959866836</v>
      </c>
      <c r="EB149" s="28">
        <f>IF(EB146=0,IF('Lease Cycles'!$F$16&gt;0,'Lease Cycles'!$C$16*'Lease Cycles'!$E$16/12,0),IF(EB148=1,IF('Lease Cycles'!$AT$16&gt;=9999,'Lease Cycles'!$C$16*INDEX('Lease Cycles'!$CB$16:$CH$16,1,EB146)*(1+INDEX('Lease Cycles'!$CI$16:$CO$16,1,EB146))^INT(INT(EB147/12)/INDEX('Lease Cycles'!$CP$16:$CV$16,1,EB146))/12,IF(EB146=1,IF(EB147&gt;=INDEX('Lease Cycles'!$DK$16:$DQ$16,1,EB146),IF(EB$6&gt;='Lease Cycles'!$AZ$16,'Lease Cycles'!$C$16*'Lease Cycles'!$BA$16/12,IF(EB$6&gt;='Lease Cycles'!$AX$16,'Lease Cycles'!$C$16*'Lease Cycles'!$AY$16/12,IF(EB$6&gt;='Lease Cycles'!$AV$16,'Lease Cycles'!$C$16*'Lease Cycles'!$AW$16/12,IF(EB$6&gt;='Lease Cycles'!$AT$16,'Lease Cycles'!$C$16*'Lease Cycles'!$AU$16/12,'Lease Cycles'!$C$16*INDEX('Lease Cycles'!$CB$16:$CH$16,1,EB146)*(1+INDEX('Lease Cycles'!$CI$16:$CO$16,1,EB146))^INT(INT(EB147/12)/INDEX('Lease Cycles'!$CP$16:$CV$16,1,EB146))/12)))),'Lease Cycles'!$C$16*INDEX('Lease Cycles'!$CB$16:$CH$16,1,EB146)*(1+INDEX('Lease Cycles'!$CI$16:$CO$16,1,EB146))^INT(INT(EB147/12)/INDEX('Lease Cycles'!$CP$16:$CV$16,1,EB146))/12),IF(INDEX('Lease Cycles'!$EF$16:$EL$16,1,EB146)=1,IF(AND('Lease Cycles'!$AZ$16&gt;=INDEX('Lease Cycles'!$BG$16:$BM$16,1,EB146),'Lease Cycles'!$AZ$16&lt;=EB$6),'Lease Cycles'!$C$16*'Lease Cycles'!$BA$16/12,IF(AND('Lease Cycles'!$AX$16&gt;=INDEX('Lease Cycles'!$BG$16:$BM$16,1,EB146),'Lease Cycles'!$AX$16&lt;=EB$6),'Lease Cycles'!$C$16*'Lease Cycles'!$AY$16/12,IF(AND('Lease Cycles'!$AV$16&gt;=INDEX('Lease Cycles'!$BG$16:$BM$16,1,EB146),'Lease Cycles'!$AV$16&lt;=EB$6),'Lease Cycles'!$C$16*'Lease Cycles'!$AW$16/12,IF(AND('Lease Cycles'!$AT$16&gt;=INDEX('Lease Cycles'!$BG$16:$BM$16,1,EB146),'Lease Cycles'!$AT$16&lt;=EB$6),'Lease Cycles'!$C$16*'Lease Cycles'!$AU$16/12,'Lease Cycles'!$C$16*INDEX('Lease Cycles'!$CB$16:$CH$16,1,EB146)*(1+INDEX('Lease Cycles'!$CI$16:$CO$16,1,EB146))^INT(INT(EB147/12)/INDEX('Lease Cycles'!$CP$16:$CV$16,1,EB146))/12)))),'Lease Cycles'!$C$16*INDEX('Lease Cycles'!$CB$16:$CH$16,1,EB146)*(1+INDEX('Lease Cycles'!$CI$16:$CO$16,1,EB146))^INT(INT(EB147/12)/INDEX('Lease Cycles'!$CP$16:$CV$16,1,EB146))/12))),IF('Lease Cycles'!$N$16=1,'Lease Cycles'!$C$16*'Lease Cycles'!$E$16*INDEX('Lease Cycles'!$HE$16:$HK$16,1,EB146)*(1+INDEX('Lease Cycles'!$GQ$16:$GW$16,1,EB146))^INT(INT((EB$6-INDEX('Lease Cycles'!$GJ$16:$GP$16,1,EB146))/12)/INDEX('Lease Cycles'!$GX$16:$HD$16,1,EB146))/12,0)))</f>
        <v>4403.607959866836</v>
      </c>
      <c r="EC149" s="28">
        <f>IF(EC146=0,IF('Lease Cycles'!$F$16&gt;0,'Lease Cycles'!$C$16*'Lease Cycles'!$E$16/12,0),IF(EC148=1,IF('Lease Cycles'!$AT$16&gt;=9999,'Lease Cycles'!$C$16*INDEX('Lease Cycles'!$CB$16:$CH$16,1,EC146)*(1+INDEX('Lease Cycles'!$CI$16:$CO$16,1,EC146))^INT(INT(EC147/12)/INDEX('Lease Cycles'!$CP$16:$CV$16,1,EC146))/12,IF(EC146=1,IF(EC147&gt;=INDEX('Lease Cycles'!$DK$16:$DQ$16,1,EC146),IF(EC$6&gt;='Lease Cycles'!$AZ$16,'Lease Cycles'!$C$16*'Lease Cycles'!$BA$16/12,IF(EC$6&gt;='Lease Cycles'!$AX$16,'Lease Cycles'!$C$16*'Lease Cycles'!$AY$16/12,IF(EC$6&gt;='Lease Cycles'!$AV$16,'Lease Cycles'!$C$16*'Lease Cycles'!$AW$16/12,IF(EC$6&gt;='Lease Cycles'!$AT$16,'Lease Cycles'!$C$16*'Lease Cycles'!$AU$16/12,'Lease Cycles'!$C$16*INDEX('Lease Cycles'!$CB$16:$CH$16,1,EC146)*(1+INDEX('Lease Cycles'!$CI$16:$CO$16,1,EC146))^INT(INT(EC147/12)/INDEX('Lease Cycles'!$CP$16:$CV$16,1,EC146))/12)))),'Lease Cycles'!$C$16*INDEX('Lease Cycles'!$CB$16:$CH$16,1,EC146)*(1+INDEX('Lease Cycles'!$CI$16:$CO$16,1,EC146))^INT(INT(EC147/12)/INDEX('Lease Cycles'!$CP$16:$CV$16,1,EC146))/12),IF(INDEX('Lease Cycles'!$EF$16:$EL$16,1,EC146)=1,IF(AND('Lease Cycles'!$AZ$16&gt;=INDEX('Lease Cycles'!$BG$16:$BM$16,1,EC146),'Lease Cycles'!$AZ$16&lt;=EC$6),'Lease Cycles'!$C$16*'Lease Cycles'!$BA$16/12,IF(AND('Lease Cycles'!$AX$16&gt;=INDEX('Lease Cycles'!$BG$16:$BM$16,1,EC146),'Lease Cycles'!$AX$16&lt;=EC$6),'Lease Cycles'!$C$16*'Lease Cycles'!$AY$16/12,IF(AND('Lease Cycles'!$AV$16&gt;=INDEX('Lease Cycles'!$BG$16:$BM$16,1,EC146),'Lease Cycles'!$AV$16&lt;=EC$6),'Lease Cycles'!$C$16*'Lease Cycles'!$AW$16/12,IF(AND('Lease Cycles'!$AT$16&gt;=INDEX('Lease Cycles'!$BG$16:$BM$16,1,EC146),'Lease Cycles'!$AT$16&lt;=EC$6),'Lease Cycles'!$C$16*'Lease Cycles'!$AU$16/12,'Lease Cycles'!$C$16*INDEX('Lease Cycles'!$CB$16:$CH$16,1,EC146)*(1+INDEX('Lease Cycles'!$CI$16:$CO$16,1,EC146))^INT(INT(EC147/12)/INDEX('Lease Cycles'!$CP$16:$CV$16,1,EC146))/12)))),'Lease Cycles'!$C$16*INDEX('Lease Cycles'!$CB$16:$CH$16,1,EC146)*(1+INDEX('Lease Cycles'!$CI$16:$CO$16,1,EC146))^INT(INT(EC147/12)/INDEX('Lease Cycles'!$CP$16:$CV$16,1,EC146))/12))),IF('Lease Cycles'!$N$16=1,'Lease Cycles'!$C$16*'Lease Cycles'!$E$16*INDEX('Lease Cycles'!$HE$16:$HK$16,1,EC146)*(1+INDEX('Lease Cycles'!$GQ$16:$GW$16,1,EC146))^INT(INT((EC$6-INDEX('Lease Cycles'!$GJ$16:$GP$16,1,EC146))/12)/INDEX('Lease Cycles'!$GX$16:$HD$16,1,EC146))/12,0)))</f>
        <v>4403.607959866836</v>
      </c>
      <c r="ED149" s="28">
        <f>IF(ED146=0,IF('Lease Cycles'!$F$16&gt;0,'Lease Cycles'!$C$16*'Lease Cycles'!$E$16/12,0),IF(ED148=1,IF('Lease Cycles'!$AT$16&gt;=9999,'Lease Cycles'!$C$16*INDEX('Lease Cycles'!$CB$16:$CH$16,1,ED146)*(1+INDEX('Lease Cycles'!$CI$16:$CO$16,1,ED146))^INT(INT(ED147/12)/INDEX('Lease Cycles'!$CP$16:$CV$16,1,ED146))/12,IF(ED146=1,IF(ED147&gt;=INDEX('Lease Cycles'!$DK$16:$DQ$16,1,ED146),IF(ED$6&gt;='Lease Cycles'!$AZ$16,'Lease Cycles'!$C$16*'Lease Cycles'!$BA$16/12,IF(ED$6&gt;='Lease Cycles'!$AX$16,'Lease Cycles'!$C$16*'Lease Cycles'!$AY$16/12,IF(ED$6&gt;='Lease Cycles'!$AV$16,'Lease Cycles'!$C$16*'Lease Cycles'!$AW$16/12,IF(ED$6&gt;='Lease Cycles'!$AT$16,'Lease Cycles'!$C$16*'Lease Cycles'!$AU$16/12,'Lease Cycles'!$C$16*INDEX('Lease Cycles'!$CB$16:$CH$16,1,ED146)*(1+INDEX('Lease Cycles'!$CI$16:$CO$16,1,ED146))^INT(INT(ED147/12)/INDEX('Lease Cycles'!$CP$16:$CV$16,1,ED146))/12)))),'Lease Cycles'!$C$16*INDEX('Lease Cycles'!$CB$16:$CH$16,1,ED146)*(1+INDEX('Lease Cycles'!$CI$16:$CO$16,1,ED146))^INT(INT(ED147/12)/INDEX('Lease Cycles'!$CP$16:$CV$16,1,ED146))/12),IF(INDEX('Lease Cycles'!$EF$16:$EL$16,1,ED146)=1,IF(AND('Lease Cycles'!$AZ$16&gt;=INDEX('Lease Cycles'!$BG$16:$BM$16,1,ED146),'Lease Cycles'!$AZ$16&lt;=ED$6),'Lease Cycles'!$C$16*'Lease Cycles'!$BA$16/12,IF(AND('Lease Cycles'!$AX$16&gt;=INDEX('Lease Cycles'!$BG$16:$BM$16,1,ED146),'Lease Cycles'!$AX$16&lt;=ED$6),'Lease Cycles'!$C$16*'Lease Cycles'!$AY$16/12,IF(AND('Lease Cycles'!$AV$16&gt;=INDEX('Lease Cycles'!$BG$16:$BM$16,1,ED146),'Lease Cycles'!$AV$16&lt;=ED$6),'Lease Cycles'!$C$16*'Lease Cycles'!$AW$16/12,IF(AND('Lease Cycles'!$AT$16&gt;=INDEX('Lease Cycles'!$BG$16:$BM$16,1,ED146),'Lease Cycles'!$AT$16&lt;=ED$6),'Lease Cycles'!$C$16*'Lease Cycles'!$AU$16/12,'Lease Cycles'!$C$16*INDEX('Lease Cycles'!$CB$16:$CH$16,1,ED146)*(1+INDEX('Lease Cycles'!$CI$16:$CO$16,1,ED146))^INT(INT(ED147/12)/INDEX('Lease Cycles'!$CP$16:$CV$16,1,ED146))/12)))),'Lease Cycles'!$C$16*INDEX('Lease Cycles'!$CB$16:$CH$16,1,ED146)*(1+INDEX('Lease Cycles'!$CI$16:$CO$16,1,ED146))^INT(INT(ED147/12)/INDEX('Lease Cycles'!$CP$16:$CV$16,1,ED146))/12))),IF('Lease Cycles'!$N$16=1,'Lease Cycles'!$C$16*'Lease Cycles'!$E$16*INDEX('Lease Cycles'!$HE$16:$HK$16,1,ED146)*(1+INDEX('Lease Cycles'!$GQ$16:$GW$16,1,ED146))^INT(INT((ED$6-INDEX('Lease Cycles'!$GJ$16:$GP$16,1,ED146))/12)/INDEX('Lease Cycles'!$GX$16:$HD$16,1,ED146))/12,0)))</f>
        <v>4403.607959866836</v>
      </c>
      <c r="EE149" s="28">
        <f>IF(EE146=0,IF('Lease Cycles'!$F$16&gt;0,'Lease Cycles'!$C$16*'Lease Cycles'!$E$16/12,0),IF(EE148=1,IF('Lease Cycles'!$AT$16&gt;=9999,'Lease Cycles'!$C$16*INDEX('Lease Cycles'!$CB$16:$CH$16,1,EE146)*(1+INDEX('Lease Cycles'!$CI$16:$CO$16,1,EE146))^INT(INT(EE147/12)/INDEX('Lease Cycles'!$CP$16:$CV$16,1,EE146))/12,IF(EE146=1,IF(EE147&gt;=INDEX('Lease Cycles'!$DK$16:$DQ$16,1,EE146),IF(EE$6&gt;='Lease Cycles'!$AZ$16,'Lease Cycles'!$C$16*'Lease Cycles'!$BA$16/12,IF(EE$6&gt;='Lease Cycles'!$AX$16,'Lease Cycles'!$C$16*'Lease Cycles'!$AY$16/12,IF(EE$6&gt;='Lease Cycles'!$AV$16,'Lease Cycles'!$C$16*'Lease Cycles'!$AW$16/12,IF(EE$6&gt;='Lease Cycles'!$AT$16,'Lease Cycles'!$C$16*'Lease Cycles'!$AU$16/12,'Lease Cycles'!$C$16*INDEX('Lease Cycles'!$CB$16:$CH$16,1,EE146)*(1+INDEX('Lease Cycles'!$CI$16:$CO$16,1,EE146))^INT(INT(EE147/12)/INDEX('Lease Cycles'!$CP$16:$CV$16,1,EE146))/12)))),'Lease Cycles'!$C$16*INDEX('Lease Cycles'!$CB$16:$CH$16,1,EE146)*(1+INDEX('Lease Cycles'!$CI$16:$CO$16,1,EE146))^INT(INT(EE147/12)/INDEX('Lease Cycles'!$CP$16:$CV$16,1,EE146))/12),IF(INDEX('Lease Cycles'!$EF$16:$EL$16,1,EE146)=1,IF(AND('Lease Cycles'!$AZ$16&gt;=INDEX('Lease Cycles'!$BG$16:$BM$16,1,EE146),'Lease Cycles'!$AZ$16&lt;=EE$6),'Lease Cycles'!$C$16*'Lease Cycles'!$BA$16/12,IF(AND('Lease Cycles'!$AX$16&gt;=INDEX('Lease Cycles'!$BG$16:$BM$16,1,EE146),'Lease Cycles'!$AX$16&lt;=EE$6),'Lease Cycles'!$C$16*'Lease Cycles'!$AY$16/12,IF(AND('Lease Cycles'!$AV$16&gt;=INDEX('Lease Cycles'!$BG$16:$BM$16,1,EE146),'Lease Cycles'!$AV$16&lt;=EE$6),'Lease Cycles'!$C$16*'Lease Cycles'!$AW$16/12,IF(AND('Lease Cycles'!$AT$16&gt;=INDEX('Lease Cycles'!$BG$16:$BM$16,1,EE146),'Lease Cycles'!$AT$16&lt;=EE$6),'Lease Cycles'!$C$16*'Lease Cycles'!$AU$16/12,'Lease Cycles'!$C$16*INDEX('Lease Cycles'!$CB$16:$CH$16,1,EE146)*(1+INDEX('Lease Cycles'!$CI$16:$CO$16,1,EE146))^INT(INT(EE147/12)/INDEX('Lease Cycles'!$CP$16:$CV$16,1,EE146))/12)))),'Lease Cycles'!$C$16*INDEX('Lease Cycles'!$CB$16:$CH$16,1,EE146)*(1+INDEX('Lease Cycles'!$CI$16:$CO$16,1,EE146))^INT(INT(EE147/12)/INDEX('Lease Cycles'!$CP$16:$CV$16,1,EE146))/12))),IF('Lease Cycles'!$N$16=1,'Lease Cycles'!$C$16*'Lease Cycles'!$E$16*INDEX('Lease Cycles'!$HE$16:$HK$16,1,EE146)*(1+INDEX('Lease Cycles'!$GQ$16:$GW$16,1,EE146))^INT(INT((EE$6-INDEX('Lease Cycles'!$GJ$16:$GP$16,1,EE146))/12)/INDEX('Lease Cycles'!$GX$16:$HD$16,1,EE146))/12,0)))</f>
        <v>4403.607959866836</v>
      </c>
      <c r="EF149" s="28">
        <f>IF(EF146=0,IF('Lease Cycles'!$F$16&gt;0,'Lease Cycles'!$C$16*'Lease Cycles'!$E$16/12,0),IF(EF148=1,IF('Lease Cycles'!$AT$16&gt;=9999,'Lease Cycles'!$C$16*INDEX('Lease Cycles'!$CB$16:$CH$16,1,EF146)*(1+INDEX('Lease Cycles'!$CI$16:$CO$16,1,EF146))^INT(INT(EF147/12)/INDEX('Lease Cycles'!$CP$16:$CV$16,1,EF146))/12,IF(EF146=1,IF(EF147&gt;=INDEX('Lease Cycles'!$DK$16:$DQ$16,1,EF146),IF(EF$6&gt;='Lease Cycles'!$AZ$16,'Lease Cycles'!$C$16*'Lease Cycles'!$BA$16/12,IF(EF$6&gt;='Lease Cycles'!$AX$16,'Lease Cycles'!$C$16*'Lease Cycles'!$AY$16/12,IF(EF$6&gt;='Lease Cycles'!$AV$16,'Lease Cycles'!$C$16*'Lease Cycles'!$AW$16/12,IF(EF$6&gt;='Lease Cycles'!$AT$16,'Lease Cycles'!$C$16*'Lease Cycles'!$AU$16/12,'Lease Cycles'!$C$16*INDEX('Lease Cycles'!$CB$16:$CH$16,1,EF146)*(1+INDEX('Lease Cycles'!$CI$16:$CO$16,1,EF146))^INT(INT(EF147/12)/INDEX('Lease Cycles'!$CP$16:$CV$16,1,EF146))/12)))),'Lease Cycles'!$C$16*INDEX('Lease Cycles'!$CB$16:$CH$16,1,EF146)*(1+INDEX('Lease Cycles'!$CI$16:$CO$16,1,EF146))^INT(INT(EF147/12)/INDEX('Lease Cycles'!$CP$16:$CV$16,1,EF146))/12),IF(INDEX('Lease Cycles'!$EF$16:$EL$16,1,EF146)=1,IF(AND('Lease Cycles'!$AZ$16&gt;=INDEX('Lease Cycles'!$BG$16:$BM$16,1,EF146),'Lease Cycles'!$AZ$16&lt;=EF$6),'Lease Cycles'!$C$16*'Lease Cycles'!$BA$16/12,IF(AND('Lease Cycles'!$AX$16&gt;=INDEX('Lease Cycles'!$BG$16:$BM$16,1,EF146),'Lease Cycles'!$AX$16&lt;=EF$6),'Lease Cycles'!$C$16*'Lease Cycles'!$AY$16/12,IF(AND('Lease Cycles'!$AV$16&gt;=INDEX('Lease Cycles'!$BG$16:$BM$16,1,EF146),'Lease Cycles'!$AV$16&lt;=EF$6),'Lease Cycles'!$C$16*'Lease Cycles'!$AW$16/12,IF(AND('Lease Cycles'!$AT$16&gt;=INDEX('Lease Cycles'!$BG$16:$BM$16,1,EF146),'Lease Cycles'!$AT$16&lt;=EF$6),'Lease Cycles'!$C$16*'Lease Cycles'!$AU$16/12,'Lease Cycles'!$C$16*INDEX('Lease Cycles'!$CB$16:$CH$16,1,EF146)*(1+INDEX('Lease Cycles'!$CI$16:$CO$16,1,EF146))^INT(INT(EF147/12)/INDEX('Lease Cycles'!$CP$16:$CV$16,1,EF146))/12)))),'Lease Cycles'!$C$16*INDEX('Lease Cycles'!$CB$16:$CH$16,1,EF146)*(1+INDEX('Lease Cycles'!$CI$16:$CO$16,1,EF146))^INT(INT(EF147/12)/INDEX('Lease Cycles'!$CP$16:$CV$16,1,EF146))/12))),IF('Lease Cycles'!$N$16=1,'Lease Cycles'!$C$16*'Lease Cycles'!$E$16*INDEX('Lease Cycles'!$HE$16:$HK$16,1,EF146)*(1+INDEX('Lease Cycles'!$GQ$16:$GW$16,1,EF146))^INT(INT((EF$6-INDEX('Lease Cycles'!$GJ$16:$GP$16,1,EF146))/12)/INDEX('Lease Cycles'!$GX$16:$HD$16,1,EF146))/12,0)))</f>
        <v>4403.607959866836</v>
      </c>
      <c r="EG149" s="28">
        <f>IF(EG146=0,IF('Lease Cycles'!$F$16&gt;0,'Lease Cycles'!$C$16*'Lease Cycles'!$E$16/12,0),IF(EG148=1,IF('Lease Cycles'!$AT$16&gt;=9999,'Lease Cycles'!$C$16*INDEX('Lease Cycles'!$CB$16:$CH$16,1,EG146)*(1+INDEX('Lease Cycles'!$CI$16:$CO$16,1,EG146))^INT(INT(EG147/12)/INDEX('Lease Cycles'!$CP$16:$CV$16,1,EG146))/12,IF(EG146=1,IF(EG147&gt;=INDEX('Lease Cycles'!$DK$16:$DQ$16,1,EG146),IF(EG$6&gt;='Lease Cycles'!$AZ$16,'Lease Cycles'!$C$16*'Lease Cycles'!$BA$16/12,IF(EG$6&gt;='Lease Cycles'!$AX$16,'Lease Cycles'!$C$16*'Lease Cycles'!$AY$16/12,IF(EG$6&gt;='Lease Cycles'!$AV$16,'Lease Cycles'!$C$16*'Lease Cycles'!$AW$16/12,IF(EG$6&gt;='Lease Cycles'!$AT$16,'Lease Cycles'!$C$16*'Lease Cycles'!$AU$16/12,'Lease Cycles'!$C$16*INDEX('Lease Cycles'!$CB$16:$CH$16,1,EG146)*(1+INDEX('Lease Cycles'!$CI$16:$CO$16,1,EG146))^INT(INT(EG147/12)/INDEX('Lease Cycles'!$CP$16:$CV$16,1,EG146))/12)))),'Lease Cycles'!$C$16*INDEX('Lease Cycles'!$CB$16:$CH$16,1,EG146)*(1+INDEX('Lease Cycles'!$CI$16:$CO$16,1,EG146))^INT(INT(EG147/12)/INDEX('Lease Cycles'!$CP$16:$CV$16,1,EG146))/12),IF(INDEX('Lease Cycles'!$EF$16:$EL$16,1,EG146)=1,IF(AND('Lease Cycles'!$AZ$16&gt;=INDEX('Lease Cycles'!$BG$16:$BM$16,1,EG146),'Lease Cycles'!$AZ$16&lt;=EG$6),'Lease Cycles'!$C$16*'Lease Cycles'!$BA$16/12,IF(AND('Lease Cycles'!$AX$16&gt;=INDEX('Lease Cycles'!$BG$16:$BM$16,1,EG146),'Lease Cycles'!$AX$16&lt;=EG$6),'Lease Cycles'!$C$16*'Lease Cycles'!$AY$16/12,IF(AND('Lease Cycles'!$AV$16&gt;=INDEX('Lease Cycles'!$BG$16:$BM$16,1,EG146),'Lease Cycles'!$AV$16&lt;=EG$6),'Lease Cycles'!$C$16*'Lease Cycles'!$AW$16/12,IF(AND('Lease Cycles'!$AT$16&gt;=INDEX('Lease Cycles'!$BG$16:$BM$16,1,EG146),'Lease Cycles'!$AT$16&lt;=EG$6),'Lease Cycles'!$C$16*'Lease Cycles'!$AU$16/12,'Lease Cycles'!$C$16*INDEX('Lease Cycles'!$CB$16:$CH$16,1,EG146)*(1+INDEX('Lease Cycles'!$CI$16:$CO$16,1,EG146))^INT(INT(EG147/12)/INDEX('Lease Cycles'!$CP$16:$CV$16,1,EG146))/12)))),'Lease Cycles'!$C$16*INDEX('Lease Cycles'!$CB$16:$CH$16,1,EG146)*(1+INDEX('Lease Cycles'!$CI$16:$CO$16,1,EG146))^INT(INT(EG147/12)/INDEX('Lease Cycles'!$CP$16:$CV$16,1,EG146))/12))),IF('Lease Cycles'!$N$16=1,'Lease Cycles'!$C$16*'Lease Cycles'!$E$16*INDEX('Lease Cycles'!$HE$16:$HK$16,1,EG146)*(1+INDEX('Lease Cycles'!$GQ$16:$GW$16,1,EG146))^INT(INT((EG$6-INDEX('Lease Cycles'!$GJ$16:$GP$16,1,EG146))/12)/INDEX('Lease Cycles'!$GX$16:$HD$16,1,EG146))/12,0)))</f>
        <v>4535.716198662841</v>
      </c>
      <c r="EH149" s="28">
        <f>IF(EH146=0,IF('Lease Cycles'!$F$16&gt;0,'Lease Cycles'!$C$16*'Lease Cycles'!$E$16/12,0),IF(EH148=1,IF('Lease Cycles'!$AT$16&gt;=9999,'Lease Cycles'!$C$16*INDEX('Lease Cycles'!$CB$16:$CH$16,1,EH146)*(1+INDEX('Lease Cycles'!$CI$16:$CO$16,1,EH146))^INT(INT(EH147/12)/INDEX('Lease Cycles'!$CP$16:$CV$16,1,EH146))/12,IF(EH146=1,IF(EH147&gt;=INDEX('Lease Cycles'!$DK$16:$DQ$16,1,EH146),IF(EH$6&gt;='Lease Cycles'!$AZ$16,'Lease Cycles'!$C$16*'Lease Cycles'!$BA$16/12,IF(EH$6&gt;='Lease Cycles'!$AX$16,'Lease Cycles'!$C$16*'Lease Cycles'!$AY$16/12,IF(EH$6&gt;='Lease Cycles'!$AV$16,'Lease Cycles'!$C$16*'Lease Cycles'!$AW$16/12,IF(EH$6&gt;='Lease Cycles'!$AT$16,'Lease Cycles'!$C$16*'Lease Cycles'!$AU$16/12,'Lease Cycles'!$C$16*INDEX('Lease Cycles'!$CB$16:$CH$16,1,EH146)*(1+INDEX('Lease Cycles'!$CI$16:$CO$16,1,EH146))^INT(INT(EH147/12)/INDEX('Lease Cycles'!$CP$16:$CV$16,1,EH146))/12)))),'Lease Cycles'!$C$16*INDEX('Lease Cycles'!$CB$16:$CH$16,1,EH146)*(1+INDEX('Lease Cycles'!$CI$16:$CO$16,1,EH146))^INT(INT(EH147/12)/INDEX('Lease Cycles'!$CP$16:$CV$16,1,EH146))/12),IF(INDEX('Lease Cycles'!$EF$16:$EL$16,1,EH146)=1,IF(AND('Lease Cycles'!$AZ$16&gt;=INDEX('Lease Cycles'!$BG$16:$BM$16,1,EH146),'Lease Cycles'!$AZ$16&lt;=EH$6),'Lease Cycles'!$C$16*'Lease Cycles'!$BA$16/12,IF(AND('Lease Cycles'!$AX$16&gt;=INDEX('Lease Cycles'!$BG$16:$BM$16,1,EH146),'Lease Cycles'!$AX$16&lt;=EH$6),'Lease Cycles'!$C$16*'Lease Cycles'!$AY$16/12,IF(AND('Lease Cycles'!$AV$16&gt;=INDEX('Lease Cycles'!$BG$16:$BM$16,1,EH146),'Lease Cycles'!$AV$16&lt;=EH$6),'Lease Cycles'!$C$16*'Lease Cycles'!$AW$16/12,IF(AND('Lease Cycles'!$AT$16&gt;=INDEX('Lease Cycles'!$BG$16:$BM$16,1,EH146),'Lease Cycles'!$AT$16&lt;=EH$6),'Lease Cycles'!$C$16*'Lease Cycles'!$AU$16/12,'Lease Cycles'!$C$16*INDEX('Lease Cycles'!$CB$16:$CH$16,1,EH146)*(1+INDEX('Lease Cycles'!$CI$16:$CO$16,1,EH146))^INT(INT(EH147/12)/INDEX('Lease Cycles'!$CP$16:$CV$16,1,EH146))/12)))),'Lease Cycles'!$C$16*INDEX('Lease Cycles'!$CB$16:$CH$16,1,EH146)*(1+INDEX('Lease Cycles'!$CI$16:$CO$16,1,EH146))^INT(INT(EH147/12)/INDEX('Lease Cycles'!$CP$16:$CV$16,1,EH146))/12))),IF('Lease Cycles'!$N$16=1,'Lease Cycles'!$C$16*'Lease Cycles'!$E$16*INDEX('Lease Cycles'!$HE$16:$HK$16,1,EH146)*(1+INDEX('Lease Cycles'!$GQ$16:$GW$16,1,EH146))^INT(INT((EH$6-INDEX('Lease Cycles'!$GJ$16:$GP$16,1,EH146))/12)/INDEX('Lease Cycles'!$GX$16:$HD$16,1,EH146))/12,0)))</f>
        <v>4535.716198662841</v>
      </c>
      <c r="EI149" s="28">
        <f>IF(EI146=0,IF('Lease Cycles'!$F$16&gt;0,'Lease Cycles'!$C$16*'Lease Cycles'!$E$16/12,0),IF(EI148=1,IF('Lease Cycles'!$AT$16&gt;=9999,'Lease Cycles'!$C$16*INDEX('Lease Cycles'!$CB$16:$CH$16,1,EI146)*(1+INDEX('Lease Cycles'!$CI$16:$CO$16,1,EI146))^INT(INT(EI147/12)/INDEX('Lease Cycles'!$CP$16:$CV$16,1,EI146))/12,IF(EI146=1,IF(EI147&gt;=INDEX('Lease Cycles'!$DK$16:$DQ$16,1,EI146),IF(EI$6&gt;='Lease Cycles'!$AZ$16,'Lease Cycles'!$C$16*'Lease Cycles'!$BA$16/12,IF(EI$6&gt;='Lease Cycles'!$AX$16,'Lease Cycles'!$C$16*'Lease Cycles'!$AY$16/12,IF(EI$6&gt;='Lease Cycles'!$AV$16,'Lease Cycles'!$C$16*'Lease Cycles'!$AW$16/12,IF(EI$6&gt;='Lease Cycles'!$AT$16,'Lease Cycles'!$C$16*'Lease Cycles'!$AU$16/12,'Lease Cycles'!$C$16*INDEX('Lease Cycles'!$CB$16:$CH$16,1,EI146)*(1+INDEX('Lease Cycles'!$CI$16:$CO$16,1,EI146))^INT(INT(EI147/12)/INDEX('Lease Cycles'!$CP$16:$CV$16,1,EI146))/12)))),'Lease Cycles'!$C$16*INDEX('Lease Cycles'!$CB$16:$CH$16,1,EI146)*(1+INDEX('Lease Cycles'!$CI$16:$CO$16,1,EI146))^INT(INT(EI147/12)/INDEX('Lease Cycles'!$CP$16:$CV$16,1,EI146))/12),IF(INDEX('Lease Cycles'!$EF$16:$EL$16,1,EI146)=1,IF(AND('Lease Cycles'!$AZ$16&gt;=INDEX('Lease Cycles'!$BG$16:$BM$16,1,EI146),'Lease Cycles'!$AZ$16&lt;=EI$6),'Lease Cycles'!$C$16*'Lease Cycles'!$BA$16/12,IF(AND('Lease Cycles'!$AX$16&gt;=INDEX('Lease Cycles'!$BG$16:$BM$16,1,EI146),'Lease Cycles'!$AX$16&lt;=EI$6),'Lease Cycles'!$C$16*'Lease Cycles'!$AY$16/12,IF(AND('Lease Cycles'!$AV$16&gt;=INDEX('Lease Cycles'!$BG$16:$BM$16,1,EI146),'Lease Cycles'!$AV$16&lt;=EI$6),'Lease Cycles'!$C$16*'Lease Cycles'!$AW$16/12,IF(AND('Lease Cycles'!$AT$16&gt;=INDEX('Lease Cycles'!$BG$16:$BM$16,1,EI146),'Lease Cycles'!$AT$16&lt;=EI$6),'Lease Cycles'!$C$16*'Lease Cycles'!$AU$16/12,'Lease Cycles'!$C$16*INDEX('Lease Cycles'!$CB$16:$CH$16,1,EI146)*(1+INDEX('Lease Cycles'!$CI$16:$CO$16,1,EI146))^INT(INT(EI147/12)/INDEX('Lease Cycles'!$CP$16:$CV$16,1,EI146))/12)))),'Lease Cycles'!$C$16*INDEX('Lease Cycles'!$CB$16:$CH$16,1,EI146)*(1+INDEX('Lease Cycles'!$CI$16:$CO$16,1,EI146))^INT(INT(EI147/12)/INDEX('Lease Cycles'!$CP$16:$CV$16,1,EI146))/12))),IF('Lease Cycles'!$N$16=1,'Lease Cycles'!$C$16*'Lease Cycles'!$E$16*INDEX('Lease Cycles'!$HE$16:$HK$16,1,EI146)*(1+INDEX('Lease Cycles'!$GQ$16:$GW$16,1,EI146))^INT(INT((EI$6-INDEX('Lease Cycles'!$GJ$16:$GP$16,1,EI146))/12)/INDEX('Lease Cycles'!$GX$16:$HD$16,1,EI146))/12,0)))</f>
        <v>4535.716198662841</v>
      </c>
      <c r="EJ149" s="28">
        <f>IF(EJ146=0,IF('Lease Cycles'!$F$16&gt;0,'Lease Cycles'!$C$16*'Lease Cycles'!$E$16/12,0),IF(EJ148=1,IF('Lease Cycles'!$AT$16&gt;=9999,'Lease Cycles'!$C$16*INDEX('Lease Cycles'!$CB$16:$CH$16,1,EJ146)*(1+INDEX('Lease Cycles'!$CI$16:$CO$16,1,EJ146))^INT(INT(EJ147/12)/INDEX('Lease Cycles'!$CP$16:$CV$16,1,EJ146))/12,IF(EJ146=1,IF(EJ147&gt;=INDEX('Lease Cycles'!$DK$16:$DQ$16,1,EJ146),IF(EJ$6&gt;='Lease Cycles'!$AZ$16,'Lease Cycles'!$C$16*'Lease Cycles'!$BA$16/12,IF(EJ$6&gt;='Lease Cycles'!$AX$16,'Lease Cycles'!$C$16*'Lease Cycles'!$AY$16/12,IF(EJ$6&gt;='Lease Cycles'!$AV$16,'Lease Cycles'!$C$16*'Lease Cycles'!$AW$16/12,IF(EJ$6&gt;='Lease Cycles'!$AT$16,'Lease Cycles'!$C$16*'Lease Cycles'!$AU$16/12,'Lease Cycles'!$C$16*INDEX('Lease Cycles'!$CB$16:$CH$16,1,EJ146)*(1+INDEX('Lease Cycles'!$CI$16:$CO$16,1,EJ146))^INT(INT(EJ147/12)/INDEX('Lease Cycles'!$CP$16:$CV$16,1,EJ146))/12)))),'Lease Cycles'!$C$16*INDEX('Lease Cycles'!$CB$16:$CH$16,1,EJ146)*(1+INDEX('Lease Cycles'!$CI$16:$CO$16,1,EJ146))^INT(INT(EJ147/12)/INDEX('Lease Cycles'!$CP$16:$CV$16,1,EJ146))/12),IF(INDEX('Lease Cycles'!$EF$16:$EL$16,1,EJ146)=1,IF(AND('Lease Cycles'!$AZ$16&gt;=INDEX('Lease Cycles'!$BG$16:$BM$16,1,EJ146),'Lease Cycles'!$AZ$16&lt;=EJ$6),'Lease Cycles'!$C$16*'Lease Cycles'!$BA$16/12,IF(AND('Lease Cycles'!$AX$16&gt;=INDEX('Lease Cycles'!$BG$16:$BM$16,1,EJ146),'Lease Cycles'!$AX$16&lt;=EJ$6),'Lease Cycles'!$C$16*'Lease Cycles'!$AY$16/12,IF(AND('Lease Cycles'!$AV$16&gt;=INDEX('Lease Cycles'!$BG$16:$BM$16,1,EJ146),'Lease Cycles'!$AV$16&lt;=EJ$6),'Lease Cycles'!$C$16*'Lease Cycles'!$AW$16/12,IF(AND('Lease Cycles'!$AT$16&gt;=INDEX('Lease Cycles'!$BG$16:$BM$16,1,EJ146),'Lease Cycles'!$AT$16&lt;=EJ$6),'Lease Cycles'!$C$16*'Lease Cycles'!$AU$16/12,'Lease Cycles'!$C$16*INDEX('Lease Cycles'!$CB$16:$CH$16,1,EJ146)*(1+INDEX('Lease Cycles'!$CI$16:$CO$16,1,EJ146))^INT(INT(EJ147/12)/INDEX('Lease Cycles'!$CP$16:$CV$16,1,EJ146))/12)))),'Lease Cycles'!$C$16*INDEX('Lease Cycles'!$CB$16:$CH$16,1,EJ146)*(1+INDEX('Lease Cycles'!$CI$16:$CO$16,1,EJ146))^INT(INT(EJ147/12)/INDEX('Lease Cycles'!$CP$16:$CV$16,1,EJ146))/12))),IF('Lease Cycles'!$N$16=1,'Lease Cycles'!$C$16*'Lease Cycles'!$E$16*INDEX('Lease Cycles'!$HE$16:$HK$16,1,EJ146)*(1+INDEX('Lease Cycles'!$GQ$16:$GW$16,1,EJ146))^INT(INT((EJ$6-INDEX('Lease Cycles'!$GJ$16:$GP$16,1,EJ146))/12)/INDEX('Lease Cycles'!$GX$16:$HD$16,1,EJ146))/12,0)))</f>
        <v>4535.716198662841</v>
      </c>
      <c r="EK149" s="28">
        <f>IF(EK146=0,IF('Lease Cycles'!$F$16&gt;0,'Lease Cycles'!$C$16*'Lease Cycles'!$E$16/12,0),IF(EK148=1,IF('Lease Cycles'!$AT$16&gt;=9999,'Lease Cycles'!$C$16*INDEX('Lease Cycles'!$CB$16:$CH$16,1,EK146)*(1+INDEX('Lease Cycles'!$CI$16:$CO$16,1,EK146))^INT(INT(EK147/12)/INDEX('Lease Cycles'!$CP$16:$CV$16,1,EK146))/12,IF(EK146=1,IF(EK147&gt;=INDEX('Lease Cycles'!$DK$16:$DQ$16,1,EK146),IF(EK$6&gt;='Lease Cycles'!$AZ$16,'Lease Cycles'!$C$16*'Lease Cycles'!$BA$16/12,IF(EK$6&gt;='Lease Cycles'!$AX$16,'Lease Cycles'!$C$16*'Lease Cycles'!$AY$16/12,IF(EK$6&gt;='Lease Cycles'!$AV$16,'Lease Cycles'!$C$16*'Lease Cycles'!$AW$16/12,IF(EK$6&gt;='Lease Cycles'!$AT$16,'Lease Cycles'!$C$16*'Lease Cycles'!$AU$16/12,'Lease Cycles'!$C$16*INDEX('Lease Cycles'!$CB$16:$CH$16,1,EK146)*(1+INDEX('Lease Cycles'!$CI$16:$CO$16,1,EK146))^INT(INT(EK147/12)/INDEX('Lease Cycles'!$CP$16:$CV$16,1,EK146))/12)))),'Lease Cycles'!$C$16*INDEX('Lease Cycles'!$CB$16:$CH$16,1,EK146)*(1+INDEX('Lease Cycles'!$CI$16:$CO$16,1,EK146))^INT(INT(EK147/12)/INDEX('Lease Cycles'!$CP$16:$CV$16,1,EK146))/12),IF(INDEX('Lease Cycles'!$EF$16:$EL$16,1,EK146)=1,IF(AND('Lease Cycles'!$AZ$16&gt;=INDEX('Lease Cycles'!$BG$16:$BM$16,1,EK146),'Lease Cycles'!$AZ$16&lt;=EK$6),'Lease Cycles'!$C$16*'Lease Cycles'!$BA$16/12,IF(AND('Lease Cycles'!$AX$16&gt;=INDEX('Lease Cycles'!$BG$16:$BM$16,1,EK146),'Lease Cycles'!$AX$16&lt;=EK$6),'Lease Cycles'!$C$16*'Lease Cycles'!$AY$16/12,IF(AND('Lease Cycles'!$AV$16&gt;=INDEX('Lease Cycles'!$BG$16:$BM$16,1,EK146),'Lease Cycles'!$AV$16&lt;=EK$6),'Lease Cycles'!$C$16*'Lease Cycles'!$AW$16/12,IF(AND('Lease Cycles'!$AT$16&gt;=INDEX('Lease Cycles'!$BG$16:$BM$16,1,EK146),'Lease Cycles'!$AT$16&lt;=EK$6),'Lease Cycles'!$C$16*'Lease Cycles'!$AU$16/12,'Lease Cycles'!$C$16*INDEX('Lease Cycles'!$CB$16:$CH$16,1,EK146)*(1+INDEX('Lease Cycles'!$CI$16:$CO$16,1,EK146))^INT(INT(EK147/12)/INDEX('Lease Cycles'!$CP$16:$CV$16,1,EK146))/12)))),'Lease Cycles'!$C$16*INDEX('Lease Cycles'!$CB$16:$CH$16,1,EK146)*(1+INDEX('Lease Cycles'!$CI$16:$CO$16,1,EK146))^INT(INT(EK147/12)/INDEX('Lease Cycles'!$CP$16:$CV$16,1,EK146))/12))),IF('Lease Cycles'!$N$16=1,'Lease Cycles'!$C$16*'Lease Cycles'!$E$16*INDEX('Lease Cycles'!$HE$16:$HK$16,1,EK146)*(1+INDEX('Lease Cycles'!$GQ$16:$GW$16,1,EK146))^INT(INT((EK$6-INDEX('Lease Cycles'!$GJ$16:$GP$16,1,EK146))/12)/INDEX('Lease Cycles'!$GX$16:$HD$16,1,EK146))/12,0)))</f>
        <v>4535.716198662841</v>
      </c>
      <c r="EL149" s="28">
        <f>IF(EL146=0,IF('Lease Cycles'!$F$16&gt;0,'Lease Cycles'!$C$16*'Lease Cycles'!$E$16/12,0),IF(EL148=1,IF('Lease Cycles'!$AT$16&gt;=9999,'Lease Cycles'!$C$16*INDEX('Lease Cycles'!$CB$16:$CH$16,1,EL146)*(1+INDEX('Lease Cycles'!$CI$16:$CO$16,1,EL146))^INT(INT(EL147/12)/INDEX('Lease Cycles'!$CP$16:$CV$16,1,EL146))/12,IF(EL146=1,IF(EL147&gt;=INDEX('Lease Cycles'!$DK$16:$DQ$16,1,EL146),IF(EL$6&gt;='Lease Cycles'!$AZ$16,'Lease Cycles'!$C$16*'Lease Cycles'!$BA$16/12,IF(EL$6&gt;='Lease Cycles'!$AX$16,'Lease Cycles'!$C$16*'Lease Cycles'!$AY$16/12,IF(EL$6&gt;='Lease Cycles'!$AV$16,'Lease Cycles'!$C$16*'Lease Cycles'!$AW$16/12,IF(EL$6&gt;='Lease Cycles'!$AT$16,'Lease Cycles'!$C$16*'Lease Cycles'!$AU$16/12,'Lease Cycles'!$C$16*INDEX('Lease Cycles'!$CB$16:$CH$16,1,EL146)*(1+INDEX('Lease Cycles'!$CI$16:$CO$16,1,EL146))^INT(INT(EL147/12)/INDEX('Lease Cycles'!$CP$16:$CV$16,1,EL146))/12)))),'Lease Cycles'!$C$16*INDEX('Lease Cycles'!$CB$16:$CH$16,1,EL146)*(1+INDEX('Lease Cycles'!$CI$16:$CO$16,1,EL146))^INT(INT(EL147/12)/INDEX('Lease Cycles'!$CP$16:$CV$16,1,EL146))/12),IF(INDEX('Lease Cycles'!$EF$16:$EL$16,1,EL146)=1,IF(AND('Lease Cycles'!$AZ$16&gt;=INDEX('Lease Cycles'!$BG$16:$BM$16,1,EL146),'Lease Cycles'!$AZ$16&lt;=EL$6),'Lease Cycles'!$C$16*'Lease Cycles'!$BA$16/12,IF(AND('Lease Cycles'!$AX$16&gt;=INDEX('Lease Cycles'!$BG$16:$BM$16,1,EL146),'Lease Cycles'!$AX$16&lt;=EL$6),'Lease Cycles'!$C$16*'Lease Cycles'!$AY$16/12,IF(AND('Lease Cycles'!$AV$16&gt;=INDEX('Lease Cycles'!$BG$16:$BM$16,1,EL146),'Lease Cycles'!$AV$16&lt;=EL$6),'Lease Cycles'!$C$16*'Lease Cycles'!$AW$16/12,IF(AND('Lease Cycles'!$AT$16&gt;=INDEX('Lease Cycles'!$BG$16:$BM$16,1,EL146),'Lease Cycles'!$AT$16&lt;=EL$6),'Lease Cycles'!$C$16*'Lease Cycles'!$AU$16/12,'Lease Cycles'!$C$16*INDEX('Lease Cycles'!$CB$16:$CH$16,1,EL146)*(1+INDEX('Lease Cycles'!$CI$16:$CO$16,1,EL146))^INT(INT(EL147/12)/INDEX('Lease Cycles'!$CP$16:$CV$16,1,EL146))/12)))),'Lease Cycles'!$C$16*INDEX('Lease Cycles'!$CB$16:$CH$16,1,EL146)*(1+INDEX('Lease Cycles'!$CI$16:$CO$16,1,EL146))^INT(INT(EL147/12)/INDEX('Lease Cycles'!$CP$16:$CV$16,1,EL146))/12))),IF('Lease Cycles'!$N$16=1,'Lease Cycles'!$C$16*'Lease Cycles'!$E$16*INDEX('Lease Cycles'!$HE$16:$HK$16,1,EL146)*(1+INDEX('Lease Cycles'!$GQ$16:$GW$16,1,EL146))^INT(INT((EL$6-INDEX('Lease Cycles'!$GJ$16:$GP$16,1,EL146))/12)/INDEX('Lease Cycles'!$GX$16:$HD$16,1,EL146))/12,0)))</f>
        <v>4535.716198662841</v>
      </c>
      <c r="EM149" s="28">
        <f>IF(EM146=0,IF('Lease Cycles'!$F$16&gt;0,'Lease Cycles'!$C$16*'Lease Cycles'!$E$16/12,0),IF(EM148=1,IF('Lease Cycles'!$AT$16&gt;=9999,'Lease Cycles'!$C$16*INDEX('Lease Cycles'!$CB$16:$CH$16,1,EM146)*(1+INDEX('Lease Cycles'!$CI$16:$CO$16,1,EM146))^INT(INT(EM147/12)/INDEX('Lease Cycles'!$CP$16:$CV$16,1,EM146))/12,IF(EM146=1,IF(EM147&gt;=INDEX('Lease Cycles'!$DK$16:$DQ$16,1,EM146),IF(EM$6&gt;='Lease Cycles'!$AZ$16,'Lease Cycles'!$C$16*'Lease Cycles'!$BA$16/12,IF(EM$6&gt;='Lease Cycles'!$AX$16,'Lease Cycles'!$C$16*'Lease Cycles'!$AY$16/12,IF(EM$6&gt;='Lease Cycles'!$AV$16,'Lease Cycles'!$C$16*'Lease Cycles'!$AW$16/12,IF(EM$6&gt;='Lease Cycles'!$AT$16,'Lease Cycles'!$C$16*'Lease Cycles'!$AU$16/12,'Lease Cycles'!$C$16*INDEX('Lease Cycles'!$CB$16:$CH$16,1,EM146)*(1+INDEX('Lease Cycles'!$CI$16:$CO$16,1,EM146))^INT(INT(EM147/12)/INDEX('Lease Cycles'!$CP$16:$CV$16,1,EM146))/12)))),'Lease Cycles'!$C$16*INDEX('Lease Cycles'!$CB$16:$CH$16,1,EM146)*(1+INDEX('Lease Cycles'!$CI$16:$CO$16,1,EM146))^INT(INT(EM147/12)/INDEX('Lease Cycles'!$CP$16:$CV$16,1,EM146))/12),IF(INDEX('Lease Cycles'!$EF$16:$EL$16,1,EM146)=1,IF(AND('Lease Cycles'!$AZ$16&gt;=INDEX('Lease Cycles'!$BG$16:$BM$16,1,EM146),'Lease Cycles'!$AZ$16&lt;=EM$6),'Lease Cycles'!$C$16*'Lease Cycles'!$BA$16/12,IF(AND('Lease Cycles'!$AX$16&gt;=INDEX('Lease Cycles'!$BG$16:$BM$16,1,EM146),'Lease Cycles'!$AX$16&lt;=EM$6),'Lease Cycles'!$C$16*'Lease Cycles'!$AY$16/12,IF(AND('Lease Cycles'!$AV$16&gt;=INDEX('Lease Cycles'!$BG$16:$BM$16,1,EM146),'Lease Cycles'!$AV$16&lt;=EM$6),'Lease Cycles'!$C$16*'Lease Cycles'!$AW$16/12,IF(AND('Lease Cycles'!$AT$16&gt;=INDEX('Lease Cycles'!$BG$16:$BM$16,1,EM146),'Lease Cycles'!$AT$16&lt;=EM$6),'Lease Cycles'!$C$16*'Lease Cycles'!$AU$16/12,'Lease Cycles'!$C$16*INDEX('Lease Cycles'!$CB$16:$CH$16,1,EM146)*(1+INDEX('Lease Cycles'!$CI$16:$CO$16,1,EM146))^INT(INT(EM147/12)/INDEX('Lease Cycles'!$CP$16:$CV$16,1,EM146))/12)))),'Lease Cycles'!$C$16*INDEX('Lease Cycles'!$CB$16:$CH$16,1,EM146)*(1+INDEX('Lease Cycles'!$CI$16:$CO$16,1,EM146))^INT(INT(EM147/12)/INDEX('Lease Cycles'!$CP$16:$CV$16,1,EM146))/12))),IF('Lease Cycles'!$N$16=1,'Lease Cycles'!$C$16*'Lease Cycles'!$E$16*INDEX('Lease Cycles'!$HE$16:$HK$16,1,EM146)*(1+INDEX('Lease Cycles'!$GQ$16:$GW$16,1,EM146))^INT(INT((EM$6-INDEX('Lease Cycles'!$GJ$16:$GP$16,1,EM146))/12)/INDEX('Lease Cycles'!$GX$16:$HD$16,1,EM146))/12,0)))</f>
        <v>4535.716198662841</v>
      </c>
      <c r="EN149" s="28">
        <f>IF(EN146=0,IF('Lease Cycles'!$F$16&gt;0,'Lease Cycles'!$C$16*'Lease Cycles'!$E$16/12,0),IF(EN148=1,IF('Lease Cycles'!$AT$16&gt;=9999,'Lease Cycles'!$C$16*INDEX('Lease Cycles'!$CB$16:$CH$16,1,EN146)*(1+INDEX('Lease Cycles'!$CI$16:$CO$16,1,EN146))^INT(INT(EN147/12)/INDEX('Lease Cycles'!$CP$16:$CV$16,1,EN146))/12,IF(EN146=1,IF(EN147&gt;=INDEX('Lease Cycles'!$DK$16:$DQ$16,1,EN146),IF(EN$6&gt;='Lease Cycles'!$AZ$16,'Lease Cycles'!$C$16*'Lease Cycles'!$BA$16/12,IF(EN$6&gt;='Lease Cycles'!$AX$16,'Lease Cycles'!$C$16*'Lease Cycles'!$AY$16/12,IF(EN$6&gt;='Lease Cycles'!$AV$16,'Lease Cycles'!$C$16*'Lease Cycles'!$AW$16/12,IF(EN$6&gt;='Lease Cycles'!$AT$16,'Lease Cycles'!$C$16*'Lease Cycles'!$AU$16/12,'Lease Cycles'!$C$16*INDEX('Lease Cycles'!$CB$16:$CH$16,1,EN146)*(1+INDEX('Lease Cycles'!$CI$16:$CO$16,1,EN146))^INT(INT(EN147/12)/INDEX('Lease Cycles'!$CP$16:$CV$16,1,EN146))/12)))),'Lease Cycles'!$C$16*INDEX('Lease Cycles'!$CB$16:$CH$16,1,EN146)*(1+INDEX('Lease Cycles'!$CI$16:$CO$16,1,EN146))^INT(INT(EN147/12)/INDEX('Lease Cycles'!$CP$16:$CV$16,1,EN146))/12),IF(INDEX('Lease Cycles'!$EF$16:$EL$16,1,EN146)=1,IF(AND('Lease Cycles'!$AZ$16&gt;=INDEX('Lease Cycles'!$BG$16:$BM$16,1,EN146),'Lease Cycles'!$AZ$16&lt;=EN$6),'Lease Cycles'!$C$16*'Lease Cycles'!$BA$16/12,IF(AND('Lease Cycles'!$AX$16&gt;=INDEX('Lease Cycles'!$BG$16:$BM$16,1,EN146),'Lease Cycles'!$AX$16&lt;=EN$6),'Lease Cycles'!$C$16*'Lease Cycles'!$AY$16/12,IF(AND('Lease Cycles'!$AV$16&gt;=INDEX('Lease Cycles'!$BG$16:$BM$16,1,EN146),'Lease Cycles'!$AV$16&lt;=EN$6),'Lease Cycles'!$C$16*'Lease Cycles'!$AW$16/12,IF(AND('Lease Cycles'!$AT$16&gt;=INDEX('Lease Cycles'!$BG$16:$BM$16,1,EN146),'Lease Cycles'!$AT$16&lt;=EN$6),'Lease Cycles'!$C$16*'Lease Cycles'!$AU$16/12,'Lease Cycles'!$C$16*INDEX('Lease Cycles'!$CB$16:$CH$16,1,EN146)*(1+INDEX('Lease Cycles'!$CI$16:$CO$16,1,EN146))^INT(INT(EN147/12)/INDEX('Lease Cycles'!$CP$16:$CV$16,1,EN146))/12)))),'Lease Cycles'!$C$16*INDEX('Lease Cycles'!$CB$16:$CH$16,1,EN146)*(1+INDEX('Lease Cycles'!$CI$16:$CO$16,1,EN146))^INT(INT(EN147/12)/INDEX('Lease Cycles'!$CP$16:$CV$16,1,EN146))/12))),IF('Lease Cycles'!$N$16=1,'Lease Cycles'!$C$16*'Lease Cycles'!$E$16*INDEX('Lease Cycles'!$HE$16:$HK$16,1,EN146)*(1+INDEX('Lease Cycles'!$GQ$16:$GW$16,1,EN146))^INT(INT((EN$6-INDEX('Lease Cycles'!$GJ$16:$GP$16,1,EN146))/12)/INDEX('Lease Cycles'!$GX$16:$HD$16,1,EN146))/12,0)))</f>
        <v>4535.716198662841</v>
      </c>
      <c r="EO149" s="28">
        <f>IF(EO146=0,IF('Lease Cycles'!$F$16&gt;0,'Lease Cycles'!$C$16*'Lease Cycles'!$E$16/12,0),IF(EO148=1,IF('Lease Cycles'!$AT$16&gt;=9999,'Lease Cycles'!$C$16*INDEX('Lease Cycles'!$CB$16:$CH$16,1,EO146)*(1+INDEX('Lease Cycles'!$CI$16:$CO$16,1,EO146))^INT(INT(EO147/12)/INDEX('Lease Cycles'!$CP$16:$CV$16,1,EO146))/12,IF(EO146=1,IF(EO147&gt;=INDEX('Lease Cycles'!$DK$16:$DQ$16,1,EO146),IF(EO$6&gt;='Lease Cycles'!$AZ$16,'Lease Cycles'!$C$16*'Lease Cycles'!$BA$16/12,IF(EO$6&gt;='Lease Cycles'!$AX$16,'Lease Cycles'!$C$16*'Lease Cycles'!$AY$16/12,IF(EO$6&gt;='Lease Cycles'!$AV$16,'Lease Cycles'!$C$16*'Lease Cycles'!$AW$16/12,IF(EO$6&gt;='Lease Cycles'!$AT$16,'Lease Cycles'!$C$16*'Lease Cycles'!$AU$16/12,'Lease Cycles'!$C$16*INDEX('Lease Cycles'!$CB$16:$CH$16,1,EO146)*(1+INDEX('Lease Cycles'!$CI$16:$CO$16,1,EO146))^INT(INT(EO147/12)/INDEX('Lease Cycles'!$CP$16:$CV$16,1,EO146))/12)))),'Lease Cycles'!$C$16*INDEX('Lease Cycles'!$CB$16:$CH$16,1,EO146)*(1+INDEX('Lease Cycles'!$CI$16:$CO$16,1,EO146))^INT(INT(EO147/12)/INDEX('Lease Cycles'!$CP$16:$CV$16,1,EO146))/12),IF(INDEX('Lease Cycles'!$EF$16:$EL$16,1,EO146)=1,IF(AND('Lease Cycles'!$AZ$16&gt;=INDEX('Lease Cycles'!$BG$16:$BM$16,1,EO146),'Lease Cycles'!$AZ$16&lt;=EO$6),'Lease Cycles'!$C$16*'Lease Cycles'!$BA$16/12,IF(AND('Lease Cycles'!$AX$16&gt;=INDEX('Lease Cycles'!$BG$16:$BM$16,1,EO146),'Lease Cycles'!$AX$16&lt;=EO$6),'Lease Cycles'!$C$16*'Lease Cycles'!$AY$16/12,IF(AND('Lease Cycles'!$AV$16&gt;=INDEX('Lease Cycles'!$BG$16:$BM$16,1,EO146),'Lease Cycles'!$AV$16&lt;=EO$6),'Lease Cycles'!$C$16*'Lease Cycles'!$AW$16/12,IF(AND('Lease Cycles'!$AT$16&gt;=INDEX('Lease Cycles'!$BG$16:$BM$16,1,EO146),'Lease Cycles'!$AT$16&lt;=EO$6),'Lease Cycles'!$C$16*'Lease Cycles'!$AU$16/12,'Lease Cycles'!$C$16*INDEX('Lease Cycles'!$CB$16:$CH$16,1,EO146)*(1+INDEX('Lease Cycles'!$CI$16:$CO$16,1,EO146))^INT(INT(EO147/12)/INDEX('Lease Cycles'!$CP$16:$CV$16,1,EO146))/12)))),'Lease Cycles'!$C$16*INDEX('Lease Cycles'!$CB$16:$CH$16,1,EO146)*(1+INDEX('Lease Cycles'!$CI$16:$CO$16,1,EO146))^INT(INT(EO147/12)/INDEX('Lease Cycles'!$CP$16:$CV$16,1,EO146))/12))),IF('Lease Cycles'!$N$16=1,'Lease Cycles'!$C$16*'Lease Cycles'!$E$16*INDEX('Lease Cycles'!$HE$16:$HK$16,1,EO146)*(1+INDEX('Lease Cycles'!$GQ$16:$GW$16,1,EO146))^INT(INT((EO$6-INDEX('Lease Cycles'!$GJ$16:$GP$16,1,EO146))/12)/INDEX('Lease Cycles'!$GX$16:$HD$16,1,EO146))/12,0)))</f>
        <v>4535.716198662841</v>
      </c>
      <c r="EP149" s="28">
        <f>IF(EP146=0,IF('Lease Cycles'!$F$16&gt;0,'Lease Cycles'!$C$16*'Lease Cycles'!$E$16/12,0),IF(EP148=1,IF('Lease Cycles'!$AT$16&gt;=9999,'Lease Cycles'!$C$16*INDEX('Lease Cycles'!$CB$16:$CH$16,1,EP146)*(1+INDEX('Lease Cycles'!$CI$16:$CO$16,1,EP146))^INT(INT(EP147/12)/INDEX('Lease Cycles'!$CP$16:$CV$16,1,EP146))/12,IF(EP146=1,IF(EP147&gt;=INDEX('Lease Cycles'!$DK$16:$DQ$16,1,EP146),IF(EP$6&gt;='Lease Cycles'!$AZ$16,'Lease Cycles'!$C$16*'Lease Cycles'!$BA$16/12,IF(EP$6&gt;='Lease Cycles'!$AX$16,'Lease Cycles'!$C$16*'Lease Cycles'!$AY$16/12,IF(EP$6&gt;='Lease Cycles'!$AV$16,'Lease Cycles'!$C$16*'Lease Cycles'!$AW$16/12,IF(EP$6&gt;='Lease Cycles'!$AT$16,'Lease Cycles'!$C$16*'Lease Cycles'!$AU$16/12,'Lease Cycles'!$C$16*INDEX('Lease Cycles'!$CB$16:$CH$16,1,EP146)*(1+INDEX('Lease Cycles'!$CI$16:$CO$16,1,EP146))^INT(INT(EP147/12)/INDEX('Lease Cycles'!$CP$16:$CV$16,1,EP146))/12)))),'Lease Cycles'!$C$16*INDEX('Lease Cycles'!$CB$16:$CH$16,1,EP146)*(1+INDEX('Lease Cycles'!$CI$16:$CO$16,1,EP146))^INT(INT(EP147/12)/INDEX('Lease Cycles'!$CP$16:$CV$16,1,EP146))/12),IF(INDEX('Lease Cycles'!$EF$16:$EL$16,1,EP146)=1,IF(AND('Lease Cycles'!$AZ$16&gt;=INDEX('Lease Cycles'!$BG$16:$BM$16,1,EP146),'Lease Cycles'!$AZ$16&lt;=EP$6),'Lease Cycles'!$C$16*'Lease Cycles'!$BA$16/12,IF(AND('Lease Cycles'!$AX$16&gt;=INDEX('Lease Cycles'!$BG$16:$BM$16,1,EP146),'Lease Cycles'!$AX$16&lt;=EP$6),'Lease Cycles'!$C$16*'Lease Cycles'!$AY$16/12,IF(AND('Lease Cycles'!$AV$16&gt;=INDEX('Lease Cycles'!$BG$16:$BM$16,1,EP146),'Lease Cycles'!$AV$16&lt;=EP$6),'Lease Cycles'!$C$16*'Lease Cycles'!$AW$16/12,IF(AND('Lease Cycles'!$AT$16&gt;=INDEX('Lease Cycles'!$BG$16:$BM$16,1,EP146),'Lease Cycles'!$AT$16&lt;=EP$6),'Lease Cycles'!$C$16*'Lease Cycles'!$AU$16/12,'Lease Cycles'!$C$16*INDEX('Lease Cycles'!$CB$16:$CH$16,1,EP146)*(1+INDEX('Lease Cycles'!$CI$16:$CO$16,1,EP146))^INT(INT(EP147/12)/INDEX('Lease Cycles'!$CP$16:$CV$16,1,EP146))/12)))),'Lease Cycles'!$C$16*INDEX('Lease Cycles'!$CB$16:$CH$16,1,EP146)*(1+INDEX('Lease Cycles'!$CI$16:$CO$16,1,EP146))^INT(INT(EP147/12)/INDEX('Lease Cycles'!$CP$16:$CV$16,1,EP146))/12))),IF('Lease Cycles'!$N$16=1,'Lease Cycles'!$C$16*'Lease Cycles'!$E$16*INDEX('Lease Cycles'!$HE$16:$HK$16,1,EP146)*(1+INDEX('Lease Cycles'!$GQ$16:$GW$16,1,EP146))^INT(INT((EP$6-INDEX('Lease Cycles'!$GJ$16:$GP$16,1,EP146))/12)/INDEX('Lease Cycles'!$GX$16:$HD$16,1,EP146))/12,0)))</f>
        <v>4535.716198662841</v>
      </c>
      <c r="EQ149" s="28">
        <f>IF(EQ146=0,IF('Lease Cycles'!$F$16&gt;0,'Lease Cycles'!$C$16*'Lease Cycles'!$E$16/12,0),IF(EQ148=1,IF('Lease Cycles'!$AT$16&gt;=9999,'Lease Cycles'!$C$16*INDEX('Lease Cycles'!$CB$16:$CH$16,1,EQ146)*(1+INDEX('Lease Cycles'!$CI$16:$CO$16,1,EQ146))^INT(INT(EQ147/12)/INDEX('Lease Cycles'!$CP$16:$CV$16,1,EQ146))/12,IF(EQ146=1,IF(EQ147&gt;=INDEX('Lease Cycles'!$DK$16:$DQ$16,1,EQ146),IF(EQ$6&gt;='Lease Cycles'!$AZ$16,'Lease Cycles'!$C$16*'Lease Cycles'!$BA$16/12,IF(EQ$6&gt;='Lease Cycles'!$AX$16,'Lease Cycles'!$C$16*'Lease Cycles'!$AY$16/12,IF(EQ$6&gt;='Lease Cycles'!$AV$16,'Lease Cycles'!$C$16*'Lease Cycles'!$AW$16/12,IF(EQ$6&gt;='Lease Cycles'!$AT$16,'Lease Cycles'!$C$16*'Lease Cycles'!$AU$16/12,'Lease Cycles'!$C$16*INDEX('Lease Cycles'!$CB$16:$CH$16,1,EQ146)*(1+INDEX('Lease Cycles'!$CI$16:$CO$16,1,EQ146))^INT(INT(EQ147/12)/INDEX('Lease Cycles'!$CP$16:$CV$16,1,EQ146))/12)))),'Lease Cycles'!$C$16*INDEX('Lease Cycles'!$CB$16:$CH$16,1,EQ146)*(1+INDEX('Lease Cycles'!$CI$16:$CO$16,1,EQ146))^INT(INT(EQ147/12)/INDEX('Lease Cycles'!$CP$16:$CV$16,1,EQ146))/12),IF(INDEX('Lease Cycles'!$EF$16:$EL$16,1,EQ146)=1,IF(AND('Lease Cycles'!$AZ$16&gt;=INDEX('Lease Cycles'!$BG$16:$BM$16,1,EQ146),'Lease Cycles'!$AZ$16&lt;=EQ$6),'Lease Cycles'!$C$16*'Lease Cycles'!$BA$16/12,IF(AND('Lease Cycles'!$AX$16&gt;=INDEX('Lease Cycles'!$BG$16:$BM$16,1,EQ146),'Lease Cycles'!$AX$16&lt;=EQ$6),'Lease Cycles'!$C$16*'Lease Cycles'!$AY$16/12,IF(AND('Lease Cycles'!$AV$16&gt;=INDEX('Lease Cycles'!$BG$16:$BM$16,1,EQ146),'Lease Cycles'!$AV$16&lt;=EQ$6),'Lease Cycles'!$C$16*'Lease Cycles'!$AW$16/12,IF(AND('Lease Cycles'!$AT$16&gt;=INDEX('Lease Cycles'!$BG$16:$BM$16,1,EQ146),'Lease Cycles'!$AT$16&lt;=EQ$6),'Lease Cycles'!$C$16*'Lease Cycles'!$AU$16/12,'Lease Cycles'!$C$16*INDEX('Lease Cycles'!$CB$16:$CH$16,1,EQ146)*(1+INDEX('Lease Cycles'!$CI$16:$CO$16,1,EQ146))^INT(INT(EQ147/12)/INDEX('Lease Cycles'!$CP$16:$CV$16,1,EQ146))/12)))),'Lease Cycles'!$C$16*INDEX('Lease Cycles'!$CB$16:$CH$16,1,EQ146)*(1+INDEX('Lease Cycles'!$CI$16:$CO$16,1,EQ146))^INT(INT(EQ147/12)/INDEX('Lease Cycles'!$CP$16:$CV$16,1,EQ146))/12))),IF('Lease Cycles'!$N$16=1,'Lease Cycles'!$C$16*'Lease Cycles'!$E$16*INDEX('Lease Cycles'!$HE$16:$HK$16,1,EQ146)*(1+INDEX('Lease Cycles'!$GQ$16:$GW$16,1,EQ146))^INT(INT((EQ$6-INDEX('Lease Cycles'!$GJ$16:$GP$16,1,EQ146))/12)/INDEX('Lease Cycles'!$GX$16:$HD$16,1,EQ146))/12,0)))</f>
        <v>4535.716198662841</v>
      </c>
      <c r="ER149" s="28">
        <f>IF(ER146=0,IF('Lease Cycles'!$F$16&gt;0,'Lease Cycles'!$C$16*'Lease Cycles'!$E$16/12,0),IF(ER148=1,IF('Lease Cycles'!$AT$16&gt;=9999,'Lease Cycles'!$C$16*INDEX('Lease Cycles'!$CB$16:$CH$16,1,ER146)*(1+INDEX('Lease Cycles'!$CI$16:$CO$16,1,ER146))^INT(INT(ER147/12)/INDEX('Lease Cycles'!$CP$16:$CV$16,1,ER146))/12,IF(ER146=1,IF(ER147&gt;=INDEX('Lease Cycles'!$DK$16:$DQ$16,1,ER146),IF(ER$6&gt;='Lease Cycles'!$AZ$16,'Lease Cycles'!$C$16*'Lease Cycles'!$BA$16/12,IF(ER$6&gt;='Lease Cycles'!$AX$16,'Lease Cycles'!$C$16*'Lease Cycles'!$AY$16/12,IF(ER$6&gt;='Lease Cycles'!$AV$16,'Lease Cycles'!$C$16*'Lease Cycles'!$AW$16/12,IF(ER$6&gt;='Lease Cycles'!$AT$16,'Lease Cycles'!$C$16*'Lease Cycles'!$AU$16/12,'Lease Cycles'!$C$16*INDEX('Lease Cycles'!$CB$16:$CH$16,1,ER146)*(1+INDEX('Lease Cycles'!$CI$16:$CO$16,1,ER146))^INT(INT(ER147/12)/INDEX('Lease Cycles'!$CP$16:$CV$16,1,ER146))/12)))),'Lease Cycles'!$C$16*INDEX('Lease Cycles'!$CB$16:$CH$16,1,ER146)*(1+INDEX('Lease Cycles'!$CI$16:$CO$16,1,ER146))^INT(INT(ER147/12)/INDEX('Lease Cycles'!$CP$16:$CV$16,1,ER146))/12),IF(INDEX('Lease Cycles'!$EF$16:$EL$16,1,ER146)=1,IF(AND('Lease Cycles'!$AZ$16&gt;=INDEX('Lease Cycles'!$BG$16:$BM$16,1,ER146),'Lease Cycles'!$AZ$16&lt;=ER$6),'Lease Cycles'!$C$16*'Lease Cycles'!$BA$16/12,IF(AND('Lease Cycles'!$AX$16&gt;=INDEX('Lease Cycles'!$BG$16:$BM$16,1,ER146),'Lease Cycles'!$AX$16&lt;=ER$6),'Lease Cycles'!$C$16*'Lease Cycles'!$AY$16/12,IF(AND('Lease Cycles'!$AV$16&gt;=INDEX('Lease Cycles'!$BG$16:$BM$16,1,ER146),'Lease Cycles'!$AV$16&lt;=ER$6),'Lease Cycles'!$C$16*'Lease Cycles'!$AW$16/12,IF(AND('Lease Cycles'!$AT$16&gt;=INDEX('Lease Cycles'!$BG$16:$BM$16,1,ER146),'Lease Cycles'!$AT$16&lt;=ER$6),'Lease Cycles'!$C$16*'Lease Cycles'!$AU$16/12,'Lease Cycles'!$C$16*INDEX('Lease Cycles'!$CB$16:$CH$16,1,ER146)*(1+INDEX('Lease Cycles'!$CI$16:$CO$16,1,ER146))^INT(INT(ER147/12)/INDEX('Lease Cycles'!$CP$16:$CV$16,1,ER146))/12)))),'Lease Cycles'!$C$16*INDEX('Lease Cycles'!$CB$16:$CH$16,1,ER146)*(1+INDEX('Lease Cycles'!$CI$16:$CO$16,1,ER146))^INT(INT(ER147/12)/INDEX('Lease Cycles'!$CP$16:$CV$16,1,ER146))/12))),IF('Lease Cycles'!$N$16=1,'Lease Cycles'!$C$16*'Lease Cycles'!$E$16*INDEX('Lease Cycles'!$HE$16:$HK$16,1,ER146)*(1+INDEX('Lease Cycles'!$GQ$16:$GW$16,1,ER146))^INT(INT((ER$6-INDEX('Lease Cycles'!$GJ$16:$GP$16,1,ER146))/12)/INDEX('Lease Cycles'!$GX$16:$HD$16,1,ER146))/12,0)))</f>
        <v>4535.716198662841</v>
      </c>
      <c r="ES149" s="28">
        <f>IF(ES146=0,IF('Lease Cycles'!$F$16&gt;0,'Lease Cycles'!$C$16*'Lease Cycles'!$E$16/12,0),IF(ES148=1,IF('Lease Cycles'!$AT$16&gt;=9999,'Lease Cycles'!$C$16*INDEX('Lease Cycles'!$CB$16:$CH$16,1,ES146)*(1+INDEX('Lease Cycles'!$CI$16:$CO$16,1,ES146))^INT(INT(ES147/12)/INDEX('Lease Cycles'!$CP$16:$CV$16,1,ES146))/12,IF(ES146=1,IF(ES147&gt;=INDEX('Lease Cycles'!$DK$16:$DQ$16,1,ES146),IF(ES$6&gt;='Lease Cycles'!$AZ$16,'Lease Cycles'!$C$16*'Lease Cycles'!$BA$16/12,IF(ES$6&gt;='Lease Cycles'!$AX$16,'Lease Cycles'!$C$16*'Lease Cycles'!$AY$16/12,IF(ES$6&gt;='Lease Cycles'!$AV$16,'Lease Cycles'!$C$16*'Lease Cycles'!$AW$16/12,IF(ES$6&gt;='Lease Cycles'!$AT$16,'Lease Cycles'!$C$16*'Lease Cycles'!$AU$16/12,'Lease Cycles'!$C$16*INDEX('Lease Cycles'!$CB$16:$CH$16,1,ES146)*(1+INDEX('Lease Cycles'!$CI$16:$CO$16,1,ES146))^INT(INT(ES147/12)/INDEX('Lease Cycles'!$CP$16:$CV$16,1,ES146))/12)))),'Lease Cycles'!$C$16*INDEX('Lease Cycles'!$CB$16:$CH$16,1,ES146)*(1+INDEX('Lease Cycles'!$CI$16:$CO$16,1,ES146))^INT(INT(ES147/12)/INDEX('Lease Cycles'!$CP$16:$CV$16,1,ES146))/12),IF(INDEX('Lease Cycles'!$EF$16:$EL$16,1,ES146)=1,IF(AND('Lease Cycles'!$AZ$16&gt;=INDEX('Lease Cycles'!$BG$16:$BM$16,1,ES146),'Lease Cycles'!$AZ$16&lt;=ES$6),'Lease Cycles'!$C$16*'Lease Cycles'!$BA$16/12,IF(AND('Lease Cycles'!$AX$16&gt;=INDEX('Lease Cycles'!$BG$16:$BM$16,1,ES146),'Lease Cycles'!$AX$16&lt;=ES$6),'Lease Cycles'!$C$16*'Lease Cycles'!$AY$16/12,IF(AND('Lease Cycles'!$AV$16&gt;=INDEX('Lease Cycles'!$BG$16:$BM$16,1,ES146),'Lease Cycles'!$AV$16&lt;=ES$6),'Lease Cycles'!$C$16*'Lease Cycles'!$AW$16/12,IF(AND('Lease Cycles'!$AT$16&gt;=INDEX('Lease Cycles'!$BG$16:$BM$16,1,ES146),'Lease Cycles'!$AT$16&lt;=ES$6),'Lease Cycles'!$C$16*'Lease Cycles'!$AU$16/12,'Lease Cycles'!$C$16*INDEX('Lease Cycles'!$CB$16:$CH$16,1,ES146)*(1+INDEX('Lease Cycles'!$CI$16:$CO$16,1,ES146))^INT(INT(ES147/12)/INDEX('Lease Cycles'!$CP$16:$CV$16,1,ES146))/12)))),'Lease Cycles'!$C$16*INDEX('Lease Cycles'!$CB$16:$CH$16,1,ES146)*(1+INDEX('Lease Cycles'!$CI$16:$CO$16,1,ES146))^INT(INT(ES147/12)/INDEX('Lease Cycles'!$CP$16:$CV$16,1,ES146))/12))),IF('Lease Cycles'!$N$16=1,'Lease Cycles'!$C$16*'Lease Cycles'!$E$16*INDEX('Lease Cycles'!$HE$16:$HK$16,1,ES146)*(1+INDEX('Lease Cycles'!$GQ$16:$GW$16,1,ES146))^INT(INT((ES$6-INDEX('Lease Cycles'!$GJ$16:$GP$16,1,ES146))/12)/INDEX('Lease Cycles'!$GX$16:$HD$16,1,ES146))/12,0)))</f>
        <v>4671.787684622726</v>
      </c>
      <c r="ET149" s="28">
        <f>IF(ET146=0,IF('Lease Cycles'!$F$16&gt;0,'Lease Cycles'!$C$16*'Lease Cycles'!$E$16/12,0),IF(ET148=1,IF('Lease Cycles'!$AT$16&gt;=9999,'Lease Cycles'!$C$16*INDEX('Lease Cycles'!$CB$16:$CH$16,1,ET146)*(1+INDEX('Lease Cycles'!$CI$16:$CO$16,1,ET146))^INT(INT(ET147/12)/INDEX('Lease Cycles'!$CP$16:$CV$16,1,ET146))/12,IF(ET146=1,IF(ET147&gt;=INDEX('Lease Cycles'!$DK$16:$DQ$16,1,ET146),IF(ET$6&gt;='Lease Cycles'!$AZ$16,'Lease Cycles'!$C$16*'Lease Cycles'!$BA$16/12,IF(ET$6&gt;='Lease Cycles'!$AX$16,'Lease Cycles'!$C$16*'Lease Cycles'!$AY$16/12,IF(ET$6&gt;='Lease Cycles'!$AV$16,'Lease Cycles'!$C$16*'Lease Cycles'!$AW$16/12,IF(ET$6&gt;='Lease Cycles'!$AT$16,'Lease Cycles'!$C$16*'Lease Cycles'!$AU$16/12,'Lease Cycles'!$C$16*INDEX('Lease Cycles'!$CB$16:$CH$16,1,ET146)*(1+INDEX('Lease Cycles'!$CI$16:$CO$16,1,ET146))^INT(INT(ET147/12)/INDEX('Lease Cycles'!$CP$16:$CV$16,1,ET146))/12)))),'Lease Cycles'!$C$16*INDEX('Lease Cycles'!$CB$16:$CH$16,1,ET146)*(1+INDEX('Lease Cycles'!$CI$16:$CO$16,1,ET146))^INT(INT(ET147/12)/INDEX('Lease Cycles'!$CP$16:$CV$16,1,ET146))/12),IF(INDEX('Lease Cycles'!$EF$16:$EL$16,1,ET146)=1,IF(AND('Lease Cycles'!$AZ$16&gt;=INDEX('Lease Cycles'!$BG$16:$BM$16,1,ET146),'Lease Cycles'!$AZ$16&lt;=ET$6),'Lease Cycles'!$C$16*'Lease Cycles'!$BA$16/12,IF(AND('Lease Cycles'!$AX$16&gt;=INDEX('Lease Cycles'!$BG$16:$BM$16,1,ET146),'Lease Cycles'!$AX$16&lt;=ET$6),'Lease Cycles'!$C$16*'Lease Cycles'!$AY$16/12,IF(AND('Lease Cycles'!$AV$16&gt;=INDEX('Lease Cycles'!$BG$16:$BM$16,1,ET146),'Lease Cycles'!$AV$16&lt;=ET$6),'Lease Cycles'!$C$16*'Lease Cycles'!$AW$16/12,IF(AND('Lease Cycles'!$AT$16&gt;=INDEX('Lease Cycles'!$BG$16:$BM$16,1,ET146),'Lease Cycles'!$AT$16&lt;=ET$6),'Lease Cycles'!$C$16*'Lease Cycles'!$AU$16/12,'Lease Cycles'!$C$16*INDEX('Lease Cycles'!$CB$16:$CH$16,1,ET146)*(1+INDEX('Lease Cycles'!$CI$16:$CO$16,1,ET146))^INT(INT(ET147/12)/INDEX('Lease Cycles'!$CP$16:$CV$16,1,ET146))/12)))),'Lease Cycles'!$C$16*INDEX('Lease Cycles'!$CB$16:$CH$16,1,ET146)*(1+INDEX('Lease Cycles'!$CI$16:$CO$16,1,ET146))^INT(INT(ET147/12)/INDEX('Lease Cycles'!$CP$16:$CV$16,1,ET146))/12))),IF('Lease Cycles'!$N$16=1,'Lease Cycles'!$C$16*'Lease Cycles'!$E$16*INDEX('Lease Cycles'!$HE$16:$HK$16,1,ET146)*(1+INDEX('Lease Cycles'!$GQ$16:$GW$16,1,ET146))^INT(INT((ET$6-INDEX('Lease Cycles'!$GJ$16:$GP$16,1,ET146))/12)/INDEX('Lease Cycles'!$GX$16:$HD$16,1,ET146))/12,0)))</f>
        <v>4671.787684622726</v>
      </c>
    </row>
    <row r="150">
      <c r="A150" s="103">
        <v>9</v>
      </c>
      <c r="B150" s="23" t="str">
        <f>IF('Lease Cycles'!$B$16="","(empty slot)",'Lease Cycles'!$B$16)</f>
        <v>Sunfield Office Suite</v>
      </c>
      <c r="C150" s="23" t="s">
        <v>679</v>
      </c>
      <c r="D150" s="104" t="s">
        <v>680</v>
      </c>
      <c r="E150" s="25">
        <f>'Lease Cycles'!$AL$16</f>
        <v>0</v>
      </c>
      <c r="S150" s="28">
        <f>IF(S148=1,IF(INDEX('Lease Cycles'!$EF$16:$EL$16,1,S146)=1,'Lease Cycles'!$C$16*INDEX('Lease Cycles'!$ET$16:$EZ$16,1,S146)*(1+'Lease Cycles'!$V$16)^INT(INT(S147/12)/'Lease Cycles'!$W$16)/12,0),0)</f>
        <v>0</v>
      </c>
      <c r="T150" s="28">
        <f>IF(T148=1,IF(INDEX('Lease Cycles'!$EF$16:$EL$16,1,T146)=1,'Lease Cycles'!$C$16*INDEX('Lease Cycles'!$ET$16:$EZ$16,1,T146)*(1+'Lease Cycles'!$V$16)^INT(INT(T147/12)/'Lease Cycles'!$W$16)/12,0),0)</f>
        <v>0</v>
      </c>
      <c r="U150" s="28">
        <f>IF(U148=1,IF(INDEX('Lease Cycles'!$EF$16:$EL$16,1,U146)=1,'Lease Cycles'!$C$16*INDEX('Lease Cycles'!$ET$16:$EZ$16,1,U146)*(1+'Lease Cycles'!$V$16)^INT(INT(U147/12)/'Lease Cycles'!$W$16)/12,0),0)</f>
        <v>0</v>
      </c>
      <c r="V150" s="28">
        <f>IF(V148=1,IF(INDEX('Lease Cycles'!$EF$16:$EL$16,1,V146)=1,'Lease Cycles'!$C$16*INDEX('Lease Cycles'!$ET$16:$EZ$16,1,V146)*(1+'Lease Cycles'!$V$16)^INT(INT(V147/12)/'Lease Cycles'!$W$16)/12,0),0)</f>
        <v>0</v>
      </c>
      <c r="W150" s="28">
        <f>IF(W148=1,IF(INDEX('Lease Cycles'!$EF$16:$EL$16,1,W146)=1,'Lease Cycles'!$C$16*INDEX('Lease Cycles'!$ET$16:$EZ$16,1,W146)*(1+'Lease Cycles'!$V$16)^INT(INT(W147/12)/'Lease Cycles'!$W$16)/12,0),0)</f>
        <v>0</v>
      </c>
      <c r="X150" s="28">
        <f>IF(X148=1,IF(INDEX('Lease Cycles'!$EF$16:$EL$16,1,X146)=1,'Lease Cycles'!$C$16*INDEX('Lease Cycles'!$ET$16:$EZ$16,1,X146)*(1+'Lease Cycles'!$V$16)^INT(INT(X147/12)/'Lease Cycles'!$W$16)/12,0),0)</f>
        <v>0</v>
      </c>
      <c r="Y150" s="28">
        <f>IF(Y148=1,IF(INDEX('Lease Cycles'!$EF$16:$EL$16,1,Y146)=1,'Lease Cycles'!$C$16*INDEX('Lease Cycles'!$ET$16:$EZ$16,1,Y146)*(1+'Lease Cycles'!$V$16)^INT(INT(Y147/12)/'Lease Cycles'!$W$16)/12,0),0)</f>
        <v>0</v>
      </c>
      <c r="Z150" s="28">
        <f>IF(Z148=1,IF(INDEX('Lease Cycles'!$EF$16:$EL$16,1,Z146)=1,'Lease Cycles'!$C$16*INDEX('Lease Cycles'!$ET$16:$EZ$16,1,Z146)*(1+'Lease Cycles'!$V$16)^INT(INT(Z147/12)/'Lease Cycles'!$W$16)/12,0),0)</f>
        <v>0</v>
      </c>
      <c r="AA150" s="28">
        <f>IF(AA148=1,IF(INDEX('Lease Cycles'!$EF$16:$EL$16,1,AA146)=1,'Lease Cycles'!$C$16*INDEX('Lease Cycles'!$ET$16:$EZ$16,1,AA146)*(1+'Lease Cycles'!$V$16)^INT(INT(AA147/12)/'Lease Cycles'!$W$16)/12,0),0)</f>
        <v>0</v>
      </c>
      <c r="AB150" s="28">
        <f>IF(AB148=1,IF(INDEX('Lease Cycles'!$EF$16:$EL$16,1,AB146)=1,'Lease Cycles'!$C$16*INDEX('Lease Cycles'!$ET$16:$EZ$16,1,AB146)*(1+'Lease Cycles'!$V$16)^INT(INT(AB147/12)/'Lease Cycles'!$W$16)/12,0),0)</f>
        <v>0</v>
      </c>
      <c r="AC150" s="28">
        <f>IF(AC148=1,IF(INDEX('Lease Cycles'!$EF$16:$EL$16,1,AC146)=1,'Lease Cycles'!$C$16*INDEX('Lease Cycles'!$ET$16:$EZ$16,1,AC146)*(1+'Lease Cycles'!$V$16)^INT(INT(AC147/12)/'Lease Cycles'!$W$16)/12,0),0)</f>
        <v>0</v>
      </c>
      <c r="AD150" s="28">
        <f>IF(AD148=1,IF(INDEX('Lease Cycles'!$EF$16:$EL$16,1,AD146)=1,'Lease Cycles'!$C$16*INDEX('Lease Cycles'!$ET$16:$EZ$16,1,AD146)*(1+'Lease Cycles'!$V$16)^INT(INT(AD147/12)/'Lease Cycles'!$W$16)/12,0),0)</f>
        <v>0</v>
      </c>
      <c r="AE150" s="28">
        <f>IF(AE148=1,IF(INDEX('Lease Cycles'!$EF$16:$EL$16,1,AE146)=1,'Lease Cycles'!$C$16*INDEX('Lease Cycles'!$ET$16:$EZ$16,1,AE146)*(1+'Lease Cycles'!$V$16)^INT(INT(AE147/12)/'Lease Cycles'!$W$16)/12,0),0)</f>
        <v>0</v>
      </c>
      <c r="AF150" s="28">
        <f>IF(AF148=1,IF(INDEX('Lease Cycles'!$EF$16:$EL$16,1,AF146)=1,'Lease Cycles'!$C$16*INDEX('Lease Cycles'!$ET$16:$EZ$16,1,AF146)*(1+'Lease Cycles'!$V$16)^INT(INT(AF147/12)/'Lease Cycles'!$W$16)/12,0),0)</f>
        <v>0</v>
      </c>
      <c r="AG150" s="28">
        <f>IF(AG148=1,IF(INDEX('Lease Cycles'!$EF$16:$EL$16,1,AG146)=1,'Lease Cycles'!$C$16*INDEX('Lease Cycles'!$ET$16:$EZ$16,1,AG146)*(1+'Lease Cycles'!$V$16)^INT(INT(AG147/12)/'Lease Cycles'!$W$16)/12,0),0)</f>
        <v>0</v>
      </c>
      <c r="AH150" s="28">
        <f>IF(AH148=1,IF(INDEX('Lease Cycles'!$EF$16:$EL$16,1,AH146)=1,'Lease Cycles'!$C$16*INDEX('Lease Cycles'!$ET$16:$EZ$16,1,AH146)*(1+'Lease Cycles'!$V$16)^INT(INT(AH147/12)/'Lease Cycles'!$W$16)/12,0),0)</f>
        <v>0</v>
      </c>
      <c r="AI150" s="28">
        <f>IF(AI148=1,IF(INDEX('Lease Cycles'!$EF$16:$EL$16,1,AI146)=1,'Lease Cycles'!$C$16*INDEX('Lease Cycles'!$ET$16:$EZ$16,1,AI146)*(1+'Lease Cycles'!$V$16)^INT(INT(AI147/12)/'Lease Cycles'!$W$16)/12,0),0)</f>
        <v>0</v>
      </c>
      <c r="AJ150" s="28">
        <f>IF(AJ148=1,IF(INDEX('Lease Cycles'!$EF$16:$EL$16,1,AJ146)=1,'Lease Cycles'!$C$16*INDEX('Lease Cycles'!$ET$16:$EZ$16,1,AJ146)*(1+'Lease Cycles'!$V$16)^INT(INT(AJ147/12)/'Lease Cycles'!$W$16)/12,0),0)</f>
        <v>0</v>
      </c>
      <c r="AK150" s="28">
        <f>IF(AK148=1,IF(INDEX('Lease Cycles'!$EF$16:$EL$16,1,AK146)=1,'Lease Cycles'!$C$16*INDEX('Lease Cycles'!$ET$16:$EZ$16,1,AK146)*(1+'Lease Cycles'!$V$16)^INT(INT(AK147/12)/'Lease Cycles'!$W$16)/12,0),0)</f>
        <v>0</v>
      </c>
      <c r="AL150" s="28">
        <f>IF(AL148=1,IF(INDEX('Lease Cycles'!$EF$16:$EL$16,1,AL146)=1,'Lease Cycles'!$C$16*INDEX('Lease Cycles'!$ET$16:$EZ$16,1,AL146)*(1+'Lease Cycles'!$V$16)^INT(INT(AL147/12)/'Lease Cycles'!$W$16)/12,0),0)</f>
        <v>0</v>
      </c>
      <c r="AM150" s="28">
        <f>IF(AM148=1,IF(INDEX('Lease Cycles'!$EF$16:$EL$16,1,AM146)=1,'Lease Cycles'!$C$16*INDEX('Lease Cycles'!$ET$16:$EZ$16,1,AM146)*(1+'Lease Cycles'!$V$16)^INT(INT(AM147/12)/'Lease Cycles'!$W$16)/12,0),0)</f>
        <v>0</v>
      </c>
      <c r="AN150" s="28">
        <f>IF(AN148=1,IF(INDEX('Lease Cycles'!$EF$16:$EL$16,1,AN146)=1,'Lease Cycles'!$C$16*INDEX('Lease Cycles'!$ET$16:$EZ$16,1,AN146)*(1+'Lease Cycles'!$V$16)^INT(INT(AN147/12)/'Lease Cycles'!$W$16)/12,0),0)</f>
        <v>0</v>
      </c>
      <c r="AO150" s="28">
        <f>IF(AO148=1,IF(INDEX('Lease Cycles'!$EF$16:$EL$16,1,AO146)=1,'Lease Cycles'!$C$16*INDEX('Lease Cycles'!$ET$16:$EZ$16,1,AO146)*(1+'Lease Cycles'!$V$16)^INT(INT(AO147/12)/'Lease Cycles'!$W$16)/12,0),0)</f>
        <v>0</v>
      </c>
      <c r="AP150" s="28">
        <f>IF(AP148=1,IF(INDEX('Lease Cycles'!$EF$16:$EL$16,1,AP146)=1,'Lease Cycles'!$C$16*INDEX('Lease Cycles'!$ET$16:$EZ$16,1,AP146)*(1+'Lease Cycles'!$V$16)^INT(INT(AP147/12)/'Lease Cycles'!$W$16)/12,0),0)</f>
        <v>0</v>
      </c>
      <c r="AQ150" s="28">
        <f>IF(AQ148=1,IF(INDEX('Lease Cycles'!$EF$16:$EL$16,1,AQ146)=1,'Lease Cycles'!$C$16*INDEX('Lease Cycles'!$ET$16:$EZ$16,1,AQ146)*(1+'Lease Cycles'!$V$16)^INT(INT(AQ147/12)/'Lease Cycles'!$W$16)/12,0),0)</f>
        <v>0</v>
      </c>
      <c r="AR150" s="28">
        <f>IF(AR148=1,IF(INDEX('Lease Cycles'!$EF$16:$EL$16,1,AR146)=1,'Lease Cycles'!$C$16*INDEX('Lease Cycles'!$ET$16:$EZ$16,1,AR146)*(1+'Lease Cycles'!$V$16)^INT(INT(AR147/12)/'Lease Cycles'!$W$16)/12,0),0)</f>
        <v>0</v>
      </c>
      <c r="AS150" s="28">
        <f>IF(AS148=1,IF(INDEX('Lease Cycles'!$EF$16:$EL$16,1,AS146)=1,'Lease Cycles'!$C$16*INDEX('Lease Cycles'!$ET$16:$EZ$16,1,AS146)*(1+'Lease Cycles'!$V$16)^INT(INT(AS147/12)/'Lease Cycles'!$W$16)/12,0),0)</f>
        <v>0</v>
      </c>
      <c r="AT150" s="28">
        <f>IF(AT148=1,IF(INDEX('Lease Cycles'!$EF$16:$EL$16,1,AT146)=1,'Lease Cycles'!$C$16*INDEX('Lease Cycles'!$ET$16:$EZ$16,1,AT146)*(1+'Lease Cycles'!$V$16)^INT(INT(AT147/12)/'Lease Cycles'!$W$16)/12,0),0)</f>
        <v>0</v>
      </c>
      <c r="AU150" s="28">
        <f>IF(AU148=1,IF(INDEX('Lease Cycles'!$EF$16:$EL$16,1,AU146)=1,'Lease Cycles'!$C$16*INDEX('Lease Cycles'!$ET$16:$EZ$16,1,AU146)*(1+'Lease Cycles'!$V$16)^INT(INT(AU147/12)/'Lease Cycles'!$W$16)/12,0),0)</f>
        <v>0</v>
      </c>
      <c r="AV150" s="28">
        <f>IF(AV148=1,IF(INDEX('Lease Cycles'!$EF$16:$EL$16,1,AV146)=1,'Lease Cycles'!$C$16*INDEX('Lease Cycles'!$ET$16:$EZ$16,1,AV146)*(1+'Lease Cycles'!$V$16)^INT(INT(AV147/12)/'Lease Cycles'!$W$16)/12,0),0)</f>
        <v>0</v>
      </c>
      <c r="AW150" s="28">
        <f>IF(AW148=1,IF(INDEX('Lease Cycles'!$EF$16:$EL$16,1,AW146)=1,'Lease Cycles'!$C$16*INDEX('Lease Cycles'!$ET$16:$EZ$16,1,AW146)*(1+'Lease Cycles'!$V$16)^INT(INT(AW147/12)/'Lease Cycles'!$W$16)/12,0),0)</f>
        <v>0</v>
      </c>
      <c r="AX150" s="28">
        <f>IF(AX148=1,IF(INDEX('Lease Cycles'!$EF$16:$EL$16,1,AX146)=1,'Lease Cycles'!$C$16*INDEX('Lease Cycles'!$ET$16:$EZ$16,1,AX146)*(1+'Lease Cycles'!$V$16)^INT(INT(AX147/12)/'Lease Cycles'!$W$16)/12,0),0)</f>
        <v>0</v>
      </c>
      <c r="AY150" s="28">
        <f>IF(AY148=1,IF(INDEX('Lease Cycles'!$EF$16:$EL$16,1,AY146)=1,'Lease Cycles'!$C$16*INDEX('Lease Cycles'!$ET$16:$EZ$16,1,AY146)*(1+'Lease Cycles'!$V$16)^INT(INT(AY147/12)/'Lease Cycles'!$W$16)/12,0),0)</f>
        <v>0</v>
      </c>
      <c r="AZ150" s="28">
        <f>IF(AZ148=1,IF(INDEX('Lease Cycles'!$EF$16:$EL$16,1,AZ146)=1,'Lease Cycles'!$C$16*INDEX('Lease Cycles'!$ET$16:$EZ$16,1,AZ146)*(1+'Lease Cycles'!$V$16)^INT(INT(AZ147/12)/'Lease Cycles'!$W$16)/12,0),0)</f>
        <v>0</v>
      </c>
      <c r="BA150" s="28">
        <f>IF(BA148=1,IF(INDEX('Lease Cycles'!$EF$16:$EL$16,1,BA146)=1,'Lease Cycles'!$C$16*INDEX('Lease Cycles'!$ET$16:$EZ$16,1,BA146)*(1+'Lease Cycles'!$V$16)^INT(INT(BA147/12)/'Lease Cycles'!$W$16)/12,0),0)</f>
        <v>0</v>
      </c>
      <c r="BB150" s="28">
        <f>IF(BB148=1,IF(INDEX('Lease Cycles'!$EF$16:$EL$16,1,BB146)=1,'Lease Cycles'!$C$16*INDEX('Lease Cycles'!$ET$16:$EZ$16,1,BB146)*(1+'Lease Cycles'!$V$16)^INT(INT(BB147/12)/'Lease Cycles'!$W$16)/12,0),0)</f>
        <v>0</v>
      </c>
      <c r="BC150" s="28">
        <f>IF(BC148=1,IF(INDEX('Lease Cycles'!$EF$16:$EL$16,1,BC146)=1,'Lease Cycles'!$C$16*INDEX('Lease Cycles'!$ET$16:$EZ$16,1,BC146)*(1+'Lease Cycles'!$V$16)^INT(INT(BC147/12)/'Lease Cycles'!$W$16)/12,0),0)</f>
        <v>0</v>
      </c>
      <c r="BD150" s="28">
        <f>IF(BD148=1,IF(INDEX('Lease Cycles'!$EF$16:$EL$16,1,BD146)=1,'Lease Cycles'!$C$16*INDEX('Lease Cycles'!$ET$16:$EZ$16,1,BD146)*(1+'Lease Cycles'!$V$16)^INT(INT(BD147/12)/'Lease Cycles'!$W$16)/12,0),0)</f>
        <v>0</v>
      </c>
      <c r="BE150" s="28">
        <f>IF(BE148=1,IF(INDEX('Lease Cycles'!$EF$16:$EL$16,1,BE146)=1,'Lease Cycles'!$C$16*INDEX('Lease Cycles'!$ET$16:$EZ$16,1,BE146)*(1+'Lease Cycles'!$V$16)^INT(INT(BE147/12)/'Lease Cycles'!$W$16)/12,0),0)</f>
        <v>0</v>
      </c>
      <c r="BF150" s="28">
        <f>IF(BF148=1,IF(INDEX('Lease Cycles'!$EF$16:$EL$16,1,BF146)=1,'Lease Cycles'!$C$16*INDEX('Lease Cycles'!$ET$16:$EZ$16,1,BF146)*(1+'Lease Cycles'!$V$16)^INT(INT(BF147/12)/'Lease Cycles'!$W$16)/12,0),0)</f>
        <v>0</v>
      </c>
      <c r="BG150" s="28">
        <f>IF(BG148=1,IF(INDEX('Lease Cycles'!$EF$16:$EL$16,1,BG146)=1,'Lease Cycles'!$C$16*INDEX('Lease Cycles'!$ET$16:$EZ$16,1,BG146)*(1+'Lease Cycles'!$V$16)^INT(INT(BG147/12)/'Lease Cycles'!$W$16)/12,0),0)</f>
        <v>0</v>
      </c>
      <c r="BH150" s="28">
        <f>IF(BH148=1,IF(INDEX('Lease Cycles'!$EF$16:$EL$16,1,BH146)=1,'Lease Cycles'!$C$16*INDEX('Lease Cycles'!$ET$16:$EZ$16,1,BH146)*(1+'Lease Cycles'!$V$16)^INT(INT(BH147/12)/'Lease Cycles'!$W$16)/12,0),0)</f>
        <v>0</v>
      </c>
      <c r="BI150" s="28">
        <f>IF(BI148=1,IF(INDEX('Lease Cycles'!$EF$16:$EL$16,1,BI146)=1,'Lease Cycles'!$C$16*INDEX('Lease Cycles'!$ET$16:$EZ$16,1,BI146)*(1+'Lease Cycles'!$V$16)^INT(INT(BI147/12)/'Lease Cycles'!$W$16)/12,0),0)</f>
        <v>0</v>
      </c>
      <c r="BJ150" s="28">
        <f>IF(BJ148=1,IF(INDEX('Lease Cycles'!$EF$16:$EL$16,1,BJ146)=1,'Lease Cycles'!$C$16*INDEX('Lease Cycles'!$ET$16:$EZ$16,1,BJ146)*(1+'Lease Cycles'!$V$16)^INT(INT(BJ147/12)/'Lease Cycles'!$W$16)/12,0),0)</f>
        <v>0</v>
      </c>
      <c r="BK150" s="28">
        <f>IF(BK148=1,IF(INDEX('Lease Cycles'!$EF$16:$EL$16,1,BK146)=1,'Lease Cycles'!$C$16*INDEX('Lease Cycles'!$ET$16:$EZ$16,1,BK146)*(1+'Lease Cycles'!$V$16)^INT(INT(BK147/12)/'Lease Cycles'!$W$16)/12,0),0)</f>
        <v>0</v>
      </c>
      <c r="BL150" s="28">
        <f>IF(BL148=1,IF(INDEX('Lease Cycles'!$EF$16:$EL$16,1,BL146)=1,'Lease Cycles'!$C$16*INDEX('Lease Cycles'!$ET$16:$EZ$16,1,BL146)*(1+'Lease Cycles'!$V$16)^INT(INT(BL147/12)/'Lease Cycles'!$W$16)/12,0),0)</f>
        <v>0</v>
      </c>
      <c r="BM150" s="28">
        <f>IF(BM148=1,IF(INDEX('Lease Cycles'!$EF$16:$EL$16,1,BM146)=1,'Lease Cycles'!$C$16*INDEX('Lease Cycles'!$ET$16:$EZ$16,1,BM146)*(1+'Lease Cycles'!$V$16)^INT(INT(BM147/12)/'Lease Cycles'!$W$16)/12,0),0)</f>
        <v>0</v>
      </c>
      <c r="BN150" s="28">
        <f>IF(BN148=1,IF(INDEX('Lease Cycles'!$EF$16:$EL$16,1,BN146)=1,'Lease Cycles'!$C$16*INDEX('Lease Cycles'!$ET$16:$EZ$16,1,BN146)*(1+'Lease Cycles'!$V$16)^INT(INT(BN147/12)/'Lease Cycles'!$W$16)/12,0),0)</f>
        <v>0</v>
      </c>
      <c r="BO150" s="28">
        <f>IF(BO148=1,IF(INDEX('Lease Cycles'!$EF$16:$EL$16,1,BO146)=1,'Lease Cycles'!$C$16*INDEX('Lease Cycles'!$ET$16:$EZ$16,1,BO146)*(1+'Lease Cycles'!$V$16)^INT(INT(BO147/12)/'Lease Cycles'!$W$16)/12,0),0)</f>
        <v>0</v>
      </c>
      <c r="BP150" s="28">
        <f>IF(BP148=1,IF(INDEX('Lease Cycles'!$EF$16:$EL$16,1,BP146)=1,'Lease Cycles'!$C$16*INDEX('Lease Cycles'!$ET$16:$EZ$16,1,BP146)*(1+'Lease Cycles'!$V$16)^INT(INT(BP147/12)/'Lease Cycles'!$W$16)/12,0),0)</f>
        <v>0</v>
      </c>
      <c r="BQ150" s="28">
        <f>IF(BQ148=1,IF(INDEX('Lease Cycles'!$EF$16:$EL$16,1,BQ146)=1,'Lease Cycles'!$C$16*INDEX('Lease Cycles'!$ET$16:$EZ$16,1,BQ146)*(1+'Lease Cycles'!$V$16)^INT(INT(BQ147/12)/'Lease Cycles'!$W$16)/12,0),0)</f>
        <v>0</v>
      </c>
      <c r="BR150" s="28">
        <f>IF(BR148=1,IF(INDEX('Lease Cycles'!$EF$16:$EL$16,1,BR146)=1,'Lease Cycles'!$C$16*INDEX('Lease Cycles'!$ET$16:$EZ$16,1,BR146)*(1+'Lease Cycles'!$V$16)^INT(INT(BR147/12)/'Lease Cycles'!$W$16)/12,0),0)</f>
        <v>0</v>
      </c>
      <c r="BS150" s="28">
        <f>IF(BS148=1,IF(INDEX('Lease Cycles'!$EF$16:$EL$16,1,BS146)=1,'Lease Cycles'!$C$16*INDEX('Lease Cycles'!$ET$16:$EZ$16,1,BS146)*(1+'Lease Cycles'!$V$16)^INT(INT(BS147/12)/'Lease Cycles'!$W$16)/12,0),0)</f>
        <v>0</v>
      </c>
      <c r="BT150" s="28">
        <f>IF(BT148=1,IF(INDEX('Lease Cycles'!$EF$16:$EL$16,1,BT146)=1,'Lease Cycles'!$C$16*INDEX('Lease Cycles'!$ET$16:$EZ$16,1,BT146)*(1+'Lease Cycles'!$V$16)^INT(INT(BT147/12)/'Lease Cycles'!$W$16)/12,0),0)</f>
        <v>0</v>
      </c>
      <c r="BU150" s="28">
        <f>IF(BU148=1,IF(INDEX('Lease Cycles'!$EF$16:$EL$16,1,BU146)=1,'Lease Cycles'!$C$16*INDEX('Lease Cycles'!$ET$16:$EZ$16,1,BU146)*(1+'Lease Cycles'!$V$16)^INT(INT(BU147/12)/'Lease Cycles'!$W$16)/12,0),0)</f>
        <v>0</v>
      </c>
      <c r="BV150" s="28">
        <f>IF(BV148=1,IF(INDEX('Lease Cycles'!$EF$16:$EL$16,1,BV146)=1,'Lease Cycles'!$C$16*INDEX('Lease Cycles'!$ET$16:$EZ$16,1,BV146)*(1+'Lease Cycles'!$V$16)^INT(INT(BV147/12)/'Lease Cycles'!$W$16)/12,0),0)</f>
        <v>0</v>
      </c>
      <c r="BW150" s="28">
        <f>IF(BW148=1,IF(INDEX('Lease Cycles'!$EF$16:$EL$16,1,BW146)=1,'Lease Cycles'!$C$16*INDEX('Lease Cycles'!$ET$16:$EZ$16,1,BW146)*(1+'Lease Cycles'!$V$16)^INT(INT(BW147/12)/'Lease Cycles'!$W$16)/12,0),0)</f>
        <v>0</v>
      </c>
      <c r="BX150" s="28">
        <f>IF(BX148=1,IF(INDEX('Lease Cycles'!$EF$16:$EL$16,1,BX146)=1,'Lease Cycles'!$C$16*INDEX('Lease Cycles'!$ET$16:$EZ$16,1,BX146)*(1+'Lease Cycles'!$V$16)^INT(INT(BX147/12)/'Lease Cycles'!$W$16)/12,0),0)</f>
        <v>0</v>
      </c>
      <c r="BY150" s="28">
        <f>IF(BY148=1,IF(INDEX('Lease Cycles'!$EF$16:$EL$16,1,BY146)=1,'Lease Cycles'!$C$16*INDEX('Lease Cycles'!$ET$16:$EZ$16,1,BY146)*(1+'Lease Cycles'!$V$16)^INT(INT(BY147/12)/'Lease Cycles'!$W$16)/12,0),0)</f>
        <v>0</v>
      </c>
      <c r="BZ150" s="28">
        <f>IF(BZ148=1,IF(INDEX('Lease Cycles'!$EF$16:$EL$16,1,BZ146)=1,'Lease Cycles'!$C$16*INDEX('Lease Cycles'!$ET$16:$EZ$16,1,BZ146)*(1+'Lease Cycles'!$V$16)^INT(INT(BZ147/12)/'Lease Cycles'!$W$16)/12,0),0)</f>
        <v>0</v>
      </c>
      <c r="CA150" s="28">
        <f>IF(CA148=1,IF(INDEX('Lease Cycles'!$EF$16:$EL$16,1,CA146)=1,'Lease Cycles'!$C$16*INDEX('Lease Cycles'!$ET$16:$EZ$16,1,CA146)*(1+'Lease Cycles'!$V$16)^INT(INT(CA147/12)/'Lease Cycles'!$W$16)/12,0),0)</f>
        <v>0</v>
      </c>
      <c r="CB150" s="28">
        <f>IF(CB148=1,IF(INDEX('Lease Cycles'!$EF$16:$EL$16,1,CB146)=1,'Lease Cycles'!$C$16*INDEX('Lease Cycles'!$ET$16:$EZ$16,1,CB146)*(1+'Lease Cycles'!$V$16)^INT(INT(CB147/12)/'Lease Cycles'!$W$16)/12,0),0)</f>
        <v>0</v>
      </c>
      <c r="CC150" s="28">
        <f>IF(CC148=1,IF(INDEX('Lease Cycles'!$EF$16:$EL$16,1,CC146)=1,'Lease Cycles'!$C$16*INDEX('Lease Cycles'!$ET$16:$EZ$16,1,CC146)*(1+'Lease Cycles'!$V$16)^INT(INT(CC147/12)/'Lease Cycles'!$W$16)/12,0),0)</f>
        <v>0</v>
      </c>
      <c r="CD150" s="28">
        <f>IF(CD148=1,IF(INDEX('Lease Cycles'!$EF$16:$EL$16,1,CD146)=1,'Lease Cycles'!$C$16*INDEX('Lease Cycles'!$ET$16:$EZ$16,1,CD146)*(1+'Lease Cycles'!$V$16)^INT(INT(CD147/12)/'Lease Cycles'!$W$16)/12,0),0)</f>
        <v>0</v>
      </c>
      <c r="CE150" s="28">
        <f>IF(CE148=1,IF(INDEX('Lease Cycles'!$EF$16:$EL$16,1,CE146)=1,'Lease Cycles'!$C$16*INDEX('Lease Cycles'!$ET$16:$EZ$16,1,CE146)*(1+'Lease Cycles'!$V$16)^INT(INT(CE147/12)/'Lease Cycles'!$W$16)/12,0),0)</f>
        <v>0</v>
      </c>
      <c r="CF150" s="28">
        <f>IF(CF148=1,IF(INDEX('Lease Cycles'!$EF$16:$EL$16,1,CF146)=1,'Lease Cycles'!$C$16*INDEX('Lease Cycles'!$ET$16:$EZ$16,1,CF146)*(1+'Lease Cycles'!$V$16)^INT(INT(CF147/12)/'Lease Cycles'!$W$16)/12,0),0)</f>
        <v>0</v>
      </c>
      <c r="CG150" s="28">
        <f>IF(CG148=1,IF(INDEX('Lease Cycles'!$EF$16:$EL$16,1,CG146)=1,'Lease Cycles'!$C$16*INDEX('Lease Cycles'!$ET$16:$EZ$16,1,CG146)*(1+'Lease Cycles'!$V$16)^INT(INT(CG147/12)/'Lease Cycles'!$W$16)/12,0),0)</f>
        <v>0</v>
      </c>
      <c r="CH150" s="28">
        <f>IF(CH148=1,IF(INDEX('Lease Cycles'!$EF$16:$EL$16,1,CH146)=1,'Lease Cycles'!$C$16*INDEX('Lease Cycles'!$ET$16:$EZ$16,1,CH146)*(1+'Lease Cycles'!$V$16)^INT(INT(CH147/12)/'Lease Cycles'!$W$16)/12,0),0)</f>
        <v>0</v>
      </c>
      <c r="CI150" s="28">
        <f>IF(CI148=1,IF(INDEX('Lease Cycles'!$EF$16:$EL$16,1,CI146)=1,'Lease Cycles'!$C$16*INDEX('Lease Cycles'!$ET$16:$EZ$16,1,CI146)*(1+'Lease Cycles'!$V$16)^INT(INT(CI147/12)/'Lease Cycles'!$W$16)/12,0),0)</f>
        <v>0</v>
      </c>
      <c r="CJ150" s="28">
        <f>IF(CJ148=1,IF(INDEX('Lease Cycles'!$EF$16:$EL$16,1,CJ146)=1,'Lease Cycles'!$C$16*INDEX('Lease Cycles'!$ET$16:$EZ$16,1,CJ146)*(1+'Lease Cycles'!$V$16)^INT(INT(CJ147/12)/'Lease Cycles'!$W$16)/12,0),0)</f>
        <v>0</v>
      </c>
      <c r="CK150" s="28">
        <f>IF(CK148=1,IF(INDEX('Lease Cycles'!$EF$16:$EL$16,1,CK146)=1,'Lease Cycles'!$C$16*INDEX('Lease Cycles'!$ET$16:$EZ$16,1,CK146)*(1+'Lease Cycles'!$V$16)^INT(INT(CK147/12)/'Lease Cycles'!$W$16)/12,0),0)</f>
        <v>0</v>
      </c>
      <c r="CL150" s="28">
        <f>IF(CL148=1,IF(INDEX('Lease Cycles'!$EF$16:$EL$16,1,CL146)=1,'Lease Cycles'!$C$16*INDEX('Lease Cycles'!$ET$16:$EZ$16,1,CL146)*(1+'Lease Cycles'!$V$16)^INT(INT(CL147/12)/'Lease Cycles'!$W$16)/12,0),0)</f>
        <v>0</v>
      </c>
      <c r="CM150" s="28">
        <f>IF(CM148=1,IF(INDEX('Lease Cycles'!$EF$16:$EL$16,1,CM146)=1,'Lease Cycles'!$C$16*INDEX('Lease Cycles'!$ET$16:$EZ$16,1,CM146)*(1+'Lease Cycles'!$V$16)^INT(INT(CM147/12)/'Lease Cycles'!$W$16)/12,0),0)</f>
        <v>0</v>
      </c>
      <c r="CN150" s="28">
        <f>IF(CN148=1,IF(INDEX('Lease Cycles'!$EF$16:$EL$16,1,CN146)=1,'Lease Cycles'!$C$16*INDEX('Lease Cycles'!$ET$16:$EZ$16,1,CN146)*(1+'Lease Cycles'!$V$16)^INT(INT(CN147/12)/'Lease Cycles'!$W$16)/12,0),0)</f>
        <v>0</v>
      </c>
      <c r="CO150" s="28">
        <f>IF(CO148=1,IF(INDEX('Lease Cycles'!$EF$16:$EL$16,1,CO146)=1,'Lease Cycles'!$C$16*INDEX('Lease Cycles'!$ET$16:$EZ$16,1,CO146)*(1+'Lease Cycles'!$V$16)^INT(INT(CO147/12)/'Lease Cycles'!$W$16)/12,0),0)</f>
        <v>0</v>
      </c>
      <c r="CP150" s="28">
        <f>IF(CP148=1,IF(INDEX('Lease Cycles'!$EF$16:$EL$16,1,CP146)=1,'Lease Cycles'!$C$16*INDEX('Lease Cycles'!$ET$16:$EZ$16,1,CP146)*(1+'Lease Cycles'!$V$16)^INT(INT(CP147/12)/'Lease Cycles'!$W$16)/12,0),0)</f>
        <v>0</v>
      </c>
      <c r="CQ150" s="28">
        <f>IF(CQ148=1,IF(INDEX('Lease Cycles'!$EF$16:$EL$16,1,CQ146)=1,'Lease Cycles'!$C$16*INDEX('Lease Cycles'!$ET$16:$EZ$16,1,CQ146)*(1+'Lease Cycles'!$V$16)^INT(INT(CQ147/12)/'Lease Cycles'!$W$16)/12,0),0)</f>
        <v>0</v>
      </c>
      <c r="CR150" s="28">
        <f>IF(CR148=1,IF(INDEX('Lease Cycles'!$EF$16:$EL$16,1,CR146)=1,'Lease Cycles'!$C$16*INDEX('Lease Cycles'!$ET$16:$EZ$16,1,CR146)*(1+'Lease Cycles'!$V$16)^INT(INT(CR147/12)/'Lease Cycles'!$W$16)/12,0),0)</f>
        <v>0</v>
      </c>
      <c r="CS150" s="28">
        <f>IF(CS148=1,IF(INDEX('Lease Cycles'!$EF$16:$EL$16,1,CS146)=1,'Lease Cycles'!$C$16*INDEX('Lease Cycles'!$ET$16:$EZ$16,1,CS146)*(1+'Lease Cycles'!$V$16)^INT(INT(CS147/12)/'Lease Cycles'!$W$16)/12,0),0)</f>
        <v>0</v>
      </c>
      <c r="CT150" s="28">
        <f>IF(CT148=1,IF(INDEX('Lease Cycles'!$EF$16:$EL$16,1,CT146)=1,'Lease Cycles'!$C$16*INDEX('Lease Cycles'!$ET$16:$EZ$16,1,CT146)*(1+'Lease Cycles'!$V$16)^INT(INT(CT147/12)/'Lease Cycles'!$W$16)/12,0),0)</f>
        <v>0</v>
      </c>
      <c r="CU150" s="28">
        <f>IF(CU148=1,IF(INDEX('Lease Cycles'!$EF$16:$EL$16,1,CU146)=1,'Lease Cycles'!$C$16*INDEX('Lease Cycles'!$ET$16:$EZ$16,1,CU146)*(1+'Lease Cycles'!$V$16)^INT(INT(CU147/12)/'Lease Cycles'!$W$16)/12,0),0)</f>
        <v>0</v>
      </c>
      <c r="CV150" s="28">
        <f>IF(CV148=1,IF(INDEX('Lease Cycles'!$EF$16:$EL$16,1,CV146)=1,'Lease Cycles'!$C$16*INDEX('Lease Cycles'!$ET$16:$EZ$16,1,CV146)*(1+'Lease Cycles'!$V$16)^INT(INT(CV147/12)/'Lease Cycles'!$W$16)/12,0),0)</f>
        <v>0</v>
      </c>
      <c r="CW150" s="28">
        <f>IF(CW148=1,IF(INDEX('Lease Cycles'!$EF$16:$EL$16,1,CW146)=1,'Lease Cycles'!$C$16*INDEX('Lease Cycles'!$ET$16:$EZ$16,1,CW146)*(1+'Lease Cycles'!$V$16)^INT(INT(CW147/12)/'Lease Cycles'!$W$16)/12,0),0)</f>
        <v>0</v>
      </c>
      <c r="CX150" s="28">
        <f>IF(CX148=1,IF(INDEX('Lease Cycles'!$EF$16:$EL$16,1,CX146)=1,'Lease Cycles'!$C$16*INDEX('Lease Cycles'!$ET$16:$EZ$16,1,CX146)*(1+'Lease Cycles'!$V$16)^INT(INT(CX147/12)/'Lease Cycles'!$W$16)/12,0),0)</f>
        <v>0</v>
      </c>
      <c r="CY150" s="28">
        <f>IF(CY148=1,IF(INDEX('Lease Cycles'!$EF$16:$EL$16,1,CY146)=1,'Lease Cycles'!$C$16*INDEX('Lease Cycles'!$ET$16:$EZ$16,1,CY146)*(1+'Lease Cycles'!$V$16)^INT(INT(CY147/12)/'Lease Cycles'!$W$16)/12,0),0)</f>
        <v>0</v>
      </c>
      <c r="CZ150" s="28">
        <f>IF(CZ148=1,IF(INDEX('Lease Cycles'!$EF$16:$EL$16,1,CZ146)=1,'Lease Cycles'!$C$16*INDEX('Lease Cycles'!$ET$16:$EZ$16,1,CZ146)*(1+'Lease Cycles'!$V$16)^INT(INT(CZ147/12)/'Lease Cycles'!$W$16)/12,0),0)</f>
        <v>0</v>
      </c>
      <c r="DA150" s="28">
        <f>IF(DA148=1,IF(INDEX('Lease Cycles'!$EF$16:$EL$16,1,DA146)=1,'Lease Cycles'!$C$16*INDEX('Lease Cycles'!$ET$16:$EZ$16,1,DA146)*(1+'Lease Cycles'!$V$16)^INT(INT(DA147/12)/'Lease Cycles'!$W$16)/12,0),0)</f>
        <v>0</v>
      </c>
      <c r="DB150" s="28">
        <f>IF(DB148=1,IF(INDEX('Lease Cycles'!$EF$16:$EL$16,1,DB146)=1,'Lease Cycles'!$C$16*INDEX('Lease Cycles'!$ET$16:$EZ$16,1,DB146)*(1+'Lease Cycles'!$V$16)^INT(INT(DB147/12)/'Lease Cycles'!$W$16)/12,0),0)</f>
        <v>0</v>
      </c>
      <c r="DC150" s="28">
        <f>IF(DC148=1,IF(INDEX('Lease Cycles'!$EF$16:$EL$16,1,DC146)=1,'Lease Cycles'!$C$16*INDEX('Lease Cycles'!$ET$16:$EZ$16,1,DC146)*(1+'Lease Cycles'!$V$16)^INT(INT(DC147/12)/'Lease Cycles'!$W$16)/12,0),0)</f>
        <v>0</v>
      </c>
      <c r="DD150" s="28">
        <f>IF(DD148=1,IF(INDEX('Lease Cycles'!$EF$16:$EL$16,1,DD146)=1,'Lease Cycles'!$C$16*INDEX('Lease Cycles'!$ET$16:$EZ$16,1,DD146)*(1+'Lease Cycles'!$V$16)^INT(INT(DD147/12)/'Lease Cycles'!$W$16)/12,0),0)</f>
        <v>0</v>
      </c>
      <c r="DE150" s="28">
        <f>IF(DE148=1,IF(INDEX('Lease Cycles'!$EF$16:$EL$16,1,DE146)=1,'Lease Cycles'!$C$16*INDEX('Lease Cycles'!$ET$16:$EZ$16,1,DE146)*(1+'Lease Cycles'!$V$16)^INT(INT(DE147/12)/'Lease Cycles'!$W$16)/12,0),0)</f>
        <v>0</v>
      </c>
      <c r="DF150" s="28">
        <f>IF(DF148=1,IF(INDEX('Lease Cycles'!$EF$16:$EL$16,1,DF146)=1,'Lease Cycles'!$C$16*INDEX('Lease Cycles'!$ET$16:$EZ$16,1,DF146)*(1+'Lease Cycles'!$V$16)^INT(INT(DF147/12)/'Lease Cycles'!$W$16)/12,0),0)</f>
        <v>0</v>
      </c>
      <c r="DG150" s="28">
        <f>IF(DG148=1,IF(INDEX('Lease Cycles'!$EF$16:$EL$16,1,DG146)=1,'Lease Cycles'!$C$16*INDEX('Lease Cycles'!$ET$16:$EZ$16,1,DG146)*(1+'Lease Cycles'!$V$16)^INT(INT(DG147/12)/'Lease Cycles'!$W$16)/12,0),0)</f>
        <v>0</v>
      </c>
      <c r="DH150" s="28">
        <f>IF(DH148=1,IF(INDEX('Lease Cycles'!$EF$16:$EL$16,1,DH146)=1,'Lease Cycles'!$C$16*INDEX('Lease Cycles'!$ET$16:$EZ$16,1,DH146)*(1+'Lease Cycles'!$V$16)^INT(INT(DH147/12)/'Lease Cycles'!$W$16)/12,0),0)</f>
        <v>0</v>
      </c>
      <c r="DI150" s="28">
        <f>IF(DI148=1,IF(INDEX('Lease Cycles'!$EF$16:$EL$16,1,DI146)=1,'Lease Cycles'!$C$16*INDEX('Lease Cycles'!$ET$16:$EZ$16,1,DI146)*(1+'Lease Cycles'!$V$16)^INT(INT(DI147/12)/'Lease Cycles'!$W$16)/12,0),0)</f>
        <v>0</v>
      </c>
      <c r="DJ150" s="28">
        <f>IF(DJ148=1,IF(INDEX('Lease Cycles'!$EF$16:$EL$16,1,DJ146)=1,'Lease Cycles'!$C$16*INDEX('Lease Cycles'!$ET$16:$EZ$16,1,DJ146)*(1+'Lease Cycles'!$V$16)^INT(INT(DJ147/12)/'Lease Cycles'!$W$16)/12,0),0)</f>
        <v>0</v>
      </c>
      <c r="DK150" s="28">
        <f>IF(DK148=1,IF(INDEX('Lease Cycles'!$EF$16:$EL$16,1,DK146)=1,'Lease Cycles'!$C$16*INDEX('Lease Cycles'!$ET$16:$EZ$16,1,DK146)*(1+'Lease Cycles'!$V$16)^INT(INT(DK147/12)/'Lease Cycles'!$W$16)/12,0),0)</f>
        <v>0</v>
      </c>
      <c r="DL150" s="28">
        <f>IF(DL148=1,IF(INDEX('Lease Cycles'!$EF$16:$EL$16,1,DL146)=1,'Lease Cycles'!$C$16*INDEX('Lease Cycles'!$ET$16:$EZ$16,1,DL146)*(1+'Lease Cycles'!$V$16)^INT(INT(DL147/12)/'Lease Cycles'!$W$16)/12,0),0)</f>
        <v>0</v>
      </c>
      <c r="DM150" s="28">
        <f>IF(DM148=1,IF(INDEX('Lease Cycles'!$EF$16:$EL$16,1,DM146)=1,'Lease Cycles'!$C$16*INDEX('Lease Cycles'!$ET$16:$EZ$16,1,DM146)*(1+'Lease Cycles'!$V$16)^INT(INT(DM147/12)/'Lease Cycles'!$W$16)/12,0),0)</f>
        <v>0</v>
      </c>
      <c r="DN150" s="28">
        <f>IF(DN148=1,IF(INDEX('Lease Cycles'!$EF$16:$EL$16,1,DN146)=1,'Lease Cycles'!$C$16*INDEX('Lease Cycles'!$ET$16:$EZ$16,1,DN146)*(1+'Lease Cycles'!$V$16)^INT(INT(DN147/12)/'Lease Cycles'!$W$16)/12,0),0)</f>
        <v>0</v>
      </c>
      <c r="DO150" s="28">
        <f>IF(DO148=1,IF(INDEX('Lease Cycles'!$EF$16:$EL$16,1,DO146)=1,'Lease Cycles'!$C$16*INDEX('Lease Cycles'!$ET$16:$EZ$16,1,DO146)*(1+'Lease Cycles'!$V$16)^INT(INT(DO147/12)/'Lease Cycles'!$W$16)/12,0),0)</f>
        <v>0</v>
      </c>
      <c r="DP150" s="28">
        <f>IF(DP148=1,IF(INDEX('Lease Cycles'!$EF$16:$EL$16,1,DP146)=1,'Lease Cycles'!$C$16*INDEX('Lease Cycles'!$ET$16:$EZ$16,1,DP146)*(1+'Lease Cycles'!$V$16)^INT(INT(DP147/12)/'Lease Cycles'!$W$16)/12,0),0)</f>
        <v>0</v>
      </c>
      <c r="DQ150" s="28">
        <f>IF(DQ148=1,IF(INDEX('Lease Cycles'!$EF$16:$EL$16,1,DQ146)=1,'Lease Cycles'!$C$16*INDEX('Lease Cycles'!$ET$16:$EZ$16,1,DQ146)*(1+'Lease Cycles'!$V$16)^INT(INT(DQ147/12)/'Lease Cycles'!$W$16)/12,0),0)</f>
        <v>0</v>
      </c>
      <c r="DR150" s="28">
        <f>IF(DR148=1,IF(INDEX('Lease Cycles'!$EF$16:$EL$16,1,DR146)=1,'Lease Cycles'!$C$16*INDEX('Lease Cycles'!$ET$16:$EZ$16,1,DR146)*(1+'Lease Cycles'!$V$16)^INT(INT(DR147/12)/'Lease Cycles'!$W$16)/12,0),0)</f>
        <v>0</v>
      </c>
      <c r="DS150" s="28">
        <f>IF(DS148=1,IF(INDEX('Lease Cycles'!$EF$16:$EL$16,1,DS146)=1,'Lease Cycles'!$C$16*INDEX('Lease Cycles'!$ET$16:$EZ$16,1,DS146)*(1+'Lease Cycles'!$V$16)^INT(INT(DS147/12)/'Lease Cycles'!$W$16)/12,0),0)</f>
        <v>0</v>
      </c>
      <c r="DT150" s="28">
        <f>IF(DT148=1,IF(INDEX('Lease Cycles'!$EF$16:$EL$16,1,DT146)=1,'Lease Cycles'!$C$16*INDEX('Lease Cycles'!$ET$16:$EZ$16,1,DT146)*(1+'Lease Cycles'!$V$16)^INT(INT(DT147/12)/'Lease Cycles'!$W$16)/12,0),0)</f>
        <v>0</v>
      </c>
      <c r="DU150" s="28">
        <f>IF(DU148=1,IF(INDEX('Lease Cycles'!$EF$16:$EL$16,1,DU146)=1,'Lease Cycles'!$C$16*INDEX('Lease Cycles'!$ET$16:$EZ$16,1,DU146)*(1+'Lease Cycles'!$V$16)^INT(INT(DU147/12)/'Lease Cycles'!$W$16)/12,0),0)</f>
        <v>0</v>
      </c>
      <c r="DV150" s="28">
        <f>IF(DV148=1,IF(INDEX('Lease Cycles'!$EF$16:$EL$16,1,DV146)=1,'Lease Cycles'!$C$16*INDEX('Lease Cycles'!$ET$16:$EZ$16,1,DV146)*(1+'Lease Cycles'!$V$16)^INT(INT(DV147/12)/'Lease Cycles'!$W$16)/12,0),0)</f>
        <v>0</v>
      </c>
      <c r="DW150" s="28">
        <f>IF(DW148=1,IF(INDEX('Lease Cycles'!$EF$16:$EL$16,1,DW146)=1,'Lease Cycles'!$C$16*INDEX('Lease Cycles'!$ET$16:$EZ$16,1,DW146)*(1+'Lease Cycles'!$V$16)^INT(INT(DW147/12)/'Lease Cycles'!$W$16)/12,0),0)</f>
        <v>0</v>
      </c>
      <c r="DX150" s="28">
        <f>IF(DX148=1,IF(INDEX('Lease Cycles'!$EF$16:$EL$16,1,DX146)=1,'Lease Cycles'!$C$16*INDEX('Lease Cycles'!$ET$16:$EZ$16,1,DX146)*(1+'Lease Cycles'!$V$16)^INT(INT(DX147/12)/'Lease Cycles'!$W$16)/12,0),0)</f>
        <v>0</v>
      </c>
      <c r="DY150" s="28">
        <f>IF(DY148=1,IF(INDEX('Lease Cycles'!$EF$16:$EL$16,1,DY146)=1,'Lease Cycles'!$C$16*INDEX('Lease Cycles'!$ET$16:$EZ$16,1,DY146)*(1+'Lease Cycles'!$V$16)^INT(INT(DY147/12)/'Lease Cycles'!$W$16)/12,0),0)</f>
        <v>0</v>
      </c>
      <c r="DZ150" s="28">
        <f>IF(DZ148=1,IF(INDEX('Lease Cycles'!$EF$16:$EL$16,1,DZ146)=1,'Lease Cycles'!$C$16*INDEX('Lease Cycles'!$ET$16:$EZ$16,1,DZ146)*(1+'Lease Cycles'!$V$16)^INT(INT(DZ147/12)/'Lease Cycles'!$W$16)/12,0),0)</f>
        <v>0</v>
      </c>
      <c r="EA150" s="28">
        <f>IF(EA148=1,IF(INDEX('Lease Cycles'!$EF$16:$EL$16,1,EA146)=1,'Lease Cycles'!$C$16*INDEX('Lease Cycles'!$ET$16:$EZ$16,1,EA146)*(1+'Lease Cycles'!$V$16)^INT(INT(EA147/12)/'Lease Cycles'!$W$16)/12,0),0)</f>
        <v>0</v>
      </c>
      <c r="EB150" s="28">
        <f>IF(EB148=1,IF(INDEX('Lease Cycles'!$EF$16:$EL$16,1,EB146)=1,'Lease Cycles'!$C$16*INDEX('Lease Cycles'!$ET$16:$EZ$16,1,EB146)*(1+'Lease Cycles'!$V$16)^INT(INT(EB147/12)/'Lease Cycles'!$W$16)/12,0),0)</f>
        <v>0</v>
      </c>
      <c r="EC150" s="28">
        <f>IF(EC148=1,IF(INDEX('Lease Cycles'!$EF$16:$EL$16,1,EC146)=1,'Lease Cycles'!$C$16*INDEX('Lease Cycles'!$ET$16:$EZ$16,1,EC146)*(1+'Lease Cycles'!$V$16)^INT(INT(EC147/12)/'Lease Cycles'!$W$16)/12,0),0)</f>
        <v>0</v>
      </c>
      <c r="ED150" s="28">
        <f>IF(ED148=1,IF(INDEX('Lease Cycles'!$EF$16:$EL$16,1,ED146)=1,'Lease Cycles'!$C$16*INDEX('Lease Cycles'!$ET$16:$EZ$16,1,ED146)*(1+'Lease Cycles'!$V$16)^INT(INT(ED147/12)/'Lease Cycles'!$W$16)/12,0),0)</f>
        <v>0</v>
      </c>
      <c r="EE150" s="28">
        <f>IF(EE148=1,IF(INDEX('Lease Cycles'!$EF$16:$EL$16,1,EE146)=1,'Lease Cycles'!$C$16*INDEX('Lease Cycles'!$ET$16:$EZ$16,1,EE146)*(1+'Lease Cycles'!$V$16)^INT(INT(EE147/12)/'Lease Cycles'!$W$16)/12,0),0)</f>
        <v>0</v>
      </c>
      <c r="EF150" s="28">
        <f>IF(EF148=1,IF(INDEX('Lease Cycles'!$EF$16:$EL$16,1,EF146)=1,'Lease Cycles'!$C$16*INDEX('Lease Cycles'!$ET$16:$EZ$16,1,EF146)*(1+'Lease Cycles'!$V$16)^INT(INT(EF147/12)/'Lease Cycles'!$W$16)/12,0),0)</f>
        <v>0</v>
      </c>
      <c r="EG150" s="28">
        <f>IF(EG148=1,IF(INDEX('Lease Cycles'!$EF$16:$EL$16,1,EG146)=1,'Lease Cycles'!$C$16*INDEX('Lease Cycles'!$ET$16:$EZ$16,1,EG146)*(1+'Lease Cycles'!$V$16)^INT(INT(EG147/12)/'Lease Cycles'!$W$16)/12,0),0)</f>
        <v>0</v>
      </c>
      <c r="EH150" s="28">
        <f>IF(EH148=1,IF(INDEX('Lease Cycles'!$EF$16:$EL$16,1,EH146)=1,'Lease Cycles'!$C$16*INDEX('Lease Cycles'!$ET$16:$EZ$16,1,EH146)*(1+'Lease Cycles'!$V$16)^INT(INT(EH147/12)/'Lease Cycles'!$W$16)/12,0),0)</f>
        <v>0</v>
      </c>
      <c r="EI150" s="28">
        <f>IF(EI148=1,IF(INDEX('Lease Cycles'!$EF$16:$EL$16,1,EI146)=1,'Lease Cycles'!$C$16*INDEX('Lease Cycles'!$ET$16:$EZ$16,1,EI146)*(1+'Lease Cycles'!$V$16)^INT(INT(EI147/12)/'Lease Cycles'!$W$16)/12,0),0)</f>
        <v>0</v>
      </c>
      <c r="EJ150" s="28">
        <f>IF(EJ148=1,IF(INDEX('Lease Cycles'!$EF$16:$EL$16,1,EJ146)=1,'Lease Cycles'!$C$16*INDEX('Lease Cycles'!$ET$16:$EZ$16,1,EJ146)*(1+'Lease Cycles'!$V$16)^INT(INT(EJ147/12)/'Lease Cycles'!$W$16)/12,0),0)</f>
        <v>0</v>
      </c>
      <c r="EK150" s="28">
        <f>IF(EK148=1,IF(INDEX('Lease Cycles'!$EF$16:$EL$16,1,EK146)=1,'Lease Cycles'!$C$16*INDEX('Lease Cycles'!$ET$16:$EZ$16,1,EK146)*(1+'Lease Cycles'!$V$16)^INT(INT(EK147/12)/'Lease Cycles'!$W$16)/12,0),0)</f>
        <v>0</v>
      </c>
      <c r="EL150" s="28">
        <f>IF(EL148=1,IF(INDEX('Lease Cycles'!$EF$16:$EL$16,1,EL146)=1,'Lease Cycles'!$C$16*INDEX('Lease Cycles'!$ET$16:$EZ$16,1,EL146)*(1+'Lease Cycles'!$V$16)^INT(INT(EL147/12)/'Lease Cycles'!$W$16)/12,0),0)</f>
        <v>0</v>
      </c>
      <c r="EM150" s="28">
        <f>IF(EM148=1,IF(INDEX('Lease Cycles'!$EF$16:$EL$16,1,EM146)=1,'Lease Cycles'!$C$16*INDEX('Lease Cycles'!$ET$16:$EZ$16,1,EM146)*(1+'Lease Cycles'!$V$16)^INT(INT(EM147/12)/'Lease Cycles'!$W$16)/12,0),0)</f>
        <v>0</v>
      </c>
      <c r="EN150" s="28">
        <f>IF(EN148=1,IF(INDEX('Lease Cycles'!$EF$16:$EL$16,1,EN146)=1,'Lease Cycles'!$C$16*INDEX('Lease Cycles'!$ET$16:$EZ$16,1,EN146)*(1+'Lease Cycles'!$V$16)^INT(INT(EN147/12)/'Lease Cycles'!$W$16)/12,0),0)</f>
        <v>0</v>
      </c>
      <c r="EO150" s="28">
        <f>IF(EO148=1,IF(INDEX('Lease Cycles'!$EF$16:$EL$16,1,EO146)=1,'Lease Cycles'!$C$16*INDEX('Lease Cycles'!$ET$16:$EZ$16,1,EO146)*(1+'Lease Cycles'!$V$16)^INT(INT(EO147/12)/'Lease Cycles'!$W$16)/12,0),0)</f>
        <v>0</v>
      </c>
      <c r="EP150" s="28">
        <f>IF(EP148=1,IF(INDEX('Lease Cycles'!$EF$16:$EL$16,1,EP146)=1,'Lease Cycles'!$C$16*INDEX('Lease Cycles'!$ET$16:$EZ$16,1,EP146)*(1+'Lease Cycles'!$V$16)^INT(INT(EP147/12)/'Lease Cycles'!$W$16)/12,0),0)</f>
        <v>0</v>
      </c>
      <c r="EQ150" s="28">
        <f>IF(EQ148=1,IF(INDEX('Lease Cycles'!$EF$16:$EL$16,1,EQ146)=1,'Lease Cycles'!$C$16*INDEX('Lease Cycles'!$ET$16:$EZ$16,1,EQ146)*(1+'Lease Cycles'!$V$16)^INT(INT(EQ147/12)/'Lease Cycles'!$W$16)/12,0),0)</f>
        <v>0</v>
      </c>
      <c r="ER150" s="28">
        <f>IF(ER148=1,IF(INDEX('Lease Cycles'!$EF$16:$EL$16,1,ER146)=1,'Lease Cycles'!$C$16*INDEX('Lease Cycles'!$ET$16:$EZ$16,1,ER146)*(1+'Lease Cycles'!$V$16)^INT(INT(ER147/12)/'Lease Cycles'!$W$16)/12,0),0)</f>
        <v>0</v>
      </c>
      <c r="ES150" s="28">
        <f>IF(ES148=1,IF(INDEX('Lease Cycles'!$EF$16:$EL$16,1,ES146)=1,'Lease Cycles'!$C$16*INDEX('Lease Cycles'!$ET$16:$EZ$16,1,ES146)*(1+'Lease Cycles'!$V$16)^INT(INT(ES147/12)/'Lease Cycles'!$W$16)/12,0),0)</f>
        <v>0</v>
      </c>
      <c r="ET150" s="28">
        <f>IF(ET148=1,IF(INDEX('Lease Cycles'!$EF$16:$EL$16,1,ET146)=1,'Lease Cycles'!$C$16*INDEX('Lease Cycles'!$ET$16:$EZ$16,1,ET146)*(1+'Lease Cycles'!$V$16)^INT(INT(ET147/12)/'Lease Cycles'!$W$16)/12,0),0)</f>
        <v>0</v>
      </c>
    </row>
    <row r="151">
      <c r="A151" s="103">
        <v>9</v>
      </c>
      <c r="B151" s="23" t="str">
        <f>IF('Lease Cycles'!$B$16="","(empty slot)",'Lease Cycles'!$B$16)</f>
        <v>Sunfield Office Suite</v>
      </c>
      <c r="C151" s="23" t="s">
        <v>681</v>
      </c>
      <c r="D151" s="104" t="s">
        <v>490</v>
      </c>
      <c r="E151" s="25">
        <f>'Lease Cycles'!$AL$16</f>
        <v>0</v>
      </c>
      <c r="G151" s="28">
        <f>SUM(S151:AD151)</f>
        <v>52800</v>
      </c>
      <c r="H151" s="28">
        <f>SUM(AE151:AP151)</f>
        <v>52800</v>
      </c>
      <c r="I151" s="28">
        <f>SUM(AQ151:BB151)</f>
        <v>52800</v>
      </c>
      <c r="J151" s="28">
        <f>SUM(BC151:BN151)</f>
        <v>52800</v>
      </c>
      <c r="K151" s="28">
        <f>SUM(BO151:BZ151)</f>
        <v>52488.348700532624</v>
      </c>
      <c r="L151" s="28">
        <f>SUM(CA151:CL151)</f>
        <v>47185.33655546778</v>
      </c>
      <c r="M151" s="28">
        <f>SUM(CM151:CX151)</f>
        <v>48600.896652131814</v>
      </c>
      <c r="N151" s="28">
        <f>SUM(CY151:DJ151)</f>
        <v>50058.92355169576</v>
      </c>
      <c r="O151" s="28">
        <f>SUM(DK151:DV151)</f>
        <v>51560.69125824665</v>
      </c>
      <c r="P151" s="28">
        <f>SUM(DW151:EH151)</f>
        <v>53107.511995994035</v>
      </c>
      <c r="Q151" s="28">
        <f>SUM(EI151:ET151)</f>
        <v>54700.73735587386</v>
      </c>
      <c r="S151" s="28">
        <f>IF(S148=1,IF(INDEX('Lease Cycles'!$EF$16:$EL$16,1,S146)=1,S149*INDEX('Lease Cycles'!$EM$16:$ES$16,1,S146)+S150*(1-INDEX('Lease Cycles'!$EM$16:$ES$16,1,S146)),S149),S149)</f>
        <v>4400</v>
      </c>
      <c r="T151" s="28">
        <f>IF(T148=1,IF(INDEX('Lease Cycles'!$EF$16:$EL$16,1,T146)=1,T149*INDEX('Lease Cycles'!$EM$16:$ES$16,1,T146)+T150*(1-INDEX('Lease Cycles'!$EM$16:$ES$16,1,T146)),T149),T149)</f>
        <v>4400</v>
      </c>
      <c r="U151" s="28">
        <f>IF(U148=1,IF(INDEX('Lease Cycles'!$EF$16:$EL$16,1,U146)=1,U149*INDEX('Lease Cycles'!$EM$16:$ES$16,1,U146)+U150*(1-INDEX('Lease Cycles'!$EM$16:$ES$16,1,U146)),U149),U149)</f>
        <v>4400</v>
      </c>
      <c r="V151" s="28">
        <f>IF(V148=1,IF(INDEX('Lease Cycles'!$EF$16:$EL$16,1,V146)=1,V149*INDEX('Lease Cycles'!$EM$16:$ES$16,1,V146)+V150*(1-INDEX('Lease Cycles'!$EM$16:$ES$16,1,V146)),V149),V149)</f>
        <v>4400</v>
      </c>
      <c r="W151" s="28">
        <f>IF(W148=1,IF(INDEX('Lease Cycles'!$EF$16:$EL$16,1,W146)=1,W149*INDEX('Lease Cycles'!$EM$16:$ES$16,1,W146)+W150*(1-INDEX('Lease Cycles'!$EM$16:$ES$16,1,W146)),W149),W149)</f>
        <v>4400</v>
      </c>
      <c r="X151" s="28">
        <f>IF(X148=1,IF(INDEX('Lease Cycles'!$EF$16:$EL$16,1,X146)=1,X149*INDEX('Lease Cycles'!$EM$16:$ES$16,1,X146)+X150*(1-INDEX('Lease Cycles'!$EM$16:$ES$16,1,X146)),X149),X149)</f>
        <v>4400</v>
      </c>
      <c r="Y151" s="28">
        <f>IF(Y148=1,IF(INDEX('Lease Cycles'!$EF$16:$EL$16,1,Y146)=1,Y149*INDEX('Lease Cycles'!$EM$16:$ES$16,1,Y146)+Y150*(1-INDEX('Lease Cycles'!$EM$16:$ES$16,1,Y146)),Y149),Y149)</f>
        <v>4400</v>
      </c>
      <c r="Z151" s="28">
        <f>IF(Z148=1,IF(INDEX('Lease Cycles'!$EF$16:$EL$16,1,Z146)=1,Z149*INDEX('Lease Cycles'!$EM$16:$ES$16,1,Z146)+Z150*(1-INDEX('Lease Cycles'!$EM$16:$ES$16,1,Z146)),Z149),Z149)</f>
        <v>4400</v>
      </c>
      <c r="AA151" s="28">
        <f>IF(AA148=1,IF(INDEX('Lease Cycles'!$EF$16:$EL$16,1,AA146)=1,AA149*INDEX('Lease Cycles'!$EM$16:$ES$16,1,AA146)+AA150*(1-INDEX('Lease Cycles'!$EM$16:$ES$16,1,AA146)),AA149),AA149)</f>
        <v>4400</v>
      </c>
      <c r="AB151" s="28">
        <f>IF(AB148=1,IF(INDEX('Lease Cycles'!$EF$16:$EL$16,1,AB146)=1,AB149*INDEX('Lease Cycles'!$EM$16:$ES$16,1,AB146)+AB150*(1-INDEX('Lease Cycles'!$EM$16:$ES$16,1,AB146)),AB149),AB149)</f>
        <v>4400</v>
      </c>
      <c r="AC151" s="28">
        <f>IF(AC148=1,IF(INDEX('Lease Cycles'!$EF$16:$EL$16,1,AC146)=1,AC149*INDEX('Lease Cycles'!$EM$16:$ES$16,1,AC146)+AC150*(1-INDEX('Lease Cycles'!$EM$16:$ES$16,1,AC146)),AC149),AC149)</f>
        <v>4400</v>
      </c>
      <c r="AD151" s="28">
        <f>IF(AD148=1,IF(INDEX('Lease Cycles'!$EF$16:$EL$16,1,AD146)=1,AD149*INDEX('Lease Cycles'!$EM$16:$ES$16,1,AD146)+AD150*(1-INDEX('Lease Cycles'!$EM$16:$ES$16,1,AD146)),AD149),AD149)</f>
        <v>4400</v>
      </c>
      <c r="AE151" s="28">
        <f>IF(AE148=1,IF(INDEX('Lease Cycles'!$EF$16:$EL$16,1,AE146)=1,AE149*INDEX('Lease Cycles'!$EM$16:$ES$16,1,AE146)+AE150*(1-INDEX('Lease Cycles'!$EM$16:$ES$16,1,AE146)),AE149),AE149)</f>
        <v>4400</v>
      </c>
      <c r="AF151" s="28">
        <f>IF(AF148=1,IF(INDEX('Lease Cycles'!$EF$16:$EL$16,1,AF146)=1,AF149*INDEX('Lease Cycles'!$EM$16:$ES$16,1,AF146)+AF150*(1-INDEX('Lease Cycles'!$EM$16:$ES$16,1,AF146)),AF149),AF149)</f>
        <v>4400</v>
      </c>
      <c r="AG151" s="28">
        <f>IF(AG148=1,IF(INDEX('Lease Cycles'!$EF$16:$EL$16,1,AG146)=1,AG149*INDEX('Lease Cycles'!$EM$16:$ES$16,1,AG146)+AG150*(1-INDEX('Lease Cycles'!$EM$16:$ES$16,1,AG146)),AG149),AG149)</f>
        <v>4400</v>
      </c>
      <c r="AH151" s="28">
        <f>IF(AH148=1,IF(INDEX('Lease Cycles'!$EF$16:$EL$16,1,AH146)=1,AH149*INDEX('Lease Cycles'!$EM$16:$ES$16,1,AH146)+AH150*(1-INDEX('Lease Cycles'!$EM$16:$ES$16,1,AH146)),AH149),AH149)</f>
        <v>4400</v>
      </c>
      <c r="AI151" s="28">
        <f>IF(AI148=1,IF(INDEX('Lease Cycles'!$EF$16:$EL$16,1,AI146)=1,AI149*INDEX('Lease Cycles'!$EM$16:$ES$16,1,AI146)+AI150*(1-INDEX('Lease Cycles'!$EM$16:$ES$16,1,AI146)),AI149),AI149)</f>
        <v>4400</v>
      </c>
      <c r="AJ151" s="28">
        <f>IF(AJ148=1,IF(INDEX('Lease Cycles'!$EF$16:$EL$16,1,AJ146)=1,AJ149*INDEX('Lease Cycles'!$EM$16:$ES$16,1,AJ146)+AJ150*(1-INDEX('Lease Cycles'!$EM$16:$ES$16,1,AJ146)),AJ149),AJ149)</f>
        <v>4400</v>
      </c>
      <c r="AK151" s="28">
        <f>IF(AK148=1,IF(INDEX('Lease Cycles'!$EF$16:$EL$16,1,AK146)=1,AK149*INDEX('Lease Cycles'!$EM$16:$ES$16,1,AK146)+AK150*(1-INDEX('Lease Cycles'!$EM$16:$ES$16,1,AK146)),AK149),AK149)</f>
        <v>4400</v>
      </c>
      <c r="AL151" s="28">
        <f>IF(AL148=1,IF(INDEX('Lease Cycles'!$EF$16:$EL$16,1,AL146)=1,AL149*INDEX('Lease Cycles'!$EM$16:$ES$16,1,AL146)+AL150*(1-INDEX('Lease Cycles'!$EM$16:$ES$16,1,AL146)),AL149),AL149)</f>
        <v>4400</v>
      </c>
      <c r="AM151" s="28">
        <f>IF(AM148=1,IF(INDEX('Lease Cycles'!$EF$16:$EL$16,1,AM146)=1,AM149*INDEX('Lease Cycles'!$EM$16:$ES$16,1,AM146)+AM150*(1-INDEX('Lease Cycles'!$EM$16:$ES$16,1,AM146)),AM149),AM149)</f>
        <v>4400</v>
      </c>
      <c r="AN151" s="28">
        <f>IF(AN148=1,IF(INDEX('Lease Cycles'!$EF$16:$EL$16,1,AN146)=1,AN149*INDEX('Lease Cycles'!$EM$16:$ES$16,1,AN146)+AN150*(1-INDEX('Lease Cycles'!$EM$16:$ES$16,1,AN146)),AN149),AN149)</f>
        <v>4400</v>
      </c>
      <c r="AO151" s="28">
        <f>IF(AO148=1,IF(INDEX('Lease Cycles'!$EF$16:$EL$16,1,AO146)=1,AO149*INDEX('Lease Cycles'!$EM$16:$ES$16,1,AO146)+AO150*(1-INDEX('Lease Cycles'!$EM$16:$ES$16,1,AO146)),AO149),AO149)</f>
        <v>4400</v>
      </c>
      <c r="AP151" s="28">
        <f>IF(AP148=1,IF(INDEX('Lease Cycles'!$EF$16:$EL$16,1,AP146)=1,AP149*INDEX('Lease Cycles'!$EM$16:$ES$16,1,AP146)+AP150*(1-INDEX('Lease Cycles'!$EM$16:$ES$16,1,AP146)),AP149),AP149)</f>
        <v>4400</v>
      </c>
      <c r="AQ151" s="28">
        <f>IF(AQ148=1,IF(INDEX('Lease Cycles'!$EF$16:$EL$16,1,AQ146)=1,AQ149*INDEX('Lease Cycles'!$EM$16:$ES$16,1,AQ146)+AQ150*(1-INDEX('Lease Cycles'!$EM$16:$ES$16,1,AQ146)),AQ149),AQ149)</f>
        <v>4400</v>
      </c>
      <c r="AR151" s="28">
        <f>IF(AR148=1,IF(INDEX('Lease Cycles'!$EF$16:$EL$16,1,AR146)=1,AR149*INDEX('Lease Cycles'!$EM$16:$ES$16,1,AR146)+AR150*(1-INDEX('Lease Cycles'!$EM$16:$ES$16,1,AR146)),AR149),AR149)</f>
        <v>4400</v>
      </c>
      <c r="AS151" s="28">
        <f>IF(AS148=1,IF(INDEX('Lease Cycles'!$EF$16:$EL$16,1,AS146)=1,AS149*INDEX('Lease Cycles'!$EM$16:$ES$16,1,AS146)+AS150*(1-INDEX('Lease Cycles'!$EM$16:$ES$16,1,AS146)),AS149),AS149)</f>
        <v>4400</v>
      </c>
      <c r="AT151" s="28">
        <f>IF(AT148=1,IF(INDEX('Lease Cycles'!$EF$16:$EL$16,1,AT146)=1,AT149*INDEX('Lease Cycles'!$EM$16:$ES$16,1,AT146)+AT150*(1-INDEX('Lease Cycles'!$EM$16:$ES$16,1,AT146)),AT149),AT149)</f>
        <v>4400</v>
      </c>
      <c r="AU151" s="28">
        <f>IF(AU148=1,IF(INDEX('Lease Cycles'!$EF$16:$EL$16,1,AU146)=1,AU149*INDEX('Lease Cycles'!$EM$16:$ES$16,1,AU146)+AU150*(1-INDEX('Lease Cycles'!$EM$16:$ES$16,1,AU146)),AU149),AU149)</f>
        <v>4400</v>
      </c>
      <c r="AV151" s="28">
        <f>IF(AV148=1,IF(INDEX('Lease Cycles'!$EF$16:$EL$16,1,AV146)=1,AV149*INDEX('Lease Cycles'!$EM$16:$ES$16,1,AV146)+AV150*(1-INDEX('Lease Cycles'!$EM$16:$ES$16,1,AV146)),AV149),AV149)</f>
        <v>4400</v>
      </c>
      <c r="AW151" s="28">
        <f>IF(AW148=1,IF(INDEX('Lease Cycles'!$EF$16:$EL$16,1,AW146)=1,AW149*INDEX('Lease Cycles'!$EM$16:$ES$16,1,AW146)+AW150*(1-INDEX('Lease Cycles'!$EM$16:$ES$16,1,AW146)),AW149),AW149)</f>
        <v>4400</v>
      </c>
      <c r="AX151" s="28">
        <f>IF(AX148=1,IF(INDEX('Lease Cycles'!$EF$16:$EL$16,1,AX146)=1,AX149*INDEX('Lease Cycles'!$EM$16:$ES$16,1,AX146)+AX150*(1-INDEX('Lease Cycles'!$EM$16:$ES$16,1,AX146)),AX149),AX149)</f>
        <v>4400</v>
      </c>
      <c r="AY151" s="28">
        <f>IF(AY148=1,IF(INDEX('Lease Cycles'!$EF$16:$EL$16,1,AY146)=1,AY149*INDEX('Lease Cycles'!$EM$16:$ES$16,1,AY146)+AY150*(1-INDEX('Lease Cycles'!$EM$16:$ES$16,1,AY146)),AY149),AY149)</f>
        <v>4400</v>
      </c>
      <c r="AZ151" s="28">
        <f>IF(AZ148=1,IF(INDEX('Lease Cycles'!$EF$16:$EL$16,1,AZ146)=1,AZ149*INDEX('Lease Cycles'!$EM$16:$ES$16,1,AZ146)+AZ150*(1-INDEX('Lease Cycles'!$EM$16:$ES$16,1,AZ146)),AZ149),AZ149)</f>
        <v>4400</v>
      </c>
      <c r="BA151" s="28">
        <f>IF(BA148=1,IF(INDEX('Lease Cycles'!$EF$16:$EL$16,1,BA146)=1,BA149*INDEX('Lease Cycles'!$EM$16:$ES$16,1,BA146)+BA150*(1-INDEX('Lease Cycles'!$EM$16:$ES$16,1,BA146)),BA149),BA149)</f>
        <v>4400</v>
      </c>
      <c r="BB151" s="28">
        <f>IF(BB148=1,IF(INDEX('Lease Cycles'!$EF$16:$EL$16,1,BB146)=1,BB149*INDEX('Lease Cycles'!$EM$16:$ES$16,1,BB146)+BB150*(1-INDEX('Lease Cycles'!$EM$16:$ES$16,1,BB146)),BB149),BB149)</f>
        <v>4400</v>
      </c>
      <c r="BC151" s="28">
        <f>IF(BC148=1,IF(INDEX('Lease Cycles'!$EF$16:$EL$16,1,BC146)=1,BC149*INDEX('Lease Cycles'!$EM$16:$ES$16,1,BC146)+BC150*(1-INDEX('Lease Cycles'!$EM$16:$ES$16,1,BC146)),BC149),BC149)</f>
        <v>4400</v>
      </c>
      <c r="BD151" s="28">
        <f>IF(BD148=1,IF(INDEX('Lease Cycles'!$EF$16:$EL$16,1,BD146)=1,BD149*INDEX('Lease Cycles'!$EM$16:$ES$16,1,BD146)+BD150*(1-INDEX('Lease Cycles'!$EM$16:$ES$16,1,BD146)),BD149),BD149)</f>
        <v>4400</v>
      </c>
      <c r="BE151" s="28">
        <f>IF(BE148=1,IF(INDEX('Lease Cycles'!$EF$16:$EL$16,1,BE146)=1,BE149*INDEX('Lease Cycles'!$EM$16:$ES$16,1,BE146)+BE150*(1-INDEX('Lease Cycles'!$EM$16:$ES$16,1,BE146)),BE149),BE149)</f>
        <v>4400</v>
      </c>
      <c r="BF151" s="28">
        <f>IF(BF148=1,IF(INDEX('Lease Cycles'!$EF$16:$EL$16,1,BF146)=1,BF149*INDEX('Lease Cycles'!$EM$16:$ES$16,1,BF146)+BF150*(1-INDEX('Lease Cycles'!$EM$16:$ES$16,1,BF146)),BF149),BF149)</f>
        <v>4400</v>
      </c>
      <c r="BG151" s="28">
        <f>IF(BG148=1,IF(INDEX('Lease Cycles'!$EF$16:$EL$16,1,BG146)=1,BG149*INDEX('Lease Cycles'!$EM$16:$ES$16,1,BG146)+BG150*(1-INDEX('Lease Cycles'!$EM$16:$ES$16,1,BG146)),BG149),BG149)</f>
        <v>4400</v>
      </c>
      <c r="BH151" s="28">
        <f>IF(BH148=1,IF(INDEX('Lease Cycles'!$EF$16:$EL$16,1,BH146)=1,BH149*INDEX('Lease Cycles'!$EM$16:$ES$16,1,BH146)+BH150*(1-INDEX('Lease Cycles'!$EM$16:$ES$16,1,BH146)),BH149),BH149)</f>
        <v>4400</v>
      </c>
      <c r="BI151" s="28">
        <f>IF(BI148=1,IF(INDEX('Lease Cycles'!$EF$16:$EL$16,1,BI146)=1,BI149*INDEX('Lease Cycles'!$EM$16:$ES$16,1,BI146)+BI150*(1-INDEX('Lease Cycles'!$EM$16:$ES$16,1,BI146)),BI149),BI149)</f>
        <v>4400</v>
      </c>
      <c r="BJ151" s="28">
        <f>IF(BJ148=1,IF(INDEX('Lease Cycles'!$EF$16:$EL$16,1,BJ146)=1,BJ149*INDEX('Lease Cycles'!$EM$16:$ES$16,1,BJ146)+BJ150*(1-INDEX('Lease Cycles'!$EM$16:$ES$16,1,BJ146)),BJ149),BJ149)</f>
        <v>4400</v>
      </c>
      <c r="BK151" s="28">
        <f>IF(BK148=1,IF(INDEX('Lease Cycles'!$EF$16:$EL$16,1,BK146)=1,BK149*INDEX('Lease Cycles'!$EM$16:$ES$16,1,BK146)+BK150*(1-INDEX('Lease Cycles'!$EM$16:$ES$16,1,BK146)),BK149),BK149)</f>
        <v>4400</v>
      </c>
      <c r="BL151" s="28">
        <f>IF(BL148=1,IF(INDEX('Lease Cycles'!$EF$16:$EL$16,1,BL146)=1,BL149*INDEX('Lease Cycles'!$EM$16:$ES$16,1,BL146)+BL150*(1-INDEX('Lease Cycles'!$EM$16:$ES$16,1,BL146)),BL149),BL149)</f>
        <v>4400</v>
      </c>
      <c r="BM151" s="28">
        <f>IF(BM148=1,IF(INDEX('Lease Cycles'!$EF$16:$EL$16,1,BM146)=1,BM149*INDEX('Lease Cycles'!$EM$16:$ES$16,1,BM146)+BM150*(1-INDEX('Lease Cycles'!$EM$16:$ES$16,1,BM146)),BM149),BM149)</f>
        <v>4400</v>
      </c>
      <c r="BN151" s="28">
        <f>IF(BN148=1,IF(INDEX('Lease Cycles'!$EF$16:$EL$16,1,BN146)=1,BN149*INDEX('Lease Cycles'!$EM$16:$ES$16,1,BN146)+BN150*(1-INDEX('Lease Cycles'!$EM$16:$ES$16,1,BN146)),BN149),BN149)</f>
        <v>4400</v>
      </c>
      <c r="BO151" s="28">
        <f>IF(BO148=1,IF(INDEX('Lease Cycles'!$EF$16:$EL$16,1,BO146)=1,BO149*INDEX('Lease Cycles'!$EM$16:$ES$16,1,BO146)+BO150*(1-INDEX('Lease Cycles'!$EM$16:$ES$16,1,BO146)),BO149),BO149)</f>
        <v>4400</v>
      </c>
      <c r="BP151" s="28">
        <f>IF(BP148=1,IF(INDEX('Lease Cycles'!$EF$16:$EL$16,1,BP146)=1,BP149*INDEX('Lease Cycles'!$EM$16:$ES$16,1,BP146)+BP150*(1-INDEX('Lease Cycles'!$EM$16:$ES$16,1,BP146)),BP149),BP149)</f>
        <v>4400</v>
      </c>
      <c r="BQ151" s="28">
        <f>IF(BQ148=1,IF(INDEX('Lease Cycles'!$EF$16:$EL$16,1,BQ146)=1,BQ149*INDEX('Lease Cycles'!$EM$16:$ES$16,1,BQ146)+BQ150*(1-INDEX('Lease Cycles'!$EM$16:$ES$16,1,BQ146)),BQ149),BQ149)</f>
        <v>4400</v>
      </c>
      <c r="BR151" s="28">
        <f>IF(BR148=1,IF(INDEX('Lease Cycles'!$EF$16:$EL$16,1,BR146)=1,BR149*INDEX('Lease Cycles'!$EM$16:$ES$16,1,BR146)+BR150*(1-INDEX('Lease Cycles'!$EM$16:$ES$16,1,BR146)),BR149),BR149)</f>
        <v>4400</v>
      </c>
      <c r="BS151" s="28">
        <f>IF(BS148=1,IF(INDEX('Lease Cycles'!$EF$16:$EL$16,1,BS146)=1,BS149*INDEX('Lease Cycles'!$EM$16:$ES$16,1,BS146)+BS150*(1-INDEX('Lease Cycles'!$EM$16:$ES$16,1,BS146)),BS149),BS149)</f>
        <v>4400</v>
      </c>
      <c r="BT151" s="28">
        <f>IF(BT148=1,IF(INDEX('Lease Cycles'!$EF$16:$EL$16,1,BT146)=1,BT149*INDEX('Lease Cycles'!$EM$16:$ES$16,1,BT146)+BT150*(1-INDEX('Lease Cycles'!$EM$16:$ES$16,1,BT146)),BT149),BT149)</f>
        <v>4400</v>
      </c>
      <c r="BU151" s="28">
        <f>IF(BU148=1,IF(INDEX('Lease Cycles'!$EF$16:$EL$16,1,BU146)=1,BU149*INDEX('Lease Cycles'!$EM$16:$ES$16,1,BU146)+BU150*(1-INDEX('Lease Cycles'!$EM$16:$ES$16,1,BU146)),BU149),BU149)</f>
        <v>4400</v>
      </c>
      <c r="BV151" s="28">
        <f>IF(BV148=1,IF(INDEX('Lease Cycles'!$EF$16:$EL$16,1,BV146)=1,BV149*INDEX('Lease Cycles'!$EM$16:$ES$16,1,BV146)+BV150*(1-INDEX('Lease Cycles'!$EM$16:$ES$16,1,BV146)),BV149),BV149)</f>
        <v>4400</v>
      </c>
      <c r="BW151" s="28">
        <f>IF(BW148=1,IF(INDEX('Lease Cycles'!$EF$16:$EL$16,1,BW146)=1,BW149*INDEX('Lease Cycles'!$EM$16:$ES$16,1,BW146)+BW150*(1-INDEX('Lease Cycles'!$EM$16:$ES$16,1,BW146)),BW149),BW149)</f>
        <v>4400</v>
      </c>
      <c r="BX151" s="28">
        <f>IF(BX148=1,IF(INDEX('Lease Cycles'!$EF$16:$EL$16,1,BX146)=1,BX149*INDEX('Lease Cycles'!$EM$16:$ES$16,1,BX146)+BX150*(1-INDEX('Lease Cycles'!$EM$16:$ES$16,1,BX146)),BX149),BX149)</f>
        <v>5063.251427652393</v>
      </c>
      <c r="BY151" s="28">
        <f>IF(BY148=1,IF(INDEX('Lease Cycles'!$EF$16:$EL$16,1,BY146)=1,BY149*INDEX('Lease Cycles'!$EM$16:$ES$16,1,BY146)+BY150*(1-INDEX('Lease Cycles'!$EM$16:$ES$16,1,BY146)),BY149),BY149)</f>
        <v>3912.5486364401145</v>
      </c>
      <c r="BZ151" s="28">
        <f>IF(BZ148=1,IF(INDEX('Lease Cycles'!$EF$16:$EL$16,1,BZ146)=1,BZ149*INDEX('Lease Cycles'!$EM$16:$ES$16,1,BZ146)+BZ150*(1-INDEX('Lease Cycles'!$EM$16:$ES$16,1,BZ146)),BZ149),BZ149)</f>
        <v>3912.5486364401145</v>
      </c>
      <c r="CA151" s="28">
        <f>IF(CA148=1,IF(INDEX('Lease Cycles'!$EF$16:$EL$16,1,CA146)=1,CA149*INDEX('Lease Cycles'!$EM$16:$ES$16,1,CA146)+CA150*(1-INDEX('Lease Cycles'!$EM$16:$ES$16,1,CA146)),CA149),CA149)</f>
        <v>3912.5486364401145</v>
      </c>
      <c r="CB151" s="28">
        <f>IF(CB148=1,IF(INDEX('Lease Cycles'!$EF$16:$EL$16,1,CB146)=1,CB149*INDEX('Lease Cycles'!$EM$16:$ES$16,1,CB146)+CB150*(1-INDEX('Lease Cycles'!$EM$16:$ES$16,1,CB146)),CB149),CB149)</f>
        <v>3912.5486364401145</v>
      </c>
      <c r="CC151" s="28">
        <f>IF(CC148=1,IF(INDEX('Lease Cycles'!$EF$16:$EL$16,1,CC146)=1,CC149*INDEX('Lease Cycles'!$EM$16:$ES$16,1,CC146)+CC150*(1-INDEX('Lease Cycles'!$EM$16:$ES$16,1,CC146)),CC149),CC149)</f>
        <v>3912.5486364401145</v>
      </c>
      <c r="CD151" s="28">
        <f>IF(CD148=1,IF(INDEX('Lease Cycles'!$EF$16:$EL$16,1,CD146)=1,CD149*INDEX('Lease Cycles'!$EM$16:$ES$16,1,CD146)+CD150*(1-INDEX('Lease Cycles'!$EM$16:$ES$16,1,CD146)),CD149),CD149)</f>
        <v>3912.5486364401145</v>
      </c>
      <c r="CE151" s="28">
        <f>IF(CE148=1,IF(INDEX('Lease Cycles'!$EF$16:$EL$16,1,CE146)=1,CE149*INDEX('Lease Cycles'!$EM$16:$ES$16,1,CE146)+CE150*(1-INDEX('Lease Cycles'!$EM$16:$ES$16,1,CE146)),CE149),CE149)</f>
        <v>3912.5486364401145</v>
      </c>
      <c r="CF151" s="28">
        <f>IF(CF148=1,IF(INDEX('Lease Cycles'!$EF$16:$EL$16,1,CF146)=1,CF149*INDEX('Lease Cycles'!$EM$16:$ES$16,1,CF146)+CF150*(1-INDEX('Lease Cycles'!$EM$16:$ES$16,1,CF146)),CF149),CF149)</f>
        <v>3912.5486364401145</v>
      </c>
      <c r="CG151" s="28">
        <f>IF(CG148=1,IF(INDEX('Lease Cycles'!$EF$16:$EL$16,1,CG146)=1,CG149*INDEX('Lease Cycles'!$EM$16:$ES$16,1,CG146)+CG150*(1-INDEX('Lease Cycles'!$EM$16:$ES$16,1,CG146)),CG149),CG149)</f>
        <v>3912.5486364401145</v>
      </c>
      <c r="CH151" s="28">
        <f>IF(CH148=1,IF(INDEX('Lease Cycles'!$EF$16:$EL$16,1,CH146)=1,CH149*INDEX('Lease Cycles'!$EM$16:$ES$16,1,CH146)+CH150*(1-INDEX('Lease Cycles'!$EM$16:$ES$16,1,CH146)),CH149),CH149)</f>
        <v>3912.5486364401145</v>
      </c>
      <c r="CI151" s="28">
        <f>IF(CI148=1,IF(INDEX('Lease Cycles'!$EF$16:$EL$16,1,CI146)=1,CI149*INDEX('Lease Cycles'!$EM$16:$ES$16,1,CI146)+CI150*(1-INDEX('Lease Cycles'!$EM$16:$ES$16,1,CI146)),CI149),CI149)</f>
        <v>3912.5486364401145</v>
      </c>
      <c r="CJ151" s="28">
        <f>IF(CJ148=1,IF(INDEX('Lease Cycles'!$EF$16:$EL$16,1,CJ146)=1,CJ149*INDEX('Lease Cycles'!$EM$16:$ES$16,1,CJ146)+CJ150*(1-INDEX('Lease Cycles'!$EM$16:$ES$16,1,CJ146)),CJ149),CJ149)</f>
        <v>3912.5486364401145</v>
      </c>
      <c r="CK151" s="28">
        <f>IF(CK148=1,IF(INDEX('Lease Cycles'!$EF$16:$EL$16,1,CK146)=1,CK149*INDEX('Lease Cycles'!$EM$16:$ES$16,1,CK146)+CK150*(1-INDEX('Lease Cycles'!$EM$16:$ES$16,1,CK146)),CK149),CK149)</f>
        <v>4029.9250955333177</v>
      </c>
      <c r="CL151" s="28">
        <f>IF(CL148=1,IF(INDEX('Lease Cycles'!$EF$16:$EL$16,1,CL146)=1,CL149*INDEX('Lease Cycles'!$EM$16:$ES$16,1,CL146)+CL150*(1-INDEX('Lease Cycles'!$EM$16:$ES$16,1,CL146)),CL149),CL149)</f>
        <v>4029.9250955333177</v>
      </c>
      <c r="CM151" s="28">
        <f>IF(CM148=1,IF(INDEX('Lease Cycles'!$EF$16:$EL$16,1,CM146)=1,CM149*INDEX('Lease Cycles'!$EM$16:$ES$16,1,CM146)+CM150*(1-INDEX('Lease Cycles'!$EM$16:$ES$16,1,CM146)),CM149),CM149)</f>
        <v>4029.9250955333177</v>
      </c>
      <c r="CN151" s="28">
        <f>IF(CN148=1,IF(INDEX('Lease Cycles'!$EF$16:$EL$16,1,CN146)=1,CN149*INDEX('Lease Cycles'!$EM$16:$ES$16,1,CN146)+CN150*(1-INDEX('Lease Cycles'!$EM$16:$ES$16,1,CN146)),CN149),CN149)</f>
        <v>4029.9250955333177</v>
      </c>
      <c r="CO151" s="28">
        <f>IF(CO148=1,IF(INDEX('Lease Cycles'!$EF$16:$EL$16,1,CO146)=1,CO149*INDEX('Lease Cycles'!$EM$16:$ES$16,1,CO146)+CO150*(1-INDEX('Lease Cycles'!$EM$16:$ES$16,1,CO146)),CO149),CO149)</f>
        <v>4029.9250955333177</v>
      </c>
      <c r="CP151" s="28">
        <f>IF(CP148=1,IF(INDEX('Lease Cycles'!$EF$16:$EL$16,1,CP146)=1,CP149*INDEX('Lease Cycles'!$EM$16:$ES$16,1,CP146)+CP150*(1-INDEX('Lease Cycles'!$EM$16:$ES$16,1,CP146)),CP149),CP149)</f>
        <v>4029.9250955333177</v>
      </c>
      <c r="CQ151" s="28">
        <f>IF(CQ148=1,IF(INDEX('Lease Cycles'!$EF$16:$EL$16,1,CQ146)=1,CQ149*INDEX('Lease Cycles'!$EM$16:$ES$16,1,CQ146)+CQ150*(1-INDEX('Lease Cycles'!$EM$16:$ES$16,1,CQ146)),CQ149),CQ149)</f>
        <v>4029.9250955333177</v>
      </c>
      <c r="CR151" s="28">
        <f>IF(CR148=1,IF(INDEX('Lease Cycles'!$EF$16:$EL$16,1,CR146)=1,CR149*INDEX('Lease Cycles'!$EM$16:$ES$16,1,CR146)+CR150*(1-INDEX('Lease Cycles'!$EM$16:$ES$16,1,CR146)),CR149),CR149)</f>
        <v>4029.9250955333177</v>
      </c>
      <c r="CS151" s="28">
        <f>IF(CS148=1,IF(INDEX('Lease Cycles'!$EF$16:$EL$16,1,CS146)=1,CS149*INDEX('Lease Cycles'!$EM$16:$ES$16,1,CS146)+CS150*(1-INDEX('Lease Cycles'!$EM$16:$ES$16,1,CS146)),CS149),CS149)</f>
        <v>4029.9250955333177</v>
      </c>
      <c r="CT151" s="28">
        <f>IF(CT148=1,IF(INDEX('Lease Cycles'!$EF$16:$EL$16,1,CT146)=1,CT149*INDEX('Lease Cycles'!$EM$16:$ES$16,1,CT146)+CT150*(1-INDEX('Lease Cycles'!$EM$16:$ES$16,1,CT146)),CT149),CT149)</f>
        <v>4029.9250955333177</v>
      </c>
      <c r="CU151" s="28">
        <f>IF(CU148=1,IF(INDEX('Lease Cycles'!$EF$16:$EL$16,1,CU146)=1,CU149*INDEX('Lease Cycles'!$EM$16:$ES$16,1,CU146)+CU150*(1-INDEX('Lease Cycles'!$EM$16:$ES$16,1,CU146)),CU149),CU149)</f>
        <v>4029.9250955333177</v>
      </c>
      <c r="CV151" s="28">
        <f>IF(CV148=1,IF(INDEX('Lease Cycles'!$EF$16:$EL$16,1,CV146)=1,CV149*INDEX('Lease Cycles'!$EM$16:$ES$16,1,CV146)+CV150*(1-INDEX('Lease Cycles'!$EM$16:$ES$16,1,CV146)),CV149),CV149)</f>
        <v>4029.9250955333177</v>
      </c>
      <c r="CW151" s="28">
        <f>IF(CW148=1,IF(INDEX('Lease Cycles'!$EF$16:$EL$16,1,CW146)=1,CW149*INDEX('Lease Cycles'!$EM$16:$ES$16,1,CW146)+CW150*(1-INDEX('Lease Cycles'!$EM$16:$ES$16,1,CW146)),CW149),CW149)</f>
        <v>4150.822848399317</v>
      </c>
      <c r="CX151" s="28">
        <f>IF(CX148=1,IF(INDEX('Lease Cycles'!$EF$16:$EL$16,1,CX146)=1,CX149*INDEX('Lease Cycles'!$EM$16:$ES$16,1,CX146)+CX150*(1-INDEX('Lease Cycles'!$EM$16:$ES$16,1,CX146)),CX149),CX149)</f>
        <v>4150.822848399317</v>
      </c>
      <c r="CY151" s="28">
        <f>IF(CY148=1,IF(INDEX('Lease Cycles'!$EF$16:$EL$16,1,CY146)=1,CY149*INDEX('Lease Cycles'!$EM$16:$ES$16,1,CY146)+CY150*(1-INDEX('Lease Cycles'!$EM$16:$ES$16,1,CY146)),CY149),CY149)</f>
        <v>4150.822848399317</v>
      </c>
      <c r="CZ151" s="28">
        <f>IF(CZ148=1,IF(INDEX('Lease Cycles'!$EF$16:$EL$16,1,CZ146)=1,CZ149*INDEX('Lease Cycles'!$EM$16:$ES$16,1,CZ146)+CZ150*(1-INDEX('Lease Cycles'!$EM$16:$ES$16,1,CZ146)),CZ149),CZ149)</f>
        <v>4150.822848399317</v>
      </c>
      <c r="DA151" s="28">
        <f>IF(DA148=1,IF(INDEX('Lease Cycles'!$EF$16:$EL$16,1,DA146)=1,DA149*INDEX('Lease Cycles'!$EM$16:$ES$16,1,DA146)+DA150*(1-INDEX('Lease Cycles'!$EM$16:$ES$16,1,DA146)),DA149),DA149)</f>
        <v>4150.822848399317</v>
      </c>
      <c r="DB151" s="28">
        <f>IF(DB148=1,IF(INDEX('Lease Cycles'!$EF$16:$EL$16,1,DB146)=1,DB149*INDEX('Lease Cycles'!$EM$16:$ES$16,1,DB146)+DB150*(1-INDEX('Lease Cycles'!$EM$16:$ES$16,1,DB146)),DB149),DB149)</f>
        <v>4150.822848399317</v>
      </c>
      <c r="DC151" s="28">
        <f>IF(DC148=1,IF(INDEX('Lease Cycles'!$EF$16:$EL$16,1,DC146)=1,DC149*INDEX('Lease Cycles'!$EM$16:$ES$16,1,DC146)+DC150*(1-INDEX('Lease Cycles'!$EM$16:$ES$16,1,DC146)),DC149),DC149)</f>
        <v>4150.822848399317</v>
      </c>
      <c r="DD151" s="28">
        <f>IF(DD148=1,IF(INDEX('Lease Cycles'!$EF$16:$EL$16,1,DD146)=1,DD149*INDEX('Lease Cycles'!$EM$16:$ES$16,1,DD146)+DD150*(1-INDEX('Lease Cycles'!$EM$16:$ES$16,1,DD146)),DD149),DD149)</f>
        <v>4150.822848399317</v>
      </c>
      <c r="DE151" s="28">
        <f>IF(DE148=1,IF(INDEX('Lease Cycles'!$EF$16:$EL$16,1,DE146)=1,DE149*INDEX('Lease Cycles'!$EM$16:$ES$16,1,DE146)+DE150*(1-INDEX('Lease Cycles'!$EM$16:$ES$16,1,DE146)),DE149),DE149)</f>
        <v>4150.822848399317</v>
      </c>
      <c r="DF151" s="28">
        <f>IF(DF148=1,IF(INDEX('Lease Cycles'!$EF$16:$EL$16,1,DF146)=1,DF149*INDEX('Lease Cycles'!$EM$16:$ES$16,1,DF146)+DF150*(1-INDEX('Lease Cycles'!$EM$16:$ES$16,1,DF146)),DF149),DF149)</f>
        <v>4150.822848399317</v>
      </c>
      <c r="DG151" s="28">
        <f>IF(DG148=1,IF(INDEX('Lease Cycles'!$EF$16:$EL$16,1,DG146)=1,DG149*INDEX('Lease Cycles'!$EM$16:$ES$16,1,DG146)+DG150*(1-INDEX('Lease Cycles'!$EM$16:$ES$16,1,DG146)),DG149),DG149)</f>
        <v>4150.822848399317</v>
      </c>
      <c r="DH151" s="28">
        <f>IF(DH148=1,IF(INDEX('Lease Cycles'!$EF$16:$EL$16,1,DH146)=1,DH149*INDEX('Lease Cycles'!$EM$16:$ES$16,1,DH146)+DH150*(1-INDEX('Lease Cycles'!$EM$16:$ES$16,1,DH146)),DH149),DH149)</f>
        <v>4150.822848399317</v>
      </c>
      <c r="DI151" s="28">
        <f>IF(DI148=1,IF(INDEX('Lease Cycles'!$EF$16:$EL$16,1,DI146)=1,DI149*INDEX('Lease Cycles'!$EM$16:$ES$16,1,DI146)+DI150*(1-INDEX('Lease Cycles'!$EM$16:$ES$16,1,DI146)),DI149),DI149)</f>
        <v>4275.347533851297</v>
      </c>
      <c r="DJ151" s="28">
        <f>IF(DJ148=1,IF(INDEX('Lease Cycles'!$EF$16:$EL$16,1,DJ146)=1,DJ149*INDEX('Lease Cycles'!$EM$16:$ES$16,1,DJ146)+DJ150*(1-INDEX('Lease Cycles'!$EM$16:$ES$16,1,DJ146)),DJ149),DJ149)</f>
        <v>4275.347533851297</v>
      </c>
      <c r="DK151" s="28">
        <f>IF(DK148=1,IF(INDEX('Lease Cycles'!$EF$16:$EL$16,1,DK146)=1,DK149*INDEX('Lease Cycles'!$EM$16:$ES$16,1,DK146)+DK150*(1-INDEX('Lease Cycles'!$EM$16:$ES$16,1,DK146)),DK149),DK149)</f>
        <v>4275.347533851297</v>
      </c>
      <c r="DL151" s="28">
        <f>IF(DL148=1,IF(INDEX('Lease Cycles'!$EF$16:$EL$16,1,DL146)=1,DL149*INDEX('Lease Cycles'!$EM$16:$ES$16,1,DL146)+DL150*(1-INDEX('Lease Cycles'!$EM$16:$ES$16,1,DL146)),DL149),DL149)</f>
        <v>4275.347533851297</v>
      </c>
      <c r="DM151" s="28">
        <f>IF(DM148=1,IF(INDEX('Lease Cycles'!$EF$16:$EL$16,1,DM146)=1,DM149*INDEX('Lease Cycles'!$EM$16:$ES$16,1,DM146)+DM150*(1-INDEX('Lease Cycles'!$EM$16:$ES$16,1,DM146)),DM149),DM149)</f>
        <v>4275.347533851297</v>
      </c>
      <c r="DN151" s="28">
        <f>IF(DN148=1,IF(INDEX('Lease Cycles'!$EF$16:$EL$16,1,DN146)=1,DN149*INDEX('Lease Cycles'!$EM$16:$ES$16,1,DN146)+DN150*(1-INDEX('Lease Cycles'!$EM$16:$ES$16,1,DN146)),DN149),DN149)</f>
        <v>4275.347533851297</v>
      </c>
      <c r="DO151" s="28">
        <f>IF(DO148=1,IF(INDEX('Lease Cycles'!$EF$16:$EL$16,1,DO146)=1,DO149*INDEX('Lease Cycles'!$EM$16:$ES$16,1,DO146)+DO150*(1-INDEX('Lease Cycles'!$EM$16:$ES$16,1,DO146)),DO149),DO149)</f>
        <v>4275.347533851297</v>
      </c>
      <c r="DP151" s="28">
        <f>IF(DP148=1,IF(INDEX('Lease Cycles'!$EF$16:$EL$16,1,DP146)=1,DP149*INDEX('Lease Cycles'!$EM$16:$ES$16,1,DP146)+DP150*(1-INDEX('Lease Cycles'!$EM$16:$ES$16,1,DP146)),DP149),DP149)</f>
        <v>4275.347533851297</v>
      </c>
      <c r="DQ151" s="28">
        <f>IF(DQ148=1,IF(INDEX('Lease Cycles'!$EF$16:$EL$16,1,DQ146)=1,DQ149*INDEX('Lease Cycles'!$EM$16:$ES$16,1,DQ146)+DQ150*(1-INDEX('Lease Cycles'!$EM$16:$ES$16,1,DQ146)),DQ149),DQ149)</f>
        <v>4275.347533851297</v>
      </c>
      <c r="DR151" s="28">
        <f>IF(DR148=1,IF(INDEX('Lease Cycles'!$EF$16:$EL$16,1,DR146)=1,DR149*INDEX('Lease Cycles'!$EM$16:$ES$16,1,DR146)+DR150*(1-INDEX('Lease Cycles'!$EM$16:$ES$16,1,DR146)),DR149),DR149)</f>
        <v>4275.347533851297</v>
      </c>
      <c r="DS151" s="28">
        <f>IF(DS148=1,IF(INDEX('Lease Cycles'!$EF$16:$EL$16,1,DS146)=1,DS149*INDEX('Lease Cycles'!$EM$16:$ES$16,1,DS146)+DS150*(1-INDEX('Lease Cycles'!$EM$16:$ES$16,1,DS146)),DS149),DS149)</f>
        <v>4275.347533851297</v>
      </c>
      <c r="DT151" s="28">
        <f>IF(DT148=1,IF(INDEX('Lease Cycles'!$EF$16:$EL$16,1,DT146)=1,DT149*INDEX('Lease Cycles'!$EM$16:$ES$16,1,DT146)+DT150*(1-INDEX('Lease Cycles'!$EM$16:$ES$16,1,DT146)),DT149),DT149)</f>
        <v>4275.347533851297</v>
      </c>
      <c r="DU151" s="28">
        <f>IF(DU148=1,IF(INDEX('Lease Cycles'!$EF$16:$EL$16,1,DU146)=1,DU149*INDEX('Lease Cycles'!$EM$16:$ES$16,1,DU146)+DU150*(1-INDEX('Lease Cycles'!$EM$16:$ES$16,1,DU146)),DU149),DU149)</f>
        <v>4403.607959866836</v>
      </c>
      <c r="DV151" s="28">
        <f>IF(DV148=1,IF(INDEX('Lease Cycles'!$EF$16:$EL$16,1,DV146)=1,DV149*INDEX('Lease Cycles'!$EM$16:$ES$16,1,DV146)+DV150*(1-INDEX('Lease Cycles'!$EM$16:$ES$16,1,DV146)),DV149),DV149)</f>
        <v>4403.607959866836</v>
      </c>
      <c r="DW151" s="28">
        <f>IF(DW148=1,IF(INDEX('Lease Cycles'!$EF$16:$EL$16,1,DW146)=1,DW149*INDEX('Lease Cycles'!$EM$16:$ES$16,1,DW146)+DW150*(1-INDEX('Lease Cycles'!$EM$16:$ES$16,1,DW146)),DW149),DW149)</f>
        <v>4403.607959866836</v>
      </c>
      <c r="DX151" s="28">
        <f>IF(DX148=1,IF(INDEX('Lease Cycles'!$EF$16:$EL$16,1,DX146)=1,DX149*INDEX('Lease Cycles'!$EM$16:$ES$16,1,DX146)+DX150*(1-INDEX('Lease Cycles'!$EM$16:$ES$16,1,DX146)),DX149),DX149)</f>
        <v>4403.607959866836</v>
      </c>
      <c r="DY151" s="28">
        <f>IF(DY148=1,IF(INDEX('Lease Cycles'!$EF$16:$EL$16,1,DY146)=1,DY149*INDEX('Lease Cycles'!$EM$16:$ES$16,1,DY146)+DY150*(1-INDEX('Lease Cycles'!$EM$16:$ES$16,1,DY146)),DY149),DY149)</f>
        <v>4403.607959866836</v>
      </c>
      <c r="DZ151" s="28">
        <f>IF(DZ148=1,IF(INDEX('Lease Cycles'!$EF$16:$EL$16,1,DZ146)=1,DZ149*INDEX('Lease Cycles'!$EM$16:$ES$16,1,DZ146)+DZ150*(1-INDEX('Lease Cycles'!$EM$16:$ES$16,1,DZ146)),DZ149),DZ149)</f>
        <v>4403.607959866836</v>
      </c>
      <c r="EA151" s="28">
        <f>IF(EA148=1,IF(INDEX('Lease Cycles'!$EF$16:$EL$16,1,EA146)=1,EA149*INDEX('Lease Cycles'!$EM$16:$ES$16,1,EA146)+EA150*(1-INDEX('Lease Cycles'!$EM$16:$ES$16,1,EA146)),EA149),EA149)</f>
        <v>4403.607959866836</v>
      </c>
      <c r="EB151" s="28">
        <f>IF(EB148=1,IF(INDEX('Lease Cycles'!$EF$16:$EL$16,1,EB146)=1,EB149*INDEX('Lease Cycles'!$EM$16:$ES$16,1,EB146)+EB150*(1-INDEX('Lease Cycles'!$EM$16:$ES$16,1,EB146)),EB149),EB149)</f>
        <v>4403.607959866836</v>
      </c>
      <c r="EC151" s="28">
        <f>IF(EC148=1,IF(INDEX('Lease Cycles'!$EF$16:$EL$16,1,EC146)=1,EC149*INDEX('Lease Cycles'!$EM$16:$ES$16,1,EC146)+EC150*(1-INDEX('Lease Cycles'!$EM$16:$ES$16,1,EC146)),EC149),EC149)</f>
        <v>4403.607959866836</v>
      </c>
      <c r="ED151" s="28">
        <f>IF(ED148=1,IF(INDEX('Lease Cycles'!$EF$16:$EL$16,1,ED146)=1,ED149*INDEX('Lease Cycles'!$EM$16:$ES$16,1,ED146)+ED150*(1-INDEX('Lease Cycles'!$EM$16:$ES$16,1,ED146)),ED149),ED149)</f>
        <v>4403.607959866836</v>
      </c>
      <c r="EE151" s="28">
        <f>IF(EE148=1,IF(INDEX('Lease Cycles'!$EF$16:$EL$16,1,EE146)=1,EE149*INDEX('Lease Cycles'!$EM$16:$ES$16,1,EE146)+EE150*(1-INDEX('Lease Cycles'!$EM$16:$ES$16,1,EE146)),EE149),EE149)</f>
        <v>4403.607959866836</v>
      </c>
      <c r="EF151" s="28">
        <f>IF(EF148=1,IF(INDEX('Lease Cycles'!$EF$16:$EL$16,1,EF146)=1,EF149*INDEX('Lease Cycles'!$EM$16:$ES$16,1,EF146)+EF150*(1-INDEX('Lease Cycles'!$EM$16:$ES$16,1,EF146)),EF149),EF149)</f>
        <v>4403.607959866836</v>
      </c>
      <c r="EG151" s="28">
        <f>IF(EG148=1,IF(INDEX('Lease Cycles'!$EF$16:$EL$16,1,EG146)=1,EG149*INDEX('Lease Cycles'!$EM$16:$ES$16,1,EG146)+EG150*(1-INDEX('Lease Cycles'!$EM$16:$ES$16,1,EG146)),EG149),EG149)</f>
        <v>4535.716198662841</v>
      </c>
      <c r="EH151" s="28">
        <f>IF(EH148=1,IF(INDEX('Lease Cycles'!$EF$16:$EL$16,1,EH146)=1,EH149*INDEX('Lease Cycles'!$EM$16:$ES$16,1,EH146)+EH150*(1-INDEX('Lease Cycles'!$EM$16:$ES$16,1,EH146)),EH149),EH149)</f>
        <v>4535.716198662841</v>
      </c>
      <c r="EI151" s="28">
        <f>IF(EI148=1,IF(INDEX('Lease Cycles'!$EF$16:$EL$16,1,EI146)=1,EI149*INDEX('Lease Cycles'!$EM$16:$ES$16,1,EI146)+EI150*(1-INDEX('Lease Cycles'!$EM$16:$ES$16,1,EI146)),EI149),EI149)</f>
        <v>4535.716198662841</v>
      </c>
      <c r="EJ151" s="28">
        <f>IF(EJ148=1,IF(INDEX('Lease Cycles'!$EF$16:$EL$16,1,EJ146)=1,EJ149*INDEX('Lease Cycles'!$EM$16:$ES$16,1,EJ146)+EJ150*(1-INDEX('Lease Cycles'!$EM$16:$ES$16,1,EJ146)),EJ149),EJ149)</f>
        <v>4535.716198662841</v>
      </c>
      <c r="EK151" s="28">
        <f>IF(EK148=1,IF(INDEX('Lease Cycles'!$EF$16:$EL$16,1,EK146)=1,EK149*INDEX('Lease Cycles'!$EM$16:$ES$16,1,EK146)+EK150*(1-INDEX('Lease Cycles'!$EM$16:$ES$16,1,EK146)),EK149),EK149)</f>
        <v>4535.716198662841</v>
      </c>
      <c r="EL151" s="28">
        <f>IF(EL148=1,IF(INDEX('Lease Cycles'!$EF$16:$EL$16,1,EL146)=1,EL149*INDEX('Lease Cycles'!$EM$16:$ES$16,1,EL146)+EL150*(1-INDEX('Lease Cycles'!$EM$16:$ES$16,1,EL146)),EL149),EL149)</f>
        <v>4535.716198662841</v>
      </c>
      <c r="EM151" s="28">
        <f>IF(EM148=1,IF(INDEX('Lease Cycles'!$EF$16:$EL$16,1,EM146)=1,EM149*INDEX('Lease Cycles'!$EM$16:$ES$16,1,EM146)+EM150*(1-INDEX('Lease Cycles'!$EM$16:$ES$16,1,EM146)),EM149),EM149)</f>
        <v>4535.716198662841</v>
      </c>
      <c r="EN151" s="28">
        <f>IF(EN148=1,IF(INDEX('Lease Cycles'!$EF$16:$EL$16,1,EN146)=1,EN149*INDEX('Lease Cycles'!$EM$16:$ES$16,1,EN146)+EN150*(1-INDEX('Lease Cycles'!$EM$16:$ES$16,1,EN146)),EN149),EN149)</f>
        <v>4535.716198662841</v>
      </c>
      <c r="EO151" s="28">
        <f>IF(EO148=1,IF(INDEX('Lease Cycles'!$EF$16:$EL$16,1,EO146)=1,EO149*INDEX('Lease Cycles'!$EM$16:$ES$16,1,EO146)+EO150*(1-INDEX('Lease Cycles'!$EM$16:$ES$16,1,EO146)),EO149),EO149)</f>
        <v>4535.716198662841</v>
      </c>
      <c r="EP151" s="28">
        <f>IF(EP148=1,IF(INDEX('Lease Cycles'!$EF$16:$EL$16,1,EP146)=1,EP149*INDEX('Lease Cycles'!$EM$16:$ES$16,1,EP146)+EP150*(1-INDEX('Lease Cycles'!$EM$16:$ES$16,1,EP146)),EP149),EP149)</f>
        <v>4535.716198662841</v>
      </c>
      <c r="EQ151" s="28">
        <f>IF(EQ148=1,IF(INDEX('Lease Cycles'!$EF$16:$EL$16,1,EQ146)=1,EQ149*INDEX('Lease Cycles'!$EM$16:$ES$16,1,EQ146)+EQ150*(1-INDEX('Lease Cycles'!$EM$16:$ES$16,1,EQ146)),EQ149),EQ149)</f>
        <v>4535.716198662841</v>
      </c>
      <c r="ER151" s="28">
        <f>IF(ER148=1,IF(INDEX('Lease Cycles'!$EF$16:$EL$16,1,ER146)=1,ER149*INDEX('Lease Cycles'!$EM$16:$ES$16,1,ER146)+ER150*(1-INDEX('Lease Cycles'!$EM$16:$ES$16,1,ER146)),ER149),ER149)</f>
        <v>4535.716198662841</v>
      </c>
      <c r="ES151" s="28">
        <f>IF(ES148=1,IF(INDEX('Lease Cycles'!$EF$16:$EL$16,1,ES146)=1,ES149*INDEX('Lease Cycles'!$EM$16:$ES$16,1,ES146)+ES150*(1-INDEX('Lease Cycles'!$EM$16:$ES$16,1,ES146)),ES149),ES149)</f>
        <v>4671.787684622726</v>
      </c>
      <c r="ET151" s="28">
        <f>IF(ET148=1,IF(INDEX('Lease Cycles'!$EF$16:$EL$16,1,ET146)=1,ET149*INDEX('Lease Cycles'!$EM$16:$ES$16,1,ET146)+ET150*(1-INDEX('Lease Cycles'!$EM$16:$ES$16,1,ET146)),ET149),ET149)</f>
        <v>4671.787684622726</v>
      </c>
    </row>
    <row r="152">
      <c r="A152" s="103">
        <v>9</v>
      </c>
      <c r="B152" s="23" t="str">
        <f>IF('Lease Cycles'!$B$16="","(empty slot)",'Lease Cycles'!$B$16)</f>
        <v>Sunfield Office Suite</v>
      </c>
      <c r="C152" s="23" t="s">
        <v>682</v>
      </c>
      <c r="D152" s="104" t="s">
        <v>495</v>
      </c>
      <c r="E152" s="25">
        <f>'Lease Cycles'!$AL$16</f>
        <v>0</v>
      </c>
      <c r="G152" s="28">
        <f>SUM(S152:AD152)</f>
        <v>52800</v>
      </c>
      <c r="H152" s="28">
        <f>SUM(AE152:AP152)</f>
        <v>52800</v>
      </c>
      <c r="I152" s="28">
        <f>SUM(AQ152:BB152)</f>
        <v>52800</v>
      </c>
      <c r="J152" s="28">
        <f>SUM(BC152:BN152)</f>
        <v>52800</v>
      </c>
      <c r="K152" s="28">
        <f>SUM(BO152:BZ152)</f>
        <v>44295.05836372812</v>
      </c>
      <c r="L152" s="28">
        <f>SUM(CA152:CL152)</f>
        <v>47185.33655546778</v>
      </c>
      <c r="M152" s="28">
        <f>SUM(CM152:CX152)</f>
        <v>48600.896652131814</v>
      </c>
      <c r="N152" s="28">
        <f>SUM(CY152:DJ152)</f>
        <v>50058.92355169576</v>
      </c>
      <c r="O152" s="28">
        <f>SUM(DK152:DV152)</f>
        <v>51560.69125824665</v>
      </c>
      <c r="P152" s="28">
        <f>SUM(DW152:EH152)</f>
        <v>53107.511995994035</v>
      </c>
      <c r="Q152" s="28">
        <f>SUM(EI152:ET152)</f>
        <v>54700.73735587386</v>
      </c>
      <c r="S152" s="28">
        <f>IF(S148=1,IF(INDEX('Lease Cycles'!$EF$16:$EL$16,1,S146)=1,S149*INDEX('Lease Cycles'!$EM$16:$ES$16,1,S146)+S150*IF(S147&lt;INDEX('Lease Cycles'!$FA$16:$FG$16,1,S146),0,1-INDEX('Lease Cycles'!$EM$16:$ES$16,1,S146)),S149*IF(S147&lt;INDEX('Lease Cycles'!$DK$16:$DQ$16,1,S146),0,IF(S147=INDEX('Lease Cycles'!$DK$16:$DQ$16,1,S146),1-INDEX('Lease Cycles'!$DR$16:$DX$16,1,S146),1))),0)</f>
        <v>4400</v>
      </c>
      <c r="T152" s="28">
        <f>IF(T148=1,IF(INDEX('Lease Cycles'!$EF$16:$EL$16,1,T146)=1,T149*INDEX('Lease Cycles'!$EM$16:$ES$16,1,T146)+T150*IF(T147&lt;INDEX('Lease Cycles'!$FA$16:$FG$16,1,T146),0,1-INDEX('Lease Cycles'!$EM$16:$ES$16,1,T146)),T149*IF(T147&lt;INDEX('Lease Cycles'!$DK$16:$DQ$16,1,T146),0,IF(T147=INDEX('Lease Cycles'!$DK$16:$DQ$16,1,T146),1-INDEX('Lease Cycles'!$DR$16:$DX$16,1,T146),1))),0)</f>
        <v>4400</v>
      </c>
      <c r="U152" s="28">
        <f>IF(U148=1,IF(INDEX('Lease Cycles'!$EF$16:$EL$16,1,U146)=1,U149*INDEX('Lease Cycles'!$EM$16:$ES$16,1,U146)+U150*IF(U147&lt;INDEX('Lease Cycles'!$FA$16:$FG$16,1,U146),0,1-INDEX('Lease Cycles'!$EM$16:$ES$16,1,U146)),U149*IF(U147&lt;INDEX('Lease Cycles'!$DK$16:$DQ$16,1,U146),0,IF(U147=INDEX('Lease Cycles'!$DK$16:$DQ$16,1,U146),1-INDEX('Lease Cycles'!$DR$16:$DX$16,1,U146),1))),0)</f>
        <v>4400</v>
      </c>
      <c r="V152" s="28">
        <f>IF(V148=1,IF(INDEX('Lease Cycles'!$EF$16:$EL$16,1,V146)=1,V149*INDEX('Lease Cycles'!$EM$16:$ES$16,1,V146)+V150*IF(V147&lt;INDEX('Lease Cycles'!$FA$16:$FG$16,1,V146),0,1-INDEX('Lease Cycles'!$EM$16:$ES$16,1,V146)),V149*IF(V147&lt;INDEX('Lease Cycles'!$DK$16:$DQ$16,1,V146),0,IF(V147=INDEX('Lease Cycles'!$DK$16:$DQ$16,1,V146),1-INDEX('Lease Cycles'!$DR$16:$DX$16,1,V146),1))),0)</f>
        <v>4400</v>
      </c>
      <c r="W152" s="28">
        <f>IF(W148=1,IF(INDEX('Lease Cycles'!$EF$16:$EL$16,1,W146)=1,W149*INDEX('Lease Cycles'!$EM$16:$ES$16,1,W146)+W150*IF(W147&lt;INDEX('Lease Cycles'!$FA$16:$FG$16,1,W146),0,1-INDEX('Lease Cycles'!$EM$16:$ES$16,1,W146)),W149*IF(W147&lt;INDEX('Lease Cycles'!$DK$16:$DQ$16,1,W146),0,IF(W147=INDEX('Lease Cycles'!$DK$16:$DQ$16,1,W146),1-INDEX('Lease Cycles'!$DR$16:$DX$16,1,W146),1))),0)</f>
        <v>4400</v>
      </c>
      <c r="X152" s="28">
        <f>IF(X148=1,IF(INDEX('Lease Cycles'!$EF$16:$EL$16,1,X146)=1,X149*INDEX('Lease Cycles'!$EM$16:$ES$16,1,X146)+X150*IF(X147&lt;INDEX('Lease Cycles'!$FA$16:$FG$16,1,X146),0,1-INDEX('Lease Cycles'!$EM$16:$ES$16,1,X146)),X149*IF(X147&lt;INDEX('Lease Cycles'!$DK$16:$DQ$16,1,X146),0,IF(X147=INDEX('Lease Cycles'!$DK$16:$DQ$16,1,X146),1-INDEX('Lease Cycles'!$DR$16:$DX$16,1,X146),1))),0)</f>
        <v>4400</v>
      </c>
      <c r="Y152" s="28">
        <f>IF(Y148=1,IF(INDEX('Lease Cycles'!$EF$16:$EL$16,1,Y146)=1,Y149*INDEX('Lease Cycles'!$EM$16:$ES$16,1,Y146)+Y150*IF(Y147&lt;INDEX('Lease Cycles'!$FA$16:$FG$16,1,Y146),0,1-INDEX('Lease Cycles'!$EM$16:$ES$16,1,Y146)),Y149*IF(Y147&lt;INDEX('Lease Cycles'!$DK$16:$DQ$16,1,Y146),0,IF(Y147=INDEX('Lease Cycles'!$DK$16:$DQ$16,1,Y146),1-INDEX('Lease Cycles'!$DR$16:$DX$16,1,Y146),1))),0)</f>
        <v>4400</v>
      </c>
      <c r="Z152" s="28">
        <f>IF(Z148=1,IF(INDEX('Lease Cycles'!$EF$16:$EL$16,1,Z146)=1,Z149*INDEX('Lease Cycles'!$EM$16:$ES$16,1,Z146)+Z150*IF(Z147&lt;INDEX('Lease Cycles'!$FA$16:$FG$16,1,Z146),0,1-INDEX('Lease Cycles'!$EM$16:$ES$16,1,Z146)),Z149*IF(Z147&lt;INDEX('Lease Cycles'!$DK$16:$DQ$16,1,Z146),0,IF(Z147=INDEX('Lease Cycles'!$DK$16:$DQ$16,1,Z146),1-INDEX('Lease Cycles'!$DR$16:$DX$16,1,Z146),1))),0)</f>
        <v>4400</v>
      </c>
      <c r="AA152" s="28">
        <f>IF(AA148=1,IF(INDEX('Lease Cycles'!$EF$16:$EL$16,1,AA146)=1,AA149*INDEX('Lease Cycles'!$EM$16:$ES$16,1,AA146)+AA150*IF(AA147&lt;INDEX('Lease Cycles'!$FA$16:$FG$16,1,AA146),0,1-INDEX('Lease Cycles'!$EM$16:$ES$16,1,AA146)),AA149*IF(AA147&lt;INDEX('Lease Cycles'!$DK$16:$DQ$16,1,AA146),0,IF(AA147=INDEX('Lease Cycles'!$DK$16:$DQ$16,1,AA146),1-INDEX('Lease Cycles'!$DR$16:$DX$16,1,AA146),1))),0)</f>
        <v>4400</v>
      </c>
      <c r="AB152" s="28">
        <f>IF(AB148=1,IF(INDEX('Lease Cycles'!$EF$16:$EL$16,1,AB146)=1,AB149*INDEX('Lease Cycles'!$EM$16:$ES$16,1,AB146)+AB150*IF(AB147&lt;INDEX('Lease Cycles'!$FA$16:$FG$16,1,AB146),0,1-INDEX('Lease Cycles'!$EM$16:$ES$16,1,AB146)),AB149*IF(AB147&lt;INDEX('Lease Cycles'!$DK$16:$DQ$16,1,AB146),0,IF(AB147=INDEX('Lease Cycles'!$DK$16:$DQ$16,1,AB146),1-INDEX('Lease Cycles'!$DR$16:$DX$16,1,AB146),1))),0)</f>
        <v>4400</v>
      </c>
      <c r="AC152" s="28">
        <f>IF(AC148=1,IF(INDEX('Lease Cycles'!$EF$16:$EL$16,1,AC146)=1,AC149*INDEX('Lease Cycles'!$EM$16:$ES$16,1,AC146)+AC150*IF(AC147&lt;INDEX('Lease Cycles'!$FA$16:$FG$16,1,AC146),0,1-INDEX('Lease Cycles'!$EM$16:$ES$16,1,AC146)),AC149*IF(AC147&lt;INDEX('Lease Cycles'!$DK$16:$DQ$16,1,AC146),0,IF(AC147=INDEX('Lease Cycles'!$DK$16:$DQ$16,1,AC146),1-INDEX('Lease Cycles'!$DR$16:$DX$16,1,AC146),1))),0)</f>
        <v>4400</v>
      </c>
      <c r="AD152" s="28">
        <f>IF(AD148=1,IF(INDEX('Lease Cycles'!$EF$16:$EL$16,1,AD146)=1,AD149*INDEX('Lease Cycles'!$EM$16:$ES$16,1,AD146)+AD150*IF(AD147&lt;INDEX('Lease Cycles'!$FA$16:$FG$16,1,AD146),0,1-INDEX('Lease Cycles'!$EM$16:$ES$16,1,AD146)),AD149*IF(AD147&lt;INDEX('Lease Cycles'!$DK$16:$DQ$16,1,AD146),0,IF(AD147=INDEX('Lease Cycles'!$DK$16:$DQ$16,1,AD146),1-INDEX('Lease Cycles'!$DR$16:$DX$16,1,AD146),1))),0)</f>
        <v>4400</v>
      </c>
      <c r="AE152" s="28">
        <f>IF(AE148=1,IF(INDEX('Lease Cycles'!$EF$16:$EL$16,1,AE146)=1,AE149*INDEX('Lease Cycles'!$EM$16:$ES$16,1,AE146)+AE150*IF(AE147&lt;INDEX('Lease Cycles'!$FA$16:$FG$16,1,AE146),0,1-INDEX('Lease Cycles'!$EM$16:$ES$16,1,AE146)),AE149*IF(AE147&lt;INDEX('Lease Cycles'!$DK$16:$DQ$16,1,AE146),0,IF(AE147=INDEX('Lease Cycles'!$DK$16:$DQ$16,1,AE146),1-INDEX('Lease Cycles'!$DR$16:$DX$16,1,AE146),1))),0)</f>
        <v>4400</v>
      </c>
      <c r="AF152" s="28">
        <f>IF(AF148=1,IF(INDEX('Lease Cycles'!$EF$16:$EL$16,1,AF146)=1,AF149*INDEX('Lease Cycles'!$EM$16:$ES$16,1,AF146)+AF150*IF(AF147&lt;INDEX('Lease Cycles'!$FA$16:$FG$16,1,AF146),0,1-INDEX('Lease Cycles'!$EM$16:$ES$16,1,AF146)),AF149*IF(AF147&lt;INDEX('Lease Cycles'!$DK$16:$DQ$16,1,AF146),0,IF(AF147=INDEX('Lease Cycles'!$DK$16:$DQ$16,1,AF146),1-INDEX('Lease Cycles'!$DR$16:$DX$16,1,AF146),1))),0)</f>
        <v>4400</v>
      </c>
      <c r="AG152" s="28">
        <f>IF(AG148=1,IF(INDEX('Lease Cycles'!$EF$16:$EL$16,1,AG146)=1,AG149*INDEX('Lease Cycles'!$EM$16:$ES$16,1,AG146)+AG150*IF(AG147&lt;INDEX('Lease Cycles'!$FA$16:$FG$16,1,AG146),0,1-INDEX('Lease Cycles'!$EM$16:$ES$16,1,AG146)),AG149*IF(AG147&lt;INDEX('Lease Cycles'!$DK$16:$DQ$16,1,AG146),0,IF(AG147=INDEX('Lease Cycles'!$DK$16:$DQ$16,1,AG146),1-INDEX('Lease Cycles'!$DR$16:$DX$16,1,AG146),1))),0)</f>
        <v>4400</v>
      </c>
      <c r="AH152" s="28">
        <f>IF(AH148=1,IF(INDEX('Lease Cycles'!$EF$16:$EL$16,1,AH146)=1,AH149*INDEX('Lease Cycles'!$EM$16:$ES$16,1,AH146)+AH150*IF(AH147&lt;INDEX('Lease Cycles'!$FA$16:$FG$16,1,AH146),0,1-INDEX('Lease Cycles'!$EM$16:$ES$16,1,AH146)),AH149*IF(AH147&lt;INDEX('Lease Cycles'!$DK$16:$DQ$16,1,AH146),0,IF(AH147=INDEX('Lease Cycles'!$DK$16:$DQ$16,1,AH146),1-INDEX('Lease Cycles'!$DR$16:$DX$16,1,AH146),1))),0)</f>
        <v>4400</v>
      </c>
      <c r="AI152" s="28">
        <f>IF(AI148=1,IF(INDEX('Lease Cycles'!$EF$16:$EL$16,1,AI146)=1,AI149*INDEX('Lease Cycles'!$EM$16:$ES$16,1,AI146)+AI150*IF(AI147&lt;INDEX('Lease Cycles'!$FA$16:$FG$16,1,AI146),0,1-INDEX('Lease Cycles'!$EM$16:$ES$16,1,AI146)),AI149*IF(AI147&lt;INDEX('Lease Cycles'!$DK$16:$DQ$16,1,AI146),0,IF(AI147=INDEX('Lease Cycles'!$DK$16:$DQ$16,1,AI146),1-INDEX('Lease Cycles'!$DR$16:$DX$16,1,AI146),1))),0)</f>
        <v>4400</v>
      </c>
      <c r="AJ152" s="28">
        <f>IF(AJ148=1,IF(INDEX('Lease Cycles'!$EF$16:$EL$16,1,AJ146)=1,AJ149*INDEX('Lease Cycles'!$EM$16:$ES$16,1,AJ146)+AJ150*IF(AJ147&lt;INDEX('Lease Cycles'!$FA$16:$FG$16,1,AJ146),0,1-INDEX('Lease Cycles'!$EM$16:$ES$16,1,AJ146)),AJ149*IF(AJ147&lt;INDEX('Lease Cycles'!$DK$16:$DQ$16,1,AJ146),0,IF(AJ147=INDEX('Lease Cycles'!$DK$16:$DQ$16,1,AJ146),1-INDEX('Lease Cycles'!$DR$16:$DX$16,1,AJ146),1))),0)</f>
        <v>4400</v>
      </c>
      <c r="AK152" s="28">
        <f>IF(AK148=1,IF(INDEX('Lease Cycles'!$EF$16:$EL$16,1,AK146)=1,AK149*INDEX('Lease Cycles'!$EM$16:$ES$16,1,AK146)+AK150*IF(AK147&lt;INDEX('Lease Cycles'!$FA$16:$FG$16,1,AK146),0,1-INDEX('Lease Cycles'!$EM$16:$ES$16,1,AK146)),AK149*IF(AK147&lt;INDEX('Lease Cycles'!$DK$16:$DQ$16,1,AK146),0,IF(AK147=INDEX('Lease Cycles'!$DK$16:$DQ$16,1,AK146),1-INDEX('Lease Cycles'!$DR$16:$DX$16,1,AK146),1))),0)</f>
        <v>4400</v>
      </c>
      <c r="AL152" s="28">
        <f>IF(AL148=1,IF(INDEX('Lease Cycles'!$EF$16:$EL$16,1,AL146)=1,AL149*INDEX('Lease Cycles'!$EM$16:$ES$16,1,AL146)+AL150*IF(AL147&lt;INDEX('Lease Cycles'!$FA$16:$FG$16,1,AL146),0,1-INDEX('Lease Cycles'!$EM$16:$ES$16,1,AL146)),AL149*IF(AL147&lt;INDEX('Lease Cycles'!$DK$16:$DQ$16,1,AL146),0,IF(AL147=INDEX('Lease Cycles'!$DK$16:$DQ$16,1,AL146),1-INDEX('Lease Cycles'!$DR$16:$DX$16,1,AL146),1))),0)</f>
        <v>4400</v>
      </c>
      <c r="AM152" s="28">
        <f>IF(AM148=1,IF(INDEX('Lease Cycles'!$EF$16:$EL$16,1,AM146)=1,AM149*INDEX('Lease Cycles'!$EM$16:$ES$16,1,AM146)+AM150*IF(AM147&lt;INDEX('Lease Cycles'!$FA$16:$FG$16,1,AM146),0,1-INDEX('Lease Cycles'!$EM$16:$ES$16,1,AM146)),AM149*IF(AM147&lt;INDEX('Lease Cycles'!$DK$16:$DQ$16,1,AM146),0,IF(AM147=INDEX('Lease Cycles'!$DK$16:$DQ$16,1,AM146),1-INDEX('Lease Cycles'!$DR$16:$DX$16,1,AM146),1))),0)</f>
        <v>4400</v>
      </c>
      <c r="AN152" s="28">
        <f>IF(AN148=1,IF(INDEX('Lease Cycles'!$EF$16:$EL$16,1,AN146)=1,AN149*INDEX('Lease Cycles'!$EM$16:$ES$16,1,AN146)+AN150*IF(AN147&lt;INDEX('Lease Cycles'!$FA$16:$FG$16,1,AN146),0,1-INDEX('Lease Cycles'!$EM$16:$ES$16,1,AN146)),AN149*IF(AN147&lt;INDEX('Lease Cycles'!$DK$16:$DQ$16,1,AN146),0,IF(AN147=INDEX('Lease Cycles'!$DK$16:$DQ$16,1,AN146),1-INDEX('Lease Cycles'!$DR$16:$DX$16,1,AN146),1))),0)</f>
        <v>4400</v>
      </c>
      <c r="AO152" s="28">
        <f>IF(AO148=1,IF(INDEX('Lease Cycles'!$EF$16:$EL$16,1,AO146)=1,AO149*INDEX('Lease Cycles'!$EM$16:$ES$16,1,AO146)+AO150*IF(AO147&lt;INDEX('Lease Cycles'!$FA$16:$FG$16,1,AO146),0,1-INDEX('Lease Cycles'!$EM$16:$ES$16,1,AO146)),AO149*IF(AO147&lt;INDEX('Lease Cycles'!$DK$16:$DQ$16,1,AO146),0,IF(AO147=INDEX('Lease Cycles'!$DK$16:$DQ$16,1,AO146),1-INDEX('Lease Cycles'!$DR$16:$DX$16,1,AO146),1))),0)</f>
        <v>4400</v>
      </c>
      <c r="AP152" s="28">
        <f>IF(AP148=1,IF(INDEX('Lease Cycles'!$EF$16:$EL$16,1,AP146)=1,AP149*INDEX('Lease Cycles'!$EM$16:$ES$16,1,AP146)+AP150*IF(AP147&lt;INDEX('Lease Cycles'!$FA$16:$FG$16,1,AP146),0,1-INDEX('Lease Cycles'!$EM$16:$ES$16,1,AP146)),AP149*IF(AP147&lt;INDEX('Lease Cycles'!$DK$16:$DQ$16,1,AP146),0,IF(AP147=INDEX('Lease Cycles'!$DK$16:$DQ$16,1,AP146),1-INDEX('Lease Cycles'!$DR$16:$DX$16,1,AP146),1))),0)</f>
        <v>4400</v>
      </c>
      <c r="AQ152" s="28">
        <f>IF(AQ148=1,IF(INDEX('Lease Cycles'!$EF$16:$EL$16,1,AQ146)=1,AQ149*INDEX('Lease Cycles'!$EM$16:$ES$16,1,AQ146)+AQ150*IF(AQ147&lt;INDEX('Lease Cycles'!$FA$16:$FG$16,1,AQ146),0,1-INDEX('Lease Cycles'!$EM$16:$ES$16,1,AQ146)),AQ149*IF(AQ147&lt;INDEX('Lease Cycles'!$DK$16:$DQ$16,1,AQ146),0,IF(AQ147=INDEX('Lease Cycles'!$DK$16:$DQ$16,1,AQ146),1-INDEX('Lease Cycles'!$DR$16:$DX$16,1,AQ146),1))),0)</f>
        <v>4400</v>
      </c>
      <c r="AR152" s="28">
        <f>IF(AR148=1,IF(INDEX('Lease Cycles'!$EF$16:$EL$16,1,AR146)=1,AR149*INDEX('Lease Cycles'!$EM$16:$ES$16,1,AR146)+AR150*IF(AR147&lt;INDEX('Lease Cycles'!$FA$16:$FG$16,1,AR146),0,1-INDEX('Lease Cycles'!$EM$16:$ES$16,1,AR146)),AR149*IF(AR147&lt;INDEX('Lease Cycles'!$DK$16:$DQ$16,1,AR146),0,IF(AR147=INDEX('Lease Cycles'!$DK$16:$DQ$16,1,AR146),1-INDEX('Lease Cycles'!$DR$16:$DX$16,1,AR146),1))),0)</f>
        <v>4400</v>
      </c>
      <c r="AS152" s="28">
        <f>IF(AS148=1,IF(INDEX('Lease Cycles'!$EF$16:$EL$16,1,AS146)=1,AS149*INDEX('Lease Cycles'!$EM$16:$ES$16,1,AS146)+AS150*IF(AS147&lt;INDEX('Lease Cycles'!$FA$16:$FG$16,1,AS146),0,1-INDEX('Lease Cycles'!$EM$16:$ES$16,1,AS146)),AS149*IF(AS147&lt;INDEX('Lease Cycles'!$DK$16:$DQ$16,1,AS146),0,IF(AS147=INDEX('Lease Cycles'!$DK$16:$DQ$16,1,AS146),1-INDEX('Lease Cycles'!$DR$16:$DX$16,1,AS146),1))),0)</f>
        <v>4400</v>
      </c>
      <c r="AT152" s="28">
        <f>IF(AT148=1,IF(INDEX('Lease Cycles'!$EF$16:$EL$16,1,AT146)=1,AT149*INDEX('Lease Cycles'!$EM$16:$ES$16,1,AT146)+AT150*IF(AT147&lt;INDEX('Lease Cycles'!$FA$16:$FG$16,1,AT146),0,1-INDEX('Lease Cycles'!$EM$16:$ES$16,1,AT146)),AT149*IF(AT147&lt;INDEX('Lease Cycles'!$DK$16:$DQ$16,1,AT146),0,IF(AT147=INDEX('Lease Cycles'!$DK$16:$DQ$16,1,AT146),1-INDEX('Lease Cycles'!$DR$16:$DX$16,1,AT146),1))),0)</f>
        <v>4400</v>
      </c>
      <c r="AU152" s="28">
        <f>IF(AU148=1,IF(INDEX('Lease Cycles'!$EF$16:$EL$16,1,AU146)=1,AU149*INDEX('Lease Cycles'!$EM$16:$ES$16,1,AU146)+AU150*IF(AU147&lt;INDEX('Lease Cycles'!$FA$16:$FG$16,1,AU146),0,1-INDEX('Lease Cycles'!$EM$16:$ES$16,1,AU146)),AU149*IF(AU147&lt;INDEX('Lease Cycles'!$DK$16:$DQ$16,1,AU146),0,IF(AU147=INDEX('Lease Cycles'!$DK$16:$DQ$16,1,AU146),1-INDEX('Lease Cycles'!$DR$16:$DX$16,1,AU146),1))),0)</f>
        <v>4400</v>
      </c>
      <c r="AV152" s="28">
        <f>IF(AV148=1,IF(INDEX('Lease Cycles'!$EF$16:$EL$16,1,AV146)=1,AV149*INDEX('Lease Cycles'!$EM$16:$ES$16,1,AV146)+AV150*IF(AV147&lt;INDEX('Lease Cycles'!$FA$16:$FG$16,1,AV146),0,1-INDEX('Lease Cycles'!$EM$16:$ES$16,1,AV146)),AV149*IF(AV147&lt;INDEX('Lease Cycles'!$DK$16:$DQ$16,1,AV146),0,IF(AV147=INDEX('Lease Cycles'!$DK$16:$DQ$16,1,AV146),1-INDEX('Lease Cycles'!$DR$16:$DX$16,1,AV146),1))),0)</f>
        <v>4400</v>
      </c>
      <c r="AW152" s="28">
        <f>IF(AW148=1,IF(INDEX('Lease Cycles'!$EF$16:$EL$16,1,AW146)=1,AW149*INDEX('Lease Cycles'!$EM$16:$ES$16,1,AW146)+AW150*IF(AW147&lt;INDEX('Lease Cycles'!$FA$16:$FG$16,1,AW146),0,1-INDEX('Lease Cycles'!$EM$16:$ES$16,1,AW146)),AW149*IF(AW147&lt;INDEX('Lease Cycles'!$DK$16:$DQ$16,1,AW146),0,IF(AW147=INDEX('Lease Cycles'!$DK$16:$DQ$16,1,AW146),1-INDEX('Lease Cycles'!$DR$16:$DX$16,1,AW146),1))),0)</f>
        <v>4400</v>
      </c>
      <c r="AX152" s="28">
        <f>IF(AX148=1,IF(INDEX('Lease Cycles'!$EF$16:$EL$16,1,AX146)=1,AX149*INDEX('Lease Cycles'!$EM$16:$ES$16,1,AX146)+AX150*IF(AX147&lt;INDEX('Lease Cycles'!$FA$16:$FG$16,1,AX146),0,1-INDEX('Lease Cycles'!$EM$16:$ES$16,1,AX146)),AX149*IF(AX147&lt;INDEX('Lease Cycles'!$DK$16:$DQ$16,1,AX146),0,IF(AX147=INDEX('Lease Cycles'!$DK$16:$DQ$16,1,AX146),1-INDEX('Lease Cycles'!$DR$16:$DX$16,1,AX146),1))),0)</f>
        <v>4400</v>
      </c>
      <c r="AY152" s="28">
        <f>IF(AY148=1,IF(INDEX('Lease Cycles'!$EF$16:$EL$16,1,AY146)=1,AY149*INDEX('Lease Cycles'!$EM$16:$ES$16,1,AY146)+AY150*IF(AY147&lt;INDEX('Lease Cycles'!$FA$16:$FG$16,1,AY146),0,1-INDEX('Lease Cycles'!$EM$16:$ES$16,1,AY146)),AY149*IF(AY147&lt;INDEX('Lease Cycles'!$DK$16:$DQ$16,1,AY146),0,IF(AY147=INDEX('Lease Cycles'!$DK$16:$DQ$16,1,AY146),1-INDEX('Lease Cycles'!$DR$16:$DX$16,1,AY146),1))),0)</f>
        <v>4400</v>
      </c>
      <c r="AZ152" s="28">
        <f>IF(AZ148=1,IF(INDEX('Lease Cycles'!$EF$16:$EL$16,1,AZ146)=1,AZ149*INDEX('Lease Cycles'!$EM$16:$ES$16,1,AZ146)+AZ150*IF(AZ147&lt;INDEX('Lease Cycles'!$FA$16:$FG$16,1,AZ146),0,1-INDEX('Lease Cycles'!$EM$16:$ES$16,1,AZ146)),AZ149*IF(AZ147&lt;INDEX('Lease Cycles'!$DK$16:$DQ$16,1,AZ146),0,IF(AZ147=INDEX('Lease Cycles'!$DK$16:$DQ$16,1,AZ146),1-INDEX('Lease Cycles'!$DR$16:$DX$16,1,AZ146),1))),0)</f>
        <v>4400</v>
      </c>
      <c r="BA152" s="28">
        <f>IF(BA148=1,IF(INDEX('Lease Cycles'!$EF$16:$EL$16,1,BA146)=1,BA149*INDEX('Lease Cycles'!$EM$16:$ES$16,1,BA146)+BA150*IF(BA147&lt;INDEX('Lease Cycles'!$FA$16:$FG$16,1,BA146),0,1-INDEX('Lease Cycles'!$EM$16:$ES$16,1,BA146)),BA149*IF(BA147&lt;INDEX('Lease Cycles'!$DK$16:$DQ$16,1,BA146),0,IF(BA147=INDEX('Lease Cycles'!$DK$16:$DQ$16,1,BA146),1-INDEX('Lease Cycles'!$DR$16:$DX$16,1,BA146),1))),0)</f>
        <v>4400</v>
      </c>
      <c r="BB152" s="28">
        <f>IF(BB148=1,IF(INDEX('Lease Cycles'!$EF$16:$EL$16,1,BB146)=1,BB149*INDEX('Lease Cycles'!$EM$16:$ES$16,1,BB146)+BB150*IF(BB147&lt;INDEX('Lease Cycles'!$FA$16:$FG$16,1,BB146),0,1-INDEX('Lease Cycles'!$EM$16:$ES$16,1,BB146)),BB149*IF(BB147&lt;INDEX('Lease Cycles'!$DK$16:$DQ$16,1,BB146),0,IF(BB147=INDEX('Lease Cycles'!$DK$16:$DQ$16,1,BB146),1-INDEX('Lease Cycles'!$DR$16:$DX$16,1,BB146),1))),0)</f>
        <v>4400</v>
      </c>
      <c r="BC152" s="28">
        <f>IF(BC148=1,IF(INDEX('Lease Cycles'!$EF$16:$EL$16,1,BC146)=1,BC149*INDEX('Lease Cycles'!$EM$16:$ES$16,1,BC146)+BC150*IF(BC147&lt;INDEX('Lease Cycles'!$FA$16:$FG$16,1,BC146),0,1-INDEX('Lease Cycles'!$EM$16:$ES$16,1,BC146)),BC149*IF(BC147&lt;INDEX('Lease Cycles'!$DK$16:$DQ$16,1,BC146),0,IF(BC147=INDEX('Lease Cycles'!$DK$16:$DQ$16,1,BC146),1-INDEX('Lease Cycles'!$DR$16:$DX$16,1,BC146),1))),0)</f>
        <v>4400</v>
      </c>
      <c r="BD152" s="28">
        <f>IF(BD148=1,IF(INDEX('Lease Cycles'!$EF$16:$EL$16,1,BD146)=1,BD149*INDEX('Lease Cycles'!$EM$16:$ES$16,1,BD146)+BD150*IF(BD147&lt;INDEX('Lease Cycles'!$FA$16:$FG$16,1,BD146),0,1-INDEX('Lease Cycles'!$EM$16:$ES$16,1,BD146)),BD149*IF(BD147&lt;INDEX('Lease Cycles'!$DK$16:$DQ$16,1,BD146),0,IF(BD147=INDEX('Lease Cycles'!$DK$16:$DQ$16,1,BD146),1-INDEX('Lease Cycles'!$DR$16:$DX$16,1,BD146),1))),0)</f>
        <v>4400</v>
      </c>
      <c r="BE152" s="28">
        <f>IF(BE148=1,IF(INDEX('Lease Cycles'!$EF$16:$EL$16,1,BE146)=1,BE149*INDEX('Lease Cycles'!$EM$16:$ES$16,1,BE146)+BE150*IF(BE147&lt;INDEX('Lease Cycles'!$FA$16:$FG$16,1,BE146),0,1-INDEX('Lease Cycles'!$EM$16:$ES$16,1,BE146)),BE149*IF(BE147&lt;INDEX('Lease Cycles'!$DK$16:$DQ$16,1,BE146),0,IF(BE147=INDEX('Lease Cycles'!$DK$16:$DQ$16,1,BE146),1-INDEX('Lease Cycles'!$DR$16:$DX$16,1,BE146),1))),0)</f>
        <v>4400</v>
      </c>
      <c r="BF152" s="28">
        <f>IF(BF148=1,IF(INDEX('Lease Cycles'!$EF$16:$EL$16,1,BF146)=1,BF149*INDEX('Lease Cycles'!$EM$16:$ES$16,1,BF146)+BF150*IF(BF147&lt;INDEX('Lease Cycles'!$FA$16:$FG$16,1,BF146),0,1-INDEX('Lease Cycles'!$EM$16:$ES$16,1,BF146)),BF149*IF(BF147&lt;INDEX('Lease Cycles'!$DK$16:$DQ$16,1,BF146),0,IF(BF147=INDEX('Lease Cycles'!$DK$16:$DQ$16,1,BF146),1-INDEX('Lease Cycles'!$DR$16:$DX$16,1,BF146),1))),0)</f>
        <v>4400</v>
      </c>
      <c r="BG152" s="28">
        <f>IF(BG148=1,IF(INDEX('Lease Cycles'!$EF$16:$EL$16,1,BG146)=1,BG149*INDEX('Lease Cycles'!$EM$16:$ES$16,1,BG146)+BG150*IF(BG147&lt;INDEX('Lease Cycles'!$FA$16:$FG$16,1,BG146),0,1-INDEX('Lease Cycles'!$EM$16:$ES$16,1,BG146)),BG149*IF(BG147&lt;INDEX('Lease Cycles'!$DK$16:$DQ$16,1,BG146),0,IF(BG147=INDEX('Lease Cycles'!$DK$16:$DQ$16,1,BG146),1-INDEX('Lease Cycles'!$DR$16:$DX$16,1,BG146),1))),0)</f>
        <v>4400</v>
      </c>
      <c r="BH152" s="28">
        <f>IF(BH148=1,IF(INDEX('Lease Cycles'!$EF$16:$EL$16,1,BH146)=1,BH149*INDEX('Lease Cycles'!$EM$16:$ES$16,1,BH146)+BH150*IF(BH147&lt;INDEX('Lease Cycles'!$FA$16:$FG$16,1,BH146),0,1-INDEX('Lease Cycles'!$EM$16:$ES$16,1,BH146)),BH149*IF(BH147&lt;INDEX('Lease Cycles'!$DK$16:$DQ$16,1,BH146),0,IF(BH147=INDEX('Lease Cycles'!$DK$16:$DQ$16,1,BH146),1-INDEX('Lease Cycles'!$DR$16:$DX$16,1,BH146),1))),0)</f>
        <v>4400</v>
      </c>
      <c r="BI152" s="28">
        <f>IF(BI148=1,IF(INDEX('Lease Cycles'!$EF$16:$EL$16,1,BI146)=1,BI149*INDEX('Lease Cycles'!$EM$16:$ES$16,1,BI146)+BI150*IF(BI147&lt;INDEX('Lease Cycles'!$FA$16:$FG$16,1,BI146),0,1-INDEX('Lease Cycles'!$EM$16:$ES$16,1,BI146)),BI149*IF(BI147&lt;INDEX('Lease Cycles'!$DK$16:$DQ$16,1,BI146),0,IF(BI147=INDEX('Lease Cycles'!$DK$16:$DQ$16,1,BI146),1-INDEX('Lease Cycles'!$DR$16:$DX$16,1,BI146),1))),0)</f>
        <v>4400</v>
      </c>
      <c r="BJ152" s="28">
        <f>IF(BJ148=1,IF(INDEX('Lease Cycles'!$EF$16:$EL$16,1,BJ146)=1,BJ149*INDEX('Lease Cycles'!$EM$16:$ES$16,1,BJ146)+BJ150*IF(BJ147&lt;INDEX('Lease Cycles'!$FA$16:$FG$16,1,BJ146),0,1-INDEX('Lease Cycles'!$EM$16:$ES$16,1,BJ146)),BJ149*IF(BJ147&lt;INDEX('Lease Cycles'!$DK$16:$DQ$16,1,BJ146),0,IF(BJ147=INDEX('Lease Cycles'!$DK$16:$DQ$16,1,BJ146),1-INDEX('Lease Cycles'!$DR$16:$DX$16,1,BJ146),1))),0)</f>
        <v>4400</v>
      </c>
      <c r="BK152" s="28">
        <f>IF(BK148=1,IF(INDEX('Lease Cycles'!$EF$16:$EL$16,1,BK146)=1,BK149*INDEX('Lease Cycles'!$EM$16:$ES$16,1,BK146)+BK150*IF(BK147&lt;INDEX('Lease Cycles'!$FA$16:$FG$16,1,BK146),0,1-INDEX('Lease Cycles'!$EM$16:$ES$16,1,BK146)),BK149*IF(BK147&lt;INDEX('Lease Cycles'!$DK$16:$DQ$16,1,BK146),0,IF(BK147=INDEX('Lease Cycles'!$DK$16:$DQ$16,1,BK146),1-INDEX('Lease Cycles'!$DR$16:$DX$16,1,BK146),1))),0)</f>
        <v>4400</v>
      </c>
      <c r="BL152" s="28">
        <f>IF(BL148=1,IF(INDEX('Lease Cycles'!$EF$16:$EL$16,1,BL146)=1,BL149*INDEX('Lease Cycles'!$EM$16:$ES$16,1,BL146)+BL150*IF(BL147&lt;INDEX('Lease Cycles'!$FA$16:$FG$16,1,BL146),0,1-INDEX('Lease Cycles'!$EM$16:$ES$16,1,BL146)),BL149*IF(BL147&lt;INDEX('Lease Cycles'!$DK$16:$DQ$16,1,BL146),0,IF(BL147=INDEX('Lease Cycles'!$DK$16:$DQ$16,1,BL146),1-INDEX('Lease Cycles'!$DR$16:$DX$16,1,BL146),1))),0)</f>
        <v>4400</v>
      </c>
      <c r="BM152" s="28">
        <f>IF(BM148=1,IF(INDEX('Lease Cycles'!$EF$16:$EL$16,1,BM146)=1,BM149*INDEX('Lease Cycles'!$EM$16:$ES$16,1,BM146)+BM150*IF(BM147&lt;INDEX('Lease Cycles'!$FA$16:$FG$16,1,BM146),0,1-INDEX('Lease Cycles'!$EM$16:$ES$16,1,BM146)),BM149*IF(BM147&lt;INDEX('Lease Cycles'!$DK$16:$DQ$16,1,BM146),0,IF(BM147=INDEX('Lease Cycles'!$DK$16:$DQ$16,1,BM146),1-INDEX('Lease Cycles'!$DR$16:$DX$16,1,BM146),1))),0)</f>
        <v>4400</v>
      </c>
      <c r="BN152" s="28">
        <f>IF(BN148=1,IF(INDEX('Lease Cycles'!$EF$16:$EL$16,1,BN146)=1,BN149*INDEX('Lease Cycles'!$EM$16:$ES$16,1,BN146)+BN150*IF(BN147&lt;INDEX('Lease Cycles'!$FA$16:$FG$16,1,BN146),0,1-INDEX('Lease Cycles'!$EM$16:$ES$16,1,BN146)),BN149*IF(BN147&lt;INDEX('Lease Cycles'!$DK$16:$DQ$16,1,BN146),0,IF(BN147=INDEX('Lease Cycles'!$DK$16:$DQ$16,1,BN146),1-INDEX('Lease Cycles'!$DR$16:$DX$16,1,BN146),1))),0)</f>
        <v>4400</v>
      </c>
      <c r="BO152" s="28">
        <f>IF(BO148=1,IF(INDEX('Lease Cycles'!$EF$16:$EL$16,1,BO146)=1,BO149*INDEX('Lease Cycles'!$EM$16:$ES$16,1,BO146)+BO150*IF(BO147&lt;INDEX('Lease Cycles'!$FA$16:$FG$16,1,BO146),0,1-INDEX('Lease Cycles'!$EM$16:$ES$16,1,BO146)),BO149*IF(BO147&lt;INDEX('Lease Cycles'!$DK$16:$DQ$16,1,BO146),0,IF(BO147=INDEX('Lease Cycles'!$DK$16:$DQ$16,1,BO146),1-INDEX('Lease Cycles'!$DR$16:$DX$16,1,BO146),1))),0)</f>
        <v>4400</v>
      </c>
      <c r="BP152" s="28">
        <f>IF(BP148=1,IF(INDEX('Lease Cycles'!$EF$16:$EL$16,1,BP146)=1,BP149*INDEX('Lease Cycles'!$EM$16:$ES$16,1,BP146)+BP150*IF(BP147&lt;INDEX('Lease Cycles'!$FA$16:$FG$16,1,BP146),0,1-INDEX('Lease Cycles'!$EM$16:$ES$16,1,BP146)),BP149*IF(BP147&lt;INDEX('Lease Cycles'!$DK$16:$DQ$16,1,BP146),0,IF(BP147=INDEX('Lease Cycles'!$DK$16:$DQ$16,1,BP146),1-INDEX('Lease Cycles'!$DR$16:$DX$16,1,BP146),1))),0)</f>
        <v>4400</v>
      </c>
      <c r="BQ152" s="28">
        <f>IF(BQ148=1,IF(INDEX('Lease Cycles'!$EF$16:$EL$16,1,BQ146)=1,BQ149*INDEX('Lease Cycles'!$EM$16:$ES$16,1,BQ146)+BQ150*IF(BQ147&lt;INDEX('Lease Cycles'!$FA$16:$FG$16,1,BQ146),0,1-INDEX('Lease Cycles'!$EM$16:$ES$16,1,BQ146)),BQ149*IF(BQ147&lt;INDEX('Lease Cycles'!$DK$16:$DQ$16,1,BQ146),0,IF(BQ147=INDEX('Lease Cycles'!$DK$16:$DQ$16,1,BQ146),1-INDEX('Lease Cycles'!$DR$16:$DX$16,1,BQ146),1))),0)</f>
        <v>4400</v>
      </c>
      <c r="BR152" s="28">
        <f>IF(BR148=1,IF(INDEX('Lease Cycles'!$EF$16:$EL$16,1,BR146)=1,BR149*INDEX('Lease Cycles'!$EM$16:$ES$16,1,BR146)+BR150*IF(BR147&lt;INDEX('Lease Cycles'!$FA$16:$FG$16,1,BR146),0,1-INDEX('Lease Cycles'!$EM$16:$ES$16,1,BR146)),BR149*IF(BR147&lt;INDEX('Lease Cycles'!$DK$16:$DQ$16,1,BR146),0,IF(BR147=INDEX('Lease Cycles'!$DK$16:$DQ$16,1,BR146),1-INDEX('Lease Cycles'!$DR$16:$DX$16,1,BR146),1))),0)</f>
        <v>4400</v>
      </c>
      <c r="BS152" s="28">
        <f>IF(BS148=1,IF(INDEX('Lease Cycles'!$EF$16:$EL$16,1,BS146)=1,BS149*INDEX('Lease Cycles'!$EM$16:$ES$16,1,BS146)+BS150*IF(BS147&lt;INDEX('Lease Cycles'!$FA$16:$FG$16,1,BS146),0,1-INDEX('Lease Cycles'!$EM$16:$ES$16,1,BS146)),BS149*IF(BS147&lt;INDEX('Lease Cycles'!$DK$16:$DQ$16,1,BS146),0,IF(BS147=INDEX('Lease Cycles'!$DK$16:$DQ$16,1,BS146),1-INDEX('Lease Cycles'!$DR$16:$DX$16,1,BS146),1))),0)</f>
        <v>4400</v>
      </c>
      <c r="BT152" s="28">
        <f>IF(BT148=1,IF(INDEX('Lease Cycles'!$EF$16:$EL$16,1,BT146)=1,BT149*INDEX('Lease Cycles'!$EM$16:$ES$16,1,BT146)+BT150*IF(BT147&lt;INDEX('Lease Cycles'!$FA$16:$FG$16,1,BT146),0,1-INDEX('Lease Cycles'!$EM$16:$ES$16,1,BT146)),BT149*IF(BT147&lt;INDEX('Lease Cycles'!$DK$16:$DQ$16,1,BT146),0,IF(BT147=INDEX('Lease Cycles'!$DK$16:$DQ$16,1,BT146),1-INDEX('Lease Cycles'!$DR$16:$DX$16,1,BT146),1))),0)</f>
        <v>4400</v>
      </c>
      <c r="BU152" s="28">
        <f>IF(BU148=1,IF(INDEX('Lease Cycles'!$EF$16:$EL$16,1,BU146)=1,BU149*INDEX('Lease Cycles'!$EM$16:$ES$16,1,BU146)+BU150*IF(BU147&lt;INDEX('Lease Cycles'!$FA$16:$FG$16,1,BU146),0,1-INDEX('Lease Cycles'!$EM$16:$ES$16,1,BU146)),BU149*IF(BU147&lt;INDEX('Lease Cycles'!$DK$16:$DQ$16,1,BU146),0,IF(BU147=INDEX('Lease Cycles'!$DK$16:$DQ$16,1,BU146),1-INDEX('Lease Cycles'!$DR$16:$DX$16,1,BU146),1))),0)</f>
        <v>4400</v>
      </c>
      <c r="BV152" s="28">
        <f>IF(BV148=1,IF(INDEX('Lease Cycles'!$EF$16:$EL$16,1,BV146)=1,BV149*INDEX('Lease Cycles'!$EM$16:$ES$16,1,BV146)+BV150*IF(BV147&lt;INDEX('Lease Cycles'!$FA$16:$FG$16,1,BV146),0,1-INDEX('Lease Cycles'!$EM$16:$ES$16,1,BV146)),BV149*IF(BV147&lt;INDEX('Lease Cycles'!$DK$16:$DQ$16,1,BV146),0,IF(BV147=INDEX('Lease Cycles'!$DK$16:$DQ$16,1,BV146),1-INDEX('Lease Cycles'!$DR$16:$DX$16,1,BV146),1))),0)</f>
        <v>4400</v>
      </c>
      <c r="BW152" s="28">
        <f>IF(BW148=1,IF(INDEX('Lease Cycles'!$EF$16:$EL$16,1,BW146)=1,BW149*INDEX('Lease Cycles'!$EM$16:$ES$16,1,BW146)+BW150*IF(BW147&lt;INDEX('Lease Cycles'!$FA$16:$FG$16,1,BW146),0,1-INDEX('Lease Cycles'!$EM$16:$ES$16,1,BW146)),BW149*IF(BW147&lt;INDEX('Lease Cycles'!$DK$16:$DQ$16,1,BW146),0,IF(BW147=INDEX('Lease Cycles'!$DK$16:$DQ$16,1,BW146),1-INDEX('Lease Cycles'!$DR$16:$DX$16,1,BW146),1))),0)</f>
        <v>4400</v>
      </c>
      <c r="BX152" s="28">
        <f>IF(BX148=1,IF(INDEX('Lease Cycles'!$EF$16:$EL$16,1,BX146)=1,BX149*INDEX('Lease Cycles'!$EM$16:$ES$16,1,BX146)+BX150*IF(BX147&lt;INDEX('Lease Cycles'!$FA$16:$FG$16,1,BX146),0,1-INDEX('Lease Cycles'!$EM$16:$ES$16,1,BX146)),BX149*IF(BX147&lt;INDEX('Lease Cycles'!$DK$16:$DQ$16,1,BX146),0,IF(BX147=INDEX('Lease Cycles'!$DK$16:$DQ$16,1,BX146),1-INDEX('Lease Cycles'!$DR$16:$DX$16,1,BX146),1))),0)</f>
        <v>0</v>
      </c>
      <c r="BY152" s="28">
        <f>IF(BY148=1,IF(INDEX('Lease Cycles'!$EF$16:$EL$16,1,BY146)=1,BY149*INDEX('Lease Cycles'!$EM$16:$ES$16,1,BY146)+BY150*IF(BY147&lt;INDEX('Lease Cycles'!$FA$16:$FG$16,1,BY146),0,1-INDEX('Lease Cycles'!$EM$16:$ES$16,1,BY146)),BY149*IF(BY147&lt;INDEX('Lease Cycles'!$DK$16:$DQ$16,1,BY146),0,IF(BY147=INDEX('Lease Cycles'!$DK$16:$DQ$16,1,BY146),1-INDEX('Lease Cycles'!$DR$16:$DX$16,1,BY146),1))),0)</f>
        <v>782.5097272880123</v>
      </c>
      <c r="BZ152" s="28">
        <f>IF(BZ148=1,IF(INDEX('Lease Cycles'!$EF$16:$EL$16,1,BZ146)=1,BZ149*INDEX('Lease Cycles'!$EM$16:$ES$16,1,BZ146)+BZ150*IF(BZ147&lt;INDEX('Lease Cycles'!$FA$16:$FG$16,1,BZ146),0,1-INDEX('Lease Cycles'!$EM$16:$ES$16,1,BZ146)),BZ149*IF(BZ147&lt;INDEX('Lease Cycles'!$DK$16:$DQ$16,1,BZ146),0,IF(BZ147=INDEX('Lease Cycles'!$DK$16:$DQ$16,1,BZ146),1-INDEX('Lease Cycles'!$DR$16:$DX$16,1,BZ146),1))),0)</f>
        <v>3912.5486364401145</v>
      </c>
      <c r="CA152" s="28">
        <f>IF(CA148=1,IF(INDEX('Lease Cycles'!$EF$16:$EL$16,1,CA146)=1,CA149*INDEX('Lease Cycles'!$EM$16:$ES$16,1,CA146)+CA150*IF(CA147&lt;INDEX('Lease Cycles'!$FA$16:$FG$16,1,CA146),0,1-INDEX('Lease Cycles'!$EM$16:$ES$16,1,CA146)),CA149*IF(CA147&lt;INDEX('Lease Cycles'!$DK$16:$DQ$16,1,CA146),0,IF(CA147=INDEX('Lease Cycles'!$DK$16:$DQ$16,1,CA146),1-INDEX('Lease Cycles'!$DR$16:$DX$16,1,CA146),1))),0)</f>
        <v>3912.5486364401145</v>
      </c>
      <c r="CB152" s="28">
        <f>IF(CB148=1,IF(INDEX('Lease Cycles'!$EF$16:$EL$16,1,CB146)=1,CB149*INDEX('Lease Cycles'!$EM$16:$ES$16,1,CB146)+CB150*IF(CB147&lt;INDEX('Lease Cycles'!$FA$16:$FG$16,1,CB146),0,1-INDEX('Lease Cycles'!$EM$16:$ES$16,1,CB146)),CB149*IF(CB147&lt;INDEX('Lease Cycles'!$DK$16:$DQ$16,1,CB146),0,IF(CB147=INDEX('Lease Cycles'!$DK$16:$DQ$16,1,CB146),1-INDEX('Lease Cycles'!$DR$16:$DX$16,1,CB146),1))),0)</f>
        <v>3912.5486364401145</v>
      </c>
      <c r="CC152" s="28">
        <f>IF(CC148=1,IF(INDEX('Lease Cycles'!$EF$16:$EL$16,1,CC146)=1,CC149*INDEX('Lease Cycles'!$EM$16:$ES$16,1,CC146)+CC150*IF(CC147&lt;INDEX('Lease Cycles'!$FA$16:$FG$16,1,CC146),0,1-INDEX('Lease Cycles'!$EM$16:$ES$16,1,CC146)),CC149*IF(CC147&lt;INDEX('Lease Cycles'!$DK$16:$DQ$16,1,CC146),0,IF(CC147=INDEX('Lease Cycles'!$DK$16:$DQ$16,1,CC146),1-INDEX('Lease Cycles'!$DR$16:$DX$16,1,CC146),1))),0)</f>
        <v>3912.5486364401145</v>
      </c>
      <c r="CD152" s="28">
        <f>IF(CD148=1,IF(INDEX('Lease Cycles'!$EF$16:$EL$16,1,CD146)=1,CD149*INDEX('Lease Cycles'!$EM$16:$ES$16,1,CD146)+CD150*IF(CD147&lt;INDEX('Lease Cycles'!$FA$16:$FG$16,1,CD146),0,1-INDEX('Lease Cycles'!$EM$16:$ES$16,1,CD146)),CD149*IF(CD147&lt;INDEX('Lease Cycles'!$DK$16:$DQ$16,1,CD146),0,IF(CD147=INDEX('Lease Cycles'!$DK$16:$DQ$16,1,CD146),1-INDEX('Lease Cycles'!$DR$16:$DX$16,1,CD146),1))),0)</f>
        <v>3912.5486364401145</v>
      </c>
      <c r="CE152" s="28">
        <f>IF(CE148=1,IF(INDEX('Lease Cycles'!$EF$16:$EL$16,1,CE146)=1,CE149*INDEX('Lease Cycles'!$EM$16:$ES$16,1,CE146)+CE150*IF(CE147&lt;INDEX('Lease Cycles'!$FA$16:$FG$16,1,CE146),0,1-INDEX('Lease Cycles'!$EM$16:$ES$16,1,CE146)),CE149*IF(CE147&lt;INDEX('Lease Cycles'!$DK$16:$DQ$16,1,CE146),0,IF(CE147=INDEX('Lease Cycles'!$DK$16:$DQ$16,1,CE146),1-INDEX('Lease Cycles'!$DR$16:$DX$16,1,CE146),1))),0)</f>
        <v>3912.5486364401145</v>
      </c>
      <c r="CF152" s="28">
        <f>IF(CF148=1,IF(INDEX('Lease Cycles'!$EF$16:$EL$16,1,CF146)=1,CF149*INDEX('Lease Cycles'!$EM$16:$ES$16,1,CF146)+CF150*IF(CF147&lt;INDEX('Lease Cycles'!$FA$16:$FG$16,1,CF146),0,1-INDEX('Lease Cycles'!$EM$16:$ES$16,1,CF146)),CF149*IF(CF147&lt;INDEX('Lease Cycles'!$DK$16:$DQ$16,1,CF146),0,IF(CF147=INDEX('Lease Cycles'!$DK$16:$DQ$16,1,CF146),1-INDEX('Lease Cycles'!$DR$16:$DX$16,1,CF146),1))),0)</f>
        <v>3912.5486364401145</v>
      </c>
      <c r="CG152" s="28">
        <f>IF(CG148=1,IF(INDEX('Lease Cycles'!$EF$16:$EL$16,1,CG146)=1,CG149*INDEX('Lease Cycles'!$EM$16:$ES$16,1,CG146)+CG150*IF(CG147&lt;INDEX('Lease Cycles'!$FA$16:$FG$16,1,CG146),0,1-INDEX('Lease Cycles'!$EM$16:$ES$16,1,CG146)),CG149*IF(CG147&lt;INDEX('Lease Cycles'!$DK$16:$DQ$16,1,CG146),0,IF(CG147=INDEX('Lease Cycles'!$DK$16:$DQ$16,1,CG146),1-INDEX('Lease Cycles'!$DR$16:$DX$16,1,CG146),1))),0)</f>
        <v>3912.5486364401145</v>
      </c>
      <c r="CH152" s="28">
        <f>IF(CH148=1,IF(INDEX('Lease Cycles'!$EF$16:$EL$16,1,CH146)=1,CH149*INDEX('Lease Cycles'!$EM$16:$ES$16,1,CH146)+CH150*IF(CH147&lt;INDEX('Lease Cycles'!$FA$16:$FG$16,1,CH146),0,1-INDEX('Lease Cycles'!$EM$16:$ES$16,1,CH146)),CH149*IF(CH147&lt;INDEX('Lease Cycles'!$DK$16:$DQ$16,1,CH146),0,IF(CH147=INDEX('Lease Cycles'!$DK$16:$DQ$16,1,CH146),1-INDEX('Lease Cycles'!$DR$16:$DX$16,1,CH146),1))),0)</f>
        <v>3912.5486364401145</v>
      </c>
      <c r="CI152" s="28">
        <f>IF(CI148=1,IF(INDEX('Lease Cycles'!$EF$16:$EL$16,1,CI146)=1,CI149*INDEX('Lease Cycles'!$EM$16:$ES$16,1,CI146)+CI150*IF(CI147&lt;INDEX('Lease Cycles'!$FA$16:$FG$16,1,CI146),0,1-INDEX('Lease Cycles'!$EM$16:$ES$16,1,CI146)),CI149*IF(CI147&lt;INDEX('Lease Cycles'!$DK$16:$DQ$16,1,CI146),0,IF(CI147=INDEX('Lease Cycles'!$DK$16:$DQ$16,1,CI146),1-INDEX('Lease Cycles'!$DR$16:$DX$16,1,CI146),1))),0)</f>
        <v>3912.5486364401145</v>
      </c>
      <c r="CJ152" s="28">
        <f>IF(CJ148=1,IF(INDEX('Lease Cycles'!$EF$16:$EL$16,1,CJ146)=1,CJ149*INDEX('Lease Cycles'!$EM$16:$ES$16,1,CJ146)+CJ150*IF(CJ147&lt;INDEX('Lease Cycles'!$FA$16:$FG$16,1,CJ146),0,1-INDEX('Lease Cycles'!$EM$16:$ES$16,1,CJ146)),CJ149*IF(CJ147&lt;INDEX('Lease Cycles'!$DK$16:$DQ$16,1,CJ146),0,IF(CJ147=INDEX('Lease Cycles'!$DK$16:$DQ$16,1,CJ146),1-INDEX('Lease Cycles'!$DR$16:$DX$16,1,CJ146),1))),0)</f>
        <v>3912.5486364401145</v>
      </c>
      <c r="CK152" s="28">
        <f>IF(CK148=1,IF(INDEX('Lease Cycles'!$EF$16:$EL$16,1,CK146)=1,CK149*INDEX('Lease Cycles'!$EM$16:$ES$16,1,CK146)+CK150*IF(CK147&lt;INDEX('Lease Cycles'!$FA$16:$FG$16,1,CK146),0,1-INDEX('Lease Cycles'!$EM$16:$ES$16,1,CK146)),CK149*IF(CK147&lt;INDEX('Lease Cycles'!$DK$16:$DQ$16,1,CK146),0,IF(CK147=INDEX('Lease Cycles'!$DK$16:$DQ$16,1,CK146),1-INDEX('Lease Cycles'!$DR$16:$DX$16,1,CK146),1))),0)</f>
        <v>4029.9250955333177</v>
      </c>
      <c r="CL152" s="28">
        <f>IF(CL148=1,IF(INDEX('Lease Cycles'!$EF$16:$EL$16,1,CL146)=1,CL149*INDEX('Lease Cycles'!$EM$16:$ES$16,1,CL146)+CL150*IF(CL147&lt;INDEX('Lease Cycles'!$FA$16:$FG$16,1,CL146),0,1-INDEX('Lease Cycles'!$EM$16:$ES$16,1,CL146)),CL149*IF(CL147&lt;INDEX('Lease Cycles'!$DK$16:$DQ$16,1,CL146),0,IF(CL147=INDEX('Lease Cycles'!$DK$16:$DQ$16,1,CL146),1-INDEX('Lease Cycles'!$DR$16:$DX$16,1,CL146),1))),0)</f>
        <v>4029.9250955333177</v>
      </c>
      <c r="CM152" s="28">
        <f>IF(CM148=1,IF(INDEX('Lease Cycles'!$EF$16:$EL$16,1,CM146)=1,CM149*INDEX('Lease Cycles'!$EM$16:$ES$16,1,CM146)+CM150*IF(CM147&lt;INDEX('Lease Cycles'!$FA$16:$FG$16,1,CM146),0,1-INDEX('Lease Cycles'!$EM$16:$ES$16,1,CM146)),CM149*IF(CM147&lt;INDEX('Lease Cycles'!$DK$16:$DQ$16,1,CM146),0,IF(CM147=INDEX('Lease Cycles'!$DK$16:$DQ$16,1,CM146),1-INDEX('Lease Cycles'!$DR$16:$DX$16,1,CM146),1))),0)</f>
        <v>4029.9250955333177</v>
      </c>
      <c r="CN152" s="28">
        <f>IF(CN148=1,IF(INDEX('Lease Cycles'!$EF$16:$EL$16,1,CN146)=1,CN149*INDEX('Lease Cycles'!$EM$16:$ES$16,1,CN146)+CN150*IF(CN147&lt;INDEX('Lease Cycles'!$FA$16:$FG$16,1,CN146),0,1-INDEX('Lease Cycles'!$EM$16:$ES$16,1,CN146)),CN149*IF(CN147&lt;INDEX('Lease Cycles'!$DK$16:$DQ$16,1,CN146),0,IF(CN147=INDEX('Lease Cycles'!$DK$16:$DQ$16,1,CN146),1-INDEX('Lease Cycles'!$DR$16:$DX$16,1,CN146),1))),0)</f>
        <v>4029.9250955333177</v>
      </c>
      <c r="CO152" s="28">
        <f>IF(CO148=1,IF(INDEX('Lease Cycles'!$EF$16:$EL$16,1,CO146)=1,CO149*INDEX('Lease Cycles'!$EM$16:$ES$16,1,CO146)+CO150*IF(CO147&lt;INDEX('Lease Cycles'!$FA$16:$FG$16,1,CO146),0,1-INDEX('Lease Cycles'!$EM$16:$ES$16,1,CO146)),CO149*IF(CO147&lt;INDEX('Lease Cycles'!$DK$16:$DQ$16,1,CO146),0,IF(CO147=INDEX('Lease Cycles'!$DK$16:$DQ$16,1,CO146),1-INDEX('Lease Cycles'!$DR$16:$DX$16,1,CO146),1))),0)</f>
        <v>4029.9250955333177</v>
      </c>
      <c r="CP152" s="28">
        <f>IF(CP148=1,IF(INDEX('Lease Cycles'!$EF$16:$EL$16,1,CP146)=1,CP149*INDEX('Lease Cycles'!$EM$16:$ES$16,1,CP146)+CP150*IF(CP147&lt;INDEX('Lease Cycles'!$FA$16:$FG$16,1,CP146),0,1-INDEX('Lease Cycles'!$EM$16:$ES$16,1,CP146)),CP149*IF(CP147&lt;INDEX('Lease Cycles'!$DK$16:$DQ$16,1,CP146),0,IF(CP147=INDEX('Lease Cycles'!$DK$16:$DQ$16,1,CP146),1-INDEX('Lease Cycles'!$DR$16:$DX$16,1,CP146),1))),0)</f>
        <v>4029.9250955333177</v>
      </c>
      <c r="CQ152" s="28">
        <f>IF(CQ148=1,IF(INDEX('Lease Cycles'!$EF$16:$EL$16,1,CQ146)=1,CQ149*INDEX('Lease Cycles'!$EM$16:$ES$16,1,CQ146)+CQ150*IF(CQ147&lt;INDEX('Lease Cycles'!$FA$16:$FG$16,1,CQ146),0,1-INDEX('Lease Cycles'!$EM$16:$ES$16,1,CQ146)),CQ149*IF(CQ147&lt;INDEX('Lease Cycles'!$DK$16:$DQ$16,1,CQ146),0,IF(CQ147=INDEX('Lease Cycles'!$DK$16:$DQ$16,1,CQ146),1-INDEX('Lease Cycles'!$DR$16:$DX$16,1,CQ146),1))),0)</f>
        <v>4029.9250955333177</v>
      </c>
      <c r="CR152" s="28">
        <f>IF(CR148=1,IF(INDEX('Lease Cycles'!$EF$16:$EL$16,1,CR146)=1,CR149*INDEX('Lease Cycles'!$EM$16:$ES$16,1,CR146)+CR150*IF(CR147&lt;INDEX('Lease Cycles'!$FA$16:$FG$16,1,CR146),0,1-INDEX('Lease Cycles'!$EM$16:$ES$16,1,CR146)),CR149*IF(CR147&lt;INDEX('Lease Cycles'!$DK$16:$DQ$16,1,CR146),0,IF(CR147=INDEX('Lease Cycles'!$DK$16:$DQ$16,1,CR146),1-INDEX('Lease Cycles'!$DR$16:$DX$16,1,CR146),1))),0)</f>
        <v>4029.9250955333177</v>
      </c>
      <c r="CS152" s="28">
        <f>IF(CS148=1,IF(INDEX('Lease Cycles'!$EF$16:$EL$16,1,CS146)=1,CS149*INDEX('Lease Cycles'!$EM$16:$ES$16,1,CS146)+CS150*IF(CS147&lt;INDEX('Lease Cycles'!$FA$16:$FG$16,1,CS146),0,1-INDEX('Lease Cycles'!$EM$16:$ES$16,1,CS146)),CS149*IF(CS147&lt;INDEX('Lease Cycles'!$DK$16:$DQ$16,1,CS146),0,IF(CS147=INDEX('Lease Cycles'!$DK$16:$DQ$16,1,CS146),1-INDEX('Lease Cycles'!$DR$16:$DX$16,1,CS146),1))),0)</f>
        <v>4029.9250955333177</v>
      </c>
      <c r="CT152" s="28">
        <f>IF(CT148=1,IF(INDEX('Lease Cycles'!$EF$16:$EL$16,1,CT146)=1,CT149*INDEX('Lease Cycles'!$EM$16:$ES$16,1,CT146)+CT150*IF(CT147&lt;INDEX('Lease Cycles'!$FA$16:$FG$16,1,CT146),0,1-INDEX('Lease Cycles'!$EM$16:$ES$16,1,CT146)),CT149*IF(CT147&lt;INDEX('Lease Cycles'!$DK$16:$DQ$16,1,CT146),0,IF(CT147=INDEX('Lease Cycles'!$DK$16:$DQ$16,1,CT146),1-INDEX('Lease Cycles'!$DR$16:$DX$16,1,CT146),1))),0)</f>
        <v>4029.9250955333177</v>
      </c>
      <c r="CU152" s="28">
        <f>IF(CU148=1,IF(INDEX('Lease Cycles'!$EF$16:$EL$16,1,CU146)=1,CU149*INDEX('Lease Cycles'!$EM$16:$ES$16,1,CU146)+CU150*IF(CU147&lt;INDEX('Lease Cycles'!$FA$16:$FG$16,1,CU146),0,1-INDEX('Lease Cycles'!$EM$16:$ES$16,1,CU146)),CU149*IF(CU147&lt;INDEX('Lease Cycles'!$DK$16:$DQ$16,1,CU146),0,IF(CU147=INDEX('Lease Cycles'!$DK$16:$DQ$16,1,CU146),1-INDEX('Lease Cycles'!$DR$16:$DX$16,1,CU146),1))),0)</f>
        <v>4029.9250955333177</v>
      </c>
      <c r="CV152" s="28">
        <f>IF(CV148=1,IF(INDEX('Lease Cycles'!$EF$16:$EL$16,1,CV146)=1,CV149*INDEX('Lease Cycles'!$EM$16:$ES$16,1,CV146)+CV150*IF(CV147&lt;INDEX('Lease Cycles'!$FA$16:$FG$16,1,CV146),0,1-INDEX('Lease Cycles'!$EM$16:$ES$16,1,CV146)),CV149*IF(CV147&lt;INDEX('Lease Cycles'!$DK$16:$DQ$16,1,CV146),0,IF(CV147=INDEX('Lease Cycles'!$DK$16:$DQ$16,1,CV146),1-INDEX('Lease Cycles'!$DR$16:$DX$16,1,CV146),1))),0)</f>
        <v>4029.9250955333177</v>
      </c>
      <c r="CW152" s="28">
        <f>IF(CW148=1,IF(INDEX('Lease Cycles'!$EF$16:$EL$16,1,CW146)=1,CW149*INDEX('Lease Cycles'!$EM$16:$ES$16,1,CW146)+CW150*IF(CW147&lt;INDEX('Lease Cycles'!$FA$16:$FG$16,1,CW146),0,1-INDEX('Lease Cycles'!$EM$16:$ES$16,1,CW146)),CW149*IF(CW147&lt;INDEX('Lease Cycles'!$DK$16:$DQ$16,1,CW146),0,IF(CW147=INDEX('Lease Cycles'!$DK$16:$DQ$16,1,CW146),1-INDEX('Lease Cycles'!$DR$16:$DX$16,1,CW146),1))),0)</f>
        <v>4150.822848399317</v>
      </c>
      <c r="CX152" s="28">
        <f>IF(CX148=1,IF(INDEX('Lease Cycles'!$EF$16:$EL$16,1,CX146)=1,CX149*INDEX('Lease Cycles'!$EM$16:$ES$16,1,CX146)+CX150*IF(CX147&lt;INDEX('Lease Cycles'!$FA$16:$FG$16,1,CX146),0,1-INDEX('Lease Cycles'!$EM$16:$ES$16,1,CX146)),CX149*IF(CX147&lt;INDEX('Lease Cycles'!$DK$16:$DQ$16,1,CX146),0,IF(CX147=INDEX('Lease Cycles'!$DK$16:$DQ$16,1,CX146),1-INDEX('Lease Cycles'!$DR$16:$DX$16,1,CX146),1))),0)</f>
        <v>4150.822848399317</v>
      </c>
      <c r="CY152" s="28">
        <f>IF(CY148=1,IF(INDEX('Lease Cycles'!$EF$16:$EL$16,1,CY146)=1,CY149*INDEX('Lease Cycles'!$EM$16:$ES$16,1,CY146)+CY150*IF(CY147&lt;INDEX('Lease Cycles'!$FA$16:$FG$16,1,CY146),0,1-INDEX('Lease Cycles'!$EM$16:$ES$16,1,CY146)),CY149*IF(CY147&lt;INDEX('Lease Cycles'!$DK$16:$DQ$16,1,CY146),0,IF(CY147=INDEX('Lease Cycles'!$DK$16:$DQ$16,1,CY146),1-INDEX('Lease Cycles'!$DR$16:$DX$16,1,CY146),1))),0)</f>
        <v>4150.822848399317</v>
      </c>
      <c r="CZ152" s="28">
        <f>IF(CZ148=1,IF(INDEX('Lease Cycles'!$EF$16:$EL$16,1,CZ146)=1,CZ149*INDEX('Lease Cycles'!$EM$16:$ES$16,1,CZ146)+CZ150*IF(CZ147&lt;INDEX('Lease Cycles'!$FA$16:$FG$16,1,CZ146),0,1-INDEX('Lease Cycles'!$EM$16:$ES$16,1,CZ146)),CZ149*IF(CZ147&lt;INDEX('Lease Cycles'!$DK$16:$DQ$16,1,CZ146),0,IF(CZ147=INDEX('Lease Cycles'!$DK$16:$DQ$16,1,CZ146),1-INDEX('Lease Cycles'!$DR$16:$DX$16,1,CZ146),1))),0)</f>
        <v>4150.822848399317</v>
      </c>
      <c r="DA152" s="28">
        <f>IF(DA148=1,IF(INDEX('Lease Cycles'!$EF$16:$EL$16,1,DA146)=1,DA149*INDEX('Lease Cycles'!$EM$16:$ES$16,1,DA146)+DA150*IF(DA147&lt;INDEX('Lease Cycles'!$FA$16:$FG$16,1,DA146),0,1-INDEX('Lease Cycles'!$EM$16:$ES$16,1,DA146)),DA149*IF(DA147&lt;INDEX('Lease Cycles'!$DK$16:$DQ$16,1,DA146),0,IF(DA147=INDEX('Lease Cycles'!$DK$16:$DQ$16,1,DA146),1-INDEX('Lease Cycles'!$DR$16:$DX$16,1,DA146),1))),0)</f>
        <v>4150.822848399317</v>
      </c>
      <c r="DB152" s="28">
        <f>IF(DB148=1,IF(INDEX('Lease Cycles'!$EF$16:$EL$16,1,DB146)=1,DB149*INDEX('Lease Cycles'!$EM$16:$ES$16,1,DB146)+DB150*IF(DB147&lt;INDEX('Lease Cycles'!$FA$16:$FG$16,1,DB146),0,1-INDEX('Lease Cycles'!$EM$16:$ES$16,1,DB146)),DB149*IF(DB147&lt;INDEX('Lease Cycles'!$DK$16:$DQ$16,1,DB146),0,IF(DB147=INDEX('Lease Cycles'!$DK$16:$DQ$16,1,DB146),1-INDEX('Lease Cycles'!$DR$16:$DX$16,1,DB146),1))),0)</f>
        <v>4150.822848399317</v>
      </c>
      <c r="DC152" s="28">
        <f>IF(DC148=1,IF(INDEX('Lease Cycles'!$EF$16:$EL$16,1,DC146)=1,DC149*INDEX('Lease Cycles'!$EM$16:$ES$16,1,DC146)+DC150*IF(DC147&lt;INDEX('Lease Cycles'!$FA$16:$FG$16,1,DC146),0,1-INDEX('Lease Cycles'!$EM$16:$ES$16,1,DC146)),DC149*IF(DC147&lt;INDEX('Lease Cycles'!$DK$16:$DQ$16,1,DC146),0,IF(DC147=INDEX('Lease Cycles'!$DK$16:$DQ$16,1,DC146),1-INDEX('Lease Cycles'!$DR$16:$DX$16,1,DC146),1))),0)</f>
        <v>4150.822848399317</v>
      </c>
      <c r="DD152" s="28">
        <f>IF(DD148=1,IF(INDEX('Lease Cycles'!$EF$16:$EL$16,1,DD146)=1,DD149*INDEX('Lease Cycles'!$EM$16:$ES$16,1,DD146)+DD150*IF(DD147&lt;INDEX('Lease Cycles'!$FA$16:$FG$16,1,DD146),0,1-INDEX('Lease Cycles'!$EM$16:$ES$16,1,DD146)),DD149*IF(DD147&lt;INDEX('Lease Cycles'!$DK$16:$DQ$16,1,DD146),0,IF(DD147=INDEX('Lease Cycles'!$DK$16:$DQ$16,1,DD146),1-INDEX('Lease Cycles'!$DR$16:$DX$16,1,DD146),1))),0)</f>
        <v>4150.822848399317</v>
      </c>
      <c r="DE152" s="28">
        <f>IF(DE148=1,IF(INDEX('Lease Cycles'!$EF$16:$EL$16,1,DE146)=1,DE149*INDEX('Lease Cycles'!$EM$16:$ES$16,1,DE146)+DE150*IF(DE147&lt;INDEX('Lease Cycles'!$FA$16:$FG$16,1,DE146),0,1-INDEX('Lease Cycles'!$EM$16:$ES$16,1,DE146)),DE149*IF(DE147&lt;INDEX('Lease Cycles'!$DK$16:$DQ$16,1,DE146),0,IF(DE147=INDEX('Lease Cycles'!$DK$16:$DQ$16,1,DE146),1-INDEX('Lease Cycles'!$DR$16:$DX$16,1,DE146),1))),0)</f>
        <v>4150.822848399317</v>
      </c>
      <c r="DF152" s="28">
        <f>IF(DF148=1,IF(INDEX('Lease Cycles'!$EF$16:$EL$16,1,DF146)=1,DF149*INDEX('Lease Cycles'!$EM$16:$ES$16,1,DF146)+DF150*IF(DF147&lt;INDEX('Lease Cycles'!$FA$16:$FG$16,1,DF146),0,1-INDEX('Lease Cycles'!$EM$16:$ES$16,1,DF146)),DF149*IF(DF147&lt;INDEX('Lease Cycles'!$DK$16:$DQ$16,1,DF146),0,IF(DF147=INDEX('Lease Cycles'!$DK$16:$DQ$16,1,DF146),1-INDEX('Lease Cycles'!$DR$16:$DX$16,1,DF146),1))),0)</f>
        <v>4150.822848399317</v>
      </c>
      <c r="DG152" s="28">
        <f>IF(DG148=1,IF(INDEX('Lease Cycles'!$EF$16:$EL$16,1,DG146)=1,DG149*INDEX('Lease Cycles'!$EM$16:$ES$16,1,DG146)+DG150*IF(DG147&lt;INDEX('Lease Cycles'!$FA$16:$FG$16,1,DG146),0,1-INDEX('Lease Cycles'!$EM$16:$ES$16,1,DG146)),DG149*IF(DG147&lt;INDEX('Lease Cycles'!$DK$16:$DQ$16,1,DG146),0,IF(DG147=INDEX('Lease Cycles'!$DK$16:$DQ$16,1,DG146),1-INDEX('Lease Cycles'!$DR$16:$DX$16,1,DG146),1))),0)</f>
        <v>4150.822848399317</v>
      </c>
      <c r="DH152" s="28">
        <f>IF(DH148=1,IF(INDEX('Lease Cycles'!$EF$16:$EL$16,1,DH146)=1,DH149*INDEX('Lease Cycles'!$EM$16:$ES$16,1,DH146)+DH150*IF(DH147&lt;INDEX('Lease Cycles'!$FA$16:$FG$16,1,DH146),0,1-INDEX('Lease Cycles'!$EM$16:$ES$16,1,DH146)),DH149*IF(DH147&lt;INDEX('Lease Cycles'!$DK$16:$DQ$16,1,DH146),0,IF(DH147=INDEX('Lease Cycles'!$DK$16:$DQ$16,1,DH146),1-INDEX('Lease Cycles'!$DR$16:$DX$16,1,DH146),1))),0)</f>
        <v>4150.822848399317</v>
      </c>
      <c r="DI152" s="28">
        <f>IF(DI148=1,IF(INDEX('Lease Cycles'!$EF$16:$EL$16,1,DI146)=1,DI149*INDEX('Lease Cycles'!$EM$16:$ES$16,1,DI146)+DI150*IF(DI147&lt;INDEX('Lease Cycles'!$FA$16:$FG$16,1,DI146),0,1-INDEX('Lease Cycles'!$EM$16:$ES$16,1,DI146)),DI149*IF(DI147&lt;INDEX('Lease Cycles'!$DK$16:$DQ$16,1,DI146),0,IF(DI147=INDEX('Lease Cycles'!$DK$16:$DQ$16,1,DI146),1-INDEX('Lease Cycles'!$DR$16:$DX$16,1,DI146),1))),0)</f>
        <v>4275.347533851297</v>
      </c>
      <c r="DJ152" s="28">
        <f>IF(DJ148=1,IF(INDEX('Lease Cycles'!$EF$16:$EL$16,1,DJ146)=1,DJ149*INDEX('Lease Cycles'!$EM$16:$ES$16,1,DJ146)+DJ150*IF(DJ147&lt;INDEX('Lease Cycles'!$FA$16:$FG$16,1,DJ146),0,1-INDEX('Lease Cycles'!$EM$16:$ES$16,1,DJ146)),DJ149*IF(DJ147&lt;INDEX('Lease Cycles'!$DK$16:$DQ$16,1,DJ146),0,IF(DJ147=INDEX('Lease Cycles'!$DK$16:$DQ$16,1,DJ146),1-INDEX('Lease Cycles'!$DR$16:$DX$16,1,DJ146),1))),0)</f>
        <v>4275.347533851297</v>
      </c>
      <c r="DK152" s="28">
        <f>IF(DK148=1,IF(INDEX('Lease Cycles'!$EF$16:$EL$16,1,DK146)=1,DK149*INDEX('Lease Cycles'!$EM$16:$ES$16,1,DK146)+DK150*IF(DK147&lt;INDEX('Lease Cycles'!$FA$16:$FG$16,1,DK146),0,1-INDEX('Lease Cycles'!$EM$16:$ES$16,1,DK146)),DK149*IF(DK147&lt;INDEX('Lease Cycles'!$DK$16:$DQ$16,1,DK146),0,IF(DK147=INDEX('Lease Cycles'!$DK$16:$DQ$16,1,DK146),1-INDEX('Lease Cycles'!$DR$16:$DX$16,1,DK146),1))),0)</f>
        <v>4275.347533851297</v>
      </c>
      <c r="DL152" s="28">
        <f>IF(DL148=1,IF(INDEX('Lease Cycles'!$EF$16:$EL$16,1,DL146)=1,DL149*INDEX('Lease Cycles'!$EM$16:$ES$16,1,DL146)+DL150*IF(DL147&lt;INDEX('Lease Cycles'!$FA$16:$FG$16,1,DL146),0,1-INDEX('Lease Cycles'!$EM$16:$ES$16,1,DL146)),DL149*IF(DL147&lt;INDEX('Lease Cycles'!$DK$16:$DQ$16,1,DL146),0,IF(DL147=INDEX('Lease Cycles'!$DK$16:$DQ$16,1,DL146),1-INDEX('Lease Cycles'!$DR$16:$DX$16,1,DL146),1))),0)</f>
        <v>4275.347533851297</v>
      </c>
      <c r="DM152" s="28">
        <f>IF(DM148=1,IF(INDEX('Lease Cycles'!$EF$16:$EL$16,1,DM146)=1,DM149*INDEX('Lease Cycles'!$EM$16:$ES$16,1,DM146)+DM150*IF(DM147&lt;INDEX('Lease Cycles'!$FA$16:$FG$16,1,DM146),0,1-INDEX('Lease Cycles'!$EM$16:$ES$16,1,DM146)),DM149*IF(DM147&lt;INDEX('Lease Cycles'!$DK$16:$DQ$16,1,DM146),0,IF(DM147=INDEX('Lease Cycles'!$DK$16:$DQ$16,1,DM146),1-INDEX('Lease Cycles'!$DR$16:$DX$16,1,DM146),1))),0)</f>
        <v>4275.347533851297</v>
      </c>
      <c r="DN152" s="28">
        <f>IF(DN148=1,IF(INDEX('Lease Cycles'!$EF$16:$EL$16,1,DN146)=1,DN149*INDEX('Lease Cycles'!$EM$16:$ES$16,1,DN146)+DN150*IF(DN147&lt;INDEX('Lease Cycles'!$FA$16:$FG$16,1,DN146),0,1-INDEX('Lease Cycles'!$EM$16:$ES$16,1,DN146)),DN149*IF(DN147&lt;INDEX('Lease Cycles'!$DK$16:$DQ$16,1,DN146),0,IF(DN147=INDEX('Lease Cycles'!$DK$16:$DQ$16,1,DN146),1-INDEX('Lease Cycles'!$DR$16:$DX$16,1,DN146),1))),0)</f>
        <v>4275.347533851297</v>
      </c>
      <c r="DO152" s="28">
        <f>IF(DO148=1,IF(INDEX('Lease Cycles'!$EF$16:$EL$16,1,DO146)=1,DO149*INDEX('Lease Cycles'!$EM$16:$ES$16,1,DO146)+DO150*IF(DO147&lt;INDEX('Lease Cycles'!$FA$16:$FG$16,1,DO146),0,1-INDEX('Lease Cycles'!$EM$16:$ES$16,1,DO146)),DO149*IF(DO147&lt;INDEX('Lease Cycles'!$DK$16:$DQ$16,1,DO146),0,IF(DO147=INDEX('Lease Cycles'!$DK$16:$DQ$16,1,DO146),1-INDEX('Lease Cycles'!$DR$16:$DX$16,1,DO146),1))),0)</f>
        <v>4275.347533851297</v>
      </c>
      <c r="DP152" s="28">
        <f>IF(DP148=1,IF(INDEX('Lease Cycles'!$EF$16:$EL$16,1,DP146)=1,DP149*INDEX('Lease Cycles'!$EM$16:$ES$16,1,DP146)+DP150*IF(DP147&lt;INDEX('Lease Cycles'!$FA$16:$FG$16,1,DP146),0,1-INDEX('Lease Cycles'!$EM$16:$ES$16,1,DP146)),DP149*IF(DP147&lt;INDEX('Lease Cycles'!$DK$16:$DQ$16,1,DP146),0,IF(DP147=INDEX('Lease Cycles'!$DK$16:$DQ$16,1,DP146),1-INDEX('Lease Cycles'!$DR$16:$DX$16,1,DP146),1))),0)</f>
        <v>4275.347533851297</v>
      </c>
      <c r="DQ152" s="28">
        <f>IF(DQ148=1,IF(INDEX('Lease Cycles'!$EF$16:$EL$16,1,DQ146)=1,DQ149*INDEX('Lease Cycles'!$EM$16:$ES$16,1,DQ146)+DQ150*IF(DQ147&lt;INDEX('Lease Cycles'!$FA$16:$FG$16,1,DQ146),0,1-INDEX('Lease Cycles'!$EM$16:$ES$16,1,DQ146)),DQ149*IF(DQ147&lt;INDEX('Lease Cycles'!$DK$16:$DQ$16,1,DQ146),0,IF(DQ147=INDEX('Lease Cycles'!$DK$16:$DQ$16,1,DQ146),1-INDEX('Lease Cycles'!$DR$16:$DX$16,1,DQ146),1))),0)</f>
        <v>4275.347533851297</v>
      </c>
      <c r="DR152" s="28">
        <f>IF(DR148=1,IF(INDEX('Lease Cycles'!$EF$16:$EL$16,1,DR146)=1,DR149*INDEX('Lease Cycles'!$EM$16:$ES$16,1,DR146)+DR150*IF(DR147&lt;INDEX('Lease Cycles'!$FA$16:$FG$16,1,DR146),0,1-INDEX('Lease Cycles'!$EM$16:$ES$16,1,DR146)),DR149*IF(DR147&lt;INDEX('Lease Cycles'!$DK$16:$DQ$16,1,DR146),0,IF(DR147=INDEX('Lease Cycles'!$DK$16:$DQ$16,1,DR146),1-INDEX('Lease Cycles'!$DR$16:$DX$16,1,DR146),1))),0)</f>
        <v>4275.347533851297</v>
      </c>
      <c r="DS152" s="28">
        <f>IF(DS148=1,IF(INDEX('Lease Cycles'!$EF$16:$EL$16,1,DS146)=1,DS149*INDEX('Lease Cycles'!$EM$16:$ES$16,1,DS146)+DS150*IF(DS147&lt;INDEX('Lease Cycles'!$FA$16:$FG$16,1,DS146),0,1-INDEX('Lease Cycles'!$EM$16:$ES$16,1,DS146)),DS149*IF(DS147&lt;INDEX('Lease Cycles'!$DK$16:$DQ$16,1,DS146),0,IF(DS147=INDEX('Lease Cycles'!$DK$16:$DQ$16,1,DS146),1-INDEX('Lease Cycles'!$DR$16:$DX$16,1,DS146),1))),0)</f>
        <v>4275.347533851297</v>
      </c>
      <c r="DT152" s="28">
        <f>IF(DT148=1,IF(INDEX('Lease Cycles'!$EF$16:$EL$16,1,DT146)=1,DT149*INDEX('Lease Cycles'!$EM$16:$ES$16,1,DT146)+DT150*IF(DT147&lt;INDEX('Lease Cycles'!$FA$16:$FG$16,1,DT146),0,1-INDEX('Lease Cycles'!$EM$16:$ES$16,1,DT146)),DT149*IF(DT147&lt;INDEX('Lease Cycles'!$DK$16:$DQ$16,1,DT146),0,IF(DT147=INDEX('Lease Cycles'!$DK$16:$DQ$16,1,DT146),1-INDEX('Lease Cycles'!$DR$16:$DX$16,1,DT146),1))),0)</f>
        <v>4275.347533851297</v>
      </c>
      <c r="DU152" s="28">
        <f>IF(DU148=1,IF(INDEX('Lease Cycles'!$EF$16:$EL$16,1,DU146)=1,DU149*INDEX('Lease Cycles'!$EM$16:$ES$16,1,DU146)+DU150*IF(DU147&lt;INDEX('Lease Cycles'!$FA$16:$FG$16,1,DU146),0,1-INDEX('Lease Cycles'!$EM$16:$ES$16,1,DU146)),DU149*IF(DU147&lt;INDEX('Lease Cycles'!$DK$16:$DQ$16,1,DU146),0,IF(DU147=INDEX('Lease Cycles'!$DK$16:$DQ$16,1,DU146),1-INDEX('Lease Cycles'!$DR$16:$DX$16,1,DU146),1))),0)</f>
        <v>4403.607959866836</v>
      </c>
      <c r="DV152" s="28">
        <f>IF(DV148=1,IF(INDEX('Lease Cycles'!$EF$16:$EL$16,1,DV146)=1,DV149*INDEX('Lease Cycles'!$EM$16:$ES$16,1,DV146)+DV150*IF(DV147&lt;INDEX('Lease Cycles'!$FA$16:$FG$16,1,DV146),0,1-INDEX('Lease Cycles'!$EM$16:$ES$16,1,DV146)),DV149*IF(DV147&lt;INDEX('Lease Cycles'!$DK$16:$DQ$16,1,DV146),0,IF(DV147=INDEX('Lease Cycles'!$DK$16:$DQ$16,1,DV146),1-INDEX('Lease Cycles'!$DR$16:$DX$16,1,DV146),1))),0)</f>
        <v>4403.607959866836</v>
      </c>
      <c r="DW152" s="28">
        <f>IF(DW148=1,IF(INDEX('Lease Cycles'!$EF$16:$EL$16,1,DW146)=1,DW149*INDEX('Lease Cycles'!$EM$16:$ES$16,1,DW146)+DW150*IF(DW147&lt;INDEX('Lease Cycles'!$FA$16:$FG$16,1,DW146),0,1-INDEX('Lease Cycles'!$EM$16:$ES$16,1,DW146)),DW149*IF(DW147&lt;INDEX('Lease Cycles'!$DK$16:$DQ$16,1,DW146),0,IF(DW147=INDEX('Lease Cycles'!$DK$16:$DQ$16,1,DW146),1-INDEX('Lease Cycles'!$DR$16:$DX$16,1,DW146),1))),0)</f>
        <v>4403.607959866836</v>
      </c>
      <c r="DX152" s="28">
        <f>IF(DX148=1,IF(INDEX('Lease Cycles'!$EF$16:$EL$16,1,DX146)=1,DX149*INDEX('Lease Cycles'!$EM$16:$ES$16,1,DX146)+DX150*IF(DX147&lt;INDEX('Lease Cycles'!$FA$16:$FG$16,1,DX146),0,1-INDEX('Lease Cycles'!$EM$16:$ES$16,1,DX146)),DX149*IF(DX147&lt;INDEX('Lease Cycles'!$DK$16:$DQ$16,1,DX146),0,IF(DX147=INDEX('Lease Cycles'!$DK$16:$DQ$16,1,DX146),1-INDEX('Lease Cycles'!$DR$16:$DX$16,1,DX146),1))),0)</f>
        <v>4403.607959866836</v>
      </c>
      <c r="DY152" s="28">
        <f>IF(DY148=1,IF(INDEX('Lease Cycles'!$EF$16:$EL$16,1,DY146)=1,DY149*INDEX('Lease Cycles'!$EM$16:$ES$16,1,DY146)+DY150*IF(DY147&lt;INDEX('Lease Cycles'!$FA$16:$FG$16,1,DY146),0,1-INDEX('Lease Cycles'!$EM$16:$ES$16,1,DY146)),DY149*IF(DY147&lt;INDEX('Lease Cycles'!$DK$16:$DQ$16,1,DY146),0,IF(DY147=INDEX('Lease Cycles'!$DK$16:$DQ$16,1,DY146),1-INDEX('Lease Cycles'!$DR$16:$DX$16,1,DY146),1))),0)</f>
        <v>4403.607959866836</v>
      </c>
      <c r="DZ152" s="28">
        <f>IF(DZ148=1,IF(INDEX('Lease Cycles'!$EF$16:$EL$16,1,DZ146)=1,DZ149*INDEX('Lease Cycles'!$EM$16:$ES$16,1,DZ146)+DZ150*IF(DZ147&lt;INDEX('Lease Cycles'!$FA$16:$FG$16,1,DZ146),0,1-INDEX('Lease Cycles'!$EM$16:$ES$16,1,DZ146)),DZ149*IF(DZ147&lt;INDEX('Lease Cycles'!$DK$16:$DQ$16,1,DZ146),0,IF(DZ147=INDEX('Lease Cycles'!$DK$16:$DQ$16,1,DZ146),1-INDEX('Lease Cycles'!$DR$16:$DX$16,1,DZ146),1))),0)</f>
        <v>4403.607959866836</v>
      </c>
      <c r="EA152" s="28">
        <f>IF(EA148=1,IF(INDEX('Lease Cycles'!$EF$16:$EL$16,1,EA146)=1,EA149*INDEX('Lease Cycles'!$EM$16:$ES$16,1,EA146)+EA150*IF(EA147&lt;INDEX('Lease Cycles'!$FA$16:$FG$16,1,EA146),0,1-INDEX('Lease Cycles'!$EM$16:$ES$16,1,EA146)),EA149*IF(EA147&lt;INDEX('Lease Cycles'!$DK$16:$DQ$16,1,EA146),0,IF(EA147=INDEX('Lease Cycles'!$DK$16:$DQ$16,1,EA146),1-INDEX('Lease Cycles'!$DR$16:$DX$16,1,EA146),1))),0)</f>
        <v>4403.607959866836</v>
      </c>
      <c r="EB152" s="28">
        <f>IF(EB148=1,IF(INDEX('Lease Cycles'!$EF$16:$EL$16,1,EB146)=1,EB149*INDEX('Lease Cycles'!$EM$16:$ES$16,1,EB146)+EB150*IF(EB147&lt;INDEX('Lease Cycles'!$FA$16:$FG$16,1,EB146),0,1-INDEX('Lease Cycles'!$EM$16:$ES$16,1,EB146)),EB149*IF(EB147&lt;INDEX('Lease Cycles'!$DK$16:$DQ$16,1,EB146),0,IF(EB147=INDEX('Lease Cycles'!$DK$16:$DQ$16,1,EB146),1-INDEX('Lease Cycles'!$DR$16:$DX$16,1,EB146),1))),0)</f>
        <v>4403.607959866836</v>
      </c>
      <c r="EC152" s="28">
        <f>IF(EC148=1,IF(INDEX('Lease Cycles'!$EF$16:$EL$16,1,EC146)=1,EC149*INDEX('Lease Cycles'!$EM$16:$ES$16,1,EC146)+EC150*IF(EC147&lt;INDEX('Lease Cycles'!$FA$16:$FG$16,1,EC146),0,1-INDEX('Lease Cycles'!$EM$16:$ES$16,1,EC146)),EC149*IF(EC147&lt;INDEX('Lease Cycles'!$DK$16:$DQ$16,1,EC146),0,IF(EC147=INDEX('Lease Cycles'!$DK$16:$DQ$16,1,EC146),1-INDEX('Lease Cycles'!$DR$16:$DX$16,1,EC146),1))),0)</f>
        <v>4403.607959866836</v>
      </c>
      <c r="ED152" s="28">
        <f>IF(ED148=1,IF(INDEX('Lease Cycles'!$EF$16:$EL$16,1,ED146)=1,ED149*INDEX('Lease Cycles'!$EM$16:$ES$16,1,ED146)+ED150*IF(ED147&lt;INDEX('Lease Cycles'!$FA$16:$FG$16,1,ED146),0,1-INDEX('Lease Cycles'!$EM$16:$ES$16,1,ED146)),ED149*IF(ED147&lt;INDEX('Lease Cycles'!$DK$16:$DQ$16,1,ED146),0,IF(ED147=INDEX('Lease Cycles'!$DK$16:$DQ$16,1,ED146),1-INDEX('Lease Cycles'!$DR$16:$DX$16,1,ED146),1))),0)</f>
        <v>4403.607959866836</v>
      </c>
      <c r="EE152" s="28">
        <f>IF(EE148=1,IF(INDEX('Lease Cycles'!$EF$16:$EL$16,1,EE146)=1,EE149*INDEX('Lease Cycles'!$EM$16:$ES$16,1,EE146)+EE150*IF(EE147&lt;INDEX('Lease Cycles'!$FA$16:$FG$16,1,EE146),0,1-INDEX('Lease Cycles'!$EM$16:$ES$16,1,EE146)),EE149*IF(EE147&lt;INDEX('Lease Cycles'!$DK$16:$DQ$16,1,EE146),0,IF(EE147=INDEX('Lease Cycles'!$DK$16:$DQ$16,1,EE146),1-INDEX('Lease Cycles'!$DR$16:$DX$16,1,EE146),1))),0)</f>
        <v>4403.607959866836</v>
      </c>
      <c r="EF152" s="28">
        <f>IF(EF148=1,IF(INDEX('Lease Cycles'!$EF$16:$EL$16,1,EF146)=1,EF149*INDEX('Lease Cycles'!$EM$16:$ES$16,1,EF146)+EF150*IF(EF147&lt;INDEX('Lease Cycles'!$FA$16:$FG$16,1,EF146),0,1-INDEX('Lease Cycles'!$EM$16:$ES$16,1,EF146)),EF149*IF(EF147&lt;INDEX('Lease Cycles'!$DK$16:$DQ$16,1,EF146),0,IF(EF147=INDEX('Lease Cycles'!$DK$16:$DQ$16,1,EF146),1-INDEX('Lease Cycles'!$DR$16:$DX$16,1,EF146),1))),0)</f>
        <v>4403.607959866836</v>
      </c>
      <c r="EG152" s="28">
        <f>IF(EG148=1,IF(INDEX('Lease Cycles'!$EF$16:$EL$16,1,EG146)=1,EG149*INDEX('Lease Cycles'!$EM$16:$ES$16,1,EG146)+EG150*IF(EG147&lt;INDEX('Lease Cycles'!$FA$16:$FG$16,1,EG146),0,1-INDEX('Lease Cycles'!$EM$16:$ES$16,1,EG146)),EG149*IF(EG147&lt;INDEX('Lease Cycles'!$DK$16:$DQ$16,1,EG146),0,IF(EG147=INDEX('Lease Cycles'!$DK$16:$DQ$16,1,EG146),1-INDEX('Lease Cycles'!$DR$16:$DX$16,1,EG146),1))),0)</f>
        <v>4535.716198662841</v>
      </c>
      <c r="EH152" s="28">
        <f>IF(EH148=1,IF(INDEX('Lease Cycles'!$EF$16:$EL$16,1,EH146)=1,EH149*INDEX('Lease Cycles'!$EM$16:$ES$16,1,EH146)+EH150*IF(EH147&lt;INDEX('Lease Cycles'!$FA$16:$FG$16,1,EH146),0,1-INDEX('Lease Cycles'!$EM$16:$ES$16,1,EH146)),EH149*IF(EH147&lt;INDEX('Lease Cycles'!$DK$16:$DQ$16,1,EH146),0,IF(EH147=INDEX('Lease Cycles'!$DK$16:$DQ$16,1,EH146),1-INDEX('Lease Cycles'!$DR$16:$DX$16,1,EH146),1))),0)</f>
        <v>4535.716198662841</v>
      </c>
      <c r="EI152" s="28">
        <f>IF(EI148=1,IF(INDEX('Lease Cycles'!$EF$16:$EL$16,1,EI146)=1,EI149*INDEX('Lease Cycles'!$EM$16:$ES$16,1,EI146)+EI150*IF(EI147&lt;INDEX('Lease Cycles'!$FA$16:$FG$16,1,EI146),0,1-INDEX('Lease Cycles'!$EM$16:$ES$16,1,EI146)),EI149*IF(EI147&lt;INDEX('Lease Cycles'!$DK$16:$DQ$16,1,EI146),0,IF(EI147=INDEX('Lease Cycles'!$DK$16:$DQ$16,1,EI146),1-INDEX('Lease Cycles'!$DR$16:$DX$16,1,EI146),1))),0)</f>
        <v>4535.716198662841</v>
      </c>
      <c r="EJ152" s="28">
        <f>IF(EJ148=1,IF(INDEX('Lease Cycles'!$EF$16:$EL$16,1,EJ146)=1,EJ149*INDEX('Lease Cycles'!$EM$16:$ES$16,1,EJ146)+EJ150*IF(EJ147&lt;INDEX('Lease Cycles'!$FA$16:$FG$16,1,EJ146),0,1-INDEX('Lease Cycles'!$EM$16:$ES$16,1,EJ146)),EJ149*IF(EJ147&lt;INDEX('Lease Cycles'!$DK$16:$DQ$16,1,EJ146),0,IF(EJ147=INDEX('Lease Cycles'!$DK$16:$DQ$16,1,EJ146),1-INDEX('Lease Cycles'!$DR$16:$DX$16,1,EJ146),1))),0)</f>
        <v>4535.716198662841</v>
      </c>
      <c r="EK152" s="28">
        <f>IF(EK148=1,IF(INDEX('Lease Cycles'!$EF$16:$EL$16,1,EK146)=1,EK149*INDEX('Lease Cycles'!$EM$16:$ES$16,1,EK146)+EK150*IF(EK147&lt;INDEX('Lease Cycles'!$FA$16:$FG$16,1,EK146),0,1-INDEX('Lease Cycles'!$EM$16:$ES$16,1,EK146)),EK149*IF(EK147&lt;INDEX('Lease Cycles'!$DK$16:$DQ$16,1,EK146),0,IF(EK147=INDEX('Lease Cycles'!$DK$16:$DQ$16,1,EK146),1-INDEX('Lease Cycles'!$DR$16:$DX$16,1,EK146),1))),0)</f>
        <v>4535.716198662841</v>
      </c>
      <c r="EL152" s="28">
        <f>IF(EL148=1,IF(INDEX('Lease Cycles'!$EF$16:$EL$16,1,EL146)=1,EL149*INDEX('Lease Cycles'!$EM$16:$ES$16,1,EL146)+EL150*IF(EL147&lt;INDEX('Lease Cycles'!$FA$16:$FG$16,1,EL146),0,1-INDEX('Lease Cycles'!$EM$16:$ES$16,1,EL146)),EL149*IF(EL147&lt;INDEX('Lease Cycles'!$DK$16:$DQ$16,1,EL146),0,IF(EL147=INDEX('Lease Cycles'!$DK$16:$DQ$16,1,EL146),1-INDEX('Lease Cycles'!$DR$16:$DX$16,1,EL146),1))),0)</f>
        <v>4535.716198662841</v>
      </c>
      <c r="EM152" s="28">
        <f>IF(EM148=1,IF(INDEX('Lease Cycles'!$EF$16:$EL$16,1,EM146)=1,EM149*INDEX('Lease Cycles'!$EM$16:$ES$16,1,EM146)+EM150*IF(EM147&lt;INDEX('Lease Cycles'!$FA$16:$FG$16,1,EM146),0,1-INDEX('Lease Cycles'!$EM$16:$ES$16,1,EM146)),EM149*IF(EM147&lt;INDEX('Lease Cycles'!$DK$16:$DQ$16,1,EM146),0,IF(EM147=INDEX('Lease Cycles'!$DK$16:$DQ$16,1,EM146),1-INDEX('Lease Cycles'!$DR$16:$DX$16,1,EM146),1))),0)</f>
        <v>4535.716198662841</v>
      </c>
      <c r="EN152" s="28">
        <f>IF(EN148=1,IF(INDEX('Lease Cycles'!$EF$16:$EL$16,1,EN146)=1,EN149*INDEX('Lease Cycles'!$EM$16:$ES$16,1,EN146)+EN150*IF(EN147&lt;INDEX('Lease Cycles'!$FA$16:$FG$16,1,EN146),0,1-INDEX('Lease Cycles'!$EM$16:$ES$16,1,EN146)),EN149*IF(EN147&lt;INDEX('Lease Cycles'!$DK$16:$DQ$16,1,EN146),0,IF(EN147=INDEX('Lease Cycles'!$DK$16:$DQ$16,1,EN146),1-INDEX('Lease Cycles'!$DR$16:$DX$16,1,EN146),1))),0)</f>
        <v>4535.716198662841</v>
      </c>
      <c r="EO152" s="28">
        <f>IF(EO148=1,IF(INDEX('Lease Cycles'!$EF$16:$EL$16,1,EO146)=1,EO149*INDEX('Lease Cycles'!$EM$16:$ES$16,1,EO146)+EO150*IF(EO147&lt;INDEX('Lease Cycles'!$FA$16:$FG$16,1,EO146),0,1-INDEX('Lease Cycles'!$EM$16:$ES$16,1,EO146)),EO149*IF(EO147&lt;INDEX('Lease Cycles'!$DK$16:$DQ$16,1,EO146),0,IF(EO147=INDEX('Lease Cycles'!$DK$16:$DQ$16,1,EO146),1-INDEX('Lease Cycles'!$DR$16:$DX$16,1,EO146),1))),0)</f>
        <v>4535.716198662841</v>
      </c>
      <c r="EP152" s="28">
        <f>IF(EP148=1,IF(INDEX('Lease Cycles'!$EF$16:$EL$16,1,EP146)=1,EP149*INDEX('Lease Cycles'!$EM$16:$ES$16,1,EP146)+EP150*IF(EP147&lt;INDEX('Lease Cycles'!$FA$16:$FG$16,1,EP146),0,1-INDEX('Lease Cycles'!$EM$16:$ES$16,1,EP146)),EP149*IF(EP147&lt;INDEX('Lease Cycles'!$DK$16:$DQ$16,1,EP146),0,IF(EP147=INDEX('Lease Cycles'!$DK$16:$DQ$16,1,EP146),1-INDEX('Lease Cycles'!$DR$16:$DX$16,1,EP146),1))),0)</f>
        <v>4535.716198662841</v>
      </c>
      <c r="EQ152" s="28">
        <f>IF(EQ148=1,IF(INDEX('Lease Cycles'!$EF$16:$EL$16,1,EQ146)=1,EQ149*INDEX('Lease Cycles'!$EM$16:$ES$16,1,EQ146)+EQ150*IF(EQ147&lt;INDEX('Lease Cycles'!$FA$16:$FG$16,1,EQ146),0,1-INDEX('Lease Cycles'!$EM$16:$ES$16,1,EQ146)),EQ149*IF(EQ147&lt;INDEX('Lease Cycles'!$DK$16:$DQ$16,1,EQ146),0,IF(EQ147=INDEX('Lease Cycles'!$DK$16:$DQ$16,1,EQ146),1-INDEX('Lease Cycles'!$DR$16:$DX$16,1,EQ146),1))),0)</f>
        <v>4535.716198662841</v>
      </c>
      <c r="ER152" s="28">
        <f>IF(ER148=1,IF(INDEX('Lease Cycles'!$EF$16:$EL$16,1,ER146)=1,ER149*INDEX('Lease Cycles'!$EM$16:$ES$16,1,ER146)+ER150*IF(ER147&lt;INDEX('Lease Cycles'!$FA$16:$FG$16,1,ER146),0,1-INDEX('Lease Cycles'!$EM$16:$ES$16,1,ER146)),ER149*IF(ER147&lt;INDEX('Lease Cycles'!$DK$16:$DQ$16,1,ER146),0,IF(ER147=INDEX('Lease Cycles'!$DK$16:$DQ$16,1,ER146),1-INDEX('Lease Cycles'!$DR$16:$DX$16,1,ER146),1))),0)</f>
        <v>4535.716198662841</v>
      </c>
      <c r="ES152" s="28">
        <f>IF(ES148=1,IF(INDEX('Lease Cycles'!$EF$16:$EL$16,1,ES146)=1,ES149*INDEX('Lease Cycles'!$EM$16:$ES$16,1,ES146)+ES150*IF(ES147&lt;INDEX('Lease Cycles'!$FA$16:$FG$16,1,ES146),0,1-INDEX('Lease Cycles'!$EM$16:$ES$16,1,ES146)),ES149*IF(ES147&lt;INDEX('Lease Cycles'!$DK$16:$DQ$16,1,ES146),0,IF(ES147=INDEX('Lease Cycles'!$DK$16:$DQ$16,1,ES146),1-INDEX('Lease Cycles'!$DR$16:$DX$16,1,ES146),1))),0)</f>
        <v>4671.787684622726</v>
      </c>
      <c r="ET152" s="28">
        <f>IF(ET148=1,IF(INDEX('Lease Cycles'!$EF$16:$EL$16,1,ET146)=1,ET149*INDEX('Lease Cycles'!$EM$16:$ES$16,1,ET146)+ET150*IF(ET147&lt;INDEX('Lease Cycles'!$FA$16:$FG$16,1,ET146),0,1-INDEX('Lease Cycles'!$EM$16:$ES$16,1,ET146)),ET149*IF(ET147&lt;INDEX('Lease Cycles'!$DK$16:$DQ$16,1,ET146),0,IF(ET147=INDEX('Lease Cycles'!$DK$16:$DQ$16,1,ET146),1-INDEX('Lease Cycles'!$DR$16:$DX$16,1,ET146),1))),0)</f>
        <v>4671.787684622726</v>
      </c>
    </row>
    <row r="153">
      <c r="A153" s="103">
        <v>9</v>
      </c>
      <c r="B153" s="23" t="str">
        <f>IF('Lease Cycles'!$B$16="","(empty slot)",'Lease Cycles'!$B$16)</f>
        <v>Sunfield Office Suite</v>
      </c>
      <c r="C153" s="23" t="s">
        <v>493</v>
      </c>
      <c r="D153" s="104" t="s">
        <v>494</v>
      </c>
      <c r="E153" s="25">
        <f>'Lease Cycles'!$AL$16</f>
        <v>0</v>
      </c>
      <c r="G153" s="28">
        <f>SUM(S153:AD153)</f>
        <v>0</v>
      </c>
      <c r="H153" s="28">
        <f>SUM(AE153:AP153)</f>
        <v>0</v>
      </c>
      <c r="I153" s="28">
        <f>SUM(AQ153:BB153)</f>
        <v>0</v>
      </c>
      <c r="J153" s="28">
        <f>SUM(BC153:BN153)</f>
        <v>0</v>
      </c>
      <c r="K153" s="28">
        <f>SUM(BO153:BZ153)</f>
        <v>2347.529181864068</v>
      </c>
      <c r="L153" s="28">
        <f>SUM(CA153:CL153)</f>
        <v>0</v>
      </c>
      <c r="M153" s="28">
        <f>SUM(CM153:CX153)</f>
        <v>0</v>
      </c>
      <c r="N153" s="28">
        <f>SUM(CY153:DJ153)</f>
        <v>0</v>
      </c>
      <c r="O153" s="28">
        <f>SUM(DK153:DV153)</f>
        <v>0</v>
      </c>
      <c r="P153" s="28">
        <f>SUM(DW153:EH153)</f>
        <v>0</v>
      </c>
      <c r="Q153" s="28">
        <f>SUM(EI153:ET153)</f>
        <v>0</v>
      </c>
      <c r="S153" s="28">
        <f>IF(S148=1,IF(INDEX('Lease Cycles'!$EF$16:$EL$16,1,S146)=1,0,S149*(1-IF(S147&lt;INDEX('Lease Cycles'!$DK$16:$DQ$16,1,S146),0,IF(S147=INDEX('Lease Cycles'!$DK$16:$DQ$16,1,S146),1-INDEX('Lease Cycles'!$DR$16:$DX$16,1,S146),1))-IF(S147=0,INDEX('Lease Cycles'!$DD$16:$DJ$16,1,S146),0))),0)</f>
        <v>0</v>
      </c>
      <c r="T153" s="28">
        <f>IF(T148=1,IF(INDEX('Lease Cycles'!$EF$16:$EL$16,1,T146)=1,0,T149*(1-IF(T147&lt;INDEX('Lease Cycles'!$DK$16:$DQ$16,1,T146),0,IF(T147=INDEX('Lease Cycles'!$DK$16:$DQ$16,1,T146),1-INDEX('Lease Cycles'!$DR$16:$DX$16,1,T146),1))-IF(T147=0,INDEX('Lease Cycles'!$DD$16:$DJ$16,1,T146),0))),0)</f>
        <v>0</v>
      </c>
      <c r="U153" s="28">
        <f>IF(U148=1,IF(INDEX('Lease Cycles'!$EF$16:$EL$16,1,U146)=1,0,U149*(1-IF(U147&lt;INDEX('Lease Cycles'!$DK$16:$DQ$16,1,U146),0,IF(U147=INDEX('Lease Cycles'!$DK$16:$DQ$16,1,U146),1-INDEX('Lease Cycles'!$DR$16:$DX$16,1,U146),1))-IF(U147=0,INDEX('Lease Cycles'!$DD$16:$DJ$16,1,U146),0))),0)</f>
        <v>0</v>
      </c>
      <c r="V153" s="28">
        <f>IF(V148=1,IF(INDEX('Lease Cycles'!$EF$16:$EL$16,1,V146)=1,0,V149*(1-IF(V147&lt;INDEX('Lease Cycles'!$DK$16:$DQ$16,1,V146),0,IF(V147=INDEX('Lease Cycles'!$DK$16:$DQ$16,1,V146),1-INDEX('Lease Cycles'!$DR$16:$DX$16,1,V146),1))-IF(V147=0,INDEX('Lease Cycles'!$DD$16:$DJ$16,1,V146),0))),0)</f>
        <v>0</v>
      </c>
      <c r="W153" s="28">
        <f>IF(W148=1,IF(INDEX('Lease Cycles'!$EF$16:$EL$16,1,W146)=1,0,W149*(1-IF(W147&lt;INDEX('Lease Cycles'!$DK$16:$DQ$16,1,W146),0,IF(W147=INDEX('Lease Cycles'!$DK$16:$DQ$16,1,W146),1-INDEX('Lease Cycles'!$DR$16:$DX$16,1,W146),1))-IF(W147=0,INDEX('Lease Cycles'!$DD$16:$DJ$16,1,W146),0))),0)</f>
        <v>0</v>
      </c>
      <c r="X153" s="28">
        <f>IF(X148=1,IF(INDEX('Lease Cycles'!$EF$16:$EL$16,1,X146)=1,0,X149*(1-IF(X147&lt;INDEX('Lease Cycles'!$DK$16:$DQ$16,1,X146),0,IF(X147=INDEX('Lease Cycles'!$DK$16:$DQ$16,1,X146),1-INDEX('Lease Cycles'!$DR$16:$DX$16,1,X146),1))-IF(X147=0,INDEX('Lease Cycles'!$DD$16:$DJ$16,1,X146),0))),0)</f>
        <v>0</v>
      </c>
      <c r="Y153" s="28">
        <f>IF(Y148=1,IF(INDEX('Lease Cycles'!$EF$16:$EL$16,1,Y146)=1,0,Y149*(1-IF(Y147&lt;INDEX('Lease Cycles'!$DK$16:$DQ$16,1,Y146),0,IF(Y147=INDEX('Lease Cycles'!$DK$16:$DQ$16,1,Y146),1-INDEX('Lease Cycles'!$DR$16:$DX$16,1,Y146),1))-IF(Y147=0,INDEX('Lease Cycles'!$DD$16:$DJ$16,1,Y146),0))),0)</f>
        <v>0</v>
      </c>
      <c r="Z153" s="28">
        <f>IF(Z148=1,IF(INDEX('Lease Cycles'!$EF$16:$EL$16,1,Z146)=1,0,Z149*(1-IF(Z147&lt;INDEX('Lease Cycles'!$DK$16:$DQ$16,1,Z146),0,IF(Z147=INDEX('Lease Cycles'!$DK$16:$DQ$16,1,Z146),1-INDEX('Lease Cycles'!$DR$16:$DX$16,1,Z146),1))-IF(Z147=0,INDEX('Lease Cycles'!$DD$16:$DJ$16,1,Z146),0))),0)</f>
        <v>0</v>
      </c>
      <c r="AA153" s="28">
        <f>IF(AA148=1,IF(INDEX('Lease Cycles'!$EF$16:$EL$16,1,AA146)=1,0,AA149*(1-IF(AA147&lt;INDEX('Lease Cycles'!$DK$16:$DQ$16,1,AA146),0,IF(AA147=INDEX('Lease Cycles'!$DK$16:$DQ$16,1,AA146),1-INDEX('Lease Cycles'!$DR$16:$DX$16,1,AA146),1))-IF(AA147=0,INDEX('Lease Cycles'!$DD$16:$DJ$16,1,AA146),0))),0)</f>
        <v>0</v>
      </c>
      <c r="AB153" s="28">
        <f>IF(AB148=1,IF(INDEX('Lease Cycles'!$EF$16:$EL$16,1,AB146)=1,0,AB149*(1-IF(AB147&lt;INDEX('Lease Cycles'!$DK$16:$DQ$16,1,AB146),0,IF(AB147=INDEX('Lease Cycles'!$DK$16:$DQ$16,1,AB146),1-INDEX('Lease Cycles'!$DR$16:$DX$16,1,AB146),1))-IF(AB147=0,INDEX('Lease Cycles'!$DD$16:$DJ$16,1,AB146),0))),0)</f>
        <v>0</v>
      </c>
      <c r="AC153" s="28">
        <f>IF(AC148=1,IF(INDEX('Lease Cycles'!$EF$16:$EL$16,1,AC146)=1,0,AC149*(1-IF(AC147&lt;INDEX('Lease Cycles'!$DK$16:$DQ$16,1,AC146),0,IF(AC147=INDEX('Lease Cycles'!$DK$16:$DQ$16,1,AC146),1-INDEX('Lease Cycles'!$DR$16:$DX$16,1,AC146),1))-IF(AC147=0,INDEX('Lease Cycles'!$DD$16:$DJ$16,1,AC146),0))),0)</f>
        <v>0</v>
      </c>
      <c r="AD153" s="28">
        <f>IF(AD148=1,IF(INDEX('Lease Cycles'!$EF$16:$EL$16,1,AD146)=1,0,AD149*(1-IF(AD147&lt;INDEX('Lease Cycles'!$DK$16:$DQ$16,1,AD146),0,IF(AD147=INDEX('Lease Cycles'!$DK$16:$DQ$16,1,AD146),1-INDEX('Lease Cycles'!$DR$16:$DX$16,1,AD146),1))-IF(AD147=0,INDEX('Lease Cycles'!$DD$16:$DJ$16,1,AD146),0))),0)</f>
        <v>0</v>
      </c>
      <c r="AE153" s="28">
        <f>IF(AE148=1,IF(INDEX('Lease Cycles'!$EF$16:$EL$16,1,AE146)=1,0,AE149*(1-IF(AE147&lt;INDEX('Lease Cycles'!$DK$16:$DQ$16,1,AE146),0,IF(AE147=INDEX('Lease Cycles'!$DK$16:$DQ$16,1,AE146),1-INDEX('Lease Cycles'!$DR$16:$DX$16,1,AE146),1))-IF(AE147=0,INDEX('Lease Cycles'!$DD$16:$DJ$16,1,AE146),0))),0)</f>
        <v>0</v>
      </c>
      <c r="AF153" s="28">
        <f>IF(AF148=1,IF(INDEX('Lease Cycles'!$EF$16:$EL$16,1,AF146)=1,0,AF149*(1-IF(AF147&lt;INDEX('Lease Cycles'!$DK$16:$DQ$16,1,AF146),0,IF(AF147=INDEX('Lease Cycles'!$DK$16:$DQ$16,1,AF146),1-INDEX('Lease Cycles'!$DR$16:$DX$16,1,AF146),1))-IF(AF147=0,INDEX('Lease Cycles'!$DD$16:$DJ$16,1,AF146),0))),0)</f>
        <v>0</v>
      </c>
      <c r="AG153" s="28">
        <f>IF(AG148=1,IF(INDEX('Lease Cycles'!$EF$16:$EL$16,1,AG146)=1,0,AG149*(1-IF(AG147&lt;INDEX('Lease Cycles'!$DK$16:$DQ$16,1,AG146),0,IF(AG147=INDEX('Lease Cycles'!$DK$16:$DQ$16,1,AG146),1-INDEX('Lease Cycles'!$DR$16:$DX$16,1,AG146),1))-IF(AG147=0,INDEX('Lease Cycles'!$DD$16:$DJ$16,1,AG146),0))),0)</f>
        <v>0</v>
      </c>
      <c r="AH153" s="28">
        <f>IF(AH148=1,IF(INDEX('Lease Cycles'!$EF$16:$EL$16,1,AH146)=1,0,AH149*(1-IF(AH147&lt;INDEX('Lease Cycles'!$DK$16:$DQ$16,1,AH146),0,IF(AH147=INDEX('Lease Cycles'!$DK$16:$DQ$16,1,AH146),1-INDEX('Lease Cycles'!$DR$16:$DX$16,1,AH146),1))-IF(AH147=0,INDEX('Lease Cycles'!$DD$16:$DJ$16,1,AH146),0))),0)</f>
        <v>0</v>
      </c>
      <c r="AI153" s="28">
        <f>IF(AI148=1,IF(INDEX('Lease Cycles'!$EF$16:$EL$16,1,AI146)=1,0,AI149*(1-IF(AI147&lt;INDEX('Lease Cycles'!$DK$16:$DQ$16,1,AI146),0,IF(AI147=INDEX('Lease Cycles'!$DK$16:$DQ$16,1,AI146),1-INDEX('Lease Cycles'!$DR$16:$DX$16,1,AI146),1))-IF(AI147=0,INDEX('Lease Cycles'!$DD$16:$DJ$16,1,AI146),0))),0)</f>
        <v>0</v>
      </c>
      <c r="AJ153" s="28">
        <f>IF(AJ148=1,IF(INDEX('Lease Cycles'!$EF$16:$EL$16,1,AJ146)=1,0,AJ149*(1-IF(AJ147&lt;INDEX('Lease Cycles'!$DK$16:$DQ$16,1,AJ146),0,IF(AJ147=INDEX('Lease Cycles'!$DK$16:$DQ$16,1,AJ146),1-INDEX('Lease Cycles'!$DR$16:$DX$16,1,AJ146),1))-IF(AJ147=0,INDEX('Lease Cycles'!$DD$16:$DJ$16,1,AJ146),0))),0)</f>
        <v>0</v>
      </c>
      <c r="AK153" s="28">
        <f>IF(AK148=1,IF(INDEX('Lease Cycles'!$EF$16:$EL$16,1,AK146)=1,0,AK149*(1-IF(AK147&lt;INDEX('Lease Cycles'!$DK$16:$DQ$16,1,AK146),0,IF(AK147=INDEX('Lease Cycles'!$DK$16:$DQ$16,1,AK146),1-INDEX('Lease Cycles'!$DR$16:$DX$16,1,AK146),1))-IF(AK147=0,INDEX('Lease Cycles'!$DD$16:$DJ$16,1,AK146),0))),0)</f>
        <v>0</v>
      </c>
      <c r="AL153" s="28">
        <f>IF(AL148=1,IF(INDEX('Lease Cycles'!$EF$16:$EL$16,1,AL146)=1,0,AL149*(1-IF(AL147&lt;INDEX('Lease Cycles'!$DK$16:$DQ$16,1,AL146),0,IF(AL147=INDEX('Lease Cycles'!$DK$16:$DQ$16,1,AL146),1-INDEX('Lease Cycles'!$DR$16:$DX$16,1,AL146),1))-IF(AL147=0,INDEX('Lease Cycles'!$DD$16:$DJ$16,1,AL146),0))),0)</f>
        <v>0</v>
      </c>
      <c r="AM153" s="28">
        <f>IF(AM148=1,IF(INDEX('Lease Cycles'!$EF$16:$EL$16,1,AM146)=1,0,AM149*(1-IF(AM147&lt;INDEX('Lease Cycles'!$DK$16:$DQ$16,1,AM146),0,IF(AM147=INDEX('Lease Cycles'!$DK$16:$DQ$16,1,AM146),1-INDEX('Lease Cycles'!$DR$16:$DX$16,1,AM146),1))-IF(AM147=0,INDEX('Lease Cycles'!$DD$16:$DJ$16,1,AM146),0))),0)</f>
        <v>0</v>
      </c>
      <c r="AN153" s="28">
        <f>IF(AN148=1,IF(INDEX('Lease Cycles'!$EF$16:$EL$16,1,AN146)=1,0,AN149*(1-IF(AN147&lt;INDEX('Lease Cycles'!$DK$16:$DQ$16,1,AN146),0,IF(AN147=INDEX('Lease Cycles'!$DK$16:$DQ$16,1,AN146),1-INDEX('Lease Cycles'!$DR$16:$DX$16,1,AN146),1))-IF(AN147=0,INDEX('Lease Cycles'!$DD$16:$DJ$16,1,AN146),0))),0)</f>
        <v>0</v>
      </c>
      <c r="AO153" s="28">
        <f>IF(AO148=1,IF(INDEX('Lease Cycles'!$EF$16:$EL$16,1,AO146)=1,0,AO149*(1-IF(AO147&lt;INDEX('Lease Cycles'!$DK$16:$DQ$16,1,AO146),0,IF(AO147=INDEX('Lease Cycles'!$DK$16:$DQ$16,1,AO146),1-INDEX('Lease Cycles'!$DR$16:$DX$16,1,AO146),1))-IF(AO147=0,INDEX('Lease Cycles'!$DD$16:$DJ$16,1,AO146),0))),0)</f>
        <v>0</v>
      </c>
      <c r="AP153" s="28">
        <f>IF(AP148=1,IF(INDEX('Lease Cycles'!$EF$16:$EL$16,1,AP146)=1,0,AP149*(1-IF(AP147&lt;INDEX('Lease Cycles'!$DK$16:$DQ$16,1,AP146),0,IF(AP147=INDEX('Lease Cycles'!$DK$16:$DQ$16,1,AP146),1-INDEX('Lease Cycles'!$DR$16:$DX$16,1,AP146),1))-IF(AP147=0,INDEX('Lease Cycles'!$DD$16:$DJ$16,1,AP146),0))),0)</f>
        <v>0</v>
      </c>
      <c r="AQ153" s="28">
        <f>IF(AQ148=1,IF(INDEX('Lease Cycles'!$EF$16:$EL$16,1,AQ146)=1,0,AQ149*(1-IF(AQ147&lt;INDEX('Lease Cycles'!$DK$16:$DQ$16,1,AQ146),0,IF(AQ147=INDEX('Lease Cycles'!$DK$16:$DQ$16,1,AQ146),1-INDEX('Lease Cycles'!$DR$16:$DX$16,1,AQ146),1))-IF(AQ147=0,INDEX('Lease Cycles'!$DD$16:$DJ$16,1,AQ146),0))),0)</f>
        <v>0</v>
      </c>
      <c r="AR153" s="28">
        <f>IF(AR148=1,IF(INDEX('Lease Cycles'!$EF$16:$EL$16,1,AR146)=1,0,AR149*(1-IF(AR147&lt;INDEX('Lease Cycles'!$DK$16:$DQ$16,1,AR146),0,IF(AR147=INDEX('Lease Cycles'!$DK$16:$DQ$16,1,AR146),1-INDEX('Lease Cycles'!$DR$16:$DX$16,1,AR146),1))-IF(AR147=0,INDEX('Lease Cycles'!$DD$16:$DJ$16,1,AR146),0))),0)</f>
        <v>0</v>
      </c>
      <c r="AS153" s="28">
        <f>IF(AS148=1,IF(INDEX('Lease Cycles'!$EF$16:$EL$16,1,AS146)=1,0,AS149*(1-IF(AS147&lt;INDEX('Lease Cycles'!$DK$16:$DQ$16,1,AS146),0,IF(AS147=INDEX('Lease Cycles'!$DK$16:$DQ$16,1,AS146),1-INDEX('Lease Cycles'!$DR$16:$DX$16,1,AS146),1))-IF(AS147=0,INDEX('Lease Cycles'!$DD$16:$DJ$16,1,AS146),0))),0)</f>
        <v>0</v>
      </c>
      <c r="AT153" s="28">
        <f>IF(AT148=1,IF(INDEX('Lease Cycles'!$EF$16:$EL$16,1,AT146)=1,0,AT149*(1-IF(AT147&lt;INDEX('Lease Cycles'!$DK$16:$DQ$16,1,AT146),0,IF(AT147=INDEX('Lease Cycles'!$DK$16:$DQ$16,1,AT146),1-INDEX('Lease Cycles'!$DR$16:$DX$16,1,AT146),1))-IF(AT147=0,INDEX('Lease Cycles'!$DD$16:$DJ$16,1,AT146),0))),0)</f>
        <v>0</v>
      </c>
      <c r="AU153" s="28">
        <f>IF(AU148=1,IF(INDEX('Lease Cycles'!$EF$16:$EL$16,1,AU146)=1,0,AU149*(1-IF(AU147&lt;INDEX('Lease Cycles'!$DK$16:$DQ$16,1,AU146),0,IF(AU147=INDEX('Lease Cycles'!$DK$16:$DQ$16,1,AU146),1-INDEX('Lease Cycles'!$DR$16:$DX$16,1,AU146),1))-IF(AU147=0,INDEX('Lease Cycles'!$DD$16:$DJ$16,1,AU146),0))),0)</f>
        <v>0</v>
      </c>
      <c r="AV153" s="28">
        <f>IF(AV148=1,IF(INDEX('Lease Cycles'!$EF$16:$EL$16,1,AV146)=1,0,AV149*(1-IF(AV147&lt;INDEX('Lease Cycles'!$DK$16:$DQ$16,1,AV146),0,IF(AV147=INDEX('Lease Cycles'!$DK$16:$DQ$16,1,AV146),1-INDEX('Lease Cycles'!$DR$16:$DX$16,1,AV146),1))-IF(AV147=0,INDEX('Lease Cycles'!$DD$16:$DJ$16,1,AV146),0))),0)</f>
        <v>0</v>
      </c>
      <c r="AW153" s="28">
        <f>IF(AW148=1,IF(INDEX('Lease Cycles'!$EF$16:$EL$16,1,AW146)=1,0,AW149*(1-IF(AW147&lt;INDEX('Lease Cycles'!$DK$16:$DQ$16,1,AW146),0,IF(AW147=INDEX('Lease Cycles'!$DK$16:$DQ$16,1,AW146),1-INDEX('Lease Cycles'!$DR$16:$DX$16,1,AW146),1))-IF(AW147=0,INDEX('Lease Cycles'!$DD$16:$DJ$16,1,AW146),0))),0)</f>
        <v>0</v>
      </c>
      <c r="AX153" s="28">
        <f>IF(AX148=1,IF(INDEX('Lease Cycles'!$EF$16:$EL$16,1,AX146)=1,0,AX149*(1-IF(AX147&lt;INDEX('Lease Cycles'!$DK$16:$DQ$16,1,AX146),0,IF(AX147=INDEX('Lease Cycles'!$DK$16:$DQ$16,1,AX146),1-INDEX('Lease Cycles'!$DR$16:$DX$16,1,AX146),1))-IF(AX147=0,INDEX('Lease Cycles'!$DD$16:$DJ$16,1,AX146),0))),0)</f>
        <v>0</v>
      </c>
      <c r="AY153" s="28">
        <f>IF(AY148=1,IF(INDEX('Lease Cycles'!$EF$16:$EL$16,1,AY146)=1,0,AY149*(1-IF(AY147&lt;INDEX('Lease Cycles'!$DK$16:$DQ$16,1,AY146),0,IF(AY147=INDEX('Lease Cycles'!$DK$16:$DQ$16,1,AY146),1-INDEX('Lease Cycles'!$DR$16:$DX$16,1,AY146),1))-IF(AY147=0,INDEX('Lease Cycles'!$DD$16:$DJ$16,1,AY146),0))),0)</f>
        <v>0</v>
      </c>
      <c r="AZ153" s="28">
        <f>IF(AZ148=1,IF(INDEX('Lease Cycles'!$EF$16:$EL$16,1,AZ146)=1,0,AZ149*(1-IF(AZ147&lt;INDEX('Lease Cycles'!$DK$16:$DQ$16,1,AZ146),0,IF(AZ147=INDEX('Lease Cycles'!$DK$16:$DQ$16,1,AZ146),1-INDEX('Lease Cycles'!$DR$16:$DX$16,1,AZ146),1))-IF(AZ147=0,INDEX('Lease Cycles'!$DD$16:$DJ$16,1,AZ146),0))),0)</f>
        <v>0</v>
      </c>
      <c r="BA153" s="28">
        <f>IF(BA148=1,IF(INDEX('Lease Cycles'!$EF$16:$EL$16,1,BA146)=1,0,BA149*(1-IF(BA147&lt;INDEX('Lease Cycles'!$DK$16:$DQ$16,1,BA146),0,IF(BA147=INDEX('Lease Cycles'!$DK$16:$DQ$16,1,BA146),1-INDEX('Lease Cycles'!$DR$16:$DX$16,1,BA146),1))-IF(BA147=0,INDEX('Lease Cycles'!$DD$16:$DJ$16,1,BA146),0))),0)</f>
        <v>0</v>
      </c>
      <c r="BB153" s="28">
        <f>IF(BB148=1,IF(INDEX('Lease Cycles'!$EF$16:$EL$16,1,BB146)=1,0,BB149*(1-IF(BB147&lt;INDEX('Lease Cycles'!$DK$16:$DQ$16,1,BB146),0,IF(BB147=INDEX('Lease Cycles'!$DK$16:$DQ$16,1,BB146),1-INDEX('Lease Cycles'!$DR$16:$DX$16,1,BB146),1))-IF(BB147=0,INDEX('Lease Cycles'!$DD$16:$DJ$16,1,BB146),0))),0)</f>
        <v>0</v>
      </c>
      <c r="BC153" s="28">
        <f>IF(BC148=1,IF(INDEX('Lease Cycles'!$EF$16:$EL$16,1,BC146)=1,0,BC149*(1-IF(BC147&lt;INDEX('Lease Cycles'!$DK$16:$DQ$16,1,BC146),0,IF(BC147=INDEX('Lease Cycles'!$DK$16:$DQ$16,1,BC146),1-INDEX('Lease Cycles'!$DR$16:$DX$16,1,BC146),1))-IF(BC147=0,INDEX('Lease Cycles'!$DD$16:$DJ$16,1,BC146),0))),0)</f>
        <v>0</v>
      </c>
      <c r="BD153" s="28">
        <f>IF(BD148=1,IF(INDEX('Lease Cycles'!$EF$16:$EL$16,1,BD146)=1,0,BD149*(1-IF(BD147&lt;INDEX('Lease Cycles'!$DK$16:$DQ$16,1,BD146),0,IF(BD147=INDEX('Lease Cycles'!$DK$16:$DQ$16,1,BD146),1-INDEX('Lease Cycles'!$DR$16:$DX$16,1,BD146),1))-IF(BD147=0,INDEX('Lease Cycles'!$DD$16:$DJ$16,1,BD146),0))),0)</f>
        <v>0</v>
      </c>
      <c r="BE153" s="28">
        <f>IF(BE148=1,IF(INDEX('Lease Cycles'!$EF$16:$EL$16,1,BE146)=1,0,BE149*(1-IF(BE147&lt;INDEX('Lease Cycles'!$DK$16:$DQ$16,1,BE146),0,IF(BE147=INDEX('Lease Cycles'!$DK$16:$DQ$16,1,BE146),1-INDEX('Lease Cycles'!$DR$16:$DX$16,1,BE146),1))-IF(BE147=0,INDEX('Lease Cycles'!$DD$16:$DJ$16,1,BE146),0))),0)</f>
        <v>0</v>
      </c>
      <c r="BF153" s="28">
        <f>IF(BF148=1,IF(INDEX('Lease Cycles'!$EF$16:$EL$16,1,BF146)=1,0,BF149*(1-IF(BF147&lt;INDEX('Lease Cycles'!$DK$16:$DQ$16,1,BF146),0,IF(BF147=INDEX('Lease Cycles'!$DK$16:$DQ$16,1,BF146),1-INDEX('Lease Cycles'!$DR$16:$DX$16,1,BF146),1))-IF(BF147=0,INDEX('Lease Cycles'!$DD$16:$DJ$16,1,BF146),0))),0)</f>
        <v>0</v>
      </c>
      <c r="BG153" s="28">
        <f>IF(BG148=1,IF(INDEX('Lease Cycles'!$EF$16:$EL$16,1,BG146)=1,0,BG149*(1-IF(BG147&lt;INDEX('Lease Cycles'!$DK$16:$DQ$16,1,BG146),0,IF(BG147=INDEX('Lease Cycles'!$DK$16:$DQ$16,1,BG146),1-INDEX('Lease Cycles'!$DR$16:$DX$16,1,BG146),1))-IF(BG147=0,INDEX('Lease Cycles'!$DD$16:$DJ$16,1,BG146),0))),0)</f>
        <v>0</v>
      </c>
      <c r="BH153" s="28">
        <f>IF(BH148=1,IF(INDEX('Lease Cycles'!$EF$16:$EL$16,1,BH146)=1,0,BH149*(1-IF(BH147&lt;INDEX('Lease Cycles'!$DK$16:$DQ$16,1,BH146),0,IF(BH147=INDEX('Lease Cycles'!$DK$16:$DQ$16,1,BH146),1-INDEX('Lease Cycles'!$DR$16:$DX$16,1,BH146),1))-IF(BH147=0,INDEX('Lease Cycles'!$DD$16:$DJ$16,1,BH146),0))),0)</f>
        <v>0</v>
      </c>
      <c r="BI153" s="28">
        <f>IF(BI148=1,IF(INDEX('Lease Cycles'!$EF$16:$EL$16,1,BI146)=1,0,BI149*(1-IF(BI147&lt;INDEX('Lease Cycles'!$DK$16:$DQ$16,1,BI146),0,IF(BI147=INDEX('Lease Cycles'!$DK$16:$DQ$16,1,BI146),1-INDEX('Lease Cycles'!$DR$16:$DX$16,1,BI146),1))-IF(BI147=0,INDEX('Lease Cycles'!$DD$16:$DJ$16,1,BI146),0))),0)</f>
        <v>0</v>
      </c>
      <c r="BJ153" s="28">
        <f>IF(BJ148=1,IF(INDEX('Lease Cycles'!$EF$16:$EL$16,1,BJ146)=1,0,BJ149*(1-IF(BJ147&lt;INDEX('Lease Cycles'!$DK$16:$DQ$16,1,BJ146),0,IF(BJ147=INDEX('Lease Cycles'!$DK$16:$DQ$16,1,BJ146),1-INDEX('Lease Cycles'!$DR$16:$DX$16,1,BJ146),1))-IF(BJ147=0,INDEX('Lease Cycles'!$DD$16:$DJ$16,1,BJ146),0))),0)</f>
        <v>0</v>
      </c>
      <c r="BK153" s="28">
        <f>IF(BK148=1,IF(INDEX('Lease Cycles'!$EF$16:$EL$16,1,BK146)=1,0,BK149*(1-IF(BK147&lt;INDEX('Lease Cycles'!$DK$16:$DQ$16,1,BK146),0,IF(BK147=INDEX('Lease Cycles'!$DK$16:$DQ$16,1,BK146),1-INDEX('Lease Cycles'!$DR$16:$DX$16,1,BK146),1))-IF(BK147=0,INDEX('Lease Cycles'!$DD$16:$DJ$16,1,BK146),0))),0)</f>
        <v>0</v>
      </c>
      <c r="BL153" s="28">
        <f>IF(BL148=1,IF(INDEX('Lease Cycles'!$EF$16:$EL$16,1,BL146)=1,0,BL149*(1-IF(BL147&lt;INDEX('Lease Cycles'!$DK$16:$DQ$16,1,BL146),0,IF(BL147=INDEX('Lease Cycles'!$DK$16:$DQ$16,1,BL146),1-INDEX('Lease Cycles'!$DR$16:$DX$16,1,BL146),1))-IF(BL147=0,INDEX('Lease Cycles'!$DD$16:$DJ$16,1,BL146),0))),0)</f>
        <v>0</v>
      </c>
      <c r="BM153" s="28">
        <f>IF(BM148=1,IF(INDEX('Lease Cycles'!$EF$16:$EL$16,1,BM146)=1,0,BM149*(1-IF(BM147&lt;INDEX('Lease Cycles'!$DK$16:$DQ$16,1,BM146),0,IF(BM147=INDEX('Lease Cycles'!$DK$16:$DQ$16,1,BM146),1-INDEX('Lease Cycles'!$DR$16:$DX$16,1,BM146),1))-IF(BM147=0,INDEX('Lease Cycles'!$DD$16:$DJ$16,1,BM146),0))),0)</f>
        <v>0</v>
      </c>
      <c r="BN153" s="28">
        <f>IF(BN148=1,IF(INDEX('Lease Cycles'!$EF$16:$EL$16,1,BN146)=1,0,BN149*(1-IF(BN147&lt;INDEX('Lease Cycles'!$DK$16:$DQ$16,1,BN146),0,IF(BN147=INDEX('Lease Cycles'!$DK$16:$DQ$16,1,BN146),1-INDEX('Lease Cycles'!$DR$16:$DX$16,1,BN146),1))-IF(BN147=0,INDEX('Lease Cycles'!$DD$16:$DJ$16,1,BN146),0))),0)</f>
        <v>0</v>
      </c>
      <c r="BO153" s="28">
        <f>IF(BO148=1,IF(INDEX('Lease Cycles'!$EF$16:$EL$16,1,BO146)=1,0,BO149*(1-IF(BO147&lt;INDEX('Lease Cycles'!$DK$16:$DQ$16,1,BO146),0,IF(BO147=INDEX('Lease Cycles'!$DK$16:$DQ$16,1,BO146),1-INDEX('Lease Cycles'!$DR$16:$DX$16,1,BO146),1))-IF(BO147=0,INDEX('Lease Cycles'!$DD$16:$DJ$16,1,BO146),0))),0)</f>
        <v>0</v>
      </c>
      <c r="BP153" s="28">
        <f>IF(BP148=1,IF(INDEX('Lease Cycles'!$EF$16:$EL$16,1,BP146)=1,0,BP149*(1-IF(BP147&lt;INDEX('Lease Cycles'!$DK$16:$DQ$16,1,BP146),0,IF(BP147=INDEX('Lease Cycles'!$DK$16:$DQ$16,1,BP146),1-INDEX('Lease Cycles'!$DR$16:$DX$16,1,BP146),1))-IF(BP147=0,INDEX('Lease Cycles'!$DD$16:$DJ$16,1,BP146),0))),0)</f>
        <v>0</v>
      </c>
      <c r="BQ153" s="28">
        <f>IF(BQ148=1,IF(INDEX('Lease Cycles'!$EF$16:$EL$16,1,BQ146)=1,0,BQ149*(1-IF(BQ147&lt;INDEX('Lease Cycles'!$DK$16:$DQ$16,1,BQ146),0,IF(BQ147=INDEX('Lease Cycles'!$DK$16:$DQ$16,1,BQ146),1-INDEX('Lease Cycles'!$DR$16:$DX$16,1,BQ146),1))-IF(BQ147=0,INDEX('Lease Cycles'!$DD$16:$DJ$16,1,BQ146),0))),0)</f>
        <v>0</v>
      </c>
      <c r="BR153" s="28">
        <f>IF(BR148=1,IF(INDEX('Lease Cycles'!$EF$16:$EL$16,1,BR146)=1,0,BR149*(1-IF(BR147&lt;INDEX('Lease Cycles'!$DK$16:$DQ$16,1,BR146),0,IF(BR147=INDEX('Lease Cycles'!$DK$16:$DQ$16,1,BR146),1-INDEX('Lease Cycles'!$DR$16:$DX$16,1,BR146),1))-IF(BR147=0,INDEX('Lease Cycles'!$DD$16:$DJ$16,1,BR146),0))),0)</f>
        <v>0</v>
      </c>
      <c r="BS153" s="28">
        <f>IF(BS148=1,IF(INDEX('Lease Cycles'!$EF$16:$EL$16,1,BS146)=1,0,BS149*(1-IF(BS147&lt;INDEX('Lease Cycles'!$DK$16:$DQ$16,1,BS146),0,IF(BS147=INDEX('Lease Cycles'!$DK$16:$DQ$16,1,BS146),1-INDEX('Lease Cycles'!$DR$16:$DX$16,1,BS146),1))-IF(BS147=0,INDEX('Lease Cycles'!$DD$16:$DJ$16,1,BS146),0))),0)</f>
        <v>0</v>
      </c>
      <c r="BT153" s="28">
        <f>IF(BT148=1,IF(INDEX('Lease Cycles'!$EF$16:$EL$16,1,BT146)=1,0,BT149*(1-IF(BT147&lt;INDEX('Lease Cycles'!$DK$16:$DQ$16,1,BT146),0,IF(BT147=INDEX('Lease Cycles'!$DK$16:$DQ$16,1,BT146),1-INDEX('Lease Cycles'!$DR$16:$DX$16,1,BT146),1))-IF(BT147=0,INDEX('Lease Cycles'!$DD$16:$DJ$16,1,BT146),0))),0)</f>
        <v>0</v>
      </c>
      <c r="BU153" s="28">
        <f>IF(BU148=1,IF(INDEX('Lease Cycles'!$EF$16:$EL$16,1,BU146)=1,0,BU149*(1-IF(BU147&lt;INDEX('Lease Cycles'!$DK$16:$DQ$16,1,BU146),0,IF(BU147=INDEX('Lease Cycles'!$DK$16:$DQ$16,1,BU146),1-INDEX('Lease Cycles'!$DR$16:$DX$16,1,BU146),1))-IF(BU147=0,INDEX('Lease Cycles'!$DD$16:$DJ$16,1,BU146),0))),0)</f>
        <v>0</v>
      </c>
      <c r="BV153" s="28">
        <f>IF(BV148=1,IF(INDEX('Lease Cycles'!$EF$16:$EL$16,1,BV146)=1,0,BV149*(1-IF(BV147&lt;INDEX('Lease Cycles'!$DK$16:$DQ$16,1,BV146),0,IF(BV147=INDEX('Lease Cycles'!$DK$16:$DQ$16,1,BV146),1-INDEX('Lease Cycles'!$DR$16:$DX$16,1,BV146),1))-IF(BV147=0,INDEX('Lease Cycles'!$DD$16:$DJ$16,1,BV146),0))),0)</f>
        <v>0</v>
      </c>
      <c r="BW153" s="28">
        <f>IF(BW148=1,IF(INDEX('Lease Cycles'!$EF$16:$EL$16,1,BW146)=1,0,BW149*(1-IF(BW147&lt;INDEX('Lease Cycles'!$DK$16:$DQ$16,1,BW146),0,IF(BW147=INDEX('Lease Cycles'!$DK$16:$DQ$16,1,BW146),1-INDEX('Lease Cycles'!$DR$16:$DX$16,1,BW146),1))-IF(BW147=0,INDEX('Lease Cycles'!$DD$16:$DJ$16,1,BW146),0))),0)</f>
        <v>0</v>
      </c>
      <c r="BX153" s="28">
        <f>IF(BX148=1,IF(INDEX('Lease Cycles'!$EF$16:$EL$16,1,BX146)=1,0,BX149*(1-IF(BX147&lt;INDEX('Lease Cycles'!$DK$16:$DQ$16,1,BX146),0,IF(BX147=INDEX('Lease Cycles'!$DK$16:$DQ$16,1,BX146),1-INDEX('Lease Cycles'!$DR$16:$DX$16,1,BX146),1))-IF(BX147=0,INDEX('Lease Cycles'!$DD$16:$DJ$16,1,BX146),0))),0)</f>
        <v>0</v>
      </c>
      <c r="BY153" s="28">
        <f>IF(BY148=1,IF(INDEX('Lease Cycles'!$EF$16:$EL$16,1,BY146)=1,0,BY149*(1-IF(BY147&lt;INDEX('Lease Cycles'!$DK$16:$DQ$16,1,BY146),0,IF(BY147=INDEX('Lease Cycles'!$DK$16:$DQ$16,1,BY146),1-INDEX('Lease Cycles'!$DR$16:$DX$16,1,BY146),1))-IF(BY147=0,INDEX('Lease Cycles'!$DD$16:$DJ$16,1,BY146),0))),0)</f>
        <v>2347.529181864068</v>
      </c>
      <c r="BZ153" s="28">
        <f>IF(BZ148=1,IF(INDEX('Lease Cycles'!$EF$16:$EL$16,1,BZ146)=1,0,BZ149*(1-IF(BZ147&lt;INDEX('Lease Cycles'!$DK$16:$DQ$16,1,BZ146),0,IF(BZ147=INDEX('Lease Cycles'!$DK$16:$DQ$16,1,BZ146),1-INDEX('Lease Cycles'!$DR$16:$DX$16,1,BZ146),1))-IF(BZ147=0,INDEX('Lease Cycles'!$DD$16:$DJ$16,1,BZ146),0))),0)</f>
        <v>0</v>
      </c>
      <c r="CA153" s="28">
        <f>IF(CA148=1,IF(INDEX('Lease Cycles'!$EF$16:$EL$16,1,CA146)=1,0,CA149*(1-IF(CA147&lt;INDEX('Lease Cycles'!$DK$16:$DQ$16,1,CA146),0,IF(CA147=INDEX('Lease Cycles'!$DK$16:$DQ$16,1,CA146),1-INDEX('Lease Cycles'!$DR$16:$DX$16,1,CA146),1))-IF(CA147=0,INDEX('Lease Cycles'!$DD$16:$DJ$16,1,CA146),0))),0)</f>
        <v>0</v>
      </c>
      <c r="CB153" s="28">
        <f>IF(CB148=1,IF(INDEX('Lease Cycles'!$EF$16:$EL$16,1,CB146)=1,0,CB149*(1-IF(CB147&lt;INDEX('Lease Cycles'!$DK$16:$DQ$16,1,CB146),0,IF(CB147=INDEX('Lease Cycles'!$DK$16:$DQ$16,1,CB146),1-INDEX('Lease Cycles'!$DR$16:$DX$16,1,CB146),1))-IF(CB147=0,INDEX('Lease Cycles'!$DD$16:$DJ$16,1,CB146),0))),0)</f>
        <v>0</v>
      </c>
      <c r="CC153" s="28">
        <f>IF(CC148=1,IF(INDEX('Lease Cycles'!$EF$16:$EL$16,1,CC146)=1,0,CC149*(1-IF(CC147&lt;INDEX('Lease Cycles'!$DK$16:$DQ$16,1,CC146),0,IF(CC147=INDEX('Lease Cycles'!$DK$16:$DQ$16,1,CC146),1-INDEX('Lease Cycles'!$DR$16:$DX$16,1,CC146),1))-IF(CC147=0,INDEX('Lease Cycles'!$DD$16:$DJ$16,1,CC146),0))),0)</f>
        <v>0</v>
      </c>
      <c r="CD153" s="28">
        <f>IF(CD148=1,IF(INDEX('Lease Cycles'!$EF$16:$EL$16,1,CD146)=1,0,CD149*(1-IF(CD147&lt;INDEX('Lease Cycles'!$DK$16:$DQ$16,1,CD146),0,IF(CD147=INDEX('Lease Cycles'!$DK$16:$DQ$16,1,CD146),1-INDEX('Lease Cycles'!$DR$16:$DX$16,1,CD146),1))-IF(CD147=0,INDEX('Lease Cycles'!$DD$16:$DJ$16,1,CD146),0))),0)</f>
        <v>0</v>
      </c>
      <c r="CE153" s="28">
        <f>IF(CE148=1,IF(INDEX('Lease Cycles'!$EF$16:$EL$16,1,CE146)=1,0,CE149*(1-IF(CE147&lt;INDEX('Lease Cycles'!$DK$16:$DQ$16,1,CE146),0,IF(CE147=INDEX('Lease Cycles'!$DK$16:$DQ$16,1,CE146),1-INDEX('Lease Cycles'!$DR$16:$DX$16,1,CE146),1))-IF(CE147=0,INDEX('Lease Cycles'!$DD$16:$DJ$16,1,CE146),0))),0)</f>
        <v>0</v>
      </c>
      <c r="CF153" s="28">
        <f>IF(CF148=1,IF(INDEX('Lease Cycles'!$EF$16:$EL$16,1,CF146)=1,0,CF149*(1-IF(CF147&lt;INDEX('Lease Cycles'!$DK$16:$DQ$16,1,CF146),0,IF(CF147=INDEX('Lease Cycles'!$DK$16:$DQ$16,1,CF146),1-INDEX('Lease Cycles'!$DR$16:$DX$16,1,CF146),1))-IF(CF147=0,INDEX('Lease Cycles'!$DD$16:$DJ$16,1,CF146),0))),0)</f>
        <v>0</v>
      </c>
      <c r="CG153" s="28">
        <f>IF(CG148=1,IF(INDEX('Lease Cycles'!$EF$16:$EL$16,1,CG146)=1,0,CG149*(1-IF(CG147&lt;INDEX('Lease Cycles'!$DK$16:$DQ$16,1,CG146),0,IF(CG147=INDEX('Lease Cycles'!$DK$16:$DQ$16,1,CG146),1-INDEX('Lease Cycles'!$DR$16:$DX$16,1,CG146),1))-IF(CG147=0,INDEX('Lease Cycles'!$DD$16:$DJ$16,1,CG146),0))),0)</f>
        <v>0</v>
      </c>
      <c r="CH153" s="28">
        <f>IF(CH148=1,IF(INDEX('Lease Cycles'!$EF$16:$EL$16,1,CH146)=1,0,CH149*(1-IF(CH147&lt;INDEX('Lease Cycles'!$DK$16:$DQ$16,1,CH146),0,IF(CH147=INDEX('Lease Cycles'!$DK$16:$DQ$16,1,CH146),1-INDEX('Lease Cycles'!$DR$16:$DX$16,1,CH146),1))-IF(CH147=0,INDEX('Lease Cycles'!$DD$16:$DJ$16,1,CH146),0))),0)</f>
        <v>0</v>
      </c>
      <c r="CI153" s="28">
        <f>IF(CI148=1,IF(INDEX('Lease Cycles'!$EF$16:$EL$16,1,CI146)=1,0,CI149*(1-IF(CI147&lt;INDEX('Lease Cycles'!$DK$16:$DQ$16,1,CI146),0,IF(CI147=INDEX('Lease Cycles'!$DK$16:$DQ$16,1,CI146),1-INDEX('Lease Cycles'!$DR$16:$DX$16,1,CI146),1))-IF(CI147=0,INDEX('Lease Cycles'!$DD$16:$DJ$16,1,CI146),0))),0)</f>
        <v>0</v>
      </c>
      <c r="CJ153" s="28">
        <f>IF(CJ148=1,IF(INDEX('Lease Cycles'!$EF$16:$EL$16,1,CJ146)=1,0,CJ149*(1-IF(CJ147&lt;INDEX('Lease Cycles'!$DK$16:$DQ$16,1,CJ146),0,IF(CJ147=INDEX('Lease Cycles'!$DK$16:$DQ$16,1,CJ146),1-INDEX('Lease Cycles'!$DR$16:$DX$16,1,CJ146),1))-IF(CJ147=0,INDEX('Lease Cycles'!$DD$16:$DJ$16,1,CJ146),0))),0)</f>
        <v>0</v>
      </c>
      <c r="CK153" s="28">
        <f>IF(CK148=1,IF(INDEX('Lease Cycles'!$EF$16:$EL$16,1,CK146)=1,0,CK149*(1-IF(CK147&lt;INDEX('Lease Cycles'!$DK$16:$DQ$16,1,CK146),0,IF(CK147=INDEX('Lease Cycles'!$DK$16:$DQ$16,1,CK146),1-INDEX('Lease Cycles'!$DR$16:$DX$16,1,CK146),1))-IF(CK147=0,INDEX('Lease Cycles'!$DD$16:$DJ$16,1,CK146),0))),0)</f>
        <v>0</v>
      </c>
      <c r="CL153" s="28">
        <f>IF(CL148=1,IF(INDEX('Lease Cycles'!$EF$16:$EL$16,1,CL146)=1,0,CL149*(1-IF(CL147&lt;INDEX('Lease Cycles'!$DK$16:$DQ$16,1,CL146),0,IF(CL147=INDEX('Lease Cycles'!$DK$16:$DQ$16,1,CL146),1-INDEX('Lease Cycles'!$DR$16:$DX$16,1,CL146),1))-IF(CL147=0,INDEX('Lease Cycles'!$DD$16:$DJ$16,1,CL146),0))),0)</f>
        <v>0</v>
      </c>
      <c r="CM153" s="28">
        <f>IF(CM148=1,IF(INDEX('Lease Cycles'!$EF$16:$EL$16,1,CM146)=1,0,CM149*(1-IF(CM147&lt;INDEX('Lease Cycles'!$DK$16:$DQ$16,1,CM146),0,IF(CM147=INDEX('Lease Cycles'!$DK$16:$DQ$16,1,CM146),1-INDEX('Lease Cycles'!$DR$16:$DX$16,1,CM146),1))-IF(CM147=0,INDEX('Lease Cycles'!$DD$16:$DJ$16,1,CM146),0))),0)</f>
        <v>0</v>
      </c>
      <c r="CN153" s="28">
        <f>IF(CN148=1,IF(INDEX('Lease Cycles'!$EF$16:$EL$16,1,CN146)=1,0,CN149*(1-IF(CN147&lt;INDEX('Lease Cycles'!$DK$16:$DQ$16,1,CN146),0,IF(CN147=INDEX('Lease Cycles'!$DK$16:$DQ$16,1,CN146),1-INDEX('Lease Cycles'!$DR$16:$DX$16,1,CN146),1))-IF(CN147=0,INDEX('Lease Cycles'!$DD$16:$DJ$16,1,CN146),0))),0)</f>
        <v>0</v>
      </c>
      <c r="CO153" s="28">
        <f>IF(CO148=1,IF(INDEX('Lease Cycles'!$EF$16:$EL$16,1,CO146)=1,0,CO149*(1-IF(CO147&lt;INDEX('Lease Cycles'!$DK$16:$DQ$16,1,CO146),0,IF(CO147=INDEX('Lease Cycles'!$DK$16:$DQ$16,1,CO146),1-INDEX('Lease Cycles'!$DR$16:$DX$16,1,CO146),1))-IF(CO147=0,INDEX('Lease Cycles'!$DD$16:$DJ$16,1,CO146),0))),0)</f>
        <v>0</v>
      </c>
      <c r="CP153" s="28">
        <f>IF(CP148=1,IF(INDEX('Lease Cycles'!$EF$16:$EL$16,1,CP146)=1,0,CP149*(1-IF(CP147&lt;INDEX('Lease Cycles'!$DK$16:$DQ$16,1,CP146),0,IF(CP147=INDEX('Lease Cycles'!$DK$16:$DQ$16,1,CP146),1-INDEX('Lease Cycles'!$DR$16:$DX$16,1,CP146),1))-IF(CP147=0,INDEX('Lease Cycles'!$DD$16:$DJ$16,1,CP146),0))),0)</f>
        <v>0</v>
      </c>
      <c r="CQ153" s="28">
        <f>IF(CQ148=1,IF(INDEX('Lease Cycles'!$EF$16:$EL$16,1,CQ146)=1,0,CQ149*(1-IF(CQ147&lt;INDEX('Lease Cycles'!$DK$16:$DQ$16,1,CQ146),0,IF(CQ147=INDEX('Lease Cycles'!$DK$16:$DQ$16,1,CQ146),1-INDEX('Lease Cycles'!$DR$16:$DX$16,1,CQ146),1))-IF(CQ147=0,INDEX('Lease Cycles'!$DD$16:$DJ$16,1,CQ146),0))),0)</f>
        <v>0</v>
      </c>
      <c r="CR153" s="28">
        <f>IF(CR148=1,IF(INDEX('Lease Cycles'!$EF$16:$EL$16,1,CR146)=1,0,CR149*(1-IF(CR147&lt;INDEX('Lease Cycles'!$DK$16:$DQ$16,1,CR146),0,IF(CR147=INDEX('Lease Cycles'!$DK$16:$DQ$16,1,CR146),1-INDEX('Lease Cycles'!$DR$16:$DX$16,1,CR146),1))-IF(CR147=0,INDEX('Lease Cycles'!$DD$16:$DJ$16,1,CR146),0))),0)</f>
        <v>0</v>
      </c>
      <c r="CS153" s="28">
        <f>IF(CS148=1,IF(INDEX('Lease Cycles'!$EF$16:$EL$16,1,CS146)=1,0,CS149*(1-IF(CS147&lt;INDEX('Lease Cycles'!$DK$16:$DQ$16,1,CS146),0,IF(CS147=INDEX('Lease Cycles'!$DK$16:$DQ$16,1,CS146),1-INDEX('Lease Cycles'!$DR$16:$DX$16,1,CS146),1))-IF(CS147=0,INDEX('Lease Cycles'!$DD$16:$DJ$16,1,CS146),0))),0)</f>
        <v>0</v>
      </c>
      <c r="CT153" s="28">
        <f>IF(CT148=1,IF(INDEX('Lease Cycles'!$EF$16:$EL$16,1,CT146)=1,0,CT149*(1-IF(CT147&lt;INDEX('Lease Cycles'!$DK$16:$DQ$16,1,CT146),0,IF(CT147=INDEX('Lease Cycles'!$DK$16:$DQ$16,1,CT146),1-INDEX('Lease Cycles'!$DR$16:$DX$16,1,CT146),1))-IF(CT147=0,INDEX('Lease Cycles'!$DD$16:$DJ$16,1,CT146),0))),0)</f>
        <v>0</v>
      </c>
      <c r="CU153" s="28">
        <f>IF(CU148=1,IF(INDEX('Lease Cycles'!$EF$16:$EL$16,1,CU146)=1,0,CU149*(1-IF(CU147&lt;INDEX('Lease Cycles'!$DK$16:$DQ$16,1,CU146),0,IF(CU147=INDEX('Lease Cycles'!$DK$16:$DQ$16,1,CU146),1-INDEX('Lease Cycles'!$DR$16:$DX$16,1,CU146),1))-IF(CU147=0,INDEX('Lease Cycles'!$DD$16:$DJ$16,1,CU146),0))),0)</f>
        <v>0</v>
      </c>
      <c r="CV153" s="28">
        <f>IF(CV148=1,IF(INDEX('Lease Cycles'!$EF$16:$EL$16,1,CV146)=1,0,CV149*(1-IF(CV147&lt;INDEX('Lease Cycles'!$DK$16:$DQ$16,1,CV146),0,IF(CV147=INDEX('Lease Cycles'!$DK$16:$DQ$16,1,CV146),1-INDEX('Lease Cycles'!$DR$16:$DX$16,1,CV146),1))-IF(CV147=0,INDEX('Lease Cycles'!$DD$16:$DJ$16,1,CV146),0))),0)</f>
        <v>0</v>
      </c>
      <c r="CW153" s="28">
        <f>IF(CW148=1,IF(INDEX('Lease Cycles'!$EF$16:$EL$16,1,CW146)=1,0,CW149*(1-IF(CW147&lt;INDEX('Lease Cycles'!$DK$16:$DQ$16,1,CW146),0,IF(CW147=INDEX('Lease Cycles'!$DK$16:$DQ$16,1,CW146),1-INDEX('Lease Cycles'!$DR$16:$DX$16,1,CW146),1))-IF(CW147=0,INDEX('Lease Cycles'!$DD$16:$DJ$16,1,CW146),0))),0)</f>
        <v>0</v>
      </c>
      <c r="CX153" s="28">
        <f>IF(CX148=1,IF(INDEX('Lease Cycles'!$EF$16:$EL$16,1,CX146)=1,0,CX149*(1-IF(CX147&lt;INDEX('Lease Cycles'!$DK$16:$DQ$16,1,CX146),0,IF(CX147=INDEX('Lease Cycles'!$DK$16:$DQ$16,1,CX146),1-INDEX('Lease Cycles'!$DR$16:$DX$16,1,CX146),1))-IF(CX147=0,INDEX('Lease Cycles'!$DD$16:$DJ$16,1,CX146),0))),0)</f>
        <v>0</v>
      </c>
      <c r="CY153" s="28">
        <f>IF(CY148=1,IF(INDEX('Lease Cycles'!$EF$16:$EL$16,1,CY146)=1,0,CY149*(1-IF(CY147&lt;INDEX('Lease Cycles'!$DK$16:$DQ$16,1,CY146),0,IF(CY147=INDEX('Lease Cycles'!$DK$16:$DQ$16,1,CY146),1-INDEX('Lease Cycles'!$DR$16:$DX$16,1,CY146),1))-IF(CY147=0,INDEX('Lease Cycles'!$DD$16:$DJ$16,1,CY146),0))),0)</f>
        <v>0</v>
      </c>
      <c r="CZ153" s="28">
        <f>IF(CZ148=1,IF(INDEX('Lease Cycles'!$EF$16:$EL$16,1,CZ146)=1,0,CZ149*(1-IF(CZ147&lt;INDEX('Lease Cycles'!$DK$16:$DQ$16,1,CZ146),0,IF(CZ147=INDEX('Lease Cycles'!$DK$16:$DQ$16,1,CZ146),1-INDEX('Lease Cycles'!$DR$16:$DX$16,1,CZ146),1))-IF(CZ147=0,INDEX('Lease Cycles'!$DD$16:$DJ$16,1,CZ146),0))),0)</f>
        <v>0</v>
      </c>
      <c r="DA153" s="28">
        <f>IF(DA148=1,IF(INDEX('Lease Cycles'!$EF$16:$EL$16,1,DA146)=1,0,DA149*(1-IF(DA147&lt;INDEX('Lease Cycles'!$DK$16:$DQ$16,1,DA146),0,IF(DA147=INDEX('Lease Cycles'!$DK$16:$DQ$16,1,DA146),1-INDEX('Lease Cycles'!$DR$16:$DX$16,1,DA146),1))-IF(DA147=0,INDEX('Lease Cycles'!$DD$16:$DJ$16,1,DA146),0))),0)</f>
        <v>0</v>
      </c>
      <c r="DB153" s="28">
        <f>IF(DB148=1,IF(INDEX('Lease Cycles'!$EF$16:$EL$16,1,DB146)=1,0,DB149*(1-IF(DB147&lt;INDEX('Lease Cycles'!$DK$16:$DQ$16,1,DB146),0,IF(DB147=INDEX('Lease Cycles'!$DK$16:$DQ$16,1,DB146),1-INDEX('Lease Cycles'!$DR$16:$DX$16,1,DB146),1))-IF(DB147=0,INDEX('Lease Cycles'!$DD$16:$DJ$16,1,DB146),0))),0)</f>
        <v>0</v>
      </c>
      <c r="DC153" s="28">
        <f>IF(DC148=1,IF(INDEX('Lease Cycles'!$EF$16:$EL$16,1,DC146)=1,0,DC149*(1-IF(DC147&lt;INDEX('Lease Cycles'!$DK$16:$DQ$16,1,DC146),0,IF(DC147=INDEX('Lease Cycles'!$DK$16:$DQ$16,1,DC146),1-INDEX('Lease Cycles'!$DR$16:$DX$16,1,DC146),1))-IF(DC147=0,INDEX('Lease Cycles'!$DD$16:$DJ$16,1,DC146),0))),0)</f>
        <v>0</v>
      </c>
      <c r="DD153" s="28">
        <f>IF(DD148=1,IF(INDEX('Lease Cycles'!$EF$16:$EL$16,1,DD146)=1,0,DD149*(1-IF(DD147&lt;INDEX('Lease Cycles'!$DK$16:$DQ$16,1,DD146),0,IF(DD147=INDEX('Lease Cycles'!$DK$16:$DQ$16,1,DD146),1-INDEX('Lease Cycles'!$DR$16:$DX$16,1,DD146),1))-IF(DD147=0,INDEX('Lease Cycles'!$DD$16:$DJ$16,1,DD146),0))),0)</f>
        <v>0</v>
      </c>
      <c r="DE153" s="28">
        <f>IF(DE148=1,IF(INDEX('Lease Cycles'!$EF$16:$EL$16,1,DE146)=1,0,DE149*(1-IF(DE147&lt;INDEX('Lease Cycles'!$DK$16:$DQ$16,1,DE146),0,IF(DE147=INDEX('Lease Cycles'!$DK$16:$DQ$16,1,DE146),1-INDEX('Lease Cycles'!$DR$16:$DX$16,1,DE146),1))-IF(DE147=0,INDEX('Lease Cycles'!$DD$16:$DJ$16,1,DE146),0))),0)</f>
        <v>0</v>
      </c>
      <c r="DF153" s="28">
        <f>IF(DF148=1,IF(INDEX('Lease Cycles'!$EF$16:$EL$16,1,DF146)=1,0,DF149*(1-IF(DF147&lt;INDEX('Lease Cycles'!$DK$16:$DQ$16,1,DF146),0,IF(DF147=INDEX('Lease Cycles'!$DK$16:$DQ$16,1,DF146),1-INDEX('Lease Cycles'!$DR$16:$DX$16,1,DF146),1))-IF(DF147=0,INDEX('Lease Cycles'!$DD$16:$DJ$16,1,DF146),0))),0)</f>
        <v>0</v>
      </c>
      <c r="DG153" s="28">
        <f>IF(DG148=1,IF(INDEX('Lease Cycles'!$EF$16:$EL$16,1,DG146)=1,0,DG149*(1-IF(DG147&lt;INDEX('Lease Cycles'!$DK$16:$DQ$16,1,DG146),0,IF(DG147=INDEX('Lease Cycles'!$DK$16:$DQ$16,1,DG146),1-INDEX('Lease Cycles'!$DR$16:$DX$16,1,DG146),1))-IF(DG147=0,INDEX('Lease Cycles'!$DD$16:$DJ$16,1,DG146),0))),0)</f>
        <v>0</v>
      </c>
      <c r="DH153" s="28">
        <f>IF(DH148=1,IF(INDEX('Lease Cycles'!$EF$16:$EL$16,1,DH146)=1,0,DH149*(1-IF(DH147&lt;INDEX('Lease Cycles'!$DK$16:$DQ$16,1,DH146),0,IF(DH147=INDEX('Lease Cycles'!$DK$16:$DQ$16,1,DH146),1-INDEX('Lease Cycles'!$DR$16:$DX$16,1,DH146),1))-IF(DH147=0,INDEX('Lease Cycles'!$DD$16:$DJ$16,1,DH146),0))),0)</f>
        <v>0</v>
      </c>
      <c r="DI153" s="28">
        <f>IF(DI148=1,IF(INDEX('Lease Cycles'!$EF$16:$EL$16,1,DI146)=1,0,DI149*(1-IF(DI147&lt;INDEX('Lease Cycles'!$DK$16:$DQ$16,1,DI146),0,IF(DI147=INDEX('Lease Cycles'!$DK$16:$DQ$16,1,DI146),1-INDEX('Lease Cycles'!$DR$16:$DX$16,1,DI146),1))-IF(DI147=0,INDEX('Lease Cycles'!$DD$16:$DJ$16,1,DI146),0))),0)</f>
        <v>0</v>
      </c>
      <c r="DJ153" s="28">
        <f>IF(DJ148=1,IF(INDEX('Lease Cycles'!$EF$16:$EL$16,1,DJ146)=1,0,DJ149*(1-IF(DJ147&lt;INDEX('Lease Cycles'!$DK$16:$DQ$16,1,DJ146),0,IF(DJ147=INDEX('Lease Cycles'!$DK$16:$DQ$16,1,DJ146),1-INDEX('Lease Cycles'!$DR$16:$DX$16,1,DJ146),1))-IF(DJ147=0,INDEX('Lease Cycles'!$DD$16:$DJ$16,1,DJ146),0))),0)</f>
        <v>0</v>
      </c>
      <c r="DK153" s="28">
        <f>IF(DK148=1,IF(INDEX('Lease Cycles'!$EF$16:$EL$16,1,DK146)=1,0,DK149*(1-IF(DK147&lt;INDEX('Lease Cycles'!$DK$16:$DQ$16,1,DK146),0,IF(DK147=INDEX('Lease Cycles'!$DK$16:$DQ$16,1,DK146),1-INDEX('Lease Cycles'!$DR$16:$DX$16,1,DK146),1))-IF(DK147=0,INDEX('Lease Cycles'!$DD$16:$DJ$16,1,DK146),0))),0)</f>
        <v>0</v>
      </c>
      <c r="DL153" s="28">
        <f>IF(DL148=1,IF(INDEX('Lease Cycles'!$EF$16:$EL$16,1,DL146)=1,0,DL149*(1-IF(DL147&lt;INDEX('Lease Cycles'!$DK$16:$DQ$16,1,DL146),0,IF(DL147=INDEX('Lease Cycles'!$DK$16:$DQ$16,1,DL146),1-INDEX('Lease Cycles'!$DR$16:$DX$16,1,DL146),1))-IF(DL147=0,INDEX('Lease Cycles'!$DD$16:$DJ$16,1,DL146),0))),0)</f>
        <v>0</v>
      </c>
      <c r="DM153" s="28">
        <f>IF(DM148=1,IF(INDEX('Lease Cycles'!$EF$16:$EL$16,1,DM146)=1,0,DM149*(1-IF(DM147&lt;INDEX('Lease Cycles'!$DK$16:$DQ$16,1,DM146),0,IF(DM147=INDEX('Lease Cycles'!$DK$16:$DQ$16,1,DM146),1-INDEX('Lease Cycles'!$DR$16:$DX$16,1,DM146),1))-IF(DM147=0,INDEX('Lease Cycles'!$DD$16:$DJ$16,1,DM146),0))),0)</f>
        <v>0</v>
      </c>
      <c r="DN153" s="28">
        <f>IF(DN148=1,IF(INDEX('Lease Cycles'!$EF$16:$EL$16,1,DN146)=1,0,DN149*(1-IF(DN147&lt;INDEX('Lease Cycles'!$DK$16:$DQ$16,1,DN146),0,IF(DN147=INDEX('Lease Cycles'!$DK$16:$DQ$16,1,DN146),1-INDEX('Lease Cycles'!$DR$16:$DX$16,1,DN146),1))-IF(DN147=0,INDEX('Lease Cycles'!$DD$16:$DJ$16,1,DN146),0))),0)</f>
        <v>0</v>
      </c>
      <c r="DO153" s="28">
        <f>IF(DO148=1,IF(INDEX('Lease Cycles'!$EF$16:$EL$16,1,DO146)=1,0,DO149*(1-IF(DO147&lt;INDEX('Lease Cycles'!$DK$16:$DQ$16,1,DO146),0,IF(DO147=INDEX('Lease Cycles'!$DK$16:$DQ$16,1,DO146),1-INDEX('Lease Cycles'!$DR$16:$DX$16,1,DO146),1))-IF(DO147=0,INDEX('Lease Cycles'!$DD$16:$DJ$16,1,DO146),0))),0)</f>
        <v>0</v>
      </c>
      <c r="DP153" s="28">
        <f>IF(DP148=1,IF(INDEX('Lease Cycles'!$EF$16:$EL$16,1,DP146)=1,0,DP149*(1-IF(DP147&lt;INDEX('Lease Cycles'!$DK$16:$DQ$16,1,DP146),0,IF(DP147=INDEX('Lease Cycles'!$DK$16:$DQ$16,1,DP146),1-INDEX('Lease Cycles'!$DR$16:$DX$16,1,DP146),1))-IF(DP147=0,INDEX('Lease Cycles'!$DD$16:$DJ$16,1,DP146),0))),0)</f>
        <v>0</v>
      </c>
      <c r="DQ153" s="28">
        <f>IF(DQ148=1,IF(INDEX('Lease Cycles'!$EF$16:$EL$16,1,DQ146)=1,0,DQ149*(1-IF(DQ147&lt;INDEX('Lease Cycles'!$DK$16:$DQ$16,1,DQ146),0,IF(DQ147=INDEX('Lease Cycles'!$DK$16:$DQ$16,1,DQ146),1-INDEX('Lease Cycles'!$DR$16:$DX$16,1,DQ146),1))-IF(DQ147=0,INDEX('Lease Cycles'!$DD$16:$DJ$16,1,DQ146),0))),0)</f>
        <v>0</v>
      </c>
      <c r="DR153" s="28">
        <f>IF(DR148=1,IF(INDEX('Lease Cycles'!$EF$16:$EL$16,1,DR146)=1,0,DR149*(1-IF(DR147&lt;INDEX('Lease Cycles'!$DK$16:$DQ$16,1,DR146),0,IF(DR147=INDEX('Lease Cycles'!$DK$16:$DQ$16,1,DR146),1-INDEX('Lease Cycles'!$DR$16:$DX$16,1,DR146),1))-IF(DR147=0,INDEX('Lease Cycles'!$DD$16:$DJ$16,1,DR146),0))),0)</f>
        <v>0</v>
      </c>
      <c r="DS153" s="28">
        <f>IF(DS148=1,IF(INDEX('Lease Cycles'!$EF$16:$EL$16,1,DS146)=1,0,DS149*(1-IF(DS147&lt;INDEX('Lease Cycles'!$DK$16:$DQ$16,1,DS146),0,IF(DS147=INDEX('Lease Cycles'!$DK$16:$DQ$16,1,DS146),1-INDEX('Lease Cycles'!$DR$16:$DX$16,1,DS146),1))-IF(DS147=0,INDEX('Lease Cycles'!$DD$16:$DJ$16,1,DS146),0))),0)</f>
        <v>0</v>
      </c>
      <c r="DT153" s="28">
        <f>IF(DT148=1,IF(INDEX('Lease Cycles'!$EF$16:$EL$16,1,DT146)=1,0,DT149*(1-IF(DT147&lt;INDEX('Lease Cycles'!$DK$16:$DQ$16,1,DT146),0,IF(DT147=INDEX('Lease Cycles'!$DK$16:$DQ$16,1,DT146),1-INDEX('Lease Cycles'!$DR$16:$DX$16,1,DT146),1))-IF(DT147=0,INDEX('Lease Cycles'!$DD$16:$DJ$16,1,DT146),0))),0)</f>
        <v>0</v>
      </c>
      <c r="DU153" s="28">
        <f>IF(DU148=1,IF(INDEX('Lease Cycles'!$EF$16:$EL$16,1,DU146)=1,0,DU149*(1-IF(DU147&lt;INDEX('Lease Cycles'!$DK$16:$DQ$16,1,DU146),0,IF(DU147=INDEX('Lease Cycles'!$DK$16:$DQ$16,1,DU146),1-INDEX('Lease Cycles'!$DR$16:$DX$16,1,DU146),1))-IF(DU147=0,INDEX('Lease Cycles'!$DD$16:$DJ$16,1,DU146),0))),0)</f>
        <v>0</v>
      </c>
      <c r="DV153" s="28">
        <f>IF(DV148=1,IF(INDEX('Lease Cycles'!$EF$16:$EL$16,1,DV146)=1,0,DV149*(1-IF(DV147&lt;INDEX('Lease Cycles'!$DK$16:$DQ$16,1,DV146),0,IF(DV147=INDEX('Lease Cycles'!$DK$16:$DQ$16,1,DV146),1-INDEX('Lease Cycles'!$DR$16:$DX$16,1,DV146),1))-IF(DV147=0,INDEX('Lease Cycles'!$DD$16:$DJ$16,1,DV146),0))),0)</f>
        <v>0</v>
      </c>
      <c r="DW153" s="28">
        <f>IF(DW148=1,IF(INDEX('Lease Cycles'!$EF$16:$EL$16,1,DW146)=1,0,DW149*(1-IF(DW147&lt;INDEX('Lease Cycles'!$DK$16:$DQ$16,1,DW146),0,IF(DW147=INDEX('Lease Cycles'!$DK$16:$DQ$16,1,DW146),1-INDEX('Lease Cycles'!$DR$16:$DX$16,1,DW146),1))-IF(DW147=0,INDEX('Lease Cycles'!$DD$16:$DJ$16,1,DW146),0))),0)</f>
        <v>0</v>
      </c>
      <c r="DX153" s="28">
        <f>IF(DX148=1,IF(INDEX('Lease Cycles'!$EF$16:$EL$16,1,DX146)=1,0,DX149*(1-IF(DX147&lt;INDEX('Lease Cycles'!$DK$16:$DQ$16,1,DX146),0,IF(DX147=INDEX('Lease Cycles'!$DK$16:$DQ$16,1,DX146),1-INDEX('Lease Cycles'!$DR$16:$DX$16,1,DX146),1))-IF(DX147=0,INDEX('Lease Cycles'!$DD$16:$DJ$16,1,DX146),0))),0)</f>
        <v>0</v>
      </c>
      <c r="DY153" s="28">
        <f>IF(DY148=1,IF(INDEX('Lease Cycles'!$EF$16:$EL$16,1,DY146)=1,0,DY149*(1-IF(DY147&lt;INDEX('Lease Cycles'!$DK$16:$DQ$16,1,DY146),0,IF(DY147=INDEX('Lease Cycles'!$DK$16:$DQ$16,1,DY146),1-INDEX('Lease Cycles'!$DR$16:$DX$16,1,DY146),1))-IF(DY147=0,INDEX('Lease Cycles'!$DD$16:$DJ$16,1,DY146),0))),0)</f>
        <v>0</v>
      </c>
      <c r="DZ153" s="28">
        <f>IF(DZ148=1,IF(INDEX('Lease Cycles'!$EF$16:$EL$16,1,DZ146)=1,0,DZ149*(1-IF(DZ147&lt;INDEX('Lease Cycles'!$DK$16:$DQ$16,1,DZ146),0,IF(DZ147=INDEX('Lease Cycles'!$DK$16:$DQ$16,1,DZ146),1-INDEX('Lease Cycles'!$DR$16:$DX$16,1,DZ146),1))-IF(DZ147=0,INDEX('Lease Cycles'!$DD$16:$DJ$16,1,DZ146),0))),0)</f>
        <v>0</v>
      </c>
      <c r="EA153" s="28">
        <f>IF(EA148=1,IF(INDEX('Lease Cycles'!$EF$16:$EL$16,1,EA146)=1,0,EA149*(1-IF(EA147&lt;INDEX('Lease Cycles'!$DK$16:$DQ$16,1,EA146),0,IF(EA147=INDEX('Lease Cycles'!$DK$16:$DQ$16,1,EA146),1-INDEX('Lease Cycles'!$DR$16:$DX$16,1,EA146),1))-IF(EA147=0,INDEX('Lease Cycles'!$DD$16:$DJ$16,1,EA146),0))),0)</f>
        <v>0</v>
      </c>
      <c r="EB153" s="28">
        <f>IF(EB148=1,IF(INDEX('Lease Cycles'!$EF$16:$EL$16,1,EB146)=1,0,EB149*(1-IF(EB147&lt;INDEX('Lease Cycles'!$DK$16:$DQ$16,1,EB146),0,IF(EB147=INDEX('Lease Cycles'!$DK$16:$DQ$16,1,EB146),1-INDEX('Lease Cycles'!$DR$16:$DX$16,1,EB146),1))-IF(EB147=0,INDEX('Lease Cycles'!$DD$16:$DJ$16,1,EB146),0))),0)</f>
        <v>0</v>
      </c>
      <c r="EC153" s="28">
        <f>IF(EC148=1,IF(INDEX('Lease Cycles'!$EF$16:$EL$16,1,EC146)=1,0,EC149*(1-IF(EC147&lt;INDEX('Lease Cycles'!$DK$16:$DQ$16,1,EC146),0,IF(EC147=INDEX('Lease Cycles'!$DK$16:$DQ$16,1,EC146),1-INDEX('Lease Cycles'!$DR$16:$DX$16,1,EC146),1))-IF(EC147=0,INDEX('Lease Cycles'!$DD$16:$DJ$16,1,EC146),0))),0)</f>
        <v>0</v>
      </c>
      <c r="ED153" s="28">
        <f>IF(ED148=1,IF(INDEX('Lease Cycles'!$EF$16:$EL$16,1,ED146)=1,0,ED149*(1-IF(ED147&lt;INDEX('Lease Cycles'!$DK$16:$DQ$16,1,ED146),0,IF(ED147=INDEX('Lease Cycles'!$DK$16:$DQ$16,1,ED146),1-INDEX('Lease Cycles'!$DR$16:$DX$16,1,ED146),1))-IF(ED147=0,INDEX('Lease Cycles'!$DD$16:$DJ$16,1,ED146),0))),0)</f>
        <v>0</v>
      </c>
      <c r="EE153" s="28">
        <f>IF(EE148=1,IF(INDEX('Lease Cycles'!$EF$16:$EL$16,1,EE146)=1,0,EE149*(1-IF(EE147&lt;INDEX('Lease Cycles'!$DK$16:$DQ$16,1,EE146),0,IF(EE147=INDEX('Lease Cycles'!$DK$16:$DQ$16,1,EE146),1-INDEX('Lease Cycles'!$DR$16:$DX$16,1,EE146),1))-IF(EE147=0,INDEX('Lease Cycles'!$DD$16:$DJ$16,1,EE146),0))),0)</f>
        <v>0</v>
      </c>
      <c r="EF153" s="28">
        <f>IF(EF148=1,IF(INDEX('Lease Cycles'!$EF$16:$EL$16,1,EF146)=1,0,EF149*(1-IF(EF147&lt;INDEX('Lease Cycles'!$DK$16:$DQ$16,1,EF146),0,IF(EF147=INDEX('Lease Cycles'!$DK$16:$DQ$16,1,EF146),1-INDEX('Lease Cycles'!$DR$16:$DX$16,1,EF146),1))-IF(EF147=0,INDEX('Lease Cycles'!$DD$16:$DJ$16,1,EF146),0))),0)</f>
        <v>0</v>
      </c>
      <c r="EG153" s="28">
        <f>IF(EG148=1,IF(INDEX('Lease Cycles'!$EF$16:$EL$16,1,EG146)=1,0,EG149*(1-IF(EG147&lt;INDEX('Lease Cycles'!$DK$16:$DQ$16,1,EG146),0,IF(EG147=INDEX('Lease Cycles'!$DK$16:$DQ$16,1,EG146),1-INDEX('Lease Cycles'!$DR$16:$DX$16,1,EG146),1))-IF(EG147=0,INDEX('Lease Cycles'!$DD$16:$DJ$16,1,EG146),0))),0)</f>
        <v>0</v>
      </c>
      <c r="EH153" s="28">
        <f>IF(EH148=1,IF(INDEX('Lease Cycles'!$EF$16:$EL$16,1,EH146)=1,0,EH149*(1-IF(EH147&lt;INDEX('Lease Cycles'!$DK$16:$DQ$16,1,EH146),0,IF(EH147=INDEX('Lease Cycles'!$DK$16:$DQ$16,1,EH146),1-INDEX('Lease Cycles'!$DR$16:$DX$16,1,EH146),1))-IF(EH147=0,INDEX('Lease Cycles'!$DD$16:$DJ$16,1,EH146),0))),0)</f>
        <v>0</v>
      </c>
      <c r="EI153" s="28">
        <f>IF(EI148=1,IF(INDEX('Lease Cycles'!$EF$16:$EL$16,1,EI146)=1,0,EI149*(1-IF(EI147&lt;INDEX('Lease Cycles'!$DK$16:$DQ$16,1,EI146),0,IF(EI147=INDEX('Lease Cycles'!$DK$16:$DQ$16,1,EI146),1-INDEX('Lease Cycles'!$DR$16:$DX$16,1,EI146),1))-IF(EI147=0,INDEX('Lease Cycles'!$DD$16:$DJ$16,1,EI146),0))),0)</f>
        <v>0</v>
      </c>
      <c r="EJ153" s="28">
        <f>IF(EJ148=1,IF(INDEX('Lease Cycles'!$EF$16:$EL$16,1,EJ146)=1,0,EJ149*(1-IF(EJ147&lt;INDEX('Lease Cycles'!$DK$16:$DQ$16,1,EJ146),0,IF(EJ147=INDEX('Lease Cycles'!$DK$16:$DQ$16,1,EJ146),1-INDEX('Lease Cycles'!$DR$16:$DX$16,1,EJ146),1))-IF(EJ147=0,INDEX('Lease Cycles'!$DD$16:$DJ$16,1,EJ146),0))),0)</f>
        <v>0</v>
      </c>
      <c r="EK153" s="28">
        <f>IF(EK148=1,IF(INDEX('Lease Cycles'!$EF$16:$EL$16,1,EK146)=1,0,EK149*(1-IF(EK147&lt;INDEX('Lease Cycles'!$DK$16:$DQ$16,1,EK146),0,IF(EK147=INDEX('Lease Cycles'!$DK$16:$DQ$16,1,EK146),1-INDEX('Lease Cycles'!$DR$16:$DX$16,1,EK146),1))-IF(EK147=0,INDEX('Lease Cycles'!$DD$16:$DJ$16,1,EK146),0))),0)</f>
        <v>0</v>
      </c>
      <c r="EL153" s="28">
        <f>IF(EL148=1,IF(INDEX('Lease Cycles'!$EF$16:$EL$16,1,EL146)=1,0,EL149*(1-IF(EL147&lt;INDEX('Lease Cycles'!$DK$16:$DQ$16,1,EL146),0,IF(EL147=INDEX('Lease Cycles'!$DK$16:$DQ$16,1,EL146),1-INDEX('Lease Cycles'!$DR$16:$DX$16,1,EL146),1))-IF(EL147=0,INDEX('Lease Cycles'!$DD$16:$DJ$16,1,EL146),0))),0)</f>
        <v>0</v>
      </c>
      <c r="EM153" s="28">
        <f>IF(EM148=1,IF(INDEX('Lease Cycles'!$EF$16:$EL$16,1,EM146)=1,0,EM149*(1-IF(EM147&lt;INDEX('Lease Cycles'!$DK$16:$DQ$16,1,EM146),0,IF(EM147=INDEX('Lease Cycles'!$DK$16:$DQ$16,1,EM146),1-INDEX('Lease Cycles'!$DR$16:$DX$16,1,EM146),1))-IF(EM147=0,INDEX('Lease Cycles'!$DD$16:$DJ$16,1,EM146),0))),0)</f>
        <v>0</v>
      </c>
      <c r="EN153" s="28">
        <f>IF(EN148=1,IF(INDEX('Lease Cycles'!$EF$16:$EL$16,1,EN146)=1,0,EN149*(1-IF(EN147&lt;INDEX('Lease Cycles'!$DK$16:$DQ$16,1,EN146),0,IF(EN147=INDEX('Lease Cycles'!$DK$16:$DQ$16,1,EN146),1-INDEX('Lease Cycles'!$DR$16:$DX$16,1,EN146),1))-IF(EN147=0,INDEX('Lease Cycles'!$DD$16:$DJ$16,1,EN146),0))),0)</f>
        <v>0</v>
      </c>
      <c r="EO153" s="28">
        <f>IF(EO148=1,IF(INDEX('Lease Cycles'!$EF$16:$EL$16,1,EO146)=1,0,EO149*(1-IF(EO147&lt;INDEX('Lease Cycles'!$DK$16:$DQ$16,1,EO146),0,IF(EO147=INDEX('Lease Cycles'!$DK$16:$DQ$16,1,EO146),1-INDEX('Lease Cycles'!$DR$16:$DX$16,1,EO146),1))-IF(EO147=0,INDEX('Lease Cycles'!$DD$16:$DJ$16,1,EO146),0))),0)</f>
        <v>0</v>
      </c>
      <c r="EP153" s="28">
        <f>IF(EP148=1,IF(INDEX('Lease Cycles'!$EF$16:$EL$16,1,EP146)=1,0,EP149*(1-IF(EP147&lt;INDEX('Lease Cycles'!$DK$16:$DQ$16,1,EP146),0,IF(EP147=INDEX('Lease Cycles'!$DK$16:$DQ$16,1,EP146),1-INDEX('Lease Cycles'!$DR$16:$DX$16,1,EP146),1))-IF(EP147=0,INDEX('Lease Cycles'!$DD$16:$DJ$16,1,EP146),0))),0)</f>
        <v>0</v>
      </c>
      <c r="EQ153" s="28">
        <f>IF(EQ148=1,IF(INDEX('Lease Cycles'!$EF$16:$EL$16,1,EQ146)=1,0,EQ149*(1-IF(EQ147&lt;INDEX('Lease Cycles'!$DK$16:$DQ$16,1,EQ146),0,IF(EQ147=INDEX('Lease Cycles'!$DK$16:$DQ$16,1,EQ146),1-INDEX('Lease Cycles'!$DR$16:$DX$16,1,EQ146),1))-IF(EQ147=0,INDEX('Lease Cycles'!$DD$16:$DJ$16,1,EQ146),0))),0)</f>
        <v>0</v>
      </c>
      <c r="ER153" s="28">
        <f>IF(ER148=1,IF(INDEX('Lease Cycles'!$EF$16:$EL$16,1,ER146)=1,0,ER149*(1-IF(ER147&lt;INDEX('Lease Cycles'!$DK$16:$DQ$16,1,ER146),0,IF(ER147=INDEX('Lease Cycles'!$DK$16:$DQ$16,1,ER146),1-INDEX('Lease Cycles'!$DR$16:$DX$16,1,ER146),1))-IF(ER147=0,INDEX('Lease Cycles'!$DD$16:$DJ$16,1,ER146),0))),0)</f>
        <v>0</v>
      </c>
      <c r="ES153" s="28">
        <f>IF(ES148=1,IF(INDEX('Lease Cycles'!$EF$16:$EL$16,1,ES146)=1,0,ES149*(1-IF(ES147&lt;INDEX('Lease Cycles'!$DK$16:$DQ$16,1,ES146),0,IF(ES147=INDEX('Lease Cycles'!$DK$16:$DQ$16,1,ES146),1-INDEX('Lease Cycles'!$DR$16:$DX$16,1,ES146),1))-IF(ES147=0,INDEX('Lease Cycles'!$DD$16:$DJ$16,1,ES146),0))),0)</f>
        <v>0</v>
      </c>
      <c r="ET153" s="28">
        <f>IF(ET148=1,IF(INDEX('Lease Cycles'!$EF$16:$EL$16,1,ET146)=1,0,ET149*(1-IF(ET147&lt;INDEX('Lease Cycles'!$DK$16:$DQ$16,1,ET146),0,IF(ET147=INDEX('Lease Cycles'!$DK$16:$DQ$16,1,ET146),1-INDEX('Lease Cycles'!$DR$16:$DX$16,1,ET146),1))-IF(ET147=0,INDEX('Lease Cycles'!$DD$16:$DJ$16,1,ET146),0))),0)</f>
        <v>0</v>
      </c>
    </row>
    <row r="154">
      <c r="A154" s="103">
        <v>9</v>
      </c>
      <c r="B154" s="23" t="str">
        <f>IF('Lease Cycles'!$B$16="","(empty slot)",'Lease Cycles'!$B$16)</f>
        <v>Sunfield Office Suite</v>
      </c>
      <c r="C154" s="23" t="s">
        <v>683</v>
      </c>
      <c r="D154" s="104" t="s">
        <v>684</v>
      </c>
      <c r="E154" s="25">
        <f>'Lease Cycles'!$AL$16</f>
        <v>0</v>
      </c>
      <c r="G154" s="24">
        <f>SUM(S154:AD154)</f>
        <v>0</v>
      </c>
      <c r="H154" s="24">
        <f>SUM(AE154:AP154)</f>
        <v>0</v>
      </c>
      <c r="I154" s="24">
        <f>SUM(AQ154:BB154)</f>
        <v>0</v>
      </c>
      <c r="J154" s="24">
        <f>SUM(BC154:BN154)</f>
        <v>0</v>
      </c>
      <c r="K154" s="24">
        <f>SUM(BO154:BZ154)</f>
        <v>0.013266331658291435</v>
      </c>
      <c r="L154" s="24">
        <f>SUM(CA154:CL154)</f>
        <v>0.08844221105527636</v>
      </c>
      <c r="M154" s="24">
        <f>SUM(CM154:CX154)</f>
        <v>0.08844221105527636</v>
      </c>
      <c r="N154" s="24">
        <f>SUM(CY154:DJ154)</f>
        <v>0.08844221105527636</v>
      </c>
      <c r="O154" s="24">
        <f>SUM(DK154:DV154)</f>
        <v>0.08844221105527636</v>
      </c>
      <c r="P154" s="24">
        <f>SUM(DW154:EH154)</f>
        <v>0.08844221105527636</v>
      </c>
      <c r="Q154" s="24">
        <f>SUM(EI154:ET154)</f>
        <v>0.08844221105527636</v>
      </c>
      <c r="S154" s="24">
        <f>IF(S148=1,'Lease Cycles'!$D$16*IF(INDEX('Lease Cycles'!$EF$16:$EL$16,1,S146)=1,(1-'Lease Cycles'!$AJ$16)*INDEX('Lease Cycles'!$EM$16:$ES$16,1,S146)+(1-'Lease Cycles'!$BE$16)*IF(S147&lt;INDEX('Lease Cycles'!$FA$16:$FG$16,1,S146),0,1-INDEX('Lease Cycles'!$EM$16:$ES$16,1,S146)),IF(OR(INDEX('Lease Cycles'!$DY$16:$EE$16,1,S146)=1,S147&gt;0),1,1-INDEX('Lease Cycles'!$DD$16:$DJ$16,1,S146))*((1-'Lease Cycles'!$AJ$16)*INDEX('Lease Cycles'!$FO$16:$FU$16,1,S146)+(1-'Lease Cycles'!$BE$16)*(1-INDEX('Lease Cycles'!$FO$16:$FU$16,1,S146)))),0)</f>
        <v>0</v>
      </c>
      <c r="T154" s="24">
        <f>IF(T148=1,'Lease Cycles'!$D$16*IF(INDEX('Lease Cycles'!$EF$16:$EL$16,1,T146)=1,(1-'Lease Cycles'!$AJ$16)*INDEX('Lease Cycles'!$EM$16:$ES$16,1,T146)+(1-'Lease Cycles'!$BE$16)*IF(T147&lt;INDEX('Lease Cycles'!$FA$16:$FG$16,1,T146),0,1-INDEX('Lease Cycles'!$EM$16:$ES$16,1,T146)),IF(OR(INDEX('Lease Cycles'!$DY$16:$EE$16,1,T146)=1,T147&gt;0),1,1-INDEX('Lease Cycles'!$DD$16:$DJ$16,1,T146))*((1-'Lease Cycles'!$AJ$16)*INDEX('Lease Cycles'!$FO$16:$FU$16,1,T146)+(1-'Lease Cycles'!$BE$16)*(1-INDEX('Lease Cycles'!$FO$16:$FU$16,1,T146)))),0)</f>
        <v>0</v>
      </c>
      <c r="U154" s="24">
        <f>IF(U148=1,'Lease Cycles'!$D$16*IF(INDEX('Lease Cycles'!$EF$16:$EL$16,1,U146)=1,(1-'Lease Cycles'!$AJ$16)*INDEX('Lease Cycles'!$EM$16:$ES$16,1,U146)+(1-'Lease Cycles'!$BE$16)*IF(U147&lt;INDEX('Lease Cycles'!$FA$16:$FG$16,1,U146),0,1-INDEX('Lease Cycles'!$EM$16:$ES$16,1,U146)),IF(OR(INDEX('Lease Cycles'!$DY$16:$EE$16,1,U146)=1,U147&gt;0),1,1-INDEX('Lease Cycles'!$DD$16:$DJ$16,1,U146))*((1-'Lease Cycles'!$AJ$16)*INDEX('Lease Cycles'!$FO$16:$FU$16,1,U146)+(1-'Lease Cycles'!$BE$16)*(1-INDEX('Lease Cycles'!$FO$16:$FU$16,1,U146)))),0)</f>
        <v>0</v>
      </c>
      <c r="V154" s="24">
        <f>IF(V148=1,'Lease Cycles'!$D$16*IF(INDEX('Lease Cycles'!$EF$16:$EL$16,1,V146)=1,(1-'Lease Cycles'!$AJ$16)*INDEX('Lease Cycles'!$EM$16:$ES$16,1,V146)+(1-'Lease Cycles'!$BE$16)*IF(V147&lt;INDEX('Lease Cycles'!$FA$16:$FG$16,1,V146),0,1-INDEX('Lease Cycles'!$EM$16:$ES$16,1,V146)),IF(OR(INDEX('Lease Cycles'!$DY$16:$EE$16,1,V146)=1,V147&gt;0),1,1-INDEX('Lease Cycles'!$DD$16:$DJ$16,1,V146))*((1-'Lease Cycles'!$AJ$16)*INDEX('Lease Cycles'!$FO$16:$FU$16,1,V146)+(1-'Lease Cycles'!$BE$16)*(1-INDEX('Lease Cycles'!$FO$16:$FU$16,1,V146)))),0)</f>
        <v>0</v>
      </c>
      <c r="W154" s="24">
        <f>IF(W148=1,'Lease Cycles'!$D$16*IF(INDEX('Lease Cycles'!$EF$16:$EL$16,1,W146)=1,(1-'Lease Cycles'!$AJ$16)*INDEX('Lease Cycles'!$EM$16:$ES$16,1,W146)+(1-'Lease Cycles'!$BE$16)*IF(W147&lt;INDEX('Lease Cycles'!$FA$16:$FG$16,1,W146),0,1-INDEX('Lease Cycles'!$EM$16:$ES$16,1,W146)),IF(OR(INDEX('Lease Cycles'!$DY$16:$EE$16,1,W146)=1,W147&gt;0),1,1-INDEX('Lease Cycles'!$DD$16:$DJ$16,1,W146))*((1-'Lease Cycles'!$AJ$16)*INDEX('Lease Cycles'!$FO$16:$FU$16,1,W146)+(1-'Lease Cycles'!$BE$16)*(1-INDEX('Lease Cycles'!$FO$16:$FU$16,1,W146)))),0)</f>
        <v>0</v>
      </c>
      <c r="X154" s="24">
        <f>IF(X148=1,'Lease Cycles'!$D$16*IF(INDEX('Lease Cycles'!$EF$16:$EL$16,1,X146)=1,(1-'Lease Cycles'!$AJ$16)*INDEX('Lease Cycles'!$EM$16:$ES$16,1,X146)+(1-'Lease Cycles'!$BE$16)*IF(X147&lt;INDEX('Lease Cycles'!$FA$16:$FG$16,1,X146),0,1-INDEX('Lease Cycles'!$EM$16:$ES$16,1,X146)),IF(OR(INDEX('Lease Cycles'!$DY$16:$EE$16,1,X146)=1,X147&gt;0),1,1-INDEX('Lease Cycles'!$DD$16:$DJ$16,1,X146))*((1-'Lease Cycles'!$AJ$16)*INDEX('Lease Cycles'!$FO$16:$FU$16,1,X146)+(1-'Lease Cycles'!$BE$16)*(1-INDEX('Lease Cycles'!$FO$16:$FU$16,1,X146)))),0)</f>
        <v>0</v>
      </c>
      <c r="Y154" s="24">
        <f>IF(Y148=1,'Lease Cycles'!$D$16*IF(INDEX('Lease Cycles'!$EF$16:$EL$16,1,Y146)=1,(1-'Lease Cycles'!$AJ$16)*INDEX('Lease Cycles'!$EM$16:$ES$16,1,Y146)+(1-'Lease Cycles'!$BE$16)*IF(Y147&lt;INDEX('Lease Cycles'!$FA$16:$FG$16,1,Y146),0,1-INDEX('Lease Cycles'!$EM$16:$ES$16,1,Y146)),IF(OR(INDEX('Lease Cycles'!$DY$16:$EE$16,1,Y146)=1,Y147&gt;0),1,1-INDEX('Lease Cycles'!$DD$16:$DJ$16,1,Y146))*((1-'Lease Cycles'!$AJ$16)*INDEX('Lease Cycles'!$FO$16:$FU$16,1,Y146)+(1-'Lease Cycles'!$BE$16)*(1-INDEX('Lease Cycles'!$FO$16:$FU$16,1,Y146)))),0)</f>
        <v>0</v>
      </c>
      <c r="Z154" s="24">
        <f>IF(Z148=1,'Lease Cycles'!$D$16*IF(INDEX('Lease Cycles'!$EF$16:$EL$16,1,Z146)=1,(1-'Lease Cycles'!$AJ$16)*INDEX('Lease Cycles'!$EM$16:$ES$16,1,Z146)+(1-'Lease Cycles'!$BE$16)*IF(Z147&lt;INDEX('Lease Cycles'!$FA$16:$FG$16,1,Z146),0,1-INDEX('Lease Cycles'!$EM$16:$ES$16,1,Z146)),IF(OR(INDEX('Lease Cycles'!$DY$16:$EE$16,1,Z146)=1,Z147&gt;0),1,1-INDEX('Lease Cycles'!$DD$16:$DJ$16,1,Z146))*((1-'Lease Cycles'!$AJ$16)*INDEX('Lease Cycles'!$FO$16:$FU$16,1,Z146)+(1-'Lease Cycles'!$BE$16)*(1-INDEX('Lease Cycles'!$FO$16:$FU$16,1,Z146)))),0)</f>
        <v>0</v>
      </c>
      <c r="AA154" s="24">
        <f>IF(AA148=1,'Lease Cycles'!$D$16*IF(INDEX('Lease Cycles'!$EF$16:$EL$16,1,AA146)=1,(1-'Lease Cycles'!$AJ$16)*INDEX('Lease Cycles'!$EM$16:$ES$16,1,AA146)+(1-'Lease Cycles'!$BE$16)*IF(AA147&lt;INDEX('Lease Cycles'!$FA$16:$FG$16,1,AA146),0,1-INDEX('Lease Cycles'!$EM$16:$ES$16,1,AA146)),IF(OR(INDEX('Lease Cycles'!$DY$16:$EE$16,1,AA146)=1,AA147&gt;0),1,1-INDEX('Lease Cycles'!$DD$16:$DJ$16,1,AA146))*((1-'Lease Cycles'!$AJ$16)*INDEX('Lease Cycles'!$FO$16:$FU$16,1,AA146)+(1-'Lease Cycles'!$BE$16)*(1-INDEX('Lease Cycles'!$FO$16:$FU$16,1,AA146)))),0)</f>
        <v>0</v>
      </c>
      <c r="AB154" s="24">
        <f>IF(AB148=1,'Lease Cycles'!$D$16*IF(INDEX('Lease Cycles'!$EF$16:$EL$16,1,AB146)=1,(1-'Lease Cycles'!$AJ$16)*INDEX('Lease Cycles'!$EM$16:$ES$16,1,AB146)+(1-'Lease Cycles'!$BE$16)*IF(AB147&lt;INDEX('Lease Cycles'!$FA$16:$FG$16,1,AB146),0,1-INDEX('Lease Cycles'!$EM$16:$ES$16,1,AB146)),IF(OR(INDEX('Lease Cycles'!$DY$16:$EE$16,1,AB146)=1,AB147&gt;0),1,1-INDEX('Lease Cycles'!$DD$16:$DJ$16,1,AB146))*((1-'Lease Cycles'!$AJ$16)*INDEX('Lease Cycles'!$FO$16:$FU$16,1,AB146)+(1-'Lease Cycles'!$BE$16)*(1-INDEX('Lease Cycles'!$FO$16:$FU$16,1,AB146)))),0)</f>
        <v>0</v>
      </c>
      <c r="AC154" s="24">
        <f>IF(AC148=1,'Lease Cycles'!$D$16*IF(INDEX('Lease Cycles'!$EF$16:$EL$16,1,AC146)=1,(1-'Lease Cycles'!$AJ$16)*INDEX('Lease Cycles'!$EM$16:$ES$16,1,AC146)+(1-'Lease Cycles'!$BE$16)*IF(AC147&lt;INDEX('Lease Cycles'!$FA$16:$FG$16,1,AC146),0,1-INDEX('Lease Cycles'!$EM$16:$ES$16,1,AC146)),IF(OR(INDEX('Lease Cycles'!$DY$16:$EE$16,1,AC146)=1,AC147&gt;0),1,1-INDEX('Lease Cycles'!$DD$16:$DJ$16,1,AC146))*((1-'Lease Cycles'!$AJ$16)*INDEX('Lease Cycles'!$FO$16:$FU$16,1,AC146)+(1-'Lease Cycles'!$BE$16)*(1-INDEX('Lease Cycles'!$FO$16:$FU$16,1,AC146)))),0)</f>
        <v>0</v>
      </c>
      <c r="AD154" s="24">
        <f>IF(AD148=1,'Lease Cycles'!$D$16*IF(INDEX('Lease Cycles'!$EF$16:$EL$16,1,AD146)=1,(1-'Lease Cycles'!$AJ$16)*INDEX('Lease Cycles'!$EM$16:$ES$16,1,AD146)+(1-'Lease Cycles'!$BE$16)*IF(AD147&lt;INDEX('Lease Cycles'!$FA$16:$FG$16,1,AD146),0,1-INDEX('Lease Cycles'!$EM$16:$ES$16,1,AD146)),IF(OR(INDEX('Lease Cycles'!$DY$16:$EE$16,1,AD146)=1,AD147&gt;0),1,1-INDEX('Lease Cycles'!$DD$16:$DJ$16,1,AD146))*((1-'Lease Cycles'!$AJ$16)*INDEX('Lease Cycles'!$FO$16:$FU$16,1,AD146)+(1-'Lease Cycles'!$BE$16)*(1-INDEX('Lease Cycles'!$FO$16:$FU$16,1,AD146)))),0)</f>
        <v>0</v>
      </c>
      <c r="AE154" s="24">
        <f>IF(AE148=1,'Lease Cycles'!$D$16*IF(INDEX('Lease Cycles'!$EF$16:$EL$16,1,AE146)=1,(1-'Lease Cycles'!$AJ$16)*INDEX('Lease Cycles'!$EM$16:$ES$16,1,AE146)+(1-'Lease Cycles'!$BE$16)*IF(AE147&lt;INDEX('Lease Cycles'!$FA$16:$FG$16,1,AE146),0,1-INDEX('Lease Cycles'!$EM$16:$ES$16,1,AE146)),IF(OR(INDEX('Lease Cycles'!$DY$16:$EE$16,1,AE146)=1,AE147&gt;0),1,1-INDEX('Lease Cycles'!$DD$16:$DJ$16,1,AE146))*((1-'Lease Cycles'!$AJ$16)*INDEX('Lease Cycles'!$FO$16:$FU$16,1,AE146)+(1-'Lease Cycles'!$BE$16)*(1-INDEX('Lease Cycles'!$FO$16:$FU$16,1,AE146)))),0)</f>
        <v>0</v>
      </c>
      <c r="AF154" s="24">
        <f>IF(AF148=1,'Lease Cycles'!$D$16*IF(INDEX('Lease Cycles'!$EF$16:$EL$16,1,AF146)=1,(1-'Lease Cycles'!$AJ$16)*INDEX('Lease Cycles'!$EM$16:$ES$16,1,AF146)+(1-'Lease Cycles'!$BE$16)*IF(AF147&lt;INDEX('Lease Cycles'!$FA$16:$FG$16,1,AF146),0,1-INDEX('Lease Cycles'!$EM$16:$ES$16,1,AF146)),IF(OR(INDEX('Lease Cycles'!$DY$16:$EE$16,1,AF146)=1,AF147&gt;0),1,1-INDEX('Lease Cycles'!$DD$16:$DJ$16,1,AF146))*((1-'Lease Cycles'!$AJ$16)*INDEX('Lease Cycles'!$FO$16:$FU$16,1,AF146)+(1-'Lease Cycles'!$BE$16)*(1-INDEX('Lease Cycles'!$FO$16:$FU$16,1,AF146)))),0)</f>
        <v>0</v>
      </c>
      <c r="AG154" s="24">
        <f>IF(AG148=1,'Lease Cycles'!$D$16*IF(INDEX('Lease Cycles'!$EF$16:$EL$16,1,AG146)=1,(1-'Lease Cycles'!$AJ$16)*INDEX('Lease Cycles'!$EM$16:$ES$16,1,AG146)+(1-'Lease Cycles'!$BE$16)*IF(AG147&lt;INDEX('Lease Cycles'!$FA$16:$FG$16,1,AG146),0,1-INDEX('Lease Cycles'!$EM$16:$ES$16,1,AG146)),IF(OR(INDEX('Lease Cycles'!$DY$16:$EE$16,1,AG146)=1,AG147&gt;0),1,1-INDEX('Lease Cycles'!$DD$16:$DJ$16,1,AG146))*((1-'Lease Cycles'!$AJ$16)*INDEX('Lease Cycles'!$FO$16:$FU$16,1,AG146)+(1-'Lease Cycles'!$BE$16)*(1-INDEX('Lease Cycles'!$FO$16:$FU$16,1,AG146)))),0)</f>
        <v>0</v>
      </c>
      <c r="AH154" s="24">
        <f>IF(AH148=1,'Lease Cycles'!$D$16*IF(INDEX('Lease Cycles'!$EF$16:$EL$16,1,AH146)=1,(1-'Lease Cycles'!$AJ$16)*INDEX('Lease Cycles'!$EM$16:$ES$16,1,AH146)+(1-'Lease Cycles'!$BE$16)*IF(AH147&lt;INDEX('Lease Cycles'!$FA$16:$FG$16,1,AH146),0,1-INDEX('Lease Cycles'!$EM$16:$ES$16,1,AH146)),IF(OR(INDEX('Lease Cycles'!$DY$16:$EE$16,1,AH146)=1,AH147&gt;0),1,1-INDEX('Lease Cycles'!$DD$16:$DJ$16,1,AH146))*((1-'Lease Cycles'!$AJ$16)*INDEX('Lease Cycles'!$FO$16:$FU$16,1,AH146)+(1-'Lease Cycles'!$BE$16)*(1-INDEX('Lease Cycles'!$FO$16:$FU$16,1,AH146)))),0)</f>
        <v>0</v>
      </c>
      <c r="AI154" s="24">
        <f>IF(AI148=1,'Lease Cycles'!$D$16*IF(INDEX('Lease Cycles'!$EF$16:$EL$16,1,AI146)=1,(1-'Lease Cycles'!$AJ$16)*INDEX('Lease Cycles'!$EM$16:$ES$16,1,AI146)+(1-'Lease Cycles'!$BE$16)*IF(AI147&lt;INDEX('Lease Cycles'!$FA$16:$FG$16,1,AI146),0,1-INDEX('Lease Cycles'!$EM$16:$ES$16,1,AI146)),IF(OR(INDEX('Lease Cycles'!$DY$16:$EE$16,1,AI146)=1,AI147&gt;0),1,1-INDEX('Lease Cycles'!$DD$16:$DJ$16,1,AI146))*((1-'Lease Cycles'!$AJ$16)*INDEX('Lease Cycles'!$FO$16:$FU$16,1,AI146)+(1-'Lease Cycles'!$BE$16)*(1-INDEX('Lease Cycles'!$FO$16:$FU$16,1,AI146)))),0)</f>
        <v>0</v>
      </c>
      <c r="AJ154" s="24">
        <f>IF(AJ148=1,'Lease Cycles'!$D$16*IF(INDEX('Lease Cycles'!$EF$16:$EL$16,1,AJ146)=1,(1-'Lease Cycles'!$AJ$16)*INDEX('Lease Cycles'!$EM$16:$ES$16,1,AJ146)+(1-'Lease Cycles'!$BE$16)*IF(AJ147&lt;INDEX('Lease Cycles'!$FA$16:$FG$16,1,AJ146),0,1-INDEX('Lease Cycles'!$EM$16:$ES$16,1,AJ146)),IF(OR(INDEX('Lease Cycles'!$DY$16:$EE$16,1,AJ146)=1,AJ147&gt;0),1,1-INDEX('Lease Cycles'!$DD$16:$DJ$16,1,AJ146))*((1-'Lease Cycles'!$AJ$16)*INDEX('Lease Cycles'!$FO$16:$FU$16,1,AJ146)+(1-'Lease Cycles'!$BE$16)*(1-INDEX('Lease Cycles'!$FO$16:$FU$16,1,AJ146)))),0)</f>
        <v>0</v>
      </c>
      <c r="AK154" s="24">
        <f>IF(AK148=1,'Lease Cycles'!$D$16*IF(INDEX('Lease Cycles'!$EF$16:$EL$16,1,AK146)=1,(1-'Lease Cycles'!$AJ$16)*INDEX('Lease Cycles'!$EM$16:$ES$16,1,AK146)+(1-'Lease Cycles'!$BE$16)*IF(AK147&lt;INDEX('Lease Cycles'!$FA$16:$FG$16,1,AK146),0,1-INDEX('Lease Cycles'!$EM$16:$ES$16,1,AK146)),IF(OR(INDEX('Lease Cycles'!$DY$16:$EE$16,1,AK146)=1,AK147&gt;0),1,1-INDEX('Lease Cycles'!$DD$16:$DJ$16,1,AK146))*((1-'Lease Cycles'!$AJ$16)*INDEX('Lease Cycles'!$FO$16:$FU$16,1,AK146)+(1-'Lease Cycles'!$BE$16)*(1-INDEX('Lease Cycles'!$FO$16:$FU$16,1,AK146)))),0)</f>
        <v>0</v>
      </c>
      <c r="AL154" s="24">
        <f>IF(AL148=1,'Lease Cycles'!$D$16*IF(INDEX('Lease Cycles'!$EF$16:$EL$16,1,AL146)=1,(1-'Lease Cycles'!$AJ$16)*INDEX('Lease Cycles'!$EM$16:$ES$16,1,AL146)+(1-'Lease Cycles'!$BE$16)*IF(AL147&lt;INDEX('Lease Cycles'!$FA$16:$FG$16,1,AL146),0,1-INDEX('Lease Cycles'!$EM$16:$ES$16,1,AL146)),IF(OR(INDEX('Lease Cycles'!$DY$16:$EE$16,1,AL146)=1,AL147&gt;0),1,1-INDEX('Lease Cycles'!$DD$16:$DJ$16,1,AL146))*((1-'Lease Cycles'!$AJ$16)*INDEX('Lease Cycles'!$FO$16:$FU$16,1,AL146)+(1-'Lease Cycles'!$BE$16)*(1-INDEX('Lease Cycles'!$FO$16:$FU$16,1,AL146)))),0)</f>
        <v>0</v>
      </c>
      <c r="AM154" s="24">
        <f>IF(AM148=1,'Lease Cycles'!$D$16*IF(INDEX('Lease Cycles'!$EF$16:$EL$16,1,AM146)=1,(1-'Lease Cycles'!$AJ$16)*INDEX('Lease Cycles'!$EM$16:$ES$16,1,AM146)+(1-'Lease Cycles'!$BE$16)*IF(AM147&lt;INDEX('Lease Cycles'!$FA$16:$FG$16,1,AM146),0,1-INDEX('Lease Cycles'!$EM$16:$ES$16,1,AM146)),IF(OR(INDEX('Lease Cycles'!$DY$16:$EE$16,1,AM146)=1,AM147&gt;0),1,1-INDEX('Lease Cycles'!$DD$16:$DJ$16,1,AM146))*((1-'Lease Cycles'!$AJ$16)*INDEX('Lease Cycles'!$FO$16:$FU$16,1,AM146)+(1-'Lease Cycles'!$BE$16)*(1-INDEX('Lease Cycles'!$FO$16:$FU$16,1,AM146)))),0)</f>
        <v>0</v>
      </c>
      <c r="AN154" s="24">
        <f>IF(AN148=1,'Lease Cycles'!$D$16*IF(INDEX('Lease Cycles'!$EF$16:$EL$16,1,AN146)=1,(1-'Lease Cycles'!$AJ$16)*INDEX('Lease Cycles'!$EM$16:$ES$16,1,AN146)+(1-'Lease Cycles'!$BE$16)*IF(AN147&lt;INDEX('Lease Cycles'!$FA$16:$FG$16,1,AN146),0,1-INDEX('Lease Cycles'!$EM$16:$ES$16,1,AN146)),IF(OR(INDEX('Lease Cycles'!$DY$16:$EE$16,1,AN146)=1,AN147&gt;0),1,1-INDEX('Lease Cycles'!$DD$16:$DJ$16,1,AN146))*((1-'Lease Cycles'!$AJ$16)*INDEX('Lease Cycles'!$FO$16:$FU$16,1,AN146)+(1-'Lease Cycles'!$BE$16)*(1-INDEX('Lease Cycles'!$FO$16:$FU$16,1,AN146)))),0)</f>
        <v>0</v>
      </c>
      <c r="AO154" s="24">
        <f>IF(AO148=1,'Lease Cycles'!$D$16*IF(INDEX('Lease Cycles'!$EF$16:$EL$16,1,AO146)=1,(1-'Lease Cycles'!$AJ$16)*INDEX('Lease Cycles'!$EM$16:$ES$16,1,AO146)+(1-'Lease Cycles'!$BE$16)*IF(AO147&lt;INDEX('Lease Cycles'!$FA$16:$FG$16,1,AO146),0,1-INDEX('Lease Cycles'!$EM$16:$ES$16,1,AO146)),IF(OR(INDEX('Lease Cycles'!$DY$16:$EE$16,1,AO146)=1,AO147&gt;0),1,1-INDEX('Lease Cycles'!$DD$16:$DJ$16,1,AO146))*((1-'Lease Cycles'!$AJ$16)*INDEX('Lease Cycles'!$FO$16:$FU$16,1,AO146)+(1-'Lease Cycles'!$BE$16)*(1-INDEX('Lease Cycles'!$FO$16:$FU$16,1,AO146)))),0)</f>
        <v>0</v>
      </c>
      <c r="AP154" s="24">
        <f>IF(AP148=1,'Lease Cycles'!$D$16*IF(INDEX('Lease Cycles'!$EF$16:$EL$16,1,AP146)=1,(1-'Lease Cycles'!$AJ$16)*INDEX('Lease Cycles'!$EM$16:$ES$16,1,AP146)+(1-'Lease Cycles'!$BE$16)*IF(AP147&lt;INDEX('Lease Cycles'!$FA$16:$FG$16,1,AP146),0,1-INDEX('Lease Cycles'!$EM$16:$ES$16,1,AP146)),IF(OR(INDEX('Lease Cycles'!$DY$16:$EE$16,1,AP146)=1,AP147&gt;0),1,1-INDEX('Lease Cycles'!$DD$16:$DJ$16,1,AP146))*((1-'Lease Cycles'!$AJ$16)*INDEX('Lease Cycles'!$FO$16:$FU$16,1,AP146)+(1-'Lease Cycles'!$BE$16)*(1-INDEX('Lease Cycles'!$FO$16:$FU$16,1,AP146)))),0)</f>
        <v>0</v>
      </c>
      <c r="AQ154" s="24">
        <f>IF(AQ148=1,'Lease Cycles'!$D$16*IF(INDEX('Lease Cycles'!$EF$16:$EL$16,1,AQ146)=1,(1-'Lease Cycles'!$AJ$16)*INDEX('Lease Cycles'!$EM$16:$ES$16,1,AQ146)+(1-'Lease Cycles'!$BE$16)*IF(AQ147&lt;INDEX('Lease Cycles'!$FA$16:$FG$16,1,AQ146),0,1-INDEX('Lease Cycles'!$EM$16:$ES$16,1,AQ146)),IF(OR(INDEX('Lease Cycles'!$DY$16:$EE$16,1,AQ146)=1,AQ147&gt;0),1,1-INDEX('Lease Cycles'!$DD$16:$DJ$16,1,AQ146))*((1-'Lease Cycles'!$AJ$16)*INDEX('Lease Cycles'!$FO$16:$FU$16,1,AQ146)+(1-'Lease Cycles'!$BE$16)*(1-INDEX('Lease Cycles'!$FO$16:$FU$16,1,AQ146)))),0)</f>
        <v>0</v>
      </c>
      <c r="AR154" s="24">
        <f>IF(AR148=1,'Lease Cycles'!$D$16*IF(INDEX('Lease Cycles'!$EF$16:$EL$16,1,AR146)=1,(1-'Lease Cycles'!$AJ$16)*INDEX('Lease Cycles'!$EM$16:$ES$16,1,AR146)+(1-'Lease Cycles'!$BE$16)*IF(AR147&lt;INDEX('Lease Cycles'!$FA$16:$FG$16,1,AR146),0,1-INDEX('Lease Cycles'!$EM$16:$ES$16,1,AR146)),IF(OR(INDEX('Lease Cycles'!$DY$16:$EE$16,1,AR146)=1,AR147&gt;0),1,1-INDEX('Lease Cycles'!$DD$16:$DJ$16,1,AR146))*((1-'Lease Cycles'!$AJ$16)*INDEX('Lease Cycles'!$FO$16:$FU$16,1,AR146)+(1-'Lease Cycles'!$BE$16)*(1-INDEX('Lease Cycles'!$FO$16:$FU$16,1,AR146)))),0)</f>
        <v>0</v>
      </c>
      <c r="AS154" s="24">
        <f>IF(AS148=1,'Lease Cycles'!$D$16*IF(INDEX('Lease Cycles'!$EF$16:$EL$16,1,AS146)=1,(1-'Lease Cycles'!$AJ$16)*INDEX('Lease Cycles'!$EM$16:$ES$16,1,AS146)+(1-'Lease Cycles'!$BE$16)*IF(AS147&lt;INDEX('Lease Cycles'!$FA$16:$FG$16,1,AS146),0,1-INDEX('Lease Cycles'!$EM$16:$ES$16,1,AS146)),IF(OR(INDEX('Lease Cycles'!$DY$16:$EE$16,1,AS146)=1,AS147&gt;0),1,1-INDEX('Lease Cycles'!$DD$16:$DJ$16,1,AS146))*((1-'Lease Cycles'!$AJ$16)*INDEX('Lease Cycles'!$FO$16:$FU$16,1,AS146)+(1-'Lease Cycles'!$BE$16)*(1-INDEX('Lease Cycles'!$FO$16:$FU$16,1,AS146)))),0)</f>
        <v>0</v>
      </c>
      <c r="AT154" s="24">
        <f>IF(AT148=1,'Lease Cycles'!$D$16*IF(INDEX('Lease Cycles'!$EF$16:$EL$16,1,AT146)=1,(1-'Lease Cycles'!$AJ$16)*INDEX('Lease Cycles'!$EM$16:$ES$16,1,AT146)+(1-'Lease Cycles'!$BE$16)*IF(AT147&lt;INDEX('Lease Cycles'!$FA$16:$FG$16,1,AT146),0,1-INDEX('Lease Cycles'!$EM$16:$ES$16,1,AT146)),IF(OR(INDEX('Lease Cycles'!$DY$16:$EE$16,1,AT146)=1,AT147&gt;0),1,1-INDEX('Lease Cycles'!$DD$16:$DJ$16,1,AT146))*((1-'Lease Cycles'!$AJ$16)*INDEX('Lease Cycles'!$FO$16:$FU$16,1,AT146)+(1-'Lease Cycles'!$BE$16)*(1-INDEX('Lease Cycles'!$FO$16:$FU$16,1,AT146)))),0)</f>
        <v>0</v>
      </c>
      <c r="AU154" s="24">
        <f>IF(AU148=1,'Lease Cycles'!$D$16*IF(INDEX('Lease Cycles'!$EF$16:$EL$16,1,AU146)=1,(1-'Lease Cycles'!$AJ$16)*INDEX('Lease Cycles'!$EM$16:$ES$16,1,AU146)+(1-'Lease Cycles'!$BE$16)*IF(AU147&lt;INDEX('Lease Cycles'!$FA$16:$FG$16,1,AU146),0,1-INDEX('Lease Cycles'!$EM$16:$ES$16,1,AU146)),IF(OR(INDEX('Lease Cycles'!$DY$16:$EE$16,1,AU146)=1,AU147&gt;0),1,1-INDEX('Lease Cycles'!$DD$16:$DJ$16,1,AU146))*((1-'Lease Cycles'!$AJ$16)*INDEX('Lease Cycles'!$FO$16:$FU$16,1,AU146)+(1-'Lease Cycles'!$BE$16)*(1-INDEX('Lease Cycles'!$FO$16:$FU$16,1,AU146)))),0)</f>
        <v>0</v>
      </c>
      <c r="AV154" s="24">
        <f>IF(AV148=1,'Lease Cycles'!$D$16*IF(INDEX('Lease Cycles'!$EF$16:$EL$16,1,AV146)=1,(1-'Lease Cycles'!$AJ$16)*INDEX('Lease Cycles'!$EM$16:$ES$16,1,AV146)+(1-'Lease Cycles'!$BE$16)*IF(AV147&lt;INDEX('Lease Cycles'!$FA$16:$FG$16,1,AV146),0,1-INDEX('Lease Cycles'!$EM$16:$ES$16,1,AV146)),IF(OR(INDEX('Lease Cycles'!$DY$16:$EE$16,1,AV146)=1,AV147&gt;0),1,1-INDEX('Lease Cycles'!$DD$16:$DJ$16,1,AV146))*((1-'Lease Cycles'!$AJ$16)*INDEX('Lease Cycles'!$FO$16:$FU$16,1,AV146)+(1-'Lease Cycles'!$BE$16)*(1-INDEX('Lease Cycles'!$FO$16:$FU$16,1,AV146)))),0)</f>
        <v>0</v>
      </c>
      <c r="AW154" s="24">
        <f>IF(AW148=1,'Lease Cycles'!$D$16*IF(INDEX('Lease Cycles'!$EF$16:$EL$16,1,AW146)=1,(1-'Lease Cycles'!$AJ$16)*INDEX('Lease Cycles'!$EM$16:$ES$16,1,AW146)+(1-'Lease Cycles'!$BE$16)*IF(AW147&lt;INDEX('Lease Cycles'!$FA$16:$FG$16,1,AW146),0,1-INDEX('Lease Cycles'!$EM$16:$ES$16,1,AW146)),IF(OR(INDEX('Lease Cycles'!$DY$16:$EE$16,1,AW146)=1,AW147&gt;0),1,1-INDEX('Lease Cycles'!$DD$16:$DJ$16,1,AW146))*((1-'Lease Cycles'!$AJ$16)*INDEX('Lease Cycles'!$FO$16:$FU$16,1,AW146)+(1-'Lease Cycles'!$BE$16)*(1-INDEX('Lease Cycles'!$FO$16:$FU$16,1,AW146)))),0)</f>
        <v>0</v>
      </c>
      <c r="AX154" s="24">
        <f>IF(AX148=1,'Lease Cycles'!$D$16*IF(INDEX('Lease Cycles'!$EF$16:$EL$16,1,AX146)=1,(1-'Lease Cycles'!$AJ$16)*INDEX('Lease Cycles'!$EM$16:$ES$16,1,AX146)+(1-'Lease Cycles'!$BE$16)*IF(AX147&lt;INDEX('Lease Cycles'!$FA$16:$FG$16,1,AX146),0,1-INDEX('Lease Cycles'!$EM$16:$ES$16,1,AX146)),IF(OR(INDEX('Lease Cycles'!$DY$16:$EE$16,1,AX146)=1,AX147&gt;0),1,1-INDEX('Lease Cycles'!$DD$16:$DJ$16,1,AX146))*((1-'Lease Cycles'!$AJ$16)*INDEX('Lease Cycles'!$FO$16:$FU$16,1,AX146)+(1-'Lease Cycles'!$BE$16)*(1-INDEX('Lease Cycles'!$FO$16:$FU$16,1,AX146)))),0)</f>
        <v>0</v>
      </c>
      <c r="AY154" s="24">
        <f>IF(AY148=1,'Lease Cycles'!$D$16*IF(INDEX('Lease Cycles'!$EF$16:$EL$16,1,AY146)=1,(1-'Lease Cycles'!$AJ$16)*INDEX('Lease Cycles'!$EM$16:$ES$16,1,AY146)+(1-'Lease Cycles'!$BE$16)*IF(AY147&lt;INDEX('Lease Cycles'!$FA$16:$FG$16,1,AY146),0,1-INDEX('Lease Cycles'!$EM$16:$ES$16,1,AY146)),IF(OR(INDEX('Lease Cycles'!$DY$16:$EE$16,1,AY146)=1,AY147&gt;0),1,1-INDEX('Lease Cycles'!$DD$16:$DJ$16,1,AY146))*((1-'Lease Cycles'!$AJ$16)*INDEX('Lease Cycles'!$FO$16:$FU$16,1,AY146)+(1-'Lease Cycles'!$BE$16)*(1-INDEX('Lease Cycles'!$FO$16:$FU$16,1,AY146)))),0)</f>
        <v>0</v>
      </c>
      <c r="AZ154" s="24">
        <f>IF(AZ148=1,'Lease Cycles'!$D$16*IF(INDEX('Lease Cycles'!$EF$16:$EL$16,1,AZ146)=1,(1-'Lease Cycles'!$AJ$16)*INDEX('Lease Cycles'!$EM$16:$ES$16,1,AZ146)+(1-'Lease Cycles'!$BE$16)*IF(AZ147&lt;INDEX('Lease Cycles'!$FA$16:$FG$16,1,AZ146),0,1-INDEX('Lease Cycles'!$EM$16:$ES$16,1,AZ146)),IF(OR(INDEX('Lease Cycles'!$DY$16:$EE$16,1,AZ146)=1,AZ147&gt;0),1,1-INDEX('Lease Cycles'!$DD$16:$DJ$16,1,AZ146))*((1-'Lease Cycles'!$AJ$16)*INDEX('Lease Cycles'!$FO$16:$FU$16,1,AZ146)+(1-'Lease Cycles'!$BE$16)*(1-INDEX('Lease Cycles'!$FO$16:$FU$16,1,AZ146)))),0)</f>
        <v>0</v>
      </c>
      <c r="BA154" s="24">
        <f>IF(BA148=1,'Lease Cycles'!$D$16*IF(INDEX('Lease Cycles'!$EF$16:$EL$16,1,BA146)=1,(1-'Lease Cycles'!$AJ$16)*INDEX('Lease Cycles'!$EM$16:$ES$16,1,BA146)+(1-'Lease Cycles'!$BE$16)*IF(BA147&lt;INDEX('Lease Cycles'!$FA$16:$FG$16,1,BA146),0,1-INDEX('Lease Cycles'!$EM$16:$ES$16,1,BA146)),IF(OR(INDEX('Lease Cycles'!$DY$16:$EE$16,1,BA146)=1,BA147&gt;0),1,1-INDEX('Lease Cycles'!$DD$16:$DJ$16,1,BA146))*((1-'Lease Cycles'!$AJ$16)*INDEX('Lease Cycles'!$FO$16:$FU$16,1,BA146)+(1-'Lease Cycles'!$BE$16)*(1-INDEX('Lease Cycles'!$FO$16:$FU$16,1,BA146)))),0)</f>
        <v>0</v>
      </c>
      <c r="BB154" s="24">
        <f>IF(BB148=1,'Lease Cycles'!$D$16*IF(INDEX('Lease Cycles'!$EF$16:$EL$16,1,BB146)=1,(1-'Lease Cycles'!$AJ$16)*INDEX('Lease Cycles'!$EM$16:$ES$16,1,BB146)+(1-'Lease Cycles'!$BE$16)*IF(BB147&lt;INDEX('Lease Cycles'!$FA$16:$FG$16,1,BB146),0,1-INDEX('Lease Cycles'!$EM$16:$ES$16,1,BB146)),IF(OR(INDEX('Lease Cycles'!$DY$16:$EE$16,1,BB146)=1,BB147&gt;0),1,1-INDEX('Lease Cycles'!$DD$16:$DJ$16,1,BB146))*((1-'Lease Cycles'!$AJ$16)*INDEX('Lease Cycles'!$FO$16:$FU$16,1,BB146)+(1-'Lease Cycles'!$BE$16)*(1-INDEX('Lease Cycles'!$FO$16:$FU$16,1,BB146)))),0)</f>
        <v>0</v>
      </c>
      <c r="BC154" s="24">
        <f>IF(BC148=1,'Lease Cycles'!$D$16*IF(INDEX('Lease Cycles'!$EF$16:$EL$16,1,BC146)=1,(1-'Lease Cycles'!$AJ$16)*INDEX('Lease Cycles'!$EM$16:$ES$16,1,BC146)+(1-'Lease Cycles'!$BE$16)*IF(BC147&lt;INDEX('Lease Cycles'!$FA$16:$FG$16,1,BC146),0,1-INDEX('Lease Cycles'!$EM$16:$ES$16,1,BC146)),IF(OR(INDEX('Lease Cycles'!$DY$16:$EE$16,1,BC146)=1,BC147&gt;0),1,1-INDEX('Lease Cycles'!$DD$16:$DJ$16,1,BC146))*((1-'Lease Cycles'!$AJ$16)*INDEX('Lease Cycles'!$FO$16:$FU$16,1,BC146)+(1-'Lease Cycles'!$BE$16)*(1-INDEX('Lease Cycles'!$FO$16:$FU$16,1,BC146)))),0)</f>
        <v>0</v>
      </c>
      <c r="BD154" s="24">
        <f>IF(BD148=1,'Lease Cycles'!$D$16*IF(INDEX('Lease Cycles'!$EF$16:$EL$16,1,BD146)=1,(1-'Lease Cycles'!$AJ$16)*INDEX('Lease Cycles'!$EM$16:$ES$16,1,BD146)+(1-'Lease Cycles'!$BE$16)*IF(BD147&lt;INDEX('Lease Cycles'!$FA$16:$FG$16,1,BD146),0,1-INDEX('Lease Cycles'!$EM$16:$ES$16,1,BD146)),IF(OR(INDEX('Lease Cycles'!$DY$16:$EE$16,1,BD146)=1,BD147&gt;0),1,1-INDEX('Lease Cycles'!$DD$16:$DJ$16,1,BD146))*((1-'Lease Cycles'!$AJ$16)*INDEX('Lease Cycles'!$FO$16:$FU$16,1,BD146)+(1-'Lease Cycles'!$BE$16)*(1-INDEX('Lease Cycles'!$FO$16:$FU$16,1,BD146)))),0)</f>
        <v>0</v>
      </c>
      <c r="BE154" s="24">
        <f>IF(BE148=1,'Lease Cycles'!$D$16*IF(INDEX('Lease Cycles'!$EF$16:$EL$16,1,BE146)=1,(1-'Lease Cycles'!$AJ$16)*INDEX('Lease Cycles'!$EM$16:$ES$16,1,BE146)+(1-'Lease Cycles'!$BE$16)*IF(BE147&lt;INDEX('Lease Cycles'!$FA$16:$FG$16,1,BE146),0,1-INDEX('Lease Cycles'!$EM$16:$ES$16,1,BE146)),IF(OR(INDEX('Lease Cycles'!$DY$16:$EE$16,1,BE146)=1,BE147&gt;0),1,1-INDEX('Lease Cycles'!$DD$16:$DJ$16,1,BE146))*((1-'Lease Cycles'!$AJ$16)*INDEX('Lease Cycles'!$FO$16:$FU$16,1,BE146)+(1-'Lease Cycles'!$BE$16)*(1-INDEX('Lease Cycles'!$FO$16:$FU$16,1,BE146)))),0)</f>
        <v>0</v>
      </c>
      <c r="BF154" s="24">
        <f>IF(BF148=1,'Lease Cycles'!$D$16*IF(INDEX('Lease Cycles'!$EF$16:$EL$16,1,BF146)=1,(1-'Lease Cycles'!$AJ$16)*INDEX('Lease Cycles'!$EM$16:$ES$16,1,BF146)+(1-'Lease Cycles'!$BE$16)*IF(BF147&lt;INDEX('Lease Cycles'!$FA$16:$FG$16,1,BF146),0,1-INDEX('Lease Cycles'!$EM$16:$ES$16,1,BF146)),IF(OR(INDEX('Lease Cycles'!$DY$16:$EE$16,1,BF146)=1,BF147&gt;0),1,1-INDEX('Lease Cycles'!$DD$16:$DJ$16,1,BF146))*((1-'Lease Cycles'!$AJ$16)*INDEX('Lease Cycles'!$FO$16:$FU$16,1,BF146)+(1-'Lease Cycles'!$BE$16)*(1-INDEX('Lease Cycles'!$FO$16:$FU$16,1,BF146)))),0)</f>
        <v>0</v>
      </c>
      <c r="BG154" s="24">
        <f>IF(BG148=1,'Lease Cycles'!$D$16*IF(INDEX('Lease Cycles'!$EF$16:$EL$16,1,BG146)=1,(1-'Lease Cycles'!$AJ$16)*INDEX('Lease Cycles'!$EM$16:$ES$16,1,BG146)+(1-'Lease Cycles'!$BE$16)*IF(BG147&lt;INDEX('Lease Cycles'!$FA$16:$FG$16,1,BG146),0,1-INDEX('Lease Cycles'!$EM$16:$ES$16,1,BG146)),IF(OR(INDEX('Lease Cycles'!$DY$16:$EE$16,1,BG146)=1,BG147&gt;0),1,1-INDEX('Lease Cycles'!$DD$16:$DJ$16,1,BG146))*((1-'Lease Cycles'!$AJ$16)*INDEX('Lease Cycles'!$FO$16:$FU$16,1,BG146)+(1-'Lease Cycles'!$BE$16)*(1-INDEX('Lease Cycles'!$FO$16:$FU$16,1,BG146)))),0)</f>
        <v>0</v>
      </c>
      <c r="BH154" s="24">
        <f>IF(BH148=1,'Lease Cycles'!$D$16*IF(INDEX('Lease Cycles'!$EF$16:$EL$16,1,BH146)=1,(1-'Lease Cycles'!$AJ$16)*INDEX('Lease Cycles'!$EM$16:$ES$16,1,BH146)+(1-'Lease Cycles'!$BE$16)*IF(BH147&lt;INDEX('Lease Cycles'!$FA$16:$FG$16,1,BH146),0,1-INDEX('Lease Cycles'!$EM$16:$ES$16,1,BH146)),IF(OR(INDEX('Lease Cycles'!$DY$16:$EE$16,1,BH146)=1,BH147&gt;0),1,1-INDEX('Lease Cycles'!$DD$16:$DJ$16,1,BH146))*((1-'Lease Cycles'!$AJ$16)*INDEX('Lease Cycles'!$FO$16:$FU$16,1,BH146)+(1-'Lease Cycles'!$BE$16)*(1-INDEX('Lease Cycles'!$FO$16:$FU$16,1,BH146)))),0)</f>
        <v>0</v>
      </c>
      <c r="BI154" s="24">
        <f>IF(BI148=1,'Lease Cycles'!$D$16*IF(INDEX('Lease Cycles'!$EF$16:$EL$16,1,BI146)=1,(1-'Lease Cycles'!$AJ$16)*INDEX('Lease Cycles'!$EM$16:$ES$16,1,BI146)+(1-'Lease Cycles'!$BE$16)*IF(BI147&lt;INDEX('Lease Cycles'!$FA$16:$FG$16,1,BI146),0,1-INDEX('Lease Cycles'!$EM$16:$ES$16,1,BI146)),IF(OR(INDEX('Lease Cycles'!$DY$16:$EE$16,1,BI146)=1,BI147&gt;0),1,1-INDEX('Lease Cycles'!$DD$16:$DJ$16,1,BI146))*((1-'Lease Cycles'!$AJ$16)*INDEX('Lease Cycles'!$FO$16:$FU$16,1,BI146)+(1-'Lease Cycles'!$BE$16)*(1-INDEX('Lease Cycles'!$FO$16:$FU$16,1,BI146)))),0)</f>
        <v>0</v>
      </c>
      <c r="BJ154" s="24">
        <f>IF(BJ148=1,'Lease Cycles'!$D$16*IF(INDEX('Lease Cycles'!$EF$16:$EL$16,1,BJ146)=1,(1-'Lease Cycles'!$AJ$16)*INDEX('Lease Cycles'!$EM$16:$ES$16,1,BJ146)+(1-'Lease Cycles'!$BE$16)*IF(BJ147&lt;INDEX('Lease Cycles'!$FA$16:$FG$16,1,BJ146),0,1-INDEX('Lease Cycles'!$EM$16:$ES$16,1,BJ146)),IF(OR(INDEX('Lease Cycles'!$DY$16:$EE$16,1,BJ146)=1,BJ147&gt;0),1,1-INDEX('Lease Cycles'!$DD$16:$DJ$16,1,BJ146))*((1-'Lease Cycles'!$AJ$16)*INDEX('Lease Cycles'!$FO$16:$FU$16,1,BJ146)+(1-'Lease Cycles'!$BE$16)*(1-INDEX('Lease Cycles'!$FO$16:$FU$16,1,BJ146)))),0)</f>
        <v>0</v>
      </c>
      <c r="BK154" s="24">
        <f>IF(BK148=1,'Lease Cycles'!$D$16*IF(INDEX('Lease Cycles'!$EF$16:$EL$16,1,BK146)=1,(1-'Lease Cycles'!$AJ$16)*INDEX('Lease Cycles'!$EM$16:$ES$16,1,BK146)+(1-'Lease Cycles'!$BE$16)*IF(BK147&lt;INDEX('Lease Cycles'!$FA$16:$FG$16,1,BK146),0,1-INDEX('Lease Cycles'!$EM$16:$ES$16,1,BK146)),IF(OR(INDEX('Lease Cycles'!$DY$16:$EE$16,1,BK146)=1,BK147&gt;0),1,1-INDEX('Lease Cycles'!$DD$16:$DJ$16,1,BK146))*((1-'Lease Cycles'!$AJ$16)*INDEX('Lease Cycles'!$FO$16:$FU$16,1,BK146)+(1-'Lease Cycles'!$BE$16)*(1-INDEX('Lease Cycles'!$FO$16:$FU$16,1,BK146)))),0)</f>
        <v>0</v>
      </c>
      <c r="BL154" s="24">
        <f>IF(BL148=1,'Lease Cycles'!$D$16*IF(INDEX('Lease Cycles'!$EF$16:$EL$16,1,BL146)=1,(1-'Lease Cycles'!$AJ$16)*INDEX('Lease Cycles'!$EM$16:$ES$16,1,BL146)+(1-'Lease Cycles'!$BE$16)*IF(BL147&lt;INDEX('Lease Cycles'!$FA$16:$FG$16,1,BL146),0,1-INDEX('Lease Cycles'!$EM$16:$ES$16,1,BL146)),IF(OR(INDEX('Lease Cycles'!$DY$16:$EE$16,1,BL146)=1,BL147&gt;0),1,1-INDEX('Lease Cycles'!$DD$16:$DJ$16,1,BL146))*((1-'Lease Cycles'!$AJ$16)*INDEX('Lease Cycles'!$FO$16:$FU$16,1,BL146)+(1-'Lease Cycles'!$BE$16)*(1-INDEX('Lease Cycles'!$FO$16:$FU$16,1,BL146)))),0)</f>
        <v>0</v>
      </c>
      <c r="BM154" s="24">
        <f>IF(BM148=1,'Lease Cycles'!$D$16*IF(INDEX('Lease Cycles'!$EF$16:$EL$16,1,BM146)=1,(1-'Lease Cycles'!$AJ$16)*INDEX('Lease Cycles'!$EM$16:$ES$16,1,BM146)+(1-'Lease Cycles'!$BE$16)*IF(BM147&lt;INDEX('Lease Cycles'!$FA$16:$FG$16,1,BM146),0,1-INDEX('Lease Cycles'!$EM$16:$ES$16,1,BM146)),IF(OR(INDEX('Lease Cycles'!$DY$16:$EE$16,1,BM146)=1,BM147&gt;0),1,1-INDEX('Lease Cycles'!$DD$16:$DJ$16,1,BM146))*((1-'Lease Cycles'!$AJ$16)*INDEX('Lease Cycles'!$FO$16:$FU$16,1,BM146)+(1-'Lease Cycles'!$BE$16)*(1-INDEX('Lease Cycles'!$FO$16:$FU$16,1,BM146)))),0)</f>
        <v>0</v>
      </c>
      <c r="BN154" s="24">
        <f>IF(BN148=1,'Lease Cycles'!$D$16*IF(INDEX('Lease Cycles'!$EF$16:$EL$16,1,BN146)=1,(1-'Lease Cycles'!$AJ$16)*INDEX('Lease Cycles'!$EM$16:$ES$16,1,BN146)+(1-'Lease Cycles'!$BE$16)*IF(BN147&lt;INDEX('Lease Cycles'!$FA$16:$FG$16,1,BN146),0,1-INDEX('Lease Cycles'!$EM$16:$ES$16,1,BN146)),IF(OR(INDEX('Lease Cycles'!$DY$16:$EE$16,1,BN146)=1,BN147&gt;0),1,1-INDEX('Lease Cycles'!$DD$16:$DJ$16,1,BN146))*((1-'Lease Cycles'!$AJ$16)*INDEX('Lease Cycles'!$FO$16:$FU$16,1,BN146)+(1-'Lease Cycles'!$BE$16)*(1-INDEX('Lease Cycles'!$FO$16:$FU$16,1,BN146)))),0)</f>
        <v>0</v>
      </c>
      <c r="BO154" s="24">
        <f>IF(BO148=1,'Lease Cycles'!$D$16*IF(INDEX('Lease Cycles'!$EF$16:$EL$16,1,BO146)=1,(1-'Lease Cycles'!$AJ$16)*INDEX('Lease Cycles'!$EM$16:$ES$16,1,BO146)+(1-'Lease Cycles'!$BE$16)*IF(BO147&lt;INDEX('Lease Cycles'!$FA$16:$FG$16,1,BO146),0,1-INDEX('Lease Cycles'!$EM$16:$ES$16,1,BO146)),IF(OR(INDEX('Lease Cycles'!$DY$16:$EE$16,1,BO146)=1,BO147&gt;0),1,1-INDEX('Lease Cycles'!$DD$16:$DJ$16,1,BO146))*((1-'Lease Cycles'!$AJ$16)*INDEX('Lease Cycles'!$FO$16:$FU$16,1,BO146)+(1-'Lease Cycles'!$BE$16)*(1-INDEX('Lease Cycles'!$FO$16:$FU$16,1,BO146)))),0)</f>
        <v>0</v>
      </c>
      <c r="BP154" s="24">
        <f>IF(BP148=1,'Lease Cycles'!$D$16*IF(INDEX('Lease Cycles'!$EF$16:$EL$16,1,BP146)=1,(1-'Lease Cycles'!$AJ$16)*INDEX('Lease Cycles'!$EM$16:$ES$16,1,BP146)+(1-'Lease Cycles'!$BE$16)*IF(BP147&lt;INDEX('Lease Cycles'!$FA$16:$FG$16,1,BP146),0,1-INDEX('Lease Cycles'!$EM$16:$ES$16,1,BP146)),IF(OR(INDEX('Lease Cycles'!$DY$16:$EE$16,1,BP146)=1,BP147&gt;0),1,1-INDEX('Lease Cycles'!$DD$16:$DJ$16,1,BP146))*((1-'Lease Cycles'!$AJ$16)*INDEX('Lease Cycles'!$FO$16:$FU$16,1,BP146)+(1-'Lease Cycles'!$BE$16)*(1-INDEX('Lease Cycles'!$FO$16:$FU$16,1,BP146)))),0)</f>
        <v>0</v>
      </c>
      <c r="BQ154" s="24">
        <f>IF(BQ148=1,'Lease Cycles'!$D$16*IF(INDEX('Lease Cycles'!$EF$16:$EL$16,1,BQ146)=1,(1-'Lease Cycles'!$AJ$16)*INDEX('Lease Cycles'!$EM$16:$ES$16,1,BQ146)+(1-'Lease Cycles'!$BE$16)*IF(BQ147&lt;INDEX('Lease Cycles'!$FA$16:$FG$16,1,BQ146),0,1-INDEX('Lease Cycles'!$EM$16:$ES$16,1,BQ146)),IF(OR(INDEX('Lease Cycles'!$DY$16:$EE$16,1,BQ146)=1,BQ147&gt;0),1,1-INDEX('Lease Cycles'!$DD$16:$DJ$16,1,BQ146))*((1-'Lease Cycles'!$AJ$16)*INDEX('Lease Cycles'!$FO$16:$FU$16,1,BQ146)+(1-'Lease Cycles'!$BE$16)*(1-INDEX('Lease Cycles'!$FO$16:$FU$16,1,BQ146)))),0)</f>
        <v>0</v>
      </c>
      <c r="BR154" s="24">
        <f>IF(BR148=1,'Lease Cycles'!$D$16*IF(INDEX('Lease Cycles'!$EF$16:$EL$16,1,BR146)=1,(1-'Lease Cycles'!$AJ$16)*INDEX('Lease Cycles'!$EM$16:$ES$16,1,BR146)+(1-'Lease Cycles'!$BE$16)*IF(BR147&lt;INDEX('Lease Cycles'!$FA$16:$FG$16,1,BR146),0,1-INDEX('Lease Cycles'!$EM$16:$ES$16,1,BR146)),IF(OR(INDEX('Lease Cycles'!$DY$16:$EE$16,1,BR146)=1,BR147&gt;0),1,1-INDEX('Lease Cycles'!$DD$16:$DJ$16,1,BR146))*((1-'Lease Cycles'!$AJ$16)*INDEX('Lease Cycles'!$FO$16:$FU$16,1,BR146)+(1-'Lease Cycles'!$BE$16)*(1-INDEX('Lease Cycles'!$FO$16:$FU$16,1,BR146)))),0)</f>
        <v>0</v>
      </c>
      <c r="BS154" s="24">
        <f>IF(BS148=1,'Lease Cycles'!$D$16*IF(INDEX('Lease Cycles'!$EF$16:$EL$16,1,BS146)=1,(1-'Lease Cycles'!$AJ$16)*INDEX('Lease Cycles'!$EM$16:$ES$16,1,BS146)+(1-'Lease Cycles'!$BE$16)*IF(BS147&lt;INDEX('Lease Cycles'!$FA$16:$FG$16,1,BS146),0,1-INDEX('Lease Cycles'!$EM$16:$ES$16,1,BS146)),IF(OR(INDEX('Lease Cycles'!$DY$16:$EE$16,1,BS146)=1,BS147&gt;0),1,1-INDEX('Lease Cycles'!$DD$16:$DJ$16,1,BS146))*((1-'Lease Cycles'!$AJ$16)*INDEX('Lease Cycles'!$FO$16:$FU$16,1,BS146)+(1-'Lease Cycles'!$BE$16)*(1-INDEX('Lease Cycles'!$FO$16:$FU$16,1,BS146)))),0)</f>
        <v>0</v>
      </c>
      <c r="BT154" s="24">
        <f>IF(BT148=1,'Lease Cycles'!$D$16*IF(INDEX('Lease Cycles'!$EF$16:$EL$16,1,BT146)=1,(1-'Lease Cycles'!$AJ$16)*INDEX('Lease Cycles'!$EM$16:$ES$16,1,BT146)+(1-'Lease Cycles'!$BE$16)*IF(BT147&lt;INDEX('Lease Cycles'!$FA$16:$FG$16,1,BT146),0,1-INDEX('Lease Cycles'!$EM$16:$ES$16,1,BT146)),IF(OR(INDEX('Lease Cycles'!$DY$16:$EE$16,1,BT146)=1,BT147&gt;0),1,1-INDEX('Lease Cycles'!$DD$16:$DJ$16,1,BT146))*((1-'Lease Cycles'!$AJ$16)*INDEX('Lease Cycles'!$FO$16:$FU$16,1,BT146)+(1-'Lease Cycles'!$BE$16)*(1-INDEX('Lease Cycles'!$FO$16:$FU$16,1,BT146)))),0)</f>
        <v>0</v>
      </c>
      <c r="BU154" s="24">
        <f>IF(BU148=1,'Lease Cycles'!$D$16*IF(INDEX('Lease Cycles'!$EF$16:$EL$16,1,BU146)=1,(1-'Lease Cycles'!$AJ$16)*INDEX('Lease Cycles'!$EM$16:$ES$16,1,BU146)+(1-'Lease Cycles'!$BE$16)*IF(BU147&lt;INDEX('Lease Cycles'!$FA$16:$FG$16,1,BU146),0,1-INDEX('Lease Cycles'!$EM$16:$ES$16,1,BU146)),IF(OR(INDEX('Lease Cycles'!$DY$16:$EE$16,1,BU146)=1,BU147&gt;0),1,1-INDEX('Lease Cycles'!$DD$16:$DJ$16,1,BU146))*((1-'Lease Cycles'!$AJ$16)*INDEX('Lease Cycles'!$FO$16:$FU$16,1,BU146)+(1-'Lease Cycles'!$BE$16)*(1-INDEX('Lease Cycles'!$FO$16:$FU$16,1,BU146)))),0)</f>
        <v>0</v>
      </c>
      <c r="BV154" s="24">
        <f>IF(BV148=1,'Lease Cycles'!$D$16*IF(INDEX('Lease Cycles'!$EF$16:$EL$16,1,BV146)=1,(1-'Lease Cycles'!$AJ$16)*INDEX('Lease Cycles'!$EM$16:$ES$16,1,BV146)+(1-'Lease Cycles'!$BE$16)*IF(BV147&lt;INDEX('Lease Cycles'!$FA$16:$FG$16,1,BV146),0,1-INDEX('Lease Cycles'!$EM$16:$ES$16,1,BV146)),IF(OR(INDEX('Lease Cycles'!$DY$16:$EE$16,1,BV146)=1,BV147&gt;0),1,1-INDEX('Lease Cycles'!$DD$16:$DJ$16,1,BV146))*((1-'Lease Cycles'!$AJ$16)*INDEX('Lease Cycles'!$FO$16:$FU$16,1,BV146)+(1-'Lease Cycles'!$BE$16)*(1-INDEX('Lease Cycles'!$FO$16:$FU$16,1,BV146)))),0)</f>
        <v>0</v>
      </c>
      <c r="BW154" s="24">
        <f>IF(BW148=1,'Lease Cycles'!$D$16*IF(INDEX('Lease Cycles'!$EF$16:$EL$16,1,BW146)=1,(1-'Lease Cycles'!$AJ$16)*INDEX('Lease Cycles'!$EM$16:$ES$16,1,BW146)+(1-'Lease Cycles'!$BE$16)*IF(BW147&lt;INDEX('Lease Cycles'!$FA$16:$FG$16,1,BW146),0,1-INDEX('Lease Cycles'!$EM$16:$ES$16,1,BW146)),IF(OR(INDEX('Lease Cycles'!$DY$16:$EE$16,1,BW146)=1,BW147&gt;0),1,1-INDEX('Lease Cycles'!$DD$16:$DJ$16,1,BW146))*((1-'Lease Cycles'!$AJ$16)*INDEX('Lease Cycles'!$FO$16:$FU$16,1,BW146)+(1-'Lease Cycles'!$BE$16)*(1-INDEX('Lease Cycles'!$FO$16:$FU$16,1,BW146)))),0)</f>
        <v>0</v>
      </c>
      <c r="BX154" s="24">
        <f>IF(BX148=1,'Lease Cycles'!$D$16*IF(INDEX('Lease Cycles'!$EF$16:$EL$16,1,BX146)=1,(1-'Lease Cycles'!$AJ$16)*INDEX('Lease Cycles'!$EM$16:$ES$16,1,BX146)+(1-'Lease Cycles'!$BE$16)*IF(BX147&lt;INDEX('Lease Cycles'!$FA$16:$FG$16,1,BX146),0,1-INDEX('Lease Cycles'!$EM$16:$ES$16,1,BX146)),IF(OR(INDEX('Lease Cycles'!$DY$16:$EE$16,1,BX146)=1,BX147&gt;0),1,1-INDEX('Lease Cycles'!$DD$16:$DJ$16,1,BX146))*((1-'Lease Cycles'!$AJ$16)*INDEX('Lease Cycles'!$FO$16:$FU$16,1,BX146)+(1-'Lease Cycles'!$BE$16)*(1-INDEX('Lease Cycles'!$FO$16:$FU$16,1,BX146)))),0)</f>
        <v>0</v>
      </c>
      <c r="BY154" s="24">
        <f>IF(BY148=1,'Lease Cycles'!$D$16*IF(INDEX('Lease Cycles'!$EF$16:$EL$16,1,BY146)=1,(1-'Lease Cycles'!$AJ$16)*INDEX('Lease Cycles'!$EM$16:$ES$16,1,BY146)+(1-'Lease Cycles'!$BE$16)*IF(BY147&lt;INDEX('Lease Cycles'!$FA$16:$FG$16,1,BY146),0,1-INDEX('Lease Cycles'!$EM$16:$ES$16,1,BY146)),IF(OR(INDEX('Lease Cycles'!$DY$16:$EE$16,1,BY146)=1,BY147&gt;0),1,1-INDEX('Lease Cycles'!$DD$16:$DJ$16,1,BY146))*((1-'Lease Cycles'!$AJ$16)*INDEX('Lease Cycles'!$FO$16:$FU$16,1,BY146)+(1-'Lease Cycles'!$BE$16)*(1-INDEX('Lease Cycles'!$FO$16:$FU$16,1,BY146)))),0)</f>
        <v>0.00589614740368507</v>
      </c>
      <c r="BZ154" s="24">
        <f>IF(BZ148=1,'Lease Cycles'!$D$16*IF(INDEX('Lease Cycles'!$EF$16:$EL$16,1,BZ146)=1,(1-'Lease Cycles'!$AJ$16)*INDEX('Lease Cycles'!$EM$16:$ES$16,1,BZ146)+(1-'Lease Cycles'!$BE$16)*IF(BZ147&lt;INDEX('Lease Cycles'!$FA$16:$FG$16,1,BZ146),0,1-INDEX('Lease Cycles'!$EM$16:$ES$16,1,BZ146)),IF(OR(INDEX('Lease Cycles'!$DY$16:$EE$16,1,BZ146)=1,BZ147&gt;0),1,1-INDEX('Lease Cycles'!$DD$16:$DJ$16,1,BZ146))*((1-'Lease Cycles'!$AJ$16)*INDEX('Lease Cycles'!$FO$16:$FU$16,1,BZ146)+(1-'Lease Cycles'!$BE$16)*(1-INDEX('Lease Cycles'!$FO$16:$FU$16,1,BZ146)))),0)</f>
        <v>0.007370184254606364</v>
      </c>
      <c r="CA154" s="24">
        <f>IF(CA148=1,'Lease Cycles'!$D$16*IF(INDEX('Lease Cycles'!$EF$16:$EL$16,1,CA146)=1,(1-'Lease Cycles'!$AJ$16)*INDEX('Lease Cycles'!$EM$16:$ES$16,1,CA146)+(1-'Lease Cycles'!$BE$16)*IF(CA147&lt;INDEX('Lease Cycles'!$FA$16:$FG$16,1,CA146),0,1-INDEX('Lease Cycles'!$EM$16:$ES$16,1,CA146)),IF(OR(INDEX('Lease Cycles'!$DY$16:$EE$16,1,CA146)=1,CA147&gt;0),1,1-INDEX('Lease Cycles'!$DD$16:$DJ$16,1,CA146))*((1-'Lease Cycles'!$AJ$16)*INDEX('Lease Cycles'!$FO$16:$FU$16,1,CA146)+(1-'Lease Cycles'!$BE$16)*(1-INDEX('Lease Cycles'!$FO$16:$FU$16,1,CA146)))),0)</f>
        <v>0.007370184254606364</v>
      </c>
      <c r="CB154" s="24">
        <f>IF(CB148=1,'Lease Cycles'!$D$16*IF(INDEX('Lease Cycles'!$EF$16:$EL$16,1,CB146)=1,(1-'Lease Cycles'!$AJ$16)*INDEX('Lease Cycles'!$EM$16:$ES$16,1,CB146)+(1-'Lease Cycles'!$BE$16)*IF(CB147&lt;INDEX('Lease Cycles'!$FA$16:$FG$16,1,CB146),0,1-INDEX('Lease Cycles'!$EM$16:$ES$16,1,CB146)),IF(OR(INDEX('Lease Cycles'!$DY$16:$EE$16,1,CB146)=1,CB147&gt;0),1,1-INDEX('Lease Cycles'!$DD$16:$DJ$16,1,CB146))*((1-'Lease Cycles'!$AJ$16)*INDEX('Lease Cycles'!$FO$16:$FU$16,1,CB146)+(1-'Lease Cycles'!$BE$16)*(1-INDEX('Lease Cycles'!$FO$16:$FU$16,1,CB146)))),0)</f>
        <v>0.007370184254606364</v>
      </c>
      <c r="CC154" s="24">
        <f>IF(CC148=1,'Lease Cycles'!$D$16*IF(INDEX('Lease Cycles'!$EF$16:$EL$16,1,CC146)=1,(1-'Lease Cycles'!$AJ$16)*INDEX('Lease Cycles'!$EM$16:$ES$16,1,CC146)+(1-'Lease Cycles'!$BE$16)*IF(CC147&lt;INDEX('Lease Cycles'!$FA$16:$FG$16,1,CC146),0,1-INDEX('Lease Cycles'!$EM$16:$ES$16,1,CC146)),IF(OR(INDEX('Lease Cycles'!$DY$16:$EE$16,1,CC146)=1,CC147&gt;0),1,1-INDEX('Lease Cycles'!$DD$16:$DJ$16,1,CC146))*((1-'Lease Cycles'!$AJ$16)*INDEX('Lease Cycles'!$FO$16:$FU$16,1,CC146)+(1-'Lease Cycles'!$BE$16)*(1-INDEX('Lease Cycles'!$FO$16:$FU$16,1,CC146)))),0)</f>
        <v>0.007370184254606364</v>
      </c>
      <c r="CD154" s="24">
        <f>IF(CD148=1,'Lease Cycles'!$D$16*IF(INDEX('Lease Cycles'!$EF$16:$EL$16,1,CD146)=1,(1-'Lease Cycles'!$AJ$16)*INDEX('Lease Cycles'!$EM$16:$ES$16,1,CD146)+(1-'Lease Cycles'!$BE$16)*IF(CD147&lt;INDEX('Lease Cycles'!$FA$16:$FG$16,1,CD146),0,1-INDEX('Lease Cycles'!$EM$16:$ES$16,1,CD146)),IF(OR(INDEX('Lease Cycles'!$DY$16:$EE$16,1,CD146)=1,CD147&gt;0),1,1-INDEX('Lease Cycles'!$DD$16:$DJ$16,1,CD146))*((1-'Lease Cycles'!$AJ$16)*INDEX('Lease Cycles'!$FO$16:$FU$16,1,CD146)+(1-'Lease Cycles'!$BE$16)*(1-INDEX('Lease Cycles'!$FO$16:$FU$16,1,CD146)))),0)</f>
        <v>0.007370184254606364</v>
      </c>
      <c r="CE154" s="24">
        <f>IF(CE148=1,'Lease Cycles'!$D$16*IF(INDEX('Lease Cycles'!$EF$16:$EL$16,1,CE146)=1,(1-'Lease Cycles'!$AJ$16)*INDEX('Lease Cycles'!$EM$16:$ES$16,1,CE146)+(1-'Lease Cycles'!$BE$16)*IF(CE147&lt;INDEX('Lease Cycles'!$FA$16:$FG$16,1,CE146),0,1-INDEX('Lease Cycles'!$EM$16:$ES$16,1,CE146)),IF(OR(INDEX('Lease Cycles'!$DY$16:$EE$16,1,CE146)=1,CE147&gt;0),1,1-INDEX('Lease Cycles'!$DD$16:$DJ$16,1,CE146))*((1-'Lease Cycles'!$AJ$16)*INDEX('Lease Cycles'!$FO$16:$FU$16,1,CE146)+(1-'Lease Cycles'!$BE$16)*(1-INDEX('Lease Cycles'!$FO$16:$FU$16,1,CE146)))),0)</f>
        <v>0.007370184254606364</v>
      </c>
      <c r="CF154" s="24">
        <f>IF(CF148=1,'Lease Cycles'!$D$16*IF(INDEX('Lease Cycles'!$EF$16:$EL$16,1,CF146)=1,(1-'Lease Cycles'!$AJ$16)*INDEX('Lease Cycles'!$EM$16:$ES$16,1,CF146)+(1-'Lease Cycles'!$BE$16)*IF(CF147&lt;INDEX('Lease Cycles'!$FA$16:$FG$16,1,CF146),0,1-INDEX('Lease Cycles'!$EM$16:$ES$16,1,CF146)),IF(OR(INDEX('Lease Cycles'!$DY$16:$EE$16,1,CF146)=1,CF147&gt;0),1,1-INDEX('Lease Cycles'!$DD$16:$DJ$16,1,CF146))*((1-'Lease Cycles'!$AJ$16)*INDEX('Lease Cycles'!$FO$16:$FU$16,1,CF146)+(1-'Lease Cycles'!$BE$16)*(1-INDEX('Lease Cycles'!$FO$16:$FU$16,1,CF146)))),0)</f>
        <v>0.007370184254606364</v>
      </c>
      <c r="CG154" s="24">
        <f>IF(CG148=1,'Lease Cycles'!$D$16*IF(INDEX('Lease Cycles'!$EF$16:$EL$16,1,CG146)=1,(1-'Lease Cycles'!$AJ$16)*INDEX('Lease Cycles'!$EM$16:$ES$16,1,CG146)+(1-'Lease Cycles'!$BE$16)*IF(CG147&lt;INDEX('Lease Cycles'!$FA$16:$FG$16,1,CG146),0,1-INDEX('Lease Cycles'!$EM$16:$ES$16,1,CG146)),IF(OR(INDEX('Lease Cycles'!$DY$16:$EE$16,1,CG146)=1,CG147&gt;0),1,1-INDEX('Lease Cycles'!$DD$16:$DJ$16,1,CG146))*((1-'Lease Cycles'!$AJ$16)*INDEX('Lease Cycles'!$FO$16:$FU$16,1,CG146)+(1-'Lease Cycles'!$BE$16)*(1-INDEX('Lease Cycles'!$FO$16:$FU$16,1,CG146)))),0)</f>
        <v>0.007370184254606364</v>
      </c>
      <c r="CH154" s="24">
        <f>IF(CH148=1,'Lease Cycles'!$D$16*IF(INDEX('Lease Cycles'!$EF$16:$EL$16,1,CH146)=1,(1-'Lease Cycles'!$AJ$16)*INDEX('Lease Cycles'!$EM$16:$ES$16,1,CH146)+(1-'Lease Cycles'!$BE$16)*IF(CH147&lt;INDEX('Lease Cycles'!$FA$16:$FG$16,1,CH146),0,1-INDEX('Lease Cycles'!$EM$16:$ES$16,1,CH146)),IF(OR(INDEX('Lease Cycles'!$DY$16:$EE$16,1,CH146)=1,CH147&gt;0),1,1-INDEX('Lease Cycles'!$DD$16:$DJ$16,1,CH146))*((1-'Lease Cycles'!$AJ$16)*INDEX('Lease Cycles'!$FO$16:$FU$16,1,CH146)+(1-'Lease Cycles'!$BE$16)*(1-INDEX('Lease Cycles'!$FO$16:$FU$16,1,CH146)))),0)</f>
        <v>0.007370184254606364</v>
      </c>
      <c r="CI154" s="24">
        <f>IF(CI148=1,'Lease Cycles'!$D$16*IF(INDEX('Lease Cycles'!$EF$16:$EL$16,1,CI146)=1,(1-'Lease Cycles'!$AJ$16)*INDEX('Lease Cycles'!$EM$16:$ES$16,1,CI146)+(1-'Lease Cycles'!$BE$16)*IF(CI147&lt;INDEX('Lease Cycles'!$FA$16:$FG$16,1,CI146),0,1-INDEX('Lease Cycles'!$EM$16:$ES$16,1,CI146)),IF(OR(INDEX('Lease Cycles'!$DY$16:$EE$16,1,CI146)=1,CI147&gt;0),1,1-INDEX('Lease Cycles'!$DD$16:$DJ$16,1,CI146))*((1-'Lease Cycles'!$AJ$16)*INDEX('Lease Cycles'!$FO$16:$FU$16,1,CI146)+(1-'Lease Cycles'!$BE$16)*(1-INDEX('Lease Cycles'!$FO$16:$FU$16,1,CI146)))),0)</f>
        <v>0.007370184254606364</v>
      </c>
      <c r="CJ154" s="24">
        <f>IF(CJ148=1,'Lease Cycles'!$D$16*IF(INDEX('Lease Cycles'!$EF$16:$EL$16,1,CJ146)=1,(1-'Lease Cycles'!$AJ$16)*INDEX('Lease Cycles'!$EM$16:$ES$16,1,CJ146)+(1-'Lease Cycles'!$BE$16)*IF(CJ147&lt;INDEX('Lease Cycles'!$FA$16:$FG$16,1,CJ146),0,1-INDEX('Lease Cycles'!$EM$16:$ES$16,1,CJ146)),IF(OR(INDEX('Lease Cycles'!$DY$16:$EE$16,1,CJ146)=1,CJ147&gt;0),1,1-INDEX('Lease Cycles'!$DD$16:$DJ$16,1,CJ146))*((1-'Lease Cycles'!$AJ$16)*INDEX('Lease Cycles'!$FO$16:$FU$16,1,CJ146)+(1-'Lease Cycles'!$BE$16)*(1-INDEX('Lease Cycles'!$FO$16:$FU$16,1,CJ146)))),0)</f>
        <v>0.007370184254606364</v>
      </c>
      <c r="CK154" s="24">
        <f>IF(CK148=1,'Lease Cycles'!$D$16*IF(INDEX('Lease Cycles'!$EF$16:$EL$16,1,CK146)=1,(1-'Lease Cycles'!$AJ$16)*INDEX('Lease Cycles'!$EM$16:$ES$16,1,CK146)+(1-'Lease Cycles'!$BE$16)*IF(CK147&lt;INDEX('Lease Cycles'!$FA$16:$FG$16,1,CK146),0,1-INDEX('Lease Cycles'!$EM$16:$ES$16,1,CK146)),IF(OR(INDEX('Lease Cycles'!$DY$16:$EE$16,1,CK146)=1,CK147&gt;0),1,1-INDEX('Lease Cycles'!$DD$16:$DJ$16,1,CK146))*((1-'Lease Cycles'!$AJ$16)*INDEX('Lease Cycles'!$FO$16:$FU$16,1,CK146)+(1-'Lease Cycles'!$BE$16)*(1-INDEX('Lease Cycles'!$FO$16:$FU$16,1,CK146)))),0)</f>
        <v>0.007370184254606364</v>
      </c>
      <c r="CL154" s="24">
        <f>IF(CL148=1,'Lease Cycles'!$D$16*IF(INDEX('Lease Cycles'!$EF$16:$EL$16,1,CL146)=1,(1-'Lease Cycles'!$AJ$16)*INDEX('Lease Cycles'!$EM$16:$ES$16,1,CL146)+(1-'Lease Cycles'!$BE$16)*IF(CL147&lt;INDEX('Lease Cycles'!$FA$16:$FG$16,1,CL146),0,1-INDEX('Lease Cycles'!$EM$16:$ES$16,1,CL146)),IF(OR(INDEX('Lease Cycles'!$DY$16:$EE$16,1,CL146)=1,CL147&gt;0),1,1-INDEX('Lease Cycles'!$DD$16:$DJ$16,1,CL146))*((1-'Lease Cycles'!$AJ$16)*INDEX('Lease Cycles'!$FO$16:$FU$16,1,CL146)+(1-'Lease Cycles'!$BE$16)*(1-INDEX('Lease Cycles'!$FO$16:$FU$16,1,CL146)))),0)</f>
        <v>0.007370184254606364</v>
      </c>
      <c r="CM154" s="24">
        <f>IF(CM148=1,'Lease Cycles'!$D$16*IF(INDEX('Lease Cycles'!$EF$16:$EL$16,1,CM146)=1,(1-'Lease Cycles'!$AJ$16)*INDEX('Lease Cycles'!$EM$16:$ES$16,1,CM146)+(1-'Lease Cycles'!$BE$16)*IF(CM147&lt;INDEX('Lease Cycles'!$FA$16:$FG$16,1,CM146),0,1-INDEX('Lease Cycles'!$EM$16:$ES$16,1,CM146)),IF(OR(INDEX('Lease Cycles'!$DY$16:$EE$16,1,CM146)=1,CM147&gt;0),1,1-INDEX('Lease Cycles'!$DD$16:$DJ$16,1,CM146))*((1-'Lease Cycles'!$AJ$16)*INDEX('Lease Cycles'!$FO$16:$FU$16,1,CM146)+(1-'Lease Cycles'!$BE$16)*(1-INDEX('Lease Cycles'!$FO$16:$FU$16,1,CM146)))),0)</f>
        <v>0.007370184254606364</v>
      </c>
      <c r="CN154" s="24">
        <f>IF(CN148=1,'Lease Cycles'!$D$16*IF(INDEX('Lease Cycles'!$EF$16:$EL$16,1,CN146)=1,(1-'Lease Cycles'!$AJ$16)*INDEX('Lease Cycles'!$EM$16:$ES$16,1,CN146)+(1-'Lease Cycles'!$BE$16)*IF(CN147&lt;INDEX('Lease Cycles'!$FA$16:$FG$16,1,CN146),0,1-INDEX('Lease Cycles'!$EM$16:$ES$16,1,CN146)),IF(OR(INDEX('Lease Cycles'!$DY$16:$EE$16,1,CN146)=1,CN147&gt;0),1,1-INDEX('Lease Cycles'!$DD$16:$DJ$16,1,CN146))*((1-'Lease Cycles'!$AJ$16)*INDEX('Lease Cycles'!$FO$16:$FU$16,1,CN146)+(1-'Lease Cycles'!$BE$16)*(1-INDEX('Lease Cycles'!$FO$16:$FU$16,1,CN146)))),0)</f>
        <v>0.007370184254606364</v>
      </c>
      <c r="CO154" s="24">
        <f>IF(CO148=1,'Lease Cycles'!$D$16*IF(INDEX('Lease Cycles'!$EF$16:$EL$16,1,CO146)=1,(1-'Lease Cycles'!$AJ$16)*INDEX('Lease Cycles'!$EM$16:$ES$16,1,CO146)+(1-'Lease Cycles'!$BE$16)*IF(CO147&lt;INDEX('Lease Cycles'!$FA$16:$FG$16,1,CO146),0,1-INDEX('Lease Cycles'!$EM$16:$ES$16,1,CO146)),IF(OR(INDEX('Lease Cycles'!$DY$16:$EE$16,1,CO146)=1,CO147&gt;0),1,1-INDEX('Lease Cycles'!$DD$16:$DJ$16,1,CO146))*((1-'Lease Cycles'!$AJ$16)*INDEX('Lease Cycles'!$FO$16:$FU$16,1,CO146)+(1-'Lease Cycles'!$BE$16)*(1-INDEX('Lease Cycles'!$FO$16:$FU$16,1,CO146)))),0)</f>
        <v>0.007370184254606364</v>
      </c>
      <c r="CP154" s="24">
        <f>IF(CP148=1,'Lease Cycles'!$D$16*IF(INDEX('Lease Cycles'!$EF$16:$EL$16,1,CP146)=1,(1-'Lease Cycles'!$AJ$16)*INDEX('Lease Cycles'!$EM$16:$ES$16,1,CP146)+(1-'Lease Cycles'!$BE$16)*IF(CP147&lt;INDEX('Lease Cycles'!$FA$16:$FG$16,1,CP146),0,1-INDEX('Lease Cycles'!$EM$16:$ES$16,1,CP146)),IF(OR(INDEX('Lease Cycles'!$DY$16:$EE$16,1,CP146)=1,CP147&gt;0),1,1-INDEX('Lease Cycles'!$DD$16:$DJ$16,1,CP146))*((1-'Lease Cycles'!$AJ$16)*INDEX('Lease Cycles'!$FO$16:$FU$16,1,CP146)+(1-'Lease Cycles'!$BE$16)*(1-INDEX('Lease Cycles'!$FO$16:$FU$16,1,CP146)))),0)</f>
        <v>0.007370184254606364</v>
      </c>
      <c r="CQ154" s="24">
        <f>IF(CQ148=1,'Lease Cycles'!$D$16*IF(INDEX('Lease Cycles'!$EF$16:$EL$16,1,CQ146)=1,(1-'Lease Cycles'!$AJ$16)*INDEX('Lease Cycles'!$EM$16:$ES$16,1,CQ146)+(1-'Lease Cycles'!$BE$16)*IF(CQ147&lt;INDEX('Lease Cycles'!$FA$16:$FG$16,1,CQ146),0,1-INDEX('Lease Cycles'!$EM$16:$ES$16,1,CQ146)),IF(OR(INDEX('Lease Cycles'!$DY$16:$EE$16,1,CQ146)=1,CQ147&gt;0),1,1-INDEX('Lease Cycles'!$DD$16:$DJ$16,1,CQ146))*((1-'Lease Cycles'!$AJ$16)*INDEX('Lease Cycles'!$FO$16:$FU$16,1,CQ146)+(1-'Lease Cycles'!$BE$16)*(1-INDEX('Lease Cycles'!$FO$16:$FU$16,1,CQ146)))),0)</f>
        <v>0.007370184254606364</v>
      </c>
      <c r="CR154" s="24">
        <f>IF(CR148=1,'Lease Cycles'!$D$16*IF(INDEX('Lease Cycles'!$EF$16:$EL$16,1,CR146)=1,(1-'Lease Cycles'!$AJ$16)*INDEX('Lease Cycles'!$EM$16:$ES$16,1,CR146)+(1-'Lease Cycles'!$BE$16)*IF(CR147&lt;INDEX('Lease Cycles'!$FA$16:$FG$16,1,CR146),0,1-INDEX('Lease Cycles'!$EM$16:$ES$16,1,CR146)),IF(OR(INDEX('Lease Cycles'!$DY$16:$EE$16,1,CR146)=1,CR147&gt;0),1,1-INDEX('Lease Cycles'!$DD$16:$DJ$16,1,CR146))*((1-'Lease Cycles'!$AJ$16)*INDEX('Lease Cycles'!$FO$16:$FU$16,1,CR146)+(1-'Lease Cycles'!$BE$16)*(1-INDEX('Lease Cycles'!$FO$16:$FU$16,1,CR146)))),0)</f>
        <v>0.007370184254606364</v>
      </c>
      <c r="CS154" s="24">
        <f>IF(CS148=1,'Lease Cycles'!$D$16*IF(INDEX('Lease Cycles'!$EF$16:$EL$16,1,CS146)=1,(1-'Lease Cycles'!$AJ$16)*INDEX('Lease Cycles'!$EM$16:$ES$16,1,CS146)+(1-'Lease Cycles'!$BE$16)*IF(CS147&lt;INDEX('Lease Cycles'!$FA$16:$FG$16,1,CS146),0,1-INDEX('Lease Cycles'!$EM$16:$ES$16,1,CS146)),IF(OR(INDEX('Lease Cycles'!$DY$16:$EE$16,1,CS146)=1,CS147&gt;0),1,1-INDEX('Lease Cycles'!$DD$16:$DJ$16,1,CS146))*((1-'Lease Cycles'!$AJ$16)*INDEX('Lease Cycles'!$FO$16:$FU$16,1,CS146)+(1-'Lease Cycles'!$BE$16)*(1-INDEX('Lease Cycles'!$FO$16:$FU$16,1,CS146)))),0)</f>
        <v>0.007370184254606364</v>
      </c>
      <c r="CT154" s="24">
        <f>IF(CT148=1,'Lease Cycles'!$D$16*IF(INDEX('Lease Cycles'!$EF$16:$EL$16,1,CT146)=1,(1-'Lease Cycles'!$AJ$16)*INDEX('Lease Cycles'!$EM$16:$ES$16,1,CT146)+(1-'Lease Cycles'!$BE$16)*IF(CT147&lt;INDEX('Lease Cycles'!$FA$16:$FG$16,1,CT146),0,1-INDEX('Lease Cycles'!$EM$16:$ES$16,1,CT146)),IF(OR(INDEX('Lease Cycles'!$DY$16:$EE$16,1,CT146)=1,CT147&gt;0),1,1-INDEX('Lease Cycles'!$DD$16:$DJ$16,1,CT146))*((1-'Lease Cycles'!$AJ$16)*INDEX('Lease Cycles'!$FO$16:$FU$16,1,CT146)+(1-'Lease Cycles'!$BE$16)*(1-INDEX('Lease Cycles'!$FO$16:$FU$16,1,CT146)))),0)</f>
        <v>0.007370184254606364</v>
      </c>
      <c r="CU154" s="24">
        <f>IF(CU148=1,'Lease Cycles'!$D$16*IF(INDEX('Lease Cycles'!$EF$16:$EL$16,1,CU146)=1,(1-'Lease Cycles'!$AJ$16)*INDEX('Lease Cycles'!$EM$16:$ES$16,1,CU146)+(1-'Lease Cycles'!$BE$16)*IF(CU147&lt;INDEX('Lease Cycles'!$FA$16:$FG$16,1,CU146),0,1-INDEX('Lease Cycles'!$EM$16:$ES$16,1,CU146)),IF(OR(INDEX('Lease Cycles'!$DY$16:$EE$16,1,CU146)=1,CU147&gt;0),1,1-INDEX('Lease Cycles'!$DD$16:$DJ$16,1,CU146))*((1-'Lease Cycles'!$AJ$16)*INDEX('Lease Cycles'!$FO$16:$FU$16,1,CU146)+(1-'Lease Cycles'!$BE$16)*(1-INDEX('Lease Cycles'!$FO$16:$FU$16,1,CU146)))),0)</f>
        <v>0.007370184254606364</v>
      </c>
      <c r="CV154" s="24">
        <f>IF(CV148=1,'Lease Cycles'!$D$16*IF(INDEX('Lease Cycles'!$EF$16:$EL$16,1,CV146)=1,(1-'Lease Cycles'!$AJ$16)*INDEX('Lease Cycles'!$EM$16:$ES$16,1,CV146)+(1-'Lease Cycles'!$BE$16)*IF(CV147&lt;INDEX('Lease Cycles'!$FA$16:$FG$16,1,CV146),0,1-INDEX('Lease Cycles'!$EM$16:$ES$16,1,CV146)),IF(OR(INDEX('Lease Cycles'!$DY$16:$EE$16,1,CV146)=1,CV147&gt;0),1,1-INDEX('Lease Cycles'!$DD$16:$DJ$16,1,CV146))*((1-'Lease Cycles'!$AJ$16)*INDEX('Lease Cycles'!$FO$16:$FU$16,1,CV146)+(1-'Lease Cycles'!$BE$16)*(1-INDEX('Lease Cycles'!$FO$16:$FU$16,1,CV146)))),0)</f>
        <v>0.007370184254606364</v>
      </c>
      <c r="CW154" s="24">
        <f>IF(CW148=1,'Lease Cycles'!$D$16*IF(INDEX('Lease Cycles'!$EF$16:$EL$16,1,CW146)=1,(1-'Lease Cycles'!$AJ$16)*INDEX('Lease Cycles'!$EM$16:$ES$16,1,CW146)+(1-'Lease Cycles'!$BE$16)*IF(CW147&lt;INDEX('Lease Cycles'!$FA$16:$FG$16,1,CW146),0,1-INDEX('Lease Cycles'!$EM$16:$ES$16,1,CW146)),IF(OR(INDEX('Lease Cycles'!$DY$16:$EE$16,1,CW146)=1,CW147&gt;0),1,1-INDEX('Lease Cycles'!$DD$16:$DJ$16,1,CW146))*((1-'Lease Cycles'!$AJ$16)*INDEX('Lease Cycles'!$FO$16:$FU$16,1,CW146)+(1-'Lease Cycles'!$BE$16)*(1-INDEX('Lease Cycles'!$FO$16:$FU$16,1,CW146)))),0)</f>
        <v>0.007370184254606364</v>
      </c>
      <c r="CX154" s="24">
        <f>IF(CX148=1,'Lease Cycles'!$D$16*IF(INDEX('Lease Cycles'!$EF$16:$EL$16,1,CX146)=1,(1-'Lease Cycles'!$AJ$16)*INDEX('Lease Cycles'!$EM$16:$ES$16,1,CX146)+(1-'Lease Cycles'!$BE$16)*IF(CX147&lt;INDEX('Lease Cycles'!$FA$16:$FG$16,1,CX146),0,1-INDEX('Lease Cycles'!$EM$16:$ES$16,1,CX146)),IF(OR(INDEX('Lease Cycles'!$DY$16:$EE$16,1,CX146)=1,CX147&gt;0),1,1-INDEX('Lease Cycles'!$DD$16:$DJ$16,1,CX146))*((1-'Lease Cycles'!$AJ$16)*INDEX('Lease Cycles'!$FO$16:$FU$16,1,CX146)+(1-'Lease Cycles'!$BE$16)*(1-INDEX('Lease Cycles'!$FO$16:$FU$16,1,CX146)))),0)</f>
        <v>0.007370184254606364</v>
      </c>
      <c r="CY154" s="24">
        <f>IF(CY148=1,'Lease Cycles'!$D$16*IF(INDEX('Lease Cycles'!$EF$16:$EL$16,1,CY146)=1,(1-'Lease Cycles'!$AJ$16)*INDEX('Lease Cycles'!$EM$16:$ES$16,1,CY146)+(1-'Lease Cycles'!$BE$16)*IF(CY147&lt;INDEX('Lease Cycles'!$FA$16:$FG$16,1,CY146),0,1-INDEX('Lease Cycles'!$EM$16:$ES$16,1,CY146)),IF(OR(INDEX('Lease Cycles'!$DY$16:$EE$16,1,CY146)=1,CY147&gt;0),1,1-INDEX('Lease Cycles'!$DD$16:$DJ$16,1,CY146))*((1-'Lease Cycles'!$AJ$16)*INDEX('Lease Cycles'!$FO$16:$FU$16,1,CY146)+(1-'Lease Cycles'!$BE$16)*(1-INDEX('Lease Cycles'!$FO$16:$FU$16,1,CY146)))),0)</f>
        <v>0.007370184254606364</v>
      </c>
      <c r="CZ154" s="24">
        <f>IF(CZ148=1,'Lease Cycles'!$D$16*IF(INDEX('Lease Cycles'!$EF$16:$EL$16,1,CZ146)=1,(1-'Lease Cycles'!$AJ$16)*INDEX('Lease Cycles'!$EM$16:$ES$16,1,CZ146)+(1-'Lease Cycles'!$BE$16)*IF(CZ147&lt;INDEX('Lease Cycles'!$FA$16:$FG$16,1,CZ146),0,1-INDEX('Lease Cycles'!$EM$16:$ES$16,1,CZ146)),IF(OR(INDEX('Lease Cycles'!$DY$16:$EE$16,1,CZ146)=1,CZ147&gt;0),1,1-INDEX('Lease Cycles'!$DD$16:$DJ$16,1,CZ146))*((1-'Lease Cycles'!$AJ$16)*INDEX('Lease Cycles'!$FO$16:$FU$16,1,CZ146)+(1-'Lease Cycles'!$BE$16)*(1-INDEX('Lease Cycles'!$FO$16:$FU$16,1,CZ146)))),0)</f>
        <v>0.007370184254606364</v>
      </c>
      <c r="DA154" s="24">
        <f>IF(DA148=1,'Lease Cycles'!$D$16*IF(INDEX('Lease Cycles'!$EF$16:$EL$16,1,DA146)=1,(1-'Lease Cycles'!$AJ$16)*INDEX('Lease Cycles'!$EM$16:$ES$16,1,DA146)+(1-'Lease Cycles'!$BE$16)*IF(DA147&lt;INDEX('Lease Cycles'!$FA$16:$FG$16,1,DA146),0,1-INDEX('Lease Cycles'!$EM$16:$ES$16,1,DA146)),IF(OR(INDEX('Lease Cycles'!$DY$16:$EE$16,1,DA146)=1,DA147&gt;0),1,1-INDEX('Lease Cycles'!$DD$16:$DJ$16,1,DA146))*((1-'Lease Cycles'!$AJ$16)*INDEX('Lease Cycles'!$FO$16:$FU$16,1,DA146)+(1-'Lease Cycles'!$BE$16)*(1-INDEX('Lease Cycles'!$FO$16:$FU$16,1,DA146)))),0)</f>
        <v>0.007370184254606364</v>
      </c>
      <c r="DB154" s="24">
        <f>IF(DB148=1,'Lease Cycles'!$D$16*IF(INDEX('Lease Cycles'!$EF$16:$EL$16,1,DB146)=1,(1-'Lease Cycles'!$AJ$16)*INDEX('Lease Cycles'!$EM$16:$ES$16,1,DB146)+(1-'Lease Cycles'!$BE$16)*IF(DB147&lt;INDEX('Lease Cycles'!$FA$16:$FG$16,1,DB146),0,1-INDEX('Lease Cycles'!$EM$16:$ES$16,1,DB146)),IF(OR(INDEX('Lease Cycles'!$DY$16:$EE$16,1,DB146)=1,DB147&gt;0),1,1-INDEX('Lease Cycles'!$DD$16:$DJ$16,1,DB146))*((1-'Lease Cycles'!$AJ$16)*INDEX('Lease Cycles'!$FO$16:$FU$16,1,DB146)+(1-'Lease Cycles'!$BE$16)*(1-INDEX('Lease Cycles'!$FO$16:$FU$16,1,DB146)))),0)</f>
        <v>0.007370184254606364</v>
      </c>
      <c r="DC154" s="24">
        <f>IF(DC148=1,'Lease Cycles'!$D$16*IF(INDEX('Lease Cycles'!$EF$16:$EL$16,1,DC146)=1,(1-'Lease Cycles'!$AJ$16)*INDEX('Lease Cycles'!$EM$16:$ES$16,1,DC146)+(1-'Lease Cycles'!$BE$16)*IF(DC147&lt;INDEX('Lease Cycles'!$FA$16:$FG$16,1,DC146),0,1-INDEX('Lease Cycles'!$EM$16:$ES$16,1,DC146)),IF(OR(INDEX('Lease Cycles'!$DY$16:$EE$16,1,DC146)=1,DC147&gt;0),1,1-INDEX('Lease Cycles'!$DD$16:$DJ$16,1,DC146))*((1-'Lease Cycles'!$AJ$16)*INDEX('Lease Cycles'!$FO$16:$FU$16,1,DC146)+(1-'Lease Cycles'!$BE$16)*(1-INDEX('Lease Cycles'!$FO$16:$FU$16,1,DC146)))),0)</f>
        <v>0.007370184254606364</v>
      </c>
      <c r="DD154" s="24">
        <f>IF(DD148=1,'Lease Cycles'!$D$16*IF(INDEX('Lease Cycles'!$EF$16:$EL$16,1,DD146)=1,(1-'Lease Cycles'!$AJ$16)*INDEX('Lease Cycles'!$EM$16:$ES$16,1,DD146)+(1-'Lease Cycles'!$BE$16)*IF(DD147&lt;INDEX('Lease Cycles'!$FA$16:$FG$16,1,DD146),0,1-INDEX('Lease Cycles'!$EM$16:$ES$16,1,DD146)),IF(OR(INDEX('Lease Cycles'!$DY$16:$EE$16,1,DD146)=1,DD147&gt;0),1,1-INDEX('Lease Cycles'!$DD$16:$DJ$16,1,DD146))*((1-'Lease Cycles'!$AJ$16)*INDEX('Lease Cycles'!$FO$16:$FU$16,1,DD146)+(1-'Lease Cycles'!$BE$16)*(1-INDEX('Lease Cycles'!$FO$16:$FU$16,1,DD146)))),0)</f>
        <v>0.007370184254606364</v>
      </c>
      <c r="DE154" s="24">
        <f>IF(DE148=1,'Lease Cycles'!$D$16*IF(INDEX('Lease Cycles'!$EF$16:$EL$16,1,DE146)=1,(1-'Lease Cycles'!$AJ$16)*INDEX('Lease Cycles'!$EM$16:$ES$16,1,DE146)+(1-'Lease Cycles'!$BE$16)*IF(DE147&lt;INDEX('Lease Cycles'!$FA$16:$FG$16,1,DE146),0,1-INDEX('Lease Cycles'!$EM$16:$ES$16,1,DE146)),IF(OR(INDEX('Lease Cycles'!$DY$16:$EE$16,1,DE146)=1,DE147&gt;0),1,1-INDEX('Lease Cycles'!$DD$16:$DJ$16,1,DE146))*((1-'Lease Cycles'!$AJ$16)*INDEX('Lease Cycles'!$FO$16:$FU$16,1,DE146)+(1-'Lease Cycles'!$BE$16)*(1-INDEX('Lease Cycles'!$FO$16:$FU$16,1,DE146)))),0)</f>
        <v>0.007370184254606364</v>
      </c>
      <c r="DF154" s="24">
        <f>IF(DF148=1,'Lease Cycles'!$D$16*IF(INDEX('Lease Cycles'!$EF$16:$EL$16,1,DF146)=1,(1-'Lease Cycles'!$AJ$16)*INDEX('Lease Cycles'!$EM$16:$ES$16,1,DF146)+(1-'Lease Cycles'!$BE$16)*IF(DF147&lt;INDEX('Lease Cycles'!$FA$16:$FG$16,1,DF146),0,1-INDEX('Lease Cycles'!$EM$16:$ES$16,1,DF146)),IF(OR(INDEX('Lease Cycles'!$DY$16:$EE$16,1,DF146)=1,DF147&gt;0),1,1-INDEX('Lease Cycles'!$DD$16:$DJ$16,1,DF146))*((1-'Lease Cycles'!$AJ$16)*INDEX('Lease Cycles'!$FO$16:$FU$16,1,DF146)+(1-'Lease Cycles'!$BE$16)*(1-INDEX('Lease Cycles'!$FO$16:$FU$16,1,DF146)))),0)</f>
        <v>0.007370184254606364</v>
      </c>
      <c r="DG154" s="24">
        <f>IF(DG148=1,'Lease Cycles'!$D$16*IF(INDEX('Lease Cycles'!$EF$16:$EL$16,1,DG146)=1,(1-'Lease Cycles'!$AJ$16)*INDEX('Lease Cycles'!$EM$16:$ES$16,1,DG146)+(1-'Lease Cycles'!$BE$16)*IF(DG147&lt;INDEX('Lease Cycles'!$FA$16:$FG$16,1,DG146),0,1-INDEX('Lease Cycles'!$EM$16:$ES$16,1,DG146)),IF(OR(INDEX('Lease Cycles'!$DY$16:$EE$16,1,DG146)=1,DG147&gt;0),1,1-INDEX('Lease Cycles'!$DD$16:$DJ$16,1,DG146))*((1-'Lease Cycles'!$AJ$16)*INDEX('Lease Cycles'!$FO$16:$FU$16,1,DG146)+(1-'Lease Cycles'!$BE$16)*(1-INDEX('Lease Cycles'!$FO$16:$FU$16,1,DG146)))),0)</f>
        <v>0.007370184254606364</v>
      </c>
      <c r="DH154" s="24">
        <f>IF(DH148=1,'Lease Cycles'!$D$16*IF(INDEX('Lease Cycles'!$EF$16:$EL$16,1,DH146)=1,(1-'Lease Cycles'!$AJ$16)*INDEX('Lease Cycles'!$EM$16:$ES$16,1,DH146)+(1-'Lease Cycles'!$BE$16)*IF(DH147&lt;INDEX('Lease Cycles'!$FA$16:$FG$16,1,DH146),0,1-INDEX('Lease Cycles'!$EM$16:$ES$16,1,DH146)),IF(OR(INDEX('Lease Cycles'!$DY$16:$EE$16,1,DH146)=1,DH147&gt;0),1,1-INDEX('Lease Cycles'!$DD$16:$DJ$16,1,DH146))*((1-'Lease Cycles'!$AJ$16)*INDEX('Lease Cycles'!$FO$16:$FU$16,1,DH146)+(1-'Lease Cycles'!$BE$16)*(1-INDEX('Lease Cycles'!$FO$16:$FU$16,1,DH146)))),0)</f>
        <v>0.007370184254606364</v>
      </c>
      <c r="DI154" s="24">
        <f>IF(DI148=1,'Lease Cycles'!$D$16*IF(INDEX('Lease Cycles'!$EF$16:$EL$16,1,DI146)=1,(1-'Lease Cycles'!$AJ$16)*INDEX('Lease Cycles'!$EM$16:$ES$16,1,DI146)+(1-'Lease Cycles'!$BE$16)*IF(DI147&lt;INDEX('Lease Cycles'!$FA$16:$FG$16,1,DI146),0,1-INDEX('Lease Cycles'!$EM$16:$ES$16,1,DI146)),IF(OR(INDEX('Lease Cycles'!$DY$16:$EE$16,1,DI146)=1,DI147&gt;0),1,1-INDEX('Lease Cycles'!$DD$16:$DJ$16,1,DI146))*((1-'Lease Cycles'!$AJ$16)*INDEX('Lease Cycles'!$FO$16:$FU$16,1,DI146)+(1-'Lease Cycles'!$BE$16)*(1-INDEX('Lease Cycles'!$FO$16:$FU$16,1,DI146)))),0)</f>
        <v>0.007370184254606364</v>
      </c>
      <c r="DJ154" s="24">
        <f>IF(DJ148=1,'Lease Cycles'!$D$16*IF(INDEX('Lease Cycles'!$EF$16:$EL$16,1,DJ146)=1,(1-'Lease Cycles'!$AJ$16)*INDEX('Lease Cycles'!$EM$16:$ES$16,1,DJ146)+(1-'Lease Cycles'!$BE$16)*IF(DJ147&lt;INDEX('Lease Cycles'!$FA$16:$FG$16,1,DJ146),0,1-INDEX('Lease Cycles'!$EM$16:$ES$16,1,DJ146)),IF(OR(INDEX('Lease Cycles'!$DY$16:$EE$16,1,DJ146)=1,DJ147&gt;0),1,1-INDEX('Lease Cycles'!$DD$16:$DJ$16,1,DJ146))*((1-'Lease Cycles'!$AJ$16)*INDEX('Lease Cycles'!$FO$16:$FU$16,1,DJ146)+(1-'Lease Cycles'!$BE$16)*(1-INDEX('Lease Cycles'!$FO$16:$FU$16,1,DJ146)))),0)</f>
        <v>0.007370184254606364</v>
      </c>
      <c r="DK154" s="24">
        <f>IF(DK148=1,'Lease Cycles'!$D$16*IF(INDEX('Lease Cycles'!$EF$16:$EL$16,1,DK146)=1,(1-'Lease Cycles'!$AJ$16)*INDEX('Lease Cycles'!$EM$16:$ES$16,1,DK146)+(1-'Lease Cycles'!$BE$16)*IF(DK147&lt;INDEX('Lease Cycles'!$FA$16:$FG$16,1,DK146),0,1-INDEX('Lease Cycles'!$EM$16:$ES$16,1,DK146)),IF(OR(INDEX('Lease Cycles'!$DY$16:$EE$16,1,DK146)=1,DK147&gt;0),1,1-INDEX('Lease Cycles'!$DD$16:$DJ$16,1,DK146))*((1-'Lease Cycles'!$AJ$16)*INDEX('Lease Cycles'!$FO$16:$FU$16,1,DK146)+(1-'Lease Cycles'!$BE$16)*(1-INDEX('Lease Cycles'!$FO$16:$FU$16,1,DK146)))),0)</f>
        <v>0.007370184254606364</v>
      </c>
      <c r="DL154" s="24">
        <f>IF(DL148=1,'Lease Cycles'!$D$16*IF(INDEX('Lease Cycles'!$EF$16:$EL$16,1,DL146)=1,(1-'Lease Cycles'!$AJ$16)*INDEX('Lease Cycles'!$EM$16:$ES$16,1,DL146)+(1-'Lease Cycles'!$BE$16)*IF(DL147&lt;INDEX('Lease Cycles'!$FA$16:$FG$16,1,DL146),0,1-INDEX('Lease Cycles'!$EM$16:$ES$16,1,DL146)),IF(OR(INDEX('Lease Cycles'!$DY$16:$EE$16,1,DL146)=1,DL147&gt;0),1,1-INDEX('Lease Cycles'!$DD$16:$DJ$16,1,DL146))*((1-'Lease Cycles'!$AJ$16)*INDEX('Lease Cycles'!$FO$16:$FU$16,1,DL146)+(1-'Lease Cycles'!$BE$16)*(1-INDEX('Lease Cycles'!$FO$16:$FU$16,1,DL146)))),0)</f>
        <v>0.007370184254606364</v>
      </c>
      <c r="DM154" s="24">
        <f>IF(DM148=1,'Lease Cycles'!$D$16*IF(INDEX('Lease Cycles'!$EF$16:$EL$16,1,DM146)=1,(1-'Lease Cycles'!$AJ$16)*INDEX('Lease Cycles'!$EM$16:$ES$16,1,DM146)+(1-'Lease Cycles'!$BE$16)*IF(DM147&lt;INDEX('Lease Cycles'!$FA$16:$FG$16,1,DM146),0,1-INDEX('Lease Cycles'!$EM$16:$ES$16,1,DM146)),IF(OR(INDEX('Lease Cycles'!$DY$16:$EE$16,1,DM146)=1,DM147&gt;0),1,1-INDEX('Lease Cycles'!$DD$16:$DJ$16,1,DM146))*((1-'Lease Cycles'!$AJ$16)*INDEX('Lease Cycles'!$FO$16:$FU$16,1,DM146)+(1-'Lease Cycles'!$BE$16)*(1-INDEX('Lease Cycles'!$FO$16:$FU$16,1,DM146)))),0)</f>
        <v>0.007370184254606364</v>
      </c>
      <c r="DN154" s="24">
        <f>IF(DN148=1,'Lease Cycles'!$D$16*IF(INDEX('Lease Cycles'!$EF$16:$EL$16,1,DN146)=1,(1-'Lease Cycles'!$AJ$16)*INDEX('Lease Cycles'!$EM$16:$ES$16,1,DN146)+(1-'Lease Cycles'!$BE$16)*IF(DN147&lt;INDEX('Lease Cycles'!$FA$16:$FG$16,1,DN146),0,1-INDEX('Lease Cycles'!$EM$16:$ES$16,1,DN146)),IF(OR(INDEX('Lease Cycles'!$DY$16:$EE$16,1,DN146)=1,DN147&gt;0),1,1-INDEX('Lease Cycles'!$DD$16:$DJ$16,1,DN146))*((1-'Lease Cycles'!$AJ$16)*INDEX('Lease Cycles'!$FO$16:$FU$16,1,DN146)+(1-'Lease Cycles'!$BE$16)*(1-INDEX('Lease Cycles'!$FO$16:$FU$16,1,DN146)))),0)</f>
        <v>0.007370184254606364</v>
      </c>
      <c r="DO154" s="24">
        <f>IF(DO148=1,'Lease Cycles'!$D$16*IF(INDEX('Lease Cycles'!$EF$16:$EL$16,1,DO146)=1,(1-'Lease Cycles'!$AJ$16)*INDEX('Lease Cycles'!$EM$16:$ES$16,1,DO146)+(1-'Lease Cycles'!$BE$16)*IF(DO147&lt;INDEX('Lease Cycles'!$FA$16:$FG$16,1,DO146),0,1-INDEX('Lease Cycles'!$EM$16:$ES$16,1,DO146)),IF(OR(INDEX('Lease Cycles'!$DY$16:$EE$16,1,DO146)=1,DO147&gt;0),1,1-INDEX('Lease Cycles'!$DD$16:$DJ$16,1,DO146))*((1-'Lease Cycles'!$AJ$16)*INDEX('Lease Cycles'!$FO$16:$FU$16,1,DO146)+(1-'Lease Cycles'!$BE$16)*(1-INDEX('Lease Cycles'!$FO$16:$FU$16,1,DO146)))),0)</f>
        <v>0.007370184254606364</v>
      </c>
      <c r="DP154" s="24">
        <f>IF(DP148=1,'Lease Cycles'!$D$16*IF(INDEX('Lease Cycles'!$EF$16:$EL$16,1,DP146)=1,(1-'Lease Cycles'!$AJ$16)*INDEX('Lease Cycles'!$EM$16:$ES$16,1,DP146)+(1-'Lease Cycles'!$BE$16)*IF(DP147&lt;INDEX('Lease Cycles'!$FA$16:$FG$16,1,DP146),0,1-INDEX('Lease Cycles'!$EM$16:$ES$16,1,DP146)),IF(OR(INDEX('Lease Cycles'!$DY$16:$EE$16,1,DP146)=1,DP147&gt;0),1,1-INDEX('Lease Cycles'!$DD$16:$DJ$16,1,DP146))*((1-'Lease Cycles'!$AJ$16)*INDEX('Lease Cycles'!$FO$16:$FU$16,1,DP146)+(1-'Lease Cycles'!$BE$16)*(1-INDEX('Lease Cycles'!$FO$16:$FU$16,1,DP146)))),0)</f>
        <v>0.007370184254606364</v>
      </c>
      <c r="DQ154" s="24">
        <f>IF(DQ148=1,'Lease Cycles'!$D$16*IF(INDEX('Lease Cycles'!$EF$16:$EL$16,1,DQ146)=1,(1-'Lease Cycles'!$AJ$16)*INDEX('Lease Cycles'!$EM$16:$ES$16,1,DQ146)+(1-'Lease Cycles'!$BE$16)*IF(DQ147&lt;INDEX('Lease Cycles'!$FA$16:$FG$16,1,DQ146),0,1-INDEX('Lease Cycles'!$EM$16:$ES$16,1,DQ146)),IF(OR(INDEX('Lease Cycles'!$DY$16:$EE$16,1,DQ146)=1,DQ147&gt;0),1,1-INDEX('Lease Cycles'!$DD$16:$DJ$16,1,DQ146))*((1-'Lease Cycles'!$AJ$16)*INDEX('Lease Cycles'!$FO$16:$FU$16,1,DQ146)+(1-'Lease Cycles'!$BE$16)*(1-INDEX('Lease Cycles'!$FO$16:$FU$16,1,DQ146)))),0)</f>
        <v>0.007370184254606364</v>
      </c>
      <c r="DR154" s="24">
        <f>IF(DR148=1,'Lease Cycles'!$D$16*IF(INDEX('Lease Cycles'!$EF$16:$EL$16,1,DR146)=1,(1-'Lease Cycles'!$AJ$16)*INDEX('Lease Cycles'!$EM$16:$ES$16,1,DR146)+(1-'Lease Cycles'!$BE$16)*IF(DR147&lt;INDEX('Lease Cycles'!$FA$16:$FG$16,1,DR146),0,1-INDEX('Lease Cycles'!$EM$16:$ES$16,1,DR146)),IF(OR(INDEX('Lease Cycles'!$DY$16:$EE$16,1,DR146)=1,DR147&gt;0),1,1-INDEX('Lease Cycles'!$DD$16:$DJ$16,1,DR146))*((1-'Lease Cycles'!$AJ$16)*INDEX('Lease Cycles'!$FO$16:$FU$16,1,DR146)+(1-'Lease Cycles'!$BE$16)*(1-INDEX('Lease Cycles'!$FO$16:$FU$16,1,DR146)))),0)</f>
        <v>0.007370184254606364</v>
      </c>
      <c r="DS154" s="24">
        <f>IF(DS148=1,'Lease Cycles'!$D$16*IF(INDEX('Lease Cycles'!$EF$16:$EL$16,1,DS146)=1,(1-'Lease Cycles'!$AJ$16)*INDEX('Lease Cycles'!$EM$16:$ES$16,1,DS146)+(1-'Lease Cycles'!$BE$16)*IF(DS147&lt;INDEX('Lease Cycles'!$FA$16:$FG$16,1,DS146),0,1-INDEX('Lease Cycles'!$EM$16:$ES$16,1,DS146)),IF(OR(INDEX('Lease Cycles'!$DY$16:$EE$16,1,DS146)=1,DS147&gt;0),1,1-INDEX('Lease Cycles'!$DD$16:$DJ$16,1,DS146))*((1-'Lease Cycles'!$AJ$16)*INDEX('Lease Cycles'!$FO$16:$FU$16,1,DS146)+(1-'Lease Cycles'!$BE$16)*(1-INDEX('Lease Cycles'!$FO$16:$FU$16,1,DS146)))),0)</f>
        <v>0.007370184254606364</v>
      </c>
      <c r="DT154" s="24">
        <f>IF(DT148=1,'Lease Cycles'!$D$16*IF(INDEX('Lease Cycles'!$EF$16:$EL$16,1,DT146)=1,(1-'Lease Cycles'!$AJ$16)*INDEX('Lease Cycles'!$EM$16:$ES$16,1,DT146)+(1-'Lease Cycles'!$BE$16)*IF(DT147&lt;INDEX('Lease Cycles'!$FA$16:$FG$16,1,DT146),0,1-INDEX('Lease Cycles'!$EM$16:$ES$16,1,DT146)),IF(OR(INDEX('Lease Cycles'!$DY$16:$EE$16,1,DT146)=1,DT147&gt;0),1,1-INDEX('Lease Cycles'!$DD$16:$DJ$16,1,DT146))*((1-'Lease Cycles'!$AJ$16)*INDEX('Lease Cycles'!$FO$16:$FU$16,1,DT146)+(1-'Lease Cycles'!$BE$16)*(1-INDEX('Lease Cycles'!$FO$16:$FU$16,1,DT146)))),0)</f>
        <v>0.007370184254606364</v>
      </c>
      <c r="DU154" s="24">
        <f>IF(DU148=1,'Lease Cycles'!$D$16*IF(INDEX('Lease Cycles'!$EF$16:$EL$16,1,DU146)=1,(1-'Lease Cycles'!$AJ$16)*INDEX('Lease Cycles'!$EM$16:$ES$16,1,DU146)+(1-'Lease Cycles'!$BE$16)*IF(DU147&lt;INDEX('Lease Cycles'!$FA$16:$FG$16,1,DU146),0,1-INDEX('Lease Cycles'!$EM$16:$ES$16,1,DU146)),IF(OR(INDEX('Lease Cycles'!$DY$16:$EE$16,1,DU146)=1,DU147&gt;0),1,1-INDEX('Lease Cycles'!$DD$16:$DJ$16,1,DU146))*((1-'Lease Cycles'!$AJ$16)*INDEX('Lease Cycles'!$FO$16:$FU$16,1,DU146)+(1-'Lease Cycles'!$BE$16)*(1-INDEX('Lease Cycles'!$FO$16:$FU$16,1,DU146)))),0)</f>
        <v>0.007370184254606364</v>
      </c>
      <c r="DV154" s="24">
        <f>IF(DV148=1,'Lease Cycles'!$D$16*IF(INDEX('Lease Cycles'!$EF$16:$EL$16,1,DV146)=1,(1-'Lease Cycles'!$AJ$16)*INDEX('Lease Cycles'!$EM$16:$ES$16,1,DV146)+(1-'Lease Cycles'!$BE$16)*IF(DV147&lt;INDEX('Lease Cycles'!$FA$16:$FG$16,1,DV146),0,1-INDEX('Lease Cycles'!$EM$16:$ES$16,1,DV146)),IF(OR(INDEX('Lease Cycles'!$DY$16:$EE$16,1,DV146)=1,DV147&gt;0),1,1-INDEX('Lease Cycles'!$DD$16:$DJ$16,1,DV146))*((1-'Lease Cycles'!$AJ$16)*INDEX('Lease Cycles'!$FO$16:$FU$16,1,DV146)+(1-'Lease Cycles'!$BE$16)*(1-INDEX('Lease Cycles'!$FO$16:$FU$16,1,DV146)))),0)</f>
        <v>0.007370184254606364</v>
      </c>
      <c r="DW154" s="24">
        <f>IF(DW148=1,'Lease Cycles'!$D$16*IF(INDEX('Lease Cycles'!$EF$16:$EL$16,1,DW146)=1,(1-'Lease Cycles'!$AJ$16)*INDEX('Lease Cycles'!$EM$16:$ES$16,1,DW146)+(1-'Lease Cycles'!$BE$16)*IF(DW147&lt;INDEX('Lease Cycles'!$FA$16:$FG$16,1,DW146),0,1-INDEX('Lease Cycles'!$EM$16:$ES$16,1,DW146)),IF(OR(INDEX('Lease Cycles'!$DY$16:$EE$16,1,DW146)=1,DW147&gt;0),1,1-INDEX('Lease Cycles'!$DD$16:$DJ$16,1,DW146))*((1-'Lease Cycles'!$AJ$16)*INDEX('Lease Cycles'!$FO$16:$FU$16,1,DW146)+(1-'Lease Cycles'!$BE$16)*(1-INDEX('Lease Cycles'!$FO$16:$FU$16,1,DW146)))),0)</f>
        <v>0.007370184254606364</v>
      </c>
      <c r="DX154" s="24">
        <f>IF(DX148=1,'Lease Cycles'!$D$16*IF(INDEX('Lease Cycles'!$EF$16:$EL$16,1,DX146)=1,(1-'Lease Cycles'!$AJ$16)*INDEX('Lease Cycles'!$EM$16:$ES$16,1,DX146)+(1-'Lease Cycles'!$BE$16)*IF(DX147&lt;INDEX('Lease Cycles'!$FA$16:$FG$16,1,DX146),0,1-INDEX('Lease Cycles'!$EM$16:$ES$16,1,DX146)),IF(OR(INDEX('Lease Cycles'!$DY$16:$EE$16,1,DX146)=1,DX147&gt;0),1,1-INDEX('Lease Cycles'!$DD$16:$DJ$16,1,DX146))*((1-'Lease Cycles'!$AJ$16)*INDEX('Lease Cycles'!$FO$16:$FU$16,1,DX146)+(1-'Lease Cycles'!$BE$16)*(1-INDEX('Lease Cycles'!$FO$16:$FU$16,1,DX146)))),0)</f>
        <v>0.007370184254606364</v>
      </c>
      <c r="DY154" s="24">
        <f>IF(DY148=1,'Lease Cycles'!$D$16*IF(INDEX('Lease Cycles'!$EF$16:$EL$16,1,DY146)=1,(1-'Lease Cycles'!$AJ$16)*INDEX('Lease Cycles'!$EM$16:$ES$16,1,DY146)+(1-'Lease Cycles'!$BE$16)*IF(DY147&lt;INDEX('Lease Cycles'!$FA$16:$FG$16,1,DY146),0,1-INDEX('Lease Cycles'!$EM$16:$ES$16,1,DY146)),IF(OR(INDEX('Lease Cycles'!$DY$16:$EE$16,1,DY146)=1,DY147&gt;0),1,1-INDEX('Lease Cycles'!$DD$16:$DJ$16,1,DY146))*((1-'Lease Cycles'!$AJ$16)*INDEX('Lease Cycles'!$FO$16:$FU$16,1,DY146)+(1-'Lease Cycles'!$BE$16)*(1-INDEX('Lease Cycles'!$FO$16:$FU$16,1,DY146)))),0)</f>
        <v>0.007370184254606364</v>
      </c>
      <c r="DZ154" s="24">
        <f>IF(DZ148=1,'Lease Cycles'!$D$16*IF(INDEX('Lease Cycles'!$EF$16:$EL$16,1,DZ146)=1,(1-'Lease Cycles'!$AJ$16)*INDEX('Lease Cycles'!$EM$16:$ES$16,1,DZ146)+(1-'Lease Cycles'!$BE$16)*IF(DZ147&lt;INDEX('Lease Cycles'!$FA$16:$FG$16,1,DZ146),0,1-INDEX('Lease Cycles'!$EM$16:$ES$16,1,DZ146)),IF(OR(INDEX('Lease Cycles'!$DY$16:$EE$16,1,DZ146)=1,DZ147&gt;0),1,1-INDEX('Lease Cycles'!$DD$16:$DJ$16,1,DZ146))*((1-'Lease Cycles'!$AJ$16)*INDEX('Lease Cycles'!$FO$16:$FU$16,1,DZ146)+(1-'Lease Cycles'!$BE$16)*(1-INDEX('Lease Cycles'!$FO$16:$FU$16,1,DZ146)))),0)</f>
        <v>0.007370184254606364</v>
      </c>
      <c r="EA154" s="24">
        <f>IF(EA148=1,'Lease Cycles'!$D$16*IF(INDEX('Lease Cycles'!$EF$16:$EL$16,1,EA146)=1,(1-'Lease Cycles'!$AJ$16)*INDEX('Lease Cycles'!$EM$16:$ES$16,1,EA146)+(1-'Lease Cycles'!$BE$16)*IF(EA147&lt;INDEX('Lease Cycles'!$FA$16:$FG$16,1,EA146),0,1-INDEX('Lease Cycles'!$EM$16:$ES$16,1,EA146)),IF(OR(INDEX('Lease Cycles'!$DY$16:$EE$16,1,EA146)=1,EA147&gt;0),1,1-INDEX('Lease Cycles'!$DD$16:$DJ$16,1,EA146))*((1-'Lease Cycles'!$AJ$16)*INDEX('Lease Cycles'!$FO$16:$FU$16,1,EA146)+(1-'Lease Cycles'!$BE$16)*(1-INDEX('Lease Cycles'!$FO$16:$FU$16,1,EA146)))),0)</f>
        <v>0.007370184254606364</v>
      </c>
      <c r="EB154" s="24">
        <f>IF(EB148=1,'Lease Cycles'!$D$16*IF(INDEX('Lease Cycles'!$EF$16:$EL$16,1,EB146)=1,(1-'Lease Cycles'!$AJ$16)*INDEX('Lease Cycles'!$EM$16:$ES$16,1,EB146)+(1-'Lease Cycles'!$BE$16)*IF(EB147&lt;INDEX('Lease Cycles'!$FA$16:$FG$16,1,EB146),0,1-INDEX('Lease Cycles'!$EM$16:$ES$16,1,EB146)),IF(OR(INDEX('Lease Cycles'!$DY$16:$EE$16,1,EB146)=1,EB147&gt;0),1,1-INDEX('Lease Cycles'!$DD$16:$DJ$16,1,EB146))*((1-'Lease Cycles'!$AJ$16)*INDEX('Lease Cycles'!$FO$16:$FU$16,1,EB146)+(1-'Lease Cycles'!$BE$16)*(1-INDEX('Lease Cycles'!$FO$16:$FU$16,1,EB146)))),0)</f>
        <v>0.007370184254606364</v>
      </c>
      <c r="EC154" s="24">
        <f>IF(EC148=1,'Lease Cycles'!$D$16*IF(INDEX('Lease Cycles'!$EF$16:$EL$16,1,EC146)=1,(1-'Lease Cycles'!$AJ$16)*INDEX('Lease Cycles'!$EM$16:$ES$16,1,EC146)+(1-'Lease Cycles'!$BE$16)*IF(EC147&lt;INDEX('Lease Cycles'!$FA$16:$FG$16,1,EC146),0,1-INDEX('Lease Cycles'!$EM$16:$ES$16,1,EC146)),IF(OR(INDEX('Lease Cycles'!$DY$16:$EE$16,1,EC146)=1,EC147&gt;0),1,1-INDEX('Lease Cycles'!$DD$16:$DJ$16,1,EC146))*((1-'Lease Cycles'!$AJ$16)*INDEX('Lease Cycles'!$FO$16:$FU$16,1,EC146)+(1-'Lease Cycles'!$BE$16)*(1-INDEX('Lease Cycles'!$FO$16:$FU$16,1,EC146)))),0)</f>
        <v>0.007370184254606364</v>
      </c>
      <c r="ED154" s="24">
        <f>IF(ED148=1,'Lease Cycles'!$D$16*IF(INDEX('Lease Cycles'!$EF$16:$EL$16,1,ED146)=1,(1-'Lease Cycles'!$AJ$16)*INDEX('Lease Cycles'!$EM$16:$ES$16,1,ED146)+(1-'Lease Cycles'!$BE$16)*IF(ED147&lt;INDEX('Lease Cycles'!$FA$16:$FG$16,1,ED146),0,1-INDEX('Lease Cycles'!$EM$16:$ES$16,1,ED146)),IF(OR(INDEX('Lease Cycles'!$DY$16:$EE$16,1,ED146)=1,ED147&gt;0),1,1-INDEX('Lease Cycles'!$DD$16:$DJ$16,1,ED146))*((1-'Lease Cycles'!$AJ$16)*INDEX('Lease Cycles'!$FO$16:$FU$16,1,ED146)+(1-'Lease Cycles'!$BE$16)*(1-INDEX('Lease Cycles'!$FO$16:$FU$16,1,ED146)))),0)</f>
        <v>0.007370184254606364</v>
      </c>
      <c r="EE154" s="24">
        <f>IF(EE148=1,'Lease Cycles'!$D$16*IF(INDEX('Lease Cycles'!$EF$16:$EL$16,1,EE146)=1,(1-'Lease Cycles'!$AJ$16)*INDEX('Lease Cycles'!$EM$16:$ES$16,1,EE146)+(1-'Lease Cycles'!$BE$16)*IF(EE147&lt;INDEX('Lease Cycles'!$FA$16:$FG$16,1,EE146),0,1-INDEX('Lease Cycles'!$EM$16:$ES$16,1,EE146)),IF(OR(INDEX('Lease Cycles'!$DY$16:$EE$16,1,EE146)=1,EE147&gt;0),1,1-INDEX('Lease Cycles'!$DD$16:$DJ$16,1,EE146))*((1-'Lease Cycles'!$AJ$16)*INDEX('Lease Cycles'!$FO$16:$FU$16,1,EE146)+(1-'Lease Cycles'!$BE$16)*(1-INDEX('Lease Cycles'!$FO$16:$FU$16,1,EE146)))),0)</f>
        <v>0.007370184254606364</v>
      </c>
      <c r="EF154" s="24">
        <f>IF(EF148=1,'Lease Cycles'!$D$16*IF(INDEX('Lease Cycles'!$EF$16:$EL$16,1,EF146)=1,(1-'Lease Cycles'!$AJ$16)*INDEX('Lease Cycles'!$EM$16:$ES$16,1,EF146)+(1-'Lease Cycles'!$BE$16)*IF(EF147&lt;INDEX('Lease Cycles'!$FA$16:$FG$16,1,EF146),0,1-INDEX('Lease Cycles'!$EM$16:$ES$16,1,EF146)),IF(OR(INDEX('Lease Cycles'!$DY$16:$EE$16,1,EF146)=1,EF147&gt;0),1,1-INDEX('Lease Cycles'!$DD$16:$DJ$16,1,EF146))*((1-'Lease Cycles'!$AJ$16)*INDEX('Lease Cycles'!$FO$16:$FU$16,1,EF146)+(1-'Lease Cycles'!$BE$16)*(1-INDEX('Lease Cycles'!$FO$16:$FU$16,1,EF146)))),0)</f>
        <v>0.007370184254606364</v>
      </c>
      <c r="EG154" s="24">
        <f>IF(EG148=1,'Lease Cycles'!$D$16*IF(INDEX('Lease Cycles'!$EF$16:$EL$16,1,EG146)=1,(1-'Lease Cycles'!$AJ$16)*INDEX('Lease Cycles'!$EM$16:$ES$16,1,EG146)+(1-'Lease Cycles'!$BE$16)*IF(EG147&lt;INDEX('Lease Cycles'!$FA$16:$FG$16,1,EG146),0,1-INDEX('Lease Cycles'!$EM$16:$ES$16,1,EG146)),IF(OR(INDEX('Lease Cycles'!$DY$16:$EE$16,1,EG146)=1,EG147&gt;0),1,1-INDEX('Lease Cycles'!$DD$16:$DJ$16,1,EG146))*((1-'Lease Cycles'!$AJ$16)*INDEX('Lease Cycles'!$FO$16:$FU$16,1,EG146)+(1-'Lease Cycles'!$BE$16)*(1-INDEX('Lease Cycles'!$FO$16:$FU$16,1,EG146)))),0)</f>
        <v>0.007370184254606364</v>
      </c>
      <c r="EH154" s="24">
        <f>IF(EH148=1,'Lease Cycles'!$D$16*IF(INDEX('Lease Cycles'!$EF$16:$EL$16,1,EH146)=1,(1-'Lease Cycles'!$AJ$16)*INDEX('Lease Cycles'!$EM$16:$ES$16,1,EH146)+(1-'Lease Cycles'!$BE$16)*IF(EH147&lt;INDEX('Lease Cycles'!$FA$16:$FG$16,1,EH146),0,1-INDEX('Lease Cycles'!$EM$16:$ES$16,1,EH146)),IF(OR(INDEX('Lease Cycles'!$DY$16:$EE$16,1,EH146)=1,EH147&gt;0),1,1-INDEX('Lease Cycles'!$DD$16:$DJ$16,1,EH146))*((1-'Lease Cycles'!$AJ$16)*INDEX('Lease Cycles'!$FO$16:$FU$16,1,EH146)+(1-'Lease Cycles'!$BE$16)*(1-INDEX('Lease Cycles'!$FO$16:$FU$16,1,EH146)))),0)</f>
        <v>0.007370184254606364</v>
      </c>
      <c r="EI154" s="24">
        <f>IF(EI148=1,'Lease Cycles'!$D$16*IF(INDEX('Lease Cycles'!$EF$16:$EL$16,1,EI146)=1,(1-'Lease Cycles'!$AJ$16)*INDEX('Lease Cycles'!$EM$16:$ES$16,1,EI146)+(1-'Lease Cycles'!$BE$16)*IF(EI147&lt;INDEX('Lease Cycles'!$FA$16:$FG$16,1,EI146),0,1-INDEX('Lease Cycles'!$EM$16:$ES$16,1,EI146)),IF(OR(INDEX('Lease Cycles'!$DY$16:$EE$16,1,EI146)=1,EI147&gt;0),1,1-INDEX('Lease Cycles'!$DD$16:$DJ$16,1,EI146))*((1-'Lease Cycles'!$AJ$16)*INDEX('Lease Cycles'!$FO$16:$FU$16,1,EI146)+(1-'Lease Cycles'!$BE$16)*(1-INDEX('Lease Cycles'!$FO$16:$FU$16,1,EI146)))),0)</f>
        <v>0.007370184254606364</v>
      </c>
      <c r="EJ154" s="24">
        <f>IF(EJ148=1,'Lease Cycles'!$D$16*IF(INDEX('Lease Cycles'!$EF$16:$EL$16,1,EJ146)=1,(1-'Lease Cycles'!$AJ$16)*INDEX('Lease Cycles'!$EM$16:$ES$16,1,EJ146)+(1-'Lease Cycles'!$BE$16)*IF(EJ147&lt;INDEX('Lease Cycles'!$FA$16:$FG$16,1,EJ146),0,1-INDEX('Lease Cycles'!$EM$16:$ES$16,1,EJ146)),IF(OR(INDEX('Lease Cycles'!$DY$16:$EE$16,1,EJ146)=1,EJ147&gt;0),1,1-INDEX('Lease Cycles'!$DD$16:$DJ$16,1,EJ146))*((1-'Lease Cycles'!$AJ$16)*INDEX('Lease Cycles'!$FO$16:$FU$16,1,EJ146)+(1-'Lease Cycles'!$BE$16)*(1-INDEX('Lease Cycles'!$FO$16:$FU$16,1,EJ146)))),0)</f>
        <v>0.007370184254606364</v>
      </c>
      <c r="EK154" s="24">
        <f>IF(EK148=1,'Lease Cycles'!$D$16*IF(INDEX('Lease Cycles'!$EF$16:$EL$16,1,EK146)=1,(1-'Lease Cycles'!$AJ$16)*INDEX('Lease Cycles'!$EM$16:$ES$16,1,EK146)+(1-'Lease Cycles'!$BE$16)*IF(EK147&lt;INDEX('Lease Cycles'!$FA$16:$FG$16,1,EK146),0,1-INDEX('Lease Cycles'!$EM$16:$ES$16,1,EK146)),IF(OR(INDEX('Lease Cycles'!$DY$16:$EE$16,1,EK146)=1,EK147&gt;0),1,1-INDEX('Lease Cycles'!$DD$16:$DJ$16,1,EK146))*((1-'Lease Cycles'!$AJ$16)*INDEX('Lease Cycles'!$FO$16:$FU$16,1,EK146)+(1-'Lease Cycles'!$BE$16)*(1-INDEX('Lease Cycles'!$FO$16:$FU$16,1,EK146)))),0)</f>
        <v>0.007370184254606364</v>
      </c>
      <c r="EL154" s="24">
        <f>IF(EL148=1,'Lease Cycles'!$D$16*IF(INDEX('Lease Cycles'!$EF$16:$EL$16,1,EL146)=1,(1-'Lease Cycles'!$AJ$16)*INDEX('Lease Cycles'!$EM$16:$ES$16,1,EL146)+(1-'Lease Cycles'!$BE$16)*IF(EL147&lt;INDEX('Lease Cycles'!$FA$16:$FG$16,1,EL146),0,1-INDEX('Lease Cycles'!$EM$16:$ES$16,1,EL146)),IF(OR(INDEX('Lease Cycles'!$DY$16:$EE$16,1,EL146)=1,EL147&gt;0),1,1-INDEX('Lease Cycles'!$DD$16:$DJ$16,1,EL146))*((1-'Lease Cycles'!$AJ$16)*INDEX('Lease Cycles'!$FO$16:$FU$16,1,EL146)+(1-'Lease Cycles'!$BE$16)*(1-INDEX('Lease Cycles'!$FO$16:$FU$16,1,EL146)))),0)</f>
        <v>0.007370184254606364</v>
      </c>
      <c r="EM154" s="24">
        <f>IF(EM148=1,'Lease Cycles'!$D$16*IF(INDEX('Lease Cycles'!$EF$16:$EL$16,1,EM146)=1,(1-'Lease Cycles'!$AJ$16)*INDEX('Lease Cycles'!$EM$16:$ES$16,1,EM146)+(1-'Lease Cycles'!$BE$16)*IF(EM147&lt;INDEX('Lease Cycles'!$FA$16:$FG$16,1,EM146),0,1-INDEX('Lease Cycles'!$EM$16:$ES$16,1,EM146)),IF(OR(INDEX('Lease Cycles'!$DY$16:$EE$16,1,EM146)=1,EM147&gt;0),1,1-INDEX('Lease Cycles'!$DD$16:$DJ$16,1,EM146))*((1-'Lease Cycles'!$AJ$16)*INDEX('Lease Cycles'!$FO$16:$FU$16,1,EM146)+(1-'Lease Cycles'!$BE$16)*(1-INDEX('Lease Cycles'!$FO$16:$FU$16,1,EM146)))),0)</f>
        <v>0.007370184254606364</v>
      </c>
      <c r="EN154" s="24">
        <f>IF(EN148=1,'Lease Cycles'!$D$16*IF(INDEX('Lease Cycles'!$EF$16:$EL$16,1,EN146)=1,(1-'Lease Cycles'!$AJ$16)*INDEX('Lease Cycles'!$EM$16:$ES$16,1,EN146)+(1-'Lease Cycles'!$BE$16)*IF(EN147&lt;INDEX('Lease Cycles'!$FA$16:$FG$16,1,EN146),0,1-INDEX('Lease Cycles'!$EM$16:$ES$16,1,EN146)),IF(OR(INDEX('Lease Cycles'!$DY$16:$EE$16,1,EN146)=1,EN147&gt;0),1,1-INDEX('Lease Cycles'!$DD$16:$DJ$16,1,EN146))*((1-'Lease Cycles'!$AJ$16)*INDEX('Lease Cycles'!$FO$16:$FU$16,1,EN146)+(1-'Lease Cycles'!$BE$16)*(1-INDEX('Lease Cycles'!$FO$16:$FU$16,1,EN146)))),0)</f>
        <v>0.007370184254606364</v>
      </c>
      <c r="EO154" s="24">
        <f>IF(EO148=1,'Lease Cycles'!$D$16*IF(INDEX('Lease Cycles'!$EF$16:$EL$16,1,EO146)=1,(1-'Lease Cycles'!$AJ$16)*INDEX('Lease Cycles'!$EM$16:$ES$16,1,EO146)+(1-'Lease Cycles'!$BE$16)*IF(EO147&lt;INDEX('Lease Cycles'!$FA$16:$FG$16,1,EO146),0,1-INDEX('Lease Cycles'!$EM$16:$ES$16,1,EO146)),IF(OR(INDEX('Lease Cycles'!$DY$16:$EE$16,1,EO146)=1,EO147&gt;0),1,1-INDEX('Lease Cycles'!$DD$16:$DJ$16,1,EO146))*((1-'Lease Cycles'!$AJ$16)*INDEX('Lease Cycles'!$FO$16:$FU$16,1,EO146)+(1-'Lease Cycles'!$BE$16)*(1-INDEX('Lease Cycles'!$FO$16:$FU$16,1,EO146)))),0)</f>
        <v>0.007370184254606364</v>
      </c>
      <c r="EP154" s="24">
        <f>IF(EP148=1,'Lease Cycles'!$D$16*IF(INDEX('Lease Cycles'!$EF$16:$EL$16,1,EP146)=1,(1-'Lease Cycles'!$AJ$16)*INDEX('Lease Cycles'!$EM$16:$ES$16,1,EP146)+(1-'Lease Cycles'!$BE$16)*IF(EP147&lt;INDEX('Lease Cycles'!$FA$16:$FG$16,1,EP146),0,1-INDEX('Lease Cycles'!$EM$16:$ES$16,1,EP146)),IF(OR(INDEX('Lease Cycles'!$DY$16:$EE$16,1,EP146)=1,EP147&gt;0),1,1-INDEX('Lease Cycles'!$DD$16:$DJ$16,1,EP146))*((1-'Lease Cycles'!$AJ$16)*INDEX('Lease Cycles'!$FO$16:$FU$16,1,EP146)+(1-'Lease Cycles'!$BE$16)*(1-INDEX('Lease Cycles'!$FO$16:$FU$16,1,EP146)))),0)</f>
        <v>0.007370184254606364</v>
      </c>
      <c r="EQ154" s="24">
        <f>IF(EQ148=1,'Lease Cycles'!$D$16*IF(INDEX('Lease Cycles'!$EF$16:$EL$16,1,EQ146)=1,(1-'Lease Cycles'!$AJ$16)*INDEX('Lease Cycles'!$EM$16:$ES$16,1,EQ146)+(1-'Lease Cycles'!$BE$16)*IF(EQ147&lt;INDEX('Lease Cycles'!$FA$16:$FG$16,1,EQ146),0,1-INDEX('Lease Cycles'!$EM$16:$ES$16,1,EQ146)),IF(OR(INDEX('Lease Cycles'!$DY$16:$EE$16,1,EQ146)=1,EQ147&gt;0),1,1-INDEX('Lease Cycles'!$DD$16:$DJ$16,1,EQ146))*((1-'Lease Cycles'!$AJ$16)*INDEX('Lease Cycles'!$FO$16:$FU$16,1,EQ146)+(1-'Lease Cycles'!$BE$16)*(1-INDEX('Lease Cycles'!$FO$16:$FU$16,1,EQ146)))),0)</f>
        <v>0.007370184254606364</v>
      </c>
      <c r="ER154" s="24">
        <f>IF(ER148=1,'Lease Cycles'!$D$16*IF(INDEX('Lease Cycles'!$EF$16:$EL$16,1,ER146)=1,(1-'Lease Cycles'!$AJ$16)*INDEX('Lease Cycles'!$EM$16:$ES$16,1,ER146)+(1-'Lease Cycles'!$BE$16)*IF(ER147&lt;INDEX('Lease Cycles'!$FA$16:$FG$16,1,ER146),0,1-INDEX('Lease Cycles'!$EM$16:$ES$16,1,ER146)),IF(OR(INDEX('Lease Cycles'!$DY$16:$EE$16,1,ER146)=1,ER147&gt;0),1,1-INDEX('Lease Cycles'!$DD$16:$DJ$16,1,ER146))*((1-'Lease Cycles'!$AJ$16)*INDEX('Lease Cycles'!$FO$16:$FU$16,1,ER146)+(1-'Lease Cycles'!$BE$16)*(1-INDEX('Lease Cycles'!$FO$16:$FU$16,1,ER146)))),0)</f>
        <v>0.007370184254606364</v>
      </c>
      <c r="ES154" s="24">
        <f>IF(ES148=1,'Lease Cycles'!$D$16*IF(INDEX('Lease Cycles'!$EF$16:$EL$16,1,ES146)=1,(1-'Lease Cycles'!$AJ$16)*INDEX('Lease Cycles'!$EM$16:$ES$16,1,ES146)+(1-'Lease Cycles'!$BE$16)*IF(ES147&lt;INDEX('Lease Cycles'!$FA$16:$FG$16,1,ES146),0,1-INDEX('Lease Cycles'!$EM$16:$ES$16,1,ES146)),IF(OR(INDEX('Lease Cycles'!$DY$16:$EE$16,1,ES146)=1,ES147&gt;0),1,1-INDEX('Lease Cycles'!$DD$16:$DJ$16,1,ES146))*((1-'Lease Cycles'!$AJ$16)*INDEX('Lease Cycles'!$FO$16:$FU$16,1,ES146)+(1-'Lease Cycles'!$BE$16)*(1-INDEX('Lease Cycles'!$FO$16:$FU$16,1,ES146)))),0)</f>
        <v>0.007370184254606364</v>
      </c>
      <c r="ET154" s="24">
        <f>IF(ET148=1,'Lease Cycles'!$D$16*IF(INDEX('Lease Cycles'!$EF$16:$EL$16,1,ET146)=1,(1-'Lease Cycles'!$AJ$16)*INDEX('Lease Cycles'!$EM$16:$ES$16,1,ET146)+(1-'Lease Cycles'!$BE$16)*IF(ET147&lt;INDEX('Lease Cycles'!$FA$16:$FG$16,1,ET146),0,1-INDEX('Lease Cycles'!$EM$16:$ES$16,1,ET146)),IF(OR(INDEX('Lease Cycles'!$DY$16:$EE$16,1,ET146)=1,ET147&gt;0),1,1-INDEX('Lease Cycles'!$DD$16:$DJ$16,1,ET146))*((1-'Lease Cycles'!$AJ$16)*INDEX('Lease Cycles'!$FO$16:$FU$16,1,ET146)+(1-'Lease Cycles'!$BE$16)*(1-INDEX('Lease Cycles'!$FO$16:$FU$16,1,ET146)))),0)</f>
        <v>0.007370184254606364</v>
      </c>
    </row>
    <row r="155">
      <c r="A155" s="103">
        <v>9</v>
      </c>
      <c r="B155" s="23" t="str">
        <f>IF('Lease Cycles'!$B$16="","(empty slot)",'Lease Cycles'!$B$16)</f>
        <v>Sunfield Office Suite</v>
      </c>
      <c r="C155" s="23" t="s">
        <v>685</v>
      </c>
      <c r="D155" s="104" t="s">
        <v>686</v>
      </c>
      <c r="E155" s="25">
        <f>'Lease Cycles'!$AL$16</f>
        <v>0</v>
      </c>
      <c r="G155" s="24">
        <f>SUM(S155:AD155)</f>
        <v>0</v>
      </c>
      <c r="H155" s="24">
        <f>SUM(AE155:AP155)</f>
        <v>0</v>
      </c>
      <c r="I155" s="24">
        <f>SUM(AQ155:BB155)</f>
        <v>0</v>
      </c>
      <c r="J155" s="24">
        <f>SUM(BC155:BN155)</f>
        <v>0</v>
      </c>
      <c r="K155" s="24">
        <f>SUM(BO155:BZ155)</f>
        <v>0</v>
      </c>
      <c r="L155" s="24">
        <f>SUM(CA155:CL155)</f>
        <v>0</v>
      </c>
      <c r="M155" s="24">
        <f>SUM(CM155:CX155)</f>
        <v>0</v>
      </c>
      <c r="N155" s="24">
        <f>SUM(CY155:DJ155)</f>
        <v>0</v>
      </c>
      <c r="O155" s="24">
        <f>SUM(DK155:DV155)</f>
        <v>0</v>
      </c>
      <c r="P155" s="24">
        <f>SUM(DW155:EH155)</f>
        <v>0</v>
      </c>
      <c r="Q155" s="24">
        <f>SUM(EI155:ET155)</f>
        <v>0</v>
      </c>
      <c r="S155" s="24">
        <f>IF(S148=1,IF('Lease Cycles'!$AJ$16=1,0,'Lease Cycles'!$D$16*INDEX('Lease Cycles'!$FH$16:$FN$16,1,S146)*IF(INDEX('Lease Cycles'!$EF$16:$EL$16,1,S146)=1,1,IF(OR(INDEX('Lease Cycles'!$DY$16:$EE$16,1,S146)=1,S147&gt;0),1,1-INDEX('Lease Cycles'!$DD$16:$DJ$16,1,S146)))),0)</f>
        <v>0</v>
      </c>
      <c r="T155" s="24">
        <f>IF(T148=1,IF('Lease Cycles'!$AJ$16=1,0,'Lease Cycles'!$D$16*INDEX('Lease Cycles'!$FH$16:$FN$16,1,T146)*IF(INDEX('Lease Cycles'!$EF$16:$EL$16,1,T146)=1,1,IF(OR(INDEX('Lease Cycles'!$DY$16:$EE$16,1,T146)=1,T147&gt;0),1,1-INDEX('Lease Cycles'!$DD$16:$DJ$16,1,T146)))),0)</f>
        <v>0</v>
      </c>
      <c r="U155" s="24">
        <f>IF(U148=1,IF('Lease Cycles'!$AJ$16=1,0,'Lease Cycles'!$D$16*INDEX('Lease Cycles'!$FH$16:$FN$16,1,U146)*IF(INDEX('Lease Cycles'!$EF$16:$EL$16,1,U146)=1,1,IF(OR(INDEX('Lease Cycles'!$DY$16:$EE$16,1,U146)=1,U147&gt;0),1,1-INDEX('Lease Cycles'!$DD$16:$DJ$16,1,U146)))),0)</f>
        <v>0</v>
      </c>
      <c r="V155" s="24">
        <f>IF(V148=1,IF('Lease Cycles'!$AJ$16=1,0,'Lease Cycles'!$D$16*INDEX('Lease Cycles'!$FH$16:$FN$16,1,V146)*IF(INDEX('Lease Cycles'!$EF$16:$EL$16,1,V146)=1,1,IF(OR(INDEX('Lease Cycles'!$DY$16:$EE$16,1,V146)=1,V147&gt;0),1,1-INDEX('Lease Cycles'!$DD$16:$DJ$16,1,V146)))),0)</f>
        <v>0</v>
      </c>
      <c r="W155" s="24">
        <f>IF(W148=1,IF('Lease Cycles'!$AJ$16=1,0,'Lease Cycles'!$D$16*INDEX('Lease Cycles'!$FH$16:$FN$16,1,W146)*IF(INDEX('Lease Cycles'!$EF$16:$EL$16,1,W146)=1,1,IF(OR(INDEX('Lease Cycles'!$DY$16:$EE$16,1,W146)=1,W147&gt;0),1,1-INDEX('Lease Cycles'!$DD$16:$DJ$16,1,W146)))),0)</f>
        <v>0</v>
      </c>
      <c r="X155" s="24">
        <f>IF(X148=1,IF('Lease Cycles'!$AJ$16=1,0,'Lease Cycles'!$D$16*INDEX('Lease Cycles'!$FH$16:$FN$16,1,X146)*IF(INDEX('Lease Cycles'!$EF$16:$EL$16,1,X146)=1,1,IF(OR(INDEX('Lease Cycles'!$DY$16:$EE$16,1,X146)=1,X147&gt;0),1,1-INDEX('Lease Cycles'!$DD$16:$DJ$16,1,X146)))),0)</f>
        <v>0</v>
      </c>
      <c r="Y155" s="24">
        <f>IF(Y148=1,IF('Lease Cycles'!$AJ$16=1,0,'Lease Cycles'!$D$16*INDEX('Lease Cycles'!$FH$16:$FN$16,1,Y146)*IF(INDEX('Lease Cycles'!$EF$16:$EL$16,1,Y146)=1,1,IF(OR(INDEX('Lease Cycles'!$DY$16:$EE$16,1,Y146)=1,Y147&gt;0),1,1-INDEX('Lease Cycles'!$DD$16:$DJ$16,1,Y146)))),0)</f>
        <v>0</v>
      </c>
      <c r="Z155" s="24">
        <f>IF(Z148=1,IF('Lease Cycles'!$AJ$16=1,0,'Lease Cycles'!$D$16*INDEX('Lease Cycles'!$FH$16:$FN$16,1,Z146)*IF(INDEX('Lease Cycles'!$EF$16:$EL$16,1,Z146)=1,1,IF(OR(INDEX('Lease Cycles'!$DY$16:$EE$16,1,Z146)=1,Z147&gt;0),1,1-INDEX('Lease Cycles'!$DD$16:$DJ$16,1,Z146)))),0)</f>
        <v>0</v>
      </c>
      <c r="AA155" s="24">
        <f>IF(AA148=1,IF('Lease Cycles'!$AJ$16=1,0,'Lease Cycles'!$D$16*INDEX('Lease Cycles'!$FH$16:$FN$16,1,AA146)*IF(INDEX('Lease Cycles'!$EF$16:$EL$16,1,AA146)=1,1,IF(OR(INDEX('Lease Cycles'!$DY$16:$EE$16,1,AA146)=1,AA147&gt;0),1,1-INDEX('Lease Cycles'!$DD$16:$DJ$16,1,AA146)))),0)</f>
        <v>0</v>
      </c>
      <c r="AB155" s="24">
        <f>IF(AB148=1,IF('Lease Cycles'!$AJ$16=1,0,'Lease Cycles'!$D$16*INDEX('Lease Cycles'!$FH$16:$FN$16,1,AB146)*IF(INDEX('Lease Cycles'!$EF$16:$EL$16,1,AB146)=1,1,IF(OR(INDEX('Lease Cycles'!$DY$16:$EE$16,1,AB146)=1,AB147&gt;0),1,1-INDEX('Lease Cycles'!$DD$16:$DJ$16,1,AB146)))),0)</f>
        <v>0</v>
      </c>
      <c r="AC155" s="24">
        <f>IF(AC148=1,IF('Lease Cycles'!$AJ$16=1,0,'Lease Cycles'!$D$16*INDEX('Lease Cycles'!$FH$16:$FN$16,1,AC146)*IF(INDEX('Lease Cycles'!$EF$16:$EL$16,1,AC146)=1,1,IF(OR(INDEX('Lease Cycles'!$DY$16:$EE$16,1,AC146)=1,AC147&gt;0),1,1-INDEX('Lease Cycles'!$DD$16:$DJ$16,1,AC146)))),0)</f>
        <v>0</v>
      </c>
      <c r="AD155" s="24">
        <f>IF(AD148=1,IF('Lease Cycles'!$AJ$16=1,0,'Lease Cycles'!$D$16*INDEX('Lease Cycles'!$FH$16:$FN$16,1,AD146)*IF(INDEX('Lease Cycles'!$EF$16:$EL$16,1,AD146)=1,1,IF(OR(INDEX('Lease Cycles'!$DY$16:$EE$16,1,AD146)=1,AD147&gt;0),1,1-INDEX('Lease Cycles'!$DD$16:$DJ$16,1,AD146)))),0)</f>
        <v>0</v>
      </c>
      <c r="AE155" s="24">
        <f>IF(AE148=1,IF('Lease Cycles'!$AJ$16=1,0,'Lease Cycles'!$D$16*INDEX('Lease Cycles'!$FH$16:$FN$16,1,AE146)*IF(INDEX('Lease Cycles'!$EF$16:$EL$16,1,AE146)=1,1,IF(OR(INDEX('Lease Cycles'!$DY$16:$EE$16,1,AE146)=1,AE147&gt;0),1,1-INDEX('Lease Cycles'!$DD$16:$DJ$16,1,AE146)))),0)</f>
        <v>0</v>
      </c>
      <c r="AF155" s="24">
        <f>IF(AF148=1,IF('Lease Cycles'!$AJ$16=1,0,'Lease Cycles'!$D$16*INDEX('Lease Cycles'!$FH$16:$FN$16,1,AF146)*IF(INDEX('Lease Cycles'!$EF$16:$EL$16,1,AF146)=1,1,IF(OR(INDEX('Lease Cycles'!$DY$16:$EE$16,1,AF146)=1,AF147&gt;0),1,1-INDEX('Lease Cycles'!$DD$16:$DJ$16,1,AF146)))),0)</f>
        <v>0</v>
      </c>
      <c r="AG155" s="24">
        <f>IF(AG148=1,IF('Lease Cycles'!$AJ$16=1,0,'Lease Cycles'!$D$16*INDEX('Lease Cycles'!$FH$16:$FN$16,1,AG146)*IF(INDEX('Lease Cycles'!$EF$16:$EL$16,1,AG146)=1,1,IF(OR(INDEX('Lease Cycles'!$DY$16:$EE$16,1,AG146)=1,AG147&gt;0),1,1-INDEX('Lease Cycles'!$DD$16:$DJ$16,1,AG146)))),0)</f>
        <v>0</v>
      </c>
      <c r="AH155" s="24">
        <f>IF(AH148=1,IF('Lease Cycles'!$AJ$16=1,0,'Lease Cycles'!$D$16*INDEX('Lease Cycles'!$FH$16:$FN$16,1,AH146)*IF(INDEX('Lease Cycles'!$EF$16:$EL$16,1,AH146)=1,1,IF(OR(INDEX('Lease Cycles'!$DY$16:$EE$16,1,AH146)=1,AH147&gt;0),1,1-INDEX('Lease Cycles'!$DD$16:$DJ$16,1,AH146)))),0)</f>
        <v>0</v>
      </c>
      <c r="AI155" s="24">
        <f>IF(AI148=1,IF('Lease Cycles'!$AJ$16=1,0,'Lease Cycles'!$D$16*INDEX('Lease Cycles'!$FH$16:$FN$16,1,AI146)*IF(INDEX('Lease Cycles'!$EF$16:$EL$16,1,AI146)=1,1,IF(OR(INDEX('Lease Cycles'!$DY$16:$EE$16,1,AI146)=1,AI147&gt;0),1,1-INDEX('Lease Cycles'!$DD$16:$DJ$16,1,AI146)))),0)</f>
        <v>0</v>
      </c>
      <c r="AJ155" s="24">
        <f>IF(AJ148=1,IF('Lease Cycles'!$AJ$16=1,0,'Lease Cycles'!$D$16*INDEX('Lease Cycles'!$FH$16:$FN$16,1,AJ146)*IF(INDEX('Lease Cycles'!$EF$16:$EL$16,1,AJ146)=1,1,IF(OR(INDEX('Lease Cycles'!$DY$16:$EE$16,1,AJ146)=1,AJ147&gt;0),1,1-INDEX('Lease Cycles'!$DD$16:$DJ$16,1,AJ146)))),0)</f>
        <v>0</v>
      </c>
      <c r="AK155" s="24">
        <f>IF(AK148=1,IF('Lease Cycles'!$AJ$16=1,0,'Lease Cycles'!$D$16*INDEX('Lease Cycles'!$FH$16:$FN$16,1,AK146)*IF(INDEX('Lease Cycles'!$EF$16:$EL$16,1,AK146)=1,1,IF(OR(INDEX('Lease Cycles'!$DY$16:$EE$16,1,AK146)=1,AK147&gt;0),1,1-INDEX('Lease Cycles'!$DD$16:$DJ$16,1,AK146)))),0)</f>
        <v>0</v>
      </c>
      <c r="AL155" s="24">
        <f>IF(AL148=1,IF('Lease Cycles'!$AJ$16=1,0,'Lease Cycles'!$D$16*INDEX('Lease Cycles'!$FH$16:$FN$16,1,AL146)*IF(INDEX('Lease Cycles'!$EF$16:$EL$16,1,AL146)=1,1,IF(OR(INDEX('Lease Cycles'!$DY$16:$EE$16,1,AL146)=1,AL147&gt;0),1,1-INDEX('Lease Cycles'!$DD$16:$DJ$16,1,AL146)))),0)</f>
        <v>0</v>
      </c>
      <c r="AM155" s="24">
        <f>IF(AM148=1,IF('Lease Cycles'!$AJ$16=1,0,'Lease Cycles'!$D$16*INDEX('Lease Cycles'!$FH$16:$FN$16,1,AM146)*IF(INDEX('Lease Cycles'!$EF$16:$EL$16,1,AM146)=1,1,IF(OR(INDEX('Lease Cycles'!$DY$16:$EE$16,1,AM146)=1,AM147&gt;0),1,1-INDEX('Lease Cycles'!$DD$16:$DJ$16,1,AM146)))),0)</f>
        <v>0</v>
      </c>
      <c r="AN155" s="24">
        <f>IF(AN148=1,IF('Lease Cycles'!$AJ$16=1,0,'Lease Cycles'!$D$16*INDEX('Lease Cycles'!$FH$16:$FN$16,1,AN146)*IF(INDEX('Lease Cycles'!$EF$16:$EL$16,1,AN146)=1,1,IF(OR(INDEX('Lease Cycles'!$DY$16:$EE$16,1,AN146)=1,AN147&gt;0),1,1-INDEX('Lease Cycles'!$DD$16:$DJ$16,1,AN146)))),0)</f>
        <v>0</v>
      </c>
      <c r="AO155" s="24">
        <f>IF(AO148=1,IF('Lease Cycles'!$AJ$16=1,0,'Lease Cycles'!$D$16*INDEX('Lease Cycles'!$FH$16:$FN$16,1,AO146)*IF(INDEX('Lease Cycles'!$EF$16:$EL$16,1,AO146)=1,1,IF(OR(INDEX('Lease Cycles'!$DY$16:$EE$16,1,AO146)=1,AO147&gt;0),1,1-INDEX('Lease Cycles'!$DD$16:$DJ$16,1,AO146)))),0)</f>
        <v>0</v>
      </c>
      <c r="AP155" s="24">
        <f>IF(AP148=1,IF('Lease Cycles'!$AJ$16=1,0,'Lease Cycles'!$D$16*INDEX('Lease Cycles'!$FH$16:$FN$16,1,AP146)*IF(INDEX('Lease Cycles'!$EF$16:$EL$16,1,AP146)=1,1,IF(OR(INDEX('Lease Cycles'!$DY$16:$EE$16,1,AP146)=1,AP147&gt;0),1,1-INDEX('Lease Cycles'!$DD$16:$DJ$16,1,AP146)))),0)</f>
        <v>0</v>
      </c>
      <c r="AQ155" s="24">
        <f>IF(AQ148=1,IF('Lease Cycles'!$AJ$16=1,0,'Lease Cycles'!$D$16*INDEX('Lease Cycles'!$FH$16:$FN$16,1,AQ146)*IF(INDEX('Lease Cycles'!$EF$16:$EL$16,1,AQ146)=1,1,IF(OR(INDEX('Lease Cycles'!$DY$16:$EE$16,1,AQ146)=1,AQ147&gt;0),1,1-INDEX('Lease Cycles'!$DD$16:$DJ$16,1,AQ146)))),0)</f>
        <v>0</v>
      </c>
      <c r="AR155" s="24">
        <f>IF(AR148=1,IF('Lease Cycles'!$AJ$16=1,0,'Lease Cycles'!$D$16*INDEX('Lease Cycles'!$FH$16:$FN$16,1,AR146)*IF(INDEX('Lease Cycles'!$EF$16:$EL$16,1,AR146)=1,1,IF(OR(INDEX('Lease Cycles'!$DY$16:$EE$16,1,AR146)=1,AR147&gt;0),1,1-INDEX('Lease Cycles'!$DD$16:$DJ$16,1,AR146)))),0)</f>
        <v>0</v>
      </c>
      <c r="AS155" s="24">
        <f>IF(AS148=1,IF('Lease Cycles'!$AJ$16=1,0,'Lease Cycles'!$D$16*INDEX('Lease Cycles'!$FH$16:$FN$16,1,AS146)*IF(INDEX('Lease Cycles'!$EF$16:$EL$16,1,AS146)=1,1,IF(OR(INDEX('Lease Cycles'!$DY$16:$EE$16,1,AS146)=1,AS147&gt;0),1,1-INDEX('Lease Cycles'!$DD$16:$DJ$16,1,AS146)))),0)</f>
        <v>0</v>
      </c>
      <c r="AT155" s="24">
        <f>IF(AT148=1,IF('Lease Cycles'!$AJ$16=1,0,'Lease Cycles'!$D$16*INDEX('Lease Cycles'!$FH$16:$FN$16,1,AT146)*IF(INDEX('Lease Cycles'!$EF$16:$EL$16,1,AT146)=1,1,IF(OR(INDEX('Lease Cycles'!$DY$16:$EE$16,1,AT146)=1,AT147&gt;0),1,1-INDEX('Lease Cycles'!$DD$16:$DJ$16,1,AT146)))),0)</f>
        <v>0</v>
      </c>
      <c r="AU155" s="24">
        <f>IF(AU148=1,IF('Lease Cycles'!$AJ$16=1,0,'Lease Cycles'!$D$16*INDEX('Lease Cycles'!$FH$16:$FN$16,1,AU146)*IF(INDEX('Lease Cycles'!$EF$16:$EL$16,1,AU146)=1,1,IF(OR(INDEX('Lease Cycles'!$DY$16:$EE$16,1,AU146)=1,AU147&gt;0),1,1-INDEX('Lease Cycles'!$DD$16:$DJ$16,1,AU146)))),0)</f>
        <v>0</v>
      </c>
      <c r="AV155" s="24">
        <f>IF(AV148=1,IF('Lease Cycles'!$AJ$16=1,0,'Lease Cycles'!$D$16*INDEX('Lease Cycles'!$FH$16:$FN$16,1,AV146)*IF(INDEX('Lease Cycles'!$EF$16:$EL$16,1,AV146)=1,1,IF(OR(INDEX('Lease Cycles'!$DY$16:$EE$16,1,AV146)=1,AV147&gt;0),1,1-INDEX('Lease Cycles'!$DD$16:$DJ$16,1,AV146)))),0)</f>
        <v>0</v>
      </c>
      <c r="AW155" s="24">
        <f>IF(AW148=1,IF('Lease Cycles'!$AJ$16=1,0,'Lease Cycles'!$D$16*INDEX('Lease Cycles'!$FH$16:$FN$16,1,AW146)*IF(INDEX('Lease Cycles'!$EF$16:$EL$16,1,AW146)=1,1,IF(OR(INDEX('Lease Cycles'!$DY$16:$EE$16,1,AW146)=1,AW147&gt;0),1,1-INDEX('Lease Cycles'!$DD$16:$DJ$16,1,AW146)))),0)</f>
        <v>0</v>
      </c>
      <c r="AX155" s="24">
        <f>IF(AX148=1,IF('Lease Cycles'!$AJ$16=1,0,'Lease Cycles'!$D$16*INDEX('Lease Cycles'!$FH$16:$FN$16,1,AX146)*IF(INDEX('Lease Cycles'!$EF$16:$EL$16,1,AX146)=1,1,IF(OR(INDEX('Lease Cycles'!$DY$16:$EE$16,1,AX146)=1,AX147&gt;0),1,1-INDEX('Lease Cycles'!$DD$16:$DJ$16,1,AX146)))),0)</f>
        <v>0</v>
      </c>
      <c r="AY155" s="24">
        <f>IF(AY148=1,IF('Lease Cycles'!$AJ$16=1,0,'Lease Cycles'!$D$16*INDEX('Lease Cycles'!$FH$16:$FN$16,1,AY146)*IF(INDEX('Lease Cycles'!$EF$16:$EL$16,1,AY146)=1,1,IF(OR(INDEX('Lease Cycles'!$DY$16:$EE$16,1,AY146)=1,AY147&gt;0),1,1-INDEX('Lease Cycles'!$DD$16:$DJ$16,1,AY146)))),0)</f>
        <v>0</v>
      </c>
      <c r="AZ155" s="24">
        <f>IF(AZ148=1,IF('Lease Cycles'!$AJ$16=1,0,'Lease Cycles'!$D$16*INDEX('Lease Cycles'!$FH$16:$FN$16,1,AZ146)*IF(INDEX('Lease Cycles'!$EF$16:$EL$16,1,AZ146)=1,1,IF(OR(INDEX('Lease Cycles'!$DY$16:$EE$16,1,AZ146)=1,AZ147&gt;0),1,1-INDEX('Lease Cycles'!$DD$16:$DJ$16,1,AZ146)))),0)</f>
        <v>0</v>
      </c>
      <c r="BA155" s="24">
        <f>IF(BA148=1,IF('Lease Cycles'!$AJ$16=1,0,'Lease Cycles'!$D$16*INDEX('Lease Cycles'!$FH$16:$FN$16,1,BA146)*IF(INDEX('Lease Cycles'!$EF$16:$EL$16,1,BA146)=1,1,IF(OR(INDEX('Lease Cycles'!$DY$16:$EE$16,1,BA146)=1,BA147&gt;0),1,1-INDEX('Lease Cycles'!$DD$16:$DJ$16,1,BA146)))),0)</f>
        <v>0</v>
      </c>
      <c r="BB155" s="24">
        <f>IF(BB148=1,IF('Lease Cycles'!$AJ$16=1,0,'Lease Cycles'!$D$16*INDEX('Lease Cycles'!$FH$16:$FN$16,1,BB146)*IF(INDEX('Lease Cycles'!$EF$16:$EL$16,1,BB146)=1,1,IF(OR(INDEX('Lease Cycles'!$DY$16:$EE$16,1,BB146)=1,BB147&gt;0),1,1-INDEX('Lease Cycles'!$DD$16:$DJ$16,1,BB146)))),0)</f>
        <v>0</v>
      </c>
      <c r="BC155" s="24">
        <f>IF(BC148=1,IF('Lease Cycles'!$AJ$16=1,0,'Lease Cycles'!$D$16*INDEX('Lease Cycles'!$FH$16:$FN$16,1,BC146)*IF(INDEX('Lease Cycles'!$EF$16:$EL$16,1,BC146)=1,1,IF(OR(INDEX('Lease Cycles'!$DY$16:$EE$16,1,BC146)=1,BC147&gt;0),1,1-INDEX('Lease Cycles'!$DD$16:$DJ$16,1,BC146)))),0)</f>
        <v>0</v>
      </c>
      <c r="BD155" s="24">
        <f>IF(BD148=1,IF('Lease Cycles'!$AJ$16=1,0,'Lease Cycles'!$D$16*INDEX('Lease Cycles'!$FH$16:$FN$16,1,BD146)*IF(INDEX('Lease Cycles'!$EF$16:$EL$16,1,BD146)=1,1,IF(OR(INDEX('Lease Cycles'!$DY$16:$EE$16,1,BD146)=1,BD147&gt;0),1,1-INDEX('Lease Cycles'!$DD$16:$DJ$16,1,BD146)))),0)</f>
        <v>0</v>
      </c>
      <c r="BE155" s="24">
        <f>IF(BE148=1,IF('Lease Cycles'!$AJ$16=1,0,'Lease Cycles'!$D$16*INDEX('Lease Cycles'!$FH$16:$FN$16,1,BE146)*IF(INDEX('Lease Cycles'!$EF$16:$EL$16,1,BE146)=1,1,IF(OR(INDEX('Lease Cycles'!$DY$16:$EE$16,1,BE146)=1,BE147&gt;0),1,1-INDEX('Lease Cycles'!$DD$16:$DJ$16,1,BE146)))),0)</f>
        <v>0</v>
      </c>
      <c r="BF155" s="24">
        <f>IF(BF148=1,IF('Lease Cycles'!$AJ$16=1,0,'Lease Cycles'!$D$16*INDEX('Lease Cycles'!$FH$16:$FN$16,1,BF146)*IF(INDEX('Lease Cycles'!$EF$16:$EL$16,1,BF146)=1,1,IF(OR(INDEX('Lease Cycles'!$DY$16:$EE$16,1,BF146)=1,BF147&gt;0),1,1-INDEX('Lease Cycles'!$DD$16:$DJ$16,1,BF146)))),0)</f>
        <v>0</v>
      </c>
      <c r="BG155" s="24">
        <f>IF(BG148=1,IF('Lease Cycles'!$AJ$16=1,0,'Lease Cycles'!$D$16*INDEX('Lease Cycles'!$FH$16:$FN$16,1,BG146)*IF(INDEX('Lease Cycles'!$EF$16:$EL$16,1,BG146)=1,1,IF(OR(INDEX('Lease Cycles'!$DY$16:$EE$16,1,BG146)=1,BG147&gt;0),1,1-INDEX('Lease Cycles'!$DD$16:$DJ$16,1,BG146)))),0)</f>
        <v>0</v>
      </c>
      <c r="BH155" s="24">
        <f>IF(BH148=1,IF('Lease Cycles'!$AJ$16=1,0,'Lease Cycles'!$D$16*INDEX('Lease Cycles'!$FH$16:$FN$16,1,BH146)*IF(INDEX('Lease Cycles'!$EF$16:$EL$16,1,BH146)=1,1,IF(OR(INDEX('Lease Cycles'!$DY$16:$EE$16,1,BH146)=1,BH147&gt;0),1,1-INDEX('Lease Cycles'!$DD$16:$DJ$16,1,BH146)))),0)</f>
        <v>0</v>
      </c>
      <c r="BI155" s="24">
        <f>IF(BI148=1,IF('Lease Cycles'!$AJ$16=1,0,'Lease Cycles'!$D$16*INDEX('Lease Cycles'!$FH$16:$FN$16,1,BI146)*IF(INDEX('Lease Cycles'!$EF$16:$EL$16,1,BI146)=1,1,IF(OR(INDEX('Lease Cycles'!$DY$16:$EE$16,1,BI146)=1,BI147&gt;0),1,1-INDEX('Lease Cycles'!$DD$16:$DJ$16,1,BI146)))),0)</f>
        <v>0</v>
      </c>
      <c r="BJ155" s="24">
        <f>IF(BJ148=1,IF('Lease Cycles'!$AJ$16=1,0,'Lease Cycles'!$D$16*INDEX('Lease Cycles'!$FH$16:$FN$16,1,BJ146)*IF(INDEX('Lease Cycles'!$EF$16:$EL$16,1,BJ146)=1,1,IF(OR(INDEX('Lease Cycles'!$DY$16:$EE$16,1,BJ146)=1,BJ147&gt;0),1,1-INDEX('Lease Cycles'!$DD$16:$DJ$16,1,BJ146)))),0)</f>
        <v>0</v>
      </c>
      <c r="BK155" s="24">
        <f>IF(BK148=1,IF('Lease Cycles'!$AJ$16=1,0,'Lease Cycles'!$D$16*INDEX('Lease Cycles'!$FH$16:$FN$16,1,BK146)*IF(INDEX('Lease Cycles'!$EF$16:$EL$16,1,BK146)=1,1,IF(OR(INDEX('Lease Cycles'!$DY$16:$EE$16,1,BK146)=1,BK147&gt;0),1,1-INDEX('Lease Cycles'!$DD$16:$DJ$16,1,BK146)))),0)</f>
        <v>0</v>
      </c>
      <c r="BL155" s="24">
        <f>IF(BL148=1,IF('Lease Cycles'!$AJ$16=1,0,'Lease Cycles'!$D$16*INDEX('Lease Cycles'!$FH$16:$FN$16,1,BL146)*IF(INDEX('Lease Cycles'!$EF$16:$EL$16,1,BL146)=1,1,IF(OR(INDEX('Lease Cycles'!$DY$16:$EE$16,1,BL146)=1,BL147&gt;0),1,1-INDEX('Lease Cycles'!$DD$16:$DJ$16,1,BL146)))),0)</f>
        <v>0</v>
      </c>
      <c r="BM155" s="24">
        <f>IF(BM148=1,IF('Lease Cycles'!$AJ$16=1,0,'Lease Cycles'!$D$16*INDEX('Lease Cycles'!$FH$16:$FN$16,1,BM146)*IF(INDEX('Lease Cycles'!$EF$16:$EL$16,1,BM146)=1,1,IF(OR(INDEX('Lease Cycles'!$DY$16:$EE$16,1,BM146)=1,BM147&gt;0),1,1-INDEX('Lease Cycles'!$DD$16:$DJ$16,1,BM146)))),0)</f>
        <v>0</v>
      </c>
      <c r="BN155" s="24">
        <f>IF(BN148=1,IF('Lease Cycles'!$AJ$16=1,0,'Lease Cycles'!$D$16*INDEX('Lease Cycles'!$FH$16:$FN$16,1,BN146)*IF(INDEX('Lease Cycles'!$EF$16:$EL$16,1,BN146)=1,1,IF(OR(INDEX('Lease Cycles'!$DY$16:$EE$16,1,BN146)=1,BN147&gt;0),1,1-INDEX('Lease Cycles'!$DD$16:$DJ$16,1,BN146)))),0)</f>
        <v>0</v>
      </c>
      <c r="BO155" s="24">
        <f>IF(BO148=1,IF('Lease Cycles'!$AJ$16=1,0,'Lease Cycles'!$D$16*INDEX('Lease Cycles'!$FH$16:$FN$16,1,BO146)*IF(INDEX('Lease Cycles'!$EF$16:$EL$16,1,BO146)=1,1,IF(OR(INDEX('Lease Cycles'!$DY$16:$EE$16,1,BO146)=1,BO147&gt;0),1,1-INDEX('Lease Cycles'!$DD$16:$DJ$16,1,BO146)))),0)</f>
        <v>0</v>
      </c>
      <c r="BP155" s="24">
        <f>IF(BP148=1,IF('Lease Cycles'!$AJ$16=1,0,'Lease Cycles'!$D$16*INDEX('Lease Cycles'!$FH$16:$FN$16,1,BP146)*IF(INDEX('Lease Cycles'!$EF$16:$EL$16,1,BP146)=1,1,IF(OR(INDEX('Lease Cycles'!$DY$16:$EE$16,1,BP146)=1,BP147&gt;0),1,1-INDEX('Lease Cycles'!$DD$16:$DJ$16,1,BP146)))),0)</f>
        <v>0</v>
      </c>
      <c r="BQ155" s="24">
        <f>IF(BQ148=1,IF('Lease Cycles'!$AJ$16=1,0,'Lease Cycles'!$D$16*INDEX('Lease Cycles'!$FH$16:$FN$16,1,BQ146)*IF(INDEX('Lease Cycles'!$EF$16:$EL$16,1,BQ146)=1,1,IF(OR(INDEX('Lease Cycles'!$DY$16:$EE$16,1,BQ146)=1,BQ147&gt;0),1,1-INDEX('Lease Cycles'!$DD$16:$DJ$16,1,BQ146)))),0)</f>
        <v>0</v>
      </c>
      <c r="BR155" s="24">
        <f>IF(BR148=1,IF('Lease Cycles'!$AJ$16=1,0,'Lease Cycles'!$D$16*INDEX('Lease Cycles'!$FH$16:$FN$16,1,BR146)*IF(INDEX('Lease Cycles'!$EF$16:$EL$16,1,BR146)=1,1,IF(OR(INDEX('Lease Cycles'!$DY$16:$EE$16,1,BR146)=1,BR147&gt;0),1,1-INDEX('Lease Cycles'!$DD$16:$DJ$16,1,BR146)))),0)</f>
        <v>0</v>
      </c>
      <c r="BS155" s="24">
        <f>IF(BS148=1,IF('Lease Cycles'!$AJ$16=1,0,'Lease Cycles'!$D$16*INDEX('Lease Cycles'!$FH$16:$FN$16,1,BS146)*IF(INDEX('Lease Cycles'!$EF$16:$EL$16,1,BS146)=1,1,IF(OR(INDEX('Lease Cycles'!$DY$16:$EE$16,1,BS146)=1,BS147&gt;0),1,1-INDEX('Lease Cycles'!$DD$16:$DJ$16,1,BS146)))),0)</f>
        <v>0</v>
      </c>
      <c r="BT155" s="24">
        <f>IF(BT148=1,IF('Lease Cycles'!$AJ$16=1,0,'Lease Cycles'!$D$16*INDEX('Lease Cycles'!$FH$16:$FN$16,1,BT146)*IF(INDEX('Lease Cycles'!$EF$16:$EL$16,1,BT146)=1,1,IF(OR(INDEX('Lease Cycles'!$DY$16:$EE$16,1,BT146)=1,BT147&gt;0),1,1-INDEX('Lease Cycles'!$DD$16:$DJ$16,1,BT146)))),0)</f>
        <v>0</v>
      </c>
      <c r="BU155" s="24">
        <f>IF(BU148=1,IF('Lease Cycles'!$AJ$16=1,0,'Lease Cycles'!$D$16*INDEX('Lease Cycles'!$FH$16:$FN$16,1,BU146)*IF(INDEX('Lease Cycles'!$EF$16:$EL$16,1,BU146)=1,1,IF(OR(INDEX('Lease Cycles'!$DY$16:$EE$16,1,BU146)=1,BU147&gt;0),1,1-INDEX('Lease Cycles'!$DD$16:$DJ$16,1,BU146)))),0)</f>
        <v>0</v>
      </c>
      <c r="BV155" s="24">
        <f>IF(BV148=1,IF('Lease Cycles'!$AJ$16=1,0,'Lease Cycles'!$D$16*INDEX('Lease Cycles'!$FH$16:$FN$16,1,BV146)*IF(INDEX('Lease Cycles'!$EF$16:$EL$16,1,BV146)=1,1,IF(OR(INDEX('Lease Cycles'!$DY$16:$EE$16,1,BV146)=1,BV147&gt;0),1,1-INDEX('Lease Cycles'!$DD$16:$DJ$16,1,BV146)))),0)</f>
        <v>0</v>
      </c>
      <c r="BW155" s="24">
        <f>IF(BW148=1,IF('Lease Cycles'!$AJ$16=1,0,'Lease Cycles'!$D$16*INDEX('Lease Cycles'!$FH$16:$FN$16,1,BW146)*IF(INDEX('Lease Cycles'!$EF$16:$EL$16,1,BW146)=1,1,IF(OR(INDEX('Lease Cycles'!$DY$16:$EE$16,1,BW146)=1,BW147&gt;0),1,1-INDEX('Lease Cycles'!$DD$16:$DJ$16,1,BW146)))),0)</f>
        <v>0</v>
      </c>
      <c r="BX155" s="24">
        <f>IF(BX148=1,IF('Lease Cycles'!$AJ$16=1,0,'Lease Cycles'!$D$16*INDEX('Lease Cycles'!$FH$16:$FN$16,1,BX146)*IF(INDEX('Lease Cycles'!$EF$16:$EL$16,1,BX146)=1,1,IF(OR(INDEX('Lease Cycles'!$DY$16:$EE$16,1,BX146)=1,BX147&gt;0),1,1-INDEX('Lease Cycles'!$DD$16:$DJ$16,1,BX146)))),0)</f>
        <v>0</v>
      </c>
      <c r="BY155" s="24">
        <f>IF(BY148=1,IF('Lease Cycles'!$AJ$16=1,0,'Lease Cycles'!$D$16*INDEX('Lease Cycles'!$FH$16:$FN$16,1,BY146)*IF(INDEX('Lease Cycles'!$EF$16:$EL$16,1,BY146)=1,1,IF(OR(INDEX('Lease Cycles'!$DY$16:$EE$16,1,BY146)=1,BY147&gt;0),1,1-INDEX('Lease Cycles'!$DD$16:$DJ$16,1,BY146)))),0)</f>
        <v>0</v>
      </c>
      <c r="BZ155" s="24">
        <f>IF(BZ148=1,IF('Lease Cycles'!$AJ$16=1,0,'Lease Cycles'!$D$16*INDEX('Lease Cycles'!$FH$16:$FN$16,1,BZ146)*IF(INDEX('Lease Cycles'!$EF$16:$EL$16,1,BZ146)=1,1,IF(OR(INDEX('Lease Cycles'!$DY$16:$EE$16,1,BZ146)=1,BZ147&gt;0),1,1-INDEX('Lease Cycles'!$DD$16:$DJ$16,1,BZ146)))),0)</f>
        <v>0</v>
      </c>
      <c r="CA155" s="24">
        <f>IF(CA148=1,IF('Lease Cycles'!$AJ$16=1,0,'Lease Cycles'!$D$16*INDEX('Lease Cycles'!$FH$16:$FN$16,1,CA146)*IF(INDEX('Lease Cycles'!$EF$16:$EL$16,1,CA146)=1,1,IF(OR(INDEX('Lease Cycles'!$DY$16:$EE$16,1,CA146)=1,CA147&gt;0),1,1-INDEX('Lease Cycles'!$DD$16:$DJ$16,1,CA146)))),0)</f>
        <v>0</v>
      </c>
      <c r="CB155" s="24">
        <f>IF(CB148=1,IF('Lease Cycles'!$AJ$16=1,0,'Lease Cycles'!$D$16*INDEX('Lease Cycles'!$FH$16:$FN$16,1,CB146)*IF(INDEX('Lease Cycles'!$EF$16:$EL$16,1,CB146)=1,1,IF(OR(INDEX('Lease Cycles'!$DY$16:$EE$16,1,CB146)=1,CB147&gt;0),1,1-INDEX('Lease Cycles'!$DD$16:$DJ$16,1,CB146)))),0)</f>
        <v>0</v>
      </c>
      <c r="CC155" s="24">
        <f>IF(CC148=1,IF('Lease Cycles'!$AJ$16=1,0,'Lease Cycles'!$D$16*INDEX('Lease Cycles'!$FH$16:$FN$16,1,CC146)*IF(INDEX('Lease Cycles'!$EF$16:$EL$16,1,CC146)=1,1,IF(OR(INDEX('Lease Cycles'!$DY$16:$EE$16,1,CC146)=1,CC147&gt;0),1,1-INDEX('Lease Cycles'!$DD$16:$DJ$16,1,CC146)))),0)</f>
        <v>0</v>
      </c>
      <c r="CD155" s="24">
        <f>IF(CD148=1,IF('Lease Cycles'!$AJ$16=1,0,'Lease Cycles'!$D$16*INDEX('Lease Cycles'!$FH$16:$FN$16,1,CD146)*IF(INDEX('Lease Cycles'!$EF$16:$EL$16,1,CD146)=1,1,IF(OR(INDEX('Lease Cycles'!$DY$16:$EE$16,1,CD146)=1,CD147&gt;0),1,1-INDEX('Lease Cycles'!$DD$16:$DJ$16,1,CD146)))),0)</f>
        <v>0</v>
      </c>
      <c r="CE155" s="24">
        <f>IF(CE148=1,IF('Lease Cycles'!$AJ$16=1,0,'Lease Cycles'!$D$16*INDEX('Lease Cycles'!$FH$16:$FN$16,1,CE146)*IF(INDEX('Lease Cycles'!$EF$16:$EL$16,1,CE146)=1,1,IF(OR(INDEX('Lease Cycles'!$DY$16:$EE$16,1,CE146)=1,CE147&gt;0),1,1-INDEX('Lease Cycles'!$DD$16:$DJ$16,1,CE146)))),0)</f>
        <v>0</v>
      </c>
      <c r="CF155" s="24">
        <f>IF(CF148=1,IF('Lease Cycles'!$AJ$16=1,0,'Lease Cycles'!$D$16*INDEX('Lease Cycles'!$FH$16:$FN$16,1,CF146)*IF(INDEX('Lease Cycles'!$EF$16:$EL$16,1,CF146)=1,1,IF(OR(INDEX('Lease Cycles'!$DY$16:$EE$16,1,CF146)=1,CF147&gt;0),1,1-INDEX('Lease Cycles'!$DD$16:$DJ$16,1,CF146)))),0)</f>
        <v>0</v>
      </c>
      <c r="CG155" s="24">
        <f>IF(CG148=1,IF('Lease Cycles'!$AJ$16=1,0,'Lease Cycles'!$D$16*INDEX('Lease Cycles'!$FH$16:$FN$16,1,CG146)*IF(INDEX('Lease Cycles'!$EF$16:$EL$16,1,CG146)=1,1,IF(OR(INDEX('Lease Cycles'!$DY$16:$EE$16,1,CG146)=1,CG147&gt;0),1,1-INDEX('Lease Cycles'!$DD$16:$DJ$16,1,CG146)))),0)</f>
        <v>0</v>
      </c>
      <c r="CH155" s="24">
        <f>IF(CH148=1,IF('Lease Cycles'!$AJ$16=1,0,'Lease Cycles'!$D$16*INDEX('Lease Cycles'!$FH$16:$FN$16,1,CH146)*IF(INDEX('Lease Cycles'!$EF$16:$EL$16,1,CH146)=1,1,IF(OR(INDEX('Lease Cycles'!$DY$16:$EE$16,1,CH146)=1,CH147&gt;0),1,1-INDEX('Lease Cycles'!$DD$16:$DJ$16,1,CH146)))),0)</f>
        <v>0</v>
      </c>
      <c r="CI155" s="24">
        <f>IF(CI148=1,IF('Lease Cycles'!$AJ$16=1,0,'Lease Cycles'!$D$16*INDEX('Lease Cycles'!$FH$16:$FN$16,1,CI146)*IF(INDEX('Lease Cycles'!$EF$16:$EL$16,1,CI146)=1,1,IF(OR(INDEX('Lease Cycles'!$DY$16:$EE$16,1,CI146)=1,CI147&gt;0),1,1-INDEX('Lease Cycles'!$DD$16:$DJ$16,1,CI146)))),0)</f>
        <v>0</v>
      </c>
      <c r="CJ155" s="24">
        <f>IF(CJ148=1,IF('Lease Cycles'!$AJ$16=1,0,'Lease Cycles'!$D$16*INDEX('Lease Cycles'!$FH$16:$FN$16,1,CJ146)*IF(INDEX('Lease Cycles'!$EF$16:$EL$16,1,CJ146)=1,1,IF(OR(INDEX('Lease Cycles'!$DY$16:$EE$16,1,CJ146)=1,CJ147&gt;0),1,1-INDEX('Lease Cycles'!$DD$16:$DJ$16,1,CJ146)))),0)</f>
        <v>0</v>
      </c>
      <c r="CK155" s="24">
        <f>IF(CK148=1,IF('Lease Cycles'!$AJ$16=1,0,'Lease Cycles'!$D$16*INDEX('Lease Cycles'!$FH$16:$FN$16,1,CK146)*IF(INDEX('Lease Cycles'!$EF$16:$EL$16,1,CK146)=1,1,IF(OR(INDEX('Lease Cycles'!$DY$16:$EE$16,1,CK146)=1,CK147&gt;0),1,1-INDEX('Lease Cycles'!$DD$16:$DJ$16,1,CK146)))),0)</f>
        <v>0</v>
      </c>
      <c r="CL155" s="24">
        <f>IF(CL148=1,IF('Lease Cycles'!$AJ$16=1,0,'Lease Cycles'!$D$16*INDEX('Lease Cycles'!$FH$16:$FN$16,1,CL146)*IF(INDEX('Lease Cycles'!$EF$16:$EL$16,1,CL146)=1,1,IF(OR(INDEX('Lease Cycles'!$DY$16:$EE$16,1,CL146)=1,CL147&gt;0),1,1-INDEX('Lease Cycles'!$DD$16:$DJ$16,1,CL146)))),0)</f>
        <v>0</v>
      </c>
      <c r="CM155" s="24">
        <f>IF(CM148=1,IF('Lease Cycles'!$AJ$16=1,0,'Lease Cycles'!$D$16*INDEX('Lease Cycles'!$FH$16:$FN$16,1,CM146)*IF(INDEX('Lease Cycles'!$EF$16:$EL$16,1,CM146)=1,1,IF(OR(INDEX('Lease Cycles'!$DY$16:$EE$16,1,CM146)=1,CM147&gt;0),1,1-INDEX('Lease Cycles'!$DD$16:$DJ$16,1,CM146)))),0)</f>
        <v>0</v>
      </c>
      <c r="CN155" s="24">
        <f>IF(CN148=1,IF('Lease Cycles'!$AJ$16=1,0,'Lease Cycles'!$D$16*INDEX('Lease Cycles'!$FH$16:$FN$16,1,CN146)*IF(INDEX('Lease Cycles'!$EF$16:$EL$16,1,CN146)=1,1,IF(OR(INDEX('Lease Cycles'!$DY$16:$EE$16,1,CN146)=1,CN147&gt;0),1,1-INDEX('Lease Cycles'!$DD$16:$DJ$16,1,CN146)))),0)</f>
        <v>0</v>
      </c>
      <c r="CO155" s="24">
        <f>IF(CO148=1,IF('Lease Cycles'!$AJ$16=1,0,'Lease Cycles'!$D$16*INDEX('Lease Cycles'!$FH$16:$FN$16,1,CO146)*IF(INDEX('Lease Cycles'!$EF$16:$EL$16,1,CO146)=1,1,IF(OR(INDEX('Lease Cycles'!$DY$16:$EE$16,1,CO146)=1,CO147&gt;0),1,1-INDEX('Lease Cycles'!$DD$16:$DJ$16,1,CO146)))),0)</f>
        <v>0</v>
      </c>
      <c r="CP155" s="24">
        <f>IF(CP148=1,IF('Lease Cycles'!$AJ$16=1,0,'Lease Cycles'!$D$16*INDEX('Lease Cycles'!$FH$16:$FN$16,1,CP146)*IF(INDEX('Lease Cycles'!$EF$16:$EL$16,1,CP146)=1,1,IF(OR(INDEX('Lease Cycles'!$DY$16:$EE$16,1,CP146)=1,CP147&gt;0),1,1-INDEX('Lease Cycles'!$DD$16:$DJ$16,1,CP146)))),0)</f>
        <v>0</v>
      </c>
      <c r="CQ155" s="24">
        <f>IF(CQ148=1,IF('Lease Cycles'!$AJ$16=1,0,'Lease Cycles'!$D$16*INDEX('Lease Cycles'!$FH$16:$FN$16,1,CQ146)*IF(INDEX('Lease Cycles'!$EF$16:$EL$16,1,CQ146)=1,1,IF(OR(INDEX('Lease Cycles'!$DY$16:$EE$16,1,CQ146)=1,CQ147&gt;0),1,1-INDEX('Lease Cycles'!$DD$16:$DJ$16,1,CQ146)))),0)</f>
        <v>0</v>
      </c>
      <c r="CR155" s="24">
        <f>IF(CR148=1,IF('Lease Cycles'!$AJ$16=1,0,'Lease Cycles'!$D$16*INDEX('Lease Cycles'!$FH$16:$FN$16,1,CR146)*IF(INDEX('Lease Cycles'!$EF$16:$EL$16,1,CR146)=1,1,IF(OR(INDEX('Lease Cycles'!$DY$16:$EE$16,1,CR146)=1,CR147&gt;0),1,1-INDEX('Lease Cycles'!$DD$16:$DJ$16,1,CR146)))),0)</f>
        <v>0</v>
      </c>
      <c r="CS155" s="24">
        <f>IF(CS148=1,IF('Lease Cycles'!$AJ$16=1,0,'Lease Cycles'!$D$16*INDEX('Lease Cycles'!$FH$16:$FN$16,1,CS146)*IF(INDEX('Lease Cycles'!$EF$16:$EL$16,1,CS146)=1,1,IF(OR(INDEX('Lease Cycles'!$DY$16:$EE$16,1,CS146)=1,CS147&gt;0),1,1-INDEX('Lease Cycles'!$DD$16:$DJ$16,1,CS146)))),0)</f>
        <v>0</v>
      </c>
      <c r="CT155" s="24">
        <f>IF(CT148=1,IF('Lease Cycles'!$AJ$16=1,0,'Lease Cycles'!$D$16*INDEX('Lease Cycles'!$FH$16:$FN$16,1,CT146)*IF(INDEX('Lease Cycles'!$EF$16:$EL$16,1,CT146)=1,1,IF(OR(INDEX('Lease Cycles'!$DY$16:$EE$16,1,CT146)=1,CT147&gt;0),1,1-INDEX('Lease Cycles'!$DD$16:$DJ$16,1,CT146)))),0)</f>
        <v>0</v>
      </c>
      <c r="CU155" s="24">
        <f>IF(CU148=1,IF('Lease Cycles'!$AJ$16=1,0,'Lease Cycles'!$D$16*INDEX('Lease Cycles'!$FH$16:$FN$16,1,CU146)*IF(INDEX('Lease Cycles'!$EF$16:$EL$16,1,CU146)=1,1,IF(OR(INDEX('Lease Cycles'!$DY$16:$EE$16,1,CU146)=1,CU147&gt;0),1,1-INDEX('Lease Cycles'!$DD$16:$DJ$16,1,CU146)))),0)</f>
        <v>0</v>
      </c>
      <c r="CV155" s="24">
        <f>IF(CV148=1,IF('Lease Cycles'!$AJ$16=1,0,'Lease Cycles'!$D$16*INDEX('Lease Cycles'!$FH$16:$FN$16,1,CV146)*IF(INDEX('Lease Cycles'!$EF$16:$EL$16,1,CV146)=1,1,IF(OR(INDEX('Lease Cycles'!$DY$16:$EE$16,1,CV146)=1,CV147&gt;0),1,1-INDEX('Lease Cycles'!$DD$16:$DJ$16,1,CV146)))),0)</f>
        <v>0</v>
      </c>
      <c r="CW155" s="24">
        <f>IF(CW148=1,IF('Lease Cycles'!$AJ$16=1,0,'Lease Cycles'!$D$16*INDEX('Lease Cycles'!$FH$16:$FN$16,1,CW146)*IF(INDEX('Lease Cycles'!$EF$16:$EL$16,1,CW146)=1,1,IF(OR(INDEX('Lease Cycles'!$DY$16:$EE$16,1,CW146)=1,CW147&gt;0),1,1-INDEX('Lease Cycles'!$DD$16:$DJ$16,1,CW146)))),0)</f>
        <v>0</v>
      </c>
      <c r="CX155" s="24">
        <f>IF(CX148=1,IF('Lease Cycles'!$AJ$16=1,0,'Lease Cycles'!$D$16*INDEX('Lease Cycles'!$FH$16:$FN$16,1,CX146)*IF(INDEX('Lease Cycles'!$EF$16:$EL$16,1,CX146)=1,1,IF(OR(INDEX('Lease Cycles'!$DY$16:$EE$16,1,CX146)=1,CX147&gt;0),1,1-INDEX('Lease Cycles'!$DD$16:$DJ$16,1,CX146)))),0)</f>
        <v>0</v>
      </c>
      <c r="CY155" s="24">
        <f>IF(CY148=1,IF('Lease Cycles'!$AJ$16=1,0,'Lease Cycles'!$D$16*INDEX('Lease Cycles'!$FH$16:$FN$16,1,CY146)*IF(INDEX('Lease Cycles'!$EF$16:$EL$16,1,CY146)=1,1,IF(OR(INDEX('Lease Cycles'!$DY$16:$EE$16,1,CY146)=1,CY147&gt;0),1,1-INDEX('Lease Cycles'!$DD$16:$DJ$16,1,CY146)))),0)</f>
        <v>0</v>
      </c>
      <c r="CZ155" s="24">
        <f>IF(CZ148=1,IF('Lease Cycles'!$AJ$16=1,0,'Lease Cycles'!$D$16*INDEX('Lease Cycles'!$FH$16:$FN$16,1,CZ146)*IF(INDEX('Lease Cycles'!$EF$16:$EL$16,1,CZ146)=1,1,IF(OR(INDEX('Lease Cycles'!$DY$16:$EE$16,1,CZ146)=1,CZ147&gt;0),1,1-INDEX('Lease Cycles'!$DD$16:$DJ$16,1,CZ146)))),0)</f>
        <v>0</v>
      </c>
      <c r="DA155" s="24">
        <f>IF(DA148=1,IF('Lease Cycles'!$AJ$16=1,0,'Lease Cycles'!$D$16*INDEX('Lease Cycles'!$FH$16:$FN$16,1,DA146)*IF(INDEX('Lease Cycles'!$EF$16:$EL$16,1,DA146)=1,1,IF(OR(INDEX('Lease Cycles'!$DY$16:$EE$16,1,DA146)=1,DA147&gt;0),1,1-INDEX('Lease Cycles'!$DD$16:$DJ$16,1,DA146)))),0)</f>
        <v>0</v>
      </c>
      <c r="DB155" s="24">
        <f>IF(DB148=1,IF('Lease Cycles'!$AJ$16=1,0,'Lease Cycles'!$D$16*INDEX('Lease Cycles'!$FH$16:$FN$16,1,DB146)*IF(INDEX('Lease Cycles'!$EF$16:$EL$16,1,DB146)=1,1,IF(OR(INDEX('Lease Cycles'!$DY$16:$EE$16,1,DB146)=1,DB147&gt;0),1,1-INDEX('Lease Cycles'!$DD$16:$DJ$16,1,DB146)))),0)</f>
        <v>0</v>
      </c>
      <c r="DC155" s="24">
        <f>IF(DC148=1,IF('Lease Cycles'!$AJ$16=1,0,'Lease Cycles'!$D$16*INDEX('Lease Cycles'!$FH$16:$FN$16,1,DC146)*IF(INDEX('Lease Cycles'!$EF$16:$EL$16,1,DC146)=1,1,IF(OR(INDEX('Lease Cycles'!$DY$16:$EE$16,1,DC146)=1,DC147&gt;0),1,1-INDEX('Lease Cycles'!$DD$16:$DJ$16,1,DC146)))),0)</f>
        <v>0</v>
      </c>
      <c r="DD155" s="24">
        <f>IF(DD148=1,IF('Lease Cycles'!$AJ$16=1,0,'Lease Cycles'!$D$16*INDEX('Lease Cycles'!$FH$16:$FN$16,1,DD146)*IF(INDEX('Lease Cycles'!$EF$16:$EL$16,1,DD146)=1,1,IF(OR(INDEX('Lease Cycles'!$DY$16:$EE$16,1,DD146)=1,DD147&gt;0),1,1-INDEX('Lease Cycles'!$DD$16:$DJ$16,1,DD146)))),0)</f>
        <v>0</v>
      </c>
      <c r="DE155" s="24">
        <f>IF(DE148=1,IF('Lease Cycles'!$AJ$16=1,0,'Lease Cycles'!$D$16*INDEX('Lease Cycles'!$FH$16:$FN$16,1,DE146)*IF(INDEX('Lease Cycles'!$EF$16:$EL$16,1,DE146)=1,1,IF(OR(INDEX('Lease Cycles'!$DY$16:$EE$16,1,DE146)=1,DE147&gt;0),1,1-INDEX('Lease Cycles'!$DD$16:$DJ$16,1,DE146)))),0)</f>
        <v>0</v>
      </c>
      <c r="DF155" s="24">
        <f>IF(DF148=1,IF('Lease Cycles'!$AJ$16=1,0,'Lease Cycles'!$D$16*INDEX('Lease Cycles'!$FH$16:$FN$16,1,DF146)*IF(INDEX('Lease Cycles'!$EF$16:$EL$16,1,DF146)=1,1,IF(OR(INDEX('Lease Cycles'!$DY$16:$EE$16,1,DF146)=1,DF147&gt;0),1,1-INDEX('Lease Cycles'!$DD$16:$DJ$16,1,DF146)))),0)</f>
        <v>0</v>
      </c>
      <c r="DG155" s="24">
        <f>IF(DG148=1,IF('Lease Cycles'!$AJ$16=1,0,'Lease Cycles'!$D$16*INDEX('Lease Cycles'!$FH$16:$FN$16,1,DG146)*IF(INDEX('Lease Cycles'!$EF$16:$EL$16,1,DG146)=1,1,IF(OR(INDEX('Lease Cycles'!$DY$16:$EE$16,1,DG146)=1,DG147&gt;0),1,1-INDEX('Lease Cycles'!$DD$16:$DJ$16,1,DG146)))),0)</f>
        <v>0</v>
      </c>
      <c r="DH155" s="24">
        <f>IF(DH148=1,IF('Lease Cycles'!$AJ$16=1,0,'Lease Cycles'!$D$16*INDEX('Lease Cycles'!$FH$16:$FN$16,1,DH146)*IF(INDEX('Lease Cycles'!$EF$16:$EL$16,1,DH146)=1,1,IF(OR(INDEX('Lease Cycles'!$DY$16:$EE$16,1,DH146)=1,DH147&gt;0),1,1-INDEX('Lease Cycles'!$DD$16:$DJ$16,1,DH146)))),0)</f>
        <v>0</v>
      </c>
      <c r="DI155" s="24">
        <f>IF(DI148=1,IF('Lease Cycles'!$AJ$16=1,0,'Lease Cycles'!$D$16*INDEX('Lease Cycles'!$FH$16:$FN$16,1,DI146)*IF(INDEX('Lease Cycles'!$EF$16:$EL$16,1,DI146)=1,1,IF(OR(INDEX('Lease Cycles'!$DY$16:$EE$16,1,DI146)=1,DI147&gt;0),1,1-INDEX('Lease Cycles'!$DD$16:$DJ$16,1,DI146)))),0)</f>
        <v>0</v>
      </c>
      <c r="DJ155" s="24">
        <f>IF(DJ148=1,IF('Lease Cycles'!$AJ$16=1,0,'Lease Cycles'!$D$16*INDEX('Lease Cycles'!$FH$16:$FN$16,1,DJ146)*IF(INDEX('Lease Cycles'!$EF$16:$EL$16,1,DJ146)=1,1,IF(OR(INDEX('Lease Cycles'!$DY$16:$EE$16,1,DJ146)=1,DJ147&gt;0),1,1-INDEX('Lease Cycles'!$DD$16:$DJ$16,1,DJ146)))),0)</f>
        <v>0</v>
      </c>
      <c r="DK155" s="24">
        <f>IF(DK148=1,IF('Lease Cycles'!$AJ$16=1,0,'Lease Cycles'!$D$16*INDEX('Lease Cycles'!$FH$16:$FN$16,1,DK146)*IF(INDEX('Lease Cycles'!$EF$16:$EL$16,1,DK146)=1,1,IF(OR(INDEX('Lease Cycles'!$DY$16:$EE$16,1,DK146)=1,DK147&gt;0),1,1-INDEX('Lease Cycles'!$DD$16:$DJ$16,1,DK146)))),0)</f>
        <v>0</v>
      </c>
      <c r="DL155" s="24">
        <f>IF(DL148=1,IF('Lease Cycles'!$AJ$16=1,0,'Lease Cycles'!$D$16*INDEX('Lease Cycles'!$FH$16:$FN$16,1,DL146)*IF(INDEX('Lease Cycles'!$EF$16:$EL$16,1,DL146)=1,1,IF(OR(INDEX('Lease Cycles'!$DY$16:$EE$16,1,DL146)=1,DL147&gt;0),1,1-INDEX('Lease Cycles'!$DD$16:$DJ$16,1,DL146)))),0)</f>
        <v>0</v>
      </c>
      <c r="DM155" s="24">
        <f>IF(DM148=1,IF('Lease Cycles'!$AJ$16=1,0,'Lease Cycles'!$D$16*INDEX('Lease Cycles'!$FH$16:$FN$16,1,DM146)*IF(INDEX('Lease Cycles'!$EF$16:$EL$16,1,DM146)=1,1,IF(OR(INDEX('Lease Cycles'!$DY$16:$EE$16,1,DM146)=1,DM147&gt;0),1,1-INDEX('Lease Cycles'!$DD$16:$DJ$16,1,DM146)))),0)</f>
        <v>0</v>
      </c>
      <c r="DN155" s="24">
        <f>IF(DN148=1,IF('Lease Cycles'!$AJ$16=1,0,'Lease Cycles'!$D$16*INDEX('Lease Cycles'!$FH$16:$FN$16,1,DN146)*IF(INDEX('Lease Cycles'!$EF$16:$EL$16,1,DN146)=1,1,IF(OR(INDEX('Lease Cycles'!$DY$16:$EE$16,1,DN146)=1,DN147&gt;0),1,1-INDEX('Lease Cycles'!$DD$16:$DJ$16,1,DN146)))),0)</f>
        <v>0</v>
      </c>
      <c r="DO155" s="24">
        <f>IF(DO148=1,IF('Lease Cycles'!$AJ$16=1,0,'Lease Cycles'!$D$16*INDEX('Lease Cycles'!$FH$16:$FN$16,1,DO146)*IF(INDEX('Lease Cycles'!$EF$16:$EL$16,1,DO146)=1,1,IF(OR(INDEX('Lease Cycles'!$DY$16:$EE$16,1,DO146)=1,DO147&gt;0),1,1-INDEX('Lease Cycles'!$DD$16:$DJ$16,1,DO146)))),0)</f>
        <v>0</v>
      </c>
      <c r="DP155" s="24">
        <f>IF(DP148=1,IF('Lease Cycles'!$AJ$16=1,0,'Lease Cycles'!$D$16*INDEX('Lease Cycles'!$FH$16:$FN$16,1,DP146)*IF(INDEX('Lease Cycles'!$EF$16:$EL$16,1,DP146)=1,1,IF(OR(INDEX('Lease Cycles'!$DY$16:$EE$16,1,DP146)=1,DP147&gt;0),1,1-INDEX('Lease Cycles'!$DD$16:$DJ$16,1,DP146)))),0)</f>
        <v>0</v>
      </c>
      <c r="DQ155" s="24">
        <f>IF(DQ148=1,IF('Lease Cycles'!$AJ$16=1,0,'Lease Cycles'!$D$16*INDEX('Lease Cycles'!$FH$16:$FN$16,1,DQ146)*IF(INDEX('Lease Cycles'!$EF$16:$EL$16,1,DQ146)=1,1,IF(OR(INDEX('Lease Cycles'!$DY$16:$EE$16,1,DQ146)=1,DQ147&gt;0),1,1-INDEX('Lease Cycles'!$DD$16:$DJ$16,1,DQ146)))),0)</f>
        <v>0</v>
      </c>
      <c r="DR155" s="24">
        <f>IF(DR148=1,IF('Lease Cycles'!$AJ$16=1,0,'Lease Cycles'!$D$16*INDEX('Lease Cycles'!$FH$16:$FN$16,1,DR146)*IF(INDEX('Lease Cycles'!$EF$16:$EL$16,1,DR146)=1,1,IF(OR(INDEX('Lease Cycles'!$DY$16:$EE$16,1,DR146)=1,DR147&gt;0),1,1-INDEX('Lease Cycles'!$DD$16:$DJ$16,1,DR146)))),0)</f>
        <v>0</v>
      </c>
      <c r="DS155" s="24">
        <f>IF(DS148=1,IF('Lease Cycles'!$AJ$16=1,0,'Lease Cycles'!$D$16*INDEX('Lease Cycles'!$FH$16:$FN$16,1,DS146)*IF(INDEX('Lease Cycles'!$EF$16:$EL$16,1,DS146)=1,1,IF(OR(INDEX('Lease Cycles'!$DY$16:$EE$16,1,DS146)=1,DS147&gt;0),1,1-INDEX('Lease Cycles'!$DD$16:$DJ$16,1,DS146)))),0)</f>
        <v>0</v>
      </c>
      <c r="DT155" s="24">
        <f>IF(DT148=1,IF('Lease Cycles'!$AJ$16=1,0,'Lease Cycles'!$D$16*INDEX('Lease Cycles'!$FH$16:$FN$16,1,DT146)*IF(INDEX('Lease Cycles'!$EF$16:$EL$16,1,DT146)=1,1,IF(OR(INDEX('Lease Cycles'!$DY$16:$EE$16,1,DT146)=1,DT147&gt;0),1,1-INDEX('Lease Cycles'!$DD$16:$DJ$16,1,DT146)))),0)</f>
        <v>0</v>
      </c>
      <c r="DU155" s="24">
        <f>IF(DU148=1,IF('Lease Cycles'!$AJ$16=1,0,'Lease Cycles'!$D$16*INDEX('Lease Cycles'!$FH$16:$FN$16,1,DU146)*IF(INDEX('Lease Cycles'!$EF$16:$EL$16,1,DU146)=1,1,IF(OR(INDEX('Lease Cycles'!$DY$16:$EE$16,1,DU146)=1,DU147&gt;0),1,1-INDEX('Lease Cycles'!$DD$16:$DJ$16,1,DU146)))),0)</f>
        <v>0</v>
      </c>
      <c r="DV155" s="24">
        <f>IF(DV148=1,IF('Lease Cycles'!$AJ$16=1,0,'Lease Cycles'!$D$16*INDEX('Lease Cycles'!$FH$16:$FN$16,1,DV146)*IF(INDEX('Lease Cycles'!$EF$16:$EL$16,1,DV146)=1,1,IF(OR(INDEX('Lease Cycles'!$DY$16:$EE$16,1,DV146)=1,DV147&gt;0),1,1-INDEX('Lease Cycles'!$DD$16:$DJ$16,1,DV146)))),0)</f>
        <v>0</v>
      </c>
      <c r="DW155" s="24">
        <f>IF(DW148=1,IF('Lease Cycles'!$AJ$16=1,0,'Lease Cycles'!$D$16*INDEX('Lease Cycles'!$FH$16:$FN$16,1,DW146)*IF(INDEX('Lease Cycles'!$EF$16:$EL$16,1,DW146)=1,1,IF(OR(INDEX('Lease Cycles'!$DY$16:$EE$16,1,DW146)=1,DW147&gt;0),1,1-INDEX('Lease Cycles'!$DD$16:$DJ$16,1,DW146)))),0)</f>
        <v>0</v>
      </c>
      <c r="DX155" s="24">
        <f>IF(DX148=1,IF('Lease Cycles'!$AJ$16=1,0,'Lease Cycles'!$D$16*INDEX('Lease Cycles'!$FH$16:$FN$16,1,DX146)*IF(INDEX('Lease Cycles'!$EF$16:$EL$16,1,DX146)=1,1,IF(OR(INDEX('Lease Cycles'!$DY$16:$EE$16,1,DX146)=1,DX147&gt;0),1,1-INDEX('Lease Cycles'!$DD$16:$DJ$16,1,DX146)))),0)</f>
        <v>0</v>
      </c>
      <c r="DY155" s="24">
        <f>IF(DY148=1,IF('Lease Cycles'!$AJ$16=1,0,'Lease Cycles'!$D$16*INDEX('Lease Cycles'!$FH$16:$FN$16,1,DY146)*IF(INDEX('Lease Cycles'!$EF$16:$EL$16,1,DY146)=1,1,IF(OR(INDEX('Lease Cycles'!$DY$16:$EE$16,1,DY146)=1,DY147&gt;0),1,1-INDEX('Lease Cycles'!$DD$16:$DJ$16,1,DY146)))),0)</f>
        <v>0</v>
      </c>
      <c r="DZ155" s="24">
        <f>IF(DZ148=1,IF('Lease Cycles'!$AJ$16=1,0,'Lease Cycles'!$D$16*INDEX('Lease Cycles'!$FH$16:$FN$16,1,DZ146)*IF(INDEX('Lease Cycles'!$EF$16:$EL$16,1,DZ146)=1,1,IF(OR(INDEX('Lease Cycles'!$DY$16:$EE$16,1,DZ146)=1,DZ147&gt;0),1,1-INDEX('Lease Cycles'!$DD$16:$DJ$16,1,DZ146)))),0)</f>
        <v>0</v>
      </c>
      <c r="EA155" s="24">
        <f>IF(EA148=1,IF('Lease Cycles'!$AJ$16=1,0,'Lease Cycles'!$D$16*INDEX('Lease Cycles'!$FH$16:$FN$16,1,EA146)*IF(INDEX('Lease Cycles'!$EF$16:$EL$16,1,EA146)=1,1,IF(OR(INDEX('Lease Cycles'!$DY$16:$EE$16,1,EA146)=1,EA147&gt;0),1,1-INDEX('Lease Cycles'!$DD$16:$DJ$16,1,EA146)))),0)</f>
        <v>0</v>
      </c>
      <c r="EB155" s="24">
        <f>IF(EB148=1,IF('Lease Cycles'!$AJ$16=1,0,'Lease Cycles'!$D$16*INDEX('Lease Cycles'!$FH$16:$FN$16,1,EB146)*IF(INDEX('Lease Cycles'!$EF$16:$EL$16,1,EB146)=1,1,IF(OR(INDEX('Lease Cycles'!$DY$16:$EE$16,1,EB146)=1,EB147&gt;0),1,1-INDEX('Lease Cycles'!$DD$16:$DJ$16,1,EB146)))),0)</f>
        <v>0</v>
      </c>
      <c r="EC155" s="24">
        <f>IF(EC148=1,IF('Lease Cycles'!$AJ$16=1,0,'Lease Cycles'!$D$16*INDEX('Lease Cycles'!$FH$16:$FN$16,1,EC146)*IF(INDEX('Lease Cycles'!$EF$16:$EL$16,1,EC146)=1,1,IF(OR(INDEX('Lease Cycles'!$DY$16:$EE$16,1,EC146)=1,EC147&gt;0),1,1-INDEX('Lease Cycles'!$DD$16:$DJ$16,1,EC146)))),0)</f>
        <v>0</v>
      </c>
      <c r="ED155" s="24">
        <f>IF(ED148=1,IF('Lease Cycles'!$AJ$16=1,0,'Lease Cycles'!$D$16*INDEX('Lease Cycles'!$FH$16:$FN$16,1,ED146)*IF(INDEX('Lease Cycles'!$EF$16:$EL$16,1,ED146)=1,1,IF(OR(INDEX('Lease Cycles'!$DY$16:$EE$16,1,ED146)=1,ED147&gt;0),1,1-INDEX('Lease Cycles'!$DD$16:$DJ$16,1,ED146)))),0)</f>
        <v>0</v>
      </c>
      <c r="EE155" s="24">
        <f>IF(EE148=1,IF('Lease Cycles'!$AJ$16=1,0,'Lease Cycles'!$D$16*INDEX('Lease Cycles'!$FH$16:$FN$16,1,EE146)*IF(INDEX('Lease Cycles'!$EF$16:$EL$16,1,EE146)=1,1,IF(OR(INDEX('Lease Cycles'!$DY$16:$EE$16,1,EE146)=1,EE147&gt;0),1,1-INDEX('Lease Cycles'!$DD$16:$DJ$16,1,EE146)))),0)</f>
        <v>0</v>
      </c>
      <c r="EF155" s="24">
        <f>IF(EF148=1,IF('Lease Cycles'!$AJ$16=1,0,'Lease Cycles'!$D$16*INDEX('Lease Cycles'!$FH$16:$FN$16,1,EF146)*IF(INDEX('Lease Cycles'!$EF$16:$EL$16,1,EF146)=1,1,IF(OR(INDEX('Lease Cycles'!$DY$16:$EE$16,1,EF146)=1,EF147&gt;0),1,1-INDEX('Lease Cycles'!$DD$16:$DJ$16,1,EF146)))),0)</f>
        <v>0</v>
      </c>
      <c r="EG155" s="24">
        <f>IF(EG148=1,IF('Lease Cycles'!$AJ$16=1,0,'Lease Cycles'!$D$16*INDEX('Lease Cycles'!$FH$16:$FN$16,1,EG146)*IF(INDEX('Lease Cycles'!$EF$16:$EL$16,1,EG146)=1,1,IF(OR(INDEX('Lease Cycles'!$DY$16:$EE$16,1,EG146)=1,EG147&gt;0),1,1-INDEX('Lease Cycles'!$DD$16:$DJ$16,1,EG146)))),0)</f>
        <v>0</v>
      </c>
      <c r="EH155" s="24">
        <f>IF(EH148=1,IF('Lease Cycles'!$AJ$16=1,0,'Lease Cycles'!$D$16*INDEX('Lease Cycles'!$FH$16:$FN$16,1,EH146)*IF(INDEX('Lease Cycles'!$EF$16:$EL$16,1,EH146)=1,1,IF(OR(INDEX('Lease Cycles'!$DY$16:$EE$16,1,EH146)=1,EH147&gt;0),1,1-INDEX('Lease Cycles'!$DD$16:$DJ$16,1,EH146)))),0)</f>
        <v>0</v>
      </c>
      <c r="EI155" s="24">
        <f>IF(EI148=1,IF('Lease Cycles'!$AJ$16=1,0,'Lease Cycles'!$D$16*INDEX('Lease Cycles'!$FH$16:$FN$16,1,EI146)*IF(INDEX('Lease Cycles'!$EF$16:$EL$16,1,EI146)=1,1,IF(OR(INDEX('Lease Cycles'!$DY$16:$EE$16,1,EI146)=1,EI147&gt;0),1,1-INDEX('Lease Cycles'!$DD$16:$DJ$16,1,EI146)))),0)</f>
        <v>0</v>
      </c>
      <c r="EJ155" s="24">
        <f>IF(EJ148=1,IF('Lease Cycles'!$AJ$16=1,0,'Lease Cycles'!$D$16*INDEX('Lease Cycles'!$FH$16:$FN$16,1,EJ146)*IF(INDEX('Lease Cycles'!$EF$16:$EL$16,1,EJ146)=1,1,IF(OR(INDEX('Lease Cycles'!$DY$16:$EE$16,1,EJ146)=1,EJ147&gt;0),1,1-INDEX('Lease Cycles'!$DD$16:$DJ$16,1,EJ146)))),0)</f>
        <v>0</v>
      </c>
      <c r="EK155" s="24">
        <f>IF(EK148=1,IF('Lease Cycles'!$AJ$16=1,0,'Lease Cycles'!$D$16*INDEX('Lease Cycles'!$FH$16:$FN$16,1,EK146)*IF(INDEX('Lease Cycles'!$EF$16:$EL$16,1,EK146)=1,1,IF(OR(INDEX('Lease Cycles'!$DY$16:$EE$16,1,EK146)=1,EK147&gt;0),1,1-INDEX('Lease Cycles'!$DD$16:$DJ$16,1,EK146)))),0)</f>
        <v>0</v>
      </c>
      <c r="EL155" s="24">
        <f>IF(EL148=1,IF('Lease Cycles'!$AJ$16=1,0,'Lease Cycles'!$D$16*INDEX('Lease Cycles'!$FH$16:$FN$16,1,EL146)*IF(INDEX('Lease Cycles'!$EF$16:$EL$16,1,EL146)=1,1,IF(OR(INDEX('Lease Cycles'!$DY$16:$EE$16,1,EL146)=1,EL147&gt;0),1,1-INDEX('Lease Cycles'!$DD$16:$DJ$16,1,EL146)))),0)</f>
        <v>0</v>
      </c>
      <c r="EM155" s="24">
        <f>IF(EM148=1,IF('Lease Cycles'!$AJ$16=1,0,'Lease Cycles'!$D$16*INDEX('Lease Cycles'!$FH$16:$FN$16,1,EM146)*IF(INDEX('Lease Cycles'!$EF$16:$EL$16,1,EM146)=1,1,IF(OR(INDEX('Lease Cycles'!$DY$16:$EE$16,1,EM146)=1,EM147&gt;0),1,1-INDEX('Lease Cycles'!$DD$16:$DJ$16,1,EM146)))),0)</f>
        <v>0</v>
      </c>
      <c r="EN155" s="24">
        <f>IF(EN148=1,IF('Lease Cycles'!$AJ$16=1,0,'Lease Cycles'!$D$16*INDEX('Lease Cycles'!$FH$16:$FN$16,1,EN146)*IF(INDEX('Lease Cycles'!$EF$16:$EL$16,1,EN146)=1,1,IF(OR(INDEX('Lease Cycles'!$DY$16:$EE$16,1,EN146)=1,EN147&gt;0),1,1-INDEX('Lease Cycles'!$DD$16:$DJ$16,1,EN146)))),0)</f>
        <v>0</v>
      </c>
      <c r="EO155" s="24">
        <f>IF(EO148=1,IF('Lease Cycles'!$AJ$16=1,0,'Lease Cycles'!$D$16*INDEX('Lease Cycles'!$FH$16:$FN$16,1,EO146)*IF(INDEX('Lease Cycles'!$EF$16:$EL$16,1,EO146)=1,1,IF(OR(INDEX('Lease Cycles'!$DY$16:$EE$16,1,EO146)=1,EO147&gt;0),1,1-INDEX('Lease Cycles'!$DD$16:$DJ$16,1,EO146)))),0)</f>
        <v>0</v>
      </c>
      <c r="EP155" s="24">
        <f>IF(EP148=1,IF('Lease Cycles'!$AJ$16=1,0,'Lease Cycles'!$D$16*INDEX('Lease Cycles'!$FH$16:$FN$16,1,EP146)*IF(INDEX('Lease Cycles'!$EF$16:$EL$16,1,EP146)=1,1,IF(OR(INDEX('Lease Cycles'!$DY$16:$EE$16,1,EP146)=1,EP147&gt;0),1,1-INDEX('Lease Cycles'!$DD$16:$DJ$16,1,EP146)))),0)</f>
        <v>0</v>
      </c>
      <c r="EQ155" s="24">
        <f>IF(EQ148=1,IF('Lease Cycles'!$AJ$16=1,0,'Lease Cycles'!$D$16*INDEX('Lease Cycles'!$FH$16:$FN$16,1,EQ146)*IF(INDEX('Lease Cycles'!$EF$16:$EL$16,1,EQ146)=1,1,IF(OR(INDEX('Lease Cycles'!$DY$16:$EE$16,1,EQ146)=1,EQ147&gt;0),1,1-INDEX('Lease Cycles'!$DD$16:$DJ$16,1,EQ146)))),0)</f>
        <v>0</v>
      </c>
      <c r="ER155" s="24">
        <f>IF(ER148=1,IF('Lease Cycles'!$AJ$16=1,0,'Lease Cycles'!$D$16*INDEX('Lease Cycles'!$FH$16:$FN$16,1,ER146)*IF(INDEX('Lease Cycles'!$EF$16:$EL$16,1,ER146)=1,1,IF(OR(INDEX('Lease Cycles'!$DY$16:$EE$16,1,ER146)=1,ER147&gt;0),1,1-INDEX('Lease Cycles'!$DD$16:$DJ$16,1,ER146)))),0)</f>
        <v>0</v>
      </c>
      <c r="ES155" s="24">
        <f>IF(ES148=1,IF('Lease Cycles'!$AJ$16=1,0,'Lease Cycles'!$D$16*INDEX('Lease Cycles'!$FH$16:$FN$16,1,ES146)*IF(INDEX('Lease Cycles'!$EF$16:$EL$16,1,ES146)=1,1,IF(OR(INDEX('Lease Cycles'!$DY$16:$EE$16,1,ES146)=1,ES147&gt;0),1,1-INDEX('Lease Cycles'!$DD$16:$DJ$16,1,ES146)))),0)</f>
        <v>0</v>
      </c>
      <c r="ET155" s="24">
        <f>IF(ET148=1,IF('Lease Cycles'!$AJ$16=1,0,'Lease Cycles'!$D$16*INDEX('Lease Cycles'!$FH$16:$FN$16,1,ET146)*IF(INDEX('Lease Cycles'!$EF$16:$EL$16,1,ET146)=1,1,IF(OR(INDEX('Lease Cycles'!$DY$16:$EE$16,1,ET146)=1,ET147&gt;0),1,1-INDEX('Lease Cycles'!$DD$16:$DJ$16,1,ET146)))),0)</f>
        <v>0</v>
      </c>
    </row>
    <row r="156">
      <c r="A156" s="103">
        <v>9</v>
      </c>
      <c r="B156" s="23" t="str">
        <f>IF('Lease Cycles'!$B$16="","(empty slot)",'Lease Cycles'!$B$16)</f>
        <v>Sunfield Office Suite</v>
      </c>
      <c r="C156" s="23" t="s">
        <v>687</v>
      </c>
      <c r="D156" s="104" t="s">
        <v>688</v>
      </c>
      <c r="E156" s="25">
        <f>'Lease Cycles'!$AL$16</f>
        <v>0</v>
      </c>
      <c r="G156" s="24">
        <f>SUM(S156:AD156)</f>
        <v>0.44221105527638194</v>
      </c>
      <c r="H156" s="24">
        <f>SUM(AE156:AP156)</f>
        <v>0.44221105527638194</v>
      </c>
      <c r="I156" s="24">
        <f>SUM(AQ156:BB156)</f>
        <v>0.44221105527638194</v>
      </c>
      <c r="J156" s="24">
        <f>SUM(BC156:BN156)</f>
        <v>0.44221105527638194</v>
      </c>
      <c r="K156" s="24">
        <f>SUM(BO156:BZ156)</f>
        <v>0.3847236180904522</v>
      </c>
      <c r="L156" s="24">
        <f>SUM(CA156:CL156)</f>
        <v>0.35376884422110555</v>
      </c>
      <c r="M156" s="24">
        <f>SUM(CM156:CX156)</f>
        <v>0.35376884422110555</v>
      </c>
      <c r="N156" s="24">
        <f>SUM(CY156:DJ156)</f>
        <v>0.35376884422110555</v>
      </c>
      <c r="O156" s="24">
        <f>SUM(DK156:DV156)</f>
        <v>0.35376884422110555</v>
      </c>
      <c r="P156" s="24">
        <f>SUM(DW156:EH156)</f>
        <v>0.35376884422110555</v>
      </c>
      <c r="Q156" s="24">
        <f>SUM(EI156:ET156)</f>
        <v>0.35376884422110555</v>
      </c>
      <c r="S156" s="24">
        <f>IF(S148=1,'Lease Cycles'!$D$16*IF(INDEX('Lease Cycles'!$EF$16:$EL$16,1,S146)=1,'Lease Cycles'!$AJ$16*INDEX('Lease Cycles'!$FO$16:$FU$16,1,S146)*INDEX('Lease Cycles'!$EM$16:$ES$16,1,S146)+'Lease Cycles'!$BE$16*IF(S147&lt;INDEX('Lease Cycles'!$FA$16:$FG$16,1,S146),0,1-INDEX('Lease Cycles'!$EM$16:$ES$16,1,S146)),IF(OR(INDEX('Lease Cycles'!$DY$16:$EE$16,1,S146)=1,S147&gt;0),1,1-INDEX('Lease Cycles'!$DD$16:$DJ$16,1,S146))*('Lease Cycles'!$AJ$16*INDEX('Lease Cycles'!$FO$16:$FU$16,1,S146)+'Lease Cycles'!$BE$16*(1-INDEX('Lease Cycles'!$FO$16:$FU$16,1,S146)))),0)</f>
        <v>0.03685092127303183</v>
      </c>
      <c r="T156" s="24">
        <f>IF(T148=1,'Lease Cycles'!$D$16*IF(INDEX('Lease Cycles'!$EF$16:$EL$16,1,T146)=1,'Lease Cycles'!$AJ$16*INDEX('Lease Cycles'!$FO$16:$FU$16,1,T146)*INDEX('Lease Cycles'!$EM$16:$ES$16,1,T146)+'Lease Cycles'!$BE$16*IF(T147&lt;INDEX('Lease Cycles'!$FA$16:$FG$16,1,T146),0,1-INDEX('Lease Cycles'!$EM$16:$ES$16,1,T146)),IF(OR(INDEX('Lease Cycles'!$DY$16:$EE$16,1,T146)=1,T147&gt;0),1,1-INDEX('Lease Cycles'!$DD$16:$DJ$16,1,T146))*('Lease Cycles'!$AJ$16*INDEX('Lease Cycles'!$FO$16:$FU$16,1,T146)+'Lease Cycles'!$BE$16*(1-INDEX('Lease Cycles'!$FO$16:$FU$16,1,T146)))),0)</f>
        <v>0.03685092127303183</v>
      </c>
      <c r="U156" s="24">
        <f>IF(U148=1,'Lease Cycles'!$D$16*IF(INDEX('Lease Cycles'!$EF$16:$EL$16,1,U146)=1,'Lease Cycles'!$AJ$16*INDEX('Lease Cycles'!$FO$16:$FU$16,1,U146)*INDEX('Lease Cycles'!$EM$16:$ES$16,1,U146)+'Lease Cycles'!$BE$16*IF(U147&lt;INDEX('Lease Cycles'!$FA$16:$FG$16,1,U146),0,1-INDEX('Lease Cycles'!$EM$16:$ES$16,1,U146)),IF(OR(INDEX('Lease Cycles'!$DY$16:$EE$16,1,U146)=1,U147&gt;0),1,1-INDEX('Lease Cycles'!$DD$16:$DJ$16,1,U146))*('Lease Cycles'!$AJ$16*INDEX('Lease Cycles'!$FO$16:$FU$16,1,U146)+'Lease Cycles'!$BE$16*(1-INDEX('Lease Cycles'!$FO$16:$FU$16,1,U146)))),0)</f>
        <v>0.03685092127303183</v>
      </c>
      <c r="V156" s="24">
        <f>IF(V148=1,'Lease Cycles'!$D$16*IF(INDEX('Lease Cycles'!$EF$16:$EL$16,1,V146)=1,'Lease Cycles'!$AJ$16*INDEX('Lease Cycles'!$FO$16:$FU$16,1,V146)*INDEX('Lease Cycles'!$EM$16:$ES$16,1,V146)+'Lease Cycles'!$BE$16*IF(V147&lt;INDEX('Lease Cycles'!$FA$16:$FG$16,1,V146),0,1-INDEX('Lease Cycles'!$EM$16:$ES$16,1,V146)),IF(OR(INDEX('Lease Cycles'!$DY$16:$EE$16,1,V146)=1,V147&gt;0),1,1-INDEX('Lease Cycles'!$DD$16:$DJ$16,1,V146))*('Lease Cycles'!$AJ$16*INDEX('Lease Cycles'!$FO$16:$FU$16,1,V146)+'Lease Cycles'!$BE$16*(1-INDEX('Lease Cycles'!$FO$16:$FU$16,1,V146)))),0)</f>
        <v>0.03685092127303183</v>
      </c>
      <c r="W156" s="24">
        <f>IF(W148=1,'Lease Cycles'!$D$16*IF(INDEX('Lease Cycles'!$EF$16:$EL$16,1,W146)=1,'Lease Cycles'!$AJ$16*INDEX('Lease Cycles'!$FO$16:$FU$16,1,W146)*INDEX('Lease Cycles'!$EM$16:$ES$16,1,W146)+'Lease Cycles'!$BE$16*IF(W147&lt;INDEX('Lease Cycles'!$FA$16:$FG$16,1,W146),0,1-INDEX('Lease Cycles'!$EM$16:$ES$16,1,W146)),IF(OR(INDEX('Lease Cycles'!$DY$16:$EE$16,1,W146)=1,W147&gt;0),1,1-INDEX('Lease Cycles'!$DD$16:$DJ$16,1,W146))*('Lease Cycles'!$AJ$16*INDEX('Lease Cycles'!$FO$16:$FU$16,1,W146)+'Lease Cycles'!$BE$16*(1-INDEX('Lease Cycles'!$FO$16:$FU$16,1,W146)))),0)</f>
        <v>0.03685092127303183</v>
      </c>
      <c r="X156" s="24">
        <f>IF(X148=1,'Lease Cycles'!$D$16*IF(INDEX('Lease Cycles'!$EF$16:$EL$16,1,X146)=1,'Lease Cycles'!$AJ$16*INDEX('Lease Cycles'!$FO$16:$FU$16,1,X146)*INDEX('Lease Cycles'!$EM$16:$ES$16,1,X146)+'Lease Cycles'!$BE$16*IF(X147&lt;INDEX('Lease Cycles'!$FA$16:$FG$16,1,X146),0,1-INDEX('Lease Cycles'!$EM$16:$ES$16,1,X146)),IF(OR(INDEX('Lease Cycles'!$DY$16:$EE$16,1,X146)=1,X147&gt;0),1,1-INDEX('Lease Cycles'!$DD$16:$DJ$16,1,X146))*('Lease Cycles'!$AJ$16*INDEX('Lease Cycles'!$FO$16:$FU$16,1,X146)+'Lease Cycles'!$BE$16*(1-INDEX('Lease Cycles'!$FO$16:$FU$16,1,X146)))),0)</f>
        <v>0.03685092127303183</v>
      </c>
      <c r="Y156" s="24">
        <f>IF(Y148=1,'Lease Cycles'!$D$16*IF(INDEX('Lease Cycles'!$EF$16:$EL$16,1,Y146)=1,'Lease Cycles'!$AJ$16*INDEX('Lease Cycles'!$FO$16:$FU$16,1,Y146)*INDEX('Lease Cycles'!$EM$16:$ES$16,1,Y146)+'Lease Cycles'!$BE$16*IF(Y147&lt;INDEX('Lease Cycles'!$FA$16:$FG$16,1,Y146),0,1-INDEX('Lease Cycles'!$EM$16:$ES$16,1,Y146)),IF(OR(INDEX('Lease Cycles'!$DY$16:$EE$16,1,Y146)=1,Y147&gt;0),1,1-INDEX('Lease Cycles'!$DD$16:$DJ$16,1,Y146))*('Lease Cycles'!$AJ$16*INDEX('Lease Cycles'!$FO$16:$FU$16,1,Y146)+'Lease Cycles'!$BE$16*(1-INDEX('Lease Cycles'!$FO$16:$FU$16,1,Y146)))),0)</f>
        <v>0.03685092127303183</v>
      </c>
      <c r="Z156" s="24">
        <f>IF(Z148=1,'Lease Cycles'!$D$16*IF(INDEX('Lease Cycles'!$EF$16:$EL$16,1,Z146)=1,'Lease Cycles'!$AJ$16*INDEX('Lease Cycles'!$FO$16:$FU$16,1,Z146)*INDEX('Lease Cycles'!$EM$16:$ES$16,1,Z146)+'Lease Cycles'!$BE$16*IF(Z147&lt;INDEX('Lease Cycles'!$FA$16:$FG$16,1,Z146),0,1-INDEX('Lease Cycles'!$EM$16:$ES$16,1,Z146)),IF(OR(INDEX('Lease Cycles'!$DY$16:$EE$16,1,Z146)=1,Z147&gt;0),1,1-INDEX('Lease Cycles'!$DD$16:$DJ$16,1,Z146))*('Lease Cycles'!$AJ$16*INDEX('Lease Cycles'!$FO$16:$FU$16,1,Z146)+'Lease Cycles'!$BE$16*(1-INDEX('Lease Cycles'!$FO$16:$FU$16,1,Z146)))),0)</f>
        <v>0.03685092127303183</v>
      </c>
      <c r="AA156" s="24">
        <f>IF(AA148=1,'Lease Cycles'!$D$16*IF(INDEX('Lease Cycles'!$EF$16:$EL$16,1,AA146)=1,'Lease Cycles'!$AJ$16*INDEX('Lease Cycles'!$FO$16:$FU$16,1,AA146)*INDEX('Lease Cycles'!$EM$16:$ES$16,1,AA146)+'Lease Cycles'!$BE$16*IF(AA147&lt;INDEX('Lease Cycles'!$FA$16:$FG$16,1,AA146),0,1-INDEX('Lease Cycles'!$EM$16:$ES$16,1,AA146)),IF(OR(INDEX('Lease Cycles'!$DY$16:$EE$16,1,AA146)=1,AA147&gt;0),1,1-INDEX('Lease Cycles'!$DD$16:$DJ$16,1,AA146))*('Lease Cycles'!$AJ$16*INDEX('Lease Cycles'!$FO$16:$FU$16,1,AA146)+'Lease Cycles'!$BE$16*(1-INDEX('Lease Cycles'!$FO$16:$FU$16,1,AA146)))),0)</f>
        <v>0.03685092127303183</v>
      </c>
      <c r="AB156" s="24">
        <f>IF(AB148=1,'Lease Cycles'!$D$16*IF(INDEX('Lease Cycles'!$EF$16:$EL$16,1,AB146)=1,'Lease Cycles'!$AJ$16*INDEX('Lease Cycles'!$FO$16:$FU$16,1,AB146)*INDEX('Lease Cycles'!$EM$16:$ES$16,1,AB146)+'Lease Cycles'!$BE$16*IF(AB147&lt;INDEX('Lease Cycles'!$FA$16:$FG$16,1,AB146),0,1-INDEX('Lease Cycles'!$EM$16:$ES$16,1,AB146)),IF(OR(INDEX('Lease Cycles'!$DY$16:$EE$16,1,AB146)=1,AB147&gt;0),1,1-INDEX('Lease Cycles'!$DD$16:$DJ$16,1,AB146))*('Lease Cycles'!$AJ$16*INDEX('Lease Cycles'!$FO$16:$FU$16,1,AB146)+'Lease Cycles'!$BE$16*(1-INDEX('Lease Cycles'!$FO$16:$FU$16,1,AB146)))),0)</f>
        <v>0.03685092127303183</v>
      </c>
      <c r="AC156" s="24">
        <f>IF(AC148=1,'Lease Cycles'!$D$16*IF(INDEX('Lease Cycles'!$EF$16:$EL$16,1,AC146)=1,'Lease Cycles'!$AJ$16*INDEX('Lease Cycles'!$FO$16:$FU$16,1,AC146)*INDEX('Lease Cycles'!$EM$16:$ES$16,1,AC146)+'Lease Cycles'!$BE$16*IF(AC147&lt;INDEX('Lease Cycles'!$FA$16:$FG$16,1,AC146),0,1-INDEX('Lease Cycles'!$EM$16:$ES$16,1,AC146)),IF(OR(INDEX('Lease Cycles'!$DY$16:$EE$16,1,AC146)=1,AC147&gt;0),1,1-INDEX('Lease Cycles'!$DD$16:$DJ$16,1,AC146))*('Lease Cycles'!$AJ$16*INDEX('Lease Cycles'!$FO$16:$FU$16,1,AC146)+'Lease Cycles'!$BE$16*(1-INDEX('Lease Cycles'!$FO$16:$FU$16,1,AC146)))),0)</f>
        <v>0.03685092127303183</v>
      </c>
      <c r="AD156" s="24">
        <f>IF(AD148=1,'Lease Cycles'!$D$16*IF(INDEX('Lease Cycles'!$EF$16:$EL$16,1,AD146)=1,'Lease Cycles'!$AJ$16*INDEX('Lease Cycles'!$FO$16:$FU$16,1,AD146)*INDEX('Lease Cycles'!$EM$16:$ES$16,1,AD146)+'Lease Cycles'!$BE$16*IF(AD147&lt;INDEX('Lease Cycles'!$FA$16:$FG$16,1,AD146),0,1-INDEX('Lease Cycles'!$EM$16:$ES$16,1,AD146)),IF(OR(INDEX('Lease Cycles'!$DY$16:$EE$16,1,AD146)=1,AD147&gt;0),1,1-INDEX('Lease Cycles'!$DD$16:$DJ$16,1,AD146))*('Lease Cycles'!$AJ$16*INDEX('Lease Cycles'!$FO$16:$FU$16,1,AD146)+'Lease Cycles'!$BE$16*(1-INDEX('Lease Cycles'!$FO$16:$FU$16,1,AD146)))),0)</f>
        <v>0.03685092127303183</v>
      </c>
      <c r="AE156" s="24">
        <f>IF(AE148=1,'Lease Cycles'!$D$16*IF(INDEX('Lease Cycles'!$EF$16:$EL$16,1,AE146)=1,'Lease Cycles'!$AJ$16*INDEX('Lease Cycles'!$FO$16:$FU$16,1,AE146)*INDEX('Lease Cycles'!$EM$16:$ES$16,1,AE146)+'Lease Cycles'!$BE$16*IF(AE147&lt;INDEX('Lease Cycles'!$FA$16:$FG$16,1,AE146),0,1-INDEX('Lease Cycles'!$EM$16:$ES$16,1,AE146)),IF(OR(INDEX('Lease Cycles'!$DY$16:$EE$16,1,AE146)=1,AE147&gt;0),1,1-INDEX('Lease Cycles'!$DD$16:$DJ$16,1,AE146))*('Lease Cycles'!$AJ$16*INDEX('Lease Cycles'!$FO$16:$FU$16,1,AE146)+'Lease Cycles'!$BE$16*(1-INDEX('Lease Cycles'!$FO$16:$FU$16,1,AE146)))),0)</f>
        <v>0.03685092127303183</v>
      </c>
      <c r="AF156" s="24">
        <f>IF(AF148=1,'Lease Cycles'!$D$16*IF(INDEX('Lease Cycles'!$EF$16:$EL$16,1,AF146)=1,'Lease Cycles'!$AJ$16*INDEX('Lease Cycles'!$FO$16:$FU$16,1,AF146)*INDEX('Lease Cycles'!$EM$16:$ES$16,1,AF146)+'Lease Cycles'!$BE$16*IF(AF147&lt;INDEX('Lease Cycles'!$FA$16:$FG$16,1,AF146),0,1-INDEX('Lease Cycles'!$EM$16:$ES$16,1,AF146)),IF(OR(INDEX('Lease Cycles'!$DY$16:$EE$16,1,AF146)=1,AF147&gt;0),1,1-INDEX('Lease Cycles'!$DD$16:$DJ$16,1,AF146))*('Lease Cycles'!$AJ$16*INDEX('Lease Cycles'!$FO$16:$FU$16,1,AF146)+'Lease Cycles'!$BE$16*(1-INDEX('Lease Cycles'!$FO$16:$FU$16,1,AF146)))),0)</f>
        <v>0.03685092127303183</v>
      </c>
      <c r="AG156" s="24">
        <f>IF(AG148=1,'Lease Cycles'!$D$16*IF(INDEX('Lease Cycles'!$EF$16:$EL$16,1,AG146)=1,'Lease Cycles'!$AJ$16*INDEX('Lease Cycles'!$FO$16:$FU$16,1,AG146)*INDEX('Lease Cycles'!$EM$16:$ES$16,1,AG146)+'Lease Cycles'!$BE$16*IF(AG147&lt;INDEX('Lease Cycles'!$FA$16:$FG$16,1,AG146),0,1-INDEX('Lease Cycles'!$EM$16:$ES$16,1,AG146)),IF(OR(INDEX('Lease Cycles'!$DY$16:$EE$16,1,AG146)=1,AG147&gt;0),1,1-INDEX('Lease Cycles'!$DD$16:$DJ$16,1,AG146))*('Lease Cycles'!$AJ$16*INDEX('Lease Cycles'!$FO$16:$FU$16,1,AG146)+'Lease Cycles'!$BE$16*(1-INDEX('Lease Cycles'!$FO$16:$FU$16,1,AG146)))),0)</f>
        <v>0.03685092127303183</v>
      </c>
      <c r="AH156" s="24">
        <f>IF(AH148=1,'Lease Cycles'!$D$16*IF(INDEX('Lease Cycles'!$EF$16:$EL$16,1,AH146)=1,'Lease Cycles'!$AJ$16*INDEX('Lease Cycles'!$FO$16:$FU$16,1,AH146)*INDEX('Lease Cycles'!$EM$16:$ES$16,1,AH146)+'Lease Cycles'!$BE$16*IF(AH147&lt;INDEX('Lease Cycles'!$FA$16:$FG$16,1,AH146),0,1-INDEX('Lease Cycles'!$EM$16:$ES$16,1,AH146)),IF(OR(INDEX('Lease Cycles'!$DY$16:$EE$16,1,AH146)=1,AH147&gt;0),1,1-INDEX('Lease Cycles'!$DD$16:$DJ$16,1,AH146))*('Lease Cycles'!$AJ$16*INDEX('Lease Cycles'!$FO$16:$FU$16,1,AH146)+'Lease Cycles'!$BE$16*(1-INDEX('Lease Cycles'!$FO$16:$FU$16,1,AH146)))),0)</f>
        <v>0.03685092127303183</v>
      </c>
      <c r="AI156" s="24">
        <f>IF(AI148=1,'Lease Cycles'!$D$16*IF(INDEX('Lease Cycles'!$EF$16:$EL$16,1,AI146)=1,'Lease Cycles'!$AJ$16*INDEX('Lease Cycles'!$FO$16:$FU$16,1,AI146)*INDEX('Lease Cycles'!$EM$16:$ES$16,1,AI146)+'Lease Cycles'!$BE$16*IF(AI147&lt;INDEX('Lease Cycles'!$FA$16:$FG$16,1,AI146),0,1-INDEX('Lease Cycles'!$EM$16:$ES$16,1,AI146)),IF(OR(INDEX('Lease Cycles'!$DY$16:$EE$16,1,AI146)=1,AI147&gt;0),1,1-INDEX('Lease Cycles'!$DD$16:$DJ$16,1,AI146))*('Lease Cycles'!$AJ$16*INDEX('Lease Cycles'!$FO$16:$FU$16,1,AI146)+'Lease Cycles'!$BE$16*(1-INDEX('Lease Cycles'!$FO$16:$FU$16,1,AI146)))),0)</f>
        <v>0.03685092127303183</v>
      </c>
      <c r="AJ156" s="24">
        <f>IF(AJ148=1,'Lease Cycles'!$D$16*IF(INDEX('Lease Cycles'!$EF$16:$EL$16,1,AJ146)=1,'Lease Cycles'!$AJ$16*INDEX('Lease Cycles'!$FO$16:$FU$16,1,AJ146)*INDEX('Lease Cycles'!$EM$16:$ES$16,1,AJ146)+'Lease Cycles'!$BE$16*IF(AJ147&lt;INDEX('Lease Cycles'!$FA$16:$FG$16,1,AJ146),0,1-INDEX('Lease Cycles'!$EM$16:$ES$16,1,AJ146)),IF(OR(INDEX('Lease Cycles'!$DY$16:$EE$16,1,AJ146)=1,AJ147&gt;0),1,1-INDEX('Lease Cycles'!$DD$16:$DJ$16,1,AJ146))*('Lease Cycles'!$AJ$16*INDEX('Lease Cycles'!$FO$16:$FU$16,1,AJ146)+'Lease Cycles'!$BE$16*(1-INDEX('Lease Cycles'!$FO$16:$FU$16,1,AJ146)))),0)</f>
        <v>0.03685092127303183</v>
      </c>
      <c r="AK156" s="24">
        <f>IF(AK148=1,'Lease Cycles'!$D$16*IF(INDEX('Lease Cycles'!$EF$16:$EL$16,1,AK146)=1,'Lease Cycles'!$AJ$16*INDEX('Lease Cycles'!$FO$16:$FU$16,1,AK146)*INDEX('Lease Cycles'!$EM$16:$ES$16,1,AK146)+'Lease Cycles'!$BE$16*IF(AK147&lt;INDEX('Lease Cycles'!$FA$16:$FG$16,1,AK146),0,1-INDEX('Lease Cycles'!$EM$16:$ES$16,1,AK146)),IF(OR(INDEX('Lease Cycles'!$DY$16:$EE$16,1,AK146)=1,AK147&gt;0),1,1-INDEX('Lease Cycles'!$DD$16:$DJ$16,1,AK146))*('Lease Cycles'!$AJ$16*INDEX('Lease Cycles'!$FO$16:$FU$16,1,AK146)+'Lease Cycles'!$BE$16*(1-INDEX('Lease Cycles'!$FO$16:$FU$16,1,AK146)))),0)</f>
        <v>0.03685092127303183</v>
      </c>
      <c r="AL156" s="24">
        <f>IF(AL148=1,'Lease Cycles'!$D$16*IF(INDEX('Lease Cycles'!$EF$16:$EL$16,1,AL146)=1,'Lease Cycles'!$AJ$16*INDEX('Lease Cycles'!$FO$16:$FU$16,1,AL146)*INDEX('Lease Cycles'!$EM$16:$ES$16,1,AL146)+'Lease Cycles'!$BE$16*IF(AL147&lt;INDEX('Lease Cycles'!$FA$16:$FG$16,1,AL146),0,1-INDEX('Lease Cycles'!$EM$16:$ES$16,1,AL146)),IF(OR(INDEX('Lease Cycles'!$DY$16:$EE$16,1,AL146)=1,AL147&gt;0),1,1-INDEX('Lease Cycles'!$DD$16:$DJ$16,1,AL146))*('Lease Cycles'!$AJ$16*INDEX('Lease Cycles'!$FO$16:$FU$16,1,AL146)+'Lease Cycles'!$BE$16*(1-INDEX('Lease Cycles'!$FO$16:$FU$16,1,AL146)))),0)</f>
        <v>0.03685092127303183</v>
      </c>
      <c r="AM156" s="24">
        <f>IF(AM148=1,'Lease Cycles'!$D$16*IF(INDEX('Lease Cycles'!$EF$16:$EL$16,1,AM146)=1,'Lease Cycles'!$AJ$16*INDEX('Lease Cycles'!$FO$16:$FU$16,1,AM146)*INDEX('Lease Cycles'!$EM$16:$ES$16,1,AM146)+'Lease Cycles'!$BE$16*IF(AM147&lt;INDEX('Lease Cycles'!$FA$16:$FG$16,1,AM146),0,1-INDEX('Lease Cycles'!$EM$16:$ES$16,1,AM146)),IF(OR(INDEX('Lease Cycles'!$DY$16:$EE$16,1,AM146)=1,AM147&gt;0),1,1-INDEX('Lease Cycles'!$DD$16:$DJ$16,1,AM146))*('Lease Cycles'!$AJ$16*INDEX('Lease Cycles'!$FO$16:$FU$16,1,AM146)+'Lease Cycles'!$BE$16*(1-INDEX('Lease Cycles'!$FO$16:$FU$16,1,AM146)))),0)</f>
        <v>0.03685092127303183</v>
      </c>
      <c r="AN156" s="24">
        <f>IF(AN148=1,'Lease Cycles'!$D$16*IF(INDEX('Lease Cycles'!$EF$16:$EL$16,1,AN146)=1,'Lease Cycles'!$AJ$16*INDEX('Lease Cycles'!$FO$16:$FU$16,1,AN146)*INDEX('Lease Cycles'!$EM$16:$ES$16,1,AN146)+'Lease Cycles'!$BE$16*IF(AN147&lt;INDEX('Lease Cycles'!$FA$16:$FG$16,1,AN146),0,1-INDEX('Lease Cycles'!$EM$16:$ES$16,1,AN146)),IF(OR(INDEX('Lease Cycles'!$DY$16:$EE$16,1,AN146)=1,AN147&gt;0),1,1-INDEX('Lease Cycles'!$DD$16:$DJ$16,1,AN146))*('Lease Cycles'!$AJ$16*INDEX('Lease Cycles'!$FO$16:$FU$16,1,AN146)+'Lease Cycles'!$BE$16*(1-INDEX('Lease Cycles'!$FO$16:$FU$16,1,AN146)))),0)</f>
        <v>0.03685092127303183</v>
      </c>
      <c r="AO156" s="24">
        <f>IF(AO148=1,'Lease Cycles'!$D$16*IF(INDEX('Lease Cycles'!$EF$16:$EL$16,1,AO146)=1,'Lease Cycles'!$AJ$16*INDEX('Lease Cycles'!$FO$16:$FU$16,1,AO146)*INDEX('Lease Cycles'!$EM$16:$ES$16,1,AO146)+'Lease Cycles'!$BE$16*IF(AO147&lt;INDEX('Lease Cycles'!$FA$16:$FG$16,1,AO146),0,1-INDEX('Lease Cycles'!$EM$16:$ES$16,1,AO146)),IF(OR(INDEX('Lease Cycles'!$DY$16:$EE$16,1,AO146)=1,AO147&gt;0),1,1-INDEX('Lease Cycles'!$DD$16:$DJ$16,1,AO146))*('Lease Cycles'!$AJ$16*INDEX('Lease Cycles'!$FO$16:$FU$16,1,AO146)+'Lease Cycles'!$BE$16*(1-INDEX('Lease Cycles'!$FO$16:$FU$16,1,AO146)))),0)</f>
        <v>0.03685092127303183</v>
      </c>
      <c r="AP156" s="24">
        <f>IF(AP148=1,'Lease Cycles'!$D$16*IF(INDEX('Lease Cycles'!$EF$16:$EL$16,1,AP146)=1,'Lease Cycles'!$AJ$16*INDEX('Lease Cycles'!$FO$16:$FU$16,1,AP146)*INDEX('Lease Cycles'!$EM$16:$ES$16,1,AP146)+'Lease Cycles'!$BE$16*IF(AP147&lt;INDEX('Lease Cycles'!$FA$16:$FG$16,1,AP146),0,1-INDEX('Lease Cycles'!$EM$16:$ES$16,1,AP146)),IF(OR(INDEX('Lease Cycles'!$DY$16:$EE$16,1,AP146)=1,AP147&gt;0),1,1-INDEX('Lease Cycles'!$DD$16:$DJ$16,1,AP146))*('Lease Cycles'!$AJ$16*INDEX('Lease Cycles'!$FO$16:$FU$16,1,AP146)+'Lease Cycles'!$BE$16*(1-INDEX('Lease Cycles'!$FO$16:$FU$16,1,AP146)))),0)</f>
        <v>0.03685092127303183</v>
      </c>
      <c r="AQ156" s="24">
        <f>IF(AQ148=1,'Lease Cycles'!$D$16*IF(INDEX('Lease Cycles'!$EF$16:$EL$16,1,AQ146)=1,'Lease Cycles'!$AJ$16*INDEX('Lease Cycles'!$FO$16:$FU$16,1,AQ146)*INDEX('Lease Cycles'!$EM$16:$ES$16,1,AQ146)+'Lease Cycles'!$BE$16*IF(AQ147&lt;INDEX('Lease Cycles'!$FA$16:$FG$16,1,AQ146),0,1-INDEX('Lease Cycles'!$EM$16:$ES$16,1,AQ146)),IF(OR(INDEX('Lease Cycles'!$DY$16:$EE$16,1,AQ146)=1,AQ147&gt;0),1,1-INDEX('Lease Cycles'!$DD$16:$DJ$16,1,AQ146))*('Lease Cycles'!$AJ$16*INDEX('Lease Cycles'!$FO$16:$FU$16,1,AQ146)+'Lease Cycles'!$BE$16*(1-INDEX('Lease Cycles'!$FO$16:$FU$16,1,AQ146)))),0)</f>
        <v>0.03685092127303183</v>
      </c>
      <c r="AR156" s="24">
        <f>IF(AR148=1,'Lease Cycles'!$D$16*IF(INDEX('Lease Cycles'!$EF$16:$EL$16,1,AR146)=1,'Lease Cycles'!$AJ$16*INDEX('Lease Cycles'!$FO$16:$FU$16,1,AR146)*INDEX('Lease Cycles'!$EM$16:$ES$16,1,AR146)+'Lease Cycles'!$BE$16*IF(AR147&lt;INDEX('Lease Cycles'!$FA$16:$FG$16,1,AR146),0,1-INDEX('Lease Cycles'!$EM$16:$ES$16,1,AR146)),IF(OR(INDEX('Lease Cycles'!$DY$16:$EE$16,1,AR146)=1,AR147&gt;0),1,1-INDEX('Lease Cycles'!$DD$16:$DJ$16,1,AR146))*('Lease Cycles'!$AJ$16*INDEX('Lease Cycles'!$FO$16:$FU$16,1,AR146)+'Lease Cycles'!$BE$16*(1-INDEX('Lease Cycles'!$FO$16:$FU$16,1,AR146)))),0)</f>
        <v>0.03685092127303183</v>
      </c>
      <c r="AS156" s="24">
        <f>IF(AS148=1,'Lease Cycles'!$D$16*IF(INDEX('Lease Cycles'!$EF$16:$EL$16,1,AS146)=1,'Lease Cycles'!$AJ$16*INDEX('Lease Cycles'!$FO$16:$FU$16,1,AS146)*INDEX('Lease Cycles'!$EM$16:$ES$16,1,AS146)+'Lease Cycles'!$BE$16*IF(AS147&lt;INDEX('Lease Cycles'!$FA$16:$FG$16,1,AS146),0,1-INDEX('Lease Cycles'!$EM$16:$ES$16,1,AS146)),IF(OR(INDEX('Lease Cycles'!$DY$16:$EE$16,1,AS146)=1,AS147&gt;0),1,1-INDEX('Lease Cycles'!$DD$16:$DJ$16,1,AS146))*('Lease Cycles'!$AJ$16*INDEX('Lease Cycles'!$FO$16:$FU$16,1,AS146)+'Lease Cycles'!$BE$16*(1-INDEX('Lease Cycles'!$FO$16:$FU$16,1,AS146)))),0)</f>
        <v>0.03685092127303183</v>
      </c>
      <c r="AT156" s="24">
        <f>IF(AT148=1,'Lease Cycles'!$D$16*IF(INDEX('Lease Cycles'!$EF$16:$EL$16,1,AT146)=1,'Lease Cycles'!$AJ$16*INDEX('Lease Cycles'!$FO$16:$FU$16,1,AT146)*INDEX('Lease Cycles'!$EM$16:$ES$16,1,AT146)+'Lease Cycles'!$BE$16*IF(AT147&lt;INDEX('Lease Cycles'!$FA$16:$FG$16,1,AT146),0,1-INDEX('Lease Cycles'!$EM$16:$ES$16,1,AT146)),IF(OR(INDEX('Lease Cycles'!$DY$16:$EE$16,1,AT146)=1,AT147&gt;0),1,1-INDEX('Lease Cycles'!$DD$16:$DJ$16,1,AT146))*('Lease Cycles'!$AJ$16*INDEX('Lease Cycles'!$FO$16:$FU$16,1,AT146)+'Lease Cycles'!$BE$16*(1-INDEX('Lease Cycles'!$FO$16:$FU$16,1,AT146)))),0)</f>
        <v>0.03685092127303183</v>
      </c>
      <c r="AU156" s="24">
        <f>IF(AU148=1,'Lease Cycles'!$D$16*IF(INDEX('Lease Cycles'!$EF$16:$EL$16,1,AU146)=1,'Lease Cycles'!$AJ$16*INDEX('Lease Cycles'!$FO$16:$FU$16,1,AU146)*INDEX('Lease Cycles'!$EM$16:$ES$16,1,AU146)+'Lease Cycles'!$BE$16*IF(AU147&lt;INDEX('Lease Cycles'!$FA$16:$FG$16,1,AU146),0,1-INDEX('Lease Cycles'!$EM$16:$ES$16,1,AU146)),IF(OR(INDEX('Lease Cycles'!$DY$16:$EE$16,1,AU146)=1,AU147&gt;0),1,1-INDEX('Lease Cycles'!$DD$16:$DJ$16,1,AU146))*('Lease Cycles'!$AJ$16*INDEX('Lease Cycles'!$FO$16:$FU$16,1,AU146)+'Lease Cycles'!$BE$16*(1-INDEX('Lease Cycles'!$FO$16:$FU$16,1,AU146)))),0)</f>
        <v>0.03685092127303183</v>
      </c>
      <c r="AV156" s="24">
        <f>IF(AV148=1,'Lease Cycles'!$D$16*IF(INDEX('Lease Cycles'!$EF$16:$EL$16,1,AV146)=1,'Lease Cycles'!$AJ$16*INDEX('Lease Cycles'!$FO$16:$FU$16,1,AV146)*INDEX('Lease Cycles'!$EM$16:$ES$16,1,AV146)+'Lease Cycles'!$BE$16*IF(AV147&lt;INDEX('Lease Cycles'!$FA$16:$FG$16,1,AV146),0,1-INDEX('Lease Cycles'!$EM$16:$ES$16,1,AV146)),IF(OR(INDEX('Lease Cycles'!$DY$16:$EE$16,1,AV146)=1,AV147&gt;0),1,1-INDEX('Lease Cycles'!$DD$16:$DJ$16,1,AV146))*('Lease Cycles'!$AJ$16*INDEX('Lease Cycles'!$FO$16:$FU$16,1,AV146)+'Lease Cycles'!$BE$16*(1-INDEX('Lease Cycles'!$FO$16:$FU$16,1,AV146)))),0)</f>
        <v>0.03685092127303183</v>
      </c>
      <c r="AW156" s="24">
        <f>IF(AW148=1,'Lease Cycles'!$D$16*IF(INDEX('Lease Cycles'!$EF$16:$EL$16,1,AW146)=1,'Lease Cycles'!$AJ$16*INDEX('Lease Cycles'!$FO$16:$FU$16,1,AW146)*INDEX('Lease Cycles'!$EM$16:$ES$16,1,AW146)+'Lease Cycles'!$BE$16*IF(AW147&lt;INDEX('Lease Cycles'!$FA$16:$FG$16,1,AW146),0,1-INDEX('Lease Cycles'!$EM$16:$ES$16,1,AW146)),IF(OR(INDEX('Lease Cycles'!$DY$16:$EE$16,1,AW146)=1,AW147&gt;0),1,1-INDEX('Lease Cycles'!$DD$16:$DJ$16,1,AW146))*('Lease Cycles'!$AJ$16*INDEX('Lease Cycles'!$FO$16:$FU$16,1,AW146)+'Lease Cycles'!$BE$16*(1-INDEX('Lease Cycles'!$FO$16:$FU$16,1,AW146)))),0)</f>
        <v>0.03685092127303183</v>
      </c>
      <c r="AX156" s="24">
        <f>IF(AX148=1,'Lease Cycles'!$D$16*IF(INDEX('Lease Cycles'!$EF$16:$EL$16,1,AX146)=1,'Lease Cycles'!$AJ$16*INDEX('Lease Cycles'!$FO$16:$FU$16,1,AX146)*INDEX('Lease Cycles'!$EM$16:$ES$16,1,AX146)+'Lease Cycles'!$BE$16*IF(AX147&lt;INDEX('Lease Cycles'!$FA$16:$FG$16,1,AX146),0,1-INDEX('Lease Cycles'!$EM$16:$ES$16,1,AX146)),IF(OR(INDEX('Lease Cycles'!$DY$16:$EE$16,1,AX146)=1,AX147&gt;0),1,1-INDEX('Lease Cycles'!$DD$16:$DJ$16,1,AX146))*('Lease Cycles'!$AJ$16*INDEX('Lease Cycles'!$FO$16:$FU$16,1,AX146)+'Lease Cycles'!$BE$16*(1-INDEX('Lease Cycles'!$FO$16:$FU$16,1,AX146)))),0)</f>
        <v>0.03685092127303183</v>
      </c>
      <c r="AY156" s="24">
        <f>IF(AY148=1,'Lease Cycles'!$D$16*IF(INDEX('Lease Cycles'!$EF$16:$EL$16,1,AY146)=1,'Lease Cycles'!$AJ$16*INDEX('Lease Cycles'!$FO$16:$FU$16,1,AY146)*INDEX('Lease Cycles'!$EM$16:$ES$16,1,AY146)+'Lease Cycles'!$BE$16*IF(AY147&lt;INDEX('Lease Cycles'!$FA$16:$FG$16,1,AY146),0,1-INDEX('Lease Cycles'!$EM$16:$ES$16,1,AY146)),IF(OR(INDEX('Lease Cycles'!$DY$16:$EE$16,1,AY146)=1,AY147&gt;0),1,1-INDEX('Lease Cycles'!$DD$16:$DJ$16,1,AY146))*('Lease Cycles'!$AJ$16*INDEX('Lease Cycles'!$FO$16:$FU$16,1,AY146)+'Lease Cycles'!$BE$16*(1-INDEX('Lease Cycles'!$FO$16:$FU$16,1,AY146)))),0)</f>
        <v>0.03685092127303183</v>
      </c>
      <c r="AZ156" s="24">
        <f>IF(AZ148=1,'Lease Cycles'!$D$16*IF(INDEX('Lease Cycles'!$EF$16:$EL$16,1,AZ146)=1,'Lease Cycles'!$AJ$16*INDEX('Lease Cycles'!$FO$16:$FU$16,1,AZ146)*INDEX('Lease Cycles'!$EM$16:$ES$16,1,AZ146)+'Lease Cycles'!$BE$16*IF(AZ147&lt;INDEX('Lease Cycles'!$FA$16:$FG$16,1,AZ146),0,1-INDEX('Lease Cycles'!$EM$16:$ES$16,1,AZ146)),IF(OR(INDEX('Lease Cycles'!$DY$16:$EE$16,1,AZ146)=1,AZ147&gt;0),1,1-INDEX('Lease Cycles'!$DD$16:$DJ$16,1,AZ146))*('Lease Cycles'!$AJ$16*INDEX('Lease Cycles'!$FO$16:$FU$16,1,AZ146)+'Lease Cycles'!$BE$16*(1-INDEX('Lease Cycles'!$FO$16:$FU$16,1,AZ146)))),0)</f>
        <v>0.03685092127303183</v>
      </c>
      <c r="BA156" s="24">
        <f>IF(BA148=1,'Lease Cycles'!$D$16*IF(INDEX('Lease Cycles'!$EF$16:$EL$16,1,BA146)=1,'Lease Cycles'!$AJ$16*INDEX('Lease Cycles'!$FO$16:$FU$16,1,BA146)*INDEX('Lease Cycles'!$EM$16:$ES$16,1,BA146)+'Lease Cycles'!$BE$16*IF(BA147&lt;INDEX('Lease Cycles'!$FA$16:$FG$16,1,BA146),0,1-INDEX('Lease Cycles'!$EM$16:$ES$16,1,BA146)),IF(OR(INDEX('Lease Cycles'!$DY$16:$EE$16,1,BA146)=1,BA147&gt;0),1,1-INDEX('Lease Cycles'!$DD$16:$DJ$16,1,BA146))*('Lease Cycles'!$AJ$16*INDEX('Lease Cycles'!$FO$16:$FU$16,1,BA146)+'Lease Cycles'!$BE$16*(1-INDEX('Lease Cycles'!$FO$16:$FU$16,1,BA146)))),0)</f>
        <v>0.03685092127303183</v>
      </c>
      <c r="BB156" s="24">
        <f>IF(BB148=1,'Lease Cycles'!$D$16*IF(INDEX('Lease Cycles'!$EF$16:$EL$16,1,BB146)=1,'Lease Cycles'!$AJ$16*INDEX('Lease Cycles'!$FO$16:$FU$16,1,BB146)*INDEX('Lease Cycles'!$EM$16:$ES$16,1,BB146)+'Lease Cycles'!$BE$16*IF(BB147&lt;INDEX('Lease Cycles'!$FA$16:$FG$16,1,BB146),0,1-INDEX('Lease Cycles'!$EM$16:$ES$16,1,BB146)),IF(OR(INDEX('Lease Cycles'!$DY$16:$EE$16,1,BB146)=1,BB147&gt;0),1,1-INDEX('Lease Cycles'!$DD$16:$DJ$16,1,BB146))*('Lease Cycles'!$AJ$16*INDEX('Lease Cycles'!$FO$16:$FU$16,1,BB146)+'Lease Cycles'!$BE$16*(1-INDEX('Lease Cycles'!$FO$16:$FU$16,1,BB146)))),0)</f>
        <v>0.03685092127303183</v>
      </c>
      <c r="BC156" s="24">
        <f>IF(BC148=1,'Lease Cycles'!$D$16*IF(INDEX('Lease Cycles'!$EF$16:$EL$16,1,BC146)=1,'Lease Cycles'!$AJ$16*INDEX('Lease Cycles'!$FO$16:$FU$16,1,BC146)*INDEX('Lease Cycles'!$EM$16:$ES$16,1,BC146)+'Lease Cycles'!$BE$16*IF(BC147&lt;INDEX('Lease Cycles'!$FA$16:$FG$16,1,BC146),0,1-INDEX('Lease Cycles'!$EM$16:$ES$16,1,BC146)),IF(OR(INDEX('Lease Cycles'!$DY$16:$EE$16,1,BC146)=1,BC147&gt;0),1,1-INDEX('Lease Cycles'!$DD$16:$DJ$16,1,BC146))*('Lease Cycles'!$AJ$16*INDEX('Lease Cycles'!$FO$16:$FU$16,1,BC146)+'Lease Cycles'!$BE$16*(1-INDEX('Lease Cycles'!$FO$16:$FU$16,1,BC146)))),0)</f>
        <v>0.03685092127303183</v>
      </c>
      <c r="BD156" s="24">
        <f>IF(BD148=1,'Lease Cycles'!$D$16*IF(INDEX('Lease Cycles'!$EF$16:$EL$16,1,BD146)=1,'Lease Cycles'!$AJ$16*INDEX('Lease Cycles'!$FO$16:$FU$16,1,BD146)*INDEX('Lease Cycles'!$EM$16:$ES$16,1,BD146)+'Lease Cycles'!$BE$16*IF(BD147&lt;INDEX('Lease Cycles'!$FA$16:$FG$16,1,BD146),0,1-INDEX('Lease Cycles'!$EM$16:$ES$16,1,BD146)),IF(OR(INDEX('Lease Cycles'!$DY$16:$EE$16,1,BD146)=1,BD147&gt;0),1,1-INDEX('Lease Cycles'!$DD$16:$DJ$16,1,BD146))*('Lease Cycles'!$AJ$16*INDEX('Lease Cycles'!$FO$16:$FU$16,1,BD146)+'Lease Cycles'!$BE$16*(1-INDEX('Lease Cycles'!$FO$16:$FU$16,1,BD146)))),0)</f>
        <v>0.03685092127303183</v>
      </c>
      <c r="BE156" s="24">
        <f>IF(BE148=1,'Lease Cycles'!$D$16*IF(INDEX('Lease Cycles'!$EF$16:$EL$16,1,BE146)=1,'Lease Cycles'!$AJ$16*INDEX('Lease Cycles'!$FO$16:$FU$16,1,BE146)*INDEX('Lease Cycles'!$EM$16:$ES$16,1,BE146)+'Lease Cycles'!$BE$16*IF(BE147&lt;INDEX('Lease Cycles'!$FA$16:$FG$16,1,BE146),0,1-INDEX('Lease Cycles'!$EM$16:$ES$16,1,BE146)),IF(OR(INDEX('Lease Cycles'!$DY$16:$EE$16,1,BE146)=1,BE147&gt;0),1,1-INDEX('Lease Cycles'!$DD$16:$DJ$16,1,BE146))*('Lease Cycles'!$AJ$16*INDEX('Lease Cycles'!$FO$16:$FU$16,1,BE146)+'Lease Cycles'!$BE$16*(1-INDEX('Lease Cycles'!$FO$16:$FU$16,1,BE146)))),0)</f>
        <v>0.03685092127303183</v>
      </c>
      <c r="BF156" s="24">
        <f>IF(BF148=1,'Lease Cycles'!$D$16*IF(INDEX('Lease Cycles'!$EF$16:$EL$16,1,BF146)=1,'Lease Cycles'!$AJ$16*INDEX('Lease Cycles'!$FO$16:$FU$16,1,BF146)*INDEX('Lease Cycles'!$EM$16:$ES$16,1,BF146)+'Lease Cycles'!$BE$16*IF(BF147&lt;INDEX('Lease Cycles'!$FA$16:$FG$16,1,BF146),0,1-INDEX('Lease Cycles'!$EM$16:$ES$16,1,BF146)),IF(OR(INDEX('Lease Cycles'!$DY$16:$EE$16,1,BF146)=1,BF147&gt;0),1,1-INDEX('Lease Cycles'!$DD$16:$DJ$16,1,BF146))*('Lease Cycles'!$AJ$16*INDEX('Lease Cycles'!$FO$16:$FU$16,1,BF146)+'Lease Cycles'!$BE$16*(1-INDEX('Lease Cycles'!$FO$16:$FU$16,1,BF146)))),0)</f>
        <v>0.03685092127303183</v>
      </c>
      <c r="BG156" s="24">
        <f>IF(BG148=1,'Lease Cycles'!$D$16*IF(INDEX('Lease Cycles'!$EF$16:$EL$16,1,BG146)=1,'Lease Cycles'!$AJ$16*INDEX('Lease Cycles'!$FO$16:$FU$16,1,BG146)*INDEX('Lease Cycles'!$EM$16:$ES$16,1,BG146)+'Lease Cycles'!$BE$16*IF(BG147&lt;INDEX('Lease Cycles'!$FA$16:$FG$16,1,BG146),0,1-INDEX('Lease Cycles'!$EM$16:$ES$16,1,BG146)),IF(OR(INDEX('Lease Cycles'!$DY$16:$EE$16,1,BG146)=1,BG147&gt;0),1,1-INDEX('Lease Cycles'!$DD$16:$DJ$16,1,BG146))*('Lease Cycles'!$AJ$16*INDEX('Lease Cycles'!$FO$16:$FU$16,1,BG146)+'Lease Cycles'!$BE$16*(1-INDEX('Lease Cycles'!$FO$16:$FU$16,1,BG146)))),0)</f>
        <v>0.03685092127303183</v>
      </c>
      <c r="BH156" s="24">
        <f>IF(BH148=1,'Lease Cycles'!$D$16*IF(INDEX('Lease Cycles'!$EF$16:$EL$16,1,BH146)=1,'Lease Cycles'!$AJ$16*INDEX('Lease Cycles'!$FO$16:$FU$16,1,BH146)*INDEX('Lease Cycles'!$EM$16:$ES$16,1,BH146)+'Lease Cycles'!$BE$16*IF(BH147&lt;INDEX('Lease Cycles'!$FA$16:$FG$16,1,BH146),0,1-INDEX('Lease Cycles'!$EM$16:$ES$16,1,BH146)),IF(OR(INDEX('Lease Cycles'!$DY$16:$EE$16,1,BH146)=1,BH147&gt;0),1,1-INDEX('Lease Cycles'!$DD$16:$DJ$16,1,BH146))*('Lease Cycles'!$AJ$16*INDEX('Lease Cycles'!$FO$16:$FU$16,1,BH146)+'Lease Cycles'!$BE$16*(1-INDEX('Lease Cycles'!$FO$16:$FU$16,1,BH146)))),0)</f>
        <v>0.03685092127303183</v>
      </c>
      <c r="BI156" s="24">
        <f>IF(BI148=1,'Lease Cycles'!$D$16*IF(INDEX('Lease Cycles'!$EF$16:$EL$16,1,BI146)=1,'Lease Cycles'!$AJ$16*INDEX('Lease Cycles'!$FO$16:$FU$16,1,BI146)*INDEX('Lease Cycles'!$EM$16:$ES$16,1,BI146)+'Lease Cycles'!$BE$16*IF(BI147&lt;INDEX('Lease Cycles'!$FA$16:$FG$16,1,BI146),0,1-INDEX('Lease Cycles'!$EM$16:$ES$16,1,BI146)),IF(OR(INDEX('Lease Cycles'!$DY$16:$EE$16,1,BI146)=1,BI147&gt;0),1,1-INDEX('Lease Cycles'!$DD$16:$DJ$16,1,BI146))*('Lease Cycles'!$AJ$16*INDEX('Lease Cycles'!$FO$16:$FU$16,1,BI146)+'Lease Cycles'!$BE$16*(1-INDEX('Lease Cycles'!$FO$16:$FU$16,1,BI146)))),0)</f>
        <v>0.03685092127303183</v>
      </c>
      <c r="BJ156" s="24">
        <f>IF(BJ148=1,'Lease Cycles'!$D$16*IF(INDEX('Lease Cycles'!$EF$16:$EL$16,1,BJ146)=1,'Lease Cycles'!$AJ$16*INDEX('Lease Cycles'!$FO$16:$FU$16,1,BJ146)*INDEX('Lease Cycles'!$EM$16:$ES$16,1,BJ146)+'Lease Cycles'!$BE$16*IF(BJ147&lt;INDEX('Lease Cycles'!$FA$16:$FG$16,1,BJ146),0,1-INDEX('Lease Cycles'!$EM$16:$ES$16,1,BJ146)),IF(OR(INDEX('Lease Cycles'!$DY$16:$EE$16,1,BJ146)=1,BJ147&gt;0),1,1-INDEX('Lease Cycles'!$DD$16:$DJ$16,1,BJ146))*('Lease Cycles'!$AJ$16*INDEX('Lease Cycles'!$FO$16:$FU$16,1,BJ146)+'Lease Cycles'!$BE$16*(1-INDEX('Lease Cycles'!$FO$16:$FU$16,1,BJ146)))),0)</f>
        <v>0.03685092127303183</v>
      </c>
      <c r="BK156" s="24">
        <f>IF(BK148=1,'Lease Cycles'!$D$16*IF(INDEX('Lease Cycles'!$EF$16:$EL$16,1,BK146)=1,'Lease Cycles'!$AJ$16*INDEX('Lease Cycles'!$FO$16:$FU$16,1,BK146)*INDEX('Lease Cycles'!$EM$16:$ES$16,1,BK146)+'Lease Cycles'!$BE$16*IF(BK147&lt;INDEX('Lease Cycles'!$FA$16:$FG$16,1,BK146),0,1-INDEX('Lease Cycles'!$EM$16:$ES$16,1,BK146)),IF(OR(INDEX('Lease Cycles'!$DY$16:$EE$16,1,BK146)=1,BK147&gt;0),1,1-INDEX('Lease Cycles'!$DD$16:$DJ$16,1,BK146))*('Lease Cycles'!$AJ$16*INDEX('Lease Cycles'!$FO$16:$FU$16,1,BK146)+'Lease Cycles'!$BE$16*(1-INDEX('Lease Cycles'!$FO$16:$FU$16,1,BK146)))),0)</f>
        <v>0.03685092127303183</v>
      </c>
      <c r="BL156" s="24">
        <f>IF(BL148=1,'Lease Cycles'!$D$16*IF(INDEX('Lease Cycles'!$EF$16:$EL$16,1,BL146)=1,'Lease Cycles'!$AJ$16*INDEX('Lease Cycles'!$FO$16:$FU$16,1,BL146)*INDEX('Lease Cycles'!$EM$16:$ES$16,1,BL146)+'Lease Cycles'!$BE$16*IF(BL147&lt;INDEX('Lease Cycles'!$FA$16:$FG$16,1,BL146),0,1-INDEX('Lease Cycles'!$EM$16:$ES$16,1,BL146)),IF(OR(INDEX('Lease Cycles'!$DY$16:$EE$16,1,BL146)=1,BL147&gt;0),1,1-INDEX('Lease Cycles'!$DD$16:$DJ$16,1,BL146))*('Lease Cycles'!$AJ$16*INDEX('Lease Cycles'!$FO$16:$FU$16,1,BL146)+'Lease Cycles'!$BE$16*(1-INDEX('Lease Cycles'!$FO$16:$FU$16,1,BL146)))),0)</f>
        <v>0.03685092127303183</v>
      </c>
      <c r="BM156" s="24">
        <f>IF(BM148=1,'Lease Cycles'!$D$16*IF(INDEX('Lease Cycles'!$EF$16:$EL$16,1,BM146)=1,'Lease Cycles'!$AJ$16*INDEX('Lease Cycles'!$FO$16:$FU$16,1,BM146)*INDEX('Lease Cycles'!$EM$16:$ES$16,1,BM146)+'Lease Cycles'!$BE$16*IF(BM147&lt;INDEX('Lease Cycles'!$FA$16:$FG$16,1,BM146),0,1-INDEX('Lease Cycles'!$EM$16:$ES$16,1,BM146)),IF(OR(INDEX('Lease Cycles'!$DY$16:$EE$16,1,BM146)=1,BM147&gt;0),1,1-INDEX('Lease Cycles'!$DD$16:$DJ$16,1,BM146))*('Lease Cycles'!$AJ$16*INDEX('Lease Cycles'!$FO$16:$FU$16,1,BM146)+'Lease Cycles'!$BE$16*(1-INDEX('Lease Cycles'!$FO$16:$FU$16,1,BM146)))),0)</f>
        <v>0.03685092127303183</v>
      </c>
      <c r="BN156" s="24">
        <f>IF(BN148=1,'Lease Cycles'!$D$16*IF(INDEX('Lease Cycles'!$EF$16:$EL$16,1,BN146)=1,'Lease Cycles'!$AJ$16*INDEX('Lease Cycles'!$FO$16:$FU$16,1,BN146)*INDEX('Lease Cycles'!$EM$16:$ES$16,1,BN146)+'Lease Cycles'!$BE$16*IF(BN147&lt;INDEX('Lease Cycles'!$FA$16:$FG$16,1,BN146),0,1-INDEX('Lease Cycles'!$EM$16:$ES$16,1,BN146)),IF(OR(INDEX('Lease Cycles'!$DY$16:$EE$16,1,BN146)=1,BN147&gt;0),1,1-INDEX('Lease Cycles'!$DD$16:$DJ$16,1,BN146))*('Lease Cycles'!$AJ$16*INDEX('Lease Cycles'!$FO$16:$FU$16,1,BN146)+'Lease Cycles'!$BE$16*(1-INDEX('Lease Cycles'!$FO$16:$FU$16,1,BN146)))),0)</f>
        <v>0.03685092127303183</v>
      </c>
      <c r="BO156" s="24">
        <f>IF(BO148=1,'Lease Cycles'!$D$16*IF(INDEX('Lease Cycles'!$EF$16:$EL$16,1,BO146)=1,'Lease Cycles'!$AJ$16*INDEX('Lease Cycles'!$FO$16:$FU$16,1,BO146)*INDEX('Lease Cycles'!$EM$16:$ES$16,1,BO146)+'Lease Cycles'!$BE$16*IF(BO147&lt;INDEX('Lease Cycles'!$FA$16:$FG$16,1,BO146),0,1-INDEX('Lease Cycles'!$EM$16:$ES$16,1,BO146)),IF(OR(INDEX('Lease Cycles'!$DY$16:$EE$16,1,BO146)=1,BO147&gt;0),1,1-INDEX('Lease Cycles'!$DD$16:$DJ$16,1,BO146))*('Lease Cycles'!$AJ$16*INDEX('Lease Cycles'!$FO$16:$FU$16,1,BO146)+'Lease Cycles'!$BE$16*(1-INDEX('Lease Cycles'!$FO$16:$FU$16,1,BO146)))),0)</f>
        <v>0.03685092127303183</v>
      </c>
      <c r="BP156" s="24">
        <f>IF(BP148=1,'Lease Cycles'!$D$16*IF(INDEX('Lease Cycles'!$EF$16:$EL$16,1,BP146)=1,'Lease Cycles'!$AJ$16*INDEX('Lease Cycles'!$FO$16:$FU$16,1,BP146)*INDEX('Lease Cycles'!$EM$16:$ES$16,1,BP146)+'Lease Cycles'!$BE$16*IF(BP147&lt;INDEX('Lease Cycles'!$FA$16:$FG$16,1,BP146),0,1-INDEX('Lease Cycles'!$EM$16:$ES$16,1,BP146)),IF(OR(INDEX('Lease Cycles'!$DY$16:$EE$16,1,BP146)=1,BP147&gt;0),1,1-INDEX('Lease Cycles'!$DD$16:$DJ$16,1,BP146))*('Lease Cycles'!$AJ$16*INDEX('Lease Cycles'!$FO$16:$FU$16,1,BP146)+'Lease Cycles'!$BE$16*(1-INDEX('Lease Cycles'!$FO$16:$FU$16,1,BP146)))),0)</f>
        <v>0.03685092127303183</v>
      </c>
      <c r="BQ156" s="24">
        <f>IF(BQ148=1,'Lease Cycles'!$D$16*IF(INDEX('Lease Cycles'!$EF$16:$EL$16,1,BQ146)=1,'Lease Cycles'!$AJ$16*INDEX('Lease Cycles'!$FO$16:$FU$16,1,BQ146)*INDEX('Lease Cycles'!$EM$16:$ES$16,1,BQ146)+'Lease Cycles'!$BE$16*IF(BQ147&lt;INDEX('Lease Cycles'!$FA$16:$FG$16,1,BQ146),0,1-INDEX('Lease Cycles'!$EM$16:$ES$16,1,BQ146)),IF(OR(INDEX('Lease Cycles'!$DY$16:$EE$16,1,BQ146)=1,BQ147&gt;0),1,1-INDEX('Lease Cycles'!$DD$16:$DJ$16,1,BQ146))*('Lease Cycles'!$AJ$16*INDEX('Lease Cycles'!$FO$16:$FU$16,1,BQ146)+'Lease Cycles'!$BE$16*(1-INDEX('Lease Cycles'!$FO$16:$FU$16,1,BQ146)))),0)</f>
        <v>0.03685092127303183</v>
      </c>
      <c r="BR156" s="24">
        <f>IF(BR148=1,'Lease Cycles'!$D$16*IF(INDEX('Lease Cycles'!$EF$16:$EL$16,1,BR146)=1,'Lease Cycles'!$AJ$16*INDEX('Lease Cycles'!$FO$16:$FU$16,1,BR146)*INDEX('Lease Cycles'!$EM$16:$ES$16,1,BR146)+'Lease Cycles'!$BE$16*IF(BR147&lt;INDEX('Lease Cycles'!$FA$16:$FG$16,1,BR146),0,1-INDEX('Lease Cycles'!$EM$16:$ES$16,1,BR146)),IF(OR(INDEX('Lease Cycles'!$DY$16:$EE$16,1,BR146)=1,BR147&gt;0),1,1-INDEX('Lease Cycles'!$DD$16:$DJ$16,1,BR146))*('Lease Cycles'!$AJ$16*INDEX('Lease Cycles'!$FO$16:$FU$16,1,BR146)+'Lease Cycles'!$BE$16*(1-INDEX('Lease Cycles'!$FO$16:$FU$16,1,BR146)))),0)</f>
        <v>0.03685092127303183</v>
      </c>
      <c r="BS156" s="24">
        <f>IF(BS148=1,'Lease Cycles'!$D$16*IF(INDEX('Lease Cycles'!$EF$16:$EL$16,1,BS146)=1,'Lease Cycles'!$AJ$16*INDEX('Lease Cycles'!$FO$16:$FU$16,1,BS146)*INDEX('Lease Cycles'!$EM$16:$ES$16,1,BS146)+'Lease Cycles'!$BE$16*IF(BS147&lt;INDEX('Lease Cycles'!$FA$16:$FG$16,1,BS146),0,1-INDEX('Lease Cycles'!$EM$16:$ES$16,1,BS146)),IF(OR(INDEX('Lease Cycles'!$DY$16:$EE$16,1,BS146)=1,BS147&gt;0),1,1-INDEX('Lease Cycles'!$DD$16:$DJ$16,1,BS146))*('Lease Cycles'!$AJ$16*INDEX('Lease Cycles'!$FO$16:$FU$16,1,BS146)+'Lease Cycles'!$BE$16*(1-INDEX('Lease Cycles'!$FO$16:$FU$16,1,BS146)))),0)</f>
        <v>0.03685092127303183</v>
      </c>
      <c r="BT156" s="24">
        <f>IF(BT148=1,'Lease Cycles'!$D$16*IF(INDEX('Lease Cycles'!$EF$16:$EL$16,1,BT146)=1,'Lease Cycles'!$AJ$16*INDEX('Lease Cycles'!$FO$16:$FU$16,1,BT146)*INDEX('Lease Cycles'!$EM$16:$ES$16,1,BT146)+'Lease Cycles'!$BE$16*IF(BT147&lt;INDEX('Lease Cycles'!$FA$16:$FG$16,1,BT146),0,1-INDEX('Lease Cycles'!$EM$16:$ES$16,1,BT146)),IF(OR(INDEX('Lease Cycles'!$DY$16:$EE$16,1,BT146)=1,BT147&gt;0),1,1-INDEX('Lease Cycles'!$DD$16:$DJ$16,1,BT146))*('Lease Cycles'!$AJ$16*INDEX('Lease Cycles'!$FO$16:$FU$16,1,BT146)+'Lease Cycles'!$BE$16*(1-INDEX('Lease Cycles'!$FO$16:$FU$16,1,BT146)))),0)</f>
        <v>0.03685092127303183</v>
      </c>
      <c r="BU156" s="24">
        <f>IF(BU148=1,'Lease Cycles'!$D$16*IF(INDEX('Lease Cycles'!$EF$16:$EL$16,1,BU146)=1,'Lease Cycles'!$AJ$16*INDEX('Lease Cycles'!$FO$16:$FU$16,1,BU146)*INDEX('Lease Cycles'!$EM$16:$ES$16,1,BU146)+'Lease Cycles'!$BE$16*IF(BU147&lt;INDEX('Lease Cycles'!$FA$16:$FG$16,1,BU146),0,1-INDEX('Lease Cycles'!$EM$16:$ES$16,1,BU146)),IF(OR(INDEX('Lease Cycles'!$DY$16:$EE$16,1,BU146)=1,BU147&gt;0),1,1-INDEX('Lease Cycles'!$DD$16:$DJ$16,1,BU146))*('Lease Cycles'!$AJ$16*INDEX('Lease Cycles'!$FO$16:$FU$16,1,BU146)+'Lease Cycles'!$BE$16*(1-INDEX('Lease Cycles'!$FO$16:$FU$16,1,BU146)))),0)</f>
        <v>0.03685092127303183</v>
      </c>
      <c r="BV156" s="24">
        <f>IF(BV148=1,'Lease Cycles'!$D$16*IF(INDEX('Lease Cycles'!$EF$16:$EL$16,1,BV146)=1,'Lease Cycles'!$AJ$16*INDEX('Lease Cycles'!$FO$16:$FU$16,1,BV146)*INDEX('Lease Cycles'!$EM$16:$ES$16,1,BV146)+'Lease Cycles'!$BE$16*IF(BV147&lt;INDEX('Lease Cycles'!$FA$16:$FG$16,1,BV146),0,1-INDEX('Lease Cycles'!$EM$16:$ES$16,1,BV146)),IF(OR(INDEX('Lease Cycles'!$DY$16:$EE$16,1,BV146)=1,BV147&gt;0),1,1-INDEX('Lease Cycles'!$DD$16:$DJ$16,1,BV146))*('Lease Cycles'!$AJ$16*INDEX('Lease Cycles'!$FO$16:$FU$16,1,BV146)+'Lease Cycles'!$BE$16*(1-INDEX('Lease Cycles'!$FO$16:$FU$16,1,BV146)))),0)</f>
        <v>0.03685092127303183</v>
      </c>
      <c r="BW156" s="24">
        <f>IF(BW148=1,'Lease Cycles'!$D$16*IF(INDEX('Lease Cycles'!$EF$16:$EL$16,1,BW146)=1,'Lease Cycles'!$AJ$16*INDEX('Lease Cycles'!$FO$16:$FU$16,1,BW146)*INDEX('Lease Cycles'!$EM$16:$ES$16,1,BW146)+'Lease Cycles'!$BE$16*IF(BW147&lt;INDEX('Lease Cycles'!$FA$16:$FG$16,1,BW146),0,1-INDEX('Lease Cycles'!$EM$16:$ES$16,1,BW146)),IF(OR(INDEX('Lease Cycles'!$DY$16:$EE$16,1,BW146)=1,BW147&gt;0),1,1-INDEX('Lease Cycles'!$DD$16:$DJ$16,1,BW146))*('Lease Cycles'!$AJ$16*INDEX('Lease Cycles'!$FO$16:$FU$16,1,BW146)+'Lease Cycles'!$BE$16*(1-INDEX('Lease Cycles'!$FO$16:$FU$16,1,BW146)))),0)</f>
        <v>0.03685092127303183</v>
      </c>
      <c r="BX156" s="24">
        <f>IF(BX148=1,'Lease Cycles'!$D$16*IF(INDEX('Lease Cycles'!$EF$16:$EL$16,1,BX146)=1,'Lease Cycles'!$AJ$16*INDEX('Lease Cycles'!$FO$16:$FU$16,1,BX146)*INDEX('Lease Cycles'!$EM$16:$ES$16,1,BX146)+'Lease Cycles'!$BE$16*IF(BX147&lt;INDEX('Lease Cycles'!$FA$16:$FG$16,1,BX146),0,1-INDEX('Lease Cycles'!$EM$16:$ES$16,1,BX146)),IF(OR(INDEX('Lease Cycles'!$DY$16:$EE$16,1,BX146)=1,BX147&gt;0),1,1-INDEX('Lease Cycles'!$DD$16:$DJ$16,1,BX146))*('Lease Cycles'!$AJ$16*INDEX('Lease Cycles'!$FO$16:$FU$16,1,BX146)+'Lease Cycles'!$BE$16*(1-INDEX('Lease Cycles'!$FO$16:$FU$16,1,BX146)))),0)</f>
        <v>0</v>
      </c>
      <c r="BY156" s="24">
        <f>IF(BY148=1,'Lease Cycles'!$D$16*IF(INDEX('Lease Cycles'!$EF$16:$EL$16,1,BY146)=1,'Lease Cycles'!$AJ$16*INDEX('Lease Cycles'!$FO$16:$FU$16,1,BY146)*INDEX('Lease Cycles'!$EM$16:$ES$16,1,BY146)+'Lease Cycles'!$BE$16*IF(BY147&lt;INDEX('Lease Cycles'!$FA$16:$FG$16,1,BY146),0,1-INDEX('Lease Cycles'!$EM$16:$ES$16,1,BY146)),IF(OR(INDEX('Lease Cycles'!$DY$16:$EE$16,1,BY146)=1,BY147&gt;0),1,1-INDEX('Lease Cycles'!$DD$16:$DJ$16,1,BY146))*('Lease Cycles'!$AJ$16*INDEX('Lease Cycles'!$FO$16:$FU$16,1,BY146)+'Lease Cycles'!$BE$16*(1-INDEX('Lease Cycles'!$FO$16:$FU$16,1,BY146)))),0)</f>
        <v>0.02358458961474029</v>
      </c>
      <c r="BZ156" s="24">
        <f>IF(BZ148=1,'Lease Cycles'!$D$16*IF(INDEX('Lease Cycles'!$EF$16:$EL$16,1,BZ146)=1,'Lease Cycles'!$AJ$16*INDEX('Lease Cycles'!$FO$16:$FU$16,1,BZ146)*INDEX('Lease Cycles'!$EM$16:$ES$16,1,BZ146)+'Lease Cycles'!$BE$16*IF(BZ147&lt;INDEX('Lease Cycles'!$FA$16:$FG$16,1,BZ146),0,1-INDEX('Lease Cycles'!$EM$16:$ES$16,1,BZ146)),IF(OR(INDEX('Lease Cycles'!$DY$16:$EE$16,1,BZ146)=1,BZ147&gt;0),1,1-INDEX('Lease Cycles'!$DD$16:$DJ$16,1,BZ146))*('Lease Cycles'!$AJ$16*INDEX('Lease Cycles'!$FO$16:$FU$16,1,BZ146)+'Lease Cycles'!$BE$16*(1-INDEX('Lease Cycles'!$FO$16:$FU$16,1,BZ146)))),0)</f>
        <v>0.029480737018425462</v>
      </c>
      <c r="CA156" s="24">
        <f>IF(CA148=1,'Lease Cycles'!$D$16*IF(INDEX('Lease Cycles'!$EF$16:$EL$16,1,CA146)=1,'Lease Cycles'!$AJ$16*INDEX('Lease Cycles'!$FO$16:$FU$16,1,CA146)*INDEX('Lease Cycles'!$EM$16:$ES$16,1,CA146)+'Lease Cycles'!$BE$16*IF(CA147&lt;INDEX('Lease Cycles'!$FA$16:$FG$16,1,CA146),0,1-INDEX('Lease Cycles'!$EM$16:$ES$16,1,CA146)),IF(OR(INDEX('Lease Cycles'!$DY$16:$EE$16,1,CA146)=1,CA147&gt;0),1,1-INDEX('Lease Cycles'!$DD$16:$DJ$16,1,CA146))*('Lease Cycles'!$AJ$16*INDEX('Lease Cycles'!$FO$16:$FU$16,1,CA146)+'Lease Cycles'!$BE$16*(1-INDEX('Lease Cycles'!$FO$16:$FU$16,1,CA146)))),0)</f>
        <v>0.029480737018425462</v>
      </c>
      <c r="CB156" s="24">
        <f>IF(CB148=1,'Lease Cycles'!$D$16*IF(INDEX('Lease Cycles'!$EF$16:$EL$16,1,CB146)=1,'Lease Cycles'!$AJ$16*INDEX('Lease Cycles'!$FO$16:$FU$16,1,CB146)*INDEX('Lease Cycles'!$EM$16:$ES$16,1,CB146)+'Lease Cycles'!$BE$16*IF(CB147&lt;INDEX('Lease Cycles'!$FA$16:$FG$16,1,CB146),0,1-INDEX('Lease Cycles'!$EM$16:$ES$16,1,CB146)),IF(OR(INDEX('Lease Cycles'!$DY$16:$EE$16,1,CB146)=1,CB147&gt;0),1,1-INDEX('Lease Cycles'!$DD$16:$DJ$16,1,CB146))*('Lease Cycles'!$AJ$16*INDEX('Lease Cycles'!$FO$16:$FU$16,1,CB146)+'Lease Cycles'!$BE$16*(1-INDEX('Lease Cycles'!$FO$16:$FU$16,1,CB146)))),0)</f>
        <v>0.029480737018425462</v>
      </c>
      <c r="CC156" s="24">
        <f>IF(CC148=1,'Lease Cycles'!$D$16*IF(INDEX('Lease Cycles'!$EF$16:$EL$16,1,CC146)=1,'Lease Cycles'!$AJ$16*INDEX('Lease Cycles'!$FO$16:$FU$16,1,CC146)*INDEX('Lease Cycles'!$EM$16:$ES$16,1,CC146)+'Lease Cycles'!$BE$16*IF(CC147&lt;INDEX('Lease Cycles'!$FA$16:$FG$16,1,CC146),0,1-INDEX('Lease Cycles'!$EM$16:$ES$16,1,CC146)),IF(OR(INDEX('Lease Cycles'!$DY$16:$EE$16,1,CC146)=1,CC147&gt;0),1,1-INDEX('Lease Cycles'!$DD$16:$DJ$16,1,CC146))*('Lease Cycles'!$AJ$16*INDEX('Lease Cycles'!$FO$16:$FU$16,1,CC146)+'Lease Cycles'!$BE$16*(1-INDEX('Lease Cycles'!$FO$16:$FU$16,1,CC146)))),0)</f>
        <v>0.029480737018425462</v>
      </c>
      <c r="CD156" s="24">
        <f>IF(CD148=1,'Lease Cycles'!$D$16*IF(INDEX('Lease Cycles'!$EF$16:$EL$16,1,CD146)=1,'Lease Cycles'!$AJ$16*INDEX('Lease Cycles'!$FO$16:$FU$16,1,CD146)*INDEX('Lease Cycles'!$EM$16:$ES$16,1,CD146)+'Lease Cycles'!$BE$16*IF(CD147&lt;INDEX('Lease Cycles'!$FA$16:$FG$16,1,CD146),0,1-INDEX('Lease Cycles'!$EM$16:$ES$16,1,CD146)),IF(OR(INDEX('Lease Cycles'!$DY$16:$EE$16,1,CD146)=1,CD147&gt;0),1,1-INDEX('Lease Cycles'!$DD$16:$DJ$16,1,CD146))*('Lease Cycles'!$AJ$16*INDEX('Lease Cycles'!$FO$16:$FU$16,1,CD146)+'Lease Cycles'!$BE$16*(1-INDEX('Lease Cycles'!$FO$16:$FU$16,1,CD146)))),0)</f>
        <v>0.029480737018425462</v>
      </c>
      <c r="CE156" s="24">
        <f>IF(CE148=1,'Lease Cycles'!$D$16*IF(INDEX('Lease Cycles'!$EF$16:$EL$16,1,CE146)=1,'Lease Cycles'!$AJ$16*INDEX('Lease Cycles'!$FO$16:$FU$16,1,CE146)*INDEX('Lease Cycles'!$EM$16:$ES$16,1,CE146)+'Lease Cycles'!$BE$16*IF(CE147&lt;INDEX('Lease Cycles'!$FA$16:$FG$16,1,CE146),0,1-INDEX('Lease Cycles'!$EM$16:$ES$16,1,CE146)),IF(OR(INDEX('Lease Cycles'!$DY$16:$EE$16,1,CE146)=1,CE147&gt;0),1,1-INDEX('Lease Cycles'!$DD$16:$DJ$16,1,CE146))*('Lease Cycles'!$AJ$16*INDEX('Lease Cycles'!$FO$16:$FU$16,1,CE146)+'Lease Cycles'!$BE$16*(1-INDEX('Lease Cycles'!$FO$16:$FU$16,1,CE146)))),0)</f>
        <v>0.029480737018425462</v>
      </c>
      <c r="CF156" s="24">
        <f>IF(CF148=1,'Lease Cycles'!$D$16*IF(INDEX('Lease Cycles'!$EF$16:$EL$16,1,CF146)=1,'Lease Cycles'!$AJ$16*INDEX('Lease Cycles'!$FO$16:$FU$16,1,CF146)*INDEX('Lease Cycles'!$EM$16:$ES$16,1,CF146)+'Lease Cycles'!$BE$16*IF(CF147&lt;INDEX('Lease Cycles'!$FA$16:$FG$16,1,CF146),0,1-INDEX('Lease Cycles'!$EM$16:$ES$16,1,CF146)),IF(OR(INDEX('Lease Cycles'!$DY$16:$EE$16,1,CF146)=1,CF147&gt;0),1,1-INDEX('Lease Cycles'!$DD$16:$DJ$16,1,CF146))*('Lease Cycles'!$AJ$16*INDEX('Lease Cycles'!$FO$16:$FU$16,1,CF146)+'Lease Cycles'!$BE$16*(1-INDEX('Lease Cycles'!$FO$16:$FU$16,1,CF146)))),0)</f>
        <v>0.029480737018425462</v>
      </c>
      <c r="CG156" s="24">
        <f>IF(CG148=1,'Lease Cycles'!$D$16*IF(INDEX('Lease Cycles'!$EF$16:$EL$16,1,CG146)=1,'Lease Cycles'!$AJ$16*INDEX('Lease Cycles'!$FO$16:$FU$16,1,CG146)*INDEX('Lease Cycles'!$EM$16:$ES$16,1,CG146)+'Lease Cycles'!$BE$16*IF(CG147&lt;INDEX('Lease Cycles'!$FA$16:$FG$16,1,CG146),0,1-INDEX('Lease Cycles'!$EM$16:$ES$16,1,CG146)),IF(OR(INDEX('Lease Cycles'!$DY$16:$EE$16,1,CG146)=1,CG147&gt;0),1,1-INDEX('Lease Cycles'!$DD$16:$DJ$16,1,CG146))*('Lease Cycles'!$AJ$16*INDEX('Lease Cycles'!$FO$16:$FU$16,1,CG146)+'Lease Cycles'!$BE$16*(1-INDEX('Lease Cycles'!$FO$16:$FU$16,1,CG146)))),0)</f>
        <v>0.029480737018425462</v>
      </c>
      <c r="CH156" s="24">
        <f>IF(CH148=1,'Lease Cycles'!$D$16*IF(INDEX('Lease Cycles'!$EF$16:$EL$16,1,CH146)=1,'Lease Cycles'!$AJ$16*INDEX('Lease Cycles'!$FO$16:$FU$16,1,CH146)*INDEX('Lease Cycles'!$EM$16:$ES$16,1,CH146)+'Lease Cycles'!$BE$16*IF(CH147&lt;INDEX('Lease Cycles'!$FA$16:$FG$16,1,CH146),0,1-INDEX('Lease Cycles'!$EM$16:$ES$16,1,CH146)),IF(OR(INDEX('Lease Cycles'!$DY$16:$EE$16,1,CH146)=1,CH147&gt;0),1,1-INDEX('Lease Cycles'!$DD$16:$DJ$16,1,CH146))*('Lease Cycles'!$AJ$16*INDEX('Lease Cycles'!$FO$16:$FU$16,1,CH146)+'Lease Cycles'!$BE$16*(1-INDEX('Lease Cycles'!$FO$16:$FU$16,1,CH146)))),0)</f>
        <v>0.029480737018425462</v>
      </c>
      <c r="CI156" s="24">
        <f>IF(CI148=1,'Lease Cycles'!$D$16*IF(INDEX('Lease Cycles'!$EF$16:$EL$16,1,CI146)=1,'Lease Cycles'!$AJ$16*INDEX('Lease Cycles'!$FO$16:$FU$16,1,CI146)*INDEX('Lease Cycles'!$EM$16:$ES$16,1,CI146)+'Lease Cycles'!$BE$16*IF(CI147&lt;INDEX('Lease Cycles'!$FA$16:$FG$16,1,CI146),0,1-INDEX('Lease Cycles'!$EM$16:$ES$16,1,CI146)),IF(OR(INDEX('Lease Cycles'!$DY$16:$EE$16,1,CI146)=1,CI147&gt;0),1,1-INDEX('Lease Cycles'!$DD$16:$DJ$16,1,CI146))*('Lease Cycles'!$AJ$16*INDEX('Lease Cycles'!$FO$16:$FU$16,1,CI146)+'Lease Cycles'!$BE$16*(1-INDEX('Lease Cycles'!$FO$16:$FU$16,1,CI146)))),0)</f>
        <v>0.029480737018425462</v>
      </c>
      <c r="CJ156" s="24">
        <f>IF(CJ148=1,'Lease Cycles'!$D$16*IF(INDEX('Lease Cycles'!$EF$16:$EL$16,1,CJ146)=1,'Lease Cycles'!$AJ$16*INDEX('Lease Cycles'!$FO$16:$FU$16,1,CJ146)*INDEX('Lease Cycles'!$EM$16:$ES$16,1,CJ146)+'Lease Cycles'!$BE$16*IF(CJ147&lt;INDEX('Lease Cycles'!$FA$16:$FG$16,1,CJ146),0,1-INDEX('Lease Cycles'!$EM$16:$ES$16,1,CJ146)),IF(OR(INDEX('Lease Cycles'!$DY$16:$EE$16,1,CJ146)=1,CJ147&gt;0),1,1-INDEX('Lease Cycles'!$DD$16:$DJ$16,1,CJ146))*('Lease Cycles'!$AJ$16*INDEX('Lease Cycles'!$FO$16:$FU$16,1,CJ146)+'Lease Cycles'!$BE$16*(1-INDEX('Lease Cycles'!$FO$16:$FU$16,1,CJ146)))),0)</f>
        <v>0.029480737018425462</v>
      </c>
      <c r="CK156" s="24">
        <f>IF(CK148=1,'Lease Cycles'!$D$16*IF(INDEX('Lease Cycles'!$EF$16:$EL$16,1,CK146)=1,'Lease Cycles'!$AJ$16*INDEX('Lease Cycles'!$FO$16:$FU$16,1,CK146)*INDEX('Lease Cycles'!$EM$16:$ES$16,1,CK146)+'Lease Cycles'!$BE$16*IF(CK147&lt;INDEX('Lease Cycles'!$FA$16:$FG$16,1,CK146),0,1-INDEX('Lease Cycles'!$EM$16:$ES$16,1,CK146)),IF(OR(INDEX('Lease Cycles'!$DY$16:$EE$16,1,CK146)=1,CK147&gt;0),1,1-INDEX('Lease Cycles'!$DD$16:$DJ$16,1,CK146))*('Lease Cycles'!$AJ$16*INDEX('Lease Cycles'!$FO$16:$FU$16,1,CK146)+'Lease Cycles'!$BE$16*(1-INDEX('Lease Cycles'!$FO$16:$FU$16,1,CK146)))),0)</f>
        <v>0.029480737018425462</v>
      </c>
      <c r="CL156" s="24">
        <f>IF(CL148=1,'Lease Cycles'!$D$16*IF(INDEX('Lease Cycles'!$EF$16:$EL$16,1,CL146)=1,'Lease Cycles'!$AJ$16*INDEX('Lease Cycles'!$FO$16:$FU$16,1,CL146)*INDEX('Lease Cycles'!$EM$16:$ES$16,1,CL146)+'Lease Cycles'!$BE$16*IF(CL147&lt;INDEX('Lease Cycles'!$FA$16:$FG$16,1,CL146),0,1-INDEX('Lease Cycles'!$EM$16:$ES$16,1,CL146)),IF(OR(INDEX('Lease Cycles'!$DY$16:$EE$16,1,CL146)=1,CL147&gt;0),1,1-INDEX('Lease Cycles'!$DD$16:$DJ$16,1,CL146))*('Lease Cycles'!$AJ$16*INDEX('Lease Cycles'!$FO$16:$FU$16,1,CL146)+'Lease Cycles'!$BE$16*(1-INDEX('Lease Cycles'!$FO$16:$FU$16,1,CL146)))),0)</f>
        <v>0.029480737018425462</v>
      </c>
      <c r="CM156" s="24">
        <f>IF(CM148=1,'Lease Cycles'!$D$16*IF(INDEX('Lease Cycles'!$EF$16:$EL$16,1,CM146)=1,'Lease Cycles'!$AJ$16*INDEX('Lease Cycles'!$FO$16:$FU$16,1,CM146)*INDEX('Lease Cycles'!$EM$16:$ES$16,1,CM146)+'Lease Cycles'!$BE$16*IF(CM147&lt;INDEX('Lease Cycles'!$FA$16:$FG$16,1,CM146),0,1-INDEX('Lease Cycles'!$EM$16:$ES$16,1,CM146)),IF(OR(INDEX('Lease Cycles'!$DY$16:$EE$16,1,CM146)=1,CM147&gt;0),1,1-INDEX('Lease Cycles'!$DD$16:$DJ$16,1,CM146))*('Lease Cycles'!$AJ$16*INDEX('Lease Cycles'!$FO$16:$FU$16,1,CM146)+'Lease Cycles'!$BE$16*(1-INDEX('Lease Cycles'!$FO$16:$FU$16,1,CM146)))),0)</f>
        <v>0.029480737018425462</v>
      </c>
      <c r="CN156" s="24">
        <f>IF(CN148=1,'Lease Cycles'!$D$16*IF(INDEX('Lease Cycles'!$EF$16:$EL$16,1,CN146)=1,'Lease Cycles'!$AJ$16*INDEX('Lease Cycles'!$FO$16:$FU$16,1,CN146)*INDEX('Lease Cycles'!$EM$16:$ES$16,1,CN146)+'Lease Cycles'!$BE$16*IF(CN147&lt;INDEX('Lease Cycles'!$FA$16:$FG$16,1,CN146),0,1-INDEX('Lease Cycles'!$EM$16:$ES$16,1,CN146)),IF(OR(INDEX('Lease Cycles'!$DY$16:$EE$16,1,CN146)=1,CN147&gt;0),1,1-INDEX('Lease Cycles'!$DD$16:$DJ$16,1,CN146))*('Lease Cycles'!$AJ$16*INDEX('Lease Cycles'!$FO$16:$FU$16,1,CN146)+'Lease Cycles'!$BE$16*(1-INDEX('Lease Cycles'!$FO$16:$FU$16,1,CN146)))),0)</f>
        <v>0.029480737018425462</v>
      </c>
      <c r="CO156" s="24">
        <f>IF(CO148=1,'Lease Cycles'!$D$16*IF(INDEX('Lease Cycles'!$EF$16:$EL$16,1,CO146)=1,'Lease Cycles'!$AJ$16*INDEX('Lease Cycles'!$FO$16:$FU$16,1,CO146)*INDEX('Lease Cycles'!$EM$16:$ES$16,1,CO146)+'Lease Cycles'!$BE$16*IF(CO147&lt;INDEX('Lease Cycles'!$FA$16:$FG$16,1,CO146),0,1-INDEX('Lease Cycles'!$EM$16:$ES$16,1,CO146)),IF(OR(INDEX('Lease Cycles'!$DY$16:$EE$16,1,CO146)=1,CO147&gt;0),1,1-INDEX('Lease Cycles'!$DD$16:$DJ$16,1,CO146))*('Lease Cycles'!$AJ$16*INDEX('Lease Cycles'!$FO$16:$FU$16,1,CO146)+'Lease Cycles'!$BE$16*(1-INDEX('Lease Cycles'!$FO$16:$FU$16,1,CO146)))),0)</f>
        <v>0.029480737018425462</v>
      </c>
      <c r="CP156" s="24">
        <f>IF(CP148=1,'Lease Cycles'!$D$16*IF(INDEX('Lease Cycles'!$EF$16:$EL$16,1,CP146)=1,'Lease Cycles'!$AJ$16*INDEX('Lease Cycles'!$FO$16:$FU$16,1,CP146)*INDEX('Lease Cycles'!$EM$16:$ES$16,1,CP146)+'Lease Cycles'!$BE$16*IF(CP147&lt;INDEX('Lease Cycles'!$FA$16:$FG$16,1,CP146),0,1-INDEX('Lease Cycles'!$EM$16:$ES$16,1,CP146)),IF(OR(INDEX('Lease Cycles'!$DY$16:$EE$16,1,CP146)=1,CP147&gt;0),1,1-INDEX('Lease Cycles'!$DD$16:$DJ$16,1,CP146))*('Lease Cycles'!$AJ$16*INDEX('Lease Cycles'!$FO$16:$FU$16,1,CP146)+'Lease Cycles'!$BE$16*(1-INDEX('Lease Cycles'!$FO$16:$FU$16,1,CP146)))),0)</f>
        <v>0.029480737018425462</v>
      </c>
      <c r="CQ156" s="24">
        <f>IF(CQ148=1,'Lease Cycles'!$D$16*IF(INDEX('Lease Cycles'!$EF$16:$EL$16,1,CQ146)=1,'Lease Cycles'!$AJ$16*INDEX('Lease Cycles'!$FO$16:$FU$16,1,CQ146)*INDEX('Lease Cycles'!$EM$16:$ES$16,1,CQ146)+'Lease Cycles'!$BE$16*IF(CQ147&lt;INDEX('Lease Cycles'!$FA$16:$FG$16,1,CQ146),0,1-INDEX('Lease Cycles'!$EM$16:$ES$16,1,CQ146)),IF(OR(INDEX('Lease Cycles'!$DY$16:$EE$16,1,CQ146)=1,CQ147&gt;0),1,1-INDEX('Lease Cycles'!$DD$16:$DJ$16,1,CQ146))*('Lease Cycles'!$AJ$16*INDEX('Lease Cycles'!$FO$16:$FU$16,1,CQ146)+'Lease Cycles'!$BE$16*(1-INDEX('Lease Cycles'!$FO$16:$FU$16,1,CQ146)))),0)</f>
        <v>0.029480737018425462</v>
      </c>
      <c r="CR156" s="24">
        <f>IF(CR148=1,'Lease Cycles'!$D$16*IF(INDEX('Lease Cycles'!$EF$16:$EL$16,1,CR146)=1,'Lease Cycles'!$AJ$16*INDEX('Lease Cycles'!$FO$16:$FU$16,1,CR146)*INDEX('Lease Cycles'!$EM$16:$ES$16,1,CR146)+'Lease Cycles'!$BE$16*IF(CR147&lt;INDEX('Lease Cycles'!$FA$16:$FG$16,1,CR146),0,1-INDEX('Lease Cycles'!$EM$16:$ES$16,1,CR146)),IF(OR(INDEX('Lease Cycles'!$DY$16:$EE$16,1,CR146)=1,CR147&gt;0),1,1-INDEX('Lease Cycles'!$DD$16:$DJ$16,1,CR146))*('Lease Cycles'!$AJ$16*INDEX('Lease Cycles'!$FO$16:$FU$16,1,CR146)+'Lease Cycles'!$BE$16*(1-INDEX('Lease Cycles'!$FO$16:$FU$16,1,CR146)))),0)</f>
        <v>0.029480737018425462</v>
      </c>
      <c r="CS156" s="24">
        <f>IF(CS148=1,'Lease Cycles'!$D$16*IF(INDEX('Lease Cycles'!$EF$16:$EL$16,1,CS146)=1,'Lease Cycles'!$AJ$16*INDEX('Lease Cycles'!$FO$16:$FU$16,1,CS146)*INDEX('Lease Cycles'!$EM$16:$ES$16,1,CS146)+'Lease Cycles'!$BE$16*IF(CS147&lt;INDEX('Lease Cycles'!$FA$16:$FG$16,1,CS146),0,1-INDEX('Lease Cycles'!$EM$16:$ES$16,1,CS146)),IF(OR(INDEX('Lease Cycles'!$DY$16:$EE$16,1,CS146)=1,CS147&gt;0),1,1-INDEX('Lease Cycles'!$DD$16:$DJ$16,1,CS146))*('Lease Cycles'!$AJ$16*INDEX('Lease Cycles'!$FO$16:$FU$16,1,CS146)+'Lease Cycles'!$BE$16*(1-INDEX('Lease Cycles'!$FO$16:$FU$16,1,CS146)))),0)</f>
        <v>0.029480737018425462</v>
      </c>
      <c r="CT156" s="24">
        <f>IF(CT148=1,'Lease Cycles'!$D$16*IF(INDEX('Lease Cycles'!$EF$16:$EL$16,1,CT146)=1,'Lease Cycles'!$AJ$16*INDEX('Lease Cycles'!$FO$16:$FU$16,1,CT146)*INDEX('Lease Cycles'!$EM$16:$ES$16,1,CT146)+'Lease Cycles'!$BE$16*IF(CT147&lt;INDEX('Lease Cycles'!$FA$16:$FG$16,1,CT146),0,1-INDEX('Lease Cycles'!$EM$16:$ES$16,1,CT146)),IF(OR(INDEX('Lease Cycles'!$DY$16:$EE$16,1,CT146)=1,CT147&gt;0),1,1-INDEX('Lease Cycles'!$DD$16:$DJ$16,1,CT146))*('Lease Cycles'!$AJ$16*INDEX('Lease Cycles'!$FO$16:$FU$16,1,CT146)+'Lease Cycles'!$BE$16*(1-INDEX('Lease Cycles'!$FO$16:$FU$16,1,CT146)))),0)</f>
        <v>0.029480737018425462</v>
      </c>
      <c r="CU156" s="24">
        <f>IF(CU148=1,'Lease Cycles'!$D$16*IF(INDEX('Lease Cycles'!$EF$16:$EL$16,1,CU146)=1,'Lease Cycles'!$AJ$16*INDEX('Lease Cycles'!$FO$16:$FU$16,1,CU146)*INDEX('Lease Cycles'!$EM$16:$ES$16,1,CU146)+'Lease Cycles'!$BE$16*IF(CU147&lt;INDEX('Lease Cycles'!$FA$16:$FG$16,1,CU146),0,1-INDEX('Lease Cycles'!$EM$16:$ES$16,1,CU146)),IF(OR(INDEX('Lease Cycles'!$DY$16:$EE$16,1,CU146)=1,CU147&gt;0),1,1-INDEX('Lease Cycles'!$DD$16:$DJ$16,1,CU146))*('Lease Cycles'!$AJ$16*INDEX('Lease Cycles'!$FO$16:$FU$16,1,CU146)+'Lease Cycles'!$BE$16*(1-INDEX('Lease Cycles'!$FO$16:$FU$16,1,CU146)))),0)</f>
        <v>0.029480737018425462</v>
      </c>
      <c r="CV156" s="24">
        <f>IF(CV148=1,'Lease Cycles'!$D$16*IF(INDEX('Lease Cycles'!$EF$16:$EL$16,1,CV146)=1,'Lease Cycles'!$AJ$16*INDEX('Lease Cycles'!$FO$16:$FU$16,1,CV146)*INDEX('Lease Cycles'!$EM$16:$ES$16,1,CV146)+'Lease Cycles'!$BE$16*IF(CV147&lt;INDEX('Lease Cycles'!$FA$16:$FG$16,1,CV146),0,1-INDEX('Lease Cycles'!$EM$16:$ES$16,1,CV146)),IF(OR(INDEX('Lease Cycles'!$DY$16:$EE$16,1,CV146)=1,CV147&gt;0),1,1-INDEX('Lease Cycles'!$DD$16:$DJ$16,1,CV146))*('Lease Cycles'!$AJ$16*INDEX('Lease Cycles'!$FO$16:$FU$16,1,CV146)+'Lease Cycles'!$BE$16*(1-INDEX('Lease Cycles'!$FO$16:$FU$16,1,CV146)))),0)</f>
        <v>0.029480737018425462</v>
      </c>
      <c r="CW156" s="24">
        <f>IF(CW148=1,'Lease Cycles'!$D$16*IF(INDEX('Lease Cycles'!$EF$16:$EL$16,1,CW146)=1,'Lease Cycles'!$AJ$16*INDEX('Lease Cycles'!$FO$16:$FU$16,1,CW146)*INDEX('Lease Cycles'!$EM$16:$ES$16,1,CW146)+'Lease Cycles'!$BE$16*IF(CW147&lt;INDEX('Lease Cycles'!$FA$16:$FG$16,1,CW146),0,1-INDEX('Lease Cycles'!$EM$16:$ES$16,1,CW146)),IF(OR(INDEX('Lease Cycles'!$DY$16:$EE$16,1,CW146)=1,CW147&gt;0),1,1-INDEX('Lease Cycles'!$DD$16:$DJ$16,1,CW146))*('Lease Cycles'!$AJ$16*INDEX('Lease Cycles'!$FO$16:$FU$16,1,CW146)+'Lease Cycles'!$BE$16*(1-INDEX('Lease Cycles'!$FO$16:$FU$16,1,CW146)))),0)</f>
        <v>0.029480737018425462</v>
      </c>
      <c r="CX156" s="24">
        <f>IF(CX148=1,'Lease Cycles'!$D$16*IF(INDEX('Lease Cycles'!$EF$16:$EL$16,1,CX146)=1,'Lease Cycles'!$AJ$16*INDEX('Lease Cycles'!$FO$16:$FU$16,1,CX146)*INDEX('Lease Cycles'!$EM$16:$ES$16,1,CX146)+'Lease Cycles'!$BE$16*IF(CX147&lt;INDEX('Lease Cycles'!$FA$16:$FG$16,1,CX146),0,1-INDEX('Lease Cycles'!$EM$16:$ES$16,1,CX146)),IF(OR(INDEX('Lease Cycles'!$DY$16:$EE$16,1,CX146)=1,CX147&gt;0),1,1-INDEX('Lease Cycles'!$DD$16:$DJ$16,1,CX146))*('Lease Cycles'!$AJ$16*INDEX('Lease Cycles'!$FO$16:$FU$16,1,CX146)+'Lease Cycles'!$BE$16*(1-INDEX('Lease Cycles'!$FO$16:$FU$16,1,CX146)))),0)</f>
        <v>0.029480737018425462</v>
      </c>
      <c r="CY156" s="24">
        <f>IF(CY148=1,'Lease Cycles'!$D$16*IF(INDEX('Lease Cycles'!$EF$16:$EL$16,1,CY146)=1,'Lease Cycles'!$AJ$16*INDEX('Lease Cycles'!$FO$16:$FU$16,1,CY146)*INDEX('Lease Cycles'!$EM$16:$ES$16,1,CY146)+'Lease Cycles'!$BE$16*IF(CY147&lt;INDEX('Lease Cycles'!$FA$16:$FG$16,1,CY146),0,1-INDEX('Lease Cycles'!$EM$16:$ES$16,1,CY146)),IF(OR(INDEX('Lease Cycles'!$DY$16:$EE$16,1,CY146)=1,CY147&gt;0),1,1-INDEX('Lease Cycles'!$DD$16:$DJ$16,1,CY146))*('Lease Cycles'!$AJ$16*INDEX('Lease Cycles'!$FO$16:$FU$16,1,CY146)+'Lease Cycles'!$BE$16*(1-INDEX('Lease Cycles'!$FO$16:$FU$16,1,CY146)))),0)</f>
        <v>0.029480737018425462</v>
      </c>
      <c r="CZ156" s="24">
        <f>IF(CZ148=1,'Lease Cycles'!$D$16*IF(INDEX('Lease Cycles'!$EF$16:$EL$16,1,CZ146)=1,'Lease Cycles'!$AJ$16*INDEX('Lease Cycles'!$FO$16:$FU$16,1,CZ146)*INDEX('Lease Cycles'!$EM$16:$ES$16,1,CZ146)+'Lease Cycles'!$BE$16*IF(CZ147&lt;INDEX('Lease Cycles'!$FA$16:$FG$16,1,CZ146),0,1-INDEX('Lease Cycles'!$EM$16:$ES$16,1,CZ146)),IF(OR(INDEX('Lease Cycles'!$DY$16:$EE$16,1,CZ146)=1,CZ147&gt;0),1,1-INDEX('Lease Cycles'!$DD$16:$DJ$16,1,CZ146))*('Lease Cycles'!$AJ$16*INDEX('Lease Cycles'!$FO$16:$FU$16,1,CZ146)+'Lease Cycles'!$BE$16*(1-INDEX('Lease Cycles'!$FO$16:$FU$16,1,CZ146)))),0)</f>
        <v>0.029480737018425462</v>
      </c>
      <c r="DA156" s="24">
        <f>IF(DA148=1,'Lease Cycles'!$D$16*IF(INDEX('Lease Cycles'!$EF$16:$EL$16,1,DA146)=1,'Lease Cycles'!$AJ$16*INDEX('Lease Cycles'!$FO$16:$FU$16,1,DA146)*INDEX('Lease Cycles'!$EM$16:$ES$16,1,DA146)+'Lease Cycles'!$BE$16*IF(DA147&lt;INDEX('Lease Cycles'!$FA$16:$FG$16,1,DA146),0,1-INDEX('Lease Cycles'!$EM$16:$ES$16,1,DA146)),IF(OR(INDEX('Lease Cycles'!$DY$16:$EE$16,1,DA146)=1,DA147&gt;0),1,1-INDEX('Lease Cycles'!$DD$16:$DJ$16,1,DA146))*('Lease Cycles'!$AJ$16*INDEX('Lease Cycles'!$FO$16:$FU$16,1,DA146)+'Lease Cycles'!$BE$16*(1-INDEX('Lease Cycles'!$FO$16:$FU$16,1,DA146)))),0)</f>
        <v>0.029480737018425462</v>
      </c>
      <c r="DB156" s="24">
        <f>IF(DB148=1,'Lease Cycles'!$D$16*IF(INDEX('Lease Cycles'!$EF$16:$EL$16,1,DB146)=1,'Lease Cycles'!$AJ$16*INDEX('Lease Cycles'!$FO$16:$FU$16,1,DB146)*INDEX('Lease Cycles'!$EM$16:$ES$16,1,DB146)+'Lease Cycles'!$BE$16*IF(DB147&lt;INDEX('Lease Cycles'!$FA$16:$FG$16,1,DB146),0,1-INDEX('Lease Cycles'!$EM$16:$ES$16,1,DB146)),IF(OR(INDEX('Lease Cycles'!$DY$16:$EE$16,1,DB146)=1,DB147&gt;0),1,1-INDEX('Lease Cycles'!$DD$16:$DJ$16,1,DB146))*('Lease Cycles'!$AJ$16*INDEX('Lease Cycles'!$FO$16:$FU$16,1,DB146)+'Lease Cycles'!$BE$16*(1-INDEX('Lease Cycles'!$FO$16:$FU$16,1,DB146)))),0)</f>
        <v>0.029480737018425462</v>
      </c>
      <c r="DC156" s="24">
        <f>IF(DC148=1,'Lease Cycles'!$D$16*IF(INDEX('Lease Cycles'!$EF$16:$EL$16,1,DC146)=1,'Lease Cycles'!$AJ$16*INDEX('Lease Cycles'!$FO$16:$FU$16,1,DC146)*INDEX('Lease Cycles'!$EM$16:$ES$16,1,DC146)+'Lease Cycles'!$BE$16*IF(DC147&lt;INDEX('Lease Cycles'!$FA$16:$FG$16,1,DC146),0,1-INDEX('Lease Cycles'!$EM$16:$ES$16,1,DC146)),IF(OR(INDEX('Lease Cycles'!$DY$16:$EE$16,1,DC146)=1,DC147&gt;0),1,1-INDEX('Lease Cycles'!$DD$16:$DJ$16,1,DC146))*('Lease Cycles'!$AJ$16*INDEX('Lease Cycles'!$FO$16:$FU$16,1,DC146)+'Lease Cycles'!$BE$16*(1-INDEX('Lease Cycles'!$FO$16:$FU$16,1,DC146)))),0)</f>
        <v>0.029480737018425462</v>
      </c>
      <c r="DD156" s="24">
        <f>IF(DD148=1,'Lease Cycles'!$D$16*IF(INDEX('Lease Cycles'!$EF$16:$EL$16,1,DD146)=1,'Lease Cycles'!$AJ$16*INDEX('Lease Cycles'!$FO$16:$FU$16,1,DD146)*INDEX('Lease Cycles'!$EM$16:$ES$16,1,DD146)+'Lease Cycles'!$BE$16*IF(DD147&lt;INDEX('Lease Cycles'!$FA$16:$FG$16,1,DD146),0,1-INDEX('Lease Cycles'!$EM$16:$ES$16,1,DD146)),IF(OR(INDEX('Lease Cycles'!$DY$16:$EE$16,1,DD146)=1,DD147&gt;0),1,1-INDEX('Lease Cycles'!$DD$16:$DJ$16,1,DD146))*('Lease Cycles'!$AJ$16*INDEX('Lease Cycles'!$FO$16:$FU$16,1,DD146)+'Lease Cycles'!$BE$16*(1-INDEX('Lease Cycles'!$FO$16:$FU$16,1,DD146)))),0)</f>
        <v>0.029480737018425462</v>
      </c>
      <c r="DE156" s="24">
        <f>IF(DE148=1,'Lease Cycles'!$D$16*IF(INDEX('Lease Cycles'!$EF$16:$EL$16,1,DE146)=1,'Lease Cycles'!$AJ$16*INDEX('Lease Cycles'!$FO$16:$FU$16,1,DE146)*INDEX('Lease Cycles'!$EM$16:$ES$16,1,DE146)+'Lease Cycles'!$BE$16*IF(DE147&lt;INDEX('Lease Cycles'!$FA$16:$FG$16,1,DE146),0,1-INDEX('Lease Cycles'!$EM$16:$ES$16,1,DE146)),IF(OR(INDEX('Lease Cycles'!$DY$16:$EE$16,1,DE146)=1,DE147&gt;0),1,1-INDEX('Lease Cycles'!$DD$16:$DJ$16,1,DE146))*('Lease Cycles'!$AJ$16*INDEX('Lease Cycles'!$FO$16:$FU$16,1,DE146)+'Lease Cycles'!$BE$16*(1-INDEX('Lease Cycles'!$FO$16:$FU$16,1,DE146)))),0)</f>
        <v>0.029480737018425462</v>
      </c>
      <c r="DF156" s="24">
        <f>IF(DF148=1,'Lease Cycles'!$D$16*IF(INDEX('Lease Cycles'!$EF$16:$EL$16,1,DF146)=1,'Lease Cycles'!$AJ$16*INDEX('Lease Cycles'!$FO$16:$FU$16,1,DF146)*INDEX('Lease Cycles'!$EM$16:$ES$16,1,DF146)+'Lease Cycles'!$BE$16*IF(DF147&lt;INDEX('Lease Cycles'!$FA$16:$FG$16,1,DF146),0,1-INDEX('Lease Cycles'!$EM$16:$ES$16,1,DF146)),IF(OR(INDEX('Lease Cycles'!$DY$16:$EE$16,1,DF146)=1,DF147&gt;0),1,1-INDEX('Lease Cycles'!$DD$16:$DJ$16,1,DF146))*('Lease Cycles'!$AJ$16*INDEX('Lease Cycles'!$FO$16:$FU$16,1,DF146)+'Lease Cycles'!$BE$16*(1-INDEX('Lease Cycles'!$FO$16:$FU$16,1,DF146)))),0)</f>
        <v>0.029480737018425462</v>
      </c>
      <c r="DG156" s="24">
        <f>IF(DG148=1,'Lease Cycles'!$D$16*IF(INDEX('Lease Cycles'!$EF$16:$EL$16,1,DG146)=1,'Lease Cycles'!$AJ$16*INDEX('Lease Cycles'!$FO$16:$FU$16,1,DG146)*INDEX('Lease Cycles'!$EM$16:$ES$16,1,DG146)+'Lease Cycles'!$BE$16*IF(DG147&lt;INDEX('Lease Cycles'!$FA$16:$FG$16,1,DG146),0,1-INDEX('Lease Cycles'!$EM$16:$ES$16,1,DG146)),IF(OR(INDEX('Lease Cycles'!$DY$16:$EE$16,1,DG146)=1,DG147&gt;0),1,1-INDEX('Lease Cycles'!$DD$16:$DJ$16,1,DG146))*('Lease Cycles'!$AJ$16*INDEX('Lease Cycles'!$FO$16:$FU$16,1,DG146)+'Lease Cycles'!$BE$16*(1-INDEX('Lease Cycles'!$FO$16:$FU$16,1,DG146)))),0)</f>
        <v>0.029480737018425462</v>
      </c>
      <c r="DH156" s="24">
        <f>IF(DH148=1,'Lease Cycles'!$D$16*IF(INDEX('Lease Cycles'!$EF$16:$EL$16,1,DH146)=1,'Lease Cycles'!$AJ$16*INDEX('Lease Cycles'!$FO$16:$FU$16,1,DH146)*INDEX('Lease Cycles'!$EM$16:$ES$16,1,DH146)+'Lease Cycles'!$BE$16*IF(DH147&lt;INDEX('Lease Cycles'!$FA$16:$FG$16,1,DH146),0,1-INDEX('Lease Cycles'!$EM$16:$ES$16,1,DH146)),IF(OR(INDEX('Lease Cycles'!$DY$16:$EE$16,1,DH146)=1,DH147&gt;0),1,1-INDEX('Lease Cycles'!$DD$16:$DJ$16,1,DH146))*('Lease Cycles'!$AJ$16*INDEX('Lease Cycles'!$FO$16:$FU$16,1,DH146)+'Lease Cycles'!$BE$16*(1-INDEX('Lease Cycles'!$FO$16:$FU$16,1,DH146)))),0)</f>
        <v>0.029480737018425462</v>
      </c>
      <c r="DI156" s="24">
        <f>IF(DI148=1,'Lease Cycles'!$D$16*IF(INDEX('Lease Cycles'!$EF$16:$EL$16,1,DI146)=1,'Lease Cycles'!$AJ$16*INDEX('Lease Cycles'!$FO$16:$FU$16,1,DI146)*INDEX('Lease Cycles'!$EM$16:$ES$16,1,DI146)+'Lease Cycles'!$BE$16*IF(DI147&lt;INDEX('Lease Cycles'!$FA$16:$FG$16,1,DI146),0,1-INDEX('Lease Cycles'!$EM$16:$ES$16,1,DI146)),IF(OR(INDEX('Lease Cycles'!$DY$16:$EE$16,1,DI146)=1,DI147&gt;0),1,1-INDEX('Lease Cycles'!$DD$16:$DJ$16,1,DI146))*('Lease Cycles'!$AJ$16*INDEX('Lease Cycles'!$FO$16:$FU$16,1,DI146)+'Lease Cycles'!$BE$16*(1-INDEX('Lease Cycles'!$FO$16:$FU$16,1,DI146)))),0)</f>
        <v>0.029480737018425462</v>
      </c>
      <c r="DJ156" s="24">
        <f>IF(DJ148=1,'Lease Cycles'!$D$16*IF(INDEX('Lease Cycles'!$EF$16:$EL$16,1,DJ146)=1,'Lease Cycles'!$AJ$16*INDEX('Lease Cycles'!$FO$16:$FU$16,1,DJ146)*INDEX('Lease Cycles'!$EM$16:$ES$16,1,DJ146)+'Lease Cycles'!$BE$16*IF(DJ147&lt;INDEX('Lease Cycles'!$FA$16:$FG$16,1,DJ146),0,1-INDEX('Lease Cycles'!$EM$16:$ES$16,1,DJ146)),IF(OR(INDEX('Lease Cycles'!$DY$16:$EE$16,1,DJ146)=1,DJ147&gt;0),1,1-INDEX('Lease Cycles'!$DD$16:$DJ$16,1,DJ146))*('Lease Cycles'!$AJ$16*INDEX('Lease Cycles'!$FO$16:$FU$16,1,DJ146)+'Lease Cycles'!$BE$16*(1-INDEX('Lease Cycles'!$FO$16:$FU$16,1,DJ146)))),0)</f>
        <v>0.029480737018425462</v>
      </c>
      <c r="DK156" s="24">
        <f>IF(DK148=1,'Lease Cycles'!$D$16*IF(INDEX('Lease Cycles'!$EF$16:$EL$16,1,DK146)=1,'Lease Cycles'!$AJ$16*INDEX('Lease Cycles'!$FO$16:$FU$16,1,DK146)*INDEX('Lease Cycles'!$EM$16:$ES$16,1,DK146)+'Lease Cycles'!$BE$16*IF(DK147&lt;INDEX('Lease Cycles'!$FA$16:$FG$16,1,DK146),0,1-INDEX('Lease Cycles'!$EM$16:$ES$16,1,DK146)),IF(OR(INDEX('Lease Cycles'!$DY$16:$EE$16,1,DK146)=1,DK147&gt;0),1,1-INDEX('Lease Cycles'!$DD$16:$DJ$16,1,DK146))*('Lease Cycles'!$AJ$16*INDEX('Lease Cycles'!$FO$16:$FU$16,1,DK146)+'Lease Cycles'!$BE$16*(1-INDEX('Lease Cycles'!$FO$16:$FU$16,1,DK146)))),0)</f>
        <v>0.029480737018425462</v>
      </c>
      <c r="DL156" s="24">
        <f>IF(DL148=1,'Lease Cycles'!$D$16*IF(INDEX('Lease Cycles'!$EF$16:$EL$16,1,DL146)=1,'Lease Cycles'!$AJ$16*INDEX('Lease Cycles'!$FO$16:$FU$16,1,DL146)*INDEX('Lease Cycles'!$EM$16:$ES$16,1,DL146)+'Lease Cycles'!$BE$16*IF(DL147&lt;INDEX('Lease Cycles'!$FA$16:$FG$16,1,DL146),0,1-INDEX('Lease Cycles'!$EM$16:$ES$16,1,DL146)),IF(OR(INDEX('Lease Cycles'!$DY$16:$EE$16,1,DL146)=1,DL147&gt;0),1,1-INDEX('Lease Cycles'!$DD$16:$DJ$16,1,DL146))*('Lease Cycles'!$AJ$16*INDEX('Lease Cycles'!$FO$16:$FU$16,1,DL146)+'Lease Cycles'!$BE$16*(1-INDEX('Lease Cycles'!$FO$16:$FU$16,1,DL146)))),0)</f>
        <v>0.029480737018425462</v>
      </c>
      <c r="DM156" s="24">
        <f>IF(DM148=1,'Lease Cycles'!$D$16*IF(INDEX('Lease Cycles'!$EF$16:$EL$16,1,DM146)=1,'Lease Cycles'!$AJ$16*INDEX('Lease Cycles'!$FO$16:$FU$16,1,DM146)*INDEX('Lease Cycles'!$EM$16:$ES$16,1,DM146)+'Lease Cycles'!$BE$16*IF(DM147&lt;INDEX('Lease Cycles'!$FA$16:$FG$16,1,DM146),0,1-INDEX('Lease Cycles'!$EM$16:$ES$16,1,DM146)),IF(OR(INDEX('Lease Cycles'!$DY$16:$EE$16,1,DM146)=1,DM147&gt;0),1,1-INDEX('Lease Cycles'!$DD$16:$DJ$16,1,DM146))*('Lease Cycles'!$AJ$16*INDEX('Lease Cycles'!$FO$16:$FU$16,1,DM146)+'Lease Cycles'!$BE$16*(1-INDEX('Lease Cycles'!$FO$16:$FU$16,1,DM146)))),0)</f>
        <v>0.029480737018425462</v>
      </c>
      <c r="DN156" s="24">
        <f>IF(DN148=1,'Lease Cycles'!$D$16*IF(INDEX('Lease Cycles'!$EF$16:$EL$16,1,DN146)=1,'Lease Cycles'!$AJ$16*INDEX('Lease Cycles'!$FO$16:$FU$16,1,DN146)*INDEX('Lease Cycles'!$EM$16:$ES$16,1,DN146)+'Lease Cycles'!$BE$16*IF(DN147&lt;INDEX('Lease Cycles'!$FA$16:$FG$16,1,DN146),0,1-INDEX('Lease Cycles'!$EM$16:$ES$16,1,DN146)),IF(OR(INDEX('Lease Cycles'!$DY$16:$EE$16,1,DN146)=1,DN147&gt;0),1,1-INDEX('Lease Cycles'!$DD$16:$DJ$16,1,DN146))*('Lease Cycles'!$AJ$16*INDEX('Lease Cycles'!$FO$16:$FU$16,1,DN146)+'Lease Cycles'!$BE$16*(1-INDEX('Lease Cycles'!$FO$16:$FU$16,1,DN146)))),0)</f>
        <v>0.029480737018425462</v>
      </c>
      <c r="DO156" s="24">
        <f>IF(DO148=1,'Lease Cycles'!$D$16*IF(INDEX('Lease Cycles'!$EF$16:$EL$16,1,DO146)=1,'Lease Cycles'!$AJ$16*INDEX('Lease Cycles'!$FO$16:$FU$16,1,DO146)*INDEX('Lease Cycles'!$EM$16:$ES$16,1,DO146)+'Lease Cycles'!$BE$16*IF(DO147&lt;INDEX('Lease Cycles'!$FA$16:$FG$16,1,DO146),0,1-INDEX('Lease Cycles'!$EM$16:$ES$16,1,DO146)),IF(OR(INDEX('Lease Cycles'!$DY$16:$EE$16,1,DO146)=1,DO147&gt;0),1,1-INDEX('Lease Cycles'!$DD$16:$DJ$16,1,DO146))*('Lease Cycles'!$AJ$16*INDEX('Lease Cycles'!$FO$16:$FU$16,1,DO146)+'Lease Cycles'!$BE$16*(1-INDEX('Lease Cycles'!$FO$16:$FU$16,1,DO146)))),0)</f>
        <v>0.029480737018425462</v>
      </c>
      <c r="DP156" s="24">
        <f>IF(DP148=1,'Lease Cycles'!$D$16*IF(INDEX('Lease Cycles'!$EF$16:$EL$16,1,DP146)=1,'Lease Cycles'!$AJ$16*INDEX('Lease Cycles'!$FO$16:$FU$16,1,DP146)*INDEX('Lease Cycles'!$EM$16:$ES$16,1,DP146)+'Lease Cycles'!$BE$16*IF(DP147&lt;INDEX('Lease Cycles'!$FA$16:$FG$16,1,DP146),0,1-INDEX('Lease Cycles'!$EM$16:$ES$16,1,DP146)),IF(OR(INDEX('Lease Cycles'!$DY$16:$EE$16,1,DP146)=1,DP147&gt;0),1,1-INDEX('Lease Cycles'!$DD$16:$DJ$16,1,DP146))*('Lease Cycles'!$AJ$16*INDEX('Lease Cycles'!$FO$16:$FU$16,1,DP146)+'Lease Cycles'!$BE$16*(1-INDEX('Lease Cycles'!$FO$16:$FU$16,1,DP146)))),0)</f>
        <v>0.029480737018425462</v>
      </c>
      <c r="DQ156" s="24">
        <f>IF(DQ148=1,'Lease Cycles'!$D$16*IF(INDEX('Lease Cycles'!$EF$16:$EL$16,1,DQ146)=1,'Lease Cycles'!$AJ$16*INDEX('Lease Cycles'!$FO$16:$FU$16,1,DQ146)*INDEX('Lease Cycles'!$EM$16:$ES$16,1,DQ146)+'Lease Cycles'!$BE$16*IF(DQ147&lt;INDEX('Lease Cycles'!$FA$16:$FG$16,1,DQ146),0,1-INDEX('Lease Cycles'!$EM$16:$ES$16,1,DQ146)),IF(OR(INDEX('Lease Cycles'!$DY$16:$EE$16,1,DQ146)=1,DQ147&gt;0),1,1-INDEX('Lease Cycles'!$DD$16:$DJ$16,1,DQ146))*('Lease Cycles'!$AJ$16*INDEX('Lease Cycles'!$FO$16:$FU$16,1,DQ146)+'Lease Cycles'!$BE$16*(1-INDEX('Lease Cycles'!$FO$16:$FU$16,1,DQ146)))),0)</f>
        <v>0.029480737018425462</v>
      </c>
      <c r="DR156" s="24">
        <f>IF(DR148=1,'Lease Cycles'!$D$16*IF(INDEX('Lease Cycles'!$EF$16:$EL$16,1,DR146)=1,'Lease Cycles'!$AJ$16*INDEX('Lease Cycles'!$FO$16:$FU$16,1,DR146)*INDEX('Lease Cycles'!$EM$16:$ES$16,1,DR146)+'Lease Cycles'!$BE$16*IF(DR147&lt;INDEX('Lease Cycles'!$FA$16:$FG$16,1,DR146),0,1-INDEX('Lease Cycles'!$EM$16:$ES$16,1,DR146)),IF(OR(INDEX('Lease Cycles'!$DY$16:$EE$16,1,DR146)=1,DR147&gt;0),1,1-INDEX('Lease Cycles'!$DD$16:$DJ$16,1,DR146))*('Lease Cycles'!$AJ$16*INDEX('Lease Cycles'!$FO$16:$FU$16,1,DR146)+'Lease Cycles'!$BE$16*(1-INDEX('Lease Cycles'!$FO$16:$FU$16,1,DR146)))),0)</f>
        <v>0.029480737018425462</v>
      </c>
      <c r="DS156" s="24">
        <f>IF(DS148=1,'Lease Cycles'!$D$16*IF(INDEX('Lease Cycles'!$EF$16:$EL$16,1,DS146)=1,'Lease Cycles'!$AJ$16*INDEX('Lease Cycles'!$FO$16:$FU$16,1,DS146)*INDEX('Lease Cycles'!$EM$16:$ES$16,1,DS146)+'Lease Cycles'!$BE$16*IF(DS147&lt;INDEX('Lease Cycles'!$FA$16:$FG$16,1,DS146),0,1-INDEX('Lease Cycles'!$EM$16:$ES$16,1,DS146)),IF(OR(INDEX('Lease Cycles'!$DY$16:$EE$16,1,DS146)=1,DS147&gt;0),1,1-INDEX('Lease Cycles'!$DD$16:$DJ$16,1,DS146))*('Lease Cycles'!$AJ$16*INDEX('Lease Cycles'!$FO$16:$FU$16,1,DS146)+'Lease Cycles'!$BE$16*(1-INDEX('Lease Cycles'!$FO$16:$FU$16,1,DS146)))),0)</f>
        <v>0.029480737018425462</v>
      </c>
      <c r="DT156" s="24">
        <f>IF(DT148=1,'Lease Cycles'!$D$16*IF(INDEX('Lease Cycles'!$EF$16:$EL$16,1,DT146)=1,'Lease Cycles'!$AJ$16*INDEX('Lease Cycles'!$FO$16:$FU$16,1,DT146)*INDEX('Lease Cycles'!$EM$16:$ES$16,1,DT146)+'Lease Cycles'!$BE$16*IF(DT147&lt;INDEX('Lease Cycles'!$FA$16:$FG$16,1,DT146),0,1-INDEX('Lease Cycles'!$EM$16:$ES$16,1,DT146)),IF(OR(INDEX('Lease Cycles'!$DY$16:$EE$16,1,DT146)=1,DT147&gt;0),1,1-INDEX('Lease Cycles'!$DD$16:$DJ$16,1,DT146))*('Lease Cycles'!$AJ$16*INDEX('Lease Cycles'!$FO$16:$FU$16,1,DT146)+'Lease Cycles'!$BE$16*(1-INDEX('Lease Cycles'!$FO$16:$FU$16,1,DT146)))),0)</f>
        <v>0.029480737018425462</v>
      </c>
      <c r="DU156" s="24">
        <f>IF(DU148=1,'Lease Cycles'!$D$16*IF(INDEX('Lease Cycles'!$EF$16:$EL$16,1,DU146)=1,'Lease Cycles'!$AJ$16*INDEX('Lease Cycles'!$FO$16:$FU$16,1,DU146)*INDEX('Lease Cycles'!$EM$16:$ES$16,1,DU146)+'Lease Cycles'!$BE$16*IF(DU147&lt;INDEX('Lease Cycles'!$FA$16:$FG$16,1,DU146),0,1-INDEX('Lease Cycles'!$EM$16:$ES$16,1,DU146)),IF(OR(INDEX('Lease Cycles'!$DY$16:$EE$16,1,DU146)=1,DU147&gt;0),1,1-INDEX('Lease Cycles'!$DD$16:$DJ$16,1,DU146))*('Lease Cycles'!$AJ$16*INDEX('Lease Cycles'!$FO$16:$FU$16,1,DU146)+'Lease Cycles'!$BE$16*(1-INDEX('Lease Cycles'!$FO$16:$FU$16,1,DU146)))),0)</f>
        <v>0.029480737018425462</v>
      </c>
      <c r="DV156" s="24">
        <f>IF(DV148=1,'Lease Cycles'!$D$16*IF(INDEX('Lease Cycles'!$EF$16:$EL$16,1,DV146)=1,'Lease Cycles'!$AJ$16*INDEX('Lease Cycles'!$FO$16:$FU$16,1,DV146)*INDEX('Lease Cycles'!$EM$16:$ES$16,1,DV146)+'Lease Cycles'!$BE$16*IF(DV147&lt;INDEX('Lease Cycles'!$FA$16:$FG$16,1,DV146),0,1-INDEX('Lease Cycles'!$EM$16:$ES$16,1,DV146)),IF(OR(INDEX('Lease Cycles'!$DY$16:$EE$16,1,DV146)=1,DV147&gt;0),1,1-INDEX('Lease Cycles'!$DD$16:$DJ$16,1,DV146))*('Lease Cycles'!$AJ$16*INDEX('Lease Cycles'!$FO$16:$FU$16,1,DV146)+'Lease Cycles'!$BE$16*(1-INDEX('Lease Cycles'!$FO$16:$FU$16,1,DV146)))),0)</f>
        <v>0.029480737018425462</v>
      </c>
      <c r="DW156" s="24">
        <f>IF(DW148=1,'Lease Cycles'!$D$16*IF(INDEX('Lease Cycles'!$EF$16:$EL$16,1,DW146)=1,'Lease Cycles'!$AJ$16*INDEX('Lease Cycles'!$FO$16:$FU$16,1,DW146)*INDEX('Lease Cycles'!$EM$16:$ES$16,1,DW146)+'Lease Cycles'!$BE$16*IF(DW147&lt;INDEX('Lease Cycles'!$FA$16:$FG$16,1,DW146),0,1-INDEX('Lease Cycles'!$EM$16:$ES$16,1,DW146)),IF(OR(INDEX('Lease Cycles'!$DY$16:$EE$16,1,DW146)=1,DW147&gt;0),1,1-INDEX('Lease Cycles'!$DD$16:$DJ$16,1,DW146))*('Lease Cycles'!$AJ$16*INDEX('Lease Cycles'!$FO$16:$FU$16,1,DW146)+'Lease Cycles'!$BE$16*(1-INDEX('Lease Cycles'!$FO$16:$FU$16,1,DW146)))),0)</f>
        <v>0.029480737018425462</v>
      </c>
      <c r="DX156" s="24">
        <f>IF(DX148=1,'Lease Cycles'!$D$16*IF(INDEX('Lease Cycles'!$EF$16:$EL$16,1,DX146)=1,'Lease Cycles'!$AJ$16*INDEX('Lease Cycles'!$FO$16:$FU$16,1,DX146)*INDEX('Lease Cycles'!$EM$16:$ES$16,1,DX146)+'Lease Cycles'!$BE$16*IF(DX147&lt;INDEX('Lease Cycles'!$FA$16:$FG$16,1,DX146),0,1-INDEX('Lease Cycles'!$EM$16:$ES$16,1,DX146)),IF(OR(INDEX('Lease Cycles'!$DY$16:$EE$16,1,DX146)=1,DX147&gt;0),1,1-INDEX('Lease Cycles'!$DD$16:$DJ$16,1,DX146))*('Lease Cycles'!$AJ$16*INDEX('Lease Cycles'!$FO$16:$FU$16,1,DX146)+'Lease Cycles'!$BE$16*(1-INDEX('Lease Cycles'!$FO$16:$FU$16,1,DX146)))),0)</f>
        <v>0.029480737018425462</v>
      </c>
      <c r="DY156" s="24">
        <f>IF(DY148=1,'Lease Cycles'!$D$16*IF(INDEX('Lease Cycles'!$EF$16:$EL$16,1,DY146)=1,'Lease Cycles'!$AJ$16*INDEX('Lease Cycles'!$FO$16:$FU$16,1,DY146)*INDEX('Lease Cycles'!$EM$16:$ES$16,1,DY146)+'Lease Cycles'!$BE$16*IF(DY147&lt;INDEX('Lease Cycles'!$FA$16:$FG$16,1,DY146),0,1-INDEX('Lease Cycles'!$EM$16:$ES$16,1,DY146)),IF(OR(INDEX('Lease Cycles'!$DY$16:$EE$16,1,DY146)=1,DY147&gt;0),1,1-INDEX('Lease Cycles'!$DD$16:$DJ$16,1,DY146))*('Lease Cycles'!$AJ$16*INDEX('Lease Cycles'!$FO$16:$FU$16,1,DY146)+'Lease Cycles'!$BE$16*(1-INDEX('Lease Cycles'!$FO$16:$FU$16,1,DY146)))),0)</f>
        <v>0.029480737018425462</v>
      </c>
      <c r="DZ156" s="24">
        <f>IF(DZ148=1,'Lease Cycles'!$D$16*IF(INDEX('Lease Cycles'!$EF$16:$EL$16,1,DZ146)=1,'Lease Cycles'!$AJ$16*INDEX('Lease Cycles'!$FO$16:$FU$16,1,DZ146)*INDEX('Lease Cycles'!$EM$16:$ES$16,1,DZ146)+'Lease Cycles'!$BE$16*IF(DZ147&lt;INDEX('Lease Cycles'!$FA$16:$FG$16,1,DZ146),0,1-INDEX('Lease Cycles'!$EM$16:$ES$16,1,DZ146)),IF(OR(INDEX('Lease Cycles'!$DY$16:$EE$16,1,DZ146)=1,DZ147&gt;0),1,1-INDEX('Lease Cycles'!$DD$16:$DJ$16,1,DZ146))*('Lease Cycles'!$AJ$16*INDEX('Lease Cycles'!$FO$16:$FU$16,1,DZ146)+'Lease Cycles'!$BE$16*(1-INDEX('Lease Cycles'!$FO$16:$FU$16,1,DZ146)))),0)</f>
        <v>0.029480737018425462</v>
      </c>
      <c r="EA156" s="24">
        <f>IF(EA148=1,'Lease Cycles'!$D$16*IF(INDEX('Lease Cycles'!$EF$16:$EL$16,1,EA146)=1,'Lease Cycles'!$AJ$16*INDEX('Lease Cycles'!$FO$16:$FU$16,1,EA146)*INDEX('Lease Cycles'!$EM$16:$ES$16,1,EA146)+'Lease Cycles'!$BE$16*IF(EA147&lt;INDEX('Lease Cycles'!$FA$16:$FG$16,1,EA146),0,1-INDEX('Lease Cycles'!$EM$16:$ES$16,1,EA146)),IF(OR(INDEX('Lease Cycles'!$DY$16:$EE$16,1,EA146)=1,EA147&gt;0),1,1-INDEX('Lease Cycles'!$DD$16:$DJ$16,1,EA146))*('Lease Cycles'!$AJ$16*INDEX('Lease Cycles'!$FO$16:$FU$16,1,EA146)+'Lease Cycles'!$BE$16*(1-INDEX('Lease Cycles'!$FO$16:$FU$16,1,EA146)))),0)</f>
        <v>0.029480737018425462</v>
      </c>
      <c r="EB156" s="24">
        <f>IF(EB148=1,'Lease Cycles'!$D$16*IF(INDEX('Lease Cycles'!$EF$16:$EL$16,1,EB146)=1,'Lease Cycles'!$AJ$16*INDEX('Lease Cycles'!$FO$16:$FU$16,1,EB146)*INDEX('Lease Cycles'!$EM$16:$ES$16,1,EB146)+'Lease Cycles'!$BE$16*IF(EB147&lt;INDEX('Lease Cycles'!$FA$16:$FG$16,1,EB146),0,1-INDEX('Lease Cycles'!$EM$16:$ES$16,1,EB146)),IF(OR(INDEX('Lease Cycles'!$DY$16:$EE$16,1,EB146)=1,EB147&gt;0),1,1-INDEX('Lease Cycles'!$DD$16:$DJ$16,1,EB146))*('Lease Cycles'!$AJ$16*INDEX('Lease Cycles'!$FO$16:$FU$16,1,EB146)+'Lease Cycles'!$BE$16*(1-INDEX('Lease Cycles'!$FO$16:$FU$16,1,EB146)))),0)</f>
        <v>0.029480737018425462</v>
      </c>
      <c r="EC156" s="24">
        <f>IF(EC148=1,'Lease Cycles'!$D$16*IF(INDEX('Lease Cycles'!$EF$16:$EL$16,1,EC146)=1,'Lease Cycles'!$AJ$16*INDEX('Lease Cycles'!$FO$16:$FU$16,1,EC146)*INDEX('Lease Cycles'!$EM$16:$ES$16,1,EC146)+'Lease Cycles'!$BE$16*IF(EC147&lt;INDEX('Lease Cycles'!$FA$16:$FG$16,1,EC146),0,1-INDEX('Lease Cycles'!$EM$16:$ES$16,1,EC146)),IF(OR(INDEX('Lease Cycles'!$DY$16:$EE$16,1,EC146)=1,EC147&gt;0),1,1-INDEX('Lease Cycles'!$DD$16:$DJ$16,1,EC146))*('Lease Cycles'!$AJ$16*INDEX('Lease Cycles'!$FO$16:$FU$16,1,EC146)+'Lease Cycles'!$BE$16*(1-INDEX('Lease Cycles'!$FO$16:$FU$16,1,EC146)))),0)</f>
        <v>0.029480737018425462</v>
      </c>
      <c r="ED156" s="24">
        <f>IF(ED148=1,'Lease Cycles'!$D$16*IF(INDEX('Lease Cycles'!$EF$16:$EL$16,1,ED146)=1,'Lease Cycles'!$AJ$16*INDEX('Lease Cycles'!$FO$16:$FU$16,1,ED146)*INDEX('Lease Cycles'!$EM$16:$ES$16,1,ED146)+'Lease Cycles'!$BE$16*IF(ED147&lt;INDEX('Lease Cycles'!$FA$16:$FG$16,1,ED146),0,1-INDEX('Lease Cycles'!$EM$16:$ES$16,1,ED146)),IF(OR(INDEX('Lease Cycles'!$DY$16:$EE$16,1,ED146)=1,ED147&gt;0),1,1-INDEX('Lease Cycles'!$DD$16:$DJ$16,1,ED146))*('Lease Cycles'!$AJ$16*INDEX('Lease Cycles'!$FO$16:$FU$16,1,ED146)+'Lease Cycles'!$BE$16*(1-INDEX('Lease Cycles'!$FO$16:$FU$16,1,ED146)))),0)</f>
        <v>0.029480737018425462</v>
      </c>
      <c r="EE156" s="24">
        <f>IF(EE148=1,'Lease Cycles'!$D$16*IF(INDEX('Lease Cycles'!$EF$16:$EL$16,1,EE146)=1,'Lease Cycles'!$AJ$16*INDEX('Lease Cycles'!$FO$16:$FU$16,1,EE146)*INDEX('Lease Cycles'!$EM$16:$ES$16,1,EE146)+'Lease Cycles'!$BE$16*IF(EE147&lt;INDEX('Lease Cycles'!$FA$16:$FG$16,1,EE146),0,1-INDEX('Lease Cycles'!$EM$16:$ES$16,1,EE146)),IF(OR(INDEX('Lease Cycles'!$DY$16:$EE$16,1,EE146)=1,EE147&gt;0),1,1-INDEX('Lease Cycles'!$DD$16:$DJ$16,1,EE146))*('Lease Cycles'!$AJ$16*INDEX('Lease Cycles'!$FO$16:$FU$16,1,EE146)+'Lease Cycles'!$BE$16*(1-INDEX('Lease Cycles'!$FO$16:$FU$16,1,EE146)))),0)</f>
        <v>0.029480737018425462</v>
      </c>
      <c r="EF156" s="24">
        <f>IF(EF148=1,'Lease Cycles'!$D$16*IF(INDEX('Lease Cycles'!$EF$16:$EL$16,1,EF146)=1,'Lease Cycles'!$AJ$16*INDEX('Lease Cycles'!$FO$16:$FU$16,1,EF146)*INDEX('Lease Cycles'!$EM$16:$ES$16,1,EF146)+'Lease Cycles'!$BE$16*IF(EF147&lt;INDEX('Lease Cycles'!$FA$16:$FG$16,1,EF146),0,1-INDEX('Lease Cycles'!$EM$16:$ES$16,1,EF146)),IF(OR(INDEX('Lease Cycles'!$DY$16:$EE$16,1,EF146)=1,EF147&gt;0),1,1-INDEX('Lease Cycles'!$DD$16:$DJ$16,1,EF146))*('Lease Cycles'!$AJ$16*INDEX('Lease Cycles'!$FO$16:$FU$16,1,EF146)+'Lease Cycles'!$BE$16*(1-INDEX('Lease Cycles'!$FO$16:$FU$16,1,EF146)))),0)</f>
        <v>0.029480737018425462</v>
      </c>
      <c r="EG156" s="24">
        <f>IF(EG148=1,'Lease Cycles'!$D$16*IF(INDEX('Lease Cycles'!$EF$16:$EL$16,1,EG146)=1,'Lease Cycles'!$AJ$16*INDEX('Lease Cycles'!$FO$16:$FU$16,1,EG146)*INDEX('Lease Cycles'!$EM$16:$ES$16,1,EG146)+'Lease Cycles'!$BE$16*IF(EG147&lt;INDEX('Lease Cycles'!$FA$16:$FG$16,1,EG146),0,1-INDEX('Lease Cycles'!$EM$16:$ES$16,1,EG146)),IF(OR(INDEX('Lease Cycles'!$DY$16:$EE$16,1,EG146)=1,EG147&gt;0),1,1-INDEX('Lease Cycles'!$DD$16:$DJ$16,1,EG146))*('Lease Cycles'!$AJ$16*INDEX('Lease Cycles'!$FO$16:$FU$16,1,EG146)+'Lease Cycles'!$BE$16*(1-INDEX('Lease Cycles'!$FO$16:$FU$16,1,EG146)))),0)</f>
        <v>0.029480737018425462</v>
      </c>
      <c r="EH156" s="24">
        <f>IF(EH148=1,'Lease Cycles'!$D$16*IF(INDEX('Lease Cycles'!$EF$16:$EL$16,1,EH146)=1,'Lease Cycles'!$AJ$16*INDEX('Lease Cycles'!$FO$16:$FU$16,1,EH146)*INDEX('Lease Cycles'!$EM$16:$ES$16,1,EH146)+'Lease Cycles'!$BE$16*IF(EH147&lt;INDEX('Lease Cycles'!$FA$16:$FG$16,1,EH146),0,1-INDEX('Lease Cycles'!$EM$16:$ES$16,1,EH146)),IF(OR(INDEX('Lease Cycles'!$DY$16:$EE$16,1,EH146)=1,EH147&gt;0),1,1-INDEX('Lease Cycles'!$DD$16:$DJ$16,1,EH146))*('Lease Cycles'!$AJ$16*INDEX('Lease Cycles'!$FO$16:$FU$16,1,EH146)+'Lease Cycles'!$BE$16*(1-INDEX('Lease Cycles'!$FO$16:$FU$16,1,EH146)))),0)</f>
        <v>0.029480737018425462</v>
      </c>
      <c r="EI156" s="24">
        <f>IF(EI148=1,'Lease Cycles'!$D$16*IF(INDEX('Lease Cycles'!$EF$16:$EL$16,1,EI146)=1,'Lease Cycles'!$AJ$16*INDEX('Lease Cycles'!$FO$16:$FU$16,1,EI146)*INDEX('Lease Cycles'!$EM$16:$ES$16,1,EI146)+'Lease Cycles'!$BE$16*IF(EI147&lt;INDEX('Lease Cycles'!$FA$16:$FG$16,1,EI146),0,1-INDEX('Lease Cycles'!$EM$16:$ES$16,1,EI146)),IF(OR(INDEX('Lease Cycles'!$DY$16:$EE$16,1,EI146)=1,EI147&gt;0),1,1-INDEX('Lease Cycles'!$DD$16:$DJ$16,1,EI146))*('Lease Cycles'!$AJ$16*INDEX('Lease Cycles'!$FO$16:$FU$16,1,EI146)+'Lease Cycles'!$BE$16*(1-INDEX('Lease Cycles'!$FO$16:$FU$16,1,EI146)))),0)</f>
        <v>0.029480737018425462</v>
      </c>
      <c r="EJ156" s="24">
        <f>IF(EJ148=1,'Lease Cycles'!$D$16*IF(INDEX('Lease Cycles'!$EF$16:$EL$16,1,EJ146)=1,'Lease Cycles'!$AJ$16*INDEX('Lease Cycles'!$FO$16:$FU$16,1,EJ146)*INDEX('Lease Cycles'!$EM$16:$ES$16,1,EJ146)+'Lease Cycles'!$BE$16*IF(EJ147&lt;INDEX('Lease Cycles'!$FA$16:$FG$16,1,EJ146),0,1-INDEX('Lease Cycles'!$EM$16:$ES$16,1,EJ146)),IF(OR(INDEX('Lease Cycles'!$DY$16:$EE$16,1,EJ146)=1,EJ147&gt;0),1,1-INDEX('Lease Cycles'!$DD$16:$DJ$16,1,EJ146))*('Lease Cycles'!$AJ$16*INDEX('Lease Cycles'!$FO$16:$FU$16,1,EJ146)+'Lease Cycles'!$BE$16*(1-INDEX('Lease Cycles'!$FO$16:$FU$16,1,EJ146)))),0)</f>
        <v>0.029480737018425462</v>
      </c>
      <c r="EK156" s="24">
        <f>IF(EK148=1,'Lease Cycles'!$D$16*IF(INDEX('Lease Cycles'!$EF$16:$EL$16,1,EK146)=1,'Lease Cycles'!$AJ$16*INDEX('Lease Cycles'!$FO$16:$FU$16,1,EK146)*INDEX('Lease Cycles'!$EM$16:$ES$16,1,EK146)+'Lease Cycles'!$BE$16*IF(EK147&lt;INDEX('Lease Cycles'!$FA$16:$FG$16,1,EK146),0,1-INDEX('Lease Cycles'!$EM$16:$ES$16,1,EK146)),IF(OR(INDEX('Lease Cycles'!$DY$16:$EE$16,1,EK146)=1,EK147&gt;0),1,1-INDEX('Lease Cycles'!$DD$16:$DJ$16,1,EK146))*('Lease Cycles'!$AJ$16*INDEX('Lease Cycles'!$FO$16:$FU$16,1,EK146)+'Lease Cycles'!$BE$16*(1-INDEX('Lease Cycles'!$FO$16:$FU$16,1,EK146)))),0)</f>
        <v>0.029480737018425462</v>
      </c>
      <c r="EL156" s="24">
        <f>IF(EL148=1,'Lease Cycles'!$D$16*IF(INDEX('Lease Cycles'!$EF$16:$EL$16,1,EL146)=1,'Lease Cycles'!$AJ$16*INDEX('Lease Cycles'!$FO$16:$FU$16,1,EL146)*INDEX('Lease Cycles'!$EM$16:$ES$16,1,EL146)+'Lease Cycles'!$BE$16*IF(EL147&lt;INDEX('Lease Cycles'!$FA$16:$FG$16,1,EL146),0,1-INDEX('Lease Cycles'!$EM$16:$ES$16,1,EL146)),IF(OR(INDEX('Lease Cycles'!$DY$16:$EE$16,1,EL146)=1,EL147&gt;0),1,1-INDEX('Lease Cycles'!$DD$16:$DJ$16,1,EL146))*('Lease Cycles'!$AJ$16*INDEX('Lease Cycles'!$FO$16:$FU$16,1,EL146)+'Lease Cycles'!$BE$16*(1-INDEX('Lease Cycles'!$FO$16:$FU$16,1,EL146)))),0)</f>
        <v>0.029480737018425462</v>
      </c>
      <c r="EM156" s="24">
        <f>IF(EM148=1,'Lease Cycles'!$D$16*IF(INDEX('Lease Cycles'!$EF$16:$EL$16,1,EM146)=1,'Lease Cycles'!$AJ$16*INDEX('Lease Cycles'!$FO$16:$FU$16,1,EM146)*INDEX('Lease Cycles'!$EM$16:$ES$16,1,EM146)+'Lease Cycles'!$BE$16*IF(EM147&lt;INDEX('Lease Cycles'!$FA$16:$FG$16,1,EM146),0,1-INDEX('Lease Cycles'!$EM$16:$ES$16,1,EM146)),IF(OR(INDEX('Lease Cycles'!$DY$16:$EE$16,1,EM146)=1,EM147&gt;0),1,1-INDEX('Lease Cycles'!$DD$16:$DJ$16,1,EM146))*('Lease Cycles'!$AJ$16*INDEX('Lease Cycles'!$FO$16:$FU$16,1,EM146)+'Lease Cycles'!$BE$16*(1-INDEX('Lease Cycles'!$FO$16:$FU$16,1,EM146)))),0)</f>
        <v>0.029480737018425462</v>
      </c>
      <c r="EN156" s="24">
        <f>IF(EN148=1,'Lease Cycles'!$D$16*IF(INDEX('Lease Cycles'!$EF$16:$EL$16,1,EN146)=1,'Lease Cycles'!$AJ$16*INDEX('Lease Cycles'!$FO$16:$FU$16,1,EN146)*INDEX('Lease Cycles'!$EM$16:$ES$16,1,EN146)+'Lease Cycles'!$BE$16*IF(EN147&lt;INDEX('Lease Cycles'!$FA$16:$FG$16,1,EN146),0,1-INDEX('Lease Cycles'!$EM$16:$ES$16,1,EN146)),IF(OR(INDEX('Lease Cycles'!$DY$16:$EE$16,1,EN146)=1,EN147&gt;0),1,1-INDEX('Lease Cycles'!$DD$16:$DJ$16,1,EN146))*('Lease Cycles'!$AJ$16*INDEX('Lease Cycles'!$FO$16:$FU$16,1,EN146)+'Lease Cycles'!$BE$16*(1-INDEX('Lease Cycles'!$FO$16:$FU$16,1,EN146)))),0)</f>
        <v>0.029480737018425462</v>
      </c>
      <c r="EO156" s="24">
        <f>IF(EO148=1,'Lease Cycles'!$D$16*IF(INDEX('Lease Cycles'!$EF$16:$EL$16,1,EO146)=1,'Lease Cycles'!$AJ$16*INDEX('Lease Cycles'!$FO$16:$FU$16,1,EO146)*INDEX('Lease Cycles'!$EM$16:$ES$16,1,EO146)+'Lease Cycles'!$BE$16*IF(EO147&lt;INDEX('Lease Cycles'!$FA$16:$FG$16,1,EO146),0,1-INDEX('Lease Cycles'!$EM$16:$ES$16,1,EO146)),IF(OR(INDEX('Lease Cycles'!$DY$16:$EE$16,1,EO146)=1,EO147&gt;0),1,1-INDEX('Lease Cycles'!$DD$16:$DJ$16,1,EO146))*('Lease Cycles'!$AJ$16*INDEX('Lease Cycles'!$FO$16:$FU$16,1,EO146)+'Lease Cycles'!$BE$16*(1-INDEX('Lease Cycles'!$FO$16:$FU$16,1,EO146)))),0)</f>
        <v>0.029480737018425462</v>
      </c>
      <c r="EP156" s="24">
        <f>IF(EP148=1,'Lease Cycles'!$D$16*IF(INDEX('Lease Cycles'!$EF$16:$EL$16,1,EP146)=1,'Lease Cycles'!$AJ$16*INDEX('Lease Cycles'!$FO$16:$FU$16,1,EP146)*INDEX('Lease Cycles'!$EM$16:$ES$16,1,EP146)+'Lease Cycles'!$BE$16*IF(EP147&lt;INDEX('Lease Cycles'!$FA$16:$FG$16,1,EP146),0,1-INDEX('Lease Cycles'!$EM$16:$ES$16,1,EP146)),IF(OR(INDEX('Lease Cycles'!$DY$16:$EE$16,1,EP146)=1,EP147&gt;0),1,1-INDEX('Lease Cycles'!$DD$16:$DJ$16,1,EP146))*('Lease Cycles'!$AJ$16*INDEX('Lease Cycles'!$FO$16:$FU$16,1,EP146)+'Lease Cycles'!$BE$16*(1-INDEX('Lease Cycles'!$FO$16:$FU$16,1,EP146)))),0)</f>
        <v>0.029480737018425462</v>
      </c>
      <c r="EQ156" s="24">
        <f>IF(EQ148=1,'Lease Cycles'!$D$16*IF(INDEX('Lease Cycles'!$EF$16:$EL$16,1,EQ146)=1,'Lease Cycles'!$AJ$16*INDEX('Lease Cycles'!$FO$16:$FU$16,1,EQ146)*INDEX('Lease Cycles'!$EM$16:$ES$16,1,EQ146)+'Lease Cycles'!$BE$16*IF(EQ147&lt;INDEX('Lease Cycles'!$FA$16:$FG$16,1,EQ146),0,1-INDEX('Lease Cycles'!$EM$16:$ES$16,1,EQ146)),IF(OR(INDEX('Lease Cycles'!$DY$16:$EE$16,1,EQ146)=1,EQ147&gt;0),1,1-INDEX('Lease Cycles'!$DD$16:$DJ$16,1,EQ146))*('Lease Cycles'!$AJ$16*INDEX('Lease Cycles'!$FO$16:$FU$16,1,EQ146)+'Lease Cycles'!$BE$16*(1-INDEX('Lease Cycles'!$FO$16:$FU$16,1,EQ146)))),0)</f>
        <v>0.029480737018425462</v>
      </c>
      <c r="ER156" s="24">
        <f>IF(ER148=1,'Lease Cycles'!$D$16*IF(INDEX('Lease Cycles'!$EF$16:$EL$16,1,ER146)=1,'Lease Cycles'!$AJ$16*INDEX('Lease Cycles'!$FO$16:$FU$16,1,ER146)*INDEX('Lease Cycles'!$EM$16:$ES$16,1,ER146)+'Lease Cycles'!$BE$16*IF(ER147&lt;INDEX('Lease Cycles'!$FA$16:$FG$16,1,ER146),0,1-INDEX('Lease Cycles'!$EM$16:$ES$16,1,ER146)),IF(OR(INDEX('Lease Cycles'!$DY$16:$EE$16,1,ER146)=1,ER147&gt;0),1,1-INDEX('Lease Cycles'!$DD$16:$DJ$16,1,ER146))*('Lease Cycles'!$AJ$16*INDEX('Lease Cycles'!$FO$16:$FU$16,1,ER146)+'Lease Cycles'!$BE$16*(1-INDEX('Lease Cycles'!$FO$16:$FU$16,1,ER146)))),0)</f>
        <v>0.029480737018425462</v>
      </c>
      <c r="ES156" s="24">
        <f>IF(ES148=1,'Lease Cycles'!$D$16*IF(INDEX('Lease Cycles'!$EF$16:$EL$16,1,ES146)=1,'Lease Cycles'!$AJ$16*INDEX('Lease Cycles'!$FO$16:$FU$16,1,ES146)*INDEX('Lease Cycles'!$EM$16:$ES$16,1,ES146)+'Lease Cycles'!$BE$16*IF(ES147&lt;INDEX('Lease Cycles'!$FA$16:$FG$16,1,ES146),0,1-INDEX('Lease Cycles'!$EM$16:$ES$16,1,ES146)),IF(OR(INDEX('Lease Cycles'!$DY$16:$EE$16,1,ES146)=1,ES147&gt;0),1,1-INDEX('Lease Cycles'!$DD$16:$DJ$16,1,ES146))*('Lease Cycles'!$AJ$16*INDEX('Lease Cycles'!$FO$16:$FU$16,1,ES146)+'Lease Cycles'!$BE$16*(1-INDEX('Lease Cycles'!$FO$16:$FU$16,1,ES146)))),0)</f>
        <v>0.029480737018425462</v>
      </c>
      <c r="ET156" s="24">
        <f>IF(ET148=1,'Lease Cycles'!$D$16*IF(INDEX('Lease Cycles'!$EF$16:$EL$16,1,ET146)=1,'Lease Cycles'!$AJ$16*INDEX('Lease Cycles'!$FO$16:$FU$16,1,ET146)*INDEX('Lease Cycles'!$EM$16:$ES$16,1,ET146)+'Lease Cycles'!$BE$16*IF(ET147&lt;INDEX('Lease Cycles'!$FA$16:$FG$16,1,ET146),0,1-INDEX('Lease Cycles'!$EM$16:$ES$16,1,ET146)),IF(OR(INDEX('Lease Cycles'!$DY$16:$EE$16,1,ET146)=1,ET147&gt;0),1,1-INDEX('Lease Cycles'!$DD$16:$DJ$16,1,ET146))*('Lease Cycles'!$AJ$16*INDEX('Lease Cycles'!$FO$16:$FU$16,1,ET146)+'Lease Cycles'!$BE$16*(1-INDEX('Lease Cycles'!$FO$16:$FU$16,1,ET146)))),0)</f>
        <v>0.029480737018425462</v>
      </c>
    </row>
    <row r="157">
      <c r="A157" s="103">
        <v>9</v>
      </c>
      <c r="B157" s="23" t="str">
        <f>IF('Lease Cycles'!$B$16="","(empty slot)",'Lease Cycles'!$B$16)</f>
        <v>Sunfield Office Suite</v>
      </c>
      <c r="C157" s="23" t="s">
        <v>689</v>
      </c>
      <c r="D157" s="104" t="s">
        <v>690</v>
      </c>
      <c r="E157" s="25">
        <f>'Lease Cycles'!$AL$16</f>
        <v>0</v>
      </c>
      <c r="G157" s="28">
        <f>SUM(S157:AD157)</f>
        <v>0</v>
      </c>
      <c r="H157" s="28">
        <f>SUM(AE157:AP157)</f>
        <v>248.59999999999906</v>
      </c>
      <c r="I157" s="28">
        <f>SUM(AQ157:BB157)</f>
        <v>502.99699999999984</v>
      </c>
      <c r="J157" s="28">
        <f>SUM(BC157:BN157)</f>
        <v>763.3275649999985</v>
      </c>
      <c r="K157" s="28">
        <f>SUM(BO157:BZ157)</f>
        <v>772.2986301937474</v>
      </c>
      <c r="L157" s="28">
        <f>SUM(CA157:CL157)</f>
        <v>218.0963644233001</v>
      </c>
      <c r="M157" s="28">
        <f>SUM(CM157:CX157)</f>
        <v>441.283172642878</v>
      </c>
      <c r="N157" s="28">
        <f>SUM(CY157:DJ157)</f>
        <v>669.6804464473564</v>
      </c>
      <c r="O157" s="28">
        <f>SUM(DK157:DV157)</f>
        <v>903.4110633839424</v>
      </c>
      <c r="P157" s="28">
        <f>SUM(DW157:EH157)</f>
        <v>1142.6008252566842</v>
      </c>
      <c r="Q157" s="28">
        <f>SUM(EI157:ET157)</f>
        <v>1387.3785282792344</v>
      </c>
      <c r="S157" s="28">
        <f>IF(S156=0,0,S156*MAX(0,(INDEX(c_CAMy,1,S$7)-INDEX(c_CAMy,1,INDEX('Lease Cycles'!$GC$16:$GI$16,1,S146)+1))*(1+'Lease Cycles'!$AK$16)+(INDEX(c_TAXy,1,S$7)-INDEX(c_TAXy,1,INDEX('Lease Cycles'!$GC$16:$GI$16,1,S146)+1))+(INDEX(c_INSy,1,S$7)-INDEX(c_INSy,1,INDEX('Lease Cycles'!$GC$16:$GI$16,1,S146)+1)))/12)</f>
        <v>0</v>
      </c>
      <c r="T157" s="28">
        <f>IF(T156=0,0,T156*MAX(0,(INDEX(c_CAMy,1,T$7)-INDEX(c_CAMy,1,INDEX('Lease Cycles'!$GC$16:$GI$16,1,T146)+1))*(1+'Lease Cycles'!$AK$16)+(INDEX(c_TAXy,1,T$7)-INDEX(c_TAXy,1,INDEX('Lease Cycles'!$GC$16:$GI$16,1,T146)+1))+(INDEX(c_INSy,1,T$7)-INDEX(c_INSy,1,INDEX('Lease Cycles'!$GC$16:$GI$16,1,T146)+1)))/12)</f>
        <v>0</v>
      </c>
      <c r="U157" s="28">
        <f>IF(U156=0,0,U156*MAX(0,(INDEX(c_CAMy,1,U$7)-INDEX(c_CAMy,1,INDEX('Lease Cycles'!$GC$16:$GI$16,1,U146)+1))*(1+'Lease Cycles'!$AK$16)+(INDEX(c_TAXy,1,U$7)-INDEX(c_TAXy,1,INDEX('Lease Cycles'!$GC$16:$GI$16,1,U146)+1))+(INDEX(c_INSy,1,U$7)-INDEX(c_INSy,1,INDEX('Lease Cycles'!$GC$16:$GI$16,1,U146)+1)))/12)</f>
        <v>0</v>
      </c>
      <c r="V157" s="28">
        <f>IF(V156=0,0,V156*MAX(0,(INDEX(c_CAMy,1,V$7)-INDEX(c_CAMy,1,INDEX('Lease Cycles'!$GC$16:$GI$16,1,V146)+1))*(1+'Lease Cycles'!$AK$16)+(INDEX(c_TAXy,1,V$7)-INDEX(c_TAXy,1,INDEX('Lease Cycles'!$GC$16:$GI$16,1,V146)+1))+(INDEX(c_INSy,1,V$7)-INDEX(c_INSy,1,INDEX('Lease Cycles'!$GC$16:$GI$16,1,V146)+1)))/12)</f>
        <v>0</v>
      </c>
      <c r="W157" s="28">
        <f>IF(W156=0,0,W156*MAX(0,(INDEX(c_CAMy,1,W$7)-INDEX(c_CAMy,1,INDEX('Lease Cycles'!$GC$16:$GI$16,1,W146)+1))*(1+'Lease Cycles'!$AK$16)+(INDEX(c_TAXy,1,W$7)-INDEX(c_TAXy,1,INDEX('Lease Cycles'!$GC$16:$GI$16,1,W146)+1))+(INDEX(c_INSy,1,W$7)-INDEX(c_INSy,1,INDEX('Lease Cycles'!$GC$16:$GI$16,1,W146)+1)))/12)</f>
        <v>0</v>
      </c>
      <c r="X157" s="28">
        <f>IF(X156=0,0,X156*MAX(0,(INDEX(c_CAMy,1,X$7)-INDEX(c_CAMy,1,INDEX('Lease Cycles'!$GC$16:$GI$16,1,X146)+1))*(1+'Lease Cycles'!$AK$16)+(INDEX(c_TAXy,1,X$7)-INDEX(c_TAXy,1,INDEX('Lease Cycles'!$GC$16:$GI$16,1,X146)+1))+(INDEX(c_INSy,1,X$7)-INDEX(c_INSy,1,INDEX('Lease Cycles'!$GC$16:$GI$16,1,X146)+1)))/12)</f>
        <v>0</v>
      </c>
      <c r="Y157" s="28">
        <f>IF(Y156=0,0,Y156*MAX(0,(INDEX(c_CAMy,1,Y$7)-INDEX(c_CAMy,1,INDEX('Lease Cycles'!$GC$16:$GI$16,1,Y146)+1))*(1+'Lease Cycles'!$AK$16)+(INDEX(c_TAXy,1,Y$7)-INDEX(c_TAXy,1,INDEX('Lease Cycles'!$GC$16:$GI$16,1,Y146)+1))+(INDEX(c_INSy,1,Y$7)-INDEX(c_INSy,1,INDEX('Lease Cycles'!$GC$16:$GI$16,1,Y146)+1)))/12)</f>
        <v>0</v>
      </c>
      <c r="Z157" s="28">
        <f>IF(Z156=0,0,Z156*MAX(0,(INDEX(c_CAMy,1,Z$7)-INDEX(c_CAMy,1,INDEX('Lease Cycles'!$GC$16:$GI$16,1,Z146)+1))*(1+'Lease Cycles'!$AK$16)+(INDEX(c_TAXy,1,Z$7)-INDEX(c_TAXy,1,INDEX('Lease Cycles'!$GC$16:$GI$16,1,Z146)+1))+(INDEX(c_INSy,1,Z$7)-INDEX(c_INSy,1,INDEX('Lease Cycles'!$GC$16:$GI$16,1,Z146)+1)))/12)</f>
        <v>0</v>
      </c>
      <c r="AA157" s="28">
        <f>IF(AA156=0,0,AA156*MAX(0,(INDEX(c_CAMy,1,AA$7)-INDEX(c_CAMy,1,INDEX('Lease Cycles'!$GC$16:$GI$16,1,AA146)+1))*(1+'Lease Cycles'!$AK$16)+(INDEX(c_TAXy,1,AA$7)-INDEX(c_TAXy,1,INDEX('Lease Cycles'!$GC$16:$GI$16,1,AA146)+1))+(INDEX(c_INSy,1,AA$7)-INDEX(c_INSy,1,INDEX('Lease Cycles'!$GC$16:$GI$16,1,AA146)+1)))/12)</f>
        <v>0</v>
      </c>
      <c r="AB157" s="28">
        <f>IF(AB156=0,0,AB156*MAX(0,(INDEX(c_CAMy,1,AB$7)-INDEX(c_CAMy,1,INDEX('Lease Cycles'!$GC$16:$GI$16,1,AB146)+1))*(1+'Lease Cycles'!$AK$16)+(INDEX(c_TAXy,1,AB$7)-INDEX(c_TAXy,1,INDEX('Lease Cycles'!$GC$16:$GI$16,1,AB146)+1))+(INDEX(c_INSy,1,AB$7)-INDEX(c_INSy,1,INDEX('Lease Cycles'!$GC$16:$GI$16,1,AB146)+1)))/12)</f>
        <v>0</v>
      </c>
      <c r="AC157" s="28">
        <f>IF(AC156=0,0,AC156*MAX(0,(INDEX(c_CAMy,1,AC$7)-INDEX(c_CAMy,1,INDEX('Lease Cycles'!$GC$16:$GI$16,1,AC146)+1))*(1+'Lease Cycles'!$AK$16)+(INDEX(c_TAXy,1,AC$7)-INDEX(c_TAXy,1,INDEX('Lease Cycles'!$GC$16:$GI$16,1,AC146)+1))+(INDEX(c_INSy,1,AC$7)-INDEX(c_INSy,1,INDEX('Lease Cycles'!$GC$16:$GI$16,1,AC146)+1)))/12)</f>
        <v>0</v>
      </c>
      <c r="AD157" s="28">
        <f>IF(AD156=0,0,AD156*MAX(0,(INDEX(c_CAMy,1,AD$7)-INDEX(c_CAMy,1,INDEX('Lease Cycles'!$GC$16:$GI$16,1,AD146)+1))*(1+'Lease Cycles'!$AK$16)+(INDEX(c_TAXy,1,AD$7)-INDEX(c_TAXy,1,INDEX('Lease Cycles'!$GC$16:$GI$16,1,AD146)+1))+(INDEX(c_INSy,1,AD$7)-INDEX(c_INSy,1,INDEX('Lease Cycles'!$GC$16:$GI$16,1,AD146)+1)))/12)</f>
        <v>0</v>
      </c>
      <c r="AE157" s="28">
        <f>IF(AE156=0,0,AE156*MAX(0,(INDEX(c_CAMy,1,AE$7)-INDEX(c_CAMy,1,INDEX('Lease Cycles'!$GC$16:$GI$16,1,AE146)+1))*(1+'Lease Cycles'!$AK$16)+(INDEX(c_TAXy,1,AE$7)-INDEX(c_TAXy,1,INDEX('Lease Cycles'!$GC$16:$GI$16,1,AE146)+1))+(INDEX(c_INSy,1,AE$7)-INDEX(c_INSy,1,INDEX('Lease Cycles'!$GC$16:$GI$16,1,AE146)+1)))/12)</f>
        <v>20.716666666666587</v>
      </c>
      <c r="AF157" s="28">
        <f>IF(AF156=0,0,AF156*MAX(0,(INDEX(c_CAMy,1,AF$7)-INDEX(c_CAMy,1,INDEX('Lease Cycles'!$GC$16:$GI$16,1,AF146)+1))*(1+'Lease Cycles'!$AK$16)+(INDEX(c_TAXy,1,AF$7)-INDEX(c_TAXy,1,INDEX('Lease Cycles'!$GC$16:$GI$16,1,AF146)+1))+(INDEX(c_INSy,1,AF$7)-INDEX(c_INSy,1,INDEX('Lease Cycles'!$GC$16:$GI$16,1,AF146)+1)))/12)</f>
        <v>20.716666666666587</v>
      </c>
      <c r="AG157" s="28">
        <f>IF(AG156=0,0,AG156*MAX(0,(INDEX(c_CAMy,1,AG$7)-INDEX(c_CAMy,1,INDEX('Lease Cycles'!$GC$16:$GI$16,1,AG146)+1))*(1+'Lease Cycles'!$AK$16)+(INDEX(c_TAXy,1,AG$7)-INDEX(c_TAXy,1,INDEX('Lease Cycles'!$GC$16:$GI$16,1,AG146)+1))+(INDEX(c_INSy,1,AG$7)-INDEX(c_INSy,1,INDEX('Lease Cycles'!$GC$16:$GI$16,1,AG146)+1)))/12)</f>
        <v>20.716666666666587</v>
      </c>
      <c r="AH157" s="28">
        <f>IF(AH156=0,0,AH156*MAX(0,(INDEX(c_CAMy,1,AH$7)-INDEX(c_CAMy,1,INDEX('Lease Cycles'!$GC$16:$GI$16,1,AH146)+1))*(1+'Lease Cycles'!$AK$16)+(INDEX(c_TAXy,1,AH$7)-INDEX(c_TAXy,1,INDEX('Lease Cycles'!$GC$16:$GI$16,1,AH146)+1))+(INDEX(c_INSy,1,AH$7)-INDEX(c_INSy,1,INDEX('Lease Cycles'!$GC$16:$GI$16,1,AH146)+1)))/12)</f>
        <v>20.716666666666587</v>
      </c>
      <c r="AI157" s="28">
        <f>IF(AI156=0,0,AI156*MAX(0,(INDEX(c_CAMy,1,AI$7)-INDEX(c_CAMy,1,INDEX('Lease Cycles'!$GC$16:$GI$16,1,AI146)+1))*(1+'Lease Cycles'!$AK$16)+(INDEX(c_TAXy,1,AI$7)-INDEX(c_TAXy,1,INDEX('Lease Cycles'!$GC$16:$GI$16,1,AI146)+1))+(INDEX(c_INSy,1,AI$7)-INDEX(c_INSy,1,INDEX('Lease Cycles'!$GC$16:$GI$16,1,AI146)+1)))/12)</f>
        <v>20.716666666666587</v>
      </c>
      <c r="AJ157" s="28">
        <f>IF(AJ156=0,0,AJ156*MAX(0,(INDEX(c_CAMy,1,AJ$7)-INDEX(c_CAMy,1,INDEX('Lease Cycles'!$GC$16:$GI$16,1,AJ146)+1))*(1+'Lease Cycles'!$AK$16)+(INDEX(c_TAXy,1,AJ$7)-INDEX(c_TAXy,1,INDEX('Lease Cycles'!$GC$16:$GI$16,1,AJ146)+1))+(INDEX(c_INSy,1,AJ$7)-INDEX(c_INSy,1,INDEX('Lease Cycles'!$GC$16:$GI$16,1,AJ146)+1)))/12)</f>
        <v>20.716666666666587</v>
      </c>
      <c r="AK157" s="28">
        <f>IF(AK156=0,0,AK156*MAX(0,(INDEX(c_CAMy,1,AK$7)-INDEX(c_CAMy,1,INDEX('Lease Cycles'!$GC$16:$GI$16,1,AK146)+1))*(1+'Lease Cycles'!$AK$16)+(INDEX(c_TAXy,1,AK$7)-INDEX(c_TAXy,1,INDEX('Lease Cycles'!$GC$16:$GI$16,1,AK146)+1))+(INDEX(c_INSy,1,AK$7)-INDEX(c_INSy,1,INDEX('Lease Cycles'!$GC$16:$GI$16,1,AK146)+1)))/12)</f>
        <v>20.716666666666587</v>
      </c>
      <c r="AL157" s="28">
        <f>IF(AL156=0,0,AL156*MAX(0,(INDEX(c_CAMy,1,AL$7)-INDEX(c_CAMy,1,INDEX('Lease Cycles'!$GC$16:$GI$16,1,AL146)+1))*(1+'Lease Cycles'!$AK$16)+(INDEX(c_TAXy,1,AL$7)-INDEX(c_TAXy,1,INDEX('Lease Cycles'!$GC$16:$GI$16,1,AL146)+1))+(INDEX(c_INSy,1,AL$7)-INDEX(c_INSy,1,INDEX('Lease Cycles'!$GC$16:$GI$16,1,AL146)+1)))/12)</f>
        <v>20.716666666666587</v>
      </c>
      <c r="AM157" s="28">
        <f>IF(AM156=0,0,AM156*MAX(0,(INDEX(c_CAMy,1,AM$7)-INDEX(c_CAMy,1,INDEX('Lease Cycles'!$GC$16:$GI$16,1,AM146)+1))*(1+'Lease Cycles'!$AK$16)+(INDEX(c_TAXy,1,AM$7)-INDEX(c_TAXy,1,INDEX('Lease Cycles'!$GC$16:$GI$16,1,AM146)+1))+(INDEX(c_INSy,1,AM$7)-INDEX(c_INSy,1,INDEX('Lease Cycles'!$GC$16:$GI$16,1,AM146)+1)))/12)</f>
        <v>20.716666666666587</v>
      </c>
      <c r="AN157" s="28">
        <f>IF(AN156=0,0,AN156*MAX(0,(INDEX(c_CAMy,1,AN$7)-INDEX(c_CAMy,1,INDEX('Lease Cycles'!$GC$16:$GI$16,1,AN146)+1))*(1+'Lease Cycles'!$AK$16)+(INDEX(c_TAXy,1,AN$7)-INDEX(c_TAXy,1,INDEX('Lease Cycles'!$GC$16:$GI$16,1,AN146)+1))+(INDEX(c_INSy,1,AN$7)-INDEX(c_INSy,1,INDEX('Lease Cycles'!$GC$16:$GI$16,1,AN146)+1)))/12)</f>
        <v>20.716666666666587</v>
      </c>
      <c r="AO157" s="28">
        <f>IF(AO156=0,0,AO156*MAX(0,(INDEX(c_CAMy,1,AO$7)-INDEX(c_CAMy,1,INDEX('Lease Cycles'!$GC$16:$GI$16,1,AO146)+1))*(1+'Lease Cycles'!$AK$16)+(INDEX(c_TAXy,1,AO$7)-INDEX(c_TAXy,1,INDEX('Lease Cycles'!$GC$16:$GI$16,1,AO146)+1))+(INDEX(c_INSy,1,AO$7)-INDEX(c_INSy,1,INDEX('Lease Cycles'!$GC$16:$GI$16,1,AO146)+1)))/12)</f>
        <v>20.716666666666587</v>
      </c>
      <c r="AP157" s="28">
        <f>IF(AP156=0,0,AP156*MAX(0,(INDEX(c_CAMy,1,AP$7)-INDEX(c_CAMy,1,INDEX('Lease Cycles'!$GC$16:$GI$16,1,AP146)+1))*(1+'Lease Cycles'!$AK$16)+(INDEX(c_TAXy,1,AP$7)-INDEX(c_TAXy,1,INDEX('Lease Cycles'!$GC$16:$GI$16,1,AP146)+1))+(INDEX(c_INSy,1,AP$7)-INDEX(c_INSy,1,INDEX('Lease Cycles'!$GC$16:$GI$16,1,AP146)+1)))/12)</f>
        <v>20.716666666666587</v>
      </c>
      <c r="AQ157" s="28">
        <f>IF(AQ156=0,0,AQ156*MAX(0,(INDEX(c_CAMy,1,AQ$7)-INDEX(c_CAMy,1,INDEX('Lease Cycles'!$GC$16:$GI$16,1,AQ146)+1))*(1+'Lease Cycles'!$AK$16)+(INDEX(c_TAXy,1,AQ$7)-INDEX(c_TAXy,1,INDEX('Lease Cycles'!$GC$16:$GI$16,1,AQ146)+1))+(INDEX(c_INSy,1,AQ$7)-INDEX(c_INSy,1,INDEX('Lease Cycles'!$GC$16:$GI$16,1,AQ146)+1)))/12)</f>
        <v>41.916416666666656</v>
      </c>
      <c r="AR157" s="28">
        <f>IF(AR156=0,0,AR156*MAX(0,(INDEX(c_CAMy,1,AR$7)-INDEX(c_CAMy,1,INDEX('Lease Cycles'!$GC$16:$GI$16,1,AR146)+1))*(1+'Lease Cycles'!$AK$16)+(INDEX(c_TAXy,1,AR$7)-INDEX(c_TAXy,1,INDEX('Lease Cycles'!$GC$16:$GI$16,1,AR146)+1))+(INDEX(c_INSy,1,AR$7)-INDEX(c_INSy,1,INDEX('Lease Cycles'!$GC$16:$GI$16,1,AR146)+1)))/12)</f>
        <v>41.916416666666656</v>
      </c>
      <c r="AS157" s="28">
        <f>IF(AS156=0,0,AS156*MAX(0,(INDEX(c_CAMy,1,AS$7)-INDEX(c_CAMy,1,INDEX('Lease Cycles'!$GC$16:$GI$16,1,AS146)+1))*(1+'Lease Cycles'!$AK$16)+(INDEX(c_TAXy,1,AS$7)-INDEX(c_TAXy,1,INDEX('Lease Cycles'!$GC$16:$GI$16,1,AS146)+1))+(INDEX(c_INSy,1,AS$7)-INDEX(c_INSy,1,INDEX('Lease Cycles'!$GC$16:$GI$16,1,AS146)+1)))/12)</f>
        <v>41.916416666666656</v>
      </c>
      <c r="AT157" s="28">
        <f>IF(AT156=0,0,AT156*MAX(0,(INDEX(c_CAMy,1,AT$7)-INDEX(c_CAMy,1,INDEX('Lease Cycles'!$GC$16:$GI$16,1,AT146)+1))*(1+'Lease Cycles'!$AK$16)+(INDEX(c_TAXy,1,AT$7)-INDEX(c_TAXy,1,INDEX('Lease Cycles'!$GC$16:$GI$16,1,AT146)+1))+(INDEX(c_INSy,1,AT$7)-INDEX(c_INSy,1,INDEX('Lease Cycles'!$GC$16:$GI$16,1,AT146)+1)))/12)</f>
        <v>41.916416666666656</v>
      </c>
      <c r="AU157" s="28">
        <f>IF(AU156=0,0,AU156*MAX(0,(INDEX(c_CAMy,1,AU$7)-INDEX(c_CAMy,1,INDEX('Lease Cycles'!$GC$16:$GI$16,1,AU146)+1))*(1+'Lease Cycles'!$AK$16)+(INDEX(c_TAXy,1,AU$7)-INDEX(c_TAXy,1,INDEX('Lease Cycles'!$GC$16:$GI$16,1,AU146)+1))+(INDEX(c_INSy,1,AU$7)-INDEX(c_INSy,1,INDEX('Lease Cycles'!$GC$16:$GI$16,1,AU146)+1)))/12)</f>
        <v>41.916416666666656</v>
      </c>
      <c r="AV157" s="28">
        <f>IF(AV156=0,0,AV156*MAX(0,(INDEX(c_CAMy,1,AV$7)-INDEX(c_CAMy,1,INDEX('Lease Cycles'!$GC$16:$GI$16,1,AV146)+1))*(1+'Lease Cycles'!$AK$16)+(INDEX(c_TAXy,1,AV$7)-INDEX(c_TAXy,1,INDEX('Lease Cycles'!$GC$16:$GI$16,1,AV146)+1))+(INDEX(c_INSy,1,AV$7)-INDEX(c_INSy,1,INDEX('Lease Cycles'!$GC$16:$GI$16,1,AV146)+1)))/12)</f>
        <v>41.916416666666656</v>
      </c>
      <c r="AW157" s="28">
        <f>IF(AW156=0,0,AW156*MAX(0,(INDEX(c_CAMy,1,AW$7)-INDEX(c_CAMy,1,INDEX('Lease Cycles'!$GC$16:$GI$16,1,AW146)+1))*(1+'Lease Cycles'!$AK$16)+(INDEX(c_TAXy,1,AW$7)-INDEX(c_TAXy,1,INDEX('Lease Cycles'!$GC$16:$GI$16,1,AW146)+1))+(INDEX(c_INSy,1,AW$7)-INDEX(c_INSy,1,INDEX('Lease Cycles'!$GC$16:$GI$16,1,AW146)+1)))/12)</f>
        <v>41.916416666666656</v>
      </c>
      <c r="AX157" s="28">
        <f>IF(AX156=0,0,AX156*MAX(0,(INDEX(c_CAMy,1,AX$7)-INDEX(c_CAMy,1,INDEX('Lease Cycles'!$GC$16:$GI$16,1,AX146)+1))*(1+'Lease Cycles'!$AK$16)+(INDEX(c_TAXy,1,AX$7)-INDEX(c_TAXy,1,INDEX('Lease Cycles'!$GC$16:$GI$16,1,AX146)+1))+(INDEX(c_INSy,1,AX$7)-INDEX(c_INSy,1,INDEX('Lease Cycles'!$GC$16:$GI$16,1,AX146)+1)))/12)</f>
        <v>41.916416666666656</v>
      </c>
      <c r="AY157" s="28">
        <f>IF(AY156=0,0,AY156*MAX(0,(INDEX(c_CAMy,1,AY$7)-INDEX(c_CAMy,1,INDEX('Lease Cycles'!$GC$16:$GI$16,1,AY146)+1))*(1+'Lease Cycles'!$AK$16)+(INDEX(c_TAXy,1,AY$7)-INDEX(c_TAXy,1,INDEX('Lease Cycles'!$GC$16:$GI$16,1,AY146)+1))+(INDEX(c_INSy,1,AY$7)-INDEX(c_INSy,1,INDEX('Lease Cycles'!$GC$16:$GI$16,1,AY146)+1)))/12)</f>
        <v>41.916416666666656</v>
      </c>
      <c r="AZ157" s="28">
        <f>IF(AZ156=0,0,AZ156*MAX(0,(INDEX(c_CAMy,1,AZ$7)-INDEX(c_CAMy,1,INDEX('Lease Cycles'!$GC$16:$GI$16,1,AZ146)+1))*(1+'Lease Cycles'!$AK$16)+(INDEX(c_TAXy,1,AZ$7)-INDEX(c_TAXy,1,INDEX('Lease Cycles'!$GC$16:$GI$16,1,AZ146)+1))+(INDEX(c_INSy,1,AZ$7)-INDEX(c_INSy,1,INDEX('Lease Cycles'!$GC$16:$GI$16,1,AZ146)+1)))/12)</f>
        <v>41.916416666666656</v>
      </c>
      <c r="BA157" s="28">
        <f>IF(BA156=0,0,BA156*MAX(0,(INDEX(c_CAMy,1,BA$7)-INDEX(c_CAMy,1,INDEX('Lease Cycles'!$GC$16:$GI$16,1,BA146)+1))*(1+'Lease Cycles'!$AK$16)+(INDEX(c_TAXy,1,BA$7)-INDEX(c_TAXy,1,INDEX('Lease Cycles'!$GC$16:$GI$16,1,BA146)+1))+(INDEX(c_INSy,1,BA$7)-INDEX(c_INSy,1,INDEX('Lease Cycles'!$GC$16:$GI$16,1,BA146)+1)))/12)</f>
        <v>41.916416666666656</v>
      </c>
      <c r="BB157" s="28">
        <f>IF(BB156=0,0,BB156*MAX(0,(INDEX(c_CAMy,1,BB$7)-INDEX(c_CAMy,1,INDEX('Lease Cycles'!$GC$16:$GI$16,1,BB146)+1))*(1+'Lease Cycles'!$AK$16)+(INDEX(c_TAXy,1,BB$7)-INDEX(c_TAXy,1,INDEX('Lease Cycles'!$GC$16:$GI$16,1,BB146)+1))+(INDEX(c_INSy,1,BB$7)-INDEX(c_INSy,1,INDEX('Lease Cycles'!$GC$16:$GI$16,1,BB146)+1)))/12)</f>
        <v>41.916416666666656</v>
      </c>
      <c r="BC157" s="28">
        <f>IF(BC156=0,0,BC156*MAX(0,(INDEX(c_CAMy,1,BC$7)-INDEX(c_CAMy,1,INDEX('Lease Cycles'!$GC$16:$GI$16,1,BC146)+1))*(1+'Lease Cycles'!$AK$16)+(INDEX(c_TAXy,1,BC$7)-INDEX(c_TAXy,1,INDEX('Lease Cycles'!$GC$16:$GI$16,1,BC146)+1))+(INDEX(c_INSy,1,BC$7)-INDEX(c_INSy,1,INDEX('Lease Cycles'!$GC$16:$GI$16,1,BC146)+1)))/12)</f>
        <v>63.61063041666654</v>
      </c>
      <c r="BD157" s="28">
        <f>IF(BD156=0,0,BD156*MAX(0,(INDEX(c_CAMy,1,BD$7)-INDEX(c_CAMy,1,INDEX('Lease Cycles'!$GC$16:$GI$16,1,BD146)+1))*(1+'Lease Cycles'!$AK$16)+(INDEX(c_TAXy,1,BD$7)-INDEX(c_TAXy,1,INDEX('Lease Cycles'!$GC$16:$GI$16,1,BD146)+1))+(INDEX(c_INSy,1,BD$7)-INDEX(c_INSy,1,INDEX('Lease Cycles'!$GC$16:$GI$16,1,BD146)+1)))/12)</f>
        <v>63.61063041666654</v>
      </c>
      <c r="BE157" s="28">
        <f>IF(BE156=0,0,BE156*MAX(0,(INDEX(c_CAMy,1,BE$7)-INDEX(c_CAMy,1,INDEX('Lease Cycles'!$GC$16:$GI$16,1,BE146)+1))*(1+'Lease Cycles'!$AK$16)+(INDEX(c_TAXy,1,BE$7)-INDEX(c_TAXy,1,INDEX('Lease Cycles'!$GC$16:$GI$16,1,BE146)+1))+(INDEX(c_INSy,1,BE$7)-INDEX(c_INSy,1,INDEX('Lease Cycles'!$GC$16:$GI$16,1,BE146)+1)))/12)</f>
        <v>63.61063041666654</v>
      </c>
      <c r="BF157" s="28">
        <f>IF(BF156=0,0,BF156*MAX(0,(INDEX(c_CAMy,1,BF$7)-INDEX(c_CAMy,1,INDEX('Lease Cycles'!$GC$16:$GI$16,1,BF146)+1))*(1+'Lease Cycles'!$AK$16)+(INDEX(c_TAXy,1,BF$7)-INDEX(c_TAXy,1,INDEX('Lease Cycles'!$GC$16:$GI$16,1,BF146)+1))+(INDEX(c_INSy,1,BF$7)-INDEX(c_INSy,1,INDEX('Lease Cycles'!$GC$16:$GI$16,1,BF146)+1)))/12)</f>
        <v>63.61063041666654</v>
      </c>
      <c r="BG157" s="28">
        <f>IF(BG156=0,0,BG156*MAX(0,(INDEX(c_CAMy,1,BG$7)-INDEX(c_CAMy,1,INDEX('Lease Cycles'!$GC$16:$GI$16,1,BG146)+1))*(1+'Lease Cycles'!$AK$16)+(INDEX(c_TAXy,1,BG$7)-INDEX(c_TAXy,1,INDEX('Lease Cycles'!$GC$16:$GI$16,1,BG146)+1))+(INDEX(c_INSy,1,BG$7)-INDEX(c_INSy,1,INDEX('Lease Cycles'!$GC$16:$GI$16,1,BG146)+1)))/12)</f>
        <v>63.61063041666654</v>
      </c>
      <c r="BH157" s="28">
        <f>IF(BH156=0,0,BH156*MAX(0,(INDEX(c_CAMy,1,BH$7)-INDEX(c_CAMy,1,INDEX('Lease Cycles'!$GC$16:$GI$16,1,BH146)+1))*(1+'Lease Cycles'!$AK$16)+(INDEX(c_TAXy,1,BH$7)-INDEX(c_TAXy,1,INDEX('Lease Cycles'!$GC$16:$GI$16,1,BH146)+1))+(INDEX(c_INSy,1,BH$7)-INDEX(c_INSy,1,INDEX('Lease Cycles'!$GC$16:$GI$16,1,BH146)+1)))/12)</f>
        <v>63.61063041666654</v>
      </c>
      <c r="BI157" s="28">
        <f>IF(BI156=0,0,BI156*MAX(0,(INDEX(c_CAMy,1,BI$7)-INDEX(c_CAMy,1,INDEX('Lease Cycles'!$GC$16:$GI$16,1,BI146)+1))*(1+'Lease Cycles'!$AK$16)+(INDEX(c_TAXy,1,BI$7)-INDEX(c_TAXy,1,INDEX('Lease Cycles'!$GC$16:$GI$16,1,BI146)+1))+(INDEX(c_INSy,1,BI$7)-INDEX(c_INSy,1,INDEX('Lease Cycles'!$GC$16:$GI$16,1,BI146)+1)))/12)</f>
        <v>63.61063041666654</v>
      </c>
      <c r="BJ157" s="28">
        <f>IF(BJ156=0,0,BJ156*MAX(0,(INDEX(c_CAMy,1,BJ$7)-INDEX(c_CAMy,1,INDEX('Lease Cycles'!$GC$16:$GI$16,1,BJ146)+1))*(1+'Lease Cycles'!$AK$16)+(INDEX(c_TAXy,1,BJ$7)-INDEX(c_TAXy,1,INDEX('Lease Cycles'!$GC$16:$GI$16,1,BJ146)+1))+(INDEX(c_INSy,1,BJ$7)-INDEX(c_INSy,1,INDEX('Lease Cycles'!$GC$16:$GI$16,1,BJ146)+1)))/12)</f>
        <v>63.61063041666654</v>
      </c>
      <c r="BK157" s="28">
        <f>IF(BK156=0,0,BK156*MAX(0,(INDEX(c_CAMy,1,BK$7)-INDEX(c_CAMy,1,INDEX('Lease Cycles'!$GC$16:$GI$16,1,BK146)+1))*(1+'Lease Cycles'!$AK$16)+(INDEX(c_TAXy,1,BK$7)-INDEX(c_TAXy,1,INDEX('Lease Cycles'!$GC$16:$GI$16,1,BK146)+1))+(INDEX(c_INSy,1,BK$7)-INDEX(c_INSy,1,INDEX('Lease Cycles'!$GC$16:$GI$16,1,BK146)+1)))/12)</f>
        <v>63.61063041666654</v>
      </c>
      <c r="BL157" s="28">
        <f>IF(BL156=0,0,BL156*MAX(0,(INDEX(c_CAMy,1,BL$7)-INDEX(c_CAMy,1,INDEX('Lease Cycles'!$GC$16:$GI$16,1,BL146)+1))*(1+'Lease Cycles'!$AK$16)+(INDEX(c_TAXy,1,BL$7)-INDEX(c_TAXy,1,INDEX('Lease Cycles'!$GC$16:$GI$16,1,BL146)+1))+(INDEX(c_INSy,1,BL$7)-INDEX(c_INSy,1,INDEX('Lease Cycles'!$GC$16:$GI$16,1,BL146)+1)))/12)</f>
        <v>63.61063041666654</v>
      </c>
      <c r="BM157" s="28">
        <f>IF(BM156=0,0,BM156*MAX(0,(INDEX(c_CAMy,1,BM$7)-INDEX(c_CAMy,1,INDEX('Lease Cycles'!$GC$16:$GI$16,1,BM146)+1))*(1+'Lease Cycles'!$AK$16)+(INDEX(c_TAXy,1,BM$7)-INDEX(c_TAXy,1,INDEX('Lease Cycles'!$GC$16:$GI$16,1,BM146)+1))+(INDEX(c_INSy,1,BM$7)-INDEX(c_INSy,1,INDEX('Lease Cycles'!$GC$16:$GI$16,1,BM146)+1)))/12)</f>
        <v>63.61063041666654</v>
      </c>
      <c r="BN157" s="28">
        <f>IF(BN156=0,0,BN156*MAX(0,(INDEX(c_CAMy,1,BN$7)-INDEX(c_CAMy,1,INDEX('Lease Cycles'!$GC$16:$GI$16,1,BN146)+1))*(1+'Lease Cycles'!$AK$16)+(INDEX(c_TAXy,1,BN$7)-INDEX(c_TAXy,1,INDEX('Lease Cycles'!$GC$16:$GI$16,1,BN146)+1))+(INDEX(c_INSy,1,BN$7)-INDEX(c_INSy,1,INDEX('Lease Cycles'!$GC$16:$GI$16,1,BN146)+1)))/12)</f>
        <v>63.61063041666654</v>
      </c>
      <c r="BO157" s="28">
        <f>IF(BO156=0,0,BO156*MAX(0,(INDEX(c_CAMy,1,BO$7)-INDEX(c_CAMy,1,INDEX('Lease Cycles'!$GC$16:$GI$16,1,BO146)+1))*(1+'Lease Cycles'!$AK$16)+(INDEX(c_TAXy,1,BO$7)-INDEX(c_TAXy,1,INDEX('Lease Cycles'!$GC$16:$GI$16,1,BO146)+1))+(INDEX(c_INSy,1,BO$7)-INDEX(c_INSy,1,INDEX('Lease Cycles'!$GC$16:$GI$16,1,BO146)+1)))/12)</f>
        <v>85.81095891041637</v>
      </c>
      <c r="BP157" s="28">
        <f>IF(BP156=0,0,BP156*MAX(0,(INDEX(c_CAMy,1,BP$7)-INDEX(c_CAMy,1,INDEX('Lease Cycles'!$GC$16:$GI$16,1,BP146)+1))*(1+'Lease Cycles'!$AK$16)+(INDEX(c_TAXy,1,BP$7)-INDEX(c_TAXy,1,INDEX('Lease Cycles'!$GC$16:$GI$16,1,BP146)+1))+(INDEX(c_INSy,1,BP$7)-INDEX(c_INSy,1,INDEX('Lease Cycles'!$GC$16:$GI$16,1,BP146)+1)))/12)</f>
        <v>85.81095891041637</v>
      </c>
      <c r="BQ157" s="28">
        <f>IF(BQ156=0,0,BQ156*MAX(0,(INDEX(c_CAMy,1,BQ$7)-INDEX(c_CAMy,1,INDEX('Lease Cycles'!$GC$16:$GI$16,1,BQ146)+1))*(1+'Lease Cycles'!$AK$16)+(INDEX(c_TAXy,1,BQ$7)-INDEX(c_TAXy,1,INDEX('Lease Cycles'!$GC$16:$GI$16,1,BQ146)+1))+(INDEX(c_INSy,1,BQ$7)-INDEX(c_INSy,1,INDEX('Lease Cycles'!$GC$16:$GI$16,1,BQ146)+1)))/12)</f>
        <v>85.81095891041637</v>
      </c>
      <c r="BR157" s="28">
        <f>IF(BR156=0,0,BR156*MAX(0,(INDEX(c_CAMy,1,BR$7)-INDEX(c_CAMy,1,INDEX('Lease Cycles'!$GC$16:$GI$16,1,BR146)+1))*(1+'Lease Cycles'!$AK$16)+(INDEX(c_TAXy,1,BR$7)-INDEX(c_TAXy,1,INDEX('Lease Cycles'!$GC$16:$GI$16,1,BR146)+1))+(INDEX(c_INSy,1,BR$7)-INDEX(c_INSy,1,INDEX('Lease Cycles'!$GC$16:$GI$16,1,BR146)+1)))/12)</f>
        <v>85.81095891041637</v>
      </c>
      <c r="BS157" s="28">
        <f>IF(BS156=0,0,BS156*MAX(0,(INDEX(c_CAMy,1,BS$7)-INDEX(c_CAMy,1,INDEX('Lease Cycles'!$GC$16:$GI$16,1,BS146)+1))*(1+'Lease Cycles'!$AK$16)+(INDEX(c_TAXy,1,BS$7)-INDEX(c_TAXy,1,INDEX('Lease Cycles'!$GC$16:$GI$16,1,BS146)+1))+(INDEX(c_INSy,1,BS$7)-INDEX(c_INSy,1,INDEX('Lease Cycles'!$GC$16:$GI$16,1,BS146)+1)))/12)</f>
        <v>85.81095891041637</v>
      </c>
      <c r="BT157" s="28">
        <f>IF(BT156=0,0,BT156*MAX(0,(INDEX(c_CAMy,1,BT$7)-INDEX(c_CAMy,1,INDEX('Lease Cycles'!$GC$16:$GI$16,1,BT146)+1))*(1+'Lease Cycles'!$AK$16)+(INDEX(c_TAXy,1,BT$7)-INDEX(c_TAXy,1,INDEX('Lease Cycles'!$GC$16:$GI$16,1,BT146)+1))+(INDEX(c_INSy,1,BT$7)-INDEX(c_INSy,1,INDEX('Lease Cycles'!$GC$16:$GI$16,1,BT146)+1)))/12)</f>
        <v>85.81095891041637</v>
      </c>
      <c r="BU157" s="28">
        <f>IF(BU156=0,0,BU156*MAX(0,(INDEX(c_CAMy,1,BU$7)-INDEX(c_CAMy,1,INDEX('Lease Cycles'!$GC$16:$GI$16,1,BU146)+1))*(1+'Lease Cycles'!$AK$16)+(INDEX(c_TAXy,1,BU$7)-INDEX(c_TAXy,1,INDEX('Lease Cycles'!$GC$16:$GI$16,1,BU146)+1))+(INDEX(c_INSy,1,BU$7)-INDEX(c_INSy,1,INDEX('Lease Cycles'!$GC$16:$GI$16,1,BU146)+1)))/12)</f>
        <v>85.81095891041637</v>
      </c>
      <c r="BV157" s="28">
        <f>IF(BV156=0,0,BV156*MAX(0,(INDEX(c_CAMy,1,BV$7)-INDEX(c_CAMy,1,INDEX('Lease Cycles'!$GC$16:$GI$16,1,BV146)+1))*(1+'Lease Cycles'!$AK$16)+(INDEX(c_TAXy,1,BV$7)-INDEX(c_TAXy,1,INDEX('Lease Cycles'!$GC$16:$GI$16,1,BV146)+1))+(INDEX(c_INSy,1,BV$7)-INDEX(c_INSy,1,INDEX('Lease Cycles'!$GC$16:$GI$16,1,BV146)+1)))/12)</f>
        <v>85.81095891041637</v>
      </c>
      <c r="BW157" s="28">
        <f>IF(BW156=0,0,BW156*MAX(0,(INDEX(c_CAMy,1,BW$7)-INDEX(c_CAMy,1,INDEX('Lease Cycles'!$GC$16:$GI$16,1,BW146)+1))*(1+'Lease Cycles'!$AK$16)+(INDEX(c_TAXy,1,BW$7)-INDEX(c_TAXy,1,INDEX('Lease Cycles'!$GC$16:$GI$16,1,BW146)+1))+(INDEX(c_INSy,1,BW$7)-INDEX(c_INSy,1,INDEX('Lease Cycles'!$GC$16:$GI$16,1,BW146)+1)))/12)</f>
        <v>85.81095891041637</v>
      </c>
      <c r="BX157" s="28">
        <f>IF(BX156=0,0,BX156*MAX(0,(INDEX(c_CAMy,1,BX$7)-INDEX(c_CAMy,1,INDEX('Lease Cycles'!$GC$16:$GI$16,1,BX146)+1))*(1+'Lease Cycles'!$AK$16)+(INDEX(c_TAXy,1,BX$7)-INDEX(c_TAXy,1,INDEX('Lease Cycles'!$GC$16:$GI$16,1,BX146)+1))+(INDEX(c_INSy,1,BX$7)-INDEX(c_INSy,1,INDEX('Lease Cycles'!$GC$16:$GI$16,1,BX146)+1)))/12)</f>
        <v>0</v>
      </c>
      <c r="BY157" s="28">
        <f>IF(BY156=0,0,BY156*MAX(0,(INDEX(c_CAMy,1,BY$7)-INDEX(c_CAMy,1,INDEX('Lease Cycles'!$GC$16:$GI$16,1,BY146)+1))*(1+'Lease Cycles'!$AK$16)+(INDEX(c_TAXy,1,BY$7)-INDEX(c_TAXy,1,INDEX('Lease Cycles'!$GC$16:$GI$16,1,BY146)+1))+(INDEX(c_INSy,1,BY$7)-INDEX(c_INSy,1,INDEX('Lease Cycles'!$GC$16:$GI$16,1,BY146)+1)))/12)</f>
        <v>0</v>
      </c>
      <c r="BZ157" s="28">
        <f>IF(BZ156=0,0,BZ156*MAX(0,(INDEX(c_CAMy,1,BZ$7)-INDEX(c_CAMy,1,INDEX('Lease Cycles'!$GC$16:$GI$16,1,BZ146)+1))*(1+'Lease Cycles'!$AK$16)+(INDEX(c_TAXy,1,BZ$7)-INDEX(c_TAXy,1,INDEX('Lease Cycles'!$GC$16:$GI$16,1,BZ146)+1))+(INDEX(c_INSy,1,BZ$7)-INDEX(c_INSy,1,INDEX('Lease Cycles'!$GC$16:$GI$16,1,BZ146)+1)))/12)</f>
        <v>0</v>
      </c>
      <c r="CA157" s="28">
        <f>IF(CA156=0,0,CA156*MAX(0,(INDEX(c_CAMy,1,CA$7)-INDEX(c_CAMy,1,INDEX('Lease Cycles'!$GC$16:$GI$16,1,CA146)+1))*(1+'Lease Cycles'!$AK$16)+(INDEX(c_TAXy,1,CA$7)-INDEX(c_TAXy,1,INDEX('Lease Cycles'!$GC$16:$GI$16,1,CA146)+1))+(INDEX(c_INSy,1,CA$7)-INDEX(c_INSy,1,INDEX('Lease Cycles'!$GC$16:$GI$16,1,CA146)+1)))/12)</f>
        <v>18.174697035275006</v>
      </c>
      <c r="CB157" s="28">
        <f>IF(CB156=0,0,CB156*MAX(0,(INDEX(c_CAMy,1,CB$7)-INDEX(c_CAMy,1,INDEX('Lease Cycles'!$GC$16:$GI$16,1,CB146)+1))*(1+'Lease Cycles'!$AK$16)+(INDEX(c_TAXy,1,CB$7)-INDEX(c_TAXy,1,INDEX('Lease Cycles'!$GC$16:$GI$16,1,CB146)+1))+(INDEX(c_INSy,1,CB$7)-INDEX(c_INSy,1,INDEX('Lease Cycles'!$GC$16:$GI$16,1,CB146)+1)))/12)</f>
        <v>18.174697035275006</v>
      </c>
      <c r="CC157" s="28">
        <f>IF(CC156=0,0,CC156*MAX(0,(INDEX(c_CAMy,1,CC$7)-INDEX(c_CAMy,1,INDEX('Lease Cycles'!$GC$16:$GI$16,1,CC146)+1))*(1+'Lease Cycles'!$AK$16)+(INDEX(c_TAXy,1,CC$7)-INDEX(c_TAXy,1,INDEX('Lease Cycles'!$GC$16:$GI$16,1,CC146)+1))+(INDEX(c_INSy,1,CC$7)-INDEX(c_INSy,1,INDEX('Lease Cycles'!$GC$16:$GI$16,1,CC146)+1)))/12)</f>
        <v>18.174697035275006</v>
      </c>
      <c r="CD157" s="28">
        <f>IF(CD156=0,0,CD156*MAX(0,(INDEX(c_CAMy,1,CD$7)-INDEX(c_CAMy,1,INDEX('Lease Cycles'!$GC$16:$GI$16,1,CD146)+1))*(1+'Lease Cycles'!$AK$16)+(INDEX(c_TAXy,1,CD$7)-INDEX(c_TAXy,1,INDEX('Lease Cycles'!$GC$16:$GI$16,1,CD146)+1))+(INDEX(c_INSy,1,CD$7)-INDEX(c_INSy,1,INDEX('Lease Cycles'!$GC$16:$GI$16,1,CD146)+1)))/12)</f>
        <v>18.174697035275006</v>
      </c>
      <c r="CE157" s="28">
        <f>IF(CE156=0,0,CE156*MAX(0,(INDEX(c_CAMy,1,CE$7)-INDEX(c_CAMy,1,INDEX('Lease Cycles'!$GC$16:$GI$16,1,CE146)+1))*(1+'Lease Cycles'!$AK$16)+(INDEX(c_TAXy,1,CE$7)-INDEX(c_TAXy,1,INDEX('Lease Cycles'!$GC$16:$GI$16,1,CE146)+1))+(INDEX(c_INSy,1,CE$7)-INDEX(c_INSy,1,INDEX('Lease Cycles'!$GC$16:$GI$16,1,CE146)+1)))/12)</f>
        <v>18.174697035275006</v>
      </c>
      <c r="CF157" s="28">
        <f>IF(CF156=0,0,CF156*MAX(0,(INDEX(c_CAMy,1,CF$7)-INDEX(c_CAMy,1,INDEX('Lease Cycles'!$GC$16:$GI$16,1,CF146)+1))*(1+'Lease Cycles'!$AK$16)+(INDEX(c_TAXy,1,CF$7)-INDEX(c_TAXy,1,INDEX('Lease Cycles'!$GC$16:$GI$16,1,CF146)+1))+(INDEX(c_INSy,1,CF$7)-INDEX(c_INSy,1,INDEX('Lease Cycles'!$GC$16:$GI$16,1,CF146)+1)))/12)</f>
        <v>18.174697035275006</v>
      </c>
      <c r="CG157" s="28">
        <f>IF(CG156=0,0,CG156*MAX(0,(INDEX(c_CAMy,1,CG$7)-INDEX(c_CAMy,1,INDEX('Lease Cycles'!$GC$16:$GI$16,1,CG146)+1))*(1+'Lease Cycles'!$AK$16)+(INDEX(c_TAXy,1,CG$7)-INDEX(c_TAXy,1,INDEX('Lease Cycles'!$GC$16:$GI$16,1,CG146)+1))+(INDEX(c_INSy,1,CG$7)-INDEX(c_INSy,1,INDEX('Lease Cycles'!$GC$16:$GI$16,1,CG146)+1)))/12)</f>
        <v>18.174697035275006</v>
      </c>
      <c r="CH157" s="28">
        <f>IF(CH156=0,0,CH156*MAX(0,(INDEX(c_CAMy,1,CH$7)-INDEX(c_CAMy,1,INDEX('Lease Cycles'!$GC$16:$GI$16,1,CH146)+1))*(1+'Lease Cycles'!$AK$16)+(INDEX(c_TAXy,1,CH$7)-INDEX(c_TAXy,1,INDEX('Lease Cycles'!$GC$16:$GI$16,1,CH146)+1))+(INDEX(c_INSy,1,CH$7)-INDEX(c_INSy,1,INDEX('Lease Cycles'!$GC$16:$GI$16,1,CH146)+1)))/12)</f>
        <v>18.174697035275006</v>
      </c>
      <c r="CI157" s="28">
        <f>IF(CI156=0,0,CI156*MAX(0,(INDEX(c_CAMy,1,CI$7)-INDEX(c_CAMy,1,INDEX('Lease Cycles'!$GC$16:$GI$16,1,CI146)+1))*(1+'Lease Cycles'!$AK$16)+(INDEX(c_TAXy,1,CI$7)-INDEX(c_TAXy,1,INDEX('Lease Cycles'!$GC$16:$GI$16,1,CI146)+1))+(INDEX(c_INSy,1,CI$7)-INDEX(c_INSy,1,INDEX('Lease Cycles'!$GC$16:$GI$16,1,CI146)+1)))/12)</f>
        <v>18.174697035275006</v>
      </c>
      <c r="CJ157" s="28">
        <f>IF(CJ156=0,0,CJ156*MAX(0,(INDEX(c_CAMy,1,CJ$7)-INDEX(c_CAMy,1,INDEX('Lease Cycles'!$GC$16:$GI$16,1,CJ146)+1))*(1+'Lease Cycles'!$AK$16)+(INDEX(c_TAXy,1,CJ$7)-INDEX(c_TAXy,1,INDEX('Lease Cycles'!$GC$16:$GI$16,1,CJ146)+1))+(INDEX(c_INSy,1,CJ$7)-INDEX(c_INSy,1,INDEX('Lease Cycles'!$GC$16:$GI$16,1,CJ146)+1)))/12)</f>
        <v>18.174697035275006</v>
      </c>
      <c r="CK157" s="28">
        <f>IF(CK156=0,0,CK156*MAX(0,(INDEX(c_CAMy,1,CK$7)-INDEX(c_CAMy,1,INDEX('Lease Cycles'!$GC$16:$GI$16,1,CK146)+1))*(1+'Lease Cycles'!$AK$16)+(INDEX(c_TAXy,1,CK$7)-INDEX(c_TAXy,1,INDEX('Lease Cycles'!$GC$16:$GI$16,1,CK146)+1))+(INDEX(c_INSy,1,CK$7)-INDEX(c_INSy,1,INDEX('Lease Cycles'!$GC$16:$GI$16,1,CK146)+1)))/12)</f>
        <v>18.174697035275006</v>
      </c>
      <c r="CL157" s="28">
        <f>IF(CL156=0,0,CL156*MAX(0,(INDEX(c_CAMy,1,CL$7)-INDEX(c_CAMy,1,INDEX('Lease Cycles'!$GC$16:$GI$16,1,CL146)+1))*(1+'Lease Cycles'!$AK$16)+(INDEX(c_TAXy,1,CL$7)-INDEX(c_TAXy,1,INDEX('Lease Cycles'!$GC$16:$GI$16,1,CL146)+1))+(INDEX(c_INSy,1,CL$7)-INDEX(c_INSy,1,INDEX('Lease Cycles'!$GC$16:$GI$16,1,CL146)+1)))/12)</f>
        <v>18.174697035275006</v>
      </c>
      <c r="CM157" s="28">
        <f>IF(CM156=0,0,CM156*MAX(0,(INDEX(c_CAMy,1,CM$7)-INDEX(c_CAMy,1,INDEX('Lease Cycles'!$GC$16:$GI$16,1,CM146)+1))*(1+'Lease Cycles'!$AK$16)+(INDEX(c_TAXy,1,CM$7)-INDEX(c_TAXy,1,INDEX('Lease Cycles'!$GC$16:$GI$16,1,CM146)+1))+(INDEX(c_INSy,1,CM$7)-INDEX(c_INSy,1,INDEX('Lease Cycles'!$GC$16:$GI$16,1,CM146)+1)))/12)</f>
        <v>36.773597720239835</v>
      </c>
      <c r="CN157" s="28">
        <f>IF(CN156=0,0,CN156*MAX(0,(INDEX(c_CAMy,1,CN$7)-INDEX(c_CAMy,1,INDEX('Lease Cycles'!$GC$16:$GI$16,1,CN146)+1))*(1+'Lease Cycles'!$AK$16)+(INDEX(c_TAXy,1,CN$7)-INDEX(c_TAXy,1,INDEX('Lease Cycles'!$GC$16:$GI$16,1,CN146)+1))+(INDEX(c_INSy,1,CN$7)-INDEX(c_INSy,1,INDEX('Lease Cycles'!$GC$16:$GI$16,1,CN146)+1)))/12)</f>
        <v>36.773597720239835</v>
      </c>
      <c r="CO157" s="28">
        <f>IF(CO156=0,0,CO156*MAX(0,(INDEX(c_CAMy,1,CO$7)-INDEX(c_CAMy,1,INDEX('Lease Cycles'!$GC$16:$GI$16,1,CO146)+1))*(1+'Lease Cycles'!$AK$16)+(INDEX(c_TAXy,1,CO$7)-INDEX(c_TAXy,1,INDEX('Lease Cycles'!$GC$16:$GI$16,1,CO146)+1))+(INDEX(c_INSy,1,CO$7)-INDEX(c_INSy,1,INDEX('Lease Cycles'!$GC$16:$GI$16,1,CO146)+1)))/12)</f>
        <v>36.773597720239835</v>
      </c>
      <c r="CP157" s="28">
        <f>IF(CP156=0,0,CP156*MAX(0,(INDEX(c_CAMy,1,CP$7)-INDEX(c_CAMy,1,INDEX('Lease Cycles'!$GC$16:$GI$16,1,CP146)+1))*(1+'Lease Cycles'!$AK$16)+(INDEX(c_TAXy,1,CP$7)-INDEX(c_TAXy,1,INDEX('Lease Cycles'!$GC$16:$GI$16,1,CP146)+1))+(INDEX(c_INSy,1,CP$7)-INDEX(c_INSy,1,INDEX('Lease Cycles'!$GC$16:$GI$16,1,CP146)+1)))/12)</f>
        <v>36.773597720239835</v>
      </c>
      <c r="CQ157" s="28">
        <f>IF(CQ156=0,0,CQ156*MAX(0,(INDEX(c_CAMy,1,CQ$7)-INDEX(c_CAMy,1,INDEX('Lease Cycles'!$GC$16:$GI$16,1,CQ146)+1))*(1+'Lease Cycles'!$AK$16)+(INDEX(c_TAXy,1,CQ$7)-INDEX(c_TAXy,1,INDEX('Lease Cycles'!$GC$16:$GI$16,1,CQ146)+1))+(INDEX(c_INSy,1,CQ$7)-INDEX(c_INSy,1,INDEX('Lease Cycles'!$GC$16:$GI$16,1,CQ146)+1)))/12)</f>
        <v>36.773597720239835</v>
      </c>
      <c r="CR157" s="28">
        <f>IF(CR156=0,0,CR156*MAX(0,(INDEX(c_CAMy,1,CR$7)-INDEX(c_CAMy,1,INDEX('Lease Cycles'!$GC$16:$GI$16,1,CR146)+1))*(1+'Lease Cycles'!$AK$16)+(INDEX(c_TAXy,1,CR$7)-INDEX(c_TAXy,1,INDEX('Lease Cycles'!$GC$16:$GI$16,1,CR146)+1))+(INDEX(c_INSy,1,CR$7)-INDEX(c_INSy,1,INDEX('Lease Cycles'!$GC$16:$GI$16,1,CR146)+1)))/12)</f>
        <v>36.773597720239835</v>
      </c>
      <c r="CS157" s="28">
        <f>IF(CS156=0,0,CS156*MAX(0,(INDEX(c_CAMy,1,CS$7)-INDEX(c_CAMy,1,INDEX('Lease Cycles'!$GC$16:$GI$16,1,CS146)+1))*(1+'Lease Cycles'!$AK$16)+(INDEX(c_TAXy,1,CS$7)-INDEX(c_TAXy,1,INDEX('Lease Cycles'!$GC$16:$GI$16,1,CS146)+1))+(INDEX(c_INSy,1,CS$7)-INDEX(c_INSy,1,INDEX('Lease Cycles'!$GC$16:$GI$16,1,CS146)+1)))/12)</f>
        <v>36.773597720239835</v>
      </c>
      <c r="CT157" s="28">
        <f>IF(CT156=0,0,CT156*MAX(0,(INDEX(c_CAMy,1,CT$7)-INDEX(c_CAMy,1,INDEX('Lease Cycles'!$GC$16:$GI$16,1,CT146)+1))*(1+'Lease Cycles'!$AK$16)+(INDEX(c_TAXy,1,CT$7)-INDEX(c_TAXy,1,INDEX('Lease Cycles'!$GC$16:$GI$16,1,CT146)+1))+(INDEX(c_INSy,1,CT$7)-INDEX(c_INSy,1,INDEX('Lease Cycles'!$GC$16:$GI$16,1,CT146)+1)))/12)</f>
        <v>36.773597720239835</v>
      </c>
      <c r="CU157" s="28">
        <f>IF(CU156=0,0,CU156*MAX(0,(INDEX(c_CAMy,1,CU$7)-INDEX(c_CAMy,1,INDEX('Lease Cycles'!$GC$16:$GI$16,1,CU146)+1))*(1+'Lease Cycles'!$AK$16)+(INDEX(c_TAXy,1,CU$7)-INDEX(c_TAXy,1,INDEX('Lease Cycles'!$GC$16:$GI$16,1,CU146)+1))+(INDEX(c_INSy,1,CU$7)-INDEX(c_INSy,1,INDEX('Lease Cycles'!$GC$16:$GI$16,1,CU146)+1)))/12)</f>
        <v>36.773597720239835</v>
      </c>
      <c r="CV157" s="28">
        <f>IF(CV156=0,0,CV156*MAX(0,(INDEX(c_CAMy,1,CV$7)-INDEX(c_CAMy,1,INDEX('Lease Cycles'!$GC$16:$GI$16,1,CV146)+1))*(1+'Lease Cycles'!$AK$16)+(INDEX(c_TAXy,1,CV$7)-INDEX(c_TAXy,1,INDEX('Lease Cycles'!$GC$16:$GI$16,1,CV146)+1))+(INDEX(c_INSy,1,CV$7)-INDEX(c_INSy,1,INDEX('Lease Cycles'!$GC$16:$GI$16,1,CV146)+1)))/12)</f>
        <v>36.773597720239835</v>
      </c>
      <c r="CW157" s="28">
        <f>IF(CW156=0,0,CW156*MAX(0,(INDEX(c_CAMy,1,CW$7)-INDEX(c_CAMy,1,INDEX('Lease Cycles'!$GC$16:$GI$16,1,CW146)+1))*(1+'Lease Cycles'!$AK$16)+(INDEX(c_TAXy,1,CW$7)-INDEX(c_TAXy,1,INDEX('Lease Cycles'!$GC$16:$GI$16,1,CW146)+1))+(INDEX(c_INSy,1,CW$7)-INDEX(c_INSy,1,INDEX('Lease Cycles'!$GC$16:$GI$16,1,CW146)+1)))/12)</f>
        <v>36.773597720239835</v>
      </c>
      <c r="CX157" s="28">
        <f>IF(CX156=0,0,CX156*MAX(0,(INDEX(c_CAMy,1,CX$7)-INDEX(c_CAMy,1,INDEX('Lease Cycles'!$GC$16:$GI$16,1,CX146)+1))*(1+'Lease Cycles'!$AK$16)+(INDEX(c_TAXy,1,CX$7)-INDEX(c_TAXy,1,INDEX('Lease Cycles'!$GC$16:$GI$16,1,CX146)+1))+(INDEX(c_INSy,1,CX$7)-INDEX(c_INSy,1,INDEX('Lease Cycles'!$GC$16:$GI$16,1,CX146)+1)))/12)</f>
        <v>36.773597720239835</v>
      </c>
      <c r="CY157" s="28">
        <f>IF(CY156=0,0,CY156*MAX(0,(INDEX(c_CAMy,1,CY$7)-INDEX(c_CAMy,1,INDEX('Lease Cycles'!$GC$16:$GI$16,1,CY146)+1))*(1+'Lease Cycles'!$AK$16)+(INDEX(c_TAXy,1,CY$7)-INDEX(c_TAXy,1,INDEX('Lease Cycles'!$GC$16:$GI$16,1,CY146)+1))+(INDEX(c_INSy,1,CY$7)-INDEX(c_INSy,1,INDEX('Lease Cycles'!$GC$16:$GI$16,1,CY146)+1)))/12)</f>
        <v>55.806703870613035</v>
      </c>
      <c r="CZ157" s="28">
        <f>IF(CZ156=0,0,CZ156*MAX(0,(INDEX(c_CAMy,1,CZ$7)-INDEX(c_CAMy,1,INDEX('Lease Cycles'!$GC$16:$GI$16,1,CZ146)+1))*(1+'Lease Cycles'!$AK$16)+(INDEX(c_TAXy,1,CZ$7)-INDEX(c_TAXy,1,INDEX('Lease Cycles'!$GC$16:$GI$16,1,CZ146)+1))+(INDEX(c_INSy,1,CZ$7)-INDEX(c_INSy,1,INDEX('Lease Cycles'!$GC$16:$GI$16,1,CZ146)+1)))/12)</f>
        <v>55.806703870613035</v>
      </c>
      <c r="DA157" s="28">
        <f>IF(DA156=0,0,DA156*MAX(0,(INDEX(c_CAMy,1,DA$7)-INDEX(c_CAMy,1,INDEX('Lease Cycles'!$GC$16:$GI$16,1,DA146)+1))*(1+'Lease Cycles'!$AK$16)+(INDEX(c_TAXy,1,DA$7)-INDEX(c_TAXy,1,INDEX('Lease Cycles'!$GC$16:$GI$16,1,DA146)+1))+(INDEX(c_INSy,1,DA$7)-INDEX(c_INSy,1,INDEX('Lease Cycles'!$GC$16:$GI$16,1,DA146)+1)))/12)</f>
        <v>55.806703870613035</v>
      </c>
      <c r="DB157" s="28">
        <f>IF(DB156=0,0,DB156*MAX(0,(INDEX(c_CAMy,1,DB$7)-INDEX(c_CAMy,1,INDEX('Lease Cycles'!$GC$16:$GI$16,1,DB146)+1))*(1+'Lease Cycles'!$AK$16)+(INDEX(c_TAXy,1,DB$7)-INDEX(c_TAXy,1,INDEX('Lease Cycles'!$GC$16:$GI$16,1,DB146)+1))+(INDEX(c_INSy,1,DB$7)-INDEX(c_INSy,1,INDEX('Lease Cycles'!$GC$16:$GI$16,1,DB146)+1)))/12)</f>
        <v>55.806703870613035</v>
      </c>
      <c r="DC157" s="28">
        <f>IF(DC156=0,0,DC156*MAX(0,(INDEX(c_CAMy,1,DC$7)-INDEX(c_CAMy,1,INDEX('Lease Cycles'!$GC$16:$GI$16,1,DC146)+1))*(1+'Lease Cycles'!$AK$16)+(INDEX(c_TAXy,1,DC$7)-INDEX(c_TAXy,1,INDEX('Lease Cycles'!$GC$16:$GI$16,1,DC146)+1))+(INDEX(c_INSy,1,DC$7)-INDEX(c_INSy,1,INDEX('Lease Cycles'!$GC$16:$GI$16,1,DC146)+1)))/12)</f>
        <v>55.806703870613035</v>
      </c>
      <c r="DD157" s="28">
        <f>IF(DD156=0,0,DD156*MAX(0,(INDEX(c_CAMy,1,DD$7)-INDEX(c_CAMy,1,INDEX('Lease Cycles'!$GC$16:$GI$16,1,DD146)+1))*(1+'Lease Cycles'!$AK$16)+(INDEX(c_TAXy,1,DD$7)-INDEX(c_TAXy,1,INDEX('Lease Cycles'!$GC$16:$GI$16,1,DD146)+1))+(INDEX(c_INSy,1,DD$7)-INDEX(c_INSy,1,INDEX('Lease Cycles'!$GC$16:$GI$16,1,DD146)+1)))/12)</f>
        <v>55.806703870613035</v>
      </c>
      <c r="DE157" s="28">
        <f>IF(DE156=0,0,DE156*MAX(0,(INDEX(c_CAMy,1,DE$7)-INDEX(c_CAMy,1,INDEX('Lease Cycles'!$GC$16:$GI$16,1,DE146)+1))*(1+'Lease Cycles'!$AK$16)+(INDEX(c_TAXy,1,DE$7)-INDEX(c_TAXy,1,INDEX('Lease Cycles'!$GC$16:$GI$16,1,DE146)+1))+(INDEX(c_INSy,1,DE$7)-INDEX(c_INSy,1,INDEX('Lease Cycles'!$GC$16:$GI$16,1,DE146)+1)))/12)</f>
        <v>55.806703870613035</v>
      </c>
      <c r="DF157" s="28">
        <f>IF(DF156=0,0,DF156*MAX(0,(INDEX(c_CAMy,1,DF$7)-INDEX(c_CAMy,1,INDEX('Lease Cycles'!$GC$16:$GI$16,1,DF146)+1))*(1+'Lease Cycles'!$AK$16)+(INDEX(c_TAXy,1,DF$7)-INDEX(c_TAXy,1,INDEX('Lease Cycles'!$GC$16:$GI$16,1,DF146)+1))+(INDEX(c_INSy,1,DF$7)-INDEX(c_INSy,1,INDEX('Lease Cycles'!$GC$16:$GI$16,1,DF146)+1)))/12)</f>
        <v>55.806703870613035</v>
      </c>
      <c r="DG157" s="28">
        <f>IF(DG156=0,0,DG156*MAX(0,(INDEX(c_CAMy,1,DG$7)-INDEX(c_CAMy,1,INDEX('Lease Cycles'!$GC$16:$GI$16,1,DG146)+1))*(1+'Lease Cycles'!$AK$16)+(INDEX(c_TAXy,1,DG$7)-INDEX(c_TAXy,1,INDEX('Lease Cycles'!$GC$16:$GI$16,1,DG146)+1))+(INDEX(c_INSy,1,DG$7)-INDEX(c_INSy,1,INDEX('Lease Cycles'!$GC$16:$GI$16,1,DG146)+1)))/12)</f>
        <v>55.806703870613035</v>
      </c>
      <c r="DH157" s="28">
        <f>IF(DH156=0,0,DH156*MAX(0,(INDEX(c_CAMy,1,DH$7)-INDEX(c_CAMy,1,INDEX('Lease Cycles'!$GC$16:$GI$16,1,DH146)+1))*(1+'Lease Cycles'!$AK$16)+(INDEX(c_TAXy,1,DH$7)-INDEX(c_TAXy,1,INDEX('Lease Cycles'!$GC$16:$GI$16,1,DH146)+1))+(INDEX(c_INSy,1,DH$7)-INDEX(c_INSy,1,INDEX('Lease Cycles'!$GC$16:$GI$16,1,DH146)+1)))/12)</f>
        <v>55.806703870613035</v>
      </c>
      <c r="DI157" s="28">
        <f>IF(DI156=0,0,DI156*MAX(0,(INDEX(c_CAMy,1,DI$7)-INDEX(c_CAMy,1,INDEX('Lease Cycles'!$GC$16:$GI$16,1,DI146)+1))*(1+'Lease Cycles'!$AK$16)+(INDEX(c_TAXy,1,DI$7)-INDEX(c_TAXy,1,INDEX('Lease Cycles'!$GC$16:$GI$16,1,DI146)+1))+(INDEX(c_INSy,1,DI$7)-INDEX(c_INSy,1,INDEX('Lease Cycles'!$GC$16:$GI$16,1,DI146)+1)))/12)</f>
        <v>55.806703870613035</v>
      </c>
      <c r="DJ157" s="28">
        <f>IF(DJ156=0,0,DJ156*MAX(0,(INDEX(c_CAMy,1,DJ$7)-INDEX(c_CAMy,1,INDEX('Lease Cycles'!$GC$16:$GI$16,1,DJ146)+1))*(1+'Lease Cycles'!$AK$16)+(INDEX(c_TAXy,1,DJ$7)-INDEX(c_TAXy,1,INDEX('Lease Cycles'!$GC$16:$GI$16,1,DJ146)+1))+(INDEX(c_INSy,1,DJ$7)-INDEX(c_INSy,1,INDEX('Lease Cycles'!$GC$16:$GI$16,1,DJ146)+1)))/12)</f>
        <v>55.806703870613035</v>
      </c>
      <c r="DK157" s="28">
        <f>IF(DK156=0,0,DK156*MAX(0,(INDEX(c_CAMy,1,DK$7)-INDEX(c_CAMy,1,INDEX('Lease Cycles'!$GC$16:$GI$16,1,DK146)+1))*(1+'Lease Cycles'!$AK$16)+(INDEX(c_TAXy,1,DK$7)-INDEX(c_TAXy,1,INDEX('Lease Cycles'!$GC$16:$GI$16,1,DK146)+1))+(INDEX(c_INSy,1,DK$7)-INDEX(c_INSy,1,INDEX('Lease Cycles'!$GC$16:$GI$16,1,DK146)+1)))/12)</f>
        <v>75.2842552819952</v>
      </c>
      <c r="DL157" s="28">
        <f>IF(DL156=0,0,DL156*MAX(0,(INDEX(c_CAMy,1,DL$7)-INDEX(c_CAMy,1,INDEX('Lease Cycles'!$GC$16:$GI$16,1,DL146)+1))*(1+'Lease Cycles'!$AK$16)+(INDEX(c_TAXy,1,DL$7)-INDEX(c_TAXy,1,INDEX('Lease Cycles'!$GC$16:$GI$16,1,DL146)+1))+(INDEX(c_INSy,1,DL$7)-INDEX(c_INSy,1,INDEX('Lease Cycles'!$GC$16:$GI$16,1,DL146)+1)))/12)</f>
        <v>75.2842552819952</v>
      </c>
      <c r="DM157" s="28">
        <f>IF(DM156=0,0,DM156*MAX(0,(INDEX(c_CAMy,1,DM$7)-INDEX(c_CAMy,1,INDEX('Lease Cycles'!$GC$16:$GI$16,1,DM146)+1))*(1+'Lease Cycles'!$AK$16)+(INDEX(c_TAXy,1,DM$7)-INDEX(c_TAXy,1,INDEX('Lease Cycles'!$GC$16:$GI$16,1,DM146)+1))+(INDEX(c_INSy,1,DM$7)-INDEX(c_INSy,1,INDEX('Lease Cycles'!$GC$16:$GI$16,1,DM146)+1)))/12)</f>
        <v>75.2842552819952</v>
      </c>
      <c r="DN157" s="28">
        <f>IF(DN156=0,0,DN156*MAX(0,(INDEX(c_CAMy,1,DN$7)-INDEX(c_CAMy,1,INDEX('Lease Cycles'!$GC$16:$GI$16,1,DN146)+1))*(1+'Lease Cycles'!$AK$16)+(INDEX(c_TAXy,1,DN$7)-INDEX(c_TAXy,1,INDEX('Lease Cycles'!$GC$16:$GI$16,1,DN146)+1))+(INDEX(c_INSy,1,DN$7)-INDEX(c_INSy,1,INDEX('Lease Cycles'!$GC$16:$GI$16,1,DN146)+1)))/12)</f>
        <v>75.2842552819952</v>
      </c>
      <c r="DO157" s="28">
        <f>IF(DO156=0,0,DO156*MAX(0,(INDEX(c_CAMy,1,DO$7)-INDEX(c_CAMy,1,INDEX('Lease Cycles'!$GC$16:$GI$16,1,DO146)+1))*(1+'Lease Cycles'!$AK$16)+(INDEX(c_TAXy,1,DO$7)-INDEX(c_TAXy,1,INDEX('Lease Cycles'!$GC$16:$GI$16,1,DO146)+1))+(INDEX(c_INSy,1,DO$7)-INDEX(c_INSy,1,INDEX('Lease Cycles'!$GC$16:$GI$16,1,DO146)+1)))/12)</f>
        <v>75.2842552819952</v>
      </c>
      <c r="DP157" s="28">
        <f>IF(DP156=0,0,DP156*MAX(0,(INDEX(c_CAMy,1,DP$7)-INDEX(c_CAMy,1,INDEX('Lease Cycles'!$GC$16:$GI$16,1,DP146)+1))*(1+'Lease Cycles'!$AK$16)+(INDEX(c_TAXy,1,DP$7)-INDEX(c_TAXy,1,INDEX('Lease Cycles'!$GC$16:$GI$16,1,DP146)+1))+(INDEX(c_INSy,1,DP$7)-INDEX(c_INSy,1,INDEX('Lease Cycles'!$GC$16:$GI$16,1,DP146)+1)))/12)</f>
        <v>75.2842552819952</v>
      </c>
      <c r="DQ157" s="28">
        <f>IF(DQ156=0,0,DQ156*MAX(0,(INDEX(c_CAMy,1,DQ$7)-INDEX(c_CAMy,1,INDEX('Lease Cycles'!$GC$16:$GI$16,1,DQ146)+1))*(1+'Lease Cycles'!$AK$16)+(INDEX(c_TAXy,1,DQ$7)-INDEX(c_TAXy,1,INDEX('Lease Cycles'!$GC$16:$GI$16,1,DQ146)+1))+(INDEX(c_INSy,1,DQ$7)-INDEX(c_INSy,1,INDEX('Lease Cycles'!$GC$16:$GI$16,1,DQ146)+1)))/12)</f>
        <v>75.2842552819952</v>
      </c>
      <c r="DR157" s="28">
        <f>IF(DR156=0,0,DR156*MAX(0,(INDEX(c_CAMy,1,DR$7)-INDEX(c_CAMy,1,INDEX('Lease Cycles'!$GC$16:$GI$16,1,DR146)+1))*(1+'Lease Cycles'!$AK$16)+(INDEX(c_TAXy,1,DR$7)-INDEX(c_TAXy,1,INDEX('Lease Cycles'!$GC$16:$GI$16,1,DR146)+1))+(INDEX(c_INSy,1,DR$7)-INDEX(c_INSy,1,INDEX('Lease Cycles'!$GC$16:$GI$16,1,DR146)+1)))/12)</f>
        <v>75.2842552819952</v>
      </c>
      <c r="DS157" s="28">
        <f>IF(DS156=0,0,DS156*MAX(0,(INDEX(c_CAMy,1,DS$7)-INDEX(c_CAMy,1,INDEX('Lease Cycles'!$GC$16:$GI$16,1,DS146)+1))*(1+'Lease Cycles'!$AK$16)+(INDEX(c_TAXy,1,DS$7)-INDEX(c_TAXy,1,INDEX('Lease Cycles'!$GC$16:$GI$16,1,DS146)+1))+(INDEX(c_INSy,1,DS$7)-INDEX(c_INSy,1,INDEX('Lease Cycles'!$GC$16:$GI$16,1,DS146)+1)))/12)</f>
        <v>75.2842552819952</v>
      </c>
      <c r="DT157" s="28">
        <f>IF(DT156=0,0,DT156*MAX(0,(INDEX(c_CAMy,1,DT$7)-INDEX(c_CAMy,1,INDEX('Lease Cycles'!$GC$16:$GI$16,1,DT146)+1))*(1+'Lease Cycles'!$AK$16)+(INDEX(c_TAXy,1,DT$7)-INDEX(c_TAXy,1,INDEX('Lease Cycles'!$GC$16:$GI$16,1,DT146)+1))+(INDEX(c_INSy,1,DT$7)-INDEX(c_INSy,1,INDEX('Lease Cycles'!$GC$16:$GI$16,1,DT146)+1)))/12)</f>
        <v>75.2842552819952</v>
      </c>
      <c r="DU157" s="28">
        <f>IF(DU156=0,0,DU156*MAX(0,(INDEX(c_CAMy,1,DU$7)-INDEX(c_CAMy,1,INDEX('Lease Cycles'!$GC$16:$GI$16,1,DU146)+1))*(1+'Lease Cycles'!$AK$16)+(INDEX(c_TAXy,1,DU$7)-INDEX(c_TAXy,1,INDEX('Lease Cycles'!$GC$16:$GI$16,1,DU146)+1))+(INDEX(c_INSy,1,DU$7)-INDEX(c_INSy,1,INDEX('Lease Cycles'!$GC$16:$GI$16,1,DU146)+1)))/12)</f>
        <v>75.2842552819952</v>
      </c>
      <c r="DV157" s="28">
        <f>IF(DV156=0,0,DV156*MAX(0,(INDEX(c_CAMy,1,DV$7)-INDEX(c_CAMy,1,INDEX('Lease Cycles'!$GC$16:$GI$16,1,DV146)+1))*(1+'Lease Cycles'!$AK$16)+(INDEX(c_TAXy,1,DV$7)-INDEX(c_TAXy,1,INDEX('Lease Cycles'!$GC$16:$GI$16,1,DV146)+1))+(INDEX(c_INSy,1,DV$7)-INDEX(c_INSy,1,INDEX('Lease Cycles'!$GC$16:$GI$16,1,DV146)+1)))/12)</f>
        <v>75.2842552819952</v>
      </c>
      <c r="DW157" s="28">
        <f>IF(DW156=0,0,DW156*MAX(0,(INDEX(c_CAMy,1,DW$7)-INDEX(c_CAMy,1,INDEX('Lease Cycles'!$GC$16:$GI$16,1,DW146)+1))*(1+'Lease Cycles'!$AK$16)+(INDEX(c_TAXy,1,DW$7)-INDEX(c_TAXy,1,INDEX('Lease Cycles'!$GC$16:$GI$16,1,DW146)+1))+(INDEX(c_INSy,1,DW$7)-INDEX(c_INSy,1,INDEX('Lease Cycles'!$GC$16:$GI$16,1,DW146)+1)))/12)</f>
        <v>95.21673543805701</v>
      </c>
      <c r="DX157" s="28">
        <f>IF(DX156=0,0,DX156*MAX(0,(INDEX(c_CAMy,1,DX$7)-INDEX(c_CAMy,1,INDEX('Lease Cycles'!$GC$16:$GI$16,1,DX146)+1))*(1+'Lease Cycles'!$AK$16)+(INDEX(c_TAXy,1,DX$7)-INDEX(c_TAXy,1,INDEX('Lease Cycles'!$GC$16:$GI$16,1,DX146)+1))+(INDEX(c_INSy,1,DX$7)-INDEX(c_INSy,1,INDEX('Lease Cycles'!$GC$16:$GI$16,1,DX146)+1)))/12)</f>
        <v>95.21673543805701</v>
      </c>
      <c r="DY157" s="28">
        <f>IF(DY156=0,0,DY156*MAX(0,(INDEX(c_CAMy,1,DY$7)-INDEX(c_CAMy,1,INDEX('Lease Cycles'!$GC$16:$GI$16,1,DY146)+1))*(1+'Lease Cycles'!$AK$16)+(INDEX(c_TAXy,1,DY$7)-INDEX(c_TAXy,1,INDEX('Lease Cycles'!$GC$16:$GI$16,1,DY146)+1))+(INDEX(c_INSy,1,DY$7)-INDEX(c_INSy,1,INDEX('Lease Cycles'!$GC$16:$GI$16,1,DY146)+1)))/12)</f>
        <v>95.21673543805701</v>
      </c>
      <c r="DZ157" s="28">
        <f>IF(DZ156=0,0,DZ156*MAX(0,(INDEX(c_CAMy,1,DZ$7)-INDEX(c_CAMy,1,INDEX('Lease Cycles'!$GC$16:$GI$16,1,DZ146)+1))*(1+'Lease Cycles'!$AK$16)+(INDEX(c_TAXy,1,DZ$7)-INDEX(c_TAXy,1,INDEX('Lease Cycles'!$GC$16:$GI$16,1,DZ146)+1))+(INDEX(c_INSy,1,DZ$7)-INDEX(c_INSy,1,INDEX('Lease Cycles'!$GC$16:$GI$16,1,DZ146)+1)))/12)</f>
        <v>95.21673543805701</v>
      </c>
      <c r="EA157" s="28">
        <f>IF(EA156=0,0,EA156*MAX(0,(INDEX(c_CAMy,1,EA$7)-INDEX(c_CAMy,1,INDEX('Lease Cycles'!$GC$16:$GI$16,1,EA146)+1))*(1+'Lease Cycles'!$AK$16)+(INDEX(c_TAXy,1,EA$7)-INDEX(c_TAXy,1,INDEX('Lease Cycles'!$GC$16:$GI$16,1,EA146)+1))+(INDEX(c_INSy,1,EA$7)-INDEX(c_INSy,1,INDEX('Lease Cycles'!$GC$16:$GI$16,1,EA146)+1)))/12)</f>
        <v>95.21673543805701</v>
      </c>
      <c r="EB157" s="28">
        <f>IF(EB156=0,0,EB156*MAX(0,(INDEX(c_CAMy,1,EB$7)-INDEX(c_CAMy,1,INDEX('Lease Cycles'!$GC$16:$GI$16,1,EB146)+1))*(1+'Lease Cycles'!$AK$16)+(INDEX(c_TAXy,1,EB$7)-INDEX(c_TAXy,1,INDEX('Lease Cycles'!$GC$16:$GI$16,1,EB146)+1))+(INDEX(c_INSy,1,EB$7)-INDEX(c_INSy,1,INDEX('Lease Cycles'!$GC$16:$GI$16,1,EB146)+1)))/12)</f>
        <v>95.21673543805701</v>
      </c>
      <c r="EC157" s="28">
        <f>IF(EC156=0,0,EC156*MAX(0,(INDEX(c_CAMy,1,EC$7)-INDEX(c_CAMy,1,INDEX('Lease Cycles'!$GC$16:$GI$16,1,EC146)+1))*(1+'Lease Cycles'!$AK$16)+(INDEX(c_TAXy,1,EC$7)-INDEX(c_TAXy,1,INDEX('Lease Cycles'!$GC$16:$GI$16,1,EC146)+1))+(INDEX(c_INSy,1,EC$7)-INDEX(c_INSy,1,INDEX('Lease Cycles'!$GC$16:$GI$16,1,EC146)+1)))/12)</f>
        <v>95.21673543805701</v>
      </c>
      <c r="ED157" s="28">
        <f>IF(ED156=0,0,ED156*MAX(0,(INDEX(c_CAMy,1,ED$7)-INDEX(c_CAMy,1,INDEX('Lease Cycles'!$GC$16:$GI$16,1,ED146)+1))*(1+'Lease Cycles'!$AK$16)+(INDEX(c_TAXy,1,ED$7)-INDEX(c_TAXy,1,INDEX('Lease Cycles'!$GC$16:$GI$16,1,ED146)+1))+(INDEX(c_INSy,1,ED$7)-INDEX(c_INSy,1,INDEX('Lease Cycles'!$GC$16:$GI$16,1,ED146)+1)))/12)</f>
        <v>95.21673543805701</v>
      </c>
      <c r="EE157" s="28">
        <f>IF(EE156=0,0,EE156*MAX(0,(INDEX(c_CAMy,1,EE$7)-INDEX(c_CAMy,1,INDEX('Lease Cycles'!$GC$16:$GI$16,1,EE146)+1))*(1+'Lease Cycles'!$AK$16)+(INDEX(c_TAXy,1,EE$7)-INDEX(c_TAXy,1,INDEX('Lease Cycles'!$GC$16:$GI$16,1,EE146)+1))+(INDEX(c_INSy,1,EE$7)-INDEX(c_INSy,1,INDEX('Lease Cycles'!$GC$16:$GI$16,1,EE146)+1)))/12)</f>
        <v>95.21673543805701</v>
      </c>
      <c r="EF157" s="28">
        <f>IF(EF156=0,0,EF156*MAX(0,(INDEX(c_CAMy,1,EF$7)-INDEX(c_CAMy,1,INDEX('Lease Cycles'!$GC$16:$GI$16,1,EF146)+1))*(1+'Lease Cycles'!$AK$16)+(INDEX(c_TAXy,1,EF$7)-INDEX(c_TAXy,1,INDEX('Lease Cycles'!$GC$16:$GI$16,1,EF146)+1))+(INDEX(c_INSy,1,EF$7)-INDEX(c_INSy,1,INDEX('Lease Cycles'!$GC$16:$GI$16,1,EF146)+1)))/12)</f>
        <v>95.21673543805701</v>
      </c>
      <c r="EG157" s="28">
        <f>IF(EG156=0,0,EG156*MAX(0,(INDEX(c_CAMy,1,EG$7)-INDEX(c_CAMy,1,INDEX('Lease Cycles'!$GC$16:$GI$16,1,EG146)+1))*(1+'Lease Cycles'!$AK$16)+(INDEX(c_TAXy,1,EG$7)-INDEX(c_TAXy,1,INDEX('Lease Cycles'!$GC$16:$GI$16,1,EG146)+1))+(INDEX(c_INSy,1,EG$7)-INDEX(c_INSy,1,INDEX('Lease Cycles'!$GC$16:$GI$16,1,EG146)+1)))/12)</f>
        <v>95.21673543805701</v>
      </c>
      <c r="EH157" s="28">
        <f>IF(EH156=0,0,EH156*MAX(0,(INDEX(c_CAMy,1,EH$7)-INDEX(c_CAMy,1,INDEX('Lease Cycles'!$GC$16:$GI$16,1,EH146)+1))*(1+'Lease Cycles'!$AK$16)+(INDEX(c_TAXy,1,EH$7)-INDEX(c_TAXy,1,INDEX('Lease Cycles'!$GC$16:$GI$16,1,EH146)+1))+(INDEX(c_INSy,1,EH$7)-INDEX(c_INSy,1,INDEX('Lease Cycles'!$GC$16:$GI$16,1,EH146)+1)))/12)</f>
        <v>95.21673543805701</v>
      </c>
      <c r="EI157" s="28">
        <f>IF(EI156=0,0,EI156*MAX(0,(INDEX(c_CAMy,1,EI$7)-INDEX(c_CAMy,1,INDEX('Lease Cycles'!$GC$16:$GI$16,1,EI146)+1))*(1+'Lease Cycles'!$AK$16)+(INDEX(c_TAXy,1,EI$7)-INDEX(c_TAXy,1,INDEX('Lease Cycles'!$GC$16:$GI$16,1,EI146)+1))+(INDEX(c_INSy,1,EI$7)-INDEX(c_INSy,1,INDEX('Lease Cycles'!$GC$16:$GI$16,1,EI146)+1)))/12)</f>
        <v>115.61487735660286</v>
      </c>
      <c r="EJ157" s="28">
        <f>IF(EJ156=0,0,EJ156*MAX(0,(INDEX(c_CAMy,1,EJ$7)-INDEX(c_CAMy,1,INDEX('Lease Cycles'!$GC$16:$GI$16,1,EJ146)+1))*(1+'Lease Cycles'!$AK$16)+(INDEX(c_TAXy,1,EJ$7)-INDEX(c_TAXy,1,INDEX('Lease Cycles'!$GC$16:$GI$16,1,EJ146)+1))+(INDEX(c_INSy,1,EJ$7)-INDEX(c_INSy,1,INDEX('Lease Cycles'!$GC$16:$GI$16,1,EJ146)+1)))/12)</f>
        <v>115.61487735660286</v>
      </c>
      <c r="EK157" s="28">
        <f>IF(EK156=0,0,EK156*MAX(0,(INDEX(c_CAMy,1,EK$7)-INDEX(c_CAMy,1,INDEX('Lease Cycles'!$GC$16:$GI$16,1,EK146)+1))*(1+'Lease Cycles'!$AK$16)+(INDEX(c_TAXy,1,EK$7)-INDEX(c_TAXy,1,INDEX('Lease Cycles'!$GC$16:$GI$16,1,EK146)+1))+(INDEX(c_INSy,1,EK$7)-INDEX(c_INSy,1,INDEX('Lease Cycles'!$GC$16:$GI$16,1,EK146)+1)))/12)</f>
        <v>115.61487735660286</v>
      </c>
      <c r="EL157" s="28">
        <f>IF(EL156=0,0,EL156*MAX(0,(INDEX(c_CAMy,1,EL$7)-INDEX(c_CAMy,1,INDEX('Lease Cycles'!$GC$16:$GI$16,1,EL146)+1))*(1+'Lease Cycles'!$AK$16)+(INDEX(c_TAXy,1,EL$7)-INDEX(c_TAXy,1,INDEX('Lease Cycles'!$GC$16:$GI$16,1,EL146)+1))+(INDEX(c_INSy,1,EL$7)-INDEX(c_INSy,1,INDEX('Lease Cycles'!$GC$16:$GI$16,1,EL146)+1)))/12)</f>
        <v>115.61487735660286</v>
      </c>
      <c r="EM157" s="28">
        <f>IF(EM156=0,0,EM156*MAX(0,(INDEX(c_CAMy,1,EM$7)-INDEX(c_CAMy,1,INDEX('Lease Cycles'!$GC$16:$GI$16,1,EM146)+1))*(1+'Lease Cycles'!$AK$16)+(INDEX(c_TAXy,1,EM$7)-INDEX(c_TAXy,1,INDEX('Lease Cycles'!$GC$16:$GI$16,1,EM146)+1))+(INDEX(c_INSy,1,EM$7)-INDEX(c_INSy,1,INDEX('Lease Cycles'!$GC$16:$GI$16,1,EM146)+1)))/12)</f>
        <v>115.61487735660286</v>
      </c>
      <c r="EN157" s="28">
        <f>IF(EN156=0,0,EN156*MAX(0,(INDEX(c_CAMy,1,EN$7)-INDEX(c_CAMy,1,INDEX('Lease Cycles'!$GC$16:$GI$16,1,EN146)+1))*(1+'Lease Cycles'!$AK$16)+(INDEX(c_TAXy,1,EN$7)-INDEX(c_TAXy,1,INDEX('Lease Cycles'!$GC$16:$GI$16,1,EN146)+1))+(INDEX(c_INSy,1,EN$7)-INDEX(c_INSy,1,INDEX('Lease Cycles'!$GC$16:$GI$16,1,EN146)+1)))/12)</f>
        <v>115.61487735660286</v>
      </c>
      <c r="EO157" s="28">
        <f>IF(EO156=0,0,EO156*MAX(0,(INDEX(c_CAMy,1,EO$7)-INDEX(c_CAMy,1,INDEX('Lease Cycles'!$GC$16:$GI$16,1,EO146)+1))*(1+'Lease Cycles'!$AK$16)+(INDEX(c_TAXy,1,EO$7)-INDEX(c_TAXy,1,INDEX('Lease Cycles'!$GC$16:$GI$16,1,EO146)+1))+(INDEX(c_INSy,1,EO$7)-INDEX(c_INSy,1,INDEX('Lease Cycles'!$GC$16:$GI$16,1,EO146)+1)))/12)</f>
        <v>115.61487735660286</v>
      </c>
      <c r="EP157" s="28">
        <f>IF(EP156=0,0,EP156*MAX(0,(INDEX(c_CAMy,1,EP$7)-INDEX(c_CAMy,1,INDEX('Lease Cycles'!$GC$16:$GI$16,1,EP146)+1))*(1+'Lease Cycles'!$AK$16)+(INDEX(c_TAXy,1,EP$7)-INDEX(c_TAXy,1,INDEX('Lease Cycles'!$GC$16:$GI$16,1,EP146)+1))+(INDEX(c_INSy,1,EP$7)-INDEX(c_INSy,1,INDEX('Lease Cycles'!$GC$16:$GI$16,1,EP146)+1)))/12)</f>
        <v>115.61487735660286</v>
      </c>
      <c r="EQ157" s="28">
        <f>IF(EQ156=0,0,EQ156*MAX(0,(INDEX(c_CAMy,1,EQ$7)-INDEX(c_CAMy,1,INDEX('Lease Cycles'!$GC$16:$GI$16,1,EQ146)+1))*(1+'Lease Cycles'!$AK$16)+(INDEX(c_TAXy,1,EQ$7)-INDEX(c_TAXy,1,INDEX('Lease Cycles'!$GC$16:$GI$16,1,EQ146)+1))+(INDEX(c_INSy,1,EQ$7)-INDEX(c_INSy,1,INDEX('Lease Cycles'!$GC$16:$GI$16,1,EQ146)+1)))/12)</f>
        <v>115.61487735660286</v>
      </c>
      <c r="ER157" s="28">
        <f>IF(ER156=0,0,ER156*MAX(0,(INDEX(c_CAMy,1,ER$7)-INDEX(c_CAMy,1,INDEX('Lease Cycles'!$GC$16:$GI$16,1,ER146)+1))*(1+'Lease Cycles'!$AK$16)+(INDEX(c_TAXy,1,ER$7)-INDEX(c_TAXy,1,INDEX('Lease Cycles'!$GC$16:$GI$16,1,ER146)+1))+(INDEX(c_INSy,1,ER$7)-INDEX(c_INSy,1,INDEX('Lease Cycles'!$GC$16:$GI$16,1,ER146)+1)))/12)</f>
        <v>115.61487735660286</v>
      </c>
      <c r="ES157" s="28">
        <f>IF(ES156=0,0,ES156*MAX(0,(INDEX(c_CAMy,1,ES$7)-INDEX(c_CAMy,1,INDEX('Lease Cycles'!$GC$16:$GI$16,1,ES146)+1))*(1+'Lease Cycles'!$AK$16)+(INDEX(c_TAXy,1,ES$7)-INDEX(c_TAXy,1,INDEX('Lease Cycles'!$GC$16:$GI$16,1,ES146)+1))+(INDEX(c_INSy,1,ES$7)-INDEX(c_INSy,1,INDEX('Lease Cycles'!$GC$16:$GI$16,1,ES146)+1)))/12)</f>
        <v>115.61487735660286</v>
      </c>
      <c r="ET157" s="28">
        <f>IF(ET156=0,0,ET156*MAX(0,(INDEX(c_CAMy,1,ET$7)-INDEX(c_CAMy,1,INDEX('Lease Cycles'!$GC$16:$GI$16,1,ET146)+1))*(1+'Lease Cycles'!$AK$16)+(INDEX(c_TAXy,1,ET$7)-INDEX(c_TAXy,1,INDEX('Lease Cycles'!$GC$16:$GI$16,1,ET146)+1))+(INDEX(c_INSy,1,ET$7)-INDEX(c_INSy,1,INDEX('Lease Cycles'!$GC$16:$GI$16,1,ET146)+1)))/12)</f>
        <v>115.61487735660286</v>
      </c>
    </row>
    <row r="158">
      <c r="A158" s="103">
        <v>9</v>
      </c>
      <c r="B158" s="23" t="str">
        <f>IF('Lease Cycles'!$B$16="","(empty slot)",'Lease Cycles'!$B$16)</f>
        <v>Sunfield Office Suite</v>
      </c>
      <c r="C158" s="23" t="s">
        <v>530</v>
      </c>
      <c r="D158" s="104" t="s">
        <v>531</v>
      </c>
      <c r="E158" s="25">
        <f>'Lease Cycles'!$AL$16</f>
        <v>0</v>
      </c>
      <c r="G158" s="28">
        <f>SUM(S158:AD158)</f>
        <v>0</v>
      </c>
      <c r="H158" s="28">
        <f>SUM(AE158:AP158)</f>
        <v>0</v>
      </c>
      <c r="I158" s="28">
        <f>SUM(AQ158:BB158)</f>
        <v>0</v>
      </c>
      <c r="J158" s="28">
        <f>SUM(BC158:BN158)</f>
        <v>0</v>
      </c>
      <c r="K158" s="28">
        <f>SUM(BO158:BZ158)</f>
        <v>16946.820040873507</v>
      </c>
      <c r="L158" s="28">
        <f>SUM(CA158:CL158)</f>
        <v>0</v>
      </c>
      <c r="M158" s="28">
        <f>SUM(CM158:CX158)</f>
        <v>0</v>
      </c>
      <c r="N158" s="28">
        <f>SUM(CY158:DJ158)</f>
        <v>0</v>
      </c>
      <c r="O158" s="28">
        <f>SUM(DK158:DV158)</f>
        <v>0</v>
      </c>
      <c r="P158" s="28">
        <f>SUM(DW158:EH158)</f>
        <v>0</v>
      </c>
      <c r="Q158" s="28">
        <f>SUM(EI158:ET158)</f>
        <v>0</v>
      </c>
      <c r="S158" s="28">
        <f>SUMIF('Lease Cycles'!$HL$16:$HR$16,S$6,'Lease Cycles'!$HS$16:$HY$16)</f>
        <v>0</v>
      </c>
      <c r="T158" s="28">
        <f>SUMIF('Lease Cycles'!$HL$16:$HR$16,T$6,'Lease Cycles'!$HS$16:$HY$16)</f>
        <v>0</v>
      </c>
      <c r="U158" s="28">
        <f>SUMIF('Lease Cycles'!$HL$16:$HR$16,U$6,'Lease Cycles'!$HS$16:$HY$16)</f>
        <v>0</v>
      </c>
      <c r="V158" s="28">
        <f>SUMIF('Lease Cycles'!$HL$16:$HR$16,V$6,'Lease Cycles'!$HS$16:$HY$16)</f>
        <v>0</v>
      </c>
      <c r="W158" s="28">
        <f>SUMIF('Lease Cycles'!$HL$16:$HR$16,W$6,'Lease Cycles'!$HS$16:$HY$16)</f>
        <v>0</v>
      </c>
      <c r="X158" s="28">
        <f>SUMIF('Lease Cycles'!$HL$16:$HR$16,X$6,'Lease Cycles'!$HS$16:$HY$16)</f>
        <v>0</v>
      </c>
      <c r="Y158" s="28">
        <f>SUMIF('Lease Cycles'!$HL$16:$HR$16,Y$6,'Lease Cycles'!$HS$16:$HY$16)</f>
        <v>0</v>
      </c>
      <c r="Z158" s="28">
        <f>SUMIF('Lease Cycles'!$HL$16:$HR$16,Z$6,'Lease Cycles'!$HS$16:$HY$16)</f>
        <v>0</v>
      </c>
      <c r="AA158" s="28">
        <f>SUMIF('Lease Cycles'!$HL$16:$HR$16,AA$6,'Lease Cycles'!$HS$16:$HY$16)</f>
        <v>0</v>
      </c>
      <c r="AB158" s="28">
        <f>SUMIF('Lease Cycles'!$HL$16:$HR$16,AB$6,'Lease Cycles'!$HS$16:$HY$16)</f>
        <v>0</v>
      </c>
      <c r="AC158" s="28">
        <f>SUMIF('Lease Cycles'!$HL$16:$HR$16,AC$6,'Lease Cycles'!$HS$16:$HY$16)</f>
        <v>0</v>
      </c>
      <c r="AD158" s="28">
        <f>SUMIF('Lease Cycles'!$HL$16:$HR$16,AD$6,'Lease Cycles'!$HS$16:$HY$16)</f>
        <v>0</v>
      </c>
      <c r="AE158" s="28">
        <f>SUMIF('Lease Cycles'!$HL$16:$HR$16,AE$6,'Lease Cycles'!$HS$16:$HY$16)</f>
        <v>0</v>
      </c>
      <c r="AF158" s="28">
        <f>SUMIF('Lease Cycles'!$HL$16:$HR$16,AF$6,'Lease Cycles'!$HS$16:$HY$16)</f>
        <v>0</v>
      </c>
      <c r="AG158" s="28">
        <f>SUMIF('Lease Cycles'!$HL$16:$HR$16,AG$6,'Lease Cycles'!$HS$16:$HY$16)</f>
        <v>0</v>
      </c>
      <c r="AH158" s="28">
        <f>SUMIF('Lease Cycles'!$HL$16:$HR$16,AH$6,'Lease Cycles'!$HS$16:$HY$16)</f>
        <v>0</v>
      </c>
      <c r="AI158" s="28">
        <f>SUMIF('Lease Cycles'!$HL$16:$HR$16,AI$6,'Lease Cycles'!$HS$16:$HY$16)</f>
        <v>0</v>
      </c>
      <c r="AJ158" s="28">
        <f>SUMIF('Lease Cycles'!$HL$16:$HR$16,AJ$6,'Lease Cycles'!$HS$16:$HY$16)</f>
        <v>0</v>
      </c>
      <c r="AK158" s="28">
        <f>SUMIF('Lease Cycles'!$HL$16:$HR$16,AK$6,'Lease Cycles'!$HS$16:$HY$16)</f>
        <v>0</v>
      </c>
      <c r="AL158" s="28">
        <f>SUMIF('Lease Cycles'!$HL$16:$HR$16,AL$6,'Lease Cycles'!$HS$16:$HY$16)</f>
        <v>0</v>
      </c>
      <c r="AM158" s="28">
        <f>SUMIF('Lease Cycles'!$HL$16:$HR$16,AM$6,'Lease Cycles'!$HS$16:$HY$16)</f>
        <v>0</v>
      </c>
      <c r="AN158" s="28">
        <f>SUMIF('Lease Cycles'!$HL$16:$HR$16,AN$6,'Lease Cycles'!$HS$16:$HY$16)</f>
        <v>0</v>
      </c>
      <c r="AO158" s="28">
        <f>SUMIF('Lease Cycles'!$HL$16:$HR$16,AO$6,'Lease Cycles'!$HS$16:$HY$16)</f>
        <v>0</v>
      </c>
      <c r="AP158" s="28">
        <f>SUMIF('Lease Cycles'!$HL$16:$HR$16,AP$6,'Lease Cycles'!$HS$16:$HY$16)</f>
        <v>0</v>
      </c>
      <c r="AQ158" s="28">
        <f>SUMIF('Lease Cycles'!$HL$16:$HR$16,AQ$6,'Lease Cycles'!$HS$16:$HY$16)</f>
        <v>0</v>
      </c>
      <c r="AR158" s="28">
        <f>SUMIF('Lease Cycles'!$HL$16:$HR$16,AR$6,'Lease Cycles'!$HS$16:$HY$16)</f>
        <v>0</v>
      </c>
      <c r="AS158" s="28">
        <f>SUMIF('Lease Cycles'!$HL$16:$HR$16,AS$6,'Lease Cycles'!$HS$16:$HY$16)</f>
        <v>0</v>
      </c>
      <c r="AT158" s="28">
        <f>SUMIF('Lease Cycles'!$HL$16:$HR$16,AT$6,'Lease Cycles'!$HS$16:$HY$16)</f>
        <v>0</v>
      </c>
      <c r="AU158" s="28">
        <f>SUMIF('Lease Cycles'!$HL$16:$HR$16,AU$6,'Lease Cycles'!$HS$16:$HY$16)</f>
        <v>0</v>
      </c>
      <c r="AV158" s="28">
        <f>SUMIF('Lease Cycles'!$HL$16:$HR$16,AV$6,'Lease Cycles'!$HS$16:$HY$16)</f>
        <v>0</v>
      </c>
      <c r="AW158" s="28">
        <f>SUMIF('Lease Cycles'!$HL$16:$HR$16,AW$6,'Lease Cycles'!$HS$16:$HY$16)</f>
        <v>0</v>
      </c>
      <c r="AX158" s="28">
        <f>SUMIF('Lease Cycles'!$HL$16:$HR$16,AX$6,'Lease Cycles'!$HS$16:$HY$16)</f>
        <v>0</v>
      </c>
      <c r="AY158" s="28">
        <f>SUMIF('Lease Cycles'!$HL$16:$HR$16,AY$6,'Lease Cycles'!$HS$16:$HY$16)</f>
        <v>0</v>
      </c>
      <c r="AZ158" s="28">
        <f>SUMIF('Lease Cycles'!$HL$16:$HR$16,AZ$6,'Lease Cycles'!$HS$16:$HY$16)</f>
        <v>0</v>
      </c>
      <c r="BA158" s="28">
        <f>SUMIF('Lease Cycles'!$HL$16:$HR$16,BA$6,'Lease Cycles'!$HS$16:$HY$16)</f>
        <v>0</v>
      </c>
      <c r="BB158" s="28">
        <f>SUMIF('Lease Cycles'!$HL$16:$HR$16,BB$6,'Lease Cycles'!$HS$16:$HY$16)</f>
        <v>0</v>
      </c>
      <c r="BC158" s="28">
        <f>SUMIF('Lease Cycles'!$HL$16:$HR$16,BC$6,'Lease Cycles'!$HS$16:$HY$16)</f>
        <v>0</v>
      </c>
      <c r="BD158" s="28">
        <f>SUMIF('Lease Cycles'!$HL$16:$HR$16,BD$6,'Lease Cycles'!$HS$16:$HY$16)</f>
        <v>0</v>
      </c>
      <c r="BE158" s="28">
        <f>SUMIF('Lease Cycles'!$HL$16:$HR$16,BE$6,'Lease Cycles'!$HS$16:$HY$16)</f>
        <v>0</v>
      </c>
      <c r="BF158" s="28">
        <f>SUMIF('Lease Cycles'!$HL$16:$HR$16,BF$6,'Lease Cycles'!$HS$16:$HY$16)</f>
        <v>0</v>
      </c>
      <c r="BG158" s="28">
        <f>SUMIF('Lease Cycles'!$HL$16:$HR$16,BG$6,'Lease Cycles'!$HS$16:$HY$16)</f>
        <v>0</v>
      </c>
      <c r="BH158" s="28">
        <f>SUMIF('Lease Cycles'!$HL$16:$HR$16,BH$6,'Lease Cycles'!$HS$16:$HY$16)</f>
        <v>0</v>
      </c>
      <c r="BI158" s="28">
        <f>SUMIF('Lease Cycles'!$HL$16:$HR$16,BI$6,'Lease Cycles'!$HS$16:$HY$16)</f>
        <v>0</v>
      </c>
      <c r="BJ158" s="28">
        <f>SUMIF('Lease Cycles'!$HL$16:$HR$16,BJ$6,'Lease Cycles'!$HS$16:$HY$16)</f>
        <v>0</v>
      </c>
      <c r="BK158" s="28">
        <f>SUMIF('Lease Cycles'!$HL$16:$HR$16,BK$6,'Lease Cycles'!$HS$16:$HY$16)</f>
        <v>0</v>
      </c>
      <c r="BL158" s="28">
        <f>SUMIF('Lease Cycles'!$HL$16:$HR$16,BL$6,'Lease Cycles'!$HS$16:$HY$16)</f>
        <v>0</v>
      </c>
      <c r="BM158" s="28">
        <f>SUMIF('Lease Cycles'!$HL$16:$HR$16,BM$6,'Lease Cycles'!$HS$16:$HY$16)</f>
        <v>0</v>
      </c>
      <c r="BN158" s="28">
        <f>SUMIF('Lease Cycles'!$HL$16:$HR$16,BN$6,'Lease Cycles'!$HS$16:$HY$16)</f>
        <v>0</v>
      </c>
      <c r="BO158" s="28">
        <f>SUMIF('Lease Cycles'!$HL$16:$HR$16,BO$6,'Lease Cycles'!$HS$16:$HY$16)</f>
        <v>0</v>
      </c>
      <c r="BP158" s="28">
        <f>SUMIF('Lease Cycles'!$HL$16:$HR$16,BP$6,'Lease Cycles'!$HS$16:$HY$16)</f>
        <v>0</v>
      </c>
      <c r="BQ158" s="28">
        <f>SUMIF('Lease Cycles'!$HL$16:$HR$16,BQ$6,'Lease Cycles'!$HS$16:$HY$16)</f>
        <v>0</v>
      </c>
      <c r="BR158" s="28">
        <f>SUMIF('Lease Cycles'!$HL$16:$HR$16,BR$6,'Lease Cycles'!$HS$16:$HY$16)</f>
        <v>0</v>
      </c>
      <c r="BS158" s="28">
        <f>SUMIF('Lease Cycles'!$HL$16:$HR$16,BS$6,'Lease Cycles'!$HS$16:$HY$16)</f>
        <v>0</v>
      </c>
      <c r="BT158" s="28">
        <f>SUMIF('Lease Cycles'!$HL$16:$HR$16,BT$6,'Lease Cycles'!$HS$16:$HY$16)</f>
        <v>0</v>
      </c>
      <c r="BU158" s="28">
        <f>SUMIF('Lease Cycles'!$HL$16:$HR$16,BU$6,'Lease Cycles'!$HS$16:$HY$16)</f>
        <v>0</v>
      </c>
      <c r="BV158" s="28">
        <f>SUMIF('Lease Cycles'!$HL$16:$HR$16,BV$6,'Lease Cycles'!$HS$16:$HY$16)</f>
        <v>0</v>
      </c>
      <c r="BW158" s="28">
        <f>SUMIF('Lease Cycles'!$HL$16:$HR$16,BW$6,'Lease Cycles'!$HS$16:$HY$16)</f>
        <v>0</v>
      </c>
      <c r="BX158" s="28">
        <f>SUMIF('Lease Cycles'!$HL$16:$HR$16,BX$6,'Lease Cycles'!$HS$16:$HY$16)</f>
        <v>0</v>
      </c>
      <c r="BY158" s="28">
        <f>SUMIF('Lease Cycles'!$HL$16:$HR$16,BY$6,'Lease Cycles'!$HS$16:$HY$16)</f>
        <v>16946.820040873507</v>
      </c>
      <c r="BZ158" s="28">
        <f>SUMIF('Lease Cycles'!$HL$16:$HR$16,BZ$6,'Lease Cycles'!$HS$16:$HY$16)</f>
        <v>0</v>
      </c>
      <c r="CA158" s="28">
        <f>SUMIF('Lease Cycles'!$HL$16:$HR$16,CA$6,'Lease Cycles'!$HS$16:$HY$16)</f>
        <v>0</v>
      </c>
      <c r="CB158" s="28">
        <f>SUMIF('Lease Cycles'!$HL$16:$HR$16,CB$6,'Lease Cycles'!$HS$16:$HY$16)</f>
        <v>0</v>
      </c>
      <c r="CC158" s="28">
        <f>SUMIF('Lease Cycles'!$HL$16:$HR$16,CC$6,'Lease Cycles'!$HS$16:$HY$16)</f>
        <v>0</v>
      </c>
      <c r="CD158" s="28">
        <f>SUMIF('Lease Cycles'!$HL$16:$HR$16,CD$6,'Lease Cycles'!$HS$16:$HY$16)</f>
        <v>0</v>
      </c>
      <c r="CE158" s="28">
        <f>SUMIF('Lease Cycles'!$HL$16:$HR$16,CE$6,'Lease Cycles'!$HS$16:$HY$16)</f>
        <v>0</v>
      </c>
      <c r="CF158" s="28">
        <f>SUMIF('Lease Cycles'!$HL$16:$HR$16,CF$6,'Lease Cycles'!$HS$16:$HY$16)</f>
        <v>0</v>
      </c>
      <c r="CG158" s="28">
        <f>SUMIF('Lease Cycles'!$HL$16:$HR$16,CG$6,'Lease Cycles'!$HS$16:$HY$16)</f>
        <v>0</v>
      </c>
      <c r="CH158" s="28">
        <f>SUMIF('Lease Cycles'!$HL$16:$HR$16,CH$6,'Lease Cycles'!$HS$16:$HY$16)</f>
        <v>0</v>
      </c>
      <c r="CI158" s="28">
        <f>SUMIF('Lease Cycles'!$HL$16:$HR$16,CI$6,'Lease Cycles'!$HS$16:$HY$16)</f>
        <v>0</v>
      </c>
      <c r="CJ158" s="28">
        <f>SUMIF('Lease Cycles'!$HL$16:$HR$16,CJ$6,'Lease Cycles'!$HS$16:$HY$16)</f>
        <v>0</v>
      </c>
      <c r="CK158" s="28">
        <f>SUMIF('Lease Cycles'!$HL$16:$HR$16,CK$6,'Lease Cycles'!$HS$16:$HY$16)</f>
        <v>0</v>
      </c>
      <c r="CL158" s="28">
        <f>SUMIF('Lease Cycles'!$HL$16:$HR$16,CL$6,'Lease Cycles'!$HS$16:$HY$16)</f>
        <v>0</v>
      </c>
      <c r="CM158" s="28">
        <f>SUMIF('Lease Cycles'!$HL$16:$HR$16,CM$6,'Lease Cycles'!$HS$16:$HY$16)</f>
        <v>0</v>
      </c>
      <c r="CN158" s="28">
        <f>SUMIF('Lease Cycles'!$HL$16:$HR$16,CN$6,'Lease Cycles'!$HS$16:$HY$16)</f>
        <v>0</v>
      </c>
      <c r="CO158" s="28">
        <f>SUMIF('Lease Cycles'!$HL$16:$HR$16,CO$6,'Lease Cycles'!$HS$16:$HY$16)</f>
        <v>0</v>
      </c>
      <c r="CP158" s="28">
        <f>SUMIF('Lease Cycles'!$HL$16:$HR$16,CP$6,'Lease Cycles'!$HS$16:$HY$16)</f>
        <v>0</v>
      </c>
      <c r="CQ158" s="28">
        <f>SUMIF('Lease Cycles'!$HL$16:$HR$16,CQ$6,'Lease Cycles'!$HS$16:$HY$16)</f>
        <v>0</v>
      </c>
      <c r="CR158" s="28">
        <f>SUMIF('Lease Cycles'!$HL$16:$HR$16,CR$6,'Lease Cycles'!$HS$16:$HY$16)</f>
        <v>0</v>
      </c>
      <c r="CS158" s="28">
        <f>SUMIF('Lease Cycles'!$HL$16:$HR$16,CS$6,'Lease Cycles'!$HS$16:$HY$16)</f>
        <v>0</v>
      </c>
      <c r="CT158" s="28">
        <f>SUMIF('Lease Cycles'!$HL$16:$HR$16,CT$6,'Lease Cycles'!$HS$16:$HY$16)</f>
        <v>0</v>
      </c>
      <c r="CU158" s="28">
        <f>SUMIF('Lease Cycles'!$HL$16:$HR$16,CU$6,'Lease Cycles'!$HS$16:$HY$16)</f>
        <v>0</v>
      </c>
      <c r="CV158" s="28">
        <f>SUMIF('Lease Cycles'!$HL$16:$HR$16,CV$6,'Lease Cycles'!$HS$16:$HY$16)</f>
        <v>0</v>
      </c>
      <c r="CW158" s="28">
        <f>SUMIF('Lease Cycles'!$HL$16:$HR$16,CW$6,'Lease Cycles'!$HS$16:$HY$16)</f>
        <v>0</v>
      </c>
      <c r="CX158" s="28">
        <f>SUMIF('Lease Cycles'!$HL$16:$HR$16,CX$6,'Lease Cycles'!$HS$16:$HY$16)</f>
        <v>0</v>
      </c>
      <c r="CY158" s="28">
        <f>SUMIF('Lease Cycles'!$HL$16:$HR$16,CY$6,'Lease Cycles'!$HS$16:$HY$16)</f>
        <v>0</v>
      </c>
      <c r="CZ158" s="28">
        <f>SUMIF('Lease Cycles'!$HL$16:$HR$16,CZ$6,'Lease Cycles'!$HS$16:$HY$16)</f>
        <v>0</v>
      </c>
      <c r="DA158" s="28">
        <f>SUMIF('Lease Cycles'!$HL$16:$HR$16,DA$6,'Lease Cycles'!$HS$16:$HY$16)</f>
        <v>0</v>
      </c>
      <c r="DB158" s="28">
        <f>SUMIF('Lease Cycles'!$HL$16:$HR$16,DB$6,'Lease Cycles'!$HS$16:$HY$16)</f>
        <v>0</v>
      </c>
      <c r="DC158" s="28">
        <f>SUMIF('Lease Cycles'!$HL$16:$HR$16,DC$6,'Lease Cycles'!$HS$16:$HY$16)</f>
        <v>0</v>
      </c>
      <c r="DD158" s="28">
        <f>SUMIF('Lease Cycles'!$HL$16:$HR$16,DD$6,'Lease Cycles'!$HS$16:$HY$16)</f>
        <v>0</v>
      </c>
      <c r="DE158" s="28">
        <f>SUMIF('Lease Cycles'!$HL$16:$HR$16,DE$6,'Lease Cycles'!$HS$16:$HY$16)</f>
        <v>0</v>
      </c>
      <c r="DF158" s="28">
        <f>SUMIF('Lease Cycles'!$HL$16:$HR$16,DF$6,'Lease Cycles'!$HS$16:$HY$16)</f>
        <v>0</v>
      </c>
      <c r="DG158" s="28">
        <f>SUMIF('Lease Cycles'!$HL$16:$HR$16,DG$6,'Lease Cycles'!$HS$16:$HY$16)</f>
        <v>0</v>
      </c>
      <c r="DH158" s="28">
        <f>SUMIF('Lease Cycles'!$HL$16:$HR$16,DH$6,'Lease Cycles'!$HS$16:$HY$16)</f>
        <v>0</v>
      </c>
      <c r="DI158" s="28">
        <f>SUMIF('Lease Cycles'!$HL$16:$HR$16,DI$6,'Lease Cycles'!$HS$16:$HY$16)</f>
        <v>0</v>
      </c>
      <c r="DJ158" s="28">
        <f>SUMIF('Lease Cycles'!$HL$16:$HR$16,DJ$6,'Lease Cycles'!$HS$16:$HY$16)</f>
        <v>0</v>
      </c>
      <c r="DK158" s="28">
        <f>SUMIF('Lease Cycles'!$HL$16:$HR$16,DK$6,'Lease Cycles'!$HS$16:$HY$16)</f>
        <v>0</v>
      </c>
      <c r="DL158" s="28">
        <f>SUMIF('Lease Cycles'!$HL$16:$HR$16,DL$6,'Lease Cycles'!$HS$16:$HY$16)</f>
        <v>0</v>
      </c>
      <c r="DM158" s="28">
        <f>SUMIF('Lease Cycles'!$HL$16:$HR$16,DM$6,'Lease Cycles'!$HS$16:$HY$16)</f>
        <v>0</v>
      </c>
      <c r="DN158" s="28">
        <f>SUMIF('Lease Cycles'!$HL$16:$HR$16,DN$6,'Lease Cycles'!$HS$16:$HY$16)</f>
        <v>0</v>
      </c>
      <c r="DO158" s="28">
        <f>SUMIF('Lease Cycles'!$HL$16:$HR$16,DO$6,'Lease Cycles'!$HS$16:$HY$16)</f>
        <v>0</v>
      </c>
      <c r="DP158" s="28">
        <f>SUMIF('Lease Cycles'!$HL$16:$HR$16,DP$6,'Lease Cycles'!$HS$16:$HY$16)</f>
        <v>0</v>
      </c>
      <c r="DQ158" s="28">
        <f>SUMIF('Lease Cycles'!$HL$16:$HR$16,DQ$6,'Lease Cycles'!$HS$16:$HY$16)</f>
        <v>0</v>
      </c>
      <c r="DR158" s="28">
        <f>SUMIF('Lease Cycles'!$HL$16:$HR$16,DR$6,'Lease Cycles'!$HS$16:$HY$16)</f>
        <v>0</v>
      </c>
      <c r="DS158" s="28">
        <f>SUMIF('Lease Cycles'!$HL$16:$HR$16,DS$6,'Lease Cycles'!$HS$16:$HY$16)</f>
        <v>0</v>
      </c>
      <c r="DT158" s="28">
        <f>SUMIF('Lease Cycles'!$HL$16:$HR$16,DT$6,'Lease Cycles'!$HS$16:$HY$16)</f>
        <v>0</v>
      </c>
      <c r="DU158" s="28">
        <f>SUMIF('Lease Cycles'!$HL$16:$HR$16,DU$6,'Lease Cycles'!$HS$16:$HY$16)</f>
        <v>0</v>
      </c>
      <c r="DV158" s="28">
        <f>SUMIF('Lease Cycles'!$HL$16:$HR$16,DV$6,'Lease Cycles'!$HS$16:$HY$16)</f>
        <v>0</v>
      </c>
      <c r="DW158" s="28">
        <f>SUMIF('Lease Cycles'!$HL$16:$HR$16,DW$6,'Lease Cycles'!$HS$16:$HY$16)</f>
        <v>0</v>
      </c>
      <c r="DX158" s="28">
        <f>SUMIF('Lease Cycles'!$HL$16:$HR$16,DX$6,'Lease Cycles'!$HS$16:$HY$16)</f>
        <v>0</v>
      </c>
      <c r="DY158" s="28">
        <f>SUMIF('Lease Cycles'!$HL$16:$HR$16,DY$6,'Lease Cycles'!$HS$16:$HY$16)</f>
        <v>0</v>
      </c>
      <c r="DZ158" s="28">
        <f>SUMIF('Lease Cycles'!$HL$16:$HR$16,DZ$6,'Lease Cycles'!$HS$16:$HY$16)</f>
        <v>0</v>
      </c>
      <c r="EA158" s="28">
        <f>SUMIF('Lease Cycles'!$HL$16:$HR$16,EA$6,'Lease Cycles'!$HS$16:$HY$16)</f>
        <v>0</v>
      </c>
      <c r="EB158" s="28">
        <f>SUMIF('Lease Cycles'!$HL$16:$HR$16,EB$6,'Lease Cycles'!$HS$16:$HY$16)</f>
        <v>0</v>
      </c>
      <c r="EC158" s="28">
        <f>SUMIF('Lease Cycles'!$HL$16:$HR$16,EC$6,'Lease Cycles'!$HS$16:$HY$16)</f>
        <v>0</v>
      </c>
      <c r="ED158" s="28">
        <f>SUMIF('Lease Cycles'!$HL$16:$HR$16,ED$6,'Lease Cycles'!$HS$16:$HY$16)</f>
        <v>0</v>
      </c>
      <c r="EE158" s="28">
        <f>SUMIF('Lease Cycles'!$HL$16:$HR$16,EE$6,'Lease Cycles'!$HS$16:$HY$16)</f>
        <v>0</v>
      </c>
      <c r="EF158" s="28">
        <f>SUMIF('Lease Cycles'!$HL$16:$HR$16,EF$6,'Lease Cycles'!$HS$16:$HY$16)</f>
        <v>0</v>
      </c>
      <c r="EG158" s="28">
        <f>SUMIF('Lease Cycles'!$HL$16:$HR$16,EG$6,'Lease Cycles'!$HS$16:$HY$16)</f>
        <v>0</v>
      </c>
      <c r="EH158" s="28">
        <f>SUMIF('Lease Cycles'!$HL$16:$HR$16,EH$6,'Lease Cycles'!$HS$16:$HY$16)</f>
        <v>0</v>
      </c>
      <c r="EI158" s="28">
        <f>SUMIF('Lease Cycles'!$HL$16:$HR$16,EI$6,'Lease Cycles'!$HS$16:$HY$16)</f>
        <v>0</v>
      </c>
      <c r="EJ158" s="28">
        <f>SUMIF('Lease Cycles'!$HL$16:$HR$16,EJ$6,'Lease Cycles'!$HS$16:$HY$16)</f>
        <v>0</v>
      </c>
      <c r="EK158" s="28">
        <f>SUMIF('Lease Cycles'!$HL$16:$HR$16,EK$6,'Lease Cycles'!$HS$16:$HY$16)</f>
        <v>0</v>
      </c>
      <c r="EL158" s="28">
        <f>SUMIF('Lease Cycles'!$HL$16:$HR$16,EL$6,'Lease Cycles'!$HS$16:$HY$16)</f>
        <v>0</v>
      </c>
      <c r="EM158" s="28">
        <f>SUMIF('Lease Cycles'!$HL$16:$HR$16,EM$6,'Lease Cycles'!$HS$16:$HY$16)</f>
        <v>0</v>
      </c>
      <c r="EN158" s="28">
        <f>SUMIF('Lease Cycles'!$HL$16:$HR$16,EN$6,'Lease Cycles'!$HS$16:$HY$16)</f>
        <v>0</v>
      </c>
      <c r="EO158" s="28">
        <f>SUMIF('Lease Cycles'!$HL$16:$HR$16,EO$6,'Lease Cycles'!$HS$16:$HY$16)</f>
        <v>0</v>
      </c>
      <c r="EP158" s="28">
        <f>SUMIF('Lease Cycles'!$HL$16:$HR$16,EP$6,'Lease Cycles'!$HS$16:$HY$16)</f>
        <v>0</v>
      </c>
      <c r="EQ158" s="28">
        <f>SUMIF('Lease Cycles'!$HL$16:$HR$16,EQ$6,'Lease Cycles'!$HS$16:$HY$16)</f>
        <v>0</v>
      </c>
      <c r="ER158" s="28">
        <f>SUMIF('Lease Cycles'!$HL$16:$HR$16,ER$6,'Lease Cycles'!$HS$16:$HY$16)</f>
        <v>0</v>
      </c>
      <c r="ES158" s="28">
        <f>SUMIF('Lease Cycles'!$HL$16:$HR$16,ES$6,'Lease Cycles'!$HS$16:$HY$16)</f>
        <v>0</v>
      </c>
      <c r="ET158" s="28">
        <f>SUMIF('Lease Cycles'!$HL$16:$HR$16,ET$6,'Lease Cycles'!$HS$16:$HY$16)</f>
        <v>0</v>
      </c>
    </row>
    <row r="159">
      <c r="A159" s="103">
        <v>9</v>
      </c>
      <c r="B159" s="23" t="str">
        <f>IF('Lease Cycles'!$B$16="","(empty slot)",'Lease Cycles'!$B$16)</f>
        <v>Sunfield Office Suite</v>
      </c>
      <c r="C159" s="23" t="s">
        <v>532</v>
      </c>
      <c r="D159" s="104" t="s">
        <v>533</v>
      </c>
      <c r="E159" s="25">
        <f>'Lease Cycles'!$AL$16</f>
        <v>0</v>
      </c>
      <c r="G159" s="28">
        <f>SUM(S159:AD159)</f>
        <v>0</v>
      </c>
      <c r="H159" s="28">
        <f>SUM(AE159:AP159)</f>
        <v>0</v>
      </c>
      <c r="I159" s="28">
        <f>SUM(AQ159:BB159)</f>
        <v>0</v>
      </c>
      <c r="J159" s="28">
        <f>SUM(BC159:BN159)</f>
        <v>0</v>
      </c>
      <c r="K159" s="28">
        <f>SUM(BO159:BZ159)</f>
        <v>10855.00954903182</v>
      </c>
      <c r="L159" s="28">
        <f>SUM(CA159:CL159)</f>
        <v>0</v>
      </c>
      <c r="M159" s="28">
        <f>SUM(CM159:CX159)</f>
        <v>0</v>
      </c>
      <c r="N159" s="28">
        <f>SUM(CY159:DJ159)</f>
        <v>0</v>
      </c>
      <c r="O159" s="28">
        <f>SUM(DK159:DV159)</f>
        <v>0</v>
      </c>
      <c r="P159" s="28">
        <f>SUM(DW159:EH159)</f>
        <v>0</v>
      </c>
      <c r="Q159" s="28">
        <f>SUM(EI159:ET159)</f>
        <v>0</v>
      </c>
      <c r="S159" s="28">
        <f>SUMIF('Lease Cycles'!$HL$16:$HR$16,S$6,'Lease Cycles'!$HZ$16:$IF$16)</f>
        <v>0</v>
      </c>
      <c r="T159" s="28">
        <f>SUMIF('Lease Cycles'!$HL$16:$HR$16,T$6,'Lease Cycles'!$HZ$16:$IF$16)</f>
        <v>0</v>
      </c>
      <c r="U159" s="28">
        <f>SUMIF('Lease Cycles'!$HL$16:$HR$16,U$6,'Lease Cycles'!$HZ$16:$IF$16)</f>
        <v>0</v>
      </c>
      <c r="V159" s="28">
        <f>SUMIF('Lease Cycles'!$HL$16:$HR$16,V$6,'Lease Cycles'!$HZ$16:$IF$16)</f>
        <v>0</v>
      </c>
      <c r="W159" s="28">
        <f>SUMIF('Lease Cycles'!$HL$16:$HR$16,W$6,'Lease Cycles'!$HZ$16:$IF$16)</f>
        <v>0</v>
      </c>
      <c r="X159" s="28">
        <f>SUMIF('Lease Cycles'!$HL$16:$HR$16,X$6,'Lease Cycles'!$HZ$16:$IF$16)</f>
        <v>0</v>
      </c>
      <c r="Y159" s="28">
        <f>SUMIF('Lease Cycles'!$HL$16:$HR$16,Y$6,'Lease Cycles'!$HZ$16:$IF$16)</f>
        <v>0</v>
      </c>
      <c r="Z159" s="28">
        <f>SUMIF('Lease Cycles'!$HL$16:$HR$16,Z$6,'Lease Cycles'!$HZ$16:$IF$16)</f>
        <v>0</v>
      </c>
      <c r="AA159" s="28">
        <f>SUMIF('Lease Cycles'!$HL$16:$HR$16,AA$6,'Lease Cycles'!$HZ$16:$IF$16)</f>
        <v>0</v>
      </c>
      <c r="AB159" s="28">
        <f>SUMIF('Lease Cycles'!$HL$16:$HR$16,AB$6,'Lease Cycles'!$HZ$16:$IF$16)</f>
        <v>0</v>
      </c>
      <c r="AC159" s="28">
        <f>SUMIF('Lease Cycles'!$HL$16:$HR$16,AC$6,'Lease Cycles'!$HZ$16:$IF$16)</f>
        <v>0</v>
      </c>
      <c r="AD159" s="28">
        <f>SUMIF('Lease Cycles'!$HL$16:$HR$16,AD$6,'Lease Cycles'!$HZ$16:$IF$16)</f>
        <v>0</v>
      </c>
      <c r="AE159" s="28">
        <f>SUMIF('Lease Cycles'!$HL$16:$HR$16,AE$6,'Lease Cycles'!$HZ$16:$IF$16)</f>
        <v>0</v>
      </c>
      <c r="AF159" s="28">
        <f>SUMIF('Lease Cycles'!$HL$16:$HR$16,AF$6,'Lease Cycles'!$HZ$16:$IF$16)</f>
        <v>0</v>
      </c>
      <c r="AG159" s="28">
        <f>SUMIF('Lease Cycles'!$HL$16:$HR$16,AG$6,'Lease Cycles'!$HZ$16:$IF$16)</f>
        <v>0</v>
      </c>
      <c r="AH159" s="28">
        <f>SUMIF('Lease Cycles'!$HL$16:$HR$16,AH$6,'Lease Cycles'!$HZ$16:$IF$16)</f>
        <v>0</v>
      </c>
      <c r="AI159" s="28">
        <f>SUMIF('Lease Cycles'!$HL$16:$HR$16,AI$6,'Lease Cycles'!$HZ$16:$IF$16)</f>
        <v>0</v>
      </c>
      <c r="AJ159" s="28">
        <f>SUMIF('Lease Cycles'!$HL$16:$HR$16,AJ$6,'Lease Cycles'!$HZ$16:$IF$16)</f>
        <v>0</v>
      </c>
      <c r="AK159" s="28">
        <f>SUMIF('Lease Cycles'!$HL$16:$HR$16,AK$6,'Lease Cycles'!$HZ$16:$IF$16)</f>
        <v>0</v>
      </c>
      <c r="AL159" s="28">
        <f>SUMIF('Lease Cycles'!$HL$16:$HR$16,AL$6,'Lease Cycles'!$HZ$16:$IF$16)</f>
        <v>0</v>
      </c>
      <c r="AM159" s="28">
        <f>SUMIF('Lease Cycles'!$HL$16:$HR$16,AM$6,'Lease Cycles'!$HZ$16:$IF$16)</f>
        <v>0</v>
      </c>
      <c r="AN159" s="28">
        <f>SUMIF('Lease Cycles'!$HL$16:$HR$16,AN$6,'Lease Cycles'!$HZ$16:$IF$16)</f>
        <v>0</v>
      </c>
      <c r="AO159" s="28">
        <f>SUMIF('Lease Cycles'!$HL$16:$HR$16,AO$6,'Lease Cycles'!$HZ$16:$IF$16)</f>
        <v>0</v>
      </c>
      <c r="AP159" s="28">
        <f>SUMIF('Lease Cycles'!$HL$16:$HR$16,AP$6,'Lease Cycles'!$HZ$16:$IF$16)</f>
        <v>0</v>
      </c>
      <c r="AQ159" s="28">
        <f>SUMIF('Lease Cycles'!$HL$16:$HR$16,AQ$6,'Lease Cycles'!$HZ$16:$IF$16)</f>
        <v>0</v>
      </c>
      <c r="AR159" s="28">
        <f>SUMIF('Lease Cycles'!$HL$16:$HR$16,AR$6,'Lease Cycles'!$HZ$16:$IF$16)</f>
        <v>0</v>
      </c>
      <c r="AS159" s="28">
        <f>SUMIF('Lease Cycles'!$HL$16:$HR$16,AS$6,'Lease Cycles'!$HZ$16:$IF$16)</f>
        <v>0</v>
      </c>
      <c r="AT159" s="28">
        <f>SUMIF('Lease Cycles'!$HL$16:$HR$16,AT$6,'Lease Cycles'!$HZ$16:$IF$16)</f>
        <v>0</v>
      </c>
      <c r="AU159" s="28">
        <f>SUMIF('Lease Cycles'!$HL$16:$HR$16,AU$6,'Lease Cycles'!$HZ$16:$IF$16)</f>
        <v>0</v>
      </c>
      <c r="AV159" s="28">
        <f>SUMIF('Lease Cycles'!$HL$16:$HR$16,AV$6,'Lease Cycles'!$HZ$16:$IF$16)</f>
        <v>0</v>
      </c>
      <c r="AW159" s="28">
        <f>SUMIF('Lease Cycles'!$HL$16:$HR$16,AW$6,'Lease Cycles'!$HZ$16:$IF$16)</f>
        <v>0</v>
      </c>
      <c r="AX159" s="28">
        <f>SUMIF('Lease Cycles'!$HL$16:$HR$16,AX$6,'Lease Cycles'!$HZ$16:$IF$16)</f>
        <v>0</v>
      </c>
      <c r="AY159" s="28">
        <f>SUMIF('Lease Cycles'!$HL$16:$HR$16,AY$6,'Lease Cycles'!$HZ$16:$IF$16)</f>
        <v>0</v>
      </c>
      <c r="AZ159" s="28">
        <f>SUMIF('Lease Cycles'!$HL$16:$HR$16,AZ$6,'Lease Cycles'!$HZ$16:$IF$16)</f>
        <v>0</v>
      </c>
      <c r="BA159" s="28">
        <f>SUMIF('Lease Cycles'!$HL$16:$HR$16,BA$6,'Lease Cycles'!$HZ$16:$IF$16)</f>
        <v>0</v>
      </c>
      <c r="BB159" s="28">
        <f>SUMIF('Lease Cycles'!$HL$16:$HR$16,BB$6,'Lease Cycles'!$HZ$16:$IF$16)</f>
        <v>0</v>
      </c>
      <c r="BC159" s="28">
        <f>SUMIF('Lease Cycles'!$HL$16:$HR$16,BC$6,'Lease Cycles'!$HZ$16:$IF$16)</f>
        <v>0</v>
      </c>
      <c r="BD159" s="28">
        <f>SUMIF('Lease Cycles'!$HL$16:$HR$16,BD$6,'Lease Cycles'!$HZ$16:$IF$16)</f>
        <v>0</v>
      </c>
      <c r="BE159" s="28">
        <f>SUMIF('Lease Cycles'!$HL$16:$HR$16,BE$6,'Lease Cycles'!$HZ$16:$IF$16)</f>
        <v>0</v>
      </c>
      <c r="BF159" s="28">
        <f>SUMIF('Lease Cycles'!$HL$16:$HR$16,BF$6,'Lease Cycles'!$HZ$16:$IF$16)</f>
        <v>0</v>
      </c>
      <c r="BG159" s="28">
        <f>SUMIF('Lease Cycles'!$HL$16:$HR$16,BG$6,'Lease Cycles'!$HZ$16:$IF$16)</f>
        <v>0</v>
      </c>
      <c r="BH159" s="28">
        <f>SUMIF('Lease Cycles'!$HL$16:$HR$16,BH$6,'Lease Cycles'!$HZ$16:$IF$16)</f>
        <v>0</v>
      </c>
      <c r="BI159" s="28">
        <f>SUMIF('Lease Cycles'!$HL$16:$HR$16,BI$6,'Lease Cycles'!$HZ$16:$IF$16)</f>
        <v>0</v>
      </c>
      <c r="BJ159" s="28">
        <f>SUMIF('Lease Cycles'!$HL$16:$HR$16,BJ$6,'Lease Cycles'!$HZ$16:$IF$16)</f>
        <v>0</v>
      </c>
      <c r="BK159" s="28">
        <f>SUMIF('Lease Cycles'!$HL$16:$HR$16,BK$6,'Lease Cycles'!$HZ$16:$IF$16)</f>
        <v>0</v>
      </c>
      <c r="BL159" s="28">
        <f>SUMIF('Lease Cycles'!$HL$16:$HR$16,BL$6,'Lease Cycles'!$HZ$16:$IF$16)</f>
        <v>0</v>
      </c>
      <c r="BM159" s="28">
        <f>SUMIF('Lease Cycles'!$HL$16:$HR$16,BM$6,'Lease Cycles'!$HZ$16:$IF$16)</f>
        <v>0</v>
      </c>
      <c r="BN159" s="28">
        <f>SUMIF('Lease Cycles'!$HL$16:$HR$16,BN$6,'Lease Cycles'!$HZ$16:$IF$16)</f>
        <v>0</v>
      </c>
      <c r="BO159" s="28">
        <f>SUMIF('Lease Cycles'!$HL$16:$HR$16,BO$6,'Lease Cycles'!$HZ$16:$IF$16)</f>
        <v>0</v>
      </c>
      <c r="BP159" s="28">
        <f>SUMIF('Lease Cycles'!$HL$16:$HR$16,BP$6,'Lease Cycles'!$HZ$16:$IF$16)</f>
        <v>0</v>
      </c>
      <c r="BQ159" s="28">
        <f>SUMIF('Lease Cycles'!$HL$16:$HR$16,BQ$6,'Lease Cycles'!$HZ$16:$IF$16)</f>
        <v>0</v>
      </c>
      <c r="BR159" s="28">
        <f>SUMIF('Lease Cycles'!$HL$16:$HR$16,BR$6,'Lease Cycles'!$HZ$16:$IF$16)</f>
        <v>0</v>
      </c>
      <c r="BS159" s="28">
        <f>SUMIF('Lease Cycles'!$HL$16:$HR$16,BS$6,'Lease Cycles'!$HZ$16:$IF$16)</f>
        <v>0</v>
      </c>
      <c r="BT159" s="28">
        <f>SUMIF('Lease Cycles'!$HL$16:$HR$16,BT$6,'Lease Cycles'!$HZ$16:$IF$16)</f>
        <v>0</v>
      </c>
      <c r="BU159" s="28">
        <f>SUMIF('Lease Cycles'!$HL$16:$HR$16,BU$6,'Lease Cycles'!$HZ$16:$IF$16)</f>
        <v>0</v>
      </c>
      <c r="BV159" s="28">
        <f>SUMIF('Lease Cycles'!$HL$16:$HR$16,BV$6,'Lease Cycles'!$HZ$16:$IF$16)</f>
        <v>0</v>
      </c>
      <c r="BW159" s="28">
        <f>SUMIF('Lease Cycles'!$HL$16:$HR$16,BW$6,'Lease Cycles'!$HZ$16:$IF$16)</f>
        <v>0</v>
      </c>
      <c r="BX159" s="28">
        <f>SUMIF('Lease Cycles'!$HL$16:$HR$16,BX$6,'Lease Cycles'!$HZ$16:$IF$16)</f>
        <v>0</v>
      </c>
      <c r="BY159" s="28">
        <f>SUMIF('Lease Cycles'!$HL$16:$HR$16,BY$6,'Lease Cycles'!$HZ$16:$IF$16)</f>
        <v>10855.00954903182</v>
      </c>
      <c r="BZ159" s="28">
        <f>SUMIF('Lease Cycles'!$HL$16:$HR$16,BZ$6,'Lease Cycles'!$HZ$16:$IF$16)</f>
        <v>0</v>
      </c>
      <c r="CA159" s="28">
        <f>SUMIF('Lease Cycles'!$HL$16:$HR$16,CA$6,'Lease Cycles'!$HZ$16:$IF$16)</f>
        <v>0</v>
      </c>
      <c r="CB159" s="28">
        <f>SUMIF('Lease Cycles'!$HL$16:$HR$16,CB$6,'Lease Cycles'!$HZ$16:$IF$16)</f>
        <v>0</v>
      </c>
      <c r="CC159" s="28">
        <f>SUMIF('Lease Cycles'!$HL$16:$HR$16,CC$6,'Lease Cycles'!$HZ$16:$IF$16)</f>
        <v>0</v>
      </c>
      <c r="CD159" s="28">
        <f>SUMIF('Lease Cycles'!$HL$16:$HR$16,CD$6,'Lease Cycles'!$HZ$16:$IF$16)</f>
        <v>0</v>
      </c>
      <c r="CE159" s="28">
        <f>SUMIF('Lease Cycles'!$HL$16:$HR$16,CE$6,'Lease Cycles'!$HZ$16:$IF$16)</f>
        <v>0</v>
      </c>
      <c r="CF159" s="28">
        <f>SUMIF('Lease Cycles'!$HL$16:$HR$16,CF$6,'Lease Cycles'!$HZ$16:$IF$16)</f>
        <v>0</v>
      </c>
      <c r="CG159" s="28">
        <f>SUMIF('Lease Cycles'!$HL$16:$HR$16,CG$6,'Lease Cycles'!$HZ$16:$IF$16)</f>
        <v>0</v>
      </c>
      <c r="CH159" s="28">
        <f>SUMIF('Lease Cycles'!$HL$16:$HR$16,CH$6,'Lease Cycles'!$HZ$16:$IF$16)</f>
        <v>0</v>
      </c>
      <c r="CI159" s="28">
        <f>SUMIF('Lease Cycles'!$HL$16:$HR$16,CI$6,'Lease Cycles'!$HZ$16:$IF$16)</f>
        <v>0</v>
      </c>
      <c r="CJ159" s="28">
        <f>SUMIF('Lease Cycles'!$HL$16:$HR$16,CJ$6,'Lease Cycles'!$HZ$16:$IF$16)</f>
        <v>0</v>
      </c>
      <c r="CK159" s="28">
        <f>SUMIF('Lease Cycles'!$HL$16:$HR$16,CK$6,'Lease Cycles'!$HZ$16:$IF$16)</f>
        <v>0</v>
      </c>
      <c r="CL159" s="28">
        <f>SUMIF('Lease Cycles'!$HL$16:$HR$16,CL$6,'Lease Cycles'!$HZ$16:$IF$16)</f>
        <v>0</v>
      </c>
      <c r="CM159" s="28">
        <f>SUMIF('Lease Cycles'!$HL$16:$HR$16,CM$6,'Lease Cycles'!$HZ$16:$IF$16)</f>
        <v>0</v>
      </c>
      <c r="CN159" s="28">
        <f>SUMIF('Lease Cycles'!$HL$16:$HR$16,CN$6,'Lease Cycles'!$HZ$16:$IF$16)</f>
        <v>0</v>
      </c>
      <c r="CO159" s="28">
        <f>SUMIF('Lease Cycles'!$HL$16:$HR$16,CO$6,'Lease Cycles'!$HZ$16:$IF$16)</f>
        <v>0</v>
      </c>
      <c r="CP159" s="28">
        <f>SUMIF('Lease Cycles'!$HL$16:$HR$16,CP$6,'Lease Cycles'!$HZ$16:$IF$16)</f>
        <v>0</v>
      </c>
      <c r="CQ159" s="28">
        <f>SUMIF('Lease Cycles'!$HL$16:$HR$16,CQ$6,'Lease Cycles'!$HZ$16:$IF$16)</f>
        <v>0</v>
      </c>
      <c r="CR159" s="28">
        <f>SUMIF('Lease Cycles'!$HL$16:$HR$16,CR$6,'Lease Cycles'!$HZ$16:$IF$16)</f>
        <v>0</v>
      </c>
      <c r="CS159" s="28">
        <f>SUMIF('Lease Cycles'!$HL$16:$HR$16,CS$6,'Lease Cycles'!$HZ$16:$IF$16)</f>
        <v>0</v>
      </c>
      <c r="CT159" s="28">
        <f>SUMIF('Lease Cycles'!$HL$16:$HR$16,CT$6,'Lease Cycles'!$HZ$16:$IF$16)</f>
        <v>0</v>
      </c>
      <c r="CU159" s="28">
        <f>SUMIF('Lease Cycles'!$HL$16:$HR$16,CU$6,'Lease Cycles'!$HZ$16:$IF$16)</f>
        <v>0</v>
      </c>
      <c r="CV159" s="28">
        <f>SUMIF('Lease Cycles'!$HL$16:$HR$16,CV$6,'Lease Cycles'!$HZ$16:$IF$16)</f>
        <v>0</v>
      </c>
      <c r="CW159" s="28">
        <f>SUMIF('Lease Cycles'!$HL$16:$HR$16,CW$6,'Lease Cycles'!$HZ$16:$IF$16)</f>
        <v>0</v>
      </c>
      <c r="CX159" s="28">
        <f>SUMIF('Lease Cycles'!$HL$16:$HR$16,CX$6,'Lease Cycles'!$HZ$16:$IF$16)</f>
        <v>0</v>
      </c>
      <c r="CY159" s="28">
        <f>SUMIF('Lease Cycles'!$HL$16:$HR$16,CY$6,'Lease Cycles'!$HZ$16:$IF$16)</f>
        <v>0</v>
      </c>
      <c r="CZ159" s="28">
        <f>SUMIF('Lease Cycles'!$HL$16:$HR$16,CZ$6,'Lease Cycles'!$HZ$16:$IF$16)</f>
        <v>0</v>
      </c>
      <c r="DA159" s="28">
        <f>SUMIF('Lease Cycles'!$HL$16:$HR$16,DA$6,'Lease Cycles'!$HZ$16:$IF$16)</f>
        <v>0</v>
      </c>
      <c r="DB159" s="28">
        <f>SUMIF('Lease Cycles'!$HL$16:$HR$16,DB$6,'Lease Cycles'!$HZ$16:$IF$16)</f>
        <v>0</v>
      </c>
      <c r="DC159" s="28">
        <f>SUMIF('Lease Cycles'!$HL$16:$HR$16,DC$6,'Lease Cycles'!$HZ$16:$IF$16)</f>
        <v>0</v>
      </c>
      <c r="DD159" s="28">
        <f>SUMIF('Lease Cycles'!$HL$16:$HR$16,DD$6,'Lease Cycles'!$HZ$16:$IF$16)</f>
        <v>0</v>
      </c>
      <c r="DE159" s="28">
        <f>SUMIF('Lease Cycles'!$HL$16:$HR$16,DE$6,'Lease Cycles'!$HZ$16:$IF$16)</f>
        <v>0</v>
      </c>
      <c r="DF159" s="28">
        <f>SUMIF('Lease Cycles'!$HL$16:$HR$16,DF$6,'Lease Cycles'!$HZ$16:$IF$16)</f>
        <v>0</v>
      </c>
      <c r="DG159" s="28">
        <f>SUMIF('Lease Cycles'!$HL$16:$HR$16,DG$6,'Lease Cycles'!$HZ$16:$IF$16)</f>
        <v>0</v>
      </c>
      <c r="DH159" s="28">
        <f>SUMIF('Lease Cycles'!$HL$16:$HR$16,DH$6,'Lease Cycles'!$HZ$16:$IF$16)</f>
        <v>0</v>
      </c>
      <c r="DI159" s="28">
        <f>SUMIF('Lease Cycles'!$HL$16:$HR$16,DI$6,'Lease Cycles'!$HZ$16:$IF$16)</f>
        <v>0</v>
      </c>
      <c r="DJ159" s="28">
        <f>SUMIF('Lease Cycles'!$HL$16:$HR$16,DJ$6,'Lease Cycles'!$HZ$16:$IF$16)</f>
        <v>0</v>
      </c>
      <c r="DK159" s="28">
        <f>SUMIF('Lease Cycles'!$HL$16:$HR$16,DK$6,'Lease Cycles'!$HZ$16:$IF$16)</f>
        <v>0</v>
      </c>
      <c r="DL159" s="28">
        <f>SUMIF('Lease Cycles'!$HL$16:$HR$16,DL$6,'Lease Cycles'!$HZ$16:$IF$16)</f>
        <v>0</v>
      </c>
      <c r="DM159" s="28">
        <f>SUMIF('Lease Cycles'!$HL$16:$HR$16,DM$6,'Lease Cycles'!$HZ$16:$IF$16)</f>
        <v>0</v>
      </c>
      <c r="DN159" s="28">
        <f>SUMIF('Lease Cycles'!$HL$16:$HR$16,DN$6,'Lease Cycles'!$HZ$16:$IF$16)</f>
        <v>0</v>
      </c>
      <c r="DO159" s="28">
        <f>SUMIF('Lease Cycles'!$HL$16:$HR$16,DO$6,'Lease Cycles'!$HZ$16:$IF$16)</f>
        <v>0</v>
      </c>
      <c r="DP159" s="28">
        <f>SUMIF('Lease Cycles'!$HL$16:$HR$16,DP$6,'Lease Cycles'!$HZ$16:$IF$16)</f>
        <v>0</v>
      </c>
      <c r="DQ159" s="28">
        <f>SUMIF('Lease Cycles'!$HL$16:$HR$16,DQ$6,'Lease Cycles'!$HZ$16:$IF$16)</f>
        <v>0</v>
      </c>
      <c r="DR159" s="28">
        <f>SUMIF('Lease Cycles'!$HL$16:$HR$16,DR$6,'Lease Cycles'!$HZ$16:$IF$16)</f>
        <v>0</v>
      </c>
      <c r="DS159" s="28">
        <f>SUMIF('Lease Cycles'!$HL$16:$HR$16,DS$6,'Lease Cycles'!$HZ$16:$IF$16)</f>
        <v>0</v>
      </c>
      <c r="DT159" s="28">
        <f>SUMIF('Lease Cycles'!$HL$16:$HR$16,DT$6,'Lease Cycles'!$HZ$16:$IF$16)</f>
        <v>0</v>
      </c>
      <c r="DU159" s="28">
        <f>SUMIF('Lease Cycles'!$HL$16:$HR$16,DU$6,'Lease Cycles'!$HZ$16:$IF$16)</f>
        <v>0</v>
      </c>
      <c r="DV159" s="28">
        <f>SUMIF('Lease Cycles'!$HL$16:$HR$16,DV$6,'Lease Cycles'!$HZ$16:$IF$16)</f>
        <v>0</v>
      </c>
      <c r="DW159" s="28">
        <f>SUMIF('Lease Cycles'!$HL$16:$HR$16,DW$6,'Lease Cycles'!$HZ$16:$IF$16)</f>
        <v>0</v>
      </c>
      <c r="DX159" s="28">
        <f>SUMIF('Lease Cycles'!$HL$16:$HR$16,DX$6,'Lease Cycles'!$HZ$16:$IF$16)</f>
        <v>0</v>
      </c>
      <c r="DY159" s="28">
        <f>SUMIF('Lease Cycles'!$HL$16:$HR$16,DY$6,'Lease Cycles'!$HZ$16:$IF$16)</f>
        <v>0</v>
      </c>
      <c r="DZ159" s="28">
        <f>SUMIF('Lease Cycles'!$HL$16:$HR$16,DZ$6,'Lease Cycles'!$HZ$16:$IF$16)</f>
        <v>0</v>
      </c>
      <c r="EA159" s="28">
        <f>SUMIF('Lease Cycles'!$HL$16:$HR$16,EA$6,'Lease Cycles'!$HZ$16:$IF$16)</f>
        <v>0</v>
      </c>
      <c r="EB159" s="28">
        <f>SUMIF('Lease Cycles'!$HL$16:$HR$16,EB$6,'Lease Cycles'!$HZ$16:$IF$16)</f>
        <v>0</v>
      </c>
      <c r="EC159" s="28">
        <f>SUMIF('Lease Cycles'!$HL$16:$HR$16,EC$6,'Lease Cycles'!$HZ$16:$IF$16)</f>
        <v>0</v>
      </c>
      <c r="ED159" s="28">
        <f>SUMIF('Lease Cycles'!$HL$16:$HR$16,ED$6,'Lease Cycles'!$HZ$16:$IF$16)</f>
        <v>0</v>
      </c>
      <c r="EE159" s="28">
        <f>SUMIF('Lease Cycles'!$HL$16:$HR$16,EE$6,'Lease Cycles'!$HZ$16:$IF$16)</f>
        <v>0</v>
      </c>
      <c r="EF159" s="28">
        <f>SUMIF('Lease Cycles'!$HL$16:$HR$16,EF$6,'Lease Cycles'!$HZ$16:$IF$16)</f>
        <v>0</v>
      </c>
      <c r="EG159" s="28">
        <f>SUMIF('Lease Cycles'!$HL$16:$HR$16,EG$6,'Lease Cycles'!$HZ$16:$IF$16)</f>
        <v>0</v>
      </c>
      <c r="EH159" s="28">
        <f>SUMIF('Lease Cycles'!$HL$16:$HR$16,EH$6,'Lease Cycles'!$HZ$16:$IF$16)</f>
        <v>0</v>
      </c>
      <c r="EI159" s="28">
        <f>SUMIF('Lease Cycles'!$HL$16:$HR$16,EI$6,'Lease Cycles'!$HZ$16:$IF$16)</f>
        <v>0</v>
      </c>
      <c r="EJ159" s="28">
        <f>SUMIF('Lease Cycles'!$HL$16:$HR$16,EJ$6,'Lease Cycles'!$HZ$16:$IF$16)</f>
        <v>0</v>
      </c>
      <c r="EK159" s="28">
        <f>SUMIF('Lease Cycles'!$HL$16:$HR$16,EK$6,'Lease Cycles'!$HZ$16:$IF$16)</f>
        <v>0</v>
      </c>
      <c r="EL159" s="28">
        <f>SUMIF('Lease Cycles'!$HL$16:$HR$16,EL$6,'Lease Cycles'!$HZ$16:$IF$16)</f>
        <v>0</v>
      </c>
      <c r="EM159" s="28">
        <f>SUMIF('Lease Cycles'!$HL$16:$HR$16,EM$6,'Lease Cycles'!$HZ$16:$IF$16)</f>
        <v>0</v>
      </c>
      <c r="EN159" s="28">
        <f>SUMIF('Lease Cycles'!$HL$16:$HR$16,EN$6,'Lease Cycles'!$HZ$16:$IF$16)</f>
        <v>0</v>
      </c>
      <c r="EO159" s="28">
        <f>SUMIF('Lease Cycles'!$HL$16:$HR$16,EO$6,'Lease Cycles'!$HZ$16:$IF$16)</f>
        <v>0</v>
      </c>
      <c r="EP159" s="28">
        <f>SUMIF('Lease Cycles'!$HL$16:$HR$16,EP$6,'Lease Cycles'!$HZ$16:$IF$16)</f>
        <v>0</v>
      </c>
      <c r="EQ159" s="28">
        <f>SUMIF('Lease Cycles'!$HL$16:$HR$16,EQ$6,'Lease Cycles'!$HZ$16:$IF$16)</f>
        <v>0</v>
      </c>
      <c r="ER159" s="28">
        <f>SUMIF('Lease Cycles'!$HL$16:$HR$16,ER$6,'Lease Cycles'!$HZ$16:$IF$16)</f>
        <v>0</v>
      </c>
      <c r="ES159" s="28">
        <f>SUMIF('Lease Cycles'!$HL$16:$HR$16,ES$6,'Lease Cycles'!$HZ$16:$IF$16)</f>
        <v>0</v>
      </c>
      <c r="ET159" s="28">
        <f>SUMIF('Lease Cycles'!$HL$16:$HR$16,ET$6,'Lease Cycles'!$HZ$16:$IF$16)</f>
        <v>0</v>
      </c>
    </row>
    <row r="160">
      <c r="A160" s="103">
        <v>9</v>
      </c>
      <c r="B160" s="23" t="str">
        <f>IF('Lease Cycles'!$B$16="","(empty slot)",'Lease Cycles'!$B$16)</f>
        <v>Sunfield Office Suite</v>
      </c>
      <c r="C160" s="23" t="s">
        <v>691</v>
      </c>
      <c r="D160" s="104" t="s">
        <v>692</v>
      </c>
      <c r="E160" s="25">
        <f>'Lease Cycles'!$AL$16</f>
        <v>0</v>
      </c>
      <c r="G160" s="28">
        <f>SUM(S160:AD160)</f>
        <v>0</v>
      </c>
      <c r="H160" s="28">
        <f>SUM(AE160:AP160)</f>
        <v>0</v>
      </c>
      <c r="I160" s="28">
        <f>SUM(AQ160:BB160)</f>
        <v>0</v>
      </c>
      <c r="J160" s="28">
        <f>SUM(BC160:BN160)</f>
        <v>0</v>
      </c>
      <c r="K160" s="28">
        <f>SUM(BO160:BZ160)</f>
        <v>0</v>
      </c>
      <c r="L160" s="28">
        <f>SUM(CA160:CL160)</f>
        <v>0</v>
      </c>
      <c r="M160" s="28">
        <f>SUM(CM160:CX160)</f>
        <v>0</v>
      </c>
      <c r="N160" s="28">
        <f>SUM(CY160:DJ160)</f>
        <v>0</v>
      </c>
      <c r="O160" s="28">
        <f>SUM(DK160:DV160)</f>
        <v>0</v>
      </c>
      <c r="P160" s="28">
        <f>SUM(DW160:EH160)</f>
        <v>0</v>
      </c>
      <c r="Q160" s="28">
        <f>SUM(EI160:ET160)</f>
        <v>0</v>
      </c>
      <c r="S160" s="28">
        <f>IF(S$6='Lease Cycles'!$HL$16,'Lease Cycles'!$HS$16+'Lease Cycles'!$HZ$16,0)</f>
        <v>0</v>
      </c>
      <c r="T160" s="28">
        <f>IF(T$6='Lease Cycles'!$HL$16,'Lease Cycles'!$HS$16+'Lease Cycles'!$HZ$16,0)</f>
        <v>0</v>
      </c>
      <c r="U160" s="28">
        <f>IF(U$6='Lease Cycles'!$HL$16,'Lease Cycles'!$HS$16+'Lease Cycles'!$HZ$16,0)</f>
        <v>0</v>
      </c>
      <c r="V160" s="28">
        <f>IF(V$6='Lease Cycles'!$HL$16,'Lease Cycles'!$HS$16+'Lease Cycles'!$HZ$16,0)</f>
        <v>0</v>
      </c>
      <c r="W160" s="28">
        <f>IF(W$6='Lease Cycles'!$HL$16,'Lease Cycles'!$HS$16+'Lease Cycles'!$HZ$16,0)</f>
        <v>0</v>
      </c>
      <c r="X160" s="28">
        <f>IF(X$6='Lease Cycles'!$HL$16,'Lease Cycles'!$HS$16+'Lease Cycles'!$HZ$16,0)</f>
        <v>0</v>
      </c>
      <c r="Y160" s="28">
        <f>IF(Y$6='Lease Cycles'!$HL$16,'Lease Cycles'!$HS$16+'Lease Cycles'!$HZ$16,0)</f>
        <v>0</v>
      </c>
      <c r="Z160" s="28">
        <f>IF(Z$6='Lease Cycles'!$HL$16,'Lease Cycles'!$HS$16+'Lease Cycles'!$HZ$16,0)</f>
        <v>0</v>
      </c>
      <c r="AA160" s="28">
        <f>IF(AA$6='Lease Cycles'!$HL$16,'Lease Cycles'!$HS$16+'Lease Cycles'!$HZ$16,0)</f>
        <v>0</v>
      </c>
      <c r="AB160" s="28">
        <f>IF(AB$6='Lease Cycles'!$HL$16,'Lease Cycles'!$HS$16+'Lease Cycles'!$HZ$16,0)</f>
        <v>0</v>
      </c>
      <c r="AC160" s="28">
        <f>IF(AC$6='Lease Cycles'!$HL$16,'Lease Cycles'!$HS$16+'Lease Cycles'!$HZ$16,0)</f>
        <v>0</v>
      </c>
      <c r="AD160" s="28">
        <f>IF(AD$6='Lease Cycles'!$HL$16,'Lease Cycles'!$HS$16+'Lease Cycles'!$HZ$16,0)</f>
        <v>0</v>
      </c>
      <c r="AE160" s="28">
        <f>IF(AE$6='Lease Cycles'!$HL$16,'Lease Cycles'!$HS$16+'Lease Cycles'!$HZ$16,0)</f>
        <v>0</v>
      </c>
      <c r="AF160" s="28">
        <f>IF(AF$6='Lease Cycles'!$HL$16,'Lease Cycles'!$HS$16+'Lease Cycles'!$HZ$16,0)</f>
        <v>0</v>
      </c>
      <c r="AG160" s="28">
        <f>IF(AG$6='Lease Cycles'!$HL$16,'Lease Cycles'!$HS$16+'Lease Cycles'!$HZ$16,0)</f>
        <v>0</v>
      </c>
      <c r="AH160" s="28">
        <f>IF(AH$6='Lease Cycles'!$HL$16,'Lease Cycles'!$HS$16+'Lease Cycles'!$HZ$16,0)</f>
        <v>0</v>
      </c>
      <c r="AI160" s="28">
        <f>IF(AI$6='Lease Cycles'!$HL$16,'Lease Cycles'!$HS$16+'Lease Cycles'!$HZ$16,0)</f>
        <v>0</v>
      </c>
      <c r="AJ160" s="28">
        <f>IF(AJ$6='Lease Cycles'!$HL$16,'Lease Cycles'!$HS$16+'Lease Cycles'!$HZ$16,0)</f>
        <v>0</v>
      </c>
      <c r="AK160" s="28">
        <f>IF(AK$6='Lease Cycles'!$HL$16,'Lease Cycles'!$HS$16+'Lease Cycles'!$HZ$16,0)</f>
        <v>0</v>
      </c>
      <c r="AL160" s="28">
        <f>IF(AL$6='Lease Cycles'!$HL$16,'Lease Cycles'!$HS$16+'Lease Cycles'!$HZ$16,0)</f>
        <v>0</v>
      </c>
      <c r="AM160" s="28">
        <f>IF(AM$6='Lease Cycles'!$HL$16,'Lease Cycles'!$HS$16+'Lease Cycles'!$HZ$16,0)</f>
        <v>0</v>
      </c>
      <c r="AN160" s="28">
        <f>IF(AN$6='Lease Cycles'!$HL$16,'Lease Cycles'!$HS$16+'Lease Cycles'!$HZ$16,0)</f>
        <v>0</v>
      </c>
      <c r="AO160" s="28">
        <f>IF(AO$6='Lease Cycles'!$HL$16,'Lease Cycles'!$HS$16+'Lease Cycles'!$HZ$16,0)</f>
        <v>0</v>
      </c>
      <c r="AP160" s="28">
        <f>IF(AP$6='Lease Cycles'!$HL$16,'Lease Cycles'!$HS$16+'Lease Cycles'!$HZ$16,0)</f>
        <v>0</v>
      </c>
      <c r="AQ160" s="28">
        <f>IF(AQ$6='Lease Cycles'!$HL$16,'Lease Cycles'!$HS$16+'Lease Cycles'!$HZ$16,0)</f>
        <v>0</v>
      </c>
      <c r="AR160" s="28">
        <f>IF(AR$6='Lease Cycles'!$HL$16,'Lease Cycles'!$HS$16+'Lease Cycles'!$HZ$16,0)</f>
        <v>0</v>
      </c>
      <c r="AS160" s="28">
        <f>IF(AS$6='Lease Cycles'!$HL$16,'Lease Cycles'!$HS$16+'Lease Cycles'!$HZ$16,0)</f>
        <v>0</v>
      </c>
      <c r="AT160" s="28">
        <f>IF(AT$6='Lease Cycles'!$HL$16,'Lease Cycles'!$HS$16+'Lease Cycles'!$HZ$16,0)</f>
        <v>0</v>
      </c>
      <c r="AU160" s="28">
        <f>IF(AU$6='Lease Cycles'!$HL$16,'Lease Cycles'!$HS$16+'Lease Cycles'!$HZ$16,0)</f>
        <v>0</v>
      </c>
      <c r="AV160" s="28">
        <f>IF(AV$6='Lease Cycles'!$HL$16,'Lease Cycles'!$HS$16+'Lease Cycles'!$HZ$16,0)</f>
        <v>0</v>
      </c>
      <c r="AW160" s="28">
        <f>IF(AW$6='Lease Cycles'!$HL$16,'Lease Cycles'!$HS$16+'Lease Cycles'!$HZ$16,0)</f>
        <v>0</v>
      </c>
      <c r="AX160" s="28">
        <f>IF(AX$6='Lease Cycles'!$HL$16,'Lease Cycles'!$HS$16+'Lease Cycles'!$HZ$16,0)</f>
        <v>0</v>
      </c>
      <c r="AY160" s="28">
        <f>IF(AY$6='Lease Cycles'!$HL$16,'Lease Cycles'!$HS$16+'Lease Cycles'!$HZ$16,0)</f>
        <v>0</v>
      </c>
      <c r="AZ160" s="28">
        <f>IF(AZ$6='Lease Cycles'!$HL$16,'Lease Cycles'!$HS$16+'Lease Cycles'!$HZ$16,0)</f>
        <v>0</v>
      </c>
      <c r="BA160" s="28">
        <f>IF(BA$6='Lease Cycles'!$HL$16,'Lease Cycles'!$HS$16+'Lease Cycles'!$HZ$16,0)</f>
        <v>0</v>
      </c>
      <c r="BB160" s="28">
        <f>IF(BB$6='Lease Cycles'!$HL$16,'Lease Cycles'!$HS$16+'Lease Cycles'!$HZ$16,0)</f>
        <v>0</v>
      </c>
      <c r="BC160" s="28">
        <f>IF(BC$6='Lease Cycles'!$HL$16,'Lease Cycles'!$HS$16+'Lease Cycles'!$HZ$16,0)</f>
        <v>0</v>
      </c>
      <c r="BD160" s="28">
        <f>IF(BD$6='Lease Cycles'!$HL$16,'Lease Cycles'!$HS$16+'Lease Cycles'!$HZ$16,0)</f>
        <v>0</v>
      </c>
      <c r="BE160" s="28">
        <f>IF(BE$6='Lease Cycles'!$HL$16,'Lease Cycles'!$HS$16+'Lease Cycles'!$HZ$16,0)</f>
        <v>0</v>
      </c>
      <c r="BF160" s="28">
        <f>IF(BF$6='Lease Cycles'!$HL$16,'Lease Cycles'!$HS$16+'Lease Cycles'!$HZ$16,0)</f>
        <v>0</v>
      </c>
      <c r="BG160" s="28">
        <f>IF(BG$6='Lease Cycles'!$HL$16,'Lease Cycles'!$HS$16+'Lease Cycles'!$HZ$16,0)</f>
        <v>0</v>
      </c>
      <c r="BH160" s="28">
        <f>IF(BH$6='Lease Cycles'!$HL$16,'Lease Cycles'!$HS$16+'Lease Cycles'!$HZ$16,0)</f>
        <v>0</v>
      </c>
      <c r="BI160" s="28">
        <f>IF(BI$6='Lease Cycles'!$HL$16,'Lease Cycles'!$HS$16+'Lease Cycles'!$HZ$16,0)</f>
        <v>0</v>
      </c>
      <c r="BJ160" s="28">
        <f>IF(BJ$6='Lease Cycles'!$HL$16,'Lease Cycles'!$HS$16+'Lease Cycles'!$HZ$16,0)</f>
        <v>0</v>
      </c>
      <c r="BK160" s="28">
        <f>IF(BK$6='Lease Cycles'!$HL$16,'Lease Cycles'!$HS$16+'Lease Cycles'!$HZ$16,0)</f>
        <v>0</v>
      </c>
      <c r="BL160" s="28">
        <f>IF(BL$6='Lease Cycles'!$HL$16,'Lease Cycles'!$HS$16+'Lease Cycles'!$HZ$16,0)</f>
        <v>0</v>
      </c>
      <c r="BM160" s="28">
        <f>IF(BM$6='Lease Cycles'!$HL$16,'Lease Cycles'!$HS$16+'Lease Cycles'!$HZ$16,0)</f>
        <v>0</v>
      </c>
      <c r="BN160" s="28">
        <f>IF(BN$6='Lease Cycles'!$HL$16,'Lease Cycles'!$HS$16+'Lease Cycles'!$HZ$16,0)</f>
        <v>0</v>
      </c>
      <c r="BO160" s="28">
        <f>IF(BO$6='Lease Cycles'!$HL$16,'Lease Cycles'!$HS$16+'Lease Cycles'!$HZ$16,0)</f>
        <v>0</v>
      </c>
      <c r="BP160" s="28">
        <f>IF(BP$6='Lease Cycles'!$HL$16,'Lease Cycles'!$HS$16+'Lease Cycles'!$HZ$16,0)</f>
        <v>0</v>
      </c>
      <c r="BQ160" s="28">
        <f>IF(BQ$6='Lease Cycles'!$HL$16,'Lease Cycles'!$HS$16+'Lease Cycles'!$HZ$16,0)</f>
        <v>0</v>
      </c>
      <c r="BR160" s="28">
        <f>IF(BR$6='Lease Cycles'!$HL$16,'Lease Cycles'!$HS$16+'Lease Cycles'!$HZ$16,0)</f>
        <v>0</v>
      </c>
      <c r="BS160" s="28">
        <f>IF(BS$6='Lease Cycles'!$HL$16,'Lease Cycles'!$HS$16+'Lease Cycles'!$HZ$16,0)</f>
        <v>0</v>
      </c>
      <c r="BT160" s="28">
        <f>IF(BT$6='Lease Cycles'!$HL$16,'Lease Cycles'!$HS$16+'Lease Cycles'!$HZ$16,0)</f>
        <v>0</v>
      </c>
      <c r="BU160" s="28">
        <f>IF(BU$6='Lease Cycles'!$HL$16,'Lease Cycles'!$HS$16+'Lease Cycles'!$HZ$16,0)</f>
        <v>0</v>
      </c>
      <c r="BV160" s="28">
        <f>IF(BV$6='Lease Cycles'!$HL$16,'Lease Cycles'!$HS$16+'Lease Cycles'!$HZ$16,0)</f>
        <v>0</v>
      </c>
      <c r="BW160" s="28">
        <f>IF(BW$6='Lease Cycles'!$HL$16,'Lease Cycles'!$HS$16+'Lease Cycles'!$HZ$16,0)</f>
        <v>0</v>
      </c>
      <c r="BX160" s="28">
        <f>IF(BX$6='Lease Cycles'!$HL$16,'Lease Cycles'!$HS$16+'Lease Cycles'!$HZ$16,0)</f>
        <v>0</v>
      </c>
      <c r="BY160" s="28">
        <f>IF(BY$6='Lease Cycles'!$HL$16,'Lease Cycles'!$HS$16+'Lease Cycles'!$HZ$16,0)</f>
        <v>0</v>
      </c>
      <c r="BZ160" s="28">
        <f>IF(BZ$6='Lease Cycles'!$HL$16,'Lease Cycles'!$HS$16+'Lease Cycles'!$HZ$16,0)</f>
        <v>0</v>
      </c>
      <c r="CA160" s="28">
        <f>IF(CA$6='Lease Cycles'!$HL$16,'Lease Cycles'!$HS$16+'Lease Cycles'!$HZ$16,0)</f>
        <v>0</v>
      </c>
      <c r="CB160" s="28">
        <f>IF(CB$6='Lease Cycles'!$HL$16,'Lease Cycles'!$HS$16+'Lease Cycles'!$HZ$16,0)</f>
        <v>0</v>
      </c>
      <c r="CC160" s="28">
        <f>IF(CC$6='Lease Cycles'!$HL$16,'Lease Cycles'!$HS$16+'Lease Cycles'!$HZ$16,0)</f>
        <v>0</v>
      </c>
      <c r="CD160" s="28">
        <f>IF(CD$6='Lease Cycles'!$HL$16,'Lease Cycles'!$HS$16+'Lease Cycles'!$HZ$16,0)</f>
        <v>0</v>
      </c>
      <c r="CE160" s="28">
        <f>IF(CE$6='Lease Cycles'!$HL$16,'Lease Cycles'!$HS$16+'Lease Cycles'!$HZ$16,0)</f>
        <v>0</v>
      </c>
      <c r="CF160" s="28">
        <f>IF(CF$6='Lease Cycles'!$HL$16,'Lease Cycles'!$HS$16+'Lease Cycles'!$HZ$16,0)</f>
        <v>0</v>
      </c>
      <c r="CG160" s="28">
        <f>IF(CG$6='Lease Cycles'!$HL$16,'Lease Cycles'!$HS$16+'Lease Cycles'!$HZ$16,0)</f>
        <v>0</v>
      </c>
      <c r="CH160" s="28">
        <f>IF(CH$6='Lease Cycles'!$HL$16,'Lease Cycles'!$HS$16+'Lease Cycles'!$HZ$16,0)</f>
        <v>0</v>
      </c>
      <c r="CI160" s="28">
        <f>IF(CI$6='Lease Cycles'!$HL$16,'Lease Cycles'!$HS$16+'Lease Cycles'!$HZ$16,0)</f>
        <v>0</v>
      </c>
      <c r="CJ160" s="28">
        <f>IF(CJ$6='Lease Cycles'!$HL$16,'Lease Cycles'!$HS$16+'Lease Cycles'!$HZ$16,0)</f>
        <v>0</v>
      </c>
      <c r="CK160" s="28">
        <f>IF(CK$6='Lease Cycles'!$HL$16,'Lease Cycles'!$HS$16+'Lease Cycles'!$HZ$16,0)</f>
        <v>0</v>
      </c>
      <c r="CL160" s="28">
        <f>IF(CL$6='Lease Cycles'!$HL$16,'Lease Cycles'!$HS$16+'Lease Cycles'!$HZ$16,0)</f>
        <v>0</v>
      </c>
      <c r="CM160" s="28">
        <f>IF(CM$6='Lease Cycles'!$HL$16,'Lease Cycles'!$HS$16+'Lease Cycles'!$HZ$16,0)</f>
        <v>0</v>
      </c>
      <c r="CN160" s="28">
        <f>IF(CN$6='Lease Cycles'!$HL$16,'Lease Cycles'!$HS$16+'Lease Cycles'!$HZ$16,0)</f>
        <v>0</v>
      </c>
      <c r="CO160" s="28">
        <f>IF(CO$6='Lease Cycles'!$HL$16,'Lease Cycles'!$HS$16+'Lease Cycles'!$HZ$16,0)</f>
        <v>0</v>
      </c>
      <c r="CP160" s="28">
        <f>IF(CP$6='Lease Cycles'!$HL$16,'Lease Cycles'!$HS$16+'Lease Cycles'!$HZ$16,0)</f>
        <v>0</v>
      </c>
      <c r="CQ160" s="28">
        <f>IF(CQ$6='Lease Cycles'!$HL$16,'Lease Cycles'!$HS$16+'Lease Cycles'!$HZ$16,0)</f>
        <v>0</v>
      </c>
      <c r="CR160" s="28">
        <f>IF(CR$6='Lease Cycles'!$HL$16,'Lease Cycles'!$HS$16+'Lease Cycles'!$HZ$16,0)</f>
        <v>0</v>
      </c>
      <c r="CS160" s="28">
        <f>IF(CS$6='Lease Cycles'!$HL$16,'Lease Cycles'!$HS$16+'Lease Cycles'!$HZ$16,0)</f>
        <v>0</v>
      </c>
      <c r="CT160" s="28">
        <f>IF(CT$6='Lease Cycles'!$HL$16,'Lease Cycles'!$HS$16+'Lease Cycles'!$HZ$16,0)</f>
        <v>0</v>
      </c>
      <c r="CU160" s="28">
        <f>IF(CU$6='Lease Cycles'!$HL$16,'Lease Cycles'!$HS$16+'Lease Cycles'!$HZ$16,0)</f>
        <v>0</v>
      </c>
      <c r="CV160" s="28">
        <f>IF(CV$6='Lease Cycles'!$HL$16,'Lease Cycles'!$HS$16+'Lease Cycles'!$HZ$16,0)</f>
        <v>0</v>
      </c>
      <c r="CW160" s="28">
        <f>IF(CW$6='Lease Cycles'!$HL$16,'Lease Cycles'!$HS$16+'Lease Cycles'!$HZ$16,0)</f>
        <v>0</v>
      </c>
      <c r="CX160" s="28">
        <f>IF(CX$6='Lease Cycles'!$HL$16,'Lease Cycles'!$HS$16+'Lease Cycles'!$HZ$16,0)</f>
        <v>0</v>
      </c>
      <c r="CY160" s="28">
        <f>IF(CY$6='Lease Cycles'!$HL$16,'Lease Cycles'!$HS$16+'Lease Cycles'!$HZ$16,0)</f>
        <v>0</v>
      </c>
      <c r="CZ160" s="28">
        <f>IF(CZ$6='Lease Cycles'!$HL$16,'Lease Cycles'!$HS$16+'Lease Cycles'!$HZ$16,0)</f>
        <v>0</v>
      </c>
      <c r="DA160" s="28">
        <f>IF(DA$6='Lease Cycles'!$HL$16,'Lease Cycles'!$HS$16+'Lease Cycles'!$HZ$16,0)</f>
        <v>0</v>
      </c>
      <c r="DB160" s="28">
        <f>IF(DB$6='Lease Cycles'!$HL$16,'Lease Cycles'!$HS$16+'Lease Cycles'!$HZ$16,0)</f>
        <v>0</v>
      </c>
      <c r="DC160" s="28">
        <f>IF(DC$6='Lease Cycles'!$HL$16,'Lease Cycles'!$HS$16+'Lease Cycles'!$HZ$16,0)</f>
        <v>0</v>
      </c>
      <c r="DD160" s="28">
        <f>IF(DD$6='Lease Cycles'!$HL$16,'Lease Cycles'!$HS$16+'Lease Cycles'!$HZ$16,0)</f>
        <v>0</v>
      </c>
      <c r="DE160" s="28">
        <f>IF(DE$6='Lease Cycles'!$HL$16,'Lease Cycles'!$HS$16+'Lease Cycles'!$HZ$16,0)</f>
        <v>0</v>
      </c>
      <c r="DF160" s="28">
        <f>IF(DF$6='Lease Cycles'!$HL$16,'Lease Cycles'!$HS$16+'Lease Cycles'!$HZ$16,0)</f>
        <v>0</v>
      </c>
      <c r="DG160" s="28">
        <f>IF(DG$6='Lease Cycles'!$HL$16,'Lease Cycles'!$HS$16+'Lease Cycles'!$HZ$16,0)</f>
        <v>0</v>
      </c>
      <c r="DH160" s="28">
        <f>IF(DH$6='Lease Cycles'!$HL$16,'Lease Cycles'!$HS$16+'Lease Cycles'!$HZ$16,0)</f>
        <v>0</v>
      </c>
      <c r="DI160" s="28">
        <f>IF(DI$6='Lease Cycles'!$HL$16,'Lease Cycles'!$HS$16+'Lease Cycles'!$HZ$16,0)</f>
        <v>0</v>
      </c>
      <c r="DJ160" s="28">
        <f>IF(DJ$6='Lease Cycles'!$HL$16,'Lease Cycles'!$HS$16+'Lease Cycles'!$HZ$16,0)</f>
        <v>0</v>
      </c>
      <c r="DK160" s="28">
        <f>IF(DK$6='Lease Cycles'!$HL$16,'Lease Cycles'!$HS$16+'Lease Cycles'!$HZ$16,0)</f>
        <v>0</v>
      </c>
      <c r="DL160" s="28">
        <f>IF(DL$6='Lease Cycles'!$HL$16,'Lease Cycles'!$HS$16+'Lease Cycles'!$HZ$16,0)</f>
        <v>0</v>
      </c>
      <c r="DM160" s="28">
        <f>IF(DM$6='Lease Cycles'!$HL$16,'Lease Cycles'!$HS$16+'Lease Cycles'!$HZ$16,0)</f>
        <v>0</v>
      </c>
      <c r="DN160" s="28">
        <f>IF(DN$6='Lease Cycles'!$HL$16,'Lease Cycles'!$HS$16+'Lease Cycles'!$HZ$16,0)</f>
        <v>0</v>
      </c>
      <c r="DO160" s="28">
        <f>IF(DO$6='Lease Cycles'!$HL$16,'Lease Cycles'!$HS$16+'Lease Cycles'!$HZ$16,0)</f>
        <v>0</v>
      </c>
      <c r="DP160" s="28">
        <f>IF(DP$6='Lease Cycles'!$HL$16,'Lease Cycles'!$HS$16+'Lease Cycles'!$HZ$16,0)</f>
        <v>0</v>
      </c>
      <c r="DQ160" s="28">
        <f>IF(DQ$6='Lease Cycles'!$HL$16,'Lease Cycles'!$HS$16+'Lease Cycles'!$HZ$16,0)</f>
        <v>0</v>
      </c>
      <c r="DR160" s="28">
        <f>IF(DR$6='Lease Cycles'!$HL$16,'Lease Cycles'!$HS$16+'Lease Cycles'!$HZ$16,0)</f>
        <v>0</v>
      </c>
      <c r="DS160" s="28">
        <f>IF(DS$6='Lease Cycles'!$HL$16,'Lease Cycles'!$HS$16+'Lease Cycles'!$HZ$16,0)</f>
        <v>0</v>
      </c>
      <c r="DT160" s="28">
        <f>IF(DT$6='Lease Cycles'!$HL$16,'Lease Cycles'!$HS$16+'Lease Cycles'!$HZ$16,0)</f>
        <v>0</v>
      </c>
      <c r="DU160" s="28">
        <f>IF(DU$6='Lease Cycles'!$HL$16,'Lease Cycles'!$HS$16+'Lease Cycles'!$HZ$16,0)</f>
        <v>0</v>
      </c>
      <c r="DV160" s="28">
        <f>IF(DV$6='Lease Cycles'!$HL$16,'Lease Cycles'!$HS$16+'Lease Cycles'!$HZ$16,0)</f>
        <v>0</v>
      </c>
      <c r="DW160" s="28">
        <f>IF(DW$6='Lease Cycles'!$HL$16,'Lease Cycles'!$HS$16+'Lease Cycles'!$HZ$16,0)</f>
        <v>0</v>
      </c>
      <c r="DX160" s="28">
        <f>IF(DX$6='Lease Cycles'!$HL$16,'Lease Cycles'!$HS$16+'Lease Cycles'!$HZ$16,0)</f>
        <v>0</v>
      </c>
      <c r="DY160" s="28">
        <f>IF(DY$6='Lease Cycles'!$HL$16,'Lease Cycles'!$HS$16+'Lease Cycles'!$HZ$16,0)</f>
        <v>0</v>
      </c>
      <c r="DZ160" s="28">
        <f>IF(DZ$6='Lease Cycles'!$HL$16,'Lease Cycles'!$HS$16+'Lease Cycles'!$HZ$16,0)</f>
        <v>0</v>
      </c>
      <c r="EA160" s="28">
        <f>IF(EA$6='Lease Cycles'!$HL$16,'Lease Cycles'!$HS$16+'Lease Cycles'!$HZ$16,0)</f>
        <v>0</v>
      </c>
      <c r="EB160" s="28">
        <f>IF(EB$6='Lease Cycles'!$HL$16,'Lease Cycles'!$HS$16+'Lease Cycles'!$HZ$16,0)</f>
        <v>0</v>
      </c>
      <c r="EC160" s="28">
        <f>IF(EC$6='Lease Cycles'!$HL$16,'Lease Cycles'!$HS$16+'Lease Cycles'!$HZ$16,0)</f>
        <v>0</v>
      </c>
      <c r="ED160" s="28">
        <f>IF(ED$6='Lease Cycles'!$HL$16,'Lease Cycles'!$HS$16+'Lease Cycles'!$HZ$16,0)</f>
        <v>0</v>
      </c>
      <c r="EE160" s="28">
        <f>IF(EE$6='Lease Cycles'!$HL$16,'Lease Cycles'!$HS$16+'Lease Cycles'!$HZ$16,0)</f>
        <v>0</v>
      </c>
      <c r="EF160" s="28">
        <f>IF(EF$6='Lease Cycles'!$HL$16,'Lease Cycles'!$HS$16+'Lease Cycles'!$HZ$16,0)</f>
        <v>0</v>
      </c>
      <c r="EG160" s="28">
        <f>IF(EG$6='Lease Cycles'!$HL$16,'Lease Cycles'!$HS$16+'Lease Cycles'!$HZ$16,0)</f>
        <v>0</v>
      </c>
      <c r="EH160" s="28">
        <f>IF(EH$6='Lease Cycles'!$HL$16,'Lease Cycles'!$HS$16+'Lease Cycles'!$HZ$16,0)</f>
        <v>0</v>
      </c>
      <c r="EI160" s="28">
        <f>IF(EI$6='Lease Cycles'!$HL$16,'Lease Cycles'!$HS$16+'Lease Cycles'!$HZ$16,0)</f>
        <v>0</v>
      </c>
      <c r="EJ160" s="28">
        <f>IF(EJ$6='Lease Cycles'!$HL$16,'Lease Cycles'!$HS$16+'Lease Cycles'!$HZ$16,0)</f>
        <v>0</v>
      </c>
      <c r="EK160" s="28">
        <f>IF(EK$6='Lease Cycles'!$HL$16,'Lease Cycles'!$HS$16+'Lease Cycles'!$HZ$16,0)</f>
        <v>0</v>
      </c>
      <c r="EL160" s="28">
        <f>IF(EL$6='Lease Cycles'!$HL$16,'Lease Cycles'!$HS$16+'Lease Cycles'!$HZ$16,0)</f>
        <v>0</v>
      </c>
      <c r="EM160" s="28">
        <f>IF(EM$6='Lease Cycles'!$HL$16,'Lease Cycles'!$HS$16+'Lease Cycles'!$HZ$16,0)</f>
        <v>0</v>
      </c>
      <c r="EN160" s="28">
        <f>IF(EN$6='Lease Cycles'!$HL$16,'Lease Cycles'!$HS$16+'Lease Cycles'!$HZ$16,0)</f>
        <v>0</v>
      </c>
      <c r="EO160" s="28">
        <f>IF(EO$6='Lease Cycles'!$HL$16,'Lease Cycles'!$HS$16+'Lease Cycles'!$HZ$16,0)</f>
        <v>0</v>
      </c>
      <c r="EP160" s="28">
        <f>IF(EP$6='Lease Cycles'!$HL$16,'Lease Cycles'!$HS$16+'Lease Cycles'!$HZ$16,0)</f>
        <v>0</v>
      </c>
      <c r="EQ160" s="28">
        <f>IF(EQ$6='Lease Cycles'!$HL$16,'Lease Cycles'!$HS$16+'Lease Cycles'!$HZ$16,0)</f>
        <v>0</v>
      </c>
      <c r="ER160" s="28">
        <f>IF(ER$6='Lease Cycles'!$HL$16,'Lease Cycles'!$HS$16+'Lease Cycles'!$HZ$16,0)</f>
        <v>0</v>
      </c>
      <c r="ES160" s="28">
        <f>IF(ES$6='Lease Cycles'!$HL$16,'Lease Cycles'!$HS$16+'Lease Cycles'!$HZ$16,0)</f>
        <v>0</v>
      </c>
      <c r="ET160" s="28">
        <f>IF(ET$6='Lease Cycles'!$HL$16,'Lease Cycles'!$HS$16+'Lease Cycles'!$HZ$16,0)</f>
        <v>0</v>
      </c>
    </row>
    <row r="161">
      <c r="A161" s="103">
        <v>9</v>
      </c>
      <c r="B161" s="23" t="str">
        <f>IF('Lease Cycles'!$B$16="","(empty slot)",'Lease Cycles'!$B$16)</f>
        <v>Sunfield Office Suite</v>
      </c>
      <c r="C161" s="23" t="s">
        <v>499</v>
      </c>
      <c r="D161" s="104" t="s">
        <v>500</v>
      </c>
      <c r="E161" s="25">
        <f>'Lease Cycles'!$AL$16</f>
        <v>0</v>
      </c>
      <c r="G161" s="28">
        <f>MAX(0,'Lease Cycles'!$AN$16*'Lease Cycles'!$C$16*'Lease Cycles'!$AM$16*(1+a_SalesGrowth)^(G$6-1)-G151)</f>
        <v>0</v>
      </c>
      <c r="H161" s="28">
        <f>MAX(0,'Lease Cycles'!$AN$16*'Lease Cycles'!$C$16*'Lease Cycles'!$AM$16*(1+a_SalesGrowth)^(H$6-1)-H151)</f>
        <v>0</v>
      </c>
      <c r="I161" s="28">
        <f>MAX(0,'Lease Cycles'!$AN$16*'Lease Cycles'!$C$16*'Lease Cycles'!$AM$16*(1+a_SalesGrowth)^(I$6-1)-I151)</f>
        <v>0</v>
      </c>
      <c r="J161" s="28">
        <f>MAX(0,'Lease Cycles'!$AN$16*'Lease Cycles'!$C$16*'Lease Cycles'!$AM$16*(1+a_SalesGrowth)^(J$6-1)-J151)</f>
        <v>0</v>
      </c>
      <c r="K161" s="28">
        <f>MAX(0,'Lease Cycles'!$AN$16*'Lease Cycles'!$C$16*'Lease Cycles'!$AM$16*(1+a_SalesGrowth)^(K$6-1)-K151)</f>
        <v>0</v>
      </c>
      <c r="L161" s="28">
        <f>MAX(0,'Lease Cycles'!$AN$16*'Lease Cycles'!$C$16*'Lease Cycles'!$AM$16*(1+a_SalesGrowth)^(L$6-1)-L151)</f>
        <v>0</v>
      </c>
      <c r="M161" s="28">
        <f>MAX(0,'Lease Cycles'!$AN$16*'Lease Cycles'!$C$16*'Lease Cycles'!$AM$16*(1+a_SalesGrowth)^(M$6-1)-M151)</f>
        <v>0</v>
      </c>
      <c r="N161" s="28">
        <f>MAX(0,'Lease Cycles'!$AN$16*'Lease Cycles'!$C$16*'Lease Cycles'!$AM$16*(1+a_SalesGrowth)^(N$6-1)-N151)</f>
        <v>0</v>
      </c>
      <c r="O161" s="28">
        <f>MAX(0,'Lease Cycles'!$AN$16*'Lease Cycles'!$C$16*'Lease Cycles'!$AM$16*(1+a_SalesGrowth)^(O$6-1)-O151)</f>
        <v>0</v>
      </c>
      <c r="P161" s="28">
        <f>MAX(0,'Lease Cycles'!$AN$16*'Lease Cycles'!$C$16*'Lease Cycles'!$AM$16*(1+a_SalesGrowth)^(P$6-1)-P151)</f>
        <v>0</v>
      </c>
      <c r="Q161" s="28">
        <f>MAX(0,'Lease Cycles'!$AN$16*'Lease Cycles'!$C$16*'Lease Cycles'!$AM$16*(1+a_SalesGrowth)^(Q$6-1)-Q151)</f>
        <v>0</v>
      </c>
    </row>
    <row r="163">
      <c r="A163" s="103">
        <v>10</v>
      </c>
      <c r="B163" s="23" t="str">
        <f>IF('Lease Cycles'!$B$17="","(empty slot)",'Lease Cycles'!$B$17)</f>
        <v>Available B-9</v>
      </c>
      <c r="C163" s="23" t="s">
        <v>671</v>
      </c>
      <c r="D163" s="104" t="s">
        <v>672</v>
      </c>
      <c r="E163" s="25">
        <f>'Lease Cycles'!$AL$17</f>
        <v>0</v>
      </c>
      <c r="S163" s="25">
        <f>IF('Lease Cycles'!$C$17&gt;0,COUNTIF('Lease Cycles'!$BG$17:$BM$17,"&lt;="&amp;S$6),0)</f>
        <v>0</v>
      </c>
      <c r="T163" s="25">
        <f>IF('Lease Cycles'!$C$17&gt;0,COUNTIF('Lease Cycles'!$BG$17:$BM$17,"&lt;="&amp;T$6),0)</f>
        <v>0</v>
      </c>
      <c r="U163" s="25">
        <f>IF('Lease Cycles'!$C$17&gt;0,COUNTIF('Lease Cycles'!$BG$17:$BM$17,"&lt;="&amp;U$6),0)</f>
        <v>0</v>
      </c>
      <c r="V163" s="25">
        <f>IF('Lease Cycles'!$C$17&gt;0,COUNTIF('Lease Cycles'!$BG$17:$BM$17,"&lt;="&amp;V$6),0)</f>
        <v>0</v>
      </c>
      <c r="W163" s="25">
        <f>IF('Lease Cycles'!$C$17&gt;0,COUNTIF('Lease Cycles'!$BG$17:$BM$17,"&lt;="&amp;W$6),0)</f>
        <v>0</v>
      </c>
      <c r="X163" s="25">
        <f>IF('Lease Cycles'!$C$17&gt;0,COUNTIF('Lease Cycles'!$BG$17:$BM$17,"&lt;="&amp;X$6),0)</f>
        <v>0</v>
      </c>
      <c r="Y163" s="25">
        <f>IF('Lease Cycles'!$C$17&gt;0,COUNTIF('Lease Cycles'!$BG$17:$BM$17,"&lt;="&amp;Y$6),0)</f>
        <v>0</v>
      </c>
      <c r="Z163" s="25">
        <f>IF('Lease Cycles'!$C$17&gt;0,COUNTIF('Lease Cycles'!$BG$17:$BM$17,"&lt;="&amp;Z$6),0)</f>
        <v>0</v>
      </c>
      <c r="AA163" s="25">
        <f>IF('Lease Cycles'!$C$17&gt;0,COUNTIF('Lease Cycles'!$BG$17:$BM$17,"&lt;="&amp;AA$6),0)</f>
        <v>0</v>
      </c>
      <c r="AB163" s="25">
        <f>IF('Lease Cycles'!$C$17&gt;0,COUNTIF('Lease Cycles'!$BG$17:$BM$17,"&lt;="&amp;AB$6),0)</f>
        <v>1</v>
      </c>
      <c r="AC163" s="25">
        <f>IF('Lease Cycles'!$C$17&gt;0,COUNTIF('Lease Cycles'!$BG$17:$BM$17,"&lt;="&amp;AC$6),0)</f>
        <v>1</v>
      </c>
      <c r="AD163" s="25">
        <f>IF('Lease Cycles'!$C$17&gt;0,COUNTIF('Lease Cycles'!$BG$17:$BM$17,"&lt;="&amp;AD$6),0)</f>
        <v>1</v>
      </c>
      <c r="AE163" s="25">
        <f>IF('Lease Cycles'!$C$17&gt;0,COUNTIF('Lease Cycles'!$BG$17:$BM$17,"&lt;="&amp;AE$6),0)</f>
        <v>1</v>
      </c>
      <c r="AF163" s="25">
        <f>IF('Lease Cycles'!$C$17&gt;0,COUNTIF('Lease Cycles'!$BG$17:$BM$17,"&lt;="&amp;AF$6),0)</f>
        <v>1</v>
      </c>
      <c r="AG163" s="25">
        <f>IF('Lease Cycles'!$C$17&gt;0,COUNTIF('Lease Cycles'!$BG$17:$BM$17,"&lt;="&amp;AG$6),0)</f>
        <v>1</v>
      </c>
      <c r="AH163" s="25">
        <f>IF('Lease Cycles'!$C$17&gt;0,COUNTIF('Lease Cycles'!$BG$17:$BM$17,"&lt;="&amp;AH$6),0)</f>
        <v>1</v>
      </c>
      <c r="AI163" s="25">
        <f>IF('Lease Cycles'!$C$17&gt;0,COUNTIF('Lease Cycles'!$BG$17:$BM$17,"&lt;="&amp;AI$6),0)</f>
        <v>1</v>
      </c>
      <c r="AJ163" s="25">
        <f>IF('Lease Cycles'!$C$17&gt;0,COUNTIF('Lease Cycles'!$BG$17:$BM$17,"&lt;="&amp;AJ$6),0)</f>
        <v>1</v>
      </c>
      <c r="AK163" s="25">
        <f>IF('Lease Cycles'!$C$17&gt;0,COUNTIF('Lease Cycles'!$BG$17:$BM$17,"&lt;="&amp;AK$6),0)</f>
        <v>1</v>
      </c>
      <c r="AL163" s="25">
        <f>IF('Lease Cycles'!$C$17&gt;0,COUNTIF('Lease Cycles'!$BG$17:$BM$17,"&lt;="&amp;AL$6),0)</f>
        <v>1</v>
      </c>
      <c r="AM163" s="25">
        <f>IF('Lease Cycles'!$C$17&gt;0,COUNTIF('Lease Cycles'!$BG$17:$BM$17,"&lt;="&amp;AM$6),0)</f>
        <v>1</v>
      </c>
      <c r="AN163" s="25">
        <f>IF('Lease Cycles'!$C$17&gt;0,COUNTIF('Lease Cycles'!$BG$17:$BM$17,"&lt;="&amp;AN$6),0)</f>
        <v>1</v>
      </c>
      <c r="AO163" s="25">
        <f>IF('Lease Cycles'!$C$17&gt;0,COUNTIF('Lease Cycles'!$BG$17:$BM$17,"&lt;="&amp;AO$6),0)</f>
        <v>1</v>
      </c>
      <c r="AP163" s="25">
        <f>IF('Lease Cycles'!$C$17&gt;0,COUNTIF('Lease Cycles'!$BG$17:$BM$17,"&lt;="&amp;AP$6),0)</f>
        <v>1</v>
      </c>
      <c r="AQ163" s="25">
        <f>IF('Lease Cycles'!$C$17&gt;0,COUNTIF('Lease Cycles'!$BG$17:$BM$17,"&lt;="&amp;AQ$6),0)</f>
        <v>1</v>
      </c>
      <c r="AR163" s="25">
        <f>IF('Lease Cycles'!$C$17&gt;0,COUNTIF('Lease Cycles'!$BG$17:$BM$17,"&lt;="&amp;AR$6),0)</f>
        <v>1</v>
      </c>
      <c r="AS163" s="25">
        <f>IF('Lease Cycles'!$C$17&gt;0,COUNTIF('Lease Cycles'!$BG$17:$BM$17,"&lt;="&amp;AS$6),0)</f>
        <v>1</v>
      </c>
      <c r="AT163" s="25">
        <f>IF('Lease Cycles'!$C$17&gt;0,COUNTIF('Lease Cycles'!$BG$17:$BM$17,"&lt;="&amp;AT$6),0)</f>
        <v>1</v>
      </c>
      <c r="AU163" s="25">
        <f>IF('Lease Cycles'!$C$17&gt;0,COUNTIF('Lease Cycles'!$BG$17:$BM$17,"&lt;="&amp;AU$6),0)</f>
        <v>1</v>
      </c>
      <c r="AV163" s="25">
        <f>IF('Lease Cycles'!$C$17&gt;0,COUNTIF('Lease Cycles'!$BG$17:$BM$17,"&lt;="&amp;AV$6),0)</f>
        <v>1</v>
      </c>
      <c r="AW163" s="25">
        <f>IF('Lease Cycles'!$C$17&gt;0,COUNTIF('Lease Cycles'!$BG$17:$BM$17,"&lt;="&amp;AW$6),0)</f>
        <v>1</v>
      </c>
      <c r="AX163" s="25">
        <f>IF('Lease Cycles'!$C$17&gt;0,COUNTIF('Lease Cycles'!$BG$17:$BM$17,"&lt;="&amp;AX$6),0)</f>
        <v>1</v>
      </c>
      <c r="AY163" s="25">
        <f>IF('Lease Cycles'!$C$17&gt;0,COUNTIF('Lease Cycles'!$BG$17:$BM$17,"&lt;="&amp;AY$6),0)</f>
        <v>1</v>
      </c>
      <c r="AZ163" s="25">
        <f>IF('Lease Cycles'!$C$17&gt;0,COUNTIF('Lease Cycles'!$BG$17:$BM$17,"&lt;="&amp;AZ$6),0)</f>
        <v>1</v>
      </c>
      <c r="BA163" s="25">
        <f>IF('Lease Cycles'!$C$17&gt;0,COUNTIF('Lease Cycles'!$BG$17:$BM$17,"&lt;="&amp;BA$6),0)</f>
        <v>1</v>
      </c>
      <c r="BB163" s="25">
        <f>IF('Lease Cycles'!$C$17&gt;0,COUNTIF('Lease Cycles'!$BG$17:$BM$17,"&lt;="&amp;BB$6),0)</f>
        <v>1</v>
      </c>
      <c r="BC163" s="25">
        <f>IF('Lease Cycles'!$C$17&gt;0,COUNTIF('Lease Cycles'!$BG$17:$BM$17,"&lt;="&amp;BC$6),0)</f>
        <v>1</v>
      </c>
      <c r="BD163" s="25">
        <f>IF('Lease Cycles'!$C$17&gt;0,COUNTIF('Lease Cycles'!$BG$17:$BM$17,"&lt;="&amp;BD$6),0)</f>
        <v>1</v>
      </c>
      <c r="BE163" s="25">
        <f>IF('Lease Cycles'!$C$17&gt;0,COUNTIF('Lease Cycles'!$BG$17:$BM$17,"&lt;="&amp;BE$6),0)</f>
        <v>1</v>
      </c>
      <c r="BF163" s="25">
        <f>IF('Lease Cycles'!$C$17&gt;0,COUNTIF('Lease Cycles'!$BG$17:$BM$17,"&lt;="&amp;BF$6),0)</f>
        <v>1</v>
      </c>
      <c r="BG163" s="25">
        <f>IF('Lease Cycles'!$C$17&gt;0,COUNTIF('Lease Cycles'!$BG$17:$BM$17,"&lt;="&amp;BG$6),0)</f>
        <v>1</v>
      </c>
      <c r="BH163" s="25">
        <f>IF('Lease Cycles'!$C$17&gt;0,COUNTIF('Lease Cycles'!$BG$17:$BM$17,"&lt;="&amp;BH$6),0)</f>
        <v>1</v>
      </c>
      <c r="BI163" s="25">
        <f>IF('Lease Cycles'!$C$17&gt;0,COUNTIF('Lease Cycles'!$BG$17:$BM$17,"&lt;="&amp;BI$6),0)</f>
        <v>1</v>
      </c>
      <c r="BJ163" s="25">
        <f>IF('Lease Cycles'!$C$17&gt;0,COUNTIF('Lease Cycles'!$BG$17:$BM$17,"&lt;="&amp;BJ$6),0)</f>
        <v>1</v>
      </c>
      <c r="BK163" s="25">
        <f>IF('Lease Cycles'!$C$17&gt;0,COUNTIF('Lease Cycles'!$BG$17:$BM$17,"&lt;="&amp;BK$6),0)</f>
        <v>1</v>
      </c>
      <c r="BL163" s="25">
        <f>IF('Lease Cycles'!$C$17&gt;0,COUNTIF('Lease Cycles'!$BG$17:$BM$17,"&lt;="&amp;BL$6),0)</f>
        <v>1</v>
      </c>
      <c r="BM163" s="25">
        <f>IF('Lease Cycles'!$C$17&gt;0,COUNTIF('Lease Cycles'!$BG$17:$BM$17,"&lt;="&amp;BM$6),0)</f>
        <v>1</v>
      </c>
      <c r="BN163" s="25">
        <f>IF('Lease Cycles'!$C$17&gt;0,COUNTIF('Lease Cycles'!$BG$17:$BM$17,"&lt;="&amp;BN$6),0)</f>
        <v>1</v>
      </c>
      <c r="BO163" s="25">
        <f>IF('Lease Cycles'!$C$17&gt;0,COUNTIF('Lease Cycles'!$BG$17:$BM$17,"&lt;="&amp;BO$6),0)</f>
        <v>1</v>
      </c>
      <c r="BP163" s="25">
        <f>IF('Lease Cycles'!$C$17&gt;0,COUNTIF('Lease Cycles'!$BG$17:$BM$17,"&lt;="&amp;BP$6),0)</f>
        <v>1</v>
      </c>
      <c r="BQ163" s="25">
        <f>IF('Lease Cycles'!$C$17&gt;0,COUNTIF('Lease Cycles'!$BG$17:$BM$17,"&lt;="&amp;BQ$6),0)</f>
        <v>1</v>
      </c>
      <c r="BR163" s="25">
        <f>IF('Lease Cycles'!$C$17&gt;0,COUNTIF('Lease Cycles'!$BG$17:$BM$17,"&lt;="&amp;BR$6),0)</f>
        <v>1</v>
      </c>
      <c r="BS163" s="25">
        <f>IF('Lease Cycles'!$C$17&gt;0,COUNTIF('Lease Cycles'!$BG$17:$BM$17,"&lt;="&amp;BS$6),0)</f>
        <v>1</v>
      </c>
      <c r="BT163" s="25">
        <f>IF('Lease Cycles'!$C$17&gt;0,COUNTIF('Lease Cycles'!$BG$17:$BM$17,"&lt;="&amp;BT$6),0)</f>
        <v>1</v>
      </c>
      <c r="BU163" s="25">
        <f>IF('Lease Cycles'!$C$17&gt;0,COUNTIF('Lease Cycles'!$BG$17:$BM$17,"&lt;="&amp;BU$6),0)</f>
        <v>1</v>
      </c>
      <c r="BV163" s="25">
        <f>IF('Lease Cycles'!$C$17&gt;0,COUNTIF('Lease Cycles'!$BG$17:$BM$17,"&lt;="&amp;BV$6),0)</f>
        <v>1</v>
      </c>
      <c r="BW163" s="25">
        <f>IF('Lease Cycles'!$C$17&gt;0,COUNTIF('Lease Cycles'!$BG$17:$BM$17,"&lt;="&amp;BW$6),0)</f>
        <v>1</v>
      </c>
      <c r="BX163" s="25">
        <f>IF('Lease Cycles'!$C$17&gt;0,COUNTIF('Lease Cycles'!$BG$17:$BM$17,"&lt;="&amp;BX$6),0)</f>
        <v>1</v>
      </c>
      <c r="BY163" s="25">
        <f>IF('Lease Cycles'!$C$17&gt;0,COUNTIF('Lease Cycles'!$BG$17:$BM$17,"&lt;="&amp;BY$6),0)</f>
        <v>1</v>
      </c>
      <c r="BZ163" s="25">
        <f>IF('Lease Cycles'!$C$17&gt;0,COUNTIF('Lease Cycles'!$BG$17:$BM$17,"&lt;="&amp;BZ$6),0)</f>
        <v>1</v>
      </c>
      <c r="CA163" s="25">
        <f>IF('Lease Cycles'!$C$17&gt;0,COUNTIF('Lease Cycles'!$BG$17:$BM$17,"&lt;="&amp;CA$6),0)</f>
        <v>1</v>
      </c>
      <c r="CB163" s="25">
        <f>IF('Lease Cycles'!$C$17&gt;0,COUNTIF('Lease Cycles'!$BG$17:$BM$17,"&lt;="&amp;CB$6),0)</f>
        <v>1</v>
      </c>
      <c r="CC163" s="25">
        <f>IF('Lease Cycles'!$C$17&gt;0,COUNTIF('Lease Cycles'!$BG$17:$BM$17,"&lt;="&amp;CC$6),0)</f>
        <v>1</v>
      </c>
      <c r="CD163" s="25">
        <f>IF('Lease Cycles'!$C$17&gt;0,COUNTIF('Lease Cycles'!$BG$17:$BM$17,"&lt;="&amp;CD$6),0)</f>
        <v>1</v>
      </c>
      <c r="CE163" s="25">
        <f>IF('Lease Cycles'!$C$17&gt;0,COUNTIF('Lease Cycles'!$BG$17:$BM$17,"&lt;="&amp;CE$6),0)</f>
        <v>1</v>
      </c>
      <c r="CF163" s="25">
        <f>IF('Lease Cycles'!$C$17&gt;0,COUNTIF('Lease Cycles'!$BG$17:$BM$17,"&lt;="&amp;CF$6),0)</f>
        <v>1</v>
      </c>
      <c r="CG163" s="25">
        <f>IF('Lease Cycles'!$C$17&gt;0,COUNTIF('Lease Cycles'!$BG$17:$BM$17,"&lt;="&amp;CG$6),0)</f>
        <v>1</v>
      </c>
      <c r="CH163" s="25">
        <f>IF('Lease Cycles'!$C$17&gt;0,COUNTIF('Lease Cycles'!$BG$17:$BM$17,"&lt;="&amp;CH$6),0)</f>
        <v>1</v>
      </c>
      <c r="CI163" s="25">
        <f>IF('Lease Cycles'!$C$17&gt;0,COUNTIF('Lease Cycles'!$BG$17:$BM$17,"&lt;="&amp;CI$6),0)</f>
        <v>1</v>
      </c>
      <c r="CJ163" s="25">
        <f>IF('Lease Cycles'!$C$17&gt;0,COUNTIF('Lease Cycles'!$BG$17:$BM$17,"&lt;="&amp;CJ$6),0)</f>
        <v>1</v>
      </c>
      <c r="CK163" s="25">
        <f>IF('Lease Cycles'!$C$17&gt;0,COUNTIF('Lease Cycles'!$BG$17:$BM$17,"&lt;="&amp;CK$6),0)</f>
        <v>1</v>
      </c>
      <c r="CL163" s="25">
        <f>IF('Lease Cycles'!$C$17&gt;0,COUNTIF('Lease Cycles'!$BG$17:$BM$17,"&lt;="&amp;CL$6),0)</f>
        <v>1</v>
      </c>
      <c r="CM163" s="25">
        <f>IF('Lease Cycles'!$C$17&gt;0,COUNTIF('Lease Cycles'!$BG$17:$BM$17,"&lt;="&amp;CM$6),0)</f>
        <v>1</v>
      </c>
      <c r="CN163" s="25">
        <f>IF('Lease Cycles'!$C$17&gt;0,COUNTIF('Lease Cycles'!$BG$17:$BM$17,"&lt;="&amp;CN$6),0)</f>
        <v>1</v>
      </c>
      <c r="CO163" s="25">
        <f>IF('Lease Cycles'!$C$17&gt;0,COUNTIF('Lease Cycles'!$BG$17:$BM$17,"&lt;="&amp;CO$6),0)</f>
        <v>1</v>
      </c>
      <c r="CP163" s="25">
        <f>IF('Lease Cycles'!$C$17&gt;0,COUNTIF('Lease Cycles'!$BG$17:$BM$17,"&lt;="&amp;CP$6),0)</f>
        <v>1</v>
      </c>
      <c r="CQ163" s="25">
        <f>IF('Lease Cycles'!$C$17&gt;0,COUNTIF('Lease Cycles'!$BG$17:$BM$17,"&lt;="&amp;CQ$6),0)</f>
        <v>1</v>
      </c>
      <c r="CR163" s="25">
        <f>IF('Lease Cycles'!$C$17&gt;0,COUNTIF('Lease Cycles'!$BG$17:$BM$17,"&lt;="&amp;CR$6),0)</f>
        <v>1</v>
      </c>
      <c r="CS163" s="25">
        <f>IF('Lease Cycles'!$C$17&gt;0,COUNTIF('Lease Cycles'!$BG$17:$BM$17,"&lt;="&amp;CS$6),0)</f>
        <v>1</v>
      </c>
      <c r="CT163" s="25">
        <f>IF('Lease Cycles'!$C$17&gt;0,COUNTIF('Lease Cycles'!$BG$17:$BM$17,"&lt;="&amp;CT$6),0)</f>
        <v>1</v>
      </c>
      <c r="CU163" s="25">
        <f>IF('Lease Cycles'!$C$17&gt;0,COUNTIF('Lease Cycles'!$BG$17:$BM$17,"&lt;="&amp;CU$6),0)</f>
        <v>1</v>
      </c>
      <c r="CV163" s="25">
        <f>IF('Lease Cycles'!$C$17&gt;0,COUNTIF('Lease Cycles'!$BG$17:$BM$17,"&lt;="&amp;CV$6),0)</f>
        <v>1</v>
      </c>
      <c r="CW163" s="25">
        <f>IF('Lease Cycles'!$C$17&gt;0,COUNTIF('Lease Cycles'!$BG$17:$BM$17,"&lt;="&amp;CW$6),0)</f>
        <v>1</v>
      </c>
      <c r="CX163" s="25">
        <f>IF('Lease Cycles'!$C$17&gt;0,COUNTIF('Lease Cycles'!$BG$17:$BM$17,"&lt;="&amp;CX$6),0)</f>
        <v>1</v>
      </c>
      <c r="CY163" s="25">
        <f>IF('Lease Cycles'!$C$17&gt;0,COUNTIF('Lease Cycles'!$BG$17:$BM$17,"&lt;="&amp;CY$6),0)</f>
        <v>1</v>
      </c>
      <c r="CZ163" s="25">
        <f>IF('Lease Cycles'!$C$17&gt;0,COUNTIF('Lease Cycles'!$BG$17:$BM$17,"&lt;="&amp;CZ$6),0)</f>
        <v>1</v>
      </c>
      <c r="DA163" s="25">
        <f>IF('Lease Cycles'!$C$17&gt;0,COUNTIF('Lease Cycles'!$BG$17:$BM$17,"&lt;="&amp;DA$6),0)</f>
        <v>1</v>
      </c>
      <c r="DB163" s="25">
        <f>IF('Lease Cycles'!$C$17&gt;0,COUNTIF('Lease Cycles'!$BG$17:$BM$17,"&lt;="&amp;DB$6),0)</f>
        <v>1</v>
      </c>
      <c r="DC163" s="25">
        <f>IF('Lease Cycles'!$C$17&gt;0,COUNTIF('Lease Cycles'!$BG$17:$BM$17,"&lt;="&amp;DC$6),0)</f>
        <v>1</v>
      </c>
      <c r="DD163" s="25">
        <f>IF('Lease Cycles'!$C$17&gt;0,COUNTIF('Lease Cycles'!$BG$17:$BM$17,"&lt;="&amp;DD$6),0)</f>
        <v>1</v>
      </c>
      <c r="DE163" s="25">
        <f>IF('Lease Cycles'!$C$17&gt;0,COUNTIF('Lease Cycles'!$BG$17:$BM$17,"&lt;="&amp;DE$6),0)</f>
        <v>1</v>
      </c>
      <c r="DF163" s="25">
        <f>IF('Lease Cycles'!$C$17&gt;0,COUNTIF('Lease Cycles'!$BG$17:$BM$17,"&lt;="&amp;DF$6),0)</f>
        <v>1</v>
      </c>
      <c r="DG163" s="25">
        <f>IF('Lease Cycles'!$C$17&gt;0,COUNTIF('Lease Cycles'!$BG$17:$BM$17,"&lt;="&amp;DG$6),0)</f>
        <v>1</v>
      </c>
      <c r="DH163" s="25">
        <f>IF('Lease Cycles'!$C$17&gt;0,COUNTIF('Lease Cycles'!$BG$17:$BM$17,"&lt;="&amp;DH$6),0)</f>
        <v>2</v>
      </c>
      <c r="DI163" s="25">
        <f>IF('Lease Cycles'!$C$17&gt;0,COUNTIF('Lease Cycles'!$BG$17:$BM$17,"&lt;="&amp;DI$6),0)</f>
        <v>3</v>
      </c>
      <c r="DJ163" s="25">
        <f>IF('Lease Cycles'!$C$17&gt;0,COUNTIF('Lease Cycles'!$BG$17:$BM$17,"&lt;="&amp;DJ$6),0)</f>
        <v>3</v>
      </c>
      <c r="DK163" s="25">
        <f>IF('Lease Cycles'!$C$17&gt;0,COUNTIF('Lease Cycles'!$BG$17:$BM$17,"&lt;="&amp;DK$6),0)</f>
        <v>3</v>
      </c>
      <c r="DL163" s="25">
        <f>IF('Lease Cycles'!$C$17&gt;0,COUNTIF('Lease Cycles'!$BG$17:$BM$17,"&lt;="&amp;DL$6),0)</f>
        <v>3</v>
      </c>
      <c r="DM163" s="25">
        <f>IF('Lease Cycles'!$C$17&gt;0,COUNTIF('Lease Cycles'!$BG$17:$BM$17,"&lt;="&amp;DM$6),0)</f>
        <v>3</v>
      </c>
      <c r="DN163" s="25">
        <f>IF('Lease Cycles'!$C$17&gt;0,COUNTIF('Lease Cycles'!$BG$17:$BM$17,"&lt;="&amp;DN$6),0)</f>
        <v>3</v>
      </c>
      <c r="DO163" s="25">
        <f>IF('Lease Cycles'!$C$17&gt;0,COUNTIF('Lease Cycles'!$BG$17:$BM$17,"&lt;="&amp;DO$6),0)</f>
        <v>3</v>
      </c>
      <c r="DP163" s="25">
        <f>IF('Lease Cycles'!$C$17&gt;0,COUNTIF('Lease Cycles'!$BG$17:$BM$17,"&lt;="&amp;DP$6),0)</f>
        <v>3</v>
      </c>
      <c r="DQ163" s="25">
        <f>IF('Lease Cycles'!$C$17&gt;0,COUNTIF('Lease Cycles'!$BG$17:$BM$17,"&lt;="&amp;DQ$6),0)</f>
        <v>3</v>
      </c>
      <c r="DR163" s="25">
        <f>IF('Lease Cycles'!$C$17&gt;0,COUNTIF('Lease Cycles'!$BG$17:$BM$17,"&lt;="&amp;DR$6),0)</f>
        <v>3</v>
      </c>
      <c r="DS163" s="25">
        <f>IF('Lease Cycles'!$C$17&gt;0,COUNTIF('Lease Cycles'!$BG$17:$BM$17,"&lt;="&amp;DS$6),0)</f>
        <v>3</v>
      </c>
      <c r="DT163" s="25">
        <f>IF('Lease Cycles'!$C$17&gt;0,COUNTIF('Lease Cycles'!$BG$17:$BM$17,"&lt;="&amp;DT$6),0)</f>
        <v>3</v>
      </c>
      <c r="DU163" s="25">
        <f>IF('Lease Cycles'!$C$17&gt;0,COUNTIF('Lease Cycles'!$BG$17:$BM$17,"&lt;="&amp;DU$6),0)</f>
        <v>3</v>
      </c>
      <c r="DV163" s="25">
        <f>IF('Lease Cycles'!$C$17&gt;0,COUNTIF('Lease Cycles'!$BG$17:$BM$17,"&lt;="&amp;DV$6),0)</f>
        <v>3</v>
      </c>
      <c r="DW163" s="25">
        <f>IF('Lease Cycles'!$C$17&gt;0,COUNTIF('Lease Cycles'!$BG$17:$BM$17,"&lt;="&amp;DW$6),0)</f>
        <v>3</v>
      </c>
      <c r="DX163" s="25">
        <f>IF('Lease Cycles'!$C$17&gt;0,COUNTIF('Lease Cycles'!$BG$17:$BM$17,"&lt;="&amp;DX$6),0)</f>
        <v>3</v>
      </c>
      <c r="DY163" s="25">
        <f>IF('Lease Cycles'!$C$17&gt;0,COUNTIF('Lease Cycles'!$BG$17:$BM$17,"&lt;="&amp;DY$6),0)</f>
        <v>3</v>
      </c>
      <c r="DZ163" s="25">
        <f>IF('Lease Cycles'!$C$17&gt;0,COUNTIF('Lease Cycles'!$BG$17:$BM$17,"&lt;="&amp;DZ$6),0)</f>
        <v>3</v>
      </c>
      <c r="EA163" s="25">
        <f>IF('Lease Cycles'!$C$17&gt;0,COUNTIF('Lease Cycles'!$BG$17:$BM$17,"&lt;="&amp;EA$6),0)</f>
        <v>3</v>
      </c>
      <c r="EB163" s="25">
        <f>IF('Lease Cycles'!$C$17&gt;0,COUNTIF('Lease Cycles'!$BG$17:$BM$17,"&lt;="&amp;EB$6),0)</f>
        <v>3</v>
      </c>
      <c r="EC163" s="25">
        <f>IF('Lease Cycles'!$C$17&gt;0,COUNTIF('Lease Cycles'!$BG$17:$BM$17,"&lt;="&amp;EC$6),0)</f>
        <v>3</v>
      </c>
      <c r="ED163" s="25">
        <f>IF('Lease Cycles'!$C$17&gt;0,COUNTIF('Lease Cycles'!$BG$17:$BM$17,"&lt;="&amp;ED$6),0)</f>
        <v>3</v>
      </c>
      <c r="EE163" s="25">
        <f>IF('Lease Cycles'!$C$17&gt;0,COUNTIF('Lease Cycles'!$BG$17:$BM$17,"&lt;="&amp;EE$6),0)</f>
        <v>3</v>
      </c>
      <c r="EF163" s="25">
        <f>IF('Lease Cycles'!$C$17&gt;0,COUNTIF('Lease Cycles'!$BG$17:$BM$17,"&lt;="&amp;EF$6),0)</f>
        <v>3</v>
      </c>
      <c r="EG163" s="25">
        <f>IF('Lease Cycles'!$C$17&gt;0,COUNTIF('Lease Cycles'!$BG$17:$BM$17,"&lt;="&amp;EG$6),0)</f>
        <v>3</v>
      </c>
      <c r="EH163" s="25">
        <f>IF('Lease Cycles'!$C$17&gt;0,COUNTIF('Lease Cycles'!$BG$17:$BM$17,"&lt;="&amp;EH$6),0)</f>
        <v>3</v>
      </c>
      <c r="EI163" s="25">
        <f>IF('Lease Cycles'!$C$17&gt;0,COUNTIF('Lease Cycles'!$BG$17:$BM$17,"&lt;="&amp;EI$6),0)</f>
        <v>3</v>
      </c>
      <c r="EJ163" s="25">
        <f>IF('Lease Cycles'!$C$17&gt;0,COUNTIF('Lease Cycles'!$BG$17:$BM$17,"&lt;="&amp;EJ$6),0)</f>
        <v>3</v>
      </c>
      <c r="EK163" s="25">
        <f>IF('Lease Cycles'!$C$17&gt;0,COUNTIF('Lease Cycles'!$BG$17:$BM$17,"&lt;="&amp;EK$6),0)</f>
        <v>3</v>
      </c>
      <c r="EL163" s="25">
        <f>IF('Lease Cycles'!$C$17&gt;0,COUNTIF('Lease Cycles'!$BG$17:$BM$17,"&lt;="&amp;EL$6),0)</f>
        <v>3</v>
      </c>
      <c r="EM163" s="25">
        <f>IF('Lease Cycles'!$C$17&gt;0,COUNTIF('Lease Cycles'!$BG$17:$BM$17,"&lt;="&amp;EM$6),0)</f>
        <v>3</v>
      </c>
      <c r="EN163" s="25">
        <f>IF('Lease Cycles'!$C$17&gt;0,COUNTIF('Lease Cycles'!$BG$17:$BM$17,"&lt;="&amp;EN$6),0)</f>
        <v>3</v>
      </c>
      <c r="EO163" s="25">
        <f>IF('Lease Cycles'!$C$17&gt;0,COUNTIF('Lease Cycles'!$BG$17:$BM$17,"&lt;="&amp;EO$6),0)</f>
        <v>3</v>
      </c>
      <c r="EP163" s="25">
        <f>IF('Lease Cycles'!$C$17&gt;0,COUNTIF('Lease Cycles'!$BG$17:$BM$17,"&lt;="&amp;EP$6),0)</f>
        <v>3</v>
      </c>
      <c r="EQ163" s="25">
        <f>IF('Lease Cycles'!$C$17&gt;0,COUNTIF('Lease Cycles'!$BG$17:$BM$17,"&lt;="&amp;EQ$6),0)</f>
        <v>3</v>
      </c>
      <c r="ER163" s="25">
        <f>IF('Lease Cycles'!$C$17&gt;0,COUNTIF('Lease Cycles'!$BG$17:$BM$17,"&lt;="&amp;ER$6),0)</f>
        <v>3</v>
      </c>
      <c r="ES163" s="25">
        <f>IF('Lease Cycles'!$C$17&gt;0,COUNTIF('Lease Cycles'!$BG$17:$BM$17,"&lt;="&amp;ES$6),0)</f>
        <v>3</v>
      </c>
      <c r="ET163" s="25">
        <f>IF('Lease Cycles'!$C$17&gt;0,COUNTIF('Lease Cycles'!$BG$17:$BM$17,"&lt;="&amp;ET$6),0)</f>
        <v>3</v>
      </c>
    </row>
    <row r="164">
      <c r="A164" s="103">
        <v>10</v>
      </c>
      <c r="B164" s="23" t="str">
        <f>IF('Lease Cycles'!$B$17="","(empty slot)",'Lease Cycles'!$B$17)</f>
        <v>Available B-9</v>
      </c>
      <c r="C164" s="23" t="s">
        <v>673</v>
      </c>
      <c r="D164" s="104" t="s">
        <v>674</v>
      </c>
      <c r="E164" s="25">
        <f>'Lease Cycles'!$AL$17</f>
        <v>0</v>
      </c>
      <c r="S164" s="25">
        <f>IF(S163=0,-1,S$6-INDEX('Lease Cycles'!$BG$17:$BM$17,1,S163))</f>
        <v>-1</v>
      </c>
      <c r="T164" s="25">
        <f>IF(T163=0,-1,T$6-INDEX('Lease Cycles'!$BG$17:$BM$17,1,T163))</f>
        <v>-1</v>
      </c>
      <c r="U164" s="25">
        <f>IF(U163=0,-1,U$6-INDEX('Lease Cycles'!$BG$17:$BM$17,1,U163))</f>
        <v>-1</v>
      </c>
      <c r="V164" s="25">
        <f>IF(V163=0,-1,V$6-INDEX('Lease Cycles'!$BG$17:$BM$17,1,V163))</f>
        <v>-1</v>
      </c>
      <c r="W164" s="25">
        <f>IF(W163=0,-1,W$6-INDEX('Lease Cycles'!$BG$17:$BM$17,1,W163))</f>
        <v>-1</v>
      </c>
      <c r="X164" s="25">
        <f>IF(X163=0,-1,X$6-INDEX('Lease Cycles'!$BG$17:$BM$17,1,X163))</f>
        <v>-1</v>
      </c>
      <c r="Y164" s="25">
        <f>IF(Y163=0,-1,Y$6-INDEX('Lease Cycles'!$BG$17:$BM$17,1,Y163))</f>
        <v>-1</v>
      </c>
      <c r="Z164" s="25">
        <f>IF(Z163=0,-1,Z$6-INDEX('Lease Cycles'!$BG$17:$BM$17,1,Z163))</f>
        <v>-1</v>
      </c>
      <c r="AA164" s="25">
        <f>IF(AA163=0,-1,AA$6-INDEX('Lease Cycles'!$BG$17:$BM$17,1,AA163))</f>
        <v>-1</v>
      </c>
      <c r="AB164" s="25">
        <f>IF(AB163=0,-1,AB$6-INDEX('Lease Cycles'!$BG$17:$BM$17,1,AB163))</f>
        <v>0</v>
      </c>
      <c r="AC164" s="25">
        <f>IF(AC163=0,-1,AC$6-INDEX('Lease Cycles'!$BG$17:$BM$17,1,AC163))</f>
        <v>1</v>
      </c>
      <c r="AD164" s="25">
        <f>IF(AD163=0,-1,AD$6-INDEX('Lease Cycles'!$BG$17:$BM$17,1,AD163))</f>
        <v>2</v>
      </c>
      <c r="AE164" s="25">
        <f>IF(AE163=0,-1,AE$6-INDEX('Lease Cycles'!$BG$17:$BM$17,1,AE163))</f>
        <v>3</v>
      </c>
      <c r="AF164" s="25">
        <f>IF(AF163=0,-1,AF$6-INDEX('Lease Cycles'!$BG$17:$BM$17,1,AF163))</f>
        <v>4</v>
      </c>
      <c r="AG164" s="25">
        <f>IF(AG163=0,-1,AG$6-INDEX('Lease Cycles'!$BG$17:$BM$17,1,AG163))</f>
        <v>5</v>
      </c>
      <c r="AH164" s="25">
        <f>IF(AH163=0,-1,AH$6-INDEX('Lease Cycles'!$BG$17:$BM$17,1,AH163))</f>
        <v>6</v>
      </c>
      <c r="AI164" s="25">
        <f>IF(AI163=0,-1,AI$6-INDEX('Lease Cycles'!$BG$17:$BM$17,1,AI163))</f>
        <v>7</v>
      </c>
      <c r="AJ164" s="25">
        <f>IF(AJ163=0,-1,AJ$6-INDEX('Lease Cycles'!$BG$17:$BM$17,1,AJ163))</f>
        <v>8</v>
      </c>
      <c r="AK164" s="25">
        <f>IF(AK163=0,-1,AK$6-INDEX('Lease Cycles'!$BG$17:$BM$17,1,AK163))</f>
        <v>9</v>
      </c>
      <c r="AL164" s="25">
        <f>IF(AL163=0,-1,AL$6-INDEX('Lease Cycles'!$BG$17:$BM$17,1,AL163))</f>
        <v>10</v>
      </c>
      <c r="AM164" s="25">
        <f>IF(AM163=0,-1,AM$6-INDEX('Lease Cycles'!$BG$17:$BM$17,1,AM163))</f>
        <v>11</v>
      </c>
      <c r="AN164" s="25">
        <f>IF(AN163=0,-1,AN$6-INDEX('Lease Cycles'!$BG$17:$BM$17,1,AN163))</f>
        <v>12</v>
      </c>
      <c r="AO164" s="25">
        <f>IF(AO163=0,-1,AO$6-INDEX('Lease Cycles'!$BG$17:$BM$17,1,AO163))</f>
        <v>13</v>
      </c>
      <c r="AP164" s="25">
        <f>IF(AP163=0,-1,AP$6-INDEX('Lease Cycles'!$BG$17:$BM$17,1,AP163))</f>
        <v>14</v>
      </c>
      <c r="AQ164" s="25">
        <f>IF(AQ163=0,-1,AQ$6-INDEX('Lease Cycles'!$BG$17:$BM$17,1,AQ163))</f>
        <v>15</v>
      </c>
      <c r="AR164" s="25">
        <f>IF(AR163=0,-1,AR$6-INDEX('Lease Cycles'!$BG$17:$BM$17,1,AR163))</f>
        <v>16</v>
      </c>
      <c r="AS164" s="25">
        <f>IF(AS163=0,-1,AS$6-INDEX('Lease Cycles'!$BG$17:$BM$17,1,AS163))</f>
        <v>17</v>
      </c>
      <c r="AT164" s="25">
        <f>IF(AT163=0,-1,AT$6-INDEX('Lease Cycles'!$BG$17:$BM$17,1,AT163))</f>
        <v>18</v>
      </c>
      <c r="AU164" s="25">
        <f>IF(AU163=0,-1,AU$6-INDEX('Lease Cycles'!$BG$17:$BM$17,1,AU163))</f>
        <v>19</v>
      </c>
      <c r="AV164" s="25">
        <f>IF(AV163=0,-1,AV$6-INDEX('Lease Cycles'!$BG$17:$BM$17,1,AV163))</f>
        <v>20</v>
      </c>
      <c r="AW164" s="25">
        <f>IF(AW163=0,-1,AW$6-INDEX('Lease Cycles'!$BG$17:$BM$17,1,AW163))</f>
        <v>21</v>
      </c>
      <c r="AX164" s="25">
        <f>IF(AX163=0,-1,AX$6-INDEX('Lease Cycles'!$BG$17:$BM$17,1,AX163))</f>
        <v>22</v>
      </c>
      <c r="AY164" s="25">
        <f>IF(AY163=0,-1,AY$6-INDEX('Lease Cycles'!$BG$17:$BM$17,1,AY163))</f>
        <v>23</v>
      </c>
      <c r="AZ164" s="25">
        <f>IF(AZ163=0,-1,AZ$6-INDEX('Lease Cycles'!$BG$17:$BM$17,1,AZ163))</f>
        <v>24</v>
      </c>
      <c r="BA164" s="25">
        <f>IF(BA163=0,-1,BA$6-INDEX('Lease Cycles'!$BG$17:$BM$17,1,BA163))</f>
        <v>25</v>
      </c>
      <c r="BB164" s="25">
        <f>IF(BB163=0,-1,BB$6-INDEX('Lease Cycles'!$BG$17:$BM$17,1,BB163))</f>
        <v>26</v>
      </c>
      <c r="BC164" s="25">
        <f>IF(BC163=0,-1,BC$6-INDEX('Lease Cycles'!$BG$17:$BM$17,1,BC163))</f>
        <v>27</v>
      </c>
      <c r="BD164" s="25">
        <f>IF(BD163=0,-1,BD$6-INDEX('Lease Cycles'!$BG$17:$BM$17,1,BD163))</f>
        <v>28</v>
      </c>
      <c r="BE164" s="25">
        <f>IF(BE163=0,-1,BE$6-INDEX('Lease Cycles'!$BG$17:$BM$17,1,BE163))</f>
        <v>29</v>
      </c>
      <c r="BF164" s="25">
        <f>IF(BF163=0,-1,BF$6-INDEX('Lease Cycles'!$BG$17:$BM$17,1,BF163))</f>
        <v>30</v>
      </c>
      <c r="BG164" s="25">
        <f>IF(BG163=0,-1,BG$6-INDEX('Lease Cycles'!$BG$17:$BM$17,1,BG163))</f>
        <v>31</v>
      </c>
      <c r="BH164" s="25">
        <f>IF(BH163=0,-1,BH$6-INDEX('Lease Cycles'!$BG$17:$BM$17,1,BH163))</f>
        <v>32</v>
      </c>
      <c r="BI164" s="25">
        <f>IF(BI163=0,-1,BI$6-INDEX('Lease Cycles'!$BG$17:$BM$17,1,BI163))</f>
        <v>33</v>
      </c>
      <c r="BJ164" s="25">
        <f>IF(BJ163=0,-1,BJ$6-INDEX('Lease Cycles'!$BG$17:$BM$17,1,BJ163))</f>
        <v>34</v>
      </c>
      <c r="BK164" s="25">
        <f>IF(BK163=0,-1,BK$6-INDEX('Lease Cycles'!$BG$17:$BM$17,1,BK163))</f>
        <v>35</v>
      </c>
      <c r="BL164" s="25">
        <f>IF(BL163=0,-1,BL$6-INDEX('Lease Cycles'!$BG$17:$BM$17,1,BL163))</f>
        <v>36</v>
      </c>
      <c r="BM164" s="25">
        <f>IF(BM163=0,-1,BM$6-INDEX('Lease Cycles'!$BG$17:$BM$17,1,BM163))</f>
        <v>37</v>
      </c>
      <c r="BN164" s="25">
        <f>IF(BN163=0,-1,BN$6-INDEX('Lease Cycles'!$BG$17:$BM$17,1,BN163))</f>
        <v>38</v>
      </c>
      <c r="BO164" s="25">
        <f>IF(BO163=0,-1,BO$6-INDEX('Lease Cycles'!$BG$17:$BM$17,1,BO163))</f>
        <v>39</v>
      </c>
      <c r="BP164" s="25">
        <f>IF(BP163=0,-1,BP$6-INDEX('Lease Cycles'!$BG$17:$BM$17,1,BP163))</f>
        <v>40</v>
      </c>
      <c r="BQ164" s="25">
        <f>IF(BQ163=0,-1,BQ$6-INDEX('Lease Cycles'!$BG$17:$BM$17,1,BQ163))</f>
        <v>41</v>
      </c>
      <c r="BR164" s="25">
        <f>IF(BR163=0,-1,BR$6-INDEX('Lease Cycles'!$BG$17:$BM$17,1,BR163))</f>
        <v>42</v>
      </c>
      <c r="BS164" s="25">
        <f>IF(BS163=0,-1,BS$6-INDEX('Lease Cycles'!$BG$17:$BM$17,1,BS163))</f>
        <v>43</v>
      </c>
      <c r="BT164" s="25">
        <f>IF(BT163=0,-1,BT$6-INDEX('Lease Cycles'!$BG$17:$BM$17,1,BT163))</f>
        <v>44</v>
      </c>
      <c r="BU164" s="25">
        <f>IF(BU163=0,-1,BU$6-INDEX('Lease Cycles'!$BG$17:$BM$17,1,BU163))</f>
        <v>45</v>
      </c>
      <c r="BV164" s="25">
        <f>IF(BV163=0,-1,BV$6-INDEX('Lease Cycles'!$BG$17:$BM$17,1,BV163))</f>
        <v>46</v>
      </c>
      <c r="BW164" s="25">
        <f>IF(BW163=0,-1,BW$6-INDEX('Lease Cycles'!$BG$17:$BM$17,1,BW163))</f>
        <v>47</v>
      </c>
      <c r="BX164" s="25">
        <f>IF(BX163=0,-1,BX$6-INDEX('Lease Cycles'!$BG$17:$BM$17,1,BX163))</f>
        <v>48</v>
      </c>
      <c r="BY164" s="25">
        <f>IF(BY163=0,-1,BY$6-INDEX('Lease Cycles'!$BG$17:$BM$17,1,BY163))</f>
        <v>49</v>
      </c>
      <c r="BZ164" s="25">
        <f>IF(BZ163=0,-1,BZ$6-INDEX('Lease Cycles'!$BG$17:$BM$17,1,BZ163))</f>
        <v>50</v>
      </c>
      <c r="CA164" s="25">
        <f>IF(CA163=0,-1,CA$6-INDEX('Lease Cycles'!$BG$17:$BM$17,1,CA163))</f>
        <v>51</v>
      </c>
      <c r="CB164" s="25">
        <f>IF(CB163=0,-1,CB$6-INDEX('Lease Cycles'!$BG$17:$BM$17,1,CB163))</f>
        <v>52</v>
      </c>
      <c r="CC164" s="25">
        <f>IF(CC163=0,-1,CC$6-INDEX('Lease Cycles'!$BG$17:$BM$17,1,CC163))</f>
        <v>53</v>
      </c>
      <c r="CD164" s="25">
        <f>IF(CD163=0,-1,CD$6-INDEX('Lease Cycles'!$BG$17:$BM$17,1,CD163))</f>
        <v>54</v>
      </c>
      <c r="CE164" s="25">
        <f>IF(CE163=0,-1,CE$6-INDEX('Lease Cycles'!$BG$17:$BM$17,1,CE163))</f>
        <v>55</v>
      </c>
      <c r="CF164" s="25">
        <f>IF(CF163=0,-1,CF$6-INDEX('Lease Cycles'!$BG$17:$BM$17,1,CF163))</f>
        <v>56</v>
      </c>
      <c r="CG164" s="25">
        <f>IF(CG163=0,-1,CG$6-INDEX('Lease Cycles'!$BG$17:$BM$17,1,CG163))</f>
        <v>57</v>
      </c>
      <c r="CH164" s="25">
        <f>IF(CH163=0,-1,CH$6-INDEX('Lease Cycles'!$BG$17:$BM$17,1,CH163))</f>
        <v>58</v>
      </c>
      <c r="CI164" s="25">
        <f>IF(CI163=0,-1,CI$6-INDEX('Lease Cycles'!$BG$17:$BM$17,1,CI163))</f>
        <v>59</v>
      </c>
      <c r="CJ164" s="25">
        <f>IF(CJ163=0,-1,CJ$6-INDEX('Lease Cycles'!$BG$17:$BM$17,1,CJ163))</f>
        <v>60</v>
      </c>
      <c r="CK164" s="25">
        <f>IF(CK163=0,-1,CK$6-INDEX('Lease Cycles'!$BG$17:$BM$17,1,CK163))</f>
        <v>61</v>
      </c>
      <c r="CL164" s="25">
        <f>IF(CL163=0,-1,CL$6-INDEX('Lease Cycles'!$BG$17:$BM$17,1,CL163))</f>
        <v>62</v>
      </c>
      <c r="CM164" s="25">
        <f>IF(CM163=0,-1,CM$6-INDEX('Lease Cycles'!$BG$17:$BM$17,1,CM163))</f>
        <v>63</v>
      </c>
      <c r="CN164" s="25">
        <f>IF(CN163=0,-1,CN$6-INDEX('Lease Cycles'!$BG$17:$BM$17,1,CN163))</f>
        <v>64</v>
      </c>
      <c r="CO164" s="25">
        <f>IF(CO163=0,-1,CO$6-INDEX('Lease Cycles'!$BG$17:$BM$17,1,CO163))</f>
        <v>65</v>
      </c>
      <c r="CP164" s="25">
        <f>IF(CP163=0,-1,CP$6-INDEX('Lease Cycles'!$BG$17:$BM$17,1,CP163))</f>
        <v>66</v>
      </c>
      <c r="CQ164" s="25">
        <f>IF(CQ163=0,-1,CQ$6-INDEX('Lease Cycles'!$BG$17:$BM$17,1,CQ163))</f>
        <v>67</v>
      </c>
      <c r="CR164" s="25">
        <f>IF(CR163=0,-1,CR$6-INDEX('Lease Cycles'!$BG$17:$BM$17,1,CR163))</f>
        <v>68</v>
      </c>
      <c r="CS164" s="25">
        <f>IF(CS163=0,-1,CS$6-INDEX('Lease Cycles'!$BG$17:$BM$17,1,CS163))</f>
        <v>69</v>
      </c>
      <c r="CT164" s="25">
        <f>IF(CT163=0,-1,CT$6-INDEX('Lease Cycles'!$BG$17:$BM$17,1,CT163))</f>
        <v>70</v>
      </c>
      <c r="CU164" s="25">
        <f>IF(CU163=0,-1,CU$6-INDEX('Lease Cycles'!$BG$17:$BM$17,1,CU163))</f>
        <v>71</v>
      </c>
      <c r="CV164" s="25">
        <f>IF(CV163=0,-1,CV$6-INDEX('Lease Cycles'!$BG$17:$BM$17,1,CV163))</f>
        <v>72</v>
      </c>
      <c r="CW164" s="25">
        <f>IF(CW163=0,-1,CW$6-INDEX('Lease Cycles'!$BG$17:$BM$17,1,CW163))</f>
        <v>73</v>
      </c>
      <c r="CX164" s="25">
        <f>IF(CX163=0,-1,CX$6-INDEX('Lease Cycles'!$BG$17:$BM$17,1,CX163))</f>
        <v>74</v>
      </c>
      <c r="CY164" s="25">
        <f>IF(CY163=0,-1,CY$6-INDEX('Lease Cycles'!$BG$17:$BM$17,1,CY163))</f>
        <v>75</v>
      </c>
      <c r="CZ164" s="25">
        <f>IF(CZ163=0,-1,CZ$6-INDEX('Lease Cycles'!$BG$17:$BM$17,1,CZ163))</f>
        <v>76</v>
      </c>
      <c r="DA164" s="25">
        <f>IF(DA163=0,-1,DA$6-INDEX('Lease Cycles'!$BG$17:$BM$17,1,DA163))</f>
        <v>77</v>
      </c>
      <c r="DB164" s="25">
        <f>IF(DB163=0,-1,DB$6-INDEX('Lease Cycles'!$BG$17:$BM$17,1,DB163))</f>
        <v>78</v>
      </c>
      <c r="DC164" s="25">
        <f>IF(DC163=0,-1,DC$6-INDEX('Lease Cycles'!$BG$17:$BM$17,1,DC163))</f>
        <v>79</v>
      </c>
      <c r="DD164" s="25">
        <f>IF(DD163=0,-1,DD$6-INDEX('Lease Cycles'!$BG$17:$BM$17,1,DD163))</f>
        <v>80</v>
      </c>
      <c r="DE164" s="25">
        <f>IF(DE163=0,-1,DE$6-INDEX('Lease Cycles'!$BG$17:$BM$17,1,DE163))</f>
        <v>81</v>
      </c>
      <c r="DF164" s="25">
        <f>IF(DF163=0,-1,DF$6-INDEX('Lease Cycles'!$BG$17:$BM$17,1,DF163))</f>
        <v>82</v>
      </c>
      <c r="DG164" s="25">
        <f>IF(DG163=0,-1,DG$6-INDEX('Lease Cycles'!$BG$17:$BM$17,1,DG163))</f>
        <v>83</v>
      </c>
      <c r="DH164" s="25">
        <f>IF(DH163=0,-1,DH$6-INDEX('Lease Cycles'!$BG$17:$BM$17,1,DH163))</f>
        <v>0</v>
      </c>
      <c r="DI164" s="25">
        <f>IF(DI163=0,-1,DI$6-INDEX('Lease Cycles'!$BG$17:$BM$17,1,DI163))</f>
        <v>0</v>
      </c>
      <c r="DJ164" s="25">
        <f>IF(DJ163=0,-1,DJ$6-INDEX('Lease Cycles'!$BG$17:$BM$17,1,DJ163))</f>
        <v>1</v>
      </c>
      <c r="DK164" s="25">
        <f>IF(DK163=0,-1,DK$6-INDEX('Lease Cycles'!$BG$17:$BM$17,1,DK163))</f>
        <v>2</v>
      </c>
      <c r="DL164" s="25">
        <f>IF(DL163=0,-1,DL$6-INDEX('Lease Cycles'!$BG$17:$BM$17,1,DL163))</f>
        <v>3</v>
      </c>
      <c r="DM164" s="25">
        <f>IF(DM163=0,-1,DM$6-INDEX('Lease Cycles'!$BG$17:$BM$17,1,DM163))</f>
        <v>4</v>
      </c>
      <c r="DN164" s="25">
        <f>IF(DN163=0,-1,DN$6-INDEX('Lease Cycles'!$BG$17:$BM$17,1,DN163))</f>
        <v>5</v>
      </c>
      <c r="DO164" s="25">
        <f>IF(DO163=0,-1,DO$6-INDEX('Lease Cycles'!$BG$17:$BM$17,1,DO163))</f>
        <v>6</v>
      </c>
      <c r="DP164" s="25">
        <f>IF(DP163=0,-1,DP$6-INDEX('Lease Cycles'!$BG$17:$BM$17,1,DP163))</f>
        <v>7</v>
      </c>
      <c r="DQ164" s="25">
        <f>IF(DQ163=0,-1,DQ$6-INDEX('Lease Cycles'!$BG$17:$BM$17,1,DQ163))</f>
        <v>8</v>
      </c>
      <c r="DR164" s="25">
        <f>IF(DR163=0,-1,DR$6-INDEX('Lease Cycles'!$BG$17:$BM$17,1,DR163))</f>
        <v>9</v>
      </c>
      <c r="DS164" s="25">
        <f>IF(DS163=0,-1,DS$6-INDEX('Lease Cycles'!$BG$17:$BM$17,1,DS163))</f>
        <v>10</v>
      </c>
      <c r="DT164" s="25">
        <f>IF(DT163=0,-1,DT$6-INDEX('Lease Cycles'!$BG$17:$BM$17,1,DT163))</f>
        <v>11</v>
      </c>
      <c r="DU164" s="25">
        <f>IF(DU163=0,-1,DU$6-INDEX('Lease Cycles'!$BG$17:$BM$17,1,DU163))</f>
        <v>12</v>
      </c>
      <c r="DV164" s="25">
        <f>IF(DV163=0,-1,DV$6-INDEX('Lease Cycles'!$BG$17:$BM$17,1,DV163))</f>
        <v>13</v>
      </c>
      <c r="DW164" s="25">
        <f>IF(DW163=0,-1,DW$6-INDEX('Lease Cycles'!$BG$17:$BM$17,1,DW163))</f>
        <v>14</v>
      </c>
      <c r="DX164" s="25">
        <f>IF(DX163=0,-1,DX$6-INDEX('Lease Cycles'!$BG$17:$BM$17,1,DX163))</f>
        <v>15</v>
      </c>
      <c r="DY164" s="25">
        <f>IF(DY163=0,-1,DY$6-INDEX('Lease Cycles'!$BG$17:$BM$17,1,DY163))</f>
        <v>16</v>
      </c>
      <c r="DZ164" s="25">
        <f>IF(DZ163=0,-1,DZ$6-INDEX('Lease Cycles'!$BG$17:$BM$17,1,DZ163))</f>
        <v>17</v>
      </c>
      <c r="EA164" s="25">
        <f>IF(EA163=0,-1,EA$6-INDEX('Lease Cycles'!$BG$17:$BM$17,1,EA163))</f>
        <v>18</v>
      </c>
      <c r="EB164" s="25">
        <f>IF(EB163=0,-1,EB$6-INDEX('Lease Cycles'!$BG$17:$BM$17,1,EB163))</f>
        <v>19</v>
      </c>
      <c r="EC164" s="25">
        <f>IF(EC163=0,-1,EC$6-INDEX('Lease Cycles'!$BG$17:$BM$17,1,EC163))</f>
        <v>20</v>
      </c>
      <c r="ED164" s="25">
        <f>IF(ED163=0,-1,ED$6-INDEX('Lease Cycles'!$BG$17:$BM$17,1,ED163))</f>
        <v>21</v>
      </c>
      <c r="EE164" s="25">
        <f>IF(EE163=0,-1,EE$6-INDEX('Lease Cycles'!$BG$17:$BM$17,1,EE163))</f>
        <v>22</v>
      </c>
      <c r="EF164" s="25">
        <f>IF(EF163=0,-1,EF$6-INDEX('Lease Cycles'!$BG$17:$BM$17,1,EF163))</f>
        <v>23</v>
      </c>
      <c r="EG164" s="25">
        <f>IF(EG163=0,-1,EG$6-INDEX('Lease Cycles'!$BG$17:$BM$17,1,EG163))</f>
        <v>24</v>
      </c>
      <c r="EH164" s="25">
        <f>IF(EH163=0,-1,EH$6-INDEX('Lease Cycles'!$BG$17:$BM$17,1,EH163))</f>
        <v>25</v>
      </c>
      <c r="EI164" s="25">
        <f>IF(EI163=0,-1,EI$6-INDEX('Lease Cycles'!$BG$17:$BM$17,1,EI163))</f>
        <v>26</v>
      </c>
      <c r="EJ164" s="25">
        <f>IF(EJ163=0,-1,EJ$6-INDEX('Lease Cycles'!$BG$17:$BM$17,1,EJ163))</f>
        <v>27</v>
      </c>
      <c r="EK164" s="25">
        <f>IF(EK163=0,-1,EK$6-INDEX('Lease Cycles'!$BG$17:$BM$17,1,EK163))</f>
        <v>28</v>
      </c>
      <c r="EL164" s="25">
        <f>IF(EL163=0,-1,EL$6-INDEX('Lease Cycles'!$BG$17:$BM$17,1,EL163))</f>
        <v>29</v>
      </c>
      <c r="EM164" s="25">
        <f>IF(EM163=0,-1,EM$6-INDEX('Lease Cycles'!$BG$17:$BM$17,1,EM163))</f>
        <v>30</v>
      </c>
      <c r="EN164" s="25">
        <f>IF(EN163=0,-1,EN$6-INDEX('Lease Cycles'!$BG$17:$BM$17,1,EN163))</f>
        <v>31</v>
      </c>
      <c r="EO164" s="25">
        <f>IF(EO163=0,-1,EO$6-INDEX('Lease Cycles'!$BG$17:$BM$17,1,EO163))</f>
        <v>32</v>
      </c>
      <c r="EP164" s="25">
        <f>IF(EP163=0,-1,EP$6-INDEX('Lease Cycles'!$BG$17:$BM$17,1,EP163))</f>
        <v>33</v>
      </c>
      <c r="EQ164" s="25">
        <f>IF(EQ163=0,-1,EQ$6-INDEX('Lease Cycles'!$BG$17:$BM$17,1,EQ163))</f>
        <v>34</v>
      </c>
      <c r="ER164" s="25">
        <f>IF(ER163=0,-1,ER$6-INDEX('Lease Cycles'!$BG$17:$BM$17,1,ER163))</f>
        <v>35</v>
      </c>
      <c r="ES164" s="25">
        <f>IF(ES163=0,-1,ES$6-INDEX('Lease Cycles'!$BG$17:$BM$17,1,ES163))</f>
        <v>36</v>
      </c>
      <c r="ET164" s="25">
        <f>IF(ET163=0,-1,ET$6-INDEX('Lease Cycles'!$BG$17:$BM$17,1,ET163))</f>
        <v>37</v>
      </c>
    </row>
    <row r="165">
      <c r="A165" s="103">
        <v>10</v>
      </c>
      <c r="B165" s="23" t="str">
        <f>IF('Lease Cycles'!$B$17="","(empty slot)",'Lease Cycles'!$B$17)</f>
        <v>Available B-9</v>
      </c>
      <c r="C165" s="23" t="s">
        <v>675</v>
      </c>
      <c r="D165" s="104" t="s">
        <v>676</v>
      </c>
      <c r="E165" s="25">
        <f>'Lease Cycles'!$AL$17</f>
        <v>0</v>
      </c>
      <c r="S165" s="25">
        <f>IF(S163=0,0,IF(S164&lt;INDEX('Lease Cycles'!$BN$17:$BT$17,1,S163),1,0))</f>
        <v>0</v>
      </c>
      <c r="T165" s="25">
        <f>IF(T163=0,0,IF(T164&lt;INDEX('Lease Cycles'!$BN$17:$BT$17,1,T163),1,0))</f>
        <v>0</v>
      </c>
      <c r="U165" s="25">
        <f>IF(U163=0,0,IF(U164&lt;INDEX('Lease Cycles'!$BN$17:$BT$17,1,U163),1,0))</f>
        <v>0</v>
      </c>
      <c r="V165" s="25">
        <f>IF(V163=0,0,IF(V164&lt;INDEX('Lease Cycles'!$BN$17:$BT$17,1,V163),1,0))</f>
        <v>0</v>
      </c>
      <c r="W165" s="25">
        <f>IF(W163=0,0,IF(W164&lt;INDEX('Lease Cycles'!$BN$17:$BT$17,1,W163),1,0))</f>
        <v>0</v>
      </c>
      <c r="X165" s="25">
        <f>IF(X163=0,0,IF(X164&lt;INDEX('Lease Cycles'!$BN$17:$BT$17,1,X163),1,0))</f>
        <v>0</v>
      </c>
      <c r="Y165" s="25">
        <f>IF(Y163=0,0,IF(Y164&lt;INDEX('Lease Cycles'!$BN$17:$BT$17,1,Y163),1,0))</f>
        <v>0</v>
      </c>
      <c r="Z165" s="25">
        <f>IF(Z163=0,0,IF(Z164&lt;INDEX('Lease Cycles'!$BN$17:$BT$17,1,Z163),1,0))</f>
        <v>0</v>
      </c>
      <c r="AA165" s="25">
        <f>IF(AA163=0,0,IF(AA164&lt;INDEX('Lease Cycles'!$BN$17:$BT$17,1,AA163),1,0))</f>
        <v>0</v>
      </c>
      <c r="AB165" s="25">
        <f>IF(AB163=0,0,IF(AB164&lt;INDEX('Lease Cycles'!$BN$17:$BT$17,1,AB163),1,0))</f>
        <v>1</v>
      </c>
      <c r="AC165" s="25">
        <f>IF(AC163=0,0,IF(AC164&lt;INDEX('Lease Cycles'!$BN$17:$BT$17,1,AC163),1,0))</f>
        <v>1</v>
      </c>
      <c r="AD165" s="25">
        <f>IF(AD163=0,0,IF(AD164&lt;INDEX('Lease Cycles'!$BN$17:$BT$17,1,AD163),1,0))</f>
        <v>1</v>
      </c>
      <c r="AE165" s="25">
        <f>IF(AE163=0,0,IF(AE164&lt;INDEX('Lease Cycles'!$BN$17:$BT$17,1,AE163),1,0))</f>
        <v>1</v>
      </c>
      <c r="AF165" s="25">
        <f>IF(AF163=0,0,IF(AF164&lt;INDEX('Lease Cycles'!$BN$17:$BT$17,1,AF163),1,0))</f>
        <v>1</v>
      </c>
      <c r="AG165" s="25">
        <f>IF(AG163=0,0,IF(AG164&lt;INDEX('Lease Cycles'!$BN$17:$BT$17,1,AG163),1,0))</f>
        <v>1</v>
      </c>
      <c r="AH165" s="25">
        <f>IF(AH163=0,0,IF(AH164&lt;INDEX('Lease Cycles'!$BN$17:$BT$17,1,AH163),1,0))</f>
        <v>1</v>
      </c>
      <c r="AI165" s="25">
        <f>IF(AI163=0,0,IF(AI164&lt;INDEX('Lease Cycles'!$BN$17:$BT$17,1,AI163),1,0))</f>
        <v>1</v>
      </c>
      <c r="AJ165" s="25">
        <f>IF(AJ163=0,0,IF(AJ164&lt;INDEX('Lease Cycles'!$BN$17:$BT$17,1,AJ163),1,0))</f>
        <v>1</v>
      </c>
      <c r="AK165" s="25">
        <f>IF(AK163=0,0,IF(AK164&lt;INDEX('Lease Cycles'!$BN$17:$BT$17,1,AK163),1,0))</f>
        <v>1</v>
      </c>
      <c r="AL165" s="25">
        <f>IF(AL163=0,0,IF(AL164&lt;INDEX('Lease Cycles'!$BN$17:$BT$17,1,AL163),1,0))</f>
        <v>1</v>
      </c>
      <c r="AM165" s="25">
        <f>IF(AM163=0,0,IF(AM164&lt;INDEX('Lease Cycles'!$BN$17:$BT$17,1,AM163),1,0))</f>
        <v>1</v>
      </c>
      <c r="AN165" s="25">
        <f>IF(AN163=0,0,IF(AN164&lt;INDEX('Lease Cycles'!$BN$17:$BT$17,1,AN163),1,0))</f>
        <v>1</v>
      </c>
      <c r="AO165" s="25">
        <f>IF(AO163=0,0,IF(AO164&lt;INDEX('Lease Cycles'!$BN$17:$BT$17,1,AO163),1,0))</f>
        <v>1</v>
      </c>
      <c r="AP165" s="25">
        <f>IF(AP163=0,0,IF(AP164&lt;INDEX('Lease Cycles'!$BN$17:$BT$17,1,AP163),1,0))</f>
        <v>1</v>
      </c>
      <c r="AQ165" s="25">
        <f>IF(AQ163=0,0,IF(AQ164&lt;INDEX('Lease Cycles'!$BN$17:$BT$17,1,AQ163),1,0))</f>
        <v>1</v>
      </c>
      <c r="AR165" s="25">
        <f>IF(AR163=0,0,IF(AR164&lt;INDEX('Lease Cycles'!$BN$17:$BT$17,1,AR163),1,0))</f>
        <v>1</v>
      </c>
      <c r="AS165" s="25">
        <f>IF(AS163=0,0,IF(AS164&lt;INDEX('Lease Cycles'!$BN$17:$BT$17,1,AS163),1,0))</f>
        <v>1</v>
      </c>
      <c r="AT165" s="25">
        <f>IF(AT163=0,0,IF(AT164&lt;INDEX('Lease Cycles'!$BN$17:$BT$17,1,AT163),1,0))</f>
        <v>1</v>
      </c>
      <c r="AU165" s="25">
        <f>IF(AU163=0,0,IF(AU164&lt;INDEX('Lease Cycles'!$BN$17:$BT$17,1,AU163),1,0))</f>
        <v>1</v>
      </c>
      <c r="AV165" s="25">
        <f>IF(AV163=0,0,IF(AV164&lt;INDEX('Lease Cycles'!$BN$17:$BT$17,1,AV163),1,0))</f>
        <v>1</v>
      </c>
      <c r="AW165" s="25">
        <f>IF(AW163=0,0,IF(AW164&lt;INDEX('Lease Cycles'!$BN$17:$BT$17,1,AW163),1,0))</f>
        <v>1</v>
      </c>
      <c r="AX165" s="25">
        <f>IF(AX163=0,0,IF(AX164&lt;INDEX('Lease Cycles'!$BN$17:$BT$17,1,AX163),1,0))</f>
        <v>1</v>
      </c>
      <c r="AY165" s="25">
        <f>IF(AY163=0,0,IF(AY164&lt;INDEX('Lease Cycles'!$BN$17:$BT$17,1,AY163),1,0))</f>
        <v>1</v>
      </c>
      <c r="AZ165" s="25">
        <f>IF(AZ163=0,0,IF(AZ164&lt;INDEX('Lease Cycles'!$BN$17:$BT$17,1,AZ163),1,0))</f>
        <v>1</v>
      </c>
      <c r="BA165" s="25">
        <f>IF(BA163=0,0,IF(BA164&lt;INDEX('Lease Cycles'!$BN$17:$BT$17,1,BA163),1,0))</f>
        <v>1</v>
      </c>
      <c r="BB165" s="25">
        <f>IF(BB163=0,0,IF(BB164&lt;INDEX('Lease Cycles'!$BN$17:$BT$17,1,BB163),1,0))</f>
        <v>1</v>
      </c>
      <c r="BC165" s="25">
        <f>IF(BC163=0,0,IF(BC164&lt;INDEX('Lease Cycles'!$BN$17:$BT$17,1,BC163),1,0))</f>
        <v>1</v>
      </c>
      <c r="BD165" s="25">
        <f>IF(BD163=0,0,IF(BD164&lt;INDEX('Lease Cycles'!$BN$17:$BT$17,1,BD163),1,0))</f>
        <v>1</v>
      </c>
      <c r="BE165" s="25">
        <f>IF(BE163=0,0,IF(BE164&lt;INDEX('Lease Cycles'!$BN$17:$BT$17,1,BE163),1,0))</f>
        <v>1</v>
      </c>
      <c r="BF165" s="25">
        <f>IF(BF163=0,0,IF(BF164&lt;INDEX('Lease Cycles'!$BN$17:$BT$17,1,BF163),1,0))</f>
        <v>1</v>
      </c>
      <c r="BG165" s="25">
        <f>IF(BG163=0,0,IF(BG164&lt;INDEX('Lease Cycles'!$BN$17:$BT$17,1,BG163),1,0))</f>
        <v>1</v>
      </c>
      <c r="BH165" s="25">
        <f>IF(BH163=0,0,IF(BH164&lt;INDEX('Lease Cycles'!$BN$17:$BT$17,1,BH163),1,0))</f>
        <v>1</v>
      </c>
      <c r="BI165" s="25">
        <f>IF(BI163=0,0,IF(BI164&lt;INDEX('Lease Cycles'!$BN$17:$BT$17,1,BI163),1,0))</f>
        <v>1</v>
      </c>
      <c r="BJ165" s="25">
        <f>IF(BJ163=0,0,IF(BJ164&lt;INDEX('Lease Cycles'!$BN$17:$BT$17,1,BJ163),1,0))</f>
        <v>1</v>
      </c>
      <c r="BK165" s="25">
        <f>IF(BK163=0,0,IF(BK164&lt;INDEX('Lease Cycles'!$BN$17:$BT$17,1,BK163),1,0))</f>
        <v>1</v>
      </c>
      <c r="BL165" s="25">
        <f>IF(BL163=0,0,IF(BL164&lt;INDEX('Lease Cycles'!$BN$17:$BT$17,1,BL163),1,0))</f>
        <v>1</v>
      </c>
      <c r="BM165" s="25">
        <f>IF(BM163=0,0,IF(BM164&lt;INDEX('Lease Cycles'!$BN$17:$BT$17,1,BM163),1,0))</f>
        <v>1</v>
      </c>
      <c r="BN165" s="25">
        <f>IF(BN163=0,0,IF(BN164&lt;INDEX('Lease Cycles'!$BN$17:$BT$17,1,BN163),1,0))</f>
        <v>1</v>
      </c>
      <c r="BO165" s="25">
        <f>IF(BO163=0,0,IF(BO164&lt;INDEX('Lease Cycles'!$BN$17:$BT$17,1,BO163),1,0))</f>
        <v>1</v>
      </c>
      <c r="BP165" s="25">
        <f>IF(BP163=0,0,IF(BP164&lt;INDEX('Lease Cycles'!$BN$17:$BT$17,1,BP163),1,0))</f>
        <v>1</v>
      </c>
      <c r="BQ165" s="25">
        <f>IF(BQ163=0,0,IF(BQ164&lt;INDEX('Lease Cycles'!$BN$17:$BT$17,1,BQ163),1,0))</f>
        <v>1</v>
      </c>
      <c r="BR165" s="25">
        <f>IF(BR163=0,0,IF(BR164&lt;INDEX('Lease Cycles'!$BN$17:$BT$17,1,BR163),1,0))</f>
        <v>1</v>
      </c>
      <c r="BS165" s="25">
        <f>IF(BS163=0,0,IF(BS164&lt;INDEX('Lease Cycles'!$BN$17:$BT$17,1,BS163),1,0))</f>
        <v>1</v>
      </c>
      <c r="BT165" s="25">
        <f>IF(BT163=0,0,IF(BT164&lt;INDEX('Lease Cycles'!$BN$17:$BT$17,1,BT163),1,0))</f>
        <v>1</v>
      </c>
      <c r="BU165" s="25">
        <f>IF(BU163=0,0,IF(BU164&lt;INDEX('Lease Cycles'!$BN$17:$BT$17,1,BU163),1,0))</f>
        <v>1</v>
      </c>
      <c r="BV165" s="25">
        <f>IF(BV163=0,0,IF(BV164&lt;INDEX('Lease Cycles'!$BN$17:$BT$17,1,BV163),1,0))</f>
        <v>1</v>
      </c>
      <c r="BW165" s="25">
        <f>IF(BW163=0,0,IF(BW164&lt;INDEX('Lease Cycles'!$BN$17:$BT$17,1,BW163),1,0))</f>
        <v>1</v>
      </c>
      <c r="BX165" s="25">
        <f>IF(BX163=0,0,IF(BX164&lt;INDEX('Lease Cycles'!$BN$17:$BT$17,1,BX163),1,0))</f>
        <v>1</v>
      </c>
      <c r="BY165" s="25">
        <f>IF(BY163=0,0,IF(BY164&lt;INDEX('Lease Cycles'!$BN$17:$BT$17,1,BY163),1,0))</f>
        <v>1</v>
      </c>
      <c r="BZ165" s="25">
        <f>IF(BZ163=0,0,IF(BZ164&lt;INDEX('Lease Cycles'!$BN$17:$BT$17,1,BZ163),1,0))</f>
        <v>1</v>
      </c>
      <c r="CA165" s="25">
        <f>IF(CA163=0,0,IF(CA164&lt;INDEX('Lease Cycles'!$BN$17:$BT$17,1,CA163),1,0))</f>
        <v>1</v>
      </c>
      <c r="CB165" s="25">
        <f>IF(CB163=0,0,IF(CB164&lt;INDEX('Lease Cycles'!$BN$17:$BT$17,1,CB163),1,0))</f>
        <v>1</v>
      </c>
      <c r="CC165" s="25">
        <f>IF(CC163=0,0,IF(CC164&lt;INDEX('Lease Cycles'!$BN$17:$BT$17,1,CC163),1,0))</f>
        <v>1</v>
      </c>
      <c r="CD165" s="25">
        <f>IF(CD163=0,0,IF(CD164&lt;INDEX('Lease Cycles'!$BN$17:$BT$17,1,CD163),1,0))</f>
        <v>1</v>
      </c>
      <c r="CE165" s="25">
        <f>IF(CE163=0,0,IF(CE164&lt;INDEX('Lease Cycles'!$BN$17:$BT$17,1,CE163),1,0))</f>
        <v>1</v>
      </c>
      <c r="CF165" s="25">
        <f>IF(CF163=0,0,IF(CF164&lt;INDEX('Lease Cycles'!$BN$17:$BT$17,1,CF163),1,0))</f>
        <v>1</v>
      </c>
      <c r="CG165" s="25">
        <f>IF(CG163=0,0,IF(CG164&lt;INDEX('Lease Cycles'!$BN$17:$BT$17,1,CG163),1,0))</f>
        <v>1</v>
      </c>
      <c r="CH165" s="25">
        <f>IF(CH163=0,0,IF(CH164&lt;INDEX('Lease Cycles'!$BN$17:$BT$17,1,CH163),1,0))</f>
        <v>1</v>
      </c>
      <c r="CI165" s="25">
        <f>IF(CI163=0,0,IF(CI164&lt;INDEX('Lease Cycles'!$BN$17:$BT$17,1,CI163),1,0))</f>
        <v>1</v>
      </c>
      <c r="CJ165" s="25">
        <f>IF(CJ163=0,0,IF(CJ164&lt;INDEX('Lease Cycles'!$BN$17:$BT$17,1,CJ163),1,0))</f>
        <v>1</v>
      </c>
      <c r="CK165" s="25">
        <f>IF(CK163=0,0,IF(CK164&lt;INDEX('Lease Cycles'!$BN$17:$BT$17,1,CK163),1,0))</f>
        <v>1</v>
      </c>
      <c r="CL165" s="25">
        <f>IF(CL163=0,0,IF(CL164&lt;INDEX('Lease Cycles'!$BN$17:$BT$17,1,CL163),1,0))</f>
        <v>1</v>
      </c>
      <c r="CM165" s="25">
        <f>IF(CM163=0,0,IF(CM164&lt;INDEX('Lease Cycles'!$BN$17:$BT$17,1,CM163),1,0))</f>
        <v>1</v>
      </c>
      <c r="CN165" s="25">
        <f>IF(CN163=0,0,IF(CN164&lt;INDEX('Lease Cycles'!$BN$17:$BT$17,1,CN163),1,0))</f>
        <v>1</v>
      </c>
      <c r="CO165" s="25">
        <f>IF(CO163=0,0,IF(CO164&lt;INDEX('Lease Cycles'!$BN$17:$BT$17,1,CO163),1,0))</f>
        <v>1</v>
      </c>
      <c r="CP165" s="25">
        <f>IF(CP163=0,0,IF(CP164&lt;INDEX('Lease Cycles'!$BN$17:$BT$17,1,CP163),1,0))</f>
        <v>1</v>
      </c>
      <c r="CQ165" s="25">
        <f>IF(CQ163=0,0,IF(CQ164&lt;INDEX('Lease Cycles'!$BN$17:$BT$17,1,CQ163),1,0))</f>
        <v>1</v>
      </c>
      <c r="CR165" s="25">
        <f>IF(CR163=0,0,IF(CR164&lt;INDEX('Lease Cycles'!$BN$17:$BT$17,1,CR163),1,0))</f>
        <v>1</v>
      </c>
      <c r="CS165" s="25">
        <f>IF(CS163=0,0,IF(CS164&lt;INDEX('Lease Cycles'!$BN$17:$BT$17,1,CS163),1,0))</f>
        <v>1</v>
      </c>
      <c r="CT165" s="25">
        <f>IF(CT163=0,0,IF(CT164&lt;INDEX('Lease Cycles'!$BN$17:$BT$17,1,CT163),1,0))</f>
        <v>1</v>
      </c>
      <c r="CU165" s="25">
        <f>IF(CU163=0,0,IF(CU164&lt;INDEX('Lease Cycles'!$BN$17:$BT$17,1,CU163),1,0))</f>
        <v>1</v>
      </c>
      <c r="CV165" s="25">
        <f>IF(CV163=0,0,IF(CV164&lt;INDEX('Lease Cycles'!$BN$17:$BT$17,1,CV163),1,0))</f>
        <v>1</v>
      </c>
      <c r="CW165" s="25">
        <f>IF(CW163=0,0,IF(CW164&lt;INDEX('Lease Cycles'!$BN$17:$BT$17,1,CW163),1,0))</f>
        <v>1</v>
      </c>
      <c r="CX165" s="25">
        <f>IF(CX163=0,0,IF(CX164&lt;INDEX('Lease Cycles'!$BN$17:$BT$17,1,CX163),1,0))</f>
        <v>1</v>
      </c>
      <c r="CY165" s="25">
        <f>IF(CY163=0,0,IF(CY164&lt;INDEX('Lease Cycles'!$BN$17:$BT$17,1,CY163),1,0))</f>
        <v>1</v>
      </c>
      <c r="CZ165" s="25">
        <f>IF(CZ163=0,0,IF(CZ164&lt;INDEX('Lease Cycles'!$BN$17:$BT$17,1,CZ163),1,0))</f>
        <v>1</v>
      </c>
      <c r="DA165" s="25">
        <f>IF(DA163=0,0,IF(DA164&lt;INDEX('Lease Cycles'!$BN$17:$BT$17,1,DA163),1,0))</f>
        <v>1</v>
      </c>
      <c r="DB165" s="25">
        <f>IF(DB163=0,0,IF(DB164&lt;INDEX('Lease Cycles'!$BN$17:$BT$17,1,DB163),1,0))</f>
        <v>1</v>
      </c>
      <c r="DC165" s="25">
        <f>IF(DC163=0,0,IF(DC164&lt;INDEX('Lease Cycles'!$BN$17:$BT$17,1,DC163),1,0))</f>
        <v>1</v>
      </c>
      <c r="DD165" s="25">
        <f>IF(DD163=0,0,IF(DD164&lt;INDEX('Lease Cycles'!$BN$17:$BT$17,1,DD163),1,0))</f>
        <v>1</v>
      </c>
      <c r="DE165" s="25">
        <f>IF(DE163=0,0,IF(DE164&lt;INDEX('Lease Cycles'!$BN$17:$BT$17,1,DE163),1,0))</f>
        <v>1</v>
      </c>
      <c r="DF165" s="25">
        <f>IF(DF163=0,0,IF(DF164&lt;INDEX('Lease Cycles'!$BN$17:$BT$17,1,DF163),1,0))</f>
        <v>1</v>
      </c>
      <c r="DG165" s="25">
        <f>IF(DG163=0,0,IF(DG164&lt;INDEX('Lease Cycles'!$BN$17:$BT$17,1,DG163),1,0))</f>
        <v>1</v>
      </c>
      <c r="DH165" s="25">
        <f>IF(DH163=0,0,IF(DH164&lt;INDEX('Lease Cycles'!$BN$17:$BT$17,1,DH163),1,0))</f>
        <v>0</v>
      </c>
      <c r="DI165" s="25">
        <f>IF(DI163=0,0,IF(DI164&lt;INDEX('Lease Cycles'!$BN$17:$BT$17,1,DI163),1,0))</f>
        <v>1</v>
      </c>
      <c r="DJ165" s="25">
        <f>IF(DJ163=0,0,IF(DJ164&lt;INDEX('Lease Cycles'!$BN$17:$BT$17,1,DJ163),1,0))</f>
        <v>1</v>
      </c>
      <c r="DK165" s="25">
        <f>IF(DK163=0,0,IF(DK164&lt;INDEX('Lease Cycles'!$BN$17:$BT$17,1,DK163),1,0))</f>
        <v>1</v>
      </c>
      <c r="DL165" s="25">
        <f>IF(DL163=0,0,IF(DL164&lt;INDEX('Lease Cycles'!$BN$17:$BT$17,1,DL163),1,0))</f>
        <v>1</v>
      </c>
      <c r="DM165" s="25">
        <f>IF(DM163=0,0,IF(DM164&lt;INDEX('Lease Cycles'!$BN$17:$BT$17,1,DM163),1,0))</f>
        <v>1</v>
      </c>
      <c r="DN165" s="25">
        <f>IF(DN163=0,0,IF(DN164&lt;INDEX('Lease Cycles'!$BN$17:$BT$17,1,DN163),1,0))</f>
        <v>1</v>
      </c>
      <c r="DO165" s="25">
        <f>IF(DO163=0,0,IF(DO164&lt;INDEX('Lease Cycles'!$BN$17:$BT$17,1,DO163),1,0))</f>
        <v>1</v>
      </c>
      <c r="DP165" s="25">
        <f>IF(DP163=0,0,IF(DP164&lt;INDEX('Lease Cycles'!$BN$17:$BT$17,1,DP163),1,0))</f>
        <v>1</v>
      </c>
      <c r="DQ165" s="25">
        <f>IF(DQ163=0,0,IF(DQ164&lt;INDEX('Lease Cycles'!$BN$17:$BT$17,1,DQ163),1,0))</f>
        <v>1</v>
      </c>
      <c r="DR165" s="25">
        <f>IF(DR163=0,0,IF(DR164&lt;INDEX('Lease Cycles'!$BN$17:$BT$17,1,DR163),1,0))</f>
        <v>1</v>
      </c>
      <c r="DS165" s="25">
        <f>IF(DS163=0,0,IF(DS164&lt;INDEX('Lease Cycles'!$BN$17:$BT$17,1,DS163),1,0))</f>
        <v>1</v>
      </c>
      <c r="DT165" s="25">
        <f>IF(DT163=0,0,IF(DT164&lt;INDEX('Lease Cycles'!$BN$17:$BT$17,1,DT163),1,0))</f>
        <v>1</v>
      </c>
      <c r="DU165" s="25">
        <f>IF(DU163=0,0,IF(DU164&lt;INDEX('Lease Cycles'!$BN$17:$BT$17,1,DU163),1,0))</f>
        <v>1</v>
      </c>
      <c r="DV165" s="25">
        <f>IF(DV163=0,0,IF(DV164&lt;INDEX('Lease Cycles'!$BN$17:$BT$17,1,DV163),1,0))</f>
        <v>1</v>
      </c>
      <c r="DW165" s="25">
        <f>IF(DW163=0,0,IF(DW164&lt;INDEX('Lease Cycles'!$BN$17:$BT$17,1,DW163),1,0))</f>
        <v>1</v>
      </c>
      <c r="DX165" s="25">
        <f>IF(DX163=0,0,IF(DX164&lt;INDEX('Lease Cycles'!$BN$17:$BT$17,1,DX163),1,0))</f>
        <v>1</v>
      </c>
      <c r="DY165" s="25">
        <f>IF(DY163=0,0,IF(DY164&lt;INDEX('Lease Cycles'!$BN$17:$BT$17,1,DY163),1,0))</f>
        <v>1</v>
      </c>
      <c r="DZ165" s="25">
        <f>IF(DZ163=0,0,IF(DZ164&lt;INDEX('Lease Cycles'!$BN$17:$BT$17,1,DZ163),1,0))</f>
        <v>1</v>
      </c>
      <c r="EA165" s="25">
        <f>IF(EA163=0,0,IF(EA164&lt;INDEX('Lease Cycles'!$BN$17:$BT$17,1,EA163),1,0))</f>
        <v>1</v>
      </c>
      <c r="EB165" s="25">
        <f>IF(EB163=0,0,IF(EB164&lt;INDEX('Lease Cycles'!$BN$17:$BT$17,1,EB163),1,0))</f>
        <v>1</v>
      </c>
      <c r="EC165" s="25">
        <f>IF(EC163=0,0,IF(EC164&lt;INDEX('Lease Cycles'!$BN$17:$BT$17,1,EC163),1,0))</f>
        <v>1</v>
      </c>
      <c r="ED165" s="25">
        <f>IF(ED163=0,0,IF(ED164&lt;INDEX('Lease Cycles'!$BN$17:$BT$17,1,ED163),1,0))</f>
        <v>1</v>
      </c>
      <c r="EE165" s="25">
        <f>IF(EE163=0,0,IF(EE164&lt;INDEX('Lease Cycles'!$BN$17:$BT$17,1,EE163),1,0))</f>
        <v>1</v>
      </c>
      <c r="EF165" s="25">
        <f>IF(EF163=0,0,IF(EF164&lt;INDEX('Lease Cycles'!$BN$17:$BT$17,1,EF163),1,0))</f>
        <v>1</v>
      </c>
      <c r="EG165" s="25">
        <f>IF(EG163=0,0,IF(EG164&lt;INDEX('Lease Cycles'!$BN$17:$BT$17,1,EG163),1,0))</f>
        <v>1</v>
      </c>
      <c r="EH165" s="25">
        <f>IF(EH163=0,0,IF(EH164&lt;INDEX('Lease Cycles'!$BN$17:$BT$17,1,EH163),1,0))</f>
        <v>1</v>
      </c>
      <c r="EI165" s="25">
        <f>IF(EI163=0,0,IF(EI164&lt;INDEX('Lease Cycles'!$BN$17:$BT$17,1,EI163),1,0))</f>
        <v>1</v>
      </c>
      <c r="EJ165" s="25">
        <f>IF(EJ163=0,0,IF(EJ164&lt;INDEX('Lease Cycles'!$BN$17:$BT$17,1,EJ163),1,0))</f>
        <v>1</v>
      </c>
      <c r="EK165" s="25">
        <f>IF(EK163=0,0,IF(EK164&lt;INDEX('Lease Cycles'!$BN$17:$BT$17,1,EK163),1,0))</f>
        <v>1</v>
      </c>
      <c r="EL165" s="25">
        <f>IF(EL163=0,0,IF(EL164&lt;INDEX('Lease Cycles'!$BN$17:$BT$17,1,EL163),1,0))</f>
        <v>1</v>
      </c>
      <c r="EM165" s="25">
        <f>IF(EM163=0,0,IF(EM164&lt;INDEX('Lease Cycles'!$BN$17:$BT$17,1,EM163),1,0))</f>
        <v>1</v>
      </c>
      <c r="EN165" s="25">
        <f>IF(EN163=0,0,IF(EN164&lt;INDEX('Lease Cycles'!$BN$17:$BT$17,1,EN163),1,0))</f>
        <v>1</v>
      </c>
      <c r="EO165" s="25">
        <f>IF(EO163=0,0,IF(EO164&lt;INDEX('Lease Cycles'!$BN$17:$BT$17,1,EO163),1,0))</f>
        <v>1</v>
      </c>
      <c r="EP165" s="25">
        <f>IF(EP163=0,0,IF(EP164&lt;INDEX('Lease Cycles'!$BN$17:$BT$17,1,EP163),1,0))</f>
        <v>1</v>
      </c>
      <c r="EQ165" s="25">
        <f>IF(EQ163=0,0,IF(EQ164&lt;INDEX('Lease Cycles'!$BN$17:$BT$17,1,EQ163),1,0))</f>
        <v>1</v>
      </c>
      <c r="ER165" s="25">
        <f>IF(ER163=0,0,IF(ER164&lt;INDEX('Lease Cycles'!$BN$17:$BT$17,1,ER163),1,0))</f>
        <v>1</v>
      </c>
      <c r="ES165" s="25">
        <f>IF(ES163=0,0,IF(ES164&lt;INDEX('Lease Cycles'!$BN$17:$BT$17,1,ES163),1,0))</f>
        <v>1</v>
      </c>
      <c r="ET165" s="25">
        <f>IF(ET163=0,0,IF(ET164&lt;INDEX('Lease Cycles'!$BN$17:$BT$17,1,ET163),1,0))</f>
        <v>1</v>
      </c>
    </row>
    <row r="166">
      <c r="A166" s="103">
        <v>10</v>
      </c>
      <c r="B166" s="23" t="str">
        <f>IF('Lease Cycles'!$B$17="","(empty slot)",'Lease Cycles'!$B$17)</f>
        <v>Available B-9</v>
      </c>
      <c r="C166" s="23" t="s">
        <v>677</v>
      </c>
      <c r="D166" s="104" t="s">
        <v>678</v>
      </c>
      <c r="E166" s="25">
        <f>'Lease Cycles'!$AL$17</f>
        <v>0</v>
      </c>
      <c r="S166" s="28">
        <f>IF(S163=0,IF('Lease Cycles'!$F$17&gt;0,'Lease Cycles'!$C$17*'Lease Cycles'!$E$17/12,0),IF(S165=1,IF('Lease Cycles'!$AT$17&gt;=9999,'Lease Cycles'!$C$17*INDEX('Lease Cycles'!$CB$17:$CH$17,1,S163)*(1+INDEX('Lease Cycles'!$CI$17:$CO$17,1,S163))^INT(INT(S164/12)/INDEX('Lease Cycles'!$CP$17:$CV$17,1,S163))/12,IF(S163=1,IF(S164&gt;=INDEX('Lease Cycles'!$DK$17:$DQ$17,1,S163),IF(S$6&gt;='Lease Cycles'!$AZ$17,'Lease Cycles'!$C$17*'Lease Cycles'!$BA$17/12,IF(S$6&gt;='Lease Cycles'!$AX$17,'Lease Cycles'!$C$17*'Lease Cycles'!$AY$17/12,IF(S$6&gt;='Lease Cycles'!$AV$17,'Lease Cycles'!$C$17*'Lease Cycles'!$AW$17/12,IF(S$6&gt;='Lease Cycles'!$AT$17,'Lease Cycles'!$C$17*'Lease Cycles'!$AU$17/12,'Lease Cycles'!$C$17*INDEX('Lease Cycles'!$CB$17:$CH$17,1,S163)*(1+INDEX('Lease Cycles'!$CI$17:$CO$17,1,S163))^INT(INT(S164/12)/INDEX('Lease Cycles'!$CP$17:$CV$17,1,S163))/12)))),'Lease Cycles'!$C$17*INDEX('Lease Cycles'!$CB$17:$CH$17,1,S163)*(1+INDEX('Lease Cycles'!$CI$17:$CO$17,1,S163))^INT(INT(S164/12)/INDEX('Lease Cycles'!$CP$17:$CV$17,1,S163))/12),IF(INDEX('Lease Cycles'!$EF$17:$EL$17,1,S163)=1,IF(AND('Lease Cycles'!$AZ$17&gt;=INDEX('Lease Cycles'!$BG$17:$BM$17,1,S163),'Lease Cycles'!$AZ$17&lt;=S$6),'Lease Cycles'!$C$17*'Lease Cycles'!$BA$17/12,IF(AND('Lease Cycles'!$AX$17&gt;=INDEX('Lease Cycles'!$BG$17:$BM$17,1,S163),'Lease Cycles'!$AX$17&lt;=S$6),'Lease Cycles'!$C$17*'Lease Cycles'!$AY$17/12,IF(AND('Lease Cycles'!$AV$17&gt;=INDEX('Lease Cycles'!$BG$17:$BM$17,1,S163),'Lease Cycles'!$AV$17&lt;=S$6),'Lease Cycles'!$C$17*'Lease Cycles'!$AW$17/12,IF(AND('Lease Cycles'!$AT$17&gt;=INDEX('Lease Cycles'!$BG$17:$BM$17,1,S163),'Lease Cycles'!$AT$17&lt;=S$6),'Lease Cycles'!$C$17*'Lease Cycles'!$AU$17/12,'Lease Cycles'!$C$17*INDEX('Lease Cycles'!$CB$17:$CH$17,1,S163)*(1+INDEX('Lease Cycles'!$CI$17:$CO$17,1,S163))^INT(INT(S164/12)/INDEX('Lease Cycles'!$CP$17:$CV$17,1,S163))/12)))),'Lease Cycles'!$C$17*INDEX('Lease Cycles'!$CB$17:$CH$17,1,S163)*(1+INDEX('Lease Cycles'!$CI$17:$CO$17,1,S163))^INT(INT(S164/12)/INDEX('Lease Cycles'!$CP$17:$CV$17,1,S163))/12))),IF('Lease Cycles'!$N$17=1,'Lease Cycles'!$C$17*'Lease Cycles'!$E$17*INDEX('Lease Cycles'!$HE$17:$HK$17,1,S163)*(1+INDEX('Lease Cycles'!$GQ$17:$GW$17,1,S163))^INT(INT((S$6-INDEX('Lease Cycles'!$GJ$17:$GP$17,1,S163))/12)/INDEX('Lease Cycles'!$GX$17:$HD$17,1,S163))/12,0)))</f>
        <v>2521.3333333333335</v>
      </c>
      <c r="T166" s="28">
        <f>IF(T163=0,IF('Lease Cycles'!$F$17&gt;0,'Lease Cycles'!$C$17*'Lease Cycles'!$E$17/12,0),IF(T165=1,IF('Lease Cycles'!$AT$17&gt;=9999,'Lease Cycles'!$C$17*INDEX('Lease Cycles'!$CB$17:$CH$17,1,T163)*(1+INDEX('Lease Cycles'!$CI$17:$CO$17,1,T163))^INT(INT(T164/12)/INDEX('Lease Cycles'!$CP$17:$CV$17,1,T163))/12,IF(T163=1,IF(T164&gt;=INDEX('Lease Cycles'!$DK$17:$DQ$17,1,T163),IF(T$6&gt;='Lease Cycles'!$AZ$17,'Lease Cycles'!$C$17*'Lease Cycles'!$BA$17/12,IF(T$6&gt;='Lease Cycles'!$AX$17,'Lease Cycles'!$C$17*'Lease Cycles'!$AY$17/12,IF(T$6&gt;='Lease Cycles'!$AV$17,'Lease Cycles'!$C$17*'Lease Cycles'!$AW$17/12,IF(T$6&gt;='Lease Cycles'!$AT$17,'Lease Cycles'!$C$17*'Lease Cycles'!$AU$17/12,'Lease Cycles'!$C$17*INDEX('Lease Cycles'!$CB$17:$CH$17,1,T163)*(1+INDEX('Lease Cycles'!$CI$17:$CO$17,1,T163))^INT(INT(T164/12)/INDEX('Lease Cycles'!$CP$17:$CV$17,1,T163))/12)))),'Lease Cycles'!$C$17*INDEX('Lease Cycles'!$CB$17:$CH$17,1,T163)*(1+INDEX('Lease Cycles'!$CI$17:$CO$17,1,T163))^INT(INT(T164/12)/INDEX('Lease Cycles'!$CP$17:$CV$17,1,T163))/12),IF(INDEX('Lease Cycles'!$EF$17:$EL$17,1,T163)=1,IF(AND('Lease Cycles'!$AZ$17&gt;=INDEX('Lease Cycles'!$BG$17:$BM$17,1,T163),'Lease Cycles'!$AZ$17&lt;=T$6),'Lease Cycles'!$C$17*'Lease Cycles'!$BA$17/12,IF(AND('Lease Cycles'!$AX$17&gt;=INDEX('Lease Cycles'!$BG$17:$BM$17,1,T163),'Lease Cycles'!$AX$17&lt;=T$6),'Lease Cycles'!$C$17*'Lease Cycles'!$AY$17/12,IF(AND('Lease Cycles'!$AV$17&gt;=INDEX('Lease Cycles'!$BG$17:$BM$17,1,T163),'Lease Cycles'!$AV$17&lt;=T$6),'Lease Cycles'!$C$17*'Lease Cycles'!$AW$17/12,IF(AND('Lease Cycles'!$AT$17&gt;=INDEX('Lease Cycles'!$BG$17:$BM$17,1,T163),'Lease Cycles'!$AT$17&lt;=T$6),'Lease Cycles'!$C$17*'Lease Cycles'!$AU$17/12,'Lease Cycles'!$C$17*INDEX('Lease Cycles'!$CB$17:$CH$17,1,T163)*(1+INDEX('Lease Cycles'!$CI$17:$CO$17,1,T163))^INT(INT(T164/12)/INDEX('Lease Cycles'!$CP$17:$CV$17,1,T163))/12)))),'Lease Cycles'!$C$17*INDEX('Lease Cycles'!$CB$17:$CH$17,1,T163)*(1+INDEX('Lease Cycles'!$CI$17:$CO$17,1,T163))^INT(INT(T164/12)/INDEX('Lease Cycles'!$CP$17:$CV$17,1,T163))/12))),IF('Lease Cycles'!$N$17=1,'Lease Cycles'!$C$17*'Lease Cycles'!$E$17*INDEX('Lease Cycles'!$HE$17:$HK$17,1,T163)*(1+INDEX('Lease Cycles'!$GQ$17:$GW$17,1,T163))^INT(INT((T$6-INDEX('Lease Cycles'!$GJ$17:$GP$17,1,T163))/12)/INDEX('Lease Cycles'!$GX$17:$HD$17,1,T163))/12,0)))</f>
        <v>2521.3333333333335</v>
      </c>
      <c r="U166" s="28">
        <f>IF(U163=0,IF('Lease Cycles'!$F$17&gt;0,'Lease Cycles'!$C$17*'Lease Cycles'!$E$17/12,0),IF(U165=1,IF('Lease Cycles'!$AT$17&gt;=9999,'Lease Cycles'!$C$17*INDEX('Lease Cycles'!$CB$17:$CH$17,1,U163)*(1+INDEX('Lease Cycles'!$CI$17:$CO$17,1,U163))^INT(INT(U164/12)/INDEX('Lease Cycles'!$CP$17:$CV$17,1,U163))/12,IF(U163=1,IF(U164&gt;=INDEX('Lease Cycles'!$DK$17:$DQ$17,1,U163),IF(U$6&gt;='Lease Cycles'!$AZ$17,'Lease Cycles'!$C$17*'Lease Cycles'!$BA$17/12,IF(U$6&gt;='Lease Cycles'!$AX$17,'Lease Cycles'!$C$17*'Lease Cycles'!$AY$17/12,IF(U$6&gt;='Lease Cycles'!$AV$17,'Lease Cycles'!$C$17*'Lease Cycles'!$AW$17/12,IF(U$6&gt;='Lease Cycles'!$AT$17,'Lease Cycles'!$C$17*'Lease Cycles'!$AU$17/12,'Lease Cycles'!$C$17*INDEX('Lease Cycles'!$CB$17:$CH$17,1,U163)*(1+INDEX('Lease Cycles'!$CI$17:$CO$17,1,U163))^INT(INT(U164/12)/INDEX('Lease Cycles'!$CP$17:$CV$17,1,U163))/12)))),'Lease Cycles'!$C$17*INDEX('Lease Cycles'!$CB$17:$CH$17,1,U163)*(1+INDEX('Lease Cycles'!$CI$17:$CO$17,1,U163))^INT(INT(U164/12)/INDEX('Lease Cycles'!$CP$17:$CV$17,1,U163))/12),IF(INDEX('Lease Cycles'!$EF$17:$EL$17,1,U163)=1,IF(AND('Lease Cycles'!$AZ$17&gt;=INDEX('Lease Cycles'!$BG$17:$BM$17,1,U163),'Lease Cycles'!$AZ$17&lt;=U$6),'Lease Cycles'!$C$17*'Lease Cycles'!$BA$17/12,IF(AND('Lease Cycles'!$AX$17&gt;=INDEX('Lease Cycles'!$BG$17:$BM$17,1,U163),'Lease Cycles'!$AX$17&lt;=U$6),'Lease Cycles'!$C$17*'Lease Cycles'!$AY$17/12,IF(AND('Lease Cycles'!$AV$17&gt;=INDEX('Lease Cycles'!$BG$17:$BM$17,1,U163),'Lease Cycles'!$AV$17&lt;=U$6),'Lease Cycles'!$C$17*'Lease Cycles'!$AW$17/12,IF(AND('Lease Cycles'!$AT$17&gt;=INDEX('Lease Cycles'!$BG$17:$BM$17,1,U163),'Lease Cycles'!$AT$17&lt;=U$6),'Lease Cycles'!$C$17*'Lease Cycles'!$AU$17/12,'Lease Cycles'!$C$17*INDEX('Lease Cycles'!$CB$17:$CH$17,1,U163)*(1+INDEX('Lease Cycles'!$CI$17:$CO$17,1,U163))^INT(INT(U164/12)/INDEX('Lease Cycles'!$CP$17:$CV$17,1,U163))/12)))),'Lease Cycles'!$C$17*INDEX('Lease Cycles'!$CB$17:$CH$17,1,U163)*(1+INDEX('Lease Cycles'!$CI$17:$CO$17,1,U163))^INT(INT(U164/12)/INDEX('Lease Cycles'!$CP$17:$CV$17,1,U163))/12))),IF('Lease Cycles'!$N$17=1,'Lease Cycles'!$C$17*'Lease Cycles'!$E$17*INDEX('Lease Cycles'!$HE$17:$HK$17,1,U163)*(1+INDEX('Lease Cycles'!$GQ$17:$GW$17,1,U163))^INT(INT((U$6-INDEX('Lease Cycles'!$GJ$17:$GP$17,1,U163))/12)/INDEX('Lease Cycles'!$GX$17:$HD$17,1,U163))/12,0)))</f>
        <v>2521.3333333333335</v>
      </c>
      <c r="V166" s="28">
        <f>IF(V163=0,IF('Lease Cycles'!$F$17&gt;0,'Lease Cycles'!$C$17*'Lease Cycles'!$E$17/12,0),IF(V165=1,IF('Lease Cycles'!$AT$17&gt;=9999,'Lease Cycles'!$C$17*INDEX('Lease Cycles'!$CB$17:$CH$17,1,V163)*(1+INDEX('Lease Cycles'!$CI$17:$CO$17,1,V163))^INT(INT(V164/12)/INDEX('Lease Cycles'!$CP$17:$CV$17,1,V163))/12,IF(V163=1,IF(V164&gt;=INDEX('Lease Cycles'!$DK$17:$DQ$17,1,V163),IF(V$6&gt;='Lease Cycles'!$AZ$17,'Lease Cycles'!$C$17*'Lease Cycles'!$BA$17/12,IF(V$6&gt;='Lease Cycles'!$AX$17,'Lease Cycles'!$C$17*'Lease Cycles'!$AY$17/12,IF(V$6&gt;='Lease Cycles'!$AV$17,'Lease Cycles'!$C$17*'Lease Cycles'!$AW$17/12,IF(V$6&gt;='Lease Cycles'!$AT$17,'Lease Cycles'!$C$17*'Lease Cycles'!$AU$17/12,'Lease Cycles'!$C$17*INDEX('Lease Cycles'!$CB$17:$CH$17,1,V163)*(1+INDEX('Lease Cycles'!$CI$17:$CO$17,1,V163))^INT(INT(V164/12)/INDEX('Lease Cycles'!$CP$17:$CV$17,1,V163))/12)))),'Lease Cycles'!$C$17*INDEX('Lease Cycles'!$CB$17:$CH$17,1,V163)*(1+INDEX('Lease Cycles'!$CI$17:$CO$17,1,V163))^INT(INT(V164/12)/INDEX('Lease Cycles'!$CP$17:$CV$17,1,V163))/12),IF(INDEX('Lease Cycles'!$EF$17:$EL$17,1,V163)=1,IF(AND('Lease Cycles'!$AZ$17&gt;=INDEX('Lease Cycles'!$BG$17:$BM$17,1,V163),'Lease Cycles'!$AZ$17&lt;=V$6),'Lease Cycles'!$C$17*'Lease Cycles'!$BA$17/12,IF(AND('Lease Cycles'!$AX$17&gt;=INDEX('Lease Cycles'!$BG$17:$BM$17,1,V163),'Lease Cycles'!$AX$17&lt;=V$6),'Lease Cycles'!$C$17*'Lease Cycles'!$AY$17/12,IF(AND('Lease Cycles'!$AV$17&gt;=INDEX('Lease Cycles'!$BG$17:$BM$17,1,V163),'Lease Cycles'!$AV$17&lt;=V$6),'Lease Cycles'!$C$17*'Lease Cycles'!$AW$17/12,IF(AND('Lease Cycles'!$AT$17&gt;=INDEX('Lease Cycles'!$BG$17:$BM$17,1,V163),'Lease Cycles'!$AT$17&lt;=V$6),'Lease Cycles'!$C$17*'Lease Cycles'!$AU$17/12,'Lease Cycles'!$C$17*INDEX('Lease Cycles'!$CB$17:$CH$17,1,V163)*(1+INDEX('Lease Cycles'!$CI$17:$CO$17,1,V163))^INT(INT(V164/12)/INDEX('Lease Cycles'!$CP$17:$CV$17,1,V163))/12)))),'Lease Cycles'!$C$17*INDEX('Lease Cycles'!$CB$17:$CH$17,1,V163)*(1+INDEX('Lease Cycles'!$CI$17:$CO$17,1,V163))^INT(INT(V164/12)/INDEX('Lease Cycles'!$CP$17:$CV$17,1,V163))/12))),IF('Lease Cycles'!$N$17=1,'Lease Cycles'!$C$17*'Lease Cycles'!$E$17*INDEX('Lease Cycles'!$HE$17:$HK$17,1,V163)*(1+INDEX('Lease Cycles'!$GQ$17:$GW$17,1,V163))^INT(INT((V$6-INDEX('Lease Cycles'!$GJ$17:$GP$17,1,V163))/12)/INDEX('Lease Cycles'!$GX$17:$HD$17,1,V163))/12,0)))</f>
        <v>2521.3333333333335</v>
      </c>
      <c r="W166" s="28">
        <f>IF(W163=0,IF('Lease Cycles'!$F$17&gt;0,'Lease Cycles'!$C$17*'Lease Cycles'!$E$17/12,0),IF(W165=1,IF('Lease Cycles'!$AT$17&gt;=9999,'Lease Cycles'!$C$17*INDEX('Lease Cycles'!$CB$17:$CH$17,1,W163)*(1+INDEX('Lease Cycles'!$CI$17:$CO$17,1,W163))^INT(INT(W164/12)/INDEX('Lease Cycles'!$CP$17:$CV$17,1,W163))/12,IF(W163=1,IF(W164&gt;=INDEX('Lease Cycles'!$DK$17:$DQ$17,1,W163),IF(W$6&gt;='Lease Cycles'!$AZ$17,'Lease Cycles'!$C$17*'Lease Cycles'!$BA$17/12,IF(W$6&gt;='Lease Cycles'!$AX$17,'Lease Cycles'!$C$17*'Lease Cycles'!$AY$17/12,IF(W$6&gt;='Lease Cycles'!$AV$17,'Lease Cycles'!$C$17*'Lease Cycles'!$AW$17/12,IF(W$6&gt;='Lease Cycles'!$AT$17,'Lease Cycles'!$C$17*'Lease Cycles'!$AU$17/12,'Lease Cycles'!$C$17*INDEX('Lease Cycles'!$CB$17:$CH$17,1,W163)*(1+INDEX('Lease Cycles'!$CI$17:$CO$17,1,W163))^INT(INT(W164/12)/INDEX('Lease Cycles'!$CP$17:$CV$17,1,W163))/12)))),'Lease Cycles'!$C$17*INDEX('Lease Cycles'!$CB$17:$CH$17,1,W163)*(1+INDEX('Lease Cycles'!$CI$17:$CO$17,1,W163))^INT(INT(W164/12)/INDEX('Lease Cycles'!$CP$17:$CV$17,1,W163))/12),IF(INDEX('Lease Cycles'!$EF$17:$EL$17,1,W163)=1,IF(AND('Lease Cycles'!$AZ$17&gt;=INDEX('Lease Cycles'!$BG$17:$BM$17,1,W163),'Lease Cycles'!$AZ$17&lt;=W$6),'Lease Cycles'!$C$17*'Lease Cycles'!$BA$17/12,IF(AND('Lease Cycles'!$AX$17&gt;=INDEX('Lease Cycles'!$BG$17:$BM$17,1,W163),'Lease Cycles'!$AX$17&lt;=W$6),'Lease Cycles'!$C$17*'Lease Cycles'!$AY$17/12,IF(AND('Lease Cycles'!$AV$17&gt;=INDEX('Lease Cycles'!$BG$17:$BM$17,1,W163),'Lease Cycles'!$AV$17&lt;=W$6),'Lease Cycles'!$C$17*'Lease Cycles'!$AW$17/12,IF(AND('Lease Cycles'!$AT$17&gt;=INDEX('Lease Cycles'!$BG$17:$BM$17,1,W163),'Lease Cycles'!$AT$17&lt;=W$6),'Lease Cycles'!$C$17*'Lease Cycles'!$AU$17/12,'Lease Cycles'!$C$17*INDEX('Lease Cycles'!$CB$17:$CH$17,1,W163)*(1+INDEX('Lease Cycles'!$CI$17:$CO$17,1,W163))^INT(INT(W164/12)/INDEX('Lease Cycles'!$CP$17:$CV$17,1,W163))/12)))),'Lease Cycles'!$C$17*INDEX('Lease Cycles'!$CB$17:$CH$17,1,W163)*(1+INDEX('Lease Cycles'!$CI$17:$CO$17,1,W163))^INT(INT(W164/12)/INDEX('Lease Cycles'!$CP$17:$CV$17,1,W163))/12))),IF('Lease Cycles'!$N$17=1,'Lease Cycles'!$C$17*'Lease Cycles'!$E$17*INDEX('Lease Cycles'!$HE$17:$HK$17,1,W163)*(1+INDEX('Lease Cycles'!$GQ$17:$GW$17,1,W163))^INT(INT((W$6-INDEX('Lease Cycles'!$GJ$17:$GP$17,1,W163))/12)/INDEX('Lease Cycles'!$GX$17:$HD$17,1,W163))/12,0)))</f>
        <v>2521.3333333333335</v>
      </c>
      <c r="X166" s="28">
        <f>IF(X163=0,IF('Lease Cycles'!$F$17&gt;0,'Lease Cycles'!$C$17*'Lease Cycles'!$E$17/12,0),IF(X165=1,IF('Lease Cycles'!$AT$17&gt;=9999,'Lease Cycles'!$C$17*INDEX('Lease Cycles'!$CB$17:$CH$17,1,X163)*(1+INDEX('Lease Cycles'!$CI$17:$CO$17,1,X163))^INT(INT(X164/12)/INDEX('Lease Cycles'!$CP$17:$CV$17,1,X163))/12,IF(X163=1,IF(X164&gt;=INDEX('Lease Cycles'!$DK$17:$DQ$17,1,X163),IF(X$6&gt;='Lease Cycles'!$AZ$17,'Lease Cycles'!$C$17*'Lease Cycles'!$BA$17/12,IF(X$6&gt;='Lease Cycles'!$AX$17,'Lease Cycles'!$C$17*'Lease Cycles'!$AY$17/12,IF(X$6&gt;='Lease Cycles'!$AV$17,'Lease Cycles'!$C$17*'Lease Cycles'!$AW$17/12,IF(X$6&gt;='Lease Cycles'!$AT$17,'Lease Cycles'!$C$17*'Lease Cycles'!$AU$17/12,'Lease Cycles'!$C$17*INDEX('Lease Cycles'!$CB$17:$CH$17,1,X163)*(1+INDEX('Lease Cycles'!$CI$17:$CO$17,1,X163))^INT(INT(X164/12)/INDEX('Lease Cycles'!$CP$17:$CV$17,1,X163))/12)))),'Lease Cycles'!$C$17*INDEX('Lease Cycles'!$CB$17:$CH$17,1,X163)*(1+INDEX('Lease Cycles'!$CI$17:$CO$17,1,X163))^INT(INT(X164/12)/INDEX('Lease Cycles'!$CP$17:$CV$17,1,X163))/12),IF(INDEX('Lease Cycles'!$EF$17:$EL$17,1,X163)=1,IF(AND('Lease Cycles'!$AZ$17&gt;=INDEX('Lease Cycles'!$BG$17:$BM$17,1,X163),'Lease Cycles'!$AZ$17&lt;=X$6),'Lease Cycles'!$C$17*'Lease Cycles'!$BA$17/12,IF(AND('Lease Cycles'!$AX$17&gt;=INDEX('Lease Cycles'!$BG$17:$BM$17,1,X163),'Lease Cycles'!$AX$17&lt;=X$6),'Lease Cycles'!$C$17*'Lease Cycles'!$AY$17/12,IF(AND('Lease Cycles'!$AV$17&gt;=INDEX('Lease Cycles'!$BG$17:$BM$17,1,X163),'Lease Cycles'!$AV$17&lt;=X$6),'Lease Cycles'!$C$17*'Lease Cycles'!$AW$17/12,IF(AND('Lease Cycles'!$AT$17&gt;=INDEX('Lease Cycles'!$BG$17:$BM$17,1,X163),'Lease Cycles'!$AT$17&lt;=X$6),'Lease Cycles'!$C$17*'Lease Cycles'!$AU$17/12,'Lease Cycles'!$C$17*INDEX('Lease Cycles'!$CB$17:$CH$17,1,X163)*(1+INDEX('Lease Cycles'!$CI$17:$CO$17,1,X163))^INT(INT(X164/12)/INDEX('Lease Cycles'!$CP$17:$CV$17,1,X163))/12)))),'Lease Cycles'!$C$17*INDEX('Lease Cycles'!$CB$17:$CH$17,1,X163)*(1+INDEX('Lease Cycles'!$CI$17:$CO$17,1,X163))^INT(INT(X164/12)/INDEX('Lease Cycles'!$CP$17:$CV$17,1,X163))/12))),IF('Lease Cycles'!$N$17=1,'Lease Cycles'!$C$17*'Lease Cycles'!$E$17*INDEX('Lease Cycles'!$HE$17:$HK$17,1,X163)*(1+INDEX('Lease Cycles'!$GQ$17:$GW$17,1,X163))^INT(INT((X$6-INDEX('Lease Cycles'!$GJ$17:$GP$17,1,X163))/12)/INDEX('Lease Cycles'!$GX$17:$HD$17,1,X163))/12,0)))</f>
        <v>2521.3333333333335</v>
      </c>
      <c r="Y166" s="28">
        <f>IF(Y163=0,IF('Lease Cycles'!$F$17&gt;0,'Lease Cycles'!$C$17*'Lease Cycles'!$E$17/12,0),IF(Y165=1,IF('Lease Cycles'!$AT$17&gt;=9999,'Lease Cycles'!$C$17*INDEX('Lease Cycles'!$CB$17:$CH$17,1,Y163)*(1+INDEX('Lease Cycles'!$CI$17:$CO$17,1,Y163))^INT(INT(Y164/12)/INDEX('Lease Cycles'!$CP$17:$CV$17,1,Y163))/12,IF(Y163=1,IF(Y164&gt;=INDEX('Lease Cycles'!$DK$17:$DQ$17,1,Y163),IF(Y$6&gt;='Lease Cycles'!$AZ$17,'Lease Cycles'!$C$17*'Lease Cycles'!$BA$17/12,IF(Y$6&gt;='Lease Cycles'!$AX$17,'Lease Cycles'!$C$17*'Lease Cycles'!$AY$17/12,IF(Y$6&gt;='Lease Cycles'!$AV$17,'Lease Cycles'!$C$17*'Lease Cycles'!$AW$17/12,IF(Y$6&gt;='Lease Cycles'!$AT$17,'Lease Cycles'!$C$17*'Lease Cycles'!$AU$17/12,'Lease Cycles'!$C$17*INDEX('Lease Cycles'!$CB$17:$CH$17,1,Y163)*(1+INDEX('Lease Cycles'!$CI$17:$CO$17,1,Y163))^INT(INT(Y164/12)/INDEX('Lease Cycles'!$CP$17:$CV$17,1,Y163))/12)))),'Lease Cycles'!$C$17*INDEX('Lease Cycles'!$CB$17:$CH$17,1,Y163)*(1+INDEX('Lease Cycles'!$CI$17:$CO$17,1,Y163))^INT(INT(Y164/12)/INDEX('Lease Cycles'!$CP$17:$CV$17,1,Y163))/12),IF(INDEX('Lease Cycles'!$EF$17:$EL$17,1,Y163)=1,IF(AND('Lease Cycles'!$AZ$17&gt;=INDEX('Lease Cycles'!$BG$17:$BM$17,1,Y163),'Lease Cycles'!$AZ$17&lt;=Y$6),'Lease Cycles'!$C$17*'Lease Cycles'!$BA$17/12,IF(AND('Lease Cycles'!$AX$17&gt;=INDEX('Lease Cycles'!$BG$17:$BM$17,1,Y163),'Lease Cycles'!$AX$17&lt;=Y$6),'Lease Cycles'!$C$17*'Lease Cycles'!$AY$17/12,IF(AND('Lease Cycles'!$AV$17&gt;=INDEX('Lease Cycles'!$BG$17:$BM$17,1,Y163),'Lease Cycles'!$AV$17&lt;=Y$6),'Lease Cycles'!$C$17*'Lease Cycles'!$AW$17/12,IF(AND('Lease Cycles'!$AT$17&gt;=INDEX('Lease Cycles'!$BG$17:$BM$17,1,Y163),'Lease Cycles'!$AT$17&lt;=Y$6),'Lease Cycles'!$C$17*'Lease Cycles'!$AU$17/12,'Lease Cycles'!$C$17*INDEX('Lease Cycles'!$CB$17:$CH$17,1,Y163)*(1+INDEX('Lease Cycles'!$CI$17:$CO$17,1,Y163))^INT(INT(Y164/12)/INDEX('Lease Cycles'!$CP$17:$CV$17,1,Y163))/12)))),'Lease Cycles'!$C$17*INDEX('Lease Cycles'!$CB$17:$CH$17,1,Y163)*(1+INDEX('Lease Cycles'!$CI$17:$CO$17,1,Y163))^INT(INT(Y164/12)/INDEX('Lease Cycles'!$CP$17:$CV$17,1,Y163))/12))),IF('Lease Cycles'!$N$17=1,'Lease Cycles'!$C$17*'Lease Cycles'!$E$17*INDEX('Lease Cycles'!$HE$17:$HK$17,1,Y163)*(1+INDEX('Lease Cycles'!$GQ$17:$GW$17,1,Y163))^INT(INT((Y$6-INDEX('Lease Cycles'!$GJ$17:$GP$17,1,Y163))/12)/INDEX('Lease Cycles'!$GX$17:$HD$17,1,Y163))/12,0)))</f>
        <v>2521.3333333333335</v>
      </c>
      <c r="Z166" s="28">
        <f>IF(Z163=0,IF('Lease Cycles'!$F$17&gt;0,'Lease Cycles'!$C$17*'Lease Cycles'!$E$17/12,0),IF(Z165=1,IF('Lease Cycles'!$AT$17&gt;=9999,'Lease Cycles'!$C$17*INDEX('Lease Cycles'!$CB$17:$CH$17,1,Z163)*(1+INDEX('Lease Cycles'!$CI$17:$CO$17,1,Z163))^INT(INT(Z164/12)/INDEX('Lease Cycles'!$CP$17:$CV$17,1,Z163))/12,IF(Z163=1,IF(Z164&gt;=INDEX('Lease Cycles'!$DK$17:$DQ$17,1,Z163),IF(Z$6&gt;='Lease Cycles'!$AZ$17,'Lease Cycles'!$C$17*'Lease Cycles'!$BA$17/12,IF(Z$6&gt;='Lease Cycles'!$AX$17,'Lease Cycles'!$C$17*'Lease Cycles'!$AY$17/12,IF(Z$6&gt;='Lease Cycles'!$AV$17,'Lease Cycles'!$C$17*'Lease Cycles'!$AW$17/12,IF(Z$6&gt;='Lease Cycles'!$AT$17,'Lease Cycles'!$C$17*'Lease Cycles'!$AU$17/12,'Lease Cycles'!$C$17*INDEX('Lease Cycles'!$CB$17:$CH$17,1,Z163)*(1+INDEX('Lease Cycles'!$CI$17:$CO$17,1,Z163))^INT(INT(Z164/12)/INDEX('Lease Cycles'!$CP$17:$CV$17,1,Z163))/12)))),'Lease Cycles'!$C$17*INDEX('Lease Cycles'!$CB$17:$CH$17,1,Z163)*(1+INDEX('Lease Cycles'!$CI$17:$CO$17,1,Z163))^INT(INT(Z164/12)/INDEX('Lease Cycles'!$CP$17:$CV$17,1,Z163))/12),IF(INDEX('Lease Cycles'!$EF$17:$EL$17,1,Z163)=1,IF(AND('Lease Cycles'!$AZ$17&gt;=INDEX('Lease Cycles'!$BG$17:$BM$17,1,Z163),'Lease Cycles'!$AZ$17&lt;=Z$6),'Lease Cycles'!$C$17*'Lease Cycles'!$BA$17/12,IF(AND('Lease Cycles'!$AX$17&gt;=INDEX('Lease Cycles'!$BG$17:$BM$17,1,Z163),'Lease Cycles'!$AX$17&lt;=Z$6),'Lease Cycles'!$C$17*'Lease Cycles'!$AY$17/12,IF(AND('Lease Cycles'!$AV$17&gt;=INDEX('Lease Cycles'!$BG$17:$BM$17,1,Z163),'Lease Cycles'!$AV$17&lt;=Z$6),'Lease Cycles'!$C$17*'Lease Cycles'!$AW$17/12,IF(AND('Lease Cycles'!$AT$17&gt;=INDEX('Lease Cycles'!$BG$17:$BM$17,1,Z163),'Lease Cycles'!$AT$17&lt;=Z$6),'Lease Cycles'!$C$17*'Lease Cycles'!$AU$17/12,'Lease Cycles'!$C$17*INDEX('Lease Cycles'!$CB$17:$CH$17,1,Z163)*(1+INDEX('Lease Cycles'!$CI$17:$CO$17,1,Z163))^INT(INT(Z164/12)/INDEX('Lease Cycles'!$CP$17:$CV$17,1,Z163))/12)))),'Lease Cycles'!$C$17*INDEX('Lease Cycles'!$CB$17:$CH$17,1,Z163)*(1+INDEX('Lease Cycles'!$CI$17:$CO$17,1,Z163))^INT(INT(Z164/12)/INDEX('Lease Cycles'!$CP$17:$CV$17,1,Z163))/12))),IF('Lease Cycles'!$N$17=1,'Lease Cycles'!$C$17*'Lease Cycles'!$E$17*INDEX('Lease Cycles'!$HE$17:$HK$17,1,Z163)*(1+INDEX('Lease Cycles'!$GQ$17:$GW$17,1,Z163))^INT(INT((Z$6-INDEX('Lease Cycles'!$GJ$17:$GP$17,1,Z163))/12)/INDEX('Lease Cycles'!$GX$17:$HD$17,1,Z163))/12,0)))</f>
        <v>2521.3333333333335</v>
      </c>
      <c r="AA166" s="28">
        <f>IF(AA163=0,IF('Lease Cycles'!$F$17&gt;0,'Lease Cycles'!$C$17*'Lease Cycles'!$E$17/12,0),IF(AA165=1,IF('Lease Cycles'!$AT$17&gt;=9999,'Lease Cycles'!$C$17*INDEX('Lease Cycles'!$CB$17:$CH$17,1,AA163)*(1+INDEX('Lease Cycles'!$CI$17:$CO$17,1,AA163))^INT(INT(AA164/12)/INDEX('Lease Cycles'!$CP$17:$CV$17,1,AA163))/12,IF(AA163=1,IF(AA164&gt;=INDEX('Lease Cycles'!$DK$17:$DQ$17,1,AA163),IF(AA$6&gt;='Lease Cycles'!$AZ$17,'Lease Cycles'!$C$17*'Lease Cycles'!$BA$17/12,IF(AA$6&gt;='Lease Cycles'!$AX$17,'Lease Cycles'!$C$17*'Lease Cycles'!$AY$17/12,IF(AA$6&gt;='Lease Cycles'!$AV$17,'Lease Cycles'!$C$17*'Lease Cycles'!$AW$17/12,IF(AA$6&gt;='Lease Cycles'!$AT$17,'Lease Cycles'!$C$17*'Lease Cycles'!$AU$17/12,'Lease Cycles'!$C$17*INDEX('Lease Cycles'!$CB$17:$CH$17,1,AA163)*(1+INDEX('Lease Cycles'!$CI$17:$CO$17,1,AA163))^INT(INT(AA164/12)/INDEX('Lease Cycles'!$CP$17:$CV$17,1,AA163))/12)))),'Lease Cycles'!$C$17*INDEX('Lease Cycles'!$CB$17:$CH$17,1,AA163)*(1+INDEX('Lease Cycles'!$CI$17:$CO$17,1,AA163))^INT(INT(AA164/12)/INDEX('Lease Cycles'!$CP$17:$CV$17,1,AA163))/12),IF(INDEX('Lease Cycles'!$EF$17:$EL$17,1,AA163)=1,IF(AND('Lease Cycles'!$AZ$17&gt;=INDEX('Lease Cycles'!$BG$17:$BM$17,1,AA163),'Lease Cycles'!$AZ$17&lt;=AA$6),'Lease Cycles'!$C$17*'Lease Cycles'!$BA$17/12,IF(AND('Lease Cycles'!$AX$17&gt;=INDEX('Lease Cycles'!$BG$17:$BM$17,1,AA163),'Lease Cycles'!$AX$17&lt;=AA$6),'Lease Cycles'!$C$17*'Lease Cycles'!$AY$17/12,IF(AND('Lease Cycles'!$AV$17&gt;=INDEX('Lease Cycles'!$BG$17:$BM$17,1,AA163),'Lease Cycles'!$AV$17&lt;=AA$6),'Lease Cycles'!$C$17*'Lease Cycles'!$AW$17/12,IF(AND('Lease Cycles'!$AT$17&gt;=INDEX('Lease Cycles'!$BG$17:$BM$17,1,AA163),'Lease Cycles'!$AT$17&lt;=AA$6),'Lease Cycles'!$C$17*'Lease Cycles'!$AU$17/12,'Lease Cycles'!$C$17*INDEX('Lease Cycles'!$CB$17:$CH$17,1,AA163)*(1+INDEX('Lease Cycles'!$CI$17:$CO$17,1,AA163))^INT(INT(AA164/12)/INDEX('Lease Cycles'!$CP$17:$CV$17,1,AA163))/12)))),'Lease Cycles'!$C$17*INDEX('Lease Cycles'!$CB$17:$CH$17,1,AA163)*(1+INDEX('Lease Cycles'!$CI$17:$CO$17,1,AA163))^INT(INT(AA164/12)/INDEX('Lease Cycles'!$CP$17:$CV$17,1,AA163))/12))),IF('Lease Cycles'!$N$17=1,'Lease Cycles'!$C$17*'Lease Cycles'!$E$17*INDEX('Lease Cycles'!$HE$17:$HK$17,1,AA163)*(1+INDEX('Lease Cycles'!$GQ$17:$GW$17,1,AA163))^INT(INT((AA$6-INDEX('Lease Cycles'!$GJ$17:$GP$17,1,AA163))/12)/INDEX('Lease Cycles'!$GX$17:$HD$17,1,AA163))/12,0)))</f>
        <v>2521.3333333333335</v>
      </c>
      <c r="AB166" s="28">
        <f>IF(AB163=0,IF('Lease Cycles'!$F$17&gt;0,'Lease Cycles'!$C$17*'Lease Cycles'!$E$17/12,0),IF(AB165=1,IF('Lease Cycles'!$AT$17&gt;=9999,'Lease Cycles'!$C$17*INDEX('Lease Cycles'!$CB$17:$CH$17,1,AB163)*(1+INDEX('Lease Cycles'!$CI$17:$CO$17,1,AB163))^INT(INT(AB164/12)/INDEX('Lease Cycles'!$CP$17:$CV$17,1,AB163))/12,IF(AB163=1,IF(AB164&gt;=INDEX('Lease Cycles'!$DK$17:$DQ$17,1,AB163),IF(AB$6&gt;='Lease Cycles'!$AZ$17,'Lease Cycles'!$C$17*'Lease Cycles'!$BA$17/12,IF(AB$6&gt;='Lease Cycles'!$AX$17,'Lease Cycles'!$C$17*'Lease Cycles'!$AY$17/12,IF(AB$6&gt;='Lease Cycles'!$AV$17,'Lease Cycles'!$C$17*'Lease Cycles'!$AW$17/12,IF(AB$6&gt;='Lease Cycles'!$AT$17,'Lease Cycles'!$C$17*'Lease Cycles'!$AU$17/12,'Lease Cycles'!$C$17*INDEX('Lease Cycles'!$CB$17:$CH$17,1,AB163)*(1+INDEX('Lease Cycles'!$CI$17:$CO$17,1,AB163))^INT(INT(AB164/12)/INDEX('Lease Cycles'!$CP$17:$CV$17,1,AB163))/12)))),'Lease Cycles'!$C$17*INDEX('Lease Cycles'!$CB$17:$CH$17,1,AB163)*(1+INDEX('Lease Cycles'!$CI$17:$CO$17,1,AB163))^INT(INT(AB164/12)/INDEX('Lease Cycles'!$CP$17:$CV$17,1,AB163))/12),IF(INDEX('Lease Cycles'!$EF$17:$EL$17,1,AB163)=1,IF(AND('Lease Cycles'!$AZ$17&gt;=INDEX('Lease Cycles'!$BG$17:$BM$17,1,AB163),'Lease Cycles'!$AZ$17&lt;=AB$6),'Lease Cycles'!$C$17*'Lease Cycles'!$BA$17/12,IF(AND('Lease Cycles'!$AX$17&gt;=INDEX('Lease Cycles'!$BG$17:$BM$17,1,AB163),'Lease Cycles'!$AX$17&lt;=AB$6),'Lease Cycles'!$C$17*'Lease Cycles'!$AY$17/12,IF(AND('Lease Cycles'!$AV$17&gt;=INDEX('Lease Cycles'!$BG$17:$BM$17,1,AB163),'Lease Cycles'!$AV$17&lt;=AB$6),'Lease Cycles'!$C$17*'Lease Cycles'!$AW$17/12,IF(AND('Lease Cycles'!$AT$17&gt;=INDEX('Lease Cycles'!$BG$17:$BM$17,1,AB163),'Lease Cycles'!$AT$17&lt;=AB$6),'Lease Cycles'!$C$17*'Lease Cycles'!$AU$17/12,'Lease Cycles'!$C$17*INDEX('Lease Cycles'!$CB$17:$CH$17,1,AB163)*(1+INDEX('Lease Cycles'!$CI$17:$CO$17,1,AB163))^INT(INT(AB164/12)/INDEX('Lease Cycles'!$CP$17:$CV$17,1,AB163))/12)))),'Lease Cycles'!$C$17*INDEX('Lease Cycles'!$CB$17:$CH$17,1,AB163)*(1+INDEX('Lease Cycles'!$CI$17:$CO$17,1,AB163))^INT(INT(AB164/12)/INDEX('Lease Cycles'!$CP$17:$CV$17,1,AB163))/12))),IF('Lease Cycles'!$N$17=1,'Lease Cycles'!$C$17*'Lease Cycles'!$E$17*INDEX('Lease Cycles'!$HE$17:$HK$17,1,AB163)*(1+INDEX('Lease Cycles'!$GQ$17:$GW$17,1,AB163))^INT(INT((AB$6-INDEX('Lease Cycles'!$GJ$17:$GP$17,1,AB163))/12)/INDEX('Lease Cycles'!$GX$17:$HD$17,1,AB163))/12,0)))</f>
        <v>2521.3333333333335</v>
      </c>
      <c r="AC166" s="28">
        <f>IF(AC163=0,IF('Lease Cycles'!$F$17&gt;0,'Lease Cycles'!$C$17*'Lease Cycles'!$E$17/12,0),IF(AC165=1,IF('Lease Cycles'!$AT$17&gt;=9999,'Lease Cycles'!$C$17*INDEX('Lease Cycles'!$CB$17:$CH$17,1,AC163)*(1+INDEX('Lease Cycles'!$CI$17:$CO$17,1,AC163))^INT(INT(AC164/12)/INDEX('Lease Cycles'!$CP$17:$CV$17,1,AC163))/12,IF(AC163=1,IF(AC164&gt;=INDEX('Lease Cycles'!$DK$17:$DQ$17,1,AC163),IF(AC$6&gt;='Lease Cycles'!$AZ$17,'Lease Cycles'!$C$17*'Lease Cycles'!$BA$17/12,IF(AC$6&gt;='Lease Cycles'!$AX$17,'Lease Cycles'!$C$17*'Lease Cycles'!$AY$17/12,IF(AC$6&gt;='Lease Cycles'!$AV$17,'Lease Cycles'!$C$17*'Lease Cycles'!$AW$17/12,IF(AC$6&gt;='Lease Cycles'!$AT$17,'Lease Cycles'!$C$17*'Lease Cycles'!$AU$17/12,'Lease Cycles'!$C$17*INDEX('Lease Cycles'!$CB$17:$CH$17,1,AC163)*(1+INDEX('Lease Cycles'!$CI$17:$CO$17,1,AC163))^INT(INT(AC164/12)/INDEX('Lease Cycles'!$CP$17:$CV$17,1,AC163))/12)))),'Lease Cycles'!$C$17*INDEX('Lease Cycles'!$CB$17:$CH$17,1,AC163)*(1+INDEX('Lease Cycles'!$CI$17:$CO$17,1,AC163))^INT(INT(AC164/12)/INDEX('Lease Cycles'!$CP$17:$CV$17,1,AC163))/12),IF(INDEX('Lease Cycles'!$EF$17:$EL$17,1,AC163)=1,IF(AND('Lease Cycles'!$AZ$17&gt;=INDEX('Lease Cycles'!$BG$17:$BM$17,1,AC163),'Lease Cycles'!$AZ$17&lt;=AC$6),'Lease Cycles'!$C$17*'Lease Cycles'!$BA$17/12,IF(AND('Lease Cycles'!$AX$17&gt;=INDEX('Lease Cycles'!$BG$17:$BM$17,1,AC163),'Lease Cycles'!$AX$17&lt;=AC$6),'Lease Cycles'!$C$17*'Lease Cycles'!$AY$17/12,IF(AND('Lease Cycles'!$AV$17&gt;=INDEX('Lease Cycles'!$BG$17:$BM$17,1,AC163),'Lease Cycles'!$AV$17&lt;=AC$6),'Lease Cycles'!$C$17*'Lease Cycles'!$AW$17/12,IF(AND('Lease Cycles'!$AT$17&gt;=INDEX('Lease Cycles'!$BG$17:$BM$17,1,AC163),'Lease Cycles'!$AT$17&lt;=AC$6),'Lease Cycles'!$C$17*'Lease Cycles'!$AU$17/12,'Lease Cycles'!$C$17*INDEX('Lease Cycles'!$CB$17:$CH$17,1,AC163)*(1+INDEX('Lease Cycles'!$CI$17:$CO$17,1,AC163))^INT(INT(AC164/12)/INDEX('Lease Cycles'!$CP$17:$CV$17,1,AC163))/12)))),'Lease Cycles'!$C$17*INDEX('Lease Cycles'!$CB$17:$CH$17,1,AC163)*(1+INDEX('Lease Cycles'!$CI$17:$CO$17,1,AC163))^INT(INT(AC164/12)/INDEX('Lease Cycles'!$CP$17:$CV$17,1,AC163))/12))),IF('Lease Cycles'!$N$17=1,'Lease Cycles'!$C$17*'Lease Cycles'!$E$17*INDEX('Lease Cycles'!$HE$17:$HK$17,1,AC163)*(1+INDEX('Lease Cycles'!$GQ$17:$GW$17,1,AC163))^INT(INT((AC$6-INDEX('Lease Cycles'!$GJ$17:$GP$17,1,AC163))/12)/INDEX('Lease Cycles'!$GX$17:$HD$17,1,AC163))/12,0)))</f>
        <v>2521.3333333333335</v>
      </c>
      <c r="AD166" s="28">
        <f>IF(AD163=0,IF('Lease Cycles'!$F$17&gt;0,'Lease Cycles'!$C$17*'Lease Cycles'!$E$17/12,0),IF(AD165=1,IF('Lease Cycles'!$AT$17&gt;=9999,'Lease Cycles'!$C$17*INDEX('Lease Cycles'!$CB$17:$CH$17,1,AD163)*(1+INDEX('Lease Cycles'!$CI$17:$CO$17,1,AD163))^INT(INT(AD164/12)/INDEX('Lease Cycles'!$CP$17:$CV$17,1,AD163))/12,IF(AD163=1,IF(AD164&gt;=INDEX('Lease Cycles'!$DK$17:$DQ$17,1,AD163),IF(AD$6&gt;='Lease Cycles'!$AZ$17,'Lease Cycles'!$C$17*'Lease Cycles'!$BA$17/12,IF(AD$6&gt;='Lease Cycles'!$AX$17,'Lease Cycles'!$C$17*'Lease Cycles'!$AY$17/12,IF(AD$6&gt;='Lease Cycles'!$AV$17,'Lease Cycles'!$C$17*'Lease Cycles'!$AW$17/12,IF(AD$6&gt;='Lease Cycles'!$AT$17,'Lease Cycles'!$C$17*'Lease Cycles'!$AU$17/12,'Lease Cycles'!$C$17*INDEX('Lease Cycles'!$CB$17:$CH$17,1,AD163)*(1+INDEX('Lease Cycles'!$CI$17:$CO$17,1,AD163))^INT(INT(AD164/12)/INDEX('Lease Cycles'!$CP$17:$CV$17,1,AD163))/12)))),'Lease Cycles'!$C$17*INDEX('Lease Cycles'!$CB$17:$CH$17,1,AD163)*(1+INDEX('Lease Cycles'!$CI$17:$CO$17,1,AD163))^INT(INT(AD164/12)/INDEX('Lease Cycles'!$CP$17:$CV$17,1,AD163))/12),IF(INDEX('Lease Cycles'!$EF$17:$EL$17,1,AD163)=1,IF(AND('Lease Cycles'!$AZ$17&gt;=INDEX('Lease Cycles'!$BG$17:$BM$17,1,AD163),'Lease Cycles'!$AZ$17&lt;=AD$6),'Lease Cycles'!$C$17*'Lease Cycles'!$BA$17/12,IF(AND('Lease Cycles'!$AX$17&gt;=INDEX('Lease Cycles'!$BG$17:$BM$17,1,AD163),'Lease Cycles'!$AX$17&lt;=AD$6),'Lease Cycles'!$C$17*'Lease Cycles'!$AY$17/12,IF(AND('Lease Cycles'!$AV$17&gt;=INDEX('Lease Cycles'!$BG$17:$BM$17,1,AD163),'Lease Cycles'!$AV$17&lt;=AD$6),'Lease Cycles'!$C$17*'Lease Cycles'!$AW$17/12,IF(AND('Lease Cycles'!$AT$17&gt;=INDEX('Lease Cycles'!$BG$17:$BM$17,1,AD163),'Lease Cycles'!$AT$17&lt;=AD$6),'Lease Cycles'!$C$17*'Lease Cycles'!$AU$17/12,'Lease Cycles'!$C$17*INDEX('Lease Cycles'!$CB$17:$CH$17,1,AD163)*(1+INDEX('Lease Cycles'!$CI$17:$CO$17,1,AD163))^INT(INT(AD164/12)/INDEX('Lease Cycles'!$CP$17:$CV$17,1,AD163))/12)))),'Lease Cycles'!$C$17*INDEX('Lease Cycles'!$CB$17:$CH$17,1,AD163)*(1+INDEX('Lease Cycles'!$CI$17:$CO$17,1,AD163))^INT(INT(AD164/12)/INDEX('Lease Cycles'!$CP$17:$CV$17,1,AD163))/12))),IF('Lease Cycles'!$N$17=1,'Lease Cycles'!$C$17*'Lease Cycles'!$E$17*INDEX('Lease Cycles'!$HE$17:$HK$17,1,AD163)*(1+INDEX('Lease Cycles'!$GQ$17:$GW$17,1,AD163))^INT(INT((AD$6-INDEX('Lease Cycles'!$GJ$17:$GP$17,1,AD163))/12)/INDEX('Lease Cycles'!$GX$17:$HD$17,1,AD163))/12,0)))</f>
        <v>2521.3333333333335</v>
      </c>
      <c r="AE166" s="28">
        <f>IF(AE163=0,IF('Lease Cycles'!$F$17&gt;0,'Lease Cycles'!$C$17*'Lease Cycles'!$E$17/12,0),IF(AE165=1,IF('Lease Cycles'!$AT$17&gt;=9999,'Lease Cycles'!$C$17*INDEX('Lease Cycles'!$CB$17:$CH$17,1,AE163)*(1+INDEX('Lease Cycles'!$CI$17:$CO$17,1,AE163))^INT(INT(AE164/12)/INDEX('Lease Cycles'!$CP$17:$CV$17,1,AE163))/12,IF(AE163=1,IF(AE164&gt;=INDEX('Lease Cycles'!$DK$17:$DQ$17,1,AE163),IF(AE$6&gt;='Lease Cycles'!$AZ$17,'Lease Cycles'!$C$17*'Lease Cycles'!$BA$17/12,IF(AE$6&gt;='Lease Cycles'!$AX$17,'Lease Cycles'!$C$17*'Lease Cycles'!$AY$17/12,IF(AE$6&gt;='Lease Cycles'!$AV$17,'Lease Cycles'!$C$17*'Lease Cycles'!$AW$17/12,IF(AE$6&gt;='Lease Cycles'!$AT$17,'Lease Cycles'!$C$17*'Lease Cycles'!$AU$17/12,'Lease Cycles'!$C$17*INDEX('Lease Cycles'!$CB$17:$CH$17,1,AE163)*(1+INDEX('Lease Cycles'!$CI$17:$CO$17,1,AE163))^INT(INT(AE164/12)/INDEX('Lease Cycles'!$CP$17:$CV$17,1,AE163))/12)))),'Lease Cycles'!$C$17*INDEX('Lease Cycles'!$CB$17:$CH$17,1,AE163)*(1+INDEX('Lease Cycles'!$CI$17:$CO$17,1,AE163))^INT(INT(AE164/12)/INDEX('Lease Cycles'!$CP$17:$CV$17,1,AE163))/12),IF(INDEX('Lease Cycles'!$EF$17:$EL$17,1,AE163)=1,IF(AND('Lease Cycles'!$AZ$17&gt;=INDEX('Lease Cycles'!$BG$17:$BM$17,1,AE163),'Lease Cycles'!$AZ$17&lt;=AE$6),'Lease Cycles'!$C$17*'Lease Cycles'!$BA$17/12,IF(AND('Lease Cycles'!$AX$17&gt;=INDEX('Lease Cycles'!$BG$17:$BM$17,1,AE163),'Lease Cycles'!$AX$17&lt;=AE$6),'Lease Cycles'!$C$17*'Lease Cycles'!$AY$17/12,IF(AND('Lease Cycles'!$AV$17&gt;=INDEX('Lease Cycles'!$BG$17:$BM$17,1,AE163),'Lease Cycles'!$AV$17&lt;=AE$6),'Lease Cycles'!$C$17*'Lease Cycles'!$AW$17/12,IF(AND('Lease Cycles'!$AT$17&gt;=INDEX('Lease Cycles'!$BG$17:$BM$17,1,AE163),'Lease Cycles'!$AT$17&lt;=AE$6),'Lease Cycles'!$C$17*'Lease Cycles'!$AU$17/12,'Lease Cycles'!$C$17*INDEX('Lease Cycles'!$CB$17:$CH$17,1,AE163)*(1+INDEX('Lease Cycles'!$CI$17:$CO$17,1,AE163))^INT(INT(AE164/12)/INDEX('Lease Cycles'!$CP$17:$CV$17,1,AE163))/12)))),'Lease Cycles'!$C$17*INDEX('Lease Cycles'!$CB$17:$CH$17,1,AE163)*(1+INDEX('Lease Cycles'!$CI$17:$CO$17,1,AE163))^INT(INT(AE164/12)/INDEX('Lease Cycles'!$CP$17:$CV$17,1,AE163))/12))),IF('Lease Cycles'!$N$17=1,'Lease Cycles'!$C$17*'Lease Cycles'!$E$17*INDEX('Lease Cycles'!$HE$17:$HK$17,1,AE163)*(1+INDEX('Lease Cycles'!$GQ$17:$GW$17,1,AE163))^INT(INT((AE$6-INDEX('Lease Cycles'!$GJ$17:$GP$17,1,AE163))/12)/INDEX('Lease Cycles'!$GX$17:$HD$17,1,AE163))/12,0)))</f>
        <v>2521.3333333333335</v>
      </c>
      <c r="AF166" s="28">
        <f>IF(AF163=0,IF('Lease Cycles'!$F$17&gt;0,'Lease Cycles'!$C$17*'Lease Cycles'!$E$17/12,0),IF(AF165=1,IF('Lease Cycles'!$AT$17&gt;=9999,'Lease Cycles'!$C$17*INDEX('Lease Cycles'!$CB$17:$CH$17,1,AF163)*(1+INDEX('Lease Cycles'!$CI$17:$CO$17,1,AF163))^INT(INT(AF164/12)/INDEX('Lease Cycles'!$CP$17:$CV$17,1,AF163))/12,IF(AF163=1,IF(AF164&gt;=INDEX('Lease Cycles'!$DK$17:$DQ$17,1,AF163),IF(AF$6&gt;='Lease Cycles'!$AZ$17,'Lease Cycles'!$C$17*'Lease Cycles'!$BA$17/12,IF(AF$6&gt;='Lease Cycles'!$AX$17,'Lease Cycles'!$C$17*'Lease Cycles'!$AY$17/12,IF(AF$6&gt;='Lease Cycles'!$AV$17,'Lease Cycles'!$C$17*'Lease Cycles'!$AW$17/12,IF(AF$6&gt;='Lease Cycles'!$AT$17,'Lease Cycles'!$C$17*'Lease Cycles'!$AU$17/12,'Lease Cycles'!$C$17*INDEX('Lease Cycles'!$CB$17:$CH$17,1,AF163)*(1+INDEX('Lease Cycles'!$CI$17:$CO$17,1,AF163))^INT(INT(AF164/12)/INDEX('Lease Cycles'!$CP$17:$CV$17,1,AF163))/12)))),'Lease Cycles'!$C$17*INDEX('Lease Cycles'!$CB$17:$CH$17,1,AF163)*(1+INDEX('Lease Cycles'!$CI$17:$CO$17,1,AF163))^INT(INT(AF164/12)/INDEX('Lease Cycles'!$CP$17:$CV$17,1,AF163))/12),IF(INDEX('Lease Cycles'!$EF$17:$EL$17,1,AF163)=1,IF(AND('Lease Cycles'!$AZ$17&gt;=INDEX('Lease Cycles'!$BG$17:$BM$17,1,AF163),'Lease Cycles'!$AZ$17&lt;=AF$6),'Lease Cycles'!$C$17*'Lease Cycles'!$BA$17/12,IF(AND('Lease Cycles'!$AX$17&gt;=INDEX('Lease Cycles'!$BG$17:$BM$17,1,AF163),'Lease Cycles'!$AX$17&lt;=AF$6),'Lease Cycles'!$C$17*'Lease Cycles'!$AY$17/12,IF(AND('Lease Cycles'!$AV$17&gt;=INDEX('Lease Cycles'!$BG$17:$BM$17,1,AF163),'Lease Cycles'!$AV$17&lt;=AF$6),'Lease Cycles'!$C$17*'Lease Cycles'!$AW$17/12,IF(AND('Lease Cycles'!$AT$17&gt;=INDEX('Lease Cycles'!$BG$17:$BM$17,1,AF163),'Lease Cycles'!$AT$17&lt;=AF$6),'Lease Cycles'!$C$17*'Lease Cycles'!$AU$17/12,'Lease Cycles'!$C$17*INDEX('Lease Cycles'!$CB$17:$CH$17,1,AF163)*(1+INDEX('Lease Cycles'!$CI$17:$CO$17,1,AF163))^INT(INT(AF164/12)/INDEX('Lease Cycles'!$CP$17:$CV$17,1,AF163))/12)))),'Lease Cycles'!$C$17*INDEX('Lease Cycles'!$CB$17:$CH$17,1,AF163)*(1+INDEX('Lease Cycles'!$CI$17:$CO$17,1,AF163))^INT(INT(AF164/12)/INDEX('Lease Cycles'!$CP$17:$CV$17,1,AF163))/12))),IF('Lease Cycles'!$N$17=1,'Lease Cycles'!$C$17*'Lease Cycles'!$E$17*INDEX('Lease Cycles'!$HE$17:$HK$17,1,AF163)*(1+INDEX('Lease Cycles'!$GQ$17:$GW$17,1,AF163))^INT(INT((AF$6-INDEX('Lease Cycles'!$GJ$17:$GP$17,1,AF163))/12)/INDEX('Lease Cycles'!$GX$17:$HD$17,1,AF163))/12,0)))</f>
        <v>2521.3333333333335</v>
      </c>
      <c r="AG166" s="28">
        <f>IF(AG163=0,IF('Lease Cycles'!$F$17&gt;0,'Lease Cycles'!$C$17*'Lease Cycles'!$E$17/12,0),IF(AG165=1,IF('Lease Cycles'!$AT$17&gt;=9999,'Lease Cycles'!$C$17*INDEX('Lease Cycles'!$CB$17:$CH$17,1,AG163)*(1+INDEX('Lease Cycles'!$CI$17:$CO$17,1,AG163))^INT(INT(AG164/12)/INDEX('Lease Cycles'!$CP$17:$CV$17,1,AG163))/12,IF(AG163=1,IF(AG164&gt;=INDEX('Lease Cycles'!$DK$17:$DQ$17,1,AG163),IF(AG$6&gt;='Lease Cycles'!$AZ$17,'Lease Cycles'!$C$17*'Lease Cycles'!$BA$17/12,IF(AG$6&gt;='Lease Cycles'!$AX$17,'Lease Cycles'!$C$17*'Lease Cycles'!$AY$17/12,IF(AG$6&gt;='Lease Cycles'!$AV$17,'Lease Cycles'!$C$17*'Lease Cycles'!$AW$17/12,IF(AG$6&gt;='Lease Cycles'!$AT$17,'Lease Cycles'!$C$17*'Lease Cycles'!$AU$17/12,'Lease Cycles'!$C$17*INDEX('Lease Cycles'!$CB$17:$CH$17,1,AG163)*(1+INDEX('Lease Cycles'!$CI$17:$CO$17,1,AG163))^INT(INT(AG164/12)/INDEX('Lease Cycles'!$CP$17:$CV$17,1,AG163))/12)))),'Lease Cycles'!$C$17*INDEX('Lease Cycles'!$CB$17:$CH$17,1,AG163)*(1+INDEX('Lease Cycles'!$CI$17:$CO$17,1,AG163))^INT(INT(AG164/12)/INDEX('Lease Cycles'!$CP$17:$CV$17,1,AG163))/12),IF(INDEX('Lease Cycles'!$EF$17:$EL$17,1,AG163)=1,IF(AND('Lease Cycles'!$AZ$17&gt;=INDEX('Lease Cycles'!$BG$17:$BM$17,1,AG163),'Lease Cycles'!$AZ$17&lt;=AG$6),'Lease Cycles'!$C$17*'Lease Cycles'!$BA$17/12,IF(AND('Lease Cycles'!$AX$17&gt;=INDEX('Lease Cycles'!$BG$17:$BM$17,1,AG163),'Lease Cycles'!$AX$17&lt;=AG$6),'Lease Cycles'!$C$17*'Lease Cycles'!$AY$17/12,IF(AND('Lease Cycles'!$AV$17&gt;=INDEX('Lease Cycles'!$BG$17:$BM$17,1,AG163),'Lease Cycles'!$AV$17&lt;=AG$6),'Lease Cycles'!$C$17*'Lease Cycles'!$AW$17/12,IF(AND('Lease Cycles'!$AT$17&gt;=INDEX('Lease Cycles'!$BG$17:$BM$17,1,AG163),'Lease Cycles'!$AT$17&lt;=AG$6),'Lease Cycles'!$C$17*'Lease Cycles'!$AU$17/12,'Lease Cycles'!$C$17*INDEX('Lease Cycles'!$CB$17:$CH$17,1,AG163)*(1+INDEX('Lease Cycles'!$CI$17:$CO$17,1,AG163))^INT(INT(AG164/12)/INDEX('Lease Cycles'!$CP$17:$CV$17,1,AG163))/12)))),'Lease Cycles'!$C$17*INDEX('Lease Cycles'!$CB$17:$CH$17,1,AG163)*(1+INDEX('Lease Cycles'!$CI$17:$CO$17,1,AG163))^INT(INT(AG164/12)/INDEX('Lease Cycles'!$CP$17:$CV$17,1,AG163))/12))),IF('Lease Cycles'!$N$17=1,'Lease Cycles'!$C$17*'Lease Cycles'!$E$17*INDEX('Lease Cycles'!$HE$17:$HK$17,1,AG163)*(1+INDEX('Lease Cycles'!$GQ$17:$GW$17,1,AG163))^INT(INT((AG$6-INDEX('Lease Cycles'!$GJ$17:$GP$17,1,AG163))/12)/INDEX('Lease Cycles'!$GX$17:$HD$17,1,AG163))/12,0)))</f>
        <v>2521.3333333333335</v>
      </c>
      <c r="AH166" s="28">
        <f>IF(AH163=0,IF('Lease Cycles'!$F$17&gt;0,'Lease Cycles'!$C$17*'Lease Cycles'!$E$17/12,0),IF(AH165=1,IF('Lease Cycles'!$AT$17&gt;=9999,'Lease Cycles'!$C$17*INDEX('Lease Cycles'!$CB$17:$CH$17,1,AH163)*(1+INDEX('Lease Cycles'!$CI$17:$CO$17,1,AH163))^INT(INT(AH164/12)/INDEX('Lease Cycles'!$CP$17:$CV$17,1,AH163))/12,IF(AH163=1,IF(AH164&gt;=INDEX('Lease Cycles'!$DK$17:$DQ$17,1,AH163),IF(AH$6&gt;='Lease Cycles'!$AZ$17,'Lease Cycles'!$C$17*'Lease Cycles'!$BA$17/12,IF(AH$6&gt;='Lease Cycles'!$AX$17,'Lease Cycles'!$C$17*'Lease Cycles'!$AY$17/12,IF(AH$6&gt;='Lease Cycles'!$AV$17,'Lease Cycles'!$C$17*'Lease Cycles'!$AW$17/12,IF(AH$6&gt;='Lease Cycles'!$AT$17,'Lease Cycles'!$C$17*'Lease Cycles'!$AU$17/12,'Lease Cycles'!$C$17*INDEX('Lease Cycles'!$CB$17:$CH$17,1,AH163)*(1+INDEX('Lease Cycles'!$CI$17:$CO$17,1,AH163))^INT(INT(AH164/12)/INDEX('Lease Cycles'!$CP$17:$CV$17,1,AH163))/12)))),'Lease Cycles'!$C$17*INDEX('Lease Cycles'!$CB$17:$CH$17,1,AH163)*(1+INDEX('Lease Cycles'!$CI$17:$CO$17,1,AH163))^INT(INT(AH164/12)/INDEX('Lease Cycles'!$CP$17:$CV$17,1,AH163))/12),IF(INDEX('Lease Cycles'!$EF$17:$EL$17,1,AH163)=1,IF(AND('Lease Cycles'!$AZ$17&gt;=INDEX('Lease Cycles'!$BG$17:$BM$17,1,AH163),'Lease Cycles'!$AZ$17&lt;=AH$6),'Lease Cycles'!$C$17*'Lease Cycles'!$BA$17/12,IF(AND('Lease Cycles'!$AX$17&gt;=INDEX('Lease Cycles'!$BG$17:$BM$17,1,AH163),'Lease Cycles'!$AX$17&lt;=AH$6),'Lease Cycles'!$C$17*'Lease Cycles'!$AY$17/12,IF(AND('Lease Cycles'!$AV$17&gt;=INDEX('Lease Cycles'!$BG$17:$BM$17,1,AH163),'Lease Cycles'!$AV$17&lt;=AH$6),'Lease Cycles'!$C$17*'Lease Cycles'!$AW$17/12,IF(AND('Lease Cycles'!$AT$17&gt;=INDEX('Lease Cycles'!$BG$17:$BM$17,1,AH163),'Lease Cycles'!$AT$17&lt;=AH$6),'Lease Cycles'!$C$17*'Lease Cycles'!$AU$17/12,'Lease Cycles'!$C$17*INDEX('Lease Cycles'!$CB$17:$CH$17,1,AH163)*(1+INDEX('Lease Cycles'!$CI$17:$CO$17,1,AH163))^INT(INT(AH164/12)/INDEX('Lease Cycles'!$CP$17:$CV$17,1,AH163))/12)))),'Lease Cycles'!$C$17*INDEX('Lease Cycles'!$CB$17:$CH$17,1,AH163)*(1+INDEX('Lease Cycles'!$CI$17:$CO$17,1,AH163))^INT(INT(AH164/12)/INDEX('Lease Cycles'!$CP$17:$CV$17,1,AH163))/12))),IF('Lease Cycles'!$N$17=1,'Lease Cycles'!$C$17*'Lease Cycles'!$E$17*INDEX('Lease Cycles'!$HE$17:$HK$17,1,AH163)*(1+INDEX('Lease Cycles'!$GQ$17:$GW$17,1,AH163))^INT(INT((AH$6-INDEX('Lease Cycles'!$GJ$17:$GP$17,1,AH163))/12)/INDEX('Lease Cycles'!$GX$17:$HD$17,1,AH163))/12,0)))</f>
        <v>2521.3333333333335</v>
      </c>
      <c r="AI166" s="28">
        <f>IF(AI163=0,IF('Lease Cycles'!$F$17&gt;0,'Lease Cycles'!$C$17*'Lease Cycles'!$E$17/12,0),IF(AI165=1,IF('Lease Cycles'!$AT$17&gt;=9999,'Lease Cycles'!$C$17*INDEX('Lease Cycles'!$CB$17:$CH$17,1,AI163)*(1+INDEX('Lease Cycles'!$CI$17:$CO$17,1,AI163))^INT(INT(AI164/12)/INDEX('Lease Cycles'!$CP$17:$CV$17,1,AI163))/12,IF(AI163=1,IF(AI164&gt;=INDEX('Lease Cycles'!$DK$17:$DQ$17,1,AI163),IF(AI$6&gt;='Lease Cycles'!$AZ$17,'Lease Cycles'!$C$17*'Lease Cycles'!$BA$17/12,IF(AI$6&gt;='Lease Cycles'!$AX$17,'Lease Cycles'!$C$17*'Lease Cycles'!$AY$17/12,IF(AI$6&gt;='Lease Cycles'!$AV$17,'Lease Cycles'!$C$17*'Lease Cycles'!$AW$17/12,IF(AI$6&gt;='Lease Cycles'!$AT$17,'Lease Cycles'!$C$17*'Lease Cycles'!$AU$17/12,'Lease Cycles'!$C$17*INDEX('Lease Cycles'!$CB$17:$CH$17,1,AI163)*(1+INDEX('Lease Cycles'!$CI$17:$CO$17,1,AI163))^INT(INT(AI164/12)/INDEX('Lease Cycles'!$CP$17:$CV$17,1,AI163))/12)))),'Lease Cycles'!$C$17*INDEX('Lease Cycles'!$CB$17:$CH$17,1,AI163)*(1+INDEX('Lease Cycles'!$CI$17:$CO$17,1,AI163))^INT(INT(AI164/12)/INDEX('Lease Cycles'!$CP$17:$CV$17,1,AI163))/12),IF(INDEX('Lease Cycles'!$EF$17:$EL$17,1,AI163)=1,IF(AND('Lease Cycles'!$AZ$17&gt;=INDEX('Lease Cycles'!$BG$17:$BM$17,1,AI163),'Lease Cycles'!$AZ$17&lt;=AI$6),'Lease Cycles'!$C$17*'Lease Cycles'!$BA$17/12,IF(AND('Lease Cycles'!$AX$17&gt;=INDEX('Lease Cycles'!$BG$17:$BM$17,1,AI163),'Lease Cycles'!$AX$17&lt;=AI$6),'Lease Cycles'!$C$17*'Lease Cycles'!$AY$17/12,IF(AND('Lease Cycles'!$AV$17&gt;=INDEX('Lease Cycles'!$BG$17:$BM$17,1,AI163),'Lease Cycles'!$AV$17&lt;=AI$6),'Lease Cycles'!$C$17*'Lease Cycles'!$AW$17/12,IF(AND('Lease Cycles'!$AT$17&gt;=INDEX('Lease Cycles'!$BG$17:$BM$17,1,AI163),'Lease Cycles'!$AT$17&lt;=AI$6),'Lease Cycles'!$C$17*'Lease Cycles'!$AU$17/12,'Lease Cycles'!$C$17*INDEX('Lease Cycles'!$CB$17:$CH$17,1,AI163)*(1+INDEX('Lease Cycles'!$CI$17:$CO$17,1,AI163))^INT(INT(AI164/12)/INDEX('Lease Cycles'!$CP$17:$CV$17,1,AI163))/12)))),'Lease Cycles'!$C$17*INDEX('Lease Cycles'!$CB$17:$CH$17,1,AI163)*(1+INDEX('Lease Cycles'!$CI$17:$CO$17,1,AI163))^INT(INT(AI164/12)/INDEX('Lease Cycles'!$CP$17:$CV$17,1,AI163))/12))),IF('Lease Cycles'!$N$17=1,'Lease Cycles'!$C$17*'Lease Cycles'!$E$17*INDEX('Lease Cycles'!$HE$17:$HK$17,1,AI163)*(1+INDEX('Lease Cycles'!$GQ$17:$GW$17,1,AI163))^INT(INT((AI$6-INDEX('Lease Cycles'!$GJ$17:$GP$17,1,AI163))/12)/INDEX('Lease Cycles'!$GX$17:$HD$17,1,AI163))/12,0)))</f>
        <v>2521.3333333333335</v>
      </c>
      <c r="AJ166" s="28">
        <f>IF(AJ163=0,IF('Lease Cycles'!$F$17&gt;0,'Lease Cycles'!$C$17*'Lease Cycles'!$E$17/12,0),IF(AJ165=1,IF('Lease Cycles'!$AT$17&gt;=9999,'Lease Cycles'!$C$17*INDEX('Lease Cycles'!$CB$17:$CH$17,1,AJ163)*(1+INDEX('Lease Cycles'!$CI$17:$CO$17,1,AJ163))^INT(INT(AJ164/12)/INDEX('Lease Cycles'!$CP$17:$CV$17,1,AJ163))/12,IF(AJ163=1,IF(AJ164&gt;=INDEX('Lease Cycles'!$DK$17:$DQ$17,1,AJ163),IF(AJ$6&gt;='Lease Cycles'!$AZ$17,'Lease Cycles'!$C$17*'Lease Cycles'!$BA$17/12,IF(AJ$6&gt;='Lease Cycles'!$AX$17,'Lease Cycles'!$C$17*'Lease Cycles'!$AY$17/12,IF(AJ$6&gt;='Lease Cycles'!$AV$17,'Lease Cycles'!$C$17*'Lease Cycles'!$AW$17/12,IF(AJ$6&gt;='Lease Cycles'!$AT$17,'Lease Cycles'!$C$17*'Lease Cycles'!$AU$17/12,'Lease Cycles'!$C$17*INDEX('Lease Cycles'!$CB$17:$CH$17,1,AJ163)*(1+INDEX('Lease Cycles'!$CI$17:$CO$17,1,AJ163))^INT(INT(AJ164/12)/INDEX('Lease Cycles'!$CP$17:$CV$17,1,AJ163))/12)))),'Lease Cycles'!$C$17*INDEX('Lease Cycles'!$CB$17:$CH$17,1,AJ163)*(1+INDEX('Lease Cycles'!$CI$17:$CO$17,1,AJ163))^INT(INT(AJ164/12)/INDEX('Lease Cycles'!$CP$17:$CV$17,1,AJ163))/12),IF(INDEX('Lease Cycles'!$EF$17:$EL$17,1,AJ163)=1,IF(AND('Lease Cycles'!$AZ$17&gt;=INDEX('Lease Cycles'!$BG$17:$BM$17,1,AJ163),'Lease Cycles'!$AZ$17&lt;=AJ$6),'Lease Cycles'!$C$17*'Lease Cycles'!$BA$17/12,IF(AND('Lease Cycles'!$AX$17&gt;=INDEX('Lease Cycles'!$BG$17:$BM$17,1,AJ163),'Lease Cycles'!$AX$17&lt;=AJ$6),'Lease Cycles'!$C$17*'Lease Cycles'!$AY$17/12,IF(AND('Lease Cycles'!$AV$17&gt;=INDEX('Lease Cycles'!$BG$17:$BM$17,1,AJ163),'Lease Cycles'!$AV$17&lt;=AJ$6),'Lease Cycles'!$C$17*'Lease Cycles'!$AW$17/12,IF(AND('Lease Cycles'!$AT$17&gt;=INDEX('Lease Cycles'!$BG$17:$BM$17,1,AJ163),'Lease Cycles'!$AT$17&lt;=AJ$6),'Lease Cycles'!$C$17*'Lease Cycles'!$AU$17/12,'Lease Cycles'!$C$17*INDEX('Lease Cycles'!$CB$17:$CH$17,1,AJ163)*(1+INDEX('Lease Cycles'!$CI$17:$CO$17,1,AJ163))^INT(INT(AJ164/12)/INDEX('Lease Cycles'!$CP$17:$CV$17,1,AJ163))/12)))),'Lease Cycles'!$C$17*INDEX('Lease Cycles'!$CB$17:$CH$17,1,AJ163)*(1+INDEX('Lease Cycles'!$CI$17:$CO$17,1,AJ163))^INT(INT(AJ164/12)/INDEX('Lease Cycles'!$CP$17:$CV$17,1,AJ163))/12))),IF('Lease Cycles'!$N$17=1,'Lease Cycles'!$C$17*'Lease Cycles'!$E$17*INDEX('Lease Cycles'!$HE$17:$HK$17,1,AJ163)*(1+INDEX('Lease Cycles'!$GQ$17:$GW$17,1,AJ163))^INT(INT((AJ$6-INDEX('Lease Cycles'!$GJ$17:$GP$17,1,AJ163))/12)/INDEX('Lease Cycles'!$GX$17:$HD$17,1,AJ163))/12,0)))</f>
        <v>2521.3333333333335</v>
      </c>
      <c r="AK166" s="28">
        <f>IF(AK163=0,IF('Lease Cycles'!$F$17&gt;0,'Lease Cycles'!$C$17*'Lease Cycles'!$E$17/12,0),IF(AK165=1,IF('Lease Cycles'!$AT$17&gt;=9999,'Lease Cycles'!$C$17*INDEX('Lease Cycles'!$CB$17:$CH$17,1,AK163)*(1+INDEX('Lease Cycles'!$CI$17:$CO$17,1,AK163))^INT(INT(AK164/12)/INDEX('Lease Cycles'!$CP$17:$CV$17,1,AK163))/12,IF(AK163=1,IF(AK164&gt;=INDEX('Lease Cycles'!$DK$17:$DQ$17,1,AK163),IF(AK$6&gt;='Lease Cycles'!$AZ$17,'Lease Cycles'!$C$17*'Lease Cycles'!$BA$17/12,IF(AK$6&gt;='Lease Cycles'!$AX$17,'Lease Cycles'!$C$17*'Lease Cycles'!$AY$17/12,IF(AK$6&gt;='Lease Cycles'!$AV$17,'Lease Cycles'!$C$17*'Lease Cycles'!$AW$17/12,IF(AK$6&gt;='Lease Cycles'!$AT$17,'Lease Cycles'!$C$17*'Lease Cycles'!$AU$17/12,'Lease Cycles'!$C$17*INDEX('Lease Cycles'!$CB$17:$CH$17,1,AK163)*(1+INDEX('Lease Cycles'!$CI$17:$CO$17,1,AK163))^INT(INT(AK164/12)/INDEX('Lease Cycles'!$CP$17:$CV$17,1,AK163))/12)))),'Lease Cycles'!$C$17*INDEX('Lease Cycles'!$CB$17:$CH$17,1,AK163)*(1+INDEX('Lease Cycles'!$CI$17:$CO$17,1,AK163))^INT(INT(AK164/12)/INDEX('Lease Cycles'!$CP$17:$CV$17,1,AK163))/12),IF(INDEX('Lease Cycles'!$EF$17:$EL$17,1,AK163)=1,IF(AND('Lease Cycles'!$AZ$17&gt;=INDEX('Lease Cycles'!$BG$17:$BM$17,1,AK163),'Lease Cycles'!$AZ$17&lt;=AK$6),'Lease Cycles'!$C$17*'Lease Cycles'!$BA$17/12,IF(AND('Lease Cycles'!$AX$17&gt;=INDEX('Lease Cycles'!$BG$17:$BM$17,1,AK163),'Lease Cycles'!$AX$17&lt;=AK$6),'Lease Cycles'!$C$17*'Lease Cycles'!$AY$17/12,IF(AND('Lease Cycles'!$AV$17&gt;=INDEX('Lease Cycles'!$BG$17:$BM$17,1,AK163),'Lease Cycles'!$AV$17&lt;=AK$6),'Lease Cycles'!$C$17*'Lease Cycles'!$AW$17/12,IF(AND('Lease Cycles'!$AT$17&gt;=INDEX('Lease Cycles'!$BG$17:$BM$17,1,AK163),'Lease Cycles'!$AT$17&lt;=AK$6),'Lease Cycles'!$C$17*'Lease Cycles'!$AU$17/12,'Lease Cycles'!$C$17*INDEX('Lease Cycles'!$CB$17:$CH$17,1,AK163)*(1+INDEX('Lease Cycles'!$CI$17:$CO$17,1,AK163))^INT(INT(AK164/12)/INDEX('Lease Cycles'!$CP$17:$CV$17,1,AK163))/12)))),'Lease Cycles'!$C$17*INDEX('Lease Cycles'!$CB$17:$CH$17,1,AK163)*(1+INDEX('Lease Cycles'!$CI$17:$CO$17,1,AK163))^INT(INT(AK164/12)/INDEX('Lease Cycles'!$CP$17:$CV$17,1,AK163))/12))),IF('Lease Cycles'!$N$17=1,'Lease Cycles'!$C$17*'Lease Cycles'!$E$17*INDEX('Lease Cycles'!$HE$17:$HK$17,1,AK163)*(1+INDEX('Lease Cycles'!$GQ$17:$GW$17,1,AK163))^INT(INT((AK$6-INDEX('Lease Cycles'!$GJ$17:$GP$17,1,AK163))/12)/INDEX('Lease Cycles'!$GX$17:$HD$17,1,AK163))/12,0)))</f>
        <v>2521.3333333333335</v>
      </c>
      <c r="AL166" s="28">
        <f>IF(AL163=0,IF('Lease Cycles'!$F$17&gt;0,'Lease Cycles'!$C$17*'Lease Cycles'!$E$17/12,0),IF(AL165=1,IF('Lease Cycles'!$AT$17&gt;=9999,'Lease Cycles'!$C$17*INDEX('Lease Cycles'!$CB$17:$CH$17,1,AL163)*(1+INDEX('Lease Cycles'!$CI$17:$CO$17,1,AL163))^INT(INT(AL164/12)/INDEX('Lease Cycles'!$CP$17:$CV$17,1,AL163))/12,IF(AL163=1,IF(AL164&gt;=INDEX('Lease Cycles'!$DK$17:$DQ$17,1,AL163),IF(AL$6&gt;='Lease Cycles'!$AZ$17,'Lease Cycles'!$C$17*'Lease Cycles'!$BA$17/12,IF(AL$6&gt;='Lease Cycles'!$AX$17,'Lease Cycles'!$C$17*'Lease Cycles'!$AY$17/12,IF(AL$6&gt;='Lease Cycles'!$AV$17,'Lease Cycles'!$C$17*'Lease Cycles'!$AW$17/12,IF(AL$6&gt;='Lease Cycles'!$AT$17,'Lease Cycles'!$C$17*'Lease Cycles'!$AU$17/12,'Lease Cycles'!$C$17*INDEX('Lease Cycles'!$CB$17:$CH$17,1,AL163)*(1+INDEX('Lease Cycles'!$CI$17:$CO$17,1,AL163))^INT(INT(AL164/12)/INDEX('Lease Cycles'!$CP$17:$CV$17,1,AL163))/12)))),'Lease Cycles'!$C$17*INDEX('Lease Cycles'!$CB$17:$CH$17,1,AL163)*(1+INDEX('Lease Cycles'!$CI$17:$CO$17,1,AL163))^INT(INT(AL164/12)/INDEX('Lease Cycles'!$CP$17:$CV$17,1,AL163))/12),IF(INDEX('Lease Cycles'!$EF$17:$EL$17,1,AL163)=1,IF(AND('Lease Cycles'!$AZ$17&gt;=INDEX('Lease Cycles'!$BG$17:$BM$17,1,AL163),'Lease Cycles'!$AZ$17&lt;=AL$6),'Lease Cycles'!$C$17*'Lease Cycles'!$BA$17/12,IF(AND('Lease Cycles'!$AX$17&gt;=INDEX('Lease Cycles'!$BG$17:$BM$17,1,AL163),'Lease Cycles'!$AX$17&lt;=AL$6),'Lease Cycles'!$C$17*'Lease Cycles'!$AY$17/12,IF(AND('Lease Cycles'!$AV$17&gt;=INDEX('Lease Cycles'!$BG$17:$BM$17,1,AL163),'Lease Cycles'!$AV$17&lt;=AL$6),'Lease Cycles'!$C$17*'Lease Cycles'!$AW$17/12,IF(AND('Lease Cycles'!$AT$17&gt;=INDEX('Lease Cycles'!$BG$17:$BM$17,1,AL163),'Lease Cycles'!$AT$17&lt;=AL$6),'Lease Cycles'!$C$17*'Lease Cycles'!$AU$17/12,'Lease Cycles'!$C$17*INDEX('Lease Cycles'!$CB$17:$CH$17,1,AL163)*(1+INDEX('Lease Cycles'!$CI$17:$CO$17,1,AL163))^INT(INT(AL164/12)/INDEX('Lease Cycles'!$CP$17:$CV$17,1,AL163))/12)))),'Lease Cycles'!$C$17*INDEX('Lease Cycles'!$CB$17:$CH$17,1,AL163)*(1+INDEX('Lease Cycles'!$CI$17:$CO$17,1,AL163))^INT(INT(AL164/12)/INDEX('Lease Cycles'!$CP$17:$CV$17,1,AL163))/12))),IF('Lease Cycles'!$N$17=1,'Lease Cycles'!$C$17*'Lease Cycles'!$E$17*INDEX('Lease Cycles'!$HE$17:$HK$17,1,AL163)*(1+INDEX('Lease Cycles'!$GQ$17:$GW$17,1,AL163))^INT(INT((AL$6-INDEX('Lease Cycles'!$GJ$17:$GP$17,1,AL163))/12)/INDEX('Lease Cycles'!$GX$17:$HD$17,1,AL163))/12,0)))</f>
        <v>2521.3333333333335</v>
      </c>
      <c r="AM166" s="28">
        <f>IF(AM163=0,IF('Lease Cycles'!$F$17&gt;0,'Lease Cycles'!$C$17*'Lease Cycles'!$E$17/12,0),IF(AM165=1,IF('Lease Cycles'!$AT$17&gt;=9999,'Lease Cycles'!$C$17*INDEX('Lease Cycles'!$CB$17:$CH$17,1,AM163)*(1+INDEX('Lease Cycles'!$CI$17:$CO$17,1,AM163))^INT(INT(AM164/12)/INDEX('Lease Cycles'!$CP$17:$CV$17,1,AM163))/12,IF(AM163=1,IF(AM164&gt;=INDEX('Lease Cycles'!$DK$17:$DQ$17,1,AM163),IF(AM$6&gt;='Lease Cycles'!$AZ$17,'Lease Cycles'!$C$17*'Lease Cycles'!$BA$17/12,IF(AM$6&gt;='Lease Cycles'!$AX$17,'Lease Cycles'!$C$17*'Lease Cycles'!$AY$17/12,IF(AM$6&gt;='Lease Cycles'!$AV$17,'Lease Cycles'!$C$17*'Lease Cycles'!$AW$17/12,IF(AM$6&gt;='Lease Cycles'!$AT$17,'Lease Cycles'!$C$17*'Lease Cycles'!$AU$17/12,'Lease Cycles'!$C$17*INDEX('Lease Cycles'!$CB$17:$CH$17,1,AM163)*(1+INDEX('Lease Cycles'!$CI$17:$CO$17,1,AM163))^INT(INT(AM164/12)/INDEX('Lease Cycles'!$CP$17:$CV$17,1,AM163))/12)))),'Lease Cycles'!$C$17*INDEX('Lease Cycles'!$CB$17:$CH$17,1,AM163)*(1+INDEX('Lease Cycles'!$CI$17:$CO$17,1,AM163))^INT(INT(AM164/12)/INDEX('Lease Cycles'!$CP$17:$CV$17,1,AM163))/12),IF(INDEX('Lease Cycles'!$EF$17:$EL$17,1,AM163)=1,IF(AND('Lease Cycles'!$AZ$17&gt;=INDEX('Lease Cycles'!$BG$17:$BM$17,1,AM163),'Lease Cycles'!$AZ$17&lt;=AM$6),'Lease Cycles'!$C$17*'Lease Cycles'!$BA$17/12,IF(AND('Lease Cycles'!$AX$17&gt;=INDEX('Lease Cycles'!$BG$17:$BM$17,1,AM163),'Lease Cycles'!$AX$17&lt;=AM$6),'Lease Cycles'!$C$17*'Lease Cycles'!$AY$17/12,IF(AND('Lease Cycles'!$AV$17&gt;=INDEX('Lease Cycles'!$BG$17:$BM$17,1,AM163),'Lease Cycles'!$AV$17&lt;=AM$6),'Lease Cycles'!$C$17*'Lease Cycles'!$AW$17/12,IF(AND('Lease Cycles'!$AT$17&gt;=INDEX('Lease Cycles'!$BG$17:$BM$17,1,AM163),'Lease Cycles'!$AT$17&lt;=AM$6),'Lease Cycles'!$C$17*'Lease Cycles'!$AU$17/12,'Lease Cycles'!$C$17*INDEX('Lease Cycles'!$CB$17:$CH$17,1,AM163)*(1+INDEX('Lease Cycles'!$CI$17:$CO$17,1,AM163))^INT(INT(AM164/12)/INDEX('Lease Cycles'!$CP$17:$CV$17,1,AM163))/12)))),'Lease Cycles'!$C$17*INDEX('Lease Cycles'!$CB$17:$CH$17,1,AM163)*(1+INDEX('Lease Cycles'!$CI$17:$CO$17,1,AM163))^INT(INT(AM164/12)/INDEX('Lease Cycles'!$CP$17:$CV$17,1,AM163))/12))),IF('Lease Cycles'!$N$17=1,'Lease Cycles'!$C$17*'Lease Cycles'!$E$17*INDEX('Lease Cycles'!$HE$17:$HK$17,1,AM163)*(1+INDEX('Lease Cycles'!$GQ$17:$GW$17,1,AM163))^INT(INT((AM$6-INDEX('Lease Cycles'!$GJ$17:$GP$17,1,AM163))/12)/INDEX('Lease Cycles'!$GX$17:$HD$17,1,AM163))/12,0)))</f>
        <v>2521.3333333333335</v>
      </c>
      <c r="AN166" s="28">
        <f>IF(AN163=0,IF('Lease Cycles'!$F$17&gt;0,'Lease Cycles'!$C$17*'Lease Cycles'!$E$17/12,0),IF(AN165=1,IF('Lease Cycles'!$AT$17&gt;=9999,'Lease Cycles'!$C$17*INDEX('Lease Cycles'!$CB$17:$CH$17,1,AN163)*(1+INDEX('Lease Cycles'!$CI$17:$CO$17,1,AN163))^INT(INT(AN164/12)/INDEX('Lease Cycles'!$CP$17:$CV$17,1,AN163))/12,IF(AN163=1,IF(AN164&gt;=INDEX('Lease Cycles'!$DK$17:$DQ$17,1,AN163),IF(AN$6&gt;='Lease Cycles'!$AZ$17,'Lease Cycles'!$C$17*'Lease Cycles'!$BA$17/12,IF(AN$6&gt;='Lease Cycles'!$AX$17,'Lease Cycles'!$C$17*'Lease Cycles'!$AY$17/12,IF(AN$6&gt;='Lease Cycles'!$AV$17,'Lease Cycles'!$C$17*'Lease Cycles'!$AW$17/12,IF(AN$6&gt;='Lease Cycles'!$AT$17,'Lease Cycles'!$C$17*'Lease Cycles'!$AU$17/12,'Lease Cycles'!$C$17*INDEX('Lease Cycles'!$CB$17:$CH$17,1,AN163)*(1+INDEX('Lease Cycles'!$CI$17:$CO$17,1,AN163))^INT(INT(AN164/12)/INDEX('Lease Cycles'!$CP$17:$CV$17,1,AN163))/12)))),'Lease Cycles'!$C$17*INDEX('Lease Cycles'!$CB$17:$CH$17,1,AN163)*(1+INDEX('Lease Cycles'!$CI$17:$CO$17,1,AN163))^INT(INT(AN164/12)/INDEX('Lease Cycles'!$CP$17:$CV$17,1,AN163))/12),IF(INDEX('Lease Cycles'!$EF$17:$EL$17,1,AN163)=1,IF(AND('Lease Cycles'!$AZ$17&gt;=INDEX('Lease Cycles'!$BG$17:$BM$17,1,AN163),'Lease Cycles'!$AZ$17&lt;=AN$6),'Lease Cycles'!$C$17*'Lease Cycles'!$BA$17/12,IF(AND('Lease Cycles'!$AX$17&gt;=INDEX('Lease Cycles'!$BG$17:$BM$17,1,AN163),'Lease Cycles'!$AX$17&lt;=AN$6),'Lease Cycles'!$C$17*'Lease Cycles'!$AY$17/12,IF(AND('Lease Cycles'!$AV$17&gt;=INDEX('Lease Cycles'!$BG$17:$BM$17,1,AN163),'Lease Cycles'!$AV$17&lt;=AN$6),'Lease Cycles'!$C$17*'Lease Cycles'!$AW$17/12,IF(AND('Lease Cycles'!$AT$17&gt;=INDEX('Lease Cycles'!$BG$17:$BM$17,1,AN163),'Lease Cycles'!$AT$17&lt;=AN$6),'Lease Cycles'!$C$17*'Lease Cycles'!$AU$17/12,'Lease Cycles'!$C$17*INDEX('Lease Cycles'!$CB$17:$CH$17,1,AN163)*(1+INDEX('Lease Cycles'!$CI$17:$CO$17,1,AN163))^INT(INT(AN164/12)/INDEX('Lease Cycles'!$CP$17:$CV$17,1,AN163))/12)))),'Lease Cycles'!$C$17*INDEX('Lease Cycles'!$CB$17:$CH$17,1,AN163)*(1+INDEX('Lease Cycles'!$CI$17:$CO$17,1,AN163))^INT(INT(AN164/12)/INDEX('Lease Cycles'!$CP$17:$CV$17,1,AN163))/12))),IF('Lease Cycles'!$N$17=1,'Lease Cycles'!$C$17*'Lease Cycles'!$E$17*INDEX('Lease Cycles'!$HE$17:$HK$17,1,AN163)*(1+INDEX('Lease Cycles'!$GQ$17:$GW$17,1,AN163))^INT(INT((AN$6-INDEX('Lease Cycles'!$GJ$17:$GP$17,1,AN163))/12)/INDEX('Lease Cycles'!$GX$17:$HD$17,1,AN163))/12,0)))</f>
        <v>2596.9733333333334</v>
      </c>
      <c r="AO166" s="28">
        <f>IF(AO163=0,IF('Lease Cycles'!$F$17&gt;0,'Lease Cycles'!$C$17*'Lease Cycles'!$E$17/12,0),IF(AO165=1,IF('Lease Cycles'!$AT$17&gt;=9999,'Lease Cycles'!$C$17*INDEX('Lease Cycles'!$CB$17:$CH$17,1,AO163)*(1+INDEX('Lease Cycles'!$CI$17:$CO$17,1,AO163))^INT(INT(AO164/12)/INDEX('Lease Cycles'!$CP$17:$CV$17,1,AO163))/12,IF(AO163=1,IF(AO164&gt;=INDEX('Lease Cycles'!$DK$17:$DQ$17,1,AO163),IF(AO$6&gt;='Lease Cycles'!$AZ$17,'Lease Cycles'!$C$17*'Lease Cycles'!$BA$17/12,IF(AO$6&gt;='Lease Cycles'!$AX$17,'Lease Cycles'!$C$17*'Lease Cycles'!$AY$17/12,IF(AO$6&gt;='Lease Cycles'!$AV$17,'Lease Cycles'!$C$17*'Lease Cycles'!$AW$17/12,IF(AO$6&gt;='Lease Cycles'!$AT$17,'Lease Cycles'!$C$17*'Lease Cycles'!$AU$17/12,'Lease Cycles'!$C$17*INDEX('Lease Cycles'!$CB$17:$CH$17,1,AO163)*(1+INDEX('Lease Cycles'!$CI$17:$CO$17,1,AO163))^INT(INT(AO164/12)/INDEX('Lease Cycles'!$CP$17:$CV$17,1,AO163))/12)))),'Lease Cycles'!$C$17*INDEX('Lease Cycles'!$CB$17:$CH$17,1,AO163)*(1+INDEX('Lease Cycles'!$CI$17:$CO$17,1,AO163))^INT(INT(AO164/12)/INDEX('Lease Cycles'!$CP$17:$CV$17,1,AO163))/12),IF(INDEX('Lease Cycles'!$EF$17:$EL$17,1,AO163)=1,IF(AND('Lease Cycles'!$AZ$17&gt;=INDEX('Lease Cycles'!$BG$17:$BM$17,1,AO163),'Lease Cycles'!$AZ$17&lt;=AO$6),'Lease Cycles'!$C$17*'Lease Cycles'!$BA$17/12,IF(AND('Lease Cycles'!$AX$17&gt;=INDEX('Lease Cycles'!$BG$17:$BM$17,1,AO163),'Lease Cycles'!$AX$17&lt;=AO$6),'Lease Cycles'!$C$17*'Lease Cycles'!$AY$17/12,IF(AND('Lease Cycles'!$AV$17&gt;=INDEX('Lease Cycles'!$BG$17:$BM$17,1,AO163),'Lease Cycles'!$AV$17&lt;=AO$6),'Lease Cycles'!$C$17*'Lease Cycles'!$AW$17/12,IF(AND('Lease Cycles'!$AT$17&gt;=INDEX('Lease Cycles'!$BG$17:$BM$17,1,AO163),'Lease Cycles'!$AT$17&lt;=AO$6),'Lease Cycles'!$C$17*'Lease Cycles'!$AU$17/12,'Lease Cycles'!$C$17*INDEX('Lease Cycles'!$CB$17:$CH$17,1,AO163)*(1+INDEX('Lease Cycles'!$CI$17:$CO$17,1,AO163))^INT(INT(AO164/12)/INDEX('Lease Cycles'!$CP$17:$CV$17,1,AO163))/12)))),'Lease Cycles'!$C$17*INDEX('Lease Cycles'!$CB$17:$CH$17,1,AO163)*(1+INDEX('Lease Cycles'!$CI$17:$CO$17,1,AO163))^INT(INT(AO164/12)/INDEX('Lease Cycles'!$CP$17:$CV$17,1,AO163))/12))),IF('Lease Cycles'!$N$17=1,'Lease Cycles'!$C$17*'Lease Cycles'!$E$17*INDEX('Lease Cycles'!$HE$17:$HK$17,1,AO163)*(1+INDEX('Lease Cycles'!$GQ$17:$GW$17,1,AO163))^INT(INT((AO$6-INDEX('Lease Cycles'!$GJ$17:$GP$17,1,AO163))/12)/INDEX('Lease Cycles'!$GX$17:$HD$17,1,AO163))/12,0)))</f>
        <v>2596.9733333333334</v>
      </c>
      <c r="AP166" s="28">
        <f>IF(AP163=0,IF('Lease Cycles'!$F$17&gt;0,'Lease Cycles'!$C$17*'Lease Cycles'!$E$17/12,0),IF(AP165=1,IF('Lease Cycles'!$AT$17&gt;=9999,'Lease Cycles'!$C$17*INDEX('Lease Cycles'!$CB$17:$CH$17,1,AP163)*(1+INDEX('Lease Cycles'!$CI$17:$CO$17,1,AP163))^INT(INT(AP164/12)/INDEX('Lease Cycles'!$CP$17:$CV$17,1,AP163))/12,IF(AP163=1,IF(AP164&gt;=INDEX('Lease Cycles'!$DK$17:$DQ$17,1,AP163),IF(AP$6&gt;='Lease Cycles'!$AZ$17,'Lease Cycles'!$C$17*'Lease Cycles'!$BA$17/12,IF(AP$6&gt;='Lease Cycles'!$AX$17,'Lease Cycles'!$C$17*'Lease Cycles'!$AY$17/12,IF(AP$6&gt;='Lease Cycles'!$AV$17,'Lease Cycles'!$C$17*'Lease Cycles'!$AW$17/12,IF(AP$6&gt;='Lease Cycles'!$AT$17,'Lease Cycles'!$C$17*'Lease Cycles'!$AU$17/12,'Lease Cycles'!$C$17*INDEX('Lease Cycles'!$CB$17:$CH$17,1,AP163)*(1+INDEX('Lease Cycles'!$CI$17:$CO$17,1,AP163))^INT(INT(AP164/12)/INDEX('Lease Cycles'!$CP$17:$CV$17,1,AP163))/12)))),'Lease Cycles'!$C$17*INDEX('Lease Cycles'!$CB$17:$CH$17,1,AP163)*(1+INDEX('Lease Cycles'!$CI$17:$CO$17,1,AP163))^INT(INT(AP164/12)/INDEX('Lease Cycles'!$CP$17:$CV$17,1,AP163))/12),IF(INDEX('Lease Cycles'!$EF$17:$EL$17,1,AP163)=1,IF(AND('Lease Cycles'!$AZ$17&gt;=INDEX('Lease Cycles'!$BG$17:$BM$17,1,AP163),'Lease Cycles'!$AZ$17&lt;=AP$6),'Lease Cycles'!$C$17*'Lease Cycles'!$BA$17/12,IF(AND('Lease Cycles'!$AX$17&gt;=INDEX('Lease Cycles'!$BG$17:$BM$17,1,AP163),'Lease Cycles'!$AX$17&lt;=AP$6),'Lease Cycles'!$C$17*'Lease Cycles'!$AY$17/12,IF(AND('Lease Cycles'!$AV$17&gt;=INDEX('Lease Cycles'!$BG$17:$BM$17,1,AP163),'Lease Cycles'!$AV$17&lt;=AP$6),'Lease Cycles'!$C$17*'Lease Cycles'!$AW$17/12,IF(AND('Lease Cycles'!$AT$17&gt;=INDEX('Lease Cycles'!$BG$17:$BM$17,1,AP163),'Lease Cycles'!$AT$17&lt;=AP$6),'Lease Cycles'!$C$17*'Lease Cycles'!$AU$17/12,'Lease Cycles'!$C$17*INDEX('Lease Cycles'!$CB$17:$CH$17,1,AP163)*(1+INDEX('Lease Cycles'!$CI$17:$CO$17,1,AP163))^INT(INT(AP164/12)/INDEX('Lease Cycles'!$CP$17:$CV$17,1,AP163))/12)))),'Lease Cycles'!$C$17*INDEX('Lease Cycles'!$CB$17:$CH$17,1,AP163)*(1+INDEX('Lease Cycles'!$CI$17:$CO$17,1,AP163))^INT(INT(AP164/12)/INDEX('Lease Cycles'!$CP$17:$CV$17,1,AP163))/12))),IF('Lease Cycles'!$N$17=1,'Lease Cycles'!$C$17*'Lease Cycles'!$E$17*INDEX('Lease Cycles'!$HE$17:$HK$17,1,AP163)*(1+INDEX('Lease Cycles'!$GQ$17:$GW$17,1,AP163))^INT(INT((AP$6-INDEX('Lease Cycles'!$GJ$17:$GP$17,1,AP163))/12)/INDEX('Lease Cycles'!$GX$17:$HD$17,1,AP163))/12,0)))</f>
        <v>2596.9733333333334</v>
      </c>
      <c r="AQ166" s="28">
        <f>IF(AQ163=0,IF('Lease Cycles'!$F$17&gt;0,'Lease Cycles'!$C$17*'Lease Cycles'!$E$17/12,0),IF(AQ165=1,IF('Lease Cycles'!$AT$17&gt;=9999,'Lease Cycles'!$C$17*INDEX('Lease Cycles'!$CB$17:$CH$17,1,AQ163)*(1+INDEX('Lease Cycles'!$CI$17:$CO$17,1,AQ163))^INT(INT(AQ164/12)/INDEX('Lease Cycles'!$CP$17:$CV$17,1,AQ163))/12,IF(AQ163=1,IF(AQ164&gt;=INDEX('Lease Cycles'!$DK$17:$DQ$17,1,AQ163),IF(AQ$6&gt;='Lease Cycles'!$AZ$17,'Lease Cycles'!$C$17*'Lease Cycles'!$BA$17/12,IF(AQ$6&gt;='Lease Cycles'!$AX$17,'Lease Cycles'!$C$17*'Lease Cycles'!$AY$17/12,IF(AQ$6&gt;='Lease Cycles'!$AV$17,'Lease Cycles'!$C$17*'Lease Cycles'!$AW$17/12,IF(AQ$6&gt;='Lease Cycles'!$AT$17,'Lease Cycles'!$C$17*'Lease Cycles'!$AU$17/12,'Lease Cycles'!$C$17*INDEX('Lease Cycles'!$CB$17:$CH$17,1,AQ163)*(1+INDEX('Lease Cycles'!$CI$17:$CO$17,1,AQ163))^INT(INT(AQ164/12)/INDEX('Lease Cycles'!$CP$17:$CV$17,1,AQ163))/12)))),'Lease Cycles'!$C$17*INDEX('Lease Cycles'!$CB$17:$CH$17,1,AQ163)*(1+INDEX('Lease Cycles'!$CI$17:$CO$17,1,AQ163))^INT(INT(AQ164/12)/INDEX('Lease Cycles'!$CP$17:$CV$17,1,AQ163))/12),IF(INDEX('Lease Cycles'!$EF$17:$EL$17,1,AQ163)=1,IF(AND('Lease Cycles'!$AZ$17&gt;=INDEX('Lease Cycles'!$BG$17:$BM$17,1,AQ163),'Lease Cycles'!$AZ$17&lt;=AQ$6),'Lease Cycles'!$C$17*'Lease Cycles'!$BA$17/12,IF(AND('Lease Cycles'!$AX$17&gt;=INDEX('Lease Cycles'!$BG$17:$BM$17,1,AQ163),'Lease Cycles'!$AX$17&lt;=AQ$6),'Lease Cycles'!$C$17*'Lease Cycles'!$AY$17/12,IF(AND('Lease Cycles'!$AV$17&gt;=INDEX('Lease Cycles'!$BG$17:$BM$17,1,AQ163),'Lease Cycles'!$AV$17&lt;=AQ$6),'Lease Cycles'!$C$17*'Lease Cycles'!$AW$17/12,IF(AND('Lease Cycles'!$AT$17&gt;=INDEX('Lease Cycles'!$BG$17:$BM$17,1,AQ163),'Lease Cycles'!$AT$17&lt;=AQ$6),'Lease Cycles'!$C$17*'Lease Cycles'!$AU$17/12,'Lease Cycles'!$C$17*INDEX('Lease Cycles'!$CB$17:$CH$17,1,AQ163)*(1+INDEX('Lease Cycles'!$CI$17:$CO$17,1,AQ163))^INT(INT(AQ164/12)/INDEX('Lease Cycles'!$CP$17:$CV$17,1,AQ163))/12)))),'Lease Cycles'!$C$17*INDEX('Lease Cycles'!$CB$17:$CH$17,1,AQ163)*(1+INDEX('Lease Cycles'!$CI$17:$CO$17,1,AQ163))^INT(INT(AQ164/12)/INDEX('Lease Cycles'!$CP$17:$CV$17,1,AQ163))/12))),IF('Lease Cycles'!$N$17=1,'Lease Cycles'!$C$17*'Lease Cycles'!$E$17*INDEX('Lease Cycles'!$HE$17:$HK$17,1,AQ163)*(1+INDEX('Lease Cycles'!$GQ$17:$GW$17,1,AQ163))^INT(INT((AQ$6-INDEX('Lease Cycles'!$GJ$17:$GP$17,1,AQ163))/12)/INDEX('Lease Cycles'!$GX$17:$HD$17,1,AQ163))/12,0)))</f>
        <v>2596.9733333333334</v>
      </c>
      <c r="AR166" s="28">
        <f>IF(AR163=0,IF('Lease Cycles'!$F$17&gt;0,'Lease Cycles'!$C$17*'Lease Cycles'!$E$17/12,0),IF(AR165=1,IF('Lease Cycles'!$AT$17&gt;=9999,'Lease Cycles'!$C$17*INDEX('Lease Cycles'!$CB$17:$CH$17,1,AR163)*(1+INDEX('Lease Cycles'!$CI$17:$CO$17,1,AR163))^INT(INT(AR164/12)/INDEX('Lease Cycles'!$CP$17:$CV$17,1,AR163))/12,IF(AR163=1,IF(AR164&gt;=INDEX('Lease Cycles'!$DK$17:$DQ$17,1,AR163),IF(AR$6&gt;='Lease Cycles'!$AZ$17,'Lease Cycles'!$C$17*'Lease Cycles'!$BA$17/12,IF(AR$6&gt;='Lease Cycles'!$AX$17,'Lease Cycles'!$C$17*'Lease Cycles'!$AY$17/12,IF(AR$6&gt;='Lease Cycles'!$AV$17,'Lease Cycles'!$C$17*'Lease Cycles'!$AW$17/12,IF(AR$6&gt;='Lease Cycles'!$AT$17,'Lease Cycles'!$C$17*'Lease Cycles'!$AU$17/12,'Lease Cycles'!$C$17*INDEX('Lease Cycles'!$CB$17:$CH$17,1,AR163)*(1+INDEX('Lease Cycles'!$CI$17:$CO$17,1,AR163))^INT(INT(AR164/12)/INDEX('Lease Cycles'!$CP$17:$CV$17,1,AR163))/12)))),'Lease Cycles'!$C$17*INDEX('Lease Cycles'!$CB$17:$CH$17,1,AR163)*(1+INDEX('Lease Cycles'!$CI$17:$CO$17,1,AR163))^INT(INT(AR164/12)/INDEX('Lease Cycles'!$CP$17:$CV$17,1,AR163))/12),IF(INDEX('Lease Cycles'!$EF$17:$EL$17,1,AR163)=1,IF(AND('Lease Cycles'!$AZ$17&gt;=INDEX('Lease Cycles'!$BG$17:$BM$17,1,AR163),'Lease Cycles'!$AZ$17&lt;=AR$6),'Lease Cycles'!$C$17*'Lease Cycles'!$BA$17/12,IF(AND('Lease Cycles'!$AX$17&gt;=INDEX('Lease Cycles'!$BG$17:$BM$17,1,AR163),'Lease Cycles'!$AX$17&lt;=AR$6),'Lease Cycles'!$C$17*'Lease Cycles'!$AY$17/12,IF(AND('Lease Cycles'!$AV$17&gt;=INDEX('Lease Cycles'!$BG$17:$BM$17,1,AR163),'Lease Cycles'!$AV$17&lt;=AR$6),'Lease Cycles'!$C$17*'Lease Cycles'!$AW$17/12,IF(AND('Lease Cycles'!$AT$17&gt;=INDEX('Lease Cycles'!$BG$17:$BM$17,1,AR163),'Lease Cycles'!$AT$17&lt;=AR$6),'Lease Cycles'!$C$17*'Lease Cycles'!$AU$17/12,'Lease Cycles'!$C$17*INDEX('Lease Cycles'!$CB$17:$CH$17,1,AR163)*(1+INDEX('Lease Cycles'!$CI$17:$CO$17,1,AR163))^INT(INT(AR164/12)/INDEX('Lease Cycles'!$CP$17:$CV$17,1,AR163))/12)))),'Lease Cycles'!$C$17*INDEX('Lease Cycles'!$CB$17:$CH$17,1,AR163)*(1+INDEX('Lease Cycles'!$CI$17:$CO$17,1,AR163))^INT(INT(AR164/12)/INDEX('Lease Cycles'!$CP$17:$CV$17,1,AR163))/12))),IF('Lease Cycles'!$N$17=1,'Lease Cycles'!$C$17*'Lease Cycles'!$E$17*INDEX('Lease Cycles'!$HE$17:$HK$17,1,AR163)*(1+INDEX('Lease Cycles'!$GQ$17:$GW$17,1,AR163))^INT(INT((AR$6-INDEX('Lease Cycles'!$GJ$17:$GP$17,1,AR163))/12)/INDEX('Lease Cycles'!$GX$17:$HD$17,1,AR163))/12,0)))</f>
        <v>2596.9733333333334</v>
      </c>
      <c r="AS166" s="28">
        <f>IF(AS163=0,IF('Lease Cycles'!$F$17&gt;0,'Lease Cycles'!$C$17*'Lease Cycles'!$E$17/12,0),IF(AS165=1,IF('Lease Cycles'!$AT$17&gt;=9999,'Lease Cycles'!$C$17*INDEX('Lease Cycles'!$CB$17:$CH$17,1,AS163)*(1+INDEX('Lease Cycles'!$CI$17:$CO$17,1,AS163))^INT(INT(AS164/12)/INDEX('Lease Cycles'!$CP$17:$CV$17,1,AS163))/12,IF(AS163=1,IF(AS164&gt;=INDEX('Lease Cycles'!$DK$17:$DQ$17,1,AS163),IF(AS$6&gt;='Lease Cycles'!$AZ$17,'Lease Cycles'!$C$17*'Lease Cycles'!$BA$17/12,IF(AS$6&gt;='Lease Cycles'!$AX$17,'Lease Cycles'!$C$17*'Lease Cycles'!$AY$17/12,IF(AS$6&gt;='Lease Cycles'!$AV$17,'Lease Cycles'!$C$17*'Lease Cycles'!$AW$17/12,IF(AS$6&gt;='Lease Cycles'!$AT$17,'Lease Cycles'!$C$17*'Lease Cycles'!$AU$17/12,'Lease Cycles'!$C$17*INDEX('Lease Cycles'!$CB$17:$CH$17,1,AS163)*(1+INDEX('Lease Cycles'!$CI$17:$CO$17,1,AS163))^INT(INT(AS164/12)/INDEX('Lease Cycles'!$CP$17:$CV$17,1,AS163))/12)))),'Lease Cycles'!$C$17*INDEX('Lease Cycles'!$CB$17:$CH$17,1,AS163)*(1+INDEX('Lease Cycles'!$CI$17:$CO$17,1,AS163))^INT(INT(AS164/12)/INDEX('Lease Cycles'!$CP$17:$CV$17,1,AS163))/12),IF(INDEX('Lease Cycles'!$EF$17:$EL$17,1,AS163)=1,IF(AND('Lease Cycles'!$AZ$17&gt;=INDEX('Lease Cycles'!$BG$17:$BM$17,1,AS163),'Lease Cycles'!$AZ$17&lt;=AS$6),'Lease Cycles'!$C$17*'Lease Cycles'!$BA$17/12,IF(AND('Lease Cycles'!$AX$17&gt;=INDEX('Lease Cycles'!$BG$17:$BM$17,1,AS163),'Lease Cycles'!$AX$17&lt;=AS$6),'Lease Cycles'!$C$17*'Lease Cycles'!$AY$17/12,IF(AND('Lease Cycles'!$AV$17&gt;=INDEX('Lease Cycles'!$BG$17:$BM$17,1,AS163),'Lease Cycles'!$AV$17&lt;=AS$6),'Lease Cycles'!$C$17*'Lease Cycles'!$AW$17/12,IF(AND('Lease Cycles'!$AT$17&gt;=INDEX('Lease Cycles'!$BG$17:$BM$17,1,AS163),'Lease Cycles'!$AT$17&lt;=AS$6),'Lease Cycles'!$C$17*'Lease Cycles'!$AU$17/12,'Lease Cycles'!$C$17*INDEX('Lease Cycles'!$CB$17:$CH$17,1,AS163)*(1+INDEX('Lease Cycles'!$CI$17:$CO$17,1,AS163))^INT(INT(AS164/12)/INDEX('Lease Cycles'!$CP$17:$CV$17,1,AS163))/12)))),'Lease Cycles'!$C$17*INDEX('Lease Cycles'!$CB$17:$CH$17,1,AS163)*(1+INDEX('Lease Cycles'!$CI$17:$CO$17,1,AS163))^INT(INT(AS164/12)/INDEX('Lease Cycles'!$CP$17:$CV$17,1,AS163))/12))),IF('Lease Cycles'!$N$17=1,'Lease Cycles'!$C$17*'Lease Cycles'!$E$17*INDEX('Lease Cycles'!$HE$17:$HK$17,1,AS163)*(1+INDEX('Lease Cycles'!$GQ$17:$GW$17,1,AS163))^INT(INT((AS$6-INDEX('Lease Cycles'!$GJ$17:$GP$17,1,AS163))/12)/INDEX('Lease Cycles'!$GX$17:$HD$17,1,AS163))/12,0)))</f>
        <v>2596.9733333333334</v>
      </c>
      <c r="AT166" s="28">
        <f>IF(AT163=0,IF('Lease Cycles'!$F$17&gt;0,'Lease Cycles'!$C$17*'Lease Cycles'!$E$17/12,0),IF(AT165=1,IF('Lease Cycles'!$AT$17&gt;=9999,'Lease Cycles'!$C$17*INDEX('Lease Cycles'!$CB$17:$CH$17,1,AT163)*(1+INDEX('Lease Cycles'!$CI$17:$CO$17,1,AT163))^INT(INT(AT164/12)/INDEX('Lease Cycles'!$CP$17:$CV$17,1,AT163))/12,IF(AT163=1,IF(AT164&gt;=INDEX('Lease Cycles'!$DK$17:$DQ$17,1,AT163),IF(AT$6&gt;='Lease Cycles'!$AZ$17,'Lease Cycles'!$C$17*'Lease Cycles'!$BA$17/12,IF(AT$6&gt;='Lease Cycles'!$AX$17,'Lease Cycles'!$C$17*'Lease Cycles'!$AY$17/12,IF(AT$6&gt;='Lease Cycles'!$AV$17,'Lease Cycles'!$C$17*'Lease Cycles'!$AW$17/12,IF(AT$6&gt;='Lease Cycles'!$AT$17,'Lease Cycles'!$C$17*'Lease Cycles'!$AU$17/12,'Lease Cycles'!$C$17*INDEX('Lease Cycles'!$CB$17:$CH$17,1,AT163)*(1+INDEX('Lease Cycles'!$CI$17:$CO$17,1,AT163))^INT(INT(AT164/12)/INDEX('Lease Cycles'!$CP$17:$CV$17,1,AT163))/12)))),'Lease Cycles'!$C$17*INDEX('Lease Cycles'!$CB$17:$CH$17,1,AT163)*(1+INDEX('Lease Cycles'!$CI$17:$CO$17,1,AT163))^INT(INT(AT164/12)/INDEX('Lease Cycles'!$CP$17:$CV$17,1,AT163))/12),IF(INDEX('Lease Cycles'!$EF$17:$EL$17,1,AT163)=1,IF(AND('Lease Cycles'!$AZ$17&gt;=INDEX('Lease Cycles'!$BG$17:$BM$17,1,AT163),'Lease Cycles'!$AZ$17&lt;=AT$6),'Lease Cycles'!$C$17*'Lease Cycles'!$BA$17/12,IF(AND('Lease Cycles'!$AX$17&gt;=INDEX('Lease Cycles'!$BG$17:$BM$17,1,AT163),'Lease Cycles'!$AX$17&lt;=AT$6),'Lease Cycles'!$C$17*'Lease Cycles'!$AY$17/12,IF(AND('Lease Cycles'!$AV$17&gt;=INDEX('Lease Cycles'!$BG$17:$BM$17,1,AT163),'Lease Cycles'!$AV$17&lt;=AT$6),'Lease Cycles'!$C$17*'Lease Cycles'!$AW$17/12,IF(AND('Lease Cycles'!$AT$17&gt;=INDEX('Lease Cycles'!$BG$17:$BM$17,1,AT163),'Lease Cycles'!$AT$17&lt;=AT$6),'Lease Cycles'!$C$17*'Lease Cycles'!$AU$17/12,'Lease Cycles'!$C$17*INDEX('Lease Cycles'!$CB$17:$CH$17,1,AT163)*(1+INDEX('Lease Cycles'!$CI$17:$CO$17,1,AT163))^INT(INT(AT164/12)/INDEX('Lease Cycles'!$CP$17:$CV$17,1,AT163))/12)))),'Lease Cycles'!$C$17*INDEX('Lease Cycles'!$CB$17:$CH$17,1,AT163)*(1+INDEX('Lease Cycles'!$CI$17:$CO$17,1,AT163))^INT(INT(AT164/12)/INDEX('Lease Cycles'!$CP$17:$CV$17,1,AT163))/12))),IF('Lease Cycles'!$N$17=1,'Lease Cycles'!$C$17*'Lease Cycles'!$E$17*INDEX('Lease Cycles'!$HE$17:$HK$17,1,AT163)*(1+INDEX('Lease Cycles'!$GQ$17:$GW$17,1,AT163))^INT(INT((AT$6-INDEX('Lease Cycles'!$GJ$17:$GP$17,1,AT163))/12)/INDEX('Lease Cycles'!$GX$17:$HD$17,1,AT163))/12,0)))</f>
        <v>2596.9733333333334</v>
      </c>
      <c r="AU166" s="28">
        <f>IF(AU163=0,IF('Lease Cycles'!$F$17&gt;0,'Lease Cycles'!$C$17*'Lease Cycles'!$E$17/12,0),IF(AU165=1,IF('Lease Cycles'!$AT$17&gt;=9999,'Lease Cycles'!$C$17*INDEX('Lease Cycles'!$CB$17:$CH$17,1,AU163)*(1+INDEX('Lease Cycles'!$CI$17:$CO$17,1,AU163))^INT(INT(AU164/12)/INDEX('Lease Cycles'!$CP$17:$CV$17,1,AU163))/12,IF(AU163=1,IF(AU164&gt;=INDEX('Lease Cycles'!$DK$17:$DQ$17,1,AU163),IF(AU$6&gt;='Lease Cycles'!$AZ$17,'Lease Cycles'!$C$17*'Lease Cycles'!$BA$17/12,IF(AU$6&gt;='Lease Cycles'!$AX$17,'Lease Cycles'!$C$17*'Lease Cycles'!$AY$17/12,IF(AU$6&gt;='Lease Cycles'!$AV$17,'Lease Cycles'!$C$17*'Lease Cycles'!$AW$17/12,IF(AU$6&gt;='Lease Cycles'!$AT$17,'Lease Cycles'!$C$17*'Lease Cycles'!$AU$17/12,'Lease Cycles'!$C$17*INDEX('Lease Cycles'!$CB$17:$CH$17,1,AU163)*(1+INDEX('Lease Cycles'!$CI$17:$CO$17,1,AU163))^INT(INT(AU164/12)/INDEX('Lease Cycles'!$CP$17:$CV$17,1,AU163))/12)))),'Lease Cycles'!$C$17*INDEX('Lease Cycles'!$CB$17:$CH$17,1,AU163)*(1+INDEX('Lease Cycles'!$CI$17:$CO$17,1,AU163))^INT(INT(AU164/12)/INDEX('Lease Cycles'!$CP$17:$CV$17,1,AU163))/12),IF(INDEX('Lease Cycles'!$EF$17:$EL$17,1,AU163)=1,IF(AND('Lease Cycles'!$AZ$17&gt;=INDEX('Lease Cycles'!$BG$17:$BM$17,1,AU163),'Lease Cycles'!$AZ$17&lt;=AU$6),'Lease Cycles'!$C$17*'Lease Cycles'!$BA$17/12,IF(AND('Lease Cycles'!$AX$17&gt;=INDEX('Lease Cycles'!$BG$17:$BM$17,1,AU163),'Lease Cycles'!$AX$17&lt;=AU$6),'Lease Cycles'!$C$17*'Lease Cycles'!$AY$17/12,IF(AND('Lease Cycles'!$AV$17&gt;=INDEX('Lease Cycles'!$BG$17:$BM$17,1,AU163),'Lease Cycles'!$AV$17&lt;=AU$6),'Lease Cycles'!$C$17*'Lease Cycles'!$AW$17/12,IF(AND('Lease Cycles'!$AT$17&gt;=INDEX('Lease Cycles'!$BG$17:$BM$17,1,AU163),'Lease Cycles'!$AT$17&lt;=AU$6),'Lease Cycles'!$C$17*'Lease Cycles'!$AU$17/12,'Lease Cycles'!$C$17*INDEX('Lease Cycles'!$CB$17:$CH$17,1,AU163)*(1+INDEX('Lease Cycles'!$CI$17:$CO$17,1,AU163))^INT(INT(AU164/12)/INDEX('Lease Cycles'!$CP$17:$CV$17,1,AU163))/12)))),'Lease Cycles'!$C$17*INDEX('Lease Cycles'!$CB$17:$CH$17,1,AU163)*(1+INDEX('Lease Cycles'!$CI$17:$CO$17,1,AU163))^INT(INT(AU164/12)/INDEX('Lease Cycles'!$CP$17:$CV$17,1,AU163))/12))),IF('Lease Cycles'!$N$17=1,'Lease Cycles'!$C$17*'Lease Cycles'!$E$17*INDEX('Lease Cycles'!$HE$17:$HK$17,1,AU163)*(1+INDEX('Lease Cycles'!$GQ$17:$GW$17,1,AU163))^INT(INT((AU$6-INDEX('Lease Cycles'!$GJ$17:$GP$17,1,AU163))/12)/INDEX('Lease Cycles'!$GX$17:$HD$17,1,AU163))/12,0)))</f>
        <v>2596.9733333333334</v>
      </c>
      <c r="AV166" s="28">
        <f>IF(AV163=0,IF('Lease Cycles'!$F$17&gt;0,'Lease Cycles'!$C$17*'Lease Cycles'!$E$17/12,0),IF(AV165=1,IF('Lease Cycles'!$AT$17&gt;=9999,'Lease Cycles'!$C$17*INDEX('Lease Cycles'!$CB$17:$CH$17,1,AV163)*(1+INDEX('Lease Cycles'!$CI$17:$CO$17,1,AV163))^INT(INT(AV164/12)/INDEX('Lease Cycles'!$CP$17:$CV$17,1,AV163))/12,IF(AV163=1,IF(AV164&gt;=INDEX('Lease Cycles'!$DK$17:$DQ$17,1,AV163),IF(AV$6&gt;='Lease Cycles'!$AZ$17,'Lease Cycles'!$C$17*'Lease Cycles'!$BA$17/12,IF(AV$6&gt;='Lease Cycles'!$AX$17,'Lease Cycles'!$C$17*'Lease Cycles'!$AY$17/12,IF(AV$6&gt;='Lease Cycles'!$AV$17,'Lease Cycles'!$C$17*'Lease Cycles'!$AW$17/12,IF(AV$6&gt;='Lease Cycles'!$AT$17,'Lease Cycles'!$C$17*'Lease Cycles'!$AU$17/12,'Lease Cycles'!$C$17*INDEX('Lease Cycles'!$CB$17:$CH$17,1,AV163)*(1+INDEX('Lease Cycles'!$CI$17:$CO$17,1,AV163))^INT(INT(AV164/12)/INDEX('Lease Cycles'!$CP$17:$CV$17,1,AV163))/12)))),'Lease Cycles'!$C$17*INDEX('Lease Cycles'!$CB$17:$CH$17,1,AV163)*(1+INDEX('Lease Cycles'!$CI$17:$CO$17,1,AV163))^INT(INT(AV164/12)/INDEX('Lease Cycles'!$CP$17:$CV$17,1,AV163))/12),IF(INDEX('Lease Cycles'!$EF$17:$EL$17,1,AV163)=1,IF(AND('Lease Cycles'!$AZ$17&gt;=INDEX('Lease Cycles'!$BG$17:$BM$17,1,AV163),'Lease Cycles'!$AZ$17&lt;=AV$6),'Lease Cycles'!$C$17*'Lease Cycles'!$BA$17/12,IF(AND('Lease Cycles'!$AX$17&gt;=INDEX('Lease Cycles'!$BG$17:$BM$17,1,AV163),'Lease Cycles'!$AX$17&lt;=AV$6),'Lease Cycles'!$C$17*'Lease Cycles'!$AY$17/12,IF(AND('Lease Cycles'!$AV$17&gt;=INDEX('Lease Cycles'!$BG$17:$BM$17,1,AV163),'Lease Cycles'!$AV$17&lt;=AV$6),'Lease Cycles'!$C$17*'Lease Cycles'!$AW$17/12,IF(AND('Lease Cycles'!$AT$17&gt;=INDEX('Lease Cycles'!$BG$17:$BM$17,1,AV163),'Lease Cycles'!$AT$17&lt;=AV$6),'Lease Cycles'!$C$17*'Lease Cycles'!$AU$17/12,'Lease Cycles'!$C$17*INDEX('Lease Cycles'!$CB$17:$CH$17,1,AV163)*(1+INDEX('Lease Cycles'!$CI$17:$CO$17,1,AV163))^INT(INT(AV164/12)/INDEX('Lease Cycles'!$CP$17:$CV$17,1,AV163))/12)))),'Lease Cycles'!$C$17*INDEX('Lease Cycles'!$CB$17:$CH$17,1,AV163)*(1+INDEX('Lease Cycles'!$CI$17:$CO$17,1,AV163))^INT(INT(AV164/12)/INDEX('Lease Cycles'!$CP$17:$CV$17,1,AV163))/12))),IF('Lease Cycles'!$N$17=1,'Lease Cycles'!$C$17*'Lease Cycles'!$E$17*INDEX('Lease Cycles'!$HE$17:$HK$17,1,AV163)*(1+INDEX('Lease Cycles'!$GQ$17:$GW$17,1,AV163))^INT(INT((AV$6-INDEX('Lease Cycles'!$GJ$17:$GP$17,1,AV163))/12)/INDEX('Lease Cycles'!$GX$17:$HD$17,1,AV163))/12,0)))</f>
        <v>2596.9733333333334</v>
      </c>
      <c r="AW166" s="28">
        <f>IF(AW163=0,IF('Lease Cycles'!$F$17&gt;0,'Lease Cycles'!$C$17*'Lease Cycles'!$E$17/12,0),IF(AW165=1,IF('Lease Cycles'!$AT$17&gt;=9999,'Lease Cycles'!$C$17*INDEX('Lease Cycles'!$CB$17:$CH$17,1,AW163)*(1+INDEX('Lease Cycles'!$CI$17:$CO$17,1,AW163))^INT(INT(AW164/12)/INDEX('Lease Cycles'!$CP$17:$CV$17,1,AW163))/12,IF(AW163=1,IF(AW164&gt;=INDEX('Lease Cycles'!$DK$17:$DQ$17,1,AW163),IF(AW$6&gt;='Lease Cycles'!$AZ$17,'Lease Cycles'!$C$17*'Lease Cycles'!$BA$17/12,IF(AW$6&gt;='Lease Cycles'!$AX$17,'Lease Cycles'!$C$17*'Lease Cycles'!$AY$17/12,IF(AW$6&gt;='Lease Cycles'!$AV$17,'Lease Cycles'!$C$17*'Lease Cycles'!$AW$17/12,IF(AW$6&gt;='Lease Cycles'!$AT$17,'Lease Cycles'!$C$17*'Lease Cycles'!$AU$17/12,'Lease Cycles'!$C$17*INDEX('Lease Cycles'!$CB$17:$CH$17,1,AW163)*(1+INDEX('Lease Cycles'!$CI$17:$CO$17,1,AW163))^INT(INT(AW164/12)/INDEX('Lease Cycles'!$CP$17:$CV$17,1,AW163))/12)))),'Lease Cycles'!$C$17*INDEX('Lease Cycles'!$CB$17:$CH$17,1,AW163)*(1+INDEX('Lease Cycles'!$CI$17:$CO$17,1,AW163))^INT(INT(AW164/12)/INDEX('Lease Cycles'!$CP$17:$CV$17,1,AW163))/12),IF(INDEX('Lease Cycles'!$EF$17:$EL$17,1,AW163)=1,IF(AND('Lease Cycles'!$AZ$17&gt;=INDEX('Lease Cycles'!$BG$17:$BM$17,1,AW163),'Lease Cycles'!$AZ$17&lt;=AW$6),'Lease Cycles'!$C$17*'Lease Cycles'!$BA$17/12,IF(AND('Lease Cycles'!$AX$17&gt;=INDEX('Lease Cycles'!$BG$17:$BM$17,1,AW163),'Lease Cycles'!$AX$17&lt;=AW$6),'Lease Cycles'!$C$17*'Lease Cycles'!$AY$17/12,IF(AND('Lease Cycles'!$AV$17&gt;=INDEX('Lease Cycles'!$BG$17:$BM$17,1,AW163),'Lease Cycles'!$AV$17&lt;=AW$6),'Lease Cycles'!$C$17*'Lease Cycles'!$AW$17/12,IF(AND('Lease Cycles'!$AT$17&gt;=INDEX('Lease Cycles'!$BG$17:$BM$17,1,AW163),'Lease Cycles'!$AT$17&lt;=AW$6),'Lease Cycles'!$C$17*'Lease Cycles'!$AU$17/12,'Lease Cycles'!$C$17*INDEX('Lease Cycles'!$CB$17:$CH$17,1,AW163)*(1+INDEX('Lease Cycles'!$CI$17:$CO$17,1,AW163))^INT(INT(AW164/12)/INDEX('Lease Cycles'!$CP$17:$CV$17,1,AW163))/12)))),'Lease Cycles'!$C$17*INDEX('Lease Cycles'!$CB$17:$CH$17,1,AW163)*(1+INDEX('Lease Cycles'!$CI$17:$CO$17,1,AW163))^INT(INT(AW164/12)/INDEX('Lease Cycles'!$CP$17:$CV$17,1,AW163))/12))),IF('Lease Cycles'!$N$17=1,'Lease Cycles'!$C$17*'Lease Cycles'!$E$17*INDEX('Lease Cycles'!$HE$17:$HK$17,1,AW163)*(1+INDEX('Lease Cycles'!$GQ$17:$GW$17,1,AW163))^INT(INT((AW$6-INDEX('Lease Cycles'!$GJ$17:$GP$17,1,AW163))/12)/INDEX('Lease Cycles'!$GX$17:$HD$17,1,AW163))/12,0)))</f>
        <v>2596.9733333333334</v>
      </c>
      <c r="AX166" s="28">
        <f>IF(AX163=0,IF('Lease Cycles'!$F$17&gt;0,'Lease Cycles'!$C$17*'Lease Cycles'!$E$17/12,0),IF(AX165=1,IF('Lease Cycles'!$AT$17&gt;=9999,'Lease Cycles'!$C$17*INDEX('Lease Cycles'!$CB$17:$CH$17,1,AX163)*(1+INDEX('Lease Cycles'!$CI$17:$CO$17,1,AX163))^INT(INT(AX164/12)/INDEX('Lease Cycles'!$CP$17:$CV$17,1,AX163))/12,IF(AX163=1,IF(AX164&gt;=INDEX('Lease Cycles'!$DK$17:$DQ$17,1,AX163),IF(AX$6&gt;='Lease Cycles'!$AZ$17,'Lease Cycles'!$C$17*'Lease Cycles'!$BA$17/12,IF(AX$6&gt;='Lease Cycles'!$AX$17,'Lease Cycles'!$C$17*'Lease Cycles'!$AY$17/12,IF(AX$6&gt;='Lease Cycles'!$AV$17,'Lease Cycles'!$C$17*'Lease Cycles'!$AW$17/12,IF(AX$6&gt;='Lease Cycles'!$AT$17,'Lease Cycles'!$C$17*'Lease Cycles'!$AU$17/12,'Lease Cycles'!$C$17*INDEX('Lease Cycles'!$CB$17:$CH$17,1,AX163)*(1+INDEX('Lease Cycles'!$CI$17:$CO$17,1,AX163))^INT(INT(AX164/12)/INDEX('Lease Cycles'!$CP$17:$CV$17,1,AX163))/12)))),'Lease Cycles'!$C$17*INDEX('Lease Cycles'!$CB$17:$CH$17,1,AX163)*(1+INDEX('Lease Cycles'!$CI$17:$CO$17,1,AX163))^INT(INT(AX164/12)/INDEX('Lease Cycles'!$CP$17:$CV$17,1,AX163))/12),IF(INDEX('Lease Cycles'!$EF$17:$EL$17,1,AX163)=1,IF(AND('Lease Cycles'!$AZ$17&gt;=INDEX('Lease Cycles'!$BG$17:$BM$17,1,AX163),'Lease Cycles'!$AZ$17&lt;=AX$6),'Lease Cycles'!$C$17*'Lease Cycles'!$BA$17/12,IF(AND('Lease Cycles'!$AX$17&gt;=INDEX('Lease Cycles'!$BG$17:$BM$17,1,AX163),'Lease Cycles'!$AX$17&lt;=AX$6),'Lease Cycles'!$C$17*'Lease Cycles'!$AY$17/12,IF(AND('Lease Cycles'!$AV$17&gt;=INDEX('Lease Cycles'!$BG$17:$BM$17,1,AX163),'Lease Cycles'!$AV$17&lt;=AX$6),'Lease Cycles'!$C$17*'Lease Cycles'!$AW$17/12,IF(AND('Lease Cycles'!$AT$17&gt;=INDEX('Lease Cycles'!$BG$17:$BM$17,1,AX163),'Lease Cycles'!$AT$17&lt;=AX$6),'Lease Cycles'!$C$17*'Lease Cycles'!$AU$17/12,'Lease Cycles'!$C$17*INDEX('Lease Cycles'!$CB$17:$CH$17,1,AX163)*(1+INDEX('Lease Cycles'!$CI$17:$CO$17,1,AX163))^INT(INT(AX164/12)/INDEX('Lease Cycles'!$CP$17:$CV$17,1,AX163))/12)))),'Lease Cycles'!$C$17*INDEX('Lease Cycles'!$CB$17:$CH$17,1,AX163)*(1+INDEX('Lease Cycles'!$CI$17:$CO$17,1,AX163))^INT(INT(AX164/12)/INDEX('Lease Cycles'!$CP$17:$CV$17,1,AX163))/12))),IF('Lease Cycles'!$N$17=1,'Lease Cycles'!$C$17*'Lease Cycles'!$E$17*INDEX('Lease Cycles'!$HE$17:$HK$17,1,AX163)*(1+INDEX('Lease Cycles'!$GQ$17:$GW$17,1,AX163))^INT(INT((AX$6-INDEX('Lease Cycles'!$GJ$17:$GP$17,1,AX163))/12)/INDEX('Lease Cycles'!$GX$17:$HD$17,1,AX163))/12,0)))</f>
        <v>2596.9733333333334</v>
      </c>
      <c r="AY166" s="28">
        <f>IF(AY163=0,IF('Lease Cycles'!$F$17&gt;0,'Lease Cycles'!$C$17*'Lease Cycles'!$E$17/12,0),IF(AY165=1,IF('Lease Cycles'!$AT$17&gt;=9999,'Lease Cycles'!$C$17*INDEX('Lease Cycles'!$CB$17:$CH$17,1,AY163)*(1+INDEX('Lease Cycles'!$CI$17:$CO$17,1,AY163))^INT(INT(AY164/12)/INDEX('Lease Cycles'!$CP$17:$CV$17,1,AY163))/12,IF(AY163=1,IF(AY164&gt;=INDEX('Lease Cycles'!$DK$17:$DQ$17,1,AY163),IF(AY$6&gt;='Lease Cycles'!$AZ$17,'Lease Cycles'!$C$17*'Lease Cycles'!$BA$17/12,IF(AY$6&gt;='Lease Cycles'!$AX$17,'Lease Cycles'!$C$17*'Lease Cycles'!$AY$17/12,IF(AY$6&gt;='Lease Cycles'!$AV$17,'Lease Cycles'!$C$17*'Lease Cycles'!$AW$17/12,IF(AY$6&gt;='Lease Cycles'!$AT$17,'Lease Cycles'!$C$17*'Lease Cycles'!$AU$17/12,'Lease Cycles'!$C$17*INDEX('Lease Cycles'!$CB$17:$CH$17,1,AY163)*(1+INDEX('Lease Cycles'!$CI$17:$CO$17,1,AY163))^INT(INT(AY164/12)/INDEX('Lease Cycles'!$CP$17:$CV$17,1,AY163))/12)))),'Lease Cycles'!$C$17*INDEX('Lease Cycles'!$CB$17:$CH$17,1,AY163)*(1+INDEX('Lease Cycles'!$CI$17:$CO$17,1,AY163))^INT(INT(AY164/12)/INDEX('Lease Cycles'!$CP$17:$CV$17,1,AY163))/12),IF(INDEX('Lease Cycles'!$EF$17:$EL$17,1,AY163)=1,IF(AND('Lease Cycles'!$AZ$17&gt;=INDEX('Lease Cycles'!$BG$17:$BM$17,1,AY163),'Lease Cycles'!$AZ$17&lt;=AY$6),'Lease Cycles'!$C$17*'Lease Cycles'!$BA$17/12,IF(AND('Lease Cycles'!$AX$17&gt;=INDEX('Lease Cycles'!$BG$17:$BM$17,1,AY163),'Lease Cycles'!$AX$17&lt;=AY$6),'Lease Cycles'!$C$17*'Lease Cycles'!$AY$17/12,IF(AND('Lease Cycles'!$AV$17&gt;=INDEX('Lease Cycles'!$BG$17:$BM$17,1,AY163),'Lease Cycles'!$AV$17&lt;=AY$6),'Lease Cycles'!$C$17*'Lease Cycles'!$AW$17/12,IF(AND('Lease Cycles'!$AT$17&gt;=INDEX('Lease Cycles'!$BG$17:$BM$17,1,AY163),'Lease Cycles'!$AT$17&lt;=AY$6),'Lease Cycles'!$C$17*'Lease Cycles'!$AU$17/12,'Lease Cycles'!$C$17*INDEX('Lease Cycles'!$CB$17:$CH$17,1,AY163)*(1+INDEX('Lease Cycles'!$CI$17:$CO$17,1,AY163))^INT(INT(AY164/12)/INDEX('Lease Cycles'!$CP$17:$CV$17,1,AY163))/12)))),'Lease Cycles'!$C$17*INDEX('Lease Cycles'!$CB$17:$CH$17,1,AY163)*(1+INDEX('Lease Cycles'!$CI$17:$CO$17,1,AY163))^INT(INT(AY164/12)/INDEX('Lease Cycles'!$CP$17:$CV$17,1,AY163))/12))),IF('Lease Cycles'!$N$17=1,'Lease Cycles'!$C$17*'Lease Cycles'!$E$17*INDEX('Lease Cycles'!$HE$17:$HK$17,1,AY163)*(1+INDEX('Lease Cycles'!$GQ$17:$GW$17,1,AY163))^INT(INT((AY$6-INDEX('Lease Cycles'!$GJ$17:$GP$17,1,AY163))/12)/INDEX('Lease Cycles'!$GX$17:$HD$17,1,AY163))/12,0)))</f>
        <v>2596.9733333333334</v>
      </c>
      <c r="AZ166" s="28">
        <f>IF(AZ163=0,IF('Lease Cycles'!$F$17&gt;0,'Lease Cycles'!$C$17*'Lease Cycles'!$E$17/12,0),IF(AZ165=1,IF('Lease Cycles'!$AT$17&gt;=9999,'Lease Cycles'!$C$17*INDEX('Lease Cycles'!$CB$17:$CH$17,1,AZ163)*(1+INDEX('Lease Cycles'!$CI$17:$CO$17,1,AZ163))^INT(INT(AZ164/12)/INDEX('Lease Cycles'!$CP$17:$CV$17,1,AZ163))/12,IF(AZ163=1,IF(AZ164&gt;=INDEX('Lease Cycles'!$DK$17:$DQ$17,1,AZ163),IF(AZ$6&gt;='Lease Cycles'!$AZ$17,'Lease Cycles'!$C$17*'Lease Cycles'!$BA$17/12,IF(AZ$6&gt;='Lease Cycles'!$AX$17,'Lease Cycles'!$C$17*'Lease Cycles'!$AY$17/12,IF(AZ$6&gt;='Lease Cycles'!$AV$17,'Lease Cycles'!$C$17*'Lease Cycles'!$AW$17/12,IF(AZ$6&gt;='Lease Cycles'!$AT$17,'Lease Cycles'!$C$17*'Lease Cycles'!$AU$17/12,'Lease Cycles'!$C$17*INDEX('Lease Cycles'!$CB$17:$CH$17,1,AZ163)*(1+INDEX('Lease Cycles'!$CI$17:$CO$17,1,AZ163))^INT(INT(AZ164/12)/INDEX('Lease Cycles'!$CP$17:$CV$17,1,AZ163))/12)))),'Lease Cycles'!$C$17*INDEX('Lease Cycles'!$CB$17:$CH$17,1,AZ163)*(1+INDEX('Lease Cycles'!$CI$17:$CO$17,1,AZ163))^INT(INT(AZ164/12)/INDEX('Lease Cycles'!$CP$17:$CV$17,1,AZ163))/12),IF(INDEX('Lease Cycles'!$EF$17:$EL$17,1,AZ163)=1,IF(AND('Lease Cycles'!$AZ$17&gt;=INDEX('Lease Cycles'!$BG$17:$BM$17,1,AZ163),'Lease Cycles'!$AZ$17&lt;=AZ$6),'Lease Cycles'!$C$17*'Lease Cycles'!$BA$17/12,IF(AND('Lease Cycles'!$AX$17&gt;=INDEX('Lease Cycles'!$BG$17:$BM$17,1,AZ163),'Lease Cycles'!$AX$17&lt;=AZ$6),'Lease Cycles'!$C$17*'Lease Cycles'!$AY$17/12,IF(AND('Lease Cycles'!$AV$17&gt;=INDEX('Lease Cycles'!$BG$17:$BM$17,1,AZ163),'Lease Cycles'!$AV$17&lt;=AZ$6),'Lease Cycles'!$C$17*'Lease Cycles'!$AW$17/12,IF(AND('Lease Cycles'!$AT$17&gt;=INDEX('Lease Cycles'!$BG$17:$BM$17,1,AZ163),'Lease Cycles'!$AT$17&lt;=AZ$6),'Lease Cycles'!$C$17*'Lease Cycles'!$AU$17/12,'Lease Cycles'!$C$17*INDEX('Lease Cycles'!$CB$17:$CH$17,1,AZ163)*(1+INDEX('Lease Cycles'!$CI$17:$CO$17,1,AZ163))^INT(INT(AZ164/12)/INDEX('Lease Cycles'!$CP$17:$CV$17,1,AZ163))/12)))),'Lease Cycles'!$C$17*INDEX('Lease Cycles'!$CB$17:$CH$17,1,AZ163)*(1+INDEX('Lease Cycles'!$CI$17:$CO$17,1,AZ163))^INT(INT(AZ164/12)/INDEX('Lease Cycles'!$CP$17:$CV$17,1,AZ163))/12))),IF('Lease Cycles'!$N$17=1,'Lease Cycles'!$C$17*'Lease Cycles'!$E$17*INDEX('Lease Cycles'!$HE$17:$HK$17,1,AZ163)*(1+INDEX('Lease Cycles'!$GQ$17:$GW$17,1,AZ163))^INT(INT((AZ$6-INDEX('Lease Cycles'!$GJ$17:$GP$17,1,AZ163))/12)/INDEX('Lease Cycles'!$GX$17:$HD$17,1,AZ163))/12,0)))</f>
        <v>2674.882533333333</v>
      </c>
      <c r="BA166" s="28">
        <f>IF(BA163=0,IF('Lease Cycles'!$F$17&gt;0,'Lease Cycles'!$C$17*'Lease Cycles'!$E$17/12,0),IF(BA165=1,IF('Lease Cycles'!$AT$17&gt;=9999,'Lease Cycles'!$C$17*INDEX('Lease Cycles'!$CB$17:$CH$17,1,BA163)*(1+INDEX('Lease Cycles'!$CI$17:$CO$17,1,BA163))^INT(INT(BA164/12)/INDEX('Lease Cycles'!$CP$17:$CV$17,1,BA163))/12,IF(BA163=1,IF(BA164&gt;=INDEX('Lease Cycles'!$DK$17:$DQ$17,1,BA163),IF(BA$6&gt;='Lease Cycles'!$AZ$17,'Lease Cycles'!$C$17*'Lease Cycles'!$BA$17/12,IF(BA$6&gt;='Lease Cycles'!$AX$17,'Lease Cycles'!$C$17*'Lease Cycles'!$AY$17/12,IF(BA$6&gt;='Lease Cycles'!$AV$17,'Lease Cycles'!$C$17*'Lease Cycles'!$AW$17/12,IF(BA$6&gt;='Lease Cycles'!$AT$17,'Lease Cycles'!$C$17*'Lease Cycles'!$AU$17/12,'Lease Cycles'!$C$17*INDEX('Lease Cycles'!$CB$17:$CH$17,1,BA163)*(1+INDEX('Lease Cycles'!$CI$17:$CO$17,1,BA163))^INT(INT(BA164/12)/INDEX('Lease Cycles'!$CP$17:$CV$17,1,BA163))/12)))),'Lease Cycles'!$C$17*INDEX('Lease Cycles'!$CB$17:$CH$17,1,BA163)*(1+INDEX('Lease Cycles'!$CI$17:$CO$17,1,BA163))^INT(INT(BA164/12)/INDEX('Lease Cycles'!$CP$17:$CV$17,1,BA163))/12),IF(INDEX('Lease Cycles'!$EF$17:$EL$17,1,BA163)=1,IF(AND('Lease Cycles'!$AZ$17&gt;=INDEX('Lease Cycles'!$BG$17:$BM$17,1,BA163),'Lease Cycles'!$AZ$17&lt;=BA$6),'Lease Cycles'!$C$17*'Lease Cycles'!$BA$17/12,IF(AND('Lease Cycles'!$AX$17&gt;=INDEX('Lease Cycles'!$BG$17:$BM$17,1,BA163),'Lease Cycles'!$AX$17&lt;=BA$6),'Lease Cycles'!$C$17*'Lease Cycles'!$AY$17/12,IF(AND('Lease Cycles'!$AV$17&gt;=INDEX('Lease Cycles'!$BG$17:$BM$17,1,BA163),'Lease Cycles'!$AV$17&lt;=BA$6),'Lease Cycles'!$C$17*'Lease Cycles'!$AW$17/12,IF(AND('Lease Cycles'!$AT$17&gt;=INDEX('Lease Cycles'!$BG$17:$BM$17,1,BA163),'Lease Cycles'!$AT$17&lt;=BA$6),'Lease Cycles'!$C$17*'Lease Cycles'!$AU$17/12,'Lease Cycles'!$C$17*INDEX('Lease Cycles'!$CB$17:$CH$17,1,BA163)*(1+INDEX('Lease Cycles'!$CI$17:$CO$17,1,BA163))^INT(INT(BA164/12)/INDEX('Lease Cycles'!$CP$17:$CV$17,1,BA163))/12)))),'Lease Cycles'!$C$17*INDEX('Lease Cycles'!$CB$17:$CH$17,1,BA163)*(1+INDEX('Lease Cycles'!$CI$17:$CO$17,1,BA163))^INT(INT(BA164/12)/INDEX('Lease Cycles'!$CP$17:$CV$17,1,BA163))/12))),IF('Lease Cycles'!$N$17=1,'Lease Cycles'!$C$17*'Lease Cycles'!$E$17*INDEX('Lease Cycles'!$HE$17:$HK$17,1,BA163)*(1+INDEX('Lease Cycles'!$GQ$17:$GW$17,1,BA163))^INT(INT((BA$6-INDEX('Lease Cycles'!$GJ$17:$GP$17,1,BA163))/12)/INDEX('Lease Cycles'!$GX$17:$HD$17,1,BA163))/12,0)))</f>
        <v>2674.882533333333</v>
      </c>
      <c r="BB166" s="28">
        <f>IF(BB163=0,IF('Lease Cycles'!$F$17&gt;0,'Lease Cycles'!$C$17*'Lease Cycles'!$E$17/12,0),IF(BB165=1,IF('Lease Cycles'!$AT$17&gt;=9999,'Lease Cycles'!$C$17*INDEX('Lease Cycles'!$CB$17:$CH$17,1,BB163)*(1+INDEX('Lease Cycles'!$CI$17:$CO$17,1,BB163))^INT(INT(BB164/12)/INDEX('Lease Cycles'!$CP$17:$CV$17,1,BB163))/12,IF(BB163=1,IF(BB164&gt;=INDEX('Lease Cycles'!$DK$17:$DQ$17,1,BB163),IF(BB$6&gt;='Lease Cycles'!$AZ$17,'Lease Cycles'!$C$17*'Lease Cycles'!$BA$17/12,IF(BB$6&gt;='Lease Cycles'!$AX$17,'Lease Cycles'!$C$17*'Lease Cycles'!$AY$17/12,IF(BB$6&gt;='Lease Cycles'!$AV$17,'Lease Cycles'!$C$17*'Lease Cycles'!$AW$17/12,IF(BB$6&gt;='Lease Cycles'!$AT$17,'Lease Cycles'!$C$17*'Lease Cycles'!$AU$17/12,'Lease Cycles'!$C$17*INDEX('Lease Cycles'!$CB$17:$CH$17,1,BB163)*(1+INDEX('Lease Cycles'!$CI$17:$CO$17,1,BB163))^INT(INT(BB164/12)/INDEX('Lease Cycles'!$CP$17:$CV$17,1,BB163))/12)))),'Lease Cycles'!$C$17*INDEX('Lease Cycles'!$CB$17:$CH$17,1,BB163)*(1+INDEX('Lease Cycles'!$CI$17:$CO$17,1,BB163))^INT(INT(BB164/12)/INDEX('Lease Cycles'!$CP$17:$CV$17,1,BB163))/12),IF(INDEX('Lease Cycles'!$EF$17:$EL$17,1,BB163)=1,IF(AND('Lease Cycles'!$AZ$17&gt;=INDEX('Lease Cycles'!$BG$17:$BM$17,1,BB163),'Lease Cycles'!$AZ$17&lt;=BB$6),'Lease Cycles'!$C$17*'Lease Cycles'!$BA$17/12,IF(AND('Lease Cycles'!$AX$17&gt;=INDEX('Lease Cycles'!$BG$17:$BM$17,1,BB163),'Lease Cycles'!$AX$17&lt;=BB$6),'Lease Cycles'!$C$17*'Lease Cycles'!$AY$17/12,IF(AND('Lease Cycles'!$AV$17&gt;=INDEX('Lease Cycles'!$BG$17:$BM$17,1,BB163),'Lease Cycles'!$AV$17&lt;=BB$6),'Lease Cycles'!$C$17*'Lease Cycles'!$AW$17/12,IF(AND('Lease Cycles'!$AT$17&gt;=INDEX('Lease Cycles'!$BG$17:$BM$17,1,BB163),'Lease Cycles'!$AT$17&lt;=BB$6),'Lease Cycles'!$C$17*'Lease Cycles'!$AU$17/12,'Lease Cycles'!$C$17*INDEX('Lease Cycles'!$CB$17:$CH$17,1,BB163)*(1+INDEX('Lease Cycles'!$CI$17:$CO$17,1,BB163))^INT(INT(BB164/12)/INDEX('Lease Cycles'!$CP$17:$CV$17,1,BB163))/12)))),'Lease Cycles'!$C$17*INDEX('Lease Cycles'!$CB$17:$CH$17,1,BB163)*(1+INDEX('Lease Cycles'!$CI$17:$CO$17,1,BB163))^INT(INT(BB164/12)/INDEX('Lease Cycles'!$CP$17:$CV$17,1,BB163))/12))),IF('Lease Cycles'!$N$17=1,'Lease Cycles'!$C$17*'Lease Cycles'!$E$17*INDEX('Lease Cycles'!$HE$17:$HK$17,1,BB163)*(1+INDEX('Lease Cycles'!$GQ$17:$GW$17,1,BB163))^INT(INT((BB$6-INDEX('Lease Cycles'!$GJ$17:$GP$17,1,BB163))/12)/INDEX('Lease Cycles'!$GX$17:$HD$17,1,BB163))/12,0)))</f>
        <v>2674.882533333333</v>
      </c>
      <c r="BC166" s="28">
        <f>IF(BC163=0,IF('Lease Cycles'!$F$17&gt;0,'Lease Cycles'!$C$17*'Lease Cycles'!$E$17/12,0),IF(BC165=1,IF('Lease Cycles'!$AT$17&gt;=9999,'Lease Cycles'!$C$17*INDEX('Lease Cycles'!$CB$17:$CH$17,1,BC163)*(1+INDEX('Lease Cycles'!$CI$17:$CO$17,1,BC163))^INT(INT(BC164/12)/INDEX('Lease Cycles'!$CP$17:$CV$17,1,BC163))/12,IF(BC163=1,IF(BC164&gt;=INDEX('Lease Cycles'!$DK$17:$DQ$17,1,BC163),IF(BC$6&gt;='Lease Cycles'!$AZ$17,'Lease Cycles'!$C$17*'Lease Cycles'!$BA$17/12,IF(BC$6&gt;='Lease Cycles'!$AX$17,'Lease Cycles'!$C$17*'Lease Cycles'!$AY$17/12,IF(BC$6&gt;='Lease Cycles'!$AV$17,'Lease Cycles'!$C$17*'Lease Cycles'!$AW$17/12,IF(BC$6&gt;='Lease Cycles'!$AT$17,'Lease Cycles'!$C$17*'Lease Cycles'!$AU$17/12,'Lease Cycles'!$C$17*INDEX('Lease Cycles'!$CB$17:$CH$17,1,BC163)*(1+INDEX('Lease Cycles'!$CI$17:$CO$17,1,BC163))^INT(INT(BC164/12)/INDEX('Lease Cycles'!$CP$17:$CV$17,1,BC163))/12)))),'Lease Cycles'!$C$17*INDEX('Lease Cycles'!$CB$17:$CH$17,1,BC163)*(1+INDEX('Lease Cycles'!$CI$17:$CO$17,1,BC163))^INT(INT(BC164/12)/INDEX('Lease Cycles'!$CP$17:$CV$17,1,BC163))/12),IF(INDEX('Lease Cycles'!$EF$17:$EL$17,1,BC163)=1,IF(AND('Lease Cycles'!$AZ$17&gt;=INDEX('Lease Cycles'!$BG$17:$BM$17,1,BC163),'Lease Cycles'!$AZ$17&lt;=BC$6),'Lease Cycles'!$C$17*'Lease Cycles'!$BA$17/12,IF(AND('Lease Cycles'!$AX$17&gt;=INDEX('Lease Cycles'!$BG$17:$BM$17,1,BC163),'Lease Cycles'!$AX$17&lt;=BC$6),'Lease Cycles'!$C$17*'Lease Cycles'!$AY$17/12,IF(AND('Lease Cycles'!$AV$17&gt;=INDEX('Lease Cycles'!$BG$17:$BM$17,1,BC163),'Lease Cycles'!$AV$17&lt;=BC$6),'Lease Cycles'!$C$17*'Lease Cycles'!$AW$17/12,IF(AND('Lease Cycles'!$AT$17&gt;=INDEX('Lease Cycles'!$BG$17:$BM$17,1,BC163),'Lease Cycles'!$AT$17&lt;=BC$6),'Lease Cycles'!$C$17*'Lease Cycles'!$AU$17/12,'Lease Cycles'!$C$17*INDEX('Lease Cycles'!$CB$17:$CH$17,1,BC163)*(1+INDEX('Lease Cycles'!$CI$17:$CO$17,1,BC163))^INT(INT(BC164/12)/INDEX('Lease Cycles'!$CP$17:$CV$17,1,BC163))/12)))),'Lease Cycles'!$C$17*INDEX('Lease Cycles'!$CB$17:$CH$17,1,BC163)*(1+INDEX('Lease Cycles'!$CI$17:$CO$17,1,BC163))^INT(INT(BC164/12)/INDEX('Lease Cycles'!$CP$17:$CV$17,1,BC163))/12))),IF('Lease Cycles'!$N$17=1,'Lease Cycles'!$C$17*'Lease Cycles'!$E$17*INDEX('Lease Cycles'!$HE$17:$HK$17,1,BC163)*(1+INDEX('Lease Cycles'!$GQ$17:$GW$17,1,BC163))^INT(INT((BC$6-INDEX('Lease Cycles'!$GJ$17:$GP$17,1,BC163))/12)/INDEX('Lease Cycles'!$GX$17:$HD$17,1,BC163))/12,0)))</f>
        <v>2674.882533333333</v>
      </c>
      <c r="BD166" s="28">
        <f>IF(BD163=0,IF('Lease Cycles'!$F$17&gt;0,'Lease Cycles'!$C$17*'Lease Cycles'!$E$17/12,0),IF(BD165=1,IF('Lease Cycles'!$AT$17&gt;=9999,'Lease Cycles'!$C$17*INDEX('Lease Cycles'!$CB$17:$CH$17,1,BD163)*(1+INDEX('Lease Cycles'!$CI$17:$CO$17,1,BD163))^INT(INT(BD164/12)/INDEX('Lease Cycles'!$CP$17:$CV$17,1,BD163))/12,IF(BD163=1,IF(BD164&gt;=INDEX('Lease Cycles'!$DK$17:$DQ$17,1,BD163),IF(BD$6&gt;='Lease Cycles'!$AZ$17,'Lease Cycles'!$C$17*'Lease Cycles'!$BA$17/12,IF(BD$6&gt;='Lease Cycles'!$AX$17,'Lease Cycles'!$C$17*'Lease Cycles'!$AY$17/12,IF(BD$6&gt;='Lease Cycles'!$AV$17,'Lease Cycles'!$C$17*'Lease Cycles'!$AW$17/12,IF(BD$6&gt;='Lease Cycles'!$AT$17,'Lease Cycles'!$C$17*'Lease Cycles'!$AU$17/12,'Lease Cycles'!$C$17*INDEX('Lease Cycles'!$CB$17:$CH$17,1,BD163)*(1+INDEX('Lease Cycles'!$CI$17:$CO$17,1,BD163))^INT(INT(BD164/12)/INDEX('Lease Cycles'!$CP$17:$CV$17,1,BD163))/12)))),'Lease Cycles'!$C$17*INDEX('Lease Cycles'!$CB$17:$CH$17,1,BD163)*(1+INDEX('Lease Cycles'!$CI$17:$CO$17,1,BD163))^INT(INT(BD164/12)/INDEX('Lease Cycles'!$CP$17:$CV$17,1,BD163))/12),IF(INDEX('Lease Cycles'!$EF$17:$EL$17,1,BD163)=1,IF(AND('Lease Cycles'!$AZ$17&gt;=INDEX('Lease Cycles'!$BG$17:$BM$17,1,BD163),'Lease Cycles'!$AZ$17&lt;=BD$6),'Lease Cycles'!$C$17*'Lease Cycles'!$BA$17/12,IF(AND('Lease Cycles'!$AX$17&gt;=INDEX('Lease Cycles'!$BG$17:$BM$17,1,BD163),'Lease Cycles'!$AX$17&lt;=BD$6),'Lease Cycles'!$C$17*'Lease Cycles'!$AY$17/12,IF(AND('Lease Cycles'!$AV$17&gt;=INDEX('Lease Cycles'!$BG$17:$BM$17,1,BD163),'Lease Cycles'!$AV$17&lt;=BD$6),'Lease Cycles'!$C$17*'Lease Cycles'!$AW$17/12,IF(AND('Lease Cycles'!$AT$17&gt;=INDEX('Lease Cycles'!$BG$17:$BM$17,1,BD163),'Lease Cycles'!$AT$17&lt;=BD$6),'Lease Cycles'!$C$17*'Lease Cycles'!$AU$17/12,'Lease Cycles'!$C$17*INDEX('Lease Cycles'!$CB$17:$CH$17,1,BD163)*(1+INDEX('Lease Cycles'!$CI$17:$CO$17,1,BD163))^INT(INT(BD164/12)/INDEX('Lease Cycles'!$CP$17:$CV$17,1,BD163))/12)))),'Lease Cycles'!$C$17*INDEX('Lease Cycles'!$CB$17:$CH$17,1,BD163)*(1+INDEX('Lease Cycles'!$CI$17:$CO$17,1,BD163))^INT(INT(BD164/12)/INDEX('Lease Cycles'!$CP$17:$CV$17,1,BD163))/12))),IF('Lease Cycles'!$N$17=1,'Lease Cycles'!$C$17*'Lease Cycles'!$E$17*INDEX('Lease Cycles'!$HE$17:$HK$17,1,BD163)*(1+INDEX('Lease Cycles'!$GQ$17:$GW$17,1,BD163))^INT(INT((BD$6-INDEX('Lease Cycles'!$GJ$17:$GP$17,1,BD163))/12)/INDEX('Lease Cycles'!$GX$17:$HD$17,1,BD163))/12,0)))</f>
        <v>2674.882533333333</v>
      </c>
      <c r="BE166" s="28">
        <f>IF(BE163=0,IF('Lease Cycles'!$F$17&gt;0,'Lease Cycles'!$C$17*'Lease Cycles'!$E$17/12,0),IF(BE165=1,IF('Lease Cycles'!$AT$17&gt;=9999,'Lease Cycles'!$C$17*INDEX('Lease Cycles'!$CB$17:$CH$17,1,BE163)*(1+INDEX('Lease Cycles'!$CI$17:$CO$17,1,BE163))^INT(INT(BE164/12)/INDEX('Lease Cycles'!$CP$17:$CV$17,1,BE163))/12,IF(BE163=1,IF(BE164&gt;=INDEX('Lease Cycles'!$DK$17:$DQ$17,1,BE163),IF(BE$6&gt;='Lease Cycles'!$AZ$17,'Lease Cycles'!$C$17*'Lease Cycles'!$BA$17/12,IF(BE$6&gt;='Lease Cycles'!$AX$17,'Lease Cycles'!$C$17*'Lease Cycles'!$AY$17/12,IF(BE$6&gt;='Lease Cycles'!$AV$17,'Lease Cycles'!$C$17*'Lease Cycles'!$AW$17/12,IF(BE$6&gt;='Lease Cycles'!$AT$17,'Lease Cycles'!$C$17*'Lease Cycles'!$AU$17/12,'Lease Cycles'!$C$17*INDEX('Lease Cycles'!$CB$17:$CH$17,1,BE163)*(1+INDEX('Lease Cycles'!$CI$17:$CO$17,1,BE163))^INT(INT(BE164/12)/INDEX('Lease Cycles'!$CP$17:$CV$17,1,BE163))/12)))),'Lease Cycles'!$C$17*INDEX('Lease Cycles'!$CB$17:$CH$17,1,BE163)*(1+INDEX('Lease Cycles'!$CI$17:$CO$17,1,BE163))^INT(INT(BE164/12)/INDEX('Lease Cycles'!$CP$17:$CV$17,1,BE163))/12),IF(INDEX('Lease Cycles'!$EF$17:$EL$17,1,BE163)=1,IF(AND('Lease Cycles'!$AZ$17&gt;=INDEX('Lease Cycles'!$BG$17:$BM$17,1,BE163),'Lease Cycles'!$AZ$17&lt;=BE$6),'Lease Cycles'!$C$17*'Lease Cycles'!$BA$17/12,IF(AND('Lease Cycles'!$AX$17&gt;=INDEX('Lease Cycles'!$BG$17:$BM$17,1,BE163),'Lease Cycles'!$AX$17&lt;=BE$6),'Lease Cycles'!$C$17*'Lease Cycles'!$AY$17/12,IF(AND('Lease Cycles'!$AV$17&gt;=INDEX('Lease Cycles'!$BG$17:$BM$17,1,BE163),'Lease Cycles'!$AV$17&lt;=BE$6),'Lease Cycles'!$C$17*'Lease Cycles'!$AW$17/12,IF(AND('Lease Cycles'!$AT$17&gt;=INDEX('Lease Cycles'!$BG$17:$BM$17,1,BE163),'Lease Cycles'!$AT$17&lt;=BE$6),'Lease Cycles'!$C$17*'Lease Cycles'!$AU$17/12,'Lease Cycles'!$C$17*INDEX('Lease Cycles'!$CB$17:$CH$17,1,BE163)*(1+INDEX('Lease Cycles'!$CI$17:$CO$17,1,BE163))^INT(INT(BE164/12)/INDEX('Lease Cycles'!$CP$17:$CV$17,1,BE163))/12)))),'Lease Cycles'!$C$17*INDEX('Lease Cycles'!$CB$17:$CH$17,1,BE163)*(1+INDEX('Lease Cycles'!$CI$17:$CO$17,1,BE163))^INT(INT(BE164/12)/INDEX('Lease Cycles'!$CP$17:$CV$17,1,BE163))/12))),IF('Lease Cycles'!$N$17=1,'Lease Cycles'!$C$17*'Lease Cycles'!$E$17*INDEX('Lease Cycles'!$HE$17:$HK$17,1,BE163)*(1+INDEX('Lease Cycles'!$GQ$17:$GW$17,1,BE163))^INT(INT((BE$6-INDEX('Lease Cycles'!$GJ$17:$GP$17,1,BE163))/12)/INDEX('Lease Cycles'!$GX$17:$HD$17,1,BE163))/12,0)))</f>
        <v>2674.882533333333</v>
      </c>
      <c r="BF166" s="28">
        <f>IF(BF163=0,IF('Lease Cycles'!$F$17&gt;0,'Lease Cycles'!$C$17*'Lease Cycles'!$E$17/12,0),IF(BF165=1,IF('Lease Cycles'!$AT$17&gt;=9999,'Lease Cycles'!$C$17*INDEX('Lease Cycles'!$CB$17:$CH$17,1,BF163)*(1+INDEX('Lease Cycles'!$CI$17:$CO$17,1,BF163))^INT(INT(BF164/12)/INDEX('Lease Cycles'!$CP$17:$CV$17,1,BF163))/12,IF(BF163=1,IF(BF164&gt;=INDEX('Lease Cycles'!$DK$17:$DQ$17,1,BF163),IF(BF$6&gt;='Lease Cycles'!$AZ$17,'Lease Cycles'!$C$17*'Lease Cycles'!$BA$17/12,IF(BF$6&gt;='Lease Cycles'!$AX$17,'Lease Cycles'!$C$17*'Lease Cycles'!$AY$17/12,IF(BF$6&gt;='Lease Cycles'!$AV$17,'Lease Cycles'!$C$17*'Lease Cycles'!$AW$17/12,IF(BF$6&gt;='Lease Cycles'!$AT$17,'Lease Cycles'!$C$17*'Lease Cycles'!$AU$17/12,'Lease Cycles'!$C$17*INDEX('Lease Cycles'!$CB$17:$CH$17,1,BF163)*(1+INDEX('Lease Cycles'!$CI$17:$CO$17,1,BF163))^INT(INT(BF164/12)/INDEX('Lease Cycles'!$CP$17:$CV$17,1,BF163))/12)))),'Lease Cycles'!$C$17*INDEX('Lease Cycles'!$CB$17:$CH$17,1,BF163)*(1+INDEX('Lease Cycles'!$CI$17:$CO$17,1,BF163))^INT(INT(BF164/12)/INDEX('Lease Cycles'!$CP$17:$CV$17,1,BF163))/12),IF(INDEX('Lease Cycles'!$EF$17:$EL$17,1,BF163)=1,IF(AND('Lease Cycles'!$AZ$17&gt;=INDEX('Lease Cycles'!$BG$17:$BM$17,1,BF163),'Lease Cycles'!$AZ$17&lt;=BF$6),'Lease Cycles'!$C$17*'Lease Cycles'!$BA$17/12,IF(AND('Lease Cycles'!$AX$17&gt;=INDEX('Lease Cycles'!$BG$17:$BM$17,1,BF163),'Lease Cycles'!$AX$17&lt;=BF$6),'Lease Cycles'!$C$17*'Lease Cycles'!$AY$17/12,IF(AND('Lease Cycles'!$AV$17&gt;=INDEX('Lease Cycles'!$BG$17:$BM$17,1,BF163),'Lease Cycles'!$AV$17&lt;=BF$6),'Lease Cycles'!$C$17*'Lease Cycles'!$AW$17/12,IF(AND('Lease Cycles'!$AT$17&gt;=INDEX('Lease Cycles'!$BG$17:$BM$17,1,BF163),'Lease Cycles'!$AT$17&lt;=BF$6),'Lease Cycles'!$C$17*'Lease Cycles'!$AU$17/12,'Lease Cycles'!$C$17*INDEX('Lease Cycles'!$CB$17:$CH$17,1,BF163)*(1+INDEX('Lease Cycles'!$CI$17:$CO$17,1,BF163))^INT(INT(BF164/12)/INDEX('Lease Cycles'!$CP$17:$CV$17,1,BF163))/12)))),'Lease Cycles'!$C$17*INDEX('Lease Cycles'!$CB$17:$CH$17,1,BF163)*(1+INDEX('Lease Cycles'!$CI$17:$CO$17,1,BF163))^INT(INT(BF164/12)/INDEX('Lease Cycles'!$CP$17:$CV$17,1,BF163))/12))),IF('Lease Cycles'!$N$17=1,'Lease Cycles'!$C$17*'Lease Cycles'!$E$17*INDEX('Lease Cycles'!$HE$17:$HK$17,1,BF163)*(1+INDEX('Lease Cycles'!$GQ$17:$GW$17,1,BF163))^INT(INT((BF$6-INDEX('Lease Cycles'!$GJ$17:$GP$17,1,BF163))/12)/INDEX('Lease Cycles'!$GX$17:$HD$17,1,BF163))/12,0)))</f>
        <v>2674.882533333333</v>
      </c>
      <c r="BG166" s="28">
        <f>IF(BG163=0,IF('Lease Cycles'!$F$17&gt;0,'Lease Cycles'!$C$17*'Lease Cycles'!$E$17/12,0),IF(BG165=1,IF('Lease Cycles'!$AT$17&gt;=9999,'Lease Cycles'!$C$17*INDEX('Lease Cycles'!$CB$17:$CH$17,1,BG163)*(1+INDEX('Lease Cycles'!$CI$17:$CO$17,1,BG163))^INT(INT(BG164/12)/INDEX('Lease Cycles'!$CP$17:$CV$17,1,BG163))/12,IF(BG163=1,IF(BG164&gt;=INDEX('Lease Cycles'!$DK$17:$DQ$17,1,BG163),IF(BG$6&gt;='Lease Cycles'!$AZ$17,'Lease Cycles'!$C$17*'Lease Cycles'!$BA$17/12,IF(BG$6&gt;='Lease Cycles'!$AX$17,'Lease Cycles'!$C$17*'Lease Cycles'!$AY$17/12,IF(BG$6&gt;='Lease Cycles'!$AV$17,'Lease Cycles'!$C$17*'Lease Cycles'!$AW$17/12,IF(BG$6&gt;='Lease Cycles'!$AT$17,'Lease Cycles'!$C$17*'Lease Cycles'!$AU$17/12,'Lease Cycles'!$C$17*INDEX('Lease Cycles'!$CB$17:$CH$17,1,BG163)*(1+INDEX('Lease Cycles'!$CI$17:$CO$17,1,BG163))^INT(INT(BG164/12)/INDEX('Lease Cycles'!$CP$17:$CV$17,1,BG163))/12)))),'Lease Cycles'!$C$17*INDEX('Lease Cycles'!$CB$17:$CH$17,1,BG163)*(1+INDEX('Lease Cycles'!$CI$17:$CO$17,1,BG163))^INT(INT(BG164/12)/INDEX('Lease Cycles'!$CP$17:$CV$17,1,BG163))/12),IF(INDEX('Lease Cycles'!$EF$17:$EL$17,1,BG163)=1,IF(AND('Lease Cycles'!$AZ$17&gt;=INDEX('Lease Cycles'!$BG$17:$BM$17,1,BG163),'Lease Cycles'!$AZ$17&lt;=BG$6),'Lease Cycles'!$C$17*'Lease Cycles'!$BA$17/12,IF(AND('Lease Cycles'!$AX$17&gt;=INDEX('Lease Cycles'!$BG$17:$BM$17,1,BG163),'Lease Cycles'!$AX$17&lt;=BG$6),'Lease Cycles'!$C$17*'Lease Cycles'!$AY$17/12,IF(AND('Lease Cycles'!$AV$17&gt;=INDEX('Lease Cycles'!$BG$17:$BM$17,1,BG163),'Lease Cycles'!$AV$17&lt;=BG$6),'Lease Cycles'!$C$17*'Lease Cycles'!$AW$17/12,IF(AND('Lease Cycles'!$AT$17&gt;=INDEX('Lease Cycles'!$BG$17:$BM$17,1,BG163),'Lease Cycles'!$AT$17&lt;=BG$6),'Lease Cycles'!$C$17*'Lease Cycles'!$AU$17/12,'Lease Cycles'!$C$17*INDEX('Lease Cycles'!$CB$17:$CH$17,1,BG163)*(1+INDEX('Lease Cycles'!$CI$17:$CO$17,1,BG163))^INT(INT(BG164/12)/INDEX('Lease Cycles'!$CP$17:$CV$17,1,BG163))/12)))),'Lease Cycles'!$C$17*INDEX('Lease Cycles'!$CB$17:$CH$17,1,BG163)*(1+INDEX('Lease Cycles'!$CI$17:$CO$17,1,BG163))^INT(INT(BG164/12)/INDEX('Lease Cycles'!$CP$17:$CV$17,1,BG163))/12))),IF('Lease Cycles'!$N$17=1,'Lease Cycles'!$C$17*'Lease Cycles'!$E$17*INDEX('Lease Cycles'!$HE$17:$HK$17,1,BG163)*(1+INDEX('Lease Cycles'!$GQ$17:$GW$17,1,BG163))^INT(INT((BG$6-INDEX('Lease Cycles'!$GJ$17:$GP$17,1,BG163))/12)/INDEX('Lease Cycles'!$GX$17:$HD$17,1,BG163))/12,0)))</f>
        <v>2674.882533333333</v>
      </c>
      <c r="BH166" s="28">
        <f>IF(BH163=0,IF('Lease Cycles'!$F$17&gt;0,'Lease Cycles'!$C$17*'Lease Cycles'!$E$17/12,0),IF(BH165=1,IF('Lease Cycles'!$AT$17&gt;=9999,'Lease Cycles'!$C$17*INDEX('Lease Cycles'!$CB$17:$CH$17,1,BH163)*(1+INDEX('Lease Cycles'!$CI$17:$CO$17,1,BH163))^INT(INT(BH164/12)/INDEX('Lease Cycles'!$CP$17:$CV$17,1,BH163))/12,IF(BH163=1,IF(BH164&gt;=INDEX('Lease Cycles'!$DK$17:$DQ$17,1,BH163),IF(BH$6&gt;='Lease Cycles'!$AZ$17,'Lease Cycles'!$C$17*'Lease Cycles'!$BA$17/12,IF(BH$6&gt;='Lease Cycles'!$AX$17,'Lease Cycles'!$C$17*'Lease Cycles'!$AY$17/12,IF(BH$6&gt;='Lease Cycles'!$AV$17,'Lease Cycles'!$C$17*'Lease Cycles'!$AW$17/12,IF(BH$6&gt;='Lease Cycles'!$AT$17,'Lease Cycles'!$C$17*'Lease Cycles'!$AU$17/12,'Lease Cycles'!$C$17*INDEX('Lease Cycles'!$CB$17:$CH$17,1,BH163)*(1+INDEX('Lease Cycles'!$CI$17:$CO$17,1,BH163))^INT(INT(BH164/12)/INDEX('Lease Cycles'!$CP$17:$CV$17,1,BH163))/12)))),'Lease Cycles'!$C$17*INDEX('Lease Cycles'!$CB$17:$CH$17,1,BH163)*(1+INDEX('Lease Cycles'!$CI$17:$CO$17,1,BH163))^INT(INT(BH164/12)/INDEX('Lease Cycles'!$CP$17:$CV$17,1,BH163))/12),IF(INDEX('Lease Cycles'!$EF$17:$EL$17,1,BH163)=1,IF(AND('Lease Cycles'!$AZ$17&gt;=INDEX('Lease Cycles'!$BG$17:$BM$17,1,BH163),'Lease Cycles'!$AZ$17&lt;=BH$6),'Lease Cycles'!$C$17*'Lease Cycles'!$BA$17/12,IF(AND('Lease Cycles'!$AX$17&gt;=INDEX('Lease Cycles'!$BG$17:$BM$17,1,BH163),'Lease Cycles'!$AX$17&lt;=BH$6),'Lease Cycles'!$C$17*'Lease Cycles'!$AY$17/12,IF(AND('Lease Cycles'!$AV$17&gt;=INDEX('Lease Cycles'!$BG$17:$BM$17,1,BH163),'Lease Cycles'!$AV$17&lt;=BH$6),'Lease Cycles'!$C$17*'Lease Cycles'!$AW$17/12,IF(AND('Lease Cycles'!$AT$17&gt;=INDEX('Lease Cycles'!$BG$17:$BM$17,1,BH163),'Lease Cycles'!$AT$17&lt;=BH$6),'Lease Cycles'!$C$17*'Lease Cycles'!$AU$17/12,'Lease Cycles'!$C$17*INDEX('Lease Cycles'!$CB$17:$CH$17,1,BH163)*(1+INDEX('Lease Cycles'!$CI$17:$CO$17,1,BH163))^INT(INT(BH164/12)/INDEX('Lease Cycles'!$CP$17:$CV$17,1,BH163))/12)))),'Lease Cycles'!$C$17*INDEX('Lease Cycles'!$CB$17:$CH$17,1,BH163)*(1+INDEX('Lease Cycles'!$CI$17:$CO$17,1,BH163))^INT(INT(BH164/12)/INDEX('Lease Cycles'!$CP$17:$CV$17,1,BH163))/12))),IF('Lease Cycles'!$N$17=1,'Lease Cycles'!$C$17*'Lease Cycles'!$E$17*INDEX('Lease Cycles'!$HE$17:$HK$17,1,BH163)*(1+INDEX('Lease Cycles'!$GQ$17:$GW$17,1,BH163))^INT(INT((BH$6-INDEX('Lease Cycles'!$GJ$17:$GP$17,1,BH163))/12)/INDEX('Lease Cycles'!$GX$17:$HD$17,1,BH163))/12,0)))</f>
        <v>2674.882533333333</v>
      </c>
      <c r="BI166" s="28">
        <f>IF(BI163=0,IF('Lease Cycles'!$F$17&gt;0,'Lease Cycles'!$C$17*'Lease Cycles'!$E$17/12,0),IF(BI165=1,IF('Lease Cycles'!$AT$17&gt;=9999,'Lease Cycles'!$C$17*INDEX('Lease Cycles'!$CB$17:$CH$17,1,BI163)*(1+INDEX('Lease Cycles'!$CI$17:$CO$17,1,BI163))^INT(INT(BI164/12)/INDEX('Lease Cycles'!$CP$17:$CV$17,1,BI163))/12,IF(BI163=1,IF(BI164&gt;=INDEX('Lease Cycles'!$DK$17:$DQ$17,1,BI163),IF(BI$6&gt;='Lease Cycles'!$AZ$17,'Lease Cycles'!$C$17*'Lease Cycles'!$BA$17/12,IF(BI$6&gt;='Lease Cycles'!$AX$17,'Lease Cycles'!$C$17*'Lease Cycles'!$AY$17/12,IF(BI$6&gt;='Lease Cycles'!$AV$17,'Lease Cycles'!$C$17*'Lease Cycles'!$AW$17/12,IF(BI$6&gt;='Lease Cycles'!$AT$17,'Lease Cycles'!$C$17*'Lease Cycles'!$AU$17/12,'Lease Cycles'!$C$17*INDEX('Lease Cycles'!$CB$17:$CH$17,1,BI163)*(1+INDEX('Lease Cycles'!$CI$17:$CO$17,1,BI163))^INT(INT(BI164/12)/INDEX('Lease Cycles'!$CP$17:$CV$17,1,BI163))/12)))),'Lease Cycles'!$C$17*INDEX('Lease Cycles'!$CB$17:$CH$17,1,BI163)*(1+INDEX('Lease Cycles'!$CI$17:$CO$17,1,BI163))^INT(INT(BI164/12)/INDEX('Lease Cycles'!$CP$17:$CV$17,1,BI163))/12),IF(INDEX('Lease Cycles'!$EF$17:$EL$17,1,BI163)=1,IF(AND('Lease Cycles'!$AZ$17&gt;=INDEX('Lease Cycles'!$BG$17:$BM$17,1,BI163),'Lease Cycles'!$AZ$17&lt;=BI$6),'Lease Cycles'!$C$17*'Lease Cycles'!$BA$17/12,IF(AND('Lease Cycles'!$AX$17&gt;=INDEX('Lease Cycles'!$BG$17:$BM$17,1,BI163),'Lease Cycles'!$AX$17&lt;=BI$6),'Lease Cycles'!$C$17*'Lease Cycles'!$AY$17/12,IF(AND('Lease Cycles'!$AV$17&gt;=INDEX('Lease Cycles'!$BG$17:$BM$17,1,BI163),'Lease Cycles'!$AV$17&lt;=BI$6),'Lease Cycles'!$C$17*'Lease Cycles'!$AW$17/12,IF(AND('Lease Cycles'!$AT$17&gt;=INDEX('Lease Cycles'!$BG$17:$BM$17,1,BI163),'Lease Cycles'!$AT$17&lt;=BI$6),'Lease Cycles'!$C$17*'Lease Cycles'!$AU$17/12,'Lease Cycles'!$C$17*INDEX('Lease Cycles'!$CB$17:$CH$17,1,BI163)*(1+INDEX('Lease Cycles'!$CI$17:$CO$17,1,BI163))^INT(INT(BI164/12)/INDEX('Lease Cycles'!$CP$17:$CV$17,1,BI163))/12)))),'Lease Cycles'!$C$17*INDEX('Lease Cycles'!$CB$17:$CH$17,1,BI163)*(1+INDEX('Lease Cycles'!$CI$17:$CO$17,1,BI163))^INT(INT(BI164/12)/INDEX('Lease Cycles'!$CP$17:$CV$17,1,BI163))/12))),IF('Lease Cycles'!$N$17=1,'Lease Cycles'!$C$17*'Lease Cycles'!$E$17*INDEX('Lease Cycles'!$HE$17:$HK$17,1,BI163)*(1+INDEX('Lease Cycles'!$GQ$17:$GW$17,1,BI163))^INT(INT((BI$6-INDEX('Lease Cycles'!$GJ$17:$GP$17,1,BI163))/12)/INDEX('Lease Cycles'!$GX$17:$HD$17,1,BI163))/12,0)))</f>
        <v>2674.882533333333</v>
      </c>
      <c r="BJ166" s="28">
        <f>IF(BJ163=0,IF('Lease Cycles'!$F$17&gt;0,'Lease Cycles'!$C$17*'Lease Cycles'!$E$17/12,0),IF(BJ165=1,IF('Lease Cycles'!$AT$17&gt;=9999,'Lease Cycles'!$C$17*INDEX('Lease Cycles'!$CB$17:$CH$17,1,BJ163)*(1+INDEX('Lease Cycles'!$CI$17:$CO$17,1,BJ163))^INT(INT(BJ164/12)/INDEX('Lease Cycles'!$CP$17:$CV$17,1,BJ163))/12,IF(BJ163=1,IF(BJ164&gt;=INDEX('Lease Cycles'!$DK$17:$DQ$17,1,BJ163),IF(BJ$6&gt;='Lease Cycles'!$AZ$17,'Lease Cycles'!$C$17*'Lease Cycles'!$BA$17/12,IF(BJ$6&gt;='Lease Cycles'!$AX$17,'Lease Cycles'!$C$17*'Lease Cycles'!$AY$17/12,IF(BJ$6&gt;='Lease Cycles'!$AV$17,'Lease Cycles'!$C$17*'Lease Cycles'!$AW$17/12,IF(BJ$6&gt;='Lease Cycles'!$AT$17,'Lease Cycles'!$C$17*'Lease Cycles'!$AU$17/12,'Lease Cycles'!$C$17*INDEX('Lease Cycles'!$CB$17:$CH$17,1,BJ163)*(1+INDEX('Lease Cycles'!$CI$17:$CO$17,1,BJ163))^INT(INT(BJ164/12)/INDEX('Lease Cycles'!$CP$17:$CV$17,1,BJ163))/12)))),'Lease Cycles'!$C$17*INDEX('Lease Cycles'!$CB$17:$CH$17,1,BJ163)*(1+INDEX('Lease Cycles'!$CI$17:$CO$17,1,BJ163))^INT(INT(BJ164/12)/INDEX('Lease Cycles'!$CP$17:$CV$17,1,BJ163))/12),IF(INDEX('Lease Cycles'!$EF$17:$EL$17,1,BJ163)=1,IF(AND('Lease Cycles'!$AZ$17&gt;=INDEX('Lease Cycles'!$BG$17:$BM$17,1,BJ163),'Lease Cycles'!$AZ$17&lt;=BJ$6),'Lease Cycles'!$C$17*'Lease Cycles'!$BA$17/12,IF(AND('Lease Cycles'!$AX$17&gt;=INDEX('Lease Cycles'!$BG$17:$BM$17,1,BJ163),'Lease Cycles'!$AX$17&lt;=BJ$6),'Lease Cycles'!$C$17*'Lease Cycles'!$AY$17/12,IF(AND('Lease Cycles'!$AV$17&gt;=INDEX('Lease Cycles'!$BG$17:$BM$17,1,BJ163),'Lease Cycles'!$AV$17&lt;=BJ$6),'Lease Cycles'!$C$17*'Lease Cycles'!$AW$17/12,IF(AND('Lease Cycles'!$AT$17&gt;=INDEX('Lease Cycles'!$BG$17:$BM$17,1,BJ163),'Lease Cycles'!$AT$17&lt;=BJ$6),'Lease Cycles'!$C$17*'Lease Cycles'!$AU$17/12,'Lease Cycles'!$C$17*INDEX('Lease Cycles'!$CB$17:$CH$17,1,BJ163)*(1+INDEX('Lease Cycles'!$CI$17:$CO$17,1,BJ163))^INT(INT(BJ164/12)/INDEX('Lease Cycles'!$CP$17:$CV$17,1,BJ163))/12)))),'Lease Cycles'!$C$17*INDEX('Lease Cycles'!$CB$17:$CH$17,1,BJ163)*(1+INDEX('Lease Cycles'!$CI$17:$CO$17,1,BJ163))^INT(INT(BJ164/12)/INDEX('Lease Cycles'!$CP$17:$CV$17,1,BJ163))/12))),IF('Lease Cycles'!$N$17=1,'Lease Cycles'!$C$17*'Lease Cycles'!$E$17*INDEX('Lease Cycles'!$HE$17:$HK$17,1,BJ163)*(1+INDEX('Lease Cycles'!$GQ$17:$GW$17,1,BJ163))^INT(INT((BJ$6-INDEX('Lease Cycles'!$GJ$17:$GP$17,1,BJ163))/12)/INDEX('Lease Cycles'!$GX$17:$HD$17,1,BJ163))/12,0)))</f>
        <v>2674.882533333333</v>
      </c>
      <c r="BK166" s="28">
        <f>IF(BK163=0,IF('Lease Cycles'!$F$17&gt;0,'Lease Cycles'!$C$17*'Lease Cycles'!$E$17/12,0),IF(BK165=1,IF('Lease Cycles'!$AT$17&gt;=9999,'Lease Cycles'!$C$17*INDEX('Lease Cycles'!$CB$17:$CH$17,1,BK163)*(1+INDEX('Lease Cycles'!$CI$17:$CO$17,1,BK163))^INT(INT(BK164/12)/INDEX('Lease Cycles'!$CP$17:$CV$17,1,BK163))/12,IF(BK163=1,IF(BK164&gt;=INDEX('Lease Cycles'!$DK$17:$DQ$17,1,BK163),IF(BK$6&gt;='Lease Cycles'!$AZ$17,'Lease Cycles'!$C$17*'Lease Cycles'!$BA$17/12,IF(BK$6&gt;='Lease Cycles'!$AX$17,'Lease Cycles'!$C$17*'Lease Cycles'!$AY$17/12,IF(BK$6&gt;='Lease Cycles'!$AV$17,'Lease Cycles'!$C$17*'Lease Cycles'!$AW$17/12,IF(BK$6&gt;='Lease Cycles'!$AT$17,'Lease Cycles'!$C$17*'Lease Cycles'!$AU$17/12,'Lease Cycles'!$C$17*INDEX('Lease Cycles'!$CB$17:$CH$17,1,BK163)*(1+INDEX('Lease Cycles'!$CI$17:$CO$17,1,BK163))^INT(INT(BK164/12)/INDEX('Lease Cycles'!$CP$17:$CV$17,1,BK163))/12)))),'Lease Cycles'!$C$17*INDEX('Lease Cycles'!$CB$17:$CH$17,1,BK163)*(1+INDEX('Lease Cycles'!$CI$17:$CO$17,1,BK163))^INT(INT(BK164/12)/INDEX('Lease Cycles'!$CP$17:$CV$17,1,BK163))/12),IF(INDEX('Lease Cycles'!$EF$17:$EL$17,1,BK163)=1,IF(AND('Lease Cycles'!$AZ$17&gt;=INDEX('Lease Cycles'!$BG$17:$BM$17,1,BK163),'Lease Cycles'!$AZ$17&lt;=BK$6),'Lease Cycles'!$C$17*'Lease Cycles'!$BA$17/12,IF(AND('Lease Cycles'!$AX$17&gt;=INDEX('Lease Cycles'!$BG$17:$BM$17,1,BK163),'Lease Cycles'!$AX$17&lt;=BK$6),'Lease Cycles'!$C$17*'Lease Cycles'!$AY$17/12,IF(AND('Lease Cycles'!$AV$17&gt;=INDEX('Lease Cycles'!$BG$17:$BM$17,1,BK163),'Lease Cycles'!$AV$17&lt;=BK$6),'Lease Cycles'!$C$17*'Lease Cycles'!$AW$17/12,IF(AND('Lease Cycles'!$AT$17&gt;=INDEX('Lease Cycles'!$BG$17:$BM$17,1,BK163),'Lease Cycles'!$AT$17&lt;=BK$6),'Lease Cycles'!$C$17*'Lease Cycles'!$AU$17/12,'Lease Cycles'!$C$17*INDEX('Lease Cycles'!$CB$17:$CH$17,1,BK163)*(1+INDEX('Lease Cycles'!$CI$17:$CO$17,1,BK163))^INT(INT(BK164/12)/INDEX('Lease Cycles'!$CP$17:$CV$17,1,BK163))/12)))),'Lease Cycles'!$C$17*INDEX('Lease Cycles'!$CB$17:$CH$17,1,BK163)*(1+INDEX('Lease Cycles'!$CI$17:$CO$17,1,BK163))^INT(INT(BK164/12)/INDEX('Lease Cycles'!$CP$17:$CV$17,1,BK163))/12))),IF('Lease Cycles'!$N$17=1,'Lease Cycles'!$C$17*'Lease Cycles'!$E$17*INDEX('Lease Cycles'!$HE$17:$HK$17,1,BK163)*(1+INDEX('Lease Cycles'!$GQ$17:$GW$17,1,BK163))^INT(INT((BK$6-INDEX('Lease Cycles'!$GJ$17:$GP$17,1,BK163))/12)/INDEX('Lease Cycles'!$GX$17:$HD$17,1,BK163))/12,0)))</f>
        <v>2674.882533333333</v>
      </c>
      <c r="BL166" s="28">
        <f>IF(BL163=0,IF('Lease Cycles'!$F$17&gt;0,'Lease Cycles'!$C$17*'Lease Cycles'!$E$17/12,0),IF(BL165=1,IF('Lease Cycles'!$AT$17&gt;=9999,'Lease Cycles'!$C$17*INDEX('Lease Cycles'!$CB$17:$CH$17,1,BL163)*(1+INDEX('Lease Cycles'!$CI$17:$CO$17,1,BL163))^INT(INT(BL164/12)/INDEX('Lease Cycles'!$CP$17:$CV$17,1,BL163))/12,IF(BL163=1,IF(BL164&gt;=INDEX('Lease Cycles'!$DK$17:$DQ$17,1,BL163),IF(BL$6&gt;='Lease Cycles'!$AZ$17,'Lease Cycles'!$C$17*'Lease Cycles'!$BA$17/12,IF(BL$6&gt;='Lease Cycles'!$AX$17,'Lease Cycles'!$C$17*'Lease Cycles'!$AY$17/12,IF(BL$6&gt;='Lease Cycles'!$AV$17,'Lease Cycles'!$C$17*'Lease Cycles'!$AW$17/12,IF(BL$6&gt;='Lease Cycles'!$AT$17,'Lease Cycles'!$C$17*'Lease Cycles'!$AU$17/12,'Lease Cycles'!$C$17*INDEX('Lease Cycles'!$CB$17:$CH$17,1,BL163)*(1+INDEX('Lease Cycles'!$CI$17:$CO$17,1,BL163))^INT(INT(BL164/12)/INDEX('Lease Cycles'!$CP$17:$CV$17,1,BL163))/12)))),'Lease Cycles'!$C$17*INDEX('Lease Cycles'!$CB$17:$CH$17,1,BL163)*(1+INDEX('Lease Cycles'!$CI$17:$CO$17,1,BL163))^INT(INT(BL164/12)/INDEX('Lease Cycles'!$CP$17:$CV$17,1,BL163))/12),IF(INDEX('Lease Cycles'!$EF$17:$EL$17,1,BL163)=1,IF(AND('Lease Cycles'!$AZ$17&gt;=INDEX('Lease Cycles'!$BG$17:$BM$17,1,BL163),'Lease Cycles'!$AZ$17&lt;=BL$6),'Lease Cycles'!$C$17*'Lease Cycles'!$BA$17/12,IF(AND('Lease Cycles'!$AX$17&gt;=INDEX('Lease Cycles'!$BG$17:$BM$17,1,BL163),'Lease Cycles'!$AX$17&lt;=BL$6),'Lease Cycles'!$C$17*'Lease Cycles'!$AY$17/12,IF(AND('Lease Cycles'!$AV$17&gt;=INDEX('Lease Cycles'!$BG$17:$BM$17,1,BL163),'Lease Cycles'!$AV$17&lt;=BL$6),'Lease Cycles'!$C$17*'Lease Cycles'!$AW$17/12,IF(AND('Lease Cycles'!$AT$17&gt;=INDEX('Lease Cycles'!$BG$17:$BM$17,1,BL163),'Lease Cycles'!$AT$17&lt;=BL$6),'Lease Cycles'!$C$17*'Lease Cycles'!$AU$17/12,'Lease Cycles'!$C$17*INDEX('Lease Cycles'!$CB$17:$CH$17,1,BL163)*(1+INDEX('Lease Cycles'!$CI$17:$CO$17,1,BL163))^INT(INT(BL164/12)/INDEX('Lease Cycles'!$CP$17:$CV$17,1,BL163))/12)))),'Lease Cycles'!$C$17*INDEX('Lease Cycles'!$CB$17:$CH$17,1,BL163)*(1+INDEX('Lease Cycles'!$CI$17:$CO$17,1,BL163))^INT(INT(BL164/12)/INDEX('Lease Cycles'!$CP$17:$CV$17,1,BL163))/12))),IF('Lease Cycles'!$N$17=1,'Lease Cycles'!$C$17*'Lease Cycles'!$E$17*INDEX('Lease Cycles'!$HE$17:$HK$17,1,BL163)*(1+INDEX('Lease Cycles'!$GQ$17:$GW$17,1,BL163))^INT(INT((BL$6-INDEX('Lease Cycles'!$GJ$17:$GP$17,1,BL163))/12)/INDEX('Lease Cycles'!$GX$17:$HD$17,1,BL163))/12,0)))</f>
        <v>2755.129009333333</v>
      </c>
      <c r="BM166" s="28">
        <f>IF(BM163=0,IF('Lease Cycles'!$F$17&gt;0,'Lease Cycles'!$C$17*'Lease Cycles'!$E$17/12,0),IF(BM165=1,IF('Lease Cycles'!$AT$17&gt;=9999,'Lease Cycles'!$C$17*INDEX('Lease Cycles'!$CB$17:$CH$17,1,BM163)*(1+INDEX('Lease Cycles'!$CI$17:$CO$17,1,BM163))^INT(INT(BM164/12)/INDEX('Lease Cycles'!$CP$17:$CV$17,1,BM163))/12,IF(BM163=1,IF(BM164&gt;=INDEX('Lease Cycles'!$DK$17:$DQ$17,1,BM163),IF(BM$6&gt;='Lease Cycles'!$AZ$17,'Lease Cycles'!$C$17*'Lease Cycles'!$BA$17/12,IF(BM$6&gt;='Lease Cycles'!$AX$17,'Lease Cycles'!$C$17*'Lease Cycles'!$AY$17/12,IF(BM$6&gt;='Lease Cycles'!$AV$17,'Lease Cycles'!$C$17*'Lease Cycles'!$AW$17/12,IF(BM$6&gt;='Lease Cycles'!$AT$17,'Lease Cycles'!$C$17*'Lease Cycles'!$AU$17/12,'Lease Cycles'!$C$17*INDEX('Lease Cycles'!$CB$17:$CH$17,1,BM163)*(1+INDEX('Lease Cycles'!$CI$17:$CO$17,1,BM163))^INT(INT(BM164/12)/INDEX('Lease Cycles'!$CP$17:$CV$17,1,BM163))/12)))),'Lease Cycles'!$C$17*INDEX('Lease Cycles'!$CB$17:$CH$17,1,BM163)*(1+INDEX('Lease Cycles'!$CI$17:$CO$17,1,BM163))^INT(INT(BM164/12)/INDEX('Lease Cycles'!$CP$17:$CV$17,1,BM163))/12),IF(INDEX('Lease Cycles'!$EF$17:$EL$17,1,BM163)=1,IF(AND('Lease Cycles'!$AZ$17&gt;=INDEX('Lease Cycles'!$BG$17:$BM$17,1,BM163),'Lease Cycles'!$AZ$17&lt;=BM$6),'Lease Cycles'!$C$17*'Lease Cycles'!$BA$17/12,IF(AND('Lease Cycles'!$AX$17&gt;=INDEX('Lease Cycles'!$BG$17:$BM$17,1,BM163),'Lease Cycles'!$AX$17&lt;=BM$6),'Lease Cycles'!$C$17*'Lease Cycles'!$AY$17/12,IF(AND('Lease Cycles'!$AV$17&gt;=INDEX('Lease Cycles'!$BG$17:$BM$17,1,BM163),'Lease Cycles'!$AV$17&lt;=BM$6),'Lease Cycles'!$C$17*'Lease Cycles'!$AW$17/12,IF(AND('Lease Cycles'!$AT$17&gt;=INDEX('Lease Cycles'!$BG$17:$BM$17,1,BM163),'Lease Cycles'!$AT$17&lt;=BM$6),'Lease Cycles'!$C$17*'Lease Cycles'!$AU$17/12,'Lease Cycles'!$C$17*INDEX('Lease Cycles'!$CB$17:$CH$17,1,BM163)*(1+INDEX('Lease Cycles'!$CI$17:$CO$17,1,BM163))^INT(INT(BM164/12)/INDEX('Lease Cycles'!$CP$17:$CV$17,1,BM163))/12)))),'Lease Cycles'!$C$17*INDEX('Lease Cycles'!$CB$17:$CH$17,1,BM163)*(1+INDEX('Lease Cycles'!$CI$17:$CO$17,1,BM163))^INT(INT(BM164/12)/INDEX('Lease Cycles'!$CP$17:$CV$17,1,BM163))/12))),IF('Lease Cycles'!$N$17=1,'Lease Cycles'!$C$17*'Lease Cycles'!$E$17*INDEX('Lease Cycles'!$HE$17:$HK$17,1,BM163)*(1+INDEX('Lease Cycles'!$GQ$17:$GW$17,1,BM163))^INT(INT((BM$6-INDEX('Lease Cycles'!$GJ$17:$GP$17,1,BM163))/12)/INDEX('Lease Cycles'!$GX$17:$HD$17,1,BM163))/12,0)))</f>
        <v>2755.129009333333</v>
      </c>
      <c r="BN166" s="28">
        <f>IF(BN163=0,IF('Lease Cycles'!$F$17&gt;0,'Lease Cycles'!$C$17*'Lease Cycles'!$E$17/12,0),IF(BN165=1,IF('Lease Cycles'!$AT$17&gt;=9999,'Lease Cycles'!$C$17*INDEX('Lease Cycles'!$CB$17:$CH$17,1,BN163)*(1+INDEX('Lease Cycles'!$CI$17:$CO$17,1,BN163))^INT(INT(BN164/12)/INDEX('Lease Cycles'!$CP$17:$CV$17,1,BN163))/12,IF(BN163=1,IF(BN164&gt;=INDEX('Lease Cycles'!$DK$17:$DQ$17,1,BN163),IF(BN$6&gt;='Lease Cycles'!$AZ$17,'Lease Cycles'!$C$17*'Lease Cycles'!$BA$17/12,IF(BN$6&gt;='Lease Cycles'!$AX$17,'Lease Cycles'!$C$17*'Lease Cycles'!$AY$17/12,IF(BN$6&gt;='Lease Cycles'!$AV$17,'Lease Cycles'!$C$17*'Lease Cycles'!$AW$17/12,IF(BN$6&gt;='Lease Cycles'!$AT$17,'Lease Cycles'!$C$17*'Lease Cycles'!$AU$17/12,'Lease Cycles'!$C$17*INDEX('Lease Cycles'!$CB$17:$CH$17,1,BN163)*(1+INDEX('Lease Cycles'!$CI$17:$CO$17,1,BN163))^INT(INT(BN164/12)/INDEX('Lease Cycles'!$CP$17:$CV$17,1,BN163))/12)))),'Lease Cycles'!$C$17*INDEX('Lease Cycles'!$CB$17:$CH$17,1,BN163)*(1+INDEX('Lease Cycles'!$CI$17:$CO$17,1,BN163))^INT(INT(BN164/12)/INDEX('Lease Cycles'!$CP$17:$CV$17,1,BN163))/12),IF(INDEX('Lease Cycles'!$EF$17:$EL$17,1,BN163)=1,IF(AND('Lease Cycles'!$AZ$17&gt;=INDEX('Lease Cycles'!$BG$17:$BM$17,1,BN163),'Lease Cycles'!$AZ$17&lt;=BN$6),'Lease Cycles'!$C$17*'Lease Cycles'!$BA$17/12,IF(AND('Lease Cycles'!$AX$17&gt;=INDEX('Lease Cycles'!$BG$17:$BM$17,1,BN163),'Lease Cycles'!$AX$17&lt;=BN$6),'Lease Cycles'!$C$17*'Lease Cycles'!$AY$17/12,IF(AND('Lease Cycles'!$AV$17&gt;=INDEX('Lease Cycles'!$BG$17:$BM$17,1,BN163),'Lease Cycles'!$AV$17&lt;=BN$6),'Lease Cycles'!$C$17*'Lease Cycles'!$AW$17/12,IF(AND('Lease Cycles'!$AT$17&gt;=INDEX('Lease Cycles'!$BG$17:$BM$17,1,BN163),'Lease Cycles'!$AT$17&lt;=BN$6),'Lease Cycles'!$C$17*'Lease Cycles'!$AU$17/12,'Lease Cycles'!$C$17*INDEX('Lease Cycles'!$CB$17:$CH$17,1,BN163)*(1+INDEX('Lease Cycles'!$CI$17:$CO$17,1,BN163))^INT(INT(BN164/12)/INDEX('Lease Cycles'!$CP$17:$CV$17,1,BN163))/12)))),'Lease Cycles'!$C$17*INDEX('Lease Cycles'!$CB$17:$CH$17,1,BN163)*(1+INDEX('Lease Cycles'!$CI$17:$CO$17,1,BN163))^INT(INT(BN164/12)/INDEX('Lease Cycles'!$CP$17:$CV$17,1,BN163))/12))),IF('Lease Cycles'!$N$17=1,'Lease Cycles'!$C$17*'Lease Cycles'!$E$17*INDEX('Lease Cycles'!$HE$17:$HK$17,1,BN163)*(1+INDEX('Lease Cycles'!$GQ$17:$GW$17,1,BN163))^INT(INT((BN$6-INDEX('Lease Cycles'!$GJ$17:$GP$17,1,BN163))/12)/INDEX('Lease Cycles'!$GX$17:$HD$17,1,BN163))/12,0)))</f>
        <v>2755.129009333333</v>
      </c>
      <c r="BO166" s="28">
        <f>IF(BO163=0,IF('Lease Cycles'!$F$17&gt;0,'Lease Cycles'!$C$17*'Lease Cycles'!$E$17/12,0),IF(BO165=1,IF('Lease Cycles'!$AT$17&gt;=9999,'Lease Cycles'!$C$17*INDEX('Lease Cycles'!$CB$17:$CH$17,1,BO163)*(1+INDEX('Lease Cycles'!$CI$17:$CO$17,1,BO163))^INT(INT(BO164/12)/INDEX('Lease Cycles'!$CP$17:$CV$17,1,BO163))/12,IF(BO163=1,IF(BO164&gt;=INDEX('Lease Cycles'!$DK$17:$DQ$17,1,BO163),IF(BO$6&gt;='Lease Cycles'!$AZ$17,'Lease Cycles'!$C$17*'Lease Cycles'!$BA$17/12,IF(BO$6&gt;='Lease Cycles'!$AX$17,'Lease Cycles'!$C$17*'Lease Cycles'!$AY$17/12,IF(BO$6&gt;='Lease Cycles'!$AV$17,'Lease Cycles'!$C$17*'Lease Cycles'!$AW$17/12,IF(BO$6&gt;='Lease Cycles'!$AT$17,'Lease Cycles'!$C$17*'Lease Cycles'!$AU$17/12,'Lease Cycles'!$C$17*INDEX('Lease Cycles'!$CB$17:$CH$17,1,BO163)*(1+INDEX('Lease Cycles'!$CI$17:$CO$17,1,BO163))^INT(INT(BO164/12)/INDEX('Lease Cycles'!$CP$17:$CV$17,1,BO163))/12)))),'Lease Cycles'!$C$17*INDEX('Lease Cycles'!$CB$17:$CH$17,1,BO163)*(1+INDEX('Lease Cycles'!$CI$17:$CO$17,1,BO163))^INT(INT(BO164/12)/INDEX('Lease Cycles'!$CP$17:$CV$17,1,BO163))/12),IF(INDEX('Lease Cycles'!$EF$17:$EL$17,1,BO163)=1,IF(AND('Lease Cycles'!$AZ$17&gt;=INDEX('Lease Cycles'!$BG$17:$BM$17,1,BO163),'Lease Cycles'!$AZ$17&lt;=BO$6),'Lease Cycles'!$C$17*'Lease Cycles'!$BA$17/12,IF(AND('Lease Cycles'!$AX$17&gt;=INDEX('Lease Cycles'!$BG$17:$BM$17,1,BO163),'Lease Cycles'!$AX$17&lt;=BO$6),'Lease Cycles'!$C$17*'Lease Cycles'!$AY$17/12,IF(AND('Lease Cycles'!$AV$17&gt;=INDEX('Lease Cycles'!$BG$17:$BM$17,1,BO163),'Lease Cycles'!$AV$17&lt;=BO$6),'Lease Cycles'!$C$17*'Lease Cycles'!$AW$17/12,IF(AND('Lease Cycles'!$AT$17&gt;=INDEX('Lease Cycles'!$BG$17:$BM$17,1,BO163),'Lease Cycles'!$AT$17&lt;=BO$6),'Lease Cycles'!$C$17*'Lease Cycles'!$AU$17/12,'Lease Cycles'!$C$17*INDEX('Lease Cycles'!$CB$17:$CH$17,1,BO163)*(1+INDEX('Lease Cycles'!$CI$17:$CO$17,1,BO163))^INT(INT(BO164/12)/INDEX('Lease Cycles'!$CP$17:$CV$17,1,BO163))/12)))),'Lease Cycles'!$C$17*INDEX('Lease Cycles'!$CB$17:$CH$17,1,BO163)*(1+INDEX('Lease Cycles'!$CI$17:$CO$17,1,BO163))^INT(INT(BO164/12)/INDEX('Lease Cycles'!$CP$17:$CV$17,1,BO163))/12))),IF('Lease Cycles'!$N$17=1,'Lease Cycles'!$C$17*'Lease Cycles'!$E$17*INDEX('Lease Cycles'!$HE$17:$HK$17,1,BO163)*(1+INDEX('Lease Cycles'!$GQ$17:$GW$17,1,BO163))^INT(INT((BO$6-INDEX('Lease Cycles'!$GJ$17:$GP$17,1,BO163))/12)/INDEX('Lease Cycles'!$GX$17:$HD$17,1,BO163))/12,0)))</f>
        <v>2755.129009333333</v>
      </c>
      <c r="BP166" s="28">
        <f>IF(BP163=0,IF('Lease Cycles'!$F$17&gt;0,'Lease Cycles'!$C$17*'Lease Cycles'!$E$17/12,0),IF(BP165=1,IF('Lease Cycles'!$AT$17&gt;=9999,'Lease Cycles'!$C$17*INDEX('Lease Cycles'!$CB$17:$CH$17,1,BP163)*(1+INDEX('Lease Cycles'!$CI$17:$CO$17,1,BP163))^INT(INT(BP164/12)/INDEX('Lease Cycles'!$CP$17:$CV$17,1,BP163))/12,IF(BP163=1,IF(BP164&gt;=INDEX('Lease Cycles'!$DK$17:$DQ$17,1,BP163),IF(BP$6&gt;='Lease Cycles'!$AZ$17,'Lease Cycles'!$C$17*'Lease Cycles'!$BA$17/12,IF(BP$6&gt;='Lease Cycles'!$AX$17,'Lease Cycles'!$C$17*'Lease Cycles'!$AY$17/12,IF(BP$6&gt;='Lease Cycles'!$AV$17,'Lease Cycles'!$C$17*'Lease Cycles'!$AW$17/12,IF(BP$6&gt;='Lease Cycles'!$AT$17,'Lease Cycles'!$C$17*'Lease Cycles'!$AU$17/12,'Lease Cycles'!$C$17*INDEX('Lease Cycles'!$CB$17:$CH$17,1,BP163)*(1+INDEX('Lease Cycles'!$CI$17:$CO$17,1,BP163))^INT(INT(BP164/12)/INDEX('Lease Cycles'!$CP$17:$CV$17,1,BP163))/12)))),'Lease Cycles'!$C$17*INDEX('Lease Cycles'!$CB$17:$CH$17,1,BP163)*(1+INDEX('Lease Cycles'!$CI$17:$CO$17,1,BP163))^INT(INT(BP164/12)/INDEX('Lease Cycles'!$CP$17:$CV$17,1,BP163))/12),IF(INDEX('Lease Cycles'!$EF$17:$EL$17,1,BP163)=1,IF(AND('Lease Cycles'!$AZ$17&gt;=INDEX('Lease Cycles'!$BG$17:$BM$17,1,BP163),'Lease Cycles'!$AZ$17&lt;=BP$6),'Lease Cycles'!$C$17*'Lease Cycles'!$BA$17/12,IF(AND('Lease Cycles'!$AX$17&gt;=INDEX('Lease Cycles'!$BG$17:$BM$17,1,BP163),'Lease Cycles'!$AX$17&lt;=BP$6),'Lease Cycles'!$C$17*'Lease Cycles'!$AY$17/12,IF(AND('Lease Cycles'!$AV$17&gt;=INDEX('Lease Cycles'!$BG$17:$BM$17,1,BP163),'Lease Cycles'!$AV$17&lt;=BP$6),'Lease Cycles'!$C$17*'Lease Cycles'!$AW$17/12,IF(AND('Lease Cycles'!$AT$17&gt;=INDEX('Lease Cycles'!$BG$17:$BM$17,1,BP163),'Lease Cycles'!$AT$17&lt;=BP$6),'Lease Cycles'!$C$17*'Lease Cycles'!$AU$17/12,'Lease Cycles'!$C$17*INDEX('Lease Cycles'!$CB$17:$CH$17,1,BP163)*(1+INDEX('Lease Cycles'!$CI$17:$CO$17,1,BP163))^INT(INT(BP164/12)/INDEX('Lease Cycles'!$CP$17:$CV$17,1,BP163))/12)))),'Lease Cycles'!$C$17*INDEX('Lease Cycles'!$CB$17:$CH$17,1,BP163)*(1+INDEX('Lease Cycles'!$CI$17:$CO$17,1,BP163))^INT(INT(BP164/12)/INDEX('Lease Cycles'!$CP$17:$CV$17,1,BP163))/12))),IF('Lease Cycles'!$N$17=1,'Lease Cycles'!$C$17*'Lease Cycles'!$E$17*INDEX('Lease Cycles'!$HE$17:$HK$17,1,BP163)*(1+INDEX('Lease Cycles'!$GQ$17:$GW$17,1,BP163))^INT(INT((BP$6-INDEX('Lease Cycles'!$GJ$17:$GP$17,1,BP163))/12)/INDEX('Lease Cycles'!$GX$17:$HD$17,1,BP163))/12,0)))</f>
        <v>2755.129009333333</v>
      </c>
      <c r="BQ166" s="28">
        <f>IF(BQ163=0,IF('Lease Cycles'!$F$17&gt;0,'Lease Cycles'!$C$17*'Lease Cycles'!$E$17/12,0),IF(BQ165=1,IF('Lease Cycles'!$AT$17&gt;=9999,'Lease Cycles'!$C$17*INDEX('Lease Cycles'!$CB$17:$CH$17,1,BQ163)*(1+INDEX('Lease Cycles'!$CI$17:$CO$17,1,BQ163))^INT(INT(BQ164/12)/INDEX('Lease Cycles'!$CP$17:$CV$17,1,BQ163))/12,IF(BQ163=1,IF(BQ164&gt;=INDEX('Lease Cycles'!$DK$17:$DQ$17,1,BQ163),IF(BQ$6&gt;='Lease Cycles'!$AZ$17,'Lease Cycles'!$C$17*'Lease Cycles'!$BA$17/12,IF(BQ$6&gt;='Lease Cycles'!$AX$17,'Lease Cycles'!$C$17*'Lease Cycles'!$AY$17/12,IF(BQ$6&gt;='Lease Cycles'!$AV$17,'Lease Cycles'!$C$17*'Lease Cycles'!$AW$17/12,IF(BQ$6&gt;='Lease Cycles'!$AT$17,'Lease Cycles'!$C$17*'Lease Cycles'!$AU$17/12,'Lease Cycles'!$C$17*INDEX('Lease Cycles'!$CB$17:$CH$17,1,BQ163)*(1+INDEX('Lease Cycles'!$CI$17:$CO$17,1,BQ163))^INT(INT(BQ164/12)/INDEX('Lease Cycles'!$CP$17:$CV$17,1,BQ163))/12)))),'Lease Cycles'!$C$17*INDEX('Lease Cycles'!$CB$17:$CH$17,1,BQ163)*(1+INDEX('Lease Cycles'!$CI$17:$CO$17,1,BQ163))^INT(INT(BQ164/12)/INDEX('Lease Cycles'!$CP$17:$CV$17,1,BQ163))/12),IF(INDEX('Lease Cycles'!$EF$17:$EL$17,1,BQ163)=1,IF(AND('Lease Cycles'!$AZ$17&gt;=INDEX('Lease Cycles'!$BG$17:$BM$17,1,BQ163),'Lease Cycles'!$AZ$17&lt;=BQ$6),'Lease Cycles'!$C$17*'Lease Cycles'!$BA$17/12,IF(AND('Lease Cycles'!$AX$17&gt;=INDEX('Lease Cycles'!$BG$17:$BM$17,1,BQ163),'Lease Cycles'!$AX$17&lt;=BQ$6),'Lease Cycles'!$C$17*'Lease Cycles'!$AY$17/12,IF(AND('Lease Cycles'!$AV$17&gt;=INDEX('Lease Cycles'!$BG$17:$BM$17,1,BQ163),'Lease Cycles'!$AV$17&lt;=BQ$6),'Lease Cycles'!$C$17*'Lease Cycles'!$AW$17/12,IF(AND('Lease Cycles'!$AT$17&gt;=INDEX('Lease Cycles'!$BG$17:$BM$17,1,BQ163),'Lease Cycles'!$AT$17&lt;=BQ$6),'Lease Cycles'!$C$17*'Lease Cycles'!$AU$17/12,'Lease Cycles'!$C$17*INDEX('Lease Cycles'!$CB$17:$CH$17,1,BQ163)*(1+INDEX('Lease Cycles'!$CI$17:$CO$17,1,BQ163))^INT(INT(BQ164/12)/INDEX('Lease Cycles'!$CP$17:$CV$17,1,BQ163))/12)))),'Lease Cycles'!$C$17*INDEX('Lease Cycles'!$CB$17:$CH$17,1,BQ163)*(1+INDEX('Lease Cycles'!$CI$17:$CO$17,1,BQ163))^INT(INT(BQ164/12)/INDEX('Lease Cycles'!$CP$17:$CV$17,1,BQ163))/12))),IF('Lease Cycles'!$N$17=1,'Lease Cycles'!$C$17*'Lease Cycles'!$E$17*INDEX('Lease Cycles'!$HE$17:$HK$17,1,BQ163)*(1+INDEX('Lease Cycles'!$GQ$17:$GW$17,1,BQ163))^INT(INT((BQ$6-INDEX('Lease Cycles'!$GJ$17:$GP$17,1,BQ163))/12)/INDEX('Lease Cycles'!$GX$17:$HD$17,1,BQ163))/12,0)))</f>
        <v>2755.129009333333</v>
      </c>
      <c r="BR166" s="28">
        <f>IF(BR163=0,IF('Lease Cycles'!$F$17&gt;0,'Lease Cycles'!$C$17*'Lease Cycles'!$E$17/12,0),IF(BR165=1,IF('Lease Cycles'!$AT$17&gt;=9999,'Lease Cycles'!$C$17*INDEX('Lease Cycles'!$CB$17:$CH$17,1,BR163)*(1+INDEX('Lease Cycles'!$CI$17:$CO$17,1,BR163))^INT(INT(BR164/12)/INDEX('Lease Cycles'!$CP$17:$CV$17,1,BR163))/12,IF(BR163=1,IF(BR164&gt;=INDEX('Lease Cycles'!$DK$17:$DQ$17,1,BR163),IF(BR$6&gt;='Lease Cycles'!$AZ$17,'Lease Cycles'!$C$17*'Lease Cycles'!$BA$17/12,IF(BR$6&gt;='Lease Cycles'!$AX$17,'Lease Cycles'!$C$17*'Lease Cycles'!$AY$17/12,IF(BR$6&gt;='Lease Cycles'!$AV$17,'Lease Cycles'!$C$17*'Lease Cycles'!$AW$17/12,IF(BR$6&gt;='Lease Cycles'!$AT$17,'Lease Cycles'!$C$17*'Lease Cycles'!$AU$17/12,'Lease Cycles'!$C$17*INDEX('Lease Cycles'!$CB$17:$CH$17,1,BR163)*(1+INDEX('Lease Cycles'!$CI$17:$CO$17,1,BR163))^INT(INT(BR164/12)/INDEX('Lease Cycles'!$CP$17:$CV$17,1,BR163))/12)))),'Lease Cycles'!$C$17*INDEX('Lease Cycles'!$CB$17:$CH$17,1,BR163)*(1+INDEX('Lease Cycles'!$CI$17:$CO$17,1,BR163))^INT(INT(BR164/12)/INDEX('Lease Cycles'!$CP$17:$CV$17,1,BR163))/12),IF(INDEX('Lease Cycles'!$EF$17:$EL$17,1,BR163)=1,IF(AND('Lease Cycles'!$AZ$17&gt;=INDEX('Lease Cycles'!$BG$17:$BM$17,1,BR163),'Lease Cycles'!$AZ$17&lt;=BR$6),'Lease Cycles'!$C$17*'Lease Cycles'!$BA$17/12,IF(AND('Lease Cycles'!$AX$17&gt;=INDEX('Lease Cycles'!$BG$17:$BM$17,1,BR163),'Lease Cycles'!$AX$17&lt;=BR$6),'Lease Cycles'!$C$17*'Lease Cycles'!$AY$17/12,IF(AND('Lease Cycles'!$AV$17&gt;=INDEX('Lease Cycles'!$BG$17:$BM$17,1,BR163),'Lease Cycles'!$AV$17&lt;=BR$6),'Lease Cycles'!$C$17*'Lease Cycles'!$AW$17/12,IF(AND('Lease Cycles'!$AT$17&gt;=INDEX('Lease Cycles'!$BG$17:$BM$17,1,BR163),'Lease Cycles'!$AT$17&lt;=BR$6),'Lease Cycles'!$C$17*'Lease Cycles'!$AU$17/12,'Lease Cycles'!$C$17*INDEX('Lease Cycles'!$CB$17:$CH$17,1,BR163)*(1+INDEX('Lease Cycles'!$CI$17:$CO$17,1,BR163))^INT(INT(BR164/12)/INDEX('Lease Cycles'!$CP$17:$CV$17,1,BR163))/12)))),'Lease Cycles'!$C$17*INDEX('Lease Cycles'!$CB$17:$CH$17,1,BR163)*(1+INDEX('Lease Cycles'!$CI$17:$CO$17,1,BR163))^INT(INT(BR164/12)/INDEX('Lease Cycles'!$CP$17:$CV$17,1,BR163))/12))),IF('Lease Cycles'!$N$17=1,'Lease Cycles'!$C$17*'Lease Cycles'!$E$17*INDEX('Lease Cycles'!$HE$17:$HK$17,1,BR163)*(1+INDEX('Lease Cycles'!$GQ$17:$GW$17,1,BR163))^INT(INT((BR$6-INDEX('Lease Cycles'!$GJ$17:$GP$17,1,BR163))/12)/INDEX('Lease Cycles'!$GX$17:$HD$17,1,BR163))/12,0)))</f>
        <v>2755.129009333333</v>
      </c>
      <c r="BS166" s="28">
        <f>IF(BS163=0,IF('Lease Cycles'!$F$17&gt;0,'Lease Cycles'!$C$17*'Lease Cycles'!$E$17/12,0),IF(BS165=1,IF('Lease Cycles'!$AT$17&gt;=9999,'Lease Cycles'!$C$17*INDEX('Lease Cycles'!$CB$17:$CH$17,1,BS163)*(1+INDEX('Lease Cycles'!$CI$17:$CO$17,1,BS163))^INT(INT(BS164/12)/INDEX('Lease Cycles'!$CP$17:$CV$17,1,BS163))/12,IF(BS163=1,IF(BS164&gt;=INDEX('Lease Cycles'!$DK$17:$DQ$17,1,BS163),IF(BS$6&gt;='Lease Cycles'!$AZ$17,'Lease Cycles'!$C$17*'Lease Cycles'!$BA$17/12,IF(BS$6&gt;='Lease Cycles'!$AX$17,'Lease Cycles'!$C$17*'Lease Cycles'!$AY$17/12,IF(BS$6&gt;='Lease Cycles'!$AV$17,'Lease Cycles'!$C$17*'Lease Cycles'!$AW$17/12,IF(BS$6&gt;='Lease Cycles'!$AT$17,'Lease Cycles'!$C$17*'Lease Cycles'!$AU$17/12,'Lease Cycles'!$C$17*INDEX('Lease Cycles'!$CB$17:$CH$17,1,BS163)*(1+INDEX('Lease Cycles'!$CI$17:$CO$17,1,BS163))^INT(INT(BS164/12)/INDEX('Lease Cycles'!$CP$17:$CV$17,1,BS163))/12)))),'Lease Cycles'!$C$17*INDEX('Lease Cycles'!$CB$17:$CH$17,1,BS163)*(1+INDEX('Lease Cycles'!$CI$17:$CO$17,1,BS163))^INT(INT(BS164/12)/INDEX('Lease Cycles'!$CP$17:$CV$17,1,BS163))/12),IF(INDEX('Lease Cycles'!$EF$17:$EL$17,1,BS163)=1,IF(AND('Lease Cycles'!$AZ$17&gt;=INDEX('Lease Cycles'!$BG$17:$BM$17,1,BS163),'Lease Cycles'!$AZ$17&lt;=BS$6),'Lease Cycles'!$C$17*'Lease Cycles'!$BA$17/12,IF(AND('Lease Cycles'!$AX$17&gt;=INDEX('Lease Cycles'!$BG$17:$BM$17,1,BS163),'Lease Cycles'!$AX$17&lt;=BS$6),'Lease Cycles'!$C$17*'Lease Cycles'!$AY$17/12,IF(AND('Lease Cycles'!$AV$17&gt;=INDEX('Lease Cycles'!$BG$17:$BM$17,1,BS163),'Lease Cycles'!$AV$17&lt;=BS$6),'Lease Cycles'!$C$17*'Lease Cycles'!$AW$17/12,IF(AND('Lease Cycles'!$AT$17&gt;=INDEX('Lease Cycles'!$BG$17:$BM$17,1,BS163),'Lease Cycles'!$AT$17&lt;=BS$6),'Lease Cycles'!$C$17*'Lease Cycles'!$AU$17/12,'Lease Cycles'!$C$17*INDEX('Lease Cycles'!$CB$17:$CH$17,1,BS163)*(1+INDEX('Lease Cycles'!$CI$17:$CO$17,1,BS163))^INT(INT(BS164/12)/INDEX('Lease Cycles'!$CP$17:$CV$17,1,BS163))/12)))),'Lease Cycles'!$C$17*INDEX('Lease Cycles'!$CB$17:$CH$17,1,BS163)*(1+INDEX('Lease Cycles'!$CI$17:$CO$17,1,BS163))^INT(INT(BS164/12)/INDEX('Lease Cycles'!$CP$17:$CV$17,1,BS163))/12))),IF('Lease Cycles'!$N$17=1,'Lease Cycles'!$C$17*'Lease Cycles'!$E$17*INDEX('Lease Cycles'!$HE$17:$HK$17,1,BS163)*(1+INDEX('Lease Cycles'!$GQ$17:$GW$17,1,BS163))^INT(INT((BS$6-INDEX('Lease Cycles'!$GJ$17:$GP$17,1,BS163))/12)/INDEX('Lease Cycles'!$GX$17:$HD$17,1,BS163))/12,0)))</f>
        <v>2755.129009333333</v>
      </c>
      <c r="BT166" s="28">
        <f>IF(BT163=0,IF('Lease Cycles'!$F$17&gt;0,'Lease Cycles'!$C$17*'Lease Cycles'!$E$17/12,0),IF(BT165=1,IF('Lease Cycles'!$AT$17&gt;=9999,'Lease Cycles'!$C$17*INDEX('Lease Cycles'!$CB$17:$CH$17,1,BT163)*(1+INDEX('Lease Cycles'!$CI$17:$CO$17,1,BT163))^INT(INT(BT164/12)/INDEX('Lease Cycles'!$CP$17:$CV$17,1,BT163))/12,IF(BT163=1,IF(BT164&gt;=INDEX('Lease Cycles'!$DK$17:$DQ$17,1,BT163),IF(BT$6&gt;='Lease Cycles'!$AZ$17,'Lease Cycles'!$C$17*'Lease Cycles'!$BA$17/12,IF(BT$6&gt;='Lease Cycles'!$AX$17,'Lease Cycles'!$C$17*'Lease Cycles'!$AY$17/12,IF(BT$6&gt;='Lease Cycles'!$AV$17,'Lease Cycles'!$C$17*'Lease Cycles'!$AW$17/12,IF(BT$6&gt;='Lease Cycles'!$AT$17,'Lease Cycles'!$C$17*'Lease Cycles'!$AU$17/12,'Lease Cycles'!$C$17*INDEX('Lease Cycles'!$CB$17:$CH$17,1,BT163)*(1+INDEX('Lease Cycles'!$CI$17:$CO$17,1,BT163))^INT(INT(BT164/12)/INDEX('Lease Cycles'!$CP$17:$CV$17,1,BT163))/12)))),'Lease Cycles'!$C$17*INDEX('Lease Cycles'!$CB$17:$CH$17,1,BT163)*(1+INDEX('Lease Cycles'!$CI$17:$CO$17,1,BT163))^INT(INT(BT164/12)/INDEX('Lease Cycles'!$CP$17:$CV$17,1,BT163))/12),IF(INDEX('Lease Cycles'!$EF$17:$EL$17,1,BT163)=1,IF(AND('Lease Cycles'!$AZ$17&gt;=INDEX('Lease Cycles'!$BG$17:$BM$17,1,BT163),'Lease Cycles'!$AZ$17&lt;=BT$6),'Lease Cycles'!$C$17*'Lease Cycles'!$BA$17/12,IF(AND('Lease Cycles'!$AX$17&gt;=INDEX('Lease Cycles'!$BG$17:$BM$17,1,BT163),'Lease Cycles'!$AX$17&lt;=BT$6),'Lease Cycles'!$C$17*'Lease Cycles'!$AY$17/12,IF(AND('Lease Cycles'!$AV$17&gt;=INDEX('Lease Cycles'!$BG$17:$BM$17,1,BT163),'Lease Cycles'!$AV$17&lt;=BT$6),'Lease Cycles'!$C$17*'Lease Cycles'!$AW$17/12,IF(AND('Lease Cycles'!$AT$17&gt;=INDEX('Lease Cycles'!$BG$17:$BM$17,1,BT163),'Lease Cycles'!$AT$17&lt;=BT$6),'Lease Cycles'!$C$17*'Lease Cycles'!$AU$17/12,'Lease Cycles'!$C$17*INDEX('Lease Cycles'!$CB$17:$CH$17,1,BT163)*(1+INDEX('Lease Cycles'!$CI$17:$CO$17,1,BT163))^INT(INT(BT164/12)/INDEX('Lease Cycles'!$CP$17:$CV$17,1,BT163))/12)))),'Lease Cycles'!$C$17*INDEX('Lease Cycles'!$CB$17:$CH$17,1,BT163)*(1+INDEX('Lease Cycles'!$CI$17:$CO$17,1,BT163))^INT(INT(BT164/12)/INDEX('Lease Cycles'!$CP$17:$CV$17,1,BT163))/12))),IF('Lease Cycles'!$N$17=1,'Lease Cycles'!$C$17*'Lease Cycles'!$E$17*INDEX('Lease Cycles'!$HE$17:$HK$17,1,BT163)*(1+INDEX('Lease Cycles'!$GQ$17:$GW$17,1,BT163))^INT(INT((BT$6-INDEX('Lease Cycles'!$GJ$17:$GP$17,1,BT163))/12)/INDEX('Lease Cycles'!$GX$17:$HD$17,1,BT163))/12,0)))</f>
        <v>2755.129009333333</v>
      </c>
      <c r="BU166" s="28">
        <f>IF(BU163=0,IF('Lease Cycles'!$F$17&gt;0,'Lease Cycles'!$C$17*'Lease Cycles'!$E$17/12,0),IF(BU165=1,IF('Lease Cycles'!$AT$17&gt;=9999,'Lease Cycles'!$C$17*INDEX('Lease Cycles'!$CB$17:$CH$17,1,BU163)*(1+INDEX('Lease Cycles'!$CI$17:$CO$17,1,BU163))^INT(INT(BU164/12)/INDEX('Lease Cycles'!$CP$17:$CV$17,1,BU163))/12,IF(BU163=1,IF(BU164&gt;=INDEX('Lease Cycles'!$DK$17:$DQ$17,1,BU163),IF(BU$6&gt;='Lease Cycles'!$AZ$17,'Lease Cycles'!$C$17*'Lease Cycles'!$BA$17/12,IF(BU$6&gt;='Lease Cycles'!$AX$17,'Lease Cycles'!$C$17*'Lease Cycles'!$AY$17/12,IF(BU$6&gt;='Lease Cycles'!$AV$17,'Lease Cycles'!$C$17*'Lease Cycles'!$AW$17/12,IF(BU$6&gt;='Lease Cycles'!$AT$17,'Lease Cycles'!$C$17*'Lease Cycles'!$AU$17/12,'Lease Cycles'!$C$17*INDEX('Lease Cycles'!$CB$17:$CH$17,1,BU163)*(1+INDEX('Lease Cycles'!$CI$17:$CO$17,1,BU163))^INT(INT(BU164/12)/INDEX('Lease Cycles'!$CP$17:$CV$17,1,BU163))/12)))),'Lease Cycles'!$C$17*INDEX('Lease Cycles'!$CB$17:$CH$17,1,BU163)*(1+INDEX('Lease Cycles'!$CI$17:$CO$17,1,BU163))^INT(INT(BU164/12)/INDEX('Lease Cycles'!$CP$17:$CV$17,1,BU163))/12),IF(INDEX('Lease Cycles'!$EF$17:$EL$17,1,BU163)=1,IF(AND('Lease Cycles'!$AZ$17&gt;=INDEX('Lease Cycles'!$BG$17:$BM$17,1,BU163),'Lease Cycles'!$AZ$17&lt;=BU$6),'Lease Cycles'!$C$17*'Lease Cycles'!$BA$17/12,IF(AND('Lease Cycles'!$AX$17&gt;=INDEX('Lease Cycles'!$BG$17:$BM$17,1,BU163),'Lease Cycles'!$AX$17&lt;=BU$6),'Lease Cycles'!$C$17*'Lease Cycles'!$AY$17/12,IF(AND('Lease Cycles'!$AV$17&gt;=INDEX('Lease Cycles'!$BG$17:$BM$17,1,BU163),'Lease Cycles'!$AV$17&lt;=BU$6),'Lease Cycles'!$C$17*'Lease Cycles'!$AW$17/12,IF(AND('Lease Cycles'!$AT$17&gt;=INDEX('Lease Cycles'!$BG$17:$BM$17,1,BU163),'Lease Cycles'!$AT$17&lt;=BU$6),'Lease Cycles'!$C$17*'Lease Cycles'!$AU$17/12,'Lease Cycles'!$C$17*INDEX('Lease Cycles'!$CB$17:$CH$17,1,BU163)*(1+INDEX('Lease Cycles'!$CI$17:$CO$17,1,BU163))^INT(INT(BU164/12)/INDEX('Lease Cycles'!$CP$17:$CV$17,1,BU163))/12)))),'Lease Cycles'!$C$17*INDEX('Lease Cycles'!$CB$17:$CH$17,1,BU163)*(1+INDEX('Lease Cycles'!$CI$17:$CO$17,1,BU163))^INT(INT(BU164/12)/INDEX('Lease Cycles'!$CP$17:$CV$17,1,BU163))/12))),IF('Lease Cycles'!$N$17=1,'Lease Cycles'!$C$17*'Lease Cycles'!$E$17*INDEX('Lease Cycles'!$HE$17:$HK$17,1,BU163)*(1+INDEX('Lease Cycles'!$GQ$17:$GW$17,1,BU163))^INT(INT((BU$6-INDEX('Lease Cycles'!$GJ$17:$GP$17,1,BU163))/12)/INDEX('Lease Cycles'!$GX$17:$HD$17,1,BU163))/12,0)))</f>
        <v>2755.129009333333</v>
      </c>
      <c r="BV166" s="28">
        <f>IF(BV163=0,IF('Lease Cycles'!$F$17&gt;0,'Lease Cycles'!$C$17*'Lease Cycles'!$E$17/12,0),IF(BV165=1,IF('Lease Cycles'!$AT$17&gt;=9999,'Lease Cycles'!$C$17*INDEX('Lease Cycles'!$CB$17:$CH$17,1,BV163)*(1+INDEX('Lease Cycles'!$CI$17:$CO$17,1,BV163))^INT(INT(BV164/12)/INDEX('Lease Cycles'!$CP$17:$CV$17,1,BV163))/12,IF(BV163=1,IF(BV164&gt;=INDEX('Lease Cycles'!$DK$17:$DQ$17,1,BV163),IF(BV$6&gt;='Lease Cycles'!$AZ$17,'Lease Cycles'!$C$17*'Lease Cycles'!$BA$17/12,IF(BV$6&gt;='Lease Cycles'!$AX$17,'Lease Cycles'!$C$17*'Lease Cycles'!$AY$17/12,IF(BV$6&gt;='Lease Cycles'!$AV$17,'Lease Cycles'!$C$17*'Lease Cycles'!$AW$17/12,IF(BV$6&gt;='Lease Cycles'!$AT$17,'Lease Cycles'!$C$17*'Lease Cycles'!$AU$17/12,'Lease Cycles'!$C$17*INDEX('Lease Cycles'!$CB$17:$CH$17,1,BV163)*(1+INDEX('Lease Cycles'!$CI$17:$CO$17,1,BV163))^INT(INT(BV164/12)/INDEX('Lease Cycles'!$CP$17:$CV$17,1,BV163))/12)))),'Lease Cycles'!$C$17*INDEX('Lease Cycles'!$CB$17:$CH$17,1,BV163)*(1+INDEX('Lease Cycles'!$CI$17:$CO$17,1,BV163))^INT(INT(BV164/12)/INDEX('Lease Cycles'!$CP$17:$CV$17,1,BV163))/12),IF(INDEX('Lease Cycles'!$EF$17:$EL$17,1,BV163)=1,IF(AND('Lease Cycles'!$AZ$17&gt;=INDEX('Lease Cycles'!$BG$17:$BM$17,1,BV163),'Lease Cycles'!$AZ$17&lt;=BV$6),'Lease Cycles'!$C$17*'Lease Cycles'!$BA$17/12,IF(AND('Lease Cycles'!$AX$17&gt;=INDEX('Lease Cycles'!$BG$17:$BM$17,1,BV163),'Lease Cycles'!$AX$17&lt;=BV$6),'Lease Cycles'!$C$17*'Lease Cycles'!$AY$17/12,IF(AND('Lease Cycles'!$AV$17&gt;=INDEX('Lease Cycles'!$BG$17:$BM$17,1,BV163),'Lease Cycles'!$AV$17&lt;=BV$6),'Lease Cycles'!$C$17*'Lease Cycles'!$AW$17/12,IF(AND('Lease Cycles'!$AT$17&gt;=INDEX('Lease Cycles'!$BG$17:$BM$17,1,BV163),'Lease Cycles'!$AT$17&lt;=BV$6),'Lease Cycles'!$C$17*'Lease Cycles'!$AU$17/12,'Lease Cycles'!$C$17*INDEX('Lease Cycles'!$CB$17:$CH$17,1,BV163)*(1+INDEX('Lease Cycles'!$CI$17:$CO$17,1,BV163))^INT(INT(BV164/12)/INDEX('Lease Cycles'!$CP$17:$CV$17,1,BV163))/12)))),'Lease Cycles'!$C$17*INDEX('Lease Cycles'!$CB$17:$CH$17,1,BV163)*(1+INDEX('Lease Cycles'!$CI$17:$CO$17,1,BV163))^INT(INT(BV164/12)/INDEX('Lease Cycles'!$CP$17:$CV$17,1,BV163))/12))),IF('Lease Cycles'!$N$17=1,'Lease Cycles'!$C$17*'Lease Cycles'!$E$17*INDEX('Lease Cycles'!$HE$17:$HK$17,1,BV163)*(1+INDEX('Lease Cycles'!$GQ$17:$GW$17,1,BV163))^INT(INT((BV$6-INDEX('Lease Cycles'!$GJ$17:$GP$17,1,BV163))/12)/INDEX('Lease Cycles'!$GX$17:$HD$17,1,BV163))/12,0)))</f>
        <v>2755.129009333333</v>
      </c>
      <c r="BW166" s="28">
        <f>IF(BW163=0,IF('Lease Cycles'!$F$17&gt;0,'Lease Cycles'!$C$17*'Lease Cycles'!$E$17/12,0),IF(BW165=1,IF('Lease Cycles'!$AT$17&gt;=9999,'Lease Cycles'!$C$17*INDEX('Lease Cycles'!$CB$17:$CH$17,1,BW163)*(1+INDEX('Lease Cycles'!$CI$17:$CO$17,1,BW163))^INT(INT(BW164/12)/INDEX('Lease Cycles'!$CP$17:$CV$17,1,BW163))/12,IF(BW163=1,IF(BW164&gt;=INDEX('Lease Cycles'!$DK$17:$DQ$17,1,BW163),IF(BW$6&gt;='Lease Cycles'!$AZ$17,'Lease Cycles'!$C$17*'Lease Cycles'!$BA$17/12,IF(BW$6&gt;='Lease Cycles'!$AX$17,'Lease Cycles'!$C$17*'Lease Cycles'!$AY$17/12,IF(BW$6&gt;='Lease Cycles'!$AV$17,'Lease Cycles'!$C$17*'Lease Cycles'!$AW$17/12,IF(BW$6&gt;='Lease Cycles'!$AT$17,'Lease Cycles'!$C$17*'Lease Cycles'!$AU$17/12,'Lease Cycles'!$C$17*INDEX('Lease Cycles'!$CB$17:$CH$17,1,BW163)*(1+INDEX('Lease Cycles'!$CI$17:$CO$17,1,BW163))^INT(INT(BW164/12)/INDEX('Lease Cycles'!$CP$17:$CV$17,1,BW163))/12)))),'Lease Cycles'!$C$17*INDEX('Lease Cycles'!$CB$17:$CH$17,1,BW163)*(1+INDEX('Lease Cycles'!$CI$17:$CO$17,1,BW163))^INT(INT(BW164/12)/INDEX('Lease Cycles'!$CP$17:$CV$17,1,BW163))/12),IF(INDEX('Lease Cycles'!$EF$17:$EL$17,1,BW163)=1,IF(AND('Lease Cycles'!$AZ$17&gt;=INDEX('Lease Cycles'!$BG$17:$BM$17,1,BW163),'Lease Cycles'!$AZ$17&lt;=BW$6),'Lease Cycles'!$C$17*'Lease Cycles'!$BA$17/12,IF(AND('Lease Cycles'!$AX$17&gt;=INDEX('Lease Cycles'!$BG$17:$BM$17,1,BW163),'Lease Cycles'!$AX$17&lt;=BW$6),'Lease Cycles'!$C$17*'Lease Cycles'!$AY$17/12,IF(AND('Lease Cycles'!$AV$17&gt;=INDEX('Lease Cycles'!$BG$17:$BM$17,1,BW163),'Lease Cycles'!$AV$17&lt;=BW$6),'Lease Cycles'!$C$17*'Lease Cycles'!$AW$17/12,IF(AND('Lease Cycles'!$AT$17&gt;=INDEX('Lease Cycles'!$BG$17:$BM$17,1,BW163),'Lease Cycles'!$AT$17&lt;=BW$6),'Lease Cycles'!$C$17*'Lease Cycles'!$AU$17/12,'Lease Cycles'!$C$17*INDEX('Lease Cycles'!$CB$17:$CH$17,1,BW163)*(1+INDEX('Lease Cycles'!$CI$17:$CO$17,1,BW163))^INT(INT(BW164/12)/INDEX('Lease Cycles'!$CP$17:$CV$17,1,BW163))/12)))),'Lease Cycles'!$C$17*INDEX('Lease Cycles'!$CB$17:$CH$17,1,BW163)*(1+INDEX('Lease Cycles'!$CI$17:$CO$17,1,BW163))^INT(INT(BW164/12)/INDEX('Lease Cycles'!$CP$17:$CV$17,1,BW163))/12))),IF('Lease Cycles'!$N$17=1,'Lease Cycles'!$C$17*'Lease Cycles'!$E$17*INDEX('Lease Cycles'!$HE$17:$HK$17,1,BW163)*(1+INDEX('Lease Cycles'!$GQ$17:$GW$17,1,BW163))^INT(INT((BW$6-INDEX('Lease Cycles'!$GJ$17:$GP$17,1,BW163))/12)/INDEX('Lease Cycles'!$GX$17:$HD$17,1,BW163))/12,0)))</f>
        <v>2755.129009333333</v>
      </c>
      <c r="BX166" s="28">
        <f>IF(BX163=0,IF('Lease Cycles'!$F$17&gt;0,'Lease Cycles'!$C$17*'Lease Cycles'!$E$17/12,0),IF(BX165=1,IF('Lease Cycles'!$AT$17&gt;=9999,'Lease Cycles'!$C$17*INDEX('Lease Cycles'!$CB$17:$CH$17,1,BX163)*(1+INDEX('Lease Cycles'!$CI$17:$CO$17,1,BX163))^INT(INT(BX164/12)/INDEX('Lease Cycles'!$CP$17:$CV$17,1,BX163))/12,IF(BX163=1,IF(BX164&gt;=INDEX('Lease Cycles'!$DK$17:$DQ$17,1,BX163),IF(BX$6&gt;='Lease Cycles'!$AZ$17,'Lease Cycles'!$C$17*'Lease Cycles'!$BA$17/12,IF(BX$6&gt;='Lease Cycles'!$AX$17,'Lease Cycles'!$C$17*'Lease Cycles'!$AY$17/12,IF(BX$6&gt;='Lease Cycles'!$AV$17,'Lease Cycles'!$C$17*'Lease Cycles'!$AW$17/12,IF(BX$6&gt;='Lease Cycles'!$AT$17,'Lease Cycles'!$C$17*'Lease Cycles'!$AU$17/12,'Lease Cycles'!$C$17*INDEX('Lease Cycles'!$CB$17:$CH$17,1,BX163)*(1+INDEX('Lease Cycles'!$CI$17:$CO$17,1,BX163))^INT(INT(BX164/12)/INDEX('Lease Cycles'!$CP$17:$CV$17,1,BX163))/12)))),'Lease Cycles'!$C$17*INDEX('Lease Cycles'!$CB$17:$CH$17,1,BX163)*(1+INDEX('Lease Cycles'!$CI$17:$CO$17,1,BX163))^INT(INT(BX164/12)/INDEX('Lease Cycles'!$CP$17:$CV$17,1,BX163))/12),IF(INDEX('Lease Cycles'!$EF$17:$EL$17,1,BX163)=1,IF(AND('Lease Cycles'!$AZ$17&gt;=INDEX('Lease Cycles'!$BG$17:$BM$17,1,BX163),'Lease Cycles'!$AZ$17&lt;=BX$6),'Lease Cycles'!$C$17*'Lease Cycles'!$BA$17/12,IF(AND('Lease Cycles'!$AX$17&gt;=INDEX('Lease Cycles'!$BG$17:$BM$17,1,BX163),'Lease Cycles'!$AX$17&lt;=BX$6),'Lease Cycles'!$C$17*'Lease Cycles'!$AY$17/12,IF(AND('Lease Cycles'!$AV$17&gt;=INDEX('Lease Cycles'!$BG$17:$BM$17,1,BX163),'Lease Cycles'!$AV$17&lt;=BX$6),'Lease Cycles'!$C$17*'Lease Cycles'!$AW$17/12,IF(AND('Lease Cycles'!$AT$17&gt;=INDEX('Lease Cycles'!$BG$17:$BM$17,1,BX163),'Lease Cycles'!$AT$17&lt;=BX$6),'Lease Cycles'!$C$17*'Lease Cycles'!$AU$17/12,'Lease Cycles'!$C$17*INDEX('Lease Cycles'!$CB$17:$CH$17,1,BX163)*(1+INDEX('Lease Cycles'!$CI$17:$CO$17,1,BX163))^INT(INT(BX164/12)/INDEX('Lease Cycles'!$CP$17:$CV$17,1,BX163))/12)))),'Lease Cycles'!$C$17*INDEX('Lease Cycles'!$CB$17:$CH$17,1,BX163)*(1+INDEX('Lease Cycles'!$CI$17:$CO$17,1,BX163))^INT(INT(BX164/12)/INDEX('Lease Cycles'!$CP$17:$CV$17,1,BX163))/12))),IF('Lease Cycles'!$N$17=1,'Lease Cycles'!$C$17*'Lease Cycles'!$E$17*INDEX('Lease Cycles'!$HE$17:$HK$17,1,BX163)*(1+INDEX('Lease Cycles'!$GQ$17:$GW$17,1,BX163))^INT(INT((BX$6-INDEX('Lease Cycles'!$GJ$17:$GP$17,1,BX163))/12)/INDEX('Lease Cycles'!$GX$17:$HD$17,1,BX163))/12,0)))</f>
        <v>2837.782879613334</v>
      </c>
      <c r="BY166" s="28">
        <f>IF(BY163=0,IF('Lease Cycles'!$F$17&gt;0,'Lease Cycles'!$C$17*'Lease Cycles'!$E$17/12,0),IF(BY165=1,IF('Lease Cycles'!$AT$17&gt;=9999,'Lease Cycles'!$C$17*INDEX('Lease Cycles'!$CB$17:$CH$17,1,BY163)*(1+INDEX('Lease Cycles'!$CI$17:$CO$17,1,BY163))^INT(INT(BY164/12)/INDEX('Lease Cycles'!$CP$17:$CV$17,1,BY163))/12,IF(BY163=1,IF(BY164&gt;=INDEX('Lease Cycles'!$DK$17:$DQ$17,1,BY163),IF(BY$6&gt;='Lease Cycles'!$AZ$17,'Lease Cycles'!$C$17*'Lease Cycles'!$BA$17/12,IF(BY$6&gt;='Lease Cycles'!$AX$17,'Lease Cycles'!$C$17*'Lease Cycles'!$AY$17/12,IF(BY$6&gt;='Lease Cycles'!$AV$17,'Lease Cycles'!$C$17*'Lease Cycles'!$AW$17/12,IF(BY$6&gt;='Lease Cycles'!$AT$17,'Lease Cycles'!$C$17*'Lease Cycles'!$AU$17/12,'Lease Cycles'!$C$17*INDEX('Lease Cycles'!$CB$17:$CH$17,1,BY163)*(1+INDEX('Lease Cycles'!$CI$17:$CO$17,1,BY163))^INT(INT(BY164/12)/INDEX('Lease Cycles'!$CP$17:$CV$17,1,BY163))/12)))),'Lease Cycles'!$C$17*INDEX('Lease Cycles'!$CB$17:$CH$17,1,BY163)*(1+INDEX('Lease Cycles'!$CI$17:$CO$17,1,BY163))^INT(INT(BY164/12)/INDEX('Lease Cycles'!$CP$17:$CV$17,1,BY163))/12),IF(INDEX('Lease Cycles'!$EF$17:$EL$17,1,BY163)=1,IF(AND('Lease Cycles'!$AZ$17&gt;=INDEX('Lease Cycles'!$BG$17:$BM$17,1,BY163),'Lease Cycles'!$AZ$17&lt;=BY$6),'Lease Cycles'!$C$17*'Lease Cycles'!$BA$17/12,IF(AND('Lease Cycles'!$AX$17&gt;=INDEX('Lease Cycles'!$BG$17:$BM$17,1,BY163),'Lease Cycles'!$AX$17&lt;=BY$6),'Lease Cycles'!$C$17*'Lease Cycles'!$AY$17/12,IF(AND('Lease Cycles'!$AV$17&gt;=INDEX('Lease Cycles'!$BG$17:$BM$17,1,BY163),'Lease Cycles'!$AV$17&lt;=BY$6),'Lease Cycles'!$C$17*'Lease Cycles'!$AW$17/12,IF(AND('Lease Cycles'!$AT$17&gt;=INDEX('Lease Cycles'!$BG$17:$BM$17,1,BY163),'Lease Cycles'!$AT$17&lt;=BY$6),'Lease Cycles'!$C$17*'Lease Cycles'!$AU$17/12,'Lease Cycles'!$C$17*INDEX('Lease Cycles'!$CB$17:$CH$17,1,BY163)*(1+INDEX('Lease Cycles'!$CI$17:$CO$17,1,BY163))^INT(INT(BY164/12)/INDEX('Lease Cycles'!$CP$17:$CV$17,1,BY163))/12)))),'Lease Cycles'!$C$17*INDEX('Lease Cycles'!$CB$17:$CH$17,1,BY163)*(1+INDEX('Lease Cycles'!$CI$17:$CO$17,1,BY163))^INT(INT(BY164/12)/INDEX('Lease Cycles'!$CP$17:$CV$17,1,BY163))/12))),IF('Lease Cycles'!$N$17=1,'Lease Cycles'!$C$17*'Lease Cycles'!$E$17*INDEX('Lease Cycles'!$HE$17:$HK$17,1,BY163)*(1+INDEX('Lease Cycles'!$GQ$17:$GW$17,1,BY163))^INT(INT((BY$6-INDEX('Lease Cycles'!$GJ$17:$GP$17,1,BY163))/12)/INDEX('Lease Cycles'!$GX$17:$HD$17,1,BY163))/12,0)))</f>
        <v>2837.782879613334</v>
      </c>
      <c r="BZ166" s="28">
        <f>IF(BZ163=0,IF('Lease Cycles'!$F$17&gt;0,'Lease Cycles'!$C$17*'Lease Cycles'!$E$17/12,0),IF(BZ165=1,IF('Lease Cycles'!$AT$17&gt;=9999,'Lease Cycles'!$C$17*INDEX('Lease Cycles'!$CB$17:$CH$17,1,BZ163)*(1+INDEX('Lease Cycles'!$CI$17:$CO$17,1,BZ163))^INT(INT(BZ164/12)/INDEX('Lease Cycles'!$CP$17:$CV$17,1,BZ163))/12,IF(BZ163=1,IF(BZ164&gt;=INDEX('Lease Cycles'!$DK$17:$DQ$17,1,BZ163),IF(BZ$6&gt;='Lease Cycles'!$AZ$17,'Lease Cycles'!$C$17*'Lease Cycles'!$BA$17/12,IF(BZ$6&gt;='Lease Cycles'!$AX$17,'Lease Cycles'!$C$17*'Lease Cycles'!$AY$17/12,IF(BZ$6&gt;='Lease Cycles'!$AV$17,'Lease Cycles'!$C$17*'Lease Cycles'!$AW$17/12,IF(BZ$6&gt;='Lease Cycles'!$AT$17,'Lease Cycles'!$C$17*'Lease Cycles'!$AU$17/12,'Lease Cycles'!$C$17*INDEX('Lease Cycles'!$CB$17:$CH$17,1,BZ163)*(1+INDEX('Lease Cycles'!$CI$17:$CO$17,1,BZ163))^INT(INT(BZ164/12)/INDEX('Lease Cycles'!$CP$17:$CV$17,1,BZ163))/12)))),'Lease Cycles'!$C$17*INDEX('Lease Cycles'!$CB$17:$CH$17,1,BZ163)*(1+INDEX('Lease Cycles'!$CI$17:$CO$17,1,BZ163))^INT(INT(BZ164/12)/INDEX('Lease Cycles'!$CP$17:$CV$17,1,BZ163))/12),IF(INDEX('Lease Cycles'!$EF$17:$EL$17,1,BZ163)=1,IF(AND('Lease Cycles'!$AZ$17&gt;=INDEX('Lease Cycles'!$BG$17:$BM$17,1,BZ163),'Lease Cycles'!$AZ$17&lt;=BZ$6),'Lease Cycles'!$C$17*'Lease Cycles'!$BA$17/12,IF(AND('Lease Cycles'!$AX$17&gt;=INDEX('Lease Cycles'!$BG$17:$BM$17,1,BZ163),'Lease Cycles'!$AX$17&lt;=BZ$6),'Lease Cycles'!$C$17*'Lease Cycles'!$AY$17/12,IF(AND('Lease Cycles'!$AV$17&gt;=INDEX('Lease Cycles'!$BG$17:$BM$17,1,BZ163),'Lease Cycles'!$AV$17&lt;=BZ$6),'Lease Cycles'!$C$17*'Lease Cycles'!$AW$17/12,IF(AND('Lease Cycles'!$AT$17&gt;=INDEX('Lease Cycles'!$BG$17:$BM$17,1,BZ163),'Lease Cycles'!$AT$17&lt;=BZ$6),'Lease Cycles'!$C$17*'Lease Cycles'!$AU$17/12,'Lease Cycles'!$C$17*INDEX('Lease Cycles'!$CB$17:$CH$17,1,BZ163)*(1+INDEX('Lease Cycles'!$CI$17:$CO$17,1,BZ163))^INT(INT(BZ164/12)/INDEX('Lease Cycles'!$CP$17:$CV$17,1,BZ163))/12)))),'Lease Cycles'!$C$17*INDEX('Lease Cycles'!$CB$17:$CH$17,1,BZ163)*(1+INDEX('Lease Cycles'!$CI$17:$CO$17,1,BZ163))^INT(INT(BZ164/12)/INDEX('Lease Cycles'!$CP$17:$CV$17,1,BZ163))/12))),IF('Lease Cycles'!$N$17=1,'Lease Cycles'!$C$17*'Lease Cycles'!$E$17*INDEX('Lease Cycles'!$HE$17:$HK$17,1,BZ163)*(1+INDEX('Lease Cycles'!$GQ$17:$GW$17,1,BZ163))^INT(INT((BZ$6-INDEX('Lease Cycles'!$GJ$17:$GP$17,1,BZ163))/12)/INDEX('Lease Cycles'!$GX$17:$HD$17,1,BZ163))/12,0)))</f>
        <v>2837.782879613334</v>
      </c>
      <c r="CA166" s="28">
        <f>IF(CA163=0,IF('Lease Cycles'!$F$17&gt;0,'Lease Cycles'!$C$17*'Lease Cycles'!$E$17/12,0),IF(CA165=1,IF('Lease Cycles'!$AT$17&gt;=9999,'Lease Cycles'!$C$17*INDEX('Lease Cycles'!$CB$17:$CH$17,1,CA163)*(1+INDEX('Lease Cycles'!$CI$17:$CO$17,1,CA163))^INT(INT(CA164/12)/INDEX('Lease Cycles'!$CP$17:$CV$17,1,CA163))/12,IF(CA163=1,IF(CA164&gt;=INDEX('Lease Cycles'!$DK$17:$DQ$17,1,CA163),IF(CA$6&gt;='Lease Cycles'!$AZ$17,'Lease Cycles'!$C$17*'Lease Cycles'!$BA$17/12,IF(CA$6&gt;='Lease Cycles'!$AX$17,'Lease Cycles'!$C$17*'Lease Cycles'!$AY$17/12,IF(CA$6&gt;='Lease Cycles'!$AV$17,'Lease Cycles'!$C$17*'Lease Cycles'!$AW$17/12,IF(CA$6&gt;='Lease Cycles'!$AT$17,'Lease Cycles'!$C$17*'Lease Cycles'!$AU$17/12,'Lease Cycles'!$C$17*INDEX('Lease Cycles'!$CB$17:$CH$17,1,CA163)*(1+INDEX('Lease Cycles'!$CI$17:$CO$17,1,CA163))^INT(INT(CA164/12)/INDEX('Lease Cycles'!$CP$17:$CV$17,1,CA163))/12)))),'Lease Cycles'!$C$17*INDEX('Lease Cycles'!$CB$17:$CH$17,1,CA163)*(1+INDEX('Lease Cycles'!$CI$17:$CO$17,1,CA163))^INT(INT(CA164/12)/INDEX('Lease Cycles'!$CP$17:$CV$17,1,CA163))/12),IF(INDEX('Lease Cycles'!$EF$17:$EL$17,1,CA163)=1,IF(AND('Lease Cycles'!$AZ$17&gt;=INDEX('Lease Cycles'!$BG$17:$BM$17,1,CA163),'Lease Cycles'!$AZ$17&lt;=CA$6),'Lease Cycles'!$C$17*'Lease Cycles'!$BA$17/12,IF(AND('Lease Cycles'!$AX$17&gt;=INDEX('Lease Cycles'!$BG$17:$BM$17,1,CA163),'Lease Cycles'!$AX$17&lt;=CA$6),'Lease Cycles'!$C$17*'Lease Cycles'!$AY$17/12,IF(AND('Lease Cycles'!$AV$17&gt;=INDEX('Lease Cycles'!$BG$17:$BM$17,1,CA163),'Lease Cycles'!$AV$17&lt;=CA$6),'Lease Cycles'!$C$17*'Lease Cycles'!$AW$17/12,IF(AND('Lease Cycles'!$AT$17&gt;=INDEX('Lease Cycles'!$BG$17:$BM$17,1,CA163),'Lease Cycles'!$AT$17&lt;=CA$6),'Lease Cycles'!$C$17*'Lease Cycles'!$AU$17/12,'Lease Cycles'!$C$17*INDEX('Lease Cycles'!$CB$17:$CH$17,1,CA163)*(1+INDEX('Lease Cycles'!$CI$17:$CO$17,1,CA163))^INT(INT(CA164/12)/INDEX('Lease Cycles'!$CP$17:$CV$17,1,CA163))/12)))),'Lease Cycles'!$C$17*INDEX('Lease Cycles'!$CB$17:$CH$17,1,CA163)*(1+INDEX('Lease Cycles'!$CI$17:$CO$17,1,CA163))^INT(INT(CA164/12)/INDEX('Lease Cycles'!$CP$17:$CV$17,1,CA163))/12))),IF('Lease Cycles'!$N$17=1,'Lease Cycles'!$C$17*'Lease Cycles'!$E$17*INDEX('Lease Cycles'!$HE$17:$HK$17,1,CA163)*(1+INDEX('Lease Cycles'!$GQ$17:$GW$17,1,CA163))^INT(INT((CA$6-INDEX('Lease Cycles'!$GJ$17:$GP$17,1,CA163))/12)/INDEX('Lease Cycles'!$GX$17:$HD$17,1,CA163))/12,0)))</f>
        <v>2837.782879613334</v>
      </c>
      <c r="CB166" s="28">
        <f>IF(CB163=0,IF('Lease Cycles'!$F$17&gt;0,'Lease Cycles'!$C$17*'Lease Cycles'!$E$17/12,0),IF(CB165=1,IF('Lease Cycles'!$AT$17&gt;=9999,'Lease Cycles'!$C$17*INDEX('Lease Cycles'!$CB$17:$CH$17,1,CB163)*(1+INDEX('Lease Cycles'!$CI$17:$CO$17,1,CB163))^INT(INT(CB164/12)/INDEX('Lease Cycles'!$CP$17:$CV$17,1,CB163))/12,IF(CB163=1,IF(CB164&gt;=INDEX('Lease Cycles'!$DK$17:$DQ$17,1,CB163),IF(CB$6&gt;='Lease Cycles'!$AZ$17,'Lease Cycles'!$C$17*'Lease Cycles'!$BA$17/12,IF(CB$6&gt;='Lease Cycles'!$AX$17,'Lease Cycles'!$C$17*'Lease Cycles'!$AY$17/12,IF(CB$6&gt;='Lease Cycles'!$AV$17,'Lease Cycles'!$C$17*'Lease Cycles'!$AW$17/12,IF(CB$6&gt;='Lease Cycles'!$AT$17,'Lease Cycles'!$C$17*'Lease Cycles'!$AU$17/12,'Lease Cycles'!$C$17*INDEX('Lease Cycles'!$CB$17:$CH$17,1,CB163)*(1+INDEX('Lease Cycles'!$CI$17:$CO$17,1,CB163))^INT(INT(CB164/12)/INDEX('Lease Cycles'!$CP$17:$CV$17,1,CB163))/12)))),'Lease Cycles'!$C$17*INDEX('Lease Cycles'!$CB$17:$CH$17,1,CB163)*(1+INDEX('Lease Cycles'!$CI$17:$CO$17,1,CB163))^INT(INT(CB164/12)/INDEX('Lease Cycles'!$CP$17:$CV$17,1,CB163))/12),IF(INDEX('Lease Cycles'!$EF$17:$EL$17,1,CB163)=1,IF(AND('Lease Cycles'!$AZ$17&gt;=INDEX('Lease Cycles'!$BG$17:$BM$17,1,CB163),'Lease Cycles'!$AZ$17&lt;=CB$6),'Lease Cycles'!$C$17*'Lease Cycles'!$BA$17/12,IF(AND('Lease Cycles'!$AX$17&gt;=INDEX('Lease Cycles'!$BG$17:$BM$17,1,CB163),'Lease Cycles'!$AX$17&lt;=CB$6),'Lease Cycles'!$C$17*'Lease Cycles'!$AY$17/12,IF(AND('Lease Cycles'!$AV$17&gt;=INDEX('Lease Cycles'!$BG$17:$BM$17,1,CB163),'Lease Cycles'!$AV$17&lt;=CB$6),'Lease Cycles'!$C$17*'Lease Cycles'!$AW$17/12,IF(AND('Lease Cycles'!$AT$17&gt;=INDEX('Lease Cycles'!$BG$17:$BM$17,1,CB163),'Lease Cycles'!$AT$17&lt;=CB$6),'Lease Cycles'!$C$17*'Lease Cycles'!$AU$17/12,'Lease Cycles'!$C$17*INDEX('Lease Cycles'!$CB$17:$CH$17,1,CB163)*(1+INDEX('Lease Cycles'!$CI$17:$CO$17,1,CB163))^INT(INT(CB164/12)/INDEX('Lease Cycles'!$CP$17:$CV$17,1,CB163))/12)))),'Lease Cycles'!$C$17*INDEX('Lease Cycles'!$CB$17:$CH$17,1,CB163)*(1+INDEX('Lease Cycles'!$CI$17:$CO$17,1,CB163))^INT(INT(CB164/12)/INDEX('Lease Cycles'!$CP$17:$CV$17,1,CB163))/12))),IF('Lease Cycles'!$N$17=1,'Lease Cycles'!$C$17*'Lease Cycles'!$E$17*INDEX('Lease Cycles'!$HE$17:$HK$17,1,CB163)*(1+INDEX('Lease Cycles'!$GQ$17:$GW$17,1,CB163))^INT(INT((CB$6-INDEX('Lease Cycles'!$GJ$17:$GP$17,1,CB163))/12)/INDEX('Lease Cycles'!$GX$17:$HD$17,1,CB163))/12,0)))</f>
        <v>2837.782879613334</v>
      </c>
      <c r="CC166" s="28">
        <f>IF(CC163=0,IF('Lease Cycles'!$F$17&gt;0,'Lease Cycles'!$C$17*'Lease Cycles'!$E$17/12,0),IF(CC165=1,IF('Lease Cycles'!$AT$17&gt;=9999,'Lease Cycles'!$C$17*INDEX('Lease Cycles'!$CB$17:$CH$17,1,CC163)*(1+INDEX('Lease Cycles'!$CI$17:$CO$17,1,CC163))^INT(INT(CC164/12)/INDEX('Lease Cycles'!$CP$17:$CV$17,1,CC163))/12,IF(CC163=1,IF(CC164&gt;=INDEX('Lease Cycles'!$DK$17:$DQ$17,1,CC163),IF(CC$6&gt;='Lease Cycles'!$AZ$17,'Lease Cycles'!$C$17*'Lease Cycles'!$BA$17/12,IF(CC$6&gt;='Lease Cycles'!$AX$17,'Lease Cycles'!$C$17*'Lease Cycles'!$AY$17/12,IF(CC$6&gt;='Lease Cycles'!$AV$17,'Lease Cycles'!$C$17*'Lease Cycles'!$AW$17/12,IF(CC$6&gt;='Lease Cycles'!$AT$17,'Lease Cycles'!$C$17*'Lease Cycles'!$AU$17/12,'Lease Cycles'!$C$17*INDEX('Lease Cycles'!$CB$17:$CH$17,1,CC163)*(1+INDEX('Lease Cycles'!$CI$17:$CO$17,1,CC163))^INT(INT(CC164/12)/INDEX('Lease Cycles'!$CP$17:$CV$17,1,CC163))/12)))),'Lease Cycles'!$C$17*INDEX('Lease Cycles'!$CB$17:$CH$17,1,CC163)*(1+INDEX('Lease Cycles'!$CI$17:$CO$17,1,CC163))^INT(INT(CC164/12)/INDEX('Lease Cycles'!$CP$17:$CV$17,1,CC163))/12),IF(INDEX('Lease Cycles'!$EF$17:$EL$17,1,CC163)=1,IF(AND('Lease Cycles'!$AZ$17&gt;=INDEX('Lease Cycles'!$BG$17:$BM$17,1,CC163),'Lease Cycles'!$AZ$17&lt;=CC$6),'Lease Cycles'!$C$17*'Lease Cycles'!$BA$17/12,IF(AND('Lease Cycles'!$AX$17&gt;=INDEX('Lease Cycles'!$BG$17:$BM$17,1,CC163),'Lease Cycles'!$AX$17&lt;=CC$6),'Lease Cycles'!$C$17*'Lease Cycles'!$AY$17/12,IF(AND('Lease Cycles'!$AV$17&gt;=INDEX('Lease Cycles'!$BG$17:$BM$17,1,CC163),'Lease Cycles'!$AV$17&lt;=CC$6),'Lease Cycles'!$C$17*'Lease Cycles'!$AW$17/12,IF(AND('Lease Cycles'!$AT$17&gt;=INDEX('Lease Cycles'!$BG$17:$BM$17,1,CC163),'Lease Cycles'!$AT$17&lt;=CC$6),'Lease Cycles'!$C$17*'Lease Cycles'!$AU$17/12,'Lease Cycles'!$C$17*INDEX('Lease Cycles'!$CB$17:$CH$17,1,CC163)*(1+INDEX('Lease Cycles'!$CI$17:$CO$17,1,CC163))^INT(INT(CC164/12)/INDEX('Lease Cycles'!$CP$17:$CV$17,1,CC163))/12)))),'Lease Cycles'!$C$17*INDEX('Lease Cycles'!$CB$17:$CH$17,1,CC163)*(1+INDEX('Lease Cycles'!$CI$17:$CO$17,1,CC163))^INT(INT(CC164/12)/INDEX('Lease Cycles'!$CP$17:$CV$17,1,CC163))/12))),IF('Lease Cycles'!$N$17=1,'Lease Cycles'!$C$17*'Lease Cycles'!$E$17*INDEX('Lease Cycles'!$HE$17:$HK$17,1,CC163)*(1+INDEX('Lease Cycles'!$GQ$17:$GW$17,1,CC163))^INT(INT((CC$6-INDEX('Lease Cycles'!$GJ$17:$GP$17,1,CC163))/12)/INDEX('Lease Cycles'!$GX$17:$HD$17,1,CC163))/12,0)))</f>
        <v>2837.782879613334</v>
      </c>
      <c r="CD166" s="28">
        <f>IF(CD163=0,IF('Lease Cycles'!$F$17&gt;0,'Lease Cycles'!$C$17*'Lease Cycles'!$E$17/12,0),IF(CD165=1,IF('Lease Cycles'!$AT$17&gt;=9999,'Lease Cycles'!$C$17*INDEX('Lease Cycles'!$CB$17:$CH$17,1,CD163)*(1+INDEX('Lease Cycles'!$CI$17:$CO$17,1,CD163))^INT(INT(CD164/12)/INDEX('Lease Cycles'!$CP$17:$CV$17,1,CD163))/12,IF(CD163=1,IF(CD164&gt;=INDEX('Lease Cycles'!$DK$17:$DQ$17,1,CD163),IF(CD$6&gt;='Lease Cycles'!$AZ$17,'Lease Cycles'!$C$17*'Lease Cycles'!$BA$17/12,IF(CD$6&gt;='Lease Cycles'!$AX$17,'Lease Cycles'!$C$17*'Lease Cycles'!$AY$17/12,IF(CD$6&gt;='Lease Cycles'!$AV$17,'Lease Cycles'!$C$17*'Lease Cycles'!$AW$17/12,IF(CD$6&gt;='Lease Cycles'!$AT$17,'Lease Cycles'!$C$17*'Lease Cycles'!$AU$17/12,'Lease Cycles'!$C$17*INDEX('Lease Cycles'!$CB$17:$CH$17,1,CD163)*(1+INDEX('Lease Cycles'!$CI$17:$CO$17,1,CD163))^INT(INT(CD164/12)/INDEX('Lease Cycles'!$CP$17:$CV$17,1,CD163))/12)))),'Lease Cycles'!$C$17*INDEX('Lease Cycles'!$CB$17:$CH$17,1,CD163)*(1+INDEX('Lease Cycles'!$CI$17:$CO$17,1,CD163))^INT(INT(CD164/12)/INDEX('Lease Cycles'!$CP$17:$CV$17,1,CD163))/12),IF(INDEX('Lease Cycles'!$EF$17:$EL$17,1,CD163)=1,IF(AND('Lease Cycles'!$AZ$17&gt;=INDEX('Lease Cycles'!$BG$17:$BM$17,1,CD163),'Lease Cycles'!$AZ$17&lt;=CD$6),'Lease Cycles'!$C$17*'Lease Cycles'!$BA$17/12,IF(AND('Lease Cycles'!$AX$17&gt;=INDEX('Lease Cycles'!$BG$17:$BM$17,1,CD163),'Lease Cycles'!$AX$17&lt;=CD$6),'Lease Cycles'!$C$17*'Lease Cycles'!$AY$17/12,IF(AND('Lease Cycles'!$AV$17&gt;=INDEX('Lease Cycles'!$BG$17:$BM$17,1,CD163),'Lease Cycles'!$AV$17&lt;=CD$6),'Lease Cycles'!$C$17*'Lease Cycles'!$AW$17/12,IF(AND('Lease Cycles'!$AT$17&gt;=INDEX('Lease Cycles'!$BG$17:$BM$17,1,CD163),'Lease Cycles'!$AT$17&lt;=CD$6),'Lease Cycles'!$C$17*'Lease Cycles'!$AU$17/12,'Lease Cycles'!$C$17*INDEX('Lease Cycles'!$CB$17:$CH$17,1,CD163)*(1+INDEX('Lease Cycles'!$CI$17:$CO$17,1,CD163))^INT(INT(CD164/12)/INDEX('Lease Cycles'!$CP$17:$CV$17,1,CD163))/12)))),'Lease Cycles'!$C$17*INDEX('Lease Cycles'!$CB$17:$CH$17,1,CD163)*(1+INDEX('Lease Cycles'!$CI$17:$CO$17,1,CD163))^INT(INT(CD164/12)/INDEX('Lease Cycles'!$CP$17:$CV$17,1,CD163))/12))),IF('Lease Cycles'!$N$17=1,'Lease Cycles'!$C$17*'Lease Cycles'!$E$17*INDEX('Lease Cycles'!$HE$17:$HK$17,1,CD163)*(1+INDEX('Lease Cycles'!$GQ$17:$GW$17,1,CD163))^INT(INT((CD$6-INDEX('Lease Cycles'!$GJ$17:$GP$17,1,CD163))/12)/INDEX('Lease Cycles'!$GX$17:$HD$17,1,CD163))/12,0)))</f>
        <v>2837.782879613334</v>
      </c>
      <c r="CE166" s="28">
        <f>IF(CE163=0,IF('Lease Cycles'!$F$17&gt;0,'Lease Cycles'!$C$17*'Lease Cycles'!$E$17/12,0),IF(CE165=1,IF('Lease Cycles'!$AT$17&gt;=9999,'Lease Cycles'!$C$17*INDEX('Lease Cycles'!$CB$17:$CH$17,1,CE163)*(1+INDEX('Lease Cycles'!$CI$17:$CO$17,1,CE163))^INT(INT(CE164/12)/INDEX('Lease Cycles'!$CP$17:$CV$17,1,CE163))/12,IF(CE163=1,IF(CE164&gt;=INDEX('Lease Cycles'!$DK$17:$DQ$17,1,CE163),IF(CE$6&gt;='Lease Cycles'!$AZ$17,'Lease Cycles'!$C$17*'Lease Cycles'!$BA$17/12,IF(CE$6&gt;='Lease Cycles'!$AX$17,'Lease Cycles'!$C$17*'Lease Cycles'!$AY$17/12,IF(CE$6&gt;='Lease Cycles'!$AV$17,'Lease Cycles'!$C$17*'Lease Cycles'!$AW$17/12,IF(CE$6&gt;='Lease Cycles'!$AT$17,'Lease Cycles'!$C$17*'Lease Cycles'!$AU$17/12,'Lease Cycles'!$C$17*INDEX('Lease Cycles'!$CB$17:$CH$17,1,CE163)*(1+INDEX('Lease Cycles'!$CI$17:$CO$17,1,CE163))^INT(INT(CE164/12)/INDEX('Lease Cycles'!$CP$17:$CV$17,1,CE163))/12)))),'Lease Cycles'!$C$17*INDEX('Lease Cycles'!$CB$17:$CH$17,1,CE163)*(1+INDEX('Lease Cycles'!$CI$17:$CO$17,1,CE163))^INT(INT(CE164/12)/INDEX('Lease Cycles'!$CP$17:$CV$17,1,CE163))/12),IF(INDEX('Lease Cycles'!$EF$17:$EL$17,1,CE163)=1,IF(AND('Lease Cycles'!$AZ$17&gt;=INDEX('Lease Cycles'!$BG$17:$BM$17,1,CE163),'Lease Cycles'!$AZ$17&lt;=CE$6),'Lease Cycles'!$C$17*'Lease Cycles'!$BA$17/12,IF(AND('Lease Cycles'!$AX$17&gt;=INDEX('Lease Cycles'!$BG$17:$BM$17,1,CE163),'Lease Cycles'!$AX$17&lt;=CE$6),'Lease Cycles'!$C$17*'Lease Cycles'!$AY$17/12,IF(AND('Lease Cycles'!$AV$17&gt;=INDEX('Lease Cycles'!$BG$17:$BM$17,1,CE163),'Lease Cycles'!$AV$17&lt;=CE$6),'Lease Cycles'!$C$17*'Lease Cycles'!$AW$17/12,IF(AND('Lease Cycles'!$AT$17&gt;=INDEX('Lease Cycles'!$BG$17:$BM$17,1,CE163),'Lease Cycles'!$AT$17&lt;=CE$6),'Lease Cycles'!$C$17*'Lease Cycles'!$AU$17/12,'Lease Cycles'!$C$17*INDEX('Lease Cycles'!$CB$17:$CH$17,1,CE163)*(1+INDEX('Lease Cycles'!$CI$17:$CO$17,1,CE163))^INT(INT(CE164/12)/INDEX('Lease Cycles'!$CP$17:$CV$17,1,CE163))/12)))),'Lease Cycles'!$C$17*INDEX('Lease Cycles'!$CB$17:$CH$17,1,CE163)*(1+INDEX('Lease Cycles'!$CI$17:$CO$17,1,CE163))^INT(INT(CE164/12)/INDEX('Lease Cycles'!$CP$17:$CV$17,1,CE163))/12))),IF('Lease Cycles'!$N$17=1,'Lease Cycles'!$C$17*'Lease Cycles'!$E$17*INDEX('Lease Cycles'!$HE$17:$HK$17,1,CE163)*(1+INDEX('Lease Cycles'!$GQ$17:$GW$17,1,CE163))^INT(INT((CE$6-INDEX('Lease Cycles'!$GJ$17:$GP$17,1,CE163))/12)/INDEX('Lease Cycles'!$GX$17:$HD$17,1,CE163))/12,0)))</f>
        <v>2837.782879613334</v>
      </c>
      <c r="CF166" s="28">
        <f>IF(CF163=0,IF('Lease Cycles'!$F$17&gt;0,'Lease Cycles'!$C$17*'Lease Cycles'!$E$17/12,0),IF(CF165=1,IF('Lease Cycles'!$AT$17&gt;=9999,'Lease Cycles'!$C$17*INDEX('Lease Cycles'!$CB$17:$CH$17,1,CF163)*(1+INDEX('Lease Cycles'!$CI$17:$CO$17,1,CF163))^INT(INT(CF164/12)/INDEX('Lease Cycles'!$CP$17:$CV$17,1,CF163))/12,IF(CF163=1,IF(CF164&gt;=INDEX('Lease Cycles'!$DK$17:$DQ$17,1,CF163),IF(CF$6&gt;='Lease Cycles'!$AZ$17,'Lease Cycles'!$C$17*'Lease Cycles'!$BA$17/12,IF(CF$6&gt;='Lease Cycles'!$AX$17,'Lease Cycles'!$C$17*'Lease Cycles'!$AY$17/12,IF(CF$6&gt;='Lease Cycles'!$AV$17,'Lease Cycles'!$C$17*'Lease Cycles'!$AW$17/12,IF(CF$6&gt;='Lease Cycles'!$AT$17,'Lease Cycles'!$C$17*'Lease Cycles'!$AU$17/12,'Lease Cycles'!$C$17*INDEX('Lease Cycles'!$CB$17:$CH$17,1,CF163)*(1+INDEX('Lease Cycles'!$CI$17:$CO$17,1,CF163))^INT(INT(CF164/12)/INDEX('Lease Cycles'!$CP$17:$CV$17,1,CF163))/12)))),'Lease Cycles'!$C$17*INDEX('Lease Cycles'!$CB$17:$CH$17,1,CF163)*(1+INDEX('Lease Cycles'!$CI$17:$CO$17,1,CF163))^INT(INT(CF164/12)/INDEX('Lease Cycles'!$CP$17:$CV$17,1,CF163))/12),IF(INDEX('Lease Cycles'!$EF$17:$EL$17,1,CF163)=1,IF(AND('Lease Cycles'!$AZ$17&gt;=INDEX('Lease Cycles'!$BG$17:$BM$17,1,CF163),'Lease Cycles'!$AZ$17&lt;=CF$6),'Lease Cycles'!$C$17*'Lease Cycles'!$BA$17/12,IF(AND('Lease Cycles'!$AX$17&gt;=INDEX('Lease Cycles'!$BG$17:$BM$17,1,CF163),'Lease Cycles'!$AX$17&lt;=CF$6),'Lease Cycles'!$C$17*'Lease Cycles'!$AY$17/12,IF(AND('Lease Cycles'!$AV$17&gt;=INDEX('Lease Cycles'!$BG$17:$BM$17,1,CF163),'Lease Cycles'!$AV$17&lt;=CF$6),'Lease Cycles'!$C$17*'Lease Cycles'!$AW$17/12,IF(AND('Lease Cycles'!$AT$17&gt;=INDEX('Lease Cycles'!$BG$17:$BM$17,1,CF163),'Lease Cycles'!$AT$17&lt;=CF$6),'Lease Cycles'!$C$17*'Lease Cycles'!$AU$17/12,'Lease Cycles'!$C$17*INDEX('Lease Cycles'!$CB$17:$CH$17,1,CF163)*(1+INDEX('Lease Cycles'!$CI$17:$CO$17,1,CF163))^INT(INT(CF164/12)/INDEX('Lease Cycles'!$CP$17:$CV$17,1,CF163))/12)))),'Lease Cycles'!$C$17*INDEX('Lease Cycles'!$CB$17:$CH$17,1,CF163)*(1+INDEX('Lease Cycles'!$CI$17:$CO$17,1,CF163))^INT(INT(CF164/12)/INDEX('Lease Cycles'!$CP$17:$CV$17,1,CF163))/12))),IF('Lease Cycles'!$N$17=1,'Lease Cycles'!$C$17*'Lease Cycles'!$E$17*INDEX('Lease Cycles'!$HE$17:$HK$17,1,CF163)*(1+INDEX('Lease Cycles'!$GQ$17:$GW$17,1,CF163))^INT(INT((CF$6-INDEX('Lease Cycles'!$GJ$17:$GP$17,1,CF163))/12)/INDEX('Lease Cycles'!$GX$17:$HD$17,1,CF163))/12,0)))</f>
        <v>2837.782879613334</v>
      </c>
      <c r="CG166" s="28">
        <f>IF(CG163=0,IF('Lease Cycles'!$F$17&gt;0,'Lease Cycles'!$C$17*'Lease Cycles'!$E$17/12,0),IF(CG165=1,IF('Lease Cycles'!$AT$17&gt;=9999,'Lease Cycles'!$C$17*INDEX('Lease Cycles'!$CB$17:$CH$17,1,CG163)*(1+INDEX('Lease Cycles'!$CI$17:$CO$17,1,CG163))^INT(INT(CG164/12)/INDEX('Lease Cycles'!$CP$17:$CV$17,1,CG163))/12,IF(CG163=1,IF(CG164&gt;=INDEX('Lease Cycles'!$DK$17:$DQ$17,1,CG163),IF(CG$6&gt;='Lease Cycles'!$AZ$17,'Lease Cycles'!$C$17*'Lease Cycles'!$BA$17/12,IF(CG$6&gt;='Lease Cycles'!$AX$17,'Lease Cycles'!$C$17*'Lease Cycles'!$AY$17/12,IF(CG$6&gt;='Lease Cycles'!$AV$17,'Lease Cycles'!$C$17*'Lease Cycles'!$AW$17/12,IF(CG$6&gt;='Lease Cycles'!$AT$17,'Lease Cycles'!$C$17*'Lease Cycles'!$AU$17/12,'Lease Cycles'!$C$17*INDEX('Lease Cycles'!$CB$17:$CH$17,1,CG163)*(1+INDEX('Lease Cycles'!$CI$17:$CO$17,1,CG163))^INT(INT(CG164/12)/INDEX('Lease Cycles'!$CP$17:$CV$17,1,CG163))/12)))),'Lease Cycles'!$C$17*INDEX('Lease Cycles'!$CB$17:$CH$17,1,CG163)*(1+INDEX('Lease Cycles'!$CI$17:$CO$17,1,CG163))^INT(INT(CG164/12)/INDEX('Lease Cycles'!$CP$17:$CV$17,1,CG163))/12),IF(INDEX('Lease Cycles'!$EF$17:$EL$17,1,CG163)=1,IF(AND('Lease Cycles'!$AZ$17&gt;=INDEX('Lease Cycles'!$BG$17:$BM$17,1,CG163),'Lease Cycles'!$AZ$17&lt;=CG$6),'Lease Cycles'!$C$17*'Lease Cycles'!$BA$17/12,IF(AND('Lease Cycles'!$AX$17&gt;=INDEX('Lease Cycles'!$BG$17:$BM$17,1,CG163),'Lease Cycles'!$AX$17&lt;=CG$6),'Lease Cycles'!$C$17*'Lease Cycles'!$AY$17/12,IF(AND('Lease Cycles'!$AV$17&gt;=INDEX('Lease Cycles'!$BG$17:$BM$17,1,CG163),'Lease Cycles'!$AV$17&lt;=CG$6),'Lease Cycles'!$C$17*'Lease Cycles'!$AW$17/12,IF(AND('Lease Cycles'!$AT$17&gt;=INDEX('Lease Cycles'!$BG$17:$BM$17,1,CG163),'Lease Cycles'!$AT$17&lt;=CG$6),'Lease Cycles'!$C$17*'Lease Cycles'!$AU$17/12,'Lease Cycles'!$C$17*INDEX('Lease Cycles'!$CB$17:$CH$17,1,CG163)*(1+INDEX('Lease Cycles'!$CI$17:$CO$17,1,CG163))^INT(INT(CG164/12)/INDEX('Lease Cycles'!$CP$17:$CV$17,1,CG163))/12)))),'Lease Cycles'!$C$17*INDEX('Lease Cycles'!$CB$17:$CH$17,1,CG163)*(1+INDEX('Lease Cycles'!$CI$17:$CO$17,1,CG163))^INT(INT(CG164/12)/INDEX('Lease Cycles'!$CP$17:$CV$17,1,CG163))/12))),IF('Lease Cycles'!$N$17=1,'Lease Cycles'!$C$17*'Lease Cycles'!$E$17*INDEX('Lease Cycles'!$HE$17:$HK$17,1,CG163)*(1+INDEX('Lease Cycles'!$GQ$17:$GW$17,1,CG163))^INT(INT((CG$6-INDEX('Lease Cycles'!$GJ$17:$GP$17,1,CG163))/12)/INDEX('Lease Cycles'!$GX$17:$HD$17,1,CG163))/12,0)))</f>
        <v>2837.782879613334</v>
      </c>
      <c r="CH166" s="28">
        <f>IF(CH163=0,IF('Lease Cycles'!$F$17&gt;0,'Lease Cycles'!$C$17*'Lease Cycles'!$E$17/12,0),IF(CH165=1,IF('Lease Cycles'!$AT$17&gt;=9999,'Lease Cycles'!$C$17*INDEX('Lease Cycles'!$CB$17:$CH$17,1,CH163)*(1+INDEX('Lease Cycles'!$CI$17:$CO$17,1,CH163))^INT(INT(CH164/12)/INDEX('Lease Cycles'!$CP$17:$CV$17,1,CH163))/12,IF(CH163=1,IF(CH164&gt;=INDEX('Lease Cycles'!$DK$17:$DQ$17,1,CH163),IF(CH$6&gt;='Lease Cycles'!$AZ$17,'Lease Cycles'!$C$17*'Lease Cycles'!$BA$17/12,IF(CH$6&gt;='Lease Cycles'!$AX$17,'Lease Cycles'!$C$17*'Lease Cycles'!$AY$17/12,IF(CH$6&gt;='Lease Cycles'!$AV$17,'Lease Cycles'!$C$17*'Lease Cycles'!$AW$17/12,IF(CH$6&gt;='Lease Cycles'!$AT$17,'Lease Cycles'!$C$17*'Lease Cycles'!$AU$17/12,'Lease Cycles'!$C$17*INDEX('Lease Cycles'!$CB$17:$CH$17,1,CH163)*(1+INDEX('Lease Cycles'!$CI$17:$CO$17,1,CH163))^INT(INT(CH164/12)/INDEX('Lease Cycles'!$CP$17:$CV$17,1,CH163))/12)))),'Lease Cycles'!$C$17*INDEX('Lease Cycles'!$CB$17:$CH$17,1,CH163)*(1+INDEX('Lease Cycles'!$CI$17:$CO$17,1,CH163))^INT(INT(CH164/12)/INDEX('Lease Cycles'!$CP$17:$CV$17,1,CH163))/12),IF(INDEX('Lease Cycles'!$EF$17:$EL$17,1,CH163)=1,IF(AND('Lease Cycles'!$AZ$17&gt;=INDEX('Lease Cycles'!$BG$17:$BM$17,1,CH163),'Lease Cycles'!$AZ$17&lt;=CH$6),'Lease Cycles'!$C$17*'Lease Cycles'!$BA$17/12,IF(AND('Lease Cycles'!$AX$17&gt;=INDEX('Lease Cycles'!$BG$17:$BM$17,1,CH163),'Lease Cycles'!$AX$17&lt;=CH$6),'Lease Cycles'!$C$17*'Lease Cycles'!$AY$17/12,IF(AND('Lease Cycles'!$AV$17&gt;=INDEX('Lease Cycles'!$BG$17:$BM$17,1,CH163),'Lease Cycles'!$AV$17&lt;=CH$6),'Lease Cycles'!$C$17*'Lease Cycles'!$AW$17/12,IF(AND('Lease Cycles'!$AT$17&gt;=INDEX('Lease Cycles'!$BG$17:$BM$17,1,CH163),'Lease Cycles'!$AT$17&lt;=CH$6),'Lease Cycles'!$C$17*'Lease Cycles'!$AU$17/12,'Lease Cycles'!$C$17*INDEX('Lease Cycles'!$CB$17:$CH$17,1,CH163)*(1+INDEX('Lease Cycles'!$CI$17:$CO$17,1,CH163))^INT(INT(CH164/12)/INDEX('Lease Cycles'!$CP$17:$CV$17,1,CH163))/12)))),'Lease Cycles'!$C$17*INDEX('Lease Cycles'!$CB$17:$CH$17,1,CH163)*(1+INDEX('Lease Cycles'!$CI$17:$CO$17,1,CH163))^INT(INT(CH164/12)/INDEX('Lease Cycles'!$CP$17:$CV$17,1,CH163))/12))),IF('Lease Cycles'!$N$17=1,'Lease Cycles'!$C$17*'Lease Cycles'!$E$17*INDEX('Lease Cycles'!$HE$17:$HK$17,1,CH163)*(1+INDEX('Lease Cycles'!$GQ$17:$GW$17,1,CH163))^INT(INT((CH$6-INDEX('Lease Cycles'!$GJ$17:$GP$17,1,CH163))/12)/INDEX('Lease Cycles'!$GX$17:$HD$17,1,CH163))/12,0)))</f>
        <v>2837.782879613334</v>
      </c>
      <c r="CI166" s="28">
        <f>IF(CI163=0,IF('Lease Cycles'!$F$17&gt;0,'Lease Cycles'!$C$17*'Lease Cycles'!$E$17/12,0),IF(CI165=1,IF('Lease Cycles'!$AT$17&gt;=9999,'Lease Cycles'!$C$17*INDEX('Lease Cycles'!$CB$17:$CH$17,1,CI163)*(1+INDEX('Lease Cycles'!$CI$17:$CO$17,1,CI163))^INT(INT(CI164/12)/INDEX('Lease Cycles'!$CP$17:$CV$17,1,CI163))/12,IF(CI163=1,IF(CI164&gt;=INDEX('Lease Cycles'!$DK$17:$DQ$17,1,CI163),IF(CI$6&gt;='Lease Cycles'!$AZ$17,'Lease Cycles'!$C$17*'Lease Cycles'!$BA$17/12,IF(CI$6&gt;='Lease Cycles'!$AX$17,'Lease Cycles'!$C$17*'Lease Cycles'!$AY$17/12,IF(CI$6&gt;='Lease Cycles'!$AV$17,'Lease Cycles'!$C$17*'Lease Cycles'!$AW$17/12,IF(CI$6&gt;='Lease Cycles'!$AT$17,'Lease Cycles'!$C$17*'Lease Cycles'!$AU$17/12,'Lease Cycles'!$C$17*INDEX('Lease Cycles'!$CB$17:$CH$17,1,CI163)*(1+INDEX('Lease Cycles'!$CI$17:$CO$17,1,CI163))^INT(INT(CI164/12)/INDEX('Lease Cycles'!$CP$17:$CV$17,1,CI163))/12)))),'Lease Cycles'!$C$17*INDEX('Lease Cycles'!$CB$17:$CH$17,1,CI163)*(1+INDEX('Lease Cycles'!$CI$17:$CO$17,1,CI163))^INT(INT(CI164/12)/INDEX('Lease Cycles'!$CP$17:$CV$17,1,CI163))/12),IF(INDEX('Lease Cycles'!$EF$17:$EL$17,1,CI163)=1,IF(AND('Lease Cycles'!$AZ$17&gt;=INDEX('Lease Cycles'!$BG$17:$BM$17,1,CI163),'Lease Cycles'!$AZ$17&lt;=CI$6),'Lease Cycles'!$C$17*'Lease Cycles'!$BA$17/12,IF(AND('Lease Cycles'!$AX$17&gt;=INDEX('Lease Cycles'!$BG$17:$BM$17,1,CI163),'Lease Cycles'!$AX$17&lt;=CI$6),'Lease Cycles'!$C$17*'Lease Cycles'!$AY$17/12,IF(AND('Lease Cycles'!$AV$17&gt;=INDEX('Lease Cycles'!$BG$17:$BM$17,1,CI163),'Lease Cycles'!$AV$17&lt;=CI$6),'Lease Cycles'!$C$17*'Lease Cycles'!$AW$17/12,IF(AND('Lease Cycles'!$AT$17&gt;=INDEX('Lease Cycles'!$BG$17:$BM$17,1,CI163),'Lease Cycles'!$AT$17&lt;=CI$6),'Lease Cycles'!$C$17*'Lease Cycles'!$AU$17/12,'Lease Cycles'!$C$17*INDEX('Lease Cycles'!$CB$17:$CH$17,1,CI163)*(1+INDEX('Lease Cycles'!$CI$17:$CO$17,1,CI163))^INT(INT(CI164/12)/INDEX('Lease Cycles'!$CP$17:$CV$17,1,CI163))/12)))),'Lease Cycles'!$C$17*INDEX('Lease Cycles'!$CB$17:$CH$17,1,CI163)*(1+INDEX('Lease Cycles'!$CI$17:$CO$17,1,CI163))^INT(INT(CI164/12)/INDEX('Lease Cycles'!$CP$17:$CV$17,1,CI163))/12))),IF('Lease Cycles'!$N$17=1,'Lease Cycles'!$C$17*'Lease Cycles'!$E$17*INDEX('Lease Cycles'!$HE$17:$HK$17,1,CI163)*(1+INDEX('Lease Cycles'!$GQ$17:$GW$17,1,CI163))^INT(INT((CI$6-INDEX('Lease Cycles'!$GJ$17:$GP$17,1,CI163))/12)/INDEX('Lease Cycles'!$GX$17:$HD$17,1,CI163))/12,0)))</f>
        <v>2837.782879613334</v>
      </c>
      <c r="CJ166" s="28">
        <f>IF(CJ163=0,IF('Lease Cycles'!$F$17&gt;0,'Lease Cycles'!$C$17*'Lease Cycles'!$E$17/12,0),IF(CJ165=1,IF('Lease Cycles'!$AT$17&gt;=9999,'Lease Cycles'!$C$17*INDEX('Lease Cycles'!$CB$17:$CH$17,1,CJ163)*(1+INDEX('Lease Cycles'!$CI$17:$CO$17,1,CJ163))^INT(INT(CJ164/12)/INDEX('Lease Cycles'!$CP$17:$CV$17,1,CJ163))/12,IF(CJ163=1,IF(CJ164&gt;=INDEX('Lease Cycles'!$DK$17:$DQ$17,1,CJ163),IF(CJ$6&gt;='Lease Cycles'!$AZ$17,'Lease Cycles'!$C$17*'Lease Cycles'!$BA$17/12,IF(CJ$6&gt;='Lease Cycles'!$AX$17,'Lease Cycles'!$C$17*'Lease Cycles'!$AY$17/12,IF(CJ$6&gt;='Lease Cycles'!$AV$17,'Lease Cycles'!$C$17*'Lease Cycles'!$AW$17/12,IF(CJ$6&gt;='Lease Cycles'!$AT$17,'Lease Cycles'!$C$17*'Lease Cycles'!$AU$17/12,'Lease Cycles'!$C$17*INDEX('Lease Cycles'!$CB$17:$CH$17,1,CJ163)*(1+INDEX('Lease Cycles'!$CI$17:$CO$17,1,CJ163))^INT(INT(CJ164/12)/INDEX('Lease Cycles'!$CP$17:$CV$17,1,CJ163))/12)))),'Lease Cycles'!$C$17*INDEX('Lease Cycles'!$CB$17:$CH$17,1,CJ163)*(1+INDEX('Lease Cycles'!$CI$17:$CO$17,1,CJ163))^INT(INT(CJ164/12)/INDEX('Lease Cycles'!$CP$17:$CV$17,1,CJ163))/12),IF(INDEX('Lease Cycles'!$EF$17:$EL$17,1,CJ163)=1,IF(AND('Lease Cycles'!$AZ$17&gt;=INDEX('Lease Cycles'!$BG$17:$BM$17,1,CJ163),'Lease Cycles'!$AZ$17&lt;=CJ$6),'Lease Cycles'!$C$17*'Lease Cycles'!$BA$17/12,IF(AND('Lease Cycles'!$AX$17&gt;=INDEX('Lease Cycles'!$BG$17:$BM$17,1,CJ163),'Lease Cycles'!$AX$17&lt;=CJ$6),'Lease Cycles'!$C$17*'Lease Cycles'!$AY$17/12,IF(AND('Lease Cycles'!$AV$17&gt;=INDEX('Lease Cycles'!$BG$17:$BM$17,1,CJ163),'Lease Cycles'!$AV$17&lt;=CJ$6),'Lease Cycles'!$C$17*'Lease Cycles'!$AW$17/12,IF(AND('Lease Cycles'!$AT$17&gt;=INDEX('Lease Cycles'!$BG$17:$BM$17,1,CJ163),'Lease Cycles'!$AT$17&lt;=CJ$6),'Lease Cycles'!$C$17*'Lease Cycles'!$AU$17/12,'Lease Cycles'!$C$17*INDEX('Lease Cycles'!$CB$17:$CH$17,1,CJ163)*(1+INDEX('Lease Cycles'!$CI$17:$CO$17,1,CJ163))^INT(INT(CJ164/12)/INDEX('Lease Cycles'!$CP$17:$CV$17,1,CJ163))/12)))),'Lease Cycles'!$C$17*INDEX('Lease Cycles'!$CB$17:$CH$17,1,CJ163)*(1+INDEX('Lease Cycles'!$CI$17:$CO$17,1,CJ163))^INT(INT(CJ164/12)/INDEX('Lease Cycles'!$CP$17:$CV$17,1,CJ163))/12))),IF('Lease Cycles'!$N$17=1,'Lease Cycles'!$C$17*'Lease Cycles'!$E$17*INDEX('Lease Cycles'!$HE$17:$HK$17,1,CJ163)*(1+INDEX('Lease Cycles'!$GQ$17:$GW$17,1,CJ163))^INT(INT((CJ$6-INDEX('Lease Cycles'!$GJ$17:$GP$17,1,CJ163))/12)/INDEX('Lease Cycles'!$GX$17:$HD$17,1,CJ163))/12,0)))</f>
        <v>2922.9163660017334</v>
      </c>
      <c r="CK166" s="28">
        <f>IF(CK163=0,IF('Lease Cycles'!$F$17&gt;0,'Lease Cycles'!$C$17*'Lease Cycles'!$E$17/12,0),IF(CK165=1,IF('Lease Cycles'!$AT$17&gt;=9999,'Lease Cycles'!$C$17*INDEX('Lease Cycles'!$CB$17:$CH$17,1,CK163)*(1+INDEX('Lease Cycles'!$CI$17:$CO$17,1,CK163))^INT(INT(CK164/12)/INDEX('Lease Cycles'!$CP$17:$CV$17,1,CK163))/12,IF(CK163=1,IF(CK164&gt;=INDEX('Lease Cycles'!$DK$17:$DQ$17,1,CK163),IF(CK$6&gt;='Lease Cycles'!$AZ$17,'Lease Cycles'!$C$17*'Lease Cycles'!$BA$17/12,IF(CK$6&gt;='Lease Cycles'!$AX$17,'Lease Cycles'!$C$17*'Lease Cycles'!$AY$17/12,IF(CK$6&gt;='Lease Cycles'!$AV$17,'Lease Cycles'!$C$17*'Lease Cycles'!$AW$17/12,IF(CK$6&gt;='Lease Cycles'!$AT$17,'Lease Cycles'!$C$17*'Lease Cycles'!$AU$17/12,'Lease Cycles'!$C$17*INDEX('Lease Cycles'!$CB$17:$CH$17,1,CK163)*(1+INDEX('Lease Cycles'!$CI$17:$CO$17,1,CK163))^INT(INT(CK164/12)/INDEX('Lease Cycles'!$CP$17:$CV$17,1,CK163))/12)))),'Lease Cycles'!$C$17*INDEX('Lease Cycles'!$CB$17:$CH$17,1,CK163)*(1+INDEX('Lease Cycles'!$CI$17:$CO$17,1,CK163))^INT(INT(CK164/12)/INDEX('Lease Cycles'!$CP$17:$CV$17,1,CK163))/12),IF(INDEX('Lease Cycles'!$EF$17:$EL$17,1,CK163)=1,IF(AND('Lease Cycles'!$AZ$17&gt;=INDEX('Lease Cycles'!$BG$17:$BM$17,1,CK163),'Lease Cycles'!$AZ$17&lt;=CK$6),'Lease Cycles'!$C$17*'Lease Cycles'!$BA$17/12,IF(AND('Lease Cycles'!$AX$17&gt;=INDEX('Lease Cycles'!$BG$17:$BM$17,1,CK163),'Lease Cycles'!$AX$17&lt;=CK$6),'Lease Cycles'!$C$17*'Lease Cycles'!$AY$17/12,IF(AND('Lease Cycles'!$AV$17&gt;=INDEX('Lease Cycles'!$BG$17:$BM$17,1,CK163),'Lease Cycles'!$AV$17&lt;=CK$6),'Lease Cycles'!$C$17*'Lease Cycles'!$AW$17/12,IF(AND('Lease Cycles'!$AT$17&gt;=INDEX('Lease Cycles'!$BG$17:$BM$17,1,CK163),'Lease Cycles'!$AT$17&lt;=CK$6),'Lease Cycles'!$C$17*'Lease Cycles'!$AU$17/12,'Lease Cycles'!$C$17*INDEX('Lease Cycles'!$CB$17:$CH$17,1,CK163)*(1+INDEX('Lease Cycles'!$CI$17:$CO$17,1,CK163))^INT(INT(CK164/12)/INDEX('Lease Cycles'!$CP$17:$CV$17,1,CK163))/12)))),'Lease Cycles'!$C$17*INDEX('Lease Cycles'!$CB$17:$CH$17,1,CK163)*(1+INDEX('Lease Cycles'!$CI$17:$CO$17,1,CK163))^INT(INT(CK164/12)/INDEX('Lease Cycles'!$CP$17:$CV$17,1,CK163))/12))),IF('Lease Cycles'!$N$17=1,'Lease Cycles'!$C$17*'Lease Cycles'!$E$17*INDEX('Lease Cycles'!$HE$17:$HK$17,1,CK163)*(1+INDEX('Lease Cycles'!$GQ$17:$GW$17,1,CK163))^INT(INT((CK$6-INDEX('Lease Cycles'!$GJ$17:$GP$17,1,CK163))/12)/INDEX('Lease Cycles'!$GX$17:$HD$17,1,CK163))/12,0)))</f>
        <v>2922.9163660017334</v>
      </c>
      <c r="CL166" s="28">
        <f>IF(CL163=0,IF('Lease Cycles'!$F$17&gt;0,'Lease Cycles'!$C$17*'Lease Cycles'!$E$17/12,0),IF(CL165=1,IF('Lease Cycles'!$AT$17&gt;=9999,'Lease Cycles'!$C$17*INDEX('Lease Cycles'!$CB$17:$CH$17,1,CL163)*(1+INDEX('Lease Cycles'!$CI$17:$CO$17,1,CL163))^INT(INT(CL164/12)/INDEX('Lease Cycles'!$CP$17:$CV$17,1,CL163))/12,IF(CL163=1,IF(CL164&gt;=INDEX('Lease Cycles'!$DK$17:$DQ$17,1,CL163),IF(CL$6&gt;='Lease Cycles'!$AZ$17,'Lease Cycles'!$C$17*'Lease Cycles'!$BA$17/12,IF(CL$6&gt;='Lease Cycles'!$AX$17,'Lease Cycles'!$C$17*'Lease Cycles'!$AY$17/12,IF(CL$6&gt;='Lease Cycles'!$AV$17,'Lease Cycles'!$C$17*'Lease Cycles'!$AW$17/12,IF(CL$6&gt;='Lease Cycles'!$AT$17,'Lease Cycles'!$C$17*'Lease Cycles'!$AU$17/12,'Lease Cycles'!$C$17*INDEX('Lease Cycles'!$CB$17:$CH$17,1,CL163)*(1+INDEX('Lease Cycles'!$CI$17:$CO$17,1,CL163))^INT(INT(CL164/12)/INDEX('Lease Cycles'!$CP$17:$CV$17,1,CL163))/12)))),'Lease Cycles'!$C$17*INDEX('Lease Cycles'!$CB$17:$CH$17,1,CL163)*(1+INDEX('Lease Cycles'!$CI$17:$CO$17,1,CL163))^INT(INT(CL164/12)/INDEX('Lease Cycles'!$CP$17:$CV$17,1,CL163))/12),IF(INDEX('Lease Cycles'!$EF$17:$EL$17,1,CL163)=1,IF(AND('Lease Cycles'!$AZ$17&gt;=INDEX('Lease Cycles'!$BG$17:$BM$17,1,CL163),'Lease Cycles'!$AZ$17&lt;=CL$6),'Lease Cycles'!$C$17*'Lease Cycles'!$BA$17/12,IF(AND('Lease Cycles'!$AX$17&gt;=INDEX('Lease Cycles'!$BG$17:$BM$17,1,CL163),'Lease Cycles'!$AX$17&lt;=CL$6),'Lease Cycles'!$C$17*'Lease Cycles'!$AY$17/12,IF(AND('Lease Cycles'!$AV$17&gt;=INDEX('Lease Cycles'!$BG$17:$BM$17,1,CL163),'Lease Cycles'!$AV$17&lt;=CL$6),'Lease Cycles'!$C$17*'Lease Cycles'!$AW$17/12,IF(AND('Lease Cycles'!$AT$17&gt;=INDEX('Lease Cycles'!$BG$17:$BM$17,1,CL163),'Lease Cycles'!$AT$17&lt;=CL$6),'Lease Cycles'!$C$17*'Lease Cycles'!$AU$17/12,'Lease Cycles'!$C$17*INDEX('Lease Cycles'!$CB$17:$CH$17,1,CL163)*(1+INDEX('Lease Cycles'!$CI$17:$CO$17,1,CL163))^INT(INT(CL164/12)/INDEX('Lease Cycles'!$CP$17:$CV$17,1,CL163))/12)))),'Lease Cycles'!$C$17*INDEX('Lease Cycles'!$CB$17:$CH$17,1,CL163)*(1+INDEX('Lease Cycles'!$CI$17:$CO$17,1,CL163))^INT(INT(CL164/12)/INDEX('Lease Cycles'!$CP$17:$CV$17,1,CL163))/12))),IF('Lease Cycles'!$N$17=1,'Lease Cycles'!$C$17*'Lease Cycles'!$E$17*INDEX('Lease Cycles'!$HE$17:$HK$17,1,CL163)*(1+INDEX('Lease Cycles'!$GQ$17:$GW$17,1,CL163))^INT(INT((CL$6-INDEX('Lease Cycles'!$GJ$17:$GP$17,1,CL163))/12)/INDEX('Lease Cycles'!$GX$17:$HD$17,1,CL163))/12,0)))</f>
        <v>2922.9163660017334</v>
      </c>
      <c r="CM166" s="28">
        <f>IF(CM163=0,IF('Lease Cycles'!$F$17&gt;0,'Lease Cycles'!$C$17*'Lease Cycles'!$E$17/12,0),IF(CM165=1,IF('Lease Cycles'!$AT$17&gt;=9999,'Lease Cycles'!$C$17*INDEX('Lease Cycles'!$CB$17:$CH$17,1,CM163)*(1+INDEX('Lease Cycles'!$CI$17:$CO$17,1,CM163))^INT(INT(CM164/12)/INDEX('Lease Cycles'!$CP$17:$CV$17,1,CM163))/12,IF(CM163=1,IF(CM164&gt;=INDEX('Lease Cycles'!$DK$17:$DQ$17,1,CM163),IF(CM$6&gt;='Lease Cycles'!$AZ$17,'Lease Cycles'!$C$17*'Lease Cycles'!$BA$17/12,IF(CM$6&gt;='Lease Cycles'!$AX$17,'Lease Cycles'!$C$17*'Lease Cycles'!$AY$17/12,IF(CM$6&gt;='Lease Cycles'!$AV$17,'Lease Cycles'!$C$17*'Lease Cycles'!$AW$17/12,IF(CM$6&gt;='Lease Cycles'!$AT$17,'Lease Cycles'!$C$17*'Lease Cycles'!$AU$17/12,'Lease Cycles'!$C$17*INDEX('Lease Cycles'!$CB$17:$CH$17,1,CM163)*(1+INDEX('Lease Cycles'!$CI$17:$CO$17,1,CM163))^INT(INT(CM164/12)/INDEX('Lease Cycles'!$CP$17:$CV$17,1,CM163))/12)))),'Lease Cycles'!$C$17*INDEX('Lease Cycles'!$CB$17:$CH$17,1,CM163)*(1+INDEX('Lease Cycles'!$CI$17:$CO$17,1,CM163))^INT(INT(CM164/12)/INDEX('Lease Cycles'!$CP$17:$CV$17,1,CM163))/12),IF(INDEX('Lease Cycles'!$EF$17:$EL$17,1,CM163)=1,IF(AND('Lease Cycles'!$AZ$17&gt;=INDEX('Lease Cycles'!$BG$17:$BM$17,1,CM163),'Lease Cycles'!$AZ$17&lt;=CM$6),'Lease Cycles'!$C$17*'Lease Cycles'!$BA$17/12,IF(AND('Lease Cycles'!$AX$17&gt;=INDEX('Lease Cycles'!$BG$17:$BM$17,1,CM163),'Lease Cycles'!$AX$17&lt;=CM$6),'Lease Cycles'!$C$17*'Lease Cycles'!$AY$17/12,IF(AND('Lease Cycles'!$AV$17&gt;=INDEX('Lease Cycles'!$BG$17:$BM$17,1,CM163),'Lease Cycles'!$AV$17&lt;=CM$6),'Lease Cycles'!$C$17*'Lease Cycles'!$AW$17/12,IF(AND('Lease Cycles'!$AT$17&gt;=INDEX('Lease Cycles'!$BG$17:$BM$17,1,CM163),'Lease Cycles'!$AT$17&lt;=CM$6),'Lease Cycles'!$C$17*'Lease Cycles'!$AU$17/12,'Lease Cycles'!$C$17*INDEX('Lease Cycles'!$CB$17:$CH$17,1,CM163)*(1+INDEX('Lease Cycles'!$CI$17:$CO$17,1,CM163))^INT(INT(CM164/12)/INDEX('Lease Cycles'!$CP$17:$CV$17,1,CM163))/12)))),'Lease Cycles'!$C$17*INDEX('Lease Cycles'!$CB$17:$CH$17,1,CM163)*(1+INDEX('Lease Cycles'!$CI$17:$CO$17,1,CM163))^INT(INT(CM164/12)/INDEX('Lease Cycles'!$CP$17:$CV$17,1,CM163))/12))),IF('Lease Cycles'!$N$17=1,'Lease Cycles'!$C$17*'Lease Cycles'!$E$17*INDEX('Lease Cycles'!$HE$17:$HK$17,1,CM163)*(1+INDEX('Lease Cycles'!$GQ$17:$GW$17,1,CM163))^INT(INT((CM$6-INDEX('Lease Cycles'!$GJ$17:$GP$17,1,CM163))/12)/INDEX('Lease Cycles'!$GX$17:$HD$17,1,CM163))/12,0)))</f>
        <v>2922.9163660017334</v>
      </c>
      <c r="CN166" s="28">
        <f>IF(CN163=0,IF('Lease Cycles'!$F$17&gt;0,'Lease Cycles'!$C$17*'Lease Cycles'!$E$17/12,0),IF(CN165=1,IF('Lease Cycles'!$AT$17&gt;=9999,'Lease Cycles'!$C$17*INDEX('Lease Cycles'!$CB$17:$CH$17,1,CN163)*(1+INDEX('Lease Cycles'!$CI$17:$CO$17,1,CN163))^INT(INT(CN164/12)/INDEX('Lease Cycles'!$CP$17:$CV$17,1,CN163))/12,IF(CN163=1,IF(CN164&gt;=INDEX('Lease Cycles'!$DK$17:$DQ$17,1,CN163),IF(CN$6&gt;='Lease Cycles'!$AZ$17,'Lease Cycles'!$C$17*'Lease Cycles'!$BA$17/12,IF(CN$6&gt;='Lease Cycles'!$AX$17,'Lease Cycles'!$C$17*'Lease Cycles'!$AY$17/12,IF(CN$6&gt;='Lease Cycles'!$AV$17,'Lease Cycles'!$C$17*'Lease Cycles'!$AW$17/12,IF(CN$6&gt;='Lease Cycles'!$AT$17,'Lease Cycles'!$C$17*'Lease Cycles'!$AU$17/12,'Lease Cycles'!$C$17*INDEX('Lease Cycles'!$CB$17:$CH$17,1,CN163)*(1+INDEX('Lease Cycles'!$CI$17:$CO$17,1,CN163))^INT(INT(CN164/12)/INDEX('Lease Cycles'!$CP$17:$CV$17,1,CN163))/12)))),'Lease Cycles'!$C$17*INDEX('Lease Cycles'!$CB$17:$CH$17,1,CN163)*(1+INDEX('Lease Cycles'!$CI$17:$CO$17,1,CN163))^INT(INT(CN164/12)/INDEX('Lease Cycles'!$CP$17:$CV$17,1,CN163))/12),IF(INDEX('Lease Cycles'!$EF$17:$EL$17,1,CN163)=1,IF(AND('Lease Cycles'!$AZ$17&gt;=INDEX('Lease Cycles'!$BG$17:$BM$17,1,CN163),'Lease Cycles'!$AZ$17&lt;=CN$6),'Lease Cycles'!$C$17*'Lease Cycles'!$BA$17/12,IF(AND('Lease Cycles'!$AX$17&gt;=INDEX('Lease Cycles'!$BG$17:$BM$17,1,CN163),'Lease Cycles'!$AX$17&lt;=CN$6),'Lease Cycles'!$C$17*'Lease Cycles'!$AY$17/12,IF(AND('Lease Cycles'!$AV$17&gt;=INDEX('Lease Cycles'!$BG$17:$BM$17,1,CN163),'Lease Cycles'!$AV$17&lt;=CN$6),'Lease Cycles'!$C$17*'Lease Cycles'!$AW$17/12,IF(AND('Lease Cycles'!$AT$17&gt;=INDEX('Lease Cycles'!$BG$17:$BM$17,1,CN163),'Lease Cycles'!$AT$17&lt;=CN$6),'Lease Cycles'!$C$17*'Lease Cycles'!$AU$17/12,'Lease Cycles'!$C$17*INDEX('Lease Cycles'!$CB$17:$CH$17,1,CN163)*(1+INDEX('Lease Cycles'!$CI$17:$CO$17,1,CN163))^INT(INT(CN164/12)/INDEX('Lease Cycles'!$CP$17:$CV$17,1,CN163))/12)))),'Lease Cycles'!$C$17*INDEX('Lease Cycles'!$CB$17:$CH$17,1,CN163)*(1+INDEX('Lease Cycles'!$CI$17:$CO$17,1,CN163))^INT(INT(CN164/12)/INDEX('Lease Cycles'!$CP$17:$CV$17,1,CN163))/12))),IF('Lease Cycles'!$N$17=1,'Lease Cycles'!$C$17*'Lease Cycles'!$E$17*INDEX('Lease Cycles'!$HE$17:$HK$17,1,CN163)*(1+INDEX('Lease Cycles'!$GQ$17:$GW$17,1,CN163))^INT(INT((CN$6-INDEX('Lease Cycles'!$GJ$17:$GP$17,1,CN163))/12)/INDEX('Lease Cycles'!$GX$17:$HD$17,1,CN163))/12,0)))</f>
        <v>2922.9163660017334</v>
      </c>
      <c r="CO166" s="28">
        <f>IF(CO163=0,IF('Lease Cycles'!$F$17&gt;0,'Lease Cycles'!$C$17*'Lease Cycles'!$E$17/12,0),IF(CO165=1,IF('Lease Cycles'!$AT$17&gt;=9999,'Lease Cycles'!$C$17*INDEX('Lease Cycles'!$CB$17:$CH$17,1,CO163)*(1+INDEX('Lease Cycles'!$CI$17:$CO$17,1,CO163))^INT(INT(CO164/12)/INDEX('Lease Cycles'!$CP$17:$CV$17,1,CO163))/12,IF(CO163=1,IF(CO164&gt;=INDEX('Lease Cycles'!$DK$17:$DQ$17,1,CO163),IF(CO$6&gt;='Lease Cycles'!$AZ$17,'Lease Cycles'!$C$17*'Lease Cycles'!$BA$17/12,IF(CO$6&gt;='Lease Cycles'!$AX$17,'Lease Cycles'!$C$17*'Lease Cycles'!$AY$17/12,IF(CO$6&gt;='Lease Cycles'!$AV$17,'Lease Cycles'!$C$17*'Lease Cycles'!$AW$17/12,IF(CO$6&gt;='Lease Cycles'!$AT$17,'Lease Cycles'!$C$17*'Lease Cycles'!$AU$17/12,'Lease Cycles'!$C$17*INDEX('Lease Cycles'!$CB$17:$CH$17,1,CO163)*(1+INDEX('Lease Cycles'!$CI$17:$CO$17,1,CO163))^INT(INT(CO164/12)/INDEX('Lease Cycles'!$CP$17:$CV$17,1,CO163))/12)))),'Lease Cycles'!$C$17*INDEX('Lease Cycles'!$CB$17:$CH$17,1,CO163)*(1+INDEX('Lease Cycles'!$CI$17:$CO$17,1,CO163))^INT(INT(CO164/12)/INDEX('Lease Cycles'!$CP$17:$CV$17,1,CO163))/12),IF(INDEX('Lease Cycles'!$EF$17:$EL$17,1,CO163)=1,IF(AND('Lease Cycles'!$AZ$17&gt;=INDEX('Lease Cycles'!$BG$17:$BM$17,1,CO163),'Lease Cycles'!$AZ$17&lt;=CO$6),'Lease Cycles'!$C$17*'Lease Cycles'!$BA$17/12,IF(AND('Lease Cycles'!$AX$17&gt;=INDEX('Lease Cycles'!$BG$17:$BM$17,1,CO163),'Lease Cycles'!$AX$17&lt;=CO$6),'Lease Cycles'!$C$17*'Lease Cycles'!$AY$17/12,IF(AND('Lease Cycles'!$AV$17&gt;=INDEX('Lease Cycles'!$BG$17:$BM$17,1,CO163),'Lease Cycles'!$AV$17&lt;=CO$6),'Lease Cycles'!$C$17*'Lease Cycles'!$AW$17/12,IF(AND('Lease Cycles'!$AT$17&gt;=INDEX('Lease Cycles'!$BG$17:$BM$17,1,CO163),'Lease Cycles'!$AT$17&lt;=CO$6),'Lease Cycles'!$C$17*'Lease Cycles'!$AU$17/12,'Lease Cycles'!$C$17*INDEX('Lease Cycles'!$CB$17:$CH$17,1,CO163)*(1+INDEX('Lease Cycles'!$CI$17:$CO$17,1,CO163))^INT(INT(CO164/12)/INDEX('Lease Cycles'!$CP$17:$CV$17,1,CO163))/12)))),'Lease Cycles'!$C$17*INDEX('Lease Cycles'!$CB$17:$CH$17,1,CO163)*(1+INDEX('Lease Cycles'!$CI$17:$CO$17,1,CO163))^INT(INT(CO164/12)/INDEX('Lease Cycles'!$CP$17:$CV$17,1,CO163))/12))),IF('Lease Cycles'!$N$17=1,'Lease Cycles'!$C$17*'Lease Cycles'!$E$17*INDEX('Lease Cycles'!$HE$17:$HK$17,1,CO163)*(1+INDEX('Lease Cycles'!$GQ$17:$GW$17,1,CO163))^INT(INT((CO$6-INDEX('Lease Cycles'!$GJ$17:$GP$17,1,CO163))/12)/INDEX('Lease Cycles'!$GX$17:$HD$17,1,CO163))/12,0)))</f>
        <v>2922.9163660017334</v>
      </c>
      <c r="CP166" s="28">
        <f>IF(CP163=0,IF('Lease Cycles'!$F$17&gt;0,'Lease Cycles'!$C$17*'Lease Cycles'!$E$17/12,0),IF(CP165=1,IF('Lease Cycles'!$AT$17&gt;=9999,'Lease Cycles'!$C$17*INDEX('Lease Cycles'!$CB$17:$CH$17,1,CP163)*(1+INDEX('Lease Cycles'!$CI$17:$CO$17,1,CP163))^INT(INT(CP164/12)/INDEX('Lease Cycles'!$CP$17:$CV$17,1,CP163))/12,IF(CP163=1,IF(CP164&gt;=INDEX('Lease Cycles'!$DK$17:$DQ$17,1,CP163),IF(CP$6&gt;='Lease Cycles'!$AZ$17,'Lease Cycles'!$C$17*'Lease Cycles'!$BA$17/12,IF(CP$6&gt;='Lease Cycles'!$AX$17,'Lease Cycles'!$C$17*'Lease Cycles'!$AY$17/12,IF(CP$6&gt;='Lease Cycles'!$AV$17,'Lease Cycles'!$C$17*'Lease Cycles'!$AW$17/12,IF(CP$6&gt;='Lease Cycles'!$AT$17,'Lease Cycles'!$C$17*'Lease Cycles'!$AU$17/12,'Lease Cycles'!$C$17*INDEX('Lease Cycles'!$CB$17:$CH$17,1,CP163)*(1+INDEX('Lease Cycles'!$CI$17:$CO$17,1,CP163))^INT(INT(CP164/12)/INDEX('Lease Cycles'!$CP$17:$CV$17,1,CP163))/12)))),'Lease Cycles'!$C$17*INDEX('Lease Cycles'!$CB$17:$CH$17,1,CP163)*(1+INDEX('Lease Cycles'!$CI$17:$CO$17,1,CP163))^INT(INT(CP164/12)/INDEX('Lease Cycles'!$CP$17:$CV$17,1,CP163))/12),IF(INDEX('Lease Cycles'!$EF$17:$EL$17,1,CP163)=1,IF(AND('Lease Cycles'!$AZ$17&gt;=INDEX('Lease Cycles'!$BG$17:$BM$17,1,CP163),'Lease Cycles'!$AZ$17&lt;=CP$6),'Lease Cycles'!$C$17*'Lease Cycles'!$BA$17/12,IF(AND('Lease Cycles'!$AX$17&gt;=INDEX('Lease Cycles'!$BG$17:$BM$17,1,CP163),'Lease Cycles'!$AX$17&lt;=CP$6),'Lease Cycles'!$C$17*'Lease Cycles'!$AY$17/12,IF(AND('Lease Cycles'!$AV$17&gt;=INDEX('Lease Cycles'!$BG$17:$BM$17,1,CP163),'Lease Cycles'!$AV$17&lt;=CP$6),'Lease Cycles'!$C$17*'Lease Cycles'!$AW$17/12,IF(AND('Lease Cycles'!$AT$17&gt;=INDEX('Lease Cycles'!$BG$17:$BM$17,1,CP163),'Lease Cycles'!$AT$17&lt;=CP$6),'Lease Cycles'!$C$17*'Lease Cycles'!$AU$17/12,'Lease Cycles'!$C$17*INDEX('Lease Cycles'!$CB$17:$CH$17,1,CP163)*(1+INDEX('Lease Cycles'!$CI$17:$CO$17,1,CP163))^INT(INT(CP164/12)/INDEX('Lease Cycles'!$CP$17:$CV$17,1,CP163))/12)))),'Lease Cycles'!$C$17*INDEX('Lease Cycles'!$CB$17:$CH$17,1,CP163)*(1+INDEX('Lease Cycles'!$CI$17:$CO$17,1,CP163))^INT(INT(CP164/12)/INDEX('Lease Cycles'!$CP$17:$CV$17,1,CP163))/12))),IF('Lease Cycles'!$N$17=1,'Lease Cycles'!$C$17*'Lease Cycles'!$E$17*INDEX('Lease Cycles'!$HE$17:$HK$17,1,CP163)*(1+INDEX('Lease Cycles'!$GQ$17:$GW$17,1,CP163))^INT(INT((CP$6-INDEX('Lease Cycles'!$GJ$17:$GP$17,1,CP163))/12)/INDEX('Lease Cycles'!$GX$17:$HD$17,1,CP163))/12,0)))</f>
        <v>2922.9163660017334</v>
      </c>
      <c r="CQ166" s="28">
        <f>IF(CQ163=0,IF('Lease Cycles'!$F$17&gt;0,'Lease Cycles'!$C$17*'Lease Cycles'!$E$17/12,0),IF(CQ165=1,IF('Lease Cycles'!$AT$17&gt;=9999,'Lease Cycles'!$C$17*INDEX('Lease Cycles'!$CB$17:$CH$17,1,CQ163)*(1+INDEX('Lease Cycles'!$CI$17:$CO$17,1,CQ163))^INT(INT(CQ164/12)/INDEX('Lease Cycles'!$CP$17:$CV$17,1,CQ163))/12,IF(CQ163=1,IF(CQ164&gt;=INDEX('Lease Cycles'!$DK$17:$DQ$17,1,CQ163),IF(CQ$6&gt;='Lease Cycles'!$AZ$17,'Lease Cycles'!$C$17*'Lease Cycles'!$BA$17/12,IF(CQ$6&gt;='Lease Cycles'!$AX$17,'Lease Cycles'!$C$17*'Lease Cycles'!$AY$17/12,IF(CQ$6&gt;='Lease Cycles'!$AV$17,'Lease Cycles'!$C$17*'Lease Cycles'!$AW$17/12,IF(CQ$6&gt;='Lease Cycles'!$AT$17,'Lease Cycles'!$C$17*'Lease Cycles'!$AU$17/12,'Lease Cycles'!$C$17*INDEX('Lease Cycles'!$CB$17:$CH$17,1,CQ163)*(1+INDEX('Lease Cycles'!$CI$17:$CO$17,1,CQ163))^INT(INT(CQ164/12)/INDEX('Lease Cycles'!$CP$17:$CV$17,1,CQ163))/12)))),'Lease Cycles'!$C$17*INDEX('Lease Cycles'!$CB$17:$CH$17,1,CQ163)*(1+INDEX('Lease Cycles'!$CI$17:$CO$17,1,CQ163))^INT(INT(CQ164/12)/INDEX('Lease Cycles'!$CP$17:$CV$17,1,CQ163))/12),IF(INDEX('Lease Cycles'!$EF$17:$EL$17,1,CQ163)=1,IF(AND('Lease Cycles'!$AZ$17&gt;=INDEX('Lease Cycles'!$BG$17:$BM$17,1,CQ163),'Lease Cycles'!$AZ$17&lt;=CQ$6),'Lease Cycles'!$C$17*'Lease Cycles'!$BA$17/12,IF(AND('Lease Cycles'!$AX$17&gt;=INDEX('Lease Cycles'!$BG$17:$BM$17,1,CQ163),'Lease Cycles'!$AX$17&lt;=CQ$6),'Lease Cycles'!$C$17*'Lease Cycles'!$AY$17/12,IF(AND('Lease Cycles'!$AV$17&gt;=INDEX('Lease Cycles'!$BG$17:$BM$17,1,CQ163),'Lease Cycles'!$AV$17&lt;=CQ$6),'Lease Cycles'!$C$17*'Lease Cycles'!$AW$17/12,IF(AND('Lease Cycles'!$AT$17&gt;=INDEX('Lease Cycles'!$BG$17:$BM$17,1,CQ163),'Lease Cycles'!$AT$17&lt;=CQ$6),'Lease Cycles'!$C$17*'Lease Cycles'!$AU$17/12,'Lease Cycles'!$C$17*INDEX('Lease Cycles'!$CB$17:$CH$17,1,CQ163)*(1+INDEX('Lease Cycles'!$CI$17:$CO$17,1,CQ163))^INT(INT(CQ164/12)/INDEX('Lease Cycles'!$CP$17:$CV$17,1,CQ163))/12)))),'Lease Cycles'!$C$17*INDEX('Lease Cycles'!$CB$17:$CH$17,1,CQ163)*(1+INDEX('Lease Cycles'!$CI$17:$CO$17,1,CQ163))^INT(INT(CQ164/12)/INDEX('Lease Cycles'!$CP$17:$CV$17,1,CQ163))/12))),IF('Lease Cycles'!$N$17=1,'Lease Cycles'!$C$17*'Lease Cycles'!$E$17*INDEX('Lease Cycles'!$HE$17:$HK$17,1,CQ163)*(1+INDEX('Lease Cycles'!$GQ$17:$GW$17,1,CQ163))^INT(INT((CQ$6-INDEX('Lease Cycles'!$GJ$17:$GP$17,1,CQ163))/12)/INDEX('Lease Cycles'!$GX$17:$HD$17,1,CQ163))/12,0)))</f>
        <v>2922.9163660017334</v>
      </c>
      <c r="CR166" s="28">
        <f>IF(CR163=0,IF('Lease Cycles'!$F$17&gt;0,'Lease Cycles'!$C$17*'Lease Cycles'!$E$17/12,0),IF(CR165=1,IF('Lease Cycles'!$AT$17&gt;=9999,'Lease Cycles'!$C$17*INDEX('Lease Cycles'!$CB$17:$CH$17,1,CR163)*(1+INDEX('Lease Cycles'!$CI$17:$CO$17,1,CR163))^INT(INT(CR164/12)/INDEX('Lease Cycles'!$CP$17:$CV$17,1,CR163))/12,IF(CR163=1,IF(CR164&gt;=INDEX('Lease Cycles'!$DK$17:$DQ$17,1,CR163),IF(CR$6&gt;='Lease Cycles'!$AZ$17,'Lease Cycles'!$C$17*'Lease Cycles'!$BA$17/12,IF(CR$6&gt;='Lease Cycles'!$AX$17,'Lease Cycles'!$C$17*'Lease Cycles'!$AY$17/12,IF(CR$6&gt;='Lease Cycles'!$AV$17,'Lease Cycles'!$C$17*'Lease Cycles'!$AW$17/12,IF(CR$6&gt;='Lease Cycles'!$AT$17,'Lease Cycles'!$C$17*'Lease Cycles'!$AU$17/12,'Lease Cycles'!$C$17*INDEX('Lease Cycles'!$CB$17:$CH$17,1,CR163)*(1+INDEX('Lease Cycles'!$CI$17:$CO$17,1,CR163))^INT(INT(CR164/12)/INDEX('Lease Cycles'!$CP$17:$CV$17,1,CR163))/12)))),'Lease Cycles'!$C$17*INDEX('Lease Cycles'!$CB$17:$CH$17,1,CR163)*(1+INDEX('Lease Cycles'!$CI$17:$CO$17,1,CR163))^INT(INT(CR164/12)/INDEX('Lease Cycles'!$CP$17:$CV$17,1,CR163))/12),IF(INDEX('Lease Cycles'!$EF$17:$EL$17,1,CR163)=1,IF(AND('Lease Cycles'!$AZ$17&gt;=INDEX('Lease Cycles'!$BG$17:$BM$17,1,CR163),'Lease Cycles'!$AZ$17&lt;=CR$6),'Lease Cycles'!$C$17*'Lease Cycles'!$BA$17/12,IF(AND('Lease Cycles'!$AX$17&gt;=INDEX('Lease Cycles'!$BG$17:$BM$17,1,CR163),'Lease Cycles'!$AX$17&lt;=CR$6),'Lease Cycles'!$C$17*'Lease Cycles'!$AY$17/12,IF(AND('Lease Cycles'!$AV$17&gt;=INDEX('Lease Cycles'!$BG$17:$BM$17,1,CR163),'Lease Cycles'!$AV$17&lt;=CR$6),'Lease Cycles'!$C$17*'Lease Cycles'!$AW$17/12,IF(AND('Lease Cycles'!$AT$17&gt;=INDEX('Lease Cycles'!$BG$17:$BM$17,1,CR163),'Lease Cycles'!$AT$17&lt;=CR$6),'Lease Cycles'!$C$17*'Lease Cycles'!$AU$17/12,'Lease Cycles'!$C$17*INDEX('Lease Cycles'!$CB$17:$CH$17,1,CR163)*(1+INDEX('Lease Cycles'!$CI$17:$CO$17,1,CR163))^INT(INT(CR164/12)/INDEX('Lease Cycles'!$CP$17:$CV$17,1,CR163))/12)))),'Lease Cycles'!$C$17*INDEX('Lease Cycles'!$CB$17:$CH$17,1,CR163)*(1+INDEX('Lease Cycles'!$CI$17:$CO$17,1,CR163))^INT(INT(CR164/12)/INDEX('Lease Cycles'!$CP$17:$CV$17,1,CR163))/12))),IF('Lease Cycles'!$N$17=1,'Lease Cycles'!$C$17*'Lease Cycles'!$E$17*INDEX('Lease Cycles'!$HE$17:$HK$17,1,CR163)*(1+INDEX('Lease Cycles'!$GQ$17:$GW$17,1,CR163))^INT(INT((CR$6-INDEX('Lease Cycles'!$GJ$17:$GP$17,1,CR163))/12)/INDEX('Lease Cycles'!$GX$17:$HD$17,1,CR163))/12,0)))</f>
        <v>2922.9163660017334</v>
      </c>
      <c r="CS166" s="28">
        <f>IF(CS163=0,IF('Lease Cycles'!$F$17&gt;0,'Lease Cycles'!$C$17*'Lease Cycles'!$E$17/12,0),IF(CS165=1,IF('Lease Cycles'!$AT$17&gt;=9999,'Lease Cycles'!$C$17*INDEX('Lease Cycles'!$CB$17:$CH$17,1,CS163)*(1+INDEX('Lease Cycles'!$CI$17:$CO$17,1,CS163))^INT(INT(CS164/12)/INDEX('Lease Cycles'!$CP$17:$CV$17,1,CS163))/12,IF(CS163=1,IF(CS164&gt;=INDEX('Lease Cycles'!$DK$17:$DQ$17,1,CS163),IF(CS$6&gt;='Lease Cycles'!$AZ$17,'Lease Cycles'!$C$17*'Lease Cycles'!$BA$17/12,IF(CS$6&gt;='Lease Cycles'!$AX$17,'Lease Cycles'!$C$17*'Lease Cycles'!$AY$17/12,IF(CS$6&gt;='Lease Cycles'!$AV$17,'Lease Cycles'!$C$17*'Lease Cycles'!$AW$17/12,IF(CS$6&gt;='Lease Cycles'!$AT$17,'Lease Cycles'!$C$17*'Lease Cycles'!$AU$17/12,'Lease Cycles'!$C$17*INDEX('Lease Cycles'!$CB$17:$CH$17,1,CS163)*(1+INDEX('Lease Cycles'!$CI$17:$CO$17,1,CS163))^INT(INT(CS164/12)/INDEX('Lease Cycles'!$CP$17:$CV$17,1,CS163))/12)))),'Lease Cycles'!$C$17*INDEX('Lease Cycles'!$CB$17:$CH$17,1,CS163)*(1+INDEX('Lease Cycles'!$CI$17:$CO$17,1,CS163))^INT(INT(CS164/12)/INDEX('Lease Cycles'!$CP$17:$CV$17,1,CS163))/12),IF(INDEX('Lease Cycles'!$EF$17:$EL$17,1,CS163)=1,IF(AND('Lease Cycles'!$AZ$17&gt;=INDEX('Lease Cycles'!$BG$17:$BM$17,1,CS163),'Lease Cycles'!$AZ$17&lt;=CS$6),'Lease Cycles'!$C$17*'Lease Cycles'!$BA$17/12,IF(AND('Lease Cycles'!$AX$17&gt;=INDEX('Lease Cycles'!$BG$17:$BM$17,1,CS163),'Lease Cycles'!$AX$17&lt;=CS$6),'Lease Cycles'!$C$17*'Lease Cycles'!$AY$17/12,IF(AND('Lease Cycles'!$AV$17&gt;=INDEX('Lease Cycles'!$BG$17:$BM$17,1,CS163),'Lease Cycles'!$AV$17&lt;=CS$6),'Lease Cycles'!$C$17*'Lease Cycles'!$AW$17/12,IF(AND('Lease Cycles'!$AT$17&gt;=INDEX('Lease Cycles'!$BG$17:$BM$17,1,CS163),'Lease Cycles'!$AT$17&lt;=CS$6),'Lease Cycles'!$C$17*'Lease Cycles'!$AU$17/12,'Lease Cycles'!$C$17*INDEX('Lease Cycles'!$CB$17:$CH$17,1,CS163)*(1+INDEX('Lease Cycles'!$CI$17:$CO$17,1,CS163))^INT(INT(CS164/12)/INDEX('Lease Cycles'!$CP$17:$CV$17,1,CS163))/12)))),'Lease Cycles'!$C$17*INDEX('Lease Cycles'!$CB$17:$CH$17,1,CS163)*(1+INDEX('Lease Cycles'!$CI$17:$CO$17,1,CS163))^INT(INT(CS164/12)/INDEX('Lease Cycles'!$CP$17:$CV$17,1,CS163))/12))),IF('Lease Cycles'!$N$17=1,'Lease Cycles'!$C$17*'Lease Cycles'!$E$17*INDEX('Lease Cycles'!$HE$17:$HK$17,1,CS163)*(1+INDEX('Lease Cycles'!$GQ$17:$GW$17,1,CS163))^INT(INT((CS$6-INDEX('Lease Cycles'!$GJ$17:$GP$17,1,CS163))/12)/INDEX('Lease Cycles'!$GX$17:$HD$17,1,CS163))/12,0)))</f>
        <v>2922.9163660017334</v>
      </c>
      <c r="CT166" s="28">
        <f>IF(CT163=0,IF('Lease Cycles'!$F$17&gt;0,'Lease Cycles'!$C$17*'Lease Cycles'!$E$17/12,0),IF(CT165=1,IF('Lease Cycles'!$AT$17&gt;=9999,'Lease Cycles'!$C$17*INDEX('Lease Cycles'!$CB$17:$CH$17,1,CT163)*(1+INDEX('Lease Cycles'!$CI$17:$CO$17,1,CT163))^INT(INT(CT164/12)/INDEX('Lease Cycles'!$CP$17:$CV$17,1,CT163))/12,IF(CT163=1,IF(CT164&gt;=INDEX('Lease Cycles'!$DK$17:$DQ$17,1,CT163),IF(CT$6&gt;='Lease Cycles'!$AZ$17,'Lease Cycles'!$C$17*'Lease Cycles'!$BA$17/12,IF(CT$6&gt;='Lease Cycles'!$AX$17,'Lease Cycles'!$C$17*'Lease Cycles'!$AY$17/12,IF(CT$6&gt;='Lease Cycles'!$AV$17,'Lease Cycles'!$C$17*'Lease Cycles'!$AW$17/12,IF(CT$6&gt;='Lease Cycles'!$AT$17,'Lease Cycles'!$C$17*'Lease Cycles'!$AU$17/12,'Lease Cycles'!$C$17*INDEX('Lease Cycles'!$CB$17:$CH$17,1,CT163)*(1+INDEX('Lease Cycles'!$CI$17:$CO$17,1,CT163))^INT(INT(CT164/12)/INDEX('Lease Cycles'!$CP$17:$CV$17,1,CT163))/12)))),'Lease Cycles'!$C$17*INDEX('Lease Cycles'!$CB$17:$CH$17,1,CT163)*(1+INDEX('Lease Cycles'!$CI$17:$CO$17,1,CT163))^INT(INT(CT164/12)/INDEX('Lease Cycles'!$CP$17:$CV$17,1,CT163))/12),IF(INDEX('Lease Cycles'!$EF$17:$EL$17,1,CT163)=1,IF(AND('Lease Cycles'!$AZ$17&gt;=INDEX('Lease Cycles'!$BG$17:$BM$17,1,CT163),'Lease Cycles'!$AZ$17&lt;=CT$6),'Lease Cycles'!$C$17*'Lease Cycles'!$BA$17/12,IF(AND('Lease Cycles'!$AX$17&gt;=INDEX('Lease Cycles'!$BG$17:$BM$17,1,CT163),'Lease Cycles'!$AX$17&lt;=CT$6),'Lease Cycles'!$C$17*'Lease Cycles'!$AY$17/12,IF(AND('Lease Cycles'!$AV$17&gt;=INDEX('Lease Cycles'!$BG$17:$BM$17,1,CT163),'Lease Cycles'!$AV$17&lt;=CT$6),'Lease Cycles'!$C$17*'Lease Cycles'!$AW$17/12,IF(AND('Lease Cycles'!$AT$17&gt;=INDEX('Lease Cycles'!$BG$17:$BM$17,1,CT163),'Lease Cycles'!$AT$17&lt;=CT$6),'Lease Cycles'!$C$17*'Lease Cycles'!$AU$17/12,'Lease Cycles'!$C$17*INDEX('Lease Cycles'!$CB$17:$CH$17,1,CT163)*(1+INDEX('Lease Cycles'!$CI$17:$CO$17,1,CT163))^INT(INT(CT164/12)/INDEX('Lease Cycles'!$CP$17:$CV$17,1,CT163))/12)))),'Lease Cycles'!$C$17*INDEX('Lease Cycles'!$CB$17:$CH$17,1,CT163)*(1+INDEX('Lease Cycles'!$CI$17:$CO$17,1,CT163))^INT(INT(CT164/12)/INDEX('Lease Cycles'!$CP$17:$CV$17,1,CT163))/12))),IF('Lease Cycles'!$N$17=1,'Lease Cycles'!$C$17*'Lease Cycles'!$E$17*INDEX('Lease Cycles'!$HE$17:$HK$17,1,CT163)*(1+INDEX('Lease Cycles'!$GQ$17:$GW$17,1,CT163))^INT(INT((CT$6-INDEX('Lease Cycles'!$GJ$17:$GP$17,1,CT163))/12)/INDEX('Lease Cycles'!$GX$17:$HD$17,1,CT163))/12,0)))</f>
        <v>2922.9163660017334</v>
      </c>
      <c r="CU166" s="28">
        <f>IF(CU163=0,IF('Lease Cycles'!$F$17&gt;0,'Lease Cycles'!$C$17*'Lease Cycles'!$E$17/12,0),IF(CU165=1,IF('Lease Cycles'!$AT$17&gt;=9999,'Lease Cycles'!$C$17*INDEX('Lease Cycles'!$CB$17:$CH$17,1,CU163)*(1+INDEX('Lease Cycles'!$CI$17:$CO$17,1,CU163))^INT(INT(CU164/12)/INDEX('Lease Cycles'!$CP$17:$CV$17,1,CU163))/12,IF(CU163=1,IF(CU164&gt;=INDEX('Lease Cycles'!$DK$17:$DQ$17,1,CU163),IF(CU$6&gt;='Lease Cycles'!$AZ$17,'Lease Cycles'!$C$17*'Lease Cycles'!$BA$17/12,IF(CU$6&gt;='Lease Cycles'!$AX$17,'Lease Cycles'!$C$17*'Lease Cycles'!$AY$17/12,IF(CU$6&gt;='Lease Cycles'!$AV$17,'Lease Cycles'!$C$17*'Lease Cycles'!$AW$17/12,IF(CU$6&gt;='Lease Cycles'!$AT$17,'Lease Cycles'!$C$17*'Lease Cycles'!$AU$17/12,'Lease Cycles'!$C$17*INDEX('Lease Cycles'!$CB$17:$CH$17,1,CU163)*(1+INDEX('Lease Cycles'!$CI$17:$CO$17,1,CU163))^INT(INT(CU164/12)/INDEX('Lease Cycles'!$CP$17:$CV$17,1,CU163))/12)))),'Lease Cycles'!$C$17*INDEX('Lease Cycles'!$CB$17:$CH$17,1,CU163)*(1+INDEX('Lease Cycles'!$CI$17:$CO$17,1,CU163))^INT(INT(CU164/12)/INDEX('Lease Cycles'!$CP$17:$CV$17,1,CU163))/12),IF(INDEX('Lease Cycles'!$EF$17:$EL$17,1,CU163)=1,IF(AND('Lease Cycles'!$AZ$17&gt;=INDEX('Lease Cycles'!$BG$17:$BM$17,1,CU163),'Lease Cycles'!$AZ$17&lt;=CU$6),'Lease Cycles'!$C$17*'Lease Cycles'!$BA$17/12,IF(AND('Lease Cycles'!$AX$17&gt;=INDEX('Lease Cycles'!$BG$17:$BM$17,1,CU163),'Lease Cycles'!$AX$17&lt;=CU$6),'Lease Cycles'!$C$17*'Lease Cycles'!$AY$17/12,IF(AND('Lease Cycles'!$AV$17&gt;=INDEX('Lease Cycles'!$BG$17:$BM$17,1,CU163),'Lease Cycles'!$AV$17&lt;=CU$6),'Lease Cycles'!$C$17*'Lease Cycles'!$AW$17/12,IF(AND('Lease Cycles'!$AT$17&gt;=INDEX('Lease Cycles'!$BG$17:$BM$17,1,CU163),'Lease Cycles'!$AT$17&lt;=CU$6),'Lease Cycles'!$C$17*'Lease Cycles'!$AU$17/12,'Lease Cycles'!$C$17*INDEX('Lease Cycles'!$CB$17:$CH$17,1,CU163)*(1+INDEX('Lease Cycles'!$CI$17:$CO$17,1,CU163))^INT(INT(CU164/12)/INDEX('Lease Cycles'!$CP$17:$CV$17,1,CU163))/12)))),'Lease Cycles'!$C$17*INDEX('Lease Cycles'!$CB$17:$CH$17,1,CU163)*(1+INDEX('Lease Cycles'!$CI$17:$CO$17,1,CU163))^INT(INT(CU164/12)/INDEX('Lease Cycles'!$CP$17:$CV$17,1,CU163))/12))),IF('Lease Cycles'!$N$17=1,'Lease Cycles'!$C$17*'Lease Cycles'!$E$17*INDEX('Lease Cycles'!$HE$17:$HK$17,1,CU163)*(1+INDEX('Lease Cycles'!$GQ$17:$GW$17,1,CU163))^INT(INT((CU$6-INDEX('Lease Cycles'!$GJ$17:$GP$17,1,CU163))/12)/INDEX('Lease Cycles'!$GX$17:$HD$17,1,CU163))/12,0)))</f>
        <v>2922.9163660017334</v>
      </c>
      <c r="CV166" s="28">
        <f>IF(CV163=0,IF('Lease Cycles'!$F$17&gt;0,'Lease Cycles'!$C$17*'Lease Cycles'!$E$17/12,0),IF(CV165=1,IF('Lease Cycles'!$AT$17&gt;=9999,'Lease Cycles'!$C$17*INDEX('Lease Cycles'!$CB$17:$CH$17,1,CV163)*(1+INDEX('Lease Cycles'!$CI$17:$CO$17,1,CV163))^INT(INT(CV164/12)/INDEX('Lease Cycles'!$CP$17:$CV$17,1,CV163))/12,IF(CV163=1,IF(CV164&gt;=INDEX('Lease Cycles'!$DK$17:$DQ$17,1,CV163),IF(CV$6&gt;='Lease Cycles'!$AZ$17,'Lease Cycles'!$C$17*'Lease Cycles'!$BA$17/12,IF(CV$6&gt;='Lease Cycles'!$AX$17,'Lease Cycles'!$C$17*'Lease Cycles'!$AY$17/12,IF(CV$6&gt;='Lease Cycles'!$AV$17,'Lease Cycles'!$C$17*'Lease Cycles'!$AW$17/12,IF(CV$6&gt;='Lease Cycles'!$AT$17,'Lease Cycles'!$C$17*'Lease Cycles'!$AU$17/12,'Lease Cycles'!$C$17*INDEX('Lease Cycles'!$CB$17:$CH$17,1,CV163)*(1+INDEX('Lease Cycles'!$CI$17:$CO$17,1,CV163))^INT(INT(CV164/12)/INDEX('Lease Cycles'!$CP$17:$CV$17,1,CV163))/12)))),'Lease Cycles'!$C$17*INDEX('Lease Cycles'!$CB$17:$CH$17,1,CV163)*(1+INDEX('Lease Cycles'!$CI$17:$CO$17,1,CV163))^INT(INT(CV164/12)/INDEX('Lease Cycles'!$CP$17:$CV$17,1,CV163))/12),IF(INDEX('Lease Cycles'!$EF$17:$EL$17,1,CV163)=1,IF(AND('Lease Cycles'!$AZ$17&gt;=INDEX('Lease Cycles'!$BG$17:$BM$17,1,CV163),'Lease Cycles'!$AZ$17&lt;=CV$6),'Lease Cycles'!$C$17*'Lease Cycles'!$BA$17/12,IF(AND('Lease Cycles'!$AX$17&gt;=INDEX('Lease Cycles'!$BG$17:$BM$17,1,CV163),'Lease Cycles'!$AX$17&lt;=CV$6),'Lease Cycles'!$C$17*'Lease Cycles'!$AY$17/12,IF(AND('Lease Cycles'!$AV$17&gt;=INDEX('Lease Cycles'!$BG$17:$BM$17,1,CV163),'Lease Cycles'!$AV$17&lt;=CV$6),'Lease Cycles'!$C$17*'Lease Cycles'!$AW$17/12,IF(AND('Lease Cycles'!$AT$17&gt;=INDEX('Lease Cycles'!$BG$17:$BM$17,1,CV163),'Lease Cycles'!$AT$17&lt;=CV$6),'Lease Cycles'!$C$17*'Lease Cycles'!$AU$17/12,'Lease Cycles'!$C$17*INDEX('Lease Cycles'!$CB$17:$CH$17,1,CV163)*(1+INDEX('Lease Cycles'!$CI$17:$CO$17,1,CV163))^INT(INT(CV164/12)/INDEX('Lease Cycles'!$CP$17:$CV$17,1,CV163))/12)))),'Lease Cycles'!$C$17*INDEX('Lease Cycles'!$CB$17:$CH$17,1,CV163)*(1+INDEX('Lease Cycles'!$CI$17:$CO$17,1,CV163))^INT(INT(CV164/12)/INDEX('Lease Cycles'!$CP$17:$CV$17,1,CV163))/12))),IF('Lease Cycles'!$N$17=1,'Lease Cycles'!$C$17*'Lease Cycles'!$E$17*INDEX('Lease Cycles'!$HE$17:$HK$17,1,CV163)*(1+INDEX('Lease Cycles'!$GQ$17:$GW$17,1,CV163))^INT(INT((CV$6-INDEX('Lease Cycles'!$GJ$17:$GP$17,1,CV163))/12)/INDEX('Lease Cycles'!$GX$17:$HD$17,1,CV163))/12,0)))</f>
        <v>3010.603856981786</v>
      </c>
      <c r="CW166" s="28">
        <f>IF(CW163=0,IF('Lease Cycles'!$F$17&gt;0,'Lease Cycles'!$C$17*'Lease Cycles'!$E$17/12,0),IF(CW165=1,IF('Lease Cycles'!$AT$17&gt;=9999,'Lease Cycles'!$C$17*INDEX('Lease Cycles'!$CB$17:$CH$17,1,CW163)*(1+INDEX('Lease Cycles'!$CI$17:$CO$17,1,CW163))^INT(INT(CW164/12)/INDEX('Lease Cycles'!$CP$17:$CV$17,1,CW163))/12,IF(CW163=1,IF(CW164&gt;=INDEX('Lease Cycles'!$DK$17:$DQ$17,1,CW163),IF(CW$6&gt;='Lease Cycles'!$AZ$17,'Lease Cycles'!$C$17*'Lease Cycles'!$BA$17/12,IF(CW$6&gt;='Lease Cycles'!$AX$17,'Lease Cycles'!$C$17*'Lease Cycles'!$AY$17/12,IF(CW$6&gt;='Lease Cycles'!$AV$17,'Lease Cycles'!$C$17*'Lease Cycles'!$AW$17/12,IF(CW$6&gt;='Lease Cycles'!$AT$17,'Lease Cycles'!$C$17*'Lease Cycles'!$AU$17/12,'Lease Cycles'!$C$17*INDEX('Lease Cycles'!$CB$17:$CH$17,1,CW163)*(1+INDEX('Lease Cycles'!$CI$17:$CO$17,1,CW163))^INT(INT(CW164/12)/INDEX('Lease Cycles'!$CP$17:$CV$17,1,CW163))/12)))),'Lease Cycles'!$C$17*INDEX('Lease Cycles'!$CB$17:$CH$17,1,CW163)*(1+INDEX('Lease Cycles'!$CI$17:$CO$17,1,CW163))^INT(INT(CW164/12)/INDEX('Lease Cycles'!$CP$17:$CV$17,1,CW163))/12),IF(INDEX('Lease Cycles'!$EF$17:$EL$17,1,CW163)=1,IF(AND('Lease Cycles'!$AZ$17&gt;=INDEX('Lease Cycles'!$BG$17:$BM$17,1,CW163),'Lease Cycles'!$AZ$17&lt;=CW$6),'Lease Cycles'!$C$17*'Lease Cycles'!$BA$17/12,IF(AND('Lease Cycles'!$AX$17&gt;=INDEX('Lease Cycles'!$BG$17:$BM$17,1,CW163),'Lease Cycles'!$AX$17&lt;=CW$6),'Lease Cycles'!$C$17*'Lease Cycles'!$AY$17/12,IF(AND('Lease Cycles'!$AV$17&gt;=INDEX('Lease Cycles'!$BG$17:$BM$17,1,CW163),'Lease Cycles'!$AV$17&lt;=CW$6),'Lease Cycles'!$C$17*'Lease Cycles'!$AW$17/12,IF(AND('Lease Cycles'!$AT$17&gt;=INDEX('Lease Cycles'!$BG$17:$BM$17,1,CW163),'Lease Cycles'!$AT$17&lt;=CW$6),'Lease Cycles'!$C$17*'Lease Cycles'!$AU$17/12,'Lease Cycles'!$C$17*INDEX('Lease Cycles'!$CB$17:$CH$17,1,CW163)*(1+INDEX('Lease Cycles'!$CI$17:$CO$17,1,CW163))^INT(INT(CW164/12)/INDEX('Lease Cycles'!$CP$17:$CV$17,1,CW163))/12)))),'Lease Cycles'!$C$17*INDEX('Lease Cycles'!$CB$17:$CH$17,1,CW163)*(1+INDEX('Lease Cycles'!$CI$17:$CO$17,1,CW163))^INT(INT(CW164/12)/INDEX('Lease Cycles'!$CP$17:$CV$17,1,CW163))/12))),IF('Lease Cycles'!$N$17=1,'Lease Cycles'!$C$17*'Lease Cycles'!$E$17*INDEX('Lease Cycles'!$HE$17:$HK$17,1,CW163)*(1+INDEX('Lease Cycles'!$GQ$17:$GW$17,1,CW163))^INT(INT((CW$6-INDEX('Lease Cycles'!$GJ$17:$GP$17,1,CW163))/12)/INDEX('Lease Cycles'!$GX$17:$HD$17,1,CW163))/12,0)))</f>
        <v>3010.603856981786</v>
      </c>
      <c r="CX166" s="28">
        <f>IF(CX163=0,IF('Lease Cycles'!$F$17&gt;0,'Lease Cycles'!$C$17*'Lease Cycles'!$E$17/12,0),IF(CX165=1,IF('Lease Cycles'!$AT$17&gt;=9999,'Lease Cycles'!$C$17*INDEX('Lease Cycles'!$CB$17:$CH$17,1,CX163)*(1+INDEX('Lease Cycles'!$CI$17:$CO$17,1,CX163))^INT(INT(CX164/12)/INDEX('Lease Cycles'!$CP$17:$CV$17,1,CX163))/12,IF(CX163=1,IF(CX164&gt;=INDEX('Lease Cycles'!$DK$17:$DQ$17,1,CX163),IF(CX$6&gt;='Lease Cycles'!$AZ$17,'Lease Cycles'!$C$17*'Lease Cycles'!$BA$17/12,IF(CX$6&gt;='Lease Cycles'!$AX$17,'Lease Cycles'!$C$17*'Lease Cycles'!$AY$17/12,IF(CX$6&gt;='Lease Cycles'!$AV$17,'Lease Cycles'!$C$17*'Lease Cycles'!$AW$17/12,IF(CX$6&gt;='Lease Cycles'!$AT$17,'Lease Cycles'!$C$17*'Lease Cycles'!$AU$17/12,'Lease Cycles'!$C$17*INDEX('Lease Cycles'!$CB$17:$CH$17,1,CX163)*(1+INDEX('Lease Cycles'!$CI$17:$CO$17,1,CX163))^INT(INT(CX164/12)/INDEX('Lease Cycles'!$CP$17:$CV$17,1,CX163))/12)))),'Lease Cycles'!$C$17*INDEX('Lease Cycles'!$CB$17:$CH$17,1,CX163)*(1+INDEX('Lease Cycles'!$CI$17:$CO$17,1,CX163))^INT(INT(CX164/12)/INDEX('Lease Cycles'!$CP$17:$CV$17,1,CX163))/12),IF(INDEX('Lease Cycles'!$EF$17:$EL$17,1,CX163)=1,IF(AND('Lease Cycles'!$AZ$17&gt;=INDEX('Lease Cycles'!$BG$17:$BM$17,1,CX163),'Lease Cycles'!$AZ$17&lt;=CX$6),'Lease Cycles'!$C$17*'Lease Cycles'!$BA$17/12,IF(AND('Lease Cycles'!$AX$17&gt;=INDEX('Lease Cycles'!$BG$17:$BM$17,1,CX163),'Lease Cycles'!$AX$17&lt;=CX$6),'Lease Cycles'!$C$17*'Lease Cycles'!$AY$17/12,IF(AND('Lease Cycles'!$AV$17&gt;=INDEX('Lease Cycles'!$BG$17:$BM$17,1,CX163),'Lease Cycles'!$AV$17&lt;=CX$6),'Lease Cycles'!$C$17*'Lease Cycles'!$AW$17/12,IF(AND('Lease Cycles'!$AT$17&gt;=INDEX('Lease Cycles'!$BG$17:$BM$17,1,CX163),'Lease Cycles'!$AT$17&lt;=CX$6),'Lease Cycles'!$C$17*'Lease Cycles'!$AU$17/12,'Lease Cycles'!$C$17*INDEX('Lease Cycles'!$CB$17:$CH$17,1,CX163)*(1+INDEX('Lease Cycles'!$CI$17:$CO$17,1,CX163))^INT(INT(CX164/12)/INDEX('Lease Cycles'!$CP$17:$CV$17,1,CX163))/12)))),'Lease Cycles'!$C$17*INDEX('Lease Cycles'!$CB$17:$CH$17,1,CX163)*(1+INDEX('Lease Cycles'!$CI$17:$CO$17,1,CX163))^INT(INT(CX164/12)/INDEX('Lease Cycles'!$CP$17:$CV$17,1,CX163))/12))),IF('Lease Cycles'!$N$17=1,'Lease Cycles'!$C$17*'Lease Cycles'!$E$17*INDEX('Lease Cycles'!$HE$17:$HK$17,1,CX163)*(1+INDEX('Lease Cycles'!$GQ$17:$GW$17,1,CX163))^INT(INT((CX$6-INDEX('Lease Cycles'!$GJ$17:$GP$17,1,CX163))/12)/INDEX('Lease Cycles'!$GX$17:$HD$17,1,CX163))/12,0)))</f>
        <v>3010.603856981786</v>
      </c>
      <c r="CY166" s="28">
        <f>IF(CY163=0,IF('Lease Cycles'!$F$17&gt;0,'Lease Cycles'!$C$17*'Lease Cycles'!$E$17/12,0),IF(CY165=1,IF('Lease Cycles'!$AT$17&gt;=9999,'Lease Cycles'!$C$17*INDEX('Lease Cycles'!$CB$17:$CH$17,1,CY163)*(1+INDEX('Lease Cycles'!$CI$17:$CO$17,1,CY163))^INT(INT(CY164/12)/INDEX('Lease Cycles'!$CP$17:$CV$17,1,CY163))/12,IF(CY163=1,IF(CY164&gt;=INDEX('Lease Cycles'!$DK$17:$DQ$17,1,CY163),IF(CY$6&gt;='Lease Cycles'!$AZ$17,'Lease Cycles'!$C$17*'Lease Cycles'!$BA$17/12,IF(CY$6&gt;='Lease Cycles'!$AX$17,'Lease Cycles'!$C$17*'Lease Cycles'!$AY$17/12,IF(CY$6&gt;='Lease Cycles'!$AV$17,'Lease Cycles'!$C$17*'Lease Cycles'!$AW$17/12,IF(CY$6&gt;='Lease Cycles'!$AT$17,'Lease Cycles'!$C$17*'Lease Cycles'!$AU$17/12,'Lease Cycles'!$C$17*INDEX('Lease Cycles'!$CB$17:$CH$17,1,CY163)*(1+INDEX('Lease Cycles'!$CI$17:$CO$17,1,CY163))^INT(INT(CY164/12)/INDEX('Lease Cycles'!$CP$17:$CV$17,1,CY163))/12)))),'Lease Cycles'!$C$17*INDEX('Lease Cycles'!$CB$17:$CH$17,1,CY163)*(1+INDEX('Lease Cycles'!$CI$17:$CO$17,1,CY163))^INT(INT(CY164/12)/INDEX('Lease Cycles'!$CP$17:$CV$17,1,CY163))/12),IF(INDEX('Lease Cycles'!$EF$17:$EL$17,1,CY163)=1,IF(AND('Lease Cycles'!$AZ$17&gt;=INDEX('Lease Cycles'!$BG$17:$BM$17,1,CY163),'Lease Cycles'!$AZ$17&lt;=CY$6),'Lease Cycles'!$C$17*'Lease Cycles'!$BA$17/12,IF(AND('Lease Cycles'!$AX$17&gt;=INDEX('Lease Cycles'!$BG$17:$BM$17,1,CY163),'Lease Cycles'!$AX$17&lt;=CY$6),'Lease Cycles'!$C$17*'Lease Cycles'!$AY$17/12,IF(AND('Lease Cycles'!$AV$17&gt;=INDEX('Lease Cycles'!$BG$17:$BM$17,1,CY163),'Lease Cycles'!$AV$17&lt;=CY$6),'Lease Cycles'!$C$17*'Lease Cycles'!$AW$17/12,IF(AND('Lease Cycles'!$AT$17&gt;=INDEX('Lease Cycles'!$BG$17:$BM$17,1,CY163),'Lease Cycles'!$AT$17&lt;=CY$6),'Lease Cycles'!$C$17*'Lease Cycles'!$AU$17/12,'Lease Cycles'!$C$17*INDEX('Lease Cycles'!$CB$17:$CH$17,1,CY163)*(1+INDEX('Lease Cycles'!$CI$17:$CO$17,1,CY163))^INT(INT(CY164/12)/INDEX('Lease Cycles'!$CP$17:$CV$17,1,CY163))/12)))),'Lease Cycles'!$C$17*INDEX('Lease Cycles'!$CB$17:$CH$17,1,CY163)*(1+INDEX('Lease Cycles'!$CI$17:$CO$17,1,CY163))^INT(INT(CY164/12)/INDEX('Lease Cycles'!$CP$17:$CV$17,1,CY163))/12))),IF('Lease Cycles'!$N$17=1,'Lease Cycles'!$C$17*'Lease Cycles'!$E$17*INDEX('Lease Cycles'!$HE$17:$HK$17,1,CY163)*(1+INDEX('Lease Cycles'!$GQ$17:$GW$17,1,CY163))^INT(INT((CY$6-INDEX('Lease Cycles'!$GJ$17:$GP$17,1,CY163))/12)/INDEX('Lease Cycles'!$GX$17:$HD$17,1,CY163))/12,0)))</f>
        <v>3010.603856981786</v>
      </c>
      <c r="CZ166" s="28">
        <f>IF(CZ163=0,IF('Lease Cycles'!$F$17&gt;0,'Lease Cycles'!$C$17*'Lease Cycles'!$E$17/12,0),IF(CZ165=1,IF('Lease Cycles'!$AT$17&gt;=9999,'Lease Cycles'!$C$17*INDEX('Lease Cycles'!$CB$17:$CH$17,1,CZ163)*(1+INDEX('Lease Cycles'!$CI$17:$CO$17,1,CZ163))^INT(INT(CZ164/12)/INDEX('Lease Cycles'!$CP$17:$CV$17,1,CZ163))/12,IF(CZ163=1,IF(CZ164&gt;=INDEX('Lease Cycles'!$DK$17:$DQ$17,1,CZ163),IF(CZ$6&gt;='Lease Cycles'!$AZ$17,'Lease Cycles'!$C$17*'Lease Cycles'!$BA$17/12,IF(CZ$6&gt;='Lease Cycles'!$AX$17,'Lease Cycles'!$C$17*'Lease Cycles'!$AY$17/12,IF(CZ$6&gt;='Lease Cycles'!$AV$17,'Lease Cycles'!$C$17*'Lease Cycles'!$AW$17/12,IF(CZ$6&gt;='Lease Cycles'!$AT$17,'Lease Cycles'!$C$17*'Lease Cycles'!$AU$17/12,'Lease Cycles'!$C$17*INDEX('Lease Cycles'!$CB$17:$CH$17,1,CZ163)*(1+INDEX('Lease Cycles'!$CI$17:$CO$17,1,CZ163))^INT(INT(CZ164/12)/INDEX('Lease Cycles'!$CP$17:$CV$17,1,CZ163))/12)))),'Lease Cycles'!$C$17*INDEX('Lease Cycles'!$CB$17:$CH$17,1,CZ163)*(1+INDEX('Lease Cycles'!$CI$17:$CO$17,1,CZ163))^INT(INT(CZ164/12)/INDEX('Lease Cycles'!$CP$17:$CV$17,1,CZ163))/12),IF(INDEX('Lease Cycles'!$EF$17:$EL$17,1,CZ163)=1,IF(AND('Lease Cycles'!$AZ$17&gt;=INDEX('Lease Cycles'!$BG$17:$BM$17,1,CZ163),'Lease Cycles'!$AZ$17&lt;=CZ$6),'Lease Cycles'!$C$17*'Lease Cycles'!$BA$17/12,IF(AND('Lease Cycles'!$AX$17&gt;=INDEX('Lease Cycles'!$BG$17:$BM$17,1,CZ163),'Lease Cycles'!$AX$17&lt;=CZ$6),'Lease Cycles'!$C$17*'Lease Cycles'!$AY$17/12,IF(AND('Lease Cycles'!$AV$17&gt;=INDEX('Lease Cycles'!$BG$17:$BM$17,1,CZ163),'Lease Cycles'!$AV$17&lt;=CZ$6),'Lease Cycles'!$C$17*'Lease Cycles'!$AW$17/12,IF(AND('Lease Cycles'!$AT$17&gt;=INDEX('Lease Cycles'!$BG$17:$BM$17,1,CZ163),'Lease Cycles'!$AT$17&lt;=CZ$6),'Lease Cycles'!$C$17*'Lease Cycles'!$AU$17/12,'Lease Cycles'!$C$17*INDEX('Lease Cycles'!$CB$17:$CH$17,1,CZ163)*(1+INDEX('Lease Cycles'!$CI$17:$CO$17,1,CZ163))^INT(INT(CZ164/12)/INDEX('Lease Cycles'!$CP$17:$CV$17,1,CZ163))/12)))),'Lease Cycles'!$C$17*INDEX('Lease Cycles'!$CB$17:$CH$17,1,CZ163)*(1+INDEX('Lease Cycles'!$CI$17:$CO$17,1,CZ163))^INT(INT(CZ164/12)/INDEX('Lease Cycles'!$CP$17:$CV$17,1,CZ163))/12))),IF('Lease Cycles'!$N$17=1,'Lease Cycles'!$C$17*'Lease Cycles'!$E$17*INDEX('Lease Cycles'!$HE$17:$HK$17,1,CZ163)*(1+INDEX('Lease Cycles'!$GQ$17:$GW$17,1,CZ163))^INT(INT((CZ$6-INDEX('Lease Cycles'!$GJ$17:$GP$17,1,CZ163))/12)/INDEX('Lease Cycles'!$GX$17:$HD$17,1,CZ163))/12,0)))</f>
        <v>3010.603856981786</v>
      </c>
      <c r="DA166" s="28">
        <f>IF(DA163=0,IF('Lease Cycles'!$F$17&gt;0,'Lease Cycles'!$C$17*'Lease Cycles'!$E$17/12,0),IF(DA165=1,IF('Lease Cycles'!$AT$17&gt;=9999,'Lease Cycles'!$C$17*INDEX('Lease Cycles'!$CB$17:$CH$17,1,DA163)*(1+INDEX('Lease Cycles'!$CI$17:$CO$17,1,DA163))^INT(INT(DA164/12)/INDEX('Lease Cycles'!$CP$17:$CV$17,1,DA163))/12,IF(DA163=1,IF(DA164&gt;=INDEX('Lease Cycles'!$DK$17:$DQ$17,1,DA163),IF(DA$6&gt;='Lease Cycles'!$AZ$17,'Lease Cycles'!$C$17*'Lease Cycles'!$BA$17/12,IF(DA$6&gt;='Lease Cycles'!$AX$17,'Lease Cycles'!$C$17*'Lease Cycles'!$AY$17/12,IF(DA$6&gt;='Lease Cycles'!$AV$17,'Lease Cycles'!$C$17*'Lease Cycles'!$AW$17/12,IF(DA$6&gt;='Lease Cycles'!$AT$17,'Lease Cycles'!$C$17*'Lease Cycles'!$AU$17/12,'Lease Cycles'!$C$17*INDEX('Lease Cycles'!$CB$17:$CH$17,1,DA163)*(1+INDEX('Lease Cycles'!$CI$17:$CO$17,1,DA163))^INT(INT(DA164/12)/INDEX('Lease Cycles'!$CP$17:$CV$17,1,DA163))/12)))),'Lease Cycles'!$C$17*INDEX('Lease Cycles'!$CB$17:$CH$17,1,DA163)*(1+INDEX('Lease Cycles'!$CI$17:$CO$17,1,DA163))^INT(INT(DA164/12)/INDEX('Lease Cycles'!$CP$17:$CV$17,1,DA163))/12),IF(INDEX('Lease Cycles'!$EF$17:$EL$17,1,DA163)=1,IF(AND('Lease Cycles'!$AZ$17&gt;=INDEX('Lease Cycles'!$BG$17:$BM$17,1,DA163),'Lease Cycles'!$AZ$17&lt;=DA$6),'Lease Cycles'!$C$17*'Lease Cycles'!$BA$17/12,IF(AND('Lease Cycles'!$AX$17&gt;=INDEX('Lease Cycles'!$BG$17:$BM$17,1,DA163),'Lease Cycles'!$AX$17&lt;=DA$6),'Lease Cycles'!$C$17*'Lease Cycles'!$AY$17/12,IF(AND('Lease Cycles'!$AV$17&gt;=INDEX('Lease Cycles'!$BG$17:$BM$17,1,DA163),'Lease Cycles'!$AV$17&lt;=DA$6),'Lease Cycles'!$C$17*'Lease Cycles'!$AW$17/12,IF(AND('Lease Cycles'!$AT$17&gt;=INDEX('Lease Cycles'!$BG$17:$BM$17,1,DA163),'Lease Cycles'!$AT$17&lt;=DA$6),'Lease Cycles'!$C$17*'Lease Cycles'!$AU$17/12,'Lease Cycles'!$C$17*INDEX('Lease Cycles'!$CB$17:$CH$17,1,DA163)*(1+INDEX('Lease Cycles'!$CI$17:$CO$17,1,DA163))^INT(INT(DA164/12)/INDEX('Lease Cycles'!$CP$17:$CV$17,1,DA163))/12)))),'Lease Cycles'!$C$17*INDEX('Lease Cycles'!$CB$17:$CH$17,1,DA163)*(1+INDEX('Lease Cycles'!$CI$17:$CO$17,1,DA163))^INT(INT(DA164/12)/INDEX('Lease Cycles'!$CP$17:$CV$17,1,DA163))/12))),IF('Lease Cycles'!$N$17=1,'Lease Cycles'!$C$17*'Lease Cycles'!$E$17*INDEX('Lease Cycles'!$HE$17:$HK$17,1,DA163)*(1+INDEX('Lease Cycles'!$GQ$17:$GW$17,1,DA163))^INT(INT((DA$6-INDEX('Lease Cycles'!$GJ$17:$GP$17,1,DA163))/12)/INDEX('Lease Cycles'!$GX$17:$HD$17,1,DA163))/12,0)))</f>
        <v>3010.603856981786</v>
      </c>
      <c r="DB166" s="28">
        <f>IF(DB163=0,IF('Lease Cycles'!$F$17&gt;0,'Lease Cycles'!$C$17*'Lease Cycles'!$E$17/12,0),IF(DB165=1,IF('Lease Cycles'!$AT$17&gt;=9999,'Lease Cycles'!$C$17*INDEX('Lease Cycles'!$CB$17:$CH$17,1,DB163)*(1+INDEX('Lease Cycles'!$CI$17:$CO$17,1,DB163))^INT(INT(DB164/12)/INDEX('Lease Cycles'!$CP$17:$CV$17,1,DB163))/12,IF(DB163=1,IF(DB164&gt;=INDEX('Lease Cycles'!$DK$17:$DQ$17,1,DB163),IF(DB$6&gt;='Lease Cycles'!$AZ$17,'Lease Cycles'!$C$17*'Lease Cycles'!$BA$17/12,IF(DB$6&gt;='Lease Cycles'!$AX$17,'Lease Cycles'!$C$17*'Lease Cycles'!$AY$17/12,IF(DB$6&gt;='Lease Cycles'!$AV$17,'Lease Cycles'!$C$17*'Lease Cycles'!$AW$17/12,IF(DB$6&gt;='Lease Cycles'!$AT$17,'Lease Cycles'!$C$17*'Lease Cycles'!$AU$17/12,'Lease Cycles'!$C$17*INDEX('Lease Cycles'!$CB$17:$CH$17,1,DB163)*(1+INDEX('Lease Cycles'!$CI$17:$CO$17,1,DB163))^INT(INT(DB164/12)/INDEX('Lease Cycles'!$CP$17:$CV$17,1,DB163))/12)))),'Lease Cycles'!$C$17*INDEX('Lease Cycles'!$CB$17:$CH$17,1,DB163)*(1+INDEX('Lease Cycles'!$CI$17:$CO$17,1,DB163))^INT(INT(DB164/12)/INDEX('Lease Cycles'!$CP$17:$CV$17,1,DB163))/12),IF(INDEX('Lease Cycles'!$EF$17:$EL$17,1,DB163)=1,IF(AND('Lease Cycles'!$AZ$17&gt;=INDEX('Lease Cycles'!$BG$17:$BM$17,1,DB163),'Lease Cycles'!$AZ$17&lt;=DB$6),'Lease Cycles'!$C$17*'Lease Cycles'!$BA$17/12,IF(AND('Lease Cycles'!$AX$17&gt;=INDEX('Lease Cycles'!$BG$17:$BM$17,1,DB163),'Lease Cycles'!$AX$17&lt;=DB$6),'Lease Cycles'!$C$17*'Lease Cycles'!$AY$17/12,IF(AND('Lease Cycles'!$AV$17&gt;=INDEX('Lease Cycles'!$BG$17:$BM$17,1,DB163),'Lease Cycles'!$AV$17&lt;=DB$6),'Lease Cycles'!$C$17*'Lease Cycles'!$AW$17/12,IF(AND('Lease Cycles'!$AT$17&gt;=INDEX('Lease Cycles'!$BG$17:$BM$17,1,DB163),'Lease Cycles'!$AT$17&lt;=DB$6),'Lease Cycles'!$C$17*'Lease Cycles'!$AU$17/12,'Lease Cycles'!$C$17*INDEX('Lease Cycles'!$CB$17:$CH$17,1,DB163)*(1+INDEX('Lease Cycles'!$CI$17:$CO$17,1,DB163))^INT(INT(DB164/12)/INDEX('Lease Cycles'!$CP$17:$CV$17,1,DB163))/12)))),'Lease Cycles'!$C$17*INDEX('Lease Cycles'!$CB$17:$CH$17,1,DB163)*(1+INDEX('Lease Cycles'!$CI$17:$CO$17,1,DB163))^INT(INT(DB164/12)/INDEX('Lease Cycles'!$CP$17:$CV$17,1,DB163))/12))),IF('Lease Cycles'!$N$17=1,'Lease Cycles'!$C$17*'Lease Cycles'!$E$17*INDEX('Lease Cycles'!$HE$17:$HK$17,1,DB163)*(1+INDEX('Lease Cycles'!$GQ$17:$GW$17,1,DB163))^INT(INT((DB$6-INDEX('Lease Cycles'!$GJ$17:$GP$17,1,DB163))/12)/INDEX('Lease Cycles'!$GX$17:$HD$17,1,DB163))/12,0)))</f>
        <v>3010.603856981786</v>
      </c>
      <c r="DC166" s="28">
        <f>IF(DC163=0,IF('Lease Cycles'!$F$17&gt;0,'Lease Cycles'!$C$17*'Lease Cycles'!$E$17/12,0),IF(DC165=1,IF('Lease Cycles'!$AT$17&gt;=9999,'Lease Cycles'!$C$17*INDEX('Lease Cycles'!$CB$17:$CH$17,1,DC163)*(1+INDEX('Lease Cycles'!$CI$17:$CO$17,1,DC163))^INT(INT(DC164/12)/INDEX('Lease Cycles'!$CP$17:$CV$17,1,DC163))/12,IF(DC163=1,IF(DC164&gt;=INDEX('Lease Cycles'!$DK$17:$DQ$17,1,DC163),IF(DC$6&gt;='Lease Cycles'!$AZ$17,'Lease Cycles'!$C$17*'Lease Cycles'!$BA$17/12,IF(DC$6&gt;='Lease Cycles'!$AX$17,'Lease Cycles'!$C$17*'Lease Cycles'!$AY$17/12,IF(DC$6&gt;='Lease Cycles'!$AV$17,'Lease Cycles'!$C$17*'Lease Cycles'!$AW$17/12,IF(DC$6&gt;='Lease Cycles'!$AT$17,'Lease Cycles'!$C$17*'Lease Cycles'!$AU$17/12,'Lease Cycles'!$C$17*INDEX('Lease Cycles'!$CB$17:$CH$17,1,DC163)*(1+INDEX('Lease Cycles'!$CI$17:$CO$17,1,DC163))^INT(INT(DC164/12)/INDEX('Lease Cycles'!$CP$17:$CV$17,1,DC163))/12)))),'Lease Cycles'!$C$17*INDEX('Lease Cycles'!$CB$17:$CH$17,1,DC163)*(1+INDEX('Lease Cycles'!$CI$17:$CO$17,1,DC163))^INT(INT(DC164/12)/INDEX('Lease Cycles'!$CP$17:$CV$17,1,DC163))/12),IF(INDEX('Lease Cycles'!$EF$17:$EL$17,1,DC163)=1,IF(AND('Lease Cycles'!$AZ$17&gt;=INDEX('Lease Cycles'!$BG$17:$BM$17,1,DC163),'Lease Cycles'!$AZ$17&lt;=DC$6),'Lease Cycles'!$C$17*'Lease Cycles'!$BA$17/12,IF(AND('Lease Cycles'!$AX$17&gt;=INDEX('Lease Cycles'!$BG$17:$BM$17,1,DC163),'Lease Cycles'!$AX$17&lt;=DC$6),'Lease Cycles'!$C$17*'Lease Cycles'!$AY$17/12,IF(AND('Lease Cycles'!$AV$17&gt;=INDEX('Lease Cycles'!$BG$17:$BM$17,1,DC163),'Lease Cycles'!$AV$17&lt;=DC$6),'Lease Cycles'!$C$17*'Lease Cycles'!$AW$17/12,IF(AND('Lease Cycles'!$AT$17&gt;=INDEX('Lease Cycles'!$BG$17:$BM$17,1,DC163),'Lease Cycles'!$AT$17&lt;=DC$6),'Lease Cycles'!$C$17*'Lease Cycles'!$AU$17/12,'Lease Cycles'!$C$17*INDEX('Lease Cycles'!$CB$17:$CH$17,1,DC163)*(1+INDEX('Lease Cycles'!$CI$17:$CO$17,1,DC163))^INT(INT(DC164/12)/INDEX('Lease Cycles'!$CP$17:$CV$17,1,DC163))/12)))),'Lease Cycles'!$C$17*INDEX('Lease Cycles'!$CB$17:$CH$17,1,DC163)*(1+INDEX('Lease Cycles'!$CI$17:$CO$17,1,DC163))^INT(INT(DC164/12)/INDEX('Lease Cycles'!$CP$17:$CV$17,1,DC163))/12))),IF('Lease Cycles'!$N$17=1,'Lease Cycles'!$C$17*'Lease Cycles'!$E$17*INDEX('Lease Cycles'!$HE$17:$HK$17,1,DC163)*(1+INDEX('Lease Cycles'!$GQ$17:$GW$17,1,DC163))^INT(INT((DC$6-INDEX('Lease Cycles'!$GJ$17:$GP$17,1,DC163))/12)/INDEX('Lease Cycles'!$GX$17:$HD$17,1,DC163))/12,0)))</f>
        <v>3010.603856981786</v>
      </c>
      <c r="DD166" s="28">
        <f>IF(DD163=0,IF('Lease Cycles'!$F$17&gt;0,'Lease Cycles'!$C$17*'Lease Cycles'!$E$17/12,0),IF(DD165=1,IF('Lease Cycles'!$AT$17&gt;=9999,'Lease Cycles'!$C$17*INDEX('Lease Cycles'!$CB$17:$CH$17,1,DD163)*(1+INDEX('Lease Cycles'!$CI$17:$CO$17,1,DD163))^INT(INT(DD164/12)/INDEX('Lease Cycles'!$CP$17:$CV$17,1,DD163))/12,IF(DD163=1,IF(DD164&gt;=INDEX('Lease Cycles'!$DK$17:$DQ$17,1,DD163),IF(DD$6&gt;='Lease Cycles'!$AZ$17,'Lease Cycles'!$C$17*'Lease Cycles'!$BA$17/12,IF(DD$6&gt;='Lease Cycles'!$AX$17,'Lease Cycles'!$C$17*'Lease Cycles'!$AY$17/12,IF(DD$6&gt;='Lease Cycles'!$AV$17,'Lease Cycles'!$C$17*'Lease Cycles'!$AW$17/12,IF(DD$6&gt;='Lease Cycles'!$AT$17,'Lease Cycles'!$C$17*'Lease Cycles'!$AU$17/12,'Lease Cycles'!$C$17*INDEX('Lease Cycles'!$CB$17:$CH$17,1,DD163)*(1+INDEX('Lease Cycles'!$CI$17:$CO$17,1,DD163))^INT(INT(DD164/12)/INDEX('Lease Cycles'!$CP$17:$CV$17,1,DD163))/12)))),'Lease Cycles'!$C$17*INDEX('Lease Cycles'!$CB$17:$CH$17,1,DD163)*(1+INDEX('Lease Cycles'!$CI$17:$CO$17,1,DD163))^INT(INT(DD164/12)/INDEX('Lease Cycles'!$CP$17:$CV$17,1,DD163))/12),IF(INDEX('Lease Cycles'!$EF$17:$EL$17,1,DD163)=1,IF(AND('Lease Cycles'!$AZ$17&gt;=INDEX('Lease Cycles'!$BG$17:$BM$17,1,DD163),'Lease Cycles'!$AZ$17&lt;=DD$6),'Lease Cycles'!$C$17*'Lease Cycles'!$BA$17/12,IF(AND('Lease Cycles'!$AX$17&gt;=INDEX('Lease Cycles'!$BG$17:$BM$17,1,DD163),'Lease Cycles'!$AX$17&lt;=DD$6),'Lease Cycles'!$C$17*'Lease Cycles'!$AY$17/12,IF(AND('Lease Cycles'!$AV$17&gt;=INDEX('Lease Cycles'!$BG$17:$BM$17,1,DD163),'Lease Cycles'!$AV$17&lt;=DD$6),'Lease Cycles'!$C$17*'Lease Cycles'!$AW$17/12,IF(AND('Lease Cycles'!$AT$17&gt;=INDEX('Lease Cycles'!$BG$17:$BM$17,1,DD163),'Lease Cycles'!$AT$17&lt;=DD$6),'Lease Cycles'!$C$17*'Lease Cycles'!$AU$17/12,'Lease Cycles'!$C$17*INDEX('Lease Cycles'!$CB$17:$CH$17,1,DD163)*(1+INDEX('Lease Cycles'!$CI$17:$CO$17,1,DD163))^INT(INT(DD164/12)/INDEX('Lease Cycles'!$CP$17:$CV$17,1,DD163))/12)))),'Lease Cycles'!$C$17*INDEX('Lease Cycles'!$CB$17:$CH$17,1,DD163)*(1+INDEX('Lease Cycles'!$CI$17:$CO$17,1,DD163))^INT(INT(DD164/12)/INDEX('Lease Cycles'!$CP$17:$CV$17,1,DD163))/12))),IF('Lease Cycles'!$N$17=1,'Lease Cycles'!$C$17*'Lease Cycles'!$E$17*INDEX('Lease Cycles'!$HE$17:$HK$17,1,DD163)*(1+INDEX('Lease Cycles'!$GQ$17:$GW$17,1,DD163))^INT(INT((DD$6-INDEX('Lease Cycles'!$GJ$17:$GP$17,1,DD163))/12)/INDEX('Lease Cycles'!$GX$17:$HD$17,1,DD163))/12,0)))</f>
        <v>3010.603856981786</v>
      </c>
      <c r="DE166" s="28">
        <f>IF(DE163=0,IF('Lease Cycles'!$F$17&gt;0,'Lease Cycles'!$C$17*'Lease Cycles'!$E$17/12,0),IF(DE165=1,IF('Lease Cycles'!$AT$17&gt;=9999,'Lease Cycles'!$C$17*INDEX('Lease Cycles'!$CB$17:$CH$17,1,DE163)*(1+INDEX('Lease Cycles'!$CI$17:$CO$17,1,DE163))^INT(INT(DE164/12)/INDEX('Lease Cycles'!$CP$17:$CV$17,1,DE163))/12,IF(DE163=1,IF(DE164&gt;=INDEX('Lease Cycles'!$DK$17:$DQ$17,1,DE163),IF(DE$6&gt;='Lease Cycles'!$AZ$17,'Lease Cycles'!$C$17*'Lease Cycles'!$BA$17/12,IF(DE$6&gt;='Lease Cycles'!$AX$17,'Lease Cycles'!$C$17*'Lease Cycles'!$AY$17/12,IF(DE$6&gt;='Lease Cycles'!$AV$17,'Lease Cycles'!$C$17*'Lease Cycles'!$AW$17/12,IF(DE$6&gt;='Lease Cycles'!$AT$17,'Lease Cycles'!$C$17*'Lease Cycles'!$AU$17/12,'Lease Cycles'!$C$17*INDEX('Lease Cycles'!$CB$17:$CH$17,1,DE163)*(1+INDEX('Lease Cycles'!$CI$17:$CO$17,1,DE163))^INT(INT(DE164/12)/INDEX('Lease Cycles'!$CP$17:$CV$17,1,DE163))/12)))),'Lease Cycles'!$C$17*INDEX('Lease Cycles'!$CB$17:$CH$17,1,DE163)*(1+INDEX('Lease Cycles'!$CI$17:$CO$17,1,DE163))^INT(INT(DE164/12)/INDEX('Lease Cycles'!$CP$17:$CV$17,1,DE163))/12),IF(INDEX('Lease Cycles'!$EF$17:$EL$17,1,DE163)=1,IF(AND('Lease Cycles'!$AZ$17&gt;=INDEX('Lease Cycles'!$BG$17:$BM$17,1,DE163),'Lease Cycles'!$AZ$17&lt;=DE$6),'Lease Cycles'!$C$17*'Lease Cycles'!$BA$17/12,IF(AND('Lease Cycles'!$AX$17&gt;=INDEX('Lease Cycles'!$BG$17:$BM$17,1,DE163),'Lease Cycles'!$AX$17&lt;=DE$6),'Lease Cycles'!$C$17*'Lease Cycles'!$AY$17/12,IF(AND('Lease Cycles'!$AV$17&gt;=INDEX('Lease Cycles'!$BG$17:$BM$17,1,DE163),'Lease Cycles'!$AV$17&lt;=DE$6),'Lease Cycles'!$C$17*'Lease Cycles'!$AW$17/12,IF(AND('Lease Cycles'!$AT$17&gt;=INDEX('Lease Cycles'!$BG$17:$BM$17,1,DE163),'Lease Cycles'!$AT$17&lt;=DE$6),'Lease Cycles'!$C$17*'Lease Cycles'!$AU$17/12,'Lease Cycles'!$C$17*INDEX('Lease Cycles'!$CB$17:$CH$17,1,DE163)*(1+INDEX('Lease Cycles'!$CI$17:$CO$17,1,DE163))^INT(INT(DE164/12)/INDEX('Lease Cycles'!$CP$17:$CV$17,1,DE163))/12)))),'Lease Cycles'!$C$17*INDEX('Lease Cycles'!$CB$17:$CH$17,1,DE163)*(1+INDEX('Lease Cycles'!$CI$17:$CO$17,1,DE163))^INT(INT(DE164/12)/INDEX('Lease Cycles'!$CP$17:$CV$17,1,DE163))/12))),IF('Lease Cycles'!$N$17=1,'Lease Cycles'!$C$17*'Lease Cycles'!$E$17*INDEX('Lease Cycles'!$HE$17:$HK$17,1,DE163)*(1+INDEX('Lease Cycles'!$GQ$17:$GW$17,1,DE163))^INT(INT((DE$6-INDEX('Lease Cycles'!$GJ$17:$GP$17,1,DE163))/12)/INDEX('Lease Cycles'!$GX$17:$HD$17,1,DE163))/12,0)))</f>
        <v>3010.603856981786</v>
      </c>
      <c r="DF166" s="28">
        <f>IF(DF163=0,IF('Lease Cycles'!$F$17&gt;0,'Lease Cycles'!$C$17*'Lease Cycles'!$E$17/12,0),IF(DF165=1,IF('Lease Cycles'!$AT$17&gt;=9999,'Lease Cycles'!$C$17*INDEX('Lease Cycles'!$CB$17:$CH$17,1,DF163)*(1+INDEX('Lease Cycles'!$CI$17:$CO$17,1,DF163))^INT(INT(DF164/12)/INDEX('Lease Cycles'!$CP$17:$CV$17,1,DF163))/12,IF(DF163=1,IF(DF164&gt;=INDEX('Lease Cycles'!$DK$17:$DQ$17,1,DF163),IF(DF$6&gt;='Lease Cycles'!$AZ$17,'Lease Cycles'!$C$17*'Lease Cycles'!$BA$17/12,IF(DF$6&gt;='Lease Cycles'!$AX$17,'Lease Cycles'!$C$17*'Lease Cycles'!$AY$17/12,IF(DF$6&gt;='Lease Cycles'!$AV$17,'Lease Cycles'!$C$17*'Lease Cycles'!$AW$17/12,IF(DF$6&gt;='Lease Cycles'!$AT$17,'Lease Cycles'!$C$17*'Lease Cycles'!$AU$17/12,'Lease Cycles'!$C$17*INDEX('Lease Cycles'!$CB$17:$CH$17,1,DF163)*(1+INDEX('Lease Cycles'!$CI$17:$CO$17,1,DF163))^INT(INT(DF164/12)/INDEX('Lease Cycles'!$CP$17:$CV$17,1,DF163))/12)))),'Lease Cycles'!$C$17*INDEX('Lease Cycles'!$CB$17:$CH$17,1,DF163)*(1+INDEX('Lease Cycles'!$CI$17:$CO$17,1,DF163))^INT(INT(DF164/12)/INDEX('Lease Cycles'!$CP$17:$CV$17,1,DF163))/12),IF(INDEX('Lease Cycles'!$EF$17:$EL$17,1,DF163)=1,IF(AND('Lease Cycles'!$AZ$17&gt;=INDEX('Lease Cycles'!$BG$17:$BM$17,1,DF163),'Lease Cycles'!$AZ$17&lt;=DF$6),'Lease Cycles'!$C$17*'Lease Cycles'!$BA$17/12,IF(AND('Lease Cycles'!$AX$17&gt;=INDEX('Lease Cycles'!$BG$17:$BM$17,1,DF163),'Lease Cycles'!$AX$17&lt;=DF$6),'Lease Cycles'!$C$17*'Lease Cycles'!$AY$17/12,IF(AND('Lease Cycles'!$AV$17&gt;=INDEX('Lease Cycles'!$BG$17:$BM$17,1,DF163),'Lease Cycles'!$AV$17&lt;=DF$6),'Lease Cycles'!$C$17*'Lease Cycles'!$AW$17/12,IF(AND('Lease Cycles'!$AT$17&gt;=INDEX('Lease Cycles'!$BG$17:$BM$17,1,DF163),'Lease Cycles'!$AT$17&lt;=DF$6),'Lease Cycles'!$C$17*'Lease Cycles'!$AU$17/12,'Lease Cycles'!$C$17*INDEX('Lease Cycles'!$CB$17:$CH$17,1,DF163)*(1+INDEX('Lease Cycles'!$CI$17:$CO$17,1,DF163))^INT(INT(DF164/12)/INDEX('Lease Cycles'!$CP$17:$CV$17,1,DF163))/12)))),'Lease Cycles'!$C$17*INDEX('Lease Cycles'!$CB$17:$CH$17,1,DF163)*(1+INDEX('Lease Cycles'!$CI$17:$CO$17,1,DF163))^INT(INT(DF164/12)/INDEX('Lease Cycles'!$CP$17:$CV$17,1,DF163))/12))),IF('Lease Cycles'!$N$17=1,'Lease Cycles'!$C$17*'Lease Cycles'!$E$17*INDEX('Lease Cycles'!$HE$17:$HK$17,1,DF163)*(1+INDEX('Lease Cycles'!$GQ$17:$GW$17,1,DF163))^INT(INT((DF$6-INDEX('Lease Cycles'!$GJ$17:$GP$17,1,DF163))/12)/INDEX('Lease Cycles'!$GX$17:$HD$17,1,DF163))/12,0)))</f>
        <v>3010.603856981786</v>
      </c>
      <c r="DG166" s="28">
        <f>IF(DG163=0,IF('Lease Cycles'!$F$17&gt;0,'Lease Cycles'!$C$17*'Lease Cycles'!$E$17/12,0),IF(DG165=1,IF('Lease Cycles'!$AT$17&gt;=9999,'Lease Cycles'!$C$17*INDEX('Lease Cycles'!$CB$17:$CH$17,1,DG163)*(1+INDEX('Lease Cycles'!$CI$17:$CO$17,1,DG163))^INT(INT(DG164/12)/INDEX('Lease Cycles'!$CP$17:$CV$17,1,DG163))/12,IF(DG163=1,IF(DG164&gt;=INDEX('Lease Cycles'!$DK$17:$DQ$17,1,DG163),IF(DG$6&gt;='Lease Cycles'!$AZ$17,'Lease Cycles'!$C$17*'Lease Cycles'!$BA$17/12,IF(DG$6&gt;='Lease Cycles'!$AX$17,'Lease Cycles'!$C$17*'Lease Cycles'!$AY$17/12,IF(DG$6&gt;='Lease Cycles'!$AV$17,'Lease Cycles'!$C$17*'Lease Cycles'!$AW$17/12,IF(DG$6&gt;='Lease Cycles'!$AT$17,'Lease Cycles'!$C$17*'Lease Cycles'!$AU$17/12,'Lease Cycles'!$C$17*INDEX('Lease Cycles'!$CB$17:$CH$17,1,DG163)*(1+INDEX('Lease Cycles'!$CI$17:$CO$17,1,DG163))^INT(INT(DG164/12)/INDEX('Lease Cycles'!$CP$17:$CV$17,1,DG163))/12)))),'Lease Cycles'!$C$17*INDEX('Lease Cycles'!$CB$17:$CH$17,1,DG163)*(1+INDEX('Lease Cycles'!$CI$17:$CO$17,1,DG163))^INT(INT(DG164/12)/INDEX('Lease Cycles'!$CP$17:$CV$17,1,DG163))/12),IF(INDEX('Lease Cycles'!$EF$17:$EL$17,1,DG163)=1,IF(AND('Lease Cycles'!$AZ$17&gt;=INDEX('Lease Cycles'!$BG$17:$BM$17,1,DG163),'Lease Cycles'!$AZ$17&lt;=DG$6),'Lease Cycles'!$C$17*'Lease Cycles'!$BA$17/12,IF(AND('Lease Cycles'!$AX$17&gt;=INDEX('Lease Cycles'!$BG$17:$BM$17,1,DG163),'Lease Cycles'!$AX$17&lt;=DG$6),'Lease Cycles'!$C$17*'Lease Cycles'!$AY$17/12,IF(AND('Lease Cycles'!$AV$17&gt;=INDEX('Lease Cycles'!$BG$17:$BM$17,1,DG163),'Lease Cycles'!$AV$17&lt;=DG$6),'Lease Cycles'!$C$17*'Lease Cycles'!$AW$17/12,IF(AND('Lease Cycles'!$AT$17&gt;=INDEX('Lease Cycles'!$BG$17:$BM$17,1,DG163),'Lease Cycles'!$AT$17&lt;=DG$6),'Lease Cycles'!$C$17*'Lease Cycles'!$AU$17/12,'Lease Cycles'!$C$17*INDEX('Lease Cycles'!$CB$17:$CH$17,1,DG163)*(1+INDEX('Lease Cycles'!$CI$17:$CO$17,1,DG163))^INT(INT(DG164/12)/INDEX('Lease Cycles'!$CP$17:$CV$17,1,DG163))/12)))),'Lease Cycles'!$C$17*INDEX('Lease Cycles'!$CB$17:$CH$17,1,DG163)*(1+INDEX('Lease Cycles'!$CI$17:$CO$17,1,DG163))^INT(INT(DG164/12)/INDEX('Lease Cycles'!$CP$17:$CV$17,1,DG163))/12))),IF('Lease Cycles'!$N$17=1,'Lease Cycles'!$C$17*'Lease Cycles'!$E$17*INDEX('Lease Cycles'!$HE$17:$HK$17,1,DG163)*(1+INDEX('Lease Cycles'!$GQ$17:$GW$17,1,DG163))^INT(INT((DG$6-INDEX('Lease Cycles'!$GJ$17:$GP$17,1,DG163))/12)/INDEX('Lease Cycles'!$GX$17:$HD$17,1,DG163))/12,0)))</f>
        <v>3010.603856981786</v>
      </c>
      <c r="DH166" s="28">
        <f>IF(DH163=0,IF('Lease Cycles'!$F$17&gt;0,'Lease Cycles'!$C$17*'Lease Cycles'!$E$17/12,0),IF(DH165=1,IF('Lease Cycles'!$AT$17&gt;=9999,'Lease Cycles'!$C$17*INDEX('Lease Cycles'!$CB$17:$CH$17,1,DH163)*(1+INDEX('Lease Cycles'!$CI$17:$CO$17,1,DH163))^INT(INT(DH164/12)/INDEX('Lease Cycles'!$CP$17:$CV$17,1,DH163))/12,IF(DH163=1,IF(DH164&gt;=INDEX('Lease Cycles'!$DK$17:$DQ$17,1,DH163),IF(DH$6&gt;='Lease Cycles'!$AZ$17,'Lease Cycles'!$C$17*'Lease Cycles'!$BA$17/12,IF(DH$6&gt;='Lease Cycles'!$AX$17,'Lease Cycles'!$C$17*'Lease Cycles'!$AY$17/12,IF(DH$6&gt;='Lease Cycles'!$AV$17,'Lease Cycles'!$C$17*'Lease Cycles'!$AW$17/12,IF(DH$6&gt;='Lease Cycles'!$AT$17,'Lease Cycles'!$C$17*'Lease Cycles'!$AU$17/12,'Lease Cycles'!$C$17*INDEX('Lease Cycles'!$CB$17:$CH$17,1,DH163)*(1+INDEX('Lease Cycles'!$CI$17:$CO$17,1,DH163))^INT(INT(DH164/12)/INDEX('Lease Cycles'!$CP$17:$CV$17,1,DH163))/12)))),'Lease Cycles'!$C$17*INDEX('Lease Cycles'!$CB$17:$CH$17,1,DH163)*(1+INDEX('Lease Cycles'!$CI$17:$CO$17,1,DH163))^INT(INT(DH164/12)/INDEX('Lease Cycles'!$CP$17:$CV$17,1,DH163))/12),IF(INDEX('Lease Cycles'!$EF$17:$EL$17,1,DH163)=1,IF(AND('Lease Cycles'!$AZ$17&gt;=INDEX('Lease Cycles'!$BG$17:$BM$17,1,DH163),'Lease Cycles'!$AZ$17&lt;=DH$6),'Lease Cycles'!$C$17*'Lease Cycles'!$BA$17/12,IF(AND('Lease Cycles'!$AX$17&gt;=INDEX('Lease Cycles'!$BG$17:$BM$17,1,DH163),'Lease Cycles'!$AX$17&lt;=DH$6),'Lease Cycles'!$C$17*'Lease Cycles'!$AY$17/12,IF(AND('Lease Cycles'!$AV$17&gt;=INDEX('Lease Cycles'!$BG$17:$BM$17,1,DH163),'Lease Cycles'!$AV$17&lt;=DH$6),'Lease Cycles'!$C$17*'Lease Cycles'!$AW$17/12,IF(AND('Lease Cycles'!$AT$17&gt;=INDEX('Lease Cycles'!$BG$17:$BM$17,1,DH163),'Lease Cycles'!$AT$17&lt;=DH$6),'Lease Cycles'!$C$17*'Lease Cycles'!$AU$17/12,'Lease Cycles'!$C$17*INDEX('Lease Cycles'!$CB$17:$CH$17,1,DH163)*(1+INDEX('Lease Cycles'!$CI$17:$CO$17,1,DH163))^INT(INT(DH164/12)/INDEX('Lease Cycles'!$CP$17:$CV$17,1,DH163))/12)))),'Lease Cycles'!$C$17*INDEX('Lease Cycles'!$CB$17:$CH$17,1,DH163)*(1+INDEX('Lease Cycles'!$CI$17:$CO$17,1,DH163))^INT(INT(DH164/12)/INDEX('Lease Cycles'!$CP$17:$CV$17,1,DH163))/12))),IF('Lease Cycles'!$N$17=1,'Lease Cycles'!$C$17*'Lease Cycles'!$E$17*INDEX('Lease Cycles'!$HE$17:$HK$17,1,DH163)*(1+INDEX('Lease Cycles'!$GQ$17:$GW$17,1,DH163))^INT(INT((DH$6-INDEX('Lease Cycles'!$GJ$17:$GP$17,1,DH163))/12)/INDEX('Lease Cycles'!$GX$17:$HD$17,1,DH163))/12,0)))</f>
        <v>3899.2342791957376</v>
      </c>
      <c r="DI166" s="28">
        <f>IF(DI163=0,IF('Lease Cycles'!$F$17&gt;0,'Lease Cycles'!$C$17*'Lease Cycles'!$E$17/12,0),IF(DI165=1,IF('Lease Cycles'!$AT$17&gt;=9999,'Lease Cycles'!$C$17*INDEX('Lease Cycles'!$CB$17:$CH$17,1,DI163)*(1+INDEX('Lease Cycles'!$CI$17:$CO$17,1,DI163))^INT(INT(DI164/12)/INDEX('Lease Cycles'!$CP$17:$CV$17,1,DI163))/12,IF(DI163=1,IF(DI164&gt;=INDEX('Lease Cycles'!$DK$17:$DQ$17,1,DI163),IF(DI$6&gt;='Lease Cycles'!$AZ$17,'Lease Cycles'!$C$17*'Lease Cycles'!$BA$17/12,IF(DI$6&gt;='Lease Cycles'!$AX$17,'Lease Cycles'!$C$17*'Lease Cycles'!$AY$17/12,IF(DI$6&gt;='Lease Cycles'!$AV$17,'Lease Cycles'!$C$17*'Lease Cycles'!$AW$17/12,IF(DI$6&gt;='Lease Cycles'!$AT$17,'Lease Cycles'!$C$17*'Lease Cycles'!$AU$17/12,'Lease Cycles'!$C$17*INDEX('Lease Cycles'!$CB$17:$CH$17,1,DI163)*(1+INDEX('Lease Cycles'!$CI$17:$CO$17,1,DI163))^INT(INT(DI164/12)/INDEX('Lease Cycles'!$CP$17:$CV$17,1,DI163))/12)))),'Lease Cycles'!$C$17*INDEX('Lease Cycles'!$CB$17:$CH$17,1,DI163)*(1+INDEX('Lease Cycles'!$CI$17:$CO$17,1,DI163))^INT(INT(DI164/12)/INDEX('Lease Cycles'!$CP$17:$CV$17,1,DI163))/12),IF(INDEX('Lease Cycles'!$EF$17:$EL$17,1,DI163)=1,IF(AND('Lease Cycles'!$AZ$17&gt;=INDEX('Lease Cycles'!$BG$17:$BM$17,1,DI163),'Lease Cycles'!$AZ$17&lt;=DI$6),'Lease Cycles'!$C$17*'Lease Cycles'!$BA$17/12,IF(AND('Lease Cycles'!$AX$17&gt;=INDEX('Lease Cycles'!$BG$17:$BM$17,1,DI163),'Lease Cycles'!$AX$17&lt;=DI$6),'Lease Cycles'!$C$17*'Lease Cycles'!$AY$17/12,IF(AND('Lease Cycles'!$AV$17&gt;=INDEX('Lease Cycles'!$BG$17:$BM$17,1,DI163),'Lease Cycles'!$AV$17&lt;=DI$6),'Lease Cycles'!$C$17*'Lease Cycles'!$AW$17/12,IF(AND('Lease Cycles'!$AT$17&gt;=INDEX('Lease Cycles'!$BG$17:$BM$17,1,DI163),'Lease Cycles'!$AT$17&lt;=DI$6),'Lease Cycles'!$C$17*'Lease Cycles'!$AU$17/12,'Lease Cycles'!$C$17*INDEX('Lease Cycles'!$CB$17:$CH$17,1,DI163)*(1+INDEX('Lease Cycles'!$CI$17:$CO$17,1,DI163))^INT(INT(DI164/12)/INDEX('Lease Cycles'!$CP$17:$CV$17,1,DI163))/12)))),'Lease Cycles'!$C$17*INDEX('Lease Cycles'!$CB$17:$CH$17,1,DI163)*(1+INDEX('Lease Cycles'!$CI$17:$CO$17,1,DI163))^INT(INT(DI164/12)/INDEX('Lease Cycles'!$CP$17:$CV$17,1,DI163))/12))),IF('Lease Cycles'!$N$17=1,'Lease Cycles'!$C$17*'Lease Cycles'!$E$17*INDEX('Lease Cycles'!$HE$17:$HK$17,1,DI163)*(1+INDEX('Lease Cycles'!$GQ$17:$GW$17,1,DI163))^INT(INT((DI$6-INDEX('Lease Cycles'!$GJ$17:$GP$17,1,DI163))/12)/INDEX('Lease Cycles'!$GX$17:$HD$17,1,DI163))/12,0)))</f>
        <v>3041.170763201854</v>
      </c>
      <c r="DJ166" s="28">
        <f>IF(DJ163=0,IF('Lease Cycles'!$F$17&gt;0,'Lease Cycles'!$C$17*'Lease Cycles'!$E$17/12,0),IF(DJ165=1,IF('Lease Cycles'!$AT$17&gt;=9999,'Lease Cycles'!$C$17*INDEX('Lease Cycles'!$CB$17:$CH$17,1,DJ163)*(1+INDEX('Lease Cycles'!$CI$17:$CO$17,1,DJ163))^INT(INT(DJ164/12)/INDEX('Lease Cycles'!$CP$17:$CV$17,1,DJ163))/12,IF(DJ163=1,IF(DJ164&gt;=INDEX('Lease Cycles'!$DK$17:$DQ$17,1,DJ163),IF(DJ$6&gt;='Lease Cycles'!$AZ$17,'Lease Cycles'!$C$17*'Lease Cycles'!$BA$17/12,IF(DJ$6&gt;='Lease Cycles'!$AX$17,'Lease Cycles'!$C$17*'Lease Cycles'!$AY$17/12,IF(DJ$6&gt;='Lease Cycles'!$AV$17,'Lease Cycles'!$C$17*'Lease Cycles'!$AW$17/12,IF(DJ$6&gt;='Lease Cycles'!$AT$17,'Lease Cycles'!$C$17*'Lease Cycles'!$AU$17/12,'Lease Cycles'!$C$17*INDEX('Lease Cycles'!$CB$17:$CH$17,1,DJ163)*(1+INDEX('Lease Cycles'!$CI$17:$CO$17,1,DJ163))^INT(INT(DJ164/12)/INDEX('Lease Cycles'!$CP$17:$CV$17,1,DJ163))/12)))),'Lease Cycles'!$C$17*INDEX('Lease Cycles'!$CB$17:$CH$17,1,DJ163)*(1+INDEX('Lease Cycles'!$CI$17:$CO$17,1,DJ163))^INT(INT(DJ164/12)/INDEX('Lease Cycles'!$CP$17:$CV$17,1,DJ163))/12),IF(INDEX('Lease Cycles'!$EF$17:$EL$17,1,DJ163)=1,IF(AND('Lease Cycles'!$AZ$17&gt;=INDEX('Lease Cycles'!$BG$17:$BM$17,1,DJ163),'Lease Cycles'!$AZ$17&lt;=DJ$6),'Lease Cycles'!$C$17*'Lease Cycles'!$BA$17/12,IF(AND('Lease Cycles'!$AX$17&gt;=INDEX('Lease Cycles'!$BG$17:$BM$17,1,DJ163),'Lease Cycles'!$AX$17&lt;=DJ$6),'Lease Cycles'!$C$17*'Lease Cycles'!$AY$17/12,IF(AND('Lease Cycles'!$AV$17&gt;=INDEX('Lease Cycles'!$BG$17:$BM$17,1,DJ163),'Lease Cycles'!$AV$17&lt;=DJ$6),'Lease Cycles'!$C$17*'Lease Cycles'!$AW$17/12,IF(AND('Lease Cycles'!$AT$17&gt;=INDEX('Lease Cycles'!$BG$17:$BM$17,1,DJ163),'Lease Cycles'!$AT$17&lt;=DJ$6),'Lease Cycles'!$C$17*'Lease Cycles'!$AU$17/12,'Lease Cycles'!$C$17*INDEX('Lease Cycles'!$CB$17:$CH$17,1,DJ163)*(1+INDEX('Lease Cycles'!$CI$17:$CO$17,1,DJ163))^INT(INT(DJ164/12)/INDEX('Lease Cycles'!$CP$17:$CV$17,1,DJ163))/12)))),'Lease Cycles'!$C$17*INDEX('Lease Cycles'!$CB$17:$CH$17,1,DJ163)*(1+INDEX('Lease Cycles'!$CI$17:$CO$17,1,DJ163))^INT(INT(DJ164/12)/INDEX('Lease Cycles'!$CP$17:$CV$17,1,DJ163))/12))),IF('Lease Cycles'!$N$17=1,'Lease Cycles'!$C$17*'Lease Cycles'!$E$17*INDEX('Lease Cycles'!$HE$17:$HK$17,1,DJ163)*(1+INDEX('Lease Cycles'!$GQ$17:$GW$17,1,DJ163))^INT(INT((DJ$6-INDEX('Lease Cycles'!$GJ$17:$GP$17,1,DJ163))/12)/INDEX('Lease Cycles'!$GX$17:$HD$17,1,DJ163))/12,0)))</f>
        <v>3041.170763201854</v>
      </c>
      <c r="DK166" s="28">
        <f>IF(DK163=0,IF('Lease Cycles'!$F$17&gt;0,'Lease Cycles'!$C$17*'Lease Cycles'!$E$17/12,0),IF(DK165=1,IF('Lease Cycles'!$AT$17&gt;=9999,'Lease Cycles'!$C$17*INDEX('Lease Cycles'!$CB$17:$CH$17,1,DK163)*(1+INDEX('Lease Cycles'!$CI$17:$CO$17,1,DK163))^INT(INT(DK164/12)/INDEX('Lease Cycles'!$CP$17:$CV$17,1,DK163))/12,IF(DK163=1,IF(DK164&gt;=INDEX('Lease Cycles'!$DK$17:$DQ$17,1,DK163),IF(DK$6&gt;='Lease Cycles'!$AZ$17,'Lease Cycles'!$C$17*'Lease Cycles'!$BA$17/12,IF(DK$6&gt;='Lease Cycles'!$AX$17,'Lease Cycles'!$C$17*'Lease Cycles'!$AY$17/12,IF(DK$6&gt;='Lease Cycles'!$AV$17,'Lease Cycles'!$C$17*'Lease Cycles'!$AW$17/12,IF(DK$6&gt;='Lease Cycles'!$AT$17,'Lease Cycles'!$C$17*'Lease Cycles'!$AU$17/12,'Lease Cycles'!$C$17*INDEX('Lease Cycles'!$CB$17:$CH$17,1,DK163)*(1+INDEX('Lease Cycles'!$CI$17:$CO$17,1,DK163))^INT(INT(DK164/12)/INDEX('Lease Cycles'!$CP$17:$CV$17,1,DK163))/12)))),'Lease Cycles'!$C$17*INDEX('Lease Cycles'!$CB$17:$CH$17,1,DK163)*(1+INDEX('Lease Cycles'!$CI$17:$CO$17,1,DK163))^INT(INT(DK164/12)/INDEX('Lease Cycles'!$CP$17:$CV$17,1,DK163))/12),IF(INDEX('Lease Cycles'!$EF$17:$EL$17,1,DK163)=1,IF(AND('Lease Cycles'!$AZ$17&gt;=INDEX('Lease Cycles'!$BG$17:$BM$17,1,DK163),'Lease Cycles'!$AZ$17&lt;=DK$6),'Lease Cycles'!$C$17*'Lease Cycles'!$BA$17/12,IF(AND('Lease Cycles'!$AX$17&gt;=INDEX('Lease Cycles'!$BG$17:$BM$17,1,DK163),'Lease Cycles'!$AX$17&lt;=DK$6),'Lease Cycles'!$C$17*'Lease Cycles'!$AY$17/12,IF(AND('Lease Cycles'!$AV$17&gt;=INDEX('Lease Cycles'!$BG$17:$BM$17,1,DK163),'Lease Cycles'!$AV$17&lt;=DK$6),'Lease Cycles'!$C$17*'Lease Cycles'!$AW$17/12,IF(AND('Lease Cycles'!$AT$17&gt;=INDEX('Lease Cycles'!$BG$17:$BM$17,1,DK163),'Lease Cycles'!$AT$17&lt;=DK$6),'Lease Cycles'!$C$17*'Lease Cycles'!$AU$17/12,'Lease Cycles'!$C$17*INDEX('Lease Cycles'!$CB$17:$CH$17,1,DK163)*(1+INDEX('Lease Cycles'!$CI$17:$CO$17,1,DK163))^INT(INT(DK164/12)/INDEX('Lease Cycles'!$CP$17:$CV$17,1,DK163))/12)))),'Lease Cycles'!$C$17*INDEX('Lease Cycles'!$CB$17:$CH$17,1,DK163)*(1+INDEX('Lease Cycles'!$CI$17:$CO$17,1,DK163))^INT(INT(DK164/12)/INDEX('Lease Cycles'!$CP$17:$CV$17,1,DK163))/12))),IF('Lease Cycles'!$N$17=1,'Lease Cycles'!$C$17*'Lease Cycles'!$E$17*INDEX('Lease Cycles'!$HE$17:$HK$17,1,DK163)*(1+INDEX('Lease Cycles'!$GQ$17:$GW$17,1,DK163))^INT(INT((DK$6-INDEX('Lease Cycles'!$GJ$17:$GP$17,1,DK163))/12)/INDEX('Lease Cycles'!$GX$17:$HD$17,1,DK163))/12,0)))</f>
        <v>3041.170763201854</v>
      </c>
      <c r="DL166" s="28">
        <f>IF(DL163=0,IF('Lease Cycles'!$F$17&gt;0,'Lease Cycles'!$C$17*'Lease Cycles'!$E$17/12,0),IF(DL165=1,IF('Lease Cycles'!$AT$17&gt;=9999,'Lease Cycles'!$C$17*INDEX('Lease Cycles'!$CB$17:$CH$17,1,DL163)*(1+INDEX('Lease Cycles'!$CI$17:$CO$17,1,DL163))^INT(INT(DL164/12)/INDEX('Lease Cycles'!$CP$17:$CV$17,1,DL163))/12,IF(DL163=1,IF(DL164&gt;=INDEX('Lease Cycles'!$DK$17:$DQ$17,1,DL163),IF(DL$6&gt;='Lease Cycles'!$AZ$17,'Lease Cycles'!$C$17*'Lease Cycles'!$BA$17/12,IF(DL$6&gt;='Lease Cycles'!$AX$17,'Lease Cycles'!$C$17*'Lease Cycles'!$AY$17/12,IF(DL$6&gt;='Lease Cycles'!$AV$17,'Lease Cycles'!$C$17*'Lease Cycles'!$AW$17/12,IF(DL$6&gt;='Lease Cycles'!$AT$17,'Lease Cycles'!$C$17*'Lease Cycles'!$AU$17/12,'Lease Cycles'!$C$17*INDEX('Lease Cycles'!$CB$17:$CH$17,1,DL163)*(1+INDEX('Lease Cycles'!$CI$17:$CO$17,1,DL163))^INT(INT(DL164/12)/INDEX('Lease Cycles'!$CP$17:$CV$17,1,DL163))/12)))),'Lease Cycles'!$C$17*INDEX('Lease Cycles'!$CB$17:$CH$17,1,DL163)*(1+INDEX('Lease Cycles'!$CI$17:$CO$17,1,DL163))^INT(INT(DL164/12)/INDEX('Lease Cycles'!$CP$17:$CV$17,1,DL163))/12),IF(INDEX('Lease Cycles'!$EF$17:$EL$17,1,DL163)=1,IF(AND('Lease Cycles'!$AZ$17&gt;=INDEX('Lease Cycles'!$BG$17:$BM$17,1,DL163),'Lease Cycles'!$AZ$17&lt;=DL$6),'Lease Cycles'!$C$17*'Lease Cycles'!$BA$17/12,IF(AND('Lease Cycles'!$AX$17&gt;=INDEX('Lease Cycles'!$BG$17:$BM$17,1,DL163),'Lease Cycles'!$AX$17&lt;=DL$6),'Lease Cycles'!$C$17*'Lease Cycles'!$AY$17/12,IF(AND('Lease Cycles'!$AV$17&gt;=INDEX('Lease Cycles'!$BG$17:$BM$17,1,DL163),'Lease Cycles'!$AV$17&lt;=DL$6),'Lease Cycles'!$C$17*'Lease Cycles'!$AW$17/12,IF(AND('Lease Cycles'!$AT$17&gt;=INDEX('Lease Cycles'!$BG$17:$BM$17,1,DL163),'Lease Cycles'!$AT$17&lt;=DL$6),'Lease Cycles'!$C$17*'Lease Cycles'!$AU$17/12,'Lease Cycles'!$C$17*INDEX('Lease Cycles'!$CB$17:$CH$17,1,DL163)*(1+INDEX('Lease Cycles'!$CI$17:$CO$17,1,DL163))^INT(INT(DL164/12)/INDEX('Lease Cycles'!$CP$17:$CV$17,1,DL163))/12)))),'Lease Cycles'!$C$17*INDEX('Lease Cycles'!$CB$17:$CH$17,1,DL163)*(1+INDEX('Lease Cycles'!$CI$17:$CO$17,1,DL163))^INT(INT(DL164/12)/INDEX('Lease Cycles'!$CP$17:$CV$17,1,DL163))/12))),IF('Lease Cycles'!$N$17=1,'Lease Cycles'!$C$17*'Lease Cycles'!$E$17*INDEX('Lease Cycles'!$HE$17:$HK$17,1,DL163)*(1+INDEX('Lease Cycles'!$GQ$17:$GW$17,1,DL163))^INT(INT((DL$6-INDEX('Lease Cycles'!$GJ$17:$GP$17,1,DL163))/12)/INDEX('Lease Cycles'!$GX$17:$HD$17,1,DL163))/12,0)))</f>
        <v>3041.170763201854</v>
      </c>
      <c r="DM166" s="28">
        <f>IF(DM163=0,IF('Lease Cycles'!$F$17&gt;0,'Lease Cycles'!$C$17*'Lease Cycles'!$E$17/12,0),IF(DM165=1,IF('Lease Cycles'!$AT$17&gt;=9999,'Lease Cycles'!$C$17*INDEX('Lease Cycles'!$CB$17:$CH$17,1,DM163)*(1+INDEX('Lease Cycles'!$CI$17:$CO$17,1,DM163))^INT(INT(DM164/12)/INDEX('Lease Cycles'!$CP$17:$CV$17,1,DM163))/12,IF(DM163=1,IF(DM164&gt;=INDEX('Lease Cycles'!$DK$17:$DQ$17,1,DM163),IF(DM$6&gt;='Lease Cycles'!$AZ$17,'Lease Cycles'!$C$17*'Lease Cycles'!$BA$17/12,IF(DM$6&gt;='Lease Cycles'!$AX$17,'Lease Cycles'!$C$17*'Lease Cycles'!$AY$17/12,IF(DM$6&gt;='Lease Cycles'!$AV$17,'Lease Cycles'!$C$17*'Lease Cycles'!$AW$17/12,IF(DM$6&gt;='Lease Cycles'!$AT$17,'Lease Cycles'!$C$17*'Lease Cycles'!$AU$17/12,'Lease Cycles'!$C$17*INDEX('Lease Cycles'!$CB$17:$CH$17,1,DM163)*(1+INDEX('Lease Cycles'!$CI$17:$CO$17,1,DM163))^INT(INT(DM164/12)/INDEX('Lease Cycles'!$CP$17:$CV$17,1,DM163))/12)))),'Lease Cycles'!$C$17*INDEX('Lease Cycles'!$CB$17:$CH$17,1,DM163)*(1+INDEX('Lease Cycles'!$CI$17:$CO$17,1,DM163))^INT(INT(DM164/12)/INDEX('Lease Cycles'!$CP$17:$CV$17,1,DM163))/12),IF(INDEX('Lease Cycles'!$EF$17:$EL$17,1,DM163)=1,IF(AND('Lease Cycles'!$AZ$17&gt;=INDEX('Lease Cycles'!$BG$17:$BM$17,1,DM163),'Lease Cycles'!$AZ$17&lt;=DM$6),'Lease Cycles'!$C$17*'Lease Cycles'!$BA$17/12,IF(AND('Lease Cycles'!$AX$17&gt;=INDEX('Lease Cycles'!$BG$17:$BM$17,1,DM163),'Lease Cycles'!$AX$17&lt;=DM$6),'Lease Cycles'!$C$17*'Lease Cycles'!$AY$17/12,IF(AND('Lease Cycles'!$AV$17&gt;=INDEX('Lease Cycles'!$BG$17:$BM$17,1,DM163),'Lease Cycles'!$AV$17&lt;=DM$6),'Lease Cycles'!$C$17*'Lease Cycles'!$AW$17/12,IF(AND('Lease Cycles'!$AT$17&gt;=INDEX('Lease Cycles'!$BG$17:$BM$17,1,DM163),'Lease Cycles'!$AT$17&lt;=DM$6),'Lease Cycles'!$C$17*'Lease Cycles'!$AU$17/12,'Lease Cycles'!$C$17*INDEX('Lease Cycles'!$CB$17:$CH$17,1,DM163)*(1+INDEX('Lease Cycles'!$CI$17:$CO$17,1,DM163))^INT(INT(DM164/12)/INDEX('Lease Cycles'!$CP$17:$CV$17,1,DM163))/12)))),'Lease Cycles'!$C$17*INDEX('Lease Cycles'!$CB$17:$CH$17,1,DM163)*(1+INDEX('Lease Cycles'!$CI$17:$CO$17,1,DM163))^INT(INT(DM164/12)/INDEX('Lease Cycles'!$CP$17:$CV$17,1,DM163))/12))),IF('Lease Cycles'!$N$17=1,'Lease Cycles'!$C$17*'Lease Cycles'!$E$17*INDEX('Lease Cycles'!$HE$17:$HK$17,1,DM163)*(1+INDEX('Lease Cycles'!$GQ$17:$GW$17,1,DM163))^INT(INT((DM$6-INDEX('Lease Cycles'!$GJ$17:$GP$17,1,DM163))/12)/INDEX('Lease Cycles'!$GX$17:$HD$17,1,DM163))/12,0)))</f>
        <v>3041.170763201854</v>
      </c>
      <c r="DN166" s="28">
        <f>IF(DN163=0,IF('Lease Cycles'!$F$17&gt;0,'Lease Cycles'!$C$17*'Lease Cycles'!$E$17/12,0),IF(DN165=1,IF('Lease Cycles'!$AT$17&gt;=9999,'Lease Cycles'!$C$17*INDEX('Lease Cycles'!$CB$17:$CH$17,1,DN163)*(1+INDEX('Lease Cycles'!$CI$17:$CO$17,1,DN163))^INT(INT(DN164/12)/INDEX('Lease Cycles'!$CP$17:$CV$17,1,DN163))/12,IF(DN163=1,IF(DN164&gt;=INDEX('Lease Cycles'!$DK$17:$DQ$17,1,DN163),IF(DN$6&gt;='Lease Cycles'!$AZ$17,'Lease Cycles'!$C$17*'Lease Cycles'!$BA$17/12,IF(DN$6&gt;='Lease Cycles'!$AX$17,'Lease Cycles'!$C$17*'Lease Cycles'!$AY$17/12,IF(DN$6&gt;='Lease Cycles'!$AV$17,'Lease Cycles'!$C$17*'Lease Cycles'!$AW$17/12,IF(DN$6&gt;='Lease Cycles'!$AT$17,'Lease Cycles'!$C$17*'Lease Cycles'!$AU$17/12,'Lease Cycles'!$C$17*INDEX('Lease Cycles'!$CB$17:$CH$17,1,DN163)*(1+INDEX('Lease Cycles'!$CI$17:$CO$17,1,DN163))^INT(INT(DN164/12)/INDEX('Lease Cycles'!$CP$17:$CV$17,1,DN163))/12)))),'Lease Cycles'!$C$17*INDEX('Lease Cycles'!$CB$17:$CH$17,1,DN163)*(1+INDEX('Lease Cycles'!$CI$17:$CO$17,1,DN163))^INT(INT(DN164/12)/INDEX('Lease Cycles'!$CP$17:$CV$17,1,DN163))/12),IF(INDEX('Lease Cycles'!$EF$17:$EL$17,1,DN163)=1,IF(AND('Lease Cycles'!$AZ$17&gt;=INDEX('Lease Cycles'!$BG$17:$BM$17,1,DN163),'Lease Cycles'!$AZ$17&lt;=DN$6),'Lease Cycles'!$C$17*'Lease Cycles'!$BA$17/12,IF(AND('Lease Cycles'!$AX$17&gt;=INDEX('Lease Cycles'!$BG$17:$BM$17,1,DN163),'Lease Cycles'!$AX$17&lt;=DN$6),'Lease Cycles'!$C$17*'Lease Cycles'!$AY$17/12,IF(AND('Lease Cycles'!$AV$17&gt;=INDEX('Lease Cycles'!$BG$17:$BM$17,1,DN163),'Lease Cycles'!$AV$17&lt;=DN$6),'Lease Cycles'!$C$17*'Lease Cycles'!$AW$17/12,IF(AND('Lease Cycles'!$AT$17&gt;=INDEX('Lease Cycles'!$BG$17:$BM$17,1,DN163),'Lease Cycles'!$AT$17&lt;=DN$6),'Lease Cycles'!$C$17*'Lease Cycles'!$AU$17/12,'Lease Cycles'!$C$17*INDEX('Lease Cycles'!$CB$17:$CH$17,1,DN163)*(1+INDEX('Lease Cycles'!$CI$17:$CO$17,1,DN163))^INT(INT(DN164/12)/INDEX('Lease Cycles'!$CP$17:$CV$17,1,DN163))/12)))),'Lease Cycles'!$C$17*INDEX('Lease Cycles'!$CB$17:$CH$17,1,DN163)*(1+INDEX('Lease Cycles'!$CI$17:$CO$17,1,DN163))^INT(INT(DN164/12)/INDEX('Lease Cycles'!$CP$17:$CV$17,1,DN163))/12))),IF('Lease Cycles'!$N$17=1,'Lease Cycles'!$C$17*'Lease Cycles'!$E$17*INDEX('Lease Cycles'!$HE$17:$HK$17,1,DN163)*(1+INDEX('Lease Cycles'!$GQ$17:$GW$17,1,DN163))^INT(INT((DN$6-INDEX('Lease Cycles'!$GJ$17:$GP$17,1,DN163))/12)/INDEX('Lease Cycles'!$GX$17:$HD$17,1,DN163))/12,0)))</f>
        <v>3041.170763201854</v>
      </c>
      <c r="DO166" s="28">
        <f>IF(DO163=0,IF('Lease Cycles'!$F$17&gt;0,'Lease Cycles'!$C$17*'Lease Cycles'!$E$17/12,0),IF(DO165=1,IF('Lease Cycles'!$AT$17&gt;=9999,'Lease Cycles'!$C$17*INDEX('Lease Cycles'!$CB$17:$CH$17,1,DO163)*(1+INDEX('Lease Cycles'!$CI$17:$CO$17,1,DO163))^INT(INT(DO164/12)/INDEX('Lease Cycles'!$CP$17:$CV$17,1,DO163))/12,IF(DO163=1,IF(DO164&gt;=INDEX('Lease Cycles'!$DK$17:$DQ$17,1,DO163),IF(DO$6&gt;='Lease Cycles'!$AZ$17,'Lease Cycles'!$C$17*'Lease Cycles'!$BA$17/12,IF(DO$6&gt;='Lease Cycles'!$AX$17,'Lease Cycles'!$C$17*'Lease Cycles'!$AY$17/12,IF(DO$6&gt;='Lease Cycles'!$AV$17,'Lease Cycles'!$C$17*'Lease Cycles'!$AW$17/12,IF(DO$6&gt;='Lease Cycles'!$AT$17,'Lease Cycles'!$C$17*'Lease Cycles'!$AU$17/12,'Lease Cycles'!$C$17*INDEX('Lease Cycles'!$CB$17:$CH$17,1,DO163)*(1+INDEX('Lease Cycles'!$CI$17:$CO$17,1,DO163))^INT(INT(DO164/12)/INDEX('Lease Cycles'!$CP$17:$CV$17,1,DO163))/12)))),'Lease Cycles'!$C$17*INDEX('Lease Cycles'!$CB$17:$CH$17,1,DO163)*(1+INDEX('Lease Cycles'!$CI$17:$CO$17,1,DO163))^INT(INT(DO164/12)/INDEX('Lease Cycles'!$CP$17:$CV$17,1,DO163))/12),IF(INDEX('Lease Cycles'!$EF$17:$EL$17,1,DO163)=1,IF(AND('Lease Cycles'!$AZ$17&gt;=INDEX('Lease Cycles'!$BG$17:$BM$17,1,DO163),'Lease Cycles'!$AZ$17&lt;=DO$6),'Lease Cycles'!$C$17*'Lease Cycles'!$BA$17/12,IF(AND('Lease Cycles'!$AX$17&gt;=INDEX('Lease Cycles'!$BG$17:$BM$17,1,DO163),'Lease Cycles'!$AX$17&lt;=DO$6),'Lease Cycles'!$C$17*'Lease Cycles'!$AY$17/12,IF(AND('Lease Cycles'!$AV$17&gt;=INDEX('Lease Cycles'!$BG$17:$BM$17,1,DO163),'Lease Cycles'!$AV$17&lt;=DO$6),'Lease Cycles'!$C$17*'Lease Cycles'!$AW$17/12,IF(AND('Lease Cycles'!$AT$17&gt;=INDEX('Lease Cycles'!$BG$17:$BM$17,1,DO163),'Lease Cycles'!$AT$17&lt;=DO$6),'Lease Cycles'!$C$17*'Lease Cycles'!$AU$17/12,'Lease Cycles'!$C$17*INDEX('Lease Cycles'!$CB$17:$CH$17,1,DO163)*(1+INDEX('Lease Cycles'!$CI$17:$CO$17,1,DO163))^INT(INT(DO164/12)/INDEX('Lease Cycles'!$CP$17:$CV$17,1,DO163))/12)))),'Lease Cycles'!$C$17*INDEX('Lease Cycles'!$CB$17:$CH$17,1,DO163)*(1+INDEX('Lease Cycles'!$CI$17:$CO$17,1,DO163))^INT(INT(DO164/12)/INDEX('Lease Cycles'!$CP$17:$CV$17,1,DO163))/12))),IF('Lease Cycles'!$N$17=1,'Lease Cycles'!$C$17*'Lease Cycles'!$E$17*INDEX('Lease Cycles'!$HE$17:$HK$17,1,DO163)*(1+INDEX('Lease Cycles'!$GQ$17:$GW$17,1,DO163))^INT(INT((DO$6-INDEX('Lease Cycles'!$GJ$17:$GP$17,1,DO163))/12)/INDEX('Lease Cycles'!$GX$17:$HD$17,1,DO163))/12,0)))</f>
        <v>3041.170763201854</v>
      </c>
      <c r="DP166" s="28">
        <f>IF(DP163=0,IF('Lease Cycles'!$F$17&gt;0,'Lease Cycles'!$C$17*'Lease Cycles'!$E$17/12,0),IF(DP165=1,IF('Lease Cycles'!$AT$17&gt;=9999,'Lease Cycles'!$C$17*INDEX('Lease Cycles'!$CB$17:$CH$17,1,DP163)*(1+INDEX('Lease Cycles'!$CI$17:$CO$17,1,DP163))^INT(INT(DP164/12)/INDEX('Lease Cycles'!$CP$17:$CV$17,1,DP163))/12,IF(DP163=1,IF(DP164&gt;=INDEX('Lease Cycles'!$DK$17:$DQ$17,1,DP163),IF(DP$6&gt;='Lease Cycles'!$AZ$17,'Lease Cycles'!$C$17*'Lease Cycles'!$BA$17/12,IF(DP$6&gt;='Lease Cycles'!$AX$17,'Lease Cycles'!$C$17*'Lease Cycles'!$AY$17/12,IF(DP$6&gt;='Lease Cycles'!$AV$17,'Lease Cycles'!$C$17*'Lease Cycles'!$AW$17/12,IF(DP$6&gt;='Lease Cycles'!$AT$17,'Lease Cycles'!$C$17*'Lease Cycles'!$AU$17/12,'Lease Cycles'!$C$17*INDEX('Lease Cycles'!$CB$17:$CH$17,1,DP163)*(1+INDEX('Lease Cycles'!$CI$17:$CO$17,1,DP163))^INT(INT(DP164/12)/INDEX('Lease Cycles'!$CP$17:$CV$17,1,DP163))/12)))),'Lease Cycles'!$C$17*INDEX('Lease Cycles'!$CB$17:$CH$17,1,DP163)*(1+INDEX('Lease Cycles'!$CI$17:$CO$17,1,DP163))^INT(INT(DP164/12)/INDEX('Lease Cycles'!$CP$17:$CV$17,1,DP163))/12),IF(INDEX('Lease Cycles'!$EF$17:$EL$17,1,DP163)=1,IF(AND('Lease Cycles'!$AZ$17&gt;=INDEX('Lease Cycles'!$BG$17:$BM$17,1,DP163),'Lease Cycles'!$AZ$17&lt;=DP$6),'Lease Cycles'!$C$17*'Lease Cycles'!$BA$17/12,IF(AND('Lease Cycles'!$AX$17&gt;=INDEX('Lease Cycles'!$BG$17:$BM$17,1,DP163),'Lease Cycles'!$AX$17&lt;=DP$6),'Lease Cycles'!$C$17*'Lease Cycles'!$AY$17/12,IF(AND('Lease Cycles'!$AV$17&gt;=INDEX('Lease Cycles'!$BG$17:$BM$17,1,DP163),'Lease Cycles'!$AV$17&lt;=DP$6),'Lease Cycles'!$C$17*'Lease Cycles'!$AW$17/12,IF(AND('Lease Cycles'!$AT$17&gt;=INDEX('Lease Cycles'!$BG$17:$BM$17,1,DP163),'Lease Cycles'!$AT$17&lt;=DP$6),'Lease Cycles'!$C$17*'Lease Cycles'!$AU$17/12,'Lease Cycles'!$C$17*INDEX('Lease Cycles'!$CB$17:$CH$17,1,DP163)*(1+INDEX('Lease Cycles'!$CI$17:$CO$17,1,DP163))^INT(INT(DP164/12)/INDEX('Lease Cycles'!$CP$17:$CV$17,1,DP163))/12)))),'Lease Cycles'!$C$17*INDEX('Lease Cycles'!$CB$17:$CH$17,1,DP163)*(1+INDEX('Lease Cycles'!$CI$17:$CO$17,1,DP163))^INT(INT(DP164/12)/INDEX('Lease Cycles'!$CP$17:$CV$17,1,DP163))/12))),IF('Lease Cycles'!$N$17=1,'Lease Cycles'!$C$17*'Lease Cycles'!$E$17*INDEX('Lease Cycles'!$HE$17:$HK$17,1,DP163)*(1+INDEX('Lease Cycles'!$GQ$17:$GW$17,1,DP163))^INT(INT((DP$6-INDEX('Lease Cycles'!$GJ$17:$GP$17,1,DP163))/12)/INDEX('Lease Cycles'!$GX$17:$HD$17,1,DP163))/12,0)))</f>
        <v>3041.170763201854</v>
      </c>
      <c r="DQ166" s="28">
        <f>IF(DQ163=0,IF('Lease Cycles'!$F$17&gt;0,'Lease Cycles'!$C$17*'Lease Cycles'!$E$17/12,0),IF(DQ165=1,IF('Lease Cycles'!$AT$17&gt;=9999,'Lease Cycles'!$C$17*INDEX('Lease Cycles'!$CB$17:$CH$17,1,DQ163)*(1+INDEX('Lease Cycles'!$CI$17:$CO$17,1,DQ163))^INT(INT(DQ164/12)/INDEX('Lease Cycles'!$CP$17:$CV$17,1,DQ163))/12,IF(DQ163=1,IF(DQ164&gt;=INDEX('Lease Cycles'!$DK$17:$DQ$17,1,DQ163),IF(DQ$6&gt;='Lease Cycles'!$AZ$17,'Lease Cycles'!$C$17*'Lease Cycles'!$BA$17/12,IF(DQ$6&gt;='Lease Cycles'!$AX$17,'Lease Cycles'!$C$17*'Lease Cycles'!$AY$17/12,IF(DQ$6&gt;='Lease Cycles'!$AV$17,'Lease Cycles'!$C$17*'Lease Cycles'!$AW$17/12,IF(DQ$6&gt;='Lease Cycles'!$AT$17,'Lease Cycles'!$C$17*'Lease Cycles'!$AU$17/12,'Lease Cycles'!$C$17*INDEX('Lease Cycles'!$CB$17:$CH$17,1,DQ163)*(1+INDEX('Lease Cycles'!$CI$17:$CO$17,1,DQ163))^INT(INT(DQ164/12)/INDEX('Lease Cycles'!$CP$17:$CV$17,1,DQ163))/12)))),'Lease Cycles'!$C$17*INDEX('Lease Cycles'!$CB$17:$CH$17,1,DQ163)*(1+INDEX('Lease Cycles'!$CI$17:$CO$17,1,DQ163))^INT(INT(DQ164/12)/INDEX('Lease Cycles'!$CP$17:$CV$17,1,DQ163))/12),IF(INDEX('Lease Cycles'!$EF$17:$EL$17,1,DQ163)=1,IF(AND('Lease Cycles'!$AZ$17&gt;=INDEX('Lease Cycles'!$BG$17:$BM$17,1,DQ163),'Lease Cycles'!$AZ$17&lt;=DQ$6),'Lease Cycles'!$C$17*'Lease Cycles'!$BA$17/12,IF(AND('Lease Cycles'!$AX$17&gt;=INDEX('Lease Cycles'!$BG$17:$BM$17,1,DQ163),'Lease Cycles'!$AX$17&lt;=DQ$6),'Lease Cycles'!$C$17*'Lease Cycles'!$AY$17/12,IF(AND('Lease Cycles'!$AV$17&gt;=INDEX('Lease Cycles'!$BG$17:$BM$17,1,DQ163),'Lease Cycles'!$AV$17&lt;=DQ$6),'Lease Cycles'!$C$17*'Lease Cycles'!$AW$17/12,IF(AND('Lease Cycles'!$AT$17&gt;=INDEX('Lease Cycles'!$BG$17:$BM$17,1,DQ163),'Lease Cycles'!$AT$17&lt;=DQ$6),'Lease Cycles'!$C$17*'Lease Cycles'!$AU$17/12,'Lease Cycles'!$C$17*INDEX('Lease Cycles'!$CB$17:$CH$17,1,DQ163)*(1+INDEX('Lease Cycles'!$CI$17:$CO$17,1,DQ163))^INT(INT(DQ164/12)/INDEX('Lease Cycles'!$CP$17:$CV$17,1,DQ163))/12)))),'Lease Cycles'!$C$17*INDEX('Lease Cycles'!$CB$17:$CH$17,1,DQ163)*(1+INDEX('Lease Cycles'!$CI$17:$CO$17,1,DQ163))^INT(INT(DQ164/12)/INDEX('Lease Cycles'!$CP$17:$CV$17,1,DQ163))/12))),IF('Lease Cycles'!$N$17=1,'Lease Cycles'!$C$17*'Lease Cycles'!$E$17*INDEX('Lease Cycles'!$HE$17:$HK$17,1,DQ163)*(1+INDEX('Lease Cycles'!$GQ$17:$GW$17,1,DQ163))^INT(INT((DQ$6-INDEX('Lease Cycles'!$GJ$17:$GP$17,1,DQ163))/12)/INDEX('Lease Cycles'!$GX$17:$HD$17,1,DQ163))/12,0)))</f>
        <v>3041.170763201854</v>
      </c>
      <c r="DR166" s="28">
        <f>IF(DR163=0,IF('Lease Cycles'!$F$17&gt;0,'Lease Cycles'!$C$17*'Lease Cycles'!$E$17/12,0),IF(DR165=1,IF('Lease Cycles'!$AT$17&gt;=9999,'Lease Cycles'!$C$17*INDEX('Lease Cycles'!$CB$17:$CH$17,1,DR163)*(1+INDEX('Lease Cycles'!$CI$17:$CO$17,1,DR163))^INT(INT(DR164/12)/INDEX('Lease Cycles'!$CP$17:$CV$17,1,DR163))/12,IF(DR163=1,IF(DR164&gt;=INDEX('Lease Cycles'!$DK$17:$DQ$17,1,DR163),IF(DR$6&gt;='Lease Cycles'!$AZ$17,'Lease Cycles'!$C$17*'Lease Cycles'!$BA$17/12,IF(DR$6&gt;='Lease Cycles'!$AX$17,'Lease Cycles'!$C$17*'Lease Cycles'!$AY$17/12,IF(DR$6&gt;='Lease Cycles'!$AV$17,'Lease Cycles'!$C$17*'Lease Cycles'!$AW$17/12,IF(DR$6&gt;='Lease Cycles'!$AT$17,'Lease Cycles'!$C$17*'Lease Cycles'!$AU$17/12,'Lease Cycles'!$C$17*INDEX('Lease Cycles'!$CB$17:$CH$17,1,DR163)*(1+INDEX('Lease Cycles'!$CI$17:$CO$17,1,DR163))^INT(INT(DR164/12)/INDEX('Lease Cycles'!$CP$17:$CV$17,1,DR163))/12)))),'Lease Cycles'!$C$17*INDEX('Lease Cycles'!$CB$17:$CH$17,1,DR163)*(1+INDEX('Lease Cycles'!$CI$17:$CO$17,1,DR163))^INT(INT(DR164/12)/INDEX('Lease Cycles'!$CP$17:$CV$17,1,DR163))/12),IF(INDEX('Lease Cycles'!$EF$17:$EL$17,1,DR163)=1,IF(AND('Lease Cycles'!$AZ$17&gt;=INDEX('Lease Cycles'!$BG$17:$BM$17,1,DR163),'Lease Cycles'!$AZ$17&lt;=DR$6),'Lease Cycles'!$C$17*'Lease Cycles'!$BA$17/12,IF(AND('Lease Cycles'!$AX$17&gt;=INDEX('Lease Cycles'!$BG$17:$BM$17,1,DR163),'Lease Cycles'!$AX$17&lt;=DR$6),'Lease Cycles'!$C$17*'Lease Cycles'!$AY$17/12,IF(AND('Lease Cycles'!$AV$17&gt;=INDEX('Lease Cycles'!$BG$17:$BM$17,1,DR163),'Lease Cycles'!$AV$17&lt;=DR$6),'Lease Cycles'!$C$17*'Lease Cycles'!$AW$17/12,IF(AND('Lease Cycles'!$AT$17&gt;=INDEX('Lease Cycles'!$BG$17:$BM$17,1,DR163),'Lease Cycles'!$AT$17&lt;=DR$6),'Lease Cycles'!$C$17*'Lease Cycles'!$AU$17/12,'Lease Cycles'!$C$17*INDEX('Lease Cycles'!$CB$17:$CH$17,1,DR163)*(1+INDEX('Lease Cycles'!$CI$17:$CO$17,1,DR163))^INT(INT(DR164/12)/INDEX('Lease Cycles'!$CP$17:$CV$17,1,DR163))/12)))),'Lease Cycles'!$C$17*INDEX('Lease Cycles'!$CB$17:$CH$17,1,DR163)*(1+INDEX('Lease Cycles'!$CI$17:$CO$17,1,DR163))^INT(INT(DR164/12)/INDEX('Lease Cycles'!$CP$17:$CV$17,1,DR163))/12))),IF('Lease Cycles'!$N$17=1,'Lease Cycles'!$C$17*'Lease Cycles'!$E$17*INDEX('Lease Cycles'!$HE$17:$HK$17,1,DR163)*(1+INDEX('Lease Cycles'!$GQ$17:$GW$17,1,DR163))^INT(INT((DR$6-INDEX('Lease Cycles'!$GJ$17:$GP$17,1,DR163))/12)/INDEX('Lease Cycles'!$GX$17:$HD$17,1,DR163))/12,0)))</f>
        <v>3041.170763201854</v>
      </c>
      <c r="DS166" s="28">
        <f>IF(DS163=0,IF('Lease Cycles'!$F$17&gt;0,'Lease Cycles'!$C$17*'Lease Cycles'!$E$17/12,0),IF(DS165=1,IF('Lease Cycles'!$AT$17&gt;=9999,'Lease Cycles'!$C$17*INDEX('Lease Cycles'!$CB$17:$CH$17,1,DS163)*(1+INDEX('Lease Cycles'!$CI$17:$CO$17,1,DS163))^INT(INT(DS164/12)/INDEX('Lease Cycles'!$CP$17:$CV$17,1,DS163))/12,IF(DS163=1,IF(DS164&gt;=INDEX('Lease Cycles'!$DK$17:$DQ$17,1,DS163),IF(DS$6&gt;='Lease Cycles'!$AZ$17,'Lease Cycles'!$C$17*'Lease Cycles'!$BA$17/12,IF(DS$6&gt;='Lease Cycles'!$AX$17,'Lease Cycles'!$C$17*'Lease Cycles'!$AY$17/12,IF(DS$6&gt;='Lease Cycles'!$AV$17,'Lease Cycles'!$C$17*'Lease Cycles'!$AW$17/12,IF(DS$6&gt;='Lease Cycles'!$AT$17,'Lease Cycles'!$C$17*'Lease Cycles'!$AU$17/12,'Lease Cycles'!$C$17*INDEX('Lease Cycles'!$CB$17:$CH$17,1,DS163)*(1+INDEX('Lease Cycles'!$CI$17:$CO$17,1,DS163))^INT(INT(DS164/12)/INDEX('Lease Cycles'!$CP$17:$CV$17,1,DS163))/12)))),'Lease Cycles'!$C$17*INDEX('Lease Cycles'!$CB$17:$CH$17,1,DS163)*(1+INDEX('Lease Cycles'!$CI$17:$CO$17,1,DS163))^INT(INT(DS164/12)/INDEX('Lease Cycles'!$CP$17:$CV$17,1,DS163))/12),IF(INDEX('Lease Cycles'!$EF$17:$EL$17,1,DS163)=1,IF(AND('Lease Cycles'!$AZ$17&gt;=INDEX('Lease Cycles'!$BG$17:$BM$17,1,DS163),'Lease Cycles'!$AZ$17&lt;=DS$6),'Lease Cycles'!$C$17*'Lease Cycles'!$BA$17/12,IF(AND('Lease Cycles'!$AX$17&gt;=INDEX('Lease Cycles'!$BG$17:$BM$17,1,DS163),'Lease Cycles'!$AX$17&lt;=DS$6),'Lease Cycles'!$C$17*'Lease Cycles'!$AY$17/12,IF(AND('Lease Cycles'!$AV$17&gt;=INDEX('Lease Cycles'!$BG$17:$BM$17,1,DS163),'Lease Cycles'!$AV$17&lt;=DS$6),'Lease Cycles'!$C$17*'Lease Cycles'!$AW$17/12,IF(AND('Lease Cycles'!$AT$17&gt;=INDEX('Lease Cycles'!$BG$17:$BM$17,1,DS163),'Lease Cycles'!$AT$17&lt;=DS$6),'Lease Cycles'!$C$17*'Lease Cycles'!$AU$17/12,'Lease Cycles'!$C$17*INDEX('Lease Cycles'!$CB$17:$CH$17,1,DS163)*(1+INDEX('Lease Cycles'!$CI$17:$CO$17,1,DS163))^INT(INT(DS164/12)/INDEX('Lease Cycles'!$CP$17:$CV$17,1,DS163))/12)))),'Lease Cycles'!$C$17*INDEX('Lease Cycles'!$CB$17:$CH$17,1,DS163)*(1+INDEX('Lease Cycles'!$CI$17:$CO$17,1,DS163))^INT(INT(DS164/12)/INDEX('Lease Cycles'!$CP$17:$CV$17,1,DS163))/12))),IF('Lease Cycles'!$N$17=1,'Lease Cycles'!$C$17*'Lease Cycles'!$E$17*INDEX('Lease Cycles'!$HE$17:$HK$17,1,DS163)*(1+INDEX('Lease Cycles'!$GQ$17:$GW$17,1,DS163))^INT(INT((DS$6-INDEX('Lease Cycles'!$GJ$17:$GP$17,1,DS163))/12)/INDEX('Lease Cycles'!$GX$17:$HD$17,1,DS163))/12,0)))</f>
        <v>3041.170763201854</v>
      </c>
      <c r="DT166" s="28">
        <f>IF(DT163=0,IF('Lease Cycles'!$F$17&gt;0,'Lease Cycles'!$C$17*'Lease Cycles'!$E$17/12,0),IF(DT165=1,IF('Lease Cycles'!$AT$17&gt;=9999,'Lease Cycles'!$C$17*INDEX('Lease Cycles'!$CB$17:$CH$17,1,DT163)*(1+INDEX('Lease Cycles'!$CI$17:$CO$17,1,DT163))^INT(INT(DT164/12)/INDEX('Lease Cycles'!$CP$17:$CV$17,1,DT163))/12,IF(DT163=1,IF(DT164&gt;=INDEX('Lease Cycles'!$DK$17:$DQ$17,1,DT163),IF(DT$6&gt;='Lease Cycles'!$AZ$17,'Lease Cycles'!$C$17*'Lease Cycles'!$BA$17/12,IF(DT$6&gt;='Lease Cycles'!$AX$17,'Lease Cycles'!$C$17*'Lease Cycles'!$AY$17/12,IF(DT$6&gt;='Lease Cycles'!$AV$17,'Lease Cycles'!$C$17*'Lease Cycles'!$AW$17/12,IF(DT$6&gt;='Lease Cycles'!$AT$17,'Lease Cycles'!$C$17*'Lease Cycles'!$AU$17/12,'Lease Cycles'!$C$17*INDEX('Lease Cycles'!$CB$17:$CH$17,1,DT163)*(1+INDEX('Lease Cycles'!$CI$17:$CO$17,1,DT163))^INT(INT(DT164/12)/INDEX('Lease Cycles'!$CP$17:$CV$17,1,DT163))/12)))),'Lease Cycles'!$C$17*INDEX('Lease Cycles'!$CB$17:$CH$17,1,DT163)*(1+INDEX('Lease Cycles'!$CI$17:$CO$17,1,DT163))^INT(INT(DT164/12)/INDEX('Lease Cycles'!$CP$17:$CV$17,1,DT163))/12),IF(INDEX('Lease Cycles'!$EF$17:$EL$17,1,DT163)=1,IF(AND('Lease Cycles'!$AZ$17&gt;=INDEX('Lease Cycles'!$BG$17:$BM$17,1,DT163),'Lease Cycles'!$AZ$17&lt;=DT$6),'Lease Cycles'!$C$17*'Lease Cycles'!$BA$17/12,IF(AND('Lease Cycles'!$AX$17&gt;=INDEX('Lease Cycles'!$BG$17:$BM$17,1,DT163),'Lease Cycles'!$AX$17&lt;=DT$6),'Lease Cycles'!$C$17*'Lease Cycles'!$AY$17/12,IF(AND('Lease Cycles'!$AV$17&gt;=INDEX('Lease Cycles'!$BG$17:$BM$17,1,DT163),'Lease Cycles'!$AV$17&lt;=DT$6),'Lease Cycles'!$C$17*'Lease Cycles'!$AW$17/12,IF(AND('Lease Cycles'!$AT$17&gt;=INDEX('Lease Cycles'!$BG$17:$BM$17,1,DT163),'Lease Cycles'!$AT$17&lt;=DT$6),'Lease Cycles'!$C$17*'Lease Cycles'!$AU$17/12,'Lease Cycles'!$C$17*INDEX('Lease Cycles'!$CB$17:$CH$17,1,DT163)*(1+INDEX('Lease Cycles'!$CI$17:$CO$17,1,DT163))^INT(INT(DT164/12)/INDEX('Lease Cycles'!$CP$17:$CV$17,1,DT163))/12)))),'Lease Cycles'!$C$17*INDEX('Lease Cycles'!$CB$17:$CH$17,1,DT163)*(1+INDEX('Lease Cycles'!$CI$17:$CO$17,1,DT163))^INT(INT(DT164/12)/INDEX('Lease Cycles'!$CP$17:$CV$17,1,DT163))/12))),IF('Lease Cycles'!$N$17=1,'Lease Cycles'!$C$17*'Lease Cycles'!$E$17*INDEX('Lease Cycles'!$HE$17:$HK$17,1,DT163)*(1+INDEX('Lease Cycles'!$GQ$17:$GW$17,1,DT163))^INT(INT((DT$6-INDEX('Lease Cycles'!$GJ$17:$GP$17,1,DT163))/12)/INDEX('Lease Cycles'!$GX$17:$HD$17,1,DT163))/12,0)))</f>
        <v>3041.170763201854</v>
      </c>
      <c r="DU166" s="28">
        <f>IF(DU163=0,IF('Lease Cycles'!$F$17&gt;0,'Lease Cycles'!$C$17*'Lease Cycles'!$E$17/12,0),IF(DU165=1,IF('Lease Cycles'!$AT$17&gt;=9999,'Lease Cycles'!$C$17*INDEX('Lease Cycles'!$CB$17:$CH$17,1,DU163)*(1+INDEX('Lease Cycles'!$CI$17:$CO$17,1,DU163))^INT(INT(DU164/12)/INDEX('Lease Cycles'!$CP$17:$CV$17,1,DU163))/12,IF(DU163=1,IF(DU164&gt;=INDEX('Lease Cycles'!$DK$17:$DQ$17,1,DU163),IF(DU$6&gt;='Lease Cycles'!$AZ$17,'Lease Cycles'!$C$17*'Lease Cycles'!$BA$17/12,IF(DU$6&gt;='Lease Cycles'!$AX$17,'Lease Cycles'!$C$17*'Lease Cycles'!$AY$17/12,IF(DU$6&gt;='Lease Cycles'!$AV$17,'Lease Cycles'!$C$17*'Lease Cycles'!$AW$17/12,IF(DU$6&gt;='Lease Cycles'!$AT$17,'Lease Cycles'!$C$17*'Lease Cycles'!$AU$17/12,'Lease Cycles'!$C$17*INDEX('Lease Cycles'!$CB$17:$CH$17,1,DU163)*(1+INDEX('Lease Cycles'!$CI$17:$CO$17,1,DU163))^INT(INT(DU164/12)/INDEX('Lease Cycles'!$CP$17:$CV$17,1,DU163))/12)))),'Lease Cycles'!$C$17*INDEX('Lease Cycles'!$CB$17:$CH$17,1,DU163)*(1+INDEX('Lease Cycles'!$CI$17:$CO$17,1,DU163))^INT(INT(DU164/12)/INDEX('Lease Cycles'!$CP$17:$CV$17,1,DU163))/12),IF(INDEX('Lease Cycles'!$EF$17:$EL$17,1,DU163)=1,IF(AND('Lease Cycles'!$AZ$17&gt;=INDEX('Lease Cycles'!$BG$17:$BM$17,1,DU163),'Lease Cycles'!$AZ$17&lt;=DU$6),'Lease Cycles'!$C$17*'Lease Cycles'!$BA$17/12,IF(AND('Lease Cycles'!$AX$17&gt;=INDEX('Lease Cycles'!$BG$17:$BM$17,1,DU163),'Lease Cycles'!$AX$17&lt;=DU$6),'Lease Cycles'!$C$17*'Lease Cycles'!$AY$17/12,IF(AND('Lease Cycles'!$AV$17&gt;=INDEX('Lease Cycles'!$BG$17:$BM$17,1,DU163),'Lease Cycles'!$AV$17&lt;=DU$6),'Lease Cycles'!$C$17*'Lease Cycles'!$AW$17/12,IF(AND('Lease Cycles'!$AT$17&gt;=INDEX('Lease Cycles'!$BG$17:$BM$17,1,DU163),'Lease Cycles'!$AT$17&lt;=DU$6),'Lease Cycles'!$C$17*'Lease Cycles'!$AU$17/12,'Lease Cycles'!$C$17*INDEX('Lease Cycles'!$CB$17:$CH$17,1,DU163)*(1+INDEX('Lease Cycles'!$CI$17:$CO$17,1,DU163))^INT(INT(DU164/12)/INDEX('Lease Cycles'!$CP$17:$CV$17,1,DU163))/12)))),'Lease Cycles'!$C$17*INDEX('Lease Cycles'!$CB$17:$CH$17,1,DU163)*(1+INDEX('Lease Cycles'!$CI$17:$CO$17,1,DU163))^INT(INT(DU164/12)/INDEX('Lease Cycles'!$CP$17:$CV$17,1,DU163))/12))),IF('Lease Cycles'!$N$17=1,'Lease Cycles'!$C$17*'Lease Cycles'!$E$17*INDEX('Lease Cycles'!$HE$17:$HK$17,1,DU163)*(1+INDEX('Lease Cycles'!$GQ$17:$GW$17,1,DU163))^INT(INT((DU$6-INDEX('Lease Cycles'!$GJ$17:$GP$17,1,DU163))/12)/INDEX('Lease Cycles'!$GX$17:$HD$17,1,DU163))/12,0)))</f>
        <v>3132.4058860979094</v>
      </c>
      <c r="DV166" s="28">
        <f>IF(DV163=0,IF('Lease Cycles'!$F$17&gt;0,'Lease Cycles'!$C$17*'Lease Cycles'!$E$17/12,0),IF(DV165=1,IF('Lease Cycles'!$AT$17&gt;=9999,'Lease Cycles'!$C$17*INDEX('Lease Cycles'!$CB$17:$CH$17,1,DV163)*(1+INDEX('Lease Cycles'!$CI$17:$CO$17,1,DV163))^INT(INT(DV164/12)/INDEX('Lease Cycles'!$CP$17:$CV$17,1,DV163))/12,IF(DV163=1,IF(DV164&gt;=INDEX('Lease Cycles'!$DK$17:$DQ$17,1,DV163),IF(DV$6&gt;='Lease Cycles'!$AZ$17,'Lease Cycles'!$C$17*'Lease Cycles'!$BA$17/12,IF(DV$6&gt;='Lease Cycles'!$AX$17,'Lease Cycles'!$C$17*'Lease Cycles'!$AY$17/12,IF(DV$6&gt;='Lease Cycles'!$AV$17,'Lease Cycles'!$C$17*'Lease Cycles'!$AW$17/12,IF(DV$6&gt;='Lease Cycles'!$AT$17,'Lease Cycles'!$C$17*'Lease Cycles'!$AU$17/12,'Lease Cycles'!$C$17*INDEX('Lease Cycles'!$CB$17:$CH$17,1,DV163)*(1+INDEX('Lease Cycles'!$CI$17:$CO$17,1,DV163))^INT(INT(DV164/12)/INDEX('Lease Cycles'!$CP$17:$CV$17,1,DV163))/12)))),'Lease Cycles'!$C$17*INDEX('Lease Cycles'!$CB$17:$CH$17,1,DV163)*(1+INDEX('Lease Cycles'!$CI$17:$CO$17,1,DV163))^INT(INT(DV164/12)/INDEX('Lease Cycles'!$CP$17:$CV$17,1,DV163))/12),IF(INDEX('Lease Cycles'!$EF$17:$EL$17,1,DV163)=1,IF(AND('Lease Cycles'!$AZ$17&gt;=INDEX('Lease Cycles'!$BG$17:$BM$17,1,DV163),'Lease Cycles'!$AZ$17&lt;=DV$6),'Lease Cycles'!$C$17*'Lease Cycles'!$BA$17/12,IF(AND('Lease Cycles'!$AX$17&gt;=INDEX('Lease Cycles'!$BG$17:$BM$17,1,DV163),'Lease Cycles'!$AX$17&lt;=DV$6),'Lease Cycles'!$C$17*'Lease Cycles'!$AY$17/12,IF(AND('Lease Cycles'!$AV$17&gt;=INDEX('Lease Cycles'!$BG$17:$BM$17,1,DV163),'Lease Cycles'!$AV$17&lt;=DV$6),'Lease Cycles'!$C$17*'Lease Cycles'!$AW$17/12,IF(AND('Lease Cycles'!$AT$17&gt;=INDEX('Lease Cycles'!$BG$17:$BM$17,1,DV163),'Lease Cycles'!$AT$17&lt;=DV$6),'Lease Cycles'!$C$17*'Lease Cycles'!$AU$17/12,'Lease Cycles'!$C$17*INDEX('Lease Cycles'!$CB$17:$CH$17,1,DV163)*(1+INDEX('Lease Cycles'!$CI$17:$CO$17,1,DV163))^INT(INT(DV164/12)/INDEX('Lease Cycles'!$CP$17:$CV$17,1,DV163))/12)))),'Lease Cycles'!$C$17*INDEX('Lease Cycles'!$CB$17:$CH$17,1,DV163)*(1+INDEX('Lease Cycles'!$CI$17:$CO$17,1,DV163))^INT(INT(DV164/12)/INDEX('Lease Cycles'!$CP$17:$CV$17,1,DV163))/12))),IF('Lease Cycles'!$N$17=1,'Lease Cycles'!$C$17*'Lease Cycles'!$E$17*INDEX('Lease Cycles'!$HE$17:$HK$17,1,DV163)*(1+INDEX('Lease Cycles'!$GQ$17:$GW$17,1,DV163))^INT(INT((DV$6-INDEX('Lease Cycles'!$GJ$17:$GP$17,1,DV163))/12)/INDEX('Lease Cycles'!$GX$17:$HD$17,1,DV163))/12,0)))</f>
        <v>3132.4058860979094</v>
      </c>
      <c r="DW166" s="28">
        <f>IF(DW163=0,IF('Lease Cycles'!$F$17&gt;0,'Lease Cycles'!$C$17*'Lease Cycles'!$E$17/12,0),IF(DW165=1,IF('Lease Cycles'!$AT$17&gt;=9999,'Lease Cycles'!$C$17*INDEX('Lease Cycles'!$CB$17:$CH$17,1,DW163)*(1+INDEX('Lease Cycles'!$CI$17:$CO$17,1,DW163))^INT(INT(DW164/12)/INDEX('Lease Cycles'!$CP$17:$CV$17,1,DW163))/12,IF(DW163=1,IF(DW164&gt;=INDEX('Lease Cycles'!$DK$17:$DQ$17,1,DW163),IF(DW$6&gt;='Lease Cycles'!$AZ$17,'Lease Cycles'!$C$17*'Lease Cycles'!$BA$17/12,IF(DW$6&gt;='Lease Cycles'!$AX$17,'Lease Cycles'!$C$17*'Lease Cycles'!$AY$17/12,IF(DW$6&gt;='Lease Cycles'!$AV$17,'Lease Cycles'!$C$17*'Lease Cycles'!$AW$17/12,IF(DW$6&gt;='Lease Cycles'!$AT$17,'Lease Cycles'!$C$17*'Lease Cycles'!$AU$17/12,'Lease Cycles'!$C$17*INDEX('Lease Cycles'!$CB$17:$CH$17,1,DW163)*(1+INDEX('Lease Cycles'!$CI$17:$CO$17,1,DW163))^INT(INT(DW164/12)/INDEX('Lease Cycles'!$CP$17:$CV$17,1,DW163))/12)))),'Lease Cycles'!$C$17*INDEX('Lease Cycles'!$CB$17:$CH$17,1,DW163)*(1+INDEX('Lease Cycles'!$CI$17:$CO$17,1,DW163))^INT(INT(DW164/12)/INDEX('Lease Cycles'!$CP$17:$CV$17,1,DW163))/12),IF(INDEX('Lease Cycles'!$EF$17:$EL$17,1,DW163)=1,IF(AND('Lease Cycles'!$AZ$17&gt;=INDEX('Lease Cycles'!$BG$17:$BM$17,1,DW163),'Lease Cycles'!$AZ$17&lt;=DW$6),'Lease Cycles'!$C$17*'Lease Cycles'!$BA$17/12,IF(AND('Lease Cycles'!$AX$17&gt;=INDEX('Lease Cycles'!$BG$17:$BM$17,1,DW163),'Lease Cycles'!$AX$17&lt;=DW$6),'Lease Cycles'!$C$17*'Lease Cycles'!$AY$17/12,IF(AND('Lease Cycles'!$AV$17&gt;=INDEX('Lease Cycles'!$BG$17:$BM$17,1,DW163),'Lease Cycles'!$AV$17&lt;=DW$6),'Lease Cycles'!$C$17*'Lease Cycles'!$AW$17/12,IF(AND('Lease Cycles'!$AT$17&gt;=INDEX('Lease Cycles'!$BG$17:$BM$17,1,DW163),'Lease Cycles'!$AT$17&lt;=DW$6),'Lease Cycles'!$C$17*'Lease Cycles'!$AU$17/12,'Lease Cycles'!$C$17*INDEX('Lease Cycles'!$CB$17:$CH$17,1,DW163)*(1+INDEX('Lease Cycles'!$CI$17:$CO$17,1,DW163))^INT(INT(DW164/12)/INDEX('Lease Cycles'!$CP$17:$CV$17,1,DW163))/12)))),'Lease Cycles'!$C$17*INDEX('Lease Cycles'!$CB$17:$CH$17,1,DW163)*(1+INDEX('Lease Cycles'!$CI$17:$CO$17,1,DW163))^INT(INT(DW164/12)/INDEX('Lease Cycles'!$CP$17:$CV$17,1,DW163))/12))),IF('Lease Cycles'!$N$17=1,'Lease Cycles'!$C$17*'Lease Cycles'!$E$17*INDEX('Lease Cycles'!$HE$17:$HK$17,1,DW163)*(1+INDEX('Lease Cycles'!$GQ$17:$GW$17,1,DW163))^INT(INT((DW$6-INDEX('Lease Cycles'!$GJ$17:$GP$17,1,DW163))/12)/INDEX('Lease Cycles'!$GX$17:$HD$17,1,DW163))/12,0)))</f>
        <v>3132.4058860979094</v>
      </c>
      <c r="DX166" s="28">
        <f>IF(DX163=0,IF('Lease Cycles'!$F$17&gt;0,'Lease Cycles'!$C$17*'Lease Cycles'!$E$17/12,0),IF(DX165=1,IF('Lease Cycles'!$AT$17&gt;=9999,'Lease Cycles'!$C$17*INDEX('Lease Cycles'!$CB$17:$CH$17,1,DX163)*(1+INDEX('Lease Cycles'!$CI$17:$CO$17,1,DX163))^INT(INT(DX164/12)/INDEX('Lease Cycles'!$CP$17:$CV$17,1,DX163))/12,IF(DX163=1,IF(DX164&gt;=INDEX('Lease Cycles'!$DK$17:$DQ$17,1,DX163),IF(DX$6&gt;='Lease Cycles'!$AZ$17,'Lease Cycles'!$C$17*'Lease Cycles'!$BA$17/12,IF(DX$6&gt;='Lease Cycles'!$AX$17,'Lease Cycles'!$C$17*'Lease Cycles'!$AY$17/12,IF(DX$6&gt;='Lease Cycles'!$AV$17,'Lease Cycles'!$C$17*'Lease Cycles'!$AW$17/12,IF(DX$6&gt;='Lease Cycles'!$AT$17,'Lease Cycles'!$C$17*'Lease Cycles'!$AU$17/12,'Lease Cycles'!$C$17*INDEX('Lease Cycles'!$CB$17:$CH$17,1,DX163)*(1+INDEX('Lease Cycles'!$CI$17:$CO$17,1,DX163))^INT(INT(DX164/12)/INDEX('Lease Cycles'!$CP$17:$CV$17,1,DX163))/12)))),'Lease Cycles'!$C$17*INDEX('Lease Cycles'!$CB$17:$CH$17,1,DX163)*(1+INDEX('Lease Cycles'!$CI$17:$CO$17,1,DX163))^INT(INT(DX164/12)/INDEX('Lease Cycles'!$CP$17:$CV$17,1,DX163))/12),IF(INDEX('Lease Cycles'!$EF$17:$EL$17,1,DX163)=1,IF(AND('Lease Cycles'!$AZ$17&gt;=INDEX('Lease Cycles'!$BG$17:$BM$17,1,DX163),'Lease Cycles'!$AZ$17&lt;=DX$6),'Lease Cycles'!$C$17*'Lease Cycles'!$BA$17/12,IF(AND('Lease Cycles'!$AX$17&gt;=INDEX('Lease Cycles'!$BG$17:$BM$17,1,DX163),'Lease Cycles'!$AX$17&lt;=DX$6),'Lease Cycles'!$C$17*'Lease Cycles'!$AY$17/12,IF(AND('Lease Cycles'!$AV$17&gt;=INDEX('Lease Cycles'!$BG$17:$BM$17,1,DX163),'Lease Cycles'!$AV$17&lt;=DX$6),'Lease Cycles'!$C$17*'Lease Cycles'!$AW$17/12,IF(AND('Lease Cycles'!$AT$17&gt;=INDEX('Lease Cycles'!$BG$17:$BM$17,1,DX163),'Lease Cycles'!$AT$17&lt;=DX$6),'Lease Cycles'!$C$17*'Lease Cycles'!$AU$17/12,'Lease Cycles'!$C$17*INDEX('Lease Cycles'!$CB$17:$CH$17,1,DX163)*(1+INDEX('Lease Cycles'!$CI$17:$CO$17,1,DX163))^INT(INT(DX164/12)/INDEX('Lease Cycles'!$CP$17:$CV$17,1,DX163))/12)))),'Lease Cycles'!$C$17*INDEX('Lease Cycles'!$CB$17:$CH$17,1,DX163)*(1+INDEX('Lease Cycles'!$CI$17:$CO$17,1,DX163))^INT(INT(DX164/12)/INDEX('Lease Cycles'!$CP$17:$CV$17,1,DX163))/12))),IF('Lease Cycles'!$N$17=1,'Lease Cycles'!$C$17*'Lease Cycles'!$E$17*INDEX('Lease Cycles'!$HE$17:$HK$17,1,DX163)*(1+INDEX('Lease Cycles'!$GQ$17:$GW$17,1,DX163))^INT(INT((DX$6-INDEX('Lease Cycles'!$GJ$17:$GP$17,1,DX163))/12)/INDEX('Lease Cycles'!$GX$17:$HD$17,1,DX163))/12,0)))</f>
        <v>3132.4058860979094</v>
      </c>
      <c r="DY166" s="28">
        <f>IF(DY163=0,IF('Lease Cycles'!$F$17&gt;0,'Lease Cycles'!$C$17*'Lease Cycles'!$E$17/12,0),IF(DY165=1,IF('Lease Cycles'!$AT$17&gt;=9999,'Lease Cycles'!$C$17*INDEX('Lease Cycles'!$CB$17:$CH$17,1,DY163)*(1+INDEX('Lease Cycles'!$CI$17:$CO$17,1,DY163))^INT(INT(DY164/12)/INDEX('Lease Cycles'!$CP$17:$CV$17,1,DY163))/12,IF(DY163=1,IF(DY164&gt;=INDEX('Lease Cycles'!$DK$17:$DQ$17,1,DY163),IF(DY$6&gt;='Lease Cycles'!$AZ$17,'Lease Cycles'!$C$17*'Lease Cycles'!$BA$17/12,IF(DY$6&gt;='Lease Cycles'!$AX$17,'Lease Cycles'!$C$17*'Lease Cycles'!$AY$17/12,IF(DY$6&gt;='Lease Cycles'!$AV$17,'Lease Cycles'!$C$17*'Lease Cycles'!$AW$17/12,IF(DY$6&gt;='Lease Cycles'!$AT$17,'Lease Cycles'!$C$17*'Lease Cycles'!$AU$17/12,'Lease Cycles'!$C$17*INDEX('Lease Cycles'!$CB$17:$CH$17,1,DY163)*(1+INDEX('Lease Cycles'!$CI$17:$CO$17,1,DY163))^INT(INT(DY164/12)/INDEX('Lease Cycles'!$CP$17:$CV$17,1,DY163))/12)))),'Lease Cycles'!$C$17*INDEX('Lease Cycles'!$CB$17:$CH$17,1,DY163)*(1+INDEX('Lease Cycles'!$CI$17:$CO$17,1,DY163))^INT(INT(DY164/12)/INDEX('Lease Cycles'!$CP$17:$CV$17,1,DY163))/12),IF(INDEX('Lease Cycles'!$EF$17:$EL$17,1,DY163)=1,IF(AND('Lease Cycles'!$AZ$17&gt;=INDEX('Lease Cycles'!$BG$17:$BM$17,1,DY163),'Lease Cycles'!$AZ$17&lt;=DY$6),'Lease Cycles'!$C$17*'Lease Cycles'!$BA$17/12,IF(AND('Lease Cycles'!$AX$17&gt;=INDEX('Lease Cycles'!$BG$17:$BM$17,1,DY163),'Lease Cycles'!$AX$17&lt;=DY$6),'Lease Cycles'!$C$17*'Lease Cycles'!$AY$17/12,IF(AND('Lease Cycles'!$AV$17&gt;=INDEX('Lease Cycles'!$BG$17:$BM$17,1,DY163),'Lease Cycles'!$AV$17&lt;=DY$6),'Lease Cycles'!$C$17*'Lease Cycles'!$AW$17/12,IF(AND('Lease Cycles'!$AT$17&gt;=INDEX('Lease Cycles'!$BG$17:$BM$17,1,DY163),'Lease Cycles'!$AT$17&lt;=DY$6),'Lease Cycles'!$C$17*'Lease Cycles'!$AU$17/12,'Lease Cycles'!$C$17*INDEX('Lease Cycles'!$CB$17:$CH$17,1,DY163)*(1+INDEX('Lease Cycles'!$CI$17:$CO$17,1,DY163))^INT(INT(DY164/12)/INDEX('Lease Cycles'!$CP$17:$CV$17,1,DY163))/12)))),'Lease Cycles'!$C$17*INDEX('Lease Cycles'!$CB$17:$CH$17,1,DY163)*(1+INDEX('Lease Cycles'!$CI$17:$CO$17,1,DY163))^INT(INT(DY164/12)/INDEX('Lease Cycles'!$CP$17:$CV$17,1,DY163))/12))),IF('Lease Cycles'!$N$17=1,'Lease Cycles'!$C$17*'Lease Cycles'!$E$17*INDEX('Lease Cycles'!$HE$17:$HK$17,1,DY163)*(1+INDEX('Lease Cycles'!$GQ$17:$GW$17,1,DY163))^INT(INT((DY$6-INDEX('Lease Cycles'!$GJ$17:$GP$17,1,DY163))/12)/INDEX('Lease Cycles'!$GX$17:$HD$17,1,DY163))/12,0)))</f>
        <v>3132.4058860979094</v>
      </c>
      <c r="DZ166" s="28">
        <f>IF(DZ163=0,IF('Lease Cycles'!$F$17&gt;0,'Lease Cycles'!$C$17*'Lease Cycles'!$E$17/12,0),IF(DZ165=1,IF('Lease Cycles'!$AT$17&gt;=9999,'Lease Cycles'!$C$17*INDEX('Lease Cycles'!$CB$17:$CH$17,1,DZ163)*(1+INDEX('Lease Cycles'!$CI$17:$CO$17,1,DZ163))^INT(INT(DZ164/12)/INDEX('Lease Cycles'!$CP$17:$CV$17,1,DZ163))/12,IF(DZ163=1,IF(DZ164&gt;=INDEX('Lease Cycles'!$DK$17:$DQ$17,1,DZ163),IF(DZ$6&gt;='Lease Cycles'!$AZ$17,'Lease Cycles'!$C$17*'Lease Cycles'!$BA$17/12,IF(DZ$6&gt;='Lease Cycles'!$AX$17,'Lease Cycles'!$C$17*'Lease Cycles'!$AY$17/12,IF(DZ$6&gt;='Lease Cycles'!$AV$17,'Lease Cycles'!$C$17*'Lease Cycles'!$AW$17/12,IF(DZ$6&gt;='Lease Cycles'!$AT$17,'Lease Cycles'!$C$17*'Lease Cycles'!$AU$17/12,'Lease Cycles'!$C$17*INDEX('Lease Cycles'!$CB$17:$CH$17,1,DZ163)*(1+INDEX('Lease Cycles'!$CI$17:$CO$17,1,DZ163))^INT(INT(DZ164/12)/INDEX('Lease Cycles'!$CP$17:$CV$17,1,DZ163))/12)))),'Lease Cycles'!$C$17*INDEX('Lease Cycles'!$CB$17:$CH$17,1,DZ163)*(1+INDEX('Lease Cycles'!$CI$17:$CO$17,1,DZ163))^INT(INT(DZ164/12)/INDEX('Lease Cycles'!$CP$17:$CV$17,1,DZ163))/12),IF(INDEX('Lease Cycles'!$EF$17:$EL$17,1,DZ163)=1,IF(AND('Lease Cycles'!$AZ$17&gt;=INDEX('Lease Cycles'!$BG$17:$BM$17,1,DZ163),'Lease Cycles'!$AZ$17&lt;=DZ$6),'Lease Cycles'!$C$17*'Lease Cycles'!$BA$17/12,IF(AND('Lease Cycles'!$AX$17&gt;=INDEX('Lease Cycles'!$BG$17:$BM$17,1,DZ163),'Lease Cycles'!$AX$17&lt;=DZ$6),'Lease Cycles'!$C$17*'Lease Cycles'!$AY$17/12,IF(AND('Lease Cycles'!$AV$17&gt;=INDEX('Lease Cycles'!$BG$17:$BM$17,1,DZ163),'Lease Cycles'!$AV$17&lt;=DZ$6),'Lease Cycles'!$C$17*'Lease Cycles'!$AW$17/12,IF(AND('Lease Cycles'!$AT$17&gt;=INDEX('Lease Cycles'!$BG$17:$BM$17,1,DZ163),'Lease Cycles'!$AT$17&lt;=DZ$6),'Lease Cycles'!$C$17*'Lease Cycles'!$AU$17/12,'Lease Cycles'!$C$17*INDEX('Lease Cycles'!$CB$17:$CH$17,1,DZ163)*(1+INDEX('Lease Cycles'!$CI$17:$CO$17,1,DZ163))^INT(INT(DZ164/12)/INDEX('Lease Cycles'!$CP$17:$CV$17,1,DZ163))/12)))),'Lease Cycles'!$C$17*INDEX('Lease Cycles'!$CB$17:$CH$17,1,DZ163)*(1+INDEX('Lease Cycles'!$CI$17:$CO$17,1,DZ163))^INT(INT(DZ164/12)/INDEX('Lease Cycles'!$CP$17:$CV$17,1,DZ163))/12))),IF('Lease Cycles'!$N$17=1,'Lease Cycles'!$C$17*'Lease Cycles'!$E$17*INDEX('Lease Cycles'!$HE$17:$HK$17,1,DZ163)*(1+INDEX('Lease Cycles'!$GQ$17:$GW$17,1,DZ163))^INT(INT((DZ$6-INDEX('Lease Cycles'!$GJ$17:$GP$17,1,DZ163))/12)/INDEX('Lease Cycles'!$GX$17:$HD$17,1,DZ163))/12,0)))</f>
        <v>3132.4058860979094</v>
      </c>
      <c r="EA166" s="28">
        <f>IF(EA163=0,IF('Lease Cycles'!$F$17&gt;0,'Lease Cycles'!$C$17*'Lease Cycles'!$E$17/12,0),IF(EA165=1,IF('Lease Cycles'!$AT$17&gt;=9999,'Lease Cycles'!$C$17*INDEX('Lease Cycles'!$CB$17:$CH$17,1,EA163)*(1+INDEX('Lease Cycles'!$CI$17:$CO$17,1,EA163))^INT(INT(EA164/12)/INDEX('Lease Cycles'!$CP$17:$CV$17,1,EA163))/12,IF(EA163=1,IF(EA164&gt;=INDEX('Lease Cycles'!$DK$17:$DQ$17,1,EA163),IF(EA$6&gt;='Lease Cycles'!$AZ$17,'Lease Cycles'!$C$17*'Lease Cycles'!$BA$17/12,IF(EA$6&gt;='Lease Cycles'!$AX$17,'Lease Cycles'!$C$17*'Lease Cycles'!$AY$17/12,IF(EA$6&gt;='Lease Cycles'!$AV$17,'Lease Cycles'!$C$17*'Lease Cycles'!$AW$17/12,IF(EA$6&gt;='Lease Cycles'!$AT$17,'Lease Cycles'!$C$17*'Lease Cycles'!$AU$17/12,'Lease Cycles'!$C$17*INDEX('Lease Cycles'!$CB$17:$CH$17,1,EA163)*(1+INDEX('Lease Cycles'!$CI$17:$CO$17,1,EA163))^INT(INT(EA164/12)/INDEX('Lease Cycles'!$CP$17:$CV$17,1,EA163))/12)))),'Lease Cycles'!$C$17*INDEX('Lease Cycles'!$CB$17:$CH$17,1,EA163)*(1+INDEX('Lease Cycles'!$CI$17:$CO$17,1,EA163))^INT(INT(EA164/12)/INDEX('Lease Cycles'!$CP$17:$CV$17,1,EA163))/12),IF(INDEX('Lease Cycles'!$EF$17:$EL$17,1,EA163)=1,IF(AND('Lease Cycles'!$AZ$17&gt;=INDEX('Lease Cycles'!$BG$17:$BM$17,1,EA163),'Lease Cycles'!$AZ$17&lt;=EA$6),'Lease Cycles'!$C$17*'Lease Cycles'!$BA$17/12,IF(AND('Lease Cycles'!$AX$17&gt;=INDEX('Lease Cycles'!$BG$17:$BM$17,1,EA163),'Lease Cycles'!$AX$17&lt;=EA$6),'Lease Cycles'!$C$17*'Lease Cycles'!$AY$17/12,IF(AND('Lease Cycles'!$AV$17&gt;=INDEX('Lease Cycles'!$BG$17:$BM$17,1,EA163),'Lease Cycles'!$AV$17&lt;=EA$6),'Lease Cycles'!$C$17*'Lease Cycles'!$AW$17/12,IF(AND('Lease Cycles'!$AT$17&gt;=INDEX('Lease Cycles'!$BG$17:$BM$17,1,EA163),'Lease Cycles'!$AT$17&lt;=EA$6),'Lease Cycles'!$C$17*'Lease Cycles'!$AU$17/12,'Lease Cycles'!$C$17*INDEX('Lease Cycles'!$CB$17:$CH$17,1,EA163)*(1+INDEX('Lease Cycles'!$CI$17:$CO$17,1,EA163))^INT(INT(EA164/12)/INDEX('Lease Cycles'!$CP$17:$CV$17,1,EA163))/12)))),'Lease Cycles'!$C$17*INDEX('Lease Cycles'!$CB$17:$CH$17,1,EA163)*(1+INDEX('Lease Cycles'!$CI$17:$CO$17,1,EA163))^INT(INT(EA164/12)/INDEX('Lease Cycles'!$CP$17:$CV$17,1,EA163))/12))),IF('Lease Cycles'!$N$17=1,'Lease Cycles'!$C$17*'Lease Cycles'!$E$17*INDEX('Lease Cycles'!$HE$17:$HK$17,1,EA163)*(1+INDEX('Lease Cycles'!$GQ$17:$GW$17,1,EA163))^INT(INT((EA$6-INDEX('Lease Cycles'!$GJ$17:$GP$17,1,EA163))/12)/INDEX('Lease Cycles'!$GX$17:$HD$17,1,EA163))/12,0)))</f>
        <v>3132.4058860979094</v>
      </c>
      <c r="EB166" s="28">
        <f>IF(EB163=0,IF('Lease Cycles'!$F$17&gt;0,'Lease Cycles'!$C$17*'Lease Cycles'!$E$17/12,0),IF(EB165=1,IF('Lease Cycles'!$AT$17&gt;=9999,'Lease Cycles'!$C$17*INDEX('Lease Cycles'!$CB$17:$CH$17,1,EB163)*(1+INDEX('Lease Cycles'!$CI$17:$CO$17,1,EB163))^INT(INT(EB164/12)/INDEX('Lease Cycles'!$CP$17:$CV$17,1,EB163))/12,IF(EB163=1,IF(EB164&gt;=INDEX('Lease Cycles'!$DK$17:$DQ$17,1,EB163),IF(EB$6&gt;='Lease Cycles'!$AZ$17,'Lease Cycles'!$C$17*'Lease Cycles'!$BA$17/12,IF(EB$6&gt;='Lease Cycles'!$AX$17,'Lease Cycles'!$C$17*'Lease Cycles'!$AY$17/12,IF(EB$6&gt;='Lease Cycles'!$AV$17,'Lease Cycles'!$C$17*'Lease Cycles'!$AW$17/12,IF(EB$6&gt;='Lease Cycles'!$AT$17,'Lease Cycles'!$C$17*'Lease Cycles'!$AU$17/12,'Lease Cycles'!$C$17*INDEX('Lease Cycles'!$CB$17:$CH$17,1,EB163)*(1+INDEX('Lease Cycles'!$CI$17:$CO$17,1,EB163))^INT(INT(EB164/12)/INDEX('Lease Cycles'!$CP$17:$CV$17,1,EB163))/12)))),'Lease Cycles'!$C$17*INDEX('Lease Cycles'!$CB$17:$CH$17,1,EB163)*(1+INDEX('Lease Cycles'!$CI$17:$CO$17,1,EB163))^INT(INT(EB164/12)/INDEX('Lease Cycles'!$CP$17:$CV$17,1,EB163))/12),IF(INDEX('Lease Cycles'!$EF$17:$EL$17,1,EB163)=1,IF(AND('Lease Cycles'!$AZ$17&gt;=INDEX('Lease Cycles'!$BG$17:$BM$17,1,EB163),'Lease Cycles'!$AZ$17&lt;=EB$6),'Lease Cycles'!$C$17*'Lease Cycles'!$BA$17/12,IF(AND('Lease Cycles'!$AX$17&gt;=INDEX('Lease Cycles'!$BG$17:$BM$17,1,EB163),'Lease Cycles'!$AX$17&lt;=EB$6),'Lease Cycles'!$C$17*'Lease Cycles'!$AY$17/12,IF(AND('Lease Cycles'!$AV$17&gt;=INDEX('Lease Cycles'!$BG$17:$BM$17,1,EB163),'Lease Cycles'!$AV$17&lt;=EB$6),'Lease Cycles'!$C$17*'Lease Cycles'!$AW$17/12,IF(AND('Lease Cycles'!$AT$17&gt;=INDEX('Lease Cycles'!$BG$17:$BM$17,1,EB163),'Lease Cycles'!$AT$17&lt;=EB$6),'Lease Cycles'!$C$17*'Lease Cycles'!$AU$17/12,'Lease Cycles'!$C$17*INDEX('Lease Cycles'!$CB$17:$CH$17,1,EB163)*(1+INDEX('Lease Cycles'!$CI$17:$CO$17,1,EB163))^INT(INT(EB164/12)/INDEX('Lease Cycles'!$CP$17:$CV$17,1,EB163))/12)))),'Lease Cycles'!$C$17*INDEX('Lease Cycles'!$CB$17:$CH$17,1,EB163)*(1+INDEX('Lease Cycles'!$CI$17:$CO$17,1,EB163))^INT(INT(EB164/12)/INDEX('Lease Cycles'!$CP$17:$CV$17,1,EB163))/12))),IF('Lease Cycles'!$N$17=1,'Lease Cycles'!$C$17*'Lease Cycles'!$E$17*INDEX('Lease Cycles'!$HE$17:$HK$17,1,EB163)*(1+INDEX('Lease Cycles'!$GQ$17:$GW$17,1,EB163))^INT(INT((EB$6-INDEX('Lease Cycles'!$GJ$17:$GP$17,1,EB163))/12)/INDEX('Lease Cycles'!$GX$17:$HD$17,1,EB163))/12,0)))</f>
        <v>3132.4058860979094</v>
      </c>
      <c r="EC166" s="28">
        <f>IF(EC163=0,IF('Lease Cycles'!$F$17&gt;0,'Lease Cycles'!$C$17*'Lease Cycles'!$E$17/12,0),IF(EC165=1,IF('Lease Cycles'!$AT$17&gt;=9999,'Lease Cycles'!$C$17*INDEX('Lease Cycles'!$CB$17:$CH$17,1,EC163)*(1+INDEX('Lease Cycles'!$CI$17:$CO$17,1,EC163))^INT(INT(EC164/12)/INDEX('Lease Cycles'!$CP$17:$CV$17,1,EC163))/12,IF(EC163=1,IF(EC164&gt;=INDEX('Lease Cycles'!$DK$17:$DQ$17,1,EC163),IF(EC$6&gt;='Lease Cycles'!$AZ$17,'Lease Cycles'!$C$17*'Lease Cycles'!$BA$17/12,IF(EC$6&gt;='Lease Cycles'!$AX$17,'Lease Cycles'!$C$17*'Lease Cycles'!$AY$17/12,IF(EC$6&gt;='Lease Cycles'!$AV$17,'Lease Cycles'!$C$17*'Lease Cycles'!$AW$17/12,IF(EC$6&gt;='Lease Cycles'!$AT$17,'Lease Cycles'!$C$17*'Lease Cycles'!$AU$17/12,'Lease Cycles'!$C$17*INDEX('Lease Cycles'!$CB$17:$CH$17,1,EC163)*(1+INDEX('Lease Cycles'!$CI$17:$CO$17,1,EC163))^INT(INT(EC164/12)/INDEX('Lease Cycles'!$CP$17:$CV$17,1,EC163))/12)))),'Lease Cycles'!$C$17*INDEX('Lease Cycles'!$CB$17:$CH$17,1,EC163)*(1+INDEX('Lease Cycles'!$CI$17:$CO$17,1,EC163))^INT(INT(EC164/12)/INDEX('Lease Cycles'!$CP$17:$CV$17,1,EC163))/12),IF(INDEX('Lease Cycles'!$EF$17:$EL$17,1,EC163)=1,IF(AND('Lease Cycles'!$AZ$17&gt;=INDEX('Lease Cycles'!$BG$17:$BM$17,1,EC163),'Lease Cycles'!$AZ$17&lt;=EC$6),'Lease Cycles'!$C$17*'Lease Cycles'!$BA$17/12,IF(AND('Lease Cycles'!$AX$17&gt;=INDEX('Lease Cycles'!$BG$17:$BM$17,1,EC163),'Lease Cycles'!$AX$17&lt;=EC$6),'Lease Cycles'!$C$17*'Lease Cycles'!$AY$17/12,IF(AND('Lease Cycles'!$AV$17&gt;=INDEX('Lease Cycles'!$BG$17:$BM$17,1,EC163),'Lease Cycles'!$AV$17&lt;=EC$6),'Lease Cycles'!$C$17*'Lease Cycles'!$AW$17/12,IF(AND('Lease Cycles'!$AT$17&gt;=INDEX('Lease Cycles'!$BG$17:$BM$17,1,EC163),'Lease Cycles'!$AT$17&lt;=EC$6),'Lease Cycles'!$C$17*'Lease Cycles'!$AU$17/12,'Lease Cycles'!$C$17*INDEX('Lease Cycles'!$CB$17:$CH$17,1,EC163)*(1+INDEX('Lease Cycles'!$CI$17:$CO$17,1,EC163))^INT(INT(EC164/12)/INDEX('Lease Cycles'!$CP$17:$CV$17,1,EC163))/12)))),'Lease Cycles'!$C$17*INDEX('Lease Cycles'!$CB$17:$CH$17,1,EC163)*(1+INDEX('Lease Cycles'!$CI$17:$CO$17,1,EC163))^INT(INT(EC164/12)/INDEX('Lease Cycles'!$CP$17:$CV$17,1,EC163))/12))),IF('Lease Cycles'!$N$17=1,'Lease Cycles'!$C$17*'Lease Cycles'!$E$17*INDEX('Lease Cycles'!$HE$17:$HK$17,1,EC163)*(1+INDEX('Lease Cycles'!$GQ$17:$GW$17,1,EC163))^INT(INT((EC$6-INDEX('Lease Cycles'!$GJ$17:$GP$17,1,EC163))/12)/INDEX('Lease Cycles'!$GX$17:$HD$17,1,EC163))/12,0)))</f>
        <v>3132.4058860979094</v>
      </c>
      <c r="ED166" s="28">
        <f>IF(ED163=0,IF('Lease Cycles'!$F$17&gt;0,'Lease Cycles'!$C$17*'Lease Cycles'!$E$17/12,0),IF(ED165=1,IF('Lease Cycles'!$AT$17&gt;=9999,'Lease Cycles'!$C$17*INDEX('Lease Cycles'!$CB$17:$CH$17,1,ED163)*(1+INDEX('Lease Cycles'!$CI$17:$CO$17,1,ED163))^INT(INT(ED164/12)/INDEX('Lease Cycles'!$CP$17:$CV$17,1,ED163))/12,IF(ED163=1,IF(ED164&gt;=INDEX('Lease Cycles'!$DK$17:$DQ$17,1,ED163),IF(ED$6&gt;='Lease Cycles'!$AZ$17,'Lease Cycles'!$C$17*'Lease Cycles'!$BA$17/12,IF(ED$6&gt;='Lease Cycles'!$AX$17,'Lease Cycles'!$C$17*'Lease Cycles'!$AY$17/12,IF(ED$6&gt;='Lease Cycles'!$AV$17,'Lease Cycles'!$C$17*'Lease Cycles'!$AW$17/12,IF(ED$6&gt;='Lease Cycles'!$AT$17,'Lease Cycles'!$C$17*'Lease Cycles'!$AU$17/12,'Lease Cycles'!$C$17*INDEX('Lease Cycles'!$CB$17:$CH$17,1,ED163)*(1+INDEX('Lease Cycles'!$CI$17:$CO$17,1,ED163))^INT(INT(ED164/12)/INDEX('Lease Cycles'!$CP$17:$CV$17,1,ED163))/12)))),'Lease Cycles'!$C$17*INDEX('Lease Cycles'!$CB$17:$CH$17,1,ED163)*(1+INDEX('Lease Cycles'!$CI$17:$CO$17,1,ED163))^INT(INT(ED164/12)/INDEX('Lease Cycles'!$CP$17:$CV$17,1,ED163))/12),IF(INDEX('Lease Cycles'!$EF$17:$EL$17,1,ED163)=1,IF(AND('Lease Cycles'!$AZ$17&gt;=INDEX('Lease Cycles'!$BG$17:$BM$17,1,ED163),'Lease Cycles'!$AZ$17&lt;=ED$6),'Lease Cycles'!$C$17*'Lease Cycles'!$BA$17/12,IF(AND('Lease Cycles'!$AX$17&gt;=INDEX('Lease Cycles'!$BG$17:$BM$17,1,ED163),'Lease Cycles'!$AX$17&lt;=ED$6),'Lease Cycles'!$C$17*'Lease Cycles'!$AY$17/12,IF(AND('Lease Cycles'!$AV$17&gt;=INDEX('Lease Cycles'!$BG$17:$BM$17,1,ED163),'Lease Cycles'!$AV$17&lt;=ED$6),'Lease Cycles'!$C$17*'Lease Cycles'!$AW$17/12,IF(AND('Lease Cycles'!$AT$17&gt;=INDEX('Lease Cycles'!$BG$17:$BM$17,1,ED163),'Lease Cycles'!$AT$17&lt;=ED$6),'Lease Cycles'!$C$17*'Lease Cycles'!$AU$17/12,'Lease Cycles'!$C$17*INDEX('Lease Cycles'!$CB$17:$CH$17,1,ED163)*(1+INDEX('Lease Cycles'!$CI$17:$CO$17,1,ED163))^INT(INT(ED164/12)/INDEX('Lease Cycles'!$CP$17:$CV$17,1,ED163))/12)))),'Lease Cycles'!$C$17*INDEX('Lease Cycles'!$CB$17:$CH$17,1,ED163)*(1+INDEX('Lease Cycles'!$CI$17:$CO$17,1,ED163))^INT(INT(ED164/12)/INDEX('Lease Cycles'!$CP$17:$CV$17,1,ED163))/12))),IF('Lease Cycles'!$N$17=1,'Lease Cycles'!$C$17*'Lease Cycles'!$E$17*INDEX('Lease Cycles'!$HE$17:$HK$17,1,ED163)*(1+INDEX('Lease Cycles'!$GQ$17:$GW$17,1,ED163))^INT(INT((ED$6-INDEX('Lease Cycles'!$GJ$17:$GP$17,1,ED163))/12)/INDEX('Lease Cycles'!$GX$17:$HD$17,1,ED163))/12,0)))</f>
        <v>3132.4058860979094</v>
      </c>
      <c r="EE166" s="28">
        <f>IF(EE163=0,IF('Lease Cycles'!$F$17&gt;0,'Lease Cycles'!$C$17*'Lease Cycles'!$E$17/12,0),IF(EE165=1,IF('Lease Cycles'!$AT$17&gt;=9999,'Lease Cycles'!$C$17*INDEX('Lease Cycles'!$CB$17:$CH$17,1,EE163)*(1+INDEX('Lease Cycles'!$CI$17:$CO$17,1,EE163))^INT(INT(EE164/12)/INDEX('Lease Cycles'!$CP$17:$CV$17,1,EE163))/12,IF(EE163=1,IF(EE164&gt;=INDEX('Lease Cycles'!$DK$17:$DQ$17,1,EE163),IF(EE$6&gt;='Lease Cycles'!$AZ$17,'Lease Cycles'!$C$17*'Lease Cycles'!$BA$17/12,IF(EE$6&gt;='Lease Cycles'!$AX$17,'Lease Cycles'!$C$17*'Lease Cycles'!$AY$17/12,IF(EE$6&gt;='Lease Cycles'!$AV$17,'Lease Cycles'!$C$17*'Lease Cycles'!$AW$17/12,IF(EE$6&gt;='Lease Cycles'!$AT$17,'Lease Cycles'!$C$17*'Lease Cycles'!$AU$17/12,'Lease Cycles'!$C$17*INDEX('Lease Cycles'!$CB$17:$CH$17,1,EE163)*(1+INDEX('Lease Cycles'!$CI$17:$CO$17,1,EE163))^INT(INT(EE164/12)/INDEX('Lease Cycles'!$CP$17:$CV$17,1,EE163))/12)))),'Lease Cycles'!$C$17*INDEX('Lease Cycles'!$CB$17:$CH$17,1,EE163)*(1+INDEX('Lease Cycles'!$CI$17:$CO$17,1,EE163))^INT(INT(EE164/12)/INDEX('Lease Cycles'!$CP$17:$CV$17,1,EE163))/12),IF(INDEX('Lease Cycles'!$EF$17:$EL$17,1,EE163)=1,IF(AND('Lease Cycles'!$AZ$17&gt;=INDEX('Lease Cycles'!$BG$17:$BM$17,1,EE163),'Lease Cycles'!$AZ$17&lt;=EE$6),'Lease Cycles'!$C$17*'Lease Cycles'!$BA$17/12,IF(AND('Lease Cycles'!$AX$17&gt;=INDEX('Lease Cycles'!$BG$17:$BM$17,1,EE163),'Lease Cycles'!$AX$17&lt;=EE$6),'Lease Cycles'!$C$17*'Lease Cycles'!$AY$17/12,IF(AND('Lease Cycles'!$AV$17&gt;=INDEX('Lease Cycles'!$BG$17:$BM$17,1,EE163),'Lease Cycles'!$AV$17&lt;=EE$6),'Lease Cycles'!$C$17*'Lease Cycles'!$AW$17/12,IF(AND('Lease Cycles'!$AT$17&gt;=INDEX('Lease Cycles'!$BG$17:$BM$17,1,EE163),'Lease Cycles'!$AT$17&lt;=EE$6),'Lease Cycles'!$C$17*'Lease Cycles'!$AU$17/12,'Lease Cycles'!$C$17*INDEX('Lease Cycles'!$CB$17:$CH$17,1,EE163)*(1+INDEX('Lease Cycles'!$CI$17:$CO$17,1,EE163))^INT(INT(EE164/12)/INDEX('Lease Cycles'!$CP$17:$CV$17,1,EE163))/12)))),'Lease Cycles'!$C$17*INDEX('Lease Cycles'!$CB$17:$CH$17,1,EE163)*(1+INDEX('Lease Cycles'!$CI$17:$CO$17,1,EE163))^INT(INT(EE164/12)/INDEX('Lease Cycles'!$CP$17:$CV$17,1,EE163))/12))),IF('Lease Cycles'!$N$17=1,'Lease Cycles'!$C$17*'Lease Cycles'!$E$17*INDEX('Lease Cycles'!$HE$17:$HK$17,1,EE163)*(1+INDEX('Lease Cycles'!$GQ$17:$GW$17,1,EE163))^INT(INT((EE$6-INDEX('Lease Cycles'!$GJ$17:$GP$17,1,EE163))/12)/INDEX('Lease Cycles'!$GX$17:$HD$17,1,EE163))/12,0)))</f>
        <v>3132.4058860979094</v>
      </c>
      <c r="EF166" s="28">
        <f>IF(EF163=0,IF('Lease Cycles'!$F$17&gt;0,'Lease Cycles'!$C$17*'Lease Cycles'!$E$17/12,0),IF(EF165=1,IF('Lease Cycles'!$AT$17&gt;=9999,'Lease Cycles'!$C$17*INDEX('Lease Cycles'!$CB$17:$CH$17,1,EF163)*(1+INDEX('Lease Cycles'!$CI$17:$CO$17,1,EF163))^INT(INT(EF164/12)/INDEX('Lease Cycles'!$CP$17:$CV$17,1,EF163))/12,IF(EF163=1,IF(EF164&gt;=INDEX('Lease Cycles'!$DK$17:$DQ$17,1,EF163),IF(EF$6&gt;='Lease Cycles'!$AZ$17,'Lease Cycles'!$C$17*'Lease Cycles'!$BA$17/12,IF(EF$6&gt;='Lease Cycles'!$AX$17,'Lease Cycles'!$C$17*'Lease Cycles'!$AY$17/12,IF(EF$6&gt;='Lease Cycles'!$AV$17,'Lease Cycles'!$C$17*'Lease Cycles'!$AW$17/12,IF(EF$6&gt;='Lease Cycles'!$AT$17,'Lease Cycles'!$C$17*'Lease Cycles'!$AU$17/12,'Lease Cycles'!$C$17*INDEX('Lease Cycles'!$CB$17:$CH$17,1,EF163)*(1+INDEX('Lease Cycles'!$CI$17:$CO$17,1,EF163))^INT(INT(EF164/12)/INDEX('Lease Cycles'!$CP$17:$CV$17,1,EF163))/12)))),'Lease Cycles'!$C$17*INDEX('Lease Cycles'!$CB$17:$CH$17,1,EF163)*(1+INDEX('Lease Cycles'!$CI$17:$CO$17,1,EF163))^INT(INT(EF164/12)/INDEX('Lease Cycles'!$CP$17:$CV$17,1,EF163))/12),IF(INDEX('Lease Cycles'!$EF$17:$EL$17,1,EF163)=1,IF(AND('Lease Cycles'!$AZ$17&gt;=INDEX('Lease Cycles'!$BG$17:$BM$17,1,EF163),'Lease Cycles'!$AZ$17&lt;=EF$6),'Lease Cycles'!$C$17*'Lease Cycles'!$BA$17/12,IF(AND('Lease Cycles'!$AX$17&gt;=INDEX('Lease Cycles'!$BG$17:$BM$17,1,EF163),'Lease Cycles'!$AX$17&lt;=EF$6),'Lease Cycles'!$C$17*'Lease Cycles'!$AY$17/12,IF(AND('Lease Cycles'!$AV$17&gt;=INDEX('Lease Cycles'!$BG$17:$BM$17,1,EF163),'Lease Cycles'!$AV$17&lt;=EF$6),'Lease Cycles'!$C$17*'Lease Cycles'!$AW$17/12,IF(AND('Lease Cycles'!$AT$17&gt;=INDEX('Lease Cycles'!$BG$17:$BM$17,1,EF163),'Lease Cycles'!$AT$17&lt;=EF$6),'Lease Cycles'!$C$17*'Lease Cycles'!$AU$17/12,'Lease Cycles'!$C$17*INDEX('Lease Cycles'!$CB$17:$CH$17,1,EF163)*(1+INDEX('Lease Cycles'!$CI$17:$CO$17,1,EF163))^INT(INT(EF164/12)/INDEX('Lease Cycles'!$CP$17:$CV$17,1,EF163))/12)))),'Lease Cycles'!$C$17*INDEX('Lease Cycles'!$CB$17:$CH$17,1,EF163)*(1+INDEX('Lease Cycles'!$CI$17:$CO$17,1,EF163))^INT(INT(EF164/12)/INDEX('Lease Cycles'!$CP$17:$CV$17,1,EF163))/12))),IF('Lease Cycles'!$N$17=1,'Lease Cycles'!$C$17*'Lease Cycles'!$E$17*INDEX('Lease Cycles'!$HE$17:$HK$17,1,EF163)*(1+INDEX('Lease Cycles'!$GQ$17:$GW$17,1,EF163))^INT(INT((EF$6-INDEX('Lease Cycles'!$GJ$17:$GP$17,1,EF163))/12)/INDEX('Lease Cycles'!$GX$17:$HD$17,1,EF163))/12,0)))</f>
        <v>3132.4058860979094</v>
      </c>
      <c r="EG166" s="28">
        <f>IF(EG163=0,IF('Lease Cycles'!$F$17&gt;0,'Lease Cycles'!$C$17*'Lease Cycles'!$E$17/12,0),IF(EG165=1,IF('Lease Cycles'!$AT$17&gt;=9999,'Lease Cycles'!$C$17*INDEX('Lease Cycles'!$CB$17:$CH$17,1,EG163)*(1+INDEX('Lease Cycles'!$CI$17:$CO$17,1,EG163))^INT(INT(EG164/12)/INDEX('Lease Cycles'!$CP$17:$CV$17,1,EG163))/12,IF(EG163=1,IF(EG164&gt;=INDEX('Lease Cycles'!$DK$17:$DQ$17,1,EG163),IF(EG$6&gt;='Lease Cycles'!$AZ$17,'Lease Cycles'!$C$17*'Lease Cycles'!$BA$17/12,IF(EG$6&gt;='Lease Cycles'!$AX$17,'Lease Cycles'!$C$17*'Lease Cycles'!$AY$17/12,IF(EG$6&gt;='Lease Cycles'!$AV$17,'Lease Cycles'!$C$17*'Lease Cycles'!$AW$17/12,IF(EG$6&gt;='Lease Cycles'!$AT$17,'Lease Cycles'!$C$17*'Lease Cycles'!$AU$17/12,'Lease Cycles'!$C$17*INDEX('Lease Cycles'!$CB$17:$CH$17,1,EG163)*(1+INDEX('Lease Cycles'!$CI$17:$CO$17,1,EG163))^INT(INT(EG164/12)/INDEX('Lease Cycles'!$CP$17:$CV$17,1,EG163))/12)))),'Lease Cycles'!$C$17*INDEX('Lease Cycles'!$CB$17:$CH$17,1,EG163)*(1+INDEX('Lease Cycles'!$CI$17:$CO$17,1,EG163))^INT(INT(EG164/12)/INDEX('Lease Cycles'!$CP$17:$CV$17,1,EG163))/12),IF(INDEX('Lease Cycles'!$EF$17:$EL$17,1,EG163)=1,IF(AND('Lease Cycles'!$AZ$17&gt;=INDEX('Lease Cycles'!$BG$17:$BM$17,1,EG163),'Lease Cycles'!$AZ$17&lt;=EG$6),'Lease Cycles'!$C$17*'Lease Cycles'!$BA$17/12,IF(AND('Lease Cycles'!$AX$17&gt;=INDEX('Lease Cycles'!$BG$17:$BM$17,1,EG163),'Lease Cycles'!$AX$17&lt;=EG$6),'Lease Cycles'!$C$17*'Lease Cycles'!$AY$17/12,IF(AND('Lease Cycles'!$AV$17&gt;=INDEX('Lease Cycles'!$BG$17:$BM$17,1,EG163),'Lease Cycles'!$AV$17&lt;=EG$6),'Lease Cycles'!$C$17*'Lease Cycles'!$AW$17/12,IF(AND('Lease Cycles'!$AT$17&gt;=INDEX('Lease Cycles'!$BG$17:$BM$17,1,EG163),'Lease Cycles'!$AT$17&lt;=EG$6),'Lease Cycles'!$C$17*'Lease Cycles'!$AU$17/12,'Lease Cycles'!$C$17*INDEX('Lease Cycles'!$CB$17:$CH$17,1,EG163)*(1+INDEX('Lease Cycles'!$CI$17:$CO$17,1,EG163))^INT(INT(EG164/12)/INDEX('Lease Cycles'!$CP$17:$CV$17,1,EG163))/12)))),'Lease Cycles'!$C$17*INDEX('Lease Cycles'!$CB$17:$CH$17,1,EG163)*(1+INDEX('Lease Cycles'!$CI$17:$CO$17,1,EG163))^INT(INT(EG164/12)/INDEX('Lease Cycles'!$CP$17:$CV$17,1,EG163))/12))),IF('Lease Cycles'!$N$17=1,'Lease Cycles'!$C$17*'Lease Cycles'!$E$17*INDEX('Lease Cycles'!$HE$17:$HK$17,1,EG163)*(1+INDEX('Lease Cycles'!$GQ$17:$GW$17,1,EG163))^INT(INT((EG$6-INDEX('Lease Cycles'!$GJ$17:$GP$17,1,EG163))/12)/INDEX('Lease Cycles'!$GX$17:$HD$17,1,EG163))/12,0)))</f>
        <v>3226.378062680847</v>
      </c>
      <c r="EH166" s="28">
        <f>IF(EH163=0,IF('Lease Cycles'!$F$17&gt;0,'Lease Cycles'!$C$17*'Lease Cycles'!$E$17/12,0),IF(EH165=1,IF('Lease Cycles'!$AT$17&gt;=9999,'Lease Cycles'!$C$17*INDEX('Lease Cycles'!$CB$17:$CH$17,1,EH163)*(1+INDEX('Lease Cycles'!$CI$17:$CO$17,1,EH163))^INT(INT(EH164/12)/INDEX('Lease Cycles'!$CP$17:$CV$17,1,EH163))/12,IF(EH163=1,IF(EH164&gt;=INDEX('Lease Cycles'!$DK$17:$DQ$17,1,EH163),IF(EH$6&gt;='Lease Cycles'!$AZ$17,'Lease Cycles'!$C$17*'Lease Cycles'!$BA$17/12,IF(EH$6&gt;='Lease Cycles'!$AX$17,'Lease Cycles'!$C$17*'Lease Cycles'!$AY$17/12,IF(EH$6&gt;='Lease Cycles'!$AV$17,'Lease Cycles'!$C$17*'Lease Cycles'!$AW$17/12,IF(EH$6&gt;='Lease Cycles'!$AT$17,'Lease Cycles'!$C$17*'Lease Cycles'!$AU$17/12,'Lease Cycles'!$C$17*INDEX('Lease Cycles'!$CB$17:$CH$17,1,EH163)*(1+INDEX('Lease Cycles'!$CI$17:$CO$17,1,EH163))^INT(INT(EH164/12)/INDEX('Lease Cycles'!$CP$17:$CV$17,1,EH163))/12)))),'Lease Cycles'!$C$17*INDEX('Lease Cycles'!$CB$17:$CH$17,1,EH163)*(1+INDEX('Lease Cycles'!$CI$17:$CO$17,1,EH163))^INT(INT(EH164/12)/INDEX('Lease Cycles'!$CP$17:$CV$17,1,EH163))/12),IF(INDEX('Lease Cycles'!$EF$17:$EL$17,1,EH163)=1,IF(AND('Lease Cycles'!$AZ$17&gt;=INDEX('Lease Cycles'!$BG$17:$BM$17,1,EH163),'Lease Cycles'!$AZ$17&lt;=EH$6),'Lease Cycles'!$C$17*'Lease Cycles'!$BA$17/12,IF(AND('Lease Cycles'!$AX$17&gt;=INDEX('Lease Cycles'!$BG$17:$BM$17,1,EH163),'Lease Cycles'!$AX$17&lt;=EH$6),'Lease Cycles'!$C$17*'Lease Cycles'!$AY$17/12,IF(AND('Lease Cycles'!$AV$17&gt;=INDEX('Lease Cycles'!$BG$17:$BM$17,1,EH163),'Lease Cycles'!$AV$17&lt;=EH$6),'Lease Cycles'!$C$17*'Lease Cycles'!$AW$17/12,IF(AND('Lease Cycles'!$AT$17&gt;=INDEX('Lease Cycles'!$BG$17:$BM$17,1,EH163),'Lease Cycles'!$AT$17&lt;=EH$6),'Lease Cycles'!$C$17*'Lease Cycles'!$AU$17/12,'Lease Cycles'!$C$17*INDEX('Lease Cycles'!$CB$17:$CH$17,1,EH163)*(1+INDEX('Lease Cycles'!$CI$17:$CO$17,1,EH163))^INT(INT(EH164/12)/INDEX('Lease Cycles'!$CP$17:$CV$17,1,EH163))/12)))),'Lease Cycles'!$C$17*INDEX('Lease Cycles'!$CB$17:$CH$17,1,EH163)*(1+INDEX('Lease Cycles'!$CI$17:$CO$17,1,EH163))^INT(INT(EH164/12)/INDEX('Lease Cycles'!$CP$17:$CV$17,1,EH163))/12))),IF('Lease Cycles'!$N$17=1,'Lease Cycles'!$C$17*'Lease Cycles'!$E$17*INDEX('Lease Cycles'!$HE$17:$HK$17,1,EH163)*(1+INDEX('Lease Cycles'!$GQ$17:$GW$17,1,EH163))^INT(INT((EH$6-INDEX('Lease Cycles'!$GJ$17:$GP$17,1,EH163))/12)/INDEX('Lease Cycles'!$GX$17:$HD$17,1,EH163))/12,0)))</f>
        <v>3226.378062680847</v>
      </c>
      <c r="EI166" s="28">
        <f>IF(EI163=0,IF('Lease Cycles'!$F$17&gt;0,'Lease Cycles'!$C$17*'Lease Cycles'!$E$17/12,0),IF(EI165=1,IF('Lease Cycles'!$AT$17&gt;=9999,'Lease Cycles'!$C$17*INDEX('Lease Cycles'!$CB$17:$CH$17,1,EI163)*(1+INDEX('Lease Cycles'!$CI$17:$CO$17,1,EI163))^INT(INT(EI164/12)/INDEX('Lease Cycles'!$CP$17:$CV$17,1,EI163))/12,IF(EI163=1,IF(EI164&gt;=INDEX('Lease Cycles'!$DK$17:$DQ$17,1,EI163),IF(EI$6&gt;='Lease Cycles'!$AZ$17,'Lease Cycles'!$C$17*'Lease Cycles'!$BA$17/12,IF(EI$6&gt;='Lease Cycles'!$AX$17,'Lease Cycles'!$C$17*'Lease Cycles'!$AY$17/12,IF(EI$6&gt;='Lease Cycles'!$AV$17,'Lease Cycles'!$C$17*'Lease Cycles'!$AW$17/12,IF(EI$6&gt;='Lease Cycles'!$AT$17,'Lease Cycles'!$C$17*'Lease Cycles'!$AU$17/12,'Lease Cycles'!$C$17*INDEX('Lease Cycles'!$CB$17:$CH$17,1,EI163)*(1+INDEX('Lease Cycles'!$CI$17:$CO$17,1,EI163))^INT(INT(EI164/12)/INDEX('Lease Cycles'!$CP$17:$CV$17,1,EI163))/12)))),'Lease Cycles'!$C$17*INDEX('Lease Cycles'!$CB$17:$CH$17,1,EI163)*(1+INDEX('Lease Cycles'!$CI$17:$CO$17,1,EI163))^INT(INT(EI164/12)/INDEX('Lease Cycles'!$CP$17:$CV$17,1,EI163))/12),IF(INDEX('Lease Cycles'!$EF$17:$EL$17,1,EI163)=1,IF(AND('Lease Cycles'!$AZ$17&gt;=INDEX('Lease Cycles'!$BG$17:$BM$17,1,EI163),'Lease Cycles'!$AZ$17&lt;=EI$6),'Lease Cycles'!$C$17*'Lease Cycles'!$BA$17/12,IF(AND('Lease Cycles'!$AX$17&gt;=INDEX('Lease Cycles'!$BG$17:$BM$17,1,EI163),'Lease Cycles'!$AX$17&lt;=EI$6),'Lease Cycles'!$C$17*'Lease Cycles'!$AY$17/12,IF(AND('Lease Cycles'!$AV$17&gt;=INDEX('Lease Cycles'!$BG$17:$BM$17,1,EI163),'Lease Cycles'!$AV$17&lt;=EI$6),'Lease Cycles'!$C$17*'Lease Cycles'!$AW$17/12,IF(AND('Lease Cycles'!$AT$17&gt;=INDEX('Lease Cycles'!$BG$17:$BM$17,1,EI163),'Lease Cycles'!$AT$17&lt;=EI$6),'Lease Cycles'!$C$17*'Lease Cycles'!$AU$17/12,'Lease Cycles'!$C$17*INDEX('Lease Cycles'!$CB$17:$CH$17,1,EI163)*(1+INDEX('Lease Cycles'!$CI$17:$CO$17,1,EI163))^INT(INT(EI164/12)/INDEX('Lease Cycles'!$CP$17:$CV$17,1,EI163))/12)))),'Lease Cycles'!$C$17*INDEX('Lease Cycles'!$CB$17:$CH$17,1,EI163)*(1+INDEX('Lease Cycles'!$CI$17:$CO$17,1,EI163))^INT(INT(EI164/12)/INDEX('Lease Cycles'!$CP$17:$CV$17,1,EI163))/12))),IF('Lease Cycles'!$N$17=1,'Lease Cycles'!$C$17*'Lease Cycles'!$E$17*INDEX('Lease Cycles'!$HE$17:$HK$17,1,EI163)*(1+INDEX('Lease Cycles'!$GQ$17:$GW$17,1,EI163))^INT(INT((EI$6-INDEX('Lease Cycles'!$GJ$17:$GP$17,1,EI163))/12)/INDEX('Lease Cycles'!$GX$17:$HD$17,1,EI163))/12,0)))</f>
        <v>3226.378062680847</v>
      </c>
      <c r="EJ166" s="28">
        <f>IF(EJ163=0,IF('Lease Cycles'!$F$17&gt;0,'Lease Cycles'!$C$17*'Lease Cycles'!$E$17/12,0),IF(EJ165=1,IF('Lease Cycles'!$AT$17&gt;=9999,'Lease Cycles'!$C$17*INDEX('Lease Cycles'!$CB$17:$CH$17,1,EJ163)*(1+INDEX('Lease Cycles'!$CI$17:$CO$17,1,EJ163))^INT(INT(EJ164/12)/INDEX('Lease Cycles'!$CP$17:$CV$17,1,EJ163))/12,IF(EJ163=1,IF(EJ164&gt;=INDEX('Lease Cycles'!$DK$17:$DQ$17,1,EJ163),IF(EJ$6&gt;='Lease Cycles'!$AZ$17,'Lease Cycles'!$C$17*'Lease Cycles'!$BA$17/12,IF(EJ$6&gt;='Lease Cycles'!$AX$17,'Lease Cycles'!$C$17*'Lease Cycles'!$AY$17/12,IF(EJ$6&gt;='Lease Cycles'!$AV$17,'Lease Cycles'!$C$17*'Lease Cycles'!$AW$17/12,IF(EJ$6&gt;='Lease Cycles'!$AT$17,'Lease Cycles'!$C$17*'Lease Cycles'!$AU$17/12,'Lease Cycles'!$C$17*INDEX('Lease Cycles'!$CB$17:$CH$17,1,EJ163)*(1+INDEX('Lease Cycles'!$CI$17:$CO$17,1,EJ163))^INT(INT(EJ164/12)/INDEX('Lease Cycles'!$CP$17:$CV$17,1,EJ163))/12)))),'Lease Cycles'!$C$17*INDEX('Lease Cycles'!$CB$17:$CH$17,1,EJ163)*(1+INDEX('Lease Cycles'!$CI$17:$CO$17,1,EJ163))^INT(INT(EJ164/12)/INDEX('Lease Cycles'!$CP$17:$CV$17,1,EJ163))/12),IF(INDEX('Lease Cycles'!$EF$17:$EL$17,1,EJ163)=1,IF(AND('Lease Cycles'!$AZ$17&gt;=INDEX('Lease Cycles'!$BG$17:$BM$17,1,EJ163),'Lease Cycles'!$AZ$17&lt;=EJ$6),'Lease Cycles'!$C$17*'Lease Cycles'!$BA$17/12,IF(AND('Lease Cycles'!$AX$17&gt;=INDEX('Lease Cycles'!$BG$17:$BM$17,1,EJ163),'Lease Cycles'!$AX$17&lt;=EJ$6),'Lease Cycles'!$C$17*'Lease Cycles'!$AY$17/12,IF(AND('Lease Cycles'!$AV$17&gt;=INDEX('Lease Cycles'!$BG$17:$BM$17,1,EJ163),'Lease Cycles'!$AV$17&lt;=EJ$6),'Lease Cycles'!$C$17*'Lease Cycles'!$AW$17/12,IF(AND('Lease Cycles'!$AT$17&gt;=INDEX('Lease Cycles'!$BG$17:$BM$17,1,EJ163),'Lease Cycles'!$AT$17&lt;=EJ$6),'Lease Cycles'!$C$17*'Lease Cycles'!$AU$17/12,'Lease Cycles'!$C$17*INDEX('Lease Cycles'!$CB$17:$CH$17,1,EJ163)*(1+INDEX('Lease Cycles'!$CI$17:$CO$17,1,EJ163))^INT(INT(EJ164/12)/INDEX('Lease Cycles'!$CP$17:$CV$17,1,EJ163))/12)))),'Lease Cycles'!$C$17*INDEX('Lease Cycles'!$CB$17:$CH$17,1,EJ163)*(1+INDEX('Lease Cycles'!$CI$17:$CO$17,1,EJ163))^INT(INT(EJ164/12)/INDEX('Lease Cycles'!$CP$17:$CV$17,1,EJ163))/12))),IF('Lease Cycles'!$N$17=1,'Lease Cycles'!$C$17*'Lease Cycles'!$E$17*INDEX('Lease Cycles'!$HE$17:$HK$17,1,EJ163)*(1+INDEX('Lease Cycles'!$GQ$17:$GW$17,1,EJ163))^INT(INT((EJ$6-INDEX('Lease Cycles'!$GJ$17:$GP$17,1,EJ163))/12)/INDEX('Lease Cycles'!$GX$17:$HD$17,1,EJ163))/12,0)))</f>
        <v>3226.378062680847</v>
      </c>
      <c r="EK166" s="28">
        <f>IF(EK163=0,IF('Lease Cycles'!$F$17&gt;0,'Lease Cycles'!$C$17*'Lease Cycles'!$E$17/12,0),IF(EK165=1,IF('Lease Cycles'!$AT$17&gt;=9999,'Lease Cycles'!$C$17*INDEX('Lease Cycles'!$CB$17:$CH$17,1,EK163)*(1+INDEX('Lease Cycles'!$CI$17:$CO$17,1,EK163))^INT(INT(EK164/12)/INDEX('Lease Cycles'!$CP$17:$CV$17,1,EK163))/12,IF(EK163=1,IF(EK164&gt;=INDEX('Lease Cycles'!$DK$17:$DQ$17,1,EK163),IF(EK$6&gt;='Lease Cycles'!$AZ$17,'Lease Cycles'!$C$17*'Lease Cycles'!$BA$17/12,IF(EK$6&gt;='Lease Cycles'!$AX$17,'Lease Cycles'!$C$17*'Lease Cycles'!$AY$17/12,IF(EK$6&gt;='Lease Cycles'!$AV$17,'Lease Cycles'!$C$17*'Lease Cycles'!$AW$17/12,IF(EK$6&gt;='Lease Cycles'!$AT$17,'Lease Cycles'!$C$17*'Lease Cycles'!$AU$17/12,'Lease Cycles'!$C$17*INDEX('Lease Cycles'!$CB$17:$CH$17,1,EK163)*(1+INDEX('Lease Cycles'!$CI$17:$CO$17,1,EK163))^INT(INT(EK164/12)/INDEX('Lease Cycles'!$CP$17:$CV$17,1,EK163))/12)))),'Lease Cycles'!$C$17*INDEX('Lease Cycles'!$CB$17:$CH$17,1,EK163)*(1+INDEX('Lease Cycles'!$CI$17:$CO$17,1,EK163))^INT(INT(EK164/12)/INDEX('Lease Cycles'!$CP$17:$CV$17,1,EK163))/12),IF(INDEX('Lease Cycles'!$EF$17:$EL$17,1,EK163)=1,IF(AND('Lease Cycles'!$AZ$17&gt;=INDEX('Lease Cycles'!$BG$17:$BM$17,1,EK163),'Lease Cycles'!$AZ$17&lt;=EK$6),'Lease Cycles'!$C$17*'Lease Cycles'!$BA$17/12,IF(AND('Lease Cycles'!$AX$17&gt;=INDEX('Lease Cycles'!$BG$17:$BM$17,1,EK163),'Lease Cycles'!$AX$17&lt;=EK$6),'Lease Cycles'!$C$17*'Lease Cycles'!$AY$17/12,IF(AND('Lease Cycles'!$AV$17&gt;=INDEX('Lease Cycles'!$BG$17:$BM$17,1,EK163),'Lease Cycles'!$AV$17&lt;=EK$6),'Lease Cycles'!$C$17*'Lease Cycles'!$AW$17/12,IF(AND('Lease Cycles'!$AT$17&gt;=INDEX('Lease Cycles'!$BG$17:$BM$17,1,EK163),'Lease Cycles'!$AT$17&lt;=EK$6),'Lease Cycles'!$C$17*'Lease Cycles'!$AU$17/12,'Lease Cycles'!$C$17*INDEX('Lease Cycles'!$CB$17:$CH$17,1,EK163)*(1+INDEX('Lease Cycles'!$CI$17:$CO$17,1,EK163))^INT(INT(EK164/12)/INDEX('Lease Cycles'!$CP$17:$CV$17,1,EK163))/12)))),'Lease Cycles'!$C$17*INDEX('Lease Cycles'!$CB$17:$CH$17,1,EK163)*(1+INDEX('Lease Cycles'!$CI$17:$CO$17,1,EK163))^INT(INT(EK164/12)/INDEX('Lease Cycles'!$CP$17:$CV$17,1,EK163))/12))),IF('Lease Cycles'!$N$17=1,'Lease Cycles'!$C$17*'Lease Cycles'!$E$17*INDEX('Lease Cycles'!$HE$17:$HK$17,1,EK163)*(1+INDEX('Lease Cycles'!$GQ$17:$GW$17,1,EK163))^INT(INT((EK$6-INDEX('Lease Cycles'!$GJ$17:$GP$17,1,EK163))/12)/INDEX('Lease Cycles'!$GX$17:$HD$17,1,EK163))/12,0)))</f>
        <v>3226.378062680847</v>
      </c>
      <c r="EL166" s="28">
        <f>IF(EL163=0,IF('Lease Cycles'!$F$17&gt;0,'Lease Cycles'!$C$17*'Lease Cycles'!$E$17/12,0),IF(EL165=1,IF('Lease Cycles'!$AT$17&gt;=9999,'Lease Cycles'!$C$17*INDEX('Lease Cycles'!$CB$17:$CH$17,1,EL163)*(1+INDEX('Lease Cycles'!$CI$17:$CO$17,1,EL163))^INT(INT(EL164/12)/INDEX('Lease Cycles'!$CP$17:$CV$17,1,EL163))/12,IF(EL163=1,IF(EL164&gt;=INDEX('Lease Cycles'!$DK$17:$DQ$17,1,EL163),IF(EL$6&gt;='Lease Cycles'!$AZ$17,'Lease Cycles'!$C$17*'Lease Cycles'!$BA$17/12,IF(EL$6&gt;='Lease Cycles'!$AX$17,'Lease Cycles'!$C$17*'Lease Cycles'!$AY$17/12,IF(EL$6&gt;='Lease Cycles'!$AV$17,'Lease Cycles'!$C$17*'Lease Cycles'!$AW$17/12,IF(EL$6&gt;='Lease Cycles'!$AT$17,'Lease Cycles'!$C$17*'Lease Cycles'!$AU$17/12,'Lease Cycles'!$C$17*INDEX('Lease Cycles'!$CB$17:$CH$17,1,EL163)*(1+INDEX('Lease Cycles'!$CI$17:$CO$17,1,EL163))^INT(INT(EL164/12)/INDEX('Lease Cycles'!$CP$17:$CV$17,1,EL163))/12)))),'Lease Cycles'!$C$17*INDEX('Lease Cycles'!$CB$17:$CH$17,1,EL163)*(1+INDEX('Lease Cycles'!$CI$17:$CO$17,1,EL163))^INT(INT(EL164/12)/INDEX('Lease Cycles'!$CP$17:$CV$17,1,EL163))/12),IF(INDEX('Lease Cycles'!$EF$17:$EL$17,1,EL163)=1,IF(AND('Lease Cycles'!$AZ$17&gt;=INDEX('Lease Cycles'!$BG$17:$BM$17,1,EL163),'Lease Cycles'!$AZ$17&lt;=EL$6),'Lease Cycles'!$C$17*'Lease Cycles'!$BA$17/12,IF(AND('Lease Cycles'!$AX$17&gt;=INDEX('Lease Cycles'!$BG$17:$BM$17,1,EL163),'Lease Cycles'!$AX$17&lt;=EL$6),'Lease Cycles'!$C$17*'Lease Cycles'!$AY$17/12,IF(AND('Lease Cycles'!$AV$17&gt;=INDEX('Lease Cycles'!$BG$17:$BM$17,1,EL163),'Lease Cycles'!$AV$17&lt;=EL$6),'Lease Cycles'!$C$17*'Lease Cycles'!$AW$17/12,IF(AND('Lease Cycles'!$AT$17&gt;=INDEX('Lease Cycles'!$BG$17:$BM$17,1,EL163),'Lease Cycles'!$AT$17&lt;=EL$6),'Lease Cycles'!$C$17*'Lease Cycles'!$AU$17/12,'Lease Cycles'!$C$17*INDEX('Lease Cycles'!$CB$17:$CH$17,1,EL163)*(1+INDEX('Lease Cycles'!$CI$17:$CO$17,1,EL163))^INT(INT(EL164/12)/INDEX('Lease Cycles'!$CP$17:$CV$17,1,EL163))/12)))),'Lease Cycles'!$C$17*INDEX('Lease Cycles'!$CB$17:$CH$17,1,EL163)*(1+INDEX('Lease Cycles'!$CI$17:$CO$17,1,EL163))^INT(INT(EL164/12)/INDEX('Lease Cycles'!$CP$17:$CV$17,1,EL163))/12))),IF('Lease Cycles'!$N$17=1,'Lease Cycles'!$C$17*'Lease Cycles'!$E$17*INDEX('Lease Cycles'!$HE$17:$HK$17,1,EL163)*(1+INDEX('Lease Cycles'!$GQ$17:$GW$17,1,EL163))^INT(INT((EL$6-INDEX('Lease Cycles'!$GJ$17:$GP$17,1,EL163))/12)/INDEX('Lease Cycles'!$GX$17:$HD$17,1,EL163))/12,0)))</f>
        <v>3226.378062680847</v>
      </c>
      <c r="EM166" s="28">
        <f>IF(EM163=0,IF('Lease Cycles'!$F$17&gt;0,'Lease Cycles'!$C$17*'Lease Cycles'!$E$17/12,0),IF(EM165=1,IF('Lease Cycles'!$AT$17&gt;=9999,'Lease Cycles'!$C$17*INDEX('Lease Cycles'!$CB$17:$CH$17,1,EM163)*(1+INDEX('Lease Cycles'!$CI$17:$CO$17,1,EM163))^INT(INT(EM164/12)/INDEX('Lease Cycles'!$CP$17:$CV$17,1,EM163))/12,IF(EM163=1,IF(EM164&gt;=INDEX('Lease Cycles'!$DK$17:$DQ$17,1,EM163),IF(EM$6&gt;='Lease Cycles'!$AZ$17,'Lease Cycles'!$C$17*'Lease Cycles'!$BA$17/12,IF(EM$6&gt;='Lease Cycles'!$AX$17,'Lease Cycles'!$C$17*'Lease Cycles'!$AY$17/12,IF(EM$6&gt;='Lease Cycles'!$AV$17,'Lease Cycles'!$C$17*'Lease Cycles'!$AW$17/12,IF(EM$6&gt;='Lease Cycles'!$AT$17,'Lease Cycles'!$C$17*'Lease Cycles'!$AU$17/12,'Lease Cycles'!$C$17*INDEX('Lease Cycles'!$CB$17:$CH$17,1,EM163)*(1+INDEX('Lease Cycles'!$CI$17:$CO$17,1,EM163))^INT(INT(EM164/12)/INDEX('Lease Cycles'!$CP$17:$CV$17,1,EM163))/12)))),'Lease Cycles'!$C$17*INDEX('Lease Cycles'!$CB$17:$CH$17,1,EM163)*(1+INDEX('Lease Cycles'!$CI$17:$CO$17,1,EM163))^INT(INT(EM164/12)/INDEX('Lease Cycles'!$CP$17:$CV$17,1,EM163))/12),IF(INDEX('Lease Cycles'!$EF$17:$EL$17,1,EM163)=1,IF(AND('Lease Cycles'!$AZ$17&gt;=INDEX('Lease Cycles'!$BG$17:$BM$17,1,EM163),'Lease Cycles'!$AZ$17&lt;=EM$6),'Lease Cycles'!$C$17*'Lease Cycles'!$BA$17/12,IF(AND('Lease Cycles'!$AX$17&gt;=INDEX('Lease Cycles'!$BG$17:$BM$17,1,EM163),'Lease Cycles'!$AX$17&lt;=EM$6),'Lease Cycles'!$C$17*'Lease Cycles'!$AY$17/12,IF(AND('Lease Cycles'!$AV$17&gt;=INDEX('Lease Cycles'!$BG$17:$BM$17,1,EM163),'Lease Cycles'!$AV$17&lt;=EM$6),'Lease Cycles'!$C$17*'Lease Cycles'!$AW$17/12,IF(AND('Lease Cycles'!$AT$17&gt;=INDEX('Lease Cycles'!$BG$17:$BM$17,1,EM163),'Lease Cycles'!$AT$17&lt;=EM$6),'Lease Cycles'!$C$17*'Lease Cycles'!$AU$17/12,'Lease Cycles'!$C$17*INDEX('Lease Cycles'!$CB$17:$CH$17,1,EM163)*(1+INDEX('Lease Cycles'!$CI$17:$CO$17,1,EM163))^INT(INT(EM164/12)/INDEX('Lease Cycles'!$CP$17:$CV$17,1,EM163))/12)))),'Lease Cycles'!$C$17*INDEX('Lease Cycles'!$CB$17:$CH$17,1,EM163)*(1+INDEX('Lease Cycles'!$CI$17:$CO$17,1,EM163))^INT(INT(EM164/12)/INDEX('Lease Cycles'!$CP$17:$CV$17,1,EM163))/12))),IF('Lease Cycles'!$N$17=1,'Lease Cycles'!$C$17*'Lease Cycles'!$E$17*INDEX('Lease Cycles'!$HE$17:$HK$17,1,EM163)*(1+INDEX('Lease Cycles'!$GQ$17:$GW$17,1,EM163))^INT(INT((EM$6-INDEX('Lease Cycles'!$GJ$17:$GP$17,1,EM163))/12)/INDEX('Lease Cycles'!$GX$17:$HD$17,1,EM163))/12,0)))</f>
        <v>3226.378062680847</v>
      </c>
      <c r="EN166" s="28">
        <f>IF(EN163=0,IF('Lease Cycles'!$F$17&gt;0,'Lease Cycles'!$C$17*'Lease Cycles'!$E$17/12,0),IF(EN165=1,IF('Lease Cycles'!$AT$17&gt;=9999,'Lease Cycles'!$C$17*INDEX('Lease Cycles'!$CB$17:$CH$17,1,EN163)*(1+INDEX('Lease Cycles'!$CI$17:$CO$17,1,EN163))^INT(INT(EN164/12)/INDEX('Lease Cycles'!$CP$17:$CV$17,1,EN163))/12,IF(EN163=1,IF(EN164&gt;=INDEX('Lease Cycles'!$DK$17:$DQ$17,1,EN163),IF(EN$6&gt;='Lease Cycles'!$AZ$17,'Lease Cycles'!$C$17*'Lease Cycles'!$BA$17/12,IF(EN$6&gt;='Lease Cycles'!$AX$17,'Lease Cycles'!$C$17*'Lease Cycles'!$AY$17/12,IF(EN$6&gt;='Lease Cycles'!$AV$17,'Lease Cycles'!$C$17*'Lease Cycles'!$AW$17/12,IF(EN$6&gt;='Lease Cycles'!$AT$17,'Lease Cycles'!$C$17*'Lease Cycles'!$AU$17/12,'Lease Cycles'!$C$17*INDEX('Lease Cycles'!$CB$17:$CH$17,1,EN163)*(1+INDEX('Lease Cycles'!$CI$17:$CO$17,1,EN163))^INT(INT(EN164/12)/INDEX('Lease Cycles'!$CP$17:$CV$17,1,EN163))/12)))),'Lease Cycles'!$C$17*INDEX('Lease Cycles'!$CB$17:$CH$17,1,EN163)*(1+INDEX('Lease Cycles'!$CI$17:$CO$17,1,EN163))^INT(INT(EN164/12)/INDEX('Lease Cycles'!$CP$17:$CV$17,1,EN163))/12),IF(INDEX('Lease Cycles'!$EF$17:$EL$17,1,EN163)=1,IF(AND('Lease Cycles'!$AZ$17&gt;=INDEX('Lease Cycles'!$BG$17:$BM$17,1,EN163),'Lease Cycles'!$AZ$17&lt;=EN$6),'Lease Cycles'!$C$17*'Lease Cycles'!$BA$17/12,IF(AND('Lease Cycles'!$AX$17&gt;=INDEX('Lease Cycles'!$BG$17:$BM$17,1,EN163),'Lease Cycles'!$AX$17&lt;=EN$6),'Lease Cycles'!$C$17*'Lease Cycles'!$AY$17/12,IF(AND('Lease Cycles'!$AV$17&gt;=INDEX('Lease Cycles'!$BG$17:$BM$17,1,EN163),'Lease Cycles'!$AV$17&lt;=EN$6),'Lease Cycles'!$C$17*'Lease Cycles'!$AW$17/12,IF(AND('Lease Cycles'!$AT$17&gt;=INDEX('Lease Cycles'!$BG$17:$BM$17,1,EN163),'Lease Cycles'!$AT$17&lt;=EN$6),'Lease Cycles'!$C$17*'Lease Cycles'!$AU$17/12,'Lease Cycles'!$C$17*INDEX('Lease Cycles'!$CB$17:$CH$17,1,EN163)*(1+INDEX('Lease Cycles'!$CI$17:$CO$17,1,EN163))^INT(INT(EN164/12)/INDEX('Lease Cycles'!$CP$17:$CV$17,1,EN163))/12)))),'Lease Cycles'!$C$17*INDEX('Lease Cycles'!$CB$17:$CH$17,1,EN163)*(1+INDEX('Lease Cycles'!$CI$17:$CO$17,1,EN163))^INT(INT(EN164/12)/INDEX('Lease Cycles'!$CP$17:$CV$17,1,EN163))/12))),IF('Lease Cycles'!$N$17=1,'Lease Cycles'!$C$17*'Lease Cycles'!$E$17*INDEX('Lease Cycles'!$HE$17:$HK$17,1,EN163)*(1+INDEX('Lease Cycles'!$GQ$17:$GW$17,1,EN163))^INT(INT((EN$6-INDEX('Lease Cycles'!$GJ$17:$GP$17,1,EN163))/12)/INDEX('Lease Cycles'!$GX$17:$HD$17,1,EN163))/12,0)))</f>
        <v>3226.378062680847</v>
      </c>
      <c r="EO166" s="28">
        <f>IF(EO163=0,IF('Lease Cycles'!$F$17&gt;0,'Lease Cycles'!$C$17*'Lease Cycles'!$E$17/12,0),IF(EO165=1,IF('Lease Cycles'!$AT$17&gt;=9999,'Lease Cycles'!$C$17*INDEX('Lease Cycles'!$CB$17:$CH$17,1,EO163)*(1+INDEX('Lease Cycles'!$CI$17:$CO$17,1,EO163))^INT(INT(EO164/12)/INDEX('Lease Cycles'!$CP$17:$CV$17,1,EO163))/12,IF(EO163=1,IF(EO164&gt;=INDEX('Lease Cycles'!$DK$17:$DQ$17,1,EO163),IF(EO$6&gt;='Lease Cycles'!$AZ$17,'Lease Cycles'!$C$17*'Lease Cycles'!$BA$17/12,IF(EO$6&gt;='Lease Cycles'!$AX$17,'Lease Cycles'!$C$17*'Lease Cycles'!$AY$17/12,IF(EO$6&gt;='Lease Cycles'!$AV$17,'Lease Cycles'!$C$17*'Lease Cycles'!$AW$17/12,IF(EO$6&gt;='Lease Cycles'!$AT$17,'Lease Cycles'!$C$17*'Lease Cycles'!$AU$17/12,'Lease Cycles'!$C$17*INDEX('Lease Cycles'!$CB$17:$CH$17,1,EO163)*(1+INDEX('Lease Cycles'!$CI$17:$CO$17,1,EO163))^INT(INT(EO164/12)/INDEX('Lease Cycles'!$CP$17:$CV$17,1,EO163))/12)))),'Lease Cycles'!$C$17*INDEX('Lease Cycles'!$CB$17:$CH$17,1,EO163)*(1+INDEX('Lease Cycles'!$CI$17:$CO$17,1,EO163))^INT(INT(EO164/12)/INDEX('Lease Cycles'!$CP$17:$CV$17,1,EO163))/12),IF(INDEX('Lease Cycles'!$EF$17:$EL$17,1,EO163)=1,IF(AND('Lease Cycles'!$AZ$17&gt;=INDEX('Lease Cycles'!$BG$17:$BM$17,1,EO163),'Lease Cycles'!$AZ$17&lt;=EO$6),'Lease Cycles'!$C$17*'Lease Cycles'!$BA$17/12,IF(AND('Lease Cycles'!$AX$17&gt;=INDEX('Lease Cycles'!$BG$17:$BM$17,1,EO163),'Lease Cycles'!$AX$17&lt;=EO$6),'Lease Cycles'!$C$17*'Lease Cycles'!$AY$17/12,IF(AND('Lease Cycles'!$AV$17&gt;=INDEX('Lease Cycles'!$BG$17:$BM$17,1,EO163),'Lease Cycles'!$AV$17&lt;=EO$6),'Lease Cycles'!$C$17*'Lease Cycles'!$AW$17/12,IF(AND('Lease Cycles'!$AT$17&gt;=INDEX('Lease Cycles'!$BG$17:$BM$17,1,EO163),'Lease Cycles'!$AT$17&lt;=EO$6),'Lease Cycles'!$C$17*'Lease Cycles'!$AU$17/12,'Lease Cycles'!$C$17*INDEX('Lease Cycles'!$CB$17:$CH$17,1,EO163)*(1+INDEX('Lease Cycles'!$CI$17:$CO$17,1,EO163))^INT(INT(EO164/12)/INDEX('Lease Cycles'!$CP$17:$CV$17,1,EO163))/12)))),'Lease Cycles'!$C$17*INDEX('Lease Cycles'!$CB$17:$CH$17,1,EO163)*(1+INDEX('Lease Cycles'!$CI$17:$CO$17,1,EO163))^INT(INT(EO164/12)/INDEX('Lease Cycles'!$CP$17:$CV$17,1,EO163))/12))),IF('Lease Cycles'!$N$17=1,'Lease Cycles'!$C$17*'Lease Cycles'!$E$17*INDEX('Lease Cycles'!$HE$17:$HK$17,1,EO163)*(1+INDEX('Lease Cycles'!$GQ$17:$GW$17,1,EO163))^INT(INT((EO$6-INDEX('Lease Cycles'!$GJ$17:$GP$17,1,EO163))/12)/INDEX('Lease Cycles'!$GX$17:$HD$17,1,EO163))/12,0)))</f>
        <v>3226.378062680847</v>
      </c>
      <c r="EP166" s="28">
        <f>IF(EP163=0,IF('Lease Cycles'!$F$17&gt;0,'Lease Cycles'!$C$17*'Lease Cycles'!$E$17/12,0),IF(EP165=1,IF('Lease Cycles'!$AT$17&gt;=9999,'Lease Cycles'!$C$17*INDEX('Lease Cycles'!$CB$17:$CH$17,1,EP163)*(1+INDEX('Lease Cycles'!$CI$17:$CO$17,1,EP163))^INT(INT(EP164/12)/INDEX('Lease Cycles'!$CP$17:$CV$17,1,EP163))/12,IF(EP163=1,IF(EP164&gt;=INDEX('Lease Cycles'!$DK$17:$DQ$17,1,EP163),IF(EP$6&gt;='Lease Cycles'!$AZ$17,'Lease Cycles'!$C$17*'Lease Cycles'!$BA$17/12,IF(EP$6&gt;='Lease Cycles'!$AX$17,'Lease Cycles'!$C$17*'Lease Cycles'!$AY$17/12,IF(EP$6&gt;='Lease Cycles'!$AV$17,'Lease Cycles'!$C$17*'Lease Cycles'!$AW$17/12,IF(EP$6&gt;='Lease Cycles'!$AT$17,'Lease Cycles'!$C$17*'Lease Cycles'!$AU$17/12,'Lease Cycles'!$C$17*INDEX('Lease Cycles'!$CB$17:$CH$17,1,EP163)*(1+INDEX('Lease Cycles'!$CI$17:$CO$17,1,EP163))^INT(INT(EP164/12)/INDEX('Lease Cycles'!$CP$17:$CV$17,1,EP163))/12)))),'Lease Cycles'!$C$17*INDEX('Lease Cycles'!$CB$17:$CH$17,1,EP163)*(1+INDEX('Lease Cycles'!$CI$17:$CO$17,1,EP163))^INT(INT(EP164/12)/INDEX('Lease Cycles'!$CP$17:$CV$17,1,EP163))/12),IF(INDEX('Lease Cycles'!$EF$17:$EL$17,1,EP163)=1,IF(AND('Lease Cycles'!$AZ$17&gt;=INDEX('Lease Cycles'!$BG$17:$BM$17,1,EP163),'Lease Cycles'!$AZ$17&lt;=EP$6),'Lease Cycles'!$C$17*'Lease Cycles'!$BA$17/12,IF(AND('Lease Cycles'!$AX$17&gt;=INDEX('Lease Cycles'!$BG$17:$BM$17,1,EP163),'Lease Cycles'!$AX$17&lt;=EP$6),'Lease Cycles'!$C$17*'Lease Cycles'!$AY$17/12,IF(AND('Lease Cycles'!$AV$17&gt;=INDEX('Lease Cycles'!$BG$17:$BM$17,1,EP163),'Lease Cycles'!$AV$17&lt;=EP$6),'Lease Cycles'!$C$17*'Lease Cycles'!$AW$17/12,IF(AND('Lease Cycles'!$AT$17&gt;=INDEX('Lease Cycles'!$BG$17:$BM$17,1,EP163),'Lease Cycles'!$AT$17&lt;=EP$6),'Lease Cycles'!$C$17*'Lease Cycles'!$AU$17/12,'Lease Cycles'!$C$17*INDEX('Lease Cycles'!$CB$17:$CH$17,1,EP163)*(1+INDEX('Lease Cycles'!$CI$17:$CO$17,1,EP163))^INT(INT(EP164/12)/INDEX('Lease Cycles'!$CP$17:$CV$17,1,EP163))/12)))),'Lease Cycles'!$C$17*INDEX('Lease Cycles'!$CB$17:$CH$17,1,EP163)*(1+INDEX('Lease Cycles'!$CI$17:$CO$17,1,EP163))^INT(INT(EP164/12)/INDEX('Lease Cycles'!$CP$17:$CV$17,1,EP163))/12))),IF('Lease Cycles'!$N$17=1,'Lease Cycles'!$C$17*'Lease Cycles'!$E$17*INDEX('Lease Cycles'!$HE$17:$HK$17,1,EP163)*(1+INDEX('Lease Cycles'!$GQ$17:$GW$17,1,EP163))^INT(INT((EP$6-INDEX('Lease Cycles'!$GJ$17:$GP$17,1,EP163))/12)/INDEX('Lease Cycles'!$GX$17:$HD$17,1,EP163))/12,0)))</f>
        <v>3226.378062680847</v>
      </c>
      <c r="EQ166" s="28">
        <f>IF(EQ163=0,IF('Lease Cycles'!$F$17&gt;0,'Lease Cycles'!$C$17*'Lease Cycles'!$E$17/12,0),IF(EQ165=1,IF('Lease Cycles'!$AT$17&gt;=9999,'Lease Cycles'!$C$17*INDEX('Lease Cycles'!$CB$17:$CH$17,1,EQ163)*(1+INDEX('Lease Cycles'!$CI$17:$CO$17,1,EQ163))^INT(INT(EQ164/12)/INDEX('Lease Cycles'!$CP$17:$CV$17,1,EQ163))/12,IF(EQ163=1,IF(EQ164&gt;=INDEX('Lease Cycles'!$DK$17:$DQ$17,1,EQ163),IF(EQ$6&gt;='Lease Cycles'!$AZ$17,'Lease Cycles'!$C$17*'Lease Cycles'!$BA$17/12,IF(EQ$6&gt;='Lease Cycles'!$AX$17,'Lease Cycles'!$C$17*'Lease Cycles'!$AY$17/12,IF(EQ$6&gt;='Lease Cycles'!$AV$17,'Lease Cycles'!$C$17*'Lease Cycles'!$AW$17/12,IF(EQ$6&gt;='Lease Cycles'!$AT$17,'Lease Cycles'!$C$17*'Lease Cycles'!$AU$17/12,'Lease Cycles'!$C$17*INDEX('Lease Cycles'!$CB$17:$CH$17,1,EQ163)*(1+INDEX('Lease Cycles'!$CI$17:$CO$17,1,EQ163))^INT(INT(EQ164/12)/INDEX('Lease Cycles'!$CP$17:$CV$17,1,EQ163))/12)))),'Lease Cycles'!$C$17*INDEX('Lease Cycles'!$CB$17:$CH$17,1,EQ163)*(1+INDEX('Lease Cycles'!$CI$17:$CO$17,1,EQ163))^INT(INT(EQ164/12)/INDEX('Lease Cycles'!$CP$17:$CV$17,1,EQ163))/12),IF(INDEX('Lease Cycles'!$EF$17:$EL$17,1,EQ163)=1,IF(AND('Lease Cycles'!$AZ$17&gt;=INDEX('Lease Cycles'!$BG$17:$BM$17,1,EQ163),'Lease Cycles'!$AZ$17&lt;=EQ$6),'Lease Cycles'!$C$17*'Lease Cycles'!$BA$17/12,IF(AND('Lease Cycles'!$AX$17&gt;=INDEX('Lease Cycles'!$BG$17:$BM$17,1,EQ163),'Lease Cycles'!$AX$17&lt;=EQ$6),'Lease Cycles'!$C$17*'Lease Cycles'!$AY$17/12,IF(AND('Lease Cycles'!$AV$17&gt;=INDEX('Lease Cycles'!$BG$17:$BM$17,1,EQ163),'Lease Cycles'!$AV$17&lt;=EQ$6),'Lease Cycles'!$C$17*'Lease Cycles'!$AW$17/12,IF(AND('Lease Cycles'!$AT$17&gt;=INDEX('Lease Cycles'!$BG$17:$BM$17,1,EQ163),'Lease Cycles'!$AT$17&lt;=EQ$6),'Lease Cycles'!$C$17*'Lease Cycles'!$AU$17/12,'Lease Cycles'!$C$17*INDEX('Lease Cycles'!$CB$17:$CH$17,1,EQ163)*(1+INDEX('Lease Cycles'!$CI$17:$CO$17,1,EQ163))^INT(INT(EQ164/12)/INDEX('Lease Cycles'!$CP$17:$CV$17,1,EQ163))/12)))),'Lease Cycles'!$C$17*INDEX('Lease Cycles'!$CB$17:$CH$17,1,EQ163)*(1+INDEX('Lease Cycles'!$CI$17:$CO$17,1,EQ163))^INT(INT(EQ164/12)/INDEX('Lease Cycles'!$CP$17:$CV$17,1,EQ163))/12))),IF('Lease Cycles'!$N$17=1,'Lease Cycles'!$C$17*'Lease Cycles'!$E$17*INDEX('Lease Cycles'!$HE$17:$HK$17,1,EQ163)*(1+INDEX('Lease Cycles'!$GQ$17:$GW$17,1,EQ163))^INT(INT((EQ$6-INDEX('Lease Cycles'!$GJ$17:$GP$17,1,EQ163))/12)/INDEX('Lease Cycles'!$GX$17:$HD$17,1,EQ163))/12,0)))</f>
        <v>3226.378062680847</v>
      </c>
      <c r="ER166" s="28">
        <f>IF(ER163=0,IF('Lease Cycles'!$F$17&gt;0,'Lease Cycles'!$C$17*'Lease Cycles'!$E$17/12,0),IF(ER165=1,IF('Lease Cycles'!$AT$17&gt;=9999,'Lease Cycles'!$C$17*INDEX('Lease Cycles'!$CB$17:$CH$17,1,ER163)*(1+INDEX('Lease Cycles'!$CI$17:$CO$17,1,ER163))^INT(INT(ER164/12)/INDEX('Lease Cycles'!$CP$17:$CV$17,1,ER163))/12,IF(ER163=1,IF(ER164&gt;=INDEX('Lease Cycles'!$DK$17:$DQ$17,1,ER163),IF(ER$6&gt;='Lease Cycles'!$AZ$17,'Lease Cycles'!$C$17*'Lease Cycles'!$BA$17/12,IF(ER$6&gt;='Lease Cycles'!$AX$17,'Lease Cycles'!$C$17*'Lease Cycles'!$AY$17/12,IF(ER$6&gt;='Lease Cycles'!$AV$17,'Lease Cycles'!$C$17*'Lease Cycles'!$AW$17/12,IF(ER$6&gt;='Lease Cycles'!$AT$17,'Lease Cycles'!$C$17*'Lease Cycles'!$AU$17/12,'Lease Cycles'!$C$17*INDEX('Lease Cycles'!$CB$17:$CH$17,1,ER163)*(1+INDEX('Lease Cycles'!$CI$17:$CO$17,1,ER163))^INT(INT(ER164/12)/INDEX('Lease Cycles'!$CP$17:$CV$17,1,ER163))/12)))),'Lease Cycles'!$C$17*INDEX('Lease Cycles'!$CB$17:$CH$17,1,ER163)*(1+INDEX('Lease Cycles'!$CI$17:$CO$17,1,ER163))^INT(INT(ER164/12)/INDEX('Lease Cycles'!$CP$17:$CV$17,1,ER163))/12),IF(INDEX('Lease Cycles'!$EF$17:$EL$17,1,ER163)=1,IF(AND('Lease Cycles'!$AZ$17&gt;=INDEX('Lease Cycles'!$BG$17:$BM$17,1,ER163),'Lease Cycles'!$AZ$17&lt;=ER$6),'Lease Cycles'!$C$17*'Lease Cycles'!$BA$17/12,IF(AND('Lease Cycles'!$AX$17&gt;=INDEX('Lease Cycles'!$BG$17:$BM$17,1,ER163),'Lease Cycles'!$AX$17&lt;=ER$6),'Lease Cycles'!$C$17*'Lease Cycles'!$AY$17/12,IF(AND('Lease Cycles'!$AV$17&gt;=INDEX('Lease Cycles'!$BG$17:$BM$17,1,ER163),'Lease Cycles'!$AV$17&lt;=ER$6),'Lease Cycles'!$C$17*'Lease Cycles'!$AW$17/12,IF(AND('Lease Cycles'!$AT$17&gt;=INDEX('Lease Cycles'!$BG$17:$BM$17,1,ER163),'Lease Cycles'!$AT$17&lt;=ER$6),'Lease Cycles'!$C$17*'Lease Cycles'!$AU$17/12,'Lease Cycles'!$C$17*INDEX('Lease Cycles'!$CB$17:$CH$17,1,ER163)*(1+INDEX('Lease Cycles'!$CI$17:$CO$17,1,ER163))^INT(INT(ER164/12)/INDEX('Lease Cycles'!$CP$17:$CV$17,1,ER163))/12)))),'Lease Cycles'!$C$17*INDEX('Lease Cycles'!$CB$17:$CH$17,1,ER163)*(1+INDEX('Lease Cycles'!$CI$17:$CO$17,1,ER163))^INT(INT(ER164/12)/INDEX('Lease Cycles'!$CP$17:$CV$17,1,ER163))/12))),IF('Lease Cycles'!$N$17=1,'Lease Cycles'!$C$17*'Lease Cycles'!$E$17*INDEX('Lease Cycles'!$HE$17:$HK$17,1,ER163)*(1+INDEX('Lease Cycles'!$GQ$17:$GW$17,1,ER163))^INT(INT((ER$6-INDEX('Lease Cycles'!$GJ$17:$GP$17,1,ER163))/12)/INDEX('Lease Cycles'!$GX$17:$HD$17,1,ER163))/12,0)))</f>
        <v>3226.378062680847</v>
      </c>
      <c r="ES166" s="28">
        <f>IF(ES163=0,IF('Lease Cycles'!$F$17&gt;0,'Lease Cycles'!$C$17*'Lease Cycles'!$E$17/12,0),IF(ES165=1,IF('Lease Cycles'!$AT$17&gt;=9999,'Lease Cycles'!$C$17*INDEX('Lease Cycles'!$CB$17:$CH$17,1,ES163)*(1+INDEX('Lease Cycles'!$CI$17:$CO$17,1,ES163))^INT(INT(ES164/12)/INDEX('Lease Cycles'!$CP$17:$CV$17,1,ES163))/12,IF(ES163=1,IF(ES164&gt;=INDEX('Lease Cycles'!$DK$17:$DQ$17,1,ES163),IF(ES$6&gt;='Lease Cycles'!$AZ$17,'Lease Cycles'!$C$17*'Lease Cycles'!$BA$17/12,IF(ES$6&gt;='Lease Cycles'!$AX$17,'Lease Cycles'!$C$17*'Lease Cycles'!$AY$17/12,IF(ES$6&gt;='Lease Cycles'!$AV$17,'Lease Cycles'!$C$17*'Lease Cycles'!$AW$17/12,IF(ES$6&gt;='Lease Cycles'!$AT$17,'Lease Cycles'!$C$17*'Lease Cycles'!$AU$17/12,'Lease Cycles'!$C$17*INDEX('Lease Cycles'!$CB$17:$CH$17,1,ES163)*(1+INDEX('Lease Cycles'!$CI$17:$CO$17,1,ES163))^INT(INT(ES164/12)/INDEX('Lease Cycles'!$CP$17:$CV$17,1,ES163))/12)))),'Lease Cycles'!$C$17*INDEX('Lease Cycles'!$CB$17:$CH$17,1,ES163)*(1+INDEX('Lease Cycles'!$CI$17:$CO$17,1,ES163))^INT(INT(ES164/12)/INDEX('Lease Cycles'!$CP$17:$CV$17,1,ES163))/12),IF(INDEX('Lease Cycles'!$EF$17:$EL$17,1,ES163)=1,IF(AND('Lease Cycles'!$AZ$17&gt;=INDEX('Lease Cycles'!$BG$17:$BM$17,1,ES163),'Lease Cycles'!$AZ$17&lt;=ES$6),'Lease Cycles'!$C$17*'Lease Cycles'!$BA$17/12,IF(AND('Lease Cycles'!$AX$17&gt;=INDEX('Lease Cycles'!$BG$17:$BM$17,1,ES163),'Lease Cycles'!$AX$17&lt;=ES$6),'Lease Cycles'!$C$17*'Lease Cycles'!$AY$17/12,IF(AND('Lease Cycles'!$AV$17&gt;=INDEX('Lease Cycles'!$BG$17:$BM$17,1,ES163),'Lease Cycles'!$AV$17&lt;=ES$6),'Lease Cycles'!$C$17*'Lease Cycles'!$AW$17/12,IF(AND('Lease Cycles'!$AT$17&gt;=INDEX('Lease Cycles'!$BG$17:$BM$17,1,ES163),'Lease Cycles'!$AT$17&lt;=ES$6),'Lease Cycles'!$C$17*'Lease Cycles'!$AU$17/12,'Lease Cycles'!$C$17*INDEX('Lease Cycles'!$CB$17:$CH$17,1,ES163)*(1+INDEX('Lease Cycles'!$CI$17:$CO$17,1,ES163))^INT(INT(ES164/12)/INDEX('Lease Cycles'!$CP$17:$CV$17,1,ES163))/12)))),'Lease Cycles'!$C$17*INDEX('Lease Cycles'!$CB$17:$CH$17,1,ES163)*(1+INDEX('Lease Cycles'!$CI$17:$CO$17,1,ES163))^INT(INT(ES164/12)/INDEX('Lease Cycles'!$CP$17:$CV$17,1,ES163))/12))),IF('Lease Cycles'!$N$17=1,'Lease Cycles'!$C$17*'Lease Cycles'!$E$17*INDEX('Lease Cycles'!$HE$17:$HK$17,1,ES163)*(1+INDEX('Lease Cycles'!$GQ$17:$GW$17,1,ES163))^INT(INT((ES$6-INDEX('Lease Cycles'!$GJ$17:$GP$17,1,ES163))/12)/INDEX('Lease Cycles'!$GX$17:$HD$17,1,ES163))/12,0)))</f>
        <v>3323.1694045612726</v>
      </c>
      <c r="ET166" s="28">
        <f>IF(ET163=0,IF('Lease Cycles'!$F$17&gt;0,'Lease Cycles'!$C$17*'Lease Cycles'!$E$17/12,0),IF(ET165=1,IF('Lease Cycles'!$AT$17&gt;=9999,'Lease Cycles'!$C$17*INDEX('Lease Cycles'!$CB$17:$CH$17,1,ET163)*(1+INDEX('Lease Cycles'!$CI$17:$CO$17,1,ET163))^INT(INT(ET164/12)/INDEX('Lease Cycles'!$CP$17:$CV$17,1,ET163))/12,IF(ET163=1,IF(ET164&gt;=INDEX('Lease Cycles'!$DK$17:$DQ$17,1,ET163),IF(ET$6&gt;='Lease Cycles'!$AZ$17,'Lease Cycles'!$C$17*'Lease Cycles'!$BA$17/12,IF(ET$6&gt;='Lease Cycles'!$AX$17,'Lease Cycles'!$C$17*'Lease Cycles'!$AY$17/12,IF(ET$6&gt;='Lease Cycles'!$AV$17,'Lease Cycles'!$C$17*'Lease Cycles'!$AW$17/12,IF(ET$6&gt;='Lease Cycles'!$AT$17,'Lease Cycles'!$C$17*'Lease Cycles'!$AU$17/12,'Lease Cycles'!$C$17*INDEX('Lease Cycles'!$CB$17:$CH$17,1,ET163)*(1+INDEX('Lease Cycles'!$CI$17:$CO$17,1,ET163))^INT(INT(ET164/12)/INDEX('Lease Cycles'!$CP$17:$CV$17,1,ET163))/12)))),'Lease Cycles'!$C$17*INDEX('Lease Cycles'!$CB$17:$CH$17,1,ET163)*(1+INDEX('Lease Cycles'!$CI$17:$CO$17,1,ET163))^INT(INT(ET164/12)/INDEX('Lease Cycles'!$CP$17:$CV$17,1,ET163))/12),IF(INDEX('Lease Cycles'!$EF$17:$EL$17,1,ET163)=1,IF(AND('Lease Cycles'!$AZ$17&gt;=INDEX('Lease Cycles'!$BG$17:$BM$17,1,ET163),'Lease Cycles'!$AZ$17&lt;=ET$6),'Lease Cycles'!$C$17*'Lease Cycles'!$BA$17/12,IF(AND('Lease Cycles'!$AX$17&gt;=INDEX('Lease Cycles'!$BG$17:$BM$17,1,ET163),'Lease Cycles'!$AX$17&lt;=ET$6),'Lease Cycles'!$C$17*'Lease Cycles'!$AY$17/12,IF(AND('Lease Cycles'!$AV$17&gt;=INDEX('Lease Cycles'!$BG$17:$BM$17,1,ET163),'Lease Cycles'!$AV$17&lt;=ET$6),'Lease Cycles'!$C$17*'Lease Cycles'!$AW$17/12,IF(AND('Lease Cycles'!$AT$17&gt;=INDEX('Lease Cycles'!$BG$17:$BM$17,1,ET163),'Lease Cycles'!$AT$17&lt;=ET$6),'Lease Cycles'!$C$17*'Lease Cycles'!$AU$17/12,'Lease Cycles'!$C$17*INDEX('Lease Cycles'!$CB$17:$CH$17,1,ET163)*(1+INDEX('Lease Cycles'!$CI$17:$CO$17,1,ET163))^INT(INT(ET164/12)/INDEX('Lease Cycles'!$CP$17:$CV$17,1,ET163))/12)))),'Lease Cycles'!$C$17*INDEX('Lease Cycles'!$CB$17:$CH$17,1,ET163)*(1+INDEX('Lease Cycles'!$CI$17:$CO$17,1,ET163))^INT(INT(ET164/12)/INDEX('Lease Cycles'!$CP$17:$CV$17,1,ET163))/12))),IF('Lease Cycles'!$N$17=1,'Lease Cycles'!$C$17*'Lease Cycles'!$E$17*INDEX('Lease Cycles'!$HE$17:$HK$17,1,ET163)*(1+INDEX('Lease Cycles'!$GQ$17:$GW$17,1,ET163))^INT(INT((ET$6-INDEX('Lease Cycles'!$GJ$17:$GP$17,1,ET163))/12)/INDEX('Lease Cycles'!$GX$17:$HD$17,1,ET163))/12,0)))</f>
        <v>3323.1694045612726</v>
      </c>
    </row>
    <row r="167">
      <c r="A167" s="103">
        <v>10</v>
      </c>
      <c r="B167" s="23" t="str">
        <f>IF('Lease Cycles'!$B$17="","(empty slot)",'Lease Cycles'!$B$17)</f>
        <v>Available B-9</v>
      </c>
      <c r="C167" s="23" t="s">
        <v>679</v>
      </c>
      <c r="D167" s="104" t="s">
        <v>680</v>
      </c>
      <c r="E167" s="25">
        <f>'Lease Cycles'!$AL$17</f>
        <v>0</v>
      </c>
      <c r="S167" s="28">
        <f>IF(S165=1,IF(INDEX('Lease Cycles'!$EF$17:$EL$17,1,S163)=1,'Lease Cycles'!$C$17*INDEX('Lease Cycles'!$ET$17:$EZ$17,1,S163)*(1+'Lease Cycles'!$V$17)^INT(INT(S164/12)/'Lease Cycles'!$W$17)/12,0),0)</f>
        <v>0</v>
      </c>
      <c r="T167" s="28">
        <f>IF(T165=1,IF(INDEX('Lease Cycles'!$EF$17:$EL$17,1,T163)=1,'Lease Cycles'!$C$17*INDEX('Lease Cycles'!$ET$17:$EZ$17,1,T163)*(1+'Lease Cycles'!$V$17)^INT(INT(T164/12)/'Lease Cycles'!$W$17)/12,0),0)</f>
        <v>0</v>
      </c>
      <c r="U167" s="28">
        <f>IF(U165=1,IF(INDEX('Lease Cycles'!$EF$17:$EL$17,1,U163)=1,'Lease Cycles'!$C$17*INDEX('Lease Cycles'!$ET$17:$EZ$17,1,U163)*(1+'Lease Cycles'!$V$17)^INT(INT(U164/12)/'Lease Cycles'!$W$17)/12,0),0)</f>
        <v>0</v>
      </c>
      <c r="V167" s="28">
        <f>IF(V165=1,IF(INDEX('Lease Cycles'!$EF$17:$EL$17,1,V163)=1,'Lease Cycles'!$C$17*INDEX('Lease Cycles'!$ET$17:$EZ$17,1,V163)*(1+'Lease Cycles'!$V$17)^INT(INT(V164/12)/'Lease Cycles'!$W$17)/12,0),0)</f>
        <v>0</v>
      </c>
      <c r="W167" s="28">
        <f>IF(W165=1,IF(INDEX('Lease Cycles'!$EF$17:$EL$17,1,W163)=1,'Lease Cycles'!$C$17*INDEX('Lease Cycles'!$ET$17:$EZ$17,1,W163)*(1+'Lease Cycles'!$V$17)^INT(INT(W164/12)/'Lease Cycles'!$W$17)/12,0),0)</f>
        <v>0</v>
      </c>
      <c r="X167" s="28">
        <f>IF(X165=1,IF(INDEX('Lease Cycles'!$EF$17:$EL$17,1,X163)=1,'Lease Cycles'!$C$17*INDEX('Lease Cycles'!$ET$17:$EZ$17,1,X163)*(1+'Lease Cycles'!$V$17)^INT(INT(X164/12)/'Lease Cycles'!$W$17)/12,0),0)</f>
        <v>0</v>
      </c>
      <c r="Y167" s="28">
        <f>IF(Y165=1,IF(INDEX('Lease Cycles'!$EF$17:$EL$17,1,Y163)=1,'Lease Cycles'!$C$17*INDEX('Lease Cycles'!$ET$17:$EZ$17,1,Y163)*(1+'Lease Cycles'!$V$17)^INT(INT(Y164/12)/'Lease Cycles'!$W$17)/12,0),0)</f>
        <v>0</v>
      </c>
      <c r="Z167" s="28">
        <f>IF(Z165=1,IF(INDEX('Lease Cycles'!$EF$17:$EL$17,1,Z163)=1,'Lease Cycles'!$C$17*INDEX('Lease Cycles'!$ET$17:$EZ$17,1,Z163)*(1+'Lease Cycles'!$V$17)^INT(INT(Z164/12)/'Lease Cycles'!$W$17)/12,0),0)</f>
        <v>0</v>
      </c>
      <c r="AA167" s="28">
        <f>IF(AA165=1,IF(INDEX('Lease Cycles'!$EF$17:$EL$17,1,AA163)=1,'Lease Cycles'!$C$17*INDEX('Lease Cycles'!$ET$17:$EZ$17,1,AA163)*(1+'Lease Cycles'!$V$17)^INT(INT(AA164/12)/'Lease Cycles'!$W$17)/12,0),0)</f>
        <v>0</v>
      </c>
      <c r="AB167" s="28">
        <f>IF(AB165=1,IF(INDEX('Lease Cycles'!$EF$17:$EL$17,1,AB163)=1,'Lease Cycles'!$C$17*INDEX('Lease Cycles'!$ET$17:$EZ$17,1,AB163)*(1+'Lease Cycles'!$V$17)^INT(INT(AB164/12)/'Lease Cycles'!$W$17)/12,0),0)</f>
        <v>0</v>
      </c>
      <c r="AC167" s="28">
        <f>IF(AC165=1,IF(INDEX('Lease Cycles'!$EF$17:$EL$17,1,AC163)=1,'Lease Cycles'!$C$17*INDEX('Lease Cycles'!$ET$17:$EZ$17,1,AC163)*(1+'Lease Cycles'!$V$17)^INT(INT(AC164/12)/'Lease Cycles'!$W$17)/12,0),0)</f>
        <v>0</v>
      </c>
      <c r="AD167" s="28">
        <f>IF(AD165=1,IF(INDEX('Lease Cycles'!$EF$17:$EL$17,1,AD163)=1,'Lease Cycles'!$C$17*INDEX('Lease Cycles'!$ET$17:$EZ$17,1,AD163)*(1+'Lease Cycles'!$V$17)^INT(INT(AD164/12)/'Lease Cycles'!$W$17)/12,0),0)</f>
        <v>0</v>
      </c>
      <c r="AE167" s="28">
        <f>IF(AE165=1,IF(INDEX('Lease Cycles'!$EF$17:$EL$17,1,AE163)=1,'Lease Cycles'!$C$17*INDEX('Lease Cycles'!$ET$17:$EZ$17,1,AE163)*(1+'Lease Cycles'!$V$17)^INT(INT(AE164/12)/'Lease Cycles'!$W$17)/12,0),0)</f>
        <v>0</v>
      </c>
      <c r="AF167" s="28">
        <f>IF(AF165=1,IF(INDEX('Lease Cycles'!$EF$17:$EL$17,1,AF163)=1,'Lease Cycles'!$C$17*INDEX('Lease Cycles'!$ET$17:$EZ$17,1,AF163)*(1+'Lease Cycles'!$V$17)^INT(INT(AF164/12)/'Lease Cycles'!$W$17)/12,0),0)</f>
        <v>0</v>
      </c>
      <c r="AG167" s="28">
        <f>IF(AG165=1,IF(INDEX('Lease Cycles'!$EF$17:$EL$17,1,AG163)=1,'Lease Cycles'!$C$17*INDEX('Lease Cycles'!$ET$17:$EZ$17,1,AG163)*(1+'Lease Cycles'!$V$17)^INT(INT(AG164/12)/'Lease Cycles'!$W$17)/12,0),0)</f>
        <v>0</v>
      </c>
      <c r="AH167" s="28">
        <f>IF(AH165=1,IF(INDEX('Lease Cycles'!$EF$17:$EL$17,1,AH163)=1,'Lease Cycles'!$C$17*INDEX('Lease Cycles'!$ET$17:$EZ$17,1,AH163)*(1+'Lease Cycles'!$V$17)^INT(INT(AH164/12)/'Lease Cycles'!$W$17)/12,0),0)</f>
        <v>0</v>
      </c>
      <c r="AI167" s="28">
        <f>IF(AI165=1,IF(INDEX('Lease Cycles'!$EF$17:$EL$17,1,AI163)=1,'Lease Cycles'!$C$17*INDEX('Lease Cycles'!$ET$17:$EZ$17,1,AI163)*(1+'Lease Cycles'!$V$17)^INT(INT(AI164/12)/'Lease Cycles'!$W$17)/12,0),0)</f>
        <v>0</v>
      </c>
      <c r="AJ167" s="28">
        <f>IF(AJ165=1,IF(INDEX('Lease Cycles'!$EF$17:$EL$17,1,AJ163)=1,'Lease Cycles'!$C$17*INDEX('Lease Cycles'!$ET$17:$EZ$17,1,AJ163)*(1+'Lease Cycles'!$V$17)^INT(INT(AJ164/12)/'Lease Cycles'!$W$17)/12,0),0)</f>
        <v>0</v>
      </c>
      <c r="AK167" s="28">
        <f>IF(AK165=1,IF(INDEX('Lease Cycles'!$EF$17:$EL$17,1,AK163)=1,'Lease Cycles'!$C$17*INDEX('Lease Cycles'!$ET$17:$EZ$17,1,AK163)*(1+'Lease Cycles'!$V$17)^INT(INT(AK164/12)/'Lease Cycles'!$W$17)/12,0),0)</f>
        <v>0</v>
      </c>
      <c r="AL167" s="28">
        <f>IF(AL165=1,IF(INDEX('Lease Cycles'!$EF$17:$EL$17,1,AL163)=1,'Lease Cycles'!$C$17*INDEX('Lease Cycles'!$ET$17:$EZ$17,1,AL163)*(1+'Lease Cycles'!$V$17)^INT(INT(AL164/12)/'Lease Cycles'!$W$17)/12,0),0)</f>
        <v>0</v>
      </c>
      <c r="AM167" s="28">
        <f>IF(AM165=1,IF(INDEX('Lease Cycles'!$EF$17:$EL$17,1,AM163)=1,'Lease Cycles'!$C$17*INDEX('Lease Cycles'!$ET$17:$EZ$17,1,AM163)*(1+'Lease Cycles'!$V$17)^INT(INT(AM164/12)/'Lease Cycles'!$W$17)/12,0),0)</f>
        <v>0</v>
      </c>
      <c r="AN167" s="28">
        <f>IF(AN165=1,IF(INDEX('Lease Cycles'!$EF$17:$EL$17,1,AN163)=1,'Lease Cycles'!$C$17*INDEX('Lease Cycles'!$ET$17:$EZ$17,1,AN163)*(1+'Lease Cycles'!$V$17)^INT(INT(AN164/12)/'Lease Cycles'!$W$17)/12,0),0)</f>
        <v>0</v>
      </c>
      <c r="AO167" s="28">
        <f>IF(AO165=1,IF(INDEX('Lease Cycles'!$EF$17:$EL$17,1,AO163)=1,'Lease Cycles'!$C$17*INDEX('Lease Cycles'!$ET$17:$EZ$17,1,AO163)*(1+'Lease Cycles'!$V$17)^INT(INT(AO164/12)/'Lease Cycles'!$W$17)/12,0),0)</f>
        <v>0</v>
      </c>
      <c r="AP167" s="28">
        <f>IF(AP165=1,IF(INDEX('Lease Cycles'!$EF$17:$EL$17,1,AP163)=1,'Lease Cycles'!$C$17*INDEX('Lease Cycles'!$ET$17:$EZ$17,1,AP163)*(1+'Lease Cycles'!$V$17)^INT(INT(AP164/12)/'Lease Cycles'!$W$17)/12,0),0)</f>
        <v>0</v>
      </c>
      <c r="AQ167" s="28">
        <f>IF(AQ165=1,IF(INDEX('Lease Cycles'!$EF$17:$EL$17,1,AQ163)=1,'Lease Cycles'!$C$17*INDEX('Lease Cycles'!$ET$17:$EZ$17,1,AQ163)*(1+'Lease Cycles'!$V$17)^INT(INT(AQ164/12)/'Lease Cycles'!$W$17)/12,0),0)</f>
        <v>0</v>
      </c>
      <c r="AR167" s="28">
        <f>IF(AR165=1,IF(INDEX('Lease Cycles'!$EF$17:$EL$17,1,AR163)=1,'Lease Cycles'!$C$17*INDEX('Lease Cycles'!$ET$17:$EZ$17,1,AR163)*(1+'Lease Cycles'!$V$17)^INT(INT(AR164/12)/'Lease Cycles'!$W$17)/12,0),0)</f>
        <v>0</v>
      </c>
      <c r="AS167" s="28">
        <f>IF(AS165=1,IF(INDEX('Lease Cycles'!$EF$17:$EL$17,1,AS163)=1,'Lease Cycles'!$C$17*INDEX('Lease Cycles'!$ET$17:$EZ$17,1,AS163)*(1+'Lease Cycles'!$V$17)^INT(INT(AS164/12)/'Lease Cycles'!$W$17)/12,0),0)</f>
        <v>0</v>
      </c>
      <c r="AT167" s="28">
        <f>IF(AT165=1,IF(INDEX('Lease Cycles'!$EF$17:$EL$17,1,AT163)=1,'Lease Cycles'!$C$17*INDEX('Lease Cycles'!$ET$17:$EZ$17,1,AT163)*(1+'Lease Cycles'!$V$17)^INT(INT(AT164/12)/'Lease Cycles'!$W$17)/12,0),0)</f>
        <v>0</v>
      </c>
      <c r="AU167" s="28">
        <f>IF(AU165=1,IF(INDEX('Lease Cycles'!$EF$17:$EL$17,1,AU163)=1,'Lease Cycles'!$C$17*INDEX('Lease Cycles'!$ET$17:$EZ$17,1,AU163)*(1+'Lease Cycles'!$V$17)^INT(INT(AU164/12)/'Lease Cycles'!$W$17)/12,0),0)</f>
        <v>0</v>
      </c>
      <c r="AV167" s="28">
        <f>IF(AV165=1,IF(INDEX('Lease Cycles'!$EF$17:$EL$17,1,AV163)=1,'Lease Cycles'!$C$17*INDEX('Lease Cycles'!$ET$17:$EZ$17,1,AV163)*(1+'Lease Cycles'!$V$17)^INT(INT(AV164/12)/'Lease Cycles'!$W$17)/12,0),0)</f>
        <v>0</v>
      </c>
      <c r="AW167" s="28">
        <f>IF(AW165=1,IF(INDEX('Lease Cycles'!$EF$17:$EL$17,1,AW163)=1,'Lease Cycles'!$C$17*INDEX('Lease Cycles'!$ET$17:$EZ$17,1,AW163)*(1+'Lease Cycles'!$V$17)^INT(INT(AW164/12)/'Lease Cycles'!$W$17)/12,0),0)</f>
        <v>0</v>
      </c>
      <c r="AX167" s="28">
        <f>IF(AX165=1,IF(INDEX('Lease Cycles'!$EF$17:$EL$17,1,AX163)=1,'Lease Cycles'!$C$17*INDEX('Lease Cycles'!$ET$17:$EZ$17,1,AX163)*(1+'Lease Cycles'!$V$17)^INT(INT(AX164/12)/'Lease Cycles'!$W$17)/12,0),0)</f>
        <v>0</v>
      </c>
      <c r="AY167" s="28">
        <f>IF(AY165=1,IF(INDEX('Lease Cycles'!$EF$17:$EL$17,1,AY163)=1,'Lease Cycles'!$C$17*INDEX('Lease Cycles'!$ET$17:$EZ$17,1,AY163)*(1+'Lease Cycles'!$V$17)^INT(INT(AY164/12)/'Lease Cycles'!$W$17)/12,0),0)</f>
        <v>0</v>
      </c>
      <c r="AZ167" s="28">
        <f>IF(AZ165=1,IF(INDEX('Lease Cycles'!$EF$17:$EL$17,1,AZ163)=1,'Lease Cycles'!$C$17*INDEX('Lease Cycles'!$ET$17:$EZ$17,1,AZ163)*(1+'Lease Cycles'!$V$17)^INT(INT(AZ164/12)/'Lease Cycles'!$W$17)/12,0),0)</f>
        <v>0</v>
      </c>
      <c r="BA167" s="28">
        <f>IF(BA165=1,IF(INDEX('Lease Cycles'!$EF$17:$EL$17,1,BA163)=1,'Lease Cycles'!$C$17*INDEX('Lease Cycles'!$ET$17:$EZ$17,1,BA163)*(1+'Lease Cycles'!$V$17)^INT(INT(BA164/12)/'Lease Cycles'!$W$17)/12,0),0)</f>
        <v>0</v>
      </c>
      <c r="BB167" s="28">
        <f>IF(BB165=1,IF(INDEX('Lease Cycles'!$EF$17:$EL$17,1,BB163)=1,'Lease Cycles'!$C$17*INDEX('Lease Cycles'!$ET$17:$EZ$17,1,BB163)*(1+'Lease Cycles'!$V$17)^INT(INT(BB164/12)/'Lease Cycles'!$W$17)/12,0),0)</f>
        <v>0</v>
      </c>
      <c r="BC167" s="28">
        <f>IF(BC165=1,IF(INDEX('Lease Cycles'!$EF$17:$EL$17,1,BC163)=1,'Lease Cycles'!$C$17*INDEX('Lease Cycles'!$ET$17:$EZ$17,1,BC163)*(1+'Lease Cycles'!$V$17)^INT(INT(BC164/12)/'Lease Cycles'!$W$17)/12,0),0)</f>
        <v>0</v>
      </c>
      <c r="BD167" s="28">
        <f>IF(BD165=1,IF(INDEX('Lease Cycles'!$EF$17:$EL$17,1,BD163)=1,'Lease Cycles'!$C$17*INDEX('Lease Cycles'!$ET$17:$EZ$17,1,BD163)*(1+'Lease Cycles'!$V$17)^INT(INT(BD164/12)/'Lease Cycles'!$W$17)/12,0),0)</f>
        <v>0</v>
      </c>
      <c r="BE167" s="28">
        <f>IF(BE165=1,IF(INDEX('Lease Cycles'!$EF$17:$EL$17,1,BE163)=1,'Lease Cycles'!$C$17*INDEX('Lease Cycles'!$ET$17:$EZ$17,1,BE163)*(1+'Lease Cycles'!$V$17)^INT(INT(BE164/12)/'Lease Cycles'!$W$17)/12,0),0)</f>
        <v>0</v>
      </c>
      <c r="BF167" s="28">
        <f>IF(BF165=1,IF(INDEX('Lease Cycles'!$EF$17:$EL$17,1,BF163)=1,'Lease Cycles'!$C$17*INDEX('Lease Cycles'!$ET$17:$EZ$17,1,BF163)*(1+'Lease Cycles'!$V$17)^INT(INT(BF164/12)/'Lease Cycles'!$W$17)/12,0),0)</f>
        <v>0</v>
      </c>
      <c r="BG167" s="28">
        <f>IF(BG165=1,IF(INDEX('Lease Cycles'!$EF$17:$EL$17,1,BG163)=1,'Lease Cycles'!$C$17*INDEX('Lease Cycles'!$ET$17:$EZ$17,1,BG163)*(1+'Lease Cycles'!$V$17)^INT(INT(BG164/12)/'Lease Cycles'!$W$17)/12,0),0)</f>
        <v>0</v>
      </c>
      <c r="BH167" s="28">
        <f>IF(BH165=1,IF(INDEX('Lease Cycles'!$EF$17:$EL$17,1,BH163)=1,'Lease Cycles'!$C$17*INDEX('Lease Cycles'!$ET$17:$EZ$17,1,BH163)*(1+'Lease Cycles'!$V$17)^INT(INT(BH164/12)/'Lease Cycles'!$W$17)/12,0),0)</f>
        <v>0</v>
      </c>
      <c r="BI167" s="28">
        <f>IF(BI165=1,IF(INDEX('Lease Cycles'!$EF$17:$EL$17,1,BI163)=1,'Lease Cycles'!$C$17*INDEX('Lease Cycles'!$ET$17:$EZ$17,1,BI163)*(1+'Lease Cycles'!$V$17)^INT(INT(BI164/12)/'Lease Cycles'!$W$17)/12,0),0)</f>
        <v>0</v>
      </c>
      <c r="BJ167" s="28">
        <f>IF(BJ165=1,IF(INDEX('Lease Cycles'!$EF$17:$EL$17,1,BJ163)=1,'Lease Cycles'!$C$17*INDEX('Lease Cycles'!$ET$17:$EZ$17,1,BJ163)*(1+'Lease Cycles'!$V$17)^INT(INT(BJ164/12)/'Lease Cycles'!$W$17)/12,0),0)</f>
        <v>0</v>
      </c>
      <c r="BK167" s="28">
        <f>IF(BK165=1,IF(INDEX('Lease Cycles'!$EF$17:$EL$17,1,BK163)=1,'Lease Cycles'!$C$17*INDEX('Lease Cycles'!$ET$17:$EZ$17,1,BK163)*(1+'Lease Cycles'!$V$17)^INT(INT(BK164/12)/'Lease Cycles'!$W$17)/12,0),0)</f>
        <v>0</v>
      </c>
      <c r="BL167" s="28">
        <f>IF(BL165=1,IF(INDEX('Lease Cycles'!$EF$17:$EL$17,1,BL163)=1,'Lease Cycles'!$C$17*INDEX('Lease Cycles'!$ET$17:$EZ$17,1,BL163)*(1+'Lease Cycles'!$V$17)^INT(INT(BL164/12)/'Lease Cycles'!$W$17)/12,0),0)</f>
        <v>0</v>
      </c>
      <c r="BM167" s="28">
        <f>IF(BM165=1,IF(INDEX('Lease Cycles'!$EF$17:$EL$17,1,BM163)=1,'Lease Cycles'!$C$17*INDEX('Lease Cycles'!$ET$17:$EZ$17,1,BM163)*(1+'Lease Cycles'!$V$17)^INT(INT(BM164/12)/'Lease Cycles'!$W$17)/12,0),0)</f>
        <v>0</v>
      </c>
      <c r="BN167" s="28">
        <f>IF(BN165=1,IF(INDEX('Lease Cycles'!$EF$17:$EL$17,1,BN163)=1,'Lease Cycles'!$C$17*INDEX('Lease Cycles'!$ET$17:$EZ$17,1,BN163)*(1+'Lease Cycles'!$V$17)^INT(INT(BN164/12)/'Lease Cycles'!$W$17)/12,0),0)</f>
        <v>0</v>
      </c>
      <c r="BO167" s="28">
        <f>IF(BO165=1,IF(INDEX('Lease Cycles'!$EF$17:$EL$17,1,BO163)=1,'Lease Cycles'!$C$17*INDEX('Lease Cycles'!$ET$17:$EZ$17,1,BO163)*(1+'Lease Cycles'!$V$17)^INT(INT(BO164/12)/'Lease Cycles'!$W$17)/12,0),0)</f>
        <v>0</v>
      </c>
      <c r="BP167" s="28">
        <f>IF(BP165=1,IF(INDEX('Lease Cycles'!$EF$17:$EL$17,1,BP163)=1,'Lease Cycles'!$C$17*INDEX('Lease Cycles'!$ET$17:$EZ$17,1,BP163)*(1+'Lease Cycles'!$V$17)^INT(INT(BP164/12)/'Lease Cycles'!$W$17)/12,0),0)</f>
        <v>0</v>
      </c>
      <c r="BQ167" s="28">
        <f>IF(BQ165=1,IF(INDEX('Lease Cycles'!$EF$17:$EL$17,1,BQ163)=1,'Lease Cycles'!$C$17*INDEX('Lease Cycles'!$ET$17:$EZ$17,1,BQ163)*(1+'Lease Cycles'!$V$17)^INT(INT(BQ164/12)/'Lease Cycles'!$W$17)/12,0),0)</f>
        <v>0</v>
      </c>
      <c r="BR167" s="28">
        <f>IF(BR165=1,IF(INDEX('Lease Cycles'!$EF$17:$EL$17,1,BR163)=1,'Lease Cycles'!$C$17*INDEX('Lease Cycles'!$ET$17:$EZ$17,1,BR163)*(1+'Lease Cycles'!$V$17)^INT(INT(BR164/12)/'Lease Cycles'!$W$17)/12,0),0)</f>
        <v>0</v>
      </c>
      <c r="BS167" s="28">
        <f>IF(BS165=1,IF(INDEX('Lease Cycles'!$EF$17:$EL$17,1,BS163)=1,'Lease Cycles'!$C$17*INDEX('Lease Cycles'!$ET$17:$EZ$17,1,BS163)*(1+'Lease Cycles'!$V$17)^INT(INT(BS164/12)/'Lease Cycles'!$W$17)/12,0),0)</f>
        <v>0</v>
      </c>
      <c r="BT167" s="28">
        <f>IF(BT165=1,IF(INDEX('Lease Cycles'!$EF$17:$EL$17,1,BT163)=1,'Lease Cycles'!$C$17*INDEX('Lease Cycles'!$ET$17:$EZ$17,1,BT163)*(1+'Lease Cycles'!$V$17)^INT(INT(BT164/12)/'Lease Cycles'!$W$17)/12,0),0)</f>
        <v>0</v>
      </c>
      <c r="BU167" s="28">
        <f>IF(BU165=1,IF(INDEX('Lease Cycles'!$EF$17:$EL$17,1,BU163)=1,'Lease Cycles'!$C$17*INDEX('Lease Cycles'!$ET$17:$EZ$17,1,BU163)*(1+'Lease Cycles'!$V$17)^INT(INT(BU164/12)/'Lease Cycles'!$W$17)/12,0),0)</f>
        <v>0</v>
      </c>
      <c r="BV167" s="28">
        <f>IF(BV165=1,IF(INDEX('Lease Cycles'!$EF$17:$EL$17,1,BV163)=1,'Lease Cycles'!$C$17*INDEX('Lease Cycles'!$ET$17:$EZ$17,1,BV163)*(1+'Lease Cycles'!$V$17)^INT(INT(BV164/12)/'Lease Cycles'!$W$17)/12,0),0)</f>
        <v>0</v>
      </c>
      <c r="BW167" s="28">
        <f>IF(BW165=1,IF(INDEX('Lease Cycles'!$EF$17:$EL$17,1,BW163)=1,'Lease Cycles'!$C$17*INDEX('Lease Cycles'!$ET$17:$EZ$17,1,BW163)*(1+'Lease Cycles'!$V$17)^INT(INT(BW164/12)/'Lease Cycles'!$W$17)/12,0),0)</f>
        <v>0</v>
      </c>
      <c r="BX167" s="28">
        <f>IF(BX165=1,IF(INDEX('Lease Cycles'!$EF$17:$EL$17,1,BX163)=1,'Lease Cycles'!$C$17*INDEX('Lease Cycles'!$ET$17:$EZ$17,1,BX163)*(1+'Lease Cycles'!$V$17)^INT(INT(BX164/12)/'Lease Cycles'!$W$17)/12,0),0)</f>
        <v>0</v>
      </c>
      <c r="BY167" s="28">
        <f>IF(BY165=1,IF(INDEX('Lease Cycles'!$EF$17:$EL$17,1,BY163)=1,'Lease Cycles'!$C$17*INDEX('Lease Cycles'!$ET$17:$EZ$17,1,BY163)*(1+'Lease Cycles'!$V$17)^INT(INT(BY164/12)/'Lease Cycles'!$W$17)/12,0),0)</f>
        <v>0</v>
      </c>
      <c r="BZ167" s="28">
        <f>IF(BZ165=1,IF(INDEX('Lease Cycles'!$EF$17:$EL$17,1,BZ163)=1,'Lease Cycles'!$C$17*INDEX('Lease Cycles'!$ET$17:$EZ$17,1,BZ163)*(1+'Lease Cycles'!$V$17)^INT(INT(BZ164/12)/'Lease Cycles'!$W$17)/12,0),0)</f>
        <v>0</v>
      </c>
      <c r="CA167" s="28">
        <f>IF(CA165=1,IF(INDEX('Lease Cycles'!$EF$17:$EL$17,1,CA163)=1,'Lease Cycles'!$C$17*INDEX('Lease Cycles'!$ET$17:$EZ$17,1,CA163)*(1+'Lease Cycles'!$V$17)^INT(INT(CA164/12)/'Lease Cycles'!$W$17)/12,0),0)</f>
        <v>0</v>
      </c>
      <c r="CB167" s="28">
        <f>IF(CB165=1,IF(INDEX('Lease Cycles'!$EF$17:$EL$17,1,CB163)=1,'Lease Cycles'!$C$17*INDEX('Lease Cycles'!$ET$17:$EZ$17,1,CB163)*(1+'Lease Cycles'!$V$17)^INT(INT(CB164/12)/'Lease Cycles'!$W$17)/12,0),0)</f>
        <v>0</v>
      </c>
      <c r="CC167" s="28">
        <f>IF(CC165=1,IF(INDEX('Lease Cycles'!$EF$17:$EL$17,1,CC163)=1,'Lease Cycles'!$C$17*INDEX('Lease Cycles'!$ET$17:$EZ$17,1,CC163)*(1+'Lease Cycles'!$V$17)^INT(INT(CC164/12)/'Lease Cycles'!$W$17)/12,0),0)</f>
        <v>0</v>
      </c>
      <c r="CD167" s="28">
        <f>IF(CD165=1,IF(INDEX('Lease Cycles'!$EF$17:$EL$17,1,CD163)=1,'Lease Cycles'!$C$17*INDEX('Lease Cycles'!$ET$17:$EZ$17,1,CD163)*(1+'Lease Cycles'!$V$17)^INT(INT(CD164/12)/'Lease Cycles'!$W$17)/12,0),0)</f>
        <v>0</v>
      </c>
      <c r="CE167" s="28">
        <f>IF(CE165=1,IF(INDEX('Lease Cycles'!$EF$17:$EL$17,1,CE163)=1,'Lease Cycles'!$C$17*INDEX('Lease Cycles'!$ET$17:$EZ$17,1,CE163)*(1+'Lease Cycles'!$V$17)^INT(INT(CE164/12)/'Lease Cycles'!$W$17)/12,0),0)</f>
        <v>0</v>
      </c>
      <c r="CF167" s="28">
        <f>IF(CF165=1,IF(INDEX('Lease Cycles'!$EF$17:$EL$17,1,CF163)=1,'Lease Cycles'!$C$17*INDEX('Lease Cycles'!$ET$17:$EZ$17,1,CF163)*(1+'Lease Cycles'!$V$17)^INT(INT(CF164/12)/'Lease Cycles'!$W$17)/12,0),0)</f>
        <v>0</v>
      </c>
      <c r="CG167" s="28">
        <f>IF(CG165=1,IF(INDEX('Lease Cycles'!$EF$17:$EL$17,1,CG163)=1,'Lease Cycles'!$C$17*INDEX('Lease Cycles'!$ET$17:$EZ$17,1,CG163)*(1+'Lease Cycles'!$V$17)^INT(INT(CG164/12)/'Lease Cycles'!$W$17)/12,0),0)</f>
        <v>0</v>
      </c>
      <c r="CH167" s="28">
        <f>IF(CH165=1,IF(INDEX('Lease Cycles'!$EF$17:$EL$17,1,CH163)=1,'Lease Cycles'!$C$17*INDEX('Lease Cycles'!$ET$17:$EZ$17,1,CH163)*(1+'Lease Cycles'!$V$17)^INT(INT(CH164/12)/'Lease Cycles'!$W$17)/12,0),0)</f>
        <v>0</v>
      </c>
      <c r="CI167" s="28">
        <f>IF(CI165=1,IF(INDEX('Lease Cycles'!$EF$17:$EL$17,1,CI163)=1,'Lease Cycles'!$C$17*INDEX('Lease Cycles'!$ET$17:$EZ$17,1,CI163)*(1+'Lease Cycles'!$V$17)^INT(INT(CI164/12)/'Lease Cycles'!$W$17)/12,0),0)</f>
        <v>0</v>
      </c>
      <c r="CJ167" s="28">
        <f>IF(CJ165=1,IF(INDEX('Lease Cycles'!$EF$17:$EL$17,1,CJ163)=1,'Lease Cycles'!$C$17*INDEX('Lease Cycles'!$ET$17:$EZ$17,1,CJ163)*(1+'Lease Cycles'!$V$17)^INT(INT(CJ164/12)/'Lease Cycles'!$W$17)/12,0),0)</f>
        <v>0</v>
      </c>
      <c r="CK167" s="28">
        <f>IF(CK165=1,IF(INDEX('Lease Cycles'!$EF$17:$EL$17,1,CK163)=1,'Lease Cycles'!$C$17*INDEX('Lease Cycles'!$ET$17:$EZ$17,1,CK163)*(1+'Lease Cycles'!$V$17)^INT(INT(CK164/12)/'Lease Cycles'!$W$17)/12,0),0)</f>
        <v>0</v>
      </c>
      <c r="CL167" s="28">
        <f>IF(CL165=1,IF(INDEX('Lease Cycles'!$EF$17:$EL$17,1,CL163)=1,'Lease Cycles'!$C$17*INDEX('Lease Cycles'!$ET$17:$EZ$17,1,CL163)*(1+'Lease Cycles'!$V$17)^INT(INT(CL164/12)/'Lease Cycles'!$W$17)/12,0),0)</f>
        <v>0</v>
      </c>
      <c r="CM167" s="28">
        <f>IF(CM165=1,IF(INDEX('Lease Cycles'!$EF$17:$EL$17,1,CM163)=1,'Lease Cycles'!$C$17*INDEX('Lease Cycles'!$ET$17:$EZ$17,1,CM163)*(1+'Lease Cycles'!$V$17)^INT(INT(CM164/12)/'Lease Cycles'!$W$17)/12,0),0)</f>
        <v>0</v>
      </c>
      <c r="CN167" s="28">
        <f>IF(CN165=1,IF(INDEX('Lease Cycles'!$EF$17:$EL$17,1,CN163)=1,'Lease Cycles'!$C$17*INDEX('Lease Cycles'!$ET$17:$EZ$17,1,CN163)*(1+'Lease Cycles'!$V$17)^INT(INT(CN164/12)/'Lease Cycles'!$W$17)/12,0),0)</f>
        <v>0</v>
      </c>
      <c r="CO167" s="28">
        <f>IF(CO165=1,IF(INDEX('Lease Cycles'!$EF$17:$EL$17,1,CO163)=1,'Lease Cycles'!$C$17*INDEX('Lease Cycles'!$ET$17:$EZ$17,1,CO163)*(1+'Lease Cycles'!$V$17)^INT(INT(CO164/12)/'Lease Cycles'!$W$17)/12,0),0)</f>
        <v>0</v>
      </c>
      <c r="CP167" s="28">
        <f>IF(CP165=1,IF(INDEX('Lease Cycles'!$EF$17:$EL$17,1,CP163)=1,'Lease Cycles'!$C$17*INDEX('Lease Cycles'!$ET$17:$EZ$17,1,CP163)*(1+'Lease Cycles'!$V$17)^INT(INT(CP164/12)/'Lease Cycles'!$W$17)/12,0),0)</f>
        <v>0</v>
      </c>
      <c r="CQ167" s="28">
        <f>IF(CQ165=1,IF(INDEX('Lease Cycles'!$EF$17:$EL$17,1,CQ163)=1,'Lease Cycles'!$C$17*INDEX('Lease Cycles'!$ET$17:$EZ$17,1,CQ163)*(1+'Lease Cycles'!$V$17)^INT(INT(CQ164/12)/'Lease Cycles'!$W$17)/12,0),0)</f>
        <v>0</v>
      </c>
      <c r="CR167" s="28">
        <f>IF(CR165=1,IF(INDEX('Lease Cycles'!$EF$17:$EL$17,1,CR163)=1,'Lease Cycles'!$C$17*INDEX('Lease Cycles'!$ET$17:$EZ$17,1,CR163)*(1+'Lease Cycles'!$V$17)^INT(INT(CR164/12)/'Lease Cycles'!$W$17)/12,0),0)</f>
        <v>0</v>
      </c>
      <c r="CS167" s="28">
        <f>IF(CS165=1,IF(INDEX('Lease Cycles'!$EF$17:$EL$17,1,CS163)=1,'Lease Cycles'!$C$17*INDEX('Lease Cycles'!$ET$17:$EZ$17,1,CS163)*(1+'Lease Cycles'!$V$17)^INT(INT(CS164/12)/'Lease Cycles'!$W$17)/12,0),0)</f>
        <v>0</v>
      </c>
      <c r="CT167" s="28">
        <f>IF(CT165=1,IF(INDEX('Lease Cycles'!$EF$17:$EL$17,1,CT163)=1,'Lease Cycles'!$C$17*INDEX('Lease Cycles'!$ET$17:$EZ$17,1,CT163)*(1+'Lease Cycles'!$V$17)^INT(INT(CT164/12)/'Lease Cycles'!$W$17)/12,0),0)</f>
        <v>0</v>
      </c>
      <c r="CU167" s="28">
        <f>IF(CU165=1,IF(INDEX('Lease Cycles'!$EF$17:$EL$17,1,CU163)=1,'Lease Cycles'!$C$17*INDEX('Lease Cycles'!$ET$17:$EZ$17,1,CU163)*(1+'Lease Cycles'!$V$17)^INT(INT(CU164/12)/'Lease Cycles'!$W$17)/12,0),0)</f>
        <v>0</v>
      </c>
      <c r="CV167" s="28">
        <f>IF(CV165=1,IF(INDEX('Lease Cycles'!$EF$17:$EL$17,1,CV163)=1,'Lease Cycles'!$C$17*INDEX('Lease Cycles'!$ET$17:$EZ$17,1,CV163)*(1+'Lease Cycles'!$V$17)^INT(INT(CV164/12)/'Lease Cycles'!$W$17)/12,0),0)</f>
        <v>0</v>
      </c>
      <c r="CW167" s="28">
        <f>IF(CW165=1,IF(INDEX('Lease Cycles'!$EF$17:$EL$17,1,CW163)=1,'Lease Cycles'!$C$17*INDEX('Lease Cycles'!$ET$17:$EZ$17,1,CW163)*(1+'Lease Cycles'!$V$17)^INT(INT(CW164/12)/'Lease Cycles'!$W$17)/12,0),0)</f>
        <v>0</v>
      </c>
      <c r="CX167" s="28">
        <f>IF(CX165=1,IF(INDEX('Lease Cycles'!$EF$17:$EL$17,1,CX163)=1,'Lease Cycles'!$C$17*INDEX('Lease Cycles'!$ET$17:$EZ$17,1,CX163)*(1+'Lease Cycles'!$V$17)^INT(INT(CX164/12)/'Lease Cycles'!$W$17)/12,0),0)</f>
        <v>0</v>
      </c>
      <c r="CY167" s="28">
        <f>IF(CY165=1,IF(INDEX('Lease Cycles'!$EF$17:$EL$17,1,CY163)=1,'Lease Cycles'!$C$17*INDEX('Lease Cycles'!$ET$17:$EZ$17,1,CY163)*(1+'Lease Cycles'!$V$17)^INT(INT(CY164/12)/'Lease Cycles'!$W$17)/12,0),0)</f>
        <v>0</v>
      </c>
      <c r="CZ167" s="28">
        <f>IF(CZ165=1,IF(INDEX('Lease Cycles'!$EF$17:$EL$17,1,CZ163)=1,'Lease Cycles'!$C$17*INDEX('Lease Cycles'!$ET$17:$EZ$17,1,CZ163)*(1+'Lease Cycles'!$V$17)^INT(INT(CZ164/12)/'Lease Cycles'!$W$17)/12,0),0)</f>
        <v>0</v>
      </c>
      <c r="DA167" s="28">
        <f>IF(DA165=1,IF(INDEX('Lease Cycles'!$EF$17:$EL$17,1,DA163)=1,'Lease Cycles'!$C$17*INDEX('Lease Cycles'!$ET$17:$EZ$17,1,DA163)*(1+'Lease Cycles'!$V$17)^INT(INT(DA164/12)/'Lease Cycles'!$W$17)/12,0),0)</f>
        <v>0</v>
      </c>
      <c r="DB167" s="28">
        <f>IF(DB165=1,IF(INDEX('Lease Cycles'!$EF$17:$EL$17,1,DB163)=1,'Lease Cycles'!$C$17*INDEX('Lease Cycles'!$ET$17:$EZ$17,1,DB163)*(1+'Lease Cycles'!$V$17)^INT(INT(DB164/12)/'Lease Cycles'!$W$17)/12,0),0)</f>
        <v>0</v>
      </c>
      <c r="DC167" s="28">
        <f>IF(DC165=1,IF(INDEX('Lease Cycles'!$EF$17:$EL$17,1,DC163)=1,'Lease Cycles'!$C$17*INDEX('Lease Cycles'!$ET$17:$EZ$17,1,DC163)*(1+'Lease Cycles'!$V$17)^INT(INT(DC164/12)/'Lease Cycles'!$W$17)/12,0),0)</f>
        <v>0</v>
      </c>
      <c r="DD167" s="28">
        <f>IF(DD165=1,IF(INDEX('Lease Cycles'!$EF$17:$EL$17,1,DD163)=1,'Lease Cycles'!$C$17*INDEX('Lease Cycles'!$ET$17:$EZ$17,1,DD163)*(1+'Lease Cycles'!$V$17)^INT(INT(DD164/12)/'Lease Cycles'!$W$17)/12,0),0)</f>
        <v>0</v>
      </c>
      <c r="DE167" s="28">
        <f>IF(DE165=1,IF(INDEX('Lease Cycles'!$EF$17:$EL$17,1,DE163)=1,'Lease Cycles'!$C$17*INDEX('Lease Cycles'!$ET$17:$EZ$17,1,DE163)*(1+'Lease Cycles'!$V$17)^INT(INT(DE164/12)/'Lease Cycles'!$W$17)/12,0),0)</f>
        <v>0</v>
      </c>
      <c r="DF167" s="28">
        <f>IF(DF165=1,IF(INDEX('Lease Cycles'!$EF$17:$EL$17,1,DF163)=1,'Lease Cycles'!$C$17*INDEX('Lease Cycles'!$ET$17:$EZ$17,1,DF163)*(1+'Lease Cycles'!$V$17)^INT(INT(DF164/12)/'Lease Cycles'!$W$17)/12,0),0)</f>
        <v>0</v>
      </c>
      <c r="DG167" s="28">
        <f>IF(DG165=1,IF(INDEX('Lease Cycles'!$EF$17:$EL$17,1,DG163)=1,'Lease Cycles'!$C$17*INDEX('Lease Cycles'!$ET$17:$EZ$17,1,DG163)*(1+'Lease Cycles'!$V$17)^INT(INT(DG164/12)/'Lease Cycles'!$W$17)/12,0),0)</f>
        <v>0</v>
      </c>
      <c r="DH167" s="28">
        <f>IF(DH165=1,IF(INDEX('Lease Cycles'!$EF$17:$EL$17,1,DH163)=1,'Lease Cycles'!$C$17*INDEX('Lease Cycles'!$ET$17:$EZ$17,1,DH163)*(1+'Lease Cycles'!$V$17)^INT(INT(DH164/12)/'Lease Cycles'!$W$17)/12,0),0)</f>
        <v>0</v>
      </c>
      <c r="DI167" s="28">
        <f>IF(DI165=1,IF(INDEX('Lease Cycles'!$EF$17:$EL$17,1,DI163)=1,'Lease Cycles'!$C$17*INDEX('Lease Cycles'!$ET$17:$EZ$17,1,DI163)*(1+'Lease Cycles'!$V$17)^INT(INT(DI164/12)/'Lease Cycles'!$W$17)/12,0),0)</f>
        <v>0</v>
      </c>
      <c r="DJ167" s="28">
        <f>IF(DJ165=1,IF(INDEX('Lease Cycles'!$EF$17:$EL$17,1,DJ163)=1,'Lease Cycles'!$C$17*INDEX('Lease Cycles'!$ET$17:$EZ$17,1,DJ163)*(1+'Lease Cycles'!$V$17)^INT(INT(DJ164/12)/'Lease Cycles'!$W$17)/12,0),0)</f>
        <v>0</v>
      </c>
      <c r="DK167" s="28">
        <f>IF(DK165=1,IF(INDEX('Lease Cycles'!$EF$17:$EL$17,1,DK163)=1,'Lease Cycles'!$C$17*INDEX('Lease Cycles'!$ET$17:$EZ$17,1,DK163)*(1+'Lease Cycles'!$V$17)^INT(INT(DK164/12)/'Lease Cycles'!$W$17)/12,0),0)</f>
        <v>0</v>
      </c>
      <c r="DL167" s="28">
        <f>IF(DL165=1,IF(INDEX('Lease Cycles'!$EF$17:$EL$17,1,DL163)=1,'Lease Cycles'!$C$17*INDEX('Lease Cycles'!$ET$17:$EZ$17,1,DL163)*(1+'Lease Cycles'!$V$17)^INT(INT(DL164/12)/'Lease Cycles'!$W$17)/12,0),0)</f>
        <v>0</v>
      </c>
      <c r="DM167" s="28">
        <f>IF(DM165=1,IF(INDEX('Lease Cycles'!$EF$17:$EL$17,1,DM163)=1,'Lease Cycles'!$C$17*INDEX('Lease Cycles'!$ET$17:$EZ$17,1,DM163)*(1+'Lease Cycles'!$V$17)^INT(INT(DM164/12)/'Lease Cycles'!$W$17)/12,0),0)</f>
        <v>0</v>
      </c>
      <c r="DN167" s="28">
        <f>IF(DN165=1,IF(INDEX('Lease Cycles'!$EF$17:$EL$17,1,DN163)=1,'Lease Cycles'!$C$17*INDEX('Lease Cycles'!$ET$17:$EZ$17,1,DN163)*(1+'Lease Cycles'!$V$17)^INT(INT(DN164/12)/'Lease Cycles'!$W$17)/12,0),0)</f>
        <v>0</v>
      </c>
      <c r="DO167" s="28">
        <f>IF(DO165=1,IF(INDEX('Lease Cycles'!$EF$17:$EL$17,1,DO163)=1,'Lease Cycles'!$C$17*INDEX('Lease Cycles'!$ET$17:$EZ$17,1,DO163)*(1+'Lease Cycles'!$V$17)^INT(INT(DO164/12)/'Lease Cycles'!$W$17)/12,0),0)</f>
        <v>0</v>
      </c>
      <c r="DP167" s="28">
        <f>IF(DP165=1,IF(INDEX('Lease Cycles'!$EF$17:$EL$17,1,DP163)=1,'Lease Cycles'!$C$17*INDEX('Lease Cycles'!$ET$17:$EZ$17,1,DP163)*(1+'Lease Cycles'!$V$17)^INT(INT(DP164/12)/'Lease Cycles'!$W$17)/12,0),0)</f>
        <v>0</v>
      </c>
      <c r="DQ167" s="28">
        <f>IF(DQ165=1,IF(INDEX('Lease Cycles'!$EF$17:$EL$17,1,DQ163)=1,'Lease Cycles'!$C$17*INDEX('Lease Cycles'!$ET$17:$EZ$17,1,DQ163)*(1+'Lease Cycles'!$V$17)^INT(INT(DQ164/12)/'Lease Cycles'!$W$17)/12,0),0)</f>
        <v>0</v>
      </c>
      <c r="DR167" s="28">
        <f>IF(DR165=1,IF(INDEX('Lease Cycles'!$EF$17:$EL$17,1,DR163)=1,'Lease Cycles'!$C$17*INDEX('Lease Cycles'!$ET$17:$EZ$17,1,DR163)*(1+'Lease Cycles'!$V$17)^INT(INT(DR164/12)/'Lease Cycles'!$W$17)/12,0),0)</f>
        <v>0</v>
      </c>
      <c r="DS167" s="28">
        <f>IF(DS165=1,IF(INDEX('Lease Cycles'!$EF$17:$EL$17,1,DS163)=1,'Lease Cycles'!$C$17*INDEX('Lease Cycles'!$ET$17:$EZ$17,1,DS163)*(1+'Lease Cycles'!$V$17)^INT(INT(DS164/12)/'Lease Cycles'!$W$17)/12,0),0)</f>
        <v>0</v>
      </c>
      <c r="DT167" s="28">
        <f>IF(DT165=1,IF(INDEX('Lease Cycles'!$EF$17:$EL$17,1,DT163)=1,'Lease Cycles'!$C$17*INDEX('Lease Cycles'!$ET$17:$EZ$17,1,DT163)*(1+'Lease Cycles'!$V$17)^INT(INT(DT164/12)/'Lease Cycles'!$W$17)/12,0),0)</f>
        <v>0</v>
      </c>
      <c r="DU167" s="28">
        <f>IF(DU165=1,IF(INDEX('Lease Cycles'!$EF$17:$EL$17,1,DU163)=1,'Lease Cycles'!$C$17*INDEX('Lease Cycles'!$ET$17:$EZ$17,1,DU163)*(1+'Lease Cycles'!$V$17)^INT(INT(DU164/12)/'Lease Cycles'!$W$17)/12,0),0)</f>
        <v>0</v>
      </c>
      <c r="DV167" s="28">
        <f>IF(DV165=1,IF(INDEX('Lease Cycles'!$EF$17:$EL$17,1,DV163)=1,'Lease Cycles'!$C$17*INDEX('Lease Cycles'!$ET$17:$EZ$17,1,DV163)*(1+'Lease Cycles'!$V$17)^INT(INT(DV164/12)/'Lease Cycles'!$W$17)/12,0),0)</f>
        <v>0</v>
      </c>
      <c r="DW167" s="28">
        <f>IF(DW165=1,IF(INDEX('Lease Cycles'!$EF$17:$EL$17,1,DW163)=1,'Lease Cycles'!$C$17*INDEX('Lease Cycles'!$ET$17:$EZ$17,1,DW163)*(1+'Lease Cycles'!$V$17)^INT(INT(DW164/12)/'Lease Cycles'!$W$17)/12,0),0)</f>
        <v>0</v>
      </c>
      <c r="DX167" s="28">
        <f>IF(DX165=1,IF(INDEX('Lease Cycles'!$EF$17:$EL$17,1,DX163)=1,'Lease Cycles'!$C$17*INDEX('Lease Cycles'!$ET$17:$EZ$17,1,DX163)*(1+'Lease Cycles'!$V$17)^INT(INT(DX164/12)/'Lease Cycles'!$W$17)/12,0),0)</f>
        <v>0</v>
      </c>
      <c r="DY167" s="28">
        <f>IF(DY165=1,IF(INDEX('Lease Cycles'!$EF$17:$EL$17,1,DY163)=1,'Lease Cycles'!$C$17*INDEX('Lease Cycles'!$ET$17:$EZ$17,1,DY163)*(1+'Lease Cycles'!$V$17)^INT(INT(DY164/12)/'Lease Cycles'!$W$17)/12,0),0)</f>
        <v>0</v>
      </c>
      <c r="DZ167" s="28">
        <f>IF(DZ165=1,IF(INDEX('Lease Cycles'!$EF$17:$EL$17,1,DZ163)=1,'Lease Cycles'!$C$17*INDEX('Lease Cycles'!$ET$17:$EZ$17,1,DZ163)*(1+'Lease Cycles'!$V$17)^INT(INT(DZ164/12)/'Lease Cycles'!$W$17)/12,0),0)</f>
        <v>0</v>
      </c>
      <c r="EA167" s="28">
        <f>IF(EA165=1,IF(INDEX('Lease Cycles'!$EF$17:$EL$17,1,EA163)=1,'Lease Cycles'!$C$17*INDEX('Lease Cycles'!$ET$17:$EZ$17,1,EA163)*(1+'Lease Cycles'!$V$17)^INT(INT(EA164/12)/'Lease Cycles'!$W$17)/12,0),0)</f>
        <v>0</v>
      </c>
      <c r="EB167" s="28">
        <f>IF(EB165=1,IF(INDEX('Lease Cycles'!$EF$17:$EL$17,1,EB163)=1,'Lease Cycles'!$C$17*INDEX('Lease Cycles'!$ET$17:$EZ$17,1,EB163)*(1+'Lease Cycles'!$V$17)^INT(INT(EB164/12)/'Lease Cycles'!$W$17)/12,0),0)</f>
        <v>0</v>
      </c>
      <c r="EC167" s="28">
        <f>IF(EC165=1,IF(INDEX('Lease Cycles'!$EF$17:$EL$17,1,EC163)=1,'Lease Cycles'!$C$17*INDEX('Lease Cycles'!$ET$17:$EZ$17,1,EC163)*(1+'Lease Cycles'!$V$17)^INT(INT(EC164/12)/'Lease Cycles'!$W$17)/12,0),0)</f>
        <v>0</v>
      </c>
      <c r="ED167" s="28">
        <f>IF(ED165=1,IF(INDEX('Lease Cycles'!$EF$17:$EL$17,1,ED163)=1,'Lease Cycles'!$C$17*INDEX('Lease Cycles'!$ET$17:$EZ$17,1,ED163)*(1+'Lease Cycles'!$V$17)^INT(INT(ED164/12)/'Lease Cycles'!$W$17)/12,0),0)</f>
        <v>0</v>
      </c>
      <c r="EE167" s="28">
        <f>IF(EE165=1,IF(INDEX('Lease Cycles'!$EF$17:$EL$17,1,EE163)=1,'Lease Cycles'!$C$17*INDEX('Lease Cycles'!$ET$17:$EZ$17,1,EE163)*(1+'Lease Cycles'!$V$17)^INT(INT(EE164/12)/'Lease Cycles'!$W$17)/12,0),0)</f>
        <v>0</v>
      </c>
      <c r="EF167" s="28">
        <f>IF(EF165=1,IF(INDEX('Lease Cycles'!$EF$17:$EL$17,1,EF163)=1,'Lease Cycles'!$C$17*INDEX('Lease Cycles'!$ET$17:$EZ$17,1,EF163)*(1+'Lease Cycles'!$V$17)^INT(INT(EF164/12)/'Lease Cycles'!$W$17)/12,0),0)</f>
        <v>0</v>
      </c>
      <c r="EG167" s="28">
        <f>IF(EG165=1,IF(INDEX('Lease Cycles'!$EF$17:$EL$17,1,EG163)=1,'Lease Cycles'!$C$17*INDEX('Lease Cycles'!$ET$17:$EZ$17,1,EG163)*(1+'Lease Cycles'!$V$17)^INT(INT(EG164/12)/'Lease Cycles'!$W$17)/12,0),0)</f>
        <v>0</v>
      </c>
      <c r="EH167" s="28">
        <f>IF(EH165=1,IF(INDEX('Lease Cycles'!$EF$17:$EL$17,1,EH163)=1,'Lease Cycles'!$C$17*INDEX('Lease Cycles'!$ET$17:$EZ$17,1,EH163)*(1+'Lease Cycles'!$V$17)^INT(INT(EH164/12)/'Lease Cycles'!$W$17)/12,0),0)</f>
        <v>0</v>
      </c>
      <c r="EI167" s="28">
        <f>IF(EI165=1,IF(INDEX('Lease Cycles'!$EF$17:$EL$17,1,EI163)=1,'Lease Cycles'!$C$17*INDEX('Lease Cycles'!$ET$17:$EZ$17,1,EI163)*(1+'Lease Cycles'!$V$17)^INT(INT(EI164/12)/'Lease Cycles'!$W$17)/12,0),0)</f>
        <v>0</v>
      </c>
      <c r="EJ167" s="28">
        <f>IF(EJ165=1,IF(INDEX('Lease Cycles'!$EF$17:$EL$17,1,EJ163)=1,'Lease Cycles'!$C$17*INDEX('Lease Cycles'!$ET$17:$EZ$17,1,EJ163)*(1+'Lease Cycles'!$V$17)^INT(INT(EJ164/12)/'Lease Cycles'!$W$17)/12,0),0)</f>
        <v>0</v>
      </c>
      <c r="EK167" s="28">
        <f>IF(EK165=1,IF(INDEX('Lease Cycles'!$EF$17:$EL$17,1,EK163)=1,'Lease Cycles'!$C$17*INDEX('Lease Cycles'!$ET$17:$EZ$17,1,EK163)*(1+'Lease Cycles'!$V$17)^INT(INT(EK164/12)/'Lease Cycles'!$W$17)/12,0),0)</f>
        <v>0</v>
      </c>
      <c r="EL167" s="28">
        <f>IF(EL165=1,IF(INDEX('Lease Cycles'!$EF$17:$EL$17,1,EL163)=1,'Lease Cycles'!$C$17*INDEX('Lease Cycles'!$ET$17:$EZ$17,1,EL163)*(1+'Lease Cycles'!$V$17)^INT(INT(EL164/12)/'Lease Cycles'!$W$17)/12,0),0)</f>
        <v>0</v>
      </c>
      <c r="EM167" s="28">
        <f>IF(EM165=1,IF(INDEX('Lease Cycles'!$EF$17:$EL$17,1,EM163)=1,'Lease Cycles'!$C$17*INDEX('Lease Cycles'!$ET$17:$EZ$17,1,EM163)*(1+'Lease Cycles'!$V$17)^INT(INT(EM164/12)/'Lease Cycles'!$W$17)/12,0),0)</f>
        <v>0</v>
      </c>
      <c r="EN167" s="28">
        <f>IF(EN165=1,IF(INDEX('Lease Cycles'!$EF$17:$EL$17,1,EN163)=1,'Lease Cycles'!$C$17*INDEX('Lease Cycles'!$ET$17:$EZ$17,1,EN163)*(1+'Lease Cycles'!$V$17)^INT(INT(EN164/12)/'Lease Cycles'!$W$17)/12,0),0)</f>
        <v>0</v>
      </c>
      <c r="EO167" s="28">
        <f>IF(EO165=1,IF(INDEX('Lease Cycles'!$EF$17:$EL$17,1,EO163)=1,'Lease Cycles'!$C$17*INDEX('Lease Cycles'!$ET$17:$EZ$17,1,EO163)*(1+'Lease Cycles'!$V$17)^INT(INT(EO164/12)/'Lease Cycles'!$W$17)/12,0),0)</f>
        <v>0</v>
      </c>
      <c r="EP167" s="28">
        <f>IF(EP165=1,IF(INDEX('Lease Cycles'!$EF$17:$EL$17,1,EP163)=1,'Lease Cycles'!$C$17*INDEX('Lease Cycles'!$ET$17:$EZ$17,1,EP163)*(1+'Lease Cycles'!$V$17)^INT(INT(EP164/12)/'Lease Cycles'!$W$17)/12,0),0)</f>
        <v>0</v>
      </c>
      <c r="EQ167" s="28">
        <f>IF(EQ165=1,IF(INDEX('Lease Cycles'!$EF$17:$EL$17,1,EQ163)=1,'Lease Cycles'!$C$17*INDEX('Lease Cycles'!$ET$17:$EZ$17,1,EQ163)*(1+'Lease Cycles'!$V$17)^INT(INT(EQ164/12)/'Lease Cycles'!$W$17)/12,0),0)</f>
        <v>0</v>
      </c>
      <c r="ER167" s="28">
        <f>IF(ER165=1,IF(INDEX('Lease Cycles'!$EF$17:$EL$17,1,ER163)=1,'Lease Cycles'!$C$17*INDEX('Lease Cycles'!$ET$17:$EZ$17,1,ER163)*(1+'Lease Cycles'!$V$17)^INT(INT(ER164/12)/'Lease Cycles'!$W$17)/12,0),0)</f>
        <v>0</v>
      </c>
      <c r="ES167" s="28">
        <f>IF(ES165=1,IF(INDEX('Lease Cycles'!$EF$17:$EL$17,1,ES163)=1,'Lease Cycles'!$C$17*INDEX('Lease Cycles'!$ET$17:$EZ$17,1,ES163)*(1+'Lease Cycles'!$V$17)^INT(INT(ES164/12)/'Lease Cycles'!$W$17)/12,0),0)</f>
        <v>0</v>
      </c>
      <c r="ET167" s="28">
        <f>IF(ET165=1,IF(INDEX('Lease Cycles'!$EF$17:$EL$17,1,ET163)=1,'Lease Cycles'!$C$17*INDEX('Lease Cycles'!$ET$17:$EZ$17,1,ET163)*(1+'Lease Cycles'!$V$17)^INT(INT(ET164/12)/'Lease Cycles'!$W$17)/12,0),0)</f>
        <v>0</v>
      </c>
    </row>
    <row r="168">
      <c r="A168" s="103">
        <v>10</v>
      </c>
      <c r="B168" s="23" t="str">
        <f>IF('Lease Cycles'!$B$17="","(empty slot)",'Lease Cycles'!$B$17)</f>
        <v>Available B-9</v>
      </c>
      <c r="C168" s="23" t="s">
        <v>681</v>
      </c>
      <c r="D168" s="104" t="s">
        <v>490</v>
      </c>
      <c r="E168" s="25">
        <f>'Lease Cycles'!$AL$17</f>
        <v>0</v>
      </c>
      <c r="G168" s="28">
        <f>SUM(S168:AD168)</f>
        <v>30256</v>
      </c>
      <c r="H168" s="28">
        <f>SUM(AE168:AP168)</f>
        <v>30482.920000000002</v>
      </c>
      <c r="I168" s="28">
        <f>SUM(AQ168:BB168)</f>
        <v>31397.4076</v>
      </c>
      <c r="J168" s="28">
        <f>SUM(BC168:BN168)</f>
        <v>32339.329827999994</v>
      </c>
      <c r="K168" s="28">
        <f>SUM(BO168:BZ168)</f>
        <v>33309.50972284</v>
      </c>
      <c r="L168" s="28">
        <f>SUM(CA168:CL168)</f>
        <v>34308.7950145252</v>
      </c>
      <c r="M168" s="28">
        <f>SUM(CM168:CX168)</f>
        <v>35338.058864960956</v>
      </c>
      <c r="N168" s="28">
        <f>SUM(CY168:DJ168)</f>
        <v>37077.01051843552</v>
      </c>
      <c r="O168" s="28">
        <f>SUM(DK168:DV168)</f>
        <v>36676.519404214356</v>
      </c>
      <c r="P168" s="28">
        <f>SUM(DW168:EH168)</f>
        <v>37776.81498634079</v>
      </c>
      <c r="Q168" s="28">
        <f>SUM(EI168:ET168)</f>
        <v>38910.11943593102</v>
      </c>
      <c r="S168" s="28">
        <f>IF(S165=1,IF(INDEX('Lease Cycles'!$EF$17:$EL$17,1,S163)=1,S166*INDEX('Lease Cycles'!$EM$17:$ES$17,1,S163)+S167*(1-INDEX('Lease Cycles'!$EM$17:$ES$17,1,S163)),S166),S166)</f>
        <v>2521.3333333333335</v>
      </c>
      <c r="T168" s="28">
        <f>IF(T165=1,IF(INDEX('Lease Cycles'!$EF$17:$EL$17,1,T163)=1,T166*INDEX('Lease Cycles'!$EM$17:$ES$17,1,T163)+T167*(1-INDEX('Lease Cycles'!$EM$17:$ES$17,1,T163)),T166),T166)</f>
        <v>2521.3333333333335</v>
      </c>
      <c r="U168" s="28">
        <f>IF(U165=1,IF(INDEX('Lease Cycles'!$EF$17:$EL$17,1,U163)=1,U166*INDEX('Lease Cycles'!$EM$17:$ES$17,1,U163)+U167*(1-INDEX('Lease Cycles'!$EM$17:$ES$17,1,U163)),U166),U166)</f>
        <v>2521.3333333333335</v>
      </c>
      <c r="V168" s="28">
        <f>IF(V165=1,IF(INDEX('Lease Cycles'!$EF$17:$EL$17,1,V163)=1,V166*INDEX('Lease Cycles'!$EM$17:$ES$17,1,V163)+V167*(1-INDEX('Lease Cycles'!$EM$17:$ES$17,1,V163)),V166),V166)</f>
        <v>2521.3333333333335</v>
      </c>
      <c r="W168" s="28">
        <f>IF(W165=1,IF(INDEX('Lease Cycles'!$EF$17:$EL$17,1,W163)=1,W166*INDEX('Lease Cycles'!$EM$17:$ES$17,1,W163)+W167*(1-INDEX('Lease Cycles'!$EM$17:$ES$17,1,W163)),W166),W166)</f>
        <v>2521.3333333333335</v>
      </c>
      <c r="X168" s="28">
        <f>IF(X165=1,IF(INDEX('Lease Cycles'!$EF$17:$EL$17,1,X163)=1,X166*INDEX('Lease Cycles'!$EM$17:$ES$17,1,X163)+X167*(1-INDEX('Lease Cycles'!$EM$17:$ES$17,1,X163)),X166),X166)</f>
        <v>2521.3333333333335</v>
      </c>
      <c r="Y168" s="28">
        <f>IF(Y165=1,IF(INDEX('Lease Cycles'!$EF$17:$EL$17,1,Y163)=1,Y166*INDEX('Lease Cycles'!$EM$17:$ES$17,1,Y163)+Y167*(1-INDEX('Lease Cycles'!$EM$17:$ES$17,1,Y163)),Y166),Y166)</f>
        <v>2521.3333333333335</v>
      </c>
      <c r="Z168" s="28">
        <f>IF(Z165=1,IF(INDEX('Lease Cycles'!$EF$17:$EL$17,1,Z163)=1,Z166*INDEX('Lease Cycles'!$EM$17:$ES$17,1,Z163)+Z167*(1-INDEX('Lease Cycles'!$EM$17:$ES$17,1,Z163)),Z166),Z166)</f>
        <v>2521.3333333333335</v>
      </c>
      <c r="AA168" s="28">
        <f>IF(AA165=1,IF(INDEX('Lease Cycles'!$EF$17:$EL$17,1,AA163)=1,AA166*INDEX('Lease Cycles'!$EM$17:$ES$17,1,AA163)+AA167*(1-INDEX('Lease Cycles'!$EM$17:$ES$17,1,AA163)),AA166),AA166)</f>
        <v>2521.3333333333335</v>
      </c>
      <c r="AB168" s="28">
        <f>IF(AB165=1,IF(INDEX('Lease Cycles'!$EF$17:$EL$17,1,AB163)=1,AB166*INDEX('Lease Cycles'!$EM$17:$ES$17,1,AB163)+AB167*(1-INDEX('Lease Cycles'!$EM$17:$ES$17,1,AB163)),AB166),AB166)</f>
        <v>2521.3333333333335</v>
      </c>
      <c r="AC168" s="28">
        <f>IF(AC165=1,IF(INDEX('Lease Cycles'!$EF$17:$EL$17,1,AC163)=1,AC166*INDEX('Lease Cycles'!$EM$17:$ES$17,1,AC163)+AC167*(1-INDEX('Lease Cycles'!$EM$17:$ES$17,1,AC163)),AC166),AC166)</f>
        <v>2521.3333333333335</v>
      </c>
      <c r="AD168" s="28">
        <f>IF(AD165=1,IF(INDEX('Lease Cycles'!$EF$17:$EL$17,1,AD163)=1,AD166*INDEX('Lease Cycles'!$EM$17:$ES$17,1,AD163)+AD167*(1-INDEX('Lease Cycles'!$EM$17:$ES$17,1,AD163)),AD166),AD166)</f>
        <v>2521.3333333333335</v>
      </c>
      <c r="AE168" s="28">
        <f>IF(AE165=1,IF(INDEX('Lease Cycles'!$EF$17:$EL$17,1,AE163)=1,AE166*INDEX('Lease Cycles'!$EM$17:$ES$17,1,AE163)+AE167*(1-INDEX('Lease Cycles'!$EM$17:$ES$17,1,AE163)),AE166),AE166)</f>
        <v>2521.3333333333335</v>
      </c>
      <c r="AF168" s="28">
        <f>IF(AF165=1,IF(INDEX('Lease Cycles'!$EF$17:$EL$17,1,AF163)=1,AF166*INDEX('Lease Cycles'!$EM$17:$ES$17,1,AF163)+AF167*(1-INDEX('Lease Cycles'!$EM$17:$ES$17,1,AF163)),AF166),AF166)</f>
        <v>2521.3333333333335</v>
      </c>
      <c r="AG168" s="28">
        <f>IF(AG165=1,IF(INDEX('Lease Cycles'!$EF$17:$EL$17,1,AG163)=1,AG166*INDEX('Lease Cycles'!$EM$17:$ES$17,1,AG163)+AG167*(1-INDEX('Lease Cycles'!$EM$17:$ES$17,1,AG163)),AG166),AG166)</f>
        <v>2521.3333333333335</v>
      </c>
      <c r="AH168" s="28">
        <f>IF(AH165=1,IF(INDEX('Lease Cycles'!$EF$17:$EL$17,1,AH163)=1,AH166*INDEX('Lease Cycles'!$EM$17:$ES$17,1,AH163)+AH167*(1-INDEX('Lease Cycles'!$EM$17:$ES$17,1,AH163)),AH166),AH166)</f>
        <v>2521.3333333333335</v>
      </c>
      <c r="AI168" s="28">
        <f>IF(AI165=1,IF(INDEX('Lease Cycles'!$EF$17:$EL$17,1,AI163)=1,AI166*INDEX('Lease Cycles'!$EM$17:$ES$17,1,AI163)+AI167*(1-INDEX('Lease Cycles'!$EM$17:$ES$17,1,AI163)),AI166),AI166)</f>
        <v>2521.3333333333335</v>
      </c>
      <c r="AJ168" s="28">
        <f>IF(AJ165=1,IF(INDEX('Lease Cycles'!$EF$17:$EL$17,1,AJ163)=1,AJ166*INDEX('Lease Cycles'!$EM$17:$ES$17,1,AJ163)+AJ167*(1-INDEX('Lease Cycles'!$EM$17:$ES$17,1,AJ163)),AJ166),AJ166)</f>
        <v>2521.3333333333335</v>
      </c>
      <c r="AK168" s="28">
        <f>IF(AK165=1,IF(INDEX('Lease Cycles'!$EF$17:$EL$17,1,AK163)=1,AK166*INDEX('Lease Cycles'!$EM$17:$ES$17,1,AK163)+AK167*(1-INDEX('Lease Cycles'!$EM$17:$ES$17,1,AK163)),AK166),AK166)</f>
        <v>2521.3333333333335</v>
      </c>
      <c r="AL168" s="28">
        <f>IF(AL165=1,IF(INDEX('Lease Cycles'!$EF$17:$EL$17,1,AL163)=1,AL166*INDEX('Lease Cycles'!$EM$17:$ES$17,1,AL163)+AL167*(1-INDEX('Lease Cycles'!$EM$17:$ES$17,1,AL163)),AL166),AL166)</f>
        <v>2521.3333333333335</v>
      </c>
      <c r="AM168" s="28">
        <f>IF(AM165=1,IF(INDEX('Lease Cycles'!$EF$17:$EL$17,1,AM163)=1,AM166*INDEX('Lease Cycles'!$EM$17:$ES$17,1,AM163)+AM167*(1-INDEX('Lease Cycles'!$EM$17:$ES$17,1,AM163)),AM166),AM166)</f>
        <v>2521.3333333333335</v>
      </c>
      <c r="AN168" s="28">
        <f>IF(AN165=1,IF(INDEX('Lease Cycles'!$EF$17:$EL$17,1,AN163)=1,AN166*INDEX('Lease Cycles'!$EM$17:$ES$17,1,AN163)+AN167*(1-INDEX('Lease Cycles'!$EM$17:$ES$17,1,AN163)),AN166),AN166)</f>
        <v>2596.9733333333334</v>
      </c>
      <c r="AO168" s="28">
        <f>IF(AO165=1,IF(INDEX('Lease Cycles'!$EF$17:$EL$17,1,AO163)=1,AO166*INDEX('Lease Cycles'!$EM$17:$ES$17,1,AO163)+AO167*(1-INDEX('Lease Cycles'!$EM$17:$ES$17,1,AO163)),AO166),AO166)</f>
        <v>2596.9733333333334</v>
      </c>
      <c r="AP168" s="28">
        <f>IF(AP165=1,IF(INDEX('Lease Cycles'!$EF$17:$EL$17,1,AP163)=1,AP166*INDEX('Lease Cycles'!$EM$17:$ES$17,1,AP163)+AP167*(1-INDEX('Lease Cycles'!$EM$17:$ES$17,1,AP163)),AP166),AP166)</f>
        <v>2596.9733333333334</v>
      </c>
      <c r="AQ168" s="28">
        <f>IF(AQ165=1,IF(INDEX('Lease Cycles'!$EF$17:$EL$17,1,AQ163)=1,AQ166*INDEX('Lease Cycles'!$EM$17:$ES$17,1,AQ163)+AQ167*(1-INDEX('Lease Cycles'!$EM$17:$ES$17,1,AQ163)),AQ166),AQ166)</f>
        <v>2596.9733333333334</v>
      </c>
      <c r="AR168" s="28">
        <f>IF(AR165=1,IF(INDEX('Lease Cycles'!$EF$17:$EL$17,1,AR163)=1,AR166*INDEX('Lease Cycles'!$EM$17:$ES$17,1,AR163)+AR167*(1-INDEX('Lease Cycles'!$EM$17:$ES$17,1,AR163)),AR166),AR166)</f>
        <v>2596.9733333333334</v>
      </c>
      <c r="AS168" s="28">
        <f>IF(AS165=1,IF(INDEX('Lease Cycles'!$EF$17:$EL$17,1,AS163)=1,AS166*INDEX('Lease Cycles'!$EM$17:$ES$17,1,AS163)+AS167*(1-INDEX('Lease Cycles'!$EM$17:$ES$17,1,AS163)),AS166),AS166)</f>
        <v>2596.9733333333334</v>
      </c>
      <c r="AT168" s="28">
        <f>IF(AT165=1,IF(INDEX('Lease Cycles'!$EF$17:$EL$17,1,AT163)=1,AT166*INDEX('Lease Cycles'!$EM$17:$ES$17,1,AT163)+AT167*(1-INDEX('Lease Cycles'!$EM$17:$ES$17,1,AT163)),AT166),AT166)</f>
        <v>2596.9733333333334</v>
      </c>
      <c r="AU168" s="28">
        <f>IF(AU165=1,IF(INDEX('Lease Cycles'!$EF$17:$EL$17,1,AU163)=1,AU166*INDEX('Lease Cycles'!$EM$17:$ES$17,1,AU163)+AU167*(1-INDEX('Lease Cycles'!$EM$17:$ES$17,1,AU163)),AU166),AU166)</f>
        <v>2596.9733333333334</v>
      </c>
      <c r="AV168" s="28">
        <f>IF(AV165=1,IF(INDEX('Lease Cycles'!$EF$17:$EL$17,1,AV163)=1,AV166*INDEX('Lease Cycles'!$EM$17:$ES$17,1,AV163)+AV167*(1-INDEX('Lease Cycles'!$EM$17:$ES$17,1,AV163)),AV166),AV166)</f>
        <v>2596.9733333333334</v>
      </c>
      <c r="AW168" s="28">
        <f>IF(AW165=1,IF(INDEX('Lease Cycles'!$EF$17:$EL$17,1,AW163)=1,AW166*INDEX('Lease Cycles'!$EM$17:$ES$17,1,AW163)+AW167*(1-INDEX('Lease Cycles'!$EM$17:$ES$17,1,AW163)),AW166),AW166)</f>
        <v>2596.9733333333334</v>
      </c>
      <c r="AX168" s="28">
        <f>IF(AX165=1,IF(INDEX('Lease Cycles'!$EF$17:$EL$17,1,AX163)=1,AX166*INDEX('Lease Cycles'!$EM$17:$ES$17,1,AX163)+AX167*(1-INDEX('Lease Cycles'!$EM$17:$ES$17,1,AX163)),AX166),AX166)</f>
        <v>2596.9733333333334</v>
      </c>
      <c r="AY168" s="28">
        <f>IF(AY165=1,IF(INDEX('Lease Cycles'!$EF$17:$EL$17,1,AY163)=1,AY166*INDEX('Lease Cycles'!$EM$17:$ES$17,1,AY163)+AY167*(1-INDEX('Lease Cycles'!$EM$17:$ES$17,1,AY163)),AY166),AY166)</f>
        <v>2596.9733333333334</v>
      </c>
      <c r="AZ168" s="28">
        <f>IF(AZ165=1,IF(INDEX('Lease Cycles'!$EF$17:$EL$17,1,AZ163)=1,AZ166*INDEX('Lease Cycles'!$EM$17:$ES$17,1,AZ163)+AZ167*(1-INDEX('Lease Cycles'!$EM$17:$ES$17,1,AZ163)),AZ166),AZ166)</f>
        <v>2674.882533333333</v>
      </c>
      <c r="BA168" s="28">
        <f>IF(BA165=1,IF(INDEX('Lease Cycles'!$EF$17:$EL$17,1,BA163)=1,BA166*INDEX('Lease Cycles'!$EM$17:$ES$17,1,BA163)+BA167*(1-INDEX('Lease Cycles'!$EM$17:$ES$17,1,BA163)),BA166),BA166)</f>
        <v>2674.882533333333</v>
      </c>
      <c r="BB168" s="28">
        <f>IF(BB165=1,IF(INDEX('Lease Cycles'!$EF$17:$EL$17,1,BB163)=1,BB166*INDEX('Lease Cycles'!$EM$17:$ES$17,1,BB163)+BB167*(1-INDEX('Lease Cycles'!$EM$17:$ES$17,1,BB163)),BB166),BB166)</f>
        <v>2674.882533333333</v>
      </c>
      <c r="BC168" s="28">
        <f>IF(BC165=1,IF(INDEX('Lease Cycles'!$EF$17:$EL$17,1,BC163)=1,BC166*INDEX('Lease Cycles'!$EM$17:$ES$17,1,BC163)+BC167*(1-INDEX('Lease Cycles'!$EM$17:$ES$17,1,BC163)),BC166),BC166)</f>
        <v>2674.882533333333</v>
      </c>
      <c r="BD168" s="28">
        <f>IF(BD165=1,IF(INDEX('Lease Cycles'!$EF$17:$EL$17,1,BD163)=1,BD166*INDEX('Lease Cycles'!$EM$17:$ES$17,1,BD163)+BD167*(1-INDEX('Lease Cycles'!$EM$17:$ES$17,1,BD163)),BD166),BD166)</f>
        <v>2674.882533333333</v>
      </c>
      <c r="BE168" s="28">
        <f>IF(BE165=1,IF(INDEX('Lease Cycles'!$EF$17:$EL$17,1,BE163)=1,BE166*INDEX('Lease Cycles'!$EM$17:$ES$17,1,BE163)+BE167*(1-INDEX('Lease Cycles'!$EM$17:$ES$17,1,BE163)),BE166),BE166)</f>
        <v>2674.882533333333</v>
      </c>
      <c r="BF168" s="28">
        <f>IF(BF165=1,IF(INDEX('Lease Cycles'!$EF$17:$EL$17,1,BF163)=1,BF166*INDEX('Lease Cycles'!$EM$17:$ES$17,1,BF163)+BF167*(1-INDEX('Lease Cycles'!$EM$17:$ES$17,1,BF163)),BF166),BF166)</f>
        <v>2674.882533333333</v>
      </c>
      <c r="BG168" s="28">
        <f>IF(BG165=1,IF(INDEX('Lease Cycles'!$EF$17:$EL$17,1,BG163)=1,BG166*INDEX('Lease Cycles'!$EM$17:$ES$17,1,BG163)+BG167*(1-INDEX('Lease Cycles'!$EM$17:$ES$17,1,BG163)),BG166),BG166)</f>
        <v>2674.882533333333</v>
      </c>
      <c r="BH168" s="28">
        <f>IF(BH165=1,IF(INDEX('Lease Cycles'!$EF$17:$EL$17,1,BH163)=1,BH166*INDEX('Lease Cycles'!$EM$17:$ES$17,1,BH163)+BH167*(1-INDEX('Lease Cycles'!$EM$17:$ES$17,1,BH163)),BH166),BH166)</f>
        <v>2674.882533333333</v>
      </c>
      <c r="BI168" s="28">
        <f>IF(BI165=1,IF(INDEX('Lease Cycles'!$EF$17:$EL$17,1,BI163)=1,BI166*INDEX('Lease Cycles'!$EM$17:$ES$17,1,BI163)+BI167*(1-INDEX('Lease Cycles'!$EM$17:$ES$17,1,BI163)),BI166),BI166)</f>
        <v>2674.882533333333</v>
      </c>
      <c r="BJ168" s="28">
        <f>IF(BJ165=1,IF(INDEX('Lease Cycles'!$EF$17:$EL$17,1,BJ163)=1,BJ166*INDEX('Lease Cycles'!$EM$17:$ES$17,1,BJ163)+BJ167*(1-INDEX('Lease Cycles'!$EM$17:$ES$17,1,BJ163)),BJ166),BJ166)</f>
        <v>2674.882533333333</v>
      </c>
      <c r="BK168" s="28">
        <f>IF(BK165=1,IF(INDEX('Lease Cycles'!$EF$17:$EL$17,1,BK163)=1,BK166*INDEX('Lease Cycles'!$EM$17:$ES$17,1,BK163)+BK167*(1-INDEX('Lease Cycles'!$EM$17:$ES$17,1,BK163)),BK166),BK166)</f>
        <v>2674.882533333333</v>
      </c>
      <c r="BL168" s="28">
        <f>IF(BL165=1,IF(INDEX('Lease Cycles'!$EF$17:$EL$17,1,BL163)=1,BL166*INDEX('Lease Cycles'!$EM$17:$ES$17,1,BL163)+BL167*(1-INDEX('Lease Cycles'!$EM$17:$ES$17,1,BL163)),BL166),BL166)</f>
        <v>2755.129009333333</v>
      </c>
      <c r="BM168" s="28">
        <f>IF(BM165=1,IF(INDEX('Lease Cycles'!$EF$17:$EL$17,1,BM163)=1,BM166*INDEX('Lease Cycles'!$EM$17:$ES$17,1,BM163)+BM167*(1-INDEX('Lease Cycles'!$EM$17:$ES$17,1,BM163)),BM166),BM166)</f>
        <v>2755.129009333333</v>
      </c>
      <c r="BN168" s="28">
        <f>IF(BN165=1,IF(INDEX('Lease Cycles'!$EF$17:$EL$17,1,BN163)=1,BN166*INDEX('Lease Cycles'!$EM$17:$ES$17,1,BN163)+BN167*(1-INDEX('Lease Cycles'!$EM$17:$ES$17,1,BN163)),BN166),BN166)</f>
        <v>2755.129009333333</v>
      </c>
      <c r="BO168" s="28">
        <f>IF(BO165=1,IF(INDEX('Lease Cycles'!$EF$17:$EL$17,1,BO163)=1,BO166*INDEX('Lease Cycles'!$EM$17:$ES$17,1,BO163)+BO167*(1-INDEX('Lease Cycles'!$EM$17:$ES$17,1,BO163)),BO166),BO166)</f>
        <v>2755.129009333333</v>
      </c>
      <c r="BP168" s="28">
        <f>IF(BP165=1,IF(INDEX('Lease Cycles'!$EF$17:$EL$17,1,BP163)=1,BP166*INDEX('Lease Cycles'!$EM$17:$ES$17,1,BP163)+BP167*(1-INDEX('Lease Cycles'!$EM$17:$ES$17,1,BP163)),BP166),BP166)</f>
        <v>2755.129009333333</v>
      </c>
      <c r="BQ168" s="28">
        <f>IF(BQ165=1,IF(INDEX('Lease Cycles'!$EF$17:$EL$17,1,BQ163)=1,BQ166*INDEX('Lease Cycles'!$EM$17:$ES$17,1,BQ163)+BQ167*(1-INDEX('Lease Cycles'!$EM$17:$ES$17,1,BQ163)),BQ166),BQ166)</f>
        <v>2755.129009333333</v>
      </c>
      <c r="BR168" s="28">
        <f>IF(BR165=1,IF(INDEX('Lease Cycles'!$EF$17:$EL$17,1,BR163)=1,BR166*INDEX('Lease Cycles'!$EM$17:$ES$17,1,BR163)+BR167*(1-INDEX('Lease Cycles'!$EM$17:$ES$17,1,BR163)),BR166),BR166)</f>
        <v>2755.129009333333</v>
      </c>
      <c r="BS168" s="28">
        <f>IF(BS165=1,IF(INDEX('Lease Cycles'!$EF$17:$EL$17,1,BS163)=1,BS166*INDEX('Lease Cycles'!$EM$17:$ES$17,1,BS163)+BS167*(1-INDEX('Lease Cycles'!$EM$17:$ES$17,1,BS163)),BS166),BS166)</f>
        <v>2755.129009333333</v>
      </c>
      <c r="BT168" s="28">
        <f>IF(BT165=1,IF(INDEX('Lease Cycles'!$EF$17:$EL$17,1,BT163)=1,BT166*INDEX('Lease Cycles'!$EM$17:$ES$17,1,BT163)+BT167*(1-INDEX('Lease Cycles'!$EM$17:$ES$17,1,BT163)),BT166),BT166)</f>
        <v>2755.129009333333</v>
      </c>
      <c r="BU168" s="28">
        <f>IF(BU165=1,IF(INDEX('Lease Cycles'!$EF$17:$EL$17,1,BU163)=1,BU166*INDEX('Lease Cycles'!$EM$17:$ES$17,1,BU163)+BU167*(1-INDEX('Lease Cycles'!$EM$17:$ES$17,1,BU163)),BU166),BU166)</f>
        <v>2755.129009333333</v>
      </c>
      <c r="BV168" s="28">
        <f>IF(BV165=1,IF(INDEX('Lease Cycles'!$EF$17:$EL$17,1,BV163)=1,BV166*INDEX('Lease Cycles'!$EM$17:$ES$17,1,BV163)+BV167*(1-INDEX('Lease Cycles'!$EM$17:$ES$17,1,BV163)),BV166),BV166)</f>
        <v>2755.129009333333</v>
      </c>
      <c r="BW168" s="28">
        <f>IF(BW165=1,IF(INDEX('Lease Cycles'!$EF$17:$EL$17,1,BW163)=1,BW166*INDEX('Lease Cycles'!$EM$17:$ES$17,1,BW163)+BW167*(1-INDEX('Lease Cycles'!$EM$17:$ES$17,1,BW163)),BW166),BW166)</f>
        <v>2755.129009333333</v>
      </c>
      <c r="BX168" s="28">
        <f>IF(BX165=1,IF(INDEX('Lease Cycles'!$EF$17:$EL$17,1,BX163)=1,BX166*INDEX('Lease Cycles'!$EM$17:$ES$17,1,BX163)+BX167*(1-INDEX('Lease Cycles'!$EM$17:$ES$17,1,BX163)),BX166),BX166)</f>
        <v>2837.782879613334</v>
      </c>
      <c r="BY168" s="28">
        <f>IF(BY165=1,IF(INDEX('Lease Cycles'!$EF$17:$EL$17,1,BY163)=1,BY166*INDEX('Lease Cycles'!$EM$17:$ES$17,1,BY163)+BY167*(1-INDEX('Lease Cycles'!$EM$17:$ES$17,1,BY163)),BY166),BY166)</f>
        <v>2837.782879613334</v>
      </c>
      <c r="BZ168" s="28">
        <f>IF(BZ165=1,IF(INDEX('Lease Cycles'!$EF$17:$EL$17,1,BZ163)=1,BZ166*INDEX('Lease Cycles'!$EM$17:$ES$17,1,BZ163)+BZ167*(1-INDEX('Lease Cycles'!$EM$17:$ES$17,1,BZ163)),BZ166),BZ166)</f>
        <v>2837.782879613334</v>
      </c>
      <c r="CA168" s="28">
        <f>IF(CA165=1,IF(INDEX('Lease Cycles'!$EF$17:$EL$17,1,CA163)=1,CA166*INDEX('Lease Cycles'!$EM$17:$ES$17,1,CA163)+CA167*(1-INDEX('Lease Cycles'!$EM$17:$ES$17,1,CA163)),CA166),CA166)</f>
        <v>2837.782879613334</v>
      </c>
      <c r="CB168" s="28">
        <f>IF(CB165=1,IF(INDEX('Lease Cycles'!$EF$17:$EL$17,1,CB163)=1,CB166*INDEX('Lease Cycles'!$EM$17:$ES$17,1,CB163)+CB167*(1-INDEX('Lease Cycles'!$EM$17:$ES$17,1,CB163)),CB166),CB166)</f>
        <v>2837.782879613334</v>
      </c>
      <c r="CC168" s="28">
        <f>IF(CC165=1,IF(INDEX('Lease Cycles'!$EF$17:$EL$17,1,CC163)=1,CC166*INDEX('Lease Cycles'!$EM$17:$ES$17,1,CC163)+CC167*(1-INDEX('Lease Cycles'!$EM$17:$ES$17,1,CC163)),CC166),CC166)</f>
        <v>2837.782879613334</v>
      </c>
      <c r="CD168" s="28">
        <f>IF(CD165=1,IF(INDEX('Lease Cycles'!$EF$17:$EL$17,1,CD163)=1,CD166*INDEX('Lease Cycles'!$EM$17:$ES$17,1,CD163)+CD167*(1-INDEX('Lease Cycles'!$EM$17:$ES$17,1,CD163)),CD166),CD166)</f>
        <v>2837.782879613334</v>
      </c>
      <c r="CE168" s="28">
        <f>IF(CE165=1,IF(INDEX('Lease Cycles'!$EF$17:$EL$17,1,CE163)=1,CE166*INDEX('Lease Cycles'!$EM$17:$ES$17,1,CE163)+CE167*(1-INDEX('Lease Cycles'!$EM$17:$ES$17,1,CE163)),CE166),CE166)</f>
        <v>2837.782879613334</v>
      </c>
      <c r="CF168" s="28">
        <f>IF(CF165=1,IF(INDEX('Lease Cycles'!$EF$17:$EL$17,1,CF163)=1,CF166*INDEX('Lease Cycles'!$EM$17:$ES$17,1,CF163)+CF167*(1-INDEX('Lease Cycles'!$EM$17:$ES$17,1,CF163)),CF166),CF166)</f>
        <v>2837.782879613334</v>
      </c>
      <c r="CG168" s="28">
        <f>IF(CG165=1,IF(INDEX('Lease Cycles'!$EF$17:$EL$17,1,CG163)=1,CG166*INDEX('Lease Cycles'!$EM$17:$ES$17,1,CG163)+CG167*(1-INDEX('Lease Cycles'!$EM$17:$ES$17,1,CG163)),CG166),CG166)</f>
        <v>2837.782879613334</v>
      </c>
      <c r="CH168" s="28">
        <f>IF(CH165=1,IF(INDEX('Lease Cycles'!$EF$17:$EL$17,1,CH163)=1,CH166*INDEX('Lease Cycles'!$EM$17:$ES$17,1,CH163)+CH167*(1-INDEX('Lease Cycles'!$EM$17:$ES$17,1,CH163)),CH166),CH166)</f>
        <v>2837.782879613334</v>
      </c>
      <c r="CI168" s="28">
        <f>IF(CI165=1,IF(INDEX('Lease Cycles'!$EF$17:$EL$17,1,CI163)=1,CI166*INDEX('Lease Cycles'!$EM$17:$ES$17,1,CI163)+CI167*(1-INDEX('Lease Cycles'!$EM$17:$ES$17,1,CI163)),CI166),CI166)</f>
        <v>2837.782879613334</v>
      </c>
      <c r="CJ168" s="28">
        <f>IF(CJ165=1,IF(INDEX('Lease Cycles'!$EF$17:$EL$17,1,CJ163)=1,CJ166*INDEX('Lease Cycles'!$EM$17:$ES$17,1,CJ163)+CJ167*(1-INDEX('Lease Cycles'!$EM$17:$ES$17,1,CJ163)),CJ166),CJ166)</f>
        <v>2922.9163660017334</v>
      </c>
      <c r="CK168" s="28">
        <f>IF(CK165=1,IF(INDEX('Lease Cycles'!$EF$17:$EL$17,1,CK163)=1,CK166*INDEX('Lease Cycles'!$EM$17:$ES$17,1,CK163)+CK167*(1-INDEX('Lease Cycles'!$EM$17:$ES$17,1,CK163)),CK166),CK166)</f>
        <v>2922.9163660017334</v>
      </c>
      <c r="CL168" s="28">
        <f>IF(CL165=1,IF(INDEX('Lease Cycles'!$EF$17:$EL$17,1,CL163)=1,CL166*INDEX('Lease Cycles'!$EM$17:$ES$17,1,CL163)+CL167*(1-INDEX('Lease Cycles'!$EM$17:$ES$17,1,CL163)),CL166),CL166)</f>
        <v>2922.9163660017334</v>
      </c>
      <c r="CM168" s="28">
        <f>IF(CM165=1,IF(INDEX('Lease Cycles'!$EF$17:$EL$17,1,CM163)=1,CM166*INDEX('Lease Cycles'!$EM$17:$ES$17,1,CM163)+CM167*(1-INDEX('Lease Cycles'!$EM$17:$ES$17,1,CM163)),CM166),CM166)</f>
        <v>2922.9163660017334</v>
      </c>
      <c r="CN168" s="28">
        <f>IF(CN165=1,IF(INDEX('Lease Cycles'!$EF$17:$EL$17,1,CN163)=1,CN166*INDEX('Lease Cycles'!$EM$17:$ES$17,1,CN163)+CN167*(1-INDEX('Lease Cycles'!$EM$17:$ES$17,1,CN163)),CN166),CN166)</f>
        <v>2922.9163660017334</v>
      </c>
      <c r="CO168" s="28">
        <f>IF(CO165=1,IF(INDEX('Lease Cycles'!$EF$17:$EL$17,1,CO163)=1,CO166*INDEX('Lease Cycles'!$EM$17:$ES$17,1,CO163)+CO167*(1-INDEX('Lease Cycles'!$EM$17:$ES$17,1,CO163)),CO166),CO166)</f>
        <v>2922.9163660017334</v>
      </c>
      <c r="CP168" s="28">
        <f>IF(CP165=1,IF(INDEX('Lease Cycles'!$EF$17:$EL$17,1,CP163)=1,CP166*INDEX('Lease Cycles'!$EM$17:$ES$17,1,CP163)+CP167*(1-INDEX('Lease Cycles'!$EM$17:$ES$17,1,CP163)),CP166),CP166)</f>
        <v>2922.9163660017334</v>
      </c>
      <c r="CQ168" s="28">
        <f>IF(CQ165=1,IF(INDEX('Lease Cycles'!$EF$17:$EL$17,1,CQ163)=1,CQ166*INDEX('Lease Cycles'!$EM$17:$ES$17,1,CQ163)+CQ167*(1-INDEX('Lease Cycles'!$EM$17:$ES$17,1,CQ163)),CQ166),CQ166)</f>
        <v>2922.9163660017334</v>
      </c>
      <c r="CR168" s="28">
        <f>IF(CR165=1,IF(INDEX('Lease Cycles'!$EF$17:$EL$17,1,CR163)=1,CR166*INDEX('Lease Cycles'!$EM$17:$ES$17,1,CR163)+CR167*(1-INDEX('Lease Cycles'!$EM$17:$ES$17,1,CR163)),CR166),CR166)</f>
        <v>2922.9163660017334</v>
      </c>
      <c r="CS168" s="28">
        <f>IF(CS165=1,IF(INDEX('Lease Cycles'!$EF$17:$EL$17,1,CS163)=1,CS166*INDEX('Lease Cycles'!$EM$17:$ES$17,1,CS163)+CS167*(1-INDEX('Lease Cycles'!$EM$17:$ES$17,1,CS163)),CS166),CS166)</f>
        <v>2922.9163660017334</v>
      </c>
      <c r="CT168" s="28">
        <f>IF(CT165=1,IF(INDEX('Lease Cycles'!$EF$17:$EL$17,1,CT163)=1,CT166*INDEX('Lease Cycles'!$EM$17:$ES$17,1,CT163)+CT167*(1-INDEX('Lease Cycles'!$EM$17:$ES$17,1,CT163)),CT166),CT166)</f>
        <v>2922.9163660017334</v>
      </c>
      <c r="CU168" s="28">
        <f>IF(CU165=1,IF(INDEX('Lease Cycles'!$EF$17:$EL$17,1,CU163)=1,CU166*INDEX('Lease Cycles'!$EM$17:$ES$17,1,CU163)+CU167*(1-INDEX('Lease Cycles'!$EM$17:$ES$17,1,CU163)),CU166),CU166)</f>
        <v>2922.9163660017334</v>
      </c>
      <c r="CV168" s="28">
        <f>IF(CV165=1,IF(INDEX('Lease Cycles'!$EF$17:$EL$17,1,CV163)=1,CV166*INDEX('Lease Cycles'!$EM$17:$ES$17,1,CV163)+CV167*(1-INDEX('Lease Cycles'!$EM$17:$ES$17,1,CV163)),CV166),CV166)</f>
        <v>3010.603856981786</v>
      </c>
      <c r="CW168" s="28">
        <f>IF(CW165=1,IF(INDEX('Lease Cycles'!$EF$17:$EL$17,1,CW163)=1,CW166*INDEX('Lease Cycles'!$EM$17:$ES$17,1,CW163)+CW167*(1-INDEX('Lease Cycles'!$EM$17:$ES$17,1,CW163)),CW166),CW166)</f>
        <v>3010.603856981786</v>
      </c>
      <c r="CX168" s="28">
        <f>IF(CX165=1,IF(INDEX('Lease Cycles'!$EF$17:$EL$17,1,CX163)=1,CX166*INDEX('Lease Cycles'!$EM$17:$ES$17,1,CX163)+CX167*(1-INDEX('Lease Cycles'!$EM$17:$ES$17,1,CX163)),CX166),CX166)</f>
        <v>3010.603856981786</v>
      </c>
      <c r="CY168" s="28">
        <f>IF(CY165=1,IF(INDEX('Lease Cycles'!$EF$17:$EL$17,1,CY163)=1,CY166*INDEX('Lease Cycles'!$EM$17:$ES$17,1,CY163)+CY167*(1-INDEX('Lease Cycles'!$EM$17:$ES$17,1,CY163)),CY166),CY166)</f>
        <v>3010.603856981786</v>
      </c>
      <c r="CZ168" s="28">
        <f>IF(CZ165=1,IF(INDEX('Lease Cycles'!$EF$17:$EL$17,1,CZ163)=1,CZ166*INDEX('Lease Cycles'!$EM$17:$ES$17,1,CZ163)+CZ167*(1-INDEX('Lease Cycles'!$EM$17:$ES$17,1,CZ163)),CZ166),CZ166)</f>
        <v>3010.603856981786</v>
      </c>
      <c r="DA168" s="28">
        <f>IF(DA165=1,IF(INDEX('Lease Cycles'!$EF$17:$EL$17,1,DA163)=1,DA166*INDEX('Lease Cycles'!$EM$17:$ES$17,1,DA163)+DA167*(1-INDEX('Lease Cycles'!$EM$17:$ES$17,1,DA163)),DA166),DA166)</f>
        <v>3010.603856981786</v>
      </c>
      <c r="DB168" s="28">
        <f>IF(DB165=1,IF(INDEX('Lease Cycles'!$EF$17:$EL$17,1,DB163)=1,DB166*INDEX('Lease Cycles'!$EM$17:$ES$17,1,DB163)+DB167*(1-INDEX('Lease Cycles'!$EM$17:$ES$17,1,DB163)),DB166),DB166)</f>
        <v>3010.603856981786</v>
      </c>
      <c r="DC168" s="28">
        <f>IF(DC165=1,IF(INDEX('Lease Cycles'!$EF$17:$EL$17,1,DC163)=1,DC166*INDEX('Lease Cycles'!$EM$17:$ES$17,1,DC163)+DC167*(1-INDEX('Lease Cycles'!$EM$17:$ES$17,1,DC163)),DC166),DC166)</f>
        <v>3010.603856981786</v>
      </c>
      <c r="DD168" s="28">
        <f>IF(DD165=1,IF(INDEX('Lease Cycles'!$EF$17:$EL$17,1,DD163)=1,DD166*INDEX('Lease Cycles'!$EM$17:$ES$17,1,DD163)+DD167*(1-INDEX('Lease Cycles'!$EM$17:$ES$17,1,DD163)),DD166),DD166)</f>
        <v>3010.603856981786</v>
      </c>
      <c r="DE168" s="28">
        <f>IF(DE165=1,IF(INDEX('Lease Cycles'!$EF$17:$EL$17,1,DE163)=1,DE166*INDEX('Lease Cycles'!$EM$17:$ES$17,1,DE163)+DE167*(1-INDEX('Lease Cycles'!$EM$17:$ES$17,1,DE163)),DE166),DE166)</f>
        <v>3010.603856981786</v>
      </c>
      <c r="DF168" s="28">
        <f>IF(DF165=1,IF(INDEX('Lease Cycles'!$EF$17:$EL$17,1,DF163)=1,DF166*INDEX('Lease Cycles'!$EM$17:$ES$17,1,DF163)+DF167*(1-INDEX('Lease Cycles'!$EM$17:$ES$17,1,DF163)),DF166),DF166)</f>
        <v>3010.603856981786</v>
      </c>
      <c r="DG168" s="28">
        <f>IF(DG165=1,IF(INDEX('Lease Cycles'!$EF$17:$EL$17,1,DG163)=1,DG166*INDEX('Lease Cycles'!$EM$17:$ES$17,1,DG163)+DG167*(1-INDEX('Lease Cycles'!$EM$17:$ES$17,1,DG163)),DG166),DG166)</f>
        <v>3010.603856981786</v>
      </c>
      <c r="DH168" s="28">
        <f>IF(DH165=1,IF(INDEX('Lease Cycles'!$EF$17:$EL$17,1,DH163)=1,DH166*INDEX('Lease Cycles'!$EM$17:$ES$17,1,DH163)+DH167*(1-INDEX('Lease Cycles'!$EM$17:$ES$17,1,DH163)),DH166),DH166)</f>
        <v>3899.2342791957376</v>
      </c>
      <c r="DI168" s="28">
        <f>IF(DI165=1,IF(INDEX('Lease Cycles'!$EF$17:$EL$17,1,DI163)=1,DI166*INDEX('Lease Cycles'!$EM$17:$ES$17,1,DI163)+DI167*(1-INDEX('Lease Cycles'!$EM$17:$ES$17,1,DI163)),DI166),DI166)</f>
        <v>3041.170763201854</v>
      </c>
      <c r="DJ168" s="28">
        <f>IF(DJ165=1,IF(INDEX('Lease Cycles'!$EF$17:$EL$17,1,DJ163)=1,DJ166*INDEX('Lease Cycles'!$EM$17:$ES$17,1,DJ163)+DJ167*(1-INDEX('Lease Cycles'!$EM$17:$ES$17,1,DJ163)),DJ166),DJ166)</f>
        <v>3041.170763201854</v>
      </c>
      <c r="DK168" s="28">
        <f>IF(DK165=1,IF(INDEX('Lease Cycles'!$EF$17:$EL$17,1,DK163)=1,DK166*INDEX('Lease Cycles'!$EM$17:$ES$17,1,DK163)+DK167*(1-INDEX('Lease Cycles'!$EM$17:$ES$17,1,DK163)),DK166),DK166)</f>
        <v>3041.170763201854</v>
      </c>
      <c r="DL168" s="28">
        <f>IF(DL165=1,IF(INDEX('Lease Cycles'!$EF$17:$EL$17,1,DL163)=1,DL166*INDEX('Lease Cycles'!$EM$17:$ES$17,1,DL163)+DL167*(1-INDEX('Lease Cycles'!$EM$17:$ES$17,1,DL163)),DL166),DL166)</f>
        <v>3041.170763201854</v>
      </c>
      <c r="DM168" s="28">
        <f>IF(DM165=1,IF(INDEX('Lease Cycles'!$EF$17:$EL$17,1,DM163)=1,DM166*INDEX('Lease Cycles'!$EM$17:$ES$17,1,DM163)+DM167*(1-INDEX('Lease Cycles'!$EM$17:$ES$17,1,DM163)),DM166),DM166)</f>
        <v>3041.170763201854</v>
      </c>
      <c r="DN168" s="28">
        <f>IF(DN165=1,IF(INDEX('Lease Cycles'!$EF$17:$EL$17,1,DN163)=1,DN166*INDEX('Lease Cycles'!$EM$17:$ES$17,1,DN163)+DN167*(1-INDEX('Lease Cycles'!$EM$17:$ES$17,1,DN163)),DN166),DN166)</f>
        <v>3041.170763201854</v>
      </c>
      <c r="DO168" s="28">
        <f>IF(DO165=1,IF(INDEX('Lease Cycles'!$EF$17:$EL$17,1,DO163)=1,DO166*INDEX('Lease Cycles'!$EM$17:$ES$17,1,DO163)+DO167*(1-INDEX('Lease Cycles'!$EM$17:$ES$17,1,DO163)),DO166),DO166)</f>
        <v>3041.170763201854</v>
      </c>
      <c r="DP168" s="28">
        <f>IF(DP165=1,IF(INDEX('Lease Cycles'!$EF$17:$EL$17,1,DP163)=1,DP166*INDEX('Lease Cycles'!$EM$17:$ES$17,1,DP163)+DP167*(1-INDEX('Lease Cycles'!$EM$17:$ES$17,1,DP163)),DP166),DP166)</f>
        <v>3041.170763201854</v>
      </c>
      <c r="DQ168" s="28">
        <f>IF(DQ165=1,IF(INDEX('Lease Cycles'!$EF$17:$EL$17,1,DQ163)=1,DQ166*INDEX('Lease Cycles'!$EM$17:$ES$17,1,DQ163)+DQ167*(1-INDEX('Lease Cycles'!$EM$17:$ES$17,1,DQ163)),DQ166),DQ166)</f>
        <v>3041.170763201854</v>
      </c>
      <c r="DR168" s="28">
        <f>IF(DR165=1,IF(INDEX('Lease Cycles'!$EF$17:$EL$17,1,DR163)=1,DR166*INDEX('Lease Cycles'!$EM$17:$ES$17,1,DR163)+DR167*(1-INDEX('Lease Cycles'!$EM$17:$ES$17,1,DR163)),DR166),DR166)</f>
        <v>3041.170763201854</v>
      </c>
      <c r="DS168" s="28">
        <f>IF(DS165=1,IF(INDEX('Lease Cycles'!$EF$17:$EL$17,1,DS163)=1,DS166*INDEX('Lease Cycles'!$EM$17:$ES$17,1,DS163)+DS167*(1-INDEX('Lease Cycles'!$EM$17:$ES$17,1,DS163)),DS166),DS166)</f>
        <v>3041.170763201854</v>
      </c>
      <c r="DT168" s="28">
        <f>IF(DT165=1,IF(INDEX('Lease Cycles'!$EF$17:$EL$17,1,DT163)=1,DT166*INDEX('Lease Cycles'!$EM$17:$ES$17,1,DT163)+DT167*(1-INDEX('Lease Cycles'!$EM$17:$ES$17,1,DT163)),DT166),DT166)</f>
        <v>3041.170763201854</v>
      </c>
      <c r="DU168" s="28">
        <f>IF(DU165=1,IF(INDEX('Lease Cycles'!$EF$17:$EL$17,1,DU163)=1,DU166*INDEX('Lease Cycles'!$EM$17:$ES$17,1,DU163)+DU167*(1-INDEX('Lease Cycles'!$EM$17:$ES$17,1,DU163)),DU166),DU166)</f>
        <v>3132.4058860979094</v>
      </c>
      <c r="DV168" s="28">
        <f>IF(DV165=1,IF(INDEX('Lease Cycles'!$EF$17:$EL$17,1,DV163)=1,DV166*INDEX('Lease Cycles'!$EM$17:$ES$17,1,DV163)+DV167*(1-INDEX('Lease Cycles'!$EM$17:$ES$17,1,DV163)),DV166),DV166)</f>
        <v>3132.4058860979094</v>
      </c>
      <c r="DW168" s="28">
        <f>IF(DW165=1,IF(INDEX('Lease Cycles'!$EF$17:$EL$17,1,DW163)=1,DW166*INDEX('Lease Cycles'!$EM$17:$ES$17,1,DW163)+DW167*(1-INDEX('Lease Cycles'!$EM$17:$ES$17,1,DW163)),DW166),DW166)</f>
        <v>3132.4058860979094</v>
      </c>
      <c r="DX168" s="28">
        <f>IF(DX165=1,IF(INDEX('Lease Cycles'!$EF$17:$EL$17,1,DX163)=1,DX166*INDEX('Lease Cycles'!$EM$17:$ES$17,1,DX163)+DX167*(1-INDEX('Lease Cycles'!$EM$17:$ES$17,1,DX163)),DX166),DX166)</f>
        <v>3132.4058860979094</v>
      </c>
      <c r="DY168" s="28">
        <f>IF(DY165=1,IF(INDEX('Lease Cycles'!$EF$17:$EL$17,1,DY163)=1,DY166*INDEX('Lease Cycles'!$EM$17:$ES$17,1,DY163)+DY167*(1-INDEX('Lease Cycles'!$EM$17:$ES$17,1,DY163)),DY166),DY166)</f>
        <v>3132.4058860979094</v>
      </c>
      <c r="DZ168" s="28">
        <f>IF(DZ165=1,IF(INDEX('Lease Cycles'!$EF$17:$EL$17,1,DZ163)=1,DZ166*INDEX('Lease Cycles'!$EM$17:$ES$17,1,DZ163)+DZ167*(1-INDEX('Lease Cycles'!$EM$17:$ES$17,1,DZ163)),DZ166),DZ166)</f>
        <v>3132.4058860979094</v>
      </c>
      <c r="EA168" s="28">
        <f>IF(EA165=1,IF(INDEX('Lease Cycles'!$EF$17:$EL$17,1,EA163)=1,EA166*INDEX('Lease Cycles'!$EM$17:$ES$17,1,EA163)+EA167*(1-INDEX('Lease Cycles'!$EM$17:$ES$17,1,EA163)),EA166),EA166)</f>
        <v>3132.4058860979094</v>
      </c>
      <c r="EB168" s="28">
        <f>IF(EB165=1,IF(INDEX('Lease Cycles'!$EF$17:$EL$17,1,EB163)=1,EB166*INDEX('Lease Cycles'!$EM$17:$ES$17,1,EB163)+EB167*(1-INDEX('Lease Cycles'!$EM$17:$ES$17,1,EB163)),EB166),EB166)</f>
        <v>3132.4058860979094</v>
      </c>
      <c r="EC168" s="28">
        <f>IF(EC165=1,IF(INDEX('Lease Cycles'!$EF$17:$EL$17,1,EC163)=1,EC166*INDEX('Lease Cycles'!$EM$17:$ES$17,1,EC163)+EC167*(1-INDEX('Lease Cycles'!$EM$17:$ES$17,1,EC163)),EC166),EC166)</f>
        <v>3132.4058860979094</v>
      </c>
      <c r="ED168" s="28">
        <f>IF(ED165=1,IF(INDEX('Lease Cycles'!$EF$17:$EL$17,1,ED163)=1,ED166*INDEX('Lease Cycles'!$EM$17:$ES$17,1,ED163)+ED167*(1-INDEX('Lease Cycles'!$EM$17:$ES$17,1,ED163)),ED166),ED166)</f>
        <v>3132.4058860979094</v>
      </c>
      <c r="EE168" s="28">
        <f>IF(EE165=1,IF(INDEX('Lease Cycles'!$EF$17:$EL$17,1,EE163)=1,EE166*INDEX('Lease Cycles'!$EM$17:$ES$17,1,EE163)+EE167*(1-INDEX('Lease Cycles'!$EM$17:$ES$17,1,EE163)),EE166),EE166)</f>
        <v>3132.4058860979094</v>
      </c>
      <c r="EF168" s="28">
        <f>IF(EF165=1,IF(INDEX('Lease Cycles'!$EF$17:$EL$17,1,EF163)=1,EF166*INDEX('Lease Cycles'!$EM$17:$ES$17,1,EF163)+EF167*(1-INDEX('Lease Cycles'!$EM$17:$ES$17,1,EF163)),EF166),EF166)</f>
        <v>3132.4058860979094</v>
      </c>
      <c r="EG168" s="28">
        <f>IF(EG165=1,IF(INDEX('Lease Cycles'!$EF$17:$EL$17,1,EG163)=1,EG166*INDEX('Lease Cycles'!$EM$17:$ES$17,1,EG163)+EG167*(1-INDEX('Lease Cycles'!$EM$17:$ES$17,1,EG163)),EG166),EG166)</f>
        <v>3226.378062680847</v>
      </c>
      <c r="EH168" s="28">
        <f>IF(EH165=1,IF(INDEX('Lease Cycles'!$EF$17:$EL$17,1,EH163)=1,EH166*INDEX('Lease Cycles'!$EM$17:$ES$17,1,EH163)+EH167*(1-INDEX('Lease Cycles'!$EM$17:$ES$17,1,EH163)),EH166),EH166)</f>
        <v>3226.378062680847</v>
      </c>
      <c r="EI168" s="28">
        <f>IF(EI165=1,IF(INDEX('Lease Cycles'!$EF$17:$EL$17,1,EI163)=1,EI166*INDEX('Lease Cycles'!$EM$17:$ES$17,1,EI163)+EI167*(1-INDEX('Lease Cycles'!$EM$17:$ES$17,1,EI163)),EI166),EI166)</f>
        <v>3226.378062680847</v>
      </c>
      <c r="EJ168" s="28">
        <f>IF(EJ165=1,IF(INDEX('Lease Cycles'!$EF$17:$EL$17,1,EJ163)=1,EJ166*INDEX('Lease Cycles'!$EM$17:$ES$17,1,EJ163)+EJ167*(1-INDEX('Lease Cycles'!$EM$17:$ES$17,1,EJ163)),EJ166),EJ166)</f>
        <v>3226.378062680847</v>
      </c>
      <c r="EK168" s="28">
        <f>IF(EK165=1,IF(INDEX('Lease Cycles'!$EF$17:$EL$17,1,EK163)=1,EK166*INDEX('Lease Cycles'!$EM$17:$ES$17,1,EK163)+EK167*(1-INDEX('Lease Cycles'!$EM$17:$ES$17,1,EK163)),EK166),EK166)</f>
        <v>3226.378062680847</v>
      </c>
      <c r="EL168" s="28">
        <f>IF(EL165=1,IF(INDEX('Lease Cycles'!$EF$17:$EL$17,1,EL163)=1,EL166*INDEX('Lease Cycles'!$EM$17:$ES$17,1,EL163)+EL167*(1-INDEX('Lease Cycles'!$EM$17:$ES$17,1,EL163)),EL166),EL166)</f>
        <v>3226.378062680847</v>
      </c>
      <c r="EM168" s="28">
        <f>IF(EM165=1,IF(INDEX('Lease Cycles'!$EF$17:$EL$17,1,EM163)=1,EM166*INDEX('Lease Cycles'!$EM$17:$ES$17,1,EM163)+EM167*(1-INDEX('Lease Cycles'!$EM$17:$ES$17,1,EM163)),EM166),EM166)</f>
        <v>3226.378062680847</v>
      </c>
      <c r="EN168" s="28">
        <f>IF(EN165=1,IF(INDEX('Lease Cycles'!$EF$17:$EL$17,1,EN163)=1,EN166*INDEX('Lease Cycles'!$EM$17:$ES$17,1,EN163)+EN167*(1-INDEX('Lease Cycles'!$EM$17:$ES$17,1,EN163)),EN166),EN166)</f>
        <v>3226.378062680847</v>
      </c>
      <c r="EO168" s="28">
        <f>IF(EO165=1,IF(INDEX('Lease Cycles'!$EF$17:$EL$17,1,EO163)=1,EO166*INDEX('Lease Cycles'!$EM$17:$ES$17,1,EO163)+EO167*(1-INDEX('Lease Cycles'!$EM$17:$ES$17,1,EO163)),EO166),EO166)</f>
        <v>3226.378062680847</v>
      </c>
      <c r="EP168" s="28">
        <f>IF(EP165=1,IF(INDEX('Lease Cycles'!$EF$17:$EL$17,1,EP163)=1,EP166*INDEX('Lease Cycles'!$EM$17:$ES$17,1,EP163)+EP167*(1-INDEX('Lease Cycles'!$EM$17:$ES$17,1,EP163)),EP166),EP166)</f>
        <v>3226.378062680847</v>
      </c>
      <c r="EQ168" s="28">
        <f>IF(EQ165=1,IF(INDEX('Lease Cycles'!$EF$17:$EL$17,1,EQ163)=1,EQ166*INDEX('Lease Cycles'!$EM$17:$ES$17,1,EQ163)+EQ167*(1-INDEX('Lease Cycles'!$EM$17:$ES$17,1,EQ163)),EQ166),EQ166)</f>
        <v>3226.378062680847</v>
      </c>
      <c r="ER168" s="28">
        <f>IF(ER165=1,IF(INDEX('Lease Cycles'!$EF$17:$EL$17,1,ER163)=1,ER166*INDEX('Lease Cycles'!$EM$17:$ES$17,1,ER163)+ER167*(1-INDEX('Lease Cycles'!$EM$17:$ES$17,1,ER163)),ER166),ER166)</f>
        <v>3226.378062680847</v>
      </c>
      <c r="ES168" s="28">
        <f>IF(ES165=1,IF(INDEX('Lease Cycles'!$EF$17:$EL$17,1,ES163)=1,ES166*INDEX('Lease Cycles'!$EM$17:$ES$17,1,ES163)+ES167*(1-INDEX('Lease Cycles'!$EM$17:$ES$17,1,ES163)),ES166),ES166)</f>
        <v>3323.1694045612726</v>
      </c>
      <c r="ET168" s="28">
        <f>IF(ET165=1,IF(INDEX('Lease Cycles'!$EF$17:$EL$17,1,ET163)=1,ET166*INDEX('Lease Cycles'!$EM$17:$ES$17,1,ET163)+ET167*(1-INDEX('Lease Cycles'!$EM$17:$ES$17,1,ET163)),ET166),ET166)</f>
        <v>3323.1694045612726</v>
      </c>
    </row>
    <row r="169">
      <c r="A169" s="103">
        <v>10</v>
      </c>
      <c r="B169" s="23" t="str">
        <f>IF('Lease Cycles'!$B$17="","(empty slot)",'Lease Cycles'!$B$17)</f>
        <v>Available B-9</v>
      </c>
      <c r="C169" s="23" t="s">
        <v>682</v>
      </c>
      <c r="D169" s="104" t="s">
        <v>495</v>
      </c>
      <c r="E169" s="25">
        <f>'Lease Cycles'!$AL$17</f>
        <v>0</v>
      </c>
      <c r="G169" s="28">
        <f>SUM(S169:AD169)</f>
        <v>0</v>
      </c>
      <c r="H169" s="28">
        <f>SUM(AE169:AP169)</f>
        <v>30482.920000000002</v>
      </c>
      <c r="I169" s="28">
        <f>SUM(AQ169:BB169)</f>
        <v>31397.4076</v>
      </c>
      <c r="J169" s="28">
        <f>SUM(BC169:BN169)</f>
        <v>32339.329827999994</v>
      </c>
      <c r="K169" s="28">
        <f>SUM(BO169:BZ169)</f>
        <v>33309.50972284</v>
      </c>
      <c r="L169" s="28">
        <f>SUM(CA169:CL169)</f>
        <v>34308.7950145252</v>
      </c>
      <c r="M169" s="28">
        <f>SUM(CM169:CX169)</f>
        <v>35338.058864960956</v>
      </c>
      <c r="N169" s="28">
        <f>SUM(CY169:DJ169)</f>
        <v>30744.83962867829</v>
      </c>
      <c r="O169" s="28">
        <f>SUM(DK169:DV169)</f>
        <v>36676.519404214356</v>
      </c>
      <c r="P169" s="28">
        <f>SUM(DW169:EH169)</f>
        <v>37776.81498634079</v>
      </c>
      <c r="Q169" s="28">
        <f>SUM(EI169:ET169)</f>
        <v>38910.11943593102</v>
      </c>
      <c r="S169" s="28">
        <f>IF(S165=1,IF(INDEX('Lease Cycles'!$EF$17:$EL$17,1,S163)=1,S166*INDEX('Lease Cycles'!$EM$17:$ES$17,1,S163)+S167*IF(S164&lt;INDEX('Lease Cycles'!$FA$17:$FG$17,1,S163),0,1-INDEX('Lease Cycles'!$EM$17:$ES$17,1,S163)),S166*IF(S164&lt;INDEX('Lease Cycles'!$DK$17:$DQ$17,1,S163),0,IF(S164=INDEX('Lease Cycles'!$DK$17:$DQ$17,1,S163),1-INDEX('Lease Cycles'!$DR$17:$DX$17,1,S163),1))),0)</f>
        <v>0</v>
      </c>
      <c r="T169" s="28">
        <f>IF(T165=1,IF(INDEX('Lease Cycles'!$EF$17:$EL$17,1,T163)=1,T166*INDEX('Lease Cycles'!$EM$17:$ES$17,1,T163)+T167*IF(T164&lt;INDEX('Lease Cycles'!$FA$17:$FG$17,1,T163),0,1-INDEX('Lease Cycles'!$EM$17:$ES$17,1,T163)),T166*IF(T164&lt;INDEX('Lease Cycles'!$DK$17:$DQ$17,1,T163),0,IF(T164=INDEX('Lease Cycles'!$DK$17:$DQ$17,1,T163),1-INDEX('Lease Cycles'!$DR$17:$DX$17,1,T163),1))),0)</f>
        <v>0</v>
      </c>
      <c r="U169" s="28">
        <f>IF(U165=1,IF(INDEX('Lease Cycles'!$EF$17:$EL$17,1,U163)=1,U166*INDEX('Lease Cycles'!$EM$17:$ES$17,1,U163)+U167*IF(U164&lt;INDEX('Lease Cycles'!$FA$17:$FG$17,1,U163),0,1-INDEX('Lease Cycles'!$EM$17:$ES$17,1,U163)),U166*IF(U164&lt;INDEX('Lease Cycles'!$DK$17:$DQ$17,1,U163),0,IF(U164=INDEX('Lease Cycles'!$DK$17:$DQ$17,1,U163),1-INDEX('Lease Cycles'!$DR$17:$DX$17,1,U163),1))),0)</f>
        <v>0</v>
      </c>
      <c r="V169" s="28">
        <f>IF(V165=1,IF(INDEX('Lease Cycles'!$EF$17:$EL$17,1,V163)=1,V166*INDEX('Lease Cycles'!$EM$17:$ES$17,1,V163)+V167*IF(V164&lt;INDEX('Lease Cycles'!$FA$17:$FG$17,1,V163),0,1-INDEX('Lease Cycles'!$EM$17:$ES$17,1,V163)),V166*IF(V164&lt;INDEX('Lease Cycles'!$DK$17:$DQ$17,1,V163),0,IF(V164=INDEX('Lease Cycles'!$DK$17:$DQ$17,1,V163),1-INDEX('Lease Cycles'!$DR$17:$DX$17,1,V163),1))),0)</f>
        <v>0</v>
      </c>
      <c r="W169" s="28">
        <f>IF(W165=1,IF(INDEX('Lease Cycles'!$EF$17:$EL$17,1,W163)=1,W166*INDEX('Lease Cycles'!$EM$17:$ES$17,1,W163)+W167*IF(W164&lt;INDEX('Lease Cycles'!$FA$17:$FG$17,1,W163),0,1-INDEX('Lease Cycles'!$EM$17:$ES$17,1,W163)),W166*IF(W164&lt;INDEX('Lease Cycles'!$DK$17:$DQ$17,1,W163),0,IF(W164=INDEX('Lease Cycles'!$DK$17:$DQ$17,1,W163),1-INDEX('Lease Cycles'!$DR$17:$DX$17,1,W163),1))),0)</f>
        <v>0</v>
      </c>
      <c r="X169" s="28">
        <f>IF(X165=1,IF(INDEX('Lease Cycles'!$EF$17:$EL$17,1,X163)=1,X166*INDEX('Lease Cycles'!$EM$17:$ES$17,1,X163)+X167*IF(X164&lt;INDEX('Lease Cycles'!$FA$17:$FG$17,1,X163),0,1-INDEX('Lease Cycles'!$EM$17:$ES$17,1,X163)),X166*IF(X164&lt;INDEX('Lease Cycles'!$DK$17:$DQ$17,1,X163),0,IF(X164=INDEX('Lease Cycles'!$DK$17:$DQ$17,1,X163),1-INDEX('Lease Cycles'!$DR$17:$DX$17,1,X163),1))),0)</f>
        <v>0</v>
      </c>
      <c r="Y169" s="28">
        <f>IF(Y165=1,IF(INDEX('Lease Cycles'!$EF$17:$EL$17,1,Y163)=1,Y166*INDEX('Lease Cycles'!$EM$17:$ES$17,1,Y163)+Y167*IF(Y164&lt;INDEX('Lease Cycles'!$FA$17:$FG$17,1,Y163),0,1-INDEX('Lease Cycles'!$EM$17:$ES$17,1,Y163)),Y166*IF(Y164&lt;INDEX('Lease Cycles'!$DK$17:$DQ$17,1,Y163),0,IF(Y164=INDEX('Lease Cycles'!$DK$17:$DQ$17,1,Y163),1-INDEX('Lease Cycles'!$DR$17:$DX$17,1,Y163),1))),0)</f>
        <v>0</v>
      </c>
      <c r="Z169" s="28">
        <f>IF(Z165=1,IF(INDEX('Lease Cycles'!$EF$17:$EL$17,1,Z163)=1,Z166*INDEX('Lease Cycles'!$EM$17:$ES$17,1,Z163)+Z167*IF(Z164&lt;INDEX('Lease Cycles'!$FA$17:$FG$17,1,Z163),0,1-INDEX('Lease Cycles'!$EM$17:$ES$17,1,Z163)),Z166*IF(Z164&lt;INDEX('Lease Cycles'!$DK$17:$DQ$17,1,Z163),0,IF(Z164=INDEX('Lease Cycles'!$DK$17:$DQ$17,1,Z163),1-INDEX('Lease Cycles'!$DR$17:$DX$17,1,Z163),1))),0)</f>
        <v>0</v>
      </c>
      <c r="AA169" s="28">
        <f>IF(AA165=1,IF(INDEX('Lease Cycles'!$EF$17:$EL$17,1,AA163)=1,AA166*INDEX('Lease Cycles'!$EM$17:$ES$17,1,AA163)+AA167*IF(AA164&lt;INDEX('Lease Cycles'!$FA$17:$FG$17,1,AA163),0,1-INDEX('Lease Cycles'!$EM$17:$ES$17,1,AA163)),AA166*IF(AA164&lt;INDEX('Lease Cycles'!$DK$17:$DQ$17,1,AA163),0,IF(AA164=INDEX('Lease Cycles'!$DK$17:$DQ$17,1,AA163),1-INDEX('Lease Cycles'!$DR$17:$DX$17,1,AA163),1))),0)</f>
        <v>0</v>
      </c>
      <c r="AB169" s="28">
        <f>IF(AB165=1,IF(INDEX('Lease Cycles'!$EF$17:$EL$17,1,AB163)=1,AB166*INDEX('Lease Cycles'!$EM$17:$ES$17,1,AB163)+AB167*IF(AB164&lt;INDEX('Lease Cycles'!$FA$17:$FG$17,1,AB163),0,1-INDEX('Lease Cycles'!$EM$17:$ES$17,1,AB163)),AB166*IF(AB164&lt;INDEX('Lease Cycles'!$DK$17:$DQ$17,1,AB163),0,IF(AB164=INDEX('Lease Cycles'!$DK$17:$DQ$17,1,AB163),1-INDEX('Lease Cycles'!$DR$17:$DX$17,1,AB163),1))),0)</f>
        <v>0</v>
      </c>
      <c r="AC169" s="28">
        <f>IF(AC165=1,IF(INDEX('Lease Cycles'!$EF$17:$EL$17,1,AC163)=1,AC166*INDEX('Lease Cycles'!$EM$17:$ES$17,1,AC163)+AC167*IF(AC164&lt;INDEX('Lease Cycles'!$FA$17:$FG$17,1,AC163),0,1-INDEX('Lease Cycles'!$EM$17:$ES$17,1,AC163)),AC166*IF(AC164&lt;INDEX('Lease Cycles'!$DK$17:$DQ$17,1,AC163),0,IF(AC164=INDEX('Lease Cycles'!$DK$17:$DQ$17,1,AC163),1-INDEX('Lease Cycles'!$DR$17:$DX$17,1,AC163),1))),0)</f>
        <v>0</v>
      </c>
      <c r="AD169" s="28">
        <f>IF(AD165=1,IF(INDEX('Lease Cycles'!$EF$17:$EL$17,1,AD163)=1,AD166*INDEX('Lease Cycles'!$EM$17:$ES$17,1,AD163)+AD167*IF(AD164&lt;INDEX('Lease Cycles'!$FA$17:$FG$17,1,AD163),0,1-INDEX('Lease Cycles'!$EM$17:$ES$17,1,AD163)),AD166*IF(AD164&lt;INDEX('Lease Cycles'!$DK$17:$DQ$17,1,AD163),0,IF(AD164=INDEX('Lease Cycles'!$DK$17:$DQ$17,1,AD163),1-INDEX('Lease Cycles'!$DR$17:$DX$17,1,AD163),1))),0)</f>
        <v>0</v>
      </c>
      <c r="AE169" s="28">
        <f>IF(AE165=1,IF(INDEX('Lease Cycles'!$EF$17:$EL$17,1,AE163)=1,AE166*INDEX('Lease Cycles'!$EM$17:$ES$17,1,AE163)+AE167*IF(AE164&lt;INDEX('Lease Cycles'!$FA$17:$FG$17,1,AE163),0,1-INDEX('Lease Cycles'!$EM$17:$ES$17,1,AE163)),AE166*IF(AE164&lt;INDEX('Lease Cycles'!$DK$17:$DQ$17,1,AE163),0,IF(AE164=INDEX('Lease Cycles'!$DK$17:$DQ$17,1,AE163),1-INDEX('Lease Cycles'!$DR$17:$DX$17,1,AE163),1))),0)</f>
        <v>2521.3333333333335</v>
      </c>
      <c r="AF169" s="28">
        <f>IF(AF165=1,IF(INDEX('Lease Cycles'!$EF$17:$EL$17,1,AF163)=1,AF166*INDEX('Lease Cycles'!$EM$17:$ES$17,1,AF163)+AF167*IF(AF164&lt;INDEX('Lease Cycles'!$FA$17:$FG$17,1,AF163),0,1-INDEX('Lease Cycles'!$EM$17:$ES$17,1,AF163)),AF166*IF(AF164&lt;INDEX('Lease Cycles'!$DK$17:$DQ$17,1,AF163),0,IF(AF164=INDEX('Lease Cycles'!$DK$17:$DQ$17,1,AF163),1-INDEX('Lease Cycles'!$DR$17:$DX$17,1,AF163),1))),0)</f>
        <v>2521.3333333333335</v>
      </c>
      <c r="AG169" s="28">
        <f>IF(AG165=1,IF(INDEX('Lease Cycles'!$EF$17:$EL$17,1,AG163)=1,AG166*INDEX('Lease Cycles'!$EM$17:$ES$17,1,AG163)+AG167*IF(AG164&lt;INDEX('Lease Cycles'!$FA$17:$FG$17,1,AG163),0,1-INDEX('Lease Cycles'!$EM$17:$ES$17,1,AG163)),AG166*IF(AG164&lt;INDEX('Lease Cycles'!$DK$17:$DQ$17,1,AG163),0,IF(AG164=INDEX('Lease Cycles'!$DK$17:$DQ$17,1,AG163),1-INDEX('Lease Cycles'!$DR$17:$DX$17,1,AG163),1))),0)</f>
        <v>2521.3333333333335</v>
      </c>
      <c r="AH169" s="28">
        <f>IF(AH165=1,IF(INDEX('Lease Cycles'!$EF$17:$EL$17,1,AH163)=1,AH166*INDEX('Lease Cycles'!$EM$17:$ES$17,1,AH163)+AH167*IF(AH164&lt;INDEX('Lease Cycles'!$FA$17:$FG$17,1,AH163),0,1-INDEX('Lease Cycles'!$EM$17:$ES$17,1,AH163)),AH166*IF(AH164&lt;INDEX('Lease Cycles'!$DK$17:$DQ$17,1,AH163),0,IF(AH164=INDEX('Lease Cycles'!$DK$17:$DQ$17,1,AH163),1-INDEX('Lease Cycles'!$DR$17:$DX$17,1,AH163),1))),0)</f>
        <v>2521.3333333333335</v>
      </c>
      <c r="AI169" s="28">
        <f>IF(AI165=1,IF(INDEX('Lease Cycles'!$EF$17:$EL$17,1,AI163)=1,AI166*INDEX('Lease Cycles'!$EM$17:$ES$17,1,AI163)+AI167*IF(AI164&lt;INDEX('Lease Cycles'!$FA$17:$FG$17,1,AI163),0,1-INDEX('Lease Cycles'!$EM$17:$ES$17,1,AI163)),AI166*IF(AI164&lt;INDEX('Lease Cycles'!$DK$17:$DQ$17,1,AI163),0,IF(AI164=INDEX('Lease Cycles'!$DK$17:$DQ$17,1,AI163),1-INDEX('Lease Cycles'!$DR$17:$DX$17,1,AI163),1))),0)</f>
        <v>2521.3333333333335</v>
      </c>
      <c r="AJ169" s="28">
        <f>IF(AJ165=1,IF(INDEX('Lease Cycles'!$EF$17:$EL$17,1,AJ163)=1,AJ166*INDEX('Lease Cycles'!$EM$17:$ES$17,1,AJ163)+AJ167*IF(AJ164&lt;INDEX('Lease Cycles'!$FA$17:$FG$17,1,AJ163),0,1-INDEX('Lease Cycles'!$EM$17:$ES$17,1,AJ163)),AJ166*IF(AJ164&lt;INDEX('Lease Cycles'!$DK$17:$DQ$17,1,AJ163),0,IF(AJ164=INDEX('Lease Cycles'!$DK$17:$DQ$17,1,AJ163),1-INDEX('Lease Cycles'!$DR$17:$DX$17,1,AJ163),1))),0)</f>
        <v>2521.3333333333335</v>
      </c>
      <c r="AK169" s="28">
        <f>IF(AK165=1,IF(INDEX('Lease Cycles'!$EF$17:$EL$17,1,AK163)=1,AK166*INDEX('Lease Cycles'!$EM$17:$ES$17,1,AK163)+AK167*IF(AK164&lt;INDEX('Lease Cycles'!$FA$17:$FG$17,1,AK163),0,1-INDEX('Lease Cycles'!$EM$17:$ES$17,1,AK163)),AK166*IF(AK164&lt;INDEX('Lease Cycles'!$DK$17:$DQ$17,1,AK163),0,IF(AK164=INDEX('Lease Cycles'!$DK$17:$DQ$17,1,AK163),1-INDEX('Lease Cycles'!$DR$17:$DX$17,1,AK163),1))),0)</f>
        <v>2521.3333333333335</v>
      </c>
      <c r="AL169" s="28">
        <f>IF(AL165=1,IF(INDEX('Lease Cycles'!$EF$17:$EL$17,1,AL163)=1,AL166*INDEX('Lease Cycles'!$EM$17:$ES$17,1,AL163)+AL167*IF(AL164&lt;INDEX('Lease Cycles'!$FA$17:$FG$17,1,AL163),0,1-INDEX('Lease Cycles'!$EM$17:$ES$17,1,AL163)),AL166*IF(AL164&lt;INDEX('Lease Cycles'!$DK$17:$DQ$17,1,AL163),0,IF(AL164=INDEX('Lease Cycles'!$DK$17:$DQ$17,1,AL163),1-INDEX('Lease Cycles'!$DR$17:$DX$17,1,AL163),1))),0)</f>
        <v>2521.3333333333335</v>
      </c>
      <c r="AM169" s="28">
        <f>IF(AM165=1,IF(INDEX('Lease Cycles'!$EF$17:$EL$17,1,AM163)=1,AM166*INDEX('Lease Cycles'!$EM$17:$ES$17,1,AM163)+AM167*IF(AM164&lt;INDEX('Lease Cycles'!$FA$17:$FG$17,1,AM163),0,1-INDEX('Lease Cycles'!$EM$17:$ES$17,1,AM163)),AM166*IF(AM164&lt;INDEX('Lease Cycles'!$DK$17:$DQ$17,1,AM163),0,IF(AM164=INDEX('Lease Cycles'!$DK$17:$DQ$17,1,AM163),1-INDEX('Lease Cycles'!$DR$17:$DX$17,1,AM163),1))),0)</f>
        <v>2521.3333333333335</v>
      </c>
      <c r="AN169" s="28">
        <f>IF(AN165=1,IF(INDEX('Lease Cycles'!$EF$17:$EL$17,1,AN163)=1,AN166*INDEX('Lease Cycles'!$EM$17:$ES$17,1,AN163)+AN167*IF(AN164&lt;INDEX('Lease Cycles'!$FA$17:$FG$17,1,AN163),0,1-INDEX('Lease Cycles'!$EM$17:$ES$17,1,AN163)),AN166*IF(AN164&lt;INDEX('Lease Cycles'!$DK$17:$DQ$17,1,AN163),0,IF(AN164=INDEX('Lease Cycles'!$DK$17:$DQ$17,1,AN163),1-INDEX('Lease Cycles'!$DR$17:$DX$17,1,AN163),1))),0)</f>
        <v>2596.9733333333334</v>
      </c>
      <c r="AO169" s="28">
        <f>IF(AO165=1,IF(INDEX('Lease Cycles'!$EF$17:$EL$17,1,AO163)=1,AO166*INDEX('Lease Cycles'!$EM$17:$ES$17,1,AO163)+AO167*IF(AO164&lt;INDEX('Lease Cycles'!$FA$17:$FG$17,1,AO163),0,1-INDEX('Lease Cycles'!$EM$17:$ES$17,1,AO163)),AO166*IF(AO164&lt;INDEX('Lease Cycles'!$DK$17:$DQ$17,1,AO163),0,IF(AO164=INDEX('Lease Cycles'!$DK$17:$DQ$17,1,AO163),1-INDEX('Lease Cycles'!$DR$17:$DX$17,1,AO163),1))),0)</f>
        <v>2596.9733333333334</v>
      </c>
      <c r="AP169" s="28">
        <f>IF(AP165=1,IF(INDEX('Lease Cycles'!$EF$17:$EL$17,1,AP163)=1,AP166*INDEX('Lease Cycles'!$EM$17:$ES$17,1,AP163)+AP167*IF(AP164&lt;INDEX('Lease Cycles'!$FA$17:$FG$17,1,AP163),0,1-INDEX('Lease Cycles'!$EM$17:$ES$17,1,AP163)),AP166*IF(AP164&lt;INDEX('Lease Cycles'!$DK$17:$DQ$17,1,AP163),0,IF(AP164=INDEX('Lease Cycles'!$DK$17:$DQ$17,1,AP163),1-INDEX('Lease Cycles'!$DR$17:$DX$17,1,AP163),1))),0)</f>
        <v>2596.9733333333334</v>
      </c>
      <c r="AQ169" s="28">
        <f>IF(AQ165=1,IF(INDEX('Lease Cycles'!$EF$17:$EL$17,1,AQ163)=1,AQ166*INDEX('Lease Cycles'!$EM$17:$ES$17,1,AQ163)+AQ167*IF(AQ164&lt;INDEX('Lease Cycles'!$FA$17:$FG$17,1,AQ163),0,1-INDEX('Lease Cycles'!$EM$17:$ES$17,1,AQ163)),AQ166*IF(AQ164&lt;INDEX('Lease Cycles'!$DK$17:$DQ$17,1,AQ163),0,IF(AQ164=INDEX('Lease Cycles'!$DK$17:$DQ$17,1,AQ163),1-INDEX('Lease Cycles'!$DR$17:$DX$17,1,AQ163),1))),0)</f>
        <v>2596.9733333333334</v>
      </c>
      <c r="AR169" s="28">
        <f>IF(AR165=1,IF(INDEX('Lease Cycles'!$EF$17:$EL$17,1,AR163)=1,AR166*INDEX('Lease Cycles'!$EM$17:$ES$17,1,AR163)+AR167*IF(AR164&lt;INDEX('Lease Cycles'!$FA$17:$FG$17,1,AR163),0,1-INDEX('Lease Cycles'!$EM$17:$ES$17,1,AR163)),AR166*IF(AR164&lt;INDEX('Lease Cycles'!$DK$17:$DQ$17,1,AR163),0,IF(AR164=INDEX('Lease Cycles'!$DK$17:$DQ$17,1,AR163),1-INDEX('Lease Cycles'!$DR$17:$DX$17,1,AR163),1))),0)</f>
        <v>2596.9733333333334</v>
      </c>
      <c r="AS169" s="28">
        <f>IF(AS165=1,IF(INDEX('Lease Cycles'!$EF$17:$EL$17,1,AS163)=1,AS166*INDEX('Lease Cycles'!$EM$17:$ES$17,1,AS163)+AS167*IF(AS164&lt;INDEX('Lease Cycles'!$FA$17:$FG$17,1,AS163),0,1-INDEX('Lease Cycles'!$EM$17:$ES$17,1,AS163)),AS166*IF(AS164&lt;INDEX('Lease Cycles'!$DK$17:$DQ$17,1,AS163),0,IF(AS164=INDEX('Lease Cycles'!$DK$17:$DQ$17,1,AS163),1-INDEX('Lease Cycles'!$DR$17:$DX$17,1,AS163),1))),0)</f>
        <v>2596.9733333333334</v>
      </c>
      <c r="AT169" s="28">
        <f>IF(AT165=1,IF(INDEX('Lease Cycles'!$EF$17:$EL$17,1,AT163)=1,AT166*INDEX('Lease Cycles'!$EM$17:$ES$17,1,AT163)+AT167*IF(AT164&lt;INDEX('Lease Cycles'!$FA$17:$FG$17,1,AT163),0,1-INDEX('Lease Cycles'!$EM$17:$ES$17,1,AT163)),AT166*IF(AT164&lt;INDEX('Lease Cycles'!$DK$17:$DQ$17,1,AT163),0,IF(AT164=INDEX('Lease Cycles'!$DK$17:$DQ$17,1,AT163),1-INDEX('Lease Cycles'!$DR$17:$DX$17,1,AT163),1))),0)</f>
        <v>2596.9733333333334</v>
      </c>
      <c r="AU169" s="28">
        <f>IF(AU165=1,IF(INDEX('Lease Cycles'!$EF$17:$EL$17,1,AU163)=1,AU166*INDEX('Lease Cycles'!$EM$17:$ES$17,1,AU163)+AU167*IF(AU164&lt;INDEX('Lease Cycles'!$FA$17:$FG$17,1,AU163),0,1-INDEX('Lease Cycles'!$EM$17:$ES$17,1,AU163)),AU166*IF(AU164&lt;INDEX('Lease Cycles'!$DK$17:$DQ$17,1,AU163),0,IF(AU164=INDEX('Lease Cycles'!$DK$17:$DQ$17,1,AU163),1-INDEX('Lease Cycles'!$DR$17:$DX$17,1,AU163),1))),0)</f>
        <v>2596.9733333333334</v>
      </c>
      <c r="AV169" s="28">
        <f>IF(AV165=1,IF(INDEX('Lease Cycles'!$EF$17:$EL$17,1,AV163)=1,AV166*INDEX('Lease Cycles'!$EM$17:$ES$17,1,AV163)+AV167*IF(AV164&lt;INDEX('Lease Cycles'!$FA$17:$FG$17,1,AV163),0,1-INDEX('Lease Cycles'!$EM$17:$ES$17,1,AV163)),AV166*IF(AV164&lt;INDEX('Lease Cycles'!$DK$17:$DQ$17,1,AV163),0,IF(AV164=INDEX('Lease Cycles'!$DK$17:$DQ$17,1,AV163),1-INDEX('Lease Cycles'!$DR$17:$DX$17,1,AV163),1))),0)</f>
        <v>2596.9733333333334</v>
      </c>
      <c r="AW169" s="28">
        <f>IF(AW165=1,IF(INDEX('Lease Cycles'!$EF$17:$EL$17,1,AW163)=1,AW166*INDEX('Lease Cycles'!$EM$17:$ES$17,1,AW163)+AW167*IF(AW164&lt;INDEX('Lease Cycles'!$FA$17:$FG$17,1,AW163),0,1-INDEX('Lease Cycles'!$EM$17:$ES$17,1,AW163)),AW166*IF(AW164&lt;INDEX('Lease Cycles'!$DK$17:$DQ$17,1,AW163),0,IF(AW164=INDEX('Lease Cycles'!$DK$17:$DQ$17,1,AW163),1-INDEX('Lease Cycles'!$DR$17:$DX$17,1,AW163),1))),0)</f>
        <v>2596.9733333333334</v>
      </c>
      <c r="AX169" s="28">
        <f>IF(AX165=1,IF(INDEX('Lease Cycles'!$EF$17:$EL$17,1,AX163)=1,AX166*INDEX('Lease Cycles'!$EM$17:$ES$17,1,AX163)+AX167*IF(AX164&lt;INDEX('Lease Cycles'!$FA$17:$FG$17,1,AX163),0,1-INDEX('Lease Cycles'!$EM$17:$ES$17,1,AX163)),AX166*IF(AX164&lt;INDEX('Lease Cycles'!$DK$17:$DQ$17,1,AX163),0,IF(AX164=INDEX('Lease Cycles'!$DK$17:$DQ$17,1,AX163),1-INDEX('Lease Cycles'!$DR$17:$DX$17,1,AX163),1))),0)</f>
        <v>2596.9733333333334</v>
      </c>
      <c r="AY169" s="28">
        <f>IF(AY165=1,IF(INDEX('Lease Cycles'!$EF$17:$EL$17,1,AY163)=1,AY166*INDEX('Lease Cycles'!$EM$17:$ES$17,1,AY163)+AY167*IF(AY164&lt;INDEX('Lease Cycles'!$FA$17:$FG$17,1,AY163),0,1-INDEX('Lease Cycles'!$EM$17:$ES$17,1,AY163)),AY166*IF(AY164&lt;INDEX('Lease Cycles'!$DK$17:$DQ$17,1,AY163),0,IF(AY164=INDEX('Lease Cycles'!$DK$17:$DQ$17,1,AY163),1-INDEX('Lease Cycles'!$DR$17:$DX$17,1,AY163),1))),0)</f>
        <v>2596.9733333333334</v>
      </c>
      <c r="AZ169" s="28">
        <f>IF(AZ165=1,IF(INDEX('Lease Cycles'!$EF$17:$EL$17,1,AZ163)=1,AZ166*INDEX('Lease Cycles'!$EM$17:$ES$17,1,AZ163)+AZ167*IF(AZ164&lt;INDEX('Lease Cycles'!$FA$17:$FG$17,1,AZ163),0,1-INDEX('Lease Cycles'!$EM$17:$ES$17,1,AZ163)),AZ166*IF(AZ164&lt;INDEX('Lease Cycles'!$DK$17:$DQ$17,1,AZ163),0,IF(AZ164=INDEX('Lease Cycles'!$DK$17:$DQ$17,1,AZ163),1-INDEX('Lease Cycles'!$DR$17:$DX$17,1,AZ163),1))),0)</f>
        <v>2674.882533333333</v>
      </c>
      <c r="BA169" s="28">
        <f>IF(BA165=1,IF(INDEX('Lease Cycles'!$EF$17:$EL$17,1,BA163)=1,BA166*INDEX('Lease Cycles'!$EM$17:$ES$17,1,BA163)+BA167*IF(BA164&lt;INDEX('Lease Cycles'!$FA$17:$FG$17,1,BA163),0,1-INDEX('Lease Cycles'!$EM$17:$ES$17,1,BA163)),BA166*IF(BA164&lt;INDEX('Lease Cycles'!$DK$17:$DQ$17,1,BA163),0,IF(BA164=INDEX('Lease Cycles'!$DK$17:$DQ$17,1,BA163),1-INDEX('Lease Cycles'!$DR$17:$DX$17,1,BA163),1))),0)</f>
        <v>2674.882533333333</v>
      </c>
      <c r="BB169" s="28">
        <f>IF(BB165=1,IF(INDEX('Lease Cycles'!$EF$17:$EL$17,1,BB163)=1,BB166*INDEX('Lease Cycles'!$EM$17:$ES$17,1,BB163)+BB167*IF(BB164&lt;INDEX('Lease Cycles'!$FA$17:$FG$17,1,BB163),0,1-INDEX('Lease Cycles'!$EM$17:$ES$17,1,BB163)),BB166*IF(BB164&lt;INDEX('Lease Cycles'!$DK$17:$DQ$17,1,BB163),0,IF(BB164=INDEX('Lease Cycles'!$DK$17:$DQ$17,1,BB163),1-INDEX('Lease Cycles'!$DR$17:$DX$17,1,BB163),1))),0)</f>
        <v>2674.882533333333</v>
      </c>
      <c r="BC169" s="28">
        <f>IF(BC165=1,IF(INDEX('Lease Cycles'!$EF$17:$EL$17,1,BC163)=1,BC166*INDEX('Lease Cycles'!$EM$17:$ES$17,1,BC163)+BC167*IF(BC164&lt;INDEX('Lease Cycles'!$FA$17:$FG$17,1,BC163),0,1-INDEX('Lease Cycles'!$EM$17:$ES$17,1,BC163)),BC166*IF(BC164&lt;INDEX('Lease Cycles'!$DK$17:$DQ$17,1,BC163),0,IF(BC164=INDEX('Lease Cycles'!$DK$17:$DQ$17,1,BC163),1-INDEX('Lease Cycles'!$DR$17:$DX$17,1,BC163),1))),0)</f>
        <v>2674.882533333333</v>
      </c>
      <c r="BD169" s="28">
        <f>IF(BD165=1,IF(INDEX('Lease Cycles'!$EF$17:$EL$17,1,BD163)=1,BD166*INDEX('Lease Cycles'!$EM$17:$ES$17,1,BD163)+BD167*IF(BD164&lt;INDEX('Lease Cycles'!$FA$17:$FG$17,1,BD163),0,1-INDEX('Lease Cycles'!$EM$17:$ES$17,1,BD163)),BD166*IF(BD164&lt;INDEX('Lease Cycles'!$DK$17:$DQ$17,1,BD163),0,IF(BD164=INDEX('Lease Cycles'!$DK$17:$DQ$17,1,BD163),1-INDEX('Lease Cycles'!$DR$17:$DX$17,1,BD163),1))),0)</f>
        <v>2674.882533333333</v>
      </c>
      <c r="BE169" s="28">
        <f>IF(BE165=1,IF(INDEX('Lease Cycles'!$EF$17:$EL$17,1,BE163)=1,BE166*INDEX('Lease Cycles'!$EM$17:$ES$17,1,BE163)+BE167*IF(BE164&lt;INDEX('Lease Cycles'!$FA$17:$FG$17,1,BE163),0,1-INDEX('Lease Cycles'!$EM$17:$ES$17,1,BE163)),BE166*IF(BE164&lt;INDEX('Lease Cycles'!$DK$17:$DQ$17,1,BE163),0,IF(BE164=INDEX('Lease Cycles'!$DK$17:$DQ$17,1,BE163),1-INDEX('Lease Cycles'!$DR$17:$DX$17,1,BE163),1))),0)</f>
        <v>2674.882533333333</v>
      </c>
      <c r="BF169" s="28">
        <f>IF(BF165=1,IF(INDEX('Lease Cycles'!$EF$17:$EL$17,1,BF163)=1,BF166*INDEX('Lease Cycles'!$EM$17:$ES$17,1,BF163)+BF167*IF(BF164&lt;INDEX('Lease Cycles'!$FA$17:$FG$17,1,BF163),0,1-INDEX('Lease Cycles'!$EM$17:$ES$17,1,BF163)),BF166*IF(BF164&lt;INDEX('Lease Cycles'!$DK$17:$DQ$17,1,BF163),0,IF(BF164=INDEX('Lease Cycles'!$DK$17:$DQ$17,1,BF163),1-INDEX('Lease Cycles'!$DR$17:$DX$17,1,BF163),1))),0)</f>
        <v>2674.882533333333</v>
      </c>
      <c r="BG169" s="28">
        <f>IF(BG165=1,IF(INDEX('Lease Cycles'!$EF$17:$EL$17,1,BG163)=1,BG166*INDEX('Lease Cycles'!$EM$17:$ES$17,1,BG163)+BG167*IF(BG164&lt;INDEX('Lease Cycles'!$FA$17:$FG$17,1,BG163),0,1-INDEX('Lease Cycles'!$EM$17:$ES$17,1,BG163)),BG166*IF(BG164&lt;INDEX('Lease Cycles'!$DK$17:$DQ$17,1,BG163),0,IF(BG164=INDEX('Lease Cycles'!$DK$17:$DQ$17,1,BG163),1-INDEX('Lease Cycles'!$DR$17:$DX$17,1,BG163),1))),0)</f>
        <v>2674.882533333333</v>
      </c>
      <c r="BH169" s="28">
        <f>IF(BH165=1,IF(INDEX('Lease Cycles'!$EF$17:$EL$17,1,BH163)=1,BH166*INDEX('Lease Cycles'!$EM$17:$ES$17,1,BH163)+BH167*IF(BH164&lt;INDEX('Lease Cycles'!$FA$17:$FG$17,1,BH163),0,1-INDEX('Lease Cycles'!$EM$17:$ES$17,1,BH163)),BH166*IF(BH164&lt;INDEX('Lease Cycles'!$DK$17:$DQ$17,1,BH163),0,IF(BH164=INDEX('Lease Cycles'!$DK$17:$DQ$17,1,BH163),1-INDEX('Lease Cycles'!$DR$17:$DX$17,1,BH163),1))),0)</f>
        <v>2674.882533333333</v>
      </c>
      <c r="BI169" s="28">
        <f>IF(BI165=1,IF(INDEX('Lease Cycles'!$EF$17:$EL$17,1,BI163)=1,BI166*INDEX('Lease Cycles'!$EM$17:$ES$17,1,BI163)+BI167*IF(BI164&lt;INDEX('Lease Cycles'!$FA$17:$FG$17,1,BI163),0,1-INDEX('Lease Cycles'!$EM$17:$ES$17,1,BI163)),BI166*IF(BI164&lt;INDEX('Lease Cycles'!$DK$17:$DQ$17,1,BI163),0,IF(BI164=INDEX('Lease Cycles'!$DK$17:$DQ$17,1,BI163),1-INDEX('Lease Cycles'!$DR$17:$DX$17,1,BI163),1))),0)</f>
        <v>2674.882533333333</v>
      </c>
      <c r="BJ169" s="28">
        <f>IF(BJ165=1,IF(INDEX('Lease Cycles'!$EF$17:$EL$17,1,BJ163)=1,BJ166*INDEX('Lease Cycles'!$EM$17:$ES$17,1,BJ163)+BJ167*IF(BJ164&lt;INDEX('Lease Cycles'!$FA$17:$FG$17,1,BJ163),0,1-INDEX('Lease Cycles'!$EM$17:$ES$17,1,BJ163)),BJ166*IF(BJ164&lt;INDEX('Lease Cycles'!$DK$17:$DQ$17,1,BJ163),0,IF(BJ164=INDEX('Lease Cycles'!$DK$17:$DQ$17,1,BJ163),1-INDEX('Lease Cycles'!$DR$17:$DX$17,1,BJ163),1))),0)</f>
        <v>2674.882533333333</v>
      </c>
      <c r="BK169" s="28">
        <f>IF(BK165=1,IF(INDEX('Lease Cycles'!$EF$17:$EL$17,1,BK163)=1,BK166*INDEX('Lease Cycles'!$EM$17:$ES$17,1,BK163)+BK167*IF(BK164&lt;INDEX('Lease Cycles'!$FA$17:$FG$17,1,BK163),0,1-INDEX('Lease Cycles'!$EM$17:$ES$17,1,BK163)),BK166*IF(BK164&lt;INDEX('Lease Cycles'!$DK$17:$DQ$17,1,BK163),0,IF(BK164=INDEX('Lease Cycles'!$DK$17:$DQ$17,1,BK163),1-INDEX('Lease Cycles'!$DR$17:$DX$17,1,BK163),1))),0)</f>
        <v>2674.882533333333</v>
      </c>
      <c r="BL169" s="28">
        <f>IF(BL165=1,IF(INDEX('Lease Cycles'!$EF$17:$EL$17,1,BL163)=1,BL166*INDEX('Lease Cycles'!$EM$17:$ES$17,1,BL163)+BL167*IF(BL164&lt;INDEX('Lease Cycles'!$FA$17:$FG$17,1,BL163),0,1-INDEX('Lease Cycles'!$EM$17:$ES$17,1,BL163)),BL166*IF(BL164&lt;INDEX('Lease Cycles'!$DK$17:$DQ$17,1,BL163),0,IF(BL164=INDEX('Lease Cycles'!$DK$17:$DQ$17,1,BL163),1-INDEX('Lease Cycles'!$DR$17:$DX$17,1,BL163),1))),0)</f>
        <v>2755.129009333333</v>
      </c>
      <c r="BM169" s="28">
        <f>IF(BM165=1,IF(INDEX('Lease Cycles'!$EF$17:$EL$17,1,BM163)=1,BM166*INDEX('Lease Cycles'!$EM$17:$ES$17,1,BM163)+BM167*IF(BM164&lt;INDEX('Lease Cycles'!$FA$17:$FG$17,1,BM163),0,1-INDEX('Lease Cycles'!$EM$17:$ES$17,1,BM163)),BM166*IF(BM164&lt;INDEX('Lease Cycles'!$DK$17:$DQ$17,1,BM163),0,IF(BM164=INDEX('Lease Cycles'!$DK$17:$DQ$17,1,BM163),1-INDEX('Lease Cycles'!$DR$17:$DX$17,1,BM163),1))),0)</f>
        <v>2755.129009333333</v>
      </c>
      <c r="BN169" s="28">
        <f>IF(BN165=1,IF(INDEX('Lease Cycles'!$EF$17:$EL$17,1,BN163)=1,BN166*INDEX('Lease Cycles'!$EM$17:$ES$17,1,BN163)+BN167*IF(BN164&lt;INDEX('Lease Cycles'!$FA$17:$FG$17,1,BN163),0,1-INDEX('Lease Cycles'!$EM$17:$ES$17,1,BN163)),BN166*IF(BN164&lt;INDEX('Lease Cycles'!$DK$17:$DQ$17,1,BN163),0,IF(BN164=INDEX('Lease Cycles'!$DK$17:$DQ$17,1,BN163),1-INDEX('Lease Cycles'!$DR$17:$DX$17,1,BN163),1))),0)</f>
        <v>2755.129009333333</v>
      </c>
      <c r="BO169" s="28">
        <f>IF(BO165=1,IF(INDEX('Lease Cycles'!$EF$17:$EL$17,1,BO163)=1,BO166*INDEX('Lease Cycles'!$EM$17:$ES$17,1,BO163)+BO167*IF(BO164&lt;INDEX('Lease Cycles'!$FA$17:$FG$17,1,BO163),0,1-INDEX('Lease Cycles'!$EM$17:$ES$17,1,BO163)),BO166*IF(BO164&lt;INDEX('Lease Cycles'!$DK$17:$DQ$17,1,BO163),0,IF(BO164=INDEX('Lease Cycles'!$DK$17:$DQ$17,1,BO163),1-INDEX('Lease Cycles'!$DR$17:$DX$17,1,BO163),1))),0)</f>
        <v>2755.129009333333</v>
      </c>
      <c r="BP169" s="28">
        <f>IF(BP165=1,IF(INDEX('Lease Cycles'!$EF$17:$EL$17,1,BP163)=1,BP166*INDEX('Lease Cycles'!$EM$17:$ES$17,1,BP163)+BP167*IF(BP164&lt;INDEX('Lease Cycles'!$FA$17:$FG$17,1,BP163),0,1-INDEX('Lease Cycles'!$EM$17:$ES$17,1,BP163)),BP166*IF(BP164&lt;INDEX('Lease Cycles'!$DK$17:$DQ$17,1,BP163),0,IF(BP164=INDEX('Lease Cycles'!$DK$17:$DQ$17,1,BP163),1-INDEX('Lease Cycles'!$DR$17:$DX$17,1,BP163),1))),0)</f>
        <v>2755.129009333333</v>
      </c>
      <c r="BQ169" s="28">
        <f>IF(BQ165=1,IF(INDEX('Lease Cycles'!$EF$17:$EL$17,1,BQ163)=1,BQ166*INDEX('Lease Cycles'!$EM$17:$ES$17,1,BQ163)+BQ167*IF(BQ164&lt;INDEX('Lease Cycles'!$FA$17:$FG$17,1,BQ163),0,1-INDEX('Lease Cycles'!$EM$17:$ES$17,1,BQ163)),BQ166*IF(BQ164&lt;INDEX('Lease Cycles'!$DK$17:$DQ$17,1,BQ163),0,IF(BQ164=INDEX('Lease Cycles'!$DK$17:$DQ$17,1,BQ163),1-INDEX('Lease Cycles'!$DR$17:$DX$17,1,BQ163),1))),0)</f>
        <v>2755.129009333333</v>
      </c>
      <c r="BR169" s="28">
        <f>IF(BR165=1,IF(INDEX('Lease Cycles'!$EF$17:$EL$17,1,BR163)=1,BR166*INDEX('Lease Cycles'!$EM$17:$ES$17,1,BR163)+BR167*IF(BR164&lt;INDEX('Lease Cycles'!$FA$17:$FG$17,1,BR163),0,1-INDEX('Lease Cycles'!$EM$17:$ES$17,1,BR163)),BR166*IF(BR164&lt;INDEX('Lease Cycles'!$DK$17:$DQ$17,1,BR163),0,IF(BR164=INDEX('Lease Cycles'!$DK$17:$DQ$17,1,BR163),1-INDEX('Lease Cycles'!$DR$17:$DX$17,1,BR163),1))),0)</f>
        <v>2755.129009333333</v>
      </c>
      <c r="BS169" s="28">
        <f>IF(BS165=1,IF(INDEX('Lease Cycles'!$EF$17:$EL$17,1,BS163)=1,BS166*INDEX('Lease Cycles'!$EM$17:$ES$17,1,BS163)+BS167*IF(BS164&lt;INDEX('Lease Cycles'!$FA$17:$FG$17,1,BS163),0,1-INDEX('Lease Cycles'!$EM$17:$ES$17,1,BS163)),BS166*IF(BS164&lt;INDEX('Lease Cycles'!$DK$17:$DQ$17,1,BS163),0,IF(BS164=INDEX('Lease Cycles'!$DK$17:$DQ$17,1,BS163),1-INDEX('Lease Cycles'!$DR$17:$DX$17,1,BS163),1))),0)</f>
        <v>2755.129009333333</v>
      </c>
      <c r="BT169" s="28">
        <f>IF(BT165=1,IF(INDEX('Lease Cycles'!$EF$17:$EL$17,1,BT163)=1,BT166*INDEX('Lease Cycles'!$EM$17:$ES$17,1,BT163)+BT167*IF(BT164&lt;INDEX('Lease Cycles'!$FA$17:$FG$17,1,BT163),0,1-INDEX('Lease Cycles'!$EM$17:$ES$17,1,BT163)),BT166*IF(BT164&lt;INDEX('Lease Cycles'!$DK$17:$DQ$17,1,BT163),0,IF(BT164=INDEX('Lease Cycles'!$DK$17:$DQ$17,1,BT163),1-INDEX('Lease Cycles'!$DR$17:$DX$17,1,BT163),1))),0)</f>
        <v>2755.129009333333</v>
      </c>
      <c r="BU169" s="28">
        <f>IF(BU165=1,IF(INDEX('Lease Cycles'!$EF$17:$EL$17,1,BU163)=1,BU166*INDEX('Lease Cycles'!$EM$17:$ES$17,1,BU163)+BU167*IF(BU164&lt;INDEX('Lease Cycles'!$FA$17:$FG$17,1,BU163),0,1-INDEX('Lease Cycles'!$EM$17:$ES$17,1,BU163)),BU166*IF(BU164&lt;INDEX('Lease Cycles'!$DK$17:$DQ$17,1,BU163),0,IF(BU164=INDEX('Lease Cycles'!$DK$17:$DQ$17,1,BU163),1-INDEX('Lease Cycles'!$DR$17:$DX$17,1,BU163),1))),0)</f>
        <v>2755.129009333333</v>
      </c>
      <c r="BV169" s="28">
        <f>IF(BV165=1,IF(INDEX('Lease Cycles'!$EF$17:$EL$17,1,BV163)=1,BV166*INDEX('Lease Cycles'!$EM$17:$ES$17,1,BV163)+BV167*IF(BV164&lt;INDEX('Lease Cycles'!$FA$17:$FG$17,1,BV163),0,1-INDEX('Lease Cycles'!$EM$17:$ES$17,1,BV163)),BV166*IF(BV164&lt;INDEX('Lease Cycles'!$DK$17:$DQ$17,1,BV163),0,IF(BV164=INDEX('Lease Cycles'!$DK$17:$DQ$17,1,BV163),1-INDEX('Lease Cycles'!$DR$17:$DX$17,1,BV163),1))),0)</f>
        <v>2755.129009333333</v>
      </c>
      <c r="BW169" s="28">
        <f>IF(BW165=1,IF(INDEX('Lease Cycles'!$EF$17:$EL$17,1,BW163)=1,BW166*INDEX('Lease Cycles'!$EM$17:$ES$17,1,BW163)+BW167*IF(BW164&lt;INDEX('Lease Cycles'!$FA$17:$FG$17,1,BW163),0,1-INDEX('Lease Cycles'!$EM$17:$ES$17,1,BW163)),BW166*IF(BW164&lt;INDEX('Lease Cycles'!$DK$17:$DQ$17,1,BW163),0,IF(BW164=INDEX('Lease Cycles'!$DK$17:$DQ$17,1,BW163),1-INDEX('Lease Cycles'!$DR$17:$DX$17,1,BW163),1))),0)</f>
        <v>2755.129009333333</v>
      </c>
      <c r="BX169" s="28">
        <f>IF(BX165=1,IF(INDEX('Lease Cycles'!$EF$17:$EL$17,1,BX163)=1,BX166*INDEX('Lease Cycles'!$EM$17:$ES$17,1,BX163)+BX167*IF(BX164&lt;INDEX('Lease Cycles'!$FA$17:$FG$17,1,BX163),0,1-INDEX('Lease Cycles'!$EM$17:$ES$17,1,BX163)),BX166*IF(BX164&lt;INDEX('Lease Cycles'!$DK$17:$DQ$17,1,BX163),0,IF(BX164=INDEX('Lease Cycles'!$DK$17:$DQ$17,1,BX163),1-INDEX('Lease Cycles'!$DR$17:$DX$17,1,BX163),1))),0)</f>
        <v>2837.782879613334</v>
      </c>
      <c r="BY169" s="28">
        <f>IF(BY165=1,IF(INDEX('Lease Cycles'!$EF$17:$EL$17,1,BY163)=1,BY166*INDEX('Lease Cycles'!$EM$17:$ES$17,1,BY163)+BY167*IF(BY164&lt;INDEX('Lease Cycles'!$FA$17:$FG$17,1,BY163),0,1-INDEX('Lease Cycles'!$EM$17:$ES$17,1,BY163)),BY166*IF(BY164&lt;INDEX('Lease Cycles'!$DK$17:$DQ$17,1,BY163),0,IF(BY164=INDEX('Lease Cycles'!$DK$17:$DQ$17,1,BY163),1-INDEX('Lease Cycles'!$DR$17:$DX$17,1,BY163),1))),0)</f>
        <v>2837.782879613334</v>
      </c>
      <c r="BZ169" s="28">
        <f>IF(BZ165=1,IF(INDEX('Lease Cycles'!$EF$17:$EL$17,1,BZ163)=1,BZ166*INDEX('Lease Cycles'!$EM$17:$ES$17,1,BZ163)+BZ167*IF(BZ164&lt;INDEX('Lease Cycles'!$FA$17:$FG$17,1,BZ163),0,1-INDEX('Lease Cycles'!$EM$17:$ES$17,1,BZ163)),BZ166*IF(BZ164&lt;INDEX('Lease Cycles'!$DK$17:$DQ$17,1,BZ163),0,IF(BZ164=INDEX('Lease Cycles'!$DK$17:$DQ$17,1,BZ163),1-INDEX('Lease Cycles'!$DR$17:$DX$17,1,BZ163),1))),0)</f>
        <v>2837.782879613334</v>
      </c>
      <c r="CA169" s="28">
        <f>IF(CA165=1,IF(INDEX('Lease Cycles'!$EF$17:$EL$17,1,CA163)=1,CA166*INDEX('Lease Cycles'!$EM$17:$ES$17,1,CA163)+CA167*IF(CA164&lt;INDEX('Lease Cycles'!$FA$17:$FG$17,1,CA163),0,1-INDEX('Lease Cycles'!$EM$17:$ES$17,1,CA163)),CA166*IF(CA164&lt;INDEX('Lease Cycles'!$DK$17:$DQ$17,1,CA163),0,IF(CA164=INDEX('Lease Cycles'!$DK$17:$DQ$17,1,CA163),1-INDEX('Lease Cycles'!$DR$17:$DX$17,1,CA163),1))),0)</f>
        <v>2837.782879613334</v>
      </c>
      <c r="CB169" s="28">
        <f>IF(CB165=1,IF(INDEX('Lease Cycles'!$EF$17:$EL$17,1,CB163)=1,CB166*INDEX('Lease Cycles'!$EM$17:$ES$17,1,CB163)+CB167*IF(CB164&lt;INDEX('Lease Cycles'!$FA$17:$FG$17,1,CB163),0,1-INDEX('Lease Cycles'!$EM$17:$ES$17,1,CB163)),CB166*IF(CB164&lt;INDEX('Lease Cycles'!$DK$17:$DQ$17,1,CB163),0,IF(CB164=INDEX('Lease Cycles'!$DK$17:$DQ$17,1,CB163),1-INDEX('Lease Cycles'!$DR$17:$DX$17,1,CB163),1))),0)</f>
        <v>2837.782879613334</v>
      </c>
      <c r="CC169" s="28">
        <f>IF(CC165=1,IF(INDEX('Lease Cycles'!$EF$17:$EL$17,1,CC163)=1,CC166*INDEX('Lease Cycles'!$EM$17:$ES$17,1,CC163)+CC167*IF(CC164&lt;INDEX('Lease Cycles'!$FA$17:$FG$17,1,CC163),0,1-INDEX('Lease Cycles'!$EM$17:$ES$17,1,CC163)),CC166*IF(CC164&lt;INDEX('Lease Cycles'!$DK$17:$DQ$17,1,CC163),0,IF(CC164=INDEX('Lease Cycles'!$DK$17:$DQ$17,1,CC163),1-INDEX('Lease Cycles'!$DR$17:$DX$17,1,CC163),1))),0)</f>
        <v>2837.782879613334</v>
      </c>
      <c r="CD169" s="28">
        <f>IF(CD165=1,IF(INDEX('Lease Cycles'!$EF$17:$EL$17,1,CD163)=1,CD166*INDEX('Lease Cycles'!$EM$17:$ES$17,1,CD163)+CD167*IF(CD164&lt;INDEX('Lease Cycles'!$FA$17:$FG$17,1,CD163),0,1-INDEX('Lease Cycles'!$EM$17:$ES$17,1,CD163)),CD166*IF(CD164&lt;INDEX('Lease Cycles'!$DK$17:$DQ$17,1,CD163),0,IF(CD164=INDEX('Lease Cycles'!$DK$17:$DQ$17,1,CD163),1-INDEX('Lease Cycles'!$DR$17:$DX$17,1,CD163),1))),0)</f>
        <v>2837.782879613334</v>
      </c>
      <c r="CE169" s="28">
        <f>IF(CE165=1,IF(INDEX('Lease Cycles'!$EF$17:$EL$17,1,CE163)=1,CE166*INDEX('Lease Cycles'!$EM$17:$ES$17,1,CE163)+CE167*IF(CE164&lt;INDEX('Lease Cycles'!$FA$17:$FG$17,1,CE163),0,1-INDEX('Lease Cycles'!$EM$17:$ES$17,1,CE163)),CE166*IF(CE164&lt;INDEX('Lease Cycles'!$DK$17:$DQ$17,1,CE163),0,IF(CE164=INDEX('Lease Cycles'!$DK$17:$DQ$17,1,CE163),1-INDEX('Lease Cycles'!$DR$17:$DX$17,1,CE163),1))),0)</f>
        <v>2837.782879613334</v>
      </c>
      <c r="CF169" s="28">
        <f>IF(CF165=1,IF(INDEX('Lease Cycles'!$EF$17:$EL$17,1,CF163)=1,CF166*INDEX('Lease Cycles'!$EM$17:$ES$17,1,CF163)+CF167*IF(CF164&lt;INDEX('Lease Cycles'!$FA$17:$FG$17,1,CF163),0,1-INDEX('Lease Cycles'!$EM$17:$ES$17,1,CF163)),CF166*IF(CF164&lt;INDEX('Lease Cycles'!$DK$17:$DQ$17,1,CF163),0,IF(CF164=INDEX('Lease Cycles'!$DK$17:$DQ$17,1,CF163),1-INDEX('Lease Cycles'!$DR$17:$DX$17,1,CF163),1))),0)</f>
        <v>2837.782879613334</v>
      </c>
      <c r="CG169" s="28">
        <f>IF(CG165=1,IF(INDEX('Lease Cycles'!$EF$17:$EL$17,1,CG163)=1,CG166*INDEX('Lease Cycles'!$EM$17:$ES$17,1,CG163)+CG167*IF(CG164&lt;INDEX('Lease Cycles'!$FA$17:$FG$17,1,CG163),0,1-INDEX('Lease Cycles'!$EM$17:$ES$17,1,CG163)),CG166*IF(CG164&lt;INDEX('Lease Cycles'!$DK$17:$DQ$17,1,CG163),0,IF(CG164=INDEX('Lease Cycles'!$DK$17:$DQ$17,1,CG163),1-INDEX('Lease Cycles'!$DR$17:$DX$17,1,CG163),1))),0)</f>
        <v>2837.782879613334</v>
      </c>
      <c r="CH169" s="28">
        <f>IF(CH165=1,IF(INDEX('Lease Cycles'!$EF$17:$EL$17,1,CH163)=1,CH166*INDEX('Lease Cycles'!$EM$17:$ES$17,1,CH163)+CH167*IF(CH164&lt;INDEX('Lease Cycles'!$FA$17:$FG$17,1,CH163),0,1-INDEX('Lease Cycles'!$EM$17:$ES$17,1,CH163)),CH166*IF(CH164&lt;INDEX('Lease Cycles'!$DK$17:$DQ$17,1,CH163),0,IF(CH164=INDEX('Lease Cycles'!$DK$17:$DQ$17,1,CH163),1-INDEX('Lease Cycles'!$DR$17:$DX$17,1,CH163),1))),0)</f>
        <v>2837.782879613334</v>
      </c>
      <c r="CI169" s="28">
        <f>IF(CI165=1,IF(INDEX('Lease Cycles'!$EF$17:$EL$17,1,CI163)=1,CI166*INDEX('Lease Cycles'!$EM$17:$ES$17,1,CI163)+CI167*IF(CI164&lt;INDEX('Lease Cycles'!$FA$17:$FG$17,1,CI163),0,1-INDEX('Lease Cycles'!$EM$17:$ES$17,1,CI163)),CI166*IF(CI164&lt;INDEX('Lease Cycles'!$DK$17:$DQ$17,1,CI163),0,IF(CI164=INDEX('Lease Cycles'!$DK$17:$DQ$17,1,CI163),1-INDEX('Lease Cycles'!$DR$17:$DX$17,1,CI163),1))),0)</f>
        <v>2837.782879613334</v>
      </c>
      <c r="CJ169" s="28">
        <f>IF(CJ165=1,IF(INDEX('Lease Cycles'!$EF$17:$EL$17,1,CJ163)=1,CJ166*INDEX('Lease Cycles'!$EM$17:$ES$17,1,CJ163)+CJ167*IF(CJ164&lt;INDEX('Lease Cycles'!$FA$17:$FG$17,1,CJ163),0,1-INDEX('Lease Cycles'!$EM$17:$ES$17,1,CJ163)),CJ166*IF(CJ164&lt;INDEX('Lease Cycles'!$DK$17:$DQ$17,1,CJ163),0,IF(CJ164=INDEX('Lease Cycles'!$DK$17:$DQ$17,1,CJ163),1-INDEX('Lease Cycles'!$DR$17:$DX$17,1,CJ163),1))),0)</f>
        <v>2922.9163660017334</v>
      </c>
      <c r="CK169" s="28">
        <f>IF(CK165=1,IF(INDEX('Lease Cycles'!$EF$17:$EL$17,1,CK163)=1,CK166*INDEX('Lease Cycles'!$EM$17:$ES$17,1,CK163)+CK167*IF(CK164&lt;INDEX('Lease Cycles'!$FA$17:$FG$17,1,CK163),0,1-INDEX('Lease Cycles'!$EM$17:$ES$17,1,CK163)),CK166*IF(CK164&lt;INDEX('Lease Cycles'!$DK$17:$DQ$17,1,CK163),0,IF(CK164=INDEX('Lease Cycles'!$DK$17:$DQ$17,1,CK163),1-INDEX('Lease Cycles'!$DR$17:$DX$17,1,CK163),1))),0)</f>
        <v>2922.9163660017334</v>
      </c>
      <c r="CL169" s="28">
        <f>IF(CL165=1,IF(INDEX('Lease Cycles'!$EF$17:$EL$17,1,CL163)=1,CL166*INDEX('Lease Cycles'!$EM$17:$ES$17,1,CL163)+CL167*IF(CL164&lt;INDEX('Lease Cycles'!$FA$17:$FG$17,1,CL163),0,1-INDEX('Lease Cycles'!$EM$17:$ES$17,1,CL163)),CL166*IF(CL164&lt;INDEX('Lease Cycles'!$DK$17:$DQ$17,1,CL163),0,IF(CL164=INDEX('Lease Cycles'!$DK$17:$DQ$17,1,CL163),1-INDEX('Lease Cycles'!$DR$17:$DX$17,1,CL163),1))),0)</f>
        <v>2922.9163660017334</v>
      </c>
      <c r="CM169" s="28">
        <f>IF(CM165=1,IF(INDEX('Lease Cycles'!$EF$17:$EL$17,1,CM163)=1,CM166*INDEX('Lease Cycles'!$EM$17:$ES$17,1,CM163)+CM167*IF(CM164&lt;INDEX('Lease Cycles'!$FA$17:$FG$17,1,CM163),0,1-INDEX('Lease Cycles'!$EM$17:$ES$17,1,CM163)),CM166*IF(CM164&lt;INDEX('Lease Cycles'!$DK$17:$DQ$17,1,CM163),0,IF(CM164=INDEX('Lease Cycles'!$DK$17:$DQ$17,1,CM163),1-INDEX('Lease Cycles'!$DR$17:$DX$17,1,CM163),1))),0)</f>
        <v>2922.9163660017334</v>
      </c>
      <c r="CN169" s="28">
        <f>IF(CN165=1,IF(INDEX('Lease Cycles'!$EF$17:$EL$17,1,CN163)=1,CN166*INDEX('Lease Cycles'!$EM$17:$ES$17,1,CN163)+CN167*IF(CN164&lt;INDEX('Lease Cycles'!$FA$17:$FG$17,1,CN163),0,1-INDEX('Lease Cycles'!$EM$17:$ES$17,1,CN163)),CN166*IF(CN164&lt;INDEX('Lease Cycles'!$DK$17:$DQ$17,1,CN163),0,IF(CN164=INDEX('Lease Cycles'!$DK$17:$DQ$17,1,CN163),1-INDEX('Lease Cycles'!$DR$17:$DX$17,1,CN163),1))),0)</f>
        <v>2922.9163660017334</v>
      </c>
      <c r="CO169" s="28">
        <f>IF(CO165=1,IF(INDEX('Lease Cycles'!$EF$17:$EL$17,1,CO163)=1,CO166*INDEX('Lease Cycles'!$EM$17:$ES$17,1,CO163)+CO167*IF(CO164&lt;INDEX('Lease Cycles'!$FA$17:$FG$17,1,CO163),0,1-INDEX('Lease Cycles'!$EM$17:$ES$17,1,CO163)),CO166*IF(CO164&lt;INDEX('Lease Cycles'!$DK$17:$DQ$17,1,CO163),0,IF(CO164=INDEX('Lease Cycles'!$DK$17:$DQ$17,1,CO163),1-INDEX('Lease Cycles'!$DR$17:$DX$17,1,CO163),1))),0)</f>
        <v>2922.9163660017334</v>
      </c>
      <c r="CP169" s="28">
        <f>IF(CP165=1,IF(INDEX('Lease Cycles'!$EF$17:$EL$17,1,CP163)=1,CP166*INDEX('Lease Cycles'!$EM$17:$ES$17,1,CP163)+CP167*IF(CP164&lt;INDEX('Lease Cycles'!$FA$17:$FG$17,1,CP163),0,1-INDEX('Lease Cycles'!$EM$17:$ES$17,1,CP163)),CP166*IF(CP164&lt;INDEX('Lease Cycles'!$DK$17:$DQ$17,1,CP163),0,IF(CP164=INDEX('Lease Cycles'!$DK$17:$DQ$17,1,CP163),1-INDEX('Lease Cycles'!$DR$17:$DX$17,1,CP163),1))),0)</f>
        <v>2922.9163660017334</v>
      </c>
      <c r="CQ169" s="28">
        <f>IF(CQ165=1,IF(INDEX('Lease Cycles'!$EF$17:$EL$17,1,CQ163)=1,CQ166*INDEX('Lease Cycles'!$EM$17:$ES$17,1,CQ163)+CQ167*IF(CQ164&lt;INDEX('Lease Cycles'!$FA$17:$FG$17,1,CQ163),0,1-INDEX('Lease Cycles'!$EM$17:$ES$17,1,CQ163)),CQ166*IF(CQ164&lt;INDEX('Lease Cycles'!$DK$17:$DQ$17,1,CQ163),0,IF(CQ164=INDEX('Lease Cycles'!$DK$17:$DQ$17,1,CQ163),1-INDEX('Lease Cycles'!$DR$17:$DX$17,1,CQ163),1))),0)</f>
        <v>2922.9163660017334</v>
      </c>
      <c r="CR169" s="28">
        <f>IF(CR165=1,IF(INDEX('Lease Cycles'!$EF$17:$EL$17,1,CR163)=1,CR166*INDEX('Lease Cycles'!$EM$17:$ES$17,1,CR163)+CR167*IF(CR164&lt;INDEX('Lease Cycles'!$FA$17:$FG$17,1,CR163),0,1-INDEX('Lease Cycles'!$EM$17:$ES$17,1,CR163)),CR166*IF(CR164&lt;INDEX('Lease Cycles'!$DK$17:$DQ$17,1,CR163),0,IF(CR164=INDEX('Lease Cycles'!$DK$17:$DQ$17,1,CR163),1-INDEX('Lease Cycles'!$DR$17:$DX$17,1,CR163),1))),0)</f>
        <v>2922.9163660017334</v>
      </c>
      <c r="CS169" s="28">
        <f>IF(CS165=1,IF(INDEX('Lease Cycles'!$EF$17:$EL$17,1,CS163)=1,CS166*INDEX('Lease Cycles'!$EM$17:$ES$17,1,CS163)+CS167*IF(CS164&lt;INDEX('Lease Cycles'!$FA$17:$FG$17,1,CS163),0,1-INDEX('Lease Cycles'!$EM$17:$ES$17,1,CS163)),CS166*IF(CS164&lt;INDEX('Lease Cycles'!$DK$17:$DQ$17,1,CS163),0,IF(CS164=INDEX('Lease Cycles'!$DK$17:$DQ$17,1,CS163),1-INDEX('Lease Cycles'!$DR$17:$DX$17,1,CS163),1))),0)</f>
        <v>2922.9163660017334</v>
      </c>
      <c r="CT169" s="28">
        <f>IF(CT165=1,IF(INDEX('Lease Cycles'!$EF$17:$EL$17,1,CT163)=1,CT166*INDEX('Lease Cycles'!$EM$17:$ES$17,1,CT163)+CT167*IF(CT164&lt;INDEX('Lease Cycles'!$FA$17:$FG$17,1,CT163),0,1-INDEX('Lease Cycles'!$EM$17:$ES$17,1,CT163)),CT166*IF(CT164&lt;INDEX('Lease Cycles'!$DK$17:$DQ$17,1,CT163),0,IF(CT164=INDEX('Lease Cycles'!$DK$17:$DQ$17,1,CT163),1-INDEX('Lease Cycles'!$DR$17:$DX$17,1,CT163),1))),0)</f>
        <v>2922.9163660017334</v>
      </c>
      <c r="CU169" s="28">
        <f>IF(CU165=1,IF(INDEX('Lease Cycles'!$EF$17:$EL$17,1,CU163)=1,CU166*INDEX('Lease Cycles'!$EM$17:$ES$17,1,CU163)+CU167*IF(CU164&lt;INDEX('Lease Cycles'!$FA$17:$FG$17,1,CU163),0,1-INDEX('Lease Cycles'!$EM$17:$ES$17,1,CU163)),CU166*IF(CU164&lt;INDEX('Lease Cycles'!$DK$17:$DQ$17,1,CU163),0,IF(CU164=INDEX('Lease Cycles'!$DK$17:$DQ$17,1,CU163),1-INDEX('Lease Cycles'!$DR$17:$DX$17,1,CU163),1))),0)</f>
        <v>2922.9163660017334</v>
      </c>
      <c r="CV169" s="28">
        <f>IF(CV165=1,IF(INDEX('Lease Cycles'!$EF$17:$EL$17,1,CV163)=1,CV166*INDEX('Lease Cycles'!$EM$17:$ES$17,1,CV163)+CV167*IF(CV164&lt;INDEX('Lease Cycles'!$FA$17:$FG$17,1,CV163),0,1-INDEX('Lease Cycles'!$EM$17:$ES$17,1,CV163)),CV166*IF(CV164&lt;INDEX('Lease Cycles'!$DK$17:$DQ$17,1,CV163),0,IF(CV164=INDEX('Lease Cycles'!$DK$17:$DQ$17,1,CV163),1-INDEX('Lease Cycles'!$DR$17:$DX$17,1,CV163),1))),0)</f>
        <v>3010.603856981786</v>
      </c>
      <c r="CW169" s="28">
        <f>IF(CW165=1,IF(INDEX('Lease Cycles'!$EF$17:$EL$17,1,CW163)=1,CW166*INDEX('Lease Cycles'!$EM$17:$ES$17,1,CW163)+CW167*IF(CW164&lt;INDEX('Lease Cycles'!$FA$17:$FG$17,1,CW163),0,1-INDEX('Lease Cycles'!$EM$17:$ES$17,1,CW163)),CW166*IF(CW164&lt;INDEX('Lease Cycles'!$DK$17:$DQ$17,1,CW163),0,IF(CW164=INDEX('Lease Cycles'!$DK$17:$DQ$17,1,CW163),1-INDEX('Lease Cycles'!$DR$17:$DX$17,1,CW163),1))),0)</f>
        <v>3010.603856981786</v>
      </c>
      <c r="CX169" s="28">
        <f>IF(CX165=1,IF(INDEX('Lease Cycles'!$EF$17:$EL$17,1,CX163)=1,CX166*INDEX('Lease Cycles'!$EM$17:$ES$17,1,CX163)+CX167*IF(CX164&lt;INDEX('Lease Cycles'!$FA$17:$FG$17,1,CX163),0,1-INDEX('Lease Cycles'!$EM$17:$ES$17,1,CX163)),CX166*IF(CX164&lt;INDEX('Lease Cycles'!$DK$17:$DQ$17,1,CX163),0,IF(CX164=INDEX('Lease Cycles'!$DK$17:$DQ$17,1,CX163),1-INDEX('Lease Cycles'!$DR$17:$DX$17,1,CX163),1))),0)</f>
        <v>3010.603856981786</v>
      </c>
      <c r="CY169" s="28">
        <f>IF(CY165=1,IF(INDEX('Lease Cycles'!$EF$17:$EL$17,1,CY163)=1,CY166*INDEX('Lease Cycles'!$EM$17:$ES$17,1,CY163)+CY167*IF(CY164&lt;INDEX('Lease Cycles'!$FA$17:$FG$17,1,CY163),0,1-INDEX('Lease Cycles'!$EM$17:$ES$17,1,CY163)),CY166*IF(CY164&lt;INDEX('Lease Cycles'!$DK$17:$DQ$17,1,CY163),0,IF(CY164=INDEX('Lease Cycles'!$DK$17:$DQ$17,1,CY163),1-INDEX('Lease Cycles'!$DR$17:$DX$17,1,CY163),1))),0)</f>
        <v>3010.603856981786</v>
      </c>
      <c r="CZ169" s="28">
        <f>IF(CZ165=1,IF(INDEX('Lease Cycles'!$EF$17:$EL$17,1,CZ163)=1,CZ166*INDEX('Lease Cycles'!$EM$17:$ES$17,1,CZ163)+CZ167*IF(CZ164&lt;INDEX('Lease Cycles'!$FA$17:$FG$17,1,CZ163),0,1-INDEX('Lease Cycles'!$EM$17:$ES$17,1,CZ163)),CZ166*IF(CZ164&lt;INDEX('Lease Cycles'!$DK$17:$DQ$17,1,CZ163),0,IF(CZ164=INDEX('Lease Cycles'!$DK$17:$DQ$17,1,CZ163),1-INDEX('Lease Cycles'!$DR$17:$DX$17,1,CZ163),1))),0)</f>
        <v>3010.603856981786</v>
      </c>
      <c r="DA169" s="28">
        <f>IF(DA165=1,IF(INDEX('Lease Cycles'!$EF$17:$EL$17,1,DA163)=1,DA166*INDEX('Lease Cycles'!$EM$17:$ES$17,1,DA163)+DA167*IF(DA164&lt;INDEX('Lease Cycles'!$FA$17:$FG$17,1,DA163),0,1-INDEX('Lease Cycles'!$EM$17:$ES$17,1,DA163)),DA166*IF(DA164&lt;INDEX('Lease Cycles'!$DK$17:$DQ$17,1,DA163),0,IF(DA164=INDEX('Lease Cycles'!$DK$17:$DQ$17,1,DA163),1-INDEX('Lease Cycles'!$DR$17:$DX$17,1,DA163),1))),0)</f>
        <v>3010.603856981786</v>
      </c>
      <c r="DB169" s="28">
        <f>IF(DB165=1,IF(INDEX('Lease Cycles'!$EF$17:$EL$17,1,DB163)=1,DB166*INDEX('Lease Cycles'!$EM$17:$ES$17,1,DB163)+DB167*IF(DB164&lt;INDEX('Lease Cycles'!$FA$17:$FG$17,1,DB163),0,1-INDEX('Lease Cycles'!$EM$17:$ES$17,1,DB163)),DB166*IF(DB164&lt;INDEX('Lease Cycles'!$DK$17:$DQ$17,1,DB163),0,IF(DB164=INDEX('Lease Cycles'!$DK$17:$DQ$17,1,DB163),1-INDEX('Lease Cycles'!$DR$17:$DX$17,1,DB163),1))),0)</f>
        <v>3010.603856981786</v>
      </c>
      <c r="DC169" s="28">
        <f>IF(DC165=1,IF(INDEX('Lease Cycles'!$EF$17:$EL$17,1,DC163)=1,DC166*INDEX('Lease Cycles'!$EM$17:$ES$17,1,DC163)+DC167*IF(DC164&lt;INDEX('Lease Cycles'!$FA$17:$FG$17,1,DC163),0,1-INDEX('Lease Cycles'!$EM$17:$ES$17,1,DC163)),DC166*IF(DC164&lt;INDEX('Lease Cycles'!$DK$17:$DQ$17,1,DC163),0,IF(DC164=INDEX('Lease Cycles'!$DK$17:$DQ$17,1,DC163),1-INDEX('Lease Cycles'!$DR$17:$DX$17,1,DC163),1))),0)</f>
        <v>3010.603856981786</v>
      </c>
      <c r="DD169" s="28">
        <f>IF(DD165=1,IF(INDEX('Lease Cycles'!$EF$17:$EL$17,1,DD163)=1,DD166*INDEX('Lease Cycles'!$EM$17:$ES$17,1,DD163)+DD167*IF(DD164&lt;INDEX('Lease Cycles'!$FA$17:$FG$17,1,DD163),0,1-INDEX('Lease Cycles'!$EM$17:$ES$17,1,DD163)),DD166*IF(DD164&lt;INDEX('Lease Cycles'!$DK$17:$DQ$17,1,DD163),0,IF(DD164=INDEX('Lease Cycles'!$DK$17:$DQ$17,1,DD163),1-INDEX('Lease Cycles'!$DR$17:$DX$17,1,DD163),1))),0)</f>
        <v>3010.603856981786</v>
      </c>
      <c r="DE169" s="28">
        <f>IF(DE165=1,IF(INDEX('Lease Cycles'!$EF$17:$EL$17,1,DE163)=1,DE166*INDEX('Lease Cycles'!$EM$17:$ES$17,1,DE163)+DE167*IF(DE164&lt;INDEX('Lease Cycles'!$FA$17:$FG$17,1,DE163),0,1-INDEX('Lease Cycles'!$EM$17:$ES$17,1,DE163)),DE166*IF(DE164&lt;INDEX('Lease Cycles'!$DK$17:$DQ$17,1,DE163),0,IF(DE164=INDEX('Lease Cycles'!$DK$17:$DQ$17,1,DE163),1-INDEX('Lease Cycles'!$DR$17:$DX$17,1,DE163),1))),0)</f>
        <v>3010.603856981786</v>
      </c>
      <c r="DF169" s="28">
        <f>IF(DF165=1,IF(INDEX('Lease Cycles'!$EF$17:$EL$17,1,DF163)=1,DF166*INDEX('Lease Cycles'!$EM$17:$ES$17,1,DF163)+DF167*IF(DF164&lt;INDEX('Lease Cycles'!$FA$17:$FG$17,1,DF163),0,1-INDEX('Lease Cycles'!$EM$17:$ES$17,1,DF163)),DF166*IF(DF164&lt;INDEX('Lease Cycles'!$DK$17:$DQ$17,1,DF163),0,IF(DF164=INDEX('Lease Cycles'!$DK$17:$DQ$17,1,DF163),1-INDEX('Lease Cycles'!$DR$17:$DX$17,1,DF163),1))),0)</f>
        <v>3010.603856981786</v>
      </c>
      <c r="DG169" s="28">
        <f>IF(DG165=1,IF(INDEX('Lease Cycles'!$EF$17:$EL$17,1,DG163)=1,DG166*INDEX('Lease Cycles'!$EM$17:$ES$17,1,DG163)+DG167*IF(DG164&lt;INDEX('Lease Cycles'!$FA$17:$FG$17,1,DG163),0,1-INDEX('Lease Cycles'!$EM$17:$ES$17,1,DG163)),DG166*IF(DG164&lt;INDEX('Lease Cycles'!$DK$17:$DQ$17,1,DG163),0,IF(DG164=INDEX('Lease Cycles'!$DK$17:$DQ$17,1,DG163),1-INDEX('Lease Cycles'!$DR$17:$DX$17,1,DG163),1))),0)</f>
        <v>3010.603856981786</v>
      </c>
      <c r="DH169" s="28">
        <f>IF(DH165=1,IF(INDEX('Lease Cycles'!$EF$17:$EL$17,1,DH163)=1,DH166*INDEX('Lease Cycles'!$EM$17:$ES$17,1,DH163)+DH167*IF(DH164&lt;INDEX('Lease Cycles'!$FA$17:$FG$17,1,DH163),0,1-INDEX('Lease Cycles'!$EM$17:$ES$17,1,DH163)),DH166*IF(DH164&lt;INDEX('Lease Cycles'!$DK$17:$DQ$17,1,DH163),0,IF(DH164=INDEX('Lease Cycles'!$DK$17:$DQ$17,1,DH163),1-INDEX('Lease Cycles'!$DR$17:$DX$17,1,DH163),1))),0)</f>
        <v>0</v>
      </c>
      <c r="DI169" s="28">
        <f>IF(DI165=1,IF(INDEX('Lease Cycles'!$EF$17:$EL$17,1,DI163)=1,DI166*INDEX('Lease Cycles'!$EM$17:$ES$17,1,DI163)+DI167*IF(DI164&lt;INDEX('Lease Cycles'!$FA$17:$FG$17,1,DI163),0,1-INDEX('Lease Cycles'!$EM$17:$ES$17,1,DI163)),DI166*IF(DI164&lt;INDEX('Lease Cycles'!$DK$17:$DQ$17,1,DI163),0,IF(DI164=INDEX('Lease Cycles'!$DK$17:$DQ$17,1,DI163),1-INDEX('Lease Cycles'!$DR$17:$DX$17,1,DI163),1))),0)</f>
        <v>608.2341526403625</v>
      </c>
      <c r="DJ169" s="28">
        <f>IF(DJ165=1,IF(INDEX('Lease Cycles'!$EF$17:$EL$17,1,DJ163)=1,DJ166*INDEX('Lease Cycles'!$EM$17:$ES$17,1,DJ163)+DJ167*IF(DJ164&lt;INDEX('Lease Cycles'!$FA$17:$FG$17,1,DJ163),0,1-INDEX('Lease Cycles'!$EM$17:$ES$17,1,DJ163)),DJ166*IF(DJ164&lt;INDEX('Lease Cycles'!$DK$17:$DQ$17,1,DJ163),0,IF(DJ164=INDEX('Lease Cycles'!$DK$17:$DQ$17,1,DJ163),1-INDEX('Lease Cycles'!$DR$17:$DX$17,1,DJ163),1))),0)</f>
        <v>3041.170763201854</v>
      </c>
      <c r="DK169" s="28">
        <f>IF(DK165=1,IF(INDEX('Lease Cycles'!$EF$17:$EL$17,1,DK163)=1,DK166*INDEX('Lease Cycles'!$EM$17:$ES$17,1,DK163)+DK167*IF(DK164&lt;INDEX('Lease Cycles'!$FA$17:$FG$17,1,DK163),0,1-INDEX('Lease Cycles'!$EM$17:$ES$17,1,DK163)),DK166*IF(DK164&lt;INDEX('Lease Cycles'!$DK$17:$DQ$17,1,DK163),0,IF(DK164=INDEX('Lease Cycles'!$DK$17:$DQ$17,1,DK163),1-INDEX('Lease Cycles'!$DR$17:$DX$17,1,DK163),1))),0)</f>
        <v>3041.170763201854</v>
      </c>
      <c r="DL169" s="28">
        <f>IF(DL165=1,IF(INDEX('Lease Cycles'!$EF$17:$EL$17,1,DL163)=1,DL166*INDEX('Lease Cycles'!$EM$17:$ES$17,1,DL163)+DL167*IF(DL164&lt;INDEX('Lease Cycles'!$FA$17:$FG$17,1,DL163),0,1-INDEX('Lease Cycles'!$EM$17:$ES$17,1,DL163)),DL166*IF(DL164&lt;INDEX('Lease Cycles'!$DK$17:$DQ$17,1,DL163),0,IF(DL164=INDEX('Lease Cycles'!$DK$17:$DQ$17,1,DL163),1-INDEX('Lease Cycles'!$DR$17:$DX$17,1,DL163),1))),0)</f>
        <v>3041.170763201854</v>
      </c>
      <c r="DM169" s="28">
        <f>IF(DM165=1,IF(INDEX('Lease Cycles'!$EF$17:$EL$17,1,DM163)=1,DM166*INDEX('Lease Cycles'!$EM$17:$ES$17,1,DM163)+DM167*IF(DM164&lt;INDEX('Lease Cycles'!$FA$17:$FG$17,1,DM163),0,1-INDEX('Lease Cycles'!$EM$17:$ES$17,1,DM163)),DM166*IF(DM164&lt;INDEX('Lease Cycles'!$DK$17:$DQ$17,1,DM163),0,IF(DM164=INDEX('Lease Cycles'!$DK$17:$DQ$17,1,DM163),1-INDEX('Lease Cycles'!$DR$17:$DX$17,1,DM163),1))),0)</f>
        <v>3041.170763201854</v>
      </c>
      <c r="DN169" s="28">
        <f>IF(DN165=1,IF(INDEX('Lease Cycles'!$EF$17:$EL$17,1,DN163)=1,DN166*INDEX('Lease Cycles'!$EM$17:$ES$17,1,DN163)+DN167*IF(DN164&lt;INDEX('Lease Cycles'!$FA$17:$FG$17,1,DN163),0,1-INDEX('Lease Cycles'!$EM$17:$ES$17,1,DN163)),DN166*IF(DN164&lt;INDEX('Lease Cycles'!$DK$17:$DQ$17,1,DN163),0,IF(DN164=INDEX('Lease Cycles'!$DK$17:$DQ$17,1,DN163),1-INDEX('Lease Cycles'!$DR$17:$DX$17,1,DN163),1))),0)</f>
        <v>3041.170763201854</v>
      </c>
      <c r="DO169" s="28">
        <f>IF(DO165=1,IF(INDEX('Lease Cycles'!$EF$17:$EL$17,1,DO163)=1,DO166*INDEX('Lease Cycles'!$EM$17:$ES$17,1,DO163)+DO167*IF(DO164&lt;INDEX('Lease Cycles'!$FA$17:$FG$17,1,DO163),0,1-INDEX('Lease Cycles'!$EM$17:$ES$17,1,DO163)),DO166*IF(DO164&lt;INDEX('Lease Cycles'!$DK$17:$DQ$17,1,DO163),0,IF(DO164=INDEX('Lease Cycles'!$DK$17:$DQ$17,1,DO163),1-INDEX('Lease Cycles'!$DR$17:$DX$17,1,DO163),1))),0)</f>
        <v>3041.170763201854</v>
      </c>
      <c r="DP169" s="28">
        <f>IF(DP165=1,IF(INDEX('Lease Cycles'!$EF$17:$EL$17,1,DP163)=1,DP166*INDEX('Lease Cycles'!$EM$17:$ES$17,1,DP163)+DP167*IF(DP164&lt;INDEX('Lease Cycles'!$FA$17:$FG$17,1,DP163),0,1-INDEX('Lease Cycles'!$EM$17:$ES$17,1,DP163)),DP166*IF(DP164&lt;INDEX('Lease Cycles'!$DK$17:$DQ$17,1,DP163),0,IF(DP164=INDEX('Lease Cycles'!$DK$17:$DQ$17,1,DP163),1-INDEX('Lease Cycles'!$DR$17:$DX$17,1,DP163),1))),0)</f>
        <v>3041.170763201854</v>
      </c>
      <c r="DQ169" s="28">
        <f>IF(DQ165=1,IF(INDEX('Lease Cycles'!$EF$17:$EL$17,1,DQ163)=1,DQ166*INDEX('Lease Cycles'!$EM$17:$ES$17,1,DQ163)+DQ167*IF(DQ164&lt;INDEX('Lease Cycles'!$FA$17:$FG$17,1,DQ163),0,1-INDEX('Lease Cycles'!$EM$17:$ES$17,1,DQ163)),DQ166*IF(DQ164&lt;INDEX('Lease Cycles'!$DK$17:$DQ$17,1,DQ163),0,IF(DQ164=INDEX('Lease Cycles'!$DK$17:$DQ$17,1,DQ163),1-INDEX('Lease Cycles'!$DR$17:$DX$17,1,DQ163),1))),0)</f>
        <v>3041.170763201854</v>
      </c>
      <c r="DR169" s="28">
        <f>IF(DR165=1,IF(INDEX('Lease Cycles'!$EF$17:$EL$17,1,DR163)=1,DR166*INDEX('Lease Cycles'!$EM$17:$ES$17,1,DR163)+DR167*IF(DR164&lt;INDEX('Lease Cycles'!$FA$17:$FG$17,1,DR163),0,1-INDEX('Lease Cycles'!$EM$17:$ES$17,1,DR163)),DR166*IF(DR164&lt;INDEX('Lease Cycles'!$DK$17:$DQ$17,1,DR163),0,IF(DR164=INDEX('Lease Cycles'!$DK$17:$DQ$17,1,DR163),1-INDEX('Lease Cycles'!$DR$17:$DX$17,1,DR163),1))),0)</f>
        <v>3041.170763201854</v>
      </c>
      <c r="DS169" s="28">
        <f>IF(DS165=1,IF(INDEX('Lease Cycles'!$EF$17:$EL$17,1,DS163)=1,DS166*INDEX('Lease Cycles'!$EM$17:$ES$17,1,DS163)+DS167*IF(DS164&lt;INDEX('Lease Cycles'!$FA$17:$FG$17,1,DS163),0,1-INDEX('Lease Cycles'!$EM$17:$ES$17,1,DS163)),DS166*IF(DS164&lt;INDEX('Lease Cycles'!$DK$17:$DQ$17,1,DS163),0,IF(DS164=INDEX('Lease Cycles'!$DK$17:$DQ$17,1,DS163),1-INDEX('Lease Cycles'!$DR$17:$DX$17,1,DS163),1))),0)</f>
        <v>3041.170763201854</v>
      </c>
      <c r="DT169" s="28">
        <f>IF(DT165=1,IF(INDEX('Lease Cycles'!$EF$17:$EL$17,1,DT163)=1,DT166*INDEX('Lease Cycles'!$EM$17:$ES$17,1,DT163)+DT167*IF(DT164&lt;INDEX('Lease Cycles'!$FA$17:$FG$17,1,DT163),0,1-INDEX('Lease Cycles'!$EM$17:$ES$17,1,DT163)),DT166*IF(DT164&lt;INDEX('Lease Cycles'!$DK$17:$DQ$17,1,DT163),0,IF(DT164=INDEX('Lease Cycles'!$DK$17:$DQ$17,1,DT163),1-INDEX('Lease Cycles'!$DR$17:$DX$17,1,DT163),1))),0)</f>
        <v>3041.170763201854</v>
      </c>
      <c r="DU169" s="28">
        <f>IF(DU165=1,IF(INDEX('Lease Cycles'!$EF$17:$EL$17,1,DU163)=1,DU166*INDEX('Lease Cycles'!$EM$17:$ES$17,1,DU163)+DU167*IF(DU164&lt;INDEX('Lease Cycles'!$FA$17:$FG$17,1,DU163),0,1-INDEX('Lease Cycles'!$EM$17:$ES$17,1,DU163)),DU166*IF(DU164&lt;INDEX('Lease Cycles'!$DK$17:$DQ$17,1,DU163),0,IF(DU164=INDEX('Lease Cycles'!$DK$17:$DQ$17,1,DU163),1-INDEX('Lease Cycles'!$DR$17:$DX$17,1,DU163),1))),0)</f>
        <v>3132.4058860979094</v>
      </c>
      <c r="DV169" s="28">
        <f>IF(DV165=1,IF(INDEX('Lease Cycles'!$EF$17:$EL$17,1,DV163)=1,DV166*INDEX('Lease Cycles'!$EM$17:$ES$17,1,DV163)+DV167*IF(DV164&lt;INDEX('Lease Cycles'!$FA$17:$FG$17,1,DV163),0,1-INDEX('Lease Cycles'!$EM$17:$ES$17,1,DV163)),DV166*IF(DV164&lt;INDEX('Lease Cycles'!$DK$17:$DQ$17,1,DV163),0,IF(DV164=INDEX('Lease Cycles'!$DK$17:$DQ$17,1,DV163),1-INDEX('Lease Cycles'!$DR$17:$DX$17,1,DV163),1))),0)</f>
        <v>3132.4058860979094</v>
      </c>
      <c r="DW169" s="28">
        <f>IF(DW165=1,IF(INDEX('Lease Cycles'!$EF$17:$EL$17,1,DW163)=1,DW166*INDEX('Lease Cycles'!$EM$17:$ES$17,1,DW163)+DW167*IF(DW164&lt;INDEX('Lease Cycles'!$FA$17:$FG$17,1,DW163),0,1-INDEX('Lease Cycles'!$EM$17:$ES$17,1,DW163)),DW166*IF(DW164&lt;INDEX('Lease Cycles'!$DK$17:$DQ$17,1,DW163),0,IF(DW164=INDEX('Lease Cycles'!$DK$17:$DQ$17,1,DW163),1-INDEX('Lease Cycles'!$DR$17:$DX$17,1,DW163),1))),0)</f>
        <v>3132.4058860979094</v>
      </c>
      <c r="DX169" s="28">
        <f>IF(DX165=1,IF(INDEX('Lease Cycles'!$EF$17:$EL$17,1,DX163)=1,DX166*INDEX('Lease Cycles'!$EM$17:$ES$17,1,DX163)+DX167*IF(DX164&lt;INDEX('Lease Cycles'!$FA$17:$FG$17,1,DX163),0,1-INDEX('Lease Cycles'!$EM$17:$ES$17,1,DX163)),DX166*IF(DX164&lt;INDEX('Lease Cycles'!$DK$17:$DQ$17,1,DX163),0,IF(DX164=INDEX('Lease Cycles'!$DK$17:$DQ$17,1,DX163),1-INDEX('Lease Cycles'!$DR$17:$DX$17,1,DX163),1))),0)</f>
        <v>3132.4058860979094</v>
      </c>
      <c r="DY169" s="28">
        <f>IF(DY165=1,IF(INDEX('Lease Cycles'!$EF$17:$EL$17,1,DY163)=1,DY166*INDEX('Lease Cycles'!$EM$17:$ES$17,1,DY163)+DY167*IF(DY164&lt;INDEX('Lease Cycles'!$FA$17:$FG$17,1,DY163),0,1-INDEX('Lease Cycles'!$EM$17:$ES$17,1,DY163)),DY166*IF(DY164&lt;INDEX('Lease Cycles'!$DK$17:$DQ$17,1,DY163),0,IF(DY164=INDEX('Lease Cycles'!$DK$17:$DQ$17,1,DY163),1-INDEX('Lease Cycles'!$DR$17:$DX$17,1,DY163),1))),0)</f>
        <v>3132.4058860979094</v>
      </c>
      <c r="DZ169" s="28">
        <f>IF(DZ165=1,IF(INDEX('Lease Cycles'!$EF$17:$EL$17,1,DZ163)=1,DZ166*INDEX('Lease Cycles'!$EM$17:$ES$17,1,DZ163)+DZ167*IF(DZ164&lt;INDEX('Lease Cycles'!$FA$17:$FG$17,1,DZ163),0,1-INDEX('Lease Cycles'!$EM$17:$ES$17,1,DZ163)),DZ166*IF(DZ164&lt;INDEX('Lease Cycles'!$DK$17:$DQ$17,1,DZ163),0,IF(DZ164=INDEX('Lease Cycles'!$DK$17:$DQ$17,1,DZ163),1-INDEX('Lease Cycles'!$DR$17:$DX$17,1,DZ163),1))),0)</f>
        <v>3132.4058860979094</v>
      </c>
      <c r="EA169" s="28">
        <f>IF(EA165=1,IF(INDEX('Lease Cycles'!$EF$17:$EL$17,1,EA163)=1,EA166*INDEX('Lease Cycles'!$EM$17:$ES$17,1,EA163)+EA167*IF(EA164&lt;INDEX('Lease Cycles'!$FA$17:$FG$17,1,EA163),0,1-INDEX('Lease Cycles'!$EM$17:$ES$17,1,EA163)),EA166*IF(EA164&lt;INDEX('Lease Cycles'!$DK$17:$DQ$17,1,EA163),0,IF(EA164=INDEX('Lease Cycles'!$DK$17:$DQ$17,1,EA163),1-INDEX('Lease Cycles'!$DR$17:$DX$17,1,EA163),1))),0)</f>
        <v>3132.4058860979094</v>
      </c>
      <c r="EB169" s="28">
        <f>IF(EB165=1,IF(INDEX('Lease Cycles'!$EF$17:$EL$17,1,EB163)=1,EB166*INDEX('Lease Cycles'!$EM$17:$ES$17,1,EB163)+EB167*IF(EB164&lt;INDEX('Lease Cycles'!$FA$17:$FG$17,1,EB163),0,1-INDEX('Lease Cycles'!$EM$17:$ES$17,1,EB163)),EB166*IF(EB164&lt;INDEX('Lease Cycles'!$DK$17:$DQ$17,1,EB163),0,IF(EB164=INDEX('Lease Cycles'!$DK$17:$DQ$17,1,EB163),1-INDEX('Lease Cycles'!$DR$17:$DX$17,1,EB163),1))),0)</f>
        <v>3132.4058860979094</v>
      </c>
      <c r="EC169" s="28">
        <f>IF(EC165=1,IF(INDEX('Lease Cycles'!$EF$17:$EL$17,1,EC163)=1,EC166*INDEX('Lease Cycles'!$EM$17:$ES$17,1,EC163)+EC167*IF(EC164&lt;INDEX('Lease Cycles'!$FA$17:$FG$17,1,EC163),0,1-INDEX('Lease Cycles'!$EM$17:$ES$17,1,EC163)),EC166*IF(EC164&lt;INDEX('Lease Cycles'!$DK$17:$DQ$17,1,EC163),0,IF(EC164=INDEX('Lease Cycles'!$DK$17:$DQ$17,1,EC163),1-INDEX('Lease Cycles'!$DR$17:$DX$17,1,EC163),1))),0)</f>
        <v>3132.4058860979094</v>
      </c>
      <c r="ED169" s="28">
        <f>IF(ED165=1,IF(INDEX('Lease Cycles'!$EF$17:$EL$17,1,ED163)=1,ED166*INDEX('Lease Cycles'!$EM$17:$ES$17,1,ED163)+ED167*IF(ED164&lt;INDEX('Lease Cycles'!$FA$17:$FG$17,1,ED163),0,1-INDEX('Lease Cycles'!$EM$17:$ES$17,1,ED163)),ED166*IF(ED164&lt;INDEX('Lease Cycles'!$DK$17:$DQ$17,1,ED163),0,IF(ED164=INDEX('Lease Cycles'!$DK$17:$DQ$17,1,ED163),1-INDEX('Lease Cycles'!$DR$17:$DX$17,1,ED163),1))),0)</f>
        <v>3132.4058860979094</v>
      </c>
      <c r="EE169" s="28">
        <f>IF(EE165=1,IF(INDEX('Lease Cycles'!$EF$17:$EL$17,1,EE163)=1,EE166*INDEX('Lease Cycles'!$EM$17:$ES$17,1,EE163)+EE167*IF(EE164&lt;INDEX('Lease Cycles'!$FA$17:$FG$17,1,EE163),0,1-INDEX('Lease Cycles'!$EM$17:$ES$17,1,EE163)),EE166*IF(EE164&lt;INDEX('Lease Cycles'!$DK$17:$DQ$17,1,EE163),0,IF(EE164=INDEX('Lease Cycles'!$DK$17:$DQ$17,1,EE163),1-INDEX('Lease Cycles'!$DR$17:$DX$17,1,EE163),1))),0)</f>
        <v>3132.4058860979094</v>
      </c>
      <c r="EF169" s="28">
        <f>IF(EF165=1,IF(INDEX('Lease Cycles'!$EF$17:$EL$17,1,EF163)=1,EF166*INDEX('Lease Cycles'!$EM$17:$ES$17,1,EF163)+EF167*IF(EF164&lt;INDEX('Lease Cycles'!$FA$17:$FG$17,1,EF163),0,1-INDEX('Lease Cycles'!$EM$17:$ES$17,1,EF163)),EF166*IF(EF164&lt;INDEX('Lease Cycles'!$DK$17:$DQ$17,1,EF163),0,IF(EF164=INDEX('Lease Cycles'!$DK$17:$DQ$17,1,EF163),1-INDEX('Lease Cycles'!$DR$17:$DX$17,1,EF163),1))),0)</f>
        <v>3132.4058860979094</v>
      </c>
      <c r="EG169" s="28">
        <f>IF(EG165=1,IF(INDEX('Lease Cycles'!$EF$17:$EL$17,1,EG163)=1,EG166*INDEX('Lease Cycles'!$EM$17:$ES$17,1,EG163)+EG167*IF(EG164&lt;INDEX('Lease Cycles'!$FA$17:$FG$17,1,EG163),0,1-INDEX('Lease Cycles'!$EM$17:$ES$17,1,EG163)),EG166*IF(EG164&lt;INDEX('Lease Cycles'!$DK$17:$DQ$17,1,EG163),0,IF(EG164=INDEX('Lease Cycles'!$DK$17:$DQ$17,1,EG163),1-INDEX('Lease Cycles'!$DR$17:$DX$17,1,EG163),1))),0)</f>
        <v>3226.378062680847</v>
      </c>
      <c r="EH169" s="28">
        <f>IF(EH165=1,IF(INDEX('Lease Cycles'!$EF$17:$EL$17,1,EH163)=1,EH166*INDEX('Lease Cycles'!$EM$17:$ES$17,1,EH163)+EH167*IF(EH164&lt;INDEX('Lease Cycles'!$FA$17:$FG$17,1,EH163),0,1-INDEX('Lease Cycles'!$EM$17:$ES$17,1,EH163)),EH166*IF(EH164&lt;INDEX('Lease Cycles'!$DK$17:$DQ$17,1,EH163),0,IF(EH164=INDEX('Lease Cycles'!$DK$17:$DQ$17,1,EH163),1-INDEX('Lease Cycles'!$DR$17:$DX$17,1,EH163),1))),0)</f>
        <v>3226.378062680847</v>
      </c>
      <c r="EI169" s="28">
        <f>IF(EI165=1,IF(INDEX('Lease Cycles'!$EF$17:$EL$17,1,EI163)=1,EI166*INDEX('Lease Cycles'!$EM$17:$ES$17,1,EI163)+EI167*IF(EI164&lt;INDEX('Lease Cycles'!$FA$17:$FG$17,1,EI163),0,1-INDEX('Lease Cycles'!$EM$17:$ES$17,1,EI163)),EI166*IF(EI164&lt;INDEX('Lease Cycles'!$DK$17:$DQ$17,1,EI163),0,IF(EI164=INDEX('Lease Cycles'!$DK$17:$DQ$17,1,EI163),1-INDEX('Lease Cycles'!$DR$17:$DX$17,1,EI163),1))),0)</f>
        <v>3226.378062680847</v>
      </c>
      <c r="EJ169" s="28">
        <f>IF(EJ165=1,IF(INDEX('Lease Cycles'!$EF$17:$EL$17,1,EJ163)=1,EJ166*INDEX('Lease Cycles'!$EM$17:$ES$17,1,EJ163)+EJ167*IF(EJ164&lt;INDEX('Lease Cycles'!$FA$17:$FG$17,1,EJ163),0,1-INDEX('Lease Cycles'!$EM$17:$ES$17,1,EJ163)),EJ166*IF(EJ164&lt;INDEX('Lease Cycles'!$DK$17:$DQ$17,1,EJ163),0,IF(EJ164=INDEX('Lease Cycles'!$DK$17:$DQ$17,1,EJ163),1-INDEX('Lease Cycles'!$DR$17:$DX$17,1,EJ163),1))),0)</f>
        <v>3226.378062680847</v>
      </c>
      <c r="EK169" s="28">
        <f>IF(EK165=1,IF(INDEX('Lease Cycles'!$EF$17:$EL$17,1,EK163)=1,EK166*INDEX('Lease Cycles'!$EM$17:$ES$17,1,EK163)+EK167*IF(EK164&lt;INDEX('Lease Cycles'!$FA$17:$FG$17,1,EK163),0,1-INDEX('Lease Cycles'!$EM$17:$ES$17,1,EK163)),EK166*IF(EK164&lt;INDEX('Lease Cycles'!$DK$17:$DQ$17,1,EK163),0,IF(EK164=INDEX('Lease Cycles'!$DK$17:$DQ$17,1,EK163),1-INDEX('Lease Cycles'!$DR$17:$DX$17,1,EK163),1))),0)</f>
        <v>3226.378062680847</v>
      </c>
      <c r="EL169" s="28">
        <f>IF(EL165=1,IF(INDEX('Lease Cycles'!$EF$17:$EL$17,1,EL163)=1,EL166*INDEX('Lease Cycles'!$EM$17:$ES$17,1,EL163)+EL167*IF(EL164&lt;INDEX('Lease Cycles'!$FA$17:$FG$17,1,EL163),0,1-INDEX('Lease Cycles'!$EM$17:$ES$17,1,EL163)),EL166*IF(EL164&lt;INDEX('Lease Cycles'!$DK$17:$DQ$17,1,EL163),0,IF(EL164=INDEX('Lease Cycles'!$DK$17:$DQ$17,1,EL163),1-INDEX('Lease Cycles'!$DR$17:$DX$17,1,EL163),1))),0)</f>
        <v>3226.378062680847</v>
      </c>
      <c r="EM169" s="28">
        <f>IF(EM165=1,IF(INDEX('Lease Cycles'!$EF$17:$EL$17,1,EM163)=1,EM166*INDEX('Lease Cycles'!$EM$17:$ES$17,1,EM163)+EM167*IF(EM164&lt;INDEX('Lease Cycles'!$FA$17:$FG$17,1,EM163),0,1-INDEX('Lease Cycles'!$EM$17:$ES$17,1,EM163)),EM166*IF(EM164&lt;INDEX('Lease Cycles'!$DK$17:$DQ$17,1,EM163),0,IF(EM164=INDEX('Lease Cycles'!$DK$17:$DQ$17,1,EM163),1-INDEX('Lease Cycles'!$DR$17:$DX$17,1,EM163),1))),0)</f>
        <v>3226.378062680847</v>
      </c>
      <c r="EN169" s="28">
        <f>IF(EN165=1,IF(INDEX('Lease Cycles'!$EF$17:$EL$17,1,EN163)=1,EN166*INDEX('Lease Cycles'!$EM$17:$ES$17,1,EN163)+EN167*IF(EN164&lt;INDEX('Lease Cycles'!$FA$17:$FG$17,1,EN163),0,1-INDEX('Lease Cycles'!$EM$17:$ES$17,1,EN163)),EN166*IF(EN164&lt;INDEX('Lease Cycles'!$DK$17:$DQ$17,1,EN163),0,IF(EN164=INDEX('Lease Cycles'!$DK$17:$DQ$17,1,EN163),1-INDEX('Lease Cycles'!$DR$17:$DX$17,1,EN163),1))),0)</f>
        <v>3226.378062680847</v>
      </c>
      <c r="EO169" s="28">
        <f>IF(EO165=1,IF(INDEX('Lease Cycles'!$EF$17:$EL$17,1,EO163)=1,EO166*INDEX('Lease Cycles'!$EM$17:$ES$17,1,EO163)+EO167*IF(EO164&lt;INDEX('Lease Cycles'!$FA$17:$FG$17,1,EO163),0,1-INDEX('Lease Cycles'!$EM$17:$ES$17,1,EO163)),EO166*IF(EO164&lt;INDEX('Lease Cycles'!$DK$17:$DQ$17,1,EO163),0,IF(EO164=INDEX('Lease Cycles'!$DK$17:$DQ$17,1,EO163),1-INDEX('Lease Cycles'!$DR$17:$DX$17,1,EO163),1))),0)</f>
        <v>3226.378062680847</v>
      </c>
      <c r="EP169" s="28">
        <f>IF(EP165=1,IF(INDEX('Lease Cycles'!$EF$17:$EL$17,1,EP163)=1,EP166*INDEX('Lease Cycles'!$EM$17:$ES$17,1,EP163)+EP167*IF(EP164&lt;INDEX('Lease Cycles'!$FA$17:$FG$17,1,EP163),0,1-INDEX('Lease Cycles'!$EM$17:$ES$17,1,EP163)),EP166*IF(EP164&lt;INDEX('Lease Cycles'!$DK$17:$DQ$17,1,EP163),0,IF(EP164=INDEX('Lease Cycles'!$DK$17:$DQ$17,1,EP163),1-INDEX('Lease Cycles'!$DR$17:$DX$17,1,EP163),1))),0)</f>
        <v>3226.378062680847</v>
      </c>
      <c r="EQ169" s="28">
        <f>IF(EQ165=1,IF(INDEX('Lease Cycles'!$EF$17:$EL$17,1,EQ163)=1,EQ166*INDEX('Lease Cycles'!$EM$17:$ES$17,1,EQ163)+EQ167*IF(EQ164&lt;INDEX('Lease Cycles'!$FA$17:$FG$17,1,EQ163),0,1-INDEX('Lease Cycles'!$EM$17:$ES$17,1,EQ163)),EQ166*IF(EQ164&lt;INDEX('Lease Cycles'!$DK$17:$DQ$17,1,EQ163),0,IF(EQ164=INDEX('Lease Cycles'!$DK$17:$DQ$17,1,EQ163),1-INDEX('Lease Cycles'!$DR$17:$DX$17,1,EQ163),1))),0)</f>
        <v>3226.378062680847</v>
      </c>
      <c r="ER169" s="28">
        <f>IF(ER165=1,IF(INDEX('Lease Cycles'!$EF$17:$EL$17,1,ER163)=1,ER166*INDEX('Lease Cycles'!$EM$17:$ES$17,1,ER163)+ER167*IF(ER164&lt;INDEX('Lease Cycles'!$FA$17:$FG$17,1,ER163),0,1-INDEX('Lease Cycles'!$EM$17:$ES$17,1,ER163)),ER166*IF(ER164&lt;INDEX('Lease Cycles'!$DK$17:$DQ$17,1,ER163),0,IF(ER164=INDEX('Lease Cycles'!$DK$17:$DQ$17,1,ER163),1-INDEX('Lease Cycles'!$DR$17:$DX$17,1,ER163),1))),0)</f>
        <v>3226.378062680847</v>
      </c>
      <c r="ES169" s="28">
        <f>IF(ES165=1,IF(INDEX('Lease Cycles'!$EF$17:$EL$17,1,ES163)=1,ES166*INDEX('Lease Cycles'!$EM$17:$ES$17,1,ES163)+ES167*IF(ES164&lt;INDEX('Lease Cycles'!$FA$17:$FG$17,1,ES163),0,1-INDEX('Lease Cycles'!$EM$17:$ES$17,1,ES163)),ES166*IF(ES164&lt;INDEX('Lease Cycles'!$DK$17:$DQ$17,1,ES163),0,IF(ES164=INDEX('Lease Cycles'!$DK$17:$DQ$17,1,ES163),1-INDEX('Lease Cycles'!$DR$17:$DX$17,1,ES163),1))),0)</f>
        <v>3323.1694045612726</v>
      </c>
      <c r="ET169" s="28">
        <f>IF(ET165=1,IF(INDEX('Lease Cycles'!$EF$17:$EL$17,1,ET163)=1,ET166*INDEX('Lease Cycles'!$EM$17:$ES$17,1,ET163)+ET167*IF(ET164&lt;INDEX('Lease Cycles'!$FA$17:$FG$17,1,ET163),0,1-INDEX('Lease Cycles'!$EM$17:$ES$17,1,ET163)),ET166*IF(ET164&lt;INDEX('Lease Cycles'!$DK$17:$DQ$17,1,ET163),0,IF(ET164=INDEX('Lease Cycles'!$DK$17:$DQ$17,1,ET163),1-INDEX('Lease Cycles'!$DR$17:$DX$17,1,ET163),1))),0)</f>
        <v>3323.1694045612726</v>
      </c>
    </row>
    <row r="170">
      <c r="A170" s="103">
        <v>10</v>
      </c>
      <c r="B170" s="23" t="str">
        <f>IF('Lease Cycles'!$B$17="","(empty slot)",'Lease Cycles'!$B$17)</f>
        <v>Available B-9</v>
      </c>
      <c r="C170" s="23" t="s">
        <v>493</v>
      </c>
      <c r="D170" s="104" t="s">
        <v>494</v>
      </c>
      <c r="E170" s="25">
        <f>'Lease Cycles'!$AL$17</f>
        <v>0</v>
      </c>
      <c r="G170" s="28">
        <f>SUM(S170:AD170)</f>
        <v>7564</v>
      </c>
      <c r="H170" s="28">
        <f>SUM(AE170:AP170)</f>
        <v>0</v>
      </c>
      <c r="I170" s="28">
        <f>SUM(AQ170:BB170)</f>
        <v>0</v>
      </c>
      <c r="J170" s="28">
        <f>SUM(BC170:BN170)</f>
        <v>0</v>
      </c>
      <c r="K170" s="28">
        <f>SUM(BO170:BZ170)</f>
        <v>0</v>
      </c>
      <c r="L170" s="28">
        <f>SUM(CA170:CL170)</f>
        <v>0</v>
      </c>
      <c r="M170" s="28">
        <f>SUM(CM170:CX170)</f>
        <v>0</v>
      </c>
      <c r="N170" s="28">
        <f>SUM(CY170:DJ170)</f>
        <v>1824.7024579211118</v>
      </c>
      <c r="O170" s="28">
        <f>SUM(DK170:DV170)</f>
        <v>0</v>
      </c>
      <c r="P170" s="28">
        <f>SUM(DW170:EH170)</f>
        <v>0</v>
      </c>
      <c r="Q170" s="28">
        <f>SUM(EI170:ET170)</f>
        <v>0</v>
      </c>
      <c r="S170" s="28">
        <f>IF(S165=1,IF(INDEX('Lease Cycles'!$EF$17:$EL$17,1,S163)=1,0,S166*(1-IF(S164&lt;INDEX('Lease Cycles'!$DK$17:$DQ$17,1,S163),0,IF(S164=INDEX('Lease Cycles'!$DK$17:$DQ$17,1,S163),1-INDEX('Lease Cycles'!$DR$17:$DX$17,1,S163),1))-IF(S164=0,INDEX('Lease Cycles'!$DD$17:$DJ$17,1,S163),0))),0)</f>
        <v>0</v>
      </c>
      <c r="T170" s="28">
        <f>IF(T165=1,IF(INDEX('Lease Cycles'!$EF$17:$EL$17,1,T163)=1,0,T166*(1-IF(T164&lt;INDEX('Lease Cycles'!$DK$17:$DQ$17,1,T163),0,IF(T164=INDEX('Lease Cycles'!$DK$17:$DQ$17,1,T163),1-INDEX('Lease Cycles'!$DR$17:$DX$17,1,T163),1))-IF(T164=0,INDEX('Lease Cycles'!$DD$17:$DJ$17,1,T163),0))),0)</f>
        <v>0</v>
      </c>
      <c r="U170" s="28">
        <f>IF(U165=1,IF(INDEX('Lease Cycles'!$EF$17:$EL$17,1,U163)=1,0,U166*(1-IF(U164&lt;INDEX('Lease Cycles'!$DK$17:$DQ$17,1,U163),0,IF(U164=INDEX('Lease Cycles'!$DK$17:$DQ$17,1,U163),1-INDEX('Lease Cycles'!$DR$17:$DX$17,1,U163),1))-IF(U164=0,INDEX('Lease Cycles'!$DD$17:$DJ$17,1,U163),0))),0)</f>
        <v>0</v>
      </c>
      <c r="V170" s="28">
        <f>IF(V165=1,IF(INDEX('Lease Cycles'!$EF$17:$EL$17,1,V163)=1,0,V166*(1-IF(V164&lt;INDEX('Lease Cycles'!$DK$17:$DQ$17,1,V163),0,IF(V164=INDEX('Lease Cycles'!$DK$17:$DQ$17,1,V163),1-INDEX('Lease Cycles'!$DR$17:$DX$17,1,V163),1))-IF(V164=0,INDEX('Lease Cycles'!$DD$17:$DJ$17,1,V163),0))),0)</f>
        <v>0</v>
      </c>
      <c r="W170" s="28">
        <f>IF(W165=1,IF(INDEX('Lease Cycles'!$EF$17:$EL$17,1,W163)=1,0,W166*(1-IF(W164&lt;INDEX('Lease Cycles'!$DK$17:$DQ$17,1,W163),0,IF(W164=INDEX('Lease Cycles'!$DK$17:$DQ$17,1,W163),1-INDEX('Lease Cycles'!$DR$17:$DX$17,1,W163),1))-IF(W164=0,INDEX('Lease Cycles'!$DD$17:$DJ$17,1,W163),0))),0)</f>
        <v>0</v>
      </c>
      <c r="X170" s="28">
        <f>IF(X165=1,IF(INDEX('Lease Cycles'!$EF$17:$EL$17,1,X163)=1,0,X166*(1-IF(X164&lt;INDEX('Lease Cycles'!$DK$17:$DQ$17,1,X163),0,IF(X164=INDEX('Lease Cycles'!$DK$17:$DQ$17,1,X163),1-INDEX('Lease Cycles'!$DR$17:$DX$17,1,X163),1))-IF(X164=0,INDEX('Lease Cycles'!$DD$17:$DJ$17,1,X163),0))),0)</f>
        <v>0</v>
      </c>
      <c r="Y170" s="28">
        <f>IF(Y165=1,IF(INDEX('Lease Cycles'!$EF$17:$EL$17,1,Y163)=1,0,Y166*(1-IF(Y164&lt;INDEX('Lease Cycles'!$DK$17:$DQ$17,1,Y163),0,IF(Y164=INDEX('Lease Cycles'!$DK$17:$DQ$17,1,Y163),1-INDEX('Lease Cycles'!$DR$17:$DX$17,1,Y163),1))-IF(Y164=0,INDEX('Lease Cycles'!$DD$17:$DJ$17,1,Y163),0))),0)</f>
        <v>0</v>
      </c>
      <c r="Z170" s="28">
        <f>IF(Z165=1,IF(INDEX('Lease Cycles'!$EF$17:$EL$17,1,Z163)=1,0,Z166*(1-IF(Z164&lt;INDEX('Lease Cycles'!$DK$17:$DQ$17,1,Z163),0,IF(Z164=INDEX('Lease Cycles'!$DK$17:$DQ$17,1,Z163),1-INDEX('Lease Cycles'!$DR$17:$DX$17,1,Z163),1))-IF(Z164=0,INDEX('Lease Cycles'!$DD$17:$DJ$17,1,Z163),0))),0)</f>
        <v>0</v>
      </c>
      <c r="AA170" s="28">
        <f>IF(AA165=1,IF(INDEX('Lease Cycles'!$EF$17:$EL$17,1,AA163)=1,0,AA166*(1-IF(AA164&lt;INDEX('Lease Cycles'!$DK$17:$DQ$17,1,AA163),0,IF(AA164=INDEX('Lease Cycles'!$DK$17:$DQ$17,1,AA163),1-INDEX('Lease Cycles'!$DR$17:$DX$17,1,AA163),1))-IF(AA164=0,INDEX('Lease Cycles'!$DD$17:$DJ$17,1,AA163),0))),0)</f>
        <v>0</v>
      </c>
      <c r="AB170" s="28">
        <f>IF(AB165=1,IF(INDEX('Lease Cycles'!$EF$17:$EL$17,1,AB163)=1,0,AB166*(1-IF(AB164&lt;INDEX('Lease Cycles'!$DK$17:$DQ$17,1,AB163),0,IF(AB164=INDEX('Lease Cycles'!$DK$17:$DQ$17,1,AB163),1-INDEX('Lease Cycles'!$DR$17:$DX$17,1,AB163),1))-IF(AB164=0,INDEX('Lease Cycles'!$DD$17:$DJ$17,1,AB163),0))),0)</f>
        <v>2521.3333333333335</v>
      </c>
      <c r="AC170" s="28">
        <f>IF(AC165=1,IF(INDEX('Lease Cycles'!$EF$17:$EL$17,1,AC163)=1,0,AC166*(1-IF(AC164&lt;INDEX('Lease Cycles'!$DK$17:$DQ$17,1,AC163),0,IF(AC164=INDEX('Lease Cycles'!$DK$17:$DQ$17,1,AC163),1-INDEX('Lease Cycles'!$DR$17:$DX$17,1,AC163),1))-IF(AC164=0,INDEX('Lease Cycles'!$DD$17:$DJ$17,1,AC163),0))),0)</f>
        <v>2521.3333333333335</v>
      </c>
      <c r="AD170" s="28">
        <f>IF(AD165=1,IF(INDEX('Lease Cycles'!$EF$17:$EL$17,1,AD163)=1,0,AD166*(1-IF(AD164&lt;INDEX('Lease Cycles'!$DK$17:$DQ$17,1,AD163),0,IF(AD164=INDEX('Lease Cycles'!$DK$17:$DQ$17,1,AD163),1-INDEX('Lease Cycles'!$DR$17:$DX$17,1,AD163),1))-IF(AD164=0,INDEX('Lease Cycles'!$DD$17:$DJ$17,1,AD163),0))),0)</f>
        <v>2521.3333333333335</v>
      </c>
      <c r="AE170" s="28">
        <f>IF(AE165=1,IF(INDEX('Lease Cycles'!$EF$17:$EL$17,1,AE163)=1,0,AE166*(1-IF(AE164&lt;INDEX('Lease Cycles'!$DK$17:$DQ$17,1,AE163),0,IF(AE164=INDEX('Lease Cycles'!$DK$17:$DQ$17,1,AE163),1-INDEX('Lease Cycles'!$DR$17:$DX$17,1,AE163),1))-IF(AE164=0,INDEX('Lease Cycles'!$DD$17:$DJ$17,1,AE163),0))),0)</f>
        <v>0</v>
      </c>
      <c r="AF170" s="28">
        <f>IF(AF165=1,IF(INDEX('Lease Cycles'!$EF$17:$EL$17,1,AF163)=1,0,AF166*(1-IF(AF164&lt;INDEX('Lease Cycles'!$DK$17:$DQ$17,1,AF163),0,IF(AF164=INDEX('Lease Cycles'!$DK$17:$DQ$17,1,AF163),1-INDEX('Lease Cycles'!$DR$17:$DX$17,1,AF163),1))-IF(AF164=0,INDEX('Lease Cycles'!$DD$17:$DJ$17,1,AF163),0))),0)</f>
        <v>0</v>
      </c>
      <c r="AG170" s="28">
        <f>IF(AG165=1,IF(INDEX('Lease Cycles'!$EF$17:$EL$17,1,AG163)=1,0,AG166*(1-IF(AG164&lt;INDEX('Lease Cycles'!$DK$17:$DQ$17,1,AG163),0,IF(AG164=INDEX('Lease Cycles'!$DK$17:$DQ$17,1,AG163),1-INDEX('Lease Cycles'!$DR$17:$DX$17,1,AG163),1))-IF(AG164=0,INDEX('Lease Cycles'!$DD$17:$DJ$17,1,AG163),0))),0)</f>
        <v>0</v>
      </c>
      <c r="AH170" s="28">
        <f>IF(AH165=1,IF(INDEX('Lease Cycles'!$EF$17:$EL$17,1,AH163)=1,0,AH166*(1-IF(AH164&lt;INDEX('Lease Cycles'!$DK$17:$DQ$17,1,AH163),0,IF(AH164=INDEX('Lease Cycles'!$DK$17:$DQ$17,1,AH163),1-INDEX('Lease Cycles'!$DR$17:$DX$17,1,AH163),1))-IF(AH164=0,INDEX('Lease Cycles'!$DD$17:$DJ$17,1,AH163),0))),0)</f>
        <v>0</v>
      </c>
      <c r="AI170" s="28">
        <f>IF(AI165=1,IF(INDEX('Lease Cycles'!$EF$17:$EL$17,1,AI163)=1,0,AI166*(1-IF(AI164&lt;INDEX('Lease Cycles'!$DK$17:$DQ$17,1,AI163),0,IF(AI164=INDEX('Lease Cycles'!$DK$17:$DQ$17,1,AI163),1-INDEX('Lease Cycles'!$DR$17:$DX$17,1,AI163),1))-IF(AI164=0,INDEX('Lease Cycles'!$DD$17:$DJ$17,1,AI163),0))),0)</f>
        <v>0</v>
      </c>
      <c r="AJ170" s="28">
        <f>IF(AJ165=1,IF(INDEX('Lease Cycles'!$EF$17:$EL$17,1,AJ163)=1,0,AJ166*(1-IF(AJ164&lt;INDEX('Lease Cycles'!$DK$17:$DQ$17,1,AJ163),0,IF(AJ164=INDEX('Lease Cycles'!$DK$17:$DQ$17,1,AJ163),1-INDEX('Lease Cycles'!$DR$17:$DX$17,1,AJ163),1))-IF(AJ164=0,INDEX('Lease Cycles'!$DD$17:$DJ$17,1,AJ163),0))),0)</f>
        <v>0</v>
      </c>
      <c r="AK170" s="28">
        <f>IF(AK165=1,IF(INDEX('Lease Cycles'!$EF$17:$EL$17,1,AK163)=1,0,AK166*(1-IF(AK164&lt;INDEX('Lease Cycles'!$DK$17:$DQ$17,1,AK163),0,IF(AK164=INDEX('Lease Cycles'!$DK$17:$DQ$17,1,AK163),1-INDEX('Lease Cycles'!$DR$17:$DX$17,1,AK163),1))-IF(AK164=0,INDEX('Lease Cycles'!$DD$17:$DJ$17,1,AK163),0))),0)</f>
        <v>0</v>
      </c>
      <c r="AL170" s="28">
        <f>IF(AL165=1,IF(INDEX('Lease Cycles'!$EF$17:$EL$17,1,AL163)=1,0,AL166*(1-IF(AL164&lt;INDEX('Lease Cycles'!$DK$17:$DQ$17,1,AL163),0,IF(AL164=INDEX('Lease Cycles'!$DK$17:$DQ$17,1,AL163),1-INDEX('Lease Cycles'!$DR$17:$DX$17,1,AL163),1))-IF(AL164=0,INDEX('Lease Cycles'!$DD$17:$DJ$17,1,AL163),0))),0)</f>
        <v>0</v>
      </c>
      <c r="AM170" s="28">
        <f>IF(AM165=1,IF(INDEX('Lease Cycles'!$EF$17:$EL$17,1,AM163)=1,0,AM166*(1-IF(AM164&lt;INDEX('Lease Cycles'!$DK$17:$DQ$17,1,AM163),0,IF(AM164=INDEX('Lease Cycles'!$DK$17:$DQ$17,1,AM163),1-INDEX('Lease Cycles'!$DR$17:$DX$17,1,AM163),1))-IF(AM164=0,INDEX('Lease Cycles'!$DD$17:$DJ$17,1,AM163),0))),0)</f>
        <v>0</v>
      </c>
      <c r="AN170" s="28">
        <f>IF(AN165=1,IF(INDEX('Lease Cycles'!$EF$17:$EL$17,1,AN163)=1,0,AN166*(1-IF(AN164&lt;INDEX('Lease Cycles'!$DK$17:$DQ$17,1,AN163),0,IF(AN164=INDEX('Lease Cycles'!$DK$17:$DQ$17,1,AN163),1-INDEX('Lease Cycles'!$DR$17:$DX$17,1,AN163),1))-IF(AN164=0,INDEX('Lease Cycles'!$DD$17:$DJ$17,1,AN163),0))),0)</f>
        <v>0</v>
      </c>
      <c r="AO170" s="28">
        <f>IF(AO165=1,IF(INDEX('Lease Cycles'!$EF$17:$EL$17,1,AO163)=1,0,AO166*(1-IF(AO164&lt;INDEX('Lease Cycles'!$DK$17:$DQ$17,1,AO163),0,IF(AO164=INDEX('Lease Cycles'!$DK$17:$DQ$17,1,AO163),1-INDEX('Lease Cycles'!$DR$17:$DX$17,1,AO163),1))-IF(AO164=0,INDEX('Lease Cycles'!$DD$17:$DJ$17,1,AO163),0))),0)</f>
        <v>0</v>
      </c>
      <c r="AP170" s="28">
        <f>IF(AP165=1,IF(INDEX('Lease Cycles'!$EF$17:$EL$17,1,AP163)=1,0,AP166*(1-IF(AP164&lt;INDEX('Lease Cycles'!$DK$17:$DQ$17,1,AP163),0,IF(AP164=INDEX('Lease Cycles'!$DK$17:$DQ$17,1,AP163),1-INDEX('Lease Cycles'!$DR$17:$DX$17,1,AP163),1))-IF(AP164=0,INDEX('Lease Cycles'!$DD$17:$DJ$17,1,AP163),0))),0)</f>
        <v>0</v>
      </c>
      <c r="AQ170" s="28">
        <f>IF(AQ165=1,IF(INDEX('Lease Cycles'!$EF$17:$EL$17,1,AQ163)=1,0,AQ166*(1-IF(AQ164&lt;INDEX('Lease Cycles'!$DK$17:$DQ$17,1,AQ163),0,IF(AQ164=INDEX('Lease Cycles'!$DK$17:$DQ$17,1,AQ163),1-INDEX('Lease Cycles'!$DR$17:$DX$17,1,AQ163),1))-IF(AQ164=0,INDEX('Lease Cycles'!$DD$17:$DJ$17,1,AQ163),0))),0)</f>
        <v>0</v>
      </c>
      <c r="AR170" s="28">
        <f>IF(AR165=1,IF(INDEX('Lease Cycles'!$EF$17:$EL$17,1,AR163)=1,0,AR166*(1-IF(AR164&lt;INDEX('Lease Cycles'!$DK$17:$DQ$17,1,AR163),0,IF(AR164=INDEX('Lease Cycles'!$DK$17:$DQ$17,1,AR163),1-INDEX('Lease Cycles'!$DR$17:$DX$17,1,AR163),1))-IF(AR164=0,INDEX('Lease Cycles'!$DD$17:$DJ$17,1,AR163),0))),0)</f>
        <v>0</v>
      </c>
      <c r="AS170" s="28">
        <f>IF(AS165=1,IF(INDEX('Lease Cycles'!$EF$17:$EL$17,1,AS163)=1,0,AS166*(1-IF(AS164&lt;INDEX('Lease Cycles'!$DK$17:$DQ$17,1,AS163),0,IF(AS164=INDEX('Lease Cycles'!$DK$17:$DQ$17,1,AS163),1-INDEX('Lease Cycles'!$DR$17:$DX$17,1,AS163),1))-IF(AS164=0,INDEX('Lease Cycles'!$DD$17:$DJ$17,1,AS163),0))),0)</f>
        <v>0</v>
      </c>
      <c r="AT170" s="28">
        <f>IF(AT165=1,IF(INDEX('Lease Cycles'!$EF$17:$EL$17,1,AT163)=1,0,AT166*(1-IF(AT164&lt;INDEX('Lease Cycles'!$DK$17:$DQ$17,1,AT163),0,IF(AT164=INDEX('Lease Cycles'!$DK$17:$DQ$17,1,AT163),1-INDEX('Lease Cycles'!$DR$17:$DX$17,1,AT163),1))-IF(AT164=0,INDEX('Lease Cycles'!$DD$17:$DJ$17,1,AT163),0))),0)</f>
        <v>0</v>
      </c>
      <c r="AU170" s="28">
        <f>IF(AU165=1,IF(INDEX('Lease Cycles'!$EF$17:$EL$17,1,AU163)=1,0,AU166*(1-IF(AU164&lt;INDEX('Lease Cycles'!$DK$17:$DQ$17,1,AU163),0,IF(AU164=INDEX('Lease Cycles'!$DK$17:$DQ$17,1,AU163),1-INDEX('Lease Cycles'!$DR$17:$DX$17,1,AU163),1))-IF(AU164=0,INDEX('Lease Cycles'!$DD$17:$DJ$17,1,AU163),0))),0)</f>
        <v>0</v>
      </c>
      <c r="AV170" s="28">
        <f>IF(AV165=1,IF(INDEX('Lease Cycles'!$EF$17:$EL$17,1,AV163)=1,0,AV166*(1-IF(AV164&lt;INDEX('Lease Cycles'!$DK$17:$DQ$17,1,AV163),0,IF(AV164=INDEX('Lease Cycles'!$DK$17:$DQ$17,1,AV163),1-INDEX('Lease Cycles'!$DR$17:$DX$17,1,AV163),1))-IF(AV164=0,INDEX('Lease Cycles'!$DD$17:$DJ$17,1,AV163),0))),0)</f>
        <v>0</v>
      </c>
      <c r="AW170" s="28">
        <f>IF(AW165=1,IF(INDEX('Lease Cycles'!$EF$17:$EL$17,1,AW163)=1,0,AW166*(1-IF(AW164&lt;INDEX('Lease Cycles'!$DK$17:$DQ$17,1,AW163),0,IF(AW164=INDEX('Lease Cycles'!$DK$17:$DQ$17,1,AW163),1-INDEX('Lease Cycles'!$DR$17:$DX$17,1,AW163),1))-IF(AW164=0,INDEX('Lease Cycles'!$DD$17:$DJ$17,1,AW163),0))),0)</f>
        <v>0</v>
      </c>
      <c r="AX170" s="28">
        <f>IF(AX165=1,IF(INDEX('Lease Cycles'!$EF$17:$EL$17,1,AX163)=1,0,AX166*(1-IF(AX164&lt;INDEX('Lease Cycles'!$DK$17:$DQ$17,1,AX163),0,IF(AX164=INDEX('Lease Cycles'!$DK$17:$DQ$17,1,AX163),1-INDEX('Lease Cycles'!$DR$17:$DX$17,1,AX163),1))-IF(AX164=0,INDEX('Lease Cycles'!$DD$17:$DJ$17,1,AX163),0))),0)</f>
        <v>0</v>
      </c>
      <c r="AY170" s="28">
        <f>IF(AY165=1,IF(INDEX('Lease Cycles'!$EF$17:$EL$17,1,AY163)=1,0,AY166*(1-IF(AY164&lt;INDEX('Lease Cycles'!$DK$17:$DQ$17,1,AY163),0,IF(AY164=INDEX('Lease Cycles'!$DK$17:$DQ$17,1,AY163),1-INDEX('Lease Cycles'!$DR$17:$DX$17,1,AY163),1))-IF(AY164=0,INDEX('Lease Cycles'!$DD$17:$DJ$17,1,AY163),0))),0)</f>
        <v>0</v>
      </c>
      <c r="AZ170" s="28">
        <f>IF(AZ165=1,IF(INDEX('Lease Cycles'!$EF$17:$EL$17,1,AZ163)=1,0,AZ166*(1-IF(AZ164&lt;INDEX('Lease Cycles'!$DK$17:$DQ$17,1,AZ163),0,IF(AZ164=INDEX('Lease Cycles'!$DK$17:$DQ$17,1,AZ163),1-INDEX('Lease Cycles'!$DR$17:$DX$17,1,AZ163),1))-IF(AZ164=0,INDEX('Lease Cycles'!$DD$17:$DJ$17,1,AZ163),0))),0)</f>
        <v>0</v>
      </c>
      <c r="BA170" s="28">
        <f>IF(BA165=1,IF(INDEX('Lease Cycles'!$EF$17:$EL$17,1,BA163)=1,0,BA166*(1-IF(BA164&lt;INDEX('Lease Cycles'!$DK$17:$DQ$17,1,BA163),0,IF(BA164=INDEX('Lease Cycles'!$DK$17:$DQ$17,1,BA163),1-INDEX('Lease Cycles'!$DR$17:$DX$17,1,BA163),1))-IF(BA164=0,INDEX('Lease Cycles'!$DD$17:$DJ$17,1,BA163),0))),0)</f>
        <v>0</v>
      </c>
      <c r="BB170" s="28">
        <f>IF(BB165=1,IF(INDEX('Lease Cycles'!$EF$17:$EL$17,1,BB163)=1,0,BB166*(1-IF(BB164&lt;INDEX('Lease Cycles'!$DK$17:$DQ$17,1,BB163),0,IF(BB164=INDEX('Lease Cycles'!$DK$17:$DQ$17,1,BB163),1-INDEX('Lease Cycles'!$DR$17:$DX$17,1,BB163),1))-IF(BB164=0,INDEX('Lease Cycles'!$DD$17:$DJ$17,1,BB163),0))),0)</f>
        <v>0</v>
      </c>
      <c r="BC170" s="28">
        <f>IF(BC165=1,IF(INDEX('Lease Cycles'!$EF$17:$EL$17,1,BC163)=1,0,BC166*(1-IF(BC164&lt;INDEX('Lease Cycles'!$DK$17:$DQ$17,1,BC163),0,IF(BC164=INDEX('Lease Cycles'!$DK$17:$DQ$17,1,BC163),1-INDEX('Lease Cycles'!$DR$17:$DX$17,1,BC163),1))-IF(BC164=0,INDEX('Lease Cycles'!$DD$17:$DJ$17,1,BC163),0))),0)</f>
        <v>0</v>
      </c>
      <c r="BD170" s="28">
        <f>IF(BD165=1,IF(INDEX('Lease Cycles'!$EF$17:$EL$17,1,BD163)=1,0,BD166*(1-IF(BD164&lt;INDEX('Lease Cycles'!$DK$17:$DQ$17,1,BD163),0,IF(BD164=INDEX('Lease Cycles'!$DK$17:$DQ$17,1,BD163),1-INDEX('Lease Cycles'!$DR$17:$DX$17,1,BD163),1))-IF(BD164=0,INDEX('Lease Cycles'!$DD$17:$DJ$17,1,BD163),0))),0)</f>
        <v>0</v>
      </c>
      <c r="BE170" s="28">
        <f>IF(BE165=1,IF(INDEX('Lease Cycles'!$EF$17:$EL$17,1,BE163)=1,0,BE166*(1-IF(BE164&lt;INDEX('Lease Cycles'!$DK$17:$DQ$17,1,BE163),0,IF(BE164=INDEX('Lease Cycles'!$DK$17:$DQ$17,1,BE163),1-INDEX('Lease Cycles'!$DR$17:$DX$17,1,BE163),1))-IF(BE164=0,INDEX('Lease Cycles'!$DD$17:$DJ$17,1,BE163),0))),0)</f>
        <v>0</v>
      </c>
      <c r="BF170" s="28">
        <f>IF(BF165=1,IF(INDEX('Lease Cycles'!$EF$17:$EL$17,1,BF163)=1,0,BF166*(1-IF(BF164&lt;INDEX('Lease Cycles'!$DK$17:$DQ$17,1,BF163),0,IF(BF164=INDEX('Lease Cycles'!$DK$17:$DQ$17,1,BF163),1-INDEX('Lease Cycles'!$DR$17:$DX$17,1,BF163),1))-IF(BF164=0,INDEX('Lease Cycles'!$DD$17:$DJ$17,1,BF163),0))),0)</f>
        <v>0</v>
      </c>
      <c r="BG170" s="28">
        <f>IF(BG165=1,IF(INDEX('Lease Cycles'!$EF$17:$EL$17,1,BG163)=1,0,BG166*(1-IF(BG164&lt;INDEX('Lease Cycles'!$DK$17:$DQ$17,1,BG163),0,IF(BG164=INDEX('Lease Cycles'!$DK$17:$DQ$17,1,BG163),1-INDEX('Lease Cycles'!$DR$17:$DX$17,1,BG163),1))-IF(BG164=0,INDEX('Lease Cycles'!$DD$17:$DJ$17,1,BG163),0))),0)</f>
        <v>0</v>
      </c>
      <c r="BH170" s="28">
        <f>IF(BH165=1,IF(INDEX('Lease Cycles'!$EF$17:$EL$17,1,BH163)=1,0,BH166*(1-IF(BH164&lt;INDEX('Lease Cycles'!$DK$17:$DQ$17,1,BH163),0,IF(BH164=INDEX('Lease Cycles'!$DK$17:$DQ$17,1,BH163),1-INDEX('Lease Cycles'!$DR$17:$DX$17,1,BH163),1))-IF(BH164=0,INDEX('Lease Cycles'!$DD$17:$DJ$17,1,BH163),0))),0)</f>
        <v>0</v>
      </c>
      <c r="BI170" s="28">
        <f>IF(BI165=1,IF(INDEX('Lease Cycles'!$EF$17:$EL$17,1,BI163)=1,0,BI166*(1-IF(BI164&lt;INDEX('Lease Cycles'!$DK$17:$DQ$17,1,BI163),0,IF(BI164=INDEX('Lease Cycles'!$DK$17:$DQ$17,1,BI163),1-INDEX('Lease Cycles'!$DR$17:$DX$17,1,BI163),1))-IF(BI164=0,INDEX('Lease Cycles'!$DD$17:$DJ$17,1,BI163),0))),0)</f>
        <v>0</v>
      </c>
      <c r="BJ170" s="28">
        <f>IF(BJ165=1,IF(INDEX('Lease Cycles'!$EF$17:$EL$17,1,BJ163)=1,0,BJ166*(1-IF(BJ164&lt;INDEX('Lease Cycles'!$DK$17:$DQ$17,1,BJ163),0,IF(BJ164=INDEX('Lease Cycles'!$DK$17:$DQ$17,1,BJ163),1-INDEX('Lease Cycles'!$DR$17:$DX$17,1,BJ163),1))-IF(BJ164=0,INDEX('Lease Cycles'!$DD$17:$DJ$17,1,BJ163),0))),0)</f>
        <v>0</v>
      </c>
      <c r="BK170" s="28">
        <f>IF(BK165=1,IF(INDEX('Lease Cycles'!$EF$17:$EL$17,1,BK163)=1,0,BK166*(1-IF(BK164&lt;INDEX('Lease Cycles'!$DK$17:$DQ$17,1,BK163),0,IF(BK164=INDEX('Lease Cycles'!$DK$17:$DQ$17,1,BK163),1-INDEX('Lease Cycles'!$DR$17:$DX$17,1,BK163),1))-IF(BK164=0,INDEX('Lease Cycles'!$DD$17:$DJ$17,1,BK163),0))),0)</f>
        <v>0</v>
      </c>
      <c r="BL170" s="28">
        <f>IF(BL165=1,IF(INDEX('Lease Cycles'!$EF$17:$EL$17,1,BL163)=1,0,BL166*(1-IF(BL164&lt;INDEX('Lease Cycles'!$DK$17:$DQ$17,1,BL163),0,IF(BL164=INDEX('Lease Cycles'!$DK$17:$DQ$17,1,BL163),1-INDEX('Lease Cycles'!$DR$17:$DX$17,1,BL163),1))-IF(BL164=0,INDEX('Lease Cycles'!$DD$17:$DJ$17,1,BL163),0))),0)</f>
        <v>0</v>
      </c>
      <c r="BM170" s="28">
        <f>IF(BM165=1,IF(INDEX('Lease Cycles'!$EF$17:$EL$17,1,BM163)=1,0,BM166*(1-IF(BM164&lt;INDEX('Lease Cycles'!$DK$17:$DQ$17,1,BM163),0,IF(BM164=INDEX('Lease Cycles'!$DK$17:$DQ$17,1,BM163),1-INDEX('Lease Cycles'!$DR$17:$DX$17,1,BM163),1))-IF(BM164=0,INDEX('Lease Cycles'!$DD$17:$DJ$17,1,BM163),0))),0)</f>
        <v>0</v>
      </c>
      <c r="BN170" s="28">
        <f>IF(BN165=1,IF(INDEX('Lease Cycles'!$EF$17:$EL$17,1,BN163)=1,0,BN166*(1-IF(BN164&lt;INDEX('Lease Cycles'!$DK$17:$DQ$17,1,BN163),0,IF(BN164=INDEX('Lease Cycles'!$DK$17:$DQ$17,1,BN163),1-INDEX('Lease Cycles'!$DR$17:$DX$17,1,BN163),1))-IF(BN164=0,INDEX('Lease Cycles'!$DD$17:$DJ$17,1,BN163),0))),0)</f>
        <v>0</v>
      </c>
      <c r="BO170" s="28">
        <f>IF(BO165=1,IF(INDEX('Lease Cycles'!$EF$17:$EL$17,1,BO163)=1,0,BO166*(1-IF(BO164&lt;INDEX('Lease Cycles'!$DK$17:$DQ$17,1,BO163),0,IF(BO164=INDEX('Lease Cycles'!$DK$17:$DQ$17,1,BO163),1-INDEX('Lease Cycles'!$DR$17:$DX$17,1,BO163),1))-IF(BO164=0,INDEX('Lease Cycles'!$DD$17:$DJ$17,1,BO163),0))),0)</f>
        <v>0</v>
      </c>
      <c r="BP170" s="28">
        <f>IF(BP165=1,IF(INDEX('Lease Cycles'!$EF$17:$EL$17,1,BP163)=1,0,BP166*(1-IF(BP164&lt;INDEX('Lease Cycles'!$DK$17:$DQ$17,1,BP163),0,IF(BP164=INDEX('Lease Cycles'!$DK$17:$DQ$17,1,BP163),1-INDEX('Lease Cycles'!$DR$17:$DX$17,1,BP163),1))-IF(BP164=0,INDEX('Lease Cycles'!$DD$17:$DJ$17,1,BP163),0))),0)</f>
        <v>0</v>
      </c>
      <c r="BQ170" s="28">
        <f>IF(BQ165=1,IF(INDEX('Lease Cycles'!$EF$17:$EL$17,1,BQ163)=1,0,BQ166*(1-IF(BQ164&lt;INDEX('Lease Cycles'!$DK$17:$DQ$17,1,BQ163),0,IF(BQ164=INDEX('Lease Cycles'!$DK$17:$DQ$17,1,BQ163),1-INDEX('Lease Cycles'!$DR$17:$DX$17,1,BQ163),1))-IF(BQ164=0,INDEX('Lease Cycles'!$DD$17:$DJ$17,1,BQ163),0))),0)</f>
        <v>0</v>
      </c>
      <c r="BR170" s="28">
        <f>IF(BR165=1,IF(INDEX('Lease Cycles'!$EF$17:$EL$17,1,BR163)=1,0,BR166*(1-IF(BR164&lt;INDEX('Lease Cycles'!$DK$17:$DQ$17,1,BR163),0,IF(BR164=INDEX('Lease Cycles'!$DK$17:$DQ$17,1,BR163),1-INDEX('Lease Cycles'!$DR$17:$DX$17,1,BR163),1))-IF(BR164=0,INDEX('Lease Cycles'!$DD$17:$DJ$17,1,BR163),0))),0)</f>
        <v>0</v>
      </c>
      <c r="BS170" s="28">
        <f>IF(BS165=1,IF(INDEX('Lease Cycles'!$EF$17:$EL$17,1,BS163)=1,0,BS166*(1-IF(BS164&lt;INDEX('Lease Cycles'!$DK$17:$DQ$17,1,BS163),0,IF(BS164=INDEX('Lease Cycles'!$DK$17:$DQ$17,1,BS163),1-INDEX('Lease Cycles'!$DR$17:$DX$17,1,BS163),1))-IF(BS164=0,INDEX('Lease Cycles'!$DD$17:$DJ$17,1,BS163),0))),0)</f>
        <v>0</v>
      </c>
      <c r="BT170" s="28">
        <f>IF(BT165=1,IF(INDEX('Lease Cycles'!$EF$17:$EL$17,1,BT163)=1,0,BT166*(1-IF(BT164&lt;INDEX('Lease Cycles'!$DK$17:$DQ$17,1,BT163),0,IF(BT164=INDEX('Lease Cycles'!$DK$17:$DQ$17,1,BT163),1-INDEX('Lease Cycles'!$DR$17:$DX$17,1,BT163),1))-IF(BT164=0,INDEX('Lease Cycles'!$DD$17:$DJ$17,1,BT163),0))),0)</f>
        <v>0</v>
      </c>
      <c r="BU170" s="28">
        <f>IF(BU165=1,IF(INDEX('Lease Cycles'!$EF$17:$EL$17,1,BU163)=1,0,BU166*(1-IF(BU164&lt;INDEX('Lease Cycles'!$DK$17:$DQ$17,1,BU163),0,IF(BU164=INDEX('Lease Cycles'!$DK$17:$DQ$17,1,BU163),1-INDEX('Lease Cycles'!$DR$17:$DX$17,1,BU163),1))-IF(BU164=0,INDEX('Lease Cycles'!$DD$17:$DJ$17,1,BU163),0))),0)</f>
        <v>0</v>
      </c>
      <c r="BV170" s="28">
        <f>IF(BV165=1,IF(INDEX('Lease Cycles'!$EF$17:$EL$17,1,BV163)=1,0,BV166*(1-IF(BV164&lt;INDEX('Lease Cycles'!$DK$17:$DQ$17,1,BV163),0,IF(BV164=INDEX('Lease Cycles'!$DK$17:$DQ$17,1,BV163),1-INDEX('Lease Cycles'!$DR$17:$DX$17,1,BV163),1))-IF(BV164=0,INDEX('Lease Cycles'!$DD$17:$DJ$17,1,BV163),0))),0)</f>
        <v>0</v>
      </c>
      <c r="BW170" s="28">
        <f>IF(BW165=1,IF(INDEX('Lease Cycles'!$EF$17:$EL$17,1,BW163)=1,0,BW166*(1-IF(BW164&lt;INDEX('Lease Cycles'!$DK$17:$DQ$17,1,BW163),0,IF(BW164=INDEX('Lease Cycles'!$DK$17:$DQ$17,1,BW163),1-INDEX('Lease Cycles'!$DR$17:$DX$17,1,BW163),1))-IF(BW164=0,INDEX('Lease Cycles'!$DD$17:$DJ$17,1,BW163),0))),0)</f>
        <v>0</v>
      </c>
      <c r="BX170" s="28">
        <f>IF(BX165=1,IF(INDEX('Lease Cycles'!$EF$17:$EL$17,1,BX163)=1,0,BX166*(1-IF(BX164&lt;INDEX('Lease Cycles'!$DK$17:$DQ$17,1,BX163),0,IF(BX164=INDEX('Lease Cycles'!$DK$17:$DQ$17,1,BX163),1-INDEX('Lease Cycles'!$DR$17:$DX$17,1,BX163),1))-IF(BX164=0,INDEX('Lease Cycles'!$DD$17:$DJ$17,1,BX163),0))),0)</f>
        <v>0</v>
      </c>
      <c r="BY170" s="28">
        <f>IF(BY165=1,IF(INDEX('Lease Cycles'!$EF$17:$EL$17,1,BY163)=1,0,BY166*(1-IF(BY164&lt;INDEX('Lease Cycles'!$DK$17:$DQ$17,1,BY163),0,IF(BY164=INDEX('Lease Cycles'!$DK$17:$DQ$17,1,BY163),1-INDEX('Lease Cycles'!$DR$17:$DX$17,1,BY163),1))-IF(BY164=0,INDEX('Lease Cycles'!$DD$17:$DJ$17,1,BY163),0))),0)</f>
        <v>0</v>
      </c>
      <c r="BZ170" s="28">
        <f>IF(BZ165=1,IF(INDEX('Lease Cycles'!$EF$17:$EL$17,1,BZ163)=1,0,BZ166*(1-IF(BZ164&lt;INDEX('Lease Cycles'!$DK$17:$DQ$17,1,BZ163),0,IF(BZ164=INDEX('Lease Cycles'!$DK$17:$DQ$17,1,BZ163),1-INDEX('Lease Cycles'!$DR$17:$DX$17,1,BZ163),1))-IF(BZ164=0,INDEX('Lease Cycles'!$DD$17:$DJ$17,1,BZ163),0))),0)</f>
        <v>0</v>
      </c>
      <c r="CA170" s="28">
        <f>IF(CA165=1,IF(INDEX('Lease Cycles'!$EF$17:$EL$17,1,CA163)=1,0,CA166*(1-IF(CA164&lt;INDEX('Lease Cycles'!$DK$17:$DQ$17,1,CA163),0,IF(CA164=INDEX('Lease Cycles'!$DK$17:$DQ$17,1,CA163),1-INDEX('Lease Cycles'!$DR$17:$DX$17,1,CA163),1))-IF(CA164=0,INDEX('Lease Cycles'!$DD$17:$DJ$17,1,CA163),0))),0)</f>
        <v>0</v>
      </c>
      <c r="CB170" s="28">
        <f>IF(CB165=1,IF(INDEX('Lease Cycles'!$EF$17:$EL$17,1,CB163)=1,0,CB166*(1-IF(CB164&lt;INDEX('Lease Cycles'!$DK$17:$DQ$17,1,CB163),0,IF(CB164=INDEX('Lease Cycles'!$DK$17:$DQ$17,1,CB163),1-INDEX('Lease Cycles'!$DR$17:$DX$17,1,CB163),1))-IF(CB164=0,INDEX('Lease Cycles'!$DD$17:$DJ$17,1,CB163),0))),0)</f>
        <v>0</v>
      </c>
      <c r="CC170" s="28">
        <f>IF(CC165=1,IF(INDEX('Lease Cycles'!$EF$17:$EL$17,1,CC163)=1,0,CC166*(1-IF(CC164&lt;INDEX('Lease Cycles'!$DK$17:$DQ$17,1,CC163),0,IF(CC164=INDEX('Lease Cycles'!$DK$17:$DQ$17,1,CC163),1-INDEX('Lease Cycles'!$DR$17:$DX$17,1,CC163),1))-IF(CC164=0,INDEX('Lease Cycles'!$DD$17:$DJ$17,1,CC163),0))),0)</f>
        <v>0</v>
      </c>
      <c r="CD170" s="28">
        <f>IF(CD165=1,IF(INDEX('Lease Cycles'!$EF$17:$EL$17,1,CD163)=1,0,CD166*(1-IF(CD164&lt;INDEX('Lease Cycles'!$DK$17:$DQ$17,1,CD163),0,IF(CD164=INDEX('Lease Cycles'!$DK$17:$DQ$17,1,CD163),1-INDEX('Lease Cycles'!$DR$17:$DX$17,1,CD163),1))-IF(CD164=0,INDEX('Lease Cycles'!$DD$17:$DJ$17,1,CD163),0))),0)</f>
        <v>0</v>
      </c>
      <c r="CE170" s="28">
        <f>IF(CE165=1,IF(INDEX('Lease Cycles'!$EF$17:$EL$17,1,CE163)=1,0,CE166*(1-IF(CE164&lt;INDEX('Lease Cycles'!$DK$17:$DQ$17,1,CE163),0,IF(CE164=INDEX('Lease Cycles'!$DK$17:$DQ$17,1,CE163),1-INDEX('Lease Cycles'!$DR$17:$DX$17,1,CE163),1))-IF(CE164=0,INDEX('Lease Cycles'!$DD$17:$DJ$17,1,CE163),0))),0)</f>
        <v>0</v>
      </c>
      <c r="CF170" s="28">
        <f>IF(CF165=1,IF(INDEX('Lease Cycles'!$EF$17:$EL$17,1,CF163)=1,0,CF166*(1-IF(CF164&lt;INDEX('Lease Cycles'!$DK$17:$DQ$17,1,CF163),0,IF(CF164=INDEX('Lease Cycles'!$DK$17:$DQ$17,1,CF163),1-INDEX('Lease Cycles'!$DR$17:$DX$17,1,CF163),1))-IF(CF164=0,INDEX('Lease Cycles'!$DD$17:$DJ$17,1,CF163),0))),0)</f>
        <v>0</v>
      </c>
      <c r="CG170" s="28">
        <f>IF(CG165=1,IF(INDEX('Lease Cycles'!$EF$17:$EL$17,1,CG163)=1,0,CG166*(1-IF(CG164&lt;INDEX('Lease Cycles'!$DK$17:$DQ$17,1,CG163),0,IF(CG164=INDEX('Lease Cycles'!$DK$17:$DQ$17,1,CG163),1-INDEX('Lease Cycles'!$DR$17:$DX$17,1,CG163),1))-IF(CG164=0,INDEX('Lease Cycles'!$DD$17:$DJ$17,1,CG163),0))),0)</f>
        <v>0</v>
      </c>
      <c r="CH170" s="28">
        <f>IF(CH165=1,IF(INDEX('Lease Cycles'!$EF$17:$EL$17,1,CH163)=1,0,CH166*(1-IF(CH164&lt;INDEX('Lease Cycles'!$DK$17:$DQ$17,1,CH163),0,IF(CH164=INDEX('Lease Cycles'!$DK$17:$DQ$17,1,CH163),1-INDEX('Lease Cycles'!$DR$17:$DX$17,1,CH163),1))-IF(CH164=0,INDEX('Lease Cycles'!$DD$17:$DJ$17,1,CH163),0))),0)</f>
        <v>0</v>
      </c>
      <c r="CI170" s="28">
        <f>IF(CI165=1,IF(INDEX('Lease Cycles'!$EF$17:$EL$17,1,CI163)=1,0,CI166*(1-IF(CI164&lt;INDEX('Lease Cycles'!$DK$17:$DQ$17,1,CI163),0,IF(CI164=INDEX('Lease Cycles'!$DK$17:$DQ$17,1,CI163),1-INDEX('Lease Cycles'!$DR$17:$DX$17,1,CI163),1))-IF(CI164=0,INDEX('Lease Cycles'!$DD$17:$DJ$17,1,CI163),0))),0)</f>
        <v>0</v>
      </c>
      <c r="CJ170" s="28">
        <f>IF(CJ165=1,IF(INDEX('Lease Cycles'!$EF$17:$EL$17,1,CJ163)=1,0,CJ166*(1-IF(CJ164&lt;INDEX('Lease Cycles'!$DK$17:$DQ$17,1,CJ163),0,IF(CJ164=INDEX('Lease Cycles'!$DK$17:$DQ$17,1,CJ163),1-INDEX('Lease Cycles'!$DR$17:$DX$17,1,CJ163),1))-IF(CJ164=0,INDEX('Lease Cycles'!$DD$17:$DJ$17,1,CJ163),0))),0)</f>
        <v>0</v>
      </c>
      <c r="CK170" s="28">
        <f>IF(CK165=1,IF(INDEX('Lease Cycles'!$EF$17:$EL$17,1,CK163)=1,0,CK166*(1-IF(CK164&lt;INDEX('Lease Cycles'!$DK$17:$DQ$17,1,CK163),0,IF(CK164=INDEX('Lease Cycles'!$DK$17:$DQ$17,1,CK163),1-INDEX('Lease Cycles'!$DR$17:$DX$17,1,CK163),1))-IF(CK164=0,INDEX('Lease Cycles'!$DD$17:$DJ$17,1,CK163),0))),0)</f>
        <v>0</v>
      </c>
      <c r="CL170" s="28">
        <f>IF(CL165=1,IF(INDEX('Lease Cycles'!$EF$17:$EL$17,1,CL163)=1,0,CL166*(1-IF(CL164&lt;INDEX('Lease Cycles'!$DK$17:$DQ$17,1,CL163),0,IF(CL164=INDEX('Lease Cycles'!$DK$17:$DQ$17,1,CL163),1-INDEX('Lease Cycles'!$DR$17:$DX$17,1,CL163),1))-IF(CL164=0,INDEX('Lease Cycles'!$DD$17:$DJ$17,1,CL163),0))),0)</f>
        <v>0</v>
      </c>
      <c r="CM170" s="28">
        <f>IF(CM165=1,IF(INDEX('Lease Cycles'!$EF$17:$EL$17,1,CM163)=1,0,CM166*(1-IF(CM164&lt;INDEX('Lease Cycles'!$DK$17:$DQ$17,1,CM163),0,IF(CM164=INDEX('Lease Cycles'!$DK$17:$DQ$17,1,CM163),1-INDEX('Lease Cycles'!$DR$17:$DX$17,1,CM163),1))-IF(CM164=0,INDEX('Lease Cycles'!$DD$17:$DJ$17,1,CM163),0))),0)</f>
        <v>0</v>
      </c>
      <c r="CN170" s="28">
        <f>IF(CN165=1,IF(INDEX('Lease Cycles'!$EF$17:$EL$17,1,CN163)=1,0,CN166*(1-IF(CN164&lt;INDEX('Lease Cycles'!$DK$17:$DQ$17,1,CN163),0,IF(CN164=INDEX('Lease Cycles'!$DK$17:$DQ$17,1,CN163),1-INDEX('Lease Cycles'!$DR$17:$DX$17,1,CN163),1))-IF(CN164=0,INDEX('Lease Cycles'!$DD$17:$DJ$17,1,CN163),0))),0)</f>
        <v>0</v>
      </c>
      <c r="CO170" s="28">
        <f>IF(CO165=1,IF(INDEX('Lease Cycles'!$EF$17:$EL$17,1,CO163)=1,0,CO166*(1-IF(CO164&lt;INDEX('Lease Cycles'!$DK$17:$DQ$17,1,CO163),0,IF(CO164=INDEX('Lease Cycles'!$DK$17:$DQ$17,1,CO163),1-INDEX('Lease Cycles'!$DR$17:$DX$17,1,CO163),1))-IF(CO164=0,INDEX('Lease Cycles'!$DD$17:$DJ$17,1,CO163),0))),0)</f>
        <v>0</v>
      </c>
      <c r="CP170" s="28">
        <f>IF(CP165=1,IF(INDEX('Lease Cycles'!$EF$17:$EL$17,1,CP163)=1,0,CP166*(1-IF(CP164&lt;INDEX('Lease Cycles'!$DK$17:$DQ$17,1,CP163),0,IF(CP164=INDEX('Lease Cycles'!$DK$17:$DQ$17,1,CP163),1-INDEX('Lease Cycles'!$DR$17:$DX$17,1,CP163),1))-IF(CP164=0,INDEX('Lease Cycles'!$DD$17:$DJ$17,1,CP163),0))),0)</f>
        <v>0</v>
      </c>
      <c r="CQ170" s="28">
        <f>IF(CQ165=1,IF(INDEX('Lease Cycles'!$EF$17:$EL$17,1,CQ163)=1,0,CQ166*(1-IF(CQ164&lt;INDEX('Lease Cycles'!$DK$17:$DQ$17,1,CQ163),0,IF(CQ164=INDEX('Lease Cycles'!$DK$17:$DQ$17,1,CQ163),1-INDEX('Lease Cycles'!$DR$17:$DX$17,1,CQ163),1))-IF(CQ164=0,INDEX('Lease Cycles'!$DD$17:$DJ$17,1,CQ163),0))),0)</f>
        <v>0</v>
      </c>
      <c r="CR170" s="28">
        <f>IF(CR165=1,IF(INDEX('Lease Cycles'!$EF$17:$EL$17,1,CR163)=1,0,CR166*(1-IF(CR164&lt;INDEX('Lease Cycles'!$DK$17:$DQ$17,1,CR163),0,IF(CR164=INDEX('Lease Cycles'!$DK$17:$DQ$17,1,CR163),1-INDEX('Lease Cycles'!$DR$17:$DX$17,1,CR163),1))-IF(CR164=0,INDEX('Lease Cycles'!$DD$17:$DJ$17,1,CR163),0))),0)</f>
        <v>0</v>
      </c>
      <c r="CS170" s="28">
        <f>IF(CS165=1,IF(INDEX('Lease Cycles'!$EF$17:$EL$17,1,CS163)=1,0,CS166*(1-IF(CS164&lt;INDEX('Lease Cycles'!$DK$17:$DQ$17,1,CS163),0,IF(CS164=INDEX('Lease Cycles'!$DK$17:$DQ$17,1,CS163),1-INDEX('Lease Cycles'!$DR$17:$DX$17,1,CS163),1))-IF(CS164=0,INDEX('Lease Cycles'!$DD$17:$DJ$17,1,CS163),0))),0)</f>
        <v>0</v>
      </c>
      <c r="CT170" s="28">
        <f>IF(CT165=1,IF(INDEX('Lease Cycles'!$EF$17:$EL$17,1,CT163)=1,0,CT166*(1-IF(CT164&lt;INDEX('Lease Cycles'!$DK$17:$DQ$17,1,CT163),0,IF(CT164=INDEX('Lease Cycles'!$DK$17:$DQ$17,1,CT163),1-INDEX('Lease Cycles'!$DR$17:$DX$17,1,CT163),1))-IF(CT164=0,INDEX('Lease Cycles'!$DD$17:$DJ$17,1,CT163),0))),0)</f>
        <v>0</v>
      </c>
      <c r="CU170" s="28">
        <f>IF(CU165=1,IF(INDEX('Lease Cycles'!$EF$17:$EL$17,1,CU163)=1,0,CU166*(1-IF(CU164&lt;INDEX('Lease Cycles'!$DK$17:$DQ$17,1,CU163),0,IF(CU164=INDEX('Lease Cycles'!$DK$17:$DQ$17,1,CU163),1-INDEX('Lease Cycles'!$DR$17:$DX$17,1,CU163),1))-IF(CU164=0,INDEX('Lease Cycles'!$DD$17:$DJ$17,1,CU163),0))),0)</f>
        <v>0</v>
      </c>
      <c r="CV170" s="28">
        <f>IF(CV165=1,IF(INDEX('Lease Cycles'!$EF$17:$EL$17,1,CV163)=1,0,CV166*(1-IF(CV164&lt;INDEX('Lease Cycles'!$DK$17:$DQ$17,1,CV163),0,IF(CV164=INDEX('Lease Cycles'!$DK$17:$DQ$17,1,CV163),1-INDEX('Lease Cycles'!$DR$17:$DX$17,1,CV163),1))-IF(CV164=0,INDEX('Lease Cycles'!$DD$17:$DJ$17,1,CV163),0))),0)</f>
        <v>0</v>
      </c>
      <c r="CW170" s="28">
        <f>IF(CW165=1,IF(INDEX('Lease Cycles'!$EF$17:$EL$17,1,CW163)=1,0,CW166*(1-IF(CW164&lt;INDEX('Lease Cycles'!$DK$17:$DQ$17,1,CW163),0,IF(CW164=INDEX('Lease Cycles'!$DK$17:$DQ$17,1,CW163),1-INDEX('Lease Cycles'!$DR$17:$DX$17,1,CW163),1))-IF(CW164=0,INDEX('Lease Cycles'!$DD$17:$DJ$17,1,CW163),0))),0)</f>
        <v>0</v>
      </c>
      <c r="CX170" s="28">
        <f>IF(CX165=1,IF(INDEX('Lease Cycles'!$EF$17:$EL$17,1,CX163)=1,0,CX166*(1-IF(CX164&lt;INDEX('Lease Cycles'!$DK$17:$DQ$17,1,CX163),0,IF(CX164=INDEX('Lease Cycles'!$DK$17:$DQ$17,1,CX163),1-INDEX('Lease Cycles'!$DR$17:$DX$17,1,CX163),1))-IF(CX164=0,INDEX('Lease Cycles'!$DD$17:$DJ$17,1,CX163),0))),0)</f>
        <v>0</v>
      </c>
      <c r="CY170" s="28">
        <f>IF(CY165=1,IF(INDEX('Lease Cycles'!$EF$17:$EL$17,1,CY163)=1,0,CY166*(1-IF(CY164&lt;INDEX('Lease Cycles'!$DK$17:$DQ$17,1,CY163),0,IF(CY164=INDEX('Lease Cycles'!$DK$17:$DQ$17,1,CY163),1-INDEX('Lease Cycles'!$DR$17:$DX$17,1,CY163),1))-IF(CY164=0,INDEX('Lease Cycles'!$DD$17:$DJ$17,1,CY163),0))),0)</f>
        <v>0</v>
      </c>
      <c r="CZ170" s="28">
        <f>IF(CZ165=1,IF(INDEX('Lease Cycles'!$EF$17:$EL$17,1,CZ163)=1,0,CZ166*(1-IF(CZ164&lt;INDEX('Lease Cycles'!$DK$17:$DQ$17,1,CZ163),0,IF(CZ164=INDEX('Lease Cycles'!$DK$17:$DQ$17,1,CZ163),1-INDEX('Lease Cycles'!$DR$17:$DX$17,1,CZ163),1))-IF(CZ164=0,INDEX('Lease Cycles'!$DD$17:$DJ$17,1,CZ163),0))),0)</f>
        <v>0</v>
      </c>
      <c r="DA170" s="28">
        <f>IF(DA165=1,IF(INDEX('Lease Cycles'!$EF$17:$EL$17,1,DA163)=1,0,DA166*(1-IF(DA164&lt;INDEX('Lease Cycles'!$DK$17:$DQ$17,1,DA163),0,IF(DA164=INDEX('Lease Cycles'!$DK$17:$DQ$17,1,DA163),1-INDEX('Lease Cycles'!$DR$17:$DX$17,1,DA163),1))-IF(DA164=0,INDEX('Lease Cycles'!$DD$17:$DJ$17,1,DA163),0))),0)</f>
        <v>0</v>
      </c>
      <c r="DB170" s="28">
        <f>IF(DB165=1,IF(INDEX('Lease Cycles'!$EF$17:$EL$17,1,DB163)=1,0,DB166*(1-IF(DB164&lt;INDEX('Lease Cycles'!$DK$17:$DQ$17,1,DB163),0,IF(DB164=INDEX('Lease Cycles'!$DK$17:$DQ$17,1,DB163),1-INDEX('Lease Cycles'!$DR$17:$DX$17,1,DB163),1))-IF(DB164=0,INDEX('Lease Cycles'!$DD$17:$DJ$17,1,DB163),0))),0)</f>
        <v>0</v>
      </c>
      <c r="DC170" s="28">
        <f>IF(DC165=1,IF(INDEX('Lease Cycles'!$EF$17:$EL$17,1,DC163)=1,0,DC166*(1-IF(DC164&lt;INDEX('Lease Cycles'!$DK$17:$DQ$17,1,DC163),0,IF(DC164=INDEX('Lease Cycles'!$DK$17:$DQ$17,1,DC163),1-INDEX('Lease Cycles'!$DR$17:$DX$17,1,DC163),1))-IF(DC164=0,INDEX('Lease Cycles'!$DD$17:$DJ$17,1,DC163),0))),0)</f>
        <v>0</v>
      </c>
      <c r="DD170" s="28">
        <f>IF(DD165=1,IF(INDEX('Lease Cycles'!$EF$17:$EL$17,1,DD163)=1,0,DD166*(1-IF(DD164&lt;INDEX('Lease Cycles'!$DK$17:$DQ$17,1,DD163),0,IF(DD164=INDEX('Lease Cycles'!$DK$17:$DQ$17,1,DD163),1-INDEX('Lease Cycles'!$DR$17:$DX$17,1,DD163),1))-IF(DD164=0,INDEX('Lease Cycles'!$DD$17:$DJ$17,1,DD163),0))),0)</f>
        <v>0</v>
      </c>
      <c r="DE170" s="28">
        <f>IF(DE165=1,IF(INDEX('Lease Cycles'!$EF$17:$EL$17,1,DE163)=1,0,DE166*(1-IF(DE164&lt;INDEX('Lease Cycles'!$DK$17:$DQ$17,1,DE163),0,IF(DE164=INDEX('Lease Cycles'!$DK$17:$DQ$17,1,DE163),1-INDEX('Lease Cycles'!$DR$17:$DX$17,1,DE163),1))-IF(DE164=0,INDEX('Lease Cycles'!$DD$17:$DJ$17,1,DE163),0))),0)</f>
        <v>0</v>
      </c>
      <c r="DF170" s="28">
        <f>IF(DF165=1,IF(INDEX('Lease Cycles'!$EF$17:$EL$17,1,DF163)=1,0,DF166*(1-IF(DF164&lt;INDEX('Lease Cycles'!$DK$17:$DQ$17,1,DF163),0,IF(DF164=INDEX('Lease Cycles'!$DK$17:$DQ$17,1,DF163),1-INDEX('Lease Cycles'!$DR$17:$DX$17,1,DF163),1))-IF(DF164=0,INDEX('Lease Cycles'!$DD$17:$DJ$17,1,DF163),0))),0)</f>
        <v>0</v>
      </c>
      <c r="DG170" s="28">
        <f>IF(DG165=1,IF(INDEX('Lease Cycles'!$EF$17:$EL$17,1,DG163)=1,0,DG166*(1-IF(DG164&lt;INDEX('Lease Cycles'!$DK$17:$DQ$17,1,DG163),0,IF(DG164=INDEX('Lease Cycles'!$DK$17:$DQ$17,1,DG163),1-INDEX('Lease Cycles'!$DR$17:$DX$17,1,DG163),1))-IF(DG164=0,INDEX('Lease Cycles'!$DD$17:$DJ$17,1,DG163),0))),0)</f>
        <v>0</v>
      </c>
      <c r="DH170" s="28">
        <f>IF(DH165=1,IF(INDEX('Lease Cycles'!$EF$17:$EL$17,1,DH163)=1,0,DH166*(1-IF(DH164&lt;INDEX('Lease Cycles'!$DK$17:$DQ$17,1,DH163),0,IF(DH164=INDEX('Lease Cycles'!$DK$17:$DQ$17,1,DH163),1-INDEX('Lease Cycles'!$DR$17:$DX$17,1,DH163),1))-IF(DH164=0,INDEX('Lease Cycles'!$DD$17:$DJ$17,1,DH163),0))),0)</f>
        <v>0</v>
      </c>
      <c r="DI170" s="28">
        <f>IF(DI165=1,IF(INDEX('Lease Cycles'!$EF$17:$EL$17,1,DI163)=1,0,DI166*(1-IF(DI164&lt;INDEX('Lease Cycles'!$DK$17:$DQ$17,1,DI163),0,IF(DI164=INDEX('Lease Cycles'!$DK$17:$DQ$17,1,DI163),1-INDEX('Lease Cycles'!$DR$17:$DX$17,1,DI163),1))-IF(DI164=0,INDEX('Lease Cycles'!$DD$17:$DJ$17,1,DI163),0))),0)</f>
        <v>1824.7024579211118</v>
      </c>
      <c r="DJ170" s="28">
        <f>IF(DJ165=1,IF(INDEX('Lease Cycles'!$EF$17:$EL$17,1,DJ163)=1,0,DJ166*(1-IF(DJ164&lt;INDEX('Lease Cycles'!$DK$17:$DQ$17,1,DJ163),0,IF(DJ164=INDEX('Lease Cycles'!$DK$17:$DQ$17,1,DJ163),1-INDEX('Lease Cycles'!$DR$17:$DX$17,1,DJ163),1))-IF(DJ164=0,INDEX('Lease Cycles'!$DD$17:$DJ$17,1,DJ163),0))),0)</f>
        <v>0</v>
      </c>
      <c r="DK170" s="28">
        <f>IF(DK165=1,IF(INDEX('Lease Cycles'!$EF$17:$EL$17,1,DK163)=1,0,DK166*(1-IF(DK164&lt;INDEX('Lease Cycles'!$DK$17:$DQ$17,1,DK163),0,IF(DK164=INDEX('Lease Cycles'!$DK$17:$DQ$17,1,DK163),1-INDEX('Lease Cycles'!$DR$17:$DX$17,1,DK163),1))-IF(DK164=0,INDEX('Lease Cycles'!$DD$17:$DJ$17,1,DK163),0))),0)</f>
        <v>0</v>
      </c>
      <c r="DL170" s="28">
        <f>IF(DL165=1,IF(INDEX('Lease Cycles'!$EF$17:$EL$17,1,DL163)=1,0,DL166*(1-IF(DL164&lt;INDEX('Lease Cycles'!$DK$17:$DQ$17,1,DL163),0,IF(DL164=INDEX('Lease Cycles'!$DK$17:$DQ$17,1,DL163),1-INDEX('Lease Cycles'!$DR$17:$DX$17,1,DL163),1))-IF(DL164=0,INDEX('Lease Cycles'!$DD$17:$DJ$17,1,DL163),0))),0)</f>
        <v>0</v>
      </c>
      <c r="DM170" s="28">
        <f>IF(DM165=1,IF(INDEX('Lease Cycles'!$EF$17:$EL$17,1,DM163)=1,0,DM166*(1-IF(DM164&lt;INDEX('Lease Cycles'!$DK$17:$DQ$17,1,DM163),0,IF(DM164=INDEX('Lease Cycles'!$DK$17:$DQ$17,1,DM163),1-INDEX('Lease Cycles'!$DR$17:$DX$17,1,DM163),1))-IF(DM164=0,INDEX('Lease Cycles'!$DD$17:$DJ$17,1,DM163),0))),0)</f>
        <v>0</v>
      </c>
      <c r="DN170" s="28">
        <f>IF(DN165=1,IF(INDEX('Lease Cycles'!$EF$17:$EL$17,1,DN163)=1,0,DN166*(1-IF(DN164&lt;INDEX('Lease Cycles'!$DK$17:$DQ$17,1,DN163),0,IF(DN164=INDEX('Lease Cycles'!$DK$17:$DQ$17,1,DN163),1-INDEX('Lease Cycles'!$DR$17:$DX$17,1,DN163),1))-IF(DN164=0,INDEX('Lease Cycles'!$DD$17:$DJ$17,1,DN163),0))),0)</f>
        <v>0</v>
      </c>
      <c r="DO170" s="28">
        <f>IF(DO165=1,IF(INDEX('Lease Cycles'!$EF$17:$EL$17,1,DO163)=1,0,DO166*(1-IF(DO164&lt;INDEX('Lease Cycles'!$DK$17:$DQ$17,1,DO163),0,IF(DO164=INDEX('Lease Cycles'!$DK$17:$DQ$17,1,DO163),1-INDEX('Lease Cycles'!$DR$17:$DX$17,1,DO163),1))-IF(DO164=0,INDEX('Lease Cycles'!$DD$17:$DJ$17,1,DO163),0))),0)</f>
        <v>0</v>
      </c>
      <c r="DP170" s="28">
        <f>IF(DP165=1,IF(INDEX('Lease Cycles'!$EF$17:$EL$17,1,DP163)=1,0,DP166*(1-IF(DP164&lt;INDEX('Lease Cycles'!$DK$17:$DQ$17,1,DP163),0,IF(DP164=INDEX('Lease Cycles'!$DK$17:$DQ$17,1,DP163),1-INDEX('Lease Cycles'!$DR$17:$DX$17,1,DP163),1))-IF(DP164=0,INDEX('Lease Cycles'!$DD$17:$DJ$17,1,DP163),0))),0)</f>
        <v>0</v>
      </c>
      <c r="DQ170" s="28">
        <f>IF(DQ165=1,IF(INDEX('Lease Cycles'!$EF$17:$EL$17,1,DQ163)=1,0,DQ166*(1-IF(DQ164&lt;INDEX('Lease Cycles'!$DK$17:$DQ$17,1,DQ163),0,IF(DQ164=INDEX('Lease Cycles'!$DK$17:$DQ$17,1,DQ163),1-INDEX('Lease Cycles'!$DR$17:$DX$17,1,DQ163),1))-IF(DQ164=0,INDEX('Lease Cycles'!$DD$17:$DJ$17,1,DQ163),0))),0)</f>
        <v>0</v>
      </c>
      <c r="DR170" s="28">
        <f>IF(DR165=1,IF(INDEX('Lease Cycles'!$EF$17:$EL$17,1,DR163)=1,0,DR166*(1-IF(DR164&lt;INDEX('Lease Cycles'!$DK$17:$DQ$17,1,DR163),0,IF(DR164=INDEX('Lease Cycles'!$DK$17:$DQ$17,1,DR163),1-INDEX('Lease Cycles'!$DR$17:$DX$17,1,DR163),1))-IF(DR164=0,INDEX('Lease Cycles'!$DD$17:$DJ$17,1,DR163),0))),0)</f>
        <v>0</v>
      </c>
      <c r="DS170" s="28">
        <f>IF(DS165=1,IF(INDEX('Lease Cycles'!$EF$17:$EL$17,1,DS163)=1,0,DS166*(1-IF(DS164&lt;INDEX('Lease Cycles'!$DK$17:$DQ$17,1,DS163),0,IF(DS164=INDEX('Lease Cycles'!$DK$17:$DQ$17,1,DS163),1-INDEX('Lease Cycles'!$DR$17:$DX$17,1,DS163),1))-IF(DS164=0,INDEX('Lease Cycles'!$DD$17:$DJ$17,1,DS163),0))),0)</f>
        <v>0</v>
      </c>
      <c r="DT170" s="28">
        <f>IF(DT165=1,IF(INDEX('Lease Cycles'!$EF$17:$EL$17,1,DT163)=1,0,DT166*(1-IF(DT164&lt;INDEX('Lease Cycles'!$DK$17:$DQ$17,1,DT163),0,IF(DT164=INDEX('Lease Cycles'!$DK$17:$DQ$17,1,DT163),1-INDEX('Lease Cycles'!$DR$17:$DX$17,1,DT163),1))-IF(DT164=0,INDEX('Lease Cycles'!$DD$17:$DJ$17,1,DT163),0))),0)</f>
        <v>0</v>
      </c>
      <c r="DU170" s="28">
        <f>IF(DU165=1,IF(INDEX('Lease Cycles'!$EF$17:$EL$17,1,DU163)=1,0,DU166*(1-IF(DU164&lt;INDEX('Lease Cycles'!$DK$17:$DQ$17,1,DU163),0,IF(DU164=INDEX('Lease Cycles'!$DK$17:$DQ$17,1,DU163),1-INDEX('Lease Cycles'!$DR$17:$DX$17,1,DU163),1))-IF(DU164=0,INDEX('Lease Cycles'!$DD$17:$DJ$17,1,DU163),0))),0)</f>
        <v>0</v>
      </c>
      <c r="DV170" s="28">
        <f>IF(DV165=1,IF(INDEX('Lease Cycles'!$EF$17:$EL$17,1,DV163)=1,0,DV166*(1-IF(DV164&lt;INDEX('Lease Cycles'!$DK$17:$DQ$17,1,DV163),0,IF(DV164=INDEX('Lease Cycles'!$DK$17:$DQ$17,1,DV163),1-INDEX('Lease Cycles'!$DR$17:$DX$17,1,DV163),1))-IF(DV164=0,INDEX('Lease Cycles'!$DD$17:$DJ$17,1,DV163),0))),0)</f>
        <v>0</v>
      </c>
      <c r="DW170" s="28">
        <f>IF(DW165=1,IF(INDEX('Lease Cycles'!$EF$17:$EL$17,1,DW163)=1,0,DW166*(1-IF(DW164&lt;INDEX('Lease Cycles'!$DK$17:$DQ$17,1,DW163),0,IF(DW164=INDEX('Lease Cycles'!$DK$17:$DQ$17,1,DW163),1-INDEX('Lease Cycles'!$DR$17:$DX$17,1,DW163),1))-IF(DW164=0,INDEX('Lease Cycles'!$DD$17:$DJ$17,1,DW163),0))),0)</f>
        <v>0</v>
      </c>
      <c r="DX170" s="28">
        <f>IF(DX165=1,IF(INDEX('Lease Cycles'!$EF$17:$EL$17,1,DX163)=1,0,DX166*(1-IF(DX164&lt;INDEX('Lease Cycles'!$DK$17:$DQ$17,1,DX163),0,IF(DX164=INDEX('Lease Cycles'!$DK$17:$DQ$17,1,DX163),1-INDEX('Lease Cycles'!$DR$17:$DX$17,1,DX163),1))-IF(DX164=0,INDEX('Lease Cycles'!$DD$17:$DJ$17,1,DX163),0))),0)</f>
        <v>0</v>
      </c>
      <c r="DY170" s="28">
        <f>IF(DY165=1,IF(INDEX('Lease Cycles'!$EF$17:$EL$17,1,DY163)=1,0,DY166*(1-IF(DY164&lt;INDEX('Lease Cycles'!$DK$17:$DQ$17,1,DY163),0,IF(DY164=INDEX('Lease Cycles'!$DK$17:$DQ$17,1,DY163),1-INDEX('Lease Cycles'!$DR$17:$DX$17,1,DY163),1))-IF(DY164=0,INDEX('Lease Cycles'!$DD$17:$DJ$17,1,DY163),0))),0)</f>
        <v>0</v>
      </c>
      <c r="DZ170" s="28">
        <f>IF(DZ165=1,IF(INDEX('Lease Cycles'!$EF$17:$EL$17,1,DZ163)=1,0,DZ166*(1-IF(DZ164&lt;INDEX('Lease Cycles'!$DK$17:$DQ$17,1,DZ163),0,IF(DZ164=INDEX('Lease Cycles'!$DK$17:$DQ$17,1,DZ163),1-INDEX('Lease Cycles'!$DR$17:$DX$17,1,DZ163),1))-IF(DZ164=0,INDEX('Lease Cycles'!$DD$17:$DJ$17,1,DZ163),0))),0)</f>
        <v>0</v>
      </c>
      <c r="EA170" s="28">
        <f>IF(EA165=1,IF(INDEX('Lease Cycles'!$EF$17:$EL$17,1,EA163)=1,0,EA166*(1-IF(EA164&lt;INDEX('Lease Cycles'!$DK$17:$DQ$17,1,EA163),0,IF(EA164=INDEX('Lease Cycles'!$DK$17:$DQ$17,1,EA163),1-INDEX('Lease Cycles'!$DR$17:$DX$17,1,EA163),1))-IF(EA164=0,INDEX('Lease Cycles'!$DD$17:$DJ$17,1,EA163),0))),0)</f>
        <v>0</v>
      </c>
      <c r="EB170" s="28">
        <f>IF(EB165=1,IF(INDEX('Lease Cycles'!$EF$17:$EL$17,1,EB163)=1,0,EB166*(1-IF(EB164&lt;INDEX('Lease Cycles'!$DK$17:$DQ$17,1,EB163),0,IF(EB164=INDEX('Lease Cycles'!$DK$17:$DQ$17,1,EB163),1-INDEX('Lease Cycles'!$DR$17:$DX$17,1,EB163),1))-IF(EB164=0,INDEX('Lease Cycles'!$DD$17:$DJ$17,1,EB163),0))),0)</f>
        <v>0</v>
      </c>
      <c r="EC170" s="28">
        <f>IF(EC165=1,IF(INDEX('Lease Cycles'!$EF$17:$EL$17,1,EC163)=1,0,EC166*(1-IF(EC164&lt;INDEX('Lease Cycles'!$DK$17:$DQ$17,1,EC163),0,IF(EC164=INDEX('Lease Cycles'!$DK$17:$DQ$17,1,EC163),1-INDEX('Lease Cycles'!$DR$17:$DX$17,1,EC163),1))-IF(EC164=0,INDEX('Lease Cycles'!$DD$17:$DJ$17,1,EC163),0))),0)</f>
        <v>0</v>
      </c>
      <c r="ED170" s="28">
        <f>IF(ED165=1,IF(INDEX('Lease Cycles'!$EF$17:$EL$17,1,ED163)=1,0,ED166*(1-IF(ED164&lt;INDEX('Lease Cycles'!$DK$17:$DQ$17,1,ED163),0,IF(ED164=INDEX('Lease Cycles'!$DK$17:$DQ$17,1,ED163),1-INDEX('Lease Cycles'!$DR$17:$DX$17,1,ED163),1))-IF(ED164=0,INDEX('Lease Cycles'!$DD$17:$DJ$17,1,ED163),0))),0)</f>
        <v>0</v>
      </c>
      <c r="EE170" s="28">
        <f>IF(EE165=1,IF(INDEX('Lease Cycles'!$EF$17:$EL$17,1,EE163)=1,0,EE166*(1-IF(EE164&lt;INDEX('Lease Cycles'!$DK$17:$DQ$17,1,EE163),0,IF(EE164=INDEX('Lease Cycles'!$DK$17:$DQ$17,1,EE163),1-INDEX('Lease Cycles'!$DR$17:$DX$17,1,EE163),1))-IF(EE164=0,INDEX('Lease Cycles'!$DD$17:$DJ$17,1,EE163),0))),0)</f>
        <v>0</v>
      </c>
      <c r="EF170" s="28">
        <f>IF(EF165=1,IF(INDEX('Lease Cycles'!$EF$17:$EL$17,1,EF163)=1,0,EF166*(1-IF(EF164&lt;INDEX('Lease Cycles'!$DK$17:$DQ$17,1,EF163),0,IF(EF164=INDEX('Lease Cycles'!$DK$17:$DQ$17,1,EF163),1-INDEX('Lease Cycles'!$DR$17:$DX$17,1,EF163),1))-IF(EF164=0,INDEX('Lease Cycles'!$DD$17:$DJ$17,1,EF163),0))),0)</f>
        <v>0</v>
      </c>
      <c r="EG170" s="28">
        <f>IF(EG165=1,IF(INDEX('Lease Cycles'!$EF$17:$EL$17,1,EG163)=1,0,EG166*(1-IF(EG164&lt;INDEX('Lease Cycles'!$DK$17:$DQ$17,1,EG163),0,IF(EG164=INDEX('Lease Cycles'!$DK$17:$DQ$17,1,EG163),1-INDEX('Lease Cycles'!$DR$17:$DX$17,1,EG163),1))-IF(EG164=0,INDEX('Lease Cycles'!$DD$17:$DJ$17,1,EG163),0))),0)</f>
        <v>0</v>
      </c>
      <c r="EH170" s="28">
        <f>IF(EH165=1,IF(INDEX('Lease Cycles'!$EF$17:$EL$17,1,EH163)=1,0,EH166*(1-IF(EH164&lt;INDEX('Lease Cycles'!$DK$17:$DQ$17,1,EH163),0,IF(EH164=INDEX('Lease Cycles'!$DK$17:$DQ$17,1,EH163),1-INDEX('Lease Cycles'!$DR$17:$DX$17,1,EH163),1))-IF(EH164=0,INDEX('Lease Cycles'!$DD$17:$DJ$17,1,EH163),0))),0)</f>
        <v>0</v>
      </c>
      <c r="EI170" s="28">
        <f>IF(EI165=1,IF(INDEX('Lease Cycles'!$EF$17:$EL$17,1,EI163)=1,0,EI166*(1-IF(EI164&lt;INDEX('Lease Cycles'!$DK$17:$DQ$17,1,EI163),0,IF(EI164=INDEX('Lease Cycles'!$DK$17:$DQ$17,1,EI163),1-INDEX('Lease Cycles'!$DR$17:$DX$17,1,EI163),1))-IF(EI164=0,INDEX('Lease Cycles'!$DD$17:$DJ$17,1,EI163),0))),0)</f>
        <v>0</v>
      </c>
      <c r="EJ170" s="28">
        <f>IF(EJ165=1,IF(INDEX('Lease Cycles'!$EF$17:$EL$17,1,EJ163)=1,0,EJ166*(1-IF(EJ164&lt;INDEX('Lease Cycles'!$DK$17:$DQ$17,1,EJ163),0,IF(EJ164=INDEX('Lease Cycles'!$DK$17:$DQ$17,1,EJ163),1-INDEX('Lease Cycles'!$DR$17:$DX$17,1,EJ163),1))-IF(EJ164=0,INDEX('Lease Cycles'!$DD$17:$DJ$17,1,EJ163),0))),0)</f>
        <v>0</v>
      </c>
      <c r="EK170" s="28">
        <f>IF(EK165=1,IF(INDEX('Lease Cycles'!$EF$17:$EL$17,1,EK163)=1,0,EK166*(1-IF(EK164&lt;INDEX('Lease Cycles'!$DK$17:$DQ$17,1,EK163),0,IF(EK164=INDEX('Lease Cycles'!$DK$17:$DQ$17,1,EK163),1-INDEX('Lease Cycles'!$DR$17:$DX$17,1,EK163),1))-IF(EK164=0,INDEX('Lease Cycles'!$DD$17:$DJ$17,1,EK163),0))),0)</f>
        <v>0</v>
      </c>
      <c r="EL170" s="28">
        <f>IF(EL165=1,IF(INDEX('Lease Cycles'!$EF$17:$EL$17,1,EL163)=1,0,EL166*(1-IF(EL164&lt;INDEX('Lease Cycles'!$DK$17:$DQ$17,1,EL163),0,IF(EL164=INDEX('Lease Cycles'!$DK$17:$DQ$17,1,EL163),1-INDEX('Lease Cycles'!$DR$17:$DX$17,1,EL163),1))-IF(EL164=0,INDEX('Lease Cycles'!$DD$17:$DJ$17,1,EL163),0))),0)</f>
        <v>0</v>
      </c>
      <c r="EM170" s="28">
        <f>IF(EM165=1,IF(INDEX('Lease Cycles'!$EF$17:$EL$17,1,EM163)=1,0,EM166*(1-IF(EM164&lt;INDEX('Lease Cycles'!$DK$17:$DQ$17,1,EM163),0,IF(EM164=INDEX('Lease Cycles'!$DK$17:$DQ$17,1,EM163),1-INDEX('Lease Cycles'!$DR$17:$DX$17,1,EM163),1))-IF(EM164=0,INDEX('Lease Cycles'!$DD$17:$DJ$17,1,EM163),0))),0)</f>
        <v>0</v>
      </c>
      <c r="EN170" s="28">
        <f>IF(EN165=1,IF(INDEX('Lease Cycles'!$EF$17:$EL$17,1,EN163)=1,0,EN166*(1-IF(EN164&lt;INDEX('Lease Cycles'!$DK$17:$DQ$17,1,EN163),0,IF(EN164=INDEX('Lease Cycles'!$DK$17:$DQ$17,1,EN163),1-INDEX('Lease Cycles'!$DR$17:$DX$17,1,EN163),1))-IF(EN164=0,INDEX('Lease Cycles'!$DD$17:$DJ$17,1,EN163),0))),0)</f>
        <v>0</v>
      </c>
      <c r="EO170" s="28">
        <f>IF(EO165=1,IF(INDEX('Lease Cycles'!$EF$17:$EL$17,1,EO163)=1,0,EO166*(1-IF(EO164&lt;INDEX('Lease Cycles'!$DK$17:$DQ$17,1,EO163),0,IF(EO164=INDEX('Lease Cycles'!$DK$17:$DQ$17,1,EO163),1-INDEX('Lease Cycles'!$DR$17:$DX$17,1,EO163),1))-IF(EO164=0,INDEX('Lease Cycles'!$DD$17:$DJ$17,1,EO163),0))),0)</f>
        <v>0</v>
      </c>
      <c r="EP170" s="28">
        <f>IF(EP165=1,IF(INDEX('Lease Cycles'!$EF$17:$EL$17,1,EP163)=1,0,EP166*(1-IF(EP164&lt;INDEX('Lease Cycles'!$DK$17:$DQ$17,1,EP163),0,IF(EP164=INDEX('Lease Cycles'!$DK$17:$DQ$17,1,EP163),1-INDEX('Lease Cycles'!$DR$17:$DX$17,1,EP163),1))-IF(EP164=0,INDEX('Lease Cycles'!$DD$17:$DJ$17,1,EP163),0))),0)</f>
        <v>0</v>
      </c>
      <c r="EQ170" s="28">
        <f>IF(EQ165=1,IF(INDEX('Lease Cycles'!$EF$17:$EL$17,1,EQ163)=1,0,EQ166*(1-IF(EQ164&lt;INDEX('Lease Cycles'!$DK$17:$DQ$17,1,EQ163),0,IF(EQ164=INDEX('Lease Cycles'!$DK$17:$DQ$17,1,EQ163),1-INDEX('Lease Cycles'!$DR$17:$DX$17,1,EQ163),1))-IF(EQ164=0,INDEX('Lease Cycles'!$DD$17:$DJ$17,1,EQ163),0))),0)</f>
        <v>0</v>
      </c>
      <c r="ER170" s="28">
        <f>IF(ER165=1,IF(INDEX('Lease Cycles'!$EF$17:$EL$17,1,ER163)=1,0,ER166*(1-IF(ER164&lt;INDEX('Lease Cycles'!$DK$17:$DQ$17,1,ER163),0,IF(ER164=INDEX('Lease Cycles'!$DK$17:$DQ$17,1,ER163),1-INDEX('Lease Cycles'!$DR$17:$DX$17,1,ER163),1))-IF(ER164=0,INDEX('Lease Cycles'!$DD$17:$DJ$17,1,ER163),0))),0)</f>
        <v>0</v>
      </c>
      <c r="ES170" s="28">
        <f>IF(ES165=1,IF(INDEX('Lease Cycles'!$EF$17:$EL$17,1,ES163)=1,0,ES166*(1-IF(ES164&lt;INDEX('Lease Cycles'!$DK$17:$DQ$17,1,ES163),0,IF(ES164=INDEX('Lease Cycles'!$DK$17:$DQ$17,1,ES163),1-INDEX('Lease Cycles'!$DR$17:$DX$17,1,ES163),1))-IF(ES164=0,INDEX('Lease Cycles'!$DD$17:$DJ$17,1,ES163),0))),0)</f>
        <v>0</v>
      </c>
      <c r="ET170" s="28">
        <f>IF(ET165=1,IF(INDEX('Lease Cycles'!$EF$17:$EL$17,1,ET163)=1,0,ET166*(1-IF(ET164&lt;INDEX('Lease Cycles'!$DK$17:$DQ$17,1,ET163),0,IF(ET164=INDEX('Lease Cycles'!$DK$17:$DQ$17,1,ET163),1-INDEX('Lease Cycles'!$DR$17:$DX$17,1,ET163),1))-IF(ET164=0,INDEX('Lease Cycles'!$DD$17:$DJ$17,1,ET163),0))),0)</f>
        <v>0</v>
      </c>
    </row>
    <row r="171">
      <c r="A171" s="103">
        <v>10</v>
      </c>
      <c r="B171" s="23" t="str">
        <f>IF('Lease Cycles'!$B$17="","(empty slot)",'Lease Cycles'!$B$17)</f>
        <v>Available B-9</v>
      </c>
      <c r="C171" s="23" t="s">
        <v>683</v>
      </c>
      <c r="D171" s="104" t="s">
        <v>684</v>
      </c>
      <c r="E171" s="25">
        <f>'Lease Cycles'!$AL$17</f>
        <v>0</v>
      </c>
      <c r="G171" s="24">
        <f>SUM(S171:AD171)</f>
        <v>0.08040201005025126</v>
      </c>
      <c r="H171" s="24">
        <f>SUM(AE171:AP171)</f>
        <v>0.32160804020100503</v>
      </c>
      <c r="I171" s="24">
        <f>SUM(AQ171:BB171)</f>
        <v>0.32160804020100503</v>
      </c>
      <c r="J171" s="24">
        <f>SUM(BC171:BN171)</f>
        <v>0.32160804020100503</v>
      </c>
      <c r="K171" s="24">
        <f>SUM(BO171:BZ171)</f>
        <v>0.32160804020100503</v>
      </c>
      <c r="L171" s="24">
        <f>SUM(CA171:CL171)</f>
        <v>0.32160804020100503</v>
      </c>
      <c r="M171" s="24">
        <f>SUM(CM171:CX171)</f>
        <v>0.32160804020100503</v>
      </c>
      <c r="N171" s="24">
        <f>SUM(CY171:DJ171)</f>
        <v>0.28944723618090445</v>
      </c>
      <c r="O171" s="24">
        <f>SUM(DK171:DV171)</f>
        <v>0.32160804020100503</v>
      </c>
      <c r="P171" s="24">
        <f>SUM(DW171:EH171)</f>
        <v>0.32160804020100503</v>
      </c>
      <c r="Q171" s="24">
        <f>SUM(EI171:ET171)</f>
        <v>0.32160804020100503</v>
      </c>
      <c r="S171" s="24">
        <f>IF(S165=1,'Lease Cycles'!$D$17*IF(INDEX('Lease Cycles'!$EF$17:$EL$17,1,S163)=1,(1-'Lease Cycles'!$AJ$17)*INDEX('Lease Cycles'!$EM$17:$ES$17,1,S163)+(1-'Lease Cycles'!$BE$17)*IF(S164&lt;INDEX('Lease Cycles'!$FA$17:$FG$17,1,S163),0,1-INDEX('Lease Cycles'!$EM$17:$ES$17,1,S163)),IF(OR(INDEX('Lease Cycles'!$DY$17:$EE$17,1,S163)=1,S164&gt;0),1,1-INDEX('Lease Cycles'!$DD$17:$DJ$17,1,S163))*((1-'Lease Cycles'!$AJ$17)*INDEX('Lease Cycles'!$FO$17:$FU$17,1,S163)+(1-'Lease Cycles'!$BE$17)*(1-INDEX('Lease Cycles'!$FO$17:$FU$17,1,S163)))),0)</f>
        <v>0</v>
      </c>
      <c r="T171" s="24">
        <f>IF(T165=1,'Lease Cycles'!$D$17*IF(INDEX('Lease Cycles'!$EF$17:$EL$17,1,T163)=1,(1-'Lease Cycles'!$AJ$17)*INDEX('Lease Cycles'!$EM$17:$ES$17,1,T163)+(1-'Lease Cycles'!$BE$17)*IF(T164&lt;INDEX('Lease Cycles'!$FA$17:$FG$17,1,T163),0,1-INDEX('Lease Cycles'!$EM$17:$ES$17,1,T163)),IF(OR(INDEX('Lease Cycles'!$DY$17:$EE$17,1,T163)=1,T164&gt;0),1,1-INDEX('Lease Cycles'!$DD$17:$DJ$17,1,T163))*((1-'Lease Cycles'!$AJ$17)*INDEX('Lease Cycles'!$FO$17:$FU$17,1,T163)+(1-'Lease Cycles'!$BE$17)*(1-INDEX('Lease Cycles'!$FO$17:$FU$17,1,T163)))),0)</f>
        <v>0</v>
      </c>
      <c r="U171" s="24">
        <f>IF(U165=1,'Lease Cycles'!$D$17*IF(INDEX('Lease Cycles'!$EF$17:$EL$17,1,U163)=1,(1-'Lease Cycles'!$AJ$17)*INDEX('Lease Cycles'!$EM$17:$ES$17,1,U163)+(1-'Lease Cycles'!$BE$17)*IF(U164&lt;INDEX('Lease Cycles'!$FA$17:$FG$17,1,U163),0,1-INDEX('Lease Cycles'!$EM$17:$ES$17,1,U163)),IF(OR(INDEX('Lease Cycles'!$DY$17:$EE$17,1,U163)=1,U164&gt;0),1,1-INDEX('Lease Cycles'!$DD$17:$DJ$17,1,U163))*((1-'Lease Cycles'!$AJ$17)*INDEX('Lease Cycles'!$FO$17:$FU$17,1,U163)+(1-'Lease Cycles'!$BE$17)*(1-INDEX('Lease Cycles'!$FO$17:$FU$17,1,U163)))),0)</f>
        <v>0</v>
      </c>
      <c r="V171" s="24">
        <f>IF(V165=1,'Lease Cycles'!$D$17*IF(INDEX('Lease Cycles'!$EF$17:$EL$17,1,V163)=1,(1-'Lease Cycles'!$AJ$17)*INDEX('Lease Cycles'!$EM$17:$ES$17,1,V163)+(1-'Lease Cycles'!$BE$17)*IF(V164&lt;INDEX('Lease Cycles'!$FA$17:$FG$17,1,V163),0,1-INDEX('Lease Cycles'!$EM$17:$ES$17,1,V163)),IF(OR(INDEX('Lease Cycles'!$DY$17:$EE$17,1,V163)=1,V164&gt;0),1,1-INDEX('Lease Cycles'!$DD$17:$DJ$17,1,V163))*((1-'Lease Cycles'!$AJ$17)*INDEX('Lease Cycles'!$FO$17:$FU$17,1,V163)+(1-'Lease Cycles'!$BE$17)*(1-INDEX('Lease Cycles'!$FO$17:$FU$17,1,V163)))),0)</f>
        <v>0</v>
      </c>
      <c r="W171" s="24">
        <f>IF(W165=1,'Lease Cycles'!$D$17*IF(INDEX('Lease Cycles'!$EF$17:$EL$17,1,W163)=1,(1-'Lease Cycles'!$AJ$17)*INDEX('Lease Cycles'!$EM$17:$ES$17,1,W163)+(1-'Lease Cycles'!$BE$17)*IF(W164&lt;INDEX('Lease Cycles'!$FA$17:$FG$17,1,W163),0,1-INDEX('Lease Cycles'!$EM$17:$ES$17,1,W163)),IF(OR(INDEX('Lease Cycles'!$DY$17:$EE$17,1,W163)=1,W164&gt;0),1,1-INDEX('Lease Cycles'!$DD$17:$DJ$17,1,W163))*((1-'Lease Cycles'!$AJ$17)*INDEX('Lease Cycles'!$FO$17:$FU$17,1,W163)+(1-'Lease Cycles'!$BE$17)*(1-INDEX('Lease Cycles'!$FO$17:$FU$17,1,W163)))),0)</f>
        <v>0</v>
      </c>
      <c r="X171" s="24">
        <f>IF(X165=1,'Lease Cycles'!$D$17*IF(INDEX('Lease Cycles'!$EF$17:$EL$17,1,X163)=1,(1-'Lease Cycles'!$AJ$17)*INDEX('Lease Cycles'!$EM$17:$ES$17,1,X163)+(1-'Lease Cycles'!$BE$17)*IF(X164&lt;INDEX('Lease Cycles'!$FA$17:$FG$17,1,X163),0,1-INDEX('Lease Cycles'!$EM$17:$ES$17,1,X163)),IF(OR(INDEX('Lease Cycles'!$DY$17:$EE$17,1,X163)=1,X164&gt;0),1,1-INDEX('Lease Cycles'!$DD$17:$DJ$17,1,X163))*((1-'Lease Cycles'!$AJ$17)*INDEX('Lease Cycles'!$FO$17:$FU$17,1,X163)+(1-'Lease Cycles'!$BE$17)*(1-INDEX('Lease Cycles'!$FO$17:$FU$17,1,X163)))),0)</f>
        <v>0</v>
      </c>
      <c r="Y171" s="24">
        <f>IF(Y165=1,'Lease Cycles'!$D$17*IF(INDEX('Lease Cycles'!$EF$17:$EL$17,1,Y163)=1,(1-'Lease Cycles'!$AJ$17)*INDEX('Lease Cycles'!$EM$17:$ES$17,1,Y163)+(1-'Lease Cycles'!$BE$17)*IF(Y164&lt;INDEX('Lease Cycles'!$FA$17:$FG$17,1,Y163),0,1-INDEX('Lease Cycles'!$EM$17:$ES$17,1,Y163)),IF(OR(INDEX('Lease Cycles'!$DY$17:$EE$17,1,Y163)=1,Y164&gt;0),1,1-INDEX('Lease Cycles'!$DD$17:$DJ$17,1,Y163))*((1-'Lease Cycles'!$AJ$17)*INDEX('Lease Cycles'!$FO$17:$FU$17,1,Y163)+(1-'Lease Cycles'!$BE$17)*(1-INDEX('Lease Cycles'!$FO$17:$FU$17,1,Y163)))),0)</f>
        <v>0</v>
      </c>
      <c r="Z171" s="24">
        <f>IF(Z165=1,'Lease Cycles'!$D$17*IF(INDEX('Lease Cycles'!$EF$17:$EL$17,1,Z163)=1,(1-'Lease Cycles'!$AJ$17)*INDEX('Lease Cycles'!$EM$17:$ES$17,1,Z163)+(1-'Lease Cycles'!$BE$17)*IF(Z164&lt;INDEX('Lease Cycles'!$FA$17:$FG$17,1,Z163),0,1-INDEX('Lease Cycles'!$EM$17:$ES$17,1,Z163)),IF(OR(INDEX('Lease Cycles'!$DY$17:$EE$17,1,Z163)=1,Z164&gt;0),1,1-INDEX('Lease Cycles'!$DD$17:$DJ$17,1,Z163))*((1-'Lease Cycles'!$AJ$17)*INDEX('Lease Cycles'!$FO$17:$FU$17,1,Z163)+(1-'Lease Cycles'!$BE$17)*(1-INDEX('Lease Cycles'!$FO$17:$FU$17,1,Z163)))),0)</f>
        <v>0</v>
      </c>
      <c r="AA171" s="24">
        <f>IF(AA165=1,'Lease Cycles'!$D$17*IF(INDEX('Lease Cycles'!$EF$17:$EL$17,1,AA163)=1,(1-'Lease Cycles'!$AJ$17)*INDEX('Lease Cycles'!$EM$17:$ES$17,1,AA163)+(1-'Lease Cycles'!$BE$17)*IF(AA164&lt;INDEX('Lease Cycles'!$FA$17:$FG$17,1,AA163),0,1-INDEX('Lease Cycles'!$EM$17:$ES$17,1,AA163)),IF(OR(INDEX('Lease Cycles'!$DY$17:$EE$17,1,AA163)=1,AA164&gt;0),1,1-INDEX('Lease Cycles'!$DD$17:$DJ$17,1,AA163))*((1-'Lease Cycles'!$AJ$17)*INDEX('Lease Cycles'!$FO$17:$FU$17,1,AA163)+(1-'Lease Cycles'!$BE$17)*(1-INDEX('Lease Cycles'!$FO$17:$FU$17,1,AA163)))),0)</f>
        <v>0</v>
      </c>
      <c r="AB171" s="24">
        <f>IF(AB165=1,'Lease Cycles'!$D$17*IF(INDEX('Lease Cycles'!$EF$17:$EL$17,1,AB163)=1,(1-'Lease Cycles'!$AJ$17)*INDEX('Lease Cycles'!$EM$17:$ES$17,1,AB163)+(1-'Lease Cycles'!$BE$17)*IF(AB164&lt;INDEX('Lease Cycles'!$FA$17:$FG$17,1,AB163),0,1-INDEX('Lease Cycles'!$EM$17:$ES$17,1,AB163)),IF(OR(INDEX('Lease Cycles'!$DY$17:$EE$17,1,AB163)=1,AB164&gt;0),1,1-INDEX('Lease Cycles'!$DD$17:$DJ$17,1,AB163))*((1-'Lease Cycles'!$AJ$17)*INDEX('Lease Cycles'!$FO$17:$FU$17,1,AB163)+(1-'Lease Cycles'!$BE$17)*(1-INDEX('Lease Cycles'!$FO$17:$FU$17,1,AB163)))),0)</f>
        <v>0.02680067001675042</v>
      </c>
      <c r="AC171" s="24">
        <f>IF(AC165=1,'Lease Cycles'!$D$17*IF(INDEX('Lease Cycles'!$EF$17:$EL$17,1,AC163)=1,(1-'Lease Cycles'!$AJ$17)*INDEX('Lease Cycles'!$EM$17:$ES$17,1,AC163)+(1-'Lease Cycles'!$BE$17)*IF(AC164&lt;INDEX('Lease Cycles'!$FA$17:$FG$17,1,AC163),0,1-INDEX('Lease Cycles'!$EM$17:$ES$17,1,AC163)),IF(OR(INDEX('Lease Cycles'!$DY$17:$EE$17,1,AC163)=1,AC164&gt;0),1,1-INDEX('Lease Cycles'!$DD$17:$DJ$17,1,AC163))*((1-'Lease Cycles'!$AJ$17)*INDEX('Lease Cycles'!$FO$17:$FU$17,1,AC163)+(1-'Lease Cycles'!$BE$17)*(1-INDEX('Lease Cycles'!$FO$17:$FU$17,1,AC163)))),0)</f>
        <v>0.02680067001675042</v>
      </c>
      <c r="AD171" s="24">
        <f>IF(AD165=1,'Lease Cycles'!$D$17*IF(INDEX('Lease Cycles'!$EF$17:$EL$17,1,AD163)=1,(1-'Lease Cycles'!$AJ$17)*INDEX('Lease Cycles'!$EM$17:$ES$17,1,AD163)+(1-'Lease Cycles'!$BE$17)*IF(AD164&lt;INDEX('Lease Cycles'!$FA$17:$FG$17,1,AD163),0,1-INDEX('Lease Cycles'!$EM$17:$ES$17,1,AD163)),IF(OR(INDEX('Lease Cycles'!$DY$17:$EE$17,1,AD163)=1,AD164&gt;0),1,1-INDEX('Lease Cycles'!$DD$17:$DJ$17,1,AD163))*((1-'Lease Cycles'!$AJ$17)*INDEX('Lease Cycles'!$FO$17:$FU$17,1,AD163)+(1-'Lease Cycles'!$BE$17)*(1-INDEX('Lease Cycles'!$FO$17:$FU$17,1,AD163)))),0)</f>
        <v>0.02680067001675042</v>
      </c>
      <c r="AE171" s="24">
        <f>IF(AE165=1,'Lease Cycles'!$D$17*IF(INDEX('Lease Cycles'!$EF$17:$EL$17,1,AE163)=1,(1-'Lease Cycles'!$AJ$17)*INDEX('Lease Cycles'!$EM$17:$ES$17,1,AE163)+(1-'Lease Cycles'!$BE$17)*IF(AE164&lt;INDEX('Lease Cycles'!$FA$17:$FG$17,1,AE163),0,1-INDEX('Lease Cycles'!$EM$17:$ES$17,1,AE163)),IF(OR(INDEX('Lease Cycles'!$DY$17:$EE$17,1,AE163)=1,AE164&gt;0),1,1-INDEX('Lease Cycles'!$DD$17:$DJ$17,1,AE163))*((1-'Lease Cycles'!$AJ$17)*INDEX('Lease Cycles'!$FO$17:$FU$17,1,AE163)+(1-'Lease Cycles'!$BE$17)*(1-INDEX('Lease Cycles'!$FO$17:$FU$17,1,AE163)))),0)</f>
        <v>0.02680067001675042</v>
      </c>
      <c r="AF171" s="24">
        <f>IF(AF165=1,'Lease Cycles'!$D$17*IF(INDEX('Lease Cycles'!$EF$17:$EL$17,1,AF163)=1,(1-'Lease Cycles'!$AJ$17)*INDEX('Lease Cycles'!$EM$17:$ES$17,1,AF163)+(1-'Lease Cycles'!$BE$17)*IF(AF164&lt;INDEX('Lease Cycles'!$FA$17:$FG$17,1,AF163),0,1-INDEX('Lease Cycles'!$EM$17:$ES$17,1,AF163)),IF(OR(INDEX('Lease Cycles'!$DY$17:$EE$17,1,AF163)=1,AF164&gt;0),1,1-INDEX('Lease Cycles'!$DD$17:$DJ$17,1,AF163))*((1-'Lease Cycles'!$AJ$17)*INDEX('Lease Cycles'!$FO$17:$FU$17,1,AF163)+(1-'Lease Cycles'!$BE$17)*(1-INDEX('Lease Cycles'!$FO$17:$FU$17,1,AF163)))),0)</f>
        <v>0.02680067001675042</v>
      </c>
      <c r="AG171" s="24">
        <f>IF(AG165=1,'Lease Cycles'!$D$17*IF(INDEX('Lease Cycles'!$EF$17:$EL$17,1,AG163)=1,(1-'Lease Cycles'!$AJ$17)*INDEX('Lease Cycles'!$EM$17:$ES$17,1,AG163)+(1-'Lease Cycles'!$BE$17)*IF(AG164&lt;INDEX('Lease Cycles'!$FA$17:$FG$17,1,AG163),0,1-INDEX('Lease Cycles'!$EM$17:$ES$17,1,AG163)),IF(OR(INDEX('Lease Cycles'!$DY$17:$EE$17,1,AG163)=1,AG164&gt;0),1,1-INDEX('Lease Cycles'!$DD$17:$DJ$17,1,AG163))*((1-'Lease Cycles'!$AJ$17)*INDEX('Lease Cycles'!$FO$17:$FU$17,1,AG163)+(1-'Lease Cycles'!$BE$17)*(1-INDEX('Lease Cycles'!$FO$17:$FU$17,1,AG163)))),0)</f>
        <v>0.02680067001675042</v>
      </c>
      <c r="AH171" s="24">
        <f>IF(AH165=1,'Lease Cycles'!$D$17*IF(INDEX('Lease Cycles'!$EF$17:$EL$17,1,AH163)=1,(1-'Lease Cycles'!$AJ$17)*INDEX('Lease Cycles'!$EM$17:$ES$17,1,AH163)+(1-'Lease Cycles'!$BE$17)*IF(AH164&lt;INDEX('Lease Cycles'!$FA$17:$FG$17,1,AH163),0,1-INDEX('Lease Cycles'!$EM$17:$ES$17,1,AH163)),IF(OR(INDEX('Lease Cycles'!$DY$17:$EE$17,1,AH163)=1,AH164&gt;0),1,1-INDEX('Lease Cycles'!$DD$17:$DJ$17,1,AH163))*((1-'Lease Cycles'!$AJ$17)*INDEX('Lease Cycles'!$FO$17:$FU$17,1,AH163)+(1-'Lease Cycles'!$BE$17)*(1-INDEX('Lease Cycles'!$FO$17:$FU$17,1,AH163)))),0)</f>
        <v>0.02680067001675042</v>
      </c>
      <c r="AI171" s="24">
        <f>IF(AI165=1,'Lease Cycles'!$D$17*IF(INDEX('Lease Cycles'!$EF$17:$EL$17,1,AI163)=1,(1-'Lease Cycles'!$AJ$17)*INDEX('Lease Cycles'!$EM$17:$ES$17,1,AI163)+(1-'Lease Cycles'!$BE$17)*IF(AI164&lt;INDEX('Lease Cycles'!$FA$17:$FG$17,1,AI163),0,1-INDEX('Lease Cycles'!$EM$17:$ES$17,1,AI163)),IF(OR(INDEX('Lease Cycles'!$DY$17:$EE$17,1,AI163)=1,AI164&gt;0),1,1-INDEX('Lease Cycles'!$DD$17:$DJ$17,1,AI163))*((1-'Lease Cycles'!$AJ$17)*INDEX('Lease Cycles'!$FO$17:$FU$17,1,AI163)+(1-'Lease Cycles'!$BE$17)*(1-INDEX('Lease Cycles'!$FO$17:$FU$17,1,AI163)))),0)</f>
        <v>0.02680067001675042</v>
      </c>
      <c r="AJ171" s="24">
        <f>IF(AJ165=1,'Lease Cycles'!$D$17*IF(INDEX('Lease Cycles'!$EF$17:$EL$17,1,AJ163)=1,(1-'Lease Cycles'!$AJ$17)*INDEX('Lease Cycles'!$EM$17:$ES$17,1,AJ163)+(1-'Lease Cycles'!$BE$17)*IF(AJ164&lt;INDEX('Lease Cycles'!$FA$17:$FG$17,1,AJ163),0,1-INDEX('Lease Cycles'!$EM$17:$ES$17,1,AJ163)),IF(OR(INDEX('Lease Cycles'!$DY$17:$EE$17,1,AJ163)=1,AJ164&gt;0),1,1-INDEX('Lease Cycles'!$DD$17:$DJ$17,1,AJ163))*((1-'Lease Cycles'!$AJ$17)*INDEX('Lease Cycles'!$FO$17:$FU$17,1,AJ163)+(1-'Lease Cycles'!$BE$17)*(1-INDEX('Lease Cycles'!$FO$17:$FU$17,1,AJ163)))),0)</f>
        <v>0.02680067001675042</v>
      </c>
      <c r="AK171" s="24">
        <f>IF(AK165=1,'Lease Cycles'!$D$17*IF(INDEX('Lease Cycles'!$EF$17:$EL$17,1,AK163)=1,(1-'Lease Cycles'!$AJ$17)*INDEX('Lease Cycles'!$EM$17:$ES$17,1,AK163)+(1-'Lease Cycles'!$BE$17)*IF(AK164&lt;INDEX('Lease Cycles'!$FA$17:$FG$17,1,AK163),0,1-INDEX('Lease Cycles'!$EM$17:$ES$17,1,AK163)),IF(OR(INDEX('Lease Cycles'!$DY$17:$EE$17,1,AK163)=1,AK164&gt;0),1,1-INDEX('Lease Cycles'!$DD$17:$DJ$17,1,AK163))*((1-'Lease Cycles'!$AJ$17)*INDEX('Lease Cycles'!$FO$17:$FU$17,1,AK163)+(1-'Lease Cycles'!$BE$17)*(1-INDEX('Lease Cycles'!$FO$17:$FU$17,1,AK163)))),0)</f>
        <v>0.02680067001675042</v>
      </c>
      <c r="AL171" s="24">
        <f>IF(AL165=1,'Lease Cycles'!$D$17*IF(INDEX('Lease Cycles'!$EF$17:$EL$17,1,AL163)=1,(1-'Lease Cycles'!$AJ$17)*INDEX('Lease Cycles'!$EM$17:$ES$17,1,AL163)+(1-'Lease Cycles'!$BE$17)*IF(AL164&lt;INDEX('Lease Cycles'!$FA$17:$FG$17,1,AL163),0,1-INDEX('Lease Cycles'!$EM$17:$ES$17,1,AL163)),IF(OR(INDEX('Lease Cycles'!$DY$17:$EE$17,1,AL163)=1,AL164&gt;0),1,1-INDEX('Lease Cycles'!$DD$17:$DJ$17,1,AL163))*((1-'Lease Cycles'!$AJ$17)*INDEX('Lease Cycles'!$FO$17:$FU$17,1,AL163)+(1-'Lease Cycles'!$BE$17)*(1-INDEX('Lease Cycles'!$FO$17:$FU$17,1,AL163)))),0)</f>
        <v>0.02680067001675042</v>
      </c>
      <c r="AM171" s="24">
        <f>IF(AM165=1,'Lease Cycles'!$D$17*IF(INDEX('Lease Cycles'!$EF$17:$EL$17,1,AM163)=1,(1-'Lease Cycles'!$AJ$17)*INDEX('Lease Cycles'!$EM$17:$ES$17,1,AM163)+(1-'Lease Cycles'!$BE$17)*IF(AM164&lt;INDEX('Lease Cycles'!$FA$17:$FG$17,1,AM163),0,1-INDEX('Lease Cycles'!$EM$17:$ES$17,1,AM163)),IF(OR(INDEX('Lease Cycles'!$DY$17:$EE$17,1,AM163)=1,AM164&gt;0),1,1-INDEX('Lease Cycles'!$DD$17:$DJ$17,1,AM163))*((1-'Lease Cycles'!$AJ$17)*INDEX('Lease Cycles'!$FO$17:$FU$17,1,AM163)+(1-'Lease Cycles'!$BE$17)*(1-INDEX('Lease Cycles'!$FO$17:$FU$17,1,AM163)))),0)</f>
        <v>0.02680067001675042</v>
      </c>
      <c r="AN171" s="24">
        <f>IF(AN165=1,'Lease Cycles'!$D$17*IF(INDEX('Lease Cycles'!$EF$17:$EL$17,1,AN163)=1,(1-'Lease Cycles'!$AJ$17)*INDEX('Lease Cycles'!$EM$17:$ES$17,1,AN163)+(1-'Lease Cycles'!$BE$17)*IF(AN164&lt;INDEX('Lease Cycles'!$FA$17:$FG$17,1,AN163),0,1-INDEX('Lease Cycles'!$EM$17:$ES$17,1,AN163)),IF(OR(INDEX('Lease Cycles'!$DY$17:$EE$17,1,AN163)=1,AN164&gt;0),1,1-INDEX('Lease Cycles'!$DD$17:$DJ$17,1,AN163))*((1-'Lease Cycles'!$AJ$17)*INDEX('Lease Cycles'!$FO$17:$FU$17,1,AN163)+(1-'Lease Cycles'!$BE$17)*(1-INDEX('Lease Cycles'!$FO$17:$FU$17,1,AN163)))),0)</f>
        <v>0.02680067001675042</v>
      </c>
      <c r="AO171" s="24">
        <f>IF(AO165=1,'Lease Cycles'!$D$17*IF(INDEX('Lease Cycles'!$EF$17:$EL$17,1,AO163)=1,(1-'Lease Cycles'!$AJ$17)*INDEX('Lease Cycles'!$EM$17:$ES$17,1,AO163)+(1-'Lease Cycles'!$BE$17)*IF(AO164&lt;INDEX('Lease Cycles'!$FA$17:$FG$17,1,AO163),0,1-INDEX('Lease Cycles'!$EM$17:$ES$17,1,AO163)),IF(OR(INDEX('Lease Cycles'!$DY$17:$EE$17,1,AO163)=1,AO164&gt;0),1,1-INDEX('Lease Cycles'!$DD$17:$DJ$17,1,AO163))*((1-'Lease Cycles'!$AJ$17)*INDEX('Lease Cycles'!$FO$17:$FU$17,1,AO163)+(1-'Lease Cycles'!$BE$17)*(1-INDEX('Lease Cycles'!$FO$17:$FU$17,1,AO163)))),0)</f>
        <v>0.02680067001675042</v>
      </c>
      <c r="AP171" s="24">
        <f>IF(AP165=1,'Lease Cycles'!$D$17*IF(INDEX('Lease Cycles'!$EF$17:$EL$17,1,AP163)=1,(1-'Lease Cycles'!$AJ$17)*INDEX('Lease Cycles'!$EM$17:$ES$17,1,AP163)+(1-'Lease Cycles'!$BE$17)*IF(AP164&lt;INDEX('Lease Cycles'!$FA$17:$FG$17,1,AP163),0,1-INDEX('Lease Cycles'!$EM$17:$ES$17,1,AP163)),IF(OR(INDEX('Lease Cycles'!$DY$17:$EE$17,1,AP163)=1,AP164&gt;0),1,1-INDEX('Lease Cycles'!$DD$17:$DJ$17,1,AP163))*((1-'Lease Cycles'!$AJ$17)*INDEX('Lease Cycles'!$FO$17:$FU$17,1,AP163)+(1-'Lease Cycles'!$BE$17)*(1-INDEX('Lease Cycles'!$FO$17:$FU$17,1,AP163)))),0)</f>
        <v>0.02680067001675042</v>
      </c>
      <c r="AQ171" s="24">
        <f>IF(AQ165=1,'Lease Cycles'!$D$17*IF(INDEX('Lease Cycles'!$EF$17:$EL$17,1,AQ163)=1,(1-'Lease Cycles'!$AJ$17)*INDEX('Lease Cycles'!$EM$17:$ES$17,1,AQ163)+(1-'Lease Cycles'!$BE$17)*IF(AQ164&lt;INDEX('Lease Cycles'!$FA$17:$FG$17,1,AQ163),0,1-INDEX('Lease Cycles'!$EM$17:$ES$17,1,AQ163)),IF(OR(INDEX('Lease Cycles'!$DY$17:$EE$17,1,AQ163)=1,AQ164&gt;0),1,1-INDEX('Lease Cycles'!$DD$17:$DJ$17,1,AQ163))*((1-'Lease Cycles'!$AJ$17)*INDEX('Lease Cycles'!$FO$17:$FU$17,1,AQ163)+(1-'Lease Cycles'!$BE$17)*(1-INDEX('Lease Cycles'!$FO$17:$FU$17,1,AQ163)))),0)</f>
        <v>0.02680067001675042</v>
      </c>
      <c r="AR171" s="24">
        <f>IF(AR165=1,'Lease Cycles'!$D$17*IF(INDEX('Lease Cycles'!$EF$17:$EL$17,1,AR163)=1,(1-'Lease Cycles'!$AJ$17)*INDEX('Lease Cycles'!$EM$17:$ES$17,1,AR163)+(1-'Lease Cycles'!$BE$17)*IF(AR164&lt;INDEX('Lease Cycles'!$FA$17:$FG$17,1,AR163),0,1-INDEX('Lease Cycles'!$EM$17:$ES$17,1,AR163)),IF(OR(INDEX('Lease Cycles'!$DY$17:$EE$17,1,AR163)=1,AR164&gt;0),1,1-INDEX('Lease Cycles'!$DD$17:$DJ$17,1,AR163))*((1-'Lease Cycles'!$AJ$17)*INDEX('Lease Cycles'!$FO$17:$FU$17,1,AR163)+(1-'Lease Cycles'!$BE$17)*(1-INDEX('Lease Cycles'!$FO$17:$FU$17,1,AR163)))),0)</f>
        <v>0.02680067001675042</v>
      </c>
      <c r="AS171" s="24">
        <f>IF(AS165=1,'Lease Cycles'!$D$17*IF(INDEX('Lease Cycles'!$EF$17:$EL$17,1,AS163)=1,(1-'Lease Cycles'!$AJ$17)*INDEX('Lease Cycles'!$EM$17:$ES$17,1,AS163)+(1-'Lease Cycles'!$BE$17)*IF(AS164&lt;INDEX('Lease Cycles'!$FA$17:$FG$17,1,AS163),0,1-INDEX('Lease Cycles'!$EM$17:$ES$17,1,AS163)),IF(OR(INDEX('Lease Cycles'!$DY$17:$EE$17,1,AS163)=1,AS164&gt;0),1,1-INDEX('Lease Cycles'!$DD$17:$DJ$17,1,AS163))*((1-'Lease Cycles'!$AJ$17)*INDEX('Lease Cycles'!$FO$17:$FU$17,1,AS163)+(1-'Lease Cycles'!$BE$17)*(1-INDEX('Lease Cycles'!$FO$17:$FU$17,1,AS163)))),0)</f>
        <v>0.02680067001675042</v>
      </c>
      <c r="AT171" s="24">
        <f>IF(AT165=1,'Lease Cycles'!$D$17*IF(INDEX('Lease Cycles'!$EF$17:$EL$17,1,AT163)=1,(1-'Lease Cycles'!$AJ$17)*INDEX('Lease Cycles'!$EM$17:$ES$17,1,AT163)+(1-'Lease Cycles'!$BE$17)*IF(AT164&lt;INDEX('Lease Cycles'!$FA$17:$FG$17,1,AT163),0,1-INDEX('Lease Cycles'!$EM$17:$ES$17,1,AT163)),IF(OR(INDEX('Lease Cycles'!$DY$17:$EE$17,1,AT163)=1,AT164&gt;0),1,1-INDEX('Lease Cycles'!$DD$17:$DJ$17,1,AT163))*((1-'Lease Cycles'!$AJ$17)*INDEX('Lease Cycles'!$FO$17:$FU$17,1,AT163)+(1-'Lease Cycles'!$BE$17)*(1-INDEX('Lease Cycles'!$FO$17:$FU$17,1,AT163)))),0)</f>
        <v>0.02680067001675042</v>
      </c>
      <c r="AU171" s="24">
        <f>IF(AU165=1,'Lease Cycles'!$D$17*IF(INDEX('Lease Cycles'!$EF$17:$EL$17,1,AU163)=1,(1-'Lease Cycles'!$AJ$17)*INDEX('Lease Cycles'!$EM$17:$ES$17,1,AU163)+(1-'Lease Cycles'!$BE$17)*IF(AU164&lt;INDEX('Lease Cycles'!$FA$17:$FG$17,1,AU163),0,1-INDEX('Lease Cycles'!$EM$17:$ES$17,1,AU163)),IF(OR(INDEX('Lease Cycles'!$DY$17:$EE$17,1,AU163)=1,AU164&gt;0),1,1-INDEX('Lease Cycles'!$DD$17:$DJ$17,1,AU163))*((1-'Lease Cycles'!$AJ$17)*INDEX('Lease Cycles'!$FO$17:$FU$17,1,AU163)+(1-'Lease Cycles'!$BE$17)*(1-INDEX('Lease Cycles'!$FO$17:$FU$17,1,AU163)))),0)</f>
        <v>0.02680067001675042</v>
      </c>
      <c r="AV171" s="24">
        <f>IF(AV165=1,'Lease Cycles'!$D$17*IF(INDEX('Lease Cycles'!$EF$17:$EL$17,1,AV163)=1,(1-'Lease Cycles'!$AJ$17)*INDEX('Lease Cycles'!$EM$17:$ES$17,1,AV163)+(1-'Lease Cycles'!$BE$17)*IF(AV164&lt;INDEX('Lease Cycles'!$FA$17:$FG$17,1,AV163),0,1-INDEX('Lease Cycles'!$EM$17:$ES$17,1,AV163)),IF(OR(INDEX('Lease Cycles'!$DY$17:$EE$17,1,AV163)=1,AV164&gt;0),1,1-INDEX('Lease Cycles'!$DD$17:$DJ$17,1,AV163))*((1-'Lease Cycles'!$AJ$17)*INDEX('Lease Cycles'!$FO$17:$FU$17,1,AV163)+(1-'Lease Cycles'!$BE$17)*(1-INDEX('Lease Cycles'!$FO$17:$FU$17,1,AV163)))),0)</f>
        <v>0.02680067001675042</v>
      </c>
      <c r="AW171" s="24">
        <f>IF(AW165=1,'Lease Cycles'!$D$17*IF(INDEX('Lease Cycles'!$EF$17:$EL$17,1,AW163)=1,(1-'Lease Cycles'!$AJ$17)*INDEX('Lease Cycles'!$EM$17:$ES$17,1,AW163)+(1-'Lease Cycles'!$BE$17)*IF(AW164&lt;INDEX('Lease Cycles'!$FA$17:$FG$17,1,AW163),0,1-INDEX('Lease Cycles'!$EM$17:$ES$17,1,AW163)),IF(OR(INDEX('Lease Cycles'!$DY$17:$EE$17,1,AW163)=1,AW164&gt;0),1,1-INDEX('Lease Cycles'!$DD$17:$DJ$17,1,AW163))*((1-'Lease Cycles'!$AJ$17)*INDEX('Lease Cycles'!$FO$17:$FU$17,1,AW163)+(1-'Lease Cycles'!$BE$17)*(1-INDEX('Lease Cycles'!$FO$17:$FU$17,1,AW163)))),0)</f>
        <v>0.02680067001675042</v>
      </c>
      <c r="AX171" s="24">
        <f>IF(AX165=1,'Lease Cycles'!$D$17*IF(INDEX('Lease Cycles'!$EF$17:$EL$17,1,AX163)=1,(1-'Lease Cycles'!$AJ$17)*INDEX('Lease Cycles'!$EM$17:$ES$17,1,AX163)+(1-'Lease Cycles'!$BE$17)*IF(AX164&lt;INDEX('Lease Cycles'!$FA$17:$FG$17,1,AX163),0,1-INDEX('Lease Cycles'!$EM$17:$ES$17,1,AX163)),IF(OR(INDEX('Lease Cycles'!$DY$17:$EE$17,1,AX163)=1,AX164&gt;0),1,1-INDEX('Lease Cycles'!$DD$17:$DJ$17,1,AX163))*((1-'Lease Cycles'!$AJ$17)*INDEX('Lease Cycles'!$FO$17:$FU$17,1,AX163)+(1-'Lease Cycles'!$BE$17)*(1-INDEX('Lease Cycles'!$FO$17:$FU$17,1,AX163)))),0)</f>
        <v>0.02680067001675042</v>
      </c>
      <c r="AY171" s="24">
        <f>IF(AY165=1,'Lease Cycles'!$D$17*IF(INDEX('Lease Cycles'!$EF$17:$EL$17,1,AY163)=1,(1-'Lease Cycles'!$AJ$17)*INDEX('Lease Cycles'!$EM$17:$ES$17,1,AY163)+(1-'Lease Cycles'!$BE$17)*IF(AY164&lt;INDEX('Lease Cycles'!$FA$17:$FG$17,1,AY163),0,1-INDEX('Lease Cycles'!$EM$17:$ES$17,1,AY163)),IF(OR(INDEX('Lease Cycles'!$DY$17:$EE$17,1,AY163)=1,AY164&gt;0),1,1-INDEX('Lease Cycles'!$DD$17:$DJ$17,1,AY163))*((1-'Lease Cycles'!$AJ$17)*INDEX('Lease Cycles'!$FO$17:$FU$17,1,AY163)+(1-'Lease Cycles'!$BE$17)*(1-INDEX('Lease Cycles'!$FO$17:$FU$17,1,AY163)))),0)</f>
        <v>0.02680067001675042</v>
      </c>
      <c r="AZ171" s="24">
        <f>IF(AZ165=1,'Lease Cycles'!$D$17*IF(INDEX('Lease Cycles'!$EF$17:$EL$17,1,AZ163)=1,(1-'Lease Cycles'!$AJ$17)*INDEX('Lease Cycles'!$EM$17:$ES$17,1,AZ163)+(1-'Lease Cycles'!$BE$17)*IF(AZ164&lt;INDEX('Lease Cycles'!$FA$17:$FG$17,1,AZ163),0,1-INDEX('Lease Cycles'!$EM$17:$ES$17,1,AZ163)),IF(OR(INDEX('Lease Cycles'!$DY$17:$EE$17,1,AZ163)=1,AZ164&gt;0),1,1-INDEX('Lease Cycles'!$DD$17:$DJ$17,1,AZ163))*((1-'Lease Cycles'!$AJ$17)*INDEX('Lease Cycles'!$FO$17:$FU$17,1,AZ163)+(1-'Lease Cycles'!$BE$17)*(1-INDEX('Lease Cycles'!$FO$17:$FU$17,1,AZ163)))),0)</f>
        <v>0.02680067001675042</v>
      </c>
      <c r="BA171" s="24">
        <f>IF(BA165=1,'Lease Cycles'!$D$17*IF(INDEX('Lease Cycles'!$EF$17:$EL$17,1,BA163)=1,(1-'Lease Cycles'!$AJ$17)*INDEX('Lease Cycles'!$EM$17:$ES$17,1,BA163)+(1-'Lease Cycles'!$BE$17)*IF(BA164&lt;INDEX('Lease Cycles'!$FA$17:$FG$17,1,BA163),0,1-INDEX('Lease Cycles'!$EM$17:$ES$17,1,BA163)),IF(OR(INDEX('Lease Cycles'!$DY$17:$EE$17,1,BA163)=1,BA164&gt;0),1,1-INDEX('Lease Cycles'!$DD$17:$DJ$17,1,BA163))*((1-'Lease Cycles'!$AJ$17)*INDEX('Lease Cycles'!$FO$17:$FU$17,1,BA163)+(1-'Lease Cycles'!$BE$17)*(1-INDEX('Lease Cycles'!$FO$17:$FU$17,1,BA163)))),0)</f>
        <v>0.02680067001675042</v>
      </c>
      <c r="BB171" s="24">
        <f>IF(BB165=1,'Lease Cycles'!$D$17*IF(INDEX('Lease Cycles'!$EF$17:$EL$17,1,BB163)=1,(1-'Lease Cycles'!$AJ$17)*INDEX('Lease Cycles'!$EM$17:$ES$17,1,BB163)+(1-'Lease Cycles'!$BE$17)*IF(BB164&lt;INDEX('Lease Cycles'!$FA$17:$FG$17,1,BB163),0,1-INDEX('Lease Cycles'!$EM$17:$ES$17,1,BB163)),IF(OR(INDEX('Lease Cycles'!$DY$17:$EE$17,1,BB163)=1,BB164&gt;0),1,1-INDEX('Lease Cycles'!$DD$17:$DJ$17,1,BB163))*((1-'Lease Cycles'!$AJ$17)*INDEX('Lease Cycles'!$FO$17:$FU$17,1,BB163)+(1-'Lease Cycles'!$BE$17)*(1-INDEX('Lease Cycles'!$FO$17:$FU$17,1,BB163)))),0)</f>
        <v>0.02680067001675042</v>
      </c>
      <c r="BC171" s="24">
        <f>IF(BC165=1,'Lease Cycles'!$D$17*IF(INDEX('Lease Cycles'!$EF$17:$EL$17,1,BC163)=1,(1-'Lease Cycles'!$AJ$17)*INDEX('Lease Cycles'!$EM$17:$ES$17,1,BC163)+(1-'Lease Cycles'!$BE$17)*IF(BC164&lt;INDEX('Lease Cycles'!$FA$17:$FG$17,1,BC163),0,1-INDEX('Lease Cycles'!$EM$17:$ES$17,1,BC163)),IF(OR(INDEX('Lease Cycles'!$DY$17:$EE$17,1,BC163)=1,BC164&gt;0),1,1-INDEX('Lease Cycles'!$DD$17:$DJ$17,1,BC163))*((1-'Lease Cycles'!$AJ$17)*INDEX('Lease Cycles'!$FO$17:$FU$17,1,BC163)+(1-'Lease Cycles'!$BE$17)*(1-INDEX('Lease Cycles'!$FO$17:$FU$17,1,BC163)))),0)</f>
        <v>0.02680067001675042</v>
      </c>
      <c r="BD171" s="24">
        <f>IF(BD165=1,'Lease Cycles'!$D$17*IF(INDEX('Lease Cycles'!$EF$17:$EL$17,1,BD163)=1,(1-'Lease Cycles'!$AJ$17)*INDEX('Lease Cycles'!$EM$17:$ES$17,1,BD163)+(1-'Lease Cycles'!$BE$17)*IF(BD164&lt;INDEX('Lease Cycles'!$FA$17:$FG$17,1,BD163),0,1-INDEX('Lease Cycles'!$EM$17:$ES$17,1,BD163)),IF(OR(INDEX('Lease Cycles'!$DY$17:$EE$17,1,BD163)=1,BD164&gt;0),1,1-INDEX('Lease Cycles'!$DD$17:$DJ$17,1,BD163))*((1-'Lease Cycles'!$AJ$17)*INDEX('Lease Cycles'!$FO$17:$FU$17,1,BD163)+(1-'Lease Cycles'!$BE$17)*(1-INDEX('Lease Cycles'!$FO$17:$FU$17,1,BD163)))),0)</f>
        <v>0.02680067001675042</v>
      </c>
      <c r="BE171" s="24">
        <f>IF(BE165=1,'Lease Cycles'!$D$17*IF(INDEX('Lease Cycles'!$EF$17:$EL$17,1,BE163)=1,(1-'Lease Cycles'!$AJ$17)*INDEX('Lease Cycles'!$EM$17:$ES$17,1,BE163)+(1-'Lease Cycles'!$BE$17)*IF(BE164&lt;INDEX('Lease Cycles'!$FA$17:$FG$17,1,BE163),0,1-INDEX('Lease Cycles'!$EM$17:$ES$17,1,BE163)),IF(OR(INDEX('Lease Cycles'!$DY$17:$EE$17,1,BE163)=1,BE164&gt;0),1,1-INDEX('Lease Cycles'!$DD$17:$DJ$17,1,BE163))*((1-'Lease Cycles'!$AJ$17)*INDEX('Lease Cycles'!$FO$17:$FU$17,1,BE163)+(1-'Lease Cycles'!$BE$17)*(1-INDEX('Lease Cycles'!$FO$17:$FU$17,1,BE163)))),0)</f>
        <v>0.02680067001675042</v>
      </c>
      <c r="BF171" s="24">
        <f>IF(BF165=1,'Lease Cycles'!$D$17*IF(INDEX('Lease Cycles'!$EF$17:$EL$17,1,BF163)=1,(1-'Lease Cycles'!$AJ$17)*INDEX('Lease Cycles'!$EM$17:$ES$17,1,BF163)+(1-'Lease Cycles'!$BE$17)*IF(BF164&lt;INDEX('Lease Cycles'!$FA$17:$FG$17,1,BF163),0,1-INDEX('Lease Cycles'!$EM$17:$ES$17,1,BF163)),IF(OR(INDEX('Lease Cycles'!$DY$17:$EE$17,1,BF163)=1,BF164&gt;0),1,1-INDEX('Lease Cycles'!$DD$17:$DJ$17,1,BF163))*((1-'Lease Cycles'!$AJ$17)*INDEX('Lease Cycles'!$FO$17:$FU$17,1,BF163)+(1-'Lease Cycles'!$BE$17)*(1-INDEX('Lease Cycles'!$FO$17:$FU$17,1,BF163)))),0)</f>
        <v>0.02680067001675042</v>
      </c>
      <c r="BG171" s="24">
        <f>IF(BG165=1,'Lease Cycles'!$D$17*IF(INDEX('Lease Cycles'!$EF$17:$EL$17,1,BG163)=1,(1-'Lease Cycles'!$AJ$17)*INDEX('Lease Cycles'!$EM$17:$ES$17,1,BG163)+(1-'Lease Cycles'!$BE$17)*IF(BG164&lt;INDEX('Lease Cycles'!$FA$17:$FG$17,1,BG163),0,1-INDEX('Lease Cycles'!$EM$17:$ES$17,1,BG163)),IF(OR(INDEX('Lease Cycles'!$DY$17:$EE$17,1,BG163)=1,BG164&gt;0),1,1-INDEX('Lease Cycles'!$DD$17:$DJ$17,1,BG163))*((1-'Lease Cycles'!$AJ$17)*INDEX('Lease Cycles'!$FO$17:$FU$17,1,BG163)+(1-'Lease Cycles'!$BE$17)*(1-INDEX('Lease Cycles'!$FO$17:$FU$17,1,BG163)))),0)</f>
        <v>0.02680067001675042</v>
      </c>
      <c r="BH171" s="24">
        <f>IF(BH165=1,'Lease Cycles'!$D$17*IF(INDEX('Lease Cycles'!$EF$17:$EL$17,1,BH163)=1,(1-'Lease Cycles'!$AJ$17)*INDEX('Lease Cycles'!$EM$17:$ES$17,1,BH163)+(1-'Lease Cycles'!$BE$17)*IF(BH164&lt;INDEX('Lease Cycles'!$FA$17:$FG$17,1,BH163),0,1-INDEX('Lease Cycles'!$EM$17:$ES$17,1,BH163)),IF(OR(INDEX('Lease Cycles'!$DY$17:$EE$17,1,BH163)=1,BH164&gt;0),1,1-INDEX('Lease Cycles'!$DD$17:$DJ$17,1,BH163))*((1-'Lease Cycles'!$AJ$17)*INDEX('Lease Cycles'!$FO$17:$FU$17,1,BH163)+(1-'Lease Cycles'!$BE$17)*(1-INDEX('Lease Cycles'!$FO$17:$FU$17,1,BH163)))),0)</f>
        <v>0.02680067001675042</v>
      </c>
      <c r="BI171" s="24">
        <f>IF(BI165=1,'Lease Cycles'!$D$17*IF(INDEX('Lease Cycles'!$EF$17:$EL$17,1,BI163)=1,(1-'Lease Cycles'!$AJ$17)*INDEX('Lease Cycles'!$EM$17:$ES$17,1,BI163)+(1-'Lease Cycles'!$BE$17)*IF(BI164&lt;INDEX('Lease Cycles'!$FA$17:$FG$17,1,BI163),0,1-INDEX('Lease Cycles'!$EM$17:$ES$17,1,BI163)),IF(OR(INDEX('Lease Cycles'!$DY$17:$EE$17,1,BI163)=1,BI164&gt;0),1,1-INDEX('Lease Cycles'!$DD$17:$DJ$17,1,BI163))*((1-'Lease Cycles'!$AJ$17)*INDEX('Lease Cycles'!$FO$17:$FU$17,1,BI163)+(1-'Lease Cycles'!$BE$17)*(1-INDEX('Lease Cycles'!$FO$17:$FU$17,1,BI163)))),0)</f>
        <v>0.02680067001675042</v>
      </c>
      <c r="BJ171" s="24">
        <f>IF(BJ165=1,'Lease Cycles'!$D$17*IF(INDEX('Lease Cycles'!$EF$17:$EL$17,1,BJ163)=1,(1-'Lease Cycles'!$AJ$17)*INDEX('Lease Cycles'!$EM$17:$ES$17,1,BJ163)+(1-'Lease Cycles'!$BE$17)*IF(BJ164&lt;INDEX('Lease Cycles'!$FA$17:$FG$17,1,BJ163),0,1-INDEX('Lease Cycles'!$EM$17:$ES$17,1,BJ163)),IF(OR(INDEX('Lease Cycles'!$DY$17:$EE$17,1,BJ163)=1,BJ164&gt;0),1,1-INDEX('Lease Cycles'!$DD$17:$DJ$17,1,BJ163))*((1-'Lease Cycles'!$AJ$17)*INDEX('Lease Cycles'!$FO$17:$FU$17,1,BJ163)+(1-'Lease Cycles'!$BE$17)*(1-INDEX('Lease Cycles'!$FO$17:$FU$17,1,BJ163)))),0)</f>
        <v>0.02680067001675042</v>
      </c>
      <c r="BK171" s="24">
        <f>IF(BK165=1,'Lease Cycles'!$D$17*IF(INDEX('Lease Cycles'!$EF$17:$EL$17,1,BK163)=1,(1-'Lease Cycles'!$AJ$17)*INDEX('Lease Cycles'!$EM$17:$ES$17,1,BK163)+(1-'Lease Cycles'!$BE$17)*IF(BK164&lt;INDEX('Lease Cycles'!$FA$17:$FG$17,1,BK163),0,1-INDEX('Lease Cycles'!$EM$17:$ES$17,1,BK163)),IF(OR(INDEX('Lease Cycles'!$DY$17:$EE$17,1,BK163)=1,BK164&gt;0),1,1-INDEX('Lease Cycles'!$DD$17:$DJ$17,1,BK163))*((1-'Lease Cycles'!$AJ$17)*INDEX('Lease Cycles'!$FO$17:$FU$17,1,BK163)+(1-'Lease Cycles'!$BE$17)*(1-INDEX('Lease Cycles'!$FO$17:$FU$17,1,BK163)))),0)</f>
        <v>0.02680067001675042</v>
      </c>
      <c r="BL171" s="24">
        <f>IF(BL165=1,'Lease Cycles'!$D$17*IF(INDEX('Lease Cycles'!$EF$17:$EL$17,1,BL163)=1,(1-'Lease Cycles'!$AJ$17)*INDEX('Lease Cycles'!$EM$17:$ES$17,1,BL163)+(1-'Lease Cycles'!$BE$17)*IF(BL164&lt;INDEX('Lease Cycles'!$FA$17:$FG$17,1,BL163),0,1-INDEX('Lease Cycles'!$EM$17:$ES$17,1,BL163)),IF(OR(INDEX('Lease Cycles'!$DY$17:$EE$17,1,BL163)=1,BL164&gt;0),1,1-INDEX('Lease Cycles'!$DD$17:$DJ$17,1,BL163))*((1-'Lease Cycles'!$AJ$17)*INDEX('Lease Cycles'!$FO$17:$FU$17,1,BL163)+(1-'Lease Cycles'!$BE$17)*(1-INDEX('Lease Cycles'!$FO$17:$FU$17,1,BL163)))),0)</f>
        <v>0.02680067001675042</v>
      </c>
      <c r="BM171" s="24">
        <f>IF(BM165=1,'Lease Cycles'!$D$17*IF(INDEX('Lease Cycles'!$EF$17:$EL$17,1,BM163)=1,(1-'Lease Cycles'!$AJ$17)*INDEX('Lease Cycles'!$EM$17:$ES$17,1,BM163)+(1-'Lease Cycles'!$BE$17)*IF(BM164&lt;INDEX('Lease Cycles'!$FA$17:$FG$17,1,BM163),0,1-INDEX('Lease Cycles'!$EM$17:$ES$17,1,BM163)),IF(OR(INDEX('Lease Cycles'!$DY$17:$EE$17,1,BM163)=1,BM164&gt;0),1,1-INDEX('Lease Cycles'!$DD$17:$DJ$17,1,BM163))*((1-'Lease Cycles'!$AJ$17)*INDEX('Lease Cycles'!$FO$17:$FU$17,1,BM163)+(1-'Lease Cycles'!$BE$17)*(1-INDEX('Lease Cycles'!$FO$17:$FU$17,1,BM163)))),0)</f>
        <v>0.02680067001675042</v>
      </c>
      <c r="BN171" s="24">
        <f>IF(BN165=1,'Lease Cycles'!$D$17*IF(INDEX('Lease Cycles'!$EF$17:$EL$17,1,BN163)=1,(1-'Lease Cycles'!$AJ$17)*INDEX('Lease Cycles'!$EM$17:$ES$17,1,BN163)+(1-'Lease Cycles'!$BE$17)*IF(BN164&lt;INDEX('Lease Cycles'!$FA$17:$FG$17,1,BN163),0,1-INDEX('Lease Cycles'!$EM$17:$ES$17,1,BN163)),IF(OR(INDEX('Lease Cycles'!$DY$17:$EE$17,1,BN163)=1,BN164&gt;0),1,1-INDEX('Lease Cycles'!$DD$17:$DJ$17,1,BN163))*((1-'Lease Cycles'!$AJ$17)*INDEX('Lease Cycles'!$FO$17:$FU$17,1,BN163)+(1-'Lease Cycles'!$BE$17)*(1-INDEX('Lease Cycles'!$FO$17:$FU$17,1,BN163)))),0)</f>
        <v>0.02680067001675042</v>
      </c>
      <c r="BO171" s="24">
        <f>IF(BO165=1,'Lease Cycles'!$D$17*IF(INDEX('Lease Cycles'!$EF$17:$EL$17,1,BO163)=1,(1-'Lease Cycles'!$AJ$17)*INDEX('Lease Cycles'!$EM$17:$ES$17,1,BO163)+(1-'Lease Cycles'!$BE$17)*IF(BO164&lt;INDEX('Lease Cycles'!$FA$17:$FG$17,1,BO163),0,1-INDEX('Lease Cycles'!$EM$17:$ES$17,1,BO163)),IF(OR(INDEX('Lease Cycles'!$DY$17:$EE$17,1,BO163)=1,BO164&gt;0),1,1-INDEX('Lease Cycles'!$DD$17:$DJ$17,1,BO163))*((1-'Lease Cycles'!$AJ$17)*INDEX('Lease Cycles'!$FO$17:$FU$17,1,BO163)+(1-'Lease Cycles'!$BE$17)*(1-INDEX('Lease Cycles'!$FO$17:$FU$17,1,BO163)))),0)</f>
        <v>0.02680067001675042</v>
      </c>
      <c r="BP171" s="24">
        <f>IF(BP165=1,'Lease Cycles'!$D$17*IF(INDEX('Lease Cycles'!$EF$17:$EL$17,1,BP163)=1,(1-'Lease Cycles'!$AJ$17)*INDEX('Lease Cycles'!$EM$17:$ES$17,1,BP163)+(1-'Lease Cycles'!$BE$17)*IF(BP164&lt;INDEX('Lease Cycles'!$FA$17:$FG$17,1,BP163),0,1-INDEX('Lease Cycles'!$EM$17:$ES$17,1,BP163)),IF(OR(INDEX('Lease Cycles'!$DY$17:$EE$17,1,BP163)=1,BP164&gt;0),1,1-INDEX('Lease Cycles'!$DD$17:$DJ$17,1,BP163))*((1-'Lease Cycles'!$AJ$17)*INDEX('Lease Cycles'!$FO$17:$FU$17,1,BP163)+(1-'Lease Cycles'!$BE$17)*(1-INDEX('Lease Cycles'!$FO$17:$FU$17,1,BP163)))),0)</f>
        <v>0.02680067001675042</v>
      </c>
      <c r="BQ171" s="24">
        <f>IF(BQ165=1,'Lease Cycles'!$D$17*IF(INDEX('Lease Cycles'!$EF$17:$EL$17,1,BQ163)=1,(1-'Lease Cycles'!$AJ$17)*INDEX('Lease Cycles'!$EM$17:$ES$17,1,BQ163)+(1-'Lease Cycles'!$BE$17)*IF(BQ164&lt;INDEX('Lease Cycles'!$FA$17:$FG$17,1,BQ163),0,1-INDEX('Lease Cycles'!$EM$17:$ES$17,1,BQ163)),IF(OR(INDEX('Lease Cycles'!$DY$17:$EE$17,1,BQ163)=1,BQ164&gt;0),1,1-INDEX('Lease Cycles'!$DD$17:$DJ$17,1,BQ163))*((1-'Lease Cycles'!$AJ$17)*INDEX('Lease Cycles'!$FO$17:$FU$17,1,BQ163)+(1-'Lease Cycles'!$BE$17)*(1-INDEX('Lease Cycles'!$FO$17:$FU$17,1,BQ163)))),0)</f>
        <v>0.02680067001675042</v>
      </c>
      <c r="BR171" s="24">
        <f>IF(BR165=1,'Lease Cycles'!$D$17*IF(INDEX('Lease Cycles'!$EF$17:$EL$17,1,BR163)=1,(1-'Lease Cycles'!$AJ$17)*INDEX('Lease Cycles'!$EM$17:$ES$17,1,BR163)+(1-'Lease Cycles'!$BE$17)*IF(BR164&lt;INDEX('Lease Cycles'!$FA$17:$FG$17,1,BR163),0,1-INDEX('Lease Cycles'!$EM$17:$ES$17,1,BR163)),IF(OR(INDEX('Lease Cycles'!$DY$17:$EE$17,1,BR163)=1,BR164&gt;0),1,1-INDEX('Lease Cycles'!$DD$17:$DJ$17,1,BR163))*((1-'Lease Cycles'!$AJ$17)*INDEX('Lease Cycles'!$FO$17:$FU$17,1,BR163)+(1-'Lease Cycles'!$BE$17)*(1-INDEX('Lease Cycles'!$FO$17:$FU$17,1,BR163)))),0)</f>
        <v>0.02680067001675042</v>
      </c>
      <c r="BS171" s="24">
        <f>IF(BS165=1,'Lease Cycles'!$D$17*IF(INDEX('Lease Cycles'!$EF$17:$EL$17,1,BS163)=1,(1-'Lease Cycles'!$AJ$17)*INDEX('Lease Cycles'!$EM$17:$ES$17,1,BS163)+(1-'Lease Cycles'!$BE$17)*IF(BS164&lt;INDEX('Lease Cycles'!$FA$17:$FG$17,1,BS163),0,1-INDEX('Lease Cycles'!$EM$17:$ES$17,1,BS163)),IF(OR(INDEX('Lease Cycles'!$DY$17:$EE$17,1,BS163)=1,BS164&gt;0),1,1-INDEX('Lease Cycles'!$DD$17:$DJ$17,1,BS163))*((1-'Lease Cycles'!$AJ$17)*INDEX('Lease Cycles'!$FO$17:$FU$17,1,BS163)+(1-'Lease Cycles'!$BE$17)*(1-INDEX('Lease Cycles'!$FO$17:$FU$17,1,BS163)))),0)</f>
        <v>0.02680067001675042</v>
      </c>
      <c r="BT171" s="24">
        <f>IF(BT165=1,'Lease Cycles'!$D$17*IF(INDEX('Lease Cycles'!$EF$17:$EL$17,1,BT163)=1,(1-'Lease Cycles'!$AJ$17)*INDEX('Lease Cycles'!$EM$17:$ES$17,1,BT163)+(1-'Lease Cycles'!$BE$17)*IF(BT164&lt;INDEX('Lease Cycles'!$FA$17:$FG$17,1,BT163),0,1-INDEX('Lease Cycles'!$EM$17:$ES$17,1,BT163)),IF(OR(INDEX('Lease Cycles'!$DY$17:$EE$17,1,BT163)=1,BT164&gt;0),1,1-INDEX('Lease Cycles'!$DD$17:$DJ$17,1,BT163))*((1-'Lease Cycles'!$AJ$17)*INDEX('Lease Cycles'!$FO$17:$FU$17,1,BT163)+(1-'Lease Cycles'!$BE$17)*(1-INDEX('Lease Cycles'!$FO$17:$FU$17,1,BT163)))),0)</f>
        <v>0.02680067001675042</v>
      </c>
      <c r="BU171" s="24">
        <f>IF(BU165=1,'Lease Cycles'!$D$17*IF(INDEX('Lease Cycles'!$EF$17:$EL$17,1,BU163)=1,(1-'Lease Cycles'!$AJ$17)*INDEX('Lease Cycles'!$EM$17:$ES$17,1,BU163)+(1-'Lease Cycles'!$BE$17)*IF(BU164&lt;INDEX('Lease Cycles'!$FA$17:$FG$17,1,BU163),0,1-INDEX('Lease Cycles'!$EM$17:$ES$17,1,BU163)),IF(OR(INDEX('Lease Cycles'!$DY$17:$EE$17,1,BU163)=1,BU164&gt;0),1,1-INDEX('Lease Cycles'!$DD$17:$DJ$17,1,BU163))*((1-'Lease Cycles'!$AJ$17)*INDEX('Lease Cycles'!$FO$17:$FU$17,1,BU163)+(1-'Lease Cycles'!$BE$17)*(1-INDEX('Lease Cycles'!$FO$17:$FU$17,1,BU163)))),0)</f>
        <v>0.02680067001675042</v>
      </c>
      <c r="BV171" s="24">
        <f>IF(BV165=1,'Lease Cycles'!$D$17*IF(INDEX('Lease Cycles'!$EF$17:$EL$17,1,BV163)=1,(1-'Lease Cycles'!$AJ$17)*INDEX('Lease Cycles'!$EM$17:$ES$17,1,BV163)+(1-'Lease Cycles'!$BE$17)*IF(BV164&lt;INDEX('Lease Cycles'!$FA$17:$FG$17,1,BV163),0,1-INDEX('Lease Cycles'!$EM$17:$ES$17,1,BV163)),IF(OR(INDEX('Lease Cycles'!$DY$17:$EE$17,1,BV163)=1,BV164&gt;0),1,1-INDEX('Lease Cycles'!$DD$17:$DJ$17,1,BV163))*((1-'Lease Cycles'!$AJ$17)*INDEX('Lease Cycles'!$FO$17:$FU$17,1,BV163)+(1-'Lease Cycles'!$BE$17)*(1-INDEX('Lease Cycles'!$FO$17:$FU$17,1,BV163)))),0)</f>
        <v>0.02680067001675042</v>
      </c>
      <c r="BW171" s="24">
        <f>IF(BW165=1,'Lease Cycles'!$D$17*IF(INDEX('Lease Cycles'!$EF$17:$EL$17,1,BW163)=1,(1-'Lease Cycles'!$AJ$17)*INDEX('Lease Cycles'!$EM$17:$ES$17,1,BW163)+(1-'Lease Cycles'!$BE$17)*IF(BW164&lt;INDEX('Lease Cycles'!$FA$17:$FG$17,1,BW163),0,1-INDEX('Lease Cycles'!$EM$17:$ES$17,1,BW163)),IF(OR(INDEX('Lease Cycles'!$DY$17:$EE$17,1,BW163)=1,BW164&gt;0),1,1-INDEX('Lease Cycles'!$DD$17:$DJ$17,1,BW163))*((1-'Lease Cycles'!$AJ$17)*INDEX('Lease Cycles'!$FO$17:$FU$17,1,BW163)+(1-'Lease Cycles'!$BE$17)*(1-INDEX('Lease Cycles'!$FO$17:$FU$17,1,BW163)))),0)</f>
        <v>0.02680067001675042</v>
      </c>
      <c r="BX171" s="24">
        <f>IF(BX165=1,'Lease Cycles'!$D$17*IF(INDEX('Lease Cycles'!$EF$17:$EL$17,1,BX163)=1,(1-'Lease Cycles'!$AJ$17)*INDEX('Lease Cycles'!$EM$17:$ES$17,1,BX163)+(1-'Lease Cycles'!$BE$17)*IF(BX164&lt;INDEX('Lease Cycles'!$FA$17:$FG$17,1,BX163),0,1-INDEX('Lease Cycles'!$EM$17:$ES$17,1,BX163)),IF(OR(INDEX('Lease Cycles'!$DY$17:$EE$17,1,BX163)=1,BX164&gt;0),1,1-INDEX('Lease Cycles'!$DD$17:$DJ$17,1,BX163))*((1-'Lease Cycles'!$AJ$17)*INDEX('Lease Cycles'!$FO$17:$FU$17,1,BX163)+(1-'Lease Cycles'!$BE$17)*(1-INDEX('Lease Cycles'!$FO$17:$FU$17,1,BX163)))),0)</f>
        <v>0.02680067001675042</v>
      </c>
      <c r="BY171" s="24">
        <f>IF(BY165=1,'Lease Cycles'!$D$17*IF(INDEX('Lease Cycles'!$EF$17:$EL$17,1,BY163)=1,(1-'Lease Cycles'!$AJ$17)*INDEX('Lease Cycles'!$EM$17:$ES$17,1,BY163)+(1-'Lease Cycles'!$BE$17)*IF(BY164&lt;INDEX('Lease Cycles'!$FA$17:$FG$17,1,BY163),0,1-INDEX('Lease Cycles'!$EM$17:$ES$17,1,BY163)),IF(OR(INDEX('Lease Cycles'!$DY$17:$EE$17,1,BY163)=1,BY164&gt;0),1,1-INDEX('Lease Cycles'!$DD$17:$DJ$17,1,BY163))*((1-'Lease Cycles'!$AJ$17)*INDEX('Lease Cycles'!$FO$17:$FU$17,1,BY163)+(1-'Lease Cycles'!$BE$17)*(1-INDEX('Lease Cycles'!$FO$17:$FU$17,1,BY163)))),0)</f>
        <v>0.02680067001675042</v>
      </c>
      <c r="BZ171" s="24">
        <f>IF(BZ165=1,'Lease Cycles'!$D$17*IF(INDEX('Lease Cycles'!$EF$17:$EL$17,1,BZ163)=1,(1-'Lease Cycles'!$AJ$17)*INDEX('Lease Cycles'!$EM$17:$ES$17,1,BZ163)+(1-'Lease Cycles'!$BE$17)*IF(BZ164&lt;INDEX('Lease Cycles'!$FA$17:$FG$17,1,BZ163),0,1-INDEX('Lease Cycles'!$EM$17:$ES$17,1,BZ163)),IF(OR(INDEX('Lease Cycles'!$DY$17:$EE$17,1,BZ163)=1,BZ164&gt;0),1,1-INDEX('Lease Cycles'!$DD$17:$DJ$17,1,BZ163))*((1-'Lease Cycles'!$AJ$17)*INDEX('Lease Cycles'!$FO$17:$FU$17,1,BZ163)+(1-'Lease Cycles'!$BE$17)*(1-INDEX('Lease Cycles'!$FO$17:$FU$17,1,BZ163)))),0)</f>
        <v>0.02680067001675042</v>
      </c>
      <c r="CA171" s="24">
        <f>IF(CA165=1,'Lease Cycles'!$D$17*IF(INDEX('Lease Cycles'!$EF$17:$EL$17,1,CA163)=1,(1-'Lease Cycles'!$AJ$17)*INDEX('Lease Cycles'!$EM$17:$ES$17,1,CA163)+(1-'Lease Cycles'!$BE$17)*IF(CA164&lt;INDEX('Lease Cycles'!$FA$17:$FG$17,1,CA163),0,1-INDEX('Lease Cycles'!$EM$17:$ES$17,1,CA163)),IF(OR(INDEX('Lease Cycles'!$DY$17:$EE$17,1,CA163)=1,CA164&gt;0),1,1-INDEX('Lease Cycles'!$DD$17:$DJ$17,1,CA163))*((1-'Lease Cycles'!$AJ$17)*INDEX('Lease Cycles'!$FO$17:$FU$17,1,CA163)+(1-'Lease Cycles'!$BE$17)*(1-INDEX('Lease Cycles'!$FO$17:$FU$17,1,CA163)))),0)</f>
        <v>0.02680067001675042</v>
      </c>
      <c r="CB171" s="24">
        <f>IF(CB165=1,'Lease Cycles'!$D$17*IF(INDEX('Lease Cycles'!$EF$17:$EL$17,1,CB163)=1,(1-'Lease Cycles'!$AJ$17)*INDEX('Lease Cycles'!$EM$17:$ES$17,1,CB163)+(1-'Lease Cycles'!$BE$17)*IF(CB164&lt;INDEX('Lease Cycles'!$FA$17:$FG$17,1,CB163),0,1-INDEX('Lease Cycles'!$EM$17:$ES$17,1,CB163)),IF(OR(INDEX('Lease Cycles'!$DY$17:$EE$17,1,CB163)=1,CB164&gt;0),1,1-INDEX('Lease Cycles'!$DD$17:$DJ$17,1,CB163))*((1-'Lease Cycles'!$AJ$17)*INDEX('Lease Cycles'!$FO$17:$FU$17,1,CB163)+(1-'Lease Cycles'!$BE$17)*(1-INDEX('Lease Cycles'!$FO$17:$FU$17,1,CB163)))),0)</f>
        <v>0.02680067001675042</v>
      </c>
      <c r="CC171" s="24">
        <f>IF(CC165=1,'Lease Cycles'!$D$17*IF(INDEX('Lease Cycles'!$EF$17:$EL$17,1,CC163)=1,(1-'Lease Cycles'!$AJ$17)*INDEX('Lease Cycles'!$EM$17:$ES$17,1,CC163)+(1-'Lease Cycles'!$BE$17)*IF(CC164&lt;INDEX('Lease Cycles'!$FA$17:$FG$17,1,CC163),0,1-INDEX('Lease Cycles'!$EM$17:$ES$17,1,CC163)),IF(OR(INDEX('Lease Cycles'!$DY$17:$EE$17,1,CC163)=1,CC164&gt;0),1,1-INDEX('Lease Cycles'!$DD$17:$DJ$17,1,CC163))*((1-'Lease Cycles'!$AJ$17)*INDEX('Lease Cycles'!$FO$17:$FU$17,1,CC163)+(1-'Lease Cycles'!$BE$17)*(1-INDEX('Lease Cycles'!$FO$17:$FU$17,1,CC163)))),0)</f>
        <v>0.02680067001675042</v>
      </c>
      <c r="CD171" s="24">
        <f>IF(CD165=1,'Lease Cycles'!$D$17*IF(INDEX('Lease Cycles'!$EF$17:$EL$17,1,CD163)=1,(1-'Lease Cycles'!$AJ$17)*INDEX('Lease Cycles'!$EM$17:$ES$17,1,CD163)+(1-'Lease Cycles'!$BE$17)*IF(CD164&lt;INDEX('Lease Cycles'!$FA$17:$FG$17,1,CD163),0,1-INDEX('Lease Cycles'!$EM$17:$ES$17,1,CD163)),IF(OR(INDEX('Lease Cycles'!$DY$17:$EE$17,1,CD163)=1,CD164&gt;0),1,1-INDEX('Lease Cycles'!$DD$17:$DJ$17,1,CD163))*((1-'Lease Cycles'!$AJ$17)*INDEX('Lease Cycles'!$FO$17:$FU$17,1,CD163)+(1-'Lease Cycles'!$BE$17)*(1-INDEX('Lease Cycles'!$FO$17:$FU$17,1,CD163)))),0)</f>
        <v>0.02680067001675042</v>
      </c>
      <c r="CE171" s="24">
        <f>IF(CE165=1,'Lease Cycles'!$D$17*IF(INDEX('Lease Cycles'!$EF$17:$EL$17,1,CE163)=1,(1-'Lease Cycles'!$AJ$17)*INDEX('Lease Cycles'!$EM$17:$ES$17,1,CE163)+(1-'Lease Cycles'!$BE$17)*IF(CE164&lt;INDEX('Lease Cycles'!$FA$17:$FG$17,1,CE163),0,1-INDEX('Lease Cycles'!$EM$17:$ES$17,1,CE163)),IF(OR(INDEX('Lease Cycles'!$DY$17:$EE$17,1,CE163)=1,CE164&gt;0),1,1-INDEX('Lease Cycles'!$DD$17:$DJ$17,1,CE163))*((1-'Lease Cycles'!$AJ$17)*INDEX('Lease Cycles'!$FO$17:$FU$17,1,CE163)+(1-'Lease Cycles'!$BE$17)*(1-INDEX('Lease Cycles'!$FO$17:$FU$17,1,CE163)))),0)</f>
        <v>0.02680067001675042</v>
      </c>
      <c r="CF171" s="24">
        <f>IF(CF165=1,'Lease Cycles'!$D$17*IF(INDEX('Lease Cycles'!$EF$17:$EL$17,1,CF163)=1,(1-'Lease Cycles'!$AJ$17)*INDEX('Lease Cycles'!$EM$17:$ES$17,1,CF163)+(1-'Lease Cycles'!$BE$17)*IF(CF164&lt;INDEX('Lease Cycles'!$FA$17:$FG$17,1,CF163),0,1-INDEX('Lease Cycles'!$EM$17:$ES$17,1,CF163)),IF(OR(INDEX('Lease Cycles'!$DY$17:$EE$17,1,CF163)=1,CF164&gt;0),1,1-INDEX('Lease Cycles'!$DD$17:$DJ$17,1,CF163))*((1-'Lease Cycles'!$AJ$17)*INDEX('Lease Cycles'!$FO$17:$FU$17,1,CF163)+(1-'Lease Cycles'!$BE$17)*(1-INDEX('Lease Cycles'!$FO$17:$FU$17,1,CF163)))),0)</f>
        <v>0.02680067001675042</v>
      </c>
      <c r="CG171" s="24">
        <f>IF(CG165=1,'Lease Cycles'!$D$17*IF(INDEX('Lease Cycles'!$EF$17:$EL$17,1,CG163)=1,(1-'Lease Cycles'!$AJ$17)*INDEX('Lease Cycles'!$EM$17:$ES$17,1,CG163)+(1-'Lease Cycles'!$BE$17)*IF(CG164&lt;INDEX('Lease Cycles'!$FA$17:$FG$17,1,CG163),0,1-INDEX('Lease Cycles'!$EM$17:$ES$17,1,CG163)),IF(OR(INDEX('Lease Cycles'!$DY$17:$EE$17,1,CG163)=1,CG164&gt;0),1,1-INDEX('Lease Cycles'!$DD$17:$DJ$17,1,CG163))*((1-'Lease Cycles'!$AJ$17)*INDEX('Lease Cycles'!$FO$17:$FU$17,1,CG163)+(1-'Lease Cycles'!$BE$17)*(1-INDEX('Lease Cycles'!$FO$17:$FU$17,1,CG163)))),0)</f>
        <v>0.02680067001675042</v>
      </c>
      <c r="CH171" s="24">
        <f>IF(CH165=1,'Lease Cycles'!$D$17*IF(INDEX('Lease Cycles'!$EF$17:$EL$17,1,CH163)=1,(1-'Lease Cycles'!$AJ$17)*INDEX('Lease Cycles'!$EM$17:$ES$17,1,CH163)+(1-'Lease Cycles'!$BE$17)*IF(CH164&lt;INDEX('Lease Cycles'!$FA$17:$FG$17,1,CH163),0,1-INDEX('Lease Cycles'!$EM$17:$ES$17,1,CH163)),IF(OR(INDEX('Lease Cycles'!$DY$17:$EE$17,1,CH163)=1,CH164&gt;0),1,1-INDEX('Lease Cycles'!$DD$17:$DJ$17,1,CH163))*((1-'Lease Cycles'!$AJ$17)*INDEX('Lease Cycles'!$FO$17:$FU$17,1,CH163)+(1-'Lease Cycles'!$BE$17)*(1-INDEX('Lease Cycles'!$FO$17:$FU$17,1,CH163)))),0)</f>
        <v>0.02680067001675042</v>
      </c>
      <c r="CI171" s="24">
        <f>IF(CI165=1,'Lease Cycles'!$D$17*IF(INDEX('Lease Cycles'!$EF$17:$EL$17,1,CI163)=1,(1-'Lease Cycles'!$AJ$17)*INDEX('Lease Cycles'!$EM$17:$ES$17,1,CI163)+(1-'Lease Cycles'!$BE$17)*IF(CI164&lt;INDEX('Lease Cycles'!$FA$17:$FG$17,1,CI163),0,1-INDEX('Lease Cycles'!$EM$17:$ES$17,1,CI163)),IF(OR(INDEX('Lease Cycles'!$DY$17:$EE$17,1,CI163)=1,CI164&gt;0),1,1-INDEX('Lease Cycles'!$DD$17:$DJ$17,1,CI163))*((1-'Lease Cycles'!$AJ$17)*INDEX('Lease Cycles'!$FO$17:$FU$17,1,CI163)+(1-'Lease Cycles'!$BE$17)*(1-INDEX('Lease Cycles'!$FO$17:$FU$17,1,CI163)))),0)</f>
        <v>0.02680067001675042</v>
      </c>
      <c r="CJ171" s="24">
        <f>IF(CJ165=1,'Lease Cycles'!$D$17*IF(INDEX('Lease Cycles'!$EF$17:$EL$17,1,CJ163)=1,(1-'Lease Cycles'!$AJ$17)*INDEX('Lease Cycles'!$EM$17:$ES$17,1,CJ163)+(1-'Lease Cycles'!$BE$17)*IF(CJ164&lt;INDEX('Lease Cycles'!$FA$17:$FG$17,1,CJ163),0,1-INDEX('Lease Cycles'!$EM$17:$ES$17,1,CJ163)),IF(OR(INDEX('Lease Cycles'!$DY$17:$EE$17,1,CJ163)=1,CJ164&gt;0),1,1-INDEX('Lease Cycles'!$DD$17:$DJ$17,1,CJ163))*((1-'Lease Cycles'!$AJ$17)*INDEX('Lease Cycles'!$FO$17:$FU$17,1,CJ163)+(1-'Lease Cycles'!$BE$17)*(1-INDEX('Lease Cycles'!$FO$17:$FU$17,1,CJ163)))),0)</f>
        <v>0.02680067001675042</v>
      </c>
      <c r="CK171" s="24">
        <f>IF(CK165=1,'Lease Cycles'!$D$17*IF(INDEX('Lease Cycles'!$EF$17:$EL$17,1,CK163)=1,(1-'Lease Cycles'!$AJ$17)*INDEX('Lease Cycles'!$EM$17:$ES$17,1,CK163)+(1-'Lease Cycles'!$BE$17)*IF(CK164&lt;INDEX('Lease Cycles'!$FA$17:$FG$17,1,CK163),0,1-INDEX('Lease Cycles'!$EM$17:$ES$17,1,CK163)),IF(OR(INDEX('Lease Cycles'!$DY$17:$EE$17,1,CK163)=1,CK164&gt;0),1,1-INDEX('Lease Cycles'!$DD$17:$DJ$17,1,CK163))*((1-'Lease Cycles'!$AJ$17)*INDEX('Lease Cycles'!$FO$17:$FU$17,1,CK163)+(1-'Lease Cycles'!$BE$17)*(1-INDEX('Lease Cycles'!$FO$17:$FU$17,1,CK163)))),0)</f>
        <v>0.02680067001675042</v>
      </c>
      <c r="CL171" s="24">
        <f>IF(CL165=1,'Lease Cycles'!$D$17*IF(INDEX('Lease Cycles'!$EF$17:$EL$17,1,CL163)=1,(1-'Lease Cycles'!$AJ$17)*INDEX('Lease Cycles'!$EM$17:$ES$17,1,CL163)+(1-'Lease Cycles'!$BE$17)*IF(CL164&lt;INDEX('Lease Cycles'!$FA$17:$FG$17,1,CL163),0,1-INDEX('Lease Cycles'!$EM$17:$ES$17,1,CL163)),IF(OR(INDEX('Lease Cycles'!$DY$17:$EE$17,1,CL163)=1,CL164&gt;0),1,1-INDEX('Lease Cycles'!$DD$17:$DJ$17,1,CL163))*((1-'Lease Cycles'!$AJ$17)*INDEX('Lease Cycles'!$FO$17:$FU$17,1,CL163)+(1-'Lease Cycles'!$BE$17)*(1-INDEX('Lease Cycles'!$FO$17:$FU$17,1,CL163)))),0)</f>
        <v>0.02680067001675042</v>
      </c>
      <c r="CM171" s="24">
        <f>IF(CM165=1,'Lease Cycles'!$D$17*IF(INDEX('Lease Cycles'!$EF$17:$EL$17,1,CM163)=1,(1-'Lease Cycles'!$AJ$17)*INDEX('Lease Cycles'!$EM$17:$ES$17,1,CM163)+(1-'Lease Cycles'!$BE$17)*IF(CM164&lt;INDEX('Lease Cycles'!$FA$17:$FG$17,1,CM163),0,1-INDEX('Lease Cycles'!$EM$17:$ES$17,1,CM163)),IF(OR(INDEX('Lease Cycles'!$DY$17:$EE$17,1,CM163)=1,CM164&gt;0),1,1-INDEX('Lease Cycles'!$DD$17:$DJ$17,1,CM163))*((1-'Lease Cycles'!$AJ$17)*INDEX('Lease Cycles'!$FO$17:$FU$17,1,CM163)+(1-'Lease Cycles'!$BE$17)*(1-INDEX('Lease Cycles'!$FO$17:$FU$17,1,CM163)))),0)</f>
        <v>0.02680067001675042</v>
      </c>
      <c r="CN171" s="24">
        <f>IF(CN165=1,'Lease Cycles'!$D$17*IF(INDEX('Lease Cycles'!$EF$17:$EL$17,1,CN163)=1,(1-'Lease Cycles'!$AJ$17)*INDEX('Lease Cycles'!$EM$17:$ES$17,1,CN163)+(1-'Lease Cycles'!$BE$17)*IF(CN164&lt;INDEX('Lease Cycles'!$FA$17:$FG$17,1,CN163),0,1-INDEX('Lease Cycles'!$EM$17:$ES$17,1,CN163)),IF(OR(INDEX('Lease Cycles'!$DY$17:$EE$17,1,CN163)=1,CN164&gt;0),1,1-INDEX('Lease Cycles'!$DD$17:$DJ$17,1,CN163))*((1-'Lease Cycles'!$AJ$17)*INDEX('Lease Cycles'!$FO$17:$FU$17,1,CN163)+(1-'Lease Cycles'!$BE$17)*(1-INDEX('Lease Cycles'!$FO$17:$FU$17,1,CN163)))),0)</f>
        <v>0.02680067001675042</v>
      </c>
      <c r="CO171" s="24">
        <f>IF(CO165=1,'Lease Cycles'!$D$17*IF(INDEX('Lease Cycles'!$EF$17:$EL$17,1,CO163)=1,(1-'Lease Cycles'!$AJ$17)*INDEX('Lease Cycles'!$EM$17:$ES$17,1,CO163)+(1-'Lease Cycles'!$BE$17)*IF(CO164&lt;INDEX('Lease Cycles'!$FA$17:$FG$17,1,CO163),0,1-INDEX('Lease Cycles'!$EM$17:$ES$17,1,CO163)),IF(OR(INDEX('Lease Cycles'!$DY$17:$EE$17,1,CO163)=1,CO164&gt;0),1,1-INDEX('Lease Cycles'!$DD$17:$DJ$17,1,CO163))*((1-'Lease Cycles'!$AJ$17)*INDEX('Lease Cycles'!$FO$17:$FU$17,1,CO163)+(1-'Lease Cycles'!$BE$17)*(1-INDEX('Lease Cycles'!$FO$17:$FU$17,1,CO163)))),0)</f>
        <v>0.02680067001675042</v>
      </c>
      <c r="CP171" s="24">
        <f>IF(CP165=1,'Lease Cycles'!$D$17*IF(INDEX('Lease Cycles'!$EF$17:$EL$17,1,CP163)=1,(1-'Lease Cycles'!$AJ$17)*INDEX('Lease Cycles'!$EM$17:$ES$17,1,CP163)+(1-'Lease Cycles'!$BE$17)*IF(CP164&lt;INDEX('Lease Cycles'!$FA$17:$FG$17,1,CP163),0,1-INDEX('Lease Cycles'!$EM$17:$ES$17,1,CP163)),IF(OR(INDEX('Lease Cycles'!$DY$17:$EE$17,1,CP163)=1,CP164&gt;0),1,1-INDEX('Lease Cycles'!$DD$17:$DJ$17,1,CP163))*((1-'Lease Cycles'!$AJ$17)*INDEX('Lease Cycles'!$FO$17:$FU$17,1,CP163)+(1-'Lease Cycles'!$BE$17)*(1-INDEX('Lease Cycles'!$FO$17:$FU$17,1,CP163)))),0)</f>
        <v>0.02680067001675042</v>
      </c>
      <c r="CQ171" s="24">
        <f>IF(CQ165=1,'Lease Cycles'!$D$17*IF(INDEX('Lease Cycles'!$EF$17:$EL$17,1,CQ163)=1,(1-'Lease Cycles'!$AJ$17)*INDEX('Lease Cycles'!$EM$17:$ES$17,1,CQ163)+(1-'Lease Cycles'!$BE$17)*IF(CQ164&lt;INDEX('Lease Cycles'!$FA$17:$FG$17,1,CQ163),0,1-INDEX('Lease Cycles'!$EM$17:$ES$17,1,CQ163)),IF(OR(INDEX('Lease Cycles'!$DY$17:$EE$17,1,CQ163)=1,CQ164&gt;0),1,1-INDEX('Lease Cycles'!$DD$17:$DJ$17,1,CQ163))*((1-'Lease Cycles'!$AJ$17)*INDEX('Lease Cycles'!$FO$17:$FU$17,1,CQ163)+(1-'Lease Cycles'!$BE$17)*(1-INDEX('Lease Cycles'!$FO$17:$FU$17,1,CQ163)))),0)</f>
        <v>0.02680067001675042</v>
      </c>
      <c r="CR171" s="24">
        <f>IF(CR165=1,'Lease Cycles'!$D$17*IF(INDEX('Lease Cycles'!$EF$17:$EL$17,1,CR163)=1,(1-'Lease Cycles'!$AJ$17)*INDEX('Lease Cycles'!$EM$17:$ES$17,1,CR163)+(1-'Lease Cycles'!$BE$17)*IF(CR164&lt;INDEX('Lease Cycles'!$FA$17:$FG$17,1,CR163),0,1-INDEX('Lease Cycles'!$EM$17:$ES$17,1,CR163)),IF(OR(INDEX('Lease Cycles'!$DY$17:$EE$17,1,CR163)=1,CR164&gt;0),1,1-INDEX('Lease Cycles'!$DD$17:$DJ$17,1,CR163))*((1-'Lease Cycles'!$AJ$17)*INDEX('Lease Cycles'!$FO$17:$FU$17,1,CR163)+(1-'Lease Cycles'!$BE$17)*(1-INDEX('Lease Cycles'!$FO$17:$FU$17,1,CR163)))),0)</f>
        <v>0.02680067001675042</v>
      </c>
      <c r="CS171" s="24">
        <f>IF(CS165=1,'Lease Cycles'!$D$17*IF(INDEX('Lease Cycles'!$EF$17:$EL$17,1,CS163)=1,(1-'Lease Cycles'!$AJ$17)*INDEX('Lease Cycles'!$EM$17:$ES$17,1,CS163)+(1-'Lease Cycles'!$BE$17)*IF(CS164&lt;INDEX('Lease Cycles'!$FA$17:$FG$17,1,CS163),0,1-INDEX('Lease Cycles'!$EM$17:$ES$17,1,CS163)),IF(OR(INDEX('Lease Cycles'!$DY$17:$EE$17,1,CS163)=1,CS164&gt;0),1,1-INDEX('Lease Cycles'!$DD$17:$DJ$17,1,CS163))*((1-'Lease Cycles'!$AJ$17)*INDEX('Lease Cycles'!$FO$17:$FU$17,1,CS163)+(1-'Lease Cycles'!$BE$17)*(1-INDEX('Lease Cycles'!$FO$17:$FU$17,1,CS163)))),0)</f>
        <v>0.02680067001675042</v>
      </c>
      <c r="CT171" s="24">
        <f>IF(CT165=1,'Lease Cycles'!$D$17*IF(INDEX('Lease Cycles'!$EF$17:$EL$17,1,CT163)=1,(1-'Lease Cycles'!$AJ$17)*INDEX('Lease Cycles'!$EM$17:$ES$17,1,CT163)+(1-'Lease Cycles'!$BE$17)*IF(CT164&lt;INDEX('Lease Cycles'!$FA$17:$FG$17,1,CT163),0,1-INDEX('Lease Cycles'!$EM$17:$ES$17,1,CT163)),IF(OR(INDEX('Lease Cycles'!$DY$17:$EE$17,1,CT163)=1,CT164&gt;0),1,1-INDEX('Lease Cycles'!$DD$17:$DJ$17,1,CT163))*((1-'Lease Cycles'!$AJ$17)*INDEX('Lease Cycles'!$FO$17:$FU$17,1,CT163)+(1-'Lease Cycles'!$BE$17)*(1-INDEX('Lease Cycles'!$FO$17:$FU$17,1,CT163)))),0)</f>
        <v>0.02680067001675042</v>
      </c>
      <c r="CU171" s="24">
        <f>IF(CU165=1,'Lease Cycles'!$D$17*IF(INDEX('Lease Cycles'!$EF$17:$EL$17,1,CU163)=1,(1-'Lease Cycles'!$AJ$17)*INDEX('Lease Cycles'!$EM$17:$ES$17,1,CU163)+(1-'Lease Cycles'!$BE$17)*IF(CU164&lt;INDEX('Lease Cycles'!$FA$17:$FG$17,1,CU163),0,1-INDEX('Lease Cycles'!$EM$17:$ES$17,1,CU163)),IF(OR(INDEX('Lease Cycles'!$DY$17:$EE$17,1,CU163)=1,CU164&gt;0),1,1-INDEX('Lease Cycles'!$DD$17:$DJ$17,1,CU163))*((1-'Lease Cycles'!$AJ$17)*INDEX('Lease Cycles'!$FO$17:$FU$17,1,CU163)+(1-'Lease Cycles'!$BE$17)*(1-INDEX('Lease Cycles'!$FO$17:$FU$17,1,CU163)))),0)</f>
        <v>0.02680067001675042</v>
      </c>
      <c r="CV171" s="24">
        <f>IF(CV165=1,'Lease Cycles'!$D$17*IF(INDEX('Lease Cycles'!$EF$17:$EL$17,1,CV163)=1,(1-'Lease Cycles'!$AJ$17)*INDEX('Lease Cycles'!$EM$17:$ES$17,1,CV163)+(1-'Lease Cycles'!$BE$17)*IF(CV164&lt;INDEX('Lease Cycles'!$FA$17:$FG$17,1,CV163),0,1-INDEX('Lease Cycles'!$EM$17:$ES$17,1,CV163)),IF(OR(INDEX('Lease Cycles'!$DY$17:$EE$17,1,CV163)=1,CV164&gt;0),1,1-INDEX('Lease Cycles'!$DD$17:$DJ$17,1,CV163))*((1-'Lease Cycles'!$AJ$17)*INDEX('Lease Cycles'!$FO$17:$FU$17,1,CV163)+(1-'Lease Cycles'!$BE$17)*(1-INDEX('Lease Cycles'!$FO$17:$FU$17,1,CV163)))),0)</f>
        <v>0.02680067001675042</v>
      </c>
      <c r="CW171" s="24">
        <f>IF(CW165=1,'Lease Cycles'!$D$17*IF(INDEX('Lease Cycles'!$EF$17:$EL$17,1,CW163)=1,(1-'Lease Cycles'!$AJ$17)*INDEX('Lease Cycles'!$EM$17:$ES$17,1,CW163)+(1-'Lease Cycles'!$BE$17)*IF(CW164&lt;INDEX('Lease Cycles'!$FA$17:$FG$17,1,CW163),0,1-INDEX('Lease Cycles'!$EM$17:$ES$17,1,CW163)),IF(OR(INDEX('Lease Cycles'!$DY$17:$EE$17,1,CW163)=1,CW164&gt;0),1,1-INDEX('Lease Cycles'!$DD$17:$DJ$17,1,CW163))*((1-'Lease Cycles'!$AJ$17)*INDEX('Lease Cycles'!$FO$17:$FU$17,1,CW163)+(1-'Lease Cycles'!$BE$17)*(1-INDEX('Lease Cycles'!$FO$17:$FU$17,1,CW163)))),0)</f>
        <v>0.02680067001675042</v>
      </c>
      <c r="CX171" s="24">
        <f>IF(CX165=1,'Lease Cycles'!$D$17*IF(INDEX('Lease Cycles'!$EF$17:$EL$17,1,CX163)=1,(1-'Lease Cycles'!$AJ$17)*INDEX('Lease Cycles'!$EM$17:$ES$17,1,CX163)+(1-'Lease Cycles'!$BE$17)*IF(CX164&lt;INDEX('Lease Cycles'!$FA$17:$FG$17,1,CX163),0,1-INDEX('Lease Cycles'!$EM$17:$ES$17,1,CX163)),IF(OR(INDEX('Lease Cycles'!$DY$17:$EE$17,1,CX163)=1,CX164&gt;0),1,1-INDEX('Lease Cycles'!$DD$17:$DJ$17,1,CX163))*((1-'Lease Cycles'!$AJ$17)*INDEX('Lease Cycles'!$FO$17:$FU$17,1,CX163)+(1-'Lease Cycles'!$BE$17)*(1-INDEX('Lease Cycles'!$FO$17:$FU$17,1,CX163)))),0)</f>
        <v>0.02680067001675042</v>
      </c>
      <c r="CY171" s="24">
        <f>IF(CY165=1,'Lease Cycles'!$D$17*IF(INDEX('Lease Cycles'!$EF$17:$EL$17,1,CY163)=1,(1-'Lease Cycles'!$AJ$17)*INDEX('Lease Cycles'!$EM$17:$ES$17,1,CY163)+(1-'Lease Cycles'!$BE$17)*IF(CY164&lt;INDEX('Lease Cycles'!$FA$17:$FG$17,1,CY163),0,1-INDEX('Lease Cycles'!$EM$17:$ES$17,1,CY163)),IF(OR(INDEX('Lease Cycles'!$DY$17:$EE$17,1,CY163)=1,CY164&gt;0),1,1-INDEX('Lease Cycles'!$DD$17:$DJ$17,1,CY163))*((1-'Lease Cycles'!$AJ$17)*INDEX('Lease Cycles'!$FO$17:$FU$17,1,CY163)+(1-'Lease Cycles'!$BE$17)*(1-INDEX('Lease Cycles'!$FO$17:$FU$17,1,CY163)))),0)</f>
        <v>0.02680067001675042</v>
      </c>
      <c r="CZ171" s="24">
        <f>IF(CZ165=1,'Lease Cycles'!$D$17*IF(INDEX('Lease Cycles'!$EF$17:$EL$17,1,CZ163)=1,(1-'Lease Cycles'!$AJ$17)*INDEX('Lease Cycles'!$EM$17:$ES$17,1,CZ163)+(1-'Lease Cycles'!$BE$17)*IF(CZ164&lt;INDEX('Lease Cycles'!$FA$17:$FG$17,1,CZ163),0,1-INDEX('Lease Cycles'!$EM$17:$ES$17,1,CZ163)),IF(OR(INDEX('Lease Cycles'!$DY$17:$EE$17,1,CZ163)=1,CZ164&gt;0),1,1-INDEX('Lease Cycles'!$DD$17:$DJ$17,1,CZ163))*((1-'Lease Cycles'!$AJ$17)*INDEX('Lease Cycles'!$FO$17:$FU$17,1,CZ163)+(1-'Lease Cycles'!$BE$17)*(1-INDEX('Lease Cycles'!$FO$17:$FU$17,1,CZ163)))),0)</f>
        <v>0.02680067001675042</v>
      </c>
      <c r="DA171" s="24">
        <f>IF(DA165=1,'Lease Cycles'!$D$17*IF(INDEX('Lease Cycles'!$EF$17:$EL$17,1,DA163)=1,(1-'Lease Cycles'!$AJ$17)*INDEX('Lease Cycles'!$EM$17:$ES$17,1,DA163)+(1-'Lease Cycles'!$BE$17)*IF(DA164&lt;INDEX('Lease Cycles'!$FA$17:$FG$17,1,DA163),0,1-INDEX('Lease Cycles'!$EM$17:$ES$17,1,DA163)),IF(OR(INDEX('Lease Cycles'!$DY$17:$EE$17,1,DA163)=1,DA164&gt;0),1,1-INDEX('Lease Cycles'!$DD$17:$DJ$17,1,DA163))*((1-'Lease Cycles'!$AJ$17)*INDEX('Lease Cycles'!$FO$17:$FU$17,1,DA163)+(1-'Lease Cycles'!$BE$17)*(1-INDEX('Lease Cycles'!$FO$17:$FU$17,1,DA163)))),0)</f>
        <v>0.02680067001675042</v>
      </c>
      <c r="DB171" s="24">
        <f>IF(DB165=1,'Lease Cycles'!$D$17*IF(INDEX('Lease Cycles'!$EF$17:$EL$17,1,DB163)=1,(1-'Lease Cycles'!$AJ$17)*INDEX('Lease Cycles'!$EM$17:$ES$17,1,DB163)+(1-'Lease Cycles'!$BE$17)*IF(DB164&lt;INDEX('Lease Cycles'!$FA$17:$FG$17,1,DB163),0,1-INDEX('Lease Cycles'!$EM$17:$ES$17,1,DB163)),IF(OR(INDEX('Lease Cycles'!$DY$17:$EE$17,1,DB163)=1,DB164&gt;0),1,1-INDEX('Lease Cycles'!$DD$17:$DJ$17,1,DB163))*((1-'Lease Cycles'!$AJ$17)*INDEX('Lease Cycles'!$FO$17:$FU$17,1,DB163)+(1-'Lease Cycles'!$BE$17)*(1-INDEX('Lease Cycles'!$FO$17:$FU$17,1,DB163)))),0)</f>
        <v>0.02680067001675042</v>
      </c>
      <c r="DC171" s="24">
        <f>IF(DC165=1,'Lease Cycles'!$D$17*IF(INDEX('Lease Cycles'!$EF$17:$EL$17,1,DC163)=1,(1-'Lease Cycles'!$AJ$17)*INDEX('Lease Cycles'!$EM$17:$ES$17,1,DC163)+(1-'Lease Cycles'!$BE$17)*IF(DC164&lt;INDEX('Lease Cycles'!$FA$17:$FG$17,1,DC163),0,1-INDEX('Lease Cycles'!$EM$17:$ES$17,1,DC163)),IF(OR(INDEX('Lease Cycles'!$DY$17:$EE$17,1,DC163)=1,DC164&gt;0),1,1-INDEX('Lease Cycles'!$DD$17:$DJ$17,1,DC163))*((1-'Lease Cycles'!$AJ$17)*INDEX('Lease Cycles'!$FO$17:$FU$17,1,DC163)+(1-'Lease Cycles'!$BE$17)*(1-INDEX('Lease Cycles'!$FO$17:$FU$17,1,DC163)))),0)</f>
        <v>0.02680067001675042</v>
      </c>
      <c r="DD171" s="24">
        <f>IF(DD165=1,'Lease Cycles'!$D$17*IF(INDEX('Lease Cycles'!$EF$17:$EL$17,1,DD163)=1,(1-'Lease Cycles'!$AJ$17)*INDEX('Lease Cycles'!$EM$17:$ES$17,1,DD163)+(1-'Lease Cycles'!$BE$17)*IF(DD164&lt;INDEX('Lease Cycles'!$FA$17:$FG$17,1,DD163),0,1-INDEX('Lease Cycles'!$EM$17:$ES$17,1,DD163)),IF(OR(INDEX('Lease Cycles'!$DY$17:$EE$17,1,DD163)=1,DD164&gt;0),1,1-INDEX('Lease Cycles'!$DD$17:$DJ$17,1,DD163))*((1-'Lease Cycles'!$AJ$17)*INDEX('Lease Cycles'!$FO$17:$FU$17,1,DD163)+(1-'Lease Cycles'!$BE$17)*(1-INDEX('Lease Cycles'!$FO$17:$FU$17,1,DD163)))),0)</f>
        <v>0.02680067001675042</v>
      </c>
      <c r="DE171" s="24">
        <f>IF(DE165=1,'Lease Cycles'!$D$17*IF(INDEX('Lease Cycles'!$EF$17:$EL$17,1,DE163)=1,(1-'Lease Cycles'!$AJ$17)*INDEX('Lease Cycles'!$EM$17:$ES$17,1,DE163)+(1-'Lease Cycles'!$BE$17)*IF(DE164&lt;INDEX('Lease Cycles'!$FA$17:$FG$17,1,DE163),0,1-INDEX('Lease Cycles'!$EM$17:$ES$17,1,DE163)),IF(OR(INDEX('Lease Cycles'!$DY$17:$EE$17,1,DE163)=1,DE164&gt;0),1,1-INDEX('Lease Cycles'!$DD$17:$DJ$17,1,DE163))*((1-'Lease Cycles'!$AJ$17)*INDEX('Lease Cycles'!$FO$17:$FU$17,1,DE163)+(1-'Lease Cycles'!$BE$17)*(1-INDEX('Lease Cycles'!$FO$17:$FU$17,1,DE163)))),0)</f>
        <v>0.02680067001675042</v>
      </c>
      <c r="DF171" s="24">
        <f>IF(DF165=1,'Lease Cycles'!$D$17*IF(INDEX('Lease Cycles'!$EF$17:$EL$17,1,DF163)=1,(1-'Lease Cycles'!$AJ$17)*INDEX('Lease Cycles'!$EM$17:$ES$17,1,DF163)+(1-'Lease Cycles'!$BE$17)*IF(DF164&lt;INDEX('Lease Cycles'!$FA$17:$FG$17,1,DF163),0,1-INDEX('Lease Cycles'!$EM$17:$ES$17,1,DF163)),IF(OR(INDEX('Lease Cycles'!$DY$17:$EE$17,1,DF163)=1,DF164&gt;0),1,1-INDEX('Lease Cycles'!$DD$17:$DJ$17,1,DF163))*((1-'Lease Cycles'!$AJ$17)*INDEX('Lease Cycles'!$FO$17:$FU$17,1,DF163)+(1-'Lease Cycles'!$BE$17)*(1-INDEX('Lease Cycles'!$FO$17:$FU$17,1,DF163)))),0)</f>
        <v>0.02680067001675042</v>
      </c>
      <c r="DG171" s="24">
        <f>IF(DG165=1,'Lease Cycles'!$D$17*IF(INDEX('Lease Cycles'!$EF$17:$EL$17,1,DG163)=1,(1-'Lease Cycles'!$AJ$17)*INDEX('Lease Cycles'!$EM$17:$ES$17,1,DG163)+(1-'Lease Cycles'!$BE$17)*IF(DG164&lt;INDEX('Lease Cycles'!$FA$17:$FG$17,1,DG163),0,1-INDEX('Lease Cycles'!$EM$17:$ES$17,1,DG163)),IF(OR(INDEX('Lease Cycles'!$DY$17:$EE$17,1,DG163)=1,DG164&gt;0),1,1-INDEX('Lease Cycles'!$DD$17:$DJ$17,1,DG163))*((1-'Lease Cycles'!$AJ$17)*INDEX('Lease Cycles'!$FO$17:$FU$17,1,DG163)+(1-'Lease Cycles'!$BE$17)*(1-INDEX('Lease Cycles'!$FO$17:$FU$17,1,DG163)))),0)</f>
        <v>0.02680067001675042</v>
      </c>
      <c r="DH171" s="24">
        <f>IF(DH165=1,'Lease Cycles'!$D$17*IF(INDEX('Lease Cycles'!$EF$17:$EL$17,1,DH163)=1,(1-'Lease Cycles'!$AJ$17)*INDEX('Lease Cycles'!$EM$17:$ES$17,1,DH163)+(1-'Lease Cycles'!$BE$17)*IF(DH164&lt;INDEX('Lease Cycles'!$FA$17:$FG$17,1,DH163),0,1-INDEX('Lease Cycles'!$EM$17:$ES$17,1,DH163)),IF(OR(INDEX('Lease Cycles'!$DY$17:$EE$17,1,DH163)=1,DH164&gt;0),1,1-INDEX('Lease Cycles'!$DD$17:$DJ$17,1,DH163))*((1-'Lease Cycles'!$AJ$17)*INDEX('Lease Cycles'!$FO$17:$FU$17,1,DH163)+(1-'Lease Cycles'!$BE$17)*(1-INDEX('Lease Cycles'!$FO$17:$FU$17,1,DH163)))),0)</f>
        <v>0</v>
      </c>
      <c r="DI171" s="24">
        <f>IF(DI165=1,'Lease Cycles'!$D$17*IF(INDEX('Lease Cycles'!$EF$17:$EL$17,1,DI163)=1,(1-'Lease Cycles'!$AJ$17)*INDEX('Lease Cycles'!$EM$17:$ES$17,1,DI163)+(1-'Lease Cycles'!$BE$17)*IF(DI164&lt;INDEX('Lease Cycles'!$FA$17:$FG$17,1,DI163),0,1-INDEX('Lease Cycles'!$EM$17:$ES$17,1,DI163)),IF(OR(INDEX('Lease Cycles'!$DY$17:$EE$17,1,DI163)=1,DI164&gt;0),1,1-INDEX('Lease Cycles'!$DD$17:$DJ$17,1,DI163))*((1-'Lease Cycles'!$AJ$17)*INDEX('Lease Cycles'!$FO$17:$FU$17,1,DI163)+(1-'Lease Cycles'!$BE$17)*(1-INDEX('Lease Cycles'!$FO$17:$FU$17,1,DI163)))),0)</f>
        <v>0.02144053601340026</v>
      </c>
      <c r="DJ171" s="24">
        <f>IF(DJ165=1,'Lease Cycles'!$D$17*IF(INDEX('Lease Cycles'!$EF$17:$EL$17,1,DJ163)=1,(1-'Lease Cycles'!$AJ$17)*INDEX('Lease Cycles'!$EM$17:$ES$17,1,DJ163)+(1-'Lease Cycles'!$BE$17)*IF(DJ164&lt;INDEX('Lease Cycles'!$FA$17:$FG$17,1,DJ163),0,1-INDEX('Lease Cycles'!$EM$17:$ES$17,1,DJ163)),IF(OR(INDEX('Lease Cycles'!$DY$17:$EE$17,1,DJ163)=1,DJ164&gt;0),1,1-INDEX('Lease Cycles'!$DD$17:$DJ$17,1,DJ163))*((1-'Lease Cycles'!$AJ$17)*INDEX('Lease Cycles'!$FO$17:$FU$17,1,DJ163)+(1-'Lease Cycles'!$BE$17)*(1-INDEX('Lease Cycles'!$FO$17:$FU$17,1,DJ163)))),0)</f>
        <v>0.02680067001675042</v>
      </c>
      <c r="DK171" s="24">
        <f>IF(DK165=1,'Lease Cycles'!$D$17*IF(INDEX('Lease Cycles'!$EF$17:$EL$17,1,DK163)=1,(1-'Lease Cycles'!$AJ$17)*INDEX('Lease Cycles'!$EM$17:$ES$17,1,DK163)+(1-'Lease Cycles'!$BE$17)*IF(DK164&lt;INDEX('Lease Cycles'!$FA$17:$FG$17,1,DK163),0,1-INDEX('Lease Cycles'!$EM$17:$ES$17,1,DK163)),IF(OR(INDEX('Lease Cycles'!$DY$17:$EE$17,1,DK163)=1,DK164&gt;0),1,1-INDEX('Lease Cycles'!$DD$17:$DJ$17,1,DK163))*((1-'Lease Cycles'!$AJ$17)*INDEX('Lease Cycles'!$FO$17:$FU$17,1,DK163)+(1-'Lease Cycles'!$BE$17)*(1-INDEX('Lease Cycles'!$FO$17:$FU$17,1,DK163)))),0)</f>
        <v>0.02680067001675042</v>
      </c>
      <c r="DL171" s="24">
        <f>IF(DL165=1,'Lease Cycles'!$D$17*IF(INDEX('Lease Cycles'!$EF$17:$EL$17,1,DL163)=1,(1-'Lease Cycles'!$AJ$17)*INDEX('Lease Cycles'!$EM$17:$ES$17,1,DL163)+(1-'Lease Cycles'!$BE$17)*IF(DL164&lt;INDEX('Lease Cycles'!$FA$17:$FG$17,1,DL163),0,1-INDEX('Lease Cycles'!$EM$17:$ES$17,1,DL163)),IF(OR(INDEX('Lease Cycles'!$DY$17:$EE$17,1,DL163)=1,DL164&gt;0),1,1-INDEX('Lease Cycles'!$DD$17:$DJ$17,1,DL163))*((1-'Lease Cycles'!$AJ$17)*INDEX('Lease Cycles'!$FO$17:$FU$17,1,DL163)+(1-'Lease Cycles'!$BE$17)*(1-INDEX('Lease Cycles'!$FO$17:$FU$17,1,DL163)))),0)</f>
        <v>0.02680067001675042</v>
      </c>
      <c r="DM171" s="24">
        <f>IF(DM165=1,'Lease Cycles'!$D$17*IF(INDEX('Lease Cycles'!$EF$17:$EL$17,1,DM163)=1,(1-'Lease Cycles'!$AJ$17)*INDEX('Lease Cycles'!$EM$17:$ES$17,1,DM163)+(1-'Lease Cycles'!$BE$17)*IF(DM164&lt;INDEX('Lease Cycles'!$FA$17:$FG$17,1,DM163),0,1-INDEX('Lease Cycles'!$EM$17:$ES$17,1,DM163)),IF(OR(INDEX('Lease Cycles'!$DY$17:$EE$17,1,DM163)=1,DM164&gt;0),1,1-INDEX('Lease Cycles'!$DD$17:$DJ$17,1,DM163))*((1-'Lease Cycles'!$AJ$17)*INDEX('Lease Cycles'!$FO$17:$FU$17,1,DM163)+(1-'Lease Cycles'!$BE$17)*(1-INDEX('Lease Cycles'!$FO$17:$FU$17,1,DM163)))),0)</f>
        <v>0.02680067001675042</v>
      </c>
      <c r="DN171" s="24">
        <f>IF(DN165=1,'Lease Cycles'!$D$17*IF(INDEX('Lease Cycles'!$EF$17:$EL$17,1,DN163)=1,(1-'Lease Cycles'!$AJ$17)*INDEX('Lease Cycles'!$EM$17:$ES$17,1,DN163)+(1-'Lease Cycles'!$BE$17)*IF(DN164&lt;INDEX('Lease Cycles'!$FA$17:$FG$17,1,DN163),0,1-INDEX('Lease Cycles'!$EM$17:$ES$17,1,DN163)),IF(OR(INDEX('Lease Cycles'!$DY$17:$EE$17,1,DN163)=1,DN164&gt;0),1,1-INDEX('Lease Cycles'!$DD$17:$DJ$17,1,DN163))*((1-'Lease Cycles'!$AJ$17)*INDEX('Lease Cycles'!$FO$17:$FU$17,1,DN163)+(1-'Lease Cycles'!$BE$17)*(1-INDEX('Lease Cycles'!$FO$17:$FU$17,1,DN163)))),0)</f>
        <v>0.02680067001675042</v>
      </c>
      <c r="DO171" s="24">
        <f>IF(DO165=1,'Lease Cycles'!$D$17*IF(INDEX('Lease Cycles'!$EF$17:$EL$17,1,DO163)=1,(1-'Lease Cycles'!$AJ$17)*INDEX('Lease Cycles'!$EM$17:$ES$17,1,DO163)+(1-'Lease Cycles'!$BE$17)*IF(DO164&lt;INDEX('Lease Cycles'!$FA$17:$FG$17,1,DO163),0,1-INDEX('Lease Cycles'!$EM$17:$ES$17,1,DO163)),IF(OR(INDEX('Lease Cycles'!$DY$17:$EE$17,1,DO163)=1,DO164&gt;0),1,1-INDEX('Lease Cycles'!$DD$17:$DJ$17,1,DO163))*((1-'Lease Cycles'!$AJ$17)*INDEX('Lease Cycles'!$FO$17:$FU$17,1,DO163)+(1-'Lease Cycles'!$BE$17)*(1-INDEX('Lease Cycles'!$FO$17:$FU$17,1,DO163)))),0)</f>
        <v>0.02680067001675042</v>
      </c>
      <c r="DP171" s="24">
        <f>IF(DP165=1,'Lease Cycles'!$D$17*IF(INDEX('Lease Cycles'!$EF$17:$EL$17,1,DP163)=1,(1-'Lease Cycles'!$AJ$17)*INDEX('Lease Cycles'!$EM$17:$ES$17,1,DP163)+(1-'Lease Cycles'!$BE$17)*IF(DP164&lt;INDEX('Lease Cycles'!$FA$17:$FG$17,1,DP163),0,1-INDEX('Lease Cycles'!$EM$17:$ES$17,1,DP163)),IF(OR(INDEX('Lease Cycles'!$DY$17:$EE$17,1,DP163)=1,DP164&gt;0),1,1-INDEX('Lease Cycles'!$DD$17:$DJ$17,1,DP163))*((1-'Lease Cycles'!$AJ$17)*INDEX('Lease Cycles'!$FO$17:$FU$17,1,DP163)+(1-'Lease Cycles'!$BE$17)*(1-INDEX('Lease Cycles'!$FO$17:$FU$17,1,DP163)))),0)</f>
        <v>0.02680067001675042</v>
      </c>
      <c r="DQ171" s="24">
        <f>IF(DQ165=1,'Lease Cycles'!$D$17*IF(INDEX('Lease Cycles'!$EF$17:$EL$17,1,DQ163)=1,(1-'Lease Cycles'!$AJ$17)*INDEX('Lease Cycles'!$EM$17:$ES$17,1,DQ163)+(1-'Lease Cycles'!$BE$17)*IF(DQ164&lt;INDEX('Lease Cycles'!$FA$17:$FG$17,1,DQ163),0,1-INDEX('Lease Cycles'!$EM$17:$ES$17,1,DQ163)),IF(OR(INDEX('Lease Cycles'!$DY$17:$EE$17,1,DQ163)=1,DQ164&gt;0),1,1-INDEX('Lease Cycles'!$DD$17:$DJ$17,1,DQ163))*((1-'Lease Cycles'!$AJ$17)*INDEX('Lease Cycles'!$FO$17:$FU$17,1,DQ163)+(1-'Lease Cycles'!$BE$17)*(1-INDEX('Lease Cycles'!$FO$17:$FU$17,1,DQ163)))),0)</f>
        <v>0.02680067001675042</v>
      </c>
      <c r="DR171" s="24">
        <f>IF(DR165=1,'Lease Cycles'!$D$17*IF(INDEX('Lease Cycles'!$EF$17:$EL$17,1,DR163)=1,(1-'Lease Cycles'!$AJ$17)*INDEX('Lease Cycles'!$EM$17:$ES$17,1,DR163)+(1-'Lease Cycles'!$BE$17)*IF(DR164&lt;INDEX('Lease Cycles'!$FA$17:$FG$17,1,DR163),0,1-INDEX('Lease Cycles'!$EM$17:$ES$17,1,DR163)),IF(OR(INDEX('Lease Cycles'!$DY$17:$EE$17,1,DR163)=1,DR164&gt;0),1,1-INDEX('Lease Cycles'!$DD$17:$DJ$17,1,DR163))*((1-'Lease Cycles'!$AJ$17)*INDEX('Lease Cycles'!$FO$17:$FU$17,1,DR163)+(1-'Lease Cycles'!$BE$17)*(1-INDEX('Lease Cycles'!$FO$17:$FU$17,1,DR163)))),0)</f>
        <v>0.02680067001675042</v>
      </c>
      <c r="DS171" s="24">
        <f>IF(DS165=1,'Lease Cycles'!$D$17*IF(INDEX('Lease Cycles'!$EF$17:$EL$17,1,DS163)=1,(1-'Lease Cycles'!$AJ$17)*INDEX('Lease Cycles'!$EM$17:$ES$17,1,DS163)+(1-'Lease Cycles'!$BE$17)*IF(DS164&lt;INDEX('Lease Cycles'!$FA$17:$FG$17,1,DS163),0,1-INDEX('Lease Cycles'!$EM$17:$ES$17,1,DS163)),IF(OR(INDEX('Lease Cycles'!$DY$17:$EE$17,1,DS163)=1,DS164&gt;0),1,1-INDEX('Lease Cycles'!$DD$17:$DJ$17,1,DS163))*((1-'Lease Cycles'!$AJ$17)*INDEX('Lease Cycles'!$FO$17:$FU$17,1,DS163)+(1-'Lease Cycles'!$BE$17)*(1-INDEX('Lease Cycles'!$FO$17:$FU$17,1,DS163)))),0)</f>
        <v>0.02680067001675042</v>
      </c>
      <c r="DT171" s="24">
        <f>IF(DT165=1,'Lease Cycles'!$D$17*IF(INDEX('Lease Cycles'!$EF$17:$EL$17,1,DT163)=1,(1-'Lease Cycles'!$AJ$17)*INDEX('Lease Cycles'!$EM$17:$ES$17,1,DT163)+(1-'Lease Cycles'!$BE$17)*IF(DT164&lt;INDEX('Lease Cycles'!$FA$17:$FG$17,1,DT163),0,1-INDEX('Lease Cycles'!$EM$17:$ES$17,1,DT163)),IF(OR(INDEX('Lease Cycles'!$DY$17:$EE$17,1,DT163)=1,DT164&gt;0),1,1-INDEX('Lease Cycles'!$DD$17:$DJ$17,1,DT163))*((1-'Lease Cycles'!$AJ$17)*INDEX('Lease Cycles'!$FO$17:$FU$17,1,DT163)+(1-'Lease Cycles'!$BE$17)*(1-INDEX('Lease Cycles'!$FO$17:$FU$17,1,DT163)))),0)</f>
        <v>0.02680067001675042</v>
      </c>
      <c r="DU171" s="24">
        <f>IF(DU165=1,'Lease Cycles'!$D$17*IF(INDEX('Lease Cycles'!$EF$17:$EL$17,1,DU163)=1,(1-'Lease Cycles'!$AJ$17)*INDEX('Lease Cycles'!$EM$17:$ES$17,1,DU163)+(1-'Lease Cycles'!$BE$17)*IF(DU164&lt;INDEX('Lease Cycles'!$FA$17:$FG$17,1,DU163),0,1-INDEX('Lease Cycles'!$EM$17:$ES$17,1,DU163)),IF(OR(INDEX('Lease Cycles'!$DY$17:$EE$17,1,DU163)=1,DU164&gt;0),1,1-INDEX('Lease Cycles'!$DD$17:$DJ$17,1,DU163))*((1-'Lease Cycles'!$AJ$17)*INDEX('Lease Cycles'!$FO$17:$FU$17,1,DU163)+(1-'Lease Cycles'!$BE$17)*(1-INDEX('Lease Cycles'!$FO$17:$FU$17,1,DU163)))),0)</f>
        <v>0.02680067001675042</v>
      </c>
      <c r="DV171" s="24">
        <f>IF(DV165=1,'Lease Cycles'!$D$17*IF(INDEX('Lease Cycles'!$EF$17:$EL$17,1,DV163)=1,(1-'Lease Cycles'!$AJ$17)*INDEX('Lease Cycles'!$EM$17:$ES$17,1,DV163)+(1-'Lease Cycles'!$BE$17)*IF(DV164&lt;INDEX('Lease Cycles'!$FA$17:$FG$17,1,DV163),0,1-INDEX('Lease Cycles'!$EM$17:$ES$17,1,DV163)),IF(OR(INDEX('Lease Cycles'!$DY$17:$EE$17,1,DV163)=1,DV164&gt;0),1,1-INDEX('Lease Cycles'!$DD$17:$DJ$17,1,DV163))*((1-'Lease Cycles'!$AJ$17)*INDEX('Lease Cycles'!$FO$17:$FU$17,1,DV163)+(1-'Lease Cycles'!$BE$17)*(1-INDEX('Lease Cycles'!$FO$17:$FU$17,1,DV163)))),0)</f>
        <v>0.02680067001675042</v>
      </c>
      <c r="DW171" s="24">
        <f>IF(DW165=1,'Lease Cycles'!$D$17*IF(INDEX('Lease Cycles'!$EF$17:$EL$17,1,DW163)=1,(1-'Lease Cycles'!$AJ$17)*INDEX('Lease Cycles'!$EM$17:$ES$17,1,DW163)+(1-'Lease Cycles'!$BE$17)*IF(DW164&lt;INDEX('Lease Cycles'!$FA$17:$FG$17,1,DW163),0,1-INDEX('Lease Cycles'!$EM$17:$ES$17,1,DW163)),IF(OR(INDEX('Lease Cycles'!$DY$17:$EE$17,1,DW163)=1,DW164&gt;0),1,1-INDEX('Lease Cycles'!$DD$17:$DJ$17,1,DW163))*((1-'Lease Cycles'!$AJ$17)*INDEX('Lease Cycles'!$FO$17:$FU$17,1,DW163)+(1-'Lease Cycles'!$BE$17)*(1-INDEX('Lease Cycles'!$FO$17:$FU$17,1,DW163)))),0)</f>
        <v>0.02680067001675042</v>
      </c>
      <c r="DX171" s="24">
        <f>IF(DX165=1,'Lease Cycles'!$D$17*IF(INDEX('Lease Cycles'!$EF$17:$EL$17,1,DX163)=1,(1-'Lease Cycles'!$AJ$17)*INDEX('Lease Cycles'!$EM$17:$ES$17,1,DX163)+(1-'Lease Cycles'!$BE$17)*IF(DX164&lt;INDEX('Lease Cycles'!$FA$17:$FG$17,1,DX163),0,1-INDEX('Lease Cycles'!$EM$17:$ES$17,1,DX163)),IF(OR(INDEX('Lease Cycles'!$DY$17:$EE$17,1,DX163)=1,DX164&gt;0),1,1-INDEX('Lease Cycles'!$DD$17:$DJ$17,1,DX163))*((1-'Lease Cycles'!$AJ$17)*INDEX('Lease Cycles'!$FO$17:$FU$17,1,DX163)+(1-'Lease Cycles'!$BE$17)*(1-INDEX('Lease Cycles'!$FO$17:$FU$17,1,DX163)))),0)</f>
        <v>0.02680067001675042</v>
      </c>
      <c r="DY171" s="24">
        <f>IF(DY165=1,'Lease Cycles'!$D$17*IF(INDEX('Lease Cycles'!$EF$17:$EL$17,1,DY163)=1,(1-'Lease Cycles'!$AJ$17)*INDEX('Lease Cycles'!$EM$17:$ES$17,1,DY163)+(1-'Lease Cycles'!$BE$17)*IF(DY164&lt;INDEX('Lease Cycles'!$FA$17:$FG$17,1,DY163),0,1-INDEX('Lease Cycles'!$EM$17:$ES$17,1,DY163)),IF(OR(INDEX('Lease Cycles'!$DY$17:$EE$17,1,DY163)=1,DY164&gt;0),1,1-INDEX('Lease Cycles'!$DD$17:$DJ$17,1,DY163))*((1-'Lease Cycles'!$AJ$17)*INDEX('Lease Cycles'!$FO$17:$FU$17,1,DY163)+(1-'Lease Cycles'!$BE$17)*(1-INDEX('Lease Cycles'!$FO$17:$FU$17,1,DY163)))),0)</f>
        <v>0.02680067001675042</v>
      </c>
      <c r="DZ171" s="24">
        <f>IF(DZ165=1,'Lease Cycles'!$D$17*IF(INDEX('Lease Cycles'!$EF$17:$EL$17,1,DZ163)=1,(1-'Lease Cycles'!$AJ$17)*INDEX('Lease Cycles'!$EM$17:$ES$17,1,DZ163)+(1-'Lease Cycles'!$BE$17)*IF(DZ164&lt;INDEX('Lease Cycles'!$FA$17:$FG$17,1,DZ163),0,1-INDEX('Lease Cycles'!$EM$17:$ES$17,1,DZ163)),IF(OR(INDEX('Lease Cycles'!$DY$17:$EE$17,1,DZ163)=1,DZ164&gt;0),1,1-INDEX('Lease Cycles'!$DD$17:$DJ$17,1,DZ163))*((1-'Lease Cycles'!$AJ$17)*INDEX('Lease Cycles'!$FO$17:$FU$17,1,DZ163)+(1-'Lease Cycles'!$BE$17)*(1-INDEX('Lease Cycles'!$FO$17:$FU$17,1,DZ163)))),0)</f>
        <v>0.02680067001675042</v>
      </c>
      <c r="EA171" s="24">
        <f>IF(EA165=1,'Lease Cycles'!$D$17*IF(INDEX('Lease Cycles'!$EF$17:$EL$17,1,EA163)=1,(1-'Lease Cycles'!$AJ$17)*INDEX('Lease Cycles'!$EM$17:$ES$17,1,EA163)+(1-'Lease Cycles'!$BE$17)*IF(EA164&lt;INDEX('Lease Cycles'!$FA$17:$FG$17,1,EA163),0,1-INDEX('Lease Cycles'!$EM$17:$ES$17,1,EA163)),IF(OR(INDEX('Lease Cycles'!$DY$17:$EE$17,1,EA163)=1,EA164&gt;0),1,1-INDEX('Lease Cycles'!$DD$17:$DJ$17,1,EA163))*((1-'Lease Cycles'!$AJ$17)*INDEX('Lease Cycles'!$FO$17:$FU$17,1,EA163)+(1-'Lease Cycles'!$BE$17)*(1-INDEX('Lease Cycles'!$FO$17:$FU$17,1,EA163)))),0)</f>
        <v>0.02680067001675042</v>
      </c>
      <c r="EB171" s="24">
        <f>IF(EB165=1,'Lease Cycles'!$D$17*IF(INDEX('Lease Cycles'!$EF$17:$EL$17,1,EB163)=1,(1-'Lease Cycles'!$AJ$17)*INDEX('Lease Cycles'!$EM$17:$ES$17,1,EB163)+(1-'Lease Cycles'!$BE$17)*IF(EB164&lt;INDEX('Lease Cycles'!$FA$17:$FG$17,1,EB163),0,1-INDEX('Lease Cycles'!$EM$17:$ES$17,1,EB163)),IF(OR(INDEX('Lease Cycles'!$DY$17:$EE$17,1,EB163)=1,EB164&gt;0),1,1-INDEX('Lease Cycles'!$DD$17:$DJ$17,1,EB163))*((1-'Lease Cycles'!$AJ$17)*INDEX('Lease Cycles'!$FO$17:$FU$17,1,EB163)+(1-'Lease Cycles'!$BE$17)*(1-INDEX('Lease Cycles'!$FO$17:$FU$17,1,EB163)))),0)</f>
        <v>0.02680067001675042</v>
      </c>
      <c r="EC171" s="24">
        <f>IF(EC165=1,'Lease Cycles'!$D$17*IF(INDEX('Lease Cycles'!$EF$17:$EL$17,1,EC163)=1,(1-'Lease Cycles'!$AJ$17)*INDEX('Lease Cycles'!$EM$17:$ES$17,1,EC163)+(1-'Lease Cycles'!$BE$17)*IF(EC164&lt;INDEX('Lease Cycles'!$FA$17:$FG$17,1,EC163),0,1-INDEX('Lease Cycles'!$EM$17:$ES$17,1,EC163)),IF(OR(INDEX('Lease Cycles'!$DY$17:$EE$17,1,EC163)=1,EC164&gt;0),1,1-INDEX('Lease Cycles'!$DD$17:$DJ$17,1,EC163))*((1-'Lease Cycles'!$AJ$17)*INDEX('Lease Cycles'!$FO$17:$FU$17,1,EC163)+(1-'Lease Cycles'!$BE$17)*(1-INDEX('Lease Cycles'!$FO$17:$FU$17,1,EC163)))),0)</f>
        <v>0.02680067001675042</v>
      </c>
      <c r="ED171" s="24">
        <f>IF(ED165=1,'Lease Cycles'!$D$17*IF(INDEX('Lease Cycles'!$EF$17:$EL$17,1,ED163)=1,(1-'Lease Cycles'!$AJ$17)*INDEX('Lease Cycles'!$EM$17:$ES$17,1,ED163)+(1-'Lease Cycles'!$BE$17)*IF(ED164&lt;INDEX('Lease Cycles'!$FA$17:$FG$17,1,ED163),0,1-INDEX('Lease Cycles'!$EM$17:$ES$17,1,ED163)),IF(OR(INDEX('Lease Cycles'!$DY$17:$EE$17,1,ED163)=1,ED164&gt;0),1,1-INDEX('Lease Cycles'!$DD$17:$DJ$17,1,ED163))*((1-'Lease Cycles'!$AJ$17)*INDEX('Lease Cycles'!$FO$17:$FU$17,1,ED163)+(1-'Lease Cycles'!$BE$17)*(1-INDEX('Lease Cycles'!$FO$17:$FU$17,1,ED163)))),0)</f>
        <v>0.02680067001675042</v>
      </c>
      <c r="EE171" s="24">
        <f>IF(EE165=1,'Lease Cycles'!$D$17*IF(INDEX('Lease Cycles'!$EF$17:$EL$17,1,EE163)=1,(1-'Lease Cycles'!$AJ$17)*INDEX('Lease Cycles'!$EM$17:$ES$17,1,EE163)+(1-'Lease Cycles'!$BE$17)*IF(EE164&lt;INDEX('Lease Cycles'!$FA$17:$FG$17,1,EE163),0,1-INDEX('Lease Cycles'!$EM$17:$ES$17,1,EE163)),IF(OR(INDEX('Lease Cycles'!$DY$17:$EE$17,1,EE163)=1,EE164&gt;0),1,1-INDEX('Lease Cycles'!$DD$17:$DJ$17,1,EE163))*((1-'Lease Cycles'!$AJ$17)*INDEX('Lease Cycles'!$FO$17:$FU$17,1,EE163)+(1-'Lease Cycles'!$BE$17)*(1-INDEX('Lease Cycles'!$FO$17:$FU$17,1,EE163)))),0)</f>
        <v>0.02680067001675042</v>
      </c>
      <c r="EF171" s="24">
        <f>IF(EF165=1,'Lease Cycles'!$D$17*IF(INDEX('Lease Cycles'!$EF$17:$EL$17,1,EF163)=1,(1-'Lease Cycles'!$AJ$17)*INDEX('Lease Cycles'!$EM$17:$ES$17,1,EF163)+(1-'Lease Cycles'!$BE$17)*IF(EF164&lt;INDEX('Lease Cycles'!$FA$17:$FG$17,1,EF163),0,1-INDEX('Lease Cycles'!$EM$17:$ES$17,1,EF163)),IF(OR(INDEX('Lease Cycles'!$DY$17:$EE$17,1,EF163)=1,EF164&gt;0),1,1-INDEX('Lease Cycles'!$DD$17:$DJ$17,1,EF163))*((1-'Lease Cycles'!$AJ$17)*INDEX('Lease Cycles'!$FO$17:$FU$17,1,EF163)+(1-'Lease Cycles'!$BE$17)*(1-INDEX('Lease Cycles'!$FO$17:$FU$17,1,EF163)))),0)</f>
        <v>0.02680067001675042</v>
      </c>
      <c r="EG171" s="24">
        <f>IF(EG165=1,'Lease Cycles'!$D$17*IF(INDEX('Lease Cycles'!$EF$17:$EL$17,1,EG163)=1,(1-'Lease Cycles'!$AJ$17)*INDEX('Lease Cycles'!$EM$17:$ES$17,1,EG163)+(1-'Lease Cycles'!$BE$17)*IF(EG164&lt;INDEX('Lease Cycles'!$FA$17:$FG$17,1,EG163),0,1-INDEX('Lease Cycles'!$EM$17:$ES$17,1,EG163)),IF(OR(INDEX('Lease Cycles'!$DY$17:$EE$17,1,EG163)=1,EG164&gt;0),1,1-INDEX('Lease Cycles'!$DD$17:$DJ$17,1,EG163))*((1-'Lease Cycles'!$AJ$17)*INDEX('Lease Cycles'!$FO$17:$FU$17,1,EG163)+(1-'Lease Cycles'!$BE$17)*(1-INDEX('Lease Cycles'!$FO$17:$FU$17,1,EG163)))),0)</f>
        <v>0.02680067001675042</v>
      </c>
      <c r="EH171" s="24">
        <f>IF(EH165=1,'Lease Cycles'!$D$17*IF(INDEX('Lease Cycles'!$EF$17:$EL$17,1,EH163)=1,(1-'Lease Cycles'!$AJ$17)*INDEX('Lease Cycles'!$EM$17:$ES$17,1,EH163)+(1-'Lease Cycles'!$BE$17)*IF(EH164&lt;INDEX('Lease Cycles'!$FA$17:$FG$17,1,EH163),0,1-INDEX('Lease Cycles'!$EM$17:$ES$17,1,EH163)),IF(OR(INDEX('Lease Cycles'!$DY$17:$EE$17,1,EH163)=1,EH164&gt;0),1,1-INDEX('Lease Cycles'!$DD$17:$DJ$17,1,EH163))*((1-'Lease Cycles'!$AJ$17)*INDEX('Lease Cycles'!$FO$17:$FU$17,1,EH163)+(1-'Lease Cycles'!$BE$17)*(1-INDEX('Lease Cycles'!$FO$17:$FU$17,1,EH163)))),0)</f>
        <v>0.02680067001675042</v>
      </c>
      <c r="EI171" s="24">
        <f>IF(EI165=1,'Lease Cycles'!$D$17*IF(INDEX('Lease Cycles'!$EF$17:$EL$17,1,EI163)=1,(1-'Lease Cycles'!$AJ$17)*INDEX('Lease Cycles'!$EM$17:$ES$17,1,EI163)+(1-'Lease Cycles'!$BE$17)*IF(EI164&lt;INDEX('Lease Cycles'!$FA$17:$FG$17,1,EI163),0,1-INDEX('Lease Cycles'!$EM$17:$ES$17,1,EI163)),IF(OR(INDEX('Lease Cycles'!$DY$17:$EE$17,1,EI163)=1,EI164&gt;0),1,1-INDEX('Lease Cycles'!$DD$17:$DJ$17,1,EI163))*((1-'Lease Cycles'!$AJ$17)*INDEX('Lease Cycles'!$FO$17:$FU$17,1,EI163)+(1-'Lease Cycles'!$BE$17)*(1-INDEX('Lease Cycles'!$FO$17:$FU$17,1,EI163)))),0)</f>
        <v>0.02680067001675042</v>
      </c>
      <c r="EJ171" s="24">
        <f>IF(EJ165=1,'Lease Cycles'!$D$17*IF(INDEX('Lease Cycles'!$EF$17:$EL$17,1,EJ163)=1,(1-'Lease Cycles'!$AJ$17)*INDEX('Lease Cycles'!$EM$17:$ES$17,1,EJ163)+(1-'Lease Cycles'!$BE$17)*IF(EJ164&lt;INDEX('Lease Cycles'!$FA$17:$FG$17,1,EJ163),0,1-INDEX('Lease Cycles'!$EM$17:$ES$17,1,EJ163)),IF(OR(INDEX('Lease Cycles'!$DY$17:$EE$17,1,EJ163)=1,EJ164&gt;0),1,1-INDEX('Lease Cycles'!$DD$17:$DJ$17,1,EJ163))*((1-'Lease Cycles'!$AJ$17)*INDEX('Lease Cycles'!$FO$17:$FU$17,1,EJ163)+(1-'Lease Cycles'!$BE$17)*(1-INDEX('Lease Cycles'!$FO$17:$FU$17,1,EJ163)))),0)</f>
        <v>0.02680067001675042</v>
      </c>
      <c r="EK171" s="24">
        <f>IF(EK165=1,'Lease Cycles'!$D$17*IF(INDEX('Lease Cycles'!$EF$17:$EL$17,1,EK163)=1,(1-'Lease Cycles'!$AJ$17)*INDEX('Lease Cycles'!$EM$17:$ES$17,1,EK163)+(1-'Lease Cycles'!$BE$17)*IF(EK164&lt;INDEX('Lease Cycles'!$FA$17:$FG$17,1,EK163),0,1-INDEX('Lease Cycles'!$EM$17:$ES$17,1,EK163)),IF(OR(INDEX('Lease Cycles'!$DY$17:$EE$17,1,EK163)=1,EK164&gt;0),1,1-INDEX('Lease Cycles'!$DD$17:$DJ$17,1,EK163))*((1-'Lease Cycles'!$AJ$17)*INDEX('Lease Cycles'!$FO$17:$FU$17,1,EK163)+(1-'Lease Cycles'!$BE$17)*(1-INDEX('Lease Cycles'!$FO$17:$FU$17,1,EK163)))),0)</f>
        <v>0.02680067001675042</v>
      </c>
      <c r="EL171" s="24">
        <f>IF(EL165=1,'Lease Cycles'!$D$17*IF(INDEX('Lease Cycles'!$EF$17:$EL$17,1,EL163)=1,(1-'Lease Cycles'!$AJ$17)*INDEX('Lease Cycles'!$EM$17:$ES$17,1,EL163)+(1-'Lease Cycles'!$BE$17)*IF(EL164&lt;INDEX('Lease Cycles'!$FA$17:$FG$17,1,EL163),0,1-INDEX('Lease Cycles'!$EM$17:$ES$17,1,EL163)),IF(OR(INDEX('Lease Cycles'!$DY$17:$EE$17,1,EL163)=1,EL164&gt;0),1,1-INDEX('Lease Cycles'!$DD$17:$DJ$17,1,EL163))*((1-'Lease Cycles'!$AJ$17)*INDEX('Lease Cycles'!$FO$17:$FU$17,1,EL163)+(1-'Lease Cycles'!$BE$17)*(1-INDEX('Lease Cycles'!$FO$17:$FU$17,1,EL163)))),0)</f>
        <v>0.02680067001675042</v>
      </c>
      <c r="EM171" s="24">
        <f>IF(EM165=1,'Lease Cycles'!$D$17*IF(INDEX('Lease Cycles'!$EF$17:$EL$17,1,EM163)=1,(1-'Lease Cycles'!$AJ$17)*INDEX('Lease Cycles'!$EM$17:$ES$17,1,EM163)+(1-'Lease Cycles'!$BE$17)*IF(EM164&lt;INDEX('Lease Cycles'!$FA$17:$FG$17,1,EM163),0,1-INDEX('Lease Cycles'!$EM$17:$ES$17,1,EM163)),IF(OR(INDEX('Lease Cycles'!$DY$17:$EE$17,1,EM163)=1,EM164&gt;0),1,1-INDEX('Lease Cycles'!$DD$17:$DJ$17,1,EM163))*((1-'Lease Cycles'!$AJ$17)*INDEX('Lease Cycles'!$FO$17:$FU$17,1,EM163)+(1-'Lease Cycles'!$BE$17)*(1-INDEX('Lease Cycles'!$FO$17:$FU$17,1,EM163)))),0)</f>
        <v>0.02680067001675042</v>
      </c>
      <c r="EN171" s="24">
        <f>IF(EN165=1,'Lease Cycles'!$D$17*IF(INDEX('Lease Cycles'!$EF$17:$EL$17,1,EN163)=1,(1-'Lease Cycles'!$AJ$17)*INDEX('Lease Cycles'!$EM$17:$ES$17,1,EN163)+(1-'Lease Cycles'!$BE$17)*IF(EN164&lt;INDEX('Lease Cycles'!$FA$17:$FG$17,1,EN163),0,1-INDEX('Lease Cycles'!$EM$17:$ES$17,1,EN163)),IF(OR(INDEX('Lease Cycles'!$DY$17:$EE$17,1,EN163)=1,EN164&gt;0),1,1-INDEX('Lease Cycles'!$DD$17:$DJ$17,1,EN163))*((1-'Lease Cycles'!$AJ$17)*INDEX('Lease Cycles'!$FO$17:$FU$17,1,EN163)+(1-'Lease Cycles'!$BE$17)*(1-INDEX('Lease Cycles'!$FO$17:$FU$17,1,EN163)))),0)</f>
        <v>0.02680067001675042</v>
      </c>
      <c r="EO171" s="24">
        <f>IF(EO165=1,'Lease Cycles'!$D$17*IF(INDEX('Lease Cycles'!$EF$17:$EL$17,1,EO163)=1,(1-'Lease Cycles'!$AJ$17)*INDEX('Lease Cycles'!$EM$17:$ES$17,1,EO163)+(1-'Lease Cycles'!$BE$17)*IF(EO164&lt;INDEX('Lease Cycles'!$FA$17:$FG$17,1,EO163),0,1-INDEX('Lease Cycles'!$EM$17:$ES$17,1,EO163)),IF(OR(INDEX('Lease Cycles'!$DY$17:$EE$17,1,EO163)=1,EO164&gt;0),1,1-INDEX('Lease Cycles'!$DD$17:$DJ$17,1,EO163))*((1-'Lease Cycles'!$AJ$17)*INDEX('Lease Cycles'!$FO$17:$FU$17,1,EO163)+(1-'Lease Cycles'!$BE$17)*(1-INDEX('Lease Cycles'!$FO$17:$FU$17,1,EO163)))),0)</f>
        <v>0.02680067001675042</v>
      </c>
      <c r="EP171" s="24">
        <f>IF(EP165=1,'Lease Cycles'!$D$17*IF(INDEX('Lease Cycles'!$EF$17:$EL$17,1,EP163)=1,(1-'Lease Cycles'!$AJ$17)*INDEX('Lease Cycles'!$EM$17:$ES$17,1,EP163)+(1-'Lease Cycles'!$BE$17)*IF(EP164&lt;INDEX('Lease Cycles'!$FA$17:$FG$17,1,EP163),0,1-INDEX('Lease Cycles'!$EM$17:$ES$17,1,EP163)),IF(OR(INDEX('Lease Cycles'!$DY$17:$EE$17,1,EP163)=1,EP164&gt;0),1,1-INDEX('Lease Cycles'!$DD$17:$DJ$17,1,EP163))*((1-'Lease Cycles'!$AJ$17)*INDEX('Lease Cycles'!$FO$17:$FU$17,1,EP163)+(1-'Lease Cycles'!$BE$17)*(1-INDEX('Lease Cycles'!$FO$17:$FU$17,1,EP163)))),0)</f>
        <v>0.02680067001675042</v>
      </c>
      <c r="EQ171" s="24">
        <f>IF(EQ165=1,'Lease Cycles'!$D$17*IF(INDEX('Lease Cycles'!$EF$17:$EL$17,1,EQ163)=1,(1-'Lease Cycles'!$AJ$17)*INDEX('Lease Cycles'!$EM$17:$ES$17,1,EQ163)+(1-'Lease Cycles'!$BE$17)*IF(EQ164&lt;INDEX('Lease Cycles'!$FA$17:$FG$17,1,EQ163),0,1-INDEX('Lease Cycles'!$EM$17:$ES$17,1,EQ163)),IF(OR(INDEX('Lease Cycles'!$DY$17:$EE$17,1,EQ163)=1,EQ164&gt;0),1,1-INDEX('Lease Cycles'!$DD$17:$DJ$17,1,EQ163))*((1-'Lease Cycles'!$AJ$17)*INDEX('Lease Cycles'!$FO$17:$FU$17,1,EQ163)+(1-'Lease Cycles'!$BE$17)*(1-INDEX('Lease Cycles'!$FO$17:$FU$17,1,EQ163)))),0)</f>
        <v>0.02680067001675042</v>
      </c>
      <c r="ER171" s="24">
        <f>IF(ER165=1,'Lease Cycles'!$D$17*IF(INDEX('Lease Cycles'!$EF$17:$EL$17,1,ER163)=1,(1-'Lease Cycles'!$AJ$17)*INDEX('Lease Cycles'!$EM$17:$ES$17,1,ER163)+(1-'Lease Cycles'!$BE$17)*IF(ER164&lt;INDEX('Lease Cycles'!$FA$17:$FG$17,1,ER163),0,1-INDEX('Lease Cycles'!$EM$17:$ES$17,1,ER163)),IF(OR(INDEX('Lease Cycles'!$DY$17:$EE$17,1,ER163)=1,ER164&gt;0),1,1-INDEX('Lease Cycles'!$DD$17:$DJ$17,1,ER163))*((1-'Lease Cycles'!$AJ$17)*INDEX('Lease Cycles'!$FO$17:$FU$17,1,ER163)+(1-'Lease Cycles'!$BE$17)*(1-INDEX('Lease Cycles'!$FO$17:$FU$17,1,ER163)))),0)</f>
        <v>0.02680067001675042</v>
      </c>
      <c r="ES171" s="24">
        <f>IF(ES165=1,'Lease Cycles'!$D$17*IF(INDEX('Lease Cycles'!$EF$17:$EL$17,1,ES163)=1,(1-'Lease Cycles'!$AJ$17)*INDEX('Lease Cycles'!$EM$17:$ES$17,1,ES163)+(1-'Lease Cycles'!$BE$17)*IF(ES164&lt;INDEX('Lease Cycles'!$FA$17:$FG$17,1,ES163),0,1-INDEX('Lease Cycles'!$EM$17:$ES$17,1,ES163)),IF(OR(INDEX('Lease Cycles'!$DY$17:$EE$17,1,ES163)=1,ES164&gt;0),1,1-INDEX('Lease Cycles'!$DD$17:$DJ$17,1,ES163))*((1-'Lease Cycles'!$AJ$17)*INDEX('Lease Cycles'!$FO$17:$FU$17,1,ES163)+(1-'Lease Cycles'!$BE$17)*(1-INDEX('Lease Cycles'!$FO$17:$FU$17,1,ES163)))),0)</f>
        <v>0.02680067001675042</v>
      </c>
      <c r="ET171" s="24">
        <f>IF(ET165=1,'Lease Cycles'!$D$17*IF(INDEX('Lease Cycles'!$EF$17:$EL$17,1,ET163)=1,(1-'Lease Cycles'!$AJ$17)*INDEX('Lease Cycles'!$EM$17:$ES$17,1,ET163)+(1-'Lease Cycles'!$BE$17)*IF(ET164&lt;INDEX('Lease Cycles'!$FA$17:$FG$17,1,ET163),0,1-INDEX('Lease Cycles'!$EM$17:$ES$17,1,ET163)),IF(OR(INDEX('Lease Cycles'!$DY$17:$EE$17,1,ET163)=1,ET164&gt;0),1,1-INDEX('Lease Cycles'!$DD$17:$DJ$17,1,ET163))*((1-'Lease Cycles'!$AJ$17)*INDEX('Lease Cycles'!$FO$17:$FU$17,1,ET163)+(1-'Lease Cycles'!$BE$17)*(1-INDEX('Lease Cycles'!$FO$17:$FU$17,1,ET163)))),0)</f>
        <v>0.02680067001675042</v>
      </c>
    </row>
    <row r="172">
      <c r="A172" s="103">
        <v>10</v>
      </c>
      <c r="B172" s="23" t="str">
        <f>IF('Lease Cycles'!$B$17="","(empty slot)",'Lease Cycles'!$B$17)</f>
        <v>Available B-9</v>
      </c>
      <c r="C172" s="23" t="s">
        <v>685</v>
      </c>
      <c r="D172" s="104" t="s">
        <v>686</v>
      </c>
      <c r="E172" s="25">
        <f>'Lease Cycles'!$AL$17</f>
        <v>0</v>
      </c>
      <c r="G172" s="24">
        <f>SUM(S172:AD172)</f>
        <v>0</v>
      </c>
      <c r="H172" s="24">
        <f>SUM(AE172:AP172)</f>
        <v>0</v>
      </c>
      <c r="I172" s="24">
        <f>SUM(AQ172:BB172)</f>
        <v>0</v>
      </c>
      <c r="J172" s="24">
        <f>SUM(BC172:BN172)</f>
        <v>0</v>
      </c>
      <c r="K172" s="24">
        <f>SUM(BO172:BZ172)</f>
        <v>0</v>
      </c>
      <c r="L172" s="24">
        <f>SUM(CA172:CL172)</f>
        <v>0</v>
      </c>
      <c r="M172" s="24">
        <f>SUM(CM172:CX172)</f>
        <v>0</v>
      </c>
      <c r="N172" s="24">
        <f>SUM(CY172:DJ172)</f>
        <v>0</v>
      </c>
      <c r="O172" s="24">
        <f>SUM(DK172:DV172)</f>
        <v>0</v>
      </c>
      <c r="P172" s="24">
        <f>SUM(DW172:EH172)</f>
        <v>0</v>
      </c>
      <c r="Q172" s="24">
        <f>SUM(EI172:ET172)</f>
        <v>0</v>
      </c>
      <c r="S172" s="24">
        <f>IF(S165=1,IF('Lease Cycles'!$AJ$17=1,0,'Lease Cycles'!$D$17*INDEX('Lease Cycles'!$FH$17:$FN$17,1,S163)*IF(INDEX('Lease Cycles'!$EF$17:$EL$17,1,S163)=1,1,IF(OR(INDEX('Lease Cycles'!$DY$17:$EE$17,1,S163)=1,S164&gt;0),1,1-INDEX('Lease Cycles'!$DD$17:$DJ$17,1,S163)))),0)</f>
        <v>0</v>
      </c>
      <c r="T172" s="24">
        <f>IF(T165=1,IF('Lease Cycles'!$AJ$17=1,0,'Lease Cycles'!$D$17*INDEX('Lease Cycles'!$FH$17:$FN$17,1,T163)*IF(INDEX('Lease Cycles'!$EF$17:$EL$17,1,T163)=1,1,IF(OR(INDEX('Lease Cycles'!$DY$17:$EE$17,1,T163)=1,T164&gt;0),1,1-INDEX('Lease Cycles'!$DD$17:$DJ$17,1,T163)))),0)</f>
        <v>0</v>
      </c>
      <c r="U172" s="24">
        <f>IF(U165=1,IF('Lease Cycles'!$AJ$17=1,0,'Lease Cycles'!$D$17*INDEX('Lease Cycles'!$FH$17:$FN$17,1,U163)*IF(INDEX('Lease Cycles'!$EF$17:$EL$17,1,U163)=1,1,IF(OR(INDEX('Lease Cycles'!$DY$17:$EE$17,1,U163)=1,U164&gt;0),1,1-INDEX('Lease Cycles'!$DD$17:$DJ$17,1,U163)))),0)</f>
        <v>0</v>
      </c>
      <c r="V172" s="24">
        <f>IF(V165=1,IF('Lease Cycles'!$AJ$17=1,0,'Lease Cycles'!$D$17*INDEX('Lease Cycles'!$FH$17:$FN$17,1,V163)*IF(INDEX('Lease Cycles'!$EF$17:$EL$17,1,V163)=1,1,IF(OR(INDEX('Lease Cycles'!$DY$17:$EE$17,1,V163)=1,V164&gt;0),1,1-INDEX('Lease Cycles'!$DD$17:$DJ$17,1,V163)))),0)</f>
        <v>0</v>
      </c>
      <c r="W172" s="24">
        <f>IF(W165=1,IF('Lease Cycles'!$AJ$17=1,0,'Lease Cycles'!$D$17*INDEX('Lease Cycles'!$FH$17:$FN$17,1,W163)*IF(INDEX('Lease Cycles'!$EF$17:$EL$17,1,W163)=1,1,IF(OR(INDEX('Lease Cycles'!$DY$17:$EE$17,1,W163)=1,W164&gt;0),1,1-INDEX('Lease Cycles'!$DD$17:$DJ$17,1,W163)))),0)</f>
        <v>0</v>
      </c>
      <c r="X172" s="24">
        <f>IF(X165=1,IF('Lease Cycles'!$AJ$17=1,0,'Lease Cycles'!$D$17*INDEX('Lease Cycles'!$FH$17:$FN$17,1,X163)*IF(INDEX('Lease Cycles'!$EF$17:$EL$17,1,X163)=1,1,IF(OR(INDEX('Lease Cycles'!$DY$17:$EE$17,1,X163)=1,X164&gt;0),1,1-INDEX('Lease Cycles'!$DD$17:$DJ$17,1,X163)))),0)</f>
        <v>0</v>
      </c>
      <c r="Y172" s="24">
        <f>IF(Y165=1,IF('Lease Cycles'!$AJ$17=1,0,'Lease Cycles'!$D$17*INDEX('Lease Cycles'!$FH$17:$FN$17,1,Y163)*IF(INDEX('Lease Cycles'!$EF$17:$EL$17,1,Y163)=1,1,IF(OR(INDEX('Lease Cycles'!$DY$17:$EE$17,1,Y163)=1,Y164&gt;0),1,1-INDEX('Lease Cycles'!$DD$17:$DJ$17,1,Y163)))),0)</f>
        <v>0</v>
      </c>
      <c r="Z172" s="24">
        <f>IF(Z165=1,IF('Lease Cycles'!$AJ$17=1,0,'Lease Cycles'!$D$17*INDEX('Lease Cycles'!$FH$17:$FN$17,1,Z163)*IF(INDEX('Lease Cycles'!$EF$17:$EL$17,1,Z163)=1,1,IF(OR(INDEX('Lease Cycles'!$DY$17:$EE$17,1,Z163)=1,Z164&gt;0),1,1-INDEX('Lease Cycles'!$DD$17:$DJ$17,1,Z163)))),0)</f>
        <v>0</v>
      </c>
      <c r="AA172" s="24">
        <f>IF(AA165=1,IF('Lease Cycles'!$AJ$17=1,0,'Lease Cycles'!$D$17*INDEX('Lease Cycles'!$FH$17:$FN$17,1,AA163)*IF(INDEX('Lease Cycles'!$EF$17:$EL$17,1,AA163)=1,1,IF(OR(INDEX('Lease Cycles'!$DY$17:$EE$17,1,AA163)=1,AA164&gt;0),1,1-INDEX('Lease Cycles'!$DD$17:$DJ$17,1,AA163)))),0)</f>
        <v>0</v>
      </c>
      <c r="AB172" s="24">
        <f>IF(AB165=1,IF('Lease Cycles'!$AJ$17=1,0,'Lease Cycles'!$D$17*INDEX('Lease Cycles'!$FH$17:$FN$17,1,AB163)*IF(INDEX('Lease Cycles'!$EF$17:$EL$17,1,AB163)=1,1,IF(OR(INDEX('Lease Cycles'!$DY$17:$EE$17,1,AB163)=1,AB164&gt;0),1,1-INDEX('Lease Cycles'!$DD$17:$DJ$17,1,AB163)))),0)</f>
        <v>0</v>
      </c>
      <c r="AC172" s="24">
        <f>IF(AC165=1,IF('Lease Cycles'!$AJ$17=1,0,'Lease Cycles'!$D$17*INDEX('Lease Cycles'!$FH$17:$FN$17,1,AC163)*IF(INDEX('Lease Cycles'!$EF$17:$EL$17,1,AC163)=1,1,IF(OR(INDEX('Lease Cycles'!$DY$17:$EE$17,1,AC163)=1,AC164&gt;0),1,1-INDEX('Lease Cycles'!$DD$17:$DJ$17,1,AC163)))),0)</f>
        <v>0</v>
      </c>
      <c r="AD172" s="24">
        <f>IF(AD165=1,IF('Lease Cycles'!$AJ$17=1,0,'Lease Cycles'!$D$17*INDEX('Lease Cycles'!$FH$17:$FN$17,1,AD163)*IF(INDEX('Lease Cycles'!$EF$17:$EL$17,1,AD163)=1,1,IF(OR(INDEX('Lease Cycles'!$DY$17:$EE$17,1,AD163)=1,AD164&gt;0),1,1-INDEX('Lease Cycles'!$DD$17:$DJ$17,1,AD163)))),0)</f>
        <v>0</v>
      </c>
      <c r="AE172" s="24">
        <f>IF(AE165=1,IF('Lease Cycles'!$AJ$17=1,0,'Lease Cycles'!$D$17*INDEX('Lease Cycles'!$FH$17:$FN$17,1,AE163)*IF(INDEX('Lease Cycles'!$EF$17:$EL$17,1,AE163)=1,1,IF(OR(INDEX('Lease Cycles'!$DY$17:$EE$17,1,AE163)=1,AE164&gt;0),1,1-INDEX('Lease Cycles'!$DD$17:$DJ$17,1,AE163)))),0)</f>
        <v>0</v>
      </c>
      <c r="AF172" s="24">
        <f>IF(AF165=1,IF('Lease Cycles'!$AJ$17=1,0,'Lease Cycles'!$D$17*INDEX('Lease Cycles'!$FH$17:$FN$17,1,AF163)*IF(INDEX('Lease Cycles'!$EF$17:$EL$17,1,AF163)=1,1,IF(OR(INDEX('Lease Cycles'!$DY$17:$EE$17,1,AF163)=1,AF164&gt;0),1,1-INDEX('Lease Cycles'!$DD$17:$DJ$17,1,AF163)))),0)</f>
        <v>0</v>
      </c>
      <c r="AG172" s="24">
        <f>IF(AG165=1,IF('Lease Cycles'!$AJ$17=1,0,'Lease Cycles'!$D$17*INDEX('Lease Cycles'!$FH$17:$FN$17,1,AG163)*IF(INDEX('Lease Cycles'!$EF$17:$EL$17,1,AG163)=1,1,IF(OR(INDEX('Lease Cycles'!$DY$17:$EE$17,1,AG163)=1,AG164&gt;0),1,1-INDEX('Lease Cycles'!$DD$17:$DJ$17,1,AG163)))),0)</f>
        <v>0</v>
      </c>
      <c r="AH172" s="24">
        <f>IF(AH165=1,IF('Lease Cycles'!$AJ$17=1,0,'Lease Cycles'!$D$17*INDEX('Lease Cycles'!$FH$17:$FN$17,1,AH163)*IF(INDEX('Lease Cycles'!$EF$17:$EL$17,1,AH163)=1,1,IF(OR(INDEX('Lease Cycles'!$DY$17:$EE$17,1,AH163)=1,AH164&gt;0),1,1-INDEX('Lease Cycles'!$DD$17:$DJ$17,1,AH163)))),0)</f>
        <v>0</v>
      </c>
      <c r="AI172" s="24">
        <f>IF(AI165=1,IF('Lease Cycles'!$AJ$17=1,0,'Lease Cycles'!$D$17*INDEX('Lease Cycles'!$FH$17:$FN$17,1,AI163)*IF(INDEX('Lease Cycles'!$EF$17:$EL$17,1,AI163)=1,1,IF(OR(INDEX('Lease Cycles'!$DY$17:$EE$17,1,AI163)=1,AI164&gt;0),1,1-INDEX('Lease Cycles'!$DD$17:$DJ$17,1,AI163)))),0)</f>
        <v>0</v>
      </c>
      <c r="AJ172" s="24">
        <f>IF(AJ165=1,IF('Lease Cycles'!$AJ$17=1,0,'Lease Cycles'!$D$17*INDEX('Lease Cycles'!$FH$17:$FN$17,1,AJ163)*IF(INDEX('Lease Cycles'!$EF$17:$EL$17,1,AJ163)=1,1,IF(OR(INDEX('Lease Cycles'!$DY$17:$EE$17,1,AJ163)=1,AJ164&gt;0),1,1-INDEX('Lease Cycles'!$DD$17:$DJ$17,1,AJ163)))),0)</f>
        <v>0</v>
      </c>
      <c r="AK172" s="24">
        <f>IF(AK165=1,IF('Lease Cycles'!$AJ$17=1,0,'Lease Cycles'!$D$17*INDEX('Lease Cycles'!$FH$17:$FN$17,1,AK163)*IF(INDEX('Lease Cycles'!$EF$17:$EL$17,1,AK163)=1,1,IF(OR(INDEX('Lease Cycles'!$DY$17:$EE$17,1,AK163)=1,AK164&gt;0),1,1-INDEX('Lease Cycles'!$DD$17:$DJ$17,1,AK163)))),0)</f>
        <v>0</v>
      </c>
      <c r="AL172" s="24">
        <f>IF(AL165=1,IF('Lease Cycles'!$AJ$17=1,0,'Lease Cycles'!$D$17*INDEX('Lease Cycles'!$FH$17:$FN$17,1,AL163)*IF(INDEX('Lease Cycles'!$EF$17:$EL$17,1,AL163)=1,1,IF(OR(INDEX('Lease Cycles'!$DY$17:$EE$17,1,AL163)=1,AL164&gt;0),1,1-INDEX('Lease Cycles'!$DD$17:$DJ$17,1,AL163)))),0)</f>
        <v>0</v>
      </c>
      <c r="AM172" s="24">
        <f>IF(AM165=1,IF('Lease Cycles'!$AJ$17=1,0,'Lease Cycles'!$D$17*INDEX('Lease Cycles'!$FH$17:$FN$17,1,AM163)*IF(INDEX('Lease Cycles'!$EF$17:$EL$17,1,AM163)=1,1,IF(OR(INDEX('Lease Cycles'!$DY$17:$EE$17,1,AM163)=1,AM164&gt;0),1,1-INDEX('Lease Cycles'!$DD$17:$DJ$17,1,AM163)))),0)</f>
        <v>0</v>
      </c>
      <c r="AN172" s="24">
        <f>IF(AN165=1,IF('Lease Cycles'!$AJ$17=1,0,'Lease Cycles'!$D$17*INDEX('Lease Cycles'!$FH$17:$FN$17,1,AN163)*IF(INDEX('Lease Cycles'!$EF$17:$EL$17,1,AN163)=1,1,IF(OR(INDEX('Lease Cycles'!$DY$17:$EE$17,1,AN163)=1,AN164&gt;0),1,1-INDEX('Lease Cycles'!$DD$17:$DJ$17,1,AN163)))),0)</f>
        <v>0</v>
      </c>
      <c r="AO172" s="24">
        <f>IF(AO165=1,IF('Lease Cycles'!$AJ$17=1,0,'Lease Cycles'!$D$17*INDEX('Lease Cycles'!$FH$17:$FN$17,1,AO163)*IF(INDEX('Lease Cycles'!$EF$17:$EL$17,1,AO163)=1,1,IF(OR(INDEX('Lease Cycles'!$DY$17:$EE$17,1,AO163)=1,AO164&gt;0),1,1-INDEX('Lease Cycles'!$DD$17:$DJ$17,1,AO163)))),0)</f>
        <v>0</v>
      </c>
      <c r="AP172" s="24">
        <f>IF(AP165=1,IF('Lease Cycles'!$AJ$17=1,0,'Lease Cycles'!$D$17*INDEX('Lease Cycles'!$FH$17:$FN$17,1,AP163)*IF(INDEX('Lease Cycles'!$EF$17:$EL$17,1,AP163)=1,1,IF(OR(INDEX('Lease Cycles'!$DY$17:$EE$17,1,AP163)=1,AP164&gt;0),1,1-INDEX('Lease Cycles'!$DD$17:$DJ$17,1,AP163)))),0)</f>
        <v>0</v>
      </c>
      <c r="AQ172" s="24">
        <f>IF(AQ165=1,IF('Lease Cycles'!$AJ$17=1,0,'Lease Cycles'!$D$17*INDEX('Lease Cycles'!$FH$17:$FN$17,1,AQ163)*IF(INDEX('Lease Cycles'!$EF$17:$EL$17,1,AQ163)=1,1,IF(OR(INDEX('Lease Cycles'!$DY$17:$EE$17,1,AQ163)=1,AQ164&gt;0),1,1-INDEX('Lease Cycles'!$DD$17:$DJ$17,1,AQ163)))),0)</f>
        <v>0</v>
      </c>
      <c r="AR172" s="24">
        <f>IF(AR165=1,IF('Lease Cycles'!$AJ$17=1,0,'Lease Cycles'!$D$17*INDEX('Lease Cycles'!$FH$17:$FN$17,1,AR163)*IF(INDEX('Lease Cycles'!$EF$17:$EL$17,1,AR163)=1,1,IF(OR(INDEX('Lease Cycles'!$DY$17:$EE$17,1,AR163)=1,AR164&gt;0),1,1-INDEX('Lease Cycles'!$DD$17:$DJ$17,1,AR163)))),0)</f>
        <v>0</v>
      </c>
      <c r="AS172" s="24">
        <f>IF(AS165=1,IF('Lease Cycles'!$AJ$17=1,0,'Lease Cycles'!$D$17*INDEX('Lease Cycles'!$FH$17:$FN$17,1,AS163)*IF(INDEX('Lease Cycles'!$EF$17:$EL$17,1,AS163)=1,1,IF(OR(INDEX('Lease Cycles'!$DY$17:$EE$17,1,AS163)=1,AS164&gt;0),1,1-INDEX('Lease Cycles'!$DD$17:$DJ$17,1,AS163)))),0)</f>
        <v>0</v>
      </c>
      <c r="AT172" s="24">
        <f>IF(AT165=1,IF('Lease Cycles'!$AJ$17=1,0,'Lease Cycles'!$D$17*INDEX('Lease Cycles'!$FH$17:$FN$17,1,AT163)*IF(INDEX('Lease Cycles'!$EF$17:$EL$17,1,AT163)=1,1,IF(OR(INDEX('Lease Cycles'!$DY$17:$EE$17,1,AT163)=1,AT164&gt;0),1,1-INDEX('Lease Cycles'!$DD$17:$DJ$17,1,AT163)))),0)</f>
        <v>0</v>
      </c>
      <c r="AU172" s="24">
        <f>IF(AU165=1,IF('Lease Cycles'!$AJ$17=1,0,'Lease Cycles'!$D$17*INDEX('Lease Cycles'!$FH$17:$FN$17,1,AU163)*IF(INDEX('Lease Cycles'!$EF$17:$EL$17,1,AU163)=1,1,IF(OR(INDEX('Lease Cycles'!$DY$17:$EE$17,1,AU163)=1,AU164&gt;0),1,1-INDEX('Lease Cycles'!$DD$17:$DJ$17,1,AU163)))),0)</f>
        <v>0</v>
      </c>
      <c r="AV172" s="24">
        <f>IF(AV165=1,IF('Lease Cycles'!$AJ$17=1,0,'Lease Cycles'!$D$17*INDEX('Lease Cycles'!$FH$17:$FN$17,1,AV163)*IF(INDEX('Lease Cycles'!$EF$17:$EL$17,1,AV163)=1,1,IF(OR(INDEX('Lease Cycles'!$DY$17:$EE$17,1,AV163)=1,AV164&gt;0),1,1-INDEX('Lease Cycles'!$DD$17:$DJ$17,1,AV163)))),0)</f>
        <v>0</v>
      </c>
      <c r="AW172" s="24">
        <f>IF(AW165=1,IF('Lease Cycles'!$AJ$17=1,0,'Lease Cycles'!$D$17*INDEX('Lease Cycles'!$FH$17:$FN$17,1,AW163)*IF(INDEX('Lease Cycles'!$EF$17:$EL$17,1,AW163)=1,1,IF(OR(INDEX('Lease Cycles'!$DY$17:$EE$17,1,AW163)=1,AW164&gt;0),1,1-INDEX('Lease Cycles'!$DD$17:$DJ$17,1,AW163)))),0)</f>
        <v>0</v>
      </c>
      <c r="AX172" s="24">
        <f>IF(AX165=1,IF('Lease Cycles'!$AJ$17=1,0,'Lease Cycles'!$D$17*INDEX('Lease Cycles'!$FH$17:$FN$17,1,AX163)*IF(INDEX('Lease Cycles'!$EF$17:$EL$17,1,AX163)=1,1,IF(OR(INDEX('Lease Cycles'!$DY$17:$EE$17,1,AX163)=1,AX164&gt;0),1,1-INDEX('Lease Cycles'!$DD$17:$DJ$17,1,AX163)))),0)</f>
        <v>0</v>
      </c>
      <c r="AY172" s="24">
        <f>IF(AY165=1,IF('Lease Cycles'!$AJ$17=1,0,'Lease Cycles'!$D$17*INDEX('Lease Cycles'!$FH$17:$FN$17,1,AY163)*IF(INDEX('Lease Cycles'!$EF$17:$EL$17,1,AY163)=1,1,IF(OR(INDEX('Lease Cycles'!$DY$17:$EE$17,1,AY163)=1,AY164&gt;0),1,1-INDEX('Lease Cycles'!$DD$17:$DJ$17,1,AY163)))),0)</f>
        <v>0</v>
      </c>
      <c r="AZ172" s="24">
        <f>IF(AZ165=1,IF('Lease Cycles'!$AJ$17=1,0,'Lease Cycles'!$D$17*INDEX('Lease Cycles'!$FH$17:$FN$17,1,AZ163)*IF(INDEX('Lease Cycles'!$EF$17:$EL$17,1,AZ163)=1,1,IF(OR(INDEX('Lease Cycles'!$DY$17:$EE$17,1,AZ163)=1,AZ164&gt;0),1,1-INDEX('Lease Cycles'!$DD$17:$DJ$17,1,AZ163)))),0)</f>
        <v>0</v>
      </c>
      <c r="BA172" s="24">
        <f>IF(BA165=1,IF('Lease Cycles'!$AJ$17=1,0,'Lease Cycles'!$D$17*INDEX('Lease Cycles'!$FH$17:$FN$17,1,BA163)*IF(INDEX('Lease Cycles'!$EF$17:$EL$17,1,BA163)=1,1,IF(OR(INDEX('Lease Cycles'!$DY$17:$EE$17,1,BA163)=1,BA164&gt;0),1,1-INDEX('Lease Cycles'!$DD$17:$DJ$17,1,BA163)))),0)</f>
        <v>0</v>
      </c>
      <c r="BB172" s="24">
        <f>IF(BB165=1,IF('Lease Cycles'!$AJ$17=1,0,'Lease Cycles'!$D$17*INDEX('Lease Cycles'!$FH$17:$FN$17,1,BB163)*IF(INDEX('Lease Cycles'!$EF$17:$EL$17,1,BB163)=1,1,IF(OR(INDEX('Lease Cycles'!$DY$17:$EE$17,1,BB163)=1,BB164&gt;0),1,1-INDEX('Lease Cycles'!$DD$17:$DJ$17,1,BB163)))),0)</f>
        <v>0</v>
      </c>
      <c r="BC172" s="24">
        <f>IF(BC165=1,IF('Lease Cycles'!$AJ$17=1,0,'Lease Cycles'!$D$17*INDEX('Lease Cycles'!$FH$17:$FN$17,1,BC163)*IF(INDEX('Lease Cycles'!$EF$17:$EL$17,1,BC163)=1,1,IF(OR(INDEX('Lease Cycles'!$DY$17:$EE$17,1,BC163)=1,BC164&gt;0),1,1-INDEX('Lease Cycles'!$DD$17:$DJ$17,1,BC163)))),0)</f>
        <v>0</v>
      </c>
      <c r="BD172" s="24">
        <f>IF(BD165=1,IF('Lease Cycles'!$AJ$17=1,0,'Lease Cycles'!$D$17*INDEX('Lease Cycles'!$FH$17:$FN$17,1,BD163)*IF(INDEX('Lease Cycles'!$EF$17:$EL$17,1,BD163)=1,1,IF(OR(INDEX('Lease Cycles'!$DY$17:$EE$17,1,BD163)=1,BD164&gt;0),1,1-INDEX('Lease Cycles'!$DD$17:$DJ$17,1,BD163)))),0)</f>
        <v>0</v>
      </c>
      <c r="BE172" s="24">
        <f>IF(BE165=1,IF('Lease Cycles'!$AJ$17=1,0,'Lease Cycles'!$D$17*INDEX('Lease Cycles'!$FH$17:$FN$17,1,BE163)*IF(INDEX('Lease Cycles'!$EF$17:$EL$17,1,BE163)=1,1,IF(OR(INDEX('Lease Cycles'!$DY$17:$EE$17,1,BE163)=1,BE164&gt;0),1,1-INDEX('Lease Cycles'!$DD$17:$DJ$17,1,BE163)))),0)</f>
        <v>0</v>
      </c>
      <c r="BF172" s="24">
        <f>IF(BF165=1,IF('Lease Cycles'!$AJ$17=1,0,'Lease Cycles'!$D$17*INDEX('Lease Cycles'!$FH$17:$FN$17,1,BF163)*IF(INDEX('Lease Cycles'!$EF$17:$EL$17,1,BF163)=1,1,IF(OR(INDEX('Lease Cycles'!$DY$17:$EE$17,1,BF163)=1,BF164&gt;0),1,1-INDEX('Lease Cycles'!$DD$17:$DJ$17,1,BF163)))),0)</f>
        <v>0</v>
      </c>
      <c r="BG172" s="24">
        <f>IF(BG165=1,IF('Lease Cycles'!$AJ$17=1,0,'Lease Cycles'!$D$17*INDEX('Lease Cycles'!$FH$17:$FN$17,1,BG163)*IF(INDEX('Lease Cycles'!$EF$17:$EL$17,1,BG163)=1,1,IF(OR(INDEX('Lease Cycles'!$DY$17:$EE$17,1,BG163)=1,BG164&gt;0),1,1-INDEX('Lease Cycles'!$DD$17:$DJ$17,1,BG163)))),0)</f>
        <v>0</v>
      </c>
      <c r="BH172" s="24">
        <f>IF(BH165=1,IF('Lease Cycles'!$AJ$17=1,0,'Lease Cycles'!$D$17*INDEX('Lease Cycles'!$FH$17:$FN$17,1,BH163)*IF(INDEX('Lease Cycles'!$EF$17:$EL$17,1,BH163)=1,1,IF(OR(INDEX('Lease Cycles'!$DY$17:$EE$17,1,BH163)=1,BH164&gt;0),1,1-INDEX('Lease Cycles'!$DD$17:$DJ$17,1,BH163)))),0)</f>
        <v>0</v>
      </c>
      <c r="BI172" s="24">
        <f>IF(BI165=1,IF('Lease Cycles'!$AJ$17=1,0,'Lease Cycles'!$D$17*INDEX('Lease Cycles'!$FH$17:$FN$17,1,BI163)*IF(INDEX('Lease Cycles'!$EF$17:$EL$17,1,BI163)=1,1,IF(OR(INDEX('Lease Cycles'!$DY$17:$EE$17,1,BI163)=1,BI164&gt;0),1,1-INDEX('Lease Cycles'!$DD$17:$DJ$17,1,BI163)))),0)</f>
        <v>0</v>
      </c>
      <c r="BJ172" s="24">
        <f>IF(BJ165=1,IF('Lease Cycles'!$AJ$17=1,0,'Lease Cycles'!$D$17*INDEX('Lease Cycles'!$FH$17:$FN$17,1,BJ163)*IF(INDEX('Lease Cycles'!$EF$17:$EL$17,1,BJ163)=1,1,IF(OR(INDEX('Lease Cycles'!$DY$17:$EE$17,1,BJ163)=1,BJ164&gt;0),1,1-INDEX('Lease Cycles'!$DD$17:$DJ$17,1,BJ163)))),0)</f>
        <v>0</v>
      </c>
      <c r="BK172" s="24">
        <f>IF(BK165=1,IF('Lease Cycles'!$AJ$17=1,0,'Lease Cycles'!$D$17*INDEX('Lease Cycles'!$FH$17:$FN$17,1,BK163)*IF(INDEX('Lease Cycles'!$EF$17:$EL$17,1,BK163)=1,1,IF(OR(INDEX('Lease Cycles'!$DY$17:$EE$17,1,BK163)=1,BK164&gt;0),1,1-INDEX('Lease Cycles'!$DD$17:$DJ$17,1,BK163)))),0)</f>
        <v>0</v>
      </c>
      <c r="BL172" s="24">
        <f>IF(BL165=1,IF('Lease Cycles'!$AJ$17=1,0,'Lease Cycles'!$D$17*INDEX('Lease Cycles'!$FH$17:$FN$17,1,BL163)*IF(INDEX('Lease Cycles'!$EF$17:$EL$17,1,BL163)=1,1,IF(OR(INDEX('Lease Cycles'!$DY$17:$EE$17,1,BL163)=1,BL164&gt;0),1,1-INDEX('Lease Cycles'!$DD$17:$DJ$17,1,BL163)))),0)</f>
        <v>0</v>
      </c>
      <c r="BM172" s="24">
        <f>IF(BM165=1,IF('Lease Cycles'!$AJ$17=1,0,'Lease Cycles'!$D$17*INDEX('Lease Cycles'!$FH$17:$FN$17,1,BM163)*IF(INDEX('Lease Cycles'!$EF$17:$EL$17,1,BM163)=1,1,IF(OR(INDEX('Lease Cycles'!$DY$17:$EE$17,1,BM163)=1,BM164&gt;0),1,1-INDEX('Lease Cycles'!$DD$17:$DJ$17,1,BM163)))),0)</f>
        <v>0</v>
      </c>
      <c r="BN172" s="24">
        <f>IF(BN165=1,IF('Lease Cycles'!$AJ$17=1,0,'Lease Cycles'!$D$17*INDEX('Lease Cycles'!$FH$17:$FN$17,1,BN163)*IF(INDEX('Lease Cycles'!$EF$17:$EL$17,1,BN163)=1,1,IF(OR(INDEX('Lease Cycles'!$DY$17:$EE$17,1,BN163)=1,BN164&gt;0),1,1-INDEX('Lease Cycles'!$DD$17:$DJ$17,1,BN163)))),0)</f>
        <v>0</v>
      </c>
      <c r="BO172" s="24">
        <f>IF(BO165=1,IF('Lease Cycles'!$AJ$17=1,0,'Lease Cycles'!$D$17*INDEX('Lease Cycles'!$FH$17:$FN$17,1,BO163)*IF(INDEX('Lease Cycles'!$EF$17:$EL$17,1,BO163)=1,1,IF(OR(INDEX('Lease Cycles'!$DY$17:$EE$17,1,BO163)=1,BO164&gt;0),1,1-INDEX('Lease Cycles'!$DD$17:$DJ$17,1,BO163)))),0)</f>
        <v>0</v>
      </c>
      <c r="BP172" s="24">
        <f>IF(BP165=1,IF('Lease Cycles'!$AJ$17=1,0,'Lease Cycles'!$D$17*INDEX('Lease Cycles'!$FH$17:$FN$17,1,BP163)*IF(INDEX('Lease Cycles'!$EF$17:$EL$17,1,BP163)=1,1,IF(OR(INDEX('Lease Cycles'!$DY$17:$EE$17,1,BP163)=1,BP164&gt;0),1,1-INDEX('Lease Cycles'!$DD$17:$DJ$17,1,BP163)))),0)</f>
        <v>0</v>
      </c>
      <c r="BQ172" s="24">
        <f>IF(BQ165=1,IF('Lease Cycles'!$AJ$17=1,0,'Lease Cycles'!$D$17*INDEX('Lease Cycles'!$FH$17:$FN$17,1,BQ163)*IF(INDEX('Lease Cycles'!$EF$17:$EL$17,1,BQ163)=1,1,IF(OR(INDEX('Lease Cycles'!$DY$17:$EE$17,1,BQ163)=1,BQ164&gt;0),1,1-INDEX('Lease Cycles'!$DD$17:$DJ$17,1,BQ163)))),0)</f>
        <v>0</v>
      </c>
      <c r="BR172" s="24">
        <f>IF(BR165=1,IF('Lease Cycles'!$AJ$17=1,0,'Lease Cycles'!$D$17*INDEX('Lease Cycles'!$FH$17:$FN$17,1,BR163)*IF(INDEX('Lease Cycles'!$EF$17:$EL$17,1,BR163)=1,1,IF(OR(INDEX('Lease Cycles'!$DY$17:$EE$17,1,BR163)=1,BR164&gt;0),1,1-INDEX('Lease Cycles'!$DD$17:$DJ$17,1,BR163)))),0)</f>
        <v>0</v>
      </c>
      <c r="BS172" s="24">
        <f>IF(BS165=1,IF('Lease Cycles'!$AJ$17=1,0,'Lease Cycles'!$D$17*INDEX('Lease Cycles'!$FH$17:$FN$17,1,BS163)*IF(INDEX('Lease Cycles'!$EF$17:$EL$17,1,BS163)=1,1,IF(OR(INDEX('Lease Cycles'!$DY$17:$EE$17,1,BS163)=1,BS164&gt;0),1,1-INDEX('Lease Cycles'!$DD$17:$DJ$17,1,BS163)))),0)</f>
        <v>0</v>
      </c>
      <c r="BT172" s="24">
        <f>IF(BT165=1,IF('Lease Cycles'!$AJ$17=1,0,'Lease Cycles'!$D$17*INDEX('Lease Cycles'!$FH$17:$FN$17,1,BT163)*IF(INDEX('Lease Cycles'!$EF$17:$EL$17,1,BT163)=1,1,IF(OR(INDEX('Lease Cycles'!$DY$17:$EE$17,1,BT163)=1,BT164&gt;0),1,1-INDEX('Lease Cycles'!$DD$17:$DJ$17,1,BT163)))),0)</f>
        <v>0</v>
      </c>
      <c r="BU172" s="24">
        <f>IF(BU165=1,IF('Lease Cycles'!$AJ$17=1,0,'Lease Cycles'!$D$17*INDEX('Lease Cycles'!$FH$17:$FN$17,1,BU163)*IF(INDEX('Lease Cycles'!$EF$17:$EL$17,1,BU163)=1,1,IF(OR(INDEX('Lease Cycles'!$DY$17:$EE$17,1,BU163)=1,BU164&gt;0),1,1-INDEX('Lease Cycles'!$DD$17:$DJ$17,1,BU163)))),0)</f>
        <v>0</v>
      </c>
      <c r="BV172" s="24">
        <f>IF(BV165=1,IF('Lease Cycles'!$AJ$17=1,0,'Lease Cycles'!$D$17*INDEX('Lease Cycles'!$FH$17:$FN$17,1,BV163)*IF(INDEX('Lease Cycles'!$EF$17:$EL$17,1,BV163)=1,1,IF(OR(INDEX('Lease Cycles'!$DY$17:$EE$17,1,BV163)=1,BV164&gt;0),1,1-INDEX('Lease Cycles'!$DD$17:$DJ$17,1,BV163)))),0)</f>
        <v>0</v>
      </c>
      <c r="BW172" s="24">
        <f>IF(BW165=1,IF('Lease Cycles'!$AJ$17=1,0,'Lease Cycles'!$D$17*INDEX('Lease Cycles'!$FH$17:$FN$17,1,BW163)*IF(INDEX('Lease Cycles'!$EF$17:$EL$17,1,BW163)=1,1,IF(OR(INDEX('Lease Cycles'!$DY$17:$EE$17,1,BW163)=1,BW164&gt;0),1,1-INDEX('Lease Cycles'!$DD$17:$DJ$17,1,BW163)))),0)</f>
        <v>0</v>
      </c>
      <c r="BX172" s="24">
        <f>IF(BX165=1,IF('Lease Cycles'!$AJ$17=1,0,'Lease Cycles'!$D$17*INDEX('Lease Cycles'!$FH$17:$FN$17,1,BX163)*IF(INDEX('Lease Cycles'!$EF$17:$EL$17,1,BX163)=1,1,IF(OR(INDEX('Lease Cycles'!$DY$17:$EE$17,1,BX163)=1,BX164&gt;0),1,1-INDEX('Lease Cycles'!$DD$17:$DJ$17,1,BX163)))),0)</f>
        <v>0</v>
      </c>
      <c r="BY172" s="24">
        <f>IF(BY165=1,IF('Lease Cycles'!$AJ$17=1,0,'Lease Cycles'!$D$17*INDEX('Lease Cycles'!$FH$17:$FN$17,1,BY163)*IF(INDEX('Lease Cycles'!$EF$17:$EL$17,1,BY163)=1,1,IF(OR(INDEX('Lease Cycles'!$DY$17:$EE$17,1,BY163)=1,BY164&gt;0),1,1-INDEX('Lease Cycles'!$DD$17:$DJ$17,1,BY163)))),0)</f>
        <v>0</v>
      </c>
      <c r="BZ172" s="24">
        <f>IF(BZ165=1,IF('Lease Cycles'!$AJ$17=1,0,'Lease Cycles'!$D$17*INDEX('Lease Cycles'!$FH$17:$FN$17,1,BZ163)*IF(INDEX('Lease Cycles'!$EF$17:$EL$17,1,BZ163)=1,1,IF(OR(INDEX('Lease Cycles'!$DY$17:$EE$17,1,BZ163)=1,BZ164&gt;0),1,1-INDEX('Lease Cycles'!$DD$17:$DJ$17,1,BZ163)))),0)</f>
        <v>0</v>
      </c>
      <c r="CA172" s="24">
        <f>IF(CA165=1,IF('Lease Cycles'!$AJ$17=1,0,'Lease Cycles'!$D$17*INDEX('Lease Cycles'!$FH$17:$FN$17,1,CA163)*IF(INDEX('Lease Cycles'!$EF$17:$EL$17,1,CA163)=1,1,IF(OR(INDEX('Lease Cycles'!$DY$17:$EE$17,1,CA163)=1,CA164&gt;0),1,1-INDEX('Lease Cycles'!$DD$17:$DJ$17,1,CA163)))),0)</f>
        <v>0</v>
      </c>
      <c r="CB172" s="24">
        <f>IF(CB165=1,IF('Lease Cycles'!$AJ$17=1,0,'Lease Cycles'!$D$17*INDEX('Lease Cycles'!$FH$17:$FN$17,1,CB163)*IF(INDEX('Lease Cycles'!$EF$17:$EL$17,1,CB163)=1,1,IF(OR(INDEX('Lease Cycles'!$DY$17:$EE$17,1,CB163)=1,CB164&gt;0),1,1-INDEX('Lease Cycles'!$DD$17:$DJ$17,1,CB163)))),0)</f>
        <v>0</v>
      </c>
      <c r="CC172" s="24">
        <f>IF(CC165=1,IF('Lease Cycles'!$AJ$17=1,0,'Lease Cycles'!$D$17*INDEX('Lease Cycles'!$FH$17:$FN$17,1,CC163)*IF(INDEX('Lease Cycles'!$EF$17:$EL$17,1,CC163)=1,1,IF(OR(INDEX('Lease Cycles'!$DY$17:$EE$17,1,CC163)=1,CC164&gt;0),1,1-INDEX('Lease Cycles'!$DD$17:$DJ$17,1,CC163)))),0)</f>
        <v>0</v>
      </c>
      <c r="CD172" s="24">
        <f>IF(CD165=1,IF('Lease Cycles'!$AJ$17=1,0,'Lease Cycles'!$D$17*INDEX('Lease Cycles'!$FH$17:$FN$17,1,CD163)*IF(INDEX('Lease Cycles'!$EF$17:$EL$17,1,CD163)=1,1,IF(OR(INDEX('Lease Cycles'!$DY$17:$EE$17,1,CD163)=1,CD164&gt;0),1,1-INDEX('Lease Cycles'!$DD$17:$DJ$17,1,CD163)))),0)</f>
        <v>0</v>
      </c>
      <c r="CE172" s="24">
        <f>IF(CE165=1,IF('Lease Cycles'!$AJ$17=1,0,'Lease Cycles'!$D$17*INDEX('Lease Cycles'!$FH$17:$FN$17,1,CE163)*IF(INDEX('Lease Cycles'!$EF$17:$EL$17,1,CE163)=1,1,IF(OR(INDEX('Lease Cycles'!$DY$17:$EE$17,1,CE163)=1,CE164&gt;0),1,1-INDEX('Lease Cycles'!$DD$17:$DJ$17,1,CE163)))),0)</f>
        <v>0</v>
      </c>
      <c r="CF172" s="24">
        <f>IF(CF165=1,IF('Lease Cycles'!$AJ$17=1,0,'Lease Cycles'!$D$17*INDEX('Lease Cycles'!$FH$17:$FN$17,1,CF163)*IF(INDEX('Lease Cycles'!$EF$17:$EL$17,1,CF163)=1,1,IF(OR(INDEX('Lease Cycles'!$DY$17:$EE$17,1,CF163)=1,CF164&gt;0),1,1-INDEX('Lease Cycles'!$DD$17:$DJ$17,1,CF163)))),0)</f>
        <v>0</v>
      </c>
      <c r="CG172" s="24">
        <f>IF(CG165=1,IF('Lease Cycles'!$AJ$17=1,0,'Lease Cycles'!$D$17*INDEX('Lease Cycles'!$FH$17:$FN$17,1,CG163)*IF(INDEX('Lease Cycles'!$EF$17:$EL$17,1,CG163)=1,1,IF(OR(INDEX('Lease Cycles'!$DY$17:$EE$17,1,CG163)=1,CG164&gt;0),1,1-INDEX('Lease Cycles'!$DD$17:$DJ$17,1,CG163)))),0)</f>
        <v>0</v>
      </c>
      <c r="CH172" s="24">
        <f>IF(CH165=1,IF('Lease Cycles'!$AJ$17=1,0,'Lease Cycles'!$D$17*INDEX('Lease Cycles'!$FH$17:$FN$17,1,CH163)*IF(INDEX('Lease Cycles'!$EF$17:$EL$17,1,CH163)=1,1,IF(OR(INDEX('Lease Cycles'!$DY$17:$EE$17,1,CH163)=1,CH164&gt;0),1,1-INDEX('Lease Cycles'!$DD$17:$DJ$17,1,CH163)))),0)</f>
        <v>0</v>
      </c>
      <c r="CI172" s="24">
        <f>IF(CI165=1,IF('Lease Cycles'!$AJ$17=1,0,'Lease Cycles'!$D$17*INDEX('Lease Cycles'!$FH$17:$FN$17,1,CI163)*IF(INDEX('Lease Cycles'!$EF$17:$EL$17,1,CI163)=1,1,IF(OR(INDEX('Lease Cycles'!$DY$17:$EE$17,1,CI163)=1,CI164&gt;0),1,1-INDEX('Lease Cycles'!$DD$17:$DJ$17,1,CI163)))),0)</f>
        <v>0</v>
      </c>
      <c r="CJ172" s="24">
        <f>IF(CJ165=1,IF('Lease Cycles'!$AJ$17=1,0,'Lease Cycles'!$D$17*INDEX('Lease Cycles'!$FH$17:$FN$17,1,CJ163)*IF(INDEX('Lease Cycles'!$EF$17:$EL$17,1,CJ163)=1,1,IF(OR(INDEX('Lease Cycles'!$DY$17:$EE$17,1,CJ163)=1,CJ164&gt;0),1,1-INDEX('Lease Cycles'!$DD$17:$DJ$17,1,CJ163)))),0)</f>
        <v>0</v>
      </c>
      <c r="CK172" s="24">
        <f>IF(CK165=1,IF('Lease Cycles'!$AJ$17=1,0,'Lease Cycles'!$D$17*INDEX('Lease Cycles'!$FH$17:$FN$17,1,CK163)*IF(INDEX('Lease Cycles'!$EF$17:$EL$17,1,CK163)=1,1,IF(OR(INDEX('Lease Cycles'!$DY$17:$EE$17,1,CK163)=1,CK164&gt;0),1,1-INDEX('Lease Cycles'!$DD$17:$DJ$17,1,CK163)))),0)</f>
        <v>0</v>
      </c>
      <c r="CL172" s="24">
        <f>IF(CL165=1,IF('Lease Cycles'!$AJ$17=1,0,'Lease Cycles'!$D$17*INDEX('Lease Cycles'!$FH$17:$FN$17,1,CL163)*IF(INDEX('Lease Cycles'!$EF$17:$EL$17,1,CL163)=1,1,IF(OR(INDEX('Lease Cycles'!$DY$17:$EE$17,1,CL163)=1,CL164&gt;0),1,1-INDEX('Lease Cycles'!$DD$17:$DJ$17,1,CL163)))),0)</f>
        <v>0</v>
      </c>
      <c r="CM172" s="24">
        <f>IF(CM165=1,IF('Lease Cycles'!$AJ$17=1,0,'Lease Cycles'!$D$17*INDEX('Lease Cycles'!$FH$17:$FN$17,1,CM163)*IF(INDEX('Lease Cycles'!$EF$17:$EL$17,1,CM163)=1,1,IF(OR(INDEX('Lease Cycles'!$DY$17:$EE$17,1,CM163)=1,CM164&gt;0),1,1-INDEX('Lease Cycles'!$DD$17:$DJ$17,1,CM163)))),0)</f>
        <v>0</v>
      </c>
      <c r="CN172" s="24">
        <f>IF(CN165=1,IF('Lease Cycles'!$AJ$17=1,0,'Lease Cycles'!$D$17*INDEX('Lease Cycles'!$FH$17:$FN$17,1,CN163)*IF(INDEX('Lease Cycles'!$EF$17:$EL$17,1,CN163)=1,1,IF(OR(INDEX('Lease Cycles'!$DY$17:$EE$17,1,CN163)=1,CN164&gt;0),1,1-INDEX('Lease Cycles'!$DD$17:$DJ$17,1,CN163)))),0)</f>
        <v>0</v>
      </c>
      <c r="CO172" s="24">
        <f>IF(CO165=1,IF('Lease Cycles'!$AJ$17=1,0,'Lease Cycles'!$D$17*INDEX('Lease Cycles'!$FH$17:$FN$17,1,CO163)*IF(INDEX('Lease Cycles'!$EF$17:$EL$17,1,CO163)=1,1,IF(OR(INDEX('Lease Cycles'!$DY$17:$EE$17,1,CO163)=1,CO164&gt;0),1,1-INDEX('Lease Cycles'!$DD$17:$DJ$17,1,CO163)))),0)</f>
        <v>0</v>
      </c>
      <c r="CP172" s="24">
        <f>IF(CP165=1,IF('Lease Cycles'!$AJ$17=1,0,'Lease Cycles'!$D$17*INDEX('Lease Cycles'!$FH$17:$FN$17,1,CP163)*IF(INDEX('Lease Cycles'!$EF$17:$EL$17,1,CP163)=1,1,IF(OR(INDEX('Lease Cycles'!$DY$17:$EE$17,1,CP163)=1,CP164&gt;0),1,1-INDEX('Lease Cycles'!$DD$17:$DJ$17,1,CP163)))),0)</f>
        <v>0</v>
      </c>
      <c r="CQ172" s="24">
        <f>IF(CQ165=1,IF('Lease Cycles'!$AJ$17=1,0,'Lease Cycles'!$D$17*INDEX('Lease Cycles'!$FH$17:$FN$17,1,CQ163)*IF(INDEX('Lease Cycles'!$EF$17:$EL$17,1,CQ163)=1,1,IF(OR(INDEX('Lease Cycles'!$DY$17:$EE$17,1,CQ163)=1,CQ164&gt;0),1,1-INDEX('Lease Cycles'!$DD$17:$DJ$17,1,CQ163)))),0)</f>
        <v>0</v>
      </c>
      <c r="CR172" s="24">
        <f>IF(CR165=1,IF('Lease Cycles'!$AJ$17=1,0,'Lease Cycles'!$D$17*INDEX('Lease Cycles'!$FH$17:$FN$17,1,CR163)*IF(INDEX('Lease Cycles'!$EF$17:$EL$17,1,CR163)=1,1,IF(OR(INDEX('Lease Cycles'!$DY$17:$EE$17,1,CR163)=1,CR164&gt;0),1,1-INDEX('Lease Cycles'!$DD$17:$DJ$17,1,CR163)))),0)</f>
        <v>0</v>
      </c>
      <c r="CS172" s="24">
        <f>IF(CS165=1,IF('Lease Cycles'!$AJ$17=1,0,'Lease Cycles'!$D$17*INDEX('Lease Cycles'!$FH$17:$FN$17,1,CS163)*IF(INDEX('Lease Cycles'!$EF$17:$EL$17,1,CS163)=1,1,IF(OR(INDEX('Lease Cycles'!$DY$17:$EE$17,1,CS163)=1,CS164&gt;0),1,1-INDEX('Lease Cycles'!$DD$17:$DJ$17,1,CS163)))),0)</f>
        <v>0</v>
      </c>
      <c r="CT172" s="24">
        <f>IF(CT165=1,IF('Lease Cycles'!$AJ$17=1,0,'Lease Cycles'!$D$17*INDEX('Lease Cycles'!$FH$17:$FN$17,1,CT163)*IF(INDEX('Lease Cycles'!$EF$17:$EL$17,1,CT163)=1,1,IF(OR(INDEX('Lease Cycles'!$DY$17:$EE$17,1,CT163)=1,CT164&gt;0),1,1-INDEX('Lease Cycles'!$DD$17:$DJ$17,1,CT163)))),0)</f>
        <v>0</v>
      </c>
      <c r="CU172" s="24">
        <f>IF(CU165=1,IF('Lease Cycles'!$AJ$17=1,0,'Lease Cycles'!$D$17*INDEX('Lease Cycles'!$FH$17:$FN$17,1,CU163)*IF(INDEX('Lease Cycles'!$EF$17:$EL$17,1,CU163)=1,1,IF(OR(INDEX('Lease Cycles'!$DY$17:$EE$17,1,CU163)=1,CU164&gt;0),1,1-INDEX('Lease Cycles'!$DD$17:$DJ$17,1,CU163)))),0)</f>
        <v>0</v>
      </c>
      <c r="CV172" s="24">
        <f>IF(CV165=1,IF('Lease Cycles'!$AJ$17=1,0,'Lease Cycles'!$D$17*INDEX('Lease Cycles'!$FH$17:$FN$17,1,CV163)*IF(INDEX('Lease Cycles'!$EF$17:$EL$17,1,CV163)=1,1,IF(OR(INDEX('Lease Cycles'!$DY$17:$EE$17,1,CV163)=1,CV164&gt;0),1,1-INDEX('Lease Cycles'!$DD$17:$DJ$17,1,CV163)))),0)</f>
        <v>0</v>
      </c>
      <c r="CW172" s="24">
        <f>IF(CW165=1,IF('Lease Cycles'!$AJ$17=1,0,'Lease Cycles'!$D$17*INDEX('Lease Cycles'!$FH$17:$FN$17,1,CW163)*IF(INDEX('Lease Cycles'!$EF$17:$EL$17,1,CW163)=1,1,IF(OR(INDEX('Lease Cycles'!$DY$17:$EE$17,1,CW163)=1,CW164&gt;0),1,1-INDEX('Lease Cycles'!$DD$17:$DJ$17,1,CW163)))),0)</f>
        <v>0</v>
      </c>
      <c r="CX172" s="24">
        <f>IF(CX165=1,IF('Lease Cycles'!$AJ$17=1,0,'Lease Cycles'!$D$17*INDEX('Lease Cycles'!$FH$17:$FN$17,1,CX163)*IF(INDEX('Lease Cycles'!$EF$17:$EL$17,1,CX163)=1,1,IF(OR(INDEX('Lease Cycles'!$DY$17:$EE$17,1,CX163)=1,CX164&gt;0),1,1-INDEX('Lease Cycles'!$DD$17:$DJ$17,1,CX163)))),0)</f>
        <v>0</v>
      </c>
      <c r="CY172" s="24">
        <f>IF(CY165=1,IF('Lease Cycles'!$AJ$17=1,0,'Lease Cycles'!$D$17*INDEX('Lease Cycles'!$FH$17:$FN$17,1,CY163)*IF(INDEX('Lease Cycles'!$EF$17:$EL$17,1,CY163)=1,1,IF(OR(INDEX('Lease Cycles'!$DY$17:$EE$17,1,CY163)=1,CY164&gt;0),1,1-INDEX('Lease Cycles'!$DD$17:$DJ$17,1,CY163)))),0)</f>
        <v>0</v>
      </c>
      <c r="CZ172" s="24">
        <f>IF(CZ165=1,IF('Lease Cycles'!$AJ$17=1,0,'Lease Cycles'!$D$17*INDEX('Lease Cycles'!$FH$17:$FN$17,1,CZ163)*IF(INDEX('Lease Cycles'!$EF$17:$EL$17,1,CZ163)=1,1,IF(OR(INDEX('Lease Cycles'!$DY$17:$EE$17,1,CZ163)=1,CZ164&gt;0),1,1-INDEX('Lease Cycles'!$DD$17:$DJ$17,1,CZ163)))),0)</f>
        <v>0</v>
      </c>
      <c r="DA172" s="24">
        <f>IF(DA165=1,IF('Lease Cycles'!$AJ$17=1,0,'Lease Cycles'!$D$17*INDEX('Lease Cycles'!$FH$17:$FN$17,1,DA163)*IF(INDEX('Lease Cycles'!$EF$17:$EL$17,1,DA163)=1,1,IF(OR(INDEX('Lease Cycles'!$DY$17:$EE$17,1,DA163)=1,DA164&gt;0),1,1-INDEX('Lease Cycles'!$DD$17:$DJ$17,1,DA163)))),0)</f>
        <v>0</v>
      </c>
      <c r="DB172" s="24">
        <f>IF(DB165=1,IF('Lease Cycles'!$AJ$17=1,0,'Lease Cycles'!$D$17*INDEX('Lease Cycles'!$FH$17:$FN$17,1,DB163)*IF(INDEX('Lease Cycles'!$EF$17:$EL$17,1,DB163)=1,1,IF(OR(INDEX('Lease Cycles'!$DY$17:$EE$17,1,DB163)=1,DB164&gt;0),1,1-INDEX('Lease Cycles'!$DD$17:$DJ$17,1,DB163)))),0)</f>
        <v>0</v>
      </c>
      <c r="DC172" s="24">
        <f>IF(DC165=1,IF('Lease Cycles'!$AJ$17=1,0,'Lease Cycles'!$D$17*INDEX('Lease Cycles'!$FH$17:$FN$17,1,DC163)*IF(INDEX('Lease Cycles'!$EF$17:$EL$17,1,DC163)=1,1,IF(OR(INDEX('Lease Cycles'!$DY$17:$EE$17,1,DC163)=1,DC164&gt;0),1,1-INDEX('Lease Cycles'!$DD$17:$DJ$17,1,DC163)))),0)</f>
        <v>0</v>
      </c>
      <c r="DD172" s="24">
        <f>IF(DD165=1,IF('Lease Cycles'!$AJ$17=1,0,'Lease Cycles'!$D$17*INDEX('Lease Cycles'!$FH$17:$FN$17,1,DD163)*IF(INDEX('Lease Cycles'!$EF$17:$EL$17,1,DD163)=1,1,IF(OR(INDEX('Lease Cycles'!$DY$17:$EE$17,1,DD163)=1,DD164&gt;0),1,1-INDEX('Lease Cycles'!$DD$17:$DJ$17,1,DD163)))),0)</f>
        <v>0</v>
      </c>
      <c r="DE172" s="24">
        <f>IF(DE165=1,IF('Lease Cycles'!$AJ$17=1,0,'Lease Cycles'!$D$17*INDEX('Lease Cycles'!$FH$17:$FN$17,1,DE163)*IF(INDEX('Lease Cycles'!$EF$17:$EL$17,1,DE163)=1,1,IF(OR(INDEX('Lease Cycles'!$DY$17:$EE$17,1,DE163)=1,DE164&gt;0),1,1-INDEX('Lease Cycles'!$DD$17:$DJ$17,1,DE163)))),0)</f>
        <v>0</v>
      </c>
      <c r="DF172" s="24">
        <f>IF(DF165=1,IF('Lease Cycles'!$AJ$17=1,0,'Lease Cycles'!$D$17*INDEX('Lease Cycles'!$FH$17:$FN$17,1,DF163)*IF(INDEX('Lease Cycles'!$EF$17:$EL$17,1,DF163)=1,1,IF(OR(INDEX('Lease Cycles'!$DY$17:$EE$17,1,DF163)=1,DF164&gt;0),1,1-INDEX('Lease Cycles'!$DD$17:$DJ$17,1,DF163)))),0)</f>
        <v>0</v>
      </c>
      <c r="DG172" s="24">
        <f>IF(DG165=1,IF('Lease Cycles'!$AJ$17=1,0,'Lease Cycles'!$D$17*INDEX('Lease Cycles'!$FH$17:$FN$17,1,DG163)*IF(INDEX('Lease Cycles'!$EF$17:$EL$17,1,DG163)=1,1,IF(OR(INDEX('Lease Cycles'!$DY$17:$EE$17,1,DG163)=1,DG164&gt;0),1,1-INDEX('Lease Cycles'!$DD$17:$DJ$17,1,DG163)))),0)</f>
        <v>0</v>
      </c>
      <c r="DH172" s="24">
        <f>IF(DH165=1,IF('Lease Cycles'!$AJ$17=1,0,'Lease Cycles'!$D$17*INDEX('Lease Cycles'!$FH$17:$FN$17,1,DH163)*IF(INDEX('Lease Cycles'!$EF$17:$EL$17,1,DH163)=1,1,IF(OR(INDEX('Lease Cycles'!$DY$17:$EE$17,1,DH163)=1,DH164&gt;0),1,1-INDEX('Lease Cycles'!$DD$17:$DJ$17,1,DH163)))),0)</f>
        <v>0</v>
      </c>
      <c r="DI172" s="24">
        <f>IF(DI165=1,IF('Lease Cycles'!$AJ$17=1,0,'Lease Cycles'!$D$17*INDEX('Lease Cycles'!$FH$17:$FN$17,1,DI163)*IF(INDEX('Lease Cycles'!$EF$17:$EL$17,1,DI163)=1,1,IF(OR(INDEX('Lease Cycles'!$DY$17:$EE$17,1,DI163)=1,DI164&gt;0),1,1-INDEX('Lease Cycles'!$DD$17:$DJ$17,1,DI163)))),0)</f>
        <v>0</v>
      </c>
      <c r="DJ172" s="24">
        <f>IF(DJ165=1,IF('Lease Cycles'!$AJ$17=1,0,'Lease Cycles'!$D$17*INDEX('Lease Cycles'!$FH$17:$FN$17,1,DJ163)*IF(INDEX('Lease Cycles'!$EF$17:$EL$17,1,DJ163)=1,1,IF(OR(INDEX('Lease Cycles'!$DY$17:$EE$17,1,DJ163)=1,DJ164&gt;0),1,1-INDEX('Lease Cycles'!$DD$17:$DJ$17,1,DJ163)))),0)</f>
        <v>0</v>
      </c>
      <c r="DK172" s="24">
        <f>IF(DK165=1,IF('Lease Cycles'!$AJ$17=1,0,'Lease Cycles'!$D$17*INDEX('Lease Cycles'!$FH$17:$FN$17,1,DK163)*IF(INDEX('Lease Cycles'!$EF$17:$EL$17,1,DK163)=1,1,IF(OR(INDEX('Lease Cycles'!$DY$17:$EE$17,1,DK163)=1,DK164&gt;0),1,1-INDEX('Lease Cycles'!$DD$17:$DJ$17,1,DK163)))),0)</f>
        <v>0</v>
      </c>
      <c r="DL172" s="24">
        <f>IF(DL165=1,IF('Lease Cycles'!$AJ$17=1,0,'Lease Cycles'!$D$17*INDEX('Lease Cycles'!$FH$17:$FN$17,1,DL163)*IF(INDEX('Lease Cycles'!$EF$17:$EL$17,1,DL163)=1,1,IF(OR(INDEX('Lease Cycles'!$DY$17:$EE$17,1,DL163)=1,DL164&gt;0),1,1-INDEX('Lease Cycles'!$DD$17:$DJ$17,1,DL163)))),0)</f>
        <v>0</v>
      </c>
      <c r="DM172" s="24">
        <f>IF(DM165=1,IF('Lease Cycles'!$AJ$17=1,0,'Lease Cycles'!$D$17*INDEX('Lease Cycles'!$FH$17:$FN$17,1,DM163)*IF(INDEX('Lease Cycles'!$EF$17:$EL$17,1,DM163)=1,1,IF(OR(INDEX('Lease Cycles'!$DY$17:$EE$17,1,DM163)=1,DM164&gt;0),1,1-INDEX('Lease Cycles'!$DD$17:$DJ$17,1,DM163)))),0)</f>
        <v>0</v>
      </c>
      <c r="DN172" s="24">
        <f>IF(DN165=1,IF('Lease Cycles'!$AJ$17=1,0,'Lease Cycles'!$D$17*INDEX('Lease Cycles'!$FH$17:$FN$17,1,DN163)*IF(INDEX('Lease Cycles'!$EF$17:$EL$17,1,DN163)=1,1,IF(OR(INDEX('Lease Cycles'!$DY$17:$EE$17,1,DN163)=1,DN164&gt;0),1,1-INDEX('Lease Cycles'!$DD$17:$DJ$17,1,DN163)))),0)</f>
        <v>0</v>
      </c>
      <c r="DO172" s="24">
        <f>IF(DO165=1,IF('Lease Cycles'!$AJ$17=1,0,'Lease Cycles'!$D$17*INDEX('Lease Cycles'!$FH$17:$FN$17,1,DO163)*IF(INDEX('Lease Cycles'!$EF$17:$EL$17,1,DO163)=1,1,IF(OR(INDEX('Lease Cycles'!$DY$17:$EE$17,1,DO163)=1,DO164&gt;0),1,1-INDEX('Lease Cycles'!$DD$17:$DJ$17,1,DO163)))),0)</f>
        <v>0</v>
      </c>
      <c r="DP172" s="24">
        <f>IF(DP165=1,IF('Lease Cycles'!$AJ$17=1,0,'Lease Cycles'!$D$17*INDEX('Lease Cycles'!$FH$17:$FN$17,1,DP163)*IF(INDEX('Lease Cycles'!$EF$17:$EL$17,1,DP163)=1,1,IF(OR(INDEX('Lease Cycles'!$DY$17:$EE$17,1,DP163)=1,DP164&gt;0),1,1-INDEX('Lease Cycles'!$DD$17:$DJ$17,1,DP163)))),0)</f>
        <v>0</v>
      </c>
      <c r="DQ172" s="24">
        <f>IF(DQ165=1,IF('Lease Cycles'!$AJ$17=1,0,'Lease Cycles'!$D$17*INDEX('Lease Cycles'!$FH$17:$FN$17,1,DQ163)*IF(INDEX('Lease Cycles'!$EF$17:$EL$17,1,DQ163)=1,1,IF(OR(INDEX('Lease Cycles'!$DY$17:$EE$17,1,DQ163)=1,DQ164&gt;0),1,1-INDEX('Lease Cycles'!$DD$17:$DJ$17,1,DQ163)))),0)</f>
        <v>0</v>
      </c>
      <c r="DR172" s="24">
        <f>IF(DR165=1,IF('Lease Cycles'!$AJ$17=1,0,'Lease Cycles'!$D$17*INDEX('Lease Cycles'!$FH$17:$FN$17,1,DR163)*IF(INDEX('Lease Cycles'!$EF$17:$EL$17,1,DR163)=1,1,IF(OR(INDEX('Lease Cycles'!$DY$17:$EE$17,1,DR163)=1,DR164&gt;0),1,1-INDEX('Lease Cycles'!$DD$17:$DJ$17,1,DR163)))),0)</f>
        <v>0</v>
      </c>
      <c r="DS172" s="24">
        <f>IF(DS165=1,IF('Lease Cycles'!$AJ$17=1,0,'Lease Cycles'!$D$17*INDEX('Lease Cycles'!$FH$17:$FN$17,1,DS163)*IF(INDEX('Lease Cycles'!$EF$17:$EL$17,1,DS163)=1,1,IF(OR(INDEX('Lease Cycles'!$DY$17:$EE$17,1,DS163)=1,DS164&gt;0),1,1-INDEX('Lease Cycles'!$DD$17:$DJ$17,1,DS163)))),0)</f>
        <v>0</v>
      </c>
      <c r="DT172" s="24">
        <f>IF(DT165=1,IF('Lease Cycles'!$AJ$17=1,0,'Lease Cycles'!$D$17*INDEX('Lease Cycles'!$FH$17:$FN$17,1,DT163)*IF(INDEX('Lease Cycles'!$EF$17:$EL$17,1,DT163)=1,1,IF(OR(INDEX('Lease Cycles'!$DY$17:$EE$17,1,DT163)=1,DT164&gt;0),1,1-INDEX('Lease Cycles'!$DD$17:$DJ$17,1,DT163)))),0)</f>
        <v>0</v>
      </c>
      <c r="DU172" s="24">
        <f>IF(DU165=1,IF('Lease Cycles'!$AJ$17=1,0,'Lease Cycles'!$D$17*INDEX('Lease Cycles'!$FH$17:$FN$17,1,DU163)*IF(INDEX('Lease Cycles'!$EF$17:$EL$17,1,DU163)=1,1,IF(OR(INDEX('Lease Cycles'!$DY$17:$EE$17,1,DU163)=1,DU164&gt;0),1,1-INDEX('Lease Cycles'!$DD$17:$DJ$17,1,DU163)))),0)</f>
        <v>0</v>
      </c>
      <c r="DV172" s="24">
        <f>IF(DV165=1,IF('Lease Cycles'!$AJ$17=1,0,'Lease Cycles'!$D$17*INDEX('Lease Cycles'!$FH$17:$FN$17,1,DV163)*IF(INDEX('Lease Cycles'!$EF$17:$EL$17,1,DV163)=1,1,IF(OR(INDEX('Lease Cycles'!$DY$17:$EE$17,1,DV163)=1,DV164&gt;0),1,1-INDEX('Lease Cycles'!$DD$17:$DJ$17,1,DV163)))),0)</f>
        <v>0</v>
      </c>
      <c r="DW172" s="24">
        <f>IF(DW165=1,IF('Lease Cycles'!$AJ$17=1,0,'Lease Cycles'!$D$17*INDEX('Lease Cycles'!$FH$17:$FN$17,1,DW163)*IF(INDEX('Lease Cycles'!$EF$17:$EL$17,1,DW163)=1,1,IF(OR(INDEX('Lease Cycles'!$DY$17:$EE$17,1,DW163)=1,DW164&gt;0),1,1-INDEX('Lease Cycles'!$DD$17:$DJ$17,1,DW163)))),0)</f>
        <v>0</v>
      </c>
      <c r="DX172" s="24">
        <f>IF(DX165=1,IF('Lease Cycles'!$AJ$17=1,0,'Lease Cycles'!$D$17*INDEX('Lease Cycles'!$FH$17:$FN$17,1,DX163)*IF(INDEX('Lease Cycles'!$EF$17:$EL$17,1,DX163)=1,1,IF(OR(INDEX('Lease Cycles'!$DY$17:$EE$17,1,DX163)=1,DX164&gt;0),1,1-INDEX('Lease Cycles'!$DD$17:$DJ$17,1,DX163)))),0)</f>
        <v>0</v>
      </c>
      <c r="DY172" s="24">
        <f>IF(DY165=1,IF('Lease Cycles'!$AJ$17=1,0,'Lease Cycles'!$D$17*INDEX('Lease Cycles'!$FH$17:$FN$17,1,DY163)*IF(INDEX('Lease Cycles'!$EF$17:$EL$17,1,DY163)=1,1,IF(OR(INDEX('Lease Cycles'!$DY$17:$EE$17,1,DY163)=1,DY164&gt;0),1,1-INDEX('Lease Cycles'!$DD$17:$DJ$17,1,DY163)))),0)</f>
        <v>0</v>
      </c>
      <c r="DZ172" s="24">
        <f>IF(DZ165=1,IF('Lease Cycles'!$AJ$17=1,0,'Lease Cycles'!$D$17*INDEX('Lease Cycles'!$FH$17:$FN$17,1,DZ163)*IF(INDEX('Lease Cycles'!$EF$17:$EL$17,1,DZ163)=1,1,IF(OR(INDEX('Lease Cycles'!$DY$17:$EE$17,1,DZ163)=1,DZ164&gt;0),1,1-INDEX('Lease Cycles'!$DD$17:$DJ$17,1,DZ163)))),0)</f>
        <v>0</v>
      </c>
      <c r="EA172" s="24">
        <f>IF(EA165=1,IF('Lease Cycles'!$AJ$17=1,0,'Lease Cycles'!$D$17*INDEX('Lease Cycles'!$FH$17:$FN$17,1,EA163)*IF(INDEX('Lease Cycles'!$EF$17:$EL$17,1,EA163)=1,1,IF(OR(INDEX('Lease Cycles'!$DY$17:$EE$17,1,EA163)=1,EA164&gt;0),1,1-INDEX('Lease Cycles'!$DD$17:$DJ$17,1,EA163)))),0)</f>
        <v>0</v>
      </c>
      <c r="EB172" s="24">
        <f>IF(EB165=1,IF('Lease Cycles'!$AJ$17=1,0,'Lease Cycles'!$D$17*INDEX('Lease Cycles'!$FH$17:$FN$17,1,EB163)*IF(INDEX('Lease Cycles'!$EF$17:$EL$17,1,EB163)=1,1,IF(OR(INDEX('Lease Cycles'!$DY$17:$EE$17,1,EB163)=1,EB164&gt;0),1,1-INDEX('Lease Cycles'!$DD$17:$DJ$17,1,EB163)))),0)</f>
        <v>0</v>
      </c>
      <c r="EC172" s="24">
        <f>IF(EC165=1,IF('Lease Cycles'!$AJ$17=1,0,'Lease Cycles'!$D$17*INDEX('Lease Cycles'!$FH$17:$FN$17,1,EC163)*IF(INDEX('Lease Cycles'!$EF$17:$EL$17,1,EC163)=1,1,IF(OR(INDEX('Lease Cycles'!$DY$17:$EE$17,1,EC163)=1,EC164&gt;0),1,1-INDEX('Lease Cycles'!$DD$17:$DJ$17,1,EC163)))),0)</f>
        <v>0</v>
      </c>
      <c r="ED172" s="24">
        <f>IF(ED165=1,IF('Lease Cycles'!$AJ$17=1,0,'Lease Cycles'!$D$17*INDEX('Lease Cycles'!$FH$17:$FN$17,1,ED163)*IF(INDEX('Lease Cycles'!$EF$17:$EL$17,1,ED163)=1,1,IF(OR(INDEX('Lease Cycles'!$DY$17:$EE$17,1,ED163)=1,ED164&gt;0),1,1-INDEX('Lease Cycles'!$DD$17:$DJ$17,1,ED163)))),0)</f>
        <v>0</v>
      </c>
      <c r="EE172" s="24">
        <f>IF(EE165=1,IF('Lease Cycles'!$AJ$17=1,0,'Lease Cycles'!$D$17*INDEX('Lease Cycles'!$FH$17:$FN$17,1,EE163)*IF(INDEX('Lease Cycles'!$EF$17:$EL$17,1,EE163)=1,1,IF(OR(INDEX('Lease Cycles'!$DY$17:$EE$17,1,EE163)=1,EE164&gt;0),1,1-INDEX('Lease Cycles'!$DD$17:$DJ$17,1,EE163)))),0)</f>
        <v>0</v>
      </c>
      <c r="EF172" s="24">
        <f>IF(EF165=1,IF('Lease Cycles'!$AJ$17=1,0,'Lease Cycles'!$D$17*INDEX('Lease Cycles'!$FH$17:$FN$17,1,EF163)*IF(INDEX('Lease Cycles'!$EF$17:$EL$17,1,EF163)=1,1,IF(OR(INDEX('Lease Cycles'!$DY$17:$EE$17,1,EF163)=1,EF164&gt;0),1,1-INDEX('Lease Cycles'!$DD$17:$DJ$17,1,EF163)))),0)</f>
        <v>0</v>
      </c>
      <c r="EG172" s="24">
        <f>IF(EG165=1,IF('Lease Cycles'!$AJ$17=1,0,'Lease Cycles'!$D$17*INDEX('Lease Cycles'!$FH$17:$FN$17,1,EG163)*IF(INDEX('Lease Cycles'!$EF$17:$EL$17,1,EG163)=1,1,IF(OR(INDEX('Lease Cycles'!$DY$17:$EE$17,1,EG163)=1,EG164&gt;0),1,1-INDEX('Lease Cycles'!$DD$17:$DJ$17,1,EG163)))),0)</f>
        <v>0</v>
      </c>
      <c r="EH172" s="24">
        <f>IF(EH165=1,IF('Lease Cycles'!$AJ$17=1,0,'Lease Cycles'!$D$17*INDEX('Lease Cycles'!$FH$17:$FN$17,1,EH163)*IF(INDEX('Lease Cycles'!$EF$17:$EL$17,1,EH163)=1,1,IF(OR(INDEX('Lease Cycles'!$DY$17:$EE$17,1,EH163)=1,EH164&gt;0),1,1-INDEX('Lease Cycles'!$DD$17:$DJ$17,1,EH163)))),0)</f>
        <v>0</v>
      </c>
      <c r="EI172" s="24">
        <f>IF(EI165=1,IF('Lease Cycles'!$AJ$17=1,0,'Lease Cycles'!$D$17*INDEX('Lease Cycles'!$FH$17:$FN$17,1,EI163)*IF(INDEX('Lease Cycles'!$EF$17:$EL$17,1,EI163)=1,1,IF(OR(INDEX('Lease Cycles'!$DY$17:$EE$17,1,EI163)=1,EI164&gt;0),1,1-INDEX('Lease Cycles'!$DD$17:$DJ$17,1,EI163)))),0)</f>
        <v>0</v>
      </c>
      <c r="EJ172" s="24">
        <f>IF(EJ165=1,IF('Lease Cycles'!$AJ$17=1,0,'Lease Cycles'!$D$17*INDEX('Lease Cycles'!$FH$17:$FN$17,1,EJ163)*IF(INDEX('Lease Cycles'!$EF$17:$EL$17,1,EJ163)=1,1,IF(OR(INDEX('Lease Cycles'!$DY$17:$EE$17,1,EJ163)=1,EJ164&gt;0),1,1-INDEX('Lease Cycles'!$DD$17:$DJ$17,1,EJ163)))),0)</f>
        <v>0</v>
      </c>
      <c r="EK172" s="24">
        <f>IF(EK165=1,IF('Lease Cycles'!$AJ$17=1,0,'Lease Cycles'!$D$17*INDEX('Lease Cycles'!$FH$17:$FN$17,1,EK163)*IF(INDEX('Lease Cycles'!$EF$17:$EL$17,1,EK163)=1,1,IF(OR(INDEX('Lease Cycles'!$DY$17:$EE$17,1,EK163)=1,EK164&gt;0),1,1-INDEX('Lease Cycles'!$DD$17:$DJ$17,1,EK163)))),0)</f>
        <v>0</v>
      </c>
      <c r="EL172" s="24">
        <f>IF(EL165=1,IF('Lease Cycles'!$AJ$17=1,0,'Lease Cycles'!$D$17*INDEX('Lease Cycles'!$FH$17:$FN$17,1,EL163)*IF(INDEX('Lease Cycles'!$EF$17:$EL$17,1,EL163)=1,1,IF(OR(INDEX('Lease Cycles'!$DY$17:$EE$17,1,EL163)=1,EL164&gt;0),1,1-INDEX('Lease Cycles'!$DD$17:$DJ$17,1,EL163)))),0)</f>
        <v>0</v>
      </c>
      <c r="EM172" s="24">
        <f>IF(EM165=1,IF('Lease Cycles'!$AJ$17=1,0,'Lease Cycles'!$D$17*INDEX('Lease Cycles'!$FH$17:$FN$17,1,EM163)*IF(INDEX('Lease Cycles'!$EF$17:$EL$17,1,EM163)=1,1,IF(OR(INDEX('Lease Cycles'!$DY$17:$EE$17,1,EM163)=1,EM164&gt;0),1,1-INDEX('Lease Cycles'!$DD$17:$DJ$17,1,EM163)))),0)</f>
        <v>0</v>
      </c>
      <c r="EN172" s="24">
        <f>IF(EN165=1,IF('Lease Cycles'!$AJ$17=1,0,'Lease Cycles'!$D$17*INDEX('Lease Cycles'!$FH$17:$FN$17,1,EN163)*IF(INDEX('Lease Cycles'!$EF$17:$EL$17,1,EN163)=1,1,IF(OR(INDEX('Lease Cycles'!$DY$17:$EE$17,1,EN163)=1,EN164&gt;0),1,1-INDEX('Lease Cycles'!$DD$17:$DJ$17,1,EN163)))),0)</f>
        <v>0</v>
      </c>
      <c r="EO172" s="24">
        <f>IF(EO165=1,IF('Lease Cycles'!$AJ$17=1,0,'Lease Cycles'!$D$17*INDEX('Lease Cycles'!$FH$17:$FN$17,1,EO163)*IF(INDEX('Lease Cycles'!$EF$17:$EL$17,1,EO163)=1,1,IF(OR(INDEX('Lease Cycles'!$DY$17:$EE$17,1,EO163)=1,EO164&gt;0),1,1-INDEX('Lease Cycles'!$DD$17:$DJ$17,1,EO163)))),0)</f>
        <v>0</v>
      </c>
      <c r="EP172" s="24">
        <f>IF(EP165=1,IF('Lease Cycles'!$AJ$17=1,0,'Lease Cycles'!$D$17*INDEX('Lease Cycles'!$FH$17:$FN$17,1,EP163)*IF(INDEX('Lease Cycles'!$EF$17:$EL$17,1,EP163)=1,1,IF(OR(INDEX('Lease Cycles'!$DY$17:$EE$17,1,EP163)=1,EP164&gt;0),1,1-INDEX('Lease Cycles'!$DD$17:$DJ$17,1,EP163)))),0)</f>
        <v>0</v>
      </c>
      <c r="EQ172" s="24">
        <f>IF(EQ165=1,IF('Lease Cycles'!$AJ$17=1,0,'Lease Cycles'!$D$17*INDEX('Lease Cycles'!$FH$17:$FN$17,1,EQ163)*IF(INDEX('Lease Cycles'!$EF$17:$EL$17,1,EQ163)=1,1,IF(OR(INDEX('Lease Cycles'!$DY$17:$EE$17,1,EQ163)=1,EQ164&gt;0),1,1-INDEX('Lease Cycles'!$DD$17:$DJ$17,1,EQ163)))),0)</f>
        <v>0</v>
      </c>
      <c r="ER172" s="24">
        <f>IF(ER165=1,IF('Lease Cycles'!$AJ$17=1,0,'Lease Cycles'!$D$17*INDEX('Lease Cycles'!$FH$17:$FN$17,1,ER163)*IF(INDEX('Lease Cycles'!$EF$17:$EL$17,1,ER163)=1,1,IF(OR(INDEX('Lease Cycles'!$DY$17:$EE$17,1,ER163)=1,ER164&gt;0),1,1-INDEX('Lease Cycles'!$DD$17:$DJ$17,1,ER163)))),0)</f>
        <v>0</v>
      </c>
      <c r="ES172" s="24">
        <f>IF(ES165=1,IF('Lease Cycles'!$AJ$17=1,0,'Lease Cycles'!$D$17*INDEX('Lease Cycles'!$FH$17:$FN$17,1,ES163)*IF(INDEX('Lease Cycles'!$EF$17:$EL$17,1,ES163)=1,1,IF(OR(INDEX('Lease Cycles'!$DY$17:$EE$17,1,ES163)=1,ES164&gt;0),1,1-INDEX('Lease Cycles'!$DD$17:$DJ$17,1,ES163)))),0)</f>
        <v>0</v>
      </c>
      <c r="ET172" s="24">
        <f>IF(ET165=1,IF('Lease Cycles'!$AJ$17=1,0,'Lease Cycles'!$D$17*INDEX('Lease Cycles'!$FH$17:$FN$17,1,ET163)*IF(INDEX('Lease Cycles'!$EF$17:$EL$17,1,ET163)=1,1,IF(OR(INDEX('Lease Cycles'!$DY$17:$EE$17,1,ET163)=1,ET164&gt;0),1,1-INDEX('Lease Cycles'!$DD$17:$DJ$17,1,ET163)))),0)</f>
        <v>0</v>
      </c>
    </row>
    <row r="173">
      <c r="A173" s="103">
        <v>10</v>
      </c>
      <c r="B173" s="23" t="str">
        <f>IF('Lease Cycles'!$B$17="","(empty slot)",'Lease Cycles'!$B$17)</f>
        <v>Available B-9</v>
      </c>
      <c r="C173" s="23" t="s">
        <v>687</v>
      </c>
      <c r="D173" s="104" t="s">
        <v>688</v>
      </c>
      <c r="E173" s="25">
        <f>'Lease Cycles'!$AL$17</f>
        <v>0</v>
      </c>
      <c r="G173" s="24">
        <f>SUM(S173:AD173)</f>
        <v>0</v>
      </c>
      <c r="H173" s="24">
        <f>SUM(AE173:AP173)</f>
        <v>0</v>
      </c>
      <c r="I173" s="24">
        <f>SUM(AQ173:BB173)</f>
        <v>0</v>
      </c>
      <c r="J173" s="24">
        <f>SUM(BC173:BN173)</f>
        <v>0</v>
      </c>
      <c r="K173" s="24">
        <f>SUM(BO173:BZ173)</f>
        <v>0</v>
      </c>
      <c r="L173" s="24">
        <f>SUM(CA173:CL173)</f>
        <v>0</v>
      </c>
      <c r="M173" s="24">
        <f>SUM(CM173:CX173)</f>
        <v>0</v>
      </c>
      <c r="N173" s="24">
        <f>SUM(CY173:DJ173)</f>
        <v>0</v>
      </c>
      <c r="O173" s="24">
        <f>SUM(DK173:DV173)</f>
        <v>0</v>
      </c>
      <c r="P173" s="24">
        <f>SUM(DW173:EH173)</f>
        <v>0</v>
      </c>
      <c r="Q173" s="24">
        <f>SUM(EI173:ET173)</f>
        <v>0</v>
      </c>
      <c r="S173" s="24">
        <f>IF(S165=1,'Lease Cycles'!$D$17*IF(INDEX('Lease Cycles'!$EF$17:$EL$17,1,S163)=1,'Lease Cycles'!$AJ$17*INDEX('Lease Cycles'!$FO$17:$FU$17,1,S163)*INDEX('Lease Cycles'!$EM$17:$ES$17,1,S163)+'Lease Cycles'!$BE$17*IF(S164&lt;INDEX('Lease Cycles'!$FA$17:$FG$17,1,S163),0,1-INDEX('Lease Cycles'!$EM$17:$ES$17,1,S163)),IF(OR(INDEX('Lease Cycles'!$DY$17:$EE$17,1,S163)=1,S164&gt;0),1,1-INDEX('Lease Cycles'!$DD$17:$DJ$17,1,S163))*('Lease Cycles'!$AJ$17*INDEX('Lease Cycles'!$FO$17:$FU$17,1,S163)+'Lease Cycles'!$BE$17*(1-INDEX('Lease Cycles'!$FO$17:$FU$17,1,S163)))),0)</f>
        <v>0</v>
      </c>
      <c r="T173" s="24">
        <f>IF(T165=1,'Lease Cycles'!$D$17*IF(INDEX('Lease Cycles'!$EF$17:$EL$17,1,T163)=1,'Lease Cycles'!$AJ$17*INDEX('Lease Cycles'!$FO$17:$FU$17,1,T163)*INDEX('Lease Cycles'!$EM$17:$ES$17,1,T163)+'Lease Cycles'!$BE$17*IF(T164&lt;INDEX('Lease Cycles'!$FA$17:$FG$17,1,T163),0,1-INDEX('Lease Cycles'!$EM$17:$ES$17,1,T163)),IF(OR(INDEX('Lease Cycles'!$DY$17:$EE$17,1,T163)=1,T164&gt;0),1,1-INDEX('Lease Cycles'!$DD$17:$DJ$17,1,T163))*('Lease Cycles'!$AJ$17*INDEX('Lease Cycles'!$FO$17:$FU$17,1,T163)+'Lease Cycles'!$BE$17*(1-INDEX('Lease Cycles'!$FO$17:$FU$17,1,T163)))),0)</f>
        <v>0</v>
      </c>
      <c r="U173" s="24">
        <f>IF(U165=1,'Lease Cycles'!$D$17*IF(INDEX('Lease Cycles'!$EF$17:$EL$17,1,U163)=1,'Lease Cycles'!$AJ$17*INDEX('Lease Cycles'!$FO$17:$FU$17,1,U163)*INDEX('Lease Cycles'!$EM$17:$ES$17,1,U163)+'Lease Cycles'!$BE$17*IF(U164&lt;INDEX('Lease Cycles'!$FA$17:$FG$17,1,U163),0,1-INDEX('Lease Cycles'!$EM$17:$ES$17,1,U163)),IF(OR(INDEX('Lease Cycles'!$DY$17:$EE$17,1,U163)=1,U164&gt;0),1,1-INDEX('Lease Cycles'!$DD$17:$DJ$17,1,U163))*('Lease Cycles'!$AJ$17*INDEX('Lease Cycles'!$FO$17:$FU$17,1,U163)+'Lease Cycles'!$BE$17*(1-INDEX('Lease Cycles'!$FO$17:$FU$17,1,U163)))),0)</f>
        <v>0</v>
      </c>
      <c r="V173" s="24">
        <f>IF(V165=1,'Lease Cycles'!$D$17*IF(INDEX('Lease Cycles'!$EF$17:$EL$17,1,V163)=1,'Lease Cycles'!$AJ$17*INDEX('Lease Cycles'!$FO$17:$FU$17,1,V163)*INDEX('Lease Cycles'!$EM$17:$ES$17,1,V163)+'Lease Cycles'!$BE$17*IF(V164&lt;INDEX('Lease Cycles'!$FA$17:$FG$17,1,V163),0,1-INDEX('Lease Cycles'!$EM$17:$ES$17,1,V163)),IF(OR(INDEX('Lease Cycles'!$DY$17:$EE$17,1,V163)=1,V164&gt;0),1,1-INDEX('Lease Cycles'!$DD$17:$DJ$17,1,V163))*('Lease Cycles'!$AJ$17*INDEX('Lease Cycles'!$FO$17:$FU$17,1,V163)+'Lease Cycles'!$BE$17*(1-INDEX('Lease Cycles'!$FO$17:$FU$17,1,V163)))),0)</f>
        <v>0</v>
      </c>
      <c r="W173" s="24">
        <f>IF(W165=1,'Lease Cycles'!$D$17*IF(INDEX('Lease Cycles'!$EF$17:$EL$17,1,W163)=1,'Lease Cycles'!$AJ$17*INDEX('Lease Cycles'!$FO$17:$FU$17,1,W163)*INDEX('Lease Cycles'!$EM$17:$ES$17,1,W163)+'Lease Cycles'!$BE$17*IF(W164&lt;INDEX('Lease Cycles'!$FA$17:$FG$17,1,W163),0,1-INDEX('Lease Cycles'!$EM$17:$ES$17,1,W163)),IF(OR(INDEX('Lease Cycles'!$DY$17:$EE$17,1,W163)=1,W164&gt;0),1,1-INDEX('Lease Cycles'!$DD$17:$DJ$17,1,W163))*('Lease Cycles'!$AJ$17*INDEX('Lease Cycles'!$FO$17:$FU$17,1,W163)+'Lease Cycles'!$BE$17*(1-INDEX('Lease Cycles'!$FO$17:$FU$17,1,W163)))),0)</f>
        <v>0</v>
      </c>
      <c r="X173" s="24">
        <f>IF(X165=1,'Lease Cycles'!$D$17*IF(INDEX('Lease Cycles'!$EF$17:$EL$17,1,X163)=1,'Lease Cycles'!$AJ$17*INDEX('Lease Cycles'!$FO$17:$FU$17,1,X163)*INDEX('Lease Cycles'!$EM$17:$ES$17,1,X163)+'Lease Cycles'!$BE$17*IF(X164&lt;INDEX('Lease Cycles'!$FA$17:$FG$17,1,X163),0,1-INDEX('Lease Cycles'!$EM$17:$ES$17,1,X163)),IF(OR(INDEX('Lease Cycles'!$DY$17:$EE$17,1,X163)=1,X164&gt;0),1,1-INDEX('Lease Cycles'!$DD$17:$DJ$17,1,X163))*('Lease Cycles'!$AJ$17*INDEX('Lease Cycles'!$FO$17:$FU$17,1,X163)+'Lease Cycles'!$BE$17*(1-INDEX('Lease Cycles'!$FO$17:$FU$17,1,X163)))),0)</f>
        <v>0</v>
      </c>
      <c r="Y173" s="24">
        <f>IF(Y165=1,'Lease Cycles'!$D$17*IF(INDEX('Lease Cycles'!$EF$17:$EL$17,1,Y163)=1,'Lease Cycles'!$AJ$17*INDEX('Lease Cycles'!$FO$17:$FU$17,1,Y163)*INDEX('Lease Cycles'!$EM$17:$ES$17,1,Y163)+'Lease Cycles'!$BE$17*IF(Y164&lt;INDEX('Lease Cycles'!$FA$17:$FG$17,1,Y163),0,1-INDEX('Lease Cycles'!$EM$17:$ES$17,1,Y163)),IF(OR(INDEX('Lease Cycles'!$DY$17:$EE$17,1,Y163)=1,Y164&gt;0),1,1-INDEX('Lease Cycles'!$DD$17:$DJ$17,1,Y163))*('Lease Cycles'!$AJ$17*INDEX('Lease Cycles'!$FO$17:$FU$17,1,Y163)+'Lease Cycles'!$BE$17*(1-INDEX('Lease Cycles'!$FO$17:$FU$17,1,Y163)))),0)</f>
        <v>0</v>
      </c>
      <c r="Z173" s="24">
        <f>IF(Z165=1,'Lease Cycles'!$D$17*IF(INDEX('Lease Cycles'!$EF$17:$EL$17,1,Z163)=1,'Lease Cycles'!$AJ$17*INDEX('Lease Cycles'!$FO$17:$FU$17,1,Z163)*INDEX('Lease Cycles'!$EM$17:$ES$17,1,Z163)+'Lease Cycles'!$BE$17*IF(Z164&lt;INDEX('Lease Cycles'!$FA$17:$FG$17,1,Z163),0,1-INDEX('Lease Cycles'!$EM$17:$ES$17,1,Z163)),IF(OR(INDEX('Lease Cycles'!$DY$17:$EE$17,1,Z163)=1,Z164&gt;0),1,1-INDEX('Lease Cycles'!$DD$17:$DJ$17,1,Z163))*('Lease Cycles'!$AJ$17*INDEX('Lease Cycles'!$FO$17:$FU$17,1,Z163)+'Lease Cycles'!$BE$17*(1-INDEX('Lease Cycles'!$FO$17:$FU$17,1,Z163)))),0)</f>
        <v>0</v>
      </c>
      <c r="AA173" s="24">
        <f>IF(AA165=1,'Lease Cycles'!$D$17*IF(INDEX('Lease Cycles'!$EF$17:$EL$17,1,AA163)=1,'Lease Cycles'!$AJ$17*INDEX('Lease Cycles'!$FO$17:$FU$17,1,AA163)*INDEX('Lease Cycles'!$EM$17:$ES$17,1,AA163)+'Lease Cycles'!$BE$17*IF(AA164&lt;INDEX('Lease Cycles'!$FA$17:$FG$17,1,AA163),0,1-INDEX('Lease Cycles'!$EM$17:$ES$17,1,AA163)),IF(OR(INDEX('Lease Cycles'!$DY$17:$EE$17,1,AA163)=1,AA164&gt;0),1,1-INDEX('Lease Cycles'!$DD$17:$DJ$17,1,AA163))*('Lease Cycles'!$AJ$17*INDEX('Lease Cycles'!$FO$17:$FU$17,1,AA163)+'Lease Cycles'!$BE$17*(1-INDEX('Lease Cycles'!$FO$17:$FU$17,1,AA163)))),0)</f>
        <v>0</v>
      </c>
      <c r="AB173" s="24">
        <f>IF(AB165=1,'Lease Cycles'!$D$17*IF(INDEX('Lease Cycles'!$EF$17:$EL$17,1,AB163)=1,'Lease Cycles'!$AJ$17*INDEX('Lease Cycles'!$FO$17:$FU$17,1,AB163)*INDEX('Lease Cycles'!$EM$17:$ES$17,1,AB163)+'Lease Cycles'!$BE$17*IF(AB164&lt;INDEX('Lease Cycles'!$FA$17:$FG$17,1,AB163),0,1-INDEX('Lease Cycles'!$EM$17:$ES$17,1,AB163)),IF(OR(INDEX('Lease Cycles'!$DY$17:$EE$17,1,AB163)=1,AB164&gt;0),1,1-INDEX('Lease Cycles'!$DD$17:$DJ$17,1,AB163))*('Lease Cycles'!$AJ$17*INDEX('Lease Cycles'!$FO$17:$FU$17,1,AB163)+'Lease Cycles'!$BE$17*(1-INDEX('Lease Cycles'!$FO$17:$FU$17,1,AB163)))),0)</f>
        <v>0</v>
      </c>
      <c r="AC173" s="24">
        <f>IF(AC165=1,'Lease Cycles'!$D$17*IF(INDEX('Lease Cycles'!$EF$17:$EL$17,1,AC163)=1,'Lease Cycles'!$AJ$17*INDEX('Lease Cycles'!$FO$17:$FU$17,1,AC163)*INDEX('Lease Cycles'!$EM$17:$ES$17,1,AC163)+'Lease Cycles'!$BE$17*IF(AC164&lt;INDEX('Lease Cycles'!$FA$17:$FG$17,1,AC163),0,1-INDEX('Lease Cycles'!$EM$17:$ES$17,1,AC163)),IF(OR(INDEX('Lease Cycles'!$DY$17:$EE$17,1,AC163)=1,AC164&gt;0),1,1-INDEX('Lease Cycles'!$DD$17:$DJ$17,1,AC163))*('Lease Cycles'!$AJ$17*INDEX('Lease Cycles'!$FO$17:$FU$17,1,AC163)+'Lease Cycles'!$BE$17*(1-INDEX('Lease Cycles'!$FO$17:$FU$17,1,AC163)))),0)</f>
        <v>0</v>
      </c>
      <c r="AD173" s="24">
        <f>IF(AD165=1,'Lease Cycles'!$D$17*IF(INDEX('Lease Cycles'!$EF$17:$EL$17,1,AD163)=1,'Lease Cycles'!$AJ$17*INDEX('Lease Cycles'!$FO$17:$FU$17,1,AD163)*INDEX('Lease Cycles'!$EM$17:$ES$17,1,AD163)+'Lease Cycles'!$BE$17*IF(AD164&lt;INDEX('Lease Cycles'!$FA$17:$FG$17,1,AD163),0,1-INDEX('Lease Cycles'!$EM$17:$ES$17,1,AD163)),IF(OR(INDEX('Lease Cycles'!$DY$17:$EE$17,1,AD163)=1,AD164&gt;0),1,1-INDEX('Lease Cycles'!$DD$17:$DJ$17,1,AD163))*('Lease Cycles'!$AJ$17*INDEX('Lease Cycles'!$FO$17:$FU$17,1,AD163)+'Lease Cycles'!$BE$17*(1-INDEX('Lease Cycles'!$FO$17:$FU$17,1,AD163)))),0)</f>
        <v>0</v>
      </c>
      <c r="AE173" s="24">
        <f>IF(AE165=1,'Lease Cycles'!$D$17*IF(INDEX('Lease Cycles'!$EF$17:$EL$17,1,AE163)=1,'Lease Cycles'!$AJ$17*INDEX('Lease Cycles'!$FO$17:$FU$17,1,AE163)*INDEX('Lease Cycles'!$EM$17:$ES$17,1,AE163)+'Lease Cycles'!$BE$17*IF(AE164&lt;INDEX('Lease Cycles'!$FA$17:$FG$17,1,AE163),0,1-INDEX('Lease Cycles'!$EM$17:$ES$17,1,AE163)),IF(OR(INDEX('Lease Cycles'!$DY$17:$EE$17,1,AE163)=1,AE164&gt;0),1,1-INDEX('Lease Cycles'!$DD$17:$DJ$17,1,AE163))*('Lease Cycles'!$AJ$17*INDEX('Lease Cycles'!$FO$17:$FU$17,1,AE163)+'Lease Cycles'!$BE$17*(1-INDEX('Lease Cycles'!$FO$17:$FU$17,1,AE163)))),0)</f>
        <v>0</v>
      </c>
      <c r="AF173" s="24">
        <f>IF(AF165=1,'Lease Cycles'!$D$17*IF(INDEX('Lease Cycles'!$EF$17:$EL$17,1,AF163)=1,'Lease Cycles'!$AJ$17*INDEX('Lease Cycles'!$FO$17:$FU$17,1,AF163)*INDEX('Lease Cycles'!$EM$17:$ES$17,1,AF163)+'Lease Cycles'!$BE$17*IF(AF164&lt;INDEX('Lease Cycles'!$FA$17:$FG$17,1,AF163),0,1-INDEX('Lease Cycles'!$EM$17:$ES$17,1,AF163)),IF(OR(INDEX('Lease Cycles'!$DY$17:$EE$17,1,AF163)=1,AF164&gt;0),1,1-INDEX('Lease Cycles'!$DD$17:$DJ$17,1,AF163))*('Lease Cycles'!$AJ$17*INDEX('Lease Cycles'!$FO$17:$FU$17,1,AF163)+'Lease Cycles'!$BE$17*(1-INDEX('Lease Cycles'!$FO$17:$FU$17,1,AF163)))),0)</f>
        <v>0</v>
      </c>
      <c r="AG173" s="24">
        <f>IF(AG165=1,'Lease Cycles'!$D$17*IF(INDEX('Lease Cycles'!$EF$17:$EL$17,1,AG163)=1,'Lease Cycles'!$AJ$17*INDEX('Lease Cycles'!$FO$17:$FU$17,1,AG163)*INDEX('Lease Cycles'!$EM$17:$ES$17,1,AG163)+'Lease Cycles'!$BE$17*IF(AG164&lt;INDEX('Lease Cycles'!$FA$17:$FG$17,1,AG163),0,1-INDEX('Lease Cycles'!$EM$17:$ES$17,1,AG163)),IF(OR(INDEX('Lease Cycles'!$DY$17:$EE$17,1,AG163)=1,AG164&gt;0),1,1-INDEX('Lease Cycles'!$DD$17:$DJ$17,1,AG163))*('Lease Cycles'!$AJ$17*INDEX('Lease Cycles'!$FO$17:$FU$17,1,AG163)+'Lease Cycles'!$BE$17*(1-INDEX('Lease Cycles'!$FO$17:$FU$17,1,AG163)))),0)</f>
        <v>0</v>
      </c>
      <c r="AH173" s="24">
        <f>IF(AH165=1,'Lease Cycles'!$D$17*IF(INDEX('Lease Cycles'!$EF$17:$EL$17,1,AH163)=1,'Lease Cycles'!$AJ$17*INDEX('Lease Cycles'!$FO$17:$FU$17,1,AH163)*INDEX('Lease Cycles'!$EM$17:$ES$17,1,AH163)+'Lease Cycles'!$BE$17*IF(AH164&lt;INDEX('Lease Cycles'!$FA$17:$FG$17,1,AH163),0,1-INDEX('Lease Cycles'!$EM$17:$ES$17,1,AH163)),IF(OR(INDEX('Lease Cycles'!$DY$17:$EE$17,1,AH163)=1,AH164&gt;0),1,1-INDEX('Lease Cycles'!$DD$17:$DJ$17,1,AH163))*('Lease Cycles'!$AJ$17*INDEX('Lease Cycles'!$FO$17:$FU$17,1,AH163)+'Lease Cycles'!$BE$17*(1-INDEX('Lease Cycles'!$FO$17:$FU$17,1,AH163)))),0)</f>
        <v>0</v>
      </c>
      <c r="AI173" s="24">
        <f>IF(AI165=1,'Lease Cycles'!$D$17*IF(INDEX('Lease Cycles'!$EF$17:$EL$17,1,AI163)=1,'Lease Cycles'!$AJ$17*INDEX('Lease Cycles'!$FO$17:$FU$17,1,AI163)*INDEX('Lease Cycles'!$EM$17:$ES$17,1,AI163)+'Lease Cycles'!$BE$17*IF(AI164&lt;INDEX('Lease Cycles'!$FA$17:$FG$17,1,AI163),0,1-INDEX('Lease Cycles'!$EM$17:$ES$17,1,AI163)),IF(OR(INDEX('Lease Cycles'!$DY$17:$EE$17,1,AI163)=1,AI164&gt;0),1,1-INDEX('Lease Cycles'!$DD$17:$DJ$17,1,AI163))*('Lease Cycles'!$AJ$17*INDEX('Lease Cycles'!$FO$17:$FU$17,1,AI163)+'Lease Cycles'!$BE$17*(1-INDEX('Lease Cycles'!$FO$17:$FU$17,1,AI163)))),0)</f>
        <v>0</v>
      </c>
      <c r="AJ173" s="24">
        <f>IF(AJ165=1,'Lease Cycles'!$D$17*IF(INDEX('Lease Cycles'!$EF$17:$EL$17,1,AJ163)=1,'Lease Cycles'!$AJ$17*INDEX('Lease Cycles'!$FO$17:$FU$17,1,AJ163)*INDEX('Lease Cycles'!$EM$17:$ES$17,1,AJ163)+'Lease Cycles'!$BE$17*IF(AJ164&lt;INDEX('Lease Cycles'!$FA$17:$FG$17,1,AJ163),0,1-INDEX('Lease Cycles'!$EM$17:$ES$17,1,AJ163)),IF(OR(INDEX('Lease Cycles'!$DY$17:$EE$17,1,AJ163)=1,AJ164&gt;0),1,1-INDEX('Lease Cycles'!$DD$17:$DJ$17,1,AJ163))*('Lease Cycles'!$AJ$17*INDEX('Lease Cycles'!$FO$17:$FU$17,1,AJ163)+'Lease Cycles'!$BE$17*(1-INDEX('Lease Cycles'!$FO$17:$FU$17,1,AJ163)))),0)</f>
        <v>0</v>
      </c>
      <c r="AK173" s="24">
        <f>IF(AK165=1,'Lease Cycles'!$D$17*IF(INDEX('Lease Cycles'!$EF$17:$EL$17,1,AK163)=1,'Lease Cycles'!$AJ$17*INDEX('Lease Cycles'!$FO$17:$FU$17,1,AK163)*INDEX('Lease Cycles'!$EM$17:$ES$17,1,AK163)+'Lease Cycles'!$BE$17*IF(AK164&lt;INDEX('Lease Cycles'!$FA$17:$FG$17,1,AK163),0,1-INDEX('Lease Cycles'!$EM$17:$ES$17,1,AK163)),IF(OR(INDEX('Lease Cycles'!$DY$17:$EE$17,1,AK163)=1,AK164&gt;0),1,1-INDEX('Lease Cycles'!$DD$17:$DJ$17,1,AK163))*('Lease Cycles'!$AJ$17*INDEX('Lease Cycles'!$FO$17:$FU$17,1,AK163)+'Lease Cycles'!$BE$17*(1-INDEX('Lease Cycles'!$FO$17:$FU$17,1,AK163)))),0)</f>
        <v>0</v>
      </c>
      <c r="AL173" s="24">
        <f>IF(AL165=1,'Lease Cycles'!$D$17*IF(INDEX('Lease Cycles'!$EF$17:$EL$17,1,AL163)=1,'Lease Cycles'!$AJ$17*INDEX('Lease Cycles'!$FO$17:$FU$17,1,AL163)*INDEX('Lease Cycles'!$EM$17:$ES$17,1,AL163)+'Lease Cycles'!$BE$17*IF(AL164&lt;INDEX('Lease Cycles'!$FA$17:$FG$17,1,AL163),0,1-INDEX('Lease Cycles'!$EM$17:$ES$17,1,AL163)),IF(OR(INDEX('Lease Cycles'!$DY$17:$EE$17,1,AL163)=1,AL164&gt;0),1,1-INDEX('Lease Cycles'!$DD$17:$DJ$17,1,AL163))*('Lease Cycles'!$AJ$17*INDEX('Lease Cycles'!$FO$17:$FU$17,1,AL163)+'Lease Cycles'!$BE$17*(1-INDEX('Lease Cycles'!$FO$17:$FU$17,1,AL163)))),0)</f>
        <v>0</v>
      </c>
      <c r="AM173" s="24">
        <f>IF(AM165=1,'Lease Cycles'!$D$17*IF(INDEX('Lease Cycles'!$EF$17:$EL$17,1,AM163)=1,'Lease Cycles'!$AJ$17*INDEX('Lease Cycles'!$FO$17:$FU$17,1,AM163)*INDEX('Lease Cycles'!$EM$17:$ES$17,1,AM163)+'Lease Cycles'!$BE$17*IF(AM164&lt;INDEX('Lease Cycles'!$FA$17:$FG$17,1,AM163),0,1-INDEX('Lease Cycles'!$EM$17:$ES$17,1,AM163)),IF(OR(INDEX('Lease Cycles'!$DY$17:$EE$17,1,AM163)=1,AM164&gt;0),1,1-INDEX('Lease Cycles'!$DD$17:$DJ$17,1,AM163))*('Lease Cycles'!$AJ$17*INDEX('Lease Cycles'!$FO$17:$FU$17,1,AM163)+'Lease Cycles'!$BE$17*(1-INDEX('Lease Cycles'!$FO$17:$FU$17,1,AM163)))),0)</f>
        <v>0</v>
      </c>
      <c r="AN173" s="24">
        <f>IF(AN165=1,'Lease Cycles'!$D$17*IF(INDEX('Lease Cycles'!$EF$17:$EL$17,1,AN163)=1,'Lease Cycles'!$AJ$17*INDEX('Lease Cycles'!$FO$17:$FU$17,1,AN163)*INDEX('Lease Cycles'!$EM$17:$ES$17,1,AN163)+'Lease Cycles'!$BE$17*IF(AN164&lt;INDEX('Lease Cycles'!$FA$17:$FG$17,1,AN163),0,1-INDEX('Lease Cycles'!$EM$17:$ES$17,1,AN163)),IF(OR(INDEX('Lease Cycles'!$DY$17:$EE$17,1,AN163)=1,AN164&gt;0),1,1-INDEX('Lease Cycles'!$DD$17:$DJ$17,1,AN163))*('Lease Cycles'!$AJ$17*INDEX('Lease Cycles'!$FO$17:$FU$17,1,AN163)+'Lease Cycles'!$BE$17*(1-INDEX('Lease Cycles'!$FO$17:$FU$17,1,AN163)))),0)</f>
        <v>0</v>
      </c>
      <c r="AO173" s="24">
        <f>IF(AO165=1,'Lease Cycles'!$D$17*IF(INDEX('Lease Cycles'!$EF$17:$EL$17,1,AO163)=1,'Lease Cycles'!$AJ$17*INDEX('Lease Cycles'!$FO$17:$FU$17,1,AO163)*INDEX('Lease Cycles'!$EM$17:$ES$17,1,AO163)+'Lease Cycles'!$BE$17*IF(AO164&lt;INDEX('Lease Cycles'!$FA$17:$FG$17,1,AO163),0,1-INDEX('Lease Cycles'!$EM$17:$ES$17,1,AO163)),IF(OR(INDEX('Lease Cycles'!$DY$17:$EE$17,1,AO163)=1,AO164&gt;0),1,1-INDEX('Lease Cycles'!$DD$17:$DJ$17,1,AO163))*('Lease Cycles'!$AJ$17*INDEX('Lease Cycles'!$FO$17:$FU$17,1,AO163)+'Lease Cycles'!$BE$17*(1-INDEX('Lease Cycles'!$FO$17:$FU$17,1,AO163)))),0)</f>
        <v>0</v>
      </c>
      <c r="AP173" s="24">
        <f>IF(AP165=1,'Lease Cycles'!$D$17*IF(INDEX('Lease Cycles'!$EF$17:$EL$17,1,AP163)=1,'Lease Cycles'!$AJ$17*INDEX('Lease Cycles'!$FO$17:$FU$17,1,AP163)*INDEX('Lease Cycles'!$EM$17:$ES$17,1,AP163)+'Lease Cycles'!$BE$17*IF(AP164&lt;INDEX('Lease Cycles'!$FA$17:$FG$17,1,AP163),0,1-INDEX('Lease Cycles'!$EM$17:$ES$17,1,AP163)),IF(OR(INDEX('Lease Cycles'!$DY$17:$EE$17,1,AP163)=1,AP164&gt;0),1,1-INDEX('Lease Cycles'!$DD$17:$DJ$17,1,AP163))*('Lease Cycles'!$AJ$17*INDEX('Lease Cycles'!$FO$17:$FU$17,1,AP163)+'Lease Cycles'!$BE$17*(1-INDEX('Lease Cycles'!$FO$17:$FU$17,1,AP163)))),0)</f>
        <v>0</v>
      </c>
      <c r="AQ173" s="24">
        <f>IF(AQ165=1,'Lease Cycles'!$D$17*IF(INDEX('Lease Cycles'!$EF$17:$EL$17,1,AQ163)=1,'Lease Cycles'!$AJ$17*INDEX('Lease Cycles'!$FO$17:$FU$17,1,AQ163)*INDEX('Lease Cycles'!$EM$17:$ES$17,1,AQ163)+'Lease Cycles'!$BE$17*IF(AQ164&lt;INDEX('Lease Cycles'!$FA$17:$FG$17,1,AQ163),0,1-INDEX('Lease Cycles'!$EM$17:$ES$17,1,AQ163)),IF(OR(INDEX('Lease Cycles'!$DY$17:$EE$17,1,AQ163)=1,AQ164&gt;0),1,1-INDEX('Lease Cycles'!$DD$17:$DJ$17,1,AQ163))*('Lease Cycles'!$AJ$17*INDEX('Lease Cycles'!$FO$17:$FU$17,1,AQ163)+'Lease Cycles'!$BE$17*(1-INDEX('Lease Cycles'!$FO$17:$FU$17,1,AQ163)))),0)</f>
        <v>0</v>
      </c>
      <c r="AR173" s="24">
        <f>IF(AR165=1,'Lease Cycles'!$D$17*IF(INDEX('Lease Cycles'!$EF$17:$EL$17,1,AR163)=1,'Lease Cycles'!$AJ$17*INDEX('Lease Cycles'!$FO$17:$FU$17,1,AR163)*INDEX('Lease Cycles'!$EM$17:$ES$17,1,AR163)+'Lease Cycles'!$BE$17*IF(AR164&lt;INDEX('Lease Cycles'!$FA$17:$FG$17,1,AR163),0,1-INDEX('Lease Cycles'!$EM$17:$ES$17,1,AR163)),IF(OR(INDEX('Lease Cycles'!$DY$17:$EE$17,1,AR163)=1,AR164&gt;0),1,1-INDEX('Lease Cycles'!$DD$17:$DJ$17,1,AR163))*('Lease Cycles'!$AJ$17*INDEX('Lease Cycles'!$FO$17:$FU$17,1,AR163)+'Lease Cycles'!$BE$17*(1-INDEX('Lease Cycles'!$FO$17:$FU$17,1,AR163)))),0)</f>
        <v>0</v>
      </c>
      <c r="AS173" s="24">
        <f>IF(AS165=1,'Lease Cycles'!$D$17*IF(INDEX('Lease Cycles'!$EF$17:$EL$17,1,AS163)=1,'Lease Cycles'!$AJ$17*INDEX('Lease Cycles'!$FO$17:$FU$17,1,AS163)*INDEX('Lease Cycles'!$EM$17:$ES$17,1,AS163)+'Lease Cycles'!$BE$17*IF(AS164&lt;INDEX('Lease Cycles'!$FA$17:$FG$17,1,AS163),0,1-INDEX('Lease Cycles'!$EM$17:$ES$17,1,AS163)),IF(OR(INDEX('Lease Cycles'!$DY$17:$EE$17,1,AS163)=1,AS164&gt;0),1,1-INDEX('Lease Cycles'!$DD$17:$DJ$17,1,AS163))*('Lease Cycles'!$AJ$17*INDEX('Lease Cycles'!$FO$17:$FU$17,1,AS163)+'Lease Cycles'!$BE$17*(1-INDEX('Lease Cycles'!$FO$17:$FU$17,1,AS163)))),0)</f>
        <v>0</v>
      </c>
      <c r="AT173" s="24">
        <f>IF(AT165=1,'Lease Cycles'!$D$17*IF(INDEX('Lease Cycles'!$EF$17:$EL$17,1,AT163)=1,'Lease Cycles'!$AJ$17*INDEX('Lease Cycles'!$FO$17:$FU$17,1,AT163)*INDEX('Lease Cycles'!$EM$17:$ES$17,1,AT163)+'Lease Cycles'!$BE$17*IF(AT164&lt;INDEX('Lease Cycles'!$FA$17:$FG$17,1,AT163),0,1-INDEX('Lease Cycles'!$EM$17:$ES$17,1,AT163)),IF(OR(INDEX('Lease Cycles'!$DY$17:$EE$17,1,AT163)=1,AT164&gt;0),1,1-INDEX('Lease Cycles'!$DD$17:$DJ$17,1,AT163))*('Lease Cycles'!$AJ$17*INDEX('Lease Cycles'!$FO$17:$FU$17,1,AT163)+'Lease Cycles'!$BE$17*(1-INDEX('Lease Cycles'!$FO$17:$FU$17,1,AT163)))),0)</f>
        <v>0</v>
      </c>
      <c r="AU173" s="24">
        <f>IF(AU165=1,'Lease Cycles'!$D$17*IF(INDEX('Lease Cycles'!$EF$17:$EL$17,1,AU163)=1,'Lease Cycles'!$AJ$17*INDEX('Lease Cycles'!$FO$17:$FU$17,1,AU163)*INDEX('Lease Cycles'!$EM$17:$ES$17,1,AU163)+'Lease Cycles'!$BE$17*IF(AU164&lt;INDEX('Lease Cycles'!$FA$17:$FG$17,1,AU163),0,1-INDEX('Lease Cycles'!$EM$17:$ES$17,1,AU163)),IF(OR(INDEX('Lease Cycles'!$DY$17:$EE$17,1,AU163)=1,AU164&gt;0),1,1-INDEX('Lease Cycles'!$DD$17:$DJ$17,1,AU163))*('Lease Cycles'!$AJ$17*INDEX('Lease Cycles'!$FO$17:$FU$17,1,AU163)+'Lease Cycles'!$BE$17*(1-INDEX('Lease Cycles'!$FO$17:$FU$17,1,AU163)))),0)</f>
        <v>0</v>
      </c>
      <c r="AV173" s="24">
        <f>IF(AV165=1,'Lease Cycles'!$D$17*IF(INDEX('Lease Cycles'!$EF$17:$EL$17,1,AV163)=1,'Lease Cycles'!$AJ$17*INDEX('Lease Cycles'!$FO$17:$FU$17,1,AV163)*INDEX('Lease Cycles'!$EM$17:$ES$17,1,AV163)+'Lease Cycles'!$BE$17*IF(AV164&lt;INDEX('Lease Cycles'!$FA$17:$FG$17,1,AV163),0,1-INDEX('Lease Cycles'!$EM$17:$ES$17,1,AV163)),IF(OR(INDEX('Lease Cycles'!$DY$17:$EE$17,1,AV163)=1,AV164&gt;0),1,1-INDEX('Lease Cycles'!$DD$17:$DJ$17,1,AV163))*('Lease Cycles'!$AJ$17*INDEX('Lease Cycles'!$FO$17:$FU$17,1,AV163)+'Lease Cycles'!$BE$17*(1-INDEX('Lease Cycles'!$FO$17:$FU$17,1,AV163)))),0)</f>
        <v>0</v>
      </c>
      <c r="AW173" s="24">
        <f>IF(AW165=1,'Lease Cycles'!$D$17*IF(INDEX('Lease Cycles'!$EF$17:$EL$17,1,AW163)=1,'Lease Cycles'!$AJ$17*INDEX('Lease Cycles'!$FO$17:$FU$17,1,AW163)*INDEX('Lease Cycles'!$EM$17:$ES$17,1,AW163)+'Lease Cycles'!$BE$17*IF(AW164&lt;INDEX('Lease Cycles'!$FA$17:$FG$17,1,AW163),0,1-INDEX('Lease Cycles'!$EM$17:$ES$17,1,AW163)),IF(OR(INDEX('Lease Cycles'!$DY$17:$EE$17,1,AW163)=1,AW164&gt;0),1,1-INDEX('Lease Cycles'!$DD$17:$DJ$17,1,AW163))*('Lease Cycles'!$AJ$17*INDEX('Lease Cycles'!$FO$17:$FU$17,1,AW163)+'Lease Cycles'!$BE$17*(1-INDEX('Lease Cycles'!$FO$17:$FU$17,1,AW163)))),0)</f>
        <v>0</v>
      </c>
      <c r="AX173" s="24">
        <f>IF(AX165=1,'Lease Cycles'!$D$17*IF(INDEX('Lease Cycles'!$EF$17:$EL$17,1,AX163)=1,'Lease Cycles'!$AJ$17*INDEX('Lease Cycles'!$FO$17:$FU$17,1,AX163)*INDEX('Lease Cycles'!$EM$17:$ES$17,1,AX163)+'Lease Cycles'!$BE$17*IF(AX164&lt;INDEX('Lease Cycles'!$FA$17:$FG$17,1,AX163),0,1-INDEX('Lease Cycles'!$EM$17:$ES$17,1,AX163)),IF(OR(INDEX('Lease Cycles'!$DY$17:$EE$17,1,AX163)=1,AX164&gt;0),1,1-INDEX('Lease Cycles'!$DD$17:$DJ$17,1,AX163))*('Lease Cycles'!$AJ$17*INDEX('Lease Cycles'!$FO$17:$FU$17,1,AX163)+'Lease Cycles'!$BE$17*(1-INDEX('Lease Cycles'!$FO$17:$FU$17,1,AX163)))),0)</f>
        <v>0</v>
      </c>
      <c r="AY173" s="24">
        <f>IF(AY165=1,'Lease Cycles'!$D$17*IF(INDEX('Lease Cycles'!$EF$17:$EL$17,1,AY163)=1,'Lease Cycles'!$AJ$17*INDEX('Lease Cycles'!$FO$17:$FU$17,1,AY163)*INDEX('Lease Cycles'!$EM$17:$ES$17,1,AY163)+'Lease Cycles'!$BE$17*IF(AY164&lt;INDEX('Lease Cycles'!$FA$17:$FG$17,1,AY163),0,1-INDEX('Lease Cycles'!$EM$17:$ES$17,1,AY163)),IF(OR(INDEX('Lease Cycles'!$DY$17:$EE$17,1,AY163)=1,AY164&gt;0),1,1-INDEX('Lease Cycles'!$DD$17:$DJ$17,1,AY163))*('Lease Cycles'!$AJ$17*INDEX('Lease Cycles'!$FO$17:$FU$17,1,AY163)+'Lease Cycles'!$BE$17*(1-INDEX('Lease Cycles'!$FO$17:$FU$17,1,AY163)))),0)</f>
        <v>0</v>
      </c>
      <c r="AZ173" s="24">
        <f>IF(AZ165=1,'Lease Cycles'!$D$17*IF(INDEX('Lease Cycles'!$EF$17:$EL$17,1,AZ163)=1,'Lease Cycles'!$AJ$17*INDEX('Lease Cycles'!$FO$17:$FU$17,1,AZ163)*INDEX('Lease Cycles'!$EM$17:$ES$17,1,AZ163)+'Lease Cycles'!$BE$17*IF(AZ164&lt;INDEX('Lease Cycles'!$FA$17:$FG$17,1,AZ163),0,1-INDEX('Lease Cycles'!$EM$17:$ES$17,1,AZ163)),IF(OR(INDEX('Lease Cycles'!$DY$17:$EE$17,1,AZ163)=1,AZ164&gt;0),1,1-INDEX('Lease Cycles'!$DD$17:$DJ$17,1,AZ163))*('Lease Cycles'!$AJ$17*INDEX('Lease Cycles'!$FO$17:$FU$17,1,AZ163)+'Lease Cycles'!$BE$17*(1-INDEX('Lease Cycles'!$FO$17:$FU$17,1,AZ163)))),0)</f>
        <v>0</v>
      </c>
      <c r="BA173" s="24">
        <f>IF(BA165=1,'Lease Cycles'!$D$17*IF(INDEX('Lease Cycles'!$EF$17:$EL$17,1,BA163)=1,'Lease Cycles'!$AJ$17*INDEX('Lease Cycles'!$FO$17:$FU$17,1,BA163)*INDEX('Lease Cycles'!$EM$17:$ES$17,1,BA163)+'Lease Cycles'!$BE$17*IF(BA164&lt;INDEX('Lease Cycles'!$FA$17:$FG$17,1,BA163),0,1-INDEX('Lease Cycles'!$EM$17:$ES$17,1,BA163)),IF(OR(INDEX('Lease Cycles'!$DY$17:$EE$17,1,BA163)=1,BA164&gt;0),1,1-INDEX('Lease Cycles'!$DD$17:$DJ$17,1,BA163))*('Lease Cycles'!$AJ$17*INDEX('Lease Cycles'!$FO$17:$FU$17,1,BA163)+'Lease Cycles'!$BE$17*(1-INDEX('Lease Cycles'!$FO$17:$FU$17,1,BA163)))),0)</f>
        <v>0</v>
      </c>
      <c r="BB173" s="24">
        <f>IF(BB165=1,'Lease Cycles'!$D$17*IF(INDEX('Lease Cycles'!$EF$17:$EL$17,1,BB163)=1,'Lease Cycles'!$AJ$17*INDEX('Lease Cycles'!$FO$17:$FU$17,1,BB163)*INDEX('Lease Cycles'!$EM$17:$ES$17,1,BB163)+'Lease Cycles'!$BE$17*IF(BB164&lt;INDEX('Lease Cycles'!$FA$17:$FG$17,1,BB163),0,1-INDEX('Lease Cycles'!$EM$17:$ES$17,1,BB163)),IF(OR(INDEX('Lease Cycles'!$DY$17:$EE$17,1,BB163)=1,BB164&gt;0),1,1-INDEX('Lease Cycles'!$DD$17:$DJ$17,1,BB163))*('Lease Cycles'!$AJ$17*INDEX('Lease Cycles'!$FO$17:$FU$17,1,BB163)+'Lease Cycles'!$BE$17*(1-INDEX('Lease Cycles'!$FO$17:$FU$17,1,BB163)))),0)</f>
        <v>0</v>
      </c>
      <c r="BC173" s="24">
        <f>IF(BC165=1,'Lease Cycles'!$D$17*IF(INDEX('Lease Cycles'!$EF$17:$EL$17,1,BC163)=1,'Lease Cycles'!$AJ$17*INDEX('Lease Cycles'!$FO$17:$FU$17,1,BC163)*INDEX('Lease Cycles'!$EM$17:$ES$17,1,BC163)+'Lease Cycles'!$BE$17*IF(BC164&lt;INDEX('Lease Cycles'!$FA$17:$FG$17,1,BC163),0,1-INDEX('Lease Cycles'!$EM$17:$ES$17,1,BC163)),IF(OR(INDEX('Lease Cycles'!$DY$17:$EE$17,1,BC163)=1,BC164&gt;0),1,1-INDEX('Lease Cycles'!$DD$17:$DJ$17,1,BC163))*('Lease Cycles'!$AJ$17*INDEX('Lease Cycles'!$FO$17:$FU$17,1,BC163)+'Lease Cycles'!$BE$17*(1-INDEX('Lease Cycles'!$FO$17:$FU$17,1,BC163)))),0)</f>
        <v>0</v>
      </c>
      <c r="BD173" s="24">
        <f>IF(BD165=1,'Lease Cycles'!$D$17*IF(INDEX('Lease Cycles'!$EF$17:$EL$17,1,BD163)=1,'Lease Cycles'!$AJ$17*INDEX('Lease Cycles'!$FO$17:$FU$17,1,BD163)*INDEX('Lease Cycles'!$EM$17:$ES$17,1,BD163)+'Lease Cycles'!$BE$17*IF(BD164&lt;INDEX('Lease Cycles'!$FA$17:$FG$17,1,BD163),0,1-INDEX('Lease Cycles'!$EM$17:$ES$17,1,BD163)),IF(OR(INDEX('Lease Cycles'!$DY$17:$EE$17,1,BD163)=1,BD164&gt;0),1,1-INDEX('Lease Cycles'!$DD$17:$DJ$17,1,BD163))*('Lease Cycles'!$AJ$17*INDEX('Lease Cycles'!$FO$17:$FU$17,1,BD163)+'Lease Cycles'!$BE$17*(1-INDEX('Lease Cycles'!$FO$17:$FU$17,1,BD163)))),0)</f>
        <v>0</v>
      </c>
      <c r="BE173" s="24">
        <f>IF(BE165=1,'Lease Cycles'!$D$17*IF(INDEX('Lease Cycles'!$EF$17:$EL$17,1,BE163)=1,'Lease Cycles'!$AJ$17*INDEX('Lease Cycles'!$FO$17:$FU$17,1,BE163)*INDEX('Lease Cycles'!$EM$17:$ES$17,1,BE163)+'Lease Cycles'!$BE$17*IF(BE164&lt;INDEX('Lease Cycles'!$FA$17:$FG$17,1,BE163),0,1-INDEX('Lease Cycles'!$EM$17:$ES$17,1,BE163)),IF(OR(INDEX('Lease Cycles'!$DY$17:$EE$17,1,BE163)=1,BE164&gt;0),1,1-INDEX('Lease Cycles'!$DD$17:$DJ$17,1,BE163))*('Lease Cycles'!$AJ$17*INDEX('Lease Cycles'!$FO$17:$FU$17,1,BE163)+'Lease Cycles'!$BE$17*(1-INDEX('Lease Cycles'!$FO$17:$FU$17,1,BE163)))),0)</f>
        <v>0</v>
      </c>
      <c r="BF173" s="24">
        <f>IF(BF165=1,'Lease Cycles'!$D$17*IF(INDEX('Lease Cycles'!$EF$17:$EL$17,1,BF163)=1,'Lease Cycles'!$AJ$17*INDEX('Lease Cycles'!$FO$17:$FU$17,1,BF163)*INDEX('Lease Cycles'!$EM$17:$ES$17,1,BF163)+'Lease Cycles'!$BE$17*IF(BF164&lt;INDEX('Lease Cycles'!$FA$17:$FG$17,1,BF163),0,1-INDEX('Lease Cycles'!$EM$17:$ES$17,1,BF163)),IF(OR(INDEX('Lease Cycles'!$DY$17:$EE$17,1,BF163)=1,BF164&gt;0),1,1-INDEX('Lease Cycles'!$DD$17:$DJ$17,1,BF163))*('Lease Cycles'!$AJ$17*INDEX('Lease Cycles'!$FO$17:$FU$17,1,BF163)+'Lease Cycles'!$BE$17*(1-INDEX('Lease Cycles'!$FO$17:$FU$17,1,BF163)))),0)</f>
        <v>0</v>
      </c>
      <c r="BG173" s="24">
        <f>IF(BG165=1,'Lease Cycles'!$D$17*IF(INDEX('Lease Cycles'!$EF$17:$EL$17,1,BG163)=1,'Lease Cycles'!$AJ$17*INDEX('Lease Cycles'!$FO$17:$FU$17,1,BG163)*INDEX('Lease Cycles'!$EM$17:$ES$17,1,BG163)+'Lease Cycles'!$BE$17*IF(BG164&lt;INDEX('Lease Cycles'!$FA$17:$FG$17,1,BG163),0,1-INDEX('Lease Cycles'!$EM$17:$ES$17,1,BG163)),IF(OR(INDEX('Lease Cycles'!$DY$17:$EE$17,1,BG163)=1,BG164&gt;0),1,1-INDEX('Lease Cycles'!$DD$17:$DJ$17,1,BG163))*('Lease Cycles'!$AJ$17*INDEX('Lease Cycles'!$FO$17:$FU$17,1,BG163)+'Lease Cycles'!$BE$17*(1-INDEX('Lease Cycles'!$FO$17:$FU$17,1,BG163)))),0)</f>
        <v>0</v>
      </c>
      <c r="BH173" s="24">
        <f>IF(BH165=1,'Lease Cycles'!$D$17*IF(INDEX('Lease Cycles'!$EF$17:$EL$17,1,BH163)=1,'Lease Cycles'!$AJ$17*INDEX('Lease Cycles'!$FO$17:$FU$17,1,BH163)*INDEX('Lease Cycles'!$EM$17:$ES$17,1,BH163)+'Lease Cycles'!$BE$17*IF(BH164&lt;INDEX('Lease Cycles'!$FA$17:$FG$17,1,BH163),0,1-INDEX('Lease Cycles'!$EM$17:$ES$17,1,BH163)),IF(OR(INDEX('Lease Cycles'!$DY$17:$EE$17,1,BH163)=1,BH164&gt;0),1,1-INDEX('Lease Cycles'!$DD$17:$DJ$17,1,BH163))*('Lease Cycles'!$AJ$17*INDEX('Lease Cycles'!$FO$17:$FU$17,1,BH163)+'Lease Cycles'!$BE$17*(1-INDEX('Lease Cycles'!$FO$17:$FU$17,1,BH163)))),0)</f>
        <v>0</v>
      </c>
      <c r="BI173" s="24">
        <f>IF(BI165=1,'Lease Cycles'!$D$17*IF(INDEX('Lease Cycles'!$EF$17:$EL$17,1,BI163)=1,'Lease Cycles'!$AJ$17*INDEX('Lease Cycles'!$FO$17:$FU$17,1,BI163)*INDEX('Lease Cycles'!$EM$17:$ES$17,1,BI163)+'Lease Cycles'!$BE$17*IF(BI164&lt;INDEX('Lease Cycles'!$FA$17:$FG$17,1,BI163),0,1-INDEX('Lease Cycles'!$EM$17:$ES$17,1,BI163)),IF(OR(INDEX('Lease Cycles'!$DY$17:$EE$17,1,BI163)=1,BI164&gt;0),1,1-INDEX('Lease Cycles'!$DD$17:$DJ$17,1,BI163))*('Lease Cycles'!$AJ$17*INDEX('Lease Cycles'!$FO$17:$FU$17,1,BI163)+'Lease Cycles'!$BE$17*(1-INDEX('Lease Cycles'!$FO$17:$FU$17,1,BI163)))),0)</f>
        <v>0</v>
      </c>
      <c r="BJ173" s="24">
        <f>IF(BJ165=1,'Lease Cycles'!$D$17*IF(INDEX('Lease Cycles'!$EF$17:$EL$17,1,BJ163)=1,'Lease Cycles'!$AJ$17*INDEX('Lease Cycles'!$FO$17:$FU$17,1,BJ163)*INDEX('Lease Cycles'!$EM$17:$ES$17,1,BJ163)+'Lease Cycles'!$BE$17*IF(BJ164&lt;INDEX('Lease Cycles'!$FA$17:$FG$17,1,BJ163),0,1-INDEX('Lease Cycles'!$EM$17:$ES$17,1,BJ163)),IF(OR(INDEX('Lease Cycles'!$DY$17:$EE$17,1,BJ163)=1,BJ164&gt;0),1,1-INDEX('Lease Cycles'!$DD$17:$DJ$17,1,BJ163))*('Lease Cycles'!$AJ$17*INDEX('Lease Cycles'!$FO$17:$FU$17,1,BJ163)+'Lease Cycles'!$BE$17*(1-INDEX('Lease Cycles'!$FO$17:$FU$17,1,BJ163)))),0)</f>
        <v>0</v>
      </c>
      <c r="BK173" s="24">
        <f>IF(BK165=1,'Lease Cycles'!$D$17*IF(INDEX('Lease Cycles'!$EF$17:$EL$17,1,BK163)=1,'Lease Cycles'!$AJ$17*INDEX('Lease Cycles'!$FO$17:$FU$17,1,BK163)*INDEX('Lease Cycles'!$EM$17:$ES$17,1,BK163)+'Lease Cycles'!$BE$17*IF(BK164&lt;INDEX('Lease Cycles'!$FA$17:$FG$17,1,BK163),0,1-INDEX('Lease Cycles'!$EM$17:$ES$17,1,BK163)),IF(OR(INDEX('Lease Cycles'!$DY$17:$EE$17,1,BK163)=1,BK164&gt;0),1,1-INDEX('Lease Cycles'!$DD$17:$DJ$17,1,BK163))*('Lease Cycles'!$AJ$17*INDEX('Lease Cycles'!$FO$17:$FU$17,1,BK163)+'Lease Cycles'!$BE$17*(1-INDEX('Lease Cycles'!$FO$17:$FU$17,1,BK163)))),0)</f>
        <v>0</v>
      </c>
      <c r="BL173" s="24">
        <f>IF(BL165=1,'Lease Cycles'!$D$17*IF(INDEX('Lease Cycles'!$EF$17:$EL$17,1,BL163)=1,'Lease Cycles'!$AJ$17*INDEX('Lease Cycles'!$FO$17:$FU$17,1,BL163)*INDEX('Lease Cycles'!$EM$17:$ES$17,1,BL163)+'Lease Cycles'!$BE$17*IF(BL164&lt;INDEX('Lease Cycles'!$FA$17:$FG$17,1,BL163),0,1-INDEX('Lease Cycles'!$EM$17:$ES$17,1,BL163)),IF(OR(INDEX('Lease Cycles'!$DY$17:$EE$17,1,BL163)=1,BL164&gt;0),1,1-INDEX('Lease Cycles'!$DD$17:$DJ$17,1,BL163))*('Lease Cycles'!$AJ$17*INDEX('Lease Cycles'!$FO$17:$FU$17,1,BL163)+'Lease Cycles'!$BE$17*(1-INDEX('Lease Cycles'!$FO$17:$FU$17,1,BL163)))),0)</f>
        <v>0</v>
      </c>
      <c r="BM173" s="24">
        <f>IF(BM165=1,'Lease Cycles'!$D$17*IF(INDEX('Lease Cycles'!$EF$17:$EL$17,1,BM163)=1,'Lease Cycles'!$AJ$17*INDEX('Lease Cycles'!$FO$17:$FU$17,1,BM163)*INDEX('Lease Cycles'!$EM$17:$ES$17,1,BM163)+'Lease Cycles'!$BE$17*IF(BM164&lt;INDEX('Lease Cycles'!$FA$17:$FG$17,1,BM163),0,1-INDEX('Lease Cycles'!$EM$17:$ES$17,1,BM163)),IF(OR(INDEX('Lease Cycles'!$DY$17:$EE$17,1,BM163)=1,BM164&gt;0),1,1-INDEX('Lease Cycles'!$DD$17:$DJ$17,1,BM163))*('Lease Cycles'!$AJ$17*INDEX('Lease Cycles'!$FO$17:$FU$17,1,BM163)+'Lease Cycles'!$BE$17*(1-INDEX('Lease Cycles'!$FO$17:$FU$17,1,BM163)))),0)</f>
        <v>0</v>
      </c>
      <c r="BN173" s="24">
        <f>IF(BN165=1,'Lease Cycles'!$D$17*IF(INDEX('Lease Cycles'!$EF$17:$EL$17,1,BN163)=1,'Lease Cycles'!$AJ$17*INDEX('Lease Cycles'!$FO$17:$FU$17,1,BN163)*INDEX('Lease Cycles'!$EM$17:$ES$17,1,BN163)+'Lease Cycles'!$BE$17*IF(BN164&lt;INDEX('Lease Cycles'!$FA$17:$FG$17,1,BN163),0,1-INDEX('Lease Cycles'!$EM$17:$ES$17,1,BN163)),IF(OR(INDEX('Lease Cycles'!$DY$17:$EE$17,1,BN163)=1,BN164&gt;0),1,1-INDEX('Lease Cycles'!$DD$17:$DJ$17,1,BN163))*('Lease Cycles'!$AJ$17*INDEX('Lease Cycles'!$FO$17:$FU$17,1,BN163)+'Lease Cycles'!$BE$17*(1-INDEX('Lease Cycles'!$FO$17:$FU$17,1,BN163)))),0)</f>
        <v>0</v>
      </c>
      <c r="BO173" s="24">
        <f>IF(BO165=1,'Lease Cycles'!$D$17*IF(INDEX('Lease Cycles'!$EF$17:$EL$17,1,BO163)=1,'Lease Cycles'!$AJ$17*INDEX('Lease Cycles'!$FO$17:$FU$17,1,BO163)*INDEX('Lease Cycles'!$EM$17:$ES$17,1,BO163)+'Lease Cycles'!$BE$17*IF(BO164&lt;INDEX('Lease Cycles'!$FA$17:$FG$17,1,BO163),0,1-INDEX('Lease Cycles'!$EM$17:$ES$17,1,BO163)),IF(OR(INDEX('Lease Cycles'!$DY$17:$EE$17,1,BO163)=1,BO164&gt;0),1,1-INDEX('Lease Cycles'!$DD$17:$DJ$17,1,BO163))*('Lease Cycles'!$AJ$17*INDEX('Lease Cycles'!$FO$17:$FU$17,1,BO163)+'Lease Cycles'!$BE$17*(1-INDEX('Lease Cycles'!$FO$17:$FU$17,1,BO163)))),0)</f>
        <v>0</v>
      </c>
      <c r="BP173" s="24">
        <f>IF(BP165=1,'Lease Cycles'!$D$17*IF(INDEX('Lease Cycles'!$EF$17:$EL$17,1,BP163)=1,'Lease Cycles'!$AJ$17*INDEX('Lease Cycles'!$FO$17:$FU$17,1,BP163)*INDEX('Lease Cycles'!$EM$17:$ES$17,1,BP163)+'Lease Cycles'!$BE$17*IF(BP164&lt;INDEX('Lease Cycles'!$FA$17:$FG$17,1,BP163),0,1-INDEX('Lease Cycles'!$EM$17:$ES$17,1,BP163)),IF(OR(INDEX('Lease Cycles'!$DY$17:$EE$17,1,BP163)=1,BP164&gt;0),1,1-INDEX('Lease Cycles'!$DD$17:$DJ$17,1,BP163))*('Lease Cycles'!$AJ$17*INDEX('Lease Cycles'!$FO$17:$FU$17,1,BP163)+'Lease Cycles'!$BE$17*(1-INDEX('Lease Cycles'!$FO$17:$FU$17,1,BP163)))),0)</f>
        <v>0</v>
      </c>
      <c r="BQ173" s="24">
        <f>IF(BQ165=1,'Lease Cycles'!$D$17*IF(INDEX('Lease Cycles'!$EF$17:$EL$17,1,BQ163)=1,'Lease Cycles'!$AJ$17*INDEX('Lease Cycles'!$FO$17:$FU$17,1,BQ163)*INDEX('Lease Cycles'!$EM$17:$ES$17,1,BQ163)+'Lease Cycles'!$BE$17*IF(BQ164&lt;INDEX('Lease Cycles'!$FA$17:$FG$17,1,BQ163),0,1-INDEX('Lease Cycles'!$EM$17:$ES$17,1,BQ163)),IF(OR(INDEX('Lease Cycles'!$DY$17:$EE$17,1,BQ163)=1,BQ164&gt;0),1,1-INDEX('Lease Cycles'!$DD$17:$DJ$17,1,BQ163))*('Lease Cycles'!$AJ$17*INDEX('Lease Cycles'!$FO$17:$FU$17,1,BQ163)+'Lease Cycles'!$BE$17*(1-INDEX('Lease Cycles'!$FO$17:$FU$17,1,BQ163)))),0)</f>
        <v>0</v>
      </c>
      <c r="BR173" s="24">
        <f>IF(BR165=1,'Lease Cycles'!$D$17*IF(INDEX('Lease Cycles'!$EF$17:$EL$17,1,BR163)=1,'Lease Cycles'!$AJ$17*INDEX('Lease Cycles'!$FO$17:$FU$17,1,BR163)*INDEX('Lease Cycles'!$EM$17:$ES$17,1,BR163)+'Lease Cycles'!$BE$17*IF(BR164&lt;INDEX('Lease Cycles'!$FA$17:$FG$17,1,BR163),0,1-INDEX('Lease Cycles'!$EM$17:$ES$17,1,BR163)),IF(OR(INDEX('Lease Cycles'!$DY$17:$EE$17,1,BR163)=1,BR164&gt;0),1,1-INDEX('Lease Cycles'!$DD$17:$DJ$17,1,BR163))*('Lease Cycles'!$AJ$17*INDEX('Lease Cycles'!$FO$17:$FU$17,1,BR163)+'Lease Cycles'!$BE$17*(1-INDEX('Lease Cycles'!$FO$17:$FU$17,1,BR163)))),0)</f>
        <v>0</v>
      </c>
      <c r="BS173" s="24">
        <f>IF(BS165=1,'Lease Cycles'!$D$17*IF(INDEX('Lease Cycles'!$EF$17:$EL$17,1,BS163)=1,'Lease Cycles'!$AJ$17*INDEX('Lease Cycles'!$FO$17:$FU$17,1,BS163)*INDEX('Lease Cycles'!$EM$17:$ES$17,1,BS163)+'Lease Cycles'!$BE$17*IF(BS164&lt;INDEX('Lease Cycles'!$FA$17:$FG$17,1,BS163),0,1-INDEX('Lease Cycles'!$EM$17:$ES$17,1,BS163)),IF(OR(INDEX('Lease Cycles'!$DY$17:$EE$17,1,BS163)=1,BS164&gt;0),1,1-INDEX('Lease Cycles'!$DD$17:$DJ$17,1,BS163))*('Lease Cycles'!$AJ$17*INDEX('Lease Cycles'!$FO$17:$FU$17,1,BS163)+'Lease Cycles'!$BE$17*(1-INDEX('Lease Cycles'!$FO$17:$FU$17,1,BS163)))),0)</f>
        <v>0</v>
      </c>
      <c r="BT173" s="24">
        <f>IF(BT165=1,'Lease Cycles'!$D$17*IF(INDEX('Lease Cycles'!$EF$17:$EL$17,1,BT163)=1,'Lease Cycles'!$AJ$17*INDEX('Lease Cycles'!$FO$17:$FU$17,1,BT163)*INDEX('Lease Cycles'!$EM$17:$ES$17,1,BT163)+'Lease Cycles'!$BE$17*IF(BT164&lt;INDEX('Lease Cycles'!$FA$17:$FG$17,1,BT163),0,1-INDEX('Lease Cycles'!$EM$17:$ES$17,1,BT163)),IF(OR(INDEX('Lease Cycles'!$DY$17:$EE$17,1,BT163)=1,BT164&gt;0),1,1-INDEX('Lease Cycles'!$DD$17:$DJ$17,1,BT163))*('Lease Cycles'!$AJ$17*INDEX('Lease Cycles'!$FO$17:$FU$17,1,BT163)+'Lease Cycles'!$BE$17*(1-INDEX('Lease Cycles'!$FO$17:$FU$17,1,BT163)))),0)</f>
        <v>0</v>
      </c>
      <c r="BU173" s="24">
        <f>IF(BU165=1,'Lease Cycles'!$D$17*IF(INDEX('Lease Cycles'!$EF$17:$EL$17,1,BU163)=1,'Lease Cycles'!$AJ$17*INDEX('Lease Cycles'!$FO$17:$FU$17,1,BU163)*INDEX('Lease Cycles'!$EM$17:$ES$17,1,BU163)+'Lease Cycles'!$BE$17*IF(BU164&lt;INDEX('Lease Cycles'!$FA$17:$FG$17,1,BU163),0,1-INDEX('Lease Cycles'!$EM$17:$ES$17,1,BU163)),IF(OR(INDEX('Lease Cycles'!$DY$17:$EE$17,1,BU163)=1,BU164&gt;0),1,1-INDEX('Lease Cycles'!$DD$17:$DJ$17,1,BU163))*('Lease Cycles'!$AJ$17*INDEX('Lease Cycles'!$FO$17:$FU$17,1,BU163)+'Lease Cycles'!$BE$17*(1-INDEX('Lease Cycles'!$FO$17:$FU$17,1,BU163)))),0)</f>
        <v>0</v>
      </c>
      <c r="BV173" s="24">
        <f>IF(BV165=1,'Lease Cycles'!$D$17*IF(INDEX('Lease Cycles'!$EF$17:$EL$17,1,BV163)=1,'Lease Cycles'!$AJ$17*INDEX('Lease Cycles'!$FO$17:$FU$17,1,BV163)*INDEX('Lease Cycles'!$EM$17:$ES$17,1,BV163)+'Lease Cycles'!$BE$17*IF(BV164&lt;INDEX('Lease Cycles'!$FA$17:$FG$17,1,BV163),0,1-INDEX('Lease Cycles'!$EM$17:$ES$17,1,BV163)),IF(OR(INDEX('Lease Cycles'!$DY$17:$EE$17,1,BV163)=1,BV164&gt;0),1,1-INDEX('Lease Cycles'!$DD$17:$DJ$17,1,BV163))*('Lease Cycles'!$AJ$17*INDEX('Lease Cycles'!$FO$17:$FU$17,1,BV163)+'Lease Cycles'!$BE$17*(1-INDEX('Lease Cycles'!$FO$17:$FU$17,1,BV163)))),0)</f>
        <v>0</v>
      </c>
      <c r="BW173" s="24">
        <f>IF(BW165=1,'Lease Cycles'!$D$17*IF(INDEX('Lease Cycles'!$EF$17:$EL$17,1,BW163)=1,'Lease Cycles'!$AJ$17*INDEX('Lease Cycles'!$FO$17:$FU$17,1,BW163)*INDEX('Lease Cycles'!$EM$17:$ES$17,1,BW163)+'Lease Cycles'!$BE$17*IF(BW164&lt;INDEX('Lease Cycles'!$FA$17:$FG$17,1,BW163),0,1-INDEX('Lease Cycles'!$EM$17:$ES$17,1,BW163)),IF(OR(INDEX('Lease Cycles'!$DY$17:$EE$17,1,BW163)=1,BW164&gt;0),1,1-INDEX('Lease Cycles'!$DD$17:$DJ$17,1,BW163))*('Lease Cycles'!$AJ$17*INDEX('Lease Cycles'!$FO$17:$FU$17,1,BW163)+'Lease Cycles'!$BE$17*(1-INDEX('Lease Cycles'!$FO$17:$FU$17,1,BW163)))),0)</f>
        <v>0</v>
      </c>
      <c r="BX173" s="24">
        <f>IF(BX165=1,'Lease Cycles'!$D$17*IF(INDEX('Lease Cycles'!$EF$17:$EL$17,1,BX163)=1,'Lease Cycles'!$AJ$17*INDEX('Lease Cycles'!$FO$17:$FU$17,1,BX163)*INDEX('Lease Cycles'!$EM$17:$ES$17,1,BX163)+'Lease Cycles'!$BE$17*IF(BX164&lt;INDEX('Lease Cycles'!$FA$17:$FG$17,1,BX163),0,1-INDEX('Lease Cycles'!$EM$17:$ES$17,1,BX163)),IF(OR(INDEX('Lease Cycles'!$DY$17:$EE$17,1,BX163)=1,BX164&gt;0),1,1-INDEX('Lease Cycles'!$DD$17:$DJ$17,1,BX163))*('Lease Cycles'!$AJ$17*INDEX('Lease Cycles'!$FO$17:$FU$17,1,BX163)+'Lease Cycles'!$BE$17*(1-INDEX('Lease Cycles'!$FO$17:$FU$17,1,BX163)))),0)</f>
        <v>0</v>
      </c>
      <c r="BY173" s="24">
        <f>IF(BY165=1,'Lease Cycles'!$D$17*IF(INDEX('Lease Cycles'!$EF$17:$EL$17,1,BY163)=1,'Lease Cycles'!$AJ$17*INDEX('Lease Cycles'!$FO$17:$FU$17,1,BY163)*INDEX('Lease Cycles'!$EM$17:$ES$17,1,BY163)+'Lease Cycles'!$BE$17*IF(BY164&lt;INDEX('Lease Cycles'!$FA$17:$FG$17,1,BY163),0,1-INDEX('Lease Cycles'!$EM$17:$ES$17,1,BY163)),IF(OR(INDEX('Lease Cycles'!$DY$17:$EE$17,1,BY163)=1,BY164&gt;0),1,1-INDEX('Lease Cycles'!$DD$17:$DJ$17,1,BY163))*('Lease Cycles'!$AJ$17*INDEX('Lease Cycles'!$FO$17:$FU$17,1,BY163)+'Lease Cycles'!$BE$17*(1-INDEX('Lease Cycles'!$FO$17:$FU$17,1,BY163)))),0)</f>
        <v>0</v>
      </c>
      <c r="BZ173" s="24">
        <f>IF(BZ165=1,'Lease Cycles'!$D$17*IF(INDEX('Lease Cycles'!$EF$17:$EL$17,1,BZ163)=1,'Lease Cycles'!$AJ$17*INDEX('Lease Cycles'!$FO$17:$FU$17,1,BZ163)*INDEX('Lease Cycles'!$EM$17:$ES$17,1,BZ163)+'Lease Cycles'!$BE$17*IF(BZ164&lt;INDEX('Lease Cycles'!$FA$17:$FG$17,1,BZ163),0,1-INDEX('Lease Cycles'!$EM$17:$ES$17,1,BZ163)),IF(OR(INDEX('Lease Cycles'!$DY$17:$EE$17,1,BZ163)=1,BZ164&gt;0),1,1-INDEX('Lease Cycles'!$DD$17:$DJ$17,1,BZ163))*('Lease Cycles'!$AJ$17*INDEX('Lease Cycles'!$FO$17:$FU$17,1,BZ163)+'Lease Cycles'!$BE$17*(1-INDEX('Lease Cycles'!$FO$17:$FU$17,1,BZ163)))),0)</f>
        <v>0</v>
      </c>
      <c r="CA173" s="24">
        <f>IF(CA165=1,'Lease Cycles'!$D$17*IF(INDEX('Lease Cycles'!$EF$17:$EL$17,1,CA163)=1,'Lease Cycles'!$AJ$17*INDEX('Lease Cycles'!$FO$17:$FU$17,1,CA163)*INDEX('Lease Cycles'!$EM$17:$ES$17,1,CA163)+'Lease Cycles'!$BE$17*IF(CA164&lt;INDEX('Lease Cycles'!$FA$17:$FG$17,1,CA163),0,1-INDEX('Lease Cycles'!$EM$17:$ES$17,1,CA163)),IF(OR(INDEX('Lease Cycles'!$DY$17:$EE$17,1,CA163)=1,CA164&gt;0),1,1-INDEX('Lease Cycles'!$DD$17:$DJ$17,1,CA163))*('Lease Cycles'!$AJ$17*INDEX('Lease Cycles'!$FO$17:$FU$17,1,CA163)+'Lease Cycles'!$BE$17*(1-INDEX('Lease Cycles'!$FO$17:$FU$17,1,CA163)))),0)</f>
        <v>0</v>
      </c>
      <c r="CB173" s="24">
        <f>IF(CB165=1,'Lease Cycles'!$D$17*IF(INDEX('Lease Cycles'!$EF$17:$EL$17,1,CB163)=1,'Lease Cycles'!$AJ$17*INDEX('Lease Cycles'!$FO$17:$FU$17,1,CB163)*INDEX('Lease Cycles'!$EM$17:$ES$17,1,CB163)+'Lease Cycles'!$BE$17*IF(CB164&lt;INDEX('Lease Cycles'!$FA$17:$FG$17,1,CB163),0,1-INDEX('Lease Cycles'!$EM$17:$ES$17,1,CB163)),IF(OR(INDEX('Lease Cycles'!$DY$17:$EE$17,1,CB163)=1,CB164&gt;0),1,1-INDEX('Lease Cycles'!$DD$17:$DJ$17,1,CB163))*('Lease Cycles'!$AJ$17*INDEX('Lease Cycles'!$FO$17:$FU$17,1,CB163)+'Lease Cycles'!$BE$17*(1-INDEX('Lease Cycles'!$FO$17:$FU$17,1,CB163)))),0)</f>
        <v>0</v>
      </c>
      <c r="CC173" s="24">
        <f>IF(CC165=1,'Lease Cycles'!$D$17*IF(INDEX('Lease Cycles'!$EF$17:$EL$17,1,CC163)=1,'Lease Cycles'!$AJ$17*INDEX('Lease Cycles'!$FO$17:$FU$17,1,CC163)*INDEX('Lease Cycles'!$EM$17:$ES$17,1,CC163)+'Lease Cycles'!$BE$17*IF(CC164&lt;INDEX('Lease Cycles'!$FA$17:$FG$17,1,CC163),0,1-INDEX('Lease Cycles'!$EM$17:$ES$17,1,CC163)),IF(OR(INDEX('Lease Cycles'!$DY$17:$EE$17,1,CC163)=1,CC164&gt;0),1,1-INDEX('Lease Cycles'!$DD$17:$DJ$17,1,CC163))*('Lease Cycles'!$AJ$17*INDEX('Lease Cycles'!$FO$17:$FU$17,1,CC163)+'Lease Cycles'!$BE$17*(1-INDEX('Lease Cycles'!$FO$17:$FU$17,1,CC163)))),0)</f>
        <v>0</v>
      </c>
      <c r="CD173" s="24">
        <f>IF(CD165=1,'Lease Cycles'!$D$17*IF(INDEX('Lease Cycles'!$EF$17:$EL$17,1,CD163)=1,'Lease Cycles'!$AJ$17*INDEX('Lease Cycles'!$FO$17:$FU$17,1,CD163)*INDEX('Lease Cycles'!$EM$17:$ES$17,1,CD163)+'Lease Cycles'!$BE$17*IF(CD164&lt;INDEX('Lease Cycles'!$FA$17:$FG$17,1,CD163),0,1-INDEX('Lease Cycles'!$EM$17:$ES$17,1,CD163)),IF(OR(INDEX('Lease Cycles'!$DY$17:$EE$17,1,CD163)=1,CD164&gt;0),1,1-INDEX('Lease Cycles'!$DD$17:$DJ$17,1,CD163))*('Lease Cycles'!$AJ$17*INDEX('Lease Cycles'!$FO$17:$FU$17,1,CD163)+'Lease Cycles'!$BE$17*(1-INDEX('Lease Cycles'!$FO$17:$FU$17,1,CD163)))),0)</f>
        <v>0</v>
      </c>
      <c r="CE173" s="24">
        <f>IF(CE165=1,'Lease Cycles'!$D$17*IF(INDEX('Lease Cycles'!$EF$17:$EL$17,1,CE163)=1,'Lease Cycles'!$AJ$17*INDEX('Lease Cycles'!$FO$17:$FU$17,1,CE163)*INDEX('Lease Cycles'!$EM$17:$ES$17,1,CE163)+'Lease Cycles'!$BE$17*IF(CE164&lt;INDEX('Lease Cycles'!$FA$17:$FG$17,1,CE163),0,1-INDEX('Lease Cycles'!$EM$17:$ES$17,1,CE163)),IF(OR(INDEX('Lease Cycles'!$DY$17:$EE$17,1,CE163)=1,CE164&gt;0),1,1-INDEX('Lease Cycles'!$DD$17:$DJ$17,1,CE163))*('Lease Cycles'!$AJ$17*INDEX('Lease Cycles'!$FO$17:$FU$17,1,CE163)+'Lease Cycles'!$BE$17*(1-INDEX('Lease Cycles'!$FO$17:$FU$17,1,CE163)))),0)</f>
        <v>0</v>
      </c>
      <c r="CF173" s="24">
        <f>IF(CF165=1,'Lease Cycles'!$D$17*IF(INDEX('Lease Cycles'!$EF$17:$EL$17,1,CF163)=1,'Lease Cycles'!$AJ$17*INDEX('Lease Cycles'!$FO$17:$FU$17,1,CF163)*INDEX('Lease Cycles'!$EM$17:$ES$17,1,CF163)+'Lease Cycles'!$BE$17*IF(CF164&lt;INDEX('Lease Cycles'!$FA$17:$FG$17,1,CF163),0,1-INDEX('Lease Cycles'!$EM$17:$ES$17,1,CF163)),IF(OR(INDEX('Lease Cycles'!$DY$17:$EE$17,1,CF163)=1,CF164&gt;0),1,1-INDEX('Lease Cycles'!$DD$17:$DJ$17,1,CF163))*('Lease Cycles'!$AJ$17*INDEX('Lease Cycles'!$FO$17:$FU$17,1,CF163)+'Lease Cycles'!$BE$17*(1-INDEX('Lease Cycles'!$FO$17:$FU$17,1,CF163)))),0)</f>
        <v>0</v>
      </c>
      <c r="CG173" s="24">
        <f>IF(CG165=1,'Lease Cycles'!$D$17*IF(INDEX('Lease Cycles'!$EF$17:$EL$17,1,CG163)=1,'Lease Cycles'!$AJ$17*INDEX('Lease Cycles'!$FO$17:$FU$17,1,CG163)*INDEX('Lease Cycles'!$EM$17:$ES$17,1,CG163)+'Lease Cycles'!$BE$17*IF(CG164&lt;INDEX('Lease Cycles'!$FA$17:$FG$17,1,CG163),0,1-INDEX('Lease Cycles'!$EM$17:$ES$17,1,CG163)),IF(OR(INDEX('Lease Cycles'!$DY$17:$EE$17,1,CG163)=1,CG164&gt;0),1,1-INDEX('Lease Cycles'!$DD$17:$DJ$17,1,CG163))*('Lease Cycles'!$AJ$17*INDEX('Lease Cycles'!$FO$17:$FU$17,1,CG163)+'Lease Cycles'!$BE$17*(1-INDEX('Lease Cycles'!$FO$17:$FU$17,1,CG163)))),0)</f>
        <v>0</v>
      </c>
      <c r="CH173" s="24">
        <f>IF(CH165=1,'Lease Cycles'!$D$17*IF(INDEX('Lease Cycles'!$EF$17:$EL$17,1,CH163)=1,'Lease Cycles'!$AJ$17*INDEX('Lease Cycles'!$FO$17:$FU$17,1,CH163)*INDEX('Lease Cycles'!$EM$17:$ES$17,1,CH163)+'Lease Cycles'!$BE$17*IF(CH164&lt;INDEX('Lease Cycles'!$FA$17:$FG$17,1,CH163),0,1-INDEX('Lease Cycles'!$EM$17:$ES$17,1,CH163)),IF(OR(INDEX('Lease Cycles'!$DY$17:$EE$17,1,CH163)=1,CH164&gt;0),1,1-INDEX('Lease Cycles'!$DD$17:$DJ$17,1,CH163))*('Lease Cycles'!$AJ$17*INDEX('Lease Cycles'!$FO$17:$FU$17,1,CH163)+'Lease Cycles'!$BE$17*(1-INDEX('Lease Cycles'!$FO$17:$FU$17,1,CH163)))),0)</f>
        <v>0</v>
      </c>
      <c r="CI173" s="24">
        <f>IF(CI165=1,'Lease Cycles'!$D$17*IF(INDEX('Lease Cycles'!$EF$17:$EL$17,1,CI163)=1,'Lease Cycles'!$AJ$17*INDEX('Lease Cycles'!$FO$17:$FU$17,1,CI163)*INDEX('Lease Cycles'!$EM$17:$ES$17,1,CI163)+'Lease Cycles'!$BE$17*IF(CI164&lt;INDEX('Lease Cycles'!$FA$17:$FG$17,1,CI163),0,1-INDEX('Lease Cycles'!$EM$17:$ES$17,1,CI163)),IF(OR(INDEX('Lease Cycles'!$DY$17:$EE$17,1,CI163)=1,CI164&gt;0),1,1-INDEX('Lease Cycles'!$DD$17:$DJ$17,1,CI163))*('Lease Cycles'!$AJ$17*INDEX('Lease Cycles'!$FO$17:$FU$17,1,CI163)+'Lease Cycles'!$BE$17*(1-INDEX('Lease Cycles'!$FO$17:$FU$17,1,CI163)))),0)</f>
        <v>0</v>
      </c>
      <c r="CJ173" s="24">
        <f>IF(CJ165=1,'Lease Cycles'!$D$17*IF(INDEX('Lease Cycles'!$EF$17:$EL$17,1,CJ163)=1,'Lease Cycles'!$AJ$17*INDEX('Lease Cycles'!$FO$17:$FU$17,1,CJ163)*INDEX('Lease Cycles'!$EM$17:$ES$17,1,CJ163)+'Lease Cycles'!$BE$17*IF(CJ164&lt;INDEX('Lease Cycles'!$FA$17:$FG$17,1,CJ163),0,1-INDEX('Lease Cycles'!$EM$17:$ES$17,1,CJ163)),IF(OR(INDEX('Lease Cycles'!$DY$17:$EE$17,1,CJ163)=1,CJ164&gt;0),1,1-INDEX('Lease Cycles'!$DD$17:$DJ$17,1,CJ163))*('Lease Cycles'!$AJ$17*INDEX('Lease Cycles'!$FO$17:$FU$17,1,CJ163)+'Lease Cycles'!$BE$17*(1-INDEX('Lease Cycles'!$FO$17:$FU$17,1,CJ163)))),0)</f>
        <v>0</v>
      </c>
      <c r="CK173" s="24">
        <f>IF(CK165=1,'Lease Cycles'!$D$17*IF(INDEX('Lease Cycles'!$EF$17:$EL$17,1,CK163)=1,'Lease Cycles'!$AJ$17*INDEX('Lease Cycles'!$FO$17:$FU$17,1,CK163)*INDEX('Lease Cycles'!$EM$17:$ES$17,1,CK163)+'Lease Cycles'!$BE$17*IF(CK164&lt;INDEX('Lease Cycles'!$FA$17:$FG$17,1,CK163),0,1-INDEX('Lease Cycles'!$EM$17:$ES$17,1,CK163)),IF(OR(INDEX('Lease Cycles'!$DY$17:$EE$17,1,CK163)=1,CK164&gt;0),1,1-INDEX('Lease Cycles'!$DD$17:$DJ$17,1,CK163))*('Lease Cycles'!$AJ$17*INDEX('Lease Cycles'!$FO$17:$FU$17,1,CK163)+'Lease Cycles'!$BE$17*(1-INDEX('Lease Cycles'!$FO$17:$FU$17,1,CK163)))),0)</f>
        <v>0</v>
      </c>
      <c r="CL173" s="24">
        <f>IF(CL165=1,'Lease Cycles'!$D$17*IF(INDEX('Lease Cycles'!$EF$17:$EL$17,1,CL163)=1,'Lease Cycles'!$AJ$17*INDEX('Lease Cycles'!$FO$17:$FU$17,1,CL163)*INDEX('Lease Cycles'!$EM$17:$ES$17,1,CL163)+'Lease Cycles'!$BE$17*IF(CL164&lt;INDEX('Lease Cycles'!$FA$17:$FG$17,1,CL163),0,1-INDEX('Lease Cycles'!$EM$17:$ES$17,1,CL163)),IF(OR(INDEX('Lease Cycles'!$DY$17:$EE$17,1,CL163)=1,CL164&gt;0),1,1-INDEX('Lease Cycles'!$DD$17:$DJ$17,1,CL163))*('Lease Cycles'!$AJ$17*INDEX('Lease Cycles'!$FO$17:$FU$17,1,CL163)+'Lease Cycles'!$BE$17*(1-INDEX('Lease Cycles'!$FO$17:$FU$17,1,CL163)))),0)</f>
        <v>0</v>
      </c>
      <c r="CM173" s="24">
        <f>IF(CM165=1,'Lease Cycles'!$D$17*IF(INDEX('Lease Cycles'!$EF$17:$EL$17,1,CM163)=1,'Lease Cycles'!$AJ$17*INDEX('Lease Cycles'!$FO$17:$FU$17,1,CM163)*INDEX('Lease Cycles'!$EM$17:$ES$17,1,CM163)+'Lease Cycles'!$BE$17*IF(CM164&lt;INDEX('Lease Cycles'!$FA$17:$FG$17,1,CM163),0,1-INDEX('Lease Cycles'!$EM$17:$ES$17,1,CM163)),IF(OR(INDEX('Lease Cycles'!$DY$17:$EE$17,1,CM163)=1,CM164&gt;0),1,1-INDEX('Lease Cycles'!$DD$17:$DJ$17,1,CM163))*('Lease Cycles'!$AJ$17*INDEX('Lease Cycles'!$FO$17:$FU$17,1,CM163)+'Lease Cycles'!$BE$17*(1-INDEX('Lease Cycles'!$FO$17:$FU$17,1,CM163)))),0)</f>
        <v>0</v>
      </c>
      <c r="CN173" s="24">
        <f>IF(CN165=1,'Lease Cycles'!$D$17*IF(INDEX('Lease Cycles'!$EF$17:$EL$17,1,CN163)=1,'Lease Cycles'!$AJ$17*INDEX('Lease Cycles'!$FO$17:$FU$17,1,CN163)*INDEX('Lease Cycles'!$EM$17:$ES$17,1,CN163)+'Lease Cycles'!$BE$17*IF(CN164&lt;INDEX('Lease Cycles'!$FA$17:$FG$17,1,CN163),0,1-INDEX('Lease Cycles'!$EM$17:$ES$17,1,CN163)),IF(OR(INDEX('Lease Cycles'!$DY$17:$EE$17,1,CN163)=1,CN164&gt;0),1,1-INDEX('Lease Cycles'!$DD$17:$DJ$17,1,CN163))*('Lease Cycles'!$AJ$17*INDEX('Lease Cycles'!$FO$17:$FU$17,1,CN163)+'Lease Cycles'!$BE$17*(1-INDEX('Lease Cycles'!$FO$17:$FU$17,1,CN163)))),0)</f>
        <v>0</v>
      </c>
      <c r="CO173" s="24">
        <f>IF(CO165=1,'Lease Cycles'!$D$17*IF(INDEX('Lease Cycles'!$EF$17:$EL$17,1,CO163)=1,'Lease Cycles'!$AJ$17*INDEX('Lease Cycles'!$FO$17:$FU$17,1,CO163)*INDEX('Lease Cycles'!$EM$17:$ES$17,1,CO163)+'Lease Cycles'!$BE$17*IF(CO164&lt;INDEX('Lease Cycles'!$FA$17:$FG$17,1,CO163),0,1-INDEX('Lease Cycles'!$EM$17:$ES$17,1,CO163)),IF(OR(INDEX('Lease Cycles'!$DY$17:$EE$17,1,CO163)=1,CO164&gt;0),1,1-INDEX('Lease Cycles'!$DD$17:$DJ$17,1,CO163))*('Lease Cycles'!$AJ$17*INDEX('Lease Cycles'!$FO$17:$FU$17,1,CO163)+'Lease Cycles'!$BE$17*(1-INDEX('Lease Cycles'!$FO$17:$FU$17,1,CO163)))),0)</f>
        <v>0</v>
      </c>
      <c r="CP173" s="24">
        <f>IF(CP165=1,'Lease Cycles'!$D$17*IF(INDEX('Lease Cycles'!$EF$17:$EL$17,1,CP163)=1,'Lease Cycles'!$AJ$17*INDEX('Lease Cycles'!$FO$17:$FU$17,1,CP163)*INDEX('Lease Cycles'!$EM$17:$ES$17,1,CP163)+'Lease Cycles'!$BE$17*IF(CP164&lt;INDEX('Lease Cycles'!$FA$17:$FG$17,1,CP163),0,1-INDEX('Lease Cycles'!$EM$17:$ES$17,1,CP163)),IF(OR(INDEX('Lease Cycles'!$DY$17:$EE$17,1,CP163)=1,CP164&gt;0),1,1-INDEX('Lease Cycles'!$DD$17:$DJ$17,1,CP163))*('Lease Cycles'!$AJ$17*INDEX('Lease Cycles'!$FO$17:$FU$17,1,CP163)+'Lease Cycles'!$BE$17*(1-INDEX('Lease Cycles'!$FO$17:$FU$17,1,CP163)))),0)</f>
        <v>0</v>
      </c>
      <c r="CQ173" s="24">
        <f>IF(CQ165=1,'Lease Cycles'!$D$17*IF(INDEX('Lease Cycles'!$EF$17:$EL$17,1,CQ163)=1,'Lease Cycles'!$AJ$17*INDEX('Lease Cycles'!$FO$17:$FU$17,1,CQ163)*INDEX('Lease Cycles'!$EM$17:$ES$17,1,CQ163)+'Lease Cycles'!$BE$17*IF(CQ164&lt;INDEX('Lease Cycles'!$FA$17:$FG$17,1,CQ163),0,1-INDEX('Lease Cycles'!$EM$17:$ES$17,1,CQ163)),IF(OR(INDEX('Lease Cycles'!$DY$17:$EE$17,1,CQ163)=1,CQ164&gt;0),1,1-INDEX('Lease Cycles'!$DD$17:$DJ$17,1,CQ163))*('Lease Cycles'!$AJ$17*INDEX('Lease Cycles'!$FO$17:$FU$17,1,CQ163)+'Lease Cycles'!$BE$17*(1-INDEX('Lease Cycles'!$FO$17:$FU$17,1,CQ163)))),0)</f>
        <v>0</v>
      </c>
      <c r="CR173" s="24">
        <f>IF(CR165=1,'Lease Cycles'!$D$17*IF(INDEX('Lease Cycles'!$EF$17:$EL$17,1,CR163)=1,'Lease Cycles'!$AJ$17*INDEX('Lease Cycles'!$FO$17:$FU$17,1,CR163)*INDEX('Lease Cycles'!$EM$17:$ES$17,1,CR163)+'Lease Cycles'!$BE$17*IF(CR164&lt;INDEX('Lease Cycles'!$FA$17:$FG$17,1,CR163),0,1-INDEX('Lease Cycles'!$EM$17:$ES$17,1,CR163)),IF(OR(INDEX('Lease Cycles'!$DY$17:$EE$17,1,CR163)=1,CR164&gt;0),1,1-INDEX('Lease Cycles'!$DD$17:$DJ$17,1,CR163))*('Lease Cycles'!$AJ$17*INDEX('Lease Cycles'!$FO$17:$FU$17,1,CR163)+'Lease Cycles'!$BE$17*(1-INDEX('Lease Cycles'!$FO$17:$FU$17,1,CR163)))),0)</f>
        <v>0</v>
      </c>
      <c r="CS173" s="24">
        <f>IF(CS165=1,'Lease Cycles'!$D$17*IF(INDEX('Lease Cycles'!$EF$17:$EL$17,1,CS163)=1,'Lease Cycles'!$AJ$17*INDEX('Lease Cycles'!$FO$17:$FU$17,1,CS163)*INDEX('Lease Cycles'!$EM$17:$ES$17,1,CS163)+'Lease Cycles'!$BE$17*IF(CS164&lt;INDEX('Lease Cycles'!$FA$17:$FG$17,1,CS163),0,1-INDEX('Lease Cycles'!$EM$17:$ES$17,1,CS163)),IF(OR(INDEX('Lease Cycles'!$DY$17:$EE$17,1,CS163)=1,CS164&gt;0),1,1-INDEX('Lease Cycles'!$DD$17:$DJ$17,1,CS163))*('Lease Cycles'!$AJ$17*INDEX('Lease Cycles'!$FO$17:$FU$17,1,CS163)+'Lease Cycles'!$BE$17*(1-INDEX('Lease Cycles'!$FO$17:$FU$17,1,CS163)))),0)</f>
        <v>0</v>
      </c>
      <c r="CT173" s="24">
        <f>IF(CT165=1,'Lease Cycles'!$D$17*IF(INDEX('Lease Cycles'!$EF$17:$EL$17,1,CT163)=1,'Lease Cycles'!$AJ$17*INDEX('Lease Cycles'!$FO$17:$FU$17,1,CT163)*INDEX('Lease Cycles'!$EM$17:$ES$17,1,CT163)+'Lease Cycles'!$BE$17*IF(CT164&lt;INDEX('Lease Cycles'!$FA$17:$FG$17,1,CT163),0,1-INDEX('Lease Cycles'!$EM$17:$ES$17,1,CT163)),IF(OR(INDEX('Lease Cycles'!$DY$17:$EE$17,1,CT163)=1,CT164&gt;0),1,1-INDEX('Lease Cycles'!$DD$17:$DJ$17,1,CT163))*('Lease Cycles'!$AJ$17*INDEX('Lease Cycles'!$FO$17:$FU$17,1,CT163)+'Lease Cycles'!$BE$17*(1-INDEX('Lease Cycles'!$FO$17:$FU$17,1,CT163)))),0)</f>
        <v>0</v>
      </c>
      <c r="CU173" s="24">
        <f>IF(CU165=1,'Lease Cycles'!$D$17*IF(INDEX('Lease Cycles'!$EF$17:$EL$17,1,CU163)=1,'Lease Cycles'!$AJ$17*INDEX('Lease Cycles'!$FO$17:$FU$17,1,CU163)*INDEX('Lease Cycles'!$EM$17:$ES$17,1,CU163)+'Lease Cycles'!$BE$17*IF(CU164&lt;INDEX('Lease Cycles'!$FA$17:$FG$17,1,CU163),0,1-INDEX('Lease Cycles'!$EM$17:$ES$17,1,CU163)),IF(OR(INDEX('Lease Cycles'!$DY$17:$EE$17,1,CU163)=1,CU164&gt;0),1,1-INDEX('Lease Cycles'!$DD$17:$DJ$17,1,CU163))*('Lease Cycles'!$AJ$17*INDEX('Lease Cycles'!$FO$17:$FU$17,1,CU163)+'Lease Cycles'!$BE$17*(1-INDEX('Lease Cycles'!$FO$17:$FU$17,1,CU163)))),0)</f>
        <v>0</v>
      </c>
      <c r="CV173" s="24">
        <f>IF(CV165=1,'Lease Cycles'!$D$17*IF(INDEX('Lease Cycles'!$EF$17:$EL$17,1,CV163)=1,'Lease Cycles'!$AJ$17*INDEX('Lease Cycles'!$FO$17:$FU$17,1,CV163)*INDEX('Lease Cycles'!$EM$17:$ES$17,1,CV163)+'Lease Cycles'!$BE$17*IF(CV164&lt;INDEX('Lease Cycles'!$FA$17:$FG$17,1,CV163),0,1-INDEX('Lease Cycles'!$EM$17:$ES$17,1,CV163)),IF(OR(INDEX('Lease Cycles'!$DY$17:$EE$17,1,CV163)=1,CV164&gt;0),1,1-INDEX('Lease Cycles'!$DD$17:$DJ$17,1,CV163))*('Lease Cycles'!$AJ$17*INDEX('Lease Cycles'!$FO$17:$FU$17,1,CV163)+'Lease Cycles'!$BE$17*(1-INDEX('Lease Cycles'!$FO$17:$FU$17,1,CV163)))),0)</f>
        <v>0</v>
      </c>
      <c r="CW173" s="24">
        <f>IF(CW165=1,'Lease Cycles'!$D$17*IF(INDEX('Lease Cycles'!$EF$17:$EL$17,1,CW163)=1,'Lease Cycles'!$AJ$17*INDEX('Lease Cycles'!$FO$17:$FU$17,1,CW163)*INDEX('Lease Cycles'!$EM$17:$ES$17,1,CW163)+'Lease Cycles'!$BE$17*IF(CW164&lt;INDEX('Lease Cycles'!$FA$17:$FG$17,1,CW163),0,1-INDEX('Lease Cycles'!$EM$17:$ES$17,1,CW163)),IF(OR(INDEX('Lease Cycles'!$DY$17:$EE$17,1,CW163)=1,CW164&gt;0),1,1-INDEX('Lease Cycles'!$DD$17:$DJ$17,1,CW163))*('Lease Cycles'!$AJ$17*INDEX('Lease Cycles'!$FO$17:$FU$17,1,CW163)+'Lease Cycles'!$BE$17*(1-INDEX('Lease Cycles'!$FO$17:$FU$17,1,CW163)))),0)</f>
        <v>0</v>
      </c>
      <c r="CX173" s="24">
        <f>IF(CX165=1,'Lease Cycles'!$D$17*IF(INDEX('Lease Cycles'!$EF$17:$EL$17,1,CX163)=1,'Lease Cycles'!$AJ$17*INDEX('Lease Cycles'!$FO$17:$FU$17,1,CX163)*INDEX('Lease Cycles'!$EM$17:$ES$17,1,CX163)+'Lease Cycles'!$BE$17*IF(CX164&lt;INDEX('Lease Cycles'!$FA$17:$FG$17,1,CX163),0,1-INDEX('Lease Cycles'!$EM$17:$ES$17,1,CX163)),IF(OR(INDEX('Lease Cycles'!$DY$17:$EE$17,1,CX163)=1,CX164&gt;0),1,1-INDEX('Lease Cycles'!$DD$17:$DJ$17,1,CX163))*('Lease Cycles'!$AJ$17*INDEX('Lease Cycles'!$FO$17:$FU$17,1,CX163)+'Lease Cycles'!$BE$17*(1-INDEX('Lease Cycles'!$FO$17:$FU$17,1,CX163)))),0)</f>
        <v>0</v>
      </c>
      <c r="CY173" s="24">
        <f>IF(CY165=1,'Lease Cycles'!$D$17*IF(INDEX('Lease Cycles'!$EF$17:$EL$17,1,CY163)=1,'Lease Cycles'!$AJ$17*INDEX('Lease Cycles'!$FO$17:$FU$17,1,CY163)*INDEX('Lease Cycles'!$EM$17:$ES$17,1,CY163)+'Lease Cycles'!$BE$17*IF(CY164&lt;INDEX('Lease Cycles'!$FA$17:$FG$17,1,CY163),0,1-INDEX('Lease Cycles'!$EM$17:$ES$17,1,CY163)),IF(OR(INDEX('Lease Cycles'!$DY$17:$EE$17,1,CY163)=1,CY164&gt;0),1,1-INDEX('Lease Cycles'!$DD$17:$DJ$17,1,CY163))*('Lease Cycles'!$AJ$17*INDEX('Lease Cycles'!$FO$17:$FU$17,1,CY163)+'Lease Cycles'!$BE$17*(1-INDEX('Lease Cycles'!$FO$17:$FU$17,1,CY163)))),0)</f>
        <v>0</v>
      </c>
      <c r="CZ173" s="24">
        <f>IF(CZ165=1,'Lease Cycles'!$D$17*IF(INDEX('Lease Cycles'!$EF$17:$EL$17,1,CZ163)=1,'Lease Cycles'!$AJ$17*INDEX('Lease Cycles'!$FO$17:$FU$17,1,CZ163)*INDEX('Lease Cycles'!$EM$17:$ES$17,1,CZ163)+'Lease Cycles'!$BE$17*IF(CZ164&lt;INDEX('Lease Cycles'!$FA$17:$FG$17,1,CZ163),0,1-INDEX('Lease Cycles'!$EM$17:$ES$17,1,CZ163)),IF(OR(INDEX('Lease Cycles'!$DY$17:$EE$17,1,CZ163)=1,CZ164&gt;0),1,1-INDEX('Lease Cycles'!$DD$17:$DJ$17,1,CZ163))*('Lease Cycles'!$AJ$17*INDEX('Lease Cycles'!$FO$17:$FU$17,1,CZ163)+'Lease Cycles'!$BE$17*(1-INDEX('Lease Cycles'!$FO$17:$FU$17,1,CZ163)))),0)</f>
        <v>0</v>
      </c>
      <c r="DA173" s="24">
        <f>IF(DA165=1,'Lease Cycles'!$D$17*IF(INDEX('Lease Cycles'!$EF$17:$EL$17,1,DA163)=1,'Lease Cycles'!$AJ$17*INDEX('Lease Cycles'!$FO$17:$FU$17,1,DA163)*INDEX('Lease Cycles'!$EM$17:$ES$17,1,DA163)+'Lease Cycles'!$BE$17*IF(DA164&lt;INDEX('Lease Cycles'!$FA$17:$FG$17,1,DA163),0,1-INDEX('Lease Cycles'!$EM$17:$ES$17,1,DA163)),IF(OR(INDEX('Lease Cycles'!$DY$17:$EE$17,1,DA163)=1,DA164&gt;0),1,1-INDEX('Lease Cycles'!$DD$17:$DJ$17,1,DA163))*('Lease Cycles'!$AJ$17*INDEX('Lease Cycles'!$FO$17:$FU$17,1,DA163)+'Lease Cycles'!$BE$17*(1-INDEX('Lease Cycles'!$FO$17:$FU$17,1,DA163)))),0)</f>
        <v>0</v>
      </c>
      <c r="DB173" s="24">
        <f>IF(DB165=1,'Lease Cycles'!$D$17*IF(INDEX('Lease Cycles'!$EF$17:$EL$17,1,DB163)=1,'Lease Cycles'!$AJ$17*INDEX('Lease Cycles'!$FO$17:$FU$17,1,DB163)*INDEX('Lease Cycles'!$EM$17:$ES$17,1,DB163)+'Lease Cycles'!$BE$17*IF(DB164&lt;INDEX('Lease Cycles'!$FA$17:$FG$17,1,DB163),0,1-INDEX('Lease Cycles'!$EM$17:$ES$17,1,DB163)),IF(OR(INDEX('Lease Cycles'!$DY$17:$EE$17,1,DB163)=1,DB164&gt;0),1,1-INDEX('Lease Cycles'!$DD$17:$DJ$17,1,DB163))*('Lease Cycles'!$AJ$17*INDEX('Lease Cycles'!$FO$17:$FU$17,1,DB163)+'Lease Cycles'!$BE$17*(1-INDEX('Lease Cycles'!$FO$17:$FU$17,1,DB163)))),0)</f>
        <v>0</v>
      </c>
      <c r="DC173" s="24">
        <f>IF(DC165=1,'Lease Cycles'!$D$17*IF(INDEX('Lease Cycles'!$EF$17:$EL$17,1,DC163)=1,'Lease Cycles'!$AJ$17*INDEX('Lease Cycles'!$FO$17:$FU$17,1,DC163)*INDEX('Lease Cycles'!$EM$17:$ES$17,1,DC163)+'Lease Cycles'!$BE$17*IF(DC164&lt;INDEX('Lease Cycles'!$FA$17:$FG$17,1,DC163),0,1-INDEX('Lease Cycles'!$EM$17:$ES$17,1,DC163)),IF(OR(INDEX('Lease Cycles'!$DY$17:$EE$17,1,DC163)=1,DC164&gt;0),1,1-INDEX('Lease Cycles'!$DD$17:$DJ$17,1,DC163))*('Lease Cycles'!$AJ$17*INDEX('Lease Cycles'!$FO$17:$FU$17,1,DC163)+'Lease Cycles'!$BE$17*(1-INDEX('Lease Cycles'!$FO$17:$FU$17,1,DC163)))),0)</f>
        <v>0</v>
      </c>
      <c r="DD173" s="24">
        <f>IF(DD165=1,'Lease Cycles'!$D$17*IF(INDEX('Lease Cycles'!$EF$17:$EL$17,1,DD163)=1,'Lease Cycles'!$AJ$17*INDEX('Lease Cycles'!$FO$17:$FU$17,1,DD163)*INDEX('Lease Cycles'!$EM$17:$ES$17,1,DD163)+'Lease Cycles'!$BE$17*IF(DD164&lt;INDEX('Lease Cycles'!$FA$17:$FG$17,1,DD163),0,1-INDEX('Lease Cycles'!$EM$17:$ES$17,1,DD163)),IF(OR(INDEX('Lease Cycles'!$DY$17:$EE$17,1,DD163)=1,DD164&gt;0),1,1-INDEX('Lease Cycles'!$DD$17:$DJ$17,1,DD163))*('Lease Cycles'!$AJ$17*INDEX('Lease Cycles'!$FO$17:$FU$17,1,DD163)+'Lease Cycles'!$BE$17*(1-INDEX('Lease Cycles'!$FO$17:$FU$17,1,DD163)))),0)</f>
        <v>0</v>
      </c>
      <c r="DE173" s="24">
        <f>IF(DE165=1,'Lease Cycles'!$D$17*IF(INDEX('Lease Cycles'!$EF$17:$EL$17,1,DE163)=1,'Lease Cycles'!$AJ$17*INDEX('Lease Cycles'!$FO$17:$FU$17,1,DE163)*INDEX('Lease Cycles'!$EM$17:$ES$17,1,DE163)+'Lease Cycles'!$BE$17*IF(DE164&lt;INDEX('Lease Cycles'!$FA$17:$FG$17,1,DE163),0,1-INDEX('Lease Cycles'!$EM$17:$ES$17,1,DE163)),IF(OR(INDEX('Lease Cycles'!$DY$17:$EE$17,1,DE163)=1,DE164&gt;0),1,1-INDEX('Lease Cycles'!$DD$17:$DJ$17,1,DE163))*('Lease Cycles'!$AJ$17*INDEX('Lease Cycles'!$FO$17:$FU$17,1,DE163)+'Lease Cycles'!$BE$17*(1-INDEX('Lease Cycles'!$FO$17:$FU$17,1,DE163)))),0)</f>
        <v>0</v>
      </c>
      <c r="DF173" s="24">
        <f>IF(DF165=1,'Lease Cycles'!$D$17*IF(INDEX('Lease Cycles'!$EF$17:$EL$17,1,DF163)=1,'Lease Cycles'!$AJ$17*INDEX('Lease Cycles'!$FO$17:$FU$17,1,DF163)*INDEX('Lease Cycles'!$EM$17:$ES$17,1,DF163)+'Lease Cycles'!$BE$17*IF(DF164&lt;INDEX('Lease Cycles'!$FA$17:$FG$17,1,DF163),0,1-INDEX('Lease Cycles'!$EM$17:$ES$17,1,DF163)),IF(OR(INDEX('Lease Cycles'!$DY$17:$EE$17,1,DF163)=1,DF164&gt;0),1,1-INDEX('Lease Cycles'!$DD$17:$DJ$17,1,DF163))*('Lease Cycles'!$AJ$17*INDEX('Lease Cycles'!$FO$17:$FU$17,1,DF163)+'Lease Cycles'!$BE$17*(1-INDEX('Lease Cycles'!$FO$17:$FU$17,1,DF163)))),0)</f>
        <v>0</v>
      </c>
      <c r="DG173" s="24">
        <f>IF(DG165=1,'Lease Cycles'!$D$17*IF(INDEX('Lease Cycles'!$EF$17:$EL$17,1,DG163)=1,'Lease Cycles'!$AJ$17*INDEX('Lease Cycles'!$FO$17:$FU$17,1,DG163)*INDEX('Lease Cycles'!$EM$17:$ES$17,1,DG163)+'Lease Cycles'!$BE$17*IF(DG164&lt;INDEX('Lease Cycles'!$FA$17:$FG$17,1,DG163),0,1-INDEX('Lease Cycles'!$EM$17:$ES$17,1,DG163)),IF(OR(INDEX('Lease Cycles'!$DY$17:$EE$17,1,DG163)=1,DG164&gt;0),1,1-INDEX('Lease Cycles'!$DD$17:$DJ$17,1,DG163))*('Lease Cycles'!$AJ$17*INDEX('Lease Cycles'!$FO$17:$FU$17,1,DG163)+'Lease Cycles'!$BE$17*(1-INDEX('Lease Cycles'!$FO$17:$FU$17,1,DG163)))),0)</f>
        <v>0</v>
      </c>
      <c r="DH173" s="24">
        <f>IF(DH165=1,'Lease Cycles'!$D$17*IF(INDEX('Lease Cycles'!$EF$17:$EL$17,1,DH163)=1,'Lease Cycles'!$AJ$17*INDEX('Lease Cycles'!$FO$17:$FU$17,1,DH163)*INDEX('Lease Cycles'!$EM$17:$ES$17,1,DH163)+'Lease Cycles'!$BE$17*IF(DH164&lt;INDEX('Lease Cycles'!$FA$17:$FG$17,1,DH163),0,1-INDEX('Lease Cycles'!$EM$17:$ES$17,1,DH163)),IF(OR(INDEX('Lease Cycles'!$DY$17:$EE$17,1,DH163)=1,DH164&gt;0),1,1-INDEX('Lease Cycles'!$DD$17:$DJ$17,1,DH163))*('Lease Cycles'!$AJ$17*INDEX('Lease Cycles'!$FO$17:$FU$17,1,DH163)+'Lease Cycles'!$BE$17*(1-INDEX('Lease Cycles'!$FO$17:$FU$17,1,DH163)))),0)</f>
        <v>0</v>
      </c>
      <c r="DI173" s="24">
        <f>IF(DI165=1,'Lease Cycles'!$D$17*IF(INDEX('Lease Cycles'!$EF$17:$EL$17,1,DI163)=1,'Lease Cycles'!$AJ$17*INDEX('Lease Cycles'!$FO$17:$FU$17,1,DI163)*INDEX('Lease Cycles'!$EM$17:$ES$17,1,DI163)+'Lease Cycles'!$BE$17*IF(DI164&lt;INDEX('Lease Cycles'!$FA$17:$FG$17,1,DI163),0,1-INDEX('Lease Cycles'!$EM$17:$ES$17,1,DI163)),IF(OR(INDEX('Lease Cycles'!$DY$17:$EE$17,1,DI163)=1,DI164&gt;0),1,1-INDEX('Lease Cycles'!$DD$17:$DJ$17,1,DI163))*('Lease Cycles'!$AJ$17*INDEX('Lease Cycles'!$FO$17:$FU$17,1,DI163)+'Lease Cycles'!$BE$17*(1-INDEX('Lease Cycles'!$FO$17:$FU$17,1,DI163)))),0)</f>
        <v>0</v>
      </c>
      <c r="DJ173" s="24">
        <f>IF(DJ165=1,'Lease Cycles'!$D$17*IF(INDEX('Lease Cycles'!$EF$17:$EL$17,1,DJ163)=1,'Lease Cycles'!$AJ$17*INDEX('Lease Cycles'!$FO$17:$FU$17,1,DJ163)*INDEX('Lease Cycles'!$EM$17:$ES$17,1,DJ163)+'Lease Cycles'!$BE$17*IF(DJ164&lt;INDEX('Lease Cycles'!$FA$17:$FG$17,1,DJ163),0,1-INDEX('Lease Cycles'!$EM$17:$ES$17,1,DJ163)),IF(OR(INDEX('Lease Cycles'!$DY$17:$EE$17,1,DJ163)=1,DJ164&gt;0),1,1-INDEX('Lease Cycles'!$DD$17:$DJ$17,1,DJ163))*('Lease Cycles'!$AJ$17*INDEX('Lease Cycles'!$FO$17:$FU$17,1,DJ163)+'Lease Cycles'!$BE$17*(1-INDEX('Lease Cycles'!$FO$17:$FU$17,1,DJ163)))),0)</f>
        <v>0</v>
      </c>
      <c r="DK173" s="24">
        <f>IF(DK165=1,'Lease Cycles'!$D$17*IF(INDEX('Lease Cycles'!$EF$17:$EL$17,1,DK163)=1,'Lease Cycles'!$AJ$17*INDEX('Lease Cycles'!$FO$17:$FU$17,1,DK163)*INDEX('Lease Cycles'!$EM$17:$ES$17,1,DK163)+'Lease Cycles'!$BE$17*IF(DK164&lt;INDEX('Lease Cycles'!$FA$17:$FG$17,1,DK163),0,1-INDEX('Lease Cycles'!$EM$17:$ES$17,1,DK163)),IF(OR(INDEX('Lease Cycles'!$DY$17:$EE$17,1,DK163)=1,DK164&gt;0),1,1-INDEX('Lease Cycles'!$DD$17:$DJ$17,1,DK163))*('Lease Cycles'!$AJ$17*INDEX('Lease Cycles'!$FO$17:$FU$17,1,DK163)+'Lease Cycles'!$BE$17*(1-INDEX('Lease Cycles'!$FO$17:$FU$17,1,DK163)))),0)</f>
        <v>0</v>
      </c>
      <c r="DL173" s="24">
        <f>IF(DL165=1,'Lease Cycles'!$D$17*IF(INDEX('Lease Cycles'!$EF$17:$EL$17,1,DL163)=1,'Lease Cycles'!$AJ$17*INDEX('Lease Cycles'!$FO$17:$FU$17,1,DL163)*INDEX('Lease Cycles'!$EM$17:$ES$17,1,DL163)+'Lease Cycles'!$BE$17*IF(DL164&lt;INDEX('Lease Cycles'!$FA$17:$FG$17,1,DL163),0,1-INDEX('Lease Cycles'!$EM$17:$ES$17,1,DL163)),IF(OR(INDEX('Lease Cycles'!$DY$17:$EE$17,1,DL163)=1,DL164&gt;0),1,1-INDEX('Lease Cycles'!$DD$17:$DJ$17,1,DL163))*('Lease Cycles'!$AJ$17*INDEX('Lease Cycles'!$FO$17:$FU$17,1,DL163)+'Lease Cycles'!$BE$17*(1-INDEX('Lease Cycles'!$FO$17:$FU$17,1,DL163)))),0)</f>
        <v>0</v>
      </c>
      <c r="DM173" s="24">
        <f>IF(DM165=1,'Lease Cycles'!$D$17*IF(INDEX('Lease Cycles'!$EF$17:$EL$17,1,DM163)=1,'Lease Cycles'!$AJ$17*INDEX('Lease Cycles'!$FO$17:$FU$17,1,DM163)*INDEX('Lease Cycles'!$EM$17:$ES$17,1,DM163)+'Lease Cycles'!$BE$17*IF(DM164&lt;INDEX('Lease Cycles'!$FA$17:$FG$17,1,DM163),0,1-INDEX('Lease Cycles'!$EM$17:$ES$17,1,DM163)),IF(OR(INDEX('Lease Cycles'!$DY$17:$EE$17,1,DM163)=1,DM164&gt;0),1,1-INDEX('Lease Cycles'!$DD$17:$DJ$17,1,DM163))*('Lease Cycles'!$AJ$17*INDEX('Lease Cycles'!$FO$17:$FU$17,1,DM163)+'Lease Cycles'!$BE$17*(1-INDEX('Lease Cycles'!$FO$17:$FU$17,1,DM163)))),0)</f>
        <v>0</v>
      </c>
      <c r="DN173" s="24">
        <f>IF(DN165=1,'Lease Cycles'!$D$17*IF(INDEX('Lease Cycles'!$EF$17:$EL$17,1,DN163)=1,'Lease Cycles'!$AJ$17*INDEX('Lease Cycles'!$FO$17:$FU$17,1,DN163)*INDEX('Lease Cycles'!$EM$17:$ES$17,1,DN163)+'Lease Cycles'!$BE$17*IF(DN164&lt;INDEX('Lease Cycles'!$FA$17:$FG$17,1,DN163),0,1-INDEX('Lease Cycles'!$EM$17:$ES$17,1,DN163)),IF(OR(INDEX('Lease Cycles'!$DY$17:$EE$17,1,DN163)=1,DN164&gt;0),1,1-INDEX('Lease Cycles'!$DD$17:$DJ$17,1,DN163))*('Lease Cycles'!$AJ$17*INDEX('Lease Cycles'!$FO$17:$FU$17,1,DN163)+'Lease Cycles'!$BE$17*(1-INDEX('Lease Cycles'!$FO$17:$FU$17,1,DN163)))),0)</f>
        <v>0</v>
      </c>
      <c r="DO173" s="24">
        <f>IF(DO165=1,'Lease Cycles'!$D$17*IF(INDEX('Lease Cycles'!$EF$17:$EL$17,1,DO163)=1,'Lease Cycles'!$AJ$17*INDEX('Lease Cycles'!$FO$17:$FU$17,1,DO163)*INDEX('Lease Cycles'!$EM$17:$ES$17,1,DO163)+'Lease Cycles'!$BE$17*IF(DO164&lt;INDEX('Lease Cycles'!$FA$17:$FG$17,1,DO163),0,1-INDEX('Lease Cycles'!$EM$17:$ES$17,1,DO163)),IF(OR(INDEX('Lease Cycles'!$DY$17:$EE$17,1,DO163)=1,DO164&gt;0),1,1-INDEX('Lease Cycles'!$DD$17:$DJ$17,1,DO163))*('Lease Cycles'!$AJ$17*INDEX('Lease Cycles'!$FO$17:$FU$17,1,DO163)+'Lease Cycles'!$BE$17*(1-INDEX('Lease Cycles'!$FO$17:$FU$17,1,DO163)))),0)</f>
        <v>0</v>
      </c>
      <c r="DP173" s="24">
        <f>IF(DP165=1,'Lease Cycles'!$D$17*IF(INDEX('Lease Cycles'!$EF$17:$EL$17,1,DP163)=1,'Lease Cycles'!$AJ$17*INDEX('Lease Cycles'!$FO$17:$FU$17,1,DP163)*INDEX('Lease Cycles'!$EM$17:$ES$17,1,DP163)+'Lease Cycles'!$BE$17*IF(DP164&lt;INDEX('Lease Cycles'!$FA$17:$FG$17,1,DP163),0,1-INDEX('Lease Cycles'!$EM$17:$ES$17,1,DP163)),IF(OR(INDEX('Lease Cycles'!$DY$17:$EE$17,1,DP163)=1,DP164&gt;0),1,1-INDEX('Lease Cycles'!$DD$17:$DJ$17,1,DP163))*('Lease Cycles'!$AJ$17*INDEX('Lease Cycles'!$FO$17:$FU$17,1,DP163)+'Lease Cycles'!$BE$17*(1-INDEX('Lease Cycles'!$FO$17:$FU$17,1,DP163)))),0)</f>
        <v>0</v>
      </c>
      <c r="DQ173" s="24">
        <f>IF(DQ165=1,'Lease Cycles'!$D$17*IF(INDEX('Lease Cycles'!$EF$17:$EL$17,1,DQ163)=1,'Lease Cycles'!$AJ$17*INDEX('Lease Cycles'!$FO$17:$FU$17,1,DQ163)*INDEX('Lease Cycles'!$EM$17:$ES$17,1,DQ163)+'Lease Cycles'!$BE$17*IF(DQ164&lt;INDEX('Lease Cycles'!$FA$17:$FG$17,1,DQ163),0,1-INDEX('Lease Cycles'!$EM$17:$ES$17,1,DQ163)),IF(OR(INDEX('Lease Cycles'!$DY$17:$EE$17,1,DQ163)=1,DQ164&gt;0),1,1-INDEX('Lease Cycles'!$DD$17:$DJ$17,1,DQ163))*('Lease Cycles'!$AJ$17*INDEX('Lease Cycles'!$FO$17:$FU$17,1,DQ163)+'Lease Cycles'!$BE$17*(1-INDEX('Lease Cycles'!$FO$17:$FU$17,1,DQ163)))),0)</f>
        <v>0</v>
      </c>
      <c r="DR173" s="24">
        <f>IF(DR165=1,'Lease Cycles'!$D$17*IF(INDEX('Lease Cycles'!$EF$17:$EL$17,1,DR163)=1,'Lease Cycles'!$AJ$17*INDEX('Lease Cycles'!$FO$17:$FU$17,1,DR163)*INDEX('Lease Cycles'!$EM$17:$ES$17,1,DR163)+'Lease Cycles'!$BE$17*IF(DR164&lt;INDEX('Lease Cycles'!$FA$17:$FG$17,1,DR163),0,1-INDEX('Lease Cycles'!$EM$17:$ES$17,1,DR163)),IF(OR(INDEX('Lease Cycles'!$DY$17:$EE$17,1,DR163)=1,DR164&gt;0),1,1-INDEX('Lease Cycles'!$DD$17:$DJ$17,1,DR163))*('Lease Cycles'!$AJ$17*INDEX('Lease Cycles'!$FO$17:$FU$17,1,DR163)+'Lease Cycles'!$BE$17*(1-INDEX('Lease Cycles'!$FO$17:$FU$17,1,DR163)))),0)</f>
        <v>0</v>
      </c>
      <c r="DS173" s="24">
        <f>IF(DS165=1,'Lease Cycles'!$D$17*IF(INDEX('Lease Cycles'!$EF$17:$EL$17,1,DS163)=1,'Lease Cycles'!$AJ$17*INDEX('Lease Cycles'!$FO$17:$FU$17,1,DS163)*INDEX('Lease Cycles'!$EM$17:$ES$17,1,DS163)+'Lease Cycles'!$BE$17*IF(DS164&lt;INDEX('Lease Cycles'!$FA$17:$FG$17,1,DS163),0,1-INDEX('Lease Cycles'!$EM$17:$ES$17,1,DS163)),IF(OR(INDEX('Lease Cycles'!$DY$17:$EE$17,1,DS163)=1,DS164&gt;0),1,1-INDEX('Lease Cycles'!$DD$17:$DJ$17,1,DS163))*('Lease Cycles'!$AJ$17*INDEX('Lease Cycles'!$FO$17:$FU$17,1,DS163)+'Lease Cycles'!$BE$17*(1-INDEX('Lease Cycles'!$FO$17:$FU$17,1,DS163)))),0)</f>
        <v>0</v>
      </c>
      <c r="DT173" s="24">
        <f>IF(DT165=1,'Lease Cycles'!$D$17*IF(INDEX('Lease Cycles'!$EF$17:$EL$17,1,DT163)=1,'Lease Cycles'!$AJ$17*INDEX('Lease Cycles'!$FO$17:$FU$17,1,DT163)*INDEX('Lease Cycles'!$EM$17:$ES$17,1,DT163)+'Lease Cycles'!$BE$17*IF(DT164&lt;INDEX('Lease Cycles'!$FA$17:$FG$17,1,DT163),0,1-INDEX('Lease Cycles'!$EM$17:$ES$17,1,DT163)),IF(OR(INDEX('Lease Cycles'!$DY$17:$EE$17,1,DT163)=1,DT164&gt;0),1,1-INDEX('Lease Cycles'!$DD$17:$DJ$17,1,DT163))*('Lease Cycles'!$AJ$17*INDEX('Lease Cycles'!$FO$17:$FU$17,1,DT163)+'Lease Cycles'!$BE$17*(1-INDEX('Lease Cycles'!$FO$17:$FU$17,1,DT163)))),0)</f>
        <v>0</v>
      </c>
      <c r="DU173" s="24">
        <f>IF(DU165=1,'Lease Cycles'!$D$17*IF(INDEX('Lease Cycles'!$EF$17:$EL$17,1,DU163)=1,'Lease Cycles'!$AJ$17*INDEX('Lease Cycles'!$FO$17:$FU$17,1,DU163)*INDEX('Lease Cycles'!$EM$17:$ES$17,1,DU163)+'Lease Cycles'!$BE$17*IF(DU164&lt;INDEX('Lease Cycles'!$FA$17:$FG$17,1,DU163),0,1-INDEX('Lease Cycles'!$EM$17:$ES$17,1,DU163)),IF(OR(INDEX('Lease Cycles'!$DY$17:$EE$17,1,DU163)=1,DU164&gt;0),1,1-INDEX('Lease Cycles'!$DD$17:$DJ$17,1,DU163))*('Lease Cycles'!$AJ$17*INDEX('Lease Cycles'!$FO$17:$FU$17,1,DU163)+'Lease Cycles'!$BE$17*(1-INDEX('Lease Cycles'!$FO$17:$FU$17,1,DU163)))),0)</f>
        <v>0</v>
      </c>
      <c r="DV173" s="24">
        <f>IF(DV165=1,'Lease Cycles'!$D$17*IF(INDEX('Lease Cycles'!$EF$17:$EL$17,1,DV163)=1,'Lease Cycles'!$AJ$17*INDEX('Lease Cycles'!$FO$17:$FU$17,1,DV163)*INDEX('Lease Cycles'!$EM$17:$ES$17,1,DV163)+'Lease Cycles'!$BE$17*IF(DV164&lt;INDEX('Lease Cycles'!$FA$17:$FG$17,1,DV163),0,1-INDEX('Lease Cycles'!$EM$17:$ES$17,1,DV163)),IF(OR(INDEX('Lease Cycles'!$DY$17:$EE$17,1,DV163)=1,DV164&gt;0),1,1-INDEX('Lease Cycles'!$DD$17:$DJ$17,1,DV163))*('Lease Cycles'!$AJ$17*INDEX('Lease Cycles'!$FO$17:$FU$17,1,DV163)+'Lease Cycles'!$BE$17*(1-INDEX('Lease Cycles'!$FO$17:$FU$17,1,DV163)))),0)</f>
        <v>0</v>
      </c>
      <c r="DW173" s="24">
        <f>IF(DW165=1,'Lease Cycles'!$D$17*IF(INDEX('Lease Cycles'!$EF$17:$EL$17,1,DW163)=1,'Lease Cycles'!$AJ$17*INDEX('Lease Cycles'!$FO$17:$FU$17,1,DW163)*INDEX('Lease Cycles'!$EM$17:$ES$17,1,DW163)+'Lease Cycles'!$BE$17*IF(DW164&lt;INDEX('Lease Cycles'!$FA$17:$FG$17,1,DW163),0,1-INDEX('Lease Cycles'!$EM$17:$ES$17,1,DW163)),IF(OR(INDEX('Lease Cycles'!$DY$17:$EE$17,1,DW163)=1,DW164&gt;0),1,1-INDEX('Lease Cycles'!$DD$17:$DJ$17,1,DW163))*('Lease Cycles'!$AJ$17*INDEX('Lease Cycles'!$FO$17:$FU$17,1,DW163)+'Lease Cycles'!$BE$17*(1-INDEX('Lease Cycles'!$FO$17:$FU$17,1,DW163)))),0)</f>
        <v>0</v>
      </c>
      <c r="DX173" s="24">
        <f>IF(DX165=1,'Lease Cycles'!$D$17*IF(INDEX('Lease Cycles'!$EF$17:$EL$17,1,DX163)=1,'Lease Cycles'!$AJ$17*INDEX('Lease Cycles'!$FO$17:$FU$17,1,DX163)*INDEX('Lease Cycles'!$EM$17:$ES$17,1,DX163)+'Lease Cycles'!$BE$17*IF(DX164&lt;INDEX('Lease Cycles'!$FA$17:$FG$17,1,DX163),0,1-INDEX('Lease Cycles'!$EM$17:$ES$17,1,DX163)),IF(OR(INDEX('Lease Cycles'!$DY$17:$EE$17,1,DX163)=1,DX164&gt;0),1,1-INDEX('Lease Cycles'!$DD$17:$DJ$17,1,DX163))*('Lease Cycles'!$AJ$17*INDEX('Lease Cycles'!$FO$17:$FU$17,1,DX163)+'Lease Cycles'!$BE$17*(1-INDEX('Lease Cycles'!$FO$17:$FU$17,1,DX163)))),0)</f>
        <v>0</v>
      </c>
      <c r="DY173" s="24">
        <f>IF(DY165=1,'Lease Cycles'!$D$17*IF(INDEX('Lease Cycles'!$EF$17:$EL$17,1,DY163)=1,'Lease Cycles'!$AJ$17*INDEX('Lease Cycles'!$FO$17:$FU$17,1,DY163)*INDEX('Lease Cycles'!$EM$17:$ES$17,1,DY163)+'Lease Cycles'!$BE$17*IF(DY164&lt;INDEX('Lease Cycles'!$FA$17:$FG$17,1,DY163),0,1-INDEX('Lease Cycles'!$EM$17:$ES$17,1,DY163)),IF(OR(INDEX('Lease Cycles'!$DY$17:$EE$17,1,DY163)=1,DY164&gt;0),1,1-INDEX('Lease Cycles'!$DD$17:$DJ$17,1,DY163))*('Lease Cycles'!$AJ$17*INDEX('Lease Cycles'!$FO$17:$FU$17,1,DY163)+'Lease Cycles'!$BE$17*(1-INDEX('Lease Cycles'!$FO$17:$FU$17,1,DY163)))),0)</f>
        <v>0</v>
      </c>
      <c r="DZ173" s="24">
        <f>IF(DZ165=1,'Lease Cycles'!$D$17*IF(INDEX('Lease Cycles'!$EF$17:$EL$17,1,DZ163)=1,'Lease Cycles'!$AJ$17*INDEX('Lease Cycles'!$FO$17:$FU$17,1,DZ163)*INDEX('Lease Cycles'!$EM$17:$ES$17,1,DZ163)+'Lease Cycles'!$BE$17*IF(DZ164&lt;INDEX('Lease Cycles'!$FA$17:$FG$17,1,DZ163),0,1-INDEX('Lease Cycles'!$EM$17:$ES$17,1,DZ163)),IF(OR(INDEX('Lease Cycles'!$DY$17:$EE$17,1,DZ163)=1,DZ164&gt;0),1,1-INDEX('Lease Cycles'!$DD$17:$DJ$17,1,DZ163))*('Lease Cycles'!$AJ$17*INDEX('Lease Cycles'!$FO$17:$FU$17,1,DZ163)+'Lease Cycles'!$BE$17*(1-INDEX('Lease Cycles'!$FO$17:$FU$17,1,DZ163)))),0)</f>
        <v>0</v>
      </c>
      <c r="EA173" s="24">
        <f>IF(EA165=1,'Lease Cycles'!$D$17*IF(INDEX('Lease Cycles'!$EF$17:$EL$17,1,EA163)=1,'Lease Cycles'!$AJ$17*INDEX('Lease Cycles'!$FO$17:$FU$17,1,EA163)*INDEX('Lease Cycles'!$EM$17:$ES$17,1,EA163)+'Lease Cycles'!$BE$17*IF(EA164&lt;INDEX('Lease Cycles'!$FA$17:$FG$17,1,EA163),0,1-INDEX('Lease Cycles'!$EM$17:$ES$17,1,EA163)),IF(OR(INDEX('Lease Cycles'!$DY$17:$EE$17,1,EA163)=1,EA164&gt;0),1,1-INDEX('Lease Cycles'!$DD$17:$DJ$17,1,EA163))*('Lease Cycles'!$AJ$17*INDEX('Lease Cycles'!$FO$17:$FU$17,1,EA163)+'Lease Cycles'!$BE$17*(1-INDEX('Lease Cycles'!$FO$17:$FU$17,1,EA163)))),0)</f>
        <v>0</v>
      </c>
      <c r="EB173" s="24">
        <f>IF(EB165=1,'Lease Cycles'!$D$17*IF(INDEX('Lease Cycles'!$EF$17:$EL$17,1,EB163)=1,'Lease Cycles'!$AJ$17*INDEX('Lease Cycles'!$FO$17:$FU$17,1,EB163)*INDEX('Lease Cycles'!$EM$17:$ES$17,1,EB163)+'Lease Cycles'!$BE$17*IF(EB164&lt;INDEX('Lease Cycles'!$FA$17:$FG$17,1,EB163),0,1-INDEX('Lease Cycles'!$EM$17:$ES$17,1,EB163)),IF(OR(INDEX('Lease Cycles'!$DY$17:$EE$17,1,EB163)=1,EB164&gt;0),1,1-INDEX('Lease Cycles'!$DD$17:$DJ$17,1,EB163))*('Lease Cycles'!$AJ$17*INDEX('Lease Cycles'!$FO$17:$FU$17,1,EB163)+'Lease Cycles'!$BE$17*(1-INDEX('Lease Cycles'!$FO$17:$FU$17,1,EB163)))),0)</f>
        <v>0</v>
      </c>
      <c r="EC173" s="24">
        <f>IF(EC165=1,'Lease Cycles'!$D$17*IF(INDEX('Lease Cycles'!$EF$17:$EL$17,1,EC163)=1,'Lease Cycles'!$AJ$17*INDEX('Lease Cycles'!$FO$17:$FU$17,1,EC163)*INDEX('Lease Cycles'!$EM$17:$ES$17,1,EC163)+'Lease Cycles'!$BE$17*IF(EC164&lt;INDEX('Lease Cycles'!$FA$17:$FG$17,1,EC163),0,1-INDEX('Lease Cycles'!$EM$17:$ES$17,1,EC163)),IF(OR(INDEX('Lease Cycles'!$DY$17:$EE$17,1,EC163)=1,EC164&gt;0),1,1-INDEX('Lease Cycles'!$DD$17:$DJ$17,1,EC163))*('Lease Cycles'!$AJ$17*INDEX('Lease Cycles'!$FO$17:$FU$17,1,EC163)+'Lease Cycles'!$BE$17*(1-INDEX('Lease Cycles'!$FO$17:$FU$17,1,EC163)))),0)</f>
        <v>0</v>
      </c>
      <c r="ED173" s="24">
        <f>IF(ED165=1,'Lease Cycles'!$D$17*IF(INDEX('Lease Cycles'!$EF$17:$EL$17,1,ED163)=1,'Lease Cycles'!$AJ$17*INDEX('Lease Cycles'!$FO$17:$FU$17,1,ED163)*INDEX('Lease Cycles'!$EM$17:$ES$17,1,ED163)+'Lease Cycles'!$BE$17*IF(ED164&lt;INDEX('Lease Cycles'!$FA$17:$FG$17,1,ED163),0,1-INDEX('Lease Cycles'!$EM$17:$ES$17,1,ED163)),IF(OR(INDEX('Lease Cycles'!$DY$17:$EE$17,1,ED163)=1,ED164&gt;0),1,1-INDEX('Lease Cycles'!$DD$17:$DJ$17,1,ED163))*('Lease Cycles'!$AJ$17*INDEX('Lease Cycles'!$FO$17:$FU$17,1,ED163)+'Lease Cycles'!$BE$17*(1-INDEX('Lease Cycles'!$FO$17:$FU$17,1,ED163)))),0)</f>
        <v>0</v>
      </c>
      <c r="EE173" s="24">
        <f>IF(EE165=1,'Lease Cycles'!$D$17*IF(INDEX('Lease Cycles'!$EF$17:$EL$17,1,EE163)=1,'Lease Cycles'!$AJ$17*INDEX('Lease Cycles'!$FO$17:$FU$17,1,EE163)*INDEX('Lease Cycles'!$EM$17:$ES$17,1,EE163)+'Lease Cycles'!$BE$17*IF(EE164&lt;INDEX('Lease Cycles'!$FA$17:$FG$17,1,EE163),0,1-INDEX('Lease Cycles'!$EM$17:$ES$17,1,EE163)),IF(OR(INDEX('Lease Cycles'!$DY$17:$EE$17,1,EE163)=1,EE164&gt;0),1,1-INDEX('Lease Cycles'!$DD$17:$DJ$17,1,EE163))*('Lease Cycles'!$AJ$17*INDEX('Lease Cycles'!$FO$17:$FU$17,1,EE163)+'Lease Cycles'!$BE$17*(1-INDEX('Lease Cycles'!$FO$17:$FU$17,1,EE163)))),0)</f>
        <v>0</v>
      </c>
      <c r="EF173" s="24">
        <f>IF(EF165=1,'Lease Cycles'!$D$17*IF(INDEX('Lease Cycles'!$EF$17:$EL$17,1,EF163)=1,'Lease Cycles'!$AJ$17*INDEX('Lease Cycles'!$FO$17:$FU$17,1,EF163)*INDEX('Lease Cycles'!$EM$17:$ES$17,1,EF163)+'Lease Cycles'!$BE$17*IF(EF164&lt;INDEX('Lease Cycles'!$FA$17:$FG$17,1,EF163),0,1-INDEX('Lease Cycles'!$EM$17:$ES$17,1,EF163)),IF(OR(INDEX('Lease Cycles'!$DY$17:$EE$17,1,EF163)=1,EF164&gt;0),1,1-INDEX('Lease Cycles'!$DD$17:$DJ$17,1,EF163))*('Lease Cycles'!$AJ$17*INDEX('Lease Cycles'!$FO$17:$FU$17,1,EF163)+'Lease Cycles'!$BE$17*(1-INDEX('Lease Cycles'!$FO$17:$FU$17,1,EF163)))),0)</f>
        <v>0</v>
      </c>
      <c r="EG173" s="24">
        <f>IF(EG165=1,'Lease Cycles'!$D$17*IF(INDEX('Lease Cycles'!$EF$17:$EL$17,1,EG163)=1,'Lease Cycles'!$AJ$17*INDEX('Lease Cycles'!$FO$17:$FU$17,1,EG163)*INDEX('Lease Cycles'!$EM$17:$ES$17,1,EG163)+'Lease Cycles'!$BE$17*IF(EG164&lt;INDEX('Lease Cycles'!$FA$17:$FG$17,1,EG163),0,1-INDEX('Lease Cycles'!$EM$17:$ES$17,1,EG163)),IF(OR(INDEX('Lease Cycles'!$DY$17:$EE$17,1,EG163)=1,EG164&gt;0),1,1-INDEX('Lease Cycles'!$DD$17:$DJ$17,1,EG163))*('Lease Cycles'!$AJ$17*INDEX('Lease Cycles'!$FO$17:$FU$17,1,EG163)+'Lease Cycles'!$BE$17*(1-INDEX('Lease Cycles'!$FO$17:$FU$17,1,EG163)))),0)</f>
        <v>0</v>
      </c>
      <c r="EH173" s="24">
        <f>IF(EH165=1,'Lease Cycles'!$D$17*IF(INDEX('Lease Cycles'!$EF$17:$EL$17,1,EH163)=1,'Lease Cycles'!$AJ$17*INDEX('Lease Cycles'!$FO$17:$FU$17,1,EH163)*INDEX('Lease Cycles'!$EM$17:$ES$17,1,EH163)+'Lease Cycles'!$BE$17*IF(EH164&lt;INDEX('Lease Cycles'!$FA$17:$FG$17,1,EH163),0,1-INDEX('Lease Cycles'!$EM$17:$ES$17,1,EH163)),IF(OR(INDEX('Lease Cycles'!$DY$17:$EE$17,1,EH163)=1,EH164&gt;0),1,1-INDEX('Lease Cycles'!$DD$17:$DJ$17,1,EH163))*('Lease Cycles'!$AJ$17*INDEX('Lease Cycles'!$FO$17:$FU$17,1,EH163)+'Lease Cycles'!$BE$17*(1-INDEX('Lease Cycles'!$FO$17:$FU$17,1,EH163)))),0)</f>
        <v>0</v>
      </c>
      <c r="EI173" s="24">
        <f>IF(EI165=1,'Lease Cycles'!$D$17*IF(INDEX('Lease Cycles'!$EF$17:$EL$17,1,EI163)=1,'Lease Cycles'!$AJ$17*INDEX('Lease Cycles'!$FO$17:$FU$17,1,EI163)*INDEX('Lease Cycles'!$EM$17:$ES$17,1,EI163)+'Lease Cycles'!$BE$17*IF(EI164&lt;INDEX('Lease Cycles'!$FA$17:$FG$17,1,EI163),0,1-INDEX('Lease Cycles'!$EM$17:$ES$17,1,EI163)),IF(OR(INDEX('Lease Cycles'!$DY$17:$EE$17,1,EI163)=1,EI164&gt;0),1,1-INDEX('Lease Cycles'!$DD$17:$DJ$17,1,EI163))*('Lease Cycles'!$AJ$17*INDEX('Lease Cycles'!$FO$17:$FU$17,1,EI163)+'Lease Cycles'!$BE$17*(1-INDEX('Lease Cycles'!$FO$17:$FU$17,1,EI163)))),0)</f>
        <v>0</v>
      </c>
      <c r="EJ173" s="24">
        <f>IF(EJ165=1,'Lease Cycles'!$D$17*IF(INDEX('Lease Cycles'!$EF$17:$EL$17,1,EJ163)=1,'Lease Cycles'!$AJ$17*INDEX('Lease Cycles'!$FO$17:$FU$17,1,EJ163)*INDEX('Lease Cycles'!$EM$17:$ES$17,1,EJ163)+'Lease Cycles'!$BE$17*IF(EJ164&lt;INDEX('Lease Cycles'!$FA$17:$FG$17,1,EJ163),0,1-INDEX('Lease Cycles'!$EM$17:$ES$17,1,EJ163)),IF(OR(INDEX('Lease Cycles'!$DY$17:$EE$17,1,EJ163)=1,EJ164&gt;0),1,1-INDEX('Lease Cycles'!$DD$17:$DJ$17,1,EJ163))*('Lease Cycles'!$AJ$17*INDEX('Lease Cycles'!$FO$17:$FU$17,1,EJ163)+'Lease Cycles'!$BE$17*(1-INDEX('Lease Cycles'!$FO$17:$FU$17,1,EJ163)))),0)</f>
        <v>0</v>
      </c>
      <c r="EK173" s="24">
        <f>IF(EK165=1,'Lease Cycles'!$D$17*IF(INDEX('Lease Cycles'!$EF$17:$EL$17,1,EK163)=1,'Lease Cycles'!$AJ$17*INDEX('Lease Cycles'!$FO$17:$FU$17,1,EK163)*INDEX('Lease Cycles'!$EM$17:$ES$17,1,EK163)+'Lease Cycles'!$BE$17*IF(EK164&lt;INDEX('Lease Cycles'!$FA$17:$FG$17,1,EK163),0,1-INDEX('Lease Cycles'!$EM$17:$ES$17,1,EK163)),IF(OR(INDEX('Lease Cycles'!$DY$17:$EE$17,1,EK163)=1,EK164&gt;0),1,1-INDEX('Lease Cycles'!$DD$17:$DJ$17,1,EK163))*('Lease Cycles'!$AJ$17*INDEX('Lease Cycles'!$FO$17:$FU$17,1,EK163)+'Lease Cycles'!$BE$17*(1-INDEX('Lease Cycles'!$FO$17:$FU$17,1,EK163)))),0)</f>
        <v>0</v>
      </c>
      <c r="EL173" s="24">
        <f>IF(EL165=1,'Lease Cycles'!$D$17*IF(INDEX('Lease Cycles'!$EF$17:$EL$17,1,EL163)=1,'Lease Cycles'!$AJ$17*INDEX('Lease Cycles'!$FO$17:$FU$17,1,EL163)*INDEX('Lease Cycles'!$EM$17:$ES$17,1,EL163)+'Lease Cycles'!$BE$17*IF(EL164&lt;INDEX('Lease Cycles'!$FA$17:$FG$17,1,EL163),0,1-INDEX('Lease Cycles'!$EM$17:$ES$17,1,EL163)),IF(OR(INDEX('Lease Cycles'!$DY$17:$EE$17,1,EL163)=1,EL164&gt;0),1,1-INDEX('Lease Cycles'!$DD$17:$DJ$17,1,EL163))*('Lease Cycles'!$AJ$17*INDEX('Lease Cycles'!$FO$17:$FU$17,1,EL163)+'Lease Cycles'!$BE$17*(1-INDEX('Lease Cycles'!$FO$17:$FU$17,1,EL163)))),0)</f>
        <v>0</v>
      </c>
      <c r="EM173" s="24">
        <f>IF(EM165=1,'Lease Cycles'!$D$17*IF(INDEX('Lease Cycles'!$EF$17:$EL$17,1,EM163)=1,'Lease Cycles'!$AJ$17*INDEX('Lease Cycles'!$FO$17:$FU$17,1,EM163)*INDEX('Lease Cycles'!$EM$17:$ES$17,1,EM163)+'Lease Cycles'!$BE$17*IF(EM164&lt;INDEX('Lease Cycles'!$FA$17:$FG$17,1,EM163),0,1-INDEX('Lease Cycles'!$EM$17:$ES$17,1,EM163)),IF(OR(INDEX('Lease Cycles'!$DY$17:$EE$17,1,EM163)=1,EM164&gt;0),1,1-INDEX('Lease Cycles'!$DD$17:$DJ$17,1,EM163))*('Lease Cycles'!$AJ$17*INDEX('Lease Cycles'!$FO$17:$FU$17,1,EM163)+'Lease Cycles'!$BE$17*(1-INDEX('Lease Cycles'!$FO$17:$FU$17,1,EM163)))),0)</f>
        <v>0</v>
      </c>
      <c r="EN173" s="24">
        <f>IF(EN165=1,'Lease Cycles'!$D$17*IF(INDEX('Lease Cycles'!$EF$17:$EL$17,1,EN163)=1,'Lease Cycles'!$AJ$17*INDEX('Lease Cycles'!$FO$17:$FU$17,1,EN163)*INDEX('Lease Cycles'!$EM$17:$ES$17,1,EN163)+'Lease Cycles'!$BE$17*IF(EN164&lt;INDEX('Lease Cycles'!$FA$17:$FG$17,1,EN163),0,1-INDEX('Lease Cycles'!$EM$17:$ES$17,1,EN163)),IF(OR(INDEX('Lease Cycles'!$DY$17:$EE$17,1,EN163)=1,EN164&gt;0),1,1-INDEX('Lease Cycles'!$DD$17:$DJ$17,1,EN163))*('Lease Cycles'!$AJ$17*INDEX('Lease Cycles'!$FO$17:$FU$17,1,EN163)+'Lease Cycles'!$BE$17*(1-INDEX('Lease Cycles'!$FO$17:$FU$17,1,EN163)))),0)</f>
        <v>0</v>
      </c>
      <c r="EO173" s="24">
        <f>IF(EO165=1,'Lease Cycles'!$D$17*IF(INDEX('Lease Cycles'!$EF$17:$EL$17,1,EO163)=1,'Lease Cycles'!$AJ$17*INDEX('Lease Cycles'!$FO$17:$FU$17,1,EO163)*INDEX('Lease Cycles'!$EM$17:$ES$17,1,EO163)+'Lease Cycles'!$BE$17*IF(EO164&lt;INDEX('Lease Cycles'!$FA$17:$FG$17,1,EO163),0,1-INDEX('Lease Cycles'!$EM$17:$ES$17,1,EO163)),IF(OR(INDEX('Lease Cycles'!$DY$17:$EE$17,1,EO163)=1,EO164&gt;0),1,1-INDEX('Lease Cycles'!$DD$17:$DJ$17,1,EO163))*('Lease Cycles'!$AJ$17*INDEX('Lease Cycles'!$FO$17:$FU$17,1,EO163)+'Lease Cycles'!$BE$17*(1-INDEX('Lease Cycles'!$FO$17:$FU$17,1,EO163)))),0)</f>
        <v>0</v>
      </c>
      <c r="EP173" s="24">
        <f>IF(EP165=1,'Lease Cycles'!$D$17*IF(INDEX('Lease Cycles'!$EF$17:$EL$17,1,EP163)=1,'Lease Cycles'!$AJ$17*INDEX('Lease Cycles'!$FO$17:$FU$17,1,EP163)*INDEX('Lease Cycles'!$EM$17:$ES$17,1,EP163)+'Lease Cycles'!$BE$17*IF(EP164&lt;INDEX('Lease Cycles'!$FA$17:$FG$17,1,EP163),0,1-INDEX('Lease Cycles'!$EM$17:$ES$17,1,EP163)),IF(OR(INDEX('Lease Cycles'!$DY$17:$EE$17,1,EP163)=1,EP164&gt;0),1,1-INDEX('Lease Cycles'!$DD$17:$DJ$17,1,EP163))*('Lease Cycles'!$AJ$17*INDEX('Lease Cycles'!$FO$17:$FU$17,1,EP163)+'Lease Cycles'!$BE$17*(1-INDEX('Lease Cycles'!$FO$17:$FU$17,1,EP163)))),0)</f>
        <v>0</v>
      </c>
      <c r="EQ173" s="24">
        <f>IF(EQ165=1,'Lease Cycles'!$D$17*IF(INDEX('Lease Cycles'!$EF$17:$EL$17,1,EQ163)=1,'Lease Cycles'!$AJ$17*INDEX('Lease Cycles'!$FO$17:$FU$17,1,EQ163)*INDEX('Lease Cycles'!$EM$17:$ES$17,1,EQ163)+'Lease Cycles'!$BE$17*IF(EQ164&lt;INDEX('Lease Cycles'!$FA$17:$FG$17,1,EQ163),0,1-INDEX('Lease Cycles'!$EM$17:$ES$17,1,EQ163)),IF(OR(INDEX('Lease Cycles'!$DY$17:$EE$17,1,EQ163)=1,EQ164&gt;0),1,1-INDEX('Lease Cycles'!$DD$17:$DJ$17,1,EQ163))*('Lease Cycles'!$AJ$17*INDEX('Lease Cycles'!$FO$17:$FU$17,1,EQ163)+'Lease Cycles'!$BE$17*(1-INDEX('Lease Cycles'!$FO$17:$FU$17,1,EQ163)))),0)</f>
        <v>0</v>
      </c>
      <c r="ER173" s="24">
        <f>IF(ER165=1,'Lease Cycles'!$D$17*IF(INDEX('Lease Cycles'!$EF$17:$EL$17,1,ER163)=1,'Lease Cycles'!$AJ$17*INDEX('Lease Cycles'!$FO$17:$FU$17,1,ER163)*INDEX('Lease Cycles'!$EM$17:$ES$17,1,ER163)+'Lease Cycles'!$BE$17*IF(ER164&lt;INDEX('Lease Cycles'!$FA$17:$FG$17,1,ER163),0,1-INDEX('Lease Cycles'!$EM$17:$ES$17,1,ER163)),IF(OR(INDEX('Lease Cycles'!$DY$17:$EE$17,1,ER163)=1,ER164&gt;0),1,1-INDEX('Lease Cycles'!$DD$17:$DJ$17,1,ER163))*('Lease Cycles'!$AJ$17*INDEX('Lease Cycles'!$FO$17:$FU$17,1,ER163)+'Lease Cycles'!$BE$17*(1-INDEX('Lease Cycles'!$FO$17:$FU$17,1,ER163)))),0)</f>
        <v>0</v>
      </c>
      <c r="ES173" s="24">
        <f>IF(ES165=1,'Lease Cycles'!$D$17*IF(INDEX('Lease Cycles'!$EF$17:$EL$17,1,ES163)=1,'Lease Cycles'!$AJ$17*INDEX('Lease Cycles'!$FO$17:$FU$17,1,ES163)*INDEX('Lease Cycles'!$EM$17:$ES$17,1,ES163)+'Lease Cycles'!$BE$17*IF(ES164&lt;INDEX('Lease Cycles'!$FA$17:$FG$17,1,ES163),0,1-INDEX('Lease Cycles'!$EM$17:$ES$17,1,ES163)),IF(OR(INDEX('Lease Cycles'!$DY$17:$EE$17,1,ES163)=1,ES164&gt;0),1,1-INDEX('Lease Cycles'!$DD$17:$DJ$17,1,ES163))*('Lease Cycles'!$AJ$17*INDEX('Lease Cycles'!$FO$17:$FU$17,1,ES163)+'Lease Cycles'!$BE$17*(1-INDEX('Lease Cycles'!$FO$17:$FU$17,1,ES163)))),0)</f>
        <v>0</v>
      </c>
      <c r="ET173" s="24">
        <f>IF(ET165=1,'Lease Cycles'!$D$17*IF(INDEX('Lease Cycles'!$EF$17:$EL$17,1,ET163)=1,'Lease Cycles'!$AJ$17*INDEX('Lease Cycles'!$FO$17:$FU$17,1,ET163)*INDEX('Lease Cycles'!$EM$17:$ES$17,1,ET163)+'Lease Cycles'!$BE$17*IF(ET164&lt;INDEX('Lease Cycles'!$FA$17:$FG$17,1,ET163),0,1-INDEX('Lease Cycles'!$EM$17:$ES$17,1,ET163)),IF(OR(INDEX('Lease Cycles'!$DY$17:$EE$17,1,ET163)=1,ET164&gt;0),1,1-INDEX('Lease Cycles'!$DD$17:$DJ$17,1,ET163))*('Lease Cycles'!$AJ$17*INDEX('Lease Cycles'!$FO$17:$FU$17,1,ET163)+'Lease Cycles'!$BE$17*(1-INDEX('Lease Cycles'!$FO$17:$FU$17,1,ET163)))),0)</f>
        <v>0</v>
      </c>
    </row>
    <row r="174">
      <c r="A174" s="103">
        <v>10</v>
      </c>
      <c r="B174" s="23" t="str">
        <f>IF('Lease Cycles'!$B$17="","(empty slot)",'Lease Cycles'!$B$17)</f>
        <v>Available B-9</v>
      </c>
      <c r="C174" s="23" t="s">
        <v>689</v>
      </c>
      <c r="D174" s="104" t="s">
        <v>690</v>
      </c>
      <c r="E174" s="25">
        <f>'Lease Cycles'!$AL$17</f>
        <v>0</v>
      </c>
      <c r="G174" s="28">
        <f>SUM(S174:AD174)</f>
        <v>0</v>
      </c>
      <c r="H174" s="28">
        <f>SUM(AE174:AP174)</f>
        <v>0</v>
      </c>
      <c r="I174" s="28">
        <f>SUM(AQ174:BB174)</f>
        <v>0</v>
      </c>
      <c r="J174" s="28">
        <f>SUM(BC174:BN174)</f>
        <v>0</v>
      </c>
      <c r="K174" s="28">
        <f>SUM(BO174:BZ174)</f>
        <v>0</v>
      </c>
      <c r="L174" s="28">
        <f>SUM(CA174:CL174)</f>
        <v>0</v>
      </c>
      <c r="M174" s="28">
        <f>SUM(CM174:CX174)</f>
        <v>0</v>
      </c>
      <c r="N174" s="28">
        <f>SUM(CY174:DJ174)</f>
        <v>0</v>
      </c>
      <c r="O174" s="28">
        <f>SUM(DK174:DV174)</f>
        <v>0</v>
      </c>
      <c r="P174" s="28">
        <f>SUM(DW174:EH174)</f>
        <v>0</v>
      </c>
      <c r="Q174" s="28">
        <f>SUM(EI174:ET174)</f>
        <v>0</v>
      </c>
      <c r="S174" s="28">
        <f>IF(S173=0,0,S173*MAX(0,(INDEX(c_CAMy,1,S$7)-INDEX(c_CAMy,1,INDEX('Lease Cycles'!$GC$17:$GI$17,1,S163)+1))*(1+'Lease Cycles'!$AK$17)+(INDEX(c_TAXy,1,S$7)-INDEX(c_TAXy,1,INDEX('Lease Cycles'!$GC$17:$GI$17,1,S163)+1))+(INDEX(c_INSy,1,S$7)-INDEX(c_INSy,1,INDEX('Lease Cycles'!$GC$17:$GI$17,1,S163)+1)))/12)</f>
        <v>0</v>
      </c>
      <c r="T174" s="28">
        <f>IF(T173=0,0,T173*MAX(0,(INDEX(c_CAMy,1,T$7)-INDEX(c_CAMy,1,INDEX('Lease Cycles'!$GC$17:$GI$17,1,T163)+1))*(1+'Lease Cycles'!$AK$17)+(INDEX(c_TAXy,1,T$7)-INDEX(c_TAXy,1,INDEX('Lease Cycles'!$GC$17:$GI$17,1,T163)+1))+(INDEX(c_INSy,1,T$7)-INDEX(c_INSy,1,INDEX('Lease Cycles'!$GC$17:$GI$17,1,T163)+1)))/12)</f>
        <v>0</v>
      </c>
      <c r="U174" s="28">
        <f>IF(U173=0,0,U173*MAX(0,(INDEX(c_CAMy,1,U$7)-INDEX(c_CAMy,1,INDEX('Lease Cycles'!$GC$17:$GI$17,1,U163)+1))*(1+'Lease Cycles'!$AK$17)+(INDEX(c_TAXy,1,U$7)-INDEX(c_TAXy,1,INDEX('Lease Cycles'!$GC$17:$GI$17,1,U163)+1))+(INDEX(c_INSy,1,U$7)-INDEX(c_INSy,1,INDEX('Lease Cycles'!$GC$17:$GI$17,1,U163)+1)))/12)</f>
        <v>0</v>
      </c>
      <c r="V174" s="28">
        <f>IF(V173=0,0,V173*MAX(0,(INDEX(c_CAMy,1,V$7)-INDEX(c_CAMy,1,INDEX('Lease Cycles'!$GC$17:$GI$17,1,V163)+1))*(1+'Lease Cycles'!$AK$17)+(INDEX(c_TAXy,1,V$7)-INDEX(c_TAXy,1,INDEX('Lease Cycles'!$GC$17:$GI$17,1,V163)+1))+(INDEX(c_INSy,1,V$7)-INDEX(c_INSy,1,INDEX('Lease Cycles'!$GC$17:$GI$17,1,V163)+1)))/12)</f>
        <v>0</v>
      </c>
      <c r="W174" s="28">
        <f>IF(W173=0,0,W173*MAX(0,(INDEX(c_CAMy,1,W$7)-INDEX(c_CAMy,1,INDEX('Lease Cycles'!$GC$17:$GI$17,1,W163)+1))*(1+'Lease Cycles'!$AK$17)+(INDEX(c_TAXy,1,W$7)-INDEX(c_TAXy,1,INDEX('Lease Cycles'!$GC$17:$GI$17,1,W163)+1))+(INDEX(c_INSy,1,W$7)-INDEX(c_INSy,1,INDEX('Lease Cycles'!$GC$17:$GI$17,1,W163)+1)))/12)</f>
        <v>0</v>
      </c>
      <c r="X174" s="28">
        <f>IF(X173=0,0,X173*MAX(0,(INDEX(c_CAMy,1,X$7)-INDEX(c_CAMy,1,INDEX('Lease Cycles'!$GC$17:$GI$17,1,X163)+1))*(1+'Lease Cycles'!$AK$17)+(INDEX(c_TAXy,1,X$7)-INDEX(c_TAXy,1,INDEX('Lease Cycles'!$GC$17:$GI$17,1,X163)+1))+(INDEX(c_INSy,1,X$7)-INDEX(c_INSy,1,INDEX('Lease Cycles'!$GC$17:$GI$17,1,X163)+1)))/12)</f>
        <v>0</v>
      </c>
      <c r="Y174" s="28">
        <f>IF(Y173=0,0,Y173*MAX(0,(INDEX(c_CAMy,1,Y$7)-INDEX(c_CAMy,1,INDEX('Lease Cycles'!$GC$17:$GI$17,1,Y163)+1))*(1+'Lease Cycles'!$AK$17)+(INDEX(c_TAXy,1,Y$7)-INDEX(c_TAXy,1,INDEX('Lease Cycles'!$GC$17:$GI$17,1,Y163)+1))+(INDEX(c_INSy,1,Y$7)-INDEX(c_INSy,1,INDEX('Lease Cycles'!$GC$17:$GI$17,1,Y163)+1)))/12)</f>
        <v>0</v>
      </c>
      <c r="Z174" s="28">
        <f>IF(Z173=0,0,Z173*MAX(0,(INDEX(c_CAMy,1,Z$7)-INDEX(c_CAMy,1,INDEX('Lease Cycles'!$GC$17:$GI$17,1,Z163)+1))*(1+'Lease Cycles'!$AK$17)+(INDEX(c_TAXy,1,Z$7)-INDEX(c_TAXy,1,INDEX('Lease Cycles'!$GC$17:$GI$17,1,Z163)+1))+(INDEX(c_INSy,1,Z$7)-INDEX(c_INSy,1,INDEX('Lease Cycles'!$GC$17:$GI$17,1,Z163)+1)))/12)</f>
        <v>0</v>
      </c>
      <c r="AA174" s="28">
        <f>IF(AA173=0,0,AA173*MAX(0,(INDEX(c_CAMy,1,AA$7)-INDEX(c_CAMy,1,INDEX('Lease Cycles'!$GC$17:$GI$17,1,AA163)+1))*(1+'Lease Cycles'!$AK$17)+(INDEX(c_TAXy,1,AA$7)-INDEX(c_TAXy,1,INDEX('Lease Cycles'!$GC$17:$GI$17,1,AA163)+1))+(INDEX(c_INSy,1,AA$7)-INDEX(c_INSy,1,INDEX('Lease Cycles'!$GC$17:$GI$17,1,AA163)+1)))/12)</f>
        <v>0</v>
      </c>
      <c r="AB174" s="28">
        <f>IF(AB173=0,0,AB173*MAX(0,(INDEX(c_CAMy,1,AB$7)-INDEX(c_CAMy,1,INDEX('Lease Cycles'!$GC$17:$GI$17,1,AB163)+1))*(1+'Lease Cycles'!$AK$17)+(INDEX(c_TAXy,1,AB$7)-INDEX(c_TAXy,1,INDEX('Lease Cycles'!$GC$17:$GI$17,1,AB163)+1))+(INDEX(c_INSy,1,AB$7)-INDEX(c_INSy,1,INDEX('Lease Cycles'!$GC$17:$GI$17,1,AB163)+1)))/12)</f>
        <v>0</v>
      </c>
      <c r="AC174" s="28">
        <f>IF(AC173=0,0,AC173*MAX(0,(INDEX(c_CAMy,1,AC$7)-INDEX(c_CAMy,1,INDEX('Lease Cycles'!$GC$17:$GI$17,1,AC163)+1))*(1+'Lease Cycles'!$AK$17)+(INDEX(c_TAXy,1,AC$7)-INDEX(c_TAXy,1,INDEX('Lease Cycles'!$GC$17:$GI$17,1,AC163)+1))+(INDEX(c_INSy,1,AC$7)-INDEX(c_INSy,1,INDEX('Lease Cycles'!$GC$17:$GI$17,1,AC163)+1)))/12)</f>
        <v>0</v>
      </c>
      <c r="AD174" s="28">
        <f>IF(AD173=0,0,AD173*MAX(0,(INDEX(c_CAMy,1,AD$7)-INDEX(c_CAMy,1,INDEX('Lease Cycles'!$GC$17:$GI$17,1,AD163)+1))*(1+'Lease Cycles'!$AK$17)+(INDEX(c_TAXy,1,AD$7)-INDEX(c_TAXy,1,INDEX('Lease Cycles'!$GC$17:$GI$17,1,AD163)+1))+(INDEX(c_INSy,1,AD$7)-INDEX(c_INSy,1,INDEX('Lease Cycles'!$GC$17:$GI$17,1,AD163)+1)))/12)</f>
        <v>0</v>
      </c>
      <c r="AE174" s="28">
        <f>IF(AE173=0,0,AE173*MAX(0,(INDEX(c_CAMy,1,AE$7)-INDEX(c_CAMy,1,INDEX('Lease Cycles'!$GC$17:$GI$17,1,AE163)+1))*(1+'Lease Cycles'!$AK$17)+(INDEX(c_TAXy,1,AE$7)-INDEX(c_TAXy,1,INDEX('Lease Cycles'!$GC$17:$GI$17,1,AE163)+1))+(INDEX(c_INSy,1,AE$7)-INDEX(c_INSy,1,INDEX('Lease Cycles'!$GC$17:$GI$17,1,AE163)+1)))/12)</f>
        <v>0</v>
      </c>
      <c r="AF174" s="28">
        <f>IF(AF173=0,0,AF173*MAX(0,(INDEX(c_CAMy,1,AF$7)-INDEX(c_CAMy,1,INDEX('Lease Cycles'!$GC$17:$GI$17,1,AF163)+1))*(1+'Lease Cycles'!$AK$17)+(INDEX(c_TAXy,1,AF$7)-INDEX(c_TAXy,1,INDEX('Lease Cycles'!$GC$17:$GI$17,1,AF163)+1))+(INDEX(c_INSy,1,AF$7)-INDEX(c_INSy,1,INDEX('Lease Cycles'!$GC$17:$GI$17,1,AF163)+1)))/12)</f>
        <v>0</v>
      </c>
      <c r="AG174" s="28">
        <f>IF(AG173=0,0,AG173*MAX(0,(INDEX(c_CAMy,1,AG$7)-INDEX(c_CAMy,1,INDEX('Lease Cycles'!$GC$17:$GI$17,1,AG163)+1))*(1+'Lease Cycles'!$AK$17)+(INDEX(c_TAXy,1,AG$7)-INDEX(c_TAXy,1,INDEX('Lease Cycles'!$GC$17:$GI$17,1,AG163)+1))+(INDEX(c_INSy,1,AG$7)-INDEX(c_INSy,1,INDEX('Lease Cycles'!$GC$17:$GI$17,1,AG163)+1)))/12)</f>
        <v>0</v>
      </c>
      <c r="AH174" s="28">
        <f>IF(AH173=0,0,AH173*MAX(0,(INDEX(c_CAMy,1,AH$7)-INDEX(c_CAMy,1,INDEX('Lease Cycles'!$GC$17:$GI$17,1,AH163)+1))*(1+'Lease Cycles'!$AK$17)+(INDEX(c_TAXy,1,AH$7)-INDEX(c_TAXy,1,INDEX('Lease Cycles'!$GC$17:$GI$17,1,AH163)+1))+(INDEX(c_INSy,1,AH$7)-INDEX(c_INSy,1,INDEX('Lease Cycles'!$GC$17:$GI$17,1,AH163)+1)))/12)</f>
        <v>0</v>
      </c>
      <c r="AI174" s="28">
        <f>IF(AI173=0,0,AI173*MAX(0,(INDEX(c_CAMy,1,AI$7)-INDEX(c_CAMy,1,INDEX('Lease Cycles'!$GC$17:$GI$17,1,AI163)+1))*(1+'Lease Cycles'!$AK$17)+(INDEX(c_TAXy,1,AI$7)-INDEX(c_TAXy,1,INDEX('Lease Cycles'!$GC$17:$GI$17,1,AI163)+1))+(INDEX(c_INSy,1,AI$7)-INDEX(c_INSy,1,INDEX('Lease Cycles'!$GC$17:$GI$17,1,AI163)+1)))/12)</f>
        <v>0</v>
      </c>
      <c r="AJ174" s="28">
        <f>IF(AJ173=0,0,AJ173*MAX(0,(INDEX(c_CAMy,1,AJ$7)-INDEX(c_CAMy,1,INDEX('Lease Cycles'!$GC$17:$GI$17,1,AJ163)+1))*(1+'Lease Cycles'!$AK$17)+(INDEX(c_TAXy,1,AJ$7)-INDEX(c_TAXy,1,INDEX('Lease Cycles'!$GC$17:$GI$17,1,AJ163)+1))+(INDEX(c_INSy,1,AJ$7)-INDEX(c_INSy,1,INDEX('Lease Cycles'!$GC$17:$GI$17,1,AJ163)+1)))/12)</f>
        <v>0</v>
      </c>
      <c r="AK174" s="28">
        <f>IF(AK173=0,0,AK173*MAX(0,(INDEX(c_CAMy,1,AK$7)-INDEX(c_CAMy,1,INDEX('Lease Cycles'!$GC$17:$GI$17,1,AK163)+1))*(1+'Lease Cycles'!$AK$17)+(INDEX(c_TAXy,1,AK$7)-INDEX(c_TAXy,1,INDEX('Lease Cycles'!$GC$17:$GI$17,1,AK163)+1))+(INDEX(c_INSy,1,AK$7)-INDEX(c_INSy,1,INDEX('Lease Cycles'!$GC$17:$GI$17,1,AK163)+1)))/12)</f>
        <v>0</v>
      </c>
      <c r="AL174" s="28">
        <f>IF(AL173=0,0,AL173*MAX(0,(INDEX(c_CAMy,1,AL$7)-INDEX(c_CAMy,1,INDEX('Lease Cycles'!$GC$17:$GI$17,1,AL163)+1))*(1+'Lease Cycles'!$AK$17)+(INDEX(c_TAXy,1,AL$7)-INDEX(c_TAXy,1,INDEX('Lease Cycles'!$GC$17:$GI$17,1,AL163)+1))+(INDEX(c_INSy,1,AL$7)-INDEX(c_INSy,1,INDEX('Lease Cycles'!$GC$17:$GI$17,1,AL163)+1)))/12)</f>
        <v>0</v>
      </c>
      <c r="AM174" s="28">
        <f>IF(AM173=0,0,AM173*MAX(0,(INDEX(c_CAMy,1,AM$7)-INDEX(c_CAMy,1,INDEX('Lease Cycles'!$GC$17:$GI$17,1,AM163)+1))*(1+'Lease Cycles'!$AK$17)+(INDEX(c_TAXy,1,AM$7)-INDEX(c_TAXy,1,INDEX('Lease Cycles'!$GC$17:$GI$17,1,AM163)+1))+(INDEX(c_INSy,1,AM$7)-INDEX(c_INSy,1,INDEX('Lease Cycles'!$GC$17:$GI$17,1,AM163)+1)))/12)</f>
        <v>0</v>
      </c>
      <c r="AN174" s="28">
        <f>IF(AN173=0,0,AN173*MAX(0,(INDEX(c_CAMy,1,AN$7)-INDEX(c_CAMy,1,INDEX('Lease Cycles'!$GC$17:$GI$17,1,AN163)+1))*(1+'Lease Cycles'!$AK$17)+(INDEX(c_TAXy,1,AN$7)-INDEX(c_TAXy,1,INDEX('Lease Cycles'!$GC$17:$GI$17,1,AN163)+1))+(INDEX(c_INSy,1,AN$7)-INDEX(c_INSy,1,INDEX('Lease Cycles'!$GC$17:$GI$17,1,AN163)+1)))/12)</f>
        <v>0</v>
      </c>
      <c r="AO174" s="28">
        <f>IF(AO173=0,0,AO173*MAX(0,(INDEX(c_CAMy,1,AO$7)-INDEX(c_CAMy,1,INDEX('Lease Cycles'!$GC$17:$GI$17,1,AO163)+1))*(1+'Lease Cycles'!$AK$17)+(INDEX(c_TAXy,1,AO$7)-INDEX(c_TAXy,1,INDEX('Lease Cycles'!$GC$17:$GI$17,1,AO163)+1))+(INDEX(c_INSy,1,AO$7)-INDEX(c_INSy,1,INDEX('Lease Cycles'!$GC$17:$GI$17,1,AO163)+1)))/12)</f>
        <v>0</v>
      </c>
      <c r="AP174" s="28">
        <f>IF(AP173=0,0,AP173*MAX(0,(INDEX(c_CAMy,1,AP$7)-INDEX(c_CAMy,1,INDEX('Lease Cycles'!$GC$17:$GI$17,1,AP163)+1))*(1+'Lease Cycles'!$AK$17)+(INDEX(c_TAXy,1,AP$7)-INDEX(c_TAXy,1,INDEX('Lease Cycles'!$GC$17:$GI$17,1,AP163)+1))+(INDEX(c_INSy,1,AP$7)-INDEX(c_INSy,1,INDEX('Lease Cycles'!$GC$17:$GI$17,1,AP163)+1)))/12)</f>
        <v>0</v>
      </c>
      <c r="AQ174" s="28">
        <f>IF(AQ173=0,0,AQ173*MAX(0,(INDEX(c_CAMy,1,AQ$7)-INDEX(c_CAMy,1,INDEX('Lease Cycles'!$GC$17:$GI$17,1,AQ163)+1))*(1+'Lease Cycles'!$AK$17)+(INDEX(c_TAXy,1,AQ$7)-INDEX(c_TAXy,1,INDEX('Lease Cycles'!$GC$17:$GI$17,1,AQ163)+1))+(INDEX(c_INSy,1,AQ$7)-INDEX(c_INSy,1,INDEX('Lease Cycles'!$GC$17:$GI$17,1,AQ163)+1)))/12)</f>
        <v>0</v>
      </c>
      <c r="AR174" s="28">
        <f>IF(AR173=0,0,AR173*MAX(0,(INDEX(c_CAMy,1,AR$7)-INDEX(c_CAMy,1,INDEX('Lease Cycles'!$GC$17:$GI$17,1,AR163)+1))*(1+'Lease Cycles'!$AK$17)+(INDEX(c_TAXy,1,AR$7)-INDEX(c_TAXy,1,INDEX('Lease Cycles'!$GC$17:$GI$17,1,AR163)+1))+(INDEX(c_INSy,1,AR$7)-INDEX(c_INSy,1,INDEX('Lease Cycles'!$GC$17:$GI$17,1,AR163)+1)))/12)</f>
        <v>0</v>
      </c>
      <c r="AS174" s="28">
        <f>IF(AS173=0,0,AS173*MAX(0,(INDEX(c_CAMy,1,AS$7)-INDEX(c_CAMy,1,INDEX('Lease Cycles'!$GC$17:$GI$17,1,AS163)+1))*(1+'Lease Cycles'!$AK$17)+(INDEX(c_TAXy,1,AS$7)-INDEX(c_TAXy,1,INDEX('Lease Cycles'!$GC$17:$GI$17,1,AS163)+1))+(INDEX(c_INSy,1,AS$7)-INDEX(c_INSy,1,INDEX('Lease Cycles'!$GC$17:$GI$17,1,AS163)+1)))/12)</f>
        <v>0</v>
      </c>
      <c r="AT174" s="28">
        <f>IF(AT173=0,0,AT173*MAX(0,(INDEX(c_CAMy,1,AT$7)-INDEX(c_CAMy,1,INDEX('Lease Cycles'!$GC$17:$GI$17,1,AT163)+1))*(1+'Lease Cycles'!$AK$17)+(INDEX(c_TAXy,1,AT$7)-INDEX(c_TAXy,1,INDEX('Lease Cycles'!$GC$17:$GI$17,1,AT163)+1))+(INDEX(c_INSy,1,AT$7)-INDEX(c_INSy,1,INDEX('Lease Cycles'!$GC$17:$GI$17,1,AT163)+1)))/12)</f>
        <v>0</v>
      </c>
      <c r="AU174" s="28">
        <f>IF(AU173=0,0,AU173*MAX(0,(INDEX(c_CAMy,1,AU$7)-INDEX(c_CAMy,1,INDEX('Lease Cycles'!$GC$17:$GI$17,1,AU163)+1))*(1+'Lease Cycles'!$AK$17)+(INDEX(c_TAXy,1,AU$7)-INDEX(c_TAXy,1,INDEX('Lease Cycles'!$GC$17:$GI$17,1,AU163)+1))+(INDEX(c_INSy,1,AU$7)-INDEX(c_INSy,1,INDEX('Lease Cycles'!$GC$17:$GI$17,1,AU163)+1)))/12)</f>
        <v>0</v>
      </c>
      <c r="AV174" s="28">
        <f>IF(AV173=0,0,AV173*MAX(0,(INDEX(c_CAMy,1,AV$7)-INDEX(c_CAMy,1,INDEX('Lease Cycles'!$GC$17:$GI$17,1,AV163)+1))*(1+'Lease Cycles'!$AK$17)+(INDEX(c_TAXy,1,AV$7)-INDEX(c_TAXy,1,INDEX('Lease Cycles'!$GC$17:$GI$17,1,AV163)+1))+(INDEX(c_INSy,1,AV$7)-INDEX(c_INSy,1,INDEX('Lease Cycles'!$GC$17:$GI$17,1,AV163)+1)))/12)</f>
        <v>0</v>
      </c>
      <c r="AW174" s="28">
        <f>IF(AW173=0,0,AW173*MAX(0,(INDEX(c_CAMy,1,AW$7)-INDEX(c_CAMy,1,INDEX('Lease Cycles'!$GC$17:$GI$17,1,AW163)+1))*(1+'Lease Cycles'!$AK$17)+(INDEX(c_TAXy,1,AW$7)-INDEX(c_TAXy,1,INDEX('Lease Cycles'!$GC$17:$GI$17,1,AW163)+1))+(INDEX(c_INSy,1,AW$7)-INDEX(c_INSy,1,INDEX('Lease Cycles'!$GC$17:$GI$17,1,AW163)+1)))/12)</f>
        <v>0</v>
      </c>
      <c r="AX174" s="28">
        <f>IF(AX173=0,0,AX173*MAX(0,(INDEX(c_CAMy,1,AX$7)-INDEX(c_CAMy,1,INDEX('Lease Cycles'!$GC$17:$GI$17,1,AX163)+1))*(1+'Lease Cycles'!$AK$17)+(INDEX(c_TAXy,1,AX$7)-INDEX(c_TAXy,1,INDEX('Lease Cycles'!$GC$17:$GI$17,1,AX163)+1))+(INDEX(c_INSy,1,AX$7)-INDEX(c_INSy,1,INDEX('Lease Cycles'!$GC$17:$GI$17,1,AX163)+1)))/12)</f>
        <v>0</v>
      </c>
      <c r="AY174" s="28">
        <f>IF(AY173=0,0,AY173*MAX(0,(INDEX(c_CAMy,1,AY$7)-INDEX(c_CAMy,1,INDEX('Lease Cycles'!$GC$17:$GI$17,1,AY163)+1))*(1+'Lease Cycles'!$AK$17)+(INDEX(c_TAXy,1,AY$7)-INDEX(c_TAXy,1,INDEX('Lease Cycles'!$GC$17:$GI$17,1,AY163)+1))+(INDEX(c_INSy,1,AY$7)-INDEX(c_INSy,1,INDEX('Lease Cycles'!$GC$17:$GI$17,1,AY163)+1)))/12)</f>
        <v>0</v>
      </c>
      <c r="AZ174" s="28">
        <f>IF(AZ173=0,0,AZ173*MAX(0,(INDEX(c_CAMy,1,AZ$7)-INDEX(c_CAMy,1,INDEX('Lease Cycles'!$GC$17:$GI$17,1,AZ163)+1))*(1+'Lease Cycles'!$AK$17)+(INDEX(c_TAXy,1,AZ$7)-INDEX(c_TAXy,1,INDEX('Lease Cycles'!$GC$17:$GI$17,1,AZ163)+1))+(INDEX(c_INSy,1,AZ$7)-INDEX(c_INSy,1,INDEX('Lease Cycles'!$GC$17:$GI$17,1,AZ163)+1)))/12)</f>
        <v>0</v>
      </c>
      <c r="BA174" s="28">
        <f>IF(BA173=0,0,BA173*MAX(0,(INDEX(c_CAMy,1,BA$7)-INDEX(c_CAMy,1,INDEX('Lease Cycles'!$GC$17:$GI$17,1,BA163)+1))*(1+'Lease Cycles'!$AK$17)+(INDEX(c_TAXy,1,BA$7)-INDEX(c_TAXy,1,INDEX('Lease Cycles'!$GC$17:$GI$17,1,BA163)+1))+(INDEX(c_INSy,1,BA$7)-INDEX(c_INSy,1,INDEX('Lease Cycles'!$GC$17:$GI$17,1,BA163)+1)))/12)</f>
        <v>0</v>
      </c>
      <c r="BB174" s="28">
        <f>IF(BB173=0,0,BB173*MAX(0,(INDEX(c_CAMy,1,BB$7)-INDEX(c_CAMy,1,INDEX('Lease Cycles'!$GC$17:$GI$17,1,BB163)+1))*(1+'Lease Cycles'!$AK$17)+(INDEX(c_TAXy,1,BB$7)-INDEX(c_TAXy,1,INDEX('Lease Cycles'!$GC$17:$GI$17,1,BB163)+1))+(INDEX(c_INSy,1,BB$7)-INDEX(c_INSy,1,INDEX('Lease Cycles'!$GC$17:$GI$17,1,BB163)+1)))/12)</f>
        <v>0</v>
      </c>
      <c r="BC174" s="28">
        <f>IF(BC173=0,0,BC173*MAX(0,(INDEX(c_CAMy,1,BC$7)-INDEX(c_CAMy,1,INDEX('Lease Cycles'!$GC$17:$GI$17,1,BC163)+1))*(1+'Lease Cycles'!$AK$17)+(INDEX(c_TAXy,1,BC$7)-INDEX(c_TAXy,1,INDEX('Lease Cycles'!$GC$17:$GI$17,1,BC163)+1))+(INDEX(c_INSy,1,BC$7)-INDEX(c_INSy,1,INDEX('Lease Cycles'!$GC$17:$GI$17,1,BC163)+1)))/12)</f>
        <v>0</v>
      </c>
      <c r="BD174" s="28">
        <f>IF(BD173=0,0,BD173*MAX(0,(INDEX(c_CAMy,1,BD$7)-INDEX(c_CAMy,1,INDEX('Lease Cycles'!$GC$17:$GI$17,1,BD163)+1))*(1+'Lease Cycles'!$AK$17)+(INDEX(c_TAXy,1,BD$7)-INDEX(c_TAXy,1,INDEX('Lease Cycles'!$GC$17:$GI$17,1,BD163)+1))+(INDEX(c_INSy,1,BD$7)-INDEX(c_INSy,1,INDEX('Lease Cycles'!$GC$17:$GI$17,1,BD163)+1)))/12)</f>
        <v>0</v>
      </c>
      <c r="BE174" s="28">
        <f>IF(BE173=0,0,BE173*MAX(0,(INDEX(c_CAMy,1,BE$7)-INDEX(c_CAMy,1,INDEX('Lease Cycles'!$GC$17:$GI$17,1,BE163)+1))*(1+'Lease Cycles'!$AK$17)+(INDEX(c_TAXy,1,BE$7)-INDEX(c_TAXy,1,INDEX('Lease Cycles'!$GC$17:$GI$17,1,BE163)+1))+(INDEX(c_INSy,1,BE$7)-INDEX(c_INSy,1,INDEX('Lease Cycles'!$GC$17:$GI$17,1,BE163)+1)))/12)</f>
        <v>0</v>
      </c>
      <c r="BF174" s="28">
        <f>IF(BF173=0,0,BF173*MAX(0,(INDEX(c_CAMy,1,BF$7)-INDEX(c_CAMy,1,INDEX('Lease Cycles'!$GC$17:$GI$17,1,BF163)+1))*(1+'Lease Cycles'!$AK$17)+(INDEX(c_TAXy,1,BF$7)-INDEX(c_TAXy,1,INDEX('Lease Cycles'!$GC$17:$GI$17,1,BF163)+1))+(INDEX(c_INSy,1,BF$7)-INDEX(c_INSy,1,INDEX('Lease Cycles'!$GC$17:$GI$17,1,BF163)+1)))/12)</f>
        <v>0</v>
      </c>
      <c r="BG174" s="28">
        <f>IF(BG173=0,0,BG173*MAX(0,(INDEX(c_CAMy,1,BG$7)-INDEX(c_CAMy,1,INDEX('Lease Cycles'!$GC$17:$GI$17,1,BG163)+1))*(1+'Lease Cycles'!$AK$17)+(INDEX(c_TAXy,1,BG$7)-INDEX(c_TAXy,1,INDEX('Lease Cycles'!$GC$17:$GI$17,1,BG163)+1))+(INDEX(c_INSy,1,BG$7)-INDEX(c_INSy,1,INDEX('Lease Cycles'!$GC$17:$GI$17,1,BG163)+1)))/12)</f>
        <v>0</v>
      </c>
      <c r="BH174" s="28">
        <f>IF(BH173=0,0,BH173*MAX(0,(INDEX(c_CAMy,1,BH$7)-INDEX(c_CAMy,1,INDEX('Lease Cycles'!$GC$17:$GI$17,1,BH163)+1))*(1+'Lease Cycles'!$AK$17)+(INDEX(c_TAXy,1,BH$7)-INDEX(c_TAXy,1,INDEX('Lease Cycles'!$GC$17:$GI$17,1,BH163)+1))+(INDEX(c_INSy,1,BH$7)-INDEX(c_INSy,1,INDEX('Lease Cycles'!$GC$17:$GI$17,1,BH163)+1)))/12)</f>
        <v>0</v>
      </c>
      <c r="BI174" s="28">
        <f>IF(BI173=0,0,BI173*MAX(0,(INDEX(c_CAMy,1,BI$7)-INDEX(c_CAMy,1,INDEX('Lease Cycles'!$GC$17:$GI$17,1,BI163)+1))*(1+'Lease Cycles'!$AK$17)+(INDEX(c_TAXy,1,BI$7)-INDEX(c_TAXy,1,INDEX('Lease Cycles'!$GC$17:$GI$17,1,BI163)+1))+(INDEX(c_INSy,1,BI$7)-INDEX(c_INSy,1,INDEX('Lease Cycles'!$GC$17:$GI$17,1,BI163)+1)))/12)</f>
        <v>0</v>
      </c>
      <c r="BJ174" s="28">
        <f>IF(BJ173=0,0,BJ173*MAX(0,(INDEX(c_CAMy,1,BJ$7)-INDEX(c_CAMy,1,INDEX('Lease Cycles'!$GC$17:$GI$17,1,BJ163)+1))*(1+'Lease Cycles'!$AK$17)+(INDEX(c_TAXy,1,BJ$7)-INDEX(c_TAXy,1,INDEX('Lease Cycles'!$GC$17:$GI$17,1,BJ163)+1))+(INDEX(c_INSy,1,BJ$7)-INDEX(c_INSy,1,INDEX('Lease Cycles'!$GC$17:$GI$17,1,BJ163)+1)))/12)</f>
        <v>0</v>
      </c>
      <c r="BK174" s="28">
        <f>IF(BK173=0,0,BK173*MAX(0,(INDEX(c_CAMy,1,BK$7)-INDEX(c_CAMy,1,INDEX('Lease Cycles'!$GC$17:$GI$17,1,BK163)+1))*(1+'Lease Cycles'!$AK$17)+(INDEX(c_TAXy,1,BK$7)-INDEX(c_TAXy,1,INDEX('Lease Cycles'!$GC$17:$GI$17,1,BK163)+1))+(INDEX(c_INSy,1,BK$7)-INDEX(c_INSy,1,INDEX('Lease Cycles'!$GC$17:$GI$17,1,BK163)+1)))/12)</f>
        <v>0</v>
      </c>
      <c r="BL174" s="28">
        <f>IF(BL173=0,0,BL173*MAX(0,(INDEX(c_CAMy,1,BL$7)-INDEX(c_CAMy,1,INDEX('Lease Cycles'!$GC$17:$GI$17,1,BL163)+1))*(1+'Lease Cycles'!$AK$17)+(INDEX(c_TAXy,1,BL$7)-INDEX(c_TAXy,1,INDEX('Lease Cycles'!$GC$17:$GI$17,1,BL163)+1))+(INDEX(c_INSy,1,BL$7)-INDEX(c_INSy,1,INDEX('Lease Cycles'!$GC$17:$GI$17,1,BL163)+1)))/12)</f>
        <v>0</v>
      </c>
      <c r="BM174" s="28">
        <f>IF(BM173=0,0,BM173*MAX(0,(INDEX(c_CAMy,1,BM$7)-INDEX(c_CAMy,1,INDEX('Lease Cycles'!$GC$17:$GI$17,1,BM163)+1))*(1+'Lease Cycles'!$AK$17)+(INDEX(c_TAXy,1,BM$7)-INDEX(c_TAXy,1,INDEX('Lease Cycles'!$GC$17:$GI$17,1,BM163)+1))+(INDEX(c_INSy,1,BM$7)-INDEX(c_INSy,1,INDEX('Lease Cycles'!$GC$17:$GI$17,1,BM163)+1)))/12)</f>
        <v>0</v>
      </c>
      <c r="BN174" s="28">
        <f>IF(BN173=0,0,BN173*MAX(0,(INDEX(c_CAMy,1,BN$7)-INDEX(c_CAMy,1,INDEX('Lease Cycles'!$GC$17:$GI$17,1,BN163)+1))*(1+'Lease Cycles'!$AK$17)+(INDEX(c_TAXy,1,BN$7)-INDEX(c_TAXy,1,INDEX('Lease Cycles'!$GC$17:$GI$17,1,BN163)+1))+(INDEX(c_INSy,1,BN$7)-INDEX(c_INSy,1,INDEX('Lease Cycles'!$GC$17:$GI$17,1,BN163)+1)))/12)</f>
        <v>0</v>
      </c>
      <c r="BO174" s="28">
        <f>IF(BO173=0,0,BO173*MAX(0,(INDEX(c_CAMy,1,BO$7)-INDEX(c_CAMy,1,INDEX('Lease Cycles'!$GC$17:$GI$17,1,BO163)+1))*(1+'Lease Cycles'!$AK$17)+(INDEX(c_TAXy,1,BO$7)-INDEX(c_TAXy,1,INDEX('Lease Cycles'!$GC$17:$GI$17,1,BO163)+1))+(INDEX(c_INSy,1,BO$7)-INDEX(c_INSy,1,INDEX('Lease Cycles'!$GC$17:$GI$17,1,BO163)+1)))/12)</f>
        <v>0</v>
      </c>
      <c r="BP174" s="28">
        <f>IF(BP173=0,0,BP173*MAX(0,(INDEX(c_CAMy,1,BP$7)-INDEX(c_CAMy,1,INDEX('Lease Cycles'!$GC$17:$GI$17,1,BP163)+1))*(1+'Lease Cycles'!$AK$17)+(INDEX(c_TAXy,1,BP$7)-INDEX(c_TAXy,1,INDEX('Lease Cycles'!$GC$17:$GI$17,1,BP163)+1))+(INDEX(c_INSy,1,BP$7)-INDEX(c_INSy,1,INDEX('Lease Cycles'!$GC$17:$GI$17,1,BP163)+1)))/12)</f>
        <v>0</v>
      </c>
      <c r="BQ174" s="28">
        <f>IF(BQ173=0,0,BQ173*MAX(0,(INDEX(c_CAMy,1,BQ$7)-INDEX(c_CAMy,1,INDEX('Lease Cycles'!$GC$17:$GI$17,1,BQ163)+1))*(1+'Lease Cycles'!$AK$17)+(INDEX(c_TAXy,1,BQ$7)-INDEX(c_TAXy,1,INDEX('Lease Cycles'!$GC$17:$GI$17,1,BQ163)+1))+(INDEX(c_INSy,1,BQ$7)-INDEX(c_INSy,1,INDEX('Lease Cycles'!$GC$17:$GI$17,1,BQ163)+1)))/12)</f>
        <v>0</v>
      </c>
      <c r="BR174" s="28">
        <f>IF(BR173=0,0,BR173*MAX(0,(INDEX(c_CAMy,1,BR$7)-INDEX(c_CAMy,1,INDEX('Lease Cycles'!$GC$17:$GI$17,1,BR163)+1))*(1+'Lease Cycles'!$AK$17)+(INDEX(c_TAXy,1,BR$7)-INDEX(c_TAXy,1,INDEX('Lease Cycles'!$GC$17:$GI$17,1,BR163)+1))+(INDEX(c_INSy,1,BR$7)-INDEX(c_INSy,1,INDEX('Lease Cycles'!$GC$17:$GI$17,1,BR163)+1)))/12)</f>
        <v>0</v>
      </c>
      <c r="BS174" s="28">
        <f>IF(BS173=0,0,BS173*MAX(0,(INDEX(c_CAMy,1,BS$7)-INDEX(c_CAMy,1,INDEX('Lease Cycles'!$GC$17:$GI$17,1,BS163)+1))*(1+'Lease Cycles'!$AK$17)+(INDEX(c_TAXy,1,BS$7)-INDEX(c_TAXy,1,INDEX('Lease Cycles'!$GC$17:$GI$17,1,BS163)+1))+(INDEX(c_INSy,1,BS$7)-INDEX(c_INSy,1,INDEX('Lease Cycles'!$GC$17:$GI$17,1,BS163)+1)))/12)</f>
        <v>0</v>
      </c>
      <c r="BT174" s="28">
        <f>IF(BT173=0,0,BT173*MAX(0,(INDEX(c_CAMy,1,BT$7)-INDEX(c_CAMy,1,INDEX('Lease Cycles'!$GC$17:$GI$17,1,BT163)+1))*(1+'Lease Cycles'!$AK$17)+(INDEX(c_TAXy,1,BT$7)-INDEX(c_TAXy,1,INDEX('Lease Cycles'!$GC$17:$GI$17,1,BT163)+1))+(INDEX(c_INSy,1,BT$7)-INDEX(c_INSy,1,INDEX('Lease Cycles'!$GC$17:$GI$17,1,BT163)+1)))/12)</f>
        <v>0</v>
      </c>
      <c r="BU174" s="28">
        <f>IF(BU173=0,0,BU173*MAX(0,(INDEX(c_CAMy,1,BU$7)-INDEX(c_CAMy,1,INDEX('Lease Cycles'!$GC$17:$GI$17,1,BU163)+1))*(1+'Lease Cycles'!$AK$17)+(INDEX(c_TAXy,1,BU$7)-INDEX(c_TAXy,1,INDEX('Lease Cycles'!$GC$17:$GI$17,1,BU163)+1))+(INDEX(c_INSy,1,BU$7)-INDEX(c_INSy,1,INDEX('Lease Cycles'!$GC$17:$GI$17,1,BU163)+1)))/12)</f>
        <v>0</v>
      </c>
      <c r="BV174" s="28">
        <f>IF(BV173=0,0,BV173*MAX(0,(INDEX(c_CAMy,1,BV$7)-INDEX(c_CAMy,1,INDEX('Lease Cycles'!$GC$17:$GI$17,1,BV163)+1))*(1+'Lease Cycles'!$AK$17)+(INDEX(c_TAXy,1,BV$7)-INDEX(c_TAXy,1,INDEX('Lease Cycles'!$GC$17:$GI$17,1,BV163)+1))+(INDEX(c_INSy,1,BV$7)-INDEX(c_INSy,1,INDEX('Lease Cycles'!$GC$17:$GI$17,1,BV163)+1)))/12)</f>
        <v>0</v>
      </c>
      <c r="BW174" s="28">
        <f>IF(BW173=0,0,BW173*MAX(0,(INDEX(c_CAMy,1,BW$7)-INDEX(c_CAMy,1,INDEX('Lease Cycles'!$GC$17:$GI$17,1,BW163)+1))*(1+'Lease Cycles'!$AK$17)+(INDEX(c_TAXy,1,BW$7)-INDEX(c_TAXy,1,INDEX('Lease Cycles'!$GC$17:$GI$17,1,BW163)+1))+(INDEX(c_INSy,1,BW$7)-INDEX(c_INSy,1,INDEX('Lease Cycles'!$GC$17:$GI$17,1,BW163)+1)))/12)</f>
        <v>0</v>
      </c>
      <c r="BX174" s="28">
        <f>IF(BX173=0,0,BX173*MAX(0,(INDEX(c_CAMy,1,BX$7)-INDEX(c_CAMy,1,INDEX('Lease Cycles'!$GC$17:$GI$17,1,BX163)+1))*(1+'Lease Cycles'!$AK$17)+(INDEX(c_TAXy,1,BX$7)-INDEX(c_TAXy,1,INDEX('Lease Cycles'!$GC$17:$GI$17,1,BX163)+1))+(INDEX(c_INSy,1,BX$7)-INDEX(c_INSy,1,INDEX('Lease Cycles'!$GC$17:$GI$17,1,BX163)+1)))/12)</f>
        <v>0</v>
      </c>
      <c r="BY174" s="28">
        <f>IF(BY173=0,0,BY173*MAX(0,(INDEX(c_CAMy,1,BY$7)-INDEX(c_CAMy,1,INDEX('Lease Cycles'!$GC$17:$GI$17,1,BY163)+1))*(1+'Lease Cycles'!$AK$17)+(INDEX(c_TAXy,1,BY$7)-INDEX(c_TAXy,1,INDEX('Lease Cycles'!$GC$17:$GI$17,1,BY163)+1))+(INDEX(c_INSy,1,BY$7)-INDEX(c_INSy,1,INDEX('Lease Cycles'!$GC$17:$GI$17,1,BY163)+1)))/12)</f>
        <v>0</v>
      </c>
      <c r="BZ174" s="28">
        <f>IF(BZ173=0,0,BZ173*MAX(0,(INDEX(c_CAMy,1,BZ$7)-INDEX(c_CAMy,1,INDEX('Lease Cycles'!$GC$17:$GI$17,1,BZ163)+1))*(1+'Lease Cycles'!$AK$17)+(INDEX(c_TAXy,1,BZ$7)-INDEX(c_TAXy,1,INDEX('Lease Cycles'!$GC$17:$GI$17,1,BZ163)+1))+(INDEX(c_INSy,1,BZ$7)-INDEX(c_INSy,1,INDEX('Lease Cycles'!$GC$17:$GI$17,1,BZ163)+1)))/12)</f>
        <v>0</v>
      </c>
      <c r="CA174" s="28">
        <f>IF(CA173=0,0,CA173*MAX(0,(INDEX(c_CAMy,1,CA$7)-INDEX(c_CAMy,1,INDEX('Lease Cycles'!$GC$17:$GI$17,1,CA163)+1))*(1+'Lease Cycles'!$AK$17)+(INDEX(c_TAXy,1,CA$7)-INDEX(c_TAXy,1,INDEX('Lease Cycles'!$GC$17:$GI$17,1,CA163)+1))+(INDEX(c_INSy,1,CA$7)-INDEX(c_INSy,1,INDEX('Lease Cycles'!$GC$17:$GI$17,1,CA163)+1)))/12)</f>
        <v>0</v>
      </c>
      <c r="CB174" s="28">
        <f>IF(CB173=0,0,CB173*MAX(0,(INDEX(c_CAMy,1,CB$7)-INDEX(c_CAMy,1,INDEX('Lease Cycles'!$GC$17:$GI$17,1,CB163)+1))*(1+'Lease Cycles'!$AK$17)+(INDEX(c_TAXy,1,CB$7)-INDEX(c_TAXy,1,INDEX('Lease Cycles'!$GC$17:$GI$17,1,CB163)+1))+(INDEX(c_INSy,1,CB$7)-INDEX(c_INSy,1,INDEX('Lease Cycles'!$GC$17:$GI$17,1,CB163)+1)))/12)</f>
        <v>0</v>
      </c>
      <c r="CC174" s="28">
        <f>IF(CC173=0,0,CC173*MAX(0,(INDEX(c_CAMy,1,CC$7)-INDEX(c_CAMy,1,INDEX('Lease Cycles'!$GC$17:$GI$17,1,CC163)+1))*(1+'Lease Cycles'!$AK$17)+(INDEX(c_TAXy,1,CC$7)-INDEX(c_TAXy,1,INDEX('Lease Cycles'!$GC$17:$GI$17,1,CC163)+1))+(INDEX(c_INSy,1,CC$7)-INDEX(c_INSy,1,INDEX('Lease Cycles'!$GC$17:$GI$17,1,CC163)+1)))/12)</f>
        <v>0</v>
      </c>
      <c r="CD174" s="28">
        <f>IF(CD173=0,0,CD173*MAX(0,(INDEX(c_CAMy,1,CD$7)-INDEX(c_CAMy,1,INDEX('Lease Cycles'!$GC$17:$GI$17,1,CD163)+1))*(1+'Lease Cycles'!$AK$17)+(INDEX(c_TAXy,1,CD$7)-INDEX(c_TAXy,1,INDEX('Lease Cycles'!$GC$17:$GI$17,1,CD163)+1))+(INDEX(c_INSy,1,CD$7)-INDEX(c_INSy,1,INDEX('Lease Cycles'!$GC$17:$GI$17,1,CD163)+1)))/12)</f>
        <v>0</v>
      </c>
      <c r="CE174" s="28">
        <f>IF(CE173=0,0,CE173*MAX(0,(INDEX(c_CAMy,1,CE$7)-INDEX(c_CAMy,1,INDEX('Lease Cycles'!$GC$17:$GI$17,1,CE163)+1))*(1+'Lease Cycles'!$AK$17)+(INDEX(c_TAXy,1,CE$7)-INDEX(c_TAXy,1,INDEX('Lease Cycles'!$GC$17:$GI$17,1,CE163)+1))+(INDEX(c_INSy,1,CE$7)-INDEX(c_INSy,1,INDEX('Lease Cycles'!$GC$17:$GI$17,1,CE163)+1)))/12)</f>
        <v>0</v>
      </c>
      <c r="CF174" s="28">
        <f>IF(CF173=0,0,CF173*MAX(0,(INDEX(c_CAMy,1,CF$7)-INDEX(c_CAMy,1,INDEX('Lease Cycles'!$GC$17:$GI$17,1,CF163)+1))*(1+'Lease Cycles'!$AK$17)+(INDEX(c_TAXy,1,CF$7)-INDEX(c_TAXy,1,INDEX('Lease Cycles'!$GC$17:$GI$17,1,CF163)+1))+(INDEX(c_INSy,1,CF$7)-INDEX(c_INSy,1,INDEX('Lease Cycles'!$GC$17:$GI$17,1,CF163)+1)))/12)</f>
        <v>0</v>
      </c>
      <c r="CG174" s="28">
        <f>IF(CG173=0,0,CG173*MAX(0,(INDEX(c_CAMy,1,CG$7)-INDEX(c_CAMy,1,INDEX('Lease Cycles'!$GC$17:$GI$17,1,CG163)+1))*(1+'Lease Cycles'!$AK$17)+(INDEX(c_TAXy,1,CG$7)-INDEX(c_TAXy,1,INDEX('Lease Cycles'!$GC$17:$GI$17,1,CG163)+1))+(INDEX(c_INSy,1,CG$7)-INDEX(c_INSy,1,INDEX('Lease Cycles'!$GC$17:$GI$17,1,CG163)+1)))/12)</f>
        <v>0</v>
      </c>
      <c r="CH174" s="28">
        <f>IF(CH173=0,0,CH173*MAX(0,(INDEX(c_CAMy,1,CH$7)-INDEX(c_CAMy,1,INDEX('Lease Cycles'!$GC$17:$GI$17,1,CH163)+1))*(1+'Lease Cycles'!$AK$17)+(INDEX(c_TAXy,1,CH$7)-INDEX(c_TAXy,1,INDEX('Lease Cycles'!$GC$17:$GI$17,1,CH163)+1))+(INDEX(c_INSy,1,CH$7)-INDEX(c_INSy,1,INDEX('Lease Cycles'!$GC$17:$GI$17,1,CH163)+1)))/12)</f>
        <v>0</v>
      </c>
      <c r="CI174" s="28">
        <f>IF(CI173=0,0,CI173*MAX(0,(INDEX(c_CAMy,1,CI$7)-INDEX(c_CAMy,1,INDEX('Lease Cycles'!$GC$17:$GI$17,1,CI163)+1))*(1+'Lease Cycles'!$AK$17)+(INDEX(c_TAXy,1,CI$7)-INDEX(c_TAXy,1,INDEX('Lease Cycles'!$GC$17:$GI$17,1,CI163)+1))+(INDEX(c_INSy,1,CI$7)-INDEX(c_INSy,1,INDEX('Lease Cycles'!$GC$17:$GI$17,1,CI163)+1)))/12)</f>
        <v>0</v>
      </c>
      <c r="CJ174" s="28">
        <f>IF(CJ173=0,0,CJ173*MAX(0,(INDEX(c_CAMy,1,CJ$7)-INDEX(c_CAMy,1,INDEX('Lease Cycles'!$GC$17:$GI$17,1,CJ163)+1))*(1+'Lease Cycles'!$AK$17)+(INDEX(c_TAXy,1,CJ$7)-INDEX(c_TAXy,1,INDEX('Lease Cycles'!$GC$17:$GI$17,1,CJ163)+1))+(INDEX(c_INSy,1,CJ$7)-INDEX(c_INSy,1,INDEX('Lease Cycles'!$GC$17:$GI$17,1,CJ163)+1)))/12)</f>
        <v>0</v>
      </c>
      <c r="CK174" s="28">
        <f>IF(CK173=0,0,CK173*MAX(0,(INDEX(c_CAMy,1,CK$7)-INDEX(c_CAMy,1,INDEX('Lease Cycles'!$GC$17:$GI$17,1,CK163)+1))*(1+'Lease Cycles'!$AK$17)+(INDEX(c_TAXy,1,CK$7)-INDEX(c_TAXy,1,INDEX('Lease Cycles'!$GC$17:$GI$17,1,CK163)+1))+(INDEX(c_INSy,1,CK$7)-INDEX(c_INSy,1,INDEX('Lease Cycles'!$GC$17:$GI$17,1,CK163)+1)))/12)</f>
        <v>0</v>
      </c>
      <c r="CL174" s="28">
        <f>IF(CL173=0,0,CL173*MAX(0,(INDEX(c_CAMy,1,CL$7)-INDEX(c_CAMy,1,INDEX('Lease Cycles'!$GC$17:$GI$17,1,CL163)+1))*(1+'Lease Cycles'!$AK$17)+(INDEX(c_TAXy,1,CL$7)-INDEX(c_TAXy,1,INDEX('Lease Cycles'!$GC$17:$GI$17,1,CL163)+1))+(INDEX(c_INSy,1,CL$7)-INDEX(c_INSy,1,INDEX('Lease Cycles'!$GC$17:$GI$17,1,CL163)+1)))/12)</f>
        <v>0</v>
      </c>
      <c r="CM174" s="28">
        <f>IF(CM173=0,0,CM173*MAX(0,(INDEX(c_CAMy,1,CM$7)-INDEX(c_CAMy,1,INDEX('Lease Cycles'!$GC$17:$GI$17,1,CM163)+1))*(1+'Lease Cycles'!$AK$17)+(INDEX(c_TAXy,1,CM$7)-INDEX(c_TAXy,1,INDEX('Lease Cycles'!$GC$17:$GI$17,1,CM163)+1))+(INDEX(c_INSy,1,CM$7)-INDEX(c_INSy,1,INDEX('Lease Cycles'!$GC$17:$GI$17,1,CM163)+1)))/12)</f>
        <v>0</v>
      </c>
      <c r="CN174" s="28">
        <f>IF(CN173=0,0,CN173*MAX(0,(INDEX(c_CAMy,1,CN$7)-INDEX(c_CAMy,1,INDEX('Lease Cycles'!$GC$17:$GI$17,1,CN163)+1))*(1+'Lease Cycles'!$AK$17)+(INDEX(c_TAXy,1,CN$7)-INDEX(c_TAXy,1,INDEX('Lease Cycles'!$GC$17:$GI$17,1,CN163)+1))+(INDEX(c_INSy,1,CN$7)-INDEX(c_INSy,1,INDEX('Lease Cycles'!$GC$17:$GI$17,1,CN163)+1)))/12)</f>
        <v>0</v>
      </c>
      <c r="CO174" s="28">
        <f>IF(CO173=0,0,CO173*MAX(0,(INDEX(c_CAMy,1,CO$7)-INDEX(c_CAMy,1,INDEX('Lease Cycles'!$GC$17:$GI$17,1,CO163)+1))*(1+'Lease Cycles'!$AK$17)+(INDEX(c_TAXy,1,CO$7)-INDEX(c_TAXy,1,INDEX('Lease Cycles'!$GC$17:$GI$17,1,CO163)+1))+(INDEX(c_INSy,1,CO$7)-INDEX(c_INSy,1,INDEX('Lease Cycles'!$GC$17:$GI$17,1,CO163)+1)))/12)</f>
        <v>0</v>
      </c>
      <c r="CP174" s="28">
        <f>IF(CP173=0,0,CP173*MAX(0,(INDEX(c_CAMy,1,CP$7)-INDEX(c_CAMy,1,INDEX('Lease Cycles'!$GC$17:$GI$17,1,CP163)+1))*(1+'Lease Cycles'!$AK$17)+(INDEX(c_TAXy,1,CP$7)-INDEX(c_TAXy,1,INDEX('Lease Cycles'!$GC$17:$GI$17,1,CP163)+1))+(INDEX(c_INSy,1,CP$7)-INDEX(c_INSy,1,INDEX('Lease Cycles'!$GC$17:$GI$17,1,CP163)+1)))/12)</f>
        <v>0</v>
      </c>
      <c r="CQ174" s="28">
        <f>IF(CQ173=0,0,CQ173*MAX(0,(INDEX(c_CAMy,1,CQ$7)-INDEX(c_CAMy,1,INDEX('Lease Cycles'!$GC$17:$GI$17,1,CQ163)+1))*(1+'Lease Cycles'!$AK$17)+(INDEX(c_TAXy,1,CQ$7)-INDEX(c_TAXy,1,INDEX('Lease Cycles'!$GC$17:$GI$17,1,CQ163)+1))+(INDEX(c_INSy,1,CQ$7)-INDEX(c_INSy,1,INDEX('Lease Cycles'!$GC$17:$GI$17,1,CQ163)+1)))/12)</f>
        <v>0</v>
      </c>
      <c r="CR174" s="28">
        <f>IF(CR173=0,0,CR173*MAX(0,(INDEX(c_CAMy,1,CR$7)-INDEX(c_CAMy,1,INDEX('Lease Cycles'!$GC$17:$GI$17,1,CR163)+1))*(1+'Lease Cycles'!$AK$17)+(INDEX(c_TAXy,1,CR$7)-INDEX(c_TAXy,1,INDEX('Lease Cycles'!$GC$17:$GI$17,1,CR163)+1))+(INDEX(c_INSy,1,CR$7)-INDEX(c_INSy,1,INDEX('Lease Cycles'!$GC$17:$GI$17,1,CR163)+1)))/12)</f>
        <v>0</v>
      </c>
      <c r="CS174" s="28">
        <f>IF(CS173=0,0,CS173*MAX(0,(INDEX(c_CAMy,1,CS$7)-INDEX(c_CAMy,1,INDEX('Lease Cycles'!$GC$17:$GI$17,1,CS163)+1))*(1+'Lease Cycles'!$AK$17)+(INDEX(c_TAXy,1,CS$7)-INDEX(c_TAXy,1,INDEX('Lease Cycles'!$GC$17:$GI$17,1,CS163)+1))+(INDEX(c_INSy,1,CS$7)-INDEX(c_INSy,1,INDEX('Lease Cycles'!$GC$17:$GI$17,1,CS163)+1)))/12)</f>
        <v>0</v>
      </c>
      <c r="CT174" s="28">
        <f>IF(CT173=0,0,CT173*MAX(0,(INDEX(c_CAMy,1,CT$7)-INDEX(c_CAMy,1,INDEX('Lease Cycles'!$GC$17:$GI$17,1,CT163)+1))*(1+'Lease Cycles'!$AK$17)+(INDEX(c_TAXy,1,CT$7)-INDEX(c_TAXy,1,INDEX('Lease Cycles'!$GC$17:$GI$17,1,CT163)+1))+(INDEX(c_INSy,1,CT$7)-INDEX(c_INSy,1,INDEX('Lease Cycles'!$GC$17:$GI$17,1,CT163)+1)))/12)</f>
        <v>0</v>
      </c>
      <c r="CU174" s="28">
        <f>IF(CU173=0,0,CU173*MAX(0,(INDEX(c_CAMy,1,CU$7)-INDEX(c_CAMy,1,INDEX('Lease Cycles'!$GC$17:$GI$17,1,CU163)+1))*(1+'Lease Cycles'!$AK$17)+(INDEX(c_TAXy,1,CU$7)-INDEX(c_TAXy,1,INDEX('Lease Cycles'!$GC$17:$GI$17,1,CU163)+1))+(INDEX(c_INSy,1,CU$7)-INDEX(c_INSy,1,INDEX('Lease Cycles'!$GC$17:$GI$17,1,CU163)+1)))/12)</f>
        <v>0</v>
      </c>
      <c r="CV174" s="28">
        <f>IF(CV173=0,0,CV173*MAX(0,(INDEX(c_CAMy,1,CV$7)-INDEX(c_CAMy,1,INDEX('Lease Cycles'!$GC$17:$GI$17,1,CV163)+1))*(1+'Lease Cycles'!$AK$17)+(INDEX(c_TAXy,1,CV$7)-INDEX(c_TAXy,1,INDEX('Lease Cycles'!$GC$17:$GI$17,1,CV163)+1))+(INDEX(c_INSy,1,CV$7)-INDEX(c_INSy,1,INDEX('Lease Cycles'!$GC$17:$GI$17,1,CV163)+1)))/12)</f>
        <v>0</v>
      </c>
      <c r="CW174" s="28">
        <f>IF(CW173=0,0,CW173*MAX(0,(INDEX(c_CAMy,1,CW$7)-INDEX(c_CAMy,1,INDEX('Lease Cycles'!$GC$17:$GI$17,1,CW163)+1))*(1+'Lease Cycles'!$AK$17)+(INDEX(c_TAXy,1,CW$7)-INDEX(c_TAXy,1,INDEX('Lease Cycles'!$GC$17:$GI$17,1,CW163)+1))+(INDEX(c_INSy,1,CW$7)-INDEX(c_INSy,1,INDEX('Lease Cycles'!$GC$17:$GI$17,1,CW163)+1)))/12)</f>
        <v>0</v>
      </c>
      <c r="CX174" s="28">
        <f>IF(CX173=0,0,CX173*MAX(0,(INDEX(c_CAMy,1,CX$7)-INDEX(c_CAMy,1,INDEX('Lease Cycles'!$GC$17:$GI$17,1,CX163)+1))*(1+'Lease Cycles'!$AK$17)+(INDEX(c_TAXy,1,CX$7)-INDEX(c_TAXy,1,INDEX('Lease Cycles'!$GC$17:$GI$17,1,CX163)+1))+(INDEX(c_INSy,1,CX$7)-INDEX(c_INSy,1,INDEX('Lease Cycles'!$GC$17:$GI$17,1,CX163)+1)))/12)</f>
        <v>0</v>
      </c>
      <c r="CY174" s="28">
        <f>IF(CY173=0,0,CY173*MAX(0,(INDEX(c_CAMy,1,CY$7)-INDEX(c_CAMy,1,INDEX('Lease Cycles'!$GC$17:$GI$17,1,CY163)+1))*(1+'Lease Cycles'!$AK$17)+(INDEX(c_TAXy,1,CY$7)-INDEX(c_TAXy,1,INDEX('Lease Cycles'!$GC$17:$GI$17,1,CY163)+1))+(INDEX(c_INSy,1,CY$7)-INDEX(c_INSy,1,INDEX('Lease Cycles'!$GC$17:$GI$17,1,CY163)+1)))/12)</f>
        <v>0</v>
      </c>
      <c r="CZ174" s="28">
        <f>IF(CZ173=0,0,CZ173*MAX(0,(INDEX(c_CAMy,1,CZ$7)-INDEX(c_CAMy,1,INDEX('Lease Cycles'!$GC$17:$GI$17,1,CZ163)+1))*(1+'Lease Cycles'!$AK$17)+(INDEX(c_TAXy,1,CZ$7)-INDEX(c_TAXy,1,INDEX('Lease Cycles'!$GC$17:$GI$17,1,CZ163)+1))+(INDEX(c_INSy,1,CZ$7)-INDEX(c_INSy,1,INDEX('Lease Cycles'!$GC$17:$GI$17,1,CZ163)+1)))/12)</f>
        <v>0</v>
      </c>
      <c r="DA174" s="28">
        <f>IF(DA173=0,0,DA173*MAX(0,(INDEX(c_CAMy,1,DA$7)-INDEX(c_CAMy,1,INDEX('Lease Cycles'!$GC$17:$GI$17,1,DA163)+1))*(1+'Lease Cycles'!$AK$17)+(INDEX(c_TAXy,1,DA$7)-INDEX(c_TAXy,1,INDEX('Lease Cycles'!$GC$17:$GI$17,1,DA163)+1))+(INDEX(c_INSy,1,DA$7)-INDEX(c_INSy,1,INDEX('Lease Cycles'!$GC$17:$GI$17,1,DA163)+1)))/12)</f>
        <v>0</v>
      </c>
      <c r="DB174" s="28">
        <f>IF(DB173=0,0,DB173*MAX(0,(INDEX(c_CAMy,1,DB$7)-INDEX(c_CAMy,1,INDEX('Lease Cycles'!$GC$17:$GI$17,1,DB163)+1))*(1+'Lease Cycles'!$AK$17)+(INDEX(c_TAXy,1,DB$7)-INDEX(c_TAXy,1,INDEX('Lease Cycles'!$GC$17:$GI$17,1,DB163)+1))+(INDEX(c_INSy,1,DB$7)-INDEX(c_INSy,1,INDEX('Lease Cycles'!$GC$17:$GI$17,1,DB163)+1)))/12)</f>
        <v>0</v>
      </c>
      <c r="DC174" s="28">
        <f>IF(DC173=0,0,DC173*MAX(0,(INDEX(c_CAMy,1,DC$7)-INDEX(c_CAMy,1,INDEX('Lease Cycles'!$GC$17:$GI$17,1,DC163)+1))*(1+'Lease Cycles'!$AK$17)+(INDEX(c_TAXy,1,DC$7)-INDEX(c_TAXy,1,INDEX('Lease Cycles'!$GC$17:$GI$17,1,DC163)+1))+(INDEX(c_INSy,1,DC$7)-INDEX(c_INSy,1,INDEX('Lease Cycles'!$GC$17:$GI$17,1,DC163)+1)))/12)</f>
        <v>0</v>
      </c>
      <c r="DD174" s="28">
        <f>IF(DD173=0,0,DD173*MAX(0,(INDEX(c_CAMy,1,DD$7)-INDEX(c_CAMy,1,INDEX('Lease Cycles'!$GC$17:$GI$17,1,DD163)+1))*(1+'Lease Cycles'!$AK$17)+(INDEX(c_TAXy,1,DD$7)-INDEX(c_TAXy,1,INDEX('Lease Cycles'!$GC$17:$GI$17,1,DD163)+1))+(INDEX(c_INSy,1,DD$7)-INDEX(c_INSy,1,INDEX('Lease Cycles'!$GC$17:$GI$17,1,DD163)+1)))/12)</f>
        <v>0</v>
      </c>
      <c r="DE174" s="28">
        <f>IF(DE173=0,0,DE173*MAX(0,(INDEX(c_CAMy,1,DE$7)-INDEX(c_CAMy,1,INDEX('Lease Cycles'!$GC$17:$GI$17,1,DE163)+1))*(1+'Lease Cycles'!$AK$17)+(INDEX(c_TAXy,1,DE$7)-INDEX(c_TAXy,1,INDEX('Lease Cycles'!$GC$17:$GI$17,1,DE163)+1))+(INDEX(c_INSy,1,DE$7)-INDEX(c_INSy,1,INDEX('Lease Cycles'!$GC$17:$GI$17,1,DE163)+1)))/12)</f>
        <v>0</v>
      </c>
      <c r="DF174" s="28">
        <f>IF(DF173=0,0,DF173*MAX(0,(INDEX(c_CAMy,1,DF$7)-INDEX(c_CAMy,1,INDEX('Lease Cycles'!$GC$17:$GI$17,1,DF163)+1))*(1+'Lease Cycles'!$AK$17)+(INDEX(c_TAXy,1,DF$7)-INDEX(c_TAXy,1,INDEX('Lease Cycles'!$GC$17:$GI$17,1,DF163)+1))+(INDEX(c_INSy,1,DF$7)-INDEX(c_INSy,1,INDEX('Lease Cycles'!$GC$17:$GI$17,1,DF163)+1)))/12)</f>
        <v>0</v>
      </c>
      <c r="DG174" s="28">
        <f>IF(DG173=0,0,DG173*MAX(0,(INDEX(c_CAMy,1,DG$7)-INDEX(c_CAMy,1,INDEX('Lease Cycles'!$GC$17:$GI$17,1,DG163)+1))*(1+'Lease Cycles'!$AK$17)+(INDEX(c_TAXy,1,DG$7)-INDEX(c_TAXy,1,INDEX('Lease Cycles'!$GC$17:$GI$17,1,DG163)+1))+(INDEX(c_INSy,1,DG$7)-INDEX(c_INSy,1,INDEX('Lease Cycles'!$GC$17:$GI$17,1,DG163)+1)))/12)</f>
        <v>0</v>
      </c>
      <c r="DH174" s="28">
        <f>IF(DH173=0,0,DH173*MAX(0,(INDEX(c_CAMy,1,DH$7)-INDEX(c_CAMy,1,INDEX('Lease Cycles'!$GC$17:$GI$17,1,DH163)+1))*(1+'Lease Cycles'!$AK$17)+(INDEX(c_TAXy,1,DH$7)-INDEX(c_TAXy,1,INDEX('Lease Cycles'!$GC$17:$GI$17,1,DH163)+1))+(INDEX(c_INSy,1,DH$7)-INDEX(c_INSy,1,INDEX('Lease Cycles'!$GC$17:$GI$17,1,DH163)+1)))/12)</f>
        <v>0</v>
      </c>
      <c r="DI174" s="28">
        <f>IF(DI173=0,0,DI173*MAX(0,(INDEX(c_CAMy,1,DI$7)-INDEX(c_CAMy,1,INDEX('Lease Cycles'!$GC$17:$GI$17,1,DI163)+1))*(1+'Lease Cycles'!$AK$17)+(INDEX(c_TAXy,1,DI$7)-INDEX(c_TAXy,1,INDEX('Lease Cycles'!$GC$17:$GI$17,1,DI163)+1))+(INDEX(c_INSy,1,DI$7)-INDEX(c_INSy,1,INDEX('Lease Cycles'!$GC$17:$GI$17,1,DI163)+1)))/12)</f>
        <v>0</v>
      </c>
      <c r="DJ174" s="28">
        <f>IF(DJ173=0,0,DJ173*MAX(0,(INDEX(c_CAMy,1,DJ$7)-INDEX(c_CAMy,1,INDEX('Lease Cycles'!$GC$17:$GI$17,1,DJ163)+1))*(1+'Lease Cycles'!$AK$17)+(INDEX(c_TAXy,1,DJ$7)-INDEX(c_TAXy,1,INDEX('Lease Cycles'!$GC$17:$GI$17,1,DJ163)+1))+(INDEX(c_INSy,1,DJ$7)-INDEX(c_INSy,1,INDEX('Lease Cycles'!$GC$17:$GI$17,1,DJ163)+1)))/12)</f>
        <v>0</v>
      </c>
      <c r="DK174" s="28">
        <f>IF(DK173=0,0,DK173*MAX(0,(INDEX(c_CAMy,1,DK$7)-INDEX(c_CAMy,1,INDEX('Lease Cycles'!$GC$17:$GI$17,1,DK163)+1))*(1+'Lease Cycles'!$AK$17)+(INDEX(c_TAXy,1,DK$7)-INDEX(c_TAXy,1,INDEX('Lease Cycles'!$GC$17:$GI$17,1,DK163)+1))+(INDEX(c_INSy,1,DK$7)-INDEX(c_INSy,1,INDEX('Lease Cycles'!$GC$17:$GI$17,1,DK163)+1)))/12)</f>
        <v>0</v>
      </c>
      <c r="DL174" s="28">
        <f>IF(DL173=0,0,DL173*MAX(0,(INDEX(c_CAMy,1,DL$7)-INDEX(c_CAMy,1,INDEX('Lease Cycles'!$GC$17:$GI$17,1,DL163)+1))*(1+'Lease Cycles'!$AK$17)+(INDEX(c_TAXy,1,DL$7)-INDEX(c_TAXy,1,INDEX('Lease Cycles'!$GC$17:$GI$17,1,DL163)+1))+(INDEX(c_INSy,1,DL$7)-INDEX(c_INSy,1,INDEX('Lease Cycles'!$GC$17:$GI$17,1,DL163)+1)))/12)</f>
        <v>0</v>
      </c>
      <c r="DM174" s="28">
        <f>IF(DM173=0,0,DM173*MAX(0,(INDEX(c_CAMy,1,DM$7)-INDEX(c_CAMy,1,INDEX('Lease Cycles'!$GC$17:$GI$17,1,DM163)+1))*(1+'Lease Cycles'!$AK$17)+(INDEX(c_TAXy,1,DM$7)-INDEX(c_TAXy,1,INDEX('Lease Cycles'!$GC$17:$GI$17,1,DM163)+1))+(INDEX(c_INSy,1,DM$7)-INDEX(c_INSy,1,INDEX('Lease Cycles'!$GC$17:$GI$17,1,DM163)+1)))/12)</f>
        <v>0</v>
      </c>
      <c r="DN174" s="28">
        <f>IF(DN173=0,0,DN173*MAX(0,(INDEX(c_CAMy,1,DN$7)-INDEX(c_CAMy,1,INDEX('Lease Cycles'!$GC$17:$GI$17,1,DN163)+1))*(1+'Lease Cycles'!$AK$17)+(INDEX(c_TAXy,1,DN$7)-INDEX(c_TAXy,1,INDEX('Lease Cycles'!$GC$17:$GI$17,1,DN163)+1))+(INDEX(c_INSy,1,DN$7)-INDEX(c_INSy,1,INDEX('Lease Cycles'!$GC$17:$GI$17,1,DN163)+1)))/12)</f>
        <v>0</v>
      </c>
      <c r="DO174" s="28">
        <f>IF(DO173=0,0,DO173*MAX(0,(INDEX(c_CAMy,1,DO$7)-INDEX(c_CAMy,1,INDEX('Lease Cycles'!$GC$17:$GI$17,1,DO163)+1))*(1+'Lease Cycles'!$AK$17)+(INDEX(c_TAXy,1,DO$7)-INDEX(c_TAXy,1,INDEX('Lease Cycles'!$GC$17:$GI$17,1,DO163)+1))+(INDEX(c_INSy,1,DO$7)-INDEX(c_INSy,1,INDEX('Lease Cycles'!$GC$17:$GI$17,1,DO163)+1)))/12)</f>
        <v>0</v>
      </c>
      <c r="DP174" s="28">
        <f>IF(DP173=0,0,DP173*MAX(0,(INDEX(c_CAMy,1,DP$7)-INDEX(c_CAMy,1,INDEX('Lease Cycles'!$GC$17:$GI$17,1,DP163)+1))*(1+'Lease Cycles'!$AK$17)+(INDEX(c_TAXy,1,DP$7)-INDEX(c_TAXy,1,INDEX('Lease Cycles'!$GC$17:$GI$17,1,DP163)+1))+(INDEX(c_INSy,1,DP$7)-INDEX(c_INSy,1,INDEX('Lease Cycles'!$GC$17:$GI$17,1,DP163)+1)))/12)</f>
        <v>0</v>
      </c>
      <c r="DQ174" s="28">
        <f>IF(DQ173=0,0,DQ173*MAX(0,(INDEX(c_CAMy,1,DQ$7)-INDEX(c_CAMy,1,INDEX('Lease Cycles'!$GC$17:$GI$17,1,DQ163)+1))*(1+'Lease Cycles'!$AK$17)+(INDEX(c_TAXy,1,DQ$7)-INDEX(c_TAXy,1,INDEX('Lease Cycles'!$GC$17:$GI$17,1,DQ163)+1))+(INDEX(c_INSy,1,DQ$7)-INDEX(c_INSy,1,INDEX('Lease Cycles'!$GC$17:$GI$17,1,DQ163)+1)))/12)</f>
        <v>0</v>
      </c>
      <c r="DR174" s="28">
        <f>IF(DR173=0,0,DR173*MAX(0,(INDEX(c_CAMy,1,DR$7)-INDEX(c_CAMy,1,INDEX('Lease Cycles'!$GC$17:$GI$17,1,DR163)+1))*(1+'Lease Cycles'!$AK$17)+(INDEX(c_TAXy,1,DR$7)-INDEX(c_TAXy,1,INDEX('Lease Cycles'!$GC$17:$GI$17,1,DR163)+1))+(INDEX(c_INSy,1,DR$7)-INDEX(c_INSy,1,INDEX('Lease Cycles'!$GC$17:$GI$17,1,DR163)+1)))/12)</f>
        <v>0</v>
      </c>
      <c r="DS174" s="28">
        <f>IF(DS173=0,0,DS173*MAX(0,(INDEX(c_CAMy,1,DS$7)-INDEX(c_CAMy,1,INDEX('Lease Cycles'!$GC$17:$GI$17,1,DS163)+1))*(1+'Lease Cycles'!$AK$17)+(INDEX(c_TAXy,1,DS$7)-INDEX(c_TAXy,1,INDEX('Lease Cycles'!$GC$17:$GI$17,1,DS163)+1))+(INDEX(c_INSy,1,DS$7)-INDEX(c_INSy,1,INDEX('Lease Cycles'!$GC$17:$GI$17,1,DS163)+1)))/12)</f>
        <v>0</v>
      </c>
      <c r="DT174" s="28">
        <f>IF(DT173=0,0,DT173*MAX(0,(INDEX(c_CAMy,1,DT$7)-INDEX(c_CAMy,1,INDEX('Lease Cycles'!$GC$17:$GI$17,1,DT163)+1))*(1+'Lease Cycles'!$AK$17)+(INDEX(c_TAXy,1,DT$7)-INDEX(c_TAXy,1,INDEX('Lease Cycles'!$GC$17:$GI$17,1,DT163)+1))+(INDEX(c_INSy,1,DT$7)-INDEX(c_INSy,1,INDEX('Lease Cycles'!$GC$17:$GI$17,1,DT163)+1)))/12)</f>
        <v>0</v>
      </c>
      <c r="DU174" s="28">
        <f>IF(DU173=0,0,DU173*MAX(0,(INDEX(c_CAMy,1,DU$7)-INDEX(c_CAMy,1,INDEX('Lease Cycles'!$GC$17:$GI$17,1,DU163)+1))*(1+'Lease Cycles'!$AK$17)+(INDEX(c_TAXy,1,DU$7)-INDEX(c_TAXy,1,INDEX('Lease Cycles'!$GC$17:$GI$17,1,DU163)+1))+(INDEX(c_INSy,1,DU$7)-INDEX(c_INSy,1,INDEX('Lease Cycles'!$GC$17:$GI$17,1,DU163)+1)))/12)</f>
        <v>0</v>
      </c>
      <c r="DV174" s="28">
        <f>IF(DV173=0,0,DV173*MAX(0,(INDEX(c_CAMy,1,DV$7)-INDEX(c_CAMy,1,INDEX('Lease Cycles'!$GC$17:$GI$17,1,DV163)+1))*(1+'Lease Cycles'!$AK$17)+(INDEX(c_TAXy,1,DV$7)-INDEX(c_TAXy,1,INDEX('Lease Cycles'!$GC$17:$GI$17,1,DV163)+1))+(INDEX(c_INSy,1,DV$7)-INDEX(c_INSy,1,INDEX('Lease Cycles'!$GC$17:$GI$17,1,DV163)+1)))/12)</f>
        <v>0</v>
      </c>
      <c r="DW174" s="28">
        <f>IF(DW173=0,0,DW173*MAX(0,(INDEX(c_CAMy,1,DW$7)-INDEX(c_CAMy,1,INDEX('Lease Cycles'!$GC$17:$GI$17,1,DW163)+1))*(1+'Lease Cycles'!$AK$17)+(INDEX(c_TAXy,1,DW$7)-INDEX(c_TAXy,1,INDEX('Lease Cycles'!$GC$17:$GI$17,1,DW163)+1))+(INDEX(c_INSy,1,DW$7)-INDEX(c_INSy,1,INDEX('Lease Cycles'!$GC$17:$GI$17,1,DW163)+1)))/12)</f>
        <v>0</v>
      </c>
      <c r="DX174" s="28">
        <f>IF(DX173=0,0,DX173*MAX(0,(INDEX(c_CAMy,1,DX$7)-INDEX(c_CAMy,1,INDEX('Lease Cycles'!$GC$17:$GI$17,1,DX163)+1))*(1+'Lease Cycles'!$AK$17)+(INDEX(c_TAXy,1,DX$7)-INDEX(c_TAXy,1,INDEX('Lease Cycles'!$GC$17:$GI$17,1,DX163)+1))+(INDEX(c_INSy,1,DX$7)-INDEX(c_INSy,1,INDEX('Lease Cycles'!$GC$17:$GI$17,1,DX163)+1)))/12)</f>
        <v>0</v>
      </c>
      <c r="DY174" s="28">
        <f>IF(DY173=0,0,DY173*MAX(0,(INDEX(c_CAMy,1,DY$7)-INDEX(c_CAMy,1,INDEX('Lease Cycles'!$GC$17:$GI$17,1,DY163)+1))*(1+'Lease Cycles'!$AK$17)+(INDEX(c_TAXy,1,DY$7)-INDEX(c_TAXy,1,INDEX('Lease Cycles'!$GC$17:$GI$17,1,DY163)+1))+(INDEX(c_INSy,1,DY$7)-INDEX(c_INSy,1,INDEX('Lease Cycles'!$GC$17:$GI$17,1,DY163)+1)))/12)</f>
        <v>0</v>
      </c>
      <c r="DZ174" s="28">
        <f>IF(DZ173=0,0,DZ173*MAX(0,(INDEX(c_CAMy,1,DZ$7)-INDEX(c_CAMy,1,INDEX('Lease Cycles'!$GC$17:$GI$17,1,DZ163)+1))*(1+'Lease Cycles'!$AK$17)+(INDEX(c_TAXy,1,DZ$7)-INDEX(c_TAXy,1,INDEX('Lease Cycles'!$GC$17:$GI$17,1,DZ163)+1))+(INDEX(c_INSy,1,DZ$7)-INDEX(c_INSy,1,INDEX('Lease Cycles'!$GC$17:$GI$17,1,DZ163)+1)))/12)</f>
        <v>0</v>
      </c>
      <c r="EA174" s="28">
        <f>IF(EA173=0,0,EA173*MAX(0,(INDEX(c_CAMy,1,EA$7)-INDEX(c_CAMy,1,INDEX('Lease Cycles'!$GC$17:$GI$17,1,EA163)+1))*(1+'Lease Cycles'!$AK$17)+(INDEX(c_TAXy,1,EA$7)-INDEX(c_TAXy,1,INDEX('Lease Cycles'!$GC$17:$GI$17,1,EA163)+1))+(INDEX(c_INSy,1,EA$7)-INDEX(c_INSy,1,INDEX('Lease Cycles'!$GC$17:$GI$17,1,EA163)+1)))/12)</f>
        <v>0</v>
      </c>
      <c r="EB174" s="28">
        <f>IF(EB173=0,0,EB173*MAX(0,(INDEX(c_CAMy,1,EB$7)-INDEX(c_CAMy,1,INDEX('Lease Cycles'!$GC$17:$GI$17,1,EB163)+1))*(1+'Lease Cycles'!$AK$17)+(INDEX(c_TAXy,1,EB$7)-INDEX(c_TAXy,1,INDEX('Lease Cycles'!$GC$17:$GI$17,1,EB163)+1))+(INDEX(c_INSy,1,EB$7)-INDEX(c_INSy,1,INDEX('Lease Cycles'!$GC$17:$GI$17,1,EB163)+1)))/12)</f>
        <v>0</v>
      </c>
      <c r="EC174" s="28">
        <f>IF(EC173=0,0,EC173*MAX(0,(INDEX(c_CAMy,1,EC$7)-INDEX(c_CAMy,1,INDEX('Lease Cycles'!$GC$17:$GI$17,1,EC163)+1))*(1+'Lease Cycles'!$AK$17)+(INDEX(c_TAXy,1,EC$7)-INDEX(c_TAXy,1,INDEX('Lease Cycles'!$GC$17:$GI$17,1,EC163)+1))+(INDEX(c_INSy,1,EC$7)-INDEX(c_INSy,1,INDEX('Lease Cycles'!$GC$17:$GI$17,1,EC163)+1)))/12)</f>
        <v>0</v>
      </c>
      <c r="ED174" s="28">
        <f>IF(ED173=0,0,ED173*MAX(0,(INDEX(c_CAMy,1,ED$7)-INDEX(c_CAMy,1,INDEX('Lease Cycles'!$GC$17:$GI$17,1,ED163)+1))*(1+'Lease Cycles'!$AK$17)+(INDEX(c_TAXy,1,ED$7)-INDEX(c_TAXy,1,INDEX('Lease Cycles'!$GC$17:$GI$17,1,ED163)+1))+(INDEX(c_INSy,1,ED$7)-INDEX(c_INSy,1,INDEX('Lease Cycles'!$GC$17:$GI$17,1,ED163)+1)))/12)</f>
        <v>0</v>
      </c>
      <c r="EE174" s="28">
        <f>IF(EE173=0,0,EE173*MAX(0,(INDEX(c_CAMy,1,EE$7)-INDEX(c_CAMy,1,INDEX('Lease Cycles'!$GC$17:$GI$17,1,EE163)+1))*(1+'Lease Cycles'!$AK$17)+(INDEX(c_TAXy,1,EE$7)-INDEX(c_TAXy,1,INDEX('Lease Cycles'!$GC$17:$GI$17,1,EE163)+1))+(INDEX(c_INSy,1,EE$7)-INDEX(c_INSy,1,INDEX('Lease Cycles'!$GC$17:$GI$17,1,EE163)+1)))/12)</f>
        <v>0</v>
      </c>
      <c r="EF174" s="28">
        <f>IF(EF173=0,0,EF173*MAX(0,(INDEX(c_CAMy,1,EF$7)-INDEX(c_CAMy,1,INDEX('Lease Cycles'!$GC$17:$GI$17,1,EF163)+1))*(1+'Lease Cycles'!$AK$17)+(INDEX(c_TAXy,1,EF$7)-INDEX(c_TAXy,1,INDEX('Lease Cycles'!$GC$17:$GI$17,1,EF163)+1))+(INDEX(c_INSy,1,EF$7)-INDEX(c_INSy,1,INDEX('Lease Cycles'!$GC$17:$GI$17,1,EF163)+1)))/12)</f>
        <v>0</v>
      </c>
      <c r="EG174" s="28">
        <f>IF(EG173=0,0,EG173*MAX(0,(INDEX(c_CAMy,1,EG$7)-INDEX(c_CAMy,1,INDEX('Lease Cycles'!$GC$17:$GI$17,1,EG163)+1))*(1+'Lease Cycles'!$AK$17)+(INDEX(c_TAXy,1,EG$7)-INDEX(c_TAXy,1,INDEX('Lease Cycles'!$GC$17:$GI$17,1,EG163)+1))+(INDEX(c_INSy,1,EG$7)-INDEX(c_INSy,1,INDEX('Lease Cycles'!$GC$17:$GI$17,1,EG163)+1)))/12)</f>
        <v>0</v>
      </c>
      <c r="EH174" s="28">
        <f>IF(EH173=0,0,EH173*MAX(0,(INDEX(c_CAMy,1,EH$7)-INDEX(c_CAMy,1,INDEX('Lease Cycles'!$GC$17:$GI$17,1,EH163)+1))*(1+'Lease Cycles'!$AK$17)+(INDEX(c_TAXy,1,EH$7)-INDEX(c_TAXy,1,INDEX('Lease Cycles'!$GC$17:$GI$17,1,EH163)+1))+(INDEX(c_INSy,1,EH$7)-INDEX(c_INSy,1,INDEX('Lease Cycles'!$GC$17:$GI$17,1,EH163)+1)))/12)</f>
        <v>0</v>
      </c>
      <c r="EI174" s="28">
        <f>IF(EI173=0,0,EI173*MAX(0,(INDEX(c_CAMy,1,EI$7)-INDEX(c_CAMy,1,INDEX('Lease Cycles'!$GC$17:$GI$17,1,EI163)+1))*(1+'Lease Cycles'!$AK$17)+(INDEX(c_TAXy,1,EI$7)-INDEX(c_TAXy,1,INDEX('Lease Cycles'!$GC$17:$GI$17,1,EI163)+1))+(INDEX(c_INSy,1,EI$7)-INDEX(c_INSy,1,INDEX('Lease Cycles'!$GC$17:$GI$17,1,EI163)+1)))/12)</f>
        <v>0</v>
      </c>
      <c r="EJ174" s="28">
        <f>IF(EJ173=0,0,EJ173*MAX(0,(INDEX(c_CAMy,1,EJ$7)-INDEX(c_CAMy,1,INDEX('Lease Cycles'!$GC$17:$GI$17,1,EJ163)+1))*(1+'Lease Cycles'!$AK$17)+(INDEX(c_TAXy,1,EJ$7)-INDEX(c_TAXy,1,INDEX('Lease Cycles'!$GC$17:$GI$17,1,EJ163)+1))+(INDEX(c_INSy,1,EJ$7)-INDEX(c_INSy,1,INDEX('Lease Cycles'!$GC$17:$GI$17,1,EJ163)+1)))/12)</f>
        <v>0</v>
      </c>
      <c r="EK174" s="28">
        <f>IF(EK173=0,0,EK173*MAX(0,(INDEX(c_CAMy,1,EK$7)-INDEX(c_CAMy,1,INDEX('Lease Cycles'!$GC$17:$GI$17,1,EK163)+1))*(1+'Lease Cycles'!$AK$17)+(INDEX(c_TAXy,1,EK$7)-INDEX(c_TAXy,1,INDEX('Lease Cycles'!$GC$17:$GI$17,1,EK163)+1))+(INDEX(c_INSy,1,EK$7)-INDEX(c_INSy,1,INDEX('Lease Cycles'!$GC$17:$GI$17,1,EK163)+1)))/12)</f>
        <v>0</v>
      </c>
      <c r="EL174" s="28">
        <f>IF(EL173=0,0,EL173*MAX(0,(INDEX(c_CAMy,1,EL$7)-INDEX(c_CAMy,1,INDEX('Lease Cycles'!$GC$17:$GI$17,1,EL163)+1))*(1+'Lease Cycles'!$AK$17)+(INDEX(c_TAXy,1,EL$7)-INDEX(c_TAXy,1,INDEX('Lease Cycles'!$GC$17:$GI$17,1,EL163)+1))+(INDEX(c_INSy,1,EL$7)-INDEX(c_INSy,1,INDEX('Lease Cycles'!$GC$17:$GI$17,1,EL163)+1)))/12)</f>
        <v>0</v>
      </c>
      <c r="EM174" s="28">
        <f>IF(EM173=0,0,EM173*MAX(0,(INDEX(c_CAMy,1,EM$7)-INDEX(c_CAMy,1,INDEX('Lease Cycles'!$GC$17:$GI$17,1,EM163)+1))*(1+'Lease Cycles'!$AK$17)+(INDEX(c_TAXy,1,EM$7)-INDEX(c_TAXy,1,INDEX('Lease Cycles'!$GC$17:$GI$17,1,EM163)+1))+(INDEX(c_INSy,1,EM$7)-INDEX(c_INSy,1,INDEX('Lease Cycles'!$GC$17:$GI$17,1,EM163)+1)))/12)</f>
        <v>0</v>
      </c>
      <c r="EN174" s="28">
        <f>IF(EN173=0,0,EN173*MAX(0,(INDEX(c_CAMy,1,EN$7)-INDEX(c_CAMy,1,INDEX('Lease Cycles'!$GC$17:$GI$17,1,EN163)+1))*(1+'Lease Cycles'!$AK$17)+(INDEX(c_TAXy,1,EN$7)-INDEX(c_TAXy,1,INDEX('Lease Cycles'!$GC$17:$GI$17,1,EN163)+1))+(INDEX(c_INSy,1,EN$7)-INDEX(c_INSy,1,INDEX('Lease Cycles'!$GC$17:$GI$17,1,EN163)+1)))/12)</f>
        <v>0</v>
      </c>
      <c r="EO174" s="28">
        <f>IF(EO173=0,0,EO173*MAX(0,(INDEX(c_CAMy,1,EO$7)-INDEX(c_CAMy,1,INDEX('Lease Cycles'!$GC$17:$GI$17,1,EO163)+1))*(1+'Lease Cycles'!$AK$17)+(INDEX(c_TAXy,1,EO$7)-INDEX(c_TAXy,1,INDEX('Lease Cycles'!$GC$17:$GI$17,1,EO163)+1))+(INDEX(c_INSy,1,EO$7)-INDEX(c_INSy,1,INDEX('Lease Cycles'!$GC$17:$GI$17,1,EO163)+1)))/12)</f>
        <v>0</v>
      </c>
      <c r="EP174" s="28">
        <f>IF(EP173=0,0,EP173*MAX(0,(INDEX(c_CAMy,1,EP$7)-INDEX(c_CAMy,1,INDEX('Lease Cycles'!$GC$17:$GI$17,1,EP163)+1))*(1+'Lease Cycles'!$AK$17)+(INDEX(c_TAXy,1,EP$7)-INDEX(c_TAXy,1,INDEX('Lease Cycles'!$GC$17:$GI$17,1,EP163)+1))+(INDEX(c_INSy,1,EP$7)-INDEX(c_INSy,1,INDEX('Lease Cycles'!$GC$17:$GI$17,1,EP163)+1)))/12)</f>
        <v>0</v>
      </c>
      <c r="EQ174" s="28">
        <f>IF(EQ173=0,0,EQ173*MAX(0,(INDEX(c_CAMy,1,EQ$7)-INDEX(c_CAMy,1,INDEX('Lease Cycles'!$GC$17:$GI$17,1,EQ163)+1))*(1+'Lease Cycles'!$AK$17)+(INDEX(c_TAXy,1,EQ$7)-INDEX(c_TAXy,1,INDEX('Lease Cycles'!$GC$17:$GI$17,1,EQ163)+1))+(INDEX(c_INSy,1,EQ$7)-INDEX(c_INSy,1,INDEX('Lease Cycles'!$GC$17:$GI$17,1,EQ163)+1)))/12)</f>
        <v>0</v>
      </c>
      <c r="ER174" s="28">
        <f>IF(ER173=0,0,ER173*MAX(0,(INDEX(c_CAMy,1,ER$7)-INDEX(c_CAMy,1,INDEX('Lease Cycles'!$GC$17:$GI$17,1,ER163)+1))*(1+'Lease Cycles'!$AK$17)+(INDEX(c_TAXy,1,ER$7)-INDEX(c_TAXy,1,INDEX('Lease Cycles'!$GC$17:$GI$17,1,ER163)+1))+(INDEX(c_INSy,1,ER$7)-INDEX(c_INSy,1,INDEX('Lease Cycles'!$GC$17:$GI$17,1,ER163)+1)))/12)</f>
        <v>0</v>
      </c>
      <c r="ES174" s="28">
        <f>IF(ES173=0,0,ES173*MAX(0,(INDEX(c_CAMy,1,ES$7)-INDEX(c_CAMy,1,INDEX('Lease Cycles'!$GC$17:$GI$17,1,ES163)+1))*(1+'Lease Cycles'!$AK$17)+(INDEX(c_TAXy,1,ES$7)-INDEX(c_TAXy,1,INDEX('Lease Cycles'!$GC$17:$GI$17,1,ES163)+1))+(INDEX(c_INSy,1,ES$7)-INDEX(c_INSy,1,INDEX('Lease Cycles'!$GC$17:$GI$17,1,ES163)+1)))/12)</f>
        <v>0</v>
      </c>
      <c r="ET174" s="28">
        <f>IF(ET173=0,0,ET173*MAX(0,(INDEX(c_CAMy,1,ET$7)-INDEX(c_CAMy,1,INDEX('Lease Cycles'!$GC$17:$GI$17,1,ET163)+1))*(1+'Lease Cycles'!$AK$17)+(INDEX(c_TAXy,1,ET$7)-INDEX(c_TAXy,1,INDEX('Lease Cycles'!$GC$17:$GI$17,1,ET163)+1))+(INDEX(c_INSy,1,ET$7)-INDEX(c_INSy,1,INDEX('Lease Cycles'!$GC$17:$GI$17,1,ET163)+1)))/12)</f>
        <v>0</v>
      </c>
    </row>
    <row r="175">
      <c r="A175" s="103">
        <v>10</v>
      </c>
      <c r="B175" s="23" t="str">
        <f>IF('Lease Cycles'!$B$17="","(empty slot)",'Lease Cycles'!$B$17)</f>
        <v>Available B-9</v>
      </c>
      <c r="C175" s="23" t="s">
        <v>530</v>
      </c>
      <c r="D175" s="104" t="s">
        <v>531</v>
      </c>
      <c r="E175" s="25">
        <f>'Lease Cycles'!$AL$17</f>
        <v>0</v>
      </c>
      <c r="G175" s="28">
        <f>SUM(S175:AD175)</f>
        <v>24000</v>
      </c>
      <c r="H175" s="28">
        <f>SUM(AE175:AP175)</f>
        <v>0</v>
      </c>
      <c r="I175" s="28">
        <f>SUM(AQ175:BB175)</f>
        <v>0</v>
      </c>
      <c r="J175" s="28">
        <f>SUM(BC175:BN175)</f>
        <v>0</v>
      </c>
      <c r="K175" s="28">
        <f>SUM(BO175:BZ175)</f>
        <v>0</v>
      </c>
      <c r="L175" s="28">
        <f>SUM(CA175:CL175)</f>
        <v>0</v>
      </c>
      <c r="M175" s="28">
        <f>SUM(CM175:CX175)</f>
        <v>0</v>
      </c>
      <c r="N175" s="28">
        <f>SUM(CY175:DJ175)</f>
        <v>13079.346183225669</v>
      </c>
      <c r="O175" s="28">
        <f>SUM(DK175:DV175)</f>
        <v>0</v>
      </c>
      <c r="P175" s="28">
        <f>SUM(DW175:EH175)</f>
        <v>0</v>
      </c>
      <c r="Q175" s="28">
        <f>SUM(EI175:ET175)</f>
        <v>0</v>
      </c>
      <c r="S175" s="28">
        <f>SUMIF('Lease Cycles'!$HL$17:$HR$17,S$6,'Lease Cycles'!$HS$17:$HY$17)</f>
        <v>0</v>
      </c>
      <c r="T175" s="28">
        <f>SUMIF('Lease Cycles'!$HL$17:$HR$17,T$6,'Lease Cycles'!$HS$17:$HY$17)</f>
        <v>0</v>
      </c>
      <c r="U175" s="28">
        <f>SUMIF('Lease Cycles'!$HL$17:$HR$17,U$6,'Lease Cycles'!$HS$17:$HY$17)</f>
        <v>0</v>
      </c>
      <c r="V175" s="28">
        <f>SUMIF('Lease Cycles'!$HL$17:$HR$17,V$6,'Lease Cycles'!$HS$17:$HY$17)</f>
        <v>0</v>
      </c>
      <c r="W175" s="28">
        <f>SUMIF('Lease Cycles'!$HL$17:$HR$17,W$6,'Lease Cycles'!$HS$17:$HY$17)</f>
        <v>0</v>
      </c>
      <c r="X175" s="28">
        <f>SUMIF('Lease Cycles'!$HL$17:$HR$17,X$6,'Lease Cycles'!$HS$17:$HY$17)</f>
        <v>0</v>
      </c>
      <c r="Y175" s="28">
        <f>SUMIF('Lease Cycles'!$HL$17:$HR$17,Y$6,'Lease Cycles'!$HS$17:$HY$17)</f>
        <v>0</v>
      </c>
      <c r="Z175" s="28">
        <f>SUMIF('Lease Cycles'!$HL$17:$HR$17,Z$6,'Lease Cycles'!$HS$17:$HY$17)</f>
        <v>0</v>
      </c>
      <c r="AA175" s="28">
        <f>SUMIF('Lease Cycles'!$HL$17:$HR$17,AA$6,'Lease Cycles'!$HS$17:$HY$17)</f>
        <v>0</v>
      </c>
      <c r="AB175" s="28">
        <f>SUMIF('Lease Cycles'!$HL$17:$HR$17,AB$6,'Lease Cycles'!$HS$17:$HY$17)</f>
        <v>24000</v>
      </c>
      <c r="AC175" s="28">
        <f>SUMIF('Lease Cycles'!$HL$17:$HR$17,AC$6,'Lease Cycles'!$HS$17:$HY$17)</f>
        <v>0</v>
      </c>
      <c r="AD175" s="28">
        <f>SUMIF('Lease Cycles'!$HL$17:$HR$17,AD$6,'Lease Cycles'!$HS$17:$HY$17)</f>
        <v>0</v>
      </c>
      <c r="AE175" s="28">
        <f>SUMIF('Lease Cycles'!$HL$17:$HR$17,AE$6,'Lease Cycles'!$HS$17:$HY$17)</f>
        <v>0</v>
      </c>
      <c r="AF175" s="28">
        <f>SUMIF('Lease Cycles'!$HL$17:$HR$17,AF$6,'Lease Cycles'!$HS$17:$HY$17)</f>
        <v>0</v>
      </c>
      <c r="AG175" s="28">
        <f>SUMIF('Lease Cycles'!$HL$17:$HR$17,AG$6,'Lease Cycles'!$HS$17:$HY$17)</f>
        <v>0</v>
      </c>
      <c r="AH175" s="28">
        <f>SUMIF('Lease Cycles'!$HL$17:$HR$17,AH$6,'Lease Cycles'!$HS$17:$HY$17)</f>
        <v>0</v>
      </c>
      <c r="AI175" s="28">
        <f>SUMIF('Lease Cycles'!$HL$17:$HR$17,AI$6,'Lease Cycles'!$HS$17:$HY$17)</f>
        <v>0</v>
      </c>
      <c r="AJ175" s="28">
        <f>SUMIF('Lease Cycles'!$HL$17:$HR$17,AJ$6,'Lease Cycles'!$HS$17:$HY$17)</f>
        <v>0</v>
      </c>
      <c r="AK175" s="28">
        <f>SUMIF('Lease Cycles'!$HL$17:$HR$17,AK$6,'Lease Cycles'!$HS$17:$HY$17)</f>
        <v>0</v>
      </c>
      <c r="AL175" s="28">
        <f>SUMIF('Lease Cycles'!$HL$17:$HR$17,AL$6,'Lease Cycles'!$HS$17:$HY$17)</f>
        <v>0</v>
      </c>
      <c r="AM175" s="28">
        <f>SUMIF('Lease Cycles'!$HL$17:$HR$17,AM$6,'Lease Cycles'!$HS$17:$HY$17)</f>
        <v>0</v>
      </c>
      <c r="AN175" s="28">
        <f>SUMIF('Lease Cycles'!$HL$17:$HR$17,AN$6,'Lease Cycles'!$HS$17:$HY$17)</f>
        <v>0</v>
      </c>
      <c r="AO175" s="28">
        <f>SUMIF('Lease Cycles'!$HL$17:$HR$17,AO$6,'Lease Cycles'!$HS$17:$HY$17)</f>
        <v>0</v>
      </c>
      <c r="AP175" s="28">
        <f>SUMIF('Lease Cycles'!$HL$17:$HR$17,AP$6,'Lease Cycles'!$HS$17:$HY$17)</f>
        <v>0</v>
      </c>
      <c r="AQ175" s="28">
        <f>SUMIF('Lease Cycles'!$HL$17:$HR$17,AQ$6,'Lease Cycles'!$HS$17:$HY$17)</f>
        <v>0</v>
      </c>
      <c r="AR175" s="28">
        <f>SUMIF('Lease Cycles'!$HL$17:$HR$17,AR$6,'Lease Cycles'!$HS$17:$HY$17)</f>
        <v>0</v>
      </c>
      <c r="AS175" s="28">
        <f>SUMIF('Lease Cycles'!$HL$17:$HR$17,AS$6,'Lease Cycles'!$HS$17:$HY$17)</f>
        <v>0</v>
      </c>
      <c r="AT175" s="28">
        <f>SUMIF('Lease Cycles'!$HL$17:$HR$17,AT$6,'Lease Cycles'!$HS$17:$HY$17)</f>
        <v>0</v>
      </c>
      <c r="AU175" s="28">
        <f>SUMIF('Lease Cycles'!$HL$17:$HR$17,AU$6,'Lease Cycles'!$HS$17:$HY$17)</f>
        <v>0</v>
      </c>
      <c r="AV175" s="28">
        <f>SUMIF('Lease Cycles'!$HL$17:$HR$17,AV$6,'Lease Cycles'!$HS$17:$HY$17)</f>
        <v>0</v>
      </c>
      <c r="AW175" s="28">
        <f>SUMIF('Lease Cycles'!$HL$17:$HR$17,AW$6,'Lease Cycles'!$HS$17:$HY$17)</f>
        <v>0</v>
      </c>
      <c r="AX175" s="28">
        <f>SUMIF('Lease Cycles'!$HL$17:$HR$17,AX$6,'Lease Cycles'!$HS$17:$HY$17)</f>
        <v>0</v>
      </c>
      <c r="AY175" s="28">
        <f>SUMIF('Lease Cycles'!$HL$17:$HR$17,AY$6,'Lease Cycles'!$HS$17:$HY$17)</f>
        <v>0</v>
      </c>
      <c r="AZ175" s="28">
        <f>SUMIF('Lease Cycles'!$HL$17:$HR$17,AZ$6,'Lease Cycles'!$HS$17:$HY$17)</f>
        <v>0</v>
      </c>
      <c r="BA175" s="28">
        <f>SUMIF('Lease Cycles'!$HL$17:$HR$17,BA$6,'Lease Cycles'!$HS$17:$HY$17)</f>
        <v>0</v>
      </c>
      <c r="BB175" s="28">
        <f>SUMIF('Lease Cycles'!$HL$17:$HR$17,BB$6,'Lease Cycles'!$HS$17:$HY$17)</f>
        <v>0</v>
      </c>
      <c r="BC175" s="28">
        <f>SUMIF('Lease Cycles'!$HL$17:$HR$17,BC$6,'Lease Cycles'!$HS$17:$HY$17)</f>
        <v>0</v>
      </c>
      <c r="BD175" s="28">
        <f>SUMIF('Lease Cycles'!$HL$17:$HR$17,BD$6,'Lease Cycles'!$HS$17:$HY$17)</f>
        <v>0</v>
      </c>
      <c r="BE175" s="28">
        <f>SUMIF('Lease Cycles'!$HL$17:$HR$17,BE$6,'Lease Cycles'!$HS$17:$HY$17)</f>
        <v>0</v>
      </c>
      <c r="BF175" s="28">
        <f>SUMIF('Lease Cycles'!$HL$17:$HR$17,BF$6,'Lease Cycles'!$HS$17:$HY$17)</f>
        <v>0</v>
      </c>
      <c r="BG175" s="28">
        <f>SUMIF('Lease Cycles'!$HL$17:$HR$17,BG$6,'Lease Cycles'!$HS$17:$HY$17)</f>
        <v>0</v>
      </c>
      <c r="BH175" s="28">
        <f>SUMIF('Lease Cycles'!$HL$17:$HR$17,BH$6,'Lease Cycles'!$HS$17:$HY$17)</f>
        <v>0</v>
      </c>
      <c r="BI175" s="28">
        <f>SUMIF('Lease Cycles'!$HL$17:$HR$17,BI$6,'Lease Cycles'!$HS$17:$HY$17)</f>
        <v>0</v>
      </c>
      <c r="BJ175" s="28">
        <f>SUMIF('Lease Cycles'!$HL$17:$HR$17,BJ$6,'Lease Cycles'!$HS$17:$HY$17)</f>
        <v>0</v>
      </c>
      <c r="BK175" s="28">
        <f>SUMIF('Lease Cycles'!$HL$17:$HR$17,BK$6,'Lease Cycles'!$HS$17:$HY$17)</f>
        <v>0</v>
      </c>
      <c r="BL175" s="28">
        <f>SUMIF('Lease Cycles'!$HL$17:$HR$17,BL$6,'Lease Cycles'!$HS$17:$HY$17)</f>
        <v>0</v>
      </c>
      <c r="BM175" s="28">
        <f>SUMIF('Lease Cycles'!$HL$17:$HR$17,BM$6,'Lease Cycles'!$HS$17:$HY$17)</f>
        <v>0</v>
      </c>
      <c r="BN175" s="28">
        <f>SUMIF('Lease Cycles'!$HL$17:$HR$17,BN$6,'Lease Cycles'!$HS$17:$HY$17)</f>
        <v>0</v>
      </c>
      <c r="BO175" s="28">
        <f>SUMIF('Lease Cycles'!$HL$17:$HR$17,BO$6,'Lease Cycles'!$HS$17:$HY$17)</f>
        <v>0</v>
      </c>
      <c r="BP175" s="28">
        <f>SUMIF('Lease Cycles'!$HL$17:$HR$17,BP$6,'Lease Cycles'!$HS$17:$HY$17)</f>
        <v>0</v>
      </c>
      <c r="BQ175" s="28">
        <f>SUMIF('Lease Cycles'!$HL$17:$HR$17,BQ$6,'Lease Cycles'!$HS$17:$HY$17)</f>
        <v>0</v>
      </c>
      <c r="BR175" s="28">
        <f>SUMIF('Lease Cycles'!$HL$17:$HR$17,BR$6,'Lease Cycles'!$HS$17:$HY$17)</f>
        <v>0</v>
      </c>
      <c r="BS175" s="28">
        <f>SUMIF('Lease Cycles'!$HL$17:$HR$17,BS$6,'Lease Cycles'!$HS$17:$HY$17)</f>
        <v>0</v>
      </c>
      <c r="BT175" s="28">
        <f>SUMIF('Lease Cycles'!$HL$17:$HR$17,BT$6,'Lease Cycles'!$HS$17:$HY$17)</f>
        <v>0</v>
      </c>
      <c r="BU175" s="28">
        <f>SUMIF('Lease Cycles'!$HL$17:$HR$17,BU$6,'Lease Cycles'!$HS$17:$HY$17)</f>
        <v>0</v>
      </c>
      <c r="BV175" s="28">
        <f>SUMIF('Lease Cycles'!$HL$17:$HR$17,BV$6,'Lease Cycles'!$HS$17:$HY$17)</f>
        <v>0</v>
      </c>
      <c r="BW175" s="28">
        <f>SUMIF('Lease Cycles'!$HL$17:$HR$17,BW$6,'Lease Cycles'!$HS$17:$HY$17)</f>
        <v>0</v>
      </c>
      <c r="BX175" s="28">
        <f>SUMIF('Lease Cycles'!$HL$17:$HR$17,BX$6,'Lease Cycles'!$HS$17:$HY$17)</f>
        <v>0</v>
      </c>
      <c r="BY175" s="28">
        <f>SUMIF('Lease Cycles'!$HL$17:$HR$17,BY$6,'Lease Cycles'!$HS$17:$HY$17)</f>
        <v>0</v>
      </c>
      <c r="BZ175" s="28">
        <f>SUMIF('Lease Cycles'!$HL$17:$HR$17,BZ$6,'Lease Cycles'!$HS$17:$HY$17)</f>
        <v>0</v>
      </c>
      <c r="CA175" s="28">
        <f>SUMIF('Lease Cycles'!$HL$17:$HR$17,CA$6,'Lease Cycles'!$HS$17:$HY$17)</f>
        <v>0</v>
      </c>
      <c r="CB175" s="28">
        <f>SUMIF('Lease Cycles'!$HL$17:$HR$17,CB$6,'Lease Cycles'!$HS$17:$HY$17)</f>
        <v>0</v>
      </c>
      <c r="CC175" s="28">
        <f>SUMIF('Lease Cycles'!$HL$17:$HR$17,CC$6,'Lease Cycles'!$HS$17:$HY$17)</f>
        <v>0</v>
      </c>
      <c r="CD175" s="28">
        <f>SUMIF('Lease Cycles'!$HL$17:$HR$17,CD$6,'Lease Cycles'!$HS$17:$HY$17)</f>
        <v>0</v>
      </c>
      <c r="CE175" s="28">
        <f>SUMIF('Lease Cycles'!$HL$17:$HR$17,CE$6,'Lease Cycles'!$HS$17:$HY$17)</f>
        <v>0</v>
      </c>
      <c r="CF175" s="28">
        <f>SUMIF('Lease Cycles'!$HL$17:$HR$17,CF$6,'Lease Cycles'!$HS$17:$HY$17)</f>
        <v>0</v>
      </c>
      <c r="CG175" s="28">
        <f>SUMIF('Lease Cycles'!$HL$17:$HR$17,CG$6,'Lease Cycles'!$HS$17:$HY$17)</f>
        <v>0</v>
      </c>
      <c r="CH175" s="28">
        <f>SUMIF('Lease Cycles'!$HL$17:$HR$17,CH$6,'Lease Cycles'!$HS$17:$HY$17)</f>
        <v>0</v>
      </c>
      <c r="CI175" s="28">
        <f>SUMIF('Lease Cycles'!$HL$17:$HR$17,CI$6,'Lease Cycles'!$HS$17:$HY$17)</f>
        <v>0</v>
      </c>
      <c r="CJ175" s="28">
        <f>SUMIF('Lease Cycles'!$HL$17:$HR$17,CJ$6,'Lease Cycles'!$HS$17:$HY$17)</f>
        <v>0</v>
      </c>
      <c r="CK175" s="28">
        <f>SUMIF('Lease Cycles'!$HL$17:$HR$17,CK$6,'Lease Cycles'!$HS$17:$HY$17)</f>
        <v>0</v>
      </c>
      <c r="CL175" s="28">
        <f>SUMIF('Lease Cycles'!$HL$17:$HR$17,CL$6,'Lease Cycles'!$HS$17:$HY$17)</f>
        <v>0</v>
      </c>
      <c r="CM175" s="28">
        <f>SUMIF('Lease Cycles'!$HL$17:$HR$17,CM$6,'Lease Cycles'!$HS$17:$HY$17)</f>
        <v>0</v>
      </c>
      <c r="CN175" s="28">
        <f>SUMIF('Lease Cycles'!$HL$17:$HR$17,CN$6,'Lease Cycles'!$HS$17:$HY$17)</f>
        <v>0</v>
      </c>
      <c r="CO175" s="28">
        <f>SUMIF('Lease Cycles'!$HL$17:$HR$17,CO$6,'Lease Cycles'!$HS$17:$HY$17)</f>
        <v>0</v>
      </c>
      <c r="CP175" s="28">
        <f>SUMIF('Lease Cycles'!$HL$17:$HR$17,CP$6,'Lease Cycles'!$HS$17:$HY$17)</f>
        <v>0</v>
      </c>
      <c r="CQ175" s="28">
        <f>SUMIF('Lease Cycles'!$HL$17:$HR$17,CQ$6,'Lease Cycles'!$HS$17:$HY$17)</f>
        <v>0</v>
      </c>
      <c r="CR175" s="28">
        <f>SUMIF('Lease Cycles'!$HL$17:$HR$17,CR$6,'Lease Cycles'!$HS$17:$HY$17)</f>
        <v>0</v>
      </c>
      <c r="CS175" s="28">
        <f>SUMIF('Lease Cycles'!$HL$17:$HR$17,CS$6,'Lease Cycles'!$HS$17:$HY$17)</f>
        <v>0</v>
      </c>
      <c r="CT175" s="28">
        <f>SUMIF('Lease Cycles'!$HL$17:$HR$17,CT$6,'Lease Cycles'!$HS$17:$HY$17)</f>
        <v>0</v>
      </c>
      <c r="CU175" s="28">
        <f>SUMIF('Lease Cycles'!$HL$17:$HR$17,CU$6,'Lease Cycles'!$HS$17:$HY$17)</f>
        <v>0</v>
      </c>
      <c r="CV175" s="28">
        <f>SUMIF('Lease Cycles'!$HL$17:$HR$17,CV$6,'Lease Cycles'!$HS$17:$HY$17)</f>
        <v>0</v>
      </c>
      <c r="CW175" s="28">
        <f>SUMIF('Lease Cycles'!$HL$17:$HR$17,CW$6,'Lease Cycles'!$HS$17:$HY$17)</f>
        <v>0</v>
      </c>
      <c r="CX175" s="28">
        <f>SUMIF('Lease Cycles'!$HL$17:$HR$17,CX$6,'Lease Cycles'!$HS$17:$HY$17)</f>
        <v>0</v>
      </c>
      <c r="CY175" s="28">
        <f>SUMIF('Lease Cycles'!$HL$17:$HR$17,CY$6,'Lease Cycles'!$HS$17:$HY$17)</f>
        <v>0</v>
      </c>
      <c r="CZ175" s="28">
        <f>SUMIF('Lease Cycles'!$HL$17:$HR$17,CZ$6,'Lease Cycles'!$HS$17:$HY$17)</f>
        <v>0</v>
      </c>
      <c r="DA175" s="28">
        <f>SUMIF('Lease Cycles'!$HL$17:$HR$17,DA$6,'Lease Cycles'!$HS$17:$HY$17)</f>
        <v>0</v>
      </c>
      <c r="DB175" s="28">
        <f>SUMIF('Lease Cycles'!$HL$17:$HR$17,DB$6,'Lease Cycles'!$HS$17:$HY$17)</f>
        <v>0</v>
      </c>
      <c r="DC175" s="28">
        <f>SUMIF('Lease Cycles'!$HL$17:$HR$17,DC$6,'Lease Cycles'!$HS$17:$HY$17)</f>
        <v>0</v>
      </c>
      <c r="DD175" s="28">
        <f>SUMIF('Lease Cycles'!$HL$17:$HR$17,DD$6,'Lease Cycles'!$HS$17:$HY$17)</f>
        <v>0</v>
      </c>
      <c r="DE175" s="28">
        <f>SUMIF('Lease Cycles'!$HL$17:$HR$17,DE$6,'Lease Cycles'!$HS$17:$HY$17)</f>
        <v>0</v>
      </c>
      <c r="DF175" s="28">
        <f>SUMIF('Lease Cycles'!$HL$17:$HR$17,DF$6,'Lease Cycles'!$HS$17:$HY$17)</f>
        <v>0</v>
      </c>
      <c r="DG175" s="28">
        <f>SUMIF('Lease Cycles'!$HL$17:$HR$17,DG$6,'Lease Cycles'!$HS$17:$HY$17)</f>
        <v>0</v>
      </c>
      <c r="DH175" s="28">
        <f>SUMIF('Lease Cycles'!$HL$17:$HR$17,DH$6,'Lease Cycles'!$HS$17:$HY$17)</f>
        <v>0</v>
      </c>
      <c r="DI175" s="28">
        <f>SUMIF('Lease Cycles'!$HL$17:$HR$17,DI$6,'Lease Cycles'!$HS$17:$HY$17)</f>
        <v>13079.346183225669</v>
      </c>
      <c r="DJ175" s="28">
        <f>SUMIF('Lease Cycles'!$HL$17:$HR$17,DJ$6,'Lease Cycles'!$HS$17:$HY$17)</f>
        <v>0</v>
      </c>
      <c r="DK175" s="28">
        <f>SUMIF('Lease Cycles'!$HL$17:$HR$17,DK$6,'Lease Cycles'!$HS$17:$HY$17)</f>
        <v>0</v>
      </c>
      <c r="DL175" s="28">
        <f>SUMIF('Lease Cycles'!$HL$17:$HR$17,DL$6,'Lease Cycles'!$HS$17:$HY$17)</f>
        <v>0</v>
      </c>
      <c r="DM175" s="28">
        <f>SUMIF('Lease Cycles'!$HL$17:$HR$17,DM$6,'Lease Cycles'!$HS$17:$HY$17)</f>
        <v>0</v>
      </c>
      <c r="DN175" s="28">
        <f>SUMIF('Lease Cycles'!$HL$17:$HR$17,DN$6,'Lease Cycles'!$HS$17:$HY$17)</f>
        <v>0</v>
      </c>
      <c r="DO175" s="28">
        <f>SUMIF('Lease Cycles'!$HL$17:$HR$17,DO$6,'Lease Cycles'!$HS$17:$HY$17)</f>
        <v>0</v>
      </c>
      <c r="DP175" s="28">
        <f>SUMIF('Lease Cycles'!$HL$17:$HR$17,DP$6,'Lease Cycles'!$HS$17:$HY$17)</f>
        <v>0</v>
      </c>
      <c r="DQ175" s="28">
        <f>SUMIF('Lease Cycles'!$HL$17:$HR$17,DQ$6,'Lease Cycles'!$HS$17:$HY$17)</f>
        <v>0</v>
      </c>
      <c r="DR175" s="28">
        <f>SUMIF('Lease Cycles'!$HL$17:$HR$17,DR$6,'Lease Cycles'!$HS$17:$HY$17)</f>
        <v>0</v>
      </c>
      <c r="DS175" s="28">
        <f>SUMIF('Lease Cycles'!$HL$17:$HR$17,DS$6,'Lease Cycles'!$HS$17:$HY$17)</f>
        <v>0</v>
      </c>
      <c r="DT175" s="28">
        <f>SUMIF('Lease Cycles'!$HL$17:$HR$17,DT$6,'Lease Cycles'!$HS$17:$HY$17)</f>
        <v>0</v>
      </c>
      <c r="DU175" s="28">
        <f>SUMIF('Lease Cycles'!$HL$17:$HR$17,DU$6,'Lease Cycles'!$HS$17:$HY$17)</f>
        <v>0</v>
      </c>
      <c r="DV175" s="28">
        <f>SUMIF('Lease Cycles'!$HL$17:$HR$17,DV$6,'Lease Cycles'!$HS$17:$HY$17)</f>
        <v>0</v>
      </c>
      <c r="DW175" s="28">
        <f>SUMIF('Lease Cycles'!$HL$17:$HR$17,DW$6,'Lease Cycles'!$HS$17:$HY$17)</f>
        <v>0</v>
      </c>
      <c r="DX175" s="28">
        <f>SUMIF('Lease Cycles'!$HL$17:$HR$17,DX$6,'Lease Cycles'!$HS$17:$HY$17)</f>
        <v>0</v>
      </c>
      <c r="DY175" s="28">
        <f>SUMIF('Lease Cycles'!$HL$17:$HR$17,DY$6,'Lease Cycles'!$HS$17:$HY$17)</f>
        <v>0</v>
      </c>
      <c r="DZ175" s="28">
        <f>SUMIF('Lease Cycles'!$HL$17:$HR$17,DZ$6,'Lease Cycles'!$HS$17:$HY$17)</f>
        <v>0</v>
      </c>
      <c r="EA175" s="28">
        <f>SUMIF('Lease Cycles'!$HL$17:$HR$17,EA$6,'Lease Cycles'!$HS$17:$HY$17)</f>
        <v>0</v>
      </c>
      <c r="EB175" s="28">
        <f>SUMIF('Lease Cycles'!$HL$17:$HR$17,EB$6,'Lease Cycles'!$HS$17:$HY$17)</f>
        <v>0</v>
      </c>
      <c r="EC175" s="28">
        <f>SUMIF('Lease Cycles'!$HL$17:$HR$17,EC$6,'Lease Cycles'!$HS$17:$HY$17)</f>
        <v>0</v>
      </c>
      <c r="ED175" s="28">
        <f>SUMIF('Lease Cycles'!$HL$17:$HR$17,ED$6,'Lease Cycles'!$HS$17:$HY$17)</f>
        <v>0</v>
      </c>
      <c r="EE175" s="28">
        <f>SUMIF('Lease Cycles'!$HL$17:$HR$17,EE$6,'Lease Cycles'!$HS$17:$HY$17)</f>
        <v>0</v>
      </c>
      <c r="EF175" s="28">
        <f>SUMIF('Lease Cycles'!$HL$17:$HR$17,EF$6,'Lease Cycles'!$HS$17:$HY$17)</f>
        <v>0</v>
      </c>
      <c r="EG175" s="28">
        <f>SUMIF('Lease Cycles'!$HL$17:$HR$17,EG$6,'Lease Cycles'!$HS$17:$HY$17)</f>
        <v>0</v>
      </c>
      <c r="EH175" s="28">
        <f>SUMIF('Lease Cycles'!$HL$17:$HR$17,EH$6,'Lease Cycles'!$HS$17:$HY$17)</f>
        <v>0</v>
      </c>
      <c r="EI175" s="28">
        <f>SUMIF('Lease Cycles'!$HL$17:$HR$17,EI$6,'Lease Cycles'!$HS$17:$HY$17)</f>
        <v>0</v>
      </c>
      <c r="EJ175" s="28">
        <f>SUMIF('Lease Cycles'!$HL$17:$HR$17,EJ$6,'Lease Cycles'!$HS$17:$HY$17)</f>
        <v>0</v>
      </c>
      <c r="EK175" s="28">
        <f>SUMIF('Lease Cycles'!$HL$17:$HR$17,EK$6,'Lease Cycles'!$HS$17:$HY$17)</f>
        <v>0</v>
      </c>
      <c r="EL175" s="28">
        <f>SUMIF('Lease Cycles'!$HL$17:$HR$17,EL$6,'Lease Cycles'!$HS$17:$HY$17)</f>
        <v>0</v>
      </c>
      <c r="EM175" s="28">
        <f>SUMIF('Lease Cycles'!$HL$17:$HR$17,EM$6,'Lease Cycles'!$HS$17:$HY$17)</f>
        <v>0</v>
      </c>
      <c r="EN175" s="28">
        <f>SUMIF('Lease Cycles'!$HL$17:$HR$17,EN$6,'Lease Cycles'!$HS$17:$HY$17)</f>
        <v>0</v>
      </c>
      <c r="EO175" s="28">
        <f>SUMIF('Lease Cycles'!$HL$17:$HR$17,EO$6,'Lease Cycles'!$HS$17:$HY$17)</f>
        <v>0</v>
      </c>
      <c r="EP175" s="28">
        <f>SUMIF('Lease Cycles'!$HL$17:$HR$17,EP$6,'Lease Cycles'!$HS$17:$HY$17)</f>
        <v>0</v>
      </c>
      <c r="EQ175" s="28">
        <f>SUMIF('Lease Cycles'!$HL$17:$HR$17,EQ$6,'Lease Cycles'!$HS$17:$HY$17)</f>
        <v>0</v>
      </c>
      <c r="ER175" s="28">
        <f>SUMIF('Lease Cycles'!$HL$17:$HR$17,ER$6,'Lease Cycles'!$HS$17:$HY$17)</f>
        <v>0</v>
      </c>
      <c r="ES175" s="28">
        <f>SUMIF('Lease Cycles'!$HL$17:$HR$17,ES$6,'Lease Cycles'!$HS$17:$HY$17)</f>
        <v>0</v>
      </c>
      <c r="ET175" s="28">
        <f>SUMIF('Lease Cycles'!$HL$17:$HR$17,ET$6,'Lease Cycles'!$HS$17:$HY$17)</f>
        <v>0</v>
      </c>
    </row>
    <row r="176">
      <c r="A176" s="103">
        <v>10</v>
      </c>
      <c r="B176" s="23" t="str">
        <f>IF('Lease Cycles'!$B$17="","(empty slot)",'Lease Cycles'!$B$17)</f>
        <v>Available B-9</v>
      </c>
      <c r="C176" s="23" t="s">
        <v>532</v>
      </c>
      <c r="D176" s="104" t="s">
        <v>533</v>
      </c>
      <c r="E176" s="25">
        <f>'Lease Cycles'!$AL$17</f>
        <v>0</v>
      </c>
      <c r="G176" s="28">
        <f>SUM(S176:AD176)</f>
        <v>11591.772787158123</v>
      </c>
      <c r="H176" s="28">
        <f>SUM(AE176:AP176)</f>
        <v>0</v>
      </c>
      <c r="I176" s="28">
        <f>SUM(AQ176:BB176)</f>
        <v>0</v>
      </c>
      <c r="J176" s="28">
        <f>SUM(BC176:BN176)</f>
        <v>0</v>
      </c>
      <c r="K176" s="28">
        <f>SUM(BO176:BZ176)</f>
        <v>0</v>
      </c>
      <c r="L176" s="28">
        <f>SUM(CA176:CL176)</f>
        <v>0</v>
      </c>
      <c r="M176" s="28">
        <f>SUM(CM176:CX176)</f>
        <v>0</v>
      </c>
      <c r="N176" s="28">
        <f>SUM(CY176:DJ176)</f>
        <v>8437.45106893518</v>
      </c>
      <c r="O176" s="28">
        <f>SUM(DK176:DV176)</f>
        <v>0</v>
      </c>
      <c r="P176" s="28">
        <f>SUM(DW176:EH176)</f>
        <v>0</v>
      </c>
      <c r="Q176" s="28">
        <f>SUM(EI176:ET176)</f>
        <v>0</v>
      </c>
      <c r="S176" s="28">
        <f>SUMIF('Lease Cycles'!$HL$17:$HR$17,S$6,'Lease Cycles'!$HZ$17:$IF$17)</f>
        <v>0</v>
      </c>
      <c r="T176" s="28">
        <f>SUMIF('Lease Cycles'!$HL$17:$HR$17,T$6,'Lease Cycles'!$HZ$17:$IF$17)</f>
        <v>0</v>
      </c>
      <c r="U176" s="28">
        <f>SUMIF('Lease Cycles'!$HL$17:$HR$17,U$6,'Lease Cycles'!$HZ$17:$IF$17)</f>
        <v>0</v>
      </c>
      <c r="V176" s="28">
        <f>SUMIF('Lease Cycles'!$HL$17:$HR$17,V$6,'Lease Cycles'!$HZ$17:$IF$17)</f>
        <v>0</v>
      </c>
      <c r="W176" s="28">
        <f>SUMIF('Lease Cycles'!$HL$17:$HR$17,W$6,'Lease Cycles'!$HZ$17:$IF$17)</f>
        <v>0</v>
      </c>
      <c r="X176" s="28">
        <f>SUMIF('Lease Cycles'!$HL$17:$HR$17,X$6,'Lease Cycles'!$HZ$17:$IF$17)</f>
        <v>0</v>
      </c>
      <c r="Y176" s="28">
        <f>SUMIF('Lease Cycles'!$HL$17:$HR$17,Y$6,'Lease Cycles'!$HZ$17:$IF$17)</f>
        <v>0</v>
      </c>
      <c r="Z176" s="28">
        <f>SUMIF('Lease Cycles'!$HL$17:$HR$17,Z$6,'Lease Cycles'!$HZ$17:$IF$17)</f>
        <v>0</v>
      </c>
      <c r="AA176" s="28">
        <f>SUMIF('Lease Cycles'!$HL$17:$HR$17,AA$6,'Lease Cycles'!$HZ$17:$IF$17)</f>
        <v>0</v>
      </c>
      <c r="AB176" s="28">
        <f>SUMIF('Lease Cycles'!$HL$17:$HR$17,AB$6,'Lease Cycles'!$HZ$17:$IF$17)</f>
        <v>11591.772787158123</v>
      </c>
      <c r="AC176" s="28">
        <f>SUMIF('Lease Cycles'!$HL$17:$HR$17,AC$6,'Lease Cycles'!$HZ$17:$IF$17)</f>
        <v>0</v>
      </c>
      <c r="AD176" s="28">
        <f>SUMIF('Lease Cycles'!$HL$17:$HR$17,AD$6,'Lease Cycles'!$HZ$17:$IF$17)</f>
        <v>0</v>
      </c>
      <c r="AE176" s="28">
        <f>SUMIF('Lease Cycles'!$HL$17:$HR$17,AE$6,'Lease Cycles'!$HZ$17:$IF$17)</f>
        <v>0</v>
      </c>
      <c r="AF176" s="28">
        <f>SUMIF('Lease Cycles'!$HL$17:$HR$17,AF$6,'Lease Cycles'!$HZ$17:$IF$17)</f>
        <v>0</v>
      </c>
      <c r="AG176" s="28">
        <f>SUMIF('Lease Cycles'!$HL$17:$HR$17,AG$6,'Lease Cycles'!$HZ$17:$IF$17)</f>
        <v>0</v>
      </c>
      <c r="AH176" s="28">
        <f>SUMIF('Lease Cycles'!$HL$17:$HR$17,AH$6,'Lease Cycles'!$HZ$17:$IF$17)</f>
        <v>0</v>
      </c>
      <c r="AI176" s="28">
        <f>SUMIF('Lease Cycles'!$HL$17:$HR$17,AI$6,'Lease Cycles'!$HZ$17:$IF$17)</f>
        <v>0</v>
      </c>
      <c r="AJ176" s="28">
        <f>SUMIF('Lease Cycles'!$HL$17:$HR$17,AJ$6,'Lease Cycles'!$HZ$17:$IF$17)</f>
        <v>0</v>
      </c>
      <c r="AK176" s="28">
        <f>SUMIF('Lease Cycles'!$HL$17:$HR$17,AK$6,'Lease Cycles'!$HZ$17:$IF$17)</f>
        <v>0</v>
      </c>
      <c r="AL176" s="28">
        <f>SUMIF('Lease Cycles'!$HL$17:$HR$17,AL$6,'Lease Cycles'!$HZ$17:$IF$17)</f>
        <v>0</v>
      </c>
      <c r="AM176" s="28">
        <f>SUMIF('Lease Cycles'!$HL$17:$HR$17,AM$6,'Lease Cycles'!$HZ$17:$IF$17)</f>
        <v>0</v>
      </c>
      <c r="AN176" s="28">
        <f>SUMIF('Lease Cycles'!$HL$17:$HR$17,AN$6,'Lease Cycles'!$HZ$17:$IF$17)</f>
        <v>0</v>
      </c>
      <c r="AO176" s="28">
        <f>SUMIF('Lease Cycles'!$HL$17:$HR$17,AO$6,'Lease Cycles'!$HZ$17:$IF$17)</f>
        <v>0</v>
      </c>
      <c r="AP176" s="28">
        <f>SUMIF('Lease Cycles'!$HL$17:$HR$17,AP$6,'Lease Cycles'!$HZ$17:$IF$17)</f>
        <v>0</v>
      </c>
      <c r="AQ176" s="28">
        <f>SUMIF('Lease Cycles'!$HL$17:$HR$17,AQ$6,'Lease Cycles'!$HZ$17:$IF$17)</f>
        <v>0</v>
      </c>
      <c r="AR176" s="28">
        <f>SUMIF('Lease Cycles'!$HL$17:$HR$17,AR$6,'Lease Cycles'!$HZ$17:$IF$17)</f>
        <v>0</v>
      </c>
      <c r="AS176" s="28">
        <f>SUMIF('Lease Cycles'!$HL$17:$HR$17,AS$6,'Lease Cycles'!$HZ$17:$IF$17)</f>
        <v>0</v>
      </c>
      <c r="AT176" s="28">
        <f>SUMIF('Lease Cycles'!$HL$17:$HR$17,AT$6,'Lease Cycles'!$HZ$17:$IF$17)</f>
        <v>0</v>
      </c>
      <c r="AU176" s="28">
        <f>SUMIF('Lease Cycles'!$HL$17:$HR$17,AU$6,'Lease Cycles'!$HZ$17:$IF$17)</f>
        <v>0</v>
      </c>
      <c r="AV176" s="28">
        <f>SUMIF('Lease Cycles'!$HL$17:$HR$17,AV$6,'Lease Cycles'!$HZ$17:$IF$17)</f>
        <v>0</v>
      </c>
      <c r="AW176" s="28">
        <f>SUMIF('Lease Cycles'!$HL$17:$HR$17,AW$6,'Lease Cycles'!$HZ$17:$IF$17)</f>
        <v>0</v>
      </c>
      <c r="AX176" s="28">
        <f>SUMIF('Lease Cycles'!$HL$17:$HR$17,AX$6,'Lease Cycles'!$HZ$17:$IF$17)</f>
        <v>0</v>
      </c>
      <c r="AY176" s="28">
        <f>SUMIF('Lease Cycles'!$HL$17:$HR$17,AY$6,'Lease Cycles'!$HZ$17:$IF$17)</f>
        <v>0</v>
      </c>
      <c r="AZ176" s="28">
        <f>SUMIF('Lease Cycles'!$HL$17:$HR$17,AZ$6,'Lease Cycles'!$HZ$17:$IF$17)</f>
        <v>0</v>
      </c>
      <c r="BA176" s="28">
        <f>SUMIF('Lease Cycles'!$HL$17:$HR$17,BA$6,'Lease Cycles'!$HZ$17:$IF$17)</f>
        <v>0</v>
      </c>
      <c r="BB176" s="28">
        <f>SUMIF('Lease Cycles'!$HL$17:$HR$17,BB$6,'Lease Cycles'!$HZ$17:$IF$17)</f>
        <v>0</v>
      </c>
      <c r="BC176" s="28">
        <f>SUMIF('Lease Cycles'!$HL$17:$HR$17,BC$6,'Lease Cycles'!$HZ$17:$IF$17)</f>
        <v>0</v>
      </c>
      <c r="BD176" s="28">
        <f>SUMIF('Lease Cycles'!$HL$17:$HR$17,BD$6,'Lease Cycles'!$HZ$17:$IF$17)</f>
        <v>0</v>
      </c>
      <c r="BE176" s="28">
        <f>SUMIF('Lease Cycles'!$HL$17:$HR$17,BE$6,'Lease Cycles'!$HZ$17:$IF$17)</f>
        <v>0</v>
      </c>
      <c r="BF176" s="28">
        <f>SUMIF('Lease Cycles'!$HL$17:$HR$17,BF$6,'Lease Cycles'!$HZ$17:$IF$17)</f>
        <v>0</v>
      </c>
      <c r="BG176" s="28">
        <f>SUMIF('Lease Cycles'!$HL$17:$HR$17,BG$6,'Lease Cycles'!$HZ$17:$IF$17)</f>
        <v>0</v>
      </c>
      <c r="BH176" s="28">
        <f>SUMIF('Lease Cycles'!$HL$17:$HR$17,BH$6,'Lease Cycles'!$HZ$17:$IF$17)</f>
        <v>0</v>
      </c>
      <c r="BI176" s="28">
        <f>SUMIF('Lease Cycles'!$HL$17:$HR$17,BI$6,'Lease Cycles'!$HZ$17:$IF$17)</f>
        <v>0</v>
      </c>
      <c r="BJ176" s="28">
        <f>SUMIF('Lease Cycles'!$HL$17:$HR$17,BJ$6,'Lease Cycles'!$HZ$17:$IF$17)</f>
        <v>0</v>
      </c>
      <c r="BK176" s="28">
        <f>SUMIF('Lease Cycles'!$HL$17:$HR$17,BK$6,'Lease Cycles'!$HZ$17:$IF$17)</f>
        <v>0</v>
      </c>
      <c r="BL176" s="28">
        <f>SUMIF('Lease Cycles'!$HL$17:$HR$17,BL$6,'Lease Cycles'!$HZ$17:$IF$17)</f>
        <v>0</v>
      </c>
      <c r="BM176" s="28">
        <f>SUMIF('Lease Cycles'!$HL$17:$HR$17,BM$6,'Lease Cycles'!$HZ$17:$IF$17)</f>
        <v>0</v>
      </c>
      <c r="BN176" s="28">
        <f>SUMIF('Lease Cycles'!$HL$17:$HR$17,BN$6,'Lease Cycles'!$HZ$17:$IF$17)</f>
        <v>0</v>
      </c>
      <c r="BO176" s="28">
        <f>SUMIF('Lease Cycles'!$HL$17:$HR$17,BO$6,'Lease Cycles'!$HZ$17:$IF$17)</f>
        <v>0</v>
      </c>
      <c r="BP176" s="28">
        <f>SUMIF('Lease Cycles'!$HL$17:$HR$17,BP$6,'Lease Cycles'!$HZ$17:$IF$17)</f>
        <v>0</v>
      </c>
      <c r="BQ176" s="28">
        <f>SUMIF('Lease Cycles'!$HL$17:$HR$17,BQ$6,'Lease Cycles'!$HZ$17:$IF$17)</f>
        <v>0</v>
      </c>
      <c r="BR176" s="28">
        <f>SUMIF('Lease Cycles'!$HL$17:$HR$17,BR$6,'Lease Cycles'!$HZ$17:$IF$17)</f>
        <v>0</v>
      </c>
      <c r="BS176" s="28">
        <f>SUMIF('Lease Cycles'!$HL$17:$HR$17,BS$6,'Lease Cycles'!$HZ$17:$IF$17)</f>
        <v>0</v>
      </c>
      <c r="BT176" s="28">
        <f>SUMIF('Lease Cycles'!$HL$17:$HR$17,BT$6,'Lease Cycles'!$HZ$17:$IF$17)</f>
        <v>0</v>
      </c>
      <c r="BU176" s="28">
        <f>SUMIF('Lease Cycles'!$HL$17:$HR$17,BU$6,'Lease Cycles'!$HZ$17:$IF$17)</f>
        <v>0</v>
      </c>
      <c r="BV176" s="28">
        <f>SUMIF('Lease Cycles'!$HL$17:$HR$17,BV$6,'Lease Cycles'!$HZ$17:$IF$17)</f>
        <v>0</v>
      </c>
      <c r="BW176" s="28">
        <f>SUMIF('Lease Cycles'!$HL$17:$HR$17,BW$6,'Lease Cycles'!$HZ$17:$IF$17)</f>
        <v>0</v>
      </c>
      <c r="BX176" s="28">
        <f>SUMIF('Lease Cycles'!$HL$17:$HR$17,BX$6,'Lease Cycles'!$HZ$17:$IF$17)</f>
        <v>0</v>
      </c>
      <c r="BY176" s="28">
        <f>SUMIF('Lease Cycles'!$HL$17:$HR$17,BY$6,'Lease Cycles'!$HZ$17:$IF$17)</f>
        <v>0</v>
      </c>
      <c r="BZ176" s="28">
        <f>SUMIF('Lease Cycles'!$HL$17:$HR$17,BZ$6,'Lease Cycles'!$HZ$17:$IF$17)</f>
        <v>0</v>
      </c>
      <c r="CA176" s="28">
        <f>SUMIF('Lease Cycles'!$HL$17:$HR$17,CA$6,'Lease Cycles'!$HZ$17:$IF$17)</f>
        <v>0</v>
      </c>
      <c r="CB176" s="28">
        <f>SUMIF('Lease Cycles'!$HL$17:$HR$17,CB$6,'Lease Cycles'!$HZ$17:$IF$17)</f>
        <v>0</v>
      </c>
      <c r="CC176" s="28">
        <f>SUMIF('Lease Cycles'!$HL$17:$HR$17,CC$6,'Lease Cycles'!$HZ$17:$IF$17)</f>
        <v>0</v>
      </c>
      <c r="CD176" s="28">
        <f>SUMIF('Lease Cycles'!$HL$17:$HR$17,CD$6,'Lease Cycles'!$HZ$17:$IF$17)</f>
        <v>0</v>
      </c>
      <c r="CE176" s="28">
        <f>SUMIF('Lease Cycles'!$HL$17:$HR$17,CE$6,'Lease Cycles'!$HZ$17:$IF$17)</f>
        <v>0</v>
      </c>
      <c r="CF176" s="28">
        <f>SUMIF('Lease Cycles'!$HL$17:$HR$17,CF$6,'Lease Cycles'!$HZ$17:$IF$17)</f>
        <v>0</v>
      </c>
      <c r="CG176" s="28">
        <f>SUMIF('Lease Cycles'!$HL$17:$HR$17,CG$6,'Lease Cycles'!$HZ$17:$IF$17)</f>
        <v>0</v>
      </c>
      <c r="CH176" s="28">
        <f>SUMIF('Lease Cycles'!$HL$17:$HR$17,CH$6,'Lease Cycles'!$HZ$17:$IF$17)</f>
        <v>0</v>
      </c>
      <c r="CI176" s="28">
        <f>SUMIF('Lease Cycles'!$HL$17:$HR$17,CI$6,'Lease Cycles'!$HZ$17:$IF$17)</f>
        <v>0</v>
      </c>
      <c r="CJ176" s="28">
        <f>SUMIF('Lease Cycles'!$HL$17:$HR$17,CJ$6,'Lease Cycles'!$HZ$17:$IF$17)</f>
        <v>0</v>
      </c>
      <c r="CK176" s="28">
        <f>SUMIF('Lease Cycles'!$HL$17:$HR$17,CK$6,'Lease Cycles'!$HZ$17:$IF$17)</f>
        <v>0</v>
      </c>
      <c r="CL176" s="28">
        <f>SUMIF('Lease Cycles'!$HL$17:$HR$17,CL$6,'Lease Cycles'!$HZ$17:$IF$17)</f>
        <v>0</v>
      </c>
      <c r="CM176" s="28">
        <f>SUMIF('Lease Cycles'!$HL$17:$HR$17,CM$6,'Lease Cycles'!$HZ$17:$IF$17)</f>
        <v>0</v>
      </c>
      <c r="CN176" s="28">
        <f>SUMIF('Lease Cycles'!$HL$17:$HR$17,CN$6,'Lease Cycles'!$HZ$17:$IF$17)</f>
        <v>0</v>
      </c>
      <c r="CO176" s="28">
        <f>SUMIF('Lease Cycles'!$HL$17:$HR$17,CO$6,'Lease Cycles'!$HZ$17:$IF$17)</f>
        <v>0</v>
      </c>
      <c r="CP176" s="28">
        <f>SUMIF('Lease Cycles'!$HL$17:$HR$17,CP$6,'Lease Cycles'!$HZ$17:$IF$17)</f>
        <v>0</v>
      </c>
      <c r="CQ176" s="28">
        <f>SUMIF('Lease Cycles'!$HL$17:$HR$17,CQ$6,'Lease Cycles'!$HZ$17:$IF$17)</f>
        <v>0</v>
      </c>
      <c r="CR176" s="28">
        <f>SUMIF('Lease Cycles'!$HL$17:$HR$17,CR$6,'Lease Cycles'!$HZ$17:$IF$17)</f>
        <v>0</v>
      </c>
      <c r="CS176" s="28">
        <f>SUMIF('Lease Cycles'!$HL$17:$HR$17,CS$6,'Lease Cycles'!$HZ$17:$IF$17)</f>
        <v>0</v>
      </c>
      <c r="CT176" s="28">
        <f>SUMIF('Lease Cycles'!$HL$17:$HR$17,CT$6,'Lease Cycles'!$HZ$17:$IF$17)</f>
        <v>0</v>
      </c>
      <c r="CU176" s="28">
        <f>SUMIF('Lease Cycles'!$HL$17:$HR$17,CU$6,'Lease Cycles'!$HZ$17:$IF$17)</f>
        <v>0</v>
      </c>
      <c r="CV176" s="28">
        <f>SUMIF('Lease Cycles'!$HL$17:$HR$17,CV$6,'Lease Cycles'!$HZ$17:$IF$17)</f>
        <v>0</v>
      </c>
      <c r="CW176" s="28">
        <f>SUMIF('Lease Cycles'!$HL$17:$HR$17,CW$6,'Lease Cycles'!$HZ$17:$IF$17)</f>
        <v>0</v>
      </c>
      <c r="CX176" s="28">
        <f>SUMIF('Lease Cycles'!$HL$17:$HR$17,CX$6,'Lease Cycles'!$HZ$17:$IF$17)</f>
        <v>0</v>
      </c>
      <c r="CY176" s="28">
        <f>SUMIF('Lease Cycles'!$HL$17:$HR$17,CY$6,'Lease Cycles'!$HZ$17:$IF$17)</f>
        <v>0</v>
      </c>
      <c r="CZ176" s="28">
        <f>SUMIF('Lease Cycles'!$HL$17:$HR$17,CZ$6,'Lease Cycles'!$HZ$17:$IF$17)</f>
        <v>0</v>
      </c>
      <c r="DA176" s="28">
        <f>SUMIF('Lease Cycles'!$HL$17:$HR$17,DA$6,'Lease Cycles'!$HZ$17:$IF$17)</f>
        <v>0</v>
      </c>
      <c r="DB176" s="28">
        <f>SUMIF('Lease Cycles'!$HL$17:$HR$17,DB$6,'Lease Cycles'!$HZ$17:$IF$17)</f>
        <v>0</v>
      </c>
      <c r="DC176" s="28">
        <f>SUMIF('Lease Cycles'!$HL$17:$HR$17,DC$6,'Lease Cycles'!$HZ$17:$IF$17)</f>
        <v>0</v>
      </c>
      <c r="DD176" s="28">
        <f>SUMIF('Lease Cycles'!$HL$17:$HR$17,DD$6,'Lease Cycles'!$HZ$17:$IF$17)</f>
        <v>0</v>
      </c>
      <c r="DE176" s="28">
        <f>SUMIF('Lease Cycles'!$HL$17:$HR$17,DE$6,'Lease Cycles'!$HZ$17:$IF$17)</f>
        <v>0</v>
      </c>
      <c r="DF176" s="28">
        <f>SUMIF('Lease Cycles'!$HL$17:$HR$17,DF$6,'Lease Cycles'!$HZ$17:$IF$17)</f>
        <v>0</v>
      </c>
      <c r="DG176" s="28">
        <f>SUMIF('Lease Cycles'!$HL$17:$HR$17,DG$6,'Lease Cycles'!$HZ$17:$IF$17)</f>
        <v>0</v>
      </c>
      <c r="DH176" s="28">
        <f>SUMIF('Lease Cycles'!$HL$17:$HR$17,DH$6,'Lease Cycles'!$HZ$17:$IF$17)</f>
        <v>0</v>
      </c>
      <c r="DI176" s="28">
        <f>SUMIF('Lease Cycles'!$HL$17:$HR$17,DI$6,'Lease Cycles'!$HZ$17:$IF$17)</f>
        <v>8437.45106893518</v>
      </c>
      <c r="DJ176" s="28">
        <f>SUMIF('Lease Cycles'!$HL$17:$HR$17,DJ$6,'Lease Cycles'!$HZ$17:$IF$17)</f>
        <v>0</v>
      </c>
      <c r="DK176" s="28">
        <f>SUMIF('Lease Cycles'!$HL$17:$HR$17,DK$6,'Lease Cycles'!$HZ$17:$IF$17)</f>
        <v>0</v>
      </c>
      <c r="DL176" s="28">
        <f>SUMIF('Lease Cycles'!$HL$17:$HR$17,DL$6,'Lease Cycles'!$HZ$17:$IF$17)</f>
        <v>0</v>
      </c>
      <c r="DM176" s="28">
        <f>SUMIF('Lease Cycles'!$HL$17:$HR$17,DM$6,'Lease Cycles'!$HZ$17:$IF$17)</f>
        <v>0</v>
      </c>
      <c r="DN176" s="28">
        <f>SUMIF('Lease Cycles'!$HL$17:$HR$17,DN$6,'Lease Cycles'!$HZ$17:$IF$17)</f>
        <v>0</v>
      </c>
      <c r="DO176" s="28">
        <f>SUMIF('Lease Cycles'!$HL$17:$HR$17,DO$6,'Lease Cycles'!$HZ$17:$IF$17)</f>
        <v>0</v>
      </c>
      <c r="DP176" s="28">
        <f>SUMIF('Lease Cycles'!$HL$17:$HR$17,DP$6,'Lease Cycles'!$HZ$17:$IF$17)</f>
        <v>0</v>
      </c>
      <c r="DQ176" s="28">
        <f>SUMIF('Lease Cycles'!$HL$17:$HR$17,DQ$6,'Lease Cycles'!$HZ$17:$IF$17)</f>
        <v>0</v>
      </c>
      <c r="DR176" s="28">
        <f>SUMIF('Lease Cycles'!$HL$17:$HR$17,DR$6,'Lease Cycles'!$HZ$17:$IF$17)</f>
        <v>0</v>
      </c>
      <c r="DS176" s="28">
        <f>SUMIF('Lease Cycles'!$HL$17:$HR$17,DS$6,'Lease Cycles'!$HZ$17:$IF$17)</f>
        <v>0</v>
      </c>
      <c r="DT176" s="28">
        <f>SUMIF('Lease Cycles'!$HL$17:$HR$17,DT$6,'Lease Cycles'!$HZ$17:$IF$17)</f>
        <v>0</v>
      </c>
      <c r="DU176" s="28">
        <f>SUMIF('Lease Cycles'!$HL$17:$HR$17,DU$6,'Lease Cycles'!$HZ$17:$IF$17)</f>
        <v>0</v>
      </c>
      <c r="DV176" s="28">
        <f>SUMIF('Lease Cycles'!$HL$17:$HR$17,DV$6,'Lease Cycles'!$HZ$17:$IF$17)</f>
        <v>0</v>
      </c>
      <c r="DW176" s="28">
        <f>SUMIF('Lease Cycles'!$HL$17:$HR$17,DW$6,'Lease Cycles'!$HZ$17:$IF$17)</f>
        <v>0</v>
      </c>
      <c r="DX176" s="28">
        <f>SUMIF('Lease Cycles'!$HL$17:$HR$17,DX$6,'Lease Cycles'!$HZ$17:$IF$17)</f>
        <v>0</v>
      </c>
      <c r="DY176" s="28">
        <f>SUMIF('Lease Cycles'!$HL$17:$HR$17,DY$6,'Lease Cycles'!$HZ$17:$IF$17)</f>
        <v>0</v>
      </c>
      <c r="DZ176" s="28">
        <f>SUMIF('Lease Cycles'!$HL$17:$HR$17,DZ$6,'Lease Cycles'!$HZ$17:$IF$17)</f>
        <v>0</v>
      </c>
      <c r="EA176" s="28">
        <f>SUMIF('Lease Cycles'!$HL$17:$HR$17,EA$6,'Lease Cycles'!$HZ$17:$IF$17)</f>
        <v>0</v>
      </c>
      <c r="EB176" s="28">
        <f>SUMIF('Lease Cycles'!$HL$17:$HR$17,EB$6,'Lease Cycles'!$HZ$17:$IF$17)</f>
        <v>0</v>
      </c>
      <c r="EC176" s="28">
        <f>SUMIF('Lease Cycles'!$HL$17:$HR$17,EC$6,'Lease Cycles'!$HZ$17:$IF$17)</f>
        <v>0</v>
      </c>
      <c r="ED176" s="28">
        <f>SUMIF('Lease Cycles'!$HL$17:$HR$17,ED$6,'Lease Cycles'!$HZ$17:$IF$17)</f>
        <v>0</v>
      </c>
      <c r="EE176" s="28">
        <f>SUMIF('Lease Cycles'!$HL$17:$HR$17,EE$6,'Lease Cycles'!$HZ$17:$IF$17)</f>
        <v>0</v>
      </c>
      <c r="EF176" s="28">
        <f>SUMIF('Lease Cycles'!$HL$17:$HR$17,EF$6,'Lease Cycles'!$HZ$17:$IF$17)</f>
        <v>0</v>
      </c>
      <c r="EG176" s="28">
        <f>SUMIF('Lease Cycles'!$HL$17:$HR$17,EG$6,'Lease Cycles'!$HZ$17:$IF$17)</f>
        <v>0</v>
      </c>
      <c r="EH176" s="28">
        <f>SUMIF('Lease Cycles'!$HL$17:$HR$17,EH$6,'Lease Cycles'!$HZ$17:$IF$17)</f>
        <v>0</v>
      </c>
      <c r="EI176" s="28">
        <f>SUMIF('Lease Cycles'!$HL$17:$HR$17,EI$6,'Lease Cycles'!$HZ$17:$IF$17)</f>
        <v>0</v>
      </c>
      <c r="EJ176" s="28">
        <f>SUMIF('Lease Cycles'!$HL$17:$HR$17,EJ$6,'Lease Cycles'!$HZ$17:$IF$17)</f>
        <v>0</v>
      </c>
      <c r="EK176" s="28">
        <f>SUMIF('Lease Cycles'!$HL$17:$HR$17,EK$6,'Lease Cycles'!$HZ$17:$IF$17)</f>
        <v>0</v>
      </c>
      <c r="EL176" s="28">
        <f>SUMIF('Lease Cycles'!$HL$17:$HR$17,EL$6,'Lease Cycles'!$HZ$17:$IF$17)</f>
        <v>0</v>
      </c>
      <c r="EM176" s="28">
        <f>SUMIF('Lease Cycles'!$HL$17:$HR$17,EM$6,'Lease Cycles'!$HZ$17:$IF$17)</f>
        <v>0</v>
      </c>
      <c r="EN176" s="28">
        <f>SUMIF('Lease Cycles'!$HL$17:$HR$17,EN$6,'Lease Cycles'!$HZ$17:$IF$17)</f>
        <v>0</v>
      </c>
      <c r="EO176" s="28">
        <f>SUMIF('Lease Cycles'!$HL$17:$HR$17,EO$6,'Lease Cycles'!$HZ$17:$IF$17)</f>
        <v>0</v>
      </c>
      <c r="EP176" s="28">
        <f>SUMIF('Lease Cycles'!$HL$17:$HR$17,EP$6,'Lease Cycles'!$HZ$17:$IF$17)</f>
        <v>0</v>
      </c>
      <c r="EQ176" s="28">
        <f>SUMIF('Lease Cycles'!$HL$17:$HR$17,EQ$6,'Lease Cycles'!$HZ$17:$IF$17)</f>
        <v>0</v>
      </c>
      <c r="ER176" s="28">
        <f>SUMIF('Lease Cycles'!$HL$17:$HR$17,ER$6,'Lease Cycles'!$HZ$17:$IF$17)</f>
        <v>0</v>
      </c>
      <c r="ES176" s="28">
        <f>SUMIF('Lease Cycles'!$HL$17:$HR$17,ES$6,'Lease Cycles'!$HZ$17:$IF$17)</f>
        <v>0</v>
      </c>
      <c r="ET176" s="28">
        <f>SUMIF('Lease Cycles'!$HL$17:$HR$17,ET$6,'Lease Cycles'!$HZ$17:$IF$17)</f>
        <v>0</v>
      </c>
    </row>
    <row r="177">
      <c r="A177" s="103">
        <v>10</v>
      </c>
      <c r="B177" s="23" t="str">
        <f>IF('Lease Cycles'!$B$17="","(empty slot)",'Lease Cycles'!$B$17)</f>
        <v>Available B-9</v>
      </c>
      <c r="C177" s="23" t="s">
        <v>691</v>
      </c>
      <c r="D177" s="104" t="s">
        <v>692</v>
      </c>
      <c r="E177" s="25">
        <f>'Lease Cycles'!$AL$17</f>
        <v>0</v>
      </c>
      <c r="G177" s="28">
        <f>SUM(S177:AD177)</f>
        <v>35591.77278715812</v>
      </c>
      <c r="H177" s="28">
        <f>SUM(AE177:AP177)</f>
        <v>0</v>
      </c>
      <c r="I177" s="28">
        <f>SUM(AQ177:BB177)</f>
        <v>0</v>
      </c>
      <c r="J177" s="28">
        <f>SUM(BC177:BN177)</f>
        <v>0</v>
      </c>
      <c r="K177" s="28">
        <f>SUM(BO177:BZ177)</f>
        <v>0</v>
      </c>
      <c r="L177" s="28">
        <f>SUM(CA177:CL177)</f>
        <v>0</v>
      </c>
      <c r="M177" s="28">
        <f>SUM(CM177:CX177)</f>
        <v>0</v>
      </c>
      <c r="N177" s="28">
        <f>SUM(CY177:DJ177)</f>
        <v>0</v>
      </c>
      <c r="O177" s="28">
        <f>SUM(DK177:DV177)</f>
        <v>0</v>
      </c>
      <c r="P177" s="28">
        <f>SUM(DW177:EH177)</f>
        <v>0</v>
      </c>
      <c r="Q177" s="28">
        <f>SUM(EI177:ET177)</f>
        <v>0</v>
      </c>
      <c r="S177" s="28">
        <f>IF(S$6='Lease Cycles'!$HL$17,'Lease Cycles'!$HS$17+'Lease Cycles'!$HZ$17,0)</f>
        <v>0</v>
      </c>
      <c r="T177" s="28">
        <f>IF(T$6='Lease Cycles'!$HL$17,'Lease Cycles'!$HS$17+'Lease Cycles'!$HZ$17,0)</f>
        <v>0</v>
      </c>
      <c r="U177" s="28">
        <f>IF(U$6='Lease Cycles'!$HL$17,'Lease Cycles'!$HS$17+'Lease Cycles'!$HZ$17,0)</f>
        <v>0</v>
      </c>
      <c r="V177" s="28">
        <f>IF(V$6='Lease Cycles'!$HL$17,'Lease Cycles'!$HS$17+'Lease Cycles'!$HZ$17,0)</f>
        <v>0</v>
      </c>
      <c r="W177" s="28">
        <f>IF(W$6='Lease Cycles'!$HL$17,'Lease Cycles'!$HS$17+'Lease Cycles'!$HZ$17,0)</f>
        <v>0</v>
      </c>
      <c r="X177" s="28">
        <f>IF(X$6='Lease Cycles'!$HL$17,'Lease Cycles'!$HS$17+'Lease Cycles'!$HZ$17,0)</f>
        <v>0</v>
      </c>
      <c r="Y177" s="28">
        <f>IF(Y$6='Lease Cycles'!$HL$17,'Lease Cycles'!$HS$17+'Lease Cycles'!$HZ$17,0)</f>
        <v>0</v>
      </c>
      <c r="Z177" s="28">
        <f>IF(Z$6='Lease Cycles'!$HL$17,'Lease Cycles'!$HS$17+'Lease Cycles'!$HZ$17,0)</f>
        <v>0</v>
      </c>
      <c r="AA177" s="28">
        <f>IF(AA$6='Lease Cycles'!$HL$17,'Lease Cycles'!$HS$17+'Lease Cycles'!$HZ$17,0)</f>
        <v>0</v>
      </c>
      <c r="AB177" s="28">
        <f>IF(AB$6='Lease Cycles'!$HL$17,'Lease Cycles'!$HS$17+'Lease Cycles'!$HZ$17,0)</f>
        <v>35591.77278715812</v>
      </c>
      <c r="AC177" s="28">
        <f>IF(AC$6='Lease Cycles'!$HL$17,'Lease Cycles'!$HS$17+'Lease Cycles'!$HZ$17,0)</f>
        <v>0</v>
      </c>
      <c r="AD177" s="28">
        <f>IF(AD$6='Lease Cycles'!$HL$17,'Lease Cycles'!$HS$17+'Lease Cycles'!$HZ$17,0)</f>
        <v>0</v>
      </c>
      <c r="AE177" s="28">
        <f>IF(AE$6='Lease Cycles'!$HL$17,'Lease Cycles'!$HS$17+'Lease Cycles'!$HZ$17,0)</f>
        <v>0</v>
      </c>
      <c r="AF177" s="28">
        <f>IF(AF$6='Lease Cycles'!$HL$17,'Lease Cycles'!$HS$17+'Lease Cycles'!$HZ$17,0)</f>
        <v>0</v>
      </c>
      <c r="AG177" s="28">
        <f>IF(AG$6='Lease Cycles'!$HL$17,'Lease Cycles'!$HS$17+'Lease Cycles'!$HZ$17,0)</f>
        <v>0</v>
      </c>
      <c r="AH177" s="28">
        <f>IF(AH$6='Lease Cycles'!$HL$17,'Lease Cycles'!$HS$17+'Lease Cycles'!$HZ$17,0)</f>
        <v>0</v>
      </c>
      <c r="AI177" s="28">
        <f>IF(AI$6='Lease Cycles'!$HL$17,'Lease Cycles'!$HS$17+'Lease Cycles'!$HZ$17,0)</f>
        <v>0</v>
      </c>
      <c r="AJ177" s="28">
        <f>IF(AJ$6='Lease Cycles'!$HL$17,'Lease Cycles'!$HS$17+'Lease Cycles'!$HZ$17,0)</f>
        <v>0</v>
      </c>
      <c r="AK177" s="28">
        <f>IF(AK$6='Lease Cycles'!$HL$17,'Lease Cycles'!$HS$17+'Lease Cycles'!$HZ$17,0)</f>
        <v>0</v>
      </c>
      <c r="AL177" s="28">
        <f>IF(AL$6='Lease Cycles'!$HL$17,'Lease Cycles'!$HS$17+'Lease Cycles'!$HZ$17,0)</f>
        <v>0</v>
      </c>
      <c r="AM177" s="28">
        <f>IF(AM$6='Lease Cycles'!$HL$17,'Lease Cycles'!$HS$17+'Lease Cycles'!$HZ$17,0)</f>
        <v>0</v>
      </c>
      <c r="AN177" s="28">
        <f>IF(AN$6='Lease Cycles'!$HL$17,'Lease Cycles'!$HS$17+'Lease Cycles'!$HZ$17,0)</f>
        <v>0</v>
      </c>
      <c r="AO177" s="28">
        <f>IF(AO$6='Lease Cycles'!$HL$17,'Lease Cycles'!$HS$17+'Lease Cycles'!$HZ$17,0)</f>
        <v>0</v>
      </c>
      <c r="AP177" s="28">
        <f>IF(AP$6='Lease Cycles'!$HL$17,'Lease Cycles'!$HS$17+'Lease Cycles'!$HZ$17,0)</f>
        <v>0</v>
      </c>
      <c r="AQ177" s="28">
        <f>IF(AQ$6='Lease Cycles'!$HL$17,'Lease Cycles'!$HS$17+'Lease Cycles'!$HZ$17,0)</f>
        <v>0</v>
      </c>
      <c r="AR177" s="28">
        <f>IF(AR$6='Lease Cycles'!$HL$17,'Lease Cycles'!$HS$17+'Lease Cycles'!$HZ$17,0)</f>
        <v>0</v>
      </c>
      <c r="AS177" s="28">
        <f>IF(AS$6='Lease Cycles'!$HL$17,'Lease Cycles'!$HS$17+'Lease Cycles'!$HZ$17,0)</f>
        <v>0</v>
      </c>
      <c r="AT177" s="28">
        <f>IF(AT$6='Lease Cycles'!$HL$17,'Lease Cycles'!$HS$17+'Lease Cycles'!$HZ$17,0)</f>
        <v>0</v>
      </c>
      <c r="AU177" s="28">
        <f>IF(AU$6='Lease Cycles'!$HL$17,'Lease Cycles'!$HS$17+'Lease Cycles'!$HZ$17,0)</f>
        <v>0</v>
      </c>
      <c r="AV177" s="28">
        <f>IF(AV$6='Lease Cycles'!$HL$17,'Lease Cycles'!$HS$17+'Lease Cycles'!$HZ$17,0)</f>
        <v>0</v>
      </c>
      <c r="AW177" s="28">
        <f>IF(AW$6='Lease Cycles'!$HL$17,'Lease Cycles'!$HS$17+'Lease Cycles'!$HZ$17,0)</f>
        <v>0</v>
      </c>
      <c r="AX177" s="28">
        <f>IF(AX$6='Lease Cycles'!$HL$17,'Lease Cycles'!$HS$17+'Lease Cycles'!$HZ$17,0)</f>
        <v>0</v>
      </c>
      <c r="AY177" s="28">
        <f>IF(AY$6='Lease Cycles'!$HL$17,'Lease Cycles'!$HS$17+'Lease Cycles'!$HZ$17,0)</f>
        <v>0</v>
      </c>
      <c r="AZ177" s="28">
        <f>IF(AZ$6='Lease Cycles'!$HL$17,'Lease Cycles'!$HS$17+'Lease Cycles'!$HZ$17,0)</f>
        <v>0</v>
      </c>
      <c r="BA177" s="28">
        <f>IF(BA$6='Lease Cycles'!$HL$17,'Lease Cycles'!$HS$17+'Lease Cycles'!$HZ$17,0)</f>
        <v>0</v>
      </c>
      <c r="BB177" s="28">
        <f>IF(BB$6='Lease Cycles'!$HL$17,'Lease Cycles'!$HS$17+'Lease Cycles'!$HZ$17,0)</f>
        <v>0</v>
      </c>
      <c r="BC177" s="28">
        <f>IF(BC$6='Lease Cycles'!$HL$17,'Lease Cycles'!$HS$17+'Lease Cycles'!$HZ$17,0)</f>
        <v>0</v>
      </c>
      <c r="BD177" s="28">
        <f>IF(BD$6='Lease Cycles'!$HL$17,'Lease Cycles'!$HS$17+'Lease Cycles'!$HZ$17,0)</f>
        <v>0</v>
      </c>
      <c r="BE177" s="28">
        <f>IF(BE$6='Lease Cycles'!$HL$17,'Lease Cycles'!$HS$17+'Lease Cycles'!$HZ$17,0)</f>
        <v>0</v>
      </c>
      <c r="BF177" s="28">
        <f>IF(BF$6='Lease Cycles'!$HL$17,'Lease Cycles'!$HS$17+'Lease Cycles'!$HZ$17,0)</f>
        <v>0</v>
      </c>
      <c r="BG177" s="28">
        <f>IF(BG$6='Lease Cycles'!$HL$17,'Lease Cycles'!$HS$17+'Lease Cycles'!$HZ$17,0)</f>
        <v>0</v>
      </c>
      <c r="BH177" s="28">
        <f>IF(BH$6='Lease Cycles'!$HL$17,'Lease Cycles'!$HS$17+'Lease Cycles'!$HZ$17,0)</f>
        <v>0</v>
      </c>
      <c r="BI177" s="28">
        <f>IF(BI$6='Lease Cycles'!$HL$17,'Lease Cycles'!$HS$17+'Lease Cycles'!$HZ$17,0)</f>
        <v>0</v>
      </c>
      <c r="BJ177" s="28">
        <f>IF(BJ$6='Lease Cycles'!$HL$17,'Lease Cycles'!$HS$17+'Lease Cycles'!$HZ$17,0)</f>
        <v>0</v>
      </c>
      <c r="BK177" s="28">
        <f>IF(BK$6='Lease Cycles'!$HL$17,'Lease Cycles'!$HS$17+'Lease Cycles'!$HZ$17,0)</f>
        <v>0</v>
      </c>
      <c r="BL177" s="28">
        <f>IF(BL$6='Lease Cycles'!$HL$17,'Lease Cycles'!$HS$17+'Lease Cycles'!$HZ$17,0)</f>
        <v>0</v>
      </c>
      <c r="BM177" s="28">
        <f>IF(BM$6='Lease Cycles'!$HL$17,'Lease Cycles'!$HS$17+'Lease Cycles'!$HZ$17,0)</f>
        <v>0</v>
      </c>
      <c r="BN177" s="28">
        <f>IF(BN$6='Lease Cycles'!$HL$17,'Lease Cycles'!$HS$17+'Lease Cycles'!$HZ$17,0)</f>
        <v>0</v>
      </c>
      <c r="BO177" s="28">
        <f>IF(BO$6='Lease Cycles'!$HL$17,'Lease Cycles'!$HS$17+'Lease Cycles'!$HZ$17,0)</f>
        <v>0</v>
      </c>
      <c r="BP177" s="28">
        <f>IF(BP$6='Lease Cycles'!$HL$17,'Lease Cycles'!$HS$17+'Lease Cycles'!$HZ$17,0)</f>
        <v>0</v>
      </c>
      <c r="BQ177" s="28">
        <f>IF(BQ$6='Lease Cycles'!$HL$17,'Lease Cycles'!$HS$17+'Lease Cycles'!$HZ$17,0)</f>
        <v>0</v>
      </c>
      <c r="BR177" s="28">
        <f>IF(BR$6='Lease Cycles'!$HL$17,'Lease Cycles'!$HS$17+'Lease Cycles'!$HZ$17,0)</f>
        <v>0</v>
      </c>
      <c r="BS177" s="28">
        <f>IF(BS$6='Lease Cycles'!$HL$17,'Lease Cycles'!$HS$17+'Lease Cycles'!$HZ$17,0)</f>
        <v>0</v>
      </c>
      <c r="BT177" s="28">
        <f>IF(BT$6='Lease Cycles'!$HL$17,'Lease Cycles'!$HS$17+'Lease Cycles'!$HZ$17,0)</f>
        <v>0</v>
      </c>
      <c r="BU177" s="28">
        <f>IF(BU$6='Lease Cycles'!$HL$17,'Lease Cycles'!$HS$17+'Lease Cycles'!$HZ$17,0)</f>
        <v>0</v>
      </c>
      <c r="BV177" s="28">
        <f>IF(BV$6='Lease Cycles'!$HL$17,'Lease Cycles'!$HS$17+'Lease Cycles'!$HZ$17,0)</f>
        <v>0</v>
      </c>
      <c r="BW177" s="28">
        <f>IF(BW$6='Lease Cycles'!$HL$17,'Lease Cycles'!$HS$17+'Lease Cycles'!$HZ$17,0)</f>
        <v>0</v>
      </c>
      <c r="BX177" s="28">
        <f>IF(BX$6='Lease Cycles'!$HL$17,'Lease Cycles'!$HS$17+'Lease Cycles'!$HZ$17,0)</f>
        <v>0</v>
      </c>
      <c r="BY177" s="28">
        <f>IF(BY$6='Lease Cycles'!$HL$17,'Lease Cycles'!$HS$17+'Lease Cycles'!$HZ$17,0)</f>
        <v>0</v>
      </c>
      <c r="BZ177" s="28">
        <f>IF(BZ$6='Lease Cycles'!$HL$17,'Lease Cycles'!$HS$17+'Lease Cycles'!$HZ$17,0)</f>
        <v>0</v>
      </c>
      <c r="CA177" s="28">
        <f>IF(CA$6='Lease Cycles'!$HL$17,'Lease Cycles'!$HS$17+'Lease Cycles'!$HZ$17,0)</f>
        <v>0</v>
      </c>
      <c r="CB177" s="28">
        <f>IF(CB$6='Lease Cycles'!$HL$17,'Lease Cycles'!$HS$17+'Lease Cycles'!$HZ$17,0)</f>
        <v>0</v>
      </c>
      <c r="CC177" s="28">
        <f>IF(CC$6='Lease Cycles'!$HL$17,'Lease Cycles'!$HS$17+'Lease Cycles'!$HZ$17,0)</f>
        <v>0</v>
      </c>
      <c r="CD177" s="28">
        <f>IF(CD$6='Lease Cycles'!$HL$17,'Lease Cycles'!$HS$17+'Lease Cycles'!$HZ$17,0)</f>
        <v>0</v>
      </c>
      <c r="CE177" s="28">
        <f>IF(CE$6='Lease Cycles'!$HL$17,'Lease Cycles'!$HS$17+'Lease Cycles'!$HZ$17,0)</f>
        <v>0</v>
      </c>
      <c r="CF177" s="28">
        <f>IF(CF$6='Lease Cycles'!$HL$17,'Lease Cycles'!$HS$17+'Lease Cycles'!$HZ$17,0)</f>
        <v>0</v>
      </c>
      <c r="CG177" s="28">
        <f>IF(CG$6='Lease Cycles'!$HL$17,'Lease Cycles'!$HS$17+'Lease Cycles'!$HZ$17,0)</f>
        <v>0</v>
      </c>
      <c r="CH177" s="28">
        <f>IF(CH$6='Lease Cycles'!$HL$17,'Lease Cycles'!$HS$17+'Lease Cycles'!$HZ$17,0)</f>
        <v>0</v>
      </c>
      <c r="CI177" s="28">
        <f>IF(CI$6='Lease Cycles'!$HL$17,'Lease Cycles'!$HS$17+'Lease Cycles'!$HZ$17,0)</f>
        <v>0</v>
      </c>
      <c r="CJ177" s="28">
        <f>IF(CJ$6='Lease Cycles'!$HL$17,'Lease Cycles'!$HS$17+'Lease Cycles'!$HZ$17,0)</f>
        <v>0</v>
      </c>
      <c r="CK177" s="28">
        <f>IF(CK$6='Lease Cycles'!$HL$17,'Lease Cycles'!$HS$17+'Lease Cycles'!$HZ$17,0)</f>
        <v>0</v>
      </c>
      <c r="CL177" s="28">
        <f>IF(CL$6='Lease Cycles'!$HL$17,'Lease Cycles'!$HS$17+'Lease Cycles'!$HZ$17,0)</f>
        <v>0</v>
      </c>
      <c r="CM177" s="28">
        <f>IF(CM$6='Lease Cycles'!$HL$17,'Lease Cycles'!$HS$17+'Lease Cycles'!$HZ$17,0)</f>
        <v>0</v>
      </c>
      <c r="CN177" s="28">
        <f>IF(CN$6='Lease Cycles'!$HL$17,'Lease Cycles'!$HS$17+'Lease Cycles'!$HZ$17,0)</f>
        <v>0</v>
      </c>
      <c r="CO177" s="28">
        <f>IF(CO$6='Lease Cycles'!$HL$17,'Lease Cycles'!$HS$17+'Lease Cycles'!$HZ$17,0)</f>
        <v>0</v>
      </c>
      <c r="CP177" s="28">
        <f>IF(CP$6='Lease Cycles'!$HL$17,'Lease Cycles'!$HS$17+'Lease Cycles'!$HZ$17,0)</f>
        <v>0</v>
      </c>
      <c r="CQ177" s="28">
        <f>IF(CQ$6='Lease Cycles'!$HL$17,'Lease Cycles'!$HS$17+'Lease Cycles'!$HZ$17,0)</f>
        <v>0</v>
      </c>
      <c r="CR177" s="28">
        <f>IF(CR$6='Lease Cycles'!$HL$17,'Lease Cycles'!$HS$17+'Lease Cycles'!$HZ$17,0)</f>
        <v>0</v>
      </c>
      <c r="CS177" s="28">
        <f>IF(CS$6='Lease Cycles'!$HL$17,'Lease Cycles'!$HS$17+'Lease Cycles'!$HZ$17,0)</f>
        <v>0</v>
      </c>
      <c r="CT177" s="28">
        <f>IF(CT$6='Lease Cycles'!$HL$17,'Lease Cycles'!$HS$17+'Lease Cycles'!$HZ$17,0)</f>
        <v>0</v>
      </c>
      <c r="CU177" s="28">
        <f>IF(CU$6='Lease Cycles'!$HL$17,'Lease Cycles'!$HS$17+'Lease Cycles'!$HZ$17,0)</f>
        <v>0</v>
      </c>
      <c r="CV177" s="28">
        <f>IF(CV$6='Lease Cycles'!$HL$17,'Lease Cycles'!$HS$17+'Lease Cycles'!$HZ$17,0)</f>
        <v>0</v>
      </c>
      <c r="CW177" s="28">
        <f>IF(CW$6='Lease Cycles'!$HL$17,'Lease Cycles'!$HS$17+'Lease Cycles'!$HZ$17,0)</f>
        <v>0</v>
      </c>
      <c r="CX177" s="28">
        <f>IF(CX$6='Lease Cycles'!$HL$17,'Lease Cycles'!$HS$17+'Lease Cycles'!$HZ$17,0)</f>
        <v>0</v>
      </c>
      <c r="CY177" s="28">
        <f>IF(CY$6='Lease Cycles'!$HL$17,'Lease Cycles'!$HS$17+'Lease Cycles'!$HZ$17,0)</f>
        <v>0</v>
      </c>
      <c r="CZ177" s="28">
        <f>IF(CZ$6='Lease Cycles'!$HL$17,'Lease Cycles'!$HS$17+'Lease Cycles'!$HZ$17,0)</f>
        <v>0</v>
      </c>
      <c r="DA177" s="28">
        <f>IF(DA$6='Lease Cycles'!$HL$17,'Lease Cycles'!$HS$17+'Lease Cycles'!$HZ$17,0)</f>
        <v>0</v>
      </c>
      <c r="DB177" s="28">
        <f>IF(DB$6='Lease Cycles'!$HL$17,'Lease Cycles'!$HS$17+'Lease Cycles'!$HZ$17,0)</f>
        <v>0</v>
      </c>
      <c r="DC177" s="28">
        <f>IF(DC$6='Lease Cycles'!$HL$17,'Lease Cycles'!$HS$17+'Lease Cycles'!$HZ$17,0)</f>
        <v>0</v>
      </c>
      <c r="DD177" s="28">
        <f>IF(DD$6='Lease Cycles'!$HL$17,'Lease Cycles'!$HS$17+'Lease Cycles'!$HZ$17,0)</f>
        <v>0</v>
      </c>
      <c r="DE177" s="28">
        <f>IF(DE$6='Lease Cycles'!$HL$17,'Lease Cycles'!$HS$17+'Lease Cycles'!$HZ$17,0)</f>
        <v>0</v>
      </c>
      <c r="DF177" s="28">
        <f>IF(DF$6='Lease Cycles'!$HL$17,'Lease Cycles'!$HS$17+'Lease Cycles'!$HZ$17,0)</f>
        <v>0</v>
      </c>
      <c r="DG177" s="28">
        <f>IF(DG$6='Lease Cycles'!$HL$17,'Lease Cycles'!$HS$17+'Lease Cycles'!$HZ$17,0)</f>
        <v>0</v>
      </c>
      <c r="DH177" s="28">
        <f>IF(DH$6='Lease Cycles'!$HL$17,'Lease Cycles'!$HS$17+'Lease Cycles'!$HZ$17,0)</f>
        <v>0</v>
      </c>
      <c r="DI177" s="28">
        <f>IF(DI$6='Lease Cycles'!$HL$17,'Lease Cycles'!$HS$17+'Lease Cycles'!$HZ$17,0)</f>
        <v>0</v>
      </c>
      <c r="DJ177" s="28">
        <f>IF(DJ$6='Lease Cycles'!$HL$17,'Lease Cycles'!$HS$17+'Lease Cycles'!$HZ$17,0)</f>
        <v>0</v>
      </c>
      <c r="DK177" s="28">
        <f>IF(DK$6='Lease Cycles'!$HL$17,'Lease Cycles'!$HS$17+'Lease Cycles'!$HZ$17,0)</f>
        <v>0</v>
      </c>
      <c r="DL177" s="28">
        <f>IF(DL$6='Lease Cycles'!$HL$17,'Lease Cycles'!$HS$17+'Lease Cycles'!$HZ$17,0)</f>
        <v>0</v>
      </c>
      <c r="DM177" s="28">
        <f>IF(DM$6='Lease Cycles'!$HL$17,'Lease Cycles'!$HS$17+'Lease Cycles'!$HZ$17,0)</f>
        <v>0</v>
      </c>
      <c r="DN177" s="28">
        <f>IF(DN$6='Lease Cycles'!$HL$17,'Lease Cycles'!$HS$17+'Lease Cycles'!$HZ$17,0)</f>
        <v>0</v>
      </c>
      <c r="DO177" s="28">
        <f>IF(DO$6='Lease Cycles'!$HL$17,'Lease Cycles'!$HS$17+'Lease Cycles'!$HZ$17,0)</f>
        <v>0</v>
      </c>
      <c r="DP177" s="28">
        <f>IF(DP$6='Lease Cycles'!$HL$17,'Lease Cycles'!$HS$17+'Lease Cycles'!$HZ$17,0)</f>
        <v>0</v>
      </c>
      <c r="DQ177" s="28">
        <f>IF(DQ$6='Lease Cycles'!$HL$17,'Lease Cycles'!$HS$17+'Lease Cycles'!$HZ$17,0)</f>
        <v>0</v>
      </c>
      <c r="DR177" s="28">
        <f>IF(DR$6='Lease Cycles'!$HL$17,'Lease Cycles'!$HS$17+'Lease Cycles'!$HZ$17,0)</f>
        <v>0</v>
      </c>
      <c r="DS177" s="28">
        <f>IF(DS$6='Lease Cycles'!$HL$17,'Lease Cycles'!$HS$17+'Lease Cycles'!$HZ$17,0)</f>
        <v>0</v>
      </c>
      <c r="DT177" s="28">
        <f>IF(DT$6='Lease Cycles'!$HL$17,'Lease Cycles'!$HS$17+'Lease Cycles'!$HZ$17,0)</f>
        <v>0</v>
      </c>
      <c r="DU177" s="28">
        <f>IF(DU$6='Lease Cycles'!$HL$17,'Lease Cycles'!$HS$17+'Lease Cycles'!$HZ$17,0)</f>
        <v>0</v>
      </c>
      <c r="DV177" s="28">
        <f>IF(DV$6='Lease Cycles'!$HL$17,'Lease Cycles'!$HS$17+'Lease Cycles'!$HZ$17,0)</f>
        <v>0</v>
      </c>
      <c r="DW177" s="28">
        <f>IF(DW$6='Lease Cycles'!$HL$17,'Lease Cycles'!$HS$17+'Lease Cycles'!$HZ$17,0)</f>
        <v>0</v>
      </c>
      <c r="DX177" s="28">
        <f>IF(DX$6='Lease Cycles'!$HL$17,'Lease Cycles'!$HS$17+'Lease Cycles'!$HZ$17,0)</f>
        <v>0</v>
      </c>
      <c r="DY177" s="28">
        <f>IF(DY$6='Lease Cycles'!$HL$17,'Lease Cycles'!$HS$17+'Lease Cycles'!$HZ$17,0)</f>
        <v>0</v>
      </c>
      <c r="DZ177" s="28">
        <f>IF(DZ$6='Lease Cycles'!$HL$17,'Lease Cycles'!$HS$17+'Lease Cycles'!$HZ$17,0)</f>
        <v>0</v>
      </c>
      <c r="EA177" s="28">
        <f>IF(EA$6='Lease Cycles'!$HL$17,'Lease Cycles'!$HS$17+'Lease Cycles'!$HZ$17,0)</f>
        <v>0</v>
      </c>
      <c r="EB177" s="28">
        <f>IF(EB$6='Lease Cycles'!$HL$17,'Lease Cycles'!$HS$17+'Lease Cycles'!$HZ$17,0)</f>
        <v>0</v>
      </c>
      <c r="EC177" s="28">
        <f>IF(EC$6='Lease Cycles'!$HL$17,'Lease Cycles'!$HS$17+'Lease Cycles'!$HZ$17,0)</f>
        <v>0</v>
      </c>
      <c r="ED177" s="28">
        <f>IF(ED$6='Lease Cycles'!$HL$17,'Lease Cycles'!$HS$17+'Lease Cycles'!$HZ$17,0)</f>
        <v>0</v>
      </c>
      <c r="EE177" s="28">
        <f>IF(EE$6='Lease Cycles'!$HL$17,'Lease Cycles'!$HS$17+'Lease Cycles'!$HZ$17,0)</f>
        <v>0</v>
      </c>
      <c r="EF177" s="28">
        <f>IF(EF$6='Lease Cycles'!$HL$17,'Lease Cycles'!$HS$17+'Lease Cycles'!$HZ$17,0)</f>
        <v>0</v>
      </c>
      <c r="EG177" s="28">
        <f>IF(EG$6='Lease Cycles'!$HL$17,'Lease Cycles'!$HS$17+'Lease Cycles'!$HZ$17,0)</f>
        <v>0</v>
      </c>
      <c r="EH177" s="28">
        <f>IF(EH$6='Lease Cycles'!$HL$17,'Lease Cycles'!$HS$17+'Lease Cycles'!$HZ$17,0)</f>
        <v>0</v>
      </c>
      <c r="EI177" s="28">
        <f>IF(EI$6='Lease Cycles'!$HL$17,'Lease Cycles'!$HS$17+'Lease Cycles'!$HZ$17,0)</f>
        <v>0</v>
      </c>
      <c r="EJ177" s="28">
        <f>IF(EJ$6='Lease Cycles'!$HL$17,'Lease Cycles'!$HS$17+'Lease Cycles'!$HZ$17,0)</f>
        <v>0</v>
      </c>
      <c r="EK177" s="28">
        <f>IF(EK$6='Lease Cycles'!$HL$17,'Lease Cycles'!$HS$17+'Lease Cycles'!$HZ$17,0)</f>
        <v>0</v>
      </c>
      <c r="EL177" s="28">
        <f>IF(EL$6='Lease Cycles'!$HL$17,'Lease Cycles'!$HS$17+'Lease Cycles'!$HZ$17,0)</f>
        <v>0</v>
      </c>
      <c r="EM177" s="28">
        <f>IF(EM$6='Lease Cycles'!$HL$17,'Lease Cycles'!$HS$17+'Lease Cycles'!$HZ$17,0)</f>
        <v>0</v>
      </c>
      <c r="EN177" s="28">
        <f>IF(EN$6='Lease Cycles'!$HL$17,'Lease Cycles'!$HS$17+'Lease Cycles'!$HZ$17,0)</f>
        <v>0</v>
      </c>
      <c r="EO177" s="28">
        <f>IF(EO$6='Lease Cycles'!$HL$17,'Lease Cycles'!$HS$17+'Lease Cycles'!$HZ$17,0)</f>
        <v>0</v>
      </c>
      <c r="EP177" s="28">
        <f>IF(EP$6='Lease Cycles'!$HL$17,'Lease Cycles'!$HS$17+'Lease Cycles'!$HZ$17,0)</f>
        <v>0</v>
      </c>
      <c r="EQ177" s="28">
        <f>IF(EQ$6='Lease Cycles'!$HL$17,'Lease Cycles'!$HS$17+'Lease Cycles'!$HZ$17,0)</f>
        <v>0</v>
      </c>
      <c r="ER177" s="28">
        <f>IF(ER$6='Lease Cycles'!$HL$17,'Lease Cycles'!$HS$17+'Lease Cycles'!$HZ$17,0)</f>
        <v>0</v>
      </c>
      <c r="ES177" s="28">
        <f>IF(ES$6='Lease Cycles'!$HL$17,'Lease Cycles'!$HS$17+'Lease Cycles'!$HZ$17,0)</f>
        <v>0</v>
      </c>
      <c r="ET177" s="28">
        <f>IF(ET$6='Lease Cycles'!$HL$17,'Lease Cycles'!$HS$17+'Lease Cycles'!$HZ$17,0)</f>
        <v>0</v>
      </c>
    </row>
    <row r="178">
      <c r="A178" s="103">
        <v>10</v>
      </c>
      <c r="B178" s="23" t="str">
        <f>IF('Lease Cycles'!$B$17="","(empty slot)",'Lease Cycles'!$B$17)</f>
        <v>Available B-9</v>
      </c>
      <c r="C178" s="23" t="s">
        <v>499</v>
      </c>
      <c r="D178" s="104" t="s">
        <v>500</v>
      </c>
      <c r="E178" s="25">
        <f>'Lease Cycles'!$AL$17</f>
        <v>0</v>
      </c>
      <c r="G178" s="28">
        <f>MAX(0,'Lease Cycles'!$AN$17*'Lease Cycles'!$C$17*'Lease Cycles'!$AM$17*(1+a_SalesGrowth)^(G$6-1)-G168)</f>
        <v>0</v>
      </c>
      <c r="H178" s="28">
        <f>MAX(0,'Lease Cycles'!$AN$17*'Lease Cycles'!$C$17*'Lease Cycles'!$AM$17*(1+a_SalesGrowth)^(H$6-1)-H168)</f>
        <v>0</v>
      </c>
      <c r="I178" s="28">
        <f>MAX(0,'Lease Cycles'!$AN$17*'Lease Cycles'!$C$17*'Lease Cycles'!$AM$17*(1+a_SalesGrowth)^(I$6-1)-I168)</f>
        <v>0</v>
      </c>
      <c r="J178" s="28">
        <f>MAX(0,'Lease Cycles'!$AN$17*'Lease Cycles'!$C$17*'Lease Cycles'!$AM$17*(1+a_SalesGrowth)^(J$6-1)-J168)</f>
        <v>0</v>
      </c>
      <c r="K178" s="28">
        <f>MAX(0,'Lease Cycles'!$AN$17*'Lease Cycles'!$C$17*'Lease Cycles'!$AM$17*(1+a_SalesGrowth)^(K$6-1)-K168)</f>
        <v>0</v>
      </c>
      <c r="L178" s="28">
        <f>MAX(0,'Lease Cycles'!$AN$17*'Lease Cycles'!$C$17*'Lease Cycles'!$AM$17*(1+a_SalesGrowth)^(L$6-1)-L168)</f>
        <v>0</v>
      </c>
      <c r="M178" s="28">
        <f>MAX(0,'Lease Cycles'!$AN$17*'Lease Cycles'!$C$17*'Lease Cycles'!$AM$17*(1+a_SalesGrowth)^(M$6-1)-M168)</f>
        <v>0</v>
      </c>
      <c r="N178" s="28">
        <f>MAX(0,'Lease Cycles'!$AN$17*'Lease Cycles'!$C$17*'Lease Cycles'!$AM$17*(1+a_SalesGrowth)^(N$6-1)-N168)</f>
        <v>0</v>
      </c>
      <c r="O178" s="28">
        <f>MAX(0,'Lease Cycles'!$AN$17*'Lease Cycles'!$C$17*'Lease Cycles'!$AM$17*(1+a_SalesGrowth)^(O$6-1)-O168)</f>
        <v>0</v>
      </c>
      <c r="P178" s="28">
        <f>MAX(0,'Lease Cycles'!$AN$17*'Lease Cycles'!$C$17*'Lease Cycles'!$AM$17*(1+a_SalesGrowth)^(P$6-1)-P168)</f>
        <v>0</v>
      </c>
      <c r="Q178" s="28">
        <f>MAX(0,'Lease Cycles'!$AN$17*'Lease Cycles'!$C$17*'Lease Cycles'!$AM$17*(1+a_SalesGrowth)^(Q$6-1)-Q168)</f>
        <v>0</v>
      </c>
    </row>
    <row r="180">
      <c r="A180" s="103">
        <v>11</v>
      </c>
      <c r="B180" s="23" t="str">
        <f>IF('Lease Cycles'!$B$18="","(empty slot)",'Lease Cycles'!$B$18)</f>
        <v>(empty slot)</v>
      </c>
      <c r="C180" s="23" t="s">
        <v>671</v>
      </c>
      <c r="D180" s="104" t="s">
        <v>672</v>
      </c>
      <c r="E180" s="25">
        <f>'Lease Cycles'!$AL$18</f>
        <v>0</v>
      </c>
      <c r="S180" s="25">
        <f>IF('Lease Cycles'!$C$18&gt;0,COUNTIF('Lease Cycles'!$BG$18:$BM$18,"&lt;="&amp;S$6),0)</f>
        <v>0</v>
      </c>
      <c r="T180" s="25">
        <f>IF('Lease Cycles'!$C$18&gt;0,COUNTIF('Lease Cycles'!$BG$18:$BM$18,"&lt;="&amp;T$6),0)</f>
        <v>0</v>
      </c>
      <c r="U180" s="25">
        <f>IF('Lease Cycles'!$C$18&gt;0,COUNTIF('Lease Cycles'!$BG$18:$BM$18,"&lt;="&amp;U$6),0)</f>
        <v>0</v>
      </c>
      <c r="V180" s="25">
        <f>IF('Lease Cycles'!$C$18&gt;0,COUNTIF('Lease Cycles'!$BG$18:$BM$18,"&lt;="&amp;V$6),0)</f>
        <v>0</v>
      </c>
      <c r="W180" s="25">
        <f>IF('Lease Cycles'!$C$18&gt;0,COUNTIF('Lease Cycles'!$BG$18:$BM$18,"&lt;="&amp;W$6),0)</f>
        <v>0</v>
      </c>
      <c r="X180" s="25">
        <f>IF('Lease Cycles'!$C$18&gt;0,COUNTIF('Lease Cycles'!$BG$18:$BM$18,"&lt;="&amp;X$6),0)</f>
        <v>0</v>
      </c>
      <c r="Y180" s="25">
        <f>IF('Lease Cycles'!$C$18&gt;0,COUNTIF('Lease Cycles'!$BG$18:$BM$18,"&lt;="&amp;Y$6),0)</f>
        <v>0</v>
      </c>
      <c r="Z180" s="25">
        <f>IF('Lease Cycles'!$C$18&gt;0,COUNTIF('Lease Cycles'!$BG$18:$BM$18,"&lt;="&amp;Z$6),0)</f>
        <v>0</v>
      </c>
      <c r="AA180" s="25">
        <f>IF('Lease Cycles'!$C$18&gt;0,COUNTIF('Lease Cycles'!$BG$18:$BM$18,"&lt;="&amp;AA$6),0)</f>
        <v>0</v>
      </c>
      <c r="AB180" s="25">
        <f>IF('Lease Cycles'!$C$18&gt;0,COUNTIF('Lease Cycles'!$BG$18:$BM$18,"&lt;="&amp;AB$6),0)</f>
        <v>0</v>
      </c>
      <c r="AC180" s="25">
        <f>IF('Lease Cycles'!$C$18&gt;0,COUNTIF('Lease Cycles'!$BG$18:$BM$18,"&lt;="&amp;AC$6),0)</f>
        <v>0</v>
      </c>
      <c r="AD180" s="25">
        <f>IF('Lease Cycles'!$C$18&gt;0,COUNTIF('Lease Cycles'!$BG$18:$BM$18,"&lt;="&amp;AD$6),0)</f>
        <v>0</v>
      </c>
      <c r="AE180" s="25">
        <f>IF('Lease Cycles'!$C$18&gt;0,COUNTIF('Lease Cycles'!$BG$18:$BM$18,"&lt;="&amp;AE$6),0)</f>
        <v>0</v>
      </c>
      <c r="AF180" s="25">
        <f>IF('Lease Cycles'!$C$18&gt;0,COUNTIF('Lease Cycles'!$BG$18:$BM$18,"&lt;="&amp;AF$6),0)</f>
        <v>0</v>
      </c>
      <c r="AG180" s="25">
        <f>IF('Lease Cycles'!$C$18&gt;0,COUNTIF('Lease Cycles'!$BG$18:$BM$18,"&lt;="&amp;AG$6),0)</f>
        <v>0</v>
      </c>
      <c r="AH180" s="25">
        <f>IF('Lease Cycles'!$C$18&gt;0,COUNTIF('Lease Cycles'!$BG$18:$BM$18,"&lt;="&amp;AH$6),0)</f>
        <v>0</v>
      </c>
      <c r="AI180" s="25">
        <f>IF('Lease Cycles'!$C$18&gt;0,COUNTIF('Lease Cycles'!$BG$18:$BM$18,"&lt;="&amp;AI$6),0)</f>
        <v>0</v>
      </c>
      <c r="AJ180" s="25">
        <f>IF('Lease Cycles'!$C$18&gt;0,COUNTIF('Lease Cycles'!$BG$18:$BM$18,"&lt;="&amp;AJ$6),0)</f>
        <v>0</v>
      </c>
      <c r="AK180" s="25">
        <f>IF('Lease Cycles'!$C$18&gt;0,COUNTIF('Lease Cycles'!$BG$18:$BM$18,"&lt;="&amp;AK$6),0)</f>
        <v>0</v>
      </c>
      <c r="AL180" s="25">
        <f>IF('Lease Cycles'!$C$18&gt;0,COUNTIF('Lease Cycles'!$BG$18:$BM$18,"&lt;="&amp;AL$6),0)</f>
        <v>0</v>
      </c>
      <c r="AM180" s="25">
        <f>IF('Lease Cycles'!$C$18&gt;0,COUNTIF('Lease Cycles'!$BG$18:$BM$18,"&lt;="&amp;AM$6),0)</f>
        <v>0</v>
      </c>
      <c r="AN180" s="25">
        <f>IF('Lease Cycles'!$C$18&gt;0,COUNTIF('Lease Cycles'!$BG$18:$BM$18,"&lt;="&amp;AN$6),0)</f>
        <v>0</v>
      </c>
      <c r="AO180" s="25">
        <f>IF('Lease Cycles'!$C$18&gt;0,COUNTIF('Lease Cycles'!$BG$18:$BM$18,"&lt;="&amp;AO$6),0)</f>
        <v>0</v>
      </c>
      <c r="AP180" s="25">
        <f>IF('Lease Cycles'!$C$18&gt;0,COUNTIF('Lease Cycles'!$BG$18:$BM$18,"&lt;="&amp;AP$6),0)</f>
        <v>0</v>
      </c>
      <c r="AQ180" s="25">
        <f>IF('Lease Cycles'!$C$18&gt;0,COUNTIF('Lease Cycles'!$BG$18:$BM$18,"&lt;="&amp;AQ$6),0)</f>
        <v>0</v>
      </c>
      <c r="AR180" s="25">
        <f>IF('Lease Cycles'!$C$18&gt;0,COUNTIF('Lease Cycles'!$BG$18:$BM$18,"&lt;="&amp;AR$6),0)</f>
        <v>0</v>
      </c>
      <c r="AS180" s="25">
        <f>IF('Lease Cycles'!$C$18&gt;0,COUNTIF('Lease Cycles'!$BG$18:$BM$18,"&lt;="&amp;AS$6),0)</f>
        <v>0</v>
      </c>
      <c r="AT180" s="25">
        <f>IF('Lease Cycles'!$C$18&gt;0,COUNTIF('Lease Cycles'!$BG$18:$BM$18,"&lt;="&amp;AT$6),0)</f>
        <v>0</v>
      </c>
      <c r="AU180" s="25">
        <f>IF('Lease Cycles'!$C$18&gt;0,COUNTIF('Lease Cycles'!$BG$18:$BM$18,"&lt;="&amp;AU$6),0)</f>
        <v>0</v>
      </c>
      <c r="AV180" s="25">
        <f>IF('Lease Cycles'!$C$18&gt;0,COUNTIF('Lease Cycles'!$BG$18:$BM$18,"&lt;="&amp;AV$6),0)</f>
        <v>0</v>
      </c>
      <c r="AW180" s="25">
        <f>IF('Lease Cycles'!$C$18&gt;0,COUNTIF('Lease Cycles'!$BG$18:$BM$18,"&lt;="&amp;AW$6),0)</f>
        <v>0</v>
      </c>
      <c r="AX180" s="25">
        <f>IF('Lease Cycles'!$C$18&gt;0,COUNTIF('Lease Cycles'!$BG$18:$BM$18,"&lt;="&amp;AX$6),0)</f>
        <v>0</v>
      </c>
      <c r="AY180" s="25">
        <f>IF('Lease Cycles'!$C$18&gt;0,COUNTIF('Lease Cycles'!$BG$18:$BM$18,"&lt;="&amp;AY$6),0)</f>
        <v>0</v>
      </c>
      <c r="AZ180" s="25">
        <f>IF('Lease Cycles'!$C$18&gt;0,COUNTIF('Lease Cycles'!$BG$18:$BM$18,"&lt;="&amp;AZ$6),0)</f>
        <v>0</v>
      </c>
      <c r="BA180" s="25">
        <f>IF('Lease Cycles'!$C$18&gt;0,COUNTIF('Lease Cycles'!$BG$18:$BM$18,"&lt;="&amp;BA$6),0)</f>
        <v>0</v>
      </c>
      <c r="BB180" s="25">
        <f>IF('Lease Cycles'!$C$18&gt;0,COUNTIF('Lease Cycles'!$BG$18:$BM$18,"&lt;="&amp;BB$6),0)</f>
        <v>0</v>
      </c>
      <c r="BC180" s="25">
        <f>IF('Lease Cycles'!$C$18&gt;0,COUNTIF('Lease Cycles'!$BG$18:$BM$18,"&lt;="&amp;BC$6),0)</f>
        <v>0</v>
      </c>
      <c r="BD180" s="25">
        <f>IF('Lease Cycles'!$C$18&gt;0,COUNTIF('Lease Cycles'!$BG$18:$BM$18,"&lt;="&amp;BD$6),0)</f>
        <v>0</v>
      </c>
      <c r="BE180" s="25">
        <f>IF('Lease Cycles'!$C$18&gt;0,COUNTIF('Lease Cycles'!$BG$18:$BM$18,"&lt;="&amp;BE$6),0)</f>
        <v>0</v>
      </c>
      <c r="BF180" s="25">
        <f>IF('Lease Cycles'!$C$18&gt;0,COUNTIF('Lease Cycles'!$BG$18:$BM$18,"&lt;="&amp;BF$6),0)</f>
        <v>0</v>
      </c>
      <c r="BG180" s="25">
        <f>IF('Lease Cycles'!$C$18&gt;0,COUNTIF('Lease Cycles'!$BG$18:$BM$18,"&lt;="&amp;BG$6),0)</f>
        <v>0</v>
      </c>
      <c r="BH180" s="25">
        <f>IF('Lease Cycles'!$C$18&gt;0,COUNTIF('Lease Cycles'!$BG$18:$BM$18,"&lt;="&amp;BH$6),0)</f>
        <v>0</v>
      </c>
      <c r="BI180" s="25">
        <f>IF('Lease Cycles'!$C$18&gt;0,COUNTIF('Lease Cycles'!$BG$18:$BM$18,"&lt;="&amp;BI$6),0)</f>
        <v>0</v>
      </c>
      <c r="BJ180" s="25">
        <f>IF('Lease Cycles'!$C$18&gt;0,COUNTIF('Lease Cycles'!$BG$18:$BM$18,"&lt;="&amp;BJ$6),0)</f>
        <v>0</v>
      </c>
      <c r="BK180" s="25">
        <f>IF('Lease Cycles'!$C$18&gt;0,COUNTIF('Lease Cycles'!$BG$18:$BM$18,"&lt;="&amp;BK$6),0)</f>
        <v>0</v>
      </c>
      <c r="BL180" s="25">
        <f>IF('Lease Cycles'!$C$18&gt;0,COUNTIF('Lease Cycles'!$BG$18:$BM$18,"&lt;="&amp;BL$6),0)</f>
        <v>0</v>
      </c>
      <c r="BM180" s="25">
        <f>IF('Lease Cycles'!$C$18&gt;0,COUNTIF('Lease Cycles'!$BG$18:$BM$18,"&lt;="&amp;BM$6),0)</f>
        <v>0</v>
      </c>
      <c r="BN180" s="25">
        <f>IF('Lease Cycles'!$C$18&gt;0,COUNTIF('Lease Cycles'!$BG$18:$BM$18,"&lt;="&amp;BN$6),0)</f>
        <v>0</v>
      </c>
      <c r="BO180" s="25">
        <f>IF('Lease Cycles'!$C$18&gt;0,COUNTIF('Lease Cycles'!$BG$18:$BM$18,"&lt;="&amp;BO$6),0)</f>
        <v>0</v>
      </c>
      <c r="BP180" s="25">
        <f>IF('Lease Cycles'!$C$18&gt;0,COUNTIF('Lease Cycles'!$BG$18:$BM$18,"&lt;="&amp;BP$6),0)</f>
        <v>0</v>
      </c>
      <c r="BQ180" s="25">
        <f>IF('Lease Cycles'!$C$18&gt;0,COUNTIF('Lease Cycles'!$BG$18:$BM$18,"&lt;="&amp;BQ$6),0)</f>
        <v>0</v>
      </c>
      <c r="BR180" s="25">
        <f>IF('Lease Cycles'!$C$18&gt;0,COUNTIF('Lease Cycles'!$BG$18:$BM$18,"&lt;="&amp;BR$6),0)</f>
        <v>0</v>
      </c>
      <c r="BS180" s="25">
        <f>IF('Lease Cycles'!$C$18&gt;0,COUNTIF('Lease Cycles'!$BG$18:$BM$18,"&lt;="&amp;BS$6),0)</f>
        <v>0</v>
      </c>
      <c r="BT180" s="25">
        <f>IF('Lease Cycles'!$C$18&gt;0,COUNTIF('Lease Cycles'!$BG$18:$BM$18,"&lt;="&amp;BT$6),0)</f>
        <v>0</v>
      </c>
      <c r="BU180" s="25">
        <f>IF('Lease Cycles'!$C$18&gt;0,COUNTIF('Lease Cycles'!$BG$18:$BM$18,"&lt;="&amp;BU$6),0)</f>
        <v>0</v>
      </c>
      <c r="BV180" s="25">
        <f>IF('Lease Cycles'!$C$18&gt;0,COUNTIF('Lease Cycles'!$BG$18:$BM$18,"&lt;="&amp;BV$6),0)</f>
        <v>0</v>
      </c>
      <c r="BW180" s="25">
        <f>IF('Lease Cycles'!$C$18&gt;0,COUNTIF('Lease Cycles'!$BG$18:$BM$18,"&lt;="&amp;BW$6),0)</f>
        <v>0</v>
      </c>
      <c r="BX180" s="25">
        <f>IF('Lease Cycles'!$C$18&gt;0,COUNTIF('Lease Cycles'!$BG$18:$BM$18,"&lt;="&amp;BX$6),0)</f>
        <v>0</v>
      </c>
      <c r="BY180" s="25">
        <f>IF('Lease Cycles'!$C$18&gt;0,COUNTIF('Lease Cycles'!$BG$18:$BM$18,"&lt;="&amp;BY$6),0)</f>
        <v>0</v>
      </c>
      <c r="BZ180" s="25">
        <f>IF('Lease Cycles'!$C$18&gt;0,COUNTIF('Lease Cycles'!$BG$18:$BM$18,"&lt;="&amp;BZ$6),0)</f>
        <v>0</v>
      </c>
      <c r="CA180" s="25">
        <f>IF('Lease Cycles'!$C$18&gt;0,COUNTIF('Lease Cycles'!$BG$18:$BM$18,"&lt;="&amp;CA$6),0)</f>
        <v>0</v>
      </c>
      <c r="CB180" s="25">
        <f>IF('Lease Cycles'!$C$18&gt;0,COUNTIF('Lease Cycles'!$BG$18:$BM$18,"&lt;="&amp;CB$6),0)</f>
        <v>0</v>
      </c>
      <c r="CC180" s="25">
        <f>IF('Lease Cycles'!$C$18&gt;0,COUNTIF('Lease Cycles'!$BG$18:$BM$18,"&lt;="&amp;CC$6),0)</f>
        <v>0</v>
      </c>
      <c r="CD180" s="25">
        <f>IF('Lease Cycles'!$C$18&gt;0,COUNTIF('Lease Cycles'!$BG$18:$BM$18,"&lt;="&amp;CD$6),0)</f>
        <v>0</v>
      </c>
      <c r="CE180" s="25">
        <f>IF('Lease Cycles'!$C$18&gt;0,COUNTIF('Lease Cycles'!$BG$18:$BM$18,"&lt;="&amp;CE$6),0)</f>
        <v>0</v>
      </c>
      <c r="CF180" s="25">
        <f>IF('Lease Cycles'!$C$18&gt;0,COUNTIF('Lease Cycles'!$BG$18:$BM$18,"&lt;="&amp;CF$6),0)</f>
        <v>0</v>
      </c>
      <c r="CG180" s="25">
        <f>IF('Lease Cycles'!$C$18&gt;0,COUNTIF('Lease Cycles'!$BG$18:$BM$18,"&lt;="&amp;CG$6),0)</f>
        <v>0</v>
      </c>
      <c r="CH180" s="25">
        <f>IF('Lease Cycles'!$C$18&gt;0,COUNTIF('Lease Cycles'!$BG$18:$BM$18,"&lt;="&amp;CH$6),0)</f>
        <v>0</v>
      </c>
      <c r="CI180" s="25">
        <f>IF('Lease Cycles'!$C$18&gt;0,COUNTIF('Lease Cycles'!$BG$18:$BM$18,"&lt;="&amp;CI$6),0)</f>
        <v>0</v>
      </c>
      <c r="CJ180" s="25">
        <f>IF('Lease Cycles'!$C$18&gt;0,COUNTIF('Lease Cycles'!$BG$18:$BM$18,"&lt;="&amp;CJ$6),0)</f>
        <v>0</v>
      </c>
      <c r="CK180" s="25">
        <f>IF('Lease Cycles'!$C$18&gt;0,COUNTIF('Lease Cycles'!$BG$18:$BM$18,"&lt;="&amp;CK$6),0)</f>
        <v>0</v>
      </c>
      <c r="CL180" s="25">
        <f>IF('Lease Cycles'!$C$18&gt;0,COUNTIF('Lease Cycles'!$BG$18:$BM$18,"&lt;="&amp;CL$6),0)</f>
        <v>0</v>
      </c>
      <c r="CM180" s="25">
        <f>IF('Lease Cycles'!$C$18&gt;0,COUNTIF('Lease Cycles'!$BG$18:$BM$18,"&lt;="&amp;CM$6),0)</f>
        <v>0</v>
      </c>
      <c r="CN180" s="25">
        <f>IF('Lease Cycles'!$C$18&gt;0,COUNTIF('Lease Cycles'!$BG$18:$BM$18,"&lt;="&amp;CN$6),0)</f>
        <v>0</v>
      </c>
      <c r="CO180" s="25">
        <f>IF('Lease Cycles'!$C$18&gt;0,COUNTIF('Lease Cycles'!$BG$18:$BM$18,"&lt;="&amp;CO$6),0)</f>
        <v>0</v>
      </c>
      <c r="CP180" s="25">
        <f>IF('Lease Cycles'!$C$18&gt;0,COUNTIF('Lease Cycles'!$BG$18:$BM$18,"&lt;="&amp;CP$6),0)</f>
        <v>0</v>
      </c>
      <c r="CQ180" s="25">
        <f>IF('Lease Cycles'!$C$18&gt;0,COUNTIF('Lease Cycles'!$BG$18:$BM$18,"&lt;="&amp;CQ$6),0)</f>
        <v>0</v>
      </c>
      <c r="CR180" s="25">
        <f>IF('Lease Cycles'!$C$18&gt;0,COUNTIF('Lease Cycles'!$BG$18:$BM$18,"&lt;="&amp;CR$6),0)</f>
        <v>0</v>
      </c>
      <c r="CS180" s="25">
        <f>IF('Lease Cycles'!$C$18&gt;0,COUNTIF('Lease Cycles'!$BG$18:$BM$18,"&lt;="&amp;CS$6),0)</f>
        <v>0</v>
      </c>
      <c r="CT180" s="25">
        <f>IF('Lease Cycles'!$C$18&gt;0,COUNTIF('Lease Cycles'!$BG$18:$BM$18,"&lt;="&amp;CT$6),0)</f>
        <v>0</v>
      </c>
      <c r="CU180" s="25">
        <f>IF('Lease Cycles'!$C$18&gt;0,COUNTIF('Lease Cycles'!$BG$18:$BM$18,"&lt;="&amp;CU$6),0)</f>
        <v>0</v>
      </c>
      <c r="CV180" s="25">
        <f>IF('Lease Cycles'!$C$18&gt;0,COUNTIF('Lease Cycles'!$BG$18:$BM$18,"&lt;="&amp;CV$6),0)</f>
        <v>0</v>
      </c>
      <c r="CW180" s="25">
        <f>IF('Lease Cycles'!$C$18&gt;0,COUNTIF('Lease Cycles'!$BG$18:$BM$18,"&lt;="&amp;CW$6),0)</f>
        <v>0</v>
      </c>
      <c r="CX180" s="25">
        <f>IF('Lease Cycles'!$C$18&gt;0,COUNTIF('Lease Cycles'!$BG$18:$BM$18,"&lt;="&amp;CX$6),0)</f>
        <v>0</v>
      </c>
      <c r="CY180" s="25">
        <f>IF('Lease Cycles'!$C$18&gt;0,COUNTIF('Lease Cycles'!$BG$18:$BM$18,"&lt;="&amp;CY$6),0)</f>
        <v>0</v>
      </c>
      <c r="CZ180" s="25">
        <f>IF('Lease Cycles'!$C$18&gt;0,COUNTIF('Lease Cycles'!$BG$18:$BM$18,"&lt;="&amp;CZ$6),0)</f>
        <v>0</v>
      </c>
      <c r="DA180" s="25">
        <f>IF('Lease Cycles'!$C$18&gt;0,COUNTIF('Lease Cycles'!$BG$18:$BM$18,"&lt;="&amp;DA$6),0)</f>
        <v>0</v>
      </c>
      <c r="DB180" s="25">
        <f>IF('Lease Cycles'!$C$18&gt;0,COUNTIF('Lease Cycles'!$BG$18:$BM$18,"&lt;="&amp;DB$6),0)</f>
        <v>0</v>
      </c>
      <c r="DC180" s="25">
        <f>IF('Lease Cycles'!$C$18&gt;0,COUNTIF('Lease Cycles'!$BG$18:$BM$18,"&lt;="&amp;DC$6),0)</f>
        <v>0</v>
      </c>
      <c r="DD180" s="25">
        <f>IF('Lease Cycles'!$C$18&gt;0,COUNTIF('Lease Cycles'!$BG$18:$BM$18,"&lt;="&amp;DD$6),0)</f>
        <v>0</v>
      </c>
      <c r="DE180" s="25">
        <f>IF('Lease Cycles'!$C$18&gt;0,COUNTIF('Lease Cycles'!$BG$18:$BM$18,"&lt;="&amp;DE$6),0)</f>
        <v>0</v>
      </c>
      <c r="DF180" s="25">
        <f>IF('Lease Cycles'!$C$18&gt;0,COUNTIF('Lease Cycles'!$BG$18:$BM$18,"&lt;="&amp;DF$6),0)</f>
        <v>0</v>
      </c>
      <c r="DG180" s="25">
        <f>IF('Lease Cycles'!$C$18&gt;0,COUNTIF('Lease Cycles'!$BG$18:$BM$18,"&lt;="&amp;DG$6),0)</f>
        <v>0</v>
      </c>
      <c r="DH180" s="25">
        <f>IF('Lease Cycles'!$C$18&gt;0,COUNTIF('Lease Cycles'!$BG$18:$BM$18,"&lt;="&amp;DH$6),0)</f>
        <v>0</v>
      </c>
      <c r="DI180" s="25">
        <f>IF('Lease Cycles'!$C$18&gt;0,COUNTIF('Lease Cycles'!$BG$18:$BM$18,"&lt;="&amp;DI$6),0)</f>
        <v>0</v>
      </c>
      <c r="DJ180" s="25">
        <f>IF('Lease Cycles'!$C$18&gt;0,COUNTIF('Lease Cycles'!$BG$18:$BM$18,"&lt;="&amp;DJ$6),0)</f>
        <v>0</v>
      </c>
      <c r="DK180" s="25">
        <f>IF('Lease Cycles'!$C$18&gt;0,COUNTIF('Lease Cycles'!$BG$18:$BM$18,"&lt;="&amp;DK$6),0)</f>
        <v>0</v>
      </c>
      <c r="DL180" s="25">
        <f>IF('Lease Cycles'!$C$18&gt;0,COUNTIF('Lease Cycles'!$BG$18:$BM$18,"&lt;="&amp;DL$6),0)</f>
        <v>0</v>
      </c>
      <c r="DM180" s="25">
        <f>IF('Lease Cycles'!$C$18&gt;0,COUNTIF('Lease Cycles'!$BG$18:$BM$18,"&lt;="&amp;DM$6),0)</f>
        <v>0</v>
      </c>
      <c r="DN180" s="25">
        <f>IF('Lease Cycles'!$C$18&gt;0,COUNTIF('Lease Cycles'!$BG$18:$BM$18,"&lt;="&amp;DN$6),0)</f>
        <v>0</v>
      </c>
      <c r="DO180" s="25">
        <f>IF('Lease Cycles'!$C$18&gt;0,COUNTIF('Lease Cycles'!$BG$18:$BM$18,"&lt;="&amp;DO$6),0)</f>
        <v>0</v>
      </c>
      <c r="DP180" s="25">
        <f>IF('Lease Cycles'!$C$18&gt;0,COUNTIF('Lease Cycles'!$BG$18:$BM$18,"&lt;="&amp;DP$6),0)</f>
        <v>0</v>
      </c>
      <c r="DQ180" s="25">
        <f>IF('Lease Cycles'!$C$18&gt;0,COUNTIF('Lease Cycles'!$BG$18:$BM$18,"&lt;="&amp;DQ$6),0)</f>
        <v>0</v>
      </c>
      <c r="DR180" s="25">
        <f>IF('Lease Cycles'!$C$18&gt;0,COUNTIF('Lease Cycles'!$BG$18:$BM$18,"&lt;="&amp;DR$6),0)</f>
        <v>0</v>
      </c>
      <c r="DS180" s="25">
        <f>IF('Lease Cycles'!$C$18&gt;0,COUNTIF('Lease Cycles'!$BG$18:$BM$18,"&lt;="&amp;DS$6),0)</f>
        <v>0</v>
      </c>
      <c r="DT180" s="25">
        <f>IF('Lease Cycles'!$C$18&gt;0,COUNTIF('Lease Cycles'!$BG$18:$BM$18,"&lt;="&amp;DT$6),0)</f>
        <v>0</v>
      </c>
      <c r="DU180" s="25">
        <f>IF('Lease Cycles'!$C$18&gt;0,COUNTIF('Lease Cycles'!$BG$18:$BM$18,"&lt;="&amp;DU$6),0)</f>
        <v>0</v>
      </c>
      <c r="DV180" s="25">
        <f>IF('Lease Cycles'!$C$18&gt;0,COUNTIF('Lease Cycles'!$BG$18:$BM$18,"&lt;="&amp;DV$6),0)</f>
        <v>0</v>
      </c>
      <c r="DW180" s="25">
        <f>IF('Lease Cycles'!$C$18&gt;0,COUNTIF('Lease Cycles'!$BG$18:$BM$18,"&lt;="&amp;DW$6),0)</f>
        <v>0</v>
      </c>
      <c r="DX180" s="25">
        <f>IF('Lease Cycles'!$C$18&gt;0,COUNTIF('Lease Cycles'!$BG$18:$BM$18,"&lt;="&amp;DX$6),0)</f>
        <v>0</v>
      </c>
      <c r="DY180" s="25">
        <f>IF('Lease Cycles'!$C$18&gt;0,COUNTIF('Lease Cycles'!$BG$18:$BM$18,"&lt;="&amp;DY$6),0)</f>
        <v>0</v>
      </c>
      <c r="DZ180" s="25">
        <f>IF('Lease Cycles'!$C$18&gt;0,COUNTIF('Lease Cycles'!$BG$18:$BM$18,"&lt;="&amp;DZ$6),0)</f>
        <v>0</v>
      </c>
      <c r="EA180" s="25">
        <f>IF('Lease Cycles'!$C$18&gt;0,COUNTIF('Lease Cycles'!$BG$18:$BM$18,"&lt;="&amp;EA$6),0)</f>
        <v>0</v>
      </c>
      <c r="EB180" s="25">
        <f>IF('Lease Cycles'!$C$18&gt;0,COUNTIF('Lease Cycles'!$BG$18:$BM$18,"&lt;="&amp;EB$6),0)</f>
        <v>0</v>
      </c>
      <c r="EC180" s="25">
        <f>IF('Lease Cycles'!$C$18&gt;0,COUNTIF('Lease Cycles'!$BG$18:$BM$18,"&lt;="&amp;EC$6),0)</f>
        <v>0</v>
      </c>
      <c r="ED180" s="25">
        <f>IF('Lease Cycles'!$C$18&gt;0,COUNTIF('Lease Cycles'!$BG$18:$BM$18,"&lt;="&amp;ED$6),0)</f>
        <v>0</v>
      </c>
      <c r="EE180" s="25">
        <f>IF('Lease Cycles'!$C$18&gt;0,COUNTIF('Lease Cycles'!$BG$18:$BM$18,"&lt;="&amp;EE$6),0)</f>
        <v>0</v>
      </c>
      <c r="EF180" s="25">
        <f>IF('Lease Cycles'!$C$18&gt;0,COUNTIF('Lease Cycles'!$BG$18:$BM$18,"&lt;="&amp;EF$6),0)</f>
        <v>0</v>
      </c>
      <c r="EG180" s="25">
        <f>IF('Lease Cycles'!$C$18&gt;0,COUNTIF('Lease Cycles'!$BG$18:$BM$18,"&lt;="&amp;EG$6),0)</f>
        <v>0</v>
      </c>
      <c r="EH180" s="25">
        <f>IF('Lease Cycles'!$C$18&gt;0,COUNTIF('Lease Cycles'!$BG$18:$BM$18,"&lt;="&amp;EH$6),0)</f>
        <v>0</v>
      </c>
      <c r="EI180" s="25">
        <f>IF('Lease Cycles'!$C$18&gt;0,COUNTIF('Lease Cycles'!$BG$18:$BM$18,"&lt;="&amp;EI$6),0)</f>
        <v>0</v>
      </c>
      <c r="EJ180" s="25">
        <f>IF('Lease Cycles'!$C$18&gt;0,COUNTIF('Lease Cycles'!$BG$18:$BM$18,"&lt;="&amp;EJ$6),0)</f>
        <v>0</v>
      </c>
      <c r="EK180" s="25">
        <f>IF('Lease Cycles'!$C$18&gt;0,COUNTIF('Lease Cycles'!$BG$18:$BM$18,"&lt;="&amp;EK$6),0)</f>
        <v>0</v>
      </c>
      <c r="EL180" s="25">
        <f>IF('Lease Cycles'!$C$18&gt;0,COUNTIF('Lease Cycles'!$BG$18:$BM$18,"&lt;="&amp;EL$6),0)</f>
        <v>0</v>
      </c>
      <c r="EM180" s="25">
        <f>IF('Lease Cycles'!$C$18&gt;0,COUNTIF('Lease Cycles'!$BG$18:$BM$18,"&lt;="&amp;EM$6),0)</f>
        <v>0</v>
      </c>
      <c r="EN180" s="25">
        <f>IF('Lease Cycles'!$C$18&gt;0,COUNTIF('Lease Cycles'!$BG$18:$BM$18,"&lt;="&amp;EN$6),0)</f>
        <v>0</v>
      </c>
      <c r="EO180" s="25">
        <f>IF('Lease Cycles'!$C$18&gt;0,COUNTIF('Lease Cycles'!$BG$18:$BM$18,"&lt;="&amp;EO$6),0)</f>
        <v>0</v>
      </c>
      <c r="EP180" s="25">
        <f>IF('Lease Cycles'!$C$18&gt;0,COUNTIF('Lease Cycles'!$BG$18:$BM$18,"&lt;="&amp;EP$6),0)</f>
        <v>0</v>
      </c>
      <c r="EQ180" s="25">
        <f>IF('Lease Cycles'!$C$18&gt;0,COUNTIF('Lease Cycles'!$BG$18:$BM$18,"&lt;="&amp;EQ$6),0)</f>
        <v>0</v>
      </c>
      <c r="ER180" s="25">
        <f>IF('Lease Cycles'!$C$18&gt;0,COUNTIF('Lease Cycles'!$BG$18:$BM$18,"&lt;="&amp;ER$6),0)</f>
        <v>0</v>
      </c>
      <c r="ES180" s="25">
        <f>IF('Lease Cycles'!$C$18&gt;0,COUNTIF('Lease Cycles'!$BG$18:$BM$18,"&lt;="&amp;ES$6),0)</f>
        <v>0</v>
      </c>
      <c r="ET180" s="25">
        <f>IF('Lease Cycles'!$C$18&gt;0,COUNTIF('Lease Cycles'!$BG$18:$BM$18,"&lt;="&amp;ET$6),0)</f>
        <v>0</v>
      </c>
    </row>
    <row r="181">
      <c r="A181" s="103">
        <v>11</v>
      </c>
      <c r="B181" s="23" t="str">
        <f>IF('Lease Cycles'!$B$18="","(empty slot)",'Lease Cycles'!$B$18)</f>
        <v>(empty slot)</v>
      </c>
      <c r="C181" s="23" t="s">
        <v>673</v>
      </c>
      <c r="D181" s="104" t="s">
        <v>674</v>
      </c>
      <c r="E181" s="25">
        <f>'Lease Cycles'!$AL$18</f>
        <v>0</v>
      </c>
      <c r="S181" s="25">
        <f>IF(S180=0,-1,S$6-INDEX('Lease Cycles'!$BG$18:$BM$18,1,S180))</f>
        <v>-1</v>
      </c>
      <c r="T181" s="25">
        <f>IF(T180=0,-1,T$6-INDEX('Lease Cycles'!$BG$18:$BM$18,1,T180))</f>
        <v>-1</v>
      </c>
      <c r="U181" s="25">
        <f>IF(U180=0,-1,U$6-INDEX('Lease Cycles'!$BG$18:$BM$18,1,U180))</f>
        <v>-1</v>
      </c>
      <c r="V181" s="25">
        <f>IF(V180=0,-1,V$6-INDEX('Lease Cycles'!$BG$18:$BM$18,1,V180))</f>
        <v>-1</v>
      </c>
      <c r="W181" s="25">
        <f>IF(W180=0,-1,W$6-INDEX('Lease Cycles'!$BG$18:$BM$18,1,W180))</f>
        <v>-1</v>
      </c>
      <c r="X181" s="25">
        <f>IF(X180=0,-1,X$6-INDEX('Lease Cycles'!$BG$18:$BM$18,1,X180))</f>
        <v>-1</v>
      </c>
      <c r="Y181" s="25">
        <f>IF(Y180=0,-1,Y$6-INDEX('Lease Cycles'!$BG$18:$BM$18,1,Y180))</f>
        <v>-1</v>
      </c>
      <c r="Z181" s="25">
        <f>IF(Z180=0,-1,Z$6-INDEX('Lease Cycles'!$BG$18:$BM$18,1,Z180))</f>
        <v>-1</v>
      </c>
      <c r="AA181" s="25">
        <f>IF(AA180=0,-1,AA$6-INDEX('Lease Cycles'!$BG$18:$BM$18,1,AA180))</f>
        <v>-1</v>
      </c>
      <c r="AB181" s="25">
        <f>IF(AB180=0,-1,AB$6-INDEX('Lease Cycles'!$BG$18:$BM$18,1,AB180))</f>
        <v>-1</v>
      </c>
      <c r="AC181" s="25">
        <f>IF(AC180=0,-1,AC$6-INDEX('Lease Cycles'!$BG$18:$BM$18,1,AC180))</f>
        <v>-1</v>
      </c>
      <c r="AD181" s="25">
        <f>IF(AD180=0,-1,AD$6-INDEX('Lease Cycles'!$BG$18:$BM$18,1,AD180))</f>
        <v>-1</v>
      </c>
      <c r="AE181" s="25">
        <f>IF(AE180=0,-1,AE$6-INDEX('Lease Cycles'!$BG$18:$BM$18,1,AE180))</f>
        <v>-1</v>
      </c>
      <c r="AF181" s="25">
        <f>IF(AF180=0,-1,AF$6-INDEX('Lease Cycles'!$BG$18:$BM$18,1,AF180))</f>
        <v>-1</v>
      </c>
      <c r="AG181" s="25">
        <f>IF(AG180=0,-1,AG$6-INDEX('Lease Cycles'!$BG$18:$BM$18,1,AG180))</f>
        <v>-1</v>
      </c>
      <c r="AH181" s="25">
        <f>IF(AH180=0,-1,AH$6-INDEX('Lease Cycles'!$BG$18:$BM$18,1,AH180))</f>
        <v>-1</v>
      </c>
      <c r="AI181" s="25">
        <f>IF(AI180=0,-1,AI$6-INDEX('Lease Cycles'!$BG$18:$BM$18,1,AI180))</f>
        <v>-1</v>
      </c>
      <c r="AJ181" s="25">
        <f>IF(AJ180=0,-1,AJ$6-INDEX('Lease Cycles'!$BG$18:$BM$18,1,AJ180))</f>
        <v>-1</v>
      </c>
      <c r="AK181" s="25">
        <f>IF(AK180=0,-1,AK$6-INDEX('Lease Cycles'!$BG$18:$BM$18,1,AK180))</f>
        <v>-1</v>
      </c>
      <c r="AL181" s="25">
        <f>IF(AL180=0,-1,AL$6-INDEX('Lease Cycles'!$BG$18:$BM$18,1,AL180))</f>
        <v>-1</v>
      </c>
      <c r="AM181" s="25">
        <f>IF(AM180=0,-1,AM$6-INDEX('Lease Cycles'!$BG$18:$BM$18,1,AM180))</f>
        <v>-1</v>
      </c>
      <c r="AN181" s="25">
        <f>IF(AN180=0,-1,AN$6-INDEX('Lease Cycles'!$BG$18:$BM$18,1,AN180))</f>
        <v>-1</v>
      </c>
      <c r="AO181" s="25">
        <f>IF(AO180=0,-1,AO$6-INDEX('Lease Cycles'!$BG$18:$BM$18,1,AO180))</f>
        <v>-1</v>
      </c>
      <c r="AP181" s="25">
        <f>IF(AP180=0,-1,AP$6-INDEX('Lease Cycles'!$BG$18:$BM$18,1,AP180))</f>
        <v>-1</v>
      </c>
      <c r="AQ181" s="25">
        <f>IF(AQ180=0,-1,AQ$6-INDEX('Lease Cycles'!$BG$18:$BM$18,1,AQ180))</f>
        <v>-1</v>
      </c>
      <c r="AR181" s="25">
        <f>IF(AR180=0,-1,AR$6-INDEX('Lease Cycles'!$BG$18:$BM$18,1,AR180))</f>
        <v>-1</v>
      </c>
      <c r="AS181" s="25">
        <f>IF(AS180=0,-1,AS$6-INDEX('Lease Cycles'!$BG$18:$BM$18,1,AS180))</f>
        <v>-1</v>
      </c>
      <c r="AT181" s="25">
        <f>IF(AT180=0,-1,AT$6-INDEX('Lease Cycles'!$BG$18:$BM$18,1,AT180))</f>
        <v>-1</v>
      </c>
      <c r="AU181" s="25">
        <f>IF(AU180=0,-1,AU$6-INDEX('Lease Cycles'!$BG$18:$BM$18,1,AU180))</f>
        <v>-1</v>
      </c>
      <c r="AV181" s="25">
        <f>IF(AV180=0,-1,AV$6-INDEX('Lease Cycles'!$BG$18:$BM$18,1,AV180))</f>
        <v>-1</v>
      </c>
      <c r="AW181" s="25">
        <f>IF(AW180=0,-1,AW$6-INDEX('Lease Cycles'!$BG$18:$BM$18,1,AW180))</f>
        <v>-1</v>
      </c>
      <c r="AX181" s="25">
        <f>IF(AX180=0,-1,AX$6-INDEX('Lease Cycles'!$BG$18:$BM$18,1,AX180))</f>
        <v>-1</v>
      </c>
      <c r="AY181" s="25">
        <f>IF(AY180=0,-1,AY$6-INDEX('Lease Cycles'!$BG$18:$BM$18,1,AY180))</f>
        <v>-1</v>
      </c>
      <c r="AZ181" s="25">
        <f>IF(AZ180=0,-1,AZ$6-INDEX('Lease Cycles'!$BG$18:$BM$18,1,AZ180))</f>
        <v>-1</v>
      </c>
      <c r="BA181" s="25">
        <f>IF(BA180=0,-1,BA$6-INDEX('Lease Cycles'!$BG$18:$BM$18,1,BA180))</f>
        <v>-1</v>
      </c>
      <c r="BB181" s="25">
        <f>IF(BB180=0,-1,BB$6-INDEX('Lease Cycles'!$BG$18:$BM$18,1,BB180))</f>
        <v>-1</v>
      </c>
      <c r="BC181" s="25">
        <f>IF(BC180=0,-1,BC$6-INDEX('Lease Cycles'!$BG$18:$BM$18,1,BC180))</f>
        <v>-1</v>
      </c>
      <c r="BD181" s="25">
        <f>IF(BD180=0,-1,BD$6-INDEX('Lease Cycles'!$BG$18:$BM$18,1,BD180))</f>
        <v>-1</v>
      </c>
      <c r="BE181" s="25">
        <f>IF(BE180=0,-1,BE$6-INDEX('Lease Cycles'!$BG$18:$BM$18,1,BE180))</f>
        <v>-1</v>
      </c>
      <c r="BF181" s="25">
        <f>IF(BF180=0,-1,BF$6-INDEX('Lease Cycles'!$BG$18:$BM$18,1,BF180))</f>
        <v>-1</v>
      </c>
      <c r="BG181" s="25">
        <f>IF(BG180=0,-1,BG$6-INDEX('Lease Cycles'!$BG$18:$BM$18,1,BG180))</f>
        <v>-1</v>
      </c>
      <c r="BH181" s="25">
        <f>IF(BH180=0,-1,BH$6-INDEX('Lease Cycles'!$BG$18:$BM$18,1,BH180))</f>
        <v>-1</v>
      </c>
      <c r="BI181" s="25">
        <f>IF(BI180=0,-1,BI$6-INDEX('Lease Cycles'!$BG$18:$BM$18,1,BI180))</f>
        <v>-1</v>
      </c>
      <c r="BJ181" s="25">
        <f>IF(BJ180=0,-1,BJ$6-INDEX('Lease Cycles'!$BG$18:$BM$18,1,BJ180))</f>
        <v>-1</v>
      </c>
      <c r="BK181" s="25">
        <f>IF(BK180=0,-1,BK$6-INDEX('Lease Cycles'!$BG$18:$BM$18,1,BK180))</f>
        <v>-1</v>
      </c>
      <c r="BL181" s="25">
        <f>IF(BL180=0,-1,BL$6-INDEX('Lease Cycles'!$BG$18:$BM$18,1,BL180))</f>
        <v>-1</v>
      </c>
      <c r="BM181" s="25">
        <f>IF(BM180=0,-1,BM$6-INDEX('Lease Cycles'!$BG$18:$BM$18,1,BM180))</f>
        <v>-1</v>
      </c>
      <c r="BN181" s="25">
        <f>IF(BN180=0,-1,BN$6-INDEX('Lease Cycles'!$BG$18:$BM$18,1,BN180))</f>
        <v>-1</v>
      </c>
      <c r="BO181" s="25">
        <f>IF(BO180=0,-1,BO$6-INDEX('Lease Cycles'!$BG$18:$BM$18,1,BO180))</f>
        <v>-1</v>
      </c>
      <c r="BP181" s="25">
        <f>IF(BP180=0,-1,BP$6-INDEX('Lease Cycles'!$BG$18:$BM$18,1,BP180))</f>
        <v>-1</v>
      </c>
      <c r="BQ181" s="25">
        <f>IF(BQ180=0,-1,BQ$6-INDEX('Lease Cycles'!$BG$18:$BM$18,1,BQ180))</f>
        <v>-1</v>
      </c>
      <c r="BR181" s="25">
        <f>IF(BR180=0,-1,BR$6-INDEX('Lease Cycles'!$BG$18:$BM$18,1,BR180))</f>
        <v>-1</v>
      </c>
      <c r="BS181" s="25">
        <f>IF(BS180=0,-1,BS$6-INDEX('Lease Cycles'!$BG$18:$BM$18,1,BS180))</f>
        <v>-1</v>
      </c>
      <c r="BT181" s="25">
        <f>IF(BT180=0,-1,BT$6-INDEX('Lease Cycles'!$BG$18:$BM$18,1,BT180))</f>
        <v>-1</v>
      </c>
      <c r="BU181" s="25">
        <f>IF(BU180=0,-1,BU$6-INDEX('Lease Cycles'!$BG$18:$BM$18,1,BU180))</f>
        <v>-1</v>
      </c>
      <c r="BV181" s="25">
        <f>IF(BV180=0,-1,BV$6-INDEX('Lease Cycles'!$BG$18:$BM$18,1,BV180))</f>
        <v>-1</v>
      </c>
      <c r="BW181" s="25">
        <f>IF(BW180=0,-1,BW$6-INDEX('Lease Cycles'!$BG$18:$BM$18,1,BW180))</f>
        <v>-1</v>
      </c>
      <c r="BX181" s="25">
        <f>IF(BX180=0,-1,BX$6-INDEX('Lease Cycles'!$BG$18:$BM$18,1,BX180))</f>
        <v>-1</v>
      </c>
      <c r="BY181" s="25">
        <f>IF(BY180=0,-1,BY$6-INDEX('Lease Cycles'!$BG$18:$BM$18,1,BY180))</f>
        <v>-1</v>
      </c>
      <c r="BZ181" s="25">
        <f>IF(BZ180=0,-1,BZ$6-INDEX('Lease Cycles'!$BG$18:$BM$18,1,BZ180))</f>
        <v>-1</v>
      </c>
      <c r="CA181" s="25">
        <f>IF(CA180=0,-1,CA$6-INDEX('Lease Cycles'!$BG$18:$BM$18,1,CA180))</f>
        <v>-1</v>
      </c>
      <c r="CB181" s="25">
        <f>IF(CB180=0,-1,CB$6-INDEX('Lease Cycles'!$BG$18:$BM$18,1,CB180))</f>
        <v>-1</v>
      </c>
      <c r="CC181" s="25">
        <f>IF(CC180=0,-1,CC$6-INDEX('Lease Cycles'!$BG$18:$BM$18,1,CC180))</f>
        <v>-1</v>
      </c>
      <c r="CD181" s="25">
        <f>IF(CD180=0,-1,CD$6-INDEX('Lease Cycles'!$BG$18:$BM$18,1,CD180))</f>
        <v>-1</v>
      </c>
      <c r="CE181" s="25">
        <f>IF(CE180=0,-1,CE$6-INDEX('Lease Cycles'!$BG$18:$BM$18,1,CE180))</f>
        <v>-1</v>
      </c>
      <c r="CF181" s="25">
        <f>IF(CF180=0,-1,CF$6-INDEX('Lease Cycles'!$BG$18:$BM$18,1,CF180))</f>
        <v>-1</v>
      </c>
      <c r="CG181" s="25">
        <f>IF(CG180=0,-1,CG$6-INDEX('Lease Cycles'!$BG$18:$BM$18,1,CG180))</f>
        <v>-1</v>
      </c>
      <c r="CH181" s="25">
        <f>IF(CH180=0,-1,CH$6-INDEX('Lease Cycles'!$BG$18:$BM$18,1,CH180))</f>
        <v>-1</v>
      </c>
      <c r="CI181" s="25">
        <f>IF(CI180=0,-1,CI$6-INDEX('Lease Cycles'!$BG$18:$BM$18,1,CI180))</f>
        <v>-1</v>
      </c>
      <c r="CJ181" s="25">
        <f>IF(CJ180=0,-1,CJ$6-INDEX('Lease Cycles'!$BG$18:$BM$18,1,CJ180))</f>
        <v>-1</v>
      </c>
      <c r="CK181" s="25">
        <f>IF(CK180=0,-1,CK$6-INDEX('Lease Cycles'!$BG$18:$BM$18,1,CK180))</f>
        <v>-1</v>
      </c>
      <c r="CL181" s="25">
        <f>IF(CL180=0,-1,CL$6-INDEX('Lease Cycles'!$BG$18:$BM$18,1,CL180))</f>
        <v>-1</v>
      </c>
      <c r="CM181" s="25">
        <f>IF(CM180=0,-1,CM$6-INDEX('Lease Cycles'!$BG$18:$BM$18,1,CM180))</f>
        <v>-1</v>
      </c>
      <c r="CN181" s="25">
        <f>IF(CN180=0,-1,CN$6-INDEX('Lease Cycles'!$BG$18:$BM$18,1,CN180))</f>
        <v>-1</v>
      </c>
      <c r="CO181" s="25">
        <f>IF(CO180=0,-1,CO$6-INDEX('Lease Cycles'!$BG$18:$BM$18,1,CO180))</f>
        <v>-1</v>
      </c>
      <c r="CP181" s="25">
        <f>IF(CP180=0,-1,CP$6-INDEX('Lease Cycles'!$BG$18:$BM$18,1,CP180))</f>
        <v>-1</v>
      </c>
      <c r="CQ181" s="25">
        <f>IF(CQ180=0,-1,CQ$6-INDEX('Lease Cycles'!$BG$18:$BM$18,1,CQ180))</f>
        <v>-1</v>
      </c>
      <c r="CR181" s="25">
        <f>IF(CR180=0,-1,CR$6-INDEX('Lease Cycles'!$BG$18:$BM$18,1,CR180))</f>
        <v>-1</v>
      </c>
      <c r="CS181" s="25">
        <f>IF(CS180=0,-1,CS$6-INDEX('Lease Cycles'!$BG$18:$BM$18,1,CS180))</f>
        <v>-1</v>
      </c>
      <c r="CT181" s="25">
        <f>IF(CT180=0,-1,CT$6-INDEX('Lease Cycles'!$BG$18:$BM$18,1,CT180))</f>
        <v>-1</v>
      </c>
      <c r="CU181" s="25">
        <f>IF(CU180=0,-1,CU$6-INDEX('Lease Cycles'!$BG$18:$BM$18,1,CU180))</f>
        <v>-1</v>
      </c>
      <c r="CV181" s="25">
        <f>IF(CV180=0,-1,CV$6-INDEX('Lease Cycles'!$BG$18:$BM$18,1,CV180))</f>
        <v>-1</v>
      </c>
      <c r="CW181" s="25">
        <f>IF(CW180=0,-1,CW$6-INDEX('Lease Cycles'!$BG$18:$BM$18,1,CW180))</f>
        <v>-1</v>
      </c>
      <c r="CX181" s="25">
        <f>IF(CX180=0,-1,CX$6-INDEX('Lease Cycles'!$BG$18:$BM$18,1,CX180))</f>
        <v>-1</v>
      </c>
      <c r="CY181" s="25">
        <f>IF(CY180=0,-1,CY$6-INDEX('Lease Cycles'!$BG$18:$BM$18,1,CY180))</f>
        <v>-1</v>
      </c>
      <c r="CZ181" s="25">
        <f>IF(CZ180=0,-1,CZ$6-INDEX('Lease Cycles'!$BG$18:$BM$18,1,CZ180))</f>
        <v>-1</v>
      </c>
      <c r="DA181" s="25">
        <f>IF(DA180=0,-1,DA$6-INDEX('Lease Cycles'!$BG$18:$BM$18,1,DA180))</f>
        <v>-1</v>
      </c>
      <c r="DB181" s="25">
        <f>IF(DB180=0,-1,DB$6-INDEX('Lease Cycles'!$BG$18:$BM$18,1,DB180))</f>
        <v>-1</v>
      </c>
      <c r="DC181" s="25">
        <f>IF(DC180=0,-1,DC$6-INDEX('Lease Cycles'!$BG$18:$BM$18,1,DC180))</f>
        <v>-1</v>
      </c>
      <c r="DD181" s="25">
        <f>IF(DD180=0,-1,DD$6-INDEX('Lease Cycles'!$BG$18:$BM$18,1,DD180))</f>
        <v>-1</v>
      </c>
      <c r="DE181" s="25">
        <f>IF(DE180=0,-1,DE$6-INDEX('Lease Cycles'!$BG$18:$BM$18,1,DE180))</f>
        <v>-1</v>
      </c>
      <c r="DF181" s="25">
        <f>IF(DF180=0,-1,DF$6-INDEX('Lease Cycles'!$BG$18:$BM$18,1,DF180))</f>
        <v>-1</v>
      </c>
      <c r="DG181" s="25">
        <f>IF(DG180=0,-1,DG$6-INDEX('Lease Cycles'!$BG$18:$BM$18,1,DG180))</f>
        <v>-1</v>
      </c>
      <c r="DH181" s="25">
        <f>IF(DH180=0,-1,DH$6-INDEX('Lease Cycles'!$BG$18:$BM$18,1,DH180))</f>
        <v>-1</v>
      </c>
      <c r="DI181" s="25">
        <f>IF(DI180=0,-1,DI$6-INDEX('Lease Cycles'!$BG$18:$BM$18,1,DI180))</f>
        <v>-1</v>
      </c>
      <c r="DJ181" s="25">
        <f>IF(DJ180=0,-1,DJ$6-INDEX('Lease Cycles'!$BG$18:$BM$18,1,DJ180))</f>
        <v>-1</v>
      </c>
      <c r="DK181" s="25">
        <f>IF(DK180=0,-1,DK$6-INDEX('Lease Cycles'!$BG$18:$BM$18,1,DK180))</f>
        <v>-1</v>
      </c>
      <c r="DL181" s="25">
        <f>IF(DL180=0,-1,DL$6-INDEX('Lease Cycles'!$BG$18:$BM$18,1,DL180))</f>
        <v>-1</v>
      </c>
      <c r="DM181" s="25">
        <f>IF(DM180=0,-1,DM$6-INDEX('Lease Cycles'!$BG$18:$BM$18,1,DM180))</f>
        <v>-1</v>
      </c>
      <c r="DN181" s="25">
        <f>IF(DN180=0,-1,DN$6-INDEX('Lease Cycles'!$BG$18:$BM$18,1,DN180))</f>
        <v>-1</v>
      </c>
      <c r="DO181" s="25">
        <f>IF(DO180=0,-1,DO$6-INDEX('Lease Cycles'!$BG$18:$BM$18,1,DO180))</f>
        <v>-1</v>
      </c>
      <c r="DP181" s="25">
        <f>IF(DP180=0,-1,DP$6-INDEX('Lease Cycles'!$BG$18:$BM$18,1,DP180))</f>
        <v>-1</v>
      </c>
      <c r="DQ181" s="25">
        <f>IF(DQ180=0,-1,DQ$6-INDEX('Lease Cycles'!$BG$18:$BM$18,1,DQ180))</f>
        <v>-1</v>
      </c>
      <c r="DR181" s="25">
        <f>IF(DR180=0,-1,DR$6-INDEX('Lease Cycles'!$BG$18:$BM$18,1,DR180))</f>
        <v>-1</v>
      </c>
      <c r="DS181" s="25">
        <f>IF(DS180=0,-1,DS$6-INDEX('Lease Cycles'!$BG$18:$BM$18,1,DS180))</f>
        <v>-1</v>
      </c>
      <c r="DT181" s="25">
        <f>IF(DT180=0,-1,DT$6-INDEX('Lease Cycles'!$BG$18:$BM$18,1,DT180))</f>
        <v>-1</v>
      </c>
      <c r="DU181" s="25">
        <f>IF(DU180=0,-1,DU$6-INDEX('Lease Cycles'!$BG$18:$BM$18,1,DU180))</f>
        <v>-1</v>
      </c>
      <c r="DV181" s="25">
        <f>IF(DV180=0,-1,DV$6-INDEX('Lease Cycles'!$BG$18:$BM$18,1,DV180))</f>
        <v>-1</v>
      </c>
      <c r="DW181" s="25">
        <f>IF(DW180=0,-1,DW$6-INDEX('Lease Cycles'!$BG$18:$BM$18,1,DW180))</f>
        <v>-1</v>
      </c>
      <c r="DX181" s="25">
        <f>IF(DX180=0,-1,DX$6-INDEX('Lease Cycles'!$BG$18:$BM$18,1,DX180))</f>
        <v>-1</v>
      </c>
      <c r="DY181" s="25">
        <f>IF(DY180=0,-1,DY$6-INDEX('Lease Cycles'!$BG$18:$BM$18,1,DY180))</f>
        <v>-1</v>
      </c>
      <c r="DZ181" s="25">
        <f>IF(DZ180=0,-1,DZ$6-INDEX('Lease Cycles'!$BG$18:$BM$18,1,DZ180))</f>
        <v>-1</v>
      </c>
      <c r="EA181" s="25">
        <f>IF(EA180=0,-1,EA$6-INDEX('Lease Cycles'!$BG$18:$BM$18,1,EA180))</f>
        <v>-1</v>
      </c>
      <c r="EB181" s="25">
        <f>IF(EB180=0,-1,EB$6-INDEX('Lease Cycles'!$BG$18:$BM$18,1,EB180))</f>
        <v>-1</v>
      </c>
      <c r="EC181" s="25">
        <f>IF(EC180=0,-1,EC$6-INDEX('Lease Cycles'!$BG$18:$BM$18,1,EC180))</f>
        <v>-1</v>
      </c>
      <c r="ED181" s="25">
        <f>IF(ED180=0,-1,ED$6-INDEX('Lease Cycles'!$BG$18:$BM$18,1,ED180))</f>
        <v>-1</v>
      </c>
      <c r="EE181" s="25">
        <f>IF(EE180=0,-1,EE$6-INDEX('Lease Cycles'!$BG$18:$BM$18,1,EE180))</f>
        <v>-1</v>
      </c>
      <c r="EF181" s="25">
        <f>IF(EF180=0,-1,EF$6-INDEX('Lease Cycles'!$BG$18:$BM$18,1,EF180))</f>
        <v>-1</v>
      </c>
      <c r="EG181" s="25">
        <f>IF(EG180=0,-1,EG$6-INDEX('Lease Cycles'!$BG$18:$BM$18,1,EG180))</f>
        <v>-1</v>
      </c>
      <c r="EH181" s="25">
        <f>IF(EH180=0,-1,EH$6-INDEX('Lease Cycles'!$BG$18:$BM$18,1,EH180))</f>
        <v>-1</v>
      </c>
      <c r="EI181" s="25">
        <f>IF(EI180=0,-1,EI$6-INDEX('Lease Cycles'!$BG$18:$BM$18,1,EI180))</f>
        <v>-1</v>
      </c>
      <c r="EJ181" s="25">
        <f>IF(EJ180=0,-1,EJ$6-INDEX('Lease Cycles'!$BG$18:$BM$18,1,EJ180))</f>
        <v>-1</v>
      </c>
      <c r="EK181" s="25">
        <f>IF(EK180=0,-1,EK$6-INDEX('Lease Cycles'!$BG$18:$BM$18,1,EK180))</f>
        <v>-1</v>
      </c>
      <c r="EL181" s="25">
        <f>IF(EL180=0,-1,EL$6-INDEX('Lease Cycles'!$BG$18:$BM$18,1,EL180))</f>
        <v>-1</v>
      </c>
      <c r="EM181" s="25">
        <f>IF(EM180=0,-1,EM$6-INDEX('Lease Cycles'!$BG$18:$BM$18,1,EM180))</f>
        <v>-1</v>
      </c>
      <c r="EN181" s="25">
        <f>IF(EN180=0,-1,EN$6-INDEX('Lease Cycles'!$BG$18:$BM$18,1,EN180))</f>
        <v>-1</v>
      </c>
      <c r="EO181" s="25">
        <f>IF(EO180=0,-1,EO$6-INDEX('Lease Cycles'!$BG$18:$BM$18,1,EO180))</f>
        <v>-1</v>
      </c>
      <c r="EP181" s="25">
        <f>IF(EP180=0,-1,EP$6-INDEX('Lease Cycles'!$BG$18:$BM$18,1,EP180))</f>
        <v>-1</v>
      </c>
      <c r="EQ181" s="25">
        <f>IF(EQ180=0,-1,EQ$6-INDEX('Lease Cycles'!$BG$18:$BM$18,1,EQ180))</f>
        <v>-1</v>
      </c>
      <c r="ER181" s="25">
        <f>IF(ER180=0,-1,ER$6-INDEX('Lease Cycles'!$BG$18:$BM$18,1,ER180))</f>
        <v>-1</v>
      </c>
      <c r="ES181" s="25">
        <f>IF(ES180=0,-1,ES$6-INDEX('Lease Cycles'!$BG$18:$BM$18,1,ES180))</f>
        <v>-1</v>
      </c>
      <c r="ET181" s="25">
        <f>IF(ET180=0,-1,ET$6-INDEX('Lease Cycles'!$BG$18:$BM$18,1,ET180))</f>
        <v>-1</v>
      </c>
    </row>
    <row r="182">
      <c r="A182" s="103">
        <v>11</v>
      </c>
      <c r="B182" s="23" t="str">
        <f>IF('Lease Cycles'!$B$18="","(empty slot)",'Lease Cycles'!$B$18)</f>
        <v>(empty slot)</v>
      </c>
      <c r="C182" s="23" t="s">
        <v>675</v>
      </c>
      <c r="D182" s="104" t="s">
        <v>676</v>
      </c>
      <c r="E182" s="25">
        <f>'Lease Cycles'!$AL$18</f>
        <v>0</v>
      </c>
      <c r="S182" s="25">
        <f>IF(S180=0,0,IF(S181&lt;INDEX('Lease Cycles'!$BN$18:$BT$18,1,S180),1,0))</f>
        <v>0</v>
      </c>
      <c r="T182" s="25">
        <f>IF(T180=0,0,IF(T181&lt;INDEX('Lease Cycles'!$BN$18:$BT$18,1,T180),1,0))</f>
        <v>0</v>
      </c>
      <c r="U182" s="25">
        <f>IF(U180=0,0,IF(U181&lt;INDEX('Lease Cycles'!$BN$18:$BT$18,1,U180),1,0))</f>
        <v>0</v>
      </c>
      <c r="V182" s="25">
        <f>IF(V180=0,0,IF(V181&lt;INDEX('Lease Cycles'!$BN$18:$BT$18,1,V180),1,0))</f>
        <v>0</v>
      </c>
      <c r="W182" s="25">
        <f>IF(W180=0,0,IF(W181&lt;INDEX('Lease Cycles'!$BN$18:$BT$18,1,W180),1,0))</f>
        <v>0</v>
      </c>
      <c r="X182" s="25">
        <f>IF(X180=0,0,IF(X181&lt;INDEX('Lease Cycles'!$BN$18:$BT$18,1,X180),1,0))</f>
        <v>0</v>
      </c>
      <c r="Y182" s="25">
        <f>IF(Y180=0,0,IF(Y181&lt;INDEX('Lease Cycles'!$BN$18:$BT$18,1,Y180),1,0))</f>
        <v>0</v>
      </c>
      <c r="Z182" s="25">
        <f>IF(Z180=0,0,IF(Z181&lt;INDEX('Lease Cycles'!$BN$18:$BT$18,1,Z180),1,0))</f>
        <v>0</v>
      </c>
      <c r="AA182" s="25">
        <f>IF(AA180=0,0,IF(AA181&lt;INDEX('Lease Cycles'!$BN$18:$BT$18,1,AA180),1,0))</f>
        <v>0</v>
      </c>
      <c r="AB182" s="25">
        <f>IF(AB180=0,0,IF(AB181&lt;INDEX('Lease Cycles'!$BN$18:$BT$18,1,AB180),1,0))</f>
        <v>0</v>
      </c>
      <c r="AC182" s="25">
        <f>IF(AC180=0,0,IF(AC181&lt;INDEX('Lease Cycles'!$BN$18:$BT$18,1,AC180),1,0))</f>
        <v>0</v>
      </c>
      <c r="AD182" s="25">
        <f>IF(AD180=0,0,IF(AD181&lt;INDEX('Lease Cycles'!$BN$18:$BT$18,1,AD180),1,0))</f>
        <v>0</v>
      </c>
      <c r="AE182" s="25">
        <f>IF(AE180=0,0,IF(AE181&lt;INDEX('Lease Cycles'!$BN$18:$BT$18,1,AE180),1,0))</f>
        <v>0</v>
      </c>
      <c r="AF182" s="25">
        <f>IF(AF180=0,0,IF(AF181&lt;INDEX('Lease Cycles'!$BN$18:$BT$18,1,AF180),1,0))</f>
        <v>0</v>
      </c>
      <c r="AG182" s="25">
        <f>IF(AG180=0,0,IF(AG181&lt;INDEX('Lease Cycles'!$BN$18:$BT$18,1,AG180),1,0))</f>
        <v>0</v>
      </c>
      <c r="AH182" s="25">
        <f>IF(AH180=0,0,IF(AH181&lt;INDEX('Lease Cycles'!$BN$18:$BT$18,1,AH180),1,0))</f>
        <v>0</v>
      </c>
      <c r="AI182" s="25">
        <f>IF(AI180=0,0,IF(AI181&lt;INDEX('Lease Cycles'!$BN$18:$BT$18,1,AI180),1,0))</f>
        <v>0</v>
      </c>
      <c r="AJ182" s="25">
        <f>IF(AJ180=0,0,IF(AJ181&lt;INDEX('Lease Cycles'!$BN$18:$BT$18,1,AJ180),1,0))</f>
        <v>0</v>
      </c>
      <c r="AK182" s="25">
        <f>IF(AK180=0,0,IF(AK181&lt;INDEX('Lease Cycles'!$BN$18:$BT$18,1,AK180),1,0))</f>
        <v>0</v>
      </c>
      <c r="AL182" s="25">
        <f>IF(AL180=0,0,IF(AL181&lt;INDEX('Lease Cycles'!$BN$18:$BT$18,1,AL180),1,0))</f>
        <v>0</v>
      </c>
      <c r="AM182" s="25">
        <f>IF(AM180=0,0,IF(AM181&lt;INDEX('Lease Cycles'!$BN$18:$BT$18,1,AM180),1,0))</f>
        <v>0</v>
      </c>
      <c r="AN182" s="25">
        <f>IF(AN180=0,0,IF(AN181&lt;INDEX('Lease Cycles'!$BN$18:$BT$18,1,AN180),1,0))</f>
        <v>0</v>
      </c>
      <c r="AO182" s="25">
        <f>IF(AO180=0,0,IF(AO181&lt;INDEX('Lease Cycles'!$BN$18:$BT$18,1,AO180),1,0))</f>
        <v>0</v>
      </c>
      <c r="AP182" s="25">
        <f>IF(AP180=0,0,IF(AP181&lt;INDEX('Lease Cycles'!$BN$18:$BT$18,1,AP180),1,0))</f>
        <v>0</v>
      </c>
      <c r="AQ182" s="25">
        <f>IF(AQ180=0,0,IF(AQ181&lt;INDEX('Lease Cycles'!$BN$18:$BT$18,1,AQ180),1,0))</f>
        <v>0</v>
      </c>
      <c r="AR182" s="25">
        <f>IF(AR180=0,0,IF(AR181&lt;INDEX('Lease Cycles'!$BN$18:$BT$18,1,AR180),1,0))</f>
        <v>0</v>
      </c>
      <c r="AS182" s="25">
        <f>IF(AS180=0,0,IF(AS181&lt;INDEX('Lease Cycles'!$BN$18:$BT$18,1,AS180),1,0))</f>
        <v>0</v>
      </c>
      <c r="AT182" s="25">
        <f>IF(AT180=0,0,IF(AT181&lt;INDEX('Lease Cycles'!$BN$18:$BT$18,1,AT180),1,0))</f>
        <v>0</v>
      </c>
      <c r="AU182" s="25">
        <f>IF(AU180=0,0,IF(AU181&lt;INDEX('Lease Cycles'!$BN$18:$BT$18,1,AU180),1,0))</f>
        <v>0</v>
      </c>
      <c r="AV182" s="25">
        <f>IF(AV180=0,0,IF(AV181&lt;INDEX('Lease Cycles'!$BN$18:$BT$18,1,AV180),1,0))</f>
        <v>0</v>
      </c>
      <c r="AW182" s="25">
        <f>IF(AW180=0,0,IF(AW181&lt;INDEX('Lease Cycles'!$BN$18:$BT$18,1,AW180),1,0))</f>
        <v>0</v>
      </c>
      <c r="AX182" s="25">
        <f>IF(AX180=0,0,IF(AX181&lt;INDEX('Lease Cycles'!$BN$18:$BT$18,1,AX180),1,0))</f>
        <v>0</v>
      </c>
      <c r="AY182" s="25">
        <f>IF(AY180=0,0,IF(AY181&lt;INDEX('Lease Cycles'!$BN$18:$BT$18,1,AY180),1,0))</f>
        <v>0</v>
      </c>
      <c r="AZ182" s="25">
        <f>IF(AZ180=0,0,IF(AZ181&lt;INDEX('Lease Cycles'!$BN$18:$BT$18,1,AZ180),1,0))</f>
        <v>0</v>
      </c>
      <c r="BA182" s="25">
        <f>IF(BA180=0,0,IF(BA181&lt;INDEX('Lease Cycles'!$BN$18:$BT$18,1,BA180),1,0))</f>
        <v>0</v>
      </c>
      <c r="BB182" s="25">
        <f>IF(BB180=0,0,IF(BB181&lt;INDEX('Lease Cycles'!$BN$18:$BT$18,1,BB180),1,0))</f>
        <v>0</v>
      </c>
      <c r="BC182" s="25">
        <f>IF(BC180=0,0,IF(BC181&lt;INDEX('Lease Cycles'!$BN$18:$BT$18,1,BC180),1,0))</f>
        <v>0</v>
      </c>
      <c r="BD182" s="25">
        <f>IF(BD180=0,0,IF(BD181&lt;INDEX('Lease Cycles'!$BN$18:$BT$18,1,BD180),1,0))</f>
        <v>0</v>
      </c>
      <c r="BE182" s="25">
        <f>IF(BE180=0,0,IF(BE181&lt;INDEX('Lease Cycles'!$BN$18:$BT$18,1,BE180),1,0))</f>
        <v>0</v>
      </c>
      <c r="BF182" s="25">
        <f>IF(BF180=0,0,IF(BF181&lt;INDEX('Lease Cycles'!$BN$18:$BT$18,1,BF180),1,0))</f>
        <v>0</v>
      </c>
      <c r="BG182" s="25">
        <f>IF(BG180=0,0,IF(BG181&lt;INDEX('Lease Cycles'!$BN$18:$BT$18,1,BG180),1,0))</f>
        <v>0</v>
      </c>
      <c r="BH182" s="25">
        <f>IF(BH180=0,0,IF(BH181&lt;INDEX('Lease Cycles'!$BN$18:$BT$18,1,BH180),1,0))</f>
        <v>0</v>
      </c>
      <c r="BI182" s="25">
        <f>IF(BI180=0,0,IF(BI181&lt;INDEX('Lease Cycles'!$BN$18:$BT$18,1,BI180),1,0))</f>
        <v>0</v>
      </c>
      <c r="BJ182" s="25">
        <f>IF(BJ180=0,0,IF(BJ181&lt;INDEX('Lease Cycles'!$BN$18:$BT$18,1,BJ180),1,0))</f>
        <v>0</v>
      </c>
      <c r="BK182" s="25">
        <f>IF(BK180=0,0,IF(BK181&lt;INDEX('Lease Cycles'!$BN$18:$BT$18,1,BK180),1,0))</f>
        <v>0</v>
      </c>
      <c r="BL182" s="25">
        <f>IF(BL180=0,0,IF(BL181&lt;INDEX('Lease Cycles'!$BN$18:$BT$18,1,BL180),1,0))</f>
        <v>0</v>
      </c>
      <c r="BM182" s="25">
        <f>IF(BM180=0,0,IF(BM181&lt;INDEX('Lease Cycles'!$BN$18:$BT$18,1,BM180),1,0))</f>
        <v>0</v>
      </c>
      <c r="BN182" s="25">
        <f>IF(BN180=0,0,IF(BN181&lt;INDEX('Lease Cycles'!$BN$18:$BT$18,1,BN180),1,0))</f>
        <v>0</v>
      </c>
      <c r="BO182" s="25">
        <f>IF(BO180=0,0,IF(BO181&lt;INDEX('Lease Cycles'!$BN$18:$BT$18,1,BO180),1,0))</f>
        <v>0</v>
      </c>
      <c r="BP182" s="25">
        <f>IF(BP180=0,0,IF(BP181&lt;INDEX('Lease Cycles'!$BN$18:$BT$18,1,BP180),1,0))</f>
        <v>0</v>
      </c>
      <c r="BQ182" s="25">
        <f>IF(BQ180=0,0,IF(BQ181&lt;INDEX('Lease Cycles'!$BN$18:$BT$18,1,BQ180),1,0))</f>
        <v>0</v>
      </c>
      <c r="BR182" s="25">
        <f>IF(BR180=0,0,IF(BR181&lt;INDEX('Lease Cycles'!$BN$18:$BT$18,1,BR180),1,0))</f>
        <v>0</v>
      </c>
      <c r="BS182" s="25">
        <f>IF(BS180=0,0,IF(BS181&lt;INDEX('Lease Cycles'!$BN$18:$BT$18,1,BS180),1,0))</f>
        <v>0</v>
      </c>
      <c r="BT182" s="25">
        <f>IF(BT180=0,0,IF(BT181&lt;INDEX('Lease Cycles'!$BN$18:$BT$18,1,BT180),1,0))</f>
        <v>0</v>
      </c>
      <c r="BU182" s="25">
        <f>IF(BU180=0,0,IF(BU181&lt;INDEX('Lease Cycles'!$BN$18:$BT$18,1,BU180),1,0))</f>
        <v>0</v>
      </c>
      <c r="BV182" s="25">
        <f>IF(BV180=0,0,IF(BV181&lt;INDEX('Lease Cycles'!$BN$18:$BT$18,1,BV180),1,0))</f>
        <v>0</v>
      </c>
      <c r="BW182" s="25">
        <f>IF(BW180=0,0,IF(BW181&lt;INDEX('Lease Cycles'!$BN$18:$BT$18,1,BW180),1,0))</f>
        <v>0</v>
      </c>
      <c r="BX182" s="25">
        <f>IF(BX180=0,0,IF(BX181&lt;INDEX('Lease Cycles'!$BN$18:$BT$18,1,BX180),1,0))</f>
        <v>0</v>
      </c>
      <c r="BY182" s="25">
        <f>IF(BY180=0,0,IF(BY181&lt;INDEX('Lease Cycles'!$BN$18:$BT$18,1,BY180),1,0))</f>
        <v>0</v>
      </c>
      <c r="BZ182" s="25">
        <f>IF(BZ180=0,0,IF(BZ181&lt;INDEX('Lease Cycles'!$BN$18:$BT$18,1,BZ180),1,0))</f>
        <v>0</v>
      </c>
      <c r="CA182" s="25">
        <f>IF(CA180=0,0,IF(CA181&lt;INDEX('Lease Cycles'!$BN$18:$BT$18,1,CA180),1,0))</f>
        <v>0</v>
      </c>
      <c r="CB182" s="25">
        <f>IF(CB180=0,0,IF(CB181&lt;INDEX('Lease Cycles'!$BN$18:$BT$18,1,CB180),1,0))</f>
        <v>0</v>
      </c>
      <c r="CC182" s="25">
        <f>IF(CC180=0,0,IF(CC181&lt;INDEX('Lease Cycles'!$BN$18:$BT$18,1,CC180),1,0))</f>
        <v>0</v>
      </c>
      <c r="CD182" s="25">
        <f>IF(CD180=0,0,IF(CD181&lt;INDEX('Lease Cycles'!$BN$18:$BT$18,1,CD180),1,0))</f>
        <v>0</v>
      </c>
      <c r="CE182" s="25">
        <f>IF(CE180=0,0,IF(CE181&lt;INDEX('Lease Cycles'!$BN$18:$BT$18,1,CE180),1,0))</f>
        <v>0</v>
      </c>
      <c r="CF182" s="25">
        <f>IF(CF180=0,0,IF(CF181&lt;INDEX('Lease Cycles'!$BN$18:$BT$18,1,CF180),1,0))</f>
        <v>0</v>
      </c>
      <c r="CG182" s="25">
        <f>IF(CG180=0,0,IF(CG181&lt;INDEX('Lease Cycles'!$BN$18:$BT$18,1,CG180),1,0))</f>
        <v>0</v>
      </c>
      <c r="CH182" s="25">
        <f>IF(CH180=0,0,IF(CH181&lt;INDEX('Lease Cycles'!$BN$18:$BT$18,1,CH180),1,0))</f>
        <v>0</v>
      </c>
      <c r="CI182" s="25">
        <f>IF(CI180=0,0,IF(CI181&lt;INDEX('Lease Cycles'!$BN$18:$BT$18,1,CI180),1,0))</f>
        <v>0</v>
      </c>
      <c r="CJ182" s="25">
        <f>IF(CJ180=0,0,IF(CJ181&lt;INDEX('Lease Cycles'!$BN$18:$BT$18,1,CJ180),1,0))</f>
        <v>0</v>
      </c>
      <c r="CK182" s="25">
        <f>IF(CK180=0,0,IF(CK181&lt;INDEX('Lease Cycles'!$BN$18:$BT$18,1,CK180),1,0))</f>
        <v>0</v>
      </c>
      <c r="CL182" s="25">
        <f>IF(CL180=0,0,IF(CL181&lt;INDEX('Lease Cycles'!$BN$18:$BT$18,1,CL180),1,0))</f>
        <v>0</v>
      </c>
      <c r="CM182" s="25">
        <f>IF(CM180=0,0,IF(CM181&lt;INDEX('Lease Cycles'!$BN$18:$BT$18,1,CM180),1,0))</f>
        <v>0</v>
      </c>
      <c r="CN182" s="25">
        <f>IF(CN180=0,0,IF(CN181&lt;INDEX('Lease Cycles'!$BN$18:$BT$18,1,CN180),1,0))</f>
        <v>0</v>
      </c>
      <c r="CO182" s="25">
        <f>IF(CO180=0,0,IF(CO181&lt;INDEX('Lease Cycles'!$BN$18:$BT$18,1,CO180),1,0))</f>
        <v>0</v>
      </c>
      <c r="CP182" s="25">
        <f>IF(CP180=0,0,IF(CP181&lt;INDEX('Lease Cycles'!$BN$18:$BT$18,1,CP180),1,0))</f>
        <v>0</v>
      </c>
      <c r="CQ182" s="25">
        <f>IF(CQ180=0,0,IF(CQ181&lt;INDEX('Lease Cycles'!$BN$18:$BT$18,1,CQ180),1,0))</f>
        <v>0</v>
      </c>
      <c r="CR182" s="25">
        <f>IF(CR180=0,0,IF(CR181&lt;INDEX('Lease Cycles'!$BN$18:$BT$18,1,CR180),1,0))</f>
        <v>0</v>
      </c>
      <c r="CS182" s="25">
        <f>IF(CS180=0,0,IF(CS181&lt;INDEX('Lease Cycles'!$BN$18:$BT$18,1,CS180),1,0))</f>
        <v>0</v>
      </c>
      <c r="CT182" s="25">
        <f>IF(CT180=0,0,IF(CT181&lt;INDEX('Lease Cycles'!$BN$18:$BT$18,1,CT180),1,0))</f>
        <v>0</v>
      </c>
      <c r="CU182" s="25">
        <f>IF(CU180=0,0,IF(CU181&lt;INDEX('Lease Cycles'!$BN$18:$BT$18,1,CU180),1,0))</f>
        <v>0</v>
      </c>
      <c r="CV182" s="25">
        <f>IF(CV180=0,0,IF(CV181&lt;INDEX('Lease Cycles'!$BN$18:$BT$18,1,CV180),1,0))</f>
        <v>0</v>
      </c>
      <c r="CW182" s="25">
        <f>IF(CW180=0,0,IF(CW181&lt;INDEX('Lease Cycles'!$BN$18:$BT$18,1,CW180),1,0))</f>
        <v>0</v>
      </c>
      <c r="CX182" s="25">
        <f>IF(CX180=0,0,IF(CX181&lt;INDEX('Lease Cycles'!$BN$18:$BT$18,1,CX180),1,0))</f>
        <v>0</v>
      </c>
      <c r="CY182" s="25">
        <f>IF(CY180=0,0,IF(CY181&lt;INDEX('Lease Cycles'!$BN$18:$BT$18,1,CY180),1,0))</f>
        <v>0</v>
      </c>
      <c r="CZ182" s="25">
        <f>IF(CZ180=0,0,IF(CZ181&lt;INDEX('Lease Cycles'!$BN$18:$BT$18,1,CZ180),1,0))</f>
        <v>0</v>
      </c>
      <c r="DA182" s="25">
        <f>IF(DA180=0,0,IF(DA181&lt;INDEX('Lease Cycles'!$BN$18:$BT$18,1,DA180),1,0))</f>
        <v>0</v>
      </c>
      <c r="DB182" s="25">
        <f>IF(DB180=0,0,IF(DB181&lt;INDEX('Lease Cycles'!$BN$18:$BT$18,1,DB180),1,0))</f>
        <v>0</v>
      </c>
      <c r="DC182" s="25">
        <f>IF(DC180=0,0,IF(DC181&lt;INDEX('Lease Cycles'!$BN$18:$BT$18,1,DC180),1,0))</f>
        <v>0</v>
      </c>
      <c r="DD182" s="25">
        <f>IF(DD180=0,0,IF(DD181&lt;INDEX('Lease Cycles'!$BN$18:$BT$18,1,DD180),1,0))</f>
        <v>0</v>
      </c>
      <c r="DE182" s="25">
        <f>IF(DE180=0,0,IF(DE181&lt;INDEX('Lease Cycles'!$BN$18:$BT$18,1,DE180),1,0))</f>
        <v>0</v>
      </c>
      <c r="DF182" s="25">
        <f>IF(DF180=0,0,IF(DF181&lt;INDEX('Lease Cycles'!$BN$18:$BT$18,1,DF180),1,0))</f>
        <v>0</v>
      </c>
      <c r="DG182" s="25">
        <f>IF(DG180=0,0,IF(DG181&lt;INDEX('Lease Cycles'!$BN$18:$BT$18,1,DG180),1,0))</f>
        <v>0</v>
      </c>
      <c r="DH182" s="25">
        <f>IF(DH180=0,0,IF(DH181&lt;INDEX('Lease Cycles'!$BN$18:$BT$18,1,DH180),1,0))</f>
        <v>0</v>
      </c>
      <c r="DI182" s="25">
        <f>IF(DI180=0,0,IF(DI181&lt;INDEX('Lease Cycles'!$BN$18:$BT$18,1,DI180),1,0))</f>
        <v>0</v>
      </c>
      <c r="DJ182" s="25">
        <f>IF(DJ180=0,0,IF(DJ181&lt;INDEX('Lease Cycles'!$BN$18:$BT$18,1,DJ180),1,0))</f>
        <v>0</v>
      </c>
      <c r="DK182" s="25">
        <f>IF(DK180=0,0,IF(DK181&lt;INDEX('Lease Cycles'!$BN$18:$BT$18,1,DK180),1,0))</f>
        <v>0</v>
      </c>
      <c r="DL182" s="25">
        <f>IF(DL180=0,0,IF(DL181&lt;INDEX('Lease Cycles'!$BN$18:$BT$18,1,DL180),1,0))</f>
        <v>0</v>
      </c>
      <c r="DM182" s="25">
        <f>IF(DM180=0,0,IF(DM181&lt;INDEX('Lease Cycles'!$BN$18:$BT$18,1,DM180),1,0))</f>
        <v>0</v>
      </c>
      <c r="DN182" s="25">
        <f>IF(DN180=0,0,IF(DN181&lt;INDEX('Lease Cycles'!$BN$18:$BT$18,1,DN180),1,0))</f>
        <v>0</v>
      </c>
      <c r="DO182" s="25">
        <f>IF(DO180=0,0,IF(DO181&lt;INDEX('Lease Cycles'!$BN$18:$BT$18,1,DO180),1,0))</f>
        <v>0</v>
      </c>
      <c r="DP182" s="25">
        <f>IF(DP180=0,0,IF(DP181&lt;INDEX('Lease Cycles'!$BN$18:$BT$18,1,DP180),1,0))</f>
        <v>0</v>
      </c>
      <c r="DQ182" s="25">
        <f>IF(DQ180=0,0,IF(DQ181&lt;INDEX('Lease Cycles'!$BN$18:$BT$18,1,DQ180),1,0))</f>
        <v>0</v>
      </c>
      <c r="DR182" s="25">
        <f>IF(DR180=0,0,IF(DR181&lt;INDEX('Lease Cycles'!$BN$18:$BT$18,1,DR180),1,0))</f>
        <v>0</v>
      </c>
      <c r="DS182" s="25">
        <f>IF(DS180=0,0,IF(DS181&lt;INDEX('Lease Cycles'!$BN$18:$BT$18,1,DS180),1,0))</f>
        <v>0</v>
      </c>
      <c r="DT182" s="25">
        <f>IF(DT180=0,0,IF(DT181&lt;INDEX('Lease Cycles'!$BN$18:$BT$18,1,DT180),1,0))</f>
        <v>0</v>
      </c>
      <c r="DU182" s="25">
        <f>IF(DU180=0,0,IF(DU181&lt;INDEX('Lease Cycles'!$BN$18:$BT$18,1,DU180),1,0))</f>
        <v>0</v>
      </c>
      <c r="DV182" s="25">
        <f>IF(DV180=0,0,IF(DV181&lt;INDEX('Lease Cycles'!$BN$18:$BT$18,1,DV180),1,0))</f>
        <v>0</v>
      </c>
      <c r="DW182" s="25">
        <f>IF(DW180=0,0,IF(DW181&lt;INDEX('Lease Cycles'!$BN$18:$BT$18,1,DW180),1,0))</f>
        <v>0</v>
      </c>
      <c r="DX182" s="25">
        <f>IF(DX180=0,0,IF(DX181&lt;INDEX('Lease Cycles'!$BN$18:$BT$18,1,DX180),1,0))</f>
        <v>0</v>
      </c>
      <c r="DY182" s="25">
        <f>IF(DY180=0,0,IF(DY181&lt;INDEX('Lease Cycles'!$BN$18:$BT$18,1,DY180),1,0))</f>
        <v>0</v>
      </c>
      <c r="DZ182" s="25">
        <f>IF(DZ180=0,0,IF(DZ181&lt;INDEX('Lease Cycles'!$BN$18:$BT$18,1,DZ180),1,0))</f>
        <v>0</v>
      </c>
      <c r="EA182" s="25">
        <f>IF(EA180=0,0,IF(EA181&lt;INDEX('Lease Cycles'!$BN$18:$BT$18,1,EA180),1,0))</f>
        <v>0</v>
      </c>
      <c r="EB182" s="25">
        <f>IF(EB180=0,0,IF(EB181&lt;INDEX('Lease Cycles'!$BN$18:$BT$18,1,EB180),1,0))</f>
        <v>0</v>
      </c>
      <c r="EC182" s="25">
        <f>IF(EC180=0,0,IF(EC181&lt;INDEX('Lease Cycles'!$BN$18:$BT$18,1,EC180),1,0))</f>
        <v>0</v>
      </c>
      <c r="ED182" s="25">
        <f>IF(ED180=0,0,IF(ED181&lt;INDEX('Lease Cycles'!$BN$18:$BT$18,1,ED180),1,0))</f>
        <v>0</v>
      </c>
      <c r="EE182" s="25">
        <f>IF(EE180=0,0,IF(EE181&lt;INDEX('Lease Cycles'!$BN$18:$BT$18,1,EE180),1,0))</f>
        <v>0</v>
      </c>
      <c r="EF182" s="25">
        <f>IF(EF180=0,0,IF(EF181&lt;INDEX('Lease Cycles'!$BN$18:$BT$18,1,EF180),1,0))</f>
        <v>0</v>
      </c>
      <c r="EG182" s="25">
        <f>IF(EG180=0,0,IF(EG181&lt;INDEX('Lease Cycles'!$BN$18:$BT$18,1,EG180),1,0))</f>
        <v>0</v>
      </c>
      <c r="EH182" s="25">
        <f>IF(EH180=0,0,IF(EH181&lt;INDEX('Lease Cycles'!$BN$18:$BT$18,1,EH180),1,0))</f>
        <v>0</v>
      </c>
      <c r="EI182" s="25">
        <f>IF(EI180=0,0,IF(EI181&lt;INDEX('Lease Cycles'!$BN$18:$BT$18,1,EI180),1,0))</f>
        <v>0</v>
      </c>
      <c r="EJ182" s="25">
        <f>IF(EJ180=0,0,IF(EJ181&lt;INDEX('Lease Cycles'!$BN$18:$BT$18,1,EJ180),1,0))</f>
        <v>0</v>
      </c>
      <c r="EK182" s="25">
        <f>IF(EK180=0,0,IF(EK181&lt;INDEX('Lease Cycles'!$BN$18:$BT$18,1,EK180),1,0))</f>
        <v>0</v>
      </c>
      <c r="EL182" s="25">
        <f>IF(EL180=0,0,IF(EL181&lt;INDEX('Lease Cycles'!$BN$18:$BT$18,1,EL180),1,0))</f>
        <v>0</v>
      </c>
      <c r="EM182" s="25">
        <f>IF(EM180=0,0,IF(EM181&lt;INDEX('Lease Cycles'!$BN$18:$BT$18,1,EM180),1,0))</f>
        <v>0</v>
      </c>
      <c r="EN182" s="25">
        <f>IF(EN180=0,0,IF(EN181&lt;INDEX('Lease Cycles'!$BN$18:$BT$18,1,EN180),1,0))</f>
        <v>0</v>
      </c>
      <c r="EO182" s="25">
        <f>IF(EO180=0,0,IF(EO181&lt;INDEX('Lease Cycles'!$BN$18:$BT$18,1,EO180),1,0))</f>
        <v>0</v>
      </c>
      <c r="EP182" s="25">
        <f>IF(EP180=0,0,IF(EP181&lt;INDEX('Lease Cycles'!$BN$18:$BT$18,1,EP180),1,0))</f>
        <v>0</v>
      </c>
      <c r="EQ182" s="25">
        <f>IF(EQ180=0,0,IF(EQ181&lt;INDEX('Lease Cycles'!$BN$18:$BT$18,1,EQ180),1,0))</f>
        <v>0</v>
      </c>
      <c r="ER182" s="25">
        <f>IF(ER180=0,0,IF(ER181&lt;INDEX('Lease Cycles'!$BN$18:$BT$18,1,ER180),1,0))</f>
        <v>0</v>
      </c>
      <c r="ES182" s="25">
        <f>IF(ES180=0,0,IF(ES181&lt;INDEX('Lease Cycles'!$BN$18:$BT$18,1,ES180),1,0))</f>
        <v>0</v>
      </c>
      <c r="ET182" s="25">
        <f>IF(ET180=0,0,IF(ET181&lt;INDEX('Lease Cycles'!$BN$18:$BT$18,1,ET180),1,0))</f>
        <v>0</v>
      </c>
    </row>
    <row r="183">
      <c r="A183" s="103">
        <v>11</v>
      </c>
      <c r="B183" s="23" t="str">
        <f>IF('Lease Cycles'!$B$18="","(empty slot)",'Lease Cycles'!$B$18)</f>
        <v>(empty slot)</v>
      </c>
      <c r="C183" s="23" t="s">
        <v>677</v>
      </c>
      <c r="D183" s="104" t="s">
        <v>678</v>
      </c>
      <c r="E183" s="25">
        <f>'Lease Cycles'!$AL$18</f>
        <v>0</v>
      </c>
      <c r="S183" s="28">
        <f>IF(S180=0,IF('Lease Cycles'!$F$18&gt;0,'Lease Cycles'!$C$18*'Lease Cycles'!$E$18/12,0),IF(S182=1,IF('Lease Cycles'!$AT$18&gt;=9999,'Lease Cycles'!$C$18*INDEX('Lease Cycles'!$CB$18:$CH$18,1,S180)*(1+INDEX('Lease Cycles'!$CI$18:$CO$18,1,S180))^INT(INT(S181/12)/INDEX('Lease Cycles'!$CP$18:$CV$18,1,S180))/12,IF(S180=1,IF(S181&gt;=INDEX('Lease Cycles'!$DK$18:$DQ$18,1,S180),IF(S$6&gt;='Lease Cycles'!$AZ$18,'Lease Cycles'!$C$18*'Lease Cycles'!$BA$18/12,IF(S$6&gt;='Lease Cycles'!$AX$18,'Lease Cycles'!$C$18*'Lease Cycles'!$AY$18/12,IF(S$6&gt;='Lease Cycles'!$AV$18,'Lease Cycles'!$C$18*'Lease Cycles'!$AW$18/12,IF(S$6&gt;='Lease Cycles'!$AT$18,'Lease Cycles'!$C$18*'Lease Cycles'!$AU$18/12,'Lease Cycles'!$C$18*INDEX('Lease Cycles'!$CB$18:$CH$18,1,S180)*(1+INDEX('Lease Cycles'!$CI$18:$CO$18,1,S180))^INT(INT(S181/12)/INDEX('Lease Cycles'!$CP$18:$CV$18,1,S180))/12)))),'Lease Cycles'!$C$18*INDEX('Lease Cycles'!$CB$18:$CH$18,1,S180)*(1+INDEX('Lease Cycles'!$CI$18:$CO$18,1,S180))^INT(INT(S181/12)/INDEX('Lease Cycles'!$CP$18:$CV$18,1,S180))/12),IF(INDEX('Lease Cycles'!$EF$18:$EL$18,1,S180)=1,IF(AND('Lease Cycles'!$AZ$18&gt;=INDEX('Lease Cycles'!$BG$18:$BM$18,1,S180),'Lease Cycles'!$AZ$18&lt;=S$6),'Lease Cycles'!$C$18*'Lease Cycles'!$BA$18/12,IF(AND('Lease Cycles'!$AX$18&gt;=INDEX('Lease Cycles'!$BG$18:$BM$18,1,S180),'Lease Cycles'!$AX$18&lt;=S$6),'Lease Cycles'!$C$18*'Lease Cycles'!$AY$18/12,IF(AND('Lease Cycles'!$AV$18&gt;=INDEX('Lease Cycles'!$BG$18:$BM$18,1,S180),'Lease Cycles'!$AV$18&lt;=S$6),'Lease Cycles'!$C$18*'Lease Cycles'!$AW$18/12,IF(AND('Lease Cycles'!$AT$18&gt;=INDEX('Lease Cycles'!$BG$18:$BM$18,1,S180),'Lease Cycles'!$AT$18&lt;=S$6),'Lease Cycles'!$C$18*'Lease Cycles'!$AU$18/12,'Lease Cycles'!$C$18*INDEX('Lease Cycles'!$CB$18:$CH$18,1,S180)*(1+INDEX('Lease Cycles'!$CI$18:$CO$18,1,S180))^INT(INT(S181/12)/INDEX('Lease Cycles'!$CP$18:$CV$18,1,S180))/12)))),'Lease Cycles'!$C$18*INDEX('Lease Cycles'!$CB$18:$CH$18,1,S180)*(1+INDEX('Lease Cycles'!$CI$18:$CO$18,1,S180))^INT(INT(S181/12)/INDEX('Lease Cycles'!$CP$18:$CV$18,1,S180))/12))),IF('Lease Cycles'!$N$18=1,'Lease Cycles'!$C$18*'Lease Cycles'!$E$18*INDEX('Lease Cycles'!$HE$18:$HK$18,1,S180)*(1+INDEX('Lease Cycles'!$GQ$18:$GW$18,1,S180))^INT(INT((S$6-INDEX('Lease Cycles'!$GJ$18:$GP$18,1,S180))/12)/INDEX('Lease Cycles'!$GX$18:$HD$18,1,S180))/12,0)))</f>
        <v>0</v>
      </c>
      <c r="T183" s="28">
        <f>IF(T180=0,IF('Lease Cycles'!$F$18&gt;0,'Lease Cycles'!$C$18*'Lease Cycles'!$E$18/12,0),IF(T182=1,IF('Lease Cycles'!$AT$18&gt;=9999,'Lease Cycles'!$C$18*INDEX('Lease Cycles'!$CB$18:$CH$18,1,T180)*(1+INDEX('Lease Cycles'!$CI$18:$CO$18,1,T180))^INT(INT(T181/12)/INDEX('Lease Cycles'!$CP$18:$CV$18,1,T180))/12,IF(T180=1,IF(T181&gt;=INDEX('Lease Cycles'!$DK$18:$DQ$18,1,T180),IF(T$6&gt;='Lease Cycles'!$AZ$18,'Lease Cycles'!$C$18*'Lease Cycles'!$BA$18/12,IF(T$6&gt;='Lease Cycles'!$AX$18,'Lease Cycles'!$C$18*'Lease Cycles'!$AY$18/12,IF(T$6&gt;='Lease Cycles'!$AV$18,'Lease Cycles'!$C$18*'Lease Cycles'!$AW$18/12,IF(T$6&gt;='Lease Cycles'!$AT$18,'Lease Cycles'!$C$18*'Lease Cycles'!$AU$18/12,'Lease Cycles'!$C$18*INDEX('Lease Cycles'!$CB$18:$CH$18,1,T180)*(1+INDEX('Lease Cycles'!$CI$18:$CO$18,1,T180))^INT(INT(T181/12)/INDEX('Lease Cycles'!$CP$18:$CV$18,1,T180))/12)))),'Lease Cycles'!$C$18*INDEX('Lease Cycles'!$CB$18:$CH$18,1,T180)*(1+INDEX('Lease Cycles'!$CI$18:$CO$18,1,T180))^INT(INT(T181/12)/INDEX('Lease Cycles'!$CP$18:$CV$18,1,T180))/12),IF(INDEX('Lease Cycles'!$EF$18:$EL$18,1,T180)=1,IF(AND('Lease Cycles'!$AZ$18&gt;=INDEX('Lease Cycles'!$BG$18:$BM$18,1,T180),'Lease Cycles'!$AZ$18&lt;=T$6),'Lease Cycles'!$C$18*'Lease Cycles'!$BA$18/12,IF(AND('Lease Cycles'!$AX$18&gt;=INDEX('Lease Cycles'!$BG$18:$BM$18,1,T180),'Lease Cycles'!$AX$18&lt;=T$6),'Lease Cycles'!$C$18*'Lease Cycles'!$AY$18/12,IF(AND('Lease Cycles'!$AV$18&gt;=INDEX('Lease Cycles'!$BG$18:$BM$18,1,T180),'Lease Cycles'!$AV$18&lt;=T$6),'Lease Cycles'!$C$18*'Lease Cycles'!$AW$18/12,IF(AND('Lease Cycles'!$AT$18&gt;=INDEX('Lease Cycles'!$BG$18:$BM$18,1,T180),'Lease Cycles'!$AT$18&lt;=T$6),'Lease Cycles'!$C$18*'Lease Cycles'!$AU$18/12,'Lease Cycles'!$C$18*INDEX('Lease Cycles'!$CB$18:$CH$18,1,T180)*(1+INDEX('Lease Cycles'!$CI$18:$CO$18,1,T180))^INT(INT(T181/12)/INDEX('Lease Cycles'!$CP$18:$CV$18,1,T180))/12)))),'Lease Cycles'!$C$18*INDEX('Lease Cycles'!$CB$18:$CH$18,1,T180)*(1+INDEX('Lease Cycles'!$CI$18:$CO$18,1,T180))^INT(INT(T181/12)/INDEX('Lease Cycles'!$CP$18:$CV$18,1,T180))/12))),IF('Lease Cycles'!$N$18=1,'Lease Cycles'!$C$18*'Lease Cycles'!$E$18*INDEX('Lease Cycles'!$HE$18:$HK$18,1,T180)*(1+INDEX('Lease Cycles'!$GQ$18:$GW$18,1,T180))^INT(INT((T$6-INDEX('Lease Cycles'!$GJ$18:$GP$18,1,T180))/12)/INDEX('Lease Cycles'!$GX$18:$HD$18,1,T180))/12,0)))</f>
        <v>0</v>
      </c>
      <c r="U183" s="28">
        <f>IF(U180=0,IF('Lease Cycles'!$F$18&gt;0,'Lease Cycles'!$C$18*'Lease Cycles'!$E$18/12,0),IF(U182=1,IF('Lease Cycles'!$AT$18&gt;=9999,'Lease Cycles'!$C$18*INDEX('Lease Cycles'!$CB$18:$CH$18,1,U180)*(1+INDEX('Lease Cycles'!$CI$18:$CO$18,1,U180))^INT(INT(U181/12)/INDEX('Lease Cycles'!$CP$18:$CV$18,1,U180))/12,IF(U180=1,IF(U181&gt;=INDEX('Lease Cycles'!$DK$18:$DQ$18,1,U180),IF(U$6&gt;='Lease Cycles'!$AZ$18,'Lease Cycles'!$C$18*'Lease Cycles'!$BA$18/12,IF(U$6&gt;='Lease Cycles'!$AX$18,'Lease Cycles'!$C$18*'Lease Cycles'!$AY$18/12,IF(U$6&gt;='Lease Cycles'!$AV$18,'Lease Cycles'!$C$18*'Lease Cycles'!$AW$18/12,IF(U$6&gt;='Lease Cycles'!$AT$18,'Lease Cycles'!$C$18*'Lease Cycles'!$AU$18/12,'Lease Cycles'!$C$18*INDEX('Lease Cycles'!$CB$18:$CH$18,1,U180)*(1+INDEX('Lease Cycles'!$CI$18:$CO$18,1,U180))^INT(INT(U181/12)/INDEX('Lease Cycles'!$CP$18:$CV$18,1,U180))/12)))),'Lease Cycles'!$C$18*INDEX('Lease Cycles'!$CB$18:$CH$18,1,U180)*(1+INDEX('Lease Cycles'!$CI$18:$CO$18,1,U180))^INT(INT(U181/12)/INDEX('Lease Cycles'!$CP$18:$CV$18,1,U180))/12),IF(INDEX('Lease Cycles'!$EF$18:$EL$18,1,U180)=1,IF(AND('Lease Cycles'!$AZ$18&gt;=INDEX('Lease Cycles'!$BG$18:$BM$18,1,U180),'Lease Cycles'!$AZ$18&lt;=U$6),'Lease Cycles'!$C$18*'Lease Cycles'!$BA$18/12,IF(AND('Lease Cycles'!$AX$18&gt;=INDEX('Lease Cycles'!$BG$18:$BM$18,1,U180),'Lease Cycles'!$AX$18&lt;=U$6),'Lease Cycles'!$C$18*'Lease Cycles'!$AY$18/12,IF(AND('Lease Cycles'!$AV$18&gt;=INDEX('Lease Cycles'!$BG$18:$BM$18,1,U180),'Lease Cycles'!$AV$18&lt;=U$6),'Lease Cycles'!$C$18*'Lease Cycles'!$AW$18/12,IF(AND('Lease Cycles'!$AT$18&gt;=INDEX('Lease Cycles'!$BG$18:$BM$18,1,U180),'Lease Cycles'!$AT$18&lt;=U$6),'Lease Cycles'!$C$18*'Lease Cycles'!$AU$18/12,'Lease Cycles'!$C$18*INDEX('Lease Cycles'!$CB$18:$CH$18,1,U180)*(1+INDEX('Lease Cycles'!$CI$18:$CO$18,1,U180))^INT(INT(U181/12)/INDEX('Lease Cycles'!$CP$18:$CV$18,1,U180))/12)))),'Lease Cycles'!$C$18*INDEX('Lease Cycles'!$CB$18:$CH$18,1,U180)*(1+INDEX('Lease Cycles'!$CI$18:$CO$18,1,U180))^INT(INT(U181/12)/INDEX('Lease Cycles'!$CP$18:$CV$18,1,U180))/12))),IF('Lease Cycles'!$N$18=1,'Lease Cycles'!$C$18*'Lease Cycles'!$E$18*INDEX('Lease Cycles'!$HE$18:$HK$18,1,U180)*(1+INDEX('Lease Cycles'!$GQ$18:$GW$18,1,U180))^INT(INT((U$6-INDEX('Lease Cycles'!$GJ$18:$GP$18,1,U180))/12)/INDEX('Lease Cycles'!$GX$18:$HD$18,1,U180))/12,0)))</f>
        <v>0</v>
      </c>
      <c r="V183" s="28">
        <f>IF(V180=0,IF('Lease Cycles'!$F$18&gt;0,'Lease Cycles'!$C$18*'Lease Cycles'!$E$18/12,0),IF(V182=1,IF('Lease Cycles'!$AT$18&gt;=9999,'Lease Cycles'!$C$18*INDEX('Lease Cycles'!$CB$18:$CH$18,1,V180)*(1+INDEX('Lease Cycles'!$CI$18:$CO$18,1,V180))^INT(INT(V181/12)/INDEX('Lease Cycles'!$CP$18:$CV$18,1,V180))/12,IF(V180=1,IF(V181&gt;=INDEX('Lease Cycles'!$DK$18:$DQ$18,1,V180),IF(V$6&gt;='Lease Cycles'!$AZ$18,'Lease Cycles'!$C$18*'Lease Cycles'!$BA$18/12,IF(V$6&gt;='Lease Cycles'!$AX$18,'Lease Cycles'!$C$18*'Lease Cycles'!$AY$18/12,IF(V$6&gt;='Lease Cycles'!$AV$18,'Lease Cycles'!$C$18*'Lease Cycles'!$AW$18/12,IF(V$6&gt;='Lease Cycles'!$AT$18,'Lease Cycles'!$C$18*'Lease Cycles'!$AU$18/12,'Lease Cycles'!$C$18*INDEX('Lease Cycles'!$CB$18:$CH$18,1,V180)*(1+INDEX('Lease Cycles'!$CI$18:$CO$18,1,V180))^INT(INT(V181/12)/INDEX('Lease Cycles'!$CP$18:$CV$18,1,V180))/12)))),'Lease Cycles'!$C$18*INDEX('Lease Cycles'!$CB$18:$CH$18,1,V180)*(1+INDEX('Lease Cycles'!$CI$18:$CO$18,1,V180))^INT(INT(V181/12)/INDEX('Lease Cycles'!$CP$18:$CV$18,1,V180))/12),IF(INDEX('Lease Cycles'!$EF$18:$EL$18,1,V180)=1,IF(AND('Lease Cycles'!$AZ$18&gt;=INDEX('Lease Cycles'!$BG$18:$BM$18,1,V180),'Lease Cycles'!$AZ$18&lt;=V$6),'Lease Cycles'!$C$18*'Lease Cycles'!$BA$18/12,IF(AND('Lease Cycles'!$AX$18&gt;=INDEX('Lease Cycles'!$BG$18:$BM$18,1,V180),'Lease Cycles'!$AX$18&lt;=V$6),'Lease Cycles'!$C$18*'Lease Cycles'!$AY$18/12,IF(AND('Lease Cycles'!$AV$18&gt;=INDEX('Lease Cycles'!$BG$18:$BM$18,1,V180),'Lease Cycles'!$AV$18&lt;=V$6),'Lease Cycles'!$C$18*'Lease Cycles'!$AW$18/12,IF(AND('Lease Cycles'!$AT$18&gt;=INDEX('Lease Cycles'!$BG$18:$BM$18,1,V180),'Lease Cycles'!$AT$18&lt;=V$6),'Lease Cycles'!$C$18*'Lease Cycles'!$AU$18/12,'Lease Cycles'!$C$18*INDEX('Lease Cycles'!$CB$18:$CH$18,1,V180)*(1+INDEX('Lease Cycles'!$CI$18:$CO$18,1,V180))^INT(INT(V181/12)/INDEX('Lease Cycles'!$CP$18:$CV$18,1,V180))/12)))),'Lease Cycles'!$C$18*INDEX('Lease Cycles'!$CB$18:$CH$18,1,V180)*(1+INDEX('Lease Cycles'!$CI$18:$CO$18,1,V180))^INT(INT(V181/12)/INDEX('Lease Cycles'!$CP$18:$CV$18,1,V180))/12))),IF('Lease Cycles'!$N$18=1,'Lease Cycles'!$C$18*'Lease Cycles'!$E$18*INDEX('Lease Cycles'!$HE$18:$HK$18,1,V180)*(1+INDEX('Lease Cycles'!$GQ$18:$GW$18,1,V180))^INT(INT((V$6-INDEX('Lease Cycles'!$GJ$18:$GP$18,1,V180))/12)/INDEX('Lease Cycles'!$GX$18:$HD$18,1,V180))/12,0)))</f>
        <v>0</v>
      </c>
      <c r="W183" s="28">
        <f>IF(W180=0,IF('Lease Cycles'!$F$18&gt;0,'Lease Cycles'!$C$18*'Lease Cycles'!$E$18/12,0),IF(W182=1,IF('Lease Cycles'!$AT$18&gt;=9999,'Lease Cycles'!$C$18*INDEX('Lease Cycles'!$CB$18:$CH$18,1,W180)*(1+INDEX('Lease Cycles'!$CI$18:$CO$18,1,W180))^INT(INT(W181/12)/INDEX('Lease Cycles'!$CP$18:$CV$18,1,W180))/12,IF(W180=1,IF(W181&gt;=INDEX('Lease Cycles'!$DK$18:$DQ$18,1,W180),IF(W$6&gt;='Lease Cycles'!$AZ$18,'Lease Cycles'!$C$18*'Lease Cycles'!$BA$18/12,IF(W$6&gt;='Lease Cycles'!$AX$18,'Lease Cycles'!$C$18*'Lease Cycles'!$AY$18/12,IF(W$6&gt;='Lease Cycles'!$AV$18,'Lease Cycles'!$C$18*'Lease Cycles'!$AW$18/12,IF(W$6&gt;='Lease Cycles'!$AT$18,'Lease Cycles'!$C$18*'Lease Cycles'!$AU$18/12,'Lease Cycles'!$C$18*INDEX('Lease Cycles'!$CB$18:$CH$18,1,W180)*(1+INDEX('Lease Cycles'!$CI$18:$CO$18,1,W180))^INT(INT(W181/12)/INDEX('Lease Cycles'!$CP$18:$CV$18,1,W180))/12)))),'Lease Cycles'!$C$18*INDEX('Lease Cycles'!$CB$18:$CH$18,1,W180)*(1+INDEX('Lease Cycles'!$CI$18:$CO$18,1,W180))^INT(INT(W181/12)/INDEX('Lease Cycles'!$CP$18:$CV$18,1,W180))/12),IF(INDEX('Lease Cycles'!$EF$18:$EL$18,1,W180)=1,IF(AND('Lease Cycles'!$AZ$18&gt;=INDEX('Lease Cycles'!$BG$18:$BM$18,1,W180),'Lease Cycles'!$AZ$18&lt;=W$6),'Lease Cycles'!$C$18*'Lease Cycles'!$BA$18/12,IF(AND('Lease Cycles'!$AX$18&gt;=INDEX('Lease Cycles'!$BG$18:$BM$18,1,W180),'Lease Cycles'!$AX$18&lt;=W$6),'Lease Cycles'!$C$18*'Lease Cycles'!$AY$18/12,IF(AND('Lease Cycles'!$AV$18&gt;=INDEX('Lease Cycles'!$BG$18:$BM$18,1,W180),'Lease Cycles'!$AV$18&lt;=W$6),'Lease Cycles'!$C$18*'Lease Cycles'!$AW$18/12,IF(AND('Lease Cycles'!$AT$18&gt;=INDEX('Lease Cycles'!$BG$18:$BM$18,1,W180),'Lease Cycles'!$AT$18&lt;=W$6),'Lease Cycles'!$C$18*'Lease Cycles'!$AU$18/12,'Lease Cycles'!$C$18*INDEX('Lease Cycles'!$CB$18:$CH$18,1,W180)*(1+INDEX('Lease Cycles'!$CI$18:$CO$18,1,W180))^INT(INT(W181/12)/INDEX('Lease Cycles'!$CP$18:$CV$18,1,W180))/12)))),'Lease Cycles'!$C$18*INDEX('Lease Cycles'!$CB$18:$CH$18,1,W180)*(1+INDEX('Lease Cycles'!$CI$18:$CO$18,1,W180))^INT(INT(W181/12)/INDEX('Lease Cycles'!$CP$18:$CV$18,1,W180))/12))),IF('Lease Cycles'!$N$18=1,'Lease Cycles'!$C$18*'Lease Cycles'!$E$18*INDEX('Lease Cycles'!$HE$18:$HK$18,1,W180)*(1+INDEX('Lease Cycles'!$GQ$18:$GW$18,1,W180))^INT(INT((W$6-INDEX('Lease Cycles'!$GJ$18:$GP$18,1,W180))/12)/INDEX('Lease Cycles'!$GX$18:$HD$18,1,W180))/12,0)))</f>
        <v>0</v>
      </c>
      <c r="X183" s="28">
        <f>IF(X180=0,IF('Lease Cycles'!$F$18&gt;0,'Lease Cycles'!$C$18*'Lease Cycles'!$E$18/12,0),IF(X182=1,IF('Lease Cycles'!$AT$18&gt;=9999,'Lease Cycles'!$C$18*INDEX('Lease Cycles'!$CB$18:$CH$18,1,X180)*(1+INDEX('Lease Cycles'!$CI$18:$CO$18,1,X180))^INT(INT(X181/12)/INDEX('Lease Cycles'!$CP$18:$CV$18,1,X180))/12,IF(X180=1,IF(X181&gt;=INDEX('Lease Cycles'!$DK$18:$DQ$18,1,X180),IF(X$6&gt;='Lease Cycles'!$AZ$18,'Lease Cycles'!$C$18*'Lease Cycles'!$BA$18/12,IF(X$6&gt;='Lease Cycles'!$AX$18,'Lease Cycles'!$C$18*'Lease Cycles'!$AY$18/12,IF(X$6&gt;='Lease Cycles'!$AV$18,'Lease Cycles'!$C$18*'Lease Cycles'!$AW$18/12,IF(X$6&gt;='Lease Cycles'!$AT$18,'Lease Cycles'!$C$18*'Lease Cycles'!$AU$18/12,'Lease Cycles'!$C$18*INDEX('Lease Cycles'!$CB$18:$CH$18,1,X180)*(1+INDEX('Lease Cycles'!$CI$18:$CO$18,1,X180))^INT(INT(X181/12)/INDEX('Lease Cycles'!$CP$18:$CV$18,1,X180))/12)))),'Lease Cycles'!$C$18*INDEX('Lease Cycles'!$CB$18:$CH$18,1,X180)*(1+INDEX('Lease Cycles'!$CI$18:$CO$18,1,X180))^INT(INT(X181/12)/INDEX('Lease Cycles'!$CP$18:$CV$18,1,X180))/12),IF(INDEX('Lease Cycles'!$EF$18:$EL$18,1,X180)=1,IF(AND('Lease Cycles'!$AZ$18&gt;=INDEX('Lease Cycles'!$BG$18:$BM$18,1,X180),'Lease Cycles'!$AZ$18&lt;=X$6),'Lease Cycles'!$C$18*'Lease Cycles'!$BA$18/12,IF(AND('Lease Cycles'!$AX$18&gt;=INDEX('Lease Cycles'!$BG$18:$BM$18,1,X180),'Lease Cycles'!$AX$18&lt;=X$6),'Lease Cycles'!$C$18*'Lease Cycles'!$AY$18/12,IF(AND('Lease Cycles'!$AV$18&gt;=INDEX('Lease Cycles'!$BG$18:$BM$18,1,X180),'Lease Cycles'!$AV$18&lt;=X$6),'Lease Cycles'!$C$18*'Lease Cycles'!$AW$18/12,IF(AND('Lease Cycles'!$AT$18&gt;=INDEX('Lease Cycles'!$BG$18:$BM$18,1,X180),'Lease Cycles'!$AT$18&lt;=X$6),'Lease Cycles'!$C$18*'Lease Cycles'!$AU$18/12,'Lease Cycles'!$C$18*INDEX('Lease Cycles'!$CB$18:$CH$18,1,X180)*(1+INDEX('Lease Cycles'!$CI$18:$CO$18,1,X180))^INT(INT(X181/12)/INDEX('Lease Cycles'!$CP$18:$CV$18,1,X180))/12)))),'Lease Cycles'!$C$18*INDEX('Lease Cycles'!$CB$18:$CH$18,1,X180)*(1+INDEX('Lease Cycles'!$CI$18:$CO$18,1,X180))^INT(INT(X181/12)/INDEX('Lease Cycles'!$CP$18:$CV$18,1,X180))/12))),IF('Lease Cycles'!$N$18=1,'Lease Cycles'!$C$18*'Lease Cycles'!$E$18*INDEX('Lease Cycles'!$HE$18:$HK$18,1,X180)*(1+INDEX('Lease Cycles'!$GQ$18:$GW$18,1,X180))^INT(INT((X$6-INDEX('Lease Cycles'!$GJ$18:$GP$18,1,X180))/12)/INDEX('Lease Cycles'!$GX$18:$HD$18,1,X180))/12,0)))</f>
        <v>0</v>
      </c>
      <c r="Y183" s="28">
        <f>IF(Y180=0,IF('Lease Cycles'!$F$18&gt;0,'Lease Cycles'!$C$18*'Lease Cycles'!$E$18/12,0),IF(Y182=1,IF('Lease Cycles'!$AT$18&gt;=9999,'Lease Cycles'!$C$18*INDEX('Lease Cycles'!$CB$18:$CH$18,1,Y180)*(1+INDEX('Lease Cycles'!$CI$18:$CO$18,1,Y180))^INT(INT(Y181/12)/INDEX('Lease Cycles'!$CP$18:$CV$18,1,Y180))/12,IF(Y180=1,IF(Y181&gt;=INDEX('Lease Cycles'!$DK$18:$DQ$18,1,Y180),IF(Y$6&gt;='Lease Cycles'!$AZ$18,'Lease Cycles'!$C$18*'Lease Cycles'!$BA$18/12,IF(Y$6&gt;='Lease Cycles'!$AX$18,'Lease Cycles'!$C$18*'Lease Cycles'!$AY$18/12,IF(Y$6&gt;='Lease Cycles'!$AV$18,'Lease Cycles'!$C$18*'Lease Cycles'!$AW$18/12,IF(Y$6&gt;='Lease Cycles'!$AT$18,'Lease Cycles'!$C$18*'Lease Cycles'!$AU$18/12,'Lease Cycles'!$C$18*INDEX('Lease Cycles'!$CB$18:$CH$18,1,Y180)*(1+INDEX('Lease Cycles'!$CI$18:$CO$18,1,Y180))^INT(INT(Y181/12)/INDEX('Lease Cycles'!$CP$18:$CV$18,1,Y180))/12)))),'Lease Cycles'!$C$18*INDEX('Lease Cycles'!$CB$18:$CH$18,1,Y180)*(1+INDEX('Lease Cycles'!$CI$18:$CO$18,1,Y180))^INT(INT(Y181/12)/INDEX('Lease Cycles'!$CP$18:$CV$18,1,Y180))/12),IF(INDEX('Lease Cycles'!$EF$18:$EL$18,1,Y180)=1,IF(AND('Lease Cycles'!$AZ$18&gt;=INDEX('Lease Cycles'!$BG$18:$BM$18,1,Y180),'Lease Cycles'!$AZ$18&lt;=Y$6),'Lease Cycles'!$C$18*'Lease Cycles'!$BA$18/12,IF(AND('Lease Cycles'!$AX$18&gt;=INDEX('Lease Cycles'!$BG$18:$BM$18,1,Y180),'Lease Cycles'!$AX$18&lt;=Y$6),'Lease Cycles'!$C$18*'Lease Cycles'!$AY$18/12,IF(AND('Lease Cycles'!$AV$18&gt;=INDEX('Lease Cycles'!$BG$18:$BM$18,1,Y180),'Lease Cycles'!$AV$18&lt;=Y$6),'Lease Cycles'!$C$18*'Lease Cycles'!$AW$18/12,IF(AND('Lease Cycles'!$AT$18&gt;=INDEX('Lease Cycles'!$BG$18:$BM$18,1,Y180),'Lease Cycles'!$AT$18&lt;=Y$6),'Lease Cycles'!$C$18*'Lease Cycles'!$AU$18/12,'Lease Cycles'!$C$18*INDEX('Lease Cycles'!$CB$18:$CH$18,1,Y180)*(1+INDEX('Lease Cycles'!$CI$18:$CO$18,1,Y180))^INT(INT(Y181/12)/INDEX('Lease Cycles'!$CP$18:$CV$18,1,Y180))/12)))),'Lease Cycles'!$C$18*INDEX('Lease Cycles'!$CB$18:$CH$18,1,Y180)*(1+INDEX('Lease Cycles'!$CI$18:$CO$18,1,Y180))^INT(INT(Y181/12)/INDEX('Lease Cycles'!$CP$18:$CV$18,1,Y180))/12))),IF('Lease Cycles'!$N$18=1,'Lease Cycles'!$C$18*'Lease Cycles'!$E$18*INDEX('Lease Cycles'!$HE$18:$HK$18,1,Y180)*(1+INDEX('Lease Cycles'!$GQ$18:$GW$18,1,Y180))^INT(INT((Y$6-INDEX('Lease Cycles'!$GJ$18:$GP$18,1,Y180))/12)/INDEX('Lease Cycles'!$GX$18:$HD$18,1,Y180))/12,0)))</f>
        <v>0</v>
      </c>
      <c r="Z183" s="28">
        <f>IF(Z180=0,IF('Lease Cycles'!$F$18&gt;0,'Lease Cycles'!$C$18*'Lease Cycles'!$E$18/12,0),IF(Z182=1,IF('Lease Cycles'!$AT$18&gt;=9999,'Lease Cycles'!$C$18*INDEX('Lease Cycles'!$CB$18:$CH$18,1,Z180)*(1+INDEX('Lease Cycles'!$CI$18:$CO$18,1,Z180))^INT(INT(Z181/12)/INDEX('Lease Cycles'!$CP$18:$CV$18,1,Z180))/12,IF(Z180=1,IF(Z181&gt;=INDEX('Lease Cycles'!$DK$18:$DQ$18,1,Z180),IF(Z$6&gt;='Lease Cycles'!$AZ$18,'Lease Cycles'!$C$18*'Lease Cycles'!$BA$18/12,IF(Z$6&gt;='Lease Cycles'!$AX$18,'Lease Cycles'!$C$18*'Lease Cycles'!$AY$18/12,IF(Z$6&gt;='Lease Cycles'!$AV$18,'Lease Cycles'!$C$18*'Lease Cycles'!$AW$18/12,IF(Z$6&gt;='Lease Cycles'!$AT$18,'Lease Cycles'!$C$18*'Lease Cycles'!$AU$18/12,'Lease Cycles'!$C$18*INDEX('Lease Cycles'!$CB$18:$CH$18,1,Z180)*(1+INDEX('Lease Cycles'!$CI$18:$CO$18,1,Z180))^INT(INT(Z181/12)/INDEX('Lease Cycles'!$CP$18:$CV$18,1,Z180))/12)))),'Lease Cycles'!$C$18*INDEX('Lease Cycles'!$CB$18:$CH$18,1,Z180)*(1+INDEX('Lease Cycles'!$CI$18:$CO$18,1,Z180))^INT(INT(Z181/12)/INDEX('Lease Cycles'!$CP$18:$CV$18,1,Z180))/12),IF(INDEX('Lease Cycles'!$EF$18:$EL$18,1,Z180)=1,IF(AND('Lease Cycles'!$AZ$18&gt;=INDEX('Lease Cycles'!$BG$18:$BM$18,1,Z180),'Lease Cycles'!$AZ$18&lt;=Z$6),'Lease Cycles'!$C$18*'Lease Cycles'!$BA$18/12,IF(AND('Lease Cycles'!$AX$18&gt;=INDEX('Lease Cycles'!$BG$18:$BM$18,1,Z180),'Lease Cycles'!$AX$18&lt;=Z$6),'Lease Cycles'!$C$18*'Lease Cycles'!$AY$18/12,IF(AND('Lease Cycles'!$AV$18&gt;=INDEX('Lease Cycles'!$BG$18:$BM$18,1,Z180),'Lease Cycles'!$AV$18&lt;=Z$6),'Lease Cycles'!$C$18*'Lease Cycles'!$AW$18/12,IF(AND('Lease Cycles'!$AT$18&gt;=INDEX('Lease Cycles'!$BG$18:$BM$18,1,Z180),'Lease Cycles'!$AT$18&lt;=Z$6),'Lease Cycles'!$C$18*'Lease Cycles'!$AU$18/12,'Lease Cycles'!$C$18*INDEX('Lease Cycles'!$CB$18:$CH$18,1,Z180)*(1+INDEX('Lease Cycles'!$CI$18:$CO$18,1,Z180))^INT(INT(Z181/12)/INDEX('Lease Cycles'!$CP$18:$CV$18,1,Z180))/12)))),'Lease Cycles'!$C$18*INDEX('Lease Cycles'!$CB$18:$CH$18,1,Z180)*(1+INDEX('Lease Cycles'!$CI$18:$CO$18,1,Z180))^INT(INT(Z181/12)/INDEX('Lease Cycles'!$CP$18:$CV$18,1,Z180))/12))),IF('Lease Cycles'!$N$18=1,'Lease Cycles'!$C$18*'Lease Cycles'!$E$18*INDEX('Lease Cycles'!$HE$18:$HK$18,1,Z180)*(1+INDEX('Lease Cycles'!$GQ$18:$GW$18,1,Z180))^INT(INT((Z$6-INDEX('Lease Cycles'!$GJ$18:$GP$18,1,Z180))/12)/INDEX('Lease Cycles'!$GX$18:$HD$18,1,Z180))/12,0)))</f>
        <v>0</v>
      </c>
      <c r="AA183" s="28">
        <f>IF(AA180=0,IF('Lease Cycles'!$F$18&gt;0,'Lease Cycles'!$C$18*'Lease Cycles'!$E$18/12,0),IF(AA182=1,IF('Lease Cycles'!$AT$18&gt;=9999,'Lease Cycles'!$C$18*INDEX('Lease Cycles'!$CB$18:$CH$18,1,AA180)*(1+INDEX('Lease Cycles'!$CI$18:$CO$18,1,AA180))^INT(INT(AA181/12)/INDEX('Lease Cycles'!$CP$18:$CV$18,1,AA180))/12,IF(AA180=1,IF(AA181&gt;=INDEX('Lease Cycles'!$DK$18:$DQ$18,1,AA180),IF(AA$6&gt;='Lease Cycles'!$AZ$18,'Lease Cycles'!$C$18*'Lease Cycles'!$BA$18/12,IF(AA$6&gt;='Lease Cycles'!$AX$18,'Lease Cycles'!$C$18*'Lease Cycles'!$AY$18/12,IF(AA$6&gt;='Lease Cycles'!$AV$18,'Lease Cycles'!$C$18*'Lease Cycles'!$AW$18/12,IF(AA$6&gt;='Lease Cycles'!$AT$18,'Lease Cycles'!$C$18*'Lease Cycles'!$AU$18/12,'Lease Cycles'!$C$18*INDEX('Lease Cycles'!$CB$18:$CH$18,1,AA180)*(1+INDEX('Lease Cycles'!$CI$18:$CO$18,1,AA180))^INT(INT(AA181/12)/INDEX('Lease Cycles'!$CP$18:$CV$18,1,AA180))/12)))),'Lease Cycles'!$C$18*INDEX('Lease Cycles'!$CB$18:$CH$18,1,AA180)*(1+INDEX('Lease Cycles'!$CI$18:$CO$18,1,AA180))^INT(INT(AA181/12)/INDEX('Lease Cycles'!$CP$18:$CV$18,1,AA180))/12),IF(INDEX('Lease Cycles'!$EF$18:$EL$18,1,AA180)=1,IF(AND('Lease Cycles'!$AZ$18&gt;=INDEX('Lease Cycles'!$BG$18:$BM$18,1,AA180),'Lease Cycles'!$AZ$18&lt;=AA$6),'Lease Cycles'!$C$18*'Lease Cycles'!$BA$18/12,IF(AND('Lease Cycles'!$AX$18&gt;=INDEX('Lease Cycles'!$BG$18:$BM$18,1,AA180),'Lease Cycles'!$AX$18&lt;=AA$6),'Lease Cycles'!$C$18*'Lease Cycles'!$AY$18/12,IF(AND('Lease Cycles'!$AV$18&gt;=INDEX('Lease Cycles'!$BG$18:$BM$18,1,AA180),'Lease Cycles'!$AV$18&lt;=AA$6),'Lease Cycles'!$C$18*'Lease Cycles'!$AW$18/12,IF(AND('Lease Cycles'!$AT$18&gt;=INDEX('Lease Cycles'!$BG$18:$BM$18,1,AA180),'Lease Cycles'!$AT$18&lt;=AA$6),'Lease Cycles'!$C$18*'Lease Cycles'!$AU$18/12,'Lease Cycles'!$C$18*INDEX('Lease Cycles'!$CB$18:$CH$18,1,AA180)*(1+INDEX('Lease Cycles'!$CI$18:$CO$18,1,AA180))^INT(INT(AA181/12)/INDEX('Lease Cycles'!$CP$18:$CV$18,1,AA180))/12)))),'Lease Cycles'!$C$18*INDEX('Lease Cycles'!$CB$18:$CH$18,1,AA180)*(1+INDEX('Lease Cycles'!$CI$18:$CO$18,1,AA180))^INT(INT(AA181/12)/INDEX('Lease Cycles'!$CP$18:$CV$18,1,AA180))/12))),IF('Lease Cycles'!$N$18=1,'Lease Cycles'!$C$18*'Lease Cycles'!$E$18*INDEX('Lease Cycles'!$HE$18:$HK$18,1,AA180)*(1+INDEX('Lease Cycles'!$GQ$18:$GW$18,1,AA180))^INT(INT((AA$6-INDEX('Lease Cycles'!$GJ$18:$GP$18,1,AA180))/12)/INDEX('Lease Cycles'!$GX$18:$HD$18,1,AA180))/12,0)))</f>
        <v>0</v>
      </c>
      <c r="AB183" s="28">
        <f>IF(AB180=0,IF('Lease Cycles'!$F$18&gt;0,'Lease Cycles'!$C$18*'Lease Cycles'!$E$18/12,0),IF(AB182=1,IF('Lease Cycles'!$AT$18&gt;=9999,'Lease Cycles'!$C$18*INDEX('Lease Cycles'!$CB$18:$CH$18,1,AB180)*(1+INDEX('Lease Cycles'!$CI$18:$CO$18,1,AB180))^INT(INT(AB181/12)/INDEX('Lease Cycles'!$CP$18:$CV$18,1,AB180))/12,IF(AB180=1,IF(AB181&gt;=INDEX('Lease Cycles'!$DK$18:$DQ$18,1,AB180),IF(AB$6&gt;='Lease Cycles'!$AZ$18,'Lease Cycles'!$C$18*'Lease Cycles'!$BA$18/12,IF(AB$6&gt;='Lease Cycles'!$AX$18,'Lease Cycles'!$C$18*'Lease Cycles'!$AY$18/12,IF(AB$6&gt;='Lease Cycles'!$AV$18,'Lease Cycles'!$C$18*'Lease Cycles'!$AW$18/12,IF(AB$6&gt;='Lease Cycles'!$AT$18,'Lease Cycles'!$C$18*'Lease Cycles'!$AU$18/12,'Lease Cycles'!$C$18*INDEX('Lease Cycles'!$CB$18:$CH$18,1,AB180)*(1+INDEX('Lease Cycles'!$CI$18:$CO$18,1,AB180))^INT(INT(AB181/12)/INDEX('Lease Cycles'!$CP$18:$CV$18,1,AB180))/12)))),'Lease Cycles'!$C$18*INDEX('Lease Cycles'!$CB$18:$CH$18,1,AB180)*(1+INDEX('Lease Cycles'!$CI$18:$CO$18,1,AB180))^INT(INT(AB181/12)/INDEX('Lease Cycles'!$CP$18:$CV$18,1,AB180))/12),IF(INDEX('Lease Cycles'!$EF$18:$EL$18,1,AB180)=1,IF(AND('Lease Cycles'!$AZ$18&gt;=INDEX('Lease Cycles'!$BG$18:$BM$18,1,AB180),'Lease Cycles'!$AZ$18&lt;=AB$6),'Lease Cycles'!$C$18*'Lease Cycles'!$BA$18/12,IF(AND('Lease Cycles'!$AX$18&gt;=INDEX('Lease Cycles'!$BG$18:$BM$18,1,AB180),'Lease Cycles'!$AX$18&lt;=AB$6),'Lease Cycles'!$C$18*'Lease Cycles'!$AY$18/12,IF(AND('Lease Cycles'!$AV$18&gt;=INDEX('Lease Cycles'!$BG$18:$BM$18,1,AB180),'Lease Cycles'!$AV$18&lt;=AB$6),'Lease Cycles'!$C$18*'Lease Cycles'!$AW$18/12,IF(AND('Lease Cycles'!$AT$18&gt;=INDEX('Lease Cycles'!$BG$18:$BM$18,1,AB180),'Lease Cycles'!$AT$18&lt;=AB$6),'Lease Cycles'!$C$18*'Lease Cycles'!$AU$18/12,'Lease Cycles'!$C$18*INDEX('Lease Cycles'!$CB$18:$CH$18,1,AB180)*(1+INDEX('Lease Cycles'!$CI$18:$CO$18,1,AB180))^INT(INT(AB181/12)/INDEX('Lease Cycles'!$CP$18:$CV$18,1,AB180))/12)))),'Lease Cycles'!$C$18*INDEX('Lease Cycles'!$CB$18:$CH$18,1,AB180)*(1+INDEX('Lease Cycles'!$CI$18:$CO$18,1,AB180))^INT(INT(AB181/12)/INDEX('Lease Cycles'!$CP$18:$CV$18,1,AB180))/12))),IF('Lease Cycles'!$N$18=1,'Lease Cycles'!$C$18*'Lease Cycles'!$E$18*INDEX('Lease Cycles'!$HE$18:$HK$18,1,AB180)*(1+INDEX('Lease Cycles'!$GQ$18:$GW$18,1,AB180))^INT(INT((AB$6-INDEX('Lease Cycles'!$GJ$18:$GP$18,1,AB180))/12)/INDEX('Lease Cycles'!$GX$18:$HD$18,1,AB180))/12,0)))</f>
        <v>0</v>
      </c>
      <c r="AC183" s="28">
        <f>IF(AC180=0,IF('Lease Cycles'!$F$18&gt;0,'Lease Cycles'!$C$18*'Lease Cycles'!$E$18/12,0),IF(AC182=1,IF('Lease Cycles'!$AT$18&gt;=9999,'Lease Cycles'!$C$18*INDEX('Lease Cycles'!$CB$18:$CH$18,1,AC180)*(1+INDEX('Lease Cycles'!$CI$18:$CO$18,1,AC180))^INT(INT(AC181/12)/INDEX('Lease Cycles'!$CP$18:$CV$18,1,AC180))/12,IF(AC180=1,IF(AC181&gt;=INDEX('Lease Cycles'!$DK$18:$DQ$18,1,AC180),IF(AC$6&gt;='Lease Cycles'!$AZ$18,'Lease Cycles'!$C$18*'Lease Cycles'!$BA$18/12,IF(AC$6&gt;='Lease Cycles'!$AX$18,'Lease Cycles'!$C$18*'Lease Cycles'!$AY$18/12,IF(AC$6&gt;='Lease Cycles'!$AV$18,'Lease Cycles'!$C$18*'Lease Cycles'!$AW$18/12,IF(AC$6&gt;='Lease Cycles'!$AT$18,'Lease Cycles'!$C$18*'Lease Cycles'!$AU$18/12,'Lease Cycles'!$C$18*INDEX('Lease Cycles'!$CB$18:$CH$18,1,AC180)*(1+INDEX('Lease Cycles'!$CI$18:$CO$18,1,AC180))^INT(INT(AC181/12)/INDEX('Lease Cycles'!$CP$18:$CV$18,1,AC180))/12)))),'Lease Cycles'!$C$18*INDEX('Lease Cycles'!$CB$18:$CH$18,1,AC180)*(1+INDEX('Lease Cycles'!$CI$18:$CO$18,1,AC180))^INT(INT(AC181/12)/INDEX('Lease Cycles'!$CP$18:$CV$18,1,AC180))/12),IF(INDEX('Lease Cycles'!$EF$18:$EL$18,1,AC180)=1,IF(AND('Lease Cycles'!$AZ$18&gt;=INDEX('Lease Cycles'!$BG$18:$BM$18,1,AC180),'Lease Cycles'!$AZ$18&lt;=AC$6),'Lease Cycles'!$C$18*'Lease Cycles'!$BA$18/12,IF(AND('Lease Cycles'!$AX$18&gt;=INDEX('Lease Cycles'!$BG$18:$BM$18,1,AC180),'Lease Cycles'!$AX$18&lt;=AC$6),'Lease Cycles'!$C$18*'Lease Cycles'!$AY$18/12,IF(AND('Lease Cycles'!$AV$18&gt;=INDEX('Lease Cycles'!$BG$18:$BM$18,1,AC180),'Lease Cycles'!$AV$18&lt;=AC$6),'Lease Cycles'!$C$18*'Lease Cycles'!$AW$18/12,IF(AND('Lease Cycles'!$AT$18&gt;=INDEX('Lease Cycles'!$BG$18:$BM$18,1,AC180),'Lease Cycles'!$AT$18&lt;=AC$6),'Lease Cycles'!$C$18*'Lease Cycles'!$AU$18/12,'Lease Cycles'!$C$18*INDEX('Lease Cycles'!$CB$18:$CH$18,1,AC180)*(1+INDEX('Lease Cycles'!$CI$18:$CO$18,1,AC180))^INT(INT(AC181/12)/INDEX('Lease Cycles'!$CP$18:$CV$18,1,AC180))/12)))),'Lease Cycles'!$C$18*INDEX('Lease Cycles'!$CB$18:$CH$18,1,AC180)*(1+INDEX('Lease Cycles'!$CI$18:$CO$18,1,AC180))^INT(INT(AC181/12)/INDEX('Lease Cycles'!$CP$18:$CV$18,1,AC180))/12))),IF('Lease Cycles'!$N$18=1,'Lease Cycles'!$C$18*'Lease Cycles'!$E$18*INDEX('Lease Cycles'!$HE$18:$HK$18,1,AC180)*(1+INDEX('Lease Cycles'!$GQ$18:$GW$18,1,AC180))^INT(INT((AC$6-INDEX('Lease Cycles'!$GJ$18:$GP$18,1,AC180))/12)/INDEX('Lease Cycles'!$GX$18:$HD$18,1,AC180))/12,0)))</f>
        <v>0</v>
      </c>
      <c r="AD183" s="28">
        <f>IF(AD180=0,IF('Lease Cycles'!$F$18&gt;0,'Lease Cycles'!$C$18*'Lease Cycles'!$E$18/12,0),IF(AD182=1,IF('Lease Cycles'!$AT$18&gt;=9999,'Lease Cycles'!$C$18*INDEX('Lease Cycles'!$CB$18:$CH$18,1,AD180)*(1+INDEX('Lease Cycles'!$CI$18:$CO$18,1,AD180))^INT(INT(AD181/12)/INDEX('Lease Cycles'!$CP$18:$CV$18,1,AD180))/12,IF(AD180=1,IF(AD181&gt;=INDEX('Lease Cycles'!$DK$18:$DQ$18,1,AD180),IF(AD$6&gt;='Lease Cycles'!$AZ$18,'Lease Cycles'!$C$18*'Lease Cycles'!$BA$18/12,IF(AD$6&gt;='Lease Cycles'!$AX$18,'Lease Cycles'!$C$18*'Lease Cycles'!$AY$18/12,IF(AD$6&gt;='Lease Cycles'!$AV$18,'Lease Cycles'!$C$18*'Lease Cycles'!$AW$18/12,IF(AD$6&gt;='Lease Cycles'!$AT$18,'Lease Cycles'!$C$18*'Lease Cycles'!$AU$18/12,'Lease Cycles'!$C$18*INDEX('Lease Cycles'!$CB$18:$CH$18,1,AD180)*(1+INDEX('Lease Cycles'!$CI$18:$CO$18,1,AD180))^INT(INT(AD181/12)/INDEX('Lease Cycles'!$CP$18:$CV$18,1,AD180))/12)))),'Lease Cycles'!$C$18*INDEX('Lease Cycles'!$CB$18:$CH$18,1,AD180)*(1+INDEX('Lease Cycles'!$CI$18:$CO$18,1,AD180))^INT(INT(AD181/12)/INDEX('Lease Cycles'!$CP$18:$CV$18,1,AD180))/12),IF(INDEX('Lease Cycles'!$EF$18:$EL$18,1,AD180)=1,IF(AND('Lease Cycles'!$AZ$18&gt;=INDEX('Lease Cycles'!$BG$18:$BM$18,1,AD180),'Lease Cycles'!$AZ$18&lt;=AD$6),'Lease Cycles'!$C$18*'Lease Cycles'!$BA$18/12,IF(AND('Lease Cycles'!$AX$18&gt;=INDEX('Lease Cycles'!$BG$18:$BM$18,1,AD180),'Lease Cycles'!$AX$18&lt;=AD$6),'Lease Cycles'!$C$18*'Lease Cycles'!$AY$18/12,IF(AND('Lease Cycles'!$AV$18&gt;=INDEX('Lease Cycles'!$BG$18:$BM$18,1,AD180),'Lease Cycles'!$AV$18&lt;=AD$6),'Lease Cycles'!$C$18*'Lease Cycles'!$AW$18/12,IF(AND('Lease Cycles'!$AT$18&gt;=INDEX('Lease Cycles'!$BG$18:$BM$18,1,AD180),'Lease Cycles'!$AT$18&lt;=AD$6),'Lease Cycles'!$C$18*'Lease Cycles'!$AU$18/12,'Lease Cycles'!$C$18*INDEX('Lease Cycles'!$CB$18:$CH$18,1,AD180)*(1+INDEX('Lease Cycles'!$CI$18:$CO$18,1,AD180))^INT(INT(AD181/12)/INDEX('Lease Cycles'!$CP$18:$CV$18,1,AD180))/12)))),'Lease Cycles'!$C$18*INDEX('Lease Cycles'!$CB$18:$CH$18,1,AD180)*(1+INDEX('Lease Cycles'!$CI$18:$CO$18,1,AD180))^INT(INT(AD181/12)/INDEX('Lease Cycles'!$CP$18:$CV$18,1,AD180))/12))),IF('Lease Cycles'!$N$18=1,'Lease Cycles'!$C$18*'Lease Cycles'!$E$18*INDEX('Lease Cycles'!$HE$18:$HK$18,1,AD180)*(1+INDEX('Lease Cycles'!$GQ$18:$GW$18,1,AD180))^INT(INT((AD$6-INDEX('Lease Cycles'!$GJ$18:$GP$18,1,AD180))/12)/INDEX('Lease Cycles'!$GX$18:$HD$18,1,AD180))/12,0)))</f>
        <v>0</v>
      </c>
      <c r="AE183" s="28">
        <f>IF(AE180=0,IF('Lease Cycles'!$F$18&gt;0,'Lease Cycles'!$C$18*'Lease Cycles'!$E$18/12,0),IF(AE182=1,IF('Lease Cycles'!$AT$18&gt;=9999,'Lease Cycles'!$C$18*INDEX('Lease Cycles'!$CB$18:$CH$18,1,AE180)*(1+INDEX('Lease Cycles'!$CI$18:$CO$18,1,AE180))^INT(INT(AE181/12)/INDEX('Lease Cycles'!$CP$18:$CV$18,1,AE180))/12,IF(AE180=1,IF(AE181&gt;=INDEX('Lease Cycles'!$DK$18:$DQ$18,1,AE180),IF(AE$6&gt;='Lease Cycles'!$AZ$18,'Lease Cycles'!$C$18*'Lease Cycles'!$BA$18/12,IF(AE$6&gt;='Lease Cycles'!$AX$18,'Lease Cycles'!$C$18*'Lease Cycles'!$AY$18/12,IF(AE$6&gt;='Lease Cycles'!$AV$18,'Lease Cycles'!$C$18*'Lease Cycles'!$AW$18/12,IF(AE$6&gt;='Lease Cycles'!$AT$18,'Lease Cycles'!$C$18*'Lease Cycles'!$AU$18/12,'Lease Cycles'!$C$18*INDEX('Lease Cycles'!$CB$18:$CH$18,1,AE180)*(1+INDEX('Lease Cycles'!$CI$18:$CO$18,1,AE180))^INT(INT(AE181/12)/INDEX('Lease Cycles'!$CP$18:$CV$18,1,AE180))/12)))),'Lease Cycles'!$C$18*INDEX('Lease Cycles'!$CB$18:$CH$18,1,AE180)*(1+INDEX('Lease Cycles'!$CI$18:$CO$18,1,AE180))^INT(INT(AE181/12)/INDEX('Lease Cycles'!$CP$18:$CV$18,1,AE180))/12),IF(INDEX('Lease Cycles'!$EF$18:$EL$18,1,AE180)=1,IF(AND('Lease Cycles'!$AZ$18&gt;=INDEX('Lease Cycles'!$BG$18:$BM$18,1,AE180),'Lease Cycles'!$AZ$18&lt;=AE$6),'Lease Cycles'!$C$18*'Lease Cycles'!$BA$18/12,IF(AND('Lease Cycles'!$AX$18&gt;=INDEX('Lease Cycles'!$BG$18:$BM$18,1,AE180),'Lease Cycles'!$AX$18&lt;=AE$6),'Lease Cycles'!$C$18*'Lease Cycles'!$AY$18/12,IF(AND('Lease Cycles'!$AV$18&gt;=INDEX('Lease Cycles'!$BG$18:$BM$18,1,AE180),'Lease Cycles'!$AV$18&lt;=AE$6),'Lease Cycles'!$C$18*'Lease Cycles'!$AW$18/12,IF(AND('Lease Cycles'!$AT$18&gt;=INDEX('Lease Cycles'!$BG$18:$BM$18,1,AE180),'Lease Cycles'!$AT$18&lt;=AE$6),'Lease Cycles'!$C$18*'Lease Cycles'!$AU$18/12,'Lease Cycles'!$C$18*INDEX('Lease Cycles'!$CB$18:$CH$18,1,AE180)*(1+INDEX('Lease Cycles'!$CI$18:$CO$18,1,AE180))^INT(INT(AE181/12)/INDEX('Lease Cycles'!$CP$18:$CV$18,1,AE180))/12)))),'Lease Cycles'!$C$18*INDEX('Lease Cycles'!$CB$18:$CH$18,1,AE180)*(1+INDEX('Lease Cycles'!$CI$18:$CO$18,1,AE180))^INT(INT(AE181/12)/INDEX('Lease Cycles'!$CP$18:$CV$18,1,AE180))/12))),IF('Lease Cycles'!$N$18=1,'Lease Cycles'!$C$18*'Lease Cycles'!$E$18*INDEX('Lease Cycles'!$HE$18:$HK$18,1,AE180)*(1+INDEX('Lease Cycles'!$GQ$18:$GW$18,1,AE180))^INT(INT((AE$6-INDEX('Lease Cycles'!$GJ$18:$GP$18,1,AE180))/12)/INDEX('Lease Cycles'!$GX$18:$HD$18,1,AE180))/12,0)))</f>
        <v>0</v>
      </c>
      <c r="AF183" s="28">
        <f>IF(AF180=0,IF('Lease Cycles'!$F$18&gt;0,'Lease Cycles'!$C$18*'Lease Cycles'!$E$18/12,0),IF(AF182=1,IF('Lease Cycles'!$AT$18&gt;=9999,'Lease Cycles'!$C$18*INDEX('Lease Cycles'!$CB$18:$CH$18,1,AF180)*(1+INDEX('Lease Cycles'!$CI$18:$CO$18,1,AF180))^INT(INT(AF181/12)/INDEX('Lease Cycles'!$CP$18:$CV$18,1,AF180))/12,IF(AF180=1,IF(AF181&gt;=INDEX('Lease Cycles'!$DK$18:$DQ$18,1,AF180),IF(AF$6&gt;='Lease Cycles'!$AZ$18,'Lease Cycles'!$C$18*'Lease Cycles'!$BA$18/12,IF(AF$6&gt;='Lease Cycles'!$AX$18,'Lease Cycles'!$C$18*'Lease Cycles'!$AY$18/12,IF(AF$6&gt;='Lease Cycles'!$AV$18,'Lease Cycles'!$C$18*'Lease Cycles'!$AW$18/12,IF(AF$6&gt;='Lease Cycles'!$AT$18,'Lease Cycles'!$C$18*'Lease Cycles'!$AU$18/12,'Lease Cycles'!$C$18*INDEX('Lease Cycles'!$CB$18:$CH$18,1,AF180)*(1+INDEX('Lease Cycles'!$CI$18:$CO$18,1,AF180))^INT(INT(AF181/12)/INDEX('Lease Cycles'!$CP$18:$CV$18,1,AF180))/12)))),'Lease Cycles'!$C$18*INDEX('Lease Cycles'!$CB$18:$CH$18,1,AF180)*(1+INDEX('Lease Cycles'!$CI$18:$CO$18,1,AF180))^INT(INT(AF181/12)/INDEX('Lease Cycles'!$CP$18:$CV$18,1,AF180))/12),IF(INDEX('Lease Cycles'!$EF$18:$EL$18,1,AF180)=1,IF(AND('Lease Cycles'!$AZ$18&gt;=INDEX('Lease Cycles'!$BG$18:$BM$18,1,AF180),'Lease Cycles'!$AZ$18&lt;=AF$6),'Lease Cycles'!$C$18*'Lease Cycles'!$BA$18/12,IF(AND('Lease Cycles'!$AX$18&gt;=INDEX('Lease Cycles'!$BG$18:$BM$18,1,AF180),'Lease Cycles'!$AX$18&lt;=AF$6),'Lease Cycles'!$C$18*'Lease Cycles'!$AY$18/12,IF(AND('Lease Cycles'!$AV$18&gt;=INDEX('Lease Cycles'!$BG$18:$BM$18,1,AF180),'Lease Cycles'!$AV$18&lt;=AF$6),'Lease Cycles'!$C$18*'Lease Cycles'!$AW$18/12,IF(AND('Lease Cycles'!$AT$18&gt;=INDEX('Lease Cycles'!$BG$18:$BM$18,1,AF180),'Lease Cycles'!$AT$18&lt;=AF$6),'Lease Cycles'!$C$18*'Lease Cycles'!$AU$18/12,'Lease Cycles'!$C$18*INDEX('Lease Cycles'!$CB$18:$CH$18,1,AF180)*(1+INDEX('Lease Cycles'!$CI$18:$CO$18,1,AF180))^INT(INT(AF181/12)/INDEX('Lease Cycles'!$CP$18:$CV$18,1,AF180))/12)))),'Lease Cycles'!$C$18*INDEX('Lease Cycles'!$CB$18:$CH$18,1,AF180)*(1+INDEX('Lease Cycles'!$CI$18:$CO$18,1,AF180))^INT(INT(AF181/12)/INDEX('Lease Cycles'!$CP$18:$CV$18,1,AF180))/12))),IF('Lease Cycles'!$N$18=1,'Lease Cycles'!$C$18*'Lease Cycles'!$E$18*INDEX('Lease Cycles'!$HE$18:$HK$18,1,AF180)*(1+INDEX('Lease Cycles'!$GQ$18:$GW$18,1,AF180))^INT(INT((AF$6-INDEX('Lease Cycles'!$GJ$18:$GP$18,1,AF180))/12)/INDEX('Lease Cycles'!$GX$18:$HD$18,1,AF180))/12,0)))</f>
        <v>0</v>
      </c>
      <c r="AG183" s="28">
        <f>IF(AG180=0,IF('Lease Cycles'!$F$18&gt;0,'Lease Cycles'!$C$18*'Lease Cycles'!$E$18/12,0),IF(AG182=1,IF('Lease Cycles'!$AT$18&gt;=9999,'Lease Cycles'!$C$18*INDEX('Lease Cycles'!$CB$18:$CH$18,1,AG180)*(1+INDEX('Lease Cycles'!$CI$18:$CO$18,1,AG180))^INT(INT(AG181/12)/INDEX('Lease Cycles'!$CP$18:$CV$18,1,AG180))/12,IF(AG180=1,IF(AG181&gt;=INDEX('Lease Cycles'!$DK$18:$DQ$18,1,AG180),IF(AG$6&gt;='Lease Cycles'!$AZ$18,'Lease Cycles'!$C$18*'Lease Cycles'!$BA$18/12,IF(AG$6&gt;='Lease Cycles'!$AX$18,'Lease Cycles'!$C$18*'Lease Cycles'!$AY$18/12,IF(AG$6&gt;='Lease Cycles'!$AV$18,'Lease Cycles'!$C$18*'Lease Cycles'!$AW$18/12,IF(AG$6&gt;='Lease Cycles'!$AT$18,'Lease Cycles'!$C$18*'Lease Cycles'!$AU$18/12,'Lease Cycles'!$C$18*INDEX('Lease Cycles'!$CB$18:$CH$18,1,AG180)*(1+INDEX('Lease Cycles'!$CI$18:$CO$18,1,AG180))^INT(INT(AG181/12)/INDEX('Lease Cycles'!$CP$18:$CV$18,1,AG180))/12)))),'Lease Cycles'!$C$18*INDEX('Lease Cycles'!$CB$18:$CH$18,1,AG180)*(1+INDEX('Lease Cycles'!$CI$18:$CO$18,1,AG180))^INT(INT(AG181/12)/INDEX('Lease Cycles'!$CP$18:$CV$18,1,AG180))/12),IF(INDEX('Lease Cycles'!$EF$18:$EL$18,1,AG180)=1,IF(AND('Lease Cycles'!$AZ$18&gt;=INDEX('Lease Cycles'!$BG$18:$BM$18,1,AG180),'Lease Cycles'!$AZ$18&lt;=AG$6),'Lease Cycles'!$C$18*'Lease Cycles'!$BA$18/12,IF(AND('Lease Cycles'!$AX$18&gt;=INDEX('Lease Cycles'!$BG$18:$BM$18,1,AG180),'Lease Cycles'!$AX$18&lt;=AG$6),'Lease Cycles'!$C$18*'Lease Cycles'!$AY$18/12,IF(AND('Lease Cycles'!$AV$18&gt;=INDEX('Lease Cycles'!$BG$18:$BM$18,1,AG180),'Lease Cycles'!$AV$18&lt;=AG$6),'Lease Cycles'!$C$18*'Lease Cycles'!$AW$18/12,IF(AND('Lease Cycles'!$AT$18&gt;=INDEX('Lease Cycles'!$BG$18:$BM$18,1,AG180),'Lease Cycles'!$AT$18&lt;=AG$6),'Lease Cycles'!$C$18*'Lease Cycles'!$AU$18/12,'Lease Cycles'!$C$18*INDEX('Lease Cycles'!$CB$18:$CH$18,1,AG180)*(1+INDEX('Lease Cycles'!$CI$18:$CO$18,1,AG180))^INT(INT(AG181/12)/INDEX('Lease Cycles'!$CP$18:$CV$18,1,AG180))/12)))),'Lease Cycles'!$C$18*INDEX('Lease Cycles'!$CB$18:$CH$18,1,AG180)*(1+INDEX('Lease Cycles'!$CI$18:$CO$18,1,AG180))^INT(INT(AG181/12)/INDEX('Lease Cycles'!$CP$18:$CV$18,1,AG180))/12))),IF('Lease Cycles'!$N$18=1,'Lease Cycles'!$C$18*'Lease Cycles'!$E$18*INDEX('Lease Cycles'!$HE$18:$HK$18,1,AG180)*(1+INDEX('Lease Cycles'!$GQ$18:$GW$18,1,AG180))^INT(INT((AG$6-INDEX('Lease Cycles'!$GJ$18:$GP$18,1,AG180))/12)/INDEX('Lease Cycles'!$GX$18:$HD$18,1,AG180))/12,0)))</f>
        <v>0</v>
      </c>
      <c r="AH183" s="28">
        <f>IF(AH180=0,IF('Lease Cycles'!$F$18&gt;0,'Lease Cycles'!$C$18*'Lease Cycles'!$E$18/12,0),IF(AH182=1,IF('Lease Cycles'!$AT$18&gt;=9999,'Lease Cycles'!$C$18*INDEX('Lease Cycles'!$CB$18:$CH$18,1,AH180)*(1+INDEX('Lease Cycles'!$CI$18:$CO$18,1,AH180))^INT(INT(AH181/12)/INDEX('Lease Cycles'!$CP$18:$CV$18,1,AH180))/12,IF(AH180=1,IF(AH181&gt;=INDEX('Lease Cycles'!$DK$18:$DQ$18,1,AH180),IF(AH$6&gt;='Lease Cycles'!$AZ$18,'Lease Cycles'!$C$18*'Lease Cycles'!$BA$18/12,IF(AH$6&gt;='Lease Cycles'!$AX$18,'Lease Cycles'!$C$18*'Lease Cycles'!$AY$18/12,IF(AH$6&gt;='Lease Cycles'!$AV$18,'Lease Cycles'!$C$18*'Lease Cycles'!$AW$18/12,IF(AH$6&gt;='Lease Cycles'!$AT$18,'Lease Cycles'!$C$18*'Lease Cycles'!$AU$18/12,'Lease Cycles'!$C$18*INDEX('Lease Cycles'!$CB$18:$CH$18,1,AH180)*(1+INDEX('Lease Cycles'!$CI$18:$CO$18,1,AH180))^INT(INT(AH181/12)/INDEX('Lease Cycles'!$CP$18:$CV$18,1,AH180))/12)))),'Lease Cycles'!$C$18*INDEX('Lease Cycles'!$CB$18:$CH$18,1,AH180)*(1+INDEX('Lease Cycles'!$CI$18:$CO$18,1,AH180))^INT(INT(AH181/12)/INDEX('Lease Cycles'!$CP$18:$CV$18,1,AH180))/12),IF(INDEX('Lease Cycles'!$EF$18:$EL$18,1,AH180)=1,IF(AND('Lease Cycles'!$AZ$18&gt;=INDEX('Lease Cycles'!$BG$18:$BM$18,1,AH180),'Lease Cycles'!$AZ$18&lt;=AH$6),'Lease Cycles'!$C$18*'Lease Cycles'!$BA$18/12,IF(AND('Lease Cycles'!$AX$18&gt;=INDEX('Lease Cycles'!$BG$18:$BM$18,1,AH180),'Lease Cycles'!$AX$18&lt;=AH$6),'Lease Cycles'!$C$18*'Lease Cycles'!$AY$18/12,IF(AND('Lease Cycles'!$AV$18&gt;=INDEX('Lease Cycles'!$BG$18:$BM$18,1,AH180),'Lease Cycles'!$AV$18&lt;=AH$6),'Lease Cycles'!$C$18*'Lease Cycles'!$AW$18/12,IF(AND('Lease Cycles'!$AT$18&gt;=INDEX('Lease Cycles'!$BG$18:$BM$18,1,AH180),'Lease Cycles'!$AT$18&lt;=AH$6),'Lease Cycles'!$C$18*'Lease Cycles'!$AU$18/12,'Lease Cycles'!$C$18*INDEX('Lease Cycles'!$CB$18:$CH$18,1,AH180)*(1+INDEX('Lease Cycles'!$CI$18:$CO$18,1,AH180))^INT(INT(AH181/12)/INDEX('Lease Cycles'!$CP$18:$CV$18,1,AH180))/12)))),'Lease Cycles'!$C$18*INDEX('Lease Cycles'!$CB$18:$CH$18,1,AH180)*(1+INDEX('Lease Cycles'!$CI$18:$CO$18,1,AH180))^INT(INT(AH181/12)/INDEX('Lease Cycles'!$CP$18:$CV$18,1,AH180))/12))),IF('Lease Cycles'!$N$18=1,'Lease Cycles'!$C$18*'Lease Cycles'!$E$18*INDEX('Lease Cycles'!$HE$18:$HK$18,1,AH180)*(1+INDEX('Lease Cycles'!$GQ$18:$GW$18,1,AH180))^INT(INT((AH$6-INDEX('Lease Cycles'!$GJ$18:$GP$18,1,AH180))/12)/INDEX('Lease Cycles'!$GX$18:$HD$18,1,AH180))/12,0)))</f>
        <v>0</v>
      </c>
      <c r="AI183" s="28">
        <f>IF(AI180=0,IF('Lease Cycles'!$F$18&gt;0,'Lease Cycles'!$C$18*'Lease Cycles'!$E$18/12,0),IF(AI182=1,IF('Lease Cycles'!$AT$18&gt;=9999,'Lease Cycles'!$C$18*INDEX('Lease Cycles'!$CB$18:$CH$18,1,AI180)*(1+INDEX('Lease Cycles'!$CI$18:$CO$18,1,AI180))^INT(INT(AI181/12)/INDEX('Lease Cycles'!$CP$18:$CV$18,1,AI180))/12,IF(AI180=1,IF(AI181&gt;=INDEX('Lease Cycles'!$DK$18:$DQ$18,1,AI180),IF(AI$6&gt;='Lease Cycles'!$AZ$18,'Lease Cycles'!$C$18*'Lease Cycles'!$BA$18/12,IF(AI$6&gt;='Lease Cycles'!$AX$18,'Lease Cycles'!$C$18*'Lease Cycles'!$AY$18/12,IF(AI$6&gt;='Lease Cycles'!$AV$18,'Lease Cycles'!$C$18*'Lease Cycles'!$AW$18/12,IF(AI$6&gt;='Lease Cycles'!$AT$18,'Lease Cycles'!$C$18*'Lease Cycles'!$AU$18/12,'Lease Cycles'!$C$18*INDEX('Lease Cycles'!$CB$18:$CH$18,1,AI180)*(1+INDEX('Lease Cycles'!$CI$18:$CO$18,1,AI180))^INT(INT(AI181/12)/INDEX('Lease Cycles'!$CP$18:$CV$18,1,AI180))/12)))),'Lease Cycles'!$C$18*INDEX('Lease Cycles'!$CB$18:$CH$18,1,AI180)*(1+INDEX('Lease Cycles'!$CI$18:$CO$18,1,AI180))^INT(INT(AI181/12)/INDEX('Lease Cycles'!$CP$18:$CV$18,1,AI180))/12),IF(INDEX('Lease Cycles'!$EF$18:$EL$18,1,AI180)=1,IF(AND('Lease Cycles'!$AZ$18&gt;=INDEX('Lease Cycles'!$BG$18:$BM$18,1,AI180),'Lease Cycles'!$AZ$18&lt;=AI$6),'Lease Cycles'!$C$18*'Lease Cycles'!$BA$18/12,IF(AND('Lease Cycles'!$AX$18&gt;=INDEX('Lease Cycles'!$BG$18:$BM$18,1,AI180),'Lease Cycles'!$AX$18&lt;=AI$6),'Lease Cycles'!$C$18*'Lease Cycles'!$AY$18/12,IF(AND('Lease Cycles'!$AV$18&gt;=INDEX('Lease Cycles'!$BG$18:$BM$18,1,AI180),'Lease Cycles'!$AV$18&lt;=AI$6),'Lease Cycles'!$C$18*'Lease Cycles'!$AW$18/12,IF(AND('Lease Cycles'!$AT$18&gt;=INDEX('Lease Cycles'!$BG$18:$BM$18,1,AI180),'Lease Cycles'!$AT$18&lt;=AI$6),'Lease Cycles'!$C$18*'Lease Cycles'!$AU$18/12,'Lease Cycles'!$C$18*INDEX('Lease Cycles'!$CB$18:$CH$18,1,AI180)*(1+INDEX('Lease Cycles'!$CI$18:$CO$18,1,AI180))^INT(INT(AI181/12)/INDEX('Lease Cycles'!$CP$18:$CV$18,1,AI180))/12)))),'Lease Cycles'!$C$18*INDEX('Lease Cycles'!$CB$18:$CH$18,1,AI180)*(1+INDEX('Lease Cycles'!$CI$18:$CO$18,1,AI180))^INT(INT(AI181/12)/INDEX('Lease Cycles'!$CP$18:$CV$18,1,AI180))/12))),IF('Lease Cycles'!$N$18=1,'Lease Cycles'!$C$18*'Lease Cycles'!$E$18*INDEX('Lease Cycles'!$HE$18:$HK$18,1,AI180)*(1+INDEX('Lease Cycles'!$GQ$18:$GW$18,1,AI180))^INT(INT((AI$6-INDEX('Lease Cycles'!$GJ$18:$GP$18,1,AI180))/12)/INDEX('Lease Cycles'!$GX$18:$HD$18,1,AI180))/12,0)))</f>
        <v>0</v>
      </c>
      <c r="AJ183" s="28">
        <f>IF(AJ180=0,IF('Lease Cycles'!$F$18&gt;0,'Lease Cycles'!$C$18*'Lease Cycles'!$E$18/12,0),IF(AJ182=1,IF('Lease Cycles'!$AT$18&gt;=9999,'Lease Cycles'!$C$18*INDEX('Lease Cycles'!$CB$18:$CH$18,1,AJ180)*(1+INDEX('Lease Cycles'!$CI$18:$CO$18,1,AJ180))^INT(INT(AJ181/12)/INDEX('Lease Cycles'!$CP$18:$CV$18,1,AJ180))/12,IF(AJ180=1,IF(AJ181&gt;=INDEX('Lease Cycles'!$DK$18:$DQ$18,1,AJ180),IF(AJ$6&gt;='Lease Cycles'!$AZ$18,'Lease Cycles'!$C$18*'Lease Cycles'!$BA$18/12,IF(AJ$6&gt;='Lease Cycles'!$AX$18,'Lease Cycles'!$C$18*'Lease Cycles'!$AY$18/12,IF(AJ$6&gt;='Lease Cycles'!$AV$18,'Lease Cycles'!$C$18*'Lease Cycles'!$AW$18/12,IF(AJ$6&gt;='Lease Cycles'!$AT$18,'Lease Cycles'!$C$18*'Lease Cycles'!$AU$18/12,'Lease Cycles'!$C$18*INDEX('Lease Cycles'!$CB$18:$CH$18,1,AJ180)*(1+INDEX('Lease Cycles'!$CI$18:$CO$18,1,AJ180))^INT(INT(AJ181/12)/INDEX('Lease Cycles'!$CP$18:$CV$18,1,AJ180))/12)))),'Lease Cycles'!$C$18*INDEX('Lease Cycles'!$CB$18:$CH$18,1,AJ180)*(1+INDEX('Lease Cycles'!$CI$18:$CO$18,1,AJ180))^INT(INT(AJ181/12)/INDEX('Lease Cycles'!$CP$18:$CV$18,1,AJ180))/12),IF(INDEX('Lease Cycles'!$EF$18:$EL$18,1,AJ180)=1,IF(AND('Lease Cycles'!$AZ$18&gt;=INDEX('Lease Cycles'!$BG$18:$BM$18,1,AJ180),'Lease Cycles'!$AZ$18&lt;=AJ$6),'Lease Cycles'!$C$18*'Lease Cycles'!$BA$18/12,IF(AND('Lease Cycles'!$AX$18&gt;=INDEX('Lease Cycles'!$BG$18:$BM$18,1,AJ180),'Lease Cycles'!$AX$18&lt;=AJ$6),'Lease Cycles'!$C$18*'Lease Cycles'!$AY$18/12,IF(AND('Lease Cycles'!$AV$18&gt;=INDEX('Lease Cycles'!$BG$18:$BM$18,1,AJ180),'Lease Cycles'!$AV$18&lt;=AJ$6),'Lease Cycles'!$C$18*'Lease Cycles'!$AW$18/12,IF(AND('Lease Cycles'!$AT$18&gt;=INDEX('Lease Cycles'!$BG$18:$BM$18,1,AJ180),'Lease Cycles'!$AT$18&lt;=AJ$6),'Lease Cycles'!$C$18*'Lease Cycles'!$AU$18/12,'Lease Cycles'!$C$18*INDEX('Lease Cycles'!$CB$18:$CH$18,1,AJ180)*(1+INDEX('Lease Cycles'!$CI$18:$CO$18,1,AJ180))^INT(INT(AJ181/12)/INDEX('Lease Cycles'!$CP$18:$CV$18,1,AJ180))/12)))),'Lease Cycles'!$C$18*INDEX('Lease Cycles'!$CB$18:$CH$18,1,AJ180)*(1+INDEX('Lease Cycles'!$CI$18:$CO$18,1,AJ180))^INT(INT(AJ181/12)/INDEX('Lease Cycles'!$CP$18:$CV$18,1,AJ180))/12))),IF('Lease Cycles'!$N$18=1,'Lease Cycles'!$C$18*'Lease Cycles'!$E$18*INDEX('Lease Cycles'!$HE$18:$HK$18,1,AJ180)*(1+INDEX('Lease Cycles'!$GQ$18:$GW$18,1,AJ180))^INT(INT((AJ$6-INDEX('Lease Cycles'!$GJ$18:$GP$18,1,AJ180))/12)/INDEX('Lease Cycles'!$GX$18:$HD$18,1,AJ180))/12,0)))</f>
        <v>0</v>
      </c>
      <c r="AK183" s="28">
        <f>IF(AK180=0,IF('Lease Cycles'!$F$18&gt;0,'Lease Cycles'!$C$18*'Lease Cycles'!$E$18/12,0),IF(AK182=1,IF('Lease Cycles'!$AT$18&gt;=9999,'Lease Cycles'!$C$18*INDEX('Lease Cycles'!$CB$18:$CH$18,1,AK180)*(1+INDEX('Lease Cycles'!$CI$18:$CO$18,1,AK180))^INT(INT(AK181/12)/INDEX('Lease Cycles'!$CP$18:$CV$18,1,AK180))/12,IF(AK180=1,IF(AK181&gt;=INDEX('Lease Cycles'!$DK$18:$DQ$18,1,AK180),IF(AK$6&gt;='Lease Cycles'!$AZ$18,'Lease Cycles'!$C$18*'Lease Cycles'!$BA$18/12,IF(AK$6&gt;='Lease Cycles'!$AX$18,'Lease Cycles'!$C$18*'Lease Cycles'!$AY$18/12,IF(AK$6&gt;='Lease Cycles'!$AV$18,'Lease Cycles'!$C$18*'Lease Cycles'!$AW$18/12,IF(AK$6&gt;='Lease Cycles'!$AT$18,'Lease Cycles'!$C$18*'Lease Cycles'!$AU$18/12,'Lease Cycles'!$C$18*INDEX('Lease Cycles'!$CB$18:$CH$18,1,AK180)*(1+INDEX('Lease Cycles'!$CI$18:$CO$18,1,AK180))^INT(INT(AK181/12)/INDEX('Lease Cycles'!$CP$18:$CV$18,1,AK180))/12)))),'Lease Cycles'!$C$18*INDEX('Lease Cycles'!$CB$18:$CH$18,1,AK180)*(1+INDEX('Lease Cycles'!$CI$18:$CO$18,1,AK180))^INT(INT(AK181/12)/INDEX('Lease Cycles'!$CP$18:$CV$18,1,AK180))/12),IF(INDEX('Lease Cycles'!$EF$18:$EL$18,1,AK180)=1,IF(AND('Lease Cycles'!$AZ$18&gt;=INDEX('Lease Cycles'!$BG$18:$BM$18,1,AK180),'Lease Cycles'!$AZ$18&lt;=AK$6),'Lease Cycles'!$C$18*'Lease Cycles'!$BA$18/12,IF(AND('Lease Cycles'!$AX$18&gt;=INDEX('Lease Cycles'!$BG$18:$BM$18,1,AK180),'Lease Cycles'!$AX$18&lt;=AK$6),'Lease Cycles'!$C$18*'Lease Cycles'!$AY$18/12,IF(AND('Lease Cycles'!$AV$18&gt;=INDEX('Lease Cycles'!$BG$18:$BM$18,1,AK180),'Lease Cycles'!$AV$18&lt;=AK$6),'Lease Cycles'!$C$18*'Lease Cycles'!$AW$18/12,IF(AND('Lease Cycles'!$AT$18&gt;=INDEX('Lease Cycles'!$BG$18:$BM$18,1,AK180),'Lease Cycles'!$AT$18&lt;=AK$6),'Lease Cycles'!$C$18*'Lease Cycles'!$AU$18/12,'Lease Cycles'!$C$18*INDEX('Lease Cycles'!$CB$18:$CH$18,1,AK180)*(1+INDEX('Lease Cycles'!$CI$18:$CO$18,1,AK180))^INT(INT(AK181/12)/INDEX('Lease Cycles'!$CP$18:$CV$18,1,AK180))/12)))),'Lease Cycles'!$C$18*INDEX('Lease Cycles'!$CB$18:$CH$18,1,AK180)*(1+INDEX('Lease Cycles'!$CI$18:$CO$18,1,AK180))^INT(INT(AK181/12)/INDEX('Lease Cycles'!$CP$18:$CV$18,1,AK180))/12))),IF('Lease Cycles'!$N$18=1,'Lease Cycles'!$C$18*'Lease Cycles'!$E$18*INDEX('Lease Cycles'!$HE$18:$HK$18,1,AK180)*(1+INDEX('Lease Cycles'!$GQ$18:$GW$18,1,AK180))^INT(INT((AK$6-INDEX('Lease Cycles'!$GJ$18:$GP$18,1,AK180))/12)/INDEX('Lease Cycles'!$GX$18:$HD$18,1,AK180))/12,0)))</f>
        <v>0</v>
      </c>
      <c r="AL183" s="28">
        <f>IF(AL180=0,IF('Lease Cycles'!$F$18&gt;0,'Lease Cycles'!$C$18*'Lease Cycles'!$E$18/12,0),IF(AL182=1,IF('Lease Cycles'!$AT$18&gt;=9999,'Lease Cycles'!$C$18*INDEX('Lease Cycles'!$CB$18:$CH$18,1,AL180)*(1+INDEX('Lease Cycles'!$CI$18:$CO$18,1,AL180))^INT(INT(AL181/12)/INDEX('Lease Cycles'!$CP$18:$CV$18,1,AL180))/12,IF(AL180=1,IF(AL181&gt;=INDEX('Lease Cycles'!$DK$18:$DQ$18,1,AL180),IF(AL$6&gt;='Lease Cycles'!$AZ$18,'Lease Cycles'!$C$18*'Lease Cycles'!$BA$18/12,IF(AL$6&gt;='Lease Cycles'!$AX$18,'Lease Cycles'!$C$18*'Lease Cycles'!$AY$18/12,IF(AL$6&gt;='Lease Cycles'!$AV$18,'Lease Cycles'!$C$18*'Lease Cycles'!$AW$18/12,IF(AL$6&gt;='Lease Cycles'!$AT$18,'Lease Cycles'!$C$18*'Lease Cycles'!$AU$18/12,'Lease Cycles'!$C$18*INDEX('Lease Cycles'!$CB$18:$CH$18,1,AL180)*(1+INDEX('Lease Cycles'!$CI$18:$CO$18,1,AL180))^INT(INT(AL181/12)/INDEX('Lease Cycles'!$CP$18:$CV$18,1,AL180))/12)))),'Lease Cycles'!$C$18*INDEX('Lease Cycles'!$CB$18:$CH$18,1,AL180)*(1+INDEX('Lease Cycles'!$CI$18:$CO$18,1,AL180))^INT(INT(AL181/12)/INDEX('Lease Cycles'!$CP$18:$CV$18,1,AL180))/12),IF(INDEX('Lease Cycles'!$EF$18:$EL$18,1,AL180)=1,IF(AND('Lease Cycles'!$AZ$18&gt;=INDEX('Lease Cycles'!$BG$18:$BM$18,1,AL180),'Lease Cycles'!$AZ$18&lt;=AL$6),'Lease Cycles'!$C$18*'Lease Cycles'!$BA$18/12,IF(AND('Lease Cycles'!$AX$18&gt;=INDEX('Lease Cycles'!$BG$18:$BM$18,1,AL180),'Lease Cycles'!$AX$18&lt;=AL$6),'Lease Cycles'!$C$18*'Lease Cycles'!$AY$18/12,IF(AND('Lease Cycles'!$AV$18&gt;=INDEX('Lease Cycles'!$BG$18:$BM$18,1,AL180),'Lease Cycles'!$AV$18&lt;=AL$6),'Lease Cycles'!$C$18*'Lease Cycles'!$AW$18/12,IF(AND('Lease Cycles'!$AT$18&gt;=INDEX('Lease Cycles'!$BG$18:$BM$18,1,AL180),'Lease Cycles'!$AT$18&lt;=AL$6),'Lease Cycles'!$C$18*'Lease Cycles'!$AU$18/12,'Lease Cycles'!$C$18*INDEX('Lease Cycles'!$CB$18:$CH$18,1,AL180)*(1+INDEX('Lease Cycles'!$CI$18:$CO$18,1,AL180))^INT(INT(AL181/12)/INDEX('Lease Cycles'!$CP$18:$CV$18,1,AL180))/12)))),'Lease Cycles'!$C$18*INDEX('Lease Cycles'!$CB$18:$CH$18,1,AL180)*(1+INDEX('Lease Cycles'!$CI$18:$CO$18,1,AL180))^INT(INT(AL181/12)/INDEX('Lease Cycles'!$CP$18:$CV$18,1,AL180))/12))),IF('Lease Cycles'!$N$18=1,'Lease Cycles'!$C$18*'Lease Cycles'!$E$18*INDEX('Lease Cycles'!$HE$18:$HK$18,1,AL180)*(1+INDEX('Lease Cycles'!$GQ$18:$GW$18,1,AL180))^INT(INT((AL$6-INDEX('Lease Cycles'!$GJ$18:$GP$18,1,AL180))/12)/INDEX('Lease Cycles'!$GX$18:$HD$18,1,AL180))/12,0)))</f>
        <v>0</v>
      </c>
      <c r="AM183" s="28">
        <f>IF(AM180=0,IF('Lease Cycles'!$F$18&gt;0,'Lease Cycles'!$C$18*'Lease Cycles'!$E$18/12,0),IF(AM182=1,IF('Lease Cycles'!$AT$18&gt;=9999,'Lease Cycles'!$C$18*INDEX('Lease Cycles'!$CB$18:$CH$18,1,AM180)*(1+INDEX('Lease Cycles'!$CI$18:$CO$18,1,AM180))^INT(INT(AM181/12)/INDEX('Lease Cycles'!$CP$18:$CV$18,1,AM180))/12,IF(AM180=1,IF(AM181&gt;=INDEX('Lease Cycles'!$DK$18:$DQ$18,1,AM180),IF(AM$6&gt;='Lease Cycles'!$AZ$18,'Lease Cycles'!$C$18*'Lease Cycles'!$BA$18/12,IF(AM$6&gt;='Lease Cycles'!$AX$18,'Lease Cycles'!$C$18*'Lease Cycles'!$AY$18/12,IF(AM$6&gt;='Lease Cycles'!$AV$18,'Lease Cycles'!$C$18*'Lease Cycles'!$AW$18/12,IF(AM$6&gt;='Lease Cycles'!$AT$18,'Lease Cycles'!$C$18*'Lease Cycles'!$AU$18/12,'Lease Cycles'!$C$18*INDEX('Lease Cycles'!$CB$18:$CH$18,1,AM180)*(1+INDEX('Lease Cycles'!$CI$18:$CO$18,1,AM180))^INT(INT(AM181/12)/INDEX('Lease Cycles'!$CP$18:$CV$18,1,AM180))/12)))),'Lease Cycles'!$C$18*INDEX('Lease Cycles'!$CB$18:$CH$18,1,AM180)*(1+INDEX('Lease Cycles'!$CI$18:$CO$18,1,AM180))^INT(INT(AM181/12)/INDEX('Lease Cycles'!$CP$18:$CV$18,1,AM180))/12),IF(INDEX('Lease Cycles'!$EF$18:$EL$18,1,AM180)=1,IF(AND('Lease Cycles'!$AZ$18&gt;=INDEX('Lease Cycles'!$BG$18:$BM$18,1,AM180),'Lease Cycles'!$AZ$18&lt;=AM$6),'Lease Cycles'!$C$18*'Lease Cycles'!$BA$18/12,IF(AND('Lease Cycles'!$AX$18&gt;=INDEX('Lease Cycles'!$BG$18:$BM$18,1,AM180),'Lease Cycles'!$AX$18&lt;=AM$6),'Lease Cycles'!$C$18*'Lease Cycles'!$AY$18/12,IF(AND('Lease Cycles'!$AV$18&gt;=INDEX('Lease Cycles'!$BG$18:$BM$18,1,AM180),'Lease Cycles'!$AV$18&lt;=AM$6),'Lease Cycles'!$C$18*'Lease Cycles'!$AW$18/12,IF(AND('Lease Cycles'!$AT$18&gt;=INDEX('Lease Cycles'!$BG$18:$BM$18,1,AM180),'Lease Cycles'!$AT$18&lt;=AM$6),'Lease Cycles'!$C$18*'Lease Cycles'!$AU$18/12,'Lease Cycles'!$C$18*INDEX('Lease Cycles'!$CB$18:$CH$18,1,AM180)*(1+INDEX('Lease Cycles'!$CI$18:$CO$18,1,AM180))^INT(INT(AM181/12)/INDEX('Lease Cycles'!$CP$18:$CV$18,1,AM180))/12)))),'Lease Cycles'!$C$18*INDEX('Lease Cycles'!$CB$18:$CH$18,1,AM180)*(1+INDEX('Lease Cycles'!$CI$18:$CO$18,1,AM180))^INT(INT(AM181/12)/INDEX('Lease Cycles'!$CP$18:$CV$18,1,AM180))/12))),IF('Lease Cycles'!$N$18=1,'Lease Cycles'!$C$18*'Lease Cycles'!$E$18*INDEX('Lease Cycles'!$HE$18:$HK$18,1,AM180)*(1+INDEX('Lease Cycles'!$GQ$18:$GW$18,1,AM180))^INT(INT((AM$6-INDEX('Lease Cycles'!$GJ$18:$GP$18,1,AM180))/12)/INDEX('Lease Cycles'!$GX$18:$HD$18,1,AM180))/12,0)))</f>
        <v>0</v>
      </c>
      <c r="AN183" s="28">
        <f>IF(AN180=0,IF('Lease Cycles'!$F$18&gt;0,'Lease Cycles'!$C$18*'Lease Cycles'!$E$18/12,0),IF(AN182=1,IF('Lease Cycles'!$AT$18&gt;=9999,'Lease Cycles'!$C$18*INDEX('Lease Cycles'!$CB$18:$CH$18,1,AN180)*(1+INDEX('Lease Cycles'!$CI$18:$CO$18,1,AN180))^INT(INT(AN181/12)/INDEX('Lease Cycles'!$CP$18:$CV$18,1,AN180))/12,IF(AN180=1,IF(AN181&gt;=INDEX('Lease Cycles'!$DK$18:$DQ$18,1,AN180),IF(AN$6&gt;='Lease Cycles'!$AZ$18,'Lease Cycles'!$C$18*'Lease Cycles'!$BA$18/12,IF(AN$6&gt;='Lease Cycles'!$AX$18,'Lease Cycles'!$C$18*'Lease Cycles'!$AY$18/12,IF(AN$6&gt;='Lease Cycles'!$AV$18,'Lease Cycles'!$C$18*'Lease Cycles'!$AW$18/12,IF(AN$6&gt;='Lease Cycles'!$AT$18,'Lease Cycles'!$C$18*'Lease Cycles'!$AU$18/12,'Lease Cycles'!$C$18*INDEX('Lease Cycles'!$CB$18:$CH$18,1,AN180)*(1+INDEX('Lease Cycles'!$CI$18:$CO$18,1,AN180))^INT(INT(AN181/12)/INDEX('Lease Cycles'!$CP$18:$CV$18,1,AN180))/12)))),'Lease Cycles'!$C$18*INDEX('Lease Cycles'!$CB$18:$CH$18,1,AN180)*(1+INDEX('Lease Cycles'!$CI$18:$CO$18,1,AN180))^INT(INT(AN181/12)/INDEX('Lease Cycles'!$CP$18:$CV$18,1,AN180))/12),IF(INDEX('Lease Cycles'!$EF$18:$EL$18,1,AN180)=1,IF(AND('Lease Cycles'!$AZ$18&gt;=INDEX('Lease Cycles'!$BG$18:$BM$18,1,AN180),'Lease Cycles'!$AZ$18&lt;=AN$6),'Lease Cycles'!$C$18*'Lease Cycles'!$BA$18/12,IF(AND('Lease Cycles'!$AX$18&gt;=INDEX('Lease Cycles'!$BG$18:$BM$18,1,AN180),'Lease Cycles'!$AX$18&lt;=AN$6),'Lease Cycles'!$C$18*'Lease Cycles'!$AY$18/12,IF(AND('Lease Cycles'!$AV$18&gt;=INDEX('Lease Cycles'!$BG$18:$BM$18,1,AN180),'Lease Cycles'!$AV$18&lt;=AN$6),'Lease Cycles'!$C$18*'Lease Cycles'!$AW$18/12,IF(AND('Lease Cycles'!$AT$18&gt;=INDEX('Lease Cycles'!$BG$18:$BM$18,1,AN180),'Lease Cycles'!$AT$18&lt;=AN$6),'Lease Cycles'!$C$18*'Lease Cycles'!$AU$18/12,'Lease Cycles'!$C$18*INDEX('Lease Cycles'!$CB$18:$CH$18,1,AN180)*(1+INDEX('Lease Cycles'!$CI$18:$CO$18,1,AN180))^INT(INT(AN181/12)/INDEX('Lease Cycles'!$CP$18:$CV$18,1,AN180))/12)))),'Lease Cycles'!$C$18*INDEX('Lease Cycles'!$CB$18:$CH$18,1,AN180)*(1+INDEX('Lease Cycles'!$CI$18:$CO$18,1,AN180))^INT(INT(AN181/12)/INDEX('Lease Cycles'!$CP$18:$CV$18,1,AN180))/12))),IF('Lease Cycles'!$N$18=1,'Lease Cycles'!$C$18*'Lease Cycles'!$E$18*INDEX('Lease Cycles'!$HE$18:$HK$18,1,AN180)*(1+INDEX('Lease Cycles'!$GQ$18:$GW$18,1,AN180))^INT(INT((AN$6-INDEX('Lease Cycles'!$GJ$18:$GP$18,1,AN180))/12)/INDEX('Lease Cycles'!$GX$18:$HD$18,1,AN180))/12,0)))</f>
        <v>0</v>
      </c>
      <c r="AO183" s="28">
        <f>IF(AO180=0,IF('Lease Cycles'!$F$18&gt;0,'Lease Cycles'!$C$18*'Lease Cycles'!$E$18/12,0),IF(AO182=1,IF('Lease Cycles'!$AT$18&gt;=9999,'Lease Cycles'!$C$18*INDEX('Lease Cycles'!$CB$18:$CH$18,1,AO180)*(1+INDEX('Lease Cycles'!$CI$18:$CO$18,1,AO180))^INT(INT(AO181/12)/INDEX('Lease Cycles'!$CP$18:$CV$18,1,AO180))/12,IF(AO180=1,IF(AO181&gt;=INDEX('Lease Cycles'!$DK$18:$DQ$18,1,AO180),IF(AO$6&gt;='Lease Cycles'!$AZ$18,'Lease Cycles'!$C$18*'Lease Cycles'!$BA$18/12,IF(AO$6&gt;='Lease Cycles'!$AX$18,'Lease Cycles'!$C$18*'Lease Cycles'!$AY$18/12,IF(AO$6&gt;='Lease Cycles'!$AV$18,'Lease Cycles'!$C$18*'Lease Cycles'!$AW$18/12,IF(AO$6&gt;='Lease Cycles'!$AT$18,'Lease Cycles'!$C$18*'Lease Cycles'!$AU$18/12,'Lease Cycles'!$C$18*INDEX('Lease Cycles'!$CB$18:$CH$18,1,AO180)*(1+INDEX('Lease Cycles'!$CI$18:$CO$18,1,AO180))^INT(INT(AO181/12)/INDEX('Lease Cycles'!$CP$18:$CV$18,1,AO180))/12)))),'Lease Cycles'!$C$18*INDEX('Lease Cycles'!$CB$18:$CH$18,1,AO180)*(1+INDEX('Lease Cycles'!$CI$18:$CO$18,1,AO180))^INT(INT(AO181/12)/INDEX('Lease Cycles'!$CP$18:$CV$18,1,AO180))/12),IF(INDEX('Lease Cycles'!$EF$18:$EL$18,1,AO180)=1,IF(AND('Lease Cycles'!$AZ$18&gt;=INDEX('Lease Cycles'!$BG$18:$BM$18,1,AO180),'Lease Cycles'!$AZ$18&lt;=AO$6),'Lease Cycles'!$C$18*'Lease Cycles'!$BA$18/12,IF(AND('Lease Cycles'!$AX$18&gt;=INDEX('Lease Cycles'!$BG$18:$BM$18,1,AO180),'Lease Cycles'!$AX$18&lt;=AO$6),'Lease Cycles'!$C$18*'Lease Cycles'!$AY$18/12,IF(AND('Lease Cycles'!$AV$18&gt;=INDEX('Lease Cycles'!$BG$18:$BM$18,1,AO180),'Lease Cycles'!$AV$18&lt;=AO$6),'Lease Cycles'!$C$18*'Lease Cycles'!$AW$18/12,IF(AND('Lease Cycles'!$AT$18&gt;=INDEX('Lease Cycles'!$BG$18:$BM$18,1,AO180),'Lease Cycles'!$AT$18&lt;=AO$6),'Lease Cycles'!$C$18*'Lease Cycles'!$AU$18/12,'Lease Cycles'!$C$18*INDEX('Lease Cycles'!$CB$18:$CH$18,1,AO180)*(1+INDEX('Lease Cycles'!$CI$18:$CO$18,1,AO180))^INT(INT(AO181/12)/INDEX('Lease Cycles'!$CP$18:$CV$18,1,AO180))/12)))),'Lease Cycles'!$C$18*INDEX('Lease Cycles'!$CB$18:$CH$18,1,AO180)*(1+INDEX('Lease Cycles'!$CI$18:$CO$18,1,AO180))^INT(INT(AO181/12)/INDEX('Lease Cycles'!$CP$18:$CV$18,1,AO180))/12))),IF('Lease Cycles'!$N$18=1,'Lease Cycles'!$C$18*'Lease Cycles'!$E$18*INDEX('Lease Cycles'!$HE$18:$HK$18,1,AO180)*(1+INDEX('Lease Cycles'!$GQ$18:$GW$18,1,AO180))^INT(INT((AO$6-INDEX('Lease Cycles'!$GJ$18:$GP$18,1,AO180))/12)/INDEX('Lease Cycles'!$GX$18:$HD$18,1,AO180))/12,0)))</f>
        <v>0</v>
      </c>
      <c r="AP183" s="28">
        <f>IF(AP180=0,IF('Lease Cycles'!$F$18&gt;0,'Lease Cycles'!$C$18*'Lease Cycles'!$E$18/12,0),IF(AP182=1,IF('Lease Cycles'!$AT$18&gt;=9999,'Lease Cycles'!$C$18*INDEX('Lease Cycles'!$CB$18:$CH$18,1,AP180)*(1+INDEX('Lease Cycles'!$CI$18:$CO$18,1,AP180))^INT(INT(AP181/12)/INDEX('Lease Cycles'!$CP$18:$CV$18,1,AP180))/12,IF(AP180=1,IF(AP181&gt;=INDEX('Lease Cycles'!$DK$18:$DQ$18,1,AP180),IF(AP$6&gt;='Lease Cycles'!$AZ$18,'Lease Cycles'!$C$18*'Lease Cycles'!$BA$18/12,IF(AP$6&gt;='Lease Cycles'!$AX$18,'Lease Cycles'!$C$18*'Lease Cycles'!$AY$18/12,IF(AP$6&gt;='Lease Cycles'!$AV$18,'Lease Cycles'!$C$18*'Lease Cycles'!$AW$18/12,IF(AP$6&gt;='Lease Cycles'!$AT$18,'Lease Cycles'!$C$18*'Lease Cycles'!$AU$18/12,'Lease Cycles'!$C$18*INDEX('Lease Cycles'!$CB$18:$CH$18,1,AP180)*(1+INDEX('Lease Cycles'!$CI$18:$CO$18,1,AP180))^INT(INT(AP181/12)/INDEX('Lease Cycles'!$CP$18:$CV$18,1,AP180))/12)))),'Lease Cycles'!$C$18*INDEX('Lease Cycles'!$CB$18:$CH$18,1,AP180)*(1+INDEX('Lease Cycles'!$CI$18:$CO$18,1,AP180))^INT(INT(AP181/12)/INDEX('Lease Cycles'!$CP$18:$CV$18,1,AP180))/12),IF(INDEX('Lease Cycles'!$EF$18:$EL$18,1,AP180)=1,IF(AND('Lease Cycles'!$AZ$18&gt;=INDEX('Lease Cycles'!$BG$18:$BM$18,1,AP180),'Lease Cycles'!$AZ$18&lt;=AP$6),'Lease Cycles'!$C$18*'Lease Cycles'!$BA$18/12,IF(AND('Lease Cycles'!$AX$18&gt;=INDEX('Lease Cycles'!$BG$18:$BM$18,1,AP180),'Lease Cycles'!$AX$18&lt;=AP$6),'Lease Cycles'!$C$18*'Lease Cycles'!$AY$18/12,IF(AND('Lease Cycles'!$AV$18&gt;=INDEX('Lease Cycles'!$BG$18:$BM$18,1,AP180),'Lease Cycles'!$AV$18&lt;=AP$6),'Lease Cycles'!$C$18*'Lease Cycles'!$AW$18/12,IF(AND('Lease Cycles'!$AT$18&gt;=INDEX('Lease Cycles'!$BG$18:$BM$18,1,AP180),'Lease Cycles'!$AT$18&lt;=AP$6),'Lease Cycles'!$C$18*'Lease Cycles'!$AU$18/12,'Lease Cycles'!$C$18*INDEX('Lease Cycles'!$CB$18:$CH$18,1,AP180)*(1+INDEX('Lease Cycles'!$CI$18:$CO$18,1,AP180))^INT(INT(AP181/12)/INDEX('Lease Cycles'!$CP$18:$CV$18,1,AP180))/12)))),'Lease Cycles'!$C$18*INDEX('Lease Cycles'!$CB$18:$CH$18,1,AP180)*(1+INDEX('Lease Cycles'!$CI$18:$CO$18,1,AP180))^INT(INT(AP181/12)/INDEX('Lease Cycles'!$CP$18:$CV$18,1,AP180))/12))),IF('Lease Cycles'!$N$18=1,'Lease Cycles'!$C$18*'Lease Cycles'!$E$18*INDEX('Lease Cycles'!$HE$18:$HK$18,1,AP180)*(1+INDEX('Lease Cycles'!$GQ$18:$GW$18,1,AP180))^INT(INT((AP$6-INDEX('Lease Cycles'!$GJ$18:$GP$18,1,AP180))/12)/INDEX('Lease Cycles'!$GX$18:$HD$18,1,AP180))/12,0)))</f>
        <v>0</v>
      </c>
      <c r="AQ183" s="28">
        <f>IF(AQ180=0,IF('Lease Cycles'!$F$18&gt;0,'Lease Cycles'!$C$18*'Lease Cycles'!$E$18/12,0),IF(AQ182=1,IF('Lease Cycles'!$AT$18&gt;=9999,'Lease Cycles'!$C$18*INDEX('Lease Cycles'!$CB$18:$CH$18,1,AQ180)*(1+INDEX('Lease Cycles'!$CI$18:$CO$18,1,AQ180))^INT(INT(AQ181/12)/INDEX('Lease Cycles'!$CP$18:$CV$18,1,AQ180))/12,IF(AQ180=1,IF(AQ181&gt;=INDEX('Lease Cycles'!$DK$18:$DQ$18,1,AQ180),IF(AQ$6&gt;='Lease Cycles'!$AZ$18,'Lease Cycles'!$C$18*'Lease Cycles'!$BA$18/12,IF(AQ$6&gt;='Lease Cycles'!$AX$18,'Lease Cycles'!$C$18*'Lease Cycles'!$AY$18/12,IF(AQ$6&gt;='Lease Cycles'!$AV$18,'Lease Cycles'!$C$18*'Lease Cycles'!$AW$18/12,IF(AQ$6&gt;='Lease Cycles'!$AT$18,'Lease Cycles'!$C$18*'Lease Cycles'!$AU$18/12,'Lease Cycles'!$C$18*INDEX('Lease Cycles'!$CB$18:$CH$18,1,AQ180)*(1+INDEX('Lease Cycles'!$CI$18:$CO$18,1,AQ180))^INT(INT(AQ181/12)/INDEX('Lease Cycles'!$CP$18:$CV$18,1,AQ180))/12)))),'Lease Cycles'!$C$18*INDEX('Lease Cycles'!$CB$18:$CH$18,1,AQ180)*(1+INDEX('Lease Cycles'!$CI$18:$CO$18,1,AQ180))^INT(INT(AQ181/12)/INDEX('Lease Cycles'!$CP$18:$CV$18,1,AQ180))/12),IF(INDEX('Lease Cycles'!$EF$18:$EL$18,1,AQ180)=1,IF(AND('Lease Cycles'!$AZ$18&gt;=INDEX('Lease Cycles'!$BG$18:$BM$18,1,AQ180),'Lease Cycles'!$AZ$18&lt;=AQ$6),'Lease Cycles'!$C$18*'Lease Cycles'!$BA$18/12,IF(AND('Lease Cycles'!$AX$18&gt;=INDEX('Lease Cycles'!$BG$18:$BM$18,1,AQ180),'Lease Cycles'!$AX$18&lt;=AQ$6),'Lease Cycles'!$C$18*'Lease Cycles'!$AY$18/12,IF(AND('Lease Cycles'!$AV$18&gt;=INDEX('Lease Cycles'!$BG$18:$BM$18,1,AQ180),'Lease Cycles'!$AV$18&lt;=AQ$6),'Lease Cycles'!$C$18*'Lease Cycles'!$AW$18/12,IF(AND('Lease Cycles'!$AT$18&gt;=INDEX('Lease Cycles'!$BG$18:$BM$18,1,AQ180),'Lease Cycles'!$AT$18&lt;=AQ$6),'Lease Cycles'!$C$18*'Lease Cycles'!$AU$18/12,'Lease Cycles'!$C$18*INDEX('Lease Cycles'!$CB$18:$CH$18,1,AQ180)*(1+INDEX('Lease Cycles'!$CI$18:$CO$18,1,AQ180))^INT(INT(AQ181/12)/INDEX('Lease Cycles'!$CP$18:$CV$18,1,AQ180))/12)))),'Lease Cycles'!$C$18*INDEX('Lease Cycles'!$CB$18:$CH$18,1,AQ180)*(1+INDEX('Lease Cycles'!$CI$18:$CO$18,1,AQ180))^INT(INT(AQ181/12)/INDEX('Lease Cycles'!$CP$18:$CV$18,1,AQ180))/12))),IF('Lease Cycles'!$N$18=1,'Lease Cycles'!$C$18*'Lease Cycles'!$E$18*INDEX('Lease Cycles'!$HE$18:$HK$18,1,AQ180)*(1+INDEX('Lease Cycles'!$GQ$18:$GW$18,1,AQ180))^INT(INT((AQ$6-INDEX('Lease Cycles'!$GJ$18:$GP$18,1,AQ180))/12)/INDEX('Lease Cycles'!$GX$18:$HD$18,1,AQ180))/12,0)))</f>
        <v>0</v>
      </c>
      <c r="AR183" s="28">
        <f>IF(AR180=0,IF('Lease Cycles'!$F$18&gt;0,'Lease Cycles'!$C$18*'Lease Cycles'!$E$18/12,0),IF(AR182=1,IF('Lease Cycles'!$AT$18&gt;=9999,'Lease Cycles'!$C$18*INDEX('Lease Cycles'!$CB$18:$CH$18,1,AR180)*(1+INDEX('Lease Cycles'!$CI$18:$CO$18,1,AR180))^INT(INT(AR181/12)/INDEX('Lease Cycles'!$CP$18:$CV$18,1,AR180))/12,IF(AR180=1,IF(AR181&gt;=INDEX('Lease Cycles'!$DK$18:$DQ$18,1,AR180),IF(AR$6&gt;='Lease Cycles'!$AZ$18,'Lease Cycles'!$C$18*'Lease Cycles'!$BA$18/12,IF(AR$6&gt;='Lease Cycles'!$AX$18,'Lease Cycles'!$C$18*'Lease Cycles'!$AY$18/12,IF(AR$6&gt;='Lease Cycles'!$AV$18,'Lease Cycles'!$C$18*'Lease Cycles'!$AW$18/12,IF(AR$6&gt;='Lease Cycles'!$AT$18,'Lease Cycles'!$C$18*'Lease Cycles'!$AU$18/12,'Lease Cycles'!$C$18*INDEX('Lease Cycles'!$CB$18:$CH$18,1,AR180)*(1+INDEX('Lease Cycles'!$CI$18:$CO$18,1,AR180))^INT(INT(AR181/12)/INDEX('Lease Cycles'!$CP$18:$CV$18,1,AR180))/12)))),'Lease Cycles'!$C$18*INDEX('Lease Cycles'!$CB$18:$CH$18,1,AR180)*(1+INDEX('Lease Cycles'!$CI$18:$CO$18,1,AR180))^INT(INT(AR181/12)/INDEX('Lease Cycles'!$CP$18:$CV$18,1,AR180))/12),IF(INDEX('Lease Cycles'!$EF$18:$EL$18,1,AR180)=1,IF(AND('Lease Cycles'!$AZ$18&gt;=INDEX('Lease Cycles'!$BG$18:$BM$18,1,AR180),'Lease Cycles'!$AZ$18&lt;=AR$6),'Lease Cycles'!$C$18*'Lease Cycles'!$BA$18/12,IF(AND('Lease Cycles'!$AX$18&gt;=INDEX('Lease Cycles'!$BG$18:$BM$18,1,AR180),'Lease Cycles'!$AX$18&lt;=AR$6),'Lease Cycles'!$C$18*'Lease Cycles'!$AY$18/12,IF(AND('Lease Cycles'!$AV$18&gt;=INDEX('Lease Cycles'!$BG$18:$BM$18,1,AR180),'Lease Cycles'!$AV$18&lt;=AR$6),'Lease Cycles'!$C$18*'Lease Cycles'!$AW$18/12,IF(AND('Lease Cycles'!$AT$18&gt;=INDEX('Lease Cycles'!$BG$18:$BM$18,1,AR180),'Lease Cycles'!$AT$18&lt;=AR$6),'Lease Cycles'!$C$18*'Lease Cycles'!$AU$18/12,'Lease Cycles'!$C$18*INDEX('Lease Cycles'!$CB$18:$CH$18,1,AR180)*(1+INDEX('Lease Cycles'!$CI$18:$CO$18,1,AR180))^INT(INT(AR181/12)/INDEX('Lease Cycles'!$CP$18:$CV$18,1,AR180))/12)))),'Lease Cycles'!$C$18*INDEX('Lease Cycles'!$CB$18:$CH$18,1,AR180)*(1+INDEX('Lease Cycles'!$CI$18:$CO$18,1,AR180))^INT(INT(AR181/12)/INDEX('Lease Cycles'!$CP$18:$CV$18,1,AR180))/12))),IF('Lease Cycles'!$N$18=1,'Lease Cycles'!$C$18*'Lease Cycles'!$E$18*INDEX('Lease Cycles'!$HE$18:$HK$18,1,AR180)*(1+INDEX('Lease Cycles'!$GQ$18:$GW$18,1,AR180))^INT(INT((AR$6-INDEX('Lease Cycles'!$GJ$18:$GP$18,1,AR180))/12)/INDEX('Lease Cycles'!$GX$18:$HD$18,1,AR180))/12,0)))</f>
        <v>0</v>
      </c>
      <c r="AS183" s="28">
        <f>IF(AS180=0,IF('Lease Cycles'!$F$18&gt;0,'Lease Cycles'!$C$18*'Lease Cycles'!$E$18/12,0),IF(AS182=1,IF('Lease Cycles'!$AT$18&gt;=9999,'Lease Cycles'!$C$18*INDEX('Lease Cycles'!$CB$18:$CH$18,1,AS180)*(1+INDEX('Lease Cycles'!$CI$18:$CO$18,1,AS180))^INT(INT(AS181/12)/INDEX('Lease Cycles'!$CP$18:$CV$18,1,AS180))/12,IF(AS180=1,IF(AS181&gt;=INDEX('Lease Cycles'!$DK$18:$DQ$18,1,AS180),IF(AS$6&gt;='Lease Cycles'!$AZ$18,'Lease Cycles'!$C$18*'Lease Cycles'!$BA$18/12,IF(AS$6&gt;='Lease Cycles'!$AX$18,'Lease Cycles'!$C$18*'Lease Cycles'!$AY$18/12,IF(AS$6&gt;='Lease Cycles'!$AV$18,'Lease Cycles'!$C$18*'Lease Cycles'!$AW$18/12,IF(AS$6&gt;='Lease Cycles'!$AT$18,'Lease Cycles'!$C$18*'Lease Cycles'!$AU$18/12,'Lease Cycles'!$C$18*INDEX('Lease Cycles'!$CB$18:$CH$18,1,AS180)*(1+INDEX('Lease Cycles'!$CI$18:$CO$18,1,AS180))^INT(INT(AS181/12)/INDEX('Lease Cycles'!$CP$18:$CV$18,1,AS180))/12)))),'Lease Cycles'!$C$18*INDEX('Lease Cycles'!$CB$18:$CH$18,1,AS180)*(1+INDEX('Lease Cycles'!$CI$18:$CO$18,1,AS180))^INT(INT(AS181/12)/INDEX('Lease Cycles'!$CP$18:$CV$18,1,AS180))/12),IF(INDEX('Lease Cycles'!$EF$18:$EL$18,1,AS180)=1,IF(AND('Lease Cycles'!$AZ$18&gt;=INDEX('Lease Cycles'!$BG$18:$BM$18,1,AS180),'Lease Cycles'!$AZ$18&lt;=AS$6),'Lease Cycles'!$C$18*'Lease Cycles'!$BA$18/12,IF(AND('Lease Cycles'!$AX$18&gt;=INDEX('Lease Cycles'!$BG$18:$BM$18,1,AS180),'Lease Cycles'!$AX$18&lt;=AS$6),'Lease Cycles'!$C$18*'Lease Cycles'!$AY$18/12,IF(AND('Lease Cycles'!$AV$18&gt;=INDEX('Lease Cycles'!$BG$18:$BM$18,1,AS180),'Lease Cycles'!$AV$18&lt;=AS$6),'Lease Cycles'!$C$18*'Lease Cycles'!$AW$18/12,IF(AND('Lease Cycles'!$AT$18&gt;=INDEX('Lease Cycles'!$BG$18:$BM$18,1,AS180),'Lease Cycles'!$AT$18&lt;=AS$6),'Lease Cycles'!$C$18*'Lease Cycles'!$AU$18/12,'Lease Cycles'!$C$18*INDEX('Lease Cycles'!$CB$18:$CH$18,1,AS180)*(1+INDEX('Lease Cycles'!$CI$18:$CO$18,1,AS180))^INT(INT(AS181/12)/INDEX('Lease Cycles'!$CP$18:$CV$18,1,AS180))/12)))),'Lease Cycles'!$C$18*INDEX('Lease Cycles'!$CB$18:$CH$18,1,AS180)*(1+INDEX('Lease Cycles'!$CI$18:$CO$18,1,AS180))^INT(INT(AS181/12)/INDEX('Lease Cycles'!$CP$18:$CV$18,1,AS180))/12))),IF('Lease Cycles'!$N$18=1,'Lease Cycles'!$C$18*'Lease Cycles'!$E$18*INDEX('Lease Cycles'!$HE$18:$HK$18,1,AS180)*(1+INDEX('Lease Cycles'!$GQ$18:$GW$18,1,AS180))^INT(INT((AS$6-INDEX('Lease Cycles'!$GJ$18:$GP$18,1,AS180))/12)/INDEX('Lease Cycles'!$GX$18:$HD$18,1,AS180))/12,0)))</f>
        <v>0</v>
      </c>
      <c r="AT183" s="28">
        <f>IF(AT180=0,IF('Lease Cycles'!$F$18&gt;0,'Lease Cycles'!$C$18*'Lease Cycles'!$E$18/12,0),IF(AT182=1,IF('Lease Cycles'!$AT$18&gt;=9999,'Lease Cycles'!$C$18*INDEX('Lease Cycles'!$CB$18:$CH$18,1,AT180)*(1+INDEX('Lease Cycles'!$CI$18:$CO$18,1,AT180))^INT(INT(AT181/12)/INDEX('Lease Cycles'!$CP$18:$CV$18,1,AT180))/12,IF(AT180=1,IF(AT181&gt;=INDEX('Lease Cycles'!$DK$18:$DQ$18,1,AT180),IF(AT$6&gt;='Lease Cycles'!$AZ$18,'Lease Cycles'!$C$18*'Lease Cycles'!$BA$18/12,IF(AT$6&gt;='Lease Cycles'!$AX$18,'Lease Cycles'!$C$18*'Lease Cycles'!$AY$18/12,IF(AT$6&gt;='Lease Cycles'!$AV$18,'Lease Cycles'!$C$18*'Lease Cycles'!$AW$18/12,IF(AT$6&gt;='Lease Cycles'!$AT$18,'Lease Cycles'!$C$18*'Lease Cycles'!$AU$18/12,'Lease Cycles'!$C$18*INDEX('Lease Cycles'!$CB$18:$CH$18,1,AT180)*(1+INDEX('Lease Cycles'!$CI$18:$CO$18,1,AT180))^INT(INT(AT181/12)/INDEX('Lease Cycles'!$CP$18:$CV$18,1,AT180))/12)))),'Lease Cycles'!$C$18*INDEX('Lease Cycles'!$CB$18:$CH$18,1,AT180)*(1+INDEX('Lease Cycles'!$CI$18:$CO$18,1,AT180))^INT(INT(AT181/12)/INDEX('Lease Cycles'!$CP$18:$CV$18,1,AT180))/12),IF(INDEX('Lease Cycles'!$EF$18:$EL$18,1,AT180)=1,IF(AND('Lease Cycles'!$AZ$18&gt;=INDEX('Lease Cycles'!$BG$18:$BM$18,1,AT180),'Lease Cycles'!$AZ$18&lt;=AT$6),'Lease Cycles'!$C$18*'Lease Cycles'!$BA$18/12,IF(AND('Lease Cycles'!$AX$18&gt;=INDEX('Lease Cycles'!$BG$18:$BM$18,1,AT180),'Lease Cycles'!$AX$18&lt;=AT$6),'Lease Cycles'!$C$18*'Lease Cycles'!$AY$18/12,IF(AND('Lease Cycles'!$AV$18&gt;=INDEX('Lease Cycles'!$BG$18:$BM$18,1,AT180),'Lease Cycles'!$AV$18&lt;=AT$6),'Lease Cycles'!$C$18*'Lease Cycles'!$AW$18/12,IF(AND('Lease Cycles'!$AT$18&gt;=INDEX('Lease Cycles'!$BG$18:$BM$18,1,AT180),'Lease Cycles'!$AT$18&lt;=AT$6),'Lease Cycles'!$C$18*'Lease Cycles'!$AU$18/12,'Lease Cycles'!$C$18*INDEX('Lease Cycles'!$CB$18:$CH$18,1,AT180)*(1+INDEX('Lease Cycles'!$CI$18:$CO$18,1,AT180))^INT(INT(AT181/12)/INDEX('Lease Cycles'!$CP$18:$CV$18,1,AT180))/12)))),'Lease Cycles'!$C$18*INDEX('Lease Cycles'!$CB$18:$CH$18,1,AT180)*(1+INDEX('Lease Cycles'!$CI$18:$CO$18,1,AT180))^INT(INT(AT181/12)/INDEX('Lease Cycles'!$CP$18:$CV$18,1,AT180))/12))),IF('Lease Cycles'!$N$18=1,'Lease Cycles'!$C$18*'Lease Cycles'!$E$18*INDEX('Lease Cycles'!$HE$18:$HK$18,1,AT180)*(1+INDEX('Lease Cycles'!$GQ$18:$GW$18,1,AT180))^INT(INT((AT$6-INDEX('Lease Cycles'!$GJ$18:$GP$18,1,AT180))/12)/INDEX('Lease Cycles'!$GX$18:$HD$18,1,AT180))/12,0)))</f>
        <v>0</v>
      </c>
      <c r="AU183" s="28">
        <f>IF(AU180=0,IF('Lease Cycles'!$F$18&gt;0,'Lease Cycles'!$C$18*'Lease Cycles'!$E$18/12,0),IF(AU182=1,IF('Lease Cycles'!$AT$18&gt;=9999,'Lease Cycles'!$C$18*INDEX('Lease Cycles'!$CB$18:$CH$18,1,AU180)*(1+INDEX('Lease Cycles'!$CI$18:$CO$18,1,AU180))^INT(INT(AU181/12)/INDEX('Lease Cycles'!$CP$18:$CV$18,1,AU180))/12,IF(AU180=1,IF(AU181&gt;=INDEX('Lease Cycles'!$DK$18:$DQ$18,1,AU180),IF(AU$6&gt;='Lease Cycles'!$AZ$18,'Lease Cycles'!$C$18*'Lease Cycles'!$BA$18/12,IF(AU$6&gt;='Lease Cycles'!$AX$18,'Lease Cycles'!$C$18*'Lease Cycles'!$AY$18/12,IF(AU$6&gt;='Lease Cycles'!$AV$18,'Lease Cycles'!$C$18*'Lease Cycles'!$AW$18/12,IF(AU$6&gt;='Lease Cycles'!$AT$18,'Lease Cycles'!$C$18*'Lease Cycles'!$AU$18/12,'Lease Cycles'!$C$18*INDEX('Lease Cycles'!$CB$18:$CH$18,1,AU180)*(1+INDEX('Lease Cycles'!$CI$18:$CO$18,1,AU180))^INT(INT(AU181/12)/INDEX('Lease Cycles'!$CP$18:$CV$18,1,AU180))/12)))),'Lease Cycles'!$C$18*INDEX('Lease Cycles'!$CB$18:$CH$18,1,AU180)*(1+INDEX('Lease Cycles'!$CI$18:$CO$18,1,AU180))^INT(INT(AU181/12)/INDEX('Lease Cycles'!$CP$18:$CV$18,1,AU180))/12),IF(INDEX('Lease Cycles'!$EF$18:$EL$18,1,AU180)=1,IF(AND('Lease Cycles'!$AZ$18&gt;=INDEX('Lease Cycles'!$BG$18:$BM$18,1,AU180),'Lease Cycles'!$AZ$18&lt;=AU$6),'Lease Cycles'!$C$18*'Lease Cycles'!$BA$18/12,IF(AND('Lease Cycles'!$AX$18&gt;=INDEX('Lease Cycles'!$BG$18:$BM$18,1,AU180),'Lease Cycles'!$AX$18&lt;=AU$6),'Lease Cycles'!$C$18*'Lease Cycles'!$AY$18/12,IF(AND('Lease Cycles'!$AV$18&gt;=INDEX('Lease Cycles'!$BG$18:$BM$18,1,AU180),'Lease Cycles'!$AV$18&lt;=AU$6),'Lease Cycles'!$C$18*'Lease Cycles'!$AW$18/12,IF(AND('Lease Cycles'!$AT$18&gt;=INDEX('Lease Cycles'!$BG$18:$BM$18,1,AU180),'Lease Cycles'!$AT$18&lt;=AU$6),'Lease Cycles'!$C$18*'Lease Cycles'!$AU$18/12,'Lease Cycles'!$C$18*INDEX('Lease Cycles'!$CB$18:$CH$18,1,AU180)*(1+INDEX('Lease Cycles'!$CI$18:$CO$18,1,AU180))^INT(INT(AU181/12)/INDEX('Lease Cycles'!$CP$18:$CV$18,1,AU180))/12)))),'Lease Cycles'!$C$18*INDEX('Lease Cycles'!$CB$18:$CH$18,1,AU180)*(1+INDEX('Lease Cycles'!$CI$18:$CO$18,1,AU180))^INT(INT(AU181/12)/INDEX('Lease Cycles'!$CP$18:$CV$18,1,AU180))/12))),IF('Lease Cycles'!$N$18=1,'Lease Cycles'!$C$18*'Lease Cycles'!$E$18*INDEX('Lease Cycles'!$HE$18:$HK$18,1,AU180)*(1+INDEX('Lease Cycles'!$GQ$18:$GW$18,1,AU180))^INT(INT((AU$6-INDEX('Lease Cycles'!$GJ$18:$GP$18,1,AU180))/12)/INDEX('Lease Cycles'!$GX$18:$HD$18,1,AU180))/12,0)))</f>
        <v>0</v>
      </c>
      <c r="AV183" s="28">
        <f>IF(AV180=0,IF('Lease Cycles'!$F$18&gt;0,'Lease Cycles'!$C$18*'Lease Cycles'!$E$18/12,0),IF(AV182=1,IF('Lease Cycles'!$AT$18&gt;=9999,'Lease Cycles'!$C$18*INDEX('Lease Cycles'!$CB$18:$CH$18,1,AV180)*(1+INDEX('Lease Cycles'!$CI$18:$CO$18,1,AV180))^INT(INT(AV181/12)/INDEX('Lease Cycles'!$CP$18:$CV$18,1,AV180))/12,IF(AV180=1,IF(AV181&gt;=INDEX('Lease Cycles'!$DK$18:$DQ$18,1,AV180),IF(AV$6&gt;='Lease Cycles'!$AZ$18,'Lease Cycles'!$C$18*'Lease Cycles'!$BA$18/12,IF(AV$6&gt;='Lease Cycles'!$AX$18,'Lease Cycles'!$C$18*'Lease Cycles'!$AY$18/12,IF(AV$6&gt;='Lease Cycles'!$AV$18,'Lease Cycles'!$C$18*'Lease Cycles'!$AW$18/12,IF(AV$6&gt;='Lease Cycles'!$AT$18,'Lease Cycles'!$C$18*'Lease Cycles'!$AU$18/12,'Lease Cycles'!$C$18*INDEX('Lease Cycles'!$CB$18:$CH$18,1,AV180)*(1+INDEX('Lease Cycles'!$CI$18:$CO$18,1,AV180))^INT(INT(AV181/12)/INDEX('Lease Cycles'!$CP$18:$CV$18,1,AV180))/12)))),'Lease Cycles'!$C$18*INDEX('Lease Cycles'!$CB$18:$CH$18,1,AV180)*(1+INDEX('Lease Cycles'!$CI$18:$CO$18,1,AV180))^INT(INT(AV181/12)/INDEX('Lease Cycles'!$CP$18:$CV$18,1,AV180))/12),IF(INDEX('Lease Cycles'!$EF$18:$EL$18,1,AV180)=1,IF(AND('Lease Cycles'!$AZ$18&gt;=INDEX('Lease Cycles'!$BG$18:$BM$18,1,AV180),'Lease Cycles'!$AZ$18&lt;=AV$6),'Lease Cycles'!$C$18*'Lease Cycles'!$BA$18/12,IF(AND('Lease Cycles'!$AX$18&gt;=INDEX('Lease Cycles'!$BG$18:$BM$18,1,AV180),'Lease Cycles'!$AX$18&lt;=AV$6),'Lease Cycles'!$C$18*'Lease Cycles'!$AY$18/12,IF(AND('Lease Cycles'!$AV$18&gt;=INDEX('Lease Cycles'!$BG$18:$BM$18,1,AV180),'Lease Cycles'!$AV$18&lt;=AV$6),'Lease Cycles'!$C$18*'Lease Cycles'!$AW$18/12,IF(AND('Lease Cycles'!$AT$18&gt;=INDEX('Lease Cycles'!$BG$18:$BM$18,1,AV180),'Lease Cycles'!$AT$18&lt;=AV$6),'Lease Cycles'!$C$18*'Lease Cycles'!$AU$18/12,'Lease Cycles'!$C$18*INDEX('Lease Cycles'!$CB$18:$CH$18,1,AV180)*(1+INDEX('Lease Cycles'!$CI$18:$CO$18,1,AV180))^INT(INT(AV181/12)/INDEX('Lease Cycles'!$CP$18:$CV$18,1,AV180))/12)))),'Lease Cycles'!$C$18*INDEX('Lease Cycles'!$CB$18:$CH$18,1,AV180)*(1+INDEX('Lease Cycles'!$CI$18:$CO$18,1,AV180))^INT(INT(AV181/12)/INDEX('Lease Cycles'!$CP$18:$CV$18,1,AV180))/12))),IF('Lease Cycles'!$N$18=1,'Lease Cycles'!$C$18*'Lease Cycles'!$E$18*INDEX('Lease Cycles'!$HE$18:$HK$18,1,AV180)*(1+INDEX('Lease Cycles'!$GQ$18:$GW$18,1,AV180))^INT(INT((AV$6-INDEX('Lease Cycles'!$GJ$18:$GP$18,1,AV180))/12)/INDEX('Lease Cycles'!$GX$18:$HD$18,1,AV180))/12,0)))</f>
        <v>0</v>
      </c>
      <c r="AW183" s="28">
        <f>IF(AW180=0,IF('Lease Cycles'!$F$18&gt;0,'Lease Cycles'!$C$18*'Lease Cycles'!$E$18/12,0),IF(AW182=1,IF('Lease Cycles'!$AT$18&gt;=9999,'Lease Cycles'!$C$18*INDEX('Lease Cycles'!$CB$18:$CH$18,1,AW180)*(1+INDEX('Lease Cycles'!$CI$18:$CO$18,1,AW180))^INT(INT(AW181/12)/INDEX('Lease Cycles'!$CP$18:$CV$18,1,AW180))/12,IF(AW180=1,IF(AW181&gt;=INDEX('Lease Cycles'!$DK$18:$DQ$18,1,AW180),IF(AW$6&gt;='Lease Cycles'!$AZ$18,'Lease Cycles'!$C$18*'Lease Cycles'!$BA$18/12,IF(AW$6&gt;='Lease Cycles'!$AX$18,'Lease Cycles'!$C$18*'Lease Cycles'!$AY$18/12,IF(AW$6&gt;='Lease Cycles'!$AV$18,'Lease Cycles'!$C$18*'Lease Cycles'!$AW$18/12,IF(AW$6&gt;='Lease Cycles'!$AT$18,'Lease Cycles'!$C$18*'Lease Cycles'!$AU$18/12,'Lease Cycles'!$C$18*INDEX('Lease Cycles'!$CB$18:$CH$18,1,AW180)*(1+INDEX('Lease Cycles'!$CI$18:$CO$18,1,AW180))^INT(INT(AW181/12)/INDEX('Lease Cycles'!$CP$18:$CV$18,1,AW180))/12)))),'Lease Cycles'!$C$18*INDEX('Lease Cycles'!$CB$18:$CH$18,1,AW180)*(1+INDEX('Lease Cycles'!$CI$18:$CO$18,1,AW180))^INT(INT(AW181/12)/INDEX('Lease Cycles'!$CP$18:$CV$18,1,AW180))/12),IF(INDEX('Lease Cycles'!$EF$18:$EL$18,1,AW180)=1,IF(AND('Lease Cycles'!$AZ$18&gt;=INDEX('Lease Cycles'!$BG$18:$BM$18,1,AW180),'Lease Cycles'!$AZ$18&lt;=AW$6),'Lease Cycles'!$C$18*'Lease Cycles'!$BA$18/12,IF(AND('Lease Cycles'!$AX$18&gt;=INDEX('Lease Cycles'!$BG$18:$BM$18,1,AW180),'Lease Cycles'!$AX$18&lt;=AW$6),'Lease Cycles'!$C$18*'Lease Cycles'!$AY$18/12,IF(AND('Lease Cycles'!$AV$18&gt;=INDEX('Lease Cycles'!$BG$18:$BM$18,1,AW180),'Lease Cycles'!$AV$18&lt;=AW$6),'Lease Cycles'!$C$18*'Lease Cycles'!$AW$18/12,IF(AND('Lease Cycles'!$AT$18&gt;=INDEX('Lease Cycles'!$BG$18:$BM$18,1,AW180),'Lease Cycles'!$AT$18&lt;=AW$6),'Lease Cycles'!$C$18*'Lease Cycles'!$AU$18/12,'Lease Cycles'!$C$18*INDEX('Lease Cycles'!$CB$18:$CH$18,1,AW180)*(1+INDEX('Lease Cycles'!$CI$18:$CO$18,1,AW180))^INT(INT(AW181/12)/INDEX('Lease Cycles'!$CP$18:$CV$18,1,AW180))/12)))),'Lease Cycles'!$C$18*INDEX('Lease Cycles'!$CB$18:$CH$18,1,AW180)*(1+INDEX('Lease Cycles'!$CI$18:$CO$18,1,AW180))^INT(INT(AW181/12)/INDEX('Lease Cycles'!$CP$18:$CV$18,1,AW180))/12))),IF('Lease Cycles'!$N$18=1,'Lease Cycles'!$C$18*'Lease Cycles'!$E$18*INDEX('Lease Cycles'!$HE$18:$HK$18,1,AW180)*(1+INDEX('Lease Cycles'!$GQ$18:$GW$18,1,AW180))^INT(INT((AW$6-INDEX('Lease Cycles'!$GJ$18:$GP$18,1,AW180))/12)/INDEX('Lease Cycles'!$GX$18:$HD$18,1,AW180))/12,0)))</f>
        <v>0</v>
      </c>
      <c r="AX183" s="28">
        <f>IF(AX180=0,IF('Lease Cycles'!$F$18&gt;0,'Lease Cycles'!$C$18*'Lease Cycles'!$E$18/12,0),IF(AX182=1,IF('Lease Cycles'!$AT$18&gt;=9999,'Lease Cycles'!$C$18*INDEX('Lease Cycles'!$CB$18:$CH$18,1,AX180)*(1+INDEX('Lease Cycles'!$CI$18:$CO$18,1,AX180))^INT(INT(AX181/12)/INDEX('Lease Cycles'!$CP$18:$CV$18,1,AX180))/12,IF(AX180=1,IF(AX181&gt;=INDEX('Lease Cycles'!$DK$18:$DQ$18,1,AX180),IF(AX$6&gt;='Lease Cycles'!$AZ$18,'Lease Cycles'!$C$18*'Lease Cycles'!$BA$18/12,IF(AX$6&gt;='Lease Cycles'!$AX$18,'Lease Cycles'!$C$18*'Lease Cycles'!$AY$18/12,IF(AX$6&gt;='Lease Cycles'!$AV$18,'Lease Cycles'!$C$18*'Lease Cycles'!$AW$18/12,IF(AX$6&gt;='Lease Cycles'!$AT$18,'Lease Cycles'!$C$18*'Lease Cycles'!$AU$18/12,'Lease Cycles'!$C$18*INDEX('Lease Cycles'!$CB$18:$CH$18,1,AX180)*(1+INDEX('Lease Cycles'!$CI$18:$CO$18,1,AX180))^INT(INT(AX181/12)/INDEX('Lease Cycles'!$CP$18:$CV$18,1,AX180))/12)))),'Lease Cycles'!$C$18*INDEX('Lease Cycles'!$CB$18:$CH$18,1,AX180)*(1+INDEX('Lease Cycles'!$CI$18:$CO$18,1,AX180))^INT(INT(AX181/12)/INDEX('Lease Cycles'!$CP$18:$CV$18,1,AX180))/12),IF(INDEX('Lease Cycles'!$EF$18:$EL$18,1,AX180)=1,IF(AND('Lease Cycles'!$AZ$18&gt;=INDEX('Lease Cycles'!$BG$18:$BM$18,1,AX180),'Lease Cycles'!$AZ$18&lt;=AX$6),'Lease Cycles'!$C$18*'Lease Cycles'!$BA$18/12,IF(AND('Lease Cycles'!$AX$18&gt;=INDEX('Lease Cycles'!$BG$18:$BM$18,1,AX180),'Lease Cycles'!$AX$18&lt;=AX$6),'Lease Cycles'!$C$18*'Lease Cycles'!$AY$18/12,IF(AND('Lease Cycles'!$AV$18&gt;=INDEX('Lease Cycles'!$BG$18:$BM$18,1,AX180),'Lease Cycles'!$AV$18&lt;=AX$6),'Lease Cycles'!$C$18*'Lease Cycles'!$AW$18/12,IF(AND('Lease Cycles'!$AT$18&gt;=INDEX('Lease Cycles'!$BG$18:$BM$18,1,AX180),'Lease Cycles'!$AT$18&lt;=AX$6),'Lease Cycles'!$C$18*'Lease Cycles'!$AU$18/12,'Lease Cycles'!$C$18*INDEX('Lease Cycles'!$CB$18:$CH$18,1,AX180)*(1+INDEX('Lease Cycles'!$CI$18:$CO$18,1,AX180))^INT(INT(AX181/12)/INDEX('Lease Cycles'!$CP$18:$CV$18,1,AX180))/12)))),'Lease Cycles'!$C$18*INDEX('Lease Cycles'!$CB$18:$CH$18,1,AX180)*(1+INDEX('Lease Cycles'!$CI$18:$CO$18,1,AX180))^INT(INT(AX181/12)/INDEX('Lease Cycles'!$CP$18:$CV$18,1,AX180))/12))),IF('Lease Cycles'!$N$18=1,'Lease Cycles'!$C$18*'Lease Cycles'!$E$18*INDEX('Lease Cycles'!$HE$18:$HK$18,1,AX180)*(1+INDEX('Lease Cycles'!$GQ$18:$GW$18,1,AX180))^INT(INT((AX$6-INDEX('Lease Cycles'!$GJ$18:$GP$18,1,AX180))/12)/INDEX('Lease Cycles'!$GX$18:$HD$18,1,AX180))/12,0)))</f>
        <v>0</v>
      </c>
      <c r="AY183" s="28">
        <f>IF(AY180=0,IF('Lease Cycles'!$F$18&gt;0,'Lease Cycles'!$C$18*'Lease Cycles'!$E$18/12,0),IF(AY182=1,IF('Lease Cycles'!$AT$18&gt;=9999,'Lease Cycles'!$C$18*INDEX('Lease Cycles'!$CB$18:$CH$18,1,AY180)*(1+INDEX('Lease Cycles'!$CI$18:$CO$18,1,AY180))^INT(INT(AY181/12)/INDEX('Lease Cycles'!$CP$18:$CV$18,1,AY180))/12,IF(AY180=1,IF(AY181&gt;=INDEX('Lease Cycles'!$DK$18:$DQ$18,1,AY180),IF(AY$6&gt;='Lease Cycles'!$AZ$18,'Lease Cycles'!$C$18*'Lease Cycles'!$BA$18/12,IF(AY$6&gt;='Lease Cycles'!$AX$18,'Lease Cycles'!$C$18*'Lease Cycles'!$AY$18/12,IF(AY$6&gt;='Lease Cycles'!$AV$18,'Lease Cycles'!$C$18*'Lease Cycles'!$AW$18/12,IF(AY$6&gt;='Lease Cycles'!$AT$18,'Lease Cycles'!$C$18*'Lease Cycles'!$AU$18/12,'Lease Cycles'!$C$18*INDEX('Lease Cycles'!$CB$18:$CH$18,1,AY180)*(1+INDEX('Lease Cycles'!$CI$18:$CO$18,1,AY180))^INT(INT(AY181/12)/INDEX('Lease Cycles'!$CP$18:$CV$18,1,AY180))/12)))),'Lease Cycles'!$C$18*INDEX('Lease Cycles'!$CB$18:$CH$18,1,AY180)*(1+INDEX('Lease Cycles'!$CI$18:$CO$18,1,AY180))^INT(INT(AY181/12)/INDEX('Lease Cycles'!$CP$18:$CV$18,1,AY180))/12),IF(INDEX('Lease Cycles'!$EF$18:$EL$18,1,AY180)=1,IF(AND('Lease Cycles'!$AZ$18&gt;=INDEX('Lease Cycles'!$BG$18:$BM$18,1,AY180),'Lease Cycles'!$AZ$18&lt;=AY$6),'Lease Cycles'!$C$18*'Lease Cycles'!$BA$18/12,IF(AND('Lease Cycles'!$AX$18&gt;=INDEX('Lease Cycles'!$BG$18:$BM$18,1,AY180),'Lease Cycles'!$AX$18&lt;=AY$6),'Lease Cycles'!$C$18*'Lease Cycles'!$AY$18/12,IF(AND('Lease Cycles'!$AV$18&gt;=INDEX('Lease Cycles'!$BG$18:$BM$18,1,AY180),'Lease Cycles'!$AV$18&lt;=AY$6),'Lease Cycles'!$C$18*'Lease Cycles'!$AW$18/12,IF(AND('Lease Cycles'!$AT$18&gt;=INDEX('Lease Cycles'!$BG$18:$BM$18,1,AY180),'Lease Cycles'!$AT$18&lt;=AY$6),'Lease Cycles'!$C$18*'Lease Cycles'!$AU$18/12,'Lease Cycles'!$C$18*INDEX('Lease Cycles'!$CB$18:$CH$18,1,AY180)*(1+INDEX('Lease Cycles'!$CI$18:$CO$18,1,AY180))^INT(INT(AY181/12)/INDEX('Lease Cycles'!$CP$18:$CV$18,1,AY180))/12)))),'Lease Cycles'!$C$18*INDEX('Lease Cycles'!$CB$18:$CH$18,1,AY180)*(1+INDEX('Lease Cycles'!$CI$18:$CO$18,1,AY180))^INT(INT(AY181/12)/INDEX('Lease Cycles'!$CP$18:$CV$18,1,AY180))/12))),IF('Lease Cycles'!$N$18=1,'Lease Cycles'!$C$18*'Lease Cycles'!$E$18*INDEX('Lease Cycles'!$HE$18:$HK$18,1,AY180)*(1+INDEX('Lease Cycles'!$GQ$18:$GW$18,1,AY180))^INT(INT((AY$6-INDEX('Lease Cycles'!$GJ$18:$GP$18,1,AY180))/12)/INDEX('Lease Cycles'!$GX$18:$HD$18,1,AY180))/12,0)))</f>
        <v>0</v>
      </c>
      <c r="AZ183" s="28">
        <f>IF(AZ180=0,IF('Lease Cycles'!$F$18&gt;0,'Lease Cycles'!$C$18*'Lease Cycles'!$E$18/12,0),IF(AZ182=1,IF('Lease Cycles'!$AT$18&gt;=9999,'Lease Cycles'!$C$18*INDEX('Lease Cycles'!$CB$18:$CH$18,1,AZ180)*(1+INDEX('Lease Cycles'!$CI$18:$CO$18,1,AZ180))^INT(INT(AZ181/12)/INDEX('Lease Cycles'!$CP$18:$CV$18,1,AZ180))/12,IF(AZ180=1,IF(AZ181&gt;=INDEX('Lease Cycles'!$DK$18:$DQ$18,1,AZ180),IF(AZ$6&gt;='Lease Cycles'!$AZ$18,'Lease Cycles'!$C$18*'Lease Cycles'!$BA$18/12,IF(AZ$6&gt;='Lease Cycles'!$AX$18,'Lease Cycles'!$C$18*'Lease Cycles'!$AY$18/12,IF(AZ$6&gt;='Lease Cycles'!$AV$18,'Lease Cycles'!$C$18*'Lease Cycles'!$AW$18/12,IF(AZ$6&gt;='Lease Cycles'!$AT$18,'Lease Cycles'!$C$18*'Lease Cycles'!$AU$18/12,'Lease Cycles'!$C$18*INDEX('Lease Cycles'!$CB$18:$CH$18,1,AZ180)*(1+INDEX('Lease Cycles'!$CI$18:$CO$18,1,AZ180))^INT(INT(AZ181/12)/INDEX('Lease Cycles'!$CP$18:$CV$18,1,AZ180))/12)))),'Lease Cycles'!$C$18*INDEX('Lease Cycles'!$CB$18:$CH$18,1,AZ180)*(1+INDEX('Lease Cycles'!$CI$18:$CO$18,1,AZ180))^INT(INT(AZ181/12)/INDEX('Lease Cycles'!$CP$18:$CV$18,1,AZ180))/12),IF(INDEX('Lease Cycles'!$EF$18:$EL$18,1,AZ180)=1,IF(AND('Lease Cycles'!$AZ$18&gt;=INDEX('Lease Cycles'!$BG$18:$BM$18,1,AZ180),'Lease Cycles'!$AZ$18&lt;=AZ$6),'Lease Cycles'!$C$18*'Lease Cycles'!$BA$18/12,IF(AND('Lease Cycles'!$AX$18&gt;=INDEX('Lease Cycles'!$BG$18:$BM$18,1,AZ180),'Lease Cycles'!$AX$18&lt;=AZ$6),'Lease Cycles'!$C$18*'Lease Cycles'!$AY$18/12,IF(AND('Lease Cycles'!$AV$18&gt;=INDEX('Lease Cycles'!$BG$18:$BM$18,1,AZ180),'Lease Cycles'!$AV$18&lt;=AZ$6),'Lease Cycles'!$C$18*'Lease Cycles'!$AW$18/12,IF(AND('Lease Cycles'!$AT$18&gt;=INDEX('Lease Cycles'!$BG$18:$BM$18,1,AZ180),'Lease Cycles'!$AT$18&lt;=AZ$6),'Lease Cycles'!$C$18*'Lease Cycles'!$AU$18/12,'Lease Cycles'!$C$18*INDEX('Lease Cycles'!$CB$18:$CH$18,1,AZ180)*(1+INDEX('Lease Cycles'!$CI$18:$CO$18,1,AZ180))^INT(INT(AZ181/12)/INDEX('Lease Cycles'!$CP$18:$CV$18,1,AZ180))/12)))),'Lease Cycles'!$C$18*INDEX('Lease Cycles'!$CB$18:$CH$18,1,AZ180)*(1+INDEX('Lease Cycles'!$CI$18:$CO$18,1,AZ180))^INT(INT(AZ181/12)/INDEX('Lease Cycles'!$CP$18:$CV$18,1,AZ180))/12))),IF('Lease Cycles'!$N$18=1,'Lease Cycles'!$C$18*'Lease Cycles'!$E$18*INDEX('Lease Cycles'!$HE$18:$HK$18,1,AZ180)*(1+INDEX('Lease Cycles'!$GQ$18:$GW$18,1,AZ180))^INT(INT((AZ$6-INDEX('Lease Cycles'!$GJ$18:$GP$18,1,AZ180))/12)/INDEX('Lease Cycles'!$GX$18:$HD$18,1,AZ180))/12,0)))</f>
        <v>0</v>
      </c>
      <c r="BA183" s="28">
        <f>IF(BA180=0,IF('Lease Cycles'!$F$18&gt;0,'Lease Cycles'!$C$18*'Lease Cycles'!$E$18/12,0),IF(BA182=1,IF('Lease Cycles'!$AT$18&gt;=9999,'Lease Cycles'!$C$18*INDEX('Lease Cycles'!$CB$18:$CH$18,1,BA180)*(1+INDEX('Lease Cycles'!$CI$18:$CO$18,1,BA180))^INT(INT(BA181/12)/INDEX('Lease Cycles'!$CP$18:$CV$18,1,BA180))/12,IF(BA180=1,IF(BA181&gt;=INDEX('Lease Cycles'!$DK$18:$DQ$18,1,BA180),IF(BA$6&gt;='Lease Cycles'!$AZ$18,'Lease Cycles'!$C$18*'Lease Cycles'!$BA$18/12,IF(BA$6&gt;='Lease Cycles'!$AX$18,'Lease Cycles'!$C$18*'Lease Cycles'!$AY$18/12,IF(BA$6&gt;='Lease Cycles'!$AV$18,'Lease Cycles'!$C$18*'Lease Cycles'!$AW$18/12,IF(BA$6&gt;='Lease Cycles'!$AT$18,'Lease Cycles'!$C$18*'Lease Cycles'!$AU$18/12,'Lease Cycles'!$C$18*INDEX('Lease Cycles'!$CB$18:$CH$18,1,BA180)*(1+INDEX('Lease Cycles'!$CI$18:$CO$18,1,BA180))^INT(INT(BA181/12)/INDEX('Lease Cycles'!$CP$18:$CV$18,1,BA180))/12)))),'Lease Cycles'!$C$18*INDEX('Lease Cycles'!$CB$18:$CH$18,1,BA180)*(1+INDEX('Lease Cycles'!$CI$18:$CO$18,1,BA180))^INT(INT(BA181/12)/INDEX('Lease Cycles'!$CP$18:$CV$18,1,BA180))/12),IF(INDEX('Lease Cycles'!$EF$18:$EL$18,1,BA180)=1,IF(AND('Lease Cycles'!$AZ$18&gt;=INDEX('Lease Cycles'!$BG$18:$BM$18,1,BA180),'Lease Cycles'!$AZ$18&lt;=BA$6),'Lease Cycles'!$C$18*'Lease Cycles'!$BA$18/12,IF(AND('Lease Cycles'!$AX$18&gt;=INDEX('Lease Cycles'!$BG$18:$BM$18,1,BA180),'Lease Cycles'!$AX$18&lt;=BA$6),'Lease Cycles'!$C$18*'Lease Cycles'!$AY$18/12,IF(AND('Lease Cycles'!$AV$18&gt;=INDEX('Lease Cycles'!$BG$18:$BM$18,1,BA180),'Lease Cycles'!$AV$18&lt;=BA$6),'Lease Cycles'!$C$18*'Lease Cycles'!$AW$18/12,IF(AND('Lease Cycles'!$AT$18&gt;=INDEX('Lease Cycles'!$BG$18:$BM$18,1,BA180),'Lease Cycles'!$AT$18&lt;=BA$6),'Lease Cycles'!$C$18*'Lease Cycles'!$AU$18/12,'Lease Cycles'!$C$18*INDEX('Lease Cycles'!$CB$18:$CH$18,1,BA180)*(1+INDEX('Lease Cycles'!$CI$18:$CO$18,1,BA180))^INT(INT(BA181/12)/INDEX('Lease Cycles'!$CP$18:$CV$18,1,BA180))/12)))),'Lease Cycles'!$C$18*INDEX('Lease Cycles'!$CB$18:$CH$18,1,BA180)*(1+INDEX('Lease Cycles'!$CI$18:$CO$18,1,BA180))^INT(INT(BA181/12)/INDEX('Lease Cycles'!$CP$18:$CV$18,1,BA180))/12))),IF('Lease Cycles'!$N$18=1,'Lease Cycles'!$C$18*'Lease Cycles'!$E$18*INDEX('Lease Cycles'!$HE$18:$HK$18,1,BA180)*(1+INDEX('Lease Cycles'!$GQ$18:$GW$18,1,BA180))^INT(INT((BA$6-INDEX('Lease Cycles'!$GJ$18:$GP$18,1,BA180))/12)/INDEX('Lease Cycles'!$GX$18:$HD$18,1,BA180))/12,0)))</f>
        <v>0</v>
      </c>
      <c r="BB183" s="28">
        <f>IF(BB180=0,IF('Lease Cycles'!$F$18&gt;0,'Lease Cycles'!$C$18*'Lease Cycles'!$E$18/12,0),IF(BB182=1,IF('Lease Cycles'!$AT$18&gt;=9999,'Lease Cycles'!$C$18*INDEX('Lease Cycles'!$CB$18:$CH$18,1,BB180)*(1+INDEX('Lease Cycles'!$CI$18:$CO$18,1,BB180))^INT(INT(BB181/12)/INDEX('Lease Cycles'!$CP$18:$CV$18,1,BB180))/12,IF(BB180=1,IF(BB181&gt;=INDEX('Lease Cycles'!$DK$18:$DQ$18,1,BB180),IF(BB$6&gt;='Lease Cycles'!$AZ$18,'Lease Cycles'!$C$18*'Lease Cycles'!$BA$18/12,IF(BB$6&gt;='Lease Cycles'!$AX$18,'Lease Cycles'!$C$18*'Lease Cycles'!$AY$18/12,IF(BB$6&gt;='Lease Cycles'!$AV$18,'Lease Cycles'!$C$18*'Lease Cycles'!$AW$18/12,IF(BB$6&gt;='Lease Cycles'!$AT$18,'Lease Cycles'!$C$18*'Lease Cycles'!$AU$18/12,'Lease Cycles'!$C$18*INDEX('Lease Cycles'!$CB$18:$CH$18,1,BB180)*(1+INDEX('Lease Cycles'!$CI$18:$CO$18,1,BB180))^INT(INT(BB181/12)/INDEX('Lease Cycles'!$CP$18:$CV$18,1,BB180))/12)))),'Lease Cycles'!$C$18*INDEX('Lease Cycles'!$CB$18:$CH$18,1,BB180)*(1+INDEX('Lease Cycles'!$CI$18:$CO$18,1,BB180))^INT(INT(BB181/12)/INDEX('Lease Cycles'!$CP$18:$CV$18,1,BB180))/12),IF(INDEX('Lease Cycles'!$EF$18:$EL$18,1,BB180)=1,IF(AND('Lease Cycles'!$AZ$18&gt;=INDEX('Lease Cycles'!$BG$18:$BM$18,1,BB180),'Lease Cycles'!$AZ$18&lt;=BB$6),'Lease Cycles'!$C$18*'Lease Cycles'!$BA$18/12,IF(AND('Lease Cycles'!$AX$18&gt;=INDEX('Lease Cycles'!$BG$18:$BM$18,1,BB180),'Lease Cycles'!$AX$18&lt;=BB$6),'Lease Cycles'!$C$18*'Lease Cycles'!$AY$18/12,IF(AND('Lease Cycles'!$AV$18&gt;=INDEX('Lease Cycles'!$BG$18:$BM$18,1,BB180),'Lease Cycles'!$AV$18&lt;=BB$6),'Lease Cycles'!$C$18*'Lease Cycles'!$AW$18/12,IF(AND('Lease Cycles'!$AT$18&gt;=INDEX('Lease Cycles'!$BG$18:$BM$18,1,BB180),'Lease Cycles'!$AT$18&lt;=BB$6),'Lease Cycles'!$C$18*'Lease Cycles'!$AU$18/12,'Lease Cycles'!$C$18*INDEX('Lease Cycles'!$CB$18:$CH$18,1,BB180)*(1+INDEX('Lease Cycles'!$CI$18:$CO$18,1,BB180))^INT(INT(BB181/12)/INDEX('Lease Cycles'!$CP$18:$CV$18,1,BB180))/12)))),'Lease Cycles'!$C$18*INDEX('Lease Cycles'!$CB$18:$CH$18,1,BB180)*(1+INDEX('Lease Cycles'!$CI$18:$CO$18,1,BB180))^INT(INT(BB181/12)/INDEX('Lease Cycles'!$CP$18:$CV$18,1,BB180))/12))),IF('Lease Cycles'!$N$18=1,'Lease Cycles'!$C$18*'Lease Cycles'!$E$18*INDEX('Lease Cycles'!$HE$18:$HK$18,1,BB180)*(1+INDEX('Lease Cycles'!$GQ$18:$GW$18,1,BB180))^INT(INT((BB$6-INDEX('Lease Cycles'!$GJ$18:$GP$18,1,BB180))/12)/INDEX('Lease Cycles'!$GX$18:$HD$18,1,BB180))/12,0)))</f>
        <v>0</v>
      </c>
      <c r="BC183" s="28">
        <f>IF(BC180=0,IF('Lease Cycles'!$F$18&gt;0,'Lease Cycles'!$C$18*'Lease Cycles'!$E$18/12,0),IF(BC182=1,IF('Lease Cycles'!$AT$18&gt;=9999,'Lease Cycles'!$C$18*INDEX('Lease Cycles'!$CB$18:$CH$18,1,BC180)*(1+INDEX('Lease Cycles'!$CI$18:$CO$18,1,BC180))^INT(INT(BC181/12)/INDEX('Lease Cycles'!$CP$18:$CV$18,1,BC180))/12,IF(BC180=1,IF(BC181&gt;=INDEX('Lease Cycles'!$DK$18:$DQ$18,1,BC180),IF(BC$6&gt;='Lease Cycles'!$AZ$18,'Lease Cycles'!$C$18*'Lease Cycles'!$BA$18/12,IF(BC$6&gt;='Lease Cycles'!$AX$18,'Lease Cycles'!$C$18*'Lease Cycles'!$AY$18/12,IF(BC$6&gt;='Lease Cycles'!$AV$18,'Lease Cycles'!$C$18*'Lease Cycles'!$AW$18/12,IF(BC$6&gt;='Lease Cycles'!$AT$18,'Lease Cycles'!$C$18*'Lease Cycles'!$AU$18/12,'Lease Cycles'!$C$18*INDEX('Lease Cycles'!$CB$18:$CH$18,1,BC180)*(1+INDEX('Lease Cycles'!$CI$18:$CO$18,1,BC180))^INT(INT(BC181/12)/INDEX('Lease Cycles'!$CP$18:$CV$18,1,BC180))/12)))),'Lease Cycles'!$C$18*INDEX('Lease Cycles'!$CB$18:$CH$18,1,BC180)*(1+INDEX('Lease Cycles'!$CI$18:$CO$18,1,BC180))^INT(INT(BC181/12)/INDEX('Lease Cycles'!$CP$18:$CV$18,1,BC180))/12),IF(INDEX('Lease Cycles'!$EF$18:$EL$18,1,BC180)=1,IF(AND('Lease Cycles'!$AZ$18&gt;=INDEX('Lease Cycles'!$BG$18:$BM$18,1,BC180),'Lease Cycles'!$AZ$18&lt;=BC$6),'Lease Cycles'!$C$18*'Lease Cycles'!$BA$18/12,IF(AND('Lease Cycles'!$AX$18&gt;=INDEX('Lease Cycles'!$BG$18:$BM$18,1,BC180),'Lease Cycles'!$AX$18&lt;=BC$6),'Lease Cycles'!$C$18*'Lease Cycles'!$AY$18/12,IF(AND('Lease Cycles'!$AV$18&gt;=INDEX('Lease Cycles'!$BG$18:$BM$18,1,BC180),'Lease Cycles'!$AV$18&lt;=BC$6),'Lease Cycles'!$C$18*'Lease Cycles'!$AW$18/12,IF(AND('Lease Cycles'!$AT$18&gt;=INDEX('Lease Cycles'!$BG$18:$BM$18,1,BC180),'Lease Cycles'!$AT$18&lt;=BC$6),'Lease Cycles'!$C$18*'Lease Cycles'!$AU$18/12,'Lease Cycles'!$C$18*INDEX('Lease Cycles'!$CB$18:$CH$18,1,BC180)*(1+INDEX('Lease Cycles'!$CI$18:$CO$18,1,BC180))^INT(INT(BC181/12)/INDEX('Lease Cycles'!$CP$18:$CV$18,1,BC180))/12)))),'Lease Cycles'!$C$18*INDEX('Lease Cycles'!$CB$18:$CH$18,1,BC180)*(1+INDEX('Lease Cycles'!$CI$18:$CO$18,1,BC180))^INT(INT(BC181/12)/INDEX('Lease Cycles'!$CP$18:$CV$18,1,BC180))/12))),IF('Lease Cycles'!$N$18=1,'Lease Cycles'!$C$18*'Lease Cycles'!$E$18*INDEX('Lease Cycles'!$HE$18:$HK$18,1,BC180)*(1+INDEX('Lease Cycles'!$GQ$18:$GW$18,1,BC180))^INT(INT((BC$6-INDEX('Lease Cycles'!$GJ$18:$GP$18,1,BC180))/12)/INDEX('Lease Cycles'!$GX$18:$HD$18,1,BC180))/12,0)))</f>
        <v>0</v>
      </c>
      <c r="BD183" s="28">
        <f>IF(BD180=0,IF('Lease Cycles'!$F$18&gt;0,'Lease Cycles'!$C$18*'Lease Cycles'!$E$18/12,0),IF(BD182=1,IF('Lease Cycles'!$AT$18&gt;=9999,'Lease Cycles'!$C$18*INDEX('Lease Cycles'!$CB$18:$CH$18,1,BD180)*(1+INDEX('Lease Cycles'!$CI$18:$CO$18,1,BD180))^INT(INT(BD181/12)/INDEX('Lease Cycles'!$CP$18:$CV$18,1,BD180))/12,IF(BD180=1,IF(BD181&gt;=INDEX('Lease Cycles'!$DK$18:$DQ$18,1,BD180),IF(BD$6&gt;='Lease Cycles'!$AZ$18,'Lease Cycles'!$C$18*'Lease Cycles'!$BA$18/12,IF(BD$6&gt;='Lease Cycles'!$AX$18,'Lease Cycles'!$C$18*'Lease Cycles'!$AY$18/12,IF(BD$6&gt;='Lease Cycles'!$AV$18,'Lease Cycles'!$C$18*'Lease Cycles'!$AW$18/12,IF(BD$6&gt;='Lease Cycles'!$AT$18,'Lease Cycles'!$C$18*'Lease Cycles'!$AU$18/12,'Lease Cycles'!$C$18*INDEX('Lease Cycles'!$CB$18:$CH$18,1,BD180)*(1+INDEX('Lease Cycles'!$CI$18:$CO$18,1,BD180))^INT(INT(BD181/12)/INDEX('Lease Cycles'!$CP$18:$CV$18,1,BD180))/12)))),'Lease Cycles'!$C$18*INDEX('Lease Cycles'!$CB$18:$CH$18,1,BD180)*(1+INDEX('Lease Cycles'!$CI$18:$CO$18,1,BD180))^INT(INT(BD181/12)/INDEX('Lease Cycles'!$CP$18:$CV$18,1,BD180))/12),IF(INDEX('Lease Cycles'!$EF$18:$EL$18,1,BD180)=1,IF(AND('Lease Cycles'!$AZ$18&gt;=INDEX('Lease Cycles'!$BG$18:$BM$18,1,BD180),'Lease Cycles'!$AZ$18&lt;=BD$6),'Lease Cycles'!$C$18*'Lease Cycles'!$BA$18/12,IF(AND('Lease Cycles'!$AX$18&gt;=INDEX('Lease Cycles'!$BG$18:$BM$18,1,BD180),'Lease Cycles'!$AX$18&lt;=BD$6),'Lease Cycles'!$C$18*'Lease Cycles'!$AY$18/12,IF(AND('Lease Cycles'!$AV$18&gt;=INDEX('Lease Cycles'!$BG$18:$BM$18,1,BD180),'Lease Cycles'!$AV$18&lt;=BD$6),'Lease Cycles'!$C$18*'Lease Cycles'!$AW$18/12,IF(AND('Lease Cycles'!$AT$18&gt;=INDEX('Lease Cycles'!$BG$18:$BM$18,1,BD180),'Lease Cycles'!$AT$18&lt;=BD$6),'Lease Cycles'!$C$18*'Lease Cycles'!$AU$18/12,'Lease Cycles'!$C$18*INDEX('Lease Cycles'!$CB$18:$CH$18,1,BD180)*(1+INDEX('Lease Cycles'!$CI$18:$CO$18,1,BD180))^INT(INT(BD181/12)/INDEX('Lease Cycles'!$CP$18:$CV$18,1,BD180))/12)))),'Lease Cycles'!$C$18*INDEX('Lease Cycles'!$CB$18:$CH$18,1,BD180)*(1+INDEX('Lease Cycles'!$CI$18:$CO$18,1,BD180))^INT(INT(BD181/12)/INDEX('Lease Cycles'!$CP$18:$CV$18,1,BD180))/12))),IF('Lease Cycles'!$N$18=1,'Lease Cycles'!$C$18*'Lease Cycles'!$E$18*INDEX('Lease Cycles'!$HE$18:$HK$18,1,BD180)*(1+INDEX('Lease Cycles'!$GQ$18:$GW$18,1,BD180))^INT(INT((BD$6-INDEX('Lease Cycles'!$GJ$18:$GP$18,1,BD180))/12)/INDEX('Lease Cycles'!$GX$18:$HD$18,1,BD180))/12,0)))</f>
        <v>0</v>
      </c>
      <c r="BE183" s="28">
        <f>IF(BE180=0,IF('Lease Cycles'!$F$18&gt;0,'Lease Cycles'!$C$18*'Lease Cycles'!$E$18/12,0),IF(BE182=1,IF('Lease Cycles'!$AT$18&gt;=9999,'Lease Cycles'!$C$18*INDEX('Lease Cycles'!$CB$18:$CH$18,1,BE180)*(1+INDEX('Lease Cycles'!$CI$18:$CO$18,1,BE180))^INT(INT(BE181/12)/INDEX('Lease Cycles'!$CP$18:$CV$18,1,BE180))/12,IF(BE180=1,IF(BE181&gt;=INDEX('Lease Cycles'!$DK$18:$DQ$18,1,BE180),IF(BE$6&gt;='Lease Cycles'!$AZ$18,'Lease Cycles'!$C$18*'Lease Cycles'!$BA$18/12,IF(BE$6&gt;='Lease Cycles'!$AX$18,'Lease Cycles'!$C$18*'Lease Cycles'!$AY$18/12,IF(BE$6&gt;='Lease Cycles'!$AV$18,'Lease Cycles'!$C$18*'Lease Cycles'!$AW$18/12,IF(BE$6&gt;='Lease Cycles'!$AT$18,'Lease Cycles'!$C$18*'Lease Cycles'!$AU$18/12,'Lease Cycles'!$C$18*INDEX('Lease Cycles'!$CB$18:$CH$18,1,BE180)*(1+INDEX('Lease Cycles'!$CI$18:$CO$18,1,BE180))^INT(INT(BE181/12)/INDEX('Lease Cycles'!$CP$18:$CV$18,1,BE180))/12)))),'Lease Cycles'!$C$18*INDEX('Lease Cycles'!$CB$18:$CH$18,1,BE180)*(1+INDEX('Lease Cycles'!$CI$18:$CO$18,1,BE180))^INT(INT(BE181/12)/INDEX('Lease Cycles'!$CP$18:$CV$18,1,BE180))/12),IF(INDEX('Lease Cycles'!$EF$18:$EL$18,1,BE180)=1,IF(AND('Lease Cycles'!$AZ$18&gt;=INDEX('Lease Cycles'!$BG$18:$BM$18,1,BE180),'Lease Cycles'!$AZ$18&lt;=BE$6),'Lease Cycles'!$C$18*'Lease Cycles'!$BA$18/12,IF(AND('Lease Cycles'!$AX$18&gt;=INDEX('Lease Cycles'!$BG$18:$BM$18,1,BE180),'Lease Cycles'!$AX$18&lt;=BE$6),'Lease Cycles'!$C$18*'Lease Cycles'!$AY$18/12,IF(AND('Lease Cycles'!$AV$18&gt;=INDEX('Lease Cycles'!$BG$18:$BM$18,1,BE180),'Lease Cycles'!$AV$18&lt;=BE$6),'Lease Cycles'!$C$18*'Lease Cycles'!$AW$18/12,IF(AND('Lease Cycles'!$AT$18&gt;=INDEX('Lease Cycles'!$BG$18:$BM$18,1,BE180),'Lease Cycles'!$AT$18&lt;=BE$6),'Lease Cycles'!$C$18*'Lease Cycles'!$AU$18/12,'Lease Cycles'!$C$18*INDEX('Lease Cycles'!$CB$18:$CH$18,1,BE180)*(1+INDEX('Lease Cycles'!$CI$18:$CO$18,1,BE180))^INT(INT(BE181/12)/INDEX('Lease Cycles'!$CP$18:$CV$18,1,BE180))/12)))),'Lease Cycles'!$C$18*INDEX('Lease Cycles'!$CB$18:$CH$18,1,BE180)*(1+INDEX('Lease Cycles'!$CI$18:$CO$18,1,BE180))^INT(INT(BE181/12)/INDEX('Lease Cycles'!$CP$18:$CV$18,1,BE180))/12))),IF('Lease Cycles'!$N$18=1,'Lease Cycles'!$C$18*'Lease Cycles'!$E$18*INDEX('Lease Cycles'!$HE$18:$HK$18,1,BE180)*(1+INDEX('Lease Cycles'!$GQ$18:$GW$18,1,BE180))^INT(INT((BE$6-INDEX('Lease Cycles'!$GJ$18:$GP$18,1,BE180))/12)/INDEX('Lease Cycles'!$GX$18:$HD$18,1,BE180))/12,0)))</f>
        <v>0</v>
      </c>
      <c r="BF183" s="28">
        <f>IF(BF180=0,IF('Lease Cycles'!$F$18&gt;0,'Lease Cycles'!$C$18*'Lease Cycles'!$E$18/12,0),IF(BF182=1,IF('Lease Cycles'!$AT$18&gt;=9999,'Lease Cycles'!$C$18*INDEX('Lease Cycles'!$CB$18:$CH$18,1,BF180)*(1+INDEX('Lease Cycles'!$CI$18:$CO$18,1,BF180))^INT(INT(BF181/12)/INDEX('Lease Cycles'!$CP$18:$CV$18,1,BF180))/12,IF(BF180=1,IF(BF181&gt;=INDEX('Lease Cycles'!$DK$18:$DQ$18,1,BF180),IF(BF$6&gt;='Lease Cycles'!$AZ$18,'Lease Cycles'!$C$18*'Lease Cycles'!$BA$18/12,IF(BF$6&gt;='Lease Cycles'!$AX$18,'Lease Cycles'!$C$18*'Lease Cycles'!$AY$18/12,IF(BF$6&gt;='Lease Cycles'!$AV$18,'Lease Cycles'!$C$18*'Lease Cycles'!$AW$18/12,IF(BF$6&gt;='Lease Cycles'!$AT$18,'Lease Cycles'!$C$18*'Lease Cycles'!$AU$18/12,'Lease Cycles'!$C$18*INDEX('Lease Cycles'!$CB$18:$CH$18,1,BF180)*(1+INDEX('Lease Cycles'!$CI$18:$CO$18,1,BF180))^INT(INT(BF181/12)/INDEX('Lease Cycles'!$CP$18:$CV$18,1,BF180))/12)))),'Lease Cycles'!$C$18*INDEX('Lease Cycles'!$CB$18:$CH$18,1,BF180)*(1+INDEX('Lease Cycles'!$CI$18:$CO$18,1,BF180))^INT(INT(BF181/12)/INDEX('Lease Cycles'!$CP$18:$CV$18,1,BF180))/12),IF(INDEX('Lease Cycles'!$EF$18:$EL$18,1,BF180)=1,IF(AND('Lease Cycles'!$AZ$18&gt;=INDEX('Lease Cycles'!$BG$18:$BM$18,1,BF180),'Lease Cycles'!$AZ$18&lt;=BF$6),'Lease Cycles'!$C$18*'Lease Cycles'!$BA$18/12,IF(AND('Lease Cycles'!$AX$18&gt;=INDEX('Lease Cycles'!$BG$18:$BM$18,1,BF180),'Lease Cycles'!$AX$18&lt;=BF$6),'Lease Cycles'!$C$18*'Lease Cycles'!$AY$18/12,IF(AND('Lease Cycles'!$AV$18&gt;=INDEX('Lease Cycles'!$BG$18:$BM$18,1,BF180),'Lease Cycles'!$AV$18&lt;=BF$6),'Lease Cycles'!$C$18*'Lease Cycles'!$AW$18/12,IF(AND('Lease Cycles'!$AT$18&gt;=INDEX('Lease Cycles'!$BG$18:$BM$18,1,BF180),'Lease Cycles'!$AT$18&lt;=BF$6),'Lease Cycles'!$C$18*'Lease Cycles'!$AU$18/12,'Lease Cycles'!$C$18*INDEX('Lease Cycles'!$CB$18:$CH$18,1,BF180)*(1+INDEX('Lease Cycles'!$CI$18:$CO$18,1,BF180))^INT(INT(BF181/12)/INDEX('Lease Cycles'!$CP$18:$CV$18,1,BF180))/12)))),'Lease Cycles'!$C$18*INDEX('Lease Cycles'!$CB$18:$CH$18,1,BF180)*(1+INDEX('Lease Cycles'!$CI$18:$CO$18,1,BF180))^INT(INT(BF181/12)/INDEX('Lease Cycles'!$CP$18:$CV$18,1,BF180))/12))),IF('Lease Cycles'!$N$18=1,'Lease Cycles'!$C$18*'Lease Cycles'!$E$18*INDEX('Lease Cycles'!$HE$18:$HK$18,1,BF180)*(1+INDEX('Lease Cycles'!$GQ$18:$GW$18,1,BF180))^INT(INT((BF$6-INDEX('Lease Cycles'!$GJ$18:$GP$18,1,BF180))/12)/INDEX('Lease Cycles'!$GX$18:$HD$18,1,BF180))/12,0)))</f>
        <v>0</v>
      </c>
      <c r="BG183" s="28">
        <f>IF(BG180=0,IF('Lease Cycles'!$F$18&gt;0,'Lease Cycles'!$C$18*'Lease Cycles'!$E$18/12,0),IF(BG182=1,IF('Lease Cycles'!$AT$18&gt;=9999,'Lease Cycles'!$C$18*INDEX('Lease Cycles'!$CB$18:$CH$18,1,BG180)*(1+INDEX('Lease Cycles'!$CI$18:$CO$18,1,BG180))^INT(INT(BG181/12)/INDEX('Lease Cycles'!$CP$18:$CV$18,1,BG180))/12,IF(BG180=1,IF(BG181&gt;=INDEX('Lease Cycles'!$DK$18:$DQ$18,1,BG180),IF(BG$6&gt;='Lease Cycles'!$AZ$18,'Lease Cycles'!$C$18*'Lease Cycles'!$BA$18/12,IF(BG$6&gt;='Lease Cycles'!$AX$18,'Lease Cycles'!$C$18*'Lease Cycles'!$AY$18/12,IF(BG$6&gt;='Lease Cycles'!$AV$18,'Lease Cycles'!$C$18*'Lease Cycles'!$AW$18/12,IF(BG$6&gt;='Lease Cycles'!$AT$18,'Lease Cycles'!$C$18*'Lease Cycles'!$AU$18/12,'Lease Cycles'!$C$18*INDEX('Lease Cycles'!$CB$18:$CH$18,1,BG180)*(1+INDEX('Lease Cycles'!$CI$18:$CO$18,1,BG180))^INT(INT(BG181/12)/INDEX('Lease Cycles'!$CP$18:$CV$18,1,BG180))/12)))),'Lease Cycles'!$C$18*INDEX('Lease Cycles'!$CB$18:$CH$18,1,BG180)*(1+INDEX('Lease Cycles'!$CI$18:$CO$18,1,BG180))^INT(INT(BG181/12)/INDEX('Lease Cycles'!$CP$18:$CV$18,1,BG180))/12),IF(INDEX('Lease Cycles'!$EF$18:$EL$18,1,BG180)=1,IF(AND('Lease Cycles'!$AZ$18&gt;=INDEX('Lease Cycles'!$BG$18:$BM$18,1,BG180),'Lease Cycles'!$AZ$18&lt;=BG$6),'Lease Cycles'!$C$18*'Lease Cycles'!$BA$18/12,IF(AND('Lease Cycles'!$AX$18&gt;=INDEX('Lease Cycles'!$BG$18:$BM$18,1,BG180),'Lease Cycles'!$AX$18&lt;=BG$6),'Lease Cycles'!$C$18*'Lease Cycles'!$AY$18/12,IF(AND('Lease Cycles'!$AV$18&gt;=INDEX('Lease Cycles'!$BG$18:$BM$18,1,BG180),'Lease Cycles'!$AV$18&lt;=BG$6),'Lease Cycles'!$C$18*'Lease Cycles'!$AW$18/12,IF(AND('Lease Cycles'!$AT$18&gt;=INDEX('Lease Cycles'!$BG$18:$BM$18,1,BG180),'Lease Cycles'!$AT$18&lt;=BG$6),'Lease Cycles'!$C$18*'Lease Cycles'!$AU$18/12,'Lease Cycles'!$C$18*INDEX('Lease Cycles'!$CB$18:$CH$18,1,BG180)*(1+INDEX('Lease Cycles'!$CI$18:$CO$18,1,BG180))^INT(INT(BG181/12)/INDEX('Lease Cycles'!$CP$18:$CV$18,1,BG180))/12)))),'Lease Cycles'!$C$18*INDEX('Lease Cycles'!$CB$18:$CH$18,1,BG180)*(1+INDEX('Lease Cycles'!$CI$18:$CO$18,1,BG180))^INT(INT(BG181/12)/INDEX('Lease Cycles'!$CP$18:$CV$18,1,BG180))/12))),IF('Lease Cycles'!$N$18=1,'Lease Cycles'!$C$18*'Lease Cycles'!$E$18*INDEX('Lease Cycles'!$HE$18:$HK$18,1,BG180)*(1+INDEX('Lease Cycles'!$GQ$18:$GW$18,1,BG180))^INT(INT((BG$6-INDEX('Lease Cycles'!$GJ$18:$GP$18,1,BG180))/12)/INDEX('Lease Cycles'!$GX$18:$HD$18,1,BG180))/12,0)))</f>
        <v>0</v>
      </c>
      <c r="BH183" s="28">
        <f>IF(BH180=0,IF('Lease Cycles'!$F$18&gt;0,'Lease Cycles'!$C$18*'Lease Cycles'!$E$18/12,0),IF(BH182=1,IF('Lease Cycles'!$AT$18&gt;=9999,'Lease Cycles'!$C$18*INDEX('Lease Cycles'!$CB$18:$CH$18,1,BH180)*(1+INDEX('Lease Cycles'!$CI$18:$CO$18,1,BH180))^INT(INT(BH181/12)/INDEX('Lease Cycles'!$CP$18:$CV$18,1,BH180))/12,IF(BH180=1,IF(BH181&gt;=INDEX('Lease Cycles'!$DK$18:$DQ$18,1,BH180),IF(BH$6&gt;='Lease Cycles'!$AZ$18,'Lease Cycles'!$C$18*'Lease Cycles'!$BA$18/12,IF(BH$6&gt;='Lease Cycles'!$AX$18,'Lease Cycles'!$C$18*'Lease Cycles'!$AY$18/12,IF(BH$6&gt;='Lease Cycles'!$AV$18,'Lease Cycles'!$C$18*'Lease Cycles'!$AW$18/12,IF(BH$6&gt;='Lease Cycles'!$AT$18,'Lease Cycles'!$C$18*'Lease Cycles'!$AU$18/12,'Lease Cycles'!$C$18*INDEX('Lease Cycles'!$CB$18:$CH$18,1,BH180)*(1+INDEX('Lease Cycles'!$CI$18:$CO$18,1,BH180))^INT(INT(BH181/12)/INDEX('Lease Cycles'!$CP$18:$CV$18,1,BH180))/12)))),'Lease Cycles'!$C$18*INDEX('Lease Cycles'!$CB$18:$CH$18,1,BH180)*(1+INDEX('Lease Cycles'!$CI$18:$CO$18,1,BH180))^INT(INT(BH181/12)/INDEX('Lease Cycles'!$CP$18:$CV$18,1,BH180))/12),IF(INDEX('Lease Cycles'!$EF$18:$EL$18,1,BH180)=1,IF(AND('Lease Cycles'!$AZ$18&gt;=INDEX('Lease Cycles'!$BG$18:$BM$18,1,BH180),'Lease Cycles'!$AZ$18&lt;=BH$6),'Lease Cycles'!$C$18*'Lease Cycles'!$BA$18/12,IF(AND('Lease Cycles'!$AX$18&gt;=INDEX('Lease Cycles'!$BG$18:$BM$18,1,BH180),'Lease Cycles'!$AX$18&lt;=BH$6),'Lease Cycles'!$C$18*'Lease Cycles'!$AY$18/12,IF(AND('Lease Cycles'!$AV$18&gt;=INDEX('Lease Cycles'!$BG$18:$BM$18,1,BH180),'Lease Cycles'!$AV$18&lt;=BH$6),'Lease Cycles'!$C$18*'Lease Cycles'!$AW$18/12,IF(AND('Lease Cycles'!$AT$18&gt;=INDEX('Lease Cycles'!$BG$18:$BM$18,1,BH180),'Lease Cycles'!$AT$18&lt;=BH$6),'Lease Cycles'!$C$18*'Lease Cycles'!$AU$18/12,'Lease Cycles'!$C$18*INDEX('Lease Cycles'!$CB$18:$CH$18,1,BH180)*(1+INDEX('Lease Cycles'!$CI$18:$CO$18,1,BH180))^INT(INT(BH181/12)/INDEX('Lease Cycles'!$CP$18:$CV$18,1,BH180))/12)))),'Lease Cycles'!$C$18*INDEX('Lease Cycles'!$CB$18:$CH$18,1,BH180)*(1+INDEX('Lease Cycles'!$CI$18:$CO$18,1,BH180))^INT(INT(BH181/12)/INDEX('Lease Cycles'!$CP$18:$CV$18,1,BH180))/12))),IF('Lease Cycles'!$N$18=1,'Lease Cycles'!$C$18*'Lease Cycles'!$E$18*INDEX('Lease Cycles'!$HE$18:$HK$18,1,BH180)*(1+INDEX('Lease Cycles'!$GQ$18:$GW$18,1,BH180))^INT(INT((BH$6-INDEX('Lease Cycles'!$GJ$18:$GP$18,1,BH180))/12)/INDEX('Lease Cycles'!$GX$18:$HD$18,1,BH180))/12,0)))</f>
        <v>0</v>
      </c>
      <c r="BI183" s="28">
        <f>IF(BI180=0,IF('Lease Cycles'!$F$18&gt;0,'Lease Cycles'!$C$18*'Lease Cycles'!$E$18/12,0),IF(BI182=1,IF('Lease Cycles'!$AT$18&gt;=9999,'Lease Cycles'!$C$18*INDEX('Lease Cycles'!$CB$18:$CH$18,1,BI180)*(1+INDEX('Lease Cycles'!$CI$18:$CO$18,1,BI180))^INT(INT(BI181/12)/INDEX('Lease Cycles'!$CP$18:$CV$18,1,BI180))/12,IF(BI180=1,IF(BI181&gt;=INDEX('Lease Cycles'!$DK$18:$DQ$18,1,BI180),IF(BI$6&gt;='Lease Cycles'!$AZ$18,'Lease Cycles'!$C$18*'Lease Cycles'!$BA$18/12,IF(BI$6&gt;='Lease Cycles'!$AX$18,'Lease Cycles'!$C$18*'Lease Cycles'!$AY$18/12,IF(BI$6&gt;='Lease Cycles'!$AV$18,'Lease Cycles'!$C$18*'Lease Cycles'!$AW$18/12,IF(BI$6&gt;='Lease Cycles'!$AT$18,'Lease Cycles'!$C$18*'Lease Cycles'!$AU$18/12,'Lease Cycles'!$C$18*INDEX('Lease Cycles'!$CB$18:$CH$18,1,BI180)*(1+INDEX('Lease Cycles'!$CI$18:$CO$18,1,BI180))^INT(INT(BI181/12)/INDEX('Lease Cycles'!$CP$18:$CV$18,1,BI180))/12)))),'Lease Cycles'!$C$18*INDEX('Lease Cycles'!$CB$18:$CH$18,1,BI180)*(1+INDEX('Lease Cycles'!$CI$18:$CO$18,1,BI180))^INT(INT(BI181/12)/INDEX('Lease Cycles'!$CP$18:$CV$18,1,BI180))/12),IF(INDEX('Lease Cycles'!$EF$18:$EL$18,1,BI180)=1,IF(AND('Lease Cycles'!$AZ$18&gt;=INDEX('Lease Cycles'!$BG$18:$BM$18,1,BI180),'Lease Cycles'!$AZ$18&lt;=BI$6),'Lease Cycles'!$C$18*'Lease Cycles'!$BA$18/12,IF(AND('Lease Cycles'!$AX$18&gt;=INDEX('Lease Cycles'!$BG$18:$BM$18,1,BI180),'Lease Cycles'!$AX$18&lt;=BI$6),'Lease Cycles'!$C$18*'Lease Cycles'!$AY$18/12,IF(AND('Lease Cycles'!$AV$18&gt;=INDEX('Lease Cycles'!$BG$18:$BM$18,1,BI180),'Lease Cycles'!$AV$18&lt;=BI$6),'Lease Cycles'!$C$18*'Lease Cycles'!$AW$18/12,IF(AND('Lease Cycles'!$AT$18&gt;=INDEX('Lease Cycles'!$BG$18:$BM$18,1,BI180),'Lease Cycles'!$AT$18&lt;=BI$6),'Lease Cycles'!$C$18*'Lease Cycles'!$AU$18/12,'Lease Cycles'!$C$18*INDEX('Lease Cycles'!$CB$18:$CH$18,1,BI180)*(1+INDEX('Lease Cycles'!$CI$18:$CO$18,1,BI180))^INT(INT(BI181/12)/INDEX('Lease Cycles'!$CP$18:$CV$18,1,BI180))/12)))),'Lease Cycles'!$C$18*INDEX('Lease Cycles'!$CB$18:$CH$18,1,BI180)*(1+INDEX('Lease Cycles'!$CI$18:$CO$18,1,BI180))^INT(INT(BI181/12)/INDEX('Lease Cycles'!$CP$18:$CV$18,1,BI180))/12))),IF('Lease Cycles'!$N$18=1,'Lease Cycles'!$C$18*'Lease Cycles'!$E$18*INDEX('Lease Cycles'!$HE$18:$HK$18,1,BI180)*(1+INDEX('Lease Cycles'!$GQ$18:$GW$18,1,BI180))^INT(INT((BI$6-INDEX('Lease Cycles'!$GJ$18:$GP$18,1,BI180))/12)/INDEX('Lease Cycles'!$GX$18:$HD$18,1,BI180))/12,0)))</f>
        <v>0</v>
      </c>
      <c r="BJ183" s="28">
        <f>IF(BJ180=0,IF('Lease Cycles'!$F$18&gt;0,'Lease Cycles'!$C$18*'Lease Cycles'!$E$18/12,0),IF(BJ182=1,IF('Lease Cycles'!$AT$18&gt;=9999,'Lease Cycles'!$C$18*INDEX('Lease Cycles'!$CB$18:$CH$18,1,BJ180)*(1+INDEX('Lease Cycles'!$CI$18:$CO$18,1,BJ180))^INT(INT(BJ181/12)/INDEX('Lease Cycles'!$CP$18:$CV$18,1,BJ180))/12,IF(BJ180=1,IF(BJ181&gt;=INDEX('Lease Cycles'!$DK$18:$DQ$18,1,BJ180),IF(BJ$6&gt;='Lease Cycles'!$AZ$18,'Lease Cycles'!$C$18*'Lease Cycles'!$BA$18/12,IF(BJ$6&gt;='Lease Cycles'!$AX$18,'Lease Cycles'!$C$18*'Lease Cycles'!$AY$18/12,IF(BJ$6&gt;='Lease Cycles'!$AV$18,'Lease Cycles'!$C$18*'Lease Cycles'!$AW$18/12,IF(BJ$6&gt;='Lease Cycles'!$AT$18,'Lease Cycles'!$C$18*'Lease Cycles'!$AU$18/12,'Lease Cycles'!$C$18*INDEX('Lease Cycles'!$CB$18:$CH$18,1,BJ180)*(1+INDEX('Lease Cycles'!$CI$18:$CO$18,1,BJ180))^INT(INT(BJ181/12)/INDEX('Lease Cycles'!$CP$18:$CV$18,1,BJ180))/12)))),'Lease Cycles'!$C$18*INDEX('Lease Cycles'!$CB$18:$CH$18,1,BJ180)*(1+INDEX('Lease Cycles'!$CI$18:$CO$18,1,BJ180))^INT(INT(BJ181/12)/INDEX('Lease Cycles'!$CP$18:$CV$18,1,BJ180))/12),IF(INDEX('Lease Cycles'!$EF$18:$EL$18,1,BJ180)=1,IF(AND('Lease Cycles'!$AZ$18&gt;=INDEX('Lease Cycles'!$BG$18:$BM$18,1,BJ180),'Lease Cycles'!$AZ$18&lt;=BJ$6),'Lease Cycles'!$C$18*'Lease Cycles'!$BA$18/12,IF(AND('Lease Cycles'!$AX$18&gt;=INDEX('Lease Cycles'!$BG$18:$BM$18,1,BJ180),'Lease Cycles'!$AX$18&lt;=BJ$6),'Lease Cycles'!$C$18*'Lease Cycles'!$AY$18/12,IF(AND('Lease Cycles'!$AV$18&gt;=INDEX('Lease Cycles'!$BG$18:$BM$18,1,BJ180),'Lease Cycles'!$AV$18&lt;=BJ$6),'Lease Cycles'!$C$18*'Lease Cycles'!$AW$18/12,IF(AND('Lease Cycles'!$AT$18&gt;=INDEX('Lease Cycles'!$BG$18:$BM$18,1,BJ180),'Lease Cycles'!$AT$18&lt;=BJ$6),'Lease Cycles'!$C$18*'Lease Cycles'!$AU$18/12,'Lease Cycles'!$C$18*INDEX('Lease Cycles'!$CB$18:$CH$18,1,BJ180)*(1+INDEX('Lease Cycles'!$CI$18:$CO$18,1,BJ180))^INT(INT(BJ181/12)/INDEX('Lease Cycles'!$CP$18:$CV$18,1,BJ180))/12)))),'Lease Cycles'!$C$18*INDEX('Lease Cycles'!$CB$18:$CH$18,1,BJ180)*(1+INDEX('Lease Cycles'!$CI$18:$CO$18,1,BJ180))^INT(INT(BJ181/12)/INDEX('Lease Cycles'!$CP$18:$CV$18,1,BJ180))/12))),IF('Lease Cycles'!$N$18=1,'Lease Cycles'!$C$18*'Lease Cycles'!$E$18*INDEX('Lease Cycles'!$HE$18:$HK$18,1,BJ180)*(1+INDEX('Lease Cycles'!$GQ$18:$GW$18,1,BJ180))^INT(INT((BJ$6-INDEX('Lease Cycles'!$GJ$18:$GP$18,1,BJ180))/12)/INDEX('Lease Cycles'!$GX$18:$HD$18,1,BJ180))/12,0)))</f>
        <v>0</v>
      </c>
      <c r="BK183" s="28">
        <f>IF(BK180=0,IF('Lease Cycles'!$F$18&gt;0,'Lease Cycles'!$C$18*'Lease Cycles'!$E$18/12,0),IF(BK182=1,IF('Lease Cycles'!$AT$18&gt;=9999,'Lease Cycles'!$C$18*INDEX('Lease Cycles'!$CB$18:$CH$18,1,BK180)*(1+INDEX('Lease Cycles'!$CI$18:$CO$18,1,BK180))^INT(INT(BK181/12)/INDEX('Lease Cycles'!$CP$18:$CV$18,1,BK180))/12,IF(BK180=1,IF(BK181&gt;=INDEX('Lease Cycles'!$DK$18:$DQ$18,1,BK180),IF(BK$6&gt;='Lease Cycles'!$AZ$18,'Lease Cycles'!$C$18*'Lease Cycles'!$BA$18/12,IF(BK$6&gt;='Lease Cycles'!$AX$18,'Lease Cycles'!$C$18*'Lease Cycles'!$AY$18/12,IF(BK$6&gt;='Lease Cycles'!$AV$18,'Lease Cycles'!$C$18*'Lease Cycles'!$AW$18/12,IF(BK$6&gt;='Lease Cycles'!$AT$18,'Lease Cycles'!$C$18*'Lease Cycles'!$AU$18/12,'Lease Cycles'!$C$18*INDEX('Lease Cycles'!$CB$18:$CH$18,1,BK180)*(1+INDEX('Lease Cycles'!$CI$18:$CO$18,1,BK180))^INT(INT(BK181/12)/INDEX('Lease Cycles'!$CP$18:$CV$18,1,BK180))/12)))),'Lease Cycles'!$C$18*INDEX('Lease Cycles'!$CB$18:$CH$18,1,BK180)*(1+INDEX('Lease Cycles'!$CI$18:$CO$18,1,BK180))^INT(INT(BK181/12)/INDEX('Lease Cycles'!$CP$18:$CV$18,1,BK180))/12),IF(INDEX('Lease Cycles'!$EF$18:$EL$18,1,BK180)=1,IF(AND('Lease Cycles'!$AZ$18&gt;=INDEX('Lease Cycles'!$BG$18:$BM$18,1,BK180),'Lease Cycles'!$AZ$18&lt;=BK$6),'Lease Cycles'!$C$18*'Lease Cycles'!$BA$18/12,IF(AND('Lease Cycles'!$AX$18&gt;=INDEX('Lease Cycles'!$BG$18:$BM$18,1,BK180),'Lease Cycles'!$AX$18&lt;=BK$6),'Lease Cycles'!$C$18*'Lease Cycles'!$AY$18/12,IF(AND('Lease Cycles'!$AV$18&gt;=INDEX('Lease Cycles'!$BG$18:$BM$18,1,BK180),'Lease Cycles'!$AV$18&lt;=BK$6),'Lease Cycles'!$C$18*'Lease Cycles'!$AW$18/12,IF(AND('Lease Cycles'!$AT$18&gt;=INDEX('Lease Cycles'!$BG$18:$BM$18,1,BK180),'Lease Cycles'!$AT$18&lt;=BK$6),'Lease Cycles'!$C$18*'Lease Cycles'!$AU$18/12,'Lease Cycles'!$C$18*INDEX('Lease Cycles'!$CB$18:$CH$18,1,BK180)*(1+INDEX('Lease Cycles'!$CI$18:$CO$18,1,BK180))^INT(INT(BK181/12)/INDEX('Lease Cycles'!$CP$18:$CV$18,1,BK180))/12)))),'Lease Cycles'!$C$18*INDEX('Lease Cycles'!$CB$18:$CH$18,1,BK180)*(1+INDEX('Lease Cycles'!$CI$18:$CO$18,1,BK180))^INT(INT(BK181/12)/INDEX('Lease Cycles'!$CP$18:$CV$18,1,BK180))/12))),IF('Lease Cycles'!$N$18=1,'Lease Cycles'!$C$18*'Lease Cycles'!$E$18*INDEX('Lease Cycles'!$HE$18:$HK$18,1,BK180)*(1+INDEX('Lease Cycles'!$GQ$18:$GW$18,1,BK180))^INT(INT((BK$6-INDEX('Lease Cycles'!$GJ$18:$GP$18,1,BK180))/12)/INDEX('Lease Cycles'!$GX$18:$HD$18,1,BK180))/12,0)))</f>
        <v>0</v>
      </c>
      <c r="BL183" s="28">
        <f>IF(BL180=0,IF('Lease Cycles'!$F$18&gt;0,'Lease Cycles'!$C$18*'Lease Cycles'!$E$18/12,0),IF(BL182=1,IF('Lease Cycles'!$AT$18&gt;=9999,'Lease Cycles'!$C$18*INDEX('Lease Cycles'!$CB$18:$CH$18,1,BL180)*(1+INDEX('Lease Cycles'!$CI$18:$CO$18,1,BL180))^INT(INT(BL181/12)/INDEX('Lease Cycles'!$CP$18:$CV$18,1,BL180))/12,IF(BL180=1,IF(BL181&gt;=INDEX('Lease Cycles'!$DK$18:$DQ$18,1,BL180),IF(BL$6&gt;='Lease Cycles'!$AZ$18,'Lease Cycles'!$C$18*'Lease Cycles'!$BA$18/12,IF(BL$6&gt;='Lease Cycles'!$AX$18,'Lease Cycles'!$C$18*'Lease Cycles'!$AY$18/12,IF(BL$6&gt;='Lease Cycles'!$AV$18,'Lease Cycles'!$C$18*'Lease Cycles'!$AW$18/12,IF(BL$6&gt;='Lease Cycles'!$AT$18,'Lease Cycles'!$C$18*'Lease Cycles'!$AU$18/12,'Lease Cycles'!$C$18*INDEX('Lease Cycles'!$CB$18:$CH$18,1,BL180)*(1+INDEX('Lease Cycles'!$CI$18:$CO$18,1,BL180))^INT(INT(BL181/12)/INDEX('Lease Cycles'!$CP$18:$CV$18,1,BL180))/12)))),'Lease Cycles'!$C$18*INDEX('Lease Cycles'!$CB$18:$CH$18,1,BL180)*(1+INDEX('Lease Cycles'!$CI$18:$CO$18,1,BL180))^INT(INT(BL181/12)/INDEX('Lease Cycles'!$CP$18:$CV$18,1,BL180))/12),IF(INDEX('Lease Cycles'!$EF$18:$EL$18,1,BL180)=1,IF(AND('Lease Cycles'!$AZ$18&gt;=INDEX('Lease Cycles'!$BG$18:$BM$18,1,BL180),'Lease Cycles'!$AZ$18&lt;=BL$6),'Lease Cycles'!$C$18*'Lease Cycles'!$BA$18/12,IF(AND('Lease Cycles'!$AX$18&gt;=INDEX('Lease Cycles'!$BG$18:$BM$18,1,BL180),'Lease Cycles'!$AX$18&lt;=BL$6),'Lease Cycles'!$C$18*'Lease Cycles'!$AY$18/12,IF(AND('Lease Cycles'!$AV$18&gt;=INDEX('Lease Cycles'!$BG$18:$BM$18,1,BL180),'Lease Cycles'!$AV$18&lt;=BL$6),'Lease Cycles'!$C$18*'Lease Cycles'!$AW$18/12,IF(AND('Lease Cycles'!$AT$18&gt;=INDEX('Lease Cycles'!$BG$18:$BM$18,1,BL180),'Lease Cycles'!$AT$18&lt;=BL$6),'Lease Cycles'!$C$18*'Lease Cycles'!$AU$18/12,'Lease Cycles'!$C$18*INDEX('Lease Cycles'!$CB$18:$CH$18,1,BL180)*(1+INDEX('Lease Cycles'!$CI$18:$CO$18,1,BL180))^INT(INT(BL181/12)/INDEX('Lease Cycles'!$CP$18:$CV$18,1,BL180))/12)))),'Lease Cycles'!$C$18*INDEX('Lease Cycles'!$CB$18:$CH$18,1,BL180)*(1+INDEX('Lease Cycles'!$CI$18:$CO$18,1,BL180))^INT(INT(BL181/12)/INDEX('Lease Cycles'!$CP$18:$CV$18,1,BL180))/12))),IF('Lease Cycles'!$N$18=1,'Lease Cycles'!$C$18*'Lease Cycles'!$E$18*INDEX('Lease Cycles'!$HE$18:$HK$18,1,BL180)*(1+INDEX('Lease Cycles'!$GQ$18:$GW$18,1,BL180))^INT(INT((BL$6-INDEX('Lease Cycles'!$GJ$18:$GP$18,1,BL180))/12)/INDEX('Lease Cycles'!$GX$18:$HD$18,1,BL180))/12,0)))</f>
        <v>0</v>
      </c>
      <c r="BM183" s="28">
        <f>IF(BM180=0,IF('Lease Cycles'!$F$18&gt;0,'Lease Cycles'!$C$18*'Lease Cycles'!$E$18/12,0),IF(BM182=1,IF('Lease Cycles'!$AT$18&gt;=9999,'Lease Cycles'!$C$18*INDEX('Lease Cycles'!$CB$18:$CH$18,1,BM180)*(1+INDEX('Lease Cycles'!$CI$18:$CO$18,1,BM180))^INT(INT(BM181/12)/INDEX('Lease Cycles'!$CP$18:$CV$18,1,BM180))/12,IF(BM180=1,IF(BM181&gt;=INDEX('Lease Cycles'!$DK$18:$DQ$18,1,BM180),IF(BM$6&gt;='Lease Cycles'!$AZ$18,'Lease Cycles'!$C$18*'Lease Cycles'!$BA$18/12,IF(BM$6&gt;='Lease Cycles'!$AX$18,'Lease Cycles'!$C$18*'Lease Cycles'!$AY$18/12,IF(BM$6&gt;='Lease Cycles'!$AV$18,'Lease Cycles'!$C$18*'Lease Cycles'!$AW$18/12,IF(BM$6&gt;='Lease Cycles'!$AT$18,'Lease Cycles'!$C$18*'Lease Cycles'!$AU$18/12,'Lease Cycles'!$C$18*INDEX('Lease Cycles'!$CB$18:$CH$18,1,BM180)*(1+INDEX('Lease Cycles'!$CI$18:$CO$18,1,BM180))^INT(INT(BM181/12)/INDEX('Lease Cycles'!$CP$18:$CV$18,1,BM180))/12)))),'Lease Cycles'!$C$18*INDEX('Lease Cycles'!$CB$18:$CH$18,1,BM180)*(1+INDEX('Lease Cycles'!$CI$18:$CO$18,1,BM180))^INT(INT(BM181/12)/INDEX('Lease Cycles'!$CP$18:$CV$18,1,BM180))/12),IF(INDEX('Lease Cycles'!$EF$18:$EL$18,1,BM180)=1,IF(AND('Lease Cycles'!$AZ$18&gt;=INDEX('Lease Cycles'!$BG$18:$BM$18,1,BM180),'Lease Cycles'!$AZ$18&lt;=BM$6),'Lease Cycles'!$C$18*'Lease Cycles'!$BA$18/12,IF(AND('Lease Cycles'!$AX$18&gt;=INDEX('Lease Cycles'!$BG$18:$BM$18,1,BM180),'Lease Cycles'!$AX$18&lt;=BM$6),'Lease Cycles'!$C$18*'Lease Cycles'!$AY$18/12,IF(AND('Lease Cycles'!$AV$18&gt;=INDEX('Lease Cycles'!$BG$18:$BM$18,1,BM180),'Lease Cycles'!$AV$18&lt;=BM$6),'Lease Cycles'!$C$18*'Lease Cycles'!$AW$18/12,IF(AND('Lease Cycles'!$AT$18&gt;=INDEX('Lease Cycles'!$BG$18:$BM$18,1,BM180),'Lease Cycles'!$AT$18&lt;=BM$6),'Lease Cycles'!$C$18*'Lease Cycles'!$AU$18/12,'Lease Cycles'!$C$18*INDEX('Lease Cycles'!$CB$18:$CH$18,1,BM180)*(1+INDEX('Lease Cycles'!$CI$18:$CO$18,1,BM180))^INT(INT(BM181/12)/INDEX('Lease Cycles'!$CP$18:$CV$18,1,BM180))/12)))),'Lease Cycles'!$C$18*INDEX('Lease Cycles'!$CB$18:$CH$18,1,BM180)*(1+INDEX('Lease Cycles'!$CI$18:$CO$18,1,BM180))^INT(INT(BM181/12)/INDEX('Lease Cycles'!$CP$18:$CV$18,1,BM180))/12))),IF('Lease Cycles'!$N$18=1,'Lease Cycles'!$C$18*'Lease Cycles'!$E$18*INDEX('Lease Cycles'!$HE$18:$HK$18,1,BM180)*(1+INDEX('Lease Cycles'!$GQ$18:$GW$18,1,BM180))^INT(INT((BM$6-INDEX('Lease Cycles'!$GJ$18:$GP$18,1,BM180))/12)/INDEX('Lease Cycles'!$GX$18:$HD$18,1,BM180))/12,0)))</f>
        <v>0</v>
      </c>
      <c r="BN183" s="28">
        <f>IF(BN180=0,IF('Lease Cycles'!$F$18&gt;0,'Lease Cycles'!$C$18*'Lease Cycles'!$E$18/12,0),IF(BN182=1,IF('Lease Cycles'!$AT$18&gt;=9999,'Lease Cycles'!$C$18*INDEX('Lease Cycles'!$CB$18:$CH$18,1,BN180)*(1+INDEX('Lease Cycles'!$CI$18:$CO$18,1,BN180))^INT(INT(BN181/12)/INDEX('Lease Cycles'!$CP$18:$CV$18,1,BN180))/12,IF(BN180=1,IF(BN181&gt;=INDEX('Lease Cycles'!$DK$18:$DQ$18,1,BN180),IF(BN$6&gt;='Lease Cycles'!$AZ$18,'Lease Cycles'!$C$18*'Lease Cycles'!$BA$18/12,IF(BN$6&gt;='Lease Cycles'!$AX$18,'Lease Cycles'!$C$18*'Lease Cycles'!$AY$18/12,IF(BN$6&gt;='Lease Cycles'!$AV$18,'Lease Cycles'!$C$18*'Lease Cycles'!$AW$18/12,IF(BN$6&gt;='Lease Cycles'!$AT$18,'Lease Cycles'!$C$18*'Lease Cycles'!$AU$18/12,'Lease Cycles'!$C$18*INDEX('Lease Cycles'!$CB$18:$CH$18,1,BN180)*(1+INDEX('Lease Cycles'!$CI$18:$CO$18,1,BN180))^INT(INT(BN181/12)/INDEX('Lease Cycles'!$CP$18:$CV$18,1,BN180))/12)))),'Lease Cycles'!$C$18*INDEX('Lease Cycles'!$CB$18:$CH$18,1,BN180)*(1+INDEX('Lease Cycles'!$CI$18:$CO$18,1,BN180))^INT(INT(BN181/12)/INDEX('Lease Cycles'!$CP$18:$CV$18,1,BN180))/12),IF(INDEX('Lease Cycles'!$EF$18:$EL$18,1,BN180)=1,IF(AND('Lease Cycles'!$AZ$18&gt;=INDEX('Lease Cycles'!$BG$18:$BM$18,1,BN180),'Lease Cycles'!$AZ$18&lt;=BN$6),'Lease Cycles'!$C$18*'Lease Cycles'!$BA$18/12,IF(AND('Lease Cycles'!$AX$18&gt;=INDEX('Lease Cycles'!$BG$18:$BM$18,1,BN180),'Lease Cycles'!$AX$18&lt;=BN$6),'Lease Cycles'!$C$18*'Lease Cycles'!$AY$18/12,IF(AND('Lease Cycles'!$AV$18&gt;=INDEX('Lease Cycles'!$BG$18:$BM$18,1,BN180),'Lease Cycles'!$AV$18&lt;=BN$6),'Lease Cycles'!$C$18*'Lease Cycles'!$AW$18/12,IF(AND('Lease Cycles'!$AT$18&gt;=INDEX('Lease Cycles'!$BG$18:$BM$18,1,BN180),'Lease Cycles'!$AT$18&lt;=BN$6),'Lease Cycles'!$C$18*'Lease Cycles'!$AU$18/12,'Lease Cycles'!$C$18*INDEX('Lease Cycles'!$CB$18:$CH$18,1,BN180)*(1+INDEX('Lease Cycles'!$CI$18:$CO$18,1,BN180))^INT(INT(BN181/12)/INDEX('Lease Cycles'!$CP$18:$CV$18,1,BN180))/12)))),'Lease Cycles'!$C$18*INDEX('Lease Cycles'!$CB$18:$CH$18,1,BN180)*(1+INDEX('Lease Cycles'!$CI$18:$CO$18,1,BN180))^INT(INT(BN181/12)/INDEX('Lease Cycles'!$CP$18:$CV$18,1,BN180))/12))),IF('Lease Cycles'!$N$18=1,'Lease Cycles'!$C$18*'Lease Cycles'!$E$18*INDEX('Lease Cycles'!$HE$18:$HK$18,1,BN180)*(1+INDEX('Lease Cycles'!$GQ$18:$GW$18,1,BN180))^INT(INT((BN$6-INDEX('Lease Cycles'!$GJ$18:$GP$18,1,BN180))/12)/INDEX('Lease Cycles'!$GX$18:$HD$18,1,BN180))/12,0)))</f>
        <v>0</v>
      </c>
      <c r="BO183" s="28">
        <f>IF(BO180=0,IF('Lease Cycles'!$F$18&gt;0,'Lease Cycles'!$C$18*'Lease Cycles'!$E$18/12,0),IF(BO182=1,IF('Lease Cycles'!$AT$18&gt;=9999,'Lease Cycles'!$C$18*INDEX('Lease Cycles'!$CB$18:$CH$18,1,BO180)*(1+INDEX('Lease Cycles'!$CI$18:$CO$18,1,BO180))^INT(INT(BO181/12)/INDEX('Lease Cycles'!$CP$18:$CV$18,1,BO180))/12,IF(BO180=1,IF(BO181&gt;=INDEX('Lease Cycles'!$DK$18:$DQ$18,1,BO180),IF(BO$6&gt;='Lease Cycles'!$AZ$18,'Lease Cycles'!$C$18*'Lease Cycles'!$BA$18/12,IF(BO$6&gt;='Lease Cycles'!$AX$18,'Lease Cycles'!$C$18*'Lease Cycles'!$AY$18/12,IF(BO$6&gt;='Lease Cycles'!$AV$18,'Lease Cycles'!$C$18*'Lease Cycles'!$AW$18/12,IF(BO$6&gt;='Lease Cycles'!$AT$18,'Lease Cycles'!$C$18*'Lease Cycles'!$AU$18/12,'Lease Cycles'!$C$18*INDEX('Lease Cycles'!$CB$18:$CH$18,1,BO180)*(1+INDEX('Lease Cycles'!$CI$18:$CO$18,1,BO180))^INT(INT(BO181/12)/INDEX('Lease Cycles'!$CP$18:$CV$18,1,BO180))/12)))),'Lease Cycles'!$C$18*INDEX('Lease Cycles'!$CB$18:$CH$18,1,BO180)*(1+INDEX('Lease Cycles'!$CI$18:$CO$18,1,BO180))^INT(INT(BO181/12)/INDEX('Lease Cycles'!$CP$18:$CV$18,1,BO180))/12),IF(INDEX('Lease Cycles'!$EF$18:$EL$18,1,BO180)=1,IF(AND('Lease Cycles'!$AZ$18&gt;=INDEX('Lease Cycles'!$BG$18:$BM$18,1,BO180),'Lease Cycles'!$AZ$18&lt;=BO$6),'Lease Cycles'!$C$18*'Lease Cycles'!$BA$18/12,IF(AND('Lease Cycles'!$AX$18&gt;=INDEX('Lease Cycles'!$BG$18:$BM$18,1,BO180),'Lease Cycles'!$AX$18&lt;=BO$6),'Lease Cycles'!$C$18*'Lease Cycles'!$AY$18/12,IF(AND('Lease Cycles'!$AV$18&gt;=INDEX('Lease Cycles'!$BG$18:$BM$18,1,BO180),'Lease Cycles'!$AV$18&lt;=BO$6),'Lease Cycles'!$C$18*'Lease Cycles'!$AW$18/12,IF(AND('Lease Cycles'!$AT$18&gt;=INDEX('Lease Cycles'!$BG$18:$BM$18,1,BO180),'Lease Cycles'!$AT$18&lt;=BO$6),'Lease Cycles'!$C$18*'Lease Cycles'!$AU$18/12,'Lease Cycles'!$C$18*INDEX('Lease Cycles'!$CB$18:$CH$18,1,BO180)*(1+INDEX('Lease Cycles'!$CI$18:$CO$18,1,BO180))^INT(INT(BO181/12)/INDEX('Lease Cycles'!$CP$18:$CV$18,1,BO180))/12)))),'Lease Cycles'!$C$18*INDEX('Lease Cycles'!$CB$18:$CH$18,1,BO180)*(1+INDEX('Lease Cycles'!$CI$18:$CO$18,1,BO180))^INT(INT(BO181/12)/INDEX('Lease Cycles'!$CP$18:$CV$18,1,BO180))/12))),IF('Lease Cycles'!$N$18=1,'Lease Cycles'!$C$18*'Lease Cycles'!$E$18*INDEX('Lease Cycles'!$HE$18:$HK$18,1,BO180)*(1+INDEX('Lease Cycles'!$GQ$18:$GW$18,1,BO180))^INT(INT((BO$6-INDEX('Lease Cycles'!$GJ$18:$GP$18,1,BO180))/12)/INDEX('Lease Cycles'!$GX$18:$HD$18,1,BO180))/12,0)))</f>
        <v>0</v>
      </c>
      <c r="BP183" s="28">
        <f>IF(BP180=0,IF('Lease Cycles'!$F$18&gt;0,'Lease Cycles'!$C$18*'Lease Cycles'!$E$18/12,0),IF(BP182=1,IF('Lease Cycles'!$AT$18&gt;=9999,'Lease Cycles'!$C$18*INDEX('Lease Cycles'!$CB$18:$CH$18,1,BP180)*(1+INDEX('Lease Cycles'!$CI$18:$CO$18,1,BP180))^INT(INT(BP181/12)/INDEX('Lease Cycles'!$CP$18:$CV$18,1,BP180))/12,IF(BP180=1,IF(BP181&gt;=INDEX('Lease Cycles'!$DK$18:$DQ$18,1,BP180),IF(BP$6&gt;='Lease Cycles'!$AZ$18,'Lease Cycles'!$C$18*'Lease Cycles'!$BA$18/12,IF(BP$6&gt;='Lease Cycles'!$AX$18,'Lease Cycles'!$C$18*'Lease Cycles'!$AY$18/12,IF(BP$6&gt;='Lease Cycles'!$AV$18,'Lease Cycles'!$C$18*'Lease Cycles'!$AW$18/12,IF(BP$6&gt;='Lease Cycles'!$AT$18,'Lease Cycles'!$C$18*'Lease Cycles'!$AU$18/12,'Lease Cycles'!$C$18*INDEX('Lease Cycles'!$CB$18:$CH$18,1,BP180)*(1+INDEX('Lease Cycles'!$CI$18:$CO$18,1,BP180))^INT(INT(BP181/12)/INDEX('Lease Cycles'!$CP$18:$CV$18,1,BP180))/12)))),'Lease Cycles'!$C$18*INDEX('Lease Cycles'!$CB$18:$CH$18,1,BP180)*(1+INDEX('Lease Cycles'!$CI$18:$CO$18,1,BP180))^INT(INT(BP181/12)/INDEX('Lease Cycles'!$CP$18:$CV$18,1,BP180))/12),IF(INDEX('Lease Cycles'!$EF$18:$EL$18,1,BP180)=1,IF(AND('Lease Cycles'!$AZ$18&gt;=INDEX('Lease Cycles'!$BG$18:$BM$18,1,BP180),'Lease Cycles'!$AZ$18&lt;=BP$6),'Lease Cycles'!$C$18*'Lease Cycles'!$BA$18/12,IF(AND('Lease Cycles'!$AX$18&gt;=INDEX('Lease Cycles'!$BG$18:$BM$18,1,BP180),'Lease Cycles'!$AX$18&lt;=BP$6),'Lease Cycles'!$C$18*'Lease Cycles'!$AY$18/12,IF(AND('Lease Cycles'!$AV$18&gt;=INDEX('Lease Cycles'!$BG$18:$BM$18,1,BP180),'Lease Cycles'!$AV$18&lt;=BP$6),'Lease Cycles'!$C$18*'Lease Cycles'!$AW$18/12,IF(AND('Lease Cycles'!$AT$18&gt;=INDEX('Lease Cycles'!$BG$18:$BM$18,1,BP180),'Lease Cycles'!$AT$18&lt;=BP$6),'Lease Cycles'!$C$18*'Lease Cycles'!$AU$18/12,'Lease Cycles'!$C$18*INDEX('Lease Cycles'!$CB$18:$CH$18,1,BP180)*(1+INDEX('Lease Cycles'!$CI$18:$CO$18,1,BP180))^INT(INT(BP181/12)/INDEX('Lease Cycles'!$CP$18:$CV$18,1,BP180))/12)))),'Lease Cycles'!$C$18*INDEX('Lease Cycles'!$CB$18:$CH$18,1,BP180)*(1+INDEX('Lease Cycles'!$CI$18:$CO$18,1,BP180))^INT(INT(BP181/12)/INDEX('Lease Cycles'!$CP$18:$CV$18,1,BP180))/12))),IF('Lease Cycles'!$N$18=1,'Lease Cycles'!$C$18*'Lease Cycles'!$E$18*INDEX('Lease Cycles'!$HE$18:$HK$18,1,BP180)*(1+INDEX('Lease Cycles'!$GQ$18:$GW$18,1,BP180))^INT(INT((BP$6-INDEX('Lease Cycles'!$GJ$18:$GP$18,1,BP180))/12)/INDEX('Lease Cycles'!$GX$18:$HD$18,1,BP180))/12,0)))</f>
        <v>0</v>
      </c>
      <c r="BQ183" s="28">
        <f>IF(BQ180=0,IF('Lease Cycles'!$F$18&gt;0,'Lease Cycles'!$C$18*'Lease Cycles'!$E$18/12,0),IF(BQ182=1,IF('Lease Cycles'!$AT$18&gt;=9999,'Lease Cycles'!$C$18*INDEX('Lease Cycles'!$CB$18:$CH$18,1,BQ180)*(1+INDEX('Lease Cycles'!$CI$18:$CO$18,1,BQ180))^INT(INT(BQ181/12)/INDEX('Lease Cycles'!$CP$18:$CV$18,1,BQ180))/12,IF(BQ180=1,IF(BQ181&gt;=INDEX('Lease Cycles'!$DK$18:$DQ$18,1,BQ180),IF(BQ$6&gt;='Lease Cycles'!$AZ$18,'Lease Cycles'!$C$18*'Lease Cycles'!$BA$18/12,IF(BQ$6&gt;='Lease Cycles'!$AX$18,'Lease Cycles'!$C$18*'Lease Cycles'!$AY$18/12,IF(BQ$6&gt;='Lease Cycles'!$AV$18,'Lease Cycles'!$C$18*'Lease Cycles'!$AW$18/12,IF(BQ$6&gt;='Lease Cycles'!$AT$18,'Lease Cycles'!$C$18*'Lease Cycles'!$AU$18/12,'Lease Cycles'!$C$18*INDEX('Lease Cycles'!$CB$18:$CH$18,1,BQ180)*(1+INDEX('Lease Cycles'!$CI$18:$CO$18,1,BQ180))^INT(INT(BQ181/12)/INDEX('Lease Cycles'!$CP$18:$CV$18,1,BQ180))/12)))),'Lease Cycles'!$C$18*INDEX('Lease Cycles'!$CB$18:$CH$18,1,BQ180)*(1+INDEX('Lease Cycles'!$CI$18:$CO$18,1,BQ180))^INT(INT(BQ181/12)/INDEX('Lease Cycles'!$CP$18:$CV$18,1,BQ180))/12),IF(INDEX('Lease Cycles'!$EF$18:$EL$18,1,BQ180)=1,IF(AND('Lease Cycles'!$AZ$18&gt;=INDEX('Lease Cycles'!$BG$18:$BM$18,1,BQ180),'Lease Cycles'!$AZ$18&lt;=BQ$6),'Lease Cycles'!$C$18*'Lease Cycles'!$BA$18/12,IF(AND('Lease Cycles'!$AX$18&gt;=INDEX('Lease Cycles'!$BG$18:$BM$18,1,BQ180),'Lease Cycles'!$AX$18&lt;=BQ$6),'Lease Cycles'!$C$18*'Lease Cycles'!$AY$18/12,IF(AND('Lease Cycles'!$AV$18&gt;=INDEX('Lease Cycles'!$BG$18:$BM$18,1,BQ180),'Lease Cycles'!$AV$18&lt;=BQ$6),'Lease Cycles'!$C$18*'Lease Cycles'!$AW$18/12,IF(AND('Lease Cycles'!$AT$18&gt;=INDEX('Lease Cycles'!$BG$18:$BM$18,1,BQ180),'Lease Cycles'!$AT$18&lt;=BQ$6),'Lease Cycles'!$C$18*'Lease Cycles'!$AU$18/12,'Lease Cycles'!$C$18*INDEX('Lease Cycles'!$CB$18:$CH$18,1,BQ180)*(1+INDEX('Lease Cycles'!$CI$18:$CO$18,1,BQ180))^INT(INT(BQ181/12)/INDEX('Lease Cycles'!$CP$18:$CV$18,1,BQ180))/12)))),'Lease Cycles'!$C$18*INDEX('Lease Cycles'!$CB$18:$CH$18,1,BQ180)*(1+INDEX('Lease Cycles'!$CI$18:$CO$18,1,BQ180))^INT(INT(BQ181/12)/INDEX('Lease Cycles'!$CP$18:$CV$18,1,BQ180))/12))),IF('Lease Cycles'!$N$18=1,'Lease Cycles'!$C$18*'Lease Cycles'!$E$18*INDEX('Lease Cycles'!$HE$18:$HK$18,1,BQ180)*(1+INDEX('Lease Cycles'!$GQ$18:$GW$18,1,BQ180))^INT(INT((BQ$6-INDEX('Lease Cycles'!$GJ$18:$GP$18,1,BQ180))/12)/INDEX('Lease Cycles'!$GX$18:$HD$18,1,BQ180))/12,0)))</f>
        <v>0</v>
      </c>
      <c r="BR183" s="28">
        <f>IF(BR180=0,IF('Lease Cycles'!$F$18&gt;0,'Lease Cycles'!$C$18*'Lease Cycles'!$E$18/12,0),IF(BR182=1,IF('Lease Cycles'!$AT$18&gt;=9999,'Lease Cycles'!$C$18*INDEX('Lease Cycles'!$CB$18:$CH$18,1,BR180)*(1+INDEX('Lease Cycles'!$CI$18:$CO$18,1,BR180))^INT(INT(BR181/12)/INDEX('Lease Cycles'!$CP$18:$CV$18,1,BR180))/12,IF(BR180=1,IF(BR181&gt;=INDEX('Lease Cycles'!$DK$18:$DQ$18,1,BR180),IF(BR$6&gt;='Lease Cycles'!$AZ$18,'Lease Cycles'!$C$18*'Lease Cycles'!$BA$18/12,IF(BR$6&gt;='Lease Cycles'!$AX$18,'Lease Cycles'!$C$18*'Lease Cycles'!$AY$18/12,IF(BR$6&gt;='Lease Cycles'!$AV$18,'Lease Cycles'!$C$18*'Lease Cycles'!$AW$18/12,IF(BR$6&gt;='Lease Cycles'!$AT$18,'Lease Cycles'!$C$18*'Lease Cycles'!$AU$18/12,'Lease Cycles'!$C$18*INDEX('Lease Cycles'!$CB$18:$CH$18,1,BR180)*(1+INDEX('Lease Cycles'!$CI$18:$CO$18,1,BR180))^INT(INT(BR181/12)/INDEX('Lease Cycles'!$CP$18:$CV$18,1,BR180))/12)))),'Lease Cycles'!$C$18*INDEX('Lease Cycles'!$CB$18:$CH$18,1,BR180)*(1+INDEX('Lease Cycles'!$CI$18:$CO$18,1,BR180))^INT(INT(BR181/12)/INDEX('Lease Cycles'!$CP$18:$CV$18,1,BR180))/12),IF(INDEX('Lease Cycles'!$EF$18:$EL$18,1,BR180)=1,IF(AND('Lease Cycles'!$AZ$18&gt;=INDEX('Lease Cycles'!$BG$18:$BM$18,1,BR180),'Lease Cycles'!$AZ$18&lt;=BR$6),'Lease Cycles'!$C$18*'Lease Cycles'!$BA$18/12,IF(AND('Lease Cycles'!$AX$18&gt;=INDEX('Lease Cycles'!$BG$18:$BM$18,1,BR180),'Lease Cycles'!$AX$18&lt;=BR$6),'Lease Cycles'!$C$18*'Lease Cycles'!$AY$18/12,IF(AND('Lease Cycles'!$AV$18&gt;=INDEX('Lease Cycles'!$BG$18:$BM$18,1,BR180),'Lease Cycles'!$AV$18&lt;=BR$6),'Lease Cycles'!$C$18*'Lease Cycles'!$AW$18/12,IF(AND('Lease Cycles'!$AT$18&gt;=INDEX('Lease Cycles'!$BG$18:$BM$18,1,BR180),'Lease Cycles'!$AT$18&lt;=BR$6),'Lease Cycles'!$C$18*'Lease Cycles'!$AU$18/12,'Lease Cycles'!$C$18*INDEX('Lease Cycles'!$CB$18:$CH$18,1,BR180)*(1+INDEX('Lease Cycles'!$CI$18:$CO$18,1,BR180))^INT(INT(BR181/12)/INDEX('Lease Cycles'!$CP$18:$CV$18,1,BR180))/12)))),'Lease Cycles'!$C$18*INDEX('Lease Cycles'!$CB$18:$CH$18,1,BR180)*(1+INDEX('Lease Cycles'!$CI$18:$CO$18,1,BR180))^INT(INT(BR181/12)/INDEX('Lease Cycles'!$CP$18:$CV$18,1,BR180))/12))),IF('Lease Cycles'!$N$18=1,'Lease Cycles'!$C$18*'Lease Cycles'!$E$18*INDEX('Lease Cycles'!$HE$18:$HK$18,1,BR180)*(1+INDEX('Lease Cycles'!$GQ$18:$GW$18,1,BR180))^INT(INT((BR$6-INDEX('Lease Cycles'!$GJ$18:$GP$18,1,BR180))/12)/INDEX('Lease Cycles'!$GX$18:$HD$18,1,BR180))/12,0)))</f>
        <v>0</v>
      </c>
      <c r="BS183" s="28">
        <f>IF(BS180=0,IF('Lease Cycles'!$F$18&gt;0,'Lease Cycles'!$C$18*'Lease Cycles'!$E$18/12,0),IF(BS182=1,IF('Lease Cycles'!$AT$18&gt;=9999,'Lease Cycles'!$C$18*INDEX('Lease Cycles'!$CB$18:$CH$18,1,BS180)*(1+INDEX('Lease Cycles'!$CI$18:$CO$18,1,BS180))^INT(INT(BS181/12)/INDEX('Lease Cycles'!$CP$18:$CV$18,1,BS180))/12,IF(BS180=1,IF(BS181&gt;=INDEX('Lease Cycles'!$DK$18:$DQ$18,1,BS180),IF(BS$6&gt;='Lease Cycles'!$AZ$18,'Lease Cycles'!$C$18*'Lease Cycles'!$BA$18/12,IF(BS$6&gt;='Lease Cycles'!$AX$18,'Lease Cycles'!$C$18*'Lease Cycles'!$AY$18/12,IF(BS$6&gt;='Lease Cycles'!$AV$18,'Lease Cycles'!$C$18*'Lease Cycles'!$AW$18/12,IF(BS$6&gt;='Lease Cycles'!$AT$18,'Lease Cycles'!$C$18*'Lease Cycles'!$AU$18/12,'Lease Cycles'!$C$18*INDEX('Lease Cycles'!$CB$18:$CH$18,1,BS180)*(1+INDEX('Lease Cycles'!$CI$18:$CO$18,1,BS180))^INT(INT(BS181/12)/INDEX('Lease Cycles'!$CP$18:$CV$18,1,BS180))/12)))),'Lease Cycles'!$C$18*INDEX('Lease Cycles'!$CB$18:$CH$18,1,BS180)*(1+INDEX('Lease Cycles'!$CI$18:$CO$18,1,BS180))^INT(INT(BS181/12)/INDEX('Lease Cycles'!$CP$18:$CV$18,1,BS180))/12),IF(INDEX('Lease Cycles'!$EF$18:$EL$18,1,BS180)=1,IF(AND('Lease Cycles'!$AZ$18&gt;=INDEX('Lease Cycles'!$BG$18:$BM$18,1,BS180),'Lease Cycles'!$AZ$18&lt;=BS$6),'Lease Cycles'!$C$18*'Lease Cycles'!$BA$18/12,IF(AND('Lease Cycles'!$AX$18&gt;=INDEX('Lease Cycles'!$BG$18:$BM$18,1,BS180),'Lease Cycles'!$AX$18&lt;=BS$6),'Lease Cycles'!$C$18*'Lease Cycles'!$AY$18/12,IF(AND('Lease Cycles'!$AV$18&gt;=INDEX('Lease Cycles'!$BG$18:$BM$18,1,BS180),'Lease Cycles'!$AV$18&lt;=BS$6),'Lease Cycles'!$C$18*'Lease Cycles'!$AW$18/12,IF(AND('Lease Cycles'!$AT$18&gt;=INDEX('Lease Cycles'!$BG$18:$BM$18,1,BS180),'Lease Cycles'!$AT$18&lt;=BS$6),'Lease Cycles'!$C$18*'Lease Cycles'!$AU$18/12,'Lease Cycles'!$C$18*INDEX('Lease Cycles'!$CB$18:$CH$18,1,BS180)*(1+INDEX('Lease Cycles'!$CI$18:$CO$18,1,BS180))^INT(INT(BS181/12)/INDEX('Lease Cycles'!$CP$18:$CV$18,1,BS180))/12)))),'Lease Cycles'!$C$18*INDEX('Lease Cycles'!$CB$18:$CH$18,1,BS180)*(1+INDEX('Lease Cycles'!$CI$18:$CO$18,1,BS180))^INT(INT(BS181/12)/INDEX('Lease Cycles'!$CP$18:$CV$18,1,BS180))/12))),IF('Lease Cycles'!$N$18=1,'Lease Cycles'!$C$18*'Lease Cycles'!$E$18*INDEX('Lease Cycles'!$HE$18:$HK$18,1,BS180)*(1+INDEX('Lease Cycles'!$GQ$18:$GW$18,1,BS180))^INT(INT((BS$6-INDEX('Lease Cycles'!$GJ$18:$GP$18,1,BS180))/12)/INDEX('Lease Cycles'!$GX$18:$HD$18,1,BS180))/12,0)))</f>
        <v>0</v>
      </c>
      <c r="BT183" s="28">
        <f>IF(BT180=0,IF('Lease Cycles'!$F$18&gt;0,'Lease Cycles'!$C$18*'Lease Cycles'!$E$18/12,0),IF(BT182=1,IF('Lease Cycles'!$AT$18&gt;=9999,'Lease Cycles'!$C$18*INDEX('Lease Cycles'!$CB$18:$CH$18,1,BT180)*(1+INDEX('Lease Cycles'!$CI$18:$CO$18,1,BT180))^INT(INT(BT181/12)/INDEX('Lease Cycles'!$CP$18:$CV$18,1,BT180))/12,IF(BT180=1,IF(BT181&gt;=INDEX('Lease Cycles'!$DK$18:$DQ$18,1,BT180),IF(BT$6&gt;='Lease Cycles'!$AZ$18,'Lease Cycles'!$C$18*'Lease Cycles'!$BA$18/12,IF(BT$6&gt;='Lease Cycles'!$AX$18,'Lease Cycles'!$C$18*'Lease Cycles'!$AY$18/12,IF(BT$6&gt;='Lease Cycles'!$AV$18,'Lease Cycles'!$C$18*'Lease Cycles'!$AW$18/12,IF(BT$6&gt;='Lease Cycles'!$AT$18,'Lease Cycles'!$C$18*'Lease Cycles'!$AU$18/12,'Lease Cycles'!$C$18*INDEX('Lease Cycles'!$CB$18:$CH$18,1,BT180)*(1+INDEX('Lease Cycles'!$CI$18:$CO$18,1,BT180))^INT(INT(BT181/12)/INDEX('Lease Cycles'!$CP$18:$CV$18,1,BT180))/12)))),'Lease Cycles'!$C$18*INDEX('Lease Cycles'!$CB$18:$CH$18,1,BT180)*(1+INDEX('Lease Cycles'!$CI$18:$CO$18,1,BT180))^INT(INT(BT181/12)/INDEX('Lease Cycles'!$CP$18:$CV$18,1,BT180))/12),IF(INDEX('Lease Cycles'!$EF$18:$EL$18,1,BT180)=1,IF(AND('Lease Cycles'!$AZ$18&gt;=INDEX('Lease Cycles'!$BG$18:$BM$18,1,BT180),'Lease Cycles'!$AZ$18&lt;=BT$6),'Lease Cycles'!$C$18*'Lease Cycles'!$BA$18/12,IF(AND('Lease Cycles'!$AX$18&gt;=INDEX('Lease Cycles'!$BG$18:$BM$18,1,BT180),'Lease Cycles'!$AX$18&lt;=BT$6),'Lease Cycles'!$C$18*'Lease Cycles'!$AY$18/12,IF(AND('Lease Cycles'!$AV$18&gt;=INDEX('Lease Cycles'!$BG$18:$BM$18,1,BT180),'Lease Cycles'!$AV$18&lt;=BT$6),'Lease Cycles'!$C$18*'Lease Cycles'!$AW$18/12,IF(AND('Lease Cycles'!$AT$18&gt;=INDEX('Lease Cycles'!$BG$18:$BM$18,1,BT180),'Lease Cycles'!$AT$18&lt;=BT$6),'Lease Cycles'!$C$18*'Lease Cycles'!$AU$18/12,'Lease Cycles'!$C$18*INDEX('Lease Cycles'!$CB$18:$CH$18,1,BT180)*(1+INDEX('Lease Cycles'!$CI$18:$CO$18,1,BT180))^INT(INT(BT181/12)/INDEX('Lease Cycles'!$CP$18:$CV$18,1,BT180))/12)))),'Lease Cycles'!$C$18*INDEX('Lease Cycles'!$CB$18:$CH$18,1,BT180)*(1+INDEX('Lease Cycles'!$CI$18:$CO$18,1,BT180))^INT(INT(BT181/12)/INDEX('Lease Cycles'!$CP$18:$CV$18,1,BT180))/12))),IF('Lease Cycles'!$N$18=1,'Lease Cycles'!$C$18*'Lease Cycles'!$E$18*INDEX('Lease Cycles'!$HE$18:$HK$18,1,BT180)*(1+INDEX('Lease Cycles'!$GQ$18:$GW$18,1,BT180))^INT(INT((BT$6-INDEX('Lease Cycles'!$GJ$18:$GP$18,1,BT180))/12)/INDEX('Lease Cycles'!$GX$18:$HD$18,1,BT180))/12,0)))</f>
        <v>0</v>
      </c>
      <c r="BU183" s="28">
        <f>IF(BU180=0,IF('Lease Cycles'!$F$18&gt;0,'Lease Cycles'!$C$18*'Lease Cycles'!$E$18/12,0),IF(BU182=1,IF('Lease Cycles'!$AT$18&gt;=9999,'Lease Cycles'!$C$18*INDEX('Lease Cycles'!$CB$18:$CH$18,1,BU180)*(1+INDEX('Lease Cycles'!$CI$18:$CO$18,1,BU180))^INT(INT(BU181/12)/INDEX('Lease Cycles'!$CP$18:$CV$18,1,BU180))/12,IF(BU180=1,IF(BU181&gt;=INDEX('Lease Cycles'!$DK$18:$DQ$18,1,BU180),IF(BU$6&gt;='Lease Cycles'!$AZ$18,'Lease Cycles'!$C$18*'Lease Cycles'!$BA$18/12,IF(BU$6&gt;='Lease Cycles'!$AX$18,'Lease Cycles'!$C$18*'Lease Cycles'!$AY$18/12,IF(BU$6&gt;='Lease Cycles'!$AV$18,'Lease Cycles'!$C$18*'Lease Cycles'!$AW$18/12,IF(BU$6&gt;='Lease Cycles'!$AT$18,'Lease Cycles'!$C$18*'Lease Cycles'!$AU$18/12,'Lease Cycles'!$C$18*INDEX('Lease Cycles'!$CB$18:$CH$18,1,BU180)*(1+INDEX('Lease Cycles'!$CI$18:$CO$18,1,BU180))^INT(INT(BU181/12)/INDEX('Lease Cycles'!$CP$18:$CV$18,1,BU180))/12)))),'Lease Cycles'!$C$18*INDEX('Lease Cycles'!$CB$18:$CH$18,1,BU180)*(1+INDEX('Lease Cycles'!$CI$18:$CO$18,1,BU180))^INT(INT(BU181/12)/INDEX('Lease Cycles'!$CP$18:$CV$18,1,BU180))/12),IF(INDEX('Lease Cycles'!$EF$18:$EL$18,1,BU180)=1,IF(AND('Lease Cycles'!$AZ$18&gt;=INDEX('Lease Cycles'!$BG$18:$BM$18,1,BU180),'Lease Cycles'!$AZ$18&lt;=BU$6),'Lease Cycles'!$C$18*'Lease Cycles'!$BA$18/12,IF(AND('Lease Cycles'!$AX$18&gt;=INDEX('Lease Cycles'!$BG$18:$BM$18,1,BU180),'Lease Cycles'!$AX$18&lt;=BU$6),'Lease Cycles'!$C$18*'Lease Cycles'!$AY$18/12,IF(AND('Lease Cycles'!$AV$18&gt;=INDEX('Lease Cycles'!$BG$18:$BM$18,1,BU180),'Lease Cycles'!$AV$18&lt;=BU$6),'Lease Cycles'!$C$18*'Lease Cycles'!$AW$18/12,IF(AND('Lease Cycles'!$AT$18&gt;=INDEX('Lease Cycles'!$BG$18:$BM$18,1,BU180),'Lease Cycles'!$AT$18&lt;=BU$6),'Lease Cycles'!$C$18*'Lease Cycles'!$AU$18/12,'Lease Cycles'!$C$18*INDEX('Lease Cycles'!$CB$18:$CH$18,1,BU180)*(1+INDEX('Lease Cycles'!$CI$18:$CO$18,1,BU180))^INT(INT(BU181/12)/INDEX('Lease Cycles'!$CP$18:$CV$18,1,BU180))/12)))),'Lease Cycles'!$C$18*INDEX('Lease Cycles'!$CB$18:$CH$18,1,BU180)*(1+INDEX('Lease Cycles'!$CI$18:$CO$18,1,BU180))^INT(INT(BU181/12)/INDEX('Lease Cycles'!$CP$18:$CV$18,1,BU180))/12))),IF('Lease Cycles'!$N$18=1,'Lease Cycles'!$C$18*'Lease Cycles'!$E$18*INDEX('Lease Cycles'!$HE$18:$HK$18,1,BU180)*(1+INDEX('Lease Cycles'!$GQ$18:$GW$18,1,BU180))^INT(INT((BU$6-INDEX('Lease Cycles'!$GJ$18:$GP$18,1,BU180))/12)/INDEX('Lease Cycles'!$GX$18:$HD$18,1,BU180))/12,0)))</f>
        <v>0</v>
      </c>
      <c r="BV183" s="28">
        <f>IF(BV180=0,IF('Lease Cycles'!$F$18&gt;0,'Lease Cycles'!$C$18*'Lease Cycles'!$E$18/12,0),IF(BV182=1,IF('Lease Cycles'!$AT$18&gt;=9999,'Lease Cycles'!$C$18*INDEX('Lease Cycles'!$CB$18:$CH$18,1,BV180)*(1+INDEX('Lease Cycles'!$CI$18:$CO$18,1,BV180))^INT(INT(BV181/12)/INDEX('Lease Cycles'!$CP$18:$CV$18,1,BV180))/12,IF(BV180=1,IF(BV181&gt;=INDEX('Lease Cycles'!$DK$18:$DQ$18,1,BV180),IF(BV$6&gt;='Lease Cycles'!$AZ$18,'Lease Cycles'!$C$18*'Lease Cycles'!$BA$18/12,IF(BV$6&gt;='Lease Cycles'!$AX$18,'Lease Cycles'!$C$18*'Lease Cycles'!$AY$18/12,IF(BV$6&gt;='Lease Cycles'!$AV$18,'Lease Cycles'!$C$18*'Lease Cycles'!$AW$18/12,IF(BV$6&gt;='Lease Cycles'!$AT$18,'Lease Cycles'!$C$18*'Lease Cycles'!$AU$18/12,'Lease Cycles'!$C$18*INDEX('Lease Cycles'!$CB$18:$CH$18,1,BV180)*(1+INDEX('Lease Cycles'!$CI$18:$CO$18,1,BV180))^INT(INT(BV181/12)/INDEX('Lease Cycles'!$CP$18:$CV$18,1,BV180))/12)))),'Lease Cycles'!$C$18*INDEX('Lease Cycles'!$CB$18:$CH$18,1,BV180)*(1+INDEX('Lease Cycles'!$CI$18:$CO$18,1,BV180))^INT(INT(BV181/12)/INDEX('Lease Cycles'!$CP$18:$CV$18,1,BV180))/12),IF(INDEX('Lease Cycles'!$EF$18:$EL$18,1,BV180)=1,IF(AND('Lease Cycles'!$AZ$18&gt;=INDEX('Lease Cycles'!$BG$18:$BM$18,1,BV180),'Lease Cycles'!$AZ$18&lt;=BV$6),'Lease Cycles'!$C$18*'Lease Cycles'!$BA$18/12,IF(AND('Lease Cycles'!$AX$18&gt;=INDEX('Lease Cycles'!$BG$18:$BM$18,1,BV180),'Lease Cycles'!$AX$18&lt;=BV$6),'Lease Cycles'!$C$18*'Lease Cycles'!$AY$18/12,IF(AND('Lease Cycles'!$AV$18&gt;=INDEX('Lease Cycles'!$BG$18:$BM$18,1,BV180),'Lease Cycles'!$AV$18&lt;=BV$6),'Lease Cycles'!$C$18*'Lease Cycles'!$AW$18/12,IF(AND('Lease Cycles'!$AT$18&gt;=INDEX('Lease Cycles'!$BG$18:$BM$18,1,BV180),'Lease Cycles'!$AT$18&lt;=BV$6),'Lease Cycles'!$C$18*'Lease Cycles'!$AU$18/12,'Lease Cycles'!$C$18*INDEX('Lease Cycles'!$CB$18:$CH$18,1,BV180)*(1+INDEX('Lease Cycles'!$CI$18:$CO$18,1,BV180))^INT(INT(BV181/12)/INDEX('Lease Cycles'!$CP$18:$CV$18,1,BV180))/12)))),'Lease Cycles'!$C$18*INDEX('Lease Cycles'!$CB$18:$CH$18,1,BV180)*(1+INDEX('Lease Cycles'!$CI$18:$CO$18,1,BV180))^INT(INT(BV181/12)/INDEX('Lease Cycles'!$CP$18:$CV$18,1,BV180))/12))),IF('Lease Cycles'!$N$18=1,'Lease Cycles'!$C$18*'Lease Cycles'!$E$18*INDEX('Lease Cycles'!$HE$18:$HK$18,1,BV180)*(1+INDEX('Lease Cycles'!$GQ$18:$GW$18,1,BV180))^INT(INT((BV$6-INDEX('Lease Cycles'!$GJ$18:$GP$18,1,BV180))/12)/INDEX('Lease Cycles'!$GX$18:$HD$18,1,BV180))/12,0)))</f>
        <v>0</v>
      </c>
      <c r="BW183" s="28">
        <f>IF(BW180=0,IF('Lease Cycles'!$F$18&gt;0,'Lease Cycles'!$C$18*'Lease Cycles'!$E$18/12,0),IF(BW182=1,IF('Lease Cycles'!$AT$18&gt;=9999,'Lease Cycles'!$C$18*INDEX('Lease Cycles'!$CB$18:$CH$18,1,BW180)*(1+INDEX('Lease Cycles'!$CI$18:$CO$18,1,BW180))^INT(INT(BW181/12)/INDEX('Lease Cycles'!$CP$18:$CV$18,1,BW180))/12,IF(BW180=1,IF(BW181&gt;=INDEX('Lease Cycles'!$DK$18:$DQ$18,1,BW180),IF(BW$6&gt;='Lease Cycles'!$AZ$18,'Lease Cycles'!$C$18*'Lease Cycles'!$BA$18/12,IF(BW$6&gt;='Lease Cycles'!$AX$18,'Lease Cycles'!$C$18*'Lease Cycles'!$AY$18/12,IF(BW$6&gt;='Lease Cycles'!$AV$18,'Lease Cycles'!$C$18*'Lease Cycles'!$AW$18/12,IF(BW$6&gt;='Lease Cycles'!$AT$18,'Lease Cycles'!$C$18*'Lease Cycles'!$AU$18/12,'Lease Cycles'!$C$18*INDEX('Lease Cycles'!$CB$18:$CH$18,1,BW180)*(1+INDEX('Lease Cycles'!$CI$18:$CO$18,1,BW180))^INT(INT(BW181/12)/INDEX('Lease Cycles'!$CP$18:$CV$18,1,BW180))/12)))),'Lease Cycles'!$C$18*INDEX('Lease Cycles'!$CB$18:$CH$18,1,BW180)*(1+INDEX('Lease Cycles'!$CI$18:$CO$18,1,BW180))^INT(INT(BW181/12)/INDEX('Lease Cycles'!$CP$18:$CV$18,1,BW180))/12),IF(INDEX('Lease Cycles'!$EF$18:$EL$18,1,BW180)=1,IF(AND('Lease Cycles'!$AZ$18&gt;=INDEX('Lease Cycles'!$BG$18:$BM$18,1,BW180),'Lease Cycles'!$AZ$18&lt;=BW$6),'Lease Cycles'!$C$18*'Lease Cycles'!$BA$18/12,IF(AND('Lease Cycles'!$AX$18&gt;=INDEX('Lease Cycles'!$BG$18:$BM$18,1,BW180),'Lease Cycles'!$AX$18&lt;=BW$6),'Lease Cycles'!$C$18*'Lease Cycles'!$AY$18/12,IF(AND('Lease Cycles'!$AV$18&gt;=INDEX('Lease Cycles'!$BG$18:$BM$18,1,BW180),'Lease Cycles'!$AV$18&lt;=BW$6),'Lease Cycles'!$C$18*'Lease Cycles'!$AW$18/12,IF(AND('Lease Cycles'!$AT$18&gt;=INDEX('Lease Cycles'!$BG$18:$BM$18,1,BW180),'Lease Cycles'!$AT$18&lt;=BW$6),'Lease Cycles'!$C$18*'Lease Cycles'!$AU$18/12,'Lease Cycles'!$C$18*INDEX('Lease Cycles'!$CB$18:$CH$18,1,BW180)*(1+INDEX('Lease Cycles'!$CI$18:$CO$18,1,BW180))^INT(INT(BW181/12)/INDEX('Lease Cycles'!$CP$18:$CV$18,1,BW180))/12)))),'Lease Cycles'!$C$18*INDEX('Lease Cycles'!$CB$18:$CH$18,1,BW180)*(1+INDEX('Lease Cycles'!$CI$18:$CO$18,1,BW180))^INT(INT(BW181/12)/INDEX('Lease Cycles'!$CP$18:$CV$18,1,BW180))/12))),IF('Lease Cycles'!$N$18=1,'Lease Cycles'!$C$18*'Lease Cycles'!$E$18*INDEX('Lease Cycles'!$HE$18:$HK$18,1,BW180)*(1+INDEX('Lease Cycles'!$GQ$18:$GW$18,1,BW180))^INT(INT((BW$6-INDEX('Lease Cycles'!$GJ$18:$GP$18,1,BW180))/12)/INDEX('Lease Cycles'!$GX$18:$HD$18,1,BW180))/12,0)))</f>
        <v>0</v>
      </c>
      <c r="BX183" s="28">
        <f>IF(BX180=0,IF('Lease Cycles'!$F$18&gt;0,'Lease Cycles'!$C$18*'Lease Cycles'!$E$18/12,0),IF(BX182=1,IF('Lease Cycles'!$AT$18&gt;=9999,'Lease Cycles'!$C$18*INDEX('Lease Cycles'!$CB$18:$CH$18,1,BX180)*(1+INDEX('Lease Cycles'!$CI$18:$CO$18,1,BX180))^INT(INT(BX181/12)/INDEX('Lease Cycles'!$CP$18:$CV$18,1,BX180))/12,IF(BX180=1,IF(BX181&gt;=INDEX('Lease Cycles'!$DK$18:$DQ$18,1,BX180),IF(BX$6&gt;='Lease Cycles'!$AZ$18,'Lease Cycles'!$C$18*'Lease Cycles'!$BA$18/12,IF(BX$6&gt;='Lease Cycles'!$AX$18,'Lease Cycles'!$C$18*'Lease Cycles'!$AY$18/12,IF(BX$6&gt;='Lease Cycles'!$AV$18,'Lease Cycles'!$C$18*'Lease Cycles'!$AW$18/12,IF(BX$6&gt;='Lease Cycles'!$AT$18,'Lease Cycles'!$C$18*'Lease Cycles'!$AU$18/12,'Lease Cycles'!$C$18*INDEX('Lease Cycles'!$CB$18:$CH$18,1,BX180)*(1+INDEX('Lease Cycles'!$CI$18:$CO$18,1,BX180))^INT(INT(BX181/12)/INDEX('Lease Cycles'!$CP$18:$CV$18,1,BX180))/12)))),'Lease Cycles'!$C$18*INDEX('Lease Cycles'!$CB$18:$CH$18,1,BX180)*(1+INDEX('Lease Cycles'!$CI$18:$CO$18,1,BX180))^INT(INT(BX181/12)/INDEX('Lease Cycles'!$CP$18:$CV$18,1,BX180))/12),IF(INDEX('Lease Cycles'!$EF$18:$EL$18,1,BX180)=1,IF(AND('Lease Cycles'!$AZ$18&gt;=INDEX('Lease Cycles'!$BG$18:$BM$18,1,BX180),'Lease Cycles'!$AZ$18&lt;=BX$6),'Lease Cycles'!$C$18*'Lease Cycles'!$BA$18/12,IF(AND('Lease Cycles'!$AX$18&gt;=INDEX('Lease Cycles'!$BG$18:$BM$18,1,BX180),'Lease Cycles'!$AX$18&lt;=BX$6),'Lease Cycles'!$C$18*'Lease Cycles'!$AY$18/12,IF(AND('Lease Cycles'!$AV$18&gt;=INDEX('Lease Cycles'!$BG$18:$BM$18,1,BX180),'Lease Cycles'!$AV$18&lt;=BX$6),'Lease Cycles'!$C$18*'Lease Cycles'!$AW$18/12,IF(AND('Lease Cycles'!$AT$18&gt;=INDEX('Lease Cycles'!$BG$18:$BM$18,1,BX180),'Lease Cycles'!$AT$18&lt;=BX$6),'Lease Cycles'!$C$18*'Lease Cycles'!$AU$18/12,'Lease Cycles'!$C$18*INDEX('Lease Cycles'!$CB$18:$CH$18,1,BX180)*(1+INDEX('Lease Cycles'!$CI$18:$CO$18,1,BX180))^INT(INT(BX181/12)/INDEX('Lease Cycles'!$CP$18:$CV$18,1,BX180))/12)))),'Lease Cycles'!$C$18*INDEX('Lease Cycles'!$CB$18:$CH$18,1,BX180)*(1+INDEX('Lease Cycles'!$CI$18:$CO$18,1,BX180))^INT(INT(BX181/12)/INDEX('Lease Cycles'!$CP$18:$CV$18,1,BX180))/12))),IF('Lease Cycles'!$N$18=1,'Lease Cycles'!$C$18*'Lease Cycles'!$E$18*INDEX('Lease Cycles'!$HE$18:$HK$18,1,BX180)*(1+INDEX('Lease Cycles'!$GQ$18:$GW$18,1,BX180))^INT(INT((BX$6-INDEX('Lease Cycles'!$GJ$18:$GP$18,1,BX180))/12)/INDEX('Lease Cycles'!$GX$18:$HD$18,1,BX180))/12,0)))</f>
        <v>0</v>
      </c>
      <c r="BY183" s="28">
        <f>IF(BY180=0,IF('Lease Cycles'!$F$18&gt;0,'Lease Cycles'!$C$18*'Lease Cycles'!$E$18/12,0),IF(BY182=1,IF('Lease Cycles'!$AT$18&gt;=9999,'Lease Cycles'!$C$18*INDEX('Lease Cycles'!$CB$18:$CH$18,1,BY180)*(1+INDEX('Lease Cycles'!$CI$18:$CO$18,1,BY180))^INT(INT(BY181/12)/INDEX('Lease Cycles'!$CP$18:$CV$18,1,BY180))/12,IF(BY180=1,IF(BY181&gt;=INDEX('Lease Cycles'!$DK$18:$DQ$18,1,BY180),IF(BY$6&gt;='Lease Cycles'!$AZ$18,'Lease Cycles'!$C$18*'Lease Cycles'!$BA$18/12,IF(BY$6&gt;='Lease Cycles'!$AX$18,'Lease Cycles'!$C$18*'Lease Cycles'!$AY$18/12,IF(BY$6&gt;='Lease Cycles'!$AV$18,'Lease Cycles'!$C$18*'Lease Cycles'!$AW$18/12,IF(BY$6&gt;='Lease Cycles'!$AT$18,'Lease Cycles'!$C$18*'Lease Cycles'!$AU$18/12,'Lease Cycles'!$C$18*INDEX('Lease Cycles'!$CB$18:$CH$18,1,BY180)*(1+INDEX('Lease Cycles'!$CI$18:$CO$18,1,BY180))^INT(INT(BY181/12)/INDEX('Lease Cycles'!$CP$18:$CV$18,1,BY180))/12)))),'Lease Cycles'!$C$18*INDEX('Lease Cycles'!$CB$18:$CH$18,1,BY180)*(1+INDEX('Lease Cycles'!$CI$18:$CO$18,1,BY180))^INT(INT(BY181/12)/INDEX('Lease Cycles'!$CP$18:$CV$18,1,BY180))/12),IF(INDEX('Lease Cycles'!$EF$18:$EL$18,1,BY180)=1,IF(AND('Lease Cycles'!$AZ$18&gt;=INDEX('Lease Cycles'!$BG$18:$BM$18,1,BY180),'Lease Cycles'!$AZ$18&lt;=BY$6),'Lease Cycles'!$C$18*'Lease Cycles'!$BA$18/12,IF(AND('Lease Cycles'!$AX$18&gt;=INDEX('Lease Cycles'!$BG$18:$BM$18,1,BY180),'Lease Cycles'!$AX$18&lt;=BY$6),'Lease Cycles'!$C$18*'Lease Cycles'!$AY$18/12,IF(AND('Lease Cycles'!$AV$18&gt;=INDEX('Lease Cycles'!$BG$18:$BM$18,1,BY180),'Lease Cycles'!$AV$18&lt;=BY$6),'Lease Cycles'!$C$18*'Lease Cycles'!$AW$18/12,IF(AND('Lease Cycles'!$AT$18&gt;=INDEX('Lease Cycles'!$BG$18:$BM$18,1,BY180),'Lease Cycles'!$AT$18&lt;=BY$6),'Lease Cycles'!$C$18*'Lease Cycles'!$AU$18/12,'Lease Cycles'!$C$18*INDEX('Lease Cycles'!$CB$18:$CH$18,1,BY180)*(1+INDEX('Lease Cycles'!$CI$18:$CO$18,1,BY180))^INT(INT(BY181/12)/INDEX('Lease Cycles'!$CP$18:$CV$18,1,BY180))/12)))),'Lease Cycles'!$C$18*INDEX('Lease Cycles'!$CB$18:$CH$18,1,BY180)*(1+INDEX('Lease Cycles'!$CI$18:$CO$18,1,BY180))^INT(INT(BY181/12)/INDEX('Lease Cycles'!$CP$18:$CV$18,1,BY180))/12))),IF('Lease Cycles'!$N$18=1,'Lease Cycles'!$C$18*'Lease Cycles'!$E$18*INDEX('Lease Cycles'!$HE$18:$HK$18,1,BY180)*(1+INDEX('Lease Cycles'!$GQ$18:$GW$18,1,BY180))^INT(INT((BY$6-INDEX('Lease Cycles'!$GJ$18:$GP$18,1,BY180))/12)/INDEX('Lease Cycles'!$GX$18:$HD$18,1,BY180))/12,0)))</f>
        <v>0</v>
      </c>
      <c r="BZ183" s="28">
        <f>IF(BZ180=0,IF('Lease Cycles'!$F$18&gt;0,'Lease Cycles'!$C$18*'Lease Cycles'!$E$18/12,0),IF(BZ182=1,IF('Lease Cycles'!$AT$18&gt;=9999,'Lease Cycles'!$C$18*INDEX('Lease Cycles'!$CB$18:$CH$18,1,BZ180)*(1+INDEX('Lease Cycles'!$CI$18:$CO$18,1,BZ180))^INT(INT(BZ181/12)/INDEX('Lease Cycles'!$CP$18:$CV$18,1,BZ180))/12,IF(BZ180=1,IF(BZ181&gt;=INDEX('Lease Cycles'!$DK$18:$DQ$18,1,BZ180),IF(BZ$6&gt;='Lease Cycles'!$AZ$18,'Lease Cycles'!$C$18*'Lease Cycles'!$BA$18/12,IF(BZ$6&gt;='Lease Cycles'!$AX$18,'Lease Cycles'!$C$18*'Lease Cycles'!$AY$18/12,IF(BZ$6&gt;='Lease Cycles'!$AV$18,'Lease Cycles'!$C$18*'Lease Cycles'!$AW$18/12,IF(BZ$6&gt;='Lease Cycles'!$AT$18,'Lease Cycles'!$C$18*'Lease Cycles'!$AU$18/12,'Lease Cycles'!$C$18*INDEX('Lease Cycles'!$CB$18:$CH$18,1,BZ180)*(1+INDEX('Lease Cycles'!$CI$18:$CO$18,1,BZ180))^INT(INT(BZ181/12)/INDEX('Lease Cycles'!$CP$18:$CV$18,1,BZ180))/12)))),'Lease Cycles'!$C$18*INDEX('Lease Cycles'!$CB$18:$CH$18,1,BZ180)*(1+INDEX('Lease Cycles'!$CI$18:$CO$18,1,BZ180))^INT(INT(BZ181/12)/INDEX('Lease Cycles'!$CP$18:$CV$18,1,BZ180))/12),IF(INDEX('Lease Cycles'!$EF$18:$EL$18,1,BZ180)=1,IF(AND('Lease Cycles'!$AZ$18&gt;=INDEX('Lease Cycles'!$BG$18:$BM$18,1,BZ180),'Lease Cycles'!$AZ$18&lt;=BZ$6),'Lease Cycles'!$C$18*'Lease Cycles'!$BA$18/12,IF(AND('Lease Cycles'!$AX$18&gt;=INDEX('Lease Cycles'!$BG$18:$BM$18,1,BZ180),'Lease Cycles'!$AX$18&lt;=BZ$6),'Lease Cycles'!$C$18*'Lease Cycles'!$AY$18/12,IF(AND('Lease Cycles'!$AV$18&gt;=INDEX('Lease Cycles'!$BG$18:$BM$18,1,BZ180),'Lease Cycles'!$AV$18&lt;=BZ$6),'Lease Cycles'!$C$18*'Lease Cycles'!$AW$18/12,IF(AND('Lease Cycles'!$AT$18&gt;=INDEX('Lease Cycles'!$BG$18:$BM$18,1,BZ180),'Lease Cycles'!$AT$18&lt;=BZ$6),'Lease Cycles'!$C$18*'Lease Cycles'!$AU$18/12,'Lease Cycles'!$C$18*INDEX('Lease Cycles'!$CB$18:$CH$18,1,BZ180)*(1+INDEX('Lease Cycles'!$CI$18:$CO$18,1,BZ180))^INT(INT(BZ181/12)/INDEX('Lease Cycles'!$CP$18:$CV$18,1,BZ180))/12)))),'Lease Cycles'!$C$18*INDEX('Lease Cycles'!$CB$18:$CH$18,1,BZ180)*(1+INDEX('Lease Cycles'!$CI$18:$CO$18,1,BZ180))^INT(INT(BZ181/12)/INDEX('Lease Cycles'!$CP$18:$CV$18,1,BZ180))/12))),IF('Lease Cycles'!$N$18=1,'Lease Cycles'!$C$18*'Lease Cycles'!$E$18*INDEX('Lease Cycles'!$HE$18:$HK$18,1,BZ180)*(1+INDEX('Lease Cycles'!$GQ$18:$GW$18,1,BZ180))^INT(INT((BZ$6-INDEX('Lease Cycles'!$GJ$18:$GP$18,1,BZ180))/12)/INDEX('Lease Cycles'!$GX$18:$HD$18,1,BZ180))/12,0)))</f>
        <v>0</v>
      </c>
      <c r="CA183" s="28">
        <f>IF(CA180=0,IF('Lease Cycles'!$F$18&gt;0,'Lease Cycles'!$C$18*'Lease Cycles'!$E$18/12,0),IF(CA182=1,IF('Lease Cycles'!$AT$18&gt;=9999,'Lease Cycles'!$C$18*INDEX('Lease Cycles'!$CB$18:$CH$18,1,CA180)*(1+INDEX('Lease Cycles'!$CI$18:$CO$18,1,CA180))^INT(INT(CA181/12)/INDEX('Lease Cycles'!$CP$18:$CV$18,1,CA180))/12,IF(CA180=1,IF(CA181&gt;=INDEX('Lease Cycles'!$DK$18:$DQ$18,1,CA180),IF(CA$6&gt;='Lease Cycles'!$AZ$18,'Lease Cycles'!$C$18*'Lease Cycles'!$BA$18/12,IF(CA$6&gt;='Lease Cycles'!$AX$18,'Lease Cycles'!$C$18*'Lease Cycles'!$AY$18/12,IF(CA$6&gt;='Lease Cycles'!$AV$18,'Lease Cycles'!$C$18*'Lease Cycles'!$AW$18/12,IF(CA$6&gt;='Lease Cycles'!$AT$18,'Lease Cycles'!$C$18*'Lease Cycles'!$AU$18/12,'Lease Cycles'!$C$18*INDEX('Lease Cycles'!$CB$18:$CH$18,1,CA180)*(1+INDEX('Lease Cycles'!$CI$18:$CO$18,1,CA180))^INT(INT(CA181/12)/INDEX('Lease Cycles'!$CP$18:$CV$18,1,CA180))/12)))),'Lease Cycles'!$C$18*INDEX('Lease Cycles'!$CB$18:$CH$18,1,CA180)*(1+INDEX('Lease Cycles'!$CI$18:$CO$18,1,CA180))^INT(INT(CA181/12)/INDEX('Lease Cycles'!$CP$18:$CV$18,1,CA180))/12),IF(INDEX('Lease Cycles'!$EF$18:$EL$18,1,CA180)=1,IF(AND('Lease Cycles'!$AZ$18&gt;=INDEX('Lease Cycles'!$BG$18:$BM$18,1,CA180),'Lease Cycles'!$AZ$18&lt;=CA$6),'Lease Cycles'!$C$18*'Lease Cycles'!$BA$18/12,IF(AND('Lease Cycles'!$AX$18&gt;=INDEX('Lease Cycles'!$BG$18:$BM$18,1,CA180),'Lease Cycles'!$AX$18&lt;=CA$6),'Lease Cycles'!$C$18*'Lease Cycles'!$AY$18/12,IF(AND('Lease Cycles'!$AV$18&gt;=INDEX('Lease Cycles'!$BG$18:$BM$18,1,CA180),'Lease Cycles'!$AV$18&lt;=CA$6),'Lease Cycles'!$C$18*'Lease Cycles'!$AW$18/12,IF(AND('Lease Cycles'!$AT$18&gt;=INDEX('Lease Cycles'!$BG$18:$BM$18,1,CA180),'Lease Cycles'!$AT$18&lt;=CA$6),'Lease Cycles'!$C$18*'Lease Cycles'!$AU$18/12,'Lease Cycles'!$C$18*INDEX('Lease Cycles'!$CB$18:$CH$18,1,CA180)*(1+INDEX('Lease Cycles'!$CI$18:$CO$18,1,CA180))^INT(INT(CA181/12)/INDEX('Lease Cycles'!$CP$18:$CV$18,1,CA180))/12)))),'Lease Cycles'!$C$18*INDEX('Lease Cycles'!$CB$18:$CH$18,1,CA180)*(1+INDEX('Lease Cycles'!$CI$18:$CO$18,1,CA180))^INT(INT(CA181/12)/INDEX('Lease Cycles'!$CP$18:$CV$18,1,CA180))/12))),IF('Lease Cycles'!$N$18=1,'Lease Cycles'!$C$18*'Lease Cycles'!$E$18*INDEX('Lease Cycles'!$HE$18:$HK$18,1,CA180)*(1+INDEX('Lease Cycles'!$GQ$18:$GW$18,1,CA180))^INT(INT((CA$6-INDEX('Lease Cycles'!$GJ$18:$GP$18,1,CA180))/12)/INDEX('Lease Cycles'!$GX$18:$HD$18,1,CA180))/12,0)))</f>
        <v>0</v>
      </c>
      <c r="CB183" s="28">
        <f>IF(CB180=0,IF('Lease Cycles'!$F$18&gt;0,'Lease Cycles'!$C$18*'Lease Cycles'!$E$18/12,0),IF(CB182=1,IF('Lease Cycles'!$AT$18&gt;=9999,'Lease Cycles'!$C$18*INDEX('Lease Cycles'!$CB$18:$CH$18,1,CB180)*(1+INDEX('Lease Cycles'!$CI$18:$CO$18,1,CB180))^INT(INT(CB181/12)/INDEX('Lease Cycles'!$CP$18:$CV$18,1,CB180))/12,IF(CB180=1,IF(CB181&gt;=INDEX('Lease Cycles'!$DK$18:$DQ$18,1,CB180),IF(CB$6&gt;='Lease Cycles'!$AZ$18,'Lease Cycles'!$C$18*'Lease Cycles'!$BA$18/12,IF(CB$6&gt;='Lease Cycles'!$AX$18,'Lease Cycles'!$C$18*'Lease Cycles'!$AY$18/12,IF(CB$6&gt;='Lease Cycles'!$AV$18,'Lease Cycles'!$C$18*'Lease Cycles'!$AW$18/12,IF(CB$6&gt;='Lease Cycles'!$AT$18,'Lease Cycles'!$C$18*'Lease Cycles'!$AU$18/12,'Lease Cycles'!$C$18*INDEX('Lease Cycles'!$CB$18:$CH$18,1,CB180)*(1+INDEX('Lease Cycles'!$CI$18:$CO$18,1,CB180))^INT(INT(CB181/12)/INDEX('Lease Cycles'!$CP$18:$CV$18,1,CB180))/12)))),'Lease Cycles'!$C$18*INDEX('Lease Cycles'!$CB$18:$CH$18,1,CB180)*(1+INDEX('Lease Cycles'!$CI$18:$CO$18,1,CB180))^INT(INT(CB181/12)/INDEX('Lease Cycles'!$CP$18:$CV$18,1,CB180))/12),IF(INDEX('Lease Cycles'!$EF$18:$EL$18,1,CB180)=1,IF(AND('Lease Cycles'!$AZ$18&gt;=INDEX('Lease Cycles'!$BG$18:$BM$18,1,CB180),'Lease Cycles'!$AZ$18&lt;=CB$6),'Lease Cycles'!$C$18*'Lease Cycles'!$BA$18/12,IF(AND('Lease Cycles'!$AX$18&gt;=INDEX('Lease Cycles'!$BG$18:$BM$18,1,CB180),'Lease Cycles'!$AX$18&lt;=CB$6),'Lease Cycles'!$C$18*'Lease Cycles'!$AY$18/12,IF(AND('Lease Cycles'!$AV$18&gt;=INDEX('Lease Cycles'!$BG$18:$BM$18,1,CB180),'Lease Cycles'!$AV$18&lt;=CB$6),'Lease Cycles'!$C$18*'Lease Cycles'!$AW$18/12,IF(AND('Lease Cycles'!$AT$18&gt;=INDEX('Lease Cycles'!$BG$18:$BM$18,1,CB180),'Lease Cycles'!$AT$18&lt;=CB$6),'Lease Cycles'!$C$18*'Lease Cycles'!$AU$18/12,'Lease Cycles'!$C$18*INDEX('Lease Cycles'!$CB$18:$CH$18,1,CB180)*(1+INDEX('Lease Cycles'!$CI$18:$CO$18,1,CB180))^INT(INT(CB181/12)/INDEX('Lease Cycles'!$CP$18:$CV$18,1,CB180))/12)))),'Lease Cycles'!$C$18*INDEX('Lease Cycles'!$CB$18:$CH$18,1,CB180)*(1+INDEX('Lease Cycles'!$CI$18:$CO$18,1,CB180))^INT(INT(CB181/12)/INDEX('Lease Cycles'!$CP$18:$CV$18,1,CB180))/12))),IF('Lease Cycles'!$N$18=1,'Lease Cycles'!$C$18*'Lease Cycles'!$E$18*INDEX('Lease Cycles'!$HE$18:$HK$18,1,CB180)*(1+INDEX('Lease Cycles'!$GQ$18:$GW$18,1,CB180))^INT(INT((CB$6-INDEX('Lease Cycles'!$GJ$18:$GP$18,1,CB180))/12)/INDEX('Lease Cycles'!$GX$18:$HD$18,1,CB180))/12,0)))</f>
        <v>0</v>
      </c>
      <c r="CC183" s="28">
        <f>IF(CC180=0,IF('Lease Cycles'!$F$18&gt;0,'Lease Cycles'!$C$18*'Lease Cycles'!$E$18/12,0),IF(CC182=1,IF('Lease Cycles'!$AT$18&gt;=9999,'Lease Cycles'!$C$18*INDEX('Lease Cycles'!$CB$18:$CH$18,1,CC180)*(1+INDEX('Lease Cycles'!$CI$18:$CO$18,1,CC180))^INT(INT(CC181/12)/INDEX('Lease Cycles'!$CP$18:$CV$18,1,CC180))/12,IF(CC180=1,IF(CC181&gt;=INDEX('Lease Cycles'!$DK$18:$DQ$18,1,CC180),IF(CC$6&gt;='Lease Cycles'!$AZ$18,'Lease Cycles'!$C$18*'Lease Cycles'!$BA$18/12,IF(CC$6&gt;='Lease Cycles'!$AX$18,'Lease Cycles'!$C$18*'Lease Cycles'!$AY$18/12,IF(CC$6&gt;='Lease Cycles'!$AV$18,'Lease Cycles'!$C$18*'Lease Cycles'!$AW$18/12,IF(CC$6&gt;='Lease Cycles'!$AT$18,'Lease Cycles'!$C$18*'Lease Cycles'!$AU$18/12,'Lease Cycles'!$C$18*INDEX('Lease Cycles'!$CB$18:$CH$18,1,CC180)*(1+INDEX('Lease Cycles'!$CI$18:$CO$18,1,CC180))^INT(INT(CC181/12)/INDEX('Lease Cycles'!$CP$18:$CV$18,1,CC180))/12)))),'Lease Cycles'!$C$18*INDEX('Lease Cycles'!$CB$18:$CH$18,1,CC180)*(1+INDEX('Lease Cycles'!$CI$18:$CO$18,1,CC180))^INT(INT(CC181/12)/INDEX('Lease Cycles'!$CP$18:$CV$18,1,CC180))/12),IF(INDEX('Lease Cycles'!$EF$18:$EL$18,1,CC180)=1,IF(AND('Lease Cycles'!$AZ$18&gt;=INDEX('Lease Cycles'!$BG$18:$BM$18,1,CC180),'Lease Cycles'!$AZ$18&lt;=CC$6),'Lease Cycles'!$C$18*'Lease Cycles'!$BA$18/12,IF(AND('Lease Cycles'!$AX$18&gt;=INDEX('Lease Cycles'!$BG$18:$BM$18,1,CC180),'Lease Cycles'!$AX$18&lt;=CC$6),'Lease Cycles'!$C$18*'Lease Cycles'!$AY$18/12,IF(AND('Lease Cycles'!$AV$18&gt;=INDEX('Lease Cycles'!$BG$18:$BM$18,1,CC180),'Lease Cycles'!$AV$18&lt;=CC$6),'Lease Cycles'!$C$18*'Lease Cycles'!$AW$18/12,IF(AND('Lease Cycles'!$AT$18&gt;=INDEX('Lease Cycles'!$BG$18:$BM$18,1,CC180),'Lease Cycles'!$AT$18&lt;=CC$6),'Lease Cycles'!$C$18*'Lease Cycles'!$AU$18/12,'Lease Cycles'!$C$18*INDEX('Lease Cycles'!$CB$18:$CH$18,1,CC180)*(1+INDEX('Lease Cycles'!$CI$18:$CO$18,1,CC180))^INT(INT(CC181/12)/INDEX('Lease Cycles'!$CP$18:$CV$18,1,CC180))/12)))),'Lease Cycles'!$C$18*INDEX('Lease Cycles'!$CB$18:$CH$18,1,CC180)*(1+INDEX('Lease Cycles'!$CI$18:$CO$18,1,CC180))^INT(INT(CC181/12)/INDEX('Lease Cycles'!$CP$18:$CV$18,1,CC180))/12))),IF('Lease Cycles'!$N$18=1,'Lease Cycles'!$C$18*'Lease Cycles'!$E$18*INDEX('Lease Cycles'!$HE$18:$HK$18,1,CC180)*(1+INDEX('Lease Cycles'!$GQ$18:$GW$18,1,CC180))^INT(INT((CC$6-INDEX('Lease Cycles'!$GJ$18:$GP$18,1,CC180))/12)/INDEX('Lease Cycles'!$GX$18:$HD$18,1,CC180))/12,0)))</f>
        <v>0</v>
      </c>
      <c r="CD183" s="28">
        <f>IF(CD180=0,IF('Lease Cycles'!$F$18&gt;0,'Lease Cycles'!$C$18*'Lease Cycles'!$E$18/12,0),IF(CD182=1,IF('Lease Cycles'!$AT$18&gt;=9999,'Lease Cycles'!$C$18*INDEX('Lease Cycles'!$CB$18:$CH$18,1,CD180)*(1+INDEX('Lease Cycles'!$CI$18:$CO$18,1,CD180))^INT(INT(CD181/12)/INDEX('Lease Cycles'!$CP$18:$CV$18,1,CD180))/12,IF(CD180=1,IF(CD181&gt;=INDEX('Lease Cycles'!$DK$18:$DQ$18,1,CD180),IF(CD$6&gt;='Lease Cycles'!$AZ$18,'Lease Cycles'!$C$18*'Lease Cycles'!$BA$18/12,IF(CD$6&gt;='Lease Cycles'!$AX$18,'Lease Cycles'!$C$18*'Lease Cycles'!$AY$18/12,IF(CD$6&gt;='Lease Cycles'!$AV$18,'Lease Cycles'!$C$18*'Lease Cycles'!$AW$18/12,IF(CD$6&gt;='Lease Cycles'!$AT$18,'Lease Cycles'!$C$18*'Lease Cycles'!$AU$18/12,'Lease Cycles'!$C$18*INDEX('Lease Cycles'!$CB$18:$CH$18,1,CD180)*(1+INDEX('Lease Cycles'!$CI$18:$CO$18,1,CD180))^INT(INT(CD181/12)/INDEX('Lease Cycles'!$CP$18:$CV$18,1,CD180))/12)))),'Lease Cycles'!$C$18*INDEX('Lease Cycles'!$CB$18:$CH$18,1,CD180)*(1+INDEX('Lease Cycles'!$CI$18:$CO$18,1,CD180))^INT(INT(CD181/12)/INDEX('Lease Cycles'!$CP$18:$CV$18,1,CD180))/12),IF(INDEX('Lease Cycles'!$EF$18:$EL$18,1,CD180)=1,IF(AND('Lease Cycles'!$AZ$18&gt;=INDEX('Lease Cycles'!$BG$18:$BM$18,1,CD180),'Lease Cycles'!$AZ$18&lt;=CD$6),'Lease Cycles'!$C$18*'Lease Cycles'!$BA$18/12,IF(AND('Lease Cycles'!$AX$18&gt;=INDEX('Lease Cycles'!$BG$18:$BM$18,1,CD180),'Lease Cycles'!$AX$18&lt;=CD$6),'Lease Cycles'!$C$18*'Lease Cycles'!$AY$18/12,IF(AND('Lease Cycles'!$AV$18&gt;=INDEX('Lease Cycles'!$BG$18:$BM$18,1,CD180),'Lease Cycles'!$AV$18&lt;=CD$6),'Lease Cycles'!$C$18*'Lease Cycles'!$AW$18/12,IF(AND('Lease Cycles'!$AT$18&gt;=INDEX('Lease Cycles'!$BG$18:$BM$18,1,CD180),'Lease Cycles'!$AT$18&lt;=CD$6),'Lease Cycles'!$C$18*'Lease Cycles'!$AU$18/12,'Lease Cycles'!$C$18*INDEX('Lease Cycles'!$CB$18:$CH$18,1,CD180)*(1+INDEX('Lease Cycles'!$CI$18:$CO$18,1,CD180))^INT(INT(CD181/12)/INDEX('Lease Cycles'!$CP$18:$CV$18,1,CD180))/12)))),'Lease Cycles'!$C$18*INDEX('Lease Cycles'!$CB$18:$CH$18,1,CD180)*(1+INDEX('Lease Cycles'!$CI$18:$CO$18,1,CD180))^INT(INT(CD181/12)/INDEX('Lease Cycles'!$CP$18:$CV$18,1,CD180))/12))),IF('Lease Cycles'!$N$18=1,'Lease Cycles'!$C$18*'Lease Cycles'!$E$18*INDEX('Lease Cycles'!$HE$18:$HK$18,1,CD180)*(1+INDEX('Lease Cycles'!$GQ$18:$GW$18,1,CD180))^INT(INT((CD$6-INDEX('Lease Cycles'!$GJ$18:$GP$18,1,CD180))/12)/INDEX('Lease Cycles'!$GX$18:$HD$18,1,CD180))/12,0)))</f>
        <v>0</v>
      </c>
      <c r="CE183" s="28">
        <f>IF(CE180=0,IF('Lease Cycles'!$F$18&gt;0,'Lease Cycles'!$C$18*'Lease Cycles'!$E$18/12,0),IF(CE182=1,IF('Lease Cycles'!$AT$18&gt;=9999,'Lease Cycles'!$C$18*INDEX('Lease Cycles'!$CB$18:$CH$18,1,CE180)*(1+INDEX('Lease Cycles'!$CI$18:$CO$18,1,CE180))^INT(INT(CE181/12)/INDEX('Lease Cycles'!$CP$18:$CV$18,1,CE180))/12,IF(CE180=1,IF(CE181&gt;=INDEX('Lease Cycles'!$DK$18:$DQ$18,1,CE180),IF(CE$6&gt;='Lease Cycles'!$AZ$18,'Lease Cycles'!$C$18*'Lease Cycles'!$BA$18/12,IF(CE$6&gt;='Lease Cycles'!$AX$18,'Lease Cycles'!$C$18*'Lease Cycles'!$AY$18/12,IF(CE$6&gt;='Lease Cycles'!$AV$18,'Lease Cycles'!$C$18*'Lease Cycles'!$AW$18/12,IF(CE$6&gt;='Lease Cycles'!$AT$18,'Lease Cycles'!$C$18*'Lease Cycles'!$AU$18/12,'Lease Cycles'!$C$18*INDEX('Lease Cycles'!$CB$18:$CH$18,1,CE180)*(1+INDEX('Lease Cycles'!$CI$18:$CO$18,1,CE180))^INT(INT(CE181/12)/INDEX('Lease Cycles'!$CP$18:$CV$18,1,CE180))/12)))),'Lease Cycles'!$C$18*INDEX('Lease Cycles'!$CB$18:$CH$18,1,CE180)*(1+INDEX('Lease Cycles'!$CI$18:$CO$18,1,CE180))^INT(INT(CE181/12)/INDEX('Lease Cycles'!$CP$18:$CV$18,1,CE180))/12),IF(INDEX('Lease Cycles'!$EF$18:$EL$18,1,CE180)=1,IF(AND('Lease Cycles'!$AZ$18&gt;=INDEX('Lease Cycles'!$BG$18:$BM$18,1,CE180),'Lease Cycles'!$AZ$18&lt;=CE$6),'Lease Cycles'!$C$18*'Lease Cycles'!$BA$18/12,IF(AND('Lease Cycles'!$AX$18&gt;=INDEX('Lease Cycles'!$BG$18:$BM$18,1,CE180),'Lease Cycles'!$AX$18&lt;=CE$6),'Lease Cycles'!$C$18*'Lease Cycles'!$AY$18/12,IF(AND('Lease Cycles'!$AV$18&gt;=INDEX('Lease Cycles'!$BG$18:$BM$18,1,CE180),'Lease Cycles'!$AV$18&lt;=CE$6),'Lease Cycles'!$C$18*'Lease Cycles'!$AW$18/12,IF(AND('Lease Cycles'!$AT$18&gt;=INDEX('Lease Cycles'!$BG$18:$BM$18,1,CE180),'Lease Cycles'!$AT$18&lt;=CE$6),'Lease Cycles'!$C$18*'Lease Cycles'!$AU$18/12,'Lease Cycles'!$C$18*INDEX('Lease Cycles'!$CB$18:$CH$18,1,CE180)*(1+INDEX('Lease Cycles'!$CI$18:$CO$18,1,CE180))^INT(INT(CE181/12)/INDEX('Lease Cycles'!$CP$18:$CV$18,1,CE180))/12)))),'Lease Cycles'!$C$18*INDEX('Lease Cycles'!$CB$18:$CH$18,1,CE180)*(1+INDEX('Lease Cycles'!$CI$18:$CO$18,1,CE180))^INT(INT(CE181/12)/INDEX('Lease Cycles'!$CP$18:$CV$18,1,CE180))/12))),IF('Lease Cycles'!$N$18=1,'Lease Cycles'!$C$18*'Lease Cycles'!$E$18*INDEX('Lease Cycles'!$HE$18:$HK$18,1,CE180)*(1+INDEX('Lease Cycles'!$GQ$18:$GW$18,1,CE180))^INT(INT((CE$6-INDEX('Lease Cycles'!$GJ$18:$GP$18,1,CE180))/12)/INDEX('Lease Cycles'!$GX$18:$HD$18,1,CE180))/12,0)))</f>
        <v>0</v>
      </c>
      <c r="CF183" s="28">
        <f>IF(CF180=0,IF('Lease Cycles'!$F$18&gt;0,'Lease Cycles'!$C$18*'Lease Cycles'!$E$18/12,0),IF(CF182=1,IF('Lease Cycles'!$AT$18&gt;=9999,'Lease Cycles'!$C$18*INDEX('Lease Cycles'!$CB$18:$CH$18,1,CF180)*(1+INDEX('Lease Cycles'!$CI$18:$CO$18,1,CF180))^INT(INT(CF181/12)/INDEX('Lease Cycles'!$CP$18:$CV$18,1,CF180))/12,IF(CF180=1,IF(CF181&gt;=INDEX('Lease Cycles'!$DK$18:$DQ$18,1,CF180),IF(CF$6&gt;='Lease Cycles'!$AZ$18,'Lease Cycles'!$C$18*'Lease Cycles'!$BA$18/12,IF(CF$6&gt;='Lease Cycles'!$AX$18,'Lease Cycles'!$C$18*'Lease Cycles'!$AY$18/12,IF(CF$6&gt;='Lease Cycles'!$AV$18,'Lease Cycles'!$C$18*'Lease Cycles'!$AW$18/12,IF(CF$6&gt;='Lease Cycles'!$AT$18,'Lease Cycles'!$C$18*'Lease Cycles'!$AU$18/12,'Lease Cycles'!$C$18*INDEX('Lease Cycles'!$CB$18:$CH$18,1,CF180)*(1+INDEX('Lease Cycles'!$CI$18:$CO$18,1,CF180))^INT(INT(CF181/12)/INDEX('Lease Cycles'!$CP$18:$CV$18,1,CF180))/12)))),'Lease Cycles'!$C$18*INDEX('Lease Cycles'!$CB$18:$CH$18,1,CF180)*(1+INDEX('Lease Cycles'!$CI$18:$CO$18,1,CF180))^INT(INT(CF181/12)/INDEX('Lease Cycles'!$CP$18:$CV$18,1,CF180))/12),IF(INDEX('Lease Cycles'!$EF$18:$EL$18,1,CF180)=1,IF(AND('Lease Cycles'!$AZ$18&gt;=INDEX('Lease Cycles'!$BG$18:$BM$18,1,CF180),'Lease Cycles'!$AZ$18&lt;=CF$6),'Lease Cycles'!$C$18*'Lease Cycles'!$BA$18/12,IF(AND('Lease Cycles'!$AX$18&gt;=INDEX('Lease Cycles'!$BG$18:$BM$18,1,CF180),'Lease Cycles'!$AX$18&lt;=CF$6),'Lease Cycles'!$C$18*'Lease Cycles'!$AY$18/12,IF(AND('Lease Cycles'!$AV$18&gt;=INDEX('Lease Cycles'!$BG$18:$BM$18,1,CF180),'Lease Cycles'!$AV$18&lt;=CF$6),'Lease Cycles'!$C$18*'Lease Cycles'!$AW$18/12,IF(AND('Lease Cycles'!$AT$18&gt;=INDEX('Lease Cycles'!$BG$18:$BM$18,1,CF180),'Lease Cycles'!$AT$18&lt;=CF$6),'Lease Cycles'!$C$18*'Lease Cycles'!$AU$18/12,'Lease Cycles'!$C$18*INDEX('Lease Cycles'!$CB$18:$CH$18,1,CF180)*(1+INDEX('Lease Cycles'!$CI$18:$CO$18,1,CF180))^INT(INT(CF181/12)/INDEX('Lease Cycles'!$CP$18:$CV$18,1,CF180))/12)))),'Lease Cycles'!$C$18*INDEX('Lease Cycles'!$CB$18:$CH$18,1,CF180)*(1+INDEX('Lease Cycles'!$CI$18:$CO$18,1,CF180))^INT(INT(CF181/12)/INDEX('Lease Cycles'!$CP$18:$CV$18,1,CF180))/12))),IF('Lease Cycles'!$N$18=1,'Lease Cycles'!$C$18*'Lease Cycles'!$E$18*INDEX('Lease Cycles'!$HE$18:$HK$18,1,CF180)*(1+INDEX('Lease Cycles'!$GQ$18:$GW$18,1,CF180))^INT(INT((CF$6-INDEX('Lease Cycles'!$GJ$18:$GP$18,1,CF180))/12)/INDEX('Lease Cycles'!$GX$18:$HD$18,1,CF180))/12,0)))</f>
        <v>0</v>
      </c>
      <c r="CG183" s="28">
        <f>IF(CG180=0,IF('Lease Cycles'!$F$18&gt;0,'Lease Cycles'!$C$18*'Lease Cycles'!$E$18/12,0),IF(CG182=1,IF('Lease Cycles'!$AT$18&gt;=9999,'Lease Cycles'!$C$18*INDEX('Lease Cycles'!$CB$18:$CH$18,1,CG180)*(1+INDEX('Lease Cycles'!$CI$18:$CO$18,1,CG180))^INT(INT(CG181/12)/INDEX('Lease Cycles'!$CP$18:$CV$18,1,CG180))/12,IF(CG180=1,IF(CG181&gt;=INDEX('Lease Cycles'!$DK$18:$DQ$18,1,CG180),IF(CG$6&gt;='Lease Cycles'!$AZ$18,'Lease Cycles'!$C$18*'Lease Cycles'!$BA$18/12,IF(CG$6&gt;='Lease Cycles'!$AX$18,'Lease Cycles'!$C$18*'Lease Cycles'!$AY$18/12,IF(CG$6&gt;='Lease Cycles'!$AV$18,'Lease Cycles'!$C$18*'Lease Cycles'!$AW$18/12,IF(CG$6&gt;='Lease Cycles'!$AT$18,'Lease Cycles'!$C$18*'Lease Cycles'!$AU$18/12,'Lease Cycles'!$C$18*INDEX('Lease Cycles'!$CB$18:$CH$18,1,CG180)*(1+INDEX('Lease Cycles'!$CI$18:$CO$18,1,CG180))^INT(INT(CG181/12)/INDEX('Lease Cycles'!$CP$18:$CV$18,1,CG180))/12)))),'Lease Cycles'!$C$18*INDEX('Lease Cycles'!$CB$18:$CH$18,1,CG180)*(1+INDEX('Lease Cycles'!$CI$18:$CO$18,1,CG180))^INT(INT(CG181/12)/INDEX('Lease Cycles'!$CP$18:$CV$18,1,CG180))/12),IF(INDEX('Lease Cycles'!$EF$18:$EL$18,1,CG180)=1,IF(AND('Lease Cycles'!$AZ$18&gt;=INDEX('Lease Cycles'!$BG$18:$BM$18,1,CG180),'Lease Cycles'!$AZ$18&lt;=CG$6),'Lease Cycles'!$C$18*'Lease Cycles'!$BA$18/12,IF(AND('Lease Cycles'!$AX$18&gt;=INDEX('Lease Cycles'!$BG$18:$BM$18,1,CG180),'Lease Cycles'!$AX$18&lt;=CG$6),'Lease Cycles'!$C$18*'Lease Cycles'!$AY$18/12,IF(AND('Lease Cycles'!$AV$18&gt;=INDEX('Lease Cycles'!$BG$18:$BM$18,1,CG180),'Lease Cycles'!$AV$18&lt;=CG$6),'Lease Cycles'!$C$18*'Lease Cycles'!$AW$18/12,IF(AND('Lease Cycles'!$AT$18&gt;=INDEX('Lease Cycles'!$BG$18:$BM$18,1,CG180),'Lease Cycles'!$AT$18&lt;=CG$6),'Lease Cycles'!$C$18*'Lease Cycles'!$AU$18/12,'Lease Cycles'!$C$18*INDEX('Lease Cycles'!$CB$18:$CH$18,1,CG180)*(1+INDEX('Lease Cycles'!$CI$18:$CO$18,1,CG180))^INT(INT(CG181/12)/INDEX('Lease Cycles'!$CP$18:$CV$18,1,CG180))/12)))),'Lease Cycles'!$C$18*INDEX('Lease Cycles'!$CB$18:$CH$18,1,CG180)*(1+INDEX('Lease Cycles'!$CI$18:$CO$18,1,CG180))^INT(INT(CG181/12)/INDEX('Lease Cycles'!$CP$18:$CV$18,1,CG180))/12))),IF('Lease Cycles'!$N$18=1,'Lease Cycles'!$C$18*'Lease Cycles'!$E$18*INDEX('Lease Cycles'!$HE$18:$HK$18,1,CG180)*(1+INDEX('Lease Cycles'!$GQ$18:$GW$18,1,CG180))^INT(INT((CG$6-INDEX('Lease Cycles'!$GJ$18:$GP$18,1,CG180))/12)/INDEX('Lease Cycles'!$GX$18:$HD$18,1,CG180))/12,0)))</f>
        <v>0</v>
      </c>
      <c r="CH183" s="28">
        <f>IF(CH180=0,IF('Lease Cycles'!$F$18&gt;0,'Lease Cycles'!$C$18*'Lease Cycles'!$E$18/12,0),IF(CH182=1,IF('Lease Cycles'!$AT$18&gt;=9999,'Lease Cycles'!$C$18*INDEX('Lease Cycles'!$CB$18:$CH$18,1,CH180)*(1+INDEX('Lease Cycles'!$CI$18:$CO$18,1,CH180))^INT(INT(CH181/12)/INDEX('Lease Cycles'!$CP$18:$CV$18,1,CH180))/12,IF(CH180=1,IF(CH181&gt;=INDEX('Lease Cycles'!$DK$18:$DQ$18,1,CH180),IF(CH$6&gt;='Lease Cycles'!$AZ$18,'Lease Cycles'!$C$18*'Lease Cycles'!$BA$18/12,IF(CH$6&gt;='Lease Cycles'!$AX$18,'Lease Cycles'!$C$18*'Lease Cycles'!$AY$18/12,IF(CH$6&gt;='Lease Cycles'!$AV$18,'Lease Cycles'!$C$18*'Lease Cycles'!$AW$18/12,IF(CH$6&gt;='Lease Cycles'!$AT$18,'Lease Cycles'!$C$18*'Lease Cycles'!$AU$18/12,'Lease Cycles'!$C$18*INDEX('Lease Cycles'!$CB$18:$CH$18,1,CH180)*(1+INDEX('Lease Cycles'!$CI$18:$CO$18,1,CH180))^INT(INT(CH181/12)/INDEX('Lease Cycles'!$CP$18:$CV$18,1,CH180))/12)))),'Lease Cycles'!$C$18*INDEX('Lease Cycles'!$CB$18:$CH$18,1,CH180)*(1+INDEX('Lease Cycles'!$CI$18:$CO$18,1,CH180))^INT(INT(CH181/12)/INDEX('Lease Cycles'!$CP$18:$CV$18,1,CH180))/12),IF(INDEX('Lease Cycles'!$EF$18:$EL$18,1,CH180)=1,IF(AND('Lease Cycles'!$AZ$18&gt;=INDEX('Lease Cycles'!$BG$18:$BM$18,1,CH180),'Lease Cycles'!$AZ$18&lt;=CH$6),'Lease Cycles'!$C$18*'Lease Cycles'!$BA$18/12,IF(AND('Lease Cycles'!$AX$18&gt;=INDEX('Lease Cycles'!$BG$18:$BM$18,1,CH180),'Lease Cycles'!$AX$18&lt;=CH$6),'Lease Cycles'!$C$18*'Lease Cycles'!$AY$18/12,IF(AND('Lease Cycles'!$AV$18&gt;=INDEX('Lease Cycles'!$BG$18:$BM$18,1,CH180),'Lease Cycles'!$AV$18&lt;=CH$6),'Lease Cycles'!$C$18*'Lease Cycles'!$AW$18/12,IF(AND('Lease Cycles'!$AT$18&gt;=INDEX('Lease Cycles'!$BG$18:$BM$18,1,CH180),'Lease Cycles'!$AT$18&lt;=CH$6),'Lease Cycles'!$C$18*'Lease Cycles'!$AU$18/12,'Lease Cycles'!$C$18*INDEX('Lease Cycles'!$CB$18:$CH$18,1,CH180)*(1+INDEX('Lease Cycles'!$CI$18:$CO$18,1,CH180))^INT(INT(CH181/12)/INDEX('Lease Cycles'!$CP$18:$CV$18,1,CH180))/12)))),'Lease Cycles'!$C$18*INDEX('Lease Cycles'!$CB$18:$CH$18,1,CH180)*(1+INDEX('Lease Cycles'!$CI$18:$CO$18,1,CH180))^INT(INT(CH181/12)/INDEX('Lease Cycles'!$CP$18:$CV$18,1,CH180))/12))),IF('Lease Cycles'!$N$18=1,'Lease Cycles'!$C$18*'Lease Cycles'!$E$18*INDEX('Lease Cycles'!$HE$18:$HK$18,1,CH180)*(1+INDEX('Lease Cycles'!$GQ$18:$GW$18,1,CH180))^INT(INT((CH$6-INDEX('Lease Cycles'!$GJ$18:$GP$18,1,CH180))/12)/INDEX('Lease Cycles'!$GX$18:$HD$18,1,CH180))/12,0)))</f>
        <v>0</v>
      </c>
      <c r="CI183" s="28">
        <f>IF(CI180=0,IF('Lease Cycles'!$F$18&gt;0,'Lease Cycles'!$C$18*'Lease Cycles'!$E$18/12,0),IF(CI182=1,IF('Lease Cycles'!$AT$18&gt;=9999,'Lease Cycles'!$C$18*INDEX('Lease Cycles'!$CB$18:$CH$18,1,CI180)*(1+INDEX('Lease Cycles'!$CI$18:$CO$18,1,CI180))^INT(INT(CI181/12)/INDEX('Lease Cycles'!$CP$18:$CV$18,1,CI180))/12,IF(CI180=1,IF(CI181&gt;=INDEX('Lease Cycles'!$DK$18:$DQ$18,1,CI180),IF(CI$6&gt;='Lease Cycles'!$AZ$18,'Lease Cycles'!$C$18*'Lease Cycles'!$BA$18/12,IF(CI$6&gt;='Lease Cycles'!$AX$18,'Lease Cycles'!$C$18*'Lease Cycles'!$AY$18/12,IF(CI$6&gt;='Lease Cycles'!$AV$18,'Lease Cycles'!$C$18*'Lease Cycles'!$AW$18/12,IF(CI$6&gt;='Lease Cycles'!$AT$18,'Lease Cycles'!$C$18*'Lease Cycles'!$AU$18/12,'Lease Cycles'!$C$18*INDEX('Lease Cycles'!$CB$18:$CH$18,1,CI180)*(1+INDEX('Lease Cycles'!$CI$18:$CO$18,1,CI180))^INT(INT(CI181/12)/INDEX('Lease Cycles'!$CP$18:$CV$18,1,CI180))/12)))),'Lease Cycles'!$C$18*INDEX('Lease Cycles'!$CB$18:$CH$18,1,CI180)*(1+INDEX('Lease Cycles'!$CI$18:$CO$18,1,CI180))^INT(INT(CI181/12)/INDEX('Lease Cycles'!$CP$18:$CV$18,1,CI180))/12),IF(INDEX('Lease Cycles'!$EF$18:$EL$18,1,CI180)=1,IF(AND('Lease Cycles'!$AZ$18&gt;=INDEX('Lease Cycles'!$BG$18:$BM$18,1,CI180),'Lease Cycles'!$AZ$18&lt;=CI$6),'Lease Cycles'!$C$18*'Lease Cycles'!$BA$18/12,IF(AND('Lease Cycles'!$AX$18&gt;=INDEX('Lease Cycles'!$BG$18:$BM$18,1,CI180),'Lease Cycles'!$AX$18&lt;=CI$6),'Lease Cycles'!$C$18*'Lease Cycles'!$AY$18/12,IF(AND('Lease Cycles'!$AV$18&gt;=INDEX('Lease Cycles'!$BG$18:$BM$18,1,CI180),'Lease Cycles'!$AV$18&lt;=CI$6),'Lease Cycles'!$C$18*'Lease Cycles'!$AW$18/12,IF(AND('Lease Cycles'!$AT$18&gt;=INDEX('Lease Cycles'!$BG$18:$BM$18,1,CI180),'Lease Cycles'!$AT$18&lt;=CI$6),'Lease Cycles'!$C$18*'Lease Cycles'!$AU$18/12,'Lease Cycles'!$C$18*INDEX('Lease Cycles'!$CB$18:$CH$18,1,CI180)*(1+INDEX('Lease Cycles'!$CI$18:$CO$18,1,CI180))^INT(INT(CI181/12)/INDEX('Lease Cycles'!$CP$18:$CV$18,1,CI180))/12)))),'Lease Cycles'!$C$18*INDEX('Lease Cycles'!$CB$18:$CH$18,1,CI180)*(1+INDEX('Lease Cycles'!$CI$18:$CO$18,1,CI180))^INT(INT(CI181/12)/INDEX('Lease Cycles'!$CP$18:$CV$18,1,CI180))/12))),IF('Lease Cycles'!$N$18=1,'Lease Cycles'!$C$18*'Lease Cycles'!$E$18*INDEX('Lease Cycles'!$HE$18:$HK$18,1,CI180)*(1+INDEX('Lease Cycles'!$GQ$18:$GW$18,1,CI180))^INT(INT((CI$6-INDEX('Lease Cycles'!$GJ$18:$GP$18,1,CI180))/12)/INDEX('Lease Cycles'!$GX$18:$HD$18,1,CI180))/12,0)))</f>
        <v>0</v>
      </c>
      <c r="CJ183" s="28">
        <f>IF(CJ180=0,IF('Lease Cycles'!$F$18&gt;0,'Lease Cycles'!$C$18*'Lease Cycles'!$E$18/12,0),IF(CJ182=1,IF('Lease Cycles'!$AT$18&gt;=9999,'Lease Cycles'!$C$18*INDEX('Lease Cycles'!$CB$18:$CH$18,1,CJ180)*(1+INDEX('Lease Cycles'!$CI$18:$CO$18,1,CJ180))^INT(INT(CJ181/12)/INDEX('Lease Cycles'!$CP$18:$CV$18,1,CJ180))/12,IF(CJ180=1,IF(CJ181&gt;=INDEX('Lease Cycles'!$DK$18:$DQ$18,1,CJ180),IF(CJ$6&gt;='Lease Cycles'!$AZ$18,'Lease Cycles'!$C$18*'Lease Cycles'!$BA$18/12,IF(CJ$6&gt;='Lease Cycles'!$AX$18,'Lease Cycles'!$C$18*'Lease Cycles'!$AY$18/12,IF(CJ$6&gt;='Lease Cycles'!$AV$18,'Lease Cycles'!$C$18*'Lease Cycles'!$AW$18/12,IF(CJ$6&gt;='Lease Cycles'!$AT$18,'Lease Cycles'!$C$18*'Lease Cycles'!$AU$18/12,'Lease Cycles'!$C$18*INDEX('Lease Cycles'!$CB$18:$CH$18,1,CJ180)*(1+INDEX('Lease Cycles'!$CI$18:$CO$18,1,CJ180))^INT(INT(CJ181/12)/INDEX('Lease Cycles'!$CP$18:$CV$18,1,CJ180))/12)))),'Lease Cycles'!$C$18*INDEX('Lease Cycles'!$CB$18:$CH$18,1,CJ180)*(1+INDEX('Lease Cycles'!$CI$18:$CO$18,1,CJ180))^INT(INT(CJ181/12)/INDEX('Lease Cycles'!$CP$18:$CV$18,1,CJ180))/12),IF(INDEX('Lease Cycles'!$EF$18:$EL$18,1,CJ180)=1,IF(AND('Lease Cycles'!$AZ$18&gt;=INDEX('Lease Cycles'!$BG$18:$BM$18,1,CJ180),'Lease Cycles'!$AZ$18&lt;=CJ$6),'Lease Cycles'!$C$18*'Lease Cycles'!$BA$18/12,IF(AND('Lease Cycles'!$AX$18&gt;=INDEX('Lease Cycles'!$BG$18:$BM$18,1,CJ180),'Lease Cycles'!$AX$18&lt;=CJ$6),'Lease Cycles'!$C$18*'Lease Cycles'!$AY$18/12,IF(AND('Lease Cycles'!$AV$18&gt;=INDEX('Lease Cycles'!$BG$18:$BM$18,1,CJ180),'Lease Cycles'!$AV$18&lt;=CJ$6),'Lease Cycles'!$C$18*'Lease Cycles'!$AW$18/12,IF(AND('Lease Cycles'!$AT$18&gt;=INDEX('Lease Cycles'!$BG$18:$BM$18,1,CJ180),'Lease Cycles'!$AT$18&lt;=CJ$6),'Lease Cycles'!$C$18*'Lease Cycles'!$AU$18/12,'Lease Cycles'!$C$18*INDEX('Lease Cycles'!$CB$18:$CH$18,1,CJ180)*(1+INDEX('Lease Cycles'!$CI$18:$CO$18,1,CJ180))^INT(INT(CJ181/12)/INDEX('Lease Cycles'!$CP$18:$CV$18,1,CJ180))/12)))),'Lease Cycles'!$C$18*INDEX('Lease Cycles'!$CB$18:$CH$18,1,CJ180)*(1+INDEX('Lease Cycles'!$CI$18:$CO$18,1,CJ180))^INT(INT(CJ181/12)/INDEX('Lease Cycles'!$CP$18:$CV$18,1,CJ180))/12))),IF('Lease Cycles'!$N$18=1,'Lease Cycles'!$C$18*'Lease Cycles'!$E$18*INDEX('Lease Cycles'!$HE$18:$HK$18,1,CJ180)*(1+INDEX('Lease Cycles'!$GQ$18:$GW$18,1,CJ180))^INT(INT((CJ$6-INDEX('Lease Cycles'!$GJ$18:$GP$18,1,CJ180))/12)/INDEX('Lease Cycles'!$GX$18:$HD$18,1,CJ180))/12,0)))</f>
        <v>0</v>
      </c>
      <c r="CK183" s="28">
        <f>IF(CK180=0,IF('Lease Cycles'!$F$18&gt;0,'Lease Cycles'!$C$18*'Lease Cycles'!$E$18/12,0),IF(CK182=1,IF('Lease Cycles'!$AT$18&gt;=9999,'Lease Cycles'!$C$18*INDEX('Lease Cycles'!$CB$18:$CH$18,1,CK180)*(1+INDEX('Lease Cycles'!$CI$18:$CO$18,1,CK180))^INT(INT(CK181/12)/INDEX('Lease Cycles'!$CP$18:$CV$18,1,CK180))/12,IF(CK180=1,IF(CK181&gt;=INDEX('Lease Cycles'!$DK$18:$DQ$18,1,CK180),IF(CK$6&gt;='Lease Cycles'!$AZ$18,'Lease Cycles'!$C$18*'Lease Cycles'!$BA$18/12,IF(CK$6&gt;='Lease Cycles'!$AX$18,'Lease Cycles'!$C$18*'Lease Cycles'!$AY$18/12,IF(CK$6&gt;='Lease Cycles'!$AV$18,'Lease Cycles'!$C$18*'Lease Cycles'!$AW$18/12,IF(CK$6&gt;='Lease Cycles'!$AT$18,'Lease Cycles'!$C$18*'Lease Cycles'!$AU$18/12,'Lease Cycles'!$C$18*INDEX('Lease Cycles'!$CB$18:$CH$18,1,CK180)*(1+INDEX('Lease Cycles'!$CI$18:$CO$18,1,CK180))^INT(INT(CK181/12)/INDEX('Lease Cycles'!$CP$18:$CV$18,1,CK180))/12)))),'Lease Cycles'!$C$18*INDEX('Lease Cycles'!$CB$18:$CH$18,1,CK180)*(1+INDEX('Lease Cycles'!$CI$18:$CO$18,1,CK180))^INT(INT(CK181/12)/INDEX('Lease Cycles'!$CP$18:$CV$18,1,CK180))/12),IF(INDEX('Lease Cycles'!$EF$18:$EL$18,1,CK180)=1,IF(AND('Lease Cycles'!$AZ$18&gt;=INDEX('Lease Cycles'!$BG$18:$BM$18,1,CK180),'Lease Cycles'!$AZ$18&lt;=CK$6),'Lease Cycles'!$C$18*'Lease Cycles'!$BA$18/12,IF(AND('Lease Cycles'!$AX$18&gt;=INDEX('Lease Cycles'!$BG$18:$BM$18,1,CK180),'Lease Cycles'!$AX$18&lt;=CK$6),'Lease Cycles'!$C$18*'Lease Cycles'!$AY$18/12,IF(AND('Lease Cycles'!$AV$18&gt;=INDEX('Lease Cycles'!$BG$18:$BM$18,1,CK180),'Lease Cycles'!$AV$18&lt;=CK$6),'Lease Cycles'!$C$18*'Lease Cycles'!$AW$18/12,IF(AND('Lease Cycles'!$AT$18&gt;=INDEX('Lease Cycles'!$BG$18:$BM$18,1,CK180),'Lease Cycles'!$AT$18&lt;=CK$6),'Lease Cycles'!$C$18*'Lease Cycles'!$AU$18/12,'Lease Cycles'!$C$18*INDEX('Lease Cycles'!$CB$18:$CH$18,1,CK180)*(1+INDEX('Lease Cycles'!$CI$18:$CO$18,1,CK180))^INT(INT(CK181/12)/INDEX('Lease Cycles'!$CP$18:$CV$18,1,CK180))/12)))),'Lease Cycles'!$C$18*INDEX('Lease Cycles'!$CB$18:$CH$18,1,CK180)*(1+INDEX('Lease Cycles'!$CI$18:$CO$18,1,CK180))^INT(INT(CK181/12)/INDEX('Lease Cycles'!$CP$18:$CV$18,1,CK180))/12))),IF('Lease Cycles'!$N$18=1,'Lease Cycles'!$C$18*'Lease Cycles'!$E$18*INDEX('Lease Cycles'!$HE$18:$HK$18,1,CK180)*(1+INDEX('Lease Cycles'!$GQ$18:$GW$18,1,CK180))^INT(INT((CK$6-INDEX('Lease Cycles'!$GJ$18:$GP$18,1,CK180))/12)/INDEX('Lease Cycles'!$GX$18:$HD$18,1,CK180))/12,0)))</f>
        <v>0</v>
      </c>
      <c r="CL183" s="28">
        <f>IF(CL180=0,IF('Lease Cycles'!$F$18&gt;0,'Lease Cycles'!$C$18*'Lease Cycles'!$E$18/12,0),IF(CL182=1,IF('Lease Cycles'!$AT$18&gt;=9999,'Lease Cycles'!$C$18*INDEX('Lease Cycles'!$CB$18:$CH$18,1,CL180)*(1+INDEX('Lease Cycles'!$CI$18:$CO$18,1,CL180))^INT(INT(CL181/12)/INDEX('Lease Cycles'!$CP$18:$CV$18,1,CL180))/12,IF(CL180=1,IF(CL181&gt;=INDEX('Lease Cycles'!$DK$18:$DQ$18,1,CL180),IF(CL$6&gt;='Lease Cycles'!$AZ$18,'Lease Cycles'!$C$18*'Lease Cycles'!$BA$18/12,IF(CL$6&gt;='Lease Cycles'!$AX$18,'Lease Cycles'!$C$18*'Lease Cycles'!$AY$18/12,IF(CL$6&gt;='Lease Cycles'!$AV$18,'Lease Cycles'!$C$18*'Lease Cycles'!$AW$18/12,IF(CL$6&gt;='Lease Cycles'!$AT$18,'Lease Cycles'!$C$18*'Lease Cycles'!$AU$18/12,'Lease Cycles'!$C$18*INDEX('Lease Cycles'!$CB$18:$CH$18,1,CL180)*(1+INDEX('Lease Cycles'!$CI$18:$CO$18,1,CL180))^INT(INT(CL181/12)/INDEX('Lease Cycles'!$CP$18:$CV$18,1,CL180))/12)))),'Lease Cycles'!$C$18*INDEX('Lease Cycles'!$CB$18:$CH$18,1,CL180)*(1+INDEX('Lease Cycles'!$CI$18:$CO$18,1,CL180))^INT(INT(CL181/12)/INDEX('Lease Cycles'!$CP$18:$CV$18,1,CL180))/12),IF(INDEX('Lease Cycles'!$EF$18:$EL$18,1,CL180)=1,IF(AND('Lease Cycles'!$AZ$18&gt;=INDEX('Lease Cycles'!$BG$18:$BM$18,1,CL180),'Lease Cycles'!$AZ$18&lt;=CL$6),'Lease Cycles'!$C$18*'Lease Cycles'!$BA$18/12,IF(AND('Lease Cycles'!$AX$18&gt;=INDEX('Lease Cycles'!$BG$18:$BM$18,1,CL180),'Lease Cycles'!$AX$18&lt;=CL$6),'Lease Cycles'!$C$18*'Lease Cycles'!$AY$18/12,IF(AND('Lease Cycles'!$AV$18&gt;=INDEX('Lease Cycles'!$BG$18:$BM$18,1,CL180),'Lease Cycles'!$AV$18&lt;=CL$6),'Lease Cycles'!$C$18*'Lease Cycles'!$AW$18/12,IF(AND('Lease Cycles'!$AT$18&gt;=INDEX('Lease Cycles'!$BG$18:$BM$18,1,CL180),'Lease Cycles'!$AT$18&lt;=CL$6),'Lease Cycles'!$C$18*'Lease Cycles'!$AU$18/12,'Lease Cycles'!$C$18*INDEX('Lease Cycles'!$CB$18:$CH$18,1,CL180)*(1+INDEX('Lease Cycles'!$CI$18:$CO$18,1,CL180))^INT(INT(CL181/12)/INDEX('Lease Cycles'!$CP$18:$CV$18,1,CL180))/12)))),'Lease Cycles'!$C$18*INDEX('Lease Cycles'!$CB$18:$CH$18,1,CL180)*(1+INDEX('Lease Cycles'!$CI$18:$CO$18,1,CL180))^INT(INT(CL181/12)/INDEX('Lease Cycles'!$CP$18:$CV$18,1,CL180))/12))),IF('Lease Cycles'!$N$18=1,'Lease Cycles'!$C$18*'Lease Cycles'!$E$18*INDEX('Lease Cycles'!$HE$18:$HK$18,1,CL180)*(1+INDEX('Lease Cycles'!$GQ$18:$GW$18,1,CL180))^INT(INT((CL$6-INDEX('Lease Cycles'!$GJ$18:$GP$18,1,CL180))/12)/INDEX('Lease Cycles'!$GX$18:$HD$18,1,CL180))/12,0)))</f>
        <v>0</v>
      </c>
      <c r="CM183" s="28">
        <f>IF(CM180=0,IF('Lease Cycles'!$F$18&gt;0,'Lease Cycles'!$C$18*'Lease Cycles'!$E$18/12,0),IF(CM182=1,IF('Lease Cycles'!$AT$18&gt;=9999,'Lease Cycles'!$C$18*INDEX('Lease Cycles'!$CB$18:$CH$18,1,CM180)*(1+INDEX('Lease Cycles'!$CI$18:$CO$18,1,CM180))^INT(INT(CM181/12)/INDEX('Lease Cycles'!$CP$18:$CV$18,1,CM180))/12,IF(CM180=1,IF(CM181&gt;=INDEX('Lease Cycles'!$DK$18:$DQ$18,1,CM180),IF(CM$6&gt;='Lease Cycles'!$AZ$18,'Lease Cycles'!$C$18*'Lease Cycles'!$BA$18/12,IF(CM$6&gt;='Lease Cycles'!$AX$18,'Lease Cycles'!$C$18*'Lease Cycles'!$AY$18/12,IF(CM$6&gt;='Lease Cycles'!$AV$18,'Lease Cycles'!$C$18*'Lease Cycles'!$AW$18/12,IF(CM$6&gt;='Lease Cycles'!$AT$18,'Lease Cycles'!$C$18*'Lease Cycles'!$AU$18/12,'Lease Cycles'!$C$18*INDEX('Lease Cycles'!$CB$18:$CH$18,1,CM180)*(1+INDEX('Lease Cycles'!$CI$18:$CO$18,1,CM180))^INT(INT(CM181/12)/INDEX('Lease Cycles'!$CP$18:$CV$18,1,CM180))/12)))),'Lease Cycles'!$C$18*INDEX('Lease Cycles'!$CB$18:$CH$18,1,CM180)*(1+INDEX('Lease Cycles'!$CI$18:$CO$18,1,CM180))^INT(INT(CM181/12)/INDEX('Lease Cycles'!$CP$18:$CV$18,1,CM180))/12),IF(INDEX('Lease Cycles'!$EF$18:$EL$18,1,CM180)=1,IF(AND('Lease Cycles'!$AZ$18&gt;=INDEX('Lease Cycles'!$BG$18:$BM$18,1,CM180),'Lease Cycles'!$AZ$18&lt;=CM$6),'Lease Cycles'!$C$18*'Lease Cycles'!$BA$18/12,IF(AND('Lease Cycles'!$AX$18&gt;=INDEX('Lease Cycles'!$BG$18:$BM$18,1,CM180),'Lease Cycles'!$AX$18&lt;=CM$6),'Lease Cycles'!$C$18*'Lease Cycles'!$AY$18/12,IF(AND('Lease Cycles'!$AV$18&gt;=INDEX('Lease Cycles'!$BG$18:$BM$18,1,CM180),'Lease Cycles'!$AV$18&lt;=CM$6),'Lease Cycles'!$C$18*'Lease Cycles'!$AW$18/12,IF(AND('Lease Cycles'!$AT$18&gt;=INDEX('Lease Cycles'!$BG$18:$BM$18,1,CM180),'Lease Cycles'!$AT$18&lt;=CM$6),'Lease Cycles'!$C$18*'Lease Cycles'!$AU$18/12,'Lease Cycles'!$C$18*INDEX('Lease Cycles'!$CB$18:$CH$18,1,CM180)*(1+INDEX('Lease Cycles'!$CI$18:$CO$18,1,CM180))^INT(INT(CM181/12)/INDEX('Lease Cycles'!$CP$18:$CV$18,1,CM180))/12)))),'Lease Cycles'!$C$18*INDEX('Lease Cycles'!$CB$18:$CH$18,1,CM180)*(1+INDEX('Lease Cycles'!$CI$18:$CO$18,1,CM180))^INT(INT(CM181/12)/INDEX('Lease Cycles'!$CP$18:$CV$18,1,CM180))/12))),IF('Lease Cycles'!$N$18=1,'Lease Cycles'!$C$18*'Lease Cycles'!$E$18*INDEX('Lease Cycles'!$HE$18:$HK$18,1,CM180)*(1+INDEX('Lease Cycles'!$GQ$18:$GW$18,1,CM180))^INT(INT((CM$6-INDEX('Lease Cycles'!$GJ$18:$GP$18,1,CM180))/12)/INDEX('Lease Cycles'!$GX$18:$HD$18,1,CM180))/12,0)))</f>
        <v>0</v>
      </c>
      <c r="CN183" s="28">
        <f>IF(CN180=0,IF('Lease Cycles'!$F$18&gt;0,'Lease Cycles'!$C$18*'Lease Cycles'!$E$18/12,0),IF(CN182=1,IF('Lease Cycles'!$AT$18&gt;=9999,'Lease Cycles'!$C$18*INDEX('Lease Cycles'!$CB$18:$CH$18,1,CN180)*(1+INDEX('Lease Cycles'!$CI$18:$CO$18,1,CN180))^INT(INT(CN181/12)/INDEX('Lease Cycles'!$CP$18:$CV$18,1,CN180))/12,IF(CN180=1,IF(CN181&gt;=INDEX('Lease Cycles'!$DK$18:$DQ$18,1,CN180),IF(CN$6&gt;='Lease Cycles'!$AZ$18,'Lease Cycles'!$C$18*'Lease Cycles'!$BA$18/12,IF(CN$6&gt;='Lease Cycles'!$AX$18,'Lease Cycles'!$C$18*'Lease Cycles'!$AY$18/12,IF(CN$6&gt;='Lease Cycles'!$AV$18,'Lease Cycles'!$C$18*'Lease Cycles'!$AW$18/12,IF(CN$6&gt;='Lease Cycles'!$AT$18,'Lease Cycles'!$C$18*'Lease Cycles'!$AU$18/12,'Lease Cycles'!$C$18*INDEX('Lease Cycles'!$CB$18:$CH$18,1,CN180)*(1+INDEX('Lease Cycles'!$CI$18:$CO$18,1,CN180))^INT(INT(CN181/12)/INDEX('Lease Cycles'!$CP$18:$CV$18,1,CN180))/12)))),'Lease Cycles'!$C$18*INDEX('Lease Cycles'!$CB$18:$CH$18,1,CN180)*(1+INDEX('Lease Cycles'!$CI$18:$CO$18,1,CN180))^INT(INT(CN181/12)/INDEX('Lease Cycles'!$CP$18:$CV$18,1,CN180))/12),IF(INDEX('Lease Cycles'!$EF$18:$EL$18,1,CN180)=1,IF(AND('Lease Cycles'!$AZ$18&gt;=INDEX('Lease Cycles'!$BG$18:$BM$18,1,CN180),'Lease Cycles'!$AZ$18&lt;=CN$6),'Lease Cycles'!$C$18*'Lease Cycles'!$BA$18/12,IF(AND('Lease Cycles'!$AX$18&gt;=INDEX('Lease Cycles'!$BG$18:$BM$18,1,CN180),'Lease Cycles'!$AX$18&lt;=CN$6),'Lease Cycles'!$C$18*'Lease Cycles'!$AY$18/12,IF(AND('Lease Cycles'!$AV$18&gt;=INDEX('Lease Cycles'!$BG$18:$BM$18,1,CN180),'Lease Cycles'!$AV$18&lt;=CN$6),'Lease Cycles'!$C$18*'Lease Cycles'!$AW$18/12,IF(AND('Lease Cycles'!$AT$18&gt;=INDEX('Lease Cycles'!$BG$18:$BM$18,1,CN180),'Lease Cycles'!$AT$18&lt;=CN$6),'Lease Cycles'!$C$18*'Lease Cycles'!$AU$18/12,'Lease Cycles'!$C$18*INDEX('Lease Cycles'!$CB$18:$CH$18,1,CN180)*(1+INDEX('Lease Cycles'!$CI$18:$CO$18,1,CN180))^INT(INT(CN181/12)/INDEX('Lease Cycles'!$CP$18:$CV$18,1,CN180))/12)))),'Lease Cycles'!$C$18*INDEX('Lease Cycles'!$CB$18:$CH$18,1,CN180)*(1+INDEX('Lease Cycles'!$CI$18:$CO$18,1,CN180))^INT(INT(CN181/12)/INDEX('Lease Cycles'!$CP$18:$CV$18,1,CN180))/12))),IF('Lease Cycles'!$N$18=1,'Lease Cycles'!$C$18*'Lease Cycles'!$E$18*INDEX('Lease Cycles'!$HE$18:$HK$18,1,CN180)*(1+INDEX('Lease Cycles'!$GQ$18:$GW$18,1,CN180))^INT(INT((CN$6-INDEX('Lease Cycles'!$GJ$18:$GP$18,1,CN180))/12)/INDEX('Lease Cycles'!$GX$18:$HD$18,1,CN180))/12,0)))</f>
        <v>0</v>
      </c>
      <c r="CO183" s="28">
        <f>IF(CO180=0,IF('Lease Cycles'!$F$18&gt;0,'Lease Cycles'!$C$18*'Lease Cycles'!$E$18/12,0),IF(CO182=1,IF('Lease Cycles'!$AT$18&gt;=9999,'Lease Cycles'!$C$18*INDEX('Lease Cycles'!$CB$18:$CH$18,1,CO180)*(1+INDEX('Lease Cycles'!$CI$18:$CO$18,1,CO180))^INT(INT(CO181/12)/INDEX('Lease Cycles'!$CP$18:$CV$18,1,CO180))/12,IF(CO180=1,IF(CO181&gt;=INDEX('Lease Cycles'!$DK$18:$DQ$18,1,CO180),IF(CO$6&gt;='Lease Cycles'!$AZ$18,'Lease Cycles'!$C$18*'Lease Cycles'!$BA$18/12,IF(CO$6&gt;='Lease Cycles'!$AX$18,'Lease Cycles'!$C$18*'Lease Cycles'!$AY$18/12,IF(CO$6&gt;='Lease Cycles'!$AV$18,'Lease Cycles'!$C$18*'Lease Cycles'!$AW$18/12,IF(CO$6&gt;='Lease Cycles'!$AT$18,'Lease Cycles'!$C$18*'Lease Cycles'!$AU$18/12,'Lease Cycles'!$C$18*INDEX('Lease Cycles'!$CB$18:$CH$18,1,CO180)*(1+INDEX('Lease Cycles'!$CI$18:$CO$18,1,CO180))^INT(INT(CO181/12)/INDEX('Lease Cycles'!$CP$18:$CV$18,1,CO180))/12)))),'Lease Cycles'!$C$18*INDEX('Lease Cycles'!$CB$18:$CH$18,1,CO180)*(1+INDEX('Lease Cycles'!$CI$18:$CO$18,1,CO180))^INT(INT(CO181/12)/INDEX('Lease Cycles'!$CP$18:$CV$18,1,CO180))/12),IF(INDEX('Lease Cycles'!$EF$18:$EL$18,1,CO180)=1,IF(AND('Lease Cycles'!$AZ$18&gt;=INDEX('Lease Cycles'!$BG$18:$BM$18,1,CO180),'Lease Cycles'!$AZ$18&lt;=CO$6),'Lease Cycles'!$C$18*'Lease Cycles'!$BA$18/12,IF(AND('Lease Cycles'!$AX$18&gt;=INDEX('Lease Cycles'!$BG$18:$BM$18,1,CO180),'Lease Cycles'!$AX$18&lt;=CO$6),'Lease Cycles'!$C$18*'Lease Cycles'!$AY$18/12,IF(AND('Lease Cycles'!$AV$18&gt;=INDEX('Lease Cycles'!$BG$18:$BM$18,1,CO180),'Lease Cycles'!$AV$18&lt;=CO$6),'Lease Cycles'!$C$18*'Lease Cycles'!$AW$18/12,IF(AND('Lease Cycles'!$AT$18&gt;=INDEX('Lease Cycles'!$BG$18:$BM$18,1,CO180),'Lease Cycles'!$AT$18&lt;=CO$6),'Lease Cycles'!$C$18*'Lease Cycles'!$AU$18/12,'Lease Cycles'!$C$18*INDEX('Lease Cycles'!$CB$18:$CH$18,1,CO180)*(1+INDEX('Lease Cycles'!$CI$18:$CO$18,1,CO180))^INT(INT(CO181/12)/INDEX('Lease Cycles'!$CP$18:$CV$18,1,CO180))/12)))),'Lease Cycles'!$C$18*INDEX('Lease Cycles'!$CB$18:$CH$18,1,CO180)*(1+INDEX('Lease Cycles'!$CI$18:$CO$18,1,CO180))^INT(INT(CO181/12)/INDEX('Lease Cycles'!$CP$18:$CV$18,1,CO180))/12))),IF('Lease Cycles'!$N$18=1,'Lease Cycles'!$C$18*'Lease Cycles'!$E$18*INDEX('Lease Cycles'!$HE$18:$HK$18,1,CO180)*(1+INDEX('Lease Cycles'!$GQ$18:$GW$18,1,CO180))^INT(INT((CO$6-INDEX('Lease Cycles'!$GJ$18:$GP$18,1,CO180))/12)/INDEX('Lease Cycles'!$GX$18:$HD$18,1,CO180))/12,0)))</f>
        <v>0</v>
      </c>
      <c r="CP183" s="28">
        <f>IF(CP180=0,IF('Lease Cycles'!$F$18&gt;0,'Lease Cycles'!$C$18*'Lease Cycles'!$E$18/12,0),IF(CP182=1,IF('Lease Cycles'!$AT$18&gt;=9999,'Lease Cycles'!$C$18*INDEX('Lease Cycles'!$CB$18:$CH$18,1,CP180)*(1+INDEX('Lease Cycles'!$CI$18:$CO$18,1,CP180))^INT(INT(CP181/12)/INDEX('Lease Cycles'!$CP$18:$CV$18,1,CP180))/12,IF(CP180=1,IF(CP181&gt;=INDEX('Lease Cycles'!$DK$18:$DQ$18,1,CP180),IF(CP$6&gt;='Lease Cycles'!$AZ$18,'Lease Cycles'!$C$18*'Lease Cycles'!$BA$18/12,IF(CP$6&gt;='Lease Cycles'!$AX$18,'Lease Cycles'!$C$18*'Lease Cycles'!$AY$18/12,IF(CP$6&gt;='Lease Cycles'!$AV$18,'Lease Cycles'!$C$18*'Lease Cycles'!$AW$18/12,IF(CP$6&gt;='Lease Cycles'!$AT$18,'Lease Cycles'!$C$18*'Lease Cycles'!$AU$18/12,'Lease Cycles'!$C$18*INDEX('Lease Cycles'!$CB$18:$CH$18,1,CP180)*(1+INDEX('Lease Cycles'!$CI$18:$CO$18,1,CP180))^INT(INT(CP181/12)/INDEX('Lease Cycles'!$CP$18:$CV$18,1,CP180))/12)))),'Lease Cycles'!$C$18*INDEX('Lease Cycles'!$CB$18:$CH$18,1,CP180)*(1+INDEX('Lease Cycles'!$CI$18:$CO$18,1,CP180))^INT(INT(CP181/12)/INDEX('Lease Cycles'!$CP$18:$CV$18,1,CP180))/12),IF(INDEX('Lease Cycles'!$EF$18:$EL$18,1,CP180)=1,IF(AND('Lease Cycles'!$AZ$18&gt;=INDEX('Lease Cycles'!$BG$18:$BM$18,1,CP180),'Lease Cycles'!$AZ$18&lt;=CP$6),'Lease Cycles'!$C$18*'Lease Cycles'!$BA$18/12,IF(AND('Lease Cycles'!$AX$18&gt;=INDEX('Lease Cycles'!$BG$18:$BM$18,1,CP180),'Lease Cycles'!$AX$18&lt;=CP$6),'Lease Cycles'!$C$18*'Lease Cycles'!$AY$18/12,IF(AND('Lease Cycles'!$AV$18&gt;=INDEX('Lease Cycles'!$BG$18:$BM$18,1,CP180),'Lease Cycles'!$AV$18&lt;=CP$6),'Lease Cycles'!$C$18*'Lease Cycles'!$AW$18/12,IF(AND('Lease Cycles'!$AT$18&gt;=INDEX('Lease Cycles'!$BG$18:$BM$18,1,CP180),'Lease Cycles'!$AT$18&lt;=CP$6),'Lease Cycles'!$C$18*'Lease Cycles'!$AU$18/12,'Lease Cycles'!$C$18*INDEX('Lease Cycles'!$CB$18:$CH$18,1,CP180)*(1+INDEX('Lease Cycles'!$CI$18:$CO$18,1,CP180))^INT(INT(CP181/12)/INDEX('Lease Cycles'!$CP$18:$CV$18,1,CP180))/12)))),'Lease Cycles'!$C$18*INDEX('Lease Cycles'!$CB$18:$CH$18,1,CP180)*(1+INDEX('Lease Cycles'!$CI$18:$CO$18,1,CP180))^INT(INT(CP181/12)/INDEX('Lease Cycles'!$CP$18:$CV$18,1,CP180))/12))),IF('Lease Cycles'!$N$18=1,'Lease Cycles'!$C$18*'Lease Cycles'!$E$18*INDEX('Lease Cycles'!$HE$18:$HK$18,1,CP180)*(1+INDEX('Lease Cycles'!$GQ$18:$GW$18,1,CP180))^INT(INT((CP$6-INDEX('Lease Cycles'!$GJ$18:$GP$18,1,CP180))/12)/INDEX('Lease Cycles'!$GX$18:$HD$18,1,CP180))/12,0)))</f>
        <v>0</v>
      </c>
      <c r="CQ183" s="28">
        <f>IF(CQ180=0,IF('Lease Cycles'!$F$18&gt;0,'Lease Cycles'!$C$18*'Lease Cycles'!$E$18/12,0),IF(CQ182=1,IF('Lease Cycles'!$AT$18&gt;=9999,'Lease Cycles'!$C$18*INDEX('Lease Cycles'!$CB$18:$CH$18,1,CQ180)*(1+INDEX('Lease Cycles'!$CI$18:$CO$18,1,CQ180))^INT(INT(CQ181/12)/INDEX('Lease Cycles'!$CP$18:$CV$18,1,CQ180))/12,IF(CQ180=1,IF(CQ181&gt;=INDEX('Lease Cycles'!$DK$18:$DQ$18,1,CQ180),IF(CQ$6&gt;='Lease Cycles'!$AZ$18,'Lease Cycles'!$C$18*'Lease Cycles'!$BA$18/12,IF(CQ$6&gt;='Lease Cycles'!$AX$18,'Lease Cycles'!$C$18*'Lease Cycles'!$AY$18/12,IF(CQ$6&gt;='Lease Cycles'!$AV$18,'Lease Cycles'!$C$18*'Lease Cycles'!$AW$18/12,IF(CQ$6&gt;='Lease Cycles'!$AT$18,'Lease Cycles'!$C$18*'Lease Cycles'!$AU$18/12,'Lease Cycles'!$C$18*INDEX('Lease Cycles'!$CB$18:$CH$18,1,CQ180)*(1+INDEX('Lease Cycles'!$CI$18:$CO$18,1,CQ180))^INT(INT(CQ181/12)/INDEX('Lease Cycles'!$CP$18:$CV$18,1,CQ180))/12)))),'Lease Cycles'!$C$18*INDEX('Lease Cycles'!$CB$18:$CH$18,1,CQ180)*(1+INDEX('Lease Cycles'!$CI$18:$CO$18,1,CQ180))^INT(INT(CQ181/12)/INDEX('Lease Cycles'!$CP$18:$CV$18,1,CQ180))/12),IF(INDEX('Lease Cycles'!$EF$18:$EL$18,1,CQ180)=1,IF(AND('Lease Cycles'!$AZ$18&gt;=INDEX('Lease Cycles'!$BG$18:$BM$18,1,CQ180),'Lease Cycles'!$AZ$18&lt;=CQ$6),'Lease Cycles'!$C$18*'Lease Cycles'!$BA$18/12,IF(AND('Lease Cycles'!$AX$18&gt;=INDEX('Lease Cycles'!$BG$18:$BM$18,1,CQ180),'Lease Cycles'!$AX$18&lt;=CQ$6),'Lease Cycles'!$C$18*'Lease Cycles'!$AY$18/12,IF(AND('Lease Cycles'!$AV$18&gt;=INDEX('Lease Cycles'!$BG$18:$BM$18,1,CQ180),'Lease Cycles'!$AV$18&lt;=CQ$6),'Lease Cycles'!$C$18*'Lease Cycles'!$AW$18/12,IF(AND('Lease Cycles'!$AT$18&gt;=INDEX('Lease Cycles'!$BG$18:$BM$18,1,CQ180),'Lease Cycles'!$AT$18&lt;=CQ$6),'Lease Cycles'!$C$18*'Lease Cycles'!$AU$18/12,'Lease Cycles'!$C$18*INDEX('Lease Cycles'!$CB$18:$CH$18,1,CQ180)*(1+INDEX('Lease Cycles'!$CI$18:$CO$18,1,CQ180))^INT(INT(CQ181/12)/INDEX('Lease Cycles'!$CP$18:$CV$18,1,CQ180))/12)))),'Lease Cycles'!$C$18*INDEX('Lease Cycles'!$CB$18:$CH$18,1,CQ180)*(1+INDEX('Lease Cycles'!$CI$18:$CO$18,1,CQ180))^INT(INT(CQ181/12)/INDEX('Lease Cycles'!$CP$18:$CV$18,1,CQ180))/12))),IF('Lease Cycles'!$N$18=1,'Lease Cycles'!$C$18*'Lease Cycles'!$E$18*INDEX('Lease Cycles'!$HE$18:$HK$18,1,CQ180)*(1+INDEX('Lease Cycles'!$GQ$18:$GW$18,1,CQ180))^INT(INT((CQ$6-INDEX('Lease Cycles'!$GJ$18:$GP$18,1,CQ180))/12)/INDEX('Lease Cycles'!$GX$18:$HD$18,1,CQ180))/12,0)))</f>
        <v>0</v>
      </c>
      <c r="CR183" s="28">
        <f>IF(CR180=0,IF('Lease Cycles'!$F$18&gt;0,'Lease Cycles'!$C$18*'Lease Cycles'!$E$18/12,0),IF(CR182=1,IF('Lease Cycles'!$AT$18&gt;=9999,'Lease Cycles'!$C$18*INDEX('Lease Cycles'!$CB$18:$CH$18,1,CR180)*(1+INDEX('Lease Cycles'!$CI$18:$CO$18,1,CR180))^INT(INT(CR181/12)/INDEX('Lease Cycles'!$CP$18:$CV$18,1,CR180))/12,IF(CR180=1,IF(CR181&gt;=INDEX('Lease Cycles'!$DK$18:$DQ$18,1,CR180),IF(CR$6&gt;='Lease Cycles'!$AZ$18,'Lease Cycles'!$C$18*'Lease Cycles'!$BA$18/12,IF(CR$6&gt;='Lease Cycles'!$AX$18,'Lease Cycles'!$C$18*'Lease Cycles'!$AY$18/12,IF(CR$6&gt;='Lease Cycles'!$AV$18,'Lease Cycles'!$C$18*'Lease Cycles'!$AW$18/12,IF(CR$6&gt;='Lease Cycles'!$AT$18,'Lease Cycles'!$C$18*'Lease Cycles'!$AU$18/12,'Lease Cycles'!$C$18*INDEX('Lease Cycles'!$CB$18:$CH$18,1,CR180)*(1+INDEX('Lease Cycles'!$CI$18:$CO$18,1,CR180))^INT(INT(CR181/12)/INDEX('Lease Cycles'!$CP$18:$CV$18,1,CR180))/12)))),'Lease Cycles'!$C$18*INDEX('Lease Cycles'!$CB$18:$CH$18,1,CR180)*(1+INDEX('Lease Cycles'!$CI$18:$CO$18,1,CR180))^INT(INT(CR181/12)/INDEX('Lease Cycles'!$CP$18:$CV$18,1,CR180))/12),IF(INDEX('Lease Cycles'!$EF$18:$EL$18,1,CR180)=1,IF(AND('Lease Cycles'!$AZ$18&gt;=INDEX('Lease Cycles'!$BG$18:$BM$18,1,CR180),'Lease Cycles'!$AZ$18&lt;=CR$6),'Lease Cycles'!$C$18*'Lease Cycles'!$BA$18/12,IF(AND('Lease Cycles'!$AX$18&gt;=INDEX('Lease Cycles'!$BG$18:$BM$18,1,CR180),'Lease Cycles'!$AX$18&lt;=CR$6),'Lease Cycles'!$C$18*'Lease Cycles'!$AY$18/12,IF(AND('Lease Cycles'!$AV$18&gt;=INDEX('Lease Cycles'!$BG$18:$BM$18,1,CR180),'Lease Cycles'!$AV$18&lt;=CR$6),'Lease Cycles'!$C$18*'Lease Cycles'!$AW$18/12,IF(AND('Lease Cycles'!$AT$18&gt;=INDEX('Lease Cycles'!$BG$18:$BM$18,1,CR180),'Lease Cycles'!$AT$18&lt;=CR$6),'Lease Cycles'!$C$18*'Lease Cycles'!$AU$18/12,'Lease Cycles'!$C$18*INDEX('Lease Cycles'!$CB$18:$CH$18,1,CR180)*(1+INDEX('Lease Cycles'!$CI$18:$CO$18,1,CR180))^INT(INT(CR181/12)/INDEX('Lease Cycles'!$CP$18:$CV$18,1,CR180))/12)))),'Lease Cycles'!$C$18*INDEX('Lease Cycles'!$CB$18:$CH$18,1,CR180)*(1+INDEX('Lease Cycles'!$CI$18:$CO$18,1,CR180))^INT(INT(CR181/12)/INDEX('Lease Cycles'!$CP$18:$CV$18,1,CR180))/12))),IF('Lease Cycles'!$N$18=1,'Lease Cycles'!$C$18*'Lease Cycles'!$E$18*INDEX('Lease Cycles'!$HE$18:$HK$18,1,CR180)*(1+INDEX('Lease Cycles'!$GQ$18:$GW$18,1,CR180))^INT(INT((CR$6-INDEX('Lease Cycles'!$GJ$18:$GP$18,1,CR180))/12)/INDEX('Lease Cycles'!$GX$18:$HD$18,1,CR180))/12,0)))</f>
        <v>0</v>
      </c>
      <c r="CS183" s="28">
        <f>IF(CS180=0,IF('Lease Cycles'!$F$18&gt;0,'Lease Cycles'!$C$18*'Lease Cycles'!$E$18/12,0),IF(CS182=1,IF('Lease Cycles'!$AT$18&gt;=9999,'Lease Cycles'!$C$18*INDEX('Lease Cycles'!$CB$18:$CH$18,1,CS180)*(1+INDEX('Lease Cycles'!$CI$18:$CO$18,1,CS180))^INT(INT(CS181/12)/INDEX('Lease Cycles'!$CP$18:$CV$18,1,CS180))/12,IF(CS180=1,IF(CS181&gt;=INDEX('Lease Cycles'!$DK$18:$DQ$18,1,CS180),IF(CS$6&gt;='Lease Cycles'!$AZ$18,'Lease Cycles'!$C$18*'Lease Cycles'!$BA$18/12,IF(CS$6&gt;='Lease Cycles'!$AX$18,'Lease Cycles'!$C$18*'Lease Cycles'!$AY$18/12,IF(CS$6&gt;='Lease Cycles'!$AV$18,'Lease Cycles'!$C$18*'Lease Cycles'!$AW$18/12,IF(CS$6&gt;='Lease Cycles'!$AT$18,'Lease Cycles'!$C$18*'Lease Cycles'!$AU$18/12,'Lease Cycles'!$C$18*INDEX('Lease Cycles'!$CB$18:$CH$18,1,CS180)*(1+INDEX('Lease Cycles'!$CI$18:$CO$18,1,CS180))^INT(INT(CS181/12)/INDEX('Lease Cycles'!$CP$18:$CV$18,1,CS180))/12)))),'Lease Cycles'!$C$18*INDEX('Lease Cycles'!$CB$18:$CH$18,1,CS180)*(1+INDEX('Lease Cycles'!$CI$18:$CO$18,1,CS180))^INT(INT(CS181/12)/INDEX('Lease Cycles'!$CP$18:$CV$18,1,CS180))/12),IF(INDEX('Lease Cycles'!$EF$18:$EL$18,1,CS180)=1,IF(AND('Lease Cycles'!$AZ$18&gt;=INDEX('Lease Cycles'!$BG$18:$BM$18,1,CS180),'Lease Cycles'!$AZ$18&lt;=CS$6),'Lease Cycles'!$C$18*'Lease Cycles'!$BA$18/12,IF(AND('Lease Cycles'!$AX$18&gt;=INDEX('Lease Cycles'!$BG$18:$BM$18,1,CS180),'Lease Cycles'!$AX$18&lt;=CS$6),'Lease Cycles'!$C$18*'Lease Cycles'!$AY$18/12,IF(AND('Lease Cycles'!$AV$18&gt;=INDEX('Lease Cycles'!$BG$18:$BM$18,1,CS180),'Lease Cycles'!$AV$18&lt;=CS$6),'Lease Cycles'!$C$18*'Lease Cycles'!$AW$18/12,IF(AND('Lease Cycles'!$AT$18&gt;=INDEX('Lease Cycles'!$BG$18:$BM$18,1,CS180),'Lease Cycles'!$AT$18&lt;=CS$6),'Lease Cycles'!$C$18*'Lease Cycles'!$AU$18/12,'Lease Cycles'!$C$18*INDEX('Lease Cycles'!$CB$18:$CH$18,1,CS180)*(1+INDEX('Lease Cycles'!$CI$18:$CO$18,1,CS180))^INT(INT(CS181/12)/INDEX('Lease Cycles'!$CP$18:$CV$18,1,CS180))/12)))),'Lease Cycles'!$C$18*INDEX('Lease Cycles'!$CB$18:$CH$18,1,CS180)*(1+INDEX('Lease Cycles'!$CI$18:$CO$18,1,CS180))^INT(INT(CS181/12)/INDEX('Lease Cycles'!$CP$18:$CV$18,1,CS180))/12))),IF('Lease Cycles'!$N$18=1,'Lease Cycles'!$C$18*'Lease Cycles'!$E$18*INDEX('Lease Cycles'!$HE$18:$HK$18,1,CS180)*(1+INDEX('Lease Cycles'!$GQ$18:$GW$18,1,CS180))^INT(INT((CS$6-INDEX('Lease Cycles'!$GJ$18:$GP$18,1,CS180))/12)/INDEX('Lease Cycles'!$GX$18:$HD$18,1,CS180))/12,0)))</f>
        <v>0</v>
      </c>
      <c r="CT183" s="28">
        <f>IF(CT180=0,IF('Lease Cycles'!$F$18&gt;0,'Lease Cycles'!$C$18*'Lease Cycles'!$E$18/12,0),IF(CT182=1,IF('Lease Cycles'!$AT$18&gt;=9999,'Lease Cycles'!$C$18*INDEX('Lease Cycles'!$CB$18:$CH$18,1,CT180)*(1+INDEX('Lease Cycles'!$CI$18:$CO$18,1,CT180))^INT(INT(CT181/12)/INDEX('Lease Cycles'!$CP$18:$CV$18,1,CT180))/12,IF(CT180=1,IF(CT181&gt;=INDEX('Lease Cycles'!$DK$18:$DQ$18,1,CT180),IF(CT$6&gt;='Lease Cycles'!$AZ$18,'Lease Cycles'!$C$18*'Lease Cycles'!$BA$18/12,IF(CT$6&gt;='Lease Cycles'!$AX$18,'Lease Cycles'!$C$18*'Lease Cycles'!$AY$18/12,IF(CT$6&gt;='Lease Cycles'!$AV$18,'Lease Cycles'!$C$18*'Lease Cycles'!$AW$18/12,IF(CT$6&gt;='Lease Cycles'!$AT$18,'Lease Cycles'!$C$18*'Lease Cycles'!$AU$18/12,'Lease Cycles'!$C$18*INDEX('Lease Cycles'!$CB$18:$CH$18,1,CT180)*(1+INDEX('Lease Cycles'!$CI$18:$CO$18,1,CT180))^INT(INT(CT181/12)/INDEX('Lease Cycles'!$CP$18:$CV$18,1,CT180))/12)))),'Lease Cycles'!$C$18*INDEX('Lease Cycles'!$CB$18:$CH$18,1,CT180)*(1+INDEX('Lease Cycles'!$CI$18:$CO$18,1,CT180))^INT(INT(CT181/12)/INDEX('Lease Cycles'!$CP$18:$CV$18,1,CT180))/12),IF(INDEX('Lease Cycles'!$EF$18:$EL$18,1,CT180)=1,IF(AND('Lease Cycles'!$AZ$18&gt;=INDEX('Lease Cycles'!$BG$18:$BM$18,1,CT180),'Lease Cycles'!$AZ$18&lt;=CT$6),'Lease Cycles'!$C$18*'Lease Cycles'!$BA$18/12,IF(AND('Lease Cycles'!$AX$18&gt;=INDEX('Lease Cycles'!$BG$18:$BM$18,1,CT180),'Lease Cycles'!$AX$18&lt;=CT$6),'Lease Cycles'!$C$18*'Lease Cycles'!$AY$18/12,IF(AND('Lease Cycles'!$AV$18&gt;=INDEX('Lease Cycles'!$BG$18:$BM$18,1,CT180),'Lease Cycles'!$AV$18&lt;=CT$6),'Lease Cycles'!$C$18*'Lease Cycles'!$AW$18/12,IF(AND('Lease Cycles'!$AT$18&gt;=INDEX('Lease Cycles'!$BG$18:$BM$18,1,CT180),'Lease Cycles'!$AT$18&lt;=CT$6),'Lease Cycles'!$C$18*'Lease Cycles'!$AU$18/12,'Lease Cycles'!$C$18*INDEX('Lease Cycles'!$CB$18:$CH$18,1,CT180)*(1+INDEX('Lease Cycles'!$CI$18:$CO$18,1,CT180))^INT(INT(CT181/12)/INDEX('Lease Cycles'!$CP$18:$CV$18,1,CT180))/12)))),'Lease Cycles'!$C$18*INDEX('Lease Cycles'!$CB$18:$CH$18,1,CT180)*(1+INDEX('Lease Cycles'!$CI$18:$CO$18,1,CT180))^INT(INT(CT181/12)/INDEX('Lease Cycles'!$CP$18:$CV$18,1,CT180))/12))),IF('Lease Cycles'!$N$18=1,'Lease Cycles'!$C$18*'Lease Cycles'!$E$18*INDEX('Lease Cycles'!$HE$18:$HK$18,1,CT180)*(1+INDEX('Lease Cycles'!$GQ$18:$GW$18,1,CT180))^INT(INT((CT$6-INDEX('Lease Cycles'!$GJ$18:$GP$18,1,CT180))/12)/INDEX('Lease Cycles'!$GX$18:$HD$18,1,CT180))/12,0)))</f>
        <v>0</v>
      </c>
      <c r="CU183" s="28">
        <f>IF(CU180=0,IF('Lease Cycles'!$F$18&gt;0,'Lease Cycles'!$C$18*'Lease Cycles'!$E$18/12,0),IF(CU182=1,IF('Lease Cycles'!$AT$18&gt;=9999,'Lease Cycles'!$C$18*INDEX('Lease Cycles'!$CB$18:$CH$18,1,CU180)*(1+INDEX('Lease Cycles'!$CI$18:$CO$18,1,CU180))^INT(INT(CU181/12)/INDEX('Lease Cycles'!$CP$18:$CV$18,1,CU180))/12,IF(CU180=1,IF(CU181&gt;=INDEX('Lease Cycles'!$DK$18:$DQ$18,1,CU180),IF(CU$6&gt;='Lease Cycles'!$AZ$18,'Lease Cycles'!$C$18*'Lease Cycles'!$BA$18/12,IF(CU$6&gt;='Lease Cycles'!$AX$18,'Lease Cycles'!$C$18*'Lease Cycles'!$AY$18/12,IF(CU$6&gt;='Lease Cycles'!$AV$18,'Lease Cycles'!$C$18*'Lease Cycles'!$AW$18/12,IF(CU$6&gt;='Lease Cycles'!$AT$18,'Lease Cycles'!$C$18*'Lease Cycles'!$AU$18/12,'Lease Cycles'!$C$18*INDEX('Lease Cycles'!$CB$18:$CH$18,1,CU180)*(1+INDEX('Lease Cycles'!$CI$18:$CO$18,1,CU180))^INT(INT(CU181/12)/INDEX('Lease Cycles'!$CP$18:$CV$18,1,CU180))/12)))),'Lease Cycles'!$C$18*INDEX('Lease Cycles'!$CB$18:$CH$18,1,CU180)*(1+INDEX('Lease Cycles'!$CI$18:$CO$18,1,CU180))^INT(INT(CU181/12)/INDEX('Lease Cycles'!$CP$18:$CV$18,1,CU180))/12),IF(INDEX('Lease Cycles'!$EF$18:$EL$18,1,CU180)=1,IF(AND('Lease Cycles'!$AZ$18&gt;=INDEX('Lease Cycles'!$BG$18:$BM$18,1,CU180),'Lease Cycles'!$AZ$18&lt;=CU$6),'Lease Cycles'!$C$18*'Lease Cycles'!$BA$18/12,IF(AND('Lease Cycles'!$AX$18&gt;=INDEX('Lease Cycles'!$BG$18:$BM$18,1,CU180),'Lease Cycles'!$AX$18&lt;=CU$6),'Lease Cycles'!$C$18*'Lease Cycles'!$AY$18/12,IF(AND('Lease Cycles'!$AV$18&gt;=INDEX('Lease Cycles'!$BG$18:$BM$18,1,CU180),'Lease Cycles'!$AV$18&lt;=CU$6),'Lease Cycles'!$C$18*'Lease Cycles'!$AW$18/12,IF(AND('Lease Cycles'!$AT$18&gt;=INDEX('Lease Cycles'!$BG$18:$BM$18,1,CU180),'Lease Cycles'!$AT$18&lt;=CU$6),'Lease Cycles'!$C$18*'Lease Cycles'!$AU$18/12,'Lease Cycles'!$C$18*INDEX('Lease Cycles'!$CB$18:$CH$18,1,CU180)*(1+INDEX('Lease Cycles'!$CI$18:$CO$18,1,CU180))^INT(INT(CU181/12)/INDEX('Lease Cycles'!$CP$18:$CV$18,1,CU180))/12)))),'Lease Cycles'!$C$18*INDEX('Lease Cycles'!$CB$18:$CH$18,1,CU180)*(1+INDEX('Lease Cycles'!$CI$18:$CO$18,1,CU180))^INT(INT(CU181/12)/INDEX('Lease Cycles'!$CP$18:$CV$18,1,CU180))/12))),IF('Lease Cycles'!$N$18=1,'Lease Cycles'!$C$18*'Lease Cycles'!$E$18*INDEX('Lease Cycles'!$HE$18:$HK$18,1,CU180)*(1+INDEX('Lease Cycles'!$GQ$18:$GW$18,1,CU180))^INT(INT((CU$6-INDEX('Lease Cycles'!$GJ$18:$GP$18,1,CU180))/12)/INDEX('Lease Cycles'!$GX$18:$HD$18,1,CU180))/12,0)))</f>
        <v>0</v>
      </c>
      <c r="CV183" s="28">
        <f>IF(CV180=0,IF('Lease Cycles'!$F$18&gt;0,'Lease Cycles'!$C$18*'Lease Cycles'!$E$18/12,0),IF(CV182=1,IF('Lease Cycles'!$AT$18&gt;=9999,'Lease Cycles'!$C$18*INDEX('Lease Cycles'!$CB$18:$CH$18,1,CV180)*(1+INDEX('Lease Cycles'!$CI$18:$CO$18,1,CV180))^INT(INT(CV181/12)/INDEX('Lease Cycles'!$CP$18:$CV$18,1,CV180))/12,IF(CV180=1,IF(CV181&gt;=INDEX('Lease Cycles'!$DK$18:$DQ$18,1,CV180),IF(CV$6&gt;='Lease Cycles'!$AZ$18,'Lease Cycles'!$C$18*'Lease Cycles'!$BA$18/12,IF(CV$6&gt;='Lease Cycles'!$AX$18,'Lease Cycles'!$C$18*'Lease Cycles'!$AY$18/12,IF(CV$6&gt;='Lease Cycles'!$AV$18,'Lease Cycles'!$C$18*'Lease Cycles'!$AW$18/12,IF(CV$6&gt;='Lease Cycles'!$AT$18,'Lease Cycles'!$C$18*'Lease Cycles'!$AU$18/12,'Lease Cycles'!$C$18*INDEX('Lease Cycles'!$CB$18:$CH$18,1,CV180)*(1+INDEX('Lease Cycles'!$CI$18:$CO$18,1,CV180))^INT(INT(CV181/12)/INDEX('Lease Cycles'!$CP$18:$CV$18,1,CV180))/12)))),'Lease Cycles'!$C$18*INDEX('Lease Cycles'!$CB$18:$CH$18,1,CV180)*(1+INDEX('Lease Cycles'!$CI$18:$CO$18,1,CV180))^INT(INT(CV181/12)/INDEX('Lease Cycles'!$CP$18:$CV$18,1,CV180))/12),IF(INDEX('Lease Cycles'!$EF$18:$EL$18,1,CV180)=1,IF(AND('Lease Cycles'!$AZ$18&gt;=INDEX('Lease Cycles'!$BG$18:$BM$18,1,CV180),'Lease Cycles'!$AZ$18&lt;=CV$6),'Lease Cycles'!$C$18*'Lease Cycles'!$BA$18/12,IF(AND('Lease Cycles'!$AX$18&gt;=INDEX('Lease Cycles'!$BG$18:$BM$18,1,CV180),'Lease Cycles'!$AX$18&lt;=CV$6),'Lease Cycles'!$C$18*'Lease Cycles'!$AY$18/12,IF(AND('Lease Cycles'!$AV$18&gt;=INDEX('Lease Cycles'!$BG$18:$BM$18,1,CV180),'Lease Cycles'!$AV$18&lt;=CV$6),'Lease Cycles'!$C$18*'Lease Cycles'!$AW$18/12,IF(AND('Lease Cycles'!$AT$18&gt;=INDEX('Lease Cycles'!$BG$18:$BM$18,1,CV180),'Lease Cycles'!$AT$18&lt;=CV$6),'Lease Cycles'!$C$18*'Lease Cycles'!$AU$18/12,'Lease Cycles'!$C$18*INDEX('Lease Cycles'!$CB$18:$CH$18,1,CV180)*(1+INDEX('Lease Cycles'!$CI$18:$CO$18,1,CV180))^INT(INT(CV181/12)/INDEX('Lease Cycles'!$CP$18:$CV$18,1,CV180))/12)))),'Lease Cycles'!$C$18*INDEX('Lease Cycles'!$CB$18:$CH$18,1,CV180)*(1+INDEX('Lease Cycles'!$CI$18:$CO$18,1,CV180))^INT(INT(CV181/12)/INDEX('Lease Cycles'!$CP$18:$CV$18,1,CV180))/12))),IF('Lease Cycles'!$N$18=1,'Lease Cycles'!$C$18*'Lease Cycles'!$E$18*INDEX('Lease Cycles'!$HE$18:$HK$18,1,CV180)*(1+INDEX('Lease Cycles'!$GQ$18:$GW$18,1,CV180))^INT(INT((CV$6-INDEX('Lease Cycles'!$GJ$18:$GP$18,1,CV180))/12)/INDEX('Lease Cycles'!$GX$18:$HD$18,1,CV180))/12,0)))</f>
        <v>0</v>
      </c>
      <c r="CW183" s="28">
        <f>IF(CW180=0,IF('Lease Cycles'!$F$18&gt;0,'Lease Cycles'!$C$18*'Lease Cycles'!$E$18/12,0),IF(CW182=1,IF('Lease Cycles'!$AT$18&gt;=9999,'Lease Cycles'!$C$18*INDEX('Lease Cycles'!$CB$18:$CH$18,1,CW180)*(1+INDEX('Lease Cycles'!$CI$18:$CO$18,1,CW180))^INT(INT(CW181/12)/INDEX('Lease Cycles'!$CP$18:$CV$18,1,CW180))/12,IF(CW180=1,IF(CW181&gt;=INDEX('Lease Cycles'!$DK$18:$DQ$18,1,CW180),IF(CW$6&gt;='Lease Cycles'!$AZ$18,'Lease Cycles'!$C$18*'Lease Cycles'!$BA$18/12,IF(CW$6&gt;='Lease Cycles'!$AX$18,'Lease Cycles'!$C$18*'Lease Cycles'!$AY$18/12,IF(CW$6&gt;='Lease Cycles'!$AV$18,'Lease Cycles'!$C$18*'Lease Cycles'!$AW$18/12,IF(CW$6&gt;='Lease Cycles'!$AT$18,'Lease Cycles'!$C$18*'Lease Cycles'!$AU$18/12,'Lease Cycles'!$C$18*INDEX('Lease Cycles'!$CB$18:$CH$18,1,CW180)*(1+INDEX('Lease Cycles'!$CI$18:$CO$18,1,CW180))^INT(INT(CW181/12)/INDEX('Lease Cycles'!$CP$18:$CV$18,1,CW180))/12)))),'Lease Cycles'!$C$18*INDEX('Lease Cycles'!$CB$18:$CH$18,1,CW180)*(1+INDEX('Lease Cycles'!$CI$18:$CO$18,1,CW180))^INT(INT(CW181/12)/INDEX('Lease Cycles'!$CP$18:$CV$18,1,CW180))/12),IF(INDEX('Lease Cycles'!$EF$18:$EL$18,1,CW180)=1,IF(AND('Lease Cycles'!$AZ$18&gt;=INDEX('Lease Cycles'!$BG$18:$BM$18,1,CW180),'Lease Cycles'!$AZ$18&lt;=CW$6),'Lease Cycles'!$C$18*'Lease Cycles'!$BA$18/12,IF(AND('Lease Cycles'!$AX$18&gt;=INDEX('Lease Cycles'!$BG$18:$BM$18,1,CW180),'Lease Cycles'!$AX$18&lt;=CW$6),'Lease Cycles'!$C$18*'Lease Cycles'!$AY$18/12,IF(AND('Lease Cycles'!$AV$18&gt;=INDEX('Lease Cycles'!$BG$18:$BM$18,1,CW180),'Lease Cycles'!$AV$18&lt;=CW$6),'Lease Cycles'!$C$18*'Lease Cycles'!$AW$18/12,IF(AND('Lease Cycles'!$AT$18&gt;=INDEX('Lease Cycles'!$BG$18:$BM$18,1,CW180),'Lease Cycles'!$AT$18&lt;=CW$6),'Lease Cycles'!$C$18*'Lease Cycles'!$AU$18/12,'Lease Cycles'!$C$18*INDEX('Lease Cycles'!$CB$18:$CH$18,1,CW180)*(1+INDEX('Lease Cycles'!$CI$18:$CO$18,1,CW180))^INT(INT(CW181/12)/INDEX('Lease Cycles'!$CP$18:$CV$18,1,CW180))/12)))),'Lease Cycles'!$C$18*INDEX('Lease Cycles'!$CB$18:$CH$18,1,CW180)*(1+INDEX('Lease Cycles'!$CI$18:$CO$18,1,CW180))^INT(INT(CW181/12)/INDEX('Lease Cycles'!$CP$18:$CV$18,1,CW180))/12))),IF('Lease Cycles'!$N$18=1,'Lease Cycles'!$C$18*'Lease Cycles'!$E$18*INDEX('Lease Cycles'!$HE$18:$HK$18,1,CW180)*(1+INDEX('Lease Cycles'!$GQ$18:$GW$18,1,CW180))^INT(INT((CW$6-INDEX('Lease Cycles'!$GJ$18:$GP$18,1,CW180))/12)/INDEX('Lease Cycles'!$GX$18:$HD$18,1,CW180))/12,0)))</f>
        <v>0</v>
      </c>
      <c r="CX183" s="28">
        <f>IF(CX180=0,IF('Lease Cycles'!$F$18&gt;0,'Lease Cycles'!$C$18*'Lease Cycles'!$E$18/12,0),IF(CX182=1,IF('Lease Cycles'!$AT$18&gt;=9999,'Lease Cycles'!$C$18*INDEX('Lease Cycles'!$CB$18:$CH$18,1,CX180)*(1+INDEX('Lease Cycles'!$CI$18:$CO$18,1,CX180))^INT(INT(CX181/12)/INDEX('Lease Cycles'!$CP$18:$CV$18,1,CX180))/12,IF(CX180=1,IF(CX181&gt;=INDEX('Lease Cycles'!$DK$18:$DQ$18,1,CX180),IF(CX$6&gt;='Lease Cycles'!$AZ$18,'Lease Cycles'!$C$18*'Lease Cycles'!$BA$18/12,IF(CX$6&gt;='Lease Cycles'!$AX$18,'Lease Cycles'!$C$18*'Lease Cycles'!$AY$18/12,IF(CX$6&gt;='Lease Cycles'!$AV$18,'Lease Cycles'!$C$18*'Lease Cycles'!$AW$18/12,IF(CX$6&gt;='Lease Cycles'!$AT$18,'Lease Cycles'!$C$18*'Lease Cycles'!$AU$18/12,'Lease Cycles'!$C$18*INDEX('Lease Cycles'!$CB$18:$CH$18,1,CX180)*(1+INDEX('Lease Cycles'!$CI$18:$CO$18,1,CX180))^INT(INT(CX181/12)/INDEX('Lease Cycles'!$CP$18:$CV$18,1,CX180))/12)))),'Lease Cycles'!$C$18*INDEX('Lease Cycles'!$CB$18:$CH$18,1,CX180)*(1+INDEX('Lease Cycles'!$CI$18:$CO$18,1,CX180))^INT(INT(CX181/12)/INDEX('Lease Cycles'!$CP$18:$CV$18,1,CX180))/12),IF(INDEX('Lease Cycles'!$EF$18:$EL$18,1,CX180)=1,IF(AND('Lease Cycles'!$AZ$18&gt;=INDEX('Lease Cycles'!$BG$18:$BM$18,1,CX180),'Lease Cycles'!$AZ$18&lt;=CX$6),'Lease Cycles'!$C$18*'Lease Cycles'!$BA$18/12,IF(AND('Lease Cycles'!$AX$18&gt;=INDEX('Lease Cycles'!$BG$18:$BM$18,1,CX180),'Lease Cycles'!$AX$18&lt;=CX$6),'Lease Cycles'!$C$18*'Lease Cycles'!$AY$18/12,IF(AND('Lease Cycles'!$AV$18&gt;=INDEX('Lease Cycles'!$BG$18:$BM$18,1,CX180),'Lease Cycles'!$AV$18&lt;=CX$6),'Lease Cycles'!$C$18*'Lease Cycles'!$AW$18/12,IF(AND('Lease Cycles'!$AT$18&gt;=INDEX('Lease Cycles'!$BG$18:$BM$18,1,CX180),'Lease Cycles'!$AT$18&lt;=CX$6),'Lease Cycles'!$C$18*'Lease Cycles'!$AU$18/12,'Lease Cycles'!$C$18*INDEX('Lease Cycles'!$CB$18:$CH$18,1,CX180)*(1+INDEX('Lease Cycles'!$CI$18:$CO$18,1,CX180))^INT(INT(CX181/12)/INDEX('Lease Cycles'!$CP$18:$CV$18,1,CX180))/12)))),'Lease Cycles'!$C$18*INDEX('Lease Cycles'!$CB$18:$CH$18,1,CX180)*(1+INDEX('Lease Cycles'!$CI$18:$CO$18,1,CX180))^INT(INT(CX181/12)/INDEX('Lease Cycles'!$CP$18:$CV$18,1,CX180))/12))),IF('Lease Cycles'!$N$18=1,'Lease Cycles'!$C$18*'Lease Cycles'!$E$18*INDEX('Lease Cycles'!$HE$18:$HK$18,1,CX180)*(1+INDEX('Lease Cycles'!$GQ$18:$GW$18,1,CX180))^INT(INT((CX$6-INDEX('Lease Cycles'!$GJ$18:$GP$18,1,CX180))/12)/INDEX('Lease Cycles'!$GX$18:$HD$18,1,CX180))/12,0)))</f>
        <v>0</v>
      </c>
      <c r="CY183" s="28">
        <f>IF(CY180=0,IF('Lease Cycles'!$F$18&gt;0,'Lease Cycles'!$C$18*'Lease Cycles'!$E$18/12,0),IF(CY182=1,IF('Lease Cycles'!$AT$18&gt;=9999,'Lease Cycles'!$C$18*INDEX('Lease Cycles'!$CB$18:$CH$18,1,CY180)*(1+INDEX('Lease Cycles'!$CI$18:$CO$18,1,CY180))^INT(INT(CY181/12)/INDEX('Lease Cycles'!$CP$18:$CV$18,1,CY180))/12,IF(CY180=1,IF(CY181&gt;=INDEX('Lease Cycles'!$DK$18:$DQ$18,1,CY180),IF(CY$6&gt;='Lease Cycles'!$AZ$18,'Lease Cycles'!$C$18*'Lease Cycles'!$BA$18/12,IF(CY$6&gt;='Lease Cycles'!$AX$18,'Lease Cycles'!$C$18*'Lease Cycles'!$AY$18/12,IF(CY$6&gt;='Lease Cycles'!$AV$18,'Lease Cycles'!$C$18*'Lease Cycles'!$AW$18/12,IF(CY$6&gt;='Lease Cycles'!$AT$18,'Lease Cycles'!$C$18*'Lease Cycles'!$AU$18/12,'Lease Cycles'!$C$18*INDEX('Lease Cycles'!$CB$18:$CH$18,1,CY180)*(1+INDEX('Lease Cycles'!$CI$18:$CO$18,1,CY180))^INT(INT(CY181/12)/INDEX('Lease Cycles'!$CP$18:$CV$18,1,CY180))/12)))),'Lease Cycles'!$C$18*INDEX('Lease Cycles'!$CB$18:$CH$18,1,CY180)*(1+INDEX('Lease Cycles'!$CI$18:$CO$18,1,CY180))^INT(INT(CY181/12)/INDEX('Lease Cycles'!$CP$18:$CV$18,1,CY180))/12),IF(INDEX('Lease Cycles'!$EF$18:$EL$18,1,CY180)=1,IF(AND('Lease Cycles'!$AZ$18&gt;=INDEX('Lease Cycles'!$BG$18:$BM$18,1,CY180),'Lease Cycles'!$AZ$18&lt;=CY$6),'Lease Cycles'!$C$18*'Lease Cycles'!$BA$18/12,IF(AND('Lease Cycles'!$AX$18&gt;=INDEX('Lease Cycles'!$BG$18:$BM$18,1,CY180),'Lease Cycles'!$AX$18&lt;=CY$6),'Lease Cycles'!$C$18*'Lease Cycles'!$AY$18/12,IF(AND('Lease Cycles'!$AV$18&gt;=INDEX('Lease Cycles'!$BG$18:$BM$18,1,CY180),'Lease Cycles'!$AV$18&lt;=CY$6),'Lease Cycles'!$C$18*'Lease Cycles'!$AW$18/12,IF(AND('Lease Cycles'!$AT$18&gt;=INDEX('Lease Cycles'!$BG$18:$BM$18,1,CY180),'Lease Cycles'!$AT$18&lt;=CY$6),'Lease Cycles'!$C$18*'Lease Cycles'!$AU$18/12,'Lease Cycles'!$C$18*INDEX('Lease Cycles'!$CB$18:$CH$18,1,CY180)*(1+INDEX('Lease Cycles'!$CI$18:$CO$18,1,CY180))^INT(INT(CY181/12)/INDEX('Lease Cycles'!$CP$18:$CV$18,1,CY180))/12)))),'Lease Cycles'!$C$18*INDEX('Lease Cycles'!$CB$18:$CH$18,1,CY180)*(1+INDEX('Lease Cycles'!$CI$18:$CO$18,1,CY180))^INT(INT(CY181/12)/INDEX('Lease Cycles'!$CP$18:$CV$18,1,CY180))/12))),IF('Lease Cycles'!$N$18=1,'Lease Cycles'!$C$18*'Lease Cycles'!$E$18*INDEX('Lease Cycles'!$HE$18:$HK$18,1,CY180)*(1+INDEX('Lease Cycles'!$GQ$18:$GW$18,1,CY180))^INT(INT((CY$6-INDEX('Lease Cycles'!$GJ$18:$GP$18,1,CY180))/12)/INDEX('Lease Cycles'!$GX$18:$HD$18,1,CY180))/12,0)))</f>
        <v>0</v>
      </c>
      <c r="CZ183" s="28">
        <f>IF(CZ180=0,IF('Lease Cycles'!$F$18&gt;0,'Lease Cycles'!$C$18*'Lease Cycles'!$E$18/12,0),IF(CZ182=1,IF('Lease Cycles'!$AT$18&gt;=9999,'Lease Cycles'!$C$18*INDEX('Lease Cycles'!$CB$18:$CH$18,1,CZ180)*(1+INDEX('Lease Cycles'!$CI$18:$CO$18,1,CZ180))^INT(INT(CZ181/12)/INDEX('Lease Cycles'!$CP$18:$CV$18,1,CZ180))/12,IF(CZ180=1,IF(CZ181&gt;=INDEX('Lease Cycles'!$DK$18:$DQ$18,1,CZ180),IF(CZ$6&gt;='Lease Cycles'!$AZ$18,'Lease Cycles'!$C$18*'Lease Cycles'!$BA$18/12,IF(CZ$6&gt;='Lease Cycles'!$AX$18,'Lease Cycles'!$C$18*'Lease Cycles'!$AY$18/12,IF(CZ$6&gt;='Lease Cycles'!$AV$18,'Lease Cycles'!$C$18*'Lease Cycles'!$AW$18/12,IF(CZ$6&gt;='Lease Cycles'!$AT$18,'Lease Cycles'!$C$18*'Lease Cycles'!$AU$18/12,'Lease Cycles'!$C$18*INDEX('Lease Cycles'!$CB$18:$CH$18,1,CZ180)*(1+INDEX('Lease Cycles'!$CI$18:$CO$18,1,CZ180))^INT(INT(CZ181/12)/INDEX('Lease Cycles'!$CP$18:$CV$18,1,CZ180))/12)))),'Lease Cycles'!$C$18*INDEX('Lease Cycles'!$CB$18:$CH$18,1,CZ180)*(1+INDEX('Lease Cycles'!$CI$18:$CO$18,1,CZ180))^INT(INT(CZ181/12)/INDEX('Lease Cycles'!$CP$18:$CV$18,1,CZ180))/12),IF(INDEX('Lease Cycles'!$EF$18:$EL$18,1,CZ180)=1,IF(AND('Lease Cycles'!$AZ$18&gt;=INDEX('Lease Cycles'!$BG$18:$BM$18,1,CZ180),'Lease Cycles'!$AZ$18&lt;=CZ$6),'Lease Cycles'!$C$18*'Lease Cycles'!$BA$18/12,IF(AND('Lease Cycles'!$AX$18&gt;=INDEX('Lease Cycles'!$BG$18:$BM$18,1,CZ180),'Lease Cycles'!$AX$18&lt;=CZ$6),'Lease Cycles'!$C$18*'Lease Cycles'!$AY$18/12,IF(AND('Lease Cycles'!$AV$18&gt;=INDEX('Lease Cycles'!$BG$18:$BM$18,1,CZ180),'Lease Cycles'!$AV$18&lt;=CZ$6),'Lease Cycles'!$C$18*'Lease Cycles'!$AW$18/12,IF(AND('Lease Cycles'!$AT$18&gt;=INDEX('Lease Cycles'!$BG$18:$BM$18,1,CZ180),'Lease Cycles'!$AT$18&lt;=CZ$6),'Lease Cycles'!$C$18*'Lease Cycles'!$AU$18/12,'Lease Cycles'!$C$18*INDEX('Lease Cycles'!$CB$18:$CH$18,1,CZ180)*(1+INDEX('Lease Cycles'!$CI$18:$CO$18,1,CZ180))^INT(INT(CZ181/12)/INDEX('Lease Cycles'!$CP$18:$CV$18,1,CZ180))/12)))),'Lease Cycles'!$C$18*INDEX('Lease Cycles'!$CB$18:$CH$18,1,CZ180)*(1+INDEX('Lease Cycles'!$CI$18:$CO$18,1,CZ180))^INT(INT(CZ181/12)/INDEX('Lease Cycles'!$CP$18:$CV$18,1,CZ180))/12))),IF('Lease Cycles'!$N$18=1,'Lease Cycles'!$C$18*'Lease Cycles'!$E$18*INDEX('Lease Cycles'!$HE$18:$HK$18,1,CZ180)*(1+INDEX('Lease Cycles'!$GQ$18:$GW$18,1,CZ180))^INT(INT((CZ$6-INDEX('Lease Cycles'!$GJ$18:$GP$18,1,CZ180))/12)/INDEX('Lease Cycles'!$GX$18:$HD$18,1,CZ180))/12,0)))</f>
        <v>0</v>
      </c>
      <c r="DA183" s="28">
        <f>IF(DA180=0,IF('Lease Cycles'!$F$18&gt;0,'Lease Cycles'!$C$18*'Lease Cycles'!$E$18/12,0),IF(DA182=1,IF('Lease Cycles'!$AT$18&gt;=9999,'Lease Cycles'!$C$18*INDEX('Lease Cycles'!$CB$18:$CH$18,1,DA180)*(1+INDEX('Lease Cycles'!$CI$18:$CO$18,1,DA180))^INT(INT(DA181/12)/INDEX('Lease Cycles'!$CP$18:$CV$18,1,DA180))/12,IF(DA180=1,IF(DA181&gt;=INDEX('Lease Cycles'!$DK$18:$DQ$18,1,DA180),IF(DA$6&gt;='Lease Cycles'!$AZ$18,'Lease Cycles'!$C$18*'Lease Cycles'!$BA$18/12,IF(DA$6&gt;='Lease Cycles'!$AX$18,'Lease Cycles'!$C$18*'Lease Cycles'!$AY$18/12,IF(DA$6&gt;='Lease Cycles'!$AV$18,'Lease Cycles'!$C$18*'Lease Cycles'!$AW$18/12,IF(DA$6&gt;='Lease Cycles'!$AT$18,'Lease Cycles'!$C$18*'Lease Cycles'!$AU$18/12,'Lease Cycles'!$C$18*INDEX('Lease Cycles'!$CB$18:$CH$18,1,DA180)*(1+INDEX('Lease Cycles'!$CI$18:$CO$18,1,DA180))^INT(INT(DA181/12)/INDEX('Lease Cycles'!$CP$18:$CV$18,1,DA180))/12)))),'Lease Cycles'!$C$18*INDEX('Lease Cycles'!$CB$18:$CH$18,1,DA180)*(1+INDEX('Lease Cycles'!$CI$18:$CO$18,1,DA180))^INT(INT(DA181/12)/INDEX('Lease Cycles'!$CP$18:$CV$18,1,DA180))/12),IF(INDEX('Lease Cycles'!$EF$18:$EL$18,1,DA180)=1,IF(AND('Lease Cycles'!$AZ$18&gt;=INDEX('Lease Cycles'!$BG$18:$BM$18,1,DA180),'Lease Cycles'!$AZ$18&lt;=DA$6),'Lease Cycles'!$C$18*'Lease Cycles'!$BA$18/12,IF(AND('Lease Cycles'!$AX$18&gt;=INDEX('Lease Cycles'!$BG$18:$BM$18,1,DA180),'Lease Cycles'!$AX$18&lt;=DA$6),'Lease Cycles'!$C$18*'Lease Cycles'!$AY$18/12,IF(AND('Lease Cycles'!$AV$18&gt;=INDEX('Lease Cycles'!$BG$18:$BM$18,1,DA180),'Lease Cycles'!$AV$18&lt;=DA$6),'Lease Cycles'!$C$18*'Lease Cycles'!$AW$18/12,IF(AND('Lease Cycles'!$AT$18&gt;=INDEX('Lease Cycles'!$BG$18:$BM$18,1,DA180),'Lease Cycles'!$AT$18&lt;=DA$6),'Lease Cycles'!$C$18*'Lease Cycles'!$AU$18/12,'Lease Cycles'!$C$18*INDEX('Lease Cycles'!$CB$18:$CH$18,1,DA180)*(1+INDEX('Lease Cycles'!$CI$18:$CO$18,1,DA180))^INT(INT(DA181/12)/INDEX('Lease Cycles'!$CP$18:$CV$18,1,DA180))/12)))),'Lease Cycles'!$C$18*INDEX('Lease Cycles'!$CB$18:$CH$18,1,DA180)*(1+INDEX('Lease Cycles'!$CI$18:$CO$18,1,DA180))^INT(INT(DA181/12)/INDEX('Lease Cycles'!$CP$18:$CV$18,1,DA180))/12))),IF('Lease Cycles'!$N$18=1,'Lease Cycles'!$C$18*'Lease Cycles'!$E$18*INDEX('Lease Cycles'!$HE$18:$HK$18,1,DA180)*(1+INDEX('Lease Cycles'!$GQ$18:$GW$18,1,DA180))^INT(INT((DA$6-INDEX('Lease Cycles'!$GJ$18:$GP$18,1,DA180))/12)/INDEX('Lease Cycles'!$GX$18:$HD$18,1,DA180))/12,0)))</f>
        <v>0</v>
      </c>
      <c r="DB183" s="28">
        <f>IF(DB180=0,IF('Lease Cycles'!$F$18&gt;0,'Lease Cycles'!$C$18*'Lease Cycles'!$E$18/12,0),IF(DB182=1,IF('Lease Cycles'!$AT$18&gt;=9999,'Lease Cycles'!$C$18*INDEX('Lease Cycles'!$CB$18:$CH$18,1,DB180)*(1+INDEX('Lease Cycles'!$CI$18:$CO$18,1,DB180))^INT(INT(DB181/12)/INDEX('Lease Cycles'!$CP$18:$CV$18,1,DB180))/12,IF(DB180=1,IF(DB181&gt;=INDEX('Lease Cycles'!$DK$18:$DQ$18,1,DB180),IF(DB$6&gt;='Lease Cycles'!$AZ$18,'Lease Cycles'!$C$18*'Lease Cycles'!$BA$18/12,IF(DB$6&gt;='Lease Cycles'!$AX$18,'Lease Cycles'!$C$18*'Lease Cycles'!$AY$18/12,IF(DB$6&gt;='Lease Cycles'!$AV$18,'Lease Cycles'!$C$18*'Lease Cycles'!$AW$18/12,IF(DB$6&gt;='Lease Cycles'!$AT$18,'Lease Cycles'!$C$18*'Lease Cycles'!$AU$18/12,'Lease Cycles'!$C$18*INDEX('Lease Cycles'!$CB$18:$CH$18,1,DB180)*(1+INDEX('Lease Cycles'!$CI$18:$CO$18,1,DB180))^INT(INT(DB181/12)/INDEX('Lease Cycles'!$CP$18:$CV$18,1,DB180))/12)))),'Lease Cycles'!$C$18*INDEX('Lease Cycles'!$CB$18:$CH$18,1,DB180)*(1+INDEX('Lease Cycles'!$CI$18:$CO$18,1,DB180))^INT(INT(DB181/12)/INDEX('Lease Cycles'!$CP$18:$CV$18,1,DB180))/12),IF(INDEX('Lease Cycles'!$EF$18:$EL$18,1,DB180)=1,IF(AND('Lease Cycles'!$AZ$18&gt;=INDEX('Lease Cycles'!$BG$18:$BM$18,1,DB180),'Lease Cycles'!$AZ$18&lt;=DB$6),'Lease Cycles'!$C$18*'Lease Cycles'!$BA$18/12,IF(AND('Lease Cycles'!$AX$18&gt;=INDEX('Lease Cycles'!$BG$18:$BM$18,1,DB180),'Lease Cycles'!$AX$18&lt;=DB$6),'Lease Cycles'!$C$18*'Lease Cycles'!$AY$18/12,IF(AND('Lease Cycles'!$AV$18&gt;=INDEX('Lease Cycles'!$BG$18:$BM$18,1,DB180),'Lease Cycles'!$AV$18&lt;=DB$6),'Lease Cycles'!$C$18*'Lease Cycles'!$AW$18/12,IF(AND('Lease Cycles'!$AT$18&gt;=INDEX('Lease Cycles'!$BG$18:$BM$18,1,DB180),'Lease Cycles'!$AT$18&lt;=DB$6),'Lease Cycles'!$C$18*'Lease Cycles'!$AU$18/12,'Lease Cycles'!$C$18*INDEX('Lease Cycles'!$CB$18:$CH$18,1,DB180)*(1+INDEX('Lease Cycles'!$CI$18:$CO$18,1,DB180))^INT(INT(DB181/12)/INDEX('Lease Cycles'!$CP$18:$CV$18,1,DB180))/12)))),'Lease Cycles'!$C$18*INDEX('Lease Cycles'!$CB$18:$CH$18,1,DB180)*(1+INDEX('Lease Cycles'!$CI$18:$CO$18,1,DB180))^INT(INT(DB181/12)/INDEX('Lease Cycles'!$CP$18:$CV$18,1,DB180))/12))),IF('Lease Cycles'!$N$18=1,'Lease Cycles'!$C$18*'Lease Cycles'!$E$18*INDEX('Lease Cycles'!$HE$18:$HK$18,1,DB180)*(1+INDEX('Lease Cycles'!$GQ$18:$GW$18,1,DB180))^INT(INT((DB$6-INDEX('Lease Cycles'!$GJ$18:$GP$18,1,DB180))/12)/INDEX('Lease Cycles'!$GX$18:$HD$18,1,DB180))/12,0)))</f>
        <v>0</v>
      </c>
      <c r="DC183" s="28">
        <f>IF(DC180=0,IF('Lease Cycles'!$F$18&gt;0,'Lease Cycles'!$C$18*'Lease Cycles'!$E$18/12,0),IF(DC182=1,IF('Lease Cycles'!$AT$18&gt;=9999,'Lease Cycles'!$C$18*INDEX('Lease Cycles'!$CB$18:$CH$18,1,DC180)*(1+INDEX('Lease Cycles'!$CI$18:$CO$18,1,DC180))^INT(INT(DC181/12)/INDEX('Lease Cycles'!$CP$18:$CV$18,1,DC180))/12,IF(DC180=1,IF(DC181&gt;=INDEX('Lease Cycles'!$DK$18:$DQ$18,1,DC180),IF(DC$6&gt;='Lease Cycles'!$AZ$18,'Lease Cycles'!$C$18*'Lease Cycles'!$BA$18/12,IF(DC$6&gt;='Lease Cycles'!$AX$18,'Lease Cycles'!$C$18*'Lease Cycles'!$AY$18/12,IF(DC$6&gt;='Lease Cycles'!$AV$18,'Lease Cycles'!$C$18*'Lease Cycles'!$AW$18/12,IF(DC$6&gt;='Lease Cycles'!$AT$18,'Lease Cycles'!$C$18*'Lease Cycles'!$AU$18/12,'Lease Cycles'!$C$18*INDEX('Lease Cycles'!$CB$18:$CH$18,1,DC180)*(1+INDEX('Lease Cycles'!$CI$18:$CO$18,1,DC180))^INT(INT(DC181/12)/INDEX('Lease Cycles'!$CP$18:$CV$18,1,DC180))/12)))),'Lease Cycles'!$C$18*INDEX('Lease Cycles'!$CB$18:$CH$18,1,DC180)*(1+INDEX('Lease Cycles'!$CI$18:$CO$18,1,DC180))^INT(INT(DC181/12)/INDEX('Lease Cycles'!$CP$18:$CV$18,1,DC180))/12),IF(INDEX('Lease Cycles'!$EF$18:$EL$18,1,DC180)=1,IF(AND('Lease Cycles'!$AZ$18&gt;=INDEX('Lease Cycles'!$BG$18:$BM$18,1,DC180),'Lease Cycles'!$AZ$18&lt;=DC$6),'Lease Cycles'!$C$18*'Lease Cycles'!$BA$18/12,IF(AND('Lease Cycles'!$AX$18&gt;=INDEX('Lease Cycles'!$BG$18:$BM$18,1,DC180),'Lease Cycles'!$AX$18&lt;=DC$6),'Lease Cycles'!$C$18*'Lease Cycles'!$AY$18/12,IF(AND('Lease Cycles'!$AV$18&gt;=INDEX('Lease Cycles'!$BG$18:$BM$18,1,DC180),'Lease Cycles'!$AV$18&lt;=DC$6),'Lease Cycles'!$C$18*'Lease Cycles'!$AW$18/12,IF(AND('Lease Cycles'!$AT$18&gt;=INDEX('Lease Cycles'!$BG$18:$BM$18,1,DC180),'Lease Cycles'!$AT$18&lt;=DC$6),'Lease Cycles'!$C$18*'Lease Cycles'!$AU$18/12,'Lease Cycles'!$C$18*INDEX('Lease Cycles'!$CB$18:$CH$18,1,DC180)*(1+INDEX('Lease Cycles'!$CI$18:$CO$18,1,DC180))^INT(INT(DC181/12)/INDEX('Lease Cycles'!$CP$18:$CV$18,1,DC180))/12)))),'Lease Cycles'!$C$18*INDEX('Lease Cycles'!$CB$18:$CH$18,1,DC180)*(1+INDEX('Lease Cycles'!$CI$18:$CO$18,1,DC180))^INT(INT(DC181/12)/INDEX('Lease Cycles'!$CP$18:$CV$18,1,DC180))/12))),IF('Lease Cycles'!$N$18=1,'Lease Cycles'!$C$18*'Lease Cycles'!$E$18*INDEX('Lease Cycles'!$HE$18:$HK$18,1,DC180)*(1+INDEX('Lease Cycles'!$GQ$18:$GW$18,1,DC180))^INT(INT((DC$6-INDEX('Lease Cycles'!$GJ$18:$GP$18,1,DC180))/12)/INDEX('Lease Cycles'!$GX$18:$HD$18,1,DC180))/12,0)))</f>
        <v>0</v>
      </c>
      <c r="DD183" s="28">
        <f>IF(DD180=0,IF('Lease Cycles'!$F$18&gt;0,'Lease Cycles'!$C$18*'Lease Cycles'!$E$18/12,0),IF(DD182=1,IF('Lease Cycles'!$AT$18&gt;=9999,'Lease Cycles'!$C$18*INDEX('Lease Cycles'!$CB$18:$CH$18,1,DD180)*(1+INDEX('Lease Cycles'!$CI$18:$CO$18,1,DD180))^INT(INT(DD181/12)/INDEX('Lease Cycles'!$CP$18:$CV$18,1,DD180))/12,IF(DD180=1,IF(DD181&gt;=INDEX('Lease Cycles'!$DK$18:$DQ$18,1,DD180),IF(DD$6&gt;='Lease Cycles'!$AZ$18,'Lease Cycles'!$C$18*'Lease Cycles'!$BA$18/12,IF(DD$6&gt;='Lease Cycles'!$AX$18,'Lease Cycles'!$C$18*'Lease Cycles'!$AY$18/12,IF(DD$6&gt;='Lease Cycles'!$AV$18,'Lease Cycles'!$C$18*'Lease Cycles'!$AW$18/12,IF(DD$6&gt;='Lease Cycles'!$AT$18,'Lease Cycles'!$C$18*'Lease Cycles'!$AU$18/12,'Lease Cycles'!$C$18*INDEX('Lease Cycles'!$CB$18:$CH$18,1,DD180)*(1+INDEX('Lease Cycles'!$CI$18:$CO$18,1,DD180))^INT(INT(DD181/12)/INDEX('Lease Cycles'!$CP$18:$CV$18,1,DD180))/12)))),'Lease Cycles'!$C$18*INDEX('Lease Cycles'!$CB$18:$CH$18,1,DD180)*(1+INDEX('Lease Cycles'!$CI$18:$CO$18,1,DD180))^INT(INT(DD181/12)/INDEX('Lease Cycles'!$CP$18:$CV$18,1,DD180))/12),IF(INDEX('Lease Cycles'!$EF$18:$EL$18,1,DD180)=1,IF(AND('Lease Cycles'!$AZ$18&gt;=INDEX('Lease Cycles'!$BG$18:$BM$18,1,DD180),'Lease Cycles'!$AZ$18&lt;=DD$6),'Lease Cycles'!$C$18*'Lease Cycles'!$BA$18/12,IF(AND('Lease Cycles'!$AX$18&gt;=INDEX('Lease Cycles'!$BG$18:$BM$18,1,DD180),'Lease Cycles'!$AX$18&lt;=DD$6),'Lease Cycles'!$C$18*'Lease Cycles'!$AY$18/12,IF(AND('Lease Cycles'!$AV$18&gt;=INDEX('Lease Cycles'!$BG$18:$BM$18,1,DD180),'Lease Cycles'!$AV$18&lt;=DD$6),'Lease Cycles'!$C$18*'Lease Cycles'!$AW$18/12,IF(AND('Lease Cycles'!$AT$18&gt;=INDEX('Lease Cycles'!$BG$18:$BM$18,1,DD180),'Lease Cycles'!$AT$18&lt;=DD$6),'Lease Cycles'!$C$18*'Lease Cycles'!$AU$18/12,'Lease Cycles'!$C$18*INDEX('Lease Cycles'!$CB$18:$CH$18,1,DD180)*(1+INDEX('Lease Cycles'!$CI$18:$CO$18,1,DD180))^INT(INT(DD181/12)/INDEX('Lease Cycles'!$CP$18:$CV$18,1,DD180))/12)))),'Lease Cycles'!$C$18*INDEX('Lease Cycles'!$CB$18:$CH$18,1,DD180)*(1+INDEX('Lease Cycles'!$CI$18:$CO$18,1,DD180))^INT(INT(DD181/12)/INDEX('Lease Cycles'!$CP$18:$CV$18,1,DD180))/12))),IF('Lease Cycles'!$N$18=1,'Lease Cycles'!$C$18*'Lease Cycles'!$E$18*INDEX('Lease Cycles'!$HE$18:$HK$18,1,DD180)*(1+INDEX('Lease Cycles'!$GQ$18:$GW$18,1,DD180))^INT(INT((DD$6-INDEX('Lease Cycles'!$GJ$18:$GP$18,1,DD180))/12)/INDEX('Lease Cycles'!$GX$18:$HD$18,1,DD180))/12,0)))</f>
        <v>0</v>
      </c>
      <c r="DE183" s="28">
        <f>IF(DE180=0,IF('Lease Cycles'!$F$18&gt;0,'Lease Cycles'!$C$18*'Lease Cycles'!$E$18/12,0),IF(DE182=1,IF('Lease Cycles'!$AT$18&gt;=9999,'Lease Cycles'!$C$18*INDEX('Lease Cycles'!$CB$18:$CH$18,1,DE180)*(1+INDEX('Lease Cycles'!$CI$18:$CO$18,1,DE180))^INT(INT(DE181/12)/INDEX('Lease Cycles'!$CP$18:$CV$18,1,DE180))/12,IF(DE180=1,IF(DE181&gt;=INDEX('Lease Cycles'!$DK$18:$DQ$18,1,DE180),IF(DE$6&gt;='Lease Cycles'!$AZ$18,'Lease Cycles'!$C$18*'Lease Cycles'!$BA$18/12,IF(DE$6&gt;='Lease Cycles'!$AX$18,'Lease Cycles'!$C$18*'Lease Cycles'!$AY$18/12,IF(DE$6&gt;='Lease Cycles'!$AV$18,'Lease Cycles'!$C$18*'Lease Cycles'!$AW$18/12,IF(DE$6&gt;='Lease Cycles'!$AT$18,'Lease Cycles'!$C$18*'Lease Cycles'!$AU$18/12,'Lease Cycles'!$C$18*INDEX('Lease Cycles'!$CB$18:$CH$18,1,DE180)*(1+INDEX('Lease Cycles'!$CI$18:$CO$18,1,DE180))^INT(INT(DE181/12)/INDEX('Lease Cycles'!$CP$18:$CV$18,1,DE180))/12)))),'Lease Cycles'!$C$18*INDEX('Lease Cycles'!$CB$18:$CH$18,1,DE180)*(1+INDEX('Lease Cycles'!$CI$18:$CO$18,1,DE180))^INT(INT(DE181/12)/INDEX('Lease Cycles'!$CP$18:$CV$18,1,DE180))/12),IF(INDEX('Lease Cycles'!$EF$18:$EL$18,1,DE180)=1,IF(AND('Lease Cycles'!$AZ$18&gt;=INDEX('Lease Cycles'!$BG$18:$BM$18,1,DE180),'Lease Cycles'!$AZ$18&lt;=DE$6),'Lease Cycles'!$C$18*'Lease Cycles'!$BA$18/12,IF(AND('Lease Cycles'!$AX$18&gt;=INDEX('Lease Cycles'!$BG$18:$BM$18,1,DE180),'Lease Cycles'!$AX$18&lt;=DE$6),'Lease Cycles'!$C$18*'Lease Cycles'!$AY$18/12,IF(AND('Lease Cycles'!$AV$18&gt;=INDEX('Lease Cycles'!$BG$18:$BM$18,1,DE180),'Lease Cycles'!$AV$18&lt;=DE$6),'Lease Cycles'!$C$18*'Lease Cycles'!$AW$18/12,IF(AND('Lease Cycles'!$AT$18&gt;=INDEX('Lease Cycles'!$BG$18:$BM$18,1,DE180),'Lease Cycles'!$AT$18&lt;=DE$6),'Lease Cycles'!$C$18*'Lease Cycles'!$AU$18/12,'Lease Cycles'!$C$18*INDEX('Lease Cycles'!$CB$18:$CH$18,1,DE180)*(1+INDEX('Lease Cycles'!$CI$18:$CO$18,1,DE180))^INT(INT(DE181/12)/INDEX('Lease Cycles'!$CP$18:$CV$18,1,DE180))/12)))),'Lease Cycles'!$C$18*INDEX('Lease Cycles'!$CB$18:$CH$18,1,DE180)*(1+INDEX('Lease Cycles'!$CI$18:$CO$18,1,DE180))^INT(INT(DE181/12)/INDEX('Lease Cycles'!$CP$18:$CV$18,1,DE180))/12))),IF('Lease Cycles'!$N$18=1,'Lease Cycles'!$C$18*'Lease Cycles'!$E$18*INDEX('Lease Cycles'!$HE$18:$HK$18,1,DE180)*(1+INDEX('Lease Cycles'!$GQ$18:$GW$18,1,DE180))^INT(INT((DE$6-INDEX('Lease Cycles'!$GJ$18:$GP$18,1,DE180))/12)/INDEX('Lease Cycles'!$GX$18:$HD$18,1,DE180))/12,0)))</f>
        <v>0</v>
      </c>
      <c r="DF183" s="28">
        <f>IF(DF180=0,IF('Lease Cycles'!$F$18&gt;0,'Lease Cycles'!$C$18*'Lease Cycles'!$E$18/12,0),IF(DF182=1,IF('Lease Cycles'!$AT$18&gt;=9999,'Lease Cycles'!$C$18*INDEX('Lease Cycles'!$CB$18:$CH$18,1,DF180)*(1+INDEX('Lease Cycles'!$CI$18:$CO$18,1,DF180))^INT(INT(DF181/12)/INDEX('Lease Cycles'!$CP$18:$CV$18,1,DF180))/12,IF(DF180=1,IF(DF181&gt;=INDEX('Lease Cycles'!$DK$18:$DQ$18,1,DF180),IF(DF$6&gt;='Lease Cycles'!$AZ$18,'Lease Cycles'!$C$18*'Lease Cycles'!$BA$18/12,IF(DF$6&gt;='Lease Cycles'!$AX$18,'Lease Cycles'!$C$18*'Lease Cycles'!$AY$18/12,IF(DF$6&gt;='Lease Cycles'!$AV$18,'Lease Cycles'!$C$18*'Lease Cycles'!$AW$18/12,IF(DF$6&gt;='Lease Cycles'!$AT$18,'Lease Cycles'!$C$18*'Lease Cycles'!$AU$18/12,'Lease Cycles'!$C$18*INDEX('Lease Cycles'!$CB$18:$CH$18,1,DF180)*(1+INDEX('Lease Cycles'!$CI$18:$CO$18,1,DF180))^INT(INT(DF181/12)/INDEX('Lease Cycles'!$CP$18:$CV$18,1,DF180))/12)))),'Lease Cycles'!$C$18*INDEX('Lease Cycles'!$CB$18:$CH$18,1,DF180)*(1+INDEX('Lease Cycles'!$CI$18:$CO$18,1,DF180))^INT(INT(DF181/12)/INDEX('Lease Cycles'!$CP$18:$CV$18,1,DF180))/12),IF(INDEX('Lease Cycles'!$EF$18:$EL$18,1,DF180)=1,IF(AND('Lease Cycles'!$AZ$18&gt;=INDEX('Lease Cycles'!$BG$18:$BM$18,1,DF180),'Lease Cycles'!$AZ$18&lt;=DF$6),'Lease Cycles'!$C$18*'Lease Cycles'!$BA$18/12,IF(AND('Lease Cycles'!$AX$18&gt;=INDEX('Lease Cycles'!$BG$18:$BM$18,1,DF180),'Lease Cycles'!$AX$18&lt;=DF$6),'Lease Cycles'!$C$18*'Lease Cycles'!$AY$18/12,IF(AND('Lease Cycles'!$AV$18&gt;=INDEX('Lease Cycles'!$BG$18:$BM$18,1,DF180),'Lease Cycles'!$AV$18&lt;=DF$6),'Lease Cycles'!$C$18*'Lease Cycles'!$AW$18/12,IF(AND('Lease Cycles'!$AT$18&gt;=INDEX('Lease Cycles'!$BG$18:$BM$18,1,DF180),'Lease Cycles'!$AT$18&lt;=DF$6),'Lease Cycles'!$C$18*'Lease Cycles'!$AU$18/12,'Lease Cycles'!$C$18*INDEX('Lease Cycles'!$CB$18:$CH$18,1,DF180)*(1+INDEX('Lease Cycles'!$CI$18:$CO$18,1,DF180))^INT(INT(DF181/12)/INDEX('Lease Cycles'!$CP$18:$CV$18,1,DF180))/12)))),'Lease Cycles'!$C$18*INDEX('Lease Cycles'!$CB$18:$CH$18,1,DF180)*(1+INDEX('Lease Cycles'!$CI$18:$CO$18,1,DF180))^INT(INT(DF181/12)/INDEX('Lease Cycles'!$CP$18:$CV$18,1,DF180))/12))),IF('Lease Cycles'!$N$18=1,'Lease Cycles'!$C$18*'Lease Cycles'!$E$18*INDEX('Lease Cycles'!$HE$18:$HK$18,1,DF180)*(1+INDEX('Lease Cycles'!$GQ$18:$GW$18,1,DF180))^INT(INT((DF$6-INDEX('Lease Cycles'!$GJ$18:$GP$18,1,DF180))/12)/INDEX('Lease Cycles'!$GX$18:$HD$18,1,DF180))/12,0)))</f>
        <v>0</v>
      </c>
      <c r="DG183" s="28">
        <f>IF(DG180=0,IF('Lease Cycles'!$F$18&gt;0,'Lease Cycles'!$C$18*'Lease Cycles'!$E$18/12,0),IF(DG182=1,IF('Lease Cycles'!$AT$18&gt;=9999,'Lease Cycles'!$C$18*INDEX('Lease Cycles'!$CB$18:$CH$18,1,DG180)*(1+INDEX('Lease Cycles'!$CI$18:$CO$18,1,DG180))^INT(INT(DG181/12)/INDEX('Lease Cycles'!$CP$18:$CV$18,1,DG180))/12,IF(DG180=1,IF(DG181&gt;=INDEX('Lease Cycles'!$DK$18:$DQ$18,1,DG180),IF(DG$6&gt;='Lease Cycles'!$AZ$18,'Lease Cycles'!$C$18*'Lease Cycles'!$BA$18/12,IF(DG$6&gt;='Lease Cycles'!$AX$18,'Lease Cycles'!$C$18*'Lease Cycles'!$AY$18/12,IF(DG$6&gt;='Lease Cycles'!$AV$18,'Lease Cycles'!$C$18*'Lease Cycles'!$AW$18/12,IF(DG$6&gt;='Lease Cycles'!$AT$18,'Lease Cycles'!$C$18*'Lease Cycles'!$AU$18/12,'Lease Cycles'!$C$18*INDEX('Lease Cycles'!$CB$18:$CH$18,1,DG180)*(1+INDEX('Lease Cycles'!$CI$18:$CO$18,1,DG180))^INT(INT(DG181/12)/INDEX('Lease Cycles'!$CP$18:$CV$18,1,DG180))/12)))),'Lease Cycles'!$C$18*INDEX('Lease Cycles'!$CB$18:$CH$18,1,DG180)*(1+INDEX('Lease Cycles'!$CI$18:$CO$18,1,DG180))^INT(INT(DG181/12)/INDEX('Lease Cycles'!$CP$18:$CV$18,1,DG180))/12),IF(INDEX('Lease Cycles'!$EF$18:$EL$18,1,DG180)=1,IF(AND('Lease Cycles'!$AZ$18&gt;=INDEX('Lease Cycles'!$BG$18:$BM$18,1,DG180),'Lease Cycles'!$AZ$18&lt;=DG$6),'Lease Cycles'!$C$18*'Lease Cycles'!$BA$18/12,IF(AND('Lease Cycles'!$AX$18&gt;=INDEX('Lease Cycles'!$BG$18:$BM$18,1,DG180),'Lease Cycles'!$AX$18&lt;=DG$6),'Lease Cycles'!$C$18*'Lease Cycles'!$AY$18/12,IF(AND('Lease Cycles'!$AV$18&gt;=INDEX('Lease Cycles'!$BG$18:$BM$18,1,DG180),'Lease Cycles'!$AV$18&lt;=DG$6),'Lease Cycles'!$C$18*'Lease Cycles'!$AW$18/12,IF(AND('Lease Cycles'!$AT$18&gt;=INDEX('Lease Cycles'!$BG$18:$BM$18,1,DG180),'Lease Cycles'!$AT$18&lt;=DG$6),'Lease Cycles'!$C$18*'Lease Cycles'!$AU$18/12,'Lease Cycles'!$C$18*INDEX('Lease Cycles'!$CB$18:$CH$18,1,DG180)*(1+INDEX('Lease Cycles'!$CI$18:$CO$18,1,DG180))^INT(INT(DG181/12)/INDEX('Lease Cycles'!$CP$18:$CV$18,1,DG180))/12)))),'Lease Cycles'!$C$18*INDEX('Lease Cycles'!$CB$18:$CH$18,1,DG180)*(1+INDEX('Lease Cycles'!$CI$18:$CO$18,1,DG180))^INT(INT(DG181/12)/INDEX('Lease Cycles'!$CP$18:$CV$18,1,DG180))/12))),IF('Lease Cycles'!$N$18=1,'Lease Cycles'!$C$18*'Lease Cycles'!$E$18*INDEX('Lease Cycles'!$HE$18:$HK$18,1,DG180)*(1+INDEX('Lease Cycles'!$GQ$18:$GW$18,1,DG180))^INT(INT((DG$6-INDEX('Lease Cycles'!$GJ$18:$GP$18,1,DG180))/12)/INDEX('Lease Cycles'!$GX$18:$HD$18,1,DG180))/12,0)))</f>
        <v>0</v>
      </c>
      <c r="DH183" s="28">
        <f>IF(DH180=0,IF('Lease Cycles'!$F$18&gt;0,'Lease Cycles'!$C$18*'Lease Cycles'!$E$18/12,0),IF(DH182=1,IF('Lease Cycles'!$AT$18&gt;=9999,'Lease Cycles'!$C$18*INDEX('Lease Cycles'!$CB$18:$CH$18,1,DH180)*(1+INDEX('Lease Cycles'!$CI$18:$CO$18,1,DH180))^INT(INT(DH181/12)/INDEX('Lease Cycles'!$CP$18:$CV$18,1,DH180))/12,IF(DH180=1,IF(DH181&gt;=INDEX('Lease Cycles'!$DK$18:$DQ$18,1,DH180),IF(DH$6&gt;='Lease Cycles'!$AZ$18,'Lease Cycles'!$C$18*'Lease Cycles'!$BA$18/12,IF(DH$6&gt;='Lease Cycles'!$AX$18,'Lease Cycles'!$C$18*'Lease Cycles'!$AY$18/12,IF(DH$6&gt;='Lease Cycles'!$AV$18,'Lease Cycles'!$C$18*'Lease Cycles'!$AW$18/12,IF(DH$6&gt;='Lease Cycles'!$AT$18,'Lease Cycles'!$C$18*'Lease Cycles'!$AU$18/12,'Lease Cycles'!$C$18*INDEX('Lease Cycles'!$CB$18:$CH$18,1,DH180)*(1+INDEX('Lease Cycles'!$CI$18:$CO$18,1,DH180))^INT(INT(DH181/12)/INDEX('Lease Cycles'!$CP$18:$CV$18,1,DH180))/12)))),'Lease Cycles'!$C$18*INDEX('Lease Cycles'!$CB$18:$CH$18,1,DH180)*(1+INDEX('Lease Cycles'!$CI$18:$CO$18,1,DH180))^INT(INT(DH181/12)/INDEX('Lease Cycles'!$CP$18:$CV$18,1,DH180))/12),IF(INDEX('Lease Cycles'!$EF$18:$EL$18,1,DH180)=1,IF(AND('Lease Cycles'!$AZ$18&gt;=INDEX('Lease Cycles'!$BG$18:$BM$18,1,DH180),'Lease Cycles'!$AZ$18&lt;=DH$6),'Lease Cycles'!$C$18*'Lease Cycles'!$BA$18/12,IF(AND('Lease Cycles'!$AX$18&gt;=INDEX('Lease Cycles'!$BG$18:$BM$18,1,DH180),'Lease Cycles'!$AX$18&lt;=DH$6),'Lease Cycles'!$C$18*'Lease Cycles'!$AY$18/12,IF(AND('Lease Cycles'!$AV$18&gt;=INDEX('Lease Cycles'!$BG$18:$BM$18,1,DH180),'Lease Cycles'!$AV$18&lt;=DH$6),'Lease Cycles'!$C$18*'Lease Cycles'!$AW$18/12,IF(AND('Lease Cycles'!$AT$18&gt;=INDEX('Lease Cycles'!$BG$18:$BM$18,1,DH180),'Lease Cycles'!$AT$18&lt;=DH$6),'Lease Cycles'!$C$18*'Lease Cycles'!$AU$18/12,'Lease Cycles'!$C$18*INDEX('Lease Cycles'!$CB$18:$CH$18,1,DH180)*(1+INDEX('Lease Cycles'!$CI$18:$CO$18,1,DH180))^INT(INT(DH181/12)/INDEX('Lease Cycles'!$CP$18:$CV$18,1,DH180))/12)))),'Lease Cycles'!$C$18*INDEX('Lease Cycles'!$CB$18:$CH$18,1,DH180)*(1+INDEX('Lease Cycles'!$CI$18:$CO$18,1,DH180))^INT(INT(DH181/12)/INDEX('Lease Cycles'!$CP$18:$CV$18,1,DH180))/12))),IF('Lease Cycles'!$N$18=1,'Lease Cycles'!$C$18*'Lease Cycles'!$E$18*INDEX('Lease Cycles'!$HE$18:$HK$18,1,DH180)*(1+INDEX('Lease Cycles'!$GQ$18:$GW$18,1,DH180))^INT(INT((DH$6-INDEX('Lease Cycles'!$GJ$18:$GP$18,1,DH180))/12)/INDEX('Lease Cycles'!$GX$18:$HD$18,1,DH180))/12,0)))</f>
        <v>0</v>
      </c>
      <c r="DI183" s="28">
        <f>IF(DI180=0,IF('Lease Cycles'!$F$18&gt;0,'Lease Cycles'!$C$18*'Lease Cycles'!$E$18/12,0),IF(DI182=1,IF('Lease Cycles'!$AT$18&gt;=9999,'Lease Cycles'!$C$18*INDEX('Lease Cycles'!$CB$18:$CH$18,1,DI180)*(1+INDEX('Lease Cycles'!$CI$18:$CO$18,1,DI180))^INT(INT(DI181/12)/INDEX('Lease Cycles'!$CP$18:$CV$18,1,DI180))/12,IF(DI180=1,IF(DI181&gt;=INDEX('Lease Cycles'!$DK$18:$DQ$18,1,DI180),IF(DI$6&gt;='Lease Cycles'!$AZ$18,'Lease Cycles'!$C$18*'Lease Cycles'!$BA$18/12,IF(DI$6&gt;='Lease Cycles'!$AX$18,'Lease Cycles'!$C$18*'Lease Cycles'!$AY$18/12,IF(DI$6&gt;='Lease Cycles'!$AV$18,'Lease Cycles'!$C$18*'Lease Cycles'!$AW$18/12,IF(DI$6&gt;='Lease Cycles'!$AT$18,'Lease Cycles'!$C$18*'Lease Cycles'!$AU$18/12,'Lease Cycles'!$C$18*INDEX('Lease Cycles'!$CB$18:$CH$18,1,DI180)*(1+INDEX('Lease Cycles'!$CI$18:$CO$18,1,DI180))^INT(INT(DI181/12)/INDEX('Lease Cycles'!$CP$18:$CV$18,1,DI180))/12)))),'Lease Cycles'!$C$18*INDEX('Lease Cycles'!$CB$18:$CH$18,1,DI180)*(1+INDEX('Lease Cycles'!$CI$18:$CO$18,1,DI180))^INT(INT(DI181/12)/INDEX('Lease Cycles'!$CP$18:$CV$18,1,DI180))/12),IF(INDEX('Lease Cycles'!$EF$18:$EL$18,1,DI180)=1,IF(AND('Lease Cycles'!$AZ$18&gt;=INDEX('Lease Cycles'!$BG$18:$BM$18,1,DI180),'Lease Cycles'!$AZ$18&lt;=DI$6),'Lease Cycles'!$C$18*'Lease Cycles'!$BA$18/12,IF(AND('Lease Cycles'!$AX$18&gt;=INDEX('Lease Cycles'!$BG$18:$BM$18,1,DI180),'Lease Cycles'!$AX$18&lt;=DI$6),'Lease Cycles'!$C$18*'Lease Cycles'!$AY$18/12,IF(AND('Lease Cycles'!$AV$18&gt;=INDEX('Lease Cycles'!$BG$18:$BM$18,1,DI180),'Lease Cycles'!$AV$18&lt;=DI$6),'Lease Cycles'!$C$18*'Lease Cycles'!$AW$18/12,IF(AND('Lease Cycles'!$AT$18&gt;=INDEX('Lease Cycles'!$BG$18:$BM$18,1,DI180),'Lease Cycles'!$AT$18&lt;=DI$6),'Lease Cycles'!$C$18*'Lease Cycles'!$AU$18/12,'Lease Cycles'!$C$18*INDEX('Lease Cycles'!$CB$18:$CH$18,1,DI180)*(1+INDEX('Lease Cycles'!$CI$18:$CO$18,1,DI180))^INT(INT(DI181/12)/INDEX('Lease Cycles'!$CP$18:$CV$18,1,DI180))/12)))),'Lease Cycles'!$C$18*INDEX('Lease Cycles'!$CB$18:$CH$18,1,DI180)*(1+INDEX('Lease Cycles'!$CI$18:$CO$18,1,DI180))^INT(INT(DI181/12)/INDEX('Lease Cycles'!$CP$18:$CV$18,1,DI180))/12))),IF('Lease Cycles'!$N$18=1,'Lease Cycles'!$C$18*'Lease Cycles'!$E$18*INDEX('Lease Cycles'!$HE$18:$HK$18,1,DI180)*(1+INDEX('Lease Cycles'!$GQ$18:$GW$18,1,DI180))^INT(INT((DI$6-INDEX('Lease Cycles'!$GJ$18:$GP$18,1,DI180))/12)/INDEX('Lease Cycles'!$GX$18:$HD$18,1,DI180))/12,0)))</f>
        <v>0</v>
      </c>
      <c r="DJ183" s="28">
        <f>IF(DJ180=0,IF('Lease Cycles'!$F$18&gt;0,'Lease Cycles'!$C$18*'Lease Cycles'!$E$18/12,0),IF(DJ182=1,IF('Lease Cycles'!$AT$18&gt;=9999,'Lease Cycles'!$C$18*INDEX('Lease Cycles'!$CB$18:$CH$18,1,DJ180)*(1+INDEX('Lease Cycles'!$CI$18:$CO$18,1,DJ180))^INT(INT(DJ181/12)/INDEX('Lease Cycles'!$CP$18:$CV$18,1,DJ180))/12,IF(DJ180=1,IF(DJ181&gt;=INDEX('Lease Cycles'!$DK$18:$DQ$18,1,DJ180),IF(DJ$6&gt;='Lease Cycles'!$AZ$18,'Lease Cycles'!$C$18*'Lease Cycles'!$BA$18/12,IF(DJ$6&gt;='Lease Cycles'!$AX$18,'Lease Cycles'!$C$18*'Lease Cycles'!$AY$18/12,IF(DJ$6&gt;='Lease Cycles'!$AV$18,'Lease Cycles'!$C$18*'Lease Cycles'!$AW$18/12,IF(DJ$6&gt;='Lease Cycles'!$AT$18,'Lease Cycles'!$C$18*'Lease Cycles'!$AU$18/12,'Lease Cycles'!$C$18*INDEX('Lease Cycles'!$CB$18:$CH$18,1,DJ180)*(1+INDEX('Lease Cycles'!$CI$18:$CO$18,1,DJ180))^INT(INT(DJ181/12)/INDEX('Lease Cycles'!$CP$18:$CV$18,1,DJ180))/12)))),'Lease Cycles'!$C$18*INDEX('Lease Cycles'!$CB$18:$CH$18,1,DJ180)*(1+INDEX('Lease Cycles'!$CI$18:$CO$18,1,DJ180))^INT(INT(DJ181/12)/INDEX('Lease Cycles'!$CP$18:$CV$18,1,DJ180))/12),IF(INDEX('Lease Cycles'!$EF$18:$EL$18,1,DJ180)=1,IF(AND('Lease Cycles'!$AZ$18&gt;=INDEX('Lease Cycles'!$BG$18:$BM$18,1,DJ180),'Lease Cycles'!$AZ$18&lt;=DJ$6),'Lease Cycles'!$C$18*'Lease Cycles'!$BA$18/12,IF(AND('Lease Cycles'!$AX$18&gt;=INDEX('Lease Cycles'!$BG$18:$BM$18,1,DJ180),'Lease Cycles'!$AX$18&lt;=DJ$6),'Lease Cycles'!$C$18*'Lease Cycles'!$AY$18/12,IF(AND('Lease Cycles'!$AV$18&gt;=INDEX('Lease Cycles'!$BG$18:$BM$18,1,DJ180),'Lease Cycles'!$AV$18&lt;=DJ$6),'Lease Cycles'!$C$18*'Lease Cycles'!$AW$18/12,IF(AND('Lease Cycles'!$AT$18&gt;=INDEX('Lease Cycles'!$BG$18:$BM$18,1,DJ180),'Lease Cycles'!$AT$18&lt;=DJ$6),'Lease Cycles'!$C$18*'Lease Cycles'!$AU$18/12,'Lease Cycles'!$C$18*INDEX('Lease Cycles'!$CB$18:$CH$18,1,DJ180)*(1+INDEX('Lease Cycles'!$CI$18:$CO$18,1,DJ180))^INT(INT(DJ181/12)/INDEX('Lease Cycles'!$CP$18:$CV$18,1,DJ180))/12)))),'Lease Cycles'!$C$18*INDEX('Lease Cycles'!$CB$18:$CH$18,1,DJ180)*(1+INDEX('Lease Cycles'!$CI$18:$CO$18,1,DJ180))^INT(INT(DJ181/12)/INDEX('Lease Cycles'!$CP$18:$CV$18,1,DJ180))/12))),IF('Lease Cycles'!$N$18=1,'Lease Cycles'!$C$18*'Lease Cycles'!$E$18*INDEX('Lease Cycles'!$HE$18:$HK$18,1,DJ180)*(1+INDEX('Lease Cycles'!$GQ$18:$GW$18,1,DJ180))^INT(INT((DJ$6-INDEX('Lease Cycles'!$GJ$18:$GP$18,1,DJ180))/12)/INDEX('Lease Cycles'!$GX$18:$HD$18,1,DJ180))/12,0)))</f>
        <v>0</v>
      </c>
      <c r="DK183" s="28">
        <f>IF(DK180=0,IF('Lease Cycles'!$F$18&gt;0,'Lease Cycles'!$C$18*'Lease Cycles'!$E$18/12,0),IF(DK182=1,IF('Lease Cycles'!$AT$18&gt;=9999,'Lease Cycles'!$C$18*INDEX('Lease Cycles'!$CB$18:$CH$18,1,DK180)*(1+INDEX('Lease Cycles'!$CI$18:$CO$18,1,DK180))^INT(INT(DK181/12)/INDEX('Lease Cycles'!$CP$18:$CV$18,1,DK180))/12,IF(DK180=1,IF(DK181&gt;=INDEX('Lease Cycles'!$DK$18:$DQ$18,1,DK180),IF(DK$6&gt;='Lease Cycles'!$AZ$18,'Lease Cycles'!$C$18*'Lease Cycles'!$BA$18/12,IF(DK$6&gt;='Lease Cycles'!$AX$18,'Lease Cycles'!$C$18*'Lease Cycles'!$AY$18/12,IF(DK$6&gt;='Lease Cycles'!$AV$18,'Lease Cycles'!$C$18*'Lease Cycles'!$AW$18/12,IF(DK$6&gt;='Lease Cycles'!$AT$18,'Lease Cycles'!$C$18*'Lease Cycles'!$AU$18/12,'Lease Cycles'!$C$18*INDEX('Lease Cycles'!$CB$18:$CH$18,1,DK180)*(1+INDEX('Lease Cycles'!$CI$18:$CO$18,1,DK180))^INT(INT(DK181/12)/INDEX('Lease Cycles'!$CP$18:$CV$18,1,DK180))/12)))),'Lease Cycles'!$C$18*INDEX('Lease Cycles'!$CB$18:$CH$18,1,DK180)*(1+INDEX('Lease Cycles'!$CI$18:$CO$18,1,DK180))^INT(INT(DK181/12)/INDEX('Lease Cycles'!$CP$18:$CV$18,1,DK180))/12),IF(INDEX('Lease Cycles'!$EF$18:$EL$18,1,DK180)=1,IF(AND('Lease Cycles'!$AZ$18&gt;=INDEX('Lease Cycles'!$BG$18:$BM$18,1,DK180),'Lease Cycles'!$AZ$18&lt;=DK$6),'Lease Cycles'!$C$18*'Lease Cycles'!$BA$18/12,IF(AND('Lease Cycles'!$AX$18&gt;=INDEX('Lease Cycles'!$BG$18:$BM$18,1,DK180),'Lease Cycles'!$AX$18&lt;=DK$6),'Lease Cycles'!$C$18*'Lease Cycles'!$AY$18/12,IF(AND('Lease Cycles'!$AV$18&gt;=INDEX('Lease Cycles'!$BG$18:$BM$18,1,DK180),'Lease Cycles'!$AV$18&lt;=DK$6),'Lease Cycles'!$C$18*'Lease Cycles'!$AW$18/12,IF(AND('Lease Cycles'!$AT$18&gt;=INDEX('Lease Cycles'!$BG$18:$BM$18,1,DK180),'Lease Cycles'!$AT$18&lt;=DK$6),'Lease Cycles'!$C$18*'Lease Cycles'!$AU$18/12,'Lease Cycles'!$C$18*INDEX('Lease Cycles'!$CB$18:$CH$18,1,DK180)*(1+INDEX('Lease Cycles'!$CI$18:$CO$18,1,DK180))^INT(INT(DK181/12)/INDEX('Lease Cycles'!$CP$18:$CV$18,1,DK180))/12)))),'Lease Cycles'!$C$18*INDEX('Lease Cycles'!$CB$18:$CH$18,1,DK180)*(1+INDEX('Lease Cycles'!$CI$18:$CO$18,1,DK180))^INT(INT(DK181/12)/INDEX('Lease Cycles'!$CP$18:$CV$18,1,DK180))/12))),IF('Lease Cycles'!$N$18=1,'Lease Cycles'!$C$18*'Lease Cycles'!$E$18*INDEX('Lease Cycles'!$HE$18:$HK$18,1,DK180)*(1+INDEX('Lease Cycles'!$GQ$18:$GW$18,1,DK180))^INT(INT((DK$6-INDEX('Lease Cycles'!$GJ$18:$GP$18,1,DK180))/12)/INDEX('Lease Cycles'!$GX$18:$HD$18,1,DK180))/12,0)))</f>
        <v>0</v>
      </c>
      <c r="DL183" s="28">
        <f>IF(DL180=0,IF('Lease Cycles'!$F$18&gt;0,'Lease Cycles'!$C$18*'Lease Cycles'!$E$18/12,0),IF(DL182=1,IF('Lease Cycles'!$AT$18&gt;=9999,'Lease Cycles'!$C$18*INDEX('Lease Cycles'!$CB$18:$CH$18,1,DL180)*(1+INDEX('Lease Cycles'!$CI$18:$CO$18,1,DL180))^INT(INT(DL181/12)/INDEX('Lease Cycles'!$CP$18:$CV$18,1,DL180))/12,IF(DL180=1,IF(DL181&gt;=INDEX('Lease Cycles'!$DK$18:$DQ$18,1,DL180),IF(DL$6&gt;='Lease Cycles'!$AZ$18,'Lease Cycles'!$C$18*'Lease Cycles'!$BA$18/12,IF(DL$6&gt;='Lease Cycles'!$AX$18,'Lease Cycles'!$C$18*'Lease Cycles'!$AY$18/12,IF(DL$6&gt;='Lease Cycles'!$AV$18,'Lease Cycles'!$C$18*'Lease Cycles'!$AW$18/12,IF(DL$6&gt;='Lease Cycles'!$AT$18,'Lease Cycles'!$C$18*'Lease Cycles'!$AU$18/12,'Lease Cycles'!$C$18*INDEX('Lease Cycles'!$CB$18:$CH$18,1,DL180)*(1+INDEX('Lease Cycles'!$CI$18:$CO$18,1,DL180))^INT(INT(DL181/12)/INDEX('Lease Cycles'!$CP$18:$CV$18,1,DL180))/12)))),'Lease Cycles'!$C$18*INDEX('Lease Cycles'!$CB$18:$CH$18,1,DL180)*(1+INDEX('Lease Cycles'!$CI$18:$CO$18,1,DL180))^INT(INT(DL181/12)/INDEX('Lease Cycles'!$CP$18:$CV$18,1,DL180))/12),IF(INDEX('Lease Cycles'!$EF$18:$EL$18,1,DL180)=1,IF(AND('Lease Cycles'!$AZ$18&gt;=INDEX('Lease Cycles'!$BG$18:$BM$18,1,DL180),'Lease Cycles'!$AZ$18&lt;=DL$6),'Lease Cycles'!$C$18*'Lease Cycles'!$BA$18/12,IF(AND('Lease Cycles'!$AX$18&gt;=INDEX('Lease Cycles'!$BG$18:$BM$18,1,DL180),'Lease Cycles'!$AX$18&lt;=DL$6),'Lease Cycles'!$C$18*'Lease Cycles'!$AY$18/12,IF(AND('Lease Cycles'!$AV$18&gt;=INDEX('Lease Cycles'!$BG$18:$BM$18,1,DL180),'Lease Cycles'!$AV$18&lt;=DL$6),'Lease Cycles'!$C$18*'Lease Cycles'!$AW$18/12,IF(AND('Lease Cycles'!$AT$18&gt;=INDEX('Lease Cycles'!$BG$18:$BM$18,1,DL180),'Lease Cycles'!$AT$18&lt;=DL$6),'Lease Cycles'!$C$18*'Lease Cycles'!$AU$18/12,'Lease Cycles'!$C$18*INDEX('Lease Cycles'!$CB$18:$CH$18,1,DL180)*(1+INDEX('Lease Cycles'!$CI$18:$CO$18,1,DL180))^INT(INT(DL181/12)/INDEX('Lease Cycles'!$CP$18:$CV$18,1,DL180))/12)))),'Lease Cycles'!$C$18*INDEX('Lease Cycles'!$CB$18:$CH$18,1,DL180)*(1+INDEX('Lease Cycles'!$CI$18:$CO$18,1,DL180))^INT(INT(DL181/12)/INDEX('Lease Cycles'!$CP$18:$CV$18,1,DL180))/12))),IF('Lease Cycles'!$N$18=1,'Lease Cycles'!$C$18*'Lease Cycles'!$E$18*INDEX('Lease Cycles'!$HE$18:$HK$18,1,DL180)*(1+INDEX('Lease Cycles'!$GQ$18:$GW$18,1,DL180))^INT(INT((DL$6-INDEX('Lease Cycles'!$GJ$18:$GP$18,1,DL180))/12)/INDEX('Lease Cycles'!$GX$18:$HD$18,1,DL180))/12,0)))</f>
        <v>0</v>
      </c>
      <c r="DM183" s="28">
        <f>IF(DM180=0,IF('Lease Cycles'!$F$18&gt;0,'Lease Cycles'!$C$18*'Lease Cycles'!$E$18/12,0),IF(DM182=1,IF('Lease Cycles'!$AT$18&gt;=9999,'Lease Cycles'!$C$18*INDEX('Lease Cycles'!$CB$18:$CH$18,1,DM180)*(1+INDEX('Lease Cycles'!$CI$18:$CO$18,1,DM180))^INT(INT(DM181/12)/INDEX('Lease Cycles'!$CP$18:$CV$18,1,DM180))/12,IF(DM180=1,IF(DM181&gt;=INDEX('Lease Cycles'!$DK$18:$DQ$18,1,DM180),IF(DM$6&gt;='Lease Cycles'!$AZ$18,'Lease Cycles'!$C$18*'Lease Cycles'!$BA$18/12,IF(DM$6&gt;='Lease Cycles'!$AX$18,'Lease Cycles'!$C$18*'Lease Cycles'!$AY$18/12,IF(DM$6&gt;='Lease Cycles'!$AV$18,'Lease Cycles'!$C$18*'Lease Cycles'!$AW$18/12,IF(DM$6&gt;='Lease Cycles'!$AT$18,'Lease Cycles'!$C$18*'Lease Cycles'!$AU$18/12,'Lease Cycles'!$C$18*INDEX('Lease Cycles'!$CB$18:$CH$18,1,DM180)*(1+INDEX('Lease Cycles'!$CI$18:$CO$18,1,DM180))^INT(INT(DM181/12)/INDEX('Lease Cycles'!$CP$18:$CV$18,1,DM180))/12)))),'Lease Cycles'!$C$18*INDEX('Lease Cycles'!$CB$18:$CH$18,1,DM180)*(1+INDEX('Lease Cycles'!$CI$18:$CO$18,1,DM180))^INT(INT(DM181/12)/INDEX('Lease Cycles'!$CP$18:$CV$18,1,DM180))/12),IF(INDEX('Lease Cycles'!$EF$18:$EL$18,1,DM180)=1,IF(AND('Lease Cycles'!$AZ$18&gt;=INDEX('Lease Cycles'!$BG$18:$BM$18,1,DM180),'Lease Cycles'!$AZ$18&lt;=DM$6),'Lease Cycles'!$C$18*'Lease Cycles'!$BA$18/12,IF(AND('Lease Cycles'!$AX$18&gt;=INDEX('Lease Cycles'!$BG$18:$BM$18,1,DM180),'Lease Cycles'!$AX$18&lt;=DM$6),'Lease Cycles'!$C$18*'Lease Cycles'!$AY$18/12,IF(AND('Lease Cycles'!$AV$18&gt;=INDEX('Lease Cycles'!$BG$18:$BM$18,1,DM180),'Lease Cycles'!$AV$18&lt;=DM$6),'Lease Cycles'!$C$18*'Lease Cycles'!$AW$18/12,IF(AND('Lease Cycles'!$AT$18&gt;=INDEX('Lease Cycles'!$BG$18:$BM$18,1,DM180),'Lease Cycles'!$AT$18&lt;=DM$6),'Lease Cycles'!$C$18*'Lease Cycles'!$AU$18/12,'Lease Cycles'!$C$18*INDEX('Lease Cycles'!$CB$18:$CH$18,1,DM180)*(1+INDEX('Lease Cycles'!$CI$18:$CO$18,1,DM180))^INT(INT(DM181/12)/INDEX('Lease Cycles'!$CP$18:$CV$18,1,DM180))/12)))),'Lease Cycles'!$C$18*INDEX('Lease Cycles'!$CB$18:$CH$18,1,DM180)*(1+INDEX('Lease Cycles'!$CI$18:$CO$18,1,DM180))^INT(INT(DM181/12)/INDEX('Lease Cycles'!$CP$18:$CV$18,1,DM180))/12))),IF('Lease Cycles'!$N$18=1,'Lease Cycles'!$C$18*'Lease Cycles'!$E$18*INDEX('Lease Cycles'!$HE$18:$HK$18,1,DM180)*(1+INDEX('Lease Cycles'!$GQ$18:$GW$18,1,DM180))^INT(INT((DM$6-INDEX('Lease Cycles'!$GJ$18:$GP$18,1,DM180))/12)/INDEX('Lease Cycles'!$GX$18:$HD$18,1,DM180))/12,0)))</f>
        <v>0</v>
      </c>
      <c r="DN183" s="28">
        <f>IF(DN180=0,IF('Lease Cycles'!$F$18&gt;0,'Lease Cycles'!$C$18*'Lease Cycles'!$E$18/12,0),IF(DN182=1,IF('Lease Cycles'!$AT$18&gt;=9999,'Lease Cycles'!$C$18*INDEX('Lease Cycles'!$CB$18:$CH$18,1,DN180)*(1+INDEX('Lease Cycles'!$CI$18:$CO$18,1,DN180))^INT(INT(DN181/12)/INDEX('Lease Cycles'!$CP$18:$CV$18,1,DN180))/12,IF(DN180=1,IF(DN181&gt;=INDEX('Lease Cycles'!$DK$18:$DQ$18,1,DN180),IF(DN$6&gt;='Lease Cycles'!$AZ$18,'Lease Cycles'!$C$18*'Lease Cycles'!$BA$18/12,IF(DN$6&gt;='Lease Cycles'!$AX$18,'Lease Cycles'!$C$18*'Lease Cycles'!$AY$18/12,IF(DN$6&gt;='Lease Cycles'!$AV$18,'Lease Cycles'!$C$18*'Lease Cycles'!$AW$18/12,IF(DN$6&gt;='Lease Cycles'!$AT$18,'Lease Cycles'!$C$18*'Lease Cycles'!$AU$18/12,'Lease Cycles'!$C$18*INDEX('Lease Cycles'!$CB$18:$CH$18,1,DN180)*(1+INDEX('Lease Cycles'!$CI$18:$CO$18,1,DN180))^INT(INT(DN181/12)/INDEX('Lease Cycles'!$CP$18:$CV$18,1,DN180))/12)))),'Lease Cycles'!$C$18*INDEX('Lease Cycles'!$CB$18:$CH$18,1,DN180)*(1+INDEX('Lease Cycles'!$CI$18:$CO$18,1,DN180))^INT(INT(DN181/12)/INDEX('Lease Cycles'!$CP$18:$CV$18,1,DN180))/12),IF(INDEX('Lease Cycles'!$EF$18:$EL$18,1,DN180)=1,IF(AND('Lease Cycles'!$AZ$18&gt;=INDEX('Lease Cycles'!$BG$18:$BM$18,1,DN180),'Lease Cycles'!$AZ$18&lt;=DN$6),'Lease Cycles'!$C$18*'Lease Cycles'!$BA$18/12,IF(AND('Lease Cycles'!$AX$18&gt;=INDEX('Lease Cycles'!$BG$18:$BM$18,1,DN180),'Lease Cycles'!$AX$18&lt;=DN$6),'Lease Cycles'!$C$18*'Lease Cycles'!$AY$18/12,IF(AND('Lease Cycles'!$AV$18&gt;=INDEX('Lease Cycles'!$BG$18:$BM$18,1,DN180),'Lease Cycles'!$AV$18&lt;=DN$6),'Lease Cycles'!$C$18*'Lease Cycles'!$AW$18/12,IF(AND('Lease Cycles'!$AT$18&gt;=INDEX('Lease Cycles'!$BG$18:$BM$18,1,DN180),'Lease Cycles'!$AT$18&lt;=DN$6),'Lease Cycles'!$C$18*'Lease Cycles'!$AU$18/12,'Lease Cycles'!$C$18*INDEX('Lease Cycles'!$CB$18:$CH$18,1,DN180)*(1+INDEX('Lease Cycles'!$CI$18:$CO$18,1,DN180))^INT(INT(DN181/12)/INDEX('Lease Cycles'!$CP$18:$CV$18,1,DN180))/12)))),'Lease Cycles'!$C$18*INDEX('Lease Cycles'!$CB$18:$CH$18,1,DN180)*(1+INDEX('Lease Cycles'!$CI$18:$CO$18,1,DN180))^INT(INT(DN181/12)/INDEX('Lease Cycles'!$CP$18:$CV$18,1,DN180))/12))),IF('Lease Cycles'!$N$18=1,'Lease Cycles'!$C$18*'Lease Cycles'!$E$18*INDEX('Lease Cycles'!$HE$18:$HK$18,1,DN180)*(1+INDEX('Lease Cycles'!$GQ$18:$GW$18,1,DN180))^INT(INT((DN$6-INDEX('Lease Cycles'!$GJ$18:$GP$18,1,DN180))/12)/INDEX('Lease Cycles'!$GX$18:$HD$18,1,DN180))/12,0)))</f>
        <v>0</v>
      </c>
      <c r="DO183" s="28">
        <f>IF(DO180=0,IF('Lease Cycles'!$F$18&gt;0,'Lease Cycles'!$C$18*'Lease Cycles'!$E$18/12,0),IF(DO182=1,IF('Lease Cycles'!$AT$18&gt;=9999,'Lease Cycles'!$C$18*INDEX('Lease Cycles'!$CB$18:$CH$18,1,DO180)*(1+INDEX('Lease Cycles'!$CI$18:$CO$18,1,DO180))^INT(INT(DO181/12)/INDEX('Lease Cycles'!$CP$18:$CV$18,1,DO180))/12,IF(DO180=1,IF(DO181&gt;=INDEX('Lease Cycles'!$DK$18:$DQ$18,1,DO180),IF(DO$6&gt;='Lease Cycles'!$AZ$18,'Lease Cycles'!$C$18*'Lease Cycles'!$BA$18/12,IF(DO$6&gt;='Lease Cycles'!$AX$18,'Lease Cycles'!$C$18*'Lease Cycles'!$AY$18/12,IF(DO$6&gt;='Lease Cycles'!$AV$18,'Lease Cycles'!$C$18*'Lease Cycles'!$AW$18/12,IF(DO$6&gt;='Lease Cycles'!$AT$18,'Lease Cycles'!$C$18*'Lease Cycles'!$AU$18/12,'Lease Cycles'!$C$18*INDEX('Lease Cycles'!$CB$18:$CH$18,1,DO180)*(1+INDEX('Lease Cycles'!$CI$18:$CO$18,1,DO180))^INT(INT(DO181/12)/INDEX('Lease Cycles'!$CP$18:$CV$18,1,DO180))/12)))),'Lease Cycles'!$C$18*INDEX('Lease Cycles'!$CB$18:$CH$18,1,DO180)*(1+INDEX('Lease Cycles'!$CI$18:$CO$18,1,DO180))^INT(INT(DO181/12)/INDEX('Lease Cycles'!$CP$18:$CV$18,1,DO180))/12),IF(INDEX('Lease Cycles'!$EF$18:$EL$18,1,DO180)=1,IF(AND('Lease Cycles'!$AZ$18&gt;=INDEX('Lease Cycles'!$BG$18:$BM$18,1,DO180),'Lease Cycles'!$AZ$18&lt;=DO$6),'Lease Cycles'!$C$18*'Lease Cycles'!$BA$18/12,IF(AND('Lease Cycles'!$AX$18&gt;=INDEX('Lease Cycles'!$BG$18:$BM$18,1,DO180),'Lease Cycles'!$AX$18&lt;=DO$6),'Lease Cycles'!$C$18*'Lease Cycles'!$AY$18/12,IF(AND('Lease Cycles'!$AV$18&gt;=INDEX('Lease Cycles'!$BG$18:$BM$18,1,DO180),'Lease Cycles'!$AV$18&lt;=DO$6),'Lease Cycles'!$C$18*'Lease Cycles'!$AW$18/12,IF(AND('Lease Cycles'!$AT$18&gt;=INDEX('Lease Cycles'!$BG$18:$BM$18,1,DO180),'Lease Cycles'!$AT$18&lt;=DO$6),'Lease Cycles'!$C$18*'Lease Cycles'!$AU$18/12,'Lease Cycles'!$C$18*INDEX('Lease Cycles'!$CB$18:$CH$18,1,DO180)*(1+INDEX('Lease Cycles'!$CI$18:$CO$18,1,DO180))^INT(INT(DO181/12)/INDEX('Lease Cycles'!$CP$18:$CV$18,1,DO180))/12)))),'Lease Cycles'!$C$18*INDEX('Lease Cycles'!$CB$18:$CH$18,1,DO180)*(1+INDEX('Lease Cycles'!$CI$18:$CO$18,1,DO180))^INT(INT(DO181/12)/INDEX('Lease Cycles'!$CP$18:$CV$18,1,DO180))/12))),IF('Lease Cycles'!$N$18=1,'Lease Cycles'!$C$18*'Lease Cycles'!$E$18*INDEX('Lease Cycles'!$HE$18:$HK$18,1,DO180)*(1+INDEX('Lease Cycles'!$GQ$18:$GW$18,1,DO180))^INT(INT((DO$6-INDEX('Lease Cycles'!$GJ$18:$GP$18,1,DO180))/12)/INDEX('Lease Cycles'!$GX$18:$HD$18,1,DO180))/12,0)))</f>
        <v>0</v>
      </c>
      <c r="DP183" s="28">
        <f>IF(DP180=0,IF('Lease Cycles'!$F$18&gt;0,'Lease Cycles'!$C$18*'Lease Cycles'!$E$18/12,0),IF(DP182=1,IF('Lease Cycles'!$AT$18&gt;=9999,'Lease Cycles'!$C$18*INDEX('Lease Cycles'!$CB$18:$CH$18,1,DP180)*(1+INDEX('Lease Cycles'!$CI$18:$CO$18,1,DP180))^INT(INT(DP181/12)/INDEX('Lease Cycles'!$CP$18:$CV$18,1,DP180))/12,IF(DP180=1,IF(DP181&gt;=INDEX('Lease Cycles'!$DK$18:$DQ$18,1,DP180),IF(DP$6&gt;='Lease Cycles'!$AZ$18,'Lease Cycles'!$C$18*'Lease Cycles'!$BA$18/12,IF(DP$6&gt;='Lease Cycles'!$AX$18,'Lease Cycles'!$C$18*'Lease Cycles'!$AY$18/12,IF(DP$6&gt;='Lease Cycles'!$AV$18,'Lease Cycles'!$C$18*'Lease Cycles'!$AW$18/12,IF(DP$6&gt;='Lease Cycles'!$AT$18,'Lease Cycles'!$C$18*'Lease Cycles'!$AU$18/12,'Lease Cycles'!$C$18*INDEX('Lease Cycles'!$CB$18:$CH$18,1,DP180)*(1+INDEX('Lease Cycles'!$CI$18:$CO$18,1,DP180))^INT(INT(DP181/12)/INDEX('Lease Cycles'!$CP$18:$CV$18,1,DP180))/12)))),'Lease Cycles'!$C$18*INDEX('Lease Cycles'!$CB$18:$CH$18,1,DP180)*(1+INDEX('Lease Cycles'!$CI$18:$CO$18,1,DP180))^INT(INT(DP181/12)/INDEX('Lease Cycles'!$CP$18:$CV$18,1,DP180))/12),IF(INDEX('Lease Cycles'!$EF$18:$EL$18,1,DP180)=1,IF(AND('Lease Cycles'!$AZ$18&gt;=INDEX('Lease Cycles'!$BG$18:$BM$18,1,DP180),'Lease Cycles'!$AZ$18&lt;=DP$6),'Lease Cycles'!$C$18*'Lease Cycles'!$BA$18/12,IF(AND('Lease Cycles'!$AX$18&gt;=INDEX('Lease Cycles'!$BG$18:$BM$18,1,DP180),'Lease Cycles'!$AX$18&lt;=DP$6),'Lease Cycles'!$C$18*'Lease Cycles'!$AY$18/12,IF(AND('Lease Cycles'!$AV$18&gt;=INDEX('Lease Cycles'!$BG$18:$BM$18,1,DP180),'Lease Cycles'!$AV$18&lt;=DP$6),'Lease Cycles'!$C$18*'Lease Cycles'!$AW$18/12,IF(AND('Lease Cycles'!$AT$18&gt;=INDEX('Lease Cycles'!$BG$18:$BM$18,1,DP180),'Lease Cycles'!$AT$18&lt;=DP$6),'Lease Cycles'!$C$18*'Lease Cycles'!$AU$18/12,'Lease Cycles'!$C$18*INDEX('Lease Cycles'!$CB$18:$CH$18,1,DP180)*(1+INDEX('Lease Cycles'!$CI$18:$CO$18,1,DP180))^INT(INT(DP181/12)/INDEX('Lease Cycles'!$CP$18:$CV$18,1,DP180))/12)))),'Lease Cycles'!$C$18*INDEX('Lease Cycles'!$CB$18:$CH$18,1,DP180)*(1+INDEX('Lease Cycles'!$CI$18:$CO$18,1,DP180))^INT(INT(DP181/12)/INDEX('Lease Cycles'!$CP$18:$CV$18,1,DP180))/12))),IF('Lease Cycles'!$N$18=1,'Lease Cycles'!$C$18*'Lease Cycles'!$E$18*INDEX('Lease Cycles'!$HE$18:$HK$18,1,DP180)*(1+INDEX('Lease Cycles'!$GQ$18:$GW$18,1,DP180))^INT(INT((DP$6-INDEX('Lease Cycles'!$GJ$18:$GP$18,1,DP180))/12)/INDEX('Lease Cycles'!$GX$18:$HD$18,1,DP180))/12,0)))</f>
        <v>0</v>
      </c>
      <c r="DQ183" s="28">
        <f>IF(DQ180=0,IF('Lease Cycles'!$F$18&gt;0,'Lease Cycles'!$C$18*'Lease Cycles'!$E$18/12,0),IF(DQ182=1,IF('Lease Cycles'!$AT$18&gt;=9999,'Lease Cycles'!$C$18*INDEX('Lease Cycles'!$CB$18:$CH$18,1,DQ180)*(1+INDEX('Lease Cycles'!$CI$18:$CO$18,1,DQ180))^INT(INT(DQ181/12)/INDEX('Lease Cycles'!$CP$18:$CV$18,1,DQ180))/12,IF(DQ180=1,IF(DQ181&gt;=INDEX('Lease Cycles'!$DK$18:$DQ$18,1,DQ180),IF(DQ$6&gt;='Lease Cycles'!$AZ$18,'Lease Cycles'!$C$18*'Lease Cycles'!$BA$18/12,IF(DQ$6&gt;='Lease Cycles'!$AX$18,'Lease Cycles'!$C$18*'Lease Cycles'!$AY$18/12,IF(DQ$6&gt;='Lease Cycles'!$AV$18,'Lease Cycles'!$C$18*'Lease Cycles'!$AW$18/12,IF(DQ$6&gt;='Lease Cycles'!$AT$18,'Lease Cycles'!$C$18*'Lease Cycles'!$AU$18/12,'Lease Cycles'!$C$18*INDEX('Lease Cycles'!$CB$18:$CH$18,1,DQ180)*(1+INDEX('Lease Cycles'!$CI$18:$CO$18,1,DQ180))^INT(INT(DQ181/12)/INDEX('Lease Cycles'!$CP$18:$CV$18,1,DQ180))/12)))),'Lease Cycles'!$C$18*INDEX('Lease Cycles'!$CB$18:$CH$18,1,DQ180)*(1+INDEX('Lease Cycles'!$CI$18:$CO$18,1,DQ180))^INT(INT(DQ181/12)/INDEX('Lease Cycles'!$CP$18:$CV$18,1,DQ180))/12),IF(INDEX('Lease Cycles'!$EF$18:$EL$18,1,DQ180)=1,IF(AND('Lease Cycles'!$AZ$18&gt;=INDEX('Lease Cycles'!$BG$18:$BM$18,1,DQ180),'Lease Cycles'!$AZ$18&lt;=DQ$6),'Lease Cycles'!$C$18*'Lease Cycles'!$BA$18/12,IF(AND('Lease Cycles'!$AX$18&gt;=INDEX('Lease Cycles'!$BG$18:$BM$18,1,DQ180),'Lease Cycles'!$AX$18&lt;=DQ$6),'Lease Cycles'!$C$18*'Lease Cycles'!$AY$18/12,IF(AND('Lease Cycles'!$AV$18&gt;=INDEX('Lease Cycles'!$BG$18:$BM$18,1,DQ180),'Lease Cycles'!$AV$18&lt;=DQ$6),'Lease Cycles'!$C$18*'Lease Cycles'!$AW$18/12,IF(AND('Lease Cycles'!$AT$18&gt;=INDEX('Lease Cycles'!$BG$18:$BM$18,1,DQ180),'Lease Cycles'!$AT$18&lt;=DQ$6),'Lease Cycles'!$C$18*'Lease Cycles'!$AU$18/12,'Lease Cycles'!$C$18*INDEX('Lease Cycles'!$CB$18:$CH$18,1,DQ180)*(1+INDEX('Lease Cycles'!$CI$18:$CO$18,1,DQ180))^INT(INT(DQ181/12)/INDEX('Lease Cycles'!$CP$18:$CV$18,1,DQ180))/12)))),'Lease Cycles'!$C$18*INDEX('Lease Cycles'!$CB$18:$CH$18,1,DQ180)*(1+INDEX('Lease Cycles'!$CI$18:$CO$18,1,DQ180))^INT(INT(DQ181/12)/INDEX('Lease Cycles'!$CP$18:$CV$18,1,DQ180))/12))),IF('Lease Cycles'!$N$18=1,'Lease Cycles'!$C$18*'Lease Cycles'!$E$18*INDEX('Lease Cycles'!$HE$18:$HK$18,1,DQ180)*(1+INDEX('Lease Cycles'!$GQ$18:$GW$18,1,DQ180))^INT(INT((DQ$6-INDEX('Lease Cycles'!$GJ$18:$GP$18,1,DQ180))/12)/INDEX('Lease Cycles'!$GX$18:$HD$18,1,DQ180))/12,0)))</f>
        <v>0</v>
      </c>
      <c r="DR183" s="28">
        <f>IF(DR180=0,IF('Lease Cycles'!$F$18&gt;0,'Lease Cycles'!$C$18*'Lease Cycles'!$E$18/12,0),IF(DR182=1,IF('Lease Cycles'!$AT$18&gt;=9999,'Lease Cycles'!$C$18*INDEX('Lease Cycles'!$CB$18:$CH$18,1,DR180)*(1+INDEX('Lease Cycles'!$CI$18:$CO$18,1,DR180))^INT(INT(DR181/12)/INDEX('Lease Cycles'!$CP$18:$CV$18,1,DR180))/12,IF(DR180=1,IF(DR181&gt;=INDEX('Lease Cycles'!$DK$18:$DQ$18,1,DR180),IF(DR$6&gt;='Lease Cycles'!$AZ$18,'Lease Cycles'!$C$18*'Lease Cycles'!$BA$18/12,IF(DR$6&gt;='Lease Cycles'!$AX$18,'Lease Cycles'!$C$18*'Lease Cycles'!$AY$18/12,IF(DR$6&gt;='Lease Cycles'!$AV$18,'Lease Cycles'!$C$18*'Lease Cycles'!$AW$18/12,IF(DR$6&gt;='Lease Cycles'!$AT$18,'Lease Cycles'!$C$18*'Lease Cycles'!$AU$18/12,'Lease Cycles'!$C$18*INDEX('Lease Cycles'!$CB$18:$CH$18,1,DR180)*(1+INDEX('Lease Cycles'!$CI$18:$CO$18,1,DR180))^INT(INT(DR181/12)/INDEX('Lease Cycles'!$CP$18:$CV$18,1,DR180))/12)))),'Lease Cycles'!$C$18*INDEX('Lease Cycles'!$CB$18:$CH$18,1,DR180)*(1+INDEX('Lease Cycles'!$CI$18:$CO$18,1,DR180))^INT(INT(DR181/12)/INDEX('Lease Cycles'!$CP$18:$CV$18,1,DR180))/12),IF(INDEX('Lease Cycles'!$EF$18:$EL$18,1,DR180)=1,IF(AND('Lease Cycles'!$AZ$18&gt;=INDEX('Lease Cycles'!$BG$18:$BM$18,1,DR180),'Lease Cycles'!$AZ$18&lt;=DR$6),'Lease Cycles'!$C$18*'Lease Cycles'!$BA$18/12,IF(AND('Lease Cycles'!$AX$18&gt;=INDEX('Lease Cycles'!$BG$18:$BM$18,1,DR180),'Lease Cycles'!$AX$18&lt;=DR$6),'Lease Cycles'!$C$18*'Lease Cycles'!$AY$18/12,IF(AND('Lease Cycles'!$AV$18&gt;=INDEX('Lease Cycles'!$BG$18:$BM$18,1,DR180),'Lease Cycles'!$AV$18&lt;=DR$6),'Lease Cycles'!$C$18*'Lease Cycles'!$AW$18/12,IF(AND('Lease Cycles'!$AT$18&gt;=INDEX('Lease Cycles'!$BG$18:$BM$18,1,DR180),'Lease Cycles'!$AT$18&lt;=DR$6),'Lease Cycles'!$C$18*'Lease Cycles'!$AU$18/12,'Lease Cycles'!$C$18*INDEX('Lease Cycles'!$CB$18:$CH$18,1,DR180)*(1+INDEX('Lease Cycles'!$CI$18:$CO$18,1,DR180))^INT(INT(DR181/12)/INDEX('Lease Cycles'!$CP$18:$CV$18,1,DR180))/12)))),'Lease Cycles'!$C$18*INDEX('Lease Cycles'!$CB$18:$CH$18,1,DR180)*(1+INDEX('Lease Cycles'!$CI$18:$CO$18,1,DR180))^INT(INT(DR181/12)/INDEX('Lease Cycles'!$CP$18:$CV$18,1,DR180))/12))),IF('Lease Cycles'!$N$18=1,'Lease Cycles'!$C$18*'Lease Cycles'!$E$18*INDEX('Lease Cycles'!$HE$18:$HK$18,1,DR180)*(1+INDEX('Lease Cycles'!$GQ$18:$GW$18,1,DR180))^INT(INT((DR$6-INDEX('Lease Cycles'!$GJ$18:$GP$18,1,DR180))/12)/INDEX('Lease Cycles'!$GX$18:$HD$18,1,DR180))/12,0)))</f>
        <v>0</v>
      </c>
      <c r="DS183" s="28">
        <f>IF(DS180=0,IF('Lease Cycles'!$F$18&gt;0,'Lease Cycles'!$C$18*'Lease Cycles'!$E$18/12,0),IF(DS182=1,IF('Lease Cycles'!$AT$18&gt;=9999,'Lease Cycles'!$C$18*INDEX('Lease Cycles'!$CB$18:$CH$18,1,DS180)*(1+INDEX('Lease Cycles'!$CI$18:$CO$18,1,DS180))^INT(INT(DS181/12)/INDEX('Lease Cycles'!$CP$18:$CV$18,1,DS180))/12,IF(DS180=1,IF(DS181&gt;=INDEX('Lease Cycles'!$DK$18:$DQ$18,1,DS180),IF(DS$6&gt;='Lease Cycles'!$AZ$18,'Lease Cycles'!$C$18*'Lease Cycles'!$BA$18/12,IF(DS$6&gt;='Lease Cycles'!$AX$18,'Lease Cycles'!$C$18*'Lease Cycles'!$AY$18/12,IF(DS$6&gt;='Lease Cycles'!$AV$18,'Lease Cycles'!$C$18*'Lease Cycles'!$AW$18/12,IF(DS$6&gt;='Lease Cycles'!$AT$18,'Lease Cycles'!$C$18*'Lease Cycles'!$AU$18/12,'Lease Cycles'!$C$18*INDEX('Lease Cycles'!$CB$18:$CH$18,1,DS180)*(1+INDEX('Lease Cycles'!$CI$18:$CO$18,1,DS180))^INT(INT(DS181/12)/INDEX('Lease Cycles'!$CP$18:$CV$18,1,DS180))/12)))),'Lease Cycles'!$C$18*INDEX('Lease Cycles'!$CB$18:$CH$18,1,DS180)*(1+INDEX('Lease Cycles'!$CI$18:$CO$18,1,DS180))^INT(INT(DS181/12)/INDEX('Lease Cycles'!$CP$18:$CV$18,1,DS180))/12),IF(INDEX('Lease Cycles'!$EF$18:$EL$18,1,DS180)=1,IF(AND('Lease Cycles'!$AZ$18&gt;=INDEX('Lease Cycles'!$BG$18:$BM$18,1,DS180),'Lease Cycles'!$AZ$18&lt;=DS$6),'Lease Cycles'!$C$18*'Lease Cycles'!$BA$18/12,IF(AND('Lease Cycles'!$AX$18&gt;=INDEX('Lease Cycles'!$BG$18:$BM$18,1,DS180),'Lease Cycles'!$AX$18&lt;=DS$6),'Lease Cycles'!$C$18*'Lease Cycles'!$AY$18/12,IF(AND('Lease Cycles'!$AV$18&gt;=INDEX('Lease Cycles'!$BG$18:$BM$18,1,DS180),'Lease Cycles'!$AV$18&lt;=DS$6),'Lease Cycles'!$C$18*'Lease Cycles'!$AW$18/12,IF(AND('Lease Cycles'!$AT$18&gt;=INDEX('Lease Cycles'!$BG$18:$BM$18,1,DS180),'Lease Cycles'!$AT$18&lt;=DS$6),'Lease Cycles'!$C$18*'Lease Cycles'!$AU$18/12,'Lease Cycles'!$C$18*INDEX('Lease Cycles'!$CB$18:$CH$18,1,DS180)*(1+INDEX('Lease Cycles'!$CI$18:$CO$18,1,DS180))^INT(INT(DS181/12)/INDEX('Lease Cycles'!$CP$18:$CV$18,1,DS180))/12)))),'Lease Cycles'!$C$18*INDEX('Lease Cycles'!$CB$18:$CH$18,1,DS180)*(1+INDEX('Lease Cycles'!$CI$18:$CO$18,1,DS180))^INT(INT(DS181/12)/INDEX('Lease Cycles'!$CP$18:$CV$18,1,DS180))/12))),IF('Lease Cycles'!$N$18=1,'Lease Cycles'!$C$18*'Lease Cycles'!$E$18*INDEX('Lease Cycles'!$HE$18:$HK$18,1,DS180)*(1+INDEX('Lease Cycles'!$GQ$18:$GW$18,1,DS180))^INT(INT((DS$6-INDEX('Lease Cycles'!$GJ$18:$GP$18,1,DS180))/12)/INDEX('Lease Cycles'!$GX$18:$HD$18,1,DS180))/12,0)))</f>
        <v>0</v>
      </c>
      <c r="DT183" s="28">
        <f>IF(DT180=0,IF('Lease Cycles'!$F$18&gt;0,'Lease Cycles'!$C$18*'Lease Cycles'!$E$18/12,0),IF(DT182=1,IF('Lease Cycles'!$AT$18&gt;=9999,'Lease Cycles'!$C$18*INDEX('Lease Cycles'!$CB$18:$CH$18,1,DT180)*(1+INDEX('Lease Cycles'!$CI$18:$CO$18,1,DT180))^INT(INT(DT181/12)/INDEX('Lease Cycles'!$CP$18:$CV$18,1,DT180))/12,IF(DT180=1,IF(DT181&gt;=INDEX('Lease Cycles'!$DK$18:$DQ$18,1,DT180),IF(DT$6&gt;='Lease Cycles'!$AZ$18,'Lease Cycles'!$C$18*'Lease Cycles'!$BA$18/12,IF(DT$6&gt;='Lease Cycles'!$AX$18,'Lease Cycles'!$C$18*'Lease Cycles'!$AY$18/12,IF(DT$6&gt;='Lease Cycles'!$AV$18,'Lease Cycles'!$C$18*'Lease Cycles'!$AW$18/12,IF(DT$6&gt;='Lease Cycles'!$AT$18,'Lease Cycles'!$C$18*'Lease Cycles'!$AU$18/12,'Lease Cycles'!$C$18*INDEX('Lease Cycles'!$CB$18:$CH$18,1,DT180)*(1+INDEX('Lease Cycles'!$CI$18:$CO$18,1,DT180))^INT(INT(DT181/12)/INDEX('Lease Cycles'!$CP$18:$CV$18,1,DT180))/12)))),'Lease Cycles'!$C$18*INDEX('Lease Cycles'!$CB$18:$CH$18,1,DT180)*(1+INDEX('Lease Cycles'!$CI$18:$CO$18,1,DT180))^INT(INT(DT181/12)/INDEX('Lease Cycles'!$CP$18:$CV$18,1,DT180))/12),IF(INDEX('Lease Cycles'!$EF$18:$EL$18,1,DT180)=1,IF(AND('Lease Cycles'!$AZ$18&gt;=INDEX('Lease Cycles'!$BG$18:$BM$18,1,DT180),'Lease Cycles'!$AZ$18&lt;=DT$6),'Lease Cycles'!$C$18*'Lease Cycles'!$BA$18/12,IF(AND('Lease Cycles'!$AX$18&gt;=INDEX('Lease Cycles'!$BG$18:$BM$18,1,DT180),'Lease Cycles'!$AX$18&lt;=DT$6),'Lease Cycles'!$C$18*'Lease Cycles'!$AY$18/12,IF(AND('Lease Cycles'!$AV$18&gt;=INDEX('Lease Cycles'!$BG$18:$BM$18,1,DT180),'Lease Cycles'!$AV$18&lt;=DT$6),'Lease Cycles'!$C$18*'Lease Cycles'!$AW$18/12,IF(AND('Lease Cycles'!$AT$18&gt;=INDEX('Lease Cycles'!$BG$18:$BM$18,1,DT180),'Lease Cycles'!$AT$18&lt;=DT$6),'Lease Cycles'!$C$18*'Lease Cycles'!$AU$18/12,'Lease Cycles'!$C$18*INDEX('Lease Cycles'!$CB$18:$CH$18,1,DT180)*(1+INDEX('Lease Cycles'!$CI$18:$CO$18,1,DT180))^INT(INT(DT181/12)/INDEX('Lease Cycles'!$CP$18:$CV$18,1,DT180))/12)))),'Lease Cycles'!$C$18*INDEX('Lease Cycles'!$CB$18:$CH$18,1,DT180)*(1+INDEX('Lease Cycles'!$CI$18:$CO$18,1,DT180))^INT(INT(DT181/12)/INDEX('Lease Cycles'!$CP$18:$CV$18,1,DT180))/12))),IF('Lease Cycles'!$N$18=1,'Lease Cycles'!$C$18*'Lease Cycles'!$E$18*INDEX('Lease Cycles'!$HE$18:$HK$18,1,DT180)*(1+INDEX('Lease Cycles'!$GQ$18:$GW$18,1,DT180))^INT(INT((DT$6-INDEX('Lease Cycles'!$GJ$18:$GP$18,1,DT180))/12)/INDEX('Lease Cycles'!$GX$18:$HD$18,1,DT180))/12,0)))</f>
        <v>0</v>
      </c>
      <c r="DU183" s="28">
        <f>IF(DU180=0,IF('Lease Cycles'!$F$18&gt;0,'Lease Cycles'!$C$18*'Lease Cycles'!$E$18/12,0),IF(DU182=1,IF('Lease Cycles'!$AT$18&gt;=9999,'Lease Cycles'!$C$18*INDEX('Lease Cycles'!$CB$18:$CH$18,1,DU180)*(1+INDEX('Lease Cycles'!$CI$18:$CO$18,1,DU180))^INT(INT(DU181/12)/INDEX('Lease Cycles'!$CP$18:$CV$18,1,DU180))/12,IF(DU180=1,IF(DU181&gt;=INDEX('Lease Cycles'!$DK$18:$DQ$18,1,DU180),IF(DU$6&gt;='Lease Cycles'!$AZ$18,'Lease Cycles'!$C$18*'Lease Cycles'!$BA$18/12,IF(DU$6&gt;='Lease Cycles'!$AX$18,'Lease Cycles'!$C$18*'Lease Cycles'!$AY$18/12,IF(DU$6&gt;='Lease Cycles'!$AV$18,'Lease Cycles'!$C$18*'Lease Cycles'!$AW$18/12,IF(DU$6&gt;='Lease Cycles'!$AT$18,'Lease Cycles'!$C$18*'Lease Cycles'!$AU$18/12,'Lease Cycles'!$C$18*INDEX('Lease Cycles'!$CB$18:$CH$18,1,DU180)*(1+INDEX('Lease Cycles'!$CI$18:$CO$18,1,DU180))^INT(INT(DU181/12)/INDEX('Lease Cycles'!$CP$18:$CV$18,1,DU180))/12)))),'Lease Cycles'!$C$18*INDEX('Lease Cycles'!$CB$18:$CH$18,1,DU180)*(1+INDEX('Lease Cycles'!$CI$18:$CO$18,1,DU180))^INT(INT(DU181/12)/INDEX('Lease Cycles'!$CP$18:$CV$18,1,DU180))/12),IF(INDEX('Lease Cycles'!$EF$18:$EL$18,1,DU180)=1,IF(AND('Lease Cycles'!$AZ$18&gt;=INDEX('Lease Cycles'!$BG$18:$BM$18,1,DU180),'Lease Cycles'!$AZ$18&lt;=DU$6),'Lease Cycles'!$C$18*'Lease Cycles'!$BA$18/12,IF(AND('Lease Cycles'!$AX$18&gt;=INDEX('Lease Cycles'!$BG$18:$BM$18,1,DU180),'Lease Cycles'!$AX$18&lt;=DU$6),'Lease Cycles'!$C$18*'Lease Cycles'!$AY$18/12,IF(AND('Lease Cycles'!$AV$18&gt;=INDEX('Lease Cycles'!$BG$18:$BM$18,1,DU180),'Lease Cycles'!$AV$18&lt;=DU$6),'Lease Cycles'!$C$18*'Lease Cycles'!$AW$18/12,IF(AND('Lease Cycles'!$AT$18&gt;=INDEX('Lease Cycles'!$BG$18:$BM$18,1,DU180),'Lease Cycles'!$AT$18&lt;=DU$6),'Lease Cycles'!$C$18*'Lease Cycles'!$AU$18/12,'Lease Cycles'!$C$18*INDEX('Lease Cycles'!$CB$18:$CH$18,1,DU180)*(1+INDEX('Lease Cycles'!$CI$18:$CO$18,1,DU180))^INT(INT(DU181/12)/INDEX('Lease Cycles'!$CP$18:$CV$18,1,DU180))/12)))),'Lease Cycles'!$C$18*INDEX('Lease Cycles'!$CB$18:$CH$18,1,DU180)*(1+INDEX('Lease Cycles'!$CI$18:$CO$18,1,DU180))^INT(INT(DU181/12)/INDEX('Lease Cycles'!$CP$18:$CV$18,1,DU180))/12))),IF('Lease Cycles'!$N$18=1,'Lease Cycles'!$C$18*'Lease Cycles'!$E$18*INDEX('Lease Cycles'!$HE$18:$HK$18,1,DU180)*(1+INDEX('Lease Cycles'!$GQ$18:$GW$18,1,DU180))^INT(INT((DU$6-INDEX('Lease Cycles'!$GJ$18:$GP$18,1,DU180))/12)/INDEX('Lease Cycles'!$GX$18:$HD$18,1,DU180))/12,0)))</f>
        <v>0</v>
      </c>
      <c r="DV183" s="28">
        <f>IF(DV180=0,IF('Lease Cycles'!$F$18&gt;0,'Lease Cycles'!$C$18*'Lease Cycles'!$E$18/12,0),IF(DV182=1,IF('Lease Cycles'!$AT$18&gt;=9999,'Lease Cycles'!$C$18*INDEX('Lease Cycles'!$CB$18:$CH$18,1,DV180)*(1+INDEX('Lease Cycles'!$CI$18:$CO$18,1,DV180))^INT(INT(DV181/12)/INDEX('Lease Cycles'!$CP$18:$CV$18,1,DV180))/12,IF(DV180=1,IF(DV181&gt;=INDEX('Lease Cycles'!$DK$18:$DQ$18,1,DV180),IF(DV$6&gt;='Lease Cycles'!$AZ$18,'Lease Cycles'!$C$18*'Lease Cycles'!$BA$18/12,IF(DV$6&gt;='Lease Cycles'!$AX$18,'Lease Cycles'!$C$18*'Lease Cycles'!$AY$18/12,IF(DV$6&gt;='Lease Cycles'!$AV$18,'Lease Cycles'!$C$18*'Lease Cycles'!$AW$18/12,IF(DV$6&gt;='Lease Cycles'!$AT$18,'Lease Cycles'!$C$18*'Lease Cycles'!$AU$18/12,'Lease Cycles'!$C$18*INDEX('Lease Cycles'!$CB$18:$CH$18,1,DV180)*(1+INDEX('Lease Cycles'!$CI$18:$CO$18,1,DV180))^INT(INT(DV181/12)/INDEX('Lease Cycles'!$CP$18:$CV$18,1,DV180))/12)))),'Lease Cycles'!$C$18*INDEX('Lease Cycles'!$CB$18:$CH$18,1,DV180)*(1+INDEX('Lease Cycles'!$CI$18:$CO$18,1,DV180))^INT(INT(DV181/12)/INDEX('Lease Cycles'!$CP$18:$CV$18,1,DV180))/12),IF(INDEX('Lease Cycles'!$EF$18:$EL$18,1,DV180)=1,IF(AND('Lease Cycles'!$AZ$18&gt;=INDEX('Lease Cycles'!$BG$18:$BM$18,1,DV180),'Lease Cycles'!$AZ$18&lt;=DV$6),'Lease Cycles'!$C$18*'Lease Cycles'!$BA$18/12,IF(AND('Lease Cycles'!$AX$18&gt;=INDEX('Lease Cycles'!$BG$18:$BM$18,1,DV180),'Lease Cycles'!$AX$18&lt;=DV$6),'Lease Cycles'!$C$18*'Lease Cycles'!$AY$18/12,IF(AND('Lease Cycles'!$AV$18&gt;=INDEX('Lease Cycles'!$BG$18:$BM$18,1,DV180),'Lease Cycles'!$AV$18&lt;=DV$6),'Lease Cycles'!$C$18*'Lease Cycles'!$AW$18/12,IF(AND('Lease Cycles'!$AT$18&gt;=INDEX('Lease Cycles'!$BG$18:$BM$18,1,DV180),'Lease Cycles'!$AT$18&lt;=DV$6),'Lease Cycles'!$C$18*'Lease Cycles'!$AU$18/12,'Lease Cycles'!$C$18*INDEX('Lease Cycles'!$CB$18:$CH$18,1,DV180)*(1+INDEX('Lease Cycles'!$CI$18:$CO$18,1,DV180))^INT(INT(DV181/12)/INDEX('Lease Cycles'!$CP$18:$CV$18,1,DV180))/12)))),'Lease Cycles'!$C$18*INDEX('Lease Cycles'!$CB$18:$CH$18,1,DV180)*(1+INDEX('Lease Cycles'!$CI$18:$CO$18,1,DV180))^INT(INT(DV181/12)/INDEX('Lease Cycles'!$CP$18:$CV$18,1,DV180))/12))),IF('Lease Cycles'!$N$18=1,'Lease Cycles'!$C$18*'Lease Cycles'!$E$18*INDEX('Lease Cycles'!$HE$18:$HK$18,1,DV180)*(1+INDEX('Lease Cycles'!$GQ$18:$GW$18,1,DV180))^INT(INT((DV$6-INDEX('Lease Cycles'!$GJ$18:$GP$18,1,DV180))/12)/INDEX('Lease Cycles'!$GX$18:$HD$18,1,DV180))/12,0)))</f>
        <v>0</v>
      </c>
      <c r="DW183" s="28">
        <f>IF(DW180=0,IF('Lease Cycles'!$F$18&gt;0,'Lease Cycles'!$C$18*'Lease Cycles'!$E$18/12,0),IF(DW182=1,IF('Lease Cycles'!$AT$18&gt;=9999,'Lease Cycles'!$C$18*INDEX('Lease Cycles'!$CB$18:$CH$18,1,DW180)*(1+INDEX('Lease Cycles'!$CI$18:$CO$18,1,DW180))^INT(INT(DW181/12)/INDEX('Lease Cycles'!$CP$18:$CV$18,1,DW180))/12,IF(DW180=1,IF(DW181&gt;=INDEX('Lease Cycles'!$DK$18:$DQ$18,1,DW180),IF(DW$6&gt;='Lease Cycles'!$AZ$18,'Lease Cycles'!$C$18*'Lease Cycles'!$BA$18/12,IF(DW$6&gt;='Lease Cycles'!$AX$18,'Lease Cycles'!$C$18*'Lease Cycles'!$AY$18/12,IF(DW$6&gt;='Lease Cycles'!$AV$18,'Lease Cycles'!$C$18*'Lease Cycles'!$AW$18/12,IF(DW$6&gt;='Lease Cycles'!$AT$18,'Lease Cycles'!$C$18*'Lease Cycles'!$AU$18/12,'Lease Cycles'!$C$18*INDEX('Lease Cycles'!$CB$18:$CH$18,1,DW180)*(1+INDEX('Lease Cycles'!$CI$18:$CO$18,1,DW180))^INT(INT(DW181/12)/INDEX('Lease Cycles'!$CP$18:$CV$18,1,DW180))/12)))),'Lease Cycles'!$C$18*INDEX('Lease Cycles'!$CB$18:$CH$18,1,DW180)*(1+INDEX('Lease Cycles'!$CI$18:$CO$18,1,DW180))^INT(INT(DW181/12)/INDEX('Lease Cycles'!$CP$18:$CV$18,1,DW180))/12),IF(INDEX('Lease Cycles'!$EF$18:$EL$18,1,DW180)=1,IF(AND('Lease Cycles'!$AZ$18&gt;=INDEX('Lease Cycles'!$BG$18:$BM$18,1,DW180),'Lease Cycles'!$AZ$18&lt;=DW$6),'Lease Cycles'!$C$18*'Lease Cycles'!$BA$18/12,IF(AND('Lease Cycles'!$AX$18&gt;=INDEX('Lease Cycles'!$BG$18:$BM$18,1,DW180),'Lease Cycles'!$AX$18&lt;=DW$6),'Lease Cycles'!$C$18*'Lease Cycles'!$AY$18/12,IF(AND('Lease Cycles'!$AV$18&gt;=INDEX('Lease Cycles'!$BG$18:$BM$18,1,DW180),'Lease Cycles'!$AV$18&lt;=DW$6),'Lease Cycles'!$C$18*'Lease Cycles'!$AW$18/12,IF(AND('Lease Cycles'!$AT$18&gt;=INDEX('Lease Cycles'!$BG$18:$BM$18,1,DW180),'Lease Cycles'!$AT$18&lt;=DW$6),'Lease Cycles'!$C$18*'Lease Cycles'!$AU$18/12,'Lease Cycles'!$C$18*INDEX('Lease Cycles'!$CB$18:$CH$18,1,DW180)*(1+INDEX('Lease Cycles'!$CI$18:$CO$18,1,DW180))^INT(INT(DW181/12)/INDEX('Lease Cycles'!$CP$18:$CV$18,1,DW180))/12)))),'Lease Cycles'!$C$18*INDEX('Lease Cycles'!$CB$18:$CH$18,1,DW180)*(1+INDEX('Lease Cycles'!$CI$18:$CO$18,1,DW180))^INT(INT(DW181/12)/INDEX('Lease Cycles'!$CP$18:$CV$18,1,DW180))/12))),IF('Lease Cycles'!$N$18=1,'Lease Cycles'!$C$18*'Lease Cycles'!$E$18*INDEX('Lease Cycles'!$HE$18:$HK$18,1,DW180)*(1+INDEX('Lease Cycles'!$GQ$18:$GW$18,1,DW180))^INT(INT((DW$6-INDEX('Lease Cycles'!$GJ$18:$GP$18,1,DW180))/12)/INDEX('Lease Cycles'!$GX$18:$HD$18,1,DW180))/12,0)))</f>
        <v>0</v>
      </c>
      <c r="DX183" s="28">
        <f>IF(DX180=0,IF('Lease Cycles'!$F$18&gt;0,'Lease Cycles'!$C$18*'Lease Cycles'!$E$18/12,0),IF(DX182=1,IF('Lease Cycles'!$AT$18&gt;=9999,'Lease Cycles'!$C$18*INDEX('Lease Cycles'!$CB$18:$CH$18,1,DX180)*(1+INDEX('Lease Cycles'!$CI$18:$CO$18,1,DX180))^INT(INT(DX181/12)/INDEX('Lease Cycles'!$CP$18:$CV$18,1,DX180))/12,IF(DX180=1,IF(DX181&gt;=INDEX('Lease Cycles'!$DK$18:$DQ$18,1,DX180),IF(DX$6&gt;='Lease Cycles'!$AZ$18,'Lease Cycles'!$C$18*'Lease Cycles'!$BA$18/12,IF(DX$6&gt;='Lease Cycles'!$AX$18,'Lease Cycles'!$C$18*'Lease Cycles'!$AY$18/12,IF(DX$6&gt;='Lease Cycles'!$AV$18,'Lease Cycles'!$C$18*'Lease Cycles'!$AW$18/12,IF(DX$6&gt;='Lease Cycles'!$AT$18,'Lease Cycles'!$C$18*'Lease Cycles'!$AU$18/12,'Lease Cycles'!$C$18*INDEX('Lease Cycles'!$CB$18:$CH$18,1,DX180)*(1+INDEX('Lease Cycles'!$CI$18:$CO$18,1,DX180))^INT(INT(DX181/12)/INDEX('Lease Cycles'!$CP$18:$CV$18,1,DX180))/12)))),'Lease Cycles'!$C$18*INDEX('Lease Cycles'!$CB$18:$CH$18,1,DX180)*(1+INDEX('Lease Cycles'!$CI$18:$CO$18,1,DX180))^INT(INT(DX181/12)/INDEX('Lease Cycles'!$CP$18:$CV$18,1,DX180))/12),IF(INDEX('Lease Cycles'!$EF$18:$EL$18,1,DX180)=1,IF(AND('Lease Cycles'!$AZ$18&gt;=INDEX('Lease Cycles'!$BG$18:$BM$18,1,DX180),'Lease Cycles'!$AZ$18&lt;=DX$6),'Lease Cycles'!$C$18*'Lease Cycles'!$BA$18/12,IF(AND('Lease Cycles'!$AX$18&gt;=INDEX('Lease Cycles'!$BG$18:$BM$18,1,DX180),'Lease Cycles'!$AX$18&lt;=DX$6),'Lease Cycles'!$C$18*'Lease Cycles'!$AY$18/12,IF(AND('Lease Cycles'!$AV$18&gt;=INDEX('Lease Cycles'!$BG$18:$BM$18,1,DX180),'Lease Cycles'!$AV$18&lt;=DX$6),'Lease Cycles'!$C$18*'Lease Cycles'!$AW$18/12,IF(AND('Lease Cycles'!$AT$18&gt;=INDEX('Lease Cycles'!$BG$18:$BM$18,1,DX180),'Lease Cycles'!$AT$18&lt;=DX$6),'Lease Cycles'!$C$18*'Lease Cycles'!$AU$18/12,'Lease Cycles'!$C$18*INDEX('Lease Cycles'!$CB$18:$CH$18,1,DX180)*(1+INDEX('Lease Cycles'!$CI$18:$CO$18,1,DX180))^INT(INT(DX181/12)/INDEX('Lease Cycles'!$CP$18:$CV$18,1,DX180))/12)))),'Lease Cycles'!$C$18*INDEX('Lease Cycles'!$CB$18:$CH$18,1,DX180)*(1+INDEX('Lease Cycles'!$CI$18:$CO$18,1,DX180))^INT(INT(DX181/12)/INDEX('Lease Cycles'!$CP$18:$CV$18,1,DX180))/12))),IF('Lease Cycles'!$N$18=1,'Lease Cycles'!$C$18*'Lease Cycles'!$E$18*INDEX('Lease Cycles'!$HE$18:$HK$18,1,DX180)*(1+INDEX('Lease Cycles'!$GQ$18:$GW$18,1,DX180))^INT(INT((DX$6-INDEX('Lease Cycles'!$GJ$18:$GP$18,1,DX180))/12)/INDEX('Lease Cycles'!$GX$18:$HD$18,1,DX180))/12,0)))</f>
        <v>0</v>
      </c>
      <c r="DY183" s="28">
        <f>IF(DY180=0,IF('Lease Cycles'!$F$18&gt;0,'Lease Cycles'!$C$18*'Lease Cycles'!$E$18/12,0),IF(DY182=1,IF('Lease Cycles'!$AT$18&gt;=9999,'Lease Cycles'!$C$18*INDEX('Lease Cycles'!$CB$18:$CH$18,1,DY180)*(1+INDEX('Lease Cycles'!$CI$18:$CO$18,1,DY180))^INT(INT(DY181/12)/INDEX('Lease Cycles'!$CP$18:$CV$18,1,DY180))/12,IF(DY180=1,IF(DY181&gt;=INDEX('Lease Cycles'!$DK$18:$DQ$18,1,DY180),IF(DY$6&gt;='Lease Cycles'!$AZ$18,'Lease Cycles'!$C$18*'Lease Cycles'!$BA$18/12,IF(DY$6&gt;='Lease Cycles'!$AX$18,'Lease Cycles'!$C$18*'Lease Cycles'!$AY$18/12,IF(DY$6&gt;='Lease Cycles'!$AV$18,'Lease Cycles'!$C$18*'Lease Cycles'!$AW$18/12,IF(DY$6&gt;='Lease Cycles'!$AT$18,'Lease Cycles'!$C$18*'Lease Cycles'!$AU$18/12,'Lease Cycles'!$C$18*INDEX('Lease Cycles'!$CB$18:$CH$18,1,DY180)*(1+INDEX('Lease Cycles'!$CI$18:$CO$18,1,DY180))^INT(INT(DY181/12)/INDEX('Lease Cycles'!$CP$18:$CV$18,1,DY180))/12)))),'Lease Cycles'!$C$18*INDEX('Lease Cycles'!$CB$18:$CH$18,1,DY180)*(1+INDEX('Lease Cycles'!$CI$18:$CO$18,1,DY180))^INT(INT(DY181/12)/INDEX('Lease Cycles'!$CP$18:$CV$18,1,DY180))/12),IF(INDEX('Lease Cycles'!$EF$18:$EL$18,1,DY180)=1,IF(AND('Lease Cycles'!$AZ$18&gt;=INDEX('Lease Cycles'!$BG$18:$BM$18,1,DY180),'Lease Cycles'!$AZ$18&lt;=DY$6),'Lease Cycles'!$C$18*'Lease Cycles'!$BA$18/12,IF(AND('Lease Cycles'!$AX$18&gt;=INDEX('Lease Cycles'!$BG$18:$BM$18,1,DY180),'Lease Cycles'!$AX$18&lt;=DY$6),'Lease Cycles'!$C$18*'Lease Cycles'!$AY$18/12,IF(AND('Lease Cycles'!$AV$18&gt;=INDEX('Lease Cycles'!$BG$18:$BM$18,1,DY180),'Lease Cycles'!$AV$18&lt;=DY$6),'Lease Cycles'!$C$18*'Lease Cycles'!$AW$18/12,IF(AND('Lease Cycles'!$AT$18&gt;=INDEX('Lease Cycles'!$BG$18:$BM$18,1,DY180),'Lease Cycles'!$AT$18&lt;=DY$6),'Lease Cycles'!$C$18*'Lease Cycles'!$AU$18/12,'Lease Cycles'!$C$18*INDEX('Lease Cycles'!$CB$18:$CH$18,1,DY180)*(1+INDEX('Lease Cycles'!$CI$18:$CO$18,1,DY180))^INT(INT(DY181/12)/INDEX('Lease Cycles'!$CP$18:$CV$18,1,DY180))/12)))),'Lease Cycles'!$C$18*INDEX('Lease Cycles'!$CB$18:$CH$18,1,DY180)*(1+INDEX('Lease Cycles'!$CI$18:$CO$18,1,DY180))^INT(INT(DY181/12)/INDEX('Lease Cycles'!$CP$18:$CV$18,1,DY180))/12))),IF('Lease Cycles'!$N$18=1,'Lease Cycles'!$C$18*'Lease Cycles'!$E$18*INDEX('Lease Cycles'!$HE$18:$HK$18,1,DY180)*(1+INDEX('Lease Cycles'!$GQ$18:$GW$18,1,DY180))^INT(INT((DY$6-INDEX('Lease Cycles'!$GJ$18:$GP$18,1,DY180))/12)/INDEX('Lease Cycles'!$GX$18:$HD$18,1,DY180))/12,0)))</f>
        <v>0</v>
      </c>
      <c r="DZ183" s="28">
        <f>IF(DZ180=0,IF('Lease Cycles'!$F$18&gt;0,'Lease Cycles'!$C$18*'Lease Cycles'!$E$18/12,0),IF(DZ182=1,IF('Lease Cycles'!$AT$18&gt;=9999,'Lease Cycles'!$C$18*INDEX('Lease Cycles'!$CB$18:$CH$18,1,DZ180)*(1+INDEX('Lease Cycles'!$CI$18:$CO$18,1,DZ180))^INT(INT(DZ181/12)/INDEX('Lease Cycles'!$CP$18:$CV$18,1,DZ180))/12,IF(DZ180=1,IF(DZ181&gt;=INDEX('Lease Cycles'!$DK$18:$DQ$18,1,DZ180),IF(DZ$6&gt;='Lease Cycles'!$AZ$18,'Lease Cycles'!$C$18*'Lease Cycles'!$BA$18/12,IF(DZ$6&gt;='Lease Cycles'!$AX$18,'Lease Cycles'!$C$18*'Lease Cycles'!$AY$18/12,IF(DZ$6&gt;='Lease Cycles'!$AV$18,'Lease Cycles'!$C$18*'Lease Cycles'!$AW$18/12,IF(DZ$6&gt;='Lease Cycles'!$AT$18,'Lease Cycles'!$C$18*'Lease Cycles'!$AU$18/12,'Lease Cycles'!$C$18*INDEX('Lease Cycles'!$CB$18:$CH$18,1,DZ180)*(1+INDEX('Lease Cycles'!$CI$18:$CO$18,1,DZ180))^INT(INT(DZ181/12)/INDEX('Lease Cycles'!$CP$18:$CV$18,1,DZ180))/12)))),'Lease Cycles'!$C$18*INDEX('Lease Cycles'!$CB$18:$CH$18,1,DZ180)*(1+INDEX('Lease Cycles'!$CI$18:$CO$18,1,DZ180))^INT(INT(DZ181/12)/INDEX('Lease Cycles'!$CP$18:$CV$18,1,DZ180))/12),IF(INDEX('Lease Cycles'!$EF$18:$EL$18,1,DZ180)=1,IF(AND('Lease Cycles'!$AZ$18&gt;=INDEX('Lease Cycles'!$BG$18:$BM$18,1,DZ180),'Lease Cycles'!$AZ$18&lt;=DZ$6),'Lease Cycles'!$C$18*'Lease Cycles'!$BA$18/12,IF(AND('Lease Cycles'!$AX$18&gt;=INDEX('Lease Cycles'!$BG$18:$BM$18,1,DZ180),'Lease Cycles'!$AX$18&lt;=DZ$6),'Lease Cycles'!$C$18*'Lease Cycles'!$AY$18/12,IF(AND('Lease Cycles'!$AV$18&gt;=INDEX('Lease Cycles'!$BG$18:$BM$18,1,DZ180),'Lease Cycles'!$AV$18&lt;=DZ$6),'Lease Cycles'!$C$18*'Lease Cycles'!$AW$18/12,IF(AND('Lease Cycles'!$AT$18&gt;=INDEX('Lease Cycles'!$BG$18:$BM$18,1,DZ180),'Lease Cycles'!$AT$18&lt;=DZ$6),'Lease Cycles'!$C$18*'Lease Cycles'!$AU$18/12,'Lease Cycles'!$C$18*INDEX('Lease Cycles'!$CB$18:$CH$18,1,DZ180)*(1+INDEX('Lease Cycles'!$CI$18:$CO$18,1,DZ180))^INT(INT(DZ181/12)/INDEX('Lease Cycles'!$CP$18:$CV$18,1,DZ180))/12)))),'Lease Cycles'!$C$18*INDEX('Lease Cycles'!$CB$18:$CH$18,1,DZ180)*(1+INDEX('Lease Cycles'!$CI$18:$CO$18,1,DZ180))^INT(INT(DZ181/12)/INDEX('Lease Cycles'!$CP$18:$CV$18,1,DZ180))/12))),IF('Lease Cycles'!$N$18=1,'Lease Cycles'!$C$18*'Lease Cycles'!$E$18*INDEX('Lease Cycles'!$HE$18:$HK$18,1,DZ180)*(1+INDEX('Lease Cycles'!$GQ$18:$GW$18,1,DZ180))^INT(INT((DZ$6-INDEX('Lease Cycles'!$GJ$18:$GP$18,1,DZ180))/12)/INDEX('Lease Cycles'!$GX$18:$HD$18,1,DZ180))/12,0)))</f>
        <v>0</v>
      </c>
      <c r="EA183" s="28">
        <f>IF(EA180=0,IF('Lease Cycles'!$F$18&gt;0,'Lease Cycles'!$C$18*'Lease Cycles'!$E$18/12,0),IF(EA182=1,IF('Lease Cycles'!$AT$18&gt;=9999,'Lease Cycles'!$C$18*INDEX('Lease Cycles'!$CB$18:$CH$18,1,EA180)*(1+INDEX('Lease Cycles'!$CI$18:$CO$18,1,EA180))^INT(INT(EA181/12)/INDEX('Lease Cycles'!$CP$18:$CV$18,1,EA180))/12,IF(EA180=1,IF(EA181&gt;=INDEX('Lease Cycles'!$DK$18:$DQ$18,1,EA180),IF(EA$6&gt;='Lease Cycles'!$AZ$18,'Lease Cycles'!$C$18*'Lease Cycles'!$BA$18/12,IF(EA$6&gt;='Lease Cycles'!$AX$18,'Lease Cycles'!$C$18*'Lease Cycles'!$AY$18/12,IF(EA$6&gt;='Lease Cycles'!$AV$18,'Lease Cycles'!$C$18*'Lease Cycles'!$AW$18/12,IF(EA$6&gt;='Lease Cycles'!$AT$18,'Lease Cycles'!$C$18*'Lease Cycles'!$AU$18/12,'Lease Cycles'!$C$18*INDEX('Lease Cycles'!$CB$18:$CH$18,1,EA180)*(1+INDEX('Lease Cycles'!$CI$18:$CO$18,1,EA180))^INT(INT(EA181/12)/INDEX('Lease Cycles'!$CP$18:$CV$18,1,EA180))/12)))),'Lease Cycles'!$C$18*INDEX('Lease Cycles'!$CB$18:$CH$18,1,EA180)*(1+INDEX('Lease Cycles'!$CI$18:$CO$18,1,EA180))^INT(INT(EA181/12)/INDEX('Lease Cycles'!$CP$18:$CV$18,1,EA180))/12),IF(INDEX('Lease Cycles'!$EF$18:$EL$18,1,EA180)=1,IF(AND('Lease Cycles'!$AZ$18&gt;=INDEX('Lease Cycles'!$BG$18:$BM$18,1,EA180),'Lease Cycles'!$AZ$18&lt;=EA$6),'Lease Cycles'!$C$18*'Lease Cycles'!$BA$18/12,IF(AND('Lease Cycles'!$AX$18&gt;=INDEX('Lease Cycles'!$BG$18:$BM$18,1,EA180),'Lease Cycles'!$AX$18&lt;=EA$6),'Lease Cycles'!$C$18*'Lease Cycles'!$AY$18/12,IF(AND('Lease Cycles'!$AV$18&gt;=INDEX('Lease Cycles'!$BG$18:$BM$18,1,EA180),'Lease Cycles'!$AV$18&lt;=EA$6),'Lease Cycles'!$C$18*'Lease Cycles'!$AW$18/12,IF(AND('Lease Cycles'!$AT$18&gt;=INDEX('Lease Cycles'!$BG$18:$BM$18,1,EA180),'Lease Cycles'!$AT$18&lt;=EA$6),'Lease Cycles'!$C$18*'Lease Cycles'!$AU$18/12,'Lease Cycles'!$C$18*INDEX('Lease Cycles'!$CB$18:$CH$18,1,EA180)*(1+INDEX('Lease Cycles'!$CI$18:$CO$18,1,EA180))^INT(INT(EA181/12)/INDEX('Lease Cycles'!$CP$18:$CV$18,1,EA180))/12)))),'Lease Cycles'!$C$18*INDEX('Lease Cycles'!$CB$18:$CH$18,1,EA180)*(1+INDEX('Lease Cycles'!$CI$18:$CO$18,1,EA180))^INT(INT(EA181/12)/INDEX('Lease Cycles'!$CP$18:$CV$18,1,EA180))/12))),IF('Lease Cycles'!$N$18=1,'Lease Cycles'!$C$18*'Lease Cycles'!$E$18*INDEX('Lease Cycles'!$HE$18:$HK$18,1,EA180)*(1+INDEX('Lease Cycles'!$GQ$18:$GW$18,1,EA180))^INT(INT((EA$6-INDEX('Lease Cycles'!$GJ$18:$GP$18,1,EA180))/12)/INDEX('Lease Cycles'!$GX$18:$HD$18,1,EA180))/12,0)))</f>
        <v>0</v>
      </c>
      <c r="EB183" s="28">
        <f>IF(EB180=0,IF('Lease Cycles'!$F$18&gt;0,'Lease Cycles'!$C$18*'Lease Cycles'!$E$18/12,0),IF(EB182=1,IF('Lease Cycles'!$AT$18&gt;=9999,'Lease Cycles'!$C$18*INDEX('Lease Cycles'!$CB$18:$CH$18,1,EB180)*(1+INDEX('Lease Cycles'!$CI$18:$CO$18,1,EB180))^INT(INT(EB181/12)/INDEX('Lease Cycles'!$CP$18:$CV$18,1,EB180))/12,IF(EB180=1,IF(EB181&gt;=INDEX('Lease Cycles'!$DK$18:$DQ$18,1,EB180),IF(EB$6&gt;='Lease Cycles'!$AZ$18,'Lease Cycles'!$C$18*'Lease Cycles'!$BA$18/12,IF(EB$6&gt;='Lease Cycles'!$AX$18,'Lease Cycles'!$C$18*'Lease Cycles'!$AY$18/12,IF(EB$6&gt;='Lease Cycles'!$AV$18,'Lease Cycles'!$C$18*'Lease Cycles'!$AW$18/12,IF(EB$6&gt;='Lease Cycles'!$AT$18,'Lease Cycles'!$C$18*'Lease Cycles'!$AU$18/12,'Lease Cycles'!$C$18*INDEX('Lease Cycles'!$CB$18:$CH$18,1,EB180)*(1+INDEX('Lease Cycles'!$CI$18:$CO$18,1,EB180))^INT(INT(EB181/12)/INDEX('Lease Cycles'!$CP$18:$CV$18,1,EB180))/12)))),'Lease Cycles'!$C$18*INDEX('Lease Cycles'!$CB$18:$CH$18,1,EB180)*(1+INDEX('Lease Cycles'!$CI$18:$CO$18,1,EB180))^INT(INT(EB181/12)/INDEX('Lease Cycles'!$CP$18:$CV$18,1,EB180))/12),IF(INDEX('Lease Cycles'!$EF$18:$EL$18,1,EB180)=1,IF(AND('Lease Cycles'!$AZ$18&gt;=INDEX('Lease Cycles'!$BG$18:$BM$18,1,EB180),'Lease Cycles'!$AZ$18&lt;=EB$6),'Lease Cycles'!$C$18*'Lease Cycles'!$BA$18/12,IF(AND('Lease Cycles'!$AX$18&gt;=INDEX('Lease Cycles'!$BG$18:$BM$18,1,EB180),'Lease Cycles'!$AX$18&lt;=EB$6),'Lease Cycles'!$C$18*'Lease Cycles'!$AY$18/12,IF(AND('Lease Cycles'!$AV$18&gt;=INDEX('Lease Cycles'!$BG$18:$BM$18,1,EB180),'Lease Cycles'!$AV$18&lt;=EB$6),'Lease Cycles'!$C$18*'Lease Cycles'!$AW$18/12,IF(AND('Lease Cycles'!$AT$18&gt;=INDEX('Lease Cycles'!$BG$18:$BM$18,1,EB180),'Lease Cycles'!$AT$18&lt;=EB$6),'Lease Cycles'!$C$18*'Lease Cycles'!$AU$18/12,'Lease Cycles'!$C$18*INDEX('Lease Cycles'!$CB$18:$CH$18,1,EB180)*(1+INDEX('Lease Cycles'!$CI$18:$CO$18,1,EB180))^INT(INT(EB181/12)/INDEX('Lease Cycles'!$CP$18:$CV$18,1,EB180))/12)))),'Lease Cycles'!$C$18*INDEX('Lease Cycles'!$CB$18:$CH$18,1,EB180)*(1+INDEX('Lease Cycles'!$CI$18:$CO$18,1,EB180))^INT(INT(EB181/12)/INDEX('Lease Cycles'!$CP$18:$CV$18,1,EB180))/12))),IF('Lease Cycles'!$N$18=1,'Lease Cycles'!$C$18*'Lease Cycles'!$E$18*INDEX('Lease Cycles'!$HE$18:$HK$18,1,EB180)*(1+INDEX('Lease Cycles'!$GQ$18:$GW$18,1,EB180))^INT(INT((EB$6-INDEX('Lease Cycles'!$GJ$18:$GP$18,1,EB180))/12)/INDEX('Lease Cycles'!$GX$18:$HD$18,1,EB180))/12,0)))</f>
        <v>0</v>
      </c>
      <c r="EC183" s="28">
        <f>IF(EC180=0,IF('Lease Cycles'!$F$18&gt;0,'Lease Cycles'!$C$18*'Lease Cycles'!$E$18/12,0),IF(EC182=1,IF('Lease Cycles'!$AT$18&gt;=9999,'Lease Cycles'!$C$18*INDEX('Lease Cycles'!$CB$18:$CH$18,1,EC180)*(1+INDEX('Lease Cycles'!$CI$18:$CO$18,1,EC180))^INT(INT(EC181/12)/INDEX('Lease Cycles'!$CP$18:$CV$18,1,EC180))/12,IF(EC180=1,IF(EC181&gt;=INDEX('Lease Cycles'!$DK$18:$DQ$18,1,EC180),IF(EC$6&gt;='Lease Cycles'!$AZ$18,'Lease Cycles'!$C$18*'Lease Cycles'!$BA$18/12,IF(EC$6&gt;='Lease Cycles'!$AX$18,'Lease Cycles'!$C$18*'Lease Cycles'!$AY$18/12,IF(EC$6&gt;='Lease Cycles'!$AV$18,'Lease Cycles'!$C$18*'Lease Cycles'!$AW$18/12,IF(EC$6&gt;='Lease Cycles'!$AT$18,'Lease Cycles'!$C$18*'Lease Cycles'!$AU$18/12,'Lease Cycles'!$C$18*INDEX('Lease Cycles'!$CB$18:$CH$18,1,EC180)*(1+INDEX('Lease Cycles'!$CI$18:$CO$18,1,EC180))^INT(INT(EC181/12)/INDEX('Lease Cycles'!$CP$18:$CV$18,1,EC180))/12)))),'Lease Cycles'!$C$18*INDEX('Lease Cycles'!$CB$18:$CH$18,1,EC180)*(1+INDEX('Lease Cycles'!$CI$18:$CO$18,1,EC180))^INT(INT(EC181/12)/INDEX('Lease Cycles'!$CP$18:$CV$18,1,EC180))/12),IF(INDEX('Lease Cycles'!$EF$18:$EL$18,1,EC180)=1,IF(AND('Lease Cycles'!$AZ$18&gt;=INDEX('Lease Cycles'!$BG$18:$BM$18,1,EC180),'Lease Cycles'!$AZ$18&lt;=EC$6),'Lease Cycles'!$C$18*'Lease Cycles'!$BA$18/12,IF(AND('Lease Cycles'!$AX$18&gt;=INDEX('Lease Cycles'!$BG$18:$BM$18,1,EC180),'Lease Cycles'!$AX$18&lt;=EC$6),'Lease Cycles'!$C$18*'Lease Cycles'!$AY$18/12,IF(AND('Lease Cycles'!$AV$18&gt;=INDEX('Lease Cycles'!$BG$18:$BM$18,1,EC180),'Lease Cycles'!$AV$18&lt;=EC$6),'Lease Cycles'!$C$18*'Lease Cycles'!$AW$18/12,IF(AND('Lease Cycles'!$AT$18&gt;=INDEX('Lease Cycles'!$BG$18:$BM$18,1,EC180),'Lease Cycles'!$AT$18&lt;=EC$6),'Lease Cycles'!$C$18*'Lease Cycles'!$AU$18/12,'Lease Cycles'!$C$18*INDEX('Lease Cycles'!$CB$18:$CH$18,1,EC180)*(1+INDEX('Lease Cycles'!$CI$18:$CO$18,1,EC180))^INT(INT(EC181/12)/INDEX('Lease Cycles'!$CP$18:$CV$18,1,EC180))/12)))),'Lease Cycles'!$C$18*INDEX('Lease Cycles'!$CB$18:$CH$18,1,EC180)*(1+INDEX('Lease Cycles'!$CI$18:$CO$18,1,EC180))^INT(INT(EC181/12)/INDEX('Lease Cycles'!$CP$18:$CV$18,1,EC180))/12))),IF('Lease Cycles'!$N$18=1,'Lease Cycles'!$C$18*'Lease Cycles'!$E$18*INDEX('Lease Cycles'!$HE$18:$HK$18,1,EC180)*(1+INDEX('Lease Cycles'!$GQ$18:$GW$18,1,EC180))^INT(INT((EC$6-INDEX('Lease Cycles'!$GJ$18:$GP$18,1,EC180))/12)/INDEX('Lease Cycles'!$GX$18:$HD$18,1,EC180))/12,0)))</f>
        <v>0</v>
      </c>
      <c r="ED183" s="28">
        <f>IF(ED180=0,IF('Lease Cycles'!$F$18&gt;0,'Lease Cycles'!$C$18*'Lease Cycles'!$E$18/12,0),IF(ED182=1,IF('Lease Cycles'!$AT$18&gt;=9999,'Lease Cycles'!$C$18*INDEX('Lease Cycles'!$CB$18:$CH$18,1,ED180)*(1+INDEX('Lease Cycles'!$CI$18:$CO$18,1,ED180))^INT(INT(ED181/12)/INDEX('Lease Cycles'!$CP$18:$CV$18,1,ED180))/12,IF(ED180=1,IF(ED181&gt;=INDEX('Lease Cycles'!$DK$18:$DQ$18,1,ED180),IF(ED$6&gt;='Lease Cycles'!$AZ$18,'Lease Cycles'!$C$18*'Lease Cycles'!$BA$18/12,IF(ED$6&gt;='Lease Cycles'!$AX$18,'Lease Cycles'!$C$18*'Lease Cycles'!$AY$18/12,IF(ED$6&gt;='Lease Cycles'!$AV$18,'Lease Cycles'!$C$18*'Lease Cycles'!$AW$18/12,IF(ED$6&gt;='Lease Cycles'!$AT$18,'Lease Cycles'!$C$18*'Lease Cycles'!$AU$18/12,'Lease Cycles'!$C$18*INDEX('Lease Cycles'!$CB$18:$CH$18,1,ED180)*(1+INDEX('Lease Cycles'!$CI$18:$CO$18,1,ED180))^INT(INT(ED181/12)/INDEX('Lease Cycles'!$CP$18:$CV$18,1,ED180))/12)))),'Lease Cycles'!$C$18*INDEX('Lease Cycles'!$CB$18:$CH$18,1,ED180)*(1+INDEX('Lease Cycles'!$CI$18:$CO$18,1,ED180))^INT(INT(ED181/12)/INDEX('Lease Cycles'!$CP$18:$CV$18,1,ED180))/12),IF(INDEX('Lease Cycles'!$EF$18:$EL$18,1,ED180)=1,IF(AND('Lease Cycles'!$AZ$18&gt;=INDEX('Lease Cycles'!$BG$18:$BM$18,1,ED180),'Lease Cycles'!$AZ$18&lt;=ED$6),'Lease Cycles'!$C$18*'Lease Cycles'!$BA$18/12,IF(AND('Lease Cycles'!$AX$18&gt;=INDEX('Lease Cycles'!$BG$18:$BM$18,1,ED180),'Lease Cycles'!$AX$18&lt;=ED$6),'Lease Cycles'!$C$18*'Lease Cycles'!$AY$18/12,IF(AND('Lease Cycles'!$AV$18&gt;=INDEX('Lease Cycles'!$BG$18:$BM$18,1,ED180),'Lease Cycles'!$AV$18&lt;=ED$6),'Lease Cycles'!$C$18*'Lease Cycles'!$AW$18/12,IF(AND('Lease Cycles'!$AT$18&gt;=INDEX('Lease Cycles'!$BG$18:$BM$18,1,ED180),'Lease Cycles'!$AT$18&lt;=ED$6),'Lease Cycles'!$C$18*'Lease Cycles'!$AU$18/12,'Lease Cycles'!$C$18*INDEX('Lease Cycles'!$CB$18:$CH$18,1,ED180)*(1+INDEX('Lease Cycles'!$CI$18:$CO$18,1,ED180))^INT(INT(ED181/12)/INDEX('Lease Cycles'!$CP$18:$CV$18,1,ED180))/12)))),'Lease Cycles'!$C$18*INDEX('Lease Cycles'!$CB$18:$CH$18,1,ED180)*(1+INDEX('Lease Cycles'!$CI$18:$CO$18,1,ED180))^INT(INT(ED181/12)/INDEX('Lease Cycles'!$CP$18:$CV$18,1,ED180))/12))),IF('Lease Cycles'!$N$18=1,'Lease Cycles'!$C$18*'Lease Cycles'!$E$18*INDEX('Lease Cycles'!$HE$18:$HK$18,1,ED180)*(1+INDEX('Lease Cycles'!$GQ$18:$GW$18,1,ED180))^INT(INT((ED$6-INDEX('Lease Cycles'!$GJ$18:$GP$18,1,ED180))/12)/INDEX('Lease Cycles'!$GX$18:$HD$18,1,ED180))/12,0)))</f>
        <v>0</v>
      </c>
      <c r="EE183" s="28">
        <f>IF(EE180=0,IF('Lease Cycles'!$F$18&gt;0,'Lease Cycles'!$C$18*'Lease Cycles'!$E$18/12,0),IF(EE182=1,IF('Lease Cycles'!$AT$18&gt;=9999,'Lease Cycles'!$C$18*INDEX('Lease Cycles'!$CB$18:$CH$18,1,EE180)*(1+INDEX('Lease Cycles'!$CI$18:$CO$18,1,EE180))^INT(INT(EE181/12)/INDEX('Lease Cycles'!$CP$18:$CV$18,1,EE180))/12,IF(EE180=1,IF(EE181&gt;=INDEX('Lease Cycles'!$DK$18:$DQ$18,1,EE180),IF(EE$6&gt;='Lease Cycles'!$AZ$18,'Lease Cycles'!$C$18*'Lease Cycles'!$BA$18/12,IF(EE$6&gt;='Lease Cycles'!$AX$18,'Lease Cycles'!$C$18*'Lease Cycles'!$AY$18/12,IF(EE$6&gt;='Lease Cycles'!$AV$18,'Lease Cycles'!$C$18*'Lease Cycles'!$AW$18/12,IF(EE$6&gt;='Lease Cycles'!$AT$18,'Lease Cycles'!$C$18*'Lease Cycles'!$AU$18/12,'Lease Cycles'!$C$18*INDEX('Lease Cycles'!$CB$18:$CH$18,1,EE180)*(1+INDEX('Lease Cycles'!$CI$18:$CO$18,1,EE180))^INT(INT(EE181/12)/INDEX('Lease Cycles'!$CP$18:$CV$18,1,EE180))/12)))),'Lease Cycles'!$C$18*INDEX('Lease Cycles'!$CB$18:$CH$18,1,EE180)*(1+INDEX('Lease Cycles'!$CI$18:$CO$18,1,EE180))^INT(INT(EE181/12)/INDEX('Lease Cycles'!$CP$18:$CV$18,1,EE180))/12),IF(INDEX('Lease Cycles'!$EF$18:$EL$18,1,EE180)=1,IF(AND('Lease Cycles'!$AZ$18&gt;=INDEX('Lease Cycles'!$BG$18:$BM$18,1,EE180),'Lease Cycles'!$AZ$18&lt;=EE$6),'Lease Cycles'!$C$18*'Lease Cycles'!$BA$18/12,IF(AND('Lease Cycles'!$AX$18&gt;=INDEX('Lease Cycles'!$BG$18:$BM$18,1,EE180),'Lease Cycles'!$AX$18&lt;=EE$6),'Lease Cycles'!$C$18*'Lease Cycles'!$AY$18/12,IF(AND('Lease Cycles'!$AV$18&gt;=INDEX('Lease Cycles'!$BG$18:$BM$18,1,EE180),'Lease Cycles'!$AV$18&lt;=EE$6),'Lease Cycles'!$C$18*'Lease Cycles'!$AW$18/12,IF(AND('Lease Cycles'!$AT$18&gt;=INDEX('Lease Cycles'!$BG$18:$BM$18,1,EE180),'Lease Cycles'!$AT$18&lt;=EE$6),'Lease Cycles'!$C$18*'Lease Cycles'!$AU$18/12,'Lease Cycles'!$C$18*INDEX('Lease Cycles'!$CB$18:$CH$18,1,EE180)*(1+INDEX('Lease Cycles'!$CI$18:$CO$18,1,EE180))^INT(INT(EE181/12)/INDEX('Lease Cycles'!$CP$18:$CV$18,1,EE180))/12)))),'Lease Cycles'!$C$18*INDEX('Lease Cycles'!$CB$18:$CH$18,1,EE180)*(1+INDEX('Lease Cycles'!$CI$18:$CO$18,1,EE180))^INT(INT(EE181/12)/INDEX('Lease Cycles'!$CP$18:$CV$18,1,EE180))/12))),IF('Lease Cycles'!$N$18=1,'Lease Cycles'!$C$18*'Lease Cycles'!$E$18*INDEX('Lease Cycles'!$HE$18:$HK$18,1,EE180)*(1+INDEX('Lease Cycles'!$GQ$18:$GW$18,1,EE180))^INT(INT((EE$6-INDEX('Lease Cycles'!$GJ$18:$GP$18,1,EE180))/12)/INDEX('Lease Cycles'!$GX$18:$HD$18,1,EE180))/12,0)))</f>
        <v>0</v>
      </c>
      <c r="EF183" s="28">
        <f>IF(EF180=0,IF('Lease Cycles'!$F$18&gt;0,'Lease Cycles'!$C$18*'Lease Cycles'!$E$18/12,0),IF(EF182=1,IF('Lease Cycles'!$AT$18&gt;=9999,'Lease Cycles'!$C$18*INDEX('Lease Cycles'!$CB$18:$CH$18,1,EF180)*(1+INDEX('Lease Cycles'!$CI$18:$CO$18,1,EF180))^INT(INT(EF181/12)/INDEX('Lease Cycles'!$CP$18:$CV$18,1,EF180))/12,IF(EF180=1,IF(EF181&gt;=INDEX('Lease Cycles'!$DK$18:$DQ$18,1,EF180),IF(EF$6&gt;='Lease Cycles'!$AZ$18,'Lease Cycles'!$C$18*'Lease Cycles'!$BA$18/12,IF(EF$6&gt;='Lease Cycles'!$AX$18,'Lease Cycles'!$C$18*'Lease Cycles'!$AY$18/12,IF(EF$6&gt;='Lease Cycles'!$AV$18,'Lease Cycles'!$C$18*'Lease Cycles'!$AW$18/12,IF(EF$6&gt;='Lease Cycles'!$AT$18,'Lease Cycles'!$C$18*'Lease Cycles'!$AU$18/12,'Lease Cycles'!$C$18*INDEX('Lease Cycles'!$CB$18:$CH$18,1,EF180)*(1+INDEX('Lease Cycles'!$CI$18:$CO$18,1,EF180))^INT(INT(EF181/12)/INDEX('Lease Cycles'!$CP$18:$CV$18,1,EF180))/12)))),'Lease Cycles'!$C$18*INDEX('Lease Cycles'!$CB$18:$CH$18,1,EF180)*(1+INDEX('Lease Cycles'!$CI$18:$CO$18,1,EF180))^INT(INT(EF181/12)/INDEX('Lease Cycles'!$CP$18:$CV$18,1,EF180))/12),IF(INDEX('Lease Cycles'!$EF$18:$EL$18,1,EF180)=1,IF(AND('Lease Cycles'!$AZ$18&gt;=INDEX('Lease Cycles'!$BG$18:$BM$18,1,EF180),'Lease Cycles'!$AZ$18&lt;=EF$6),'Lease Cycles'!$C$18*'Lease Cycles'!$BA$18/12,IF(AND('Lease Cycles'!$AX$18&gt;=INDEX('Lease Cycles'!$BG$18:$BM$18,1,EF180),'Lease Cycles'!$AX$18&lt;=EF$6),'Lease Cycles'!$C$18*'Lease Cycles'!$AY$18/12,IF(AND('Lease Cycles'!$AV$18&gt;=INDEX('Lease Cycles'!$BG$18:$BM$18,1,EF180),'Lease Cycles'!$AV$18&lt;=EF$6),'Lease Cycles'!$C$18*'Lease Cycles'!$AW$18/12,IF(AND('Lease Cycles'!$AT$18&gt;=INDEX('Lease Cycles'!$BG$18:$BM$18,1,EF180),'Lease Cycles'!$AT$18&lt;=EF$6),'Lease Cycles'!$C$18*'Lease Cycles'!$AU$18/12,'Lease Cycles'!$C$18*INDEX('Lease Cycles'!$CB$18:$CH$18,1,EF180)*(1+INDEX('Lease Cycles'!$CI$18:$CO$18,1,EF180))^INT(INT(EF181/12)/INDEX('Lease Cycles'!$CP$18:$CV$18,1,EF180))/12)))),'Lease Cycles'!$C$18*INDEX('Lease Cycles'!$CB$18:$CH$18,1,EF180)*(1+INDEX('Lease Cycles'!$CI$18:$CO$18,1,EF180))^INT(INT(EF181/12)/INDEX('Lease Cycles'!$CP$18:$CV$18,1,EF180))/12))),IF('Lease Cycles'!$N$18=1,'Lease Cycles'!$C$18*'Lease Cycles'!$E$18*INDEX('Lease Cycles'!$HE$18:$HK$18,1,EF180)*(1+INDEX('Lease Cycles'!$GQ$18:$GW$18,1,EF180))^INT(INT((EF$6-INDEX('Lease Cycles'!$GJ$18:$GP$18,1,EF180))/12)/INDEX('Lease Cycles'!$GX$18:$HD$18,1,EF180))/12,0)))</f>
        <v>0</v>
      </c>
      <c r="EG183" s="28">
        <f>IF(EG180=0,IF('Lease Cycles'!$F$18&gt;0,'Lease Cycles'!$C$18*'Lease Cycles'!$E$18/12,0),IF(EG182=1,IF('Lease Cycles'!$AT$18&gt;=9999,'Lease Cycles'!$C$18*INDEX('Lease Cycles'!$CB$18:$CH$18,1,EG180)*(1+INDEX('Lease Cycles'!$CI$18:$CO$18,1,EG180))^INT(INT(EG181/12)/INDEX('Lease Cycles'!$CP$18:$CV$18,1,EG180))/12,IF(EG180=1,IF(EG181&gt;=INDEX('Lease Cycles'!$DK$18:$DQ$18,1,EG180),IF(EG$6&gt;='Lease Cycles'!$AZ$18,'Lease Cycles'!$C$18*'Lease Cycles'!$BA$18/12,IF(EG$6&gt;='Lease Cycles'!$AX$18,'Lease Cycles'!$C$18*'Lease Cycles'!$AY$18/12,IF(EG$6&gt;='Lease Cycles'!$AV$18,'Lease Cycles'!$C$18*'Lease Cycles'!$AW$18/12,IF(EG$6&gt;='Lease Cycles'!$AT$18,'Lease Cycles'!$C$18*'Lease Cycles'!$AU$18/12,'Lease Cycles'!$C$18*INDEX('Lease Cycles'!$CB$18:$CH$18,1,EG180)*(1+INDEX('Lease Cycles'!$CI$18:$CO$18,1,EG180))^INT(INT(EG181/12)/INDEX('Lease Cycles'!$CP$18:$CV$18,1,EG180))/12)))),'Lease Cycles'!$C$18*INDEX('Lease Cycles'!$CB$18:$CH$18,1,EG180)*(1+INDEX('Lease Cycles'!$CI$18:$CO$18,1,EG180))^INT(INT(EG181/12)/INDEX('Lease Cycles'!$CP$18:$CV$18,1,EG180))/12),IF(INDEX('Lease Cycles'!$EF$18:$EL$18,1,EG180)=1,IF(AND('Lease Cycles'!$AZ$18&gt;=INDEX('Lease Cycles'!$BG$18:$BM$18,1,EG180),'Lease Cycles'!$AZ$18&lt;=EG$6),'Lease Cycles'!$C$18*'Lease Cycles'!$BA$18/12,IF(AND('Lease Cycles'!$AX$18&gt;=INDEX('Lease Cycles'!$BG$18:$BM$18,1,EG180),'Lease Cycles'!$AX$18&lt;=EG$6),'Lease Cycles'!$C$18*'Lease Cycles'!$AY$18/12,IF(AND('Lease Cycles'!$AV$18&gt;=INDEX('Lease Cycles'!$BG$18:$BM$18,1,EG180),'Lease Cycles'!$AV$18&lt;=EG$6),'Lease Cycles'!$C$18*'Lease Cycles'!$AW$18/12,IF(AND('Lease Cycles'!$AT$18&gt;=INDEX('Lease Cycles'!$BG$18:$BM$18,1,EG180),'Lease Cycles'!$AT$18&lt;=EG$6),'Lease Cycles'!$C$18*'Lease Cycles'!$AU$18/12,'Lease Cycles'!$C$18*INDEX('Lease Cycles'!$CB$18:$CH$18,1,EG180)*(1+INDEX('Lease Cycles'!$CI$18:$CO$18,1,EG180))^INT(INT(EG181/12)/INDEX('Lease Cycles'!$CP$18:$CV$18,1,EG180))/12)))),'Lease Cycles'!$C$18*INDEX('Lease Cycles'!$CB$18:$CH$18,1,EG180)*(1+INDEX('Lease Cycles'!$CI$18:$CO$18,1,EG180))^INT(INT(EG181/12)/INDEX('Lease Cycles'!$CP$18:$CV$18,1,EG180))/12))),IF('Lease Cycles'!$N$18=1,'Lease Cycles'!$C$18*'Lease Cycles'!$E$18*INDEX('Lease Cycles'!$HE$18:$HK$18,1,EG180)*(1+INDEX('Lease Cycles'!$GQ$18:$GW$18,1,EG180))^INT(INT((EG$6-INDEX('Lease Cycles'!$GJ$18:$GP$18,1,EG180))/12)/INDEX('Lease Cycles'!$GX$18:$HD$18,1,EG180))/12,0)))</f>
        <v>0</v>
      </c>
      <c r="EH183" s="28">
        <f>IF(EH180=0,IF('Lease Cycles'!$F$18&gt;0,'Lease Cycles'!$C$18*'Lease Cycles'!$E$18/12,0),IF(EH182=1,IF('Lease Cycles'!$AT$18&gt;=9999,'Lease Cycles'!$C$18*INDEX('Lease Cycles'!$CB$18:$CH$18,1,EH180)*(1+INDEX('Lease Cycles'!$CI$18:$CO$18,1,EH180))^INT(INT(EH181/12)/INDEX('Lease Cycles'!$CP$18:$CV$18,1,EH180))/12,IF(EH180=1,IF(EH181&gt;=INDEX('Lease Cycles'!$DK$18:$DQ$18,1,EH180),IF(EH$6&gt;='Lease Cycles'!$AZ$18,'Lease Cycles'!$C$18*'Lease Cycles'!$BA$18/12,IF(EH$6&gt;='Lease Cycles'!$AX$18,'Lease Cycles'!$C$18*'Lease Cycles'!$AY$18/12,IF(EH$6&gt;='Lease Cycles'!$AV$18,'Lease Cycles'!$C$18*'Lease Cycles'!$AW$18/12,IF(EH$6&gt;='Lease Cycles'!$AT$18,'Lease Cycles'!$C$18*'Lease Cycles'!$AU$18/12,'Lease Cycles'!$C$18*INDEX('Lease Cycles'!$CB$18:$CH$18,1,EH180)*(1+INDEX('Lease Cycles'!$CI$18:$CO$18,1,EH180))^INT(INT(EH181/12)/INDEX('Lease Cycles'!$CP$18:$CV$18,1,EH180))/12)))),'Lease Cycles'!$C$18*INDEX('Lease Cycles'!$CB$18:$CH$18,1,EH180)*(1+INDEX('Lease Cycles'!$CI$18:$CO$18,1,EH180))^INT(INT(EH181/12)/INDEX('Lease Cycles'!$CP$18:$CV$18,1,EH180))/12),IF(INDEX('Lease Cycles'!$EF$18:$EL$18,1,EH180)=1,IF(AND('Lease Cycles'!$AZ$18&gt;=INDEX('Lease Cycles'!$BG$18:$BM$18,1,EH180),'Lease Cycles'!$AZ$18&lt;=EH$6),'Lease Cycles'!$C$18*'Lease Cycles'!$BA$18/12,IF(AND('Lease Cycles'!$AX$18&gt;=INDEX('Lease Cycles'!$BG$18:$BM$18,1,EH180),'Lease Cycles'!$AX$18&lt;=EH$6),'Lease Cycles'!$C$18*'Lease Cycles'!$AY$18/12,IF(AND('Lease Cycles'!$AV$18&gt;=INDEX('Lease Cycles'!$BG$18:$BM$18,1,EH180),'Lease Cycles'!$AV$18&lt;=EH$6),'Lease Cycles'!$C$18*'Lease Cycles'!$AW$18/12,IF(AND('Lease Cycles'!$AT$18&gt;=INDEX('Lease Cycles'!$BG$18:$BM$18,1,EH180),'Lease Cycles'!$AT$18&lt;=EH$6),'Lease Cycles'!$C$18*'Lease Cycles'!$AU$18/12,'Lease Cycles'!$C$18*INDEX('Lease Cycles'!$CB$18:$CH$18,1,EH180)*(1+INDEX('Lease Cycles'!$CI$18:$CO$18,1,EH180))^INT(INT(EH181/12)/INDEX('Lease Cycles'!$CP$18:$CV$18,1,EH180))/12)))),'Lease Cycles'!$C$18*INDEX('Lease Cycles'!$CB$18:$CH$18,1,EH180)*(1+INDEX('Lease Cycles'!$CI$18:$CO$18,1,EH180))^INT(INT(EH181/12)/INDEX('Lease Cycles'!$CP$18:$CV$18,1,EH180))/12))),IF('Lease Cycles'!$N$18=1,'Lease Cycles'!$C$18*'Lease Cycles'!$E$18*INDEX('Lease Cycles'!$HE$18:$HK$18,1,EH180)*(1+INDEX('Lease Cycles'!$GQ$18:$GW$18,1,EH180))^INT(INT((EH$6-INDEX('Lease Cycles'!$GJ$18:$GP$18,1,EH180))/12)/INDEX('Lease Cycles'!$GX$18:$HD$18,1,EH180))/12,0)))</f>
        <v>0</v>
      </c>
      <c r="EI183" s="28">
        <f>IF(EI180=0,IF('Lease Cycles'!$F$18&gt;0,'Lease Cycles'!$C$18*'Lease Cycles'!$E$18/12,0),IF(EI182=1,IF('Lease Cycles'!$AT$18&gt;=9999,'Lease Cycles'!$C$18*INDEX('Lease Cycles'!$CB$18:$CH$18,1,EI180)*(1+INDEX('Lease Cycles'!$CI$18:$CO$18,1,EI180))^INT(INT(EI181/12)/INDEX('Lease Cycles'!$CP$18:$CV$18,1,EI180))/12,IF(EI180=1,IF(EI181&gt;=INDEX('Lease Cycles'!$DK$18:$DQ$18,1,EI180),IF(EI$6&gt;='Lease Cycles'!$AZ$18,'Lease Cycles'!$C$18*'Lease Cycles'!$BA$18/12,IF(EI$6&gt;='Lease Cycles'!$AX$18,'Lease Cycles'!$C$18*'Lease Cycles'!$AY$18/12,IF(EI$6&gt;='Lease Cycles'!$AV$18,'Lease Cycles'!$C$18*'Lease Cycles'!$AW$18/12,IF(EI$6&gt;='Lease Cycles'!$AT$18,'Lease Cycles'!$C$18*'Lease Cycles'!$AU$18/12,'Lease Cycles'!$C$18*INDEX('Lease Cycles'!$CB$18:$CH$18,1,EI180)*(1+INDEX('Lease Cycles'!$CI$18:$CO$18,1,EI180))^INT(INT(EI181/12)/INDEX('Lease Cycles'!$CP$18:$CV$18,1,EI180))/12)))),'Lease Cycles'!$C$18*INDEX('Lease Cycles'!$CB$18:$CH$18,1,EI180)*(1+INDEX('Lease Cycles'!$CI$18:$CO$18,1,EI180))^INT(INT(EI181/12)/INDEX('Lease Cycles'!$CP$18:$CV$18,1,EI180))/12),IF(INDEX('Lease Cycles'!$EF$18:$EL$18,1,EI180)=1,IF(AND('Lease Cycles'!$AZ$18&gt;=INDEX('Lease Cycles'!$BG$18:$BM$18,1,EI180),'Lease Cycles'!$AZ$18&lt;=EI$6),'Lease Cycles'!$C$18*'Lease Cycles'!$BA$18/12,IF(AND('Lease Cycles'!$AX$18&gt;=INDEX('Lease Cycles'!$BG$18:$BM$18,1,EI180),'Lease Cycles'!$AX$18&lt;=EI$6),'Lease Cycles'!$C$18*'Lease Cycles'!$AY$18/12,IF(AND('Lease Cycles'!$AV$18&gt;=INDEX('Lease Cycles'!$BG$18:$BM$18,1,EI180),'Lease Cycles'!$AV$18&lt;=EI$6),'Lease Cycles'!$C$18*'Lease Cycles'!$AW$18/12,IF(AND('Lease Cycles'!$AT$18&gt;=INDEX('Lease Cycles'!$BG$18:$BM$18,1,EI180),'Lease Cycles'!$AT$18&lt;=EI$6),'Lease Cycles'!$C$18*'Lease Cycles'!$AU$18/12,'Lease Cycles'!$C$18*INDEX('Lease Cycles'!$CB$18:$CH$18,1,EI180)*(1+INDEX('Lease Cycles'!$CI$18:$CO$18,1,EI180))^INT(INT(EI181/12)/INDEX('Lease Cycles'!$CP$18:$CV$18,1,EI180))/12)))),'Lease Cycles'!$C$18*INDEX('Lease Cycles'!$CB$18:$CH$18,1,EI180)*(1+INDEX('Lease Cycles'!$CI$18:$CO$18,1,EI180))^INT(INT(EI181/12)/INDEX('Lease Cycles'!$CP$18:$CV$18,1,EI180))/12))),IF('Lease Cycles'!$N$18=1,'Lease Cycles'!$C$18*'Lease Cycles'!$E$18*INDEX('Lease Cycles'!$HE$18:$HK$18,1,EI180)*(1+INDEX('Lease Cycles'!$GQ$18:$GW$18,1,EI180))^INT(INT((EI$6-INDEX('Lease Cycles'!$GJ$18:$GP$18,1,EI180))/12)/INDEX('Lease Cycles'!$GX$18:$HD$18,1,EI180))/12,0)))</f>
        <v>0</v>
      </c>
      <c r="EJ183" s="28">
        <f>IF(EJ180=0,IF('Lease Cycles'!$F$18&gt;0,'Lease Cycles'!$C$18*'Lease Cycles'!$E$18/12,0),IF(EJ182=1,IF('Lease Cycles'!$AT$18&gt;=9999,'Lease Cycles'!$C$18*INDEX('Lease Cycles'!$CB$18:$CH$18,1,EJ180)*(1+INDEX('Lease Cycles'!$CI$18:$CO$18,1,EJ180))^INT(INT(EJ181/12)/INDEX('Lease Cycles'!$CP$18:$CV$18,1,EJ180))/12,IF(EJ180=1,IF(EJ181&gt;=INDEX('Lease Cycles'!$DK$18:$DQ$18,1,EJ180),IF(EJ$6&gt;='Lease Cycles'!$AZ$18,'Lease Cycles'!$C$18*'Lease Cycles'!$BA$18/12,IF(EJ$6&gt;='Lease Cycles'!$AX$18,'Lease Cycles'!$C$18*'Lease Cycles'!$AY$18/12,IF(EJ$6&gt;='Lease Cycles'!$AV$18,'Lease Cycles'!$C$18*'Lease Cycles'!$AW$18/12,IF(EJ$6&gt;='Lease Cycles'!$AT$18,'Lease Cycles'!$C$18*'Lease Cycles'!$AU$18/12,'Lease Cycles'!$C$18*INDEX('Lease Cycles'!$CB$18:$CH$18,1,EJ180)*(1+INDEX('Lease Cycles'!$CI$18:$CO$18,1,EJ180))^INT(INT(EJ181/12)/INDEX('Lease Cycles'!$CP$18:$CV$18,1,EJ180))/12)))),'Lease Cycles'!$C$18*INDEX('Lease Cycles'!$CB$18:$CH$18,1,EJ180)*(1+INDEX('Lease Cycles'!$CI$18:$CO$18,1,EJ180))^INT(INT(EJ181/12)/INDEX('Lease Cycles'!$CP$18:$CV$18,1,EJ180))/12),IF(INDEX('Lease Cycles'!$EF$18:$EL$18,1,EJ180)=1,IF(AND('Lease Cycles'!$AZ$18&gt;=INDEX('Lease Cycles'!$BG$18:$BM$18,1,EJ180),'Lease Cycles'!$AZ$18&lt;=EJ$6),'Lease Cycles'!$C$18*'Lease Cycles'!$BA$18/12,IF(AND('Lease Cycles'!$AX$18&gt;=INDEX('Lease Cycles'!$BG$18:$BM$18,1,EJ180),'Lease Cycles'!$AX$18&lt;=EJ$6),'Lease Cycles'!$C$18*'Lease Cycles'!$AY$18/12,IF(AND('Lease Cycles'!$AV$18&gt;=INDEX('Lease Cycles'!$BG$18:$BM$18,1,EJ180),'Lease Cycles'!$AV$18&lt;=EJ$6),'Lease Cycles'!$C$18*'Lease Cycles'!$AW$18/12,IF(AND('Lease Cycles'!$AT$18&gt;=INDEX('Lease Cycles'!$BG$18:$BM$18,1,EJ180),'Lease Cycles'!$AT$18&lt;=EJ$6),'Lease Cycles'!$C$18*'Lease Cycles'!$AU$18/12,'Lease Cycles'!$C$18*INDEX('Lease Cycles'!$CB$18:$CH$18,1,EJ180)*(1+INDEX('Lease Cycles'!$CI$18:$CO$18,1,EJ180))^INT(INT(EJ181/12)/INDEX('Lease Cycles'!$CP$18:$CV$18,1,EJ180))/12)))),'Lease Cycles'!$C$18*INDEX('Lease Cycles'!$CB$18:$CH$18,1,EJ180)*(1+INDEX('Lease Cycles'!$CI$18:$CO$18,1,EJ180))^INT(INT(EJ181/12)/INDEX('Lease Cycles'!$CP$18:$CV$18,1,EJ180))/12))),IF('Lease Cycles'!$N$18=1,'Lease Cycles'!$C$18*'Lease Cycles'!$E$18*INDEX('Lease Cycles'!$HE$18:$HK$18,1,EJ180)*(1+INDEX('Lease Cycles'!$GQ$18:$GW$18,1,EJ180))^INT(INT((EJ$6-INDEX('Lease Cycles'!$GJ$18:$GP$18,1,EJ180))/12)/INDEX('Lease Cycles'!$GX$18:$HD$18,1,EJ180))/12,0)))</f>
        <v>0</v>
      </c>
      <c r="EK183" s="28">
        <f>IF(EK180=0,IF('Lease Cycles'!$F$18&gt;0,'Lease Cycles'!$C$18*'Lease Cycles'!$E$18/12,0),IF(EK182=1,IF('Lease Cycles'!$AT$18&gt;=9999,'Lease Cycles'!$C$18*INDEX('Lease Cycles'!$CB$18:$CH$18,1,EK180)*(1+INDEX('Lease Cycles'!$CI$18:$CO$18,1,EK180))^INT(INT(EK181/12)/INDEX('Lease Cycles'!$CP$18:$CV$18,1,EK180))/12,IF(EK180=1,IF(EK181&gt;=INDEX('Lease Cycles'!$DK$18:$DQ$18,1,EK180),IF(EK$6&gt;='Lease Cycles'!$AZ$18,'Lease Cycles'!$C$18*'Lease Cycles'!$BA$18/12,IF(EK$6&gt;='Lease Cycles'!$AX$18,'Lease Cycles'!$C$18*'Lease Cycles'!$AY$18/12,IF(EK$6&gt;='Lease Cycles'!$AV$18,'Lease Cycles'!$C$18*'Lease Cycles'!$AW$18/12,IF(EK$6&gt;='Lease Cycles'!$AT$18,'Lease Cycles'!$C$18*'Lease Cycles'!$AU$18/12,'Lease Cycles'!$C$18*INDEX('Lease Cycles'!$CB$18:$CH$18,1,EK180)*(1+INDEX('Lease Cycles'!$CI$18:$CO$18,1,EK180))^INT(INT(EK181/12)/INDEX('Lease Cycles'!$CP$18:$CV$18,1,EK180))/12)))),'Lease Cycles'!$C$18*INDEX('Lease Cycles'!$CB$18:$CH$18,1,EK180)*(1+INDEX('Lease Cycles'!$CI$18:$CO$18,1,EK180))^INT(INT(EK181/12)/INDEX('Lease Cycles'!$CP$18:$CV$18,1,EK180))/12),IF(INDEX('Lease Cycles'!$EF$18:$EL$18,1,EK180)=1,IF(AND('Lease Cycles'!$AZ$18&gt;=INDEX('Lease Cycles'!$BG$18:$BM$18,1,EK180),'Lease Cycles'!$AZ$18&lt;=EK$6),'Lease Cycles'!$C$18*'Lease Cycles'!$BA$18/12,IF(AND('Lease Cycles'!$AX$18&gt;=INDEX('Lease Cycles'!$BG$18:$BM$18,1,EK180),'Lease Cycles'!$AX$18&lt;=EK$6),'Lease Cycles'!$C$18*'Lease Cycles'!$AY$18/12,IF(AND('Lease Cycles'!$AV$18&gt;=INDEX('Lease Cycles'!$BG$18:$BM$18,1,EK180),'Lease Cycles'!$AV$18&lt;=EK$6),'Lease Cycles'!$C$18*'Lease Cycles'!$AW$18/12,IF(AND('Lease Cycles'!$AT$18&gt;=INDEX('Lease Cycles'!$BG$18:$BM$18,1,EK180),'Lease Cycles'!$AT$18&lt;=EK$6),'Lease Cycles'!$C$18*'Lease Cycles'!$AU$18/12,'Lease Cycles'!$C$18*INDEX('Lease Cycles'!$CB$18:$CH$18,1,EK180)*(1+INDEX('Lease Cycles'!$CI$18:$CO$18,1,EK180))^INT(INT(EK181/12)/INDEX('Lease Cycles'!$CP$18:$CV$18,1,EK180))/12)))),'Lease Cycles'!$C$18*INDEX('Lease Cycles'!$CB$18:$CH$18,1,EK180)*(1+INDEX('Lease Cycles'!$CI$18:$CO$18,1,EK180))^INT(INT(EK181/12)/INDEX('Lease Cycles'!$CP$18:$CV$18,1,EK180))/12))),IF('Lease Cycles'!$N$18=1,'Lease Cycles'!$C$18*'Lease Cycles'!$E$18*INDEX('Lease Cycles'!$HE$18:$HK$18,1,EK180)*(1+INDEX('Lease Cycles'!$GQ$18:$GW$18,1,EK180))^INT(INT((EK$6-INDEX('Lease Cycles'!$GJ$18:$GP$18,1,EK180))/12)/INDEX('Lease Cycles'!$GX$18:$HD$18,1,EK180))/12,0)))</f>
        <v>0</v>
      </c>
      <c r="EL183" s="28">
        <f>IF(EL180=0,IF('Lease Cycles'!$F$18&gt;0,'Lease Cycles'!$C$18*'Lease Cycles'!$E$18/12,0),IF(EL182=1,IF('Lease Cycles'!$AT$18&gt;=9999,'Lease Cycles'!$C$18*INDEX('Lease Cycles'!$CB$18:$CH$18,1,EL180)*(1+INDEX('Lease Cycles'!$CI$18:$CO$18,1,EL180))^INT(INT(EL181/12)/INDEX('Lease Cycles'!$CP$18:$CV$18,1,EL180))/12,IF(EL180=1,IF(EL181&gt;=INDEX('Lease Cycles'!$DK$18:$DQ$18,1,EL180),IF(EL$6&gt;='Lease Cycles'!$AZ$18,'Lease Cycles'!$C$18*'Lease Cycles'!$BA$18/12,IF(EL$6&gt;='Lease Cycles'!$AX$18,'Lease Cycles'!$C$18*'Lease Cycles'!$AY$18/12,IF(EL$6&gt;='Lease Cycles'!$AV$18,'Lease Cycles'!$C$18*'Lease Cycles'!$AW$18/12,IF(EL$6&gt;='Lease Cycles'!$AT$18,'Lease Cycles'!$C$18*'Lease Cycles'!$AU$18/12,'Lease Cycles'!$C$18*INDEX('Lease Cycles'!$CB$18:$CH$18,1,EL180)*(1+INDEX('Lease Cycles'!$CI$18:$CO$18,1,EL180))^INT(INT(EL181/12)/INDEX('Lease Cycles'!$CP$18:$CV$18,1,EL180))/12)))),'Lease Cycles'!$C$18*INDEX('Lease Cycles'!$CB$18:$CH$18,1,EL180)*(1+INDEX('Lease Cycles'!$CI$18:$CO$18,1,EL180))^INT(INT(EL181/12)/INDEX('Lease Cycles'!$CP$18:$CV$18,1,EL180))/12),IF(INDEX('Lease Cycles'!$EF$18:$EL$18,1,EL180)=1,IF(AND('Lease Cycles'!$AZ$18&gt;=INDEX('Lease Cycles'!$BG$18:$BM$18,1,EL180),'Lease Cycles'!$AZ$18&lt;=EL$6),'Lease Cycles'!$C$18*'Lease Cycles'!$BA$18/12,IF(AND('Lease Cycles'!$AX$18&gt;=INDEX('Lease Cycles'!$BG$18:$BM$18,1,EL180),'Lease Cycles'!$AX$18&lt;=EL$6),'Lease Cycles'!$C$18*'Lease Cycles'!$AY$18/12,IF(AND('Lease Cycles'!$AV$18&gt;=INDEX('Lease Cycles'!$BG$18:$BM$18,1,EL180),'Lease Cycles'!$AV$18&lt;=EL$6),'Lease Cycles'!$C$18*'Lease Cycles'!$AW$18/12,IF(AND('Lease Cycles'!$AT$18&gt;=INDEX('Lease Cycles'!$BG$18:$BM$18,1,EL180),'Lease Cycles'!$AT$18&lt;=EL$6),'Lease Cycles'!$C$18*'Lease Cycles'!$AU$18/12,'Lease Cycles'!$C$18*INDEX('Lease Cycles'!$CB$18:$CH$18,1,EL180)*(1+INDEX('Lease Cycles'!$CI$18:$CO$18,1,EL180))^INT(INT(EL181/12)/INDEX('Lease Cycles'!$CP$18:$CV$18,1,EL180))/12)))),'Lease Cycles'!$C$18*INDEX('Lease Cycles'!$CB$18:$CH$18,1,EL180)*(1+INDEX('Lease Cycles'!$CI$18:$CO$18,1,EL180))^INT(INT(EL181/12)/INDEX('Lease Cycles'!$CP$18:$CV$18,1,EL180))/12))),IF('Lease Cycles'!$N$18=1,'Lease Cycles'!$C$18*'Lease Cycles'!$E$18*INDEX('Lease Cycles'!$HE$18:$HK$18,1,EL180)*(1+INDEX('Lease Cycles'!$GQ$18:$GW$18,1,EL180))^INT(INT((EL$6-INDEX('Lease Cycles'!$GJ$18:$GP$18,1,EL180))/12)/INDEX('Lease Cycles'!$GX$18:$HD$18,1,EL180))/12,0)))</f>
        <v>0</v>
      </c>
      <c r="EM183" s="28">
        <f>IF(EM180=0,IF('Lease Cycles'!$F$18&gt;0,'Lease Cycles'!$C$18*'Lease Cycles'!$E$18/12,0),IF(EM182=1,IF('Lease Cycles'!$AT$18&gt;=9999,'Lease Cycles'!$C$18*INDEX('Lease Cycles'!$CB$18:$CH$18,1,EM180)*(1+INDEX('Lease Cycles'!$CI$18:$CO$18,1,EM180))^INT(INT(EM181/12)/INDEX('Lease Cycles'!$CP$18:$CV$18,1,EM180))/12,IF(EM180=1,IF(EM181&gt;=INDEX('Lease Cycles'!$DK$18:$DQ$18,1,EM180),IF(EM$6&gt;='Lease Cycles'!$AZ$18,'Lease Cycles'!$C$18*'Lease Cycles'!$BA$18/12,IF(EM$6&gt;='Lease Cycles'!$AX$18,'Lease Cycles'!$C$18*'Lease Cycles'!$AY$18/12,IF(EM$6&gt;='Lease Cycles'!$AV$18,'Lease Cycles'!$C$18*'Lease Cycles'!$AW$18/12,IF(EM$6&gt;='Lease Cycles'!$AT$18,'Lease Cycles'!$C$18*'Lease Cycles'!$AU$18/12,'Lease Cycles'!$C$18*INDEX('Lease Cycles'!$CB$18:$CH$18,1,EM180)*(1+INDEX('Lease Cycles'!$CI$18:$CO$18,1,EM180))^INT(INT(EM181/12)/INDEX('Lease Cycles'!$CP$18:$CV$18,1,EM180))/12)))),'Lease Cycles'!$C$18*INDEX('Lease Cycles'!$CB$18:$CH$18,1,EM180)*(1+INDEX('Lease Cycles'!$CI$18:$CO$18,1,EM180))^INT(INT(EM181/12)/INDEX('Lease Cycles'!$CP$18:$CV$18,1,EM180))/12),IF(INDEX('Lease Cycles'!$EF$18:$EL$18,1,EM180)=1,IF(AND('Lease Cycles'!$AZ$18&gt;=INDEX('Lease Cycles'!$BG$18:$BM$18,1,EM180),'Lease Cycles'!$AZ$18&lt;=EM$6),'Lease Cycles'!$C$18*'Lease Cycles'!$BA$18/12,IF(AND('Lease Cycles'!$AX$18&gt;=INDEX('Lease Cycles'!$BG$18:$BM$18,1,EM180),'Lease Cycles'!$AX$18&lt;=EM$6),'Lease Cycles'!$C$18*'Lease Cycles'!$AY$18/12,IF(AND('Lease Cycles'!$AV$18&gt;=INDEX('Lease Cycles'!$BG$18:$BM$18,1,EM180),'Lease Cycles'!$AV$18&lt;=EM$6),'Lease Cycles'!$C$18*'Lease Cycles'!$AW$18/12,IF(AND('Lease Cycles'!$AT$18&gt;=INDEX('Lease Cycles'!$BG$18:$BM$18,1,EM180),'Lease Cycles'!$AT$18&lt;=EM$6),'Lease Cycles'!$C$18*'Lease Cycles'!$AU$18/12,'Lease Cycles'!$C$18*INDEX('Lease Cycles'!$CB$18:$CH$18,1,EM180)*(1+INDEX('Lease Cycles'!$CI$18:$CO$18,1,EM180))^INT(INT(EM181/12)/INDEX('Lease Cycles'!$CP$18:$CV$18,1,EM180))/12)))),'Lease Cycles'!$C$18*INDEX('Lease Cycles'!$CB$18:$CH$18,1,EM180)*(1+INDEX('Lease Cycles'!$CI$18:$CO$18,1,EM180))^INT(INT(EM181/12)/INDEX('Lease Cycles'!$CP$18:$CV$18,1,EM180))/12))),IF('Lease Cycles'!$N$18=1,'Lease Cycles'!$C$18*'Lease Cycles'!$E$18*INDEX('Lease Cycles'!$HE$18:$HK$18,1,EM180)*(1+INDEX('Lease Cycles'!$GQ$18:$GW$18,1,EM180))^INT(INT((EM$6-INDEX('Lease Cycles'!$GJ$18:$GP$18,1,EM180))/12)/INDEX('Lease Cycles'!$GX$18:$HD$18,1,EM180))/12,0)))</f>
        <v>0</v>
      </c>
      <c r="EN183" s="28">
        <f>IF(EN180=0,IF('Lease Cycles'!$F$18&gt;0,'Lease Cycles'!$C$18*'Lease Cycles'!$E$18/12,0),IF(EN182=1,IF('Lease Cycles'!$AT$18&gt;=9999,'Lease Cycles'!$C$18*INDEX('Lease Cycles'!$CB$18:$CH$18,1,EN180)*(1+INDEX('Lease Cycles'!$CI$18:$CO$18,1,EN180))^INT(INT(EN181/12)/INDEX('Lease Cycles'!$CP$18:$CV$18,1,EN180))/12,IF(EN180=1,IF(EN181&gt;=INDEX('Lease Cycles'!$DK$18:$DQ$18,1,EN180),IF(EN$6&gt;='Lease Cycles'!$AZ$18,'Lease Cycles'!$C$18*'Lease Cycles'!$BA$18/12,IF(EN$6&gt;='Lease Cycles'!$AX$18,'Lease Cycles'!$C$18*'Lease Cycles'!$AY$18/12,IF(EN$6&gt;='Lease Cycles'!$AV$18,'Lease Cycles'!$C$18*'Lease Cycles'!$AW$18/12,IF(EN$6&gt;='Lease Cycles'!$AT$18,'Lease Cycles'!$C$18*'Lease Cycles'!$AU$18/12,'Lease Cycles'!$C$18*INDEX('Lease Cycles'!$CB$18:$CH$18,1,EN180)*(1+INDEX('Lease Cycles'!$CI$18:$CO$18,1,EN180))^INT(INT(EN181/12)/INDEX('Lease Cycles'!$CP$18:$CV$18,1,EN180))/12)))),'Lease Cycles'!$C$18*INDEX('Lease Cycles'!$CB$18:$CH$18,1,EN180)*(1+INDEX('Lease Cycles'!$CI$18:$CO$18,1,EN180))^INT(INT(EN181/12)/INDEX('Lease Cycles'!$CP$18:$CV$18,1,EN180))/12),IF(INDEX('Lease Cycles'!$EF$18:$EL$18,1,EN180)=1,IF(AND('Lease Cycles'!$AZ$18&gt;=INDEX('Lease Cycles'!$BG$18:$BM$18,1,EN180),'Lease Cycles'!$AZ$18&lt;=EN$6),'Lease Cycles'!$C$18*'Lease Cycles'!$BA$18/12,IF(AND('Lease Cycles'!$AX$18&gt;=INDEX('Lease Cycles'!$BG$18:$BM$18,1,EN180),'Lease Cycles'!$AX$18&lt;=EN$6),'Lease Cycles'!$C$18*'Lease Cycles'!$AY$18/12,IF(AND('Lease Cycles'!$AV$18&gt;=INDEX('Lease Cycles'!$BG$18:$BM$18,1,EN180),'Lease Cycles'!$AV$18&lt;=EN$6),'Lease Cycles'!$C$18*'Lease Cycles'!$AW$18/12,IF(AND('Lease Cycles'!$AT$18&gt;=INDEX('Lease Cycles'!$BG$18:$BM$18,1,EN180),'Lease Cycles'!$AT$18&lt;=EN$6),'Lease Cycles'!$C$18*'Lease Cycles'!$AU$18/12,'Lease Cycles'!$C$18*INDEX('Lease Cycles'!$CB$18:$CH$18,1,EN180)*(1+INDEX('Lease Cycles'!$CI$18:$CO$18,1,EN180))^INT(INT(EN181/12)/INDEX('Lease Cycles'!$CP$18:$CV$18,1,EN180))/12)))),'Lease Cycles'!$C$18*INDEX('Lease Cycles'!$CB$18:$CH$18,1,EN180)*(1+INDEX('Lease Cycles'!$CI$18:$CO$18,1,EN180))^INT(INT(EN181/12)/INDEX('Lease Cycles'!$CP$18:$CV$18,1,EN180))/12))),IF('Lease Cycles'!$N$18=1,'Lease Cycles'!$C$18*'Lease Cycles'!$E$18*INDEX('Lease Cycles'!$HE$18:$HK$18,1,EN180)*(1+INDEX('Lease Cycles'!$GQ$18:$GW$18,1,EN180))^INT(INT((EN$6-INDEX('Lease Cycles'!$GJ$18:$GP$18,1,EN180))/12)/INDEX('Lease Cycles'!$GX$18:$HD$18,1,EN180))/12,0)))</f>
        <v>0</v>
      </c>
      <c r="EO183" s="28">
        <f>IF(EO180=0,IF('Lease Cycles'!$F$18&gt;0,'Lease Cycles'!$C$18*'Lease Cycles'!$E$18/12,0),IF(EO182=1,IF('Lease Cycles'!$AT$18&gt;=9999,'Lease Cycles'!$C$18*INDEX('Lease Cycles'!$CB$18:$CH$18,1,EO180)*(1+INDEX('Lease Cycles'!$CI$18:$CO$18,1,EO180))^INT(INT(EO181/12)/INDEX('Lease Cycles'!$CP$18:$CV$18,1,EO180))/12,IF(EO180=1,IF(EO181&gt;=INDEX('Lease Cycles'!$DK$18:$DQ$18,1,EO180),IF(EO$6&gt;='Lease Cycles'!$AZ$18,'Lease Cycles'!$C$18*'Lease Cycles'!$BA$18/12,IF(EO$6&gt;='Lease Cycles'!$AX$18,'Lease Cycles'!$C$18*'Lease Cycles'!$AY$18/12,IF(EO$6&gt;='Lease Cycles'!$AV$18,'Lease Cycles'!$C$18*'Lease Cycles'!$AW$18/12,IF(EO$6&gt;='Lease Cycles'!$AT$18,'Lease Cycles'!$C$18*'Lease Cycles'!$AU$18/12,'Lease Cycles'!$C$18*INDEX('Lease Cycles'!$CB$18:$CH$18,1,EO180)*(1+INDEX('Lease Cycles'!$CI$18:$CO$18,1,EO180))^INT(INT(EO181/12)/INDEX('Lease Cycles'!$CP$18:$CV$18,1,EO180))/12)))),'Lease Cycles'!$C$18*INDEX('Lease Cycles'!$CB$18:$CH$18,1,EO180)*(1+INDEX('Lease Cycles'!$CI$18:$CO$18,1,EO180))^INT(INT(EO181/12)/INDEX('Lease Cycles'!$CP$18:$CV$18,1,EO180))/12),IF(INDEX('Lease Cycles'!$EF$18:$EL$18,1,EO180)=1,IF(AND('Lease Cycles'!$AZ$18&gt;=INDEX('Lease Cycles'!$BG$18:$BM$18,1,EO180),'Lease Cycles'!$AZ$18&lt;=EO$6),'Lease Cycles'!$C$18*'Lease Cycles'!$BA$18/12,IF(AND('Lease Cycles'!$AX$18&gt;=INDEX('Lease Cycles'!$BG$18:$BM$18,1,EO180),'Lease Cycles'!$AX$18&lt;=EO$6),'Lease Cycles'!$C$18*'Lease Cycles'!$AY$18/12,IF(AND('Lease Cycles'!$AV$18&gt;=INDEX('Lease Cycles'!$BG$18:$BM$18,1,EO180),'Lease Cycles'!$AV$18&lt;=EO$6),'Lease Cycles'!$C$18*'Lease Cycles'!$AW$18/12,IF(AND('Lease Cycles'!$AT$18&gt;=INDEX('Lease Cycles'!$BG$18:$BM$18,1,EO180),'Lease Cycles'!$AT$18&lt;=EO$6),'Lease Cycles'!$C$18*'Lease Cycles'!$AU$18/12,'Lease Cycles'!$C$18*INDEX('Lease Cycles'!$CB$18:$CH$18,1,EO180)*(1+INDEX('Lease Cycles'!$CI$18:$CO$18,1,EO180))^INT(INT(EO181/12)/INDEX('Lease Cycles'!$CP$18:$CV$18,1,EO180))/12)))),'Lease Cycles'!$C$18*INDEX('Lease Cycles'!$CB$18:$CH$18,1,EO180)*(1+INDEX('Lease Cycles'!$CI$18:$CO$18,1,EO180))^INT(INT(EO181/12)/INDEX('Lease Cycles'!$CP$18:$CV$18,1,EO180))/12))),IF('Lease Cycles'!$N$18=1,'Lease Cycles'!$C$18*'Lease Cycles'!$E$18*INDEX('Lease Cycles'!$HE$18:$HK$18,1,EO180)*(1+INDEX('Lease Cycles'!$GQ$18:$GW$18,1,EO180))^INT(INT((EO$6-INDEX('Lease Cycles'!$GJ$18:$GP$18,1,EO180))/12)/INDEX('Lease Cycles'!$GX$18:$HD$18,1,EO180))/12,0)))</f>
        <v>0</v>
      </c>
      <c r="EP183" s="28">
        <f>IF(EP180=0,IF('Lease Cycles'!$F$18&gt;0,'Lease Cycles'!$C$18*'Lease Cycles'!$E$18/12,0),IF(EP182=1,IF('Lease Cycles'!$AT$18&gt;=9999,'Lease Cycles'!$C$18*INDEX('Lease Cycles'!$CB$18:$CH$18,1,EP180)*(1+INDEX('Lease Cycles'!$CI$18:$CO$18,1,EP180))^INT(INT(EP181/12)/INDEX('Lease Cycles'!$CP$18:$CV$18,1,EP180))/12,IF(EP180=1,IF(EP181&gt;=INDEX('Lease Cycles'!$DK$18:$DQ$18,1,EP180),IF(EP$6&gt;='Lease Cycles'!$AZ$18,'Lease Cycles'!$C$18*'Lease Cycles'!$BA$18/12,IF(EP$6&gt;='Lease Cycles'!$AX$18,'Lease Cycles'!$C$18*'Lease Cycles'!$AY$18/12,IF(EP$6&gt;='Lease Cycles'!$AV$18,'Lease Cycles'!$C$18*'Lease Cycles'!$AW$18/12,IF(EP$6&gt;='Lease Cycles'!$AT$18,'Lease Cycles'!$C$18*'Lease Cycles'!$AU$18/12,'Lease Cycles'!$C$18*INDEX('Lease Cycles'!$CB$18:$CH$18,1,EP180)*(1+INDEX('Lease Cycles'!$CI$18:$CO$18,1,EP180))^INT(INT(EP181/12)/INDEX('Lease Cycles'!$CP$18:$CV$18,1,EP180))/12)))),'Lease Cycles'!$C$18*INDEX('Lease Cycles'!$CB$18:$CH$18,1,EP180)*(1+INDEX('Lease Cycles'!$CI$18:$CO$18,1,EP180))^INT(INT(EP181/12)/INDEX('Lease Cycles'!$CP$18:$CV$18,1,EP180))/12),IF(INDEX('Lease Cycles'!$EF$18:$EL$18,1,EP180)=1,IF(AND('Lease Cycles'!$AZ$18&gt;=INDEX('Lease Cycles'!$BG$18:$BM$18,1,EP180),'Lease Cycles'!$AZ$18&lt;=EP$6),'Lease Cycles'!$C$18*'Lease Cycles'!$BA$18/12,IF(AND('Lease Cycles'!$AX$18&gt;=INDEX('Lease Cycles'!$BG$18:$BM$18,1,EP180),'Lease Cycles'!$AX$18&lt;=EP$6),'Lease Cycles'!$C$18*'Lease Cycles'!$AY$18/12,IF(AND('Lease Cycles'!$AV$18&gt;=INDEX('Lease Cycles'!$BG$18:$BM$18,1,EP180),'Lease Cycles'!$AV$18&lt;=EP$6),'Lease Cycles'!$C$18*'Lease Cycles'!$AW$18/12,IF(AND('Lease Cycles'!$AT$18&gt;=INDEX('Lease Cycles'!$BG$18:$BM$18,1,EP180),'Lease Cycles'!$AT$18&lt;=EP$6),'Lease Cycles'!$C$18*'Lease Cycles'!$AU$18/12,'Lease Cycles'!$C$18*INDEX('Lease Cycles'!$CB$18:$CH$18,1,EP180)*(1+INDEX('Lease Cycles'!$CI$18:$CO$18,1,EP180))^INT(INT(EP181/12)/INDEX('Lease Cycles'!$CP$18:$CV$18,1,EP180))/12)))),'Lease Cycles'!$C$18*INDEX('Lease Cycles'!$CB$18:$CH$18,1,EP180)*(1+INDEX('Lease Cycles'!$CI$18:$CO$18,1,EP180))^INT(INT(EP181/12)/INDEX('Lease Cycles'!$CP$18:$CV$18,1,EP180))/12))),IF('Lease Cycles'!$N$18=1,'Lease Cycles'!$C$18*'Lease Cycles'!$E$18*INDEX('Lease Cycles'!$HE$18:$HK$18,1,EP180)*(1+INDEX('Lease Cycles'!$GQ$18:$GW$18,1,EP180))^INT(INT((EP$6-INDEX('Lease Cycles'!$GJ$18:$GP$18,1,EP180))/12)/INDEX('Lease Cycles'!$GX$18:$HD$18,1,EP180))/12,0)))</f>
        <v>0</v>
      </c>
      <c r="EQ183" s="28">
        <f>IF(EQ180=0,IF('Lease Cycles'!$F$18&gt;0,'Lease Cycles'!$C$18*'Lease Cycles'!$E$18/12,0),IF(EQ182=1,IF('Lease Cycles'!$AT$18&gt;=9999,'Lease Cycles'!$C$18*INDEX('Lease Cycles'!$CB$18:$CH$18,1,EQ180)*(1+INDEX('Lease Cycles'!$CI$18:$CO$18,1,EQ180))^INT(INT(EQ181/12)/INDEX('Lease Cycles'!$CP$18:$CV$18,1,EQ180))/12,IF(EQ180=1,IF(EQ181&gt;=INDEX('Lease Cycles'!$DK$18:$DQ$18,1,EQ180),IF(EQ$6&gt;='Lease Cycles'!$AZ$18,'Lease Cycles'!$C$18*'Lease Cycles'!$BA$18/12,IF(EQ$6&gt;='Lease Cycles'!$AX$18,'Lease Cycles'!$C$18*'Lease Cycles'!$AY$18/12,IF(EQ$6&gt;='Lease Cycles'!$AV$18,'Lease Cycles'!$C$18*'Lease Cycles'!$AW$18/12,IF(EQ$6&gt;='Lease Cycles'!$AT$18,'Lease Cycles'!$C$18*'Lease Cycles'!$AU$18/12,'Lease Cycles'!$C$18*INDEX('Lease Cycles'!$CB$18:$CH$18,1,EQ180)*(1+INDEX('Lease Cycles'!$CI$18:$CO$18,1,EQ180))^INT(INT(EQ181/12)/INDEX('Lease Cycles'!$CP$18:$CV$18,1,EQ180))/12)))),'Lease Cycles'!$C$18*INDEX('Lease Cycles'!$CB$18:$CH$18,1,EQ180)*(1+INDEX('Lease Cycles'!$CI$18:$CO$18,1,EQ180))^INT(INT(EQ181/12)/INDEX('Lease Cycles'!$CP$18:$CV$18,1,EQ180))/12),IF(INDEX('Lease Cycles'!$EF$18:$EL$18,1,EQ180)=1,IF(AND('Lease Cycles'!$AZ$18&gt;=INDEX('Lease Cycles'!$BG$18:$BM$18,1,EQ180),'Lease Cycles'!$AZ$18&lt;=EQ$6),'Lease Cycles'!$C$18*'Lease Cycles'!$BA$18/12,IF(AND('Lease Cycles'!$AX$18&gt;=INDEX('Lease Cycles'!$BG$18:$BM$18,1,EQ180),'Lease Cycles'!$AX$18&lt;=EQ$6),'Lease Cycles'!$C$18*'Lease Cycles'!$AY$18/12,IF(AND('Lease Cycles'!$AV$18&gt;=INDEX('Lease Cycles'!$BG$18:$BM$18,1,EQ180),'Lease Cycles'!$AV$18&lt;=EQ$6),'Lease Cycles'!$C$18*'Lease Cycles'!$AW$18/12,IF(AND('Lease Cycles'!$AT$18&gt;=INDEX('Lease Cycles'!$BG$18:$BM$18,1,EQ180),'Lease Cycles'!$AT$18&lt;=EQ$6),'Lease Cycles'!$C$18*'Lease Cycles'!$AU$18/12,'Lease Cycles'!$C$18*INDEX('Lease Cycles'!$CB$18:$CH$18,1,EQ180)*(1+INDEX('Lease Cycles'!$CI$18:$CO$18,1,EQ180))^INT(INT(EQ181/12)/INDEX('Lease Cycles'!$CP$18:$CV$18,1,EQ180))/12)))),'Lease Cycles'!$C$18*INDEX('Lease Cycles'!$CB$18:$CH$18,1,EQ180)*(1+INDEX('Lease Cycles'!$CI$18:$CO$18,1,EQ180))^INT(INT(EQ181/12)/INDEX('Lease Cycles'!$CP$18:$CV$18,1,EQ180))/12))),IF('Lease Cycles'!$N$18=1,'Lease Cycles'!$C$18*'Lease Cycles'!$E$18*INDEX('Lease Cycles'!$HE$18:$HK$18,1,EQ180)*(1+INDEX('Lease Cycles'!$GQ$18:$GW$18,1,EQ180))^INT(INT((EQ$6-INDEX('Lease Cycles'!$GJ$18:$GP$18,1,EQ180))/12)/INDEX('Lease Cycles'!$GX$18:$HD$18,1,EQ180))/12,0)))</f>
        <v>0</v>
      </c>
      <c r="ER183" s="28">
        <f>IF(ER180=0,IF('Lease Cycles'!$F$18&gt;0,'Lease Cycles'!$C$18*'Lease Cycles'!$E$18/12,0),IF(ER182=1,IF('Lease Cycles'!$AT$18&gt;=9999,'Lease Cycles'!$C$18*INDEX('Lease Cycles'!$CB$18:$CH$18,1,ER180)*(1+INDEX('Lease Cycles'!$CI$18:$CO$18,1,ER180))^INT(INT(ER181/12)/INDEX('Lease Cycles'!$CP$18:$CV$18,1,ER180))/12,IF(ER180=1,IF(ER181&gt;=INDEX('Lease Cycles'!$DK$18:$DQ$18,1,ER180),IF(ER$6&gt;='Lease Cycles'!$AZ$18,'Lease Cycles'!$C$18*'Lease Cycles'!$BA$18/12,IF(ER$6&gt;='Lease Cycles'!$AX$18,'Lease Cycles'!$C$18*'Lease Cycles'!$AY$18/12,IF(ER$6&gt;='Lease Cycles'!$AV$18,'Lease Cycles'!$C$18*'Lease Cycles'!$AW$18/12,IF(ER$6&gt;='Lease Cycles'!$AT$18,'Lease Cycles'!$C$18*'Lease Cycles'!$AU$18/12,'Lease Cycles'!$C$18*INDEX('Lease Cycles'!$CB$18:$CH$18,1,ER180)*(1+INDEX('Lease Cycles'!$CI$18:$CO$18,1,ER180))^INT(INT(ER181/12)/INDEX('Lease Cycles'!$CP$18:$CV$18,1,ER180))/12)))),'Lease Cycles'!$C$18*INDEX('Lease Cycles'!$CB$18:$CH$18,1,ER180)*(1+INDEX('Lease Cycles'!$CI$18:$CO$18,1,ER180))^INT(INT(ER181/12)/INDEX('Lease Cycles'!$CP$18:$CV$18,1,ER180))/12),IF(INDEX('Lease Cycles'!$EF$18:$EL$18,1,ER180)=1,IF(AND('Lease Cycles'!$AZ$18&gt;=INDEX('Lease Cycles'!$BG$18:$BM$18,1,ER180),'Lease Cycles'!$AZ$18&lt;=ER$6),'Lease Cycles'!$C$18*'Lease Cycles'!$BA$18/12,IF(AND('Lease Cycles'!$AX$18&gt;=INDEX('Lease Cycles'!$BG$18:$BM$18,1,ER180),'Lease Cycles'!$AX$18&lt;=ER$6),'Lease Cycles'!$C$18*'Lease Cycles'!$AY$18/12,IF(AND('Lease Cycles'!$AV$18&gt;=INDEX('Lease Cycles'!$BG$18:$BM$18,1,ER180),'Lease Cycles'!$AV$18&lt;=ER$6),'Lease Cycles'!$C$18*'Lease Cycles'!$AW$18/12,IF(AND('Lease Cycles'!$AT$18&gt;=INDEX('Lease Cycles'!$BG$18:$BM$18,1,ER180),'Lease Cycles'!$AT$18&lt;=ER$6),'Lease Cycles'!$C$18*'Lease Cycles'!$AU$18/12,'Lease Cycles'!$C$18*INDEX('Lease Cycles'!$CB$18:$CH$18,1,ER180)*(1+INDEX('Lease Cycles'!$CI$18:$CO$18,1,ER180))^INT(INT(ER181/12)/INDEX('Lease Cycles'!$CP$18:$CV$18,1,ER180))/12)))),'Lease Cycles'!$C$18*INDEX('Lease Cycles'!$CB$18:$CH$18,1,ER180)*(1+INDEX('Lease Cycles'!$CI$18:$CO$18,1,ER180))^INT(INT(ER181/12)/INDEX('Lease Cycles'!$CP$18:$CV$18,1,ER180))/12))),IF('Lease Cycles'!$N$18=1,'Lease Cycles'!$C$18*'Lease Cycles'!$E$18*INDEX('Lease Cycles'!$HE$18:$HK$18,1,ER180)*(1+INDEX('Lease Cycles'!$GQ$18:$GW$18,1,ER180))^INT(INT((ER$6-INDEX('Lease Cycles'!$GJ$18:$GP$18,1,ER180))/12)/INDEX('Lease Cycles'!$GX$18:$HD$18,1,ER180))/12,0)))</f>
        <v>0</v>
      </c>
      <c r="ES183" s="28">
        <f>IF(ES180=0,IF('Lease Cycles'!$F$18&gt;0,'Lease Cycles'!$C$18*'Lease Cycles'!$E$18/12,0),IF(ES182=1,IF('Lease Cycles'!$AT$18&gt;=9999,'Lease Cycles'!$C$18*INDEX('Lease Cycles'!$CB$18:$CH$18,1,ES180)*(1+INDEX('Lease Cycles'!$CI$18:$CO$18,1,ES180))^INT(INT(ES181/12)/INDEX('Lease Cycles'!$CP$18:$CV$18,1,ES180))/12,IF(ES180=1,IF(ES181&gt;=INDEX('Lease Cycles'!$DK$18:$DQ$18,1,ES180),IF(ES$6&gt;='Lease Cycles'!$AZ$18,'Lease Cycles'!$C$18*'Lease Cycles'!$BA$18/12,IF(ES$6&gt;='Lease Cycles'!$AX$18,'Lease Cycles'!$C$18*'Lease Cycles'!$AY$18/12,IF(ES$6&gt;='Lease Cycles'!$AV$18,'Lease Cycles'!$C$18*'Lease Cycles'!$AW$18/12,IF(ES$6&gt;='Lease Cycles'!$AT$18,'Lease Cycles'!$C$18*'Lease Cycles'!$AU$18/12,'Lease Cycles'!$C$18*INDEX('Lease Cycles'!$CB$18:$CH$18,1,ES180)*(1+INDEX('Lease Cycles'!$CI$18:$CO$18,1,ES180))^INT(INT(ES181/12)/INDEX('Lease Cycles'!$CP$18:$CV$18,1,ES180))/12)))),'Lease Cycles'!$C$18*INDEX('Lease Cycles'!$CB$18:$CH$18,1,ES180)*(1+INDEX('Lease Cycles'!$CI$18:$CO$18,1,ES180))^INT(INT(ES181/12)/INDEX('Lease Cycles'!$CP$18:$CV$18,1,ES180))/12),IF(INDEX('Lease Cycles'!$EF$18:$EL$18,1,ES180)=1,IF(AND('Lease Cycles'!$AZ$18&gt;=INDEX('Lease Cycles'!$BG$18:$BM$18,1,ES180),'Lease Cycles'!$AZ$18&lt;=ES$6),'Lease Cycles'!$C$18*'Lease Cycles'!$BA$18/12,IF(AND('Lease Cycles'!$AX$18&gt;=INDEX('Lease Cycles'!$BG$18:$BM$18,1,ES180),'Lease Cycles'!$AX$18&lt;=ES$6),'Lease Cycles'!$C$18*'Lease Cycles'!$AY$18/12,IF(AND('Lease Cycles'!$AV$18&gt;=INDEX('Lease Cycles'!$BG$18:$BM$18,1,ES180),'Lease Cycles'!$AV$18&lt;=ES$6),'Lease Cycles'!$C$18*'Lease Cycles'!$AW$18/12,IF(AND('Lease Cycles'!$AT$18&gt;=INDEX('Lease Cycles'!$BG$18:$BM$18,1,ES180),'Lease Cycles'!$AT$18&lt;=ES$6),'Lease Cycles'!$C$18*'Lease Cycles'!$AU$18/12,'Lease Cycles'!$C$18*INDEX('Lease Cycles'!$CB$18:$CH$18,1,ES180)*(1+INDEX('Lease Cycles'!$CI$18:$CO$18,1,ES180))^INT(INT(ES181/12)/INDEX('Lease Cycles'!$CP$18:$CV$18,1,ES180))/12)))),'Lease Cycles'!$C$18*INDEX('Lease Cycles'!$CB$18:$CH$18,1,ES180)*(1+INDEX('Lease Cycles'!$CI$18:$CO$18,1,ES180))^INT(INT(ES181/12)/INDEX('Lease Cycles'!$CP$18:$CV$18,1,ES180))/12))),IF('Lease Cycles'!$N$18=1,'Lease Cycles'!$C$18*'Lease Cycles'!$E$18*INDEX('Lease Cycles'!$HE$18:$HK$18,1,ES180)*(1+INDEX('Lease Cycles'!$GQ$18:$GW$18,1,ES180))^INT(INT((ES$6-INDEX('Lease Cycles'!$GJ$18:$GP$18,1,ES180))/12)/INDEX('Lease Cycles'!$GX$18:$HD$18,1,ES180))/12,0)))</f>
        <v>0</v>
      </c>
      <c r="ET183" s="28">
        <f>IF(ET180=0,IF('Lease Cycles'!$F$18&gt;0,'Lease Cycles'!$C$18*'Lease Cycles'!$E$18/12,0),IF(ET182=1,IF('Lease Cycles'!$AT$18&gt;=9999,'Lease Cycles'!$C$18*INDEX('Lease Cycles'!$CB$18:$CH$18,1,ET180)*(1+INDEX('Lease Cycles'!$CI$18:$CO$18,1,ET180))^INT(INT(ET181/12)/INDEX('Lease Cycles'!$CP$18:$CV$18,1,ET180))/12,IF(ET180=1,IF(ET181&gt;=INDEX('Lease Cycles'!$DK$18:$DQ$18,1,ET180),IF(ET$6&gt;='Lease Cycles'!$AZ$18,'Lease Cycles'!$C$18*'Lease Cycles'!$BA$18/12,IF(ET$6&gt;='Lease Cycles'!$AX$18,'Lease Cycles'!$C$18*'Lease Cycles'!$AY$18/12,IF(ET$6&gt;='Lease Cycles'!$AV$18,'Lease Cycles'!$C$18*'Lease Cycles'!$AW$18/12,IF(ET$6&gt;='Lease Cycles'!$AT$18,'Lease Cycles'!$C$18*'Lease Cycles'!$AU$18/12,'Lease Cycles'!$C$18*INDEX('Lease Cycles'!$CB$18:$CH$18,1,ET180)*(1+INDEX('Lease Cycles'!$CI$18:$CO$18,1,ET180))^INT(INT(ET181/12)/INDEX('Lease Cycles'!$CP$18:$CV$18,1,ET180))/12)))),'Lease Cycles'!$C$18*INDEX('Lease Cycles'!$CB$18:$CH$18,1,ET180)*(1+INDEX('Lease Cycles'!$CI$18:$CO$18,1,ET180))^INT(INT(ET181/12)/INDEX('Lease Cycles'!$CP$18:$CV$18,1,ET180))/12),IF(INDEX('Lease Cycles'!$EF$18:$EL$18,1,ET180)=1,IF(AND('Lease Cycles'!$AZ$18&gt;=INDEX('Lease Cycles'!$BG$18:$BM$18,1,ET180),'Lease Cycles'!$AZ$18&lt;=ET$6),'Lease Cycles'!$C$18*'Lease Cycles'!$BA$18/12,IF(AND('Lease Cycles'!$AX$18&gt;=INDEX('Lease Cycles'!$BG$18:$BM$18,1,ET180),'Lease Cycles'!$AX$18&lt;=ET$6),'Lease Cycles'!$C$18*'Lease Cycles'!$AY$18/12,IF(AND('Lease Cycles'!$AV$18&gt;=INDEX('Lease Cycles'!$BG$18:$BM$18,1,ET180),'Lease Cycles'!$AV$18&lt;=ET$6),'Lease Cycles'!$C$18*'Lease Cycles'!$AW$18/12,IF(AND('Lease Cycles'!$AT$18&gt;=INDEX('Lease Cycles'!$BG$18:$BM$18,1,ET180),'Lease Cycles'!$AT$18&lt;=ET$6),'Lease Cycles'!$C$18*'Lease Cycles'!$AU$18/12,'Lease Cycles'!$C$18*INDEX('Lease Cycles'!$CB$18:$CH$18,1,ET180)*(1+INDEX('Lease Cycles'!$CI$18:$CO$18,1,ET180))^INT(INT(ET181/12)/INDEX('Lease Cycles'!$CP$18:$CV$18,1,ET180))/12)))),'Lease Cycles'!$C$18*INDEX('Lease Cycles'!$CB$18:$CH$18,1,ET180)*(1+INDEX('Lease Cycles'!$CI$18:$CO$18,1,ET180))^INT(INT(ET181/12)/INDEX('Lease Cycles'!$CP$18:$CV$18,1,ET180))/12))),IF('Lease Cycles'!$N$18=1,'Lease Cycles'!$C$18*'Lease Cycles'!$E$18*INDEX('Lease Cycles'!$HE$18:$HK$18,1,ET180)*(1+INDEX('Lease Cycles'!$GQ$18:$GW$18,1,ET180))^INT(INT((ET$6-INDEX('Lease Cycles'!$GJ$18:$GP$18,1,ET180))/12)/INDEX('Lease Cycles'!$GX$18:$HD$18,1,ET180))/12,0)))</f>
        <v>0</v>
      </c>
    </row>
    <row r="184">
      <c r="A184" s="103">
        <v>11</v>
      </c>
      <c r="B184" s="23" t="str">
        <f>IF('Lease Cycles'!$B$18="","(empty slot)",'Lease Cycles'!$B$18)</f>
        <v>(empty slot)</v>
      </c>
      <c r="C184" s="23" t="s">
        <v>679</v>
      </c>
      <c r="D184" s="104" t="s">
        <v>680</v>
      </c>
      <c r="E184" s="25">
        <f>'Lease Cycles'!$AL$18</f>
        <v>0</v>
      </c>
      <c r="S184" s="28">
        <f>IF(S182=1,IF(INDEX('Lease Cycles'!$EF$18:$EL$18,1,S180)=1,'Lease Cycles'!$C$18*INDEX('Lease Cycles'!$ET$18:$EZ$18,1,S180)*(1+'Lease Cycles'!$V$18)^INT(INT(S181/12)/'Lease Cycles'!$W$18)/12,0),0)</f>
        <v>0</v>
      </c>
      <c r="T184" s="28">
        <f>IF(T182=1,IF(INDEX('Lease Cycles'!$EF$18:$EL$18,1,T180)=1,'Lease Cycles'!$C$18*INDEX('Lease Cycles'!$ET$18:$EZ$18,1,T180)*(1+'Lease Cycles'!$V$18)^INT(INT(T181/12)/'Lease Cycles'!$W$18)/12,0),0)</f>
        <v>0</v>
      </c>
      <c r="U184" s="28">
        <f>IF(U182=1,IF(INDEX('Lease Cycles'!$EF$18:$EL$18,1,U180)=1,'Lease Cycles'!$C$18*INDEX('Lease Cycles'!$ET$18:$EZ$18,1,U180)*(1+'Lease Cycles'!$V$18)^INT(INT(U181/12)/'Lease Cycles'!$W$18)/12,0),0)</f>
        <v>0</v>
      </c>
      <c r="V184" s="28">
        <f>IF(V182=1,IF(INDEX('Lease Cycles'!$EF$18:$EL$18,1,V180)=1,'Lease Cycles'!$C$18*INDEX('Lease Cycles'!$ET$18:$EZ$18,1,V180)*(1+'Lease Cycles'!$V$18)^INT(INT(V181/12)/'Lease Cycles'!$W$18)/12,0),0)</f>
        <v>0</v>
      </c>
      <c r="W184" s="28">
        <f>IF(W182=1,IF(INDEX('Lease Cycles'!$EF$18:$EL$18,1,W180)=1,'Lease Cycles'!$C$18*INDEX('Lease Cycles'!$ET$18:$EZ$18,1,W180)*(1+'Lease Cycles'!$V$18)^INT(INT(W181/12)/'Lease Cycles'!$W$18)/12,0),0)</f>
        <v>0</v>
      </c>
      <c r="X184" s="28">
        <f>IF(X182=1,IF(INDEX('Lease Cycles'!$EF$18:$EL$18,1,X180)=1,'Lease Cycles'!$C$18*INDEX('Lease Cycles'!$ET$18:$EZ$18,1,X180)*(1+'Lease Cycles'!$V$18)^INT(INT(X181/12)/'Lease Cycles'!$W$18)/12,0),0)</f>
        <v>0</v>
      </c>
      <c r="Y184" s="28">
        <f>IF(Y182=1,IF(INDEX('Lease Cycles'!$EF$18:$EL$18,1,Y180)=1,'Lease Cycles'!$C$18*INDEX('Lease Cycles'!$ET$18:$EZ$18,1,Y180)*(1+'Lease Cycles'!$V$18)^INT(INT(Y181/12)/'Lease Cycles'!$W$18)/12,0),0)</f>
        <v>0</v>
      </c>
      <c r="Z184" s="28">
        <f>IF(Z182=1,IF(INDEX('Lease Cycles'!$EF$18:$EL$18,1,Z180)=1,'Lease Cycles'!$C$18*INDEX('Lease Cycles'!$ET$18:$EZ$18,1,Z180)*(1+'Lease Cycles'!$V$18)^INT(INT(Z181/12)/'Lease Cycles'!$W$18)/12,0),0)</f>
        <v>0</v>
      </c>
      <c r="AA184" s="28">
        <f>IF(AA182=1,IF(INDEX('Lease Cycles'!$EF$18:$EL$18,1,AA180)=1,'Lease Cycles'!$C$18*INDEX('Lease Cycles'!$ET$18:$EZ$18,1,AA180)*(1+'Lease Cycles'!$V$18)^INT(INT(AA181/12)/'Lease Cycles'!$W$18)/12,0),0)</f>
        <v>0</v>
      </c>
      <c r="AB184" s="28">
        <f>IF(AB182=1,IF(INDEX('Lease Cycles'!$EF$18:$EL$18,1,AB180)=1,'Lease Cycles'!$C$18*INDEX('Lease Cycles'!$ET$18:$EZ$18,1,AB180)*(1+'Lease Cycles'!$V$18)^INT(INT(AB181/12)/'Lease Cycles'!$W$18)/12,0),0)</f>
        <v>0</v>
      </c>
      <c r="AC184" s="28">
        <f>IF(AC182=1,IF(INDEX('Lease Cycles'!$EF$18:$EL$18,1,AC180)=1,'Lease Cycles'!$C$18*INDEX('Lease Cycles'!$ET$18:$EZ$18,1,AC180)*(1+'Lease Cycles'!$V$18)^INT(INT(AC181/12)/'Lease Cycles'!$W$18)/12,0),0)</f>
        <v>0</v>
      </c>
      <c r="AD184" s="28">
        <f>IF(AD182=1,IF(INDEX('Lease Cycles'!$EF$18:$EL$18,1,AD180)=1,'Lease Cycles'!$C$18*INDEX('Lease Cycles'!$ET$18:$EZ$18,1,AD180)*(1+'Lease Cycles'!$V$18)^INT(INT(AD181/12)/'Lease Cycles'!$W$18)/12,0),0)</f>
        <v>0</v>
      </c>
      <c r="AE184" s="28">
        <f>IF(AE182=1,IF(INDEX('Lease Cycles'!$EF$18:$EL$18,1,AE180)=1,'Lease Cycles'!$C$18*INDEX('Lease Cycles'!$ET$18:$EZ$18,1,AE180)*(1+'Lease Cycles'!$V$18)^INT(INT(AE181/12)/'Lease Cycles'!$W$18)/12,0),0)</f>
        <v>0</v>
      </c>
      <c r="AF184" s="28">
        <f>IF(AF182=1,IF(INDEX('Lease Cycles'!$EF$18:$EL$18,1,AF180)=1,'Lease Cycles'!$C$18*INDEX('Lease Cycles'!$ET$18:$EZ$18,1,AF180)*(1+'Lease Cycles'!$V$18)^INT(INT(AF181/12)/'Lease Cycles'!$W$18)/12,0),0)</f>
        <v>0</v>
      </c>
      <c r="AG184" s="28">
        <f>IF(AG182=1,IF(INDEX('Lease Cycles'!$EF$18:$EL$18,1,AG180)=1,'Lease Cycles'!$C$18*INDEX('Lease Cycles'!$ET$18:$EZ$18,1,AG180)*(1+'Lease Cycles'!$V$18)^INT(INT(AG181/12)/'Lease Cycles'!$W$18)/12,0),0)</f>
        <v>0</v>
      </c>
      <c r="AH184" s="28">
        <f>IF(AH182=1,IF(INDEX('Lease Cycles'!$EF$18:$EL$18,1,AH180)=1,'Lease Cycles'!$C$18*INDEX('Lease Cycles'!$ET$18:$EZ$18,1,AH180)*(1+'Lease Cycles'!$V$18)^INT(INT(AH181/12)/'Lease Cycles'!$W$18)/12,0),0)</f>
        <v>0</v>
      </c>
      <c r="AI184" s="28">
        <f>IF(AI182=1,IF(INDEX('Lease Cycles'!$EF$18:$EL$18,1,AI180)=1,'Lease Cycles'!$C$18*INDEX('Lease Cycles'!$ET$18:$EZ$18,1,AI180)*(1+'Lease Cycles'!$V$18)^INT(INT(AI181/12)/'Lease Cycles'!$W$18)/12,0),0)</f>
        <v>0</v>
      </c>
      <c r="AJ184" s="28">
        <f>IF(AJ182=1,IF(INDEX('Lease Cycles'!$EF$18:$EL$18,1,AJ180)=1,'Lease Cycles'!$C$18*INDEX('Lease Cycles'!$ET$18:$EZ$18,1,AJ180)*(1+'Lease Cycles'!$V$18)^INT(INT(AJ181/12)/'Lease Cycles'!$W$18)/12,0),0)</f>
        <v>0</v>
      </c>
      <c r="AK184" s="28">
        <f>IF(AK182=1,IF(INDEX('Lease Cycles'!$EF$18:$EL$18,1,AK180)=1,'Lease Cycles'!$C$18*INDEX('Lease Cycles'!$ET$18:$EZ$18,1,AK180)*(1+'Lease Cycles'!$V$18)^INT(INT(AK181/12)/'Lease Cycles'!$W$18)/12,0),0)</f>
        <v>0</v>
      </c>
      <c r="AL184" s="28">
        <f>IF(AL182=1,IF(INDEX('Lease Cycles'!$EF$18:$EL$18,1,AL180)=1,'Lease Cycles'!$C$18*INDEX('Lease Cycles'!$ET$18:$EZ$18,1,AL180)*(1+'Lease Cycles'!$V$18)^INT(INT(AL181/12)/'Lease Cycles'!$W$18)/12,0),0)</f>
        <v>0</v>
      </c>
      <c r="AM184" s="28">
        <f>IF(AM182=1,IF(INDEX('Lease Cycles'!$EF$18:$EL$18,1,AM180)=1,'Lease Cycles'!$C$18*INDEX('Lease Cycles'!$ET$18:$EZ$18,1,AM180)*(1+'Lease Cycles'!$V$18)^INT(INT(AM181/12)/'Lease Cycles'!$W$18)/12,0),0)</f>
        <v>0</v>
      </c>
      <c r="AN184" s="28">
        <f>IF(AN182=1,IF(INDEX('Lease Cycles'!$EF$18:$EL$18,1,AN180)=1,'Lease Cycles'!$C$18*INDEX('Lease Cycles'!$ET$18:$EZ$18,1,AN180)*(1+'Lease Cycles'!$V$18)^INT(INT(AN181/12)/'Lease Cycles'!$W$18)/12,0),0)</f>
        <v>0</v>
      </c>
      <c r="AO184" s="28">
        <f>IF(AO182=1,IF(INDEX('Lease Cycles'!$EF$18:$EL$18,1,AO180)=1,'Lease Cycles'!$C$18*INDEX('Lease Cycles'!$ET$18:$EZ$18,1,AO180)*(1+'Lease Cycles'!$V$18)^INT(INT(AO181/12)/'Lease Cycles'!$W$18)/12,0),0)</f>
        <v>0</v>
      </c>
      <c r="AP184" s="28">
        <f>IF(AP182=1,IF(INDEX('Lease Cycles'!$EF$18:$EL$18,1,AP180)=1,'Lease Cycles'!$C$18*INDEX('Lease Cycles'!$ET$18:$EZ$18,1,AP180)*(1+'Lease Cycles'!$V$18)^INT(INT(AP181/12)/'Lease Cycles'!$W$18)/12,0),0)</f>
        <v>0</v>
      </c>
      <c r="AQ184" s="28">
        <f>IF(AQ182=1,IF(INDEX('Lease Cycles'!$EF$18:$EL$18,1,AQ180)=1,'Lease Cycles'!$C$18*INDEX('Lease Cycles'!$ET$18:$EZ$18,1,AQ180)*(1+'Lease Cycles'!$V$18)^INT(INT(AQ181/12)/'Lease Cycles'!$W$18)/12,0),0)</f>
        <v>0</v>
      </c>
      <c r="AR184" s="28">
        <f>IF(AR182=1,IF(INDEX('Lease Cycles'!$EF$18:$EL$18,1,AR180)=1,'Lease Cycles'!$C$18*INDEX('Lease Cycles'!$ET$18:$EZ$18,1,AR180)*(1+'Lease Cycles'!$V$18)^INT(INT(AR181/12)/'Lease Cycles'!$W$18)/12,0),0)</f>
        <v>0</v>
      </c>
      <c r="AS184" s="28">
        <f>IF(AS182=1,IF(INDEX('Lease Cycles'!$EF$18:$EL$18,1,AS180)=1,'Lease Cycles'!$C$18*INDEX('Lease Cycles'!$ET$18:$EZ$18,1,AS180)*(1+'Lease Cycles'!$V$18)^INT(INT(AS181/12)/'Lease Cycles'!$W$18)/12,0),0)</f>
        <v>0</v>
      </c>
      <c r="AT184" s="28">
        <f>IF(AT182=1,IF(INDEX('Lease Cycles'!$EF$18:$EL$18,1,AT180)=1,'Lease Cycles'!$C$18*INDEX('Lease Cycles'!$ET$18:$EZ$18,1,AT180)*(1+'Lease Cycles'!$V$18)^INT(INT(AT181/12)/'Lease Cycles'!$W$18)/12,0),0)</f>
        <v>0</v>
      </c>
      <c r="AU184" s="28">
        <f>IF(AU182=1,IF(INDEX('Lease Cycles'!$EF$18:$EL$18,1,AU180)=1,'Lease Cycles'!$C$18*INDEX('Lease Cycles'!$ET$18:$EZ$18,1,AU180)*(1+'Lease Cycles'!$V$18)^INT(INT(AU181/12)/'Lease Cycles'!$W$18)/12,0),0)</f>
        <v>0</v>
      </c>
      <c r="AV184" s="28">
        <f>IF(AV182=1,IF(INDEX('Lease Cycles'!$EF$18:$EL$18,1,AV180)=1,'Lease Cycles'!$C$18*INDEX('Lease Cycles'!$ET$18:$EZ$18,1,AV180)*(1+'Lease Cycles'!$V$18)^INT(INT(AV181/12)/'Lease Cycles'!$W$18)/12,0),0)</f>
        <v>0</v>
      </c>
      <c r="AW184" s="28">
        <f>IF(AW182=1,IF(INDEX('Lease Cycles'!$EF$18:$EL$18,1,AW180)=1,'Lease Cycles'!$C$18*INDEX('Lease Cycles'!$ET$18:$EZ$18,1,AW180)*(1+'Lease Cycles'!$V$18)^INT(INT(AW181/12)/'Lease Cycles'!$W$18)/12,0),0)</f>
        <v>0</v>
      </c>
      <c r="AX184" s="28">
        <f>IF(AX182=1,IF(INDEX('Lease Cycles'!$EF$18:$EL$18,1,AX180)=1,'Lease Cycles'!$C$18*INDEX('Lease Cycles'!$ET$18:$EZ$18,1,AX180)*(1+'Lease Cycles'!$V$18)^INT(INT(AX181/12)/'Lease Cycles'!$W$18)/12,0),0)</f>
        <v>0</v>
      </c>
      <c r="AY184" s="28">
        <f>IF(AY182=1,IF(INDEX('Lease Cycles'!$EF$18:$EL$18,1,AY180)=1,'Lease Cycles'!$C$18*INDEX('Lease Cycles'!$ET$18:$EZ$18,1,AY180)*(1+'Lease Cycles'!$V$18)^INT(INT(AY181/12)/'Lease Cycles'!$W$18)/12,0),0)</f>
        <v>0</v>
      </c>
      <c r="AZ184" s="28">
        <f>IF(AZ182=1,IF(INDEX('Lease Cycles'!$EF$18:$EL$18,1,AZ180)=1,'Lease Cycles'!$C$18*INDEX('Lease Cycles'!$ET$18:$EZ$18,1,AZ180)*(1+'Lease Cycles'!$V$18)^INT(INT(AZ181/12)/'Lease Cycles'!$W$18)/12,0),0)</f>
        <v>0</v>
      </c>
      <c r="BA184" s="28">
        <f>IF(BA182=1,IF(INDEX('Lease Cycles'!$EF$18:$EL$18,1,BA180)=1,'Lease Cycles'!$C$18*INDEX('Lease Cycles'!$ET$18:$EZ$18,1,BA180)*(1+'Lease Cycles'!$V$18)^INT(INT(BA181/12)/'Lease Cycles'!$W$18)/12,0),0)</f>
        <v>0</v>
      </c>
      <c r="BB184" s="28">
        <f>IF(BB182=1,IF(INDEX('Lease Cycles'!$EF$18:$EL$18,1,BB180)=1,'Lease Cycles'!$C$18*INDEX('Lease Cycles'!$ET$18:$EZ$18,1,BB180)*(1+'Lease Cycles'!$V$18)^INT(INT(BB181/12)/'Lease Cycles'!$W$18)/12,0),0)</f>
        <v>0</v>
      </c>
      <c r="BC184" s="28">
        <f>IF(BC182=1,IF(INDEX('Lease Cycles'!$EF$18:$EL$18,1,BC180)=1,'Lease Cycles'!$C$18*INDEX('Lease Cycles'!$ET$18:$EZ$18,1,BC180)*(1+'Lease Cycles'!$V$18)^INT(INT(BC181/12)/'Lease Cycles'!$W$18)/12,0),0)</f>
        <v>0</v>
      </c>
      <c r="BD184" s="28">
        <f>IF(BD182=1,IF(INDEX('Lease Cycles'!$EF$18:$EL$18,1,BD180)=1,'Lease Cycles'!$C$18*INDEX('Lease Cycles'!$ET$18:$EZ$18,1,BD180)*(1+'Lease Cycles'!$V$18)^INT(INT(BD181/12)/'Lease Cycles'!$W$18)/12,0),0)</f>
        <v>0</v>
      </c>
      <c r="BE184" s="28">
        <f>IF(BE182=1,IF(INDEX('Lease Cycles'!$EF$18:$EL$18,1,BE180)=1,'Lease Cycles'!$C$18*INDEX('Lease Cycles'!$ET$18:$EZ$18,1,BE180)*(1+'Lease Cycles'!$V$18)^INT(INT(BE181/12)/'Lease Cycles'!$W$18)/12,0),0)</f>
        <v>0</v>
      </c>
      <c r="BF184" s="28">
        <f>IF(BF182=1,IF(INDEX('Lease Cycles'!$EF$18:$EL$18,1,BF180)=1,'Lease Cycles'!$C$18*INDEX('Lease Cycles'!$ET$18:$EZ$18,1,BF180)*(1+'Lease Cycles'!$V$18)^INT(INT(BF181/12)/'Lease Cycles'!$W$18)/12,0),0)</f>
        <v>0</v>
      </c>
      <c r="BG184" s="28">
        <f>IF(BG182=1,IF(INDEX('Lease Cycles'!$EF$18:$EL$18,1,BG180)=1,'Lease Cycles'!$C$18*INDEX('Lease Cycles'!$ET$18:$EZ$18,1,BG180)*(1+'Lease Cycles'!$V$18)^INT(INT(BG181/12)/'Lease Cycles'!$W$18)/12,0),0)</f>
        <v>0</v>
      </c>
      <c r="BH184" s="28">
        <f>IF(BH182=1,IF(INDEX('Lease Cycles'!$EF$18:$EL$18,1,BH180)=1,'Lease Cycles'!$C$18*INDEX('Lease Cycles'!$ET$18:$EZ$18,1,BH180)*(1+'Lease Cycles'!$V$18)^INT(INT(BH181/12)/'Lease Cycles'!$W$18)/12,0),0)</f>
        <v>0</v>
      </c>
      <c r="BI184" s="28">
        <f>IF(BI182=1,IF(INDEX('Lease Cycles'!$EF$18:$EL$18,1,BI180)=1,'Lease Cycles'!$C$18*INDEX('Lease Cycles'!$ET$18:$EZ$18,1,BI180)*(1+'Lease Cycles'!$V$18)^INT(INT(BI181/12)/'Lease Cycles'!$W$18)/12,0),0)</f>
        <v>0</v>
      </c>
      <c r="BJ184" s="28">
        <f>IF(BJ182=1,IF(INDEX('Lease Cycles'!$EF$18:$EL$18,1,BJ180)=1,'Lease Cycles'!$C$18*INDEX('Lease Cycles'!$ET$18:$EZ$18,1,BJ180)*(1+'Lease Cycles'!$V$18)^INT(INT(BJ181/12)/'Lease Cycles'!$W$18)/12,0),0)</f>
        <v>0</v>
      </c>
      <c r="BK184" s="28">
        <f>IF(BK182=1,IF(INDEX('Lease Cycles'!$EF$18:$EL$18,1,BK180)=1,'Lease Cycles'!$C$18*INDEX('Lease Cycles'!$ET$18:$EZ$18,1,BK180)*(1+'Lease Cycles'!$V$18)^INT(INT(BK181/12)/'Lease Cycles'!$W$18)/12,0),0)</f>
        <v>0</v>
      </c>
      <c r="BL184" s="28">
        <f>IF(BL182=1,IF(INDEX('Lease Cycles'!$EF$18:$EL$18,1,BL180)=1,'Lease Cycles'!$C$18*INDEX('Lease Cycles'!$ET$18:$EZ$18,1,BL180)*(1+'Lease Cycles'!$V$18)^INT(INT(BL181/12)/'Lease Cycles'!$W$18)/12,0),0)</f>
        <v>0</v>
      </c>
      <c r="BM184" s="28">
        <f>IF(BM182=1,IF(INDEX('Lease Cycles'!$EF$18:$EL$18,1,BM180)=1,'Lease Cycles'!$C$18*INDEX('Lease Cycles'!$ET$18:$EZ$18,1,BM180)*(1+'Lease Cycles'!$V$18)^INT(INT(BM181/12)/'Lease Cycles'!$W$18)/12,0),0)</f>
        <v>0</v>
      </c>
      <c r="BN184" s="28">
        <f>IF(BN182=1,IF(INDEX('Lease Cycles'!$EF$18:$EL$18,1,BN180)=1,'Lease Cycles'!$C$18*INDEX('Lease Cycles'!$ET$18:$EZ$18,1,BN180)*(1+'Lease Cycles'!$V$18)^INT(INT(BN181/12)/'Lease Cycles'!$W$18)/12,0),0)</f>
        <v>0</v>
      </c>
      <c r="BO184" s="28">
        <f>IF(BO182=1,IF(INDEX('Lease Cycles'!$EF$18:$EL$18,1,BO180)=1,'Lease Cycles'!$C$18*INDEX('Lease Cycles'!$ET$18:$EZ$18,1,BO180)*(1+'Lease Cycles'!$V$18)^INT(INT(BO181/12)/'Lease Cycles'!$W$18)/12,0),0)</f>
        <v>0</v>
      </c>
      <c r="BP184" s="28">
        <f>IF(BP182=1,IF(INDEX('Lease Cycles'!$EF$18:$EL$18,1,BP180)=1,'Lease Cycles'!$C$18*INDEX('Lease Cycles'!$ET$18:$EZ$18,1,BP180)*(1+'Lease Cycles'!$V$18)^INT(INT(BP181/12)/'Lease Cycles'!$W$18)/12,0),0)</f>
        <v>0</v>
      </c>
      <c r="BQ184" s="28">
        <f>IF(BQ182=1,IF(INDEX('Lease Cycles'!$EF$18:$EL$18,1,BQ180)=1,'Lease Cycles'!$C$18*INDEX('Lease Cycles'!$ET$18:$EZ$18,1,BQ180)*(1+'Lease Cycles'!$V$18)^INT(INT(BQ181/12)/'Lease Cycles'!$W$18)/12,0),0)</f>
        <v>0</v>
      </c>
      <c r="BR184" s="28">
        <f>IF(BR182=1,IF(INDEX('Lease Cycles'!$EF$18:$EL$18,1,BR180)=1,'Lease Cycles'!$C$18*INDEX('Lease Cycles'!$ET$18:$EZ$18,1,BR180)*(1+'Lease Cycles'!$V$18)^INT(INT(BR181/12)/'Lease Cycles'!$W$18)/12,0),0)</f>
        <v>0</v>
      </c>
      <c r="BS184" s="28">
        <f>IF(BS182=1,IF(INDEX('Lease Cycles'!$EF$18:$EL$18,1,BS180)=1,'Lease Cycles'!$C$18*INDEX('Lease Cycles'!$ET$18:$EZ$18,1,BS180)*(1+'Lease Cycles'!$V$18)^INT(INT(BS181/12)/'Lease Cycles'!$W$18)/12,0),0)</f>
        <v>0</v>
      </c>
      <c r="BT184" s="28">
        <f>IF(BT182=1,IF(INDEX('Lease Cycles'!$EF$18:$EL$18,1,BT180)=1,'Lease Cycles'!$C$18*INDEX('Lease Cycles'!$ET$18:$EZ$18,1,BT180)*(1+'Lease Cycles'!$V$18)^INT(INT(BT181/12)/'Lease Cycles'!$W$18)/12,0),0)</f>
        <v>0</v>
      </c>
      <c r="BU184" s="28">
        <f>IF(BU182=1,IF(INDEX('Lease Cycles'!$EF$18:$EL$18,1,BU180)=1,'Lease Cycles'!$C$18*INDEX('Lease Cycles'!$ET$18:$EZ$18,1,BU180)*(1+'Lease Cycles'!$V$18)^INT(INT(BU181/12)/'Lease Cycles'!$W$18)/12,0),0)</f>
        <v>0</v>
      </c>
      <c r="BV184" s="28">
        <f>IF(BV182=1,IF(INDEX('Lease Cycles'!$EF$18:$EL$18,1,BV180)=1,'Lease Cycles'!$C$18*INDEX('Lease Cycles'!$ET$18:$EZ$18,1,BV180)*(1+'Lease Cycles'!$V$18)^INT(INT(BV181/12)/'Lease Cycles'!$W$18)/12,0),0)</f>
        <v>0</v>
      </c>
      <c r="BW184" s="28">
        <f>IF(BW182=1,IF(INDEX('Lease Cycles'!$EF$18:$EL$18,1,BW180)=1,'Lease Cycles'!$C$18*INDEX('Lease Cycles'!$ET$18:$EZ$18,1,BW180)*(1+'Lease Cycles'!$V$18)^INT(INT(BW181/12)/'Lease Cycles'!$W$18)/12,0),0)</f>
        <v>0</v>
      </c>
      <c r="BX184" s="28">
        <f>IF(BX182=1,IF(INDEX('Lease Cycles'!$EF$18:$EL$18,1,BX180)=1,'Lease Cycles'!$C$18*INDEX('Lease Cycles'!$ET$18:$EZ$18,1,BX180)*(1+'Lease Cycles'!$V$18)^INT(INT(BX181/12)/'Lease Cycles'!$W$18)/12,0),0)</f>
        <v>0</v>
      </c>
      <c r="BY184" s="28">
        <f>IF(BY182=1,IF(INDEX('Lease Cycles'!$EF$18:$EL$18,1,BY180)=1,'Lease Cycles'!$C$18*INDEX('Lease Cycles'!$ET$18:$EZ$18,1,BY180)*(1+'Lease Cycles'!$V$18)^INT(INT(BY181/12)/'Lease Cycles'!$W$18)/12,0),0)</f>
        <v>0</v>
      </c>
      <c r="BZ184" s="28">
        <f>IF(BZ182=1,IF(INDEX('Lease Cycles'!$EF$18:$EL$18,1,BZ180)=1,'Lease Cycles'!$C$18*INDEX('Lease Cycles'!$ET$18:$EZ$18,1,BZ180)*(1+'Lease Cycles'!$V$18)^INT(INT(BZ181/12)/'Lease Cycles'!$W$18)/12,0),0)</f>
        <v>0</v>
      </c>
      <c r="CA184" s="28">
        <f>IF(CA182=1,IF(INDEX('Lease Cycles'!$EF$18:$EL$18,1,CA180)=1,'Lease Cycles'!$C$18*INDEX('Lease Cycles'!$ET$18:$EZ$18,1,CA180)*(1+'Lease Cycles'!$V$18)^INT(INT(CA181/12)/'Lease Cycles'!$W$18)/12,0),0)</f>
        <v>0</v>
      </c>
      <c r="CB184" s="28">
        <f>IF(CB182=1,IF(INDEX('Lease Cycles'!$EF$18:$EL$18,1,CB180)=1,'Lease Cycles'!$C$18*INDEX('Lease Cycles'!$ET$18:$EZ$18,1,CB180)*(1+'Lease Cycles'!$V$18)^INT(INT(CB181/12)/'Lease Cycles'!$W$18)/12,0),0)</f>
        <v>0</v>
      </c>
      <c r="CC184" s="28">
        <f>IF(CC182=1,IF(INDEX('Lease Cycles'!$EF$18:$EL$18,1,CC180)=1,'Lease Cycles'!$C$18*INDEX('Lease Cycles'!$ET$18:$EZ$18,1,CC180)*(1+'Lease Cycles'!$V$18)^INT(INT(CC181/12)/'Lease Cycles'!$W$18)/12,0),0)</f>
        <v>0</v>
      </c>
      <c r="CD184" s="28">
        <f>IF(CD182=1,IF(INDEX('Lease Cycles'!$EF$18:$EL$18,1,CD180)=1,'Lease Cycles'!$C$18*INDEX('Lease Cycles'!$ET$18:$EZ$18,1,CD180)*(1+'Lease Cycles'!$V$18)^INT(INT(CD181/12)/'Lease Cycles'!$W$18)/12,0),0)</f>
        <v>0</v>
      </c>
      <c r="CE184" s="28">
        <f>IF(CE182=1,IF(INDEX('Lease Cycles'!$EF$18:$EL$18,1,CE180)=1,'Lease Cycles'!$C$18*INDEX('Lease Cycles'!$ET$18:$EZ$18,1,CE180)*(1+'Lease Cycles'!$V$18)^INT(INT(CE181/12)/'Lease Cycles'!$W$18)/12,0),0)</f>
        <v>0</v>
      </c>
      <c r="CF184" s="28">
        <f>IF(CF182=1,IF(INDEX('Lease Cycles'!$EF$18:$EL$18,1,CF180)=1,'Lease Cycles'!$C$18*INDEX('Lease Cycles'!$ET$18:$EZ$18,1,CF180)*(1+'Lease Cycles'!$V$18)^INT(INT(CF181/12)/'Lease Cycles'!$W$18)/12,0),0)</f>
        <v>0</v>
      </c>
      <c r="CG184" s="28">
        <f>IF(CG182=1,IF(INDEX('Lease Cycles'!$EF$18:$EL$18,1,CG180)=1,'Lease Cycles'!$C$18*INDEX('Lease Cycles'!$ET$18:$EZ$18,1,CG180)*(1+'Lease Cycles'!$V$18)^INT(INT(CG181/12)/'Lease Cycles'!$W$18)/12,0),0)</f>
        <v>0</v>
      </c>
      <c r="CH184" s="28">
        <f>IF(CH182=1,IF(INDEX('Lease Cycles'!$EF$18:$EL$18,1,CH180)=1,'Lease Cycles'!$C$18*INDEX('Lease Cycles'!$ET$18:$EZ$18,1,CH180)*(1+'Lease Cycles'!$V$18)^INT(INT(CH181/12)/'Lease Cycles'!$W$18)/12,0),0)</f>
        <v>0</v>
      </c>
      <c r="CI184" s="28">
        <f>IF(CI182=1,IF(INDEX('Lease Cycles'!$EF$18:$EL$18,1,CI180)=1,'Lease Cycles'!$C$18*INDEX('Lease Cycles'!$ET$18:$EZ$18,1,CI180)*(1+'Lease Cycles'!$V$18)^INT(INT(CI181/12)/'Lease Cycles'!$W$18)/12,0),0)</f>
        <v>0</v>
      </c>
      <c r="CJ184" s="28">
        <f>IF(CJ182=1,IF(INDEX('Lease Cycles'!$EF$18:$EL$18,1,CJ180)=1,'Lease Cycles'!$C$18*INDEX('Lease Cycles'!$ET$18:$EZ$18,1,CJ180)*(1+'Lease Cycles'!$V$18)^INT(INT(CJ181/12)/'Lease Cycles'!$W$18)/12,0),0)</f>
        <v>0</v>
      </c>
      <c r="CK184" s="28">
        <f>IF(CK182=1,IF(INDEX('Lease Cycles'!$EF$18:$EL$18,1,CK180)=1,'Lease Cycles'!$C$18*INDEX('Lease Cycles'!$ET$18:$EZ$18,1,CK180)*(1+'Lease Cycles'!$V$18)^INT(INT(CK181/12)/'Lease Cycles'!$W$18)/12,0),0)</f>
        <v>0</v>
      </c>
      <c r="CL184" s="28">
        <f>IF(CL182=1,IF(INDEX('Lease Cycles'!$EF$18:$EL$18,1,CL180)=1,'Lease Cycles'!$C$18*INDEX('Lease Cycles'!$ET$18:$EZ$18,1,CL180)*(1+'Lease Cycles'!$V$18)^INT(INT(CL181/12)/'Lease Cycles'!$W$18)/12,0),0)</f>
        <v>0</v>
      </c>
      <c r="CM184" s="28">
        <f>IF(CM182=1,IF(INDEX('Lease Cycles'!$EF$18:$EL$18,1,CM180)=1,'Lease Cycles'!$C$18*INDEX('Lease Cycles'!$ET$18:$EZ$18,1,CM180)*(1+'Lease Cycles'!$V$18)^INT(INT(CM181/12)/'Lease Cycles'!$W$18)/12,0),0)</f>
        <v>0</v>
      </c>
      <c r="CN184" s="28">
        <f>IF(CN182=1,IF(INDEX('Lease Cycles'!$EF$18:$EL$18,1,CN180)=1,'Lease Cycles'!$C$18*INDEX('Lease Cycles'!$ET$18:$EZ$18,1,CN180)*(1+'Lease Cycles'!$V$18)^INT(INT(CN181/12)/'Lease Cycles'!$W$18)/12,0),0)</f>
        <v>0</v>
      </c>
      <c r="CO184" s="28">
        <f>IF(CO182=1,IF(INDEX('Lease Cycles'!$EF$18:$EL$18,1,CO180)=1,'Lease Cycles'!$C$18*INDEX('Lease Cycles'!$ET$18:$EZ$18,1,CO180)*(1+'Lease Cycles'!$V$18)^INT(INT(CO181/12)/'Lease Cycles'!$W$18)/12,0),0)</f>
        <v>0</v>
      </c>
      <c r="CP184" s="28">
        <f>IF(CP182=1,IF(INDEX('Lease Cycles'!$EF$18:$EL$18,1,CP180)=1,'Lease Cycles'!$C$18*INDEX('Lease Cycles'!$ET$18:$EZ$18,1,CP180)*(1+'Lease Cycles'!$V$18)^INT(INT(CP181/12)/'Lease Cycles'!$W$18)/12,0),0)</f>
        <v>0</v>
      </c>
      <c r="CQ184" s="28">
        <f>IF(CQ182=1,IF(INDEX('Lease Cycles'!$EF$18:$EL$18,1,CQ180)=1,'Lease Cycles'!$C$18*INDEX('Lease Cycles'!$ET$18:$EZ$18,1,CQ180)*(1+'Lease Cycles'!$V$18)^INT(INT(CQ181/12)/'Lease Cycles'!$W$18)/12,0),0)</f>
        <v>0</v>
      </c>
      <c r="CR184" s="28">
        <f>IF(CR182=1,IF(INDEX('Lease Cycles'!$EF$18:$EL$18,1,CR180)=1,'Lease Cycles'!$C$18*INDEX('Lease Cycles'!$ET$18:$EZ$18,1,CR180)*(1+'Lease Cycles'!$V$18)^INT(INT(CR181/12)/'Lease Cycles'!$W$18)/12,0),0)</f>
        <v>0</v>
      </c>
      <c r="CS184" s="28">
        <f>IF(CS182=1,IF(INDEX('Lease Cycles'!$EF$18:$EL$18,1,CS180)=1,'Lease Cycles'!$C$18*INDEX('Lease Cycles'!$ET$18:$EZ$18,1,CS180)*(1+'Lease Cycles'!$V$18)^INT(INT(CS181/12)/'Lease Cycles'!$W$18)/12,0),0)</f>
        <v>0</v>
      </c>
      <c r="CT184" s="28">
        <f>IF(CT182=1,IF(INDEX('Lease Cycles'!$EF$18:$EL$18,1,CT180)=1,'Lease Cycles'!$C$18*INDEX('Lease Cycles'!$ET$18:$EZ$18,1,CT180)*(1+'Lease Cycles'!$V$18)^INT(INT(CT181/12)/'Lease Cycles'!$W$18)/12,0),0)</f>
        <v>0</v>
      </c>
      <c r="CU184" s="28">
        <f>IF(CU182=1,IF(INDEX('Lease Cycles'!$EF$18:$EL$18,1,CU180)=1,'Lease Cycles'!$C$18*INDEX('Lease Cycles'!$ET$18:$EZ$18,1,CU180)*(1+'Lease Cycles'!$V$18)^INT(INT(CU181/12)/'Lease Cycles'!$W$18)/12,0),0)</f>
        <v>0</v>
      </c>
      <c r="CV184" s="28">
        <f>IF(CV182=1,IF(INDEX('Lease Cycles'!$EF$18:$EL$18,1,CV180)=1,'Lease Cycles'!$C$18*INDEX('Lease Cycles'!$ET$18:$EZ$18,1,CV180)*(1+'Lease Cycles'!$V$18)^INT(INT(CV181/12)/'Lease Cycles'!$W$18)/12,0),0)</f>
        <v>0</v>
      </c>
      <c r="CW184" s="28">
        <f>IF(CW182=1,IF(INDEX('Lease Cycles'!$EF$18:$EL$18,1,CW180)=1,'Lease Cycles'!$C$18*INDEX('Lease Cycles'!$ET$18:$EZ$18,1,CW180)*(1+'Lease Cycles'!$V$18)^INT(INT(CW181/12)/'Lease Cycles'!$W$18)/12,0),0)</f>
        <v>0</v>
      </c>
      <c r="CX184" s="28">
        <f>IF(CX182=1,IF(INDEX('Lease Cycles'!$EF$18:$EL$18,1,CX180)=1,'Lease Cycles'!$C$18*INDEX('Lease Cycles'!$ET$18:$EZ$18,1,CX180)*(1+'Lease Cycles'!$V$18)^INT(INT(CX181/12)/'Lease Cycles'!$W$18)/12,0),0)</f>
        <v>0</v>
      </c>
      <c r="CY184" s="28">
        <f>IF(CY182=1,IF(INDEX('Lease Cycles'!$EF$18:$EL$18,1,CY180)=1,'Lease Cycles'!$C$18*INDEX('Lease Cycles'!$ET$18:$EZ$18,1,CY180)*(1+'Lease Cycles'!$V$18)^INT(INT(CY181/12)/'Lease Cycles'!$W$18)/12,0),0)</f>
        <v>0</v>
      </c>
      <c r="CZ184" s="28">
        <f>IF(CZ182=1,IF(INDEX('Lease Cycles'!$EF$18:$EL$18,1,CZ180)=1,'Lease Cycles'!$C$18*INDEX('Lease Cycles'!$ET$18:$EZ$18,1,CZ180)*(1+'Lease Cycles'!$V$18)^INT(INT(CZ181/12)/'Lease Cycles'!$W$18)/12,0),0)</f>
        <v>0</v>
      </c>
      <c r="DA184" s="28">
        <f>IF(DA182=1,IF(INDEX('Lease Cycles'!$EF$18:$EL$18,1,DA180)=1,'Lease Cycles'!$C$18*INDEX('Lease Cycles'!$ET$18:$EZ$18,1,DA180)*(1+'Lease Cycles'!$V$18)^INT(INT(DA181/12)/'Lease Cycles'!$W$18)/12,0),0)</f>
        <v>0</v>
      </c>
      <c r="DB184" s="28">
        <f>IF(DB182=1,IF(INDEX('Lease Cycles'!$EF$18:$EL$18,1,DB180)=1,'Lease Cycles'!$C$18*INDEX('Lease Cycles'!$ET$18:$EZ$18,1,DB180)*(1+'Lease Cycles'!$V$18)^INT(INT(DB181/12)/'Lease Cycles'!$W$18)/12,0),0)</f>
        <v>0</v>
      </c>
      <c r="DC184" s="28">
        <f>IF(DC182=1,IF(INDEX('Lease Cycles'!$EF$18:$EL$18,1,DC180)=1,'Lease Cycles'!$C$18*INDEX('Lease Cycles'!$ET$18:$EZ$18,1,DC180)*(1+'Lease Cycles'!$V$18)^INT(INT(DC181/12)/'Lease Cycles'!$W$18)/12,0),0)</f>
        <v>0</v>
      </c>
      <c r="DD184" s="28">
        <f>IF(DD182=1,IF(INDEX('Lease Cycles'!$EF$18:$EL$18,1,DD180)=1,'Lease Cycles'!$C$18*INDEX('Lease Cycles'!$ET$18:$EZ$18,1,DD180)*(1+'Lease Cycles'!$V$18)^INT(INT(DD181/12)/'Lease Cycles'!$W$18)/12,0),0)</f>
        <v>0</v>
      </c>
      <c r="DE184" s="28">
        <f>IF(DE182=1,IF(INDEX('Lease Cycles'!$EF$18:$EL$18,1,DE180)=1,'Lease Cycles'!$C$18*INDEX('Lease Cycles'!$ET$18:$EZ$18,1,DE180)*(1+'Lease Cycles'!$V$18)^INT(INT(DE181/12)/'Lease Cycles'!$W$18)/12,0),0)</f>
        <v>0</v>
      </c>
      <c r="DF184" s="28">
        <f>IF(DF182=1,IF(INDEX('Lease Cycles'!$EF$18:$EL$18,1,DF180)=1,'Lease Cycles'!$C$18*INDEX('Lease Cycles'!$ET$18:$EZ$18,1,DF180)*(1+'Lease Cycles'!$V$18)^INT(INT(DF181/12)/'Lease Cycles'!$W$18)/12,0),0)</f>
        <v>0</v>
      </c>
      <c r="DG184" s="28">
        <f>IF(DG182=1,IF(INDEX('Lease Cycles'!$EF$18:$EL$18,1,DG180)=1,'Lease Cycles'!$C$18*INDEX('Lease Cycles'!$ET$18:$EZ$18,1,DG180)*(1+'Lease Cycles'!$V$18)^INT(INT(DG181/12)/'Lease Cycles'!$W$18)/12,0),0)</f>
        <v>0</v>
      </c>
      <c r="DH184" s="28">
        <f>IF(DH182=1,IF(INDEX('Lease Cycles'!$EF$18:$EL$18,1,DH180)=1,'Lease Cycles'!$C$18*INDEX('Lease Cycles'!$ET$18:$EZ$18,1,DH180)*(1+'Lease Cycles'!$V$18)^INT(INT(DH181/12)/'Lease Cycles'!$W$18)/12,0),0)</f>
        <v>0</v>
      </c>
      <c r="DI184" s="28">
        <f>IF(DI182=1,IF(INDEX('Lease Cycles'!$EF$18:$EL$18,1,DI180)=1,'Lease Cycles'!$C$18*INDEX('Lease Cycles'!$ET$18:$EZ$18,1,DI180)*(1+'Lease Cycles'!$V$18)^INT(INT(DI181/12)/'Lease Cycles'!$W$18)/12,0),0)</f>
        <v>0</v>
      </c>
      <c r="DJ184" s="28">
        <f>IF(DJ182=1,IF(INDEX('Lease Cycles'!$EF$18:$EL$18,1,DJ180)=1,'Lease Cycles'!$C$18*INDEX('Lease Cycles'!$ET$18:$EZ$18,1,DJ180)*(1+'Lease Cycles'!$V$18)^INT(INT(DJ181/12)/'Lease Cycles'!$W$18)/12,0),0)</f>
        <v>0</v>
      </c>
      <c r="DK184" s="28">
        <f>IF(DK182=1,IF(INDEX('Lease Cycles'!$EF$18:$EL$18,1,DK180)=1,'Lease Cycles'!$C$18*INDEX('Lease Cycles'!$ET$18:$EZ$18,1,DK180)*(1+'Lease Cycles'!$V$18)^INT(INT(DK181/12)/'Lease Cycles'!$W$18)/12,0),0)</f>
        <v>0</v>
      </c>
      <c r="DL184" s="28">
        <f>IF(DL182=1,IF(INDEX('Lease Cycles'!$EF$18:$EL$18,1,DL180)=1,'Lease Cycles'!$C$18*INDEX('Lease Cycles'!$ET$18:$EZ$18,1,DL180)*(1+'Lease Cycles'!$V$18)^INT(INT(DL181/12)/'Lease Cycles'!$W$18)/12,0),0)</f>
        <v>0</v>
      </c>
      <c r="DM184" s="28">
        <f>IF(DM182=1,IF(INDEX('Lease Cycles'!$EF$18:$EL$18,1,DM180)=1,'Lease Cycles'!$C$18*INDEX('Lease Cycles'!$ET$18:$EZ$18,1,DM180)*(1+'Lease Cycles'!$V$18)^INT(INT(DM181/12)/'Lease Cycles'!$W$18)/12,0),0)</f>
        <v>0</v>
      </c>
      <c r="DN184" s="28">
        <f>IF(DN182=1,IF(INDEX('Lease Cycles'!$EF$18:$EL$18,1,DN180)=1,'Lease Cycles'!$C$18*INDEX('Lease Cycles'!$ET$18:$EZ$18,1,DN180)*(1+'Lease Cycles'!$V$18)^INT(INT(DN181/12)/'Lease Cycles'!$W$18)/12,0),0)</f>
        <v>0</v>
      </c>
      <c r="DO184" s="28">
        <f>IF(DO182=1,IF(INDEX('Lease Cycles'!$EF$18:$EL$18,1,DO180)=1,'Lease Cycles'!$C$18*INDEX('Lease Cycles'!$ET$18:$EZ$18,1,DO180)*(1+'Lease Cycles'!$V$18)^INT(INT(DO181/12)/'Lease Cycles'!$W$18)/12,0),0)</f>
        <v>0</v>
      </c>
      <c r="DP184" s="28">
        <f>IF(DP182=1,IF(INDEX('Lease Cycles'!$EF$18:$EL$18,1,DP180)=1,'Lease Cycles'!$C$18*INDEX('Lease Cycles'!$ET$18:$EZ$18,1,DP180)*(1+'Lease Cycles'!$V$18)^INT(INT(DP181/12)/'Lease Cycles'!$W$18)/12,0),0)</f>
        <v>0</v>
      </c>
      <c r="DQ184" s="28">
        <f>IF(DQ182=1,IF(INDEX('Lease Cycles'!$EF$18:$EL$18,1,DQ180)=1,'Lease Cycles'!$C$18*INDEX('Lease Cycles'!$ET$18:$EZ$18,1,DQ180)*(1+'Lease Cycles'!$V$18)^INT(INT(DQ181/12)/'Lease Cycles'!$W$18)/12,0),0)</f>
        <v>0</v>
      </c>
      <c r="DR184" s="28">
        <f>IF(DR182=1,IF(INDEX('Lease Cycles'!$EF$18:$EL$18,1,DR180)=1,'Lease Cycles'!$C$18*INDEX('Lease Cycles'!$ET$18:$EZ$18,1,DR180)*(1+'Lease Cycles'!$V$18)^INT(INT(DR181/12)/'Lease Cycles'!$W$18)/12,0),0)</f>
        <v>0</v>
      </c>
      <c r="DS184" s="28">
        <f>IF(DS182=1,IF(INDEX('Lease Cycles'!$EF$18:$EL$18,1,DS180)=1,'Lease Cycles'!$C$18*INDEX('Lease Cycles'!$ET$18:$EZ$18,1,DS180)*(1+'Lease Cycles'!$V$18)^INT(INT(DS181/12)/'Lease Cycles'!$W$18)/12,0),0)</f>
        <v>0</v>
      </c>
      <c r="DT184" s="28">
        <f>IF(DT182=1,IF(INDEX('Lease Cycles'!$EF$18:$EL$18,1,DT180)=1,'Lease Cycles'!$C$18*INDEX('Lease Cycles'!$ET$18:$EZ$18,1,DT180)*(1+'Lease Cycles'!$V$18)^INT(INT(DT181/12)/'Lease Cycles'!$W$18)/12,0),0)</f>
        <v>0</v>
      </c>
      <c r="DU184" s="28">
        <f>IF(DU182=1,IF(INDEX('Lease Cycles'!$EF$18:$EL$18,1,DU180)=1,'Lease Cycles'!$C$18*INDEX('Lease Cycles'!$ET$18:$EZ$18,1,DU180)*(1+'Lease Cycles'!$V$18)^INT(INT(DU181/12)/'Lease Cycles'!$W$18)/12,0),0)</f>
        <v>0</v>
      </c>
      <c r="DV184" s="28">
        <f>IF(DV182=1,IF(INDEX('Lease Cycles'!$EF$18:$EL$18,1,DV180)=1,'Lease Cycles'!$C$18*INDEX('Lease Cycles'!$ET$18:$EZ$18,1,DV180)*(1+'Lease Cycles'!$V$18)^INT(INT(DV181/12)/'Lease Cycles'!$W$18)/12,0),0)</f>
        <v>0</v>
      </c>
      <c r="DW184" s="28">
        <f>IF(DW182=1,IF(INDEX('Lease Cycles'!$EF$18:$EL$18,1,DW180)=1,'Lease Cycles'!$C$18*INDEX('Lease Cycles'!$ET$18:$EZ$18,1,DW180)*(1+'Lease Cycles'!$V$18)^INT(INT(DW181/12)/'Lease Cycles'!$W$18)/12,0),0)</f>
        <v>0</v>
      </c>
      <c r="DX184" s="28">
        <f>IF(DX182=1,IF(INDEX('Lease Cycles'!$EF$18:$EL$18,1,DX180)=1,'Lease Cycles'!$C$18*INDEX('Lease Cycles'!$ET$18:$EZ$18,1,DX180)*(1+'Lease Cycles'!$V$18)^INT(INT(DX181/12)/'Lease Cycles'!$W$18)/12,0),0)</f>
        <v>0</v>
      </c>
      <c r="DY184" s="28">
        <f>IF(DY182=1,IF(INDEX('Lease Cycles'!$EF$18:$EL$18,1,DY180)=1,'Lease Cycles'!$C$18*INDEX('Lease Cycles'!$ET$18:$EZ$18,1,DY180)*(1+'Lease Cycles'!$V$18)^INT(INT(DY181/12)/'Lease Cycles'!$W$18)/12,0),0)</f>
        <v>0</v>
      </c>
      <c r="DZ184" s="28">
        <f>IF(DZ182=1,IF(INDEX('Lease Cycles'!$EF$18:$EL$18,1,DZ180)=1,'Lease Cycles'!$C$18*INDEX('Lease Cycles'!$ET$18:$EZ$18,1,DZ180)*(1+'Lease Cycles'!$V$18)^INT(INT(DZ181/12)/'Lease Cycles'!$W$18)/12,0),0)</f>
        <v>0</v>
      </c>
      <c r="EA184" s="28">
        <f>IF(EA182=1,IF(INDEX('Lease Cycles'!$EF$18:$EL$18,1,EA180)=1,'Lease Cycles'!$C$18*INDEX('Lease Cycles'!$ET$18:$EZ$18,1,EA180)*(1+'Lease Cycles'!$V$18)^INT(INT(EA181/12)/'Lease Cycles'!$W$18)/12,0),0)</f>
        <v>0</v>
      </c>
      <c r="EB184" s="28">
        <f>IF(EB182=1,IF(INDEX('Lease Cycles'!$EF$18:$EL$18,1,EB180)=1,'Lease Cycles'!$C$18*INDEX('Lease Cycles'!$ET$18:$EZ$18,1,EB180)*(1+'Lease Cycles'!$V$18)^INT(INT(EB181/12)/'Lease Cycles'!$W$18)/12,0),0)</f>
        <v>0</v>
      </c>
      <c r="EC184" s="28">
        <f>IF(EC182=1,IF(INDEX('Lease Cycles'!$EF$18:$EL$18,1,EC180)=1,'Lease Cycles'!$C$18*INDEX('Lease Cycles'!$ET$18:$EZ$18,1,EC180)*(1+'Lease Cycles'!$V$18)^INT(INT(EC181/12)/'Lease Cycles'!$W$18)/12,0),0)</f>
        <v>0</v>
      </c>
      <c r="ED184" s="28">
        <f>IF(ED182=1,IF(INDEX('Lease Cycles'!$EF$18:$EL$18,1,ED180)=1,'Lease Cycles'!$C$18*INDEX('Lease Cycles'!$ET$18:$EZ$18,1,ED180)*(1+'Lease Cycles'!$V$18)^INT(INT(ED181/12)/'Lease Cycles'!$W$18)/12,0),0)</f>
        <v>0</v>
      </c>
      <c r="EE184" s="28">
        <f>IF(EE182=1,IF(INDEX('Lease Cycles'!$EF$18:$EL$18,1,EE180)=1,'Lease Cycles'!$C$18*INDEX('Lease Cycles'!$ET$18:$EZ$18,1,EE180)*(1+'Lease Cycles'!$V$18)^INT(INT(EE181/12)/'Lease Cycles'!$W$18)/12,0),0)</f>
        <v>0</v>
      </c>
      <c r="EF184" s="28">
        <f>IF(EF182=1,IF(INDEX('Lease Cycles'!$EF$18:$EL$18,1,EF180)=1,'Lease Cycles'!$C$18*INDEX('Lease Cycles'!$ET$18:$EZ$18,1,EF180)*(1+'Lease Cycles'!$V$18)^INT(INT(EF181/12)/'Lease Cycles'!$W$18)/12,0),0)</f>
        <v>0</v>
      </c>
      <c r="EG184" s="28">
        <f>IF(EG182=1,IF(INDEX('Lease Cycles'!$EF$18:$EL$18,1,EG180)=1,'Lease Cycles'!$C$18*INDEX('Lease Cycles'!$ET$18:$EZ$18,1,EG180)*(1+'Lease Cycles'!$V$18)^INT(INT(EG181/12)/'Lease Cycles'!$W$18)/12,0),0)</f>
        <v>0</v>
      </c>
      <c r="EH184" s="28">
        <f>IF(EH182=1,IF(INDEX('Lease Cycles'!$EF$18:$EL$18,1,EH180)=1,'Lease Cycles'!$C$18*INDEX('Lease Cycles'!$ET$18:$EZ$18,1,EH180)*(1+'Lease Cycles'!$V$18)^INT(INT(EH181/12)/'Lease Cycles'!$W$18)/12,0),0)</f>
        <v>0</v>
      </c>
      <c r="EI184" s="28">
        <f>IF(EI182=1,IF(INDEX('Lease Cycles'!$EF$18:$EL$18,1,EI180)=1,'Lease Cycles'!$C$18*INDEX('Lease Cycles'!$ET$18:$EZ$18,1,EI180)*(1+'Lease Cycles'!$V$18)^INT(INT(EI181/12)/'Lease Cycles'!$W$18)/12,0),0)</f>
        <v>0</v>
      </c>
      <c r="EJ184" s="28">
        <f>IF(EJ182=1,IF(INDEX('Lease Cycles'!$EF$18:$EL$18,1,EJ180)=1,'Lease Cycles'!$C$18*INDEX('Lease Cycles'!$ET$18:$EZ$18,1,EJ180)*(1+'Lease Cycles'!$V$18)^INT(INT(EJ181/12)/'Lease Cycles'!$W$18)/12,0),0)</f>
        <v>0</v>
      </c>
      <c r="EK184" s="28">
        <f>IF(EK182=1,IF(INDEX('Lease Cycles'!$EF$18:$EL$18,1,EK180)=1,'Lease Cycles'!$C$18*INDEX('Lease Cycles'!$ET$18:$EZ$18,1,EK180)*(1+'Lease Cycles'!$V$18)^INT(INT(EK181/12)/'Lease Cycles'!$W$18)/12,0),0)</f>
        <v>0</v>
      </c>
      <c r="EL184" s="28">
        <f>IF(EL182=1,IF(INDEX('Lease Cycles'!$EF$18:$EL$18,1,EL180)=1,'Lease Cycles'!$C$18*INDEX('Lease Cycles'!$ET$18:$EZ$18,1,EL180)*(1+'Lease Cycles'!$V$18)^INT(INT(EL181/12)/'Lease Cycles'!$W$18)/12,0),0)</f>
        <v>0</v>
      </c>
      <c r="EM184" s="28">
        <f>IF(EM182=1,IF(INDEX('Lease Cycles'!$EF$18:$EL$18,1,EM180)=1,'Lease Cycles'!$C$18*INDEX('Lease Cycles'!$ET$18:$EZ$18,1,EM180)*(1+'Lease Cycles'!$V$18)^INT(INT(EM181/12)/'Lease Cycles'!$W$18)/12,0),0)</f>
        <v>0</v>
      </c>
      <c r="EN184" s="28">
        <f>IF(EN182=1,IF(INDEX('Lease Cycles'!$EF$18:$EL$18,1,EN180)=1,'Lease Cycles'!$C$18*INDEX('Lease Cycles'!$ET$18:$EZ$18,1,EN180)*(1+'Lease Cycles'!$V$18)^INT(INT(EN181/12)/'Lease Cycles'!$W$18)/12,0),0)</f>
        <v>0</v>
      </c>
      <c r="EO184" s="28">
        <f>IF(EO182=1,IF(INDEX('Lease Cycles'!$EF$18:$EL$18,1,EO180)=1,'Lease Cycles'!$C$18*INDEX('Lease Cycles'!$ET$18:$EZ$18,1,EO180)*(1+'Lease Cycles'!$V$18)^INT(INT(EO181/12)/'Lease Cycles'!$W$18)/12,0),0)</f>
        <v>0</v>
      </c>
      <c r="EP184" s="28">
        <f>IF(EP182=1,IF(INDEX('Lease Cycles'!$EF$18:$EL$18,1,EP180)=1,'Lease Cycles'!$C$18*INDEX('Lease Cycles'!$ET$18:$EZ$18,1,EP180)*(1+'Lease Cycles'!$V$18)^INT(INT(EP181/12)/'Lease Cycles'!$W$18)/12,0),0)</f>
        <v>0</v>
      </c>
      <c r="EQ184" s="28">
        <f>IF(EQ182=1,IF(INDEX('Lease Cycles'!$EF$18:$EL$18,1,EQ180)=1,'Lease Cycles'!$C$18*INDEX('Lease Cycles'!$ET$18:$EZ$18,1,EQ180)*(1+'Lease Cycles'!$V$18)^INT(INT(EQ181/12)/'Lease Cycles'!$W$18)/12,0),0)</f>
        <v>0</v>
      </c>
      <c r="ER184" s="28">
        <f>IF(ER182=1,IF(INDEX('Lease Cycles'!$EF$18:$EL$18,1,ER180)=1,'Lease Cycles'!$C$18*INDEX('Lease Cycles'!$ET$18:$EZ$18,1,ER180)*(1+'Lease Cycles'!$V$18)^INT(INT(ER181/12)/'Lease Cycles'!$W$18)/12,0),0)</f>
        <v>0</v>
      </c>
      <c r="ES184" s="28">
        <f>IF(ES182=1,IF(INDEX('Lease Cycles'!$EF$18:$EL$18,1,ES180)=1,'Lease Cycles'!$C$18*INDEX('Lease Cycles'!$ET$18:$EZ$18,1,ES180)*(1+'Lease Cycles'!$V$18)^INT(INT(ES181/12)/'Lease Cycles'!$W$18)/12,0),0)</f>
        <v>0</v>
      </c>
      <c r="ET184" s="28">
        <f>IF(ET182=1,IF(INDEX('Lease Cycles'!$EF$18:$EL$18,1,ET180)=1,'Lease Cycles'!$C$18*INDEX('Lease Cycles'!$ET$18:$EZ$18,1,ET180)*(1+'Lease Cycles'!$V$18)^INT(INT(ET181/12)/'Lease Cycles'!$W$18)/12,0),0)</f>
        <v>0</v>
      </c>
    </row>
    <row r="185">
      <c r="A185" s="103">
        <v>11</v>
      </c>
      <c r="B185" s="23" t="str">
        <f>IF('Lease Cycles'!$B$18="","(empty slot)",'Lease Cycles'!$B$18)</f>
        <v>(empty slot)</v>
      </c>
      <c r="C185" s="23" t="s">
        <v>681</v>
      </c>
      <c r="D185" s="104" t="s">
        <v>490</v>
      </c>
      <c r="E185" s="25">
        <f>'Lease Cycles'!$AL$18</f>
        <v>0</v>
      </c>
      <c r="G185" s="28">
        <f>SUM(S185:AD185)</f>
        <v>0</v>
      </c>
      <c r="H185" s="28">
        <f>SUM(AE185:AP185)</f>
        <v>0</v>
      </c>
      <c r="I185" s="28">
        <f>SUM(AQ185:BB185)</f>
        <v>0</v>
      </c>
      <c r="J185" s="28">
        <f>SUM(BC185:BN185)</f>
        <v>0</v>
      </c>
      <c r="K185" s="28">
        <f>SUM(BO185:BZ185)</f>
        <v>0</v>
      </c>
      <c r="L185" s="28">
        <f>SUM(CA185:CL185)</f>
        <v>0</v>
      </c>
      <c r="M185" s="28">
        <f>SUM(CM185:CX185)</f>
        <v>0</v>
      </c>
      <c r="N185" s="28">
        <f>SUM(CY185:DJ185)</f>
        <v>0</v>
      </c>
      <c r="O185" s="28">
        <f>SUM(DK185:DV185)</f>
        <v>0</v>
      </c>
      <c r="P185" s="28">
        <f>SUM(DW185:EH185)</f>
        <v>0</v>
      </c>
      <c r="Q185" s="28">
        <f>SUM(EI185:ET185)</f>
        <v>0</v>
      </c>
      <c r="S185" s="28">
        <f>IF(S182=1,IF(INDEX('Lease Cycles'!$EF$18:$EL$18,1,S180)=1,S183*INDEX('Lease Cycles'!$EM$18:$ES$18,1,S180)+S184*(1-INDEX('Lease Cycles'!$EM$18:$ES$18,1,S180)),S183),S183)</f>
        <v>0</v>
      </c>
      <c r="T185" s="28">
        <f>IF(T182=1,IF(INDEX('Lease Cycles'!$EF$18:$EL$18,1,T180)=1,T183*INDEX('Lease Cycles'!$EM$18:$ES$18,1,T180)+T184*(1-INDEX('Lease Cycles'!$EM$18:$ES$18,1,T180)),T183),T183)</f>
        <v>0</v>
      </c>
      <c r="U185" s="28">
        <f>IF(U182=1,IF(INDEX('Lease Cycles'!$EF$18:$EL$18,1,U180)=1,U183*INDEX('Lease Cycles'!$EM$18:$ES$18,1,U180)+U184*(1-INDEX('Lease Cycles'!$EM$18:$ES$18,1,U180)),U183),U183)</f>
        <v>0</v>
      </c>
      <c r="V185" s="28">
        <f>IF(V182=1,IF(INDEX('Lease Cycles'!$EF$18:$EL$18,1,V180)=1,V183*INDEX('Lease Cycles'!$EM$18:$ES$18,1,V180)+V184*(1-INDEX('Lease Cycles'!$EM$18:$ES$18,1,V180)),V183),V183)</f>
        <v>0</v>
      </c>
      <c r="W185" s="28">
        <f>IF(W182=1,IF(INDEX('Lease Cycles'!$EF$18:$EL$18,1,W180)=1,W183*INDEX('Lease Cycles'!$EM$18:$ES$18,1,W180)+W184*(1-INDEX('Lease Cycles'!$EM$18:$ES$18,1,W180)),W183),W183)</f>
        <v>0</v>
      </c>
      <c r="X185" s="28">
        <f>IF(X182=1,IF(INDEX('Lease Cycles'!$EF$18:$EL$18,1,X180)=1,X183*INDEX('Lease Cycles'!$EM$18:$ES$18,1,X180)+X184*(1-INDEX('Lease Cycles'!$EM$18:$ES$18,1,X180)),X183),X183)</f>
        <v>0</v>
      </c>
      <c r="Y185" s="28">
        <f>IF(Y182=1,IF(INDEX('Lease Cycles'!$EF$18:$EL$18,1,Y180)=1,Y183*INDEX('Lease Cycles'!$EM$18:$ES$18,1,Y180)+Y184*(1-INDEX('Lease Cycles'!$EM$18:$ES$18,1,Y180)),Y183),Y183)</f>
        <v>0</v>
      </c>
      <c r="Z185" s="28">
        <f>IF(Z182=1,IF(INDEX('Lease Cycles'!$EF$18:$EL$18,1,Z180)=1,Z183*INDEX('Lease Cycles'!$EM$18:$ES$18,1,Z180)+Z184*(1-INDEX('Lease Cycles'!$EM$18:$ES$18,1,Z180)),Z183),Z183)</f>
        <v>0</v>
      </c>
      <c r="AA185" s="28">
        <f>IF(AA182=1,IF(INDEX('Lease Cycles'!$EF$18:$EL$18,1,AA180)=1,AA183*INDEX('Lease Cycles'!$EM$18:$ES$18,1,AA180)+AA184*(1-INDEX('Lease Cycles'!$EM$18:$ES$18,1,AA180)),AA183),AA183)</f>
        <v>0</v>
      </c>
      <c r="AB185" s="28">
        <f>IF(AB182=1,IF(INDEX('Lease Cycles'!$EF$18:$EL$18,1,AB180)=1,AB183*INDEX('Lease Cycles'!$EM$18:$ES$18,1,AB180)+AB184*(1-INDEX('Lease Cycles'!$EM$18:$ES$18,1,AB180)),AB183),AB183)</f>
        <v>0</v>
      </c>
      <c r="AC185" s="28">
        <f>IF(AC182=1,IF(INDEX('Lease Cycles'!$EF$18:$EL$18,1,AC180)=1,AC183*INDEX('Lease Cycles'!$EM$18:$ES$18,1,AC180)+AC184*(1-INDEX('Lease Cycles'!$EM$18:$ES$18,1,AC180)),AC183),AC183)</f>
        <v>0</v>
      </c>
      <c r="AD185" s="28">
        <f>IF(AD182=1,IF(INDEX('Lease Cycles'!$EF$18:$EL$18,1,AD180)=1,AD183*INDEX('Lease Cycles'!$EM$18:$ES$18,1,AD180)+AD184*(1-INDEX('Lease Cycles'!$EM$18:$ES$18,1,AD180)),AD183),AD183)</f>
        <v>0</v>
      </c>
      <c r="AE185" s="28">
        <f>IF(AE182=1,IF(INDEX('Lease Cycles'!$EF$18:$EL$18,1,AE180)=1,AE183*INDEX('Lease Cycles'!$EM$18:$ES$18,1,AE180)+AE184*(1-INDEX('Lease Cycles'!$EM$18:$ES$18,1,AE180)),AE183),AE183)</f>
        <v>0</v>
      </c>
      <c r="AF185" s="28">
        <f>IF(AF182=1,IF(INDEX('Lease Cycles'!$EF$18:$EL$18,1,AF180)=1,AF183*INDEX('Lease Cycles'!$EM$18:$ES$18,1,AF180)+AF184*(1-INDEX('Lease Cycles'!$EM$18:$ES$18,1,AF180)),AF183),AF183)</f>
        <v>0</v>
      </c>
      <c r="AG185" s="28">
        <f>IF(AG182=1,IF(INDEX('Lease Cycles'!$EF$18:$EL$18,1,AG180)=1,AG183*INDEX('Lease Cycles'!$EM$18:$ES$18,1,AG180)+AG184*(1-INDEX('Lease Cycles'!$EM$18:$ES$18,1,AG180)),AG183),AG183)</f>
        <v>0</v>
      </c>
      <c r="AH185" s="28">
        <f>IF(AH182=1,IF(INDEX('Lease Cycles'!$EF$18:$EL$18,1,AH180)=1,AH183*INDEX('Lease Cycles'!$EM$18:$ES$18,1,AH180)+AH184*(1-INDEX('Lease Cycles'!$EM$18:$ES$18,1,AH180)),AH183),AH183)</f>
        <v>0</v>
      </c>
      <c r="AI185" s="28">
        <f>IF(AI182=1,IF(INDEX('Lease Cycles'!$EF$18:$EL$18,1,AI180)=1,AI183*INDEX('Lease Cycles'!$EM$18:$ES$18,1,AI180)+AI184*(1-INDEX('Lease Cycles'!$EM$18:$ES$18,1,AI180)),AI183),AI183)</f>
        <v>0</v>
      </c>
      <c r="AJ185" s="28">
        <f>IF(AJ182=1,IF(INDEX('Lease Cycles'!$EF$18:$EL$18,1,AJ180)=1,AJ183*INDEX('Lease Cycles'!$EM$18:$ES$18,1,AJ180)+AJ184*(1-INDEX('Lease Cycles'!$EM$18:$ES$18,1,AJ180)),AJ183),AJ183)</f>
        <v>0</v>
      </c>
      <c r="AK185" s="28">
        <f>IF(AK182=1,IF(INDEX('Lease Cycles'!$EF$18:$EL$18,1,AK180)=1,AK183*INDEX('Lease Cycles'!$EM$18:$ES$18,1,AK180)+AK184*(1-INDEX('Lease Cycles'!$EM$18:$ES$18,1,AK180)),AK183),AK183)</f>
        <v>0</v>
      </c>
      <c r="AL185" s="28">
        <f>IF(AL182=1,IF(INDEX('Lease Cycles'!$EF$18:$EL$18,1,AL180)=1,AL183*INDEX('Lease Cycles'!$EM$18:$ES$18,1,AL180)+AL184*(1-INDEX('Lease Cycles'!$EM$18:$ES$18,1,AL180)),AL183),AL183)</f>
        <v>0</v>
      </c>
      <c r="AM185" s="28">
        <f>IF(AM182=1,IF(INDEX('Lease Cycles'!$EF$18:$EL$18,1,AM180)=1,AM183*INDEX('Lease Cycles'!$EM$18:$ES$18,1,AM180)+AM184*(1-INDEX('Lease Cycles'!$EM$18:$ES$18,1,AM180)),AM183),AM183)</f>
        <v>0</v>
      </c>
      <c r="AN185" s="28">
        <f>IF(AN182=1,IF(INDEX('Lease Cycles'!$EF$18:$EL$18,1,AN180)=1,AN183*INDEX('Lease Cycles'!$EM$18:$ES$18,1,AN180)+AN184*(1-INDEX('Lease Cycles'!$EM$18:$ES$18,1,AN180)),AN183),AN183)</f>
        <v>0</v>
      </c>
      <c r="AO185" s="28">
        <f>IF(AO182=1,IF(INDEX('Lease Cycles'!$EF$18:$EL$18,1,AO180)=1,AO183*INDEX('Lease Cycles'!$EM$18:$ES$18,1,AO180)+AO184*(1-INDEX('Lease Cycles'!$EM$18:$ES$18,1,AO180)),AO183),AO183)</f>
        <v>0</v>
      </c>
      <c r="AP185" s="28">
        <f>IF(AP182=1,IF(INDEX('Lease Cycles'!$EF$18:$EL$18,1,AP180)=1,AP183*INDEX('Lease Cycles'!$EM$18:$ES$18,1,AP180)+AP184*(1-INDEX('Lease Cycles'!$EM$18:$ES$18,1,AP180)),AP183),AP183)</f>
        <v>0</v>
      </c>
      <c r="AQ185" s="28">
        <f>IF(AQ182=1,IF(INDEX('Lease Cycles'!$EF$18:$EL$18,1,AQ180)=1,AQ183*INDEX('Lease Cycles'!$EM$18:$ES$18,1,AQ180)+AQ184*(1-INDEX('Lease Cycles'!$EM$18:$ES$18,1,AQ180)),AQ183),AQ183)</f>
        <v>0</v>
      </c>
      <c r="AR185" s="28">
        <f>IF(AR182=1,IF(INDEX('Lease Cycles'!$EF$18:$EL$18,1,AR180)=1,AR183*INDEX('Lease Cycles'!$EM$18:$ES$18,1,AR180)+AR184*(1-INDEX('Lease Cycles'!$EM$18:$ES$18,1,AR180)),AR183),AR183)</f>
        <v>0</v>
      </c>
      <c r="AS185" s="28">
        <f>IF(AS182=1,IF(INDEX('Lease Cycles'!$EF$18:$EL$18,1,AS180)=1,AS183*INDEX('Lease Cycles'!$EM$18:$ES$18,1,AS180)+AS184*(1-INDEX('Lease Cycles'!$EM$18:$ES$18,1,AS180)),AS183),AS183)</f>
        <v>0</v>
      </c>
      <c r="AT185" s="28">
        <f>IF(AT182=1,IF(INDEX('Lease Cycles'!$EF$18:$EL$18,1,AT180)=1,AT183*INDEX('Lease Cycles'!$EM$18:$ES$18,1,AT180)+AT184*(1-INDEX('Lease Cycles'!$EM$18:$ES$18,1,AT180)),AT183),AT183)</f>
        <v>0</v>
      </c>
      <c r="AU185" s="28">
        <f>IF(AU182=1,IF(INDEX('Lease Cycles'!$EF$18:$EL$18,1,AU180)=1,AU183*INDEX('Lease Cycles'!$EM$18:$ES$18,1,AU180)+AU184*(1-INDEX('Lease Cycles'!$EM$18:$ES$18,1,AU180)),AU183),AU183)</f>
        <v>0</v>
      </c>
      <c r="AV185" s="28">
        <f>IF(AV182=1,IF(INDEX('Lease Cycles'!$EF$18:$EL$18,1,AV180)=1,AV183*INDEX('Lease Cycles'!$EM$18:$ES$18,1,AV180)+AV184*(1-INDEX('Lease Cycles'!$EM$18:$ES$18,1,AV180)),AV183),AV183)</f>
        <v>0</v>
      </c>
      <c r="AW185" s="28">
        <f>IF(AW182=1,IF(INDEX('Lease Cycles'!$EF$18:$EL$18,1,AW180)=1,AW183*INDEX('Lease Cycles'!$EM$18:$ES$18,1,AW180)+AW184*(1-INDEX('Lease Cycles'!$EM$18:$ES$18,1,AW180)),AW183),AW183)</f>
        <v>0</v>
      </c>
      <c r="AX185" s="28">
        <f>IF(AX182=1,IF(INDEX('Lease Cycles'!$EF$18:$EL$18,1,AX180)=1,AX183*INDEX('Lease Cycles'!$EM$18:$ES$18,1,AX180)+AX184*(1-INDEX('Lease Cycles'!$EM$18:$ES$18,1,AX180)),AX183),AX183)</f>
        <v>0</v>
      </c>
      <c r="AY185" s="28">
        <f>IF(AY182=1,IF(INDEX('Lease Cycles'!$EF$18:$EL$18,1,AY180)=1,AY183*INDEX('Lease Cycles'!$EM$18:$ES$18,1,AY180)+AY184*(1-INDEX('Lease Cycles'!$EM$18:$ES$18,1,AY180)),AY183),AY183)</f>
        <v>0</v>
      </c>
      <c r="AZ185" s="28">
        <f>IF(AZ182=1,IF(INDEX('Lease Cycles'!$EF$18:$EL$18,1,AZ180)=1,AZ183*INDEX('Lease Cycles'!$EM$18:$ES$18,1,AZ180)+AZ184*(1-INDEX('Lease Cycles'!$EM$18:$ES$18,1,AZ180)),AZ183),AZ183)</f>
        <v>0</v>
      </c>
      <c r="BA185" s="28">
        <f>IF(BA182=1,IF(INDEX('Lease Cycles'!$EF$18:$EL$18,1,BA180)=1,BA183*INDEX('Lease Cycles'!$EM$18:$ES$18,1,BA180)+BA184*(1-INDEX('Lease Cycles'!$EM$18:$ES$18,1,BA180)),BA183),BA183)</f>
        <v>0</v>
      </c>
      <c r="BB185" s="28">
        <f>IF(BB182=1,IF(INDEX('Lease Cycles'!$EF$18:$EL$18,1,BB180)=1,BB183*INDEX('Lease Cycles'!$EM$18:$ES$18,1,BB180)+BB184*(1-INDEX('Lease Cycles'!$EM$18:$ES$18,1,BB180)),BB183),BB183)</f>
        <v>0</v>
      </c>
      <c r="BC185" s="28">
        <f>IF(BC182=1,IF(INDEX('Lease Cycles'!$EF$18:$EL$18,1,BC180)=1,BC183*INDEX('Lease Cycles'!$EM$18:$ES$18,1,BC180)+BC184*(1-INDEX('Lease Cycles'!$EM$18:$ES$18,1,BC180)),BC183),BC183)</f>
        <v>0</v>
      </c>
      <c r="BD185" s="28">
        <f>IF(BD182=1,IF(INDEX('Lease Cycles'!$EF$18:$EL$18,1,BD180)=1,BD183*INDEX('Lease Cycles'!$EM$18:$ES$18,1,BD180)+BD184*(1-INDEX('Lease Cycles'!$EM$18:$ES$18,1,BD180)),BD183),BD183)</f>
        <v>0</v>
      </c>
      <c r="BE185" s="28">
        <f>IF(BE182=1,IF(INDEX('Lease Cycles'!$EF$18:$EL$18,1,BE180)=1,BE183*INDEX('Lease Cycles'!$EM$18:$ES$18,1,BE180)+BE184*(1-INDEX('Lease Cycles'!$EM$18:$ES$18,1,BE180)),BE183),BE183)</f>
        <v>0</v>
      </c>
      <c r="BF185" s="28">
        <f>IF(BF182=1,IF(INDEX('Lease Cycles'!$EF$18:$EL$18,1,BF180)=1,BF183*INDEX('Lease Cycles'!$EM$18:$ES$18,1,BF180)+BF184*(1-INDEX('Lease Cycles'!$EM$18:$ES$18,1,BF180)),BF183),BF183)</f>
        <v>0</v>
      </c>
      <c r="BG185" s="28">
        <f>IF(BG182=1,IF(INDEX('Lease Cycles'!$EF$18:$EL$18,1,BG180)=1,BG183*INDEX('Lease Cycles'!$EM$18:$ES$18,1,BG180)+BG184*(1-INDEX('Lease Cycles'!$EM$18:$ES$18,1,BG180)),BG183),BG183)</f>
        <v>0</v>
      </c>
      <c r="BH185" s="28">
        <f>IF(BH182=1,IF(INDEX('Lease Cycles'!$EF$18:$EL$18,1,BH180)=1,BH183*INDEX('Lease Cycles'!$EM$18:$ES$18,1,BH180)+BH184*(1-INDEX('Lease Cycles'!$EM$18:$ES$18,1,BH180)),BH183),BH183)</f>
        <v>0</v>
      </c>
      <c r="BI185" s="28">
        <f>IF(BI182=1,IF(INDEX('Lease Cycles'!$EF$18:$EL$18,1,BI180)=1,BI183*INDEX('Lease Cycles'!$EM$18:$ES$18,1,BI180)+BI184*(1-INDEX('Lease Cycles'!$EM$18:$ES$18,1,BI180)),BI183),BI183)</f>
        <v>0</v>
      </c>
      <c r="BJ185" s="28">
        <f>IF(BJ182=1,IF(INDEX('Lease Cycles'!$EF$18:$EL$18,1,BJ180)=1,BJ183*INDEX('Lease Cycles'!$EM$18:$ES$18,1,BJ180)+BJ184*(1-INDEX('Lease Cycles'!$EM$18:$ES$18,1,BJ180)),BJ183),BJ183)</f>
        <v>0</v>
      </c>
      <c r="BK185" s="28">
        <f>IF(BK182=1,IF(INDEX('Lease Cycles'!$EF$18:$EL$18,1,BK180)=1,BK183*INDEX('Lease Cycles'!$EM$18:$ES$18,1,BK180)+BK184*(1-INDEX('Lease Cycles'!$EM$18:$ES$18,1,BK180)),BK183),BK183)</f>
        <v>0</v>
      </c>
      <c r="BL185" s="28">
        <f>IF(BL182=1,IF(INDEX('Lease Cycles'!$EF$18:$EL$18,1,BL180)=1,BL183*INDEX('Lease Cycles'!$EM$18:$ES$18,1,BL180)+BL184*(1-INDEX('Lease Cycles'!$EM$18:$ES$18,1,BL180)),BL183),BL183)</f>
        <v>0</v>
      </c>
      <c r="BM185" s="28">
        <f>IF(BM182=1,IF(INDEX('Lease Cycles'!$EF$18:$EL$18,1,BM180)=1,BM183*INDEX('Lease Cycles'!$EM$18:$ES$18,1,BM180)+BM184*(1-INDEX('Lease Cycles'!$EM$18:$ES$18,1,BM180)),BM183),BM183)</f>
        <v>0</v>
      </c>
      <c r="BN185" s="28">
        <f>IF(BN182=1,IF(INDEX('Lease Cycles'!$EF$18:$EL$18,1,BN180)=1,BN183*INDEX('Lease Cycles'!$EM$18:$ES$18,1,BN180)+BN184*(1-INDEX('Lease Cycles'!$EM$18:$ES$18,1,BN180)),BN183),BN183)</f>
        <v>0</v>
      </c>
      <c r="BO185" s="28">
        <f>IF(BO182=1,IF(INDEX('Lease Cycles'!$EF$18:$EL$18,1,BO180)=1,BO183*INDEX('Lease Cycles'!$EM$18:$ES$18,1,BO180)+BO184*(1-INDEX('Lease Cycles'!$EM$18:$ES$18,1,BO180)),BO183),BO183)</f>
        <v>0</v>
      </c>
      <c r="BP185" s="28">
        <f>IF(BP182=1,IF(INDEX('Lease Cycles'!$EF$18:$EL$18,1,BP180)=1,BP183*INDEX('Lease Cycles'!$EM$18:$ES$18,1,BP180)+BP184*(1-INDEX('Lease Cycles'!$EM$18:$ES$18,1,BP180)),BP183),BP183)</f>
        <v>0</v>
      </c>
      <c r="BQ185" s="28">
        <f>IF(BQ182=1,IF(INDEX('Lease Cycles'!$EF$18:$EL$18,1,BQ180)=1,BQ183*INDEX('Lease Cycles'!$EM$18:$ES$18,1,BQ180)+BQ184*(1-INDEX('Lease Cycles'!$EM$18:$ES$18,1,BQ180)),BQ183),BQ183)</f>
        <v>0</v>
      </c>
      <c r="BR185" s="28">
        <f>IF(BR182=1,IF(INDEX('Lease Cycles'!$EF$18:$EL$18,1,BR180)=1,BR183*INDEX('Lease Cycles'!$EM$18:$ES$18,1,BR180)+BR184*(1-INDEX('Lease Cycles'!$EM$18:$ES$18,1,BR180)),BR183),BR183)</f>
        <v>0</v>
      </c>
      <c r="BS185" s="28">
        <f>IF(BS182=1,IF(INDEX('Lease Cycles'!$EF$18:$EL$18,1,BS180)=1,BS183*INDEX('Lease Cycles'!$EM$18:$ES$18,1,BS180)+BS184*(1-INDEX('Lease Cycles'!$EM$18:$ES$18,1,BS180)),BS183),BS183)</f>
        <v>0</v>
      </c>
      <c r="BT185" s="28">
        <f>IF(BT182=1,IF(INDEX('Lease Cycles'!$EF$18:$EL$18,1,BT180)=1,BT183*INDEX('Lease Cycles'!$EM$18:$ES$18,1,BT180)+BT184*(1-INDEX('Lease Cycles'!$EM$18:$ES$18,1,BT180)),BT183),BT183)</f>
        <v>0</v>
      </c>
      <c r="BU185" s="28">
        <f>IF(BU182=1,IF(INDEX('Lease Cycles'!$EF$18:$EL$18,1,BU180)=1,BU183*INDEX('Lease Cycles'!$EM$18:$ES$18,1,BU180)+BU184*(1-INDEX('Lease Cycles'!$EM$18:$ES$18,1,BU180)),BU183),BU183)</f>
        <v>0</v>
      </c>
      <c r="BV185" s="28">
        <f>IF(BV182=1,IF(INDEX('Lease Cycles'!$EF$18:$EL$18,1,BV180)=1,BV183*INDEX('Lease Cycles'!$EM$18:$ES$18,1,BV180)+BV184*(1-INDEX('Lease Cycles'!$EM$18:$ES$18,1,BV180)),BV183),BV183)</f>
        <v>0</v>
      </c>
      <c r="BW185" s="28">
        <f>IF(BW182=1,IF(INDEX('Lease Cycles'!$EF$18:$EL$18,1,BW180)=1,BW183*INDEX('Lease Cycles'!$EM$18:$ES$18,1,BW180)+BW184*(1-INDEX('Lease Cycles'!$EM$18:$ES$18,1,BW180)),BW183),BW183)</f>
        <v>0</v>
      </c>
      <c r="BX185" s="28">
        <f>IF(BX182=1,IF(INDEX('Lease Cycles'!$EF$18:$EL$18,1,BX180)=1,BX183*INDEX('Lease Cycles'!$EM$18:$ES$18,1,BX180)+BX184*(1-INDEX('Lease Cycles'!$EM$18:$ES$18,1,BX180)),BX183),BX183)</f>
        <v>0</v>
      </c>
      <c r="BY185" s="28">
        <f>IF(BY182=1,IF(INDEX('Lease Cycles'!$EF$18:$EL$18,1,BY180)=1,BY183*INDEX('Lease Cycles'!$EM$18:$ES$18,1,BY180)+BY184*(1-INDEX('Lease Cycles'!$EM$18:$ES$18,1,BY180)),BY183),BY183)</f>
        <v>0</v>
      </c>
      <c r="BZ185" s="28">
        <f>IF(BZ182=1,IF(INDEX('Lease Cycles'!$EF$18:$EL$18,1,BZ180)=1,BZ183*INDEX('Lease Cycles'!$EM$18:$ES$18,1,BZ180)+BZ184*(1-INDEX('Lease Cycles'!$EM$18:$ES$18,1,BZ180)),BZ183),BZ183)</f>
        <v>0</v>
      </c>
      <c r="CA185" s="28">
        <f>IF(CA182=1,IF(INDEX('Lease Cycles'!$EF$18:$EL$18,1,CA180)=1,CA183*INDEX('Lease Cycles'!$EM$18:$ES$18,1,CA180)+CA184*(1-INDEX('Lease Cycles'!$EM$18:$ES$18,1,CA180)),CA183),CA183)</f>
        <v>0</v>
      </c>
      <c r="CB185" s="28">
        <f>IF(CB182=1,IF(INDEX('Lease Cycles'!$EF$18:$EL$18,1,CB180)=1,CB183*INDEX('Lease Cycles'!$EM$18:$ES$18,1,CB180)+CB184*(1-INDEX('Lease Cycles'!$EM$18:$ES$18,1,CB180)),CB183),CB183)</f>
        <v>0</v>
      </c>
      <c r="CC185" s="28">
        <f>IF(CC182=1,IF(INDEX('Lease Cycles'!$EF$18:$EL$18,1,CC180)=1,CC183*INDEX('Lease Cycles'!$EM$18:$ES$18,1,CC180)+CC184*(1-INDEX('Lease Cycles'!$EM$18:$ES$18,1,CC180)),CC183),CC183)</f>
        <v>0</v>
      </c>
      <c r="CD185" s="28">
        <f>IF(CD182=1,IF(INDEX('Lease Cycles'!$EF$18:$EL$18,1,CD180)=1,CD183*INDEX('Lease Cycles'!$EM$18:$ES$18,1,CD180)+CD184*(1-INDEX('Lease Cycles'!$EM$18:$ES$18,1,CD180)),CD183),CD183)</f>
        <v>0</v>
      </c>
      <c r="CE185" s="28">
        <f>IF(CE182=1,IF(INDEX('Lease Cycles'!$EF$18:$EL$18,1,CE180)=1,CE183*INDEX('Lease Cycles'!$EM$18:$ES$18,1,CE180)+CE184*(1-INDEX('Lease Cycles'!$EM$18:$ES$18,1,CE180)),CE183),CE183)</f>
        <v>0</v>
      </c>
      <c r="CF185" s="28">
        <f>IF(CF182=1,IF(INDEX('Lease Cycles'!$EF$18:$EL$18,1,CF180)=1,CF183*INDEX('Lease Cycles'!$EM$18:$ES$18,1,CF180)+CF184*(1-INDEX('Lease Cycles'!$EM$18:$ES$18,1,CF180)),CF183),CF183)</f>
        <v>0</v>
      </c>
      <c r="CG185" s="28">
        <f>IF(CG182=1,IF(INDEX('Lease Cycles'!$EF$18:$EL$18,1,CG180)=1,CG183*INDEX('Lease Cycles'!$EM$18:$ES$18,1,CG180)+CG184*(1-INDEX('Lease Cycles'!$EM$18:$ES$18,1,CG180)),CG183),CG183)</f>
        <v>0</v>
      </c>
      <c r="CH185" s="28">
        <f>IF(CH182=1,IF(INDEX('Lease Cycles'!$EF$18:$EL$18,1,CH180)=1,CH183*INDEX('Lease Cycles'!$EM$18:$ES$18,1,CH180)+CH184*(1-INDEX('Lease Cycles'!$EM$18:$ES$18,1,CH180)),CH183),CH183)</f>
        <v>0</v>
      </c>
      <c r="CI185" s="28">
        <f>IF(CI182=1,IF(INDEX('Lease Cycles'!$EF$18:$EL$18,1,CI180)=1,CI183*INDEX('Lease Cycles'!$EM$18:$ES$18,1,CI180)+CI184*(1-INDEX('Lease Cycles'!$EM$18:$ES$18,1,CI180)),CI183),CI183)</f>
        <v>0</v>
      </c>
      <c r="CJ185" s="28">
        <f>IF(CJ182=1,IF(INDEX('Lease Cycles'!$EF$18:$EL$18,1,CJ180)=1,CJ183*INDEX('Lease Cycles'!$EM$18:$ES$18,1,CJ180)+CJ184*(1-INDEX('Lease Cycles'!$EM$18:$ES$18,1,CJ180)),CJ183),CJ183)</f>
        <v>0</v>
      </c>
      <c r="CK185" s="28">
        <f>IF(CK182=1,IF(INDEX('Lease Cycles'!$EF$18:$EL$18,1,CK180)=1,CK183*INDEX('Lease Cycles'!$EM$18:$ES$18,1,CK180)+CK184*(1-INDEX('Lease Cycles'!$EM$18:$ES$18,1,CK180)),CK183),CK183)</f>
        <v>0</v>
      </c>
      <c r="CL185" s="28">
        <f>IF(CL182=1,IF(INDEX('Lease Cycles'!$EF$18:$EL$18,1,CL180)=1,CL183*INDEX('Lease Cycles'!$EM$18:$ES$18,1,CL180)+CL184*(1-INDEX('Lease Cycles'!$EM$18:$ES$18,1,CL180)),CL183),CL183)</f>
        <v>0</v>
      </c>
      <c r="CM185" s="28">
        <f>IF(CM182=1,IF(INDEX('Lease Cycles'!$EF$18:$EL$18,1,CM180)=1,CM183*INDEX('Lease Cycles'!$EM$18:$ES$18,1,CM180)+CM184*(1-INDEX('Lease Cycles'!$EM$18:$ES$18,1,CM180)),CM183),CM183)</f>
        <v>0</v>
      </c>
      <c r="CN185" s="28">
        <f>IF(CN182=1,IF(INDEX('Lease Cycles'!$EF$18:$EL$18,1,CN180)=1,CN183*INDEX('Lease Cycles'!$EM$18:$ES$18,1,CN180)+CN184*(1-INDEX('Lease Cycles'!$EM$18:$ES$18,1,CN180)),CN183),CN183)</f>
        <v>0</v>
      </c>
      <c r="CO185" s="28">
        <f>IF(CO182=1,IF(INDEX('Lease Cycles'!$EF$18:$EL$18,1,CO180)=1,CO183*INDEX('Lease Cycles'!$EM$18:$ES$18,1,CO180)+CO184*(1-INDEX('Lease Cycles'!$EM$18:$ES$18,1,CO180)),CO183),CO183)</f>
        <v>0</v>
      </c>
      <c r="CP185" s="28">
        <f>IF(CP182=1,IF(INDEX('Lease Cycles'!$EF$18:$EL$18,1,CP180)=1,CP183*INDEX('Lease Cycles'!$EM$18:$ES$18,1,CP180)+CP184*(1-INDEX('Lease Cycles'!$EM$18:$ES$18,1,CP180)),CP183),CP183)</f>
        <v>0</v>
      </c>
      <c r="CQ185" s="28">
        <f>IF(CQ182=1,IF(INDEX('Lease Cycles'!$EF$18:$EL$18,1,CQ180)=1,CQ183*INDEX('Lease Cycles'!$EM$18:$ES$18,1,CQ180)+CQ184*(1-INDEX('Lease Cycles'!$EM$18:$ES$18,1,CQ180)),CQ183),CQ183)</f>
        <v>0</v>
      </c>
      <c r="CR185" s="28">
        <f>IF(CR182=1,IF(INDEX('Lease Cycles'!$EF$18:$EL$18,1,CR180)=1,CR183*INDEX('Lease Cycles'!$EM$18:$ES$18,1,CR180)+CR184*(1-INDEX('Lease Cycles'!$EM$18:$ES$18,1,CR180)),CR183),CR183)</f>
        <v>0</v>
      </c>
      <c r="CS185" s="28">
        <f>IF(CS182=1,IF(INDEX('Lease Cycles'!$EF$18:$EL$18,1,CS180)=1,CS183*INDEX('Lease Cycles'!$EM$18:$ES$18,1,CS180)+CS184*(1-INDEX('Lease Cycles'!$EM$18:$ES$18,1,CS180)),CS183),CS183)</f>
        <v>0</v>
      </c>
      <c r="CT185" s="28">
        <f>IF(CT182=1,IF(INDEX('Lease Cycles'!$EF$18:$EL$18,1,CT180)=1,CT183*INDEX('Lease Cycles'!$EM$18:$ES$18,1,CT180)+CT184*(1-INDEX('Lease Cycles'!$EM$18:$ES$18,1,CT180)),CT183),CT183)</f>
        <v>0</v>
      </c>
      <c r="CU185" s="28">
        <f>IF(CU182=1,IF(INDEX('Lease Cycles'!$EF$18:$EL$18,1,CU180)=1,CU183*INDEX('Lease Cycles'!$EM$18:$ES$18,1,CU180)+CU184*(1-INDEX('Lease Cycles'!$EM$18:$ES$18,1,CU180)),CU183),CU183)</f>
        <v>0</v>
      </c>
      <c r="CV185" s="28">
        <f>IF(CV182=1,IF(INDEX('Lease Cycles'!$EF$18:$EL$18,1,CV180)=1,CV183*INDEX('Lease Cycles'!$EM$18:$ES$18,1,CV180)+CV184*(1-INDEX('Lease Cycles'!$EM$18:$ES$18,1,CV180)),CV183),CV183)</f>
        <v>0</v>
      </c>
      <c r="CW185" s="28">
        <f>IF(CW182=1,IF(INDEX('Lease Cycles'!$EF$18:$EL$18,1,CW180)=1,CW183*INDEX('Lease Cycles'!$EM$18:$ES$18,1,CW180)+CW184*(1-INDEX('Lease Cycles'!$EM$18:$ES$18,1,CW180)),CW183),CW183)</f>
        <v>0</v>
      </c>
      <c r="CX185" s="28">
        <f>IF(CX182=1,IF(INDEX('Lease Cycles'!$EF$18:$EL$18,1,CX180)=1,CX183*INDEX('Lease Cycles'!$EM$18:$ES$18,1,CX180)+CX184*(1-INDEX('Lease Cycles'!$EM$18:$ES$18,1,CX180)),CX183),CX183)</f>
        <v>0</v>
      </c>
      <c r="CY185" s="28">
        <f>IF(CY182=1,IF(INDEX('Lease Cycles'!$EF$18:$EL$18,1,CY180)=1,CY183*INDEX('Lease Cycles'!$EM$18:$ES$18,1,CY180)+CY184*(1-INDEX('Lease Cycles'!$EM$18:$ES$18,1,CY180)),CY183),CY183)</f>
        <v>0</v>
      </c>
      <c r="CZ185" s="28">
        <f>IF(CZ182=1,IF(INDEX('Lease Cycles'!$EF$18:$EL$18,1,CZ180)=1,CZ183*INDEX('Lease Cycles'!$EM$18:$ES$18,1,CZ180)+CZ184*(1-INDEX('Lease Cycles'!$EM$18:$ES$18,1,CZ180)),CZ183),CZ183)</f>
        <v>0</v>
      </c>
      <c r="DA185" s="28">
        <f>IF(DA182=1,IF(INDEX('Lease Cycles'!$EF$18:$EL$18,1,DA180)=1,DA183*INDEX('Lease Cycles'!$EM$18:$ES$18,1,DA180)+DA184*(1-INDEX('Lease Cycles'!$EM$18:$ES$18,1,DA180)),DA183),DA183)</f>
        <v>0</v>
      </c>
      <c r="DB185" s="28">
        <f>IF(DB182=1,IF(INDEX('Lease Cycles'!$EF$18:$EL$18,1,DB180)=1,DB183*INDEX('Lease Cycles'!$EM$18:$ES$18,1,DB180)+DB184*(1-INDEX('Lease Cycles'!$EM$18:$ES$18,1,DB180)),DB183),DB183)</f>
        <v>0</v>
      </c>
      <c r="DC185" s="28">
        <f>IF(DC182=1,IF(INDEX('Lease Cycles'!$EF$18:$EL$18,1,DC180)=1,DC183*INDEX('Lease Cycles'!$EM$18:$ES$18,1,DC180)+DC184*(1-INDEX('Lease Cycles'!$EM$18:$ES$18,1,DC180)),DC183),DC183)</f>
        <v>0</v>
      </c>
      <c r="DD185" s="28">
        <f>IF(DD182=1,IF(INDEX('Lease Cycles'!$EF$18:$EL$18,1,DD180)=1,DD183*INDEX('Lease Cycles'!$EM$18:$ES$18,1,DD180)+DD184*(1-INDEX('Lease Cycles'!$EM$18:$ES$18,1,DD180)),DD183),DD183)</f>
        <v>0</v>
      </c>
      <c r="DE185" s="28">
        <f>IF(DE182=1,IF(INDEX('Lease Cycles'!$EF$18:$EL$18,1,DE180)=1,DE183*INDEX('Lease Cycles'!$EM$18:$ES$18,1,DE180)+DE184*(1-INDEX('Lease Cycles'!$EM$18:$ES$18,1,DE180)),DE183),DE183)</f>
        <v>0</v>
      </c>
      <c r="DF185" s="28">
        <f>IF(DF182=1,IF(INDEX('Lease Cycles'!$EF$18:$EL$18,1,DF180)=1,DF183*INDEX('Lease Cycles'!$EM$18:$ES$18,1,DF180)+DF184*(1-INDEX('Lease Cycles'!$EM$18:$ES$18,1,DF180)),DF183),DF183)</f>
        <v>0</v>
      </c>
      <c r="DG185" s="28">
        <f>IF(DG182=1,IF(INDEX('Lease Cycles'!$EF$18:$EL$18,1,DG180)=1,DG183*INDEX('Lease Cycles'!$EM$18:$ES$18,1,DG180)+DG184*(1-INDEX('Lease Cycles'!$EM$18:$ES$18,1,DG180)),DG183),DG183)</f>
        <v>0</v>
      </c>
      <c r="DH185" s="28">
        <f>IF(DH182=1,IF(INDEX('Lease Cycles'!$EF$18:$EL$18,1,DH180)=1,DH183*INDEX('Lease Cycles'!$EM$18:$ES$18,1,DH180)+DH184*(1-INDEX('Lease Cycles'!$EM$18:$ES$18,1,DH180)),DH183),DH183)</f>
        <v>0</v>
      </c>
      <c r="DI185" s="28">
        <f>IF(DI182=1,IF(INDEX('Lease Cycles'!$EF$18:$EL$18,1,DI180)=1,DI183*INDEX('Lease Cycles'!$EM$18:$ES$18,1,DI180)+DI184*(1-INDEX('Lease Cycles'!$EM$18:$ES$18,1,DI180)),DI183),DI183)</f>
        <v>0</v>
      </c>
      <c r="DJ185" s="28">
        <f>IF(DJ182=1,IF(INDEX('Lease Cycles'!$EF$18:$EL$18,1,DJ180)=1,DJ183*INDEX('Lease Cycles'!$EM$18:$ES$18,1,DJ180)+DJ184*(1-INDEX('Lease Cycles'!$EM$18:$ES$18,1,DJ180)),DJ183),DJ183)</f>
        <v>0</v>
      </c>
      <c r="DK185" s="28">
        <f>IF(DK182=1,IF(INDEX('Lease Cycles'!$EF$18:$EL$18,1,DK180)=1,DK183*INDEX('Lease Cycles'!$EM$18:$ES$18,1,DK180)+DK184*(1-INDEX('Lease Cycles'!$EM$18:$ES$18,1,DK180)),DK183),DK183)</f>
        <v>0</v>
      </c>
      <c r="DL185" s="28">
        <f>IF(DL182=1,IF(INDEX('Lease Cycles'!$EF$18:$EL$18,1,DL180)=1,DL183*INDEX('Lease Cycles'!$EM$18:$ES$18,1,DL180)+DL184*(1-INDEX('Lease Cycles'!$EM$18:$ES$18,1,DL180)),DL183),DL183)</f>
        <v>0</v>
      </c>
      <c r="DM185" s="28">
        <f>IF(DM182=1,IF(INDEX('Lease Cycles'!$EF$18:$EL$18,1,DM180)=1,DM183*INDEX('Lease Cycles'!$EM$18:$ES$18,1,DM180)+DM184*(1-INDEX('Lease Cycles'!$EM$18:$ES$18,1,DM180)),DM183),DM183)</f>
        <v>0</v>
      </c>
      <c r="DN185" s="28">
        <f>IF(DN182=1,IF(INDEX('Lease Cycles'!$EF$18:$EL$18,1,DN180)=1,DN183*INDEX('Lease Cycles'!$EM$18:$ES$18,1,DN180)+DN184*(1-INDEX('Lease Cycles'!$EM$18:$ES$18,1,DN180)),DN183),DN183)</f>
        <v>0</v>
      </c>
      <c r="DO185" s="28">
        <f>IF(DO182=1,IF(INDEX('Lease Cycles'!$EF$18:$EL$18,1,DO180)=1,DO183*INDEX('Lease Cycles'!$EM$18:$ES$18,1,DO180)+DO184*(1-INDEX('Lease Cycles'!$EM$18:$ES$18,1,DO180)),DO183),DO183)</f>
        <v>0</v>
      </c>
      <c r="DP185" s="28">
        <f>IF(DP182=1,IF(INDEX('Lease Cycles'!$EF$18:$EL$18,1,DP180)=1,DP183*INDEX('Lease Cycles'!$EM$18:$ES$18,1,DP180)+DP184*(1-INDEX('Lease Cycles'!$EM$18:$ES$18,1,DP180)),DP183),DP183)</f>
        <v>0</v>
      </c>
      <c r="DQ185" s="28">
        <f>IF(DQ182=1,IF(INDEX('Lease Cycles'!$EF$18:$EL$18,1,DQ180)=1,DQ183*INDEX('Lease Cycles'!$EM$18:$ES$18,1,DQ180)+DQ184*(1-INDEX('Lease Cycles'!$EM$18:$ES$18,1,DQ180)),DQ183),DQ183)</f>
        <v>0</v>
      </c>
      <c r="DR185" s="28">
        <f>IF(DR182=1,IF(INDEX('Lease Cycles'!$EF$18:$EL$18,1,DR180)=1,DR183*INDEX('Lease Cycles'!$EM$18:$ES$18,1,DR180)+DR184*(1-INDEX('Lease Cycles'!$EM$18:$ES$18,1,DR180)),DR183),DR183)</f>
        <v>0</v>
      </c>
      <c r="DS185" s="28">
        <f>IF(DS182=1,IF(INDEX('Lease Cycles'!$EF$18:$EL$18,1,DS180)=1,DS183*INDEX('Lease Cycles'!$EM$18:$ES$18,1,DS180)+DS184*(1-INDEX('Lease Cycles'!$EM$18:$ES$18,1,DS180)),DS183),DS183)</f>
        <v>0</v>
      </c>
      <c r="DT185" s="28">
        <f>IF(DT182=1,IF(INDEX('Lease Cycles'!$EF$18:$EL$18,1,DT180)=1,DT183*INDEX('Lease Cycles'!$EM$18:$ES$18,1,DT180)+DT184*(1-INDEX('Lease Cycles'!$EM$18:$ES$18,1,DT180)),DT183),DT183)</f>
        <v>0</v>
      </c>
      <c r="DU185" s="28">
        <f>IF(DU182=1,IF(INDEX('Lease Cycles'!$EF$18:$EL$18,1,DU180)=1,DU183*INDEX('Lease Cycles'!$EM$18:$ES$18,1,DU180)+DU184*(1-INDEX('Lease Cycles'!$EM$18:$ES$18,1,DU180)),DU183),DU183)</f>
        <v>0</v>
      </c>
      <c r="DV185" s="28">
        <f>IF(DV182=1,IF(INDEX('Lease Cycles'!$EF$18:$EL$18,1,DV180)=1,DV183*INDEX('Lease Cycles'!$EM$18:$ES$18,1,DV180)+DV184*(1-INDEX('Lease Cycles'!$EM$18:$ES$18,1,DV180)),DV183),DV183)</f>
        <v>0</v>
      </c>
      <c r="DW185" s="28">
        <f>IF(DW182=1,IF(INDEX('Lease Cycles'!$EF$18:$EL$18,1,DW180)=1,DW183*INDEX('Lease Cycles'!$EM$18:$ES$18,1,DW180)+DW184*(1-INDEX('Lease Cycles'!$EM$18:$ES$18,1,DW180)),DW183),DW183)</f>
        <v>0</v>
      </c>
      <c r="DX185" s="28">
        <f>IF(DX182=1,IF(INDEX('Lease Cycles'!$EF$18:$EL$18,1,DX180)=1,DX183*INDEX('Lease Cycles'!$EM$18:$ES$18,1,DX180)+DX184*(1-INDEX('Lease Cycles'!$EM$18:$ES$18,1,DX180)),DX183),DX183)</f>
        <v>0</v>
      </c>
      <c r="DY185" s="28">
        <f>IF(DY182=1,IF(INDEX('Lease Cycles'!$EF$18:$EL$18,1,DY180)=1,DY183*INDEX('Lease Cycles'!$EM$18:$ES$18,1,DY180)+DY184*(1-INDEX('Lease Cycles'!$EM$18:$ES$18,1,DY180)),DY183),DY183)</f>
        <v>0</v>
      </c>
      <c r="DZ185" s="28">
        <f>IF(DZ182=1,IF(INDEX('Lease Cycles'!$EF$18:$EL$18,1,DZ180)=1,DZ183*INDEX('Lease Cycles'!$EM$18:$ES$18,1,DZ180)+DZ184*(1-INDEX('Lease Cycles'!$EM$18:$ES$18,1,DZ180)),DZ183),DZ183)</f>
        <v>0</v>
      </c>
      <c r="EA185" s="28">
        <f>IF(EA182=1,IF(INDEX('Lease Cycles'!$EF$18:$EL$18,1,EA180)=1,EA183*INDEX('Lease Cycles'!$EM$18:$ES$18,1,EA180)+EA184*(1-INDEX('Lease Cycles'!$EM$18:$ES$18,1,EA180)),EA183),EA183)</f>
        <v>0</v>
      </c>
      <c r="EB185" s="28">
        <f>IF(EB182=1,IF(INDEX('Lease Cycles'!$EF$18:$EL$18,1,EB180)=1,EB183*INDEX('Lease Cycles'!$EM$18:$ES$18,1,EB180)+EB184*(1-INDEX('Lease Cycles'!$EM$18:$ES$18,1,EB180)),EB183),EB183)</f>
        <v>0</v>
      </c>
      <c r="EC185" s="28">
        <f>IF(EC182=1,IF(INDEX('Lease Cycles'!$EF$18:$EL$18,1,EC180)=1,EC183*INDEX('Lease Cycles'!$EM$18:$ES$18,1,EC180)+EC184*(1-INDEX('Lease Cycles'!$EM$18:$ES$18,1,EC180)),EC183),EC183)</f>
        <v>0</v>
      </c>
      <c r="ED185" s="28">
        <f>IF(ED182=1,IF(INDEX('Lease Cycles'!$EF$18:$EL$18,1,ED180)=1,ED183*INDEX('Lease Cycles'!$EM$18:$ES$18,1,ED180)+ED184*(1-INDEX('Lease Cycles'!$EM$18:$ES$18,1,ED180)),ED183),ED183)</f>
        <v>0</v>
      </c>
      <c r="EE185" s="28">
        <f>IF(EE182=1,IF(INDEX('Lease Cycles'!$EF$18:$EL$18,1,EE180)=1,EE183*INDEX('Lease Cycles'!$EM$18:$ES$18,1,EE180)+EE184*(1-INDEX('Lease Cycles'!$EM$18:$ES$18,1,EE180)),EE183),EE183)</f>
        <v>0</v>
      </c>
      <c r="EF185" s="28">
        <f>IF(EF182=1,IF(INDEX('Lease Cycles'!$EF$18:$EL$18,1,EF180)=1,EF183*INDEX('Lease Cycles'!$EM$18:$ES$18,1,EF180)+EF184*(1-INDEX('Lease Cycles'!$EM$18:$ES$18,1,EF180)),EF183),EF183)</f>
        <v>0</v>
      </c>
      <c r="EG185" s="28">
        <f>IF(EG182=1,IF(INDEX('Lease Cycles'!$EF$18:$EL$18,1,EG180)=1,EG183*INDEX('Lease Cycles'!$EM$18:$ES$18,1,EG180)+EG184*(1-INDEX('Lease Cycles'!$EM$18:$ES$18,1,EG180)),EG183),EG183)</f>
        <v>0</v>
      </c>
      <c r="EH185" s="28">
        <f>IF(EH182=1,IF(INDEX('Lease Cycles'!$EF$18:$EL$18,1,EH180)=1,EH183*INDEX('Lease Cycles'!$EM$18:$ES$18,1,EH180)+EH184*(1-INDEX('Lease Cycles'!$EM$18:$ES$18,1,EH180)),EH183),EH183)</f>
        <v>0</v>
      </c>
      <c r="EI185" s="28">
        <f>IF(EI182=1,IF(INDEX('Lease Cycles'!$EF$18:$EL$18,1,EI180)=1,EI183*INDEX('Lease Cycles'!$EM$18:$ES$18,1,EI180)+EI184*(1-INDEX('Lease Cycles'!$EM$18:$ES$18,1,EI180)),EI183),EI183)</f>
        <v>0</v>
      </c>
      <c r="EJ185" s="28">
        <f>IF(EJ182=1,IF(INDEX('Lease Cycles'!$EF$18:$EL$18,1,EJ180)=1,EJ183*INDEX('Lease Cycles'!$EM$18:$ES$18,1,EJ180)+EJ184*(1-INDEX('Lease Cycles'!$EM$18:$ES$18,1,EJ180)),EJ183),EJ183)</f>
        <v>0</v>
      </c>
      <c r="EK185" s="28">
        <f>IF(EK182=1,IF(INDEX('Lease Cycles'!$EF$18:$EL$18,1,EK180)=1,EK183*INDEX('Lease Cycles'!$EM$18:$ES$18,1,EK180)+EK184*(1-INDEX('Lease Cycles'!$EM$18:$ES$18,1,EK180)),EK183),EK183)</f>
        <v>0</v>
      </c>
      <c r="EL185" s="28">
        <f>IF(EL182=1,IF(INDEX('Lease Cycles'!$EF$18:$EL$18,1,EL180)=1,EL183*INDEX('Lease Cycles'!$EM$18:$ES$18,1,EL180)+EL184*(1-INDEX('Lease Cycles'!$EM$18:$ES$18,1,EL180)),EL183),EL183)</f>
        <v>0</v>
      </c>
      <c r="EM185" s="28">
        <f>IF(EM182=1,IF(INDEX('Lease Cycles'!$EF$18:$EL$18,1,EM180)=1,EM183*INDEX('Lease Cycles'!$EM$18:$ES$18,1,EM180)+EM184*(1-INDEX('Lease Cycles'!$EM$18:$ES$18,1,EM180)),EM183),EM183)</f>
        <v>0</v>
      </c>
      <c r="EN185" s="28">
        <f>IF(EN182=1,IF(INDEX('Lease Cycles'!$EF$18:$EL$18,1,EN180)=1,EN183*INDEX('Lease Cycles'!$EM$18:$ES$18,1,EN180)+EN184*(1-INDEX('Lease Cycles'!$EM$18:$ES$18,1,EN180)),EN183),EN183)</f>
        <v>0</v>
      </c>
      <c r="EO185" s="28">
        <f>IF(EO182=1,IF(INDEX('Lease Cycles'!$EF$18:$EL$18,1,EO180)=1,EO183*INDEX('Lease Cycles'!$EM$18:$ES$18,1,EO180)+EO184*(1-INDEX('Lease Cycles'!$EM$18:$ES$18,1,EO180)),EO183),EO183)</f>
        <v>0</v>
      </c>
      <c r="EP185" s="28">
        <f>IF(EP182=1,IF(INDEX('Lease Cycles'!$EF$18:$EL$18,1,EP180)=1,EP183*INDEX('Lease Cycles'!$EM$18:$ES$18,1,EP180)+EP184*(1-INDEX('Lease Cycles'!$EM$18:$ES$18,1,EP180)),EP183),EP183)</f>
        <v>0</v>
      </c>
      <c r="EQ185" s="28">
        <f>IF(EQ182=1,IF(INDEX('Lease Cycles'!$EF$18:$EL$18,1,EQ180)=1,EQ183*INDEX('Lease Cycles'!$EM$18:$ES$18,1,EQ180)+EQ184*(1-INDEX('Lease Cycles'!$EM$18:$ES$18,1,EQ180)),EQ183),EQ183)</f>
        <v>0</v>
      </c>
      <c r="ER185" s="28">
        <f>IF(ER182=1,IF(INDEX('Lease Cycles'!$EF$18:$EL$18,1,ER180)=1,ER183*INDEX('Lease Cycles'!$EM$18:$ES$18,1,ER180)+ER184*(1-INDEX('Lease Cycles'!$EM$18:$ES$18,1,ER180)),ER183),ER183)</f>
        <v>0</v>
      </c>
      <c r="ES185" s="28">
        <f>IF(ES182=1,IF(INDEX('Lease Cycles'!$EF$18:$EL$18,1,ES180)=1,ES183*INDEX('Lease Cycles'!$EM$18:$ES$18,1,ES180)+ES184*(1-INDEX('Lease Cycles'!$EM$18:$ES$18,1,ES180)),ES183),ES183)</f>
        <v>0</v>
      </c>
      <c r="ET185" s="28">
        <f>IF(ET182=1,IF(INDEX('Lease Cycles'!$EF$18:$EL$18,1,ET180)=1,ET183*INDEX('Lease Cycles'!$EM$18:$ES$18,1,ET180)+ET184*(1-INDEX('Lease Cycles'!$EM$18:$ES$18,1,ET180)),ET183),ET183)</f>
        <v>0</v>
      </c>
    </row>
    <row r="186">
      <c r="A186" s="103">
        <v>11</v>
      </c>
      <c r="B186" s="23" t="str">
        <f>IF('Lease Cycles'!$B$18="","(empty slot)",'Lease Cycles'!$B$18)</f>
        <v>(empty slot)</v>
      </c>
      <c r="C186" s="23" t="s">
        <v>682</v>
      </c>
      <c r="D186" s="104" t="s">
        <v>495</v>
      </c>
      <c r="E186" s="25">
        <f>'Lease Cycles'!$AL$18</f>
        <v>0</v>
      </c>
      <c r="G186" s="28">
        <f>SUM(S186:AD186)</f>
        <v>0</v>
      </c>
      <c r="H186" s="28">
        <f>SUM(AE186:AP186)</f>
        <v>0</v>
      </c>
      <c r="I186" s="28">
        <f>SUM(AQ186:BB186)</f>
        <v>0</v>
      </c>
      <c r="J186" s="28">
        <f>SUM(BC186:BN186)</f>
        <v>0</v>
      </c>
      <c r="K186" s="28">
        <f>SUM(BO186:BZ186)</f>
        <v>0</v>
      </c>
      <c r="L186" s="28">
        <f>SUM(CA186:CL186)</f>
        <v>0</v>
      </c>
      <c r="M186" s="28">
        <f>SUM(CM186:CX186)</f>
        <v>0</v>
      </c>
      <c r="N186" s="28">
        <f>SUM(CY186:DJ186)</f>
        <v>0</v>
      </c>
      <c r="O186" s="28">
        <f>SUM(DK186:DV186)</f>
        <v>0</v>
      </c>
      <c r="P186" s="28">
        <f>SUM(DW186:EH186)</f>
        <v>0</v>
      </c>
      <c r="Q186" s="28">
        <f>SUM(EI186:ET186)</f>
        <v>0</v>
      </c>
      <c r="S186" s="28">
        <f>IF(S182=1,IF(INDEX('Lease Cycles'!$EF$18:$EL$18,1,S180)=1,S183*INDEX('Lease Cycles'!$EM$18:$ES$18,1,S180)+S184*IF(S181&lt;INDEX('Lease Cycles'!$FA$18:$FG$18,1,S180),0,1-INDEX('Lease Cycles'!$EM$18:$ES$18,1,S180)),S183*IF(S181&lt;INDEX('Lease Cycles'!$DK$18:$DQ$18,1,S180),0,IF(S181=INDEX('Lease Cycles'!$DK$18:$DQ$18,1,S180),1-INDEX('Lease Cycles'!$DR$18:$DX$18,1,S180),1))),0)</f>
        <v>0</v>
      </c>
      <c r="T186" s="28">
        <f>IF(T182=1,IF(INDEX('Lease Cycles'!$EF$18:$EL$18,1,T180)=1,T183*INDEX('Lease Cycles'!$EM$18:$ES$18,1,T180)+T184*IF(T181&lt;INDEX('Lease Cycles'!$FA$18:$FG$18,1,T180),0,1-INDEX('Lease Cycles'!$EM$18:$ES$18,1,T180)),T183*IF(T181&lt;INDEX('Lease Cycles'!$DK$18:$DQ$18,1,T180),0,IF(T181=INDEX('Lease Cycles'!$DK$18:$DQ$18,1,T180),1-INDEX('Lease Cycles'!$DR$18:$DX$18,1,T180),1))),0)</f>
        <v>0</v>
      </c>
      <c r="U186" s="28">
        <f>IF(U182=1,IF(INDEX('Lease Cycles'!$EF$18:$EL$18,1,U180)=1,U183*INDEX('Lease Cycles'!$EM$18:$ES$18,1,U180)+U184*IF(U181&lt;INDEX('Lease Cycles'!$FA$18:$FG$18,1,U180),0,1-INDEX('Lease Cycles'!$EM$18:$ES$18,1,U180)),U183*IF(U181&lt;INDEX('Lease Cycles'!$DK$18:$DQ$18,1,U180),0,IF(U181=INDEX('Lease Cycles'!$DK$18:$DQ$18,1,U180),1-INDEX('Lease Cycles'!$DR$18:$DX$18,1,U180),1))),0)</f>
        <v>0</v>
      </c>
      <c r="V186" s="28">
        <f>IF(V182=1,IF(INDEX('Lease Cycles'!$EF$18:$EL$18,1,V180)=1,V183*INDEX('Lease Cycles'!$EM$18:$ES$18,1,V180)+V184*IF(V181&lt;INDEX('Lease Cycles'!$FA$18:$FG$18,1,V180),0,1-INDEX('Lease Cycles'!$EM$18:$ES$18,1,V180)),V183*IF(V181&lt;INDEX('Lease Cycles'!$DK$18:$DQ$18,1,V180),0,IF(V181=INDEX('Lease Cycles'!$DK$18:$DQ$18,1,V180),1-INDEX('Lease Cycles'!$DR$18:$DX$18,1,V180),1))),0)</f>
        <v>0</v>
      </c>
      <c r="W186" s="28">
        <f>IF(W182=1,IF(INDEX('Lease Cycles'!$EF$18:$EL$18,1,W180)=1,W183*INDEX('Lease Cycles'!$EM$18:$ES$18,1,W180)+W184*IF(W181&lt;INDEX('Lease Cycles'!$FA$18:$FG$18,1,W180),0,1-INDEX('Lease Cycles'!$EM$18:$ES$18,1,W180)),W183*IF(W181&lt;INDEX('Lease Cycles'!$DK$18:$DQ$18,1,W180),0,IF(W181=INDEX('Lease Cycles'!$DK$18:$DQ$18,1,W180),1-INDEX('Lease Cycles'!$DR$18:$DX$18,1,W180),1))),0)</f>
        <v>0</v>
      </c>
      <c r="X186" s="28">
        <f>IF(X182=1,IF(INDEX('Lease Cycles'!$EF$18:$EL$18,1,X180)=1,X183*INDEX('Lease Cycles'!$EM$18:$ES$18,1,X180)+X184*IF(X181&lt;INDEX('Lease Cycles'!$FA$18:$FG$18,1,X180),0,1-INDEX('Lease Cycles'!$EM$18:$ES$18,1,X180)),X183*IF(X181&lt;INDEX('Lease Cycles'!$DK$18:$DQ$18,1,X180),0,IF(X181=INDEX('Lease Cycles'!$DK$18:$DQ$18,1,X180),1-INDEX('Lease Cycles'!$DR$18:$DX$18,1,X180),1))),0)</f>
        <v>0</v>
      </c>
      <c r="Y186" s="28">
        <f>IF(Y182=1,IF(INDEX('Lease Cycles'!$EF$18:$EL$18,1,Y180)=1,Y183*INDEX('Lease Cycles'!$EM$18:$ES$18,1,Y180)+Y184*IF(Y181&lt;INDEX('Lease Cycles'!$FA$18:$FG$18,1,Y180),0,1-INDEX('Lease Cycles'!$EM$18:$ES$18,1,Y180)),Y183*IF(Y181&lt;INDEX('Lease Cycles'!$DK$18:$DQ$18,1,Y180),0,IF(Y181=INDEX('Lease Cycles'!$DK$18:$DQ$18,1,Y180),1-INDEX('Lease Cycles'!$DR$18:$DX$18,1,Y180),1))),0)</f>
        <v>0</v>
      </c>
      <c r="Z186" s="28">
        <f>IF(Z182=1,IF(INDEX('Lease Cycles'!$EF$18:$EL$18,1,Z180)=1,Z183*INDEX('Lease Cycles'!$EM$18:$ES$18,1,Z180)+Z184*IF(Z181&lt;INDEX('Lease Cycles'!$FA$18:$FG$18,1,Z180),0,1-INDEX('Lease Cycles'!$EM$18:$ES$18,1,Z180)),Z183*IF(Z181&lt;INDEX('Lease Cycles'!$DK$18:$DQ$18,1,Z180),0,IF(Z181=INDEX('Lease Cycles'!$DK$18:$DQ$18,1,Z180),1-INDEX('Lease Cycles'!$DR$18:$DX$18,1,Z180),1))),0)</f>
        <v>0</v>
      </c>
      <c r="AA186" s="28">
        <f>IF(AA182=1,IF(INDEX('Lease Cycles'!$EF$18:$EL$18,1,AA180)=1,AA183*INDEX('Lease Cycles'!$EM$18:$ES$18,1,AA180)+AA184*IF(AA181&lt;INDEX('Lease Cycles'!$FA$18:$FG$18,1,AA180),0,1-INDEX('Lease Cycles'!$EM$18:$ES$18,1,AA180)),AA183*IF(AA181&lt;INDEX('Lease Cycles'!$DK$18:$DQ$18,1,AA180),0,IF(AA181=INDEX('Lease Cycles'!$DK$18:$DQ$18,1,AA180),1-INDEX('Lease Cycles'!$DR$18:$DX$18,1,AA180),1))),0)</f>
        <v>0</v>
      </c>
      <c r="AB186" s="28">
        <f>IF(AB182=1,IF(INDEX('Lease Cycles'!$EF$18:$EL$18,1,AB180)=1,AB183*INDEX('Lease Cycles'!$EM$18:$ES$18,1,AB180)+AB184*IF(AB181&lt;INDEX('Lease Cycles'!$FA$18:$FG$18,1,AB180),0,1-INDEX('Lease Cycles'!$EM$18:$ES$18,1,AB180)),AB183*IF(AB181&lt;INDEX('Lease Cycles'!$DK$18:$DQ$18,1,AB180),0,IF(AB181=INDEX('Lease Cycles'!$DK$18:$DQ$18,1,AB180),1-INDEX('Lease Cycles'!$DR$18:$DX$18,1,AB180),1))),0)</f>
        <v>0</v>
      </c>
      <c r="AC186" s="28">
        <f>IF(AC182=1,IF(INDEX('Lease Cycles'!$EF$18:$EL$18,1,AC180)=1,AC183*INDEX('Lease Cycles'!$EM$18:$ES$18,1,AC180)+AC184*IF(AC181&lt;INDEX('Lease Cycles'!$FA$18:$FG$18,1,AC180),0,1-INDEX('Lease Cycles'!$EM$18:$ES$18,1,AC180)),AC183*IF(AC181&lt;INDEX('Lease Cycles'!$DK$18:$DQ$18,1,AC180),0,IF(AC181=INDEX('Lease Cycles'!$DK$18:$DQ$18,1,AC180),1-INDEX('Lease Cycles'!$DR$18:$DX$18,1,AC180),1))),0)</f>
        <v>0</v>
      </c>
      <c r="AD186" s="28">
        <f>IF(AD182=1,IF(INDEX('Lease Cycles'!$EF$18:$EL$18,1,AD180)=1,AD183*INDEX('Lease Cycles'!$EM$18:$ES$18,1,AD180)+AD184*IF(AD181&lt;INDEX('Lease Cycles'!$FA$18:$FG$18,1,AD180),0,1-INDEX('Lease Cycles'!$EM$18:$ES$18,1,AD180)),AD183*IF(AD181&lt;INDEX('Lease Cycles'!$DK$18:$DQ$18,1,AD180),0,IF(AD181=INDEX('Lease Cycles'!$DK$18:$DQ$18,1,AD180),1-INDEX('Lease Cycles'!$DR$18:$DX$18,1,AD180),1))),0)</f>
        <v>0</v>
      </c>
      <c r="AE186" s="28">
        <f>IF(AE182=1,IF(INDEX('Lease Cycles'!$EF$18:$EL$18,1,AE180)=1,AE183*INDEX('Lease Cycles'!$EM$18:$ES$18,1,AE180)+AE184*IF(AE181&lt;INDEX('Lease Cycles'!$FA$18:$FG$18,1,AE180),0,1-INDEX('Lease Cycles'!$EM$18:$ES$18,1,AE180)),AE183*IF(AE181&lt;INDEX('Lease Cycles'!$DK$18:$DQ$18,1,AE180),0,IF(AE181=INDEX('Lease Cycles'!$DK$18:$DQ$18,1,AE180),1-INDEX('Lease Cycles'!$DR$18:$DX$18,1,AE180),1))),0)</f>
        <v>0</v>
      </c>
      <c r="AF186" s="28">
        <f>IF(AF182=1,IF(INDEX('Lease Cycles'!$EF$18:$EL$18,1,AF180)=1,AF183*INDEX('Lease Cycles'!$EM$18:$ES$18,1,AF180)+AF184*IF(AF181&lt;INDEX('Lease Cycles'!$FA$18:$FG$18,1,AF180),0,1-INDEX('Lease Cycles'!$EM$18:$ES$18,1,AF180)),AF183*IF(AF181&lt;INDEX('Lease Cycles'!$DK$18:$DQ$18,1,AF180),0,IF(AF181=INDEX('Lease Cycles'!$DK$18:$DQ$18,1,AF180),1-INDEX('Lease Cycles'!$DR$18:$DX$18,1,AF180),1))),0)</f>
        <v>0</v>
      </c>
      <c r="AG186" s="28">
        <f>IF(AG182=1,IF(INDEX('Lease Cycles'!$EF$18:$EL$18,1,AG180)=1,AG183*INDEX('Lease Cycles'!$EM$18:$ES$18,1,AG180)+AG184*IF(AG181&lt;INDEX('Lease Cycles'!$FA$18:$FG$18,1,AG180),0,1-INDEX('Lease Cycles'!$EM$18:$ES$18,1,AG180)),AG183*IF(AG181&lt;INDEX('Lease Cycles'!$DK$18:$DQ$18,1,AG180),0,IF(AG181=INDEX('Lease Cycles'!$DK$18:$DQ$18,1,AG180),1-INDEX('Lease Cycles'!$DR$18:$DX$18,1,AG180),1))),0)</f>
        <v>0</v>
      </c>
      <c r="AH186" s="28">
        <f>IF(AH182=1,IF(INDEX('Lease Cycles'!$EF$18:$EL$18,1,AH180)=1,AH183*INDEX('Lease Cycles'!$EM$18:$ES$18,1,AH180)+AH184*IF(AH181&lt;INDEX('Lease Cycles'!$FA$18:$FG$18,1,AH180),0,1-INDEX('Lease Cycles'!$EM$18:$ES$18,1,AH180)),AH183*IF(AH181&lt;INDEX('Lease Cycles'!$DK$18:$DQ$18,1,AH180),0,IF(AH181=INDEX('Lease Cycles'!$DK$18:$DQ$18,1,AH180),1-INDEX('Lease Cycles'!$DR$18:$DX$18,1,AH180),1))),0)</f>
        <v>0</v>
      </c>
      <c r="AI186" s="28">
        <f>IF(AI182=1,IF(INDEX('Lease Cycles'!$EF$18:$EL$18,1,AI180)=1,AI183*INDEX('Lease Cycles'!$EM$18:$ES$18,1,AI180)+AI184*IF(AI181&lt;INDEX('Lease Cycles'!$FA$18:$FG$18,1,AI180),0,1-INDEX('Lease Cycles'!$EM$18:$ES$18,1,AI180)),AI183*IF(AI181&lt;INDEX('Lease Cycles'!$DK$18:$DQ$18,1,AI180),0,IF(AI181=INDEX('Lease Cycles'!$DK$18:$DQ$18,1,AI180),1-INDEX('Lease Cycles'!$DR$18:$DX$18,1,AI180),1))),0)</f>
        <v>0</v>
      </c>
      <c r="AJ186" s="28">
        <f>IF(AJ182=1,IF(INDEX('Lease Cycles'!$EF$18:$EL$18,1,AJ180)=1,AJ183*INDEX('Lease Cycles'!$EM$18:$ES$18,1,AJ180)+AJ184*IF(AJ181&lt;INDEX('Lease Cycles'!$FA$18:$FG$18,1,AJ180),0,1-INDEX('Lease Cycles'!$EM$18:$ES$18,1,AJ180)),AJ183*IF(AJ181&lt;INDEX('Lease Cycles'!$DK$18:$DQ$18,1,AJ180),0,IF(AJ181=INDEX('Lease Cycles'!$DK$18:$DQ$18,1,AJ180),1-INDEX('Lease Cycles'!$DR$18:$DX$18,1,AJ180),1))),0)</f>
        <v>0</v>
      </c>
      <c r="AK186" s="28">
        <f>IF(AK182=1,IF(INDEX('Lease Cycles'!$EF$18:$EL$18,1,AK180)=1,AK183*INDEX('Lease Cycles'!$EM$18:$ES$18,1,AK180)+AK184*IF(AK181&lt;INDEX('Lease Cycles'!$FA$18:$FG$18,1,AK180),0,1-INDEX('Lease Cycles'!$EM$18:$ES$18,1,AK180)),AK183*IF(AK181&lt;INDEX('Lease Cycles'!$DK$18:$DQ$18,1,AK180),0,IF(AK181=INDEX('Lease Cycles'!$DK$18:$DQ$18,1,AK180),1-INDEX('Lease Cycles'!$DR$18:$DX$18,1,AK180),1))),0)</f>
        <v>0</v>
      </c>
      <c r="AL186" s="28">
        <f>IF(AL182=1,IF(INDEX('Lease Cycles'!$EF$18:$EL$18,1,AL180)=1,AL183*INDEX('Lease Cycles'!$EM$18:$ES$18,1,AL180)+AL184*IF(AL181&lt;INDEX('Lease Cycles'!$FA$18:$FG$18,1,AL180),0,1-INDEX('Lease Cycles'!$EM$18:$ES$18,1,AL180)),AL183*IF(AL181&lt;INDEX('Lease Cycles'!$DK$18:$DQ$18,1,AL180),0,IF(AL181=INDEX('Lease Cycles'!$DK$18:$DQ$18,1,AL180),1-INDEX('Lease Cycles'!$DR$18:$DX$18,1,AL180),1))),0)</f>
        <v>0</v>
      </c>
      <c r="AM186" s="28">
        <f>IF(AM182=1,IF(INDEX('Lease Cycles'!$EF$18:$EL$18,1,AM180)=1,AM183*INDEX('Lease Cycles'!$EM$18:$ES$18,1,AM180)+AM184*IF(AM181&lt;INDEX('Lease Cycles'!$FA$18:$FG$18,1,AM180),0,1-INDEX('Lease Cycles'!$EM$18:$ES$18,1,AM180)),AM183*IF(AM181&lt;INDEX('Lease Cycles'!$DK$18:$DQ$18,1,AM180),0,IF(AM181=INDEX('Lease Cycles'!$DK$18:$DQ$18,1,AM180),1-INDEX('Lease Cycles'!$DR$18:$DX$18,1,AM180),1))),0)</f>
        <v>0</v>
      </c>
      <c r="AN186" s="28">
        <f>IF(AN182=1,IF(INDEX('Lease Cycles'!$EF$18:$EL$18,1,AN180)=1,AN183*INDEX('Lease Cycles'!$EM$18:$ES$18,1,AN180)+AN184*IF(AN181&lt;INDEX('Lease Cycles'!$FA$18:$FG$18,1,AN180),0,1-INDEX('Lease Cycles'!$EM$18:$ES$18,1,AN180)),AN183*IF(AN181&lt;INDEX('Lease Cycles'!$DK$18:$DQ$18,1,AN180),0,IF(AN181=INDEX('Lease Cycles'!$DK$18:$DQ$18,1,AN180),1-INDEX('Lease Cycles'!$DR$18:$DX$18,1,AN180),1))),0)</f>
        <v>0</v>
      </c>
      <c r="AO186" s="28">
        <f>IF(AO182=1,IF(INDEX('Lease Cycles'!$EF$18:$EL$18,1,AO180)=1,AO183*INDEX('Lease Cycles'!$EM$18:$ES$18,1,AO180)+AO184*IF(AO181&lt;INDEX('Lease Cycles'!$FA$18:$FG$18,1,AO180),0,1-INDEX('Lease Cycles'!$EM$18:$ES$18,1,AO180)),AO183*IF(AO181&lt;INDEX('Lease Cycles'!$DK$18:$DQ$18,1,AO180),0,IF(AO181=INDEX('Lease Cycles'!$DK$18:$DQ$18,1,AO180),1-INDEX('Lease Cycles'!$DR$18:$DX$18,1,AO180),1))),0)</f>
        <v>0</v>
      </c>
      <c r="AP186" s="28">
        <f>IF(AP182=1,IF(INDEX('Lease Cycles'!$EF$18:$EL$18,1,AP180)=1,AP183*INDEX('Lease Cycles'!$EM$18:$ES$18,1,AP180)+AP184*IF(AP181&lt;INDEX('Lease Cycles'!$FA$18:$FG$18,1,AP180),0,1-INDEX('Lease Cycles'!$EM$18:$ES$18,1,AP180)),AP183*IF(AP181&lt;INDEX('Lease Cycles'!$DK$18:$DQ$18,1,AP180),0,IF(AP181=INDEX('Lease Cycles'!$DK$18:$DQ$18,1,AP180),1-INDEX('Lease Cycles'!$DR$18:$DX$18,1,AP180),1))),0)</f>
        <v>0</v>
      </c>
      <c r="AQ186" s="28">
        <f>IF(AQ182=1,IF(INDEX('Lease Cycles'!$EF$18:$EL$18,1,AQ180)=1,AQ183*INDEX('Lease Cycles'!$EM$18:$ES$18,1,AQ180)+AQ184*IF(AQ181&lt;INDEX('Lease Cycles'!$FA$18:$FG$18,1,AQ180),0,1-INDEX('Lease Cycles'!$EM$18:$ES$18,1,AQ180)),AQ183*IF(AQ181&lt;INDEX('Lease Cycles'!$DK$18:$DQ$18,1,AQ180),0,IF(AQ181=INDEX('Lease Cycles'!$DK$18:$DQ$18,1,AQ180),1-INDEX('Lease Cycles'!$DR$18:$DX$18,1,AQ180),1))),0)</f>
        <v>0</v>
      </c>
      <c r="AR186" s="28">
        <f>IF(AR182=1,IF(INDEX('Lease Cycles'!$EF$18:$EL$18,1,AR180)=1,AR183*INDEX('Lease Cycles'!$EM$18:$ES$18,1,AR180)+AR184*IF(AR181&lt;INDEX('Lease Cycles'!$FA$18:$FG$18,1,AR180),0,1-INDEX('Lease Cycles'!$EM$18:$ES$18,1,AR180)),AR183*IF(AR181&lt;INDEX('Lease Cycles'!$DK$18:$DQ$18,1,AR180),0,IF(AR181=INDEX('Lease Cycles'!$DK$18:$DQ$18,1,AR180),1-INDEX('Lease Cycles'!$DR$18:$DX$18,1,AR180),1))),0)</f>
        <v>0</v>
      </c>
      <c r="AS186" s="28">
        <f>IF(AS182=1,IF(INDEX('Lease Cycles'!$EF$18:$EL$18,1,AS180)=1,AS183*INDEX('Lease Cycles'!$EM$18:$ES$18,1,AS180)+AS184*IF(AS181&lt;INDEX('Lease Cycles'!$FA$18:$FG$18,1,AS180),0,1-INDEX('Lease Cycles'!$EM$18:$ES$18,1,AS180)),AS183*IF(AS181&lt;INDEX('Lease Cycles'!$DK$18:$DQ$18,1,AS180),0,IF(AS181=INDEX('Lease Cycles'!$DK$18:$DQ$18,1,AS180),1-INDEX('Lease Cycles'!$DR$18:$DX$18,1,AS180),1))),0)</f>
        <v>0</v>
      </c>
      <c r="AT186" s="28">
        <f>IF(AT182=1,IF(INDEX('Lease Cycles'!$EF$18:$EL$18,1,AT180)=1,AT183*INDEX('Lease Cycles'!$EM$18:$ES$18,1,AT180)+AT184*IF(AT181&lt;INDEX('Lease Cycles'!$FA$18:$FG$18,1,AT180),0,1-INDEX('Lease Cycles'!$EM$18:$ES$18,1,AT180)),AT183*IF(AT181&lt;INDEX('Lease Cycles'!$DK$18:$DQ$18,1,AT180),0,IF(AT181=INDEX('Lease Cycles'!$DK$18:$DQ$18,1,AT180),1-INDEX('Lease Cycles'!$DR$18:$DX$18,1,AT180),1))),0)</f>
        <v>0</v>
      </c>
      <c r="AU186" s="28">
        <f>IF(AU182=1,IF(INDEX('Lease Cycles'!$EF$18:$EL$18,1,AU180)=1,AU183*INDEX('Lease Cycles'!$EM$18:$ES$18,1,AU180)+AU184*IF(AU181&lt;INDEX('Lease Cycles'!$FA$18:$FG$18,1,AU180),0,1-INDEX('Lease Cycles'!$EM$18:$ES$18,1,AU180)),AU183*IF(AU181&lt;INDEX('Lease Cycles'!$DK$18:$DQ$18,1,AU180),0,IF(AU181=INDEX('Lease Cycles'!$DK$18:$DQ$18,1,AU180),1-INDEX('Lease Cycles'!$DR$18:$DX$18,1,AU180),1))),0)</f>
        <v>0</v>
      </c>
      <c r="AV186" s="28">
        <f>IF(AV182=1,IF(INDEX('Lease Cycles'!$EF$18:$EL$18,1,AV180)=1,AV183*INDEX('Lease Cycles'!$EM$18:$ES$18,1,AV180)+AV184*IF(AV181&lt;INDEX('Lease Cycles'!$FA$18:$FG$18,1,AV180),0,1-INDEX('Lease Cycles'!$EM$18:$ES$18,1,AV180)),AV183*IF(AV181&lt;INDEX('Lease Cycles'!$DK$18:$DQ$18,1,AV180),0,IF(AV181=INDEX('Lease Cycles'!$DK$18:$DQ$18,1,AV180),1-INDEX('Lease Cycles'!$DR$18:$DX$18,1,AV180),1))),0)</f>
        <v>0</v>
      </c>
      <c r="AW186" s="28">
        <f>IF(AW182=1,IF(INDEX('Lease Cycles'!$EF$18:$EL$18,1,AW180)=1,AW183*INDEX('Lease Cycles'!$EM$18:$ES$18,1,AW180)+AW184*IF(AW181&lt;INDEX('Lease Cycles'!$FA$18:$FG$18,1,AW180),0,1-INDEX('Lease Cycles'!$EM$18:$ES$18,1,AW180)),AW183*IF(AW181&lt;INDEX('Lease Cycles'!$DK$18:$DQ$18,1,AW180),0,IF(AW181=INDEX('Lease Cycles'!$DK$18:$DQ$18,1,AW180),1-INDEX('Lease Cycles'!$DR$18:$DX$18,1,AW180),1))),0)</f>
        <v>0</v>
      </c>
      <c r="AX186" s="28">
        <f>IF(AX182=1,IF(INDEX('Lease Cycles'!$EF$18:$EL$18,1,AX180)=1,AX183*INDEX('Lease Cycles'!$EM$18:$ES$18,1,AX180)+AX184*IF(AX181&lt;INDEX('Lease Cycles'!$FA$18:$FG$18,1,AX180),0,1-INDEX('Lease Cycles'!$EM$18:$ES$18,1,AX180)),AX183*IF(AX181&lt;INDEX('Lease Cycles'!$DK$18:$DQ$18,1,AX180),0,IF(AX181=INDEX('Lease Cycles'!$DK$18:$DQ$18,1,AX180),1-INDEX('Lease Cycles'!$DR$18:$DX$18,1,AX180),1))),0)</f>
        <v>0</v>
      </c>
      <c r="AY186" s="28">
        <f>IF(AY182=1,IF(INDEX('Lease Cycles'!$EF$18:$EL$18,1,AY180)=1,AY183*INDEX('Lease Cycles'!$EM$18:$ES$18,1,AY180)+AY184*IF(AY181&lt;INDEX('Lease Cycles'!$FA$18:$FG$18,1,AY180),0,1-INDEX('Lease Cycles'!$EM$18:$ES$18,1,AY180)),AY183*IF(AY181&lt;INDEX('Lease Cycles'!$DK$18:$DQ$18,1,AY180),0,IF(AY181=INDEX('Lease Cycles'!$DK$18:$DQ$18,1,AY180),1-INDEX('Lease Cycles'!$DR$18:$DX$18,1,AY180),1))),0)</f>
        <v>0</v>
      </c>
      <c r="AZ186" s="28">
        <f>IF(AZ182=1,IF(INDEX('Lease Cycles'!$EF$18:$EL$18,1,AZ180)=1,AZ183*INDEX('Lease Cycles'!$EM$18:$ES$18,1,AZ180)+AZ184*IF(AZ181&lt;INDEX('Lease Cycles'!$FA$18:$FG$18,1,AZ180),0,1-INDEX('Lease Cycles'!$EM$18:$ES$18,1,AZ180)),AZ183*IF(AZ181&lt;INDEX('Lease Cycles'!$DK$18:$DQ$18,1,AZ180),0,IF(AZ181=INDEX('Lease Cycles'!$DK$18:$DQ$18,1,AZ180),1-INDEX('Lease Cycles'!$DR$18:$DX$18,1,AZ180),1))),0)</f>
        <v>0</v>
      </c>
      <c r="BA186" s="28">
        <f>IF(BA182=1,IF(INDEX('Lease Cycles'!$EF$18:$EL$18,1,BA180)=1,BA183*INDEX('Lease Cycles'!$EM$18:$ES$18,1,BA180)+BA184*IF(BA181&lt;INDEX('Lease Cycles'!$FA$18:$FG$18,1,BA180),0,1-INDEX('Lease Cycles'!$EM$18:$ES$18,1,BA180)),BA183*IF(BA181&lt;INDEX('Lease Cycles'!$DK$18:$DQ$18,1,BA180),0,IF(BA181=INDEX('Lease Cycles'!$DK$18:$DQ$18,1,BA180),1-INDEX('Lease Cycles'!$DR$18:$DX$18,1,BA180),1))),0)</f>
        <v>0</v>
      </c>
      <c r="BB186" s="28">
        <f>IF(BB182=1,IF(INDEX('Lease Cycles'!$EF$18:$EL$18,1,BB180)=1,BB183*INDEX('Lease Cycles'!$EM$18:$ES$18,1,BB180)+BB184*IF(BB181&lt;INDEX('Lease Cycles'!$FA$18:$FG$18,1,BB180),0,1-INDEX('Lease Cycles'!$EM$18:$ES$18,1,BB180)),BB183*IF(BB181&lt;INDEX('Lease Cycles'!$DK$18:$DQ$18,1,BB180),0,IF(BB181=INDEX('Lease Cycles'!$DK$18:$DQ$18,1,BB180),1-INDEX('Lease Cycles'!$DR$18:$DX$18,1,BB180),1))),0)</f>
        <v>0</v>
      </c>
      <c r="BC186" s="28">
        <f>IF(BC182=1,IF(INDEX('Lease Cycles'!$EF$18:$EL$18,1,BC180)=1,BC183*INDEX('Lease Cycles'!$EM$18:$ES$18,1,BC180)+BC184*IF(BC181&lt;INDEX('Lease Cycles'!$FA$18:$FG$18,1,BC180),0,1-INDEX('Lease Cycles'!$EM$18:$ES$18,1,BC180)),BC183*IF(BC181&lt;INDEX('Lease Cycles'!$DK$18:$DQ$18,1,BC180),0,IF(BC181=INDEX('Lease Cycles'!$DK$18:$DQ$18,1,BC180),1-INDEX('Lease Cycles'!$DR$18:$DX$18,1,BC180),1))),0)</f>
        <v>0</v>
      </c>
      <c r="BD186" s="28">
        <f>IF(BD182=1,IF(INDEX('Lease Cycles'!$EF$18:$EL$18,1,BD180)=1,BD183*INDEX('Lease Cycles'!$EM$18:$ES$18,1,BD180)+BD184*IF(BD181&lt;INDEX('Lease Cycles'!$FA$18:$FG$18,1,BD180),0,1-INDEX('Lease Cycles'!$EM$18:$ES$18,1,BD180)),BD183*IF(BD181&lt;INDEX('Lease Cycles'!$DK$18:$DQ$18,1,BD180),0,IF(BD181=INDEX('Lease Cycles'!$DK$18:$DQ$18,1,BD180),1-INDEX('Lease Cycles'!$DR$18:$DX$18,1,BD180),1))),0)</f>
        <v>0</v>
      </c>
      <c r="BE186" s="28">
        <f>IF(BE182=1,IF(INDEX('Lease Cycles'!$EF$18:$EL$18,1,BE180)=1,BE183*INDEX('Lease Cycles'!$EM$18:$ES$18,1,BE180)+BE184*IF(BE181&lt;INDEX('Lease Cycles'!$FA$18:$FG$18,1,BE180),0,1-INDEX('Lease Cycles'!$EM$18:$ES$18,1,BE180)),BE183*IF(BE181&lt;INDEX('Lease Cycles'!$DK$18:$DQ$18,1,BE180),0,IF(BE181=INDEX('Lease Cycles'!$DK$18:$DQ$18,1,BE180),1-INDEX('Lease Cycles'!$DR$18:$DX$18,1,BE180),1))),0)</f>
        <v>0</v>
      </c>
      <c r="BF186" s="28">
        <f>IF(BF182=1,IF(INDEX('Lease Cycles'!$EF$18:$EL$18,1,BF180)=1,BF183*INDEX('Lease Cycles'!$EM$18:$ES$18,1,BF180)+BF184*IF(BF181&lt;INDEX('Lease Cycles'!$FA$18:$FG$18,1,BF180),0,1-INDEX('Lease Cycles'!$EM$18:$ES$18,1,BF180)),BF183*IF(BF181&lt;INDEX('Lease Cycles'!$DK$18:$DQ$18,1,BF180),0,IF(BF181=INDEX('Lease Cycles'!$DK$18:$DQ$18,1,BF180),1-INDEX('Lease Cycles'!$DR$18:$DX$18,1,BF180),1))),0)</f>
        <v>0</v>
      </c>
      <c r="BG186" s="28">
        <f>IF(BG182=1,IF(INDEX('Lease Cycles'!$EF$18:$EL$18,1,BG180)=1,BG183*INDEX('Lease Cycles'!$EM$18:$ES$18,1,BG180)+BG184*IF(BG181&lt;INDEX('Lease Cycles'!$FA$18:$FG$18,1,BG180),0,1-INDEX('Lease Cycles'!$EM$18:$ES$18,1,BG180)),BG183*IF(BG181&lt;INDEX('Lease Cycles'!$DK$18:$DQ$18,1,BG180),0,IF(BG181=INDEX('Lease Cycles'!$DK$18:$DQ$18,1,BG180),1-INDEX('Lease Cycles'!$DR$18:$DX$18,1,BG180),1))),0)</f>
        <v>0</v>
      </c>
      <c r="BH186" s="28">
        <f>IF(BH182=1,IF(INDEX('Lease Cycles'!$EF$18:$EL$18,1,BH180)=1,BH183*INDEX('Lease Cycles'!$EM$18:$ES$18,1,BH180)+BH184*IF(BH181&lt;INDEX('Lease Cycles'!$FA$18:$FG$18,1,BH180),0,1-INDEX('Lease Cycles'!$EM$18:$ES$18,1,BH180)),BH183*IF(BH181&lt;INDEX('Lease Cycles'!$DK$18:$DQ$18,1,BH180),0,IF(BH181=INDEX('Lease Cycles'!$DK$18:$DQ$18,1,BH180),1-INDEX('Lease Cycles'!$DR$18:$DX$18,1,BH180),1))),0)</f>
        <v>0</v>
      </c>
      <c r="BI186" s="28">
        <f>IF(BI182=1,IF(INDEX('Lease Cycles'!$EF$18:$EL$18,1,BI180)=1,BI183*INDEX('Lease Cycles'!$EM$18:$ES$18,1,BI180)+BI184*IF(BI181&lt;INDEX('Lease Cycles'!$FA$18:$FG$18,1,BI180),0,1-INDEX('Lease Cycles'!$EM$18:$ES$18,1,BI180)),BI183*IF(BI181&lt;INDEX('Lease Cycles'!$DK$18:$DQ$18,1,BI180),0,IF(BI181=INDEX('Lease Cycles'!$DK$18:$DQ$18,1,BI180),1-INDEX('Lease Cycles'!$DR$18:$DX$18,1,BI180),1))),0)</f>
        <v>0</v>
      </c>
      <c r="BJ186" s="28">
        <f>IF(BJ182=1,IF(INDEX('Lease Cycles'!$EF$18:$EL$18,1,BJ180)=1,BJ183*INDEX('Lease Cycles'!$EM$18:$ES$18,1,BJ180)+BJ184*IF(BJ181&lt;INDEX('Lease Cycles'!$FA$18:$FG$18,1,BJ180),0,1-INDEX('Lease Cycles'!$EM$18:$ES$18,1,BJ180)),BJ183*IF(BJ181&lt;INDEX('Lease Cycles'!$DK$18:$DQ$18,1,BJ180),0,IF(BJ181=INDEX('Lease Cycles'!$DK$18:$DQ$18,1,BJ180),1-INDEX('Lease Cycles'!$DR$18:$DX$18,1,BJ180),1))),0)</f>
        <v>0</v>
      </c>
      <c r="BK186" s="28">
        <f>IF(BK182=1,IF(INDEX('Lease Cycles'!$EF$18:$EL$18,1,BK180)=1,BK183*INDEX('Lease Cycles'!$EM$18:$ES$18,1,BK180)+BK184*IF(BK181&lt;INDEX('Lease Cycles'!$FA$18:$FG$18,1,BK180),0,1-INDEX('Lease Cycles'!$EM$18:$ES$18,1,BK180)),BK183*IF(BK181&lt;INDEX('Lease Cycles'!$DK$18:$DQ$18,1,BK180),0,IF(BK181=INDEX('Lease Cycles'!$DK$18:$DQ$18,1,BK180),1-INDEX('Lease Cycles'!$DR$18:$DX$18,1,BK180),1))),0)</f>
        <v>0</v>
      </c>
      <c r="BL186" s="28">
        <f>IF(BL182=1,IF(INDEX('Lease Cycles'!$EF$18:$EL$18,1,BL180)=1,BL183*INDEX('Lease Cycles'!$EM$18:$ES$18,1,BL180)+BL184*IF(BL181&lt;INDEX('Lease Cycles'!$FA$18:$FG$18,1,BL180),0,1-INDEX('Lease Cycles'!$EM$18:$ES$18,1,BL180)),BL183*IF(BL181&lt;INDEX('Lease Cycles'!$DK$18:$DQ$18,1,BL180),0,IF(BL181=INDEX('Lease Cycles'!$DK$18:$DQ$18,1,BL180),1-INDEX('Lease Cycles'!$DR$18:$DX$18,1,BL180),1))),0)</f>
        <v>0</v>
      </c>
      <c r="BM186" s="28">
        <f>IF(BM182=1,IF(INDEX('Lease Cycles'!$EF$18:$EL$18,1,BM180)=1,BM183*INDEX('Lease Cycles'!$EM$18:$ES$18,1,BM180)+BM184*IF(BM181&lt;INDEX('Lease Cycles'!$FA$18:$FG$18,1,BM180),0,1-INDEX('Lease Cycles'!$EM$18:$ES$18,1,BM180)),BM183*IF(BM181&lt;INDEX('Lease Cycles'!$DK$18:$DQ$18,1,BM180),0,IF(BM181=INDEX('Lease Cycles'!$DK$18:$DQ$18,1,BM180),1-INDEX('Lease Cycles'!$DR$18:$DX$18,1,BM180),1))),0)</f>
        <v>0</v>
      </c>
      <c r="BN186" s="28">
        <f>IF(BN182=1,IF(INDEX('Lease Cycles'!$EF$18:$EL$18,1,BN180)=1,BN183*INDEX('Lease Cycles'!$EM$18:$ES$18,1,BN180)+BN184*IF(BN181&lt;INDEX('Lease Cycles'!$FA$18:$FG$18,1,BN180),0,1-INDEX('Lease Cycles'!$EM$18:$ES$18,1,BN180)),BN183*IF(BN181&lt;INDEX('Lease Cycles'!$DK$18:$DQ$18,1,BN180),0,IF(BN181=INDEX('Lease Cycles'!$DK$18:$DQ$18,1,BN180),1-INDEX('Lease Cycles'!$DR$18:$DX$18,1,BN180),1))),0)</f>
        <v>0</v>
      </c>
      <c r="BO186" s="28">
        <f>IF(BO182=1,IF(INDEX('Lease Cycles'!$EF$18:$EL$18,1,BO180)=1,BO183*INDEX('Lease Cycles'!$EM$18:$ES$18,1,BO180)+BO184*IF(BO181&lt;INDEX('Lease Cycles'!$FA$18:$FG$18,1,BO180),0,1-INDEX('Lease Cycles'!$EM$18:$ES$18,1,BO180)),BO183*IF(BO181&lt;INDEX('Lease Cycles'!$DK$18:$DQ$18,1,BO180),0,IF(BO181=INDEX('Lease Cycles'!$DK$18:$DQ$18,1,BO180),1-INDEX('Lease Cycles'!$DR$18:$DX$18,1,BO180),1))),0)</f>
        <v>0</v>
      </c>
      <c r="BP186" s="28">
        <f>IF(BP182=1,IF(INDEX('Lease Cycles'!$EF$18:$EL$18,1,BP180)=1,BP183*INDEX('Lease Cycles'!$EM$18:$ES$18,1,BP180)+BP184*IF(BP181&lt;INDEX('Lease Cycles'!$FA$18:$FG$18,1,BP180),0,1-INDEX('Lease Cycles'!$EM$18:$ES$18,1,BP180)),BP183*IF(BP181&lt;INDEX('Lease Cycles'!$DK$18:$DQ$18,1,BP180),0,IF(BP181=INDEX('Lease Cycles'!$DK$18:$DQ$18,1,BP180),1-INDEX('Lease Cycles'!$DR$18:$DX$18,1,BP180),1))),0)</f>
        <v>0</v>
      </c>
      <c r="BQ186" s="28">
        <f>IF(BQ182=1,IF(INDEX('Lease Cycles'!$EF$18:$EL$18,1,BQ180)=1,BQ183*INDEX('Lease Cycles'!$EM$18:$ES$18,1,BQ180)+BQ184*IF(BQ181&lt;INDEX('Lease Cycles'!$FA$18:$FG$18,1,BQ180),0,1-INDEX('Lease Cycles'!$EM$18:$ES$18,1,BQ180)),BQ183*IF(BQ181&lt;INDEX('Lease Cycles'!$DK$18:$DQ$18,1,BQ180),0,IF(BQ181=INDEX('Lease Cycles'!$DK$18:$DQ$18,1,BQ180),1-INDEX('Lease Cycles'!$DR$18:$DX$18,1,BQ180),1))),0)</f>
        <v>0</v>
      </c>
      <c r="BR186" s="28">
        <f>IF(BR182=1,IF(INDEX('Lease Cycles'!$EF$18:$EL$18,1,BR180)=1,BR183*INDEX('Lease Cycles'!$EM$18:$ES$18,1,BR180)+BR184*IF(BR181&lt;INDEX('Lease Cycles'!$FA$18:$FG$18,1,BR180),0,1-INDEX('Lease Cycles'!$EM$18:$ES$18,1,BR180)),BR183*IF(BR181&lt;INDEX('Lease Cycles'!$DK$18:$DQ$18,1,BR180),0,IF(BR181=INDEX('Lease Cycles'!$DK$18:$DQ$18,1,BR180),1-INDEX('Lease Cycles'!$DR$18:$DX$18,1,BR180),1))),0)</f>
        <v>0</v>
      </c>
      <c r="BS186" s="28">
        <f>IF(BS182=1,IF(INDEX('Lease Cycles'!$EF$18:$EL$18,1,BS180)=1,BS183*INDEX('Lease Cycles'!$EM$18:$ES$18,1,BS180)+BS184*IF(BS181&lt;INDEX('Lease Cycles'!$FA$18:$FG$18,1,BS180),0,1-INDEX('Lease Cycles'!$EM$18:$ES$18,1,BS180)),BS183*IF(BS181&lt;INDEX('Lease Cycles'!$DK$18:$DQ$18,1,BS180),0,IF(BS181=INDEX('Lease Cycles'!$DK$18:$DQ$18,1,BS180),1-INDEX('Lease Cycles'!$DR$18:$DX$18,1,BS180),1))),0)</f>
        <v>0</v>
      </c>
      <c r="BT186" s="28">
        <f>IF(BT182=1,IF(INDEX('Lease Cycles'!$EF$18:$EL$18,1,BT180)=1,BT183*INDEX('Lease Cycles'!$EM$18:$ES$18,1,BT180)+BT184*IF(BT181&lt;INDEX('Lease Cycles'!$FA$18:$FG$18,1,BT180),0,1-INDEX('Lease Cycles'!$EM$18:$ES$18,1,BT180)),BT183*IF(BT181&lt;INDEX('Lease Cycles'!$DK$18:$DQ$18,1,BT180),0,IF(BT181=INDEX('Lease Cycles'!$DK$18:$DQ$18,1,BT180),1-INDEX('Lease Cycles'!$DR$18:$DX$18,1,BT180),1))),0)</f>
        <v>0</v>
      </c>
      <c r="BU186" s="28">
        <f>IF(BU182=1,IF(INDEX('Lease Cycles'!$EF$18:$EL$18,1,BU180)=1,BU183*INDEX('Lease Cycles'!$EM$18:$ES$18,1,BU180)+BU184*IF(BU181&lt;INDEX('Lease Cycles'!$FA$18:$FG$18,1,BU180),0,1-INDEX('Lease Cycles'!$EM$18:$ES$18,1,BU180)),BU183*IF(BU181&lt;INDEX('Lease Cycles'!$DK$18:$DQ$18,1,BU180),0,IF(BU181=INDEX('Lease Cycles'!$DK$18:$DQ$18,1,BU180),1-INDEX('Lease Cycles'!$DR$18:$DX$18,1,BU180),1))),0)</f>
        <v>0</v>
      </c>
      <c r="BV186" s="28">
        <f>IF(BV182=1,IF(INDEX('Lease Cycles'!$EF$18:$EL$18,1,BV180)=1,BV183*INDEX('Lease Cycles'!$EM$18:$ES$18,1,BV180)+BV184*IF(BV181&lt;INDEX('Lease Cycles'!$FA$18:$FG$18,1,BV180),0,1-INDEX('Lease Cycles'!$EM$18:$ES$18,1,BV180)),BV183*IF(BV181&lt;INDEX('Lease Cycles'!$DK$18:$DQ$18,1,BV180),0,IF(BV181=INDEX('Lease Cycles'!$DK$18:$DQ$18,1,BV180),1-INDEX('Lease Cycles'!$DR$18:$DX$18,1,BV180),1))),0)</f>
        <v>0</v>
      </c>
      <c r="BW186" s="28">
        <f>IF(BW182=1,IF(INDEX('Lease Cycles'!$EF$18:$EL$18,1,BW180)=1,BW183*INDEX('Lease Cycles'!$EM$18:$ES$18,1,BW180)+BW184*IF(BW181&lt;INDEX('Lease Cycles'!$FA$18:$FG$18,1,BW180),0,1-INDEX('Lease Cycles'!$EM$18:$ES$18,1,BW180)),BW183*IF(BW181&lt;INDEX('Lease Cycles'!$DK$18:$DQ$18,1,BW180),0,IF(BW181=INDEX('Lease Cycles'!$DK$18:$DQ$18,1,BW180),1-INDEX('Lease Cycles'!$DR$18:$DX$18,1,BW180),1))),0)</f>
        <v>0</v>
      </c>
      <c r="BX186" s="28">
        <f>IF(BX182=1,IF(INDEX('Lease Cycles'!$EF$18:$EL$18,1,BX180)=1,BX183*INDEX('Lease Cycles'!$EM$18:$ES$18,1,BX180)+BX184*IF(BX181&lt;INDEX('Lease Cycles'!$FA$18:$FG$18,1,BX180),0,1-INDEX('Lease Cycles'!$EM$18:$ES$18,1,BX180)),BX183*IF(BX181&lt;INDEX('Lease Cycles'!$DK$18:$DQ$18,1,BX180),0,IF(BX181=INDEX('Lease Cycles'!$DK$18:$DQ$18,1,BX180),1-INDEX('Lease Cycles'!$DR$18:$DX$18,1,BX180),1))),0)</f>
        <v>0</v>
      </c>
      <c r="BY186" s="28">
        <f>IF(BY182=1,IF(INDEX('Lease Cycles'!$EF$18:$EL$18,1,BY180)=1,BY183*INDEX('Lease Cycles'!$EM$18:$ES$18,1,BY180)+BY184*IF(BY181&lt;INDEX('Lease Cycles'!$FA$18:$FG$18,1,BY180),0,1-INDEX('Lease Cycles'!$EM$18:$ES$18,1,BY180)),BY183*IF(BY181&lt;INDEX('Lease Cycles'!$DK$18:$DQ$18,1,BY180),0,IF(BY181=INDEX('Lease Cycles'!$DK$18:$DQ$18,1,BY180),1-INDEX('Lease Cycles'!$DR$18:$DX$18,1,BY180),1))),0)</f>
        <v>0</v>
      </c>
      <c r="BZ186" s="28">
        <f>IF(BZ182=1,IF(INDEX('Lease Cycles'!$EF$18:$EL$18,1,BZ180)=1,BZ183*INDEX('Lease Cycles'!$EM$18:$ES$18,1,BZ180)+BZ184*IF(BZ181&lt;INDEX('Lease Cycles'!$FA$18:$FG$18,1,BZ180),0,1-INDEX('Lease Cycles'!$EM$18:$ES$18,1,BZ180)),BZ183*IF(BZ181&lt;INDEX('Lease Cycles'!$DK$18:$DQ$18,1,BZ180),0,IF(BZ181=INDEX('Lease Cycles'!$DK$18:$DQ$18,1,BZ180),1-INDEX('Lease Cycles'!$DR$18:$DX$18,1,BZ180),1))),0)</f>
        <v>0</v>
      </c>
      <c r="CA186" s="28">
        <f>IF(CA182=1,IF(INDEX('Lease Cycles'!$EF$18:$EL$18,1,CA180)=1,CA183*INDEX('Lease Cycles'!$EM$18:$ES$18,1,CA180)+CA184*IF(CA181&lt;INDEX('Lease Cycles'!$FA$18:$FG$18,1,CA180),0,1-INDEX('Lease Cycles'!$EM$18:$ES$18,1,CA180)),CA183*IF(CA181&lt;INDEX('Lease Cycles'!$DK$18:$DQ$18,1,CA180),0,IF(CA181=INDEX('Lease Cycles'!$DK$18:$DQ$18,1,CA180),1-INDEX('Lease Cycles'!$DR$18:$DX$18,1,CA180),1))),0)</f>
        <v>0</v>
      </c>
      <c r="CB186" s="28">
        <f>IF(CB182=1,IF(INDEX('Lease Cycles'!$EF$18:$EL$18,1,CB180)=1,CB183*INDEX('Lease Cycles'!$EM$18:$ES$18,1,CB180)+CB184*IF(CB181&lt;INDEX('Lease Cycles'!$FA$18:$FG$18,1,CB180),0,1-INDEX('Lease Cycles'!$EM$18:$ES$18,1,CB180)),CB183*IF(CB181&lt;INDEX('Lease Cycles'!$DK$18:$DQ$18,1,CB180),0,IF(CB181=INDEX('Lease Cycles'!$DK$18:$DQ$18,1,CB180),1-INDEX('Lease Cycles'!$DR$18:$DX$18,1,CB180),1))),0)</f>
        <v>0</v>
      </c>
      <c r="CC186" s="28">
        <f>IF(CC182=1,IF(INDEX('Lease Cycles'!$EF$18:$EL$18,1,CC180)=1,CC183*INDEX('Lease Cycles'!$EM$18:$ES$18,1,CC180)+CC184*IF(CC181&lt;INDEX('Lease Cycles'!$FA$18:$FG$18,1,CC180),0,1-INDEX('Lease Cycles'!$EM$18:$ES$18,1,CC180)),CC183*IF(CC181&lt;INDEX('Lease Cycles'!$DK$18:$DQ$18,1,CC180),0,IF(CC181=INDEX('Lease Cycles'!$DK$18:$DQ$18,1,CC180),1-INDEX('Lease Cycles'!$DR$18:$DX$18,1,CC180),1))),0)</f>
        <v>0</v>
      </c>
      <c r="CD186" s="28">
        <f>IF(CD182=1,IF(INDEX('Lease Cycles'!$EF$18:$EL$18,1,CD180)=1,CD183*INDEX('Lease Cycles'!$EM$18:$ES$18,1,CD180)+CD184*IF(CD181&lt;INDEX('Lease Cycles'!$FA$18:$FG$18,1,CD180),0,1-INDEX('Lease Cycles'!$EM$18:$ES$18,1,CD180)),CD183*IF(CD181&lt;INDEX('Lease Cycles'!$DK$18:$DQ$18,1,CD180),0,IF(CD181=INDEX('Lease Cycles'!$DK$18:$DQ$18,1,CD180),1-INDEX('Lease Cycles'!$DR$18:$DX$18,1,CD180),1))),0)</f>
        <v>0</v>
      </c>
      <c r="CE186" s="28">
        <f>IF(CE182=1,IF(INDEX('Lease Cycles'!$EF$18:$EL$18,1,CE180)=1,CE183*INDEX('Lease Cycles'!$EM$18:$ES$18,1,CE180)+CE184*IF(CE181&lt;INDEX('Lease Cycles'!$FA$18:$FG$18,1,CE180),0,1-INDEX('Lease Cycles'!$EM$18:$ES$18,1,CE180)),CE183*IF(CE181&lt;INDEX('Lease Cycles'!$DK$18:$DQ$18,1,CE180),0,IF(CE181=INDEX('Lease Cycles'!$DK$18:$DQ$18,1,CE180),1-INDEX('Lease Cycles'!$DR$18:$DX$18,1,CE180),1))),0)</f>
        <v>0</v>
      </c>
      <c r="CF186" s="28">
        <f>IF(CF182=1,IF(INDEX('Lease Cycles'!$EF$18:$EL$18,1,CF180)=1,CF183*INDEX('Lease Cycles'!$EM$18:$ES$18,1,CF180)+CF184*IF(CF181&lt;INDEX('Lease Cycles'!$FA$18:$FG$18,1,CF180),0,1-INDEX('Lease Cycles'!$EM$18:$ES$18,1,CF180)),CF183*IF(CF181&lt;INDEX('Lease Cycles'!$DK$18:$DQ$18,1,CF180),0,IF(CF181=INDEX('Lease Cycles'!$DK$18:$DQ$18,1,CF180),1-INDEX('Lease Cycles'!$DR$18:$DX$18,1,CF180),1))),0)</f>
        <v>0</v>
      </c>
      <c r="CG186" s="28">
        <f>IF(CG182=1,IF(INDEX('Lease Cycles'!$EF$18:$EL$18,1,CG180)=1,CG183*INDEX('Lease Cycles'!$EM$18:$ES$18,1,CG180)+CG184*IF(CG181&lt;INDEX('Lease Cycles'!$FA$18:$FG$18,1,CG180),0,1-INDEX('Lease Cycles'!$EM$18:$ES$18,1,CG180)),CG183*IF(CG181&lt;INDEX('Lease Cycles'!$DK$18:$DQ$18,1,CG180),0,IF(CG181=INDEX('Lease Cycles'!$DK$18:$DQ$18,1,CG180),1-INDEX('Lease Cycles'!$DR$18:$DX$18,1,CG180),1))),0)</f>
        <v>0</v>
      </c>
      <c r="CH186" s="28">
        <f>IF(CH182=1,IF(INDEX('Lease Cycles'!$EF$18:$EL$18,1,CH180)=1,CH183*INDEX('Lease Cycles'!$EM$18:$ES$18,1,CH180)+CH184*IF(CH181&lt;INDEX('Lease Cycles'!$FA$18:$FG$18,1,CH180),0,1-INDEX('Lease Cycles'!$EM$18:$ES$18,1,CH180)),CH183*IF(CH181&lt;INDEX('Lease Cycles'!$DK$18:$DQ$18,1,CH180),0,IF(CH181=INDEX('Lease Cycles'!$DK$18:$DQ$18,1,CH180),1-INDEX('Lease Cycles'!$DR$18:$DX$18,1,CH180),1))),0)</f>
        <v>0</v>
      </c>
      <c r="CI186" s="28">
        <f>IF(CI182=1,IF(INDEX('Lease Cycles'!$EF$18:$EL$18,1,CI180)=1,CI183*INDEX('Lease Cycles'!$EM$18:$ES$18,1,CI180)+CI184*IF(CI181&lt;INDEX('Lease Cycles'!$FA$18:$FG$18,1,CI180),0,1-INDEX('Lease Cycles'!$EM$18:$ES$18,1,CI180)),CI183*IF(CI181&lt;INDEX('Lease Cycles'!$DK$18:$DQ$18,1,CI180),0,IF(CI181=INDEX('Lease Cycles'!$DK$18:$DQ$18,1,CI180),1-INDEX('Lease Cycles'!$DR$18:$DX$18,1,CI180),1))),0)</f>
        <v>0</v>
      </c>
      <c r="CJ186" s="28">
        <f>IF(CJ182=1,IF(INDEX('Lease Cycles'!$EF$18:$EL$18,1,CJ180)=1,CJ183*INDEX('Lease Cycles'!$EM$18:$ES$18,1,CJ180)+CJ184*IF(CJ181&lt;INDEX('Lease Cycles'!$FA$18:$FG$18,1,CJ180),0,1-INDEX('Lease Cycles'!$EM$18:$ES$18,1,CJ180)),CJ183*IF(CJ181&lt;INDEX('Lease Cycles'!$DK$18:$DQ$18,1,CJ180),0,IF(CJ181=INDEX('Lease Cycles'!$DK$18:$DQ$18,1,CJ180),1-INDEX('Lease Cycles'!$DR$18:$DX$18,1,CJ180),1))),0)</f>
        <v>0</v>
      </c>
      <c r="CK186" s="28">
        <f>IF(CK182=1,IF(INDEX('Lease Cycles'!$EF$18:$EL$18,1,CK180)=1,CK183*INDEX('Lease Cycles'!$EM$18:$ES$18,1,CK180)+CK184*IF(CK181&lt;INDEX('Lease Cycles'!$FA$18:$FG$18,1,CK180),0,1-INDEX('Lease Cycles'!$EM$18:$ES$18,1,CK180)),CK183*IF(CK181&lt;INDEX('Lease Cycles'!$DK$18:$DQ$18,1,CK180),0,IF(CK181=INDEX('Lease Cycles'!$DK$18:$DQ$18,1,CK180),1-INDEX('Lease Cycles'!$DR$18:$DX$18,1,CK180),1))),0)</f>
        <v>0</v>
      </c>
      <c r="CL186" s="28">
        <f>IF(CL182=1,IF(INDEX('Lease Cycles'!$EF$18:$EL$18,1,CL180)=1,CL183*INDEX('Lease Cycles'!$EM$18:$ES$18,1,CL180)+CL184*IF(CL181&lt;INDEX('Lease Cycles'!$FA$18:$FG$18,1,CL180),0,1-INDEX('Lease Cycles'!$EM$18:$ES$18,1,CL180)),CL183*IF(CL181&lt;INDEX('Lease Cycles'!$DK$18:$DQ$18,1,CL180),0,IF(CL181=INDEX('Lease Cycles'!$DK$18:$DQ$18,1,CL180),1-INDEX('Lease Cycles'!$DR$18:$DX$18,1,CL180),1))),0)</f>
        <v>0</v>
      </c>
      <c r="CM186" s="28">
        <f>IF(CM182=1,IF(INDEX('Lease Cycles'!$EF$18:$EL$18,1,CM180)=1,CM183*INDEX('Lease Cycles'!$EM$18:$ES$18,1,CM180)+CM184*IF(CM181&lt;INDEX('Lease Cycles'!$FA$18:$FG$18,1,CM180),0,1-INDEX('Lease Cycles'!$EM$18:$ES$18,1,CM180)),CM183*IF(CM181&lt;INDEX('Lease Cycles'!$DK$18:$DQ$18,1,CM180),0,IF(CM181=INDEX('Lease Cycles'!$DK$18:$DQ$18,1,CM180),1-INDEX('Lease Cycles'!$DR$18:$DX$18,1,CM180),1))),0)</f>
        <v>0</v>
      </c>
      <c r="CN186" s="28">
        <f>IF(CN182=1,IF(INDEX('Lease Cycles'!$EF$18:$EL$18,1,CN180)=1,CN183*INDEX('Lease Cycles'!$EM$18:$ES$18,1,CN180)+CN184*IF(CN181&lt;INDEX('Lease Cycles'!$FA$18:$FG$18,1,CN180),0,1-INDEX('Lease Cycles'!$EM$18:$ES$18,1,CN180)),CN183*IF(CN181&lt;INDEX('Lease Cycles'!$DK$18:$DQ$18,1,CN180),0,IF(CN181=INDEX('Lease Cycles'!$DK$18:$DQ$18,1,CN180),1-INDEX('Lease Cycles'!$DR$18:$DX$18,1,CN180),1))),0)</f>
        <v>0</v>
      </c>
      <c r="CO186" s="28">
        <f>IF(CO182=1,IF(INDEX('Lease Cycles'!$EF$18:$EL$18,1,CO180)=1,CO183*INDEX('Lease Cycles'!$EM$18:$ES$18,1,CO180)+CO184*IF(CO181&lt;INDEX('Lease Cycles'!$FA$18:$FG$18,1,CO180),0,1-INDEX('Lease Cycles'!$EM$18:$ES$18,1,CO180)),CO183*IF(CO181&lt;INDEX('Lease Cycles'!$DK$18:$DQ$18,1,CO180),0,IF(CO181=INDEX('Lease Cycles'!$DK$18:$DQ$18,1,CO180),1-INDEX('Lease Cycles'!$DR$18:$DX$18,1,CO180),1))),0)</f>
        <v>0</v>
      </c>
      <c r="CP186" s="28">
        <f>IF(CP182=1,IF(INDEX('Lease Cycles'!$EF$18:$EL$18,1,CP180)=1,CP183*INDEX('Lease Cycles'!$EM$18:$ES$18,1,CP180)+CP184*IF(CP181&lt;INDEX('Lease Cycles'!$FA$18:$FG$18,1,CP180),0,1-INDEX('Lease Cycles'!$EM$18:$ES$18,1,CP180)),CP183*IF(CP181&lt;INDEX('Lease Cycles'!$DK$18:$DQ$18,1,CP180),0,IF(CP181=INDEX('Lease Cycles'!$DK$18:$DQ$18,1,CP180),1-INDEX('Lease Cycles'!$DR$18:$DX$18,1,CP180),1))),0)</f>
        <v>0</v>
      </c>
      <c r="CQ186" s="28">
        <f>IF(CQ182=1,IF(INDEX('Lease Cycles'!$EF$18:$EL$18,1,CQ180)=1,CQ183*INDEX('Lease Cycles'!$EM$18:$ES$18,1,CQ180)+CQ184*IF(CQ181&lt;INDEX('Lease Cycles'!$FA$18:$FG$18,1,CQ180),0,1-INDEX('Lease Cycles'!$EM$18:$ES$18,1,CQ180)),CQ183*IF(CQ181&lt;INDEX('Lease Cycles'!$DK$18:$DQ$18,1,CQ180),0,IF(CQ181=INDEX('Lease Cycles'!$DK$18:$DQ$18,1,CQ180),1-INDEX('Lease Cycles'!$DR$18:$DX$18,1,CQ180),1))),0)</f>
        <v>0</v>
      </c>
      <c r="CR186" s="28">
        <f>IF(CR182=1,IF(INDEX('Lease Cycles'!$EF$18:$EL$18,1,CR180)=1,CR183*INDEX('Lease Cycles'!$EM$18:$ES$18,1,CR180)+CR184*IF(CR181&lt;INDEX('Lease Cycles'!$FA$18:$FG$18,1,CR180),0,1-INDEX('Lease Cycles'!$EM$18:$ES$18,1,CR180)),CR183*IF(CR181&lt;INDEX('Lease Cycles'!$DK$18:$DQ$18,1,CR180),0,IF(CR181=INDEX('Lease Cycles'!$DK$18:$DQ$18,1,CR180),1-INDEX('Lease Cycles'!$DR$18:$DX$18,1,CR180),1))),0)</f>
        <v>0</v>
      </c>
      <c r="CS186" s="28">
        <f>IF(CS182=1,IF(INDEX('Lease Cycles'!$EF$18:$EL$18,1,CS180)=1,CS183*INDEX('Lease Cycles'!$EM$18:$ES$18,1,CS180)+CS184*IF(CS181&lt;INDEX('Lease Cycles'!$FA$18:$FG$18,1,CS180),0,1-INDEX('Lease Cycles'!$EM$18:$ES$18,1,CS180)),CS183*IF(CS181&lt;INDEX('Lease Cycles'!$DK$18:$DQ$18,1,CS180),0,IF(CS181=INDEX('Lease Cycles'!$DK$18:$DQ$18,1,CS180),1-INDEX('Lease Cycles'!$DR$18:$DX$18,1,CS180),1))),0)</f>
        <v>0</v>
      </c>
      <c r="CT186" s="28">
        <f>IF(CT182=1,IF(INDEX('Lease Cycles'!$EF$18:$EL$18,1,CT180)=1,CT183*INDEX('Lease Cycles'!$EM$18:$ES$18,1,CT180)+CT184*IF(CT181&lt;INDEX('Lease Cycles'!$FA$18:$FG$18,1,CT180),0,1-INDEX('Lease Cycles'!$EM$18:$ES$18,1,CT180)),CT183*IF(CT181&lt;INDEX('Lease Cycles'!$DK$18:$DQ$18,1,CT180),0,IF(CT181=INDEX('Lease Cycles'!$DK$18:$DQ$18,1,CT180),1-INDEX('Lease Cycles'!$DR$18:$DX$18,1,CT180),1))),0)</f>
        <v>0</v>
      </c>
      <c r="CU186" s="28">
        <f>IF(CU182=1,IF(INDEX('Lease Cycles'!$EF$18:$EL$18,1,CU180)=1,CU183*INDEX('Lease Cycles'!$EM$18:$ES$18,1,CU180)+CU184*IF(CU181&lt;INDEX('Lease Cycles'!$FA$18:$FG$18,1,CU180),0,1-INDEX('Lease Cycles'!$EM$18:$ES$18,1,CU180)),CU183*IF(CU181&lt;INDEX('Lease Cycles'!$DK$18:$DQ$18,1,CU180),0,IF(CU181=INDEX('Lease Cycles'!$DK$18:$DQ$18,1,CU180),1-INDEX('Lease Cycles'!$DR$18:$DX$18,1,CU180),1))),0)</f>
        <v>0</v>
      </c>
      <c r="CV186" s="28">
        <f>IF(CV182=1,IF(INDEX('Lease Cycles'!$EF$18:$EL$18,1,CV180)=1,CV183*INDEX('Lease Cycles'!$EM$18:$ES$18,1,CV180)+CV184*IF(CV181&lt;INDEX('Lease Cycles'!$FA$18:$FG$18,1,CV180),0,1-INDEX('Lease Cycles'!$EM$18:$ES$18,1,CV180)),CV183*IF(CV181&lt;INDEX('Lease Cycles'!$DK$18:$DQ$18,1,CV180),0,IF(CV181=INDEX('Lease Cycles'!$DK$18:$DQ$18,1,CV180),1-INDEX('Lease Cycles'!$DR$18:$DX$18,1,CV180),1))),0)</f>
        <v>0</v>
      </c>
      <c r="CW186" s="28">
        <f>IF(CW182=1,IF(INDEX('Lease Cycles'!$EF$18:$EL$18,1,CW180)=1,CW183*INDEX('Lease Cycles'!$EM$18:$ES$18,1,CW180)+CW184*IF(CW181&lt;INDEX('Lease Cycles'!$FA$18:$FG$18,1,CW180),0,1-INDEX('Lease Cycles'!$EM$18:$ES$18,1,CW180)),CW183*IF(CW181&lt;INDEX('Lease Cycles'!$DK$18:$DQ$18,1,CW180),0,IF(CW181=INDEX('Lease Cycles'!$DK$18:$DQ$18,1,CW180),1-INDEX('Lease Cycles'!$DR$18:$DX$18,1,CW180),1))),0)</f>
        <v>0</v>
      </c>
      <c r="CX186" s="28">
        <f>IF(CX182=1,IF(INDEX('Lease Cycles'!$EF$18:$EL$18,1,CX180)=1,CX183*INDEX('Lease Cycles'!$EM$18:$ES$18,1,CX180)+CX184*IF(CX181&lt;INDEX('Lease Cycles'!$FA$18:$FG$18,1,CX180),0,1-INDEX('Lease Cycles'!$EM$18:$ES$18,1,CX180)),CX183*IF(CX181&lt;INDEX('Lease Cycles'!$DK$18:$DQ$18,1,CX180),0,IF(CX181=INDEX('Lease Cycles'!$DK$18:$DQ$18,1,CX180),1-INDEX('Lease Cycles'!$DR$18:$DX$18,1,CX180),1))),0)</f>
        <v>0</v>
      </c>
      <c r="CY186" s="28">
        <f>IF(CY182=1,IF(INDEX('Lease Cycles'!$EF$18:$EL$18,1,CY180)=1,CY183*INDEX('Lease Cycles'!$EM$18:$ES$18,1,CY180)+CY184*IF(CY181&lt;INDEX('Lease Cycles'!$FA$18:$FG$18,1,CY180),0,1-INDEX('Lease Cycles'!$EM$18:$ES$18,1,CY180)),CY183*IF(CY181&lt;INDEX('Lease Cycles'!$DK$18:$DQ$18,1,CY180),0,IF(CY181=INDEX('Lease Cycles'!$DK$18:$DQ$18,1,CY180),1-INDEX('Lease Cycles'!$DR$18:$DX$18,1,CY180),1))),0)</f>
        <v>0</v>
      </c>
      <c r="CZ186" s="28">
        <f>IF(CZ182=1,IF(INDEX('Lease Cycles'!$EF$18:$EL$18,1,CZ180)=1,CZ183*INDEX('Lease Cycles'!$EM$18:$ES$18,1,CZ180)+CZ184*IF(CZ181&lt;INDEX('Lease Cycles'!$FA$18:$FG$18,1,CZ180),0,1-INDEX('Lease Cycles'!$EM$18:$ES$18,1,CZ180)),CZ183*IF(CZ181&lt;INDEX('Lease Cycles'!$DK$18:$DQ$18,1,CZ180),0,IF(CZ181=INDEX('Lease Cycles'!$DK$18:$DQ$18,1,CZ180),1-INDEX('Lease Cycles'!$DR$18:$DX$18,1,CZ180),1))),0)</f>
        <v>0</v>
      </c>
      <c r="DA186" s="28">
        <f>IF(DA182=1,IF(INDEX('Lease Cycles'!$EF$18:$EL$18,1,DA180)=1,DA183*INDEX('Lease Cycles'!$EM$18:$ES$18,1,DA180)+DA184*IF(DA181&lt;INDEX('Lease Cycles'!$FA$18:$FG$18,1,DA180),0,1-INDEX('Lease Cycles'!$EM$18:$ES$18,1,DA180)),DA183*IF(DA181&lt;INDEX('Lease Cycles'!$DK$18:$DQ$18,1,DA180),0,IF(DA181=INDEX('Lease Cycles'!$DK$18:$DQ$18,1,DA180),1-INDEX('Lease Cycles'!$DR$18:$DX$18,1,DA180),1))),0)</f>
        <v>0</v>
      </c>
      <c r="DB186" s="28">
        <f>IF(DB182=1,IF(INDEX('Lease Cycles'!$EF$18:$EL$18,1,DB180)=1,DB183*INDEX('Lease Cycles'!$EM$18:$ES$18,1,DB180)+DB184*IF(DB181&lt;INDEX('Lease Cycles'!$FA$18:$FG$18,1,DB180),0,1-INDEX('Lease Cycles'!$EM$18:$ES$18,1,DB180)),DB183*IF(DB181&lt;INDEX('Lease Cycles'!$DK$18:$DQ$18,1,DB180),0,IF(DB181=INDEX('Lease Cycles'!$DK$18:$DQ$18,1,DB180),1-INDEX('Lease Cycles'!$DR$18:$DX$18,1,DB180),1))),0)</f>
        <v>0</v>
      </c>
      <c r="DC186" s="28">
        <f>IF(DC182=1,IF(INDEX('Lease Cycles'!$EF$18:$EL$18,1,DC180)=1,DC183*INDEX('Lease Cycles'!$EM$18:$ES$18,1,DC180)+DC184*IF(DC181&lt;INDEX('Lease Cycles'!$FA$18:$FG$18,1,DC180),0,1-INDEX('Lease Cycles'!$EM$18:$ES$18,1,DC180)),DC183*IF(DC181&lt;INDEX('Lease Cycles'!$DK$18:$DQ$18,1,DC180),0,IF(DC181=INDEX('Lease Cycles'!$DK$18:$DQ$18,1,DC180),1-INDEX('Lease Cycles'!$DR$18:$DX$18,1,DC180),1))),0)</f>
        <v>0</v>
      </c>
      <c r="DD186" s="28">
        <f>IF(DD182=1,IF(INDEX('Lease Cycles'!$EF$18:$EL$18,1,DD180)=1,DD183*INDEX('Lease Cycles'!$EM$18:$ES$18,1,DD180)+DD184*IF(DD181&lt;INDEX('Lease Cycles'!$FA$18:$FG$18,1,DD180),0,1-INDEX('Lease Cycles'!$EM$18:$ES$18,1,DD180)),DD183*IF(DD181&lt;INDEX('Lease Cycles'!$DK$18:$DQ$18,1,DD180),0,IF(DD181=INDEX('Lease Cycles'!$DK$18:$DQ$18,1,DD180),1-INDEX('Lease Cycles'!$DR$18:$DX$18,1,DD180),1))),0)</f>
        <v>0</v>
      </c>
      <c r="DE186" s="28">
        <f>IF(DE182=1,IF(INDEX('Lease Cycles'!$EF$18:$EL$18,1,DE180)=1,DE183*INDEX('Lease Cycles'!$EM$18:$ES$18,1,DE180)+DE184*IF(DE181&lt;INDEX('Lease Cycles'!$FA$18:$FG$18,1,DE180),0,1-INDEX('Lease Cycles'!$EM$18:$ES$18,1,DE180)),DE183*IF(DE181&lt;INDEX('Lease Cycles'!$DK$18:$DQ$18,1,DE180),0,IF(DE181=INDEX('Lease Cycles'!$DK$18:$DQ$18,1,DE180),1-INDEX('Lease Cycles'!$DR$18:$DX$18,1,DE180),1))),0)</f>
        <v>0</v>
      </c>
      <c r="DF186" s="28">
        <f>IF(DF182=1,IF(INDEX('Lease Cycles'!$EF$18:$EL$18,1,DF180)=1,DF183*INDEX('Lease Cycles'!$EM$18:$ES$18,1,DF180)+DF184*IF(DF181&lt;INDEX('Lease Cycles'!$FA$18:$FG$18,1,DF180),0,1-INDEX('Lease Cycles'!$EM$18:$ES$18,1,DF180)),DF183*IF(DF181&lt;INDEX('Lease Cycles'!$DK$18:$DQ$18,1,DF180),0,IF(DF181=INDEX('Lease Cycles'!$DK$18:$DQ$18,1,DF180),1-INDEX('Lease Cycles'!$DR$18:$DX$18,1,DF180),1))),0)</f>
        <v>0</v>
      </c>
      <c r="DG186" s="28">
        <f>IF(DG182=1,IF(INDEX('Lease Cycles'!$EF$18:$EL$18,1,DG180)=1,DG183*INDEX('Lease Cycles'!$EM$18:$ES$18,1,DG180)+DG184*IF(DG181&lt;INDEX('Lease Cycles'!$FA$18:$FG$18,1,DG180),0,1-INDEX('Lease Cycles'!$EM$18:$ES$18,1,DG180)),DG183*IF(DG181&lt;INDEX('Lease Cycles'!$DK$18:$DQ$18,1,DG180),0,IF(DG181=INDEX('Lease Cycles'!$DK$18:$DQ$18,1,DG180),1-INDEX('Lease Cycles'!$DR$18:$DX$18,1,DG180),1))),0)</f>
        <v>0</v>
      </c>
      <c r="DH186" s="28">
        <f>IF(DH182=1,IF(INDEX('Lease Cycles'!$EF$18:$EL$18,1,DH180)=1,DH183*INDEX('Lease Cycles'!$EM$18:$ES$18,1,DH180)+DH184*IF(DH181&lt;INDEX('Lease Cycles'!$FA$18:$FG$18,1,DH180),0,1-INDEX('Lease Cycles'!$EM$18:$ES$18,1,DH180)),DH183*IF(DH181&lt;INDEX('Lease Cycles'!$DK$18:$DQ$18,1,DH180),0,IF(DH181=INDEX('Lease Cycles'!$DK$18:$DQ$18,1,DH180),1-INDEX('Lease Cycles'!$DR$18:$DX$18,1,DH180),1))),0)</f>
        <v>0</v>
      </c>
      <c r="DI186" s="28">
        <f>IF(DI182=1,IF(INDEX('Lease Cycles'!$EF$18:$EL$18,1,DI180)=1,DI183*INDEX('Lease Cycles'!$EM$18:$ES$18,1,DI180)+DI184*IF(DI181&lt;INDEX('Lease Cycles'!$FA$18:$FG$18,1,DI180),0,1-INDEX('Lease Cycles'!$EM$18:$ES$18,1,DI180)),DI183*IF(DI181&lt;INDEX('Lease Cycles'!$DK$18:$DQ$18,1,DI180),0,IF(DI181=INDEX('Lease Cycles'!$DK$18:$DQ$18,1,DI180),1-INDEX('Lease Cycles'!$DR$18:$DX$18,1,DI180),1))),0)</f>
        <v>0</v>
      </c>
      <c r="DJ186" s="28">
        <f>IF(DJ182=1,IF(INDEX('Lease Cycles'!$EF$18:$EL$18,1,DJ180)=1,DJ183*INDEX('Lease Cycles'!$EM$18:$ES$18,1,DJ180)+DJ184*IF(DJ181&lt;INDEX('Lease Cycles'!$FA$18:$FG$18,1,DJ180),0,1-INDEX('Lease Cycles'!$EM$18:$ES$18,1,DJ180)),DJ183*IF(DJ181&lt;INDEX('Lease Cycles'!$DK$18:$DQ$18,1,DJ180),0,IF(DJ181=INDEX('Lease Cycles'!$DK$18:$DQ$18,1,DJ180),1-INDEX('Lease Cycles'!$DR$18:$DX$18,1,DJ180),1))),0)</f>
        <v>0</v>
      </c>
      <c r="DK186" s="28">
        <f>IF(DK182=1,IF(INDEX('Lease Cycles'!$EF$18:$EL$18,1,DK180)=1,DK183*INDEX('Lease Cycles'!$EM$18:$ES$18,1,DK180)+DK184*IF(DK181&lt;INDEX('Lease Cycles'!$FA$18:$FG$18,1,DK180),0,1-INDEX('Lease Cycles'!$EM$18:$ES$18,1,DK180)),DK183*IF(DK181&lt;INDEX('Lease Cycles'!$DK$18:$DQ$18,1,DK180),0,IF(DK181=INDEX('Lease Cycles'!$DK$18:$DQ$18,1,DK180),1-INDEX('Lease Cycles'!$DR$18:$DX$18,1,DK180),1))),0)</f>
        <v>0</v>
      </c>
      <c r="DL186" s="28">
        <f>IF(DL182=1,IF(INDEX('Lease Cycles'!$EF$18:$EL$18,1,DL180)=1,DL183*INDEX('Lease Cycles'!$EM$18:$ES$18,1,DL180)+DL184*IF(DL181&lt;INDEX('Lease Cycles'!$FA$18:$FG$18,1,DL180),0,1-INDEX('Lease Cycles'!$EM$18:$ES$18,1,DL180)),DL183*IF(DL181&lt;INDEX('Lease Cycles'!$DK$18:$DQ$18,1,DL180),0,IF(DL181=INDEX('Lease Cycles'!$DK$18:$DQ$18,1,DL180),1-INDEX('Lease Cycles'!$DR$18:$DX$18,1,DL180),1))),0)</f>
        <v>0</v>
      </c>
      <c r="DM186" s="28">
        <f>IF(DM182=1,IF(INDEX('Lease Cycles'!$EF$18:$EL$18,1,DM180)=1,DM183*INDEX('Lease Cycles'!$EM$18:$ES$18,1,DM180)+DM184*IF(DM181&lt;INDEX('Lease Cycles'!$FA$18:$FG$18,1,DM180),0,1-INDEX('Lease Cycles'!$EM$18:$ES$18,1,DM180)),DM183*IF(DM181&lt;INDEX('Lease Cycles'!$DK$18:$DQ$18,1,DM180),0,IF(DM181=INDEX('Lease Cycles'!$DK$18:$DQ$18,1,DM180),1-INDEX('Lease Cycles'!$DR$18:$DX$18,1,DM180),1))),0)</f>
        <v>0</v>
      </c>
      <c r="DN186" s="28">
        <f>IF(DN182=1,IF(INDEX('Lease Cycles'!$EF$18:$EL$18,1,DN180)=1,DN183*INDEX('Lease Cycles'!$EM$18:$ES$18,1,DN180)+DN184*IF(DN181&lt;INDEX('Lease Cycles'!$FA$18:$FG$18,1,DN180),0,1-INDEX('Lease Cycles'!$EM$18:$ES$18,1,DN180)),DN183*IF(DN181&lt;INDEX('Lease Cycles'!$DK$18:$DQ$18,1,DN180),0,IF(DN181=INDEX('Lease Cycles'!$DK$18:$DQ$18,1,DN180),1-INDEX('Lease Cycles'!$DR$18:$DX$18,1,DN180),1))),0)</f>
        <v>0</v>
      </c>
      <c r="DO186" s="28">
        <f>IF(DO182=1,IF(INDEX('Lease Cycles'!$EF$18:$EL$18,1,DO180)=1,DO183*INDEX('Lease Cycles'!$EM$18:$ES$18,1,DO180)+DO184*IF(DO181&lt;INDEX('Lease Cycles'!$FA$18:$FG$18,1,DO180),0,1-INDEX('Lease Cycles'!$EM$18:$ES$18,1,DO180)),DO183*IF(DO181&lt;INDEX('Lease Cycles'!$DK$18:$DQ$18,1,DO180),0,IF(DO181=INDEX('Lease Cycles'!$DK$18:$DQ$18,1,DO180),1-INDEX('Lease Cycles'!$DR$18:$DX$18,1,DO180),1))),0)</f>
        <v>0</v>
      </c>
      <c r="DP186" s="28">
        <f>IF(DP182=1,IF(INDEX('Lease Cycles'!$EF$18:$EL$18,1,DP180)=1,DP183*INDEX('Lease Cycles'!$EM$18:$ES$18,1,DP180)+DP184*IF(DP181&lt;INDEX('Lease Cycles'!$FA$18:$FG$18,1,DP180),0,1-INDEX('Lease Cycles'!$EM$18:$ES$18,1,DP180)),DP183*IF(DP181&lt;INDEX('Lease Cycles'!$DK$18:$DQ$18,1,DP180),0,IF(DP181=INDEX('Lease Cycles'!$DK$18:$DQ$18,1,DP180),1-INDEX('Lease Cycles'!$DR$18:$DX$18,1,DP180),1))),0)</f>
        <v>0</v>
      </c>
      <c r="DQ186" s="28">
        <f>IF(DQ182=1,IF(INDEX('Lease Cycles'!$EF$18:$EL$18,1,DQ180)=1,DQ183*INDEX('Lease Cycles'!$EM$18:$ES$18,1,DQ180)+DQ184*IF(DQ181&lt;INDEX('Lease Cycles'!$FA$18:$FG$18,1,DQ180),0,1-INDEX('Lease Cycles'!$EM$18:$ES$18,1,DQ180)),DQ183*IF(DQ181&lt;INDEX('Lease Cycles'!$DK$18:$DQ$18,1,DQ180),0,IF(DQ181=INDEX('Lease Cycles'!$DK$18:$DQ$18,1,DQ180),1-INDEX('Lease Cycles'!$DR$18:$DX$18,1,DQ180),1))),0)</f>
        <v>0</v>
      </c>
      <c r="DR186" s="28">
        <f>IF(DR182=1,IF(INDEX('Lease Cycles'!$EF$18:$EL$18,1,DR180)=1,DR183*INDEX('Lease Cycles'!$EM$18:$ES$18,1,DR180)+DR184*IF(DR181&lt;INDEX('Lease Cycles'!$FA$18:$FG$18,1,DR180),0,1-INDEX('Lease Cycles'!$EM$18:$ES$18,1,DR180)),DR183*IF(DR181&lt;INDEX('Lease Cycles'!$DK$18:$DQ$18,1,DR180),0,IF(DR181=INDEX('Lease Cycles'!$DK$18:$DQ$18,1,DR180),1-INDEX('Lease Cycles'!$DR$18:$DX$18,1,DR180),1))),0)</f>
        <v>0</v>
      </c>
      <c r="DS186" s="28">
        <f>IF(DS182=1,IF(INDEX('Lease Cycles'!$EF$18:$EL$18,1,DS180)=1,DS183*INDEX('Lease Cycles'!$EM$18:$ES$18,1,DS180)+DS184*IF(DS181&lt;INDEX('Lease Cycles'!$FA$18:$FG$18,1,DS180),0,1-INDEX('Lease Cycles'!$EM$18:$ES$18,1,DS180)),DS183*IF(DS181&lt;INDEX('Lease Cycles'!$DK$18:$DQ$18,1,DS180),0,IF(DS181=INDEX('Lease Cycles'!$DK$18:$DQ$18,1,DS180),1-INDEX('Lease Cycles'!$DR$18:$DX$18,1,DS180),1))),0)</f>
        <v>0</v>
      </c>
      <c r="DT186" s="28">
        <f>IF(DT182=1,IF(INDEX('Lease Cycles'!$EF$18:$EL$18,1,DT180)=1,DT183*INDEX('Lease Cycles'!$EM$18:$ES$18,1,DT180)+DT184*IF(DT181&lt;INDEX('Lease Cycles'!$FA$18:$FG$18,1,DT180),0,1-INDEX('Lease Cycles'!$EM$18:$ES$18,1,DT180)),DT183*IF(DT181&lt;INDEX('Lease Cycles'!$DK$18:$DQ$18,1,DT180),0,IF(DT181=INDEX('Lease Cycles'!$DK$18:$DQ$18,1,DT180),1-INDEX('Lease Cycles'!$DR$18:$DX$18,1,DT180),1))),0)</f>
        <v>0</v>
      </c>
      <c r="DU186" s="28">
        <f>IF(DU182=1,IF(INDEX('Lease Cycles'!$EF$18:$EL$18,1,DU180)=1,DU183*INDEX('Lease Cycles'!$EM$18:$ES$18,1,DU180)+DU184*IF(DU181&lt;INDEX('Lease Cycles'!$FA$18:$FG$18,1,DU180),0,1-INDEX('Lease Cycles'!$EM$18:$ES$18,1,DU180)),DU183*IF(DU181&lt;INDEX('Lease Cycles'!$DK$18:$DQ$18,1,DU180),0,IF(DU181=INDEX('Lease Cycles'!$DK$18:$DQ$18,1,DU180),1-INDEX('Lease Cycles'!$DR$18:$DX$18,1,DU180),1))),0)</f>
        <v>0</v>
      </c>
      <c r="DV186" s="28">
        <f>IF(DV182=1,IF(INDEX('Lease Cycles'!$EF$18:$EL$18,1,DV180)=1,DV183*INDEX('Lease Cycles'!$EM$18:$ES$18,1,DV180)+DV184*IF(DV181&lt;INDEX('Lease Cycles'!$FA$18:$FG$18,1,DV180),0,1-INDEX('Lease Cycles'!$EM$18:$ES$18,1,DV180)),DV183*IF(DV181&lt;INDEX('Lease Cycles'!$DK$18:$DQ$18,1,DV180),0,IF(DV181=INDEX('Lease Cycles'!$DK$18:$DQ$18,1,DV180),1-INDEX('Lease Cycles'!$DR$18:$DX$18,1,DV180),1))),0)</f>
        <v>0</v>
      </c>
      <c r="DW186" s="28">
        <f>IF(DW182=1,IF(INDEX('Lease Cycles'!$EF$18:$EL$18,1,DW180)=1,DW183*INDEX('Lease Cycles'!$EM$18:$ES$18,1,DW180)+DW184*IF(DW181&lt;INDEX('Lease Cycles'!$FA$18:$FG$18,1,DW180),0,1-INDEX('Lease Cycles'!$EM$18:$ES$18,1,DW180)),DW183*IF(DW181&lt;INDEX('Lease Cycles'!$DK$18:$DQ$18,1,DW180),0,IF(DW181=INDEX('Lease Cycles'!$DK$18:$DQ$18,1,DW180),1-INDEX('Lease Cycles'!$DR$18:$DX$18,1,DW180),1))),0)</f>
        <v>0</v>
      </c>
      <c r="DX186" s="28">
        <f>IF(DX182=1,IF(INDEX('Lease Cycles'!$EF$18:$EL$18,1,DX180)=1,DX183*INDEX('Lease Cycles'!$EM$18:$ES$18,1,DX180)+DX184*IF(DX181&lt;INDEX('Lease Cycles'!$FA$18:$FG$18,1,DX180),0,1-INDEX('Lease Cycles'!$EM$18:$ES$18,1,DX180)),DX183*IF(DX181&lt;INDEX('Lease Cycles'!$DK$18:$DQ$18,1,DX180),0,IF(DX181=INDEX('Lease Cycles'!$DK$18:$DQ$18,1,DX180),1-INDEX('Lease Cycles'!$DR$18:$DX$18,1,DX180),1))),0)</f>
        <v>0</v>
      </c>
      <c r="DY186" s="28">
        <f>IF(DY182=1,IF(INDEX('Lease Cycles'!$EF$18:$EL$18,1,DY180)=1,DY183*INDEX('Lease Cycles'!$EM$18:$ES$18,1,DY180)+DY184*IF(DY181&lt;INDEX('Lease Cycles'!$FA$18:$FG$18,1,DY180),0,1-INDEX('Lease Cycles'!$EM$18:$ES$18,1,DY180)),DY183*IF(DY181&lt;INDEX('Lease Cycles'!$DK$18:$DQ$18,1,DY180),0,IF(DY181=INDEX('Lease Cycles'!$DK$18:$DQ$18,1,DY180),1-INDEX('Lease Cycles'!$DR$18:$DX$18,1,DY180),1))),0)</f>
        <v>0</v>
      </c>
      <c r="DZ186" s="28">
        <f>IF(DZ182=1,IF(INDEX('Lease Cycles'!$EF$18:$EL$18,1,DZ180)=1,DZ183*INDEX('Lease Cycles'!$EM$18:$ES$18,1,DZ180)+DZ184*IF(DZ181&lt;INDEX('Lease Cycles'!$FA$18:$FG$18,1,DZ180),0,1-INDEX('Lease Cycles'!$EM$18:$ES$18,1,DZ180)),DZ183*IF(DZ181&lt;INDEX('Lease Cycles'!$DK$18:$DQ$18,1,DZ180),0,IF(DZ181=INDEX('Lease Cycles'!$DK$18:$DQ$18,1,DZ180),1-INDEX('Lease Cycles'!$DR$18:$DX$18,1,DZ180),1))),0)</f>
        <v>0</v>
      </c>
      <c r="EA186" s="28">
        <f>IF(EA182=1,IF(INDEX('Lease Cycles'!$EF$18:$EL$18,1,EA180)=1,EA183*INDEX('Lease Cycles'!$EM$18:$ES$18,1,EA180)+EA184*IF(EA181&lt;INDEX('Lease Cycles'!$FA$18:$FG$18,1,EA180),0,1-INDEX('Lease Cycles'!$EM$18:$ES$18,1,EA180)),EA183*IF(EA181&lt;INDEX('Lease Cycles'!$DK$18:$DQ$18,1,EA180),0,IF(EA181=INDEX('Lease Cycles'!$DK$18:$DQ$18,1,EA180),1-INDEX('Lease Cycles'!$DR$18:$DX$18,1,EA180),1))),0)</f>
        <v>0</v>
      </c>
      <c r="EB186" s="28">
        <f>IF(EB182=1,IF(INDEX('Lease Cycles'!$EF$18:$EL$18,1,EB180)=1,EB183*INDEX('Lease Cycles'!$EM$18:$ES$18,1,EB180)+EB184*IF(EB181&lt;INDEX('Lease Cycles'!$FA$18:$FG$18,1,EB180),0,1-INDEX('Lease Cycles'!$EM$18:$ES$18,1,EB180)),EB183*IF(EB181&lt;INDEX('Lease Cycles'!$DK$18:$DQ$18,1,EB180),0,IF(EB181=INDEX('Lease Cycles'!$DK$18:$DQ$18,1,EB180),1-INDEX('Lease Cycles'!$DR$18:$DX$18,1,EB180),1))),0)</f>
        <v>0</v>
      </c>
      <c r="EC186" s="28">
        <f>IF(EC182=1,IF(INDEX('Lease Cycles'!$EF$18:$EL$18,1,EC180)=1,EC183*INDEX('Lease Cycles'!$EM$18:$ES$18,1,EC180)+EC184*IF(EC181&lt;INDEX('Lease Cycles'!$FA$18:$FG$18,1,EC180),0,1-INDEX('Lease Cycles'!$EM$18:$ES$18,1,EC180)),EC183*IF(EC181&lt;INDEX('Lease Cycles'!$DK$18:$DQ$18,1,EC180),0,IF(EC181=INDEX('Lease Cycles'!$DK$18:$DQ$18,1,EC180),1-INDEX('Lease Cycles'!$DR$18:$DX$18,1,EC180),1))),0)</f>
        <v>0</v>
      </c>
      <c r="ED186" s="28">
        <f>IF(ED182=1,IF(INDEX('Lease Cycles'!$EF$18:$EL$18,1,ED180)=1,ED183*INDEX('Lease Cycles'!$EM$18:$ES$18,1,ED180)+ED184*IF(ED181&lt;INDEX('Lease Cycles'!$FA$18:$FG$18,1,ED180),0,1-INDEX('Lease Cycles'!$EM$18:$ES$18,1,ED180)),ED183*IF(ED181&lt;INDEX('Lease Cycles'!$DK$18:$DQ$18,1,ED180),0,IF(ED181=INDEX('Lease Cycles'!$DK$18:$DQ$18,1,ED180),1-INDEX('Lease Cycles'!$DR$18:$DX$18,1,ED180),1))),0)</f>
        <v>0</v>
      </c>
      <c r="EE186" s="28">
        <f>IF(EE182=1,IF(INDEX('Lease Cycles'!$EF$18:$EL$18,1,EE180)=1,EE183*INDEX('Lease Cycles'!$EM$18:$ES$18,1,EE180)+EE184*IF(EE181&lt;INDEX('Lease Cycles'!$FA$18:$FG$18,1,EE180),0,1-INDEX('Lease Cycles'!$EM$18:$ES$18,1,EE180)),EE183*IF(EE181&lt;INDEX('Lease Cycles'!$DK$18:$DQ$18,1,EE180),0,IF(EE181=INDEX('Lease Cycles'!$DK$18:$DQ$18,1,EE180),1-INDEX('Lease Cycles'!$DR$18:$DX$18,1,EE180),1))),0)</f>
        <v>0</v>
      </c>
      <c r="EF186" s="28">
        <f>IF(EF182=1,IF(INDEX('Lease Cycles'!$EF$18:$EL$18,1,EF180)=1,EF183*INDEX('Lease Cycles'!$EM$18:$ES$18,1,EF180)+EF184*IF(EF181&lt;INDEX('Lease Cycles'!$FA$18:$FG$18,1,EF180),0,1-INDEX('Lease Cycles'!$EM$18:$ES$18,1,EF180)),EF183*IF(EF181&lt;INDEX('Lease Cycles'!$DK$18:$DQ$18,1,EF180),0,IF(EF181=INDEX('Lease Cycles'!$DK$18:$DQ$18,1,EF180),1-INDEX('Lease Cycles'!$DR$18:$DX$18,1,EF180),1))),0)</f>
        <v>0</v>
      </c>
      <c r="EG186" s="28">
        <f>IF(EG182=1,IF(INDEX('Lease Cycles'!$EF$18:$EL$18,1,EG180)=1,EG183*INDEX('Lease Cycles'!$EM$18:$ES$18,1,EG180)+EG184*IF(EG181&lt;INDEX('Lease Cycles'!$FA$18:$FG$18,1,EG180),0,1-INDEX('Lease Cycles'!$EM$18:$ES$18,1,EG180)),EG183*IF(EG181&lt;INDEX('Lease Cycles'!$DK$18:$DQ$18,1,EG180),0,IF(EG181=INDEX('Lease Cycles'!$DK$18:$DQ$18,1,EG180),1-INDEX('Lease Cycles'!$DR$18:$DX$18,1,EG180),1))),0)</f>
        <v>0</v>
      </c>
      <c r="EH186" s="28">
        <f>IF(EH182=1,IF(INDEX('Lease Cycles'!$EF$18:$EL$18,1,EH180)=1,EH183*INDEX('Lease Cycles'!$EM$18:$ES$18,1,EH180)+EH184*IF(EH181&lt;INDEX('Lease Cycles'!$FA$18:$FG$18,1,EH180),0,1-INDEX('Lease Cycles'!$EM$18:$ES$18,1,EH180)),EH183*IF(EH181&lt;INDEX('Lease Cycles'!$DK$18:$DQ$18,1,EH180),0,IF(EH181=INDEX('Lease Cycles'!$DK$18:$DQ$18,1,EH180),1-INDEX('Lease Cycles'!$DR$18:$DX$18,1,EH180),1))),0)</f>
        <v>0</v>
      </c>
      <c r="EI186" s="28">
        <f>IF(EI182=1,IF(INDEX('Lease Cycles'!$EF$18:$EL$18,1,EI180)=1,EI183*INDEX('Lease Cycles'!$EM$18:$ES$18,1,EI180)+EI184*IF(EI181&lt;INDEX('Lease Cycles'!$FA$18:$FG$18,1,EI180),0,1-INDEX('Lease Cycles'!$EM$18:$ES$18,1,EI180)),EI183*IF(EI181&lt;INDEX('Lease Cycles'!$DK$18:$DQ$18,1,EI180),0,IF(EI181=INDEX('Lease Cycles'!$DK$18:$DQ$18,1,EI180),1-INDEX('Lease Cycles'!$DR$18:$DX$18,1,EI180),1))),0)</f>
        <v>0</v>
      </c>
      <c r="EJ186" s="28">
        <f>IF(EJ182=1,IF(INDEX('Lease Cycles'!$EF$18:$EL$18,1,EJ180)=1,EJ183*INDEX('Lease Cycles'!$EM$18:$ES$18,1,EJ180)+EJ184*IF(EJ181&lt;INDEX('Lease Cycles'!$FA$18:$FG$18,1,EJ180),0,1-INDEX('Lease Cycles'!$EM$18:$ES$18,1,EJ180)),EJ183*IF(EJ181&lt;INDEX('Lease Cycles'!$DK$18:$DQ$18,1,EJ180),0,IF(EJ181=INDEX('Lease Cycles'!$DK$18:$DQ$18,1,EJ180),1-INDEX('Lease Cycles'!$DR$18:$DX$18,1,EJ180),1))),0)</f>
        <v>0</v>
      </c>
      <c r="EK186" s="28">
        <f>IF(EK182=1,IF(INDEX('Lease Cycles'!$EF$18:$EL$18,1,EK180)=1,EK183*INDEX('Lease Cycles'!$EM$18:$ES$18,1,EK180)+EK184*IF(EK181&lt;INDEX('Lease Cycles'!$FA$18:$FG$18,1,EK180),0,1-INDEX('Lease Cycles'!$EM$18:$ES$18,1,EK180)),EK183*IF(EK181&lt;INDEX('Lease Cycles'!$DK$18:$DQ$18,1,EK180),0,IF(EK181=INDEX('Lease Cycles'!$DK$18:$DQ$18,1,EK180),1-INDEX('Lease Cycles'!$DR$18:$DX$18,1,EK180),1))),0)</f>
        <v>0</v>
      </c>
      <c r="EL186" s="28">
        <f>IF(EL182=1,IF(INDEX('Lease Cycles'!$EF$18:$EL$18,1,EL180)=1,EL183*INDEX('Lease Cycles'!$EM$18:$ES$18,1,EL180)+EL184*IF(EL181&lt;INDEX('Lease Cycles'!$FA$18:$FG$18,1,EL180),0,1-INDEX('Lease Cycles'!$EM$18:$ES$18,1,EL180)),EL183*IF(EL181&lt;INDEX('Lease Cycles'!$DK$18:$DQ$18,1,EL180),0,IF(EL181=INDEX('Lease Cycles'!$DK$18:$DQ$18,1,EL180),1-INDEX('Lease Cycles'!$DR$18:$DX$18,1,EL180),1))),0)</f>
        <v>0</v>
      </c>
      <c r="EM186" s="28">
        <f>IF(EM182=1,IF(INDEX('Lease Cycles'!$EF$18:$EL$18,1,EM180)=1,EM183*INDEX('Lease Cycles'!$EM$18:$ES$18,1,EM180)+EM184*IF(EM181&lt;INDEX('Lease Cycles'!$FA$18:$FG$18,1,EM180),0,1-INDEX('Lease Cycles'!$EM$18:$ES$18,1,EM180)),EM183*IF(EM181&lt;INDEX('Lease Cycles'!$DK$18:$DQ$18,1,EM180),0,IF(EM181=INDEX('Lease Cycles'!$DK$18:$DQ$18,1,EM180),1-INDEX('Lease Cycles'!$DR$18:$DX$18,1,EM180),1))),0)</f>
        <v>0</v>
      </c>
      <c r="EN186" s="28">
        <f>IF(EN182=1,IF(INDEX('Lease Cycles'!$EF$18:$EL$18,1,EN180)=1,EN183*INDEX('Lease Cycles'!$EM$18:$ES$18,1,EN180)+EN184*IF(EN181&lt;INDEX('Lease Cycles'!$FA$18:$FG$18,1,EN180),0,1-INDEX('Lease Cycles'!$EM$18:$ES$18,1,EN180)),EN183*IF(EN181&lt;INDEX('Lease Cycles'!$DK$18:$DQ$18,1,EN180),0,IF(EN181=INDEX('Lease Cycles'!$DK$18:$DQ$18,1,EN180),1-INDEX('Lease Cycles'!$DR$18:$DX$18,1,EN180),1))),0)</f>
        <v>0</v>
      </c>
      <c r="EO186" s="28">
        <f>IF(EO182=1,IF(INDEX('Lease Cycles'!$EF$18:$EL$18,1,EO180)=1,EO183*INDEX('Lease Cycles'!$EM$18:$ES$18,1,EO180)+EO184*IF(EO181&lt;INDEX('Lease Cycles'!$FA$18:$FG$18,1,EO180),0,1-INDEX('Lease Cycles'!$EM$18:$ES$18,1,EO180)),EO183*IF(EO181&lt;INDEX('Lease Cycles'!$DK$18:$DQ$18,1,EO180),0,IF(EO181=INDEX('Lease Cycles'!$DK$18:$DQ$18,1,EO180),1-INDEX('Lease Cycles'!$DR$18:$DX$18,1,EO180),1))),0)</f>
        <v>0</v>
      </c>
      <c r="EP186" s="28">
        <f>IF(EP182=1,IF(INDEX('Lease Cycles'!$EF$18:$EL$18,1,EP180)=1,EP183*INDEX('Lease Cycles'!$EM$18:$ES$18,1,EP180)+EP184*IF(EP181&lt;INDEX('Lease Cycles'!$FA$18:$FG$18,1,EP180),0,1-INDEX('Lease Cycles'!$EM$18:$ES$18,1,EP180)),EP183*IF(EP181&lt;INDEX('Lease Cycles'!$DK$18:$DQ$18,1,EP180),0,IF(EP181=INDEX('Lease Cycles'!$DK$18:$DQ$18,1,EP180),1-INDEX('Lease Cycles'!$DR$18:$DX$18,1,EP180),1))),0)</f>
        <v>0</v>
      </c>
      <c r="EQ186" s="28">
        <f>IF(EQ182=1,IF(INDEX('Lease Cycles'!$EF$18:$EL$18,1,EQ180)=1,EQ183*INDEX('Lease Cycles'!$EM$18:$ES$18,1,EQ180)+EQ184*IF(EQ181&lt;INDEX('Lease Cycles'!$FA$18:$FG$18,1,EQ180),0,1-INDEX('Lease Cycles'!$EM$18:$ES$18,1,EQ180)),EQ183*IF(EQ181&lt;INDEX('Lease Cycles'!$DK$18:$DQ$18,1,EQ180),0,IF(EQ181=INDEX('Lease Cycles'!$DK$18:$DQ$18,1,EQ180),1-INDEX('Lease Cycles'!$DR$18:$DX$18,1,EQ180),1))),0)</f>
        <v>0</v>
      </c>
      <c r="ER186" s="28">
        <f>IF(ER182=1,IF(INDEX('Lease Cycles'!$EF$18:$EL$18,1,ER180)=1,ER183*INDEX('Lease Cycles'!$EM$18:$ES$18,1,ER180)+ER184*IF(ER181&lt;INDEX('Lease Cycles'!$FA$18:$FG$18,1,ER180),0,1-INDEX('Lease Cycles'!$EM$18:$ES$18,1,ER180)),ER183*IF(ER181&lt;INDEX('Lease Cycles'!$DK$18:$DQ$18,1,ER180),0,IF(ER181=INDEX('Lease Cycles'!$DK$18:$DQ$18,1,ER180),1-INDEX('Lease Cycles'!$DR$18:$DX$18,1,ER180),1))),0)</f>
        <v>0</v>
      </c>
      <c r="ES186" s="28">
        <f>IF(ES182=1,IF(INDEX('Lease Cycles'!$EF$18:$EL$18,1,ES180)=1,ES183*INDEX('Lease Cycles'!$EM$18:$ES$18,1,ES180)+ES184*IF(ES181&lt;INDEX('Lease Cycles'!$FA$18:$FG$18,1,ES180),0,1-INDEX('Lease Cycles'!$EM$18:$ES$18,1,ES180)),ES183*IF(ES181&lt;INDEX('Lease Cycles'!$DK$18:$DQ$18,1,ES180),0,IF(ES181=INDEX('Lease Cycles'!$DK$18:$DQ$18,1,ES180),1-INDEX('Lease Cycles'!$DR$18:$DX$18,1,ES180),1))),0)</f>
        <v>0</v>
      </c>
      <c r="ET186" s="28">
        <f>IF(ET182=1,IF(INDEX('Lease Cycles'!$EF$18:$EL$18,1,ET180)=1,ET183*INDEX('Lease Cycles'!$EM$18:$ES$18,1,ET180)+ET184*IF(ET181&lt;INDEX('Lease Cycles'!$FA$18:$FG$18,1,ET180),0,1-INDEX('Lease Cycles'!$EM$18:$ES$18,1,ET180)),ET183*IF(ET181&lt;INDEX('Lease Cycles'!$DK$18:$DQ$18,1,ET180),0,IF(ET181=INDEX('Lease Cycles'!$DK$18:$DQ$18,1,ET180),1-INDEX('Lease Cycles'!$DR$18:$DX$18,1,ET180),1))),0)</f>
        <v>0</v>
      </c>
    </row>
    <row r="187">
      <c r="A187" s="103">
        <v>11</v>
      </c>
      <c r="B187" s="23" t="str">
        <f>IF('Lease Cycles'!$B$18="","(empty slot)",'Lease Cycles'!$B$18)</f>
        <v>(empty slot)</v>
      </c>
      <c r="C187" s="23" t="s">
        <v>493</v>
      </c>
      <c r="D187" s="104" t="s">
        <v>494</v>
      </c>
      <c r="E187" s="25">
        <f>'Lease Cycles'!$AL$18</f>
        <v>0</v>
      </c>
      <c r="G187" s="28">
        <f>SUM(S187:AD187)</f>
        <v>0</v>
      </c>
      <c r="H187" s="28">
        <f>SUM(AE187:AP187)</f>
        <v>0</v>
      </c>
      <c r="I187" s="28">
        <f>SUM(AQ187:BB187)</f>
        <v>0</v>
      </c>
      <c r="J187" s="28">
        <f>SUM(BC187:BN187)</f>
        <v>0</v>
      </c>
      <c r="K187" s="28">
        <f>SUM(BO187:BZ187)</f>
        <v>0</v>
      </c>
      <c r="L187" s="28">
        <f>SUM(CA187:CL187)</f>
        <v>0</v>
      </c>
      <c r="M187" s="28">
        <f>SUM(CM187:CX187)</f>
        <v>0</v>
      </c>
      <c r="N187" s="28">
        <f>SUM(CY187:DJ187)</f>
        <v>0</v>
      </c>
      <c r="O187" s="28">
        <f>SUM(DK187:DV187)</f>
        <v>0</v>
      </c>
      <c r="P187" s="28">
        <f>SUM(DW187:EH187)</f>
        <v>0</v>
      </c>
      <c r="Q187" s="28">
        <f>SUM(EI187:ET187)</f>
        <v>0</v>
      </c>
      <c r="S187" s="28">
        <f>IF(S182=1,IF(INDEX('Lease Cycles'!$EF$18:$EL$18,1,S180)=1,0,S183*(1-IF(S181&lt;INDEX('Lease Cycles'!$DK$18:$DQ$18,1,S180),0,IF(S181=INDEX('Lease Cycles'!$DK$18:$DQ$18,1,S180),1-INDEX('Lease Cycles'!$DR$18:$DX$18,1,S180),1))-IF(S181=0,INDEX('Lease Cycles'!$DD$18:$DJ$18,1,S180),0))),0)</f>
        <v>0</v>
      </c>
      <c r="T187" s="28">
        <f>IF(T182=1,IF(INDEX('Lease Cycles'!$EF$18:$EL$18,1,T180)=1,0,T183*(1-IF(T181&lt;INDEX('Lease Cycles'!$DK$18:$DQ$18,1,T180),0,IF(T181=INDEX('Lease Cycles'!$DK$18:$DQ$18,1,T180),1-INDEX('Lease Cycles'!$DR$18:$DX$18,1,T180),1))-IF(T181=0,INDEX('Lease Cycles'!$DD$18:$DJ$18,1,T180),0))),0)</f>
        <v>0</v>
      </c>
      <c r="U187" s="28">
        <f>IF(U182=1,IF(INDEX('Lease Cycles'!$EF$18:$EL$18,1,U180)=1,0,U183*(1-IF(U181&lt;INDEX('Lease Cycles'!$DK$18:$DQ$18,1,U180),0,IF(U181=INDEX('Lease Cycles'!$DK$18:$DQ$18,1,U180),1-INDEX('Lease Cycles'!$DR$18:$DX$18,1,U180),1))-IF(U181=0,INDEX('Lease Cycles'!$DD$18:$DJ$18,1,U180),0))),0)</f>
        <v>0</v>
      </c>
      <c r="V187" s="28">
        <f>IF(V182=1,IF(INDEX('Lease Cycles'!$EF$18:$EL$18,1,V180)=1,0,V183*(1-IF(V181&lt;INDEX('Lease Cycles'!$DK$18:$DQ$18,1,V180),0,IF(V181=INDEX('Lease Cycles'!$DK$18:$DQ$18,1,V180),1-INDEX('Lease Cycles'!$DR$18:$DX$18,1,V180),1))-IF(V181=0,INDEX('Lease Cycles'!$DD$18:$DJ$18,1,V180),0))),0)</f>
        <v>0</v>
      </c>
      <c r="W187" s="28">
        <f>IF(W182=1,IF(INDEX('Lease Cycles'!$EF$18:$EL$18,1,W180)=1,0,W183*(1-IF(W181&lt;INDEX('Lease Cycles'!$DK$18:$DQ$18,1,W180),0,IF(W181=INDEX('Lease Cycles'!$DK$18:$DQ$18,1,W180),1-INDEX('Lease Cycles'!$DR$18:$DX$18,1,W180),1))-IF(W181=0,INDEX('Lease Cycles'!$DD$18:$DJ$18,1,W180),0))),0)</f>
        <v>0</v>
      </c>
      <c r="X187" s="28">
        <f>IF(X182=1,IF(INDEX('Lease Cycles'!$EF$18:$EL$18,1,X180)=1,0,X183*(1-IF(X181&lt;INDEX('Lease Cycles'!$DK$18:$DQ$18,1,X180),0,IF(X181=INDEX('Lease Cycles'!$DK$18:$DQ$18,1,X180),1-INDEX('Lease Cycles'!$DR$18:$DX$18,1,X180),1))-IF(X181=0,INDEX('Lease Cycles'!$DD$18:$DJ$18,1,X180),0))),0)</f>
        <v>0</v>
      </c>
      <c r="Y187" s="28">
        <f>IF(Y182=1,IF(INDEX('Lease Cycles'!$EF$18:$EL$18,1,Y180)=1,0,Y183*(1-IF(Y181&lt;INDEX('Lease Cycles'!$DK$18:$DQ$18,1,Y180),0,IF(Y181=INDEX('Lease Cycles'!$DK$18:$DQ$18,1,Y180),1-INDEX('Lease Cycles'!$DR$18:$DX$18,1,Y180),1))-IF(Y181=0,INDEX('Lease Cycles'!$DD$18:$DJ$18,1,Y180),0))),0)</f>
        <v>0</v>
      </c>
      <c r="Z187" s="28">
        <f>IF(Z182=1,IF(INDEX('Lease Cycles'!$EF$18:$EL$18,1,Z180)=1,0,Z183*(1-IF(Z181&lt;INDEX('Lease Cycles'!$DK$18:$DQ$18,1,Z180),0,IF(Z181=INDEX('Lease Cycles'!$DK$18:$DQ$18,1,Z180),1-INDEX('Lease Cycles'!$DR$18:$DX$18,1,Z180),1))-IF(Z181=0,INDEX('Lease Cycles'!$DD$18:$DJ$18,1,Z180),0))),0)</f>
        <v>0</v>
      </c>
      <c r="AA187" s="28">
        <f>IF(AA182=1,IF(INDEX('Lease Cycles'!$EF$18:$EL$18,1,AA180)=1,0,AA183*(1-IF(AA181&lt;INDEX('Lease Cycles'!$DK$18:$DQ$18,1,AA180),0,IF(AA181=INDEX('Lease Cycles'!$DK$18:$DQ$18,1,AA180),1-INDEX('Lease Cycles'!$DR$18:$DX$18,1,AA180),1))-IF(AA181=0,INDEX('Lease Cycles'!$DD$18:$DJ$18,1,AA180),0))),0)</f>
        <v>0</v>
      </c>
      <c r="AB187" s="28">
        <f>IF(AB182=1,IF(INDEX('Lease Cycles'!$EF$18:$EL$18,1,AB180)=1,0,AB183*(1-IF(AB181&lt;INDEX('Lease Cycles'!$DK$18:$DQ$18,1,AB180),0,IF(AB181=INDEX('Lease Cycles'!$DK$18:$DQ$18,1,AB180),1-INDEX('Lease Cycles'!$DR$18:$DX$18,1,AB180),1))-IF(AB181=0,INDEX('Lease Cycles'!$DD$18:$DJ$18,1,AB180),0))),0)</f>
        <v>0</v>
      </c>
      <c r="AC187" s="28">
        <f>IF(AC182=1,IF(INDEX('Lease Cycles'!$EF$18:$EL$18,1,AC180)=1,0,AC183*(1-IF(AC181&lt;INDEX('Lease Cycles'!$DK$18:$DQ$18,1,AC180),0,IF(AC181=INDEX('Lease Cycles'!$DK$18:$DQ$18,1,AC180),1-INDEX('Lease Cycles'!$DR$18:$DX$18,1,AC180),1))-IF(AC181=0,INDEX('Lease Cycles'!$DD$18:$DJ$18,1,AC180),0))),0)</f>
        <v>0</v>
      </c>
      <c r="AD187" s="28">
        <f>IF(AD182=1,IF(INDEX('Lease Cycles'!$EF$18:$EL$18,1,AD180)=1,0,AD183*(1-IF(AD181&lt;INDEX('Lease Cycles'!$DK$18:$DQ$18,1,AD180),0,IF(AD181=INDEX('Lease Cycles'!$DK$18:$DQ$18,1,AD180),1-INDEX('Lease Cycles'!$DR$18:$DX$18,1,AD180),1))-IF(AD181=0,INDEX('Lease Cycles'!$DD$18:$DJ$18,1,AD180),0))),0)</f>
        <v>0</v>
      </c>
      <c r="AE187" s="28">
        <f>IF(AE182=1,IF(INDEX('Lease Cycles'!$EF$18:$EL$18,1,AE180)=1,0,AE183*(1-IF(AE181&lt;INDEX('Lease Cycles'!$DK$18:$DQ$18,1,AE180),0,IF(AE181=INDEX('Lease Cycles'!$DK$18:$DQ$18,1,AE180),1-INDEX('Lease Cycles'!$DR$18:$DX$18,1,AE180),1))-IF(AE181=0,INDEX('Lease Cycles'!$DD$18:$DJ$18,1,AE180),0))),0)</f>
        <v>0</v>
      </c>
      <c r="AF187" s="28">
        <f>IF(AF182=1,IF(INDEX('Lease Cycles'!$EF$18:$EL$18,1,AF180)=1,0,AF183*(1-IF(AF181&lt;INDEX('Lease Cycles'!$DK$18:$DQ$18,1,AF180),0,IF(AF181=INDEX('Lease Cycles'!$DK$18:$DQ$18,1,AF180),1-INDEX('Lease Cycles'!$DR$18:$DX$18,1,AF180),1))-IF(AF181=0,INDEX('Lease Cycles'!$DD$18:$DJ$18,1,AF180),0))),0)</f>
        <v>0</v>
      </c>
      <c r="AG187" s="28">
        <f>IF(AG182=1,IF(INDEX('Lease Cycles'!$EF$18:$EL$18,1,AG180)=1,0,AG183*(1-IF(AG181&lt;INDEX('Lease Cycles'!$DK$18:$DQ$18,1,AG180),0,IF(AG181=INDEX('Lease Cycles'!$DK$18:$DQ$18,1,AG180),1-INDEX('Lease Cycles'!$DR$18:$DX$18,1,AG180),1))-IF(AG181=0,INDEX('Lease Cycles'!$DD$18:$DJ$18,1,AG180),0))),0)</f>
        <v>0</v>
      </c>
      <c r="AH187" s="28">
        <f>IF(AH182=1,IF(INDEX('Lease Cycles'!$EF$18:$EL$18,1,AH180)=1,0,AH183*(1-IF(AH181&lt;INDEX('Lease Cycles'!$DK$18:$DQ$18,1,AH180),0,IF(AH181=INDEX('Lease Cycles'!$DK$18:$DQ$18,1,AH180),1-INDEX('Lease Cycles'!$DR$18:$DX$18,1,AH180),1))-IF(AH181=0,INDEX('Lease Cycles'!$DD$18:$DJ$18,1,AH180),0))),0)</f>
        <v>0</v>
      </c>
      <c r="AI187" s="28">
        <f>IF(AI182=1,IF(INDEX('Lease Cycles'!$EF$18:$EL$18,1,AI180)=1,0,AI183*(1-IF(AI181&lt;INDEX('Lease Cycles'!$DK$18:$DQ$18,1,AI180),0,IF(AI181=INDEX('Lease Cycles'!$DK$18:$DQ$18,1,AI180),1-INDEX('Lease Cycles'!$DR$18:$DX$18,1,AI180),1))-IF(AI181=0,INDEX('Lease Cycles'!$DD$18:$DJ$18,1,AI180),0))),0)</f>
        <v>0</v>
      </c>
      <c r="AJ187" s="28">
        <f>IF(AJ182=1,IF(INDEX('Lease Cycles'!$EF$18:$EL$18,1,AJ180)=1,0,AJ183*(1-IF(AJ181&lt;INDEX('Lease Cycles'!$DK$18:$DQ$18,1,AJ180),0,IF(AJ181=INDEX('Lease Cycles'!$DK$18:$DQ$18,1,AJ180),1-INDEX('Lease Cycles'!$DR$18:$DX$18,1,AJ180),1))-IF(AJ181=0,INDEX('Lease Cycles'!$DD$18:$DJ$18,1,AJ180),0))),0)</f>
        <v>0</v>
      </c>
      <c r="AK187" s="28">
        <f>IF(AK182=1,IF(INDEX('Lease Cycles'!$EF$18:$EL$18,1,AK180)=1,0,AK183*(1-IF(AK181&lt;INDEX('Lease Cycles'!$DK$18:$DQ$18,1,AK180),0,IF(AK181=INDEX('Lease Cycles'!$DK$18:$DQ$18,1,AK180),1-INDEX('Lease Cycles'!$DR$18:$DX$18,1,AK180),1))-IF(AK181=0,INDEX('Lease Cycles'!$DD$18:$DJ$18,1,AK180),0))),0)</f>
        <v>0</v>
      </c>
      <c r="AL187" s="28">
        <f>IF(AL182=1,IF(INDEX('Lease Cycles'!$EF$18:$EL$18,1,AL180)=1,0,AL183*(1-IF(AL181&lt;INDEX('Lease Cycles'!$DK$18:$DQ$18,1,AL180),0,IF(AL181=INDEX('Lease Cycles'!$DK$18:$DQ$18,1,AL180),1-INDEX('Lease Cycles'!$DR$18:$DX$18,1,AL180),1))-IF(AL181=0,INDEX('Lease Cycles'!$DD$18:$DJ$18,1,AL180),0))),0)</f>
        <v>0</v>
      </c>
      <c r="AM187" s="28">
        <f>IF(AM182=1,IF(INDEX('Lease Cycles'!$EF$18:$EL$18,1,AM180)=1,0,AM183*(1-IF(AM181&lt;INDEX('Lease Cycles'!$DK$18:$DQ$18,1,AM180),0,IF(AM181=INDEX('Lease Cycles'!$DK$18:$DQ$18,1,AM180),1-INDEX('Lease Cycles'!$DR$18:$DX$18,1,AM180),1))-IF(AM181=0,INDEX('Lease Cycles'!$DD$18:$DJ$18,1,AM180),0))),0)</f>
        <v>0</v>
      </c>
      <c r="AN187" s="28">
        <f>IF(AN182=1,IF(INDEX('Lease Cycles'!$EF$18:$EL$18,1,AN180)=1,0,AN183*(1-IF(AN181&lt;INDEX('Lease Cycles'!$DK$18:$DQ$18,1,AN180),0,IF(AN181=INDEX('Lease Cycles'!$DK$18:$DQ$18,1,AN180),1-INDEX('Lease Cycles'!$DR$18:$DX$18,1,AN180),1))-IF(AN181=0,INDEX('Lease Cycles'!$DD$18:$DJ$18,1,AN180),0))),0)</f>
        <v>0</v>
      </c>
      <c r="AO187" s="28">
        <f>IF(AO182=1,IF(INDEX('Lease Cycles'!$EF$18:$EL$18,1,AO180)=1,0,AO183*(1-IF(AO181&lt;INDEX('Lease Cycles'!$DK$18:$DQ$18,1,AO180),0,IF(AO181=INDEX('Lease Cycles'!$DK$18:$DQ$18,1,AO180),1-INDEX('Lease Cycles'!$DR$18:$DX$18,1,AO180),1))-IF(AO181=0,INDEX('Lease Cycles'!$DD$18:$DJ$18,1,AO180),0))),0)</f>
        <v>0</v>
      </c>
      <c r="AP187" s="28">
        <f>IF(AP182=1,IF(INDEX('Lease Cycles'!$EF$18:$EL$18,1,AP180)=1,0,AP183*(1-IF(AP181&lt;INDEX('Lease Cycles'!$DK$18:$DQ$18,1,AP180),0,IF(AP181=INDEX('Lease Cycles'!$DK$18:$DQ$18,1,AP180),1-INDEX('Lease Cycles'!$DR$18:$DX$18,1,AP180),1))-IF(AP181=0,INDEX('Lease Cycles'!$DD$18:$DJ$18,1,AP180),0))),0)</f>
        <v>0</v>
      </c>
      <c r="AQ187" s="28">
        <f>IF(AQ182=1,IF(INDEX('Lease Cycles'!$EF$18:$EL$18,1,AQ180)=1,0,AQ183*(1-IF(AQ181&lt;INDEX('Lease Cycles'!$DK$18:$DQ$18,1,AQ180),0,IF(AQ181=INDEX('Lease Cycles'!$DK$18:$DQ$18,1,AQ180),1-INDEX('Lease Cycles'!$DR$18:$DX$18,1,AQ180),1))-IF(AQ181=0,INDEX('Lease Cycles'!$DD$18:$DJ$18,1,AQ180),0))),0)</f>
        <v>0</v>
      </c>
      <c r="AR187" s="28">
        <f>IF(AR182=1,IF(INDEX('Lease Cycles'!$EF$18:$EL$18,1,AR180)=1,0,AR183*(1-IF(AR181&lt;INDEX('Lease Cycles'!$DK$18:$DQ$18,1,AR180),0,IF(AR181=INDEX('Lease Cycles'!$DK$18:$DQ$18,1,AR180),1-INDEX('Lease Cycles'!$DR$18:$DX$18,1,AR180),1))-IF(AR181=0,INDEX('Lease Cycles'!$DD$18:$DJ$18,1,AR180),0))),0)</f>
        <v>0</v>
      </c>
      <c r="AS187" s="28">
        <f>IF(AS182=1,IF(INDEX('Lease Cycles'!$EF$18:$EL$18,1,AS180)=1,0,AS183*(1-IF(AS181&lt;INDEX('Lease Cycles'!$DK$18:$DQ$18,1,AS180),0,IF(AS181=INDEX('Lease Cycles'!$DK$18:$DQ$18,1,AS180),1-INDEX('Lease Cycles'!$DR$18:$DX$18,1,AS180),1))-IF(AS181=0,INDEX('Lease Cycles'!$DD$18:$DJ$18,1,AS180),0))),0)</f>
        <v>0</v>
      </c>
      <c r="AT187" s="28">
        <f>IF(AT182=1,IF(INDEX('Lease Cycles'!$EF$18:$EL$18,1,AT180)=1,0,AT183*(1-IF(AT181&lt;INDEX('Lease Cycles'!$DK$18:$DQ$18,1,AT180),0,IF(AT181=INDEX('Lease Cycles'!$DK$18:$DQ$18,1,AT180),1-INDEX('Lease Cycles'!$DR$18:$DX$18,1,AT180),1))-IF(AT181=0,INDEX('Lease Cycles'!$DD$18:$DJ$18,1,AT180),0))),0)</f>
        <v>0</v>
      </c>
      <c r="AU187" s="28">
        <f>IF(AU182=1,IF(INDEX('Lease Cycles'!$EF$18:$EL$18,1,AU180)=1,0,AU183*(1-IF(AU181&lt;INDEX('Lease Cycles'!$DK$18:$DQ$18,1,AU180),0,IF(AU181=INDEX('Lease Cycles'!$DK$18:$DQ$18,1,AU180),1-INDEX('Lease Cycles'!$DR$18:$DX$18,1,AU180),1))-IF(AU181=0,INDEX('Lease Cycles'!$DD$18:$DJ$18,1,AU180),0))),0)</f>
        <v>0</v>
      </c>
      <c r="AV187" s="28">
        <f>IF(AV182=1,IF(INDEX('Lease Cycles'!$EF$18:$EL$18,1,AV180)=1,0,AV183*(1-IF(AV181&lt;INDEX('Lease Cycles'!$DK$18:$DQ$18,1,AV180),0,IF(AV181=INDEX('Lease Cycles'!$DK$18:$DQ$18,1,AV180),1-INDEX('Lease Cycles'!$DR$18:$DX$18,1,AV180),1))-IF(AV181=0,INDEX('Lease Cycles'!$DD$18:$DJ$18,1,AV180),0))),0)</f>
        <v>0</v>
      </c>
      <c r="AW187" s="28">
        <f>IF(AW182=1,IF(INDEX('Lease Cycles'!$EF$18:$EL$18,1,AW180)=1,0,AW183*(1-IF(AW181&lt;INDEX('Lease Cycles'!$DK$18:$DQ$18,1,AW180),0,IF(AW181=INDEX('Lease Cycles'!$DK$18:$DQ$18,1,AW180),1-INDEX('Lease Cycles'!$DR$18:$DX$18,1,AW180),1))-IF(AW181=0,INDEX('Lease Cycles'!$DD$18:$DJ$18,1,AW180),0))),0)</f>
        <v>0</v>
      </c>
      <c r="AX187" s="28">
        <f>IF(AX182=1,IF(INDEX('Lease Cycles'!$EF$18:$EL$18,1,AX180)=1,0,AX183*(1-IF(AX181&lt;INDEX('Lease Cycles'!$DK$18:$DQ$18,1,AX180),0,IF(AX181=INDEX('Lease Cycles'!$DK$18:$DQ$18,1,AX180),1-INDEX('Lease Cycles'!$DR$18:$DX$18,1,AX180),1))-IF(AX181=0,INDEX('Lease Cycles'!$DD$18:$DJ$18,1,AX180),0))),0)</f>
        <v>0</v>
      </c>
      <c r="AY187" s="28">
        <f>IF(AY182=1,IF(INDEX('Lease Cycles'!$EF$18:$EL$18,1,AY180)=1,0,AY183*(1-IF(AY181&lt;INDEX('Lease Cycles'!$DK$18:$DQ$18,1,AY180),0,IF(AY181=INDEX('Lease Cycles'!$DK$18:$DQ$18,1,AY180),1-INDEX('Lease Cycles'!$DR$18:$DX$18,1,AY180),1))-IF(AY181=0,INDEX('Lease Cycles'!$DD$18:$DJ$18,1,AY180),0))),0)</f>
        <v>0</v>
      </c>
      <c r="AZ187" s="28">
        <f>IF(AZ182=1,IF(INDEX('Lease Cycles'!$EF$18:$EL$18,1,AZ180)=1,0,AZ183*(1-IF(AZ181&lt;INDEX('Lease Cycles'!$DK$18:$DQ$18,1,AZ180),0,IF(AZ181=INDEX('Lease Cycles'!$DK$18:$DQ$18,1,AZ180),1-INDEX('Lease Cycles'!$DR$18:$DX$18,1,AZ180),1))-IF(AZ181=0,INDEX('Lease Cycles'!$DD$18:$DJ$18,1,AZ180),0))),0)</f>
        <v>0</v>
      </c>
      <c r="BA187" s="28">
        <f>IF(BA182=1,IF(INDEX('Lease Cycles'!$EF$18:$EL$18,1,BA180)=1,0,BA183*(1-IF(BA181&lt;INDEX('Lease Cycles'!$DK$18:$DQ$18,1,BA180),0,IF(BA181=INDEX('Lease Cycles'!$DK$18:$DQ$18,1,BA180),1-INDEX('Lease Cycles'!$DR$18:$DX$18,1,BA180),1))-IF(BA181=0,INDEX('Lease Cycles'!$DD$18:$DJ$18,1,BA180),0))),0)</f>
        <v>0</v>
      </c>
      <c r="BB187" s="28">
        <f>IF(BB182=1,IF(INDEX('Lease Cycles'!$EF$18:$EL$18,1,BB180)=1,0,BB183*(1-IF(BB181&lt;INDEX('Lease Cycles'!$DK$18:$DQ$18,1,BB180),0,IF(BB181=INDEX('Lease Cycles'!$DK$18:$DQ$18,1,BB180),1-INDEX('Lease Cycles'!$DR$18:$DX$18,1,BB180),1))-IF(BB181=0,INDEX('Lease Cycles'!$DD$18:$DJ$18,1,BB180),0))),0)</f>
        <v>0</v>
      </c>
      <c r="BC187" s="28">
        <f>IF(BC182=1,IF(INDEX('Lease Cycles'!$EF$18:$EL$18,1,BC180)=1,0,BC183*(1-IF(BC181&lt;INDEX('Lease Cycles'!$DK$18:$DQ$18,1,BC180),0,IF(BC181=INDEX('Lease Cycles'!$DK$18:$DQ$18,1,BC180),1-INDEX('Lease Cycles'!$DR$18:$DX$18,1,BC180),1))-IF(BC181=0,INDEX('Lease Cycles'!$DD$18:$DJ$18,1,BC180),0))),0)</f>
        <v>0</v>
      </c>
      <c r="BD187" s="28">
        <f>IF(BD182=1,IF(INDEX('Lease Cycles'!$EF$18:$EL$18,1,BD180)=1,0,BD183*(1-IF(BD181&lt;INDEX('Lease Cycles'!$DK$18:$DQ$18,1,BD180),0,IF(BD181=INDEX('Lease Cycles'!$DK$18:$DQ$18,1,BD180),1-INDEX('Lease Cycles'!$DR$18:$DX$18,1,BD180),1))-IF(BD181=0,INDEX('Lease Cycles'!$DD$18:$DJ$18,1,BD180),0))),0)</f>
        <v>0</v>
      </c>
      <c r="BE187" s="28">
        <f>IF(BE182=1,IF(INDEX('Lease Cycles'!$EF$18:$EL$18,1,BE180)=1,0,BE183*(1-IF(BE181&lt;INDEX('Lease Cycles'!$DK$18:$DQ$18,1,BE180),0,IF(BE181=INDEX('Lease Cycles'!$DK$18:$DQ$18,1,BE180),1-INDEX('Lease Cycles'!$DR$18:$DX$18,1,BE180),1))-IF(BE181=0,INDEX('Lease Cycles'!$DD$18:$DJ$18,1,BE180),0))),0)</f>
        <v>0</v>
      </c>
      <c r="BF187" s="28">
        <f>IF(BF182=1,IF(INDEX('Lease Cycles'!$EF$18:$EL$18,1,BF180)=1,0,BF183*(1-IF(BF181&lt;INDEX('Lease Cycles'!$DK$18:$DQ$18,1,BF180),0,IF(BF181=INDEX('Lease Cycles'!$DK$18:$DQ$18,1,BF180),1-INDEX('Lease Cycles'!$DR$18:$DX$18,1,BF180),1))-IF(BF181=0,INDEX('Lease Cycles'!$DD$18:$DJ$18,1,BF180),0))),0)</f>
        <v>0</v>
      </c>
      <c r="BG187" s="28">
        <f>IF(BG182=1,IF(INDEX('Lease Cycles'!$EF$18:$EL$18,1,BG180)=1,0,BG183*(1-IF(BG181&lt;INDEX('Lease Cycles'!$DK$18:$DQ$18,1,BG180),0,IF(BG181=INDEX('Lease Cycles'!$DK$18:$DQ$18,1,BG180),1-INDEX('Lease Cycles'!$DR$18:$DX$18,1,BG180),1))-IF(BG181=0,INDEX('Lease Cycles'!$DD$18:$DJ$18,1,BG180),0))),0)</f>
        <v>0</v>
      </c>
      <c r="BH187" s="28">
        <f>IF(BH182=1,IF(INDEX('Lease Cycles'!$EF$18:$EL$18,1,BH180)=1,0,BH183*(1-IF(BH181&lt;INDEX('Lease Cycles'!$DK$18:$DQ$18,1,BH180),0,IF(BH181=INDEX('Lease Cycles'!$DK$18:$DQ$18,1,BH180),1-INDEX('Lease Cycles'!$DR$18:$DX$18,1,BH180),1))-IF(BH181=0,INDEX('Lease Cycles'!$DD$18:$DJ$18,1,BH180),0))),0)</f>
        <v>0</v>
      </c>
      <c r="BI187" s="28">
        <f>IF(BI182=1,IF(INDEX('Lease Cycles'!$EF$18:$EL$18,1,BI180)=1,0,BI183*(1-IF(BI181&lt;INDEX('Lease Cycles'!$DK$18:$DQ$18,1,BI180),0,IF(BI181=INDEX('Lease Cycles'!$DK$18:$DQ$18,1,BI180),1-INDEX('Lease Cycles'!$DR$18:$DX$18,1,BI180),1))-IF(BI181=0,INDEX('Lease Cycles'!$DD$18:$DJ$18,1,BI180),0))),0)</f>
        <v>0</v>
      </c>
      <c r="BJ187" s="28">
        <f>IF(BJ182=1,IF(INDEX('Lease Cycles'!$EF$18:$EL$18,1,BJ180)=1,0,BJ183*(1-IF(BJ181&lt;INDEX('Lease Cycles'!$DK$18:$DQ$18,1,BJ180),0,IF(BJ181=INDEX('Lease Cycles'!$DK$18:$DQ$18,1,BJ180),1-INDEX('Lease Cycles'!$DR$18:$DX$18,1,BJ180),1))-IF(BJ181=0,INDEX('Lease Cycles'!$DD$18:$DJ$18,1,BJ180),0))),0)</f>
        <v>0</v>
      </c>
      <c r="BK187" s="28">
        <f>IF(BK182=1,IF(INDEX('Lease Cycles'!$EF$18:$EL$18,1,BK180)=1,0,BK183*(1-IF(BK181&lt;INDEX('Lease Cycles'!$DK$18:$DQ$18,1,BK180),0,IF(BK181=INDEX('Lease Cycles'!$DK$18:$DQ$18,1,BK180),1-INDEX('Lease Cycles'!$DR$18:$DX$18,1,BK180),1))-IF(BK181=0,INDEX('Lease Cycles'!$DD$18:$DJ$18,1,BK180),0))),0)</f>
        <v>0</v>
      </c>
      <c r="BL187" s="28">
        <f>IF(BL182=1,IF(INDEX('Lease Cycles'!$EF$18:$EL$18,1,BL180)=1,0,BL183*(1-IF(BL181&lt;INDEX('Lease Cycles'!$DK$18:$DQ$18,1,BL180),0,IF(BL181=INDEX('Lease Cycles'!$DK$18:$DQ$18,1,BL180),1-INDEX('Lease Cycles'!$DR$18:$DX$18,1,BL180),1))-IF(BL181=0,INDEX('Lease Cycles'!$DD$18:$DJ$18,1,BL180),0))),0)</f>
        <v>0</v>
      </c>
      <c r="BM187" s="28">
        <f>IF(BM182=1,IF(INDEX('Lease Cycles'!$EF$18:$EL$18,1,BM180)=1,0,BM183*(1-IF(BM181&lt;INDEX('Lease Cycles'!$DK$18:$DQ$18,1,BM180),0,IF(BM181=INDEX('Lease Cycles'!$DK$18:$DQ$18,1,BM180),1-INDEX('Lease Cycles'!$DR$18:$DX$18,1,BM180),1))-IF(BM181=0,INDEX('Lease Cycles'!$DD$18:$DJ$18,1,BM180),0))),0)</f>
        <v>0</v>
      </c>
      <c r="BN187" s="28">
        <f>IF(BN182=1,IF(INDEX('Lease Cycles'!$EF$18:$EL$18,1,BN180)=1,0,BN183*(1-IF(BN181&lt;INDEX('Lease Cycles'!$DK$18:$DQ$18,1,BN180),0,IF(BN181=INDEX('Lease Cycles'!$DK$18:$DQ$18,1,BN180),1-INDEX('Lease Cycles'!$DR$18:$DX$18,1,BN180),1))-IF(BN181=0,INDEX('Lease Cycles'!$DD$18:$DJ$18,1,BN180),0))),0)</f>
        <v>0</v>
      </c>
      <c r="BO187" s="28">
        <f>IF(BO182=1,IF(INDEX('Lease Cycles'!$EF$18:$EL$18,1,BO180)=1,0,BO183*(1-IF(BO181&lt;INDEX('Lease Cycles'!$DK$18:$DQ$18,1,BO180),0,IF(BO181=INDEX('Lease Cycles'!$DK$18:$DQ$18,1,BO180),1-INDEX('Lease Cycles'!$DR$18:$DX$18,1,BO180),1))-IF(BO181=0,INDEX('Lease Cycles'!$DD$18:$DJ$18,1,BO180),0))),0)</f>
        <v>0</v>
      </c>
      <c r="BP187" s="28">
        <f>IF(BP182=1,IF(INDEX('Lease Cycles'!$EF$18:$EL$18,1,BP180)=1,0,BP183*(1-IF(BP181&lt;INDEX('Lease Cycles'!$DK$18:$DQ$18,1,BP180),0,IF(BP181=INDEX('Lease Cycles'!$DK$18:$DQ$18,1,BP180),1-INDEX('Lease Cycles'!$DR$18:$DX$18,1,BP180),1))-IF(BP181=0,INDEX('Lease Cycles'!$DD$18:$DJ$18,1,BP180),0))),0)</f>
        <v>0</v>
      </c>
      <c r="BQ187" s="28">
        <f>IF(BQ182=1,IF(INDEX('Lease Cycles'!$EF$18:$EL$18,1,BQ180)=1,0,BQ183*(1-IF(BQ181&lt;INDEX('Lease Cycles'!$DK$18:$DQ$18,1,BQ180),0,IF(BQ181=INDEX('Lease Cycles'!$DK$18:$DQ$18,1,BQ180),1-INDEX('Lease Cycles'!$DR$18:$DX$18,1,BQ180),1))-IF(BQ181=0,INDEX('Lease Cycles'!$DD$18:$DJ$18,1,BQ180),0))),0)</f>
        <v>0</v>
      </c>
      <c r="BR187" s="28">
        <f>IF(BR182=1,IF(INDEX('Lease Cycles'!$EF$18:$EL$18,1,BR180)=1,0,BR183*(1-IF(BR181&lt;INDEX('Lease Cycles'!$DK$18:$DQ$18,1,BR180),0,IF(BR181=INDEX('Lease Cycles'!$DK$18:$DQ$18,1,BR180),1-INDEX('Lease Cycles'!$DR$18:$DX$18,1,BR180),1))-IF(BR181=0,INDEX('Lease Cycles'!$DD$18:$DJ$18,1,BR180),0))),0)</f>
        <v>0</v>
      </c>
      <c r="BS187" s="28">
        <f>IF(BS182=1,IF(INDEX('Lease Cycles'!$EF$18:$EL$18,1,BS180)=1,0,BS183*(1-IF(BS181&lt;INDEX('Lease Cycles'!$DK$18:$DQ$18,1,BS180),0,IF(BS181=INDEX('Lease Cycles'!$DK$18:$DQ$18,1,BS180),1-INDEX('Lease Cycles'!$DR$18:$DX$18,1,BS180),1))-IF(BS181=0,INDEX('Lease Cycles'!$DD$18:$DJ$18,1,BS180),0))),0)</f>
        <v>0</v>
      </c>
      <c r="BT187" s="28">
        <f>IF(BT182=1,IF(INDEX('Lease Cycles'!$EF$18:$EL$18,1,BT180)=1,0,BT183*(1-IF(BT181&lt;INDEX('Lease Cycles'!$DK$18:$DQ$18,1,BT180),0,IF(BT181=INDEX('Lease Cycles'!$DK$18:$DQ$18,1,BT180),1-INDEX('Lease Cycles'!$DR$18:$DX$18,1,BT180),1))-IF(BT181=0,INDEX('Lease Cycles'!$DD$18:$DJ$18,1,BT180),0))),0)</f>
        <v>0</v>
      </c>
      <c r="BU187" s="28">
        <f>IF(BU182=1,IF(INDEX('Lease Cycles'!$EF$18:$EL$18,1,BU180)=1,0,BU183*(1-IF(BU181&lt;INDEX('Lease Cycles'!$DK$18:$DQ$18,1,BU180),0,IF(BU181=INDEX('Lease Cycles'!$DK$18:$DQ$18,1,BU180),1-INDEX('Lease Cycles'!$DR$18:$DX$18,1,BU180),1))-IF(BU181=0,INDEX('Lease Cycles'!$DD$18:$DJ$18,1,BU180),0))),0)</f>
        <v>0</v>
      </c>
      <c r="BV187" s="28">
        <f>IF(BV182=1,IF(INDEX('Lease Cycles'!$EF$18:$EL$18,1,BV180)=1,0,BV183*(1-IF(BV181&lt;INDEX('Lease Cycles'!$DK$18:$DQ$18,1,BV180),0,IF(BV181=INDEX('Lease Cycles'!$DK$18:$DQ$18,1,BV180),1-INDEX('Lease Cycles'!$DR$18:$DX$18,1,BV180),1))-IF(BV181=0,INDEX('Lease Cycles'!$DD$18:$DJ$18,1,BV180),0))),0)</f>
        <v>0</v>
      </c>
      <c r="BW187" s="28">
        <f>IF(BW182=1,IF(INDEX('Lease Cycles'!$EF$18:$EL$18,1,BW180)=1,0,BW183*(1-IF(BW181&lt;INDEX('Lease Cycles'!$DK$18:$DQ$18,1,BW180),0,IF(BW181=INDEX('Lease Cycles'!$DK$18:$DQ$18,1,BW180),1-INDEX('Lease Cycles'!$DR$18:$DX$18,1,BW180),1))-IF(BW181=0,INDEX('Lease Cycles'!$DD$18:$DJ$18,1,BW180),0))),0)</f>
        <v>0</v>
      </c>
      <c r="BX187" s="28">
        <f>IF(BX182=1,IF(INDEX('Lease Cycles'!$EF$18:$EL$18,1,BX180)=1,0,BX183*(1-IF(BX181&lt;INDEX('Lease Cycles'!$DK$18:$DQ$18,1,BX180),0,IF(BX181=INDEX('Lease Cycles'!$DK$18:$DQ$18,1,BX180),1-INDEX('Lease Cycles'!$DR$18:$DX$18,1,BX180),1))-IF(BX181=0,INDEX('Lease Cycles'!$DD$18:$DJ$18,1,BX180),0))),0)</f>
        <v>0</v>
      </c>
      <c r="BY187" s="28">
        <f>IF(BY182=1,IF(INDEX('Lease Cycles'!$EF$18:$EL$18,1,BY180)=1,0,BY183*(1-IF(BY181&lt;INDEX('Lease Cycles'!$DK$18:$DQ$18,1,BY180),0,IF(BY181=INDEX('Lease Cycles'!$DK$18:$DQ$18,1,BY180),1-INDEX('Lease Cycles'!$DR$18:$DX$18,1,BY180),1))-IF(BY181=0,INDEX('Lease Cycles'!$DD$18:$DJ$18,1,BY180),0))),0)</f>
        <v>0</v>
      </c>
      <c r="BZ187" s="28">
        <f>IF(BZ182=1,IF(INDEX('Lease Cycles'!$EF$18:$EL$18,1,BZ180)=1,0,BZ183*(1-IF(BZ181&lt;INDEX('Lease Cycles'!$DK$18:$DQ$18,1,BZ180),0,IF(BZ181=INDEX('Lease Cycles'!$DK$18:$DQ$18,1,BZ180),1-INDEX('Lease Cycles'!$DR$18:$DX$18,1,BZ180),1))-IF(BZ181=0,INDEX('Lease Cycles'!$DD$18:$DJ$18,1,BZ180),0))),0)</f>
        <v>0</v>
      </c>
      <c r="CA187" s="28">
        <f>IF(CA182=1,IF(INDEX('Lease Cycles'!$EF$18:$EL$18,1,CA180)=1,0,CA183*(1-IF(CA181&lt;INDEX('Lease Cycles'!$DK$18:$DQ$18,1,CA180),0,IF(CA181=INDEX('Lease Cycles'!$DK$18:$DQ$18,1,CA180),1-INDEX('Lease Cycles'!$DR$18:$DX$18,1,CA180),1))-IF(CA181=0,INDEX('Lease Cycles'!$DD$18:$DJ$18,1,CA180),0))),0)</f>
        <v>0</v>
      </c>
      <c r="CB187" s="28">
        <f>IF(CB182=1,IF(INDEX('Lease Cycles'!$EF$18:$EL$18,1,CB180)=1,0,CB183*(1-IF(CB181&lt;INDEX('Lease Cycles'!$DK$18:$DQ$18,1,CB180),0,IF(CB181=INDEX('Lease Cycles'!$DK$18:$DQ$18,1,CB180),1-INDEX('Lease Cycles'!$DR$18:$DX$18,1,CB180),1))-IF(CB181=0,INDEX('Lease Cycles'!$DD$18:$DJ$18,1,CB180),0))),0)</f>
        <v>0</v>
      </c>
      <c r="CC187" s="28">
        <f>IF(CC182=1,IF(INDEX('Lease Cycles'!$EF$18:$EL$18,1,CC180)=1,0,CC183*(1-IF(CC181&lt;INDEX('Lease Cycles'!$DK$18:$DQ$18,1,CC180),0,IF(CC181=INDEX('Lease Cycles'!$DK$18:$DQ$18,1,CC180),1-INDEX('Lease Cycles'!$DR$18:$DX$18,1,CC180),1))-IF(CC181=0,INDEX('Lease Cycles'!$DD$18:$DJ$18,1,CC180),0))),0)</f>
        <v>0</v>
      </c>
      <c r="CD187" s="28">
        <f>IF(CD182=1,IF(INDEX('Lease Cycles'!$EF$18:$EL$18,1,CD180)=1,0,CD183*(1-IF(CD181&lt;INDEX('Lease Cycles'!$DK$18:$DQ$18,1,CD180),0,IF(CD181=INDEX('Lease Cycles'!$DK$18:$DQ$18,1,CD180),1-INDEX('Lease Cycles'!$DR$18:$DX$18,1,CD180),1))-IF(CD181=0,INDEX('Lease Cycles'!$DD$18:$DJ$18,1,CD180),0))),0)</f>
        <v>0</v>
      </c>
      <c r="CE187" s="28">
        <f>IF(CE182=1,IF(INDEX('Lease Cycles'!$EF$18:$EL$18,1,CE180)=1,0,CE183*(1-IF(CE181&lt;INDEX('Lease Cycles'!$DK$18:$DQ$18,1,CE180),0,IF(CE181=INDEX('Lease Cycles'!$DK$18:$DQ$18,1,CE180),1-INDEX('Lease Cycles'!$DR$18:$DX$18,1,CE180),1))-IF(CE181=0,INDEX('Lease Cycles'!$DD$18:$DJ$18,1,CE180),0))),0)</f>
        <v>0</v>
      </c>
      <c r="CF187" s="28">
        <f>IF(CF182=1,IF(INDEX('Lease Cycles'!$EF$18:$EL$18,1,CF180)=1,0,CF183*(1-IF(CF181&lt;INDEX('Lease Cycles'!$DK$18:$DQ$18,1,CF180),0,IF(CF181=INDEX('Lease Cycles'!$DK$18:$DQ$18,1,CF180),1-INDEX('Lease Cycles'!$DR$18:$DX$18,1,CF180),1))-IF(CF181=0,INDEX('Lease Cycles'!$DD$18:$DJ$18,1,CF180),0))),0)</f>
        <v>0</v>
      </c>
      <c r="CG187" s="28">
        <f>IF(CG182=1,IF(INDEX('Lease Cycles'!$EF$18:$EL$18,1,CG180)=1,0,CG183*(1-IF(CG181&lt;INDEX('Lease Cycles'!$DK$18:$DQ$18,1,CG180),0,IF(CG181=INDEX('Lease Cycles'!$DK$18:$DQ$18,1,CG180),1-INDEX('Lease Cycles'!$DR$18:$DX$18,1,CG180),1))-IF(CG181=0,INDEX('Lease Cycles'!$DD$18:$DJ$18,1,CG180),0))),0)</f>
        <v>0</v>
      </c>
      <c r="CH187" s="28">
        <f>IF(CH182=1,IF(INDEX('Lease Cycles'!$EF$18:$EL$18,1,CH180)=1,0,CH183*(1-IF(CH181&lt;INDEX('Lease Cycles'!$DK$18:$DQ$18,1,CH180),0,IF(CH181=INDEX('Lease Cycles'!$DK$18:$DQ$18,1,CH180),1-INDEX('Lease Cycles'!$DR$18:$DX$18,1,CH180),1))-IF(CH181=0,INDEX('Lease Cycles'!$DD$18:$DJ$18,1,CH180),0))),0)</f>
        <v>0</v>
      </c>
      <c r="CI187" s="28">
        <f>IF(CI182=1,IF(INDEX('Lease Cycles'!$EF$18:$EL$18,1,CI180)=1,0,CI183*(1-IF(CI181&lt;INDEX('Lease Cycles'!$DK$18:$DQ$18,1,CI180),0,IF(CI181=INDEX('Lease Cycles'!$DK$18:$DQ$18,1,CI180),1-INDEX('Lease Cycles'!$DR$18:$DX$18,1,CI180),1))-IF(CI181=0,INDEX('Lease Cycles'!$DD$18:$DJ$18,1,CI180),0))),0)</f>
        <v>0</v>
      </c>
      <c r="CJ187" s="28">
        <f>IF(CJ182=1,IF(INDEX('Lease Cycles'!$EF$18:$EL$18,1,CJ180)=1,0,CJ183*(1-IF(CJ181&lt;INDEX('Lease Cycles'!$DK$18:$DQ$18,1,CJ180),0,IF(CJ181=INDEX('Lease Cycles'!$DK$18:$DQ$18,1,CJ180),1-INDEX('Lease Cycles'!$DR$18:$DX$18,1,CJ180),1))-IF(CJ181=0,INDEX('Lease Cycles'!$DD$18:$DJ$18,1,CJ180),0))),0)</f>
        <v>0</v>
      </c>
      <c r="CK187" s="28">
        <f>IF(CK182=1,IF(INDEX('Lease Cycles'!$EF$18:$EL$18,1,CK180)=1,0,CK183*(1-IF(CK181&lt;INDEX('Lease Cycles'!$DK$18:$DQ$18,1,CK180),0,IF(CK181=INDEX('Lease Cycles'!$DK$18:$DQ$18,1,CK180),1-INDEX('Lease Cycles'!$DR$18:$DX$18,1,CK180),1))-IF(CK181=0,INDEX('Lease Cycles'!$DD$18:$DJ$18,1,CK180),0))),0)</f>
        <v>0</v>
      </c>
      <c r="CL187" s="28">
        <f>IF(CL182=1,IF(INDEX('Lease Cycles'!$EF$18:$EL$18,1,CL180)=1,0,CL183*(1-IF(CL181&lt;INDEX('Lease Cycles'!$DK$18:$DQ$18,1,CL180),0,IF(CL181=INDEX('Lease Cycles'!$DK$18:$DQ$18,1,CL180),1-INDEX('Lease Cycles'!$DR$18:$DX$18,1,CL180),1))-IF(CL181=0,INDEX('Lease Cycles'!$DD$18:$DJ$18,1,CL180),0))),0)</f>
        <v>0</v>
      </c>
      <c r="CM187" s="28">
        <f>IF(CM182=1,IF(INDEX('Lease Cycles'!$EF$18:$EL$18,1,CM180)=1,0,CM183*(1-IF(CM181&lt;INDEX('Lease Cycles'!$DK$18:$DQ$18,1,CM180),0,IF(CM181=INDEX('Lease Cycles'!$DK$18:$DQ$18,1,CM180),1-INDEX('Lease Cycles'!$DR$18:$DX$18,1,CM180),1))-IF(CM181=0,INDEX('Lease Cycles'!$DD$18:$DJ$18,1,CM180),0))),0)</f>
        <v>0</v>
      </c>
      <c r="CN187" s="28">
        <f>IF(CN182=1,IF(INDEX('Lease Cycles'!$EF$18:$EL$18,1,CN180)=1,0,CN183*(1-IF(CN181&lt;INDEX('Lease Cycles'!$DK$18:$DQ$18,1,CN180),0,IF(CN181=INDEX('Lease Cycles'!$DK$18:$DQ$18,1,CN180),1-INDEX('Lease Cycles'!$DR$18:$DX$18,1,CN180),1))-IF(CN181=0,INDEX('Lease Cycles'!$DD$18:$DJ$18,1,CN180),0))),0)</f>
        <v>0</v>
      </c>
      <c r="CO187" s="28">
        <f>IF(CO182=1,IF(INDEX('Lease Cycles'!$EF$18:$EL$18,1,CO180)=1,0,CO183*(1-IF(CO181&lt;INDEX('Lease Cycles'!$DK$18:$DQ$18,1,CO180),0,IF(CO181=INDEX('Lease Cycles'!$DK$18:$DQ$18,1,CO180),1-INDEX('Lease Cycles'!$DR$18:$DX$18,1,CO180),1))-IF(CO181=0,INDEX('Lease Cycles'!$DD$18:$DJ$18,1,CO180),0))),0)</f>
        <v>0</v>
      </c>
      <c r="CP187" s="28">
        <f>IF(CP182=1,IF(INDEX('Lease Cycles'!$EF$18:$EL$18,1,CP180)=1,0,CP183*(1-IF(CP181&lt;INDEX('Lease Cycles'!$DK$18:$DQ$18,1,CP180),0,IF(CP181=INDEX('Lease Cycles'!$DK$18:$DQ$18,1,CP180),1-INDEX('Lease Cycles'!$DR$18:$DX$18,1,CP180),1))-IF(CP181=0,INDEX('Lease Cycles'!$DD$18:$DJ$18,1,CP180),0))),0)</f>
        <v>0</v>
      </c>
      <c r="CQ187" s="28">
        <f>IF(CQ182=1,IF(INDEX('Lease Cycles'!$EF$18:$EL$18,1,CQ180)=1,0,CQ183*(1-IF(CQ181&lt;INDEX('Lease Cycles'!$DK$18:$DQ$18,1,CQ180),0,IF(CQ181=INDEX('Lease Cycles'!$DK$18:$DQ$18,1,CQ180),1-INDEX('Lease Cycles'!$DR$18:$DX$18,1,CQ180),1))-IF(CQ181=0,INDEX('Lease Cycles'!$DD$18:$DJ$18,1,CQ180),0))),0)</f>
        <v>0</v>
      </c>
      <c r="CR187" s="28">
        <f>IF(CR182=1,IF(INDEX('Lease Cycles'!$EF$18:$EL$18,1,CR180)=1,0,CR183*(1-IF(CR181&lt;INDEX('Lease Cycles'!$DK$18:$DQ$18,1,CR180),0,IF(CR181=INDEX('Lease Cycles'!$DK$18:$DQ$18,1,CR180),1-INDEX('Lease Cycles'!$DR$18:$DX$18,1,CR180),1))-IF(CR181=0,INDEX('Lease Cycles'!$DD$18:$DJ$18,1,CR180),0))),0)</f>
        <v>0</v>
      </c>
      <c r="CS187" s="28">
        <f>IF(CS182=1,IF(INDEX('Lease Cycles'!$EF$18:$EL$18,1,CS180)=1,0,CS183*(1-IF(CS181&lt;INDEX('Lease Cycles'!$DK$18:$DQ$18,1,CS180),0,IF(CS181=INDEX('Lease Cycles'!$DK$18:$DQ$18,1,CS180),1-INDEX('Lease Cycles'!$DR$18:$DX$18,1,CS180),1))-IF(CS181=0,INDEX('Lease Cycles'!$DD$18:$DJ$18,1,CS180),0))),0)</f>
        <v>0</v>
      </c>
      <c r="CT187" s="28">
        <f>IF(CT182=1,IF(INDEX('Lease Cycles'!$EF$18:$EL$18,1,CT180)=1,0,CT183*(1-IF(CT181&lt;INDEX('Lease Cycles'!$DK$18:$DQ$18,1,CT180),0,IF(CT181=INDEX('Lease Cycles'!$DK$18:$DQ$18,1,CT180),1-INDEX('Lease Cycles'!$DR$18:$DX$18,1,CT180),1))-IF(CT181=0,INDEX('Lease Cycles'!$DD$18:$DJ$18,1,CT180),0))),0)</f>
        <v>0</v>
      </c>
      <c r="CU187" s="28">
        <f>IF(CU182=1,IF(INDEX('Lease Cycles'!$EF$18:$EL$18,1,CU180)=1,0,CU183*(1-IF(CU181&lt;INDEX('Lease Cycles'!$DK$18:$DQ$18,1,CU180),0,IF(CU181=INDEX('Lease Cycles'!$DK$18:$DQ$18,1,CU180),1-INDEX('Lease Cycles'!$DR$18:$DX$18,1,CU180),1))-IF(CU181=0,INDEX('Lease Cycles'!$DD$18:$DJ$18,1,CU180),0))),0)</f>
        <v>0</v>
      </c>
      <c r="CV187" s="28">
        <f>IF(CV182=1,IF(INDEX('Lease Cycles'!$EF$18:$EL$18,1,CV180)=1,0,CV183*(1-IF(CV181&lt;INDEX('Lease Cycles'!$DK$18:$DQ$18,1,CV180),0,IF(CV181=INDEX('Lease Cycles'!$DK$18:$DQ$18,1,CV180),1-INDEX('Lease Cycles'!$DR$18:$DX$18,1,CV180),1))-IF(CV181=0,INDEX('Lease Cycles'!$DD$18:$DJ$18,1,CV180),0))),0)</f>
        <v>0</v>
      </c>
      <c r="CW187" s="28">
        <f>IF(CW182=1,IF(INDEX('Lease Cycles'!$EF$18:$EL$18,1,CW180)=1,0,CW183*(1-IF(CW181&lt;INDEX('Lease Cycles'!$DK$18:$DQ$18,1,CW180),0,IF(CW181=INDEX('Lease Cycles'!$DK$18:$DQ$18,1,CW180),1-INDEX('Lease Cycles'!$DR$18:$DX$18,1,CW180),1))-IF(CW181=0,INDEX('Lease Cycles'!$DD$18:$DJ$18,1,CW180),0))),0)</f>
        <v>0</v>
      </c>
      <c r="CX187" s="28">
        <f>IF(CX182=1,IF(INDEX('Lease Cycles'!$EF$18:$EL$18,1,CX180)=1,0,CX183*(1-IF(CX181&lt;INDEX('Lease Cycles'!$DK$18:$DQ$18,1,CX180),0,IF(CX181=INDEX('Lease Cycles'!$DK$18:$DQ$18,1,CX180),1-INDEX('Lease Cycles'!$DR$18:$DX$18,1,CX180),1))-IF(CX181=0,INDEX('Lease Cycles'!$DD$18:$DJ$18,1,CX180),0))),0)</f>
        <v>0</v>
      </c>
      <c r="CY187" s="28">
        <f>IF(CY182=1,IF(INDEX('Lease Cycles'!$EF$18:$EL$18,1,CY180)=1,0,CY183*(1-IF(CY181&lt;INDEX('Lease Cycles'!$DK$18:$DQ$18,1,CY180),0,IF(CY181=INDEX('Lease Cycles'!$DK$18:$DQ$18,1,CY180),1-INDEX('Lease Cycles'!$DR$18:$DX$18,1,CY180),1))-IF(CY181=0,INDEX('Lease Cycles'!$DD$18:$DJ$18,1,CY180),0))),0)</f>
        <v>0</v>
      </c>
      <c r="CZ187" s="28">
        <f>IF(CZ182=1,IF(INDEX('Lease Cycles'!$EF$18:$EL$18,1,CZ180)=1,0,CZ183*(1-IF(CZ181&lt;INDEX('Lease Cycles'!$DK$18:$DQ$18,1,CZ180),0,IF(CZ181=INDEX('Lease Cycles'!$DK$18:$DQ$18,1,CZ180),1-INDEX('Lease Cycles'!$DR$18:$DX$18,1,CZ180),1))-IF(CZ181=0,INDEX('Lease Cycles'!$DD$18:$DJ$18,1,CZ180),0))),0)</f>
        <v>0</v>
      </c>
      <c r="DA187" s="28">
        <f>IF(DA182=1,IF(INDEX('Lease Cycles'!$EF$18:$EL$18,1,DA180)=1,0,DA183*(1-IF(DA181&lt;INDEX('Lease Cycles'!$DK$18:$DQ$18,1,DA180),0,IF(DA181=INDEX('Lease Cycles'!$DK$18:$DQ$18,1,DA180),1-INDEX('Lease Cycles'!$DR$18:$DX$18,1,DA180),1))-IF(DA181=0,INDEX('Lease Cycles'!$DD$18:$DJ$18,1,DA180),0))),0)</f>
        <v>0</v>
      </c>
      <c r="DB187" s="28">
        <f>IF(DB182=1,IF(INDEX('Lease Cycles'!$EF$18:$EL$18,1,DB180)=1,0,DB183*(1-IF(DB181&lt;INDEX('Lease Cycles'!$DK$18:$DQ$18,1,DB180),0,IF(DB181=INDEX('Lease Cycles'!$DK$18:$DQ$18,1,DB180),1-INDEX('Lease Cycles'!$DR$18:$DX$18,1,DB180),1))-IF(DB181=0,INDEX('Lease Cycles'!$DD$18:$DJ$18,1,DB180),0))),0)</f>
        <v>0</v>
      </c>
      <c r="DC187" s="28">
        <f>IF(DC182=1,IF(INDEX('Lease Cycles'!$EF$18:$EL$18,1,DC180)=1,0,DC183*(1-IF(DC181&lt;INDEX('Lease Cycles'!$DK$18:$DQ$18,1,DC180),0,IF(DC181=INDEX('Lease Cycles'!$DK$18:$DQ$18,1,DC180),1-INDEX('Lease Cycles'!$DR$18:$DX$18,1,DC180),1))-IF(DC181=0,INDEX('Lease Cycles'!$DD$18:$DJ$18,1,DC180),0))),0)</f>
        <v>0</v>
      </c>
      <c r="DD187" s="28">
        <f>IF(DD182=1,IF(INDEX('Lease Cycles'!$EF$18:$EL$18,1,DD180)=1,0,DD183*(1-IF(DD181&lt;INDEX('Lease Cycles'!$DK$18:$DQ$18,1,DD180),0,IF(DD181=INDEX('Lease Cycles'!$DK$18:$DQ$18,1,DD180),1-INDEX('Lease Cycles'!$DR$18:$DX$18,1,DD180),1))-IF(DD181=0,INDEX('Lease Cycles'!$DD$18:$DJ$18,1,DD180),0))),0)</f>
        <v>0</v>
      </c>
      <c r="DE187" s="28">
        <f>IF(DE182=1,IF(INDEX('Lease Cycles'!$EF$18:$EL$18,1,DE180)=1,0,DE183*(1-IF(DE181&lt;INDEX('Lease Cycles'!$DK$18:$DQ$18,1,DE180),0,IF(DE181=INDEX('Lease Cycles'!$DK$18:$DQ$18,1,DE180),1-INDEX('Lease Cycles'!$DR$18:$DX$18,1,DE180),1))-IF(DE181=0,INDEX('Lease Cycles'!$DD$18:$DJ$18,1,DE180),0))),0)</f>
        <v>0</v>
      </c>
      <c r="DF187" s="28">
        <f>IF(DF182=1,IF(INDEX('Lease Cycles'!$EF$18:$EL$18,1,DF180)=1,0,DF183*(1-IF(DF181&lt;INDEX('Lease Cycles'!$DK$18:$DQ$18,1,DF180),0,IF(DF181=INDEX('Lease Cycles'!$DK$18:$DQ$18,1,DF180),1-INDEX('Lease Cycles'!$DR$18:$DX$18,1,DF180),1))-IF(DF181=0,INDEX('Lease Cycles'!$DD$18:$DJ$18,1,DF180),0))),0)</f>
        <v>0</v>
      </c>
      <c r="DG187" s="28">
        <f>IF(DG182=1,IF(INDEX('Lease Cycles'!$EF$18:$EL$18,1,DG180)=1,0,DG183*(1-IF(DG181&lt;INDEX('Lease Cycles'!$DK$18:$DQ$18,1,DG180),0,IF(DG181=INDEX('Lease Cycles'!$DK$18:$DQ$18,1,DG180),1-INDEX('Lease Cycles'!$DR$18:$DX$18,1,DG180),1))-IF(DG181=0,INDEX('Lease Cycles'!$DD$18:$DJ$18,1,DG180),0))),0)</f>
        <v>0</v>
      </c>
      <c r="DH187" s="28">
        <f>IF(DH182=1,IF(INDEX('Lease Cycles'!$EF$18:$EL$18,1,DH180)=1,0,DH183*(1-IF(DH181&lt;INDEX('Lease Cycles'!$DK$18:$DQ$18,1,DH180),0,IF(DH181=INDEX('Lease Cycles'!$DK$18:$DQ$18,1,DH180),1-INDEX('Lease Cycles'!$DR$18:$DX$18,1,DH180),1))-IF(DH181=0,INDEX('Lease Cycles'!$DD$18:$DJ$18,1,DH180),0))),0)</f>
        <v>0</v>
      </c>
      <c r="DI187" s="28">
        <f>IF(DI182=1,IF(INDEX('Lease Cycles'!$EF$18:$EL$18,1,DI180)=1,0,DI183*(1-IF(DI181&lt;INDEX('Lease Cycles'!$DK$18:$DQ$18,1,DI180),0,IF(DI181=INDEX('Lease Cycles'!$DK$18:$DQ$18,1,DI180),1-INDEX('Lease Cycles'!$DR$18:$DX$18,1,DI180),1))-IF(DI181=0,INDEX('Lease Cycles'!$DD$18:$DJ$18,1,DI180),0))),0)</f>
        <v>0</v>
      </c>
      <c r="DJ187" s="28">
        <f>IF(DJ182=1,IF(INDEX('Lease Cycles'!$EF$18:$EL$18,1,DJ180)=1,0,DJ183*(1-IF(DJ181&lt;INDEX('Lease Cycles'!$DK$18:$DQ$18,1,DJ180),0,IF(DJ181=INDEX('Lease Cycles'!$DK$18:$DQ$18,1,DJ180),1-INDEX('Lease Cycles'!$DR$18:$DX$18,1,DJ180),1))-IF(DJ181=0,INDEX('Lease Cycles'!$DD$18:$DJ$18,1,DJ180),0))),0)</f>
        <v>0</v>
      </c>
      <c r="DK187" s="28">
        <f>IF(DK182=1,IF(INDEX('Lease Cycles'!$EF$18:$EL$18,1,DK180)=1,0,DK183*(1-IF(DK181&lt;INDEX('Lease Cycles'!$DK$18:$DQ$18,1,DK180),0,IF(DK181=INDEX('Lease Cycles'!$DK$18:$DQ$18,1,DK180),1-INDEX('Lease Cycles'!$DR$18:$DX$18,1,DK180),1))-IF(DK181=0,INDEX('Lease Cycles'!$DD$18:$DJ$18,1,DK180),0))),0)</f>
        <v>0</v>
      </c>
      <c r="DL187" s="28">
        <f>IF(DL182=1,IF(INDEX('Lease Cycles'!$EF$18:$EL$18,1,DL180)=1,0,DL183*(1-IF(DL181&lt;INDEX('Lease Cycles'!$DK$18:$DQ$18,1,DL180),0,IF(DL181=INDEX('Lease Cycles'!$DK$18:$DQ$18,1,DL180),1-INDEX('Lease Cycles'!$DR$18:$DX$18,1,DL180),1))-IF(DL181=0,INDEX('Lease Cycles'!$DD$18:$DJ$18,1,DL180),0))),0)</f>
        <v>0</v>
      </c>
      <c r="DM187" s="28">
        <f>IF(DM182=1,IF(INDEX('Lease Cycles'!$EF$18:$EL$18,1,DM180)=1,0,DM183*(1-IF(DM181&lt;INDEX('Lease Cycles'!$DK$18:$DQ$18,1,DM180),0,IF(DM181=INDEX('Lease Cycles'!$DK$18:$DQ$18,1,DM180),1-INDEX('Lease Cycles'!$DR$18:$DX$18,1,DM180),1))-IF(DM181=0,INDEX('Lease Cycles'!$DD$18:$DJ$18,1,DM180),0))),0)</f>
        <v>0</v>
      </c>
      <c r="DN187" s="28">
        <f>IF(DN182=1,IF(INDEX('Lease Cycles'!$EF$18:$EL$18,1,DN180)=1,0,DN183*(1-IF(DN181&lt;INDEX('Lease Cycles'!$DK$18:$DQ$18,1,DN180),0,IF(DN181=INDEX('Lease Cycles'!$DK$18:$DQ$18,1,DN180),1-INDEX('Lease Cycles'!$DR$18:$DX$18,1,DN180),1))-IF(DN181=0,INDEX('Lease Cycles'!$DD$18:$DJ$18,1,DN180),0))),0)</f>
        <v>0</v>
      </c>
      <c r="DO187" s="28">
        <f>IF(DO182=1,IF(INDEX('Lease Cycles'!$EF$18:$EL$18,1,DO180)=1,0,DO183*(1-IF(DO181&lt;INDEX('Lease Cycles'!$DK$18:$DQ$18,1,DO180),0,IF(DO181=INDEX('Lease Cycles'!$DK$18:$DQ$18,1,DO180),1-INDEX('Lease Cycles'!$DR$18:$DX$18,1,DO180),1))-IF(DO181=0,INDEX('Lease Cycles'!$DD$18:$DJ$18,1,DO180),0))),0)</f>
        <v>0</v>
      </c>
      <c r="DP187" s="28">
        <f>IF(DP182=1,IF(INDEX('Lease Cycles'!$EF$18:$EL$18,1,DP180)=1,0,DP183*(1-IF(DP181&lt;INDEX('Lease Cycles'!$DK$18:$DQ$18,1,DP180),0,IF(DP181=INDEX('Lease Cycles'!$DK$18:$DQ$18,1,DP180),1-INDEX('Lease Cycles'!$DR$18:$DX$18,1,DP180),1))-IF(DP181=0,INDEX('Lease Cycles'!$DD$18:$DJ$18,1,DP180),0))),0)</f>
        <v>0</v>
      </c>
      <c r="DQ187" s="28">
        <f>IF(DQ182=1,IF(INDEX('Lease Cycles'!$EF$18:$EL$18,1,DQ180)=1,0,DQ183*(1-IF(DQ181&lt;INDEX('Lease Cycles'!$DK$18:$DQ$18,1,DQ180),0,IF(DQ181=INDEX('Lease Cycles'!$DK$18:$DQ$18,1,DQ180),1-INDEX('Lease Cycles'!$DR$18:$DX$18,1,DQ180),1))-IF(DQ181=0,INDEX('Lease Cycles'!$DD$18:$DJ$18,1,DQ180),0))),0)</f>
        <v>0</v>
      </c>
      <c r="DR187" s="28">
        <f>IF(DR182=1,IF(INDEX('Lease Cycles'!$EF$18:$EL$18,1,DR180)=1,0,DR183*(1-IF(DR181&lt;INDEX('Lease Cycles'!$DK$18:$DQ$18,1,DR180),0,IF(DR181=INDEX('Lease Cycles'!$DK$18:$DQ$18,1,DR180),1-INDEX('Lease Cycles'!$DR$18:$DX$18,1,DR180),1))-IF(DR181=0,INDEX('Lease Cycles'!$DD$18:$DJ$18,1,DR180),0))),0)</f>
        <v>0</v>
      </c>
      <c r="DS187" s="28">
        <f>IF(DS182=1,IF(INDEX('Lease Cycles'!$EF$18:$EL$18,1,DS180)=1,0,DS183*(1-IF(DS181&lt;INDEX('Lease Cycles'!$DK$18:$DQ$18,1,DS180),0,IF(DS181=INDEX('Lease Cycles'!$DK$18:$DQ$18,1,DS180),1-INDEX('Lease Cycles'!$DR$18:$DX$18,1,DS180),1))-IF(DS181=0,INDEX('Lease Cycles'!$DD$18:$DJ$18,1,DS180),0))),0)</f>
        <v>0</v>
      </c>
      <c r="DT187" s="28">
        <f>IF(DT182=1,IF(INDEX('Lease Cycles'!$EF$18:$EL$18,1,DT180)=1,0,DT183*(1-IF(DT181&lt;INDEX('Lease Cycles'!$DK$18:$DQ$18,1,DT180),0,IF(DT181=INDEX('Lease Cycles'!$DK$18:$DQ$18,1,DT180),1-INDEX('Lease Cycles'!$DR$18:$DX$18,1,DT180),1))-IF(DT181=0,INDEX('Lease Cycles'!$DD$18:$DJ$18,1,DT180),0))),0)</f>
        <v>0</v>
      </c>
      <c r="DU187" s="28">
        <f>IF(DU182=1,IF(INDEX('Lease Cycles'!$EF$18:$EL$18,1,DU180)=1,0,DU183*(1-IF(DU181&lt;INDEX('Lease Cycles'!$DK$18:$DQ$18,1,DU180),0,IF(DU181=INDEX('Lease Cycles'!$DK$18:$DQ$18,1,DU180),1-INDEX('Lease Cycles'!$DR$18:$DX$18,1,DU180),1))-IF(DU181=0,INDEX('Lease Cycles'!$DD$18:$DJ$18,1,DU180),0))),0)</f>
        <v>0</v>
      </c>
      <c r="DV187" s="28">
        <f>IF(DV182=1,IF(INDEX('Lease Cycles'!$EF$18:$EL$18,1,DV180)=1,0,DV183*(1-IF(DV181&lt;INDEX('Lease Cycles'!$DK$18:$DQ$18,1,DV180),0,IF(DV181=INDEX('Lease Cycles'!$DK$18:$DQ$18,1,DV180),1-INDEX('Lease Cycles'!$DR$18:$DX$18,1,DV180),1))-IF(DV181=0,INDEX('Lease Cycles'!$DD$18:$DJ$18,1,DV180),0))),0)</f>
        <v>0</v>
      </c>
      <c r="DW187" s="28">
        <f>IF(DW182=1,IF(INDEX('Lease Cycles'!$EF$18:$EL$18,1,DW180)=1,0,DW183*(1-IF(DW181&lt;INDEX('Lease Cycles'!$DK$18:$DQ$18,1,DW180),0,IF(DW181=INDEX('Lease Cycles'!$DK$18:$DQ$18,1,DW180),1-INDEX('Lease Cycles'!$DR$18:$DX$18,1,DW180),1))-IF(DW181=0,INDEX('Lease Cycles'!$DD$18:$DJ$18,1,DW180),0))),0)</f>
        <v>0</v>
      </c>
      <c r="DX187" s="28">
        <f>IF(DX182=1,IF(INDEX('Lease Cycles'!$EF$18:$EL$18,1,DX180)=1,0,DX183*(1-IF(DX181&lt;INDEX('Lease Cycles'!$DK$18:$DQ$18,1,DX180),0,IF(DX181=INDEX('Lease Cycles'!$DK$18:$DQ$18,1,DX180),1-INDEX('Lease Cycles'!$DR$18:$DX$18,1,DX180),1))-IF(DX181=0,INDEX('Lease Cycles'!$DD$18:$DJ$18,1,DX180),0))),0)</f>
        <v>0</v>
      </c>
      <c r="DY187" s="28">
        <f>IF(DY182=1,IF(INDEX('Lease Cycles'!$EF$18:$EL$18,1,DY180)=1,0,DY183*(1-IF(DY181&lt;INDEX('Lease Cycles'!$DK$18:$DQ$18,1,DY180),0,IF(DY181=INDEX('Lease Cycles'!$DK$18:$DQ$18,1,DY180),1-INDEX('Lease Cycles'!$DR$18:$DX$18,1,DY180),1))-IF(DY181=0,INDEX('Lease Cycles'!$DD$18:$DJ$18,1,DY180),0))),0)</f>
        <v>0</v>
      </c>
      <c r="DZ187" s="28">
        <f>IF(DZ182=1,IF(INDEX('Lease Cycles'!$EF$18:$EL$18,1,DZ180)=1,0,DZ183*(1-IF(DZ181&lt;INDEX('Lease Cycles'!$DK$18:$DQ$18,1,DZ180),0,IF(DZ181=INDEX('Lease Cycles'!$DK$18:$DQ$18,1,DZ180),1-INDEX('Lease Cycles'!$DR$18:$DX$18,1,DZ180),1))-IF(DZ181=0,INDEX('Lease Cycles'!$DD$18:$DJ$18,1,DZ180),0))),0)</f>
        <v>0</v>
      </c>
      <c r="EA187" s="28">
        <f>IF(EA182=1,IF(INDEX('Lease Cycles'!$EF$18:$EL$18,1,EA180)=1,0,EA183*(1-IF(EA181&lt;INDEX('Lease Cycles'!$DK$18:$DQ$18,1,EA180),0,IF(EA181=INDEX('Lease Cycles'!$DK$18:$DQ$18,1,EA180),1-INDEX('Lease Cycles'!$DR$18:$DX$18,1,EA180),1))-IF(EA181=0,INDEX('Lease Cycles'!$DD$18:$DJ$18,1,EA180),0))),0)</f>
        <v>0</v>
      </c>
      <c r="EB187" s="28">
        <f>IF(EB182=1,IF(INDEX('Lease Cycles'!$EF$18:$EL$18,1,EB180)=1,0,EB183*(1-IF(EB181&lt;INDEX('Lease Cycles'!$DK$18:$DQ$18,1,EB180),0,IF(EB181=INDEX('Lease Cycles'!$DK$18:$DQ$18,1,EB180),1-INDEX('Lease Cycles'!$DR$18:$DX$18,1,EB180),1))-IF(EB181=0,INDEX('Lease Cycles'!$DD$18:$DJ$18,1,EB180),0))),0)</f>
        <v>0</v>
      </c>
      <c r="EC187" s="28">
        <f>IF(EC182=1,IF(INDEX('Lease Cycles'!$EF$18:$EL$18,1,EC180)=1,0,EC183*(1-IF(EC181&lt;INDEX('Lease Cycles'!$DK$18:$DQ$18,1,EC180),0,IF(EC181=INDEX('Lease Cycles'!$DK$18:$DQ$18,1,EC180),1-INDEX('Lease Cycles'!$DR$18:$DX$18,1,EC180),1))-IF(EC181=0,INDEX('Lease Cycles'!$DD$18:$DJ$18,1,EC180),0))),0)</f>
        <v>0</v>
      </c>
      <c r="ED187" s="28">
        <f>IF(ED182=1,IF(INDEX('Lease Cycles'!$EF$18:$EL$18,1,ED180)=1,0,ED183*(1-IF(ED181&lt;INDEX('Lease Cycles'!$DK$18:$DQ$18,1,ED180),0,IF(ED181=INDEX('Lease Cycles'!$DK$18:$DQ$18,1,ED180),1-INDEX('Lease Cycles'!$DR$18:$DX$18,1,ED180),1))-IF(ED181=0,INDEX('Lease Cycles'!$DD$18:$DJ$18,1,ED180),0))),0)</f>
        <v>0</v>
      </c>
      <c r="EE187" s="28">
        <f>IF(EE182=1,IF(INDEX('Lease Cycles'!$EF$18:$EL$18,1,EE180)=1,0,EE183*(1-IF(EE181&lt;INDEX('Lease Cycles'!$DK$18:$DQ$18,1,EE180),0,IF(EE181=INDEX('Lease Cycles'!$DK$18:$DQ$18,1,EE180),1-INDEX('Lease Cycles'!$DR$18:$DX$18,1,EE180),1))-IF(EE181=0,INDEX('Lease Cycles'!$DD$18:$DJ$18,1,EE180),0))),0)</f>
        <v>0</v>
      </c>
      <c r="EF187" s="28">
        <f>IF(EF182=1,IF(INDEX('Lease Cycles'!$EF$18:$EL$18,1,EF180)=1,0,EF183*(1-IF(EF181&lt;INDEX('Lease Cycles'!$DK$18:$DQ$18,1,EF180),0,IF(EF181=INDEX('Lease Cycles'!$DK$18:$DQ$18,1,EF180),1-INDEX('Lease Cycles'!$DR$18:$DX$18,1,EF180),1))-IF(EF181=0,INDEX('Lease Cycles'!$DD$18:$DJ$18,1,EF180),0))),0)</f>
        <v>0</v>
      </c>
      <c r="EG187" s="28">
        <f>IF(EG182=1,IF(INDEX('Lease Cycles'!$EF$18:$EL$18,1,EG180)=1,0,EG183*(1-IF(EG181&lt;INDEX('Lease Cycles'!$DK$18:$DQ$18,1,EG180),0,IF(EG181=INDEX('Lease Cycles'!$DK$18:$DQ$18,1,EG180),1-INDEX('Lease Cycles'!$DR$18:$DX$18,1,EG180),1))-IF(EG181=0,INDEX('Lease Cycles'!$DD$18:$DJ$18,1,EG180),0))),0)</f>
        <v>0</v>
      </c>
      <c r="EH187" s="28">
        <f>IF(EH182=1,IF(INDEX('Lease Cycles'!$EF$18:$EL$18,1,EH180)=1,0,EH183*(1-IF(EH181&lt;INDEX('Lease Cycles'!$DK$18:$DQ$18,1,EH180),0,IF(EH181=INDEX('Lease Cycles'!$DK$18:$DQ$18,1,EH180),1-INDEX('Lease Cycles'!$DR$18:$DX$18,1,EH180),1))-IF(EH181=0,INDEX('Lease Cycles'!$DD$18:$DJ$18,1,EH180),0))),0)</f>
        <v>0</v>
      </c>
      <c r="EI187" s="28">
        <f>IF(EI182=1,IF(INDEX('Lease Cycles'!$EF$18:$EL$18,1,EI180)=1,0,EI183*(1-IF(EI181&lt;INDEX('Lease Cycles'!$DK$18:$DQ$18,1,EI180),0,IF(EI181=INDEX('Lease Cycles'!$DK$18:$DQ$18,1,EI180),1-INDEX('Lease Cycles'!$DR$18:$DX$18,1,EI180),1))-IF(EI181=0,INDEX('Lease Cycles'!$DD$18:$DJ$18,1,EI180),0))),0)</f>
        <v>0</v>
      </c>
      <c r="EJ187" s="28">
        <f>IF(EJ182=1,IF(INDEX('Lease Cycles'!$EF$18:$EL$18,1,EJ180)=1,0,EJ183*(1-IF(EJ181&lt;INDEX('Lease Cycles'!$DK$18:$DQ$18,1,EJ180),0,IF(EJ181=INDEX('Lease Cycles'!$DK$18:$DQ$18,1,EJ180),1-INDEX('Lease Cycles'!$DR$18:$DX$18,1,EJ180),1))-IF(EJ181=0,INDEX('Lease Cycles'!$DD$18:$DJ$18,1,EJ180),0))),0)</f>
        <v>0</v>
      </c>
      <c r="EK187" s="28">
        <f>IF(EK182=1,IF(INDEX('Lease Cycles'!$EF$18:$EL$18,1,EK180)=1,0,EK183*(1-IF(EK181&lt;INDEX('Lease Cycles'!$DK$18:$DQ$18,1,EK180),0,IF(EK181=INDEX('Lease Cycles'!$DK$18:$DQ$18,1,EK180),1-INDEX('Lease Cycles'!$DR$18:$DX$18,1,EK180),1))-IF(EK181=0,INDEX('Lease Cycles'!$DD$18:$DJ$18,1,EK180),0))),0)</f>
        <v>0</v>
      </c>
      <c r="EL187" s="28">
        <f>IF(EL182=1,IF(INDEX('Lease Cycles'!$EF$18:$EL$18,1,EL180)=1,0,EL183*(1-IF(EL181&lt;INDEX('Lease Cycles'!$DK$18:$DQ$18,1,EL180),0,IF(EL181=INDEX('Lease Cycles'!$DK$18:$DQ$18,1,EL180),1-INDEX('Lease Cycles'!$DR$18:$DX$18,1,EL180),1))-IF(EL181=0,INDEX('Lease Cycles'!$DD$18:$DJ$18,1,EL180),0))),0)</f>
        <v>0</v>
      </c>
      <c r="EM187" s="28">
        <f>IF(EM182=1,IF(INDEX('Lease Cycles'!$EF$18:$EL$18,1,EM180)=1,0,EM183*(1-IF(EM181&lt;INDEX('Lease Cycles'!$DK$18:$DQ$18,1,EM180),0,IF(EM181=INDEX('Lease Cycles'!$DK$18:$DQ$18,1,EM180),1-INDEX('Lease Cycles'!$DR$18:$DX$18,1,EM180),1))-IF(EM181=0,INDEX('Lease Cycles'!$DD$18:$DJ$18,1,EM180),0))),0)</f>
        <v>0</v>
      </c>
      <c r="EN187" s="28">
        <f>IF(EN182=1,IF(INDEX('Lease Cycles'!$EF$18:$EL$18,1,EN180)=1,0,EN183*(1-IF(EN181&lt;INDEX('Lease Cycles'!$DK$18:$DQ$18,1,EN180),0,IF(EN181=INDEX('Lease Cycles'!$DK$18:$DQ$18,1,EN180),1-INDEX('Lease Cycles'!$DR$18:$DX$18,1,EN180),1))-IF(EN181=0,INDEX('Lease Cycles'!$DD$18:$DJ$18,1,EN180),0))),0)</f>
        <v>0</v>
      </c>
      <c r="EO187" s="28">
        <f>IF(EO182=1,IF(INDEX('Lease Cycles'!$EF$18:$EL$18,1,EO180)=1,0,EO183*(1-IF(EO181&lt;INDEX('Lease Cycles'!$DK$18:$DQ$18,1,EO180),0,IF(EO181=INDEX('Lease Cycles'!$DK$18:$DQ$18,1,EO180),1-INDEX('Lease Cycles'!$DR$18:$DX$18,1,EO180),1))-IF(EO181=0,INDEX('Lease Cycles'!$DD$18:$DJ$18,1,EO180),0))),0)</f>
        <v>0</v>
      </c>
      <c r="EP187" s="28">
        <f>IF(EP182=1,IF(INDEX('Lease Cycles'!$EF$18:$EL$18,1,EP180)=1,0,EP183*(1-IF(EP181&lt;INDEX('Lease Cycles'!$DK$18:$DQ$18,1,EP180),0,IF(EP181=INDEX('Lease Cycles'!$DK$18:$DQ$18,1,EP180),1-INDEX('Lease Cycles'!$DR$18:$DX$18,1,EP180),1))-IF(EP181=0,INDEX('Lease Cycles'!$DD$18:$DJ$18,1,EP180),0))),0)</f>
        <v>0</v>
      </c>
      <c r="EQ187" s="28">
        <f>IF(EQ182=1,IF(INDEX('Lease Cycles'!$EF$18:$EL$18,1,EQ180)=1,0,EQ183*(1-IF(EQ181&lt;INDEX('Lease Cycles'!$DK$18:$DQ$18,1,EQ180),0,IF(EQ181=INDEX('Lease Cycles'!$DK$18:$DQ$18,1,EQ180),1-INDEX('Lease Cycles'!$DR$18:$DX$18,1,EQ180),1))-IF(EQ181=0,INDEX('Lease Cycles'!$DD$18:$DJ$18,1,EQ180),0))),0)</f>
        <v>0</v>
      </c>
      <c r="ER187" s="28">
        <f>IF(ER182=1,IF(INDEX('Lease Cycles'!$EF$18:$EL$18,1,ER180)=1,0,ER183*(1-IF(ER181&lt;INDEX('Lease Cycles'!$DK$18:$DQ$18,1,ER180),0,IF(ER181=INDEX('Lease Cycles'!$DK$18:$DQ$18,1,ER180),1-INDEX('Lease Cycles'!$DR$18:$DX$18,1,ER180),1))-IF(ER181=0,INDEX('Lease Cycles'!$DD$18:$DJ$18,1,ER180),0))),0)</f>
        <v>0</v>
      </c>
      <c r="ES187" s="28">
        <f>IF(ES182=1,IF(INDEX('Lease Cycles'!$EF$18:$EL$18,1,ES180)=1,0,ES183*(1-IF(ES181&lt;INDEX('Lease Cycles'!$DK$18:$DQ$18,1,ES180),0,IF(ES181=INDEX('Lease Cycles'!$DK$18:$DQ$18,1,ES180),1-INDEX('Lease Cycles'!$DR$18:$DX$18,1,ES180),1))-IF(ES181=0,INDEX('Lease Cycles'!$DD$18:$DJ$18,1,ES180),0))),0)</f>
        <v>0</v>
      </c>
      <c r="ET187" s="28">
        <f>IF(ET182=1,IF(INDEX('Lease Cycles'!$EF$18:$EL$18,1,ET180)=1,0,ET183*(1-IF(ET181&lt;INDEX('Lease Cycles'!$DK$18:$DQ$18,1,ET180),0,IF(ET181=INDEX('Lease Cycles'!$DK$18:$DQ$18,1,ET180),1-INDEX('Lease Cycles'!$DR$18:$DX$18,1,ET180),1))-IF(ET181=0,INDEX('Lease Cycles'!$DD$18:$DJ$18,1,ET180),0))),0)</f>
        <v>0</v>
      </c>
    </row>
    <row r="188">
      <c r="A188" s="103">
        <v>11</v>
      </c>
      <c r="B188" s="23" t="str">
        <f>IF('Lease Cycles'!$B$18="","(empty slot)",'Lease Cycles'!$B$18)</f>
        <v>(empty slot)</v>
      </c>
      <c r="C188" s="23" t="s">
        <v>683</v>
      </c>
      <c r="D188" s="104" t="s">
        <v>684</v>
      </c>
      <c r="E188" s="25">
        <f>'Lease Cycles'!$AL$18</f>
        <v>0</v>
      </c>
      <c r="G188" s="24">
        <f>SUM(S188:AD188)</f>
        <v>0</v>
      </c>
      <c r="H188" s="24">
        <f>SUM(AE188:AP188)</f>
        <v>0</v>
      </c>
      <c r="I188" s="24">
        <f>SUM(AQ188:BB188)</f>
        <v>0</v>
      </c>
      <c r="J188" s="24">
        <f>SUM(BC188:BN188)</f>
        <v>0</v>
      </c>
      <c r="K188" s="24">
        <f>SUM(BO188:BZ188)</f>
        <v>0</v>
      </c>
      <c r="L188" s="24">
        <f>SUM(CA188:CL188)</f>
        <v>0</v>
      </c>
      <c r="M188" s="24">
        <f>SUM(CM188:CX188)</f>
        <v>0</v>
      </c>
      <c r="N188" s="24">
        <f>SUM(CY188:DJ188)</f>
        <v>0</v>
      </c>
      <c r="O188" s="24">
        <f>SUM(DK188:DV188)</f>
        <v>0</v>
      </c>
      <c r="P188" s="24">
        <f>SUM(DW188:EH188)</f>
        <v>0</v>
      </c>
      <c r="Q188" s="24">
        <f>SUM(EI188:ET188)</f>
        <v>0</v>
      </c>
      <c r="S188" s="24">
        <f>IF(S182=1,'Lease Cycles'!$D$18*IF(INDEX('Lease Cycles'!$EF$18:$EL$18,1,S180)=1,(1-'Lease Cycles'!$AJ$18)*INDEX('Lease Cycles'!$EM$18:$ES$18,1,S180)+(1-'Lease Cycles'!$BE$18)*IF(S181&lt;INDEX('Lease Cycles'!$FA$18:$FG$18,1,S180),0,1-INDEX('Lease Cycles'!$EM$18:$ES$18,1,S180)),IF(OR(INDEX('Lease Cycles'!$DY$18:$EE$18,1,S180)=1,S181&gt;0),1,1-INDEX('Lease Cycles'!$DD$18:$DJ$18,1,S180))*((1-'Lease Cycles'!$AJ$18)*INDEX('Lease Cycles'!$FO$18:$FU$18,1,S180)+(1-'Lease Cycles'!$BE$18)*(1-INDEX('Lease Cycles'!$FO$18:$FU$18,1,S180)))),0)</f>
        <v>0</v>
      </c>
      <c r="T188" s="24">
        <f>IF(T182=1,'Lease Cycles'!$D$18*IF(INDEX('Lease Cycles'!$EF$18:$EL$18,1,T180)=1,(1-'Lease Cycles'!$AJ$18)*INDEX('Lease Cycles'!$EM$18:$ES$18,1,T180)+(1-'Lease Cycles'!$BE$18)*IF(T181&lt;INDEX('Lease Cycles'!$FA$18:$FG$18,1,T180),0,1-INDEX('Lease Cycles'!$EM$18:$ES$18,1,T180)),IF(OR(INDEX('Lease Cycles'!$DY$18:$EE$18,1,T180)=1,T181&gt;0),1,1-INDEX('Lease Cycles'!$DD$18:$DJ$18,1,T180))*((1-'Lease Cycles'!$AJ$18)*INDEX('Lease Cycles'!$FO$18:$FU$18,1,T180)+(1-'Lease Cycles'!$BE$18)*(1-INDEX('Lease Cycles'!$FO$18:$FU$18,1,T180)))),0)</f>
        <v>0</v>
      </c>
      <c r="U188" s="24">
        <f>IF(U182=1,'Lease Cycles'!$D$18*IF(INDEX('Lease Cycles'!$EF$18:$EL$18,1,U180)=1,(1-'Lease Cycles'!$AJ$18)*INDEX('Lease Cycles'!$EM$18:$ES$18,1,U180)+(1-'Lease Cycles'!$BE$18)*IF(U181&lt;INDEX('Lease Cycles'!$FA$18:$FG$18,1,U180),0,1-INDEX('Lease Cycles'!$EM$18:$ES$18,1,U180)),IF(OR(INDEX('Lease Cycles'!$DY$18:$EE$18,1,U180)=1,U181&gt;0),1,1-INDEX('Lease Cycles'!$DD$18:$DJ$18,1,U180))*((1-'Lease Cycles'!$AJ$18)*INDEX('Lease Cycles'!$FO$18:$FU$18,1,U180)+(1-'Lease Cycles'!$BE$18)*(1-INDEX('Lease Cycles'!$FO$18:$FU$18,1,U180)))),0)</f>
        <v>0</v>
      </c>
      <c r="V188" s="24">
        <f>IF(V182=1,'Lease Cycles'!$D$18*IF(INDEX('Lease Cycles'!$EF$18:$EL$18,1,V180)=1,(1-'Lease Cycles'!$AJ$18)*INDEX('Lease Cycles'!$EM$18:$ES$18,1,V180)+(1-'Lease Cycles'!$BE$18)*IF(V181&lt;INDEX('Lease Cycles'!$FA$18:$FG$18,1,V180),0,1-INDEX('Lease Cycles'!$EM$18:$ES$18,1,V180)),IF(OR(INDEX('Lease Cycles'!$DY$18:$EE$18,1,V180)=1,V181&gt;0),1,1-INDEX('Lease Cycles'!$DD$18:$DJ$18,1,V180))*((1-'Lease Cycles'!$AJ$18)*INDEX('Lease Cycles'!$FO$18:$FU$18,1,V180)+(1-'Lease Cycles'!$BE$18)*(1-INDEX('Lease Cycles'!$FO$18:$FU$18,1,V180)))),0)</f>
        <v>0</v>
      </c>
      <c r="W188" s="24">
        <f>IF(W182=1,'Lease Cycles'!$D$18*IF(INDEX('Lease Cycles'!$EF$18:$EL$18,1,W180)=1,(1-'Lease Cycles'!$AJ$18)*INDEX('Lease Cycles'!$EM$18:$ES$18,1,W180)+(1-'Lease Cycles'!$BE$18)*IF(W181&lt;INDEX('Lease Cycles'!$FA$18:$FG$18,1,W180),0,1-INDEX('Lease Cycles'!$EM$18:$ES$18,1,W180)),IF(OR(INDEX('Lease Cycles'!$DY$18:$EE$18,1,W180)=1,W181&gt;0),1,1-INDEX('Lease Cycles'!$DD$18:$DJ$18,1,W180))*((1-'Lease Cycles'!$AJ$18)*INDEX('Lease Cycles'!$FO$18:$FU$18,1,W180)+(1-'Lease Cycles'!$BE$18)*(1-INDEX('Lease Cycles'!$FO$18:$FU$18,1,W180)))),0)</f>
        <v>0</v>
      </c>
      <c r="X188" s="24">
        <f>IF(X182=1,'Lease Cycles'!$D$18*IF(INDEX('Lease Cycles'!$EF$18:$EL$18,1,X180)=1,(1-'Lease Cycles'!$AJ$18)*INDEX('Lease Cycles'!$EM$18:$ES$18,1,X180)+(1-'Lease Cycles'!$BE$18)*IF(X181&lt;INDEX('Lease Cycles'!$FA$18:$FG$18,1,X180),0,1-INDEX('Lease Cycles'!$EM$18:$ES$18,1,X180)),IF(OR(INDEX('Lease Cycles'!$DY$18:$EE$18,1,X180)=1,X181&gt;0),1,1-INDEX('Lease Cycles'!$DD$18:$DJ$18,1,X180))*((1-'Lease Cycles'!$AJ$18)*INDEX('Lease Cycles'!$FO$18:$FU$18,1,X180)+(1-'Lease Cycles'!$BE$18)*(1-INDEX('Lease Cycles'!$FO$18:$FU$18,1,X180)))),0)</f>
        <v>0</v>
      </c>
      <c r="Y188" s="24">
        <f>IF(Y182=1,'Lease Cycles'!$D$18*IF(INDEX('Lease Cycles'!$EF$18:$EL$18,1,Y180)=1,(1-'Lease Cycles'!$AJ$18)*INDEX('Lease Cycles'!$EM$18:$ES$18,1,Y180)+(1-'Lease Cycles'!$BE$18)*IF(Y181&lt;INDEX('Lease Cycles'!$FA$18:$FG$18,1,Y180),0,1-INDEX('Lease Cycles'!$EM$18:$ES$18,1,Y180)),IF(OR(INDEX('Lease Cycles'!$DY$18:$EE$18,1,Y180)=1,Y181&gt;0),1,1-INDEX('Lease Cycles'!$DD$18:$DJ$18,1,Y180))*((1-'Lease Cycles'!$AJ$18)*INDEX('Lease Cycles'!$FO$18:$FU$18,1,Y180)+(1-'Lease Cycles'!$BE$18)*(1-INDEX('Lease Cycles'!$FO$18:$FU$18,1,Y180)))),0)</f>
        <v>0</v>
      </c>
      <c r="Z188" s="24">
        <f>IF(Z182=1,'Lease Cycles'!$D$18*IF(INDEX('Lease Cycles'!$EF$18:$EL$18,1,Z180)=1,(1-'Lease Cycles'!$AJ$18)*INDEX('Lease Cycles'!$EM$18:$ES$18,1,Z180)+(1-'Lease Cycles'!$BE$18)*IF(Z181&lt;INDEX('Lease Cycles'!$FA$18:$FG$18,1,Z180),0,1-INDEX('Lease Cycles'!$EM$18:$ES$18,1,Z180)),IF(OR(INDEX('Lease Cycles'!$DY$18:$EE$18,1,Z180)=1,Z181&gt;0),1,1-INDEX('Lease Cycles'!$DD$18:$DJ$18,1,Z180))*((1-'Lease Cycles'!$AJ$18)*INDEX('Lease Cycles'!$FO$18:$FU$18,1,Z180)+(1-'Lease Cycles'!$BE$18)*(1-INDEX('Lease Cycles'!$FO$18:$FU$18,1,Z180)))),0)</f>
        <v>0</v>
      </c>
      <c r="AA188" s="24">
        <f>IF(AA182=1,'Lease Cycles'!$D$18*IF(INDEX('Lease Cycles'!$EF$18:$EL$18,1,AA180)=1,(1-'Lease Cycles'!$AJ$18)*INDEX('Lease Cycles'!$EM$18:$ES$18,1,AA180)+(1-'Lease Cycles'!$BE$18)*IF(AA181&lt;INDEX('Lease Cycles'!$FA$18:$FG$18,1,AA180),0,1-INDEX('Lease Cycles'!$EM$18:$ES$18,1,AA180)),IF(OR(INDEX('Lease Cycles'!$DY$18:$EE$18,1,AA180)=1,AA181&gt;0),1,1-INDEX('Lease Cycles'!$DD$18:$DJ$18,1,AA180))*((1-'Lease Cycles'!$AJ$18)*INDEX('Lease Cycles'!$FO$18:$FU$18,1,AA180)+(1-'Lease Cycles'!$BE$18)*(1-INDEX('Lease Cycles'!$FO$18:$FU$18,1,AA180)))),0)</f>
        <v>0</v>
      </c>
      <c r="AB188" s="24">
        <f>IF(AB182=1,'Lease Cycles'!$D$18*IF(INDEX('Lease Cycles'!$EF$18:$EL$18,1,AB180)=1,(1-'Lease Cycles'!$AJ$18)*INDEX('Lease Cycles'!$EM$18:$ES$18,1,AB180)+(1-'Lease Cycles'!$BE$18)*IF(AB181&lt;INDEX('Lease Cycles'!$FA$18:$FG$18,1,AB180),0,1-INDEX('Lease Cycles'!$EM$18:$ES$18,1,AB180)),IF(OR(INDEX('Lease Cycles'!$DY$18:$EE$18,1,AB180)=1,AB181&gt;0),1,1-INDEX('Lease Cycles'!$DD$18:$DJ$18,1,AB180))*((1-'Lease Cycles'!$AJ$18)*INDEX('Lease Cycles'!$FO$18:$FU$18,1,AB180)+(1-'Lease Cycles'!$BE$18)*(1-INDEX('Lease Cycles'!$FO$18:$FU$18,1,AB180)))),0)</f>
        <v>0</v>
      </c>
      <c r="AC188" s="24">
        <f>IF(AC182=1,'Lease Cycles'!$D$18*IF(INDEX('Lease Cycles'!$EF$18:$EL$18,1,AC180)=1,(1-'Lease Cycles'!$AJ$18)*INDEX('Lease Cycles'!$EM$18:$ES$18,1,AC180)+(1-'Lease Cycles'!$BE$18)*IF(AC181&lt;INDEX('Lease Cycles'!$FA$18:$FG$18,1,AC180),0,1-INDEX('Lease Cycles'!$EM$18:$ES$18,1,AC180)),IF(OR(INDEX('Lease Cycles'!$DY$18:$EE$18,1,AC180)=1,AC181&gt;0),1,1-INDEX('Lease Cycles'!$DD$18:$DJ$18,1,AC180))*((1-'Lease Cycles'!$AJ$18)*INDEX('Lease Cycles'!$FO$18:$FU$18,1,AC180)+(1-'Lease Cycles'!$BE$18)*(1-INDEX('Lease Cycles'!$FO$18:$FU$18,1,AC180)))),0)</f>
        <v>0</v>
      </c>
      <c r="AD188" s="24">
        <f>IF(AD182=1,'Lease Cycles'!$D$18*IF(INDEX('Lease Cycles'!$EF$18:$EL$18,1,AD180)=1,(1-'Lease Cycles'!$AJ$18)*INDEX('Lease Cycles'!$EM$18:$ES$18,1,AD180)+(1-'Lease Cycles'!$BE$18)*IF(AD181&lt;INDEX('Lease Cycles'!$FA$18:$FG$18,1,AD180),0,1-INDEX('Lease Cycles'!$EM$18:$ES$18,1,AD180)),IF(OR(INDEX('Lease Cycles'!$DY$18:$EE$18,1,AD180)=1,AD181&gt;0),1,1-INDEX('Lease Cycles'!$DD$18:$DJ$18,1,AD180))*((1-'Lease Cycles'!$AJ$18)*INDEX('Lease Cycles'!$FO$18:$FU$18,1,AD180)+(1-'Lease Cycles'!$BE$18)*(1-INDEX('Lease Cycles'!$FO$18:$FU$18,1,AD180)))),0)</f>
        <v>0</v>
      </c>
      <c r="AE188" s="24">
        <f>IF(AE182=1,'Lease Cycles'!$D$18*IF(INDEX('Lease Cycles'!$EF$18:$EL$18,1,AE180)=1,(1-'Lease Cycles'!$AJ$18)*INDEX('Lease Cycles'!$EM$18:$ES$18,1,AE180)+(1-'Lease Cycles'!$BE$18)*IF(AE181&lt;INDEX('Lease Cycles'!$FA$18:$FG$18,1,AE180),0,1-INDEX('Lease Cycles'!$EM$18:$ES$18,1,AE180)),IF(OR(INDEX('Lease Cycles'!$DY$18:$EE$18,1,AE180)=1,AE181&gt;0),1,1-INDEX('Lease Cycles'!$DD$18:$DJ$18,1,AE180))*((1-'Lease Cycles'!$AJ$18)*INDEX('Lease Cycles'!$FO$18:$FU$18,1,AE180)+(1-'Lease Cycles'!$BE$18)*(1-INDEX('Lease Cycles'!$FO$18:$FU$18,1,AE180)))),0)</f>
        <v>0</v>
      </c>
      <c r="AF188" s="24">
        <f>IF(AF182=1,'Lease Cycles'!$D$18*IF(INDEX('Lease Cycles'!$EF$18:$EL$18,1,AF180)=1,(1-'Lease Cycles'!$AJ$18)*INDEX('Lease Cycles'!$EM$18:$ES$18,1,AF180)+(1-'Lease Cycles'!$BE$18)*IF(AF181&lt;INDEX('Lease Cycles'!$FA$18:$FG$18,1,AF180),0,1-INDEX('Lease Cycles'!$EM$18:$ES$18,1,AF180)),IF(OR(INDEX('Lease Cycles'!$DY$18:$EE$18,1,AF180)=1,AF181&gt;0),1,1-INDEX('Lease Cycles'!$DD$18:$DJ$18,1,AF180))*((1-'Lease Cycles'!$AJ$18)*INDEX('Lease Cycles'!$FO$18:$FU$18,1,AF180)+(1-'Lease Cycles'!$BE$18)*(1-INDEX('Lease Cycles'!$FO$18:$FU$18,1,AF180)))),0)</f>
        <v>0</v>
      </c>
      <c r="AG188" s="24">
        <f>IF(AG182=1,'Lease Cycles'!$D$18*IF(INDEX('Lease Cycles'!$EF$18:$EL$18,1,AG180)=1,(1-'Lease Cycles'!$AJ$18)*INDEX('Lease Cycles'!$EM$18:$ES$18,1,AG180)+(1-'Lease Cycles'!$BE$18)*IF(AG181&lt;INDEX('Lease Cycles'!$FA$18:$FG$18,1,AG180),0,1-INDEX('Lease Cycles'!$EM$18:$ES$18,1,AG180)),IF(OR(INDEX('Lease Cycles'!$DY$18:$EE$18,1,AG180)=1,AG181&gt;0),1,1-INDEX('Lease Cycles'!$DD$18:$DJ$18,1,AG180))*((1-'Lease Cycles'!$AJ$18)*INDEX('Lease Cycles'!$FO$18:$FU$18,1,AG180)+(1-'Lease Cycles'!$BE$18)*(1-INDEX('Lease Cycles'!$FO$18:$FU$18,1,AG180)))),0)</f>
        <v>0</v>
      </c>
      <c r="AH188" s="24">
        <f>IF(AH182=1,'Lease Cycles'!$D$18*IF(INDEX('Lease Cycles'!$EF$18:$EL$18,1,AH180)=1,(1-'Lease Cycles'!$AJ$18)*INDEX('Lease Cycles'!$EM$18:$ES$18,1,AH180)+(1-'Lease Cycles'!$BE$18)*IF(AH181&lt;INDEX('Lease Cycles'!$FA$18:$FG$18,1,AH180),0,1-INDEX('Lease Cycles'!$EM$18:$ES$18,1,AH180)),IF(OR(INDEX('Lease Cycles'!$DY$18:$EE$18,1,AH180)=1,AH181&gt;0),1,1-INDEX('Lease Cycles'!$DD$18:$DJ$18,1,AH180))*((1-'Lease Cycles'!$AJ$18)*INDEX('Lease Cycles'!$FO$18:$FU$18,1,AH180)+(1-'Lease Cycles'!$BE$18)*(1-INDEX('Lease Cycles'!$FO$18:$FU$18,1,AH180)))),0)</f>
        <v>0</v>
      </c>
      <c r="AI188" s="24">
        <f>IF(AI182=1,'Lease Cycles'!$D$18*IF(INDEX('Lease Cycles'!$EF$18:$EL$18,1,AI180)=1,(1-'Lease Cycles'!$AJ$18)*INDEX('Lease Cycles'!$EM$18:$ES$18,1,AI180)+(1-'Lease Cycles'!$BE$18)*IF(AI181&lt;INDEX('Lease Cycles'!$FA$18:$FG$18,1,AI180),0,1-INDEX('Lease Cycles'!$EM$18:$ES$18,1,AI180)),IF(OR(INDEX('Lease Cycles'!$DY$18:$EE$18,1,AI180)=1,AI181&gt;0),1,1-INDEX('Lease Cycles'!$DD$18:$DJ$18,1,AI180))*((1-'Lease Cycles'!$AJ$18)*INDEX('Lease Cycles'!$FO$18:$FU$18,1,AI180)+(1-'Lease Cycles'!$BE$18)*(1-INDEX('Lease Cycles'!$FO$18:$FU$18,1,AI180)))),0)</f>
        <v>0</v>
      </c>
      <c r="AJ188" s="24">
        <f>IF(AJ182=1,'Lease Cycles'!$D$18*IF(INDEX('Lease Cycles'!$EF$18:$EL$18,1,AJ180)=1,(1-'Lease Cycles'!$AJ$18)*INDEX('Lease Cycles'!$EM$18:$ES$18,1,AJ180)+(1-'Lease Cycles'!$BE$18)*IF(AJ181&lt;INDEX('Lease Cycles'!$FA$18:$FG$18,1,AJ180),0,1-INDEX('Lease Cycles'!$EM$18:$ES$18,1,AJ180)),IF(OR(INDEX('Lease Cycles'!$DY$18:$EE$18,1,AJ180)=1,AJ181&gt;0),1,1-INDEX('Lease Cycles'!$DD$18:$DJ$18,1,AJ180))*((1-'Lease Cycles'!$AJ$18)*INDEX('Lease Cycles'!$FO$18:$FU$18,1,AJ180)+(1-'Lease Cycles'!$BE$18)*(1-INDEX('Lease Cycles'!$FO$18:$FU$18,1,AJ180)))),0)</f>
        <v>0</v>
      </c>
      <c r="AK188" s="24">
        <f>IF(AK182=1,'Lease Cycles'!$D$18*IF(INDEX('Lease Cycles'!$EF$18:$EL$18,1,AK180)=1,(1-'Lease Cycles'!$AJ$18)*INDEX('Lease Cycles'!$EM$18:$ES$18,1,AK180)+(1-'Lease Cycles'!$BE$18)*IF(AK181&lt;INDEX('Lease Cycles'!$FA$18:$FG$18,1,AK180),0,1-INDEX('Lease Cycles'!$EM$18:$ES$18,1,AK180)),IF(OR(INDEX('Lease Cycles'!$DY$18:$EE$18,1,AK180)=1,AK181&gt;0),1,1-INDEX('Lease Cycles'!$DD$18:$DJ$18,1,AK180))*((1-'Lease Cycles'!$AJ$18)*INDEX('Lease Cycles'!$FO$18:$FU$18,1,AK180)+(1-'Lease Cycles'!$BE$18)*(1-INDEX('Lease Cycles'!$FO$18:$FU$18,1,AK180)))),0)</f>
        <v>0</v>
      </c>
      <c r="AL188" s="24">
        <f>IF(AL182=1,'Lease Cycles'!$D$18*IF(INDEX('Lease Cycles'!$EF$18:$EL$18,1,AL180)=1,(1-'Lease Cycles'!$AJ$18)*INDEX('Lease Cycles'!$EM$18:$ES$18,1,AL180)+(1-'Lease Cycles'!$BE$18)*IF(AL181&lt;INDEX('Lease Cycles'!$FA$18:$FG$18,1,AL180),0,1-INDEX('Lease Cycles'!$EM$18:$ES$18,1,AL180)),IF(OR(INDEX('Lease Cycles'!$DY$18:$EE$18,1,AL180)=1,AL181&gt;0),1,1-INDEX('Lease Cycles'!$DD$18:$DJ$18,1,AL180))*((1-'Lease Cycles'!$AJ$18)*INDEX('Lease Cycles'!$FO$18:$FU$18,1,AL180)+(1-'Lease Cycles'!$BE$18)*(1-INDEX('Lease Cycles'!$FO$18:$FU$18,1,AL180)))),0)</f>
        <v>0</v>
      </c>
      <c r="AM188" s="24">
        <f>IF(AM182=1,'Lease Cycles'!$D$18*IF(INDEX('Lease Cycles'!$EF$18:$EL$18,1,AM180)=1,(1-'Lease Cycles'!$AJ$18)*INDEX('Lease Cycles'!$EM$18:$ES$18,1,AM180)+(1-'Lease Cycles'!$BE$18)*IF(AM181&lt;INDEX('Lease Cycles'!$FA$18:$FG$18,1,AM180),0,1-INDEX('Lease Cycles'!$EM$18:$ES$18,1,AM180)),IF(OR(INDEX('Lease Cycles'!$DY$18:$EE$18,1,AM180)=1,AM181&gt;0),1,1-INDEX('Lease Cycles'!$DD$18:$DJ$18,1,AM180))*((1-'Lease Cycles'!$AJ$18)*INDEX('Lease Cycles'!$FO$18:$FU$18,1,AM180)+(1-'Lease Cycles'!$BE$18)*(1-INDEX('Lease Cycles'!$FO$18:$FU$18,1,AM180)))),0)</f>
        <v>0</v>
      </c>
      <c r="AN188" s="24">
        <f>IF(AN182=1,'Lease Cycles'!$D$18*IF(INDEX('Lease Cycles'!$EF$18:$EL$18,1,AN180)=1,(1-'Lease Cycles'!$AJ$18)*INDEX('Lease Cycles'!$EM$18:$ES$18,1,AN180)+(1-'Lease Cycles'!$BE$18)*IF(AN181&lt;INDEX('Lease Cycles'!$FA$18:$FG$18,1,AN180),0,1-INDEX('Lease Cycles'!$EM$18:$ES$18,1,AN180)),IF(OR(INDEX('Lease Cycles'!$DY$18:$EE$18,1,AN180)=1,AN181&gt;0),1,1-INDEX('Lease Cycles'!$DD$18:$DJ$18,1,AN180))*((1-'Lease Cycles'!$AJ$18)*INDEX('Lease Cycles'!$FO$18:$FU$18,1,AN180)+(1-'Lease Cycles'!$BE$18)*(1-INDEX('Lease Cycles'!$FO$18:$FU$18,1,AN180)))),0)</f>
        <v>0</v>
      </c>
      <c r="AO188" s="24">
        <f>IF(AO182=1,'Lease Cycles'!$D$18*IF(INDEX('Lease Cycles'!$EF$18:$EL$18,1,AO180)=1,(1-'Lease Cycles'!$AJ$18)*INDEX('Lease Cycles'!$EM$18:$ES$18,1,AO180)+(1-'Lease Cycles'!$BE$18)*IF(AO181&lt;INDEX('Lease Cycles'!$FA$18:$FG$18,1,AO180),0,1-INDEX('Lease Cycles'!$EM$18:$ES$18,1,AO180)),IF(OR(INDEX('Lease Cycles'!$DY$18:$EE$18,1,AO180)=1,AO181&gt;0),1,1-INDEX('Lease Cycles'!$DD$18:$DJ$18,1,AO180))*((1-'Lease Cycles'!$AJ$18)*INDEX('Lease Cycles'!$FO$18:$FU$18,1,AO180)+(1-'Lease Cycles'!$BE$18)*(1-INDEX('Lease Cycles'!$FO$18:$FU$18,1,AO180)))),0)</f>
        <v>0</v>
      </c>
      <c r="AP188" s="24">
        <f>IF(AP182=1,'Lease Cycles'!$D$18*IF(INDEX('Lease Cycles'!$EF$18:$EL$18,1,AP180)=1,(1-'Lease Cycles'!$AJ$18)*INDEX('Lease Cycles'!$EM$18:$ES$18,1,AP180)+(1-'Lease Cycles'!$BE$18)*IF(AP181&lt;INDEX('Lease Cycles'!$FA$18:$FG$18,1,AP180),0,1-INDEX('Lease Cycles'!$EM$18:$ES$18,1,AP180)),IF(OR(INDEX('Lease Cycles'!$DY$18:$EE$18,1,AP180)=1,AP181&gt;0),1,1-INDEX('Lease Cycles'!$DD$18:$DJ$18,1,AP180))*((1-'Lease Cycles'!$AJ$18)*INDEX('Lease Cycles'!$FO$18:$FU$18,1,AP180)+(1-'Lease Cycles'!$BE$18)*(1-INDEX('Lease Cycles'!$FO$18:$FU$18,1,AP180)))),0)</f>
        <v>0</v>
      </c>
      <c r="AQ188" s="24">
        <f>IF(AQ182=1,'Lease Cycles'!$D$18*IF(INDEX('Lease Cycles'!$EF$18:$EL$18,1,AQ180)=1,(1-'Lease Cycles'!$AJ$18)*INDEX('Lease Cycles'!$EM$18:$ES$18,1,AQ180)+(1-'Lease Cycles'!$BE$18)*IF(AQ181&lt;INDEX('Lease Cycles'!$FA$18:$FG$18,1,AQ180),0,1-INDEX('Lease Cycles'!$EM$18:$ES$18,1,AQ180)),IF(OR(INDEX('Lease Cycles'!$DY$18:$EE$18,1,AQ180)=1,AQ181&gt;0),1,1-INDEX('Lease Cycles'!$DD$18:$DJ$18,1,AQ180))*((1-'Lease Cycles'!$AJ$18)*INDEX('Lease Cycles'!$FO$18:$FU$18,1,AQ180)+(1-'Lease Cycles'!$BE$18)*(1-INDEX('Lease Cycles'!$FO$18:$FU$18,1,AQ180)))),0)</f>
        <v>0</v>
      </c>
      <c r="AR188" s="24">
        <f>IF(AR182=1,'Lease Cycles'!$D$18*IF(INDEX('Lease Cycles'!$EF$18:$EL$18,1,AR180)=1,(1-'Lease Cycles'!$AJ$18)*INDEX('Lease Cycles'!$EM$18:$ES$18,1,AR180)+(1-'Lease Cycles'!$BE$18)*IF(AR181&lt;INDEX('Lease Cycles'!$FA$18:$FG$18,1,AR180),0,1-INDEX('Lease Cycles'!$EM$18:$ES$18,1,AR180)),IF(OR(INDEX('Lease Cycles'!$DY$18:$EE$18,1,AR180)=1,AR181&gt;0),1,1-INDEX('Lease Cycles'!$DD$18:$DJ$18,1,AR180))*((1-'Lease Cycles'!$AJ$18)*INDEX('Lease Cycles'!$FO$18:$FU$18,1,AR180)+(1-'Lease Cycles'!$BE$18)*(1-INDEX('Lease Cycles'!$FO$18:$FU$18,1,AR180)))),0)</f>
        <v>0</v>
      </c>
      <c r="AS188" s="24">
        <f>IF(AS182=1,'Lease Cycles'!$D$18*IF(INDEX('Lease Cycles'!$EF$18:$EL$18,1,AS180)=1,(1-'Lease Cycles'!$AJ$18)*INDEX('Lease Cycles'!$EM$18:$ES$18,1,AS180)+(1-'Lease Cycles'!$BE$18)*IF(AS181&lt;INDEX('Lease Cycles'!$FA$18:$FG$18,1,AS180),0,1-INDEX('Lease Cycles'!$EM$18:$ES$18,1,AS180)),IF(OR(INDEX('Lease Cycles'!$DY$18:$EE$18,1,AS180)=1,AS181&gt;0),1,1-INDEX('Lease Cycles'!$DD$18:$DJ$18,1,AS180))*((1-'Lease Cycles'!$AJ$18)*INDEX('Lease Cycles'!$FO$18:$FU$18,1,AS180)+(1-'Lease Cycles'!$BE$18)*(1-INDEX('Lease Cycles'!$FO$18:$FU$18,1,AS180)))),0)</f>
        <v>0</v>
      </c>
      <c r="AT188" s="24">
        <f>IF(AT182=1,'Lease Cycles'!$D$18*IF(INDEX('Lease Cycles'!$EF$18:$EL$18,1,AT180)=1,(1-'Lease Cycles'!$AJ$18)*INDEX('Lease Cycles'!$EM$18:$ES$18,1,AT180)+(1-'Lease Cycles'!$BE$18)*IF(AT181&lt;INDEX('Lease Cycles'!$FA$18:$FG$18,1,AT180),0,1-INDEX('Lease Cycles'!$EM$18:$ES$18,1,AT180)),IF(OR(INDEX('Lease Cycles'!$DY$18:$EE$18,1,AT180)=1,AT181&gt;0),1,1-INDEX('Lease Cycles'!$DD$18:$DJ$18,1,AT180))*((1-'Lease Cycles'!$AJ$18)*INDEX('Lease Cycles'!$FO$18:$FU$18,1,AT180)+(1-'Lease Cycles'!$BE$18)*(1-INDEX('Lease Cycles'!$FO$18:$FU$18,1,AT180)))),0)</f>
        <v>0</v>
      </c>
      <c r="AU188" s="24">
        <f>IF(AU182=1,'Lease Cycles'!$D$18*IF(INDEX('Lease Cycles'!$EF$18:$EL$18,1,AU180)=1,(1-'Lease Cycles'!$AJ$18)*INDEX('Lease Cycles'!$EM$18:$ES$18,1,AU180)+(1-'Lease Cycles'!$BE$18)*IF(AU181&lt;INDEX('Lease Cycles'!$FA$18:$FG$18,1,AU180),0,1-INDEX('Lease Cycles'!$EM$18:$ES$18,1,AU180)),IF(OR(INDEX('Lease Cycles'!$DY$18:$EE$18,1,AU180)=1,AU181&gt;0),1,1-INDEX('Lease Cycles'!$DD$18:$DJ$18,1,AU180))*((1-'Lease Cycles'!$AJ$18)*INDEX('Lease Cycles'!$FO$18:$FU$18,1,AU180)+(1-'Lease Cycles'!$BE$18)*(1-INDEX('Lease Cycles'!$FO$18:$FU$18,1,AU180)))),0)</f>
        <v>0</v>
      </c>
      <c r="AV188" s="24">
        <f>IF(AV182=1,'Lease Cycles'!$D$18*IF(INDEX('Lease Cycles'!$EF$18:$EL$18,1,AV180)=1,(1-'Lease Cycles'!$AJ$18)*INDEX('Lease Cycles'!$EM$18:$ES$18,1,AV180)+(1-'Lease Cycles'!$BE$18)*IF(AV181&lt;INDEX('Lease Cycles'!$FA$18:$FG$18,1,AV180),0,1-INDEX('Lease Cycles'!$EM$18:$ES$18,1,AV180)),IF(OR(INDEX('Lease Cycles'!$DY$18:$EE$18,1,AV180)=1,AV181&gt;0),1,1-INDEX('Lease Cycles'!$DD$18:$DJ$18,1,AV180))*((1-'Lease Cycles'!$AJ$18)*INDEX('Lease Cycles'!$FO$18:$FU$18,1,AV180)+(1-'Lease Cycles'!$BE$18)*(1-INDEX('Lease Cycles'!$FO$18:$FU$18,1,AV180)))),0)</f>
        <v>0</v>
      </c>
      <c r="AW188" s="24">
        <f>IF(AW182=1,'Lease Cycles'!$D$18*IF(INDEX('Lease Cycles'!$EF$18:$EL$18,1,AW180)=1,(1-'Lease Cycles'!$AJ$18)*INDEX('Lease Cycles'!$EM$18:$ES$18,1,AW180)+(1-'Lease Cycles'!$BE$18)*IF(AW181&lt;INDEX('Lease Cycles'!$FA$18:$FG$18,1,AW180),0,1-INDEX('Lease Cycles'!$EM$18:$ES$18,1,AW180)),IF(OR(INDEX('Lease Cycles'!$DY$18:$EE$18,1,AW180)=1,AW181&gt;0),1,1-INDEX('Lease Cycles'!$DD$18:$DJ$18,1,AW180))*((1-'Lease Cycles'!$AJ$18)*INDEX('Lease Cycles'!$FO$18:$FU$18,1,AW180)+(1-'Lease Cycles'!$BE$18)*(1-INDEX('Lease Cycles'!$FO$18:$FU$18,1,AW180)))),0)</f>
        <v>0</v>
      </c>
      <c r="AX188" s="24">
        <f>IF(AX182=1,'Lease Cycles'!$D$18*IF(INDEX('Lease Cycles'!$EF$18:$EL$18,1,AX180)=1,(1-'Lease Cycles'!$AJ$18)*INDEX('Lease Cycles'!$EM$18:$ES$18,1,AX180)+(1-'Lease Cycles'!$BE$18)*IF(AX181&lt;INDEX('Lease Cycles'!$FA$18:$FG$18,1,AX180),0,1-INDEX('Lease Cycles'!$EM$18:$ES$18,1,AX180)),IF(OR(INDEX('Lease Cycles'!$DY$18:$EE$18,1,AX180)=1,AX181&gt;0),1,1-INDEX('Lease Cycles'!$DD$18:$DJ$18,1,AX180))*((1-'Lease Cycles'!$AJ$18)*INDEX('Lease Cycles'!$FO$18:$FU$18,1,AX180)+(1-'Lease Cycles'!$BE$18)*(1-INDEX('Lease Cycles'!$FO$18:$FU$18,1,AX180)))),0)</f>
        <v>0</v>
      </c>
      <c r="AY188" s="24">
        <f>IF(AY182=1,'Lease Cycles'!$D$18*IF(INDEX('Lease Cycles'!$EF$18:$EL$18,1,AY180)=1,(1-'Lease Cycles'!$AJ$18)*INDEX('Lease Cycles'!$EM$18:$ES$18,1,AY180)+(1-'Lease Cycles'!$BE$18)*IF(AY181&lt;INDEX('Lease Cycles'!$FA$18:$FG$18,1,AY180),0,1-INDEX('Lease Cycles'!$EM$18:$ES$18,1,AY180)),IF(OR(INDEX('Lease Cycles'!$DY$18:$EE$18,1,AY180)=1,AY181&gt;0),1,1-INDEX('Lease Cycles'!$DD$18:$DJ$18,1,AY180))*((1-'Lease Cycles'!$AJ$18)*INDEX('Lease Cycles'!$FO$18:$FU$18,1,AY180)+(1-'Lease Cycles'!$BE$18)*(1-INDEX('Lease Cycles'!$FO$18:$FU$18,1,AY180)))),0)</f>
        <v>0</v>
      </c>
      <c r="AZ188" s="24">
        <f>IF(AZ182=1,'Lease Cycles'!$D$18*IF(INDEX('Lease Cycles'!$EF$18:$EL$18,1,AZ180)=1,(1-'Lease Cycles'!$AJ$18)*INDEX('Lease Cycles'!$EM$18:$ES$18,1,AZ180)+(1-'Lease Cycles'!$BE$18)*IF(AZ181&lt;INDEX('Lease Cycles'!$FA$18:$FG$18,1,AZ180),0,1-INDEX('Lease Cycles'!$EM$18:$ES$18,1,AZ180)),IF(OR(INDEX('Lease Cycles'!$DY$18:$EE$18,1,AZ180)=1,AZ181&gt;0),1,1-INDEX('Lease Cycles'!$DD$18:$DJ$18,1,AZ180))*((1-'Lease Cycles'!$AJ$18)*INDEX('Lease Cycles'!$FO$18:$FU$18,1,AZ180)+(1-'Lease Cycles'!$BE$18)*(1-INDEX('Lease Cycles'!$FO$18:$FU$18,1,AZ180)))),0)</f>
        <v>0</v>
      </c>
      <c r="BA188" s="24">
        <f>IF(BA182=1,'Lease Cycles'!$D$18*IF(INDEX('Lease Cycles'!$EF$18:$EL$18,1,BA180)=1,(1-'Lease Cycles'!$AJ$18)*INDEX('Lease Cycles'!$EM$18:$ES$18,1,BA180)+(1-'Lease Cycles'!$BE$18)*IF(BA181&lt;INDEX('Lease Cycles'!$FA$18:$FG$18,1,BA180),0,1-INDEX('Lease Cycles'!$EM$18:$ES$18,1,BA180)),IF(OR(INDEX('Lease Cycles'!$DY$18:$EE$18,1,BA180)=1,BA181&gt;0),1,1-INDEX('Lease Cycles'!$DD$18:$DJ$18,1,BA180))*((1-'Lease Cycles'!$AJ$18)*INDEX('Lease Cycles'!$FO$18:$FU$18,1,BA180)+(1-'Lease Cycles'!$BE$18)*(1-INDEX('Lease Cycles'!$FO$18:$FU$18,1,BA180)))),0)</f>
        <v>0</v>
      </c>
      <c r="BB188" s="24">
        <f>IF(BB182=1,'Lease Cycles'!$D$18*IF(INDEX('Lease Cycles'!$EF$18:$EL$18,1,BB180)=1,(1-'Lease Cycles'!$AJ$18)*INDEX('Lease Cycles'!$EM$18:$ES$18,1,BB180)+(1-'Lease Cycles'!$BE$18)*IF(BB181&lt;INDEX('Lease Cycles'!$FA$18:$FG$18,1,BB180),0,1-INDEX('Lease Cycles'!$EM$18:$ES$18,1,BB180)),IF(OR(INDEX('Lease Cycles'!$DY$18:$EE$18,1,BB180)=1,BB181&gt;0),1,1-INDEX('Lease Cycles'!$DD$18:$DJ$18,1,BB180))*((1-'Lease Cycles'!$AJ$18)*INDEX('Lease Cycles'!$FO$18:$FU$18,1,BB180)+(1-'Lease Cycles'!$BE$18)*(1-INDEX('Lease Cycles'!$FO$18:$FU$18,1,BB180)))),0)</f>
        <v>0</v>
      </c>
      <c r="BC188" s="24">
        <f>IF(BC182=1,'Lease Cycles'!$D$18*IF(INDEX('Lease Cycles'!$EF$18:$EL$18,1,BC180)=1,(1-'Lease Cycles'!$AJ$18)*INDEX('Lease Cycles'!$EM$18:$ES$18,1,BC180)+(1-'Lease Cycles'!$BE$18)*IF(BC181&lt;INDEX('Lease Cycles'!$FA$18:$FG$18,1,BC180),0,1-INDEX('Lease Cycles'!$EM$18:$ES$18,1,BC180)),IF(OR(INDEX('Lease Cycles'!$DY$18:$EE$18,1,BC180)=1,BC181&gt;0),1,1-INDEX('Lease Cycles'!$DD$18:$DJ$18,1,BC180))*((1-'Lease Cycles'!$AJ$18)*INDEX('Lease Cycles'!$FO$18:$FU$18,1,BC180)+(1-'Lease Cycles'!$BE$18)*(1-INDEX('Lease Cycles'!$FO$18:$FU$18,1,BC180)))),0)</f>
        <v>0</v>
      </c>
      <c r="BD188" s="24">
        <f>IF(BD182=1,'Lease Cycles'!$D$18*IF(INDEX('Lease Cycles'!$EF$18:$EL$18,1,BD180)=1,(1-'Lease Cycles'!$AJ$18)*INDEX('Lease Cycles'!$EM$18:$ES$18,1,BD180)+(1-'Lease Cycles'!$BE$18)*IF(BD181&lt;INDEX('Lease Cycles'!$FA$18:$FG$18,1,BD180),0,1-INDEX('Lease Cycles'!$EM$18:$ES$18,1,BD180)),IF(OR(INDEX('Lease Cycles'!$DY$18:$EE$18,1,BD180)=1,BD181&gt;0),1,1-INDEX('Lease Cycles'!$DD$18:$DJ$18,1,BD180))*((1-'Lease Cycles'!$AJ$18)*INDEX('Lease Cycles'!$FO$18:$FU$18,1,BD180)+(1-'Lease Cycles'!$BE$18)*(1-INDEX('Lease Cycles'!$FO$18:$FU$18,1,BD180)))),0)</f>
        <v>0</v>
      </c>
      <c r="BE188" s="24">
        <f>IF(BE182=1,'Lease Cycles'!$D$18*IF(INDEX('Lease Cycles'!$EF$18:$EL$18,1,BE180)=1,(1-'Lease Cycles'!$AJ$18)*INDEX('Lease Cycles'!$EM$18:$ES$18,1,BE180)+(1-'Lease Cycles'!$BE$18)*IF(BE181&lt;INDEX('Lease Cycles'!$FA$18:$FG$18,1,BE180),0,1-INDEX('Lease Cycles'!$EM$18:$ES$18,1,BE180)),IF(OR(INDEX('Lease Cycles'!$DY$18:$EE$18,1,BE180)=1,BE181&gt;0),1,1-INDEX('Lease Cycles'!$DD$18:$DJ$18,1,BE180))*((1-'Lease Cycles'!$AJ$18)*INDEX('Lease Cycles'!$FO$18:$FU$18,1,BE180)+(1-'Lease Cycles'!$BE$18)*(1-INDEX('Lease Cycles'!$FO$18:$FU$18,1,BE180)))),0)</f>
        <v>0</v>
      </c>
      <c r="BF188" s="24">
        <f>IF(BF182=1,'Lease Cycles'!$D$18*IF(INDEX('Lease Cycles'!$EF$18:$EL$18,1,BF180)=1,(1-'Lease Cycles'!$AJ$18)*INDEX('Lease Cycles'!$EM$18:$ES$18,1,BF180)+(1-'Lease Cycles'!$BE$18)*IF(BF181&lt;INDEX('Lease Cycles'!$FA$18:$FG$18,1,BF180),0,1-INDEX('Lease Cycles'!$EM$18:$ES$18,1,BF180)),IF(OR(INDEX('Lease Cycles'!$DY$18:$EE$18,1,BF180)=1,BF181&gt;0),1,1-INDEX('Lease Cycles'!$DD$18:$DJ$18,1,BF180))*((1-'Lease Cycles'!$AJ$18)*INDEX('Lease Cycles'!$FO$18:$FU$18,1,BF180)+(1-'Lease Cycles'!$BE$18)*(1-INDEX('Lease Cycles'!$FO$18:$FU$18,1,BF180)))),0)</f>
        <v>0</v>
      </c>
      <c r="BG188" s="24">
        <f>IF(BG182=1,'Lease Cycles'!$D$18*IF(INDEX('Lease Cycles'!$EF$18:$EL$18,1,BG180)=1,(1-'Lease Cycles'!$AJ$18)*INDEX('Lease Cycles'!$EM$18:$ES$18,1,BG180)+(1-'Lease Cycles'!$BE$18)*IF(BG181&lt;INDEX('Lease Cycles'!$FA$18:$FG$18,1,BG180),0,1-INDEX('Lease Cycles'!$EM$18:$ES$18,1,BG180)),IF(OR(INDEX('Lease Cycles'!$DY$18:$EE$18,1,BG180)=1,BG181&gt;0),1,1-INDEX('Lease Cycles'!$DD$18:$DJ$18,1,BG180))*((1-'Lease Cycles'!$AJ$18)*INDEX('Lease Cycles'!$FO$18:$FU$18,1,BG180)+(1-'Lease Cycles'!$BE$18)*(1-INDEX('Lease Cycles'!$FO$18:$FU$18,1,BG180)))),0)</f>
        <v>0</v>
      </c>
      <c r="BH188" s="24">
        <f>IF(BH182=1,'Lease Cycles'!$D$18*IF(INDEX('Lease Cycles'!$EF$18:$EL$18,1,BH180)=1,(1-'Lease Cycles'!$AJ$18)*INDEX('Lease Cycles'!$EM$18:$ES$18,1,BH180)+(1-'Lease Cycles'!$BE$18)*IF(BH181&lt;INDEX('Lease Cycles'!$FA$18:$FG$18,1,BH180),0,1-INDEX('Lease Cycles'!$EM$18:$ES$18,1,BH180)),IF(OR(INDEX('Lease Cycles'!$DY$18:$EE$18,1,BH180)=1,BH181&gt;0),1,1-INDEX('Lease Cycles'!$DD$18:$DJ$18,1,BH180))*((1-'Lease Cycles'!$AJ$18)*INDEX('Lease Cycles'!$FO$18:$FU$18,1,BH180)+(1-'Lease Cycles'!$BE$18)*(1-INDEX('Lease Cycles'!$FO$18:$FU$18,1,BH180)))),0)</f>
        <v>0</v>
      </c>
      <c r="BI188" s="24">
        <f>IF(BI182=1,'Lease Cycles'!$D$18*IF(INDEX('Lease Cycles'!$EF$18:$EL$18,1,BI180)=1,(1-'Lease Cycles'!$AJ$18)*INDEX('Lease Cycles'!$EM$18:$ES$18,1,BI180)+(1-'Lease Cycles'!$BE$18)*IF(BI181&lt;INDEX('Lease Cycles'!$FA$18:$FG$18,1,BI180),0,1-INDEX('Lease Cycles'!$EM$18:$ES$18,1,BI180)),IF(OR(INDEX('Lease Cycles'!$DY$18:$EE$18,1,BI180)=1,BI181&gt;0),1,1-INDEX('Lease Cycles'!$DD$18:$DJ$18,1,BI180))*((1-'Lease Cycles'!$AJ$18)*INDEX('Lease Cycles'!$FO$18:$FU$18,1,BI180)+(1-'Lease Cycles'!$BE$18)*(1-INDEX('Lease Cycles'!$FO$18:$FU$18,1,BI180)))),0)</f>
        <v>0</v>
      </c>
      <c r="BJ188" s="24">
        <f>IF(BJ182=1,'Lease Cycles'!$D$18*IF(INDEX('Lease Cycles'!$EF$18:$EL$18,1,BJ180)=1,(1-'Lease Cycles'!$AJ$18)*INDEX('Lease Cycles'!$EM$18:$ES$18,1,BJ180)+(1-'Lease Cycles'!$BE$18)*IF(BJ181&lt;INDEX('Lease Cycles'!$FA$18:$FG$18,1,BJ180),0,1-INDEX('Lease Cycles'!$EM$18:$ES$18,1,BJ180)),IF(OR(INDEX('Lease Cycles'!$DY$18:$EE$18,1,BJ180)=1,BJ181&gt;0),1,1-INDEX('Lease Cycles'!$DD$18:$DJ$18,1,BJ180))*((1-'Lease Cycles'!$AJ$18)*INDEX('Lease Cycles'!$FO$18:$FU$18,1,BJ180)+(1-'Lease Cycles'!$BE$18)*(1-INDEX('Lease Cycles'!$FO$18:$FU$18,1,BJ180)))),0)</f>
        <v>0</v>
      </c>
      <c r="BK188" s="24">
        <f>IF(BK182=1,'Lease Cycles'!$D$18*IF(INDEX('Lease Cycles'!$EF$18:$EL$18,1,BK180)=1,(1-'Lease Cycles'!$AJ$18)*INDEX('Lease Cycles'!$EM$18:$ES$18,1,BK180)+(1-'Lease Cycles'!$BE$18)*IF(BK181&lt;INDEX('Lease Cycles'!$FA$18:$FG$18,1,BK180),0,1-INDEX('Lease Cycles'!$EM$18:$ES$18,1,BK180)),IF(OR(INDEX('Lease Cycles'!$DY$18:$EE$18,1,BK180)=1,BK181&gt;0),1,1-INDEX('Lease Cycles'!$DD$18:$DJ$18,1,BK180))*((1-'Lease Cycles'!$AJ$18)*INDEX('Lease Cycles'!$FO$18:$FU$18,1,BK180)+(1-'Lease Cycles'!$BE$18)*(1-INDEX('Lease Cycles'!$FO$18:$FU$18,1,BK180)))),0)</f>
        <v>0</v>
      </c>
      <c r="BL188" s="24">
        <f>IF(BL182=1,'Lease Cycles'!$D$18*IF(INDEX('Lease Cycles'!$EF$18:$EL$18,1,BL180)=1,(1-'Lease Cycles'!$AJ$18)*INDEX('Lease Cycles'!$EM$18:$ES$18,1,BL180)+(1-'Lease Cycles'!$BE$18)*IF(BL181&lt;INDEX('Lease Cycles'!$FA$18:$FG$18,1,BL180),0,1-INDEX('Lease Cycles'!$EM$18:$ES$18,1,BL180)),IF(OR(INDEX('Lease Cycles'!$DY$18:$EE$18,1,BL180)=1,BL181&gt;0),1,1-INDEX('Lease Cycles'!$DD$18:$DJ$18,1,BL180))*((1-'Lease Cycles'!$AJ$18)*INDEX('Lease Cycles'!$FO$18:$FU$18,1,BL180)+(1-'Lease Cycles'!$BE$18)*(1-INDEX('Lease Cycles'!$FO$18:$FU$18,1,BL180)))),0)</f>
        <v>0</v>
      </c>
      <c r="BM188" s="24">
        <f>IF(BM182=1,'Lease Cycles'!$D$18*IF(INDEX('Lease Cycles'!$EF$18:$EL$18,1,BM180)=1,(1-'Lease Cycles'!$AJ$18)*INDEX('Lease Cycles'!$EM$18:$ES$18,1,BM180)+(1-'Lease Cycles'!$BE$18)*IF(BM181&lt;INDEX('Lease Cycles'!$FA$18:$FG$18,1,BM180),0,1-INDEX('Lease Cycles'!$EM$18:$ES$18,1,BM180)),IF(OR(INDEX('Lease Cycles'!$DY$18:$EE$18,1,BM180)=1,BM181&gt;0),1,1-INDEX('Lease Cycles'!$DD$18:$DJ$18,1,BM180))*((1-'Lease Cycles'!$AJ$18)*INDEX('Lease Cycles'!$FO$18:$FU$18,1,BM180)+(1-'Lease Cycles'!$BE$18)*(1-INDEX('Lease Cycles'!$FO$18:$FU$18,1,BM180)))),0)</f>
        <v>0</v>
      </c>
      <c r="BN188" s="24">
        <f>IF(BN182=1,'Lease Cycles'!$D$18*IF(INDEX('Lease Cycles'!$EF$18:$EL$18,1,BN180)=1,(1-'Lease Cycles'!$AJ$18)*INDEX('Lease Cycles'!$EM$18:$ES$18,1,BN180)+(1-'Lease Cycles'!$BE$18)*IF(BN181&lt;INDEX('Lease Cycles'!$FA$18:$FG$18,1,BN180),0,1-INDEX('Lease Cycles'!$EM$18:$ES$18,1,BN180)),IF(OR(INDEX('Lease Cycles'!$DY$18:$EE$18,1,BN180)=1,BN181&gt;0),1,1-INDEX('Lease Cycles'!$DD$18:$DJ$18,1,BN180))*((1-'Lease Cycles'!$AJ$18)*INDEX('Lease Cycles'!$FO$18:$FU$18,1,BN180)+(1-'Lease Cycles'!$BE$18)*(1-INDEX('Lease Cycles'!$FO$18:$FU$18,1,BN180)))),0)</f>
        <v>0</v>
      </c>
      <c r="BO188" s="24">
        <f>IF(BO182=1,'Lease Cycles'!$D$18*IF(INDEX('Lease Cycles'!$EF$18:$EL$18,1,BO180)=1,(1-'Lease Cycles'!$AJ$18)*INDEX('Lease Cycles'!$EM$18:$ES$18,1,BO180)+(1-'Lease Cycles'!$BE$18)*IF(BO181&lt;INDEX('Lease Cycles'!$FA$18:$FG$18,1,BO180),0,1-INDEX('Lease Cycles'!$EM$18:$ES$18,1,BO180)),IF(OR(INDEX('Lease Cycles'!$DY$18:$EE$18,1,BO180)=1,BO181&gt;0),1,1-INDEX('Lease Cycles'!$DD$18:$DJ$18,1,BO180))*((1-'Lease Cycles'!$AJ$18)*INDEX('Lease Cycles'!$FO$18:$FU$18,1,BO180)+(1-'Lease Cycles'!$BE$18)*(1-INDEX('Lease Cycles'!$FO$18:$FU$18,1,BO180)))),0)</f>
        <v>0</v>
      </c>
      <c r="BP188" s="24">
        <f>IF(BP182=1,'Lease Cycles'!$D$18*IF(INDEX('Lease Cycles'!$EF$18:$EL$18,1,BP180)=1,(1-'Lease Cycles'!$AJ$18)*INDEX('Lease Cycles'!$EM$18:$ES$18,1,BP180)+(1-'Lease Cycles'!$BE$18)*IF(BP181&lt;INDEX('Lease Cycles'!$FA$18:$FG$18,1,BP180),0,1-INDEX('Lease Cycles'!$EM$18:$ES$18,1,BP180)),IF(OR(INDEX('Lease Cycles'!$DY$18:$EE$18,1,BP180)=1,BP181&gt;0),1,1-INDEX('Lease Cycles'!$DD$18:$DJ$18,1,BP180))*((1-'Lease Cycles'!$AJ$18)*INDEX('Lease Cycles'!$FO$18:$FU$18,1,BP180)+(1-'Lease Cycles'!$BE$18)*(1-INDEX('Lease Cycles'!$FO$18:$FU$18,1,BP180)))),0)</f>
        <v>0</v>
      </c>
      <c r="BQ188" s="24">
        <f>IF(BQ182=1,'Lease Cycles'!$D$18*IF(INDEX('Lease Cycles'!$EF$18:$EL$18,1,BQ180)=1,(1-'Lease Cycles'!$AJ$18)*INDEX('Lease Cycles'!$EM$18:$ES$18,1,BQ180)+(1-'Lease Cycles'!$BE$18)*IF(BQ181&lt;INDEX('Lease Cycles'!$FA$18:$FG$18,1,BQ180),0,1-INDEX('Lease Cycles'!$EM$18:$ES$18,1,BQ180)),IF(OR(INDEX('Lease Cycles'!$DY$18:$EE$18,1,BQ180)=1,BQ181&gt;0),1,1-INDEX('Lease Cycles'!$DD$18:$DJ$18,1,BQ180))*((1-'Lease Cycles'!$AJ$18)*INDEX('Lease Cycles'!$FO$18:$FU$18,1,BQ180)+(1-'Lease Cycles'!$BE$18)*(1-INDEX('Lease Cycles'!$FO$18:$FU$18,1,BQ180)))),0)</f>
        <v>0</v>
      </c>
      <c r="BR188" s="24">
        <f>IF(BR182=1,'Lease Cycles'!$D$18*IF(INDEX('Lease Cycles'!$EF$18:$EL$18,1,BR180)=1,(1-'Lease Cycles'!$AJ$18)*INDEX('Lease Cycles'!$EM$18:$ES$18,1,BR180)+(1-'Lease Cycles'!$BE$18)*IF(BR181&lt;INDEX('Lease Cycles'!$FA$18:$FG$18,1,BR180),0,1-INDEX('Lease Cycles'!$EM$18:$ES$18,1,BR180)),IF(OR(INDEX('Lease Cycles'!$DY$18:$EE$18,1,BR180)=1,BR181&gt;0),1,1-INDEX('Lease Cycles'!$DD$18:$DJ$18,1,BR180))*((1-'Lease Cycles'!$AJ$18)*INDEX('Lease Cycles'!$FO$18:$FU$18,1,BR180)+(1-'Lease Cycles'!$BE$18)*(1-INDEX('Lease Cycles'!$FO$18:$FU$18,1,BR180)))),0)</f>
        <v>0</v>
      </c>
      <c r="BS188" s="24">
        <f>IF(BS182=1,'Lease Cycles'!$D$18*IF(INDEX('Lease Cycles'!$EF$18:$EL$18,1,BS180)=1,(1-'Lease Cycles'!$AJ$18)*INDEX('Lease Cycles'!$EM$18:$ES$18,1,BS180)+(1-'Lease Cycles'!$BE$18)*IF(BS181&lt;INDEX('Lease Cycles'!$FA$18:$FG$18,1,BS180),0,1-INDEX('Lease Cycles'!$EM$18:$ES$18,1,BS180)),IF(OR(INDEX('Lease Cycles'!$DY$18:$EE$18,1,BS180)=1,BS181&gt;0),1,1-INDEX('Lease Cycles'!$DD$18:$DJ$18,1,BS180))*((1-'Lease Cycles'!$AJ$18)*INDEX('Lease Cycles'!$FO$18:$FU$18,1,BS180)+(1-'Lease Cycles'!$BE$18)*(1-INDEX('Lease Cycles'!$FO$18:$FU$18,1,BS180)))),0)</f>
        <v>0</v>
      </c>
      <c r="BT188" s="24">
        <f>IF(BT182=1,'Lease Cycles'!$D$18*IF(INDEX('Lease Cycles'!$EF$18:$EL$18,1,BT180)=1,(1-'Lease Cycles'!$AJ$18)*INDEX('Lease Cycles'!$EM$18:$ES$18,1,BT180)+(1-'Lease Cycles'!$BE$18)*IF(BT181&lt;INDEX('Lease Cycles'!$FA$18:$FG$18,1,BT180),0,1-INDEX('Lease Cycles'!$EM$18:$ES$18,1,BT180)),IF(OR(INDEX('Lease Cycles'!$DY$18:$EE$18,1,BT180)=1,BT181&gt;0),1,1-INDEX('Lease Cycles'!$DD$18:$DJ$18,1,BT180))*((1-'Lease Cycles'!$AJ$18)*INDEX('Lease Cycles'!$FO$18:$FU$18,1,BT180)+(1-'Lease Cycles'!$BE$18)*(1-INDEX('Lease Cycles'!$FO$18:$FU$18,1,BT180)))),0)</f>
        <v>0</v>
      </c>
      <c r="BU188" s="24">
        <f>IF(BU182=1,'Lease Cycles'!$D$18*IF(INDEX('Lease Cycles'!$EF$18:$EL$18,1,BU180)=1,(1-'Lease Cycles'!$AJ$18)*INDEX('Lease Cycles'!$EM$18:$ES$18,1,BU180)+(1-'Lease Cycles'!$BE$18)*IF(BU181&lt;INDEX('Lease Cycles'!$FA$18:$FG$18,1,BU180),0,1-INDEX('Lease Cycles'!$EM$18:$ES$18,1,BU180)),IF(OR(INDEX('Lease Cycles'!$DY$18:$EE$18,1,BU180)=1,BU181&gt;0),1,1-INDEX('Lease Cycles'!$DD$18:$DJ$18,1,BU180))*((1-'Lease Cycles'!$AJ$18)*INDEX('Lease Cycles'!$FO$18:$FU$18,1,BU180)+(1-'Lease Cycles'!$BE$18)*(1-INDEX('Lease Cycles'!$FO$18:$FU$18,1,BU180)))),0)</f>
        <v>0</v>
      </c>
      <c r="BV188" s="24">
        <f>IF(BV182=1,'Lease Cycles'!$D$18*IF(INDEX('Lease Cycles'!$EF$18:$EL$18,1,BV180)=1,(1-'Lease Cycles'!$AJ$18)*INDEX('Lease Cycles'!$EM$18:$ES$18,1,BV180)+(1-'Lease Cycles'!$BE$18)*IF(BV181&lt;INDEX('Lease Cycles'!$FA$18:$FG$18,1,BV180),0,1-INDEX('Lease Cycles'!$EM$18:$ES$18,1,BV180)),IF(OR(INDEX('Lease Cycles'!$DY$18:$EE$18,1,BV180)=1,BV181&gt;0),1,1-INDEX('Lease Cycles'!$DD$18:$DJ$18,1,BV180))*((1-'Lease Cycles'!$AJ$18)*INDEX('Lease Cycles'!$FO$18:$FU$18,1,BV180)+(1-'Lease Cycles'!$BE$18)*(1-INDEX('Lease Cycles'!$FO$18:$FU$18,1,BV180)))),0)</f>
        <v>0</v>
      </c>
      <c r="BW188" s="24">
        <f>IF(BW182=1,'Lease Cycles'!$D$18*IF(INDEX('Lease Cycles'!$EF$18:$EL$18,1,BW180)=1,(1-'Lease Cycles'!$AJ$18)*INDEX('Lease Cycles'!$EM$18:$ES$18,1,BW180)+(1-'Lease Cycles'!$BE$18)*IF(BW181&lt;INDEX('Lease Cycles'!$FA$18:$FG$18,1,BW180),0,1-INDEX('Lease Cycles'!$EM$18:$ES$18,1,BW180)),IF(OR(INDEX('Lease Cycles'!$DY$18:$EE$18,1,BW180)=1,BW181&gt;0),1,1-INDEX('Lease Cycles'!$DD$18:$DJ$18,1,BW180))*((1-'Lease Cycles'!$AJ$18)*INDEX('Lease Cycles'!$FO$18:$FU$18,1,BW180)+(1-'Lease Cycles'!$BE$18)*(1-INDEX('Lease Cycles'!$FO$18:$FU$18,1,BW180)))),0)</f>
        <v>0</v>
      </c>
      <c r="BX188" s="24">
        <f>IF(BX182=1,'Lease Cycles'!$D$18*IF(INDEX('Lease Cycles'!$EF$18:$EL$18,1,BX180)=1,(1-'Lease Cycles'!$AJ$18)*INDEX('Lease Cycles'!$EM$18:$ES$18,1,BX180)+(1-'Lease Cycles'!$BE$18)*IF(BX181&lt;INDEX('Lease Cycles'!$FA$18:$FG$18,1,BX180),0,1-INDEX('Lease Cycles'!$EM$18:$ES$18,1,BX180)),IF(OR(INDEX('Lease Cycles'!$DY$18:$EE$18,1,BX180)=1,BX181&gt;0),1,1-INDEX('Lease Cycles'!$DD$18:$DJ$18,1,BX180))*((1-'Lease Cycles'!$AJ$18)*INDEX('Lease Cycles'!$FO$18:$FU$18,1,BX180)+(1-'Lease Cycles'!$BE$18)*(1-INDEX('Lease Cycles'!$FO$18:$FU$18,1,BX180)))),0)</f>
        <v>0</v>
      </c>
      <c r="BY188" s="24">
        <f>IF(BY182=1,'Lease Cycles'!$D$18*IF(INDEX('Lease Cycles'!$EF$18:$EL$18,1,BY180)=1,(1-'Lease Cycles'!$AJ$18)*INDEX('Lease Cycles'!$EM$18:$ES$18,1,BY180)+(1-'Lease Cycles'!$BE$18)*IF(BY181&lt;INDEX('Lease Cycles'!$FA$18:$FG$18,1,BY180),0,1-INDEX('Lease Cycles'!$EM$18:$ES$18,1,BY180)),IF(OR(INDEX('Lease Cycles'!$DY$18:$EE$18,1,BY180)=1,BY181&gt;0),1,1-INDEX('Lease Cycles'!$DD$18:$DJ$18,1,BY180))*((1-'Lease Cycles'!$AJ$18)*INDEX('Lease Cycles'!$FO$18:$FU$18,1,BY180)+(1-'Lease Cycles'!$BE$18)*(1-INDEX('Lease Cycles'!$FO$18:$FU$18,1,BY180)))),0)</f>
        <v>0</v>
      </c>
      <c r="BZ188" s="24">
        <f>IF(BZ182=1,'Lease Cycles'!$D$18*IF(INDEX('Lease Cycles'!$EF$18:$EL$18,1,BZ180)=1,(1-'Lease Cycles'!$AJ$18)*INDEX('Lease Cycles'!$EM$18:$ES$18,1,BZ180)+(1-'Lease Cycles'!$BE$18)*IF(BZ181&lt;INDEX('Lease Cycles'!$FA$18:$FG$18,1,BZ180),0,1-INDEX('Lease Cycles'!$EM$18:$ES$18,1,BZ180)),IF(OR(INDEX('Lease Cycles'!$DY$18:$EE$18,1,BZ180)=1,BZ181&gt;0),1,1-INDEX('Lease Cycles'!$DD$18:$DJ$18,1,BZ180))*((1-'Lease Cycles'!$AJ$18)*INDEX('Lease Cycles'!$FO$18:$FU$18,1,BZ180)+(1-'Lease Cycles'!$BE$18)*(1-INDEX('Lease Cycles'!$FO$18:$FU$18,1,BZ180)))),0)</f>
        <v>0</v>
      </c>
      <c r="CA188" s="24">
        <f>IF(CA182=1,'Lease Cycles'!$D$18*IF(INDEX('Lease Cycles'!$EF$18:$EL$18,1,CA180)=1,(1-'Lease Cycles'!$AJ$18)*INDEX('Lease Cycles'!$EM$18:$ES$18,1,CA180)+(1-'Lease Cycles'!$BE$18)*IF(CA181&lt;INDEX('Lease Cycles'!$FA$18:$FG$18,1,CA180),0,1-INDEX('Lease Cycles'!$EM$18:$ES$18,1,CA180)),IF(OR(INDEX('Lease Cycles'!$DY$18:$EE$18,1,CA180)=1,CA181&gt;0),1,1-INDEX('Lease Cycles'!$DD$18:$DJ$18,1,CA180))*((1-'Lease Cycles'!$AJ$18)*INDEX('Lease Cycles'!$FO$18:$FU$18,1,CA180)+(1-'Lease Cycles'!$BE$18)*(1-INDEX('Lease Cycles'!$FO$18:$FU$18,1,CA180)))),0)</f>
        <v>0</v>
      </c>
      <c r="CB188" s="24">
        <f>IF(CB182=1,'Lease Cycles'!$D$18*IF(INDEX('Lease Cycles'!$EF$18:$EL$18,1,CB180)=1,(1-'Lease Cycles'!$AJ$18)*INDEX('Lease Cycles'!$EM$18:$ES$18,1,CB180)+(1-'Lease Cycles'!$BE$18)*IF(CB181&lt;INDEX('Lease Cycles'!$FA$18:$FG$18,1,CB180),0,1-INDEX('Lease Cycles'!$EM$18:$ES$18,1,CB180)),IF(OR(INDEX('Lease Cycles'!$DY$18:$EE$18,1,CB180)=1,CB181&gt;0),1,1-INDEX('Lease Cycles'!$DD$18:$DJ$18,1,CB180))*((1-'Lease Cycles'!$AJ$18)*INDEX('Lease Cycles'!$FO$18:$FU$18,1,CB180)+(1-'Lease Cycles'!$BE$18)*(1-INDEX('Lease Cycles'!$FO$18:$FU$18,1,CB180)))),0)</f>
        <v>0</v>
      </c>
      <c r="CC188" s="24">
        <f>IF(CC182=1,'Lease Cycles'!$D$18*IF(INDEX('Lease Cycles'!$EF$18:$EL$18,1,CC180)=1,(1-'Lease Cycles'!$AJ$18)*INDEX('Lease Cycles'!$EM$18:$ES$18,1,CC180)+(1-'Lease Cycles'!$BE$18)*IF(CC181&lt;INDEX('Lease Cycles'!$FA$18:$FG$18,1,CC180),0,1-INDEX('Lease Cycles'!$EM$18:$ES$18,1,CC180)),IF(OR(INDEX('Lease Cycles'!$DY$18:$EE$18,1,CC180)=1,CC181&gt;0),1,1-INDEX('Lease Cycles'!$DD$18:$DJ$18,1,CC180))*((1-'Lease Cycles'!$AJ$18)*INDEX('Lease Cycles'!$FO$18:$FU$18,1,CC180)+(1-'Lease Cycles'!$BE$18)*(1-INDEX('Lease Cycles'!$FO$18:$FU$18,1,CC180)))),0)</f>
        <v>0</v>
      </c>
      <c r="CD188" s="24">
        <f>IF(CD182=1,'Lease Cycles'!$D$18*IF(INDEX('Lease Cycles'!$EF$18:$EL$18,1,CD180)=1,(1-'Lease Cycles'!$AJ$18)*INDEX('Lease Cycles'!$EM$18:$ES$18,1,CD180)+(1-'Lease Cycles'!$BE$18)*IF(CD181&lt;INDEX('Lease Cycles'!$FA$18:$FG$18,1,CD180),0,1-INDEX('Lease Cycles'!$EM$18:$ES$18,1,CD180)),IF(OR(INDEX('Lease Cycles'!$DY$18:$EE$18,1,CD180)=1,CD181&gt;0),1,1-INDEX('Lease Cycles'!$DD$18:$DJ$18,1,CD180))*((1-'Lease Cycles'!$AJ$18)*INDEX('Lease Cycles'!$FO$18:$FU$18,1,CD180)+(1-'Lease Cycles'!$BE$18)*(1-INDEX('Lease Cycles'!$FO$18:$FU$18,1,CD180)))),0)</f>
        <v>0</v>
      </c>
      <c r="CE188" s="24">
        <f>IF(CE182=1,'Lease Cycles'!$D$18*IF(INDEX('Lease Cycles'!$EF$18:$EL$18,1,CE180)=1,(1-'Lease Cycles'!$AJ$18)*INDEX('Lease Cycles'!$EM$18:$ES$18,1,CE180)+(1-'Lease Cycles'!$BE$18)*IF(CE181&lt;INDEX('Lease Cycles'!$FA$18:$FG$18,1,CE180),0,1-INDEX('Lease Cycles'!$EM$18:$ES$18,1,CE180)),IF(OR(INDEX('Lease Cycles'!$DY$18:$EE$18,1,CE180)=1,CE181&gt;0),1,1-INDEX('Lease Cycles'!$DD$18:$DJ$18,1,CE180))*((1-'Lease Cycles'!$AJ$18)*INDEX('Lease Cycles'!$FO$18:$FU$18,1,CE180)+(1-'Lease Cycles'!$BE$18)*(1-INDEX('Lease Cycles'!$FO$18:$FU$18,1,CE180)))),0)</f>
        <v>0</v>
      </c>
      <c r="CF188" s="24">
        <f>IF(CF182=1,'Lease Cycles'!$D$18*IF(INDEX('Lease Cycles'!$EF$18:$EL$18,1,CF180)=1,(1-'Lease Cycles'!$AJ$18)*INDEX('Lease Cycles'!$EM$18:$ES$18,1,CF180)+(1-'Lease Cycles'!$BE$18)*IF(CF181&lt;INDEX('Lease Cycles'!$FA$18:$FG$18,1,CF180),0,1-INDEX('Lease Cycles'!$EM$18:$ES$18,1,CF180)),IF(OR(INDEX('Lease Cycles'!$DY$18:$EE$18,1,CF180)=1,CF181&gt;0),1,1-INDEX('Lease Cycles'!$DD$18:$DJ$18,1,CF180))*((1-'Lease Cycles'!$AJ$18)*INDEX('Lease Cycles'!$FO$18:$FU$18,1,CF180)+(1-'Lease Cycles'!$BE$18)*(1-INDEX('Lease Cycles'!$FO$18:$FU$18,1,CF180)))),0)</f>
        <v>0</v>
      </c>
      <c r="CG188" s="24">
        <f>IF(CG182=1,'Lease Cycles'!$D$18*IF(INDEX('Lease Cycles'!$EF$18:$EL$18,1,CG180)=1,(1-'Lease Cycles'!$AJ$18)*INDEX('Lease Cycles'!$EM$18:$ES$18,1,CG180)+(1-'Lease Cycles'!$BE$18)*IF(CG181&lt;INDEX('Lease Cycles'!$FA$18:$FG$18,1,CG180),0,1-INDEX('Lease Cycles'!$EM$18:$ES$18,1,CG180)),IF(OR(INDEX('Lease Cycles'!$DY$18:$EE$18,1,CG180)=1,CG181&gt;0),1,1-INDEX('Lease Cycles'!$DD$18:$DJ$18,1,CG180))*((1-'Lease Cycles'!$AJ$18)*INDEX('Lease Cycles'!$FO$18:$FU$18,1,CG180)+(1-'Lease Cycles'!$BE$18)*(1-INDEX('Lease Cycles'!$FO$18:$FU$18,1,CG180)))),0)</f>
        <v>0</v>
      </c>
      <c r="CH188" s="24">
        <f>IF(CH182=1,'Lease Cycles'!$D$18*IF(INDEX('Lease Cycles'!$EF$18:$EL$18,1,CH180)=1,(1-'Lease Cycles'!$AJ$18)*INDEX('Lease Cycles'!$EM$18:$ES$18,1,CH180)+(1-'Lease Cycles'!$BE$18)*IF(CH181&lt;INDEX('Lease Cycles'!$FA$18:$FG$18,1,CH180),0,1-INDEX('Lease Cycles'!$EM$18:$ES$18,1,CH180)),IF(OR(INDEX('Lease Cycles'!$DY$18:$EE$18,1,CH180)=1,CH181&gt;0),1,1-INDEX('Lease Cycles'!$DD$18:$DJ$18,1,CH180))*((1-'Lease Cycles'!$AJ$18)*INDEX('Lease Cycles'!$FO$18:$FU$18,1,CH180)+(1-'Lease Cycles'!$BE$18)*(1-INDEX('Lease Cycles'!$FO$18:$FU$18,1,CH180)))),0)</f>
        <v>0</v>
      </c>
      <c r="CI188" s="24">
        <f>IF(CI182=1,'Lease Cycles'!$D$18*IF(INDEX('Lease Cycles'!$EF$18:$EL$18,1,CI180)=1,(1-'Lease Cycles'!$AJ$18)*INDEX('Lease Cycles'!$EM$18:$ES$18,1,CI180)+(1-'Lease Cycles'!$BE$18)*IF(CI181&lt;INDEX('Lease Cycles'!$FA$18:$FG$18,1,CI180),0,1-INDEX('Lease Cycles'!$EM$18:$ES$18,1,CI180)),IF(OR(INDEX('Lease Cycles'!$DY$18:$EE$18,1,CI180)=1,CI181&gt;0),1,1-INDEX('Lease Cycles'!$DD$18:$DJ$18,1,CI180))*((1-'Lease Cycles'!$AJ$18)*INDEX('Lease Cycles'!$FO$18:$FU$18,1,CI180)+(1-'Lease Cycles'!$BE$18)*(1-INDEX('Lease Cycles'!$FO$18:$FU$18,1,CI180)))),0)</f>
        <v>0</v>
      </c>
      <c r="CJ188" s="24">
        <f>IF(CJ182=1,'Lease Cycles'!$D$18*IF(INDEX('Lease Cycles'!$EF$18:$EL$18,1,CJ180)=1,(1-'Lease Cycles'!$AJ$18)*INDEX('Lease Cycles'!$EM$18:$ES$18,1,CJ180)+(1-'Lease Cycles'!$BE$18)*IF(CJ181&lt;INDEX('Lease Cycles'!$FA$18:$FG$18,1,CJ180),0,1-INDEX('Lease Cycles'!$EM$18:$ES$18,1,CJ180)),IF(OR(INDEX('Lease Cycles'!$DY$18:$EE$18,1,CJ180)=1,CJ181&gt;0),1,1-INDEX('Lease Cycles'!$DD$18:$DJ$18,1,CJ180))*((1-'Lease Cycles'!$AJ$18)*INDEX('Lease Cycles'!$FO$18:$FU$18,1,CJ180)+(1-'Lease Cycles'!$BE$18)*(1-INDEX('Lease Cycles'!$FO$18:$FU$18,1,CJ180)))),0)</f>
        <v>0</v>
      </c>
      <c r="CK188" s="24">
        <f>IF(CK182=1,'Lease Cycles'!$D$18*IF(INDEX('Lease Cycles'!$EF$18:$EL$18,1,CK180)=1,(1-'Lease Cycles'!$AJ$18)*INDEX('Lease Cycles'!$EM$18:$ES$18,1,CK180)+(1-'Lease Cycles'!$BE$18)*IF(CK181&lt;INDEX('Lease Cycles'!$FA$18:$FG$18,1,CK180),0,1-INDEX('Lease Cycles'!$EM$18:$ES$18,1,CK180)),IF(OR(INDEX('Lease Cycles'!$DY$18:$EE$18,1,CK180)=1,CK181&gt;0),1,1-INDEX('Lease Cycles'!$DD$18:$DJ$18,1,CK180))*((1-'Lease Cycles'!$AJ$18)*INDEX('Lease Cycles'!$FO$18:$FU$18,1,CK180)+(1-'Lease Cycles'!$BE$18)*(1-INDEX('Lease Cycles'!$FO$18:$FU$18,1,CK180)))),0)</f>
        <v>0</v>
      </c>
      <c r="CL188" s="24">
        <f>IF(CL182=1,'Lease Cycles'!$D$18*IF(INDEX('Lease Cycles'!$EF$18:$EL$18,1,CL180)=1,(1-'Lease Cycles'!$AJ$18)*INDEX('Lease Cycles'!$EM$18:$ES$18,1,CL180)+(1-'Lease Cycles'!$BE$18)*IF(CL181&lt;INDEX('Lease Cycles'!$FA$18:$FG$18,1,CL180),0,1-INDEX('Lease Cycles'!$EM$18:$ES$18,1,CL180)),IF(OR(INDEX('Lease Cycles'!$DY$18:$EE$18,1,CL180)=1,CL181&gt;0),1,1-INDEX('Lease Cycles'!$DD$18:$DJ$18,1,CL180))*((1-'Lease Cycles'!$AJ$18)*INDEX('Lease Cycles'!$FO$18:$FU$18,1,CL180)+(1-'Lease Cycles'!$BE$18)*(1-INDEX('Lease Cycles'!$FO$18:$FU$18,1,CL180)))),0)</f>
        <v>0</v>
      </c>
      <c r="CM188" s="24">
        <f>IF(CM182=1,'Lease Cycles'!$D$18*IF(INDEX('Lease Cycles'!$EF$18:$EL$18,1,CM180)=1,(1-'Lease Cycles'!$AJ$18)*INDEX('Lease Cycles'!$EM$18:$ES$18,1,CM180)+(1-'Lease Cycles'!$BE$18)*IF(CM181&lt;INDEX('Lease Cycles'!$FA$18:$FG$18,1,CM180),0,1-INDEX('Lease Cycles'!$EM$18:$ES$18,1,CM180)),IF(OR(INDEX('Lease Cycles'!$DY$18:$EE$18,1,CM180)=1,CM181&gt;0),1,1-INDEX('Lease Cycles'!$DD$18:$DJ$18,1,CM180))*((1-'Lease Cycles'!$AJ$18)*INDEX('Lease Cycles'!$FO$18:$FU$18,1,CM180)+(1-'Lease Cycles'!$BE$18)*(1-INDEX('Lease Cycles'!$FO$18:$FU$18,1,CM180)))),0)</f>
        <v>0</v>
      </c>
      <c r="CN188" s="24">
        <f>IF(CN182=1,'Lease Cycles'!$D$18*IF(INDEX('Lease Cycles'!$EF$18:$EL$18,1,CN180)=1,(1-'Lease Cycles'!$AJ$18)*INDEX('Lease Cycles'!$EM$18:$ES$18,1,CN180)+(1-'Lease Cycles'!$BE$18)*IF(CN181&lt;INDEX('Lease Cycles'!$FA$18:$FG$18,1,CN180),0,1-INDEX('Lease Cycles'!$EM$18:$ES$18,1,CN180)),IF(OR(INDEX('Lease Cycles'!$DY$18:$EE$18,1,CN180)=1,CN181&gt;0),1,1-INDEX('Lease Cycles'!$DD$18:$DJ$18,1,CN180))*((1-'Lease Cycles'!$AJ$18)*INDEX('Lease Cycles'!$FO$18:$FU$18,1,CN180)+(1-'Lease Cycles'!$BE$18)*(1-INDEX('Lease Cycles'!$FO$18:$FU$18,1,CN180)))),0)</f>
        <v>0</v>
      </c>
      <c r="CO188" s="24">
        <f>IF(CO182=1,'Lease Cycles'!$D$18*IF(INDEX('Lease Cycles'!$EF$18:$EL$18,1,CO180)=1,(1-'Lease Cycles'!$AJ$18)*INDEX('Lease Cycles'!$EM$18:$ES$18,1,CO180)+(1-'Lease Cycles'!$BE$18)*IF(CO181&lt;INDEX('Lease Cycles'!$FA$18:$FG$18,1,CO180),0,1-INDEX('Lease Cycles'!$EM$18:$ES$18,1,CO180)),IF(OR(INDEX('Lease Cycles'!$DY$18:$EE$18,1,CO180)=1,CO181&gt;0),1,1-INDEX('Lease Cycles'!$DD$18:$DJ$18,1,CO180))*((1-'Lease Cycles'!$AJ$18)*INDEX('Lease Cycles'!$FO$18:$FU$18,1,CO180)+(1-'Lease Cycles'!$BE$18)*(1-INDEX('Lease Cycles'!$FO$18:$FU$18,1,CO180)))),0)</f>
        <v>0</v>
      </c>
      <c r="CP188" s="24">
        <f>IF(CP182=1,'Lease Cycles'!$D$18*IF(INDEX('Lease Cycles'!$EF$18:$EL$18,1,CP180)=1,(1-'Lease Cycles'!$AJ$18)*INDEX('Lease Cycles'!$EM$18:$ES$18,1,CP180)+(1-'Lease Cycles'!$BE$18)*IF(CP181&lt;INDEX('Lease Cycles'!$FA$18:$FG$18,1,CP180),0,1-INDEX('Lease Cycles'!$EM$18:$ES$18,1,CP180)),IF(OR(INDEX('Lease Cycles'!$DY$18:$EE$18,1,CP180)=1,CP181&gt;0),1,1-INDEX('Lease Cycles'!$DD$18:$DJ$18,1,CP180))*((1-'Lease Cycles'!$AJ$18)*INDEX('Lease Cycles'!$FO$18:$FU$18,1,CP180)+(1-'Lease Cycles'!$BE$18)*(1-INDEX('Lease Cycles'!$FO$18:$FU$18,1,CP180)))),0)</f>
        <v>0</v>
      </c>
      <c r="CQ188" s="24">
        <f>IF(CQ182=1,'Lease Cycles'!$D$18*IF(INDEX('Lease Cycles'!$EF$18:$EL$18,1,CQ180)=1,(1-'Lease Cycles'!$AJ$18)*INDEX('Lease Cycles'!$EM$18:$ES$18,1,CQ180)+(1-'Lease Cycles'!$BE$18)*IF(CQ181&lt;INDEX('Lease Cycles'!$FA$18:$FG$18,1,CQ180),0,1-INDEX('Lease Cycles'!$EM$18:$ES$18,1,CQ180)),IF(OR(INDEX('Lease Cycles'!$DY$18:$EE$18,1,CQ180)=1,CQ181&gt;0),1,1-INDEX('Lease Cycles'!$DD$18:$DJ$18,1,CQ180))*((1-'Lease Cycles'!$AJ$18)*INDEX('Lease Cycles'!$FO$18:$FU$18,1,CQ180)+(1-'Lease Cycles'!$BE$18)*(1-INDEX('Lease Cycles'!$FO$18:$FU$18,1,CQ180)))),0)</f>
        <v>0</v>
      </c>
      <c r="CR188" s="24">
        <f>IF(CR182=1,'Lease Cycles'!$D$18*IF(INDEX('Lease Cycles'!$EF$18:$EL$18,1,CR180)=1,(1-'Lease Cycles'!$AJ$18)*INDEX('Lease Cycles'!$EM$18:$ES$18,1,CR180)+(1-'Lease Cycles'!$BE$18)*IF(CR181&lt;INDEX('Lease Cycles'!$FA$18:$FG$18,1,CR180),0,1-INDEX('Lease Cycles'!$EM$18:$ES$18,1,CR180)),IF(OR(INDEX('Lease Cycles'!$DY$18:$EE$18,1,CR180)=1,CR181&gt;0),1,1-INDEX('Lease Cycles'!$DD$18:$DJ$18,1,CR180))*((1-'Lease Cycles'!$AJ$18)*INDEX('Lease Cycles'!$FO$18:$FU$18,1,CR180)+(1-'Lease Cycles'!$BE$18)*(1-INDEX('Lease Cycles'!$FO$18:$FU$18,1,CR180)))),0)</f>
        <v>0</v>
      </c>
      <c r="CS188" s="24">
        <f>IF(CS182=1,'Lease Cycles'!$D$18*IF(INDEX('Lease Cycles'!$EF$18:$EL$18,1,CS180)=1,(1-'Lease Cycles'!$AJ$18)*INDEX('Lease Cycles'!$EM$18:$ES$18,1,CS180)+(1-'Lease Cycles'!$BE$18)*IF(CS181&lt;INDEX('Lease Cycles'!$FA$18:$FG$18,1,CS180),0,1-INDEX('Lease Cycles'!$EM$18:$ES$18,1,CS180)),IF(OR(INDEX('Lease Cycles'!$DY$18:$EE$18,1,CS180)=1,CS181&gt;0),1,1-INDEX('Lease Cycles'!$DD$18:$DJ$18,1,CS180))*((1-'Lease Cycles'!$AJ$18)*INDEX('Lease Cycles'!$FO$18:$FU$18,1,CS180)+(1-'Lease Cycles'!$BE$18)*(1-INDEX('Lease Cycles'!$FO$18:$FU$18,1,CS180)))),0)</f>
        <v>0</v>
      </c>
      <c r="CT188" s="24">
        <f>IF(CT182=1,'Lease Cycles'!$D$18*IF(INDEX('Lease Cycles'!$EF$18:$EL$18,1,CT180)=1,(1-'Lease Cycles'!$AJ$18)*INDEX('Lease Cycles'!$EM$18:$ES$18,1,CT180)+(1-'Lease Cycles'!$BE$18)*IF(CT181&lt;INDEX('Lease Cycles'!$FA$18:$FG$18,1,CT180),0,1-INDEX('Lease Cycles'!$EM$18:$ES$18,1,CT180)),IF(OR(INDEX('Lease Cycles'!$DY$18:$EE$18,1,CT180)=1,CT181&gt;0),1,1-INDEX('Lease Cycles'!$DD$18:$DJ$18,1,CT180))*((1-'Lease Cycles'!$AJ$18)*INDEX('Lease Cycles'!$FO$18:$FU$18,1,CT180)+(1-'Lease Cycles'!$BE$18)*(1-INDEX('Lease Cycles'!$FO$18:$FU$18,1,CT180)))),0)</f>
        <v>0</v>
      </c>
      <c r="CU188" s="24">
        <f>IF(CU182=1,'Lease Cycles'!$D$18*IF(INDEX('Lease Cycles'!$EF$18:$EL$18,1,CU180)=1,(1-'Lease Cycles'!$AJ$18)*INDEX('Lease Cycles'!$EM$18:$ES$18,1,CU180)+(1-'Lease Cycles'!$BE$18)*IF(CU181&lt;INDEX('Lease Cycles'!$FA$18:$FG$18,1,CU180),0,1-INDEX('Lease Cycles'!$EM$18:$ES$18,1,CU180)),IF(OR(INDEX('Lease Cycles'!$DY$18:$EE$18,1,CU180)=1,CU181&gt;0),1,1-INDEX('Lease Cycles'!$DD$18:$DJ$18,1,CU180))*((1-'Lease Cycles'!$AJ$18)*INDEX('Lease Cycles'!$FO$18:$FU$18,1,CU180)+(1-'Lease Cycles'!$BE$18)*(1-INDEX('Lease Cycles'!$FO$18:$FU$18,1,CU180)))),0)</f>
        <v>0</v>
      </c>
      <c r="CV188" s="24">
        <f>IF(CV182=1,'Lease Cycles'!$D$18*IF(INDEX('Lease Cycles'!$EF$18:$EL$18,1,CV180)=1,(1-'Lease Cycles'!$AJ$18)*INDEX('Lease Cycles'!$EM$18:$ES$18,1,CV180)+(1-'Lease Cycles'!$BE$18)*IF(CV181&lt;INDEX('Lease Cycles'!$FA$18:$FG$18,1,CV180),0,1-INDEX('Lease Cycles'!$EM$18:$ES$18,1,CV180)),IF(OR(INDEX('Lease Cycles'!$DY$18:$EE$18,1,CV180)=1,CV181&gt;0),1,1-INDEX('Lease Cycles'!$DD$18:$DJ$18,1,CV180))*((1-'Lease Cycles'!$AJ$18)*INDEX('Lease Cycles'!$FO$18:$FU$18,1,CV180)+(1-'Lease Cycles'!$BE$18)*(1-INDEX('Lease Cycles'!$FO$18:$FU$18,1,CV180)))),0)</f>
        <v>0</v>
      </c>
      <c r="CW188" s="24">
        <f>IF(CW182=1,'Lease Cycles'!$D$18*IF(INDEX('Lease Cycles'!$EF$18:$EL$18,1,CW180)=1,(1-'Lease Cycles'!$AJ$18)*INDEX('Lease Cycles'!$EM$18:$ES$18,1,CW180)+(1-'Lease Cycles'!$BE$18)*IF(CW181&lt;INDEX('Lease Cycles'!$FA$18:$FG$18,1,CW180),0,1-INDEX('Lease Cycles'!$EM$18:$ES$18,1,CW180)),IF(OR(INDEX('Lease Cycles'!$DY$18:$EE$18,1,CW180)=1,CW181&gt;0),1,1-INDEX('Lease Cycles'!$DD$18:$DJ$18,1,CW180))*((1-'Lease Cycles'!$AJ$18)*INDEX('Lease Cycles'!$FO$18:$FU$18,1,CW180)+(1-'Lease Cycles'!$BE$18)*(1-INDEX('Lease Cycles'!$FO$18:$FU$18,1,CW180)))),0)</f>
        <v>0</v>
      </c>
      <c r="CX188" s="24">
        <f>IF(CX182=1,'Lease Cycles'!$D$18*IF(INDEX('Lease Cycles'!$EF$18:$EL$18,1,CX180)=1,(1-'Lease Cycles'!$AJ$18)*INDEX('Lease Cycles'!$EM$18:$ES$18,1,CX180)+(1-'Lease Cycles'!$BE$18)*IF(CX181&lt;INDEX('Lease Cycles'!$FA$18:$FG$18,1,CX180),0,1-INDEX('Lease Cycles'!$EM$18:$ES$18,1,CX180)),IF(OR(INDEX('Lease Cycles'!$DY$18:$EE$18,1,CX180)=1,CX181&gt;0),1,1-INDEX('Lease Cycles'!$DD$18:$DJ$18,1,CX180))*((1-'Lease Cycles'!$AJ$18)*INDEX('Lease Cycles'!$FO$18:$FU$18,1,CX180)+(1-'Lease Cycles'!$BE$18)*(1-INDEX('Lease Cycles'!$FO$18:$FU$18,1,CX180)))),0)</f>
        <v>0</v>
      </c>
      <c r="CY188" s="24">
        <f>IF(CY182=1,'Lease Cycles'!$D$18*IF(INDEX('Lease Cycles'!$EF$18:$EL$18,1,CY180)=1,(1-'Lease Cycles'!$AJ$18)*INDEX('Lease Cycles'!$EM$18:$ES$18,1,CY180)+(1-'Lease Cycles'!$BE$18)*IF(CY181&lt;INDEX('Lease Cycles'!$FA$18:$FG$18,1,CY180),0,1-INDEX('Lease Cycles'!$EM$18:$ES$18,1,CY180)),IF(OR(INDEX('Lease Cycles'!$DY$18:$EE$18,1,CY180)=1,CY181&gt;0),1,1-INDEX('Lease Cycles'!$DD$18:$DJ$18,1,CY180))*((1-'Lease Cycles'!$AJ$18)*INDEX('Lease Cycles'!$FO$18:$FU$18,1,CY180)+(1-'Lease Cycles'!$BE$18)*(1-INDEX('Lease Cycles'!$FO$18:$FU$18,1,CY180)))),0)</f>
        <v>0</v>
      </c>
      <c r="CZ188" s="24">
        <f>IF(CZ182=1,'Lease Cycles'!$D$18*IF(INDEX('Lease Cycles'!$EF$18:$EL$18,1,CZ180)=1,(1-'Lease Cycles'!$AJ$18)*INDEX('Lease Cycles'!$EM$18:$ES$18,1,CZ180)+(1-'Lease Cycles'!$BE$18)*IF(CZ181&lt;INDEX('Lease Cycles'!$FA$18:$FG$18,1,CZ180),0,1-INDEX('Lease Cycles'!$EM$18:$ES$18,1,CZ180)),IF(OR(INDEX('Lease Cycles'!$DY$18:$EE$18,1,CZ180)=1,CZ181&gt;0),1,1-INDEX('Lease Cycles'!$DD$18:$DJ$18,1,CZ180))*((1-'Lease Cycles'!$AJ$18)*INDEX('Lease Cycles'!$FO$18:$FU$18,1,CZ180)+(1-'Lease Cycles'!$BE$18)*(1-INDEX('Lease Cycles'!$FO$18:$FU$18,1,CZ180)))),0)</f>
        <v>0</v>
      </c>
      <c r="DA188" s="24">
        <f>IF(DA182=1,'Lease Cycles'!$D$18*IF(INDEX('Lease Cycles'!$EF$18:$EL$18,1,DA180)=1,(1-'Lease Cycles'!$AJ$18)*INDEX('Lease Cycles'!$EM$18:$ES$18,1,DA180)+(1-'Lease Cycles'!$BE$18)*IF(DA181&lt;INDEX('Lease Cycles'!$FA$18:$FG$18,1,DA180),0,1-INDEX('Lease Cycles'!$EM$18:$ES$18,1,DA180)),IF(OR(INDEX('Lease Cycles'!$DY$18:$EE$18,1,DA180)=1,DA181&gt;0),1,1-INDEX('Lease Cycles'!$DD$18:$DJ$18,1,DA180))*((1-'Lease Cycles'!$AJ$18)*INDEX('Lease Cycles'!$FO$18:$FU$18,1,DA180)+(1-'Lease Cycles'!$BE$18)*(1-INDEX('Lease Cycles'!$FO$18:$FU$18,1,DA180)))),0)</f>
        <v>0</v>
      </c>
      <c r="DB188" s="24">
        <f>IF(DB182=1,'Lease Cycles'!$D$18*IF(INDEX('Lease Cycles'!$EF$18:$EL$18,1,DB180)=1,(1-'Lease Cycles'!$AJ$18)*INDEX('Lease Cycles'!$EM$18:$ES$18,1,DB180)+(1-'Lease Cycles'!$BE$18)*IF(DB181&lt;INDEX('Lease Cycles'!$FA$18:$FG$18,1,DB180),0,1-INDEX('Lease Cycles'!$EM$18:$ES$18,1,DB180)),IF(OR(INDEX('Lease Cycles'!$DY$18:$EE$18,1,DB180)=1,DB181&gt;0),1,1-INDEX('Lease Cycles'!$DD$18:$DJ$18,1,DB180))*((1-'Lease Cycles'!$AJ$18)*INDEX('Lease Cycles'!$FO$18:$FU$18,1,DB180)+(1-'Lease Cycles'!$BE$18)*(1-INDEX('Lease Cycles'!$FO$18:$FU$18,1,DB180)))),0)</f>
        <v>0</v>
      </c>
      <c r="DC188" s="24">
        <f>IF(DC182=1,'Lease Cycles'!$D$18*IF(INDEX('Lease Cycles'!$EF$18:$EL$18,1,DC180)=1,(1-'Lease Cycles'!$AJ$18)*INDEX('Lease Cycles'!$EM$18:$ES$18,1,DC180)+(1-'Lease Cycles'!$BE$18)*IF(DC181&lt;INDEX('Lease Cycles'!$FA$18:$FG$18,1,DC180),0,1-INDEX('Lease Cycles'!$EM$18:$ES$18,1,DC180)),IF(OR(INDEX('Lease Cycles'!$DY$18:$EE$18,1,DC180)=1,DC181&gt;0),1,1-INDEX('Lease Cycles'!$DD$18:$DJ$18,1,DC180))*((1-'Lease Cycles'!$AJ$18)*INDEX('Lease Cycles'!$FO$18:$FU$18,1,DC180)+(1-'Lease Cycles'!$BE$18)*(1-INDEX('Lease Cycles'!$FO$18:$FU$18,1,DC180)))),0)</f>
        <v>0</v>
      </c>
      <c r="DD188" s="24">
        <f>IF(DD182=1,'Lease Cycles'!$D$18*IF(INDEX('Lease Cycles'!$EF$18:$EL$18,1,DD180)=1,(1-'Lease Cycles'!$AJ$18)*INDEX('Lease Cycles'!$EM$18:$ES$18,1,DD180)+(1-'Lease Cycles'!$BE$18)*IF(DD181&lt;INDEX('Lease Cycles'!$FA$18:$FG$18,1,DD180),0,1-INDEX('Lease Cycles'!$EM$18:$ES$18,1,DD180)),IF(OR(INDEX('Lease Cycles'!$DY$18:$EE$18,1,DD180)=1,DD181&gt;0),1,1-INDEX('Lease Cycles'!$DD$18:$DJ$18,1,DD180))*((1-'Lease Cycles'!$AJ$18)*INDEX('Lease Cycles'!$FO$18:$FU$18,1,DD180)+(1-'Lease Cycles'!$BE$18)*(1-INDEX('Lease Cycles'!$FO$18:$FU$18,1,DD180)))),0)</f>
        <v>0</v>
      </c>
      <c r="DE188" s="24">
        <f>IF(DE182=1,'Lease Cycles'!$D$18*IF(INDEX('Lease Cycles'!$EF$18:$EL$18,1,DE180)=1,(1-'Lease Cycles'!$AJ$18)*INDEX('Lease Cycles'!$EM$18:$ES$18,1,DE180)+(1-'Lease Cycles'!$BE$18)*IF(DE181&lt;INDEX('Lease Cycles'!$FA$18:$FG$18,1,DE180),0,1-INDEX('Lease Cycles'!$EM$18:$ES$18,1,DE180)),IF(OR(INDEX('Lease Cycles'!$DY$18:$EE$18,1,DE180)=1,DE181&gt;0),1,1-INDEX('Lease Cycles'!$DD$18:$DJ$18,1,DE180))*((1-'Lease Cycles'!$AJ$18)*INDEX('Lease Cycles'!$FO$18:$FU$18,1,DE180)+(1-'Lease Cycles'!$BE$18)*(1-INDEX('Lease Cycles'!$FO$18:$FU$18,1,DE180)))),0)</f>
        <v>0</v>
      </c>
      <c r="DF188" s="24">
        <f>IF(DF182=1,'Lease Cycles'!$D$18*IF(INDEX('Lease Cycles'!$EF$18:$EL$18,1,DF180)=1,(1-'Lease Cycles'!$AJ$18)*INDEX('Lease Cycles'!$EM$18:$ES$18,1,DF180)+(1-'Lease Cycles'!$BE$18)*IF(DF181&lt;INDEX('Lease Cycles'!$FA$18:$FG$18,1,DF180),0,1-INDEX('Lease Cycles'!$EM$18:$ES$18,1,DF180)),IF(OR(INDEX('Lease Cycles'!$DY$18:$EE$18,1,DF180)=1,DF181&gt;0),1,1-INDEX('Lease Cycles'!$DD$18:$DJ$18,1,DF180))*((1-'Lease Cycles'!$AJ$18)*INDEX('Lease Cycles'!$FO$18:$FU$18,1,DF180)+(1-'Lease Cycles'!$BE$18)*(1-INDEX('Lease Cycles'!$FO$18:$FU$18,1,DF180)))),0)</f>
        <v>0</v>
      </c>
      <c r="DG188" s="24">
        <f>IF(DG182=1,'Lease Cycles'!$D$18*IF(INDEX('Lease Cycles'!$EF$18:$EL$18,1,DG180)=1,(1-'Lease Cycles'!$AJ$18)*INDEX('Lease Cycles'!$EM$18:$ES$18,1,DG180)+(1-'Lease Cycles'!$BE$18)*IF(DG181&lt;INDEX('Lease Cycles'!$FA$18:$FG$18,1,DG180),0,1-INDEX('Lease Cycles'!$EM$18:$ES$18,1,DG180)),IF(OR(INDEX('Lease Cycles'!$DY$18:$EE$18,1,DG180)=1,DG181&gt;0),1,1-INDEX('Lease Cycles'!$DD$18:$DJ$18,1,DG180))*((1-'Lease Cycles'!$AJ$18)*INDEX('Lease Cycles'!$FO$18:$FU$18,1,DG180)+(1-'Lease Cycles'!$BE$18)*(1-INDEX('Lease Cycles'!$FO$18:$FU$18,1,DG180)))),0)</f>
        <v>0</v>
      </c>
      <c r="DH188" s="24">
        <f>IF(DH182=1,'Lease Cycles'!$D$18*IF(INDEX('Lease Cycles'!$EF$18:$EL$18,1,DH180)=1,(1-'Lease Cycles'!$AJ$18)*INDEX('Lease Cycles'!$EM$18:$ES$18,1,DH180)+(1-'Lease Cycles'!$BE$18)*IF(DH181&lt;INDEX('Lease Cycles'!$FA$18:$FG$18,1,DH180),0,1-INDEX('Lease Cycles'!$EM$18:$ES$18,1,DH180)),IF(OR(INDEX('Lease Cycles'!$DY$18:$EE$18,1,DH180)=1,DH181&gt;0),1,1-INDEX('Lease Cycles'!$DD$18:$DJ$18,1,DH180))*((1-'Lease Cycles'!$AJ$18)*INDEX('Lease Cycles'!$FO$18:$FU$18,1,DH180)+(1-'Lease Cycles'!$BE$18)*(1-INDEX('Lease Cycles'!$FO$18:$FU$18,1,DH180)))),0)</f>
        <v>0</v>
      </c>
      <c r="DI188" s="24">
        <f>IF(DI182=1,'Lease Cycles'!$D$18*IF(INDEX('Lease Cycles'!$EF$18:$EL$18,1,DI180)=1,(1-'Lease Cycles'!$AJ$18)*INDEX('Lease Cycles'!$EM$18:$ES$18,1,DI180)+(1-'Lease Cycles'!$BE$18)*IF(DI181&lt;INDEX('Lease Cycles'!$FA$18:$FG$18,1,DI180),0,1-INDEX('Lease Cycles'!$EM$18:$ES$18,1,DI180)),IF(OR(INDEX('Lease Cycles'!$DY$18:$EE$18,1,DI180)=1,DI181&gt;0),1,1-INDEX('Lease Cycles'!$DD$18:$DJ$18,1,DI180))*((1-'Lease Cycles'!$AJ$18)*INDEX('Lease Cycles'!$FO$18:$FU$18,1,DI180)+(1-'Lease Cycles'!$BE$18)*(1-INDEX('Lease Cycles'!$FO$18:$FU$18,1,DI180)))),0)</f>
        <v>0</v>
      </c>
      <c r="DJ188" s="24">
        <f>IF(DJ182=1,'Lease Cycles'!$D$18*IF(INDEX('Lease Cycles'!$EF$18:$EL$18,1,DJ180)=1,(1-'Lease Cycles'!$AJ$18)*INDEX('Lease Cycles'!$EM$18:$ES$18,1,DJ180)+(1-'Lease Cycles'!$BE$18)*IF(DJ181&lt;INDEX('Lease Cycles'!$FA$18:$FG$18,1,DJ180),0,1-INDEX('Lease Cycles'!$EM$18:$ES$18,1,DJ180)),IF(OR(INDEX('Lease Cycles'!$DY$18:$EE$18,1,DJ180)=1,DJ181&gt;0),1,1-INDEX('Lease Cycles'!$DD$18:$DJ$18,1,DJ180))*((1-'Lease Cycles'!$AJ$18)*INDEX('Lease Cycles'!$FO$18:$FU$18,1,DJ180)+(1-'Lease Cycles'!$BE$18)*(1-INDEX('Lease Cycles'!$FO$18:$FU$18,1,DJ180)))),0)</f>
        <v>0</v>
      </c>
      <c r="DK188" s="24">
        <f>IF(DK182=1,'Lease Cycles'!$D$18*IF(INDEX('Lease Cycles'!$EF$18:$EL$18,1,DK180)=1,(1-'Lease Cycles'!$AJ$18)*INDEX('Lease Cycles'!$EM$18:$ES$18,1,DK180)+(1-'Lease Cycles'!$BE$18)*IF(DK181&lt;INDEX('Lease Cycles'!$FA$18:$FG$18,1,DK180),0,1-INDEX('Lease Cycles'!$EM$18:$ES$18,1,DK180)),IF(OR(INDEX('Lease Cycles'!$DY$18:$EE$18,1,DK180)=1,DK181&gt;0),1,1-INDEX('Lease Cycles'!$DD$18:$DJ$18,1,DK180))*((1-'Lease Cycles'!$AJ$18)*INDEX('Lease Cycles'!$FO$18:$FU$18,1,DK180)+(1-'Lease Cycles'!$BE$18)*(1-INDEX('Lease Cycles'!$FO$18:$FU$18,1,DK180)))),0)</f>
        <v>0</v>
      </c>
      <c r="DL188" s="24">
        <f>IF(DL182=1,'Lease Cycles'!$D$18*IF(INDEX('Lease Cycles'!$EF$18:$EL$18,1,DL180)=1,(1-'Lease Cycles'!$AJ$18)*INDEX('Lease Cycles'!$EM$18:$ES$18,1,DL180)+(1-'Lease Cycles'!$BE$18)*IF(DL181&lt;INDEX('Lease Cycles'!$FA$18:$FG$18,1,DL180),0,1-INDEX('Lease Cycles'!$EM$18:$ES$18,1,DL180)),IF(OR(INDEX('Lease Cycles'!$DY$18:$EE$18,1,DL180)=1,DL181&gt;0),1,1-INDEX('Lease Cycles'!$DD$18:$DJ$18,1,DL180))*((1-'Lease Cycles'!$AJ$18)*INDEX('Lease Cycles'!$FO$18:$FU$18,1,DL180)+(1-'Lease Cycles'!$BE$18)*(1-INDEX('Lease Cycles'!$FO$18:$FU$18,1,DL180)))),0)</f>
        <v>0</v>
      </c>
      <c r="DM188" s="24">
        <f>IF(DM182=1,'Lease Cycles'!$D$18*IF(INDEX('Lease Cycles'!$EF$18:$EL$18,1,DM180)=1,(1-'Lease Cycles'!$AJ$18)*INDEX('Lease Cycles'!$EM$18:$ES$18,1,DM180)+(1-'Lease Cycles'!$BE$18)*IF(DM181&lt;INDEX('Lease Cycles'!$FA$18:$FG$18,1,DM180),0,1-INDEX('Lease Cycles'!$EM$18:$ES$18,1,DM180)),IF(OR(INDEX('Lease Cycles'!$DY$18:$EE$18,1,DM180)=1,DM181&gt;0),1,1-INDEX('Lease Cycles'!$DD$18:$DJ$18,1,DM180))*((1-'Lease Cycles'!$AJ$18)*INDEX('Lease Cycles'!$FO$18:$FU$18,1,DM180)+(1-'Lease Cycles'!$BE$18)*(1-INDEX('Lease Cycles'!$FO$18:$FU$18,1,DM180)))),0)</f>
        <v>0</v>
      </c>
      <c r="DN188" s="24">
        <f>IF(DN182=1,'Lease Cycles'!$D$18*IF(INDEX('Lease Cycles'!$EF$18:$EL$18,1,DN180)=1,(1-'Lease Cycles'!$AJ$18)*INDEX('Lease Cycles'!$EM$18:$ES$18,1,DN180)+(1-'Lease Cycles'!$BE$18)*IF(DN181&lt;INDEX('Lease Cycles'!$FA$18:$FG$18,1,DN180),0,1-INDEX('Lease Cycles'!$EM$18:$ES$18,1,DN180)),IF(OR(INDEX('Lease Cycles'!$DY$18:$EE$18,1,DN180)=1,DN181&gt;0),1,1-INDEX('Lease Cycles'!$DD$18:$DJ$18,1,DN180))*((1-'Lease Cycles'!$AJ$18)*INDEX('Lease Cycles'!$FO$18:$FU$18,1,DN180)+(1-'Lease Cycles'!$BE$18)*(1-INDEX('Lease Cycles'!$FO$18:$FU$18,1,DN180)))),0)</f>
        <v>0</v>
      </c>
      <c r="DO188" s="24">
        <f>IF(DO182=1,'Lease Cycles'!$D$18*IF(INDEX('Lease Cycles'!$EF$18:$EL$18,1,DO180)=1,(1-'Lease Cycles'!$AJ$18)*INDEX('Lease Cycles'!$EM$18:$ES$18,1,DO180)+(1-'Lease Cycles'!$BE$18)*IF(DO181&lt;INDEX('Lease Cycles'!$FA$18:$FG$18,1,DO180),0,1-INDEX('Lease Cycles'!$EM$18:$ES$18,1,DO180)),IF(OR(INDEX('Lease Cycles'!$DY$18:$EE$18,1,DO180)=1,DO181&gt;0),1,1-INDEX('Lease Cycles'!$DD$18:$DJ$18,1,DO180))*((1-'Lease Cycles'!$AJ$18)*INDEX('Lease Cycles'!$FO$18:$FU$18,1,DO180)+(1-'Lease Cycles'!$BE$18)*(1-INDEX('Lease Cycles'!$FO$18:$FU$18,1,DO180)))),0)</f>
        <v>0</v>
      </c>
      <c r="DP188" s="24">
        <f>IF(DP182=1,'Lease Cycles'!$D$18*IF(INDEX('Lease Cycles'!$EF$18:$EL$18,1,DP180)=1,(1-'Lease Cycles'!$AJ$18)*INDEX('Lease Cycles'!$EM$18:$ES$18,1,DP180)+(1-'Lease Cycles'!$BE$18)*IF(DP181&lt;INDEX('Lease Cycles'!$FA$18:$FG$18,1,DP180),0,1-INDEX('Lease Cycles'!$EM$18:$ES$18,1,DP180)),IF(OR(INDEX('Lease Cycles'!$DY$18:$EE$18,1,DP180)=1,DP181&gt;0),1,1-INDEX('Lease Cycles'!$DD$18:$DJ$18,1,DP180))*((1-'Lease Cycles'!$AJ$18)*INDEX('Lease Cycles'!$FO$18:$FU$18,1,DP180)+(1-'Lease Cycles'!$BE$18)*(1-INDEX('Lease Cycles'!$FO$18:$FU$18,1,DP180)))),0)</f>
        <v>0</v>
      </c>
      <c r="DQ188" s="24">
        <f>IF(DQ182=1,'Lease Cycles'!$D$18*IF(INDEX('Lease Cycles'!$EF$18:$EL$18,1,DQ180)=1,(1-'Lease Cycles'!$AJ$18)*INDEX('Lease Cycles'!$EM$18:$ES$18,1,DQ180)+(1-'Lease Cycles'!$BE$18)*IF(DQ181&lt;INDEX('Lease Cycles'!$FA$18:$FG$18,1,DQ180),0,1-INDEX('Lease Cycles'!$EM$18:$ES$18,1,DQ180)),IF(OR(INDEX('Lease Cycles'!$DY$18:$EE$18,1,DQ180)=1,DQ181&gt;0),1,1-INDEX('Lease Cycles'!$DD$18:$DJ$18,1,DQ180))*((1-'Lease Cycles'!$AJ$18)*INDEX('Lease Cycles'!$FO$18:$FU$18,1,DQ180)+(1-'Lease Cycles'!$BE$18)*(1-INDEX('Lease Cycles'!$FO$18:$FU$18,1,DQ180)))),0)</f>
        <v>0</v>
      </c>
      <c r="DR188" s="24">
        <f>IF(DR182=1,'Lease Cycles'!$D$18*IF(INDEX('Lease Cycles'!$EF$18:$EL$18,1,DR180)=1,(1-'Lease Cycles'!$AJ$18)*INDEX('Lease Cycles'!$EM$18:$ES$18,1,DR180)+(1-'Lease Cycles'!$BE$18)*IF(DR181&lt;INDEX('Lease Cycles'!$FA$18:$FG$18,1,DR180),0,1-INDEX('Lease Cycles'!$EM$18:$ES$18,1,DR180)),IF(OR(INDEX('Lease Cycles'!$DY$18:$EE$18,1,DR180)=1,DR181&gt;0),1,1-INDEX('Lease Cycles'!$DD$18:$DJ$18,1,DR180))*((1-'Lease Cycles'!$AJ$18)*INDEX('Lease Cycles'!$FO$18:$FU$18,1,DR180)+(1-'Lease Cycles'!$BE$18)*(1-INDEX('Lease Cycles'!$FO$18:$FU$18,1,DR180)))),0)</f>
        <v>0</v>
      </c>
      <c r="DS188" s="24">
        <f>IF(DS182=1,'Lease Cycles'!$D$18*IF(INDEX('Lease Cycles'!$EF$18:$EL$18,1,DS180)=1,(1-'Lease Cycles'!$AJ$18)*INDEX('Lease Cycles'!$EM$18:$ES$18,1,DS180)+(1-'Lease Cycles'!$BE$18)*IF(DS181&lt;INDEX('Lease Cycles'!$FA$18:$FG$18,1,DS180),0,1-INDEX('Lease Cycles'!$EM$18:$ES$18,1,DS180)),IF(OR(INDEX('Lease Cycles'!$DY$18:$EE$18,1,DS180)=1,DS181&gt;0),1,1-INDEX('Lease Cycles'!$DD$18:$DJ$18,1,DS180))*((1-'Lease Cycles'!$AJ$18)*INDEX('Lease Cycles'!$FO$18:$FU$18,1,DS180)+(1-'Lease Cycles'!$BE$18)*(1-INDEX('Lease Cycles'!$FO$18:$FU$18,1,DS180)))),0)</f>
        <v>0</v>
      </c>
      <c r="DT188" s="24">
        <f>IF(DT182=1,'Lease Cycles'!$D$18*IF(INDEX('Lease Cycles'!$EF$18:$EL$18,1,DT180)=1,(1-'Lease Cycles'!$AJ$18)*INDEX('Lease Cycles'!$EM$18:$ES$18,1,DT180)+(1-'Lease Cycles'!$BE$18)*IF(DT181&lt;INDEX('Lease Cycles'!$FA$18:$FG$18,1,DT180),0,1-INDEX('Lease Cycles'!$EM$18:$ES$18,1,DT180)),IF(OR(INDEX('Lease Cycles'!$DY$18:$EE$18,1,DT180)=1,DT181&gt;0),1,1-INDEX('Lease Cycles'!$DD$18:$DJ$18,1,DT180))*((1-'Lease Cycles'!$AJ$18)*INDEX('Lease Cycles'!$FO$18:$FU$18,1,DT180)+(1-'Lease Cycles'!$BE$18)*(1-INDEX('Lease Cycles'!$FO$18:$FU$18,1,DT180)))),0)</f>
        <v>0</v>
      </c>
      <c r="DU188" s="24">
        <f>IF(DU182=1,'Lease Cycles'!$D$18*IF(INDEX('Lease Cycles'!$EF$18:$EL$18,1,DU180)=1,(1-'Lease Cycles'!$AJ$18)*INDEX('Lease Cycles'!$EM$18:$ES$18,1,DU180)+(1-'Lease Cycles'!$BE$18)*IF(DU181&lt;INDEX('Lease Cycles'!$FA$18:$FG$18,1,DU180),0,1-INDEX('Lease Cycles'!$EM$18:$ES$18,1,DU180)),IF(OR(INDEX('Lease Cycles'!$DY$18:$EE$18,1,DU180)=1,DU181&gt;0),1,1-INDEX('Lease Cycles'!$DD$18:$DJ$18,1,DU180))*((1-'Lease Cycles'!$AJ$18)*INDEX('Lease Cycles'!$FO$18:$FU$18,1,DU180)+(1-'Lease Cycles'!$BE$18)*(1-INDEX('Lease Cycles'!$FO$18:$FU$18,1,DU180)))),0)</f>
        <v>0</v>
      </c>
      <c r="DV188" s="24">
        <f>IF(DV182=1,'Lease Cycles'!$D$18*IF(INDEX('Lease Cycles'!$EF$18:$EL$18,1,DV180)=1,(1-'Lease Cycles'!$AJ$18)*INDEX('Lease Cycles'!$EM$18:$ES$18,1,DV180)+(1-'Lease Cycles'!$BE$18)*IF(DV181&lt;INDEX('Lease Cycles'!$FA$18:$FG$18,1,DV180),0,1-INDEX('Lease Cycles'!$EM$18:$ES$18,1,DV180)),IF(OR(INDEX('Lease Cycles'!$DY$18:$EE$18,1,DV180)=1,DV181&gt;0),1,1-INDEX('Lease Cycles'!$DD$18:$DJ$18,1,DV180))*((1-'Lease Cycles'!$AJ$18)*INDEX('Lease Cycles'!$FO$18:$FU$18,1,DV180)+(1-'Lease Cycles'!$BE$18)*(1-INDEX('Lease Cycles'!$FO$18:$FU$18,1,DV180)))),0)</f>
        <v>0</v>
      </c>
      <c r="DW188" s="24">
        <f>IF(DW182=1,'Lease Cycles'!$D$18*IF(INDEX('Lease Cycles'!$EF$18:$EL$18,1,DW180)=1,(1-'Lease Cycles'!$AJ$18)*INDEX('Lease Cycles'!$EM$18:$ES$18,1,DW180)+(1-'Lease Cycles'!$BE$18)*IF(DW181&lt;INDEX('Lease Cycles'!$FA$18:$FG$18,1,DW180),0,1-INDEX('Lease Cycles'!$EM$18:$ES$18,1,DW180)),IF(OR(INDEX('Lease Cycles'!$DY$18:$EE$18,1,DW180)=1,DW181&gt;0),1,1-INDEX('Lease Cycles'!$DD$18:$DJ$18,1,DW180))*((1-'Lease Cycles'!$AJ$18)*INDEX('Lease Cycles'!$FO$18:$FU$18,1,DW180)+(1-'Lease Cycles'!$BE$18)*(1-INDEX('Lease Cycles'!$FO$18:$FU$18,1,DW180)))),0)</f>
        <v>0</v>
      </c>
      <c r="DX188" s="24">
        <f>IF(DX182=1,'Lease Cycles'!$D$18*IF(INDEX('Lease Cycles'!$EF$18:$EL$18,1,DX180)=1,(1-'Lease Cycles'!$AJ$18)*INDEX('Lease Cycles'!$EM$18:$ES$18,1,DX180)+(1-'Lease Cycles'!$BE$18)*IF(DX181&lt;INDEX('Lease Cycles'!$FA$18:$FG$18,1,DX180),0,1-INDEX('Lease Cycles'!$EM$18:$ES$18,1,DX180)),IF(OR(INDEX('Lease Cycles'!$DY$18:$EE$18,1,DX180)=1,DX181&gt;0),1,1-INDEX('Lease Cycles'!$DD$18:$DJ$18,1,DX180))*((1-'Lease Cycles'!$AJ$18)*INDEX('Lease Cycles'!$FO$18:$FU$18,1,DX180)+(1-'Lease Cycles'!$BE$18)*(1-INDEX('Lease Cycles'!$FO$18:$FU$18,1,DX180)))),0)</f>
        <v>0</v>
      </c>
      <c r="DY188" s="24">
        <f>IF(DY182=1,'Lease Cycles'!$D$18*IF(INDEX('Lease Cycles'!$EF$18:$EL$18,1,DY180)=1,(1-'Lease Cycles'!$AJ$18)*INDEX('Lease Cycles'!$EM$18:$ES$18,1,DY180)+(1-'Lease Cycles'!$BE$18)*IF(DY181&lt;INDEX('Lease Cycles'!$FA$18:$FG$18,1,DY180),0,1-INDEX('Lease Cycles'!$EM$18:$ES$18,1,DY180)),IF(OR(INDEX('Lease Cycles'!$DY$18:$EE$18,1,DY180)=1,DY181&gt;0),1,1-INDEX('Lease Cycles'!$DD$18:$DJ$18,1,DY180))*((1-'Lease Cycles'!$AJ$18)*INDEX('Lease Cycles'!$FO$18:$FU$18,1,DY180)+(1-'Lease Cycles'!$BE$18)*(1-INDEX('Lease Cycles'!$FO$18:$FU$18,1,DY180)))),0)</f>
        <v>0</v>
      </c>
      <c r="DZ188" s="24">
        <f>IF(DZ182=1,'Lease Cycles'!$D$18*IF(INDEX('Lease Cycles'!$EF$18:$EL$18,1,DZ180)=1,(1-'Lease Cycles'!$AJ$18)*INDEX('Lease Cycles'!$EM$18:$ES$18,1,DZ180)+(1-'Lease Cycles'!$BE$18)*IF(DZ181&lt;INDEX('Lease Cycles'!$FA$18:$FG$18,1,DZ180),0,1-INDEX('Lease Cycles'!$EM$18:$ES$18,1,DZ180)),IF(OR(INDEX('Lease Cycles'!$DY$18:$EE$18,1,DZ180)=1,DZ181&gt;0),1,1-INDEX('Lease Cycles'!$DD$18:$DJ$18,1,DZ180))*((1-'Lease Cycles'!$AJ$18)*INDEX('Lease Cycles'!$FO$18:$FU$18,1,DZ180)+(1-'Lease Cycles'!$BE$18)*(1-INDEX('Lease Cycles'!$FO$18:$FU$18,1,DZ180)))),0)</f>
        <v>0</v>
      </c>
      <c r="EA188" s="24">
        <f>IF(EA182=1,'Lease Cycles'!$D$18*IF(INDEX('Lease Cycles'!$EF$18:$EL$18,1,EA180)=1,(1-'Lease Cycles'!$AJ$18)*INDEX('Lease Cycles'!$EM$18:$ES$18,1,EA180)+(1-'Lease Cycles'!$BE$18)*IF(EA181&lt;INDEX('Lease Cycles'!$FA$18:$FG$18,1,EA180),0,1-INDEX('Lease Cycles'!$EM$18:$ES$18,1,EA180)),IF(OR(INDEX('Lease Cycles'!$DY$18:$EE$18,1,EA180)=1,EA181&gt;0),1,1-INDEX('Lease Cycles'!$DD$18:$DJ$18,1,EA180))*((1-'Lease Cycles'!$AJ$18)*INDEX('Lease Cycles'!$FO$18:$FU$18,1,EA180)+(1-'Lease Cycles'!$BE$18)*(1-INDEX('Lease Cycles'!$FO$18:$FU$18,1,EA180)))),0)</f>
        <v>0</v>
      </c>
      <c r="EB188" s="24">
        <f>IF(EB182=1,'Lease Cycles'!$D$18*IF(INDEX('Lease Cycles'!$EF$18:$EL$18,1,EB180)=1,(1-'Lease Cycles'!$AJ$18)*INDEX('Lease Cycles'!$EM$18:$ES$18,1,EB180)+(1-'Lease Cycles'!$BE$18)*IF(EB181&lt;INDEX('Lease Cycles'!$FA$18:$FG$18,1,EB180),0,1-INDEX('Lease Cycles'!$EM$18:$ES$18,1,EB180)),IF(OR(INDEX('Lease Cycles'!$DY$18:$EE$18,1,EB180)=1,EB181&gt;0),1,1-INDEX('Lease Cycles'!$DD$18:$DJ$18,1,EB180))*((1-'Lease Cycles'!$AJ$18)*INDEX('Lease Cycles'!$FO$18:$FU$18,1,EB180)+(1-'Lease Cycles'!$BE$18)*(1-INDEX('Lease Cycles'!$FO$18:$FU$18,1,EB180)))),0)</f>
        <v>0</v>
      </c>
      <c r="EC188" s="24">
        <f>IF(EC182=1,'Lease Cycles'!$D$18*IF(INDEX('Lease Cycles'!$EF$18:$EL$18,1,EC180)=1,(1-'Lease Cycles'!$AJ$18)*INDEX('Lease Cycles'!$EM$18:$ES$18,1,EC180)+(1-'Lease Cycles'!$BE$18)*IF(EC181&lt;INDEX('Lease Cycles'!$FA$18:$FG$18,1,EC180),0,1-INDEX('Lease Cycles'!$EM$18:$ES$18,1,EC180)),IF(OR(INDEX('Lease Cycles'!$DY$18:$EE$18,1,EC180)=1,EC181&gt;0),1,1-INDEX('Lease Cycles'!$DD$18:$DJ$18,1,EC180))*((1-'Lease Cycles'!$AJ$18)*INDEX('Lease Cycles'!$FO$18:$FU$18,1,EC180)+(1-'Lease Cycles'!$BE$18)*(1-INDEX('Lease Cycles'!$FO$18:$FU$18,1,EC180)))),0)</f>
        <v>0</v>
      </c>
      <c r="ED188" s="24">
        <f>IF(ED182=1,'Lease Cycles'!$D$18*IF(INDEX('Lease Cycles'!$EF$18:$EL$18,1,ED180)=1,(1-'Lease Cycles'!$AJ$18)*INDEX('Lease Cycles'!$EM$18:$ES$18,1,ED180)+(1-'Lease Cycles'!$BE$18)*IF(ED181&lt;INDEX('Lease Cycles'!$FA$18:$FG$18,1,ED180),0,1-INDEX('Lease Cycles'!$EM$18:$ES$18,1,ED180)),IF(OR(INDEX('Lease Cycles'!$DY$18:$EE$18,1,ED180)=1,ED181&gt;0),1,1-INDEX('Lease Cycles'!$DD$18:$DJ$18,1,ED180))*((1-'Lease Cycles'!$AJ$18)*INDEX('Lease Cycles'!$FO$18:$FU$18,1,ED180)+(1-'Lease Cycles'!$BE$18)*(1-INDEX('Lease Cycles'!$FO$18:$FU$18,1,ED180)))),0)</f>
        <v>0</v>
      </c>
      <c r="EE188" s="24">
        <f>IF(EE182=1,'Lease Cycles'!$D$18*IF(INDEX('Lease Cycles'!$EF$18:$EL$18,1,EE180)=1,(1-'Lease Cycles'!$AJ$18)*INDEX('Lease Cycles'!$EM$18:$ES$18,1,EE180)+(1-'Lease Cycles'!$BE$18)*IF(EE181&lt;INDEX('Lease Cycles'!$FA$18:$FG$18,1,EE180),0,1-INDEX('Lease Cycles'!$EM$18:$ES$18,1,EE180)),IF(OR(INDEX('Lease Cycles'!$DY$18:$EE$18,1,EE180)=1,EE181&gt;0),1,1-INDEX('Lease Cycles'!$DD$18:$DJ$18,1,EE180))*((1-'Lease Cycles'!$AJ$18)*INDEX('Lease Cycles'!$FO$18:$FU$18,1,EE180)+(1-'Lease Cycles'!$BE$18)*(1-INDEX('Lease Cycles'!$FO$18:$FU$18,1,EE180)))),0)</f>
        <v>0</v>
      </c>
      <c r="EF188" s="24">
        <f>IF(EF182=1,'Lease Cycles'!$D$18*IF(INDEX('Lease Cycles'!$EF$18:$EL$18,1,EF180)=1,(1-'Lease Cycles'!$AJ$18)*INDEX('Lease Cycles'!$EM$18:$ES$18,1,EF180)+(1-'Lease Cycles'!$BE$18)*IF(EF181&lt;INDEX('Lease Cycles'!$FA$18:$FG$18,1,EF180),0,1-INDEX('Lease Cycles'!$EM$18:$ES$18,1,EF180)),IF(OR(INDEX('Lease Cycles'!$DY$18:$EE$18,1,EF180)=1,EF181&gt;0),1,1-INDEX('Lease Cycles'!$DD$18:$DJ$18,1,EF180))*((1-'Lease Cycles'!$AJ$18)*INDEX('Lease Cycles'!$FO$18:$FU$18,1,EF180)+(1-'Lease Cycles'!$BE$18)*(1-INDEX('Lease Cycles'!$FO$18:$FU$18,1,EF180)))),0)</f>
        <v>0</v>
      </c>
      <c r="EG188" s="24">
        <f>IF(EG182=1,'Lease Cycles'!$D$18*IF(INDEX('Lease Cycles'!$EF$18:$EL$18,1,EG180)=1,(1-'Lease Cycles'!$AJ$18)*INDEX('Lease Cycles'!$EM$18:$ES$18,1,EG180)+(1-'Lease Cycles'!$BE$18)*IF(EG181&lt;INDEX('Lease Cycles'!$FA$18:$FG$18,1,EG180),0,1-INDEX('Lease Cycles'!$EM$18:$ES$18,1,EG180)),IF(OR(INDEX('Lease Cycles'!$DY$18:$EE$18,1,EG180)=1,EG181&gt;0),1,1-INDEX('Lease Cycles'!$DD$18:$DJ$18,1,EG180))*((1-'Lease Cycles'!$AJ$18)*INDEX('Lease Cycles'!$FO$18:$FU$18,1,EG180)+(1-'Lease Cycles'!$BE$18)*(1-INDEX('Lease Cycles'!$FO$18:$FU$18,1,EG180)))),0)</f>
        <v>0</v>
      </c>
      <c r="EH188" s="24">
        <f>IF(EH182=1,'Lease Cycles'!$D$18*IF(INDEX('Lease Cycles'!$EF$18:$EL$18,1,EH180)=1,(1-'Lease Cycles'!$AJ$18)*INDEX('Lease Cycles'!$EM$18:$ES$18,1,EH180)+(1-'Lease Cycles'!$BE$18)*IF(EH181&lt;INDEX('Lease Cycles'!$FA$18:$FG$18,1,EH180),0,1-INDEX('Lease Cycles'!$EM$18:$ES$18,1,EH180)),IF(OR(INDEX('Lease Cycles'!$DY$18:$EE$18,1,EH180)=1,EH181&gt;0),1,1-INDEX('Lease Cycles'!$DD$18:$DJ$18,1,EH180))*((1-'Lease Cycles'!$AJ$18)*INDEX('Lease Cycles'!$FO$18:$FU$18,1,EH180)+(1-'Lease Cycles'!$BE$18)*(1-INDEX('Lease Cycles'!$FO$18:$FU$18,1,EH180)))),0)</f>
        <v>0</v>
      </c>
      <c r="EI188" s="24">
        <f>IF(EI182=1,'Lease Cycles'!$D$18*IF(INDEX('Lease Cycles'!$EF$18:$EL$18,1,EI180)=1,(1-'Lease Cycles'!$AJ$18)*INDEX('Lease Cycles'!$EM$18:$ES$18,1,EI180)+(1-'Lease Cycles'!$BE$18)*IF(EI181&lt;INDEX('Lease Cycles'!$FA$18:$FG$18,1,EI180),0,1-INDEX('Lease Cycles'!$EM$18:$ES$18,1,EI180)),IF(OR(INDEX('Lease Cycles'!$DY$18:$EE$18,1,EI180)=1,EI181&gt;0),1,1-INDEX('Lease Cycles'!$DD$18:$DJ$18,1,EI180))*((1-'Lease Cycles'!$AJ$18)*INDEX('Lease Cycles'!$FO$18:$FU$18,1,EI180)+(1-'Lease Cycles'!$BE$18)*(1-INDEX('Lease Cycles'!$FO$18:$FU$18,1,EI180)))),0)</f>
        <v>0</v>
      </c>
      <c r="EJ188" s="24">
        <f>IF(EJ182=1,'Lease Cycles'!$D$18*IF(INDEX('Lease Cycles'!$EF$18:$EL$18,1,EJ180)=1,(1-'Lease Cycles'!$AJ$18)*INDEX('Lease Cycles'!$EM$18:$ES$18,1,EJ180)+(1-'Lease Cycles'!$BE$18)*IF(EJ181&lt;INDEX('Lease Cycles'!$FA$18:$FG$18,1,EJ180),0,1-INDEX('Lease Cycles'!$EM$18:$ES$18,1,EJ180)),IF(OR(INDEX('Lease Cycles'!$DY$18:$EE$18,1,EJ180)=1,EJ181&gt;0),1,1-INDEX('Lease Cycles'!$DD$18:$DJ$18,1,EJ180))*((1-'Lease Cycles'!$AJ$18)*INDEX('Lease Cycles'!$FO$18:$FU$18,1,EJ180)+(1-'Lease Cycles'!$BE$18)*(1-INDEX('Lease Cycles'!$FO$18:$FU$18,1,EJ180)))),0)</f>
        <v>0</v>
      </c>
      <c r="EK188" s="24">
        <f>IF(EK182=1,'Lease Cycles'!$D$18*IF(INDEX('Lease Cycles'!$EF$18:$EL$18,1,EK180)=1,(1-'Lease Cycles'!$AJ$18)*INDEX('Lease Cycles'!$EM$18:$ES$18,1,EK180)+(1-'Lease Cycles'!$BE$18)*IF(EK181&lt;INDEX('Lease Cycles'!$FA$18:$FG$18,1,EK180),0,1-INDEX('Lease Cycles'!$EM$18:$ES$18,1,EK180)),IF(OR(INDEX('Lease Cycles'!$DY$18:$EE$18,1,EK180)=1,EK181&gt;0),1,1-INDEX('Lease Cycles'!$DD$18:$DJ$18,1,EK180))*((1-'Lease Cycles'!$AJ$18)*INDEX('Lease Cycles'!$FO$18:$FU$18,1,EK180)+(1-'Lease Cycles'!$BE$18)*(1-INDEX('Lease Cycles'!$FO$18:$FU$18,1,EK180)))),0)</f>
        <v>0</v>
      </c>
      <c r="EL188" s="24">
        <f>IF(EL182=1,'Lease Cycles'!$D$18*IF(INDEX('Lease Cycles'!$EF$18:$EL$18,1,EL180)=1,(1-'Lease Cycles'!$AJ$18)*INDEX('Lease Cycles'!$EM$18:$ES$18,1,EL180)+(1-'Lease Cycles'!$BE$18)*IF(EL181&lt;INDEX('Lease Cycles'!$FA$18:$FG$18,1,EL180),0,1-INDEX('Lease Cycles'!$EM$18:$ES$18,1,EL180)),IF(OR(INDEX('Lease Cycles'!$DY$18:$EE$18,1,EL180)=1,EL181&gt;0),1,1-INDEX('Lease Cycles'!$DD$18:$DJ$18,1,EL180))*((1-'Lease Cycles'!$AJ$18)*INDEX('Lease Cycles'!$FO$18:$FU$18,1,EL180)+(1-'Lease Cycles'!$BE$18)*(1-INDEX('Lease Cycles'!$FO$18:$FU$18,1,EL180)))),0)</f>
        <v>0</v>
      </c>
      <c r="EM188" s="24">
        <f>IF(EM182=1,'Lease Cycles'!$D$18*IF(INDEX('Lease Cycles'!$EF$18:$EL$18,1,EM180)=1,(1-'Lease Cycles'!$AJ$18)*INDEX('Lease Cycles'!$EM$18:$ES$18,1,EM180)+(1-'Lease Cycles'!$BE$18)*IF(EM181&lt;INDEX('Lease Cycles'!$FA$18:$FG$18,1,EM180),0,1-INDEX('Lease Cycles'!$EM$18:$ES$18,1,EM180)),IF(OR(INDEX('Lease Cycles'!$DY$18:$EE$18,1,EM180)=1,EM181&gt;0),1,1-INDEX('Lease Cycles'!$DD$18:$DJ$18,1,EM180))*((1-'Lease Cycles'!$AJ$18)*INDEX('Lease Cycles'!$FO$18:$FU$18,1,EM180)+(1-'Lease Cycles'!$BE$18)*(1-INDEX('Lease Cycles'!$FO$18:$FU$18,1,EM180)))),0)</f>
        <v>0</v>
      </c>
      <c r="EN188" s="24">
        <f>IF(EN182=1,'Lease Cycles'!$D$18*IF(INDEX('Lease Cycles'!$EF$18:$EL$18,1,EN180)=1,(1-'Lease Cycles'!$AJ$18)*INDEX('Lease Cycles'!$EM$18:$ES$18,1,EN180)+(1-'Lease Cycles'!$BE$18)*IF(EN181&lt;INDEX('Lease Cycles'!$FA$18:$FG$18,1,EN180),0,1-INDEX('Lease Cycles'!$EM$18:$ES$18,1,EN180)),IF(OR(INDEX('Lease Cycles'!$DY$18:$EE$18,1,EN180)=1,EN181&gt;0),1,1-INDEX('Lease Cycles'!$DD$18:$DJ$18,1,EN180))*((1-'Lease Cycles'!$AJ$18)*INDEX('Lease Cycles'!$FO$18:$FU$18,1,EN180)+(1-'Lease Cycles'!$BE$18)*(1-INDEX('Lease Cycles'!$FO$18:$FU$18,1,EN180)))),0)</f>
        <v>0</v>
      </c>
      <c r="EO188" s="24">
        <f>IF(EO182=1,'Lease Cycles'!$D$18*IF(INDEX('Lease Cycles'!$EF$18:$EL$18,1,EO180)=1,(1-'Lease Cycles'!$AJ$18)*INDEX('Lease Cycles'!$EM$18:$ES$18,1,EO180)+(1-'Lease Cycles'!$BE$18)*IF(EO181&lt;INDEX('Lease Cycles'!$FA$18:$FG$18,1,EO180),0,1-INDEX('Lease Cycles'!$EM$18:$ES$18,1,EO180)),IF(OR(INDEX('Lease Cycles'!$DY$18:$EE$18,1,EO180)=1,EO181&gt;0),1,1-INDEX('Lease Cycles'!$DD$18:$DJ$18,1,EO180))*((1-'Lease Cycles'!$AJ$18)*INDEX('Lease Cycles'!$FO$18:$FU$18,1,EO180)+(1-'Lease Cycles'!$BE$18)*(1-INDEX('Lease Cycles'!$FO$18:$FU$18,1,EO180)))),0)</f>
        <v>0</v>
      </c>
      <c r="EP188" s="24">
        <f>IF(EP182=1,'Lease Cycles'!$D$18*IF(INDEX('Lease Cycles'!$EF$18:$EL$18,1,EP180)=1,(1-'Lease Cycles'!$AJ$18)*INDEX('Lease Cycles'!$EM$18:$ES$18,1,EP180)+(1-'Lease Cycles'!$BE$18)*IF(EP181&lt;INDEX('Lease Cycles'!$FA$18:$FG$18,1,EP180),0,1-INDEX('Lease Cycles'!$EM$18:$ES$18,1,EP180)),IF(OR(INDEX('Lease Cycles'!$DY$18:$EE$18,1,EP180)=1,EP181&gt;0),1,1-INDEX('Lease Cycles'!$DD$18:$DJ$18,1,EP180))*((1-'Lease Cycles'!$AJ$18)*INDEX('Lease Cycles'!$FO$18:$FU$18,1,EP180)+(1-'Lease Cycles'!$BE$18)*(1-INDEX('Lease Cycles'!$FO$18:$FU$18,1,EP180)))),0)</f>
        <v>0</v>
      </c>
      <c r="EQ188" s="24">
        <f>IF(EQ182=1,'Lease Cycles'!$D$18*IF(INDEX('Lease Cycles'!$EF$18:$EL$18,1,EQ180)=1,(1-'Lease Cycles'!$AJ$18)*INDEX('Lease Cycles'!$EM$18:$ES$18,1,EQ180)+(1-'Lease Cycles'!$BE$18)*IF(EQ181&lt;INDEX('Lease Cycles'!$FA$18:$FG$18,1,EQ180),0,1-INDEX('Lease Cycles'!$EM$18:$ES$18,1,EQ180)),IF(OR(INDEX('Lease Cycles'!$DY$18:$EE$18,1,EQ180)=1,EQ181&gt;0),1,1-INDEX('Lease Cycles'!$DD$18:$DJ$18,1,EQ180))*((1-'Lease Cycles'!$AJ$18)*INDEX('Lease Cycles'!$FO$18:$FU$18,1,EQ180)+(1-'Lease Cycles'!$BE$18)*(1-INDEX('Lease Cycles'!$FO$18:$FU$18,1,EQ180)))),0)</f>
        <v>0</v>
      </c>
      <c r="ER188" s="24">
        <f>IF(ER182=1,'Lease Cycles'!$D$18*IF(INDEX('Lease Cycles'!$EF$18:$EL$18,1,ER180)=1,(1-'Lease Cycles'!$AJ$18)*INDEX('Lease Cycles'!$EM$18:$ES$18,1,ER180)+(1-'Lease Cycles'!$BE$18)*IF(ER181&lt;INDEX('Lease Cycles'!$FA$18:$FG$18,1,ER180),0,1-INDEX('Lease Cycles'!$EM$18:$ES$18,1,ER180)),IF(OR(INDEX('Lease Cycles'!$DY$18:$EE$18,1,ER180)=1,ER181&gt;0),1,1-INDEX('Lease Cycles'!$DD$18:$DJ$18,1,ER180))*((1-'Lease Cycles'!$AJ$18)*INDEX('Lease Cycles'!$FO$18:$FU$18,1,ER180)+(1-'Lease Cycles'!$BE$18)*(1-INDEX('Lease Cycles'!$FO$18:$FU$18,1,ER180)))),0)</f>
        <v>0</v>
      </c>
      <c r="ES188" s="24">
        <f>IF(ES182=1,'Lease Cycles'!$D$18*IF(INDEX('Lease Cycles'!$EF$18:$EL$18,1,ES180)=1,(1-'Lease Cycles'!$AJ$18)*INDEX('Lease Cycles'!$EM$18:$ES$18,1,ES180)+(1-'Lease Cycles'!$BE$18)*IF(ES181&lt;INDEX('Lease Cycles'!$FA$18:$FG$18,1,ES180),0,1-INDEX('Lease Cycles'!$EM$18:$ES$18,1,ES180)),IF(OR(INDEX('Lease Cycles'!$DY$18:$EE$18,1,ES180)=1,ES181&gt;0),1,1-INDEX('Lease Cycles'!$DD$18:$DJ$18,1,ES180))*((1-'Lease Cycles'!$AJ$18)*INDEX('Lease Cycles'!$FO$18:$FU$18,1,ES180)+(1-'Lease Cycles'!$BE$18)*(1-INDEX('Lease Cycles'!$FO$18:$FU$18,1,ES180)))),0)</f>
        <v>0</v>
      </c>
      <c r="ET188" s="24">
        <f>IF(ET182=1,'Lease Cycles'!$D$18*IF(INDEX('Lease Cycles'!$EF$18:$EL$18,1,ET180)=1,(1-'Lease Cycles'!$AJ$18)*INDEX('Lease Cycles'!$EM$18:$ES$18,1,ET180)+(1-'Lease Cycles'!$BE$18)*IF(ET181&lt;INDEX('Lease Cycles'!$FA$18:$FG$18,1,ET180),0,1-INDEX('Lease Cycles'!$EM$18:$ES$18,1,ET180)),IF(OR(INDEX('Lease Cycles'!$DY$18:$EE$18,1,ET180)=1,ET181&gt;0),1,1-INDEX('Lease Cycles'!$DD$18:$DJ$18,1,ET180))*((1-'Lease Cycles'!$AJ$18)*INDEX('Lease Cycles'!$FO$18:$FU$18,1,ET180)+(1-'Lease Cycles'!$BE$18)*(1-INDEX('Lease Cycles'!$FO$18:$FU$18,1,ET180)))),0)</f>
        <v>0</v>
      </c>
    </row>
    <row r="189">
      <c r="A189" s="103">
        <v>11</v>
      </c>
      <c r="B189" s="23" t="str">
        <f>IF('Lease Cycles'!$B$18="","(empty slot)",'Lease Cycles'!$B$18)</f>
        <v>(empty slot)</v>
      </c>
      <c r="C189" s="23" t="s">
        <v>685</v>
      </c>
      <c r="D189" s="104" t="s">
        <v>686</v>
      </c>
      <c r="E189" s="25">
        <f>'Lease Cycles'!$AL$18</f>
        <v>0</v>
      </c>
      <c r="G189" s="24">
        <f>SUM(S189:AD189)</f>
        <v>0</v>
      </c>
      <c r="H189" s="24">
        <f>SUM(AE189:AP189)</f>
        <v>0</v>
      </c>
      <c r="I189" s="24">
        <f>SUM(AQ189:BB189)</f>
        <v>0</v>
      </c>
      <c r="J189" s="24">
        <f>SUM(BC189:BN189)</f>
        <v>0</v>
      </c>
      <c r="K189" s="24">
        <f>SUM(BO189:BZ189)</f>
        <v>0</v>
      </c>
      <c r="L189" s="24">
        <f>SUM(CA189:CL189)</f>
        <v>0</v>
      </c>
      <c r="M189" s="24">
        <f>SUM(CM189:CX189)</f>
        <v>0</v>
      </c>
      <c r="N189" s="24">
        <f>SUM(CY189:DJ189)</f>
        <v>0</v>
      </c>
      <c r="O189" s="24">
        <f>SUM(DK189:DV189)</f>
        <v>0</v>
      </c>
      <c r="P189" s="24">
        <f>SUM(DW189:EH189)</f>
        <v>0</v>
      </c>
      <c r="Q189" s="24">
        <f>SUM(EI189:ET189)</f>
        <v>0</v>
      </c>
      <c r="S189" s="24">
        <f>IF(S182=1,IF('Lease Cycles'!$AJ$18=1,0,'Lease Cycles'!$D$18*INDEX('Lease Cycles'!$FH$18:$FN$18,1,S180)*IF(INDEX('Lease Cycles'!$EF$18:$EL$18,1,S180)=1,1,IF(OR(INDEX('Lease Cycles'!$DY$18:$EE$18,1,S180)=1,S181&gt;0),1,1-INDEX('Lease Cycles'!$DD$18:$DJ$18,1,S180)))),0)</f>
        <v>0</v>
      </c>
      <c r="T189" s="24">
        <f>IF(T182=1,IF('Lease Cycles'!$AJ$18=1,0,'Lease Cycles'!$D$18*INDEX('Lease Cycles'!$FH$18:$FN$18,1,T180)*IF(INDEX('Lease Cycles'!$EF$18:$EL$18,1,T180)=1,1,IF(OR(INDEX('Lease Cycles'!$DY$18:$EE$18,1,T180)=1,T181&gt;0),1,1-INDEX('Lease Cycles'!$DD$18:$DJ$18,1,T180)))),0)</f>
        <v>0</v>
      </c>
      <c r="U189" s="24">
        <f>IF(U182=1,IF('Lease Cycles'!$AJ$18=1,0,'Lease Cycles'!$D$18*INDEX('Lease Cycles'!$FH$18:$FN$18,1,U180)*IF(INDEX('Lease Cycles'!$EF$18:$EL$18,1,U180)=1,1,IF(OR(INDEX('Lease Cycles'!$DY$18:$EE$18,1,U180)=1,U181&gt;0),1,1-INDEX('Lease Cycles'!$DD$18:$DJ$18,1,U180)))),0)</f>
        <v>0</v>
      </c>
      <c r="V189" s="24">
        <f>IF(V182=1,IF('Lease Cycles'!$AJ$18=1,0,'Lease Cycles'!$D$18*INDEX('Lease Cycles'!$FH$18:$FN$18,1,V180)*IF(INDEX('Lease Cycles'!$EF$18:$EL$18,1,V180)=1,1,IF(OR(INDEX('Lease Cycles'!$DY$18:$EE$18,1,V180)=1,V181&gt;0),1,1-INDEX('Lease Cycles'!$DD$18:$DJ$18,1,V180)))),0)</f>
        <v>0</v>
      </c>
      <c r="W189" s="24">
        <f>IF(W182=1,IF('Lease Cycles'!$AJ$18=1,0,'Lease Cycles'!$D$18*INDEX('Lease Cycles'!$FH$18:$FN$18,1,W180)*IF(INDEX('Lease Cycles'!$EF$18:$EL$18,1,W180)=1,1,IF(OR(INDEX('Lease Cycles'!$DY$18:$EE$18,1,W180)=1,W181&gt;0),1,1-INDEX('Lease Cycles'!$DD$18:$DJ$18,1,W180)))),0)</f>
        <v>0</v>
      </c>
      <c r="X189" s="24">
        <f>IF(X182=1,IF('Lease Cycles'!$AJ$18=1,0,'Lease Cycles'!$D$18*INDEX('Lease Cycles'!$FH$18:$FN$18,1,X180)*IF(INDEX('Lease Cycles'!$EF$18:$EL$18,1,X180)=1,1,IF(OR(INDEX('Lease Cycles'!$DY$18:$EE$18,1,X180)=1,X181&gt;0),1,1-INDEX('Lease Cycles'!$DD$18:$DJ$18,1,X180)))),0)</f>
        <v>0</v>
      </c>
      <c r="Y189" s="24">
        <f>IF(Y182=1,IF('Lease Cycles'!$AJ$18=1,0,'Lease Cycles'!$D$18*INDEX('Lease Cycles'!$FH$18:$FN$18,1,Y180)*IF(INDEX('Lease Cycles'!$EF$18:$EL$18,1,Y180)=1,1,IF(OR(INDEX('Lease Cycles'!$DY$18:$EE$18,1,Y180)=1,Y181&gt;0),1,1-INDEX('Lease Cycles'!$DD$18:$DJ$18,1,Y180)))),0)</f>
        <v>0</v>
      </c>
      <c r="Z189" s="24">
        <f>IF(Z182=1,IF('Lease Cycles'!$AJ$18=1,0,'Lease Cycles'!$D$18*INDEX('Lease Cycles'!$FH$18:$FN$18,1,Z180)*IF(INDEX('Lease Cycles'!$EF$18:$EL$18,1,Z180)=1,1,IF(OR(INDEX('Lease Cycles'!$DY$18:$EE$18,1,Z180)=1,Z181&gt;0),1,1-INDEX('Lease Cycles'!$DD$18:$DJ$18,1,Z180)))),0)</f>
        <v>0</v>
      </c>
      <c r="AA189" s="24">
        <f>IF(AA182=1,IF('Lease Cycles'!$AJ$18=1,0,'Lease Cycles'!$D$18*INDEX('Lease Cycles'!$FH$18:$FN$18,1,AA180)*IF(INDEX('Lease Cycles'!$EF$18:$EL$18,1,AA180)=1,1,IF(OR(INDEX('Lease Cycles'!$DY$18:$EE$18,1,AA180)=1,AA181&gt;0),1,1-INDEX('Lease Cycles'!$DD$18:$DJ$18,1,AA180)))),0)</f>
        <v>0</v>
      </c>
      <c r="AB189" s="24">
        <f>IF(AB182=1,IF('Lease Cycles'!$AJ$18=1,0,'Lease Cycles'!$D$18*INDEX('Lease Cycles'!$FH$18:$FN$18,1,AB180)*IF(INDEX('Lease Cycles'!$EF$18:$EL$18,1,AB180)=1,1,IF(OR(INDEX('Lease Cycles'!$DY$18:$EE$18,1,AB180)=1,AB181&gt;0),1,1-INDEX('Lease Cycles'!$DD$18:$DJ$18,1,AB180)))),0)</f>
        <v>0</v>
      </c>
      <c r="AC189" s="24">
        <f>IF(AC182=1,IF('Lease Cycles'!$AJ$18=1,0,'Lease Cycles'!$D$18*INDEX('Lease Cycles'!$FH$18:$FN$18,1,AC180)*IF(INDEX('Lease Cycles'!$EF$18:$EL$18,1,AC180)=1,1,IF(OR(INDEX('Lease Cycles'!$DY$18:$EE$18,1,AC180)=1,AC181&gt;0),1,1-INDEX('Lease Cycles'!$DD$18:$DJ$18,1,AC180)))),0)</f>
        <v>0</v>
      </c>
      <c r="AD189" s="24">
        <f>IF(AD182=1,IF('Lease Cycles'!$AJ$18=1,0,'Lease Cycles'!$D$18*INDEX('Lease Cycles'!$FH$18:$FN$18,1,AD180)*IF(INDEX('Lease Cycles'!$EF$18:$EL$18,1,AD180)=1,1,IF(OR(INDEX('Lease Cycles'!$DY$18:$EE$18,1,AD180)=1,AD181&gt;0),1,1-INDEX('Lease Cycles'!$DD$18:$DJ$18,1,AD180)))),0)</f>
        <v>0</v>
      </c>
      <c r="AE189" s="24">
        <f>IF(AE182=1,IF('Lease Cycles'!$AJ$18=1,0,'Lease Cycles'!$D$18*INDEX('Lease Cycles'!$FH$18:$FN$18,1,AE180)*IF(INDEX('Lease Cycles'!$EF$18:$EL$18,1,AE180)=1,1,IF(OR(INDEX('Lease Cycles'!$DY$18:$EE$18,1,AE180)=1,AE181&gt;0),1,1-INDEX('Lease Cycles'!$DD$18:$DJ$18,1,AE180)))),0)</f>
        <v>0</v>
      </c>
      <c r="AF189" s="24">
        <f>IF(AF182=1,IF('Lease Cycles'!$AJ$18=1,0,'Lease Cycles'!$D$18*INDEX('Lease Cycles'!$FH$18:$FN$18,1,AF180)*IF(INDEX('Lease Cycles'!$EF$18:$EL$18,1,AF180)=1,1,IF(OR(INDEX('Lease Cycles'!$DY$18:$EE$18,1,AF180)=1,AF181&gt;0),1,1-INDEX('Lease Cycles'!$DD$18:$DJ$18,1,AF180)))),0)</f>
        <v>0</v>
      </c>
      <c r="AG189" s="24">
        <f>IF(AG182=1,IF('Lease Cycles'!$AJ$18=1,0,'Lease Cycles'!$D$18*INDEX('Lease Cycles'!$FH$18:$FN$18,1,AG180)*IF(INDEX('Lease Cycles'!$EF$18:$EL$18,1,AG180)=1,1,IF(OR(INDEX('Lease Cycles'!$DY$18:$EE$18,1,AG180)=1,AG181&gt;0),1,1-INDEX('Lease Cycles'!$DD$18:$DJ$18,1,AG180)))),0)</f>
        <v>0</v>
      </c>
      <c r="AH189" s="24">
        <f>IF(AH182=1,IF('Lease Cycles'!$AJ$18=1,0,'Lease Cycles'!$D$18*INDEX('Lease Cycles'!$FH$18:$FN$18,1,AH180)*IF(INDEX('Lease Cycles'!$EF$18:$EL$18,1,AH180)=1,1,IF(OR(INDEX('Lease Cycles'!$DY$18:$EE$18,1,AH180)=1,AH181&gt;0),1,1-INDEX('Lease Cycles'!$DD$18:$DJ$18,1,AH180)))),0)</f>
        <v>0</v>
      </c>
      <c r="AI189" s="24">
        <f>IF(AI182=1,IF('Lease Cycles'!$AJ$18=1,0,'Lease Cycles'!$D$18*INDEX('Lease Cycles'!$FH$18:$FN$18,1,AI180)*IF(INDEX('Lease Cycles'!$EF$18:$EL$18,1,AI180)=1,1,IF(OR(INDEX('Lease Cycles'!$DY$18:$EE$18,1,AI180)=1,AI181&gt;0),1,1-INDEX('Lease Cycles'!$DD$18:$DJ$18,1,AI180)))),0)</f>
        <v>0</v>
      </c>
      <c r="AJ189" s="24">
        <f>IF(AJ182=1,IF('Lease Cycles'!$AJ$18=1,0,'Lease Cycles'!$D$18*INDEX('Lease Cycles'!$FH$18:$FN$18,1,AJ180)*IF(INDEX('Lease Cycles'!$EF$18:$EL$18,1,AJ180)=1,1,IF(OR(INDEX('Lease Cycles'!$DY$18:$EE$18,1,AJ180)=1,AJ181&gt;0),1,1-INDEX('Lease Cycles'!$DD$18:$DJ$18,1,AJ180)))),0)</f>
        <v>0</v>
      </c>
      <c r="AK189" s="24">
        <f>IF(AK182=1,IF('Lease Cycles'!$AJ$18=1,0,'Lease Cycles'!$D$18*INDEX('Lease Cycles'!$FH$18:$FN$18,1,AK180)*IF(INDEX('Lease Cycles'!$EF$18:$EL$18,1,AK180)=1,1,IF(OR(INDEX('Lease Cycles'!$DY$18:$EE$18,1,AK180)=1,AK181&gt;0),1,1-INDEX('Lease Cycles'!$DD$18:$DJ$18,1,AK180)))),0)</f>
        <v>0</v>
      </c>
      <c r="AL189" s="24">
        <f>IF(AL182=1,IF('Lease Cycles'!$AJ$18=1,0,'Lease Cycles'!$D$18*INDEX('Lease Cycles'!$FH$18:$FN$18,1,AL180)*IF(INDEX('Lease Cycles'!$EF$18:$EL$18,1,AL180)=1,1,IF(OR(INDEX('Lease Cycles'!$DY$18:$EE$18,1,AL180)=1,AL181&gt;0),1,1-INDEX('Lease Cycles'!$DD$18:$DJ$18,1,AL180)))),0)</f>
        <v>0</v>
      </c>
      <c r="AM189" s="24">
        <f>IF(AM182=1,IF('Lease Cycles'!$AJ$18=1,0,'Lease Cycles'!$D$18*INDEX('Lease Cycles'!$FH$18:$FN$18,1,AM180)*IF(INDEX('Lease Cycles'!$EF$18:$EL$18,1,AM180)=1,1,IF(OR(INDEX('Lease Cycles'!$DY$18:$EE$18,1,AM180)=1,AM181&gt;0),1,1-INDEX('Lease Cycles'!$DD$18:$DJ$18,1,AM180)))),0)</f>
        <v>0</v>
      </c>
      <c r="AN189" s="24">
        <f>IF(AN182=1,IF('Lease Cycles'!$AJ$18=1,0,'Lease Cycles'!$D$18*INDEX('Lease Cycles'!$FH$18:$FN$18,1,AN180)*IF(INDEX('Lease Cycles'!$EF$18:$EL$18,1,AN180)=1,1,IF(OR(INDEX('Lease Cycles'!$DY$18:$EE$18,1,AN180)=1,AN181&gt;0),1,1-INDEX('Lease Cycles'!$DD$18:$DJ$18,1,AN180)))),0)</f>
        <v>0</v>
      </c>
      <c r="AO189" s="24">
        <f>IF(AO182=1,IF('Lease Cycles'!$AJ$18=1,0,'Lease Cycles'!$D$18*INDEX('Lease Cycles'!$FH$18:$FN$18,1,AO180)*IF(INDEX('Lease Cycles'!$EF$18:$EL$18,1,AO180)=1,1,IF(OR(INDEX('Lease Cycles'!$DY$18:$EE$18,1,AO180)=1,AO181&gt;0),1,1-INDEX('Lease Cycles'!$DD$18:$DJ$18,1,AO180)))),0)</f>
        <v>0</v>
      </c>
      <c r="AP189" s="24">
        <f>IF(AP182=1,IF('Lease Cycles'!$AJ$18=1,0,'Lease Cycles'!$D$18*INDEX('Lease Cycles'!$FH$18:$FN$18,1,AP180)*IF(INDEX('Lease Cycles'!$EF$18:$EL$18,1,AP180)=1,1,IF(OR(INDEX('Lease Cycles'!$DY$18:$EE$18,1,AP180)=1,AP181&gt;0),1,1-INDEX('Lease Cycles'!$DD$18:$DJ$18,1,AP180)))),0)</f>
        <v>0</v>
      </c>
      <c r="AQ189" s="24">
        <f>IF(AQ182=1,IF('Lease Cycles'!$AJ$18=1,0,'Lease Cycles'!$D$18*INDEX('Lease Cycles'!$FH$18:$FN$18,1,AQ180)*IF(INDEX('Lease Cycles'!$EF$18:$EL$18,1,AQ180)=1,1,IF(OR(INDEX('Lease Cycles'!$DY$18:$EE$18,1,AQ180)=1,AQ181&gt;0),1,1-INDEX('Lease Cycles'!$DD$18:$DJ$18,1,AQ180)))),0)</f>
        <v>0</v>
      </c>
      <c r="AR189" s="24">
        <f>IF(AR182=1,IF('Lease Cycles'!$AJ$18=1,0,'Lease Cycles'!$D$18*INDEX('Lease Cycles'!$FH$18:$FN$18,1,AR180)*IF(INDEX('Lease Cycles'!$EF$18:$EL$18,1,AR180)=1,1,IF(OR(INDEX('Lease Cycles'!$DY$18:$EE$18,1,AR180)=1,AR181&gt;0),1,1-INDEX('Lease Cycles'!$DD$18:$DJ$18,1,AR180)))),0)</f>
        <v>0</v>
      </c>
      <c r="AS189" s="24">
        <f>IF(AS182=1,IF('Lease Cycles'!$AJ$18=1,0,'Lease Cycles'!$D$18*INDEX('Lease Cycles'!$FH$18:$FN$18,1,AS180)*IF(INDEX('Lease Cycles'!$EF$18:$EL$18,1,AS180)=1,1,IF(OR(INDEX('Lease Cycles'!$DY$18:$EE$18,1,AS180)=1,AS181&gt;0),1,1-INDEX('Lease Cycles'!$DD$18:$DJ$18,1,AS180)))),0)</f>
        <v>0</v>
      </c>
      <c r="AT189" s="24">
        <f>IF(AT182=1,IF('Lease Cycles'!$AJ$18=1,0,'Lease Cycles'!$D$18*INDEX('Lease Cycles'!$FH$18:$FN$18,1,AT180)*IF(INDEX('Lease Cycles'!$EF$18:$EL$18,1,AT180)=1,1,IF(OR(INDEX('Lease Cycles'!$DY$18:$EE$18,1,AT180)=1,AT181&gt;0),1,1-INDEX('Lease Cycles'!$DD$18:$DJ$18,1,AT180)))),0)</f>
        <v>0</v>
      </c>
      <c r="AU189" s="24">
        <f>IF(AU182=1,IF('Lease Cycles'!$AJ$18=1,0,'Lease Cycles'!$D$18*INDEX('Lease Cycles'!$FH$18:$FN$18,1,AU180)*IF(INDEX('Lease Cycles'!$EF$18:$EL$18,1,AU180)=1,1,IF(OR(INDEX('Lease Cycles'!$DY$18:$EE$18,1,AU180)=1,AU181&gt;0),1,1-INDEX('Lease Cycles'!$DD$18:$DJ$18,1,AU180)))),0)</f>
        <v>0</v>
      </c>
      <c r="AV189" s="24">
        <f>IF(AV182=1,IF('Lease Cycles'!$AJ$18=1,0,'Lease Cycles'!$D$18*INDEX('Lease Cycles'!$FH$18:$FN$18,1,AV180)*IF(INDEX('Lease Cycles'!$EF$18:$EL$18,1,AV180)=1,1,IF(OR(INDEX('Lease Cycles'!$DY$18:$EE$18,1,AV180)=1,AV181&gt;0),1,1-INDEX('Lease Cycles'!$DD$18:$DJ$18,1,AV180)))),0)</f>
        <v>0</v>
      </c>
      <c r="AW189" s="24">
        <f>IF(AW182=1,IF('Lease Cycles'!$AJ$18=1,0,'Lease Cycles'!$D$18*INDEX('Lease Cycles'!$FH$18:$FN$18,1,AW180)*IF(INDEX('Lease Cycles'!$EF$18:$EL$18,1,AW180)=1,1,IF(OR(INDEX('Lease Cycles'!$DY$18:$EE$18,1,AW180)=1,AW181&gt;0),1,1-INDEX('Lease Cycles'!$DD$18:$DJ$18,1,AW180)))),0)</f>
        <v>0</v>
      </c>
      <c r="AX189" s="24">
        <f>IF(AX182=1,IF('Lease Cycles'!$AJ$18=1,0,'Lease Cycles'!$D$18*INDEX('Lease Cycles'!$FH$18:$FN$18,1,AX180)*IF(INDEX('Lease Cycles'!$EF$18:$EL$18,1,AX180)=1,1,IF(OR(INDEX('Lease Cycles'!$DY$18:$EE$18,1,AX180)=1,AX181&gt;0),1,1-INDEX('Lease Cycles'!$DD$18:$DJ$18,1,AX180)))),0)</f>
        <v>0</v>
      </c>
      <c r="AY189" s="24">
        <f>IF(AY182=1,IF('Lease Cycles'!$AJ$18=1,0,'Lease Cycles'!$D$18*INDEX('Lease Cycles'!$FH$18:$FN$18,1,AY180)*IF(INDEX('Lease Cycles'!$EF$18:$EL$18,1,AY180)=1,1,IF(OR(INDEX('Lease Cycles'!$DY$18:$EE$18,1,AY180)=1,AY181&gt;0),1,1-INDEX('Lease Cycles'!$DD$18:$DJ$18,1,AY180)))),0)</f>
        <v>0</v>
      </c>
      <c r="AZ189" s="24">
        <f>IF(AZ182=1,IF('Lease Cycles'!$AJ$18=1,0,'Lease Cycles'!$D$18*INDEX('Lease Cycles'!$FH$18:$FN$18,1,AZ180)*IF(INDEX('Lease Cycles'!$EF$18:$EL$18,1,AZ180)=1,1,IF(OR(INDEX('Lease Cycles'!$DY$18:$EE$18,1,AZ180)=1,AZ181&gt;0),1,1-INDEX('Lease Cycles'!$DD$18:$DJ$18,1,AZ180)))),0)</f>
        <v>0</v>
      </c>
      <c r="BA189" s="24">
        <f>IF(BA182=1,IF('Lease Cycles'!$AJ$18=1,0,'Lease Cycles'!$D$18*INDEX('Lease Cycles'!$FH$18:$FN$18,1,BA180)*IF(INDEX('Lease Cycles'!$EF$18:$EL$18,1,BA180)=1,1,IF(OR(INDEX('Lease Cycles'!$DY$18:$EE$18,1,BA180)=1,BA181&gt;0),1,1-INDEX('Lease Cycles'!$DD$18:$DJ$18,1,BA180)))),0)</f>
        <v>0</v>
      </c>
      <c r="BB189" s="24">
        <f>IF(BB182=1,IF('Lease Cycles'!$AJ$18=1,0,'Lease Cycles'!$D$18*INDEX('Lease Cycles'!$FH$18:$FN$18,1,BB180)*IF(INDEX('Lease Cycles'!$EF$18:$EL$18,1,BB180)=1,1,IF(OR(INDEX('Lease Cycles'!$DY$18:$EE$18,1,BB180)=1,BB181&gt;0),1,1-INDEX('Lease Cycles'!$DD$18:$DJ$18,1,BB180)))),0)</f>
        <v>0</v>
      </c>
      <c r="BC189" s="24">
        <f>IF(BC182=1,IF('Lease Cycles'!$AJ$18=1,0,'Lease Cycles'!$D$18*INDEX('Lease Cycles'!$FH$18:$FN$18,1,BC180)*IF(INDEX('Lease Cycles'!$EF$18:$EL$18,1,BC180)=1,1,IF(OR(INDEX('Lease Cycles'!$DY$18:$EE$18,1,BC180)=1,BC181&gt;0),1,1-INDEX('Lease Cycles'!$DD$18:$DJ$18,1,BC180)))),0)</f>
        <v>0</v>
      </c>
      <c r="BD189" s="24">
        <f>IF(BD182=1,IF('Lease Cycles'!$AJ$18=1,0,'Lease Cycles'!$D$18*INDEX('Lease Cycles'!$FH$18:$FN$18,1,BD180)*IF(INDEX('Lease Cycles'!$EF$18:$EL$18,1,BD180)=1,1,IF(OR(INDEX('Lease Cycles'!$DY$18:$EE$18,1,BD180)=1,BD181&gt;0),1,1-INDEX('Lease Cycles'!$DD$18:$DJ$18,1,BD180)))),0)</f>
        <v>0</v>
      </c>
      <c r="BE189" s="24">
        <f>IF(BE182=1,IF('Lease Cycles'!$AJ$18=1,0,'Lease Cycles'!$D$18*INDEX('Lease Cycles'!$FH$18:$FN$18,1,BE180)*IF(INDEX('Lease Cycles'!$EF$18:$EL$18,1,BE180)=1,1,IF(OR(INDEX('Lease Cycles'!$DY$18:$EE$18,1,BE180)=1,BE181&gt;0),1,1-INDEX('Lease Cycles'!$DD$18:$DJ$18,1,BE180)))),0)</f>
        <v>0</v>
      </c>
      <c r="BF189" s="24">
        <f>IF(BF182=1,IF('Lease Cycles'!$AJ$18=1,0,'Lease Cycles'!$D$18*INDEX('Lease Cycles'!$FH$18:$FN$18,1,BF180)*IF(INDEX('Lease Cycles'!$EF$18:$EL$18,1,BF180)=1,1,IF(OR(INDEX('Lease Cycles'!$DY$18:$EE$18,1,BF180)=1,BF181&gt;0),1,1-INDEX('Lease Cycles'!$DD$18:$DJ$18,1,BF180)))),0)</f>
        <v>0</v>
      </c>
      <c r="BG189" s="24">
        <f>IF(BG182=1,IF('Lease Cycles'!$AJ$18=1,0,'Lease Cycles'!$D$18*INDEX('Lease Cycles'!$FH$18:$FN$18,1,BG180)*IF(INDEX('Lease Cycles'!$EF$18:$EL$18,1,BG180)=1,1,IF(OR(INDEX('Lease Cycles'!$DY$18:$EE$18,1,BG180)=1,BG181&gt;0),1,1-INDEX('Lease Cycles'!$DD$18:$DJ$18,1,BG180)))),0)</f>
        <v>0</v>
      </c>
      <c r="BH189" s="24">
        <f>IF(BH182=1,IF('Lease Cycles'!$AJ$18=1,0,'Lease Cycles'!$D$18*INDEX('Lease Cycles'!$FH$18:$FN$18,1,BH180)*IF(INDEX('Lease Cycles'!$EF$18:$EL$18,1,BH180)=1,1,IF(OR(INDEX('Lease Cycles'!$DY$18:$EE$18,1,BH180)=1,BH181&gt;0),1,1-INDEX('Lease Cycles'!$DD$18:$DJ$18,1,BH180)))),0)</f>
        <v>0</v>
      </c>
      <c r="BI189" s="24">
        <f>IF(BI182=1,IF('Lease Cycles'!$AJ$18=1,0,'Lease Cycles'!$D$18*INDEX('Lease Cycles'!$FH$18:$FN$18,1,BI180)*IF(INDEX('Lease Cycles'!$EF$18:$EL$18,1,BI180)=1,1,IF(OR(INDEX('Lease Cycles'!$DY$18:$EE$18,1,BI180)=1,BI181&gt;0),1,1-INDEX('Lease Cycles'!$DD$18:$DJ$18,1,BI180)))),0)</f>
        <v>0</v>
      </c>
      <c r="BJ189" s="24">
        <f>IF(BJ182=1,IF('Lease Cycles'!$AJ$18=1,0,'Lease Cycles'!$D$18*INDEX('Lease Cycles'!$FH$18:$FN$18,1,BJ180)*IF(INDEX('Lease Cycles'!$EF$18:$EL$18,1,BJ180)=1,1,IF(OR(INDEX('Lease Cycles'!$DY$18:$EE$18,1,BJ180)=1,BJ181&gt;0),1,1-INDEX('Lease Cycles'!$DD$18:$DJ$18,1,BJ180)))),0)</f>
        <v>0</v>
      </c>
      <c r="BK189" s="24">
        <f>IF(BK182=1,IF('Lease Cycles'!$AJ$18=1,0,'Lease Cycles'!$D$18*INDEX('Lease Cycles'!$FH$18:$FN$18,1,BK180)*IF(INDEX('Lease Cycles'!$EF$18:$EL$18,1,BK180)=1,1,IF(OR(INDEX('Lease Cycles'!$DY$18:$EE$18,1,BK180)=1,BK181&gt;0),1,1-INDEX('Lease Cycles'!$DD$18:$DJ$18,1,BK180)))),0)</f>
        <v>0</v>
      </c>
      <c r="BL189" s="24">
        <f>IF(BL182=1,IF('Lease Cycles'!$AJ$18=1,0,'Lease Cycles'!$D$18*INDEX('Lease Cycles'!$FH$18:$FN$18,1,BL180)*IF(INDEX('Lease Cycles'!$EF$18:$EL$18,1,BL180)=1,1,IF(OR(INDEX('Lease Cycles'!$DY$18:$EE$18,1,BL180)=1,BL181&gt;0),1,1-INDEX('Lease Cycles'!$DD$18:$DJ$18,1,BL180)))),0)</f>
        <v>0</v>
      </c>
      <c r="BM189" s="24">
        <f>IF(BM182=1,IF('Lease Cycles'!$AJ$18=1,0,'Lease Cycles'!$D$18*INDEX('Lease Cycles'!$FH$18:$FN$18,1,BM180)*IF(INDEX('Lease Cycles'!$EF$18:$EL$18,1,BM180)=1,1,IF(OR(INDEX('Lease Cycles'!$DY$18:$EE$18,1,BM180)=1,BM181&gt;0),1,1-INDEX('Lease Cycles'!$DD$18:$DJ$18,1,BM180)))),0)</f>
        <v>0</v>
      </c>
      <c r="BN189" s="24">
        <f>IF(BN182=1,IF('Lease Cycles'!$AJ$18=1,0,'Lease Cycles'!$D$18*INDEX('Lease Cycles'!$FH$18:$FN$18,1,BN180)*IF(INDEX('Lease Cycles'!$EF$18:$EL$18,1,BN180)=1,1,IF(OR(INDEX('Lease Cycles'!$DY$18:$EE$18,1,BN180)=1,BN181&gt;0),1,1-INDEX('Lease Cycles'!$DD$18:$DJ$18,1,BN180)))),0)</f>
        <v>0</v>
      </c>
      <c r="BO189" s="24">
        <f>IF(BO182=1,IF('Lease Cycles'!$AJ$18=1,0,'Lease Cycles'!$D$18*INDEX('Lease Cycles'!$FH$18:$FN$18,1,BO180)*IF(INDEX('Lease Cycles'!$EF$18:$EL$18,1,BO180)=1,1,IF(OR(INDEX('Lease Cycles'!$DY$18:$EE$18,1,BO180)=1,BO181&gt;0),1,1-INDEX('Lease Cycles'!$DD$18:$DJ$18,1,BO180)))),0)</f>
        <v>0</v>
      </c>
      <c r="BP189" s="24">
        <f>IF(BP182=1,IF('Lease Cycles'!$AJ$18=1,0,'Lease Cycles'!$D$18*INDEX('Lease Cycles'!$FH$18:$FN$18,1,BP180)*IF(INDEX('Lease Cycles'!$EF$18:$EL$18,1,BP180)=1,1,IF(OR(INDEX('Lease Cycles'!$DY$18:$EE$18,1,BP180)=1,BP181&gt;0),1,1-INDEX('Lease Cycles'!$DD$18:$DJ$18,1,BP180)))),0)</f>
        <v>0</v>
      </c>
      <c r="BQ189" s="24">
        <f>IF(BQ182=1,IF('Lease Cycles'!$AJ$18=1,0,'Lease Cycles'!$D$18*INDEX('Lease Cycles'!$FH$18:$FN$18,1,BQ180)*IF(INDEX('Lease Cycles'!$EF$18:$EL$18,1,BQ180)=1,1,IF(OR(INDEX('Lease Cycles'!$DY$18:$EE$18,1,BQ180)=1,BQ181&gt;0),1,1-INDEX('Lease Cycles'!$DD$18:$DJ$18,1,BQ180)))),0)</f>
        <v>0</v>
      </c>
      <c r="BR189" s="24">
        <f>IF(BR182=1,IF('Lease Cycles'!$AJ$18=1,0,'Lease Cycles'!$D$18*INDEX('Lease Cycles'!$FH$18:$FN$18,1,BR180)*IF(INDEX('Lease Cycles'!$EF$18:$EL$18,1,BR180)=1,1,IF(OR(INDEX('Lease Cycles'!$DY$18:$EE$18,1,BR180)=1,BR181&gt;0),1,1-INDEX('Lease Cycles'!$DD$18:$DJ$18,1,BR180)))),0)</f>
        <v>0</v>
      </c>
      <c r="BS189" s="24">
        <f>IF(BS182=1,IF('Lease Cycles'!$AJ$18=1,0,'Lease Cycles'!$D$18*INDEX('Lease Cycles'!$FH$18:$FN$18,1,BS180)*IF(INDEX('Lease Cycles'!$EF$18:$EL$18,1,BS180)=1,1,IF(OR(INDEX('Lease Cycles'!$DY$18:$EE$18,1,BS180)=1,BS181&gt;0),1,1-INDEX('Lease Cycles'!$DD$18:$DJ$18,1,BS180)))),0)</f>
        <v>0</v>
      </c>
      <c r="BT189" s="24">
        <f>IF(BT182=1,IF('Lease Cycles'!$AJ$18=1,0,'Lease Cycles'!$D$18*INDEX('Lease Cycles'!$FH$18:$FN$18,1,BT180)*IF(INDEX('Lease Cycles'!$EF$18:$EL$18,1,BT180)=1,1,IF(OR(INDEX('Lease Cycles'!$DY$18:$EE$18,1,BT180)=1,BT181&gt;0),1,1-INDEX('Lease Cycles'!$DD$18:$DJ$18,1,BT180)))),0)</f>
        <v>0</v>
      </c>
      <c r="BU189" s="24">
        <f>IF(BU182=1,IF('Lease Cycles'!$AJ$18=1,0,'Lease Cycles'!$D$18*INDEX('Lease Cycles'!$FH$18:$FN$18,1,BU180)*IF(INDEX('Lease Cycles'!$EF$18:$EL$18,1,BU180)=1,1,IF(OR(INDEX('Lease Cycles'!$DY$18:$EE$18,1,BU180)=1,BU181&gt;0),1,1-INDEX('Lease Cycles'!$DD$18:$DJ$18,1,BU180)))),0)</f>
        <v>0</v>
      </c>
      <c r="BV189" s="24">
        <f>IF(BV182=1,IF('Lease Cycles'!$AJ$18=1,0,'Lease Cycles'!$D$18*INDEX('Lease Cycles'!$FH$18:$FN$18,1,BV180)*IF(INDEX('Lease Cycles'!$EF$18:$EL$18,1,BV180)=1,1,IF(OR(INDEX('Lease Cycles'!$DY$18:$EE$18,1,BV180)=1,BV181&gt;0),1,1-INDEX('Lease Cycles'!$DD$18:$DJ$18,1,BV180)))),0)</f>
        <v>0</v>
      </c>
      <c r="BW189" s="24">
        <f>IF(BW182=1,IF('Lease Cycles'!$AJ$18=1,0,'Lease Cycles'!$D$18*INDEX('Lease Cycles'!$FH$18:$FN$18,1,BW180)*IF(INDEX('Lease Cycles'!$EF$18:$EL$18,1,BW180)=1,1,IF(OR(INDEX('Lease Cycles'!$DY$18:$EE$18,1,BW180)=1,BW181&gt;0),1,1-INDEX('Lease Cycles'!$DD$18:$DJ$18,1,BW180)))),0)</f>
        <v>0</v>
      </c>
      <c r="BX189" s="24">
        <f>IF(BX182=1,IF('Lease Cycles'!$AJ$18=1,0,'Lease Cycles'!$D$18*INDEX('Lease Cycles'!$FH$18:$FN$18,1,BX180)*IF(INDEX('Lease Cycles'!$EF$18:$EL$18,1,BX180)=1,1,IF(OR(INDEX('Lease Cycles'!$DY$18:$EE$18,1,BX180)=1,BX181&gt;0),1,1-INDEX('Lease Cycles'!$DD$18:$DJ$18,1,BX180)))),0)</f>
        <v>0</v>
      </c>
      <c r="BY189" s="24">
        <f>IF(BY182=1,IF('Lease Cycles'!$AJ$18=1,0,'Lease Cycles'!$D$18*INDEX('Lease Cycles'!$FH$18:$FN$18,1,BY180)*IF(INDEX('Lease Cycles'!$EF$18:$EL$18,1,BY180)=1,1,IF(OR(INDEX('Lease Cycles'!$DY$18:$EE$18,1,BY180)=1,BY181&gt;0),1,1-INDEX('Lease Cycles'!$DD$18:$DJ$18,1,BY180)))),0)</f>
        <v>0</v>
      </c>
      <c r="BZ189" s="24">
        <f>IF(BZ182=1,IF('Lease Cycles'!$AJ$18=1,0,'Lease Cycles'!$D$18*INDEX('Lease Cycles'!$FH$18:$FN$18,1,BZ180)*IF(INDEX('Lease Cycles'!$EF$18:$EL$18,1,BZ180)=1,1,IF(OR(INDEX('Lease Cycles'!$DY$18:$EE$18,1,BZ180)=1,BZ181&gt;0),1,1-INDEX('Lease Cycles'!$DD$18:$DJ$18,1,BZ180)))),0)</f>
        <v>0</v>
      </c>
      <c r="CA189" s="24">
        <f>IF(CA182=1,IF('Lease Cycles'!$AJ$18=1,0,'Lease Cycles'!$D$18*INDEX('Lease Cycles'!$FH$18:$FN$18,1,CA180)*IF(INDEX('Lease Cycles'!$EF$18:$EL$18,1,CA180)=1,1,IF(OR(INDEX('Lease Cycles'!$DY$18:$EE$18,1,CA180)=1,CA181&gt;0),1,1-INDEX('Lease Cycles'!$DD$18:$DJ$18,1,CA180)))),0)</f>
        <v>0</v>
      </c>
      <c r="CB189" s="24">
        <f>IF(CB182=1,IF('Lease Cycles'!$AJ$18=1,0,'Lease Cycles'!$D$18*INDEX('Lease Cycles'!$FH$18:$FN$18,1,CB180)*IF(INDEX('Lease Cycles'!$EF$18:$EL$18,1,CB180)=1,1,IF(OR(INDEX('Lease Cycles'!$DY$18:$EE$18,1,CB180)=1,CB181&gt;0),1,1-INDEX('Lease Cycles'!$DD$18:$DJ$18,1,CB180)))),0)</f>
        <v>0</v>
      </c>
      <c r="CC189" s="24">
        <f>IF(CC182=1,IF('Lease Cycles'!$AJ$18=1,0,'Lease Cycles'!$D$18*INDEX('Lease Cycles'!$FH$18:$FN$18,1,CC180)*IF(INDEX('Lease Cycles'!$EF$18:$EL$18,1,CC180)=1,1,IF(OR(INDEX('Lease Cycles'!$DY$18:$EE$18,1,CC180)=1,CC181&gt;0),1,1-INDEX('Lease Cycles'!$DD$18:$DJ$18,1,CC180)))),0)</f>
        <v>0</v>
      </c>
      <c r="CD189" s="24">
        <f>IF(CD182=1,IF('Lease Cycles'!$AJ$18=1,0,'Lease Cycles'!$D$18*INDEX('Lease Cycles'!$FH$18:$FN$18,1,CD180)*IF(INDEX('Lease Cycles'!$EF$18:$EL$18,1,CD180)=1,1,IF(OR(INDEX('Lease Cycles'!$DY$18:$EE$18,1,CD180)=1,CD181&gt;0),1,1-INDEX('Lease Cycles'!$DD$18:$DJ$18,1,CD180)))),0)</f>
        <v>0</v>
      </c>
      <c r="CE189" s="24">
        <f>IF(CE182=1,IF('Lease Cycles'!$AJ$18=1,0,'Lease Cycles'!$D$18*INDEX('Lease Cycles'!$FH$18:$FN$18,1,CE180)*IF(INDEX('Lease Cycles'!$EF$18:$EL$18,1,CE180)=1,1,IF(OR(INDEX('Lease Cycles'!$DY$18:$EE$18,1,CE180)=1,CE181&gt;0),1,1-INDEX('Lease Cycles'!$DD$18:$DJ$18,1,CE180)))),0)</f>
        <v>0</v>
      </c>
      <c r="CF189" s="24">
        <f>IF(CF182=1,IF('Lease Cycles'!$AJ$18=1,0,'Lease Cycles'!$D$18*INDEX('Lease Cycles'!$FH$18:$FN$18,1,CF180)*IF(INDEX('Lease Cycles'!$EF$18:$EL$18,1,CF180)=1,1,IF(OR(INDEX('Lease Cycles'!$DY$18:$EE$18,1,CF180)=1,CF181&gt;0),1,1-INDEX('Lease Cycles'!$DD$18:$DJ$18,1,CF180)))),0)</f>
        <v>0</v>
      </c>
      <c r="CG189" s="24">
        <f>IF(CG182=1,IF('Lease Cycles'!$AJ$18=1,0,'Lease Cycles'!$D$18*INDEX('Lease Cycles'!$FH$18:$FN$18,1,CG180)*IF(INDEX('Lease Cycles'!$EF$18:$EL$18,1,CG180)=1,1,IF(OR(INDEX('Lease Cycles'!$DY$18:$EE$18,1,CG180)=1,CG181&gt;0),1,1-INDEX('Lease Cycles'!$DD$18:$DJ$18,1,CG180)))),0)</f>
        <v>0</v>
      </c>
      <c r="CH189" s="24">
        <f>IF(CH182=1,IF('Lease Cycles'!$AJ$18=1,0,'Lease Cycles'!$D$18*INDEX('Lease Cycles'!$FH$18:$FN$18,1,CH180)*IF(INDEX('Lease Cycles'!$EF$18:$EL$18,1,CH180)=1,1,IF(OR(INDEX('Lease Cycles'!$DY$18:$EE$18,1,CH180)=1,CH181&gt;0),1,1-INDEX('Lease Cycles'!$DD$18:$DJ$18,1,CH180)))),0)</f>
        <v>0</v>
      </c>
      <c r="CI189" s="24">
        <f>IF(CI182=1,IF('Lease Cycles'!$AJ$18=1,0,'Lease Cycles'!$D$18*INDEX('Lease Cycles'!$FH$18:$FN$18,1,CI180)*IF(INDEX('Lease Cycles'!$EF$18:$EL$18,1,CI180)=1,1,IF(OR(INDEX('Lease Cycles'!$DY$18:$EE$18,1,CI180)=1,CI181&gt;0),1,1-INDEX('Lease Cycles'!$DD$18:$DJ$18,1,CI180)))),0)</f>
        <v>0</v>
      </c>
      <c r="CJ189" s="24">
        <f>IF(CJ182=1,IF('Lease Cycles'!$AJ$18=1,0,'Lease Cycles'!$D$18*INDEX('Lease Cycles'!$FH$18:$FN$18,1,CJ180)*IF(INDEX('Lease Cycles'!$EF$18:$EL$18,1,CJ180)=1,1,IF(OR(INDEX('Lease Cycles'!$DY$18:$EE$18,1,CJ180)=1,CJ181&gt;0),1,1-INDEX('Lease Cycles'!$DD$18:$DJ$18,1,CJ180)))),0)</f>
        <v>0</v>
      </c>
      <c r="CK189" s="24">
        <f>IF(CK182=1,IF('Lease Cycles'!$AJ$18=1,0,'Lease Cycles'!$D$18*INDEX('Lease Cycles'!$FH$18:$FN$18,1,CK180)*IF(INDEX('Lease Cycles'!$EF$18:$EL$18,1,CK180)=1,1,IF(OR(INDEX('Lease Cycles'!$DY$18:$EE$18,1,CK180)=1,CK181&gt;0),1,1-INDEX('Lease Cycles'!$DD$18:$DJ$18,1,CK180)))),0)</f>
        <v>0</v>
      </c>
      <c r="CL189" s="24">
        <f>IF(CL182=1,IF('Lease Cycles'!$AJ$18=1,0,'Lease Cycles'!$D$18*INDEX('Lease Cycles'!$FH$18:$FN$18,1,CL180)*IF(INDEX('Lease Cycles'!$EF$18:$EL$18,1,CL180)=1,1,IF(OR(INDEX('Lease Cycles'!$DY$18:$EE$18,1,CL180)=1,CL181&gt;0),1,1-INDEX('Lease Cycles'!$DD$18:$DJ$18,1,CL180)))),0)</f>
        <v>0</v>
      </c>
      <c r="CM189" s="24">
        <f>IF(CM182=1,IF('Lease Cycles'!$AJ$18=1,0,'Lease Cycles'!$D$18*INDEX('Lease Cycles'!$FH$18:$FN$18,1,CM180)*IF(INDEX('Lease Cycles'!$EF$18:$EL$18,1,CM180)=1,1,IF(OR(INDEX('Lease Cycles'!$DY$18:$EE$18,1,CM180)=1,CM181&gt;0),1,1-INDEX('Lease Cycles'!$DD$18:$DJ$18,1,CM180)))),0)</f>
        <v>0</v>
      </c>
      <c r="CN189" s="24">
        <f>IF(CN182=1,IF('Lease Cycles'!$AJ$18=1,0,'Lease Cycles'!$D$18*INDEX('Lease Cycles'!$FH$18:$FN$18,1,CN180)*IF(INDEX('Lease Cycles'!$EF$18:$EL$18,1,CN180)=1,1,IF(OR(INDEX('Lease Cycles'!$DY$18:$EE$18,1,CN180)=1,CN181&gt;0),1,1-INDEX('Lease Cycles'!$DD$18:$DJ$18,1,CN180)))),0)</f>
        <v>0</v>
      </c>
      <c r="CO189" s="24">
        <f>IF(CO182=1,IF('Lease Cycles'!$AJ$18=1,0,'Lease Cycles'!$D$18*INDEX('Lease Cycles'!$FH$18:$FN$18,1,CO180)*IF(INDEX('Lease Cycles'!$EF$18:$EL$18,1,CO180)=1,1,IF(OR(INDEX('Lease Cycles'!$DY$18:$EE$18,1,CO180)=1,CO181&gt;0),1,1-INDEX('Lease Cycles'!$DD$18:$DJ$18,1,CO180)))),0)</f>
        <v>0</v>
      </c>
      <c r="CP189" s="24">
        <f>IF(CP182=1,IF('Lease Cycles'!$AJ$18=1,0,'Lease Cycles'!$D$18*INDEX('Lease Cycles'!$FH$18:$FN$18,1,CP180)*IF(INDEX('Lease Cycles'!$EF$18:$EL$18,1,CP180)=1,1,IF(OR(INDEX('Lease Cycles'!$DY$18:$EE$18,1,CP180)=1,CP181&gt;0),1,1-INDEX('Lease Cycles'!$DD$18:$DJ$18,1,CP180)))),0)</f>
        <v>0</v>
      </c>
      <c r="CQ189" s="24">
        <f>IF(CQ182=1,IF('Lease Cycles'!$AJ$18=1,0,'Lease Cycles'!$D$18*INDEX('Lease Cycles'!$FH$18:$FN$18,1,CQ180)*IF(INDEX('Lease Cycles'!$EF$18:$EL$18,1,CQ180)=1,1,IF(OR(INDEX('Lease Cycles'!$DY$18:$EE$18,1,CQ180)=1,CQ181&gt;0),1,1-INDEX('Lease Cycles'!$DD$18:$DJ$18,1,CQ180)))),0)</f>
        <v>0</v>
      </c>
      <c r="CR189" s="24">
        <f>IF(CR182=1,IF('Lease Cycles'!$AJ$18=1,0,'Lease Cycles'!$D$18*INDEX('Lease Cycles'!$FH$18:$FN$18,1,CR180)*IF(INDEX('Lease Cycles'!$EF$18:$EL$18,1,CR180)=1,1,IF(OR(INDEX('Lease Cycles'!$DY$18:$EE$18,1,CR180)=1,CR181&gt;0),1,1-INDEX('Lease Cycles'!$DD$18:$DJ$18,1,CR180)))),0)</f>
        <v>0</v>
      </c>
      <c r="CS189" s="24">
        <f>IF(CS182=1,IF('Lease Cycles'!$AJ$18=1,0,'Lease Cycles'!$D$18*INDEX('Lease Cycles'!$FH$18:$FN$18,1,CS180)*IF(INDEX('Lease Cycles'!$EF$18:$EL$18,1,CS180)=1,1,IF(OR(INDEX('Lease Cycles'!$DY$18:$EE$18,1,CS180)=1,CS181&gt;0),1,1-INDEX('Lease Cycles'!$DD$18:$DJ$18,1,CS180)))),0)</f>
        <v>0</v>
      </c>
      <c r="CT189" s="24">
        <f>IF(CT182=1,IF('Lease Cycles'!$AJ$18=1,0,'Lease Cycles'!$D$18*INDEX('Lease Cycles'!$FH$18:$FN$18,1,CT180)*IF(INDEX('Lease Cycles'!$EF$18:$EL$18,1,CT180)=1,1,IF(OR(INDEX('Lease Cycles'!$DY$18:$EE$18,1,CT180)=1,CT181&gt;0),1,1-INDEX('Lease Cycles'!$DD$18:$DJ$18,1,CT180)))),0)</f>
        <v>0</v>
      </c>
      <c r="CU189" s="24">
        <f>IF(CU182=1,IF('Lease Cycles'!$AJ$18=1,0,'Lease Cycles'!$D$18*INDEX('Lease Cycles'!$FH$18:$FN$18,1,CU180)*IF(INDEX('Lease Cycles'!$EF$18:$EL$18,1,CU180)=1,1,IF(OR(INDEX('Lease Cycles'!$DY$18:$EE$18,1,CU180)=1,CU181&gt;0),1,1-INDEX('Lease Cycles'!$DD$18:$DJ$18,1,CU180)))),0)</f>
        <v>0</v>
      </c>
      <c r="CV189" s="24">
        <f>IF(CV182=1,IF('Lease Cycles'!$AJ$18=1,0,'Lease Cycles'!$D$18*INDEX('Lease Cycles'!$FH$18:$FN$18,1,CV180)*IF(INDEX('Lease Cycles'!$EF$18:$EL$18,1,CV180)=1,1,IF(OR(INDEX('Lease Cycles'!$DY$18:$EE$18,1,CV180)=1,CV181&gt;0),1,1-INDEX('Lease Cycles'!$DD$18:$DJ$18,1,CV180)))),0)</f>
        <v>0</v>
      </c>
      <c r="CW189" s="24">
        <f>IF(CW182=1,IF('Lease Cycles'!$AJ$18=1,0,'Lease Cycles'!$D$18*INDEX('Lease Cycles'!$FH$18:$FN$18,1,CW180)*IF(INDEX('Lease Cycles'!$EF$18:$EL$18,1,CW180)=1,1,IF(OR(INDEX('Lease Cycles'!$DY$18:$EE$18,1,CW180)=1,CW181&gt;0),1,1-INDEX('Lease Cycles'!$DD$18:$DJ$18,1,CW180)))),0)</f>
        <v>0</v>
      </c>
      <c r="CX189" s="24">
        <f>IF(CX182=1,IF('Lease Cycles'!$AJ$18=1,0,'Lease Cycles'!$D$18*INDEX('Lease Cycles'!$FH$18:$FN$18,1,CX180)*IF(INDEX('Lease Cycles'!$EF$18:$EL$18,1,CX180)=1,1,IF(OR(INDEX('Lease Cycles'!$DY$18:$EE$18,1,CX180)=1,CX181&gt;0),1,1-INDEX('Lease Cycles'!$DD$18:$DJ$18,1,CX180)))),0)</f>
        <v>0</v>
      </c>
      <c r="CY189" s="24">
        <f>IF(CY182=1,IF('Lease Cycles'!$AJ$18=1,0,'Lease Cycles'!$D$18*INDEX('Lease Cycles'!$FH$18:$FN$18,1,CY180)*IF(INDEX('Lease Cycles'!$EF$18:$EL$18,1,CY180)=1,1,IF(OR(INDEX('Lease Cycles'!$DY$18:$EE$18,1,CY180)=1,CY181&gt;0),1,1-INDEX('Lease Cycles'!$DD$18:$DJ$18,1,CY180)))),0)</f>
        <v>0</v>
      </c>
      <c r="CZ189" s="24">
        <f>IF(CZ182=1,IF('Lease Cycles'!$AJ$18=1,0,'Lease Cycles'!$D$18*INDEX('Lease Cycles'!$FH$18:$FN$18,1,CZ180)*IF(INDEX('Lease Cycles'!$EF$18:$EL$18,1,CZ180)=1,1,IF(OR(INDEX('Lease Cycles'!$DY$18:$EE$18,1,CZ180)=1,CZ181&gt;0),1,1-INDEX('Lease Cycles'!$DD$18:$DJ$18,1,CZ180)))),0)</f>
        <v>0</v>
      </c>
      <c r="DA189" s="24">
        <f>IF(DA182=1,IF('Lease Cycles'!$AJ$18=1,0,'Lease Cycles'!$D$18*INDEX('Lease Cycles'!$FH$18:$FN$18,1,DA180)*IF(INDEX('Lease Cycles'!$EF$18:$EL$18,1,DA180)=1,1,IF(OR(INDEX('Lease Cycles'!$DY$18:$EE$18,1,DA180)=1,DA181&gt;0),1,1-INDEX('Lease Cycles'!$DD$18:$DJ$18,1,DA180)))),0)</f>
        <v>0</v>
      </c>
      <c r="DB189" s="24">
        <f>IF(DB182=1,IF('Lease Cycles'!$AJ$18=1,0,'Lease Cycles'!$D$18*INDEX('Lease Cycles'!$FH$18:$FN$18,1,DB180)*IF(INDEX('Lease Cycles'!$EF$18:$EL$18,1,DB180)=1,1,IF(OR(INDEX('Lease Cycles'!$DY$18:$EE$18,1,DB180)=1,DB181&gt;0),1,1-INDEX('Lease Cycles'!$DD$18:$DJ$18,1,DB180)))),0)</f>
        <v>0</v>
      </c>
      <c r="DC189" s="24">
        <f>IF(DC182=1,IF('Lease Cycles'!$AJ$18=1,0,'Lease Cycles'!$D$18*INDEX('Lease Cycles'!$FH$18:$FN$18,1,DC180)*IF(INDEX('Lease Cycles'!$EF$18:$EL$18,1,DC180)=1,1,IF(OR(INDEX('Lease Cycles'!$DY$18:$EE$18,1,DC180)=1,DC181&gt;0),1,1-INDEX('Lease Cycles'!$DD$18:$DJ$18,1,DC180)))),0)</f>
        <v>0</v>
      </c>
      <c r="DD189" s="24">
        <f>IF(DD182=1,IF('Lease Cycles'!$AJ$18=1,0,'Lease Cycles'!$D$18*INDEX('Lease Cycles'!$FH$18:$FN$18,1,DD180)*IF(INDEX('Lease Cycles'!$EF$18:$EL$18,1,DD180)=1,1,IF(OR(INDEX('Lease Cycles'!$DY$18:$EE$18,1,DD180)=1,DD181&gt;0),1,1-INDEX('Lease Cycles'!$DD$18:$DJ$18,1,DD180)))),0)</f>
        <v>0</v>
      </c>
      <c r="DE189" s="24">
        <f>IF(DE182=1,IF('Lease Cycles'!$AJ$18=1,0,'Lease Cycles'!$D$18*INDEX('Lease Cycles'!$FH$18:$FN$18,1,DE180)*IF(INDEX('Lease Cycles'!$EF$18:$EL$18,1,DE180)=1,1,IF(OR(INDEX('Lease Cycles'!$DY$18:$EE$18,1,DE180)=1,DE181&gt;0),1,1-INDEX('Lease Cycles'!$DD$18:$DJ$18,1,DE180)))),0)</f>
        <v>0</v>
      </c>
      <c r="DF189" s="24">
        <f>IF(DF182=1,IF('Lease Cycles'!$AJ$18=1,0,'Lease Cycles'!$D$18*INDEX('Lease Cycles'!$FH$18:$FN$18,1,DF180)*IF(INDEX('Lease Cycles'!$EF$18:$EL$18,1,DF180)=1,1,IF(OR(INDEX('Lease Cycles'!$DY$18:$EE$18,1,DF180)=1,DF181&gt;0),1,1-INDEX('Lease Cycles'!$DD$18:$DJ$18,1,DF180)))),0)</f>
        <v>0</v>
      </c>
      <c r="DG189" s="24">
        <f>IF(DG182=1,IF('Lease Cycles'!$AJ$18=1,0,'Lease Cycles'!$D$18*INDEX('Lease Cycles'!$FH$18:$FN$18,1,DG180)*IF(INDEX('Lease Cycles'!$EF$18:$EL$18,1,DG180)=1,1,IF(OR(INDEX('Lease Cycles'!$DY$18:$EE$18,1,DG180)=1,DG181&gt;0),1,1-INDEX('Lease Cycles'!$DD$18:$DJ$18,1,DG180)))),0)</f>
        <v>0</v>
      </c>
      <c r="DH189" s="24">
        <f>IF(DH182=1,IF('Lease Cycles'!$AJ$18=1,0,'Lease Cycles'!$D$18*INDEX('Lease Cycles'!$FH$18:$FN$18,1,DH180)*IF(INDEX('Lease Cycles'!$EF$18:$EL$18,1,DH180)=1,1,IF(OR(INDEX('Lease Cycles'!$DY$18:$EE$18,1,DH180)=1,DH181&gt;0),1,1-INDEX('Lease Cycles'!$DD$18:$DJ$18,1,DH180)))),0)</f>
        <v>0</v>
      </c>
      <c r="DI189" s="24">
        <f>IF(DI182=1,IF('Lease Cycles'!$AJ$18=1,0,'Lease Cycles'!$D$18*INDEX('Lease Cycles'!$FH$18:$FN$18,1,DI180)*IF(INDEX('Lease Cycles'!$EF$18:$EL$18,1,DI180)=1,1,IF(OR(INDEX('Lease Cycles'!$DY$18:$EE$18,1,DI180)=1,DI181&gt;0),1,1-INDEX('Lease Cycles'!$DD$18:$DJ$18,1,DI180)))),0)</f>
        <v>0</v>
      </c>
      <c r="DJ189" s="24">
        <f>IF(DJ182=1,IF('Lease Cycles'!$AJ$18=1,0,'Lease Cycles'!$D$18*INDEX('Lease Cycles'!$FH$18:$FN$18,1,DJ180)*IF(INDEX('Lease Cycles'!$EF$18:$EL$18,1,DJ180)=1,1,IF(OR(INDEX('Lease Cycles'!$DY$18:$EE$18,1,DJ180)=1,DJ181&gt;0),1,1-INDEX('Lease Cycles'!$DD$18:$DJ$18,1,DJ180)))),0)</f>
        <v>0</v>
      </c>
      <c r="DK189" s="24">
        <f>IF(DK182=1,IF('Lease Cycles'!$AJ$18=1,0,'Lease Cycles'!$D$18*INDEX('Lease Cycles'!$FH$18:$FN$18,1,DK180)*IF(INDEX('Lease Cycles'!$EF$18:$EL$18,1,DK180)=1,1,IF(OR(INDEX('Lease Cycles'!$DY$18:$EE$18,1,DK180)=1,DK181&gt;0),1,1-INDEX('Lease Cycles'!$DD$18:$DJ$18,1,DK180)))),0)</f>
        <v>0</v>
      </c>
      <c r="DL189" s="24">
        <f>IF(DL182=1,IF('Lease Cycles'!$AJ$18=1,0,'Lease Cycles'!$D$18*INDEX('Lease Cycles'!$FH$18:$FN$18,1,DL180)*IF(INDEX('Lease Cycles'!$EF$18:$EL$18,1,DL180)=1,1,IF(OR(INDEX('Lease Cycles'!$DY$18:$EE$18,1,DL180)=1,DL181&gt;0),1,1-INDEX('Lease Cycles'!$DD$18:$DJ$18,1,DL180)))),0)</f>
        <v>0</v>
      </c>
      <c r="DM189" s="24">
        <f>IF(DM182=1,IF('Lease Cycles'!$AJ$18=1,0,'Lease Cycles'!$D$18*INDEX('Lease Cycles'!$FH$18:$FN$18,1,DM180)*IF(INDEX('Lease Cycles'!$EF$18:$EL$18,1,DM180)=1,1,IF(OR(INDEX('Lease Cycles'!$DY$18:$EE$18,1,DM180)=1,DM181&gt;0),1,1-INDEX('Lease Cycles'!$DD$18:$DJ$18,1,DM180)))),0)</f>
        <v>0</v>
      </c>
      <c r="DN189" s="24">
        <f>IF(DN182=1,IF('Lease Cycles'!$AJ$18=1,0,'Lease Cycles'!$D$18*INDEX('Lease Cycles'!$FH$18:$FN$18,1,DN180)*IF(INDEX('Lease Cycles'!$EF$18:$EL$18,1,DN180)=1,1,IF(OR(INDEX('Lease Cycles'!$DY$18:$EE$18,1,DN180)=1,DN181&gt;0),1,1-INDEX('Lease Cycles'!$DD$18:$DJ$18,1,DN180)))),0)</f>
        <v>0</v>
      </c>
      <c r="DO189" s="24">
        <f>IF(DO182=1,IF('Lease Cycles'!$AJ$18=1,0,'Lease Cycles'!$D$18*INDEX('Lease Cycles'!$FH$18:$FN$18,1,DO180)*IF(INDEX('Lease Cycles'!$EF$18:$EL$18,1,DO180)=1,1,IF(OR(INDEX('Lease Cycles'!$DY$18:$EE$18,1,DO180)=1,DO181&gt;0),1,1-INDEX('Lease Cycles'!$DD$18:$DJ$18,1,DO180)))),0)</f>
        <v>0</v>
      </c>
      <c r="DP189" s="24">
        <f>IF(DP182=1,IF('Lease Cycles'!$AJ$18=1,0,'Lease Cycles'!$D$18*INDEX('Lease Cycles'!$FH$18:$FN$18,1,DP180)*IF(INDEX('Lease Cycles'!$EF$18:$EL$18,1,DP180)=1,1,IF(OR(INDEX('Lease Cycles'!$DY$18:$EE$18,1,DP180)=1,DP181&gt;0),1,1-INDEX('Lease Cycles'!$DD$18:$DJ$18,1,DP180)))),0)</f>
        <v>0</v>
      </c>
      <c r="DQ189" s="24">
        <f>IF(DQ182=1,IF('Lease Cycles'!$AJ$18=1,0,'Lease Cycles'!$D$18*INDEX('Lease Cycles'!$FH$18:$FN$18,1,DQ180)*IF(INDEX('Lease Cycles'!$EF$18:$EL$18,1,DQ180)=1,1,IF(OR(INDEX('Lease Cycles'!$DY$18:$EE$18,1,DQ180)=1,DQ181&gt;0),1,1-INDEX('Lease Cycles'!$DD$18:$DJ$18,1,DQ180)))),0)</f>
        <v>0</v>
      </c>
      <c r="DR189" s="24">
        <f>IF(DR182=1,IF('Lease Cycles'!$AJ$18=1,0,'Lease Cycles'!$D$18*INDEX('Lease Cycles'!$FH$18:$FN$18,1,DR180)*IF(INDEX('Lease Cycles'!$EF$18:$EL$18,1,DR180)=1,1,IF(OR(INDEX('Lease Cycles'!$DY$18:$EE$18,1,DR180)=1,DR181&gt;0),1,1-INDEX('Lease Cycles'!$DD$18:$DJ$18,1,DR180)))),0)</f>
        <v>0</v>
      </c>
      <c r="DS189" s="24">
        <f>IF(DS182=1,IF('Lease Cycles'!$AJ$18=1,0,'Lease Cycles'!$D$18*INDEX('Lease Cycles'!$FH$18:$FN$18,1,DS180)*IF(INDEX('Lease Cycles'!$EF$18:$EL$18,1,DS180)=1,1,IF(OR(INDEX('Lease Cycles'!$DY$18:$EE$18,1,DS180)=1,DS181&gt;0),1,1-INDEX('Lease Cycles'!$DD$18:$DJ$18,1,DS180)))),0)</f>
        <v>0</v>
      </c>
      <c r="DT189" s="24">
        <f>IF(DT182=1,IF('Lease Cycles'!$AJ$18=1,0,'Lease Cycles'!$D$18*INDEX('Lease Cycles'!$FH$18:$FN$18,1,DT180)*IF(INDEX('Lease Cycles'!$EF$18:$EL$18,1,DT180)=1,1,IF(OR(INDEX('Lease Cycles'!$DY$18:$EE$18,1,DT180)=1,DT181&gt;0),1,1-INDEX('Lease Cycles'!$DD$18:$DJ$18,1,DT180)))),0)</f>
        <v>0</v>
      </c>
      <c r="DU189" s="24">
        <f>IF(DU182=1,IF('Lease Cycles'!$AJ$18=1,0,'Lease Cycles'!$D$18*INDEX('Lease Cycles'!$FH$18:$FN$18,1,DU180)*IF(INDEX('Lease Cycles'!$EF$18:$EL$18,1,DU180)=1,1,IF(OR(INDEX('Lease Cycles'!$DY$18:$EE$18,1,DU180)=1,DU181&gt;0),1,1-INDEX('Lease Cycles'!$DD$18:$DJ$18,1,DU180)))),0)</f>
        <v>0</v>
      </c>
      <c r="DV189" s="24">
        <f>IF(DV182=1,IF('Lease Cycles'!$AJ$18=1,0,'Lease Cycles'!$D$18*INDEX('Lease Cycles'!$FH$18:$FN$18,1,DV180)*IF(INDEX('Lease Cycles'!$EF$18:$EL$18,1,DV180)=1,1,IF(OR(INDEX('Lease Cycles'!$DY$18:$EE$18,1,DV180)=1,DV181&gt;0),1,1-INDEX('Lease Cycles'!$DD$18:$DJ$18,1,DV180)))),0)</f>
        <v>0</v>
      </c>
      <c r="DW189" s="24">
        <f>IF(DW182=1,IF('Lease Cycles'!$AJ$18=1,0,'Lease Cycles'!$D$18*INDEX('Lease Cycles'!$FH$18:$FN$18,1,DW180)*IF(INDEX('Lease Cycles'!$EF$18:$EL$18,1,DW180)=1,1,IF(OR(INDEX('Lease Cycles'!$DY$18:$EE$18,1,DW180)=1,DW181&gt;0),1,1-INDEX('Lease Cycles'!$DD$18:$DJ$18,1,DW180)))),0)</f>
        <v>0</v>
      </c>
      <c r="DX189" s="24">
        <f>IF(DX182=1,IF('Lease Cycles'!$AJ$18=1,0,'Lease Cycles'!$D$18*INDEX('Lease Cycles'!$FH$18:$FN$18,1,DX180)*IF(INDEX('Lease Cycles'!$EF$18:$EL$18,1,DX180)=1,1,IF(OR(INDEX('Lease Cycles'!$DY$18:$EE$18,1,DX180)=1,DX181&gt;0),1,1-INDEX('Lease Cycles'!$DD$18:$DJ$18,1,DX180)))),0)</f>
        <v>0</v>
      </c>
      <c r="DY189" s="24">
        <f>IF(DY182=1,IF('Lease Cycles'!$AJ$18=1,0,'Lease Cycles'!$D$18*INDEX('Lease Cycles'!$FH$18:$FN$18,1,DY180)*IF(INDEX('Lease Cycles'!$EF$18:$EL$18,1,DY180)=1,1,IF(OR(INDEX('Lease Cycles'!$DY$18:$EE$18,1,DY180)=1,DY181&gt;0),1,1-INDEX('Lease Cycles'!$DD$18:$DJ$18,1,DY180)))),0)</f>
        <v>0</v>
      </c>
      <c r="DZ189" s="24">
        <f>IF(DZ182=1,IF('Lease Cycles'!$AJ$18=1,0,'Lease Cycles'!$D$18*INDEX('Lease Cycles'!$FH$18:$FN$18,1,DZ180)*IF(INDEX('Lease Cycles'!$EF$18:$EL$18,1,DZ180)=1,1,IF(OR(INDEX('Lease Cycles'!$DY$18:$EE$18,1,DZ180)=1,DZ181&gt;0),1,1-INDEX('Lease Cycles'!$DD$18:$DJ$18,1,DZ180)))),0)</f>
        <v>0</v>
      </c>
      <c r="EA189" s="24">
        <f>IF(EA182=1,IF('Lease Cycles'!$AJ$18=1,0,'Lease Cycles'!$D$18*INDEX('Lease Cycles'!$FH$18:$FN$18,1,EA180)*IF(INDEX('Lease Cycles'!$EF$18:$EL$18,1,EA180)=1,1,IF(OR(INDEX('Lease Cycles'!$DY$18:$EE$18,1,EA180)=1,EA181&gt;0),1,1-INDEX('Lease Cycles'!$DD$18:$DJ$18,1,EA180)))),0)</f>
        <v>0</v>
      </c>
      <c r="EB189" s="24">
        <f>IF(EB182=1,IF('Lease Cycles'!$AJ$18=1,0,'Lease Cycles'!$D$18*INDEX('Lease Cycles'!$FH$18:$FN$18,1,EB180)*IF(INDEX('Lease Cycles'!$EF$18:$EL$18,1,EB180)=1,1,IF(OR(INDEX('Lease Cycles'!$DY$18:$EE$18,1,EB180)=1,EB181&gt;0),1,1-INDEX('Lease Cycles'!$DD$18:$DJ$18,1,EB180)))),0)</f>
        <v>0</v>
      </c>
      <c r="EC189" s="24">
        <f>IF(EC182=1,IF('Lease Cycles'!$AJ$18=1,0,'Lease Cycles'!$D$18*INDEX('Lease Cycles'!$FH$18:$FN$18,1,EC180)*IF(INDEX('Lease Cycles'!$EF$18:$EL$18,1,EC180)=1,1,IF(OR(INDEX('Lease Cycles'!$DY$18:$EE$18,1,EC180)=1,EC181&gt;0),1,1-INDEX('Lease Cycles'!$DD$18:$DJ$18,1,EC180)))),0)</f>
        <v>0</v>
      </c>
      <c r="ED189" s="24">
        <f>IF(ED182=1,IF('Lease Cycles'!$AJ$18=1,0,'Lease Cycles'!$D$18*INDEX('Lease Cycles'!$FH$18:$FN$18,1,ED180)*IF(INDEX('Lease Cycles'!$EF$18:$EL$18,1,ED180)=1,1,IF(OR(INDEX('Lease Cycles'!$DY$18:$EE$18,1,ED180)=1,ED181&gt;0),1,1-INDEX('Lease Cycles'!$DD$18:$DJ$18,1,ED180)))),0)</f>
        <v>0</v>
      </c>
      <c r="EE189" s="24">
        <f>IF(EE182=1,IF('Lease Cycles'!$AJ$18=1,0,'Lease Cycles'!$D$18*INDEX('Lease Cycles'!$FH$18:$FN$18,1,EE180)*IF(INDEX('Lease Cycles'!$EF$18:$EL$18,1,EE180)=1,1,IF(OR(INDEX('Lease Cycles'!$DY$18:$EE$18,1,EE180)=1,EE181&gt;0),1,1-INDEX('Lease Cycles'!$DD$18:$DJ$18,1,EE180)))),0)</f>
        <v>0</v>
      </c>
      <c r="EF189" s="24">
        <f>IF(EF182=1,IF('Lease Cycles'!$AJ$18=1,0,'Lease Cycles'!$D$18*INDEX('Lease Cycles'!$FH$18:$FN$18,1,EF180)*IF(INDEX('Lease Cycles'!$EF$18:$EL$18,1,EF180)=1,1,IF(OR(INDEX('Lease Cycles'!$DY$18:$EE$18,1,EF180)=1,EF181&gt;0),1,1-INDEX('Lease Cycles'!$DD$18:$DJ$18,1,EF180)))),0)</f>
        <v>0</v>
      </c>
      <c r="EG189" s="24">
        <f>IF(EG182=1,IF('Lease Cycles'!$AJ$18=1,0,'Lease Cycles'!$D$18*INDEX('Lease Cycles'!$FH$18:$FN$18,1,EG180)*IF(INDEX('Lease Cycles'!$EF$18:$EL$18,1,EG180)=1,1,IF(OR(INDEX('Lease Cycles'!$DY$18:$EE$18,1,EG180)=1,EG181&gt;0),1,1-INDEX('Lease Cycles'!$DD$18:$DJ$18,1,EG180)))),0)</f>
        <v>0</v>
      </c>
      <c r="EH189" s="24">
        <f>IF(EH182=1,IF('Lease Cycles'!$AJ$18=1,0,'Lease Cycles'!$D$18*INDEX('Lease Cycles'!$FH$18:$FN$18,1,EH180)*IF(INDEX('Lease Cycles'!$EF$18:$EL$18,1,EH180)=1,1,IF(OR(INDEX('Lease Cycles'!$DY$18:$EE$18,1,EH180)=1,EH181&gt;0),1,1-INDEX('Lease Cycles'!$DD$18:$DJ$18,1,EH180)))),0)</f>
        <v>0</v>
      </c>
      <c r="EI189" s="24">
        <f>IF(EI182=1,IF('Lease Cycles'!$AJ$18=1,0,'Lease Cycles'!$D$18*INDEX('Lease Cycles'!$FH$18:$FN$18,1,EI180)*IF(INDEX('Lease Cycles'!$EF$18:$EL$18,1,EI180)=1,1,IF(OR(INDEX('Lease Cycles'!$DY$18:$EE$18,1,EI180)=1,EI181&gt;0),1,1-INDEX('Lease Cycles'!$DD$18:$DJ$18,1,EI180)))),0)</f>
        <v>0</v>
      </c>
      <c r="EJ189" s="24">
        <f>IF(EJ182=1,IF('Lease Cycles'!$AJ$18=1,0,'Lease Cycles'!$D$18*INDEX('Lease Cycles'!$FH$18:$FN$18,1,EJ180)*IF(INDEX('Lease Cycles'!$EF$18:$EL$18,1,EJ180)=1,1,IF(OR(INDEX('Lease Cycles'!$DY$18:$EE$18,1,EJ180)=1,EJ181&gt;0),1,1-INDEX('Lease Cycles'!$DD$18:$DJ$18,1,EJ180)))),0)</f>
        <v>0</v>
      </c>
      <c r="EK189" s="24">
        <f>IF(EK182=1,IF('Lease Cycles'!$AJ$18=1,0,'Lease Cycles'!$D$18*INDEX('Lease Cycles'!$FH$18:$FN$18,1,EK180)*IF(INDEX('Lease Cycles'!$EF$18:$EL$18,1,EK180)=1,1,IF(OR(INDEX('Lease Cycles'!$DY$18:$EE$18,1,EK180)=1,EK181&gt;0),1,1-INDEX('Lease Cycles'!$DD$18:$DJ$18,1,EK180)))),0)</f>
        <v>0</v>
      </c>
      <c r="EL189" s="24">
        <f>IF(EL182=1,IF('Lease Cycles'!$AJ$18=1,0,'Lease Cycles'!$D$18*INDEX('Lease Cycles'!$FH$18:$FN$18,1,EL180)*IF(INDEX('Lease Cycles'!$EF$18:$EL$18,1,EL180)=1,1,IF(OR(INDEX('Lease Cycles'!$DY$18:$EE$18,1,EL180)=1,EL181&gt;0),1,1-INDEX('Lease Cycles'!$DD$18:$DJ$18,1,EL180)))),0)</f>
        <v>0</v>
      </c>
      <c r="EM189" s="24">
        <f>IF(EM182=1,IF('Lease Cycles'!$AJ$18=1,0,'Lease Cycles'!$D$18*INDEX('Lease Cycles'!$FH$18:$FN$18,1,EM180)*IF(INDEX('Lease Cycles'!$EF$18:$EL$18,1,EM180)=1,1,IF(OR(INDEX('Lease Cycles'!$DY$18:$EE$18,1,EM180)=1,EM181&gt;0),1,1-INDEX('Lease Cycles'!$DD$18:$DJ$18,1,EM180)))),0)</f>
        <v>0</v>
      </c>
      <c r="EN189" s="24">
        <f>IF(EN182=1,IF('Lease Cycles'!$AJ$18=1,0,'Lease Cycles'!$D$18*INDEX('Lease Cycles'!$FH$18:$FN$18,1,EN180)*IF(INDEX('Lease Cycles'!$EF$18:$EL$18,1,EN180)=1,1,IF(OR(INDEX('Lease Cycles'!$DY$18:$EE$18,1,EN180)=1,EN181&gt;0),1,1-INDEX('Lease Cycles'!$DD$18:$DJ$18,1,EN180)))),0)</f>
        <v>0</v>
      </c>
      <c r="EO189" s="24">
        <f>IF(EO182=1,IF('Lease Cycles'!$AJ$18=1,0,'Lease Cycles'!$D$18*INDEX('Lease Cycles'!$FH$18:$FN$18,1,EO180)*IF(INDEX('Lease Cycles'!$EF$18:$EL$18,1,EO180)=1,1,IF(OR(INDEX('Lease Cycles'!$DY$18:$EE$18,1,EO180)=1,EO181&gt;0),1,1-INDEX('Lease Cycles'!$DD$18:$DJ$18,1,EO180)))),0)</f>
        <v>0</v>
      </c>
      <c r="EP189" s="24">
        <f>IF(EP182=1,IF('Lease Cycles'!$AJ$18=1,0,'Lease Cycles'!$D$18*INDEX('Lease Cycles'!$FH$18:$FN$18,1,EP180)*IF(INDEX('Lease Cycles'!$EF$18:$EL$18,1,EP180)=1,1,IF(OR(INDEX('Lease Cycles'!$DY$18:$EE$18,1,EP180)=1,EP181&gt;0),1,1-INDEX('Lease Cycles'!$DD$18:$DJ$18,1,EP180)))),0)</f>
        <v>0</v>
      </c>
      <c r="EQ189" s="24">
        <f>IF(EQ182=1,IF('Lease Cycles'!$AJ$18=1,0,'Lease Cycles'!$D$18*INDEX('Lease Cycles'!$FH$18:$FN$18,1,EQ180)*IF(INDEX('Lease Cycles'!$EF$18:$EL$18,1,EQ180)=1,1,IF(OR(INDEX('Lease Cycles'!$DY$18:$EE$18,1,EQ180)=1,EQ181&gt;0),1,1-INDEX('Lease Cycles'!$DD$18:$DJ$18,1,EQ180)))),0)</f>
        <v>0</v>
      </c>
      <c r="ER189" s="24">
        <f>IF(ER182=1,IF('Lease Cycles'!$AJ$18=1,0,'Lease Cycles'!$D$18*INDEX('Lease Cycles'!$FH$18:$FN$18,1,ER180)*IF(INDEX('Lease Cycles'!$EF$18:$EL$18,1,ER180)=1,1,IF(OR(INDEX('Lease Cycles'!$DY$18:$EE$18,1,ER180)=1,ER181&gt;0),1,1-INDEX('Lease Cycles'!$DD$18:$DJ$18,1,ER180)))),0)</f>
        <v>0</v>
      </c>
      <c r="ES189" s="24">
        <f>IF(ES182=1,IF('Lease Cycles'!$AJ$18=1,0,'Lease Cycles'!$D$18*INDEX('Lease Cycles'!$FH$18:$FN$18,1,ES180)*IF(INDEX('Lease Cycles'!$EF$18:$EL$18,1,ES180)=1,1,IF(OR(INDEX('Lease Cycles'!$DY$18:$EE$18,1,ES180)=1,ES181&gt;0),1,1-INDEX('Lease Cycles'!$DD$18:$DJ$18,1,ES180)))),0)</f>
        <v>0</v>
      </c>
      <c r="ET189" s="24">
        <f>IF(ET182=1,IF('Lease Cycles'!$AJ$18=1,0,'Lease Cycles'!$D$18*INDEX('Lease Cycles'!$FH$18:$FN$18,1,ET180)*IF(INDEX('Lease Cycles'!$EF$18:$EL$18,1,ET180)=1,1,IF(OR(INDEX('Lease Cycles'!$DY$18:$EE$18,1,ET180)=1,ET181&gt;0),1,1-INDEX('Lease Cycles'!$DD$18:$DJ$18,1,ET180)))),0)</f>
        <v>0</v>
      </c>
    </row>
    <row r="190">
      <c r="A190" s="103">
        <v>11</v>
      </c>
      <c r="B190" s="23" t="str">
        <f>IF('Lease Cycles'!$B$18="","(empty slot)",'Lease Cycles'!$B$18)</f>
        <v>(empty slot)</v>
      </c>
      <c r="C190" s="23" t="s">
        <v>687</v>
      </c>
      <c r="D190" s="104" t="s">
        <v>688</v>
      </c>
      <c r="E190" s="25">
        <f>'Lease Cycles'!$AL$18</f>
        <v>0</v>
      </c>
      <c r="G190" s="24">
        <f>SUM(S190:AD190)</f>
        <v>0</v>
      </c>
      <c r="H190" s="24">
        <f>SUM(AE190:AP190)</f>
        <v>0</v>
      </c>
      <c r="I190" s="24">
        <f>SUM(AQ190:BB190)</f>
        <v>0</v>
      </c>
      <c r="J190" s="24">
        <f>SUM(BC190:BN190)</f>
        <v>0</v>
      </c>
      <c r="K190" s="24">
        <f>SUM(BO190:BZ190)</f>
        <v>0</v>
      </c>
      <c r="L190" s="24">
        <f>SUM(CA190:CL190)</f>
        <v>0</v>
      </c>
      <c r="M190" s="24">
        <f>SUM(CM190:CX190)</f>
        <v>0</v>
      </c>
      <c r="N190" s="24">
        <f>SUM(CY190:DJ190)</f>
        <v>0</v>
      </c>
      <c r="O190" s="24">
        <f>SUM(DK190:DV190)</f>
        <v>0</v>
      </c>
      <c r="P190" s="24">
        <f>SUM(DW190:EH190)</f>
        <v>0</v>
      </c>
      <c r="Q190" s="24">
        <f>SUM(EI190:ET190)</f>
        <v>0</v>
      </c>
      <c r="S190" s="24">
        <f>IF(S182=1,'Lease Cycles'!$D$18*IF(INDEX('Lease Cycles'!$EF$18:$EL$18,1,S180)=1,'Lease Cycles'!$AJ$18*INDEX('Lease Cycles'!$FO$18:$FU$18,1,S180)*INDEX('Lease Cycles'!$EM$18:$ES$18,1,S180)+'Lease Cycles'!$BE$18*IF(S181&lt;INDEX('Lease Cycles'!$FA$18:$FG$18,1,S180),0,1-INDEX('Lease Cycles'!$EM$18:$ES$18,1,S180)),IF(OR(INDEX('Lease Cycles'!$DY$18:$EE$18,1,S180)=1,S181&gt;0),1,1-INDEX('Lease Cycles'!$DD$18:$DJ$18,1,S180))*('Lease Cycles'!$AJ$18*INDEX('Lease Cycles'!$FO$18:$FU$18,1,S180)+'Lease Cycles'!$BE$18*(1-INDEX('Lease Cycles'!$FO$18:$FU$18,1,S180)))),0)</f>
        <v>0</v>
      </c>
      <c r="T190" s="24">
        <f>IF(T182=1,'Lease Cycles'!$D$18*IF(INDEX('Lease Cycles'!$EF$18:$EL$18,1,T180)=1,'Lease Cycles'!$AJ$18*INDEX('Lease Cycles'!$FO$18:$FU$18,1,T180)*INDEX('Lease Cycles'!$EM$18:$ES$18,1,T180)+'Lease Cycles'!$BE$18*IF(T181&lt;INDEX('Lease Cycles'!$FA$18:$FG$18,1,T180),0,1-INDEX('Lease Cycles'!$EM$18:$ES$18,1,T180)),IF(OR(INDEX('Lease Cycles'!$DY$18:$EE$18,1,T180)=1,T181&gt;0),1,1-INDEX('Lease Cycles'!$DD$18:$DJ$18,1,T180))*('Lease Cycles'!$AJ$18*INDEX('Lease Cycles'!$FO$18:$FU$18,1,T180)+'Lease Cycles'!$BE$18*(1-INDEX('Lease Cycles'!$FO$18:$FU$18,1,T180)))),0)</f>
        <v>0</v>
      </c>
      <c r="U190" s="24">
        <f>IF(U182=1,'Lease Cycles'!$D$18*IF(INDEX('Lease Cycles'!$EF$18:$EL$18,1,U180)=1,'Lease Cycles'!$AJ$18*INDEX('Lease Cycles'!$FO$18:$FU$18,1,U180)*INDEX('Lease Cycles'!$EM$18:$ES$18,1,U180)+'Lease Cycles'!$BE$18*IF(U181&lt;INDEX('Lease Cycles'!$FA$18:$FG$18,1,U180),0,1-INDEX('Lease Cycles'!$EM$18:$ES$18,1,U180)),IF(OR(INDEX('Lease Cycles'!$DY$18:$EE$18,1,U180)=1,U181&gt;0),1,1-INDEX('Lease Cycles'!$DD$18:$DJ$18,1,U180))*('Lease Cycles'!$AJ$18*INDEX('Lease Cycles'!$FO$18:$FU$18,1,U180)+'Lease Cycles'!$BE$18*(1-INDEX('Lease Cycles'!$FO$18:$FU$18,1,U180)))),0)</f>
        <v>0</v>
      </c>
      <c r="V190" s="24">
        <f>IF(V182=1,'Lease Cycles'!$D$18*IF(INDEX('Lease Cycles'!$EF$18:$EL$18,1,V180)=1,'Lease Cycles'!$AJ$18*INDEX('Lease Cycles'!$FO$18:$FU$18,1,V180)*INDEX('Lease Cycles'!$EM$18:$ES$18,1,V180)+'Lease Cycles'!$BE$18*IF(V181&lt;INDEX('Lease Cycles'!$FA$18:$FG$18,1,V180),0,1-INDEX('Lease Cycles'!$EM$18:$ES$18,1,V180)),IF(OR(INDEX('Lease Cycles'!$DY$18:$EE$18,1,V180)=1,V181&gt;0),1,1-INDEX('Lease Cycles'!$DD$18:$DJ$18,1,V180))*('Lease Cycles'!$AJ$18*INDEX('Lease Cycles'!$FO$18:$FU$18,1,V180)+'Lease Cycles'!$BE$18*(1-INDEX('Lease Cycles'!$FO$18:$FU$18,1,V180)))),0)</f>
        <v>0</v>
      </c>
      <c r="W190" s="24">
        <f>IF(W182=1,'Lease Cycles'!$D$18*IF(INDEX('Lease Cycles'!$EF$18:$EL$18,1,W180)=1,'Lease Cycles'!$AJ$18*INDEX('Lease Cycles'!$FO$18:$FU$18,1,W180)*INDEX('Lease Cycles'!$EM$18:$ES$18,1,W180)+'Lease Cycles'!$BE$18*IF(W181&lt;INDEX('Lease Cycles'!$FA$18:$FG$18,1,W180),0,1-INDEX('Lease Cycles'!$EM$18:$ES$18,1,W180)),IF(OR(INDEX('Lease Cycles'!$DY$18:$EE$18,1,W180)=1,W181&gt;0),1,1-INDEX('Lease Cycles'!$DD$18:$DJ$18,1,W180))*('Lease Cycles'!$AJ$18*INDEX('Lease Cycles'!$FO$18:$FU$18,1,W180)+'Lease Cycles'!$BE$18*(1-INDEX('Lease Cycles'!$FO$18:$FU$18,1,W180)))),0)</f>
        <v>0</v>
      </c>
      <c r="X190" s="24">
        <f>IF(X182=1,'Lease Cycles'!$D$18*IF(INDEX('Lease Cycles'!$EF$18:$EL$18,1,X180)=1,'Lease Cycles'!$AJ$18*INDEX('Lease Cycles'!$FO$18:$FU$18,1,X180)*INDEX('Lease Cycles'!$EM$18:$ES$18,1,X180)+'Lease Cycles'!$BE$18*IF(X181&lt;INDEX('Lease Cycles'!$FA$18:$FG$18,1,X180),0,1-INDEX('Lease Cycles'!$EM$18:$ES$18,1,X180)),IF(OR(INDEX('Lease Cycles'!$DY$18:$EE$18,1,X180)=1,X181&gt;0),1,1-INDEX('Lease Cycles'!$DD$18:$DJ$18,1,X180))*('Lease Cycles'!$AJ$18*INDEX('Lease Cycles'!$FO$18:$FU$18,1,X180)+'Lease Cycles'!$BE$18*(1-INDEX('Lease Cycles'!$FO$18:$FU$18,1,X180)))),0)</f>
        <v>0</v>
      </c>
      <c r="Y190" s="24">
        <f>IF(Y182=1,'Lease Cycles'!$D$18*IF(INDEX('Lease Cycles'!$EF$18:$EL$18,1,Y180)=1,'Lease Cycles'!$AJ$18*INDEX('Lease Cycles'!$FO$18:$FU$18,1,Y180)*INDEX('Lease Cycles'!$EM$18:$ES$18,1,Y180)+'Lease Cycles'!$BE$18*IF(Y181&lt;INDEX('Lease Cycles'!$FA$18:$FG$18,1,Y180),0,1-INDEX('Lease Cycles'!$EM$18:$ES$18,1,Y180)),IF(OR(INDEX('Lease Cycles'!$DY$18:$EE$18,1,Y180)=1,Y181&gt;0),1,1-INDEX('Lease Cycles'!$DD$18:$DJ$18,1,Y180))*('Lease Cycles'!$AJ$18*INDEX('Lease Cycles'!$FO$18:$FU$18,1,Y180)+'Lease Cycles'!$BE$18*(1-INDEX('Lease Cycles'!$FO$18:$FU$18,1,Y180)))),0)</f>
        <v>0</v>
      </c>
      <c r="Z190" s="24">
        <f>IF(Z182=1,'Lease Cycles'!$D$18*IF(INDEX('Lease Cycles'!$EF$18:$EL$18,1,Z180)=1,'Lease Cycles'!$AJ$18*INDEX('Lease Cycles'!$FO$18:$FU$18,1,Z180)*INDEX('Lease Cycles'!$EM$18:$ES$18,1,Z180)+'Lease Cycles'!$BE$18*IF(Z181&lt;INDEX('Lease Cycles'!$FA$18:$FG$18,1,Z180),0,1-INDEX('Lease Cycles'!$EM$18:$ES$18,1,Z180)),IF(OR(INDEX('Lease Cycles'!$DY$18:$EE$18,1,Z180)=1,Z181&gt;0),1,1-INDEX('Lease Cycles'!$DD$18:$DJ$18,1,Z180))*('Lease Cycles'!$AJ$18*INDEX('Lease Cycles'!$FO$18:$FU$18,1,Z180)+'Lease Cycles'!$BE$18*(1-INDEX('Lease Cycles'!$FO$18:$FU$18,1,Z180)))),0)</f>
        <v>0</v>
      </c>
      <c r="AA190" s="24">
        <f>IF(AA182=1,'Lease Cycles'!$D$18*IF(INDEX('Lease Cycles'!$EF$18:$EL$18,1,AA180)=1,'Lease Cycles'!$AJ$18*INDEX('Lease Cycles'!$FO$18:$FU$18,1,AA180)*INDEX('Lease Cycles'!$EM$18:$ES$18,1,AA180)+'Lease Cycles'!$BE$18*IF(AA181&lt;INDEX('Lease Cycles'!$FA$18:$FG$18,1,AA180),0,1-INDEX('Lease Cycles'!$EM$18:$ES$18,1,AA180)),IF(OR(INDEX('Lease Cycles'!$DY$18:$EE$18,1,AA180)=1,AA181&gt;0),1,1-INDEX('Lease Cycles'!$DD$18:$DJ$18,1,AA180))*('Lease Cycles'!$AJ$18*INDEX('Lease Cycles'!$FO$18:$FU$18,1,AA180)+'Lease Cycles'!$BE$18*(1-INDEX('Lease Cycles'!$FO$18:$FU$18,1,AA180)))),0)</f>
        <v>0</v>
      </c>
      <c r="AB190" s="24">
        <f>IF(AB182=1,'Lease Cycles'!$D$18*IF(INDEX('Lease Cycles'!$EF$18:$EL$18,1,AB180)=1,'Lease Cycles'!$AJ$18*INDEX('Lease Cycles'!$FO$18:$FU$18,1,AB180)*INDEX('Lease Cycles'!$EM$18:$ES$18,1,AB180)+'Lease Cycles'!$BE$18*IF(AB181&lt;INDEX('Lease Cycles'!$FA$18:$FG$18,1,AB180),0,1-INDEX('Lease Cycles'!$EM$18:$ES$18,1,AB180)),IF(OR(INDEX('Lease Cycles'!$DY$18:$EE$18,1,AB180)=1,AB181&gt;0),1,1-INDEX('Lease Cycles'!$DD$18:$DJ$18,1,AB180))*('Lease Cycles'!$AJ$18*INDEX('Lease Cycles'!$FO$18:$FU$18,1,AB180)+'Lease Cycles'!$BE$18*(1-INDEX('Lease Cycles'!$FO$18:$FU$18,1,AB180)))),0)</f>
        <v>0</v>
      </c>
      <c r="AC190" s="24">
        <f>IF(AC182=1,'Lease Cycles'!$D$18*IF(INDEX('Lease Cycles'!$EF$18:$EL$18,1,AC180)=1,'Lease Cycles'!$AJ$18*INDEX('Lease Cycles'!$FO$18:$FU$18,1,AC180)*INDEX('Lease Cycles'!$EM$18:$ES$18,1,AC180)+'Lease Cycles'!$BE$18*IF(AC181&lt;INDEX('Lease Cycles'!$FA$18:$FG$18,1,AC180),0,1-INDEX('Lease Cycles'!$EM$18:$ES$18,1,AC180)),IF(OR(INDEX('Lease Cycles'!$DY$18:$EE$18,1,AC180)=1,AC181&gt;0),1,1-INDEX('Lease Cycles'!$DD$18:$DJ$18,1,AC180))*('Lease Cycles'!$AJ$18*INDEX('Lease Cycles'!$FO$18:$FU$18,1,AC180)+'Lease Cycles'!$BE$18*(1-INDEX('Lease Cycles'!$FO$18:$FU$18,1,AC180)))),0)</f>
        <v>0</v>
      </c>
      <c r="AD190" s="24">
        <f>IF(AD182=1,'Lease Cycles'!$D$18*IF(INDEX('Lease Cycles'!$EF$18:$EL$18,1,AD180)=1,'Lease Cycles'!$AJ$18*INDEX('Lease Cycles'!$FO$18:$FU$18,1,AD180)*INDEX('Lease Cycles'!$EM$18:$ES$18,1,AD180)+'Lease Cycles'!$BE$18*IF(AD181&lt;INDEX('Lease Cycles'!$FA$18:$FG$18,1,AD180),0,1-INDEX('Lease Cycles'!$EM$18:$ES$18,1,AD180)),IF(OR(INDEX('Lease Cycles'!$DY$18:$EE$18,1,AD180)=1,AD181&gt;0),1,1-INDEX('Lease Cycles'!$DD$18:$DJ$18,1,AD180))*('Lease Cycles'!$AJ$18*INDEX('Lease Cycles'!$FO$18:$FU$18,1,AD180)+'Lease Cycles'!$BE$18*(1-INDEX('Lease Cycles'!$FO$18:$FU$18,1,AD180)))),0)</f>
        <v>0</v>
      </c>
      <c r="AE190" s="24">
        <f>IF(AE182=1,'Lease Cycles'!$D$18*IF(INDEX('Lease Cycles'!$EF$18:$EL$18,1,AE180)=1,'Lease Cycles'!$AJ$18*INDEX('Lease Cycles'!$FO$18:$FU$18,1,AE180)*INDEX('Lease Cycles'!$EM$18:$ES$18,1,AE180)+'Lease Cycles'!$BE$18*IF(AE181&lt;INDEX('Lease Cycles'!$FA$18:$FG$18,1,AE180),0,1-INDEX('Lease Cycles'!$EM$18:$ES$18,1,AE180)),IF(OR(INDEX('Lease Cycles'!$DY$18:$EE$18,1,AE180)=1,AE181&gt;0),1,1-INDEX('Lease Cycles'!$DD$18:$DJ$18,1,AE180))*('Lease Cycles'!$AJ$18*INDEX('Lease Cycles'!$FO$18:$FU$18,1,AE180)+'Lease Cycles'!$BE$18*(1-INDEX('Lease Cycles'!$FO$18:$FU$18,1,AE180)))),0)</f>
        <v>0</v>
      </c>
      <c r="AF190" s="24">
        <f>IF(AF182=1,'Lease Cycles'!$D$18*IF(INDEX('Lease Cycles'!$EF$18:$EL$18,1,AF180)=1,'Lease Cycles'!$AJ$18*INDEX('Lease Cycles'!$FO$18:$FU$18,1,AF180)*INDEX('Lease Cycles'!$EM$18:$ES$18,1,AF180)+'Lease Cycles'!$BE$18*IF(AF181&lt;INDEX('Lease Cycles'!$FA$18:$FG$18,1,AF180),0,1-INDEX('Lease Cycles'!$EM$18:$ES$18,1,AF180)),IF(OR(INDEX('Lease Cycles'!$DY$18:$EE$18,1,AF180)=1,AF181&gt;0),1,1-INDEX('Lease Cycles'!$DD$18:$DJ$18,1,AF180))*('Lease Cycles'!$AJ$18*INDEX('Lease Cycles'!$FO$18:$FU$18,1,AF180)+'Lease Cycles'!$BE$18*(1-INDEX('Lease Cycles'!$FO$18:$FU$18,1,AF180)))),0)</f>
        <v>0</v>
      </c>
      <c r="AG190" s="24">
        <f>IF(AG182=1,'Lease Cycles'!$D$18*IF(INDEX('Lease Cycles'!$EF$18:$EL$18,1,AG180)=1,'Lease Cycles'!$AJ$18*INDEX('Lease Cycles'!$FO$18:$FU$18,1,AG180)*INDEX('Lease Cycles'!$EM$18:$ES$18,1,AG180)+'Lease Cycles'!$BE$18*IF(AG181&lt;INDEX('Lease Cycles'!$FA$18:$FG$18,1,AG180),0,1-INDEX('Lease Cycles'!$EM$18:$ES$18,1,AG180)),IF(OR(INDEX('Lease Cycles'!$DY$18:$EE$18,1,AG180)=1,AG181&gt;0),1,1-INDEX('Lease Cycles'!$DD$18:$DJ$18,1,AG180))*('Lease Cycles'!$AJ$18*INDEX('Lease Cycles'!$FO$18:$FU$18,1,AG180)+'Lease Cycles'!$BE$18*(1-INDEX('Lease Cycles'!$FO$18:$FU$18,1,AG180)))),0)</f>
        <v>0</v>
      </c>
      <c r="AH190" s="24">
        <f>IF(AH182=1,'Lease Cycles'!$D$18*IF(INDEX('Lease Cycles'!$EF$18:$EL$18,1,AH180)=1,'Lease Cycles'!$AJ$18*INDEX('Lease Cycles'!$FO$18:$FU$18,1,AH180)*INDEX('Lease Cycles'!$EM$18:$ES$18,1,AH180)+'Lease Cycles'!$BE$18*IF(AH181&lt;INDEX('Lease Cycles'!$FA$18:$FG$18,1,AH180),0,1-INDEX('Lease Cycles'!$EM$18:$ES$18,1,AH180)),IF(OR(INDEX('Lease Cycles'!$DY$18:$EE$18,1,AH180)=1,AH181&gt;0),1,1-INDEX('Lease Cycles'!$DD$18:$DJ$18,1,AH180))*('Lease Cycles'!$AJ$18*INDEX('Lease Cycles'!$FO$18:$FU$18,1,AH180)+'Lease Cycles'!$BE$18*(1-INDEX('Lease Cycles'!$FO$18:$FU$18,1,AH180)))),0)</f>
        <v>0</v>
      </c>
      <c r="AI190" s="24">
        <f>IF(AI182=1,'Lease Cycles'!$D$18*IF(INDEX('Lease Cycles'!$EF$18:$EL$18,1,AI180)=1,'Lease Cycles'!$AJ$18*INDEX('Lease Cycles'!$FO$18:$FU$18,1,AI180)*INDEX('Lease Cycles'!$EM$18:$ES$18,1,AI180)+'Lease Cycles'!$BE$18*IF(AI181&lt;INDEX('Lease Cycles'!$FA$18:$FG$18,1,AI180),0,1-INDEX('Lease Cycles'!$EM$18:$ES$18,1,AI180)),IF(OR(INDEX('Lease Cycles'!$DY$18:$EE$18,1,AI180)=1,AI181&gt;0),1,1-INDEX('Lease Cycles'!$DD$18:$DJ$18,1,AI180))*('Lease Cycles'!$AJ$18*INDEX('Lease Cycles'!$FO$18:$FU$18,1,AI180)+'Lease Cycles'!$BE$18*(1-INDEX('Lease Cycles'!$FO$18:$FU$18,1,AI180)))),0)</f>
        <v>0</v>
      </c>
      <c r="AJ190" s="24">
        <f>IF(AJ182=1,'Lease Cycles'!$D$18*IF(INDEX('Lease Cycles'!$EF$18:$EL$18,1,AJ180)=1,'Lease Cycles'!$AJ$18*INDEX('Lease Cycles'!$FO$18:$FU$18,1,AJ180)*INDEX('Lease Cycles'!$EM$18:$ES$18,1,AJ180)+'Lease Cycles'!$BE$18*IF(AJ181&lt;INDEX('Lease Cycles'!$FA$18:$FG$18,1,AJ180),0,1-INDEX('Lease Cycles'!$EM$18:$ES$18,1,AJ180)),IF(OR(INDEX('Lease Cycles'!$DY$18:$EE$18,1,AJ180)=1,AJ181&gt;0),1,1-INDEX('Lease Cycles'!$DD$18:$DJ$18,1,AJ180))*('Lease Cycles'!$AJ$18*INDEX('Lease Cycles'!$FO$18:$FU$18,1,AJ180)+'Lease Cycles'!$BE$18*(1-INDEX('Lease Cycles'!$FO$18:$FU$18,1,AJ180)))),0)</f>
        <v>0</v>
      </c>
      <c r="AK190" s="24">
        <f>IF(AK182=1,'Lease Cycles'!$D$18*IF(INDEX('Lease Cycles'!$EF$18:$EL$18,1,AK180)=1,'Lease Cycles'!$AJ$18*INDEX('Lease Cycles'!$FO$18:$FU$18,1,AK180)*INDEX('Lease Cycles'!$EM$18:$ES$18,1,AK180)+'Lease Cycles'!$BE$18*IF(AK181&lt;INDEX('Lease Cycles'!$FA$18:$FG$18,1,AK180),0,1-INDEX('Lease Cycles'!$EM$18:$ES$18,1,AK180)),IF(OR(INDEX('Lease Cycles'!$DY$18:$EE$18,1,AK180)=1,AK181&gt;0),1,1-INDEX('Lease Cycles'!$DD$18:$DJ$18,1,AK180))*('Lease Cycles'!$AJ$18*INDEX('Lease Cycles'!$FO$18:$FU$18,1,AK180)+'Lease Cycles'!$BE$18*(1-INDEX('Lease Cycles'!$FO$18:$FU$18,1,AK180)))),0)</f>
        <v>0</v>
      </c>
      <c r="AL190" s="24">
        <f>IF(AL182=1,'Lease Cycles'!$D$18*IF(INDEX('Lease Cycles'!$EF$18:$EL$18,1,AL180)=1,'Lease Cycles'!$AJ$18*INDEX('Lease Cycles'!$FO$18:$FU$18,1,AL180)*INDEX('Lease Cycles'!$EM$18:$ES$18,1,AL180)+'Lease Cycles'!$BE$18*IF(AL181&lt;INDEX('Lease Cycles'!$FA$18:$FG$18,1,AL180),0,1-INDEX('Lease Cycles'!$EM$18:$ES$18,1,AL180)),IF(OR(INDEX('Lease Cycles'!$DY$18:$EE$18,1,AL180)=1,AL181&gt;0),1,1-INDEX('Lease Cycles'!$DD$18:$DJ$18,1,AL180))*('Lease Cycles'!$AJ$18*INDEX('Lease Cycles'!$FO$18:$FU$18,1,AL180)+'Lease Cycles'!$BE$18*(1-INDEX('Lease Cycles'!$FO$18:$FU$18,1,AL180)))),0)</f>
        <v>0</v>
      </c>
      <c r="AM190" s="24">
        <f>IF(AM182=1,'Lease Cycles'!$D$18*IF(INDEX('Lease Cycles'!$EF$18:$EL$18,1,AM180)=1,'Lease Cycles'!$AJ$18*INDEX('Lease Cycles'!$FO$18:$FU$18,1,AM180)*INDEX('Lease Cycles'!$EM$18:$ES$18,1,AM180)+'Lease Cycles'!$BE$18*IF(AM181&lt;INDEX('Lease Cycles'!$FA$18:$FG$18,1,AM180),0,1-INDEX('Lease Cycles'!$EM$18:$ES$18,1,AM180)),IF(OR(INDEX('Lease Cycles'!$DY$18:$EE$18,1,AM180)=1,AM181&gt;0),1,1-INDEX('Lease Cycles'!$DD$18:$DJ$18,1,AM180))*('Lease Cycles'!$AJ$18*INDEX('Lease Cycles'!$FO$18:$FU$18,1,AM180)+'Lease Cycles'!$BE$18*(1-INDEX('Lease Cycles'!$FO$18:$FU$18,1,AM180)))),0)</f>
        <v>0</v>
      </c>
      <c r="AN190" s="24">
        <f>IF(AN182=1,'Lease Cycles'!$D$18*IF(INDEX('Lease Cycles'!$EF$18:$EL$18,1,AN180)=1,'Lease Cycles'!$AJ$18*INDEX('Lease Cycles'!$FO$18:$FU$18,1,AN180)*INDEX('Lease Cycles'!$EM$18:$ES$18,1,AN180)+'Lease Cycles'!$BE$18*IF(AN181&lt;INDEX('Lease Cycles'!$FA$18:$FG$18,1,AN180),0,1-INDEX('Lease Cycles'!$EM$18:$ES$18,1,AN180)),IF(OR(INDEX('Lease Cycles'!$DY$18:$EE$18,1,AN180)=1,AN181&gt;0),1,1-INDEX('Lease Cycles'!$DD$18:$DJ$18,1,AN180))*('Lease Cycles'!$AJ$18*INDEX('Lease Cycles'!$FO$18:$FU$18,1,AN180)+'Lease Cycles'!$BE$18*(1-INDEX('Lease Cycles'!$FO$18:$FU$18,1,AN180)))),0)</f>
        <v>0</v>
      </c>
      <c r="AO190" s="24">
        <f>IF(AO182=1,'Lease Cycles'!$D$18*IF(INDEX('Lease Cycles'!$EF$18:$EL$18,1,AO180)=1,'Lease Cycles'!$AJ$18*INDEX('Lease Cycles'!$FO$18:$FU$18,1,AO180)*INDEX('Lease Cycles'!$EM$18:$ES$18,1,AO180)+'Lease Cycles'!$BE$18*IF(AO181&lt;INDEX('Lease Cycles'!$FA$18:$FG$18,1,AO180),0,1-INDEX('Lease Cycles'!$EM$18:$ES$18,1,AO180)),IF(OR(INDEX('Lease Cycles'!$DY$18:$EE$18,1,AO180)=1,AO181&gt;0),1,1-INDEX('Lease Cycles'!$DD$18:$DJ$18,1,AO180))*('Lease Cycles'!$AJ$18*INDEX('Lease Cycles'!$FO$18:$FU$18,1,AO180)+'Lease Cycles'!$BE$18*(1-INDEX('Lease Cycles'!$FO$18:$FU$18,1,AO180)))),0)</f>
        <v>0</v>
      </c>
      <c r="AP190" s="24">
        <f>IF(AP182=1,'Lease Cycles'!$D$18*IF(INDEX('Lease Cycles'!$EF$18:$EL$18,1,AP180)=1,'Lease Cycles'!$AJ$18*INDEX('Lease Cycles'!$FO$18:$FU$18,1,AP180)*INDEX('Lease Cycles'!$EM$18:$ES$18,1,AP180)+'Lease Cycles'!$BE$18*IF(AP181&lt;INDEX('Lease Cycles'!$FA$18:$FG$18,1,AP180),0,1-INDEX('Lease Cycles'!$EM$18:$ES$18,1,AP180)),IF(OR(INDEX('Lease Cycles'!$DY$18:$EE$18,1,AP180)=1,AP181&gt;0),1,1-INDEX('Lease Cycles'!$DD$18:$DJ$18,1,AP180))*('Lease Cycles'!$AJ$18*INDEX('Lease Cycles'!$FO$18:$FU$18,1,AP180)+'Lease Cycles'!$BE$18*(1-INDEX('Lease Cycles'!$FO$18:$FU$18,1,AP180)))),0)</f>
        <v>0</v>
      </c>
      <c r="AQ190" s="24">
        <f>IF(AQ182=1,'Lease Cycles'!$D$18*IF(INDEX('Lease Cycles'!$EF$18:$EL$18,1,AQ180)=1,'Lease Cycles'!$AJ$18*INDEX('Lease Cycles'!$FO$18:$FU$18,1,AQ180)*INDEX('Lease Cycles'!$EM$18:$ES$18,1,AQ180)+'Lease Cycles'!$BE$18*IF(AQ181&lt;INDEX('Lease Cycles'!$FA$18:$FG$18,1,AQ180),0,1-INDEX('Lease Cycles'!$EM$18:$ES$18,1,AQ180)),IF(OR(INDEX('Lease Cycles'!$DY$18:$EE$18,1,AQ180)=1,AQ181&gt;0),1,1-INDEX('Lease Cycles'!$DD$18:$DJ$18,1,AQ180))*('Lease Cycles'!$AJ$18*INDEX('Lease Cycles'!$FO$18:$FU$18,1,AQ180)+'Lease Cycles'!$BE$18*(1-INDEX('Lease Cycles'!$FO$18:$FU$18,1,AQ180)))),0)</f>
        <v>0</v>
      </c>
      <c r="AR190" s="24">
        <f>IF(AR182=1,'Lease Cycles'!$D$18*IF(INDEX('Lease Cycles'!$EF$18:$EL$18,1,AR180)=1,'Lease Cycles'!$AJ$18*INDEX('Lease Cycles'!$FO$18:$FU$18,1,AR180)*INDEX('Lease Cycles'!$EM$18:$ES$18,1,AR180)+'Lease Cycles'!$BE$18*IF(AR181&lt;INDEX('Lease Cycles'!$FA$18:$FG$18,1,AR180),0,1-INDEX('Lease Cycles'!$EM$18:$ES$18,1,AR180)),IF(OR(INDEX('Lease Cycles'!$DY$18:$EE$18,1,AR180)=1,AR181&gt;0),1,1-INDEX('Lease Cycles'!$DD$18:$DJ$18,1,AR180))*('Lease Cycles'!$AJ$18*INDEX('Lease Cycles'!$FO$18:$FU$18,1,AR180)+'Lease Cycles'!$BE$18*(1-INDEX('Lease Cycles'!$FO$18:$FU$18,1,AR180)))),0)</f>
        <v>0</v>
      </c>
      <c r="AS190" s="24">
        <f>IF(AS182=1,'Lease Cycles'!$D$18*IF(INDEX('Lease Cycles'!$EF$18:$EL$18,1,AS180)=1,'Lease Cycles'!$AJ$18*INDEX('Lease Cycles'!$FO$18:$FU$18,1,AS180)*INDEX('Lease Cycles'!$EM$18:$ES$18,1,AS180)+'Lease Cycles'!$BE$18*IF(AS181&lt;INDEX('Lease Cycles'!$FA$18:$FG$18,1,AS180),0,1-INDEX('Lease Cycles'!$EM$18:$ES$18,1,AS180)),IF(OR(INDEX('Lease Cycles'!$DY$18:$EE$18,1,AS180)=1,AS181&gt;0),1,1-INDEX('Lease Cycles'!$DD$18:$DJ$18,1,AS180))*('Lease Cycles'!$AJ$18*INDEX('Lease Cycles'!$FO$18:$FU$18,1,AS180)+'Lease Cycles'!$BE$18*(1-INDEX('Lease Cycles'!$FO$18:$FU$18,1,AS180)))),0)</f>
        <v>0</v>
      </c>
      <c r="AT190" s="24">
        <f>IF(AT182=1,'Lease Cycles'!$D$18*IF(INDEX('Lease Cycles'!$EF$18:$EL$18,1,AT180)=1,'Lease Cycles'!$AJ$18*INDEX('Lease Cycles'!$FO$18:$FU$18,1,AT180)*INDEX('Lease Cycles'!$EM$18:$ES$18,1,AT180)+'Lease Cycles'!$BE$18*IF(AT181&lt;INDEX('Lease Cycles'!$FA$18:$FG$18,1,AT180),0,1-INDEX('Lease Cycles'!$EM$18:$ES$18,1,AT180)),IF(OR(INDEX('Lease Cycles'!$DY$18:$EE$18,1,AT180)=1,AT181&gt;0),1,1-INDEX('Lease Cycles'!$DD$18:$DJ$18,1,AT180))*('Lease Cycles'!$AJ$18*INDEX('Lease Cycles'!$FO$18:$FU$18,1,AT180)+'Lease Cycles'!$BE$18*(1-INDEX('Lease Cycles'!$FO$18:$FU$18,1,AT180)))),0)</f>
        <v>0</v>
      </c>
      <c r="AU190" s="24">
        <f>IF(AU182=1,'Lease Cycles'!$D$18*IF(INDEX('Lease Cycles'!$EF$18:$EL$18,1,AU180)=1,'Lease Cycles'!$AJ$18*INDEX('Lease Cycles'!$FO$18:$FU$18,1,AU180)*INDEX('Lease Cycles'!$EM$18:$ES$18,1,AU180)+'Lease Cycles'!$BE$18*IF(AU181&lt;INDEX('Lease Cycles'!$FA$18:$FG$18,1,AU180),0,1-INDEX('Lease Cycles'!$EM$18:$ES$18,1,AU180)),IF(OR(INDEX('Lease Cycles'!$DY$18:$EE$18,1,AU180)=1,AU181&gt;0),1,1-INDEX('Lease Cycles'!$DD$18:$DJ$18,1,AU180))*('Lease Cycles'!$AJ$18*INDEX('Lease Cycles'!$FO$18:$FU$18,1,AU180)+'Lease Cycles'!$BE$18*(1-INDEX('Lease Cycles'!$FO$18:$FU$18,1,AU180)))),0)</f>
        <v>0</v>
      </c>
      <c r="AV190" s="24">
        <f>IF(AV182=1,'Lease Cycles'!$D$18*IF(INDEX('Lease Cycles'!$EF$18:$EL$18,1,AV180)=1,'Lease Cycles'!$AJ$18*INDEX('Lease Cycles'!$FO$18:$FU$18,1,AV180)*INDEX('Lease Cycles'!$EM$18:$ES$18,1,AV180)+'Lease Cycles'!$BE$18*IF(AV181&lt;INDEX('Lease Cycles'!$FA$18:$FG$18,1,AV180),0,1-INDEX('Lease Cycles'!$EM$18:$ES$18,1,AV180)),IF(OR(INDEX('Lease Cycles'!$DY$18:$EE$18,1,AV180)=1,AV181&gt;0),1,1-INDEX('Lease Cycles'!$DD$18:$DJ$18,1,AV180))*('Lease Cycles'!$AJ$18*INDEX('Lease Cycles'!$FO$18:$FU$18,1,AV180)+'Lease Cycles'!$BE$18*(1-INDEX('Lease Cycles'!$FO$18:$FU$18,1,AV180)))),0)</f>
        <v>0</v>
      </c>
      <c r="AW190" s="24">
        <f>IF(AW182=1,'Lease Cycles'!$D$18*IF(INDEX('Lease Cycles'!$EF$18:$EL$18,1,AW180)=1,'Lease Cycles'!$AJ$18*INDEX('Lease Cycles'!$FO$18:$FU$18,1,AW180)*INDEX('Lease Cycles'!$EM$18:$ES$18,1,AW180)+'Lease Cycles'!$BE$18*IF(AW181&lt;INDEX('Lease Cycles'!$FA$18:$FG$18,1,AW180),0,1-INDEX('Lease Cycles'!$EM$18:$ES$18,1,AW180)),IF(OR(INDEX('Lease Cycles'!$DY$18:$EE$18,1,AW180)=1,AW181&gt;0),1,1-INDEX('Lease Cycles'!$DD$18:$DJ$18,1,AW180))*('Lease Cycles'!$AJ$18*INDEX('Lease Cycles'!$FO$18:$FU$18,1,AW180)+'Lease Cycles'!$BE$18*(1-INDEX('Lease Cycles'!$FO$18:$FU$18,1,AW180)))),0)</f>
        <v>0</v>
      </c>
      <c r="AX190" s="24">
        <f>IF(AX182=1,'Lease Cycles'!$D$18*IF(INDEX('Lease Cycles'!$EF$18:$EL$18,1,AX180)=1,'Lease Cycles'!$AJ$18*INDEX('Lease Cycles'!$FO$18:$FU$18,1,AX180)*INDEX('Lease Cycles'!$EM$18:$ES$18,1,AX180)+'Lease Cycles'!$BE$18*IF(AX181&lt;INDEX('Lease Cycles'!$FA$18:$FG$18,1,AX180),0,1-INDEX('Lease Cycles'!$EM$18:$ES$18,1,AX180)),IF(OR(INDEX('Lease Cycles'!$DY$18:$EE$18,1,AX180)=1,AX181&gt;0),1,1-INDEX('Lease Cycles'!$DD$18:$DJ$18,1,AX180))*('Lease Cycles'!$AJ$18*INDEX('Lease Cycles'!$FO$18:$FU$18,1,AX180)+'Lease Cycles'!$BE$18*(1-INDEX('Lease Cycles'!$FO$18:$FU$18,1,AX180)))),0)</f>
        <v>0</v>
      </c>
      <c r="AY190" s="24">
        <f>IF(AY182=1,'Lease Cycles'!$D$18*IF(INDEX('Lease Cycles'!$EF$18:$EL$18,1,AY180)=1,'Lease Cycles'!$AJ$18*INDEX('Lease Cycles'!$FO$18:$FU$18,1,AY180)*INDEX('Lease Cycles'!$EM$18:$ES$18,1,AY180)+'Lease Cycles'!$BE$18*IF(AY181&lt;INDEX('Lease Cycles'!$FA$18:$FG$18,1,AY180),0,1-INDEX('Lease Cycles'!$EM$18:$ES$18,1,AY180)),IF(OR(INDEX('Lease Cycles'!$DY$18:$EE$18,1,AY180)=1,AY181&gt;0),1,1-INDEX('Lease Cycles'!$DD$18:$DJ$18,1,AY180))*('Lease Cycles'!$AJ$18*INDEX('Lease Cycles'!$FO$18:$FU$18,1,AY180)+'Lease Cycles'!$BE$18*(1-INDEX('Lease Cycles'!$FO$18:$FU$18,1,AY180)))),0)</f>
        <v>0</v>
      </c>
      <c r="AZ190" s="24">
        <f>IF(AZ182=1,'Lease Cycles'!$D$18*IF(INDEX('Lease Cycles'!$EF$18:$EL$18,1,AZ180)=1,'Lease Cycles'!$AJ$18*INDEX('Lease Cycles'!$FO$18:$FU$18,1,AZ180)*INDEX('Lease Cycles'!$EM$18:$ES$18,1,AZ180)+'Lease Cycles'!$BE$18*IF(AZ181&lt;INDEX('Lease Cycles'!$FA$18:$FG$18,1,AZ180),0,1-INDEX('Lease Cycles'!$EM$18:$ES$18,1,AZ180)),IF(OR(INDEX('Lease Cycles'!$DY$18:$EE$18,1,AZ180)=1,AZ181&gt;0),1,1-INDEX('Lease Cycles'!$DD$18:$DJ$18,1,AZ180))*('Lease Cycles'!$AJ$18*INDEX('Lease Cycles'!$FO$18:$FU$18,1,AZ180)+'Lease Cycles'!$BE$18*(1-INDEX('Lease Cycles'!$FO$18:$FU$18,1,AZ180)))),0)</f>
        <v>0</v>
      </c>
      <c r="BA190" s="24">
        <f>IF(BA182=1,'Lease Cycles'!$D$18*IF(INDEX('Lease Cycles'!$EF$18:$EL$18,1,BA180)=1,'Lease Cycles'!$AJ$18*INDEX('Lease Cycles'!$FO$18:$FU$18,1,BA180)*INDEX('Lease Cycles'!$EM$18:$ES$18,1,BA180)+'Lease Cycles'!$BE$18*IF(BA181&lt;INDEX('Lease Cycles'!$FA$18:$FG$18,1,BA180),0,1-INDEX('Lease Cycles'!$EM$18:$ES$18,1,BA180)),IF(OR(INDEX('Lease Cycles'!$DY$18:$EE$18,1,BA180)=1,BA181&gt;0),1,1-INDEX('Lease Cycles'!$DD$18:$DJ$18,1,BA180))*('Lease Cycles'!$AJ$18*INDEX('Lease Cycles'!$FO$18:$FU$18,1,BA180)+'Lease Cycles'!$BE$18*(1-INDEX('Lease Cycles'!$FO$18:$FU$18,1,BA180)))),0)</f>
        <v>0</v>
      </c>
      <c r="BB190" s="24">
        <f>IF(BB182=1,'Lease Cycles'!$D$18*IF(INDEX('Lease Cycles'!$EF$18:$EL$18,1,BB180)=1,'Lease Cycles'!$AJ$18*INDEX('Lease Cycles'!$FO$18:$FU$18,1,BB180)*INDEX('Lease Cycles'!$EM$18:$ES$18,1,BB180)+'Lease Cycles'!$BE$18*IF(BB181&lt;INDEX('Lease Cycles'!$FA$18:$FG$18,1,BB180),0,1-INDEX('Lease Cycles'!$EM$18:$ES$18,1,BB180)),IF(OR(INDEX('Lease Cycles'!$DY$18:$EE$18,1,BB180)=1,BB181&gt;0),1,1-INDEX('Lease Cycles'!$DD$18:$DJ$18,1,BB180))*('Lease Cycles'!$AJ$18*INDEX('Lease Cycles'!$FO$18:$FU$18,1,BB180)+'Lease Cycles'!$BE$18*(1-INDEX('Lease Cycles'!$FO$18:$FU$18,1,BB180)))),0)</f>
        <v>0</v>
      </c>
      <c r="BC190" s="24">
        <f>IF(BC182=1,'Lease Cycles'!$D$18*IF(INDEX('Lease Cycles'!$EF$18:$EL$18,1,BC180)=1,'Lease Cycles'!$AJ$18*INDEX('Lease Cycles'!$FO$18:$FU$18,1,BC180)*INDEX('Lease Cycles'!$EM$18:$ES$18,1,BC180)+'Lease Cycles'!$BE$18*IF(BC181&lt;INDEX('Lease Cycles'!$FA$18:$FG$18,1,BC180),0,1-INDEX('Lease Cycles'!$EM$18:$ES$18,1,BC180)),IF(OR(INDEX('Lease Cycles'!$DY$18:$EE$18,1,BC180)=1,BC181&gt;0),1,1-INDEX('Lease Cycles'!$DD$18:$DJ$18,1,BC180))*('Lease Cycles'!$AJ$18*INDEX('Lease Cycles'!$FO$18:$FU$18,1,BC180)+'Lease Cycles'!$BE$18*(1-INDEX('Lease Cycles'!$FO$18:$FU$18,1,BC180)))),0)</f>
        <v>0</v>
      </c>
      <c r="BD190" s="24">
        <f>IF(BD182=1,'Lease Cycles'!$D$18*IF(INDEX('Lease Cycles'!$EF$18:$EL$18,1,BD180)=1,'Lease Cycles'!$AJ$18*INDEX('Lease Cycles'!$FO$18:$FU$18,1,BD180)*INDEX('Lease Cycles'!$EM$18:$ES$18,1,BD180)+'Lease Cycles'!$BE$18*IF(BD181&lt;INDEX('Lease Cycles'!$FA$18:$FG$18,1,BD180),0,1-INDEX('Lease Cycles'!$EM$18:$ES$18,1,BD180)),IF(OR(INDEX('Lease Cycles'!$DY$18:$EE$18,1,BD180)=1,BD181&gt;0),1,1-INDEX('Lease Cycles'!$DD$18:$DJ$18,1,BD180))*('Lease Cycles'!$AJ$18*INDEX('Lease Cycles'!$FO$18:$FU$18,1,BD180)+'Lease Cycles'!$BE$18*(1-INDEX('Lease Cycles'!$FO$18:$FU$18,1,BD180)))),0)</f>
        <v>0</v>
      </c>
      <c r="BE190" s="24">
        <f>IF(BE182=1,'Lease Cycles'!$D$18*IF(INDEX('Lease Cycles'!$EF$18:$EL$18,1,BE180)=1,'Lease Cycles'!$AJ$18*INDEX('Lease Cycles'!$FO$18:$FU$18,1,BE180)*INDEX('Lease Cycles'!$EM$18:$ES$18,1,BE180)+'Lease Cycles'!$BE$18*IF(BE181&lt;INDEX('Lease Cycles'!$FA$18:$FG$18,1,BE180),0,1-INDEX('Lease Cycles'!$EM$18:$ES$18,1,BE180)),IF(OR(INDEX('Lease Cycles'!$DY$18:$EE$18,1,BE180)=1,BE181&gt;0),1,1-INDEX('Lease Cycles'!$DD$18:$DJ$18,1,BE180))*('Lease Cycles'!$AJ$18*INDEX('Lease Cycles'!$FO$18:$FU$18,1,BE180)+'Lease Cycles'!$BE$18*(1-INDEX('Lease Cycles'!$FO$18:$FU$18,1,BE180)))),0)</f>
        <v>0</v>
      </c>
      <c r="BF190" s="24">
        <f>IF(BF182=1,'Lease Cycles'!$D$18*IF(INDEX('Lease Cycles'!$EF$18:$EL$18,1,BF180)=1,'Lease Cycles'!$AJ$18*INDEX('Lease Cycles'!$FO$18:$FU$18,1,BF180)*INDEX('Lease Cycles'!$EM$18:$ES$18,1,BF180)+'Lease Cycles'!$BE$18*IF(BF181&lt;INDEX('Lease Cycles'!$FA$18:$FG$18,1,BF180),0,1-INDEX('Lease Cycles'!$EM$18:$ES$18,1,BF180)),IF(OR(INDEX('Lease Cycles'!$DY$18:$EE$18,1,BF180)=1,BF181&gt;0),1,1-INDEX('Lease Cycles'!$DD$18:$DJ$18,1,BF180))*('Lease Cycles'!$AJ$18*INDEX('Lease Cycles'!$FO$18:$FU$18,1,BF180)+'Lease Cycles'!$BE$18*(1-INDEX('Lease Cycles'!$FO$18:$FU$18,1,BF180)))),0)</f>
        <v>0</v>
      </c>
      <c r="BG190" s="24">
        <f>IF(BG182=1,'Lease Cycles'!$D$18*IF(INDEX('Lease Cycles'!$EF$18:$EL$18,1,BG180)=1,'Lease Cycles'!$AJ$18*INDEX('Lease Cycles'!$FO$18:$FU$18,1,BG180)*INDEX('Lease Cycles'!$EM$18:$ES$18,1,BG180)+'Lease Cycles'!$BE$18*IF(BG181&lt;INDEX('Lease Cycles'!$FA$18:$FG$18,1,BG180),0,1-INDEX('Lease Cycles'!$EM$18:$ES$18,1,BG180)),IF(OR(INDEX('Lease Cycles'!$DY$18:$EE$18,1,BG180)=1,BG181&gt;0),1,1-INDEX('Lease Cycles'!$DD$18:$DJ$18,1,BG180))*('Lease Cycles'!$AJ$18*INDEX('Lease Cycles'!$FO$18:$FU$18,1,BG180)+'Lease Cycles'!$BE$18*(1-INDEX('Lease Cycles'!$FO$18:$FU$18,1,BG180)))),0)</f>
        <v>0</v>
      </c>
      <c r="BH190" s="24">
        <f>IF(BH182=1,'Lease Cycles'!$D$18*IF(INDEX('Lease Cycles'!$EF$18:$EL$18,1,BH180)=1,'Lease Cycles'!$AJ$18*INDEX('Lease Cycles'!$FO$18:$FU$18,1,BH180)*INDEX('Lease Cycles'!$EM$18:$ES$18,1,BH180)+'Lease Cycles'!$BE$18*IF(BH181&lt;INDEX('Lease Cycles'!$FA$18:$FG$18,1,BH180),0,1-INDEX('Lease Cycles'!$EM$18:$ES$18,1,BH180)),IF(OR(INDEX('Lease Cycles'!$DY$18:$EE$18,1,BH180)=1,BH181&gt;0),1,1-INDEX('Lease Cycles'!$DD$18:$DJ$18,1,BH180))*('Lease Cycles'!$AJ$18*INDEX('Lease Cycles'!$FO$18:$FU$18,1,BH180)+'Lease Cycles'!$BE$18*(1-INDEX('Lease Cycles'!$FO$18:$FU$18,1,BH180)))),0)</f>
        <v>0</v>
      </c>
      <c r="BI190" s="24">
        <f>IF(BI182=1,'Lease Cycles'!$D$18*IF(INDEX('Lease Cycles'!$EF$18:$EL$18,1,BI180)=1,'Lease Cycles'!$AJ$18*INDEX('Lease Cycles'!$FO$18:$FU$18,1,BI180)*INDEX('Lease Cycles'!$EM$18:$ES$18,1,BI180)+'Lease Cycles'!$BE$18*IF(BI181&lt;INDEX('Lease Cycles'!$FA$18:$FG$18,1,BI180),0,1-INDEX('Lease Cycles'!$EM$18:$ES$18,1,BI180)),IF(OR(INDEX('Lease Cycles'!$DY$18:$EE$18,1,BI180)=1,BI181&gt;0),1,1-INDEX('Lease Cycles'!$DD$18:$DJ$18,1,BI180))*('Lease Cycles'!$AJ$18*INDEX('Lease Cycles'!$FO$18:$FU$18,1,BI180)+'Lease Cycles'!$BE$18*(1-INDEX('Lease Cycles'!$FO$18:$FU$18,1,BI180)))),0)</f>
        <v>0</v>
      </c>
      <c r="BJ190" s="24">
        <f>IF(BJ182=1,'Lease Cycles'!$D$18*IF(INDEX('Lease Cycles'!$EF$18:$EL$18,1,BJ180)=1,'Lease Cycles'!$AJ$18*INDEX('Lease Cycles'!$FO$18:$FU$18,1,BJ180)*INDEX('Lease Cycles'!$EM$18:$ES$18,1,BJ180)+'Lease Cycles'!$BE$18*IF(BJ181&lt;INDEX('Lease Cycles'!$FA$18:$FG$18,1,BJ180),0,1-INDEX('Lease Cycles'!$EM$18:$ES$18,1,BJ180)),IF(OR(INDEX('Lease Cycles'!$DY$18:$EE$18,1,BJ180)=1,BJ181&gt;0),1,1-INDEX('Lease Cycles'!$DD$18:$DJ$18,1,BJ180))*('Lease Cycles'!$AJ$18*INDEX('Lease Cycles'!$FO$18:$FU$18,1,BJ180)+'Lease Cycles'!$BE$18*(1-INDEX('Lease Cycles'!$FO$18:$FU$18,1,BJ180)))),0)</f>
        <v>0</v>
      </c>
      <c r="BK190" s="24">
        <f>IF(BK182=1,'Lease Cycles'!$D$18*IF(INDEX('Lease Cycles'!$EF$18:$EL$18,1,BK180)=1,'Lease Cycles'!$AJ$18*INDEX('Lease Cycles'!$FO$18:$FU$18,1,BK180)*INDEX('Lease Cycles'!$EM$18:$ES$18,1,BK180)+'Lease Cycles'!$BE$18*IF(BK181&lt;INDEX('Lease Cycles'!$FA$18:$FG$18,1,BK180),0,1-INDEX('Lease Cycles'!$EM$18:$ES$18,1,BK180)),IF(OR(INDEX('Lease Cycles'!$DY$18:$EE$18,1,BK180)=1,BK181&gt;0),1,1-INDEX('Lease Cycles'!$DD$18:$DJ$18,1,BK180))*('Lease Cycles'!$AJ$18*INDEX('Lease Cycles'!$FO$18:$FU$18,1,BK180)+'Lease Cycles'!$BE$18*(1-INDEX('Lease Cycles'!$FO$18:$FU$18,1,BK180)))),0)</f>
        <v>0</v>
      </c>
      <c r="BL190" s="24">
        <f>IF(BL182=1,'Lease Cycles'!$D$18*IF(INDEX('Lease Cycles'!$EF$18:$EL$18,1,BL180)=1,'Lease Cycles'!$AJ$18*INDEX('Lease Cycles'!$FO$18:$FU$18,1,BL180)*INDEX('Lease Cycles'!$EM$18:$ES$18,1,BL180)+'Lease Cycles'!$BE$18*IF(BL181&lt;INDEX('Lease Cycles'!$FA$18:$FG$18,1,BL180),0,1-INDEX('Lease Cycles'!$EM$18:$ES$18,1,BL180)),IF(OR(INDEX('Lease Cycles'!$DY$18:$EE$18,1,BL180)=1,BL181&gt;0),1,1-INDEX('Lease Cycles'!$DD$18:$DJ$18,1,BL180))*('Lease Cycles'!$AJ$18*INDEX('Lease Cycles'!$FO$18:$FU$18,1,BL180)+'Lease Cycles'!$BE$18*(1-INDEX('Lease Cycles'!$FO$18:$FU$18,1,BL180)))),0)</f>
        <v>0</v>
      </c>
      <c r="BM190" s="24">
        <f>IF(BM182=1,'Lease Cycles'!$D$18*IF(INDEX('Lease Cycles'!$EF$18:$EL$18,1,BM180)=1,'Lease Cycles'!$AJ$18*INDEX('Lease Cycles'!$FO$18:$FU$18,1,BM180)*INDEX('Lease Cycles'!$EM$18:$ES$18,1,BM180)+'Lease Cycles'!$BE$18*IF(BM181&lt;INDEX('Lease Cycles'!$FA$18:$FG$18,1,BM180),0,1-INDEX('Lease Cycles'!$EM$18:$ES$18,1,BM180)),IF(OR(INDEX('Lease Cycles'!$DY$18:$EE$18,1,BM180)=1,BM181&gt;0),1,1-INDEX('Lease Cycles'!$DD$18:$DJ$18,1,BM180))*('Lease Cycles'!$AJ$18*INDEX('Lease Cycles'!$FO$18:$FU$18,1,BM180)+'Lease Cycles'!$BE$18*(1-INDEX('Lease Cycles'!$FO$18:$FU$18,1,BM180)))),0)</f>
        <v>0</v>
      </c>
      <c r="BN190" s="24">
        <f>IF(BN182=1,'Lease Cycles'!$D$18*IF(INDEX('Lease Cycles'!$EF$18:$EL$18,1,BN180)=1,'Lease Cycles'!$AJ$18*INDEX('Lease Cycles'!$FO$18:$FU$18,1,BN180)*INDEX('Lease Cycles'!$EM$18:$ES$18,1,BN180)+'Lease Cycles'!$BE$18*IF(BN181&lt;INDEX('Lease Cycles'!$FA$18:$FG$18,1,BN180),0,1-INDEX('Lease Cycles'!$EM$18:$ES$18,1,BN180)),IF(OR(INDEX('Lease Cycles'!$DY$18:$EE$18,1,BN180)=1,BN181&gt;0),1,1-INDEX('Lease Cycles'!$DD$18:$DJ$18,1,BN180))*('Lease Cycles'!$AJ$18*INDEX('Lease Cycles'!$FO$18:$FU$18,1,BN180)+'Lease Cycles'!$BE$18*(1-INDEX('Lease Cycles'!$FO$18:$FU$18,1,BN180)))),0)</f>
        <v>0</v>
      </c>
      <c r="BO190" s="24">
        <f>IF(BO182=1,'Lease Cycles'!$D$18*IF(INDEX('Lease Cycles'!$EF$18:$EL$18,1,BO180)=1,'Lease Cycles'!$AJ$18*INDEX('Lease Cycles'!$FO$18:$FU$18,1,BO180)*INDEX('Lease Cycles'!$EM$18:$ES$18,1,BO180)+'Lease Cycles'!$BE$18*IF(BO181&lt;INDEX('Lease Cycles'!$FA$18:$FG$18,1,BO180),0,1-INDEX('Lease Cycles'!$EM$18:$ES$18,1,BO180)),IF(OR(INDEX('Lease Cycles'!$DY$18:$EE$18,1,BO180)=1,BO181&gt;0),1,1-INDEX('Lease Cycles'!$DD$18:$DJ$18,1,BO180))*('Lease Cycles'!$AJ$18*INDEX('Lease Cycles'!$FO$18:$FU$18,1,BO180)+'Lease Cycles'!$BE$18*(1-INDEX('Lease Cycles'!$FO$18:$FU$18,1,BO180)))),0)</f>
        <v>0</v>
      </c>
      <c r="BP190" s="24">
        <f>IF(BP182=1,'Lease Cycles'!$D$18*IF(INDEX('Lease Cycles'!$EF$18:$EL$18,1,BP180)=1,'Lease Cycles'!$AJ$18*INDEX('Lease Cycles'!$FO$18:$FU$18,1,BP180)*INDEX('Lease Cycles'!$EM$18:$ES$18,1,BP180)+'Lease Cycles'!$BE$18*IF(BP181&lt;INDEX('Lease Cycles'!$FA$18:$FG$18,1,BP180),0,1-INDEX('Lease Cycles'!$EM$18:$ES$18,1,BP180)),IF(OR(INDEX('Lease Cycles'!$DY$18:$EE$18,1,BP180)=1,BP181&gt;0),1,1-INDEX('Lease Cycles'!$DD$18:$DJ$18,1,BP180))*('Lease Cycles'!$AJ$18*INDEX('Lease Cycles'!$FO$18:$FU$18,1,BP180)+'Lease Cycles'!$BE$18*(1-INDEX('Lease Cycles'!$FO$18:$FU$18,1,BP180)))),0)</f>
        <v>0</v>
      </c>
      <c r="BQ190" s="24">
        <f>IF(BQ182=1,'Lease Cycles'!$D$18*IF(INDEX('Lease Cycles'!$EF$18:$EL$18,1,BQ180)=1,'Lease Cycles'!$AJ$18*INDEX('Lease Cycles'!$FO$18:$FU$18,1,BQ180)*INDEX('Lease Cycles'!$EM$18:$ES$18,1,BQ180)+'Lease Cycles'!$BE$18*IF(BQ181&lt;INDEX('Lease Cycles'!$FA$18:$FG$18,1,BQ180),0,1-INDEX('Lease Cycles'!$EM$18:$ES$18,1,BQ180)),IF(OR(INDEX('Lease Cycles'!$DY$18:$EE$18,1,BQ180)=1,BQ181&gt;0),1,1-INDEX('Lease Cycles'!$DD$18:$DJ$18,1,BQ180))*('Lease Cycles'!$AJ$18*INDEX('Lease Cycles'!$FO$18:$FU$18,1,BQ180)+'Lease Cycles'!$BE$18*(1-INDEX('Lease Cycles'!$FO$18:$FU$18,1,BQ180)))),0)</f>
        <v>0</v>
      </c>
      <c r="BR190" s="24">
        <f>IF(BR182=1,'Lease Cycles'!$D$18*IF(INDEX('Lease Cycles'!$EF$18:$EL$18,1,BR180)=1,'Lease Cycles'!$AJ$18*INDEX('Lease Cycles'!$FO$18:$FU$18,1,BR180)*INDEX('Lease Cycles'!$EM$18:$ES$18,1,BR180)+'Lease Cycles'!$BE$18*IF(BR181&lt;INDEX('Lease Cycles'!$FA$18:$FG$18,1,BR180),0,1-INDEX('Lease Cycles'!$EM$18:$ES$18,1,BR180)),IF(OR(INDEX('Lease Cycles'!$DY$18:$EE$18,1,BR180)=1,BR181&gt;0),1,1-INDEX('Lease Cycles'!$DD$18:$DJ$18,1,BR180))*('Lease Cycles'!$AJ$18*INDEX('Lease Cycles'!$FO$18:$FU$18,1,BR180)+'Lease Cycles'!$BE$18*(1-INDEX('Lease Cycles'!$FO$18:$FU$18,1,BR180)))),0)</f>
        <v>0</v>
      </c>
      <c r="BS190" s="24">
        <f>IF(BS182=1,'Lease Cycles'!$D$18*IF(INDEX('Lease Cycles'!$EF$18:$EL$18,1,BS180)=1,'Lease Cycles'!$AJ$18*INDEX('Lease Cycles'!$FO$18:$FU$18,1,BS180)*INDEX('Lease Cycles'!$EM$18:$ES$18,1,BS180)+'Lease Cycles'!$BE$18*IF(BS181&lt;INDEX('Lease Cycles'!$FA$18:$FG$18,1,BS180),0,1-INDEX('Lease Cycles'!$EM$18:$ES$18,1,BS180)),IF(OR(INDEX('Lease Cycles'!$DY$18:$EE$18,1,BS180)=1,BS181&gt;0),1,1-INDEX('Lease Cycles'!$DD$18:$DJ$18,1,BS180))*('Lease Cycles'!$AJ$18*INDEX('Lease Cycles'!$FO$18:$FU$18,1,BS180)+'Lease Cycles'!$BE$18*(1-INDEX('Lease Cycles'!$FO$18:$FU$18,1,BS180)))),0)</f>
        <v>0</v>
      </c>
      <c r="BT190" s="24">
        <f>IF(BT182=1,'Lease Cycles'!$D$18*IF(INDEX('Lease Cycles'!$EF$18:$EL$18,1,BT180)=1,'Lease Cycles'!$AJ$18*INDEX('Lease Cycles'!$FO$18:$FU$18,1,BT180)*INDEX('Lease Cycles'!$EM$18:$ES$18,1,BT180)+'Lease Cycles'!$BE$18*IF(BT181&lt;INDEX('Lease Cycles'!$FA$18:$FG$18,1,BT180),0,1-INDEX('Lease Cycles'!$EM$18:$ES$18,1,BT180)),IF(OR(INDEX('Lease Cycles'!$DY$18:$EE$18,1,BT180)=1,BT181&gt;0),1,1-INDEX('Lease Cycles'!$DD$18:$DJ$18,1,BT180))*('Lease Cycles'!$AJ$18*INDEX('Lease Cycles'!$FO$18:$FU$18,1,BT180)+'Lease Cycles'!$BE$18*(1-INDEX('Lease Cycles'!$FO$18:$FU$18,1,BT180)))),0)</f>
        <v>0</v>
      </c>
      <c r="BU190" s="24">
        <f>IF(BU182=1,'Lease Cycles'!$D$18*IF(INDEX('Lease Cycles'!$EF$18:$EL$18,1,BU180)=1,'Lease Cycles'!$AJ$18*INDEX('Lease Cycles'!$FO$18:$FU$18,1,BU180)*INDEX('Lease Cycles'!$EM$18:$ES$18,1,BU180)+'Lease Cycles'!$BE$18*IF(BU181&lt;INDEX('Lease Cycles'!$FA$18:$FG$18,1,BU180),0,1-INDEX('Lease Cycles'!$EM$18:$ES$18,1,BU180)),IF(OR(INDEX('Lease Cycles'!$DY$18:$EE$18,1,BU180)=1,BU181&gt;0),1,1-INDEX('Lease Cycles'!$DD$18:$DJ$18,1,BU180))*('Lease Cycles'!$AJ$18*INDEX('Lease Cycles'!$FO$18:$FU$18,1,BU180)+'Lease Cycles'!$BE$18*(1-INDEX('Lease Cycles'!$FO$18:$FU$18,1,BU180)))),0)</f>
        <v>0</v>
      </c>
      <c r="BV190" s="24">
        <f>IF(BV182=1,'Lease Cycles'!$D$18*IF(INDEX('Lease Cycles'!$EF$18:$EL$18,1,BV180)=1,'Lease Cycles'!$AJ$18*INDEX('Lease Cycles'!$FO$18:$FU$18,1,BV180)*INDEX('Lease Cycles'!$EM$18:$ES$18,1,BV180)+'Lease Cycles'!$BE$18*IF(BV181&lt;INDEX('Lease Cycles'!$FA$18:$FG$18,1,BV180),0,1-INDEX('Lease Cycles'!$EM$18:$ES$18,1,BV180)),IF(OR(INDEX('Lease Cycles'!$DY$18:$EE$18,1,BV180)=1,BV181&gt;0),1,1-INDEX('Lease Cycles'!$DD$18:$DJ$18,1,BV180))*('Lease Cycles'!$AJ$18*INDEX('Lease Cycles'!$FO$18:$FU$18,1,BV180)+'Lease Cycles'!$BE$18*(1-INDEX('Lease Cycles'!$FO$18:$FU$18,1,BV180)))),0)</f>
        <v>0</v>
      </c>
      <c r="BW190" s="24">
        <f>IF(BW182=1,'Lease Cycles'!$D$18*IF(INDEX('Lease Cycles'!$EF$18:$EL$18,1,BW180)=1,'Lease Cycles'!$AJ$18*INDEX('Lease Cycles'!$FO$18:$FU$18,1,BW180)*INDEX('Lease Cycles'!$EM$18:$ES$18,1,BW180)+'Lease Cycles'!$BE$18*IF(BW181&lt;INDEX('Lease Cycles'!$FA$18:$FG$18,1,BW180),0,1-INDEX('Lease Cycles'!$EM$18:$ES$18,1,BW180)),IF(OR(INDEX('Lease Cycles'!$DY$18:$EE$18,1,BW180)=1,BW181&gt;0),1,1-INDEX('Lease Cycles'!$DD$18:$DJ$18,1,BW180))*('Lease Cycles'!$AJ$18*INDEX('Lease Cycles'!$FO$18:$FU$18,1,BW180)+'Lease Cycles'!$BE$18*(1-INDEX('Lease Cycles'!$FO$18:$FU$18,1,BW180)))),0)</f>
        <v>0</v>
      </c>
      <c r="BX190" s="24">
        <f>IF(BX182=1,'Lease Cycles'!$D$18*IF(INDEX('Lease Cycles'!$EF$18:$EL$18,1,BX180)=1,'Lease Cycles'!$AJ$18*INDEX('Lease Cycles'!$FO$18:$FU$18,1,BX180)*INDEX('Lease Cycles'!$EM$18:$ES$18,1,BX180)+'Lease Cycles'!$BE$18*IF(BX181&lt;INDEX('Lease Cycles'!$FA$18:$FG$18,1,BX180),0,1-INDEX('Lease Cycles'!$EM$18:$ES$18,1,BX180)),IF(OR(INDEX('Lease Cycles'!$DY$18:$EE$18,1,BX180)=1,BX181&gt;0),1,1-INDEX('Lease Cycles'!$DD$18:$DJ$18,1,BX180))*('Lease Cycles'!$AJ$18*INDEX('Lease Cycles'!$FO$18:$FU$18,1,BX180)+'Lease Cycles'!$BE$18*(1-INDEX('Lease Cycles'!$FO$18:$FU$18,1,BX180)))),0)</f>
        <v>0</v>
      </c>
      <c r="BY190" s="24">
        <f>IF(BY182=1,'Lease Cycles'!$D$18*IF(INDEX('Lease Cycles'!$EF$18:$EL$18,1,BY180)=1,'Lease Cycles'!$AJ$18*INDEX('Lease Cycles'!$FO$18:$FU$18,1,BY180)*INDEX('Lease Cycles'!$EM$18:$ES$18,1,BY180)+'Lease Cycles'!$BE$18*IF(BY181&lt;INDEX('Lease Cycles'!$FA$18:$FG$18,1,BY180),0,1-INDEX('Lease Cycles'!$EM$18:$ES$18,1,BY180)),IF(OR(INDEX('Lease Cycles'!$DY$18:$EE$18,1,BY180)=1,BY181&gt;0),1,1-INDEX('Lease Cycles'!$DD$18:$DJ$18,1,BY180))*('Lease Cycles'!$AJ$18*INDEX('Lease Cycles'!$FO$18:$FU$18,1,BY180)+'Lease Cycles'!$BE$18*(1-INDEX('Lease Cycles'!$FO$18:$FU$18,1,BY180)))),0)</f>
        <v>0</v>
      </c>
      <c r="BZ190" s="24">
        <f>IF(BZ182=1,'Lease Cycles'!$D$18*IF(INDEX('Lease Cycles'!$EF$18:$EL$18,1,BZ180)=1,'Lease Cycles'!$AJ$18*INDEX('Lease Cycles'!$FO$18:$FU$18,1,BZ180)*INDEX('Lease Cycles'!$EM$18:$ES$18,1,BZ180)+'Lease Cycles'!$BE$18*IF(BZ181&lt;INDEX('Lease Cycles'!$FA$18:$FG$18,1,BZ180),0,1-INDEX('Lease Cycles'!$EM$18:$ES$18,1,BZ180)),IF(OR(INDEX('Lease Cycles'!$DY$18:$EE$18,1,BZ180)=1,BZ181&gt;0),1,1-INDEX('Lease Cycles'!$DD$18:$DJ$18,1,BZ180))*('Lease Cycles'!$AJ$18*INDEX('Lease Cycles'!$FO$18:$FU$18,1,BZ180)+'Lease Cycles'!$BE$18*(1-INDEX('Lease Cycles'!$FO$18:$FU$18,1,BZ180)))),0)</f>
        <v>0</v>
      </c>
      <c r="CA190" s="24">
        <f>IF(CA182=1,'Lease Cycles'!$D$18*IF(INDEX('Lease Cycles'!$EF$18:$EL$18,1,CA180)=1,'Lease Cycles'!$AJ$18*INDEX('Lease Cycles'!$FO$18:$FU$18,1,CA180)*INDEX('Lease Cycles'!$EM$18:$ES$18,1,CA180)+'Lease Cycles'!$BE$18*IF(CA181&lt;INDEX('Lease Cycles'!$FA$18:$FG$18,1,CA180),0,1-INDEX('Lease Cycles'!$EM$18:$ES$18,1,CA180)),IF(OR(INDEX('Lease Cycles'!$DY$18:$EE$18,1,CA180)=1,CA181&gt;0),1,1-INDEX('Lease Cycles'!$DD$18:$DJ$18,1,CA180))*('Lease Cycles'!$AJ$18*INDEX('Lease Cycles'!$FO$18:$FU$18,1,CA180)+'Lease Cycles'!$BE$18*(1-INDEX('Lease Cycles'!$FO$18:$FU$18,1,CA180)))),0)</f>
        <v>0</v>
      </c>
      <c r="CB190" s="24">
        <f>IF(CB182=1,'Lease Cycles'!$D$18*IF(INDEX('Lease Cycles'!$EF$18:$EL$18,1,CB180)=1,'Lease Cycles'!$AJ$18*INDEX('Lease Cycles'!$FO$18:$FU$18,1,CB180)*INDEX('Lease Cycles'!$EM$18:$ES$18,1,CB180)+'Lease Cycles'!$BE$18*IF(CB181&lt;INDEX('Lease Cycles'!$FA$18:$FG$18,1,CB180),0,1-INDEX('Lease Cycles'!$EM$18:$ES$18,1,CB180)),IF(OR(INDEX('Lease Cycles'!$DY$18:$EE$18,1,CB180)=1,CB181&gt;0),1,1-INDEX('Lease Cycles'!$DD$18:$DJ$18,1,CB180))*('Lease Cycles'!$AJ$18*INDEX('Lease Cycles'!$FO$18:$FU$18,1,CB180)+'Lease Cycles'!$BE$18*(1-INDEX('Lease Cycles'!$FO$18:$FU$18,1,CB180)))),0)</f>
        <v>0</v>
      </c>
      <c r="CC190" s="24">
        <f>IF(CC182=1,'Lease Cycles'!$D$18*IF(INDEX('Lease Cycles'!$EF$18:$EL$18,1,CC180)=1,'Lease Cycles'!$AJ$18*INDEX('Lease Cycles'!$FO$18:$FU$18,1,CC180)*INDEX('Lease Cycles'!$EM$18:$ES$18,1,CC180)+'Lease Cycles'!$BE$18*IF(CC181&lt;INDEX('Lease Cycles'!$FA$18:$FG$18,1,CC180),0,1-INDEX('Lease Cycles'!$EM$18:$ES$18,1,CC180)),IF(OR(INDEX('Lease Cycles'!$DY$18:$EE$18,1,CC180)=1,CC181&gt;0),1,1-INDEX('Lease Cycles'!$DD$18:$DJ$18,1,CC180))*('Lease Cycles'!$AJ$18*INDEX('Lease Cycles'!$FO$18:$FU$18,1,CC180)+'Lease Cycles'!$BE$18*(1-INDEX('Lease Cycles'!$FO$18:$FU$18,1,CC180)))),0)</f>
        <v>0</v>
      </c>
      <c r="CD190" s="24">
        <f>IF(CD182=1,'Lease Cycles'!$D$18*IF(INDEX('Lease Cycles'!$EF$18:$EL$18,1,CD180)=1,'Lease Cycles'!$AJ$18*INDEX('Lease Cycles'!$FO$18:$FU$18,1,CD180)*INDEX('Lease Cycles'!$EM$18:$ES$18,1,CD180)+'Lease Cycles'!$BE$18*IF(CD181&lt;INDEX('Lease Cycles'!$FA$18:$FG$18,1,CD180),0,1-INDEX('Lease Cycles'!$EM$18:$ES$18,1,CD180)),IF(OR(INDEX('Lease Cycles'!$DY$18:$EE$18,1,CD180)=1,CD181&gt;0),1,1-INDEX('Lease Cycles'!$DD$18:$DJ$18,1,CD180))*('Lease Cycles'!$AJ$18*INDEX('Lease Cycles'!$FO$18:$FU$18,1,CD180)+'Lease Cycles'!$BE$18*(1-INDEX('Lease Cycles'!$FO$18:$FU$18,1,CD180)))),0)</f>
        <v>0</v>
      </c>
      <c r="CE190" s="24">
        <f>IF(CE182=1,'Lease Cycles'!$D$18*IF(INDEX('Lease Cycles'!$EF$18:$EL$18,1,CE180)=1,'Lease Cycles'!$AJ$18*INDEX('Lease Cycles'!$FO$18:$FU$18,1,CE180)*INDEX('Lease Cycles'!$EM$18:$ES$18,1,CE180)+'Lease Cycles'!$BE$18*IF(CE181&lt;INDEX('Lease Cycles'!$FA$18:$FG$18,1,CE180),0,1-INDEX('Lease Cycles'!$EM$18:$ES$18,1,CE180)),IF(OR(INDEX('Lease Cycles'!$DY$18:$EE$18,1,CE180)=1,CE181&gt;0),1,1-INDEX('Lease Cycles'!$DD$18:$DJ$18,1,CE180))*('Lease Cycles'!$AJ$18*INDEX('Lease Cycles'!$FO$18:$FU$18,1,CE180)+'Lease Cycles'!$BE$18*(1-INDEX('Lease Cycles'!$FO$18:$FU$18,1,CE180)))),0)</f>
        <v>0</v>
      </c>
      <c r="CF190" s="24">
        <f>IF(CF182=1,'Lease Cycles'!$D$18*IF(INDEX('Lease Cycles'!$EF$18:$EL$18,1,CF180)=1,'Lease Cycles'!$AJ$18*INDEX('Lease Cycles'!$FO$18:$FU$18,1,CF180)*INDEX('Lease Cycles'!$EM$18:$ES$18,1,CF180)+'Lease Cycles'!$BE$18*IF(CF181&lt;INDEX('Lease Cycles'!$FA$18:$FG$18,1,CF180),0,1-INDEX('Lease Cycles'!$EM$18:$ES$18,1,CF180)),IF(OR(INDEX('Lease Cycles'!$DY$18:$EE$18,1,CF180)=1,CF181&gt;0),1,1-INDEX('Lease Cycles'!$DD$18:$DJ$18,1,CF180))*('Lease Cycles'!$AJ$18*INDEX('Lease Cycles'!$FO$18:$FU$18,1,CF180)+'Lease Cycles'!$BE$18*(1-INDEX('Lease Cycles'!$FO$18:$FU$18,1,CF180)))),0)</f>
        <v>0</v>
      </c>
      <c r="CG190" s="24">
        <f>IF(CG182=1,'Lease Cycles'!$D$18*IF(INDEX('Lease Cycles'!$EF$18:$EL$18,1,CG180)=1,'Lease Cycles'!$AJ$18*INDEX('Lease Cycles'!$FO$18:$FU$18,1,CG180)*INDEX('Lease Cycles'!$EM$18:$ES$18,1,CG180)+'Lease Cycles'!$BE$18*IF(CG181&lt;INDEX('Lease Cycles'!$FA$18:$FG$18,1,CG180),0,1-INDEX('Lease Cycles'!$EM$18:$ES$18,1,CG180)),IF(OR(INDEX('Lease Cycles'!$DY$18:$EE$18,1,CG180)=1,CG181&gt;0),1,1-INDEX('Lease Cycles'!$DD$18:$DJ$18,1,CG180))*('Lease Cycles'!$AJ$18*INDEX('Lease Cycles'!$FO$18:$FU$18,1,CG180)+'Lease Cycles'!$BE$18*(1-INDEX('Lease Cycles'!$FO$18:$FU$18,1,CG180)))),0)</f>
        <v>0</v>
      </c>
      <c r="CH190" s="24">
        <f>IF(CH182=1,'Lease Cycles'!$D$18*IF(INDEX('Lease Cycles'!$EF$18:$EL$18,1,CH180)=1,'Lease Cycles'!$AJ$18*INDEX('Lease Cycles'!$FO$18:$FU$18,1,CH180)*INDEX('Lease Cycles'!$EM$18:$ES$18,1,CH180)+'Lease Cycles'!$BE$18*IF(CH181&lt;INDEX('Lease Cycles'!$FA$18:$FG$18,1,CH180),0,1-INDEX('Lease Cycles'!$EM$18:$ES$18,1,CH180)),IF(OR(INDEX('Lease Cycles'!$DY$18:$EE$18,1,CH180)=1,CH181&gt;0),1,1-INDEX('Lease Cycles'!$DD$18:$DJ$18,1,CH180))*('Lease Cycles'!$AJ$18*INDEX('Lease Cycles'!$FO$18:$FU$18,1,CH180)+'Lease Cycles'!$BE$18*(1-INDEX('Lease Cycles'!$FO$18:$FU$18,1,CH180)))),0)</f>
        <v>0</v>
      </c>
      <c r="CI190" s="24">
        <f>IF(CI182=1,'Lease Cycles'!$D$18*IF(INDEX('Lease Cycles'!$EF$18:$EL$18,1,CI180)=1,'Lease Cycles'!$AJ$18*INDEX('Lease Cycles'!$FO$18:$FU$18,1,CI180)*INDEX('Lease Cycles'!$EM$18:$ES$18,1,CI180)+'Lease Cycles'!$BE$18*IF(CI181&lt;INDEX('Lease Cycles'!$FA$18:$FG$18,1,CI180),0,1-INDEX('Lease Cycles'!$EM$18:$ES$18,1,CI180)),IF(OR(INDEX('Lease Cycles'!$DY$18:$EE$18,1,CI180)=1,CI181&gt;0),1,1-INDEX('Lease Cycles'!$DD$18:$DJ$18,1,CI180))*('Lease Cycles'!$AJ$18*INDEX('Lease Cycles'!$FO$18:$FU$18,1,CI180)+'Lease Cycles'!$BE$18*(1-INDEX('Lease Cycles'!$FO$18:$FU$18,1,CI180)))),0)</f>
        <v>0</v>
      </c>
      <c r="CJ190" s="24">
        <f>IF(CJ182=1,'Lease Cycles'!$D$18*IF(INDEX('Lease Cycles'!$EF$18:$EL$18,1,CJ180)=1,'Lease Cycles'!$AJ$18*INDEX('Lease Cycles'!$FO$18:$FU$18,1,CJ180)*INDEX('Lease Cycles'!$EM$18:$ES$18,1,CJ180)+'Lease Cycles'!$BE$18*IF(CJ181&lt;INDEX('Lease Cycles'!$FA$18:$FG$18,1,CJ180),0,1-INDEX('Lease Cycles'!$EM$18:$ES$18,1,CJ180)),IF(OR(INDEX('Lease Cycles'!$DY$18:$EE$18,1,CJ180)=1,CJ181&gt;0),1,1-INDEX('Lease Cycles'!$DD$18:$DJ$18,1,CJ180))*('Lease Cycles'!$AJ$18*INDEX('Lease Cycles'!$FO$18:$FU$18,1,CJ180)+'Lease Cycles'!$BE$18*(1-INDEX('Lease Cycles'!$FO$18:$FU$18,1,CJ180)))),0)</f>
        <v>0</v>
      </c>
      <c r="CK190" s="24">
        <f>IF(CK182=1,'Lease Cycles'!$D$18*IF(INDEX('Lease Cycles'!$EF$18:$EL$18,1,CK180)=1,'Lease Cycles'!$AJ$18*INDEX('Lease Cycles'!$FO$18:$FU$18,1,CK180)*INDEX('Lease Cycles'!$EM$18:$ES$18,1,CK180)+'Lease Cycles'!$BE$18*IF(CK181&lt;INDEX('Lease Cycles'!$FA$18:$FG$18,1,CK180),0,1-INDEX('Lease Cycles'!$EM$18:$ES$18,1,CK180)),IF(OR(INDEX('Lease Cycles'!$DY$18:$EE$18,1,CK180)=1,CK181&gt;0),1,1-INDEX('Lease Cycles'!$DD$18:$DJ$18,1,CK180))*('Lease Cycles'!$AJ$18*INDEX('Lease Cycles'!$FO$18:$FU$18,1,CK180)+'Lease Cycles'!$BE$18*(1-INDEX('Lease Cycles'!$FO$18:$FU$18,1,CK180)))),0)</f>
        <v>0</v>
      </c>
      <c r="CL190" s="24">
        <f>IF(CL182=1,'Lease Cycles'!$D$18*IF(INDEX('Lease Cycles'!$EF$18:$EL$18,1,CL180)=1,'Lease Cycles'!$AJ$18*INDEX('Lease Cycles'!$FO$18:$FU$18,1,CL180)*INDEX('Lease Cycles'!$EM$18:$ES$18,1,CL180)+'Lease Cycles'!$BE$18*IF(CL181&lt;INDEX('Lease Cycles'!$FA$18:$FG$18,1,CL180),0,1-INDEX('Lease Cycles'!$EM$18:$ES$18,1,CL180)),IF(OR(INDEX('Lease Cycles'!$DY$18:$EE$18,1,CL180)=1,CL181&gt;0),1,1-INDEX('Lease Cycles'!$DD$18:$DJ$18,1,CL180))*('Lease Cycles'!$AJ$18*INDEX('Lease Cycles'!$FO$18:$FU$18,1,CL180)+'Lease Cycles'!$BE$18*(1-INDEX('Lease Cycles'!$FO$18:$FU$18,1,CL180)))),0)</f>
        <v>0</v>
      </c>
      <c r="CM190" s="24">
        <f>IF(CM182=1,'Lease Cycles'!$D$18*IF(INDEX('Lease Cycles'!$EF$18:$EL$18,1,CM180)=1,'Lease Cycles'!$AJ$18*INDEX('Lease Cycles'!$FO$18:$FU$18,1,CM180)*INDEX('Lease Cycles'!$EM$18:$ES$18,1,CM180)+'Lease Cycles'!$BE$18*IF(CM181&lt;INDEX('Lease Cycles'!$FA$18:$FG$18,1,CM180),0,1-INDEX('Lease Cycles'!$EM$18:$ES$18,1,CM180)),IF(OR(INDEX('Lease Cycles'!$DY$18:$EE$18,1,CM180)=1,CM181&gt;0),1,1-INDEX('Lease Cycles'!$DD$18:$DJ$18,1,CM180))*('Lease Cycles'!$AJ$18*INDEX('Lease Cycles'!$FO$18:$FU$18,1,CM180)+'Lease Cycles'!$BE$18*(1-INDEX('Lease Cycles'!$FO$18:$FU$18,1,CM180)))),0)</f>
        <v>0</v>
      </c>
      <c r="CN190" s="24">
        <f>IF(CN182=1,'Lease Cycles'!$D$18*IF(INDEX('Lease Cycles'!$EF$18:$EL$18,1,CN180)=1,'Lease Cycles'!$AJ$18*INDEX('Lease Cycles'!$FO$18:$FU$18,1,CN180)*INDEX('Lease Cycles'!$EM$18:$ES$18,1,CN180)+'Lease Cycles'!$BE$18*IF(CN181&lt;INDEX('Lease Cycles'!$FA$18:$FG$18,1,CN180),0,1-INDEX('Lease Cycles'!$EM$18:$ES$18,1,CN180)),IF(OR(INDEX('Lease Cycles'!$DY$18:$EE$18,1,CN180)=1,CN181&gt;0),1,1-INDEX('Lease Cycles'!$DD$18:$DJ$18,1,CN180))*('Lease Cycles'!$AJ$18*INDEX('Lease Cycles'!$FO$18:$FU$18,1,CN180)+'Lease Cycles'!$BE$18*(1-INDEX('Lease Cycles'!$FO$18:$FU$18,1,CN180)))),0)</f>
        <v>0</v>
      </c>
      <c r="CO190" s="24">
        <f>IF(CO182=1,'Lease Cycles'!$D$18*IF(INDEX('Lease Cycles'!$EF$18:$EL$18,1,CO180)=1,'Lease Cycles'!$AJ$18*INDEX('Lease Cycles'!$FO$18:$FU$18,1,CO180)*INDEX('Lease Cycles'!$EM$18:$ES$18,1,CO180)+'Lease Cycles'!$BE$18*IF(CO181&lt;INDEX('Lease Cycles'!$FA$18:$FG$18,1,CO180),0,1-INDEX('Lease Cycles'!$EM$18:$ES$18,1,CO180)),IF(OR(INDEX('Lease Cycles'!$DY$18:$EE$18,1,CO180)=1,CO181&gt;0),1,1-INDEX('Lease Cycles'!$DD$18:$DJ$18,1,CO180))*('Lease Cycles'!$AJ$18*INDEX('Lease Cycles'!$FO$18:$FU$18,1,CO180)+'Lease Cycles'!$BE$18*(1-INDEX('Lease Cycles'!$FO$18:$FU$18,1,CO180)))),0)</f>
        <v>0</v>
      </c>
      <c r="CP190" s="24">
        <f>IF(CP182=1,'Lease Cycles'!$D$18*IF(INDEX('Lease Cycles'!$EF$18:$EL$18,1,CP180)=1,'Lease Cycles'!$AJ$18*INDEX('Lease Cycles'!$FO$18:$FU$18,1,CP180)*INDEX('Lease Cycles'!$EM$18:$ES$18,1,CP180)+'Lease Cycles'!$BE$18*IF(CP181&lt;INDEX('Lease Cycles'!$FA$18:$FG$18,1,CP180),0,1-INDEX('Lease Cycles'!$EM$18:$ES$18,1,CP180)),IF(OR(INDEX('Lease Cycles'!$DY$18:$EE$18,1,CP180)=1,CP181&gt;0),1,1-INDEX('Lease Cycles'!$DD$18:$DJ$18,1,CP180))*('Lease Cycles'!$AJ$18*INDEX('Lease Cycles'!$FO$18:$FU$18,1,CP180)+'Lease Cycles'!$BE$18*(1-INDEX('Lease Cycles'!$FO$18:$FU$18,1,CP180)))),0)</f>
        <v>0</v>
      </c>
      <c r="CQ190" s="24">
        <f>IF(CQ182=1,'Lease Cycles'!$D$18*IF(INDEX('Lease Cycles'!$EF$18:$EL$18,1,CQ180)=1,'Lease Cycles'!$AJ$18*INDEX('Lease Cycles'!$FO$18:$FU$18,1,CQ180)*INDEX('Lease Cycles'!$EM$18:$ES$18,1,CQ180)+'Lease Cycles'!$BE$18*IF(CQ181&lt;INDEX('Lease Cycles'!$FA$18:$FG$18,1,CQ180),0,1-INDEX('Lease Cycles'!$EM$18:$ES$18,1,CQ180)),IF(OR(INDEX('Lease Cycles'!$DY$18:$EE$18,1,CQ180)=1,CQ181&gt;0),1,1-INDEX('Lease Cycles'!$DD$18:$DJ$18,1,CQ180))*('Lease Cycles'!$AJ$18*INDEX('Lease Cycles'!$FO$18:$FU$18,1,CQ180)+'Lease Cycles'!$BE$18*(1-INDEX('Lease Cycles'!$FO$18:$FU$18,1,CQ180)))),0)</f>
        <v>0</v>
      </c>
      <c r="CR190" s="24">
        <f>IF(CR182=1,'Lease Cycles'!$D$18*IF(INDEX('Lease Cycles'!$EF$18:$EL$18,1,CR180)=1,'Lease Cycles'!$AJ$18*INDEX('Lease Cycles'!$FO$18:$FU$18,1,CR180)*INDEX('Lease Cycles'!$EM$18:$ES$18,1,CR180)+'Lease Cycles'!$BE$18*IF(CR181&lt;INDEX('Lease Cycles'!$FA$18:$FG$18,1,CR180),0,1-INDEX('Lease Cycles'!$EM$18:$ES$18,1,CR180)),IF(OR(INDEX('Lease Cycles'!$DY$18:$EE$18,1,CR180)=1,CR181&gt;0),1,1-INDEX('Lease Cycles'!$DD$18:$DJ$18,1,CR180))*('Lease Cycles'!$AJ$18*INDEX('Lease Cycles'!$FO$18:$FU$18,1,CR180)+'Lease Cycles'!$BE$18*(1-INDEX('Lease Cycles'!$FO$18:$FU$18,1,CR180)))),0)</f>
        <v>0</v>
      </c>
      <c r="CS190" s="24">
        <f>IF(CS182=1,'Lease Cycles'!$D$18*IF(INDEX('Lease Cycles'!$EF$18:$EL$18,1,CS180)=1,'Lease Cycles'!$AJ$18*INDEX('Lease Cycles'!$FO$18:$FU$18,1,CS180)*INDEX('Lease Cycles'!$EM$18:$ES$18,1,CS180)+'Lease Cycles'!$BE$18*IF(CS181&lt;INDEX('Lease Cycles'!$FA$18:$FG$18,1,CS180),0,1-INDEX('Lease Cycles'!$EM$18:$ES$18,1,CS180)),IF(OR(INDEX('Lease Cycles'!$DY$18:$EE$18,1,CS180)=1,CS181&gt;0),1,1-INDEX('Lease Cycles'!$DD$18:$DJ$18,1,CS180))*('Lease Cycles'!$AJ$18*INDEX('Lease Cycles'!$FO$18:$FU$18,1,CS180)+'Lease Cycles'!$BE$18*(1-INDEX('Lease Cycles'!$FO$18:$FU$18,1,CS180)))),0)</f>
        <v>0</v>
      </c>
      <c r="CT190" s="24">
        <f>IF(CT182=1,'Lease Cycles'!$D$18*IF(INDEX('Lease Cycles'!$EF$18:$EL$18,1,CT180)=1,'Lease Cycles'!$AJ$18*INDEX('Lease Cycles'!$FO$18:$FU$18,1,CT180)*INDEX('Lease Cycles'!$EM$18:$ES$18,1,CT180)+'Lease Cycles'!$BE$18*IF(CT181&lt;INDEX('Lease Cycles'!$FA$18:$FG$18,1,CT180),0,1-INDEX('Lease Cycles'!$EM$18:$ES$18,1,CT180)),IF(OR(INDEX('Lease Cycles'!$DY$18:$EE$18,1,CT180)=1,CT181&gt;0),1,1-INDEX('Lease Cycles'!$DD$18:$DJ$18,1,CT180))*('Lease Cycles'!$AJ$18*INDEX('Lease Cycles'!$FO$18:$FU$18,1,CT180)+'Lease Cycles'!$BE$18*(1-INDEX('Lease Cycles'!$FO$18:$FU$18,1,CT180)))),0)</f>
        <v>0</v>
      </c>
      <c r="CU190" s="24">
        <f>IF(CU182=1,'Lease Cycles'!$D$18*IF(INDEX('Lease Cycles'!$EF$18:$EL$18,1,CU180)=1,'Lease Cycles'!$AJ$18*INDEX('Lease Cycles'!$FO$18:$FU$18,1,CU180)*INDEX('Lease Cycles'!$EM$18:$ES$18,1,CU180)+'Lease Cycles'!$BE$18*IF(CU181&lt;INDEX('Lease Cycles'!$FA$18:$FG$18,1,CU180),0,1-INDEX('Lease Cycles'!$EM$18:$ES$18,1,CU180)),IF(OR(INDEX('Lease Cycles'!$DY$18:$EE$18,1,CU180)=1,CU181&gt;0),1,1-INDEX('Lease Cycles'!$DD$18:$DJ$18,1,CU180))*('Lease Cycles'!$AJ$18*INDEX('Lease Cycles'!$FO$18:$FU$18,1,CU180)+'Lease Cycles'!$BE$18*(1-INDEX('Lease Cycles'!$FO$18:$FU$18,1,CU180)))),0)</f>
        <v>0</v>
      </c>
      <c r="CV190" s="24">
        <f>IF(CV182=1,'Lease Cycles'!$D$18*IF(INDEX('Lease Cycles'!$EF$18:$EL$18,1,CV180)=1,'Lease Cycles'!$AJ$18*INDEX('Lease Cycles'!$FO$18:$FU$18,1,CV180)*INDEX('Lease Cycles'!$EM$18:$ES$18,1,CV180)+'Lease Cycles'!$BE$18*IF(CV181&lt;INDEX('Lease Cycles'!$FA$18:$FG$18,1,CV180),0,1-INDEX('Lease Cycles'!$EM$18:$ES$18,1,CV180)),IF(OR(INDEX('Lease Cycles'!$DY$18:$EE$18,1,CV180)=1,CV181&gt;0),1,1-INDEX('Lease Cycles'!$DD$18:$DJ$18,1,CV180))*('Lease Cycles'!$AJ$18*INDEX('Lease Cycles'!$FO$18:$FU$18,1,CV180)+'Lease Cycles'!$BE$18*(1-INDEX('Lease Cycles'!$FO$18:$FU$18,1,CV180)))),0)</f>
        <v>0</v>
      </c>
      <c r="CW190" s="24">
        <f>IF(CW182=1,'Lease Cycles'!$D$18*IF(INDEX('Lease Cycles'!$EF$18:$EL$18,1,CW180)=1,'Lease Cycles'!$AJ$18*INDEX('Lease Cycles'!$FO$18:$FU$18,1,CW180)*INDEX('Lease Cycles'!$EM$18:$ES$18,1,CW180)+'Lease Cycles'!$BE$18*IF(CW181&lt;INDEX('Lease Cycles'!$FA$18:$FG$18,1,CW180),0,1-INDEX('Lease Cycles'!$EM$18:$ES$18,1,CW180)),IF(OR(INDEX('Lease Cycles'!$DY$18:$EE$18,1,CW180)=1,CW181&gt;0),1,1-INDEX('Lease Cycles'!$DD$18:$DJ$18,1,CW180))*('Lease Cycles'!$AJ$18*INDEX('Lease Cycles'!$FO$18:$FU$18,1,CW180)+'Lease Cycles'!$BE$18*(1-INDEX('Lease Cycles'!$FO$18:$FU$18,1,CW180)))),0)</f>
        <v>0</v>
      </c>
      <c r="CX190" s="24">
        <f>IF(CX182=1,'Lease Cycles'!$D$18*IF(INDEX('Lease Cycles'!$EF$18:$EL$18,1,CX180)=1,'Lease Cycles'!$AJ$18*INDEX('Lease Cycles'!$FO$18:$FU$18,1,CX180)*INDEX('Lease Cycles'!$EM$18:$ES$18,1,CX180)+'Lease Cycles'!$BE$18*IF(CX181&lt;INDEX('Lease Cycles'!$FA$18:$FG$18,1,CX180),0,1-INDEX('Lease Cycles'!$EM$18:$ES$18,1,CX180)),IF(OR(INDEX('Lease Cycles'!$DY$18:$EE$18,1,CX180)=1,CX181&gt;0),1,1-INDEX('Lease Cycles'!$DD$18:$DJ$18,1,CX180))*('Lease Cycles'!$AJ$18*INDEX('Lease Cycles'!$FO$18:$FU$18,1,CX180)+'Lease Cycles'!$BE$18*(1-INDEX('Lease Cycles'!$FO$18:$FU$18,1,CX180)))),0)</f>
        <v>0</v>
      </c>
      <c r="CY190" s="24">
        <f>IF(CY182=1,'Lease Cycles'!$D$18*IF(INDEX('Lease Cycles'!$EF$18:$EL$18,1,CY180)=1,'Lease Cycles'!$AJ$18*INDEX('Lease Cycles'!$FO$18:$FU$18,1,CY180)*INDEX('Lease Cycles'!$EM$18:$ES$18,1,CY180)+'Lease Cycles'!$BE$18*IF(CY181&lt;INDEX('Lease Cycles'!$FA$18:$FG$18,1,CY180),0,1-INDEX('Lease Cycles'!$EM$18:$ES$18,1,CY180)),IF(OR(INDEX('Lease Cycles'!$DY$18:$EE$18,1,CY180)=1,CY181&gt;0),1,1-INDEX('Lease Cycles'!$DD$18:$DJ$18,1,CY180))*('Lease Cycles'!$AJ$18*INDEX('Lease Cycles'!$FO$18:$FU$18,1,CY180)+'Lease Cycles'!$BE$18*(1-INDEX('Lease Cycles'!$FO$18:$FU$18,1,CY180)))),0)</f>
        <v>0</v>
      </c>
      <c r="CZ190" s="24">
        <f>IF(CZ182=1,'Lease Cycles'!$D$18*IF(INDEX('Lease Cycles'!$EF$18:$EL$18,1,CZ180)=1,'Lease Cycles'!$AJ$18*INDEX('Lease Cycles'!$FO$18:$FU$18,1,CZ180)*INDEX('Lease Cycles'!$EM$18:$ES$18,1,CZ180)+'Lease Cycles'!$BE$18*IF(CZ181&lt;INDEX('Lease Cycles'!$FA$18:$FG$18,1,CZ180),0,1-INDEX('Lease Cycles'!$EM$18:$ES$18,1,CZ180)),IF(OR(INDEX('Lease Cycles'!$DY$18:$EE$18,1,CZ180)=1,CZ181&gt;0),1,1-INDEX('Lease Cycles'!$DD$18:$DJ$18,1,CZ180))*('Lease Cycles'!$AJ$18*INDEX('Lease Cycles'!$FO$18:$FU$18,1,CZ180)+'Lease Cycles'!$BE$18*(1-INDEX('Lease Cycles'!$FO$18:$FU$18,1,CZ180)))),0)</f>
        <v>0</v>
      </c>
      <c r="DA190" s="24">
        <f>IF(DA182=1,'Lease Cycles'!$D$18*IF(INDEX('Lease Cycles'!$EF$18:$EL$18,1,DA180)=1,'Lease Cycles'!$AJ$18*INDEX('Lease Cycles'!$FO$18:$FU$18,1,DA180)*INDEX('Lease Cycles'!$EM$18:$ES$18,1,DA180)+'Lease Cycles'!$BE$18*IF(DA181&lt;INDEX('Lease Cycles'!$FA$18:$FG$18,1,DA180),0,1-INDEX('Lease Cycles'!$EM$18:$ES$18,1,DA180)),IF(OR(INDEX('Lease Cycles'!$DY$18:$EE$18,1,DA180)=1,DA181&gt;0),1,1-INDEX('Lease Cycles'!$DD$18:$DJ$18,1,DA180))*('Lease Cycles'!$AJ$18*INDEX('Lease Cycles'!$FO$18:$FU$18,1,DA180)+'Lease Cycles'!$BE$18*(1-INDEX('Lease Cycles'!$FO$18:$FU$18,1,DA180)))),0)</f>
        <v>0</v>
      </c>
      <c r="DB190" s="24">
        <f>IF(DB182=1,'Lease Cycles'!$D$18*IF(INDEX('Lease Cycles'!$EF$18:$EL$18,1,DB180)=1,'Lease Cycles'!$AJ$18*INDEX('Lease Cycles'!$FO$18:$FU$18,1,DB180)*INDEX('Lease Cycles'!$EM$18:$ES$18,1,DB180)+'Lease Cycles'!$BE$18*IF(DB181&lt;INDEX('Lease Cycles'!$FA$18:$FG$18,1,DB180),0,1-INDEX('Lease Cycles'!$EM$18:$ES$18,1,DB180)),IF(OR(INDEX('Lease Cycles'!$DY$18:$EE$18,1,DB180)=1,DB181&gt;0),1,1-INDEX('Lease Cycles'!$DD$18:$DJ$18,1,DB180))*('Lease Cycles'!$AJ$18*INDEX('Lease Cycles'!$FO$18:$FU$18,1,DB180)+'Lease Cycles'!$BE$18*(1-INDEX('Lease Cycles'!$FO$18:$FU$18,1,DB180)))),0)</f>
        <v>0</v>
      </c>
      <c r="DC190" s="24">
        <f>IF(DC182=1,'Lease Cycles'!$D$18*IF(INDEX('Lease Cycles'!$EF$18:$EL$18,1,DC180)=1,'Lease Cycles'!$AJ$18*INDEX('Lease Cycles'!$FO$18:$FU$18,1,DC180)*INDEX('Lease Cycles'!$EM$18:$ES$18,1,DC180)+'Lease Cycles'!$BE$18*IF(DC181&lt;INDEX('Lease Cycles'!$FA$18:$FG$18,1,DC180),0,1-INDEX('Lease Cycles'!$EM$18:$ES$18,1,DC180)),IF(OR(INDEX('Lease Cycles'!$DY$18:$EE$18,1,DC180)=1,DC181&gt;0),1,1-INDEX('Lease Cycles'!$DD$18:$DJ$18,1,DC180))*('Lease Cycles'!$AJ$18*INDEX('Lease Cycles'!$FO$18:$FU$18,1,DC180)+'Lease Cycles'!$BE$18*(1-INDEX('Lease Cycles'!$FO$18:$FU$18,1,DC180)))),0)</f>
        <v>0</v>
      </c>
      <c r="DD190" s="24">
        <f>IF(DD182=1,'Lease Cycles'!$D$18*IF(INDEX('Lease Cycles'!$EF$18:$EL$18,1,DD180)=1,'Lease Cycles'!$AJ$18*INDEX('Lease Cycles'!$FO$18:$FU$18,1,DD180)*INDEX('Lease Cycles'!$EM$18:$ES$18,1,DD180)+'Lease Cycles'!$BE$18*IF(DD181&lt;INDEX('Lease Cycles'!$FA$18:$FG$18,1,DD180),0,1-INDEX('Lease Cycles'!$EM$18:$ES$18,1,DD180)),IF(OR(INDEX('Lease Cycles'!$DY$18:$EE$18,1,DD180)=1,DD181&gt;0),1,1-INDEX('Lease Cycles'!$DD$18:$DJ$18,1,DD180))*('Lease Cycles'!$AJ$18*INDEX('Lease Cycles'!$FO$18:$FU$18,1,DD180)+'Lease Cycles'!$BE$18*(1-INDEX('Lease Cycles'!$FO$18:$FU$18,1,DD180)))),0)</f>
        <v>0</v>
      </c>
      <c r="DE190" s="24">
        <f>IF(DE182=1,'Lease Cycles'!$D$18*IF(INDEX('Lease Cycles'!$EF$18:$EL$18,1,DE180)=1,'Lease Cycles'!$AJ$18*INDEX('Lease Cycles'!$FO$18:$FU$18,1,DE180)*INDEX('Lease Cycles'!$EM$18:$ES$18,1,DE180)+'Lease Cycles'!$BE$18*IF(DE181&lt;INDEX('Lease Cycles'!$FA$18:$FG$18,1,DE180),0,1-INDEX('Lease Cycles'!$EM$18:$ES$18,1,DE180)),IF(OR(INDEX('Lease Cycles'!$DY$18:$EE$18,1,DE180)=1,DE181&gt;0),1,1-INDEX('Lease Cycles'!$DD$18:$DJ$18,1,DE180))*('Lease Cycles'!$AJ$18*INDEX('Lease Cycles'!$FO$18:$FU$18,1,DE180)+'Lease Cycles'!$BE$18*(1-INDEX('Lease Cycles'!$FO$18:$FU$18,1,DE180)))),0)</f>
        <v>0</v>
      </c>
      <c r="DF190" s="24">
        <f>IF(DF182=1,'Lease Cycles'!$D$18*IF(INDEX('Lease Cycles'!$EF$18:$EL$18,1,DF180)=1,'Lease Cycles'!$AJ$18*INDEX('Lease Cycles'!$FO$18:$FU$18,1,DF180)*INDEX('Lease Cycles'!$EM$18:$ES$18,1,DF180)+'Lease Cycles'!$BE$18*IF(DF181&lt;INDEX('Lease Cycles'!$FA$18:$FG$18,1,DF180),0,1-INDEX('Lease Cycles'!$EM$18:$ES$18,1,DF180)),IF(OR(INDEX('Lease Cycles'!$DY$18:$EE$18,1,DF180)=1,DF181&gt;0),1,1-INDEX('Lease Cycles'!$DD$18:$DJ$18,1,DF180))*('Lease Cycles'!$AJ$18*INDEX('Lease Cycles'!$FO$18:$FU$18,1,DF180)+'Lease Cycles'!$BE$18*(1-INDEX('Lease Cycles'!$FO$18:$FU$18,1,DF180)))),0)</f>
        <v>0</v>
      </c>
      <c r="DG190" s="24">
        <f>IF(DG182=1,'Lease Cycles'!$D$18*IF(INDEX('Lease Cycles'!$EF$18:$EL$18,1,DG180)=1,'Lease Cycles'!$AJ$18*INDEX('Lease Cycles'!$FO$18:$FU$18,1,DG180)*INDEX('Lease Cycles'!$EM$18:$ES$18,1,DG180)+'Lease Cycles'!$BE$18*IF(DG181&lt;INDEX('Lease Cycles'!$FA$18:$FG$18,1,DG180),0,1-INDEX('Lease Cycles'!$EM$18:$ES$18,1,DG180)),IF(OR(INDEX('Lease Cycles'!$DY$18:$EE$18,1,DG180)=1,DG181&gt;0),1,1-INDEX('Lease Cycles'!$DD$18:$DJ$18,1,DG180))*('Lease Cycles'!$AJ$18*INDEX('Lease Cycles'!$FO$18:$FU$18,1,DG180)+'Lease Cycles'!$BE$18*(1-INDEX('Lease Cycles'!$FO$18:$FU$18,1,DG180)))),0)</f>
        <v>0</v>
      </c>
      <c r="DH190" s="24">
        <f>IF(DH182=1,'Lease Cycles'!$D$18*IF(INDEX('Lease Cycles'!$EF$18:$EL$18,1,DH180)=1,'Lease Cycles'!$AJ$18*INDEX('Lease Cycles'!$FO$18:$FU$18,1,DH180)*INDEX('Lease Cycles'!$EM$18:$ES$18,1,DH180)+'Lease Cycles'!$BE$18*IF(DH181&lt;INDEX('Lease Cycles'!$FA$18:$FG$18,1,DH180),0,1-INDEX('Lease Cycles'!$EM$18:$ES$18,1,DH180)),IF(OR(INDEX('Lease Cycles'!$DY$18:$EE$18,1,DH180)=1,DH181&gt;0),1,1-INDEX('Lease Cycles'!$DD$18:$DJ$18,1,DH180))*('Lease Cycles'!$AJ$18*INDEX('Lease Cycles'!$FO$18:$FU$18,1,DH180)+'Lease Cycles'!$BE$18*(1-INDEX('Lease Cycles'!$FO$18:$FU$18,1,DH180)))),0)</f>
        <v>0</v>
      </c>
      <c r="DI190" s="24">
        <f>IF(DI182=1,'Lease Cycles'!$D$18*IF(INDEX('Lease Cycles'!$EF$18:$EL$18,1,DI180)=1,'Lease Cycles'!$AJ$18*INDEX('Lease Cycles'!$FO$18:$FU$18,1,DI180)*INDEX('Lease Cycles'!$EM$18:$ES$18,1,DI180)+'Lease Cycles'!$BE$18*IF(DI181&lt;INDEX('Lease Cycles'!$FA$18:$FG$18,1,DI180),0,1-INDEX('Lease Cycles'!$EM$18:$ES$18,1,DI180)),IF(OR(INDEX('Lease Cycles'!$DY$18:$EE$18,1,DI180)=1,DI181&gt;0),1,1-INDEX('Lease Cycles'!$DD$18:$DJ$18,1,DI180))*('Lease Cycles'!$AJ$18*INDEX('Lease Cycles'!$FO$18:$FU$18,1,DI180)+'Lease Cycles'!$BE$18*(1-INDEX('Lease Cycles'!$FO$18:$FU$18,1,DI180)))),0)</f>
        <v>0</v>
      </c>
      <c r="DJ190" s="24">
        <f>IF(DJ182=1,'Lease Cycles'!$D$18*IF(INDEX('Lease Cycles'!$EF$18:$EL$18,1,DJ180)=1,'Lease Cycles'!$AJ$18*INDEX('Lease Cycles'!$FO$18:$FU$18,1,DJ180)*INDEX('Lease Cycles'!$EM$18:$ES$18,1,DJ180)+'Lease Cycles'!$BE$18*IF(DJ181&lt;INDEX('Lease Cycles'!$FA$18:$FG$18,1,DJ180),0,1-INDEX('Lease Cycles'!$EM$18:$ES$18,1,DJ180)),IF(OR(INDEX('Lease Cycles'!$DY$18:$EE$18,1,DJ180)=1,DJ181&gt;0),1,1-INDEX('Lease Cycles'!$DD$18:$DJ$18,1,DJ180))*('Lease Cycles'!$AJ$18*INDEX('Lease Cycles'!$FO$18:$FU$18,1,DJ180)+'Lease Cycles'!$BE$18*(1-INDEX('Lease Cycles'!$FO$18:$FU$18,1,DJ180)))),0)</f>
        <v>0</v>
      </c>
      <c r="DK190" s="24">
        <f>IF(DK182=1,'Lease Cycles'!$D$18*IF(INDEX('Lease Cycles'!$EF$18:$EL$18,1,DK180)=1,'Lease Cycles'!$AJ$18*INDEX('Lease Cycles'!$FO$18:$FU$18,1,DK180)*INDEX('Lease Cycles'!$EM$18:$ES$18,1,DK180)+'Lease Cycles'!$BE$18*IF(DK181&lt;INDEX('Lease Cycles'!$FA$18:$FG$18,1,DK180),0,1-INDEX('Lease Cycles'!$EM$18:$ES$18,1,DK180)),IF(OR(INDEX('Lease Cycles'!$DY$18:$EE$18,1,DK180)=1,DK181&gt;0),1,1-INDEX('Lease Cycles'!$DD$18:$DJ$18,1,DK180))*('Lease Cycles'!$AJ$18*INDEX('Lease Cycles'!$FO$18:$FU$18,1,DK180)+'Lease Cycles'!$BE$18*(1-INDEX('Lease Cycles'!$FO$18:$FU$18,1,DK180)))),0)</f>
        <v>0</v>
      </c>
      <c r="DL190" s="24">
        <f>IF(DL182=1,'Lease Cycles'!$D$18*IF(INDEX('Lease Cycles'!$EF$18:$EL$18,1,DL180)=1,'Lease Cycles'!$AJ$18*INDEX('Lease Cycles'!$FO$18:$FU$18,1,DL180)*INDEX('Lease Cycles'!$EM$18:$ES$18,1,DL180)+'Lease Cycles'!$BE$18*IF(DL181&lt;INDEX('Lease Cycles'!$FA$18:$FG$18,1,DL180),0,1-INDEX('Lease Cycles'!$EM$18:$ES$18,1,DL180)),IF(OR(INDEX('Lease Cycles'!$DY$18:$EE$18,1,DL180)=1,DL181&gt;0),1,1-INDEX('Lease Cycles'!$DD$18:$DJ$18,1,DL180))*('Lease Cycles'!$AJ$18*INDEX('Lease Cycles'!$FO$18:$FU$18,1,DL180)+'Lease Cycles'!$BE$18*(1-INDEX('Lease Cycles'!$FO$18:$FU$18,1,DL180)))),0)</f>
        <v>0</v>
      </c>
      <c r="DM190" s="24">
        <f>IF(DM182=1,'Lease Cycles'!$D$18*IF(INDEX('Lease Cycles'!$EF$18:$EL$18,1,DM180)=1,'Lease Cycles'!$AJ$18*INDEX('Lease Cycles'!$FO$18:$FU$18,1,DM180)*INDEX('Lease Cycles'!$EM$18:$ES$18,1,DM180)+'Lease Cycles'!$BE$18*IF(DM181&lt;INDEX('Lease Cycles'!$FA$18:$FG$18,1,DM180),0,1-INDEX('Lease Cycles'!$EM$18:$ES$18,1,DM180)),IF(OR(INDEX('Lease Cycles'!$DY$18:$EE$18,1,DM180)=1,DM181&gt;0),1,1-INDEX('Lease Cycles'!$DD$18:$DJ$18,1,DM180))*('Lease Cycles'!$AJ$18*INDEX('Lease Cycles'!$FO$18:$FU$18,1,DM180)+'Lease Cycles'!$BE$18*(1-INDEX('Lease Cycles'!$FO$18:$FU$18,1,DM180)))),0)</f>
        <v>0</v>
      </c>
      <c r="DN190" s="24">
        <f>IF(DN182=1,'Lease Cycles'!$D$18*IF(INDEX('Lease Cycles'!$EF$18:$EL$18,1,DN180)=1,'Lease Cycles'!$AJ$18*INDEX('Lease Cycles'!$FO$18:$FU$18,1,DN180)*INDEX('Lease Cycles'!$EM$18:$ES$18,1,DN180)+'Lease Cycles'!$BE$18*IF(DN181&lt;INDEX('Lease Cycles'!$FA$18:$FG$18,1,DN180),0,1-INDEX('Lease Cycles'!$EM$18:$ES$18,1,DN180)),IF(OR(INDEX('Lease Cycles'!$DY$18:$EE$18,1,DN180)=1,DN181&gt;0),1,1-INDEX('Lease Cycles'!$DD$18:$DJ$18,1,DN180))*('Lease Cycles'!$AJ$18*INDEX('Lease Cycles'!$FO$18:$FU$18,1,DN180)+'Lease Cycles'!$BE$18*(1-INDEX('Lease Cycles'!$FO$18:$FU$18,1,DN180)))),0)</f>
        <v>0</v>
      </c>
      <c r="DO190" s="24">
        <f>IF(DO182=1,'Lease Cycles'!$D$18*IF(INDEX('Lease Cycles'!$EF$18:$EL$18,1,DO180)=1,'Lease Cycles'!$AJ$18*INDEX('Lease Cycles'!$FO$18:$FU$18,1,DO180)*INDEX('Lease Cycles'!$EM$18:$ES$18,1,DO180)+'Lease Cycles'!$BE$18*IF(DO181&lt;INDEX('Lease Cycles'!$FA$18:$FG$18,1,DO180),0,1-INDEX('Lease Cycles'!$EM$18:$ES$18,1,DO180)),IF(OR(INDEX('Lease Cycles'!$DY$18:$EE$18,1,DO180)=1,DO181&gt;0),1,1-INDEX('Lease Cycles'!$DD$18:$DJ$18,1,DO180))*('Lease Cycles'!$AJ$18*INDEX('Lease Cycles'!$FO$18:$FU$18,1,DO180)+'Lease Cycles'!$BE$18*(1-INDEX('Lease Cycles'!$FO$18:$FU$18,1,DO180)))),0)</f>
        <v>0</v>
      </c>
      <c r="DP190" s="24">
        <f>IF(DP182=1,'Lease Cycles'!$D$18*IF(INDEX('Lease Cycles'!$EF$18:$EL$18,1,DP180)=1,'Lease Cycles'!$AJ$18*INDEX('Lease Cycles'!$FO$18:$FU$18,1,DP180)*INDEX('Lease Cycles'!$EM$18:$ES$18,1,DP180)+'Lease Cycles'!$BE$18*IF(DP181&lt;INDEX('Lease Cycles'!$FA$18:$FG$18,1,DP180),0,1-INDEX('Lease Cycles'!$EM$18:$ES$18,1,DP180)),IF(OR(INDEX('Lease Cycles'!$DY$18:$EE$18,1,DP180)=1,DP181&gt;0),1,1-INDEX('Lease Cycles'!$DD$18:$DJ$18,1,DP180))*('Lease Cycles'!$AJ$18*INDEX('Lease Cycles'!$FO$18:$FU$18,1,DP180)+'Lease Cycles'!$BE$18*(1-INDEX('Lease Cycles'!$FO$18:$FU$18,1,DP180)))),0)</f>
        <v>0</v>
      </c>
      <c r="DQ190" s="24">
        <f>IF(DQ182=1,'Lease Cycles'!$D$18*IF(INDEX('Lease Cycles'!$EF$18:$EL$18,1,DQ180)=1,'Lease Cycles'!$AJ$18*INDEX('Lease Cycles'!$FO$18:$FU$18,1,DQ180)*INDEX('Lease Cycles'!$EM$18:$ES$18,1,DQ180)+'Lease Cycles'!$BE$18*IF(DQ181&lt;INDEX('Lease Cycles'!$FA$18:$FG$18,1,DQ180),0,1-INDEX('Lease Cycles'!$EM$18:$ES$18,1,DQ180)),IF(OR(INDEX('Lease Cycles'!$DY$18:$EE$18,1,DQ180)=1,DQ181&gt;0),1,1-INDEX('Lease Cycles'!$DD$18:$DJ$18,1,DQ180))*('Lease Cycles'!$AJ$18*INDEX('Lease Cycles'!$FO$18:$FU$18,1,DQ180)+'Lease Cycles'!$BE$18*(1-INDEX('Lease Cycles'!$FO$18:$FU$18,1,DQ180)))),0)</f>
        <v>0</v>
      </c>
      <c r="DR190" s="24">
        <f>IF(DR182=1,'Lease Cycles'!$D$18*IF(INDEX('Lease Cycles'!$EF$18:$EL$18,1,DR180)=1,'Lease Cycles'!$AJ$18*INDEX('Lease Cycles'!$FO$18:$FU$18,1,DR180)*INDEX('Lease Cycles'!$EM$18:$ES$18,1,DR180)+'Lease Cycles'!$BE$18*IF(DR181&lt;INDEX('Lease Cycles'!$FA$18:$FG$18,1,DR180),0,1-INDEX('Lease Cycles'!$EM$18:$ES$18,1,DR180)),IF(OR(INDEX('Lease Cycles'!$DY$18:$EE$18,1,DR180)=1,DR181&gt;0),1,1-INDEX('Lease Cycles'!$DD$18:$DJ$18,1,DR180))*('Lease Cycles'!$AJ$18*INDEX('Lease Cycles'!$FO$18:$FU$18,1,DR180)+'Lease Cycles'!$BE$18*(1-INDEX('Lease Cycles'!$FO$18:$FU$18,1,DR180)))),0)</f>
        <v>0</v>
      </c>
      <c r="DS190" s="24">
        <f>IF(DS182=1,'Lease Cycles'!$D$18*IF(INDEX('Lease Cycles'!$EF$18:$EL$18,1,DS180)=1,'Lease Cycles'!$AJ$18*INDEX('Lease Cycles'!$FO$18:$FU$18,1,DS180)*INDEX('Lease Cycles'!$EM$18:$ES$18,1,DS180)+'Lease Cycles'!$BE$18*IF(DS181&lt;INDEX('Lease Cycles'!$FA$18:$FG$18,1,DS180),0,1-INDEX('Lease Cycles'!$EM$18:$ES$18,1,DS180)),IF(OR(INDEX('Lease Cycles'!$DY$18:$EE$18,1,DS180)=1,DS181&gt;0),1,1-INDEX('Lease Cycles'!$DD$18:$DJ$18,1,DS180))*('Lease Cycles'!$AJ$18*INDEX('Lease Cycles'!$FO$18:$FU$18,1,DS180)+'Lease Cycles'!$BE$18*(1-INDEX('Lease Cycles'!$FO$18:$FU$18,1,DS180)))),0)</f>
        <v>0</v>
      </c>
      <c r="DT190" s="24">
        <f>IF(DT182=1,'Lease Cycles'!$D$18*IF(INDEX('Lease Cycles'!$EF$18:$EL$18,1,DT180)=1,'Lease Cycles'!$AJ$18*INDEX('Lease Cycles'!$FO$18:$FU$18,1,DT180)*INDEX('Lease Cycles'!$EM$18:$ES$18,1,DT180)+'Lease Cycles'!$BE$18*IF(DT181&lt;INDEX('Lease Cycles'!$FA$18:$FG$18,1,DT180),0,1-INDEX('Lease Cycles'!$EM$18:$ES$18,1,DT180)),IF(OR(INDEX('Lease Cycles'!$DY$18:$EE$18,1,DT180)=1,DT181&gt;0),1,1-INDEX('Lease Cycles'!$DD$18:$DJ$18,1,DT180))*('Lease Cycles'!$AJ$18*INDEX('Lease Cycles'!$FO$18:$FU$18,1,DT180)+'Lease Cycles'!$BE$18*(1-INDEX('Lease Cycles'!$FO$18:$FU$18,1,DT180)))),0)</f>
        <v>0</v>
      </c>
      <c r="DU190" s="24">
        <f>IF(DU182=1,'Lease Cycles'!$D$18*IF(INDEX('Lease Cycles'!$EF$18:$EL$18,1,DU180)=1,'Lease Cycles'!$AJ$18*INDEX('Lease Cycles'!$FO$18:$FU$18,1,DU180)*INDEX('Lease Cycles'!$EM$18:$ES$18,1,DU180)+'Lease Cycles'!$BE$18*IF(DU181&lt;INDEX('Lease Cycles'!$FA$18:$FG$18,1,DU180),0,1-INDEX('Lease Cycles'!$EM$18:$ES$18,1,DU180)),IF(OR(INDEX('Lease Cycles'!$DY$18:$EE$18,1,DU180)=1,DU181&gt;0),1,1-INDEX('Lease Cycles'!$DD$18:$DJ$18,1,DU180))*('Lease Cycles'!$AJ$18*INDEX('Lease Cycles'!$FO$18:$FU$18,1,DU180)+'Lease Cycles'!$BE$18*(1-INDEX('Lease Cycles'!$FO$18:$FU$18,1,DU180)))),0)</f>
        <v>0</v>
      </c>
      <c r="DV190" s="24">
        <f>IF(DV182=1,'Lease Cycles'!$D$18*IF(INDEX('Lease Cycles'!$EF$18:$EL$18,1,DV180)=1,'Lease Cycles'!$AJ$18*INDEX('Lease Cycles'!$FO$18:$FU$18,1,DV180)*INDEX('Lease Cycles'!$EM$18:$ES$18,1,DV180)+'Lease Cycles'!$BE$18*IF(DV181&lt;INDEX('Lease Cycles'!$FA$18:$FG$18,1,DV180),0,1-INDEX('Lease Cycles'!$EM$18:$ES$18,1,DV180)),IF(OR(INDEX('Lease Cycles'!$DY$18:$EE$18,1,DV180)=1,DV181&gt;0),1,1-INDEX('Lease Cycles'!$DD$18:$DJ$18,1,DV180))*('Lease Cycles'!$AJ$18*INDEX('Lease Cycles'!$FO$18:$FU$18,1,DV180)+'Lease Cycles'!$BE$18*(1-INDEX('Lease Cycles'!$FO$18:$FU$18,1,DV180)))),0)</f>
        <v>0</v>
      </c>
      <c r="DW190" s="24">
        <f>IF(DW182=1,'Lease Cycles'!$D$18*IF(INDEX('Lease Cycles'!$EF$18:$EL$18,1,DW180)=1,'Lease Cycles'!$AJ$18*INDEX('Lease Cycles'!$FO$18:$FU$18,1,DW180)*INDEX('Lease Cycles'!$EM$18:$ES$18,1,DW180)+'Lease Cycles'!$BE$18*IF(DW181&lt;INDEX('Lease Cycles'!$FA$18:$FG$18,1,DW180),0,1-INDEX('Lease Cycles'!$EM$18:$ES$18,1,DW180)),IF(OR(INDEX('Lease Cycles'!$DY$18:$EE$18,1,DW180)=1,DW181&gt;0),1,1-INDEX('Lease Cycles'!$DD$18:$DJ$18,1,DW180))*('Lease Cycles'!$AJ$18*INDEX('Lease Cycles'!$FO$18:$FU$18,1,DW180)+'Lease Cycles'!$BE$18*(1-INDEX('Lease Cycles'!$FO$18:$FU$18,1,DW180)))),0)</f>
        <v>0</v>
      </c>
      <c r="DX190" s="24">
        <f>IF(DX182=1,'Lease Cycles'!$D$18*IF(INDEX('Lease Cycles'!$EF$18:$EL$18,1,DX180)=1,'Lease Cycles'!$AJ$18*INDEX('Lease Cycles'!$FO$18:$FU$18,1,DX180)*INDEX('Lease Cycles'!$EM$18:$ES$18,1,DX180)+'Lease Cycles'!$BE$18*IF(DX181&lt;INDEX('Lease Cycles'!$FA$18:$FG$18,1,DX180),0,1-INDEX('Lease Cycles'!$EM$18:$ES$18,1,DX180)),IF(OR(INDEX('Lease Cycles'!$DY$18:$EE$18,1,DX180)=1,DX181&gt;0),1,1-INDEX('Lease Cycles'!$DD$18:$DJ$18,1,DX180))*('Lease Cycles'!$AJ$18*INDEX('Lease Cycles'!$FO$18:$FU$18,1,DX180)+'Lease Cycles'!$BE$18*(1-INDEX('Lease Cycles'!$FO$18:$FU$18,1,DX180)))),0)</f>
        <v>0</v>
      </c>
      <c r="DY190" s="24">
        <f>IF(DY182=1,'Lease Cycles'!$D$18*IF(INDEX('Lease Cycles'!$EF$18:$EL$18,1,DY180)=1,'Lease Cycles'!$AJ$18*INDEX('Lease Cycles'!$FO$18:$FU$18,1,DY180)*INDEX('Lease Cycles'!$EM$18:$ES$18,1,DY180)+'Lease Cycles'!$BE$18*IF(DY181&lt;INDEX('Lease Cycles'!$FA$18:$FG$18,1,DY180),0,1-INDEX('Lease Cycles'!$EM$18:$ES$18,1,DY180)),IF(OR(INDEX('Lease Cycles'!$DY$18:$EE$18,1,DY180)=1,DY181&gt;0),1,1-INDEX('Lease Cycles'!$DD$18:$DJ$18,1,DY180))*('Lease Cycles'!$AJ$18*INDEX('Lease Cycles'!$FO$18:$FU$18,1,DY180)+'Lease Cycles'!$BE$18*(1-INDEX('Lease Cycles'!$FO$18:$FU$18,1,DY180)))),0)</f>
        <v>0</v>
      </c>
      <c r="DZ190" s="24">
        <f>IF(DZ182=1,'Lease Cycles'!$D$18*IF(INDEX('Lease Cycles'!$EF$18:$EL$18,1,DZ180)=1,'Lease Cycles'!$AJ$18*INDEX('Lease Cycles'!$FO$18:$FU$18,1,DZ180)*INDEX('Lease Cycles'!$EM$18:$ES$18,1,DZ180)+'Lease Cycles'!$BE$18*IF(DZ181&lt;INDEX('Lease Cycles'!$FA$18:$FG$18,1,DZ180),0,1-INDEX('Lease Cycles'!$EM$18:$ES$18,1,DZ180)),IF(OR(INDEX('Lease Cycles'!$DY$18:$EE$18,1,DZ180)=1,DZ181&gt;0),1,1-INDEX('Lease Cycles'!$DD$18:$DJ$18,1,DZ180))*('Lease Cycles'!$AJ$18*INDEX('Lease Cycles'!$FO$18:$FU$18,1,DZ180)+'Lease Cycles'!$BE$18*(1-INDEX('Lease Cycles'!$FO$18:$FU$18,1,DZ180)))),0)</f>
        <v>0</v>
      </c>
      <c r="EA190" s="24">
        <f>IF(EA182=1,'Lease Cycles'!$D$18*IF(INDEX('Lease Cycles'!$EF$18:$EL$18,1,EA180)=1,'Lease Cycles'!$AJ$18*INDEX('Lease Cycles'!$FO$18:$FU$18,1,EA180)*INDEX('Lease Cycles'!$EM$18:$ES$18,1,EA180)+'Lease Cycles'!$BE$18*IF(EA181&lt;INDEX('Lease Cycles'!$FA$18:$FG$18,1,EA180),0,1-INDEX('Lease Cycles'!$EM$18:$ES$18,1,EA180)),IF(OR(INDEX('Lease Cycles'!$DY$18:$EE$18,1,EA180)=1,EA181&gt;0),1,1-INDEX('Lease Cycles'!$DD$18:$DJ$18,1,EA180))*('Lease Cycles'!$AJ$18*INDEX('Lease Cycles'!$FO$18:$FU$18,1,EA180)+'Lease Cycles'!$BE$18*(1-INDEX('Lease Cycles'!$FO$18:$FU$18,1,EA180)))),0)</f>
        <v>0</v>
      </c>
      <c r="EB190" s="24">
        <f>IF(EB182=1,'Lease Cycles'!$D$18*IF(INDEX('Lease Cycles'!$EF$18:$EL$18,1,EB180)=1,'Lease Cycles'!$AJ$18*INDEX('Lease Cycles'!$FO$18:$FU$18,1,EB180)*INDEX('Lease Cycles'!$EM$18:$ES$18,1,EB180)+'Lease Cycles'!$BE$18*IF(EB181&lt;INDEX('Lease Cycles'!$FA$18:$FG$18,1,EB180),0,1-INDEX('Lease Cycles'!$EM$18:$ES$18,1,EB180)),IF(OR(INDEX('Lease Cycles'!$DY$18:$EE$18,1,EB180)=1,EB181&gt;0),1,1-INDEX('Lease Cycles'!$DD$18:$DJ$18,1,EB180))*('Lease Cycles'!$AJ$18*INDEX('Lease Cycles'!$FO$18:$FU$18,1,EB180)+'Lease Cycles'!$BE$18*(1-INDEX('Lease Cycles'!$FO$18:$FU$18,1,EB180)))),0)</f>
        <v>0</v>
      </c>
      <c r="EC190" s="24">
        <f>IF(EC182=1,'Lease Cycles'!$D$18*IF(INDEX('Lease Cycles'!$EF$18:$EL$18,1,EC180)=1,'Lease Cycles'!$AJ$18*INDEX('Lease Cycles'!$FO$18:$FU$18,1,EC180)*INDEX('Lease Cycles'!$EM$18:$ES$18,1,EC180)+'Lease Cycles'!$BE$18*IF(EC181&lt;INDEX('Lease Cycles'!$FA$18:$FG$18,1,EC180),0,1-INDEX('Lease Cycles'!$EM$18:$ES$18,1,EC180)),IF(OR(INDEX('Lease Cycles'!$DY$18:$EE$18,1,EC180)=1,EC181&gt;0),1,1-INDEX('Lease Cycles'!$DD$18:$DJ$18,1,EC180))*('Lease Cycles'!$AJ$18*INDEX('Lease Cycles'!$FO$18:$FU$18,1,EC180)+'Lease Cycles'!$BE$18*(1-INDEX('Lease Cycles'!$FO$18:$FU$18,1,EC180)))),0)</f>
        <v>0</v>
      </c>
      <c r="ED190" s="24">
        <f>IF(ED182=1,'Lease Cycles'!$D$18*IF(INDEX('Lease Cycles'!$EF$18:$EL$18,1,ED180)=1,'Lease Cycles'!$AJ$18*INDEX('Lease Cycles'!$FO$18:$FU$18,1,ED180)*INDEX('Lease Cycles'!$EM$18:$ES$18,1,ED180)+'Lease Cycles'!$BE$18*IF(ED181&lt;INDEX('Lease Cycles'!$FA$18:$FG$18,1,ED180),0,1-INDEX('Lease Cycles'!$EM$18:$ES$18,1,ED180)),IF(OR(INDEX('Lease Cycles'!$DY$18:$EE$18,1,ED180)=1,ED181&gt;0),1,1-INDEX('Lease Cycles'!$DD$18:$DJ$18,1,ED180))*('Lease Cycles'!$AJ$18*INDEX('Lease Cycles'!$FO$18:$FU$18,1,ED180)+'Lease Cycles'!$BE$18*(1-INDEX('Lease Cycles'!$FO$18:$FU$18,1,ED180)))),0)</f>
        <v>0</v>
      </c>
      <c r="EE190" s="24">
        <f>IF(EE182=1,'Lease Cycles'!$D$18*IF(INDEX('Lease Cycles'!$EF$18:$EL$18,1,EE180)=1,'Lease Cycles'!$AJ$18*INDEX('Lease Cycles'!$FO$18:$FU$18,1,EE180)*INDEX('Lease Cycles'!$EM$18:$ES$18,1,EE180)+'Lease Cycles'!$BE$18*IF(EE181&lt;INDEX('Lease Cycles'!$FA$18:$FG$18,1,EE180),0,1-INDEX('Lease Cycles'!$EM$18:$ES$18,1,EE180)),IF(OR(INDEX('Lease Cycles'!$DY$18:$EE$18,1,EE180)=1,EE181&gt;0),1,1-INDEX('Lease Cycles'!$DD$18:$DJ$18,1,EE180))*('Lease Cycles'!$AJ$18*INDEX('Lease Cycles'!$FO$18:$FU$18,1,EE180)+'Lease Cycles'!$BE$18*(1-INDEX('Lease Cycles'!$FO$18:$FU$18,1,EE180)))),0)</f>
        <v>0</v>
      </c>
      <c r="EF190" s="24">
        <f>IF(EF182=1,'Lease Cycles'!$D$18*IF(INDEX('Lease Cycles'!$EF$18:$EL$18,1,EF180)=1,'Lease Cycles'!$AJ$18*INDEX('Lease Cycles'!$FO$18:$FU$18,1,EF180)*INDEX('Lease Cycles'!$EM$18:$ES$18,1,EF180)+'Lease Cycles'!$BE$18*IF(EF181&lt;INDEX('Lease Cycles'!$FA$18:$FG$18,1,EF180),0,1-INDEX('Lease Cycles'!$EM$18:$ES$18,1,EF180)),IF(OR(INDEX('Lease Cycles'!$DY$18:$EE$18,1,EF180)=1,EF181&gt;0),1,1-INDEX('Lease Cycles'!$DD$18:$DJ$18,1,EF180))*('Lease Cycles'!$AJ$18*INDEX('Lease Cycles'!$FO$18:$FU$18,1,EF180)+'Lease Cycles'!$BE$18*(1-INDEX('Lease Cycles'!$FO$18:$FU$18,1,EF180)))),0)</f>
        <v>0</v>
      </c>
      <c r="EG190" s="24">
        <f>IF(EG182=1,'Lease Cycles'!$D$18*IF(INDEX('Lease Cycles'!$EF$18:$EL$18,1,EG180)=1,'Lease Cycles'!$AJ$18*INDEX('Lease Cycles'!$FO$18:$FU$18,1,EG180)*INDEX('Lease Cycles'!$EM$18:$ES$18,1,EG180)+'Lease Cycles'!$BE$18*IF(EG181&lt;INDEX('Lease Cycles'!$FA$18:$FG$18,1,EG180),0,1-INDEX('Lease Cycles'!$EM$18:$ES$18,1,EG180)),IF(OR(INDEX('Lease Cycles'!$DY$18:$EE$18,1,EG180)=1,EG181&gt;0),1,1-INDEX('Lease Cycles'!$DD$18:$DJ$18,1,EG180))*('Lease Cycles'!$AJ$18*INDEX('Lease Cycles'!$FO$18:$FU$18,1,EG180)+'Lease Cycles'!$BE$18*(1-INDEX('Lease Cycles'!$FO$18:$FU$18,1,EG180)))),0)</f>
        <v>0</v>
      </c>
      <c r="EH190" s="24">
        <f>IF(EH182=1,'Lease Cycles'!$D$18*IF(INDEX('Lease Cycles'!$EF$18:$EL$18,1,EH180)=1,'Lease Cycles'!$AJ$18*INDEX('Lease Cycles'!$FO$18:$FU$18,1,EH180)*INDEX('Lease Cycles'!$EM$18:$ES$18,1,EH180)+'Lease Cycles'!$BE$18*IF(EH181&lt;INDEX('Lease Cycles'!$FA$18:$FG$18,1,EH180),0,1-INDEX('Lease Cycles'!$EM$18:$ES$18,1,EH180)),IF(OR(INDEX('Lease Cycles'!$DY$18:$EE$18,1,EH180)=1,EH181&gt;0),1,1-INDEX('Lease Cycles'!$DD$18:$DJ$18,1,EH180))*('Lease Cycles'!$AJ$18*INDEX('Lease Cycles'!$FO$18:$FU$18,1,EH180)+'Lease Cycles'!$BE$18*(1-INDEX('Lease Cycles'!$FO$18:$FU$18,1,EH180)))),0)</f>
        <v>0</v>
      </c>
      <c r="EI190" s="24">
        <f>IF(EI182=1,'Lease Cycles'!$D$18*IF(INDEX('Lease Cycles'!$EF$18:$EL$18,1,EI180)=1,'Lease Cycles'!$AJ$18*INDEX('Lease Cycles'!$FO$18:$FU$18,1,EI180)*INDEX('Lease Cycles'!$EM$18:$ES$18,1,EI180)+'Lease Cycles'!$BE$18*IF(EI181&lt;INDEX('Lease Cycles'!$FA$18:$FG$18,1,EI180),0,1-INDEX('Lease Cycles'!$EM$18:$ES$18,1,EI180)),IF(OR(INDEX('Lease Cycles'!$DY$18:$EE$18,1,EI180)=1,EI181&gt;0),1,1-INDEX('Lease Cycles'!$DD$18:$DJ$18,1,EI180))*('Lease Cycles'!$AJ$18*INDEX('Lease Cycles'!$FO$18:$FU$18,1,EI180)+'Lease Cycles'!$BE$18*(1-INDEX('Lease Cycles'!$FO$18:$FU$18,1,EI180)))),0)</f>
        <v>0</v>
      </c>
      <c r="EJ190" s="24">
        <f>IF(EJ182=1,'Lease Cycles'!$D$18*IF(INDEX('Lease Cycles'!$EF$18:$EL$18,1,EJ180)=1,'Lease Cycles'!$AJ$18*INDEX('Lease Cycles'!$FO$18:$FU$18,1,EJ180)*INDEX('Lease Cycles'!$EM$18:$ES$18,1,EJ180)+'Lease Cycles'!$BE$18*IF(EJ181&lt;INDEX('Lease Cycles'!$FA$18:$FG$18,1,EJ180),0,1-INDEX('Lease Cycles'!$EM$18:$ES$18,1,EJ180)),IF(OR(INDEX('Lease Cycles'!$DY$18:$EE$18,1,EJ180)=1,EJ181&gt;0),1,1-INDEX('Lease Cycles'!$DD$18:$DJ$18,1,EJ180))*('Lease Cycles'!$AJ$18*INDEX('Lease Cycles'!$FO$18:$FU$18,1,EJ180)+'Lease Cycles'!$BE$18*(1-INDEX('Lease Cycles'!$FO$18:$FU$18,1,EJ180)))),0)</f>
        <v>0</v>
      </c>
      <c r="EK190" s="24">
        <f>IF(EK182=1,'Lease Cycles'!$D$18*IF(INDEX('Lease Cycles'!$EF$18:$EL$18,1,EK180)=1,'Lease Cycles'!$AJ$18*INDEX('Lease Cycles'!$FO$18:$FU$18,1,EK180)*INDEX('Lease Cycles'!$EM$18:$ES$18,1,EK180)+'Lease Cycles'!$BE$18*IF(EK181&lt;INDEX('Lease Cycles'!$FA$18:$FG$18,1,EK180),0,1-INDEX('Lease Cycles'!$EM$18:$ES$18,1,EK180)),IF(OR(INDEX('Lease Cycles'!$DY$18:$EE$18,1,EK180)=1,EK181&gt;0),1,1-INDEX('Lease Cycles'!$DD$18:$DJ$18,1,EK180))*('Lease Cycles'!$AJ$18*INDEX('Lease Cycles'!$FO$18:$FU$18,1,EK180)+'Lease Cycles'!$BE$18*(1-INDEX('Lease Cycles'!$FO$18:$FU$18,1,EK180)))),0)</f>
        <v>0</v>
      </c>
      <c r="EL190" s="24">
        <f>IF(EL182=1,'Lease Cycles'!$D$18*IF(INDEX('Lease Cycles'!$EF$18:$EL$18,1,EL180)=1,'Lease Cycles'!$AJ$18*INDEX('Lease Cycles'!$FO$18:$FU$18,1,EL180)*INDEX('Lease Cycles'!$EM$18:$ES$18,1,EL180)+'Lease Cycles'!$BE$18*IF(EL181&lt;INDEX('Lease Cycles'!$FA$18:$FG$18,1,EL180),0,1-INDEX('Lease Cycles'!$EM$18:$ES$18,1,EL180)),IF(OR(INDEX('Lease Cycles'!$DY$18:$EE$18,1,EL180)=1,EL181&gt;0),1,1-INDEX('Lease Cycles'!$DD$18:$DJ$18,1,EL180))*('Lease Cycles'!$AJ$18*INDEX('Lease Cycles'!$FO$18:$FU$18,1,EL180)+'Lease Cycles'!$BE$18*(1-INDEX('Lease Cycles'!$FO$18:$FU$18,1,EL180)))),0)</f>
        <v>0</v>
      </c>
      <c r="EM190" s="24">
        <f>IF(EM182=1,'Lease Cycles'!$D$18*IF(INDEX('Lease Cycles'!$EF$18:$EL$18,1,EM180)=1,'Lease Cycles'!$AJ$18*INDEX('Lease Cycles'!$FO$18:$FU$18,1,EM180)*INDEX('Lease Cycles'!$EM$18:$ES$18,1,EM180)+'Lease Cycles'!$BE$18*IF(EM181&lt;INDEX('Lease Cycles'!$FA$18:$FG$18,1,EM180),0,1-INDEX('Lease Cycles'!$EM$18:$ES$18,1,EM180)),IF(OR(INDEX('Lease Cycles'!$DY$18:$EE$18,1,EM180)=1,EM181&gt;0),1,1-INDEX('Lease Cycles'!$DD$18:$DJ$18,1,EM180))*('Lease Cycles'!$AJ$18*INDEX('Lease Cycles'!$FO$18:$FU$18,1,EM180)+'Lease Cycles'!$BE$18*(1-INDEX('Lease Cycles'!$FO$18:$FU$18,1,EM180)))),0)</f>
        <v>0</v>
      </c>
      <c r="EN190" s="24">
        <f>IF(EN182=1,'Lease Cycles'!$D$18*IF(INDEX('Lease Cycles'!$EF$18:$EL$18,1,EN180)=1,'Lease Cycles'!$AJ$18*INDEX('Lease Cycles'!$FO$18:$FU$18,1,EN180)*INDEX('Lease Cycles'!$EM$18:$ES$18,1,EN180)+'Lease Cycles'!$BE$18*IF(EN181&lt;INDEX('Lease Cycles'!$FA$18:$FG$18,1,EN180),0,1-INDEX('Lease Cycles'!$EM$18:$ES$18,1,EN180)),IF(OR(INDEX('Lease Cycles'!$DY$18:$EE$18,1,EN180)=1,EN181&gt;0),1,1-INDEX('Lease Cycles'!$DD$18:$DJ$18,1,EN180))*('Lease Cycles'!$AJ$18*INDEX('Lease Cycles'!$FO$18:$FU$18,1,EN180)+'Lease Cycles'!$BE$18*(1-INDEX('Lease Cycles'!$FO$18:$FU$18,1,EN180)))),0)</f>
        <v>0</v>
      </c>
      <c r="EO190" s="24">
        <f>IF(EO182=1,'Lease Cycles'!$D$18*IF(INDEX('Lease Cycles'!$EF$18:$EL$18,1,EO180)=1,'Lease Cycles'!$AJ$18*INDEX('Lease Cycles'!$FO$18:$FU$18,1,EO180)*INDEX('Lease Cycles'!$EM$18:$ES$18,1,EO180)+'Lease Cycles'!$BE$18*IF(EO181&lt;INDEX('Lease Cycles'!$FA$18:$FG$18,1,EO180),0,1-INDEX('Lease Cycles'!$EM$18:$ES$18,1,EO180)),IF(OR(INDEX('Lease Cycles'!$DY$18:$EE$18,1,EO180)=1,EO181&gt;0),1,1-INDEX('Lease Cycles'!$DD$18:$DJ$18,1,EO180))*('Lease Cycles'!$AJ$18*INDEX('Lease Cycles'!$FO$18:$FU$18,1,EO180)+'Lease Cycles'!$BE$18*(1-INDEX('Lease Cycles'!$FO$18:$FU$18,1,EO180)))),0)</f>
        <v>0</v>
      </c>
      <c r="EP190" s="24">
        <f>IF(EP182=1,'Lease Cycles'!$D$18*IF(INDEX('Lease Cycles'!$EF$18:$EL$18,1,EP180)=1,'Lease Cycles'!$AJ$18*INDEX('Lease Cycles'!$FO$18:$FU$18,1,EP180)*INDEX('Lease Cycles'!$EM$18:$ES$18,1,EP180)+'Lease Cycles'!$BE$18*IF(EP181&lt;INDEX('Lease Cycles'!$FA$18:$FG$18,1,EP180),0,1-INDEX('Lease Cycles'!$EM$18:$ES$18,1,EP180)),IF(OR(INDEX('Lease Cycles'!$DY$18:$EE$18,1,EP180)=1,EP181&gt;0),1,1-INDEX('Lease Cycles'!$DD$18:$DJ$18,1,EP180))*('Lease Cycles'!$AJ$18*INDEX('Lease Cycles'!$FO$18:$FU$18,1,EP180)+'Lease Cycles'!$BE$18*(1-INDEX('Lease Cycles'!$FO$18:$FU$18,1,EP180)))),0)</f>
        <v>0</v>
      </c>
      <c r="EQ190" s="24">
        <f>IF(EQ182=1,'Lease Cycles'!$D$18*IF(INDEX('Lease Cycles'!$EF$18:$EL$18,1,EQ180)=1,'Lease Cycles'!$AJ$18*INDEX('Lease Cycles'!$FO$18:$FU$18,1,EQ180)*INDEX('Lease Cycles'!$EM$18:$ES$18,1,EQ180)+'Lease Cycles'!$BE$18*IF(EQ181&lt;INDEX('Lease Cycles'!$FA$18:$FG$18,1,EQ180),0,1-INDEX('Lease Cycles'!$EM$18:$ES$18,1,EQ180)),IF(OR(INDEX('Lease Cycles'!$DY$18:$EE$18,1,EQ180)=1,EQ181&gt;0),1,1-INDEX('Lease Cycles'!$DD$18:$DJ$18,1,EQ180))*('Lease Cycles'!$AJ$18*INDEX('Lease Cycles'!$FO$18:$FU$18,1,EQ180)+'Lease Cycles'!$BE$18*(1-INDEX('Lease Cycles'!$FO$18:$FU$18,1,EQ180)))),0)</f>
        <v>0</v>
      </c>
      <c r="ER190" s="24">
        <f>IF(ER182=1,'Lease Cycles'!$D$18*IF(INDEX('Lease Cycles'!$EF$18:$EL$18,1,ER180)=1,'Lease Cycles'!$AJ$18*INDEX('Lease Cycles'!$FO$18:$FU$18,1,ER180)*INDEX('Lease Cycles'!$EM$18:$ES$18,1,ER180)+'Lease Cycles'!$BE$18*IF(ER181&lt;INDEX('Lease Cycles'!$FA$18:$FG$18,1,ER180),0,1-INDEX('Lease Cycles'!$EM$18:$ES$18,1,ER180)),IF(OR(INDEX('Lease Cycles'!$DY$18:$EE$18,1,ER180)=1,ER181&gt;0),1,1-INDEX('Lease Cycles'!$DD$18:$DJ$18,1,ER180))*('Lease Cycles'!$AJ$18*INDEX('Lease Cycles'!$FO$18:$FU$18,1,ER180)+'Lease Cycles'!$BE$18*(1-INDEX('Lease Cycles'!$FO$18:$FU$18,1,ER180)))),0)</f>
        <v>0</v>
      </c>
      <c r="ES190" s="24">
        <f>IF(ES182=1,'Lease Cycles'!$D$18*IF(INDEX('Lease Cycles'!$EF$18:$EL$18,1,ES180)=1,'Lease Cycles'!$AJ$18*INDEX('Lease Cycles'!$FO$18:$FU$18,1,ES180)*INDEX('Lease Cycles'!$EM$18:$ES$18,1,ES180)+'Lease Cycles'!$BE$18*IF(ES181&lt;INDEX('Lease Cycles'!$FA$18:$FG$18,1,ES180),0,1-INDEX('Lease Cycles'!$EM$18:$ES$18,1,ES180)),IF(OR(INDEX('Lease Cycles'!$DY$18:$EE$18,1,ES180)=1,ES181&gt;0),1,1-INDEX('Lease Cycles'!$DD$18:$DJ$18,1,ES180))*('Lease Cycles'!$AJ$18*INDEX('Lease Cycles'!$FO$18:$FU$18,1,ES180)+'Lease Cycles'!$BE$18*(1-INDEX('Lease Cycles'!$FO$18:$FU$18,1,ES180)))),0)</f>
        <v>0</v>
      </c>
      <c r="ET190" s="24">
        <f>IF(ET182=1,'Lease Cycles'!$D$18*IF(INDEX('Lease Cycles'!$EF$18:$EL$18,1,ET180)=1,'Lease Cycles'!$AJ$18*INDEX('Lease Cycles'!$FO$18:$FU$18,1,ET180)*INDEX('Lease Cycles'!$EM$18:$ES$18,1,ET180)+'Lease Cycles'!$BE$18*IF(ET181&lt;INDEX('Lease Cycles'!$FA$18:$FG$18,1,ET180),0,1-INDEX('Lease Cycles'!$EM$18:$ES$18,1,ET180)),IF(OR(INDEX('Lease Cycles'!$DY$18:$EE$18,1,ET180)=1,ET181&gt;0),1,1-INDEX('Lease Cycles'!$DD$18:$DJ$18,1,ET180))*('Lease Cycles'!$AJ$18*INDEX('Lease Cycles'!$FO$18:$FU$18,1,ET180)+'Lease Cycles'!$BE$18*(1-INDEX('Lease Cycles'!$FO$18:$FU$18,1,ET180)))),0)</f>
        <v>0</v>
      </c>
    </row>
    <row r="191">
      <c r="A191" s="103">
        <v>11</v>
      </c>
      <c r="B191" s="23" t="str">
        <f>IF('Lease Cycles'!$B$18="","(empty slot)",'Lease Cycles'!$B$18)</f>
        <v>(empty slot)</v>
      </c>
      <c r="C191" s="23" t="s">
        <v>689</v>
      </c>
      <c r="D191" s="104" t="s">
        <v>690</v>
      </c>
      <c r="E191" s="25">
        <f>'Lease Cycles'!$AL$18</f>
        <v>0</v>
      </c>
      <c r="G191" s="28">
        <f>SUM(S191:AD191)</f>
        <v>0</v>
      </c>
      <c r="H191" s="28">
        <f>SUM(AE191:AP191)</f>
        <v>0</v>
      </c>
      <c r="I191" s="28">
        <f>SUM(AQ191:BB191)</f>
        <v>0</v>
      </c>
      <c r="J191" s="28">
        <f>SUM(BC191:BN191)</f>
        <v>0</v>
      </c>
      <c r="K191" s="28">
        <f>SUM(BO191:BZ191)</f>
        <v>0</v>
      </c>
      <c r="L191" s="28">
        <f>SUM(CA191:CL191)</f>
        <v>0</v>
      </c>
      <c r="M191" s="28">
        <f>SUM(CM191:CX191)</f>
        <v>0</v>
      </c>
      <c r="N191" s="28">
        <f>SUM(CY191:DJ191)</f>
        <v>0</v>
      </c>
      <c r="O191" s="28">
        <f>SUM(DK191:DV191)</f>
        <v>0</v>
      </c>
      <c r="P191" s="28">
        <f>SUM(DW191:EH191)</f>
        <v>0</v>
      </c>
      <c r="Q191" s="28">
        <f>SUM(EI191:ET191)</f>
        <v>0</v>
      </c>
      <c r="S191" s="28">
        <f>IF(S190=0,0,S190*MAX(0,(INDEX(c_CAMy,1,S$7)-INDEX(c_CAMy,1,INDEX('Lease Cycles'!$GC$18:$GI$18,1,S180)+1))*(1+'Lease Cycles'!$AK$18)+(INDEX(c_TAXy,1,S$7)-INDEX(c_TAXy,1,INDEX('Lease Cycles'!$GC$18:$GI$18,1,S180)+1))+(INDEX(c_INSy,1,S$7)-INDEX(c_INSy,1,INDEX('Lease Cycles'!$GC$18:$GI$18,1,S180)+1)))/12)</f>
        <v>0</v>
      </c>
      <c r="T191" s="28">
        <f>IF(T190=0,0,T190*MAX(0,(INDEX(c_CAMy,1,T$7)-INDEX(c_CAMy,1,INDEX('Lease Cycles'!$GC$18:$GI$18,1,T180)+1))*(1+'Lease Cycles'!$AK$18)+(INDEX(c_TAXy,1,T$7)-INDEX(c_TAXy,1,INDEX('Lease Cycles'!$GC$18:$GI$18,1,T180)+1))+(INDEX(c_INSy,1,T$7)-INDEX(c_INSy,1,INDEX('Lease Cycles'!$GC$18:$GI$18,1,T180)+1)))/12)</f>
        <v>0</v>
      </c>
      <c r="U191" s="28">
        <f>IF(U190=0,0,U190*MAX(0,(INDEX(c_CAMy,1,U$7)-INDEX(c_CAMy,1,INDEX('Lease Cycles'!$GC$18:$GI$18,1,U180)+1))*(1+'Lease Cycles'!$AK$18)+(INDEX(c_TAXy,1,U$7)-INDEX(c_TAXy,1,INDEX('Lease Cycles'!$GC$18:$GI$18,1,U180)+1))+(INDEX(c_INSy,1,U$7)-INDEX(c_INSy,1,INDEX('Lease Cycles'!$GC$18:$GI$18,1,U180)+1)))/12)</f>
        <v>0</v>
      </c>
      <c r="V191" s="28">
        <f>IF(V190=0,0,V190*MAX(0,(INDEX(c_CAMy,1,V$7)-INDEX(c_CAMy,1,INDEX('Lease Cycles'!$GC$18:$GI$18,1,V180)+1))*(1+'Lease Cycles'!$AK$18)+(INDEX(c_TAXy,1,V$7)-INDEX(c_TAXy,1,INDEX('Lease Cycles'!$GC$18:$GI$18,1,V180)+1))+(INDEX(c_INSy,1,V$7)-INDEX(c_INSy,1,INDEX('Lease Cycles'!$GC$18:$GI$18,1,V180)+1)))/12)</f>
        <v>0</v>
      </c>
      <c r="W191" s="28">
        <f>IF(W190=0,0,W190*MAX(0,(INDEX(c_CAMy,1,W$7)-INDEX(c_CAMy,1,INDEX('Lease Cycles'!$GC$18:$GI$18,1,W180)+1))*(1+'Lease Cycles'!$AK$18)+(INDEX(c_TAXy,1,W$7)-INDEX(c_TAXy,1,INDEX('Lease Cycles'!$GC$18:$GI$18,1,W180)+1))+(INDEX(c_INSy,1,W$7)-INDEX(c_INSy,1,INDEX('Lease Cycles'!$GC$18:$GI$18,1,W180)+1)))/12)</f>
        <v>0</v>
      </c>
      <c r="X191" s="28">
        <f>IF(X190=0,0,X190*MAX(0,(INDEX(c_CAMy,1,X$7)-INDEX(c_CAMy,1,INDEX('Lease Cycles'!$GC$18:$GI$18,1,X180)+1))*(1+'Lease Cycles'!$AK$18)+(INDEX(c_TAXy,1,X$7)-INDEX(c_TAXy,1,INDEX('Lease Cycles'!$GC$18:$GI$18,1,X180)+1))+(INDEX(c_INSy,1,X$7)-INDEX(c_INSy,1,INDEX('Lease Cycles'!$GC$18:$GI$18,1,X180)+1)))/12)</f>
        <v>0</v>
      </c>
      <c r="Y191" s="28">
        <f>IF(Y190=0,0,Y190*MAX(0,(INDEX(c_CAMy,1,Y$7)-INDEX(c_CAMy,1,INDEX('Lease Cycles'!$GC$18:$GI$18,1,Y180)+1))*(1+'Lease Cycles'!$AK$18)+(INDEX(c_TAXy,1,Y$7)-INDEX(c_TAXy,1,INDEX('Lease Cycles'!$GC$18:$GI$18,1,Y180)+1))+(INDEX(c_INSy,1,Y$7)-INDEX(c_INSy,1,INDEX('Lease Cycles'!$GC$18:$GI$18,1,Y180)+1)))/12)</f>
        <v>0</v>
      </c>
      <c r="Z191" s="28">
        <f>IF(Z190=0,0,Z190*MAX(0,(INDEX(c_CAMy,1,Z$7)-INDEX(c_CAMy,1,INDEX('Lease Cycles'!$GC$18:$GI$18,1,Z180)+1))*(1+'Lease Cycles'!$AK$18)+(INDEX(c_TAXy,1,Z$7)-INDEX(c_TAXy,1,INDEX('Lease Cycles'!$GC$18:$GI$18,1,Z180)+1))+(INDEX(c_INSy,1,Z$7)-INDEX(c_INSy,1,INDEX('Lease Cycles'!$GC$18:$GI$18,1,Z180)+1)))/12)</f>
        <v>0</v>
      </c>
      <c r="AA191" s="28">
        <f>IF(AA190=0,0,AA190*MAX(0,(INDEX(c_CAMy,1,AA$7)-INDEX(c_CAMy,1,INDEX('Lease Cycles'!$GC$18:$GI$18,1,AA180)+1))*(1+'Lease Cycles'!$AK$18)+(INDEX(c_TAXy,1,AA$7)-INDEX(c_TAXy,1,INDEX('Lease Cycles'!$GC$18:$GI$18,1,AA180)+1))+(INDEX(c_INSy,1,AA$7)-INDEX(c_INSy,1,INDEX('Lease Cycles'!$GC$18:$GI$18,1,AA180)+1)))/12)</f>
        <v>0</v>
      </c>
      <c r="AB191" s="28">
        <f>IF(AB190=0,0,AB190*MAX(0,(INDEX(c_CAMy,1,AB$7)-INDEX(c_CAMy,1,INDEX('Lease Cycles'!$GC$18:$GI$18,1,AB180)+1))*(1+'Lease Cycles'!$AK$18)+(INDEX(c_TAXy,1,AB$7)-INDEX(c_TAXy,1,INDEX('Lease Cycles'!$GC$18:$GI$18,1,AB180)+1))+(INDEX(c_INSy,1,AB$7)-INDEX(c_INSy,1,INDEX('Lease Cycles'!$GC$18:$GI$18,1,AB180)+1)))/12)</f>
        <v>0</v>
      </c>
      <c r="AC191" s="28">
        <f>IF(AC190=0,0,AC190*MAX(0,(INDEX(c_CAMy,1,AC$7)-INDEX(c_CAMy,1,INDEX('Lease Cycles'!$GC$18:$GI$18,1,AC180)+1))*(1+'Lease Cycles'!$AK$18)+(INDEX(c_TAXy,1,AC$7)-INDEX(c_TAXy,1,INDEX('Lease Cycles'!$GC$18:$GI$18,1,AC180)+1))+(INDEX(c_INSy,1,AC$7)-INDEX(c_INSy,1,INDEX('Lease Cycles'!$GC$18:$GI$18,1,AC180)+1)))/12)</f>
        <v>0</v>
      </c>
      <c r="AD191" s="28">
        <f>IF(AD190=0,0,AD190*MAX(0,(INDEX(c_CAMy,1,AD$7)-INDEX(c_CAMy,1,INDEX('Lease Cycles'!$GC$18:$GI$18,1,AD180)+1))*(1+'Lease Cycles'!$AK$18)+(INDEX(c_TAXy,1,AD$7)-INDEX(c_TAXy,1,INDEX('Lease Cycles'!$GC$18:$GI$18,1,AD180)+1))+(INDEX(c_INSy,1,AD$7)-INDEX(c_INSy,1,INDEX('Lease Cycles'!$GC$18:$GI$18,1,AD180)+1)))/12)</f>
        <v>0</v>
      </c>
      <c r="AE191" s="28">
        <f>IF(AE190=0,0,AE190*MAX(0,(INDEX(c_CAMy,1,AE$7)-INDEX(c_CAMy,1,INDEX('Lease Cycles'!$GC$18:$GI$18,1,AE180)+1))*(1+'Lease Cycles'!$AK$18)+(INDEX(c_TAXy,1,AE$7)-INDEX(c_TAXy,1,INDEX('Lease Cycles'!$GC$18:$GI$18,1,AE180)+1))+(INDEX(c_INSy,1,AE$7)-INDEX(c_INSy,1,INDEX('Lease Cycles'!$GC$18:$GI$18,1,AE180)+1)))/12)</f>
        <v>0</v>
      </c>
      <c r="AF191" s="28">
        <f>IF(AF190=0,0,AF190*MAX(0,(INDEX(c_CAMy,1,AF$7)-INDEX(c_CAMy,1,INDEX('Lease Cycles'!$GC$18:$GI$18,1,AF180)+1))*(1+'Lease Cycles'!$AK$18)+(INDEX(c_TAXy,1,AF$7)-INDEX(c_TAXy,1,INDEX('Lease Cycles'!$GC$18:$GI$18,1,AF180)+1))+(INDEX(c_INSy,1,AF$7)-INDEX(c_INSy,1,INDEX('Lease Cycles'!$GC$18:$GI$18,1,AF180)+1)))/12)</f>
        <v>0</v>
      </c>
      <c r="AG191" s="28">
        <f>IF(AG190=0,0,AG190*MAX(0,(INDEX(c_CAMy,1,AG$7)-INDEX(c_CAMy,1,INDEX('Lease Cycles'!$GC$18:$GI$18,1,AG180)+1))*(1+'Lease Cycles'!$AK$18)+(INDEX(c_TAXy,1,AG$7)-INDEX(c_TAXy,1,INDEX('Lease Cycles'!$GC$18:$GI$18,1,AG180)+1))+(INDEX(c_INSy,1,AG$7)-INDEX(c_INSy,1,INDEX('Lease Cycles'!$GC$18:$GI$18,1,AG180)+1)))/12)</f>
        <v>0</v>
      </c>
      <c r="AH191" s="28">
        <f>IF(AH190=0,0,AH190*MAX(0,(INDEX(c_CAMy,1,AH$7)-INDEX(c_CAMy,1,INDEX('Lease Cycles'!$GC$18:$GI$18,1,AH180)+1))*(1+'Lease Cycles'!$AK$18)+(INDEX(c_TAXy,1,AH$7)-INDEX(c_TAXy,1,INDEX('Lease Cycles'!$GC$18:$GI$18,1,AH180)+1))+(INDEX(c_INSy,1,AH$7)-INDEX(c_INSy,1,INDEX('Lease Cycles'!$GC$18:$GI$18,1,AH180)+1)))/12)</f>
        <v>0</v>
      </c>
      <c r="AI191" s="28">
        <f>IF(AI190=0,0,AI190*MAX(0,(INDEX(c_CAMy,1,AI$7)-INDEX(c_CAMy,1,INDEX('Lease Cycles'!$GC$18:$GI$18,1,AI180)+1))*(1+'Lease Cycles'!$AK$18)+(INDEX(c_TAXy,1,AI$7)-INDEX(c_TAXy,1,INDEX('Lease Cycles'!$GC$18:$GI$18,1,AI180)+1))+(INDEX(c_INSy,1,AI$7)-INDEX(c_INSy,1,INDEX('Lease Cycles'!$GC$18:$GI$18,1,AI180)+1)))/12)</f>
        <v>0</v>
      </c>
      <c r="AJ191" s="28">
        <f>IF(AJ190=0,0,AJ190*MAX(0,(INDEX(c_CAMy,1,AJ$7)-INDEX(c_CAMy,1,INDEX('Lease Cycles'!$GC$18:$GI$18,1,AJ180)+1))*(1+'Lease Cycles'!$AK$18)+(INDEX(c_TAXy,1,AJ$7)-INDEX(c_TAXy,1,INDEX('Lease Cycles'!$GC$18:$GI$18,1,AJ180)+1))+(INDEX(c_INSy,1,AJ$7)-INDEX(c_INSy,1,INDEX('Lease Cycles'!$GC$18:$GI$18,1,AJ180)+1)))/12)</f>
        <v>0</v>
      </c>
      <c r="AK191" s="28">
        <f>IF(AK190=0,0,AK190*MAX(0,(INDEX(c_CAMy,1,AK$7)-INDEX(c_CAMy,1,INDEX('Lease Cycles'!$GC$18:$GI$18,1,AK180)+1))*(1+'Lease Cycles'!$AK$18)+(INDEX(c_TAXy,1,AK$7)-INDEX(c_TAXy,1,INDEX('Lease Cycles'!$GC$18:$GI$18,1,AK180)+1))+(INDEX(c_INSy,1,AK$7)-INDEX(c_INSy,1,INDEX('Lease Cycles'!$GC$18:$GI$18,1,AK180)+1)))/12)</f>
        <v>0</v>
      </c>
      <c r="AL191" s="28">
        <f>IF(AL190=0,0,AL190*MAX(0,(INDEX(c_CAMy,1,AL$7)-INDEX(c_CAMy,1,INDEX('Lease Cycles'!$GC$18:$GI$18,1,AL180)+1))*(1+'Lease Cycles'!$AK$18)+(INDEX(c_TAXy,1,AL$7)-INDEX(c_TAXy,1,INDEX('Lease Cycles'!$GC$18:$GI$18,1,AL180)+1))+(INDEX(c_INSy,1,AL$7)-INDEX(c_INSy,1,INDEX('Lease Cycles'!$GC$18:$GI$18,1,AL180)+1)))/12)</f>
        <v>0</v>
      </c>
      <c r="AM191" s="28">
        <f>IF(AM190=0,0,AM190*MAX(0,(INDEX(c_CAMy,1,AM$7)-INDEX(c_CAMy,1,INDEX('Lease Cycles'!$GC$18:$GI$18,1,AM180)+1))*(1+'Lease Cycles'!$AK$18)+(INDEX(c_TAXy,1,AM$7)-INDEX(c_TAXy,1,INDEX('Lease Cycles'!$GC$18:$GI$18,1,AM180)+1))+(INDEX(c_INSy,1,AM$7)-INDEX(c_INSy,1,INDEX('Lease Cycles'!$GC$18:$GI$18,1,AM180)+1)))/12)</f>
        <v>0</v>
      </c>
      <c r="AN191" s="28">
        <f>IF(AN190=0,0,AN190*MAX(0,(INDEX(c_CAMy,1,AN$7)-INDEX(c_CAMy,1,INDEX('Lease Cycles'!$GC$18:$GI$18,1,AN180)+1))*(1+'Lease Cycles'!$AK$18)+(INDEX(c_TAXy,1,AN$7)-INDEX(c_TAXy,1,INDEX('Lease Cycles'!$GC$18:$GI$18,1,AN180)+1))+(INDEX(c_INSy,1,AN$7)-INDEX(c_INSy,1,INDEX('Lease Cycles'!$GC$18:$GI$18,1,AN180)+1)))/12)</f>
        <v>0</v>
      </c>
      <c r="AO191" s="28">
        <f>IF(AO190=0,0,AO190*MAX(0,(INDEX(c_CAMy,1,AO$7)-INDEX(c_CAMy,1,INDEX('Lease Cycles'!$GC$18:$GI$18,1,AO180)+1))*(1+'Lease Cycles'!$AK$18)+(INDEX(c_TAXy,1,AO$7)-INDEX(c_TAXy,1,INDEX('Lease Cycles'!$GC$18:$GI$18,1,AO180)+1))+(INDEX(c_INSy,1,AO$7)-INDEX(c_INSy,1,INDEX('Lease Cycles'!$GC$18:$GI$18,1,AO180)+1)))/12)</f>
        <v>0</v>
      </c>
      <c r="AP191" s="28">
        <f>IF(AP190=0,0,AP190*MAX(0,(INDEX(c_CAMy,1,AP$7)-INDEX(c_CAMy,1,INDEX('Lease Cycles'!$GC$18:$GI$18,1,AP180)+1))*(1+'Lease Cycles'!$AK$18)+(INDEX(c_TAXy,1,AP$7)-INDEX(c_TAXy,1,INDEX('Lease Cycles'!$GC$18:$GI$18,1,AP180)+1))+(INDEX(c_INSy,1,AP$7)-INDEX(c_INSy,1,INDEX('Lease Cycles'!$GC$18:$GI$18,1,AP180)+1)))/12)</f>
        <v>0</v>
      </c>
      <c r="AQ191" s="28">
        <f>IF(AQ190=0,0,AQ190*MAX(0,(INDEX(c_CAMy,1,AQ$7)-INDEX(c_CAMy,1,INDEX('Lease Cycles'!$GC$18:$GI$18,1,AQ180)+1))*(1+'Lease Cycles'!$AK$18)+(INDEX(c_TAXy,1,AQ$7)-INDEX(c_TAXy,1,INDEX('Lease Cycles'!$GC$18:$GI$18,1,AQ180)+1))+(INDEX(c_INSy,1,AQ$7)-INDEX(c_INSy,1,INDEX('Lease Cycles'!$GC$18:$GI$18,1,AQ180)+1)))/12)</f>
        <v>0</v>
      </c>
      <c r="AR191" s="28">
        <f>IF(AR190=0,0,AR190*MAX(0,(INDEX(c_CAMy,1,AR$7)-INDEX(c_CAMy,1,INDEX('Lease Cycles'!$GC$18:$GI$18,1,AR180)+1))*(1+'Lease Cycles'!$AK$18)+(INDEX(c_TAXy,1,AR$7)-INDEX(c_TAXy,1,INDEX('Lease Cycles'!$GC$18:$GI$18,1,AR180)+1))+(INDEX(c_INSy,1,AR$7)-INDEX(c_INSy,1,INDEX('Lease Cycles'!$GC$18:$GI$18,1,AR180)+1)))/12)</f>
        <v>0</v>
      </c>
      <c r="AS191" s="28">
        <f>IF(AS190=0,0,AS190*MAX(0,(INDEX(c_CAMy,1,AS$7)-INDEX(c_CAMy,1,INDEX('Lease Cycles'!$GC$18:$GI$18,1,AS180)+1))*(1+'Lease Cycles'!$AK$18)+(INDEX(c_TAXy,1,AS$7)-INDEX(c_TAXy,1,INDEX('Lease Cycles'!$GC$18:$GI$18,1,AS180)+1))+(INDEX(c_INSy,1,AS$7)-INDEX(c_INSy,1,INDEX('Lease Cycles'!$GC$18:$GI$18,1,AS180)+1)))/12)</f>
        <v>0</v>
      </c>
      <c r="AT191" s="28">
        <f>IF(AT190=0,0,AT190*MAX(0,(INDEX(c_CAMy,1,AT$7)-INDEX(c_CAMy,1,INDEX('Lease Cycles'!$GC$18:$GI$18,1,AT180)+1))*(1+'Lease Cycles'!$AK$18)+(INDEX(c_TAXy,1,AT$7)-INDEX(c_TAXy,1,INDEX('Lease Cycles'!$GC$18:$GI$18,1,AT180)+1))+(INDEX(c_INSy,1,AT$7)-INDEX(c_INSy,1,INDEX('Lease Cycles'!$GC$18:$GI$18,1,AT180)+1)))/12)</f>
        <v>0</v>
      </c>
      <c r="AU191" s="28">
        <f>IF(AU190=0,0,AU190*MAX(0,(INDEX(c_CAMy,1,AU$7)-INDEX(c_CAMy,1,INDEX('Lease Cycles'!$GC$18:$GI$18,1,AU180)+1))*(1+'Lease Cycles'!$AK$18)+(INDEX(c_TAXy,1,AU$7)-INDEX(c_TAXy,1,INDEX('Lease Cycles'!$GC$18:$GI$18,1,AU180)+1))+(INDEX(c_INSy,1,AU$7)-INDEX(c_INSy,1,INDEX('Lease Cycles'!$GC$18:$GI$18,1,AU180)+1)))/12)</f>
        <v>0</v>
      </c>
      <c r="AV191" s="28">
        <f>IF(AV190=0,0,AV190*MAX(0,(INDEX(c_CAMy,1,AV$7)-INDEX(c_CAMy,1,INDEX('Lease Cycles'!$GC$18:$GI$18,1,AV180)+1))*(1+'Lease Cycles'!$AK$18)+(INDEX(c_TAXy,1,AV$7)-INDEX(c_TAXy,1,INDEX('Lease Cycles'!$GC$18:$GI$18,1,AV180)+1))+(INDEX(c_INSy,1,AV$7)-INDEX(c_INSy,1,INDEX('Lease Cycles'!$GC$18:$GI$18,1,AV180)+1)))/12)</f>
        <v>0</v>
      </c>
      <c r="AW191" s="28">
        <f>IF(AW190=0,0,AW190*MAX(0,(INDEX(c_CAMy,1,AW$7)-INDEX(c_CAMy,1,INDEX('Lease Cycles'!$GC$18:$GI$18,1,AW180)+1))*(1+'Lease Cycles'!$AK$18)+(INDEX(c_TAXy,1,AW$7)-INDEX(c_TAXy,1,INDEX('Lease Cycles'!$GC$18:$GI$18,1,AW180)+1))+(INDEX(c_INSy,1,AW$7)-INDEX(c_INSy,1,INDEX('Lease Cycles'!$GC$18:$GI$18,1,AW180)+1)))/12)</f>
        <v>0</v>
      </c>
      <c r="AX191" s="28">
        <f>IF(AX190=0,0,AX190*MAX(0,(INDEX(c_CAMy,1,AX$7)-INDEX(c_CAMy,1,INDEX('Lease Cycles'!$GC$18:$GI$18,1,AX180)+1))*(1+'Lease Cycles'!$AK$18)+(INDEX(c_TAXy,1,AX$7)-INDEX(c_TAXy,1,INDEX('Lease Cycles'!$GC$18:$GI$18,1,AX180)+1))+(INDEX(c_INSy,1,AX$7)-INDEX(c_INSy,1,INDEX('Lease Cycles'!$GC$18:$GI$18,1,AX180)+1)))/12)</f>
        <v>0</v>
      </c>
      <c r="AY191" s="28">
        <f>IF(AY190=0,0,AY190*MAX(0,(INDEX(c_CAMy,1,AY$7)-INDEX(c_CAMy,1,INDEX('Lease Cycles'!$GC$18:$GI$18,1,AY180)+1))*(1+'Lease Cycles'!$AK$18)+(INDEX(c_TAXy,1,AY$7)-INDEX(c_TAXy,1,INDEX('Lease Cycles'!$GC$18:$GI$18,1,AY180)+1))+(INDEX(c_INSy,1,AY$7)-INDEX(c_INSy,1,INDEX('Lease Cycles'!$GC$18:$GI$18,1,AY180)+1)))/12)</f>
        <v>0</v>
      </c>
      <c r="AZ191" s="28">
        <f>IF(AZ190=0,0,AZ190*MAX(0,(INDEX(c_CAMy,1,AZ$7)-INDEX(c_CAMy,1,INDEX('Lease Cycles'!$GC$18:$GI$18,1,AZ180)+1))*(1+'Lease Cycles'!$AK$18)+(INDEX(c_TAXy,1,AZ$7)-INDEX(c_TAXy,1,INDEX('Lease Cycles'!$GC$18:$GI$18,1,AZ180)+1))+(INDEX(c_INSy,1,AZ$7)-INDEX(c_INSy,1,INDEX('Lease Cycles'!$GC$18:$GI$18,1,AZ180)+1)))/12)</f>
        <v>0</v>
      </c>
      <c r="BA191" s="28">
        <f>IF(BA190=0,0,BA190*MAX(0,(INDEX(c_CAMy,1,BA$7)-INDEX(c_CAMy,1,INDEX('Lease Cycles'!$GC$18:$GI$18,1,BA180)+1))*(1+'Lease Cycles'!$AK$18)+(INDEX(c_TAXy,1,BA$7)-INDEX(c_TAXy,1,INDEX('Lease Cycles'!$GC$18:$GI$18,1,BA180)+1))+(INDEX(c_INSy,1,BA$7)-INDEX(c_INSy,1,INDEX('Lease Cycles'!$GC$18:$GI$18,1,BA180)+1)))/12)</f>
        <v>0</v>
      </c>
      <c r="BB191" s="28">
        <f>IF(BB190=0,0,BB190*MAX(0,(INDEX(c_CAMy,1,BB$7)-INDEX(c_CAMy,1,INDEX('Lease Cycles'!$GC$18:$GI$18,1,BB180)+1))*(1+'Lease Cycles'!$AK$18)+(INDEX(c_TAXy,1,BB$7)-INDEX(c_TAXy,1,INDEX('Lease Cycles'!$GC$18:$GI$18,1,BB180)+1))+(INDEX(c_INSy,1,BB$7)-INDEX(c_INSy,1,INDEX('Lease Cycles'!$GC$18:$GI$18,1,BB180)+1)))/12)</f>
        <v>0</v>
      </c>
      <c r="BC191" s="28">
        <f>IF(BC190=0,0,BC190*MAX(0,(INDEX(c_CAMy,1,BC$7)-INDEX(c_CAMy,1,INDEX('Lease Cycles'!$GC$18:$GI$18,1,BC180)+1))*(1+'Lease Cycles'!$AK$18)+(INDEX(c_TAXy,1,BC$7)-INDEX(c_TAXy,1,INDEX('Lease Cycles'!$GC$18:$GI$18,1,BC180)+1))+(INDEX(c_INSy,1,BC$7)-INDEX(c_INSy,1,INDEX('Lease Cycles'!$GC$18:$GI$18,1,BC180)+1)))/12)</f>
        <v>0</v>
      </c>
      <c r="BD191" s="28">
        <f>IF(BD190=0,0,BD190*MAX(0,(INDEX(c_CAMy,1,BD$7)-INDEX(c_CAMy,1,INDEX('Lease Cycles'!$GC$18:$GI$18,1,BD180)+1))*(1+'Lease Cycles'!$AK$18)+(INDEX(c_TAXy,1,BD$7)-INDEX(c_TAXy,1,INDEX('Lease Cycles'!$GC$18:$GI$18,1,BD180)+1))+(INDEX(c_INSy,1,BD$7)-INDEX(c_INSy,1,INDEX('Lease Cycles'!$GC$18:$GI$18,1,BD180)+1)))/12)</f>
        <v>0</v>
      </c>
      <c r="BE191" s="28">
        <f>IF(BE190=0,0,BE190*MAX(0,(INDEX(c_CAMy,1,BE$7)-INDEX(c_CAMy,1,INDEX('Lease Cycles'!$GC$18:$GI$18,1,BE180)+1))*(1+'Lease Cycles'!$AK$18)+(INDEX(c_TAXy,1,BE$7)-INDEX(c_TAXy,1,INDEX('Lease Cycles'!$GC$18:$GI$18,1,BE180)+1))+(INDEX(c_INSy,1,BE$7)-INDEX(c_INSy,1,INDEX('Lease Cycles'!$GC$18:$GI$18,1,BE180)+1)))/12)</f>
        <v>0</v>
      </c>
      <c r="BF191" s="28">
        <f>IF(BF190=0,0,BF190*MAX(0,(INDEX(c_CAMy,1,BF$7)-INDEX(c_CAMy,1,INDEX('Lease Cycles'!$GC$18:$GI$18,1,BF180)+1))*(1+'Lease Cycles'!$AK$18)+(INDEX(c_TAXy,1,BF$7)-INDEX(c_TAXy,1,INDEX('Lease Cycles'!$GC$18:$GI$18,1,BF180)+1))+(INDEX(c_INSy,1,BF$7)-INDEX(c_INSy,1,INDEX('Lease Cycles'!$GC$18:$GI$18,1,BF180)+1)))/12)</f>
        <v>0</v>
      </c>
      <c r="BG191" s="28">
        <f>IF(BG190=0,0,BG190*MAX(0,(INDEX(c_CAMy,1,BG$7)-INDEX(c_CAMy,1,INDEX('Lease Cycles'!$GC$18:$GI$18,1,BG180)+1))*(1+'Lease Cycles'!$AK$18)+(INDEX(c_TAXy,1,BG$7)-INDEX(c_TAXy,1,INDEX('Lease Cycles'!$GC$18:$GI$18,1,BG180)+1))+(INDEX(c_INSy,1,BG$7)-INDEX(c_INSy,1,INDEX('Lease Cycles'!$GC$18:$GI$18,1,BG180)+1)))/12)</f>
        <v>0</v>
      </c>
      <c r="BH191" s="28">
        <f>IF(BH190=0,0,BH190*MAX(0,(INDEX(c_CAMy,1,BH$7)-INDEX(c_CAMy,1,INDEX('Lease Cycles'!$GC$18:$GI$18,1,BH180)+1))*(1+'Lease Cycles'!$AK$18)+(INDEX(c_TAXy,1,BH$7)-INDEX(c_TAXy,1,INDEX('Lease Cycles'!$GC$18:$GI$18,1,BH180)+1))+(INDEX(c_INSy,1,BH$7)-INDEX(c_INSy,1,INDEX('Lease Cycles'!$GC$18:$GI$18,1,BH180)+1)))/12)</f>
        <v>0</v>
      </c>
      <c r="BI191" s="28">
        <f>IF(BI190=0,0,BI190*MAX(0,(INDEX(c_CAMy,1,BI$7)-INDEX(c_CAMy,1,INDEX('Lease Cycles'!$GC$18:$GI$18,1,BI180)+1))*(1+'Lease Cycles'!$AK$18)+(INDEX(c_TAXy,1,BI$7)-INDEX(c_TAXy,1,INDEX('Lease Cycles'!$GC$18:$GI$18,1,BI180)+1))+(INDEX(c_INSy,1,BI$7)-INDEX(c_INSy,1,INDEX('Lease Cycles'!$GC$18:$GI$18,1,BI180)+1)))/12)</f>
        <v>0</v>
      </c>
      <c r="BJ191" s="28">
        <f>IF(BJ190=0,0,BJ190*MAX(0,(INDEX(c_CAMy,1,BJ$7)-INDEX(c_CAMy,1,INDEX('Lease Cycles'!$GC$18:$GI$18,1,BJ180)+1))*(1+'Lease Cycles'!$AK$18)+(INDEX(c_TAXy,1,BJ$7)-INDEX(c_TAXy,1,INDEX('Lease Cycles'!$GC$18:$GI$18,1,BJ180)+1))+(INDEX(c_INSy,1,BJ$7)-INDEX(c_INSy,1,INDEX('Lease Cycles'!$GC$18:$GI$18,1,BJ180)+1)))/12)</f>
        <v>0</v>
      </c>
      <c r="BK191" s="28">
        <f>IF(BK190=0,0,BK190*MAX(0,(INDEX(c_CAMy,1,BK$7)-INDEX(c_CAMy,1,INDEX('Lease Cycles'!$GC$18:$GI$18,1,BK180)+1))*(1+'Lease Cycles'!$AK$18)+(INDEX(c_TAXy,1,BK$7)-INDEX(c_TAXy,1,INDEX('Lease Cycles'!$GC$18:$GI$18,1,BK180)+1))+(INDEX(c_INSy,1,BK$7)-INDEX(c_INSy,1,INDEX('Lease Cycles'!$GC$18:$GI$18,1,BK180)+1)))/12)</f>
        <v>0</v>
      </c>
      <c r="BL191" s="28">
        <f>IF(BL190=0,0,BL190*MAX(0,(INDEX(c_CAMy,1,BL$7)-INDEX(c_CAMy,1,INDEX('Lease Cycles'!$GC$18:$GI$18,1,BL180)+1))*(1+'Lease Cycles'!$AK$18)+(INDEX(c_TAXy,1,BL$7)-INDEX(c_TAXy,1,INDEX('Lease Cycles'!$GC$18:$GI$18,1,BL180)+1))+(INDEX(c_INSy,1,BL$7)-INDEX(c_INSy,1,INDEX('Lease Cycles'!$GC$18:$GI$18,1,BL180)+1)))/12)</f>
        <v>0</v>
      </c>
      <c r="BM191" s="28">
        <f>IF(BM190=0,0,BM190*MAX(0,(INDEX(c_CAMy,1,BM$7)-INDEX(c_CAMy,1,INDEX('Lease Cycles'!$GC$18:$GI$18,1,BM180)+1))*(1+'Lease Cycles'!$AK$18)+(INDEX(c_TAXy,1,BM$7)-INDEX(c_TAXy,1,INDEX('Lease Cycles'!$GC$18:$GI$18,1,BM180)+1))+(INDEX(c_INSy,1,BM$7)-INDEX(c_INSy,1,INDEX('Lease Cycles'!$GC$18:$GI$18,1,BM180)+1)))/12)</f>
        <v>0</v>
      </c>
      <c r="BN191" s="28">
        <f>IF(BN190=0,0,BN190*MAX(0,(INDEX(c_CAMy,1,BN$7)-INDEX(c_CAMy,1,INDEX('Lease Cycles'!$GC$18:$GI$18,1,BN180)+1))*(1+'Lease Cycles'!$AK$18)+(INDEX(c_TAXy,1,BN$7)-INDEX(c_TAXy,1,INDEX('Lease Cycles'!$GC$18:$GI$18,1,BN180)+1))+(INDEX(c_INSy,1,BN$7)-INDEX(c_INSy,1,INDEX('Lease Cycles'!$GC$18:$GI$18,1,BN180)+1)))/12)</f>
        <v>0</v>
      </c>
      <c r="BO191" s="28">
        <f>IF(BO190=0,0,BO190*MAX(0,(INDEX(c_CAMy,1,BO$7)-INDEX(c_CAMy,1,INDEX('Lease Cycles'!$GC$18:$GI$18,1,BO180)+1))*(1+'Lease Cycles'!$AK$18)+(INDEX(c_TAXy,1,BO$7)-INDEX(c_TAXy,1,INDEX('Lease Cycles'!$GC$18:$GI$18,1,BO180)+1))+(INDEX(c_INSy,1,BO$7)-INDEX(c_INSy,1,INDEX('Lease Cycles'!$GC$18:$GI$18,1,BO180)+1)))/12)</f>
        <v>0</v>
      </c>
      <c r="BP191" s="28">
        <f>IF(BP190=0,0,BP190*MAX(0,(INDEX(c_CAMy,1,BP$7)-INDEX(c_CAMy,1,INDEX('Lease Cycles'!$GC$18:$GI$18,1,BP180)+1))*(1+'Lease Cycles'!$AK$18)+(INDEX(c_TAXy,1,BP$7)-INDEX(c_TAXy,1,INDEX('Lease Cycles'!$GC$18:$GI$18,1,BP180)+1))+(INDEX(c_INSy,1,BP$7)-INDEX(c_INSy,1,INDEX('Lease Cycles'!$GC$18:$GI$18,1,BP180)+1)))/12)</f>
        <v>0</v>
      </c>
      <c r="BQ191" s="28">
        <f>IF(BQ190=0,0,BQ190*MAX(0,(INDEX(c_CAMy,1,BQ$7)-INDEX(c_CAMy,1,INDEX('Lease Cycles'!$GC$18:$GI$18,1,BQ180)+1))*(1+'Lease Cycles'!$AK$18)+(INDEX(c_TAXy,1,BQ$7)-INDEX(c_TAXy,1,INDEX('Lease Cycles'!$GC$18:$GI$18,1,BQ180)+1))+(INDEX(c_INSy,1,BQ$7)-INDEX(c_INSy,1,INDEX('Lease Cycles'!$GC$18:$GI$18,1,BQ180)+1)))/12)</f>
        <v>0</v>
      </c>
      <c r="BR191" s="28">
        <f>IF(BR190=0,0,BR190*MAX(0,(INDEX(c_CAMy,1,BR$7)-INDEX(c_CAMy,1,INDEX('Lease Cycles'!$GC$18:$GI$18,1,BR180)+1))*(1+'Lease Cycles'!$AK$18)+(INDEX(c_TAXy,1,BR$7)-INDEX(c_TAXy,1,INDEX('Lease Cycles'!$GC$18:$GI$18,1,BR180)+1))+(INDEX(c_INSy,1,BR$7)-INDEX(c_INSy,1,INDEX('Lease Cycles'!$GC$18:$GI$18,1,BR180)+1)))/12)</f>
        <v>0</v>
      </c>
      <c r="BS191" s="28">
        <f>IF(BS190=0,0,BS190*MAX(0,(INDEX(c_CAMy,1,BS$7)-INDEX(c_CAMy,1,INDEX('Lease Cycles'!$GC$18:$GI$18,1,BS180)+1))*(1+'Lease Cycles'!$AK$18)+(INDEX(c_TAXy,1,BS$7)-INDEX(c_TAXy,1,INDEX('Lease Cycles'!$GC$18:$GI$18,1,BS180)+1))+(INDEX(c_INSy,1,BS$7)-INDEX(c_INSy,1,INDEX('Lease Cycles'!$GC$18:$GI$18,1,BS180)+1)))/12)</f>
        <v>0</v>
      </c>
      <c r="BT191" s="28">
        <f>IF(BT190=0,0,BT190*MAX(0,(INDEX(c_CAMy,1,BT$7)-INDEX(c_CAMy,1,INDEX('Lease Cycles'!$GC$18:$GI$18,1,BT180)+1))*(1+'Lease Cycles'!$AK$18)+(INDEX(c_TAXy,1,BT$7)-INDEX(c_TAXy,1,INDEX('Lease Cycles'!$GC$18:$GI$18,1,BT180)+1))+(INDEX(c_INSy,1,BT$7)-INDEX(c_INSy,1,INDEX('Lease Cycles'!$GC$18:$GI$18,1,BT180)+1)))/12)</f>
        <v>0</v>
      </c>
      <c r="BU191" s="28">
        <f>IF(BU190=0,0,BU190*MAX(0,(INDEX(c_CAMy,1,BU$7)-INDEX(c_CAMy,1,INDEX('Lease Cycles'!$GC$18:$GI$18,1,BU180)+1))*(1+'Lease Cycles'!$AK$18)+(INDEX(c_TAXy,1,BU$7)-INDEX(c_TAXy,1,INDEX('Lease Cycles'!$GC$18:$GI$18,1,BU180)+1))+(INDEX(c_INSy,1,BU$7)-INDEX(c_INSy,1,INDEX('Lease Cycles'!$GC$18:$GI$18,1,BU180)+1)))/12)</f>
        <v>0</v>
      </c>
      <c r="BV191" s="28">
        <f>IF(BV190=0,0,BV190*MAX(0,(INDEX(c_CAMy,1,BV$7)-INDEX(c_CAMy,1,INDEX('Lease Cycles'!$GC$18:$GI$18,1,BV180)+1))*(1+'Lease Cycles'!$AK$18)+(INDEX(c_TAXy,1,BV$7)-INDEX(c_TAXy,1,INDEX('Lease Cycles'!$GC$18:$GI$18,1,BV180)+1))+(INDEX(c_INSy,1,BV$7)-INDEX(c_INSy,1,INDEX('Lease Cycles'!$GC$18:$GI$18,1,BV180)+1)))/12)</f>
        <v>0</v>
      </c>
      <c r="BW191" s="28">
        <f>IF(BW190=0,0,BW190*MAX(0,(INDEX(c_CAMy,1,BW$7)-INDEX(c_CAMy,1,INDEX('Lease Cycles'!$GC$18:$GI$18,1,BW180)+1))*(1+'Lease Cycles'!$AK$18)+(INDEX(c_TAXy,1,BW$7)-INDEX(c_TAXy,1,INDEX('Lease Cycles'!$GC$18:$GI$18,1,BW180)+1))+(INDEX(c_INSy,1,BW$7)-INDEX(c_INSy,1,INDEX('Lease Cycles'!$GC$18:$GI$18,1,BW180)+1)))/12)</f>
        <v>0</v>
      </c>
      <c r="BX191" s="28">
        <f>IF(BX190=0,0,BX190*MAX(0,(INDEX(c_CAMy,1,BX$7)-INDEX(c_CAMy,1,INDEX('Lease Cycles'!$GC$18:$GI$18,1,BX180)+1))*(1+'Lease Cycles'!$AK$18)+(INDEX(c_TAXy,1,BX$7)-INDEX(c_TAXy,1,INDEX('Lease Cycles'!$GC$18:$GI$18,1,BX180)+1))+(INDEX(c_INSy,1,BX$7)-INDEX(c_INSy,1,INDEX('Lease Cycles'!$GC$18:$GI$18,1,BX180)+1)))/12)</f>
        <v>0</v>
      </c>
      <c r="BY191" s="28">
        <f>IF(BY190=0,0,BY190*MAX(0,(INDEX(c_CAMy,1,BY$7)-INDEX(c_CAMy,1,INDEX('Lease Cycles'!$GC$18:$GI$18,1,BY180)+1))*(1+'Lease Cycles'!$AK$18)+(INDEX(c_TAXy,1,BY$7)-INDEX(c_TAXy,1,INDEX('Lease Cycles'!$GC$18:$GI$18,1,BY180)+1))+(INDEX(c_INSy,1,BY$7)-INDEX(c_INSy,1,INDEX('Lease Cycles'!$GC$18:$GI$18,1,BY180)+1)))/12)</f>
        <v>0</v>
      </c>
      <c r="BZ191" s="28">
        <f>IF(BZ190=0,0,BZ190*MAX(0,(INDEX(c_CAMy,1,BZ$7)-INDEX(c_CAMy,1,INDEX('Lease Cycles'!$GC$18:$GI$18,1,BZ180)+1))*(1+'Lease Cycles'!$AK$18)+(INDEX(c_TAXy,1,BZ$7)-INDEX(c_TAXy,1,INDEX('Lease Cycles'!$GC$18:$GI$18,1,BZ180)+1))+(INDEX(c_INSy,1,BZ$7)-INDEX(c_INSy,1,INDEX('Lease Cycles'!$GC$18:$GI$18,1,BZ180)+1)))/12)</f>
        <v>0</v>
      </c>
      <c r="CA191" s="28">
        <f>IF(CA190=0,0,CA190*MAX(0,(INDEX(c_CAMy,1,CA$7)-INDEX(c_CAMy,1,INDEX('Lease Cycles'!$GC$18:$GI$18,1,CA180)+1))*(1+'Lease Cycles'!$AK$18)+(INDEX(c_TAXy,1,CA$7)-INDEX(c_TAXy,1,INDEX('Lease Cycles'!$GC$18:$GI$18,1,CA180)+1))+(INDEX(c_INSy,1,CA$7)-INDEX(c_INSy,1,INDEX('Lease Cycles'!$GC$18:$GI$18,1,CA180)+1)))/12)</f>
        <v>0</v>
      </c>
      <c r="CB191" s="28">
        <f>IF(CB190=0,0,CB190*MAX(0,(INDEX(c_CAMy,1,CB$7)-INDEX(c_CAMy,1,INDEX('Lease Cycles'!$GC$18:$GI$18,1,CB180)+1))*(1+'Lease Cycles'!$AK$18)+(INDEX(c_TAXy,1,CB$7)-INDEX(c_TAXy,1,INDEX('Lease Cycles'!$GC$18:$GI$18,1,CB180)+1))+(INDEX(c_INSy,1,CB$7)-INDEX(c_INSy,1,INDEX('Lease Cycles'!$GC$18:$GI$18,1,CB180)+1)))/12)</f>
        <v>0</v>
      </c>
      <c r="CC191" s="28">
        <f>IF(CC190=0,0,CC190*MAX(0,(INDEX(c_CAMy,1,CC$7)-INDEX(c_CAMy,1,INDEX('Lease Cycles'!$GC$18:$GI$18,1,CC180)+1))*(1+'Lease Cycles'!$AK$18)+(INDEX(c_TAXy,1,CC$7)-INDEX(c_TAXy,1,INDEX('Lease Cycles'!$GC$18:$GI$18,1,CC180)+1))+(INDEX(c_INSy,1,CC$7)-INDEX(c_INSy,1,INDEX('Lease Cycles'!$GC$18:$GI$18,1,CC180)+1)))/12)</f>
        <v>0</v>
      </c>
      <c r="CD191" s="28">
        <f>IF(CD190=0,0,CD190*MAX(0,(INDEX(c_CAMy,1,CD$7)-INDEX(c_CAMy,1,INDEX('Lease Cycles'!$GC$18:$GI$18,1,CD180)+1))*(1+'Lease Cycles'!$AK$18)+(INDEX(c_TAXy,1,CD$7)-INDEX(c_TAXy,1,INDEX('Lease Cycles'!$GC$18:$GI$18,1,CD180)+1))+(INDEX(c_INSy,1,CD$7)-INDEX(c_INSy,1,INDEX('Lease Cycles'!$GC$18:$GI$18,1,CD180)+1)))/12)</f>
        <v>0</v>
      </c>
      <c r="CE191" s="28">
        <f>IF(CE190=0,0,CE190*MAX(0,(INDEX(c_CAMy,1,CE$7)-INDEX(c_CAMy,1,INDEX('Lease Cycles'!$GC$18:$GI$18,1,CE180)+1))*(1+'Lease Cycles'!$AK$18)+(INDEX(c_TAXy,1,CE$7)-INDEX(c_TAXy,1,INDEX('Lease Cycles'!$GC$18:$GI$18,1,CE180)+1))+(INDEX(c_INSy,1,CE$7)-INDEX(c_INSy,1,INDEX('Lease Cycles'!$GC$18:$GI$18,1,CE180)+1)))/12)</f>
        <v>0</v>
      </c>
      <c r="CF191" s="28">
        <f>IF(CF190=0,0,CF190*MAX(0,(INDEX(c_CAMy,1,CF$7)-INDEX(c_CAMy,1,INDEX('Lease Cycles'!$GC$18:$GI$18,1,CF180)+1))*(1+'Lease Cycles'!$AK$18)+(INDEX(c_TAXy,1,CF$7)-INDEX(c_TAXy,1,INDEX('Lease Cycles'!$GC$18:$GI$18,1,CF180)+1))+(INDEX(c_INSy,1,CF$7)-INDEX(c_INSy,1,INDEX('Lease Cycles'!$GC$18:$GI$18,1,CF180)+1)))/12)</f>
        <v>0</v>
      </c>
      <c r="CG191" s="28">
        <f>IF(CG190=0,0,CG190*MAX(0,(INDEX(c_CAMy,1,CG$7)-INDEX(c_CAMy,1,INDEX('Lease Cycles'!$GC$18:$GI$18,1,CG180)+1))*(1+'Lease Cycles'!$AK$18)+(INDEX(c_TAXy,1,CG$7)-INDEX(c_TAXy,1,INDEX('Lease Cycles'!$GC$18:$GI$18,1,CG180)+1))+(INDEX(c_INSy,1,CG$7)-INDEX(c_INSy,1,INDEX('Lease Cycles'!$GC$18:$GI$18,1,CG180)+1)))/12)</f>
        <v>0</v>
      </c>
      <c r="CH191" s="28">
        <f>IF(CH190=0,0,CH190*MAX(0,(INDEX(c_CAMy,1,CH$7)-INDEX(c_CAMy,1,INDEX('Lease Cycles'!$GC$18:$GI$18,1,CH180)+1))*(1+'Lease Cycles'!$AK$18)+(INDEX(c_TAXy,1,CH$7)-INDEX(c_TAXy,1,INDEX('Lease Cycles'!$GC$18:$GI$18,1,CH180)+1))+(INDEX(c_INSy,1,CH$7)-INDEX(c_INSy,1,INDEX('Lease Cycles'!$GC$18:$GI$18,1,CH180)+1)))/12)</f>
        <v>0</v>
      </c>
      <c r="CI191" s="28">
        <f>IF(CI190=0,0,CI190*MAX(0,(INDEX(c_CAMy,1,CI$7)-INDEX(c_CAMy,1,INDEX('Lease Cycles'!$GC$18:$GI$18,1,CI180)+1))*(1+'Lease Cycles'!$AK$18)+(INDEX(c_TAXy,1,CI$7)-INDEX(c_TAXy,1,INDEX('Lease Cycles'!$GC$18:$GI$18,1,CI180)+1))+(INDEX(c_INSy,1,CI$7)-INDEX(c_INSy,1,INDEX('Lease Cycles'!$GC$18:$GI$18,1,CI180)+1)))/12)</f>
        <v>0</v>
      </c>
      <c r="CJ191" s="28">
        <f>IF(CJ190=0,0,CJ190*MAX(0,(INDEX(c_CAMy,1,CJ$7)-INDEX(c_CAMy,1,INDEX('Lease Cycles'!$GC$18:$GI$18,1,CJ180)+1))*(1+'Lease Cycles'!$AK$18)+(INDEX(c_TAXy,1,CJ$7)-INDEX(c_TAXy,1,INDEX('Lease Cycles'!$GC$18:$GI$18,1,CJ180)+1))+(INDEX(c_INSy,1,CJ$7)-INDEX(c_INSy,1,INDEX('Lease Cycles'!$GC$18:$GI$18,1,CJ180)+1)))/12)</f>
        <v>0</v>
      </c>
      <c r="CK191" s="28">
        <f>IF(CK190=0,0,CK190*MAX(0,(INDEX(c_CAMy,1,CK$7)-INDEX(c_CAMy,1,INDEX('Lease Cycles'!$GC$18:$GI$18,1,CK180)+1))*(1+'Lease Cycles'!$AK$18)+(INDEX(c_TAXy,1,CK$7)-INDEX(c_TAXy,1,INDEX('Lease Cycles'!$GC$18:$GI$18,1,CK180)+1))+(INDEX(c_INSy,1,CK$7)-INDEX(c_INSy,1,INDEX('Lease Cycles'!$GC$18:$GI$18,1,CK180)+1)))/12)</f>
        <v>0</v>
      </c>
      <c r="CL191" s="28">
        <f>IF(CL190=0,0,CL190*MAX(0,(INDEX(c_CAMy,1,CL$7)-INDEX(c_CAMy,1,INDEX('Lease Cycles'!$GC$18:$GI$18,1,CL180)+1))*(1+'Lease Cycles'!$AK$18)+(INDEX(c_TAXy,1,CL$7)-INDEX(c_TAXy,1,INDEX('Lease Cycles'!$GC$18:$GI$18,1,CL180)+1))+(INDEX(c_INSy,1,CL$7)-INDEX(c_INSy,1,INDEX('Lease Cycles'!$GC$18:$GI$18,1,CL180)+1)))/12)</f>
        <v>0</v>
      </c>
      <c r="CM191" s="28">
        <f>IF(CM190=0,0,CM190*MAX(0,(INDEX(c_CAMy,1,CM$7)-INDEX(c_CAMy,1,INDEX('Lease Cycles'!$GC$18:$GI$18,1,CM180)+1))*(1+'Lease Cycles'!$AK$18)+(INDEX(c_TAXy,1,CM$7)-INDEX(c_TAXy,1,INDEX('Lease Cycles'!$GC$18:$GI$18,1,CM180)+1))+(INDEX(c_INSy,1,CM$7)-INDEX(c_INSy,1,INDEX('Lease Cycles'!$GC$18:$GI$18,1,CM180)+1)))/12)</f>
        <v>0</v>
      </c>
      <c r="CN191" s="28">
        <f>IF(CN190=0,0,CN190*MAX(0,(INDEX(c_CAMy,1,CN$7)-INDEX(c_CAMy,1,INDEX('Lease Cycles'!$GC$18:$GI$18,1,CN180)+1))*(1+'Lease Cycles'!$AK$18)+(INDEX(c_TAXy,1,CN$7)-INDEX(c_TAXy,1,INDEX('Lease Cycles'!$GC$18:$GI$18,1,CN180)+1))+(INDEX(c_INSy,1,CN$7)-INDEX(c_INSy,1,INDEX('Lease Cycles'!$GC$18:$GI$18,1,CN180)+1)))/12)</f>
        <v>0</v>
      </c>
      <c r="CO191" s="28">
        <f>IF(CO190=0,0,CO190*MAX(0,(INDEX(c_CAMy,1,CO$7)-INDEX(c_CAMy,1,INDEX('Lease Cycles'!$GC$18:$GI$18,1,CO180)+1))*(1+'Lease Cycles'!$AK$18)+(INDEX(c_TAXy,1,CO$7)-INDEX(c_TAXy,1,INDEX('Lease Cycles'!$GC$18:$GI$18,1,CO180)+1))+(INDEX(c_INSy,1,CO$7)-INDEX(c_INSy,1,INDEX('Lease Cycles'!$GC$18:$GI$18,1,CO180)+1)))/12)</f>
        <v>0</v>
      </c>
      <c r="CP191" s="28">
        <f>IF(CP190=0,0,CP190*MAX(0,(INDEX(c_CAMy,1,CP$7)-INDEX(c_CAMy,1,INDEX('Lease Cycles'!$GC$18:$GI$18,1,CP180)+1))*(1+'Lease Cycles'!$AK$18)+(INDEX(c_TAXy,1,CP$7)-INDEX(c_TAXy,1,INDEX('Lease Cycles'!$GC$18:$GI$18,1,CP180)+1))+(INDEX(c_INSy,1,CP$7)-INDEX(c_INSy,1,INDEX('Lease Cycles'!$GC$18:$GI$18,1,CP180)+1)))/12)</f>
        <v>0</v>
      </c>
      <c r="CQ191" s="28">
        <f>IF(CQ190=0,0,CQ190*MAX(0,(INDEX(c_CAMy,1,CQ$7)-INDEX(c_CAMy,1,INDEX('Lease Cycles'!$GC$18:$GI$18,1,CQ180)+1))*(1+'Lease Cycles'!$AK$18)+(INDEX(c_TAXy,1,CQ$7)-INDEX(c_TAXy,1,INDEX('Lease Cycles'!$GC$18:$GI$18,1,CQ180)+1))+(INDEX(c_INSy,1,CQ$7)-INDEX(c_INSy,1,INDEX('Lease Cycles'!$GC$18:$GI$18,1,CQ180)+1)))/12)</f>
        <v>0</v>
      </c>
      <c r="CR191" s="28">
        <f>IF(CR190=0,0,CR190*MAX(0,(INDEX(c_CAMy,1,CR$7)-INDEX(c_CAMy,1,INDEX('Lease Cycles'!$GC$18:$GI$18,1,CR180)+1))*(1+'Lease Cycles'!$AK$18)+(INDEX(c_TAXy,1,CR$7)-INDEX(c_TAXy,1,INDEX('Lease Cycles'!$GC$18:$GI$18,1,CR180)+1))+(INDEX(c_INSy,1,CR$7)-INDEX(c_INSy,1,INDEX('Lease Cycles'!$GC$18:$GI$18,1,CR180)+1)))/12)</f>
        <v>0</v>
      </c>
      <c r="CS191" s="28">
        <f>IF(CS190=0,0,CS190*MAX(0,(INDEX(c_CAMy,1,CS$7)-INDEX(c_CAMy,1,INDEX('Lease Cycles'!$GC$18:$GI$18,1,CS180)+1))*(1+'Lease Cycles'!$AK$18)+(INDEX(c_TAXy,1,CS$7)-INDEX(c_TAXy,1,INDEX('Lease Cycles'!$GC$18:$GI$18,1,CS180)+1))+(INDEX(c_INSy,1,CS$7)-INDEX(c_INSy,1,INDEX('Lease Cycles'!$GC$18:$GI$18,1,CS180)+1)))/12)</f>
        <v>0</v>
      </c>
      <c r="CT191" s="28">
        <f>IF(CT190=0,0,CT190*MAX(0,(INDEX(c_CAMy,1,CT$7)-INDEX(c_CAMy,1,INDEX('Lease Cycles'!$GC$18:$GI$18,1,CT180)+1))*(1+'Lease Cycles'!$AK$18)+(INDEX(c_TAXy,1,CT$7)-INDEX(c_TAXy,1,INDEX('Lease Cycles'!$GC$18:$GI$18,1,CT180)+1))+(INDEX(c_INSy,1,CT$7)-INDEX(c_INSy,1,INDEX('Lease Cycles'!$GC$18:$GI$18,1,CT180)+1)))/12)</f>
        <v>0</v>
      </c>
      <c r="CU191" s="28">
        <f>IF(CU190=0,0,CU190*MAX(0,(INDEX(c_CAMy,1,CU$7)-INDEX(c_CAMy,1,INDEX('Lease Cycles'!$GC$18:$GI$18,1,CU180)+1))*(1+'Lease Cycles'!$AK$18)+(INDEX(c_TAXy,1,CU$7)-INDEX(c_TAXy,1,INDEX('Lease Cycles'!$GC$18:$GI$18,1,CU180)+1))+(INDEX(c_INSy,1,CU$7)-INDEX(c_INSy,1,INDEX('Lease Cycles'!$GC$18:$GI$18,1,CU180)+1)))/12)</f>
        <v>0</v>
      </c>
      <c r="CV191" s="28">
        <f>IF(CV190=0,0,CV190*MAX(0,(INDEX(c_CAMy,1,CV$7)-INDEX(c_CAMy,1,INDEX('Lease Cycles'!$GC$18:$GI$18,1,CV180)+1))*(1+'Lease Cycles'!$AK$18)+(INDEX(c_TAXy,1,CV$7)-INDEX(c_TAXy,1,INDEX('Lease Cycles'!$GC$18:$GI$18,1,CV180)+1))+(INDEX(c_INSy,1,CV$7)-INDEX(c_INSy,1,INDEX('Lease Cycles'!$GC$18:$GI$18,1,CV180)+1)))/12)</f>
        <v>0</v>
      </c>
      <c r="CW191" s="28">
        <f>IF(CW190=0,0,CW190*MAX(0,(INDEX(c_CAMy,1,CW$7)-INDEX(c_CAMy,1,INDEX('Lease Cycles'!$GC$18:$GI$18,1,CW180)+1))*(1+'Lease Cycles'!$AK$18)+(INDEX(c_TAXy,1,CW$7)-INDEX(c_TAXy,1,INDEX('Lease Cycles'!$GC$18:$GI$18,1,CW180)+1))+(INDEX(c_INSy,1,CW$7)-INDEX(c_INSy,1,INDEX('Lease Cycles'!$GC$18:$GI$18,1,CW180)+1)))/12)</f>
        <v>0</v>
      </c>
      <c r="CX191" s="28">
        <f>IF(CX190=0,0,CX190*MAX(0,(INDEX(c_CAMy,1,CX$7)-INDEX(c_CAMy,1,INDEX('Lease Cycles'!$GC$18:$GI$18,1,CX180)+1))*(1+'Lease Cycles'!$AK$18)+(INDEX(c_TAXy,1,CX$7)-INDEX(c_TAXy,1,INDEX('Lease Cycles'!$GC$18:$GI$18,1,CX180)+1))+(INDEX(c_INSy,1,CX$7)-INDEX(c_INSy,1,INDEX('Lease Cycles'!$GC$18:$GI$18,1,CX180)+1)))/12)</f>
        <v>0</v>
      </c>
      <c r="CY191" s="28">
        <f>IF(CY190=0,0,CY190*MAX(0,(INDEX(c_CAMy,1,CY$7)-INDEX(c_CAMy,1,INDEX('Lease Cycles'!$GC$18:$GI$18,1,CY180)+1))*(1+'Lease Cycles'!$AK$18)+(INDEX(c_TAXy,1,CY$7)-INDEX(c_TAXy,1,INDEX('Lease Cycles'!$GC$18:$GI$18,1,CY180)+1))+(INDEX(c_INSy,1,CY$7)-INDEX(c_INSy,1,INDEX('Lease Cycles'!$GC$18:$GI$18,1,CY180)+1)))/12)</f>
        <v>0</v>
      </c>
      <c r="CZ191" s="28">
        <f>IF(CZ190=0,0,CZ190*MAX(0,(INDEX(c_CAMy,1,CZ$7)-INDEX(c_CAMy,1,INDEX('Lease Cycles'!$GC$18:$GI$18,1,CZ180)+1))*(1+'Lease Cycles'!$AK$18)+(INDEX(c_TAXy,1,CZ$7)-INDEX(c_TAXy,1,INDEX('Lease Cycles'!$GC$18:$GI$18,1,CZ180)+1))+(INDEX(c_INSy,1,CZ$7)-INDEX(c_INSy,1,INDEX('Lease Cycles'!$GC$18:$GI$18,1,CZ180)+1)))/12)</f>
        <v>0</v>
      </c>
      <c r="DA191" s="28">
        <f>IF(DA190=0,0,DA190*MAX(0,(INDEX(c_CAMy,1,DA$7)-INDEX(c_CAMy,1,INDEX('Lease Cycles'!$GC$18:$GI$18,1,DA180)+1))*(1+'Lease Cycles'!$AK$18)+(INDEX(c_TAXy,1,DA$7)-INDEX(c_TAXy,1,INDEX('Lease Cycles'!$GC$18:$GI$18,1,DA180)+1))+(INDEX(c_INSy,1,DA$7)-INDEX(c_INSy,1,INDEX('Lease Cycles'!$GC$18:$GI$18,1,DA180)+1)))/12)</f>
        <v>0</v>
      </c>
      <c r="DB191" s="28">
        <f>IF(DB190=0,0,DB190*MAX(0,(INDEX(c_CAMy,1,DB$7)-INDEX(c_CAMy,1,INDEX('Lease Cycles'!$GC$18:$GI$18,1,DB180)+1))*(1+'Lease Cycles'!$AK$18)+(INDEX(c_TAXy,1,DB$7)-INDEX(c_TAXy,1,INDEX('Lease Cycles'!$GC$18:$GI$18,1,DB180)+1))+(INDEX(c_INSy,1,DB$7)-INDEX(c_INSy,1,INDEX('Lease Cycles'!$GC$18:$GI$18,1,DB180)+1)))/12)</f>
        <v>0</v>
      </c>
      <c r="DC191" s="28">
        <f>IF(DC190=0,0,DC190*MAX(0,(INDEX(c_CAMy,1,DC$7)-INDEX(c_CAMy,1,INDEX('Lease Cycles'!$GC$18:$GI$18,1,DC180)+1))*(1+'Lease Cycles'!$AK$18)+(INDEX(c_TAXy,1,DC$7)-INDEX(c_TAXy,1,INDEX('Lease Cycles'!$GC$18:$GI$18,1,DC180)+1))+(INDEX(c_INSy,1,DC$7)-INDEX(c_INSy,1,INDEX('Lease Cycles'!$GC$18:$GI$18,1,DC180)+1)))/12)</f>
        <v>0</v>
      </c>
      <c r="DD191" s="28">
        <f>IF(DD190=0,0,DD190*MAX(0,(INDEX(c_CAMy,1,DD$7)-INDEX(c_CAMy,1,INDEX('Lease Cycles'!$GC$18:$GI$18,1,DD180)+1))*(1+'Lease Cycles'!$AK$18)+(INDEX(c_TAXy,1,DD$7)-INDEX(c_TAXy,1,INDEX('Lease Cycles'!$GC$18:$GI$18,1,DD180)+1))+(INDEX(c_INSy,1,DD$7)-INDEX(c_INSy,1,INDEX('Lease Cycles'!$GC$18:$GI$18,1,DD180)+1)))/12)</f>
        <v>0</v>
      </c>
      <c r="DE191" s="28">
        <f>IF(DE190=0,0,DE190*MAX(0,(INDEX(c_CAMy,1,DE$7)-INDEX(c_CAMy,1,INDEX('Lease Cycles'!$GC$18:$GI$18,1,DE180)+1))*(1+'Lease Cycles'!$AK$18)+(INDEX(c_TAXy,1,DE$7)-INDEX(c_TAXy,1,INDEX('Lease Cycles'!$GC$18:$GI$18,1,DE180)+1))+(INDEX(c_INSy,1,DE$7)-INDEX(c_INSy,1,INDEX('Lease Cycles'!$GC$18:$GI$18,1,DE180)+1)))/12)</f>
        <v>0</v>
      </c>
      <c r="DF191" s="28">
        <f>IF(DF190=0,0,DF190*MAX(0,(INDEX(c_CAMy,1,DF$7)-INDEX(c_CAMy,1,INDEX('Lease Cycles'!$GC$18:$GI$18,1,DF180)+1))*(1+'Lease Cycles'!$AK$18)+(INDEX(c_TAXy,1,DF$7)-INDEX(c_TAXy,1,INDEX('Lease Cycles'!$GC$18:$GI$18,1,DF180)+1))+(INDEX(c_INSy,1,DF$7)-INDEX(c_INSy,1,INDEX('Lease Cycles'!$GC$18:$GI$18,1,DF180)+1)))/12)</f>
        <v>0</v>
      </c>
      <c r="DG191" s="28">
        <f>IF(DG190=0,0,DG190*MAX(0,(INDEX(c_CAMy,1,DG$7)-INDEX(c_CAMy,1,INDEX('Lease Cycles'!$GC$18:$GI$18,1,DG180)+1))*(1+'Lease Cycles'!$AK$18)+(INDEX(c_TAXy,1,DG$7)-INDEX(c_TAXy,1,INDEX('Lease Cycles'!$GC$18:$GI$18,1,DG180)+1))+(INDEX(c_INSy,1,DG$7)-INDEX(c_INSy,1,INDEX('Lease Cycles'!$GC$18:$GI$18,1,DG180)+1)))/12)</f>
        <v>0</v>
      </c>
      <c r="DH191" s="28">
        <f>IF(DH190=0,0,DH190*MAX(0,(INDEX(c_CAMy,1,DH$7)-INDEX(c_CAMy,1,INDEX('Lease Cycles'!$GC$18:$GI$18,1,DH180)+1))*(1+'Lease Cycles'!$AK$18)+(INDEX(c_TAXy,1,DH$7)-INDEX(c_TAXy,1,INDEX('Lease Cycles'!$GC$18:$GI$18,1,DH180)+1))+(INDEX(c_INSy,1,DH$7)-INDEX(c_INSy,1,INDEX('Lease Cycles'!$GC$18:$GI$18,1,DH180)+1)))/12)</f>
        <v>0</v>
      </c>
      <c r="DI191" s="28">
        <f>IF(DI190=0,0,DI190*MAX(0,(INDEX(c_CAMy,1,DI$7)-INDEX(c_CAMy,1,INDEX('Lease Cycles'!$GC$18:$GI$18,1,DI180)+1))*(1+'Lease Cycles'!$AK$18)+(INDEX(c_TAXy,1,DI$7)-INDEX(c_TAXy,1,INDEX('Lease Cycles'!$GC$18:$GI$18,1,DI180)+1))+(INDEX(c_INSy,1,DI$7)-INDEX(c_INSy,1,INDEX('Lease Cycles'!$GC$18:$GI$18,1,DI180)+1)))/12)</f>
        <v>0</v>
      </c>
      <c r="DJ191" s="28">
        <f>IF(DJ190=0,0,DJ190*MAX(0,(INDEX(c_CAMy,1,DJ$7)-INDEX(c_CAMy,1,INDEX('Lease Cycles'!$GC$18:$GI$18,1,DJ180)+1))*(1+'Lease Cycles'!$AK$18)+(INDEX(c_TAXy,1,DJ$7)-INDEX(c_TAXy,1,INDEX('Lease Cycles'!$GC$18:$GI$18,1,DJ180)+1))+(INDEX(c_INSy,1,DJ$7)-INDEX(c_INSy,1,INDEX('Lease Cycles'!$GC$18:$GI$18,1,DJ180)+1)))/12)</f>
        <v>0</v>
      </c>
      <c r="DK191" s="28">
        <f>IF(DK190=0,0,DK190*MAX(0,(INDEX(c_CAMy,1,DK$7)-INDEX(c_CAMy,1,INDEX('Lease Cycles'!$GC$18:$GI$18,1,DK180)+1))*(1+'Lease Cycles'!$AK$18)+(INDEX(c_TAXy,1,DK$7)-INDEX(c_TAXy,1,INDEX('Lease Cycles'!$GC$18:$GI$18,1,DK180)+1))+(INDEX(c_INSy,1,DK$7)-INDEX(c_INSy,1,INDEX('Lease Cycles'!$GC$18:$GI$18,1,DK180)+1)))/12)</f>
        <v>0</v>
      </c>
      <c r="DL191" s="28">
        <f>IF(DL190=0,0,DL190*MAX(0,(INDEX(c_CAMy,1,DL$7)-INDEX(c_CAMy,1,INDEX('Lease Cycles'!$GC$18:$GI$18,1,DL180)+1))*(1+'Lease Cycles'!$AK$18)+(INDEX(c_TAXy,1,DL$7)-INDEX(c_TAXy,1,INDEX('Lease Cycles'!$GC$18:$GI$18,1,DL180)+1))+(INDEX(c_INSy,1,DL$7)-INDEX(c_INSy,1,INDEX('Lease Cycles'!$GC$18:$GI$18,1,DL180)+1)))/12)</f>
        <v>0</v>
      </c>
      <c r="DM191" s="28">
        <f>IF(DM190=0,0,DM190*MAX(0,(INDEX(c_CAMy,1,DM$7)-INDEX(c_CAMy,1,INDEX('Lease Cycles'!$GC$18:$GI$18,1,DM180)+1))*(1+'Lease Cycles'!$AK$18)+(INDEX(c_TAXy,1,DM$7)-INDEX(c_TAXy,1,INDEX('Lease Cycles'!$GC$18:$GI$18,1,DM180)+1))+(INDEX(c_INSy,1,DM$7)-INDEX(c_INSy,1,INDEX('Lease Cycles'!$GC$18:$GI$18,1,DM180)+1)))/12)</f>
        <v>0</v>
      </c>
      <c r="DN191" s="28">
        <f>IF(DN190=0,0,DN190*MAX(0,(INDEX(c_CAMy,1,DN$7)-INDEX(c_CAMy,1,INDEX('Lease Cycles'!$GC$18:$GI$18,1,DN180)+1))*(1+'Lease Cycles'!$AK$18)+(INDEX(c_TAXy,1,DN$7)-INDEX(c_TAXy,1,INDEX('Lease Cycles'!$GC$18:$GI$18,1,DN180)+1))+(INDEX(c_INSy,1,DN$7)-INDEX(c_INSy,1,INDEX('Lease Cycles'!$GC$18:$GI$18,1,DN180)+1)))/12)</f>
        <v>0</v>
      </c>
      <c r="DO191" s="28">
        <f>IF(DO190=0,0,DO190*MAX(0,(INDEX(c_CAMy,1,DO$7)-INDEX(c_CAMy,1,INDEX('Lease Cycles'!$GC$18:$GI$18,1,DO180)+1))*(1+'Lease Cycles'!$AK$18)+(INDEX(c_TAXy,1,DO$7)-INDEX(c_TAXy,1,INDEX('Lease Cycles'!$GC$18:$GI$18,1,DO180)+1))+(INDEX(c_INSy,1,DO$7)-INDEX(c_INSy,1,INDEX('Lease Cycles'!$GC$18:$GI$18,1,DO180)+1)))/12)</f>
        <v>0</v>
      </c>
      <c r="DP191" s="28">
        <f>IF(DP190=0,0,DP190*MAX(0,(INDEX(c_CAMy,1,DP$7)-INDEX(c_CAMy,1,INDEX('Lease Cycles'!$GC$18:$GI$18,1,DP180)+1))*(1+'Lease Cycles'!$AK$18)+(INDEX(c_TAXy,1,DP$7)-INDEX(c_TAXy,1,INDEX('Lease Cycles'!$GC$18:$GI$18,1,DP180)+1))+(INDEX(c_INSy,1,DP$7)-INDEX(c_INSy,1,INDEX('Lease Cycles'!$GC$18:$GI$18,1,DP180)+1)))/12)</f>
        <v>0</v>
      </c>
      <c r="DQ191" s="28">
        <f>IF(DQ190=0,0,DQ190*MAX(0,(INDEX(c_CAMy,1,DQ$7)-INDEX(c_CAMy,1,INDEX('Lease Cycles'!$GC$18:$GI$18,1,DQ180)+1))*(1+'Lease Cycles'!$AK$18)+(INDEX(c_TAXy,1,DQ$7)-INDEX(c_TAXy,1,INDEX('Lease Cycles'!$GC$18:$GI$18,1,DQ180)+1))+(INDEX(c_INSy,1,DQ$7)-INDEX(c_INSy,1,INDEX('Lease Cycles'!$GC$18:$GI$18,1,DQ180)+1)))/12)</f>
        <v>0</v>
      </c>
      <c r="DR191" s="28">
        <f>IF(DR190=0,0,DR190*MAX(0,(INDEX(c_CAMy,1,DR$7)-INDEX(c_CAMy,1,INDEX('Lease Cycles'!$GC$18:$GI$18,1,DR180)+1))*(1+'Lease Cycles'!$AK$18)+(INDEX(c_TAXy,1,DR$7)-INDEX(c_TAXy,1,INDEX('Lease Cycles'!$GC$18:$GI$18,1,DR180)+1))+(INDEX(c_INSy,1,DR$7)-INDEX(c_INSy,1,INDEX('Lease Cycles'!$GC$18:$GI$18,1,DR180)+1)))/12)</f>
        <v>0</v>
      </c>
      <c r="DS191" s="28">
        <f>IF(DS190=0,0,DS190*MAX(0,(INDEX(c_CAMy,1,DS$7)-INDEX(c_CAMy,1,INDEX('Lease Cycles'!$GC$18:$GI$18,1,DS180)+1))*(1+'Lease Cycles'!$AK$18)+(INDEX(c_TAXy,1,DS$7)-INDEX(c_TAXy,1,INDEX('Lease Cycles'!$GC$18:$GI$18,1,DS180)+1))+(INDEX(c_INSy,1,DS$7)-INDEX(c_INSy,1,INDEX('Lease Cycles'!$GC$18:$GI$18,1,DS180)+1)))/12)</f>
        <v>0</v>
      </c>
      <c r="DT191" s="28">
        <f>IF(DT190=0,0,DT190*MAX(0,(INDEX(c_CAMy,1,DT$7)-INDEX(c_CAMy,1,INDEX('Lease Cycles'!$GC$18:$GI$18,1,DT180)+1))*(1+'Lease Cycles'!$AK$18)+(INDEX(c_TAXy,1,DT$7)-INDEX(c_TAXy,1,INDEX('Lease Cycles'!$GC$18:$GI$18,1,DT180)+1))+(INDEX(c_INSy,1,DT$7)-INDEX(c_INSy,1,INDEX('Lease Cycles'!$GC$18:$GI$18,1,DT180)+1)))/12)</f>
        <v>0</v>
      </c>
      <c r="DU191" s="28">
        <f>IF(DU190=0,0,DU190*MAX(0,(INDEX(c_CAMy,1,DU$7)-INDEX(c_CAMy,1,INDEX('Lease Cycles'!$GC$18:$GI$18,1,DU180)+1))*(1+'Lease Cycles'!$AK$18)+(INDEX(c_TAXy,1,DU$7)-INDEX(c_TAXy,1,INDEX('Lease Cycles'!$GC$18:$GI$18,1,DU180)+1))+(INDEX(c_INSy,1,DU$7)-INDEX(c_INSy,1,INDEX('Lease Cycles'!$GC$18:$GI$18,1,DU180)+1)))/12)</f>
        <v>0</v>
      </c>
      <c r="DV191" s="28">
        <f>IF(DV190=0,0,DV190*MAX(0,(INDEX(c_CAMy,1,DV$7)-INDEX(c_CAMy,1,INDEX('Lease Cycles'!$GC$18:$GI$18,1,DV180)+1))*(1+'Lease Cycles'!$AK$18)+(INDEX(c_TAXy,1,DV$7)-INDEX(c_TAXy,1,INDEX('Lease Cycles'!$GC$18:$GI$18,1,DV180)+1))+(INDEX(c_INSy,1,DV$7)-INDEX(c_INSy,1,INDEX('Lease Cycles'!$GC$18:$GI$18,1,DV180)+1)))/12)</f>
        <v>0</v>
      </c>
      <c r="DW191" s="28">
        <f>IF(DW190=0,0,DW190*MAX(0,(INDEX(c_CAMy,1,DW$7)-INDEX(c_CAMy,1,INDEX('Lease Cycles'!$GC$18:$GI$18,1,DW180)+1))*(1+'Lease Cycles'!$AK$18)+(INDEX(c_TAXy,1,DW$7)-INDEX(c_TAXy,1,INDEX('Lease Cycles'!$GC$18:$GI$18,1,DW180)+1))+(INDEX(c_INSy,1,DW$7)-INDEX(c_INSy,1,INDEX('Lease Cycles'!$GC$18:$GI$18,1,DW180)+1)))/12)</f>
        <v>0</v>
      </c>
      <c r="DX191" s="28">
        <f>IF(DX190=0,0,DX190*MAX(0,(INDEX(c_CAMy,1,DX$7)-INDEX(c_CAMy,1,INDEX('Lease Cycles'!$GC$18:$GI$18,1,DX180)+1))*(1+'Lease Cycles'!$AK$18)+(INDEX(c_TAXy,1,DX$7)-INDEX(c_TAXy,1,INDEX('Lease Cycles'!$GC$18:$GI$18,1,DX180)+1))+(INDEX(c_INSy,1,DX$7)-INDEX(c_INSy,1,INDEX('Lease Cycles'!$GC$18:$GI$18,1,DX180)+1)))/12)</f>
        <v>0</v>
      </c>
      <c r="DY191" s="28">
        <f>IF(DY190=0,0,DY190*MAX(0,(INDEX(c_CAMy,1,DY$7)-INDEX(c_CAMy,1,INDEX('Lease Cycles'!$GC$18:$GI$18,1,DY180)+1))*(1+'Lease Cycles'!$AK$18)+(INDEX(c_TAXy,1,DY$7)-INDEX(c_TAXy,1,INDEX('Lease Cycles'!$GC$18:$GI$18,1,DY180)+1))+(INDEX(c_INSy,1,DY$7)-INDEX(c_INSy,1,INDEX('Lease Cycles'!$GC$18:$GI$18,1,DY180)+1)))/12)</f>
        <v>0</v>
      </c>
      <c r="DZ191" s="28">
        <f>IF(DZ190=0,0,DZ190*MAX(0,(INDEX(c_CAMy,1,DZ$7)-INDEX(c_CAMy,1,INDEX('Lease Cycles'!$GC$18:$GI$18,1,DZ180)+1))*(1+'Lease Cycles'!$AK$18)+(INDEX(c_TAXy,1,DZ$7)-INDEX(c_TAXy,1,INDEX('Lease Cycles'!$GC$18:$GI$18,1,DZ180)+1))+(INDEX(c_INSy,1,DZ$7)-INDEX(c_INSy,1,INDEX('Lease Cycles'!$GC$18:$GI$18,1,DZ180)+1)))/12)</f>
        <v>0</v>
      </c>
      <c r="EA191" s="28">
        <f>IF(EA190=0,0,EA190*MAX(0,(INDEX(c_CAMy,1,EA$7)-INDEX(c_CAMy,1,INDEX('Lease Cycles'!$GC$18:$GI$18,1,EA180)+1))*(1+'Lease Cycles'!$AK$18)+(INDEX(c_TAXy,1,EA$7)-INDEX(c_TAXy,1,INDEX('Lease Cycles'!$GC$18:$GI$18,1,EA180)+1))+(INDEX(c_INSy,1,EA$7)-INDEX(c_INSy,1,INDEX('Lease Cycles'!$GC$18:$GI$18,1,EA180)+1)))/12)</f>
        <v>0</v>
      </c>
      <c r="EB191" s="28">
        <f>IF(EB190=0,0,EB190*MAX(0,(INDEX(c_CAMy,1,EB$7)-INDEX(c_CAMy,1,INDEX('Lease Cycles'!$GC$18:$GI$18,1,EB180)+1))*(1+'Lease Cycles'!$AK$18)+(INDEX(c_TAXy,1,EB$7)-INDEX(c_TAXy,1,INDEX('Lease Cycles'!$GC$18:$GI$18,1,EB180)+1))+(INDEX(c_INSy,1,EB$7)-INDEX(c_INSy,1,INDEX('Lease Cycles'!$GC$18:$GI$18,1,EB180)+1)))/12)</f>
        <v>0</v>
      </c>
      <c r="EC191" s="28">
        <f>IF(EC190=0,0,EC190*MAX(0,(INDEX(c_CAMy,1,EC$7)-INDEX(c_CAMy,1,INDEX('Lease Cycles'!$GC$18:$GI$18,1,EC180)+1))*(1+'Lease Cycles'!$AK$18)+(INDEX(c_TAXy,1,EC$7)-INDEX(c_TAXy,1,INDEX('Lease Cycles'!$GC$18:$GI$18,1,EC180)+1))+(INDEX(c_INSy,1,EC$7)-INDEX(c_INSy,1,INDEX('Lease Cycles'!$GC$18:$GI$18,1,EC180)+1)))/12)</f>
        <v>0</v>
      </c>
      <c r="ED191" s="28">
        <f>IF(ED190=0,0,ED190*MAX(0,(INDEX(c_CAMy,1,ED$7)-INDEX(c_CAMy,1,INDEX('Lease Cycles'!$GC$18:$GI$18,1,ED180)+1))*(1+'Lease Cycles'!$AK$18)+(INDEX(c_TAXy,1,ED$7)-INDEX(c_TAXy,1,INDEX('Lease Cycles'!$GC$18:$GI$18,1,ED180)+1))+(INDEX(c_INSy,1,ED$7)-INDEX(c_INSy,1,INDEX('Lease Cycles'!$GC$18:$GI$18,1,ED180)+1)))/12)</f>
        <v>0</v>
      </c>
      <c r="EE191" s="28">
        <f>IF(EE190=0,0,EE190*MAX(0,(INDEX(c_CAMy,1,EE$7)-INDEX(c_CAMy,1,INDEX('Lease Cycles'!$GC$18:$GI$18,1,EE180)+1))*(1+'Lease Cycles'!$AK$18)+(INDEX(c_TAXy,1,EE$7)-INDEX(c_TAXy,1,INDEX('Lease Cycles'!$GC$18:$GI$18,1,EE180)+1))+(INDEX(c_INSy,1,EE$7)-INDEX(c_INSy,1,INDEX('Lease Cycles'!$GC$18:$GI$18,1,EE180)+1)))/12)</f>
        <v>0</v>
      </c>
      <c r="EF191" s="28">
        <f>IF(EF190=0,0,EF190*MAX(0,(INDEX(c_CAMy,1,EF$7)-INDEX(c_CAMy,1,INDEX('Lease Cycles'!$GC$18:$GI$18,1,EF180)+1))*(1+'Lease Cycles'!$AK$18)+(INDEX(c_TAXy,1,EF$7)-INDEX(c_TAXy,1,INDEX('Lease Cycles'!$GC$18:$GI$18,1,EF180)+1))+(INDEX(c_INSy,1,EF$7)-INDEX(c_INSy,1,INDEX('Lease Cycles'!$GC$18:$GI$18,1,EF180)+1)))/12)</f>
        <v>0</v>
      </c>
      <c r="EG191" s="28">
        <f>IF(EG190=0,0,EG190*MAX(0,(INDEX(c_CAMy,1,EG$7)-INDEX(c_CAMy,1,INDEX('Lease Cycles'!$GC$18:$GI$18,1,EG180)+1))*(1+'Lease Cycles'!$AK$18)+(INDEX(c_TAXy,1,EG$7)-INDEX(c_TAXy,1,INDEX('Lease Cycles'!$GC$18:$GI$18,1,EG180)+1))+(INDEX(c_INSy,1,EG$7)-INDEX(c_INSy,1,INDEX('Lease Cycles'!$GC$18:$GI$18,1,EG180)+1)))/12)</f>
        <v>0</v>
      </c>
      <c r="EH191" s="28">
        <f>IF(EH190=0,0,EH190*MAX(0,(INDEX(c_CAMy,1,EH$7)-INDEX(c_CAMy,1,INDEX('Lease Cycles'!$GC$18:$GI$18,1,EH180)+1))*(1+'Lease Cycles'!$AK$18)+(INDEX(c_TAXy,1,EH$7)-INDEX(c_TAXy,1,INDEX('Lease Cycles'!$GC$18:$GI$18,1,EH180)+1))+(INDEX(c_INSy,1,EH$7)-INDEX(c_INSy,1,INDEX('Lease Cycles'!$GC$18:$GI$18,1,EH180)+1)))/12)</f>
        <v>0</v>
      </c>
      <c r="EI191" s="28">
        <f>IF(EI190=0,0,EI190*MAX(0,(INDEX(c_CAMy,1,EI$7)-INDEX(c_CAMy,1,INDEX('Lease Cycles'!$GC$18:$GI$18,1,EI180)+1))*(1+'Lease Cycles'!$AK$18)+(INDEX(c_TAXy,1,EI$7)-INDEX(c_TAXy,1,INDEX('Lease Cycles'!$GC$18:$GI$18,1,EI180)+1))+(INDEX(c_INSy,1,EI$7)-INDEX(c_INSy,1,INDEX('Lease Cycles'!$GC$18:$GI$18,1,EI180)+1)))/12)</f>
        <v>0</v>
      </c>
      <c r="EJ191" s="28">
        <f>IF(EJ190=0,0,EJ190*MAX(0,(INDEX(c_CAMy,1,EJ$7)-INDEX(c_CAMy,1,INDEX('Lease Cycles'!$GC$18:$GI$18,1,EJ180)+1))*(1+'Lease Cycles'!$AK$18)+(INDEX(c_TAXy,1,EJ$7)-INDEX(c_TAXy,1,INDEX('Lease Cycles'!$GC$18:$GI$18,1,EJ180)+1))+(INDEX(c_INSy,1,EJ$7)-INDEX(c_INSy,1,INDEX('Lease Cycles'!$GC$18:$GI$18,1,EJ180)+1)))/12)</f>
        <v>0</v>
      </c>
      <c r="EK191" s="28">
        <f>IF(EK190=0,0,EK190*MAX(0,(INDEX(c_CAMy,1,EK$7)-INDEX(c_CAMy,1,INDEX('Lease Cycles'!$GC$18:$GI$18,1,EK180)+1))*(1+'Lease Cycles'!$AK$18)+(INDEX(c_TAXy,1,EK$7)-INDEX(c_TAXy,1,INDEX('Lease Cycles'!$GC$18:$GI$18,1,EK180)+1))+(INDEX(c_INSy,1,EK$7)-INDEX(c_INSy,1,INDEX('Lease Cycles'!$GC$18:$GI$18,1,EK180)+1)))/12)</f>
        <v>0</v>
      </c>
      <c r="EL191" s="28">
        <f>IF(EL190=0,0,EL190*MAX(0,(INDEX(c_CAMy,1,EL$7)-INDEX(c_CAMy,1,INDEX('Lease Cycles'!$GC$18:$GI$18,1,EL180)+1))*(1+'Lease Cycles'!$AK$18)+(INDEX(c_TAXy,1,EL$7)-INDEX(c_TAXy,1,INDEX('Lease Cycles'!$GC$18:$GI$18,1,EL180)+1))+(INDEX(c_INSy,1,EL$7)-INDEX(c_INSy,1,INDEX('Lease Cycles'!$GC$18:$GI$18,1,EL180)+1)))/12)</f>
        <v>0</v>
      </c>
      <c r="EM191" s="28">
        <f>IF(EM190=0,0,EM190*MAX(0,(INDEX(c_CAMy,1,EM$7)-INDEX(c_CAMy,1,INDEX('Lease Cycles'!$GC$18:$GI$18,1,EM180)+1))*(1+'Lease Cycles'!$AK$18)+(INDEX(c_TAXy,1,EM$7)-INDEX(c_TAXy,1,INDEX('Lease Cycles'!$GC$18:$GI$18,1,EM180)+1))+(INDEX(c_INSy,1,EM$7)-INDEX(c_INSy,1,INDEX('Lease Cycles'!$GC$18:$GI$18,1,EM180)+1)))/12)</f>
        <v>0</v>
      </c>
      <c r="EN191" s="28">
        <f>IF(EN190=0,0,EN190*MAX(0,(INDEX(c_CAMy,1,EN$7)-INDEX(c_CAMy,1,INDEX('Lease Cycles'!$GC$18:$GI$18,1,EN180)+1))*(1+'Lease Cycles'!$AK$18)+(INDEX(c_TAXy,1,EN$7)-INDEX(c_TAXy,1,INDEX('Lease Cycles'!$GC$18:$GI$18,1,EN180)+1))+(INDEX(c_INSy,1,EN$7)-INDEX(c_INSy,1,INDEX('Lease Cycles'!$GC$18:$GI$18,1,EN180)+1)))/12)</f>
        <v>0</v>
      </c>
      <c r="EO191" s="28">
        <f>IF(EO190=0,0,EO190*MAX(0,(INDEX(c_CAMy,1,EO$7)-INDEX(c_CAMy,1,INDEX('Lease Cycles'!$GC$18:$GI$18,1,EO180)+1))*(1+'Lease Cycles'!$AK$18)+(INDEX(c_TAXy,1,EO$7)-INDEX(c_TAXy,1,INDEX('Lease Cycles'!$GC$18:$GI$18,1,EO180)+1))+(INDEX(c_INSy,1,EO$7)-INDEX(c_INSy,1,INDEX('Lease Cycles'!$GC$18:$GI$18,1,EO180)+1)))/12)</f>
        <v>0</v>
      </c>
      <c r="EP191" s="28">
        <f>IF(EP190=0,0,EP190*MAX(0,(INDEX(c_CAMy,1,EP$7)-INDEX(c_CAMy,1,INDEX('Lease Cycles'!$GC$18:$GI$18,1,EP180)+1))*(1+'Lease Cycles'!$AK$18)+(INDEX(c_TAXy,1,EP$7)-INDEX(c_TAXy,1,INDEX('Lease Cycles'!$GC$18:$GI$18,1,EP180)+1))+(INDEX(c_INSy,1,EP$7)-INDEX(c_INSy,1,INDEX('Lease Cycles'!$GC$18:$GI$18,1,EP180)+1)))/12)</f>
        <v>0</v>
      </c>
      <c r="EQ191" s="28">
        <f>IF(EQ190=0,0,EQ190*MAX(0,(INDEX(c_CAMy,1,EQ$7)-INDEX(c_CAMy,1,INDEX('Lease Cycles'!$GC$18:$GI$18,1,EQ180)+1))*(1+'Lease Cycles'!$AK$18)+(INDEX(c_TAXy,1,EQ$7)-INDEX(c_TAXy,1,INDEX('Lease Cycles'!$GC$18:$GI$18,1,EQ180)+1))+(INDEX(c_INSy,1,EQ$7)-INDEX(c_INSy,1,INDEX('Lease Cycles'!$GC$18:$GI$18,1,EQ180)+1)))/12)</f>
        <v>0</v>
      </c>
      <c r="ER191" s="28">
        <f>IF(ER190=0,0,ER190*MAX(0,(INDEX(c_CAMy,1,ER$7)-INDEX(c_CAMy,1,INDEX('Lease Cycles'!$GC$18:$GI$18,1,ER180)+1))*(1+'Lease Cycles'!$AK$18)+(INDEX(c_TAXy,1,ER$7)-INDEX(c_TAXy,1,INDEX('Lease Cycles'!$GC$18:$GI$18,1,ER180)+1))+(INDEX(c_INSy,1,ER$7)-INDEX(c_INSy,1,INDEX('Lease Cycles'!$GC$18:$GI$18,1,ER180)+1)))/12)</f>
        <v>0</v>
      </c>
      <c r="ES191" s="28">
        <f>IF(ES190=0,0,ES190*MAX(0,(INDEX(c_CAMy,1,ES$7)-INDEX(c_CAMy,1,INDEX('Lease Cycles'!$GC$18:$GI$18,1,ES180)+1))*(1+'Lease Cycles'!$AK$18)+(INDEX(c_TAXy,1,ES$7)-INDEX(c_TAXy,1,INDEX('Lease Cycles'!$GC$18:$GI$18,1,ES180)+1))+(INDEX(c_INSy,1,ES$7)-INDEX(c_INSy,1,INDEX('Lease Cycles'!$GC$18:$GI$18,1,ES180)+1)))/12)</f>
        <v>0</v>
      </c>
      <c r="ET191" s="28">
        <f>IF(ET190=0,0,ET190*MAX(0,(INDEX(c_CAMy,1,ET$7)-INDEX(c_CAMy,1,INDEX('Lease Cycles'!$GC$18:$GI$18,1,ET180)+1))*(1+'Lease Cycles'!$AK$18)+(INDEX(c_TAXy,1,ET$7)-INDEX(c_TAXy,1,INDEX('Lease Cycles'!$GC$18:$GI$18,1,ET180)+1))+(INDEX(c_INSy,1,ET$7)-INDEX(c_INSy,1,INDEX('Lease Cycles'!$GC$18:$GI$18,1,ET180)+1)))/12)</f>
        <v>0</v>
      </c>
    </row>
    <row r="192">
      <c r="A192" s="103">
        <v>11</v>
      </c>
      <c r="B192" s="23" t="str">
        <f>IF('Lease Cycles'!$B$18="","(empty slot)",'Lease Cycles'!$B$18)</f>
        <v>(empty slot)</v>
      </c>
      <c r="C192" s="23" t="s">
        <v>530</v>
      </c>
      <c r="D192" s="104" t="s">
        <v>531</v>
      </c>
      <c r="E192" s="25">
        <f>'Lease Cycles'!$AL$18</f>
        <v>0</v>
      </c>
      <c r="G192" s="28">
        <f>SUM(S192:AD192)</f>
        <v>0</v>
      </c>
      <c r="H192" s="28">
        <f>SUM(AE192:AP192)</f>
        <v>0</v>
      </c>
      <c r="I192" s="28">
        <f>SUM(AQ192:BB192)</f>
        <v>0</v>
      </c>
      <c r="J192" s="28">
        <f>SUM(BC192:BN192)</f>
        <v>0</v>
      </c>
      <c r="K192" s="28">
        <f>SUM(BO192:BZ192)</f>
        <v>0</v>
      </c>
      <c r="L192" s="28">
        <f>SUM(CA192:CL192)</f>
        <v>0</v>
      </c>
      <c r="M192" s="28">
        <f>SUM(CM192:CX192)</f>
        <v>0</v>
      </c>
      <c r="N192" s="28">
        <f>SUM(CY192:DJ192)</f>
        <v>0</v>
      </c>
      <c r="O192" s="28">
        <f>SUM(DK192:DV192)</f>
        <v>0</v>
      </c>
      <c r="P192" s="28">
        <f>SUM(DW192:EH192)</f>
        <v>0</v>
      </c>
      <c r="Q192" s="28">
        <f>SUM(EI192:ET192)</f>
        <v>0</v>
      </c>
      <c r="S192" s="28">
        <f>SUMIF('Lease Cycles'!$HL$18:$HR$18,S$6,'Lease Cycles'!$HS$18:$HY$18)</f>
        <v>0</v>
      </c>
      <c r="T192" s="28">
        <f>SUMIF('Lease Cycles'!$HL$18:$HR$18,T$6,'Lease Cycles'!$HS$18:$HY$18)</f>
        <v>0</v>
      </c>
      <c r="U192" s="28">
        <f>SUMIF('Lease Cycles'!$HL$18:$HR$18,U$6,'Lease Cycles'!$HS$18:$HY$18)</f>
        <v>0</v>
      </c>
      <c r="V192" s="28">
        <f>SUMIF('Lease Cycles'!$HL$18:$HR$18,V$6,'Lease Cycles'!$HS$18:$HY$18)</f>
        <v>0</v>
      </c>
      <c r="W192" s="28">
        <f>SUMIF('Lease Cycles'!$HL$18:$HR$18,W$6,'Lease Cycles'!$HS$18:$HY$18)</f>
        <v>0</v>
      </c>
      <c r="X192" s="28">
        <f>SUMIF('Lease Cycles'!$HL$18:$HR$18,X$6,'Lease Cycles'!$HS$18:$HY$18)</f>
        <v>0</v>
      </c>
      <c r="Y192" s="28">
        <f>SUMIF('Lease Cycles'!$HL$18:$HR$18,Y$6,'Lease Cycles'!$HS$18:$HY$18)</f>
        <v>0</v>
      </c>
      <c r="Z192" s="28">
        <f>SUMIF('Lease Cycles'!$HL$18:$HR$18,Z$6,'Lease Cycles'!$HS$18:$HY$18)</f>
        <v>0</v>
      </c>
      <c r="AA192" s="28">
        <f>SUMIF('Lease Cycles'!$HL$18:$HR$18,AA$6,'Lease Cycles'!$HS$18:$HY$18)</f>
        <v>0</v>
      </c>
      <c r="AB192" s="28">
        <f>SUMIF('Lease Cycles'!$HL$18:$HR$18,AB$6,'Lease Cycles'!$HS$18:$HY$18)</f>
        <v>0</v>
      </c>
      <c r="AC192" s="28">
        <f>SUMIF('Lease Cycles'!$HL$18:$HR$18,AC$6,'Lease Cycles'!$HS$18:$HY$18)</f>
        <v>0</v>
      </c>
      <c r="AD192" s="28">
        <f>SUMIF('Lease Cycles'!$HL$18:$HR$18,AD$6,'Lease Cycles'!$HS$18:$HY$18)</f>
        <v>0</v>
      </c>
      <c r="AE192" s="28">
        <f>SUMIF('Lease Cycles'!$HL$18:$HR$18,AE$6,'Lease Cycles'!$HS$18:$HY$18)</f>
        <v>0</v>
      </c>
      <c r="AF192" s="28">
        <f>SUMIF('Lease Cycles'!$HL$18:$HR$18,AF$6,'Lease Cycles'!$HS$18:$HY$18)</f>
        <v>0</v>
      </c>
      <c r="AG192" s="28">
        <f>SUMIF('Lease Cycles'!$HL$18:$HR$18,AG$6,'Lease Cycles'!$HS$18:$HY$18)</f>
        <v>0</v>
      </c>
      <c r="AH192" s="28">
        <f>SUMIF('Lease Cycles'!$HL$18:$HR$18,AH$6,'Lease Cycles'!$HS$18:$HY$18)</f>
        <v>0</v>
      </c>
      <c r="AI192" s="28">
        <f>SUMIF('Lease Cycles'!$HL$18:$HR$18,AI$6,'Lease Cycles'!$HS$18:$HY$18)</f>
        <v>0</v>
      </c>
      <c r="AJ192" s="28">
        <f>SUMIF('Lease Cycles'!$HL$18:$HR$18,AJ$6,'Lease Cycles'!$HS$18:$HY$18)</f>
        <v>0</v>
      </c>
      <c r="AK192" s="28">
        <f>SUMIF('Lease Cycles'!$HL$18:$HR$18,AK$6,'Lease Cycles'!$HS$18:$HY$18)</f>
        <v>0</v>
      </c>
      <c r="AL192" s="28">
        <f>SUMIF('Lease Cycles'!$HL$18:$HR$18,AL$6,'Lease Cycles'!$HS$18:$HY$18)</f>
        <v>0</v>
      </c>
      <c r="AM192" s="28">
        <f>SUMIF('Lease Cycles'!$HL$18:$HR$18,AM$6,'Lease Cycles'!$HS$18:$HY$18)</f>
        <v>0</v>
      </c>
      <c r="AN192" s="28">
        <f>SUMIF('Lease Cycles'!$HL$18:$HR$18,AN$6,'Lease Cycles'!$HS$18:$HY$18)</f>
        <v>0</v>
      </c>
      <c r="AO192" s="28">
        <f>SUMIF('Lease Cycles'!$HL$18:$HR$18,AO$6,'Lease Cycles'!$HS$18:$HY$18)</f>
        <v>0</v>
      </c>
      <c r="AP192" s="28">
        <f>SUMIF('Lease Cycles'!$HL$18:$HR$18,AP$6,'Lease Cycles'!$HS$18:$HY$18)</f>
        <v>0</v>
      </c>
      <c r="AQ192" s="28">
        <f>SUMIF('Lease Cycles'!$HL$18:$HR$18,AQ$6,'Lease Cycles'!$HS$18:$HY$18)</f>
        <v>0</v>
      </c>
      <c r="AR192" s="28">
        <f>SUMIF('Lease Cycles'!$HL$18:$HR$18,AR$6,'Lease Cycles'!$HS$18:$HY$18)</f>
        <v>0</v>
      </c>
      <c r="AS192" s="28">
        <f>SUMIF('Lease Cycles'!$HL$18:$HR$18,AS$6,'Lease Cycles'!$HS$18:$HY$18)</f>
        <v>0</v>
      </c>
      <c r="AT192" s="28">
        <f>SUMIF('Lease Cycles'!$HL$18:$HR$18,AT$6,'Lease Cycles'!$HS$18:$HY$18)</f>
        <v>0</v>
      </c>
      <c r="AU192" s="28">
        <f>SUMIF('Lease Cycles'!$HL$18:$HR$18,AU$6,'Lease Cycles'!$HS$18:$HY$18)</f>
        <v>0</v>
      </c>
      <c r="AV192" s="28">
        <f>SUMIF('Lease Cycles'!$HL$18:$HR$18,AV$6,'Lease Cycles'!$HS$18:$HY$18)</f>
        <v>0</v>
      </c>
      <c r="AW192" s="28">
        <f>SUMIF('Lease Cycles'!$HL$18:$HR$18,AW$6,'Lease Cycles'!$HS$18:$HY$18)</f>
        <v>0</v>
      </c>
      <c r="AX192" s="28">
        <f>SUMIF('Lease Cycles'!$HL$18:$HR$18,AX$6,'Lease Cycles'!$HS$18:$HY$18)</f>
        <v>0</v>
      </c>
      <c r="AY192" s="28">
        <f>SUMIF('Lease Cycles'!$HL$18:$HR$18,AY$6,'Lease Cycles'!$HS$18:$HY$18)</f>
        <v>0</v>
      </c>
      <c r="AZ192" s="28">
        <f>SUMIF('Lease Cycles'!$HL$18:$HR$18,AZ$6,'Lease Cycles'!$HS$18:$HY$18)</f>
        <v>0</v>
      </c>
      <c r="BA192" s="28">
        <f>SUMIF('Lease Cycles'!$HL$18:$HR$18,BA$6,'Lease Cycles'!$HS$18:$HY$18)</f>
        <v>0</v>
      </c>
      <c r="BB192" s="28">
        <f>SUMIF('Lease Cycles'!$HL$18:$HR$18,BB$6,'Lease Cycles'!$HS$18:$HY$18)</f>
        <v>0</v>
      </c>
      <c r="BC192" s="28">
        <f>SUMIF('Lease Cycles'!$HL$18:$HR$18,BC$6,'Lease Cycles'!$HS$18:$HY$18)</f>
        <v>0</v>
      </c>
      <c r="BD192" s="28">
        <f>SUMIF('Lease Cycles'!$HL$18:$HR$18,BD$6,'Lease Cycles'!$HS$18:$HY$18)</f>
        <v>0</v>
      </c>
      <c r="BE192" s="28">
        <f>SUMIF('Lease Cycles'!$HL$18:$HR$18,BE$6,'Lease Cycles'!$HS$18:$HY$18)</f>
        <v>0</v>
      </c>
      <c r="BF192" s="28">
        <f>SUMIF('Lease Cycles'!$HL$18:$HR$18,BF$6,'Lease Cycles'!$HS$18:$HY$18)</f>
        <v>0</v>
      </c>
      <c r="BG192" s="28">
        <f>SUMIF('Lease Cycles'!$HL$18:$HR$18,BG$6,'Lease Cycles'!$HS$18:$HY$18)</f>
        <v>0</v>
      </c>
      <c r="BH192" s="28">
        <f>SUMIF('Lease Cycles'!$HL$18:$HR$18,BH$6,'Lease Cycles'!$HS$18:$HY$18)</f>
        <v>0</v>
      </c>
      <c r="BI192" s="28">
        <f>SUMIF('Lease Cycles'!$HL$18:$HR$18,BI$6,'Lease Cycles'!$HS$18:$HY$18)</f>
        <v>0</v>
      </c>
      <c r="BJ192" s="28">
        <f>SUMIF('Lease Cycles'!$HL$18:$HR$18,BJ$6,'Lease Cycles'!$HS$18:$HY$18)</f>
        <v>0</v>
      </c>
      <c r="BK192" s="28">
        <f>SUMIF('Lease Cycles'!$HL$18:$HR$18,BK$6,'Lease Cycles'!$HS$18:$HY$18)</f>
        <v>0</v>
      </c>
      <c r="BL192" s="28">
        <f>SUMIF('Lease Cycles'!$HL$18:$HR$18,BL$6,'Lease Cycles'!$HS$18:$HY$18)</f>
        <v>0</v>
      </c>
      <c r="BM192" s="28">
        <f>SUMIF('Lease Cycles'!$HL$18:$HR$18,BM$6,'Lease Cycles'!$HS$18:$HY$18)</f>
        <v>0</v>
      </c>
      <c r="BN192" s="28">
        <f>SUMIF('Lease Cycles'!$HL$18:$HR$18,BN$6,'Lease Cycles'!$HS$18:$HY$18)</f>
        <v>0</v>
      </c>
      <c r="BO192" s="28">
        <f>SUMIF('Lease Cycles'!$HL$18:$HR$18,BO$6,'Lease Cycles'!$HS$18:$HY$18)</f>
        <v>0</v>
      </c>
      <c r="BP192" s="28">
        <f>SUMIF('Lease Cycles'!$HL$18:$HR$18,BP$6,'Lease Cycles'!$HS$18:$HY$18)</f>
        <v>0</v>
      </c>
      <c r="BQ192" s="28">
        <f>SUMIF('Lease Cycles'!$HL$18:$HR$18,BQ$6,'Lease Cycles'!$HS$18:$HY$18)</f>
        <v>0</v>
      </c>
      <c r="BR192" s="28">
        <f>SUMIF('Lease Cycles'!$HL$18:$HR$18,BR$6,'Lease Cycles'!$HS$18:$HY$18)</f>
        <v>0</v>
      </c>
      <c r="BS192" s="28">
        <f>SUMIF('Lease Cycles'!$HL$18:$HR$18,BS$6,'Lease Cycles'!$HS$18:$HY$18)</f>
        <v>0</v>
      </c>
      <c r="BT192" s="28">
        <f>SUMIF('Lease Cycles'!$HL$18:$HR$18,BT$6,'Lease Cycles'!$HS$18:$HY$18)</f>
        <v>0</v>
      </c>
      <c r="BU192" s="28">
        <f>SUMIF('Lease Cycles'!$HL$18:$HR$18,BU$6,'Lease Cycles'!$HS$18:$HY$18)</f>
        <v>0</v>
      </c>
      <c r="BV192" s="28">
        <f>SUMIF('Lease Cycles'!$HL$18:$HR$18,BV$6,'Lease Cycles'!$HS$18:$HY$18)</f>
        <v>0</v>
      </c>
      <c r="BW192" s="28">
        <f>SUMIF('Lease Cycles'!$HL$18:$HR$18,BW$6,'Lease Cycles'!$HS$18:$HY$18)</f>
        <v>0</v>
      </c>
      <c r="BX192" s="28">
        <f>SUMIF('Lease Cycles'!$HL$18:$HR$18,BX$6,'Lease Cycles'!$HS$18:$HY$18)</f>
        <v>0</v>
      </c>
      <c r="BY192" s="28">
        <f>SUMIF('Lease Cycles'!$HL$18:$HR$18,BY$6,'Lease Cycles'!$HS$18:$HY$18)</f>
        <v>0</v>
      </c>
      <c r="BZ192" s="28">
        <f>SUMIF('Lease Cycles'!$HL$18:$HR$18,BZ$6,'Lease Cycles'!$HS$18:$HY$18)</f>
        <v>0</v>
      </c>
      <c r="CA192" s="28">
        <f>SUMIF('Lease Cycles'!$HL$18:$HR$18,CA$6,'Lease Cycles'!$HS$18:$HY$18)</f>
        <v>0</v>
      </c>
      <c r="CB192" s="28">
        <f>SUMIF('Lease Cycles'!$HL$18:$HR$18,CB$6,'Lease Cycles'!$HS$18:$HY$18)</f>
        <v>0</v>
      </c>
      <c r="CC192" s="28">
        <f>SUMIF('Lease Cycles'!$HL$18:$HR$18,CC$6,'Lease Cycles'!$HS$18:$HY$18)</f>
        <v>0</v>
      </c>
      <c r="CD192" s="28">
        <f>SUMIF('Lease Cycles'!$HL$18:$HR$18,CD$6,'Lease Cycles'!$HS$18:$HY$18)</f>
        <v>0</v>
      </c>
      <c r="CE192" s="28">
        <f>SUMIF('Lease Cycles'!$HL$18:$HR$18,CE$6,'Lease Cycles'!$HS$18:$HY$18)</f>
        <v>0</v>
      </c>
      <c r="CF192" s="28">
        <f>SUMIF('Lease Cycles'!$HL$18:$HR$18,CF$6,'Lease Cycles'!$HS$18:$HY$18)</f>
        <v>0</v>
      </c>
      <c r="CG192" s="28">
        <f>SUMIF('Lease Cycles'!$HL$18:$HR$18,CG$6,'Lease Cycles'!$HS$18:$HY$18)</f>
        <v>0</v>
      </c>
      <c r="CH192" s="28">
        <f>SUMIF('Lease Cycles'!$HL$18:$HR$18,CH$6,'Lease Cycles'!$HS$18:$HY$18)</f>
        <v>0</v>
      </c>
      <c r="CI192" s="28">
        <f>SUMIF('Lease Cycles'!$HL$18:$HR$18,CI$6,'Lease Cycles'!$HS$18:$HY$18)</f>
        <v>0</v>
      </c>
      <c r="CJ192" s="28">
        <f>SUMIF('Lease Cycles'!$HL$18:$HR$18,CJ$6,'Lease Cycles'!$HS$18:$HY$18)</f>
        <v>0</v>
      </c>
      <c r="CK192" s="28">
        <f>SUMIF('Lease Cycles'!$HL$18:$HR$18,CK$6,'Lease Cycles'!$HS$18:$HY$18)</f>
        <v>0</v>
      </c>
      <c r="CL192" s="28">
        <f>SUMIF('Lease Cycles'!$HL$18:$HR$18,CL$6,'Lease Cycles'!$HS$18:$HY$18)</f>
        <v>0</v>
      </c>
      <c r="CM192" s="28">
        <f>SUMIF('Lease Cycles'!$HL$18:$HR$18,CM$6,'Lease Cycles'!$HS$18:$HY$18)</f>
        <v>0</v>
      </c>
      <c r="CN192" s="28">
        <f>SUMIF('Lease Cycles'!$HL$18:$HR$18,CN$6,'Lease Cycles'!$HS$18:$HY$18)</f>
        <v>0</v>
      </c>
      <c r="CO192" s="28">
        <f>SUMIF('Lease Cycles'!$HL$18:$HR$18,CO$6,'Lease Cycles'!$HS$18:$HY$18)</f>
        <v>0</v>
      </c>
      <c r="CP192" s="28">
        <f>SUMIF('Lease Cycles'!$HL$18:$HR$18,CP$6,'Lease Cycles'!$HS$18:$HY$18)</f>
        <v>0</v>
      </c>
      <c r="CQ192" s="28">
        <f>SUMIF('Lease Cycles'!$HL$18:$HR$18,CQ$6,'Lease Cycles'!$HS$18:$HY$18)</f>
        <v>0</v>
      </c>
      <c r="CR192" s="28">
        <f>SUMIF('Lease Cycles'!$HL$18:$HR$18,CR$6,'Lease Cycles'!$HS$18:$HY$18)</f>
        <v>0</v>
      </c>
      <c r="CS192" s="28">
        <f>SUMIF('Lease Cycles'!$HL$18:$HR$18,CS$6,'Lease Cycles'!$HS$18:$HY$18)</f>
        <v>0</v>
      </c>
      <c r="CT192" s="28">
        <f>SUMIF('Lease Cycles'!$HL$18:$HR$18,CT$6,'Lease Cycles'!$HS$18:$HY$18)</f>
        <v>0</v>
      </c>
      <c r="CU192" s="28">
        <f>SUMIF('Lease Cycles'!$HL$18:$HR$18,CU$6,'Lease Cycles'!$HS$18:$HY$18)</f>
        <v>0</v>
      </c>
      <c r="CV192" s="28">
        <f>SUMIF('Lease Cycles'!$HL$18:$HR$18,CV$6,'Lease Cycles'!$HS$18:$HY$18)</f>
        <v>0</v>
      </c>
      <c r="CW192" s="28">
        <f>SUMIF('Lease Cycles'!$HL$18:$HR$18,CW$6,'Lease Cycles'!$HS$18:$HY$18)</f>
        <v>0</v>
      </c>
      <c r="CX192" s="28">
        <f>SUMIF('Lease Cycles'!$HL$18:$HR$18,CX$6,'Lease Cycles'!$HS$18:$HY$18)</f>
        <v>0</v>
      </c>
      <c r="CY192" s="28">
        <f>SUMIF('Lease Cycles'!$HL$18:$HR$18,CY$6,'Lease Cycles'!$HS$18:$HY$18)</f>
        <v>0</v>
      </c>
      <c r="CZ192" s="28">
        <f>SUMIF('Lease Cycles'!$HL$18:$HR$18,CZ$6,'Lease Cycles'!$HS$18:$HY$18)</f>
        <v>0</v>
      </c>
      <c r="DA192" s="28">
        <f>SUMIF('Lease Cycles'!$HL$18:$HR$18,DA$6,'Lease Cycles'!$HS$18:$HY$18)</f>
        <v>0</v>
      </c>
      <c r="DB192" s="28">
        <f>SUMIF('Lease Cycles'!$HL$18:$HR$18,DB$6,'Lease Cycles'!$HS$18:$HY$18)</f>
        <v>0</v>
      </c>
      <c r="DC192" s="28">
        <f>SUMIF('Lease Cycles'!$HL$18:$HR$18,DC$6,'Lease Cycles'!$HS$18:$HY$18)</f>
        <v>0</v>
      </c>
      <c r="DD192" s="28">
        <f>SUMIF('Lease Cycles'!$HL$18:$HR$18,DD$6,'Lease Cycles'!$HS$18:$HY$18)</f>
        <v>0</v>
      </c>
      <c r="DE192" s="28">
        <f>SUMIF('Lease Cycles'!$HL$18:$HR$18,DE$6,'Lease Cycles'!$HS$18:$HY$18)</f>
        <v>0</v>
      </c>
      <c r="DF192" s="28">
        <f>SUMIF('Lease Cycles'!$HL$18:$HR$18,DF$6,'Lease Cycles'!$HS$18:$HY$18)</f>
        <v>0</v>
      </c>
      <c r="DG192" s="28">
        <f>SUMIF('Lease Cycles'!$HL$18:$HR$18,DG$6,'Lease Cycles'!$HS$18:$HY$18)</f>
        <v>0</v>
      </c>
      <c r="DH192" s="28">
        <f>SUMIF('Lease Cycles'!$HL$18:$HR$18,DH$6,'Lease Cycles'!$HS$18:$HY$18)</f>
        <v>0</v>
      </c>
      <c r="DI192" s="28">
        <f>SUMIF('Lease Cycles'!$HL$18:$HR$18,DI$6,'Lease Cycles'!$HS$18:$HY$18)</f>
        <v>0</v>
      </c>
      <c r="DJ192" s="28">
        <f>SUMIF('Lease Cycles'!$HL$18:$HR$18,DJ$6,'Lease Cycles'!$HS$18:$HY$18)</f>
        <v>0</v>
      </c>
      <c r="DK192" s="28">
        <f>SUMIF('Lease Cycles'!$HL$18:$HR$18,DK$6,'Lease Cycles'!$HS$18:$HY$18)</f>
        <v>0</v>
      </c>
      <c r="DL192" s="28">
        <f>SUMIF('Lease Cycles'!$HL$18:$HR$18,DL$6,'Lease Cycles'!$HS$18:$HY$18)</f>
        <v>0</v>
      </c>
      <c r="DM192" s="28">
        <f>SUMIF('Lease Cycles'!$HL$18:$HR$18,DM$6,'Lease Cycles'!$HS$18:$HY$18)</f>
        <v>0</v>
      </c>
      <c r="DN192" s="28">
        <f>SUMIF('Lease Cycles'!$HL$18:$HR$18,DN$6,'Lease Cycles'!$HS$18:$HY$18)</f>
        <v>0</v>
      </c>
      <c r="DO192" s="28">
        <f>SUMIF('Lease Cycles'!$HL$18:$HR$18,DO$6,'Lease Cycles'!$HS$18:$HY$18)</f>
        <v>0</v>
      </c>
      <c r="DP192" s="28">
        <f>SUMIF('Lease Cycles'!$HL$18:$HR$18,DP$6,'Lease Cycles'!$HS$18:$HY$18)</f>
        <v>0</v>
      </c>
      <c r="DQ192" s="28">
        <f>SUMIF('Lease Cycles'!$HL$18:$HR$18,DQ$6,'Lease Cycles'!$HS$18:$HY$18)</f>
        <v>0</v>
      </c>
      <c r="DR192" s="28">
        <f>SUMIF('Lease Cycles'!$HL$18:$HR$18,DR$6,'Lease Cycles'!$HS$18:$HY$18)</f>
        <v>0</v>
      </c>
      <c r="DS192" s="28">
        <f>SUMIF('Lease Cycles'!$HL$18:$HR$18,DS$6,'Lease Cycles'!$HS$18:$HY$18)</f>
        <v>0</v>
      </c>
      <c r="DT192" s="28">
        <f>SUMIF('Lease Cycles'!$HL$18:$HR$18,DT$6,'Lease Cycles'!$HS$18:$HY$18)</f>
        <v>0</v>
      </c>
      <c r="DU192" s="28">
        <f>SUMIF('Lease Cycles'!$HL$18:$HR$18,DU$6,'Lease Cycles'!$HS$18:$HY$18)</f>
        <v>0</v>
      </c>
      <c r="DV192" s="28">
        <f>SUMIF('Lease Cycles'!$HL$18:$HR$18,DV$6,'Lease Cycles'!$HS$18:$HY$18)</f>
        <v>0</v>
      </c>
      <c r="DW192" s="28">
        <f>SUMIF('Lease Cycles'!$HL$18:$HR$18,DW$6,'Lease Cycles'!$HS$18:$HY$18)</f>
        <v>0</v>
      </c>
      <c r="DX192" s="28">
        <f>SUMIF('Lease Cycles'!$HL$18:$HR$18,DX$6,'Lease Cycles'!$HS$18:$HY$18)</f>
        <v>0</v>
      </c>
      <c r="DY192" s="28">
        <f>SUMIF('Lease Cycles'!$HL$18:$HR$18,DY$6,'Lease Cycles'!$HS$18:$HY$18)</f>
        <v>0</v>
      </c>
      <c r="DZ192" s="28">
        <f>SUMIF('Lease Cycles'!$HL$18:$HR$18,DZ$6,'Lease Cycles'!$HS$18:$HY$18)</f>
        <v>0</v>
      </c>
      <c r="EA192" s="28">
        <f>SUMIF('Lease Cycles'!$HL$18:$HR$18,EA$6,'Lease Cycles'!$HS$18:$HY$18)</f>
        <v>0</v>
      </c>
      <c r="EB192" s="28">
        <f>SUMIF('Lease Cycles'!$HL$18:$HR$18,EB$6,'Lease Cycles'!$HS$18:$HY$18)</f>
        <v>0</v>
      </c>
      <c r="EC192" s="28">
        <f>SUMIF('Lease Cycles'!$HL$18:$HR$18,EC$6,'Lease Cycles'!$HS$18:$HY$18)</f>
        <v>0</v>
      </c>
      <c r="ED192" s="28">
        <f>SUMIF('Lease Cycles'!$HL$18:$HR$18,ED$6,'Lease Cycles'!$HS$18:$HY$18)</f>
        <v>0</v>
      </c>
      <c r="EE192" s="28">
        <f>SUMIF('Lease Cycles'!$HL$18:$HR$18,EE$6,'Lease Cycles'!$HS$18:$HY$18)</f>
        <v>0</v>
      </c>
      <c r="EF192" s="28">
        <f>SUMIF('Lease Cycles'!$HL$18:$HR$18,EF$6,'Lease Cycles'!$HS$18:$HY$18)</f>
        <v>0</v>
      </c>
      <c r="EG192" s="28">
        <f>SUMIF('Lease Cycles'!$HL$18:$HR$18,EG$6,'Lease Cycles'!$HS$18:$HY$18)</f>
        <v>0</v>
      </c>
      <c r="EH192" s="28">
        <f>SUMIF('Lease Cycles'!$HL$18:$HR$18,EH$6,'Lease Cycles'!$HS$18:$HY$18)</f>
        <v>0</v>
      </c>
      <c r="EI192" s="28">
        <f>SUMIF('Lease Cycles'!$HL$18:$HR$18,EI$6,'Lease Cycles'!$HS$18:$HY$18)</f>
        <v>0</v>
      </c>
      <c r="EJ192" s="28">
        <f>SUMIF('Lease Cycles'!$HL$18:$HR$18,EJ$6,'Lease Cycles'!$HS$18:$HY$18)</f>
        <v>0</v>
      </c>
      <c r="EK192" s="28">
        <f>SUMIF('Lease Cycles'!$HL$18:$HR$18,EK$6,'Lease Cycles'!$HS$18:$HY$18)</f>
        <v>0</v>
      </c>
      <c r="EL192" s="28">
        <f>SUMIF('Lease Cycles'!$HL$18:$HR$18,EL$6,'Lease Cycles'!$HS$18:$HY$18)</f>
        <v>0</v>
      </c>
      <c r="EM192" s="28">
        <f>SUMIF('Lease Cycles'!$HL$18:$HR$18,EM$6,'Lease Cycles'!$HS$18:$HY$18)</f>
        <v>0</v>
      </c>
      <c r="EN192" s="28">
        <f>SUMIF('Lease Cycles'!$HL$18:$HR$18,EN$6,'Lease Cycles'!$HS$18:$HY$18)</f>
        <v>0</v>
      </c>
      <c r="EO192" s="28">
        <f>SUMIF('Lease Cycles'!$HL$18:$HR$18,EO$6,'Lease Cycles'!$HS$18:$HY$18)</f>
        <v>0</v>
      </c>
      <c r="EP192" s="28">
        <f>SUMIF('Lease Cycles'!$HL$18:$HR$18,EP$6,'Lease Cycles'!$HS$18:$HY$18)</f>
        <v>0</v>
      </c>
      <c r="EQ192" s="28">
        <f>SUMIF('Lease Cycles'!$HL$18:$HR$18,EQ$6,'Lease Cycles'!$HS$18:$HY$18)</f>
        <v>0</v>
      </c>
      <c r="ER192" s="28">
        <f>SUMIF('Lease Cycles'!$HL$18:$HR$18,ER$6,'Lease Cycles'!$HS$18:$HY$18)</f>
        <v>0</v>
      </c>
      <c r="ES192" s="28">
        <f>SUMIF('Lease Cycles'!$HL$18:$HR$18,ES$6,'Lease Cycles'!$HS$18:$HY$18)</f>
        <v>0</v>
      </c>
      <c r="ET192" s="28">
        <f>SUMIF('Lease Cycles'!$HL$18:$HR$18,ET$6,'Lease Cycles'!$HS$18:$HY$18)</f>
        <v>0</v>
      </c>
    </row>
    <row r="193">
      <c r="A193" s="103">
        <v>11</v>
      </c>
      <c r="B193" s="23" t="str">
        <f>IF('Lease Cycles'!$B$18="","(empty slot)",'Lease Cycles'!$B$18)</f>
        <v>(empty slot)</v>
      </c>
      <c r="C193" s="23" t="s">
        <v>532</v>
      </c>
      <c r="D193" s="104" t="s">
        <v>533</v>
      </c>
      <c r="E193" s="25">
        <f>'Lease Cycles'!$AL$18</f>
        <v>0</v>
      </c>
      <c r="G193" s="28">
        <f>SUM(S193:AD193)</f>
        <v>0</v>
      </c>
      <c r="H193" s="28">
        <f>SUM(AE193:AP193)</f>
        <v>0</v>
      </c>
      <c r="I193" s="28">
        <f>SUM(AQ193:BB193)</f>
        <v>0</v>
      </c>
      <c r="J193" s="28">
        <f>SUM(BC193:BN193)</f>
        <v>0</v>
      </c>
      <c r="K193" s="28">
        <f>SUM(BO193:BZ193)</f>
        <v>0</v>
      </c>
      <c r="L193" s="28">
        <f>SUM(CA193:CL193)</f>
        <v>0</v>
      </c>
      <c r="M193" s="28">
        <f>SUM(CM193:CX193)</f>
        <v>0</v>
      </c>
      <c r="N193" s="28">
        <f>SUM(CY193:DJ193)</f>
        <v>0</v>
      </c>
      <c r="O193" s="28">
        <f>SUM(DK193:DV193)</f>
        <v>0</v>
      </c>
      <c r="P193" s="28">
        <f>SUM(DW193:EH193)</f>
        <v>0</v>
      </c>
      <c r="Q193" s="28">
        <f>SUM(EI193:ET193)</f>
        <v>0</v>
      </c>
      <c r="S193" s="28">
        <f>SUMIF('Lease Cycles'!$HL$18:$HR$18,S$6,'Lease Cycles'!$HZ$18:$IF$18)</f>
        <v>0</v>
      </c>
      <c r="T193" s="28">
        <f>SUMIF('Lease Cycles'!$HL$18:$HR$18,T$6,'Lease Cycles'!$HZ$18:$IF$18)</f>
        <v>0</v>
      </c>
      <c r="U193" s="28">
        <f>SUMIF('Lease Cycles'!$HL$18:$HR$18,U$6,'Lease Cycles'!$HZ$18:$IF$18)</f>
        <v>0</v>
      </c>
      <c r="V193" s="28">
        <f>SUMIF('Lease Cycles'!$HL$18:$HR$18,V$6,'Lease Cycles'!$HZ$18:$IF$18)</f>
        <v>0</v>
      </c>
      <c r="W193" s="28">
        <f>SUMIF('Lease Cycles'!$HL$18:$HR$18,W$6,'Lease Cycles'!$HZ$18:$IF$18)</f>
        <v>0</v>
      </c>
      <c r="X193" s="28">
        <f>SUMIF('Lease Cycles'!$HL$18:$HR$18,X$6,'Lease Cycles'!$HZ$18:$IF$18)</f>
        <v>0</v>
      </c>
      <c r="Y193" s="28">
        <f>SUMIF('Lease Cycles'!$HL$18:$HR$18,Y$6,'Lease Cycles'!$HZ$18:$IF$18)</f>
        <v>0</v>
      </c>
      <c r="Z193" s="28">
        <f>SUMIF('Lease Cycles'!$HL$18:$HR$18,Z$6,'Lease Cycles'!$HZ$18:$IF$18)</f>
        <v>0</v>
      </c>
      <c r="AA193" s="28">
        <f>SUMIF('Lease Cycles'!$HL$18:$HR$18,AA$6,'Lease Cycles'!$HZ$18:$IF$18)</f>
        <v>0</v>
      </c>
      <c r="AB193" s="28">
        <f>SUMIF('Lease Cycles'!$HL$18:$HR$18,AB$6,'Lease Cycles'!$HZ$18:$IF$18)</f>
        <v>0</v>
      </c>
      <c r="AC193" s="28">
        <f>SUMIF('Lease Cycles'!$HL$18:$HR$18,AC$6,'Lease Cycles'!$HZ$18:$IF$18)</f>
        <v>0</v>
      </c>
      <c r="AD193" s="28">
        <f>SUMIF('Lease Cycles'!$HL$18:$HR$18,AD$6,'Lease Cycles'!$HZ$18:$IF$18)</f>
        <v>0</v>
      </c>
      <c r="AE193" s="28">
        <f>SUMIF('Lease Cycles'!$HL$18:$HR$18,AE$6,'Lease Cycles'!$HZ$18:$IF$18)</f>
        <v>0</v>
      </c>
      <c r="AF193" s="28">
        <f>SUMIF('Lease Cycles'!$HL$18:$HR$18,AF$6,'Lease Cycles'!$HZ$18:$IF$18)</f>
        <v>0</v>
      </c>
      <c r="AG193" s="28">
        <f>SUMIF('Lease Cycles'!$HL$18:$HR$18,AG$6,'Lease Cycles'!$HZ$18:$IF$18)</f>
        <v>0</v>
      </c>
      <c r="AH193" s="28">
        <f>SUMIF('Lease Cycles'!$HL$18:$HR$18,AH$6,'Lease Cycles'!$HZ$18:$IF$18)</f>
        <v>0</v>
      </c>
      <c r="AI193" s="28">
        <f>SUMIF('Lease Cycles'!$HL$18:$HR$18,AI$6,'Lease Cycles'!$HZ$18:$IF$18)</f>
        <v>0</v>
      </c>
      <c r="AJ193" s="28">
        <f>SUMIF('Lease Cycles'!$HL$18:$HR$18,AJ$6,'Lease Cycles'!$HZ$18:$IF$18)</f>
        <v>0</v>
      </c>
      <c r="AK193" s="28">
        <f>SUMIF('Lease Cycles'!$HL$18:$HR$18,AK$6,'Lease Cycles'!$HZ$18:$IF$18)</f>
        <v>0</v>
      </c>
      <c r="AL193" s="28">
        <f>SUMIF('Lease Cycles'!$HL$18:$HR$18,AL$6,'Lease Cycles'!$HZ$18:$IF$18)</f>
        <v>0</v>
      </c>
      <c r="AM193" s="28">
        <f>SUMIF('Lease Cycles'!$HL$18:$HR$18,AM$6,'Lease Cycles'!$HZ$18:$IF$18)</f>
        <v>0</v>
      </c>
      <c r="AN193" s="28">
        <f>SUMIF('Lease Cycles'!$HL$18:$HR$18,AN$6,'Lease Cycles'!$HZ$18:$IF$18)</f>
        <v>0</v>
      </c>
      <c r="AO193" s="28">
        <f>SUMIF('Lease Cycles'!$HL$18:$HR$18,AO$6,'Lease Cycles'!$HZ$18:$IF$18)</f>
        <v>0</v>
      </c>
      <c r="AP193" s="28">
        <f>SUMIF('Lease Cycles'!$HL$18:$HR$18,AP$6,'Lease Cycles'!$HZ$18:$IF$18)</f>
        <v>0</v>
      </c>
      <c r="AQ193" s="28">
        <f>SUMIF('Lease Cycles'!$HL$18:$HR$18,AQ$6,'Lease Cycles'!$HZ$18:$IF$18)</f>
        <v>0</v>
      </c>
      <c r="AR193" s="28">
        <f>SUMIF('Lease Cycles'!$HL$18:$HR$18,AR$6,'Lease Cycles'!$HZ$18:$IF$18)</f>
        <v>0</v>
      </c>
      <c r="AS193" s="28">
        <f>SUMIF('Lease Cycles'!$HL$18:$HR$18,AS$6,'Lease Cycles'!$HZ$18:$IF$18)</f>
        <v>0</v>
      </c>
      <c r="AT193" s="28">
        <f>SUMIF('Lease Cycles'!$HL$18:$HR$18,AT$6,'Lease Cycles'!$HZ$18:$IF$18)</f>
        <v>0</v>
      </c>
      <c r="AU193" s="28">
        <f>SUMIF('Lease Cycles'!$HL$18:$HR$18,AU$6,'Lease Cycles'!$HZ$18:$IF$18)</f>
        <v>0</v>
      </c>
      <c r="AV193" s="28">
        <f>SUMIF('Lease Cycles'!$HL$18:$HR$18,AV$6,'Lease Cycles'!$HZ$18:$IF$18)</f>
        <v>0</v>
      </c>
      <c r="AW193" s="28">
        <f>SUMIF('Lease Cycles'!$HL$18:$HR$18,AW$6,'Lease Cycles'!$HZ$18:$IF$18)</f>
        <v>0</v>
      </c>
      <c r="AX193" s="28">
        <f>SUMIF('Lease Cycles'!$HL$18:$HR$18,AX$6,'Lease Cycles'!$HZ$18:$IF$18)</f>
        <v>0</v>
      </c>
      <c r="AY193" s="28">
        <f>SUMIF('Lease Cycles'!$HL$18:$HR$18,AY$6,'Lease Cycles'!$HZ$18:$IF$18)</f>
        <v>0</v>
      </c>
      <c r="AZ193" s="28">
        <f>SUMIF('Lease Cycles'!$HL$18:$HR$18,AZ$6,'Lease Cycles'!$HZ$18:$IF$18)</f>
        <v>0</v>
      </c>
      <c r="BA193" s="28">
        <f>SUMIF('Lease Cycles'!$HL$18:$HR$18,BA$6,'Lease Cycles'!$HZ$18:$IF$18)</f>
        <v>0</v>
      </c>
      <c r="BB193" s="28">
        <f>SUMIF('Lease Cycles'!$HL$18:$HR$18,BB$6,'Lease Cycles'!$HZ$18:$IF$18)</f>
        <v>0</v>
      </c>
      <c r="BC193" s="28">
        <f>SUMIF('Lease Cycles'!$HL$18:$HR$18,BC$6,'Lease Cycles'!$HZ$18:$IF$18)</f>
        <v>0</v>
      </c>
      <c r="BD193" s="28">
        <f>SUMIF('Lease Cycles'!$HL$18:$HR$18,BD$6,'Lease Cycles'!$HZ$18:$IF$18)</f>
        <v>0</v>
      </c>
      <c r="BE193" s="28">
        <f>SUMIF('Lease Cycles'!$HL$18:$HR$18,BE$6,'Lease Cycles'!$HZ$18:$IF$18)</f>
        <v>0</v>
      </c>
      <c r="BF193" s="28">
        <f>SUMIF('Lease Cycles'!$HL$18:$HR$18,BF$6,'Lease Cycles'!$HZ$18:$IF$18)</f>
        <v>0</v>
      </c>
      <c r="BG193" s="28">
        <f>SUMIF('Lease Cycles'!$HL$18:$HR$18,BG$6,'Lease Cycles'!$HZ$18:$IF$18)</f>
        <v>0</v>
      </c>
      <c r="BH193" s="28">
        <f>SUMIF('Lease Cycles'!$HL$18:$HR$18,BH$6,'Lease Cycles'!$HZ$18:$IF$18)</f>
        <v>0</v>
      </c>
      <c r="BI193" s="28">
        <f>SUMIF('Lease Cycles'!$HL$18:$HR$18,BI$6,'Lease Cycles'!$HZ$18:$IF$18)</f>
        <v>0</v>
      </c>
      <c r="BJ193" s="28">
        <f>SUMIF('Lease Cycles'!$HL$18:$HR$18,BJ$6,'Lease Cycles'!$HZ$18:$IF$18)</f>
        <v>0</v>
      </c>
      <c r="BK193" s="28">
        <f>SUMIF('Lease Cycles'!$HL$18:$HR$18,BK$6,'Lease Cycles'!$HZ$18:$IF$18)</f>
        <v>0</v>
      </c>
      <c r="BL193" s="28">
        <f>SUMIF('Lease Cycles'!$HL$18:$HR$18,BL$6,'Lease Cycles'!$HZ$18:$IF$18)</f>
        <v>0</v>
      </c>
      <c r="BM193" s="28">
        <f>SUMIF('Lease Cycles'!$HL$18:$HR$18,BM$6,'Lease Cycles'!$HZ$18:$IF$18)</f>
        <v>0</v>
      </c>
      <c r="BN193" s="28">
        <f>SUMIF('Lease Cycles'!$HL$18:$HR$18,BN$6,'Lease Cycles'!$HZ$18:$IF$18)</f>
        <v>0</v>
      </c>
      <c r="BO193" s="28">
        <f>SUMIF('Lease Cycles'!$HL$18:$HR$18,BO$6,'Lease Cycles'!$HZ$18:$IF$18)</f>
        <v>0</v>
      </c>
      <c r="BP193" s="28">
        <f>SUMIF('Lease Cycles'!$HL$18:$HR$18,BP$6,'Lease Cycles'!$HZ$18:$IF$18)</f>
        <v>0</v>
      </c>
      <c r="BQ193" s="28">
        <f>SUMIF('Lease Cycles'!$HL$18:$HR$18,BQ$6,'Lease Cycles'!$HZ$18:$IF$18)</f>
        <v>0</v>
      </c>
      <c r="BR193" s="28">
        <f>SUMIF('Lease Cycles'!$HL$18:$HR$18,BR$6,'Lease Cycles'!$HZ$18:$IF$18)</f>
        <v>0</v>
      </c>
      <c r="BS193" s="28">
        <f>SUMIF('Lease Cycles'!$HL$18:$HR$18,BS$6,'Lease Cycles'!$HZ$18:$IF$18)</f>
        <v>0</v>
      </c>
      <c r="BT193" s="28">
        <f>SUMIF('Lease Cycles'!$HL$18:$HR$18,BT$6,'Lease Cycles'!$HZ$18:$IF$18)</f>
        <v>0</v>
      </c>
      <c r="BU193" s="28">
        <f>SUMIF('Lease Cycles'!$HL$18:$HR$18,BU$6,'Lease Cycles'!$HZ$18:$IF$18)</f>
        <v>0</v>
      </c>
      <c r="BV193" s="28">
        <f>SUMIF('Lease Cycles'!$HL$18:$HR$18,BV$6,'Lease Cycles'!$HZ$18:$IF$18)</f>
        <v>0</v>
      </c>
      <c r="BW193" s="28">
        <f>SUMIF('Lease Cycles'!$HL$18:$HR$18,BW$6,'Lease Cycles'!$HZ$18:$IF$18)</f>
        <v>0</v>
      </c>
      <c r="BX193" s="28">
        <f>SUMIF('Lease Cycles'!$HL$18:$HR$18,BX$6,'Lease Cycles'!$HZ$18:$IF$18)</f>
        <v>0</v>
      </c>
      <c r="BY193" s="28">
        <f>SUMIF('Lease Cycles'!$HL$18:$HR$18,BY$6,'Lease Cycles'!$HZ$18:$IF$18)</f>
        <v>0</v>
      </c>
      <c r="BZ193" s="28">
        <f>SUMIF('Lease Cycles'!$HL$18:$HR$18,BZ$6,'Lease Cycles'!$HZ$18:$IF$18)</f>
        <v>0</v>
      </c>
      <c r="CA193" s="28">
        <f>SUMIF('Lease Cycles'!$HL$18:$HR$18,CA$6,'Lease Cycles'!$HZ$18:$IF$18)</f>
        <v>0</v>
      </c>
      <c r="CB193" s="28">
        <f>SUMIF('Lease Cycles'!$HL$18:$HR$18,CB$6,'Lease Cycles'!$HZ$18:$IF$18)</f>
        <v>0</v>
      </c>
      <c r="CC193" s="28">
        <f>SUMIF('Lease Cycles'!$HL$18:$HR$18,CC$6,'Lease Cycles'!$HZ$18:$IF$18)</f>
        <v>0</v>
      </c>
      <c r="CD193" s="28">
        <f>SUMIF('Lease Cycles'!$HL$18:$HR$18,CD$6,'Lease Cycles'!$HZ$18:$IF$18)</f>
        <v>0</v>
      </c>
      <c r="CE193" s="28">
        <f>SUMIF('Lease Cycles'!$HL$18:$HR$18,CE$6,'Lease Cycles'!$HZ$18:$IF$18)</f>
        <v>0</v>
      </c>
      <c r="CF193" s="28">
        <f>SUMIF('Lease Cycles'!$HL$18:$HR$18,CF$6,'Lease Cycles'!$HZ$18:$IF$18)</f>
        <v>0</v>
      </c>
      <c r="CG193" s="28">
        <f>SUMIF('Lease Cycles'!$HL$18:$HR$18,CG$6,'Lease Cycles'!$HZ$18:$IF$18)</f>
        <v>0</v>
      </c>
      <c r="CH193" s="28">
        <f>SUMIF('Lease Cycles'!$HL$18:$HR$18,CH$6,'Lease Cycles'!$HZ$18:$IF$18)</f>
        <v>0</v>
      </c>
      <c r="CI193" s="28">
        <f>SUMIF('Lease Cycles'!$HL$18:$HR$18,CI$6,'Lease Cycles'!$HZ$18:$IF$18)</f>
        <v>0</v>
      </c>
      <c r="CJ193" s="28">
        <f>SUMIF('Lease Cycles'!$HL$18:$HR$18,CJ$6,'Lease Cycles'!$HZ$18:$IF$18)</f>
        <v>0</v>
      </c>
      <c r="CK193" s="28">
        <f>SUMIF('Lease Cycles'!$HL$18:$HR$18,CK$6,'Lease Cycles'!$HZ$18:$IF$18)</f>
        <v>0</v>
      </c>
      <c r="CL193" s="28">
        <f>SUMIF('Lease Cycles'!$HL$18:$HR$18,CL$6,'Lease Cycles'!$HZ$18:$IF$18)</f>
        <v>0</v>
      </c>
      <c r="CM193" s="28">
        <f>SUMIF('Lease Cycles'!$HL$18:$HR$18,CM$6,'Lease Cycles'!$HZ$18:$IF$18)</f>
        <v>0</v>
      </c>
      <c r="CN193" s="28">
        <f>SUMIF('Lease Cycles'!$HL$18:$HR$18,CN$6,'Lease Cycles'!$HZ$18:$IF$18)</f>
        <v>0</v>
      </c>
      <c r="CO193" s="28">
        <f>SUMIF('Lease Cycles'!$HL$18:$HR$18,CO$6,'Lease Cycles'!$HZ$18:$IF$18)</f>
        <v>0</v>
      </c>
      <c r="CP193" s="28">
        <f>SUMIF('Lease Cycles'!$HL$18:$HR$18,CP$6,'Lease Cycles'!$HZ$18:$IF$18)</f>
        <v>0</v>
      </c>
      <c r="CQ193" s="28">
        <f>SUMIF('Lease Cycles'!$HL$18:$HR$18,CQ$6,'Lease Cycles'!$HZ$18:$IF$18)</f>
        <v>0</v>
      </c>
      <c r="CR193" s="28">
        <f>SUMIF('Lease Cycles'!$HL$18:$HR$18,CR$6,'Lease Cycles'!$HZ$18:$IF$18)</f>
        <v>0</v>
      </c>
      <c r="CS193" s="28">
        <f>SUMIF('Lease Cycles'!$HL$18:$HR$18,CS$6,'Lease Cycles'!$HZ$18:$IF$18)</f>
        <v>0</v>
      </c>
      <c r="CT193" s="28">
        <f>SUMIF('Lease Cycles'!$HL$18:$HR$18,CT$6,'Lease Cycles'!$HZ$18:$IF$18)</f>
        <v>0</v>
      </c>
      <c r="CU193" s="28">
        <f>SUMIF('Lease Cycles'!$HL$18:$HR$18,CU$6,'Lease Cycles'!$HZ$18:$IF$18)</f>
        <v>0</v>
      </c>
      <c r="CV193" s="28">
        <f>SUMIF('Lease Cycles'!$HL$18:$HR$18,CV$6,'Lease Cycles'!$HZ$18:$IF$18)</f>
        <v>0</v>
      </c>
      <c r="CW193" s="28">
        <f>SUMIF('Lease Cycles'!$HL$18:$HR$18,CW$6,'Lease Cycles'!$HZ$18:$IF$18)</f>
        <v>0</v>
      </c>
      <c r="CX193" s="28">
        <f>SUMIF('Lease Cycles'!$HL$18:$HR$18,CX$6,'Lease Cycles'!$HZ$18:$IF$18)</f>
        <v>0</v>
      </c>
      <c r="CY193" s="28">
        <f>SUMIF('Lease Cycles'!$HL$18:$HR$18,CY$6,'Lease Cycles'!$HZ$18:$IF$18)</f>
        <v>0</v>
      </c>
      <c r="CZ193" s="28">
        <f>SUMIF('Lease Cycles'!$HL$18:$HR$18,CZ$6,'Lease Cycles'!$HZ$18:$IF$18)</f>
        <v>0</v>
      </c>
      <c r="DA193" s="28">
        <f>SUMIF('Lease Cycles'!$HL$18:$HR$18,DA$6,'Lease Cycles'!$HZ$18:$IF$18)</f>
        <v>0</v>
      </c>
      <c r="DB193" s="28">
        <f>SUMIF('Lease Cycles'!$HL$18:$HR$18,DB$6,'Lease Cycles'!$HZ$18:$IF$18)</f>
        <v>0</v>
      </c>
      <c r="DC193" s="28">
        <f>SUMIF('Lease Cycles'!$HL$18:$HR$18,DC$6,'Lease Cycles'!$HZ$18:$IF$18)</f>
        <v>0</v>
      </c>
      <c r="DD193" s="28">
        <f>SUMIF('Lease Cycles'!$HL$18:$HR$18,DD$6,'Lease Cycles'!$HZ$18:$IF$18)</f>
        <v>0</v>
      </c>
      <c r="DE193" s="28">
        <f>SUMIF('Lease Cycles'!$HL$18:$HR$18,DE$6,'Lease Cycles'!$HZ$18:$IF$18)</f>
        <v>0</v>
      </c>
      <c r="DF193" s="28">
        <f>SUMIF('Lease Cycles'!$HL$18:$HR$18,DF$6,'Lease Cycles'!$HZ$18:$IF$18)</f>
        <v>0</v>
      </c>
      <c r="DG193" s="28">
        <f>SUMIF('Lease Cycles'!$HL$18:$HR$18,DG$6,'Lease Cycles'!$HZ$18:$IF$18)</f>
        <v>0</v>
      </c>
      <c r="DH193" s="28">
        <f>SUMIF('Lease Cycles'!$HL$18:$HR$18,DH$6,'Lease Cycles'!$HZ$18:$IF$18)</f>
        <v>0</v>
      </c>
      <c r="DI193" s="28">
        <f>SUMIF('Lease Cycles'!$HL$18:$HR$18,DI$6,'Lease Cycles'!$HZ$18:$IF$18)</f>
        <v>0</v>
      </c>
      <c r="DJ193" s="28">
        <f>SUMIF('Lease Cycles'!$HL$18:$HR$18,DJ$6,'Lease Cycles'!$HZ$18:$IF$18)</f>
        <v>0</v>
      </c>
      <c r="DK193" s="28">
        <f>SUMIF('Lease Cycles'!$HL$18:$HR$18,DK$6,'Lease Cycles'!$HZ$18:$IF$18)</f>
        <v>0</v>
      </c>
      <c r="DL193" s="28">
        <f>SUMIF('Lease Cycles'!$HL$18:$HR$18,DL$6,'Lease Cycles'!$HZ$18:$IF$18)</f>
        <v>0</v>
      </c>
      <c r="DM193" s="28">
        <f>SUMIF('Lease Cycles'!$HL$18:$HR$18,DM$6,'Lease Cycles'!$HZ$18:$IF$18)</f>
        <v>0</v>
      </c>
      <c r="DN193" s="28">
        <f>SUMIF('Lease Cycles'!$HL$18:$HR$18,DN$6,'Lease Cycles'!$HZ$18:$IF$18)</f>
        <v>0</v>
      </c>
      <c r="DO193" s="28">
        <f>SUMIF('Lease Cycles'!$HL$18:$HR$18,DO$6,'Lease Cycles'!$HZ$18:$IF$18)</f>
        <v>0</v>
      </c>
      <c r="DP193" s="28">
        <f>SUMIF('Lease Cycles'!$HL$18:$HR$18,DP$6,'Lease Cycles'!$HZ$18:$IF$18)</f>
        <v>0</v>
      </c>
      <c r="DQ193" s="28">
        <f>SUMIF('Lease Cycles'!$HL$18:$HR$18,DQ$6,'Lease Cycles'!$HZ$18:$IF$18)</f>
        <v>0</v>
      </c>
      <c r="DR193" s="28">
        <f>SUMIF('Lease Cycles'!$HL$18:$HR$18,DR$6,'Lease Cycles'!$HZ$18:$IF$18)</f>
        <v>0</v>
      </c>
      <c r="DS193" s="28">
        <f>SUMIF('Lease Cycles'!$HL$18:$HR$18,DS$6,'Lease Cycles'!$HZ$18:$IF$18)</f>
        <v>0</v>
      </c>
      <c r="DT193" s="28">
        <f>SUMIF('Lease Cycles'!$HL$18:$HR$18,DT$6,'Lease Cycles'!$HZ$18:$IF$18)</f>
        <v>0</v>
      </c>
      <c r="DU193" s="28">
        <f>SUMIF('Lease Cycles'!$HL$18:$HR$18,DU$6,'Lease Cycles'!$HZ$18:$IF$18)</f>
        <v>0</v>
      </c>
      <c r="DV193" s="28">
        <f>SUMIF('Lease Cycles'!$HL$18:$HR$18,DV$6,'Lease Cycles'!$HZ$18:$IF$18)</f>
        <v>0</v>
      </c>
      <c r="DW193" s="28">
        <f>SUMIF('Lease Cycles'!$HL$18:$HR$18,DW$6,'Lease Cycles'!$HZ$18:$IF$18)</f>
        <v>0</v>
      </c>
      <c r="DX193" s="28">
        <f>SUMIF('Lease Cycles'!$HL$18:$HR$18,DX$6,'Lease Cycles'!$HZ$18:$IF$18)</f>
        <v>0</v>
      </c>
      <c r="DY193" s="28">
        <f>SUMIF('Lease Cycles'!$HL$18:$HR$18,DY$6,'Lease Cycles'!$HZ$18:$IF$18)</f>
        <v>0</v>
      </c>
      <c r="DZ193" s="28">
        <f>SUMIF('Lease Cycles'!$HL$18:$HR$18,DZ$6,'Lease Cycles'!$HZ$18:$IF$18)</f>
        <v>0</v>
      </c>
      <c r="EA193" s="28">
        <f>SUMIF('Lease Cycles'!$HL$18:$HR$18,EA$6,'Lease Cycles'!$HZ$18:$IF$18)</f>
        <v>0</v>
      </c>
      <c r="EB193" s="28">
        <f>SUMIF('Lease Cycles'!$HL$18:$HR$18,EB$6,'Lease Cycles'!$HZ$18:$IF$18)</f>
        <v>0</v>
      </c>
      <c r="EC193" s="28">
        <f>SUMIF('Lease Cycles'!$HL$18:$HR$18,EC$6,'Lease Cycles'!$HZ$18:$IF$18)</f>
        <v>0</v>
      </c>
      <c r="ED193" s="28">
        <f>SUMIF('Lease Cycles'!$HL$18:$HR$18,ED$6,'Lease Cycles'!$HZ$18:$IF$18)</f>
        <v>0</v>
      </c>
      <c r="EE193" s="28">
        <f>SUMIF('Lease Cycles'!$HL$18:$HR$18,EE$6,'Lease Cycles'!$HZ$18:$IF$18)</f>
        <v>0</v>
      </c>
      <c r="EF193" s="28">
        <f>SUMIF('Lease Cycles'!$HL$18:$HR$18,EF$6,'Lease Cycles'!$HZ$18:$IF$18)</f>
        <v>0</v>
      </c>
      <c r="EG193" s="28">
        <f>SUMIF('Lease Cycles'!$HL$18:$HR$18,EG$6,'Lease Cycles'!$HZ$18:$IF$18)</f>
        <v>0</v>
      </c>
      <c r="EH193" s="28">
        <f>SUMIF('Lease Cycles'!$HL$18:$HR$18,EH$6,'Lease Cycles'!$HZ$18:$IF$18)</f>
        <v>0</v>
      </c>
      <c r="EI193" s="28">
        <f>SUMIF('Lease Cycles'!$HL$18:$HR$18,EI$6,'Lease Cycles'!$HZ$18:$IF$18)</f>
        <v>0</v>
      </c>
      <c r="EJ193" s="28">
        <f>SUMIF('Lease Cycles'!$HL$18:$HR$18,EJ$6,'Lease Cycles'!$HZ$18:$IF$18)</f>
        <v>0</v>
      </c>
      <c r="EK193" s="28">
        <f>SUMIF('Lease Cycles'!$HL$18:$HR$18,EK$6,'Lease Cycles'!$HZ$18:$IF$18)</f>
        <v>0</v>
      </c>
      <c r="EL193" s="28">
        <f>SUMIF('Lease Cycles'!$HL$18:$HR$18,EL$6,'Lease Cycles'!$HZ$18:$IF$18)</f>
        <v>0</v>
      </c>
      <c r="EM193" s="28">
        <f>SUMIF('Lease Cycles'!$HL$18:$HR$18,EM$6,'Lease Cycles'!$HZ$18:$IF$18)</f>
        <v>0</v>
      </c>
      <c r="EN193" s="28">
        <f>SUMIF('Lease Cycles'!$HL$18:$HR$18,EN$6,'Lease Cycles'!$HZ$18:$IF$18)</f>
        <v>0</v>
      </c>
      <c r="EO193" s="28">
        <f>SUMIF('Lease Cycles'!$HL$18:$HR$18,EO$6,'Lease Cycles'!$HZ$18:$IF$18)</f>
        <v>0</v>
      </c>
      <c r="EP193" s="28">
        <f>SUMIF('Lease Cycles'!$HL$18:$HR$18,EP$6,'Lease Cycles'!$HZ$18:$IF$18)</f>
        <v>0</v>
      </c>
      <c r="EQ193" s="28">
        <f>SUMIF('Lease Cycles'!$HL$18:$HR$18,EQ$6,'Lease Cycles'!$HZ$18:$IF$18)</f>
        <v>0</v>
      </c>
      <c r="ER193" s="28">
        <f>SUMIF('Lease Cycles'!$HL$18:$HR$18,ER$6,'Lease Cycles'!$HZ$18:$IF$18)</f>
        <v>0</v>
      </c>
      <c r="ES193" s="28">
        <f>SUMIF('Lease Cycles'!$HL$18:$HR$18,ES$6,'Lease Cycles'!$HZ$18:$IF$18)</f>
        <v>0</v>
      </c>
      <c r="ET193" s="28">
        <f>SUMIF('Lease Cycles'!$HL$18:$HR$18,ET$6,'Lease Cycles'!$HZ$18:$IF$18)</f>
        <v>0</v>
      </c>
    </row>
    <row r="194">
      <c r="A194" s="103">
        <v>11</v>
      </c>
      <c r="B194" s="23" t="str">
        <f>IF('Lease Cycles'!$B$18="","(empty slot)",'Lease Cycles'!$B$18)</f>
        <v>(empty slot)</v>
      </c>
      <c r="C194" s="23" t="s">
        <v>691</v>
      </c>
      <c r="D194" s="104" t="s">
        <v>692</v>
      </c>
      <c r="E194" s="25">
        <f>'Lease Cycles'!$AL$18</f>
        <v>0</v>
      </c>
      <c r="G194" s="28">
        <f>SUM(S194:AD194)</f>
        <v>0</v>
      </c>
      <c r="H194" s="28">
        <f>SUM(AE194:AP194)</f>
        <v>0</v>
      </c>
      <c r="I194" s="28">
        <f>SUM(AQ194:BB194)</f>
        <v>0</v>
      </c>
      <c r="J194" s="28">
        <f>SUM(BC194:BN194)</f>
        <v>0</v>
      </c>
      <c r="K194" s="28">
        <f>SUM(BO194:BZ194)</f>
        <v>0</v>
      </c>
      <c r="L194" s="28">
        <f>SUM(CA194:CL194)</f>
        <v>0</v>
      </c>
      <c r="M194" s="28">
        <f>SUM(CM194:CX194)</f>
        <v>0</v>
      </c>
      <c r="N194" s="28">
        <f>SUM(CY194:DJ194)</f>
        <v>0</v>
      </c>
      <c r="O194" s="28">
        <f>SUM(DK194:DV194)</f>
        <v>0</v>
      </c>
      <c r="P194" s="28">
        <f>SUM(DW194:EH194)</f>
        <v>0</v>
      </c>
      <c r="Q194" s="28">
        <f>SUM(EI194:ET194)</f>
        <v>0</v>
      </c>
      <c r="S194" s="28">
        <f>IF(S$6='Lease Cycles'!$HL$18,'Lease Cycles'!$HS$18+'Lease Cycles'!$HZ$18,0)</f>
        <v>0</v>
      </c>
      <c r="T194" s="28">
        <f>IF(T$6='Lease Cycles'!$HL$18,'Lease Cycles'!$HS$18+'Lease Cycles'!$HZ$18,0)</f>
        <v>0</v>
      </c>
      <c r="U194" s="28">
        <f>IF(U$6='Lease Cycles'!$HL$18,'Lease Cycles'!$HS$18+'Lease Cycles'!$HZ$18,0)</f>
        <v>0</v>
      </c>
      <c r="V194" s="28">
        <f>IF(V$6='Lease Cycles'!$HL$18,'Lease Cycles'!$HS$18+'Lease Cycles'!$HZ$18,0)</f>
        <v>0</v>
      </c>
      <c r="W194" s="28">
        <f>IF(W$6='Lease Cycles'!$HL$18,'Lease Cycles'!$HS$18+'Lease Cycles'!$HZ$18,0)</f>
        <v>0</v>
      </c>
      <c r="X194" s="28">
        <f>IF(X$6='Lease Cycles'!$HL$18,'Lease Cycles'!$HS$18+'Lease Cycles'!$HZ$18,0)</f>
        <v>0</v>
      </c>
      <c r="Y194" s="28">
        <f>IF(Y$6='Lease Cycles'!$HL$18,'Lease Cycles'!$HS$18+'Lease Cycles'!$HZ$18,0)</f>
        <v>0</v>
      </c>
      <c r="Z194" s="28">
        <f>IF(Z$6='Lease Cycles'!$HL$18,'Lease Cycles'!$HS$18+'Lease Cycles'!$HZ$18,0)</f>
        <v>0</v>
      </c>
      <c r="AA194" s="28">
        <f>IF(AA$6='Lease Cycles'!$HL$18,'Lease Cycles'!$HS$18+'Lease Cycles'!$HZ$18,0)</f>
        <v>0</v>
      </c>
      <c r="AB194" s="28">
        <f>IF(AB$6='Lease Cycles'!$HL$18,'Lease Cycles'!$HS$18+'Lease Cycles'!$HZ$18,0)</f>
        <v>0</v>
      </c>
      <c r="AC194" s="28">
        <f>IF(AC$6='Lease Cycles'!$HL$18,'Lease Cycles'!$HS$18+'Lease Cycles'!$HZ$18,0)</f>
        <v>0</v>
      </c>
      <c r="AD194" s="28">
        <f>IF(AD$6='Lease Cycles'!$HL$18,'Lease Cycles'!$HS$18+'Lease Cycles'!$HZ$18,0)</f>
        <v>0</v>
      </c>
      <c r="AE194" s="28">
        <f>IF(AE$6='Lease Cycles'!$HL$18,'Lease Cycles'!$HS$18+'Lease Cycles'!$HZ$18,0)</f>
        <v>0</v>
      </c>
      <c r="AF194" s="28">
        <f>IF(AF$6='Lease Cycles'!$HL$18,'Lease Cycles'!$HS$18+'Lease Cycles'!$HZ$18,0)</f>
        <v>0</v>
      </c>
      <c r="AG194" s="28">
        <f>IF(AG$6='Lease Cycles'!$HL$18,'Lease Cycles'!$HS$18+'Lease Cycles'!$HZ$18,0)</f>
        <v>0</v>
      </c>
      <c r="AH194" s="28">
        <f>IF(AH$6='Lease Cycles'!$HL$18,'Lease Cycles'!$HS$18+'Lease Cycles'!$HZ$18,0)</f>
        <v>0</v>
      </c>
      <c r="AI194" s="28">
        <f>IF(AI$6='Lease Cycles'!$HL$18,'Lease Cycles'!$HS$18+'Lease Cycles'!$HZ$18,0)</f>
        <v>0</v>
      </c>
      <c r="AJ194" s="28">
        <f>IF(AJ$6='Lease Cycles'!$HL$18,'Lease Cycles'!$HS$18+'Lease Cycles'!$HZ$18,0)</f>
        <v>0</v>
      </c>
      <c r="AK194" s="28">
        <f>IF(AK$6='Lease Cycles'!$HL$18,'Lease Cycles'!$HS$18+'Lease Cycles'!$HZ$18,0)</f>
        <v>0</v>
      </c>
      <c r="AL194" s="28">
        <f>IF(AL$6='Lease Cycles'!$HL$18,'Lease Cycles'!$HS$18+'Lease Cycles'!$HZ$18,0)</f>
        <v>0</v>
      </c>
      <c r="AM194" s="28">
        <f>IF(AM$6='Lease Cycles'!$HL$18,'Lease Cycles'!$HS$18+'Lease Cycles'!$HZ$18,0)</f>
        <v>0</v>
      </c>
      <c r="AN194" s="28">
        <f>IF(AN$6='Lease Cycles'!$HL$18,'Lease Cycles'!$HS$18+'Lease Cycles'!$HZ$18,0)</f>
        <v>0</v>
      </c>
      <c r="AO194" s="28">
        <f>IF(AO$6='Lease Cycles'!$HL$18,'Lease Cycles'!$HS$18+'Lease Cycles'!$HZ$18,0)</f>
        <v>0</v>
      </c>
      <c r="AP194" s="28">
        <f>IF(AP$6='Lease Cycles'!$HL$18,'Lease Cycles'!$HS$18+'Lease Cycles'!$HZ$18,0)</f>
        <v>0</v>
      </c>
      <c r="AQ194" s="28">
        <f>IF(AQ$6='Lease Cycles'!$HL$18,'Lease Cycles'!$HS$18+'Lease Cycles'!$HZ$18,0)</f>
        <v>0</v>
      </c>
      <c r="AR194" s="28">
        <f>IF(AR$6='Lease Cycles'!$HL$18,'Lease Cycles'!$HS$18+'Lease Cycles'!$HZ$18,0)</f>
        <v>0</v>
      </c>
      <c r="AS194" s="28">
        <f>IF(AS$6='Lease Cycles'!$HL$18,'Lease Cycles'!$HS$18+'Lease Cycles'!$HZ$18,0)</f>
        <v>0</v>
      </c>
      <c r="AT194" s="28">
        <f>IF(AT$6='Lease Cycles'!$HL$18,'Lease Cycles'!$HS$18+'Lease Cycles'!$HZ$18,0)</f>
        <v>0</v>
      </c>
      <c r="AU194" s="28">
        <f>IF(AU$6='Lease Cycles'!$HL$18,'Lease Cycles'!$HS$18+'Lease Cycles'!$HZ$18,0)</f>
        <v>0</v>
      </c>
      <c r="AV194" s="28">
        <f>IF(AV$6='Lease Cycles'!$HL$18,'Lease Cycles'!$HS$18+'Lease Cycles'!$HZ$18,0)</f>
        <v>0</v>
      </c>
      <c r="AW194" s="28">
        <f>IF(AW$6='Lease Cycles'!$HL$18,'Lease Cycles'!$HS$18+'Lease Cycles'!$HZ$18,0)</f>
        <v>0</v>
      </c>
      <c r="AX194" s="28">
        <f>IF(AX$6='Lease Cycles'!$HL$18,'Lease Cycles'!$HS$18+'Lease Cycles'!$HZ$18,0)</f>
        <v>0</v>
      </c>
      <c r="AY194" s="28">
        <f>IF(AY$6='Lease Cycles'!$HL$18,'Lease Cycles'!$HS$18+'Lease Cycles'!$HZ$18,0)</f>
        <v>0</v>
      </c>
      <c r="AZ194" s="28">
        <f>IF(AZ$6='Lease Cycles'!$HL$18,'Lease Cycles'!$HS$18+'Lease Cycles'!$HZ$18,0)</f>
        <v>0</v>
      </c>
      <c r="BA194" s="28">
        <f>IF(BA$6='Lease Cycles'!$HL$18,'Lease Cycles'!$HS$18+'Lease Cycles'!$HZ$18,0)</f>
        <v>0</v>
      </c>
      <c r="BB194" s="28">
        <f>IF(BB$6='Lease Cycles'!$HL$18,'Lease Cycles'!$HS$18+'Lease Cycles'!$HZ$18,0)</f>
        <v>0</v>
      </c>
      <c r="BC194" s="28">
        <f>IF(BC$6='Lease Cycles'!$HL$18,'Lease Cycles'!$HS$18+'Lease Cycles'!$HZ$18,0)</f>
        <v>0</v>
      </c>
      <c r="BD194" s="28">
        <f>IF(BD$6='Lease Cycles'!$HL$18,'Lease Cycles'!$HS$18+'Lease Cycles'!$HZ$18,0)</f>
        <v>0</v>
      </c>
      <c r="BE194" s="28">
        <f>IF(BE$6='Lease Cycles'!$HL$18,'Lease Cycles'!$HS$18+'Lease Cycles'!$HZ$18,0)</f>
        <v>0</v>
      </c>
      <c r="BF194" s="28">
        <f>IF(BF$6='Lease Cycles'!$HL$18,'Lease Cycles'!$HS$18+'Lease Cycles'!$HZ$18,0)</f>
        <v>0</v>
      </c>
      <c r="BG194" s="28">
        <f>IF(BG$6='Lease Cycles'!$HL$18,'Lease Cycles'!$HS$18+'Lease Cycles'!$HZ$18,0)</f>
        <v>0</v>
      </c>
      <c r="BH194" s="28">
        <f>IF(BH$6='Lease Cycles'!$HL$18,'Lease Cycles'!$HS$18+'Lease Cycles'!$HZ$18,0)</f>
        <v>0</v>
      </c>
      <c r="BI194" s="28">
        <f>IF(BI$6='Lease Cycles'!$HL$18,'Lease Cycles'!$HS$18+'Lease Cycles'!$HZ$18,0)</f>
        <v>0</v>
      </c>
      <c r="BJ194" s="28">
        <f>IF(BJ$6='Lease Cycles'!$HL$18,'Lease Cycles'!$HS$18+'Lease Cycles'!$HZ$18,0)</f>
        <v>0</v>
      </c>
      <c r="BK194" s="28">
        <f>IF(BK$6='Lease Cycles'!$HL$18,'Lease Cycles'!$HS$18+'Lease Cycles'!$HZ$18,0)</f>
        <v>0</v>
      </c>
      <c r="BL194" s="28">
        <f>IF(BL$6='Lease Cycles'!$HL$18,'Lease Cycles'!$HS$18+'Lease Cycles'!$HZ$18,0)</f>
        <v>0</v>
      </c>
      <c r="BM194" s="28">
        <f>IF(BM$6='Lease Cycles'!$HL$18,'Lease Cycles'!$HS$18+'Lease Cycles'!$HZ$18,0)</f>
        <v>0</v>
      </c>
      <c r="BN194" s="28">
        <f>IF(BN$6='Lease Cycles'!$HL$18,'Lease Cycles'!$HS$18+'Lease Cycles'!$HZ$18,0)</f>
        <v>0</v>
      </c>
      <c r="BO194" s="28">
        <f>IF(BO$6='Lease Cycles'!$HL$18,'Lease Cycles'!$HS$18+'Lease Cycles'!$HZ$18,0)</f>
        <v>0</v>
      </c>
      <c r="BP194" s="28">
        <f>IF(BP$6='Lease Cycles'!$HL$18,'Lease Cycles'!$HS$18+'Lease Cycles'!$HZ$18,0)</f>
        <v>0</v>
      </c>
      <c r="BQ194" s="28">
        <f>IF(BQ$6='Lease Cycles'!$HL$18,'Lease Cycles'!$HS$18+'Lease Cycles'!$HZ$18,0)</f>
        <v>0</v>
      </c>
      <c r="BR194" s="28">
        <f>IF(BR$6='Lease Cycles'!$HL$18,'Lease Cycles'!$HS$18+'Lease Cycles'!$HZ$18,0)</f>
        <v>0</v>
      </c>
      <c r="BS194" s="28">
        <f>IF(BS$6='Lease Cycles'!$HL$18,'Lease Cycles'!$HS$18+'Lease Cycles'!$HZ$18,0)</f>
        <v>0</v>
      </c>
      <c r="BT194" s="28">
        <f>IF(BT$6='Lease Cycles'!$HL$18,'Lease Cycles'!$HS$18+'Lease Cycles'!$HZ$18,0)</f>
        <v>0</v>
      </c>
      <c r="BU194" s="28">
        <f>IF(BU$6='Lease Cycles'!$HL$18,'Lease Cycles'!$HS$18+'Lease Cycles'!$HZ$18,0)</f>
        <v>0</v>
      </c>
      <c r="BV194" s="28">
        <f>IF(BV$6='Lease Cycles'!$HL$18,'Lease Cycles'!$HS$18+'Lease Cycles'!$HZ$18,0)</f>
        <v>0</v>
      </c>
      <c r="BW194" s="28">
        <f>IF(BW$6='Lease Cycles'!$HL$18,'Lease Cycles'!$HS$18+'Lease Cycles'!$HZ$18,0)</f>
        <v>0</v>
      </c>
      <c r="BX194" s="28">
        <f>IF(BX$6='Lease Cycles'!$HL$18,'Lease Cycles'!$HS$18+'Lease Cycles'!$HZ$18,0)</f>
        <v>0</v>
      </c>
      <c r="BY194" s="28">
        <f>IF(BY$6='Lease Cycles'!$HL$18,'Lease Cycles'!$HS$18+'Lease Cycles'!$HZ$18,0)</f>
        <v>0</v>
      </c>
      <c r="BZ194" s="28">
        <f>IF(BZ$6='Lease Cycles'!$HL$18,'Lease Cycles'!$HS$18+'Lease Cycles'!$HZ$18,0)</f>
        <v>0</v>
      </c>
      <c r="CA194" s="28">
        <f>IF(CA$6='Lease Cycles'!$HL$18,'Lease Cycles'!$HS$18+'Lease Cycles'!$HZ$18,0)</f>
        <v>0</v>
      </c>
      <c r="CB194" s="28">
        <f>IF(CB$6='Lease Cycles'!$HL$18,'Lease Cycles'!$HS$18+'Lease Cycles'!$HZ$18,0)</f>
        <v>0</v>
      </c>
      <c r="CC194" s="28">
        <f>IF(CC$6='Lease Cycles'!$HL$18,'Lease Cycles'!$HS$18+'Lease Cycles'!$HZ$18,0)</f>
        <v>0</v>
      </c>
      <c r="CD194" s="28">
        <f>IF(CD$6='Lease Cycles'!$HL$18,'Lease Cycles'!$HS$18+'Lease Cycles'!$HZ$18,0)</f>
        <v>0</v>
      </c>
      <c r="CE194" s="28">
        <f>IF(CE$6='Lease Cycles'!$HL$18,'Lease Cycles'!$HS$18+'Lease Cycles'!$HZ$18,0)</f>
        <v>0</v>
      </c>
      <c r="CF194" s="28">
        <f>IF(CF$6='Lease Cycles'!$HL$18,'Lease Cycles'!$HS$18+'Lease Cycles'!$HZ$18,0)</f>
        <v>0</v>
      </c>
      <c r="CG194" s="28">
        <f>IF(CG$6='Lease Cycles'!$HL$18,'Lease Cycles'!$HS$18+'Lease Cycles'!$HZ$18,0)</f>
        <v>0</v>
      </c>
      <c r="CH194" s="28">
        <f>IF(CH$6='Lease Cycles'!$HL$18,'Lease Cycles'!$HS$18+'Lease Cycles'!$HZ$18,0)</f>
        <v>0</v>
      </c>
      <c r="CI194" s="28">
        <f>IF(CI$6='Lease Cycles'!$HL$18,'Lease Cycles'!$HS$18+'Lease Cycles'!$HZ$18,0)</f>
        <v>0</v>
      </c>
      <c r="CJ194" s="28">
        <f>IF(CJ$6='Lease Cycles'!$HL$18,'Lease Cycles'!$HS$18+'Lease Cycles'!$HZ$18,0)</f>
        <v>0</v>
      </c>
      <c r="CK194" s="28">
        <f>IF(CK$6='Lease Cycles'!$HL$18,'Lease Cycles'!$HS$18+'Lease Cycles'!$HZ$18,0)</f>
        <v>0</v>
      </c>
      <c r="CL194" s="28">
        <f>IF(CL$6='Lease Cycles'!$HL$18,'Lease Cycles'!$HS$18+'Lease Cycles'!$HZ$18,0)</f>
        <v>0</v>
      </c>
      <c r="CM194" s="28">
        <f>IF(CM$6='Lease Cycles'!$HL$18,'Lease Cycles'!$HS$18+'Lease Cycles'!$HZ$18,0)</f>
        <v>0</v>
      </c>
      <c r="CN194" s="28">
        <f>IF(CN$6='Lease Cycles'!$HL$18,'Lease Cycles'!$HS$18+'Lease Cycles'!$HZ$18,0)</f>
        <v>0</v>
      </c>
      <c r="CO194" s="28">
        <f>IF(CO$6='Lease Cycles'!$HL$18,'Lease Cycles'!$HS$18+'Lease Cycles'!$HZ$18,0)</f>
        <v>0</v>
      </c>
      <c r="CP194" s="28">
        <f>IF(CP$6='Lease Cycles'!$HL$18,'Lease Cycles'!$HS$18+'Lease Cycles'!$HZ$18,0)</f>
        <v>0</v>
      </c>
      <c r="CQ194" s="28">
        <f>IF(CQ$6='Lease Cycles'!$HL$18,'Lease Cycles'!$HS$18+'Lease Cycles'!$HZ$18,0)</f>
        <v>0</v>
      </c>
      <c r="CR194" s="28">
        <f>IF(CR$6='Lease Cycles'!$HL$18,'Lease Cycles'!$HS$18+'Lease Cycles'!$HZ$18,0)</f>
        <v>0</v>
      </c>
      <c r="CS194" s="28">
        <f>IF(CS$6='Lease Cycles'!$HL$18,'Lease Cycles'!$HS$18+'Lease Cycles'!$HZ$18,0)</f>
        <v>0</v>
      </c>
      <c r="CT194" s="28">
        <f>IF(CT$6='Lease Cycles'!$HL$18,'Lease Cycles'!$HS$18+'Lease Cycles'!$HZ$18,0)</f>
        <v>0</v>
      </c>
      <c r="CU194" s="28">
        <f>IF(CU$6='Lease Cycles'!$HL$18,'Lease Cycles'!$HS$18+'Lease Cycles'!$HZ$18,0)</f>
        <v>0</v>
      </c>
      <c r="CV194" s="28">
        <f>IF(CV$6='Lease Cycles'!$HL$18,'Lease Cycles'!$HS$18+'Lease Cycles'!$HZ$18,0)</f>
        <v>0</v>
      </c>
      <c r="CW194" s="28">
        <f>IF(CW$6='Lease Cycles'!$HL$18,'Lease Cycles'!$HS$18+'Lease Cycles'!$HZ$18,0)</f>
        <v>0</v>
      </c>
      <c r="CX194" s="28">
        <f>IF(CX$6='Lease Cycles'!$HL$18,'Lease Cycles'!$HS$18+'Lease Cycles'!$HZ$18,0)</f>
        <v>0</v>
      </c>
      <c r="CY194" s="28">
        <f>IF(CY$6='Lease Cycles'!$HL$18,'Lease Cycles'!$HS$18+'Lease Cycles'!$HZ$18,0)</f>
        <v>0</v>
      </c>
      <c r="CZ194" s="28">
        <f>IF(CZ$6='Lease Cycles'!$HL$18,'Lease Cycles'!$HS$18+'Lease Cycles'!$HZ$18,0)</f>
        <v>0</v>
      </c>
      <c r="DA194" s="28">
        <f>IF(DA$6='Lease Cycles'!$HL$18,'Lease Cycles'!$HS$18+'Lease Cycles'!$HZ$18,0)</f>
        <v>0</v>
      </c>
      <c r="DB194" s="28">
        <f>IF(DB$6='Lease Cycles'!$HL$18,'Lease Cycles'!$HS$18+'Lease Cycles'!$HZ$18,0)</f>
        <v>0</v>
      </c>
      <c r="DC194" s="28">
        <f>IF(DC$6='Lease Cycles'!$HL$18,'Lease Cycles'!$HS$18+'Lease Cycles'!$HZ$18,0)</f>
        <v>0</v>
      </c>
      <c r="DD194" s="28">
        <f>IF(DD$6='Lease Cycles'!$HL$18,'Lease Cycles'!$HS$18+'Lease Cycles'!$HZ$18,0)</f>
        <v>0</v>
      </c>
      <c r="DE194" s="28">
        <f>IF(DE$6='Lease Cycles'!$HL$18,'Lease Cycles'!$HS$18+'Lease Cycles'!$HZ$18,0)</f>
        <v>0</v>
      </c>
      <c r="DF194" s="28">
        <f>IF(DF$6='Lease Cycles'!$HL$18,'Lease Cycles'!$HS$18+'Lease Cycles'!$HZ$18,0)</f>
        <v>0</v>
      </c>
      <c r="DG194" s="28">
        <f>IF(DG$6='Lease Cycles'!$HL$18,'Lease Cycles'!$HS$18+'Lease Cycles'!$HZ$18,0)</f>
        <v>0</v>
      </c>
      <c r="DH194" s="28">
        <f>IF(DH$6='Lease Cycles'!$HL$18,'Lease Cycles'!$HS$18+'Lease Cycles'!$HZ$18,0)</f>
        <v>0</v>
      </c>
      <c r="DI194" s="28">
        <f>IF(DI$6='Lease Cycles'!$HL$18,'Lease Cycles'!$HS$18+'Lease Cycles'!$HZ$18,0)</f>
        <v>0</v>
      </c>
      <c r="DJ194" s="28">
        <f>IF(DJ$6='Lease Cycles'!$HL$18,'Lease Cycles'!$HS$18+'Lease Cycles'!$HZ$18,0)</f>
        <v>0</v>
      </c>
      <c r="DK194" s="28">
        <f>IF(DK$6='Lease Cycles'!$HL$18,'Lease Cycles'!$HS$18+'Lease Cycles'!$HZ$18,0)</f>
        <v>0</v>
      </c>
      <c r="DL194" s="28">
        <f>IF(DL$6='Lease Cycles'!$HL$18,'Lease Cycles'!$HS$18+'Lease Cycles'!$HZ$18,0)</f>
        <v>0</v>
      </c>
      <c r="DM194" s="28">
        <f>IF(DM$6='Lease Cycles'!$HL$18,'Lease Cycles'!$HS$18+'Lease Cycles'!$HZ$18,0)</f>
        <v>0</v>
      </c>
      <c r="DN194" s="28">
        <f>IF(DN$6='Lease Cycles'!$HL$18,'Lease Cycles'!$HS$18+'Lease Cycles'!$HZ$18,0)</f>
        <v>0</v>
      </c>
      <c r="DO194" s="28">
        <f>IF(DO$6='Lease Cycles'!$HL$18,'Lease Cycles'!$HS$18+'Lease Cycles'!$HZ$18,0)</f>
        <v>0</v>
      </c>
      <c r="DP194" s="28">
        <f>IF(DP$6='Lease Cycles'!$HL$18,'Lease Cycles'!$HS$18+'Lease Cycles'!$HZ$18,0)</f>
        <v>0</v>
      </c>
      <c r="DQ194" s="28">
        <f>IF(DQ$6='Lease Cycles'!$HL$18,'Lease Cycles'!$HS$18+'Lease Cycles'!$HZ$18,0)</f>
        <v>0</v>
      </c>
      <c r="DR194" s="28">
        <f>IF(DR$6='Lease Cycles'!$HL$18,'Lease Cycles'!$HS$18+'Lease Cycles'!$HZ$18,0)</f>
        <v>0</v>
      </c>
      <c r="DS194" s="28">
        <f>IF(DS$6='Lease Cycles'!$HL$18,'Lease Cycles'!$HS$18+'Lease Cycles'!$HZ$18,0)</f>
        <v>0</v>
      </c>
      <c r="DT194" s="28">
        <f>IF(DT$6='Lease Cycles'!$HL$18,'Lease Cycles'!$HS$18+'Lease Cycles'!$HZ$18,0)</f>
        <v>0</v>
      </c>
      <c r="DU194" s="28">
        <f>IF(DU$6='Lease Cycles'!$HL$18,'Lease Cycles'!$HS$18+'Lease Cycles'!$HZ$18,0)</f>
        <v>0</v>
      </c>
      <c r="DV194" s="28">
        <f>IF(DV$6='Lease Cycles'!$HL$18,'Lease Cycles'!$HS$18+'Lease Cycles'!$HZ$18,0)</f>
        <v>0</v>
      </c>
      <c r="DW194" s="28">
        <f>IF(DW$6='Lease Cycles'!$HL$18,'Lease Cycles'!$HS$18+'Lease Cycles'!$HZ$18,0)</f>
        <v>0</v>
      </c>
      <c r="DX194" s="28">
        <f>IF(DX$6='Lease Cycles'!$HL$18,'Lease Cycles'!$HS$18+'Lease Cycles'!$HZ$18,0)</f>
        <v>0</v>
      </c>
      <c r="DY194" s="28">
        <f>IF(DY$6='Lease Cycles'!$HL$18,'Lease Cycles'!$HS$18+'Lease Cycles'!$HZ$18,0)</f>
        <v>0</v>
      </c>
      <c r="DZ194" s="28">
        <f>IF(DZ$6='Lease Cycles'!$HL$18,'Lease Cycles'!$HS$18+'Lease Cycles'!$HZ$18,0)</f>
        <v>0</v>
      </c>
      <c r="EA194" s="28">
        <f>IF(EA$6='Lease Cycles'!$HL$18,'Lease Cycles'!$HS$18+'Lease Cycles'!$HZ$18,0)</f>
        <v>0</v>
      </c>
      <c r="EB194" s="28">
        <f>IF(EB$6='Lease Cycles'!$HL$18,'Lease Cycles'!$HS$18+'Lease Cycles'!$HZ$18,0)</f>
        <v>0</v>
      </c>
      <c r="EC194" s="28">
        <f>IF(EC$6='Lease Cycles'!$HL$18,'Lease Cycles'!$HS$18+'Lease Cycles'!$HZ$18,0)</f>
        <v>0</v>
      </c>
      <c r="ED194" s="28">
        <f>IF(ED$6='Lease Cycles'!$HL$18,'Lease Cycles'!$HS$18+'Lease Cycles'!$HZ$18,0)</f>
        <v>0</v>
      </c>
      <c r="EE194" s="28">
        <f>IF(EE$6='Lease Cycles'!$HL$18,'Lease Cycles'!$HS$18+'Lease Cycles'!$HZ$18,0)</f>
        <v>0</v>
      </c>
      <c r="EF194" s="28">
        <f>IF(EF$6='Lease Cycles'!$HL$18,'Lease Cycles'!$HS$18+'Lease Cycles'!$HZ$18,0)</f>
        <v>0</v>
      </c>
      <c r="EG194" s="28">
        <f>IF(EG$6='Lease Cycles'!$HL$18,'Lease Cycles'!$HS$18+'Lease Cycles'!$HZ$18,0)</f>
        <v>0</v>
      </c>
      <c r="EH194" s="28">
        <f>IF(EH$6='Lease Cycles'!$HL$18,'Lease Cycles'!$HS$18+'Lease Cycles'!$HZ$18,0)</f>
        <v>0</v>
      </c>
      <c r="EI194" s="28">
        <f>IF(EI$6='Lease Cycles'!$HL$18,'Lease Cycles'!$HS$18+'Lease Cycles'!$HZ$18,0)</f>
        <v>0</v>
      </c>
      <c r="EJ194" s="28">
        <f>IF(EJ$6='Lease Cycles'!$HL$18,'Lease Cycles'!$HS$18+'Lease Cycles'!$HZ$18,0)</f>
        <v>0</v>
      </c>
      <c r="EK194" s="28">
        <f>IF(EK$6='Lease Cycles'!$HL$18,'Lease Cycles'!$HS$18+'Lease Cycles'!$HZ$18,0)</f>
        <v>0</v>
      </c>
      <c r="EL194" s="28">
        <f>IF(EL$6='Lease Cycles'!$HL$18,'Lease Cycles'!$HS$18+'Lease Cycles'!$HZ$18,0)</f>
        <v>0</v>
      </c>
      <c r="EM194" s="28">
        <f>IF(EM$6='Lease Cycles'!$HL$18,'Lease Cycles'!$HS$18+'Lease Cycles'!$HZ$18,0)</f>
        <v>0</v>
      </c>
      <c r="EN194" s="28">
        <f>IF(EN$6='Lease Cycles'!$HL$18,'Lease Cycles'!$HS$18+'Lease Cycles'!$HZ$18,0)</f>
        <v>0</v>
      </c>
      <c r="EO194" s="28">
        <f>IF(EO$6='Lease Cycles'!$HL$18,'Lease Cycles'!$HS$18+'Lease Cycles'!$HZ$18,0)</f>
        <v>0</v>
      </c>
      <c r="EP194" s="28">
        <f>IF(EP$6='Lease Cycles'!$HL$18,'Lease Cycles'!$HS$18+'Lease Cycles'!$HZ$18,0)</f>
        <v>0</v>
      </c>
      <c r="EQ194" s="28">
        <f>IF(EQ$6='Lease Cycles'!$HL$18,'Lease Cycles'!$HS$18+'Lease Cycles'!$HZ$18,0)</f>
        <v>0</v>
      </c>
      <c r="ER194" s="28">
        <f>IF(ER$6='Lease Cycles'!$HL$18,'Lease Cycles'!$HS$18+'Lease Cycles'!$HZ$18,0)</f>
        <v>0</v>
      </c>
      <c r="ES194" s="28">
        <f>IF(ES$6='Lease Cycles'!$HL$18,'Lease Cycles'!$HS$18+'Lease Cycles'!$HZ$18,0)</f>
        <v>0</v>
      </c>
      <c r="ET194" s="28">
        <f>IF(ET$6='Lease Cycles'!$HL$18,'Lease Cycles'!$HS$18+'Lease Cycles'!$HZ$18,0)</f>
        <v>0</v>
      </c>
    </row>
    <row r="195">
      <c r="A195" s="103">
        <v>11</v>
      </c>
      <c r="B195" s="23" t="str">
        <f>IF('Lease Cycles'!$B$18="","(empty slot)",'Lease Cycles'!$B$18)</f>
        <v>(empty slot)</v>
      </c>
      <c r="C195" s="23" t="s">
        <v>499</v>
      </c>
      <c r="D195" s="104" t="s">
        <v>500</v>
      </c>
      <c r="E195" s="25">
        <f>'Lease Cycles'!$AL$18</f>
        <v>0</v>
      </c>
      <c r="G195" s="28">
        <f>MAX(0,'Lease Cycles'!$AN$18*'Lease Cycles'!$C$18*'Lease Cycles'!$AM$18*(1+a_SalesGrowth)^(G$6-1)-G185)</f>
        <v>0</v>
      </c>
      <c r="H195" s="28">
        <f>MAX(0,'Lease Cycles'!$AN$18*'Lease Cycles'!$C$18*'Lease Cycles'!$AM$18*(1+a_SalesGrowth)^(H$6-1)-H185)</f>
        <v>0</v>
      </c>
      <c r="I195" s="28">
        <f>MAX(0,'Lease Cycles'!$AN$18*'Lease Cycles'!$C$18*'Lease Cycles'!$AM$18*(1+a_SalesGrowth)^(I$6-1)-I185)</f>
        <v>0</v>
      </c>
      <c r="J195" s="28">
        <f>MAX(0,'Lease Cycles'!$AN$18*'Lease Cycles'!$C$18*'Lease Cycles'!$AM$18*(1+a_SalesGrowth)^(J$6-1)-J185)</f>
        <v>0</v>
      </c>
      <c r="K195" s="28">
        <f>MAX(0,'Lease Cycles'!$AN$18*'Lease Cycles'!$C$18*'Lease Cycles'!$AM$18*(1+a_SalesGrowth)^(K$6-1)-K185)</f>
        <v>0</v>
      </c>
      <c r="L195" s="28">
        <f>MAX(0,'Lease Cycles'!$AN$18*'Lease Cycles'!$C$18*'Lease Cycles'!$AM$18*(1+a_SalesGrowth)^(L$6-1)-L185)</f>
        <v>0</v>
      </c>
      <c r="M195" s="28">
        <f>MAX(0,'Lease Cycles'!$AN$18*'Lease Cycles'!$C$18*'Lease Cycles'!$AM$18*(1+a_SalesGrowth)^(M$6-1)-M185)</f>
        <v>0</v>
      </c>
      <c r="N195" s="28">
        <f>MAX(0,'Lease Cycles'!$AN$18*'Lease Cycles'!$C$18*'Lease Cycles'!$AM$18*(1+a_SalesGrowth)^(N$6-1)-N185)</f>
        <v>0</v>
      </c>
      <c r="O195" s="28">
        <f>MAX(0,'Lease Cycles'!$AN$18*'Lease Cycles'!$C$18*'Lease Cycles'!$AM$18*(1+a_SalesGrowth)^(O$6-1)-O185)</f>
        <v>0</v>
      </c>
      <c r="P195" s="28">
        <f>MAX(0,'Lease Cycles'!$AN$18*'Lease Cycles'!$C$18*'Lease Cycles'!$AM$18*(1+a_SalesGrowth)^(P$6-1)-P185)</f>
        <v>0</v>
      </c>
      <c r="Q195" s="28">
        <f>MAX(0,'Lease Cycles'!$AN$18*'Lease Cycles'!$C$18*'Lease Cycles'!$AM$18*(1+a_SalesGrowth)^(Q$6-1)-Q185)</f>
        <v>0</v>
      </c>
    </row>
    <row r="197">
      <c r="A197" s="103">
        <v>12</v>
      </c>
      <c r="B197" s="23" t="str">
        <f>IF('Lease Cycles'!$B$19="","(empty slot)",'Lease Cycles'!$B$19)</f>
        <v>(empty slot)</v>
      </c>
      <c r="C197" s="23" t="s">
        <v>671</v>
      </c>
      <c r="D197" s="104" t="s">
        <v>672</v>
      </c>
      <c r="E197" s="25">
        <f>'Lease Cycles'!$AL$19</f>
        <v>0</v>
      </c>
      <c r="S197" s="25">
        <f>IF('Lease Cycles'!$C$19&gt;0,COUNTIF('Lease Cycles'!$BG$19:$BM$19,"&lt;="&amp;S$6),0)</f>
        <v>0</v>
      </c>
      <c r="T197" s="25">
        <f>IF('Lease Cycles'!$C$19&gt;0,COUNTIF('Lease Cycles'!$BG$19:$BM$19,"&lt;="&amp;T$6),0)</f>
        <v>0</v>
      </c>
      <c r="U197" s="25">
        <f>IF('Lease Cycles'!$C$19&gt;0,COUNTIF('Lease Cycles'!$BG$19:$BM$19,"&lt;="&amp;U$6),0)</f>
        <v>0</v>
      </c>
      <c r="V197" s="25">
        <f>IF('Lease Cycles'!$C$19&gt;0,COUNTIF('Lease Cycles'!$BG$19:$BM$19,"&lt;="&amp;V$6),0)</f>
        <v>0</v>
      </c>
      <c r="W197" s="25">
        <f>IF('Lease Cycles'!$C$19&gt;0,COUNTIF('Lease Cycles'!$BG$19:$BM$19,"&lt;="&amp;W$6),0)</f>
        <v>0</v>
      </c>
      <c r="X197" s="25">
        <f>IF('Lease Cycles'!$C$19&gt;0,COUNTIF('Lease Cycles'!$BG$19:$BM$19,"&lt;="&amp;X$6),0)</f>
        <v>0</v>
      </c>
      <c r="Y197" s="25">
        <f>IF('Lease Cycles'!$C$19&gt;0,COUNTIF('Lease Cycles'!$BG$19:$BM$19,"&lt;="&amp;Y$6),0)</f>
        <v>0</v>
      </c>
      <c r="Z197" s="25">
        <f>IF('Lease Cycles'!$C$19&gt;0,COUNTIF('Lease Cycles'!$BG$19:$BM$19,"&lt;="&amp;Z$6),0)</f>
        <v>0</v>
      </c>
      <c r="AA197" s="25">
        <f>IF('Lease Cycles'!$C$19&gt;0,COUNTIF('Lease Cycles'!$BG$19:$BM$19,"&lt;="&amp;AA$6),0)</f>
        <v>0</v>
      </c>
      <c r="AB197" s="25">
        <f>IF('Lease Cycles'!$C$19&gt;0,COUNTIF('Lease Cycles'!$BG$19:$BM$19,"&lt;="&amp;AB$6),0)</f>
        <v>0</v>
      </c>
      <c r="AC197" s="25">
        <f>IF('Lease Cycles'!$C$19&gt;0,COUNTIF('Lease Cycles'!$BG$19:$BM$19,"&lt;="&amp;AC$6),0)</f>
        <v>0</v>
      </c>
      <c r="AD197" s="25">
        <f>IF('Lease Cycles'!$C$19&gt;0,COUNTIF('Lease Cycles'!$BG$19:$BM$19,"&lt;="&amp;AD$6),0)</f>
        <v>0</v>
      </c>
      <c r="AE197" s="25">
        <f>IF('Lease Cycles'!$C$19&gt;0,COUNTIF('Lease Cycles'!$BG$19:$BM$19,"&lt;="&amp;AE$6),0)</f>
        <v>0</v>
      </c>
      <c r="AF197" s="25">
        <f>IF('Lease Cycles'!$C$19&gt;0,COUNTIF('Lease Cycles'!$BG$19:$BM$19,"&lt;="&amp;AF$6),0)</f>
        <v>0</v>
      </c>
      <c r="AG197" s="25">
        <f>IF('Lease Cycles'!$C$19&gt;0,COUNTIF('Lease Cycles'!$BG$19:$BM$19,"&lt;="&amp;AG$6),0)</f>
        <v>0</v>
      </c>
      <c r="AH197" s="25">
        <f>IF('Lease Cycles'!$C$19&gt;0,COUNTIF('Lease Cycles'!$BG$19:$BM$19,"&lt;="&amp;AH$6),0)</f>
        <v>0</v>
      </c>
      <c r="AI197" s="25">
        <f>IF('Lease Cycles'!$C$19&gt;0,COUNTIF('Lease Cycles'!$BG$19:$BM$19,"&lt;="&amp;AI$6),0)</f>
        <v>0</v>
      </c>
      <c r="AJ197" s="25">
        <f>IF('Lease Cycles'!$C$19&gt;0,COUNTIF('Lease Cycles'!$BG$19:$BM$19,"&lt;="&amp;AJ$6),0)</f>
        <v>0</v>
      </c>
      <c r="AK197" s="25">
        <f>IF('Lease Cycles'!$C$19&gt;0,COUNTIF('Lease Cycles'!$BG$19:$BM$19,"&lt;="&amp;AK$6),0)</f>
        <v>0</v>
      </c>
      <c r="AL197" s="25">
        <f>IF('Lease Cycles'!$C$19&gt;0,COUNTIF('Lease Cycles'!$BG$19:$BM$19,"&lt;="&amp;AL$6),0)</f>
        <v>0</v>
      </c>
      <c r="AM197" s="25">
        <f>IF('Lease Cycles'!$C$19&gt;0,COUNTIF('Lease Cycles'!$BG$19:$BM$19,"&lt;="&amp;AM$6),0)</f>
        <v>0</v>
      </c>
      <c r="AN197" s="25">
        <f>IF('Lease Cycles'!$C$19&gt;0,COUNTIF('Lease Cycles'!$BG$19:$BM$19,"&lt;="&amp;AN$6),0)</f>
        <v>0</v>
      </c>
      <c r="AO197" s="25">
        <f>IF('Lease Cycles'!$C$19&gt;0,COUNTIF('Lease Cycles'!$BG$19:$BM$19,"&lt;="&amp;AO$6),0)</f>
        <v>0</v>
      </c>
      <c r="AP197" s="25">
        <f>IF('Lease Cycles'!$C$19&gt;0,COUNTIF('Lease Cycles'!$BG$19:$BM$19,"&lt;="&amp;AP$6),0)</f>
        <v>0</v>
      </c>
      <c r="AQ197" s="25">
        <f>IF('Lease Cycles'!$C$19&gt;0,COUNTIF('Lease Cycles'!$BG$19:$BM$19,"&lt;="&amp;AQ$6),0)</f>
        <v>0</v>
      </c>
      <c r="AR197" s="25">
        <f>IF('Lease Cycles'!$C$19&gt;0,COUNTIF('Lease Cycles'!$BG$19:$BM$19,"&lt;="&amp;AR$6),0)</f>
        <v>0</v>
      </c>
      <c r="AS197" s="25">
        <f>IF('Lease Cycles'!$C$19&gt;0,COUNTIF('Lease Cycles'!$BG$19:$BM$19,"&lt;="&amp;AS$6),0)</f>
        <v>0</v>
      </c>
      <c r="AT197" s="25">
        <f>IF('Lease Cycles'!$C$19&gt;0,COUNTIF('Lease Cycles'!$BG$19:$BM$19,"&lt;="&amp;AT$6),0)</f>
        <v>0</v>
      </c>
      <c r="AU197" s="25">
        <f>IF('Lease Cycles'!$C$19&gt;0,COUNTIF('Lease Cycles'!$BG$19:$BM$19,"&lt;="&amp;AU$6),0)</f>
        <v>0</v>
      </c>
      <c r="AV197" s="25">
        <f>IF('Lease Cycles'!$C$19&gt;0,COUNTIF('Lease Cycles'!$BG$19:$BM$19,"&lt;="&amp;AV$6),0)</f>
        <v>0</v>
      </c>
      <c r="AW197" s="25">
        <f>IF('Lease Cycles'!$C$19&gt;0,COUNTIF('Lease Cycles'!$BG$19:$BM$19,"&lt;="&amp;AW$6),0)</f>
        <v>0</v>
      </c>
      <c r="AX197" s="25">
        <f>IF('Lease Cycles'!$C$19&gt;0,COUNTIF('Lease Cycles'!$BG$19:$BM$19,"&lt;="&amp;AX$6),0)</f>
        <v>0</v>
      </c>
      <c r="AY197" s="25">
        <f>IF('Lease Cycles'!$C$19&gt;0,COUNTIF('Lease Cycles'!$BG$19:$BM$19,"&lt;="&amp;AY$6),0)</f>
        <v>0</v>
      </c>
      <c r="AZ197" s="25">
        <f>IF('Lease Cycles'!$C$19&gt;0,COUNTIF('Lease Cycles'!$BG$19:$BM$19,"&lt;="&amp;AZ$6),0)</f>
        <v>0</v>
      </c>
      <c r="BA197" s="25">
        <f>IF('Lease Cycles'!$C$19&gt;0,COUNTIF('Lease Cycles'!$BG$19:$BM$19,"&lt;="&amp;BA$6),0)</f>
        <v>0</v>
      </c>
      <c r="BB197" s="25">
        <f>IF('Lease Cycles'!$C$19&gt;0,COUNTIF('Lease Cycles'!$BG$19:$BM$19,"&lt;="&amp;BB$6),0)</f>
        <v>0</v>
      </c>
      <c r="BC197" s="25">
        <f>IF('Lease Cycles'!$C$19&gt;0,COUNTIF('Lease Cycles'!$BG$19:$BM$19,"&lt;="&amp;BC$6),0)</f>
        <v>0</v>
      </c>
      <c r="BD197" s="25">
        <f>IF('Lease Cycles'!$C$19&gt;0,COUNTIF('Lease Cycles'!$BG$19:$BM$19,"&lt;="&amp;BD$6),0)</f>
        <v>0</v>
      </c>
      <c r="BE197" s="25">
        <f>IF('Lease Cycles'!$C$19&gt;0,COUNTIF('Lease Cycles'!$BG$19:$BM$19,"&lt;="&amp;BE$6),0)</f>
        <v>0</v>
      </c>
      <c r="BF197" s="25">
        <f>IF('Lease Cycles'!$C$19&gt;0,COUNTIF('Lease Cycles'!$BG$19:$BM$19,"&lt;="&amp;BF$6),0)</f>
        <v>0</v>
      </c>
      <c r="BG197" s="25">
        <f>IF('Lease Cycles'!$C$19&gt;0,COUNTIF('Lease Cycles'!$BG$19:$BM$19,"&lt;="&amp;BG$6),0)</f>
        <v>0</v>
      </c>
      <c r="BH197" s="25">
        <f>IF('Lease Cycles'!$C$19&gt;0,COUNTIF('Lease Cycles'!$BG$19:$BM$19,"&lt;="&amp;BH$6),0)</f>
        <v>0</v>
      </c>
      <c r="BI197" s="25">
        <f>IF('Lease Cycles'!$C$19&gt;0,COUNTIF('Lease Cycles'!$BG$19:$BM$19,"&lt;="&amp;BI$6),0)</f>
        <v>0</v>
      </c>
      <c r="BJ197" s="25">
        <f>IF('Lease Cycles'!$C$19&gt;0,COUNTIF('Lease Cycles'!$BG$19:$BM$19,"&lt;="&amp;BJ$6),0)</f>
        <v>0</v>
      </c>
      <c r="BK197" s="25">
        <f>IF('Lease Cycles'!$C$19&gt;0,COUNTIF('Lease Cycles'!$BG$19:$BM$19,"&lt;="&amp;BK$6),0)</f>
        <v>0</v>
      </c>
      <c r="BL197" s="25">
        <f>IF('Lease Cycles'!$C$19&gt;0,COUNTIF('Lease Cycles'!$BG$19:$BM$19,"&lt;="&amp;BL$6),0)</f>
        <v>0</v>
      </c>
      <c r="BM197" s="25">
        <f>IF('Lease Cycles'!$C$19&gt;0,COUNTIF('Lease Cycles'!$BG$19:$BM$19,"&lt;="&amp;BM$6),0)</f>
        <v>0</v>
      </c>
      <c r="BN197" s="25">
        <f>IF('Lease Cycles'!$C$19&gt;0,COUNTIF('Lease Cycles'!$BG$19:$BM$19,"&lt;="&amp;BN$6),0)</f>
        <v>0</v>
      </c>
      <c r="BO197" s="25">
        <f>IF('Lease Cycles'!$C$19&gt;0,COUNTIF('Lease Cycles'!$BG$19:$BM$19,"&lt;="&amp;BO$6),0)</f>
        <v>0</v>
      </c>
      <c r="BP197" s="25">
        <f>IF('Lease Cycles'!$C$19&gt;0,COUNTIF('Lease Cycles'!$BG$19:$BM$19,"&lt;="&amp;BP$6),0)</f>
        <v>0</v>
      </c>
      <c r="BQ197" s="25">
        <f>IF('Lease Cycles'!$C$19&gt;0,COUNTIF('Lease Cycles'!$BG$19:$BM$19,"&lt;="&amp;BQ$6),0)</f>
        <v>0</v>
      </c>
      <c r="BR197" s="25">
        <f>IF('Lease Cycles'!$C$19&gt;0,COUNTIF('Lease Cycles'!$BG$19:$BM$19,"&lt;="&amp;BR$6),0)</f>
        <v>0</v>
      </c>
      <c r="BS197" s="25">
        <f>IF('Lease Cycles'!$C$19&gt;0,COUNTIF('Lease Cycles'!$BG$19:$BM$19,"&lt;="&amp;BS$6),0)</f>
        <v>0</v>
      </c>
      <c r="BT197" s="25">
        <f>IF('Lease Cycles'!$C$19&gt;0,COUNTIF('Lease Cycles'!$BG$19:$BM$19,"&lt;="&amp;BT$6),0)</f>
        <v>0</v>
      </c>
      <c r="BU197" s="25">
        <f>IF('Lease Cycles'!$C$19&gt;0,COUNTIF('Lease Cycles'!$BG$19:$BM$19,"&lt;="&amp;BU$6),0)</f>
        <v>0</v>
      </c>
      <c r="BV197" s="25">
        <f>IF('Lease Cycles'!$C$19&gt;0,COUNTIF('Lease Cycles'!$BG$19:$BM$19,"&lt;="&amp;BV$6),0)</f>
        <v>0</v>
      </c>
      <c r="BW197" s="25">
        <f>IF('Lease Cycles'!$C$19&gt;0,COUNTIF('Lease Cycles'!$BG$19:$BM$19,"&lt;="&amp;BW$6),0)</f>
        <v>0</v>
      </c>
      <c r="BX197" s="25">
        <f>IF('Lease Cycles'!$C$19&gt;0,COUNTIF('Lease Cycles'!$BG$19:$BM$19,"&lt;="&amp;BX$6),0)</f>
        <v>0</v>
      </c>
      <c r="BY197" s="25">
        <f>IF('Lease Cycles'!$C$19&gt;0,COUNTIF('Lease Cycles'!$BG$19:$BM$19,"&lt;="&amp;BY$6),0)</f>
        <v>0</v>
      </c>
      <c r="BZ197" s="25">
        <f>IF('Lease Cycles'!$C$19&gt;0,COUNTIF('Lease Cycles'!$BG$19:$BM$19,"&lt;="&amp;BZ$6),0)</f>
        <v>0</v>
      </c>
      <c r="CA197" s="25">
        <f>IF('Lease Cycles'!$C$19&gt;0,COUNTIF('Lease Cycles'!$BG$19:$BM$19,"&lt;="&amp;CA$6),0)</f>
        <v>0</v>
      </c>
      <c r="CB197" s="25">
        <f>IF('Lease Cycles'!$C$19&gt;0,COUNTIF('Lease Cycles'!$BG$19:$BM$19,"&lt;="&amp;CB$6),0)</f>
        <v>0</v>
      </c>
      <c r="CC197" s="25">
        <f>IF('Lease Cycles'!$C$19&gt;0,COUNTIF('Lease Cycles'!$BG$19:$BM$19,"&lt;="&amp;CC$6),0)</f>
        <v>0</v>
      </c>
      <c r="CD197" s="25">
        <f>IF('Lease Cycles'!$C$19&gt;0,COUNTIF('Lease Cycles'!$BG$19:$BM$19,"&lt;="&amp;CD$6),0)</f>
        <v>0</v>
      </c>
      <c r="CE197" s="25">
        <f>IF('Lease Cycles'!$C$19&gt;0,COUNTIF('Lease Cycles'!$BG$19:$BM$19,"&lt;="&amp;CE$6),0)</f>
        <v>0</v>
      </c>
      <c r="CF197" s="25">
        <f>IF('Lease Cycles'!$C$19&gt;0,COUNTIF('Lease Cycles'!$BG$19:$BM$19,"&lt;="&amp;CF$6),0)</f>
        <v>0</v>
      </c>
      <c r="CG197" s="25">
        <f>IF('Lease Cycles'!$C$19&gt;0,COUNTIF('Lease Cycles'!$BG$19:$BM$19,"&lt;="&amp;CG$6),0)</f>
        <v>0</v>
      </c>
      <c r="CH197" s="25">
        <f>IF('Lease Cycles'!$C$19&gt;0,COUNTIF('Lease Cycles'!$BG$19:$BM$19,"&lt;="&amp;CH$6),0)</f>
        <v>0</v>
      </c>
      <c r="CI197" s="25">
        <f>IF('Lease Cycles'!$C$19&gt;0,COUNTIF('Lease Cycles'!$BG$19:$BM$19,"&lt;="&amp;CI$6),0)</f>
        <v>0</v>
      </c>
      <c r="CJ197" s="25">
        <f>IF('Lease Cycles'!$C$19&gt;0,COUNTIF('Lease Cycles'!$BG$19:$BM$19,"&lt;="&amp;CJ$6),0)</f>
        <v>0</v>
      </c>
      <c r="CK197" s="25">
        <f>IF('Lease Cycles'!$C$19&gt;0,COUNTIF('Lease Cycles'!$BG$19:$BM$19,"&lt;="&amp;CK$6),0)</f>
        <v>0</v>
      </c>
      <c r="CL197" s="25">
        <f>IF('Lease Cycles'!$C$19&gt;0,COUNTIF('Lease Cycles'!$BG$19:$BM$19,"&lt;="&amp;CL$6),0)</f>
        <v>0</v>
      </c>
      <c r="CM197" s="25">
        <f>IF('Lease Cycles'!$C$19&gt;0,COUNTIF('Lease Cycles'!$BG$19:$BM$19,"&lt;="&amp;CM$6),0)</f>
        <v>0</v>
      </c>
      <c r="CN197" s="25">
        <f>IF('Lease Cycles'!$C$19&gt;0,COUNTIF('Lease Cycles'!$BG$19:$BM$19,"&lt;="&amp;CN$6),0)</f>
        <v>0</v>
      </c>
      <c r="CO197" s="25">
        <f>IF('Lease Cycles'!$C$19&gt;0,COUNTIF('Lease Cycles'!$BG$19:$BM$19,"&lt;="&amp;CO$6),0)</f>
        <v>0</v>
      </c>
      <c r="CP197" s="25">
        <f>IF('Lease Cycles'!$C$19&gt;0,COUNTIF('Lease Cycles'!$BG$19:$BM$19,"&lt;="&amp;CP$6),0)</f>
        <v>0</v>
      </c>
      <c r="CQ197" s="25">
        <f>IF('Lease Cycles'!$C$19&gt;0,COUNTIF('Lease Cycles'!$BG$19:$BM$19,"&lt;="&amp;CQ$6),0)</f>
        <v>0</v>
      </c>
      <c r="CR197" s="25">
        <f>IF('Lease Cycles'!$C$19&gt;0,COUNTIF('Lease Cycles'!$BG$19:$BM$19,"&lt;="&amp;CR$6),0)</f>
        <v>0</v>
      </c>
      <c r="CS197" s="25">
        <f>IF('Lease Cycles'!$C$19&gt;0,COUNTIF('Lease Cycles'!$BG$19:$BM$19,"&lt;="&amp;CS$6),0)</f>
        <v>0</v>
      </c>
      <c r="CT197" s="25">
        <f>IF('Lease Cycles'!$C$19&gt;0,COUNTIF('Lease Cycles'!$BG$19:$BM$19,"&lt;="&amp;CT$6),0)</f>
        <v>0</v>
      </c>
      <c r="CU197" s="25">
        <f>IF('Lease Cycles'!$C$19&gt;0,COUNTIF('Lease Cycles'!$BG$19:$BM$19,"&lt;="&amp;CU$6),0)</f>
        <v>0</v>
      </c>
      <c r="CV197" s="25">
        <f>IF('Lease Cycles'!$C$19&gt;0,COUNTIF('Lease Cycles'!$BG$19:$BM$19,"&lt;="&amp;CV$6),0)</f>
        <v>0</v>
      </c>
      <c r="CW197" s="25">
        <f>IF('Lease Cycles'!$C$19&gt;0,COUNTIF('Lease Cycles'!$BG$19:$BM$19,"&lt;="&amp;CW$6),0)</f>
        <v>0</v>
      </c>
      <c r="CX197" s="25">
        <f>IF('Lease Cycles'!$C$19&gt;0,COUNTIF('Lease Cycles'!$BG$19:$BM$19,"&lt;="&amp;CX$6),0)</f>
        <v>0</v>
      </c>
      <c r="CY197" s="25">
        <f>IF('Lease Cycles'!$C$19&gt;0,COUNTIF('Lease Cycles'!$BG$19:$BM$19,"&lt;="&amp;CY$6),0)</f>
        <v>0</v>
      </c>
      <c r="CZ197" s="25">
        <f>IF('Lease Cycles'!$C$19&gt;0,COUNTIF('Lease Cycles'!$BG$19:$BM$19,"&lt;="&amp;CZ$6),0)</f>
        <v>0</v>
      </c>
      <c r="DA197" s="25">
        <f>IF('Lease Cycles'!$C$19&gt;0,COUNTIF('Lease Cycles'!$BG$19:$BM$19,"&lt;="&amp;DA$6),0)</f>
        <v>0</v>
      </c>
      <c r="DB197" s="25">
        <f>IF('Lease Cycles'!$C$19&gt;0,COUNTIF('Lease Cycles'!$BG$19:$BM$19,"&lt;="&amp;DB$6),0)</f>
        <v>0</v>
      </c>
      <c r="DC197" s="25">
        <f>IF('Lease Cycles'!$C$19&gt;0,COUNTIF('Lease Cycles'!$BG$19:$BM$19,"&lt;="&amp;DC$6),0)</f>
        <v>0</v>
      </c>
      <c r="DD197" s="25">
        <f>IF('Lease Cycles'!$C$19&gt;0,COUNTIF('Lease Cycles'!$BG$19:$BM$19,"&lt;="&amp;DD$6),0)</f>
        <v>0</v>
      </c>
      <c r="DE197" s="25">
        <f>IF('Lease Cycles'!$C$19&gt;0,COUNTIF('Lease Cycles'!$BG$19:$BM$19,"&lt;="&amp;DE$6),0)</f>
        <v>0</v>
      </c>
      <c r="DF197" s="25">
        <f>IF('Lease Cycles'!$C$19&gt;0,COUNTIF('Lease Cycles'!$BG$19:$BM$19,"&lt;="&amp;DF$6),0)</f>
        <v>0</v>
      </c>
      <c r="DG197" s="25">
        <f>IF('Lease Cycles'!$C$19&gt;0,COUNTIF('Lease Cycles'!$BG$19:$BM$19,"&lt;="&amp;DG$6),0)</f>
        <v>0</v>
      </c>
      <c r="DH197" s="25">
        <f>IF('Lease Cycles'!$C$19&gt;0,COUNTIF('Lease Cycles'!$BG$19:$BM$19,"&lt;="&amp;DH$6),0)</f>
        <v>0</v>
      </c>
      <c r="DI197" s="25">
        <f>IF('Lease Cycles'!$C$19&gt;0,COUNTIF('Lease Cycles'!$BG$19:$BM$19,"&lt;="&amp;DI$6),0)</f>
        <v>0</v>
      </c>
      <c r="DJ197" s="25">
        <f>IF('Lease Cycles'!$C$19&gt;0,COUNTIF('Lease Cycles'!$BG$19:$BM$19,"&lt;="&amp;DJ$6),0)</f>
        <v>0</v>
      </c>
      <c r="DK197" s="25">
        <f>IF('Lease Cycles'!$C$19&gt;0,COUNTIF('Lease Cycles'!$BG$19:$BM$19,"&lt;="&amp;DK$6),0)</f>
        <v>0</v>
      </c>
      <c r="DL197" s="25">
        <f>IF('Lease Cycles'!$C$19&gt;0,COUNTIF('Lease Cycles'!$BG$19:$BM$19,"&lt;="&amp;DL$6),0)</f>
        <v>0</v>
      </c>
      <c r="DM197" s="25">
        <f>IF('Lease Cycles'!$C$19&gt;0,COUNTIF('Lease Cycles'!$BG$19:$BM$19,"&lt;="&amp;DM$6),0)</f>
        <v>0</v>
      </c>
      <c r="DN197" s="25">
        <f>IF('Lease Cycles'!$C$19&gt;0,COUNTIF('Lease Cycles'!$BG$19:$BM$19,"&lt;="&amp;DN$6),0)</f>
        <v>0</v>
      </c>
      <c r="DO197" s="25">
        <f>IF('Lease Cycles'!$C$19&gt;0,COUNTIF('Lease Cycles'!$BG$19:$BM$19,"&lt;="&amp;DO$6),0)</f>
        <v>0</v>
      </c>
      <c r="DP197" s="25">
        <f>IF('Lease Cycles'!$C$19&gt;0,COUNTIF('Lease Cycles'!$BG$19:$BM$19,"&lt;="&amp;DP$6),0)</f>
        <v>0</v>
      </c>
      <c r="DQ197" s="25">
        <f>IF('Lease Cycles'!$C$19&gt;0,COUNTIF('Lease Cycles'!$BG$19:$BM$19,"&lt;="&amp;DQ$6),0)</f>
        <v>0</v>
      </c>
      <c r="DR197" s="25">
        <f>IF('Lease Cycles'!$C$19&gt;0,COUNTIF('Lease Cycles'!$BG$19:$BM$19,"&lt;="&amp;DR$6),0)</f>
        <v>0</v>
      </c>
      <c r="DS197" s="25">
        <f>IF('Lease Cycles'!$C$19&gt;0,COUNTIF('Lease Cycles'!$BG$19:$BM$19,"&lt;="&amp;DS$6),0)</f>
        <v>0</v>
      </c>
      <c r="DT197" s="25">
        <f>IF('Lease Cycles'!$C$19&gt;0,COUNTIF('Lease Cycles'!$BG$19:$BM$19,"&lt;="&amp;DT$6),0)</f>
        <v>0</v>
      </c>
      <c r="DU197" s="25">
        <f>IF('Lease Cycles'!$C$19&gt;0,COUNTIF('Lease Cycles'!$BG$19:$BM$19,"&lt;="&amp;DU$6),0)</f>
        <v>0</v>
      </c>
      <c r="DV197" s="25">
        <f>IF('Lease Cycles'!$C$19&gt;0,COUNTIF('Lease Cycles'!$BG$19:$BM$19,"&lt;="&amp;DV$6),0)</f>
        <v>0</v>
      </c>
      <c r="DW197" s="25">
        <f>IF('Lease Cycles'!$C$19&gt;0,COUNTIF('Lease Cycles'!$BG$19:$BM$19,"&lt;="&amp;DW$6),0)</f>
        <v>0</v>
      </c>
      <c r="DX197" s="25">
        <f>IF('Lease Cycles'!$C$19&gt;0,COUNTIF('Lease Cycles'!$BG$19:$BM$19,"&lt;="&amp;DX$6),0)</f>
        <v>0</v>
      </c>
      <c r="DY197" s="25">
        <f>IF('Lease Cycles'!$C$19&gt;0,COUNTIF('Lease Cycles'!$BG$19:$BM$19,"&lt;="&amp;DY$6),0)</f>
        <v>0</v>
      </c>
      <c r="DZ197" s="25">
        <f>IF('Lease Cycles'!$C$19&gt;0,COUNTIF('Lease Cycles'!$BG$19:$BM$19,"&lt;="&amp;DZ$6),0)</f>
        <v>0</v>
      </c>
      <c r="EA197" s="25">
        <f>IF('Lease Cycles'!$C$19&gt;0,COUNTIF('Lease Cycles'!$BG$19:$BM$19,"&lt;="&amp;EA$6),0)</f>
        <v>0</v>
      </c>
      <c r="EB197" s="25">
        <f>IF('Lease Cycles'!$C$19&gt;0,COUNTIF('Lease Cycles'!$BG$19:$BM$19,"&lt;="&amp;EB$6),0)</f>
        <v>0</v>
      </c>
      <c r="EC197" s="25">
        <f>IF('Lease Cycles'!$C$19&gt;0,COUNTIF('Lease Cycles'!$BG$19:$BM$19,"&lt;="&amp;EC$6),0)</f>
        <v>0</v>
      </c>
      <c r="ED197" s="25">
        <f>IF('Lease Cycles'!$C$19&gt;0,COUNTIF('Lease Cycles'!$BG$19:$BM$19,"&lt;="&amp;ED$6),0)</f>
        <v>0</v>
      </c>
      <c r="EE197" s="25">
        <f>IF('Lease Cycles'!$C$19&gt;0,COUNTIF('Lease Cycles'!$BG$19:$BM$19,"&lt;="&amp;EE$6),0)</f>
        <v>0</v>
      </c>
      <c r="EF197" s="25">
        <f>IF('Lease Cycles'!$C$19&gt;0,COUNTIF('Lease Cycles'!$BG$19:$BM$19,"&lt;="&amp;EF$6),0)</f>
        <v>0</v>
      </c>
      <c r="EG197" s="25">
        <f>IF('Lease Cycles'!$C$19&gt;0,COUNTIF('Lease Cycles'!$BG$19:$BM$19,"&lt;="&amp;EG$6),0)</f>
        <v>0</v>
      </c>
      <c r="EH197" s="25">
        <f>IF('Lease Cycles'!$C$19&gt;0,COUNTIF('Lease Cycles'!$BG$19:$BM$19,"&lt;="&amp;EH$6),0)</f>
        <v>0</v>
      </c>
      <c r="EI197" s="25">
        <f>IF('Lease Cycles'!$C$19&gt;0,COUNTIF('Lease Cycles'!$BG$19:$BM$19,"&lt;="&amp;EI$6),0)</f>
        <v>0</v>
      </c>
      <c r="EJ197" s="25">
        <f>IF('Lease Cycles'!$C$19&gt;0,COUNTIF('Lease Cycles'!$BG$19:$BM$19,"&lt;="&amp;EJ$6),0)</f>
        <v>0</v>
      </c>
      <c r="EK197" s="25">
        <f>IF('Lease Cycles'!$C$19&gt;0,COUNTIF('Lease Cycles'!$BG$19:$BM$19,"&lt;="&amp;EK$6),0)</f>
        <v>0</v>
      </c>
      <c r="EL197" s="25">
        <f>IF('Lease Cycles'!$C$19&gt;0,COUNTIF('Lease Cycles'!$BG$19:$BM$19,"&lt;="&amp;EL$6),0)</f>
        <v>0</v>
      </c>
      <c r="EM197" s="25">
        <f>IF('Lease Cycles'!$C$19&gt;0,COUNTIF('Lease Cycles'!$BG$19:$BM$19,"&lt;="&amp;EM$6),0)</f>
        <v>0</v>
      </c>
      <c r="EN197" s="25">
        <f>IF('Lease Cycles'!$C$19&gt;0,COUNTIF('Lease Cycles'!$BG$19:$BM$19,"&lt;="&amp;EN$6),0)</f>
        <v>0</v>
      </c>
      <c r="EO197" s="25">
        <f>IF('Lease Cycles'!$C$19&gt;0,COUNTIF('Lease Cycles'!$BG$19:$BM$19,"&lt;="&amp;EO$6),0)</f>
        <v>0</v>
      </c>
      <c r="EP197" s="25">
        <f>IF('Lease Cycles'!$C$19&gt;0,COUNTIF('Lease Cycles'!$BG$19:$BM$19,"&lt;="&amp;EP$6),0)</f>
        <v>0</v>
      </c>
      <c r="EQ197" s="25">
        <f>IF('Lease Cycles'!$C$19&gt;0,COUNTIF('Lease Cycles'!$BG$19:$BM$19,"&lt;="&amp;EQ$6),0)</f>
        <v>0</v>
      </c>
      <c r="ER197" s="25">
        <f>IF('Lease Cycles'!$C$19&gt;0,COUNTIF('Lease Cycles'!$BG$19:$BM$19,"&lt;="&amp;ER$6),0)</f>
        <v>0</v>
      </c>
      <c r="ES197" s="25">
        <f>IF('Lease Cycles'!$C$19&gt;0,COUNTIF('Lease Cycles'!$BG$19:$BM$19,"&lt;="&amp;ES$6),0)</f>
        <v>0</v>
      </c>
      <c r="ET197" s="25">
        <f>IF('Lease Cycles'!$C$19&gt;0,COUNTIF('Lease Cycles'!$BG$19:$BM$19,"&lt;="&amp;ET$6),0)</f>
        <v>0</v>
      </c>
    </row>
    <row r="198">
      <c r="A198" s="103">
        <v>12</v>
      </c>
      <c r="B198" s="23" t="str">
        <f>IF('Lease Cycles'!$B$19="","(empty slot)",'Lease Cycles'!$B$19)</f>
        <v>(empty slot)</v>
      </c>
      <c r="C198" s="23" t="s">
        <v>673</v>
      </c>
      <c r="D198" s="104" t="s">
        <v>674</v>
      </c>
      <c r="E198" s="25">
        <f>'Lease Cycles'!$AL$19</f>
        <v>0</v>
      </c>
      <c r="S198" s="25">
        <f>IF(S197=0,-1,S$6-INDEX('Lease Cycles'!$BG$19:$BM$19,1,S197))</f>
        <v>-1</v>
      </c>
      <c r="T198" s="25">
        <f>IF(T197=0,-1,T$6-INDEX('Lease Cycles'!$BG$19:$BM$19,1,T197))</f>
        <v>-1</v>
      </c>
      <c r="U198" s="25">
        <f>IF(U197=0,-1,U$6-INDEX('Lease Cycles'!$BG$19:$BM$19,1,U197))</f>
        <v>-1</v>
      </c>
      <c r="V198" s="25">
        <f>IF(V197=0,-1,V$6-INDEX('Lease Cycles'!$BG$19:$BM$19,1,V197))</f>
        <v>-1</v>
      </c>
      <c r="W198" s="25">
        <f>IF(W197=0,-1,W$6-INDEX('Lease Cycles'!$BG$19:$BM$19,1,W197))</f>
        <v>-1</v>
      </c>
      <c r="X198" s="25">
        <f>IF(X197=0,-1,X$6-INDEX('Lease Cycles'!$BG$19:$BM$19,1,X197))</f>
        <v>-1</v>
      </c>
      <c r="Y198" s="25">
        <f>IF(Y197=0,-1,Y$6-INDEX('Lease Cycles'!$BG$19:$BM$19,1,Y197))</f>
        <v>-1</v>
      </c>
      <c r="Z198" s="25">
        <f>IF(Z197=0,-1,Z$6-INDEX('Lease Cycles'!$BG$19:$BM$19,1,Z197))</f>
        <v>-1</v>
      </c>
      <c r="AA198" s="25">
        <f>IF(AA197=0,-1,AA$6-INDEX('Lease Cycles'!$BG$19:$BM$19,1,AA197))</f>
        <v>-1</v>
      </c>
      <c r="AB198" s="25">
        <f>IF(AB197=0,-1,AB$6-INDEX('Lease Cycles'!$BG$19:$BM$19,1,AB197))</f>
        <v>-1</v>
      </c>
      <c r="AC198" s="25">
        <f>IF(AC197=0,-1,AC$6-INDEX('Lease Cycles'!$BG$19:$BM$19,1,AC197))</f>
        <v>-1</v>
      </c>
      <c r="AD198" s="25">
        <f>IF(AD197=0,-1,AD$6-INDEX('Lease Cycles'!$BG$19:$BM$19,1,AD197))</f>
        <v>-1</v>
      </c>
      <c r="AE198" s="25">
        <f>IF(AE197=0,-1,AE$6-INDEX('Lease Cycles'!$BG$19:$BM$19,1,AE197))</f>
        <v>-1</v>
      </c>
      <c r="AF198" s="25">
        <f>IF(AF197=0,-1,AF$6-INDEX('Lease Cycles'!$BG$19:$BM$19,1,AF197))</f>
        <v>-1</v>
      </c>
      <c r="AG198" s="25">
        <f>IF(AG197=0,-1,AG$6-INDEX('Lease Cycles'!$BG$19:$BM$19,1,AG197))</f>
        <v>-1</v>
      </c>
      <c r="AH198" s="25">
        <f>IF(AH197=0,-1,AH$6-INDEX('Lease Cycles'!$BG$19:$BM$19,1,AH197))</f>
        <v>-1</v>
      </c>
      <c r="AI198" s="25">
        <f>IF(AI197=0,-1,AI$6-INDEX('Lease Cycles'!$BG$19:$BM$19,1,AI197))</f>
        <v>-1</v>
      </c>
      <c r="AJ198" s="25">
        <f>IF(AJ197=0,-1,AJ$6-INDEX('Lease Cycles'!$BG$19:$BM$19,1,AJ197))</f>
        <v>-1</v>
      </c>
      <c r="AK198" s="25">
        <f>IF(AK197=0,-1,AK$6-INDEX('Lease Cycles'!$BG$19:$BM$19,1,AK197))</f>
        <v>-1</v>
      </c>
      <c r="AL198" s="25">
        <f>IF(AL197=0,-1,AL$6-INDEX('Lease Cycles'!$BG$19:$BM$19,1,AL197))</f>
        <v>-1</v>
      </c>
      <c r="AM198" s="25">
        <f>IF(AM197=0,-1,AM$6-INDEX('Lease Cycles'!$BG$19:$BM$19,1,AM197))</f>
        <v>-1</v>
      </c>
      <c r="AN198" s="25">
        <f>IF(AN197=0,-1,AN$6-INDEX('Lease Cycles'!$BG$19:$BM$19,1,AN197))</f>
        <v>-1</v>
      </c>
      <c r="AO198" s="25">
        <f>IF(AO197=0,-1,AO$6-INDEX('Lease Cycles'!$BG$19:$BM$19,1,AO197))</f>
        <v>-1</v>
      </c>
      <c r="AP198" s="25">
        <f>IF(AP197=0,-1,AP$6-INDEX('Lease Cycles'!$BG$19:$BM$19,1,AP197))</f>
        <v>-1</v>
      </c>
      <c r="AQ198" s="25">
        <f>IF(AQ197=0,-1,AQ$6-INDEX('Lease Cycles'!$BG$19:$BM$19,1,AQ197))</f>
        <v>-1</v>
      </c>
      <c r="AR198" s="25">
        <f>IF(AR197=0,-1,AR$6-INDEX('Lease Cycles'!$BG$19:$BM$19,1,AR197))</f>
        <v>-1</v>
      </c>
      <c r="AS198" s="25">
        <f>IF(AS197=0,-1,AS$6-INDEX('Lease Cycles'!$BG$19:$BM$19,1,AS197))</f>
        <v>-1</v>
      </c>
      <c r="AT198" s="25">
        <f>IF(AT197=0,-1,AT$6-INDEX('Lease Cycles'!$BG$19:$BM$19,1,AT197))</f>
        <v>-1</v>
      </c>
      <c r="AU198" s="25">
        <f>IF(AU197=0,-1,AU$6-INDEX('Lease Cycles'!$BG$19:$BM$19,1,AU197))</f>
        <v>-1</v>
      </c>
      <c r="AV198" s="25">
        <f>IF(AV197=0,-1,AV$6-INDEX('Lease Cycles'!$BG$19:$BM$19,1,AV197))</f>
        <v>-1</v>
      </c>
      <c r="AW198" s="25">
        <f>IF(AW197=0,-1,AW$6-INDEX('Lease Cycles'!$BG$19:$BM$19,1,AW197))</f>
        <v>-1</v>
      </c>
      <c r="AX198" s="25">
        <f>IF(AX197=0,-1,AX$6-INDEX('Lease Cycles'!$BG$19:$BM$19,1,AX197))</f>
        <v>-1</v>
      </c>
      <c r="AY198" s="25">
        <f>IF(AY197=0,-1,AY$6-INDEX('Lease Cycles'!$BG$19:$BM$19,1,AY197))</f>
        <v>-1</v>
      </c>
      <c r="AZ198" s="25">
        <f>IF(AZ197=0,-1,AZ$6-INDEX('Lease Cycles'!$BG$19:$BM$19,1,AZ197))</f>
        <v>-1</v>
      </c>
      <c r="BA198" s="25">
        <f>IF(BA197=0,-1,BA$6-INDEX('Lease Cycles'!$BG$19:$BM$19,1,BA197))</f>
        <v>-1</v>
      </c>
      <c r="BB198" s="25">
        <f>IF(BB197=0,-1,BB$6-INDEX('Lease Cycles'!$BG$19:$BM$19,1,BB197))</f>
        <v>-1</v>
      </c>
      <c r="BC198" s="25">
        <f>IF(BC197=0,-1,BC$6-INDEX('Lease Cycles'!$BG$19:$BM$19,1,BC197))</f>
        <v>-1</v>
      </c>
      <c r="BD198" s="25">
        <f>IF(BD197=0,-1,BD$6-INDEX('Lease Cycles'!$BG$19:$BM$19,1,BD197))</f>
        <v>-1</v>
      </c>
      <c r="BE198" s="25">
        <f>IF(BE197=0,-1,BE$6-INDEX('Lease Cycles'!$BG$19:$BM$19,1,BE197))</f>
        <v>-1</v>
      </c>
      <c r="BF198" s="25">
        <f>IF(BF197=0,-1,BF$6-INDEX('Lease Cycles'!$BG$19:$BM$19,1,BF197))</f>
        <v>-1</v>
      </c>
      <c r="BG198" s="25">
        <f>IF(BG197=0,-1,BG$6-INDEX('Lease Cycles'!$BG$19:$BM$19,1,BG197))</f>
        <v>-1</v>
      </c>
      <c r="BH198" s="25">
        <f>IF(BH197=0,-1,BH$6-INDEX('Lease Cycles'!$BG$19:$BM$19,1,BH197))</f>
        <v>-1</v>
      </c>
      <c r="BI198" s="25">
        <f>IF(BI197=0,-1,BI$6-INDEX('Lease Cycles'!$BG$19:$BM$19,1,BI197))</f>
        <v>-1</v>
      </c>
      <c r="BJ198" s="25">
        <f>IF(BJ197=0,-1,BJ$6-INDEX('Lease Cycles'!$BG$19:$BM$19,1,BJ197))</f>
        <v>-1</v>
      </c>
      <c r="BK198" s="25">
        <f>IF(BK197=0,-1,BK$6-INDEX('Lease Cycles'!$BG$19:$BM$19,1,BK197))</f>
        <v>-1</v>
      </c>
      <c r="BL198" s="25">
        <f>IF(BL197=0,-1,BL$6-INDEX('Lease Cycles'!$BG$19:$BM$19,1,BL197))</f>
        <v>-1</v>
      </c>
      <c r="BM198" s="25">
        <f>IF(BM197=0,-1,BM$6-INDEX('Lease Cycles'!$BG$19:$BM$19,1,BM197))</f>
        <v>-1</v>
      </c>
      <c r="BN198" s="25">
        <f>IF(BN197=0,-1,BN$6-INDEX('Lease Cycles'!$BG$19:$BM$19,1,BN197))</f>
        <v>-1</v>
      </c>
      <c r="BO198" s="25">
        <f>IF(BO197=0,-1,BO$6-INDEX('Lease Cycles'!$BG$19:$BM$19,1,BO197))</f>
        <v>-1</v>
      </c>
      <c r="BP198" s="25">
        <f>IF(BP197=0,-1,BP$6-INDEX('Lease Cycles'!$BG$19:$BM$19,1,BP197))</f>
        <v>-1</v>
      </c>
      <c r="BQ198" s="25">
        <f>IF(BQ197=0,-1,BQ$6-INDEX('Lease Cycles'!$BG$19:$BM$19,1,BQ197))</f>
        <v>-1</v>
      </c>
      <c r="BR198" s="25">
        <f>IF(BR197=0,-1,BR$6-INDEX('Lease Cycles'!$BG$19:$BM$19,1,BR197))</f>
        <v>-1</v>
      </c>
      <c r="BS198" s="25">
        <f>IF(BS197=0,-1,BS$6-INDEX('Lease Cycles'!$BG$19:$BM$19,1,BS197))</f>
        <v>-1</v>
      </c>
      <c r="BT198" s="25">
        <f>IF(BT197=0,-1,BT$6-INDEX('Lease Cycles'!$BG$19:$BM$19,1,BT197))</f>
        <v>-1</v>
      </c>
      <c r="BU198" s="25">
        <f>IF(BU197=0,-1,BU$6-INDEX('Lease Cycles'!$BG$19:$BM$19,1,BU197))</f>
        <v>-1</v>
      </c>
      <c r="BV198" s="25">
        <f>IF(BV197=0,-1,BV$6-INDEX('Lease Cycles'!$BG$19:$BM$19,1,BV197))</f>
        <v>-1</v>
      </c>
      <c r="BW198" s="25">
        <f>IF(BW197=0,-1,BW$6-INDEX('Lease Cycles'!$BG$19:$BM$19,1,BW197))</f>
        <v>-1</v>
      </c>
      <c r="BX198" s="25">
        <f>IF(BX197=0,-1,BX$6-INDEX('Lease Cycles'!$BG$19:$BM$19,1,BX197))</f>
        <v>-1</v>
      </c>
      <c r="BY198" s="25">
        <f>IF(BY197=0,-1,BY$6-INDEX('Lease Cycles'!$BG$19:$BM$19,1,BY197))</f>
        <v>-1</v>
      </c>
      <c r="BZ198" s="25">
        <f>IF(BZ197=0,-1,BZ$6-INDEX('Lease Cycles'!$BG$19:$BM$19,1,BZ197))</f>
        <v>-1</v>
      </c>
      <c r="CA198" s="25">
        <f>IF(CA197=0,-1,CA$6-INDEX('Lease Cycles'!$BG$19:$BM$19,1,CA197))</f>
        <v>-1</v>
      </c>
      <c r="CB198" s="25">
        <f>IF(CB197=0,-1,CB$6-INDEX('Lease Cycles'!$BG$19:$BM$19,1,CB197))</f>
        <v>-1</v>
      </c>
      <c r="CC198" s="25">
        <f>IF(CC197=0,-1,CC$6-INDEX('Lease Cycles'!$BG$19:$BM$19,1,CC197))</f>
        <v>-1</v>
      </c>
      <c r="CD198" s="25">
        <f>IF(CD197=0,-1,CD$6-INDEX('Lease Cycles'!$BG$19:$BM$19,1,CD197))</f>
        <v>-1</v>
      </c>
      <c r="CE198" s="25">
        <f>IF(CE197=0,-1,CE$6-INDEX('Lease Cycles'!$BG$19:$BM$19,1,CE197))</f>
        <v>-1</v>
      </c>
      <c r="CF198" s="25">
        <f>IF(CF197=0,-1,CF$6-INDEX('Lease Cycles'!$BG$19:$BM$19,1,CF197))</f>
        <v>-1</v>
      </c>
      <c r="CG198" s="25">
        <f>IF(CG197=0,-1,CG$6-INDEX('Lease Cycles'!$BG$19:$BM$19,1,CG197))</f>
        <v>-1</v>
      </c>
      <c r="CH198" s="25">
        <f>IF(CH197=0,-1,CH$6-INDEX('Lease Cycles'!$BG$19:$BM$19,1,CH197))</f>
        <v>-1</v>
      </c>
      <c r="CI198" s="25">
        <f>IF(CI197=0,-1,CI$6-INDEX('Lease Cycles'!$BG$19:$BM$19,1,CI197))</f>
        <v>-1</v>
      </c>
      <c r="CJ198" s="25">
        <f>IF(CJ197=0,-1,CJ$6-INDEX('Lease Cycles'!$BG$19:$BM$19,1,CJ197))</f>
        <v>-1</v>
      </c>
      <c r="CK198" s="25">
        <f>IF(CK197=0,-1,CK$6-INDEX('Lease Cycles'!$BG$19:$BM$19,1,CK197))</f>
        <v>-1</v>
      </c>
      <c r="CL198" s="25">
        <f>IF(CL197=0,-1,CL$6-INDEX('Lease Cycles'!$BG$19:$BM$19,1,CL197))</f>
        <v>-1</v>
      </c>
      <c r="CM198" s="25">
        <f>IF(CM197=0,-1,CM$6-INDEX('Lease Cycles'!$BG$19:$BM$19,1,CM197))</f>
        <v>-1</v>
      </c>
      <c r="CN198" s="25">
        <f>IF(CN197=0,-1,CN$6-INDEX('Lease Cycles'!$BG$19:$BM$19,1,CN197))</f>
        <v>-1</v>
      </c>
      <c r="CO198" s="25">
        <f>IF(CO197=0,-1,CO$6-INDEX('Lease Cycles'!$BG$19:$BM$19,1,CO197))</f>
        <v>-1</v>
      </c>
      <c r="CP198" s="25">
        <f>IF(CP197=0,-1,CP$6-INDEX('Lease Cycles'!$BG$19:$BM$19,1,CP197))</f>
        <v>-1</v>
      </c>
      <c r="CQ198" s="25">
        <f>IF(CQ197=0,-1,CQ$6-INDEX('Lease Cycles'!$BG$19:$BM$19,1,CQ197))</f>
        <v>-1</v>
      </c>
      <c r="CR198" s="25">
        <f>IF(CR197=0,-1,CR$6-INDEX('Lease Cycles'!$BG$19:$BM$19,1,CR197))</f>
        <v>-1</v>
      </c>
      <c r="CS198" s="25">
        <f>IF(CS197=0,-1,CS$6-INDEX('Lease Cycles'!$BG$19:$BM$19,1,CS197))</f>
        <v>-1</v>
      </c>
      <c r="CT198" s="25">
        <f>IF(CT197=0,-1,CT$6-INDEX('Lease Cycles'!$BG$19:$BM$19,1,CT197))</f>
        <v>-1</v>
      </c>
      <c r="CU198" s="25">
        <f>IF(CU197=0,-1,CU$6-INDEX('Lease Cycles'!$BG$19:$BM$19,1,CU197))</f>
        <v>-1</v>
      </c>
      <c r="CV198" s="25">
        <f>IF(CV197=0,-1,CV$6-INDEX('Lease Cycles'!$BG$19:$BM$19,1,CV197))</f>
        <v>-1</v>
      </c>
      <c r="CW198" s="25">
        <f>IF(CW197=0,-1,CW$6-INDEX('Lease Cycles'!$BG$19:$BM$19,1,CW197))</f>
        <v>-1</v>
      </c>
      <c r="CX198" s="25">
        <f>IF(CX197=0,-1,CX$6-INDEX('Lease Cycles'!$BG$19:$BM$19,1,CX197))</f>
        <v>-1</v>
      </c>
      <c r="CY198" s="25">
        <f>IF(CY197=0,-1,CY$6-INDEX('Lease Cycles'!$BG$19:$BM$19,1,CY197))</f>
        <v>-1</v>
      </c>
      <c r="CZ198" s="25">
        <f>IF(CZ197=0,-1,CZ$6-INDEX('Lease Cycles'!$BG$19:$BM$19,1,CZ197))</f>
        <v>-1</v>
      </c>
      <c r="DA198" s="25">
        <f>IF(DA197=0,-1,DA$6-INDEX('Lease Cycles'!$BG$19:$BM$19,1,DA197))</f>
        <v>-1</v>
      </c>
      <c r="DB198" s="25">
        <f>IF(DB197=0,-1,DB$6-INDEX('Lease Cycles'!$BG$19:$BM$19,1,DB197))</f>
        <v>-1</v>
      </c>
      <c r="DC198" s="25">
        <f>IF(DC197=0,-1,DC$6-INDEX('Lease Cycles'!$BG$19:$BM$19,1,DC197))</f>
        <v>-1</v>
      </c>
      <c r="DD198" s="25">
        <f>IF(DD197=0,-1,DD$6-INDEX('Lease Cycles'!$BG$19:$BM$19,1,DD197))</f>
        <v>-1</v>
      </c>
      <c r="DE198" s="25">
        <f>IF(DE197=0,-1,DE$6-INDEX('Lease Cycles'!$BG$19:$BM$19,1,DE197))</f>
        <v>-1</v>
      </c>
      <c r="DF198" s="25">
        <f>IF(DF197=0,-1,DF$6-INDEX('Lease Cycles'!$BG$19:$BM$19,1,DF197))</f>
        <v>-1</v>
      </c>
      <c r="DG198" s="25">
        <f>IF(DG197=0,-1,DG$6-INDEX('Lease Cycles'!$BG$19:$BM$19,1,DG197))</f>
        <v>-1</v>
      </c>
      <c r="DH198" s="25">
        <f>IF(DH197=0,-1,DH$6-INDEX('Lease Cycles'!$BG$19:$BM$19,1,DH197))</f>
        <v>-1</v>
      </c>
      <c r="DI198" s="25">
        <f>IF(DI197=0,-1,DI$6-INDEX('Lease Cycles'!$BG$19:$BM$19,1,DI197))</f>
        <v>-1</v>
      </c>
      <c r="DJ198" s="25">
        <f>IF(DJ197=0,-1,DJ$6-INDEX('Lease Cycles'!$BG$19:$BM$19,1,DJ197))</f>
        <v>-1</v>
      </c>
      <c r="DK198" s="25">
        <f>IF(DK197=0,-1,DK$6-INDEX('Lease Cycles'!$BG$19:$BM$19,1,DK197))</f>
        <v>-1</v>
      </c>
      <c r="DL198" s="25">
        <f>IF(DL197=0,-1,DL$6-INDEX('Lease Cycles'!$BG$19:$BM$19,1,DL197))</f>
        <v>-1</v>
      </c>
      <c r="DM198" s="25">
        <f>IF(DM197=0,-1,DM$6-INDEX('Lease Cycles'!$BG$19:$BM$19,1,DM197))</f>
        <v>-1</v>
      </c>
      <c r="DN198" s="25">
        <f>IF(DN197=0,-1,DN$6-INDEX('Lease Cycles'!$BG$19:$BM$19,1,DN197))</f>
        <v>-1</v>
      </c>
      <c r="DO198" s="25">
        <f>IF(DO197=0,-1,DO$6-INDEX('Lease Cycles'!$BG$19:$BM$19,1,DO197))</f>
        <v>-1</v>
      </c>
      <c r="DP198" s="25">
        <f>IF(DP197=0,-1,DP$6-INDEX('Lease Cycles'!$BG$19:$BM$19,1,DP197))</f>
        <v>-1</v>
      </c>
      <c r="DQ198" s="25">
        <f>IF(DQ197=0,-1,DQ$6-INDEX('Lease Cycles'!$BG$19:$BM$19,1,DQ197))</f>
        <v>-1</v>
      </c>
      <c r="DR198" s="25">
        <f>IF(DR197=0,-1,DR$6-INDEX('Lease Cycles'!$BG$19:$BM$19,1,DR197))</f>
        <v>-1</v>
      </c>
      <c r="DS198" s="25">
        <f>IF(DS197=0,-1,DS$6-INDEX('Lease Cycles'!$BG$19:$BM$19,1,DS197))</f>
        <v>-1</v>
      </c>
      <c r="DT198" s="25">
        <f>IF(DT197=0,-1,DT$6-INDEX('Lease Cycles'!$BG$19:$BM$19,1,DT197))</f>
        <v>-1</v>
      </c>
      <c r="DU198" s="25">
        <f>IF(DU197=0,-1,DU$6-INDEX('Lease Cycles'!$BG$19:$BM$19,1,DU197))</f>
        <v>-1</v>
      </c>
      <c r="DV198" s="25">
        <f>IF(DV197=0,-1,DV$6-INDEX('Lease Cycles'!$BG$19:$BM$19,1,DV197))</f>
        <v>-1</v>
      </c>
      <c r="DW198" s="25">
        <f>IF(DW197=0,-1,DW$6-INDEX('Lease Cycles'!$BG$19:$BM$19,1,DW197))</f>
        <v>-1</v>
      </c>
      <c r="DX198" s="25">
        <f>IF(DX197=0,-1,DX$6-INDEX('Lease Cycles'!$BG$19:$BM$19,1,DX197))</f>
        <v>-1</v>
      </c>
      <c r="DY198" s="25">
        <f>IF(DY197=0,-1,DY$6-INDEX('Lease Cycles'!$BG$19:$BM$19,1,DY197))</f>
        <v>-1</v>
      </c>
      <c r="DZ198" s="25">
        <f>IF(DZ197=0,-1,DZ$6-INDEX('Lease Cycles'!$BG$19:$BM$19,1,DZ197))</f>
        <v>-1</v>
      </c>
      <c r="EA198" s="25">
        <f>IF(EA197=0,-1,EA$6-INDEX('Lease Cycles'!$BG$19:$BM$19,1,EA197))</f>
        <v>-1</v>
      </c>
      <c r="EB198" s="25">
        <f>IF(EB197=0,-1,EB$6-INDEX('Lease Cycles'!$BG$19:$BM$19,1,EB197))</f>
        <v>-1</v>
      </c>
      <c r="EC198" s="25">
        <f>IF(EC197=0,-1,EC$6-INDEX('Lease Cycles'!$BG$19:$BM$19,1,EC197))</f>
        <v>-1</v>
      </c>
      <c r="ED198" s="25">
        <f>IF(ED197=0,-1,ED$6-INDEX('Lease Cycles'!$BG$19:$BM$19,1,ED197))</f>
        <v>-1</v>
      </c>
      <c r="EE198" s="25">
        <f>IF(EE197=0,-1,EE$6-INDEX('Lease Cycles'!$BG$19:$BM$19,1,EE197))</f>
        <v>-1</v>
      </c>
      <c r="EF198" s="25">
        <f>IF(EF197=0,-1,EF$6-INDEX('Lease Cycles'!$BG$19:$BM$19,1,EF197))</f>
        <v>-1</v>
      </c>
      <c r="EG198" s="25">
        <f>IF(EG197=0,-1,EG$6-INDEX('Lease Cycles'!$BG$19:$BM$19,1,EG197))</f>
        <v>-1</v>
      </c>
      <c r="EH198" s="25">
        <f>IF(EH197=0,-1,EH$6-INDEX('Lease Cycles'!$BG$19:$BM$19,1,EH197))</f>
        <v>-1</v>
      </c>
      <c r="EI198" s="25">
        <f>IF(EI197=0,-1,EI$6-INDEX('Lease Cycles'!$BG$19:$BM$19,1,EI197))</f>
        <v>-1</v>
      </c>
      <c r="EJ198" s="25">
        <f>IF(EJ197=0,-1,EJ$6-INDEX('Lease Cycles'!$BG$19:$BM$19,1,EJ197))</f>
        <v>-1</v>
      </c>
      <c r="EK198" s="25">
        <f>IF(EK197=0,-1,EK$6-INDEX('Lease Cycles'!$BG$19:$BM$19,1,EK197))</f>
        <v>-1</v>
      </c>
      <c r="EL198" s="25">
        <f>IF(EL197=0,-1,EL$6-INDEX('Lease Cycles'!$BG$19:$BM$19,1,EL197))</f>
        <v>-1</v>
      </c>
      <c r="EM198" s="25">
        <f>IF(EM197=0,-1,EM$6-INDEX('Lease Cycles'!$BG$19:$BM$19,1,EM197))</f>
        <v>-1</v>
      </c>
      <c r="EN198" s="25">
        <f>IF(EN197=0,-1,EN$6-INDEX('Lease Cycles'!$BG$19:$BM$19,1,EN197))</f>
        <v>-1</v>
      </c>
      <c r="EO198" s="25">
        <f>IF(EO197=0,-1,EO$6-INDEX('Lease Cycles'!$BG$19:$BM$19,1,EO197))</f>
        <v>-1</v>
      </c>
      <c r="EP198" s="25">
        <f>IF(EP197=0,-1,EP$6-INDEX('Lease Cycles'!$BG$19:$BM$19,1,EP197))</f>
        <v>-1</v>
      </c>
      <c r="EQ198" s="25">
        <f>IF(EQ197=0,-1,EQ$6-INDEX('Lease Cycles'!$BG$19:$BM$19,1,EQ197))</f>
        <v>-1</v>
      </c>
      <c r="ER198" s="25">
        <f>IF(ER197=0,-1,ER$6-INDEX('Lease Cycles'!$BG$19:$BM$19,1,ER197))</f>
        <v>-1</v>
      </c>
      <c r="ES198" s="25">
        <f>IF(ES197=0,-1,ES$6-INDEX('Lease Cycles'!$BG$19:$BM$19,1,ES197))</f>
        <v>-1</v>
      </c>
      <c r="ET198" s="25">
        <f>IF(ET197=0,-1,ET$6-INDEX('Lease Cycles'!$BG$19:$BM$19,1,ET197))</f>
        <v>-1</v>
      </c>
    </row>
    <row r="199">
      <c r="A199" s="103">
        <v>12</v>
      </c>
      <c r="B199" s="23" t="str">
        <f>IF('Lease Cycles'!$B$19="","(empty slot)",'Lease Cycles'!$B$19)</f>
        <v>(empty slot)</v>
      </c>
      <c r="C199" s="23" t="s">
        <v>675</v>
      </c>
      <c r="D199" s="104" t="s">
        <v>676</v>
      </c>
      <c r="E199" s="25">
        <f>'Lease Cycles'!$AL$19</f>
        <v>0</v>
      </c>
      <c r="S199" s="25">
        <f>IF(S197=0,0,IF(S198&lt;INDEX('Lease Cycles'!$BN$19:$BT$19,1,S197),1,0))</f>
        <v>0</v>
      </c>
      <c r="T199" s="25">
        <f>IF(T197=0,0,IF(T198&lt;INDEX('Lease Cycles'!$BN$19:$BT$19,1,T197),1,0))</f>
        <v>0</v>
      </c>
      <c r="U199" s="25">
        <f>IF(U197=0,0,IF(U198&lt;INDEX('Lease Cycles'!$BN$19:$BT$19,1,U197),1,0))</f>
        <v>0</v>
      </c>
      <c r="V199" s="25">
        <f>IF(V197=0,0,IF(V198&lt;INDEX('Lease Cycles'!$BN$19:$BT$19,1,V197),1,0))</f>
        <v>0</v>
      </c>
      <c r="W199" s="25">
        <f>IF(W197=0,0,IF(W198&lt;INDEX('Lease Cycles'!$BN$19:$BT$19,1,W197),1,0))</f>
        <v>0</v>
      </c>
      <c r="X199" s="25">
        <f>IF(X197=0,0,IF(X198&lt;INDEX('Lease Cycles'!$BN$19:$BT$19,1,X197),1,0))</f>
        <v>0</v>
      </c>
      <c r="Y199" s="25">
        <f>IF(Y197=0,0,IF(Y198&lt;INDEX('Lease Cycles'!$BN$19:$BT$19,1,Y197),1,0))</f>
        <v>0</v>
      </c>
      <c r="Z199" s="25">
        <f>IF(Z197=0,0,IF(Z198&lt;INDEX('Lease Cycles'!$BN$19:$BT$19,1,Z197),1,0))</f>
        <v>0</v>
      </c>
      <c r="AA199" s="25">
        <f>IF(AA197=0,0,IF(AA198&lt;INDEX('Lease Cycles'!$BN$19:$BT$19,1,AA197),1,0))</f>
        <v>0</v>
      </c>
      <c r="AB199" s="25">
        <f>IF(AB197=0,0,IF(AB198&lt;INDEX('Lease Cycles'!$BN$19:$BT$19,1,AB197),1,0))</f>
        <v>0</v>
      </c>
      <c r="AC199" s="25">
        <f>IF(AC197=0,0,IF(AC198&lt;INDEX('Lease Cycles'!$BN$19:$BT$19,1,AC197),1,0))</f>
        <v>0</v>
      </c>
      <c r="AD199" s="25">
        <f>IF(AD197=0,0,IF(AD198&lt;INDEX('Lease Cycles'!$BN$19:$BT$19,1,AD197),1,0))</f>
        <v>0</v>
      </c>
      <c r="AE199" s="25">
        <f>IF(AE197=0,0,IF(AE198&lt;INDEX('Lease Cycles'!$BN$19:$BT$19,1,AE197),1,0))</f>
        <v>0</v>
      </c>
      <c r="AF199" s="25">
        <f>IF(AF197=0,0,IF(AF198&lt;INDEX('Lease Cycles'!$BN$19:$BT$19,1,AF197),1,0))</f>
        <v>0</v>
      </c>
      <c r="AG199" s="25">
        <f>IF(AG197=0,0,IF(AG198&lt;INDEX('Lease Cycles'!$BN$19:$BT$19,1,AG197),1,0))</f>
        <v>0</v>
      </c>
      <c r="AH199" s="25">
        <f>IF(AH197=0,0,IF(AH198&lt;INDEX('Lease Cycles'!$BN$19:$BT$19,1,AH197),1,0))</f>
        <v>0</v>
      </c>
      <c r="AI199" s="25">
        <f>IF(AI197=0,0,IF(AI198&lt;INDEX('Lease Cycles'!$BN$19:$BT$19,1,AI197),1,0))</f>
        <v>0</v>
      </c>
      <c r="AJ199" s="25">
        <f>IF(AJ197=0,0,IF(AJ198&lt;INDEX('Lease Cycles'!$BN$19:$BT$19,1,AJ197),1,0))</f>
        <v>0</v>
      </c>
      <c r="AK199" s="25">
        <f>IF(AK197=0,0,IF(AK198&lt;INDEX('Lease Cycles'!$BN$19:$BT$19,1,AK197),1,0))</f>
        <v>0</v>
      </c>
      <c r="AL199" s="25">
        <f>IF(AL197=0,0,IF(AL198&lt;INDEX('Lease Cycles'!$BN$19:$BT$19,1,AL197),1,0))</f>
        <v>0</v>
      </c>
      <c r="AM199" s="25">
        <f>IF(AM197=0,0,IF(AM198&lt;INDEX('Lease Cycles'!$BN$19:$BT$19,1,AM197),1,0))</f>
        <v>0</v>
      </c>
      <c r="AN199" s="25">
        <f>IF(AN197=0,0,IF(AN198&lt;INDEX('Lease Cycles'!$BN$19:$BT$19,1,AN197),1,0))</f>
        <v>0</v>
      </c>
      <c r="AO199" s="25">
        <f>IF(AO197=0,0,IF(AO198&lt;INDEX('Lease Cycles'!$BN$19:$BT$19,1,AO197),1,0))</f>
        <v>0</v>
      </c>
      <c r="AP199" s="25">
        <f>IF(AP197=0,0,IF(AP198&lt;INDEX('Lease Cycles'!$BN$19:$BT$19,1,AP197),1,0))</f>
        <v>0</v>
      </c>
      <c r="AQ199" s="25">
        <f>IF(AQ197=0,0,IF(AQ198&lt;INDEX('Lease Cycles'!$BN$19:$BT$19,1,AQ197),1,0))</f>
        <v>0</v>
      </c>
      <c r="AR199" s="25">
        <f>IF(AR197=0,0,IF(AR198&lt;INDEX('Lease Cycles'!$BN$19:$BT$19,1,AR197),1,0))</f>
        <v>0</v>
      </c>
      <c r="AS199" s="25">
        <f>IF(AS197=0,0,IF(AS198&lt;INDEX('Lease Cycles'!$BN$19:$BT$19,1,AS197),1,0))</f>
        <v>0</v>
      </c>
      <c r="AT199" s="25">
        <f>IF(AT197=0,0,IF(AT198&lt;INDEX('Lease Cycles'!$BN$19:$BT$19,1,AT197),1,0))</f>
        <v>0</v>
      </c>
      <c r="AU199" s="25">
        <f>IF(AU197=0,0,IF(AU198&lt;INDEX('Lease Cycles'!$BN$19:$BT$19,1,AU197),1,0))</f>
        <v>0</v>
      </c>
      <c r="AV199" s="25">
        <f>IF(AV197=0,0,IF(AV198&lt;INDEX('Lease Cycles'!$BN$19:$BT$19,1,AV197),1,0))</f>
        <v>0</v>
      </c>
      <c r="AW199" s="25">
        <f>IF(AW197=0,0,IF(AW198&lt;INDEX('Lease Cycles'!$BN$19:$BT$19,1,AW197),1,0))</f>
        <v>0</v>
      </c>
      <c r="AX199" s="25">
        <f>IF(AX197=0,0,IF(AX198&lt;INDEX('Lease Cycles'!$BN$19:$BT$19,1,AX197),1,0))</f>
        <v>0</v>
      </c>
      <c r="AY199" s="25">
        <f>IF(AY197=0,0,IF(AY198&lt;INDEX('Lease Cycles'!$BN$19:$BT$19,1,AY197),1,0))</f>
        <v>0</v>
      </c>
      <c r="AZ199" s="25">
        <f>IF(AZ197=0,0,IF(AZ198&lt;INDEX('Lease Cycles'!$BN$19:$BT$19,1,AZ197),1,0))</f>
        <v>0</v>
      </c>
      <c r="BA199" s="25">
        <f>IF(BA197=0,0,IF(BA198&lt;INDEX('Lease Cycles'!$BN$19:$BT$19,1,BA197),1,0))</f>
        <v>0</v>
      </c>
      <c r="BB199" s="25">
        <f>IF(BB197=0,0,IF(BB198&lt;INDEX('Lease Cycles'!$BN$19:$BT$19,1,BB197),1,0))</f>
        <v>0</v>
      </c>
      <c r="BC199" s="25">
        <f>IF(BC197=0,0,IF(BC198&lt;INDEX('Lease Cycles'!$BN$19:$BT$19,1,BC197),1,0))</f>
        <v>0</v>
      </c>
      <c r="BD199" s="25">
        <f>IF(BD197=0,0,IF(BD198&lt;INDEX('Lease Cycles'!$BN$19:$BT$19,1,BD197),1,0))</f>
        <v>0</v>
      </c>
      <c r="BE199" s="25">
        <f>IF(BE197=0,0,IF(BE198&lt;INDEX('Lease Cycles'!$BN$19:$BT$19,1,BE197),1,0))</f>
        <v>0</v>
      </c>
      <c r="BF199" s="25">
        <f>IF(BF197=0,0,IF(BF198&lt;INDEX('Lease Cycles'!$BN$19:$BT$19,1,BF197),1,0))</f>
        <v>0</v>
      </c>
      <c r="BG199" s="25">
        <f>IF(BG197=0,0,IF(BG198&lt;INDEX('Lease Cycles'!$BN$19:$BT$19,1,BG197),1,0))</f>
        <v>0</v>
      </c>
      <c r="BH199" s="25">
        <f>IF(BH197=0,0,IF(BH198&lt;INDEX('Lease Cycles'!$BN$19:$BT$19,1,BH197),1,0))</f>
        <v>0</v>
      </c>
      <c r="BI199" s="25">
        <f>IF(BI197=0,0,IF(BI198&lt;INDEX('Lease Cycles'!$BN$19:$BT$19,1,BI197),1,0))</f>
        <v>0</v>
      </c>
      <c r="BJ199" s="25">
        <f>IF(BJ197=0,0,IF(BJ198&lt;INDEX('Lease Cycles'!$BN$19:$BT$19,1,BJ197),1,0))</f>
        <v>0</v>
      </c>
      <c r="BK199" s="25">
        <f>IF(BK197=0,0,IF(BK198&lt;INDEX('Lease Cycles'!$BN$19:$BT$19,1,BK197),1,0))</f>
        <v>0</v>
      </c>
      <c r="BL199" s="25">
        <f>IF(BL197=0,0,IF(BL198&lt;INDEX('Lease Cycles'!$BN$19:$BT$19,1,BL197),1,0))</f>
        <v>0</v>
      </c>
      <c r="BM199" s="25">
        <f>IF(BM197=0,0,IF(BM198&lt;INDEX('Lease Cycles'!$BN$19:$BT$19,1,BM197),1,0))</f>
        <v>0</v>
      </c>
      <c r="BN199" s="25">
        <f>IF(BN197=0,0,IF(BN198&lt;INDEX('Lease Cycles'!$BN$19:$BT$19,1,BN197),1,0))</f>
        <v>0</v>
      </c>
      <c r="BO199" s="25">
        <f>IF(BO197=0,0,IF(BO198&lt;INDEX('Lease Cycles'!$BN$19:$BT$19,1,BO197),1,0))</f>
        <v>0</v>
      </c>
      <c r="BP199" s="25">
        <f>IF(BP197=0,0,IF(BP198&lt;INDEX('Lease Cycles'!$BN$19:$BT$19,1,BP197),1,0))</f>
        <v>0</v>
      </c>
      <c r="BQ199" s="25">
        <f>IF(BQ197=0,0,IF(BQ198&lt;INDEX('Lease Cycles'!$BN$19:$BT$19,1,BQ197),1,0))</f>
        <v>0</v>
      </c>
      <c r="BR199" s="25">
        <f>IF(BR197=0,0,IF(BR198&lt;INDEX('Lease Cycles'!$BN$19:$BT$19,1,BR197),1,0))</f>
        <v>0</v>
      </c>
      <c r="BS199" s="25">
        <f>IF(BS197=0,0,IF(BS198&lt;INDEX('Lease Cycles'!$BN$19:$BT$19,1,BS197),1,0))</f>
        <v>0</v>
      </c>
      <c r="BT199" s="25">
        <f>IF(BT197=0,0,IF(BT198&lt;INDEX('Lease Cycles'!$BN$19:$BT$19,1,BT197),1,0))</f>
        <v>0</v>
      </c>
      <c r="BU199" s="25">
        <f>IF(BU197=0,0,IF(BU198&lt;INDEX('Lease Cycles'!$BN$19:$BT$19,1,BU197),1,0))</f>
        <v>0</v>
      </c>
      <c r="BV199" s="25">
        <f>IF(BV197=0,0,IF(BV198&lt;INDEX('Lease Cycles'!$BN$19:$BT$19,1,BV197),1,0))</f>
        <v>0</v>
      </c>
      <c r="BW199" s="25">
        <f>IF(BW197=0,0,IF(BW198&lt;INDEX('Lease Cycles'!$BN$19:$BT$19,1,BW197),1,0))</f>
        <v>0</v>
      </c>
      <c r="BX199" s="25">
        <f>IF(BX197=0,0,IF(BX198&lt;INDEX('Lease Cycles'!$BN$19:$BT$19,1,BX197),1,0))</f>
        <v>0</v>
      </c>
      <c r="BY199" s="25">
        <f>IF(BY197=0,0,IF(BY198&lt;INDEX('Lease Cycles'!$BN$19:$BT$19,1,BY197),1,0))</f>
        <v>0</v>
      </c>
      <c r="BZ199" s="25">
        <f>IF(BZ197=0,0,IF(BZ198&lt;INDEX('Lease Cycles'!$BN$19:$BT$19,1,BZ197),1,0))</f>
        <v>0</v>
      </c>
      <c r="CA199" s="25">
        <f>IF(CA197=0,0,IF(CA198&lt;INDEX('Lease Cycles'!$BN$19:$BT$19,1,CA197),1,0))</f>
        <v>0</v>
      </c>
      <c r="CB199" s="25">
        <f>IF(CB197=0,0,IF(CB198&lt;INDEX('Lease Cycles'!$BN$19:$BT$19,1,CB197),1,0))</f>
        <v>0</v>
      </c>
      <c r="CC199" s="25">
        <f>IF(CC197=0,0,IF(CC198&lt;INDEX('Lease Cycles'!$BN$19:$BT$19,1,CC197),1,0))</f>
        <v>0</v>
      </c>
      <c r="CD199" s="25">
        <f>IF(CD197=0,0,IF(CD198&lt;INDEX('Lease Cycles'!$BN$19:$BT$19,1,CD197),1,0))</f>
        <v>0</v>
      </c>
      <c r="CE199" s="25">
        <f>IF(CE197=0,0,IF(CE198&lt;INDEX('Lease Cycles'!$BN$19:$BT$19,1,CE197),1,0))</f>
        <v>0</v>
      </c>
      <c r="CF199" s="25">
        <f>IF(CF197=0,0,IF(CF198&lt;INDEX('Lease Cycles'!$BN$19:$BT$19,1,CF197),1,0))</f>
        <v>0</v>
      </c>
      <c r="CG199" s="25">
        <f>IF(CG197=0,0,IF(CG198&lt;INDEX('Lease Cycles'!$BN$19:$BT$19,1,CG197),1,0))</f>
        <v>0</v>
      </c>
      <c r="CH199" s="25">
        <f>IF(CH197=0,0,IF(CH198&lt;INDEX('Lease Cycles'!$BN$19:$BT$19,1,CH197),1,0))</f>
        <v>0</v>
      </c>
      <c r="CI199" s="25">
        <f>IF(CI197=0,0,IF(CI198&lt;INDEX('Lease Cycles'!$BN$19:$BT$19,1,CI197),1,0))</f>
        <v>0</v>
      </c>
      <c r="CJ199" s="25">
        <f>IF(CJ197=0,0,IF(CJ198&lt;INDEX('Lease Cycles'!$BN$19:$BT$19,1,CJ197),1,0))</f>
        <v>0</v>
      </c>
      <c r="CK199" s="25">
        <f>IF(CK197=0,0,IF(CK198&lt;INDEX('Lease Cycles'!$BN$19:$BT$19,1,CK197),1,0))</f>
        <v>0</v>
      </c>
      <c r="CL199" s="25">
        <f>IF(CL197=0,0,IF(CL198&lt;INDEX('Lease Cycles'!$BN$19:$BT$19,1,CL197),1,0))</f>
        <v>0</v>
      </c>
      <c r="CM199" s="25">
        <f>IF(CM197=0,0,IF(CM198&lt;INDEX('Lease Cycles'!$BN$19:$BT$19,1,CM197),1,0))</f>
        <v>0</v>
      </c>
      <c r="CN199" s="25">
        <f>IF(CN197=0,0,IF(CN198&lt;INDEX('Lease Cycles'!$BN$19:$BT$19,1,CN197),1,0))</f>
        <v>0</v>
      </c>
      <c r="CO199" s="25">
        <f>IF(CO197=0,0,IF(CO198&lt;INDEX('Lease Cycles'!$BN$19:$BT$19,1,CO197),1,0))</f>
        <v>0</v>
      </c>
      <c r="CP199" s="25">
        <f>IF(CP197=0,0,IF(CP198&lt;INDEX('Lease Cycles'!$BN$19:$BT$19,1,CP197),1,0))</f>
        <v>0</v>
      </c>
      <c r="CQ199" s="25">
        <f>IF(CQ197=0,0,IF(CQ198&lt;INDEX('Lease Cycles'!$BN$19:$BT$19,1,CQ197),1,0))</f>
        <v>0</v>
      </c>
      <c r="CR199" s="25">
        <f>IF(CR197=0,0,IF(CR198&lt;INDEX('Lease Cycles'!$BN$19:$BT$19,1,CR197),1,0))</f>
        <v>0</v>
      </c>
      <c r="CS199" s="25">
        <f>IF(CS197=0,0,IF(CS198&lt;INDEX('Lease Cycles'!$BN$19:$BT$19,1,CS197),1,0))</f>
        <v>0</v>
      </c>
      <c r="CT199" s="25">
        <f>IF(CT197=0,0,IF(CT198&lt;INDEX('Lease Cycles'!$BN$19:$BT$19,1,CT197),1,0))</f>
        <v>0</v>
      </c>
      <c r="CU199" s="25">
        <f>IF(CU197=0,0,IF(CU198&lt;INDEX('Lease Cycles'!$BN$19:$BT$19,1,CU197),1,0))</f>
        <v>0</v>
      </c>
      <c r="CV199" s="25">
        <f>IF(CV197=0,0,IF(CV198&lt;INDEX('Lease Cycles'!$BN$19:$BT$19,1,CV197),1,0))</f>
        <v>0</v>
      </c>
      <c r="CW199" s="25">
        <f>IF(CW197=0,0,IF(CW198&lt;INDEX('Lease Cycles'!$BN$19:$BT$19,1,CW197),1,0))</f>
        <v>0</v>
      </c>
      <c r="CX199" s="25">
        <f>IF(CX197=0,0,IF(CX198&lt;INDEX('Lease Cycles'!$BN$19:$BT$19,1,CX197),1,0))</f>
        <v>0</v>
      </c>
      <c r="CY199" s="25">
        <f>IF(CY197=0,0,IF(CY198&lt;INDEX('Lease Cycles'!$BN$19:$BT$19,1,CY197),1,0))</f>
        <v>0</v>
      </c>
      <c r="CZ199" s="25">
        <f>IF(CZ197=0,0,IF(CZ198&lt;INDEX('Lease Cycles'!$BN$19:$BT$19,1,CZ197),1,0))</f>
        <v>0</v>
      </c>
      <c r="DA199" s="25">
        <f>IF(DA197=0,0,IF(DA198&lt;INDEX('Lease Cycles'!$BN$19:$BT$19,1,DA197),1,0))</f>
        <v>0</v>
      </c>
      <c r="DB199" s="25">
        <f>IF(DB197=0,0,IF(DB198&lt;INDEX('Lease Cycles'!$BN$19:$BT$19,1,DB197),1,0))</f>
        <v>0</v>
      </c>
      <c r="DC199" s="25">
        <f>IF(DC197=0,0,IF(DC198&lt;INDEX('Lease Cycles'!$BN$19:$BT$19,1,DC197),1,0))</f>
        <v>0</v>
      </c>
      <c r="DD199" s="25">
        <f>IF(DD197=0,0,IF(DD198&lt;INDEX('Lease Cycles'!$BN$19:$BT$19,1,DD197),1,0))</f>
        <v>0</v>
      </c>
      <c r="DE199" s="25">
        <f>IF(DE197=0,0,IF(DE198&lt;INDEX('Lease Cycles'!$BN$19:$BT$19,1,DE197),1,0))</f>
        <v>0</v>
      </c>
      <c r="DF199" s="25">
        <f>IF(DF197=0,0,IF(DF198&lt;INDEX('Lease Cycles'!$BN$19:$BT$19,1,DF197),1,0))</f>
        <v>0</v>
      </c>
      <c r="DG199" s="25">
        <f>IF(DG197=0,0,IF(DG198&lt;INDEX('Lease Cycles'!$BN$19:$BT$19,1,DG197),1,0))</f>
        <v>0</v>
      </c>
      <c r="DH199" s="25">
        <f>IF(DH197=0,0,IF(DH198&lt;INDEX('Lease Cycles'!$BN$19:$BT$19,1,DH197),1,0))</f>
        <v>0</v>
      </c>
      <c r="DI199" s="25">
        <f>IF(DI197=0,0,IF(DI198&lt;INDEX('Lease Cycles'!$BN$19:$BT$19,1,DI197),1,0))</f>
        <v>0</v>
      </c>
      <c r="DJ199" s="25">
        <f>IF(DJ197=0,0,IF(DJ198&lt;INDEX('Lease Cycles'!$BN$19:$BT$19,1,DJ197),1,0))</f>
        <v>0</v>
      </c>
      <c r="DK199" s="25">
        <f>IF(DK197=0,0,IF(DK198&lt;INDEX('Lease Cycles'!$BN$19:$BT$19,1,DK197),1,0))</f>
        <v>0</v>
      </c>
      <c r="DL199" s="25">
        <f>IF(DL197=0,0,IF(DL198&lt;INDEX('Lease Cycles'!$BN$19:$BT$19,1,DL197),1,0))</f>
        <v>0</v>
      </c>
      <c r="DM199" s="25">
        <f>IF(DM197=0,0,IF(DM198&lt;INDEX('Lease Cycles'!$BN$19:$BT$19,1,DM197),1,0))</f>
        <v>0</v>
      </c>
      <c r="DN199" s="25">
        <f>IF(DN197=0,0,IF(DN198&lt;INDEX('Lease Cycles'!$BN$19:$BT$19,1,DN197),1,0))</f>
        <v>0</v>
      </c>
      <c r="DO199" s="25">
        <f>IF(DO197=0,0,IF(DO198&lt;INDEX('Lease Cycles'!$BN$19:$BT$19,1,DO197),1,0))</f>
        <v>0</v>
      </c>
      <c r="DP199" s="25">
        <f>IF(DP197=0,0,IF(DP198&lt;INDEX('Lease Cycles'!$BN$19:$BT$19,1,DP197),1,0))</f>
        <v>0</v>
      </c>
      <c r="DQ199" s="25">
        <f>IF(DQ197=0,0,IF(DQ198&lt;INDEX('Lease Cycles'!$BN$19:$BT$19,1,DQ197),1,0))</f>
        <v>0</v>
      </c>
      <c r="DR199" s="25">
        <f>IF(DR197=0,0,IF(DR198&lt;INDEX('Lease Cycles'!$BN$19:$BT$19,1,DR197),1,0))</f>
        <v>0</v>
      </c>
      <c r="DS199" s="25">
        <f>IF(DS197=0,0,IF(DS198&lt;INDEX('Lease Cycles'!$BN$19:$BT$19,1,DS197),1,0))</f>
        <v>0</v>
      </c>
      <c r="DT199" s="25">
        <f>IF(DT197=0,0,IF(DT198&lt;INDEX('Lease Cycles'!$BN$19:$BT$19,1,DT197),1,0))</f>
        <v>0</v>
      </c>
      <c r="DU199" s="25">
        <f>IF(DU197=0,0,IF(DU198&lt;INDEX('Lease Cycles'!$BN$19:$BT$19,1,DU197),1,0))</f>
        <v>0</v>
      </c>
      <c r="DV199" s="25">
        <f>IF(DV197=0,0,IF(DV198&lt;INDEX('Lease Cycles'!$BN$19:$BT$19,1,DV197),1,0))</f>
        <v>0</v>
      </c>
      <c r="DW199" s="25">
        <f>IF(DW197=0,0,IF(DW198&lt;INDEX('Lease Cycles'!$BN$19:$BT$19,1,DW197),1,0))</f>
        <v>0</v>
      </c>
      <c r="DX199" s="25">
        <f>IF(DX197=0,0,IF(DX198&lt;INDEX('Lease Cycles'!$BN$19:$BT$19,1,DX197),1,0))</f>
        <v>0</v>
      </c>
      <c r="DY199" s="25">
        <f>IF(DY197=0,0,IF(DY198&lt;INDEX('Lease Cycles'!$BN$19:$BT$19,1,DY197),1,0))</f>
        <v>0</v>
      </c>
      <c r="DZ199" s="25">
        <f>IF(DZ197=0,0,IF(DZ198&lt;INDEX('Lease Cycles'!$BN$19:$BT$19,1,DZ197),1,0))</f>
        <v>0</v>
      </c>
      <c r="EA199" s="25">
        <f>IF(EA197=0,0,IF(EA198&lt;INDEX('Lease Cycles'!$BN$19:$BT$19,1,EA197),1,0))</f>
        <v>0</v>
      </c>
      <c r="EB199" s="25">
        <f>IF(EB197=0,0,IF(EB198&lt;INDEX('Lease Cycles'!$BN$19:$BT$19,1,EB197),1,0))</f>
        <v>0</v>
      </c>
      <c r="EC199" s="25">
        <f>IF(EC197=0,0,IF(EC198&lt;INDEX('Lease Cycles'!$BN$19:$BT$19,1,EC197),1,0))</f>
        <v>0</v>
      </c>
      <c r="ED199" s="25">
        <f>IF(ED197=0,0,IF(ED198&lt;INDEX('Lease Cycles'!$BN$19:$BT$19,1,ED197),1,0))</f>
        <v>0</v>
      </c>
      <c r="EE199" s="25">
        <f>IF(EE197=0,0,IF(EE198&lt;INDEX('Lease Cycles'!$BN$19:$BT$19,1,EE197),1,0))</f>
        <v>0</v>
      </c>
      <c r="EF199" s="25">
        <f>IF(EF197=0,0,IF(EF198&lt;INDEX('Lease Cycles'!$BN$19:$BT$19,1,EF197),1,0))</f>
        <v>0</v>
      </c>
      <c r="EG199" s="25">
        <f>IF(EG197=0,0,IF(EG198&lt;INDEX('Lease Cycles'!$BN$19:$BT$19,1,EG197),1,0))</f>
        <v>0</v>
      </c>
      <c r="EH199" s="25">
        <f>IF(EH197=0,0,IF(EH198&lt;INDEX('Lease Cycles'!$BN$19:$BT$19,1,EH197),1,0))</f>
        <v>0</v>
      </c>
      <c r="EI199" s="25">
        <f>IF(EI197=0,0,IF(EI198&lt;INDEX('Lease Cycles'!$BN$19:$BT$19,1,EI197),1,0))</f>
        <v>0</v>
      </c>
      <c r="EJ199" s="25">
        <f>IF(EJ197=0,0,IF(EJ198&lt;INDEX('Lease Cycles'!$BN$19:$BT$19,1,EJ197),1,0))</f>
        <v>0</v>
      </c>
      <c r="EK199" s="25">
        <f>IF(EK197=0,0,IF(EK198&lt;INDEX('Lease Cycles'!$BN$19:$BT$19,1,EK197),1,0))</f>
        <v>0</v>
      </c>
      <c r="EL199" s="25">
        <f>IF(EL197=0,0,IF(EL198&lt;INDEX('Lease Cycles'!$BN$19:$BT$19,1,EL197),1,0))</f>
        <v>0</v>
      </c>
      <c r="EM199" s="25">
        <f>IF(EM197=0,0,IF(EM198&lt;INDEX('Lease Cycles'!$BN$19:$BT$19,1,EM197),1,0))</f>
        <v>0</v>
      </c>
      <c r="EN199" s="25">
        <f>IF(EN197=0,0,IF(EN198&lt;INDEX('Lease Cycles'!$BN$19:$BT$19,1,EN197),1,0))</f>
        <v>0</v>
      </c>
      <c r="EO199" s="25">
        <f>IF(EO197=0,0,IF(EO198&lt;INDEX('Lease Cycles'!$BN$19:$BT$19,1,EO197),1,0))</f>
        <v>0</v>
      </c>
      <c r="EP199" s="25">
        <f>IF(EP197=0,0,IF(EP198&lt;INDEX('Lease Cycles'!$BN$19:$BT$19,1,EP197),1,0))</f>
        <v>0</v>
      </c>
      <c r="EQ199" s="25">
        <f>IF(EQ197=0,0,IF(EQ198&lt;INDEX('Lease Cycles'!$BN$19:$BT$19,1,EQ197),1,0))</f>
        <v>0</v>
      </c>
      <c r="ER199" s="25">
        <f>IF(ER197=0,0,IF(ER198&lt;INDEX('Lease Cycles'!$BN$19:$BT$19,1,ER197),1,0))</f>
        <v>0</v>
      </c>
      <c r="ES199" s="25">
        <f>IF(ES197=0,0,IF(ES198&lt;INDEX('Lease Cycles'!$BN$19:$BT$19,1,ES197),1,0))</f>
        <v>0</v>
      </c>
      <c r="ET199" s="25">
        <f>IF(ET197=0,0,IF(ET198&lt;INDEX('Lease Cycles'!$BN$19:$BT$19,1,ET197),1,0))</f>
        <v>0</v>
      </c>
    </row>
    <row r="200">
      <c r="A200" s="103">
        <v>12</v>
      </c>
      <c r="B200" s="23" t="str">
        <f>IF('Lease Cycles'!$B$19="","(empty slot)",'Lease Cycles'!$B$19)</f>
        <v>(empty slot)</v>
      </c>
      <c r="C200" s="23" t="s">
        <v>677</v>
      </c>
      <c r="D200" s="104" t="s">
        <v>678</v>
      </c>
      <c r="E200" s="25">
        <f>'Lease Cycles'!$AL$19</f>
        <v>0</v>
      </c>
      <c r="S200" s="28">
        <f>IF(S197=0,IF('Lease Cycles'!$F$19&gt;0,'Lease Cycles'!$C$19*'Lease Cycles'!$E$19/12,0),IF(S199=1,IF('Lease Cycles'!$AT$19&gt;=9999,'Lease Cycles'!$C$19*INDEX('Lease Cycles'!$CB$19:$CH$19,1,S197)*(1+INDEX('Lease Cycles'!$CI$19:$CO$19,1,S197))^INT(INT(S198/12)/INDEX('Lease Cycles'!$CP$19:$CV$19,1,S197))/12,IF(S197=1,IF(S198&gt;=INDEX('Lease Cycles'!$DK$19:$DQ$19,1,S197),IF(S$6&gt;='Lease Cycles'!$AZ$19,'Lease Cycles'!$C$19*'Lease Cycles'!$BA$19/12,IF(S$6&gt;='Lease Cycles'!$AX$19,'Lease Cycles'!$C$19*'Lease Cycles'!$AY$19/12,IF(S$6&gt;='Lease Cycles'!$AV$19,'Lease Cycles'!$C$19*'Lease Cycles'!$AW$19/12,IF(S$6&gt;='Lease Cycles'!$AT$19,'Lease Cycles'!$C$19*'Lease Cycles'!$AU$19/12,'Lease Cycles'!$C$19*INDEX('Lease Cycles'!$CB$19:$CH$19,1,S197)*(1+INDEX('Lease Cycles'!$CI$19:$CO$19,1,S197))^INT(INT(S198/12)/INDEX('Lease Cycles'!$CP$19:$CV$19,1,S197))/12)))),'Lease Cycles'!$C$19*INDEX('Lease Cycles'!$CB$19:$CH$19,1,S197)*(1+INDEX('Lease Cycles'!$CI$19:$CO$19,1,S197))^INT(INT(S198/12)/INDEX('Lease Cycles'!$CP$19:$CV$19,1,S197))/12),IF(INDEX('Lease Cycles'!$EF$19:$EL$19,1,S197)=1,IF(AND('Lease Cycles'!$AZ$19&gt;=INDEX('Lease Cycles'!$BG$19:$BM$19,1,S197),'Lease Cycles'!$AZ$19&lt;=S$6),'Lease Cycles'!$C$19*'Lease Cycles'!$BA$19/12,IF(AND('Lease Cycles'!$AX$19&gt;=INDEX('Lease Cycles'!$BG$19:$BM$19,1,S197),'Lease Cycles'!$AX$19&lt;=S$6),'Lease Cycles'!$C$19*'Lease Cycles'!$AY$19/12,IF(AND('Lease Cycles'!$AV$19&gt;=INDEX('Lease Cycles'!$BG$19:$BM$19,1,S197),'Lease Cycles'!$AV$19&lt;=S$6),'Lease Cycles'!$C$19*'Lease Cycles'!$AW$19/12,IF(AND('Lease Cycles'!$AT$19&gt;=INDEX('Lease Cycles'!$BG$19:$BM$19,1,S197),'Lease Cycles'!$AT$19&lt;=S$6),'Lease Cycles'!$C$19*'Lease Cycles'!$AU$19/12,'Lease Cycles'!$C$19*INDEX('Lease Cycles'!$CB$19:$CH$19,1,S197)*(1+INDEX('Lease Cycles'!$CI$19:$CO$19,1,S197))^INT(INT(S198/12)/INDEX('Lease Cycles'!$CP$19:$CV$19,1,S197))/12)))),'Lease Cycles'!$C$19*INDEX('Lease Cycles'!$CB$19:$CH$19,1,S197)*(1+INDEX('Lease Cycles'!$CI$19:$CO$19,1,S197))^INT(INT(S198/12)/INDEX('Lease Cycles'!$CP$19:$CV$19,1,S197))/12))),IF('Lease Cycles'!$N$19=1,'Lease Cycles'!$C$19*'Lease Cycles'!$E$19*INDEX('Lease Cycles'!$HE$19:$HK$19,1,S197)*(1+INDEX('Lease Cycles'!$GQ$19:$GW$19,1,S197))^INT(INT((S$6-INDEX('Lease Cycles'!$GJ$19:$GP$19,1,S197))/12)/INDEX('Lease Cycles'!$GX$19:$HD$19,1,S197))/12,0)))</f>
        <v>0</v>
      </c>
      <c r="T200" s="28">
        <f>IF(T197=0,IF('Lease Cycles'!$F$19&gt;0,'Lease Cycles'!$C$19*'Lease Cycles'!$E$19/12,0),IF(T199=1,IF('Lease Cycles'!$AT$19&gt;=9999,'Lease Cycles'!$C$19*INDEX('Lease Cycles'!$CB$19:$CH$19,1,T197)*(1+INDEX('Lease Cycles'!$CI$19:$CO$19,1,T197))^INT(INT(T198/12)/INDEX('Lease Cycles'!$CP$19:$CV$19,1,T197))/12,IF(T197=1,IF(T198&gt;=INDEX('Lease Cycles'!$DK$19:$DQ$19,1,T197),IF(T$6&gt;='Lease Cycles'!$AZ$19,'Lease Cycles'!$C$19*'Lease Cycles'!$BA$19/12,IF(T$6&gt;='Lease Cycles'!$AX$19,'Lease Cycles'!$C$19*'Lease Cycles'!$AY$19/12,IF(T$6&gt;='Lease Cycles'!$AV$19,'Lease Cycles'!$C$19*'Lease Cycles'!$AW$19/12,IF(T$6&gt;='Lease Cycles'!$AT$19,'Lease Cycles'!$C$19*'Lease Cycles'!$AU$19/12,'Lease Cycles'!$C$19*INDEX('Lease Cycles'!$CB$19:$CH$19,1,T197)*(1+INDEX('Lease Cycles'!$CI$19:$CO$19,1,T197))^INT(INT(T198/12)/INDEX('Lease Cycles'!$CP$19:$CV$19,1,T197))/12)))),'Lease Cycles'!$C$19*INDEX('Lease Cycles'!$CB$19:$CH$19,1,T197)*(1+INDEX('Lease Cycles'!$CI$19:$CO$19,1,T197))^INT(INT(T198/12)/INDEX('Lease Cycles'!$CP$19:$CV$19,1,T197))/12),IF(INDEX('Lease Cycles'!$EF$19:$EL$19,1,T197)=1,IF(AND('Lease Cycles'!$AZ$19&gt;=INDEX('Lease Cycles'!$BG$19:$BM$19,1,T197),'Lease Cycles'!$AZ$19&lt;=T$6),'Lease Cycles'!$C$19*'Lease Cycles'!$BA$19/12,IF(AND('Lease Cycles'!$AX$19&gt;=INDEX('Lease Cycles'!$BG$19:$BM$19,1,T197),'Lease Cycles'!$AX$19&lt;=T$6),'Lease Cycles'!$C$19*'Lease Cycles'!$AY$19/12,IF(AND('Lease Cycles'!$AV$19&gt;=INDEX('Lease Cycles'!$BG$19:$BM$19,1,T197),'Lease Cycles'!$AV$19&lt;=T$6),'Lease Cycles'!$C$19*'Lease Cycles'!$AW$19/12,IF(AND('Lease Cycles'!$AT$19&gt;=INDEX('Lease Cycles'!$BG$19:$BM$19,1,T197),'Lease Cycles'!$AT$19&lt;=T$6),'Lease Cycles'!$C$19*'Lease Cycles'!$AU$19/12,'Lease Cycles'!$C$19*INDEX('Lease Cycles'!$CB$19:$CH$19,1,T197)*(1+INDEX('Lease Cycles'!$CI$19:$CO$19,1,T197))^INT(INT(T198/12)/INDEX('Lease Cycles'!$CP$19:$CV$19,1,T197))/12)))),'Lease Cycles'!$C$19*INDEX('Lease Cycles'!$CB$19:$CH$19,1,T197)*(1+INDEX('Lease Cycles'!$CI$19:$CO$19,1,T197))^INT(INT(T198/12)/INDEX('Lease Cycles'!$CP$19:$CV$19,1,T197))/12))),IF('Lease Cycles'!$N$19=1,'Lease Cycles'!$C$19*'Lease Cycles'!$E$19*INDEX('Lease Cycles'!$HE$19:$HK$19,1,T197)*(1+INDEX('Lease Cycles'!$GQ$19:$GW$19,1,T197))^INT(INT((T$6-INDEX('Lease Cycles'!$GJ$19:$GP$19,1,T197))/12)/INDEX('Lease Cycles'!$GX$19:$HD$19,1,T197))/12,0)))</f>
        <v>0</v>
      </c>
      <c r="U200" s="28">
        <f>IF(U197=0,IF('Lease Cycles'!$F$19&gt;0,'Lease Cycles'!$C$19*'Lease Cycles'!$E$19/12,0),IF(U199=1,IF('Lease Cycles'!$AT$19&gt;=9999,'Lease Cycles'!$C$19*INDEX('Lease Cycles'!$CB$19:$CH$19,1,U197)*(1+INDEX('Lease Cycles'!$CI$19:$CO$19,1,U197))^INT(INT(U198/12)/INDEX('Lease Cycles'!$CP$19:$CV$19,1,U197))/12,IF(U197=1,IF(U198&gt;=INDEX('Lease Cycles'!$DK$19:$DQ$19,1,U197),IF(U$6&gt;='Lease Cycles'!$AZ$19,'Lease Cycles'!$C$19*'Lease Cycles'!$BA$19/12,IF(U$6&gt;='Lease Cycles'!$AX$19,'Lease Cycles'!$C$19*'Lease Cycles'!$AY$19/12,IF(U$6&gt;='Lease Cycles'!$AV$19,'Lease Cycles'!$C$19*'Lease Cycles'!$AW$19/12,IF(U$6&gt;='Lease Cycles'!$AT$19,'Lease Cycles'!$C$19*'Lease Cycles'!$AU$19/12,'Lease Cycles'!$C$19*INDEX('Lease Cycles'!$CB$19:$CH$19,1,U197)*(1+INDEX('Lease Cycles'!$CI$19:$CO$19,1,U197))^INT(INT(U198/12)/INDEX('Lease Cycles'!$CP$19:$CV$19,1,U197))/12)))),'Lease Cycles'!$C$19*INDEX('Lease Cycles'!$CB$19:$CH$19,1,U197)*(1+INDEX('Lease Cycles'!$CI$19:$CO$19,1,U197))^INT(INT(U198/12)/INDEX('Lease Cycles'!$CP$19:$CV$19,1,U197))/12),IF(INDEX('Lease Cycles'!$EF$19:$EL$19,1,U197)=1,IF(AND('Lease Cycles'!$AZ$19&gt;=INDEX('Lease Cycles'!$BG$19:$BM$19,1,U197),'Lease Cycles'!$AZ$19&lt;=U$6),'Lease Cycles'!$C$19*'Lease Cycles'!$BA$19/12,IF(AND('Lease Cycles'!$AX$19&gt;=INDEX('Lease Cycles'!$BG$19:$BM$19,1,U197),'Lease Cycles'!$AX$19&lt;=U$6),'Lease Cycles'!$C$19*'Lease Cycles'!$AY$19/12,IF(AND('Lease Cycles'!$AV$19&gt;=INDEX('Lease Cycles'!$BG$19:$BM$19,1,U197),'Lease Cycles'!$AV$19&lt;=U$6),'Lease Cycles'!$C$19*'Lease Cycles'!$AW$19/12,IF(AND('Lease Cycles'!$AT$19&gt;=INDEX('Lease Cycles'!$BG$19:$BM$19,1,U197),'Lease Cycles'!$AT$19&lt;=U$6),'Lease Cycles'!$C$19*'Lease Cycles'!$AU$19/12,'Lease Cycles'!$C$19*INDEX('Lease Cycles'!$CB$19:$CH$19,1,U197)*(1+INDEX('Lease Cycles'!$CI$19:$CO$19,1,U197))^INT(INT(U198/12)/INDEX('Lease Cycles'!$CP$19:$CV$19,1,U197))/12)))),'Lease Cycles'!$C$19*INDEX('Lease Cycles'!$CB$19:$CH$19,1,U197)*(1+INDEX('Lease Cycles'!$CI$19:$CO$19,1,U197))^INT(INT(U198/12)/INDEX('Lease Cycles'!$CP$19:$CV$19,1,U197))/12))),IF('Lease Cycles'!$N$19=1,'Lease Cycles'!$C$19*'Lease Cycles'!$E$19*INDEX('Lease Cycles'!$HE$19:$HK$19,1,U197)*(1+INDEX('Lease Cycles'!$GQ$19:$GW$19,1,U197))^INT(INT((U$6-INDEX('Lease Cycles'!$GJ$19:$GP$19,1,U197))/12)/INDEX('Lease Cycles'!$GX$19:$HD$19,1,U197))/12,0)))</f>
        <v>0</v>
      </c>
      <c r="V200" s="28">
        <f>IF(V197=0,IF('Lease Cycles'!$F$19&gt;0,'Lease Cycles'!$C$19*'Lease Cycles'!$E$19/12,0),IF(V199=1,IF('Lease Cycles'!$AT$19&gt;=9999,'Lease Cycles'!$C$19*INDEX('Lease Cycles'!$CB$19:$CH$19,1,V197)*(1+INDEX('Lease Cycles'!$CI$19:$CO$19,1,V197))^INT(INT(V198/12)/INDEX('Lease Cycles'!$CP$19:$CV$19,1,V197))/12,IF(V197=1,IF(V198&gt;=INDEX('Lease Cycles'!$DK$19:$DQ$19,1,V197),IF(V$6&gt;='Lease Cycles'!$AZ$19,'Lease Cycles'!$C$19*'Lease Cycles'!$BA$19/12,IF(V$6&gt;='Lease Cycles'!$AX$19,'Lease Cycles'!$C$19*'Lease Cycles'!$AY$19/12,IF(V$6&gt;='Lease Cycles'!$AV$19,'Lease Cycles'!$C$19*'Lease Cycles'!$AW$19/12,IF(V$6&gt;='Lease Cycles'!$AT$19,'Lease Cycles'!$C$19*'Lease Cycles'!$AU$19/12,'Lease Cycles'!$C$19*INDEX('Lease Cycles'!$CB$19:$CH$19,1,V197)*(1+INDEX('Lease Cycles'!$CI$19:$CO$19,1,V197))^INT(INT(V198/12)/INDEX('Lease Cycles'!$CP$19:$CV$19,1,V197))/12)))),'Lease Cycles'!$C$19*INDEX('Lease Cycles'!$CB$19:$CH$19,1,V197)*(1+INDEX('Lease Cycles'!$CI$19:$CO$19,1,V197))^INT(INT(V198/12)/INDEX('Lease Cycles'!$CP$19:$CV$19,1,V197))/12),IF(INDEX('Lease Cycles'!$EF$19:$EL$19,1,V197)=1,IF(AND('Lease Cycles'!$AZ$19&gt;=INDEX('Lease Cycles'!$BG$19:$BM$19,1,V197),'Lease Cycles'!$AZ$19&lt;=V$6),'Lease Cycles'!$C$19*'Lease Cycles'!$BA$19/12,IF(AND('Lease Cycles'!$AX$19&gt;=INDEX('Lease Cycles'!$BG$19:$BM$19,1,V197),'Lease Cycles'!$AX$19&lt;=V$6),'Lease Cycles'!$C$19*'Lease Cycles'!$AY$19/12,IF(AND('Lease Cycles'!$AV$19&gt;=INDEX('Lease Cycles'!$BG$19:$BM$19,1,V197),'Lease Cycles'!$AV$19&lt;=V$6),'Lease Cycles'!$C$19*'Lease Cycles'!$AW$19/12,IF(AND('Lease Cycles'!$AT$19&gt;=INDEX('Lease Cycles'!$BG$19:$BM$19,1,V197),'Lease Cycles'!$AT$19&lt;=V$6),'Lease Cycles'!$C$19*'Lease Cycles'!$AU$19/12,'Lease Cycles'!$C$19*INDEX('Lease Cycles'!$CB$19:$CH$19,1,V197)*(1+INDEX('Lease Cycles'!$CI$19:$CO$19,1,V197))^INT(INT(V198/12)/INDEX('Lease Cycles'!$CP$19:$CV$19,1,V197))/12)))),'Lease Cycles'!$C$19*INDEX('Lease Cycles'!$CB$19:$CH$19,1,V197)*(1+INDEX('Lease Cycles'!$CI$19:$CO$19,1,V197))^INT(INT(V198/12)/INDEX('Lease Cycles'!$CP$19:$CV$19,1,V197))/12))),IF('Lease Cycles'!$N$19=1,'Lease Cycles'!$C$19*'Lease Cycles'!$E$19*INDEX('Lease Cycles'!$HE$19:$HK$19,1,V197)*(1+INDEX('Lease Cycles'!$GQ$19:$GW$19,1,V197))^INT(INT((V$6-INDEX('Lease Cycles'!$GJ$19:$GP$19,1,V197))/12)/INDEX('Lease Cycles'!$GX$19:$HD$19,1,V197))/12,0)))</f>
        <v>0</v>
      </c>
      <c r="W200" s="28">
        <f>IF(W197=0,IF('Lease Cycles'!$F$19&gt;0,'Lease Cycles'!$C$19*'Lease Cycles'!$E$19/12,0),IF(W199=1,IF('Lease Cycles'!$AT$19&gt;=9999,'Lease Cycles'!$C$19*INDEX('Lease Cycles'!$CB$19:$CH$19,1,W197)*(1+INDEX('Lease Cycles'!$CI$19:$CO$19,1,W197))^INT(INT(W198/12)/INDEX('Lease Cycles'!$CP$19:$CV$19,1,W197))/12,IF(W197=1,IF(W198&gt;=INDEX('Lease Cycles'!$DK$19:$DQ$19,1,W197),IF(W$6&gt;='Lease Cycles'!$AZ$19,'Lease Cycles'!$C$19*'Lease Cycles'!$BA$19/12,IF(W$6&gt;='Lease Cycles'!$AX$19,'Lease Cycles'!$C$19*'Lease Cycles'!$AY$19/12,IF(W$6&gt;='Lease Cycles'!$AV$19,'Lease Cycles'!$C$19*'Lease Cycles'!$AW$19/12,IF(W$6&gt;='Lease Cycles'!$AT$19,'Lease Cycles'!$C$19*'Lease Cycles'!$AU$19/12,'Lease Cycles'!$C$19*INDEX('Lease Cycles'!$CB$19:$CH$19,1,W197)*(1+INDEX('Lease Cycles'!$CI$19:$CO$19,1,W197))^INT(INT(W198/12)/INDEX('Lease Cycles'!$CP$19:$CV$19,1,W197))/12)))),'Lease Cycles'!$C$19*INDEX('Lease Cycles'!$CB$19:$CH$19,1,W197)*(1+INDEX('Lease Cycles'!$CI$19:$CO$19,1,W197))^INT(INT(W198/12)/INDEX('Lease Cycles'!$CP$19:$CV$19,1,W197))/12),IF(INDEX('Lease Cycles'!$EF$19:$EL$19,1,W197)=1,IF(AND('Lease Cycles'!$AZ$19&gt;=INDEX('Lease Cycles'!$BG$19:$BM$19,1,W197),'Lease Cycles'!$AZ$19&lt;=W$6),'Lease Cycles'!$C$19*'Lease Cycles'!$BA$19/12,IF(AND('Lease Cycles'!$AX$19&gt;=INDEX('Lease Cycles'!$BG$19:$BM$19,1,W197),'Lease Cycles'!$AX$19&lt;=W$6),'Lease Cycles'!$C$19*'Lease Cycles'!$AY$19/12,IF(AND('Lease Cycles'!$AV$19&gt;=INDEX('Lease Cycles'!$BG$19:$BM$19,1,W197),'Lease Cycles'!$AV$19&lt;=W$6),'Lease Cycles'!$C$19*'Lease Cycles'!$AW$19/12,IF(AND('Lease Cycles'!$AT$19&gt;=INDEX('Lease Cycles'!$BG$19:$BM$19,1,W197),'Lease Cycles'!$AT$19&lt;=W$6),'Lease Cycles'!$C$19*'Lease Cycles'!$AU$19/12,'Lease Cycles'!$C$19*INDEX('Lease Cycles'!$CB$19:$CH$19,1,W197)*(1+INDEX('Lease Cycles'!$CI$19:$CO$19,1,W197))^INT(INT(W198/12)/INDEX('Lease Cycles'!$CP$19:$CV$19,1,W197))/12)))),'Lease Cycles'!$C$19*INDEX('Lease Cycles'!$CB$19:$CH$19,1,W197)*(1+INDEX('Lease Cycles'!$CI$19:$CO$19,1,W197))^INT(INT(W198/12)/INDEX('Lease Cycles'!$CP$19:$CV$19,1,W197))/12))),IF('Lease Cycles'!$N$19=1,'Lease Cycles'!$C$19*'Lease Cycles'!$E$19*INDEX('Lease Cycles'!$HE$19:$HK$19,1,W197)*(1+INDEX('Lease Cycles'!$GQ$19:$GW$19,1,W197))^INT(INT((W$6-INDEX('Lease Cycles'!$GJ$19:$GP$19,1,W197))/12)/INDEX('Lease Cycles'!$GX$19:$HD$19,1,W197))/12,0)))</f>
        <v>0</v>
      </c>
      <c r="X200" s="28">
        <f>IF(X197=0,IF('Lease Cycles'!$F$19&gt;0,'Lease Cycles'!$C$19*'Lease Cycles'!$E$19/12,0),IF(X199=1,IF('Lease Cycles'!$AT$19&gt;=9999,'Lease Cycles'!$C$19*INDEX('Lease Cycles'!$CB$19:$CH$19,1,X197)*(1+INDEX('Lease Cycles'!$CI$19:$CO$19,1,X197))^INT(INT(X198/12)/INDEX('Lease Cycles'!$CP$19:$CV$19,1,X197))/12,IF(X197=1,IF(X198&gt;=INDEX('Lease Cycles'!$DK$19:$DQ$19,1,X197),IF(X$6&gt;='Lease Cycles'!$AZ$19,'Lease Cycles'!$C$19*'Lease Cycles'!$BA$19/12,IF(X$6&gt;='Lease Cycles'!$AX$19,'Lease Cycles'!$C$19*'Lease Cycles'!$AY$19/12,IF(X$6&gt;='Lease Cycles'!$AV$19,'Lease Cycles'!$C$19*'Lease Cycles'!$AW$19/12,IF(X$6&gt;='Lease Cycles'!$AT$19,'Lease Cycles'!$C$19*'Lease Cycles'!$AU$19/12,'Lease Cycles'!$C$19*INDEX('Lease Cycles'!$CB$19:$CH$19,1,X197)*(1+INDEX('Lease Cycles'!$CI$19:$CO$19,1,X197))^INT(INT(X198/12)/INDEX('Lease Cycles'!$CP$19:$CV$19,1,X197))/12)))),'Lease Cycles'!$C$19*INDEX('Lease Cycles'!$CB$19:$CH$19,1,X197)*(1+INDEX('Lease Cycles'!$CI$19:$CO$19,1,X197))^INT(INT(X198/12)/INDEX('Lease Cycles'!$CP$19:$CV$19,1,X197))/12),IF(INDEX('Lease Cycles'!$EF$19:$EL$19,1,X197)=1,IF(AND('Lease Cycles'!$AZ$19&gt;=INDEX('Lease Cycles'!$BG$19:$BM$19,1,X197),'Lease Cycles'!$AZ$19&lt;=X$6),'Lease Cycles'!$C$19*'Lease Cycles'!$BA$19/12,IF(AND('Lease Cycles'!$AX$19&gt;=INDEX('Lease Cycles'!$BG$19:$BM$19,1,X197),'Lease Cycles'!$AX$19&lt;=X$6),'Lease Cycles'!$C$19*'Lease Cycles'!$AY$19/12,IF(AND('Lease Cycles'!$AV$19&gt;=INDEX('Lease Cycles'!$BG$19:$BM$19,1,X197),'Lease Cycles'!$AV$19&lt;=X$6),'Lease Cycles'!$C$19*'Lease Cycles'!$AW$19/12,IF(AND('Lease Cycles'!$AT$19&gt;=INDEX('Lease Cycles'!$BG$19:$BM$19,1,X197),'Lease Cycles'!$AT$19&lt;=X$6),'Lease Cycles'!$C$19*'Lease Cycles'!$AU$19/12,'Lease Cycles'!$C$19*INDEX('Lease Cycles'!$CB$19:$CH$19,1,X197)*(1+INDEX('Lease Cycles'!$CI$19:$CO$19,1,X197))^INT(INT(X198/12)/INDEX('Lease Cycles'!$CP$19:$CV$19,1,X197))/12)))),'Lease Cycles'!$C$19*INDEX('Lease Cycles'!$CB$19:$CH$19,1,X197)*(1+INDEX('Lease Cycles'!$CI$19:$CO$19,1,X197))^INT(INT(X198/12)/INDEX('Lease Cycles'!$CP$19:$CV$19,1,X197))/12))),IF('Lease Cycles'!$N$19=1,'Lease Cycles'!$C$19*'Lease Cycles'!$E$19*INDEX('Lease Cycles'!$HE$19:$HK$19,1,X197)*(1+INDEX('Lease Cycles'!$GQ$19:$GW$19,1,X197))^INT(INT((X$6-INDEX('Lease Cycles'!$GJ$19:$GP$19,1,X197))/12)/INDEX('Lease Cycles'!$GX$19:$HD$19,1,X197))/12,0)))</f>
        <v>0</v>
      </c>
      <c r="Y200" s="28">
        <f>IF(Y197=0,IF('Lease Cycles'!$F$19&gt;0,'Lease Cycles'!$C$19*'Lease Cycles'!$E$19/12,0),IF(Y199=1,IF('Lease Cycles'!$AT$19&gt;=9999,'Lease Cycles'!$C$19*INDEX('Lease Cycles'!$CB$19:$CH$19,1,Y197)*(1+INDEX('Lease Cycles'!$CI$19:$CO$19,1,Y197))^INT(INT(Y198/12)/INDEX('Lease Cycles'!$CP$19:$CV$19,1,Y197))/12,IF(Y197=1,IF(Y198&gt;=INDEX('Lease Cycles'!$DK$19:$DQ$19,1,Y197),IF(Y$6&gt;='Lease Cycles'!$AZ$19,'Lease Cycles'!$C$19*'Lease Cycles'!$BA$19/12,IF(Y$6&gt;='Lease Cycles'!$AX$19,'Lease Cycles'!$C$19*'Lease Cycles'!$AY$19/12,IF(Y$6&gt;='Lease Cycles'!$AV$19,'Lease Cycles'!$C$19*'Lease Cycles'!$AW$19/12,IF(Y$6&gt;='Lease Cycles'!$AT$19,'Lease Cycles'!$C$19*'Lease Cycles'!$AU$19/12,'Lease Cycles'!$C$19*INDEX('Lease Cycles'!$CB$19:$CH$19,1,Y197)*(1+INDEX('Lease Cycles'!$CI$19:$CO$19,1,Y197))^INT(INT(Y198/12)/INDEX('Lease Cycles'!$CP$19:$CV$19,1,Y197))/12)))),'Lease Cycles'!$C$19*INDEX('Lease Cycles'!$CB$19:$CH$19,1,Y197)*(1+INDEX('Lease Cycles'!$CI$19:$CO$19,1,Y197))^INT(INT(Y198/12)/INDEX('Lease Cycles'!$CP$19:$CV$19,1,Y197))/12),IF(INDEX('Lease Cycles'!$EF$19:$EL$19,1,Y197)=1,IF(AND('Lease Cycles'!$AZ$19&gt;=INDEX('Lease Cycles'!$BG$19:$BM$19,1,Y197),'Lease Cycles'!$AZ$19&lt;=Y$6),'Lease Cycles'!$C$19*'Lease Cycles'!$BA$19/12,IF(AND('Lease Cycles'!$AX$19&gt;=INDEX('Lease Cycles'!$BG$19:$BM$19,1,Y197),'Lease Cycles'!$AX$19&lt;=Y$6),'Lease Cycles'!$C$19*'Lease Cycles'!$AY$19/12,IF(AND('Lease Cycles'!$AV$19&gt;=INDEX('Lease Cycles'!$BG$19:$BM$19,1,Y197),'Lease Cycles'!$AV$19&lt;=Y$6),'Lease Cycles'!$C$19*'Lease Cycles'!$AW$19/12,IF(AND('Lease Cycles'!$AT$19&gt;=INDEX('Lease Cycles'!$BG$19:$BM$19,1,Y197),'Lease Cycles'!$AT$19&lt;=Y$6),'Lease Cycles'!$C$19*'Lease Cycles'!$AU$19/12,'Lease Cycles'!$C$19*INDEX('Lease Cycles'!$CB$19:$CH$19,1,Y197)*(1+INDEX('Lease Cycles'!$CI$19:$CO$19,1,Y197))^INT(INT(Y198/12)/INDEX('Lease Cycles'!$CP$19:$CV$19,1,Y197))/12)))),'Lease Cycles'!$C$19*INDEX('Lease Cycles'!$CB$19:$CH$19,1,Y197)*(1+INDEX('Lease Cycles'!$CI$19:$CO$19,1,Y197))^INT(INT(Y198/12)/INDEX('Lease Cycles'!$CP$19:$CV$19,1,Y197))/12))),IF('Lease Cycles'!$N$19=1,'Lease Cycles'!$C$19*'Lease Cycles'!$E$19*INDEX('Lease Cycles'!$HE$19:$HK$19,1,Y197)*(1+INDEX('Lease Cycles'!$GQ$19:$GW$19,1,Y197))^INT(INT((Y$6-INDEX('Lease Cycles'!$GJ$19:$GP$19,1,Y197))/12)/INDEX('Lease Cycles'!$GX$19:$HD$19,1,Y197))/12,0)))</f>
        <v>0</v>
      </c>
      <c r="Z200" s="28">
        <f>IF(Z197=0,IF('Lease Cycles'!$F$19&gt;0,'Lease Cycles'!$C$19*'Lease Cycles'!$E$19/12,0),IF(Z199=1,IF('Lease Cycles'!$AT$19&gt;=9999,'Lease Cycles'!$C$19*INDEX('Lease Cycles'!$CB$19:$CH$19,1,Z197)*(1+INDEX('Lease Cycles'!$CI$19:$CO$19,1,Z197))^INT(INT(Z198/12)/INDEX('Lease Cycles'!$CP$19:$CV$19,1,Z197))/12,IF(Z197=1,IF(Z198&gt;=INDEX('Lease Cycles'!$DK$19:$DQ$19,1,Z197),IF(Z$6&gt;='Lease Cycles'!$AZ$19,'Lease Cycles'!$C$19*'Lease Cycles'!$BA$19/12,IF(Z$6&gt;='Lease Cycles'!$AX$19,'Lease Cycles'!$C$19*'Lease Cycles'!$AY$19/12,IF(Z$6&gt;='Lease Cycles'!$AV$19,'Lease Cycles'!$C$19*'Lease Cycles'!$AW$19/12,IF(Z$6&gt;='Lease Cycles'!$AT$19,'Lease Cycles'!$C$19*'Lease Cycles'!$AU$19/12,'Lease Cycles'!$C$19*INDEX('Lease Cycles'!$CB$19:$CH$19,1,Z197)*(1+INDEX('Lease Cycles'!$CI$19:$CO$19,1,Z197))^INT(INT(Z198/12)/INDEX('Lease Cycles'!$CP$19:$CV$19,1,Z197))/12)))),'Lease Cycles'!$C$19*INDEX('Lease Cycles'!$CB$19:$CH$19,1,Z197)*(1+INDEX('Lease Cycles'!$CI$19:$CO$19,1,Z197))^INT(INT(Z198/12)/INDEX('Lease Cycles'!$CP$19:$CV$19,1,Z197))/12),IF(INDEX('Lease Cycles'!$EF$19:$EL$19,1,Z197)=1,IF(AND('Lease Cycles'!$AZ$19&gt;=INDEX('Lease Cycles'!$BG$19:$BM$19,1,Z197),'Lease Cycles'!$AZ$19&lt;=Z$6),'Lease Cycles'!$C$19*'Lease Cycles'!$BA$19/12,IF(AND('Lease Cycles'!$AX$19&gt;=INDEX('Lease Cycles'!$BG$19:$BM$19,1,Z197),'Lease Cycles'!$AX$19&lt;=Z$6),'Lease Cycles'!$C$19*'Lease Cycles'!$AY$19/12,IF(AND('Lease Cycles'!$AV$19&gt;=INDEX('Lease Cycles'!$BG$19:$BM$19,1,Z197),'Lease Cycles'!$AV$19&lt;=Z$6),'Lease Cycles'!$C$19*'Lease Cycles'!$AW$19/12,IF(AND('Lease Cycles'!$AT$19&gt;=INDEX('Lease Cycles'!$BG$19:$BM$19,1,Z197),'Lease Cycles'!$AT$19&lt;=Z$6),'Lease Cycles'!$C$19*'Lease Cycles'!$AU$19/12,'Lease Cycles'!$C$19*INDEX('Lease Cycles'!$CB$19:$CH$19,1,Z197)*(1+INDEX('Lease Cycles'!$CI$19:$CO$19,1,Z197))^INT(INT(Z198/12)/INDEX('Lease Cycles'!$CP$19:$CV$19,1,Z197))/12)))),'Lease Cycles'!$C$19*INDEX('Lease Cycles'!$CB$19:$CH$19,1,Z197)*(1+INDEX('Lease Cycles'!$CI$19:$CO$19,1,Z197))^INT(INT(Z198/12)/INDEX('Lease Cycles'!$CP$19:$CV$19,1,Z197))/12))),IF('Lease Cycles'!$N$19=1,'Lease Cycles'!$C$19*'Lease Cycles'!$E$19*INDEX('Lease Cycles'!$HE$19:$HK$19,1,Z197)*(1+INDEX('Lease Cycles'!$GQ$19:$GW$19,1,Z197))^INT(INT((Z$6-INDEX('Lease Cycles'!$GJ$19:$GP$19,1,Z197))/12)/INDEX('Lease Cycles'!$GX$19:$HD$19,1,Z197))/12,0)))</f>
        <v>0</v>
      </c>
      <c r="AA200" s="28">
        <f>IF(AA197=0,IF('Lease Cycles'!$F$19&gt;0,'Lease Cycles'!$C$19*'Lease Cycles'!$E$19/12,0),IF(AA199=1,IF('Lease Cycles'!$AT$19&gt;=9999,'Lease Cycles'!$C$19*INDEX('Lease Cycles'!$CB$19:$CH$19,1,AA197)*(1+INDEX('Lease Cycles'!$CI$19:$CO$19,1,AA197))^INT(INT(AA198/12)/INDEX('Lease Cycles'!$CP$19:$CV$19,1,AA197))/12,IF(AA197=1,IF(AA198&gt;=INDEX('Lease Cycles'!$DK$19:$DQ$19,1,AA197),IF(AA$6&gt;='Lease Cycles'!$AZ$19,'Lease Cycles'!$C$19*'Lease Cycles'!$BA$19/12,IF(AA$6&gt;='Lease Cycles'!$AX$19,'Lease Cycles'!$C$19*'Lease Cycles'!$AY$19/12,IF(AA$6&gt;='Lease Cycles'!$AV$19,'Lease Cycles'!$C$19*'Lease Cycles'!$AW$19/12,IF(AA$6&gt;='Lease Cycles'!$AT$19,'Lease Cycles'!$C$19*'Lease Cycles'!$AU$19/12,'Lease Cycles'!$C$19*INDEX('Lease Cycles'!$CB$19:$CH$19,1,AA197)*(1+INDEX('Lease Cycles'!$CI$19:$CO$19,1,AA197))^INT(INT(AA198/12)/INDEX('Lease Cycles'!$CP$19:$CV$19,1,AA197))/12)))),'Lease Cycles'!$C$19*INDEX('Lease Cycles'!$CB$19:$CH$19,1,AA197)*(1+INDEX('Lease Cycles'!$CI$19:$CO$19,1,AA197))^INT(INT(AA198/12)/INDEX('Lease Cycles'!$CP$19:$CV$19,1,AA197))/12),IF(INDEX('Lease Cycles'!$EF$19:$EL$19,1,AA197)=1,IF(AND('Lease Cycles'!$AZ$19&gt;=INDEX('Lease Cycles'!$BG$19:$BM$19,1,AA197),'Lease Cycles'!$AZ$19&lt;=AA$6),'Lease Cycles'!$C$19*'Lease Cycles'!$BA$19/12,IF(AND('Lease Cycles'!$AX$19&gt;=INDEX('Lease Cycles'!$BG$19:$BM$19,1,AA197),'Lease Cycles'!$AX$19&lt;=AA$6),'Lease Cycles'!$C$19*'Lease Cycles'!$AY$19/12,IF(AND('Lease Cycles'!$AV$19&gt;=INDEX('Lease Cycles'!$BG$19:$BM$19,1,AA197),'Lease Cycles'!$AV$19&lt;=AA$6),'Lease Cycles'!$C$19*'Lease Cycles'!$AW$19/12,IF(AND('Lease Cycles'!$AT$19&gt;=INDEX('Lease Cycles'!$BG$19:$BM$19,1,AA197),'Lease Cycles'!$AT$19&lt;=AA$6),'Lease Cycles'!$C$19*'Lease Cycles'!$AU$19/12,'Lease Cycles'!$C$19*INDEX('Lease Cycles'!$CB$19:$CH$19,1,AA197)*(1+INDEX('Lease Cycles'!$CI$19:$CO$19,1,AA197))^INT(INT(AA198/12)/INDEX('Lease Cycles'!$CP$19:$CV$19,1,AA197))/12)))),'Lease Cycles'!$C$19*INDEX('Lease Cycles'!$CB$19:$CH$19,1,AA197)*(1+INDEX('Lease Cycles'!$CI$19:$CO$19,1,AA197))^INT(INT(AA198/12)/INDEX('Lease Cycles'!$CP$19:$CV$19,1,AA197))/12))),IF('Lease Cycles'!$N$19=1,'Lease Cycles'!$C$19*'Lease Cycles'!$E$19*INDEX('Lease Cycles'!$HE$19:$HK$19,1,AA197)*(1+INDEX('Lease Cycles'!$GQ$19:$GW$19,1,AA197))^INT(INT((AA$6-INDEX('Lease Cycles'!$GJ$19:$GP$19,1,AA197))/12)/INDEX('Lease Cycles'!$GX$19:$HD$19,1,AA197))/12,0)))</f>
        <v>0</v>
      </c>
      <c r="AB200" s="28">
        <f>IF(AB197=0,IF('Lease Cycles'!$F$19&gt;0,'Lease Cycles'!$C$19*'Lease Cycles'!$E$19/12,0),IF(AB199=1,IF('Lease Cycles'!$AT$19&gt;=9999,'Lease Cycles'!$C$19*INDEX('Lease Cycles'!$CB$19:$CH$19,1,AB197)*(1+INDEX('Lease Cycles'!$CI$19:$CO$19,1,AB197))^INT(INT(AB198/12)/INDEX('Lease Cycles'!$CP$19:$CV$19,1,AB197))/12,IF(AB197=1,IF(AB198&gt;=INDEX('Lease Cycles'!$DK$19:$DQ$19,1,AB197),IF(AB$6&gt;='Lease Cycles'!$AZ$19,'Lease Cycles'!$C$19*'Lease Cycles'!$BA$19/12,IF(AB$6&gt;='Lease Cycles'!$AX$19,'Lease Cycles'!$C$19*'Lease Cycles'!$AY$19/12,IF(AB$6&gt;='Lease Cycles'!$AV$19,'Lease Cycles'!$C$19*'Lease Cycles'!$AW$19/12,IF(AB$6&gt;='Lease Cycles'!$AT$19,'Lease Cycles'!$C$19*'Lease Cycles'!$AU$19/12,'Lease Cycles'!$C$19*INDEX('Lease Cycles'!$CB$19:$CH$19,1,AB197)*(1+INDEX('Lease Cycles'!$CI$19:$CO$19,1,AB197))^INT(INT(AB198/12)/INDEX('Lease Cycles'!$CP$19:$CV$19,1,AB197))/12)))),'Lease Cycles'!$C$19*INDEX('Lease Cycles'!$CB$19:$CH$19,1,AB197)*(1+INDEX('Lease Cycles'!$CI$19:$CO$19,1,AB197))^INT(INT(AB198/12)/INDEX('Lease Cycles'!$CP$19:$CV$19,1,AB197))/12),IF(INDEX('Lease Cycles'!$EF$19:$EL$19,1,AB197)=1,IF(AND('Lease Cycles'!$AZ$19&gt;=INDEX('Lease Cycles'!$BG$19:$BM$19,1,AB197),'Lease Cycles'!$AZ$19&lt;=AB$6),'Lease Cycles'!$C$19*'Lease Cycles'!$BA$19/12,IF(AND('Lease Cycles'!$AX$19&gt;=INDEX('Lease Cycles'!$BG$19:$BM$19,1,AB197),'Lease Cycles'!$AX$19&lt;=AB$6),'Lease Cycles'!$C$19*'Lease Cycles'!$AY$19/12,IF(AND('Lease Cycles'!$AV$19&gt;=INDEX('Lease Cycles'!$BG$19:$BM$19,1,AB197),'Lease Cycles'!$AV$19&lt;=AB$6),'Lease Cycles'!$C$19*'Lease Cycles'!$AW$19/12,IF(AND('Lease Cycles'!$AT$19&gt;=INDEX('Lease Cycles'!$BG$19:$BM$19,1,AB197),'Lease Cycles'!$AT$19&lt;=AB$6),'Lease Cycles'!$C$19*'Lease Cycles'!$AU$19/12,'Lease Cycles'!$C$19*INDEX('Lease Cycles'!$CB$19:$CH$19,1,AB197)*(1+INDEX('Lease Cycles'!$CI$19:$CO$19,1,AB197))^INT(INT(AB198/12)/INDEX('Lease Cycles'!$CP$19:$CV$19,1,AB197))/12)))),'Lease Cycles'!$C$19*INDEX('Lease Cycles'!$CB$19:$CH$19,1,AB197)*(1+INDEX('Lease Cycles'!$CI$19:$CO$19,1,AB197))^INT(INT(AB198/12)/INDEX('Lease Cycles'!$CP$19:$CV$19,1,AB197))/12))),IF('Lease Cycles'!$N$19=1,'Lease Cycles'!$C$19*'Lease Cycles'!$E$19*INDEX('Lease Cycles'!$HE$19:$HK$19,1,AB197)*(1+INDEX('Lease Cycles'!$GQ$19:$GW$19,1,AB197))^INT(INT((AB$6-INDEX('Lease Cycles'!$GJ$19:$GP$19,1,AB197))/12)/INDEX('Lease Cycles'!$GX$19:$HD$19,1,AB197))/12,0)))</f>
        <v>0</v>
      </c>
      <c r="AC200" s="28">
        <f>IF(AC197=0,IF('Lease Cycles'!$F$19&gt;0,'Lease Cycles'!$C$19*'Lease Cycles'!$E$19/12,0),IF(AC199=1,IF('Lease Cycles'!$AT$19&gt;=9999,'Lease Cycles'!$C$19*INDEX('Lease Cycles'!$CB$19:$CH$19,1,AC197)*(1+INDEX('Lease Cycles'!$CI$19:$CO$19,1,AC197))^INT(INT(AC198/12)/INDEX('Lease Cycles'!$CP$19:$CV$19,1,AC197))/12,IF(AC197=1,IF(AC198&gt;=INDEX('Lease Cycles'!$DK$19:$DQ$19,1,AC197),IF(AC$6&gt;='Lease Cycles'!$AZ$19,'Lease Cycles'!$C$19*'Lease Cycles'!$BA$19/12,IF(AC$6&gt;='Lease Cycles'!$AX$19,'Lease Cycles'!$C$19*'Lease Cycles'!$AY$19/12,IF(AC$6&gt;='Lease Cycles'!$AV$19,'Lease Cycles'!$C$19*'Lease Cycles'!$AW$19/12,IF(AC$6&gt;='Lease Cycles'!$AT$19,'Lease Cycles'!$C$19*'Lease Cycles'!$AU$19/12,'Lease Cycles'!$C$19*INDEX('Lease Cycles'!$CB$19:$CH$19,1,AC197)*(1+INDEX('Lease Cycles'!$CI$19:$CO$19,1,AC197))^INT(INT(AC198/12)/INDEX('Lease Cycles'!$CP$19:$CV$19,1,AC197))/12)))),'Lease Cycles'!$C$19*INDEX('Lease Cycles'!$CB$19:$CH$19,1,AC197)*(1+INDEX('Lease Cycles'!$CI$19:$CO$19,1,AC197))^INT(INT(AC198/12)/INDEX('Lease Cycles'!$CP$19:$CV$19,1,AC197))/12),IF(INDEX('Lease Cycles'!$EF$19:$EL$19,1,AC197)=1,IF(AND('Lease Cycles'!$AZ$19&gt;=INDEX('Lease Cycles'!$BG$19:$BM$19,1,AC197),'Lease Cycles'!$AZ$19&lt;=AC$6),'Lease Cycles'!$C$19*'Lease Cycles'!$BA$19/12,IF(AND('Lease Cycles'!$AX$19&gt;=INDEX('Lease Cycles'!$BG$19:$BM$19,1,AC197),'Lease Cycles'!$AX$19&lt;=AC$6),'Lease Cycles'!$C$19*'Lease Cycles'!$AY$19/12,IF(AND('Lease Cycles'!$AV$19&gt;=INDEX('Lease Cycles'!$BG$19:$BM$19,1,AC197),'Lease Cycles'!$AV$19&lt;=AC$6),'Lease Cycles'!$C$19*'Lease Cycles'!$AW$19/12,IF(AND('Lease Cycles'!$AT$19&gt;=INDEX('Lease Cycles'!$BG$19:$BM$19,1,AC197),'Lease Cycles'!$AT$19&lt;=AC$6),'Lease Cycles'!$C$19*'Lease Cycles'!$AU$19/12,'Lease Cycles'!$C$19*INDEX('Lease Cycles'!$CB$19:$CH$19,1,AC197)*(1+INDEX('Lease Cycles'!$CI$19:$CO$19,1,AC197))^INT(INT(AC198/12)/INDEX('Lease Cycles'!$CP$19:$CV$19,1,AC197))/12)))),'Lease Cycles'!$C$19*INDEX('Lease Cycles'!$CB$19:$CH$19,1,AC197)*(1+INDEX('Lease Cycles'!$CI$19:$CO$19,1,AC197))^INT(INT(AC198/12)/INDEX('Lease Cycles'!$CP$19:$CV$19,1,AC197))/12))),IF('Lease Cycles'!$N$19=1,'Lease Cycles'!$C$19*'Lease Cycles'!$E$19*INDEX('Lease Cycles'!$HE$19:$HK$19,1,AC197)*(1+INDEX('Lease Cycles'!$GQ$19:$GW$19,1,AC197))^INT(INT((AC$6-INDEX('Lease Cycles'!$GJ$19:$GP$19,1,AC197))/12)/INDEX('Lease Cycles'!$GX$19:$HD$19,1,AC197))/12,0)))</f>
        <v>0</v>
      </c>
      <c r="AD200" s="28">
        <f>IF(AD197=0,IF('Lease Cycles'!$F$19&gt;0,'Lease Cycles'!$C$19*'Lease Cycles'!$E$19/12,0),IF(AD199=1,IF('Lease Cycles'!$AT$19&gt;=9999,'Lease Cycles'!$C$19*INDEX('Lease Cycles'!$CB$19:$CH$19,1,AD197)*(1+INDEX('Lease Cycles'!$CI$19:$CO$19,1,AD197))^INT(INT(AD198/12)/INDEX('Lease Cycles'!$CP$19:$CV$19,1,AD197))/12,IF(AD197=1,IF(AD198&gt;=INDEX('Lease Cycles'!$DK$19:$DQ$19,1,AD197),IF(AD$6&gt;='Lease Cycles'!$AZ$19,'Lease Cycles'!$C$19*'Lease Cycles'!$BA$19/12,IF(AD$6&gt;='Lease Cycles'!$AX$19,'Lease Cycles'!$C$19*'Lease Cycles'!$AY$19/12,IF(AD$6&gt;='Lease Cycles'!$AV$19,'Lease Cycles'!$C$19*'Lease Cycles'!$AW$19/12,IF(AD$6&gt;='Lease Cycles'!$AT$19,'Lease Cycles'!$C$19*'Lease Cycles'!$AU$19/12,'Lease Cycles'!$C$19*INDEX('Lease Cycles'!$CB$19:$CH$19,1,AD197)*(1+INDEX('Lease Cycles'!$CI$19:$CO$19,1,AD197))^INT(INT(AD198/12)/INDEX('Lease Cycles'!$CP$19:$CV$19,1,AD197))/12)))),'Lease Cycles'!$C$19*INDEX('Lease Cycles'!$CB$19:$CH$19,1,AD197)*(1+INDEX('Lease Cycles'!$CI$19:$CO$19,1,AD197))^INT(INT(AD198/12)/INDEX('Lease Cycles'!$CP$19:$CV$19,1,AD197))/12),IF(INDEX('Lease Cycles'!$EF$19:$EL$19,1,AD197)=1,IF(AND('Lease Cycles'!$AZ$19&gt;=INDEX('Lease Cycles'!$BG$19:$BM$19,1,AD197),'Lease Cycles'!$AZ$19&lt;=AD$6),'Lease Cycles'!$C$19*'Lease Cycles'!$BA$19/12,IF(AND('Lease Cycles'!$AX$19&gt;=INDEX('Lease Cycles'!$BG$19:$BM$19,1,AD197),'Lease Cycles'!$AX$19&lt;=AD$6),'Lease Cycles'!$C$19*'Lease Cycles'!$AY$19/12,IF(AND('Lease Cycles'!$AV$19&gt;=INDEX('Lease Cycles'!$BG$19:$BM$19,1,AD197),'Lease Cycles'!$AV$19&lt;=AD$6),'Lease Cycles'!$C$19*'Lease Cycles'!$AW$19/12,IF(AND('Lease Cycles'!$AT$19&gt;=INDEX('Lease Cycles'!$BG$19:$BM$19,1,AD197),'Lease Cycles'!$AT$19&lt;=AD$6),'Lease Cycles'!$C$19*'Lease Cycles'!$AU$19/12,'Lease Cycles'!$C$19*INDEX('Lease Cycles'!$CB$19:$CH$19,1,AD197)*(1+INDEX('Lease Cycles'!$CI$19:$CO$19,1,AD197))^INT(INT(AD198/12)/INDEX('Lease Cycles'!$CP$19:$CV$19,1,AD197))/12)))),'Lease Cycles'!$C$19*INDEX('Lease Cycles'!$CB$19:$CH$19,1,AD197)*(1+INDEX('Lease Cycles'!$CI$19:$CO$19,1,AD197))^INT(INT(AD198/12)/INDEX('Lease Cycles'!$CP$19:$CV$19,1,AD197))/12))),IF('Lease Cycles'!$N$19=1,'Lease Cycles'!$C$19*'Lease Cycles'!$E$19*INDEX('Lease Cycles'!$HE$19:$HK$19,1,AD197)*(1+INDEX('Lease Cycles'!$GQ$19:$GW$19,1,AD197))^INT(INT((AD$6-INDEX('Lease Cycles'!$GJ$19:$GP$19,1,AD197))/12)/INDEX('Lease Cycles'!$GX$19:$HD$19,1,AD197))/12,0)))</f>
        <v>0</v>
      </c>
      <c r="AE200" s="28">
        <f>IF(AE197=0,IF('Lease Cycles'!$F$19&gt;0,'Lease Cycles'!$C$19*'Lease Cycles'!$E$19/12,0),IF(AE199=1,IF('Lease Cycles'!$AT$19&gt;=9999,'Lease Cycles'!$C$19*INDEX('Lease Cycles'!$CB$19:$CH$19,1,AE197)*(1+INDEX('Lease Cycles'!$CI$19:$CO$19,1,AE197))^INT(INT(AE198/12)/INDEX('Lease Cycles'!$CP$19:$CV$19,1,AE197))/12,IF(AE197=1,IF(AE198&gt;=INDEX('Lease Cycles'!$DK$19:$DQ$19,1,AE197),IF(AE$6&gt;='Lease Cycles'!$AZ$19,'Lease Cycles'!$C$19*'Lease Cycles'!$BA$19/12,IF(AE$6&gt;='Lease Cycles'!$AX$19,'Lease Cycles'!$C$19*'Lease Cycles'!$AY$19/12,IF(AE$6&gt;='Lease Cycles'!$AV$19,'Lease Cycles'!$C$19*'Lease Cycles'!$AW$19/12,IF(AE$6&gt;='Lease Cycles'!$AT$19,'Lease Cycles'!$C$19*'Lease Cycles'!$AU$19/12,'Lease Cycles'!$C$19*INDEX('Lease Cycles'!$CB$19:$CH$19,1,AE197)*(1+INDEX('Lease Cycles'!$CI$19:$CO$19,1,AE197))^INT(INT(AE198/12)/INDEX('Lease Cycles'!$CP$19:$CV$19,1,AE197))/12)))),'Lease Cycles'!$C$19*INDEX('Lease Cycles'!$CB$19:$CH$19,1,AE197)*(1+INDEX('Lease Cycles'!$CI$19:$CO$19,1,AE197))^INT(INT(AE198/12)/INDEX('Lease Cycles'!$CP$19:$CV$19,1,AE197))/12),IF(INDEX('Lease Cycles'!$EF$19:$EL$19,1,AE197)=1,IF(AND('Lease Cycles'!$AZ$19&gt;=INDEX('Lease Cycles'!$BG$19:$BM$19,1,AE197),'Lease Cycles'!$AZ$19&lt;=AE$6),'Lease Cycles'!$C$19*'Lease Cycles'!$BA$19/12,IF(AND('Lease Cycles'!$AX$19&gt;=INDEX('Lease Cycles'!$BG$19:$BM$19,1,AE197),'Lease Cycles'!$AX$19&lt;=AE$6),'Lease Cycles'!$C$19*'Lease Cycles'!$AY$19/12,IF(AND('Lease Cycles'!$AV$19&gt;=INDEX('Lease Cycles'!$BG$19:$BM$19,1,AE197),'Lease Cycles'!$AV$19&lt;=AE$6),'Lease Cycles'!$C$19*'Lease Cycles'!$AW$19/12,IF(AND('Lease Cycles'!$AT$19&gt;=INDEX('Lease Cycles'!$BG$19:$BM$19,1,AE197),'Lease Cycles'!$AT$19&lt;=AE$6),'Lease Cycles'!$C$19*'Lease Cycles'!$AU$19/12,'Lease Cycles'!$C$19*INDEX('Lease Cycles'!$CB$19:$CH$19,1,AE197)*(1+INDEX('Lease Cycles'!$CI$19:$CO$19,1,AE197))^INT(INT(AE198/12)/INDEX('Lease Cycles'!$CP$19:$CV$19,1,AE197))/12)))),'Lease Cycles'!$C$19*INDEX('Lease Cycles'!$CB$19:$CH$19,1,AE197)*(1+INDEX('Lease Cycles'!$CI$19:$CO$19,1,AE197))^INT(INT(AE198/12)/INDEX('Lease Cycles'!$CP$19:$CV$19,1,AE197))/12))),IF('Lease Cycles'!$N$19=1,'Lease Cycles'!$C$19*'Lease Cycles'!$E$19*INDEX('Lease Cycles'!$HE$19:$HK$19,1,AE197)*(1+INDEX('Lease Cycles'!$GQ$19:$GW$19,1,AE197))^INT(INT((AE$6-INDEX('Lease Cycles'!$GJ$19:$GP$19,1,AE197))/12)/INDEX('Lease Cycles'!$GX$19:$HD$19,1,AE197))/12,0)))</f>
        <v>0</v>
      </c>
      <c r="AF200" s="28">
        <f>IF(AF197=0,IF('Lease Cycles'!$F$19&gt;0,'Lease Cycles'!$C$19*'Lease Cycles'!$E$19/12,0),IF(AF199=1,IF('Lease Cycles'!$AT$19&gt;=9999,'Lease Cycles'!$C$19*INDEX('Lease Cycles'!$CB$19:$CH$19,1,AF197)*(1+INDEX('Lease Cycles'!$CI$19:$CO$19,1,AF197))^INT(INT(AF198/12)/INDEX('Lease Cycles'!$CP$19:$CV$19,1,AF197))/12,IF(AF197=1,IF(AF198&gt;=INDEX('Lease Cycles'!$DK$19:$DQ$19,1,AF197),IF(AF$6&gt;='Lease Cycles'!$AZ$19,'Lease Cycles'!$C$19*'Lease Cycles'!$BA$19/12,IF(AF$6&gt;='Lease Cycles'!$AX$19,'Lease Cycles'!$C$19*'Lease Cycles'!$AY$19/12,IF(AF$6&gt;='Lease Cycles'!$AV$19,'Lease Cycles'!$C$19*'Lease Cycles'!$AW$19/12,IF(AF$6&gt;='Lease Cycles'!$AT$19,'Lease Cycles'!$C$19*'Lease Cycles'!$AU$19/12,'Lease Cycles'!$C$19*INDEX('Lease Cycles'!$CB$19:$CH$19,1,AF197)*(1+INDEX('Lease Cycles'!$CI$19:$CO$19,1,AF197))^INT(INT(AF198/12)/INDEX('Lease Cycles'!$CP$19:$CV$19,1,AF197))/12)))),'Lease Cycles'!$C$19*INDEX('Lease Cycles'!$CB$19:$CH$19,1,AF197)*(1+INDEX('Lease Cycles'!$CI$19:$CO$19,1,AF197))^INT(INT(AF198/12)/INDEX('Lease Cycles'!$CP$19:$CV$19,1,AF197))/12),IF(INDEX('Lease Cycles'!$EF$19:$EL$19,1,AF197)=1,IF(AND('Lease Cycles'!$AZ$19&gt;=INDEX('Lease Cycles'!$BG$19:$BM$19,1,AF197),'Lease Cycles'!$AZ$19&lt;=AF$6),'Lease Cycles'!$C$19*'Lease Cycles'!$BA$19/12,IF(AND('Lease Cycles'!$AX$19&gt;=INDEX('Lease Cycles'!$BG$19:$BM$19,1,AF197),'Lease Cycles'!$AX$19&lt;=AF$6),'Lease Cycles'!$C$19*'Lease Cycles'!$AY$19/12,IF(AND('Lease Cycles'!$AV$19&gt;=INDEX('Lease Cycles'!$BG$19:$BM$19,1,AF197),'Lease Cycles'!$AV$19&lt;=AF$6),'Lease Cycles'!$C$19*'Lease Cycles'!$AW$19/12,IF(AND('Lease Cycles'!$AT$19&gt;=INDEX('Lease Cycles'!$BG$19:$BM$19,1,AF197),'Lease Cycles'!$AT$19&lt;=AF$6),'Lease Cycles'!$C$19*'Lease Cycles'!$AU$19/12,'Lease Cycles'!$C$19*INDEX('Lease Cycles'!$CB$19:$CH$19,1,AF197)*(1+INDEX('Lease Cycles'!$CI$19:$CO$19,1,AF197))^INT(INT(AF198/12)/INDEX('Lease Cycles'!$CP$19:$CV$19,1,AF197))/12)))),'Lease Cycles'!$C$19*INDEX('Lease Cycles'!$CB$19:$CH$19,1,AF197)*(1+INDEX('Lease Cycles'!$CI$19:$CO$19,1,AF197))^INT(INT(AF198/12)/INDEX('Lease Cycles'!$CP$19:$CV$19,1,AF197))/12))),IF('Lease Cycles'!$N$19=1,'Lease Cycles'!$C$19*'Lease Cycles'!$E$19*INDEX('Lease Cycles'!$HE$19:$HK$19,1,AF197)*(1+INDEX('Lease Cycles'!$GQ$19:$GW$19,1,AF197))^INT(INT((AF$6-INDEX('Lease Cycles'!$GJ$19:$GP$19,1,AF197))/12)/INDEX('Lease Cycles'!$GX$19:$HD$19,1,AF197))/12,0)))</f>
        <v>0</v>
      </c>
      <c r="AG200" s="28">
        <f>IF(AG197=0,IF('Lease Cycles'!$F$19&gt;0,'Lease Cycles'!$C$19*'Lease Cycles'!$E$19/12,0),IF(AG199=1,IF('Lease Cycles'!$AT$19&gt;=9999,'Lease Cycles'!$C$19*INDEX('Lease Cycles'!$CB$19:$CH$19,1,AG197)*(1+INDEX('Lease Cycles'!$CI$19:$CO$19,1,AG197))^INT(INT(AG198/12)/INDEX('Lease Cycles'!$CP$19:$CV$19,1,AG197))/12,IF(AG197=1,IF(AG198&gt;=INDEX('Lease Cycles'!$DK$19:$DQ$19,1,AG197),IF(AG$6&gt;='Lease Cycles'!$AZ$19,'Lease Cycles'!$C$19*'Lease Cycles'!$BA$19/12,IF(AG$6&gt;='Lease Cycles'!$AX$19,'Lease Cycles'!$C$19*'Lease Cycles'!$AY$19/12,IF(AG$6&gt;='Lease Cycles'!$AV$19,'Lease Cycles'!$C$19*'Lease Cycles'!$AW$19/12,IF(AG$6&gt;='Lease Cycles'!$AT$19,'Lease Cycles'!$C$19*'Lease Cycles'!$AU$19/12,'Lease Cycles'!$C$19*INDEX('Lease Cycles'!$CB$19:$CH$19,1,AG197)*(1+INDEX('Lease Cycles'!$CI$19:$CO$19,1,AG197))^INT(INT(AG198/12)/INDEX('Lease Cycles'!$CP$19:$CV$19,1,AG197))/12)))),'Lease Cycles'!$C$19*INDEX('Lease Cycles'!$CB$19:$CH$19,1,AG197)*(1+INDEX('Lease Cycles'!$CI$19:$CO$19,1,AG197))^INT(INT(AG198/12)/INDEX('Lease Cycles'!$CP$19:$CV$19,1,AG197))/12),IF(INDEX('Lease Cycles'!$EF$19:$EL$19,1,AG197)=1,IF(AND('Lease Cycles'!$AZ$19&gt;=INDEX('Lease Cycles'!$BG$19:$BM$19,1,AG197),'Lease Cycles'!$AZ$19&lt;=AG$6),'Lease Cycles'!$C$19*'Lease Cycles'!$BA$19/12,IF(AND('Lease Cycles'!$AX$19&gt;=INDEX('Lease Cycles'!$BG$19:$BM$19,1,AG197),'Lease Cycles'!$AX$19&lt;=AG$6),'Lease Cycles'!$C$19*'Lease Cycles'!$AY$19/12,IF(AND('Lease Cycles'!$AV$19&gt;=INDEX('Lease Cycles'!$BG$19:$BM$19,1,AG197),'Lease Cycles'!$AV$19&lt;=AG$6),'Lease Cycles'!$C$19*'Lease Cycles'!$AW$19/12,IF(AND('Lease Cycles'!$AT$19&gt;=INDEX('Lease Cycles'!$BG$19:$BM$19,1,AG197),'Lease Cycles'!$AT$19&lt;=AG$6),'Lease Cycles'!$C$19*'Lease Cycles'!$AU$19/12,'Lease Cycles'!$C$19*INDEX('Lease Cycles'!$CB$19:$CH$19,1,AG197)*(1+INDEX('Lease Cycles'!$CI$19:$CO$19,1,AG197))^INT(INT(AG198/12)/INDEX('Lease Cycles'!$CP$19:$CV$19,1,AG197))/12)))),'Lease Cycles'!$C$19*INDEX('Lease Cycles'!$CB$19:$CH$19,1,AG197)*(1+INDEX('Lease Cycles'!$CI$19:$CO$19,1,AG197))^INT(INT(AG198/12)/INDEX('Lease Cycles'!$CP$19:$CV$19,1,AG197))/12))),IF('Lease Cycles'!$N$19=1,'Lease Cycles'!$C$19*'Lease Cycles'!$E$19*INDEX('Lease Cycles'!$HE$19:$HK$19,1,AG197)*(1+INDEX('Lease Cycles'!$GQ$19:$GW$19,1,AG197))^INT(INT((AG$6-INDEX('Lease Cycles'!$GJ$19:$GP$19,1,AG197))/12)/INDEX('Lease Cycles'!$GX$19:$HD$19,1,AG197))/12,0)))</f>
        <v>0</v>
      </c>
      <c r="AH200" s="28">
        <f>IF(AH197=0,IF('Lease Cycles'!$F$19&gt;0,'Lease Cycles'!$C$19*'Lease Cycles'!$E$19/12,0),IF(AH199=1,IF('Lease Cycles'!$AT$19&gt;=9999,'Lease Cycles'!$C$19*INDEX('Lease Cycles'!$CB$19:$CH$19,1,AH197)*(1+INDEX('Lease Cycles'!$CI$19:$CO$19,1,AH197))^INT(INT(AH198/12)/INDEX('Lease Cycles'!$CP$19:$CV$19,1,AH197))/12,IF(AH197=1,IF(AH198&gt;=INDEX('Lease Cycles'!$DK$19:$DQ$19,1,AH197),IF(AH$6&gt;='Lease Cycles'!$AZ$19,'Lease Cycles'!$C$19*'Lease Cycles'!$BA$19/12,IF(AH$6&gt;='Lease Cycles'!$AX$19,'Lease Cycles'!$C$19*'Lease Cycles'!$AY$19/12,IF(AH$6&gt;='Lease Cycles'!$AV$19,'Lease Cycles'!$C$19*'Lease Cycles'!$AW$19/12,IF(AH$6&gt;='Lease Cycles'!$AT$19,'Lease Cycles'!$C$19*'Lease Cycles'!$AU$19/12,'Lease Cycles'!$C$19*INDEX('Lease Cycles'!$CB$19:$CH$19,1,AH197)*(1+INDEX('Lease Cycles'!$CI$19:$CO$19,1,AH197))^INT(INT(AH198/12)/INDEX('Lease Cycles'!$CP$19:$CV$19,1,AH197))/12)))),'Lease Cycles'!$C$19*INDEX('Lease Cycles'!$CB$19:$CH$19,1,AH197)*(1+INDEX('Lease Cycles'!$CI$19:$CO$19,1,AH197))^INT(INT(AH198/12)/INDEX('Lease Cycles'!$CP$19:$CV$19,1,AH197))/12),IF(INDEX('Lease Cycles'!$EF$19:$EL$19,1,AH197)=1,IF(AND('Lease Cycles'!$AZ$19&gt;=INDEX('Lease Cycles'!$BG$19:$BM$19,1,AH197),'Lease Cycles'!$AZ$19&lt;=AH$6),'Lease Cycles'!$C$19*'Lease Cycles'!$BA$19/12,IF(AND('Lease Cycles'!$AX$19&gt;=INDEX('Lease Cycles'!$BG$19:$BM$19,1,AH197),'Lease Cycles'!$AX$19&lt;=AH$6),'Lease Cycles'!$C$19*'Lease Cycles'!$AY$19/12,IF(AND('Lease Cycles'!$AV$19&gt;=INDEX('Lease Cycles'!$BG$19:$BM$19,1,AH197),'Lease Cycles'!$AV$19&lt;=AH$6),'Lease Cycles'!$C$19*'Lease Cycles'!$AW$19/12,IF(AND('Lease Cycles'!$AT$19&gt;=INDEX('Lease Cycles'!$BG$19:$BM$19,1,AH197),'Lease Cycles'!$AT$19&lt;=AH$6),'Lease Cycles'!$C$19*'Lease Cycles'!$AU$19/12,'Lease Cycles'!$C$19*INDEX('Lease Cycles'!$CB$19:$CH$19,1,AH197)*(1+INDEX('Lease Cycles'!$CI$19:$CO$19,1,AH197))^INT(INT(AH198/12)/INDEX('Lease Cycles'!$CP$19:$CV$19,1,AH197))/12)))),'Lease Cycles'!$C$19*INDEX('Lease Cycles'!$CB$19:$CH$19,1,AH197)*(1+INDEX('Lease Cycles'!$CI$19:$CO$19,1,AH197))^INT(INT(AH198/12)/INDEX('Lease Cycles'!$CP$19:$CV$19,1,AH197))/12))),IF('Lease Cycles'!$N$19=1,'Lease Cycles'!$C$19*'Lease Cycles'!$E$19*INDEX('Lease Cycles'!$HE$19:$HK$19,1,AH197)*(1+INDEX('Lease Cycles'!$GQ$19:$GW$19,1,AH197))^INT(INT((AH$6-INDEX('Lease Cycles'!$GJ$19:$GP$19,1,AH197))/12)/INDEX('Lease Cycles'!$GX$19:$HD$19,1,AH197))/12,0)))</f>
        <v>0</v>
      </c>
      <c r="AI200" s="28">
        <f>IF(AI197=0,IF('Lease Cycles'!$F$19&gt;0,'Lease Cycles'!$C$19*'Lease Cycles'!$E$19/12,0),IF(AI199=1,IF('Lease Cycles'!$AT$19&gt;=9999,'Lease Cycles'!$C$19*INDEX('Lease Cycles'!$CB$19:$CH$19,1,AI197)*(1+INDEX('Lease Cycles'!$CI$19:$CO$19,1,AI197))^INT(INT(AI198/12)/INDEX('Lease Cycles'!$CP$19:$CV$19,1,AI197))/12,IF(AI197=1,IF(AI198&gt;=INDEX('Lease Cycles'!$DK$19:$DQ$19,1,AI197),IF(AI$6&gt;='Lease Cycles'!$AZ$19,'Lease Cycles'!$C$19*'Lease Cycles'!$BA$19/12,IF(AI$6&gt;='Lease Cycles'!$AX$19,'Lease Cycles'!$C$19*'Lease Cycles'!$AY$19/12,IF(AI$6&gt;='Lease Cycles'!$AV$19,'Lease Cycles'!$C$19*'Lease Cycles'!$AW$19/12,IF(AI$6&gt;='Lease Cycles'!$AT$19,'Lease Cycles'!$C$19*'Lease Cycles'!$AU$19/12,'Lease Cycles'!$C$19*INDEX('Lease Cycles'!$CB$19:$CH$19,1,AI197)*(1+INDEX('Lease Cycles'!$CI$19:$CO$19,1,AI197))^INT(INT(AI198/12)/INDEX('Lease Cycles'!$CP$19:$CV$19,1,AI197))/12)))),'Lease Cycles'!$C$19*INDEX('Lease Cycles'!$CB$19:$CH$19,1,AI197)*(1+INDEX('Lease Cycles'!$CI$19:$CO$19,1,AI197))^INT(INT(AI198/12)/INDEX('Lease Cycles'!$CP$19:$CV$19,1,AI197))/12),IF(INDEX('Lease Cycles'!$EF$19:$EL$19,1,AI197)=1,IF(AND('Lease Cycles'!$AZ$19&gt;=INDEX('Lease Cycles'!$BG$19:$BM$19,1,AI197),'Lease Cycles'!$AZ$19&lt;=AI$6),'Lease Cycles'!$C$19*'Lease Cycles'!$BA$19/12,IF(AND('Lease Cycles'!$AX$19&gt;=INDEX('Lease Cycles'!$BG$19:$BM$19,1,AI197),'Lease Cycles'!$AX$19&lt;=AI$6),'Lease Cycles'!$C$19*'Lease Cycles'!$AY$19/12,IF(AND('Lease Cycles'!$AV$19&gt;=INDEX('Lease Cycles'!$BG$19:$BM$19,1,AI197),'Lease Cycles'!$AV$19&lt;=AI$6),'Lease Cycles'!$C$19*'Lease Cycles'!$AW$19/12,IF(AND('Lease Cycles'!$AT$19&gt;=INDEX('Lease Cycles'!$BG$19:$BM$19,1,AI197),'Lease Cycles'!$AT$19&lt;=AI$6),'Lease Cycles'!$C$19*'Lease Cycles'!$AU$19/12,'Lease Cycles'!$C$19*INDEX('Lease Cycles'!$CB$19:$CH$19,1,AI197)*(1+INDEX('Lease Cycles'!$CI$19:$CO$19,1,AI197))^INT(INT(AI198/12)/INDEX('Lease Cycles'!$CP$19:$CV$19,1,AI197))/12)))),'Lease Cycles'!$C$19*INDEX('Lease Cycles'!$CB$19:$CH$19,1,AI197)*(1+INDEX('Lease Cycles'!$CI$19:$CO$19,1,AI197))^INT(INT(AI198/12)/INDEX('Lease Cycles'!$CP$19:$CV$19,1,AI197))/12))),IF('Lease Cycles'!$N$19=1,'Lease Cycles'!$C$19*'Lease Cycles'!$E$19*INDEX('Lease Cycles'!$HE$19:$HK$19,1,AI197)*(1+INDEX('Lease Cycles'!$GQ$19:$GW$19,1,AI197))^INT(INT((AI$6-INDEX('Lease Cycles'!$GJ$19:$GP$19,1,AI197))/12)/INDEX('Lease Cycles'!$GX$19:$HD$19,1,AI197))/12,0)))</f>
        <v>0</v>
      </c>
      <c r="AJ200" s="28">
        <f>IF(AJ197=0,IF('Lease Cycles'!$F$19&gt;0,'Lease Cycles'!$C$19*'Lease Cycles'!$E$19/12,0),IF(AJ199=1,IF('Lease Cycles'!$AT$19&gt;=9999,'Lease Cycles'!$C$19*INDEX('Lease Cycles'!$CB$19:$CH$19,1,AJ197)*(1+INDEX('Lease Cycles'!$CI$19:$CO$19,1,AJ197))^INT(INT(AJ198/12)/INDEX('Lease Cycles'!$CP$19:$CV$19,1,AJ197))/12,IF(AJ197=1,IF(AJ198&gt;=INDEX('Lease Cycles'!$DK$19:$DQ$19,1,AJ197),IF(AJ$6&gt;='Lease Cycles'!$AZ$19,'Lease Cycles'!$C$19*'Lease Cycles'!$BA$19/12,IF(AJ$6&gt;='Lease Cycles'!$AX$19,'Lease Cycles'!$C$19*'Lease Cycles'!$AY$19/12,IF(AJ$6&gt;='Lease Cycles'!$AV$19,'Lease Cycles'!$C$19*'Lease Cycles'!$AW$19/12,IF(AJ$6&gt;='Lease Cycles'!$AT$19,'Lease Cycles'!$C$19*'Lease Cycles'!$AU$19/12,'Lease Cycles'!$C$19*INDEX('Lease Cycles'!$CB$19:$CH$19,1,AJ197)*(1+INDEX('Lease Cycles'!$CI$19:$CO$19,1,AJ197))^INT(INT(AJ198/12)/INDEX('Lease Cycles'!$CP$19:$CV$19,1,AJ197))/12)))),'Lease Cycles'!$C$19*INDEX('Lease Cycles'!$CB$19:$CH$19,1,AJ197)*(1+INDEX('Lease Cycles'!$CI$19:$CO$19,1,AJ197))^INT(INT(AJ198/12)/INDEX('Lease Cycles'!$CP$19:$CV$19,1,AJ197))/12),IF(INDEX('Lease Cycles'!$EF$19:$EL$19,1,AJ197)=1,IF(AND('Lease Cycles'!$AZ$19&gt;=INDEX('Lease Cycles'!$BG$19:$BM$19,1,AJ197),'Lease Cycles'!$AZ$19&lt;=AJ$6),'Lease Cycles'!$C$19*'Lease Cycles'!$BA$19/12,IF(AND('Lease Cycles'!$AX$19&gt;=INDEX('Lease Cycles'!$BG$19:$BM$19,1,AJ197),'Lease Cycles'!$AX$19&lt;=AJ$6),'Lease Cycles'!$C$19*'Lease Cycles'!$AY$19/12,IF(AND('Lease Cycles'!$AV$19&gt;=INDEX('Lease Cycles'!$BG$19:$BM$19,1,AJ197),'Lease Cycles'!$AV$19&lt;=AJ$6),'Lease Cycles'!$C$19*'Lease Cycles'!$AW$19/12,IF(AND('Lease Cycles'!$AT$19&gt;=INDEX('Lease Cycles'!$BG$19:$BM$19,1,AJ197),'Lease Cycles'!$AT$19&lt;=AJ$6),'Lease Cycles'!$C$19*'Lease Cycles'!$AU$19/12,'Lease Cycles'!$C$19*INDEX('Lease Cycles'!$CB$19:$CH$19,1,AJ197)*(1+INDEX('Lease Cycles'!$CI$19:$CO$19,1,AJ197))^INT(INT(AJ198/12)/INDEX('Lease Cycles'!$CP$19:$CV$19,1,AJ197))/12)))),'Lease Cycles'!$C$19*INDEX('Lease Cycles'!$CB$19:$CH$19,1,AJ197)*(1+INDEX('Lease Cycles'!$CI$19:$CO$19,1,AJ197))^INT(INT(AJ198/12)/INDEX('Lease Cycles'!$CP$19:$CV$19,1,AJ197))/12))),IF('Lease Cycles'!$N$19=1,'Lease Cycles'!$C$19*'Lease Cycles'!$E$19*INDEX('Lease Cycles'!$HE$19:$HK$19,1,AJ197)*(1+INDEX('Lease Cycles'!$GQ$19:$GW$19,1,AJ197))^INT(INT((AJ$6-INDEX('Lease Cycles'!$GJ$19:$GP$19,1,AJ197))/12)/INDEX('Lease Cycles'!$GX$19:$HD$19,1,AJ197))/12,0)))</f>
        <v>0</v>
      </c>
      <c r="AK200" s="28">
        <f>IF(AK197=0,IF('Lease Cycles'!$F$19&gt;0,'Lease Cycles'!$C$19*'Lease Cycles'!$E$19/12,0),IF(AK199=1,IF('Lease Cycles'!$AT$19&gt;=9999,'Lease Cycles'!$C$19*INDEX('Lease Cycles'!$CB$19:$CH$19,1,AK197)*(1+INDEX('Lease Cycles'!$CI$19:$CO$19,1,AK197))^INT(INT(AK198/12)/INDEX('Lease Cycles'!$CP$19:$CV$19,1,AK197))/12,IF(AK197=1,IF(AK198&gt;=INDEX('Lease Cycles'!$DK$19:$DQ$19,1,AK197),IF(AK$6&gt;='Lease Cycles'!$AZ$19,'Lease Cycles'!$C$19*'Lease Cycles'!$BA$19/12,IF(AK$6&gt;='Lease Cycles'!$AX$19,'Lease Cycles'!$C$19*'Lease Cycles'!$AY$19/12,IF(AK$6&gt;='Lease Cycles'!$AV$19,'Lease Cycles'!$C$19*'Lease Cycles'!$AW$19/12,IF(AK$6&gt;='Lease Cycles'!$AT$19,'Lease Cycles'!$C$19*'Lease Cycles'!$AU$19/12,'Lease Cycles'!$C$19*INDEX('Lease Cycles'!$CB$19:$CH$19,1,AK197)*(1+INDEX('Lease Cycles'!$CI$19:$CO$19,1,AK197))^INT(INT(AK198/12)/INDEX('Lease Cycles'!$CP$19:$CV$19,1,AK197))/12)))),'Lease Cycles'!$C$19*INDEX('Lease Cycles'!$CB$19:$CH$19,1,AK197)*(1+INDEX('Lease Cycles'!$CI$19:$CO$19,1,AK197))^INT(INT(AK198/12)/INDEX('Lease Cycles'!$CP$19:$CV$19,1,AK197))/12),IF(INDEX('Lease Cycles'!$EF$19:$EL$19,1,AK197)=1,IF(AND('Lease Cycles'!$AZ$19&gt;=INDEX('Lease Cycles'!$BG$19:$BM$19,1,AK197),'Lease Cycles'!$AZ$19&lt;=AK$6),'Lease Cycles'!$C$19*'Lease Cycles'!$BA$19/12,IF(AND('Lease Cycles'!$AX$19&gt;=INDEX('Lease Cycles'!$BG$19:$BM$19,1,AK197),'Lease Cycles'!$AX$19&lt;=AK$6),'Lease Cycles'!$C$19*'Lease Cycles'!$AY$19/12,IF(AND('Lease Cycles'!$AV$19&gt;=INDEX('Lease Cycles'!$BG$19:$BM$19,1,AK197),'Lease Cycles'!$AV$19&lt;=AK$6),'Lease Cycles'!$C$19*'Lease Cycles'!$AW$19/12,IF(AND('Lease Cycles'!$AT$19&gt;=INDEX('Lease Cycles'!$BG$19:$BM$19,1,AK197),'Lease Cycles'!$AT$19&lt;=AK$6),'Lease Cycles'!$C$19*'Lease Cycles'!$AU$19/12,'Lease Cycles'!$C$19*INDEX('Lease Cycles'!$CB$19:$CH$19,1,AK197)*(1+INDEX('Lease Cycles'!$CI$19:$CO$19,1,AK197))^INT(INT(AK198/12)/INDEX('Lease Cycles'!$CP$19:$CV$19,1,AK197))/12)))),'Lease Cycles'!$C$19*INDEX('Lease Cycles'!$CB$19:$CH$19,1,AK197)*(1+INDEX('Lease Cycles'!$CI$19:$CO$19,1,AK197))^INT(INT(AK198/12)/INDEX('Lease Cycles'!$CP$19:$CV$19,1,AK197))/12))),IF('Lease Cycles'!$N$19=1,'Lease Cycles'!$C$19*'Lease Cycles'!$E$19*INDEX('Lease Cycles'!$HE$19:$HK$19,1,AK197)*(1+INDEX('Lease Cycles'!$GQ$19:$GW$19,1,AK197))^INT(INT((AK$6-INDEX('Lease Cycles'!$GJ$19:$GP$19,1,AK197))/12)/INDEX('Lease Cycles'!$GX$19:$HD$19,1,AK197))/12,0)))</f>
        <v>0</v>
      </c>
      <c r="AL200" s="28">
        <f>IF(AL197=0,IF('Lease Cycles'!$F$19&gt;0,'Lease Cycles'!$C$19*'Lease Cycles'!$E$19/12,0),IF(AL199=1,IF('Lease Cycles'!$AT$19&gt;=9999,'Lease Cycles'!$C$19*INDEX('Lease Cycles'!$CB$19:$CH$19,1,AL197)*(1+INDEX('Lease Cycles'!$CI$19:$CO$19,1,AL197))^INT(INT(AL198/12)/INDEX('Lease Cycles'!$CP$19:$CV$19,1,AL197))/12,IF(AL197=1,IF(AL198&gt;=INDEX('Lease Cycles'!$DK$19:$DQ$19,1,AL197),IF(AL$6&gt;='Lease Cycles'!$AZ$19,'Lease Cycles'!$C$19*'Lease Cycles'!$BA$19/12,IF(AL$6&gt;='Lease Cycles'!$AX$19,'Lease Cycles'!$C$19*'Lease Cycles'!$AY$19/12,IF(AL$6&gt;='Lease Cycles'!$AV$19,'Lease Cycles'!$C$19*'Lease Cycles'!$AW$19/12,IF(AL$6&gt;='Lease Cycles'!$AT$19,'Lease Cycles'!$C$19*'Lease Cycles'!$AU$19/12,'Lease Cycles'!$C$19*INDEX('Lease Cycles'!$CB$19:$CH$19,1,AL197)*(1+INDEX('Lease Cycles'!$CI$19:$CO$19,1,AL197))^INT(INT(AL198/12)/INDEX('Lease Cycles'!$CP$19:$CV$19,1,AL197))/12)))),'Lease Cycles'!$C$19*INDEX('Lease Cycles'!$CB$19:$CH$19,1,AL197)*(1+INDEX('Lease Cycles'!$CI$19:$CO$19,1,AL197))^INT(INT(AL198/12)/INDEX('Lease Cycles'!$CP$19:$CV$19,1,AL197))/12),IF(INDEX('Lease Cycles'!$EF$19:$EL$19,1,AL197)=1,IF(AND('Lease Cycles'!$AZ$19&gt;=INDEX('Lease Cycles'!$BG$19:$BM$19,1,AL197),'Lease Cycles'!$AZ$19&lt;=AL$6),'Lease Cycles'!$C$19*'Lease Cycles'!$BA$19/12,IF(AND('Lease Cycles'!$AX$19&gt;=INDEX('Lease Cycles'!$BG$19:$BM$19,1,AL197),'Lease Cycles'!$AX$19&lt;=AL$6),'Lease Cycles'!$C$19*'Lease Cycles'!$AY$19/12,IF(AND('Lease Cycles'!$AV$19&gt;=INDEX('Lease Cycles'!$BG$19:$BM$19,1,AL197),'Lease Cycles'!$AV$19&lt;=AL$6),'Lease Cycles'!$C$19*'Lease Cycles'!$AW$19/12,IF(AND('Lease Cycles'!$AT$19&gt;=INDEX('Lease Cycles'!$BG$19:$BM$19,1,AL197),'Lease Cycles'!$AT$19&lt;=AL$6),'Lease Cycles'!$C$19*'Lease Cycles'!$AU$19/12,'Lease Cycles'!$C$19*INDEX('Lease Cycles'!$CB$19:$CH$19,1,AL197)*(1+INDEX('Lease Cycles'!$CI$19:$CO$19,1,AL197))^INT(INT(AL198/12)/INDEX('Lease Cycles'!$CP$19:$CV$19,1,AL197))/12)))),'Lease Cycles'!$C$19*INDEX('Lease Cycles'!$CB$19:$CH$19,1,AL197)*(1+INDEX('Lease Cycles'!$CI$19:$CO$19,1,AL197))^INT(INT(AL198/12)/INDEX('Lease Cycles'!$CP$19:$CV$19,1,AL197))/12))),IF('Lease Cycles'!$N$19=1,'Lease Cycles'!$C$19*'Lease Cycles'!$E$19*INDEX('Lease Cycles'!$HE$19:$HK$19,1,AL197)*(1+INDEX('Lease Cycles'!$GQ$19:$GW$19,1,AL197))^INT(INT((AL$6-INDEX('Lease Cycles'!$GJ$19:$GP$19,1,AL197))/12)/INDEX('Lease Cycles'!$GX$19:$HD$19,1,AL197))/12,0)))</f>
        <v>0</v>
      </c>
      <c r="AM200" s="28">
        <f>IF(AM197=0,IF('Lease Cycles'!$F$19&gt;0,'Lease Cycles'!$C$19*'Lease Cycles'!$E$19/12,0),IF(AM199=1,IF('Lease Cycles'!$AT$19&gt;=9999,'Lease Cycles'!$C$19*INDEX('Lease Cycles'!$CB$19:$CH$19,1,AM197)*(1+INDEX('Lease Cycles'!$CI$19:$CO$19,1,AM197))^INT(INT(AM198/12)/INDEX('Lease Cycles'!$CP$19:$CV$19,1,AM197))/12,IF(AM197=1,IF(AM198&gt;=INDEX('Lease Cycles'!$DK$19:$DQ$19,1,AM197),IF(AM$6&gt;='Lease Cycles'!$AZ$19,'Lease Cycles'!$C$19*'Lease Cycles'!$BA$19/12,IF(AM$6&gt;='Lease Cycles'!$AX$19,'Lease Cycles'!$C$19*'Lease Cycles'!$AY$19/12,IF(AM$6&gt;='Lease Cycles'!$AV$19,'Lease Cycles'!$C$19*'Lease Cycles'!$AW$19/12,IF(AM$6&gt;='Lease Cycles'!$AT$19,'Lease Cycles'!$C$19*'Lease Cycles'!$AU$19/12,'Lease Cycles'!$C$19*INDEX('Lease Cycles'!$CB$19:$CH$19,1,AM197)*(1+INDEX('Lease Cycles'!$CI$19:$CO$19,1,AM197))^INT(INT(AM198/12)/INDEX('Lease Cycles'!$CP$19:$CV$19,1,AM197))/12)))),'Lease Cycles'!$C$19*INDEX('Lease Cycles'!$CB$19:$CH$19,1,AM197)*(1+INDEX('Lease Cycles'!$CI$19:$CO$19,1,AM197))^INT(INT(AM198/12)/INDEX('Lease Cycles'!$CP$19:$CV$19,1,AM197))/12),IF(INDEX('Lease Cycles'!$EF$19:$EL$19,1,AM197)=1,IF(AND('Lease Cycles'!$AZ$19&gt;=INDEX('Lease Cycles'!$BG$19:$BM$19,1,AM197),'Lease Cycles'!$AZ$19&lt;=AM$6),'Lease Cycles'!$C$19*'Lease Cycles'!$BA$19/12,IF(AND('Lease Cycles'!$AX$19&gt;=INDEX('Lease Cycles'!$BG$19:$BM$19,1,AM197),'Lease Cycles'!$AX$19&lt;=AM$6),'Lease Cycles'!$C$19*'Lease Cycles'!$AY$19/12,IF(AND('Lease Cycles'!$AV$19&gt;=INDEX('Lease Cycles'!$BG$19:$BM$19,1,AM197),'Lease Cycles'!$AV$19&lt;=AM$6),'Lease Cycles'!$C$19*'Lease Cycles'!$AW$19/12,IF(AND('Lease Cycles'!$AT$19&gt;=INDEX('Lease Cycles'!$BG$19:$BM$19,1,AM197),'Lease Cycles'!$AT$19&lt;=AM$6),'Lease Cycles'!$C$19*'Lease Cycles'!$AU$19/12,'Lease Cycles'!$C$19*INDEX('Lease Cycles'!$CB$19:$CH$19,1,AM197)*(1+INDEX('Lease Cycles'!$CI$19:$CO$19,1,AM197))^INT(INT(AM198/12)/INDEX('Lease Cycles'!$CP$19:$CV$19,1,AM197))/12)))),'Lease Cycles'!$C$19*INDEX('Lease Cycles'!$CB$19:$CH$19,1,AM197)*(1+INDEX('Lease Cycles'!$CI$19:$CO$19,1,AM197))^INT(INT(AM198/12)/INDEX('Lease Cycles'!$CP$19:$CV$19,1,AM197))/12))),IF('Lease Cycles'!$N$19=1,'Lease Cycles'!$C$19*'Lease Cycles'!$E$19*INDEX('Lease Cycles'!$HE$19:$HK$19,1,AM197)*(1+INDEX('Lease Cycles'!$GQ$19:$GW$19,1,AM197))^INT(INT((AM$6-INDEX('Lease Cycles'!$GJ$19:$GP$19,1,AM197))/12)/INDEX('Lease Cycles'!$GX$19:$HD$19,1,AM197))/12,0)))</f>
        <v>0</v>
      </c>
      <c r="AN200" s="28">
        <f>IF(AN197=0,IF('Lease Cycles'!$F$19&gt;0,'Lease Cycles'!$C$19*'Lease Cycles'!$E$19/12,0),IF(AN199=1,IF('Lease Cycles'!$AT$19&gt;=9999,'Lease Cycles'!$C$19*INDEX('Lease Cycles'!$CB$19:$CH$19,1,AN197)*(1+INDEX('Lease Cycles'!$CI$19:$CO$19,1,AN197))^INT(INT(AN198/12)/INDEX('Lease Cycles'!$CP$19:$CV$19,1,AN197))/12,IF(AN197=1,IF(AN198&gt;=INDEX('Lease Cycles'!$DK$19:$DQ$19,1,AN197),IF(AN$6&gt;='Lease Cycles'!$AZ$19,'Lease Cycles'!$C$19*'Lease Cycles'!$BA$19/12,IF(AN$6&gt;='Lease Cycles'!$AX$19,'Lease Cycles'!$C$19*'Lease Cycles'!$AY$19/12,IF(AN$6&gt;='Lease Cycles'!$AV$19,'Lease Cycles'!$C$19*'Lease Cycles'!$AW$19/12,IF(AN$6&gt;='Lease Cycles'!$AT$19,'Lease Cycles'!$C$19*'Lease Cycles'!$AU$19/12,'Lease Cycles'!$C$19*INDEX('Lease Cycles'!$CB$19:$CH$19,1,AN197)*(1+INDEX('Lease Cycles'!$CI$19:$CO$19,1,AN197))^INT(INT(AN198/12)/INDEX('Lease Cycles'!$CP$19:$CV$19,1,AN197))/12)))),'Lease Cycles'!$C$19*INDEX('Lease Cycles'!$CB$19:$CH$19,1,AN197)*(1+INDEX('Lease Cycles'!$CI$19:$CO$19,1,AN197))^INT(INT(AN198/12)/INDEX('Lease Cycles'!$CP$19:$CV$19,1,AN197))/12),IF(INDEX('Lease Cycles'!$EF$19:$EL$19,1,AN197)=1,IF(AND('Lease Cycles'!$AZ$19&gt;=INDEX('Lease Cycles'!$BG$19:$BM$19,1,AN197),'Lease Cycles'!$AZ$19&lt;=AN$6),'Lease Cycles'!$C$19*'Lease Cycles'!$BA$19/12,IF(AND('Lease Cycles'!$AX$19&gt;=INDEX('Lease Cycles'!$BG$19:$BM$19,1,AN197),'Lease Cycles'!$AX$19&lt;=AN$6),'Lease Cycles'!$C$19*'Lease Cycles'!$AY$19/12,IF(AND('Lease Cycles'!$AV$19&gt;=INDEX('Lease Cycles'!$BG$19:$BM$19,1,AN197),'Lease Cycles'!$AV$19&lt;=AN$6),'Lease Cycles'!$C$19*'Lease Cycles'!$AW$19/12,IF(AND('Lease Cycles'!$AT$19&gt;=INDEX('Lease Cycles'!$BG$19:$BM$19,1,AN197),'Lease Cycles'!$AT$19&lt;=AN$6),'Lease Cycles'!$C$19*'Lease Cycles'!$AU$19/12,'Lease Cycles'!$C$19*INDEX('Lease Cycles'!$CB$19:$CH$19,1,AN197)*(1+INDEX('Lease Cycles'!$CI$19:$CO$19,1,AN197))^INT(INT(AN198/12)/INDEX('Lease Cycles'!$CP$19:$CV$19,1,AN197))/12)))),'Lease Cycles'!$C$19*INDEX('Lease Cycles'!$CB$19:$CH$19,1,AN197)*(1+INDEX('Lease Cycles'!$CI$19:$CO$19,1,AN197))^INT(INT(AN198/12)/INDEX('Lease Cycles'!$CP$19:$CV$19,1,AN197))/12))),IF('Lease Cycles'!$N$19=1,'Lease Cycles'!$C$19*'Lease Cycles'!$E$19*INDEX('Lease Cycles'!$HE$19:$HK$19,1,AN197)*(1+INDEX('Lease Cycles'!$GQ$19:$GW$19,1,AN197))^INT(INT((AN$6-INDEX('Lease Cycles'!$GJ$19:$GP$19,1,AN197))/12)/INDEX('Lease Cycles'!$GX$19:$HD$19,1,AN197))/12,0)))</f>
        <v>0</v>
      </c>
      <c r="AO200" s="28">
        <f>IF(AO197=0,IF('Lease Cycles'!$F$19&gt;0,'Lease Cycles'!$C$19*'Lease Cycles'!$E$19/12,0),IF(AO199=1,IF('Lease Cycles'!$AT$19&gt;=9999,'Lease Cycles'!$C$19*INDEX('Lease Cycles'!$CB$19:$CH$19,1,AO197)*(1+INDEX('Lease Cycles'!$CI$19:$CO$19,1,AO197))^INT(INT(AO198/12)/INDEX('Lease Cycles'!$CP$19:$CV$19,1,AO197))/12,IF(AO197=1,IF(AO198&gt;=INDEX('Lease Cycles'!$DK$19:$DQ$19,1,AO197),IF(AO$6&gt;='Lease Cycles'!$AZ$19,'Lease Cycles'!$C$19*'Lease Cycles'!$BA$19/12,IF(AO$6&gt;='Lease Cycles'!$AX$19,'Lease Cycles'!$C$19*'Lease Cycles'!$AY$19/12,IF(AO$6&gt;='Lease Cycles'!$AV$19,'Lease Cycles'!$C$19*'Lease Cycles'!$AW$19/12,IF(AO$6&gt;='Lease Cycles'!$AT$19,'Lease Cycles'!$C$19*'Lease Cycles'!$AU$19/12,'Lease Cycles'!$C$19*INDEX('Lease Cycles'!$CB$19:$CH$19,1,AO197)*(1+INDEX('Lease Cycles'!$CI$19:$CO$19,1,AO197))^INT(INT(AO198/12)/INDEX('Lease Cycles'!$CP$19:$CV$19,1,AO197))/12)))),'Lease Cycles'!$C$19*INDEX('Lease Cycles'!$CB$19:$CH$19,1,AO197)*(1+INDEX('Lease Cycles'!$CI$19:$CO$19,1,AO197))^INT(INT(AO198/12)/INDEX('Lease Cycles'!$CP$19:$CV$19,1,AO197))/12),IF(INDEX('Lease Cycles'!$EF$19:$EL$19,1,AO197)=1,IF(AND('Lease Cycles'!$AZ$19&gt;=INDEX('Lease Cycles'!$BG$19:$BM$19,1,AO197),'Lease Cycles'!$AZ$19&lt;=AO$6),'Lease Cycles'!$C$19*'Lease Cycles'!$BA$19/12,IF(AND('Lease Cycles'!$AX$19&gt;=INDEX('Lease Cycles'!$BG$19:$BM$19,1,AO197),'Lease Cycles'!$AX$19&lt;=AO$6),'Lease Cycles'!$C$19*'Lease Cycles'!$AY$19/12,IF(AND('Lease Cycles'!$AV$19&gt;=INDEX('Lease Cycles'!$BG$19:$BM$19,1,AO197),'Lease Cycles'!$AV$19&lt;=AO$6),'Lease Cycles'!$C$19*'Lease Cycles'!$AW$19/12,IF(AND('Lease Cycles'!$AT$19&gt;=INDEX('Lease Cycles'!$BG$19:$BM$19,1,AO197),'Lease Cycles'!$AT$19&lt;=AO$6),'Lease Cycles'!$C$19*'Lease Cycles'!$AU$19/12,'Lease Cycles'!$C$19*INDEX('Lease Cycles'!$CB$19:$CH$19,1,AO197)*(1+INDEX('Lease Cycles'!$CI$19:$CO$19,1,AO197))^INT(INT(AO198/12)/INDEX('Lease Cycles'!$CP$19:$CV$19,1,AO197))/12)))),'Lease Cycles'!$C$19*INDEX('Lease Cycles'!$CB$19:$CH$19,1,AO197)*(1+INDEX('Lease Cycles'!$CI$19:$CO$19,1,AO197))^INT(INT(AO198/12)/INDEX('Lease Cycles'!$CP$19:$CV$19,1,AO197))/12))),IF('Lease Cycles'!$N$19=1,'Lease Cycles'!$C$19*'Lease Cycles'!$E$19*INDEX('Lease Cycles'!$HE$19:$HK$19,1,AO197)*(1+INDEX('Lease Cycles'!$GQ$19:$GW$19,1,AO197))^INT(INT((AO$6-INDEX('Lease Cycles'!$GJ$19:$GP$19,1,AO197))/12)/INDEX('Lease Cycles'!$GX$19:$HD$19,1,AO197))/12,0)))</f>
        <v>0</v>
      </c>
      <c r="AP200" s="28">
        <f>IF(AP197=0,IF('Lease Cycles'!$F$19&gt;0,'Lease Cycles'!$C$19*'Lease Cycles'!$E$19/12,0),IF(AP199=1,IF('Lease Cycles'!$AT$19&gt;=9999,'Lease Cycles'!$C$19*INDEX('Lease Cycles'!$CB$19:$CH$19,1,AP197)*(1+INDEX('Lease Cycles'!$CI$19:$CO$19,1,AP197))^INT(INT(AP198/12)/INDEX('Lease Cycles'!$CP$19:$CV$19,1,AP197))/12,IF(AP197=1,IF(AP198&gt;=INDEX('Lease Cycles'!$DK$19:$DQ$19,1,AP197),IF(AP$6&gt;='Lease Cycles'!$AZ$19,'Lease Cycles'!$C$19*'Lease Cycles'!$BA$19/12,IF(AP$6&gt;='Lease Cycles'!$AX$19,'Lease Cycles'!$C$19*'Lease Cycles'!$AY$19/12,IF(AP$6&gt;='Lease Cycles'!$AV$19,'Lease Cycles'!$C$19*'Lease Cycles'!$AW$19/12,IF(AP$6&gt;='Lease Cycles'!$AT$19,'Lease Cycles'!$C$19*'Lease Cycles'!$AU$19/12,'Lease Cycles'!$C$19*INDEX('Lease Cycles'!$CB$19:$CH$19,1,AP197)*(1+INDEX('Lease Cycles'!$CI$19:$CO$19,1,AP197))^INT(INT(AP198/12)/INDEX('Lease Cycles'!$CP$19:$CV$19,1,AP197))/12)))),'Lease Cycles'!$C$19*INDEX('Lease Cycles'!$CB$19:$CH$19,1,AP197)*(1+INDEX('Lease Cycles'!$CI$19:$CO$19,1,AP197))^INT(INT(AP198/12)/INDEX('Lease Cycles'!$CP$19:$CV$19,1,AP197))/12),IF(INDEX('Lease Cycles'!$EF$19:$EL$19,1,AP197)=1,IF(AND('Lease Cycles'!$AZ$19&gt;=INDEX('Lease Cycles'!$BG$19:$BM$19,1,AP197),'Lease Cycles'!$AZ$19&lt;=AP$6),'Lease Cycles'!$C$19*'Lease Cycles'!$BA$19/12,IF(AND('Lease Cycles'!$AX$19&gt;=INDEX('Lease Cycles'!$BG$19:$BM$19,1,AP197),'Lease Cycles'!$AX$19&lt;=AP$6),'Lease Cycles'!$C$19*'Lease Cycles'!$AY$19/12,IF(AND('Lease Cycles'!$AV$19&gt;=INDEX('Lease Cycles'!$BG$19:$BM$19,1,AP197),'Lease Cycles'!$AV$19&lt;=AP$6),'Lease Cycles'!$C$19*'Lease Cycles'!$AW$19/12,IF(AND('Lease Cycles'!$AT$19&gt;=INDEX('Lease Cycles'!$BG$19:$BM$19,1,AP197),'Lease Cycles'!$AT$19&lt;=AP$6),'Lease Cycles'!$C$19*'Lease Cycles'!$AU$19/12,'Lease Cycles'!$C$19*INDEX('Lease Cycles'!$CB$19:$CH$19,1,AP197)*(1+INDEX('Lease Cycles'!$CI$19:$CO$19,1,AP197))^INT(INT(AP198/12)/INDEX('Lease Cycles'!$CP$19:$CV$19,1,AP197))/12)))),'Lease Cycles'!$C$19*INDEX('Lease Cycles'!$CB$19:$CH$19,1,AP197)*(1+INDEX('Lease Cycles'!$CI$19:$CO$19,1,AP197))^INT(INT(AP198/12)/INDEX('Lease Cycles'!$CP$19:$CV$19,1,AP197))/12))),IF('Lease Cycles'!$N$19=1,'Lease Cycles'!$C$19*'Lease Cycles'!$E$19*INDEX('Lease Cycles'!$HE$19:$HK$19,1,AP197)*(1+INDEX('Lease Cycles'!$GQ$19:$GW$19,1,AP197))^INT(INT((AP$6-INDEX('Lease Cycles'!$GJ$19:$GP$19,1,AP197))/12)/INDEX('Lease Cycles'!$GX$19:$HD$19,1,AP197))/12,0)))</f>
        <v>0</v>
      </c>
      <c r="AQ200" s="28">
        <f>IF(AQ197=0,IF('Lease Cycles'!$F$19&gt;0,'Lease Cycles'!$C$19*'Lease Cycles'!$E$19/12,0),IF(AQ199=1,IF('Lease Cycles'!$AT$19&gt;=9999,'Lease Cycles'!$C$19*INDEX('Lease Cycles'!$CB$19:$CH$19,1,AQ197)*(1+INDEX('Lease Cycles'!$CI$19:$CO$19,1,AQ197))^INT(INT(AQ198/12)/INDEX('Lease Cycles'!$CP$19:$CV$19,1,AQ197))/12,IF(AQ197=1,IF(AQ198&gt;=INDEX('Lease Cycles'!$DK$19:$DQ$19,1,AQ197),IF(AQ$6&gt;='Lease Cycles'!$AZ$19,'Lease Cycles'!$C$19*'Lease Cycles'!$BA$19/12,IF(AQ$6&gt;='Lease Cycles'!$AX$19,'Lease Cycles'!$C$19*'Lease Cycles'!$AY$19/12,IF(AQ$6&gt;='Lease Cycles'!$AV$19,'Lease Cycles'!$C$19*'Lease Cycles'!$AW$19/12,IF(AQ$6&gt;='Lease Cycles'!$AT$19,'Lease Cycles'!$C$19*'Lease Cycles'!$AU$19/12,'Lease Cycles'!$C$19*INDEX('Lease Cycles'!$CB$19:$CH$19,1,AQ197)*(1+INDEX('Lease Cycles'!$CI$19:$CO$19,1,AQ197))^INT(INT(AQ198/12)/INDEX('Lease Cycles'!$CP$19:$CV$19,1,AQ197))/12)))),'Lease Cycles'!$C$19*INDEX('Lease Cycles'!$CB$19:$CH$19,1,AQ197)*(1+INDEX('Lease Cycles'!$CI$19:$CO$19,1,AQ197))^INT(INT(AQ198/12)/INDEX('Lease Cycles'!$CP$19:$CV$19,1,AQ197))/12),IF(INDEX('Lease Cycles'!$EF$19:$EL$19,1,AQ197)=1,IF(AND('Lease Cycles'!$AZ$19&gt;=INDEX('Lease Cycles'!$BG$19:$BM$19,1,AQ197),'Lease Cycles'!$AZ$19&lt;=AQ$6),'Lease Cycles'!$C$19*'Lease Cycles'!$BA$19/12,IF(AND('Lease Cycles'!$AX$19&gt;=INDEX('Lease Cycles'!$BG$19:$BM$19,1,AQ197),'Lease Cycles'!$AX$19&lt;=AQ$6),'Lease Cycles'!$C$19*'Lease Cycles'!$AY$19/12,IF(AND('Lease Cycles'!$AV$19&gt;=INDEX('Lease Cycles'!$BG$19:$BM$19,1,AQ197),'Lease Cycles'!$AV$19&lt;=AQ$6),'Lease Cycles'!$C$19*'Lease Cycles'!$AW$19/12,IF(AND('Lease Cycles'!$AT$19&gt;=INDEX('Lease Cycles'!$BG$19:$BM$19,1,AQ197),'Lease Cycles'!$AT$19&lt;=AQ$6),'Lease Cycles'!$C$19*'Lease Cycles'!$AU$19/12,'Lease Cycles'!$C$19*INDEX('Lease Cycles'!$CB$19:$CH$19,1,AQ197)*(1+INDEX('Lease Cycles'!$CI$19:$CO$19,1,AQ197))^INT(INT(AQ198/12)/INDEX('Lease Cycles'!$CP$19:$CV$19,1,AQ197))/12)))),'Lease Cycles'!$C$19*INDEX('Lease Cycles'!$CB$19:$CH$19,1,AQ197)*(1+INDEX('Lease Cycles'!$CI$19:$CO$19,1,AQ197))^INT(INT(AQ198/12)/INDEX('Lease Cycles'!$CP$19:$CV$19,1,AQ197))/12))),IF('Lease Cycles'!$N$19=1,'Lease Cycles'!$C$19*'Lease Cycles'!$E$19*INDEX('Lease Cycles'!$HE$19:$HK$19,1,AQ197)*(1+INDEX('Lease Cycles'!$GQ$19:$GW$19,1,AQ197))^INT(INT((AQ$6-INDEX('Lease Cycles'!$GJ$19:$GP$19,1,AQ197))/12)/INDEX('Lease Cycles'!$GX$19:$HD$19,1,AQ197))/12,0)))</f>
        <v>0</v>
      </c>
      <c r="AR200" s="28">
        <f>IF(AR197=0,IF('Lease Cycles'!$F$19&gt;0,'Lease Cycles'!$C$19*'Lease Cycles'!$E$19/12,0),IF(AR199=1,IF('Lease Cycles'!$AT$19&gt;=9999,'Lease Cycles'!$C$19*INDEX('Lease Cycles'!$CB$19:$CH$19,1,AR197)*(1+INDEX('Lease Cycles'!$CI$19:$CO$19,1,AR197))^INT(INT(AR198/12)/INDEX('Lease Cycles'!$CP$19:$CV$19,1,AR197))/12,IF(AR197=1,IF(AR198&gt;=INDEX('Lease Cycles'!$DK$19:$DQ$19,1,AR197),IF(AR$6&gt;='Lease Cycles'!$AZ$19,'Lease Cycles'!$C$19*'Lease Cycles'!$BA$19/12,IF(AR$6&gt;='Lease Cycles'!$AX$19,'Lease Cycles'!$C$19*'Lease Cycles'!$AY$19/12,IF(AR$6&gt;='Lease Cycles'!$AV$19,'Lease Cycles'!$C$19*'Lease Cycles'!$AW$19/12,IF(AR$6&gt;='Lease Cycles'!$AT$19,'Lease Cycles'!$C$19*'Lease Cycles'!$AU$19/12,'Lease Cycles'!$C$19*INDEX('Lease Cycles'!$CB$19:$CH$19,1,AR197)*(1+INDEX('Lease Cycles'!$CI$19:$CO$19,1,AR197))^INT(INT(AR198/12)/INDEX('Lease Cycles'!$CP$19:$CV$19,1,AR197))/12)))),'Lease Cycles'!$C$19*INDEX('Lease Cycles'!$CB$19:$CH$19,1,AR197)*(1+INDEX('Lease Cycles'!$CI$19:$CO$19,1,AR197))^INT(INT(AR198/12)/INDEX('Lease Cycles'!$CP$19:$CV$19,1,AR197))/12),IF(INDEX('Lease Cycles'!$EF$19:$EL$19,1,AR197)=1,IF(AND('Lease Cycles'!$AZ$19&gt;=INDEX('Lease Cycles'!$BG$19:$BM$19,1,AR197),'Lease Cycles'!$AZ$19&lt;=AR$6),'Lease Cycles'!$C$19*'Lease Cycles'!$BA$19/12,IF(AND('Lease Cycles'!$AX$19&gt;=INDEX('Lease Cycles'!$BG$19:$BM$19,1,AR197),'Lease Cycles'!$AX$19&lt;=AR$6),'Lease Cycles'!$C$19*'Lease Cycles'!$AY$19/12,IF(AND('Lease Cycles'!$AV$19&gt;=INDEX('Lease Cycles'!$BG$19:$BM$19,1,AR197),'Lease Cycles'!$AV$19&lt;=AR$6),'Lease Cycles'!$C$19*'Lease Cycles'!$AW$19/12,IF(AND('Lease Cycles'!$AT$19&gt;=INDEX('Lease Cycles'!$BG$19:$BM$19,1,AR197),'Lease Cycles'!$AT$19&lt;=AR$6),'Lease Cycles'!$C$19*'Lease Cycles'!$AU$19/12,'Lease Cycles'!$C$19*INDEX('Lease Cycles'!$CB$19:$CH$19,1,AR197)*(1+INDEX('Lease Cycles'!$CI$19:$CO$19,1,AR197))^INT(INT(AR198/12)/INDEX('Lease Cycles'!$CP$19:$CV$19,1,AR197))/12)))),'Lease Cycles'!$C$19*INDEX('Lease Cycles'!$CB$19:$CH$19,1,AR197)*(1+INDEX('Lease Cycles'!$CI$19:$CO$19,1,AR197))^INT(INT(AR198/12)/INDEX('Lease Cycles'!$CP$19:$CV$19,1,AR197))/12))),IF('Lease Cycles'!$N$19=1,'Lease Cycles'!$C$19*'Lease Cycles'!$E$19*INDEX('Lease Cycles'!$HE$19:$HK$19,1,AR197)*(1+INDEX('Lease Cycles'!$GQ$19:$GW$19,1,AR197))^INT(INT((AR$6-INDEX('Lease Cycles'!$GJ$19:$GP$19,1,AR197))/12)/INDEX('Lease Cycles'!$GX$19:$HD$19,1,AR197))/12,0)))</f>
        <v>0</v>
      </c>
      <c r="AS200" s="28">
        <f>IF(AS197=0,IF('Lease Cycles'!$F$19&gt;0,'Lease Cycles'!$C$19*'Lease Cycles'!$E$19/12,0),IF(AS199=1,IF('Lease Cycles'!$AT$19&gt;=9999,'Lease Cycles'!$C$19*INDEX('Lease Cycles'!$CB$19:$CH$19,1,AS197)*(1+INDEX('Lease Cycles'!$CI$19:$CO$19,1,AS197))^INT(INT(AS198/12)/INDEX('Lease Cycles'!$CP$19:$CV$19,1,AS197))/12,IF(AS197=1,IF(AS198&gt;=INDEX('Lease Cycles'!$DK$19:$DQ$19,1,AS197),IF(AS$6&gt;='Lease Cycles'!$AZ$19,'Lease Cycles'!$C$19*'Lease Cycles'!$BA$19/12,IF(AS$6&gt;='Lease Cycles'!$AX$19,'Lease Cycles'!$C$19*'Lease Cycles'!$AY$19/12,IF(AS$6&gt;='Lease Cycles'!$AV$19,'Lease Cycles'!$C$19*'Lease Cycles'!$AW$19/12,IF(AS$6&gt;='Lease Cycles'!$AT$19,'Lease Cycles'!$C$19*'Lease Cycles'!$AU$19/12,'Lease Cycles'!$C$19*INDEX('Lease Cycles'!$CB$19:$CH$19,1,AS197)*(1+INDEX('Lease Cycles'!$CI$19:$CO$19,1,AS197))^INT(INT(AS198/12)/INDEX('Lease Cycles'!$CP$19:$CV$19,1,AS197))/12)))),'Lease Cycles'!$C$19*INDEX('Lease Cycles'!$CB$19:$CH$19,1,AS197)*(1+INDEX('Lease Cycles'!$CI$19:$CO$19,1,AS197))^INT(INT(AS198/12)/INDEX('Lease Cycles'!$CP$19:$CV$19,1,AS197))/12),IF(INDEX('Lease Cycles'!$EF$19:$EL$19,1,AS197)=1,IF(AND('Lease Cycles'!$AZ$19&gt;=INDEX('Lease Cycles'!$BG$19:$BM$19,1,AS197),'Lease Cycles'!$AZ$19&lt;=AS$6),'Lease Cycles'!$C$19*'Lease Cycles'!$BA$19/12,IF(AND('Lease Cycles'!$AX$19&gt;=INDEX('Lease Cycles'!$BG$19:$BM$19,1,AS197),'Lease Cycles'!$AX$19&lt;=AS$6),'Lease Cycles'!$C$19*'Lease Cycles'!$AY$19/12,IF(AND('Lease Cycles'!$AV$19&gt;=INDEX('Lease Cycles'!$BG$19:$BM$19,1,AS197),'Lease Cycles'!$AV$19&lt;=AS$6),'Lease Cycles'!$C$19*'Lease Cycles'!$AW$19/12,IF(AND('Lease Cycles'!$AT$19&gt;=INDEX('Lease Cycles'!$BG$19:$BM$19,1,AS197),'Lease Cycles'!$AT$19&lt;=AS$6),'Lease Cycles'!$C$19*'Lease Cycles'!$AU$19/12,'Lease Cycles'!$C$19*INDEX('Lease Cycles'!$CB$19:$CH$19,1,AS197)*(1+INDEX('Lease Cycles'!$CI$19:$CO$19,1,AS197))^INT(INT(AS198/12)/INDEX('Lease Cycles'!$CP$19:$CV$19,1,AS197))/12)))),'Lease Cycles'!$C$19*INDEX('Lease Cycles'!$CB$19:$CH$19,1,AS197)*(1+INDEX('Lease Cycles'!$CI$19:$CO$19,1,AS197))^INT(INT(AS198/12)/INDEX('Lease Cycles'!$CP$19:$CV$19,1,AS197))/12))),IF('Lease Cycles'!$N$19=1,'Lease Cycles'!$C$19*'Lease Cycles'!$E$19*INDEX('Lease Cycles'!$HE$19:$HK$19,1,AS197)*(1+INDEX('Lease Cycles'!$GQ$19:$GW$19,1,AS197))^INT(INT((AS$6-INDEX('Lease Cycles'!$GJ$19:$GP$19,1,AS197))/12)/INDEX('Lease Cycles'!$GX$19:$HD$19,1,AS197))/12,0)))</f>
        <v>0</v>
      </c>
      <c r="AT200" s="28">
        <f>IF(AT197=0,IF('Lease Cycles'!$F$19&gt;0,'Lease Cycles'!$C$19*'Lease Cycles'!$E$19/12,0),IF(AT199=1,IF('Lease Cycles'!$AT$19&gt;=9999,'Lease Cycles'!$C$19*INDEX('Lease Cycles'!$CB$19:$CH$19,1,AT197)*(1+INDEX('Lease Cycles'!$CI$19:$CO$19,1,AT197))^INT(INT(AT198/12)/INDEX('Lease Cycles'!$CP$19:$CV$19,1,AT197))/12,IF(AT197=1,IF(AT198&gt;=INDEX('Lease Cycles'!$DK$19:$DQ$19,1,AT197),IF(AT$6&gt;='Lease Cycles'!$AZ$19,'Lease Cycles'!$C$19*'Lease Cycles'!$BA$19/12,IF(AT$6&gt;='Lease Cycles'!$AX$19,'Lease Cycles'!$C$19*'Lease Cycles'!$AY$19/12,IF(AT$6&gt;='Lease Cycles'!$AV$19,'Lease Cycles'!$C$19*'Lease Cycles'!$AW$19/12,IF(AT$6&gt;='Lease Cycles'!$AT$19,'Lease Cycles'!$C$19*'Lease Cycles'!$AU$19/12,'Lease Cycles'!$C$19*INDEX('Lease Cycles'!$CB$19:$CH$19,1,AT197)*(1+INDEX('Lease Cycles'!$CI$19:$CO$19,1,AT197))^INT(INT(AT198/12)/INDEX('Lease Cycles'!$CP$19:$CV$19,1,AT197))/12)))),'Lease Cycles'!$C$19*INDEX('Lease Cycles'!$CB$19:$CH$19,1,AT197)*(1+INDEX('Lease Cycles'!$CI$19:$CO$19,1,AT197))^INT(INT(AT198/12)/INDEX('Lease Cycles'!$CP$19:$CV$19,1,AT197))/12),IF(INDEX('Lease Cycles'!$EF$19:$EL$19,1,AT197)=1,IF(AND('Lease Cycles'!$AZ$19&gt;=INDEX('Lease Cycles'!$BG$19:$BM$19,1,AT197),'Lease Cycles'!$AZ$19&lt;=AT$6),'Lease Cycles'!$C$19*'Lease Cycles'!$BA$19/12,IF(AND('Lease Cycles'!$AX$19&gt;=INDEX('Lease Cycles'!$BG$19:$BM$19,1,AT197),'Lease Cycles'!$AX$19&lt;=AT$6),'Lease Cycles'!$C$19*'Lease Cycles'!$AY$19/12,IF(AND('Lease Cycles'!$AV$19&gt;=INDEX('Lease Cycles'!$BG$19:$BM$19,1,AT197),'Lease Cycles'!$AV$19&lt;=AT$6),'Lease Cycles'!$C$19*'Lease Cycles'!$AW$19/12,IF(AND('Lease Cycles'!$AT$19&gt;=INDEX('Lease Cycles'!$BG$19:$BM$19,1,AT197),'Lease Cycles'!$AT$19&lt;=AT$6),'Lease Cycles'!$C$19*'Lease Cycles'!$AU$19/12,'Lease Cycles'!$C$19*INDEX('Lease Cycles'!$CB$19:$CH$19,1,AT197)*(1+INDEX('Lease Cycles'!$CI$19:$CO$19,1,AT197))^INT(INT(AT198/12)/INDEX('Lease Cycles'!$CP$19:$CV$19,1,AT197))/12)))),'Lease Cycles'!$C$19*INDEX('Lease Cycles'!$CB$19:$CH$19,1,AT197)*(1+INDEX('Lease Cycles'!$CI$19:$CO$19,1,AT197))^INT(INT(AT198/12)/INDEX('Lease Cycles'!$CP$19:$CV$19,1,AT197))/12))),IF('Lease Cycles'!$N$19=1,'Lease Cycles'!$C$19*'Lease Cycles'!$E$19*INDEX('Lease Cycles'!$HE$19:$HK$19,1,AT197)*(1+INDEX('Lease Cycles'!$GQ$19:$GW$19,1,AT197))^INT(INT((AT$6-INDEX('Lease Cycles'!$GJ$19:$GP$19,1,AT197))/12)/INDEX('Lease Cycles'!$GX$19:$HD$19,1,AT197))/12,0)))</f>
        <v>0</v>
      </c>
      <c r="AU200" s="28">
        <f>IF(AU197=0,IF('Lease Cycles'!$F$19&gt;0,'Lease Cycles'!$C$19*'Lease Cycles'!$E$19/12,0),IF(AU199=1,IF('Lease Cycles'!$AT$19&gt;=9999,'Lease Cycles'!$C$19*INDEX('Lease Cycles'!$CB$19:$CH$19,1,AU197)*(1+INDEX('Lease Cycles'!$CI$19:$CO$19,1,AU197))^INT(INT(AU198/12)/INDEX('Lease Cycles'!$CP$19:$CV$19,1,AU197))/12,IF(AU197=1,IF(AU198&gt;=INDEX('Lease Cycles'!$DK$19:$DQ$19,1,AU197),IF(AU$6&gt;='Lease Cycles'!$AZ$19,'Lease Cycles'!$C$19*'Lease Cycles'!$BA$19/12,IF(AU$6&gt;='Lease Cycles'!$AX$19,'Lease Cycles'!$C$19*'Lease Cycles'!$AY$19/12,IF(AU$6&gt;='Lease Cycles'!$AV$19,'Lease Cycles'!$C$19*'Lease Cycles'!$AW$19/12,IF(AU$6&gt;='Lease Cycles'!$AT$19,'Lease Cycles'!$C$19*'Lease Cycles'!$AU$19/12,'Lease Cycles'!$C$19*INDEX('Lease Cycles'!$CB$19:$CH$19,1,AU197)*(1+INDEX('Lease Cycles'!$CI$19:$CO$19,1,AU197))^INT(INT(AU198/12)/INDEX('Lease Cycles'!$CP$19:$CV$19,1,AU197))/12)))),'Lease Cycles'!$C$19*INDEX('Lease Cycles'!$CB$19:$CH$19,1,AU197)*(1+INDEX('Lease Cycles'!$CI$19:$CO$19,1,AU197))^INT(INT(AU198/12)/INDEX('Lease Cycles'!$CP$19:$CV$19,1,AU197))/12),IF(INDEX('Lease Cycles'!$EF$19:$EL$19,1,AU197)=1,IF(AND('Lease Cycles'!$AZ$19&gt;=INDEX('Lease Cycles'!$BG$19:$BM$19,1,AU197),'Lease Cycles'!$AZ$19&lt;=AU$6),'Lease Cycles'!$C$19*'Lease Cycles'!$BA$19/12,IF(AND('Lease Cycles'!$AX$19&gt;=INDEX('Lease Cycles'!$BG$19:$BM$19,1,AU197),'Lease Cycles'!$AX$19&lt;=AU$6),'Lease Cycles'!$C$19*'Lease Cycles'!$AY$19/12,IF(AND('Lease Cycles'!$AV$19&gt;=INDEX('Lease Cycles'!$BG$19:$BM$19,1,AU197),'Lease Cycles'!$AV$19&lt;=AU$6),'Lease Cycles'!$C$19*'Lease Cycles'!$AW$19/12,IF(AND('Lease Cycles'!$AT$19&gt;=INDEX('Lease Cycles'!$BG$19:$BM$19,1,AU197),'Lease Cycles'!$AT$19&lt;=AU$6),'Lease Cycles'!$C$19*'Lease Cycles'!$AU$19/12,'Lease Cycles'!$C$19*INDEX('Lease Cycles'!$CB$19:$CH$19,1,AU197)*(1+INDEX('Lease Cycles'!$CI$19:$CO$19,1,AU197))^INT(INT(AU198/12)/INDEX('Lease Cycles'!$CP$19:$CV$19,1,AU197))/12)))),'Lease Cycles'!$C$19*INDEX('Lease Cycles'!$CB$19:$CH$19,1,AU197)*(1+INDEX('Lease Cycles'!$CI$19:$CO$19,1,AU197))^INT(INT(AU198/12)/INDEX('Lease Cycles'!$CP$19:$CV$19,1,AU197))/12))),IF('Lease Cycles'!$N$19=1,'Lease Cycles'!$C$19*'Lease Cycles'!$E$19*INDEX('Lease Cycles'!$HE$19:$HK$19,1,AU197)*(1+INDEX('Lease Cycles'!$GQ$19:$GW$19,1,AU197))^INT(INT((AU$6-INDEX('Lease Cycles'!$GJ$19:$GP$19,1,AU197))/12)/INDEX('Lease Cycles'!$GX$19:$HD$19,1,AU197))/12,0)))</f>
        <v>0</v>
      </c>
      <c r="AV200" s="28">
        <f>IF(AV197=0,IF('Lease Cycles'!$F$19&gt;0,'Lease Cycles'!$C$19*'Lease Cycles'!$E$19/12,0),IF(AV199=1,IF('Lease Cycles'!$AT$19&gt;=9999,'Lease Cycles'!$C$19*INDEX('Lease Cycles'!$CB$19:$CH$19,1,AV197)*(1+INDEX('Lease Cycles'!$CI$19:$CO$19,1,AV197))^INT(INT(AV198/12)/INDEX('Lease Cycles'!$CP$19:$CV$19,1,AV197))/12,IF(AV197=1,IF(AV198&gt;=INDEX('Lease Cycles'!$DK$19:$DQ$19,1,AV197),IF(AV$6&gt;='Lease Cycles'!$AZ$19,'Lease Cycles'!$C$19*'Lease Cycles'!$BA$19/12,IF(AV$6&gt;='Lease Cycles'!$AX$19,'Lease Cycles'!$C$19*'Lease Cycles'!$AY$19/12,IF(AV$6&gt;='Lease Cycles'!$AV$19,'Lease Cycles'!$C$19*'Lease Cycles'!$AW$19/12,IF(AV$6&gt;='Lease Cycles'!$AT$19,'Lease Cycles'!$C$19*'Lease Cycles'!$AU$19/12,'Lease Cycles'!$C$19*INDEX('Lease Cycles'!$CB$19:$CH$19,1,AV197)*(1+INDEX('Lease Cycles'!$CI$19:$CO$19,1,AV197))^INT(INT(AV198/12)/INDEX('Lease Cycles'!$CP$19:$CV$19,1,AV197))/12)))),'Lease Cycles'!$C$19*INDEX('Lease Cycles'!$CB$19:$CH$19,1,AV197)*(1+INDEX('Lease Cycles'!$CI$19:$CO$19,1,AV197))^INT(INT(AV198/12)/INDEX('Lease Cycles'!$CP$19:$CV$19,1,AV197))/12),IF(INDEX('Lease Cycles'!$EF$19:$EL$19,1,AV197)=1,IF(AND('Lease Cycles'!$AZ$19&gt;=INDEX('Lease Cycles'!$BG$19:$BM$19,1,AV197),'Lease Cycles'!$AZ$19&lt;=AV$6),'Lease Cycles'!$C$19*'Lease Cycles'!$BA$19/12,IF(AND('Lease Cycles'!$AX$19&gt;=INDEX('Lease Cycles'!$BG$19:$BM$19,1,AV197),'Lease Cycles'!$AX$19&lt;=AV$6),'Lease Cycles'!$C$19*'Lease Cycles'!$AY$19/12,IF(AND('Lease Cycles'!$AV$19&gt;=INDEX('Lease Cycles'!$BG$19:$BM$19,1,AV197),'Lease Cycles'!$AV$19&lt;=AV$6),'Lease Cycles'!$C$19*'Lease Cycles'!$AW$19/12,IF(AND('Lease Cycles'!$AT$19&gt;=INDEX('Lease Cycles'!$BG$19:$BM$19,1,AV197),'Lease Cycles'!$AT$19&lt;=AV$6),'Lease Cycles'!$C$19*'Lease Cycles'!$AU$19/12,'Lease Cycles'!$C$19*INDEX('Lease Cycles'!$CB$19:$CH$19,1,AV197)*(1+INDEX('Lease Cycles'!$CI$19:$CO$19,1,AV197))^INT(INT(AV198/12)/INDEX('Lease Cycles'!$CP$19:$CV$19,1,AV197))/12)))),'Lease Cycles'!$C$19*INDEX('Lease Cycles'!$CB$19:$CH$19,1,AV197)*(1+INDEX('Lease Cycles'!$CI$19:$CO$19,1,AV197))^INT(INT(AV198/12)/INDEX('Lease Cycles'!$CP$19:$CV$19,1,AV197))/12))),IF('Lease Cycles'!$N$19=1,'Lease Cycles'!$C$19*'Lease Cycles'!$E$19*INDEX('Lease Cycles'!$HE$19:$HK$19,1,AV197)*(1+INDEX('Lease Cycles'!$GQ$19:$GW$19,1,AV197))^INT(INT((AV$6-INDEX('Lease Cycles'!$GJ$19:$GP$19,1,AV197))/12)/INDEX('Lease Cycles'!$GX$19:$HD$19,1,AV197))/12,0)))</f>
        <v>0</v>
      </c>
      <c r="AW200" s="28">
        <f>IF(AW197=0,IF('Lease Cycles'!$F$19&gt;0,'Lease Cycles'!$C$19*'Lease Cycles'!$E$19/12,0),IF(AW199=1,IF('Lease Cycles'!$AT$19&gt;=9999,'Lease Cycles'!$C$19*INDEX('Lease Cycles'!$CB$19:$CH$19,1,AW197)*(1+INDEX('Lease Cycles'!$CI$19:$CO$19,1,AW197))^INT(INT(AW198/12)/INDEX('Lease Cycles'!$CP$19:$CV$19,1,AW197))/12,IF(AW197=1,IF(AW198&gt;=INDEX('Lease Cycles'!$DK$19:$DQ$19,1,AW197),IF(AW$6&gt;='Lease Cycles'!$AZ$19,'Lease Cycles'!$C$19*'Lease Cycles'!$BA$19/12,IF(AW$6&gt;='Lease Cycles'!$AX$19,'Lease Cycles'!$C$19*'Lease Cycles'!$AY$19/12,IF(AW$6&gt;='Lease Cycles'!$AV$19,'Lease Cycles'!$C$19*'Lease Cycles'!$AW$19/12,IF(AW$6&gt;='Lease Cycles'!$AT$19,'Lease Cycles'!$C$19*'Lease Cycles'!$AU$19/12,'Lease Cycles'!$C$19*INDEX('Lease Cycles'!$CB$19:$CH$19,1,AW197)*(1+INDEX('Lease Cycles'!$CI$19:$CO$19,1,AW197))^INT(INT(AW198/12)/INDEX('Lease Cycles'!$CP$19:$CV$19,1,AW197))/12)))),'Lease Cycles'!$C$19*INDEX('Lease Cycles'!$CB$19:$CH$19,1,AW197)*(1+INDEX('Lease Cycles'!$CI$19:$CO$19,1,AW197))^INT(INT(AW198/12)/INDEX('Lease Cycles'!$CP$19:$CV$19,1,AW197))/12),IF(INDEX('Lease Cycles'!$EF$19:$EL$19,1,AW197)=1,IF(AND('Lease Cycles'!$AZ$19&gt;=INDEX('Lease Cycles'!$BG$19:$BM$19,1,AW197),'Lease Cycles'!$AZ$19&lt;=AW$6),'Lease Cycles'!$C$19*'Lease Cycles'!$BA$19/12,IF(AND('Lease Cycles'!$AX$19&gt;=INDEX('Lease Cycles'!$BG$19:$BM$19,1,AW197),'Lease Cycles'!$AX$19&lt;=AW$6),'Lease Cycles'!$C$19*'Lease Cycles'!$AY$19/12,IF(AND('Lease Cycles'!$AV$19&gt;=INDEX('Lease Cycles'!$BG$19:$BM$19,1,AW197),'Lease Cycles'!$AV$19&lt;=AW$6),'Lease Cycles'!$C$19*'Lease Cycles'!$AW$19/12,IF(AND('Lease Cycles'!$AT$19&gt;=INDEX('Lease Cycles'!$BG$19:$BM$19,1,AW197),'Lease Cycles'!$AT$19&lt;=AW$6),'Lease Cycles'!$C$19*'Lease Cycles'!$AU$19/12,'Lease Cycles'!$C$19*INDEX('Lease Cycles'!$CB$19:$CH$19,1,AW197)*(1+INDEX('Lease Cycles'!$CI$19:$CO$19,1,AW197))^INT(INT(AW198/12)/INDEX('Lease Cycles'!$CP$19:$CV$19,1,AW197))/12)))),'Lease Cycles'!$C$19*INDEX('Lease Cycles'!$CB$19:$CH$19,1,AW197)*(1+INDEX('Lease Cycles'!$CI$19:$CO$19,1,AW197))^INT(INT(AW198/12)/INDEX('Lease Cycles'!$CP$19:$CV$19,1,AW197))/12))),IF('Lease Cycles'!$N$19=1,'Lease Cycles'!$C$19*'Lease Cycles'!$E$19*INDEX('Lease Cycles'!$HE$19:$HK$19,1,AW197)*(1+INDEX('Lease Cycles'!$GQ$19:$GW$19,1,AW197))^INT(INT((AW$6-INDEX('Lease Cycles'!$GJ$19:$GP$19,1,AW197))/12)/INDEX('Lease Cycles'!$GX$19:$HD$19,1,AW197))/12,0)))</f>
        <v>0</v>
      </c>
      <c r="AX200" s="28">
        <f>IF(AX197=0,IF('Lease Cycles'!$F$19&gt;0,'Lease Cycles'!$C$19*'Lease Cycles'!$E$19/12,0),IF(AX199=1,IF('Lease Cycles'!$AT$19&gt;=9999,'Lease Cycles'!$C$19*INDEX('Lease Cycles'!$CB$19:$CH$19,1,AX197)*(1+INDEX('Lease Cycles'!$CI$19:$CO$19,1,AX197))^INT(INT(AX198/12)/INDEX('Lease Cycles'!$CP$19:$CV$19,1,AX197))/12,IF(AX197=1,IF(AX198&gt;=INDEX('Lease Cycles'!$DK$19:$DQ$19,1,AX197),IF(AX$6&gt;='Lease Cycles'!$AZ$19,'Lease Cycles'!$C$19*'Lease Cycles'!$BA$19/12,IF(AX$6&gt;='Lease Cycles'!$AX$19,'Lease Cycles'!$C$19*'Lease Cycles'!$AY$19/12,IF(AX$6&gt;='Lease Cycles'!$AV$19,'Lease Cycles'!$C$19*'Lease Cycles'!$AW$19/12,IF(AX$6&gt;='Lease Cycles'!$AT$19,'Lease Cycles'!$C$19*'Lease Cycles'!$AU$19/12,'Lease Cycles'!$C$19*INDEX('Lease Cycles'!$CB$19:$CH$19,1,AX197)*(1+INDEX('Lease Cycles'!$CI$19:$CO$19,1,AX197))^INT(INT(AX198/12)/INDEX('Lease Cycles'!$CP$19:$CV$19,1,AX197))/12)))),'Lease Cycles'!$C$19*INDEX('Lease Cycles'!$CB$19:$CH$19,1,AX197)*(1+INDEX('Lease Cycles'!$CI$19:$CO$19,1,AX197))^INT(INT(AX198/12)/INDEX('Lease Cycles'!$CP$19:$CV$19,1,AX197))/12),IF(INDEX('Lease Cycles'!$EF$19:$EL$19,1,AX197)=1,IF(AND('Lease Cycles'!$AZ$19&gt;=INDEX('Lease Cycles'!$BG$19:$BM$19,1,AX197),'Lease Cycles'!$AZ$19&lt;=AX$6),'Lease Cycles'!$C$19*'Lease Cycles'!$BA$19/12,IF(AND('Lease Cycles'!$AX$19&gt;=INDEX('Lease Cycles'!$BG$19:$BM$19,1,AX197),'Lease Cycles'!$AX$19&lt;=AX$6),'Lease Cycles'!$C$19*'Lease Cycles'!$AY$19/12,IF(AND('Lease Cycles'!$AV$19&gt;=INDEX('Lease Cycles'!$BG$19:$BM$19,1,AX197),'Lease Cycles'!$AV$19&lt;=AX$6),'Lease Cycles'!$C$19*'Lease Cycles'!$AW$19/12,IF(AND('Lease Cycles'!$AT$19&gt;=INDEX('Lease Cycles'!$BG$19:$BM$19,1,AX197),'Lease Cycles'!$AT$19&lt;=AX$6),'Lease Cycles'!$C$19*'Lease Cycles'!$AU$19/12,'Lease Cycles'!$C$19*INDEX('Lease Cycles'!$CB$19:$CH$19,1,AX197)*(1+INDEX('Lease Cycles'!$CI$19:$CO$19,1,AX197))^INT(INT(AX198/12)/INDEX('Lease Cycles'!$CP$19:$CV$19,1,AX197))/12)))),'Lease Cycles'!$C$19*INDEX('Lease Cycles'!$CB$19:$CH$19,1,AX197)*(1+INDEX('Lease Cycles'!$CI$19:$CO$19,1,AX197))^INT(INT(AX198/12)/INDEX('Lease Cycles'!$CP$19:$CV$19,1,AX197))/12))),IF('Lease Cycles'!$N$19=1,'Lease Cycles'!$C$19*'Lease Cycles'!$E$19*INDEX('Lease Cycles'!$HE$19:$HK$19,1,AX197)*(1+INDEX('Lease Cycles'!$GQ$19:$GW$19,1,AX197))^INT(INT((AX$6-INDEX('Lease Cycles'!$GJ$19:$GP$19,1,AX197))/12)/INDEX('Lease Cycles'!$GX$19:$HD$19,1,AX197))/12,0)))</f>
        <v>0</v>
      </c>
      <c r="AY200" s="28">
        <f>IF(AY197=0,IF('Lease Cycles'!$F$19&gt;0,'Lease Cycles'!$C$19*'Lease Cycles'!$E$19/12,0),IF(AY199=1,IF('Lease Cycles'!$AT$19&gt;=9999,'Lease Cycles'!$C$19*INDEX('Lease Cycles'!$CB$19:$CH$19,1,AY197)*(1+INDEX('Lease Cycles'!$CI$19:$CO$19,1,AY197))^INT(INT(AY198/12)/INDEX('Lease Cycles'!$CP$19:$CV$19,1,AY197))/12,IF(AY197=1,IF(AY198&gt;=INDEX('Lease Cycles'!$DK$19:$DQ$19,1,AY197),IF(AY$6&gt;='Lease Cycles'!$AZ$19,'Lease Cycles'!$C$19*'Lease Cycles'!$BA$19/12,IF(AY$6&gt;='Lease Cycles'!$AX$19,'Lease Cycles'!$C$19*'Lease Cycles'!$AY$19/12,IF(AY$6&gt;='Lease Cycles'!$AV$19,'Lease Cycles'!$C$19*'Lease Cycles'!$AW$19/12,IF(AY$6&gt;='Lease Cycles'!$AT$19,'Lease Cycles'!$C$19*'Lease Cycles'!$AU$19/12,'Lease Cycles'!$C$19*INDEX('Lease Cycles'!$CB$19:$CH$19,1,AY197)*(1+INDEX('Lease Cycles'!$CI$19:$CO$19,1,AY197))^INT(INT(AY198/12)/INDEX('Lease Cycles'!$CP$19:$CV$19,1,AY197))/12)))),'Lease Cycles'!$C$19*INDEX('Lease Cycles'!$CB$19:$CH$19,1,AY197)*(1+INDEX('Lease Cycles'!$CI$19:$CO$19,1,AY197))^INT(INT(AY198/12)/INDEX('Lease Cycles'!$CP$19:$CV$19,1,AY197))/12),IF(INDEX('Lease Cycles'!$EF$19:$EL$19,1,AY197)=1,IF(AND('Lease Cycles'!$AZ$19&gt;=INDEX('Lease Cycles'!$BG$19:$BM$19,1,AY197),'Lease Cycles'!$AZ$19&lt;=AY$6),'Lease Cycles'!$C$19*'Lease Cycles'!$BA$19/12,IF(AND('Lease Cycles'!$AX$19&gt;=INDEX('Lease Cycles'!$BG$19:$BM$19,1,AY197),'Lease Cycles'!$AX$19&lt;=AY$6),'Lease Cycles'!$C$19*'Lease Cycles'!$AY$19/12,IF(AND('Lease Cycles'!$AV$19&gt;=INDEX('Lease Cycles'!$BG$19:$BM$19,1,AY197),'Lease Cycles'!$AV$19&lt;=AY$6),'Lease Cycles'!$C$19*'Lease Cycles'!$AW$19/12,IF(AND('Lease Cycles'!$AT$19&gt;=INDEX('Lease Cycles'!$BG$19:$BM$19,1,AY197),'Lease Cycles'!$AT$19&lt;=AY$6),'Lease Cycles'!$C$19*'Lease Cycles'!$AU$19/12,'Lease Cycles'!$C$19*INDEX('Lease Cycles'!$CB$19:$CH$19,1,AY197)*(1+INDEX('Lease Cycles'!$CI$19:$CO$19,1,AY197))^INT(INT(AY198/12)/INDEX('Lease Cycles'!$CP$19:$CV$19,1,AY197))/12)))),'Lease Cycles'!$C$19*INDEX('Lease Cycles'!$CB$19:$CH$19,1,AY197)*(1+INDEX('Lease Cycles'!$CI$19:$CO$19,1,AY197))^INT(INT(AY198/12)/INDEX('Lease Cycles'!$CP$19:$CV$19,1,AY197))/12))),IF('Lease Cycles'!$N$19=1,'Lease Cycles'!$C$19*'Lease Cycles'!$E$19*INDEX('Lease Cycles'!$HE$19:$HK$19,1,AY197)*(1+INDEX('Lease Cycles'!$GQ$19:$GW$19,1,AY197))^INT(INT((AY$6-INDEX('Lease Cycles'!$GJ$19:$GP$19,1,AY197))/12)/INDEX('Lease Cycles'!$GX$19:$HD$19,1,AY197))/12,0)))</f>
        <v>0</v>
      </c>
      <c r="AZ200" s="28">
        <f>IF(AZ197=0,IF('Lease Cycles'!$F$19&gt;0,'Lease Cycles'!$C$19*'Lease Cycles'!$E$19/12,0),IF(AZ199=1,IF('Lease Cycles'!$AT$19&gt;=9999,'Lease Cycles'!$C$19*INDEX('Lease Cycles'!$CB$19:$CH$19,1,AZ197)*(1+INDEX('Lease Cycles'!$CI$19:$CO$19,1,AZ197))^INT(INT(AZ198/12)/INDEX('Lease Cycles'!$CP$19:$CV$19,1,AZ197))/12,IF(AZ197=1,IF(AZ198&gt;=INDEX('Lease Cycles'!$DK$19:$DQ$19,1,AZ197),IF(AZ$6&gt;='Lease Cycles'!$AZ$19,'Lease Cycles'!$C$19*'Lease Cycles'!$BA$19/12,IF(AZ$6&gt;='Lease Cycles'!$AX$19,'Lease Cycles'!$C$19*'Lease Cycles'!$AY$19/12,IF(AZ$6&gt;='Lease Cycles'!$AV$19,'Lease Cycles'!$C$19*'Lease Cycles'!$AW$19/12,IF(AZ$6&gt;='Lease Cycles'!$AT$19,'Lease Cycles'!$C$19*'Lease Cycles'!$AU$19/12,'Lease Cycles'!$C$19*INDEX('Lease Cycles'!$CB$19:$CH$19,1,AZ197)*(1+INDEX('Lease Cycles'!$CI$19:$CO$19,1,AZ197))^INT(INT(AZ198/12)/INDEX('Lease Cycles'!$CP$19:$CV$19,1,AZ197))/12)))),'Lease Cycles'!$C$19*INDEX('Lease Cycles'!$CB$19:$CH$19,1,AZ197)*(1+INDEX('Lease Cycles'!$CI$19:$CO$19,1,AZ197))^INT(INT(AZ198/12)/INDEX('Lease Cycles'!$CP$19:$CV$19,1,AZ197))/12),IF(INDEX('Lease Cycles'!$EF$19:$EL$19,1,AZ197)=1,IF(AND('Lease Cycles'!$AZ$19&gt;=INDEX('Lease Cycles'!$BG$19:$BM$19,1,AZ197),'Lease Cycles'!$AZ$19&lt;=AZ$6),'Lease Cycles'!$C$19*'Lease Cycles'!$BA$19/12,IF(AND('Lease Cycles'!$AX$19&gt;=INDEX('Lease Cycles'!$BG$19:$BM$19,1,AZ197),'Lease Cycles'!$AX$19&lt;=AZ$6),'Lease Cycles'!$C$19*'Lease Cycles'!$AY$19/12,IF(AND('Lease Cycles'!$AV$19&gt;=INDEX('Lease Cycles'!$BG$19:$BM$19,1,AZ197),'Lease Cycles'!$AV$19&lt;=AZ$6),'Lease Cycles'!$C$19*'Lease Cycles'!$AW$19/12,IF(AND('Lease Cycles'!$AT$19&gt;=INDEX('Lease Cycles'!$BG$19:$BM$19,1,AZ197),'Lease Cycles'!$AT$19&lt;=AZ$6),'Lease Cycles'!$C$19*'Lease Cycles'!$AU$19/12,'Lease Cycles'!$C$19*INDEX('Lease Cycles'!$CB$19:$CH$19,1,AZ197)*(1+INDEX('Lease Cycles'!$CI$19:$CO$19,1,AZ197))^INT(INT(AZ198/12)/INDEX('Lease Cycles'!$CP$19:$CV$19,1,AZ197))/12)))),'Lease Cycles'!$C$19*INDEX('Lease Cycles'!$CB$19:$CH$19,1,AZ197)*(1+INDEX('Lease Cycles'!$CI$19:$CO$19,1,AZ197))^INT(INT(AZ198/12)/INDEX('Lease Cycles'!$CP$19:$CV$19,1,AZ197))/12))),IF('Lease Cycles'!$N$19=1,'Lease Cycles'!$C$19*'Lease Cycles'!$E$19*INDEX('Lease Cycles'!$HE$19:$HK$19,1,AZ197)*(1+INDEX('Lease Cycles'!$GQ$19:$GW$19,1,AZ197))^INT(INT((AZ$6-INDEX('Lease Cycles'!$GJ$19:$GP$19,1,AZ197))/12)/INDEX('Lease Cycles'!$GX$19:$HD$19,1,AZ197))/12,0)))</f>
        <v>0</v>
      </c>
      <c r="BA200" s="28">
        <f>IF(BA197=0,IF('Lease Cycles'!$F$19&gt;0,'Lease Cycles'!$C$19*'Lease Cycles'!$E$19/12,0),IF(BA199=1,IF('Lease Cycles'!$AT$19&gt;=9999,'Lease Cycles'!$C$19*INDEX('Lease Cycles'!$CB$19:$CH$19,1,BA197)*(1+INDEX('Lease Cycles'!$CI$19:$CO$19,1,BA197))^INT(INT(BA198/12)/INDEX('Lease Cycles'!$CP$19:$CV$19,1,BA197))/12,IF(BA197=1,IF(BA198&gt;=INDEX('Lease Cycles'!$DK$19:$DQ$19,1,BA197),IF(BA$6&gt;='Lease Cycles'!$AZ$19,'Lease Cycles'!$C$19*'Lease Cycles'!$BA$19/12,IF(BA$6&gt;='Lease Cycles'!$AX$19,'Lease Cycles'!$C$19*'Lease Cycles'!$AY$19/12,IF(BA$6&gt;='Lease Cycles'!$AV$19,'Lease Cycles'!$C$19*'Lease Cycles'!$AW$19/12,IF(BA$6&gt;='Lease Cycles'!$AT$19,'Lease Cycles'!$C$19*'Lease Cycles'!$AU$19/12,'Lease Cycles'!$C$19*INDEX('Lease Cycles'!$CB$19:$CH$19,1,BA197)*(1+INDEX('Lease Cycles'!$CI$19:$CO$19,1,BA197))^INT(INT(BA198/12)/INDEX('Lease Cycles'!$CP$19:$CV$19,1,BA197))/12)))),'Lease Cycles'!$C$19*INDEX('Lease Cycles'!$CB$19:$CH$19,1,BA197)*(1+INDEX('Lease Cycles'!$CI$19:$CO$19,1,BA197))^INT(INT(BA198/12)/INDEX('Lease Cycles'!$CP$19:$CV$19,1,BA197))/12),IF(INDEX('Lease Cycles'!$EF$19:$EL$19,1,BA197)=1,IF(AND('Lease Cycles'!$AZ$19&gt;=INDEX('Lease Cycles'!$BG$19:$BM$19,1,BA197),'Lease Cycles'!$AZ$19&lt;=BA$6),'Lease Cycles'!$C$19*'Lease Cycles'!$BA$19/12,IF(AND('Lease Cycles'!$AX$19&gt;=INDEX('Lease Cycles'!$BG$19:$BM$19,1,BA197),'Lease Cycles'!$AX$19&lt;=BA$6),'Lease Cycles'!$C$19*'Lease Cycles'!$AY$19/12,IF(AND('Lease Cycles'!$AV$19&gt;=INDEX('Lease Cycles'!$BG$19:$BM$19,1,BA197),'Lease Cycles'!$AV$19&lt;=BA$6),'Lease Cycles'!$C$19*'Lease Cycles'!$AW$19/12,IF(AND('Lease Cycles'!$AT$19&gt;=INDEX('Lease Cycles'!$BG$19:$BM$19,1,BA197),'Lease Cycles'!$AT$19&lt;=BA$6),'Lease Cycles'!$C$19*'Lease Cycles'!$AU$19/12,'Lease Cycles'!$C$19*INDEX('Lease Cycles'!$CB$19:$CH$19,1,BA197)*(1+INDEX('Lease Cycles'!$CI$19:$CO$19,1,BA197))^INT(INT(BA198/12)/INDEX('Lease Cycles'!$CP$19:$CV$19,1,BA197))/12)))),'Lease Cycles'!$C$19*INDEX('Lease Cycles'!$CB$19:$CH$19,1,BA197)*(1+INDEX('Lease Cycles'!$CI$19:$CO$19,1,BA197))^INT(INT(BA198/12)/INDEX('Lease Cycles'!$CP$19:$CV$19,1,BA197))/12))),IF('Lease Cycles'!$N$19=1,'Lease Cycles'!$C$19*'Lease Cycles'!$E$19*INDEX('Lease Cycles'!$HE$19:$HK$19,1,BA197)*(1+INDEX('Lease Cycles'!$GQ$19:$GW$19,1,BA197))^INT(INT((BA$6-INDEX('Lease Cycles'!$GJ$19:$GP$19,1,BA197))/12)/INDEX('Lease Cycles'!$GX$19:$HD$19,1,BA197))/12,0)))</f>
        <v>0</v>
      </c>
      <c r="BB200" s="28">
        <f>IF(BB197=0,IF('Lease Cycles'!$F$19&gt;0,'Lease Cycles'!$C$19*'Lease Cycles'!$E$19/12,0),IF(BB199=1,IF('Lease Cycles'!$AT$19&gt;=9999,'Lease Cycles'!$C$19*INDEX('Lease Cycles'!$CB$19:$CH$19,1,BB197)*(1+INDEX('Lease Cycles'!$CI$19:$CO$19,1,BB197))^INT(INT(BB198/12)/INDEX('Lease Cycles'!$CP$19:$CV$19,1,BB197))/12,IF(BB197=1,IF(BB198&gt;=INDEX('Lease Cycles'!$DK$19:$DQ$19,1,BB197),IF(BB$6&gt;='Lease Cycles'!$AZ$19,'Lease Cycles'!$C$19*'Lease Cycles'!$BA$19/12,IF(BB$6&gt;='Lease Cycles'!$AX$19,'Lease Cycles'!$C$19*'Lease Cycles'!$AY$19/12,IF(BB$6&gt;='Lease Cycles'!$AV$19,'Lease Cycles'!$C$19*'Lease Cycles'!$AW$19/12,IF(BB$6&gt;='Lease Cycles'!$AT$19,'Lease Cycles'!$C$19*'Lease Cycles'!$AU$19/12,'Lease Cycles'!$C$19*INDEX('Lease Cycles'!$CB$19:$CH$19,1,BB197)*(1+INDEX('Lease Cycles'!$CI$19:$CO$19,1,BB197))^INT(INT(BB198/12)/INDEX('Lease Cycles'!$CP$19:$CV$19,1,BB197))/12)))),'Lease Cycles'!$C$19*INDEX('Lease Cycles'!$CB$19:$CH$19,1,BB197)*(1+INDEX('Lease Cycles'!$CI$19:$CO$19,1,BB197))^INT(INT(BB198/12)/INDEX('Lease Cycles'!$CP$19:$CV$19,1,BB197))/12),IF(INDEX('Lease Cycles'!$EF$19:$EL$19,1,BB197)=1,IF(AND('Lease Cycles'!$AZ$19&gt;=INDEX('Lease Cycles'!$BG$19:$BM$19,1,BB197),'Lease Cycles'!$AZ$19&lt;=BB$6),'Lease Cycles'!$C$19*'Lease Cycles'!$BA$19/12,IF(AND('Lease Cycles'!$AX$19&gt;=INDEX('Lease Cycles'!$BG$19:$BM$19,1,BB197),'Lease Cycles'!$AX$19&lt;=BB$6),'Lease Cycles'!$C$19*'Lease Cycles'!$AY$19/12,IF(AND('Lease Cycles'!$AV$19&gt;=INDEX('Lease Cycles'!$BG$19:$BM$19,1,BB197),'Lease Cycles'!$AV$19&lt;=BB$6),'Lease Cycles'!$C$19*'Lease Cycles'!$AW$19/12,IF(AND('Lease Cycles'!$AT$19&gt;=INDEX('Lease Cycles'!$BG$19:$BM$19,1,BB197),'Lease Cycles'!$AT$19&lt;=BB$6),'Lease Cycles'!$C$19*'Lease Cycles'!$AU$19/12,'Lease Cycles'!$C$19*INDEX('Lease Cycles'!$CB$19:$CH$19,1,BB197)*(1+INDEX('Lease Cycles'!$CI$19:$CO$19,1,BB197))^INT(INT(BB198/12)/INDEX('Lease Cycles'!$CP$19:$CV$19,1,BB197))/12)))),'Lease Cycles'!$C$19*INDEX('Lease Cycles'!$CB$19:$CH$19,1,BB197)*(1+INDEX('Lease Cycles'!$CI$19:$CO$19,1,BB197))^INT(INT(BB198/12)/INDEX('Lease Cycles'!$CP$19:$CV$19,1,BB197))/12))),IF('Lease Cycles'!$N$19=1,'Lease Cycles'!$C$19*'Lease Cycles'!$E$19*INDEX('Lease Cycles'!$HE$19:$HK$19,1,BB197)*(1+INDEX('Lease Cycles'!$GQ$19:$GW$19,1,BB197))^INT(INT((BB$6-INDEX('Lease Cycles'!$GJ$19:$GP$19,1,BB197))/12)/INDEX('Lease Cycles'!$GX$19:$HD$19,1,BB197))/12,0)))</f>
        <v>0</v>
      </c>
      <c r="BC200" s="28">
        <f>IF(BC197=0,IF('Lease Cycles'!$F$19&gt;0,'Lease Cycles'!$C$19*'Lease Cycles'!$E$19/12,0),IF(BC199=1,IF('Lease Cycles'!$AT$19&gt;=9999,'Lease Cycles'!$C$19*INDEX('Lease Cycles'!$CB$19:$CH$19,1,BC197)*(1+INDEX('Lease Cycles'!$CI$19:$CO$19,1,BC197))^INT(INT(BC198/12)/INDEX('Lease Cycles'!$CP$19:$CV$19,1,BC197))/12,IF(BC197=1,IF(BC198&gt;=INDEX('Lease Cycles'!$DK$19:$DQ$19,1,BC197),IF(BC$6&gt;='Lease Cycles'!$AZ$19,'Lease Cycles'!$C$19*'Lease Cycles'!$BA$19/12,IF(BC$6&gt;='Lease Cycles'!$AX$19,'Lease Cycles'!$C$19*'Lease Cycles'!$AY$19/12,IF(BC$6&gt;='Lease Cycles'!$AV$19,'Lease Cycles'!$C$19*'Lease Cycles'!$AW$19/12,IF(BC$6&gt;='Lease Cycles'!$AT$19,'Lease Cycles'!$C$19*'Lease Cycles'!$AU$19/12,'Lease Cycles'!$C$19*INDEX('Lease Cycles'!$CB$19:$CH$19,1,BC197)*(1+INDEX('Lease Cycles'!$CI$19:$CO$19,1,BC197))^INT(INT(BC198/12)/INDEX('Lease Cycles'!$CP$19:$CV$19,1,BC197))/12)))),'Lease Cycles'!$C$19*INDEX('Lease Cycles'!$CB$19:$CH$19,1,BC197)*(1+INDEX('Lease Cycles'!$CI$19:$CO$19,1,BC197))^INT(INT(BC198/12)/INDEX('Lease Cycles'!$CP$19:$CV$19,1,BC197))/12),IF(INDEX('Lease Cycles'!$EF$19:$EL$19,1,BC197)=1,IF(AND('Lease Cycles'!$AZ$19&gt;=INDEX('Lease Cycles'!$BG$19:$BM$19,1,BC197),'Lease Cycles'!$AZ$19&lt;=BC$6),'Lease Cycles'!$C$19*'Lease Cycles'!$BA$19/12,IF(AND('Lease Cycles'!$AX$19&gt;=INDEX('Lease Cycles'!$BG$19:$BM$19,1,BC197),'Lease Cycles'!$AX$19&lt;=BC$6),'Lease Cycles'!$C$19*'Lease Cycles'!$AY$19/12,IF(AND('Lease Cycles'!$AV$19&gt;=INDEX('Lease Cycles'!$BG$19:$BM$19,1,BC197),'Lease Cycles'!$AV$19&lt;=BC$6),'Lease Cycles'!$C$19*'Lease Cycles'!$AW$19/12,IF(AND('Lease Cycles'!$AT$19&gt;=INDEX('Lease Cycles'!$BG$19:$BM$19,1,BC197),'Lease Cycles'!$AT$19&lt;=BC$6),'Lease Cycles'!$C$19*'Lease Cycles'!$AU$19/12,'Lease Cycles'!$C$19*INDEX('Lease Cycles'!$CB$19:$CH$19,1,BC197)*(1+INDEX('Lease Cycles'!$CI$19:$CO$19,1,BC197))^INT(INT(BC198/12)/INDEX('Lease Cycles'!$CP$19:$CV$19,1,BC197))/12)))),'Lease Cycles'!$C$19*INDEX('Lease Cycles'!$CB$19:$CH$19,1,BC197)*(1+INDEX('Lease Cycles'!$CI$19:$CO$19,1,BC197))^INT(INT(BC198/12)/INDEX('Lease Cycles'!$CP$19:$CV$19,1,BC197))/12))),IF('Lease Cycles'!$N$19=1,'Lease Cycles'!$C$19*'Lease Cycles'!$E$19*INDEX('Lease Cycles'!$HE$19:$HK$19,1,BC197)*(1+INDEX('Lease Cycles'!$GQ$19:$GW$19,1,BC197))^INT(INT((BC$6-INDEX('Lease Cycles'!$GJ$19:$GP$19,1,BC197))/12)/INDEX('Lease Cycles'!$GX$19:$HD$19,1,BC197))/12,0)))</f>
        <v>0</v>
      </c>
      <c r="BD200" s="28">
        <f>IF(BD197=0,IF('Lease Cycles'!$F$19&gt;0,'Lease Cycles'!$C$19*'Lease Cycles'!$E$19/12,0),IF(BD199=1,IF('Lease Cycles'!$AT$19&gt;=9999,'Lease Cycles'!$C$19*INDEX('Lease Cycles'!$CB$19:$CH$19,1,BD197)*(1+INDEX('Lease Cycles'!$CI$19:$CO$19,1,BD197))^INT(INT(BD198/12)/INDEX('Lease Cycles'!$CP$19:$CV$19,1,BD197))/12,IF(BD197=1,IF(BD198&gt;=INDEX('Lease Cycles'!$DK$19:$DQ$19,1,BD197),IF(BD$6&gt;='Lease Cycles'!$AZ$19,'Lease Cycles'!$C$19*'Lease Cycles'!$BA$19/12,IF(BD$6&gt;='Lease Cycles'!$AX$19,'Lease Cycles'!$C$19*'Lease Cycles'!$AY$19/12,IF(BD$6&gt;='Lease Cycles'!$AV$19,'Lease Cycles'!$C$19*'Lease Cycles'!$AW$19/12,IF(BD$6&gt;='Lease Cycles'!$AT$19,'Lease Cycles'!$C$19*'Lease Cycles'!$AU$19/12,'Lease Cycles'!$C$19*INDEX('Lease Cycles'!$CB$19:$CH$19,1,BD197)*(1+INDEX('Lease Cycles'!$CI$19:$CO$19,1,BD197))^INT(INT(BD198/12)/INDEX('Lease Cycles'!$CP$19:$CV$19,1,BD197))/12)))),'Lease Cycles'!$C$19*INDEX('Lease Cycles'!$CB$19:$CH$19,1,BD197)*(1+INDEX('Lease Cycles'!$CI$19:$CO$19,1,BD197))^INT(INT(BD198/12)/INDEX('Lease Cycles'!$CP$19:$CV$19,1,BD197))/12),IF(INDEX('Lease Cycles'!$EF$19:$EL$19,1,BD197)=1,IF(AND('Lease Cycles'!$AZ$19&gt;=INDEX('Lease Cycles'!$BG$19:$BM$19,1,BD197),'Lease Cycles'!$AZ$19&lt;=BD$6),'Lease Cycles'!$C$19*'Lease Cycles'!$BA$19/12,IF(AND('Lease Cycles'!$AX$19&gt;=INDEX('Lease Cycles'!$BG$19:$BM$19,1,BD197),'Lease Cycles'!$AX$19&lt;=BD$6),'Lease Cycles'!$C$19*'Lease Cycles'!$AY$19/12,IF(AND('Lease Cycles'!$AV$19&gt;=INDEX('Lease Cycles'!$BG$19:$BM$19,1,BD197),'Lease Cycles'!$AV$19&lt;=BD$6),'Lease Cycles'!$C$19*'Lease Cycles'!$AW$19/12,IF(AND('Lease Cycles'!$AT$19&gt;=INDEX('Lease Cycles'!$BG$19:$BM$19,1,BD197),'Lease Cycles'!$AT$19&lt;=BD$6),'Lease Cycles'!$C$19*'Lease Cycles'!$AU$19/12,'Lease Cycles'!$C$19*INDEX('Lease Cycles'!$CB$19:$CH$19,1,BD197)*(1+INDEX('Lease Cycles'!$CI$19:$CO$19,1,BD197))^INT(INT(BD198/12)/INDEX('Lease Cycles'!$CP$19:$CV$19,1,BD197))/12)))),'Lease Cycles'!$C$19*INDEX('Lease Cycles'!$CB$19:$CH$19,1,BD197)*(1+INDEX('Lease Cycles'!$CI$19:$CO$19,1,BD197))^INT(INT(BD198/12)/INDEX('Lease Cycles'!$CP$19:$CV$19,1,BD197))/12))),IF('Lease Cycles'!$N$19=1,'Lease Cycles'!$C$19*'Lease Cycles'!$E$19*INDEX('Lease Cycles'!$HE$19:$HK$19,1,BD197)*(1+INDEX('Lease Cycles'!$GQ$19:$GW$19,1,BD197))^INT(INT((BD$6-INDEX('Lease Cycles'!$GJ$19:$GP$19,1,BD197))/12)/INDEX('Lease Cycles'!$GX$19:$HD$19,1,BD197))/12,0)))</f>
        <v>0</v>
      </c>
      <c r="BE200" s="28">
        <f>IF(BE197=0,IF('Lease Cycles'!$F$19&gt;0,'Lease Cycles'!$C$19*'Lease Cycles'!$E$19/12,0),IF(BE199=1,IF('Lease Cycles'!$AT$19&gt;=9999,'Lease Cycles'!$C$19*INDEX('Lease Cycles'!$CB$19:$CH$19,1,BE197)*(1+INDEX('Lease Cycles'!$CI$19:$CO$19,1,BE197))^INT(INT(BE198/12)/INDEX('Lease Cycles'!$CP$19:$CV$19,1,BE197))/12,IF(BE197=1,IF(BE198&gt;=INDEX('Lease Cycles'!$DK$19:$DQ$19,1,BE197),IF(BE$6&gt;='Lease Cycles'!$AZ$19,'Lease Cycles'!$C$19*'Lease Cycles'!$BA$19/12,IF(BE$6&gt;='Lease Cycles'!$AX$19,'Lease Cycles'!$C$19*'Lease Cycles'!$AY$19/12,IF(BE$6&gt;='Lease Cycles'!$AV$19,'Lease Cycles'!$C$19*'Lease Cycles'!$AW$19/12,IF(BE$6&gt;='Lease Cycles'!$AT$19,'Lease Cycles'!$C$19*'Lease Cycles'!$AU$19/12,'Lease Cycles'!$C$19*INDEX('Lease Cycles'!$CB$19:$CH$19,1,BE197)*(1+INDEX('Lease Cycles'!$CI$19:$CO$19,1,BE197))^INT(INT(BE198/12)/INDEX('Lease Cycles'!$CP$19:$CV$19,1,BE197))/12)))),'Lease Cycles'!$C$19*INDEX('Lease Cycles'!$CB$19:$CH$19,1,BE197)*(1+INDEX('Lease Cycles'!$CI$19:$CO$19,1,BE197))^INT(INT(BE198/12)/INDEX('Lease Cycles'!$CP$19:$CV$19,1,BE197))/12),IF(INDEX('Lease Cycles'!$EF$19:$EL$19,1,BE197)=1,IF(AND('Lease Cycles'!$AZ$19&gt;=INDEX('Lease Cycles'!$BG$19:$BM$19,1,BE197),'Lease Cycles'!$AZ$19&lt;=BE$6),'Lease Cycles'!$C$19*'Lease Cycles'!$BA$19/12,IF(AND('Lease Cycles'!$AX$19&gt;=INDEX('Lease Cycles'!$BG$19:$BM$19,1,BE197),'Lease Cycles'!$AX$19&lt;=BE$6),'Lease Cycles'!$C$19*'Lease Cycles'!$AY$19/12,IF(AND('Lease Cycles'!$AV$19&gt;=INDEX('Lease Cycles'!$BG$19:$BM$19,1,BE197),'Lease Cycles'!$AV$19&lt;=BE$6),'Lease Cycles'!$C$19*'Lease Cycles'!$AW$19/12,IF(AND('Lease Cycles'!$AT$19&gt;=INDEX('Lease Cycles'!$BG$19:$BM$19,1,BE197),'Lease Cycles'!$AT$19&lt;=BE$6),'Lease Cycles'!$C$19*'Lease Cycles'!$AU$19/12,'Lease Cycles'!$C$19*INDEX('Lease Cycles'!$CB$19:$CH$19,1,BE197)*(1+INDEX('Lease Cycles'!$CI$19:$CO$19,1,BE197))^INT(INT(BE198/12)/INDEX('Lease Cycles'!$CP$19:$CV$19,1,BE197))/12)))),'Lease Cycles'!$C$19*INDEX('Lease Cycles'!$CB$19:$CH$19,1,BE197)*(1+INDEX('Lease Cycles'!$CI$19:$CO$19,1,BE197))^INT(INT(BE198/12)/INDEX('Lease Cycles'!$CP$19:$CV$19,1,BE197))/12))),IF('Lease Cycles'!$N$19=1,'Lease Cycles'!$C$19*'Lease Cycles'!$E$19*INDEX('Lease Cycles'!$HE$19:$HK$19,1,BE197)*(1+INDEX('Lease Cycles'!$GQ$19:$GW$19,1,BE197))^INT(INT((BE$6-INDEX('Lease Cycles'!$GJ$19:$GP$19,1,BE197))/12)/INDEX('Lease Cycles'!$GX$19:$HD$19,1,BE197))/12,0)))</f>
        <v>0</v>
      </c>
      <c r="BF200" s="28">
        <f>IF(BF197=0,IF('Lease Cycles'!$F$19&gt;0,'Lease Cycles'!$C$19*'Lease Cycles'!$E$19/12,0),IF(BF199=1,IF('Lease Cycles'!$AT$19&gt;=9999,'Lease Cycles'!$C$19*INDEX('Lease Cycles'!$CB$19:$CH$19,1,BF197)*(1+INDEX('Lease Cycles'!$CI$19:$CO$19,1,BF197))^INT(INT(BF198/12)/INDEX('Lease Cycles'!$CP$19:$CV$19,1,BF197))/12,IF(BF197=1,IF(BF198&gt;=INDEX('Lease Cycles'!$DK$19:$DQ$19,1,BF197),IF(BF$6&gt;='Lease Cycles'!$AZ$19,'Lease Cycles'!$C$19*'Lease Cycles'!$BA$19/12,IF(BF$6&gt;='Lease Cycles'!$AX$19,'Lease Cycles'!$C$19*'Lease Cycles'!$AY$19/12,IF(BF$6&gt;='Lease Cycles'!$AV$19,'Lease Cycles'!$C$19*'Lease Cycles'!$AW$19/12,IF(BF$6&gt;='Lease Cycles'!$AT$19,'Lease Cycles'!$C$19*'Lease Cycles'!$AU$19/12,'Lease Cycles'!$C$19*INDEX('Lease Cycles'!$CB$19:$CH$19,1,BF197)*(1+INDEX('Lease Cycles'!$CI$19:$CO$19,1,BF197))^INT(INT(BF198/12)/INDEX('Lease Cycles'!$CP$19:$CV$19,1,BF197))/12)))),'Lease Cycles'!$C$19*INDEX('Lease Cycles'!$CB$19:$CH$19,1,BF197)*(1+INDEX('Lease Cycles'!$CI$19:$CO$19,1,BF197))^INT(INT(BF198/12)/INDEX('Lease Cycles'!$CP$19:$CV$19,1,BF197))/12),IF(INDEX('Lease Cycles'!$EF$19:$EL$19,1,BF197)=1,IF(AND('Lease Cycles'!$AZ$19&gt;=INDEX('Lease Cycles'!$BG$19:$BM$19,1,BF197),'Lease Cycles'!$AZ$19&lt;=BF$6),'Lease Cycles'!$C$19*'Lease Cycles'!$BA$19/12,IF(AND('Lease Cycles'!$AX$19&gt;=INDEX('Lease Cycles'!$BG$19:$BM$19,1,BF197),'Lease Cycles'!$AX$19&lt;=BF$6),'Lease Cycles'!$C$19*'Lease Cycles'!$AY$19/12,IF(AND('Lease Cycles'!$AV$19&gt;=INDEX('Lease Cycles'!$BG$19:$BM$19,1,BF197),'Lease Cycles'!$AV$19&lt;=BF$6),'Lease Cycles'!$C$19*'Lease Cycles'!$AW$19/12,IF(AND('Lease Cycles'!$AT$19&gt;=INDEX('Lease Cycles'!$BG$19:$BM$19,1,BF197),'Lease Cycles'!$AT$19&lt;=BF$6),'Lease Cycles'!$C$19*'Lease Cycles'!$AU$19/12,'Lease Cycles'!$C$19*INDEX('Lease Cycles'!$CB$19:$CH$19,1,BF197)*(1+INDEX('Lease Cycles'!$CI$19:$CO$19,1,BF197))^INT(INT(BF198/12)/INDEX('Lease Cycles'!$CP$19:$CV$19,1,BF197))/12)))),'Lease Cycles'!$C$19*INDEX('Lease Cycles'!$CB$19:$CH$19,1,BF197)*(1+INDEX('Lease Cycles'!$CI$19:$CO$19,1,BF197))^INT(INT(BF198/12)/INDEX('Lease Cycles'!$CP$19:$CV$19,1,BF197))/12))),IF('Lease Cycles'!$N$19=1,'Lease Cycles'!$C$19*'Lease Cycles'!$E$19*INDEX('Lease Cycles'!$HE$19:$HK$19,1,BF197)*(1+INDEX('Lease Cycles'!$GQ$19:$GW$19,1,BF197))^INT(INT((BF$6-INDEX('Lease Cycles'!$GJ$19:$GP$19,1,BF197))/12)/INDEX('Lease Cycles'!$GX$19:$HD$19,1,BF197))/12,0)))</f>
        <v>0</v>
      </c>
      <c r="BG200" s="28">
        <f>IF(BG197=0,IF('Lease Cycles'!$F$19&gt;0,'Lease Cycles'!$C$19*'Lease Cycles'!$E$19/12,0),IF(BG199=1,IF('Lease Cycles'!$AT$19&gt;=9999,'Lease Cycles'!$C$19*INDEX('Lease Cycles'!$CB$19:$CH$19,1,BG197)*(1+INDEX('Lease Cycles'!$CI$19:$CO$19,1,BG197))^INT(INT(BG198/12)/INDEX('Lease Cycles'!$CP$19:$CV$19,1,BG197))/12,IF(BG197=1,IF(BG198&gt;=INDEX('Lease Cycles'!$DK$19:$DQ$19,1,BG197),IF(BG$6&gt;='Lease Cycles'!$AZ$19,'Lease Cycles'!$C$19*'Lease Cycles'!$BA$19/12,IF(BG$6&gt;='Lease Cycles'!$AX$19,'Lease Cycles'!$C$19*'Lease Cycles'!$AY$19/12,IF(BG$6&gt;='Lease Cycles'!$AV$19,'Lease Cycles'!$C$19*'Lease Cycles'!$AW$19/12,IF(BG$6&gt;='Lease Cycles'!$AT$19,'Lease Cycles'!$C$19*'Lease Cycles'!$AU$19/12,'Lease Cycles'!$C$19*INDEX('Lease Cycles'!$CB$19:$CH$19,1,BG197)*(1+INDEX('Lease Cycles'!$CI$19:$CO$19,1,BG197))^INT(INT(BG198/12)/INDEX('Lease Cycles'!$CP$19:$CV$19,1,BG197))/12)))),'Lease Cycles'!$C$19*INDEX('Lease Cycles'!$CB$19:$CH$19,1,BG197)*(1+INDEX('Lease Cycles'!$CI$19:$CO$19,1,BG197))^INT(INT(BG198/12)/INDEX('Lease Cycles'!$CP$19:$CV$19,1,BG197))/12),IF(INDEX('Lease Cycles'!$EF$19:$EL$19,1,BG197)=1,IF(AND('Lease Cycles'!$AZ$19&gt;=INDEX('Lease Cycles'!$BG$19:$BM$19,1,BG197),'Lease Cycles'!$AZ$19&lt;=BG$6),'Lease Cycles'!$C$19*'Lease Cycles'!$BA$19/12,IF(AND('Lease Cycles'!$AX$19&gt;=INDEX('Lease Cycles'!$BG$19:$BM$19,1,BG197),'Lease Cycles'!$AX$19&lt;=BG$6),'Lease Cycles'!$C$19*'Lease Cycles'!$AY$19/12,IF(AND('Lease Cycles'!$AV$19&gt;=INDEX('Lease Cycles'!$BG$19:$BM$19,1,BG197),'Lease Cycles'!$AV$19&lt;=BG$6),'Lease Cycles'!$C$19*'Lease Cycles'!$AW$19/12,IF(AND('Lease Cycles'!$AT$19&gt;=INDEX('Lease Cycles'!$BG$19:$BM$19,1,BG197),'Lease Cycles'!$AT$19&lt;=BG$6),'Lease Cycles'!$C$19*'Lease Cycles'!$AU$19/12,'Lease Cycles'!$C$19*INDEX('Lease Cycles'!$CB$19:$CH$19,1,BG197)*(1+INDEX('Lease Cycles'!$CI$19:$CO$19,1,BG197))^INT(INT(BG198/12)/INDEX('Lease Cycles'!$CP$19:$CV$19,1,BG197))/12)))),'Lease Cycles'!$C$19*INDEX('Lease Cycles'!$CB$19:$CH$19,1,BG197)*(1+INDEX('Lease Cycles'!$CI$19:$CO$19,1,BG197))^INT(INT(BG198/12)/INDEX('Lease Cycles'!$CP$19:$CV$19,1,BG197))/12))),IF('Lease Cycles'!$N$19=1,'Lease Cycles'!$C$19*'Lease Cycles'!$E$19*INDEX('Lease Cycles'!$HE$19:$HK$19,1,BG197)*(1+INDEX('Lease Cycles'!$GQ$19:$GW$19,1,BG197))^INT(INT((BG$6-INDEX('Lease Cycles'!$GJ$19:$GP$19,1,BG197))/12)/INDEX('Lease Cycles'!$GX$19:$HD$19,1,BG197))/12,0)))</f>
        <v>0</v>
      </c>
      <c r="BH200" s="28">
        <f>IF(BH197=0,IF('Lease Cycles'!$F$19&gt;0,'Lease Cycles'!$C$19*'Lease Cycles'!$E$19/12,0),IF(BH199=1,IF('Lease Cycles'!$AT$19&gt;=9999,'Lease Cycles'!$C$19*INDEX('Lease Cycles'!$CB$19:$CH$19,1,BH197)*(1+INDEX('Lease Cycles'!$CI$19:$CO$19,1,BH197))^INT(INT(BH198/12)/INDEX('Lease Cycles'!$CP$19:$CV$19,1,BH197))/12,IF(BH197=1,IF(BH198&gt;=INDEX('Lease Cycles'!$DK$19:$DQ$19,1,BH197),IF(BH$6&gt;='Lease Cycles'!$AZ$19,'Lease Cycles'!$C$19*'Lease Cycles'!$BA$19/12,IF(BH$6&gt;='Lease Cycles'!$AX$19,'Lease Cycles'!$C$19*'Lease Cycles'!$AY$19/12,IF(BH$6&gt;='Lease Cycles'!$AV$19,'Lease Cycles'!$C$19*'Lease Cycles'!$AW$19/12,IF(BH$6&gt;='Lease Cycles'!$AT$19,'Lease Cycles'!$C$19*'Lease Cycles'!$AU$19/12,'Lease Cycles'!$C$19*INDEX('Lease Cycles'!$CB$19:$CH$19,1,BH197)*(1+INDEX('Lease Cycles'!$CI$19:$CO$19,1,BH197))^INT(INT(BH198/12)/INDEX('Lease Cycles'!$CP$19:$CV$19,1,BH197))/12)))),'Lease Cycles'!$C$19*INDEX('Lease Cycles'!$CB$19:$CH$19,1,BH197)*(1+INDEX('Lease Cycles'!$CI$19:$CO$19,1,BH197))^INT(INT(BH198/12)/INDEX('Lease Cycles'!$CP$19:$CV$19,1,BH197))/12),IF(INDEX('Lease Cycles'!$EF$19:$EL$19,1,BH197)=1,IF(AND('Lease Cycles'!$AZ$19&gt;=INDEX('Lease Cycles'!$BG$19:$BM$19,1,BH197),'Lease Cycles'!$AZ$19&lt;=BH$6),'Lease Cycles'!$C$19*'Lease Cycles'!$BA$19/12,IF(AND('Lease Cycles'!$AX$19&gt;=INDEX('Lease Cycles'!$BG$19:$BM$19,1,BH197),'Lease Cycles'!$AX$19&lt;=BH$6),'Lease Cycles'!$C$19*'Lease Cycles'!$AY$19/12,IF(AND('Lease Cycles'!$AV$19&gt;=INDEX('Lease Cycles'!$BG$19:$BM$19,1,BH197),'Lease Cycles'!$AV$19&lt;=BH$6),'Lease Cycles'!$C$19*'Lease Cycles'!$AW$19/12,IF(AND('Lease Cycles'!$AT$19&gt;=INDEX('Lease Cycles'!$BG$19:$BM$19,1,BH197),'Lease Cycles'!$AT$19&lt;=BH$6),'Lease Cycles'!$C$19*'Lease Cycles'!$AU$19/12,'Lease Cycles'!$C$19*INDEX('Lease Cycles'!$CB$19:$CH$19,1,BH197)*(1+INDEX('Lease Cycles'!$CI$19:$CO$19,1,BH197))^INT(INT(BH198/12)/INDEX('Lease Cycles'!$CP$19:$CV$19,1,BH197))/12)))),'Lease Cycles'!$C$19*INDEX('Lease Cycles'!$CB$19:$CH$19,1,BH197)*(1+INDEX('Lease Cycles'!$CI$19:$CO$19,1,BH197))^INT(INT(BH198/12)/INDEX('Lease Cycles'!$CP$19:$CV$19,1,BH197))/12))),IF('Lease Cycles'!$N$19=1,'Lease Cycles'!$C$19*'Lease Cycles'!$E$19*INDEX('Lease Cycles'!$HE$19:$HK$19,1,BH197)*(1+INDEX('Lease Cycles'!$GQ$19:$GW$19,1,BH197))^INT(INT((BH$6-INDEX('Lease Cycles'!$GJ$19:$GP$19,1,BH197))/12)/INDEX('Lease Cycles'!$GX$19:$HD$19,1,BH197))/12,0)))</f>
        <v>0</v>
      </c>
      <c r="BI200" s="28">
        <f>IF(BI197=0,IF('Lease Cycles'!$F$19&gt;0,'Lease Cycles'!$C$19*'Lease Cycles'!$E$19/12,0),IF(BI199=1,IF('Lease Cycles'!$AT$19&gt;=9999,'Lease Cycles'!$C$19*INDEX('Lease Cycles'!$CB$19:$CH$19,1,BI197)*(1+INDEX('Lease Cycles'!$CI$19:$CO$19,1,BI197))^INT(INT(BI198/12)/INDEX('Lease Cycles'!$CP$19:$CV$19,1,BI197))/12,IF(BI197=1,IF(BI198&gt;=INDEX('Lease Cycles'!$DK$19:$DQ$19,1,BI197),IF(BI$6&gt;='Lease Cycles'!$AZ$19,'Lease Cycles'!$C$19*'Lease Cycles'!$BA$19/12,IF(BI$6&gt;='Lease Cycles'!$AX$19,'Lease Cycles'!$C$19*'Lease Cycles'!$AY$19/12,IF(BI$6&gt;='Lease Cycles'!$AV$19,'Lease Cycles'!$C$19*'Lease Cycles'!$AW$19/12,IF(BI$6&gt;='Lease Cycles'!$AT$19,'Lease Cycles'!$C$19*'Lease Cycles'!$AU$19/12,'Lease Cycles'!$C$19*INDEX('Lease Cycles'!$CB$19:$CH$19,1,BI197)*(1+INDEX('Lease Cycles'!$CI$19:$CO$19,1,BI197))^INT(INT(BI198/12)/INDEX('Lease Cycles'!$CP$19:$CV$19,1,BI197))/12)))),'Lease Cycles'!$C$19*INDEX('Lease Cycles'!$CB$19:$CH$19,1,BI197)*(1+INDEX('Lease Cycles'!$CI$19:$CO$19,1,BI197))^INT(INT(BI198/12)/INDEX('Lease Cycles'!$CP$19:$CV$19,1,BI197))/12),IF(INDEX('Lease Cycles'!$EF$19:$EL$19,1,BI197)=1,IF(AND('Lease Cycles'!$AZ$19&gt;=INDEX('Lease Cycles'!$BG$19:$BM$19,1,BI197),'Lease Cycles'!$AZ$19&lt;=BI$6),'Lease Cycles'!$C$19*'Lease Cycles'!$BA$19/12,IF(AND('Lease Cycles'!$AX$19&gt;=INDEX('Lease Cycles'!$BG$19:$BM$19,1,BI197),'Lease Cycles'!$AX$19&lt;=BI$6),'Lease Cycles'!$C$19*'Lease Cycles'!$AY$19/12,IF(AND('Lease Cycles'!$AV$19&gt;=INDEX('Lease Cycles'!$BG$19:$BM$19,1,BI197),'Lease Cycles'!$AV$19&lt;=BI$6),'Lease Cycles'!$C$19*'Lease Cycles'!$AW$19/12,IF(AND('Lease Cycles'!$AT$19&gt;=INDEX('Lease Cycles'!$BG$19:$BM$19,1,BI197),'Lease Cycles'!$AT$19&lt;=BI$6),'Lease Cycles'!$C$19*'Lease Cycles'!$AU$19/12,'Lease Cycles'!$C$19*INDEX('Lease Cycles'!$CB$19:$CH$19,1,BI197)*(1+INDEX('Lease Cycles'!$CI$19:$CO$19,1,BI197))^INT(INT(BI198/12)/INDEX('Lease Cycles'!$CP$19:$CV$19,1,BI197))/12)))),'Lease Cycles'!$C$19*INDEX('Lease Cycles'!$CB$19:$CH$19,1,BI197)*(1+INDEX('Lease Cycles'!$CI$19:$CO$19,1,BI197))^INT(INT(BI198/12)/INDEX('Lease Cycles'!$CP$19:$CV$19,1,BI197))/12))),IF('Lease Cycles'!$N$19=1,'Lease Cycles'!$C$19*'Lease Cycles'!$E$19*INDEX('Lease Cycles'!$HE$19:$HK$19,1,BI197)*(1+INDEX('Lease Cycles'!$GQ$19:$GW$19,1,BI197))^INT(INT((BI$6-INDEX('Lease Cycles'!$GJ$19:$GP$19,1,BI197))/12)/INDEX('Lease Cycles'!$GX$19:$HD$19,1,BI197))/12,0)))</f>
        <v>0</v>
      </c>
      <c r="BJ200" s="28">
        <f>IF(BJ197=0,IF('Lease Cycles'!$F$19&gt;0,'Lease Cycles'!$C$19*'Lease Cycles'!$E$19/12,0),IF(BJ199=1,IF('Lease Cycles'!$AT$19&gt;=9999,'Lease Cycles'!$C$19*INDEX('Lease Cycles'!$CB$19:$CH$19,1,BJ197)*(1+INDEX('Lease Cycles'!$CI$19:$CO$19,1,BJ197))^INT(INT(BJ198/12)/INDEX('Lease Cycles'!$CP$19:$CV$19,1,BJ197))/12,IF(BJ197=1,IF(BJ198&gt;=INDEX('Lease Cycles'!$DK$19:$DQ$19,1,BJ197),IF(BJ$6&gt;='Lease Cycles'!$AZ$19,'Lease Cycles'!$C$19*'Lease Cycles'!$BA$19/12,IF(BJ$6&gt;='Lease Cycles'!$AX$19,'Lease Cycles'!$C$19*'Lease Cycles'!$AY$19/12,IF(BJ$6&gt;='Lease Cycles'!$AV$19,'Lease Cycles'!$C$19*'Lease Cycles'!$AW$19/12,IF(BJ$6&gt;='Lease Cycles'!$AT$19,'Lease Cycles'!$C$19*'Lease Cycles'!$AU$19/12,'Lease Cycles'!$C$19*INDEX('Lease Cycles'!$CB$19:$CH$19,1,BJ197)*(1+INDEX('Lease Cycles'!$CI$19:$CO$19,1,BJ197))^INT(INT(BJ198/12)/INDEX('Lease Cycles'!$CP$19:$CV$19,1,BJ197))/12)))),'Lease Cycles'!$C$19*INDEX('Lease Cycles'!$CB$19:$CH$19,1,BJ197)*(1+INDEX('Lease Cycles'!$CI$19:$CO$19,1,BJ197))^INT(INT(BJ198/12)/INDEX('Lease Cycles'!$CP$19:$CV$19,1,BJ197))/12),IF(INDEX('Lease Cycles'!$EF$19:$EL$19,1,BJ197)=1,IF(AND('Lease Cycles'!$AZ$19&gt;=INDEX('Lease Cycles'!$BG$19:$BM$19,1,BJ197),'Lease Cycles'!$AZ$19&lt;=BJ$6),'Lease Cycles'!$C$19*'Lease Cycles'!$BA$19/12,IF(AND('Lease Cycles'!$AX$19&gt;=INDEX('Lease Cycles'!$BG$19:$BM$19,1,BJ197),'Lease Cycles'!$AX$19&lt;=BJ$6),'Lease Cycles'!$C$19*'Lease Cycles'!$AY$19/12,IF(AND('Lease Cycles'!$AV$19&gt;=INDEX('Lease Cycles'!$BG$19:$BM$19,1,BJ197),'Lease Cycles'!$AV$19&lt;=BJ$6),'Lease Cycles'!$C$19*'Lease Cycles'!$AW$19/12,IF(AND('Lease Cycles'!$AT$19&gt;=INDEX('Lease Cycles'!$BG$19:$BM$19,1,BJ197),'Lease Cycles'!$AT$19&lt;=BJ$6),'Lease Cycles'!$C$19*'Lease Cycles'!$AU$19/12,'Lease Cycles'!$C$19*INDEX('Lease Cycles'!$CB$19:$CH$19,1,BJ197)*(1+INDEX('Lease Cycles'!$CI$19:$CO$19,1,BJ197))^INT(INT(BJ198/12)/INDEX('Lease Cycles'!$CP$19:$CV$19,1,BJ197))/12)))),'Lease Cycles'!$C$19*INDEX('Lease Cycles'!$CB$19:$CH$19,1,BJ197)*(1+INDEX('Lease Cycles'!$CI$19:$CO$19,1,BJ197))^INT(INT(BJ198/12)/INDEX('Lease Cycles'!$CP$19:$CV$19,1,BJ197))/12))),IF('Lease Cycles'!$N$19=1,'Lease Cycles'!$C$19*'Lease Cycles'!$E$19*INDEX('Lease Cycles'!$HE$19:$HK$19,1,BJ197)*(1+INDEX('Lease Cycles'!$GQ$19:$GW$19,1,BJ197))^INT(INT((BJ$6-INDEX('Lease Cycles'!$GJ$19:$GP$19,1,BJ197))/12)/INDEX('Lease Cycles'!$GX$19:$HD$19,1,BJ197))/12,0)))</f>
        <v>0</v>
      </c>
      <c r="BK200" s="28">
        <f>IF(BK197=0,IF('Lease Cycles'!$F$19&gt;0,'Lease Cycles'!$C$19*'Lease Cycles'!$E$19/12,0),IF(BK199=1,IF('Lease Cycles'!$AT$19&gt;=9999,'Lease Cycles'!$C$19*INDEX('Lease Cycles'!$CB$19:$CH$19,1,BK197)*(1+INDEX('Lease Cycles'!$CI$19:$CO$19,1,BK197))^INT(INT(BK198/12)/INDEX('Lease Cycles'!$CP$19:$CV$19,1,BK197))/12,IF(BK197=1,IF(BK198&gt;=INDEX('Lease Cycles'!$DK$19:$DQ$19,1,BK197),IF(BK$6&gt;='Lease Cycles'!$AZ$19,'Lease Cycles'!$C$19*'Lease Cycles'!$BA$19/12,IF(BK$6&gt;='Lease Cycles'!$AX$19,'Lease Cycles'!$C$19*'Lease Cycles'!$AY$19/12,IF(BK$6&gt;='Lease Cycles'!$AV$19,'Lease Cycles'!$C$19*'Lease Cycles'!$AW$19/12,IF(BK$6&gt;='Lease Cycles'!$AT$19,'Lease Cycles'!$C$19*'Lease Cycles'!$AU$19/12,'Lease Cycles'!$C$19*INDEX('Lease Cycles'!$CB$19:$CH$19,1,BK197)*(1+INDEX('Lease Cycles'!$CI$19:$CO$19,1,BK197))^INT(INT(BK198/12)/INDEX('Lease Cycles'!$CP$19:$CV$19,1,BK197))/12)))),'Lease Cycles'!$C$19*INDEX('Lease Cycles'!$CB$19:$CH$19,1,BK197)*(1+INDEX('Lease Cycles'!$CI$19:$CO$19,1,BK197))^INT(INT(BK198/12)/INDEX('Lease Cycles'!$CP$19:$CV$19,1,BK197))/12),IF(INDEX('Lease Cycles'!$EF$19:$EL$19,1,BK197)=1,IF(AND('Lease Cycles'!$AZ$19&gt;=INDEX('Lease Cycles'!$BG$19:$BM$19,1,BK197),'Lease Cycles'!$AZ$19&lt;=BK$6),'Lease Cycles'!$C$19*'Lease Cycles'!$BA$19/12,IF(AND('Lease Cycles'!$AX$19&gt;=INDEX('Lease Cycles'!$BG$19:$BM$19,1,BK197),'Lease Cycles'!$AX$19&lt;=BK$6),'Lease Cycles'!$C$19*'Lease Cycles'!$AY$19/12,IF(AND('Lease Cycles'!$AV$19&gt;=INDEX('Lease Cycles'!$BG$19:$BM$19,1,BK197),'Lease Cycles'!$AV$19&lt;=BK$6),'Lease Cycles'!$C$19*'Lease Cycles'!$AW$19/12,IF(AND('Lease Cycles'!$AT$19&gt;=INDEX('Lease Cycles'!$BG$19:$BM$19,1,BK197),'Lease Cycles'!$AT$19&lt;=BK$6),'Lease Cycles'!$C$19*'Lease Cycles'!$AU$19/12,'Lease Cycles'!$C$19*INDEX('Lease Cycles'!$CB$19:$CH$19,1,BK197)*(1+INDEX('Lease Cycles'!$CI$19:$CO$19,1,BK197))^INT(INT(BK198/12)/INDEX('Lease Cycles'!$CP$19:$CV$19,1,BK197))/12)))),'Lease Cycles'!$C$19*INDEX('Lease Cycles'!$CB$19:$CH$19,1,BK197)*(1+INDEX('Lease Cycles'!$CI$19:$CO$19,1,BK197))^INT(INT(BK198/12)/INDEX('Lease Cycles'!$CP$19:$CV$19,1,BK197))/12))),IF('Lease Cycles'!$N$19=1,'Lease Cycles'!$C$19*'Lease Cycles'!$E$19*INDEX('Lease Cycles'!$HE$19:$HK$19,1,BK197)*(1+INDEX('Lease Cycles'!$GQ$19:$GW$19,1,BK197))^INT(INT((BK$6-INDEX('Lease Cycles'!$GJ$19:$GP$19,1,BK197))/12)/INDEX('Lease Cycles'!$GX$19:$HD$19,1,BK197))/12,0)))</f>
        <v>0</v>
      </c>
      <c r="BL200" s="28">
        <f>IF(BL197=0,IF('Lease Cycles'!$F$19&gt;0,'Lease Cycles'!$C$19*'Lease Cycles'!$E$19/12,0),IF(BL199=1,IF('Lease Cycles'!$AT$19&gt;=9999,'Lease Cycles'!$C$19*INDEX('Lease Cycles'!$CB$19:$CH$19,1,BL197)*(1+INDEX('Lease Cycles'!$CI$19:$CO$19,1,BL197))^INT(INT(BL198/12)/INDEX('Lease Cycles'!$CP$19:$CV$19,1,BL197))/12,IF(BL197=1,IF(BL198&gt;=INDEX('Lease Cycles'!$DK$19:$DQ$19,1,BL197),IF(BL$6&gt;='Lease Cycles'!$AZ$19,'Lease Cycles'!$C$19*'Lease Cycles'!$BA$19/12,IF(BL$6&gt;='Lease Cycles'!$AX$19,'Lease Cycles'!$C$19*'Lease Cycles'!$AY$19/12,IF(BL$6&gt;='Lease Cycles'!$AV$19,'Lease Cycles'!$C$19*'Lease Cycles'!$AW$19/12,IF(BL$6&gt;='Lease Cycles'!$AT$19,'Lease Cycles'!$C$19*'Lease Cycles'!$AU$19/12,'Lease Cycles'!$C$19*INDEX('Lease Cycles'!$CB$19:$CH$19,1,BL197)*(1+INDEX('Lease Cycles'!$CI$19:$CO$19,1,BL197))^INT(INT(BL198/12)/INDEX('Lease Cycles'!$CP$19:$CV$19,1,BL197))/12)))),'Lease Cycles'!$C$19*INDEX('Lease Cycles'!$CB$19:$CH$19,1,BL197)*(1+INDEX('Lease Cycles'!$CI$19:$CO$19,1,BL197))^INT(INT(BL198/12)/INDEX('Lease Cycles'!$CP$19:$CV$19,1,BL197))/12),IF(INDEX('Lease Cycles'!$EF$19:$EL$19,1,BL197)=1,IF(AND('Lease Cycles'!$AZ$19&gt;=INDEX('Lease Cycles'!$BG$19:$BM$19,1,BL197),'Lease Cycles'!$AZ$19&lt;=BL$6),'Lease Cycles'!$C$19*'Lease Cycles'!$BA$19/12,IF(AND('Lease Cycles'!$AX$19&gt;=INDEX('Lease Cycles'!$BG$19:$BM$19,1,BL197),'Lease Cycles'!$AX$19&lt;=BL$6),'Lease Cycles'!$C$19*'Lease Cycles'!$AY$19/12,IF(AND('Lease Cycles'!$AV$19&gt;=INDEX('Lease Cycles'!$BG$19:$BM$19,1,BL197),'Lease Cycles'!$AV$19&lt;=BL$6),'Lease Cycles'!$C$19*'Lease Cycles'!$AW$19/12,IF(AND('Lease Cycles'!$AT$19&gt;=INDEX('Lease Cycles'!$BG$19:$BM$19,1,BL197),'Lease Cycles'!$AT$19&lt;=BL$6),'Lease Cycles'!$C$19*'Lease Cycles'!$AU$19/12,'Lease Cycles'!$C$19*INDEX('Lease Cycles'!$CB$19:$CH$19,1,BL197)*(1+INDEX('Lease Cycles'!$CI$19:$CO$19,1,BL197))^INT(INT(BL198/12)/INDEX('Lease Cycles'!$CP$19:$CV$19,1,BL197))/12)))),'Lease Cycles'!$C$19*INDEX('Lease Cycles'!$CB$19:$CH$19,1,BL197)*(1+INDEX('Lease Cycles'!$CI$19:$CO$19,1,BL197))^INT(INT(BL198/12)/INDEX('Lease Cycles'!$CP$19:$CV$19,1,BL197))/12))),IF('Lease Cycles'!$N$19=1,'Lease Cycles'!$C$19*'Lease Cycles'!$E$19*INDEX('Lease Cycles'!$HE$19:$HK$19,1,BL197)*(1+INDEX('Lease Cycles'!$GQ$19:$GW$19,1,BL197))^INT(INT((BL$6-INDEX('Lease Cycles'!$GJ$19:$GP$19,1,BL197))/12)/INDEX('Lease Cycles'!$GX$19:$HD$19,1,BL197))/12,0)))</f>
        <v>0</v>
      </c>
      <c r="BM200" s="28">
        <f>IF(BM197=0,IF('Lease Cycles'!$F$19&gt;0,'Lease Cycles'!$C$19*'Lease Cycles'!$E$19/12,0),IF(BM199=1,IF('Lease Cycles'!$AT$19&gt;=9999,'Lease Cycles'!$C$19*INDEX('Lease Cycles'!$CB$19:$CH$19,1,BM197)*(1+INDEX('Lease Cycles'!$CI$19:$CO$19,1,BM197))^INT(INT(BM198/12)/INDEX('Lease Cycles'!$CP$19:$CV$19,1,BM197))/12,IF(BM197=1,IF(BM198&gt;=INDEX('Lease Cycles'!$DK$19:$DQ$19,1,BM197),IF(BM$6&gt;='Lease Cycles'!$AZ$19,'Lease Cycles'!$C$19*'Lease Cycles'!$BA$19/12,IF(BM$6&gt;='Lease Cycles'!$AX$19,'Lease Cycles'!$C$19*'Lease Cycles'!$AY$19/12,IF(BM$6&gt;='Lease Cycles'!$AV$19,'Lease Cycles'!$C$19*'Lease Cycles'!$AW$19/12,IF(BM$6&gt;='Lease Cycles'!$AT$19,'Lease Cycles'!$C$19*'Lease Cycles'!$AU$19/12,'Lease Cycles'!$C$19*INDEX('Lease Cycles'!$CB$19:$CH$19,1,BM197)*(1+INDEX('Lease Cycles'!$CI$19:$CO$19,1,BM197))^INT(INT(BM198/12)/INDEX('Lease Cycles'!$CP$19:$CV$19,1,BM197))/12)))),'Lease Cycles'!$C$19*INDEX('Lease Cycles'!$CB$19:$CH$19,1,BM197)*(1+INDEX('Lease Cycles'!$CI$19:$CO$19,1,BM197))^INT(INT(BM198/12)/INDEX('Lease Cycles'!$CP$19:$CV$19,1,BM197))/12),IF(INDEX('Lease Cycles'!$EF$19:$EL$19,1,BM197)=1,IF(AND('Lease Cycles'!$AZ$19&gt;=INDEX('Lease Cycles'!$BG$19:$BM$19,1,BM197),'Lease Cycles'!$AZ$19&lt;=BM$6),'Lease Cycles'!$C$19*'Lease Cycles'!$BA$19/12,IF(AND('Lease Cycles'!$AX$19&gt;=INDEX('Lease Cycles'!$BG$19:$BM$19,1,BM197),'Lease Cycles'!$AX$19&lt;=BM$6),'Lease Cycles'!$C$19*'Lease Cycles'!$AY$19/12,IF(AND('Lease Cycles'!$AV$19&gt;=INDEX('Lease Cycles'!$BG$19:$BM$19,1,BM197),'Lease Cycles'!$AV$19&lt;=BM$6),'Lease Cycles'!$C$19*'Lease Cycles'!$AW$19/12,IF(AND('Lease Cycles'!$AT$19&gt;=INDEX('Lease Cycles'!$BG$19:$BM$19,1,BM197),'Lease Cycles'!$AT$19&lt;=BM$6),'Lease Cycles'!$C$19*'Lease Cycles'!$AU$19/12,'Lease Cycles'!$C$19*INDEX('Lease Cycles'!$CB$19:$CH$19,1,BM197)*(1+INDEX('Lease Cycles'!$CI$19:$CO$19,1,BM197))^INT(INT(BM198/12)/INDEX('Lease Cycles'!$CP$19:$CV$19,1,BM197))/12)))),'Lease Cycles'!$C$19*INDEX('Lease Cycles'!$CB$19:$CH$19,1,BM197)*(1+INDEX('Lease Cycles'!$CI$19:$CO$19,1,BM197))^INT(INT(BM198/12)/INDEX('Lease Cycles'!$CP$19:$CV$19,1,BM197))/12))),IF('Lease Cycles'!$N$19=1,'Lease Cycles'!$C$19*'Lease Cycles'!$E$19*INDEX('Lease Cycles'!$HE$19:$HK$19,1,BM197)*(1+INDEX('Lease Cycles'!$GQ$19:$GW$19,1,BM197))^INT(INT((BM$6-INDEX('Lease Cycles'!$GJ$19:$GP$19,1,BM197))/12)/INDEX('Lease Cycles'!$GX$19:$HD$19,1,BM197))/12,0)))</f>
        <v>0</v>
      </c>
      <c r="BN200" s="28">
        <f>IF(BN197=0,IF('Lease Cycles'!$F$19&gt;0,'Lease Cycles'!$C$19*'Lease Cycles'!$E$19/12,0),IF(BN199=1,IF('Lease Cycles'!$AT$19&gt;=9999,'Lease Cycles'!$C$19*INDEX('Lease Cycles'!$CB$19:$CH$19,1,BN197)*(1+INDEX('Lease Cycles'!$CI$19:$CO$19,1,BN197))^INT(INT(BN198/12)/INDEX('Lease Cycles'!$CP$19:$CV$19,1,BN197))/12,IF(BN197=1,IF(BN198&gt;=INDEX('Lease Cycles'!$DK$19:$DQ$19,1,BN197),IF(BN$6&gt;='Lease Cycles'!$AZ$19,'Lease Cycles'!$C$19*'Lease Cycles'!$BA$19/12,IF(BN$6&gt;='Lease Cycles'!$AX$19,'Lease Cycles'!$C$19*'Lease Cycles'!$AY$19/12,IF(BN$6&gt;='Lease Cycles'!$AV$19,'Lease Cycles'!$C$19*'Lease Cycles'!$AW$19/12,IF(BN$6&gt;='Lease Cycles'!$AT$19,'Lease Cycles'!$C$19*'Lease Cycles'!$AU$19/12,'Lease Cycles'!$C$19*INDEX('Lease Cycles'!$CB$19:$CH$19,1,BN197)*(1+INDEX('Lease Cycles'!$CI$19:$CO$19,1,BN197))^INT(INT(BN198/12)/INDEX('Lease Cycles'!$CP$19:$CV$19,1,BN197))/12)))),'Lease Cycles'!$C$19*INDEX('Lease Cycles'!$CB$19:$CH$19,1,BN197)*(1+INDEX('Lease Cycles'!$CI$19:$CO$19,1,BN197))^INT(INT(BN198/12)/INDEX('Lease Cycles'!$CP$19:$CV$19,1,BN197))/12),IF(INDEX('Lease Cycles'!$EF$19:$EL$19,1,BN197)=1,IF(AND('Lease Cycles'!$AZ$19&gt;=INDEX('Lease Cycles'!$BG$19:$BM$19,1,BN197),'Lease Cycles'!$AZ$19&lt;=BN$6),'Lease Cycles'!$C$19*'Lease Cycles'!$BA$19/12,IF(AND('Lease Cycles'!$AX$19&gt;=INDEX('Lease Cycles'!$BG$19:$BM$19,1,BN197),'Lease Cycles'!$AX$19&lt;=BN$6),'Lease Cycles'!$C$19*'Lease Cycles'!$AY$19/12,IF(AND('Lease Cycles'!$AV$19&gt;=INDEX('Lease Cycles'!$BG$19:$BM$19,1,BN197),'Lease Cycles'!$AV$19&lt;=BN$6),'Lease Cycles'!$C$19*'Lease Cycles'!$AW$19/12,IF(AND('Lease Cycles'!$AT$19&gt;=INDEX('Lease Cycles'!$BG$19:$BM$19,1,BN197),'Lease Cycles'!$AT$19&lt;=BN$6),'Lease Cycles'!$C$19*'Lease Cycles'!$AU$19/12,'Lease Cycles'!$C$19*INDEX('Lease Cycles'!$CB$19:$CH$19,1,BN197)*(1+INDEX('Lease Cycles'!$CI$19:$CO$19,1,BN197))^INT(INT(BN198/12)/INDEX('Lease Cycles'!$CP$19:$CV$19,1,BN197))/12)))),'Lease Cycles'!$C$19*INDEX('Lease Cycles'!$CB$19:$CH$19,1,BN197)*(1+INDEX('Lease Cycles'!$CI$19:$CO$19,1,BN197))^INT(INT(BN198/12)/INDEX('Lease Cycles'!$CP$19:$CV$19,1,BN197))/12))),IF('Lease Cycles'!$N$19=1,'Lease Cycles'!$C$19*'Lease Cycles'!$E$19*INDEX('Lease Cycles'!$HE$19:$HK$19,1,BN197)*(1+INDEX('Lease Cycles'!$GQ$19:$GW$19,1,BN197))^INT(INT((BN$6-INDEX('Lease Cycles'!$GJ$19:$GP$19,1,BN197))/12)/INDEX('Lease Cycles'!$GX$19:$HD$19,1,BN197))/12,0)))</f>
        <v>0</v>
      </c>
      <c r="BO200" s="28">
        <f>IF(BO197=0,IF('Lease Cycles'!$F$19&gt;0,'Lease Cycles'!$C$19*'Lease Cycles'!$E$19/12,0),IF(BO199=1,IF('Lease Cycles'!$AT$19&gt;=9999,'Lease Cycles'!$C$19*INDEX('Lease Cycles'!$CB$19:$CH$19,1,BO197)*(1+INDEX('Lease Cycles'!$CI$19:$CO$19,1,BO197))^INT(INT(BO198/12)/INDEX('Lease Cycles'!$CP$19:$CV$19,1,BO197))/12,IF(BO197=1,IF(BO198&gt;=INDEX('Lease Cycles'!$DK$19:$DQ$19,1,BO197),IF(BO$6&gt;='Lease Cycles'!$AZ$19,'Lease Cycles'!$C$19*'Lease Cycles'!$BA$19/12,IF(BO$6&gt;='Lease Cycles'!$AX$19,'Lease Cycles'!$C$19*'Lease Cycles'!$AY$19/12,IF(BO$6&gt;='Lease Cycles'!$AV$19,'Lease Cycles'!$C$19*'Lease Cycles'!$AW$19/12,IF(BO$6&gt;='Lease Cycles'!$AT$19,'Lease Cycles'!$C$19*'Lease Cycles'!$AU$19/12,'Lease Cycles'!$C$19*INDEX('Lease Cycles'!$CB$19:$CH$19,1,BO197)*(1+INDEX('Lease Cycles'!$CI$19:$CO$19,1,BO197))^INT(INT(BO198/12)/INDEX('Lease Cycles'!$CP$19:$CV$19,1,BO197))/12)))),'Lease Cycles'!$C$19*INDEX('Lease Cycles'!$CB$19:$CH$19,1,BO197)*(1+INDEX('Lease Cycles'!$CI$19:$CO$19,1,BO197))^INT(INT(BO198/12)/INDEX('Lease Cycles'!$CP$19:$CV$19,1,BO197))/12),IF(INDEX('Lease Cycles'!$EF$19:$EL$19,1,BO197)=1,IF(AND('Lease Cycles'!$AZ$19&gt;=INDEX('Lease Cycles'!$BG$19:$BM$19,1,BO197),'Lease Cycles'!$AZ$19&lt;=BO$6),'Lease Cycles'!$C$19*'Lease Cycles'!$BA$19/12,IF(AND('Lease Cycles'!$AX$19&gt;=INDEX('Lease Cycles'!$BG$19:$BM$19,1,BO197),'Lease Cycles'!$AX$19&lt;=BO$6),'Lease Cycles'!$C$19*'Lease Cycles'!$AY$19/12,IF(AND('Lease Cycles'!$AV$19&gt;=INDEX('Lease Cycles'!$BG$19:$BM$19,1,BO197),'Lease Cycles'!$AV$19&lt;=BO$6),'Lease Cycles'!$C$19*'Lease Cycles'!$AW$19/12,IF(AND('Lease Cycles'!$AT$19&gt;=INDEX('Lease Cycles'!$BG$19:$BM$19,1,BO197),'Lease Cycles'!$AT$19&lt;=BO$6),'Lease Cycles'!$C$19*'Lease Cycles'!$AU$19/12,'Lease Cycles'!$C$19*INDEX('Lease Cycles'!$CB$19:$CH$19,1,BO197)*(1+INDEX('Lease Cycles'!$CI$19:$CO$19,1,BO197))^INT(INT(BO198/12)/INDEX('Lease Cycles'!$CP$19:$CV$19,1,BO197))/12)))),'Lease Cycles'!$C$19*INDEX('Lease Cycles'!$CB$19:$CH$19,1,BO197)*(1+INDEX('Lease Cycles'!$CI$19:$CO$19,1,BO197))^INT(INT(BO198/12)/INDEX('Lease Cycles'!$CP$19:$CV$19,1,BO197))/12))),IF('Lease Cycles'!$N$19=1,'Lease Cycles'!$C$19*'Lease Cycles'!$E$19*INDEX('Lease Cycles'!$HE$19:$HK$19,1,BO197)*(1+INDEX('Lease Cycles'!$GQ$19:$GW$19,1,BO197))^INT(INT((BO$6-INDEX('Lease Cycles'!$GJ$19:$GP$19,1,BO197))/12)/INDEX('Lease Cycles'!$GX$19:$HD$19,1,BO197))/12,0)))</f>
        <v>0</v>
      </c>
      <c r="BP200" s="28">
        <f>IF(BP197=0,IF('Lease Cycles'!$F$19&gt;0,'Lease Cycles'!$C$19*'Lease Cycles'!$E$19/12,0),IF(BP199=1,IF('Lease Cycles'!$AT$19&gt;=9999,'Lease Cycles'!$C$19*INDEX('Lease Cycles'!$CB$19:$CH$19,1,BP197)*(1+INDEX('Lease Cycles'!$CI$19:$CO$19,1,BP197))^INT(INT(BP198/12)/INDEX('Lease Cycles'!$CP$19:$CV$19,1,BP197))/12,IF(BP197=1,IF(BP198&gt;=INDEX('Lease Cycles'!$DK$19:$DQ$19,1,BP197),IF(BP$6&gt;='Lease Cycles'!$AZ$19,'Lease Cycles'!$C$19*'Lease Cycles'!$BA$19/12,IF(BP$6&gt;='Lease Cycles'!$AX$19,'Lease Cycles'!$C$19*'Lease Cycles'!$AY$19/12,IF(BP$6&gt;='Lease Cycles'!$AV$19,'Lease Cycles'!$C$19*'Lease Cycles'!$AW$19/12,IF(BP$6&gt;='Lease Cycles'!$AT$19,'Lease Cycles'!$C$19*'Lease Cycles'!$AU$19/12,'Lease Cycles'!$C$19*INDEX('Lease Cycles'!$CB$19:$CH$19,1,BP197)*(1+INDEX('Lease Cycles'!$CI$19:$CO$19,1,BP197))^INT(INT(BP198/12)/INDEX('Lease Cycles'!$CP$19:$CV$19,1,BP197))/12)))),'Lease Cycles'!$C$19*INDEX('Lease Cycles'!$CB$19:$CH$19,1,BP197)*(1+INDEX('Lease Cycles'!$CI$19:$CO$19,1,BP197))^INT(INT(BP198/12)/INDEX('Lease Cycles'!$CP$19:$CV$19,1,BP197))/12),IF(INDEX('Lease Cycles'!$EF$19:$EL$19,1,BP197)=1,IF(AND('Lease Cycles'!$AZ$19&gt;=INDEX('Lease Cycles'!$BG$19:$BM$19,1,BP197),'Lease Cycles'!$AZ$19&lt;=BP$6),'Lease Cycles'!$C$19*'Lease Cycles'!$BA$19/12,IF(AND('Lease Cycles'!$AX$19&gt;=INDEX('Lease Cycles'!$BG$19:$BM$19,1,BP197),'Lease Cycles'!$AX$19&lt;=BP$6),'Lease Cycles'!$C$19*'Lease Cycles'!$AY$19/12,IF(AND('Lease Cycles'!$AV$19&gt;=INDEX('Lease Cycles'!$BG$19:$BM$19,1,BP197),'Lease Cycles'!$AV$19&lt;=BP$6),'Lease Cycles'!$C$19*'Lease Cycles'!$AW$19/12,IF(AND('Lease Cycles'!$AT$19&gt;=INDEX('Lease Cycles'!$BG$19:$BM$19,1,BP197),'Lease Cycles'!$AT$19&lt;=BP$6),'Lease Cycles'!$C$19*'Lease Cycles'!$AU$19/12,'Lease Cycles'!$C$19*INDEX('Lease Cycles'!$CB$19:$CH$19,1,BP197)*(1+INDEX('Lease Cycles'!$CI$19:$CO$19,1,BP197))^INT(INT(BP198/12)/INDEX('Lease Cycles'!$CP$19:$CV$19,1,BP197))/12)))),'Lease Cycles'!$C$19*INDEX('Lease Cycles'!$CB$19:$CH$19,1,BP197)*(1+INDEX('Lease Cycles'!$CI$19:$CO$19,1,BP197))^INT(INT(BP198/12)/INDEX('Lease Cycles'!$CP$19:$CV$19,1,BP197))/12))),IF('Lease Cycles'!$N$19=1,'Lease Cycles'!$C$19*'Lease Cycles'!$E$19*INDEX('Lease Cycles'!$HE$19:$HK$19,1,BP197)*(1+INDEX('Lease Cycles'!$GQ$19:$GW$19,1,BP197))^INT(INT((BP$6-INDEX('Lease Cycles'!$GJ$19:$GP$19,1,BP197))/12)/INDEX('Lease Cycles'!$GX$19:$HD$19,1,BP197))/12,0)))</f>
        <v>0</v>
      </c>
      <c r="BQ200" s="28">
        <f>IF(BQ197=0,IF('Lease Cycles'!$F$19&gt;0,'Lease Cycles'!$C$19*'Lease Cycles'!$E$19/12,0),IF(BQ199=1,IF('Lease Cycles'!$AT$19&gt;=9999,'Lease Cycles'!$C$19*INDEX('Lease Cycles'!$CB$19:$CH$19,1,BQ197)*(1+INDEX('Lease Cycles'!$CI$19:$CO$19,1,BQ197))^INT(INT(BQ198/12)/INDEX('Lease Cycles'!$CP$19:$CV$19,1,BQ197))/12,IF(BQ197=1,IF(BQ198&gt;=INDEX('Lease Cycles'!$DK$19:$DQ$19,1,BQ197),IF(BQ$6&gt;='Lease Cycles'!$AZ$19,'Lease Cycles'!$C$19*'Lease Cycles'!$BA$19/12,IF(BQ$6&gt;='Lease Cycles'!$AX$19,'Lease Cycles'!$C$19*'Lease Cycles'!$AY$19/12,IF(BQ$6&gt;='Lease Cycles'!$AV$19,'Lease Cycles'!$C$19*'Lease Cycles'!$AW$19/12,IF(BQ$6&gt;='Lease Cycles'!$AT$19,'Lease Cycles'!$C$19*'Lease Cycles'!$AU$19/12,'Lease Cycles'!$C$19*INDEX('Lease Cycles'!$CB$19:$CH$19,1,BQ197)*(1+INDEX('Lease Cycles'!$CI$19:$CO$19,1,BQ197))^INT(INT(BQ198/12)/INDEX('Lease Cycles'!$CP$19:$CV$19,1,BQ197))/12)))),'Lease Cycles'!$C$19*INDEX('Lease Cycles'!$CB$19:$CH$19,1,BQ197)*(1+INDEX('Lease Cycles'!$CI$19:$CO$19,1,BQ197))^INT(INT(BQ198/12)/INDEX('Lease Cycles'!$CP$19:$CV$19,1,BQ197))/12),IF(INDEX('Lease Cycles'!$EF$19:$EL$19,1,BQ197)=1,IF(AND('Lease Cycles'!$AZ$19&gt;=INDEX('Lease Cycles'!$BG$19:$BM$19,1,BQ197),'Lease Cycles'!$AZ$19&lt;=BQ$6),'Lease Cycles'!$C$19*'Lease Cycles'!$BA$19/12,IF(AND('Lease Cycles'!$AX$19&gt;=INDEX('Lease Cycles'!$BG$19:$BM$19,1,BQ197),'Lease Cycles'!$AX$19&lt;=BQ$6),'Lease Cycles'!$C$19*'Lease Cycles'!$AY$19/12,IF(AND('Lease Cycles'!$AV$19&gt;=INDEX('Lease Cycles'!$BG$19:$BM$19,1,BQ197),'Lease Cycles'!$AV$19&lt;=BQ$6),'Lease Cycles'!$C$19*'Lease Cycles'!$AW$19/12,IF(AND('Lease Cycles'!$AT$19&gt;=INDEX('Lease Cycles'!$BG$19:$BM$19,1,BQ197),'Lease Cycles'!$AT$19&lt;=BQ$6),'Lease Cycles'!$C$19*'Lease Cycles'!$AU$19/12,'Lease Cycles'!$C$19*INDEX('Lease Cycles'!$CB$19:$CH$19,1,BQ197)*(1+INDEX('Lease Cycles'!$CI$19:$CO$19,1,BQ197))^INT(INT(BQ198/12)/INDEX('Lease Cycles'!$CP$19:$CV$19,1,BQ197))/12)))),'Lease Cycles'!$C$19*INDEX('Lease Cycles'!$CB$19:$CH$19,1,BQ197)*(1+INDEX('Lease Cycles'!$CI$19:$CO$19,1,BQ197))^INT(INT(BQ198/12)/INDEX('Lease Cycles'!$CP$19:$CV$19,1,BQ197))/12))),IF('Lease Cycles'!$N$19=1,'Lease Cycles'!$C$19*'Lease Cycles'!$E$19*INDEX('Lease Cycles'!$HE$19:$HK$19,1,BQ197)*(1+INDEX('Lease Cycles'!$GQ$19:$GW$19,1,BQ197))^INT(INT((BQ$6-INDEX('Lease Cycles'!$GJ$19:$GP$19,1,BQ197))/12)/INDEX('Lease Cycles'!$GX$19:$HD$19,1,BQ197))/12,0)))</f>
        <v>0</v>
      </c>
      <c r="BR200" s="28">
        <f>IF(BR197=0,IF('Lease Cycles'!$F$19&gt;0,'Lease Cycles'!$C$19*'Lease Cycles'!$E$19/12,0),IF(BR199=1,IF('Lease Cycles'!$AT$19&gt;=9999,'Lease Cycles'!$C$19*INDEX('Lease Cycles'!$CB$19:$CH$19,1,BR197)*(1+INDEX('Lease Cycles'!$CI$19:$CO$19,1,BR197))^INT(INT(BR198/12)/INDEX('Lease Cycles'!$CP$19:$CV$19,1,BR197))/12,IF(BR197=1,IF(BR198&gt;=INDEX('Lease Cycles'!$DK$19:$DQ$19,1,BR197),IF(BR$6&gt;='Lease Cycles'!$AZ$19,'Lease Cycles'!$C$19*'Lease Cycles'!$BA$19/12,IF(BR$6&gt;='Lease Cycles'!$AX$19,'Lease Cycles'!$C$19*'Lease Cycles'!$AY$19/12,IF(BR$6&gt;='Lease Cycles'!$AV$19,'Lease Cycles'!$C$19*'Lease Cycles'!$AW$19/12,IF(BR$6&gt;='Lease Cycles'!$AT$19,'Lease Cycles'!$C$19*'Lease Cycles'!$AU$19/12,'Lease Cycles'!$C$19*INDEX('Lease Cycles'!$CB$19:$CH$19,1,BR197)*(1+INDEX('Lease Cycles'!$CI$19:$CO$19,1,BR197))^INT(INT(BR198/12)/INDEX('Lease Cycles'!$CP$19:$CV$19,1,BR197))/12)))),'Lease Cycles'!$C$19*INDEX('Lease Cycles'!$CB$19:$CH$19,1,BR197)*(1+INDEX('Lease Cycles'!$CI$19:$CO$19,1,BR197))^INT(INT(BR198/12)/INDEX('Lease Cycles'!$CP$19:$CV$19,1,BR197))/12),IF(INDEX('Lease Cycles'!$EF$19:$EL$19,1,BR197)=1,IF(AND('Lease Cycles'!$AZ$19&gt;=INDEX('Lease Cycles'!$BG$19:$BM$19,1,BR197),'Lease Cycles'!$AZ$19&lt;=BR$6),'Lease Cycles'!$C$19*'Lease Cycles'!$BA$19/12,IF(AND('Lease Cycles'!$AX$19&gt;=INDEX('Lease Cycles'!$BG$19:$BM$19,1,BR197),'Lease Cycles'!$AX$19&lt;=BR$6),'Lease Cycles'!$C$19*'Lease Cycles'!$AY$19/12,IF(AND('Lease Cycles'!$AV$19&gt;=INDEX('Lease Cycles'!$BG$19:$BM$19,1,BR197),'Lease Cycles'!$AV$19&lt;=BR$6),'Lease Cycles'!$C$19*'Lease Cycles'!$AW$19/12,IF(AND('Lease Cycles'!$AT$19&gt;=INDEX('Lease Cycles'!$BG$19:$BM$19,1,BR197),'Lease Cycles'!$AT$19&lt;=BR$6),'Lease Cycles'!$C$19*'Lease Cycles'!$AU$19/12,'Lease Cycles'!$C$19*INDEX('Lease Cycles'!$CB$19:$CH$19,1,BR197)*(1+INDEX('Lease Cycles'!$CI$19:$CO$19,1,BR197))^INT(INT(BR198/12)/INDEX('Lease Cycles'!$CP$19:$CV$19,1,BR197))/12)))),'Lease Cycles'!$C$19*INDEX('Lease Cycles'!$CB$19:$CH$19,1,BR197)*(1+INDEX('Lease Cycles'!$CI$19:$CO$19,1,BR197))^INT(INT(BR198/12)/INDEX('Lease Cycles'!$CP$19:$CV$19,1,BR197))/12))),IF('Lease Cycles'!$N$19=1,'Lease Cycles'!$C$19*'Lease Cycles'!$E$19*INDEX('Lease Cycles'!$HE$19:$HK$19,1,BR197)*(1+INDEX('Lease Cycles'!$GQ$19:$GW$19,1,BR197))^INT(INT((BR$6-INDEX('Lease Cycles'!$GJ$19:$GP$19,1,BR197))/12)/INDEX('Lease Cycles'!$GX$19:$HD$19,1,BR197))/12,0)))</f>
        <v>0</v>
      </c>
      <c r="BS200" s="28">
        <f>IF(BS197=0,IF('Lease Cycles'!$F$19&gt;0,'Lease Cycles'!$C$19*'Lease Cycles'!$E$19/12,0),IF(BS199=1,IF('Lease Cycles'!$AT$19&gt;=9999,'Lease Cycles'!$C$19*INDEX('Lease Cycles'!$CB$19:$CH$19,1,BS197)*(1+INDEX('Lease Cycles'!$CI$19:$CO$19,1,BS197))^INT(INT(BS198/12)/INDEX('Lease Cycles'!$CP$19:$CV$19,1,BS197))/12,IF(BS197=1,IF(BS198&gt;=INDEX('Lease Cycles'!$DK$19:$DQ$19,1,BS197),IF(BS$6&gt;='Lease Cycles'!$AZ$19,'Lease Cycles'!$C$19*'Lease Cycles'!$BA$19/12,IF(BS$6&gt;='Lease Cycles'!$AX$19,'Lease Cycles'!$C$19*'Lease Cycles'!$AY$19/12,IF(BS$6&gt;='Lease Cycles'!$AV$19,'Lease Cycles'!$C$19*'Lease Cycles'!$AW$19/12,IF(BS$6&gt;='Lease Cycles'!$AT$19,'Lease Cycles'!$C$19*'Lease Cycles'!$AU$19/12,'Lease Cycles'!$C$19*INDEX('Lease Cycles'!$CB$19:$CH$19,1,BS197)*(1+INDEX('Lease Cycles'!$CI$19:$CO$19,1,BS197))^INT(INT(BS198/12)/INDEX('Lease Cycles'!$CP$19:$CV$19,1,BS197))/12)))),'Lease Cycles'!$C$19*INDEX('Lease Cycles'!$CB$19:$CH$19,1,BS197)*(1+INDEX('Lease Cycles'!$CI$19:$CO$19,1,BS197))^INT(INT(BS198/12)/INDEX('Lease Cycles'!$CP$19:$CV$19,1,BS197))/12),IF(INDEX('Lease Cycles'!$EF$19:$EL$19,1,BS197)=1,IF(AND('Lease Cycles'!$AZ$19&gt;=INDEX('Lease Cycles'!$BG$19:$BM$19,1,BS197),'Lease Cycles'!$AZ$19&lt;=BS$6),'Lease Cycles'!$C$19*'Lease Cycles'!$BA$19/12,IF(AND('Lease Cycles'!$AX$19&gt;=INDEX('Lease Cycles'!$BG$19:$BM$19,1,BS197),'Lease Cycles'!$AX$19&lt;=BS$6),'Lease Cycles'!$C$19*'Lease Cycles'!$AY$19/12,IF(AND('Lease Cycles'!$AV$19&gt;=INDEX('Lease Cycles'!$BG$19:$BM$19,1,BS197),'Lease Cycles'!$AV$19&lt;=BS$6),'Lease Cycles'!$C$19*'Lease Cycles'!$AW$19/12,IF(AND('Lease Cycles'!$AT$19&gt;=INDEX('Lease Cycles'!$BG$19:$BM$19,1,BS197),'Lease Cycles'!$AT$19&lt;=BS$6),'Lease Cycles'!$C$19*'Lease Cycles'!$AU$19/12,'Lease Cycles'!$C$19*INDEX('Lease Cycles'!$CB$19:$CH$19,1,BS197)*(1+INDEX('Lease Cycles'!$CI$19:$CO$19,1,BS197))^INT(INT(BS198/12)/INDEX('Lease Cycles'!$CP$19:$CV$19,1,BS197))/12)))),'Lease Cycles'!$C$19*INDEX('Lease Cycles'!$CB$19:$CH$19,1,BS197)*(1+INDEX('Lease Cycles'!$CI$19:$CO$19,1,BS197))^INT(INT(BS198/12)/INDEX('Lease Cycles'!$CP$19:$CV$19,1,BS197))/12))),IF('Lease Cycles'!$N$19=1,'Lease Cycles'!$C$19*'Lease Cycles'!$E$19*INDEX('Lease Cycles'!$HE$19:$HK$19,1,BS197)*(1+INDEX('Lease Cycles'!$GQ$19:$GW$19,1,BS197))^INT(INT((BS$6-INDEX('Lease Cycles'!$GJ$19:$GP$19,1,BS197))/12)/INDEX('Lease Cycles'!$GX$19:$HD$19,1,BS197))/12,0)))</f>
        <v>0</v>
      </c>
      <c r="BT200" s="28">
        <f>IF(BT197=0,IF('Lease Cycles'!$F$19&gt;0,'Lease Cycles'!$C$19*'Lease Cycles'!$E$19/12,0),IF(BT199=1,IF('Lease Cycles'!$AT$19&gt;=9999,'Lease Cycles'!$C$19*INDEX('Lease Cycles'!$CB$19:$CH$19,1,BT197)*(1+INDEX('Lease Cycles'!$CI$19:$CO$19,1,BT197))^INT(INT(BT198/12)/INDEX('Lease Cycles'!$CP$19:$CV$19,1,BT197))/12,IF(BT197=1,IF(BT198&gt;=INDEX('Lease Cycles'!$DK$19:$DQ$19,1,BT197),IF(BT$6&gt;='Lease Cycles'!$AZ$19,'Lease Cycles'!$C$19*'Lease Cycles'!$BA$19/12,IF(BT$6&gt;='Lease Cycles'!$AX$19,'Lease Cycles'!$C$19*'Lease Cycles'!$AY$19/12,IF(BT$6&gt;='Lease Cycles'!$AV$19,'Lease Cycles'!$C$19*'Lease Cycles'!$AW$19/12,IF(BT$6&gt;='Lease Cycles'!$AT$19,'Lease Cycles'!$C$19*'Lease Cycles'!$AU$19/12,'Lease Cycles'!$C$19*INDEX('Lease Cycles'!$CB$19:$CH$19,1,BT197)*(1+INDEX('Lease Cycles'!$CI$19:$CO$19,1,BT197))^INT(INT(BT198/12)/INDEX('Lease Cycles'!$CP$19:$CV$19,1,BT197))/12)))),'Lease Cycles'!$C$19*INDEX('Lease Cycles'!$CB$19:$CH$19,1,BT197)*(1+INDEX('Lease Cycles'!$CI$19:$CO$19,1,BT197))^INT(INT(BT198/12)/INDEX('Lease Cycles'!$CP$19:$CV$19,1,BT197))/12),IF(INDEX('Lease Cycles'!$EF$19:$EL$19,1,BT197)=1,IF(AND('Lease Cycles'!$AZ$19&gt;=INDEX('Lease Cycles'!$BG$19:$BM$19,1,BT197),'Lease Cycles'!$AZ$19&lt;=BT$6),'Lease Cycles'!$C$19*'Lease Cycles'!$BA$19/12,IF(AND('Lease Cycles'!$AX$19&gt;=INDEX('Lease Cycles'!$BG$19:$BM$19,1,BT197),'Lease Cycles'!$AX$19&lt;=BT$6),'Lease Cycles'!$C$19*'Lease Cycles'!$AY$19/12,IF(AND('Lease Cycles'!$AV$19&gt;=INDEX('Lease Cycles'!$BG$19:$BM$19,1,BT197),'Lease Cycles'!$AV$19&lt;=BT$6),'Lease Cycles'!$C$19*'Lease Cycles'!$AW$19/12,IF(AND('Lease Cycles'!$AT$19&gt;=INDEX('Lease Cycles'!$BG$19:$BM$19,1,BT197),'Lease Cycles'!$AT$19&lt;=BT$6),'Lease Cycles'!$C$19*'Lease Cycles'!$AU$19/12,'Lease Cycles'!$C$19*INDEX('Lease Cycles'!$CB$19:$CH$19,1,BT197)*(1+INDEX('Lease Cycles'!$CI$19:$CO$19,1,BT197))^INT(INT(BT198/12)/INDEX('Lease Cycles'!$CP$19:$CV$19,1,BT197))/12)))),'Lease Cycles'!$C$19*INDEX('Lease Cycles'!$CB$19:$CH$19,1,BT197)*(1+INDEX('Lease Cycles'!$CI$19:$CO$19,1,BT197))^INT(INT(BT198/12)/INDEX('Lease Cycles'!$CP$19:$CV$19,1,BT197))/12))),IF('Lease Cycles'!$N$19=1,'Lease Cycles'!$C$19*'Lease Cycles'!$E$19*INDEX('Lease Cycles'!$HE$19:$HK$19,1,BT197)*(1+INDEX('Lease Cycles'!$GQ$19:$GW$19,1,BT197))^INT(INT((BT$6-INDEX('Lease Cycles'!$GJ$19:$GP$19,1,BT197))/12)/INDEX('Lease Cycles'!$GX$19:$HD$19,1,BT197))/12,0)))</f>
        <v>0</v>
      </c>
      <c r="BU200" s="28">
        <f>IF(BU197=0,IF('Lease Cycles'!$F$19&gt;0,'Lease Cycles'!$C$19*'Lease Cycles'!$E$19/12,0),IF(BU199=1,IF('Lease Cycles'!$AT$19&gt;=9999,'Lease Cycles'!$C$19*INDEX('Lease Cycles'!$CB$19:$CH$19,1,BU197)*(1+INDEX('Lease Cycles'!$CI$19:$CO$19,1,BU197))^INT(INT(BU198/12)/INDEX('Lease Cycles'!$CP$19:$CV$19,1,BU197))/12,IF(BU197=1,IF(BU198&gt;=INDEX('Lease Cycles'!$DK$19:$DQ$19,1,BU197),IF(BU$6&gt;='Lease Cycles'!$AZ$19,'Lease Cycles'!$C$19*'Lease Cycles'!$BA$19/12,IF(BU$6&gt;='Lease Cycles'!$AX$19,'Lease Cycles'!$C$19*'Lease Cycles'!$AY$19/12,IF(BU$6&gt;='Lease Cycles'!$AV$19,'Lease Cycles'!$C$19*'Lease Cycles'!$AW$19/12,IF(BU$6&gt;='Lease Cycles'!$AT$19,'Lease Cycles'!$C$19*'Lease Cycles'!$AU$19/12,'Lease Cycles'!$C$19*INDEX('Lease Cycles'!$CB$19:$CH$19,1,BU197)*(1+INDEX('Lease Cycles'!$CI$19:$CO$19,1,BU197))^INT(INT(BU198/12)/INDEX('Lease Cycles'!$CP$19:$CV$19,1,BU197))/12)))),'Lease Cycles'!$C$19*INDEX('Lease Cycles'!$CB$19:$CH$19,1,BU197)*(1+INDEX('Lease Cycles'!$CI$19:$CO$19,1,BU197))^INT(INT(BU198/12)/INDEX('Lease Cycles'!$CP$19:$CV$19,1,BU197))/12),IF(INDEX('Lease Cycles'!$EF$19:$EL$19,1,BU197)=1,IF(AND('Lease Cycles'!$AZ$19&gt;=INDEX('Lease Cycles'!$BG$19:$BM$19,1,BU197),'Lease Cycles'!$AZ$19&lt;=BU$6),'Lease Cycles'!$C$19*'Lease Cycles'!$BA$19/12,IF(AND('Lease Cycles'!$AX$19&gt;=INDEX('Lease Cycles'!$BG$19:$BM$19,1,BU197),'Lease Cycles'!$AX$19&lt;=BU$6),'Lease Cycles'!$C$19*'Lease Cycles'!$AY$19/12,IF(AND('Lease Cycles'!$AV$19&gt;=INDEX('Lease Cycles'!$BG$19:$BM$19,1,BU197),'Lease Cycles'!$AV$19&lt;=BU$6),'Lease Cycles'!$C$19*'Lease Cycles'!$AW$19/12,IF(AND('Lease Cycles'!$AT$19&gt;=INDEX('Lease Cycles'!$BG$19:$BM$19,1,BU197),'Lease Cycles'!$AT$19&lt;=BU$6),'Lease Cycles'!$C$19*'Lease Cycles'!$AU$19/12,'Lease Cycles'!$C$19*INDEX('Lease Cycles'!$CB$19:$CH$19,1,BU197)*(1+INDEX('Lease Cycles'!$CI$19:$CO$19,1,BU197))^INT(INT(BU198/12)/INDEX('Lease Cycles'!$CP$19:$CV$19,1,BU197))/12)))),'Lease Cycles'!$C$19*INDEX('Lease Cycles'!$CB$19:$CH$19,1,BU197)*(1+INDEX('Lease Cycles'!$CI$19:$CO$19,1,BU197))^INT(INT(BU198/12)/INDEX('Lease Cycles'!$CP$19:$CV$19,1,BU197))/12))),IF('Lease Cycles'!$N$19=1,'Lease Cycles'!$C$19*'Lease Cycles'!$E$19*INDEX('Lease Cycles'!$HE$19:$HK$19,1,BU197)*(1+INDEX('Lease Cycles'!$GQ$19:$GW$19,1,BU197))^INT(INT((BU$6-INDEX('Lease Cycles'!$GJ$19:$GP$19,1,BU197))/12)/INDEX('Lease Cycles'!$GX$19:$HD$19,1,BU197))/12,0)))</f>
        <v>0</v>
      </c>
      <c r="BV200" s="28">
        <f>IF(BV197=0,IF('Lease Cycles'!$F$19&gt;0,'Lease Cycles'!$C$19*'Lease Cycles'!$E$19/12,0),IF(BV199=1,IF('Lease Cycles'!$AT$19&gt;=9999,'Lease Cycles'!$C$19*INDEX('Lease Cycles'!$CB$19:$CH$19,1,BV197)*(1+INDEX('Lease Cycles'!$CI$19:$CO$19,1,BV197))^INT(INT(BV198/12)/INDEX('Lease Cycles'!$CP$19:$CV$19,1,BV197))/12,IF(BV197=1,IF(BV198&gt;=INDEX('Lease Cycles'!$DK$19:$DQ$19,1,BV197),IF(BV$6&gt;='Lease Cycles'!$AZ$19,'Lease Cycles'!$C$19*'Lease Cycles'!$BA$19/12,IF(BV$6&gt;='Lease Cycles'!$AX$19,'Lease Cycles'!$C$19*'Lease Cycles'!$AY$19/12,IF(BV$6&gt;='Lease Cycles'!$AV$19,'Lease Cycles'!$C$19*'Lease Cycles'!$AW$19/12,IF(BV$6&gt;='Lease Cycles'!$AT$19,'Lease Cycles'!$C$19*'Lease Cycles'!$AU$19/12,'Lease Cycles'!$C$19*INDEX('Lease Cycles'!$CB$19:$CH$19,1,BV197)*(1+INDEX('Lease Cycles'!$CI$19:$CO$19,1,BV197))^INT(INT(BV198/12)/INDEX('Lease Cycles'!$CP$19:$CV$19,1,BV197))/12)))),'Lease Cycles'!$C$19*INDEX('Lease Cycles'!$CB$19:$CH$19,1,BV197)*(1+INDEX('Lease Cycles'!$CI$19:$CO$19,1,BV197))^INT(INT(BV198/12)/INDEX('Lease Cycles'!$CP$19:$CV$19,1,BV197))/12),IF(INDEX('Lease Cycles'!$EF$19:$EL$19,1,BV197)=1,IF(AND('Lease Cycles'!$AZ$19&gt;=INDEX('Lease Cycles'!$BG$19:$BM$19,1,BV197),'Lease Cycles'!$AZ$19&lt;=BV$6),'Lease Cycles'!$C$19*'Lease Cycles'!$BA$19/12,IF(AND('Lease Cycles'!$AX$19&gt;=INDEX('Lease Cycles'!$BG$19:$BM$19,1,BV197),'Lease Cycles'!$AX$19&lt;=BV$6),'Lease Cycles'!$C$19*'Lease Cycles'!$AY$19/12,IF(AND('Lease Cycles'!$AV$19&gt;=INDEX('Lease Cycles'!$BG$19:$BM$19,1,BV197),'Lease Cycles'!$AV$19&lt;=BV$6),'Lease Cycles'!$C$19*'Lease Cycles'!$AW$19/12,IF(AND('Lease Cycles'!$AT$19&gt;=INDEX('Lease Cycles'!$BG$19:$BM$19,1,BV197),'Lease Cycles'!$AT$19&lt;=BV$6),'Lease Cycles'!$C$19*'Lease Cycles'!$AU$19/12,'Lease Cycles'!$C$19*INDEX('Lease Cycles'!$CB$19:$CH$19,1,BV197)*(1+INDEX('Lease Cycles'!$CI$19:$CO$19,1,BV197))^INT(INT(BV198/12)/INDEX('Lease Cycles'!$CP$19:$CV$19,1,BV197))/12)))),'Lease Cycles'!$C$19*INDEX('Lease Cycles'!$CB$19:$CH$19,1,BV197)*(1+INDEX('Lease Cycles'!$CI$19:$CO$19,1,BV197))^INT(INT(BV198/12)/INDEX('Lease Cycles'!$CP$19:$CV$19,1,BV197))/12))),IF('Lease Cycles'!$N$19=1,'Lease Cycles'!$C$19*'Lease Cycles'!$E$19*INDEX('Lease Cycles'!$HE$19:$HK$19,1,BV197)*(1+INDEX('Lease Cycles'!$GQ$19:$GW$19,1,BV197))^INT(INT((BV$6-INDEX('Lease Cycles'!$GJ$19:$GP$19,1,BV197))/12)/INDEX('Lease Cycles'!$GX$19:$HD$19,1,BV197))/12,0)))</f>
        <v>0</v>
      </c>
      <c r="BW200" s="28">
        <f>IF(BW197=0,IF('Lease Cycles'!$F$19&gt;0,'Lease Cycles'!$C$19*'Lease Cycles'!$E$19/12,0),IF(BW199=1,IF('Lease Cycles'!$AT$19&gt;=9999,'Lease Cycles'!$C$19*INDEX('Lease Cycles'!$CB$19:$CH$19,1,BW197)*(1+INDEX('Lease Cycles'!$CI$19:$CO$19,1,BW197))^INT(INT(BW198/12)/INDEX('Lease Cycles'!$CP$19:$CV$19,1,BW197))/12,IF(BW197=1,IF(BW198&gt;=INDEX('Lease Cycles'!$DK$19:$DQ$19,1,BW197),IF(BW$6&gt;='Lease Cycles'!$AZ$19,'Lease Cycles'!$C$19*'Lease Cycles'!$BA$19/12,IF(BW$6&gt;='Lease Cycles'!$AX$19,'Lease Cycles'!$C$19*'Lease Cycles'!$AY$19/12,IF(BW$6&gt;='Lease Cycles'!$AV$19,'Lease Cycles'!$C$19*'Lease Cycles'!$AW$19/12,IF(BW$6&gt;='Lease Cycles'!$AT$19,'Lease Cycles'!$C$19*'Lease Cycles'!$AU$19/12,'Lease Cycles'!$C$19*INDEX('Lease Cycles'!$CB$19:$CH$19,1,BW197)*(1+INDEX('Lease Cycles'!$CI$19:$CO$19,1,BW197))^INT(INT(BW198/12)/INDEX('Lease Cycles'!$CP$19:$CV$19,1,BW197))/12)))),'Lease Cycles'!$C$19*INDEX('Lease Cycles'!$CB$19:$CH$19,1,BW197)*(1+INDEX('Lease Cycles'!$CI$19:$CO$19,1,BW197))^INT(INT(BW198/12)/INDEX('Lease Cycles'!$CP$19:$CV$19,1,BW197))/12),IF(INDEX('Lease Cycles'!$EF$19:$EL$19,1,BW197)=1,IF(AND('Lease Cycles'!$AZ$19&gt;=INDEX('Lease Cycles'!$BG$19:$BM$19,1,BW197),'Lease Cycles'!$AZ$19&lt;=BW$6),'Lease Cycles'!$C$19*'Lease Cycles'!$BA$19/12,IF(AND('Lease Cycles'!$AX$19&gt;=INDEX('Lease Cycles'!$BG$19:$BM$19,1,BW197),'Lease Cycles'!$AX$19&lt;=BW$6),'Lease Cycles'!$C$19*'Lease Cycles'!$AY$19/12,IF(AND('Lease Cycles'!$AV$19&gt;=INDEX('Lease Cycles'!$BG$19:$BM$19,1,BW197),'Lease Cycles'!$AV$19&lt;=BW$6),'Lease Cycles'!$C$19*'Lease Cycles'!$AW$19/12,IF(AND('Lease Cycles'!$AT$19&gt;=INDEX('Lease Cycles'!$BG$19:$BM$19,1,BW197),'Lease Cycles'!$AT$19&lt;=BW$6),'Lease Cycles'!$C$19*'Lease Cycles'!$AU$19/12,'Lease Cycles'!$C$19*INDEX('Lease Cycles'!$CB$19:$CH$19,1,BW197)*(1+INDEX('Lease Cycles'!$CI$19:$CO$19,1,BW197))^INT(INT(BW198/12)/INDEX('Lease Cycles'!$CP$19:$CV$19,1,BW197))/12)))),'Lease Cycles'!$C$19*INDEX('Lease Cycles'!$CB$19:$CH$19,1,BW197)*(1+INDEX('Lease Cycles'!$CI$19:$CO$19,1,BW197))^INT(INT(BW198/12)/INDEX('Lease Cycles'!$CP$19:$CV$19,1,BW197))/12))),IF('Lease Cycles'!$N$19=1,'Lease Cycles'!$C$19*'Lease Cycles'!$E$19*INDEX('Lease Cycles'!$HE$19:$HK$19,1,BW197)*(1+INDEX('Lease Cycles'!$GQ$19:$GW$19,1,BW197))^INT(INT((BW$6-INDEX('Lease Cycles'!$GJ$19:$GP$19,1,BW197))/12)/INDEX('Lease Cycles'!$GX$19:$HD$19,1,BW197))/12,0)))</f>
        <v>0</v>
      </c>
      <c r="BX200" s="28">
        <f>IF(BX197=0,IF('Lease Cycles'!$F$19&gt;0,'Lease Cycles'!$C$19*'Lease Cycles'!$E$19/12,0),IF(BX199=1,IF('Lease Cycles'!$AT$19&gt;=9999,'Lease Cycles'!$C$19*INDEX('Lease Cycles'!$CB$19:$CH$19,1,BX197)*(1+INDEX('Lease Cycles'!$CI$19:$CO$19,1,BX197))^INT(INT(BX198/12)/INDEX('Lease Cycles'!$CP$19:$CV$19,1,BX197))/12,IF(BX197=1,IF(BX198&gt;=INDEX('Lease Cycles'!$DK$19:$DQ$19,1,BX197),IF(BX$6&gt;='Lease Cycles'!$AZ$19,'Lease Cycles'!$C$19*'Lease Cycles'!$BA$19/12,IF(BX$6&gt;='Lease Cycles'!$AX$19,'Lease Cycles'!$C$19*'Lease Cycles'!$AY$19/12,IF(BX$6&gt;='Lease Cycles'!$AV$19,'Lease Cycles'!$C$19*'Lease Cycles'!$AW$19/12,IF(BX$6&gt;='Lease Cycles'!$AT$19,'Lease Cycles'!$C$19*'Lease Cycles'!$AU$19/12,'Lease Cycles'!$C$19*INDEX('Lease Cycles'!$CB$19:$CH$19,1,BX197)*(1+INDEX('Lease Cycles'!$CI$19:$CO$19,1,BX197))^INT(INT(BX198/12)/INDEX('Lease Cycles'!$CP$19:$CV$19,1,BX197))/12)))),'Lease Cycles'!$C$19*INDEX('Lease Cycles'!$CB$19:$CH$19,1,BX197)*(1+INDEX('Lease Cycles'!$CI$19:$CO$19,1,BX197))^INT(INT(BX198/12)/INDEX('Lease Cycles'!$CP$19:$CV$19,1,BX197))/12),IF(INDEX('Lease Cycles'!$EF$19:$EL$19,1,BX197)=1,IF(AND('Lease Cycles'!$AZ$19&gt;=INDEX('Lease Cycles'!$BG$19:$BM$19,1,BX197),'Lease Cycles'!$AZ$19&lt;=BX$6),'Lease Cycles'!$C$19*'Lease Cycles'!$BA$19/12,IF(AND('Lease Cycles'!$AX$19&gt;=INDEX('Lease Cycles'!$BG$19:$BM$19,1,BX197),'Lease Cycles'!$AX$19&lt;=BX$6),'Lease Cycles'!$C$19*'Lease Cycles'!$AY$19/12,IF(AND('Lease Cycles'!$AV$19&gt;=INDEX('Lease Cycles'!$BG$19:$BM$19,1,BX197),'Lease Cycles'!$AV$19&lt;=BX$6),'Lease Cycles'!$C$19*'Lease Cycles'!$AW$19/12,IF(AND('Lease Cycles'!$AT$19&gt;=INDEX('Lease Cycles'!$BG$19:$BM$19,1,BX197),'Lease Cycles'!$AT$19&lt;=BX$6),'Lease Cycles'!$C$19*'Lease Cycles'!$AU$19/12,'Lease Cycles'!$C$19*INDEX('Lease Cycles'!$CB$19:$CH$19,1,BX197)*(1+INDEX('Lease Cycles'!$CI$19:$CO$19,1,BX197))^INT(INT(BX198/12)/INDEX('Lease Cycles'!$CP$19:$CV$19,1,BX197))/12)))),'Lease Cycles'!$C$19*INDEX('Lease Cycles'!$CB$19:$CH$19,1,BX197)*(1+INDEX('Lease Cycles'!$CI$19:$CO$19,1,BX197))^INT(INT(BX198/12)/INDEX('Lease Cycles'!$CP$19:$CV$19,1,BX197))/12))),IF('Lease Cycles'!$N$19=1,'Lease Cycles'!$C$19*'Lease Cycles'!$E$19*INDEX('Lease Cycles'!$HE$19:$HK$19,1,BX197)*(1+INDEX('Lease Cycles'!$GQ$19:$GW$19,1,BX197))^INT(INT((BX$6-INDEX('Lease Cycles'!$GJ$19:$GP$19,1,BX197))/12)/INDEX('Lease Cycles'!$GX$19:$HD$19,1,BX197))/12,0)))</f>
        <v>0</v>
      </c>
      <c r="BY200" s="28">
        <f>IF(BY197=0,IF('Lease Cycles'!$F$19&gt;0,'Lease Cycles'!$C$19*'Lease Cycles'!$E$19/12,0),IF(BY199=1,IF('Lease Cycles'!$AT$19&gt;=9999,'Lease Cycles'!$C$19*INDEX('Lease Cycles'!$CB$19:$CH$19,1,BY197)*(1+INDEX('Lease Cycles'!$CI$19:$CO$19,1,BY197))^INT(INT(BY198/12)/INDEX('Lease Cycles'!$CP$19:$CV$19,1,BY197))/12,IF(BY197=1,IF(BY198&gt;=INDEX('Lease Cycles'!$DK$19:$DQ$19,1,BY197),IF(BY$6&gt;='Lease Cycles'!$AZ$19,'Lease Cycles'!$C$19*'Lease Cycles'!$BA$19/12,IF(BY$6&gt;='Lease Cycles'!$AX$19,'Lease Cycles'!$C$19*'Lease Cycles'!$AY$19/12,IF(BY$6&gt;='Lease Cycles'!$AV$19,'Lease Cycles'!$C$19*'Lease Cycles'!$AW$19/12,IF(BY$6&gt;='Lease Cycles'!$AT$19,'Lease Cycles'!$C$19*'Lease Cycles'!$AU$19/12,'Lease Cycles'!$C$19*INDEX('Lease Cycles'!$CB$19:$CH$19,1,BY197)*(1+INDEX('Lease Cycles'!$CI$19:$CO$19,1,BY197))^INT(INT(BY198/12)/INDEX('Lease Cycles'!$CP$19:$CV$19,1,BY197))/12)))),'Lease Cycles'!$C$19*INDEX('Lease Cycles'!$CB$19:$CH$19,1,BY197)*(1+INDEX('Lease Cycles'!$CI$19:$CO$19,1,BY197))^INT(INT(BY198/12)/INDEX('Lease Cycles'!$CP$19:$CV$19,1,BY197))/12),IF(INDEX('Lease Cycles'!$EF$19:$EL$19,1,BY197)=1,IF(AND('Lease Cycles'!$AZ$19&gt;=INDEX('Lease Cycles'!$BG$19:$BM$19,1,BY197),'Lease Cycles'!$AZ$19&lt;=BY$6),'Lease Cycles'!$C$19*'Lease Cycles'!$BA$19/12,IF(AND('Lease Cycles'!$AX$19&gt;=INDEX('Lease Cycles'!$BG$19:$BM$19,1,BY197),'Lease Cycles'!$AX$19&lt;=BY$6),'Lease Cycles'!$C$19*'Lease Cycles'!$AY$19/12,IF(AND('Lease Cycles'!$AV$19&gt;=INDEX('Lease Cycles'!$BG$19:$BM$19,1,BY197),'Lease Cycles'!$AV$19&lt;=BY$6),'Lease Cycles'!$C$19*'Lease Cycles'!$AW$19/12,IF(AND('Lease Cycles'!$AT$19&gt;=INDEX('Lease Cycles'!$BG$19:$BM$19,1,BY197),'Lease Cycles'!$AT$19&lt;=BY$6),'Lease Cycles'!$C$19*'Lease Cycles'!$AU$19/12,'Lease Cycles'!$C$19*INDEX('Lease Cycles'!$CB$19:$CH$19,1,BY197)*(1+INDEX('Lease Cycles'!$CI$19:$CO$19,1,BY197))^INT(INT(BY198/12)/INDEX('Lease Cycles'!$CP$19:$CV$19,1,BY197))/12)))),'Lease Cycles'!$C$19*INDEX('Lease Cycles'!$CB$19:$CH$19,1,BY197)*(1+INDEX('Lease Cycles'!$CI$19:$CO$19,1,BY197))^INT(INT(BY198/12)/INDEX('Lease Cycles'!$CP$19:$CV$19,1,BY197))/12))),IF('Lease Cycles'!$N$19=1,'Lease Cycles'!$C$19*'Lease Cycles'!$E$19*INDEX('Lease Cycles'!$HE$19:$HK$19,1,BY197)*(1+INDEX('Lease Cycles'!$GQ$19:$GW$19,1,BY197))^INT(INT((BY$6-INDEX('Lease Cycles'!$GJ$19:$GP$19,1,BY197))/12)/INDEX('Lease Cycles'!$GX$19:$HD$19,1,BY197))/12,0)))</f>
        <v>0</v>
      </c>
      <c r="BZ200" s="28">
        <f>IF(BZ197=0,IF('Lease Cycles'!$F$19&gt;0,'Lease Cycles'!$C$19*'Lease Cycles'!$E$19/12,0),IF(BZ199=1,IF('Lease Cycles'!$AT$19&gt;=9999,'Lease Cycles'!$C$19*INDEX('Lease Cycles'!$CB$19:$CH$19,1,BZ197)*(1+INDEX('Lease Cycles'!$CI$19:$CO$19,1,BZ197))^INT(INT(BZ198/12)/INDEX('Lease Cycles'!$CP$19:$CV$19,1,BZ197))/12,IF(BZ197=1,IF(BZ198&gt;=INDEX('Lease Cycles'!$DK$19:$DQ$19,1,BZ197),IF(BZ$6&gt;='Lease Cycles'!$AZ$19,'Lease Cycles'!$C$19*'Lease Cycles'!$BA$19/12,IF(BZ$6&gt;='Lease Cycles'!$AX$19,'Lease Cycles'!$C$19*'Lease Cycles'!$AY$19/12,IF(BZ$6&gt;='Lease Cycles'!$AV$19,'Lease Cycles'!$C$19*'Lease Cycles'!$AW$19/12,IF(BZ$6&gt;='Lease Cycles'!$AT$19,'Lease Cycles'!$C$19*'Lease Cycles'!$AU$19/12,'Lease Cycles'!$C$19*INDEX('Lease Cycles'!$CB$19:$CH$19,1,BZ197)*(1+INDEX('Lease Cycles'!$CI$19:$CO$19,1,BZ197))^INT(INT(BZ198/12)/INDEX('Lease Cycles'!$CP$19:$CV$19,1,BZ197))/12)))),'Lease Cycles'!$C$19*INDEX('Lease Cycles'!$CB$19:$CH$19,1,BZ197)*(1+INDEX('Lease Cycles'!$CI$19:$CO$19,1,BZ197))^INT(INT(BZ198/12)/INDEX('Lease Cycles'!$CP$19:$CV$19,1,BZ197))/12),IF(INDEX('Lease Cycles'!$EF$19:$EL$19,1,BZ197)=1,IF(AND('Lease Cycles'!$AZ$19&gt;=INDEX('Lease Cycles'!$BG$19:$BM$19,1,BZ197),'Lease Cycles'!$AZ$19&lt;=BZ$6),'Lease Cycles'!$C$19*'Lease Cycles'!$BA$19/12,IF(AND('Lease Cycles'!$AX$19&gt;=INDEX('Lease Cycles'!$BG$19:$BM$19,1,BZ197),'Lease Cycles'!$AX$19&lt;=BZ$6),'Lease Cycles'!$C$19*'Lease Cycles'!$AY$19/12,IF(AND('Lease Cycles'!$AV$19&gt;=INDEX('Lease Cycles'!$BG$19:$BM$19,1,BZ197),'Lease Cycles'!$AV$19&lt;=BZ$6),'Lease Cycles'!$C$19*'Lease Cycles'!$AW$19/12,IF(AND('Lease Cycles'!$AT$19&gt;=INDEX('Lease Cycles'!$BG$19:$BM$19,1,BZ197),'Lease Cycles'!$AT$19&lt;=BZ$6),'Lease Cycles'!$C$19*'Lease Cycles'!$AU$19/12,'Lease Cycles'!$C$19*INDEX('Lease Cycles'!$CB$19:$CH$19,1,BZ197)*(1+INDEX('Lease Cycles'!$CI$19:$CO$19,1,BZ197))^INT(INT(BZ198/12)/INDEX('Lease Cycles'!$CP$19:$CV$19,1,BZ197))/12)))),'Lease Cycles'!$C$19*INDEX('Lease Cycles'!$CB$19:$CH$19,1,BZ197)*(1+INDEX('Lease Cycles'!$CI$19:$CO$19,1,BZ197))^INT(INT(BZ198/12)/INDEX('Lease Cycles'!$CP$19:$CV$19,1,BZ197))/12))),IF('Lease Cycles'!$N$19=1,'Lease Cycles'!$C$19*'Lease Cycles'!$E$19*INDEX('Lease Cycles'!$HE$19:$HK$19,1,BZ197)*(1+INDEX('Lease Cycles'!$GQ$19:$GW$19,1,BZ197))^INT(INT((BZ$6-INDEX('Lease Cycles'!$GJ$19:$GP$19,1,BZ197))/12)/INDEX('Lease Cycles'!$GX$19:$HD$19,1,BZ197))/12,0)))</f>
        <v>0</v>
      </c>
      <c r="CA200" s="28">
        <f>IF(CA197=0,IF('Lease Cycles'!$F$19&gt;0,'Lease Cycles'!$C$19*'Lease Cycles'!$E$19/12,0),IF(CA199=1,IF('Lease Cycles'!$AT$19&gt;=9999,'Lease Cycles'!$C$19*INDEX('Lease Cycles'!$CB$19:$CH$19,1,CA197)*(1+INDEX('Lease Cycles'!$CI$19:$CO$19,1,CA197))^INT(INT(CA198/12)/INDEX('Lease Cycles'!$CP$19:$CV$19,1,CA197))/12,IF(CA197=1,IF(CA198&gt;=INDEX('Lease Cycles'!$DK$19:$DQ$19,1,CA197),IF(CA$6&gt;='Lease Cycles'!$AZ$19,'Lease Cycles'!$C$19*'Lease Cycles'!$BA$19/12,IF(CA$6&gt;='Lease Cycles'!$AX$19,'Lease Cycles'!$C$19*'Lease Cycles'!$AY$19/12,IF(CA$6&gt;='Lease Cycles'!$AV$19,'Lease Cycles'!$C$19*'Lease Cycles'!$AW$19/12,IF(CA$6&gt;='Lease Cycles'!$AT$19,'Lease Cycles'!$C$19*'Lease Cycles'!$AU$19/12,'Lease Cycles'!$C$19*INDEX('Lease Cycles'!$CB$19:$CH$19,1,CA197)*(1+INDEX('Lease Cycles'!$CI$19:$CO$19,1,CA197))^INT(INT(CA198/12)/INDEX('Lease Cycles'!$CP$19:$CV$19,1,CA197))/12)))),'Lease Cycles'!$C$19*INDEX('Lease Cycles'!$CB$19:$CH$19,1,CA197)*(1+INDEX('Lease Cycles'!$CI$19:$CO$19,1,CA197))^INT(INT(CA198/12)/INDEX('Lease Cycles'!$CP$19:$CV$19,1,CA197))/12),IF(INDEX('Lease Cycles'!$EF$19:$EL$19,1,CA197)=1,IF(AND('Lease Cycles'!$AZ$19&gt;=INDEX('Lease Cycles'!$BG$19:$BM$19,1,CA197),'Lease Cycles'!$AZ$19&lt;=CA$6),'Lease Cycles'!$C$19*'Lease Cycles'!$BA$19/12,IF(AND('Lease Cycles'!$AX$19&gt;=INDEX('Lease Cycles'!$BG$19:$BM$19,1,CA197),'Lease Cycles'!$AX$19&lt;=CA$6),'Lease Cycles'!$C$19*'Lease Cycles'!$AY$19/12,IF(AND('Lease Cycles'!$AV$19&gt;=INDEX('Lease Cycles'!$BG$19:$BM$19,1,CA197),'Lease Cycles'!$AV$19&lt;=CA$6),'Lease Cycles'!$C$19*'Lease Cycles'!$AW$19/12,IF(AND('Lease Cycles'!$AT$19&gt;=INDEX('Lease Cycles'!$BG$19:$BM$19,1,CA197),'Lease Cycles'!$AT$19&lt;=CA$6),'Lease Cycles'!$C$19*'Lease Cycles'!$AU$19/12,'Lease Cycles'!$C$19*INDEX('Lease Cycles'!$CB$19:$CH$19,1,CA197)*(1+INDEX('Lease Cycles'!$CI$19:$CO$19,1,CA197))^INT(INT(CA198/12)/INDEX('Lease Cycles'!$CP$19:$CV$19,1,CA197))/12)))),'Lease Cycles'!$C$19*INDEX('Lease Cycles'!$CB$19:$CH$19,1,CA197)*(1+INDEX('Lease Cycles'!$CI$19:$CO$19,1,CA197))^INT(INT(CA198/12)/INDEX('Lease Cycles'!$CP$19:$CV$19,1,CA197))/12))),IF('Lease Cycles'!$N$19=1,'Lease Cycles'!$C$19*'Lease Cycles'!$E$19*INDEX('Lease Cycles'!$HE$19:$HK$19,1,CA197)*(1+INDEX('Lease Cycles'!$GQ$19:$GW$19,1,CA197))^INT(INT((CA$6-INDEX('Lease Cycles'!$GJ$19:$GP$19,1,CA197))/12)/INDEX('Lease Cycles'!$GX$19:$HD$19,1,CA197))/12,0)))</f>
        <v>0</v>
      </c>
      <c r="CB200" s="28">
        <f>IF(CB197=0,IF('Lease Cycles'!$F$19&gt;0,'Lease Cycles'!$C$19*'Lease Cycles'!$E$19/12,0),IF(CB199=1,IF('Lease Cycles'!$AT$19&gt;=9999,'Lease Cycles'!$C$19*INDEX('Lease Cycles'!$CB$19:$CH$19,1,CB197)*(1+INDEX('Lease Cycles'!$CI$19:$CO$19,1,CB197))^INT(INT(CB198/12)/INDEX('Lease Cycles'!$CP$19:$CV$19,1,CB197))/12,IF(CB197=1,IF(CB198&gt;=INDEX('Lease Cycles'!$DK$19:$DQ$19,1,CB197),IF(CB$6&gt;='Lease Cycles'!$AZ$19,'Lease Cycles'!$C$19*'Lease Cycles'!$BA$19/12,IF(CB$6&gt;='Lease Cycles'!$AX$19,'Lease Cycles'!$C$19*'Lease Cycles'!$AY$19/12,IF(CB$6&gt;='Lease Cycles'!$AV$19,'Lease Cycles'!$C$19*'Lease Cycles'!$AW$19/12,IF(CB$6&gt;='Lease Cycles'!$AT$19,'Lease Cycles'!$C$19*'Lease Cycles'!$AU$19/12,'Lease Cycles'!$C$19*INDEX('Lease Cycles'!$CB$19:$CH$19,1,CB197)*(1+INDEX('Lease Cycles'!$CI$19:$CO$19,1,CB197))^INT(INT(CB198/12)/INDEX('Lease Cycles'!$CP$19:$CV$19,1,CB197))/12)))),'Lease Cycles'!$C$19*INDEX('Lease Cycles'!$CB$19:$CH$19,1,CB197)*(1+INDEX('Lease Cycles'!$CI$19:$CO$19,1,CB197))^INT(INT(CB198/12)/INDEX('Lease Cycles'!$CP$19:$CV$19,1,CB197))/12),IF(INDEX('Lease Cycles'!$EF$19:$EL$19,1,CB197)=1,IF(AND('Lease Cycles'!$AZ$19&gt;=INDEX('Lease Cycles'!$BG$19:$BM$19,1,CB197),'Lease Cycles'!$AZ$19&lt;=CB$6),'Lease Cycles'!$C$19*'Lease Cycles'!$BA$19/12,IF(AND('Lease Cycles'!$AX$19&gt;=INDEX('Lease Cycles'!$BG$19:$BM$19,1,CB197),'Lease Cycles'!$AX$19&lt;=CB$6),'Lease Cycles'!$C$19*'Lease Cycles'!$AY$19/12,IF(AND('Lease Cycles'!$AV$19&gt;=INDEX('Lease Cycles'!$BG$19:$BM$19,1,CB197),'Lease Cycles'!$AV$19&lt;=CB$6),'Lease Cycles'!$C$19*'Lease Cycles'!$AW$19/12,IF(AND('Lease Cycles'!$AT$19&gt;=INDEX('Lease Cycles'!$BG$19:$BM$19,1,CB197),'Lease Cycles'!$AT$19&lt;=CB$6),'Lease Cycles'!$C$19*'Lease Cycles'!$AU$19/12,'Lease Cycles'!$C$19*INDEX('Lease Cycles'!$CB$19:$CH$19,1,CB197)*(1+INDEX('Lease Cycles'!$CI$19:$CO$19,1,CB197))^INT(INT(CB198/12)/INDEX('Lease Cycles'!$CP$19:$CV$19,1,CB197))/12)))),'Lease Cycles'!$C$19*INDEX('Lease Cycles'!$CB$19:$CH$19,1,CB197)*(1+INDEX('Lease Cycles'!$CI$19:$CO$19,1,CB197))^INT(INT(CB198/12)/INDEX('Lease Cycles'!$CP$19:$CV$19,1,CB197))/12))),IF('Lease Cycles'!$N$19=1,'Lease Cycles'!$C$19*'Lease Cycles'!$E$19*INDEX('Lease Cycles'!$HE$19:$HK$19,1,CB197)*(1+INDEX('Lease Cycles'!$GQ$19:$GW$19,1,CB197))^INT(INT((CB$6-INDEX('Lease Cycles'!$GJ$19:$GP$19,1,CB197))/12)/INDEX('Lease Cycles'!$GX$19:$HD$19,1,CB197))/12,0)))</f>
        <v>0</v>
      </c>
      <c r="CC200" s="28">
        <f>IF(CC197=0,IF('Lease Cycles'!$F$19&gt;0,'Lease Cycles'!$C$19*'Lease Cycles'!$E$19/12,0),IF(CC199=1,IF('Lease Cycles'!$AT$19&gt;=9999,'Lease Cycles'!$C$19*INDEX('Lease Cycles'!$CB$19:$CH$19,1,CC197)*(1+INDEX('Lease Cycles'!$CI$19:$CO$19,1,CC197))^INT(INT(CC198/12)/INDEX('Lease Cycles'!$CP$19:$CV$19,1,CC197))/12,IF(CC197=1,IF(CC198&gt;=INDEX('Lease Cycles'!$DK$19:$DQ$19,1,CC197),IF(CC$6&gt;='Lease Cycles'!$AZ$19,'Lease Cycles'!$C$19*'Lease Cycles'!$BA$19/12,IF(CC$6&gt;='Lease Cycles'!$AX$19,'Lease Cycles'!$C$19*'Lease Cycles'!$AY$19/12,IF(CC$6&gt;='Lease Cycles'!$AV$19,'Lease Cycles'!$C$19*'Lease Cycles'!$AW$19/12,IF(CC$6&gt;='Lease Cycles'!$AT$19,'Lease Cycles'!$C$19*'Lease Cycles'!$AU$19/12,'Lease Cycles'!$C$19*INDEX('Lease Cycles'!$CB$19:$CH$19,1,CC197)*(1+INDEX('Lease Cycles'!$CI$19:$CO$19,1,CC197))^INT(INT(CC198/12)/INDEX('Lease Cycles'!$CP$19:$CV$19,1,CC197))/12)))),'Lease Cycles'!$C$19*INDEX('Lease Cycles'!$CB$19:$CH$19,1,CC197)*(1+INDEX('Lease Cycles'!$CI$19:$CO$19,1,CC197))^INT(INT(CC198/12)/INDEX('Lease Cycles'!$CP$19:$CV$19,1,CC197))/12),IF(INDEX('Lease Cycles'!$EF$19:$EL$19,1,CC197)=1,IF(AND('Lease Cycles'!$AZ$19&gt;=INDEX('Lease Cycles'!$BG$19:$BM$19,1,CC197),'Lease Cycles'!$AZ$19&lt;=CC$6),'Lease Cycles'!$C$19*'Lease Cycles'!$BA$19/12,IF(AND('Lease Cycles'!$AX$19&gt;=INDEX('Lease Cycles'!$BG$19:$BM$19,1,CC197),'Lease Cycles'!$AX$19&lt;=CC$6),'Lease Cycles'!$C$19*'Lease Cycles'!$AY$19/12,IF(AND('Lease Cycles'!$AV$19&gt;=INDEX('Lease Cycles'!$BG$19:$BM$19,1,CC197),'Lease Cycles'!$AV$19&lt;=CC$6),'Lease Cycles'!$C$19*'Lease Cycles'!$AW$19/12,IF(AND('Lease Cycles'!$AT$19&gt;=INDEX('Lease Cycles'!$BG$19:$BM$19,1,CC197),'Lease Cycles'!$AT$19&lt;=CC$6),'Lease Cycles'!$C$19*'Lease Cycles'!$AU$19/12,'Lease Cycles'!$C$19*INDEX('Lease Cycles'!$CB$19:$CH$19,1,CC197)*(1+INDEX('Lease Cycles'!$CI$19:$CO$19,1,CC197))^INT(INT(CC198/12)/INDEX('Lease Cycles'!$CP$19:$CV$19,1,CC197))/12)))),'Lease Cycles'!$C$19*INDEX('Lease Cycles'!$CB$19:$CH$19,1,CC197)*(1+INDEX('Lease Cycles'!$CI$19:$CO$19,1,CC197))^INT(INT(CC198/12)/INDEX('Lease Cycles'!$CP$19:$CV$19,1,CC197))/12))),IF('Lease Cycles'!$N$19=1,'Lease Cycles'!$C$19*'Lease Cycles'!$E$19*INDEX('Lease Cycles'!$HE$19:$HK$19,1,CC197)*(1+INDEX('Lease Cycles'!$GQ$19:$GW$19,1,CC197))^INT(INT((CC$6-INDEX('Lease Cycles'!$GJ$19:$GP$19,1,CC197))/12)/INDEX('Lease Cycles'!$GX$19:$HD$19,1,CC197))/12,0)))</f>
        <v>0</v>
      </c>
      <c r="CD200" s="28">
        <f>IF(CD197=0,IF('Lease Cycles'!$F$19&gt;0,'Lease Cycles'!$C$19*'Lease Cycles'!$E$19/12,0),IF(CD199=1,IF('Lease Cycles'!$AT$19&gt;=9999,'Lease Cycles'!$C$19*INDEX('Lease Cycles'!$CB$19:$CH$19,1,CD197)*(1+INDEX('Lease Cycles'!$CI$19:$CO$19,1,CD197))^INT(INT(CD198/12)/INDEX('Lease Cycles'!$CP$19:$CV$19,1,CD197))/12,IF(CD197=1,IF(CD198&gt;=INDEX('Lease Cycles'!$DK$19:$DQ$19,1,CD197),IF(CD$6&gt;='Lease Cycles'!$AZ$19,'Lease Cycles'!$C$19*'Lease Cycles'!$BA$19/12,IF(CD$6&gt;='Lease Cycles'!$AX$19,'Lease Cycles'!$C$19*'Lease Cycles'!$AY$19/12,IF(CD$6&gt;='Lease Cycles'!$AV$19,'Lease Cycles'!$C$19*'Lease Cycles'!$AW$19/12,IF(CD$6&gt;='Lease Cycles'!$AT$19,'Lease Cycles'!$C$19*'Lease Cycles'!$AU$19/12,'Lease Cycles'!$C$19*INDEX('Lease Cycles'!$CB$19:$CH$19,1,CD197)*(1+INDEX('Lease Cycles'!$CI$19:$CO$19,1,CD197))^INT(INT(CD198/12)/INDEX('Lease Cycles'!$CP$19:$CV$19,1,CD197))/12)))),'Lease Cycles'!$C$19*INDEX('Lease Cycles'!$CB$19:$CH$19,1,CD197)*(1+INDEX('Lease Cycles'!$CI$19:$CO$19,1,CD197))^INT(INT(CD198/12)/INDEX('Lease Cycles'!$CP$19:$CV$19,1,CD197))/12),IF(INDEX('Lease Cycles'!$EF$19:$EL$19,1,CD197)=1,IF(AND('Lease Cycles'!$AZ$19&gt;=INDEX('Lease Cycles'!$BG$19:$BM$19,1,CD197),'Lease Cycles'!$AZ$19&lt;=CD$6),'Lease Cycles'!$C$19*'Lease Cycles'!$BA$19/12,IF(AND('Lease Cycles'!$AX$19&gt;=INDEX('Lease Cycles'!$BG$19:$BM$19,1,CD197),'Lease Cycles'!$AX$19&lt;=CD$6),'Lease Cycles'!$C$19*'Lease Cycles'!$AY$19/12,IF(AND('Lease Cycles'!$AV$19&gt;=INDEX('Lease Cycles'!$BG$19:$BM$19,1,CD197),'Lease Cycles'!$AV$19&lt;=CD$6),'Lease Cycles'!$C$19*'Lease Cycles'!$AW$19/12,IF(AND('Lease Cycles'!$AT$19&gt;=INDEX('Lease Cycles'!$BG$19:$BM$19,1,CD197),'Lease Cycles'!$AT$19&lt;=CD$6),'Lease Cycles'!$C$19*'Lease Cycles'!$AU$19/12,'Lease Cycles'!$C$19*INDEX('Lease Cycles'!$CB$19:$CH$19,1,CD197)*(1+INDEX('Lease Cycles'!$CI$19:$CO$19,1,CD197))^INT(INT(CD198/12)/INDEX('Lease Cycles'!$CP$19:$CV$19,1,CD197))/12)))),'Lease Cycles'!$C$19*INDEX('Lease Cycles'!$CB$19:$CH$19,1,CD197)*(1+INDEX('Lease Cycles'!$CI$19:$CO$19,1,CD197))^INT(INT(CD198/12)/INDEX('Lease Cycles'!$CP$19:$CV$19,1,CD197))/12))),IF('Lease Cycles'!$N$19=1,'Lease Cycles'!$C$19*'Lease Cycles'!$E$19*INDEX('Lease Cycles'!$HE$19:$HK$19,1,CD197)*(1+INDEX('Lease Cycles'!$GQ$19:$GW$19,1,CD197))^INT(INT((CD$6-INDEX('Lease Cycles'!$GJ$19:$GP$19,1,CD197))/12)/INDEX('Lease Cycles'!$GX$19:$HD$19,1,CD197))/12,0)))</f>
        <v>0</v>
      </c>
      <c r="CE200" s="28">
        <f>IF(CE197=0,IF('Lease Cycles'!$F$19&gt;0,'Lease Cycles'!$C$19*'Lease Cycles'!$E$19/12,0),IF(CE199=1,IF('Lease Cycles'!$AT$19&gt;=9999,'Lease Cycles'!$C$19*INDEX('Lease Cycles'!$CB$19:$CH$19,1,CE197)*(1+INDEX('Lease Cycles'!$CI$19:$CO$19,1,CE197))^INT(INT(CE198/12)/INDEX('Lease Cycles'!$CP$19:$CV$19,1,CE197))/12,IF(CE197=1,IF(CE198&gt;=INDEX('Lease Cycles'!$DK$19:$DQ$19,1,CE197),IF(CE$6&gt;='Lease Cycles'!$AZ$19,'Lease Cycles'!$C$19*'Lease Cycles'!$BA$19/12,IF(CE$6&gt;='Lease Cycles'!$AX$19,'Lease Cycles'!$C$19*'Lease Cycles'!$AY$19/12,IF(CE$6&gt;='Lease Cycles'!$AV$19,'Lease Cycles'!$C$19*'Lease Cycles'!$AW$19/12,IF(CE$6&gt;='Lease Cycles'!$AT$19,'Lease Cycles'!$C$19*'Lease Cycles'!$AU$19/12,'Lease Cycles'!$C$19*INDEX('Lease Cycles'!$CB$19:$CH$19,1,CE197)*(1+INDEX('Lease Cycles'!$CI$19:$CO$19,1,CE197))^INT(INT(CE198/12)/INDEX('Lease Cycles'!$CP$19:$CV$19,1,CE197))/12)))),'Lease Cycles'!$C$19*INDEX('Lease Cycles'!$CB$19:$CH$19,1,CE197)*(1+INDEX('Lease Cycles'!$CI$19:$CO$19,1,CE197))^INT(INT(CE198/12)/INDEX('Lease Cycles'!$CP$19:$CV$19,1,CE197))/12),IF(INDEX('Lease Cycles'!$EF$19:$EL$19,1,CE197)=1,IF(AND('Lease Cycles'!$AZ$19&gt;=INDEX('Lease Cycles'!$BG$19:$BM$19,1,CE197),'Lease Cycles'!$AZ$19&lt;=CE$6),'Lease Cycles'!$C$19*'Lease Cycles'!$BA$19/12,IF(AND('Lease Cycles'!$AX$19&gt;=INDEX('Lease Cycles'!$BG$19:$BM$19,1,CE197),'Lease Cycles'!$AX$19&lt;=CE$6),'Lease Cycles'!$C$19*'Lease Cycles'!$AY$19/12,IF(AND('Lease Cycles'!$AV$19&gt;=INDEX('Lease Cycles'!$BG$19:$BM$19,1,CE197),'Lease Cycles'!$AV$19&lt;=CE$6),'Lease Cycles'!$C$19*'Lease Cycles'!$AW$19/12,IF(AND('Lease Cycles'!$AT$19&gt;=INDEX('Lease Cycles'!$BG$19:$BM$19,1,CE197),'Lease Cycles'!$AT$19&lt;=CE$6),'Lease Cycles'!$C$19*'Lease Cycles'!$AU$19/12,'Lease Cycles'!$C$19*INDEX('Lease Cycles'!$CB$19:$CH$19,1,CE197)*(1+INDEX('Lease Cycles'!$CI$19:$CO$19,1,CE197))^INT(INT(CE198/12)/INDEX('Lease Cycles'!$CP$19:$CV$19,1,CE197))/12)))),'Lease Cycles'!$C$19*INDEX('Lease Cycles'!$CB$19:$CH$19,1,CE197)*(1+INDEX('Lease Cycles'!$CI$19:$CO$19,1,CE197))^INT(INT(CE198/12)/INDEX('Lease Cycles'!$CP$19:$CV$19,1,CE197))/12))),IF('Lease Cycles'!$N$19=1,'Lease Cycles'!$C$19*'Lease Cycles'!$E$19*INDEX('Lease Cycles'!$HE$19:$HK$19,1,CE197)*(1+INDEX('Lease Cycles'!$GQ$19:$GW$19,1,CE197))^INT(INT((CE$6-INDEX('Lease Cycles'!$GJ$19:$GP$19,1,CE197))/12)/INDEX('Lease Cycles'!$GX$19:$HD$19,1,CE197))/12,0)))</f>
        <v>0</v>
      </c>
      <c r="CF200" s="28">
        <f>IF(CF197=0,IF('Lease Cycles'!$F$19&gt;0,'Lease Cycles'!$C$19*'Lease Cycles'!$E$19/12,0),IF(CF199=1,IF('Lease Cycles'!$AT$19&gt;=9999,'Lease Cycles'!$C$19*INDEX('Lease Cycles'!$CB$19:$CH$19,1,CF197)*(1+INDEX('Lease Cycles'!$CI$19:$CO$19,1,CF197))^INT(INT(CF198/12)/INDEX('Lease Cycles'!$CP$19:$CV$19,1,CF197))/12,IF(CF197=1,IF(CF198&gt;=INDEX('Lease Cycles'!$DK$19:$DQ$19,1,CF197),IF(CF$6&gt;='Lease Cycles'!$AZ$19,'Lease Cycles'!$C$19*'Lease Cycles'!$BA$19/12,IF(CF$6&gt;='Lease Cycles'!$AX$19,'Lease Cycles'!$C$19*'Lease Cycles'!$AY$19/12,IF(CF$6&gt;='Lease Cycles'!$AV$19,'Lease Cycles'!$C$19*'Lease Cycles'!$AW$19/12,IF(CF$6&gt;='Lease Cycles'!$AT$19,'Lease Cycles'!$C$19*'Lease Cycles'!$AU$19/12,'Lease Cycles'!$C$19*INDEX('Lease Cycles'!$CB$19:$CH$19,1,CF197)*(1+INDEX('Lease Cycles'!$CI$19:$CO$19,1,CF197))^INT(INT(CF198/12)/INDEX('Lease Cycles'!$CP$19:$CV$19,1,CF197))/12)))),'Lease Cycles'!$C$19*INDEX('Lease Cycles'!$CB$19:$CH$19,1,CF197)*(1+INDEX('Lease Cycles'!$CI$19:$CO$19,1,CF197))^INT(INT(CF198/12)/INDEX('Lease Cycles'!$CP$19:$CV$19,1,CF197))/12),IF(INDEX('Lease Cycles'!$EF$19:$EL$19,1,CF197)=1,IF(AND('Lease Cycles'!$AZ$19&gt;=INDEX('Lease Cycles'!$BG$19:$BM$19,1,CF197),'Lease Cycles'!$AZ$19&lt;=CF$6),'Lease Cycles'!$C$19*'Lease Cycles'!$BA$19/12,IF(AND('Lease Cycles'!$AX$19&gt;=INDEX('Lease Cycles'!$BG$19:$BM$19,1,CF197),'Lease Cycles'!$AX$19&lt;=CF$6),'Lease Cycles'!$C$19*'Lease Cycles'!$AY$19/12,IF(AND('Lease Cycles'!$AV$19&gt;=INDEX('Lease Cycles'!$BG$19:$BM$19,1,CF197),'Lease Cycles'!$AV$19&lt;=CF$6),'Lease Cycles'!$C$19*'Lease Cycles'!$AW$19/12,IF(AND('Lease Cycles'!$AT$19&gt;=INDEX('Lease Cycles'!$BG$19:$BM$19,1,CF197),'Lease Cycles'!$AT$19&lt;=CF$6),'Lease Cycles'!$C$19*'Lease Cycles'!$AU$19/12,'Lease Cycles'!$C$19*INDEX('Lease Cycles'!$CB$19:$CH$19,1,CF197)*(1+INDEX('Lease Cycles'!$CI$19:$CO$19,1,CF197))^INT(INT(CF198/12)/INDEX('Lease Cycles'!$CP$19:$CV$19,1,CF197))/12)))),'Lease Cycles'!$C$19*INDEX('Lease Cycles'!$CB$19:$CH$19,1,CF197)*(1+INDEX('Lease Cycles'!$CI$19:$CO$19,1,CF197))^INT(INT(CF198/12)/INDEX('Lease Cycles'!$CP$19:$CV$19,1,CF197))/12))),IF('Lease Cycles'!$N$19=1,'Lease Cycles'!$C$19*'Lease Cycles'!$E$19*INDEX('Lease Cycles'!$HE$19:$HK$19,1,CF197)*(1+INDEX('Lease Cycles'!$GQ$19:$GW$19,1,CF197))^INT(INT((CF$6-INDEX('Lease Cycles'!$GJ$19:$GP$19,1,CF197))/12)/INDEX('Lease Cycles'!$GX$19:$HD$19,1,CF197))/12,0)))</f>
        <v>0</v>
      </c>
      <c r="CG200" s="28">
        <f>IF(CG197=0,IF('Lease Cycles'!$F$19&gt;0,'Lease Cycles'!$C$19*'Lease Cycles'!$E$19/12,0),IF(CG199=1,IF('Lease Cycles'!$AT$19&gt;=9999,'Lease Cycles'!$C$19*INDEX('Lease Cycles'!$CB$19:$CH$19,1,CG197)*(1+INDEX('Lease Cycles'!$CI$19:$CO$19,1,CG197))^INT(INT(CG198/12)/INDEX('Lease Cycles'!$CP$19:$CV$19,1,CG197))/12,IF(CG197=1,IF(CG198&gt;=INDEX('Lease Cycles'!$DK$19:$DQ$19,1,CG197),IF(CG$6&gt;='Lease Cycles'!$AZ$19,'Lease Cycles'!$C$19*'Lease Cycles'!$BA$19/12,IF(CG$6&gt;='Lease Cycles'!$AX$19,'Lease Cycles'!$C$19*'Lease Cycles'!$AY$19/12,IF(CG$6&gt;='Lease Cycles'!$AV$19,'Lease Cycles'!$C$19*'Lease Cycles'!$AW$19/12,IF(CG$6&gt;='Lease Cycles'!$AT$19,'Lease Cycles'!$C$19*'Lease Cycles'!$AU$19/12,'Lease Cycles'!$C$19*INDEX('Lease Cycles'!$CB$19:$CH$19,1,CG197)*(1+INDEX('Lease Cycles'!$CI$19:$CO$19,1,CG197))^INT(INT(CG198/12)/INDEX('Lease Cycles'!$CP$19:$CV$19,1,CG197))/12)))),'Lease Cycles'!$C$19*INDEX('Lease Cycles'!$CB$19:$CH$19,1,CG197)*(1+INDEX('Lease Cycles'!$CI$19:$CO$19,1,CG197))^INT(INT(CG198/12)/INDEX('Lease Cycles'!$CP$19:$CV$19,1,CG197))/12),IF(INDEX('Lease Cycles'!$EF$19:$EL$19,1,CG197)=1,IF(AND('Lease Cycles'!$AZ$19&gt;=INDEX('Lease Cycles'!$BG$19:$BM$19,1,CG197),'Lease Cycles'!$AZ$19&lt;=CG$6),'Lease Cycles'!$C$19*'Lease Cycles'!$BA$19/12,IF(AND('Lease Cycles'!$AX$19&gt;=INDEX('Lease Cycles'!$BG$19:$BM$19,1,CG197),'Lease Cycles'!$AX$19&lt;=CG$6),'Lease Cycles'!$C$19*'Lease Cycles'!$AY$19/12,IF(AND('Lease Cycles'!$AV$19&gt;=INDEX('Lease Cycles'!$BG$19:$BM$19,1,CG197),'Lease Cycles'!$AV$19&lt;=CG$6),'Lease Cycles'!$C$19*'Lease Cycles'!$AW$19/12,IF(AND('Lease Cycles'!$AT$19&gt;=INDEX('Lease Cycles'!$BG$19:$BM$19,1,CG197),'Lease Cycles'!$AT$19&lt;=CG$6),'Lease Cycles'!$C$19*'Lease Cycles'!$AU$19/12,'Lease Cycles'!$C$19*INDEX('Lease Cycles'!$CB$19:$CH$19,1,CG197)*(1+INDEX('Lease Cycles'!$CI$19:$CO$19,1,CG197))^INT(INT(CG198/12)/INDEX('Lease Cycles'!$CP$19:$CV$19,1,CG197))/12)))),'Lease Cycles'!$C$19*INDEX('Lease Cycles'!$CB$19:$CH$19,1,CG197)*(1+INDEX('Lease Cycles'!$CI$19:$CO$19,1,CG197))^INT(INT(CG198/12)/INDEX('Lease Cycles'!$CP$19:$CV$19,1,CG197))/12))),IF('Lease Cycles'!$N$19=1,'Lease Cycles'!$C$19*'Lease Cycles'!$E$19*INDEX('Lease Cycles'!$HE$19:$HK$19,1,CG197)*(1+INDEX('Lease Cycles'!$GQ$19:$GW$19,1,CG197))^INT(INT((CG$6-INDEX('Lease Cycles'!$GJ$19:$GP$19,1,CG197))/12)/INDEX('Lease Cycles'!$GX$19:$HD$19,1,CG197))/12,0)))</f>
        <v>0</v>
      </c>
      <c r="CH200" s="28">
        <f>IF(CH197=0,IF('Lease Cycles'!$F$19&gt;0,'Lease Cycles'!$C$19*'Lease Cycles'!$E$19/12,0),IF(CH199=1,IF('Lease Cycles'!$AT$19&gt;=9999,'Lease Cycles'!$C$19*INDEX('Lease Cycles'!$CB$19:$CH$19,1,CH197)*(1+INDEX('Lease Cycles'!$CI$19:$CO$19,1,CH197))^INT(INT(CH198/12)/INDEX('Lease Cycles'!$CP$19:$CV$19,1,CH197))/12,IF(CH197=1,IF(CH198&gt;=INDEX('Lease Cycles'!$DK$19:$DQ$19,1,CH197),IF(CH$6&gt;='Lease Cycles'!$AZ$19,'Lease Cycles'!$C$19*'Lease Cycles'!$BA$19/12,IF(CH$6&gt;='Lease Cycles'!$AX$19,'Lease Cycles'!$C$19*'Lease Cycles'!$AY$19/12,IF(CH$6&gt;='Lease Cycles'!$AV$19,'Lease Cycles'!$C$19*'Lease Cycles'!$AW$19/12,IF(CH$6&gt;='Lease Cycles'!$AT$19,'Lease Cycles'!$C$19*'Lease Cycles'!$AU$19/12,'Lease Cycles'!$C$19*INDEX('Lease Cycles'!$CB$19:$CH$19,1,CH197)*(1+INDEX('Lease Cycles'!$CI$19:$CO$19,1,CH197))^INT(INT(CH198/12)/INDEX('Lease Cycles'!$CP$19:$CV$19,1,CH197))/12)))),'Lease Cycles'!$C$19*INDEX('Lease Cycles'!$CB$19:$CH$19,1,CH197)*(1+INDEX('Lease Cycles'!$CI$19:$CO$19,1,CH197))^INT(INT(CH198/12)/INDEX('Lease Cycles'!$CP$19:$CV$19,1,CH197))/12),IF(INDEX('Lease Cycles'!$EF$19:$EL$19,1,CH197)=1,IF(AND('Lease Cycles'!$AZ$19&gt;=INDEX('Lease Cycles'!$BG$19:$BM$19,1,CH197),'Lease Cycles'!$AZ$19&lt;=CH$6),'Lease Cycles'!$C$19*'Lease Cycles'!$BA$19/12,IF(AND('Lease Cycles'!$AX$19&gt;=INDEX('Lease Cycles'!$BG$19:$BM$19,1,CH197),'Lease Cycles'!$AX$19&lt;=CH$6),'Lease Cycles'!$C$19*'Lease Cycles'!$AY$19/12,IF(AND('Lease Cycles'!$AV$19&gt;=INDEX('Lease Cycles'!$BG$19:$BM$19,1,CH197),'Lease Cycles'!$AV$19&lt;=CH$6),'Lease Cycles'!$C$19*'Lease Cycles'!$AW$19/12,IF(AND('Lease Cycles'!$AT$19&gt;=INDEX('Lease Cycles'!$BG$19:$BM$19,1,CH197),'Lease Cycles'!$AT$19&lt;=CH$6),'Lease Cycles'!$C$19*'Lease Cycles'!$AU$19/12,'Lease Cycles'!$C$19*INDEX('Lease Cycles'!$CB$19:$CH$19,1,CH197)*(1+INDEX('Lease Cycles'!$CI$19:$CO$19,1,CH197))^INT(INT(CH198/12)/INDEX('Lease Cycles'!$CP$19:$CV$19,1,CH197))/12)))),'Lease Cycles'!$C$19*INDEX('Lease Cycles'!$CB$19:$CH$19,1,CH197)*(1+INDEX('Lease Cycles'!$CI$19:$CO$19,1,CH197))^INT(INT(CH198/12)/INDEX('Lease Cycles'!$CP$19:$CV$19,1,CH197))/12))),IF('Lease Cycles'!$N$19=1,'Lease Cycles'!$C$19*'Lease Cycles'!$E$19*INDEX('Lease Cycles'!$HE$19:$HK$19,1,CH197)*(1+INDEX('Lease Cycles'!$GQ$19:$GW$19,1,CH197))^INT(INT((CH$6-INDEX('Lease Cycles'!$GJ$19:$GP$19,1,CH197))/12)/INDEX('Lease Cycles'!$GX$19:$HD$19,1,CH197))/12,0)))</f>
        <v>0</v>
      </c>
      <c r="CI200" s="28">
        <f>IF(CI197=0,IF('Lease Cycles'!$F$19&gt;0,'Lease Cycles'!$C$19*'Lease Cycles'!$E$19/12,0),IF(CI199=1,IF('Lease Cycles'!$AT$19&gt;=9999,'Lease Cycles'!$C$19*INDEX('Lease Cycles'!$CB$19:$CH$19,1,CI197)*(1+INDEX('Lease Cycles'!$CI$19:$CO$19,1,CI197))^INT(INT(CI198/12)/INDEX('Lease Cycles'!$CP$19:$CV$19,1,CI197))/12,IF(CI197=1,IF(CI198&gt;=INDEX('Lease Cycles'!$DK$19:$DQ$19,1,CI197),IF(CI$6&gt;='Lease Cycles'!$AZ$19,'Lease Cycles'!$C$19*'Lease Cycles'!$BA$19/12,IF(CI$6&gt;='Lease Cycles'!$AX$19,'Lease Cycles'!$C$19*'Lease Cycles'!$AY$19/12,IF(CI$6&gt;='Lease Cycles'!$AV$19,'Lease Cycles'!$C$19*'Lease Cycles'!$AW$19/12,IF(CI$6&gt;='Lease Cycles'!$AT$19,'Lease Cycles'!$C$19*'Lease Cycles'!$AU$19/12,'Lease Cycles'!$C$19*INDEX('Lease Cycles'!$CB$19:$CH$19,1,CI197)*(1+INDEX('Lease Cycles'!$CI$19:$CO$19,1,CI197))^INT(INT(CI198/12)/INDEX('Lease Cycles'!$CP$19:$CV$19,1,CI197))/12)))),'Lease Cycles'!$C$19*INDEX('Lease Cycles'!$CB$19:$CH$19,1,CI197)*(1+INDEX('Lease Cycles'!$CI$19:$CO$19,1,CI197))^INT(INT(CI198/12)/INDEX('Lease Cycles'!$CP$19:$CV$19,1,CI197))/12),IF(INDEX('Lease Cycles'!$EF$19:$EL$19,1,CI197)=1,IF(AND('Lease Cycles'!$AZ$19&gt;=INDEX('Lease Cycles'!$BG$19:$BM$19,1,CI197),'Lease Cycles'!$AZ$19&lt;=CI$6),'Lease Cycles'!$C$19*'Lease Cycles'!$BA$19/12,IF(AND('Lease Cycles'!$AX$19&gt;=INDEX('Lease Cycles'!$BG$19:$BM$19,1,CI197),'Lease Cycles'!$AX$19&lt;=CI$6),'Lease Cycles'!$C$19*'Lease Cycles'!$AY$19/12,IF(AND('Lease Cycles'!$AV$19&gt;=INDEX('Lease Cycles'!$BG$19:$BM$19,1,CI197),'Lease Cycles'!$AV$19&lt;=CI$6),'Lease Cycles'!$C$19*'Lease Cycles'!$AW$19/12,IF(AND('Lease Cycles'!$AT$19&gt;=INDEX('Lease Cycles'!$BG$19:$BM$19,1,CI197),'Lease Cycles'!$AT$19&lt;=CI$6),'Lease Cycles'!$C$19*'Lease Cycles'!$AU$19/12,'Lease Cycles'!$C$19*INDEX('Lease Cycles'!$CB$19:$CH$19,1,CI197)*(1+INDEX('Lease Cycles'!$CI$19:$CO$19,1,CI197))^INT(INT(CI198/12)/INDEX('Lease Cycles'!$CP$19:$CV$19,1,CI197))/12)))),'Lease Cycles'!$C$19*INDEX('Lease Cycles'!$CB$19:$CH$19,1,CI197)*(1+INDEX('Lease Cycles'!$CI$19:$CO$19,1,CI197))^INT(INT(CI198/12)/INDEX('Lease Cycles'!$CP$19:$CV$19,1,CI197))/12))),IF('Lease Cycles'!$N$19=1,'Lease Cycles'!$C$19*'Lease Cycles'!$E$19*INDEX('Lease Cycles'!$HE$19:$HK$19,1,CI197)*(1+INDEX('Lease Cycles'!$GQ$19:$GW$19,1,CI197))^INT(INT((CI$6-INDEX('Lease Cycles'!$GJ$19:$GP$19,1,CI197))/12)/INDEX('Lease Cycles'!$GX$19:$HD$19,1,CI197))/12,0)))</f>
        <v>0</v>
      </c>
      <c r="CJ200" s="28">
        <f>IF(CJ197=0,IF('Lease Cycles'!$F$19&gt;0,'Lease Cycles'!$C$19*'Lease Cycles'!$E$19/12,0),IF(CJ199=1,IF('Lease Cycles'!$AT$19&gt;=9999,'Lease Cycles'!$C$19*INDEX('Lease Cycles'!$CB$19:$CH$19,1,CJ197)*(1+INDEX('Lease Cycles'!$CI$19:$CO$19,1,CJ197))^INT(INT(CJ198/12)/INDEX('Lease Cycles'!$CP$19:$CV$19,1,CJ197))/12,IF(CJ197=1,IF(CJ198&gt;=INDEX('Lease Cycles'!$DK$19:$DQ$19,1,CJ197),IF(CJ$6&gt;='Lease Cycles'!$AZ$19,'Lease Cycles'!$C$19*'Lease Cycles'!$BA$19/12,IF(CJ$6&gt;='Lease Cycles'!$AX$19,'Lease Cycles'!$C$19*'Lease Cycles'!$AY$19/12,IF(CJ$6&gt;='Lease Cycles'!$AV$19,'Lease Cycles'!$C$19*'Lease Cycles'!$AW$19/12,IF(CJ$6&gt;='Lease Cycles'!$AT$19,'Lease Cycles'!$C$19*'Lease Cycles'!$AU$19/12,'Lease Cycles'!$C$19*INDEX('Lease Cycles'!$CB$19:$CH$19,1,CJ197)*(1+INDEX('Lease Cycles'!$CI$19:$CO$19,1,CJ197))^INT(INT(CJ198/12)/INDEX('Lease Cycles'!$CP$19:$CV$19,1,CJ197))/12)))),'Lease Cycles'!$C$19*INDEX('Lease Cycles'!$CB$19:$CH$19,1,CJ197)*(1+INDEX('Lease Cycles'!$CI$19:$CO$19,1,CJ197))^INT(INT(CJ198/12)/INDEX('Lease Cycles'!$CP$19:$CV$19,1,CJ197))/12),IF(INDEX('Lease Cycles'!$EF$19:$EL$19,1,CJ197)=1,IF(AND('Lease Cycles'!$AZ$19&gt;=INDEX('Lease Cycles'!$BG$19:$BM$19,1,CJ197),'Lease Cycles'!$AZ$19&lt;=CJ$6),'Lease Cycles'!$C$19*'Lease Cycles'!$BA$19/12,IF(AND('Lease Cycles'!$AX$19&gt;=INDEX('Lease Cycles'!$BG$19:$BM$19,1,CJ197),'Lease Cycles'!$AX$19&lt;=CJ$6),'Lease Cycles'!$C$19*'Lease Cycles'!$AY$19/12,IF(AND('Lease Cycles'!$AV$19&gt;=INDEX('Lease Cycles'!$BG$19:$BM$19,1,CJ197),'Lease Cycles'!$AV$19&lt;=CJ$6),'Lease Cycles'!$C$19*'Lease Cycles'!$AW$19/12,IF(AND('Lease Cycles'!$AT$19&gt;=INDEX('Lease Cycles'!$BG$19:$BM$19,1,CJ197),'Lease Cycles'!$AT$19&lt;=CJ$6),'Lease Cycles'!$C$19*'Lease Cycles'!$AU$19/12,'Lease Cycles'!$C$19*INDEX('Lease Cycles'!$CB$19:$CH$19,1,CJ197)*(1+INDEX('Lease Cycles'!$CI$19:$CO$19,1,CJ197))^INT(INT(CJ198/12)/INDEX('Lease Cycles'!$CP$19:$CV$19,1,CJ197))/12)))),'Lease Cycles'!$C$19*INDEX('Lease Cycles'!$CB$19:$CH$19,1,CJ197)*(1+INDEX('Lease Cycles'!$CI$19:$CO$19,1,CJ197))^INT(INT(CJ198/12)/INDEX('Lease Cycles'!$CP$19:$CV$19,1,CJ197))/12))),IF('Lease Cycles'!$N$19=1,'Lease Cycles'!$C$19*'Lease Cycles'!$E$19*INDEX('Lease Cycles'!$HE$19:$HK$19,1,CJ197)*(1+INDEX('Lease Cycles'!$GQ$19:$GW$19,1,CJ197))^INT(INT((CJ$6-INDEX('Lease Cycles'!$GJ$19:$GP$19,1,CJ197))/12)/INDEX('Lease Cycles'!$GX$19:$HD$19,1,CJ197))/12,0)))</f>
        <v>0</v>
      </c>
      <c r="CK200" s="28">
        <f>IF(CK197=0,IF('Lease Cycles'!$F$19&gt;0,'Lease Cycles'!$C$19*'Lease Cycles'!$E$19/12,0),IF(CK199=1,IF('Lease Cycles'!$AT$19&gt;=9999,'Lease Cycles'!$C$19*INDEX('Lease Cycles'!$CB$19:$CH$19,1,CK197)*(1+INDEX('Lease Cycles'!$CI$19:$CO$19,1,CK197))^INT(INT(CK198/12)/INDEX('Lease Cycles'!$CP$19:$CV$19,1,CK197))/12,IF(CK197=1,IF(CK198&gt;=INDEX('Lease Cycles'!$DK$19:$DQ$19,1,CK197),IF(CK$6&gt;='Lease Cycles'!$AZ$19,'Lease Cycles'!$C$19*'Lease Cycles'!$BA$19/12,IF(CK$6&gt;='Lease Cycles'!$AX$19,'Lease Cycles'!$C$19*'Lease Cycles'!$AY$19/12,IF(CK$6&gt;='Lease Cycles'!$AV$19,'Lease Cycles'!$C$19*'Lease Cycles'!$AW$19/12,IF(CK$6&gt;='Lease Cycles'!$AT$19,'Lease Cycles'!$C$19*'Lease Cycles'!$AU$19/12,'Lease Cycles'!$C$19*INDEX('Lease Cycles'!$CB$19:$CH$19,1,CK197)*(1+INDEX('Lease Cycles'!$CI$19:$CO$19,1,CK197))^INT(INT(CK198/12)/INDEX('Lease Cycles'!$CP$19:$CV$19,1,CK197))/12)))),'Lease Cycles'!$C$19*INDEX('Lease Cycles'!$CB$19:$CH$19,1,CK197)*(1+INDEX('Lease Cycles'!$CI$19:$CO$19,1,CK197))^INT(INT(CK198/12)/INDEX('Lease Cycles'!$CP$19:$CV$19,1,CK197))/12),IF(INDEX('Lease Cycles'!$EF$19:$EL$19,1,CK197)=1,IF(AND('Lease Cycles'!$AZ$19&gt;=INDEX('Lease Cycles'!$BG$19:$BM$19,1,CK197),'Lease Cycles'!$AZ$19&lt;=CK$6),'Lease Cycles'!$C$19*'Lease Cycles'!$BA$19/12,IF(AND('Lease Cycles'!$AX$19&gt;=INDEX('Lease Cycles'!$BG$19:$BM$19,1,CK197),'Lease Cycles'!$AX$19&lt;=CK$6),'Lease Cycles'!$C$19*'Lease Cycles'!$AY$19/12,IF(AND('Lease Cycles'!$AV$19&gt;=INDEX('Lease Cycles'!$BG$19:$BM$19,1,CK197),'Lease Cycles'!$AV$19&lt;=CK$6),'Lease Cycles'!$C$19*'Lease Cycles'!$AW$19/12,IF(AND('Lease Cycles'!$AT$19&gt;=INDEX('Lease Cycles'!$BG$19:$BM$19,1,CK197),'Lease Cycles'!$AT$19&lt;=CK$6),'Lease Cycles'!$C$19*'Lease Cycles'!$AU$19/12,'Lease Cycles'!$C$19*INDEX('Lease Cycles'!$CB$19:$CH$19,1,CK197)*(1+INDEX('Lease Cycles'!$CI$19:$CO$19,1,CK197))^INT(INT(CK198/12)/INDEX('Lease Cycles'!$CP$19:$CV$19,1,CK197))/12)))),'Lease Cycles'!$C$19*INDEX('Lease Cycles'!$CB$19:$CH$19,1,CK197)*(1+INDEX('Lease Cycles'!$CI$19:$CO$19,1,CK197))^INT(INT(CK198/12)/INDEX('Lease Cycles'!$CP$19:$CV$19,1,CK197))/12))),IF('Lease Cycles'!$N$19=1,'Lease Cycles'!$C$19*'Lease Cycles'!$E$19*INDEX('Lease Cycles'!$HE$19:$HK$19,1,CK197)*(1+INDEX('Lease Cycles'!$GQ$19:$GW$19,1,CK197))^INT(INT((CK$6-INDEX('Lease Cycles'!$GJ$19:$GP$19,1,CK197))/12)/INDEX('Lease Cycles'!$GX$19:$HD$19,1,CK197))/12,0)))</f>
        <v>0</v>
      </c>
      <c r="CL200" s="28">
        <f>IF(CL197=0,IF('Lease Cycles'!$F$19&gt;0,'Lease Cycles'!$C$19*'Lease Cycles'!$E$19/12,0),IF(CL199=1,IF('Lease Cycles'!$AT$19&gt;=9999,'Lease Cycles'!$C$19*INDEX('Lease Cycles'!$CB$19:$CH$19,1,CL197)*(1+INDEX('Lease Cycles'!$CI$19:$CO$19,1,CL197))^INT(INT(CL198/12)/INDEX('Lease Cycles'!$CP$19:$CV$19,1,CL197))/12,IF(CL197=1,IF(CL198&gt;=INDEX('Lease Cycles'!$DK$19:$DQ$19,1,CL197),IF(CL$6&gt;='Lease Cycles'!$AZ$19,'Lease Cycles'!$C$19*'Lease Cycles'!$BA$19/12,IF(CL$6&gt;='Lease Cycles'!$AX$19,'Lease Cycles'!$C$19*'Lease Cycles'!$AY$19/12,IF(CL$6&gt;='Lease Cycles'!$AV$19,'Lease Cycles'!$C$19*'Lease Cycles'!$AW$19/12,IF(CL$6&gt;='Lease Cycles'!$AT$19,'Lease Cycles'!$C$19*'Lease Cycles'!$AU$19/12,'Lease Cycles'!$C$19*INDEX('Lease Cycles'!$CB$19:$CH$19,1,CL197)*(1+INDEX('Lease Cycles'!$CI$19:$CO$19,1,CL197))^INT(INT(CL198/12)/INDEX('Lease Cycles'!$CP$19:$CV$19,1,CL197))/12)))),'Lease Cycles'!$C$19*INDEX('Lease Cycles'!$CB$19:$CH$19,1,CL197)*(1+INDEX('Lease Cycles'!$CI$19:$CO$19,1,CL197))^INT(INT(CL198/12)/INDEX('Lease Cycles'!$CP$19:$CV$19,1,CL197))/12),IF(INDEX('Lease Cycles'!$EF$19:$EL$19,1,CL197)=1,IF(AND('Lease Cycles'!$AZ$19&gt;=INDEX('Lease Cycles'!$BG$19:$BM$19,1,CL197),'Lease Cycles'!$AZ$19&lt;=CL$6),'Lease Cycles'!$C$19*'Lease Cycles'!$BA$19/12,IF(AND('Lease Cycles'!$AX$19&gt;=INDEX('Lease Cycles'!$BG$19:$BM$19,1,CL197),'Lease Cycles'!$AX$19&lt;=CL$6),'Lease Cycles'!$C$19*'Lease Cycles'!$AY$19/12,IF(AND('Lease Cycles'!$AV$19&gt;=INDEX('Lease Cycles'!$BG$19:$BM$19,1,CL197),'Lease Cycles'!$AV$19&lt;=CL$6),'Lease Cycles'!$C$19*'Lease Cycles'!$AW$19/12,IF(AND('Lease Cycles'!$AT$19&gt;=INDEX('Lease Cycles'!$BG$19:$BM$19,1,CL197),'Lease Cycles'!$AT$19&lt;=CL$6),'Lease Cycles'!$C$19*'Lease Cycles'!$AU$19/12,'Lease Cycles'!$C$19*INDEX('Lease Cycles'!$CB$19:$CH$19,1,CL197)*(1+INDEX('Lease Cycles'!$CI$19:$CO$19,1,CL197))^INT(INT(CL198/12)/INDEX('Lease Cycles'!$CP$19:$CV$19,1,CL197))/12)))),'Lease Cycles'!$C$19*INDEX('Lease Cycles'!$CB$19:$CH$19,1,CL197)*(1+INDEX('Lease Cycles'!$CI$19:$CO$19,1,CL197))^INT(INT(CL198/12)/INDEX('Lease Cycles'!$CP$19:$CV$19,1,CL197))/12))),IF('Lease Cycles'!$N$19=1,'Lease Cycles'!$C$19*'Lease Cycles'!$E$19*INDEX('Lease Cycles'!$HE$19:$HK$19,1,CL197)*(1+INDEX('Lease Cycles'!$GQ$19:$GW$19,1,CL197))^INT(INT((CL$6-INDEX('Lease Cycles'!$GJ$19:$GP$19,1,CL197))/12)/INDEX('Lease Cycles'!$GX$19:$HD$19,1,CL197))/12,0)))</f>
        <v>0</v>
      </c>
      <c r="CM200" s="28">
        <f>IF(CM197=0,IF('Lease Cycles'!$F$19&gt;0,'Lease Cycles'!$C$19*'Lease Cycles'!$E$19/12,0),IF(CM199=1,IF('Lease Cycles'!$AT$19&gt;=9999,'Lease Cycles'!$C$19*INDEX('Lease Cycles'!$CB$19:$CH$19,1,CM197)*(1+INDEX('Lease Cycles'!$CI$19:$CO$19,1,CM197))^INT(INT(CM198/12)/INDEX('Lease Cycles'!$CP$19:$CV$19,1,CM197))/12,IF(CM197=1,IF(CM198&gt;=INDEX('Lease Cycles'!$DK$19:$DQ$19,1,CM197),IF(CM$6&gt;='Lease Cycles'!$AZ$19,'Lease Cycles'!$C$19*'Lease Cycles'!$BA$19/12,IF(CM$6&gt;='Lease Cycles'!$AX$19,'Lease Cycles'!$C$19*'Lease Cycles'!$AY$19/12,IF(CM$6&gt;='Lease Cycles'!$AV$19,'Lease Cycles'!$C$19*'Lease Cycles'!$AW$19/12,IF(CM$6&gt;='Lease Cycles'!$AT$19,'Lease Cycles'!$C$19*'Lease Cycles'!$AU$19/12,'Lease Cycles'!$C$19*INDEX('Lease Cycles'!$CB$19:$CH$19,1,CM197)*(1+INDEX('Lease Cycles'!$CI$19:$CO$19,1,CM197))^INT(INT(CM198/12)/INDEX('Lease Cycles'!$CP$19:$CV$19,1,CM197))/12)))),'Lease Cycles'!$C$19*INDEX('Lease Cycles'!$CB$19:$CH$19,1,CM197)*(1+INDEX('Lease Cycles'!$CI$19:$CO$19,1,CM197))^INT(INT(CM198/12)/INDEX('Lease Cycles'!$CP$19:$CV$19,1,CM197))/12),IF(INDEX('Lease Cycles'!$EF$19:$EL$19,1,CM197)=1,IF(AND('Lease Cycles'!$AZ$19&gt;=INDEX('Lease Cycles'!$BG$19:$BM$19,1,CM197),'Lease Cycles'!$AZ$19&lt;=CM$6),'Lease Cycles'!$C$19*'Lease Cycles'!$BA$19/12,IF(AND('Lease Cycles'!$AX$19&gt;=INDEX('Lease Cycles'!$BG$19:$BM$19,1,CM197),'Lease Cycles'!$AX$19&lt;=CM$6),'Lease Cycles'!$C$19*'Lease Cycles'!$AY$19/12,IF(AND('Lease Cycles'!$AV$19&gt;=INDEX('Lease Cycles'!$BG$19:$BM$19,1,CM197),'Lease Cycles'!$AV$19&lt;=CM$6),'Lease Cycles'!$C$19*'Lease Cycles'!$AW$19/12,IF(AND('Lease Cycles'!$AT$19&gt;=INDEX('Lease Cycles'!$BG$19:$BM$19,1,CM197),'Lease Cycles'!$AT$19&lt;=CM$6),'Lease Cycles'!$C$19*'Lease Cycles'!$AU$19/12,'Lease Cycles'!$C$19*INDEX('Lease Cycles'!$CB$19:$CH$19,1,CM197)*(1+INDEX('Lease Cycles'!$CI$19:$CO$19,1,CM197))^INT(INT(CM198/12)/INDEX('Lease Cycles'!$CP$19:$CV$19,1,CM197))/12)))),'Lease Cycles'!$C$19*INDEX('Lease Cycles'!$CB$19:$CH$19,1,CM197)*(1+INDEX('Lease Cycles'!$CI$19:$CO$19,1,CM197))^INT(INT(CM198/12)/INDEX('Lease Cycles'!$CP$19:$CV$19,1,CM197))/12))),IF('Lease Cycles'!$N$19=1,'Lease Cycles'!$C$19*'Lease Cycles'!$E$19*INDEX('Lease Cycles'!$HE$19:$HK$19,1,CM197)*(1+INDEX('Lease Cycles'!$GQ$19:$GW$19,1,CM197))^INT(INT((CM$6-INDEX('Lease Cycles'!$GJ$19:$GP$19,1,CM197))/12)/INDEX('Lease Cycles'!$GX$19:$HD$19,1,CM197))/12,0)))</f>
        <v>0</v>
      </c>
      <c r="CN200" s="28">
        <f>IF(CN197=0,IF('Lease Cycles'!$F$19&gt;0,'Lease Cycles'!$C$19*'Lease Cycles'!$E$19/12,0),IF(CN199=1,IF('Lease Cycles'!$AT$19&gt;=9999,'Lease Cycles'!$C$19*INDEX('Lease Cycles'!$CB$19:$CH$19,1,CN197)*(1+INDEX('Lease Cycles'!$CI$19:$CO$19,1,CN197))^INT(INT(CN198/12)/INDEX('Lease Cycles'!$CP$19:$CV$19,1,CN197))/12,IF(CN197=1,IF(CN198&gt;=INDEX('Lease Cycles'!$DK$19:$DQ$19,1,CN197),IF(CN$6&gt;='Lease Cycles'!$AZ$19,'Lease Cycles'!$C$19*'Lease Cycles'!$BA$19/12,IF(CN$6&gt;='Lease Cycles'!$AX$19,'Lease Cycles'!$C$19*'Lease Cycles'!$AY$19/12,IF(CN$6&gt;='Lease Cycles'!$AV$19,'Lease Cycles'!$C$19*'Lease Cycles'!$AW$19/12,IF(CN$6&gt;='Lease Cycles'!$AT$19,'Lease Cycles'!$C$19*'Lease Cycles'!$AU$19/12,'Lease Cycles'!$C$19*INDEX('Lease Cycles'!$CB$19:$CH$19,1,CN197)*(1+INDEX('Lease Cycles'!$CI$19:$CO$19,1,CN197))^INT(INT(CN198/12)/INDEX('Lease Cycles'!$CP$19:$CV$19,1,CN197))/12)))),'Lease Cycles'!$C$19*INDEX('Lease Cycles'!$CB$19:$CH$19,1,CN197)*(1+INDEX('Lease Cycles'!$CI$19:$CO$19,1,CN197))^INT(INT(CN198/12)/INDEX('Lease Cycles'!$CP$19:$CV$19,1,CN197))/12),IF(INDEX('Lease Cycles'!$EF$19:$EL$19,1,CN197)=1,IF(AND('Lease Cycles'!$AZ$19&gt;=INDEX('Lease Cycles'!$BG$19:$BM$19,1,CN197),'Lease Cycles'!$AZ$19&lt;=CN$6),'Lease Cycles'!$C$19*'Lease Cycles'!$BA$19/12,IF(AND('Lease Cycles'!$AX$19&gt;=INDEX('Lease Cycles'!$BG$19:$BM$19,1,CN197),'Lease Cycles'!$AX$19&lt;=CN$6),'Lease Cycles'!$C$19*'Lease Cycles'!$AY$19/12,IF(AND('Lease Cycles'!$AV$19&gt;=INDEX('Lease Cycles'!$BG$19:$BM$19,1,CN197),'Lease Cycles'!$AV$19&lt;=CN$6),'Lease Cycles'!$C$19*'Lease Cycles'!$AW$19/12,IF(AND('Lease Cycles'!$AT$19&gt;=INDEX('Lease Cycles'!$BG$19:$BM$19,1,CN197),'Lease Cycles'!$AT$19&lt;=CN$6),'Lease Cycles'!$C$19*'Lease Cycles'!$AU$19/12,'Lease Cycles'!$C$19*INDEX('Lease Cycles'!$CB$19:$CH$19,1,CN197)*(1+INDEX('Lease Cycles'!$CI$19:$CO$19,1,CN197))^INT(INT(CN198/12)/INDEX('Lease Cycles'!$CP$19:$CV$19,1,CN197))/12)))),'Lease Cycles'!$C$19*INDEX('Lease Cycles'!$CB$19:$CH$19,1,CN197)*(1+INDEX('Lease Cycles'!$CI$19:$CO$19,1,CN197))^INT(INT(CN198/12)/INDEX('Lease Cycles'!$CP$19:$CV$19,1,CN197))/12))),IF('Lease Cycles'!$N$19=1,'Lease Cycles'!$C$19*'Lease Cycles'!$E$19*INDEX('Lease Cycles'!$HE$19:$HK$19,1,CN197)*(1+INDEX('Lease Cycles'!$GQ$19:$GW$19,1,CN197))^INT(INT((CN$6-INDEX('Lease Cycles'!$GJ$19:$GP$19,1,CN197))/12)/INDEX('Lease Cycles'!$GX$19:$HD$19,1,CN197))/12,0)))</f>
        <v>0</v>
      </c>
      <c r="CO200" s="28">
        <f>IF(CO197=0,IF('Lease Cycles'!$F$19&gt;0,'Lease Cycles'!$C$19*'Lease Cycles'!$E$19/12,0),IF(CO199=1,IF('Lease Cycles'!$AT$19&gt;=9999,'Lease Cycles'!$C$19*INDEX('Lease Cycles'!$CB$19:$CH$19,1,CO197)*(1+INDEX('Lease Cycles'!$CI$19:$CO$19,1,CO197))^INT(INT(CO198/12)/INDEX('Lease Cycles'!$CP$19:$CV$19,1,CO197))/12,IF(CO197=1,IF(CO198&gt;=INDEX('Lease Cycles'!$DK$19:$DQ$19,1,CO197),IF(CO$6&gt;='Lease Cycles'!$AZ$19,'Lease Cycles'!$C$19*'Lease Cycles'!$BA$19/12,IF(CO$6&gt;='Lease Cycles'!$AX$19,'Lease Cycles'!$C$19*'Lease Cycles'!$AY$19/12,IF(CO$6&gt;='Lease Cycles'!$AV$19,'Lease Cycles'!$C$19*'Lease Cycles'!$AW$19/12,IF(CO$6&gt;='Lease Cycles'!$AT$19,'Lease Cycles'!$C$19*'Lease Cycles'!$AU$19/12,'Lease Cycles'!$C$19*INDEX('Lease Cycles'!$CB$19:$CH$19,1,CO197)*(1+INDEX('Lease Cycles'!$CI$19:$CO$19,1,CO197))^INT(INT(CO198/12)/INDEX('Lease Cycles'!$CP$19:$CV$19,1,CO197))/12)))),'Lease Cycles'!$C$19*INDEX('Lease Cycles'!$CB$19:$CH$19,1,CO197)*(1+INDEX('Lease Cycles'!$CI$19:$CO$19,1,CO197))^INT(INT(CO198/12)/INDEX('Lease Cycles'!$CP$19:$CV$19,1,CO197))/12),IF(INDEX('Lease Cycles'!$EF$19:$EL$19,1,CO197)=1,IF(AND('Lease Cycles'!$AZ$19&gt;=INDEX('Lease Cycles'!$BG$19:$BM$19,1,CO197),'Lease Cycles'!$AZ$19&lt;=CO$6),'Lease Cycles'!$C$19*'Lease Cycles'!$BA$19/12,IF(AND('Lease Cycles'!$AX$19&gt;=INDEX('Lease Cycles'!$BG$19:$BM$19,1,CO197),'Lease Cycles'!$AX$19&lt;=CO$6),'Lease Cycles'!$C$19*'Lease Cycles'!$AY$19/12,IF(AND('Lease Cycles'!$AV$19&gt;=INDEX('Lease Cycles'!$BG$19:$BM$19,1,CO197),'Lease Cycles'!$AV$19&lt;=CO$6),'Lease Cycles'!$C$19*'Lease Cycles'!$AW$19/12,IF(AND('Lease Cycles'!$AT$19&gt;=INDEX('Lease Cycles'!$BG$19:$BM$19,1,CO197),'Lease Cycles'!$AT$19&lt;=CO$6),'Lease Cycles'!$C$19*'Lease Cycles'!$AU$19/12,'Lease Cycles'!$C$19*INDEX('Lease Cycles'!$CB$19:$CH$19,1,CO197)*(1+INDEX('Lease Cycles'!$CI$19:$CO$19,1,CO197))^INT(INT(CO198/12)/INDEX('Lease Cycles'!$CP$19:$CV$19,1,CO197))/12)))),'Lease Cycles'!$C$19*INDEX('Lease Cycles'!$CB$19:$CH$19,1,CO197)*(1+INDEX('Lease Cycles'!$CI$19:$CO$19,1,CO197))^INT(INT(CO198/12)/INDEX('Lease Cycles'!$CP$19:$CV$19,1,CO197))/12))),IF('Lease Cycles'!$N$19=1,'Lease Cycles'!$C$19*'Lease Cycles'!$E$19*INDEX('Lease Cycles'!$HE$19:$HK$19,1,CO197)*(1+INDEX('Lease Cycles'!$GQ$19:$GW$19,1,CO197))^INT(INT((CO$6-INDEX('Lease Cycles'!$GJ$19:$GP$19,1,CO197))/12)/INDEX('Lease Cycles'!$GX$19:$HD$19,1,CO197))/12,0)))</f>
        <v>0</v>
      </c>
      <c r="CP200" s="28">
        <f>IF(CP197=0,IF('Lease Cycles'!$F$19&gt;0,'Lease Cycles'!$C$19*'Lease Cycles'!$E$19/12,0),IF(CP199=1,IF('Lease Cycles'!$AT$19&gt;=9999,'Lease Cycles'!$C$19*INDEX('Lease Cycles'!$CB$19:$CH$19,1,CP197)*(1+INDEX('Lease Cycles'!$CI$19:$CO$19,1,CP197))^INT(INT(CP198/12)/INDEX('Lease Cycles'!$CP$19:$CV$19,1,CP197))/12,IF(CP197=1,IF(CP198&gt;=INDEX('Lease Cycles'!$DK$19:$DQ$19,1,CP197),IF(CP$6&gt;='Lease Cycles'!$AZ$19,'Lease Cycles'!$C$19*'Lease Cycles'!$BA$19/12,IF(CP$6&gt;='Lease Cycles'!$AX$19,'Lease Cycles'!$C$19*'Lease Cycles'!$AY$19/12,IF(CP$6&gt;='Lease Cycles'!$AV$19,'Lease Cycles'!$C$19*'Lease Cycles'!$AW$19/12,IF(CP$6&gt;='Lease Cycles'!$AT$19,'Lease Cycles'!$C$19*'Lease Cycles'!$AU$19/12,'Lease Cycles'!$C$19*INDEX('Lease Cycles'!$CB$19:$CH$19,1,CP197)*(1+INDEX('Lease Cycles'!$CI$19:$CO$19,1,CP197))^INT(INT(CP198/12)/INDEX('Lease Cycles'!$CP$19:$CV$19,1,CP197))/12)))),'Lease Cycles'!$C$19*INDEX('Lease Cycles'!$CB$19:$CH$19,1,CP197)*(1+INDEX('Lease Cycles'!$CI$19:$CO$19,1,CP197))^INT(INT(CP198/12)/INDEX('Lease Cycles'!$CP$19:$CV$19,1,CP197))/12),IF(INDEX('Lease Cycles'!$EF$19:$EL$19,1,CP197)=1,IF(AND('Lease Cycles'!$AZ$19&gt;=INDEX('Lease Cycles'!$BG$19:$BM$19,1,CP197),'Lease Cycles'!$AZ$19&lt;=CP$6),'Lease Cycles'!$C$19*'Lease Cycles'!$BA$19/12,IF(AND('Lease Cycles'!$AX$19&gt;=INDEX('Lease Cycles'!$BG$19:$BM$19,1,CP197),'Lease Cycles'!$AX$19&lt;=CP$6),'Lease Cycles'!$C$19*'Lease Cycles'!$AY$19/12,IF(AND('Lease Cycles'!$AV$19&gt;=INDEX('Lease Cycles'!$BG$19:$BM$19,1,CP197),'Lease Cycles'!$AV$19&lt;=CP$6),'Lease Cycles'!$C$19*'Lease Cycles'!$AW$19/12,IF(AND('Lease Cycles'!$AT$19&gt;=INDEX('Lease Cycles'!$BG$19:$BM$19,1,CP197),'Lease Cycles'!$AT$19&lt;=CP$6),'Lease Cycles'!$C$19*'Lease Cycles'!$AU$19/12,'Lease Cycles'!$C$19*INDEX('Lease Cycles'!$CB$19:$CH$19,1,CP197)*(1+INDEX('Lease Cycles'!$CI$19:$CO$19,1,CP197))^INT(INT(CP198/12)/INDEX('Lease Cycles'!$CP$19:$CV$19,1,CP197))/12)))),'Lease Cycles'!$C$19*INDEX('Lease Cycles'!$CB$19:$CH$19,1,CP197)*(1+INDEX('Lease Cycles'!$CI$19:$CO$19,1,CP197))^INT(INT(CP198/12)/INDEX('Lease Cycles'!$CP$19:$CV$19,1,CP197))/12))),IF('Lease Cycles'!$N$19=1,'Lease Cycles'!$C$19*'Lease Cycles'!$E$19*INDEX('Lease Cycles'!$HE$19:$HK$19,1,CP197)*(1+INDEX('Lease Cycles'!$GQ$19:$GW$19,1,CP197))^INT(INT((CP$6-INDEX('Lease Cycles'!$GJ$19:$GP$19,1,CP197))/12)/INDEX('Lease Cycles'!$GX$19:$HD$19,1,CP197))/12,0)))</f>
        <v>0</v>
      </c>
      <c r="CQ200" s="28">
        <f>IF(CQ197=0,IF('Lease Cycles'!$F$19&gt;0,'Lease Cycles'!$C$19*'Lease Cycles'!$E$19/12,0),IF(CQ199=1,IF('Lease Cycles'!$AT$19&gt;=9999,'Lease Cycles'!$C$19*INDEX('Lease Cycles'!$CB$19:$CH$19,1,CQ197)*(1+INDEX('Lease Cycles'!$CI$19:$CO$19,1,CQ197))^INT(INT(CQ198/12)/INDEX('Lease Cycles'!$CP$19:$CV$19,1,CQ197))/12,IF(CQ197=1,IF(CQ198&gt;=INDEX('Lease Cycles'!$DK$19:$DQ$19,1,CQ197),IF(CQ$6&gt;='Lease Cycles'!$AZ$19,'Lease Cycles'!$C$19*'Lease Cycles'!$BA$19/12,IF(CQ$6&gt;='Lease Cycles'!$AX$19,'Lease Cycles'!$C$19*'Lease Cycles'!$AY$19/12,IF(CQ$6&gt;='Lease Cycles'!$AV$19,'Lease Cycles'!$C$19*'Lease Cycles'!$AW$19/12,IF(CQ$6&gt;='Lease Cycles'!$AT$19,'Lease Cycles'!$C$19*'Lease Cycles'!$AU$19/12,'Lease Cycles'!$C$19*INDEX('Lease Cycles'!$CB$19:$CH$19,1,CQ197)*(1+INDEX('Lease Cycles'!$CI$19:$CO$19,1,CQ197))^INT(INT(CQ198/12)/INDEX('Lease Cycles'!$CP$19:$CV$19,1,CQ197))/12)))),'Lease Cycles'!$C$19*INDEX('Lease Cycles'!$CB$19:$CH$19,1,CQ197)*(1+INDEX('Lease Cycles'!$CI$19:$CO$19,1,CQ197))^INT(INT(CQ198/12)/INDEX('Lease Cycles'!$CP$19:$CV$19,1,CQ197))/12),IF(INDEX('Lease Cycles'!$EF$19:$EL$19,1,CQ197)=1,IF(AND('Lease Cycles'!$AZ$19&gt;=INDEX('Lease Cycles'!$BG$19:$BM$19,1,CQ197),'Lease Cycles'!$AZ$19&lt;=CQ$6),'Lease Cycles'!$C$19*'Lease Cycles'!$BA$19/12,IF(AND('Lease Cycles'!$AX$19&gt;=INDEX('Lease Cycles'!$BG$19:$BM$19,1,CQ197),'Lease Cycles'!$AX$19&lt;=CQ$6),'Lease Cycles'!$C$19*'Lease Cycles'!$AY$19/12,IF(AND('Lease Cycles'!$AV$19&gt;=INDEX('Lease Cycles'!$BG$19:$BM$19,1,CQ197),'Lease Cycles'!$AV$19&lt;=CQ$6),'Lease Cycles'!$C$19*'Lease Cycles'!$AW$19/12,IF(AND('Lease Cycles'!$AT$19&gt;=INDEX('Lease Cycles'!$BG$19:$BM$19,1,CQ197),'Lease Cycles'!$AT$19&lt;=CQ$6),'Lease Cycles'!$C$19*'Lease Cycles'!$AU$19/12,'Lease Cycles'!$C$19*INDEX('Lease Cycles'!$CB$19:$CH$19,1,CQ197)*(1+INDEX('Lease Cycles'!$CI$19:$CO$19,1,CQ197))^INT(INT(CQ198/12)/INDEX('Lease Cycles'!$CP$19:$CV$19,1,CQ197))/12)))),'Lease Cycles'!$C$19*INDEX('Lease Cycles'!$CB$19:$CH$19,1,CQ197)*(1+INDEX('Lease Cycles'!$CI$19:$CO$19,1,CQ197))^INT(INT(CQ198/12)/INDEX('Lease Cycles'!$CP$19:$CV$19,1,CQ197))/12))),IF('Lease Cycles'!$N$19=1,'Lease Cycles'!$C$19*'Lease Cycles'!$E$19*INDEX('Lease Cycles'!$HE$19:$HK$19,1,CQ197)*(1+INDEX('Lease Cycles'!$GQ$19:$GW$19,1,CQ197))^INT(INT((CQ$6-INDEX('Lease Cycles'!$GJ$19:$GP$19,1,CQ197))/12)/INDEX('Lease Cycles'!$GX$19:$HD$19,1,CQ197))/12,0)))</f>
        <v>0</v>
      </c>
      <c r="CR200" s="28">
        <f>IF(CR197=0,IF('Lease Cycles'!$F$19&gt;0,'Lease Cycles'!$C$19*'Lease Cycles'!$E$19/12,0),IF(CR199=1,IF('Lease Cycles'!$AT$19&gt;=9999,'Lease Cycles'!$C$19*INDEX('Lease Cycles'!$CB$19:$CH$19,1,CR197)*(1+INDEX('Lease Cycles'!$CI$19:$CO$19,1,CR197))^INT(INT(CR198/12)/INDEX('Lease Cycles'!$CP$19:$CV$19,1,CR197))/12,IF(CR197=1,IF(CR198&gt;=INDEX('Lease Cycles'!$DK$19:$DQ$19,1,CR197),IF(CR$6&gt;='Lease Cycles'!$AZ$19,'Lease Cycles'!$C$19*'Lease Cycles'!$BA$19/12,IF(CR$6&gt;='Lease Cycles'!$AX$19,'Lease Cycles'!$C$19*'Lease Cycles'!$AY$19/12,IF(CR$6&gt;='Lease Cycles'!$AV$19,'Lease Cycles'!$C$19*'Lease Cycles'!$AW$19/12,IF(CR$6&gt;='Lease Cycles'!$AT$19,'Lease Cycles'!$C$19*'Lease Cycles'!$AU$19/12,'Lease Cycles'!$C$19*INDEX('Lease Cycles'!$CB$19:$CH$19,1,CR197)*(1+INDEX('Lease Cycles'!$CI$19:$CO$19,1,CR197))^INT(INT(CR198/12)/INDEX('Lease Cycles'!$CP$19:$CV$19,1,CR197))/12)))),'Lease Cycles'!$C$19*INDEX('Lease Cycles'!$CB$19:$CH$19,1,CR197)*(1+INDEX('Lease Cycles'!$CI$19:$CO$19,1,CR197))^INT(INT(CR198/12)/INDEX('Lease Cycles'!$CP$19:$CV$19,1,CR197))/12),IF(INDEX('Lease Cycles'!$EF$19:$EL$19,1,CR197)=1,IF(AND('Lease Cycles'!$AZ$19&gt;=INDEX('Lease Cycles'!$BG$19:$BM$19,1,CR197),'Lease Cycles'!$AZ$19&lt;=CR$6),'Lease Cycles'!$C$19*'Lease Cycles'!$BA$19/12,IF(AND('Lease Cycles'!$AX$19&gt;=INDEX('Lease Cycles'!$BG$19:$BM$19,1,CR197),'Lease Cycles'!$AX$19&lt;=CR$6),'Lease Cycles'!$C$19*'Lease Cycles'!$AY$19/12,IF(AND('Lease Cycles'!$AV$19&gt;=INDEX('Lease Cycles'!$BG$19:$BM$19,1,CR197),'Lease Cycles'!$AV$19&lt;=CR$6),'Lease Cycles'!$C$19*'Lease Cycles'!$AW$19/12,IF(AND('Lease Cycles'!$AT$19&gt;=INDEX('Lease Cycles'!$BG$19:$BM$19,1,CR197),'Lease Cycles'!$AT$19&lt;=CR$6),'Lease Cycles'!$C$19*'Lease Cycles'!$AU$19/12,'Lease Cycles'!$C$19*INDEX('Lease Cycles'!$CB$19:$CH$19,1,CR197)*(1+INDEX('Lease Cycles'!$CI$19:$CO$19,1,CR197))^INT(INT(CR198/12)/INDEX('Lease Cycles'!$CP$19:$CV$19,1,CR197))/12)))),'Lease Cycles'!$C$19*INDEX('Lease Cycles'!$CB$19:$CH$19,1,CR197)*(1+INDEX('Lease Cycles'!$CI$19:$CO$19,1,CR197))^INT(INT(CR198/12)/INDEX('Lease Cycles'!$CP$19:$CV$19,1,CR197))/12))),IF('Lease Cycles'!$N$19=1,'Lease Cycles'!$C$19*'Lease Cycles'!$E$19*INDEX('Lease Cycles'!$HE$19:$HK$19,1,CR197)*(1+INDEX('Lease Cycles'!$GQ$19:$GW$19,1,CR197))^INT(INT((CR$6-INDEX('Lease Cycles'!$GJ$19:$GP$19,1,CR197))/12)/INDEX('Lease Cycles'!$GX$19:$HD$19,1,CR197))/12,0)))</f>
        <v>0</v>
      </c>
      <c r="CS200" s="28">
        <f>IF(CS197=0,IF('Lease Cycles'!$F$19&gt;0,'Lease Cycles'!$C$19*'Lease Cycles'!$E$19/12,0),IF(CS199=1,IF('Lease Cycles'!$AT$19&gt;=9999,'Lease Cycles'!$C$19*INDEX('Lease Cycles'!$CB$19:$CH$19,1,CS197)*(1+INDEX('Lease Cycles'!$CI$19:$CO$19,1,CS197))^INT(INT(CS198/12)/INDEX('Lease Cycles'!$CP$19:$CV$19,1,CS197))/12,IF(CS197=1,IF(CS198&gt;=INDEX('Lease Cycles'!$DK$19:$DQ$19,1,CS197),IF(CS$6&gt;='Lease Cycles'!$AZ$19,'Lease Cycles'!$C$19*'Lease Cycles'!$BA$19/12,IF(CS$6&gt;='Lease Cycles'!$AX$19,'Lease Cycles'!$C$19*'Lease Cycles'!$AY$19/12,IF(CS$6&gt;='Lease Cycles'!$AV$19,'Lease Cycles'!$C$19*'Lease Cycles'!$AW$19/12,IF(CS$6&gt;='Lease Cycles'!$AT$19,'Lease Cycles'!$C$19*'Lease Cycles'!$AU$19/12,'Lease Cycles'!$C$19*INDEX('Lease Cycles'!$CB$19:$CH$19,1,CS197)*(1+INDEX('Lease Cycles'!$CI$19:$CO$19,1,CS197))^INT(INT(CS198/12)/INDEX('Lease Cycles'!$CP$19:$CV$19,1,CS197))/12)))),'Lease Cycles'!$C$19*INDEX('Lease Cycles'!$CB$19:$CH$19,1,CS197)*(1+INDEX('Lease Cycles'!$CI$19:$CO$19,1,CS197))^INT(INT(CS198/12)/INDEX('Lease Cycles'!$CP$19:$CV$19,1,CS197))/12),IF(INDEX('Lease Cycles'!$EF$19:$EL$19,1,CS197)=1,IF(AND('Lease Cycles'!$AZ$19&gt;=INDEX('Lease Cycles'!$BG$19:$BM$19,1,CS197),'Lease Cycles'!$AZ$19&lt;=CS$6),'Lease Cycles'!$C$19*'Lease Cycles'!$BA$19/12,IF(AND('Lease Cycles'!$AX$19&gt;=INDEX('Lease Cycles'!$BG$19:$BM$19,1,CS197),'Lease Cycles'!$AX$19&lt;=CS$6),'Lease Cycles'!$C$19*'Lease Cycles'!$AY$19/12,IF(AND('Lease Cycles'!$AV$19&gt;=INDEX('Lease Cycles'!$BG$19:$BM$19,1,CS197),'Lease Cycles'!$AV$19&lt;=CS$6),'Lease Cycles'!$C$19*'Lease Cycles'!$AW$19/12,IF(AND('Lease Cycles'!$AT$19&gt;=INDEX('Lease Cycles'!$BG$19:$BM$19,1,CS197),'Lease Cycles'!$AT$19&lt;=CS$6),'Lease Cycles'!$C$19*'Lease Cycles'!$AU$19/12,'Lease Cycles'!$C$19*INDEX('Lease Cycles'!$CB$19:$CH$19,1,CS197)*(1+INDEX('Lease Cycles'!$CI$19:$CO$19,1,CS197))^INT(INT(CS198/12)/INDEX('Lease Cycles'!$CP$19:$CV$19,1,CS197))/12)))),'Lease Cycles'!$C$19*INDEX('Lease Cycles'!$CB$19:$CH$19,1,CS197)*(1+INDEX('Lease Cycles'!$CI$19:$CO$19,1,CS197))^INT(INT(CS198/12)/INDEX('Lease Cycles'!$CP$19:$CV$19,1,CS197))/12))),IF('Lease Cycles'!$N$19=1,'Lease Cycles'!$C$19*'Lease Cycles'!$E$19*INDEX('Lease Cycles'!$HE$19:$HK$19,1,CS197)*(1+INDEX('Lease Cycles'!$GQ$19:$GW$19,1,CS197))^INT(INT((CS$6-INDEX('Lease Cycles'!$GJ$19:$GP$19,1,CS197))/12)/INDEX('Lease Cycles'!$GX$19:$HD$19,1,CS197))/12,0)))</f>
        <v>0</v>
      </c>
      <c r="CT200" s="28">
        <f>IF(CT197=0,IF('Lease Cycles'!$F$19&gt;0,'Lease Cycles'!$C$19*'Lease Cycles'!$E$19/12,0),IF(CT199=1,IF('Lease Cycles'!$AT$19&gt;=9999,'Lease Cycles'!$C$19*INDEX('Lease Cycles'!$CB$19:$CH$19,1,CT197)*(1+INDEX('Lease Cycles'!$CI$19:$CO$19,1,CT197))^INT(INT(CT198/12)/INDEX('Lease Cycles'!$CP$19:$CV$19,1,CT197))/12,IF(CT197=1,IF(CT198&gt;=INDEX('Lease Cycles'!$DK$19:$DQ$19,1,CT197),IF(CT$6&gt;='Lease Cycles'!$AZ$19,'Lease Cycles'!$C$19*'Lease Cycles'!$BA$19/12,IF(CT$6&gt;='Lease Cycles'!$AX$19,'Lease Cycles'!$C$19*'Lease Cycles'!$AY$19/12,IF(CT$6&gt;='Lease Cycles'!$AV$19,'Lease Cycles'!$C$19*'Lease Cycles'!$AW$19/12,IF(CT$6&gt;='Lease Cycles'!$AT$19,'Lease Cycles'!$C$19*'Lease Cycles'!$AU$19/12,'Lease Cycles'!$C$19*INDEX('Lease Cycles'!$CB$19:$CH$19,1,CT197)*(1+INDEX('Lease Cycles'!$CI$19:$CO$19,1,CT197))^INT(INT(CT198/12)/INDEX('Lease Cycles'!$CP$19:$CV$19,1,CT197))/12)))),'Lease Cycles'!$C$19*INDEX('Lease Cycles'!$CB$19:$CH$19,1,CT197)*(1+INDEX('Lease Cycles'!$CI$19:$CO$19,1,CT197))^INT(INT(CT198/12)/INDEX('Lease Cycles'!$CP$19:$CV$19,1,CT197))/12),IF(INDEX('Lease Cycles'!$EF$19:$EL$19,1,CT197)=1,IF(AND('Lease Cycles'!$AZ$19&gt;=INDEX('Lease Cycles'!$BG$19:$BM$19,1,CT197),'Lease Cycles'!$AZ$19&lt;=CT$6),'Lease Cycles'!$C$19*'Lease Cycles'!$BA$19/12,IF(AND('Lease Cycles'!$AX$19&gt;=INDEX('Lease Cycles'!$BG$19:$BM$19,1,CT197),'Lease Cycles'!$AX$19&lt;=CT$6),'Lease Cycles'!$C$19*'Lease Cycles'!$AY$19/12,IF(AND('Lease Cycles'!$AV$19&gt;=INDEX('Lease Cycles'!$BG$19:$BM$19,1,CT197),'Lease Cycles'!$AV$19&lt;=CT$6),'Lease Cycles'!$C$19*'Lease Cycles'!$AW$19/12,IF(AND('Lease Cycles'!$AT$19&gt;=INDEX('Lease Cycles'!$BG$19:$BM$19,1,CT197),'Lease Cycles'!$AT$19&lt;=CT$6),'Lease Cycles'!$C$19*'Lease Cycles'!$AU$19/12,'Lease Cycles'!$C$19*INDEX('Lease Cycles'!$CB$19:$CH$19,1,CT197)*(1+INDEX('Lease Cycles'!$CI$19:$CO$19,1,CT197))^INT(INT(CT198/12)/INDEX('Lease Cycles'!$CP$19:$CV$19,1,CT197))/12)))),'Lease Cycles'!$C$19*INDEX('Lease Cycles'!$CB$19:$CH$19,1,CT197)*(1+INDEX('Lease Cycles'!$CI$19:$CO$19,1,CT197))^INT(INT(CT198/12)/INDEX('Lease Cycles'!$CP$19:$CV$19,1,CT197))/12))),IF('Lease Cycles'!$N$19=1,'Lease Cycles'!$C$19*'Lease Cycles'!$E$19*INDEX('Lease Cycles'!$HE$19:$HK$19,1,CT197)*(1+INDEX('Lease Cycles'!$GQ$19:$GW$19,1,CT197))^INT(INT((CT$6-INDEX('Lease Cycles'!$GJ$19:$GP$19,1,CT197))/12)/INDEX('Lease Cycles'!$GX$19:$HD$19,1,CT197))/12,0)))</f>
        <v>0</v>
      </c>
      <c r="CU200" s="28">
        <f>IF(CU197=0,IF('Lease Cycles'!$F$19&gt;0,'Lease Cycles'!$C$19*'Lease Cycles'!$E$19/12,0),IF(CU199=1,IF('Lease Cycles'!$AT$19&gt;=9999,'Lease Cycles'!$C$19*INDEX('Lease Cycles'!$CB$19:$CH$19,1,CU197)*(1+INDEX('Lease Cycles'!$CI$19:$CO$19,1,CU197))^INT(INT(CU198/12)/INDEX('Lease Cycles'!$CP$19:$CV$19,1,CU197))/12,IF(CU197=1,IF(CU198&gt;=INDEX('Lease Cycles'!$DK$19:$DQ$19,1,CU197),IF(CU$6&gt;='Lease Cycles'!$AZ$19,'Lease Cycles'!$C$19*'Lease Cycles'!$BA$19/12,IF(CU$6&gt;='Lease Cycles'!$AX$19,'Lease Cycles'!$C$19*'Lease Cycles'!$AY$19/12,IF(CU$6&gt;='Lease Cycles'!$AV$19,'Lease Cycles'!$C$19*'Lease Cycles'!$AW$19/12,IF(CU$6&gt;='Lease Cycles'!$AT$19,'Lease Cycles'!$C$19*'Lease Cycles'!$AU$19/12,'Lease Cycles'!$C$19*INDEX('Lease Cycles'!$CB$19:$CH$19,1,CU197)*(1+INDEX('Lease Cycles'!$CI$19:$CO$19,1,CU197))^INT(INT(CU198/12)/INDEX('Lease Cycles'!$CP$19:$CV$19,1,CU197))/12)))),'Lease Cycles'!$C$19*INDEX('Lease Cycles'!$CB$19:$CH$19,1,CU197)*(1+INDEX('Lease Cycles'!$CI$19:$CO$19,1,CU197))^INT(INT(CU198/12)/INDEX('Lease Cycles'!$CP$19:$CV$19,1,CU197))/12),IF(INDEX('Lease Cycles'!$EF$19:$EL$19,1,CU197)=1,IF(AND('Lease Cycles'!$AZ$19&gt;=INDEX('Lease Cycles'!$BG$19:$BM$19,1,CU197),'Lease Cycles'!$AZ$19&lt;=CU$6),'Lease Cycles'!$C$19*'Lease Cycles'!$BA$19/12,IF(AND('Lease Cycles'!$AX$19&gt;=INDEX('Lease Cycles'!$BG$19:$BM$19,1,CU197),'Lease Cycles'!$AX$19&lt;=CU$6),'Lease Cycles'!$C$19*'Lease Cycles'!$AY$19/12,IF(AND('Lease Cycles'!$AV$19&gt;=INDEX('Lease Cycles'!$BG$19:$BM$19,1,CU197),'Lease Cycles'!$AV$19&lt;=CU$6),'Lease Cycles'!$C$19*'Lease Cycles'!$AW$19/12,IF(AND('Lease Cycles'!$AT$19&gt;=INDEX('Lease Cycles'!$BG$19:$BM$19,1,CU197),'Lease Cycles'!$AT$19&lt;=CU$6),'Lease Cycles'!$C$19*'Lease Cycles'!$AU$19/12,'Lease Cycles'!$C$19*INDEX('Lease Cycles'!$CB$19:$CH$19,1,CU197)*(1+INDEX('Lease Cycles'!$CI$19:$CO$19,1,CU197))^INT(INT(CU198/12)/INDEX('Lease Cycles'!$CP$19:$CV$19,1,CU197))/12)))),'Lease Cycles'!$C$19*INDEX('Lease Cycles'!$CB$19:$CH$19,1,CU197)*(1+INDEX('Lease Cycles'!$CI$19:$CO$19,1,CU197))^INT(INT(CU198/12)/INDEX('Lease Cycles'!$CP$19:$CV$19,1,CU197))/12))),IF('Lease Cycles'!$N$19=1,'Lease Cycles'!$C$19*'Lease Cycles'!$E$19*INDEX('Lease Cycles'!$HE$19:$HK$19,1,CU197)*(1+INDEX('Lease Cycles'!$GQ$19:$GW$19,1,CU197))^INT(INT((CU$6-INDEX('Lease Cycles'!$GJ$19:$GP$19,1,CU197))/12)/INDEX('Lease Cycles'!$GX$19:$HD$19,1,CU197))/12,0)))</f>
        <v>0</v>
      </c>
      <c r="CV200" s="28">
        <f>IF(CV197=0,IF('Lease Cycles'!$F$19&gt;0,'Lease Cycles'!$C$19*'Lease Cycles'!$E$19/12,0),IF(CV199=1,IF('Lease Cycles'!$AT$19&gt;=9999,'Lease Cycles'!$C$19*INDEX('Lease Cycles'!$CB$19:$CH$19,1,CV197)*(1+INDEX('Lease Cycles'!$CI$19:$CO$19,1,CV197))^INT(INT(CV198/12)/INDEX('Lease Cycles'!$CP$19:$CV$19,1,CV197))/12,IF(CV197=1,IF(CV198&gt;=INDEX('Lease Cycles'!$DK$19:$DQ$19,1,CV197),IF(CV$6&gt;='Lease Cycles'!$AZ$19,'Lease Cycles'!$C$19*'Lease Cycles'!$BA$19/12,IF(CV$6&gt;='Lease Cycles'!$AX$19,'Lease Cycles'!$C$19*'Lease Cycles'!$AY$19/12,IF(CV$6&gt;='Lease Cycles'!$AV$19,'Lease Cycles'!$C$19*'Lease Cycles'!$AW$19/12,IF(CV$6&gt;='Lease Cycles'!$AT$19,'Lease Cycles'!$C$19*'Lease Cycles'!$AU$19/12,'Lease Cycles'!$C$19*INDEX('Lease Cycles'!$CB$19:$CH$19,1,CV197)*(1+INDEX('Lease Cycles'!$CI$19:$CO$19,1,CV197))^INT(INT(CV198/12)/INDEX('Lease Cycles'!$CP$19:$CV$19,1,CV197))/12)))),'Lease Cycles'!$C$19*INDEX('Lease Cycles'!$CB$19:$CH$19,1,CV197)*(1+INDEX('Lease Cycles'!$CI$19:$CO$19,1,CV197))^INT(INT(CV198/12)/INDEX('Lease Cycles'!$CP$19:$CV$19,1,CV197))/12),IF(INDEX('Lease Cycles'!$EF$19:$EL$19,1,CV197)=1,IF(AND('Lease Cycles'!$AZ$19&gt;=INDEX('Lease Cycles'!$BG$19:$BM$19,1,CV197),'Lease Cycles'!$AZ$19&lt;=CV$6),'Lease Cycles'!$C$19*'Lease Cycles'!$BA$19/12,IF(AND('Lease Cycles'!$AX$19&gt;=INDEX('Lease Cycles'!$BG$19:$BM$19,1,CV197),'Lease Cycles'!$AX$19&lt;=CV$6),'Lease Cycles'!$C$19*'Lease Cycles'!$AY$19/12,IF(AND('Lease Cycles'!$AV$19&gt;=INDEX('Lease Cycles'!$BG$19:$BM$19,1,CV197),'Lease Cycles'!$AV$19&lt;=CV$6),'Lease Cycles'!$C$19*'Lease Cycles'!$AW$19/12,IF(AND('Lease Cycles'!$AT$19&gt;=INDEX('Lease Cycles'!$BG$19:$BM$19,1,CV197),'Lease Cycles'!$AT$19&lt;=CV$6),'Lease Cycles'!$C$19*'Lease Cycles'!$AU$19/12,'Lease Cycles'!$C$19*INDEX('Lease Cycles'!$CB$19:$CH$19,1,CV197)*(1+INDEX('Lease Cycles'!$CI$19:$CO$19,1,CV197))^INT(INT(CV198/12)/INDEX('Lease Cycles'!$CP$19:$CV$19,1,CV197))/12)))),'Lease Cycles'!$C$19*INDEX('Lease Cycles'!$CB$19:$CH$19,1,CV197)*(1+INDEX('Lease Cycles'!$CI$19:$CO$19,1,CV197))^INT(INT(CV198/12)/INDEX('Lease Cycles'!$CP$19:$CV$19,1,CV197))/12))),IF('Lease Cycles'!$N$19=1,'Lease Cycles'!$C$19*'Lease Cycles'!$E$19*INDEX('Lease Cycles'!$HE$19:$HK$19,1,CV197)*(1+INDEX('Lease Cycles'!$GQ$19:$GW$19,1,CV197))^INT(INT((CV$6-INDEX('Lease Cycles'!$GJ$19:$GP$19,1,CV197))/12)/INDEX('Lease Cycles'!$GX$19:$HD$19,1,CV197))/12,0)))</f>
        <v>0</v>
      </c>
      <c r="CW200" s="28">
        <f>IF(CW197=0,IF('Lease Cycles'!$F$19&gt;0,'Lease Cycles'!$C$19*'Lease Cycles'!$E$19/12,0),IF(CW199=1,IF('Lease Cycles'!$AT$19&gt;=9999,'Lease Cycles'!$C$19*INDEX('Lease Cycles'!$CB$19:$CH$19,1,CW197)*(1+INDEX('Lease Cycles'!$CI$19:$CO$19,1,CW197))^INT(INT(CW198/12)/INDEX('Lease Cycles'!$CP$19:$CV$19,1,CW197))/12,IF(CW197=1,IF(CW198&gt;=INDEX('Lease Cycles'!$DK$19:$DQ$19,1,CW197),IF(CW$6&gt;='Lease Cycles'!$AZ$19,'Lease Cycles'!$C$19*'Lease Cycles'!$BA$19/12,IF(CW$6&gt;='Lease Cycles'!$AX$19,'Lease Cycles'!$C$19*'Lease Cycles'!$AY$19/12,IF(CW$6&gt;='Lease Cycles'!$AV$19,'Lease Cycles'!$C$19*'Lease Cycles'!$AW$19/12,IF(CW$6&gt;='Lease Cycles'!$AT$19,'Lease Cycles'!$C$19*'Lease Cycles'!$AU$19/12,'Lease Cycles'!$C$19*INDEX('Lease Cycles'!$CB$19:$CH$19,1,CW197)*(1+INDEX('Lease Cycles'!$CI$19:$CO$19,1,CW197))^INT(INT(CW198/12)/INDEX('Lease Cycles'!$CP$19:$CV$19,1,CW197))/12)))),'Lease Cycles'!$C$19*INDEX('Lease Cycles'!$CB$19:$CH$19,1,CW197)*(1+INDEX('Lease Cycles'!$CI$19:$CO$19,1,CW197))^INT(INT(CW198/12)/INDEX('Lease Cycles'!$CP$19:$CV$19,1,CW197))/12),IF(INDEX('Lease Cycles'!$EF$19:$EL$19,1,CW197)=1,IF(AND('Lease Cycles'!$AZ$19&gt;=INDEX('Lease Cycles'!$BG$19:$BM$19,1,CW197),'Lease Cycles'!$AZ$19&lt;=CW$6),'Lease Cycles'!$C$19*'Lease Cycles'!$BA$19/12,IF(AND('Lease Cycles'!$AX$19&gt;=INDEX('Lease Cycles'!$BG$19:$BM$19,1,CW197),'Lease Cycles'!$AX$19&lt;=CW$6),'Lease Cycles'!$C$19*'Lease Cycles'!$AY$19/12,IF(AND('Lease Cycles'!$AV$19&gt;=INDEX('Lease Cycles'!$BG$19:$BM$19,1,CW197),'Lease Cycles'!$AV$19&lt;=CW$6),'Lease Cycles'!$C$19*'Lease Cycles'!$AW$19/12,IF(AND('Lease Cycles'!$AT$19&gt;=INDEX('Lease Cycles'!$BG$19:$BM$19,1,CW197),'Lease Cycles'!$AT$19&lt;=CW$6),'Lease Cycles'!$C$19*'Lease Cycles'!$AU$19/12,'Lease Cycles'!$C$19*INDEX('Lease Cycles'!$CB$19:$CH$19,1,CW197)*(1+INDEX('Lease Cycles'!$CI$19:$CO$19,1,CW197))^INT(INT(CW198/12)/INDEX('Lease Cycles'!$CP$19:$CV$19,1,CW197))/12)))),'Lease Cycles'!$C$19*INDEX('Lease Cycles'!$CB$19:$CH$19,1,CW197)*(1+INDEX('Lease Cycles'!$CI$19:$CO$19,1,CW197))^INT(INT(CW198/12)/INDEX('Lease Cycles'!$CP$19:$CV$19,1,CW197))/12))),IF('Lease Cycles'!$N$19=1,'Lease Cycles'!$C$19*'Lease Cycles'!$E$19*INDEX('Lease Cycles'!$HE$19:$HK$19,1,CW197)*(1+INDEX('Lease Cycles'!$GQ$19:$GW$19,1,CW197))^INT(INT((CW$6-INDEX('Lease Cycles'!$GJ$19:$GP$19,1,CW197))/12)/INDEX('Lease Cycles'!$GX$19:$HD$19,1,CW197))/12,0)))</f>
        <v>0</v>
      </c>
      <c r="CX200" s="28">
        <f>IF(CX197=0,IF('Lease Cycles'!$F$19&gt;0,'Lease Cycles'!$C$19*'Lease Cycles'!$E$19/12,0),IF(CX199=1,IF('Lease Cycles'!$AT$19&gt;=9999,'Lease Cycles'!$C$19*INDEX('Lease Cycles'!$CB$19:$CH$19,1,CX197)*(1+INDEX('Lease Cycles'!$CI$19:$CO$19,1,CX197))^INT(INT(CX198/12)/INDEX('Lease Cycles'!$CP$19:$CV$19,1,CX197))/12,IF(CX197=1,IF(CX198&gt;=INDEX('Lease Cycles'!$DK$19:$DQ$19,1,CX197),IF(CX$6&gt;='Lease Cycles'!$AZ$19,'Lease Cycles'!$C$19*'Lease Cycles'!$BA$19/12,IF(CX$6&gt;='Lease Cycles'!$AX$19,'Lease Cycles'!$C$19*'Lease Cycles'!$AY$19/12,IF(CX$6&gt;='Lease Cycles'!$AV$19,'Lease Cycles'!$C$19*'Lease Cycles'!$AW$19/12,IF(CX$6&gt;='Lease Cycles'!$AT$19,'Lease Cycles'!$C$19*'Lease Cycles'!$AU$19/12,'Lease Cycles'!$C$19*INDEX('Lease Cycles'!$CB$19:$CH$19,1,CX197)*(1+INDEX('Lease Cycles'!$CI$19:$CO$19,1,CX197))^INT(INT(CX198/12)/INDEX('Lease Cycles'!$CP$19:$CV$19,1,CX197))/12)))),'Lease Cycles'!$C$19*INDEX('Lease Cycles'!$CB$19:$CH$19,1,CX197)*(1+INDEX('Lease Cycles'!$CI$19:$CO$19,1,CX197))^INT(INT(CX198/12)/INDEX('Lease Cycles'!$CP$19:$CV$19,1,CX197))/12),IF(INDEX('Lease Cycles'!$EF$19:$EL$19,1,CX197)=1,IF(AND('Lease Cycles'!$AZ$19&gt;=INDEX('Lease Cycles'!$BG$19:$BM$19,1,CX197),'Lease Cycles'!$AZ$19&lt;=CX$6),'Lease Cycles'!$C$19*'Lease Cycles'!$BA$19/12,IF(AND('Lease Cycles'!$AX$19&gt;=INDEX('Lease Cycles'!$BG$19:$BM$19,1,CX197),'Lease Cycles'!$AX$19&lt;=CX$6),'Lease Cycles'!$C$19*'Lease Cycles'!$AY$19/12,IF(AND('Lease Cycles'!$AV$19&gt;=INDEX('Lease Cycles'!$BG$19:$BM$19,1,CX197),'Lease Cycles'!$AV$19&lt;=CX$6),'Lease Cycles'!$C$19*'Lease Cycles'!$AW$19/12,IF(AND('Lease Cycles'!$AT$19&gt;=INDEX('Lease Cycles'!$BG$19:$BM$19,1,CX197),'Lease Cycles'!$AT$19&lt;=CX$6),'Lease Cycles'!$C$19*'Lease Cycles'!$AU$19/12,'Lease Cycles'!$C$19*INDEX('Lease Cycles'!$CB$19:$CH$19,1,CX197)*(1+INDEX('Lease Cycles'!$CI$19:$CO$19,1,CX197))^INT(INT(CX198/12)/INDEX('Lease Cycles'!$CP$19:$CV$19,1,CX197))/12)))),'Lease Cycles'!$C$19*INDEX('Lease Cycles'!$CB$19:$CH$19,1,CX197)*(1+INDEX('Lease Cycles'!$CI$19:$CO$19,1,CX197))^INT(INT(CX198/12)/INDEX('Lease Cycles'!$CP$19:$CV$19,1,CX197))/12))),IF('Lease Cycles'!$N$19=1,'Lease Cycles'!$C$19*'Lease Cycles'!$E$19*INDEX('Lease Cycles'!$HE$19:$HK$19,1,CX197)*(1+INDEX('Lease Cycles'!$GQ$19:$GW$19,1,CX197))^INT(INT((CX$6-INDEX('Lease Cycles'!$GJ$19:$GP$19,1,CX197))/12)/INDEX('Lease Cycles'!$GX$19:$HD$19,1,CX197))/12,0)))</f>
        <v>0</v>
      </c>
      <c r="CY200" s="28">
        <f>IF(CY197=0,IF('Lease Cycles'!$F$19&gt;0,'Lease Cycles'!$C$19*'Lease Cycles'!$E$19/12,0),IF(CY199=1,IF('Lease Cycles'!$AT$19&gt;=9999,'Lease Cycles'!$C$19*INDEX('Lease Cycles'!$CB$19:$CH$19,1,CY197)*(1+INDEX('Lease Cycles'!$CI$19:$CO$19,1,CY197))^INT(INT(CY198/12)/INDEX('Lease Cycles'!$CP$19:$CV$19,1,CY197))/12,IF(CY197=1,IF(CY198&gt;=INDEX('Lease Cycles'!$DK$19:$DQ$19,1,CY197),IF(CY$6&gt;='Lease Cycles'!$AZ$19,'Lease Cycles'!$C$19*'Lease Cycles'!$BA$19/12,IF(CY$6&gt;='Lease Cycles'!$AX$19,'Lease Cycles'!$C$19*'Lease Cycles'!$AY$19/12,IF(CY$6&gt;='Lease Cycles'!$AV$19,'Lease Cycles'!$C$19*'Lease Cycles'!$AW$19/12,IF(CY$6&gt;='Lease Cycles'!$AT$19,'Lease Cycles'!$C$19*'Lease Cycles'!$AU$19/12,'Lease Cycles'!$C$19*INDEX('Lease Cycles'!$CB$19:$CH$19,1,CY197)*(1+INDEX('Lease Cycles'!$CI$19:$CO$19,1,CY197))^INT(INT(CY198/12)/INDEX('Lease Cycles'!$CP$19:$CV$19,1,CY197))/12)))),'Lease Cycles'!$C$19*INDEX('Lease Cycles'!$CB$19:$CH$19,1,CY197)*(1+INDEX('Lease Cycles'!$CI$19:$CO$19,1,CY197))^INT(INT(CY198/12)/INDEX('Lease Cycles'!$CP$19:$CV$19,1,CY197))/12),IF(INDEX('Lease Cycles'!$EF$19:$EL$19,1,CY197)=1,IF(AND('Lease Cycles'!$AZ$19&gt;=INDEX('Lease Cycles'!$BG$19:$BM$19,1,CY197),'Lease Cycles'!$AZ$19&lt;=CY$6),'Lease Cycles'!$C$19*'Lease Cycles'!$BA$19/12,IF(AND('Lease Cycles'!$AX$19&gt;=INDEX('Lease Cycles'!$BG$19:$BM$19,1,CY197),'Lease Cycles'!$AX$19&lt;=CY$6),'Lease Cycles'!$C$19*'Lease Cycles'!$AY$19/12,IF(AND('Lease Cycles'!$AV$19&gt;=INDEX('Lease Cycles'!$BG$19:$BM$19,1,CY197),'Lease Cycles'!$AV$19&lt;=CY$6),'Lease Cycles'!$C$19*'Lease Cycles'!$AW$19/12,IF(AND('Lease Cycles'!$AT$19&gt;=INDEX('Lease Cycles'!$BG$19:$BM$19,1,CY197),'Lease Cycles'!$AT$19&lt;=CY$6),'Lease Cycles'!$C$19*'Lease Cycles'!$AU$19/12,'Lease Cycles'!$C$19*INDEX('Lease Cycles'!$CB$19:$CH$19,1,CY197)*(1+INDEX('Lease Cycles'!$CI$19:$CO$19,1,CY197))^INT(INT(CY198/12)/INDEX('Lease Cycles'!$CP$19:$CV$19,1,CY197))/12)))),'Lease Cycles'!$C$19*INDEX('Lease Cycles'!$CB$19:$CH$19,1,CY197)*(1+INDEX('Lease Cycles'!$CI$19:$CO$19,1,CY197))^INT(INT(CY198/12)/INDEX('Lease Cycles'!$CP$19:$CV$19,1,CY197))/12))),IF('Lease Cycles'!$N$19=1,'Lease Cycles'!$C$19*'Lease Cycles'!$E$19*INDEX('Lease Cycles'!$HE$19:$HK$19,1,CY197)*(1+INDEX('Lease Cycles'!$GQ$19:$GW$19,1,CY197))^INT(INT((CY$6-INDEX('Lease Cycles'!$GJ$19:$GP$19,1,CY197))/12)/INDEX('Lease Cycles'!$GX$19:$HD$19,1,CY197))/12,0)))</f>
        <v>0</v>
      </c>
      <c r="CZ200" s="28">
        <f>IF(CZ197=0,IF('Lease Cycles'!$F$19&gt;0,'Lease Cycles'!$C$19*'Lease Cycles'!$E$19/12,0),IF(CZ199=1,IF('Lease Cycles'!$AT$19&gt;=9999,'Lease Cycles'!$C$19*INDEX('Lease Cycles'!$CB$19:$CH$19,1,CZ197)*(1+INDEX('Lease Cycles'!$CI$19:$CO$19,1,CZ197))^INT(INT(CZ198/12)/INDEX('Lease Cycles'!$CP$19:$CV$19,1,CZ197))/12,IF(CZ197=1,IF(CZ198&gt;=INDEX('Lease Cycles'!$DK$19:$DQ$19,1,CZ197),IF(CZ$6&gt;='Lease Cycles'!$AZ$19,'Lease Cycles'!$C$19*'Lease Cycles'!$BA$19/12,IF(CZ$6&gt;='Lease Cycles'!$AX$19,'Lease Cycles'!$C$19*'Lease Cycles'!$AY$19/12,IF(CZ$6&gt;='Lease Cycles'!$AV$19,'Lease Cycles'!$C$19*'Lease Cycles'!$AW$19/12,IF(CZ$6&gt;='Lease Cycles'!$AT$19,'Lease Cycles'!$C$19*'Lease Cycles'!$AU$19/12,'Lease Cycles'!$C$19*INDEX('Lease Cycles'!$CB$19:$CH$19,1,CZ197)*(1+INDEX('Lease Cycles'!$CI$19:$CO$19,1,CZ197))^INT(INT(CZ198/12)/INDEX('Lease Cycles'!$CP$19:$CV$19,1,CZ197))/12)))),'Lease Cycles'!$C$19*INDEX('Lease Cycles'!$CB$19:$CH$19,1,CZ197)*(1+INDEX('Lease Cycles'!$CI$19:$CO$19,1,CZ197))^INT(INT(CZ198/12)/INDEX('Lease Cycles'!$CP$19:$CV$19,1,CZ197))/12),IF(INDEX('Lease Cycles'!$EF$19:$EL$19,1,CZ197)=1,IF(AND('Lease Cycles'!$AZ$19&gt;=INDEX('Lease Cycles'!$BG$19:$BM$19,1,CZ197),'Lease Cycles'!$AZ$19&lt;=CZ$6),'Lease Cycles'!$C$19*'Lease Cycles'!$BA$19/12,IF(AND('Lease Cycles'!$AX$19&gt;=INDEX('Lease Cycles'!$BG$19:$BM$19,1,CZ197),'Lease Cycles'!$AX$19&lt;=CZ$6),'Lease Cycles'!$C$19*'Lease Cycles'!$AY$19/12,IF(AND('Lease Cycles'!$AV$19&gt;=INDEX('Lease Cycles'!$BG$19:$BM$19,1,CZ197),'Lease Cycles'!$AV$19&lt;=CZ$6),'Lease Cycles'!$C$19*'Lease Cycles'!$AW$19/12,IF(AND('Lease Cycles'!$AT$19&gt;=INDEX('Lease Cycles'!$BG$19:$BM$19,1,CZ197),'Lease Cycles'!$AT$19&lt;=CZ$6),'Lease Cycles'!$C$19*'Lease Cycles'!$AU$19/12,'Lease Cycles'!$C$19*INDEX('Lease Cycles'!$CB$19:$CH$19,1,CZ197)*(1+INDEX('Lease Cycles'!$CI$19:$CO$19,1,CZ197))^INT(INT(CZ198/12)/INDEX('Lease Cycles'!$CP$19:$CV$19,1,CZ197))/12)))),'Lease Cycles'!$C$19*INDEX('Lease Cycles'!$CB$19:$CH$19,1,CZ197)*(1+INDEX('Lease Cycles'!$CI$19:$CO$19,1,CZ197))^INT(INT(CZ198/12)/INDEX('Lease Cycles'!$CP$19:$CV$19,1,CZ197))/12))),IF('Lease Cycles'!$N$19=1,'Lease Cycles'!$C$19*'Lease Cycles'!$E$19*INDEX('Lease Cycles'!$HE$19:$HK$19,1,CZ197)*(1+INDEX('Lease Cycles'!$GQ$19:$GW$19,1,CZ197))^INT(INT((CZ$6-INDEX('Lease Cycles'!$GJ$19:$GP$19,1,CZ197))/12)/INDEX('Lease Cycles'!$GX$19:$HD$19,1,CZ197))/12,0)))</f>
        <v>0</v>
      </c>
      <c r="DA200" s="28">
        <f>IF(DA197=0,IF('Lease Cycles'!$F$19&gt;0,'Lease Cycles'!$C$19*'Lease Cycles'!$E$19/12,0),IF(DA199=1,IF('Lease Cycles'!$AT$19&gt;=9999,'Lease Cycles'!$C$19*INDEX('Lease Cycles'!$CB$19:$CH$19,1,DA197)*(1+INDEX('Lease Cycles'!$CI$19:$CO$19,1,DA197))^INT(INT(DA198/12)/INDEX('Lease Cycles'!$CP$19:$CV$19,1,DA197))/12,IF(DA197=1,IF(DA198&gt;=INDEX('Lease Cycles'!$DK$19:$DQ$19,1,DA197),IF(DA$6&gt;='Lease Cycles'!$AZ$19,'Lease Cycles'!$C$19*'Lease Cycles'!$BA$19/12,IF(DA$6&gt;='Lease Cycles'!$AX$19,'Lease Cycles'!$C$19*'Lease Cycles'!$AY$19/12,IF(DA$6&gt;='Lease Cycles'!$AV$19,'Lease Cycles'!$C$19*'Lease Cycles'!$AW$19/12,IF(DA$6&gt;='Lease Cycles'!$AT$19,'Lease Cycles'!$C$19*'Lease Cycles'!$AU$19/12,'Lease Cycles'!$C$19*INDEX('Lease Cycles'!$CB$19:$CH$19,1,DA197)*(1+INDEX('Lease Cycles'!$CI$19:$CO$19,1,DA197))^INT(INT(DA198/12)/INDEX('Lease Cycles'!$CP$19:$CV$19,1,DA197))/12)))),'Lease Cycles'!$C$19*INDEX('Lease Cycles'!$CB$19:$CH$19,1,DA197)*(1+INDEX('Lease Cycles'!$CI$19:$CO$19,1,DA197))^INT(INT(DA198/12)/INDEX('Lease Cycles'!$CP$19:$CV$19,1,DA197))/12),IF(INDEX('Lease Cycles'!$EF$19:$EL$19,1,DA197)=1,IF(AND('Lease Cycles'!$AZ$19&gt;=INDEX('Lease Cycles'!$BG$19:$BM$19,1,DA197),'Lease Cycles'!$AZ$19&lt;=DA$6),'Lease Cycles'!$C$19*'Lease Cycles'!$BA$19/12,IF(AND('Lease Cycles'!$AX$19&gt;=INDEX('Lease Cycles'!$BG$19:$BM$19,1,DA197),'Lease Cycles'!$AX$19&lt;=DA$6),'Lease Cycles'!$C$19*'Lease Cycles'!$AY$19/12,IF(AND('Lease Cycles'!$AV$19&gt;=INDEX('Lease Cycles'!$BG$19:$BM$19,1,DA197),'Lease Cycles'!$AV$19&lt;=DA$6),'Lease Cycles'!$C$19*'Lease Cycles'!$AW$19/12,IF(AND('Lease Cycles'!$AT$19&gt;=INDEX('Lease Cycles'!$BG$19:$BM$19,1,DA197),'Lease Cycles'!$AT$19&lt;=DA$6),'Lease Cycles'!$C$19*'Lease Cycles'!$AU$19/12,'Lease Cycles'!$C$19*INDEX('Lease Cycles'!$CB$19:$CH$19,1,DA197)*(1+INDEX('Lease Cycles'!$CI$19:$CO$19,1,DA197))^INT(INT(DA198/12)/INDEX('Lease Cycles'!$CP$19:$CV$19,1,DA197))/12)))),'Lease Cycles'!$C$19*INDEX('Lease Cycles'!$CB$19:$CH$19,1,DA197)*(1+INDEX('Lease Cycles'!$CI$19:$CO$19,1,DA197))^INT(INT(DA198/12)/INDEX('Lease Cycles'!$CP$19:$CV$19,1,DA197))/12))),IF('Lease Cycles'!$N$19=1,'Lease Cycles'!$C$19*'Lease Cycles'!$E$19*INDEX('Lease Cycles'!$HE$19:$HK$19,1,DA197)*(1+INDEX('Lease Cycles'!$GQ$19:$GW$19,1,DA197))^INT(INT((DA$6-INDEX('Lease Cycles'!$GJ$19:$GP$19,1,DA197))/12)/INDEX('Lease Cycles'!$GX$19:$HD$19,1,DA197))/12,0)))</f>
        <v>0</v>
      </c>
      <c r="DB200" s="28">
        <f>IF(DB197=0,IF('Lease Cycles'!$F$19&gt;0,'Lease Cycles'!$C$19*'Lease Cycles'!$E$19/12,0),IF(DB199=1,IF('Lease Cycles'!$AT$19&gt;=9999,'Lease Cycles'!$C$19*INDEX('Lease Cycles'!$CB$19:$CH$19,1,DB197)*(1+INDEX('Lease Cycles'!$CI$19:$CO$19,1,DB197))^INT(INT(DB198/12)/INDEX('Lease Cycles'!$CP$19:$CV$19,1,DB197))/12,IF(DB197=1,IF(DB198&gt;=INDEX('Lease Cycles'!$DK$19:$DQ$19,1,DB197),IF(DB$6&gt;='Lease Cycles'!$AZ$19,'Lease Cycles'!$C$19*'Lease Cycles'!$BA$19/12,IF(DB$6&gt;='Lease Cycles'!$AX$19,'Lease Cycles'!$C$19*'Lease Cycles'!$AY$19/12,IF(DB$6&gt;='Lease Cycles'!$AV$19,'Lease Cycles'!$C$19*'Lease Cycles'!$AW$19/12,IF(DB$6&gt;='Lease Cycles'!$AT$19,'Lease Cycles'!$C$19*'Lease Cycles'!$AU$19/12,'Lease Cycles'!$C$19*INDEX('Lease Cycles'!$CB$19:$CH$19,1,DB197)*(1+INDEX('Lease Cycles'!$CI$19:$CO$19,1,DB197))^INT(INT(DB198/12)/INDEX('Lease Cycles'!$CP$19:$CV$19,1,DB197))/12)))),'Lease Cycles'!$C$19*INDEX('Lease Cycles'!$CB$19:$CH$19,1,DB197)*(1+INDEX('Lease Cycles'!$CI$19:$CO$19,1,DB197))^INT(INT(DB198/12)/INDEX('Lease Cycles'!$CP$19:$CV$19,1,DB197))/12),IF(INDEX('Lease Cycles'!$EF$19:$EL$19,1,DB197)=1,IF(AND('Lease Cycles'!$AZ$19&gt;=INDEX('Lease Cycles'!$BG$19:$BM$19,1,DB197),'Lease Cycles'!$AZ$19&lt;=DB$6),'Lease Cycles'!$C$19*'Lease Cycles'!$BA$19/12,IF(AND('Lease Cycles'!$AX$19&gt;=INDEX('Lease Cycles'!$BG$19:$BM$19,1,DB197),'Lease Cycles'!$AX$19&lt;=DB$6),'Lease Cycles'!$C$19*'Lease Cycles'!$AY$19/12,IF(AND('Lease Cycles'!$AV$19&gt;=INDEX('Lease Cycles'!$BG$19:$BM$19,1,DB197),'Lease Cycles'!$AV$19&lt;=DB$6),'Lease Cycles'!$C$19*'Lease Cycles'!$AW$19/12,IF(AND('Lease Cycles'!$AT$19&gt;=INDEX('Lease Cycles'!$BG$19:$BM$19,1,DB197),'Lease Cycles'!$AT$19&lt;=DB$6),'Lease Cycles'!$C$19*'Lease Cycles'!$AU$19/12,'Lease Cycles'!$C$19*INDEX('Lease Cycles'!$CB$19:$CH$19,1,DB197)*(1+INDEX('Lease Cycles'!$CI$19:$CO$19,1,DB197))^INT(INT(DB198/12)/INDEX('Lease Cycles'!$CP$19:$CV$19,1,DB197))/12)))),'Lease Cycles'!$C$19*INDEX('Lease Cycles'!$CB$19:$CH$19,1,DB197)*(1+INDEX('Lease Cycles'!$CI$19:$CO$19,1,DB197))^INT(INT(DB198/12)/INDEX('Lease Cycles'!$CP$19:$CV$19,1,DB197))/12))),IF('Lease Cycles'!$N$19=1,'Lease Cycles'!$C$19*'Lease Cycles'!$E$19*INDEX('Lease Cycles'!$HE$19:$HK$19,1,DB197)*(1+INDEX('Lease Cycles'!$GQ$19:$GW$19,1,DB197))^INT(INT((DB$6-INDEX('Lease Cycles'!$GJ$19:$GP$19,1,DB197))/12)/INDEX('Lease Cycles'!$GX$19:$HD$19,1,DB197))/12,0)))</f>
        <v>0</v>
      </c>
      <c r="DC200" s="28">
        <f>IF(DC197=0,IF('Lease Cycles'!$F$19&gt;0,'Lease Cycles'!$C$19*'Lease Cycles'!$E$19/12,0),IF(DC199=1,IF('Lease Cycles'!$AT$19&gt;=9999,'Lease Cycles'!$C$19*INDEX('Lease Cycles'!$CB$19:$CH$19,1,DC197)*(1+INDEX('Lease Cycles'!$CI$19:$CO$19,1,DC197))^INT(INT(DC198/12)/INDEX('Lease Cycles'!$CP$19:$CV$19,1,DC197))/12,IF(DC197=1,IF(DC198&gt;=INDEX('Lease Cycles'!$DK$19:$DQ$19,1,DC197),IF(DC$6&gt;='Lease Cycles'!$AZ$19,'Lease Cycles'!$C$19*'Lease Cycles'!$BA$19/12,IF(DC$6&gt;='Lease Cycles'!$AX$19,'Lease Cycles'!$C$19*'Lease Cycles'!$AY$19/12,IF(DC$6&gt;='Lease Cycles'!$AV$19,'Lease Cycles'!$C$19*'Lease Cycles'!$AW$19/12,IF(DC$6&gt;='Lease Cycles'!$AT$19,'Lease Cycles'!$C$19*'Lease Cycles'!$AU$19/12,'Lease Cycles'!$C$19*INDEX('Lease Cycles'!$CB$19:$CH$19,1,DC197)*(1+INDEX('Lease Cycles'!$CI$19:$CO$19,1,DC197))^INT(INT(DC198/12)/INDEX('Lease Cycles'!$CP$19:$CV$19,1,DC197))/12)))),'Lease Cycles'!$C$19*INDEX('Lease Cycles'!$CB$19:$CH$19,1,DC197)*(1+INDEX('Lease Cycles'!$CI$19:$CO$19,1,DC197))^INT(INT(DC198/12)/INDEX('Lease Cycles'!$CP$19:$CV$19,1,DC197))/12),IF(INDEX('Lease Cycles'!$EF$19:$EL$19,1,DC197)=1,IF(AND('Lease Cycles'!$AZ$19&gt;=INDEX('Lease Cycles'!$BG$19:$BM$19,1,DC197),'Lease Cycles'!$AZ$19&lt;=DC$6),'Lease Cycles'!$C$19*'Lease Cycles'!$BA$19/12,IF(AND('Lease Cycles'!$AX$19&gt;=INDEX('Lease Cycles'!$BG$19:$BM$19,1,DC197),'Lease Cycles'!$AX$19&lt;=DC$6),'Lease Cycles'!$C$19*'Lease Cycles'!$AY$19/12,IF(AND('Lease Cycles'!$AV$19&gt;=INDEX('Lease Cycles'!$BG$19:$BM$19,1,DC197),'Lease Cycles'!$AV$19&lt;=DC$6),'Lease Cycles'!$C$19*'Lease Cycles'!$AW$19/12,IF(AND('Lease Cycles'!$AT$19&gt;=INDEX('Lease Cycles'!$BG$19:$BM$19,1,DC197),'Lease Cycles'!$AT$19&lt;=DC$6),'Lease Cycles'!$C$19*'Lease Cycles'!$AU$19/12,'Lease Cycles'!$C$19*INDEX('Lease Cycles'!$CB$19:$CH$19,1,DC197)*(1+INDEX('Lease Cycles'!$CI$19:$CO$19,1,DC197))^INT(INT(DC198/12)/INDEX('Lease Cycles'!$CP$19:$CV$19,1,DC197))/12)))),'Lease Cycles'!$C$19*INDEX('Lease Cycles'!$CB$19:$CH$19,1,DC197)*(1+INDEX('Lease Cycles'!$CI$19:$CO$19,1,DC197))^INT(INT(DC198/12)/INDEX('Lease Cycles'!$CP$19:$CV$19,1,DC197))/12))),IF('Lease Cycles'!$N$19=1,'Lease Cycles'!$C$19*'Lease Cycles'!$E$19*INDEX('Lease Cycles'!$HE$19:$HK$19,1,DC197)*(1+INDEX('Lease Cycles'!$GQ$19:$GW$19,1,DC197))^INT(INT((DC$6-INDEX('Lease Cycles'!$GJ$19:$GP$19,1,DC197))/12)/INDEX('Lease Cycles'!$GX$19:$HD$19,1,DC197))/12,0)))</f>
        <v>0</v>
      </c>
      <c r="DD200" s="28">
        <f>IF(DD197=0,IF('Lease Cycles'!$F$19&gt;0,'Lease Cycles'!$C$19*'Lease Cycles'!$E$19/12,0),IF(DD199=1,IF('Lease Cycles'!$AT$19&gt;=9999,'Lease Cycles'!$C$19*INDEX('Lease Cycles'!$CB$19:$CH$19,1,DD197)*(1+INDEX('Lease Cycles'!$CI$19:$CO$19,1,DD197))^INT(INT(DD198/12)/INDEX('Lease Cycles'!$CP$19:$CV$19,1,DD197))/12,IF(DD197=1,IF(DD198&gt;=INDEX('Lease Cycles'!$DK$19:$DQ$19,1,DD197),IF(DD$6&gt;='Lease Cycles'!$AZ$19,'Lease Cycles'!$C$19*'Lease Cycles'!$BA$19/12,IF(DD$6&gt;='Lease Cycles'!$AX$19,'Lease Cycles'!$C$19*'Lease Cycles'!$AY$19/12,IF(DD$6&gt;='Lease Cycles'!$AV$19,'Lease Cycles'!$C$19*'Lease Cycles'!$AW$19/12,IF(DD$6&gt;='Lease Cycles'!$AT$19,'Lease Cycles'!$C$19*'Lease Cycles'!$AU$19/12,'Lease Cycles'!$C$19*INDEX('Lease Cycles'!$CB$19:$CH$19,1,DD197)*(1+INDEX('Lease Cycles'!$CI$19:$CO$19,1,DD197))^INT(INT(DD198/12)/INDEX('Lease Cycles'!$CP$19:$CV$19,1,DD197))/12)))),'Lease Cycles'!$C$19*INDEX('Lease Cycles'!$CB$19:$CH$19,1,DD197)*(1+INDEX('Lease Cycles'!$CI$19:$CO$19,1,DD197))^INT(INT(DD198/12)/INDEX('Lease Cycles'!$CP$19:$CV$19,1,DD197))/12),IF(INDEX('Lease Cycles'!$EF$19:$EL$19,1,DD197)=1,IF(AND('Lease Cycles'!$AZ$19&gt;=INDEX('Lease Cycles'!$BG$19:$BM$19,1,DD197),'Lease Cycles'!$AZ$19&lt;=DD$6),'Lease Cycles'!$C$19*'Lease Cycles'!$BA$19/12,IF(AND('Lease Cycles'!$AX$19&gt;=INDEX('Lease Cycles'!$BG$19:$BM$19,1,DD197),'Lease Cycles'!$AX$19&lt;=DD$6),'Lease Cycles'!$C$19*'Lease Cycles'!$AY$19/12,IF(AND('Lease Cycles'!$AV$19&gt;=INDEX('Lease Cycles'!$BG$19:$BM$19,1,DD197),'Lease Cycles'!$AV$19&lt;=DD$6),'Lease Cycles'!$C$19*'Lease Cycles'!$AW$19/12,IF(AND('Lease Cycles'!$AT$19&gt;=INDEX('Lease Cycles'!$BG$19:$BM$19,1,DD197),'Lease Cycles'!$AT$19&lt;=DD$6),'Lease Cycles'!$C$19*'Lease Cycles'!$AU$19/12,'Lease Cycles'!$C$19*INDEX('Lease Cycles'!$CB$19:$CH$19,1,DD197)*(1+INDEX('Lease Cycles'!$CI$19:$CO$19,1,DD197))^INT(INT(DD198/12)/INDEX('Lease Cycles'!$CP$19:$CV$19,1,DD197))/12)))),'Lease Cycles'!$C$19*INDEX('Lease Cycles'!$CB$19:$CH$19,1,DD197)*(1+INDEX('Lease Cycles'!$CI$19:$CO$19,1,DD197))^INT(INT(DD198/12)/INDEX('Lease Cycles'!$CP$19:$CV$19,1,DD197))/12))),IF('Lease Cycles'!$N$19=1,'Lease Cycles'!$C$19*'Lease Cycles'!$E$19*INDEX('Lease Cycles'!$HE$19:$HK$19,1,DD197)*(1+INDEX('Lease Cycles'!$GQ$19:$GW$19,1,DD197))^INT(INT((DD$6-INDEX('Lease Cycles'!$GJ$19:$GP$19,1,DD197))/12)/INDEX('Lease Cycles'!$GX$19:$HD$19,1,DD197))/12,0)))</f>
        <v>0</v>
      </c>
      <c r="DE200" s="28">
        <f>IF(DE197=0,IF('Lease Cycles'!$F$19&gt;0,'Lease Cycles'!$C$19*'Lease Cycles'!$E$19/12,0),IF(DE199=1,IF('Lease Cycles'!$AT$19&gt;=9999,'Lease Cycles'!$C$19*INDEX('Lease Cycles'!$CB$19:$CH$19,1,DE197)*(1+INDEX('Lease Cycles'!$CI$19:$CO$19,1,DE197))^INT(INT(DE198/12)/INDEX('Lease Cycles'!$CP$19:$CV$19,1,DE197))/12,IF(DE197=1,IF(DE198&gt;=INDEX('Lease Cycles'!$DK$19:$DQ$19,1,DE197),IF(DE$6&gt;='Lease Cycles'!$AZ$19,'Lease Cycles'!$C$19*'Lease Cycles'!$BA$19/12,IF(DE$6&gt;='Lease Cycles'!$AX$19,'Lease Cycles'!$C$19*'Lease Cycles'!$AY$19/12,IF(DE$6&gt;='Lease Cycles'!$AV$19,'Lease Cycles'!$C$19*'Lease Cycles'!$AW$19/12,IF(DE$6&gt;='Lease Cycles'!$AT$19,'Lease Cycles'!$C$19*'Lease Cycles'!$AU$19/12,'Lease Cycles'!$C$19*INDEX('Lease Cycles'!$CB$19:$CH$19,1,DE197)*(1+INDEX('Lease Cycles'!$CI$19:$CO$19,1,DE197))^INT(INT(DE198/12)/INDEX('Lease Cycles'!$CP$19:$CV$19,1,DE197))/12)))),'Lease Cycles'!$C$19*INDEX('Lease Cycles'!$CB$19:$CH$19,1,DE197)*(1+INDEX('Lease Cycles'!$CI$19:$CO$19,1,DE197))^INT(INT(DE198/12)/INDEX('Lease Cycles'!$CP$19:$CV$19,1,DE197))/12),IF(INDEX('Lease Cycles'!$EF$19:$EL$19,1,DE197)=1,IF(AND('Lease Cycles'!$AZ$19&gt;=INDEX('Lease Cycles'!$BG$19:$BM$19,1,DE197),'Lease Cycles'!$AZ$19&lt;=DE$6),'Lease Cycles'!$C$19*'Lease Cycles'!$BA$19/12,IF(AND('Lease Cycles'!$AX$19&gt;=INDEX('Lease Cycles'!$BG$19:$BM$19,1,DE197),'Lease Cycles'!$AX$19&lt;=DE$6),'Lease Cycles'!$C$19*'Lease Cycles'!$AY$19/12,IF(AND('Lease Cycles'!$AV$19&gt;=INDEX('Lease Cycles'!$BG$19:$BM$19,1,DE197),'Lease Cycles'!$AV$19&lt;=DE$6),'Lease Cycles'!$C$19*'Lease Cycles'!$AW$19/12,IF(AND('Lease Cycles'!$AT$19&gt;=INDEX('Lease Cycles'!$BG$19:$BM$19,1,DE197),'Lease Cycles'!$AT$19&lt;=DE$6),'Lease Cycles'!$C$19*'Lease Cycles'!$AU$19/12,'Lease Cycles'!$C$19*INDEX('Lease Cycles'!$CB$19:$CH$19,1,DE197)*(1+INDEX('Lease Cycles'!$CI$19:$CO$19,1,DE197))^INT(INT(DE198/12)/INDEX('Lease Cycles'!$CP$19:$CV$19,1,DE197))/12)))),'Lease Cycles'!$C$19*INDEX('Lease Cycles'!$CB$19:$CH$19,1,DE197)*(1+INDEX('Lease Cycles'!$CI$19:$CO$19,1,DE197))^INT(INT(DE198/12)/INDEX('Lease Cycles'!$CP$19:$CV$19,1,DE197))/12))),IF('Lease Cycles'!$N$19=1,'Lease Cycles'!$C$19*'Lease Cycles'!$E$19*INDEX('Lease Cycles'!$HE$19:$HK$19,1,DE197)*(1+INDEX('Lease Cycles'!$GQ$19:$GW$19,1,DE197))^INT(INT((DE$6-INDEX('Lease Cycles'!$GJ$19:$GP$19,1,DE197))/12)/INDEX('Lease Cycles'!$GX$19:$HD$19,1,DE197))/12,0)))</f>
        <v>0</v>
      </c>
      <c r="DF200" s="28">
        <f>IF(DF197=0,IF('Lease Cycles'!$F$19&gt;0,'Lease Cycles'!$C$19*'Lease Cycles'!$E$19/12,0),IF(DF199=1,IF('Lease Cycles'!$AT$19&gt;=9999,'Lease Cycles'!$C$19*INDEX('Lease Cycles'!$CB$19:$CH$19,1,DF197)*(1+INDEX('Lease Cycles'!$CI$19:$CO$19,1,DF197))^INT(INT(DF198/12)/INDEX('Lease Cycles'!$CP$19:$CV$19,1,DF197))/12,IF(DF197=1,IF(DF198&gt;=INDEX('Lease Cycles'!$DK$19:$DQ$19,1,DF197),IF(DF$6&gt;='Lease Cycles'!$AZ$19,'Lease Cycles'!$C$19*'Lease Cycles'!$BA$19/12,IF(DF$6&gt;='Lease Cycles'!$AX$19,'Lease Cycles'!$C$19*'Lease Cycles'!$AY$19/12,IF(DF$6&gt;='Lease Cycles'!$AV$19,'Lease Cycles'!$C$19*'Lease Cycles'!$AW$19/12,IF(DF$6&gt;='Lease Cycles'!$AT$19,'Lease Cycles'!$C$19*'Lease Cycles'!$AU$19/12,'Lease Cycles'!$C$19*INDEX('Lease Cycles'!$CB$19:$CH$19,1,DF197)*(1+INDEX('Lease Cycles'!$CI$19:$CO$19,1,DF197))^INT(INT(DF198/12)/INDEX('Lease Cycles'!$CP$19:$CV$19,1,DF197))/12)))),'Lease Cycles'!$C$19*INDEX('Lease Cycles'!$CB$19:$CH$19,1,DF197)*(1+INDEX('Lease Cycles'!$CI$19:$CO$19,1,DF197))^INT(INT(DF198/12)/INDEX('Lease Cycles'!$CP$19:$CV$19,1,DF197))/12),IF(INDEX('Lease Cycles'!$EF$19:$EL$19,1,DF197)=1,IF(AND('Lease Cycles'!$AZ$19&gt;=INDEX('Lease Cycles'!$BG$19:$BM$19,1,DF197),'Lease Cycles'!$AZ$19&lt;=DF$6),'Lease Cycles'!$C$19*'Lease Cycles'!$BA$19/12,IF(AND('Lease Cycles'!$AX$19&gt;=INDEX('Lease Cycles'!$BG$19:$BM$19,1,DF197),'Lease Cycles'!$AX$19&lt;=DF$6),'Lease Cycles'!$C$19*'Lease Cycles'!$AY$19/12,IF(AND('Lease Cycles'!$AV$19&gt;=INDEX('Lease Cycles'!$BG$19:$BM$19,1,DF197),'Lease Cycles'!$AV$19&lt;=DF$6),'Lease Cycles'!$C$19*'Lease Cycles'!$AW$19/12,IF(AND('Lease Cycles'!$AT$19&gt;=INDEX('Lease Cycles'!$BG$19:$BM$19,1,DF197),'Lease Cycles'!$AT$19&lt;=DF$6),'Lease Cycles'!$C$19*'Lease Cycles'!$AU$19/12,'Lease Cycles'!$C$19*INDEX('Lease Cycles'!$CB$19:$CH$19,1,DF197)*(1+INDEX('Lease Cycles'!$CI$19:$CO$19,1,DF197))^INT(INT(DF198/12)/INDEX('Lease Cycles'!$CP$19:$CV$19,1,DF197))/12)))),'Lease Cycles'!$C$19*INDEX('Lease Cycles'!$CB$19:$CH$19,1,DF197)*(1+INDEX('Lease Cycles'!$CI$19:$CO$19,1,DF197))^INT(INT(DF198/12)/INDEX('Lease Cycles'!$CP$19:$CV$19,1,DF197))/12))),IF('Lease Cycles'!$N$19=1,'Lease Cycles'!$C$19*'Lease Cycles'!$E$19*INDEX('Lease Cycles'!$HE$19:$HK$19,1,DF197)*(1+INDEX('Lease Cycles'!$GQ$19:$GW$19,1,DF197))^INT(INT((DF$6-INDEX('Lease Cycles'!$GJ$19:$GP$19,1,DF197))/12)/INDEX('Lease Cycles'!$GX$19:$HD$19,1,DF197))/12,0)))</f>
        <v>0</v>
      </c>
      <c r="DG200" s="28">
        <f>IF(DG197=0,IF('Lease Cycles'!$F$19&gt;0,'Lease Cycles'!$C$19*'Lease Cycles'!$E$19/12,0),IF(DG199=1,IF('Lease Cycles'!$AT$19&gt;=9999,'Lease Cycles'!$C$19*INDEX('Lease Cycles'!$CB$19:$CH$19,1,DG197)*(1+INDEX('Lease Cycles'!$CI$19:$CO$19,1,DG197))^INT(INT(DG198/12)/INDEX('Lease Cycles'!$CP$19:$CV$19,1,DG197))/12,IF(DG197=1,IF(DG198&gt;=INDEX('Lease Cycles'!$DK$19:$DQ$19,1,DG197),IF(DG$6&gt;='Lease Cycles'!$AZ$19,'Lease Cycles'!$C$19*'Lease Cycles'!$BA$19/12,IF(DG$6&gt;='Lease Cycles'!$AX$19,'Lease Cycles'!$C$19*'Lease Cycles'!$AY$19/12,IF(DG$6&gt;='Lease Cycles'!$AV$19,'Lease Cycles'!$C$19*'Lease Cycles'!$AW$19/12,IF(DG$6&gt;='Lease Cycles'!$AT$19,'Lease Cycles'!$C$19*'Lease Cycles'!$AU$19/12,'Lease Cycles'!$C$19*INDEX('Lease Cycles'!$CB$19:$CH$19,1,DG197)*(1+INDEX('Lease Cycles'!$CI$19:$CO$19,1,DG197))^INT(INT(DG198/12)/INDEX('Lease Cycles'!$CP$19:$CV$19,1,DG197))/12)))),'Lease Cycles'!$C$19*INDEX('Lease Cycles'!$CB$19:$CH$19,1,DG197)*(1+INDEX('Lease Cycles'!$CI$19:$CO$19,1,DG197))^INT(INT(DG198/12)/INDEX('Lease Cycles'!$CP$19:$CV$19,1,DG197))/12),IF(INDEX('Lease Cycles'!$EF$19:$EL$19,1,DG197)=1,IF(AND('Lease Cycles'!$AZ$19&gt;=INDEX('Lease Cycles'!$BG$19:$BM$19,1,DG197),'Lease Cycles'!$AZ$19&lt;=DG$6),'Lease Cycles'!$C$19*'Lease Cycles'!$BA$19/12,IF(AND('Lease Cycles'!$AX$19&gt;=INDEX('Lease Cycles'!$BG$19:$BM$19,1,DG197),'Lease Cycles'!$AX$19&lt;=DG$6),'Lease Cycles'!$C$19*'Lease Cycles'!$AY$19/12,IF(AND('Lease Cycles'!$AV$19&gt;=INDEX('Lease Cycles'!$BG$19:$BM$19,1,DG197),'Lease Cycles'!$AV$19&lt;=DG$6),'Lease Cycles'!$C$19*'Lease Cycles'!$AW$19/12,IF(AND('Lease Cycles'!$AT$19&gt;=INDEX('Lease Cycles'!$BG$19:$BM$19,1,DG197),'Lease Cycles'!$AT$19&lt;=DG$6),'Lease Cycles'!$C$19*'Lease Cycles'!$AU$19/12,'Lease Cycles'!$C$19*INDEX('Lease Cycles'!$CB$19:$CH$19,1,DG197)*(1+INDEX('Lease Cycles'!$CI$19:$CO$19,1,DG197))^INT(INT(DG198/12)/INDEX('Lease Cycles'!$CP$19:$CV$19,1,DG197))/12)))),'Lease Cycles'!$C$19*INDEX('Lease Cycles'!$CB$19:$CH$19,1,DG197)*(1+INDEX('Lease Cycles'!$CI$19:$CO$19,1,DG197))^INT(INT(DG198/12)/INDEX('Lease Cycles'!$CP$19:$CV$19,1,DG197))/12))),IF('Lease Cycles'!$N$19=1,'Lease Cycles'!$C$19*'Lease Cycles'!$E$19*INDEX('Lease Cycles'!$HE$19:$HK$19,1,DG197)*(1+INDEX('Lease Cycles'!$GQ$19:$GW$19,1,DG197))^INT(INT((DG$6-INDEX('Lease Cycles'!$GJ$19:$GP$19,1,DG197))/12)/INDEX('Lease Cycles'!$GX$19:$HD$19,1,DG197))/12,0)))</f>
        <v>0</v>
      </c>
      <c r="DH200" s="28">
        <f>IF(DH197=0,IF('Lease Cycles'!$F$19&gt;0,'Lease Cycles'!$C$19*'Lease Cycles'!$E$19/12,0),IF(DH199=1,IF('Lease Cycles'!$AT$19&gt;=9999,'Lease Cycles'!$C$19*INDEX('Lease Cycles'!$CB$19:$CH$19,1,DH197)*(1+INDEX('Lease Cycles'!$CI$19:$CO$19,1,DH197))^INT(INT(DH198/12)/INDEX('Lease Cycles'!$CP$19:$CV$19,1,DH197))/12,IF(DH197=1,IF(DH198&gt;=INDEX('Lease Cycles'!$DK$19:$DQ$19,1,DH197),IF(DH$6&gt;='Lease Cycles'!$AZ$19,'Lease Cycles'!$C$19*'Lease Cycles'!$BA$19/12,IF(DH$6&gt;='Lease Cycles'!$AX$19,'Lease Cycles'!$C$19*'Lease Cycles'!$AY$19/12,IF(DH$6&gt;='Lease Cycles'!$AV$19,'Lease Cycles'!$C$19*'Lease Cycles'!$AW$19/12,IF(DH$6&gt;='Lease Cycles'!$AT$19,'Lease Cycles'!$C$19*'Lease Cycles'!$AU$19/12,'Lease Cycles'!$C$19*INDEX('Lease Cycles'!$CB$19:$CH$19,1,DH197)*(1+INDEX('Lease Cycles'!$CI$19:$CO$19,1,DH197))^INT(INT(DH198/12)/INDEX('Lease Cycles'!$CP$19:$CV$19,1,DH197))/12)))),'Lease Cycles'!$C$19*INDEX('Lease Cycles'!$CB$19:$CH$19,1,DH197)*(1+INDEX('Lease Cycles'!$CI$19:$CO$19,1,DH197))^INT(INT(DH198/12)/INDEX('Lease Cycles'!$CP$19:$CV$19,1,DH197))/12),IF(INDEX('Lease Cycles'!$EF$19:$EL$19,1,DH197)=1,IF(AND('Lease Cycles'!$AZ$19&gt;=INDEX('Lease Cycles'!$BG$19:$BM$19,1,DH197),'Lease Cycles'!$AZ$19&lt;=DH$6),'Lease Cycles'!$C$19*'Lease Cycles'!$BA$19/12,IF(AND('Lease Cycles'!$AX$19&gt;=INDEX('Lease Cycles'!$BG$19:$BM$19,1,DH197),'Lease Cycles'!$AX$19&lt;=DH$6),'Lease Cycles'!$C$19*'Lease Cycles'!$AY$19/12,IF(AND('Lease Cycles'!$AV$19&gt;=INDEX('Lease Cycles'!$BG$19:$BM$19,1,DH197),'Lease Cycles'!$AV$19&lt;=DH$6),'Lease Cycles'!$C$19*'Lease Cycles'!$AW$19/12,IF(AND('Lease Cycles'!$AT$19&gt;=INDEX('Lease Cycles'!$BG$19:$BM$19,1,DH197),'Lease Cycles'!$AT$19&lt;=DH$6),'Lease Cycles'!$C$19*'Lease Cycles'!$AU$19/12,'Lease Cycles'!$C$19*INDEX('Lease Cycles'!$CB$19:$CH$19,1,DH197)*(1+INDEX('Lease Cycles'!$CI$19:$CO$19,1,DH197))^INT(INT(DH198/12)/INDEX('Lease Cycles'!$CP$19:$CV$19,1,DH197))/12)))),'Lease Cycles'!$C$19*INDEX('Lease Cycles'!$CB$19:$CH$19,1,DH197)*(1+INDEX('Lease Cycles'!$CI$19:$CO$19,1,DH197))^INT(INT(DH198/12)/INDEX('Lease Cycles'!$CP$19:$CV$19,1,DH197))/12))),IF('Lease Cycles'!$N$19=1,'Lease Cycles'!$C$19*'Lease Cycles'!$E$19*INDEX('Lease Cycles'!$HE$19:$HK$19,1,DH197)*(1+INDEX('Lease Cycles'!$GQ$19:$GW$19,1,DH197))^INT(INT((DH$6-INDEX('Lease Cycles'!$GJ$19:$GP$19,1,DH197))/12)/INDEX('Lease Cycles'!$GX$19:$HD$19,1,DH197))/12,0)))</f>
        <v>0</v>
      </c>
      <c r="DI200" s="28">
        <f>IF(DI197=0,IF('Lease Cycles'!$F$19&gt;0,'Lease Cycles'!$C$19*'Lease Cycles'!$E$19/12,0),IF(DI199=1,IF('Lease Cycles'!$AT$19&gt;=9999,'Lease Cycles'!$C$19*INDEX('Lease Cycles'!$CB$19:$CH$19,1,DI197)*(1+INDEX('Lease Cycles'!$CI$19:$CO$19,1,DI197))^INT(INT(DI198/12)/INDEX('Lease Cycles'!$CP$19:$CV$19,1,DI197))/12,IF(DI197=1,IF(DI198&gt;=INDEX('Lease Cycles'!$DK$19:$DQ$19,1,DI197),IF(DI$6&gt;='Lease Cycles'!$AZ$19,'Lease Cycles'!$C$19*'Lease Cycles'!$BA$19/12,IF(DI$6&gt;='Lease Cycles'!$AX$19,'Lease Cycles'!$C$19*'Lease Cycles'!$AY$19/12,IF(DI$6&gt;='Lease Cycles'!$AV$19,'Lease Cycles'!$C$19*'Lease Cycles'!$AW$19/12,IF(DI$6&gt;='Lease Cycles'!$AT$19,'Lease Cycles'!$C$19*'Lease Cycles'!$AU$19/12,'Lease Cycles'!$C$19*INDEX('Lease Cycles'!$CB$19:$CH$19,1,DI197)*(1+INDEX('Lease Cycles'!$CI$19:$CO$19,1,DI197))^INT(INT(DI198/12)/INDEX('Lease Cycles'!$CP$19:$CV$19,1,DI197))/12)))),'Lease Cycles'!$C$19*INDEX('Lease Cycles'!$CB$19:$CH$19,1,DI197)*(1+INDEX('Lease Cycles'!$CI$19:$CO$19,1,DI197))^INT(INT(DI198/12)/INDEX('Lease Cycles'!$CP$19:$CV$19,1,DI197))/12),IF(INDEX('Lease Cycles'!$EF$19:$EL$19,1,DI197)=1,IF(AND('Lease Cycles'!$AZ$19&gt;=INDEX('Lease Cycles'!$BG$19:$BM$19,1,DI197),'Lease Cycles'!$AZ$19&lt;=DI$6),'Lease Cycles'!$C$19*'Lease Cycles'!$BA$19/12,IF(AND('Lease Cycles'!$AX$19&gt;=INDEX('Lease Cycles'!$BG$19:$BM$19,1,DI197),'Lease Cycles'!$AX$19&lt;=DI$6),'Lease Cycles'!$C$19*'Lease Cycles'!$AY$19/12,IF(AND('Lease Cycles'!$AV$19&gt;=INDEX('Lease Cycles'!$BG$19:$BM$19,1,DI197),'Lease Cycles'!$AV$19&lt;=DI$6),'Lease Cycles'!$C$19*'Lease Cycles'!$AW$19/12,IF(AND('Lease Cycles'!$AT$19&gt;=INDEX('Lease Cycles'!$BG$19:$BM$19,1,DI197),'Lease Cycles'!$AT$19&lt;=DI$6),'Lease Cycles'!$C$19*'Lease Cycles'!$AU$19/12,'Lease Cycles'!$C$19*INDEX('Lease Cycles'!$CB$19:$CH$19,1,DI197)*(1+INDEX('Lease Cycles'!$CI$19:$CO$19,1,DI197))^INT(INT(DI198/12)/INDEX('Lease Cycles'!$CP$19:$CV$19,1,DI197))/12)))),'Lease Cycles'!$C$19*INDEX('Lease Cycles'!$CB$19:$CH$19,1,DI197)*(1+INDEX('Lease Cycles'!$CI$19:$CO$19,1,DI197))^INT(INT(DI198/12)/INDEX('Lease Cycles'!$CP$19:$CV$19,1,DI197))/12))),IF('Lease Cycles'!$N$19=1,'Lease Cycles'!$C$19*'Lease Cycles'!$E$19*INDEX('Lease Cycles'!$HE$19:$HK$19,1,DI197)*(1+INDEX('Lease Cycles'!$GQ$19:$GW$19,1,DI197))^INT(INT((DI$6-INDEX('Lease Cycles'!$GJ$19:$GP$19,1,DI197))/12)/INDEX('Lease Cycles'!$GX$19:$HD$19,1,DI197))/12,0)))</f>
        <v>0</v>
      </c>
      <c r="DJ200" s="28">
        <f>IF(DJ197=0,IF('Lease Cycles'!$F$19&gt;0,'Lease Cycles'!$C$19*'Lease Cycles'!$E$19/12,0),IF(DJ199=1,IF('Lease Cycles'!$AT$19&gt;=9999,'Lease Cycles'!$C$19*INDEX('Lease Cycles'!$CB$19:$CH$19,1,DJ197)*(1+INDEX('Lease Cycles'!$CI$19:$CO$19,1,DJ197))^INT(INT(DJ198/12)/INDEX('Lease Cycles'!$CP$19:$CV$19,1,DJ197))/12,IF(DJ197=1,IF(DJ198&gt;=INDEX('Lease Cycles'!$DK$19:$DQ$19,1,DJ197),IF(DJ$6&gt;='Lease Cycles'!$AZ$19,'Lease Cycles'!$C$19*'Lease Cycles'!$BA$19/12,IF(DJ$6&gt;='Lease Cycles'!$AX$19,'Lease Cycles'!$C$19*'Lease Cycles'!$AY$19/12,IF(DJ$6&gt;='Lease Cycles'!$AV$19,'Lease Cycles'!$C$19*'Lease Cycles'!$AW$19/12,IF(DJ$6&gt;='Lease Cycles'!$AT$19,'Lease Cycles'!$C$19*'Lease Cycles'!$AU$19/12,'Lease Cycles'!$C$19*INDEX('Lease Cycles'!$CB$19:$CH$19,1,DJ197)*(1+INDEX('Lease Cycles'!$CI$19:$CO$19,1,DJ197))^INT(INT(DJ198/12)/INDEX('Lease Cycles'!$CP$19:$CV$19,1,DJ197))/12)))),'Lease Cycles'!$C$19*INDEX('Lease Cycles'!$CB$19:$CH$19,1,DJ197)*(1+INDEX('Lease Cycles'!$CI$19:$CO$19,1,DJ197))^INT(INT(DJ198/12)/INDEX('Lease Cycles'!$CP$19:$CV$19,1,DJ197))/12),IF(INDEX('Lease Cycles'!$EF$19:$EL$19,1,DJ197)=1,IF(AND('Lease Cycles'!$AZ$19&gt;=INDEX('Lease Cycles'!$BG$19:$BM$19,1,DJ197),'Lease Cycles'!$AZ$19&lt;=DJ$6),'Lease Cycles'!$C$19*'Lease Cycles'!$BA$19/12,IF(AND('Lease Cycles'!$AX$19&gt;=INDEX('Lease Cycles'!$BG$19:$BM$19,1,DJ197),'Lease Cycles'!$AX$19&lt;=DJ$6),'Lease Cycles'!$C$19*'Lease Cycles'!$AY$19/12,IF(AND('Lease Cycles'!$AV$19&gt;=INDEX('Lease Cycles'!$BG$19:$BM$19,1,DJ197),'Lease Cycles'!$AV$19&lt;=DJ$6),'Lease Cycles'!$C$19*'Lease Cycles'!$AW$19/12,IF(AND('Lease Cycles'!$AT$19&gt;=INDEX('Lease Cycles'!$BG$19:$BM$19,1,DJ197),'Lease Cycles'!$AT$19&lt;=DJ$6),'Lease Cycles'!$C$19*'Lease Cycles'!$AU$19/12,'Lease Cycles'!$C$19*INDEX('Lease Cycles'!$CB$19:$CH$19,1,DJ197)*(1+INDEX('Lease Cycles'!$CI$19:$CO$19,1,DJ197))^INT(INT(DJ198/12)/INDEX('Lease Cycles'!$CP$19:$CV$19,1,DJ197))/12)))),'Lease Cycles'!$C$19*INDEX('Lease Cycles'!$CB$19:$CH$19,1,DJ197)*(1+INDEX('Lease Cycles'!$CI$19:$CO$19,1,DJ197))^INT(INT(DJ198/12)/INDEX('Lease Cycles'!$CP$19:$CV$19,1,DJ197))/12))),IF('Lease Cycles'!$N$19=1,'Lease Cycles'!$C$19*'Lease Cycles'!$E$19*INDEX('Lease Cycles'!$HE$19:$HK$19,1,DJ197)*(1+INDEX('Lease Cycles'!$GQ$19:$GW$19,1,DJ197))^INT(INT((DJ$6-INDEX('Lease Cycles'!$GJ$19:$GP$19,1,DJ197))/12)/INDEX('Lease Cycles'!$GX$19:$HD$19,1,DJ197))/12,0)))</f>
        <v>0</v>
      </c>
      <c r="DK200" s="28">
        <f>IF(DK197=0,IF('Lease Cycles'!$F$19&gt;0,'Lease Cycles'!$C$19*'Lease Cycles'!$E$19/12,0),IF(DK199=1,IF('Lease Cycles'!$AT$19&gt;=9999,'Lease Cycles'!$C$19*INDEX('Lease Cycles'!$CB$19:$CH$19,1,DK197)*(1+INDEX('Lease Cycles'!$CI$19:$CO$19,1,DK197))^INT(INT(DK198/12)/INDEX('Lease Cycles'!$CP$19:$CV$19,1,DK197))/12,IF(DK197=1,IF(DK198&gt;=INDEX('Lease Cycles'!$DK$19:$DQ$19,1,DK197),IF(DK$6&gt;='Lease Cycles'!$AZ$19,'Lease Cycles'!$C$19*'Lease Cycles'!$BA$19/12,IF(DK$6&gt;='Lease Cycles'!$AX$19,'Lease Cycles'!$C$19*'Lease Cycles'!$AY$19/12,IF(DK$6&gt;='Lease Cycles'!$AV$19,'Lease Cycles'!$C$19*'Lease Cycles'!$AW$19/12,IF(DK$6&gt;='Lease Cycles'!$AT$19,'Lease Cycles'!$C$19*'Lease Cycles'!$AU$19/12,'Lease Cycles'!$C$19*INDEX('Lease Cycles'!$CB$19:$CH$19,1,DK197)*(1+INDEX('Lease Cycles'!$CI$19:$CO$19,1,DK197))^INT(INT(DK198/12)/INDEX('Lease Cycles'!$CP$19:$CV$19,1,DK197))/12)))),'Lease Cycles'!$C$19*INDEX('Lease Cycles'!$CB$19:$CH$19,1,DK197)*(1+INDEX('Lease Cycles'!$CI$19:$CO$19,1,DK197))^INT(INT(DK198/12)/INDEX('Lease Cycles'!$CP$19:$CV$19,1,DK197))/12),IF(INDEX('Lease Cycles'!$EF$19:$EL$19,1,DK197)=1,IF(AND('Lease Cycles'!$AZ$19&gt;=INDEX('Lease Cycles'!$BG$19:$BM$19,1,DK197),'Lease Cycles'!$AZ$19&lt;=DK$6),'Lease Cycles'!$C$19*'Lease Cycles'!$BA$19/12,IF(AND('Lease Cycles'!$AX$19&gt;=INDEX('Lease Cycles'!$BG$19:$BM$19,1,DK197),'Lease Cycles'!$AX$19&lt;=DK$6),'Lease Cycles'!$C$19*'Lease Cycles'!$AY$19/12,IF(AND('Lease Cycles'!$AV$19&gt;=INDEX('Lease Cycles'!$BG$19:$BM$19,1,DK197),'Lease Cycles'!$AV$19&lt;=DK$6),'Lease Cycles'!$C$19*'Lease Cycles'!$AW$19/12,IF(AND('Lease Cycles'!$AT$19&gt;=INDEX('Lease Cycles'!$BG$19:$BM$19,1,DK197),'Lease Cycles'!$AT$19&lt;=DK$6),'Lease Cycles'!$C$19*'Lease Cycles'!$AU$19/12,'Lease Cycles'!$C$19*INDEX('Lease Cycles'!$CB$19:$CH$19,1,DK197)*(1+INDEX('Lease Cycles'!$CI$19:$CO$19,1,DK197))^INT(INT(DK198/12)/INDEX('Lease Cycles'!$CP$19:$CV$19,1,DK197))/12)))),'Lease Cycles'!$C$19*INDEX('Lease Cycles'!$CB$19:$CH$19,1,DK197)*(1+INDEX('Lease Cycles'!$CI$19:$CO$19,1,DK197))^INT(INT(DK198/12)/INDEX('Lease Cycles'!$CP$19:$CV$19,1,DK197))/12))),IF('Lease Cycles'!$N$19=1,'Lease Cycles'!$C$19*'Lease Cycles'!$E$19*INDEX('Lease Cycles'!$HE$19:$HK$19,1,DK197)*(1+INDEX('Lease Cycles'!$GQ$19:$GW$19,1,DK197))^INT(INT((DK$6-INDEX('Lease Cycles'!$GJ$19:$GP$19,1,DK197))/12)/INDEX('Lease Cycles'!$GX$19:$HD$19,1,DK197))/12,0)))</f>
        <v>0</v>
      </c>
      <c r="DL200" s="28">
        <f>IF(DL197=0,IF('Lease Cycles'!$F$19&gt;0,'Lease Cycles'!$C$19*'Lease Cycles'!$E$19/12,0),IF(DL199=1,IF('Lease Cycles'!$AT$19&gt;=9999,'Lease Cycles'!$C$19*INDEX('Lease Cycles'!$CB$19:$CH$19,1,DL197)*(1+INDEX('Lease Cycles'!$CI$19:$CO$19,1,DL197))^INT(INT(DL198/12)/INDEX('Lease Cycles'!$CP$19:$CV$19,1,DL197))/12,IF(DL197=1,IF(DL198&gt;=INDEX('Lease Cycles'!$DK$19:$DQ$19,1,DL197),IF(DL$6&gt;='Lease Cycles'!$AZ$19,'Lease Cycles'!$C$19*'Lease Cycles'!$BA$19/12,IF(DL$6&gt;='Lease Cycles'!$AX$19,'Lease Cycles'!$C$19*'Lease Cycles'!$AY$19/12,IF(DL$6&gt;='Lease Cycles'!$AV$19,'Lease Cycles'!$C$19*'Lease Cycles'!$AW$19/12,IF(DL$6&gt;='Lease Cycles'!$AT$19,'Lease Cycles'!$C$19*'Lease Cycles'!$AU$19/12,'Lease Cycles'!$C$19*INDEX('Lease Cycles'!$CB$19:$CH$19,1,DL197)*(1+INDEX('Lease Cycles'!$CI$19:$CO$19,1,DL197))^INT(INT(DL198/12)/INDEX('Lease Cycles'!$CP$19:$CV$19,1,DL197))/12)))),'Lease Cycles'!$C$19*INDEX('Lease Cycles'!$CB$19:$CH$19,1,DL197)*(1+INDEX('Lease Cycles'!$CI$19:$CO$19,1,DL197))^INT(INT(DL198/12)/INDEX('Lease Cycles'!$CP$19:$CV$19,1,DL197))/12),IF(INDEX('Lease Cycles'!$EF$19:$EL$19,1,DL197)=1,IF(AND('Lease Cycles'!$AZ$19&gt;=INDEX('Lease Cycles'!$BG$19:$BM$19,1,DL197),'Lease Cycles'!$AZ$19&lt;=DL$6),'Lease Cycles'!$C$19*'Lease Cycles'!$BA$19/12,IF(AND('Lease Cycles'!$AX$19&gt;=INDEX('Lease Cycles'!$BG$19:$BM$19,1,DL197),'Lease Cycles'!$AX$19&lt;=DL$6),'Lease Cycles'!$C$19*'Lease Cycles'!$AY$19/12,IF(AND('Lease Cycles'!$AV$19&gt;=INDEX('Lease Cycles'!$BG$19:$BM$19,1,DL197),'Lease Cycles'!$AV$19&lt;=DL$6),'Lease Cycles'!$C$19*'Lease Cycles'!$AW$19/12,IF(AND('Lease Cycles'!$AT$19&gt;=INDEX('Lease Cycles'!$BG$19:$BM$19,1,DL197),'Lease Cycles'!$AT$19&lt;=DL$6),'Lease Cycles'!$C$19*'Lease Cycles'!$AU$19/12,'Lease Cycles'!$C$19*INDEX('Lease Cycles'!$CB$19:$CH$19,1,DL197)*(1+INDEX('Lease Cycles'!$CI$19:$CO$19,1,DL197))^INT(INT(DL198/12)/INDEX('Lease Cycles'!$CP$19:$CV$19,1,DL197))/12)))),'Lease Cycles'!$C$19*INDEX('Lease Cycles'!$CB$19:$CH$19,1,DL197)*(1+INDEX('Lease Cycles'!$CI$19:$CO$19,1,DL197))^INT(INT(DL198/12)/INDEX('Lease Cycles'!$CP$19:$CV$19,1,DL197))/12))),IF('Lease Cycles'!$N$19=1,'Lease Cycles'!$C$19*'Lease Cycles'!$E$19*INDEX('Lease Cycles'!$HE$19:$HK$19,1,DL197)*(1+INDEX('Lease Cycles'!$GQ$19:$GW$19,1,DL197))^INT(INT((DL$6-INDEX('Lease Cycles'!$GJ$19:$GP$19,1,DL197))/12)/INDEX('Lease Cycles'!$GX$19:$HD$19,1,DL197))/12,0)))</f>
        <v>0</v>
      </c>
      <c r="DM200" s="28">
        <f>IF(DM197=0,IF('Lease Cycles'!$F$19&gt;0,'Lease Cycles'!$C$19*'Lease Cycles'!$E$19/12,0),IF(DM199=1,IF('Lease Cycles'!$AT$19&gt;=9999,'Lease Cycles'!$C$19*INDEX('Lease Cycles'!$CB$19:$CH$19,1,DM197)*(1+INDEX('Lease Cycles'!$CI$19:$CO$19,1,DM197))^INT(INT(DM198/12)/INDEX('Lease Cycles'!$CP$19:$CV$19,1,DM197))/12,IF(DM197=1,IF(DM198&gt;=INDEX('Lease Cycles'!$DK$19:$DQ$19,1,DM197),IF(DM$6&gt;='Lease Cycles'!$AZ$19,'Lease Cycles'!$C$19*'Lease Cycles'!$BA$19/12,IF(DM$6&gt;='Lease Cycles'!$AX$19,'Lease Cycles'!$C$19*'Lease Cycles'!$AY$19/12,IF(DM$6&gt;='Lease Cycles'!$AV$19,'Lease Cycles'!$C$19*'Lease Cycles'!$AW$19/12,IF(DM$6&gt;='Lease Cycles'!$AT$19,'Lease Cycles'!$C$19*'Lease Cycles'!$AU$19/12,'Lease Cycles'!$C$19*INDEX('Lease Cycles'!$CB$19:$CH$19,1,DM197)*(1+INDEX('Lease Cycles'!$CI$19:$CO$19,1,DM197))^INT(INT(DM198/12)/INDEX('Lease Cycles'!$CP$19:$CV$19,1,DM197))/12)))),'Lease Cycles'!$C$19*INDEX('Lease Cycles'!$CB$19:$CH$19,1,DM197)*(1+INDEX('Lease Cycles'!$CI$19:$CO$19,1,DM197))^INT(INT(DM198/12)/INDEX('Lease Cycles'!$CP$19:$CV$19,1,DM197))/12),IF(INDEX('Lease Cycles'!$EF$19:$EL$19,1,DM197)=1,IF(AND('Lease Cycles'!$AZ$19&gt;=INDEX('Lease Cycles'!$BG$19:$BM$19,1,DM197),'Lease Cycles'!$AZ$19&lt;=DM$6),'Lease Cycles'!$C$19*'Lease Cycles'!$BA$19/12,IF(AND('Lease Cycles'!$AX$19&gt;=INDEX('Lease Cycles'!$BG$19:$BM$19,1,DM197),'Lease Cycles'!$AX$19&lt;=DM$6),'Lease Cycles'!$C$19*'Lease Cycles'!$AY$19/12,IF(AND('Lease Cycles'!$AV$19&gt;=INDEX('Lease Cycles'!$BG$19:$BM$19,1,DM197),'Lease Cycles'!$AV$19&lt;=DM$6),'Lease Cycles'!$C$19*'Lease Cycles'!$AW$19/12,IF(AND('Lease Cycles'!$AT$19&gt;=INDEX('Lease Cycles'!$BG$19:$BM$19,1,DM197),'Lease Cycles'!$AT$19&lt;=DM$6),'Lease Cycles'!$C$19*'Lease Cycles'!$AU$19/12,'Lease Cycles'!$C$19*INDEX('Lease Cycles'!$CB$19:$CH$19,1,DM197)*(1+INDEX('Lease Cycles'!$CI$19:$CO$19,1,DM197))^INT(INT(DM198/12)/INDEX('Lease Cycles'!$CP$19:$CV$19,1,DM197))/12)))),'Lease Cycles'!$C$19*INDEX('Lease Cycles'!$CB$19:$CH$19,1,DM197)*(1+INDEX('Lease Cycles'!$CI$19:$CO$19,1,DM197))^INT(INT(DM198/12)/INDEX('Lease Cycles'!$CP$19:$CV$19,1,DM197))/12))),IF('Lease Cycles'!$N$19=1,'Lease Cycles'!$C$19*'Lease Cycles'!$E$19*INDEX('Lease Cycles'!$HE$19:$HK$19,1,DM197)*(1+INDEX('Lease Cycles'!$GQ$19:$GW$19,1,DM197))^INT(INT((DM$6-INDEX('Lease Cycles'!$GJ$19:$GP$19,1,DM197))/12)/INDEX('Lease Cycles'!$GX$19:$HD$19,1,DM197))/12,0)))</f>
        <v>0</v>
      </c>
      <c r="DN200" s="28">
        <f>IF(DN197=0,IF('Lease Cycles'!$F$19&gt;0,'Lease Cycles'!$C$19*'Lease Cycles'!$E$19/12,0),IF(DN199=1,IF('Lease Cycles'!$AT$19&gt;=9999,'Lease Cycles'!$C$19*INDEX('Lease Cycles'!$CB$19:$CH$19,1,DN197)*(1+INDEX('Lease Cycles'!$CI$19:$CO$19,1,DN197))^INT(INT(DN198/12)/INDEX('Lease Cycles'!$CP$19:$CV$19,1,DN197))/12,IF(DN197=1,IF(DN198&gt;=INDEX('Lease Cycles'!$DK$19:$DQ$19,1,DN197),IF(DN$6&gt;='Lease Cycles'!$AZ$19,'Lease Cycles'!$C$19*'Lease Cycles'!$BA$19/12,IF(DN$6&gt;='Lease Cycles'!$AX$19,'Lease Cycles'!$C$19*'Lease Cycles'!$AY$19/12,IF(DN$6&gt;='Lease Cycles'!$AV$19,'Lease Cycles'!$C$19*'Lease Cycles'!$AW$19/12,IF(DN$6&gt;='Lease Cycles'!$AT$19,'Lease Cycles'!$C$19*'Lease Cycles'!$AU$19/12,'Lease Cycles'!$C$19*INDEX('Lease Cycles'!$CB$19:$CH$19,1,DN197)*(1+INDEX('Lease Cycles'!$CI$19:$CO$19,1,DN197))^INT(INT(DN198/12)/INDEX('Lease Cycles'!$CP$19:$CV$19,1,DN197))/12)))),'Lease Cycles'!$C$19*INDEX('Lease Cycles'!$CB$19:$CH$19,1,DN197)*(1+INDEX('Lease Cycles'!$CI$19:$CO$19,1,DN197))^INT(INT(DN198/12)/INDEX('Lease Cycles'!$CP$19:$CV$19,1,DN197))/12),IF(INDEX('Lease Cycles'!$EF$19:$EL$19,1,DN197)=1,IF(AND('Lease Cycles'!$AZ$19&gt;=INDEX('Lease Cycles'!$BG$19:$BM$19,1,DN197),'Lease Cycles'!$AZ$19&lt;=DN$6),'Lease Cycles'!$C$19*'Lease Cycles'!$BA$19/12,IF(AND('Lease Cycles'!$AX$19&gt;=INDEX('Lease Cycles'!$BG$19:$BM$19,1,DN197),'Lease Cycles'!$AX$19&lt;=DN$6),'Lease Cycles'!$C$19*'Lease Cycles'!$AY$19/12,IF(AND('Lease Cycles'!$AV$19&gt;=INDEX('Lease Cycles'!$BG$19:$BM$19,1,DN197),'Lease Cycles'!$AV$19&lt;=DN$6),'Lease Cycles'!$C$19*'Lease Cycles'!$AW$19/12,IF(AND('Lease Cycles'!$AT$19&gt;=INDEX('Lease Cycles'!$BG$19:$BM$19,1,DN197),'Lease Cycles'!$AT$19&lt;=DN$6),'Lease Cycles'!$C$19*'Lease Cycles'!$AU$19/12,'Lease Cycles'!$C$19*INDEX('Lease Cycles'!$CB$19:$CH$19,1,DN197)*(1+INDEX('Lease Cycles'!$CI$19:$CO$19,1,DN197))^INT(INT(DN198/12)/INDEX('Lease Cycles'!$CP$19:$CV$19,1,DN197))/12)))),'Lease Cycles'!$C$19*INDEX('Lease Cycles'!$CB$19:$CH$19,1,DN197)*(1+INDEX('Lease Cycles'!$CI$19:$CO$19,1,DN197))^INT(INT(DN198/12)/INDEX('Lease Cycles'!$CP$19:$CV$19,1,DN197))/12))),IF('Lease Cycles'!$N$19=1,'Lease Cycles'!$C$19*'Lease Cycles'!$E$19*INDEX('Lease Cycles'!$HE$19:$HK$19,1,DN197)*(1+INDEX('Lease Cycles'!$GQ$19:$GW$19,1,DN197))^INT(INT((DN$6-INDEX('Lease Cycles'!$GJ$19:$GP$19,1,DN197))/12)/INDEX('Lease Cycles'!$GX$19:$HD$19,1,DN197))/12,0)))</f>
        <v>0</v>
      </c>
      <c r="DO200" s="28">
        <f>IF(DO197=0,IF('Lease Cycles'!$F$19&gt;0,'Lease Cycles'!$C$19*'Lease Cycles'!$E$19/12,0),IF(DO199=1,IF('Lease Cycles'!$AT$19&gt;=9999,'Lease Cycles'!$C$19*INDEX('Lease Cycles'!$CB$19:$CH$19,1,DO197)*(1+INDEX('Lease Cycles'!$CI$19:$CO$19,1,DO197))^INT(INT(DO198/12)/INDEX('Lease Cycles'!$CP$19:$CV$19,1,DO197))/12,IF(DO197=1,IF(DO198&gt;=INDEX('Lease Cycles'!$DK$19:$DQ$19,1,DO197),IF(DO$6&gt;='Lease Cycles'!$AZ$19,'Lease Cycles'!$C$19*'Lease Cycles'!$BA$19/12,IF(DO$6&gt;='Lease Cycles'!$AX$19,'Lease Cycles'!$C$19*'Lease Cycles'!$AY$19/12,IF(DO$6&gt;='Lease Cycles'!$AV$19,'Lease Cycles'!$C$19*'Lease Cycles'!$AW$19/12,IF(DO$6&gt;='Lease Cycles'!$AT$19,'Lease Cycles'!$C$19*'Lease Cycles'!$AU$19/12,'Lease Cycles'!$C$19*INDEX('Lease Cycles'!$CB$19:$CH$19,1,DO197)*(1+INDEX('Lease Cycles'!$CI$19:$CO$19,1,DO197))^INT(INT(DO198/12)/INDEX('Lease Cycles'!$CP$19:$CV$19,1,DO197))/12)))),'Lease Cycles'!$C$19*INDEX('Lease Cycles'!$CB$19:$CH$19,1,DO197)*(1+INDEX('Lease Cycles'!$CI$19:$CO$19,1,DO197))^INT(INT(DO198/12)/INDEX('Lease Cycles'!$CP$19:$CV$19,1,DO197))/12),IF(INDEX('Lease Cycles'!$EF$19:$EL$19,1,DO197)=1,IF(AND('Lease Cycles'!$AZ$19&gt;=INDEX('Lease Cycles'!$BG$19:$BM$19,1,DO197),'Lease Cycles'!$AZ$19&lt;=DO$6),'Lease Cycles'!$C$19*'Lease Cycles'!$BA$19/12,IF(AND('Lease Cycles'!$AX$19&gt;=INDEX('Lease Cycles'!$BG$19:$BM$19,1,DO197),'Lease Cycles'!$AX$19&lt;=DO$6),'Lease Cycles'!$C$19*'Lease Cycles'!$AY$19/12,IF(AND('Lease Cycles'!$AV$19&gt;=INDEX('Lease Cycles'!$BG$19:$BM$19,1,DO197),'Lease Cycles'!$AV$19&lt;=DO$6),'Lease Cycles'!$C$19*'Lease Cycles'!$AW$19/12,IF(AND('Lease Cycles'!$AT$19&gt;=INDEX('Lease Cycles'!$BG$19:$BM$19,1,DO197),'Lease Cycles'!$AT$19&lt;=DO$6),'Lease Cycles'!$C$19*'Lease Cycles'!$AU$19/12,'Lease Cycles'!$C$19*INDEX('Lease Cycles'!$CB$19:$CH$19,1,DO197)*(1+INDEX('Lease Cycles'!$CI$19:$CO$19,1,DO197))^INT(INT(DO198/12)/INDEX('Lease Cycles'!$CP$19:$CV$19,1,DO197))/12)))),'Lease Cycles'!$C$19*INDEX('Lease Cycles'!$CB$19:$CH$19,1,DO197)*(1+INDEX('Lease Cycles'!$CI$19:$CO$19,1,DO197))^INT(INT(DO198/12)/INDEX('Lease Cycles'!$CP$19:$CV$19,1,DO197))/12))),IF('Lease Cycles'!$N$19=1,'Lease Cycles'!$C$19*'Lease Cycles'!$E$19*INDEX('Lease Cycles'!$HE$19:$HK$19,1,DO197)*(1+INDEX('Lease Cycles'!$GQ$19:$GW$19,1,DO197))^INT(INT((DO$6-INDEX('Lease Cycles'!$GJ$19:$GP$19,1,DO197))/12)/INDEX('Lease Cycles'!$GX$19:$HD$19,1,DO197))/12,0)))</f>
        <v>0</v>
      </c>
      <c r="DP200" s="28">
        <f>IF(DP197=0,IF('Lease Cycles'!$F$19&gt;0,'Lease Cycles'!$C$19*'Lease Cycles'!$E$19/12,0),IF(DP199=1,IF('Lease Cycles'!$AT$19&gt;=9999,'Lease Cycles'!$C$19*INDEX('Lease Cycles'!$CB$19:$CH$19,1,DP197)*(1+INDEX('Lease Cycles'!$CI$19:$CO$19,1,DP197))^INT(INT(DP198/12)/INDEX('Lease Cycles'!$CP$19:$CV$19,1,DP197))/12,IF(DP197=1,IF(DP198&gt;=INDEX('Lease Cycles'!$DK$19:$DQ$19,1,DP197),IF(DP$6&gt;='Lease Cycles'!$AZ$19,'Lease Cycles'!$C$19*'Lease Cycles'!$BA$19/12,IF(DP$6&gt;='Lease Cycles'!$AX$19,'Lease Cycles'!$C$19*'Lease Cycles'!$AY$19/12,IF(DP$6&gt;='Lease Cycles'!$AV$19,'Lease Cycles'!$C$19*'Lease Cycles'!$AW$19/12,IF(DP$6&gt;='Lease Cycles'!$AT$19,'Lease Cycles'!$C$19*'Lease Cycles'!$AU$19/12,'Lease Cycles'!$C$19*INDEX('Lease Cycles'!$CB$19:$CH$19,1,DP197)*(1+INDEX('Lease Cycles'!$CI$19:$CO$19,1,DP197))^INT(INT(DP198/12)/INDEX('Lease Cycles'!$CP$19:$CV$19,1,DP197))/12)))),'Lease Cycles'!$C$19*INDEX('Lease Cycles'!$CB$19:$CH$19,1,DP197)*(1+INDEX('Lease Cycles'!$CI$19:$CO$19,1,DP197))^INT(INT(DP198/12)/INDEX('Lease Cycles'!$CP$19:$CV$19,1,DP197))/12),IF(INDEX('Lease Cycles'!$EF$19:$EL$19,1,DP197)=1,IF(AND('Lease Cycles'!$AZ$19&gt;=INDEX('Lease Cycles'!$BG$19:$BM$19,1,DP197),'Lease Cycles'!$AZ$19&lt;=DP$6),'Lease Cycles'!$C$19*'Lease Cycles'!$BA$19/12,IF(AND('Lease Cycles'!$AX$19&gt;=INDEX('Lease Cycles'!$BG$19:$BM$19,1,DP197),'Lease Cycles'!$AX$19&lt;=DP$6),'Lease Cycles'!$C$19*'Lease Cycles'!$AY$19/12,IF(AND('Lease Cycles'!$AV$19&gt;=INDEX('Lease Cycles'!$BG$19:$BM$19,1,DP197),'Lease Cycles'!$AV$19&lt;=DP$6),'Lease Cycles'!$C$19*'Lease Cycles'!$AW$19/12,IF(AND('Lease Cycles'!$AT$19&gt;=INDEX('Lease Cycles'!$BG$19:$BM$19,1,DP197),'Lease Cycles'!$AT$19&lt;=DP$6),'Lease Cycles'!$C$19*'Lease Cycles'!$AU$19/12,'Lease Cycles'!$C$19*INDEX('Lease Cycles'!$CB$19:$CH$19,1,DP197)*(1+INDEX('Lease Cycles'!$CI$19:$CO$19,1,DP197))^INT(INT(DP198/12)/INDEX('Lease Cycles'!$CP$19:$CV$19,1,DP197))/12)))),'Lease Cycles'!$C$19*INDEX('Lease Cycles'!$CB$19:$CH$19,1,DP197)*(1+INDEX('Lease Cycles'!$CI$19:$CO$19,1,DP197))^INT(INT(DP198/12)/INDEX('Lease Cycles'!$CP$19:$CV$19,1,DP197))/12))),IF('Lease Cycles'!$N$19=1,'Lease Cycles'!$C$19*'Lease Cycles'!$E$19*INDEX('Lease Cycles'!$HE$19:$HK$19,1,DP197)*(1+INDEX('Lease Cycles'!$GQ$19:$GW$19,1,DP197))^INT(INT((DP$6-INDEX('Lease Cycles'!$GJ$19:$GP$19,1,DP197))/12)/INDEX('Lease Cycles'!$GX$19:$HD$19,1,DP197))/12,0)))</f>
        <v>0</v>
      </c>
      <c r="DQ200" s="28">
        <f>IF(DQ197=0,IF('Lease Cycles'!$F$19&gt;0,'Lease Cycles'!$C$19*'Lease Cycles'!$E$19/12,0),IF(DQ199=1,IF('Lease Cycles'!$AT$19&gt;=9999,'Lease Cycles'!$C$19*INDEX('Lease Cycles'!$CB$19:$CH$19,1,DQ197)*(1+INDEX('Lease Cycles'!$CI$19:$CO$19,1,DQ197))^INT(INT(DQ198/12)/INDEX('Lease Cycles'!$CP$19:$CV$19,1,DQ197))/12,IF(DQ197=1,IF(DQ198&gt;=INDEX('Lease Cycles'!$DK$19:$DQ$19,1,DQ197),IF(DQ$6&gt;='Lease Cycles'!$AZ$19,'Lease Cycles'!$C$19*'Lease Cycles'!$BA$19/12,IF(DQ$6&gt;='Lease Cycles'!$AX$19,'Lease Cycles'!$C$19*'Lease Cycles'!$AY$19/12,IF(DQ$6&gt;='Lease Cycles'!$AV$19,'Lease Cycles'!$C$19*'Lease Cycles'!$AW$19/12,IF(DQ$6&gt;='Lease Cycles'!$AT$19,'Lease Cycles'!$C$19*'Lease Cycles'!$AU$19/12,'Lease Cycles'!$C$19*INDEX('Lease Cycles'!$CB$19:$CH$19,1,DQ197)*(1+INDEX('Lease Cycles'!$CI$19:$CO$19,1,DQ197))^INT(INT(DQ198/12)/INDEX('Lease Cycles'!$CP$19:$CV$19,1,DQ197))/12)))),'Lease Cycles'!$C$19*INDEX('Lease Cycles'!$CB$19:$CH$19,1,DQ197)*(1+INDEX('Lease Cycles'!$CI$19:$CO$19,1,DQ197))^INT(INT(DQ198/12)/INDEX('Lease Cycles'!$CP$19:$CV$19,1,DQ197))/12),IF(INDEX('Lease Cycles'!$EF$19:$EL$19,1,DQ197)=1,IF(AND('Lease Cycles'!$AZ$19&gt;=INDEX('Lease Cycles'!$BG$19:$BM$19,1,DQ197),'Lease Cycles'!$AZ$19&lt;=DQ$6),'Lease Cycles'!$C$19*'Lease Cycles'!$BA$19/12,IF(AND('Lease Cycles'!$AX$19&gt;=INDEX('Lease Cycles'!$BG$19:$BM$19,1,DQ197),'Lease Cycles'!$AX$19&lt;=DQ$6),'Lease Cycles'!$C$19*'Lease Cycles'!$AY$19/12,IF(AND('Lease Cycles'!$AV$19&gt;=INDEX('Lease Cycles'!$BG$19:$BM$19,1,DQ197),'Lease Cycles'!$AV$19&lt;=DQ$6),'Lease Cycles'!$C$19*'Lease Cycles'!$AW$19/12,IF(AND('Lease Cycles'!$AT$19&gt;=INDEX('Lease Cycles'!$BG$19:$BM$19,1,DQ197),'Lease Cycles'!$AT$19&lt;=DQ$6),'Lease Cycles'!$C$19*'Lease Cycles'!$AU$19/12,'Lease Cycles'!$C$19*INDEX('Lease Cycles'!$CB$19:$CH$19,1,DQ197)*(1+INDEX('Lease Cycles'!$CI$19:$CO$19,1,DQ197))^INT(INT(DQ198/12)/INDEX('Lease Cycles'!$CP$19:$CV$19,1,DQ197))/12)))),'Lease Cycles'!$C$19*INDEX('Lease Cycles'!$CB$19:$CH$19,1,DQ197)*(1+INDEX('Lease Cycles'!$CI$19:$CO$19,1,DQ197))^INT(INT(DQ198/12)/INDEX('Lease Cycles'!$CP$19:$CV$19,1,DQ197))/12))),IF('Lease Cycles'!$N$19=1,'Lease Cycles'!$C$19*'Lease Cycles'!$E$19*INDEX('Lease Cycles'!$HE$19:$HK$19,1,DQ197)*(1+INDEX('Lease Cycles'!$GQ$19:$GW$19,1,DQ197))^INT(INT((DQ$6-INDEX('Lease Cycles'!$GJ$19:$GP$19,1,DQ197))/12)/INDEX('Lease Cycles'!$GX$19:$HD$19,1,DQ197))/12,0)))</f>
        <v>0</v>
      </c>
      <c r="DR200" s="28">
        <f>IF(DR197=0,IF('Lease Cycles'!$F$19&gt;0,'Lease Cycles'!$C$19*'Lease Cycles'!$E$19/12,0),IF(DR199=1,IF('Lease Cycles'!$AT$19&gt;=9999,'Lease Cycles'!$C$19*INDEX('Lease Cycles'!$CB$19:$CH$19,1,DR197)*(1+INDEX('Lease Cycles'!$CI$19:$CO$19,1,DR197))^INT(INT(DR198/12)/INDEX('Lease Cycles'!$CP$19:$CV$19,1,DR197))/12,IF(DR197=1,IF(DR198&gt;=INDEX('Lease Cycles'!$DK$19:$DQ$19,1,DR197),IF(DR$6&gt;='Lease Cycles'!$AZ$19,'Lease Cycles'!$C$19*'Lease Cycles'!$BA$19/12,IF(DR$6&gt;='Lease Cycles'!$AX$19,'Lease Cycles'!$C$19*'Lease Cycles'!$AY$19/12,IF(DR$6&gt;='Lease Cycles'!$AV$19,'Lease Cycles'!$C$19*'Lease Cycles'!$AW$19/12,IF(DR$6&gt;='Lease Cycles'!$AT$19,'Lease Cycles'!$C$19*'Lease Cycles'!$AU$19/12,'Lease Cycles'!$C$19*INDEX('Lease Cycles'!$CB$19:$CH$19,1,DR197)*(1+INDEX('Lease Cycles'!$CI$19:$CO$19,1,DR197))^INT(INT(DR198/12)/INDEX('Lease Cycles'!$CP$19:$CV$19,1,DR197))/12)))),'Lease Cycles'!$C$19*INDEX('Lease Cycles'!$CB$19:$CH$19,1,DR197)*(1+INDEX('Lease Cycles'!$CI$19:$CO$19,1,DR197))^INT(INT(DR198/12)/INDEX('Lease Cycles'!$CP$19:$CV$19,1,DR197))/12),IF(INDEX('Lease Cycles'!$EF$19:$EL$19,1,DR197)=1,IF(AND('Lease Cycles'!$AZ$19&gt;=INDEX('Lease Cycles'!$BG$19:$BM$19,1,DR197),'Lease Cycles'!$AZ$19&lt;=DR$6),'Lease Cycles'!$C$19*'Lease Cycles'!$BA$19/12,IF(AND('Lease Cycles'!$AX$19&gt;=INDEX('Lease Cycles'!$BG$19:$BM$19,1,DR197),'Lease Cycles'!$AX$19&lt;=DR$6),'Lease Cycles'!$C$19*'Lease Cycles'!$AY$19/12,IF(AND('Lease Cycles'!$AV$19&gt;=INDEX('Lease Cycles'!$BG$19:$BM$19,1,DR197),'Lease Cycles'!$AV$19&lt;=DR$6),'Lease Cycles'!$C$19*'Lease Cycles'!$AW$19/12,IF(AND('Lease Cycles'!$AT$19&gt;=INDEX('Lease Cycles'!$BG$19:$BM$19,1,DR197),'Lease Cycles'!$AT$19&lt;=DR$6),'Lease Cycles'!$C$19*'Lease Cycles'!$AU$19/12,'Lease Cycles'!$C$19*INDEX('Lease Cycles'!$CB$19:$CH$19,1,DR197)*(1+INDEX('Lease Cycles'!$CI$19:$CO$19,1,DR197))^INT(INT(DR198/12)/INDEX('Lease Cycles'!$CP$19:$CV$19,1,DR197))/12)))),'Lease Cycles'!$C$19*INDEX('Lease Cycles'!$CB$19:$CH$19,1,DR197)*(1+INDEX('Lease Cycles'!$CI$19:$CO$19,1,DR197))^INT(INT(DR198/12)/INDEX('Lease Cycles'!$CP$19:$CV$19,1,DR197))/12))),IF('Lease Cycles'!$N$19=1,'Lease Cycles'!$C$19*'Lease Cycles'!$E$19*INDEX('Lease Cycles'!$HE$19:$HK$19,1,DR197)*(1+INDEX('Lease Cycles'!$GQ$19:$GW$19,1,DR197))^INT(INT((DR$6-INDEX('Lease Cycles'!$GJ$19:$GP$19,1,DR197))/12)/INDEX('Lease Cycles'!$GX$19:$HD$19,1,DR197))/12,0)))</f>
        <v>0</v>
      </c>
      <c r="DS200" s="28">
        <f>IF(DS197=0,IF('Lease Cycles'!$F$19&gt;0,'Lease Cycles'!$C$19*'Lease Cycles'!$E$19/12,0),IF(DS199=1,IF('Lease Cycles'!$AT$19&gt;=9999,'Lease Cycles'!$C$19*INDEX('Lease Cycles'!$CB$19:$CH$19,1,DS197)*(1+INDEX('Lease Cycles'!$CI$19:$CO$19,1,DS197))^INT(INT(DS198/12)/INDEX('Lease Cycles'!$CP$19:$CV$19,1,DS197))/12,IF(DS197=1,IF(DS198&gt;=INDEX('Lease Cycles'!$DK$19:$DQ$19,1,DS197),IF(DS$6&gt;='Lease Cycles'!$AZ$19,'Lease Cycles'!$C$19*'Lease Cycles'!$BA$19/12,IF(DS$6&gt;='Lease Cycles'!$AX$19,'Lease Cycles'!$C$19*'Lease Cycles'!$AY$19/12,IF(DS$6&gt;='Lease Cycles'!$AV$19,'Lease Cycles'!$C$19*'Lease Cycles'!$AW$19/12,IF(DS$6&gt;='Lease Cycles'!$AT$19,'Lease Cycles'!$C$19*'Lease Cycles'!$AU$19/12,'Lease Cycles'!$C$19*INDEX('Lease Cycles'!$CB$19:$CH$19,1,DS197)*(1+INDEX('Lease Cycles'!$CI$19:$CO$19,1,DS197))^INT(INT(DS198/12)/INDEX('Lease Cycles'!$CP$19:$CV$19,1,DS197))/12)))),'Lease Cycles'!$C$19*INDEX('Lease Cycles'!$CB$19:$CH$19,1,DS197)*(1+INDEX('Lease Cycles'!$CI$19:$CO$19,1,DS197))^INT(INT(DS198/12)/INDEX('Lease Cycles'!$CP$19:$CV$19,1,DS197))/12),IF(INDEX('Lease Cycles'!$EF$19:$EL$19,1,DS197)=1,IF(AND('Lease Cycles'!$AZ$19&gt;=INDEX('Lease Cycles'!$BG$19:$BM$19,1,DS197),'Lease Cycles'!$AZ$19&lt;=DS$6),'Lease Cycles'!$C$19*'Lease Cycles'!$BA$19/12,IF(AND('Lease Cycles'!$AX$19&gt;=INDEX('Lease Cycles'!$BG$19:$BM$19,1,DS197),'Lease Cycles'!$AX$19&lt;=DS$6),'Lease Cycles'!$C$19*'Lease Cycles'!$AY$19/12,IF(AND('Lease Cycles'!$AV$19&gt;=INDEX('Lease Cycles'!$BG$19:$BM$19,1,DS197),'Lease Cycles'!$AV$19&lt;=DS$6),'Lease Cycles'!$C$19*'Lease Cycles'!$AW$19/12,IF(AND('Lease Cycles'!$AT$19&gt;=INDEX('Lease Cycles'!$BG$19:$BM$19,1,DS197),'Lease Cycles'!$AT$19&lt;=DS$6),'Lease Cycles'!$C$19*'Lease Cycles'!$AU$19/12,'Lease Cycles'!$C$19*INDEX('Lease Cycles'!$CB$19:$CH$19,1,DS197)*(1+INDEX('Lease Cycles'!$CI$19:$CO$19,1,DS197))^INT(INT(DS198/12)/INDEX('Lease Cycles'!$CP$19:$CV$19,1,DS197))/12)))),'Lease Cycles'!$C$19*INDEX('Lease Cycles'!$CB$19:$CH$19,1,DS197)*(1+INDEX('Lease Cycles'!$CI$19:$CO$19,1,DS197))^INT(INT(DS198/12)/INDEX('Lease Cycles'!$CP$19:$CV$19,1,DS197))/12))),IF('Lease Cycles'!$N$19=1,'Lease Cycles'!$C$19*'Lease Cycles'!$E$19*INDEX('Lease Cycles'!$HE$19:$HK$19,1,DS197)*(1+INDEX('Lease Cycles'!$GQ$19:$GW$19,1,DS197))^INT(INT((DS$6-INDEX('Lease Cycles'!$GJ$19:$GP$19,1,DS197))/12)/INDEX('Lease Cycles'!$GX$19:$HD$19,1,DS197))/12,0)))</f>
        <v>0</v>
      </c>
      <c r="DT200" s="28">
        <f>IF(DT197=0,IF('Lease Cycles'!$F$19&gt;0,'Lease Cycles'!$C$19*'Lease Cycles'!$E$19/12,0),IF(DT199=1,IF('Lease Cycles'!$AT$19&gt;=9999,'Lease Cycles'!$C$19*INDEX('Lease Cycles'!$CB$19:$CH$19,1,DT197)*(1+INDEX('Lease Cycles'!$CI$19:$CO$19,1,DT197))^INT(INT(DT198/12)/INDEX('Lease Cycles'!$CP$19:$CV$19,1,DT197))/12,IF(DT197=1,IF(DT198&gt;=INDEX('Lease Cycles'!$DK$19:$DQ$19,1,DT197),IF(DT$6&gt;='Lease Cycles'!$AZ$19,'Lease Cycles'!$C$19*'Lease Cycles'!$BA$19/12,IF(DT$6&gt;='Lease Cycles'!$AX$19,'Lease Cycles'!$C$19*'Lease Cycles'!$AY$19/12,IF(DT$6&gt;='Lease Cycles'!$AV$19,'Lease Cycles'!$C$19*'Lease Cycles'!$AW$19/12,IF(DT$6&gt;='Lease Cycles'!$AT$19,'Lease Cycles'!$C$19*'Lease Cycles'!$AU$19/12,'Lease Cycles'!$C$19*INDEX('Lease Cycles'!$CB$19:$CH$19,1,DT197)*(1+INDEX('Lease Cycles'!$CI$19:$CO$19,1,DT197))^INT(INT(DT198/12)/INDEX('Lease Cycles'!$CP$19:$CV$19,1,DT197))/12)))),'Lease Cycles'!$C$19*INDEX('Lease Cycles'!$CB$19:$CH$19,1,DT197)*(1+INDEX('Lease Cycles'!$CI$19:$CO$19,1,DT197))^INT(INT(DT198/12)/INDEX('Lease Cycles'!$CP$19:$CV$19,1,DT197))/12),IF(INDEX('Lease Cycles'!$EF$19:$EL$19,1,DT197)=1,IF(AND('Lease Cycles'!$AZ$19&gt;=INDEX('Lease Cycles'!$BG$19:$BM$19,1,DT197),'Lease Cycles'!$AZ$19&lt;=DT$6),'Lease Cycles'!$C$19*'Lease Cycles'!$BA$19/12,IF(AND('Lease Cycles'!$AX$19&gt;=INDEX('Lease Cycles'!$BG$19:$BM$19,1,DT197),'Lease Cycles'!$AX$19&lt;=DT$6),'Lease Cycles'!$C$19*'Lease Cycles'!$AY$19/12,IF(AND('Lease Cycles'!$AV$19&gt;=INDEX('Lease Cycles'!$BG$19:$BM$19,1,DT197),'Lease Cycles'!$AV$19&lt;=DT$6),'Lease Cycles'!$C$19*'Lease Cycles'!$AW$19/12,IF(AND('Lease Cycles'!$AT$19&gt;=INDEX('Lease Cycles'!$BG$19:$BM$19,1,DT197),'Lease Cycles'!$AT$19&lt;=DT$6),'Lease Cycles'!$C$19*'Lease Cycles'!$AU$19/12,'Lease Cycles'!$C$19*INDEX('Lease Cycles'!$CB$19:$CH$19,1,DT197)*(1+INDEX('Lease Cycles'!$CI$19:$CO$19,1,DT197))^INT(INT(DT198/12)/INDEX('Lease Cycles'!$CP$19:$CV$19,1,DT197))/12)))),'Lease Cycles'!$C$19*INDEX('Lease Cycles'!$CB$19:$CH$19,1,DT197)*(1+INDEX('Lease Cycles'!$CI$19:$CO$19,1,DT197))^INT(INT(DT198/12)/INDEX('Lease Cycles'!$CP$19:$CV$19,1,DT197))/12))),IF('Lease Cycles'!$N$19=1,'Lease Cycles'!$C$19*'Lease Cycles'!$E$19*INDEX('Lease Cycles'!$HE$19:$HK$19,1,DT197)*(1+INDEX('Lease Cycles'!$GQ$19:$GW$19,1,DT197))^INT(INT((DT$6-INDEX('Lease Cycles'!$GJ$19:$GP$19,1,DT197))/12)/INDEX('Lease Cycles'!$GX$19:$HD$19,1,DT197))/12,0)))</f>
        <v>0</v>
      </c>
      <c r="DU200" s="28">
        <f>IF(DU197=0,IF('Lease Cycles'!$F$19&gt;0,'Lease Cycles'!$C$19*'Lease Cycles'!$E$19/12,0),IF(DU199=1,IF('Lease Cycles'!$AT$19&gt;=9999,'Lease Cycles'!$C$19*INDEX('Lease Cycles'!$CB$19:$CH$19,1,DU197)*(1+INDEX('Lease Cycles'!$CI$19:$CO$19,1,DU197))^INT(INT(DU198/12)/INDEX('Lease Cycles'!$CP$19:$CV$19,1,DU197))/12,IF(DU197=1,IF(DU198&gt;=INDEX('Lease Cycles'!$DK$19:$DQ$19,1,DU197),IF(DU$6&gt;='Lease Cycles'!$AZ$19,'Lease Cycles'!$C$19*'Lease Cycles'!$BA$19/12,IF(DU$6&gt;='Lease Cycles'!$AX$19,'Lease Cycles'!$C$19*'Lease Cycles'!$AY$19/12,IF(DU$6&gt;='Lease Cycles'!$AV$19,'Lease Cycles'!$C$19*'Lease Cycles'!$AW$19/12,IF(DU$6&gt;='Lease Cycles'!$AT$19,'Lease Cycles'!$C$19*'Lease Cycles'!$AU$19/12,'Lease Cycles'!$C$19*INDEX('Lease Cycles'!$CB$19:$CH$19,1,DU197)*(1+INDEX('Lease Cycles'!$CI$19:$CO$19,1,DU197))^INT(INT(DU198/12)/INDEX('Lease Cycles'!$CP$19:$CV$19,1,DU197))/12)))),'Lease Cycles'!$C$19*INDEX('Lease Cycles'!$CB$19:$CH$19,1,DU197)*(1+INDEX('Lease Cycles'!$CI$19:$CO$19,1,DU197))^INT(INT(DU198/12)/INDEX('Lease Cycles'!$CP$19:$CV$19,1,DU197))/12),IF(INDEX('Lease Cycles'!$EF$19:$EL$19,1,DU197)=1,IF(AND('Lease Cycles'!$AZ$19&gt;=INDEX('Lease Cycles'!$BG$19:$BM$19,1,DU197),'Lease Cycles'!$AZ$19&lt;=DU$6),'Lease Cycles'!$C$19*'Lease Cycles'!$BA$19/12,IF(AND('Lease Cycles'!$AX$19&gt;=INDEX('Lease Cycles'!$BG$19:$BM$19,1,DU197),'Lease Cycles'!$AX$19&lt;=DU$6),'Lease Cycles'!$C$19*'Lease Cycles'!$AY$19/12,IF(AND('Lease Cycles'!$AV$19&gt;=INDEX('Lease Cycles'!$BG$19:$BM$19,1,DU197),'Lease Cycles'!$AV$19&lt;=DU$6),'Lease Cycles'!$C$19*'Lease Cycles'!$AW$19/12,IF(AND('Lease Cycles'!$AT$19&gt;=INDEX('Lease Cycles'!$BG$19:$BM$19,1,DU197),'Lease Cycles'!$AT$19&lt;=DU$6),'Lease Cycles'!$C$19*'Lease Cycles'!$AU$19/12,'Lease Cycles'!$C$19*INDEX('Lease Cycles'!$CB$19:$CH$19,1,DU197)*(1+INDEX('Lease Cycles'!$CI$19:$CO$19,1,DU197))^INT(INT(DU198/12)/INDEX('Lease Cycles'!$CP$19:$CV$19,1,DU197))/12)))),'Lease Cycles'!$C$19*INDEX('Lease Cycles'!$CB$19:$CH$19,1,DU197)*(1+INDEX('Lease Cycles'!$CI$19:$CO$19,1,DU197))^INT(INT(DU198/12)/INDEX('Lease Cycles'!$CP$19:$CV$19,1,DU197))/12))),IF('Lease Cycles'!$N$19=1,'Lease Cycles'!$C$19*'Lease Cycles'!$E$19*INDEX('Lease Cycles'!$HE$19:$HK$19,1,DU197)*(1+INDEX('Lease Cycles'!$GQ$19:$GW$19,1,DU197))^INT(INT((DU$6-INDEX('Lease Cycles'!$GJ$19:$GP$19,1,DU197))/12)/INDEX('Lease Cycles'!$GX$19:$HD$19,1,DU197))/12,0)))</f>
        <v>0</v>
      </c>
      <c r="DV200" s="28">
        <f>IF(DV197=0,IF('Lease Cycles'!$F$19&gt;0,'Lease Cycles'!$C$19*'Lease Cycles'!$E$19/12,0),IF(DV199=1,IF('Lease Cycles'!$AT$19&gt;=9999,'Lease Cycles'!$C$19*INDEX('Lease Cycles'!$CB$19:$CH$19,1,DV197)*(1+INDEX('Lease Cycles'!$CI$19:$CO$19,1,DV197))^INT(INT(DV198/12)/INDEX('Lease Cycles'!$CP$19:$CV$19,1,DV197))/12,IF(DV197=1,IF(DV198&gt;=INDEX('Lease Cycles'!$DK$19:$DQ$19,1,DV197),IF(DV$6&gt;='Lease Cycles'!$AZ$19,'Lease Cycles'!$C$19*'Lease Cycles'!$BA$19/12,IF(DV$6&gt;='Lease Cycles'!$AX$19,'Lease Cycles'!$C$19*'Lease Cycles'!$AY$19/12,IF(DV$6&gt;='Lease Cycles'!$AV$19,'Lease Cycles'!$C$19*'Lease Cycles'!$AW$19/12,IF(DV$6&gt;='Lease Cycles'!$AT$19,'Lease Cycles'!$C$19*'Lease Cycles'!$AU$19/12,'Lease Cycles'!$C$19*INDEX('Lease Cycles'!$CB$19:$CH$19,1,DV197)*(1+INDEX('Lease Cycles'!$CI$19:$CO$19,1,DV197))^INT(INT(DV198/12)/INDEX('Lease Cycles'!$CP$19:$CV$19,1,DV197))/12)))),'Lease Cycles'!$C$19*INDEX('Lease Cycles'!$CB$19:$CH$19,1,DV197)*(1+INDEX('Lease Cycles'!$CI$19:$CO$19,1,DV197))^INT(INT(DV198/12)/INDEX('Lease Cycles'!$CP$19:$CV$19,1,DV197))/12),IF(INDEX('Lease Cycles'!$EF$19:$EL$19,1,DV197)=1,IF(AND('Lease Cycles'!$AZ$19&gt;=INDEX('Lease Cycles'!$BG$19:$BM$19,1,DV197),'Lease Cycles'!$AZ$19&lt;=DV$6),'Lease Cycles'!$C$19*'Lease Cycles'!$BA$19/12,IF(AND('Lease Cycles'!$AX$19&gt;=INDEX('Lease Cycles'!$BG$19:$BM$19,1,DV197),'Lease Cycles'!$AX$19&lt;=DV$6),'Lease Cycles'!$C$19*'Lease Cycles'!$AY$19/12,IF(AND('Lease Cycles'!$AV$19&gt;=INDEX('Lease Cycles'!$BG$19:$BM$19,1,DV197),'Lease Cycles'!$AV$19&lt;=DV$6),'Lease Cycles'!$C$19*'Lease Cycles'!$AW$19/12,IF(AND('Lease Cycles'!$AT$19&gt;=INDEX('Lease Cycles'!$BG$19:$BM$19,1,DV197),'Lease Cycles'!$AT$19&lt;=DV$6),'Lease Cycles'!$C$19*'Lease Cycles'!$AU$19/12,'Lease Cycles'!$C$19*INDEX('Lease Cycles'!$CB$19:$CH$19,1,DV197)*(1+INDEX('Lease Cycles'!$CI$19:$CO$19,1,DV197))^INT(INT(DV198/12)/INDEX('Lease Cycles'!$CP$19:$CV$19,1,DV197))/12)))),'Lease Cycles'!$C$19*INDEX('Lease Cycles'!$CB$19:$CH$19,1,DV197)*(1+INDEX('Lease Cycles'!$CI$19:$CO$19,1,DV197))^INT(INT(DV198/12)/INDEX('Lease Cycles'!$CP$19:$CV$19,1,DV197))/12))),IF('Lease Cycles'!$N$19=1,'Lease Cycles'!$C$19*'Lease Cycles'!$E$19*INDEX('Lease Cycles'!$HE$19:$HK$19,1,DV197)*(1+INDEX('Lease Cycles'!$GQ$19:$GW$19,1,DV197))^INT(INT((DV$6-INDEX('Lease Cycles'!$GJ$19:$GP$19,1,DV197))/12)/INDEX('Lease Cycles'!$GX$19:$HD$19,1,DV197))/12,0)))</f>
        <v>0</v>
      </c>
      <c r="DW200" s="28">
        <f>IF(DW197=0,IF('Lease Cycles'!$F$19&gt;0,'Lease Cycles'!$C$19*'Lease Cycles'!$E$19/12,0),IF(DW199=1,IF('Lease Cycles'!$AT$19&gt;=9999,'Lease Cycles'!$C$19*INDEX('Lease Cycles'!$CB$19:$CH$19,1,DW197)*(1+INDEX('Lease Cycles'!$CI$19:$CO$19,1,DW197))^INT(INT(DW198/12)/INDEX('Lease Cycles'!$CP$19:$CV$19,1,DW197))/12,IF(DW197=1,IF(DW198&gt;=INDEX('Lease Cycles'!$DK$19:$DQ$19,1,DW197),IF(DW$6&gt;='Lease Cycles'!$AZ$19,'Lease Cycles'!$C$19*'Lease Cycles'!$BA$19/12,IF(DW$6&gt;='Lease Cycles'!$AX$19,'Lease Cycles'!$C$19*'Lease Cycles'!$AY$19/12,IF(DW$6&gt;='Lease Cycles'!$AV$19,'Lease Cycles'!$C$19*'Lease Cycles'!$AW$19/12,IF(DW$6&gt;='Lease Cycles'!$AT$19,'Lease Cycles'!$C$19*'Lease Cycles'!$AU$19/12,'Lease Cycles'!$C$19*INDEX('Lease Cycles'!$CB$19:$CH$19,1,DW197)*(1+INDEX('Lease Cycles'!$CI$19:$CO$19,1,DW197))^INT(INT(DW198/12)/INDEX('Lease Cycles'!$CP$19:$CV$19,1,DW197))/12)))),'Lease Cycles'!$C$19*INDEX('Lease Cycles'!$CB$19:$CH$19,1,DW197)*(1+INDEX('Lease Cycles'!$CI$19:$CO$19,1,DW197))^INT(INT(DW198/12)/INDEX('Lease Cycles'!$CP$19:$CV$19,1,DW197))/12),IF(INDEX('Lease Cycles'!$EF$19:$EL$19,1,DW197)=1,IF(AND('Lease Cycles'!$AZ$19&gt;=INDEX('Lease Cycles'!$BG$19:$BM$19,1,DW197),'Lease Cycles'!$AZ$19&lt;=DW$6),'Lease Cycles'!$C$19*'Lease Cycles'!$BA$19/12,IF(AND('Lease Cycles'!$AX$19&gt;=INDEX('Lease Cycles'!$BG$19:$BM$19,1,DW197),'Lease Cycles'!$AX$19&lt;=DW$6),'Lease Cycles'!$C$19*'Lease Cycles'!$AY$19/12,IF(AND('Lease Cycles'!$AV$19&gt;=INDEX('Lease Cycles'!$BG$19:$BM$19,1,DW197),'Lease Cycles'!$AV$19&lt;=DW$6),'Lease Cycles'!$C$19*'Lease Cycles'!$AW$19/12,IF(AND('Lease Cycles'!$AT$19&gt;=INDEX('Lease Cycles'!$BG$19:$BM$19,1,DW197),'Lease Cycles'!$AT$19&lt;=DW$6),'Lease Cycles'!$C$19*'Lease Cycles'!$AU$19/12,'Lease Cycles'!$C$19*INDEX('Lease Cycles'!$CB$19:$CH$19,1,DW197)*(1+INDEX('Lease Cycles'!$CI$19:$CO$19,1,DW197))^INT(INT(DW198/12)/INDEX('Lease Cycles'!$CP$19:$CV$19,1,DW197))/12)))),'Lease Cycles'!$C$19*INDEX('Lease Cycles'!$CB$19:$CH$19,1,DW197)*(1+INDEX('Lease Cycles'!$CI$19:$CO$19,1,DW197))^INT(INT(DW198/12)/INDEX('Lease Cycles'!$CP$19:$CV$19,1,DW197))/12))),IF('Lease Cycles'!$N$19=1,'Lease Cycles'!$C$19*'Lease Cycles'!$E$19*INDEX('Lease Cycles'!$HE$19:$HK$19,1,DW197)*(1+INDEX('Lease Cycles'!$GQ$19:$GW$19,1,DW197))^INT(INT((DW$6-INDEX('Lease Cycles'!$GJ$19:$GP$19,1,DW197))/12)/INDEX('Lease Cycles'!$GX$19:$HD$19,1,DW197))/12,0)))</f>
        <v>0</v>
      </c>
      <c r="DX200" s="28">
        <f>IF(DX197=0,IF('Lease Cycles'!$F$19&gt;0,'Lease Cycles'!$C$19*'Lease Cycles'!$E$19/12,0),IF(DX199=1,IF('Lease Cycles'!$AT$19&gt;=9999,'Lease Cycles'!$C$19*INDEX('Lease Cycles'!$CB$19:$CH$19,1,DX197)*(1+INDEX('Lease Cycles'!$CI$19:$CO$19,1,DX197))^INT(INT(DX198/12)/INDEX('Lease Cycles'!$CP$19:$CV$19,1,DX197))/12,IF(DX197=1,IF(DX198&gt;=INDEX('Lease Cycles'!$DK$19:$DQ$19,1,DX197),IF(DX$6&gt;='Lease Cycles'!$AZ$19,'Lease Cycles'!$C$19*'Lease Cycles'!$BA$19/12,IF(DX$6&gt;='Lease Cycles'!$AX$19,'Lease Cycles'!$C$19*'Lease Cycles'!$AY$19/12,IF(DX$6&gt;='Lease Cycles'!$AV$19,'Lease Cycles'!$C$19*'Lease Cycles'!$AW$19/12,IF(DX$6&gt;='Lease Cycles'!$AT$19,'Lease Cycles'!$C$19*'Lease Cycles'!$AU$19/12,'Lease Cycles'!$C$19*INDEX('Lease Cycles'!$CB$19:$CH$19,1,DX197)*(1+INDEX('Lease Cycles'!$CI$19:$CO$19,1,DX197))^INT(INT(DX198/12)/INDEX('Lease Cycles'!$CP$19:$CV$19,1,DX197))/12)))),'Lease Cycles'!$C$19*INDEX('Lease Cycles'!$CB$19:$CH$19,1,DX197)*(1+INDEX('Lease Cycles'!$CI$19:$CO$19,1,DX197))^INT(INT(DX198/12)/INDEX('Lease Cycles'!$CP$19:$CV$19,1,DX197))/12),IF(INDEX('Lease Cycles'!$EF$19:$EL$19,1,DX197)=1,IF(AND('Lease Cycles'!$AZ$19&gt;=INDEX('Lease Cycles'!$BG$19:$BM$19,1,DX197),'Lease Cycles'!$AZ$19&lt;=DX$6),'Lease Cycles'!$C$19*'Lease Cycles'!$BA$19/12,IF(AND('Lease Cycles'!$AX$19&gt;=INDEX('Lease Cycles'!$BG$19:$BM$19,1,DX197),'Lease Cycles'!$AX$19&lt;=DX$6),'Lease Cycles'!$C$19*'Lease Cycles'!$AY$19/12,IF(AND('Lease Cycles'!$AV$19&gt;=INDEX('Lease Cycles'!$BG$19:$BM$19,1,DX197),'Lease Cycles'!$AV$19&lt;=DX$6),'Lease Cycles'!$C$19*'Lease Cycles'!$AW$19/12,IF(AND('Lease Cycles'!$AT$19&gt;=INDEX('Lease Cycles'!$BG$19:$BM$19,1,DX197),'Lease Cycles'!$AT$19&lt;=DX$6),'Lease Cycles'!$C$19*'Lease Cycles'!$AU$19/12,'Lease Cycles'!$C$19*INDEX('Lease Cycles'!$CB$19:$CH$19,1,DX197)*(1+INDEX('Lease Cycles'!$CI$19:$CO$19,1,DX197))^INT(INT(DX198/12)/INDEX('Lease Cycles'!$CP$19:$CV$19,1,DX197))/12)))),'Lease Cycles'!$C$19*INDEX('Lease Cycles'!$CB$19:$CH$19,1,DX197)*(1+INDEX('Lease Cycles'!$CI$19:$CO$19,1,DX197))^INT(INT(DX198/12)/INDEX('Lease Cycles'!$CP$19:$CV$19,1,DX197))/12))),IF('Lease Cycles'!$N$19=1,'Lease Cycles'!$C$19*'Lease Cycles'!$E$19*INDEX('Lease Cycles'!$HE$19:$HK$19,1,DX197)*(1+INDEX('Lease Cycles'!$GQ$19:$GW$19,1,DX197))^INT(INT((DX$6-INDEX('Lease Cycles'!$GJ$19:$GP$19,1,DX197))/12)/INDEX('Lease Cycles'!$GX$19:$HD$19,1,DX197))/12,0)))</f>
        <v>0</v>
      </c>
      <c r="DY200" s="28">
        <f>IF(DY197=0,IF('Lease Cycles'!$F$19&gt;0,'Lease Cycles'!$C$19*'Lease Cycles'!$E$19/12,0),IF(DY199=1,IF('Lease Cycles'!$AT$19&gt;=9999,'Lease Cycles'!$C$19*INDEX('Lease Cycles'!$CB$19:$CH$19,1,DY197)*(1+INDEX('Lease Cycles'!$CI$19:$CO$19,1,DY197))^INT(INT(DY198/12)/INDEX('Lease Cycles'!$CP$19:$CV$19,1,DY197))/12,IF(DY197=1,IF(DY198&gt;=INDEX('Lease Cycles'!$DK$19:$DQ$19,1,DY197),IF(DY$6&gt;='Lease Cycles'!$AZ$19,'Lease Cycles'!$C$19*'Lease Cycles'!$BA$19/12,IF(DY$6&gt;='Lease Cycles'!$AX$19,'Lease Cycles'!$C$19*'Lease Cycles'!$AY$19/12,IF(DY$6&gt;='Lease Cycles'!$AV$19,'Lease Cycles'!$C$19*'Lease Cycles'!$AW$19/12,IF(DY$6&gt;='Lease Cycles'!$AT$19,'Lease Cycles'!$C$19*'Lease Cycles'!$AU$19/12,'Lease Cycles'!$C$19*INDEX('Lease Cycles'!$CB$19:$CH$19,1,DY197)*(1+INDEX('Lease Cycles'!$CI$19:$CO$19,1,DY197))^INT(INT(DY198/12)/INDEX('Lease Cycles'!$CP$19:$CV$19,1,DY197))/12)))),'Lease Cycles'!$C$19*INDEX('Lease Cycles'!$CB$19:$CH$19,1,DY197)*(1+INDEX('Lease Cycles'!$CI$19:$CO$19,1,DY197))^INT(INT(DY198/12)/INDEX('Lease Cycles'!$CP$19:$CV$19,1,DY197))/12),IF(INDEX('Lease Cycles'!$EF$19:$EL$19,1,DY197)=1,IF(AND('Lease Cycles'!$AZ$19&gt;=INDEX('Lease Cycles'!$BG$19:$BM$19,1,DY197),'Lease Cycles'!$AZ$19&lt;=DY$6),'Lease Cycles'!$C$19*'Lease Cycles'!$BA$19/12,IF(AND('Lease Cycles'!$AX$19&gt;=INDEX('Lease Cycles'!$BG$19:$BM$19,1,DY197),'Lease Cycles'!$AX$19&lt;=DY$6),'Lease Cycles'!$C$19*'Lease Cycles'!$AY$19/12,IF(AND('Lease Cycles'!$AV$19&gt;=INDEX('Lease Cycles'!$BG$19:$BM$19,1,DY197),'Lease Cycles'!$AV$19&lt;=DY$6),'Lease Cycles'!$C$19*'Lease Cycles'!$AW$19/12,IF(AND('Lease Cycles'!$AT$19&gt;=INDEX('Lease Cycles'!$BG$19:$BM$19,1,DY197),'Lease Cycles'!$AT$19&lt;=DY$6),'Lease Cycles'!$C$19*'Lease Cycles'!$AU$19/12,'Lease Cycles'!$C$19*INDEX('Lease Cycles'!$CB$19:$CH$19,1,DY197)*(1+INDEX('Lease Cycles'!$CI$19:$CO$19,1,DY197))^INT(INT(DY198/12)/INDEX('Lease Cycles'!$CP$19:$CV$19,1,DY197))/12)))),'Lease Cycles'!$C$19*INDEX('Lease Cycles'!$CB$19:$CH$19,1,DY197)*(1+INDEX('Lease Cycles'!$CI$19:$CO$19,1,DY197))^INT(INT(DY198/12)/INDEX('Lease Cycles'!$CP$19:$CV$19,1,DY197))/12))),IF('Lease Cycles'!$N$19=1,'Lease Cycles'!$C$19*'Lease Cycles'!$E$19*INDEX('Lease Cycles'!$HE$19:$HK$19,1,DY197)*(1+INDEX('Lease Cycles'!$GQ$19:$GW$19,1,DY197))^INT(INT((DY$6-INDEX('Lease Cycles'!$GJ$19:$GP$19,1,DY197))/12)/INDEX('Lease Cycles'!$GX$19:$HD$19,1,DY197))/12,0)))</f>
        <v>0</v>
      </c>
      <c r="DZ200" s="28">
        <f>IF(DZ197=0,IF('Lease Cycles'!$F$19&gt;0,'Lease Cycles'!$C$19*'Lease Cycles'!$E$19/12,0),IF(DZ199=1,IF('Lease Cycles'!$AT$19&gt;=9999,'Lease Cycles'!$C$19*INDEX('Lease Cycles'!$CB$19:$CH$19,1,DZ197)*(1+INDEX('Lease Cycles'!$CI$19:$CO$19,1,DZ197))^INT(INT(DZ198/12)/INDEX('Lease Cycles'!$CP$19:$CV$19,1,DZ197))/12,IF(DZ197=1,IF(DZ198&gt;=INDEX('Lease Cycles'!$DK$19:$DQ$19,1,DZ197),IF(DZ$6&gt;='Lease Cycles'!$AZ$19,'Lease Cycles'!$C$19*'Lease Cycles'!$BA$19/12,IF(DZ$6&gt;='Lease Cycles'!$AX$19,'Lease Cycles'!$C$19*'Lease Cycles'!$AY$19/12,IF(DZ$6&gt;='Lease Cycles'!$AV$19,'Lease Cycles'!$C$19*'Lease Cycles'!$AW$19/12,IF(DZ$6&gt;='Lease Cycles'!$AT$19,'Lease Cycles'!$C$19*'Lease Cycles'!$AU$19/12,'Lease Cycles'!$C$19*INDEX('Lease Cycles'!$CB$19:$CH$19,1,DZ197)*(1+INDEX('Lease Cycles'!$CI$19:$CO$19,1,DZ197))^INT(INT(DZ198/12)/INDEX('Lease Cycles'!$CP$19:$CV$19,1,DZ197))/12)))),'Lease Cycles'!$C$19*INDEX('Lease Cycles'!$CB$19:$CH$19,1,DZ197)*(1+INDEX('Lease Cycles'!$CI$19:$CO$19,1,DZ197))^INT(INT(DZ198/12)/INDEX('Lease Cycles'!$CP$19:$CV$19,1,DZ197))/12),IF(INDEX('Lease Cycles'!$EF$19:$EL$19,1,DZ197)=1,IF(AND('Lease Cycles'!$AZ$19&gt;=INDEX('Lease Cycles'!$BG$19:$BM$19,1,DZ197),'Lease Cycles'!$AZ$19&lt;=DZ$6),'Lease Cycles'!$C$19*'Lease Cycles'!$BA$19/12,IF(AND('Lease Cycles'!$AX$19&gt;=INDEX('Lease Cycles'!$BG$19:$BM$19,1,DZ197),'Lease Cycles'!$AX$19&lt;=DZ$6),'Lease Cycles'!$C$19*'Lease Cycles'!$AY$19/12,IF(AND('Lease Cycles'!$AV$19&gt;=INDEX('Lease Cycles'!$BG$19:$BM$19,1,DZ197),'Lease Cycles'!$AV$19&lt;=DZ$6),'Lease Cycles'!$C$19*'Lease Cycles'!$AW$19/12,IF(AND('Lease Cycles'!$AT$19&gt;=INDEX('Lease Cycles'!$BG$19:$BM$19,1,DZ197),'Lease Cycles'!$AT$19&lt;=DZ$6),'Lease Cycles'!$C$19*'Lease Cycles'!$AU$19/12,'Lease Cycles'!$C$19*INDEX('Lease Cycles'!$CB$19:$CH$19,1,DZ197)*(1+INDEX('Lease Cycles'!$CI$19:$CO$19,1,DZ197))^INT(INT(DZ198/12)/INDEX('Lease Cycles'!$CP$19:$CV$19,1,DZ197))/12)))),'Lease Cycles'!$C$19*INDEX('Lease Cycles'!$CB$19:$CH$19,1,DZ197)*(1+INDEX('Lease Cycles'!$CI$19:$CO$19,1,DZ197))^INT(INT(DZ198/12)/INDEX('Lease Cycles'!$CP$19:$CV$19,1,DZ197))/12))),IF('Lease Cycles'!$N$19=1,'Lease Cycles'!$C$19*'Lease Cycles'!$E$19*INDEX('Lease Cycles'!$HE$19:$HK$19,1,DZ197)*(1+INDEX('Lease Cycles'!$GQ$19:$GW$19,1,DZ197))^INT(INT((DZ$6-INDEX('Lease Cycles'!$GJ$19:$GP$19,1,DZ197))/12)/INDEX('Lease Cycles'!$GX$19:$HD$19,1,DZ197))/12,0)))</f>
        <v>0</v>
      </c>
      <c r="EA200" s="28">
        <f>IF(EA197=0,IF('Lease Cycles'!$F$19&gt;0,'Lease Cycles'!$C$19*'Lease Cycles'!$E$19/12,0),IF(EA199=1,IF('Lease Cycles'!$AT$19&gt;=9999,'Lease Cycles'!$C$19*INDEX('Lease Cycles'!$CB$19:$CH$19,1,EA197)*(1+INDEX('Lease Cycles'!$CI$19:$CO$19,1,EA197))^INT(INT(EA198/12)/INDEX('Lease Cycles'!$CP$19:$CV$19,1,EA197))/12,IF(EA197=1,IF(EA198&gt;=INDEX('Lease Cycles'!$DK$19:$DQ$19,1,EA197),IF(EA$6&gt;='Lease Cycles'!$AZ$19,'Lease Cycles'!$C$19*'Lease Cycles'!$BA$19/12,IF(EA$6&gt;='Lease Cycles'!$AX$19,'Lease Cycles'!$C$19*'Lease Cycles'!$AY$19/12,IF(EA$6&gt;='Lease Cycles'!$AV$19,'Lease Cycles'!$C$19*'Lease Cycles'!$AW$19/12,IF(EA$6&gt;='Lease Cycles'!$AT$19,'Lease Cycles'!$C$19*'Lease Cycles'!$AU$19/12,'Lease Cycles'!$C$19*INDEX('Lease Cycles'!$CB$19:$CH$19,1,EA197)*(1+INDEX('Lease Cycles'!$CI$19:$CO$19,1,EA197))^INT(INT(EA198/12)/INDEX('Lease Cycles'!$CP$19:$CV$19,1,EA197))/12)))),'Lease Cycles'!$C$19*INDEX('Lease Cycles'!$CB$19:$CH$19,1,EA197)*(1+INDEX('Lease Cycles'!$CI$19:$CO$19,1,EA197))^INT(INT(EA198/12)/INDEX('Lease Cycles'!$CP$19:$CV$19,1,EA197))/12),IF(INDEX('Lease Cycles'!$EF$19:$EL$19,1,EA197)=1,IF(AND('Lease Cycles'!$AZ$19&gt;=INDEX('Lease Cycles'!$BG$19:$BM$19,1,EA197),'Lease Cycles'!$AZ$19&lt;=EA$6),'Lease Cycles'!$C$19*'Lease Cycles'!$BA$19/12,IF(AND('Lease Cycles'!$AX$19&gt;=INDEX('Lease Cycles'!$BG$19:$BM$19,1,EA197),'Lease Cycles'!$AX$19&lt;=EA$6),'Lease Cycles'!$C$19*'Lease Cycles'!$AY$19/12,IF(AND('Lease Cycles'!$AV$19&gt;=INDEX('Lease Cycles'!$BG$19:$BM$19,1,EA197),'Lease Cycles'!$AV$19&lt;=EA$6),'Lease Cycles'!$C$19*'Lease Cycles'!$AW$19/12,IF(AND('Lease Cycles'!$AT$19&gt;=INDEX('Lease Cycles'!$BG$19:$BM$19,1,EA197),'Lease Cycles'!$AT$19&lt;=EA$6),'Lease Cycles'!$C$19*'Lease Cycles'!$AU$19/12,'Lease Cycles'!$C$19*INDEX('Lease Cycles'!$CB$19:$CH$19,1,EA197)*(1+INDEX('Lease Cycles'!$CI$19:$CO$19,1,EA197))^INT(INT(EA198/12)/INDEX('Lease Cycles'!$CP$19:$CV$19,1,EA197))/12)))),'Lease Cycles'!$C$19*INDEX('Lease Cycles'!$CB$19:$CH$19,1,EA197)*(1+INDEX('Lease Cycles'!$CI$19:$CO$19,1,EA197))^INT(INT(EA198/12)/INDEX('Lease Cycles'!$CP$19:$CV$19,1,EA197))/12))),IF('Lease Cycles'!$N$19=1,'Lease Cycles'!$C$19*'Lease Cycles'!$E$19*INDEX('Lease Cycles'!$HE$19:$HK$19,1,EA197)*(1+INDEX('Lease Cycles'!$GQ$19:$GW$19,1,EA197))^INT(INT((EA$6-INDEX('Lease Cycles'!$GJ$19:$GP$19,1,EA197))/12)/INDEX('Lease Cycles'!$GX$19:$HD$19,1,EA197))/12,0)))</f>
        <v>0</v>
      </c>
      <c r="EB200" s="28">
        <f>IF(EB197=0,IF('Lease Cycles'!$F$19&gt;0,'Lease Cycles'!$C$19*'Lease Cycles'!$E$19/12,0),IF(EB199=1,IF('Lease Cycles'!$AT$19&gt;=9999,'Lease Cycles'!$C$19*INDEX('Lease Cycles'!$CB$19:$CH$19,1,EB197)*(1+INDEX('Lease Cycles'!$CI$19:$CO$19,1,EB197))^INT(INT(EB198/12)/INDEX('Lease Cycles'!$CP$19:$CV$19,1,EB197))/12,IF(EB197=1,IF(EB198&gt;=INDEX('Lease Cycles'!$DK$19:$DQ$19,1,EB197),IF(EB$6&gt;='Lease Cycles'!$AZ$19,'Lease Cycles'!$C$19*'Lease Cycles'!$BA$19/12,IF(EB$6&gt;='Lease Cycles'!$AX$19,'Lease Cycles'!$C$19*'Lease Cycles'!$AY$19/12,IF(EB$6&gt;='Lease Cycles'!$AV$19,'Lease Cycles'!$C$19*'Lease Cycles'!$AW$19/12,IF(EB$6&gt;='Lease Cycles'!$AT$19,'Lease Cycles'!$C$19*'Lease Cycles'!$AU$19/12,'Lease Cycles'!$C$19*INDEX('Lease Cycles'!$CB$19:$CH$19,1,EB197)*(1+INDEX('Lease Cycles'!$CI$19:$CO$19,1,EB197))^INT(INT(EB198/12)/INDEX('Lease Cycles'!$CP$19:$CV$19,1,EB197))/12)))),'Lease Cycles'!$C$19*INDEX('Lease Cycles'!$CB$19:$CH$19,1,EB197)*(1+INDEX('Lease Cycles'!$CI$19:$CO$19,1,EB197))^INT(INT(EB198/12)/INDEX('Lease Cycles'!$CP$19:$CV$19,1,EB197))/12),IF(INDEX('Lease Cycles'!$EF$19:$EL$19,1,EB197)=1,IF(AND('Lease Cycles'!$AZ$19&gt;=INDEX('Lease Cycles'!$BG$19:$BM$19,1,EB197),'Lease Cycles'!$AZ$19&lt;=EB$6),'Lease Cycles'!$C$19*'Lease Cycles'!$BA$19/12,IF(AND('Lease Cycles'!$AX$19&gt;=INDEX('Lease Cycles'!$BG$19:$BM$19,1,EB197),'Lease Cycles'!$AX$19&lt;=EB$6),'Lease Cycles'!$C$19*'Lease Cycles'!$AY$19/12,IF(AND('Lease Cycles'!$AV$19&gt;=INDEX('Lease Cycles'!$BG$19:$BM$19,1,EB197),'Lease Cycles'!$AV$19&lt;=EB$6),'Lease Cycles'!$C$19*'Lease Cycles'!$AW$19/12,IF(AND('Lease Cycles'!$AT$19&gt;=INDEX('Lease Cycles'!$BG$19:$BM$19,1,EB197),'Lease Cycles'!$AT$19&lt;=EB$6),'Lease Cycles'!$C$19*'Lease Cycles'!$AU$19/12,'Lease Cycles'!$C$19*INDEX('Lease Cycles'!$CB$19:$CH$19,1,EB197)*(1+INDEX('Lease Cycles'!$CI$19:$CO$19,1,EB197))^INT(INT(EB198/12)/INDEX('Lease Cycles'!$CP$19:$CV$19,1,EB197))/12)))),'Lease Cycles'!$C$19*INDEX('Lease Cycles'!$CB$19:$CH$19,1,EB197)*(1+INDEX('Lease Cycles'!$CI$19:$CO$19,1,EB197))^INT(INT(EB198/12)/INDEX('Lease Cycles'!$CP$19:$CV$19,1,EB197))/12))),IF('Lease Cycles'!$N$19=1,'Lease Cycles'!$C$19*'Lease Cycles'!$E$19*INDEX('Lease Cycles'!$HE$19:$HK$19,1,EB197)*(1+INDEX('Lease Cycles'!$GQ$19:$GW$19,1,EB197))^INT(INT((EB$6-INDEX('Lease Cycles'!$GJ$19:$GP$19,1,EB197))/12)/INDEX('Lease Cycles'!$GX$19:$HD$19,1,EB197))/12,0)))</f>
        <v>0</v>
      </c>
      <c r="EC200" s="28">
        <f>IF(EC197=0,IF('Lease Cycles'!$F$19&gt;0,'Lease Cycles'!$C$19*'Lease Cycles'!$E$19/12,0),IF(EC199=1,IF('Lease Cycles'!$AT$19&gt;=9999,'Lease Cycles'!$C$19*INDEX('Lease Cycles'!$CB$19:$CH$19,1,EC197)*(1+INDEX('Lease Cycles'!$CI$19:$CO$19,1,EC197))^INT(INT(EC198/12)/INDEX('Lease Cycles'!$CP$19:$CV$19,1,EC197))/12,IF(EC197=1,IF(EC198&gt;=INDEX('Lease Cycles'!$DK$19:$DQ$19,1,EC197),IF(EC$6&gt;='Lease Cycles'!$AZ$19,'Lease Cycles'!$C$19*'Lease Cycles'!$BA$19/12,IF(EC$6&gt;='Lease Cycles'!$AX$19,'Lease Cycles'!$C$19*'Lease Cycles'!$AY$19/12,IF(EC$6&gt;='Lease Cycles'!$AV$19,'Lease Cycles'!$C$19*'Lease Cycles'!$AW$19/12,IF(EC$6&gt;='Lease Cycles'!$AT$19,'Lease Cycles'!$C$19*'Lease Cycles'!$AU$19/12,'Lease Cycles'!$C$19*INDEX('Lease Cycles'!$CB$19:$CH$19,1,EC197)*(1+INDEX('Lease Cycles'!$CI$19:$CO$19,1,EC197))^INT(INT(EC198/12)/INDEX('Lease Cycles'!$CP$19:$CV$19,1,EC197))/12)))),'Lease Cycles'!$C$19*INDEX('Lease Cycles'!$CB$19:$CH$19,1,EC197)*(1+INDEX('Lease Cycles'!$CI$19:$CO$19,1,EC197))^INT(INT(EC198/12)/INDEX('Lease Cycles'!$CP$19:$CV$19,1,EC197))/12),IF(INDEX('Lease Cycles'!$EF$19:$EL$19,1,EC197)=1,IF(AND('Lease Cycles'!$AZ$19&gt;=INDEX('Lease Cycles'!$BG$19:$BM$19,1,EC197),'Lease Cycles'!$AZ$19&lt;=EC$6),'Lease Cycles'!$C$19*'Lease Cycles'!$BA$19/12,IF(AND('Lease Cycles'!$AX$19&gt;=INDEX('Lease Cycles'!$BG$19:$BM$19,1,EC197),'Lease Cycles'!$AX$19&lt;=EC$6),'Lease Cycles'!$C$19*'Lease Cycles'!$AY$19/12,IF(AND('Lease Cycles'!$AV$19&gt;=INDEX('Lease Cycles'!$BG$19:$BM$19,1,EC197),'Lease Cycles'!$AV$19&lt;=EC$6),'Lease Cycles'!$C$19*'Lease Cycles'!$AW$19/12,IF(AND('Lease Cycles'!$AT$19&gt;=INDEX('Lease Cycles'!$BG$19:$BM$19,1,EC197),'Lease Cycles'!$AT$19&lt;=EC$6),'Lease Cycles'!$C$19*'Lease Cycles'!$AU$19/12,'Lease Cycles'!$C$19*INDEX('Lease Cycles'!$CB$19:$CH$19,1,EC197)*(1+INDEX('Lease Cycles'!$CI$19:$CO$19,1,EC197))^INT(INT(EC198/12)/INDEX('Lease Cycles'!$CP$19:$CV$19,1,EC197))/12)))),'Lease Cycles'!$C$19*INDEX('Lease Cycles'!$CB$19:$CH$19,1,EC197)*(1+INDEX('Lease Cycles'!$CI$19:$CO$19,1,EC197))^INT(INT(EC198/12)/INDEX('Lease Cycles'!$CP$19:$CV$19,1,EC197))/12))),IF('Lease Cycles'!$N$19=1,'Lease Cycles'!$C$19*'Lease Cycles'!$E$19*INDEX('Lease Cycles'!$HE$19:$HK$19,1,EC197)*(1+INDEX('Lease Cycles'!$GQ$19:$GW$19,1,EC197))^INT(INT((EC$6-INDEX('Lease Cycles'!$GJ$19:$GP$19,1,EC197))/12)/INDEX('Lease Cycles'!$GX$19:$HD$19,1,EC197))/12,0)))</f>
        <v>0</v>
      </c>
      <c r="ED200" s="28">
        <f>IF(ED197=0,IF('Lease Cycles'!$F$19&gt;0,'Lease Cycles'!$C$19*'Lease Cycles'!$E$19/12,0),IF(ED199=1,IF('Lease Cycles'!$AT$19&gt;=9999,'Lease Cycles'!$C$19*INDEX('Lease Cycles'!$CB$19:$CH$19,1,ED197)*(1+INDEX('Lease Cycles'!$CI$19:$CO$19,1,ED197))^INT(INT(ED198/12)/INDEX('Lease Cycles'!$CP$19:$CV$19,1,ED197))/12,IF(ED197=1,IF(ED198&gt;=INDEX('Lease Cycles'!$DK$19:$DQ$19,1,ED197),IF(ED$6&gt;='Lease Cycles'!$AZ$19,'Lease Cycles'!$C$19*'Lease Cycles'!$BA$19/12,IF(ED$6&gt;='Lease Cycles'!$AX$19,'Lease Cycles'!$C$19*'Lease Cycles'!$AY$19/12,IF(ED$6&gt;='Lease Cycles'!$AV$19,'Lease Cycles'!$C$19*'Lease Cycles'!$AW$19/12,IF(ED$6&gt;='Lease Cycles'!$AT$19,'Lease Cycles'!$C$19*'Lease Cycles'!$AU$19/12,'Lease Cycles'!$C$19*INDEX('Lease Cycles'!$CB$19:$CH$19,1,ED197)*(1+INDEX('Lease Cycles'!$CI$19:$CO$19,1,ED197))^INT(INT(ED198/12)/INDEX('Lease Cycles'!$CP$19:$CV$19,1,ED197))/12)))),'Lease Cycles'!$C$19*INDEX('Lease Cycles'!$CB$19:$CH$19,1,ED197)*(1+INDEX('Lease Cycles'!$CI$19:$CO$19,1,ED197))^INT(INT(ED198/12)/INDEX('Lease Cycles'!$CP$19:$CV$19,1,ED197))/12),IF(INDEX('Lease Cycles'!$EF$19:$EL$19,1,ED197)=1,IF(AND('Lease Cycles'!$AZ$19&gt;=INDEX('Lease Cycles'!$BG$19:$BM$19,1,ED197),'Lease Cycles'!$AZ$19&lt;=ED$6),'Lease Cycles'!$C$19*'Lease Cycles'!$BA$19/12,IF(AND('Lease Cycles'!$AX$19&gt;=INDEX('Lease Cycles'!$BG$19:$BM$19,1,ED197),'Lease Cycles'!$AX$19&lt;=ED$6),'Lease Cycles'!$C$19*'Lease Cycles'!$AY$19/12,IF(AND('Lease Cycles'!$AV$19&gt;=INDEX('Lease Cycles'!$BG$19:$BM$19,1,ED197),'Lease Cycles'!$AV$19&lt;=ED$6),'Lease Cycles'!$C$19*'Lease Cycles'!$AW$19/12,IF(AND('Lease Cycles'!$AT$19&gt;=INDEX('Lease Cycles'!$BG$19:$BM$19,1,ED197),'Lease Cycles'!$AT$19&lt;=ED$6),'Lease Cycles'!$C$19*'Lease Cycles'!$AU$19/12,'Lease Cycles'!$C$19*INDEX('Lease Cycles'!$CB$19:$CH$19,1,ED197)*(1+INDEX('Lease Cycles'!$CI$19:$CO$19,1,ED197))^INT(INT(ED198/12)/INDEX('Lease Cycles'!$CP$19:$CV$19,1,ED197))/12)))),'Lease Cycles'!$C$19*INDEX('Lease Cycles'!$CB$19:$CH$19,1,ED197)*(1+INDEX('Lease Cycles'!$CI$19:$CO$19,1,ED197))^INT(INT(ED198/12)/INDEX('Lease Cycles'!$CP$19:$CV$19,1,ED197))/12))),IF('Lease Cycles'!$N$19=1,'Lease Cycles'!$C$19*'Lease Cycles'!$E$19*INDEX('Lease Cycles'!$HE$19:$HK$19,1,ED197)*(1+INDEX('Lease Cycles'!$GQ$19:$GW$19,1,ED197))^INT(INT((ED$6-INDEX('Lease Cycles'!$GJ$19:$GP$19,1,ED197))/12)/INDEX('Lease Cycles'!$GX$19:$HD$19,1,ED197))/12,0)))</f>
        <v>0</v>
      </c>
      <c r="EE200" s="28">
        <f>IF(EE197=0,IF('Lease Cycles'!$F$19&gt;0,'Lease Cycles'!$C$19*'Lease Cycles'!$E$19/12,0),IF(EE199=1,IF('Lease Cycles'!$AT$19&gt;=9999,'Lease Cycles'!$C$19*INDEX('Lease Cycles'!$CB$19:$CH$19,1,EE197)*(1+INDEX('Lease Cycles'!$CI$19:$CO$19,1,EE197))^INT(INT(EE198/12)/INDEX('Lease Cycles'!$CP$19:$CV$19,1,EE197))/12,IF(EE197=1,IF(EE198&gt;=INDEX('Lease Cycles'!$DK$19:$DQ$19,1,EE197),IF(EE$6&gt;='Lease Cycles'!$AZ$19,'Lease Cycles'!$C$19*'Lease Cycles'!$BA$19/12,IF(EE$6&gt;='Lease Cycles'!$AX$19,'Lease Cycles'!$C$19*'Lease Cycles'!$AY$19/12,IF(EE$6&gt;='Lease Cycles'!$AV$19,'Lease Cycles'!$C$19*'Lease Cycles'!$AW$19/12,IF(EE$6&gt;='Lease Cycles'!$AT$19,'Lease Cycles'!$C$19*'Lease Cycles'!$AU$19/12,'Lease Cycles'!$C$19*INDEX('Lease Cycles'!$CB$19:$CH$19,1,EE197)*(1+INDEX('Lease Cycles'!$CI$19:$CO$19,1,EE197))^INT(INT(EE198/12)/INDEX('Lease Cycles'!$CP$19:$CV$19,1,EE197))/12)))),'Lease Cycles'!$C$19*INDEX('Lease Cycles'!$CB$19:$CH$19,1,EE197)*(1+INDEX('Lease Cycles'!$CI$19:$CO$19,1,EE197))^INT(INT(EE198/12)/INDEX('Lease Cycles'!$CP$19:$CV$19,1,EE197))/12),IF(INDEX('Lease Cycles'!$EF$19:$EL$19,1,EE197)=1,IF(AND('Lease Cycles'!$AZ$19&gt;=INDEX('Lease Cycles'!$BG$19:$BM$19,1,EE197),'Lease Cycles'!$AZ$19&lt;=EE$6),'Lease Cycles'!$C$19*'Lease Cycles'!$BA$19/12,IF(AND('Lease Cycles'!$AX$19&gt;=INDEX('Lease Cycles'!$BG$19:$BM$19,1,EE197),'Lease Cycles'!$AX$19&lt;=EE$6),'Lease Cycles'!$C$19*'Lease Cycles'!$AY$19/12,IF(AND('Lease Cycles'!$AV$19&gt;=INDEX('Lease Cycles'!$BG$19:$BM$19,1,EE197),'Lease Cycles'!$AV$19&lt;=EE$6),'Lease Cycles'!$C$19*'Lease Cycles'!$AW$19/12,IF(AND('Lease Cycles'!$AT$19&gt;=INDEX('Lease Cycles'!$BG$19:$BM$19,1,EE197),'Lease Cycles'!$AT$19&lt;=EE$6),'Lease Cycles'!$C$19*'Lease Cycles'!$AU$19/12,'Lease Cycles'!$C$19*INDEX('Lease Cycles'!$CB$19:$CH$19,1,EE197)*(1+INDEX('Lease Cycles'!$CI$19:$CO$19,1,EE197))^INT(INT(EE198/12)/INDEX('Lease Cycles'!$CP$19:$CV$19,1,EE197))/12)))),'Lease Cycles'!$C$19*INDEX('Lease Cycles'!$CB$19:$CH$19,1,EE197)*(1+INDEX('Lease Cycles'!$CI$19:$CO$19,1,EE197))^INT(INT(EE198/12)/INDEX('Lease Cycles'!$CP$19:$CV$19,1,EE197))/12))),IF('Lease Cycles'!$N$19=1,'Lease Cycles'!$C$19*'Lease Cycles'!$E$19*INDEX('Lease Cycles'!$HE$19:$HK$19,1,EE197)*(1+INDEX('Lease Cycles'!$GQ$19:$GW$19,1,EE197))^INT(INT((EE$6-INDEX('Lease Cycles'!$GJ$19:$GP$19,1,EE197))/12)/INDEX('Lease Cycles'!$GX$19:$HD$19,1,EE197))/12,0)))</f>
        <v>0</v>
      </c>
      <c r="EF200" s="28">
        <f>IF(EF197=0,IF('Lease Cycles'!$F$19&gt;0,'Lease Cycles'!$C$19*'Lease Cycles'!$E$19/12,0),IF(EF199=1,IF('Lease Cycles'!$AT$19&gt;=9999,'Lease Cycles'!$C$19*INDEX('Lease Cycles'!$CB$19:$CH$19,1,EF197)*(1+INDEX('Lease Cycles'!$CI$19:$CO$19,1,EF197))^INT(INT(EF198/12)/INDEX('Lease Cycles'!$CP$19:$CV$19,1,EF197))/12,IF(EF197=1,IF(EF198&gt;=INDEX('Lease Cycles'!$DK$19:$DQ$19,1,EF197),IF(EF$6&gt;='Lease Cycles'!$AZ$19,'Lease Cycles'!$C$19*'Lease Cycles'!$BA$19/12,IF(EF$6&gt;='Lease Cycles'!$AX$19,'Lease Cycles'!$C$19*'Lease Cycles'!$AY$19/12,IF(EF$6&gt;='Lease Cycles'!$AV$19,'Lease Cycles'!$C$19*'Lease Cycles'!$AW$19/12,IF(EF$6&gt;='Lease Cycles'!$AT$19,'Lease Cycles'!$C$19*'Lease Cycles'!$AU$19/12,'Lease Cycles'!$C$19*INDEX('Lease Cycles'!$CB$19:$CH$19,1,EF197)*(1+INDEX('Lease Cycles'!$CI$19:$CO$19,1,EF197))^INT(INT(EF198/12)/INDEX('Lease Cycles'!$CP$19:$CV$19,1,EF197))/12)))),'Lease Cycles'!$C$19*INDEX('Lease Cycles'!$CB$19:$CH$19,1,EF197)*(1+INDEX('Lease Cycles'!$CI$19:$CO$19,1,EF197))^INT(INT(EF198/12)/INDEX('Lease Cycles'!$CP$19:$CV$19,1,EF197))/12),IF(INDEX('Lease Cycles'!$EF$19:$EL$19,1,EF197)=1,IF(AND('Lease Cycles'!$AZ$19&gt;=INDEX('Lease Cycles'!$BG$19:$BM$19,1,EF197),'Lease Cycles'!$AZ$19&lt;=EF$6),'Lease Cycles'!$C$19*'Lease Cycles'!$BA$19/12,IF(AND('Lease Cycles'!$AX$19&gt;=INDEX('Lease Cycles'!$BG$19:$BM$19,1,EF197),'Lease Cycles'!$AX$19&lt;=EF$6),'Lease Cycles'!$C$19*'Lease Cycles'!$AY$19/12,IF(AND('Lease Cycles'!$AV$19&gt;=INDEX('Lease Cycles'!$BG$19:$BM$19,1,EF197),'Lease Cycles'!$AV$19&lt;=EF$6),'Lease Cycles'!$C$19*'Lease Cycles'!$AW$19/12,IF(AND('Lease Cycles'!$AT$19&gt;=INDEX('Lease Cycles'!$BG$19:$BM$19,1,EF197),'Lease Cycles'!$AT$19&lt;=EF$6),'Lease Cycles'!$C$19*'Lease Cycles'!$AU$19/12,'Lease Cycles'!$C$19*INDEX('Lease Cycles'!$CB$19:$CH$19,1,EF197)*(1+INDEX('Lease Cycles'!$CI$19:$CO$19,1,EF197))^INT(INT(EF198/12)/INDEX('Lease Cycles'!$CP$19:$CV$19,1,EF197))/12)))),'Lease Cycles'!$C$19*INDEX('Lease Cycles'!$CB$19:$CH$19,1,EF197)*(1+INDEX('Lease Cycles'!$CI$19:$CO$19,1,EF197))^INT(INT(EF198/12)/INDEX('Lease Cycles'!$CP$19:$CV$19,1,EF197))/12))),IF('Lease Cycles'!$N$19=1,'Lease Cycles'!$C$19*'Lease Cycles'!$E$19*INDEX('Lease Cycles'!$HE$19:$HK$19,1,EF197)*(1+INDEX('Lease Cycles'!$GQ$19:$GW$19,1,EF197))^INT(INT((EF$6-INDEX('Lease Cycles'!$GJ$19:$GP$19,1,EF197))/12)/INDEX('Lease Cycles'!$GX$19:$HD$19,1,EF197))/12,0)))</f>
        <v>0</v>
      </c>
      <c r="EG200" s="28">
        <f>IF(EG197=0,IF('Lease Cycles'!$F$19&gt;0,'Lease Cycles'!$C$19*'Lease Cycles'!$E$19/12,0),IF(EG199=1,IF('Lease Cycles'!$AT$19&gt;=9999,'Lease Cycles'!$C$19*INDEX('Lease Cycles'!$CB$19:$CH$19,1,EG197)*(1+INDEX('Lease Cycles'!$CI$19:$CO$19,1,EG197))^INT(INT(EG198/12)/INDEX('Lease Cycles'!$CP$19:$CV$19,1,EG197))/12,IF(EG197=1,IF(EG198&gt;=INDEX('Lease Cycles'!$DK$19:$DQ$19,1,EG197),IF(EG$6&gt;='Lease Cycles'!$AZ$19,'Lease Cycles'!$C$19*'Lease Cycles'!$BA$19/12,IF(EG$6&gt;='Lease Cycles'!$AX$19,'Lease Cycles'!$C$19*'Lease Cycles'!$AY$19/12,IF(EG$6&gt;='Lease Cycles'!$AV$19,'Lease Cycles'!$C$19*'Lease Cycles'!$AW$19/12,IF(EG$6&gt;='Lease Cycles'!$AT$19,'Lease Cycles'!$C$19*'Lease Cycles'!$AU$19/12,'Lease Cycles'!$C$19*INDEX('Lease Cycles'!$CB$19:$CH$19,1,EG197)*(1+INDEX('Lease Cycles'!$CI$19:$CO$19,1,EG197))^INT(INT(EG198/12)/INDEX('Lease Cycles'!$CP$19:$CV$19,1,EG197))/12)))),'Lease Cycles'!$C$19*INDEX('Lease Cycles'!$CB$19:$CH$19,1,EG197)*(1+INDEX('Lease Cycles'!$CI$19:$CO$19,1,EG197))^INT(INT(EG198/12)/INDEX('Lease Cycles'!$CP$19:$CV$19,1,EG197))/12),IF(INDEX('Lease Cycles'!$EF$19:$EL$19,1,EG197)=1,IF(AND('Lease Cycles'!$AZ$19&gt;=INDEX('Lease Cycles'!$BG$19:$BM$19,1,EG197),'Lease Cycles'!$AZ$19&lt;=EG$6),'Lease Cycles'!$C$19*'Lease Cycles'!$BA$19/12,IF(AND('Lease Cycles'!$AX$19&gt;=INDEX('Lease Cycles'!$BG$19:$BM$19,1,EG197),'Lease Cycles'!$AX$19&lt;=EG$6),'Lease Cycles'!$C$19*'Lease Cycles'!$AY$19/12,IF(AND('Lease Cycles'!$AV$19&gt;=INDEX('Lease Cycles'!$BG$19:$BM$19,1,EG197),'Lease Cycles'!$AV$19&lt;=EG$6),'Lease Cycles'!$C$19*'Lease Cycles'!$AW$19/12,IF(AND('Lease Cycles'!$AT$19&gt;=INDEX('Lease Cycles'!$BG$19:$BM$19,1,EG197),'Lease Cycles'!$AT$19&lt;=EG$6),'Lease Cycles'!$C$19*'Lease Cycles'!$AU$19/12,'Lease Cycles'!$C$19*INDEX('Lease Cycles'!$CB$19:$CH$19,1,EG197)*(1+INDEX('Lease Cycles'!$CI$19:$CO$19,1,EG197))^INT(INT(EG198/12)/INDEX('Lease Cycles'!$CP$19:$CV$19,1,EG197))/12)))),'Lease Cycles'!$C$19*INDEX('Lease Cycles'!$CB$19:$CH$19,1,EG197)*(1+INDEX('Lease Cycles'!$CI$19:$CO$19,1,EG197))^INT(INT(EG198/12)/INDEX('Lease Cycles'!$CP$19:$CV$19,1,EG197))/12))),IF('Lease Cycles'!$N$19=1,'Lease Cycles'!$C$19*'Lease Cycles'!$E$19*INDEX('Lease Cycles'!$HE$19:$HK$19,1,EG197)*(1+INDEX('Lease Cycles'!$GQ$19:$GW$19,1,EG197))^INT(INT((EG$6-INDEX('Lease Cycles'!$GJ$19:$GP$19,1,EG197))/12)/INDEX('Lease Cycles'!$GX$19:$HD$19,1,EG197))/12,0)))</f>
        <v>0</v>
      </c>
      <c r="EH200" s="28">
        <f>IF(EH197=0,IF('Lease Cycles'!$F$19&gt;0,'Lease Cycles'!$C$19*'Lease Cycles'!$E$19/12,0),IF(EH199=1,IF('Lease Cycles'!$AT$19&gt;=9999,'Lease Cycles'!$C$19*INDEX('Lease Cycles'!$CB$19:$CH$19,1,EH197)*(1+INDEX('Lease Cycles'!$CI$19:$CO$19,1,EH197))^INT(INT(EH198/12)/INDEX('Lease Cycles'!$CP$19:$CV$19,1,EH197))/12,IF(EH197=1,IF(EH198&gt;=INDEX('Lease Cycles'!$DK$19:$DQ$19,1,EH197),IF(EH$6&gt;='Lease Cycles'!$AZ$19,'Lease Cycles'!$C$19*'Lease Cycles'!$BA$19/12,IF(EH$6&gt;='Lease Cycles'!$AX$19,'Lease Cycles'!$C$19*'Lease Cycles'!$AY$19/12,IF(EH$6&gt;='Lease Cycles'!$AV$19,'Lease Cycles'!$C$19*'Lease Cycles'!$AW$19/12,IF(EH$6&gt;='Lease Cycles'!$AT$19,'Lease Cycles'!$C$19*'Lease Cycles'!$AU$19/12,'Lease Cycles'!$C$19*INDEX('Lease Cycles'!$CB$19:$CH$19,1,EH197)*(1+INDEX('Lease Cycles'!$CI$19:$CO$19,1,EH197))^INT(INT(EH198/12)/INDEX('Lease Cycles'!$CP$19:$CV$19,1,EH197))/12)))),'Lease Cycles'!$C$19*INDEX('Lease Cycles'!$CB$19:$CH$19,1,EH197)*(1+INDEX('Lease Cycles'!$CI$19:$CO$19,1,EH197))^INT(INT(EH198/12)/INDEX('Lease Cycles'!$CP$19:$CV$19,1,EH197))/12),IF(INDEX('Lease Cycles'!$EF$19:$EL$19,1,EH197)=1,IF(AND('Lease Cycles'!$AZ$19&gt;=INDEX('Lease Cycles'!$BG$19:$BM$19,1,EH197),'Lease Cycles'!$AZ$19&lt;=EH$6),'Lease Cycles'!$C$19*'Lease Cycles'!$BA$19/12,IF(AND('Lease Cycles'!$AX$19&gt;=INDEX('Lease Cycles'!$BG$19:$BM$19,1,EH197),'Lease Cycles'!$AX$19&lt;=EH$6),'Lease Cycles'!$C$19*'Lease Cycles'!$AY$19/12,IF(AND('Lease Cycles'!$AV$19&gt;=INDEX('Lease Cycles'!$BG$19:$BM$19,1,EH197),'Lease Cycles'!$AV$19&lt;=EH$6),'Lease Cycles'!$C$19*'Lease Cycles'!$AW$19/12,IF(AND('Lease Cycles'!$AT$19&gt;=INDEX('Lease Cycles'!$BG$19:$BM$19,1,EH197),'Lease Cycles'!$AT$19&lt;=EH$6),'Lease Cycles'!$C$19*'Lease Cycles'!$AU$19/12,'Lease Cycles'!$C$19*INDEX('Lease Cycles'!$CB$19:$CH$19,1,EH197)*(1+INDEX('Lease Cycles'!$CI$19:$CO$19,1,EH197))^INT(INT(EH198/12)/INDEX('Lease Cycles'!$CP$19:$CV$19,1,EH197))/12)))),'Lease Cycles'!$C$19*INDEX('Lease Cycles'!$CB$19:$CH$19,1,EH197)*(1+INDEX('Lease Cycles'!$CI$19:$CO$19,1,EH197))^INT(INT(EH198/12)/INDEX('Lease Cycles'!$CP$19:$CV$19,1,EH197))/12))),IF('Lease Cycles'!$N$19=1,'Lease Cycles'!$C$19*'Lease Cycles'!$E$19*INDEX('Lease Cycles'!$HE$19:$HK$19,1,EH197)*(1+INDEX('Lease Cycles'!$GQ$19:$GW$19,1,EH197))^INT(INT((EH$6-INDEX('Lease Cycles'!$GJ$19:$GP$19,1,EH197))/12)/INDEX('Lease Cycles'!$GX$19:$HD$19,1,EH197))/12,0)))</f>
        <v>0</v>
      </c>
      <c r="EI200" s="28">
        <f>IF(EI197=0,IF('Lease Cycles'!$F$19&gt;0,'Lease Cycles'!$C$19*'Lease Cycles'!$E$19/12,0),IF(EI199=1,IF('Lease Cycles'!$AT$19&gt;=9999,'Lease Cycles'!$C$19*INDEX('Lease Cycles'!$CB$19:$CH$19,1,EI197)*(1+INDEX('Lease Cycles'!$CI$19:$CO$19,1,EI197))^INT(INT(EI198/12)/INDEX('Lease Cycles'!$CP$19:$CV$19,1,EI197))/12,IF(EI197=1,IF(EI198&gt;=INDEX('Lease Cycles'!$DK$19:$DQ$19,1,EI197),IF(EI$6&gt;='Lease Cycles'!$AZ$19,'Lease Cycles'!$C$19*'Lease Cycles'!$BA$19/12,IF(EI$6&gt;='Lease Cycles'!$AX$19,'Lease Cycles'!$C$19*'Lease Cycles'!$AY$19/12,IF(EI$6&gt;='Lease Cycles'!$AV$19,'Lease Cycles'!$C$19*'Lease Cycles'!$AW$19/12,IF(EI$6&gt;='Lease Cycles'!$AT$19,'Lease Cycles'!$C$19*'Lease Cycles'!$AU$19/12,'Lease Cycles'!$C$19*INDEX('Lease Cycles'!$CB$19:$CH$19,1,EI197)*(1+INDEX('Lease Cycles'!$CI$19:$CO$19,1,EI197))^INT(INT(EI198/12)/INDEX('Lease Cycles'!$CP$19:$CV$19,1,EI197))/12)))),'Lease Cycles'!$C$19*INDEX('Lease Cycles'!$CB$19:$CH$19,1,EI197)*(1+INDEX('Lease Cycles'!$CI$19:$CO$19,1,EI197))^INT(INT(EI198/12)/INDEX('Lease Cycles'!$CP$19:$CV$19,1,EI197))/12),IF(INDEX('Lease Cycles'!$EF$19:$EL$19,1,EI197)=1,IF(AND('Lease Cycles'!$AZ$19&gt;=INDEX('Lease Cycles'!$BG$19:$BM$19,1,EI197),'Lease Cycles'!$AZ$19&lt;=EI$6),'Lease Cycles'!$C$19*'Lease Cycles'!$BA$19/12,IF(AND('Lease Cycles'!$AX$19&gt;=INDEX('Lease Cycles'!$BG$19:$BM$19,1,EI197),'Lease Cycles'!$AX$19&lt;=EI$6),'Lease Cycles'!$C$19*'Lease Cycles'!$AY$19/12,IF(AND('Lease Cycles'!$AV$19&gt;=INDEX('Lease Cycles'!$BG$19:$BM$19,1,EI197),'Lease Cycles'!$AV$19&lt;=EI$6),'Lease Cycles'!$C$19*'Lease Cycles'!$AW$19/12,IF(AND('Lease Cycles'!$AT$19&gt;=INDEX('Lease Cycles'!$BG$19:$BM$19,1,EI197),'Lease Cycles'!$AT$19&lt;=EI$6),'Lease Cycles'!$C$19*'Lease Cycles'!$AU$19/12,'Lease Cycles'!$C$19*INDEX('Lease Cycles'!$CB$19:$CH$19,1,EI197)*(1+INDEX('Lease Cycles'!$CI$19:$CO$19,1,EI197))^INT(INT(EI198/12)/INDEX('Lease Cycles'!$CP$19:$CV$19,1,EI197))/12)))),'Lease Cycles'!$C$19*INDEX('Lease Cycles'!$CB$19:$CH$19,1,EI197)*(1+INDEX('Lease Cycles'!$CI$19:$CO$19,1,EI197))^INT(INT(EI198/12)/INDEX('Lease Cycles'!$CP$19:$CV$19,1,EI197))/12))),IF('Lease Cycles'!$N$19=1,'Lease Cycles'!$C$19*'Lease Cycles'!$E$19*INDEX('Lease Cycles'!$HE$19:$HK$19,1,EI197)*(1+INDEX('Lease Cycles'!$GQ$19:$GW$19,1,EI197))^INT(INT((EI$6-INDEX('Lease Cycles'!$GJ$19:$GP$19,1,EI197))/12)/INDEX('Lease Cycles'!$GX$19:$HD$19,1,EI197))/12,0)))</f>
        <v>0</v>
      </c>
      <c r="EJ200" s="28">
        <f>IF(EJ197=0,IF('Lease Cycles'!$F$19&gt;0,'Lease Cycles'!$C$19*'Lease Cycles'!$E$19/12,0),IF(EJ199=1,IF('Lease Cycles'!$AT$19&gt;=9999,'Lease Cycles'!$C$19*INDEX('Lease Cycles'!$CB$19:$CH$19,1,EJ197)*(1+INDEX('Lease Cycles'!$CI$19:$CO$19,1,EJ197))^INT(INT(EJ198/12)/INDEX('Lease Cycles'!$CP$19:$CV$19,1,EJ197))/12,IF(EJ197=1,IF(EJ198&gt;=INDEX('Lease Cycles'!$DK$19:$DQ$19,1,EJ197),IF(EJ$6&gt;='Lease Cycles'!$AZ$19,'Lease Cycles'!$C$19*'Lease Cycles'!$BA$19/12,IF(EJ$6&gt;='Lease Cycles'!$AX$19,'Lease Cycles'!$C$19*'Lease Cycles'!$AY$19/12,IF(EJ$6&gt;='Lease Cycles'!$AV$19,'Lease Cycles'!$C$19*'Lease Cycles'!$AW$19/12,IF(EJ$6&gt;='Lease Cycles'!$AT$19,'Lease Cycles'!$C$19*'Lease Cycles'!$AU$19/12,'Lease Cycles'!$C$19*INDEX('Lease Cycles'!$CB$19:$CH$19,1,EJ197)*(1+INDEX('Lease Cycles'!$CI$19:$CO$19,1,EJ197))^INT(INT(EJ198/12)/INDEX('Lease Cycles'!$CP$19:$CV$19,1,EJ197))/12)))),'Lease Cycles'!$C$19*INDEX('Lease Cycles'!$CB$19:$CH$19,1,EJ197)*(1+INDEX('Lease Cycles'!$CI$19:$CO$19,1,EJ197))^INT(INT(EJ198/12)/INDEX('Lease Cycles'!$CP$19:$CV$19,1,EJ197))/12),IF(INDEX('Lease Cycles'!$EF$19:$EL$19,1,EJ197)=1,IF(AND('Lease Cycles'!$AZ$19&gt;=INDEX('Lease Cycles'!$BG$19:$BM$19,1,EJ197),'Lease Cycles'!$AZ$19&lt;=EJ$6),'Lease Cycles'!$C$19*'Lease Cycles'!$BA$19/12,IF(AND('Lease Cycles'!$AX$19&gt;=INDEX('Lease Cycles'!$BG$19:$BM$19,1,EJ197),'Lease Cycles'!$AX$19&lt;=EJ$6),'Lease Cycles'!$C$19*'Lease Cycles'!$AY$19/12,IF(AND('Lease Cycles'!$AV$19&gt;=INDEX('Lease Cycles'!$BG$19:$BM$19,1,EJ197),'Lease Cycles'!$AV$19&lt;=EJ$6),'Lease Cycles'!$C$19*'Lease Cycles'!$AW$19/12,IF(AND('Lease Cycles'!$AT$19&gt;=INDEX('Lease Cycles'!$BG$19:$BM$19,1,EJ197),'Lease Cycles'!$AT$19&lt;=EJ$6),'Lease Cycles'!$C$19*'Lease Cycles'!$AU$19/12,'Lease Cycles'!$C$19*INDEX('Lease Cycles'!$CB$19:$CH$19,1,EJ197)*(1+INDEX('Lease Cycles'!$CI$19:$CO$19,1,EJ197))^INT(INT(EJ198/12)/INDEX('Lease Cycles'!$CP$19:$CV$19,1,EJ197))/12)))),'Lease Cycles'!$C$19*INDEX('Lease Cycles'!$CB$19:$CH$19,1,EJ197)*(1+INDEX('Lease Cycles'!$CI$19:$CO$19,1,EJ197))^INT(INT(EJ198/12)/INDEX('Lease Cycles'!$CP$19:$CV$19,1,EJ197))/12))),IF('Lease Cycles'!$N$19=1,'Lease Cycles'!$C$19*'Lease Cycles'!$E$19*INDEX('Lease Cycles'!$HE$19:$HK$19,1,EJ197)*(1+INDEX('Lease Cycles'!$GQ$19:$GW$19,1,EJ197))^INT(INT((EJ$6-INDEX('Lease Cycles'!$GJ$19:$GP$19,1,EJ197))/12)/INDEX('Lease Cycles'!$GX$19:$HD$19,1,EJ197))/12,0)))</f>
        <v>0</v>
      </c>
      <c r="EK200" s="28">
        <f>IF(EK197=0,IF('Lease Cycles'!$F$19&gt;0,'Lease Cycles'!$C$19*'Lease Cycles'!$E$19/12,0),IF(EK199=1,IF('Lease Cycles'!$AT$19&gt;=9999,'Lease Cycles'!$C$19*INDEX('Lease Cycles'!$CB$19:$CH$19,1,EK197)*(1+INDEX('Lease Cycles'!$CI$19:$CO$19,1,EK197))^INT(INT(EK198/12)/INDEX('Lease Cycles'!$CP$19:$CV$19,1,EK197))/12,IF(EK197=1,IF(EK198&gt;=INDEX('Lease Cycles'!$DK$19:$DQ$19,1,EK197),IF(EK$6&gt;='Lease Cycles'!$AZ$19,'Lease Cycles'!$C$19*'Lease Cycles'!$BA$19/12,IF(EK$6&gt;='Lease Cycles'!$AX$19,'Lease Cycles'!$C$19*'Lease Cycles'!$AY$19/12,IF(EK$6&gt;='Lease Cycles'!$AV$19,'Lease Cycles'!$C$19*'Lease Cycles'!$AW$19/12,IF(EK$6&gt;='Lease Cycles'!$AT$19,'Lease Cycles'!$C$19*'Lease Cycles'!$AU$19/12,'Lease Cycles'!$C$19*INDEX('Lease Cycles'!$CB$19:$CH$19,1,EK197)*(1+INDEX('Lease Cycles'!$CI$19:$CO$19,1,EK197))^INT(INT(EK198/12)/INDEX('Lease Cycles'!$CP$19:$CV$19,1,EK197))/12)))),'Lease Cycles'!$C$19*INDEX('Lease Cycles'!$CB$19:$CH$19,1,EK197)*(1+INDEX('Lease Cycles'!$CI$19:$CO$19,1,EK197))^INT(INT(EK198/12)/INDEX('Lease Cycles'!$CP$19:$CV$19,1,EK197))/12),IF(INDEX('Lease Cycles'!$EF$19:$EL$19,1,EK197)=1,IF(AND('Lease Cycles'!$AZ$19&gt;=INDEX('Lease Cycles'!$BG$19:$BM$19,1,EK197),'Lease Cycles'!$AZ$19&lt;=EK$6),'Lease Cycles'!$C$19*'Lease Cycles'!$BA$19/12,IF(AND('Lease Cycles'!$AX$19&gt;=INDEX('Lease Cycles'!$BG$19:$BM$19,1,EK197),'Lease Cycles'!$AX$19&lt;=EK$6),'Lease Cycles'!$C$19*'Lease Cycles'!$AY$19/12,IF(AND('Lease Cycles'!$AV$19&gt;=INDEX('Lease Cycles'!$BG$19:$BM$19,1,EK197),'Lease Cycles'!$AV$19&lt;=EK$6),'Lease Cycles'!$C$19*'Lease Cycles'!$AW$19/12,IF(AND('Lease Cycles'!$AT$19&gt;=INDEX('Lease Cycles'!$BG$19:$BM$19,1,EK197),'Lease Cycles'!$AT$19&lt;=EK$6),'Lease Cycles'!$C$19*'Lease Cycles'!$AU$19/12,'Lease Cycles'!$C$19*INDEX('Lease Cycles'!$CB$19:$CH$19,1,EK197)*(1+INDEX('Lease Cycles'!$CI$19:$CO$19,1,EK197))^INT(INT(EK198/12)/INDEX('Lease Cycles'!$CP$19:$CV$19,1,EK197))/12)))),'Lease Cycles'!$C$19*INDEX('Lease Cycles'!$CB$19:$CH$19,1,EK197)*(1+INDEX('Lease Cycles'!$CI$19:$CO$19,1,EK197))^INT(INT(EK198/12)/INDEX('Lease Cycles'!$CP$19:$CV$19,1,EK197))/12))),IF('Lease Cycles'!$N$19=1,'Lease Cycles'!$C$19*'Lease Cycles'!$E$19*INDEX('Lease Cycles'!$HE$19:$HK$19,1,EK197)*(1+INDEX('Lease Cycles'!$GQ$19:$GW$19,1,EK197))^INT(INT((EK$6-INDEX('Lease Cycles'!$GJ$19:$GP$19,1,EK197))/12)/INDEX('Lease Cycles'!$GX$19:$HD$19,1,EK197))/12,0)))</f>
        <v>0</v>
      </c>
      <c r="EL200" s="28">
        <f>IF(EL197=0,IF('Lease Cycles'!$F$19&gt;0,'Lease Cycles'!$C$19*'Lease Cycles'!$E$19/12,0),IF(EL199=1,IF('Lease Cycles'!$AT$19&gt;=9999,'Lease Cycles'!$C$19*INDEX('Lease Cycles'!$CB$19:$CH$19,1,EL197)*(1+INDEX('Lease Cycles'!$CI$19:$CO$19,1,EL197))^INT(INT(EL198/12)/INDEX('Lease Cycles'!$CP$19:$CV$19,1,EL197))/12,IF(EL197=1,IF(EL198&gt;=INDEX('Lease Cycles'!$DK$19:$DQ$19,1,EL197),IF(EL$6&gt;='Lease Cycles'!$AZ$19,'Lease Cycles'!$C$19*'Lease Cycles'!$BA$19/12,IF(EL$6&gt;='Lease Cycles'!$AX$19,'Lease Cycles'!$C$19*'Lease Cycles'!$AY$19/12,IF(EL$6&gt;='Lease Cycles'!$AV$19,'Lease Cycles'!$C$19*'Lease Cycles'!$AW$19/12,IF(EL$6&gt;='Lease Cycles'!$AT$19,'Lease Cycles'!$C$19*'Lease Cycles'!$AU$19/12,'Lease Cycles'!$C$19*INDEX('Lease Cycles'!$CB$19:$CH$19,1,EL197)*(1+INDEX('Lease Cycles'!$CI$19:$CO$19,1,EL197))^INT(INT(EL198/12)/INDEX('Lease Cycles'!$CP$19:$CV$19,1,EL197))/12)))),'Lease Cycles'!$C$19*INDEX('Lease Cycles'!$CB$19:$CH$19,1,EL197)*(1+INDEX('Lease Cycles'!$CI$19:$CO$19,1,EL197))^INT(INT(EL198/12)/INDEX('Lease Cycles'!$CP$19:$CV$19,1,EL197))/12),IF(INDEX('Lease Cycles'!$EF$19:$EL$19,1,EL197)=1,IF(AND('Lease Cycles'!$AZ$19&gt;=INDEX('Lease Cycles'!$BG$19:$BM$19,1,EL197),'Lease Cycles'!$AZ$19&lt;=EL$6),'Lease Cycles'!$C$19*'Lease Cycles'!$BA$19/12,IF(AND('Lease Cycles'!$AX$19&gt;=INDEX('Lease Cycles'!$BG$19:$BM$19,1,EL197),'Lease Cycles'!$AX$19&lt;=EL$6),'Lease Cycles'!$C$19*'Lease Cycles'!$AY$19/12,IF(AND('Lease Cycles'!$AV$19&gt;=INDEX('Lease Cycles'!$BG$19:$BM$19,1,EL197),'Lease Cycles'!$AV$19&lt;=EL$6),'Lease Cycles'!$C$19*'Lease Cycles'!$AW$19/12,IF(AND('Lease Cycles'!$AT$19&gt;=INDEX('Lease Cycles'!$BG$19:$BM$19,1,EL197),'Lease Cycles'!$AT$19&lt;=EL$6),'Lease Cycles'!$C$19*'Lease Cycles'!$AU$19/12,'Lease Cycles'!$C$19*INDEX('Lease Cycles'!$CB$19:$CH$19,1,EL197)*(1+INDEX('Lease Cycles'!$CI$19:$CO$19,1,EL197))^INT(INT(EL198/12)/INDEX('Lease Cycles'!$CP$19:$CV$19,1,EL197))/12)))),'Lease Cycles'!$C$19*INDEX('Lease Cycles'!$CB$19:$CH$19,1,EL197)*(1+INDEX('Lease Cycles'!$CI$19:$CO$19,1,EL197))^INT(INT(EL198/12)/INDEX('Lease Cycles'!$CP$19:$CV$19,1,EL197))/12))),IF('Lease Cycles'!$N$19=1,'Lease Cycles'!$C$19*'Lease Cycles'!$E$19*INDEX('Lease Cycles'!$HE$19:$HK$19,1,EL197)*(1+INDEX('Lease Cycles'!$GQ$19:$GW$19,1,EL197))^INT(INT((EL$6-INDEX('Lease Cycles'!$GJ$19:$GP$19,1,EL197))/12)/INDEX('Lease Cycles'!$GX$19:$HD$19,1,EL197))/12,0)))</f>
        <v>0</v>
      </c>
      <c r="EM200" s="28">
        <f>IF(EM197=0,IF('Lease Cycles'!$F$19&gt;0,'Lease Cycles'!$C$19*'Lease Cycles'!$E$19/12,0),IF(EM199=1,IF('Lease Cycles'!$AT$19&gt;=9999,'Lease Cycles'!$C$19*INDEX('Lease Cycles'!$CB$19:$CH$19,1,EM197)*(1+INDEX('Lease Cycles'!$CI$19:$CO$19,1,EM197))^INT(INT(EM198/12)/INDEX('Lease Cycles'!$CP$19:$CV$19,1,EM197))/12,IF(EM197=1,IF(EM198&gt;=INDEX('Lease Cycles'!$DK$19:$DQ$19,1,EM197),IF(EM$6&gt;='Lease Cycles'!$AZ$19,'Lease Cycles'!$C$19*'Lease Cycles'!$BA$19/12,IF(EM$6&gt;='Lease Cycles'!$AX$19,'Lease Cycles'!$C$19*'Lease Cycles'!$AY$19/12,IF(EM$6&gt;='Lease Cycles'!$AV$19,'Lease Cycles'!$C$19*'Lease Cycles'!$AW$19/12,IF(EM$6&gt;='Lease Cycles'!$AT$19,'Lease Cycles'!$C$19*'Lease Cycles'!$AU$19/12,'Lease Cycles'!$C$19*INDEX('Lease Cycles'!$CB$19:$CH$19,1,EM197)*(1+INDEX('Lease Cycles'!$CI$19:$CO$19,1,EM197))^INT(INT(EM198/12)/INDEX('Lease Cycles'!$CP$19:$CV$19,1,EM197))/12)))),'Lease Cycles'!$C$19*INDEX('Lease Cycles'!$CB$19:$CH$19,1,EM197)*(1+INDEX('Lease Cycles'!$CI$19:$CO$19,1,EM197))^INT(INT(EM198/12)/INDEX('Lease Cycles'!$CP$19:$CV$19,1,EM197))/12),IF(INDEX('Lease Cycles'!$EF$19:$EL$19,1,EM197)=1,IF(AND('Lease Cycles'!$AZ$19&gt;=INDEX('Lease Cycles'!$BG$19:$BM$19,1,EM197),'Lease Cycles'!$AZ$19&lt;=EM$6),'Lease Cycles'!$C$19*'Lease Cycles'!$BA$19/12,IF(AND('Lease Cycles'!$AX$19&gt;=INDEX('Lease Cycles'!$BG$19:$BM$19,1,EM197),'Lease Cycles'!$AX$19&lt;=EM$6),'Lease Cycles'!$C$19*'Lease Cycles'!$AY$19/12,IF(AND('Lease Cycles'!$AV$19&gt;=INDEX('Lease Cycles'!$BG$19:$BM$19,1,EM197),'Lease Cycles'!$AV$19&lt;=EM$6),'Lease Cycles'!$C$19*'Lease Cycles'!$AW$19/12,IF(AND('Lease Cycles'!$AT$19&gt;=INDEX('Lease Cycles'!$BG$19:$BM$19,1,EM197),'Lease Cycles'!$AT$19&lt;=EM$6),'Lease Cycles'!$C$19*'Lease Cycles'!$AU$19/12,'Lease Cycles'!$C$19*INDEX('Lease Cycles'!$CB$19:$CH$19,1,EM197)*(1+INDEX('Lease Cycles'!$CI$19:$CO$19,1,EM197))^INT(INT(EM198/12)/INDEX('Lease Cycles'!$CP$19:$CV$19,1,EM197))/12)))),'Lease Cycles'!$C$19*INDEX('Lease Cycles'!$CB$19:$CH$19,1,EM197)*(1+INDEX('Lease Cycles'!$CI$19:$CO$19,1,EM197))^INT(INT(EM198/12)/INDEX('Lease Cycles'!$CP$19:$CV$19,1,EM197))/12))),IF('Lease Cycles'!$N$19=1,'Lease Cycles'!$C$19*'Lease Cycles'!$E$19*INDEX('Lease Cycles'!$HE$19:$HK$19,1,EM197)*(1+INDEX('Lease Cycles'!$GQ$19:$GW$19,1,EM197))^INT(INT((EM$6-INDEX('Lease Cycles'!$GJ$19:$GP$19,1,EM197))/12)/INDEX('Lease Cycles'!$GX$19:$HD$19,1,EM197))/12,0)))</f>
        <v>0</v>
      </c>
      <c r="EN200" s="28">
        <f>IF(EN197=0,IF('Lease Cycles'!$F$19&gt;0,'Lease Cycles'!$C$19*'Lease Cycles'!$E$19/12,0),IF(EN199=1,IF('Lease Cycles'!$AT$19&gt;=9999,'Lease Cycles'!$C$19*INDEX('Lease Cycles'!$CB$19:$CH$19,1,EN197)*(1+INDEX('Lease Cycles'!$CI$19:$CO$19,1,EN197))^INT(INT(EN198/12)/INDEX('Lease Cycles'!$CP$19:$CV$19,1,EN197))/12,IF(EN197=1,IF(EN198&gt;=INDEX('Lease Cycles'!$DK$19:$DQ$19,1,EN197),IF(EN$6&gt;='Lease Cycles'!$AZ$19,'Lease Cycles'!$C$19*'Lease Cycles'!$BA$19/12,IF(EN$6&gt;='Lease Cycles'!$AX$19,'Lease Cycles'!$C$19*'Lease Cycles'!$AY$19/12,IF(EN$6&gt;='Lease Cycles'!$AV$19,'Lease Cycles'!$C$19*'Lease Cycles'!$AW$19/12,IF(EN$6&gt;='Lease Cycles'!$AT$19,'Lease Cycles'!$C$19*'Lease Cycles'!$AU$19/12,'Lease Cycles'!$C$19*INDEX('Lease Cycles'!$CB$19:$CH$19,1,EN197)*(1+INDEX('Lease Cycles'!$CI$19:$CO$19,1,EN197))^INT(INT(EN198/12)/INDEX('Lease Cycles'!$CP$19:$CV$19,1,EN197))/12)))),'Lease Cycles'!$C$19*INDEX('Lease Cycles'!$CB$19:$CH$19,1,EN197)*(1+INDEX('Lease Cycles'!$CI$19:$CO$19,1,EN197))^INT(INT(EN198/12)/INDEX('Lease Cycles'!$CP$19:$CV$19,1,EN197))/12),IF(INDEX('Lease Cycles'!$EF$19:$EL$19,1,EN197)=1,IF(AND('Lease Cycles'!$AZ$19&gt;=INDEX('Lease Cycles'!$BG$19:$BM$19,1,EN197),'Lease Cycles'!$AZ$19&lt;=EN$6),'Lease Cycles'!$C$19*'Lease Cycles'!$BA$19/12,IF(AND('Lease Cycles'!$AX$19&gt;=INDEX('Lease Cycles'!$BG$19:$BM$19,1,EN197),'Lease Cycles'!$AX$19&lt;=EN$6),'Lease Cycles'!$C$19*'Lease Cycles'!$AY$19/12,IF(AND('Lease Cycles'!$AV$19&gt;=INDEX('Lease Cycles'!$BG$19:$BM$19,1,EN197),'Lease Cycles'!$AV$19&lt;=EN$6),'Lease Cycles'!$C$19*'Lease Cycles'!$AW$19/12,IF(AND('Lease Cycles'!$AT$19&gt;=INDEX('Lease Cycles'!$BG$19:$BM$19,1,EN197),'Lease Cycles'!$AT$19&lt;=EN$6),'Lease Cycles'!$C$19*'Lease Cycles'!$AU$19/12,'Lease Cycles'!$C$19*INDEX('Lease Cycles'!$CB$19:$CH$19,1,EN197)*(1+INDEX('Lease Cycles'!$CI$19:$CO$19,1,EN197))^INT(INT(EN198/12)/INDEX('Lease Cycles'!$CP$19:$CV$19,1,EN197))/12)))),'Lease Cycles'!$C$19*INDEX('Lease Cycles'!$CB$19:$CH$19,1,EN197)*(1+INDEX('Lease Cycles'!$CI$19:$CO$19,1,EN197))^INT(INT(EN198/12)/INDEX('Lease Cycles'!$CP$19:$CV$19,1,EN197))/12))),IF('Lease Cycles'!$N$19=1,'Lease Cycles'!$C$19*'Lease Cycles'!$E$19*INDEX('Lease Cycles'!$HE$19:$HK$19,1,EN197)*(1+INDEX('Lease Cycles'!$GQ$19:$GW$19,1,EN197))^INT(INT((EN$6-INDEX('Lease Cycles'!$GJ$19:$GP$19,1,EN197))/12)/INDEX('Lease Cycles'!$GX$19:$HD$19,1,EN197))/12,0)))</f>
        <v>0</v>
      </c>
      <c r="EO200" s="28">
        <f>IF(EO197=0,IF('Lease Cycles'!$F$19&gt;0,'Lease Cycles'!$C$19*'Lease Cycles'!$E$19/12,0),IF(EO199=1,IF('Lease Cycles'!$AT$19&gt;=9999,'Lease Cycles'!$C$19*INDEX('Lease Cycles'!$CB$19:$CH$19,1,EO197)*(1+INDEX('Lease Cycles'!$CI$19:$CO$19,1,EO197))^INT(INT(EO198/12)/INDEX('Lease Cycles'!$CP$19:$CV$19,1,EO197))/12,IF(EO197=1,IF(EO198&gt;=INDEX('Lease Cycles'!$DK$19:$DQ$19,1,EO197),IF(EO$6&gt;='Lease Cycles'!$AZ$19,'Lease Cycles'!$C$19*'Lease Cycles'!$BA$19/12,IF(EO$6&gt;='Lease Cycles'!$AX$19,'Lease Cycles'!$C$19*'Lease Cycles'!$AY$19/12,IF(EO$6&gt;='Lease Cycles'!$AV$19,'Lease Cycles'!$C$19*'Lease Cycles'!$AW$19/12,IF(EO$6&gt;='Lease Cycles'!$AT$19,'Lease Cycles'!$C$19*'Lease Cycles'!$AU$19/12,'Lease Cycles'!$C$19*INDEX('Lease Cycles'!$CB$19:$CH$19,1,EO197)*(1+INDEX('Lease Cycles'!$CI$19:$CO$19,1,EO197))^INT(INT(EO198/12)/INDEX('Lease Cycles'!$CP$19:$CV$19,1,EO197))/12)))),'Lease Cycles'!$C$19*INDEX('Lease Cycles'!$CB$19:$CH$19,1,EO197)*(1+INDEX('Lease Cycles'!$CI$19:$CO$19,1,EO197))^INT(INT(EO198/12)/INDEX('Lease Cycles'!$CP$19:$CV$19,1,EO197))/12),IF(INDEX('Lease Cycles'!$EF$19:$EL$19,1,EO197)=1,IF(AND('Lease Cycles'!$AZ$19&gt;=INDEX('Lease Cycles'!$BG$19:$BM$19,1,EO197),'Lease Cycles'!$AZ$19&lt;=EO$6),'Lease Cycles'!$C$19*'Lease Cycles'!$BA$19/12,IF(AND('Lease Cycles'!$AX$19&gt;=INDEX('Lease Cycles'!$BG$19:$BM$19,1,EO197),'Lease Cycles'!$AX$19&lt;=EO$6),'Lease Cycles'!$C$19*'Lease Cycles'!$AY$19/12,IF(AND('Lease Cycles'!$AV$19&gt;=INDEX('Lease Cycles'!$BG$19:$BM$19,1,EO197),'Lease Cycles'!$AV$19&lt;=EO$6),'Lease Cycles'!$C$19*'Lease Cycles'!$AW$19/12,IF(AND('Lease Cycles'!$AT$19&gt;=INDEX('Lease Cycles'!$BG$19:$BM$19,1,EO197),'Lease Cycles'!$AT$19&lt;=EO$6),'Lease Cycles'!$C$19*'Lease Cycles'!$AU$19/12,'Lease Cycles'!$C$19*INDEX('Lease Cycles'!$CB$19:$CH$19,1,EO197)*(1+INDEX('Lease Cycles'!$CI$19:$CO$19,1,EO197))^INT(INT(EO198/12)/INDEX('Lease Cycles'!$CP$19:$CV$19,1,EO197))/12)))),'Lease Cycles'!$C$19*INDEX('Lease Cycles'!$CB$19:$CH$19,1,EO197)*(1+INDEX('Lease Cycles'!$CI$19:$CO$19,1,EO197))^INT(INT(EO198/12)/INDEX('Lease Cycles'!$CP$19:$CV$19,1,EO197))/12))),IF('Lease Cycles'!$N$19=1,'Lease Cycles'!$C$19*'Lease Cycles'!$E$19*INDEX('Lease Cycles'!$HE$19:$HK$19,1,EO197)*(1+INDEX('Lease Cycles'!$GQ$19:$GW$19,1,EO197))^INT(INT((EO$6-INDEX('Lease Cycles'!$GJ$19:$GP$19,1,EO197))/12)/INDEX('Lease Cycles'!$GX$19:$HD$19,1,EO197))/12,0)))</f>
        <v>0</v>
      </c>
      <c r="EP200" s="28">
        <f>IF(EP197=0,IF('Lease Cycles'!$F$19&gt;0,'Lease Cycles'!$C$19*'Lease Cycles'!$E$19/12,0),IF(EP199=1,IF('Lease Cycles'!$AT$19&gt;=9999,'Lease Cycles'!$C$19*INDEX('Lease Cycles'!$CB$19:$CH$19,1,EP197)*(1+INDEX('Lease Cycles'!$CI$19:$CO$19,1,EP197))^INT(INT(EP198/12)/INDEX('Lease Cycles'!$CP$19:$CV$19,1,EP197))/12,IF(EP197=1,IF(EP198&gt;=INDEX('Lease Cycles'!$DK$19:$DQ$19,1,EP197),IF(EP$6&gt;='Lease Cycles'!$AZ$19,'Lease Cycles'!$C$19*'Lease Cycles'!$BA$19/12,IF(EP$6&gt;='Lease Cycles'!$AX$19,'Lease Cycles'!$C$19*'Lease Cycles'!$AY$19/12,IF(EP$6&gt;='Lease Cycles'!$AV$19,'Lease Cycles'!$C$19*'Lease Cycles'!$AW$19/12,IF(EP$6&gt;='Lease Cycles'!$AT$19,'Lease Cycles'!$C$19*'Lease Cycles'!$AU$19/12,'Lease Cycles'!$C$19*INDEX('Lease Cycles'!$CB$19:$CH$19,1,EP197)*(1+INDEX('Lease Cycles'!$CI$19:$CO$19,1,EP197))^INT(INT(EP198/12)/INDEX('Lease Cycles'!$CP$19:$CV$19,1,EP197))/12)))),'Lease Cycles'!$C$19*INDEX('Lease Cycles'!$CB$19:$CH$19,1,EP197)*(1+INDEX('Lease Cycles'!$CI$19:$CO$19,1,EP197))^INT(INT(EP198/12)/INDEX('Lease Cycles'!$CP$19:$CV$19,1,EP197))/12),IF(INDEX('Lease Cycles'!$EF$19:$EL$19,1,EP197)=1,IF(AND('Lease Cycles'!$AZ$19&gt;=INDEX('Lease Cycles'!$BG$19:$BM$19,1,EP197),'Lease Cycles'!$AZ$19&lt;=EP$6),'Lease Cycles'!$C$19*'Lease Cycles'!$BA$19/12,IF(AND('Lease Cycles'!$AX$19&gt;=INDEX('Lease Cycles'!$BG$19:$BM$19,1,EP197),'Lease Cycles'!$AX$19&lt;=EP$6),'Lease Cycles'!$C$19*'Lease Cycles'!$AY$19/12,IF(AND('Lease Cycles'!$AV$19&gt;=INDEX('Lease Cycles'!$BG$19:$BM$19,1,EP197),'Lease Cycles'!$AV$19&lt;=EP$6),'Lease Cycles'!$C$19*'Lease Cycles'!$AW$19/12,IF(AND('Lease Cycles'!$AT$19&gt;=INDEX('Lease Cycles'!$BG$19:$BM$19,1,EP197),'Lease Cycles'!$AT$19&lt;=EP$6),'Lease Cycles'!$C$19*'Lease Cycles'!$AU$19/12,'Lease Cycles'!$C$19*INDEX('Lease Cycles'!$CB$19:$CH$19,1,EP197)*(1+INDEX('Lease Cycles'!$CI$19:$CO$19,1,EP197))^INT(INT(EP198/12)/INDEX('Lease Cycles'!$CP$19:$CV$19,1,EP197))/12)))),'Lease Cycles'!$C$19*INDEX('Lease Cycles'!$CB$19:$CH$19,1,EP197)*(1+INDEX('Lease Cycles'!$CI$19:$CO$19,1,EP197))^INT(INT(EP198/12)/INDEX('Lease Cycles'!$CP$19:$CV$19,1,EP197))/12))),IF('Lease Cycles'!$N$19=1,'Lease Cycles'!$C$19*'Lease Cycles'!$E$19*INDEX('Lease Cycles'!$HE$19:$HK$19,1,EP197)*(1+INDEX('Lease Cycles'!$GQ$19:$GW$19,1,EP197))^INT(INT((EP$6-INDEX('Lease Cycles'!$GJ$19:$GP$19,1,EP197))/12)/INDEX('Lease Cycles'!$GX$19:$HD$19,1,EP197))/12,0)))</f>
        <v>0</v>
      </c>
      <c r="EQ200" s="28">
        <f>IF(EQ197=0,IF('Lease Cycles'!$F$19&gt;0,'Lease Cycles'!$C$19*'Lease Cycles'!$E$19/12,0),IF(EQ199=1,IF('Lease Cycles'!$AT$19&gt;=9999,'Lease Cycles'!$C$19*INDEX('Lease Cycles'!$CB$19:$CH$19,1,EQ197)*(1+INDEX('Lease Cycles'!$CI$19:$CO$19,1,EQ197))^INT(INT(EQ198/12)/INDEX('Lease Cycles'!$CP$19:$CV$19,1,EQ197))/12,IF(EQ197=1,IF(EQ198&gt;=INDEX('Lease Cycles'!$DK$19:$DQ$19,1,EQ197),IF(EQ$6&gt;='Lease Cycles'!$AZ$19,'Lease Cycles'!$C$19*'Lease Cycles'!$BA$19/12,IF(EQ$6&gt;='Lease Cycles'!$AX$19,'Lease Cycles'!$C$19*'Lease Cycles'!$AY$19/12,IF(EQ$6&gt;='Lease Cycles'!$AV$19,'Lease Cycles'!$C$19*'Lease Cycles'!$AW$19/12,IF(EQ$6&gt;='Lease Cycles'!$AT$19,'Lease Cycles'!$C$19*'Lease Cycles'!$AU$19/12,'Lease Cycles'!$C$19*INDEX('Lease Cycles'!$CB$19:$CH$19,1,EQ197)*(1+INDEX('Lease Cycles'!$CI$19:$CO$19,1,EQ197))^INT(INT(EQ198/12)/INDEX('Lease Cycles'!$CP$19:$CV$19,1,EQ197))/12)))),'Lease Cycles'!$C$19*INDEX('Lease Cycles'!$CB$19:$CH$19,1,EQ197)*(1+INDEX('Lease Cycles'!$CI$19:$CO$19,1,EQ197))^INT(INT(EQ198/12)/INDEX('Lease Cycles'!$CP$19:$CV$19,1,EQ197))/12),IF(INDEX('Lease Cycles'!$EF$19:$EL$19,1,EQ197)=1,IF(AND('Lease Cycles'!$AZ$19&gt;=INDEX('Lease Cycles'!$BG$19:$BM$19,1,EQ197),'Lease Cycles'!$AZ$19&lt;=EQ$6),'Lease Cycles'!$C$19*'Lease Cycles'!$BA$19/12,IF(AND('Lease Cycles'!$AX$19&gt;=INDEX('Lease Cycles'!$BG$19:$BM$19,1,EQ197),'Lease Cycles'!$AX$19&lt;=EQ$6),'Lease Cycles'!$C$19*'Lease Cycles'!$AY$19/12,IF(AND('Lease Cycles'!$AV$19&gt;=INDEX('Lease Cycles'!$BG$19:$BM$19,1,EQ197),'Lease Cycles'!$AV$19&lt;=EQ$6),'Lease Cycles'!$C$19*'Lease Cycles'!$AW$19/12,IF(AND('Lease Cycles'!$AT$19&gt;=INDEX('Lease Cycles'!$BG$19:$BM$19,1,EQ197),'Lease Cycles'!$AT$19&lt;=EQ$6),'Lease Cycles'!$C$19*'Lease Cycles'!$AU$19/12,'Lease Cycles'!$C$19*INDEX('Lease Cycles'!$CB$19:$CH$19,1,EQ197)*(1+INDEX('Lease Cycles'!$CI$19:$CO$19,1,EQ197))^INT(INT(EQ198/12)/INDEX('Lease Cycles'!$CP$19:$CV$19,1,EQ197))/12)))),'Lease Cycles'!$C$19*INDEX('Lease Cycles'!$CB$19:$CH$19,1,EQ197)*(1+INDEX('Lease Cycles'!$CI$19:$CO$19,1,EQ197))^INT(INT(EQ198/12)/INDEX('Lease Cycles'!$CP$19:$CV$19,1,EQ197))/12))),IF('Lease Cycles'!$N$19=1,'Lease Cycles'!$C$19*'Lease Cycles'!$E$19*INDEX('Lease Cycles'!$HE$19:$HK$19,1,EQ197)*(1+INDEX('Lease Cycles'!$GQ$19:$GW$19,1,EQ197))^INT(INT((EQ$6-INDEX('Lease Cycles'!$GJ$19:$GP$19,1,EQ197))/12)/INDEX('Lease Cycles'!$GX$19:$HD$19,1,EQ197))/12,0)))</f>
        <v>0</v>
      </c>
      <c r="ER200" s="28">
        <f>IF(ER197=0,IF('Lease Cycles'!$F$19&gt;0,'Lease Cycles'!$C$19*'Lease Cycles'!$E$19/12,0),IF(ER199=1,IF('Lease Cycles'!$AT$19&gt;=9999,'Lease Cycles'!$C$19*INDEX('Lease Cycles'!$CB$19:$CH$19,1,ER197)*(1+INDEX('Lease Cycles'!$CI$19:$CO$19,1,ER197))^INT(INT(ER198/12)/INDEX('Lease Cycles'!$CP$19:$CV$19,1,ER197))/12,IF(ER197=1,IF(ER198&gt;=INDEX('Lease Cycles'!$DK$19:$DQ$19,1,ER197),IF(ER$6&gt;='Lease Cycles'!$AZ$19,'Lease Cycles'!$C$19*'Lease Cycles'!$BA$19/12,IF(ER$6&gt;='Lease Cycles'!$AX$19,'Lease Cycles'!$C$19*'Lease Cycles'!$AY$19/12,IF(ER$6&gt;='Lease Cycles'!$AV$19,'Lease Cycles'!$C$19*'Lease Cycles'!$AW$19/12,IF(ER$6&gt;='Lease Cycles'!$AT$19,'Lease Cycles'!$C$19*'Lease Cycles'!$AU$19/12,'Lease Cycles'!$C$19*INDEX('Lease Cycles'!$CB$19:$CH$19,1,ER197)*(1+INDEX('Lease Cycles'!$CI$19:$CO$19,1,ER197))^INT(INT(ER198/12)/INDEX('Lease Cycles'!$CP$19:$CV$19,1,ER197))/12)))),'Lease Cycles'!$C$19*INDEX('Lease Cycles'!$CB$19:$CH$19,1,ER197)*(1+INDEX('Lease Cycles'!$CI$19:$CO$19,1,ER197))^INT(INT(ER198/12)/INDEX('Lease Cycles'!$CP$19:$CV$19,1,ER197))/12),IF(INDEX('Lease Cycles'!$EF$19:$EL$19,1,ER197)=1,IF(AND('Lease Cycles'!$AZ$19&gt;=INDEX('Lease Cycles'!$BG$19:$BM$19,1,ER197),'Lease Cycles'!$AZ$19&lt;=ER$6),'Lease Cycles'!$C$19*'Lease Cycles'!$BA$19/12,IF(AND('Lease Cycles'!$AX$19&gt;=INDEX('Lease Cycles'!$BG$19:$BM$19,1,ER197),'Lease Cycles'!$AX$19&lt;=ER$6),'Lease Cycles'!$C$19*'Lease Cycles'!$AY$19/12,IF(AND('Lease Cycles'!$AV$19&gt;=INDEX('Lease Cycles'!$BG$19:$BM$19,1,ER197),'Lease Cycles'!$AV$19&lt;=ER$6),'Lease Cycles'!$C$19*'Lease Cycles'!$AW$19/12,IF(AND('Lease Cycles'!$AT$19&gt;=INDEX('Lease Cycles'!$BG$19:$BM$19,1,ER197),'Lease Cycles'!$AT$19&lt;=ER$6),'Lease Cycles'!$C$19*'Lease Cycles'!$AU$19/12,'Lease Cycles'!$C$19*INDEX('Lease Cycles'!$CB$19:$CH$19,1,ER197)*(1+INDEX('Lease Cycles'!$CI$19:$CO$19,1,ER197))^INT(INT(ER198/12)/INDEX('Lease Cycles'!$CP$19:$CV$19,1,ER197))/12)))),'Lease Cycles'!$C$19*INDEX('Lease Cycles'!$CB$19:$CH$19,1,ER197)*(1+INDEX('Lease Cycles'!$CI$19:$CO$19,1,ER197))^INT(INT(ER198/12)/INDEX('Lease Cycles'!$CP$19:$CV$19,1,ER197))/12))),IF('Lease Cycles'!$N$19=1,'Lease Cycles'!$C$19*'Lease Cycles'!$E$19*INDEX('Lease Cycles'!$HE$19:$HK$19,1,ER197)*(1+INDEX('Lease Cycles'!$GQ$19:$GW$19,1,ER197))^INT(INT((ER$6-INDEX('Lease Cycles'!$GJ$19:$GP$19,1,ER197))/12)/INDEX('Lease Cycles'!$GX$19:$HD$19,1,ER197))/12,0)))</f>
        <v>0</v>
      </c>
      <c r="ES200" s="28">
        <f>IF(ES197=0,IF('Lease Cycles'!$F$19&gt;0,'Lease Cycles'!$C$19*'Lease Cycles'!$E$19/12,0),IF(ES199=1,IF('Lease Cycles'!$AT$19&gt;=9999,'Lease Cycles'!$C$19*INDEX('Lease Cycles'!$CB$19:$CH$19,1,ES197)*(1+INDEX('Lease Cycles'!$CI$19:$CO$19,1,ES197))^INT(INT(ES198/12)/INDEX('Lease Cycles'!$CP$19:$CV$19,1,ES197))/12,IF(ES197=1,IF(ES198&gt;=INDEX('Lease Cycles'!$DK$19:$DQ$19,1,ES197),IF(ES$6&gt;='Lease Cycles'!$AZ$19,'Lease Cycles'!$C$19*'Lease Cycles'!$BA$19/12,IF(ES$6&gt;='Lease Cycles'!$AX$19,'Lease Cycles'!$C$19*'Lease Cycles'!$AY$19/12,IF(ES$6&gt;='Lease Cycles'!$AV$19,'Lease Cycles'!$C$19*'Lease Cycles'!$AW$19/12,IF(ES$6&gt;='Lease Cycles'!$AT$19,'Lease Cycles'!$C$19*'Lease Cycles'!$AU$19/12,'Lease Cycles'!$C$19*INDEX('Lease Cycles'!$CB$19:$CH$19,1,ES197)*(1+INDEX('Lease Cycles'!$CI$19:$CO$19,1,ES197))^INT(INT(ES198/12)/INDEX('Lease Cycles'!$CP$19:$CV$19,1,ES197))/12)))),'Lease Cycles'!$C$19*INDEX('Lease Cycles'!$CB$19:$CH$19,1,ES197)*(1+INDEX('Lease Cycles'!$CI$19:$CO$19,1,ES197))^INT(INT(ES198/12)/INDEX('Lease Cycles'!$CP$19:$CV$19,1,ES197))/12),IF(INDEX('Lease Cycles'!$EF$19:$EL$19,1,ES197)=1,IF(AND('Lease Cycles'!$AZ$19&gt;=INDEX('Lease Cycles'!$BG$19:$BM$19,1,ES197),'Lease Cycles'!$AZ$19&lt;=ES$6),'Lease Cycles'!$C$19*'Lease Cycles'!$BA$19/12,IF(AND('Lease Cycles'!$AX$19&gt;=INDEX('Lease Cycles'!$BG$19:$BM$19,1,ES197),'Lease Cycles'!$AX$19&lt;=ES$6),'Lease Cycles'!$C$19*'Lease Cycles'!$AY$19/12,IF(AND('Lease Cycles'!$AV$19&gt;=INDEX('Lease Cycles'!$BG$19:$BM$19,1,ES197),'Lease Cycles'!$AV$19&lt;=ES$6),'Lease Cycles'!$C$19*'Lease Cycles'!$AW$19/12,IF(AND('Lease Cycles'!$AT$19&gt;=INDEX('Lease Cycles'!$BG$19:$BM$19,1,ES197),'Lease Cycles'!$AT$19&lt;=ES$6),'Lease Cycles'!$C$19*'Lease Cycles'!$AU$19/12,'Lease Cycles'!$C$19*INDEX('Lease Cycles'!$CB$19:$CH$19,1,ES197)*(1+INDEX('Lease Cycles'!$CI$19:$CO$19,1,ES197))^INT(INT(ES198/12)/INDEX('Lease Cycles'!$CP$19:$CV$19,1,ES197))/12)))),'Lease Cycles'!$C$19*INDEX('Lease Cycles'!$CB$19:$CH$19,1,ES197)*(1+INDEX('Lease Cycles'!$CI$19:$CO$19,1,ES197))^INT(INT(ES198/12)/INDEX('Lease Cycles'!$CP$19:$CV$19,1,ES197))/12))),IF('Lease Cycles'!$N$19=1,'Lease Cycles'!$C$19*'Lease Cycles'!$E$19*INDEX('Lease Cycles'!$HE$19:$HK$19,1,ES197)*(1+INDEX('Lease Cycles'!$GQ$19:$GW$19,1,ES197))^INT(INT((ES$6-INDEX('Lease Cycles'!$GJ$19:$GP$19,1,ES197))/12)/INDEX('Lease Cycles'!$GX$19:$HD$19,1,ES197))/12,0)))</f>
        <v>0</v>
      </c>
      <c r="ET200" s="28">
        <f>IF(ET197=0,IF('Lease Cycles'!$F$19&gt;0,'Lease Cycles'!$C$19*'Lease Cycles'!$E$19/12,0),IF(ET199=1,IF('Lease Cycles'!$AT$19&gt;=9999,'Lease Cycles'!$C$19*INDEX('Lease Cycles'!$CB$19:$CH$19,1,ET197)*(1+INDEX('Lease Cycles'!$CI$19:$CO$19,1,ET197))^INT(INT(ET198/12)/INDEX('Lease Cycles'!$CP$19:$CV$19,1,ET197))/12,IF(ET197=1,IF(ET198&gt;=INDEX('Lease Cycles'!$DK$19:$DQ$19,1,ET197),IF(ET$6&gt;='Lease Cycles'!$AZ$19,'Lease Cycles'!$C$19*'Lease Cycles'!$BA$19/12,IF(ET$6&gt;='Lease Cycles'!$AX$19,'Lease Cycles'!$C$19*'Lease Cycles'!$AY$19/12,IF(ET$6&gt;='Lease Cycles'!$AV$19,'Lease Cycles'!$C$19*'Lease Cycles'!$AW$19/12,IF(ET$6&gt;='Lease Cycles'!$AT$19,'Lease Cycles'!$C$19*'Lease Cycles'!$AU$19/12,'Lease Cycles'!$C$19*INDEX('Lease Cycles'!$CB$19:$CH$19,1,ET197)*(1+INDEX('Lease Cycles'!$CI$19:$CO$19,1,ET197))^INT(INT(ET198/12)/INDEX('Lease Cycles'!$CP$19:$CV$19,1,ET197))/12)))),'Lease Cycles'!$C$19*INDEX('Lease Cycles'!$CB$19:$CH$19,1,ET197)*(1+INDEX('Lease Cycles'!$CI$19:$CO$19,1,ET197))^INT(INT(ET198/12)/INDEX('Lease Cycles'!$CP$19:$CV$19,1,ET197))/12),IF(INDEX('Lease Cycles'!$EF$19:$EL$19,1,ET197)=1,IF(AND('Lease Cycles'!$AZ$19&gt;=INDEX('Lease Cycles'!$BG$19:$BM$19,1,ET197),'Lease Cycles'!$AZ$19&lt;=ET$6),'Lease Cycles'!$C$19*'Lease Cycles'!$BA$19/12,IF(AND('Lease Cycles'!$AX$19&gt;=INDEX('Lease Cycles'!$BG$19:$BM$19,1,ET197),'Lease Cycles'!$AX$19&lt;=ET$6),'Lease Cycles'!$C$19*'Lease Cycles'!$AY$19/12,IF(AND('Lease Cycles'!$AV$19&gt;=INDEX('Lease Cycles'!$BG$19:$BM$19,1,ET197),'Lease Cycles'!$AV$19&lt;=ET$6),'Lease Cycles'!$C$19*'Lease Cycles'!$AW$19/12,IF(AND('Lease Cycles'!$AT$19&gt;=INDEX('Lease Cycles'!$BG$19:$BM$19,1,ET197),'Lease Cycles'!$AT$19&lt;=ET$6),'Lease Cycles'!$C$19*'Lease Cycles'!$AU$19/12,'Lease Cycles'!$C$19*INDEX('Lease Cycles'!$CB$19:$CH$19,1,ET197)*(1+INDEX('Lease Cycles'!$CI$19:$CO$19,1,ET197))^INT(INT(ET198/12)/INDEX('Lease Cycles'!$CP$19:$CV$19,1,ET197))/12)))),'Lease Cycles'!$C$19*INDEX('Lease Cycles'!$CB$19:$CH$19,1,ET197)*(1+INDEX('Lease Cycles'!$CI$19:$CO$19,1,ET197))^INT(INT(ET198/12)/INDEX('Lease Cycles'!$CP$19:$CV$19,1,ET197))/12))),IF('Lease Cycles'!$N$19=1,'Lease Cycles'!$C$19*'Lease Cycles'!$E$19*INDEX('Lease Cycles'!$HE$19:$HK$19,1,ET197)*(1+INDEX('Lease Cycles'!$GQ$19:$GW$19,1,ET197))^INT(INT((ET$6-INDEX('Lease Cycles'!$GJ$19:$GP$19,1,ET197))/12)/INDEX('Lease Cycles'!$GX$19:$HD$19,1,ET197))/12,0)))</f>
        <v>0</v>
      </c>
    </row>
    <row r="201">
      <c r="A201" s="103">
        <v>12</v>
      </c>
      <c r="B201" s="23" t="str">
        <f>IF('Lease Cycles'!$B$19="","(empty slot)",'Lease Cycles'!$B$19)</f>
        <v>(empty slot)</v>
      </c>
      <c r="C201" s="23" t="s">
        <v>679</v>
      </c>
      <c r="D201" s="104" t="s">
        <v>680</v>
      </c>
      <c r="E201" s="25">
        <f>'Lease Cycles'!$AL$19</f>
        <v>0</v>
      </c>
      <c r="S201" s="28">
        <f>IF(S199=1,IF(INDEX('Lease Cycles'!$EF$19:$EL$19,1,S197)=1,'Lease Cycles'!$C$19*INDEX('Lease Cycles'!$ET$19:$EZ$19,1,S197)*(1+'Lease Cycles'!$V$19)^INT(INT(S198/12)/'Lease Cycles'!$W$19)/12,0),0)</f>
        <v>0</v>
      </c>
      <c r="T201" s="28">
        <f>IF(T199=1,IF(INDEX('Lease Cycles'!$EF$19:$EL$19,1,T197)=1,'Lease Cycles'!$C$19*INDEX('Lease Cycles'!$ET$19:$EZ$19,1,T197)*(1+'Lease Cycles'!$V$19)^INT(INT(T198/12)/'Lease Cycles'!$W$19)/12,0),0)</f>
        <v>0</v>
      </c>
      <c r="U201" s="28">
        <f>IF(U199=1,IF(INDEX('Lease Cycles'!$EF$19:$EL$19,1,U197)=1,'Lease Cycles'!$C$19*INDEX('Lease Cycles'!$ET$19:$EZ$19,1,U197)*(1+'Lease Cycles'!$V$19)^INT(INT(U198/12)/'Lease Cycles'!$W$19)/12,0),0)</f>
        <v>0</v>
      </c>
      <c r="V201" s="28">
        <f>IF(V199=1,IF(INDEX('Lease Cycles'!$EF$19:$EL$19,1,V197)=1,'Lease Cycles'!$C$19*INDEX('Lease Cycles'!$ET$19:$EZ$19,1,V197)*(1+'Lease Cycles'!$V$19)^INT(INT(V198/12)/'Lease Cycles'!$W$19)/12,0),0)</f>
        <v>0</v>
      </c>
      <c r="W201" s="28">
        <f>IF(W199=1,IF(INDEX('Lease Cycles'!$EF$19:$EL$19,1,W197)=1,'Lease Cycles'!$C$19*INDEX('Lease Cycles'!$ET$19:$EZ$19,1,W197)*(1+'Lease Cycles'!$V$19)^INT(INT(W198/12)/'Lease Cycles'!$W$19)/12,0),0)</f>
        <v>0</v>
      </c>
      <c r="X201" s="28">
        <f>IF(X199=1,IF(INDEX('Lease Cycles'!$EF$19:$EL$19,1,X197)=1,'Lease Cycles'!$C$19*INDEX('Lease Cycles'!$ET$19:$EZ$19,1,X197)*(1+'Lease Cycles'!$V$19)^INT(INT(X198/12)/'Lease Cycles'!$W$19)/12,0),0)</f>
        <v>0</v>
      </c>
      <c r="Y201" s="28">
        <f>IF(Y199=1,IF(INDEX('Lease Cycles'!$EF$19:$EL$19,1,Y197)=1,'Lease Cycles'!$C$19*INDEX('Lease Cycles'!$ET$19:$EZ$19,1,Y197)*(1+'Lease Cycles'!$V$19)^INT(INT(Y198/12)/'Lease Cycles'!$W$19)/12,0),0)</f>
        <v>0</v>
      </c>
      <c r="Z201" s="28">
        <f>IF(Z199=1,IF(INDEX('Lease Cycles'!$EF$19:$EL$19,1,Z197)=1,'Lease Cycles'!$C$19*INDEX('Lease Cycles'!$ET$19:$EZ$19,1,Z197)*(1+'Lease Cycles'!$V$19)^INT(INT(Z198/12)/'Lease Cycles'!$W$19)/12,0),0)</f>
        <v>0</v>
      </c>
      <c r="AA201" s="28">
        <f>IF(AA199=1,IF(INDEX('Lease Cycles'!$EF$19:$EL$19,1,AA197)=1,'Lease Cycles'!$C$19*INDEX('Lease Cycles'!$ET$19:$EZ$19,1,AA197)*(1+'Lease Cycles'!$V$19)^INT(INT(AA198/12)/'Lease Cycles'!$W$19)/12,0),0)</f>
        <v>0</v>
      </c>
      <c r="AB201" s="28">
        <f>IF(AB199=1,IF(INDEX('Lease Cycles'!$EF$19:$EL$19,1,AB197)=1,'Lease Cycles'!$C$19*INDEX('Lease Cycles'!$ET$19:$EZ$19,1,AB197)*(1+'Lease Cycles'!$V$19)^INT(INT(AB198/12)/'Lease Cycles'!$W$19)/12,0),0)</f>
        <v>0</v>
      </c>
      <c r="AC201" s="28">
        <f>IF(AC199=1,IF(INDEX('Lease Cycles'!$EF$19:$EL$19,1,AC197)=1,'Lease Cycles'!$C$19*INDEX('Lease Cycles'!$ET$19:$EZ$19,1,AC197)*(1+'Lease Cycles'!$V$19)^INT(INT(AC198/12)/'Lease Cycles'!$W$19)/12,0),0)</f>
        <v>0</v>
      </c>
      <c r="AD201" s="28">
        <f>IF(AD199=1,IF(INDEX('Lease Cycles'!$EF$19:$EL$19,1,AD197)=1,'Lease Cycles'!$C$19*INDEX('Lease Cycles'!$ET$19:$EZ$19,1,AD197)*(1+'Lease Cycles'!$V$19)^INT(INT(AD198/12)/'Lease Cycles'!$W$19)/12,0),0)</f>
        <v>0</v>
      </c>
      <c r="AE201" s="28">
        <f>IF(AE199=1,IF(INDEX('Lease Cycles'!$EF$19:$EL$19,1,AE197)=1,'Lease Cycles'!$C$19*INDEX('Lease Cycles'!$ET$19:$EZ$19,1,AE197)*(1+'Lease Cycles'!$V$19)^INT(INT(AE198/12)/'Lease Cycles'!$W$19)/12,0),0)</f>
        <v>0</v>
      </c>
      <c r="AF201" s="28">
        <f>IF(AF199=1,IF(INDEX('Lease Cycles'!$EF$19:$EL$19,1,AF197)=1,'Lease Cycles'!$C$19*INDEX('Lease Cycles'!$ET$19:$EZ$19,1,AF197)*(1+'Lease Cycles'!$V$19)^INT(INT(AF198/12)/'Lease Cycles'!$W$19)/12,0),0)</f>
        <v>0</v>
      </c>
      <c r="AG201" s="28">
        <f>IF(AG199=1,IF(INDEX('Lease Cycles'!$EF$19:$EL$19,1,AG197)=1,'Lease Cycles'!$C$19*INDEX('Lease Cycles'!$ET$19:$EZ$19,1,AG197)*(1+'Lease Cycles'!$V$19)^INT(INT(AG198/12)/'Lease Cycles'!$W$19)/12,0),0)</f>
        <v>0</v>
      </c>
      <c r="AH201" s="28">
        <f>IF(AH199=1,IF(INDEX('Lease Cycles'!$EF$19:$EL$19,1,AH197)=1,'Lease Cycles'!$C$19*INDEX('Lease Cycles'!$ET$19:$EZ$19,1,AH197)*(1+'Lease Cycles'!$V$19)^INT(INT(AH198/12)/'Lease Cycles'!$W$19)/12,0),0)</f>
        <v>0</v>
      </c>
      <c r="AI201" s="28">
        <f>IF(AI199=1,IF(INDEX('Lease Cycles'!$EF$19:$EL$19,1,AI197)=1,'Lease Cycles'!$C$19*INDEX('Lease Cycles'!$ET$19:$EZ$19,1,AI197)*(1+'Lease Cycles'!$V$19)^INT(INT(AI198/12)/'Lease Cycles'!$W$19)/12,0),0)</f>
        <v>0</v>
      </c>
      <c r="AJ201" s="28">
        <f>IF(AJ199=1,IF(INDEX('Lease Cycles'!$EF$19:$EL$19,1,AJ197)=1,'Lease Cycles'!$C$19*INDEX('Lease Cycles'!$ET$19:$EZ$19,1,AJ197)*(1+'Lease Cycles'!$V$19)^INT(INT(AJ198/12)/'Lease Cycles'!$W$19)/12,0),0)</f>
        <v>0</v>
      </c>
      <c r="AK201" s="28">
        <f>IF(AK199=1,IF(INDEX('Lease Cycles'!$EF$19:$EL$19,1,AK197)=1,'Lease Cycles'!$C$19*INDEX('Lease Cycles'!$ET$19:$EZ$19,1,AK197)*(1+'Lease Cycles'!$V$19)^INT(INT(AK198/12)/'Lease Cycles'!$W$19)/12,0),0)</f>
        <v>0</v>
      </c>
      <c r="AL201" s="28">
        <f>IF(AL199=1,IF(INDEX('Lease Cycles'!$EF$19:$EL$19,1,AL197)=1,'Lease Cycles'!$C$19*INDEX('Lease Cycles'!$ET$19:$EZ$19,1,AL197)*(1+'Lease Cycles'!$V$19)^INT(INT(AL198/12)/'Lease Cycles'!$W$19)/12,0),0)</f>
        <v>0</v>
      </c>
      <c r="AM201" s="28">
        <f>IF(AM199=1,IF(INDEX('Lease Cycles'!$EF$19:$EL$19,1,AM197)=1,'Lease Cycles'!$C$19*INDEX('Lease Cycles'!$ET$19:$EZ$19,1,AM197)*(1+'Lease Cycles'!$V$19)^INT(INT(AM198/12)/'Lease Cycles'!$W$19)/12,0),0)</f>
        <v>0</v>
      </c>
      <c r="AN201" s="28">
        <f>IF(AN199=1,IF(INDEX('Lease Cycles'!$EF$19:$EL$19,1,AN197)=1,'Lease Cycles'!$C$19*INDEX('Lease Cycles'!$ET$19:$EZ$19,1,AN197)*(1+'Lease Cycles'!$V$19)^INT(INT(AN198/12)/'Lease Cycles'!$W$19)/12,0),0)</f>
        <v>0</v>
      </c>
      <c r="AO201" s="28">
        <f>IF(AO199=1,IF(INDEX('Lease Cycles'!$EF$19:$EL$19,1,AO197)=1,'Lease Cycles'!$C$19*INDEX('Lease Cycles'!$ET$19:$EZ$19,1,AO197)*(1+'Lease Cycles'!$V$19)^INT(INT(AO198/12)/'Lease Cycles'!$W$19)/12,0),0)</f>
        <v>0</v>
      </c>
      <c r="AP201" s="28">
        <f>IF(AP199=1,IF(INDEX('Lease Cycles'!$EF$19:$EL$19,1,AP197)=1,'Lease Cycles'!$C$19*INDEX('Lease Cycles'!$ET$19:$EZ$19,1,AP197)*(1+'Lease Cycles'!$V$19)^INT(INT(AP198/12)/'Lease Cycles'!$W$19)/12,0),0)</f>
        <v>0</v>
      </c>
      <c r="AQ201" s="28">
        <f>IF(AQ199=1,IF(INDEX('Lease Cycles'!$EF$19:$EL$19,1,AQ197)=1,'Lease Cycles'!$C$19*INDEX('Lease Cycles'!$ET$19:$EZ$19,1,AQ197)*(1+'Lease Cycles'!$V$19)^INT(INT(AQ198/12)/'Lease Cycles'!$W$19)/12,0),0)</f>
        <v>0</v>
      </c>
      <c r="AR201" s="28">
        <f>IF(AR199=1,IF(INDEX('Lease Cycles'!$EF$19:$EL$19,1,AR197)=1,'Lease Cycles'!$C$19*INDEX('Lease Cycles'!$ET$19:$EZ$19,1,AR197)*(1+'Lease Cycles'!$V$19)^INT(INT(AR198/12)/'Lease Cycles'!$W$19)/12,0),0)</f>
        <v>0</v>
      </c>
      <c r="AS201" s="28">
        <f>IF(AS199=1,IF(INDEX('Lease Cycles'!$EF$19:$EL$19,1,AS197)=1,'Lease Cycles'!$C$19*INDEX('Lease Cycles'!$ET$19:$EZ$19,1,AS197)*(1+'Lease Cycles'!$V$19)^INT(INT(AS198/12)/'Lease Cycles'!$W$19)/12,0),0)</f>
        <v>0</v>
      </c>
      <c r="AT201" s="28">
        <f>IF(AT199=1,IF(INDEX('Lease Cycles'!$EF$19:$EL$19,1,AT197)=1,'Lease Cycles'!$C$19*INDEX('Lease Cycles'!$ET$19:$EZ$19,1,AT197)*(1+'Lease Cycles'!$V$19)^INT(INT(AT198/12)/'Lease Cycles'!$W$19)/12,0),0)</f>
        <v>0</v>
      </c>
      <c r="AU201" s="28">
        <f>IF(AU199=1,IF(INDEX('Lease Cycles'!$EF$19:$EL$19,1,AU197)=1,'Lease Cycles'!$C$19*INDEX('Lease Cycles'!$ET$19:$EZ$19,1,AU197)*(1+'Lease Cycles'!$V$19)^INT(INT(AU198/12)/'Lease Cycles'!$W$19)/12,0),0)</f>
        <v>0</v>
      </c>
      <c r="AV201" s="28">
        <f>IF(AV199=1,IF(INDEX('Lease Cycles'!$EF$19:$EL$19,1,AV197)=1,'Lease Cycles'!$C$19*INDEX('Lease Cycles'!$ET$19:$EZ$19,1,AV197)*(1+'Lease Cycles'!$V$19)^INT(INT(AV198/12)/'Lease Cycles'!$W$19)/12,0),0)</f>
        <v>0</v>
      </c>
      <c r="AW201" s="28">
        <f>IF(AW199=1,IF(INDEX('Lease Cycles'!$EF$19:$EL$19,1,AW197)=1,'Lease Cycles'!$C$19*INDEX('Lease Cycles'!$ET$19:$EZ$19,1,AW197)*(1+'Lease Cycles'!$V$19)^INT(INT(AW198/12)/'Lease Cycles'!$W$19)/12,0),0)</f>
        <v>0</v>
      </c>
      <c r="AX201" s="28">
        <f>IF(AX199=1,IF(INDEX('Lease Cycles'!$EF$19:$EL$19,1,AX197)=1,'Lease Cycles'!$C$19*INDEX('Lease Cycles'!$ET$19:$EZ$19,1,AX197)*(1+'Lease Cycles'!$V$19)^INT(INT(AX198/12)/'Lease Cycles'!$W$19)/12,0),0)</f>
        <v>0</v>
      </c>
      <c r="AY201" s="28">
        <f>IF(AY199=1,IF(INDEX('Lease Cycles'!$EF$19:$EL$19,1,AY197)=1,'Lease Cycles'!$C$19*INDEX('Lease Cycles'!$ET$19:$EZ$19,1,AY197)*(1+'Lease Cycles'!$V$19)^INT(INT(AY198/12)/'Lease Cycles'!$W$19)/12,0),0)</f>
        <v>0</v>
      </c>
      <c r="AZ201" s="28">
        <f>IF(AZ199=1,IF(INDEX('Lease Cycles'!$EF$19:$EL$19,1,AZ197)=1,'Lease Cycles'!$C$19*INDEX('Lease Cycles'!$ET$19:$EZ$19,1,AZ197)*(1+'Lease Cycles'!$V$19)^INT(INT(AZ198/12)/'Lease Cycles'!$W$19)/12,0),0)</f>
        <v>0</v>
      </c>
      <c r="BA201" s="28">
        <f>IF(BA199=1,IF(INDEX('Lease Cycles'!$EF$19:$EL$19,1,BA197)=1,'Lease Cycles'!$C$19*INDEX('Lease Cycles'!$ET$19:$EZ$19,1,BA197)*(1+'Lease Cycles'!$V$19)^INT(INT(BA198/12)/'Lease Cycles'!$W$19)/12,0),0)</f>
        <v>0</v>
      </c>
      <c r="BB201" s="28">
        <f>IF(BB199=1,IF(INDEX('Lease Cycles'!$EF$19:$EL$19,1,BB197)=1,'Lease Cycles'!$C$19*INDEX('Lease Cycles'!$ET$19:$EZ$19,1,BB197)*(1+'Lease Cycles'!$V$19)^INT(INT(BB198/12)/'Lease Cycles'!$W$19)/12,0),0)</f>
        <v>0</v>
      </c>
      <c r="BC201" s="28">
        <f>IF(BC199=1,IF(INDEX('Lease Cycles'!$EF$19:$EL$19,1,BC197)=1,'Lease Cycles'!$C$19*INDEX('Lease Cycles'!$ET$19:$EZ$19,1,BC197)*(1+'Lease Cycles'!$V$19)^INT(INT(BC198/12)/'Lease Cycles'!$W$19)/12,0),0)</f>
        <v>0</v>
      </c>
      <c r="BD201" s="28">
        <f>IF(BD199=1,IF(INDEX('Lease Cycles'!$EF$19:$EL$19,1,BD197)=1,'Lease Cycles'!$C$19*INDEX('Lease Cycles'!$ET$19:$EZ$19,1,BD197)*(1+'Lease Cycles'!$V$19)^INT(INT(BD198/12)/'Lease Cycles'!$W$19)/12,0),0)</f>
        <v>0</v>
      </c>
      <c r="BE201" s="28">
        <f>IF(BE199=1,IF(INDEX('Lease Cycles'!$EF$19:$EL$19,1,BE197)=1,'Lease Cycles'!$C$19*INDEX('Lease Cycles'!$ET$19:$EZ$19,1,BE197)*(1+'Lease Cycles'!$V$19)^INT(INT(BE198/12)/'Lease Cycles'!$W$19)/12,0),0)</f>
        <v>0</v>
      </c>
      <c r="BF201" s="28">
        <f>IF(BF199=1,IF(INDEX('Lease Cycles'!$EF$19:$EL$19,1,BF197)=1,'Lease Cycles'!$C$19*INDEX('Lease Cycles'!$ET$19:$EZ$19,1,BF197)*(1+'Lease Cycles'!$V$19)^INT(INT(BF198/12)/'Lease Cycles'!$W$19)/12,0),0)</f>
        <v>0</v>
      </c>
      <c r="BG201" s="28">
        <f>IF(BG199=1,IF(INDEX('Lease Cycles'!$EF$19:$EL$19,1,BG197)=1,'Lease Cycles'!$C$19*INDEX('Lease Cycles'!$ET$19:$EZ$19,1,BG197)*(1+'Lease Cycles'!$V$19)^INT(INT(BG198/12)/'Lease Cycles'!$W$19)/12,0),0)</f>
        <v>0</v>
      </c>
      <c r="BH201" s="28">
        <f>IF(BH199=1,IF(INDEX('Lease Cycles'!$EF$19:$EL$19,1,BH197)=1,'Lease Cycles'!$C$19*INDEX('Lease Cycles'!$ET$19:$EZ$19,1,BH197)*(1+'Lease Cycles'!$V$19)^INT(INT(BH198/12)/'Lease Cycles'!$W$19)/12,0),0)</f>
        <v>0</v>
      </c>
      <c r="BI201" s="28">
        <f>IF(BI199=1,IF(INDEX('Lease Cycles'!$EF$19:$EL$19,1,BI197)=1,'Lease Cycles'!$C$19*INDEX('Lease Cycles'!$ET$19:$EZ$19,1,BI197)*(1+'Lease Cycles'!$V$19)^INT(INT(BI198/12)/'Lease Cycles'!$W$19)/12,0),0)</f>
        <v>0</v>
      </c>
      <c r="BJ201" s="28">
        <f>IF(BJ199=1,IF(INDEX('Lease Cycles'!$EF$19:$EL$19,1,BJ197)=1,'Lease Cycles'!$C$19*INDEX('Lease Cycles'!$ET$19:$EZ$19,1,BJ197)*(1+'Lease Cycles'!$V$19)^INT(INT(BJ198/12)/'Lease Cycles'!$W$19)/12,0),0)</f>
        <v>0</v>
      </c>
      <c r="BK201" s="28">
        <f>IF(BK199=1,IF(INDEX('Lease Cycles'!$EF$19:$EL$19,1,BK197)=1,'Lease Cycles'!$C$19*INDEX('Lease Cycles'!$ET$19:$EZ$19,1,BK197)*(1+'Lease Cycles'!$V$19)^INT(INT(BK198/12)/'Lease Cycles'!$W$19)/12,0),0)</f>
        <v>0</v>
      </c>
      <c r="BL201" s="28">
        <f>IF(BL199=1,IF(INDEX('Lease Cycles'!$EF$19:$EL$19,1,BL197)=1,'Lease Cycles'!$C$19*INDEX('Lease Cycles'!$ET$19:$EZ$19,1,BL197)*(1+'Lease Cycles'!$V$19)^INT(INT(BL198/12)/'Lease Cycles'!$W$19)/12,0),0)</f>
        <v>0</v>
      </c>
      <c r="BM201" s="28">
        <f>IF(BM199=1,IF(INDEX('Lease Cycles'!$EF$19:$EL$19,1,BM197)=1,'Lease Cycles'!$C$19*INDEX('Lease Cycles'!$ET$19:$EZ$19,1,BM197)*(1+'Lease Cycles'!$V$19)^INT(INT(BM198/12)/'Lease Cycles'!$W$19)/12,0),0)</f>
        <v>0</v>
      </c>
      <c r="BN201" s="28">
        <f>IF(BN199=1,IF(INDEX('Lease Cycles'!$EF$19:$EL$19,1,BN197)=1,'Lease Cycles'!$C$19*INDEX('Lease Cycles'!$ET$19:$EZ$19,1,BN197)*(1+'Lease Cycles'!$V$19)^INT(INT(BN198/12)/'Lease Cycles'!$W$19)/12,0),0)</f>
        <v>0</v>
      </c>
      <c r="BO201" s="28">
        <f>IF(BO199=1,IF(INDEX('Lease Cycles'!$EF$19:$EL$19,1,BO197)=1,'Lease Cycles'!$C$19*INDEX('Lease Cycles'!$ET$19:$EZ$19,1,BO197)*(1+'Lease Cycles'!$V$19)^INT(INT(BO198/12)/'Lease Cycles'!$W$19)/12,0),0)</f>
        <v>0</v>
      </c>
      <c r="BP201" s="28">
        <f>IF(BP199=1,IF(INDEX('Lease Cycles'!$EF$19:$EL$19,1,BP197)=1,'Lease Cycles'!$C$19*INDEX('Lease Cycles'!$ET$19:$EZ$19,1,BP197)*(1+'Lease Cycles'!$V$19)^INT(INT(BP198/12)/'Lease Cycles'!$W$19)/12,0),0)</f>
        <v>0</v>
      </c>
      <c r="BQ201" s="28">
        <f>IF(BQ199=1,IF(INDEX('Lease Cycles'!$EF$19:$EL$19,1,BQ197)=1,'Lease Cycles'!$C$19*INDEX('Lease Cycles'!$ET$19:$EZ$19,1,BQ197)*(1+'Lease Cycles'!$V$19)^INT(INT(BQ198/12)/'Lease Cycles'!$W$19)/12,0),0)</f>
        <v>0</v>
      </c>
      <c r="BR201" s="28">
        <f>IF(BR199=1,IF(INDEX('Lease Cycles'!$EF$19:$EL$19,1,BR197)=1,'Lease Cycles'!$C$19*INDEX('Lease Cycles'!$ET$19:$EZ$19,1,BR197)*(1+'Lease Cycles'!$V$19)^INT(INT(BR198/12)/'Lease Cycles'!$W$19)/12,0),0)</f>
        <v>0</v>
      </c>
      <c r="BS201" s="28">
        <f>IF(BS199=1,IF(INDEX('Lease Cycles'!$EF$19:$EL$19,1,BS197)=1,'Lease Cycles'!$C$19*INDEX('Lease Cycles'!$ET$19:$EZ$19,1,BS197)*(1+'Lease Cycles'!$V$19)^INT(INT(BS198/12)/'Lease Cycles'!$W$19)/12,0),0)</f>
        <v>0</v>
      </c>
      <c r="BT201" s="28">
        <f>IF(BT199=1,IF(INDEX('Lease Cycles'!$EF$19:$EL$19,1,BT197)=1,'Lease Cycles'!$C$19*INDEX('Lease Cycles'!$ET$19:$EZ$19,1,BT197)*(1+'Lease Cycles'!$V$19)^INT(INT(BT198/12)/'Lease Cycles'!$W$19)/12,0),0)</f>
        <v>0</v>
      </c>
      <c r="BU201" s="28">
        <f>IF(BU199=1,IF(INDEX('Lease Cycles'!$EF$19:$EL$19,1,BU197)=1,'Lease Cycles'!$C$19*INDEX('Lease Cycles'!$ET$19:$EZ$19,1,BU197)*(1+'Lease Cycles'!$V$19)^INT(INT(BU198/12)/'Lease Cycles'!$W$19)/12,0),0)</f>
        <v>0</v>
      </c>
      <c r="BV201" s="28">
        <f>IF(BV199=1,IF(INDEX('Lease Cycles'!$EF$19:$EL$19,1,BV197)=1,'Lease Cycles'!$C$19*INDEX('Lease Cycles'!$ET$19:$EZ$19,1,BV197)*(1+'Lease Cycles'!$V$19)^INT(INT(BV198/12)/'Lease Cycles'!$W$19)/12,0),0)</f>
        <v>0</v>
      </c>
      <c r="BW201" s="28">
        <f>IF(BW199=1,IF(INDEX('Lease Cycles'!$EF$19:$EL$19,1,BW197)=1,'Lease Cycles'!$C$19*INDEX('Lease Cycles'!$ET$19:$EZ$19,1,BW197)*(1+'Lease Cycles'!$V$19)^INT(INT(BW198/12)/'Lease Cycles'!$W$19)/12,0),0)</f>
        <v>0</v>
      </c>
      <c r="BX201" s="28">
        <f>IF(BX199=1,IF(INDEX('Lease Cycles'!$EF$19:$EL$19,1,BX197)=1,'Lease Cycles'!$C$19*INDEX('Lease Cycles'!$ET$19:$EZ$19,1,BX197)*(1+'Lease Cycles'!$V$19)^INT(INT(BX198/12)/'Lease Cycles'!$W$19)/12,0),0)</f>
        <v>0</v>
      </c>
      <c r="BY201" s="28">
        <f>IF(BY199=1,IF(INDEX('Lease Cycles'!$EF$19:$EL$19,1,BY197)=1,'Lease Cycles'!$C$19*INDEX('Lease Cycles'!$ET$19:$EZ$19,1,BY197)*(1+'Lease Cycles'!$V$19)^INT(INT(BY198/12)/'Lease Cycles'!$W$19)/12,0),0)</f>
        <v>0</v>
      </c>
      <c r="BZ201" s="28">
        <f>IF(BZ199=1,IF(INDEX('Lease Cycles'!$EF$19:$EL$19,1,BZ197)=1,'Lease Cycles'!$C$19*INDEX('Lease Cycles'!$ET$19:$EZ$19,1,BZ197)*(1+'Lease Cycles'!$V$19)^INT(INT(BZ198/12)/'Lease Cycles'!$W$19)/12,0),0)</f>
        <v>0</v>
      </c>
      <c r="CA201" s="28">
        <f>IF(CA199=1,IF(INDEX('Lease Cycles'!$EF$19:$EL$19,1,CA197)=1,'Lease Cycles'!$C$19*INDEX('Lease Cycles'!$ET$19:$EZ$19,1,CA197)*(1+'Lease Cycles'!$V$19)^INT(INT(CA198/12)/'Lease Cycles'!$W$19)/12,0),0)</f>
        <v>0</v>
      </c>
      <c r="CB201" s="28">
        <f>IF(CB199=1,IF(INDEX('Lease Cycles'!$EF$19:$EL$19,1,CB197)=1,'Lease Cycles'!$C$19*INDEX('Lease Cycles'!$ET$19:$EZ$19,1,CB197)*(1+'Lease Cycles'!$V$19)^INT(INT(CB198/12)/'Lease Cycles'!$W$19)/12,0),0)</f>
        <v>0</v>
      </c>
      <c r="CC201" s="28">
        <f>IF(CC199=1,IF(INDEX('Lease Cycles'!$EF$19:$EL$19,1,CC197)=1,'Lease Cycles'!$C$19*INDEX('Lease Cycles'!$ET$19:$EZ$19,1,CC197)*(1+'Lease Cycles'!$V$19)^INT(INT(CC198/12)/'Lease Cycles'!$W$19)/12,0),0)</f>
        <v>0</v>
      </c>
      <c r="CD201" s="28">
        <f>IF(CD199=1,IF(INDEX('Lease Cycles'!$EF$19:$EL$19,1,CD197)=1,'Lease Cycles'!$C$19*INDEX('Lease Cycles'!$ET$19:$EZ$19,1,CD197)*(1+'Lease Cycles'!$V$19)^INT(INT(CD198/12)/'Lease Cycles'!$W$19)/12,0),0)</f>
        <v>0</v>
      </c>
      <c r="CE201" s="28">
        <f>IF(CE199=1,IF(INDEX('Lease Cycles'!$EF$19:$EL$19,1,CE197)=1,'Lease Cycles'!$C$19*INDEX('Lease Cycles'!$ET$19:$EZ$19,1,CE197)*(1+'Lease Cycles'!$V$19)^INT(INT(CE198/12)/'Lease Cycles'!$W$19)/12,0),0)</f>
        <v>0</v>
      </c>
      <c r="CF201" s="28">
        <f>IF(CF199=1,IF(INDEX('Lease Cycles'!$EF$19:$EL$19,1,CF197)=1,'Lease Cycles'!$C$19*INDEX('Lease Cycles'!$ET$19:$EZ$19,1,CF197)*(1+'Lease Cycles'!$V$19)^INT(INT(CF198/12)/'Lease Cycles'!$W$19)/12,0),0)</f>
        <v>0</v>
      </c>
      <c r="CG201" s="28">
        <f>IF(CG199=1,IF(INDEX('Lease Cycles'!$EF$19:$EL$19,1,CG197)=1,'Lease Cycles'!$C$19*INDEX('Lease Cycles'!$ET$19:$EZ$19,1,CG197)*(1+'Lease Cycles'!$V$19)^INT(INT(CG198/12)/'Lease Cycles'!$W$19)/12,0),0)</f>
        <v>0</v>
      </c>
      <c r="CH201" s="28">
        <f>IF(CH199=1,IF(INDEX('Lease Cycles'!$EF$19:$EL$19,1,CH197)=1,'Lease Cycles'!$C$19*INDEX('Lease Cycles'!$ET$19:$EZ$19,1,CH197)*(1+'Lease Cycles'!$V$19)^INT(INT(CH198/12)/'Lease Cycles'!$W$19)/12,0),0)</f>
        <v>0</v>
      </c>
      <c r="CI201" s="28">
        <f>IF(CI199=1,IF(INDEX('Lease Cycles'!$EF$19:$EL$19,1,CI197)=1,'Lease Cycles'!$C$19*INDEX('Lease Cycles'!$ET$19:$EZ$19,1,CI197)*(1+'Lease Cycles'!$V$19)^INT(INT(CI198/12)/'Lease Cycles'!$W$19)/12,0),0)</f>
        <v>0</v>
      </c>
      <c r="CJ201" s="28">
        <f>IF(CJ199=1,IF(INDEX('Lease Cycles'!$EF$19:$EL$19,1,CJ197)=1,'Lease Cycles'!$C$19*INDEX('Lease Cycles'!$ET$19:$EZ$19,1,CJ197)*(1+'Lease Cycles'!$V$19)^INT(INT(CJ198/12)/'Lease Cycles'!$W$19)/12,0),0)</f>
        <v>0</v>
      </c>
      <c r="CK201" s="28">
        <f>IF(CK199=1,IF(INDEX('Lease Cycles'!$EF$19:$EL$19,1,CK197)=1,'Lease Cycles'!$C$19*INDEX('Lease Cycles'!$ET$19:$EZ$19,1,CK197)*(1+'Lease Cycles'!$V$19)^INT(INT(CK198/12)/'Lease Cycles'!$W$19)/12,0),0)</f>
        <v>0</v>
      </c>
      <c r="CL201" s="28">
        <f>IF(CL199=1,IF(INDEX('Lease Cycles'!$EF$19:$EL$19,1,CL197)=1,'Lease Cycles'!$C$19*INDEX('Lease Cycles'!$ET$19:$EZ$19,1,CL197)*(1+'Lease Cycles'!$V$19)^INT(INT(CL198/12)/'Lease Cycles'!$W$19)/12,0),0)</f>
        <v>0</v>
      </c>
      <c r="CM201" s="28">
        <f>IF(CM199=1,IF(INDEX('Lease Cycles'!$EF$19:$EL$19,1,CM197)=1,'Lease Cycles'!$C$19*INDEX('Lease Cycles'!$ET$19:$EZ$19,1,CM197)*(1+'Lease Cycles'!$V$19)^INT(INT(CM198/12)/'Lease Cycles'!$W$19)/12,0),0)</f>
        <v>0</v>
      </c>
      <c r="CN201" s="28">
        <f>IF(CN199=1,IF(INDEX('Lease Cycles'!$EF$19:$EL$19,1,CN197)=1,'Lease Cycles'!$C$19*INDEX('Lease Cycles'!$ET$19:$EZ$19,1,CN197)*(1+'Lease Cycles'!$V$19)^INT(INT(CN198/12)/'Lease Cycles'!$W$19)/12,0),0)</f>
        <v>0</v>
      </c>
      <c r="CO201" s="28">
        <f>IF(CO199=1,IF(INDEX('Lease Cycles'!$EF$19:$EL$19,1,CO197)=1,'Lease Cycles'!$C$19*INDEX('Lease Cycles'!$ET$19:$EZ$19,1,CO197)*(1+'Lease Cycles'!$V$19)^INT(INT(CO198/12)/'Lease Cycles'!$W$19)/12,0),0)</f>
        <v>0</v>
      </c>
      <c r="CP201" s="28">
        <f>IF(CP199=1,IF(INDEX('Lease Cycles'!$EF$19:$EL$19,1,CP197)=1,'Lease Cycles'!$C$19*INDEX('Lease Cycles'!$ET$19:$EZ$19,1,CP197)*(1+'Lease Cycles'!$V$19)^INT(INT(CP198/12)/'Lease Cycles'!$W$19)/12,0),0)</f>
        <v>0</v>
      </c>
      <c r="CQ201" s="28">
        <f>IF(CQ199=1,IF(INDEX('Lease Cycles'!$EF$19:$EL$19,1,CQ197)=1,'Lease Cycles'!$C$19*INDEX('Lease Cycles'!$ET$19:$EZ$19,1,CQ197)*(1+'Lease Cycles'!$V$19)^INT(INT(CQ198/12)/'Lease Cycles'!$W$19)/12,0),0)</f>
        <v>0</v>
      </c>
      <c r="CR201" s="28">
        <f>IF(CR199=1,IF(INDEX('Lease Cycles'!$EF$19:$EL$19,1,CR197)=1,'Lease Cycles'!$C$19*INDEX('Lease Cycles'!$ET$19:$EZ$19,1,CR197)*(1+'Lease Cycles'!$V$19)^INT(INT(CR198/12)/'Lease Cycles'!$W$19)/12,0),0)</f>
        <v>0</v>
      </c>
      <c r="CS201" s="28">
        <f>IF(CS199=1,IF(INDEX('Lease Cycles'!$EF$19:$EL$19,1,CS197)=1,'Lease Cycles'!$C$19*INDEX('Lease Cycles'!$ET$19:$EZ$19,1,CS197)*(1+'Lease Cycles'!$V$19)^INT(INT(CS198/12)/'Lease Cycles'!$W$19)/12,0),0)</f>
        <v>0</v>
      </c>
      <c r="CT201" s="28">
        <f>IF(CT199=1,IF(INDEX('Lease Cycles'!$EF$19:$EL$19,1,CT197)=1,'Lease Cycles'!$C$19*INDEX('Lease Cycles'!$ET$19:$EZ$19,1,CT197)*(1+'Lease Cycles'!$V$19)^INT(INT(CT198/12)/'Lease Cycles'!$W$19)/12,0),0)</f>
        <v>0</v>
      </c>
      <c r="CU201" s="28">
        <f>IF(CU199=1,IF(INDEX('Lease Cycles'!$EF$19:$EL$19,1,CU197)=1,'Lease Cycles'!$C$19*INDEX('Lease Cycles'!$ET$19:$EZ$19,1,CU197)*(1+'Lease Cycles'!$V$19)^INT(INT(CU198/12)/'Lease Cycles'!$W$19)/12,0),0)</f>
        <v>0</v>
      </c>
      <c r="CV201" s="28">
        <f>IF(CV199=1,IF(INDEX('Lease Cycles'!$EF$19:$EL$19,1,CV197)=1,'Lease Cycles'!$C$19*INDEX('Lease Cycles'!$ET$19:$EZ$19,1,CV197)*(1+'Lease Cycles'!$V$19)^INT(INT(CV198/12)/'Lease Cycles'!$W$19)/12,0),0)</f>
        <v>0</v>
      </c>
      <c r="CW201" s="28">
        <f>IF(CW199=1,IF(INDEX('Lease Cycles'!$EF$19:$EL$19,1,CW197)=1,'Lease Cycles'!$C$19*INDEX('Lease Cycles'!$ET$19:$EZ$19,1,CW197)*(1+'Lease Cycles'!$V$19)^INT(INT(CW198/12)/'Lease Cycles'!$W$19)/12,0),0)</f>
        <v>0</v>
      </c>
      <c r="CX201" s="28">
        <f>IF(CX199=1,IF(INDEX('Lease Cycles'!$EF$19:$EL$19,1,CX197)=1,'Lease Cycles'!$C$19*INDEX('Lease Cycles'!$ET$19:$EZ$19,1,CX197)*(1+'Lease Cycles'!$V$19)^INT(INT(CX198/12)/'Lease Cycles'!$W$19)/12,0),0)</f>
        <v>0</v>
      </c>
      <c r="CY201" s="28">
        <f>IF(CY199=1,IF(INDEX('Lease Cycles'!$EF$19:$EL$19,1,CY197)=1,'Lease Cycles'!$C$19*INDEX('Lease Cycles'!$ET$19:$EZ$19,1,CY197)*(1+'Lease Cycles'!$V$19)^INT(INT(CY198/12)/'Lease Cycles'!$W$19)/12,0),0)</f>
        <v>0</v>
      </c>
      <c r="CZ201" s="28">
        <f>IF(CZ199=1,IF(INDEX('Lease Cycles'!$EF$19:$EL$19,1,CZ197)=1,'Lease Cycles'!$C$19*INDEX('Lease Cycles'!$ET$19:$EZ$19,1,CZ197)*(1+'Lease Cycles'!$V$19)^INT(INT(CZ198/12)/'Lease Cycles'!$W$19)/12,0),0)</f>
        <v>0</v>
      </c>
      <c r="DA201" s="28">
        <f>IF(DA199=1,IF(INDEX('Lease Cycles'!$EF$19:$EL$19,1,DA197)=1,'Lease Cycles'!$C$19*INDEX('Lease Cycles'!$ET$19:$EZ$19,1,DA197)*(1+'Lease Cycles'!$V$19)^INT(INT(DA198/12)/'Lease Cycles'!$W$19)/12,0),0)</f>
        <v>0</v>
      </c>
      <c r="DB201" s="28">
        <f>IF(DB199=1,IF(INDEX('Lease Cycles'!$EF$19:$EL$19,1,DB197)=1,'Lease Cycles'!$C$19*INDEX('Lease Cycles'!$ET$19:$EZ$19,1,DB197)*(1+'Lease Cycles'!$V$19)^INT(INT(DB198/12)/'Lease Cycles'!$W$19)/12,0),0)</f>
        <v>0</v>
      </c>
      <c r="DC201" s="28">
        <f>IF(DC199=1,IF(INDEX('Lease Cycles'!$EF$19:$EL$19,1,DC197)=1,'Lease Cycles'!$C$19*INDEX('Lease Cycles'!$ET$19:$EZ$19,1,DC197)*(1+'Lease Cycles'!$V$19)^INT(INT(DC198/12)/'Lease Cycles'!$W$19)/12,0),0)</f>
        <v>0</v>
      </c>
      <c r="DD201" s="28">
        <f>IF(DD199=1,IF(INDEX('Lease Cycles'!$EF$19:$EL$19,1,DD197)=1,'Lease Cycles'!$C$19*INDEX('Lease Cycles'!$ET$19:$EZ$19,1,DD197)*(1+'Lease Cycles'!$V$19)^INT(INT(DD198/12)/'Lease Cycles'!$W$19)/12,0),0)</f>
        <v>0</v>
      </c>
      <c r="DE201" s="28">
        <f>IF(DE199=1,IF(INDEX('Lease Cycles'!$EF$19:$EL$19,1,DE197)=1,'Lease Cycles'!$C$19*INDEX('Lease Cycles'!$ET$19:$EZ$19,1,DE197)*(1+'Lease Cycles'!$V$19)^INT(INT(DE198/12)/'Lease Cycles'!$W$19)/12,0),0)</f>
        <v>0</v>
      </c>
      <c r="DF201" s="28">
        <f>IF(DF199=1,IF(INDEX('Lease Cycles'!$EF$19:$EL$19,1,DF197)=1,'Lease Cycles'!$C$19*INDEX('Lease Cycles'!$ET$19:$EZ$19,1,DF197)*(1+'Lease Cycles'!$V$19)^INT(INT(DF198/12)/'Lease Cycles'!$W$19)/12,0),0)</f>
        <v>0</v>
      </c>
      <c r="DG201" s="28">
        <f>IF(DG199=1,IF(INDEX('Lease Cycles'!$EF$19:$EL$19,1,DG197)=1,'Lease Cycles'!$C$19*INDEX('Lease Cycles'!$ET$19:$EZ$19,1,DG197)*(1+'Lease Cycles'!$V$19)^INT(INT(DG198/12)/'Lease Cycles'!$W$19)/12,0),0)</f>
        <v>0</v>
      </c>
      <c r="DH201" s="28">
        <f>IF(DH199=1,IF(INDEX('Lease Cycles'!$EF$19:$EL$19,1,DH197)=1,'Lease Cycles'!$C$19*INDEX('Lease Cycles'!$ET$19:$EZ$19,1,DH197)*(1+'Lease Cycles'!$V$19)^INT(INT(DH198/12)/'Lease Cycles'!$W$19)/12,0),0)</f>
        <v>0</v>
      </c>
      <c r="DI201" s="28">
        <f>IF(DI199=1,IF(INDEX('Lease Cycles'!$EF$19:$EL$19,1,DI197)=1,'Lease Cycles'!$C$19*INDEX('Lease Cycles'!$ET$19:$EZ$19,1,DI197)*(1+'Lease Cycles'!$V$19)^INT(INT(DI198/12)/'Lease Cycles'!$W$19)/12,0),0)</f>
        <v>0</v>
      </c>
      <c r="DJ201" s="28">
        <f>IF(DJ199=1,IF(INDEX('Lease Cycles'!$EF$19:$EL$19,1,DJ197)=1,'Lease Cycles'!$C$19*INDEX('Lease Cycles'!$ET$19:$EZ$19,1,DJ197)*(1+'Lease Cycles'!$V$19)^INT(INT(DJ198/12)/'Lease Cycles'!$W$19)/12,0),0)</f>
        <v>0</v>
      </c>
      <c r="DK201" s="28">
        <f>IF(DK199=1,IF(INDEX('Lease Cycles'!$EF$19:$EL$19,1,DK197)=1,'Lease Cycles'!$C$19*INDEX('Lease Cycles'!$ET$19:$EZ$19,1,DK197)*(1+'Lease Cycles'!$V$19)^INT(INT(DK198/12)/'Lease Cycles'!$W$19)/12,0),0)</f>
        <v>0</v>
      </c>
      <c r="DL201" s="28">
        <f>IF(DL199=1,IF(INDEX('Lease Cycles'!$EF$19:$EL$19,1,DL197)=1,'Lease Cycles'!$C$19*INDEX('Lease Cycles'!$ET$19:$EZ$19,1,DL197)*(1+'Lease Cycles'!$V$19)^INT(INT(DL198/12)/'Lease Cycles'!$W$19)/12,0),0)</f>
        <v>0</v>
      </c>
      <c r="DM201" s="28">
        <f>IF(DM199=1,IF(INDEX('Lease Cycles'!$EF$19:$EL$19,1,DM197)=1,'Lease Cycles'!$C$19*INDEX('Lease Cycles'!$ET$19:$EZ$19,1,DM197)*(1+'Lease Cycles'!$V$19)^INT(INT(DM198/12)/'Lease Cycles'!$W$19)/12,0),0)</f>
        <v>0</v>
      </c>
      <c r="DN201" s="28">
        <f>IF(DN199=1,IF(INDEX('Lease Cycles'!$EF$19:$EL$19,1,DN197)=1,'Lease Cycles'!$C$19*INDEX('Lease Cycles'!$ET$19:$EZ$19,1,DN197)*(1+'Lease Cycles'!$V$19)^INT(INT(DN198/12)/'Lease Cycles'!$W$19)/12,0),0)</f>
        <v>0</v>
      </c>
      <c r="DO201" s="28">
        <f>IF(DO199=1,IF(INDEX('Lease Cycles'!$EF$19:$EL$19,1,DO197)=1,'Lease Cycles'!$C$19*INDEX('Lease Cycles'!$ET$19:$EZ$19,1,DO197)*(1+'Lease Cycles'!$V$19)^INT(INT(DO198/12)/'Lease Cycles'!$W$19)/12,0),0)</f>
        <v>0</v>
      </c>
      <c r="DP201" s="28">
        <f>IF(DP199=1,IF(INDEX('Lease Cycles'!$EF$19:$EL$19,1,DP197)=1,'Lease Cycles'!$C$19*INDEX('Lease Cycles'!$ET$19:$EZ$19,1,DP197)*(1+'Lease Cycles'!$V$19)^INT(INT(DP198/12)/'Lease Cycles'!$W$19)/12,0),0)</f>
        <v>0</v>
      </c>
      <c r="DQ201" s="28">
        <f>IF(DQ199=1,IF(INDEX('Lease Cycles'!$EF$19:$EL$19,1,DQ197)=1,'Lease Cycles'!$C$19*INDEX('Lease Cycles'!$ET$19:$EZ$19,1,DQ197)*(1+'Lease Cycles'!$V$19)^INT(INT(DQ198/12)/'Lease Cycles'!$W$19)/12,0),0)</f>
        <v>0</v>
      </c>
      <c r="DR201" s="28">
        <f>IF(DR199=1,IF(INDEX('Lease Cycles'!$EF$19:$EL$19,1,DR197)=1,'Lease Cycles'!$C$19*INDEX('Lease Cycles'!$ET$19:$EZ$19,1,DR197)*(1+'Lease Cycles'!$V$19)^INT(INT(DR198/12)/'Lease Cycles'!$W$19)/12,0),0)</f>
        <v>0</v>
      </c>
      <c r="DS201" s="28">
        <f>IF(DS199=1,IF(INDEX('Lease Cycles'!$EF$19:$EL$19,1,DS197)=1,'Lease Cycles'!$C$19*INDEX('Lease Cycles'!$ET$19:$EZ$19,1,DS197)*(1+'Lease Cycles'!$V$19)^INT(INT(DS198/12)/'Lease Cycles'!$W$19)/12,0),0)</f>
        <v>0</v>
      </c>
      <c r="DT201" s="28">
        <f>IF(DT199=1,IF(INDEX('Lease Cycles'!$EF$19:$EL$19,1,DT197)=1,'Lease Cycles'!$C$19*INDEX('Lease Cycles'!$ET$19:$EZ$19,1,DT197)*(1+'Lease Cycles'!$V$19)^INT(INT(DT198/12)/'Lease Cycles'!$W$19)/12,0),0)</f>
        <v>0</v>
      </c>
      <c r="DU201" s="28">
        <f>IF(DU199=1,IF(INDEX('Lease Cycles'!$EF$19:$EL$19,1,DU197)=1,'Lease Cycles'!$C$19*INDEX('Lease Cycles'!$ET$19:$EZ$19,1,DU197)*(1+'Lease Cycles'!$V$19)^INT(INT(DU198/12)/'Lease Cycles'!$W$19)/12,0),0)</f>
        <v>0</v>
      </c>
      <c r="DV201" s="28">
        <f>IF(DV199=1,IF(INDEX('Lease Cycles'!$EF$19:$EL$19,1,DV197)=1,'Lease Cycles'!$C$19*INDEX('Lease Cycles'!$ET$19:$EZ$19,1,DV197)*(1+'Lease Cycles'!$V$19)^INT(INT(DV198/12)/'Lease Cycles'!$W$19)/12,0),0)</f>
        <v>0</v>
      </c>
      <c r="DW201" s="28">
        <f>IF(DW199=1,IF(INDEX('Lease Cycles'!$EF$19:$EL$19,1,DW197)=1,'Lease Cycles'!$C$19*INDEX('Lease Cycles'!$ET$19:$EZ$19,1,DW197)*(1+'Lease Cycles'!$V$19)^INT(INT(DW198/12)/'Lease Cycles'!$W$19)/12,0),0)</f>
        <v>0</v>
      </c>
      <c r="DX201" s="28">
        <f>IF(DX199=1,IF(INDEX('Lease Cycles'!$EF$19:$EL$19,1,DX197)=1,'Lease Cycles'!$C$19*INDEX('Lease Cycles'!$ET$19:$EZ$19,1,DX197)*(1+'Lease Cycles'!$V$19)^INT(INT(DX198/12)/'Lease Cycles'!$W$19)/12,0),0)</f>
        <v>0</v>
      </c>
      <c r="DY201" s="28">
        <f>IF(DY199=1,IF(INDEX('Lease Cycles'!$EF$19:$EL$19,1,DY197)=1,'Lease Cycles'!$C$19*INDEX('Lease Cycles'!$ET$19:$EZ$19,1,DY197)*(1+'Lease Cycles'!$V$19)^INT(INT(DY198/12)/'Lease Cycles'!$W$19)/12,0),0)</f>
        <v>0</v>
      </c>
      <c r="DZ201" s="28">
        <f>IF(DZ199=1,IF(INDEX('Lease Cycles'!$EF$19:$EL$19,1,DZ197)=1,'Lease Cycles'!$C$19*INDEX('Lease Cycles'!$ET$19:$EZ$19,1,DZ197)*(1+'Lease Cycles'!$V$19)^INT(INT(DZ198/12)/'Lease Cycles'!$W$19)/12,0),0)</f>
        <v>0</v>
      </c>
      <c r="EA201" s="28">
        <f>IF(EA199=1,IF(INDEX('Lease Cycles'!$EF$19:$EL$19,1,EA197)=1,'Lease Cycles'!$C$19*INDEX('Lease Cycles'!$ET$19:$EZ$19,1,EA197)*(1+'Lease Cycles'!$V$19)^INT(INT(EA198/12)/'Lease Cycles'!$W$19)/12,0),0)</f>
        <v>0</v>
      </c>
      <c r="EB201" s="28">
        <f>IF(EB199=1,IF(INDEX('Lease Cycles'!$EF$19:$EL$19,1,EB197)=1,'Lease Cycles'!$C$19*INDEX('Lease Cycles'!$ET$19:$EZ$19,1,EB197)*(1+'Lease Cycles'!$V$19)^INT(INT(EB198/12)/'Lease Cycles'!$W$19)/12,0),0)</f>
        <v>0</v>
      </c>
      <c r="EC201" s="28">
        <f>IF(EC199=1,IF(INDEX('Lease Cycles'!$EF$19:$EL$19,1,EC197)=1,'Lease Cycles'!$C$19*INDEX('Lease Cycles'!$ET$19:$EZ$19,1,EC197)*(1+'Lease Cycles'!$V$19)^INT(INT(EC198/12)/'Lease Cycles'!$W$19)/12,0),0)</f>
        <v>0</v>
      </c>
      <c r="ED201" s="28">
        <f>IF(ED199=1,IF(INDEX('Lease Cycles'!$EF$19:$EL$19,1,ED197)=1,'Lease Cycles'!$C$19*INDEX('Lease Cycles'!$ET$19:$EZ$19,1,ED197)*(1+'Lease Cycles'!$V$19)^INT(INT(ED198/12)/'Lease Cycles'!$W$19)/12,0),0)</f>
        <v>0</v>
      </c>
      <c r="EE201" s="28">
        <f>IF(EE199=1,IF(INDEX('Lease Cycles'!$EF$19:$EL$19,1,EE197)=1,'Lease Cycles'!$C$19*INDEX('Lease Cycles'!$ET$19:$EZ$19,1,EE197)*(1+'Lease Cycles'!$V$19)^INT(INT(EE198/12)/'Lease Cycles'!$W$19)/12,0),0)</f>
        <v>0</v>
      </c>
      <c r="EF201" s="28">
        <f>IF(EF199=1,IF(INDEX('Lease Cycles'!$EF$19:$EL$19,1,EF197)=1,'Lease Cycles'!$C$19*INDEX('Lease Cycles'!$ET$19:$EZ$19,1,EF197)*(1+'Lease Cycles'!$V$19)^INT(INT(EF198/12)/'Lease Cycles'!$W$19)/12,0),0)</f>
        <v>0</v>
      </c>
      <c r="EG201" s="28">
        <f>IF(EG199=1,IF(INDEX('Lease Cycles'!$EF$19:$EL$19,1,EG197)=1,'Lease Cycles'!$C$19*INDEX('Lease Cycles'!$ET$19:$EZ$19,1,EG197)*(1+'Lease Cycles'!$V$19)^INT(INT(EG198/12)/'Lease Cycles'!$W$19)/12,0),0)</f>
        <v>0</v>
      </c>
      <c r="EH201" s="28">
        <f>IF(EH199=1,IF(INDEX('Lease Cycles'!$EF$19:$EL$19,1,EH197)=1,'Lease Cycles'!$C$19*INDEX('Lease Cycles'!$ET$19:$EZ$19,1,EH197)*(1+'Lease Cycles'!$V$19)^INT(INT(EH198/12)/'Lease Cycles'!$W$19)/12,0),0)</f>
        <v>0</v>
      </c>
      <c r="EI201" s="28">
        <f>IF(EI199=1,IF(INDEX('Lease Cycles'!$EF$19:$EL$19,1,EI197)=1,'Lease Cycles'!$C$19*INDEX('Lease Cycles'!$ET$19:$EZ$19,1,EI197)*(1+'Lease Cycles'!$V$19)^INT(INT(EI198/12)/'Lease Cycles'!$W$19)/12,0),0)</f>
        <v>0</v>
      </c>
      <c r="EJ201" s="28">
        <f>IF(EJ199=1,IF(INDEX('Lease Cycles'!$EF$19:$EL$19,1,EJ197)=1,'Lease Cycles'!$C$19*INDEX('Lease Cycles'!$ET$19:$EZ$19,1,EJ197)*(1+'Lease Cycles'!$V$19)^INT(INT(EJ198/12)/'Lease Cycles'!$W$19)/12,0),0)</f>
        <v>0</v>
      </c>
      <c r="EK201" s="28">
        <f>IF(EK199=1,IF(INDEX('Lease Cycles'!$EF$19:$EL$19,1,EK197)=1,'Lease Cycles'!$C$19*INDEX('Lease Cycles'!$ET$19:$EZ$19,1,EK197)*(1+'Lease Cycles'!$V$19)^INT(INT(EK198/12)/'Lease Cycles'!$W$19)/12,0),0)</f>
        <v>0</v>
      </c>
      <c r="EL201" s="28">
        <f>IF(EL199=1,IF(INDEX('Lease Cycles'!$EF$19:$EL$19,1,EL197)=1,'Lease Cycles'!$C$19*INDEX('Lease Cycles'!$ET$19:$EZ$19,1,EL197)*(1+'Lease Cycles'!$V$19)^INT(INT(EL198/12)/'Lease Cycles'!$W$19)/12,0),0)</f>
        <v>0</v>
      </c>
      <c r="EM201" s="28">
        <f>IF(EM199=1,IF(INDEX('Lease Cycles'!$EF$19:$EL$19,1,EM197)=1,'Lease Cycles'!$C$19*INDEX('Lease Cycles'!$ET$19:$EZ$19,1,EM197)*(1+'Lease Cycles'!$V$19)^INT(INT(EM198/12)/'Lease Cycles'!$W$19)/12,0),0)</f>
        <v>0</v>
      </c>
      <c r="EN201" s="28">
        <f>IF(EN199=1,IF(INDEX('Lease Cycles'!$EF$19:$EL$19,1,EN197)=1,'Lease Cycles'!$C$19*INDEX('Lease Cycles'!$ET$19:$EZ$19,1,EN197)*(1+'Lease Cycles'!$V$19)^INT(INT(EN198/12)/'Lease Cycles'!$W$19)/12,0),0)</f>
        <v>0</v>
      </c>
      <c r="EO201" s="28">
        <f>IF(EO199=1,IF(INDEX('Lease Cycles'!$EF$19:$EL$19,1,EO197)=1,'Lease Cycles'!$C$19*INDEX('Lease Cycles'!$ET$19:$EZ$19,1,EO197)*(1+'Lease Cycles'!$V$19)^INT(INT(EO198/12)/'Lease Cycles'!$W$19)/12,0),0)</f>
        <v>0</v>
      </c>
      <c r="EP201" s="28">
        <f>IF(EP199=1,IF(INDEX('Lease Cycles'!$EF$19:$EL$19,1,EP197)=1,'Lease Cycles'!$C$19*INDEX('Lease Cycles'!$ET$19:$EZ$19,1,EP197)*(1+'Lease Cycles'!$V$19)^INT(INT(EP198/12)/'Lease Cycles'!$W$19)/12,0),0)</f>
        <v>0</v>
      </c>
      <c r="EQ201" s="28">
        <f>IF(EQ199=1,IF(INDEX('Lease Cycles'!$EF$19:$EL$19,1,EQ197)=1,'Lease Cycles'!$C$19*INDEX('Lease Cycles'!$ET$19:$EZ$19,1,EQ197)*(1+'Lease Cycles'!$V$19)^INT(INT(EQ198/12)/'Lease Cycles'!$W$19)/12,0),0)</f>
        <v>0</v>
      </c>
      <c r="ER201" s="28">
        <f>IF(ER199=1,IF(INDEX('Lease Cycles'!$EF$19:$EL$19,1,ER197)=1,'Lease Cycles'!$C$19*INDEX('Lease Cycles'!$ET$19:$EZ$19,1,ER197)*(1+'Lease Cycles'!$V$19)^INT(INT(ER198/12)/'Lease Cycles'!$W$19)/12,0),0)</f>
        <v>0</v>
      </c>
      <c r="ES201" s="28">
        <f>IF(ES199=1,IF(INDEX('Lease Cycles'!$EF$19:$EL$19,1,ES197)=1,'Lease Cycles'!$C$19*INDEX('Lease Cycles'!$ET$19:$EZ$19,1,ES197)*(1+'Lease Cycles'!$V$19)^INT(INT(ES198/12)/'Lease Cycles'!$W$19)/12,0),0)</f>
        <v>0</v>
      </c>
      <c r="ET201" s="28">
        <f>IF(ET199=1,IF(INDEX('Lease Cycles'!$EF$19:$EL$19,1,ET197)=1,'Lease Cycles'!$C$19*INDEX('Lease Cycles'!$ET$19:$EZ$19,1,ET197)*(1+'Lease Cycles'!$V$19)^INT(INT(ET198/12)/'Lease Cycles'!$W$19)/12,0),0)</f>
        <v>0</v>
      </c>
    </row>
    <row r="202">
      <c r="A202" s="103">
        <v>12</v>
      </c>
      <c r="B202" s="23" t="str">
        <f>IF('Lease Cycles'!$B$19="","(empty slot)",'Lease Cycles'!$B$19)</f>
        <v>(empty slot)</v>
      </c>
      <c r="C202" s="23" t="s">
        <v>681</v>
      </c>
      <c r="D202" s="104" t="s">
        <v>490</v>
      </c>
      <c r="E202" s="25">
        <f>'Lease Cycles'!$AL$19</f>
        <v>0</v>
      </c>
      <c r="G202" s="28">
        <f>SUM(S202:AD202)</f>
        <v>0</v>
      </c>
      <c r="H202" s="28">
        <f>SUM(AE202:AP202)</f>
        <v>0</v>
      </c>
      <c r="I202" s="28">
        <f>SUM(AQ202:BB202)</f>
        <v>0</v>
      </c>
      <c r="J202" s="28">
        <f>SUM(BC202:BN202)</f>
        <v>0</v>
      </c>
      <c r="K202" s="28">
        <f>SUM(BO202:BZ202)</f>
        <v>0</v>
      </c>
      <c r="L202" s="28">
        <f>SUM(CA202:CL202)</f>
        <v>0</v>
      </c>
      <c r="M202" s="28">
        <f>SUM(CM202:CX202)</f>
        <v>0</v>
      </c>
      <c r="N202" s="28">
        <f>SUM(CY202:DJ202)</f>
        <v>0</v>
      </c>
      <c r="O202" s="28">
        <f>SUM(DK202:DV202)</f>
        <v>0</v>
      </c>
      <c r="P202" s="28">
        <f>SUM(DW202:EH202)</f>
        <v>0</v>
      </c>
      <c r="Q202" s="28">
        <f>SUM(EI202:ET202)</f>
        <v>0</v>
      </c>
      <c r="S202" s="28">
        <f>IF(S199=1,IF(INDEX('Lease Cycles'!$EF$19:$EL$19,1,S197)=1,S200*INDEX('Lease Cycles'!$EM$19:$ES$19,1,S197)+S201*(1-INDEX('Lease Cycles'!$EM$19:$ES$19,1,S197)),S200),S200)</f>
        <v>0</v>
      </c>
      <c r="T202" s="28">
        <f>IF(T199=1,IF(INDEX('Lease Cycles'!$EF$19:$EL$19,1,T197)=1,T200*INDEX('Lease Cycles'!$EM$19:$ES$19,1,T197)+T201*(1-INDEX('Lease Cycles'!$EM$19:$ES$19,1,T197)),T200),T200)</f>
        <v>0</v>
      </c>
      <c r="U202" s="28">
        <f>IF(U199=1,IF(INDEX('Lease Cycles'!$EF$19:$EL$19,1,U197)=1,U200*INDEX('Lease Cycles'!$EM$19:$ES$19,1,U197)+U201*(1-INDEX('Lease Cycles'!$EM$19:$ES$19,1,U197)),U200),U200)</f>
        <v>0</v>
      </c>
      <c r="V202" s="28">
        <f>IF(V199=1,IF(INDEX('Lease Cycles'!$EF$19:$EL$19,1,V197)=1,V200*INDEX('Lease Cycles'!$EM$19:$ES$19,1,V197)+V201*(1-INDEX('Lease Cycles'!$EM$19:$ES$19,1,V197)),V200),V200)</f>
        <v>0</v>
      </c>
      <c r="W202" s="28">
        <f>IF(W199=1,IF(INDEX('Lease Cycles'!$EF$19:$EL$19,1,W197)=1,W200*INDEX('Lease Cycles'!$EM$19:$ES$19,1,W197)+W201*(1-INDEX('Lease Cycles'!$EM$19:$ES$19,1,W197)),W200),W200)</f>
        <v>0</v>
      </c>
      <c r="X202" s="28">
        <f>IF(X199=1,IF(INDEX('Lease Cycles'!$EF$19:$EL$19,1,X197)=1,X200*INDEX('Lease Cycles'!$EM$19:$ES$19,1,X197)+X201*(1-INDEX('Lease Cycles'!$EM$19:$ES$19,1,X197)),X200),X200)</f>
        <v>0</v>
      </c>
      <c r="Y202" s="28">
        <f>IF(Y199=1,IF(INDEX('Lease Cycles'!$EF$19:$EL$19,1,Y197)=1,Y200*INDEX('Lease Cycles'!$EM$19:$ES$19,1,Y197)+Y201*(1-INDEX('Lease Cycles'!$EM$19:$ES$19,1,Y197)),Y200),Y200)</f>
        <v>0</v>
      </c>
      <c r="Z202" s="28">
        <f>IF(Z199=1,IF(INDEX('Lease Cycles'!$EF$19:$EL$19,1,Z197)=1,Z200*INDEX('Lease Cycles'!$EM$19:$ES$19,1,Z197)+Z201*(1-INDEX('Lease Cycles'!$EM$19:$ES$19,1,Z197)),Z200),Z200)</f>
        <v>0</v>
      </c>
      <c r="AA202" s="28">
        <f>IF(AA199=1,IF(INDEX('Lease Cycles'!$EF$19:$EL$19,1,AA197)=1,AA200*INDEX('Lease Cycles'!$EM$19:$ES$19,1,AA197)+AA201*(1-INDEX('Lease Cycles'!$EM$19:$ES$19,1,AA197)),AA200),AA200)</f>
        <v>0</v>
      </c>
      <c r="AB202" s="28">
        <f>IF(AB199=1,IF(INDEX('Lease Cycles'!$EF$19:$EL$19,1,AB197)=1,AB200*INDEX('Lease Cycles'!$EM$19:$ES$19,1,AB197)+AB201*(1-INDEX('Lease Cycles'!$EM$19:$ES$19,1,AB197)),AB200),AB200)</f>
        <v>0</v>
      </c>
      <c r="AC202" s="28">
        <f>IF(AC199=1,IF(INDEX('Lease Cycles'!$EF$19:$EL$19,1,AC197)=1,AC200*INDEX('Lease Cycles'!$EM$19:$ES$19,1,AC197)+AC201*(1-INDEX('Lease Cycles'!$EM$19:$ES$19,1,AC197)),AC200),AC200)</f>
        <v>0</v>
      </c>
      <c r="AD202" s="28">
        <f>IF(AD199=1,IF(INDEX('Lease Cycles'!$EF$19:$EL$19,1,AD197)=1,AD200*INDEX('Lease Cycles'!$EM$19:$ES$19,1,AD197)+AD201*(1-INDEX('Lease Cycles'!$EM$19:$ES$19,1,AD197)),AD200),AD200)</f>
        <v>0</v>
      </c>
      <c r="AE202" s="28">
        <f>IF(AE199=1,IF(INDEX('Lease Cycles'!$EF$19:$EL$19,1,AE197)=1,AE200*INDEX('Lease Cycles'!$EM$19:$ES$19,1,AE197)+AE201*(1-INDEX('Lease Cycles'!$EM$19:$ES$19,1,AE197)),AE200),AE200)</f>
        <v>0</v>
      </c>
      <c r="AF202" s="28">
        <f>IF(AF199=1,IF(INDEX('Lease Cycles'!$EF$19:$EL$19,1,AF197)=1,AF200*INDEX('Lease Cycles'!$EM$19:$ES$19,1,AF197)+AF201*(1-INDEX('Lease Cycles'!$EM$19:$ES$19,1,AF197)),AF200),AF200)</f>
        <v>0</v>
      </c>
      <c r="AG202" s="28">
        <f>IF(AG199=1,IF(INDEX('Lease Cycles'!$EF$19:$EL$19,1,AG197)=1,AG200*INDEX('Lease Cycles'!$EM$19:$ES$19,1,AG197)+AG201*(1-INDEX('Lease Cycles'!$EM$19:$ES$19,1,AG197)),AG200),AG200)</f>
        <v>0</v>
      </c>
      <c r="AH202" s="28">
        <f>IF(AH199=1,IF(INDEX('Lease Cycles'!$EF$19:$EL$19,1,AH197)=1,AH200*INDEX('Lease Cycles'!$EM$19:$ES$19,1,AH197)+AH201*(1-INDEX('Lease Cycles'!$EM$19:$ES$19,1,AH197)),AH200),AH200)</f>
        <v>0</v>
      </c>
      <c r="AI202" s="28">
        <f>IF(AI199=1,IF(INDEX('Lease Cycles'!$EF$19:$EL$19,1,AI197)=1,AI200*INDEX('Lease Cycles'!$EM$19:$ES$19,1,AI197)+AI201*(1-INDEX('Lease Cycles'!$EM$19:$ES$19,1,AI197)),AI200),AI200)</f>
        <v>0</v>
      </c>
      <c r="AJ202" s="28">
        <f>IF(AJ199=1,IF(INDEX('Lease Cycles'!$EF$19:$EL$19,1,AJ197)=1,AJ200*INDEX('Lease Cycles'!$EM$19:$ES$19,1,AJ197)+AJ201*(1-INDEX('Lease Cycles'!$EM$19:$ES$19,1,AJ197)),AJ200),AJ200)</f>
        <v>0</v>
      </c>
      <c r="AK202" s="28">
        <f>IF(AK199=1,IF(INDEX('Lease Cycles'!$EF$19:$EL$19,1,AK197)=1,AK200*INDEX('Lease Cycles'!$EM$19:$ES$19,1,AK197)+AK201*(1-INDEX('Lease Cycles'!$EM$19:$ES$19,1,AK197)),AK200),AK200)</f>
        <v>0</v>
      </c>
      <c r="AL202" s="28">
        <f>IF(AL199=1,IF(INDEX('Lease Cycles'!$EF$19:$EL$19,1,AL197)=1,AL200*INDEX('Lease Cycles'!$EM$19:$ES$19,1,AL197)+AL201*(1-INDEX('Lease Cycles'!$EM$19:$ES$19,1,AL197)),AL200),AL200)</f>
        <v>0</v>
      </c>
      <c r="AM202" s="28">
        <f>IF(AM199=1,IF(INDEX('Lease Cycles'!$EF$19:$EL$19,1,AM197)=1,AM200*INDEX('Lease Cycles'!$EM$19:$ES$19,1,AM197)+AM201*(1-INDEX('Lease Cycles'!$EM$19:$ES$19,1,AM197)),AM200),AM200)</f>
        <v>0</v>
      </c>
      <c r="AN202" s="28">
        <f>IF(AN199=1,IF(INDEX('Lease Cycles'!$EF$19:$EL$19,1,AN197)=1,AN200*INDEX('Lease Cycles'!$EM$19:$ES$19,1,AN197)+AN201*(1-INDEX('Lease Cycles'!$EM$19:$ES$19,1,AN197)),AN200),AN200)</f>
        <v>0</v>
      </c>
      <c r="AO202" s="28">
        <f>IF(AO199=1,IF(INDEX('Lease Cycles'!$EF$19:$EL$19,1,AO197)=1,AO200*INDEX('Lease Cycles'!$EM$19:$ES$19,1,AO197)+AO201*(1-INDEX('Lease Cycles'!$EM$19:$ES$19,1,AO197)),AO200),AO200)</f>
        <v>0</v>
      </c>
      <c r="AP202" s="28">
        <f>IF(AP199=1,IF(INDEX('Lease Cycles'!$EF$19:$EL$19,1,AP197)=1,AP200*INDEX('Lease Cycles'!$EM$19:$ES$19,1,AP197)+AP201*(1-INDEX('Lease Cycles'!$EM$19:$ES$19,1,AP197)),AP200),AP200)</f>
        <v>0</v>
      </c>
      <c r="AQ202" s="28">
        <f>IF(AQ199=1,IF(INDEX('Lease Cycles'!$EF$19:$EL$19,1,AQ197)=1,AQ200*INDEX('Lease Cycles'!$EM$19:$ES$19,1,AQ197)+AQ201*(1-INDEX('Lease Cycles'!$EM$19:$ES$19,1,AQ197)),AQ200),AQ200)</f>
        <v>0</v>
      </c>
      <c r="AR202" s="28">
        <f>IF(AR199=1,IF(INDEX('Lease Cycles'!$EF$19:$EL$19,1,AR197)=1,AR200*INDEX('Lease Cycles'!$EM$19:$ES$19,1,AR197)+AR201*(1-INDEX('Lease Cycles'!$EM$19:$ES$19,1,AR197)),AR200),AR200)</f>
        <v>0</v>
      </c>
      <c r="AS202" s="28">
        <f>IF(AS199=1,IF(INDEX('Lease Cycles'!$EF$19:$EL$19,1,AS197)=1,AS200*INDEX('Lease Cycles'!$EM$19:$ES$19,1,AS197)+AS201*(1-INDEX('Lease Cycles'!$EM$19:$ES$19,1,AS197)),AS200),AS200)</f>
        <v>0</v>
      </c>
      <c r="AT202" s="28">
        <f>IF(AT199=1,IF(INDEX('Lease Cycles'!$EF$19:$EL$19,1,AT197)=1,AT200*INDEX('Lease Cycles'!$EM$19:$ES$19,1,AT197)+AT201*(1-INDEX('Lease Cycles'!$EM$19:$ES$19,1,AT197)),AT200),AT200)</f>
        <v>0</v>
      </c>
      <c r="AU202" s="28">
        <f>IF(AU199=1,IF(INDEX('Lease Cycles'!$EF$19:$EL$19,1,AU197)=1,AU200*INDEX('Lease Cycles'!$EM$19:$ES$19,1,AU197)+AU201*(1-INDEX('Lease Cycles'!$EM$19:$ES$19,1,AU197)),AU200),AU200)</f>
        <v>0</v>
      </c>
      <c r="AV202" s="28">
        <f>IF(AV199=1,IF(INDEX('Lease Cycles'!$EF$19:$EL$19,1,AV197)=1,AV200*INDEX('Lease Cycles'!$EM$19:$ES$19,1,AV197)+AV201*(1-INDEX('Lease Cycles'!$EM$19:$ES$19,1,AV197)),AV200),AV200)</f>
        <v>0</v>
      </c>
      <c r="AW202" s="28">
        <f>IF(AW199=1,IF(INDEX('Lease Cycles'!$EF$19:$EL$19,1,AW197)=1,AW200*INDEX('Lease Cycles'!$EM$19:$ES$19,1,AW197)+AW201*(1-INDEX('Lease Cycles'!$EM$19:$ES$19,1,AW197)),AW200),AW200)</f>
        <v>0</v>
      </c>
      <c r="AX202" s="28">
        <f>IF(AX199=1,IF(INDEX('Lease Cycles'!$EF$19:$EL$19,1,AX197)=1,AX200*INDEX('Lease Cycles'!$EM$19:$ES$19,1,AX197)+AX201*(1-INDEX('Lease Cycles'!$EM$19:$ES$19,1,AX197)),AX200),AX200)</f>
        <v>0</v>
      </c>
      <c r="AY202" s="28">
        <f>IF(AY199=1,IF(INDEX('Lease Cycles'!$EF$19:$EL$19,1,AY197)=1,AY200*INDEX('Lease Cycles'!$EM$19:$ES$19,1,AY197)+AY201*(1-INDEX('Lease Cycles'!$EM$19:$ES$19,1,AY197)),AY200),AY200)</f>
        <v>0</v>
      </c>
      <c r="AZ202" s="28">
        <f>IF(AZ199=1,IF(INDEX('Lease Cycles'!$EF$19:$EL$19,1,AZ197)=1,AZ200*INDEX('Lease Cycles'!$EM$19:$ES$19,1,AZ197)+AZ201*(1-INDEX('Lease Cycles'!$EM$19:$ES$19,1,AZ197)),AZ200),AZ200)</f>
        <v>0</v>
      </c>
      <c r="BA202" s="28">
        <f>IF(BA199=1,IF(INDEX('Lease Cycles'!$EF$19:$EL$19,1,BA197)=1,BA200*INDEX('Lease Cycles'!$EM$19:$ES$19,1,BA197)+BA201*(1-INDEX('Lease Cycles'!$EM$19:$ES$19,1,BA197)),BA200),BA200)</f>
        <v>0</v>
      </c>
      <c r="BB202" s="28">
        <f>IF(BB199=1,IF(INDEX('Lease Cycles'!$EF$19:$EL$19,1,BB197)=1,BB200*INDEX('Lease Cycles'!$EM$19:$ES$19,1,BB197)+BB201*(1-INDEX('Lease Cycles'!$EM$19:$ES$19,1,BB197)),BB200),BB200)</f>
        <v>0</v>
      </c>
      <c r="BC202" s="28">
        <f>IF(BC199=1,IF(INDEX('Lease Cycles'!$EF$19:$EL$19,1,BC197)=1,BC200*INDEX('Lease Cycles'!$EM$19:$ES$19,1,BC197)+BC201*(1-INDEX('Lease Cycles'!$EM$19:$ES$19,1,BC197)),BC200),BC200)</f>
        <v>0</v>
      </c>
      <c r="BD202" s="28">
        <f>IF(BD199=1,IF(INDEX('Lease Cycles'!$EF$19:$EL$19,1,BD197)=1,BD200*INDEX('Lease Cycles'!$EM$19:$ES$19,1,BD197)+BD201*(1-INDEX('Lease Cycles'!$EM$19:$ES$19,1,BD197)),BD200),BD200)</f>
        <v>0</v>
      </c>
      <c r="BE202" s="28">
        <f>IF(BE199=1,IF(INDEX('Lease Cycles'!$EF$19:$EL$19,1,BE197)=1,BE200*INDEX('Lease Cycles'!$EM$19:$ES$19,1,BE197)+BE201*(1-INDEX('Lease Cycles'!$EM$19:$ES$19,1,BE197)),BE200),BE200)</f>
        <v>0</v>
      </c>
      <c r="BF202" s="28">
        <f>IF(BF199=1,IF(INDEX('Lease Cycles'!$EF$19:$EL$19,1,BF197)=1,BF200*INDEX('Lease Cycles'!$EM$19:$ES$19,1,BF197)+BF201*(1-INDEX('Lease Cycles'!$EM$19:$ES$19,1,BF197)),BF200),BF200)</f>
        <v>0</v>
      </c>
      <c r="BG202" s="28">
        <f>IF(BG199=1,IF(INDEX('Lease Cycles'!$EF$19:$EL$19,1,BG197)=1,BG200*INDEX('Lease Cycles'!$EM$19:$ES$19,1,BG197)+BG201*(1-INDEX('Lease Cycles'!$EM$19:$ES$19,1,BG197)),BG200),BG200)</f>
        <v>0</v>
      </c>
      <c r="BH202" s="28">
        <f>IF(BH199=1,IF(INDEX('Lease Cycles'!$EF$19:$EL$19,1,BH197)=1,BH200*INDEX('Lease Cycles'!$EM$19:$ES$19,1,BH197)+BH201*(1-INDEX('Lease Cycles'!$EM$19:$ES$19,1,BH197)),BH200),BH200)</f>
        <v>0</v>
      </c>
      <c r="BI202" s="28">
        <f>IF(BI199=1,IF(INDEX('Lease Cycles'!$EF$19:$EL$19,1,BI197)=1,BI200*INDEX('Lease Cycles'!$EM$19:$ES$19,1,BI197)+BI201*(1-INDEX('Lease Cycles'!$EM$19:$ES$19,1,BI197)),BI200),BI200)</f>
        <v>0</v>
      </c>
      <c r="BJ202" s="28">
        <f>IF(BJ199=1,IF(INDEX('Lease Cycles'!$EF$19:$EL$19,1,BJ197)=1,BJ200*INDEX('Lease Cycles'!$EM$19:$ES$19,1,BJ197)+BJ201*(1-INDEX('Lease Cycles'!$EM$19:$ES$19,1,BJ197)),BJ200),BJ200)</f>
        <v>0</v>
      </c>
      <c r="BK202" s="28">
        <f>IF(BK199=1,IF(INDEX('Lease Cycles'!$EF$19:$EL$19,1,BK197)=1,BK200*INDEX('Lease Cycles'!$EM$19:$ES$19,1,BK197)+BK201*(1-INDEX('Lease Cycles'!$EM$19:$ES$19,1,BK197)),BK200),BK200)</f>
        <v>0</v>
      </c>
      <c r="BL202" s="28">
        <f>IF(BL199=1,IF(INDEX('Lease Cycles'!$EF$19:$EL$19,1,BL197)=1,BL200*INDEX('Lease Cycles'!$EM$19:$ES$19,1,BL197)+BL201*(1-INDEX('Lease Cycles'!$EM$19:$ES$19,1,BL197)),BL200),BL200)</f>
        <v>0</v>
      </c>
      <c r="BM202" s="28">
        <f>IF(BM199=1,IF(INDEX('Lease Cycles'!$EF$19:$EL$19,1,BM197)=1,BM200*INDEX('Lease Cycles'!$EM$19:$ES$19,1,BM197)+BM201*(1-INDEX('Lease Cycles'!$EM$19:$ES$19,1,BM197)),BM200),BM200)</f>
        <v>0</v>
      </c>
      <c r="BN202" s="28">
        <f>IF(BN199=1,IF(INDEX('Lease Cycles'!$EF$19:$EL$19,1,BN197)=1,BN200*INDEX('Lease Cycles'!$EM$19:$ES$19,1,BN197)+BN201*(1-INDEX('Lease Cycles'!$EM$19:$ES$19,1,BN197)),BN200),BN200)</f>
        <v>0</v>
      </c>
      <c r="BO202" s="28">
        <f>IF(BO199=1,IF(INDEX('Lease Cycles'!$EF$19:$EL$19,1,BO197)=1,BO200*INDEX('Lease Cycles'!$EM$19:$ES$19,1,BO197)+BO201*(1-INDEX('Lease Cycles'!$EM$19:$ES$19,1,BO197)),BO200),BO200)</f>
        <v>0</v>
      </c>
      <c r="BP202" s="28">
        <f>IF(BP199=1,IF(INDEX('Lease Cycles'!$EF$19:$EL$19,1,BP197)=1,BP200*INDEX('Lease Cycles'!$EM$19:$ES$19,1,BP197)+BP201*(1-INDEX('Lease Cycles'!$EM$19:$ES$19,1,BP197)),BP200),BP200)</f>
        <v>0</v>
      </c>
      <c r="BQ202" s="28">
        <f>IF(BQ199=1,IF(INDEX('Lease Cycles'!$EF$19:$EL$19,1,BQ197)=1,BQ200*INDEX('Lease Cycles'!$EM$19:$ES$19,1,BQ197)+BQ201*(1-INDEX('Lease Cycles'!$EM$19:$ES$19,1,BQ197)),BQ200),BQ200)</f>
        <v>0</v>
      </c>
      <c r="BR202" s="28">
        <f>IF(BR199=1,IF(INDEX('Lease Cycles'!$EF$19:$EL$19,1,BR197)=1,BR200*INDEX('Lease Cycles'!$EM$19:$ES$19,1,BR197)+BR201*(1-INDEX('Lease Cycles'!$EM$19:$ES$19,1,BR197)),BR200),BR200)</f>
        <v>0</v>
      </c>
      <c r="BS202" s="28">
        <f>IF(BS199=1,IF(INDEX('Lease Cycles'!$EF$19:$EL$19,1,BS197)=1,BS200*INDEX('Lease Cycles'!$EM$19:$ES$19,1,BS197)+BS201*(1-INDEX('Lease Cycles'!$EM$19:$ES$19,1,BS197)),BS200),BS200)</f>
        <v>0</v>
      </c>
      <c r="BT202" s="28">
        <f>IF(BT199=1,IF(INDEX('Lease Cycles'!$EF$19:$EL$19,1,BT197)=1,BT200*INDEX('Lease Cycles'!$EM$19:$ES$19,1,BT197)+BT201*(1-INDEX('Lease Cycles'!$EM$19:$ES$19,1,BT197)),BT200),BT200)</f>
        <v>0</v>
      </c>
      <c r="BU202" s="28">
        <f>IF(BU199=1,IF(INDEX('Lease Cycles'!$EF$19:$EL$19,1,BU197)=1,BU200*INDEX('Lease Cycles'!$EM$19:$ES$19,1,BU197)+BU201*(1-INDEX('Lease Cycles'!$EM$19:$ES$19,1,BU197)),BU200),BU200)</f>
        <v>0</v>
      </c>
      <c r="BV202" s="28">
        <f>IF(BV199=1,IF(INDEX('Lease Cycles'!$EF$19:$EL$19,1,BV197)=1,BV200*INDEX('Lease Cycles'!$EM$19:$ES$19,1,BV197)+BV201*(1-INDEX('Lease Cycles'!$EM$19:$ES$19,1,BV197)),BV200),BV200)</f>
        <v>0</v>
      </c>
      <c r="BW202" s="28">
        <f>IF(BW199=1,IF(INDEX('Lease Cycles'!$EF$19:$EL$19,1,BW197)=1,BW200*INDEX('Lease Cycles'!$EM$19:$ES$19,1,BW197)+BW201*(1-INDEX('Lease Cycles'!$EM$19:$ES$19,1,BW197)),BW200),BW200)</f>
        <v>0</v>
      </c>
      <c r="BX202" s="28">
        <f>IF(BX199=1,IF(INDEX('Lease Cycles'!$EF$19:$EL$19,1,BX197)=1,BX200*INDEX('Lease Cycles'!$EM$19:$ES$19,1,BX197)+BX201*(1-INDEX('Lease Cycles'!$EM$19:$ES$19,1,BX197)),BX200),BX200)</f>
        <v>0</v>
      </c>
      <c r="BY202" s="28">
        <f>IF(BY199=1,IF(INDEX('Lease Cycles'!$EF$19:$EL$19,1,BY197)=1,BY200*INDEX('Lease Cycles'!$EM$19:$ES$19,1,BY197)+BY201*(1-INDEX('Lease Cycles'!$EM$19:$ES$19,1,BY197)),BY200),BY200)</f>
        <v>0</v>
      </c>
      <c r="BZ202" s="28">
        <f>IF(BZ199=1,IF(INDEX('Lease Cycles'!$EF$19:$EL$19,1,BZ197)=1,BZ200*INDEX('Lease Cycles'!$EM$19:$ES$19,1,BZ197)+BZ201*(1-INDEX('Lease Cycles'!$EM$19:$ES$19,1,BZ197)),BZ200),BZ200)</f>
        <v>0</v>
      </c>
      <c r="CA202" s="28">
        <f>IF(CA199=1,IF(INDEX('Lease Cycles'!$EF$19:$EL$19,1,CA197)=1,CA200*INDEX('Lease Cycles'!$EM$19:$ES$19,1,CA197)+CA201*(1-INDEX('Lease Cycles'!$EM$19:$ES$19,1,CA197)),CA200),CA200)</f>
        <v>0</v>
      </c>
      <c r="CB202" s="28">
        <f>IF(CB199=1,IF(INDEX('Lease Cycles'!$EF$19:$EL$19,1,CB197)=1,CB200*INDEX('Lease Cycles'!$EM$19:$ES$19,1,CB197)+CB201*(1-INDEX('Lease Cycles'!$EM$19:$ES$19,1,CB197)),CB200),CB200)</f>
        <v>0</v>
      </c>
      <c r="CC202" s="28">
        <f>IF(CC199=1,IF(INDEX('Lease Cycles'!$EF$19:$EL$19,1,CC197)=1,CC200*INDEX('Lease Cycles'!$EM$19:$ES$19,1,CC197)+CC201*(1-INDEX('Lease Cycles'!$EM$19:$ES$19,1,CC197)),CC200),CC200)</f>
        <v>0</v>
      </c>
      <c r="CD202" s="28">
        <f>IF(CD199=1,IF(INDEX('Lease Cycles'!$EF$19:$EL$19,1,CD197)=1,CD200*INDEX('Lease Cycles'!$EM$19:$ES$19,1,CD197)+CD201*(1-INDEX('Lease Cycles'!$EM$19:$ES$19,1,CD197)),CD200),CD200)</f>
        <v>0</v>
      </c>
      <c r="CE202" s="28">
        <f>IF(CE199=1,IF(INDEX('Lease Cycles'!$EF$19:$EL$19,1,CE197)=1,CE200*INDEX('Lease Cycles'!$EM$19:$ES$19,1,CE197)+CE201*(1-INDEX('Lease Cycles'!$EM$19:$ES$19,1,CE197)),CE200),CE200)</f>
        <v>0</v>
      </c>
      <c r="CF202" s="28">
        <f>IF(CF199=1,IF(INDEX('Lease Cycles'!$EF$19:$EL$19,1,CF197)=1,CF200*INDEX('Lease Cycles'!$EM$19:$ES$19,1,CF197)+CF201*(1-INDEX('Lease Cycles'!$EM$19:$ES$19,1,CF197)),CF200),CF200)</f>
        <v>0</v>
      </c>
      <c r="CG202" s="28">
        <f>IF(CG199=1,IF(INDEX('Lease Cycles'!$EF$19:$EL$19,1,CG197)=1,CG200*INDEX('Lease Cycles'!$EM$19:$ES$19,1,CG197)+CG201*(1-INDEX('Lease Cycles'!$EM$19:$ES$19,1,CG197)),CG200),CG200)</f>
        <v>0</v>
      </c>
      <c r="CH202" s="28">
        <f>IF(CH199=1,IF(INDEX('Lease Cycles'!$EF$19:$EL$19,1,CH197)=1,CH200*INDEX('Lease Cycles'!$EM$19:$ES$19,1,CH197)+CH201*(1-INDEX('Lease Cycles'!$EM$19:$ES$19,1,CH197)),CH200),CH200)</f>
        <v>0</v>
      </c>
      <c r="CI202" s="28">
        <f>IF(CI199=1,IF(INDEX('Lease Cycles'!$EF$19:$EL$19,1,CI197)=1,CI200*INDEX('Lease Cycles'!$EM$19:$ES$19,1,CI197)+CI201*(1-INDEX('Lease Cycles'!$EM$19:$ES$19,1,CI197)),CI200),CI200)</f>
        <v>0</v>
      </c>
      <c r="CJ202" s="28">
        <f>IF(CJ199=1,IF(INDEX('Lease Cycles'!$EF$19:$EL$19,1,CJ197)=1,CJ200*INDEX('Lease Cycles'!$EM$19:$ES$19,1,CJ197)+CJ201*(1-INDEX('Lease Cycles'!$EM$19:$ES$19,1,CJ197)),CJ200),CJ200)</f>
        <v>0</v>
      </c>
      <c r="CK202" s="28">
        <f>IF(CK199=1,IF(INDEX('Lease Cycles'!$EF$19:$EL$19,1,CK197)=1,CK200*INDEX('Lease Cycles'!$EM$19:$ES$19,1,CK197)+CK201*(1-INDEX('Lease Cycles'!$EM$19:$ES$19,1,CK197)),CK200),CK200)</f>
        <v>0</v>
      </c>
      <c r="CL202" s="28">
        <f>IF(CL199=1,IF(INDEX('Lease Cycles'!$EF$19:$EL$19,1,CL197)=1,CL200*INDEX('Lease Cycles'!$EM$19:$ES$19,1,CL197)+CL201*(1-INDEX('Lease Cycles'!$EM$19:$ES$19,1,CL197)),CL200),CL200)</f>
        <v>0</v>
      </c>
      <c r="CM202" s="28">
        <f>IF(CM199=1,IF(INDEX('Lease Cycles'!$EF$19:$EL$19,1,CM197)=1,CM200*INDEX('Lease Cycles'!$EM$19:$ES$19,1,CM197)+CM201*(1-INDEX('Lease Cycles'!$EM$19:$ES$19,1,CM197)),CM200),CM200)</f>
        <v>0</v>
      </c>
      <c r="CN202" s="28">
        <f>IF(CN199=1,IF(INDEX('Lease Cycles'!$EF$19:$EL$19,1,CN197)=1,CN200*INDEX('Lease Cycles'!$EM$19:$ES$19,1,CN197)+CN201*(1-INDEX('Lease Cycles'!$EM$19:$ES$19,1,CN197)),CN200),CN200)</f>
        <v>0</v>
      </c>
      <c r="CO202" s="28">
        <f>IF(CO199=1,IF(INDEX('Lease Cycles'!$EF$19:$EL$19,1,CO197)=1,CO200*INDEX('Lease Cycles'!$EM$19:$ES$19,1,CO197)+CO201*(1-INDEX('Lease Cycles'!$EM$19:$ES$19,1,CO197)),CO200),CO200)</f>
        <v>0</v>
      </c>
      <c r="CP202" s="28">
        <f>IF(CP199=1,IF(INDEX('Lease Cycles'!$EF$19:$EL$19,1,CP197)=1,CP200*INDEX('Lease Cycles'!$EM$19:$ES$19,1,CP197)+CP201*(1-INDEX('Lease Cycles'!$EM$19:$ES$19,1,CP197)),CP200),CP200)</f>
        <v>0</v>
      </c>
      <c r="CQ202" s="28">
        <f>IF(CQ199=1,IF(INDEX('Lease Cycles'!$EF$19:$EL$19,1,CQ197)=1,CQ200*INDEX('Lease Cycles'!$EM$19:$ES$19,1,CQ197)+CQ201*(1-INDEX('Lease Cycles'!$EM$19:$ES$19,1,CQ197)),CQ200),CQ200)</f>
        <v>0</v>
      </c>
      <c r="CR202" s="28">
        <f>IF(CR199=1,IF(INDEX('Lease Cycles'!$EF$19:$EL$19,1,CR197)=1,CR200*INDEX('Lease Cycles'!$EM$19:$ES$19,1,CR197)+CR201*(1-INDEX('Lease Cycles'!$EM$19:$ES$19,1,CR197)),CR200),CR200)</f>
        <v>0</v>
      </c>
      <c r="CS202" s="28">
        <f>IF(CS199=1,IF(INDEX('Lease Cycles'!$EF$19:$EL$19,1,CS197)=1,CS200*INDEX('Lease Cycles'!$EM$19:$ES$19,1,CS197)+CS201*(1-INDEX('Lease Cycles'!$EM$19:$ES$19,1,CS197)),CS200),CS200)</f>
        <v>0</v>
      </c>
      <c r="CT202" s="28">
        <f>IF(CT199=1,IF(INDEX('Lease Cycles'!$EF$19:$EL$19,1,CT197)=1,CT200*INDEX('Lease Cycles'!$EM$19:$ES$19,1,CT197)+CT201*(1-INDEX('Lease Cycles'!$EM$19:$ES$19,1,CT197)),CT200),CT200)</f>
        <v>0</v>
      </c>
      <c r="CU202" s="28">
        <f>IF(CU199=1,IF(INDEX('Lease Cycles'!$EF$19:$EL$19,1,CU197)=1,CU200*INDEX('Lease Cycles'!$EM$19:$ES$19,1,CU197)+CU201*(1-INDEX('Lease Cycles'!$EM$19:$ES$19,1,CU197)),CU200),CU200)</f>
        <v>0</v>
      </c>
      <c r="CV202" s="28">
        <f>IF(CV199=1,IF(INDEX('Lease Cycles'!$EF$19:$EL$19,1,CV197)=1,CV200*INDEX('Lease Cycles'!$EM$19:$ES$19,1,CV197)+CV201*(1-INDEX('Lease Cycles'!$EM$19:$ES$19,1,CV197)),CV200),CV200)</f>
        <v>0</v>
      </c>
      <c r="CW202" s="28">
        <f>IF(CW199=1,IF(INDEX('Lease Cycles'!$EF$19:$EL$19,1,CW197)=1,CW200*INDEX('Lease Cycles'!$EM$19:$ES$19,1,CW197)+CW201*(1-INDEX('Lease Cycles'!$EM$19:$ES$19,1,CW197)),CW200),CW200)</f>
        <v>0</v>
      </c>
      <c r="CX202" s="28">
        <f>IF(CX199=1,IF(INDEX('Lease Cycles'!$EF$19:$EL$19,1,CX197)=1,CX200*INDEX('Lease Cycles'!$EM$19:$ES$19,1,CX197)+CX201*(1-INDEX('Lease Cycles'!$EM$19:$ES$19,1,CX197)),CX200),CX200)</f>
        <v>0</v>
      </c>
      <c r="CY202" s="28">
        <f>IF(CY199=1,IF(INDEX('Lease Cycles'!$EF$19:$EL$19,1,CY197)=1,CY200*INDEX('Lease Cycles'!$EM$19:$ES$19,1,CY197)+CY201*(1-INDEX('Lease Cycles'!$EM$19:$ES$19,1,CY197)),CY200),CY200)</f>
        <v>0</v>
      </c>
      <c r="CZ202" s="28">
        <f>IF(CZ199=1,IF(INDEX('Lease Cycles'!$EF$19:$EL$19,1,CZ197)=1,CZ200*INDEX('Lease Cycles'!$EM$19:$ES$19,1,CZ197)+CZ201*(1-INDEX('Lease Cycles'!$EM$19:$ES$19,1,CZ197)),CZ200),CZ200)</f>
        <v>0</v>
      </c>
      <c r="DA202" s="28">
        <f>IF(DA199=1,IF(INDEX('Lease Cycles'!$EF$19:$EL$19,1,DA197)=1,DA200*INDEX('Lease Cycles'!$EM$19:$ES$19,1,DA197)+DA201*(1-INDEX('Lease Cycles'!$EM$19:$ES$19,1,DA197)),DA200),DA200)</f>
        <v>0</v>
      </c>
      <c r="DB202" s="28">
        <f>IF(DB199=1,IF(INDEX('Lease Cycles'!$EF$19:$EL$19,1,DB197)=1,DB200*INDEX('Lease Cycles'!$EM$19:$ES$19,1,DB197)+DB201*(1-INDEX('Lease Cycles'!$EM$19:$ES$19,1,DB197)),DB200),DB200)</f>
        <v>0</v>
      </c>
      <c r="DC202" s="28">
        <f>IF(DC199=1,IF(INDEX('Lease Cycles'!$EF$19:$EL$19,1,DC197)=1,DC200*INDEX('Lease Cycles'!$EM$19:$ES$19,1,DC197)+DC201*(1-INDEX('Lease Cycles'!$EM$19:$ES$19,1,DC197)),DC200),DC200)</f>
        <v>0</v>
      </c>
      <c r="DD202" s="28">
        <f>IF(DD199=1,IF(INDEX('Lease Cycles'!$EF$19:$EL$19,1,DD197)=1,DD200*INDEX('Lease Cycles'!$EM$19:$ES$19,1,DD197)+DD201*(1-INDEX('Lease Cycles'!$EM$19:$ES$19,1,DD197)),DD200),DD200)</f>
        <v>0</v>
      </c>
      <c r="DE202" s="28">
        <f>IF(DE199=1,IF(INDEX('Lease Cycles'!$EF$19:$EL$19,1,DE197)=1,DE200*INDEX('Lease Cycles'!$EM$19:$ES$19,1,DE197)+DE201*(1-INDEX('Lease Cycles'!$EM$19:$ES$19,1,DE197)),DE200),DE200)</f>
        <v>0</v>
      </c>
      <c r="DF202" s="28">
        <f>IF(DF199=1,IF(INDEX('Lease Cycles'!$EF$19:$EL$19,1,DF197)=1,DF200*INDEX('Lease Cycles'!$EM$19:$ES$19,1,DF197)+DF201*(1-INDEX('Lease Cycles'!$EM$19:$ES$19,1,DF197)),DF200),DF200)</f>
        <v>0</v>
      </c>
      <c r="DG202" s="28">
        <f>IF(DG199=1,IF(INDEX('Lease Cycles'!$EF$19:$EL$19,1,DG197)=1,DG200*INDEX('Lease Cycles'!$EM$19:$ES$19,1,DG197)+DG201*(1-INDEX('Lease Cycles'!$EM$19:$ES$19,1,DG197)),DG200),DG200)</f>
        <v>0</v>
      </c>
      <c r="DH202" s="28">
        <f>IF(DH199=1,IF(INDEX('Lease Cycles'!$EF$19:$EL$19,1,DH197)=1,DH200*INDEX('Lease Cycles'!$EM$19:$ES$19,1,DH197)+DH201*(1-INDEX('Lease Cycles'!$EM$19:$ES$19,1,DH197)),DH200),DH200)</f>
        <v>0</v>
      </c>
      <c r="DI202" s="28">
        <f>IF(DI199=1,IF(INDEX('Lease Cycles'!$EF$19:$EL$19,1,DI197)=1,DI200*INDEX('Lease Cycles'!$EM$19:$ES$19,1,DI197)+DI201*(1-INDEX('Lease Cycles'!$EM$19:$ES$19,1,DI197)),DI200),DI200)</f>
        <v>0</v>
      </c>
      <c r="DJ202" s="28">
        <f>IF(DJ199=1,IF(INDEX('Lease Cycles'!$EF$19:$EL$19,1,DJ197)=1,DJ200*INDEX('Lease Cycles'!$EM$19:$ES$19,1,DJ197)+DJ201*(1-INDEX('Lease Cycles'!$EM$19:$ES$19,1,DJ197)),DJ200),DJ200)</f>
        <v>0</v>
      </c>
      <c r="DK202" s="28">
        <f>IF(DK199=1,IF(INDEX('Lease Cycles'!$EF$19:$EL$19,1,DK197)=1,DK200*INDEX('Lease Cycles'!$EM$19:$ES$19,1,DK197)+DK201*(1-INDEX('Lease Cycles'!$EM$19:$ES$19,1,DK197)),DK200),DK200)</f>
        <v>0</v>
      </c>
      <c r="DL202" s="28">
        <f>IF(DL199=1,IF(INDEX('Lease Cycles'!$EF$19:$EL$19,1,DL197)=1,DL200*INDEX('Lease Cycles'!$EM$19:$ES$19,1,DL197)+DL201*(1-INDEX('Lease Cycles'!$EM$19:$ES$19,1,DL197)),DL200),DL200)</f>
        <v>0</v>
      </c>
      <c r="DM202" s="28">
        <f>IF(DM199=1,IF(INDEX('Lease Cycles'!$EF$19:$EL$19,1,DM197)=1,DM200*INDEX('Lease Cycles'!$EM$19:$ES$19,1,DM197)+DM201*(1-INDEX('Lease Cycles'!$EM$19:$ES$19,1,DM197)),DM200),DM200)</f>
        <v>0</v>
      </c>
      <c r="DN202" s="28">
        <f>IF(DN199=1,IF(INDEX('Lease Cycles'!$EF$19:$EL$19,1,DN197)=1,DN200*INDEX('Lease Cycles'!$EM$19:$ES$19,1,DN197)+DN201*(1-INDEX('Lease Cycles'!$EM$19:$ES$19,1,DN197)),DN200),DN200)</f>
        <v>0</v>
      </c>
      <c r="DO202" s="28">
        <f>IF(DO199=1,IF(INDEX('Lease Cycles'!$EF$19:$EL$19,1,DO197)=1,DO200*INDEX('Lease Cycles'!$EM$19:$ES$19,1,DO197)+DO201*(1-INDEX('Lease Cycles'!$EM$19:$ES$19,1,DO197)),DO200),DO200)</f>
        <v>0</v>
      </c>
      <c r="DP202" s="28">
        <f>IF(DP199=1,IF(INDEX('Lease Cycles'!$EF$19:$EL$19,1,DP197)=1,DP200*INDEX('Lease Cycles'!$EM$19:$ES$19,1,DP197)+DP201*(1-INDEX('Lease Cycles'!$EM$19:$ES$19,1,DP197)),DP200),DP200)</f>
        <v>0</v>
      </c>
      <c r="DQ202" s="28">
        <f>IF(DQ199=1,IF(INDEX('Lease Cycles'!$EF$19:$EL$19,1,DQ197)=1,DQ200*INDEX('Lease Cycles'!$EM$19:$ES$19,1,DQ197)+DQ201*(1-INDEX('Lease Cycles'!$EM$19:$ES$19,1,DQ197)),DQ200),DQ200)</f>
        <v>0</v>
      </c>
      <c r="DR202" s="28">
        <f>IF(DR199=1,IF(INDEX('Lease Cycles'!$EF$19:$EL$19,1,DR197)=1,DR200*INDEX('Lease Cycles'!$EM$19:$ES$19,1,DR197)+DR201*(1-INDEX('Lease Cycles'!$EM$19:$ES$19,1,DR197)),DR200),DR200)</f>
        <v>0</v>
      </c>
      <c r="DS202" s="28">
        <f>IF(DS199=1,IF(INDEX('Lease Cycles'!$EF$19:$EL$19,1,DS197)=1,DS200*INDEX('Lease Cycles'!$EM$19:$ES$19,1,DS197)+DS201*(1-INDEX('Lease Cycles'!$EM$19:$ES$19,1,DS197)),DS200),DS200)</f>
        <v>0</v>
      </c>
      <c r="DT202" s="28">
        <f>IF(DT199=1,IF(INDEX('Lease Cycles'!$EF$19:$EL$19,1,DT197)=1,DT200*INDEX('Lease Cycles'!$EM$19:$ES$19,1,DT197)+DT201*(1-INDEX('Lease Cycles'!$EM$19:$ES$19,1,DT197)),DT200),DT200)</f>
        <v>0</v>
      </c>
      <c r="DU202" s="28">
        <f>IF(DU199=1,IF(INDEX('Lease Cycles'!$EF$19:$EL$19,1,DU197)=1,DU200*INDEX('Lease Cycles'!$EM$19:$ES$19,1,DU197)+DU201*(1-INDEX('Lease Cycles'!$EM$19:$ES$19,1,DU197)),DU200),DU200)</f>
        <v>0</v>
      </c>
      <c r="DV202" s="28">
        <f>IF(DV199=1,IF(INDEX('Lease Cycles'!$EF$19:$EL$19,1,DV197)=1,DV200*INDEX('Lease Cycles'!$EM$19:$ES$19,1,DV197)+DV201*(1-INDEX('Lease Cycles'!$EM$19:$ES$19,1,DV197)),DV200),DV200)</f>
        <v>0</v>
      </c>
      <c r="DW202" s="28">
        <f>IF(DW199=1,IF(INDEX('Lease Cycles'!$EF$19:$EL$19,1,DW197)=1,DW200*INDEX('Lease Cycles'!$EM$19:$ES$19,1,DW197)+DW201*(1-INDEX('Lease Cycles'!$EM$19:$ES$19,1,DW197)),DW200),DW200)</f>
        <v>0</v>
      </c>
      <c r="DX202" s="28">
        <f>IF(DX199=1,IF(INDEX('Lease Cycles'!$EF$19:$EL$19,1,DX197)=1,DX200*INDEX('Lease Cycles'!$EM$19:$ES$19,1,DX197)+DX201*(1-INDEX('Lease Cycles'!$EM$19:$ES$19,1,DX197)),DX200),DX200)</f>
        <v>0</v>
      </c>
      <c r="DY202" s="28">
        <f>IF(DY199=1,IF(INDEX('Lease Cycles'!$EF$19:$EL$19,1,DY197)=1,DY200*INDEX('Lease Cycles'!$EM$19:$ES$19,1,DY197)+DY201*(1-INDEX('Lease Cycles'!$EM$19:$ES$19,1,DY197)),DY200),DY200)</f>
        <v>0</v>
      </c>
      <c r="DZ202" s="28">
        <f>IF(DZ199=1,IF(INDEX('Lease Cycles'!$EF$19:$EL$19,1,DZ197)=1,DZ200*INDEX('Lease Cycles'!$EM$19:$ES$19,1,DZ197)+DZ201*(1-INDEX('Lease Cycles'!$EM$19:$ES$19,1,DZ197)),DZ200),DZ200)</f>
        <v>0</v>
      </c>
      <c r="EA202" s="28">
        <f>IF(EA199=1,IF(INDEX('Lease Cycles'!$EF$19:$EL$19,1,EA197)=1,EA200*INDEX('Lease Cycles'!$EM$19:$ES$19,1,EA197)+EA201*(1-INDEX('Lease Cycles'!$EM$19:$ES$19,1,EA197)),EA200),EA200)</f>
        <v>0</v>
      </c>
      <c r="EB202" s="28">
        <f>IF(EB199=1,IF(INDEX('Lease Cycles'!$EF$19:$EL$19,1,EB197)=1,EB200*INDEX('Lease Cycles'!$EM$19:$ES$19,1,EB197)+EB201*(1-INDEX('Lease Cycles'!$EM$19:$ES$19,1,EB197)),EB200),EB200)</f>
        <v>0</v>
      </c>
      <c r="EC202" s="28">
        <f>IF(EC199=1,IF(INDEX('Lease Cycles'!$EF$19:$EL$19,1,EC197)=1,EC200*INDEX('Lease Cycles'!$EM$19:$ES$19,1,EC197)+EC201*(1-INDEX('Lease Cycles'!$EM$19:$ES$19,1,EC197)),EC200),EC200)</f>
        <v>0</v>
      </c>
      <c r="ED202" s="28">
        <f>IF(ED199=1,IF(INDEX('Lease Cycles'!$EF$19:$EL$19,1,ED197)=1,ED200*INDEX('Lease Cycles'!$EM$19:$ES$19,1,ED197)+ED201*(1-INDEX('Lease Cycles'!$EM$19:$ES$19,1,ED197)),ED200),ED200)</f>
        <v>0</v>
      </c>
      <c r="EE202" s="28">
        <f>IF(EE199=1,IF(INDEX('Lease Cycles'!$EF$19:$EL$19,1,EE197)=1,EE200*INDEX('Lease Cycles'!$EM$19:$ES$19,1,EE197)+EE201*(1-INDEX('Lease Cycles'!$EM$19:$ES$19,1,EE197)),EE200),EE200)</f>
        <v>0</v>
      </c>
      <c r="EF202" s="28">
        <f>IF(EF199=1,IF(INDEX('Lease Cycles'!$EF$19:$EL$19,1,EF197)=1,EF200*INDEX('Lease Cycles'!$EM$19:$ES$19,1,EF197)+EF201*(1-INDEX('Lease Cycles'!$EM$19:$ES$19,1,EF197)),EF200),EF200)</f>
        <v>0</v>
      </c>
      <c r="EG202" s="28">
        <f>IF(EG199=1,IF(INDEX('Lease Cycles'!$EF$19:$EL$19,1,EG197)=1,EG200*INDEX('Lease Cycles'!$EM$19:$ES$19,1,EG197)+EG201*(1-INDEX('Lease Cycles'!$EM$19:$ES$19,1,EG197)),EG200),EG200)</f>
        <v>0</v>
      </c>
      <c r="EH202" s="28">
        <f>IF(EH199=1,IF(INDEX('Lease Cycles'!$EF$19:$EL$19,1,EH197)=1,EH200*INDEX('Lease Cycles'!$EM$19:$ES$19,1,EH197)+EH201*(1-INDEX('Lease Cycles'!$EM$19:$ES$19,1,EH197)),EH200),EH200)</f>
        <v>0</v>
      </c>
      <c r="EI202" s="28">
        <f>IF(EI199=1,IF(INDEX('Lease Cycles'!$EF$19:$EL$19,1,EI197)=1,EI200*INDEX('Lease Cycles'!$EM$19:$ES$19,1,EI197)+EI201*(1-INDEX('Lease Cycles'!$EM$19:$ES$19,1,EI197)),EI200),EI200)</f>
        <v>0</v>
      </c>
      <c r="EJ202" s="28">
        <f>IF(EJ199=1,IF(INDEX('Lease Cycles'!$EF$19:$EL$19,1,EJ197)=1,EJ200*INDEX('Lease Cycles'!$EM$19:$ES$19,1,EJ197)+EJ201*(1-INDEX('Lease Cycles'!$EM$19:$ES$19,1,EJ197)),EJ200),EJ200)</f>
        <v>0</v>
      </c>
      <c r="EK202" s="28">
        <f>IF(EK199=1,IF(INDEX('Lease Cycles'!$EF$19:$EL$19,1,EK197)=1,EK200*INDEX('Lease Cycles'!$EM$19:$ES$19,1,EK197)+EK201*(1-INDEX('Lease Cycles'!$EM$19:$ES$19,1,EK197)),EK200),EK200)</f>
        <v>0</v>
      </c>
      <c r="EL202" s="28">
        <f>IF(EL199=1,IF(INDEX('Lease Cycles'!$EF$19:$EL$19,1,EL197)=1,EL200*INDEX('Lease Cycles'!$EM$19:$ES$19,1,EL197)+EL201*(1-INDEX('Lease Cycles'!$EM$19:$ES$19,1,EL197)),EL200),EL200)</f>
        <v>0</v>
      </c>
      <c r="EM202" s="28">
        <f>IF(EM199=1,IF(INDEX('Lease Cycles'!$EF$19:$EL$19,1,EM197)=1,EM200*INDEX('Lease Cycles'!$EM$19:$ES$19,1,EM197)+EM201*(1-INDEX('Lease Cycles'!$EM$19:$ES$19,1,EM197)),EM200),EM200)</f>
        <v>0</v>
      </c>
      <c r="EN202" s="28">
        <f>IF(EN199=1,IF(INDEX('Lease Cycles'!$EF$19:$EL$19,1,EN197)=1,EN200*INDEX('Lease Cycles'!$EM$19:$ES$19,1,EN197)+EN201*(1-INDEX('Lease Cycles'!$EM$19:$ES$19,1,EN197)),EN200),EN200)</f>
        <v>0</v>
      </c>
      <c r="EO202" s="28">
        <f>IF(EO199=1,IF(INDEX('Lease Cycles'!$EF$19:$EL$19,1,EO197)=1,EO200*INDEX('Lease Cycles'!$EM$19:$ES$19,1,EO197)+EO201*(1-INDEX('Lease Cycles'!$EM$19:$ES$19,1,EO197)),EO200),EO200)</f>
        <v>0</v>
      </c>
      <c r="EP202" s="28">
        <f>IF(EP199=1,IF(INDEX('Lease Cycles'!$EF$19:$EL$19,1,EP197)=1,EP200*INDEX('Lease Cycles'!$EM$19:$ES$19,1,EP197)+EP201*(1-INDEX('Lease Cycles'!$EM$19:$ES$19,1,EP197)),EP200),EP200)</f>
        <v>0</v>
      </c>
      <c r="EQ202" s="28">
        <f>IF(EQ199=1,IF(INDEX('Lease Cycles'!$EF$19:$EL$19,1,EQ197)=1,EQ200*INDEX('Lease Cycles'!$EM$19:$ES$19,1,EQ197)+EQ201*(1-INDEX('Lease Cycles'!$EM$19:$ES$19,1,EQ197)),EQ200),EQ200)</f>
        <v>0</v>
      </c>
      <c r="ER202" s="28">
        <f>IF(ER199=1,IF(INDEX('Lease Cycles'!$EF$19:$EL$19,1,ER197)=1,ER200*INDEX('Lease Cycles'!$EM$19:$ES$19,1,ER197)+ER201*(1-INDEX('Lease Cycles'!$EM$19:$ES$19,1,ER197)),ER200),ER200)</f>
        <v>0</v>
      </c>
      <c r="ES202" s="28">
        <f>IF(ES199=1,IF(INDEX('Lease Cycles'!$EF$19:$EL$19,1,ES197)=1,ES200*INDEX('Lease Cycles'!$EM$19:$ES$19,1,ES197)+ES201*(1-INDEX('Lease Cycles'!$EM$19:$ES$19,1,ES197)),ES200),ES200)</f>
        <v>0</v>
      </c>
      <c r="ET202" s="28">
        <f>IF(ET199=1,IF(INDEX('Lease Cycles'!$EF$19:$EL$19,1,ET197)=1,ET200*INDEX('Lease Cycles'!$EM$19:$ES$19,1,ET197)+ET201*(1-INDEX('Lease Cycles'!$EM$19:$ES$19,1,ET197)),ET200),ET200)</f>
        <v>0</v>
      </c>
    </row>
    <row r="203">
      <c r="A203" s="103">
        <v>12</v>
      </c>
      <c r="B203" s="23" t="str">
        <f>IF('Lease Cycles'!$B$19="","(empty slot)",'Lease Cycles'!$B$19)</f>
        <v>(empty slot)</v>
      </c>
      <c r="C203" s="23" t="s">
        <v>682</v>
      </c>
      <c r="D203" s="104" t="s">
        <v>495</v>
      </c>
      <c r="E203" s="25">
        <f>'Lease Cycles'!$AL$19</f>
        <v>0</v>
      </c>
      <c r="G203" s="28">
        <f>SUM(S203:AD203)</f>
        <v>0</v>
      </c>
      <c r="H203" s="28">
        <f>SUM(AE203:AP203)</f>
        <v>0</v>
      </c>
      <c r="I203" s="28">
        <f>SUM(AQ203:BB203)</f>
        <v>0</v>
      </c>
      <c r="J203" s="28">
        <f>SUM(BC203:BN203)</f>
        <v>0</v>
      </c>
      <c r="K203" s="28">
        <f>SUM(BO203:BZ203)</f>
        <v>0</v>
      </c>
      <c r="L203" s="28">
        <f>SUM(CA203:CL203)</f>
        <v>0</v>
      </c>
      <c r="M203" s="28">
        <f>SUM(CM203:CX203)</f>
        <v>0</v>
      </c>
      <c r="N203" s="28">
        <f>SUM(CY203:DJ203)</f>
        <v>0</v>
      </c>
      <c r="O203" s="28">
        <f>SUM(DK203:DV203)</f>
        <v>0</v>
      </c>
      <c r="P203" s="28">
        <f>SUM(DW203:EH203)</f>
        <v>0</v>
      </c>
      <c r="Q203" s="28">
        <f>SUM(EI203:ET203)</f>
        <v>0</v>
      </c>
      <c r="S203" s="28">
        <f>IF(S199=1,IF(INDEX('Lease Cycles'!$EF$19:$EL$19,1,S197)=1,S200*INDEX('Lease Cycles'!$EM$19:$ES$19,1,S197)+S201*IF(S198&lt;INDEX('Lease Cycles'!$FA$19:$FG$19,1,S197),0,1-INDEX('Lease Cycles'!$EM$19:$ES$19,1,S197)),S200*IF(S198&lt;INDEX('Lease Cycles'!$DK$19:$DQ$19,1,S197),0,IF(S198=INDEX('Lease Cycles'!$DK$19:$DQ$19,1,S197),1-INDEX('Lease Cycles'!$DR$19:$DX$19,1,S197),1))),0)</f>
        <v>0</v>
      </c>
      <c r="T203" s="28">
        <f>IF(T199=1,IF(INDEX('Lease Cycles'!$EF$19:$EL$19,1,T197)=1,T200*INDEX('Lease Cycles'!$EM$19:$ES$19,1,T197)+T201*IF(T198&lt;INDEX('Lease Cycles'!$FA$19:$FG$19,1,T197),0,1-INDEX('Lease Cycles'!$EM$19:$ES$19,1,T197)),T200*IF(T198&lt;INDEX('Lease Cycles'!$DK$19:$DQ$19,1,T197),0,IF(T198=INDEX('Lease Cycles'!$DK$19:$DQ$19,1,T197),1-INDEX('Lease Cycles'!$DR$19:$DX$19,1,T197),1))),0)</f>
        <v>0</v>
      </c>
      <c r="U203" s="28">
        <f>IF(U199=1,IF(INDEX('Lease Cycles'!$EF$19:$EL$19,1,U197)=1,U200*INDEX('Lease Cycles'!$EM$19:$ES$19,1,U197)+U201*IF(U198&lt;INDEX('Lease Cycles'!$FA$19:$FG$19,1,U197),0,1-INDEX('Lease Cycles'!$EM$19:$ES$19,1,U197)),U200*IF(U198&lt;INDEX('Lease Cycles'!$DK$19:$DQ$19,1,U197),0,IF(U198=INDEX('Lease Cycles'!$DK$19:$DQ$19,1,U197),1-INDEX('Lease Cycles'!$DR$19:$DX$19,1,U197),1))),0)</f>
        <v>0</v>
      </c>
      <c r="V203" s="28">
        <f>IF(V199=1,IF(INDEX('Lease Cycles'!$EF$19:$EL$19,1,V197)=1,V200*INDEX('Lease Cycles'!$EM$19:$ES$19,1,V197)+V201*IF(V198&lt;INDEX('Lease Cycles'!$FA$19:$FG$19,1,V197),0,1-INDEX('Lease Cycles'!$EM$19:$ES$19,1,V197)),V200*IF(V198&lt;INDEX('Lease Cycles'!$DK$19:$DQ$19,1,V197),0,IF(V198=INDEX('Lease Cycles'!$DK$19:$DQ$19,1,V197),1-INDEX('Lease Cycles'!$DR$19:$DX$19,1,V197),1))),0)</f>
        <v>0</v>
      </c>
      <c r="W203" s="28">
        <f>IF(W199=1,IF(INDEX('Lease Cycles'!$EF$19:$EL$19,1,W197)=1,W200*INDEX('Lease Cycles'!$EM$19:$ES$19,1,W197)+W201*IF(W198&lt;INDEX('Lease Cycles'!$FA$19:$FG$19,1,W197),0,1-INDEX('Lease Cycles'!$EM$19:$ES$19,1,W197)),W200*IF(W198&lt;INDEX('Lease Cycles'!$DK$19:$DQ$19,1,W197),0,IF(W198=INDEX('Lease Cycles'!$DK$19:$DQ$19,1,W197),1-INDEX('Lease Cycles'!$DR$19:$DX$19,1,W197),1))),0)</f>
        <v>0</v>
      </c>
      <c r="X203" s="28">
        <f>IF(X199=1,IF(INDEX('Lease Cycles'!$EF$19:$EL$19,1,X197)=1,X200*INDEX('Lease Cycles'!$EM$19:$ES$19,1,X197)+X201*IF(X198&lt;INDEX('Lease Cycles'!$FA$19:$FG$19,1,X197),0,1-INDEX('Lease Cycles'!$EM$19:$ES$19,1,X197)),X200*IF(X198&lt;INDEX('Lease Cycles'!$DK$19:$DQ$19,1,X197),0,IF(X198=INDEX('Lease Cycles'!$DK$19:$DQ$19,1,X197),1-INDEX('Lease Cycles'!$DR$19:$DX$19,1,X197),1))),0)</f>
        <v>0</v>
      </c>
      <c r="Y203" s="28">
        <f>IF(Y199=1,IF(INDEX('Lease Cycles'!$EF$19:$EL$19,1,Y197)=1,Y200*INDEX('Lease Cycles'!$EM$19:$ES$19,1,Y197)+Y201*IF(Y198&lt;INDEX('Lease Cycles'!$FA$19:$FG$19,1,Y197),0,1-INDEX('Lease Cycles'!$EM$19:$ES$19,1,Y197)),Y200*IF(Y198&lt;INDEX('Lease Cycles'!$DK$19:$DQ$19,1,Y197),0,IF(Y198=INDEX('Lease Cycles'!$DK$19:$DQ$19,1,Y197),1-INDEX('Lease Cycles'!$DR$19:$DX$19,1,Y197),1))),0)</f>
        <v>0</v>
      </c>
      <c r="Z203" s="28">
        <f>IF(Z199=1,IF(INDEX('Lease Cycles'!$EF$19:$EL$19,1,Z197)=1,Z200*INDEX('Lease Cycles'!$EM$19:$ES$19,1,Z197)+Z201*IF(Z198&lt;INDEX('Lease Cycles'!$FA$19:$FG$19,1,Z197),0,1-INDEX('Lease Cycles'!$EM$19:$ES$19,1,Z197)),Z200*IF(Z198&lt;INDEX('Lease Cycles'!$DK$19:$DQ$19,1,Z197),0,IF(Z198=INDEX('Lease Cycles'!$DK$19:$DQ$19,1,Z197),1-INDEX('Lease Cycles'!$DR$19:$DX$19,1,Z197),1))),0)</f>
        <v>0</v>
      </c>
      <c r="AA203" s="28">
        <f>IF(AA199=1,IF(INDEX('Lease Cycles'!$EF$19:$EL$19,1,AA197)=1,AA200*INDEX('Lease Cycles'!$EM$19:$ES$19,1,AA197)+AA201*IF(AA198&lt;INDEX('Lease Cycles'!$FA$19:$FG$19,1,AA197),0,1-INDEX('Lease Cycles'!$EM$19:$ES$19,1,AA197)),AA200*IF(AA198&lt;INDEX('Lease Cycles'!$DK$19:$DQ$19,1,AA197),0,IF(AA198=INDEX('Lease Cycles'!$DK$19:$DQ$19,1,AA197),1-INDEX('Lease Cycles'!$DR$19:$DX$19,1,AA197),1))),0)</f>
        <v>0</v>
      </c>
      <c r="AB203" s="28">
        <f>IF(AB199=1,IF(INDEX('Lease Cycles'!$EF$19:$EL$19,1,AB197)=1,AB200*INDEX('Lease Cycles'!$EM$19:$ES$19,1,AB197)+AB201*IF(AB198&lt;INDEX('Lease Cycles'!$FA$19:$FG$19,1,AB197),0,1-INDEX('Lease Cycles'!$EM$19:$ES$19,1,AB197)),AB200*IF(AB198&lt;INDEX('Lease Cycles'!$DK$19:$DQ$19,1,AB197),0,IF(AB198=INDEX('Lease Cycles'!$DK$19:$DQ$19,1,AB197),1-INDEX('Lease Cycles'!$DR$19:$DX$19,1,AB197),1))),0)</f>
        <v>0</v>
      </c>
      <c r="AC203" s="28">
        <f>IF(AC199=1,IF(INDEX('Lease Cycles'!$EF$19:$EL$19,1,AC197)=1,AC200*INDEX('Lease Cycles'!$EM$19:$ES$19,1,AC197)+AC201*IF(AC198&lt;INDEX('Lease Cycles'!$FA$19:$FG$19,1,AC197),0,1-INDEX('Lease Cycles'!$EM$19:$ES$19,1,AC197)),AC200*IF(AC198&lt;INDEX('Lease Cycles'!$DK$19:$DQ$19,1,AC197),0,IF(AC198=INDEX('Lease Cycles'!$DK$19:$DQ$19,1,AC197),1-INDEX('Lease Cycles'!$DR$19:$DX$19,1,AC197),1))),0)</f>
        <v>0</v>
      </c>
      <c r="AD203" s="28">
        <f>IF(AD199=1,IF(INDEX('Lease Cycles'!$EF$19:$EL$19,1,AD197)=1,AD200*INDEX('Lease Cycles'!$EM$19:$ES$19,1,AD197)+AD201*IF(AD198&lt;INDEX('Lease Cycles'!$FA$19:$FG$19,1,AD197),0,1-INDEX('Lease Cycles'!$EM$19:$ES$19,1,AD197)),AD200*IF(AD198&lt;INDEX('Lease Cycles'!$DK$19:$DQ$19,1,AD197),0,IF(AD198=INDEX('Lease Cycles'!$DK$19:$DQ$19,1,AD197),1-INDEX('Lease Cycles'!$DR$19:$DX$19,1,AD197),1))),0)</f>
        <v>0</v>
      </c>
      <c r="AE203" s="28">
        <f>IF(AE199=1,IF(INDEX('Lease Cycles'!$EF$19:$EL$19,1,AE197)=1,AE200*INDEX('Lease Cycles'!$EM$19:$ES$19,1,AE197)+AE201*IF(AE198&lt;INDEX('Lease Cycles'!$FA$19:$FG$19,1,AE197),0,1-INDEX('Lease Cycles'!$EM$19:$ES$19,1,AE197)),AE200*IF(AE198&lt;INDEX('Lease Cycles'!$DK$19:$DQ$19,1,AE197),0,IF(AE198=INDEX('Lease Cycles'!$DK$19:$DQ$19,1,AE197),1-INDEX('Lease Cycles'!$DR$19:$DX$19,1,AE197),1))),0)</f>
        <v>0</v>
      </c>
      <c r="AF203" s="28">
        <f>IF(AF199=1,IF(INDEX('Lease Cycles'!$EF$19:$EL$19,1,AF197)=1,AF200*INDEX('Lease Cycles'!$EM$19:$ES$19,1,AF197)+AF201*IF(AF198&lt;INDEX('Lease Cycles'!$FA$19:$FG$19,1,AF197),0,1-INDEX('Lease Cycles'!$EM$19:$ES$19,1,AF197)),AF200*IF(AF198&lt;INDEX('Lease Cycles'!$DK$19:$DQ$19,1,AF197),0,IF(AF198=INDEX('Lease Cycles'!$DK$19:$DQ$19,1,AF197),1-INDEX('Lease Cycles'!$DR$19:$DX$19,1,AF197),1))),0)</f>
        <v>0</v>
      </c>
      <c r="AG203" s="28">
        <f>IF(AG199=1,IF(INDEX('Lease Cycles'!$EF$19:$EL$19,1,AG197)=1,AG200*INDEX('Lease Cycles'!$EM$19:$ES$19,1,AG197)+AG201*IF(AG198&lt;INDEX('Lease Cycles'!$FA$19:$FG$19,1,AG197),0,1-INDEX('Lease Cycles'!$EM$19:$ES$19,1,AG197)),AG200*IF(AG198&lt;INDEX('Lease Cycles'!$DK$19:$DQ$19,1,AG197),0,IF(AG198=INDEX('Lease Cycles'!$DK$19:$DQ$19,1,AG197),1-INDEX('Lease Cycles'!$DR$19:$DX$19,1,AG197),1))),0)</f>
        <v>0</v>
      </c>
      <c r="AH203" s="28">
        <f>IF(AH199=1,IF(INDEX('Lease Cycles'!$EF$19:$EL$19,1,AH197)=1,AH200*INDEX('Lease Cycles'!$EM$19:$ES$19,1,AH197)+AH201*IF(AH198&lt;INDEX('Lease Cycles'!$FA$19:$FG$19,1,AH197),0,1-INDEX('Lease Cycles'!$EM$19:$ES$19,1,AH197)),AH200*IF(AH198&lt;INDEX('Lease Cycles'!$DK$19:$DQ$19,1,AH197),0,IF(AH198=INDEX('Lease Cycles'!$DK$19:$DQ$19,1,AH197),1-INDEX('Lease Cycles'!$DR$19:$DX$19,1,AH197),1))),0)</f>
        <v>0</v>
      </c>
      <c r="AI203" s="28">
        <f>IF(AI199=1,IF(INDEX('Lease Cycles'!$EF$19:$EL$19,1,AI197)=1,AI200*INDEX('Lease Cycles'!$EM$19:$ES$19,1,AI197)+AI201*IF(AI198&lt;INDEX('Lease Cycles'!$FA$19:$FG$19,1,AI197),0,1-INDEX('Lease Cycles'!$EM$19:$ES$19,1,AI197)),AI200*IF(AI198&lt;INDEX('Lease Cycles'!$DK$19:$DQ$19,1,AI197),0,IF(AI198=INDEX('Lease Cycles'!$DK$19:$DQ$19,1,AI197),1-INDEX('Lease Cycles'!$DR$19:$DX$19,1,AI197),1))),0)</f>
        <v>0</v>
      </c>
      <c r="AJ203" s="28">
        <f>IF(AJ199=1,IF(INDEX('Lease Cycles'!$EF$19:$EL$19,1,AJ197)=1,AJ200*INDEX('Lease Cycles'!$EM$19:$ES$19,1,AJ197)+AJ201*IF(AJ198&lt;INDEX('Lease Cycles'!$FA$19:$FG$19,1,AJ197),0,1-INDEX('Lease Cycles'!$EM$19:$ES$19,1,AJ197)),AJ200*IF(AJ198&lt;INDEX('Lease Cycles'!$DK$19:$DQ$19,1,AJ197),0,IF(AJ198=INDEX('Lease Cycles'!$DK$19:$DQ$19,1,AJ197),1-INDEX('Lease Cycles'!$DR$19:$DX$19,1,AJ197),1))),0)</f>
        <v>0</v>
      </c>
      <c r="AK203" s="28">
        <f>IF(AK199=1,IF(INDEX('Lease Cycles'!$EF$19:$EL$19,1,AK197)=1,AK200*INDEX('Lease Cycles'!$EM$19:$ES$19,1,AK197)+AK201*IF(AK198&lt;INDEX('Lease Cycles'!$FA$19:$FG$19,1,AK197),0,1-INDEX('Lease Cycles'!$EM$19:$ES$19,1,AK197)),AK200*IF(AK198&lt;INDEX('Lease Cycles'!$DK$19:$DQ$19,1,AK197),0,IF(AK198=INDEX('Lease Cycles'!$DK$19:$DQ$19,1,AK197),1-INDEX('Lease Cycles'!$DR$19:$DX$19,1,AK197),1))),0)</f>
        <v>0</v>
      </c>
      <c r="AL203" s="28">
        <f>IF(AL199=1,IF(INDEX('Lease Cycles'!$EF$19:$EL$19,1,AL197)=1,AL200*INDEX('Lease Cycles'!$EM$19:$ES$19,1,AL197)+AL201*IF(AL198&lt;INDEX('Lease Cycles'!$FA$19:$FG$19,1,AL197),0,1-INDEX('Lease Cycles'!$EM$19:$ES$19,1,AL197)),AL200*IF(AL198&lt;INDEX('Lease Cycles'!$DK$19:$DQ$19,1,AL197),0,IF(AL198=INDEX('Lease Cycles'!$DK$19:$DQ$19,1,AL197),1-INDEX('Lease Cycles'!$DR$19:$DX$19,1,AL197),1))),0)</f>
        <v>0</v>
      </c>
      <c r="AM203" s="28">
        <f>IF(AM199=1,IF(INDEX('Lease Cycles'!$EF$19:$EL$19,1,AM197)=1,AM200*INDEX('Lease Cycles'!$EM$19:$ES$19,1,AM197)+AM201*IF(AM198&lt;INDEX('Lease Cycles'!$FA$19:$FG$19,1,AM197),0,1-INDEX('Lease Cycles'!$EM$19:$ES$19,1,AM197)),AM200*IF(AM198&lt;INDEX('Lease Cycles'!$DK$19:$DQ$19,1,AM197),0,IF(AM198=INDEX('Lease Cycles'!$DK$19:$DQ$19,1,AM197),1-INDEX('Lease Cycles'!$DR$19:$DX$19,1,AM197),1))),0)</f>
        <v>0</v>
      </c>
      <c r="AN203" s="28">
        <f>IF(AN199=1,IF(INDEX('Lease Cycles'!$EF$19:$EL$19,1,AN197)=1,AN200*INDEX('Lease Cycles'!$EM$19:$ES$19,1,AN197)+AN201*IF(AN198&lt;INDEX('Lease Cycles'!$FA$19:$FG$19,1,AN197),0,1-INDEX('Lease Cycles'!$EM$19:$ES$19,1,AN197)),AN200*IF(AN198&lt;INDEX('Lease Cycles'!$DK$19:$DQ$19,1,AN197),0,IF(AN198=INDEX('Lease Cycles'!$DK$19:$DQ$19,1,AN197),1-INDEX('Lease Cycles'!$DR$19:$DX$19,1,AN197),1))),0)</f>
        <v>0</v>
      </c>
      <c r="AO203" s="28">
        <f>IF(AO199=1,IF(INDEX('Lease Cycles'!$EF$19:$EL$19,1,AO197)=1,AO200*INDEX('Lease Cycles'!$EM$19:$ES$19,1,AO197)+AO201*IF(AO198&lt;INDEX('Lease Cycles'!$FA$19:$FG$19,1,AO197),0,1-INDEX('Lease Cycles'!$EM$19:$ES$19,1,AO197)),AO200*IF(AO198&lt;INDEX('Lease Cycles'!$DK$19:$DQ$19,1,AO197),0,IF(AO198=INDEX('Lease Cycles'!$DK$19:$DQ$19,1,AO197),1-INDEX('Lease Cycles'!$DR$19:$DX$19,1,AO197),1))),0)</f>
        <v>0</v>
      </c>
      <c r="AP203" s="28">
        <f>IF(AP199=1,IF(INDEX('Lease Cycles'!$EF$19:$EL$19,1,AP197)=1,AP200*INDEX('Lease Cycles'!$EM$19:$ES$19,1,AP197)+AP201*IF(AP198&lt;INDEX('Lease Cycles'!$FA$19:$FG$19,1,AP197),0,1-INDEX('Lease Cycles'!$EM$19:$ES$19,1,AP197)),AP200*IF(AP198&lt;INDEX('Lease Cycles'!$DK$19:$DQ$19,1,AP197),0,IF(AP198=INDEX('Lease Cycles'!$DK$19:$DQ$19,1,AP197),1-INDEX('Lease Cycles'!$DR$19:$DX$19,1,AP197),1))),0)</f>
        <v>0</v>
      </c>
      <c r="AQ203" s="28">
        <f>IF(AQ199=1,IF(INDEX('Lease Cycles'!$EF$19:$EL$19,1,AQ197)=1,AQ200*INDEX('Lease Cycles'!$EM$19:$ES$19,1,AQ197)+AQ201*IF(AQ198&lt;INDEX('Lease Cycles'!$FA$19:$FG$19,1,AQ197),0,1-INDEX('Lease Cycles'!$EM$19:$ES$19,1,AQ197)),AQ200*IF(AQ198&lt;INDEX('Lease Cycles'!$DK$19:$DQ$19,1,AQ197),0,IF(AQ198=INDEX('Lease Cycles'!$DK$19:$DQ$19,1,AQ197),1-INDEX('Lease Cycles'!$DR$19:$DX$19,1,AQ197),1))),0)</f>
        <v>0</v>
      </c>
      <c r="AR203" s="28">
        <f>IF(AR199=1,IF(INDEX('Lease Cycles'!$EF$19:$EL$19,1,AR197)=1,AR200*INDEX('Lease Cycles'!$EM$19:$ES$19,1,AR197)+AR201*IF(AR198&lt;INDEX('Lease Cycles'!$FA$19:$FG$19,1,AR197),0,1-INDEX('Lease Cycles'!$EM$19:$ES$19,1,AR197)),AR200*IF(AR198&lt;INDEX('Lease Cycles'!$DK$19:$DQ$19,1,AR197),0,IF(AR198=INDEX('Lease Cycles'!$DK$19:$DQ$19,1,AR197),1-INDEX('Lease Cycles'!$DR$19:$DX$19,1,AR197),1))),0)</f>
        <v>0</v>
      </c>
      <c r="AS203" s="28">
        <f>IF(AS199=1,IF(INDEX('Lease Cycles'!$EF$19:$EL$19,1,AS197)=1,AS200*INDEX('Lease Cycles'!$EM$19:$ES$19,1,AS197)+AS201*IF(AS198&lt;INDEX('Lease Cycles'!$FA$19:$FG$19,1,AS197),0,1-INDEX('Lease Cycles'!$EM$19:$ES$19,1,AS197)),AS200*IF(AS198&lt;INDEX('Lease Cycles'!$DK$19:$DQ$19,1,AS197),0,IF(AS198=INDEX('Lease Cycles'!$DK$19:$DQ$19,1,AS197),1-INDEX('Lease Cycles'!$DR$19:$DX$19,1,AS197),1))),0)</f>
        <v>0</v>
      </c>
      <c r="AT203" s="28">
        <f>IF(AT199=1,IF(INDEX('Lease Cycles'!$EF$19:$EL$19,1,AT197)=1,AT200*INDEX('Lease Cycles'!$EM$19:$ES$19,1,AT197)+AT201*IF(AT198&lt;INDEX('Lease Cycles'!$FA$19:$FG$19,1,AT197),0,1-INDEX('Lease Cycles'!$EM$19:$ES$19,1,AT197)),AT200*IF(AT198&lt;INDEX('Lease Cycles'!$DK$19:$DQ$19,1,AT197),0,IF(AT198=INDEX('Lease Cycles'!$DK$19:$DQ$19,1,AT197),1-INDEX('Lease Cycles'!$DR$19:$DX$19,1,AT197),1))),0)</f>
        <v>0</v>
      </c>
      <c r="AU203" s="28">
        <f>IF(AU199=1,IF(INDEX('Lease Cycles'!$EF$19:$EL$19,1,AU197)=1,AU200*INDEX('Lease Cycles'!$EM$19:$ES$19,1,AU197)+AU201*IF(AU198&lt;INDEX('Lease Cycles'!$FA$19:$FG$19,1,AU197),0,1-INDEX('Lease Cycles'!$EM$19:$ES$19,1,AU197)),AU200*IF(AU198&lt;INDEX('Lease Cycles'!$DK$19:$DQ$19,1,AU197),0,IF(AU198=INDEX('Lease Cycles'!$DK$19:$DQ$19,1,AU197),1-INDEX('Lease Cycles'!$DR$19:$DX$19,1,AU197),1))),0)</f>
        <v>0</v>
      </c>
      <c r="AV203" s="28">
        <f>IF(AV199=1,IF(INDEX('Lease Cycles'!$EF$19:$EL$19,1,AV197)=1,AV200*INDEX('Lease Cycles'!$EM$19:$ES$19,1,AV197)+AV201*IF(AV198&lt;INDEX('Lease Cycles'!$FA$19:$FG$19,1,AV197),0,1-INDEX('Lease Cycles'!$EM$19:$ES$19,1,AV197)),AV200*IF(AV198&lt;INDEX('Lease Cycles'!$DK$19:$DQ$19,1,AV197),0,IF(AV198=INDEX('Lease Cycles'!$DK$19:$DQ$19,1,AV197),1-INDEX('Lease Cycles'!$DR$19:$DX$19,1,AV197),1))),0)</f>
        <v>0</v>
      </c>
      <c r="AW203" s="28">
        <f>IF(AW199=1,IF(INDEX('Lease Cycles'!$EF$19:$EL$19,1,AW197)=1,AW200*INDEX('Lease Cycles'!$EM$19:$ES$19,1,AW197)+AW201*IF(AW198&lt;INDEX('Lease Cycles'!$FA$19:$FG$19,1,AW197),0,1-INDEX('Lease Cycles'!$EM$19:$ES$19,1,AW197)),AW200*IF(AW198&lt;INDEX('Lease Cycles'!$DK$19:$DQ$19,1,AW197),0,IF(AW198=INDEX('Lease Cycles'!$DK$19:$DQ$19,1,AW197),1-INDEX('Lease Cycles'!$DR$19:$DX$19,1,AW197),1))),0)</f>
        <v>0</v>
      </c>
      <c r="AX203" s="28">
        <f>IF(AX199=1,IF(INDEX('Lease Cycles'!$EF$19:$EL$19,1,AX197)=1,AX200*INDEX('Lease Cycles'!$EM$19:$ES$19,1,AX197)+AX201*IF(AX198&lt;INDEX('Lease Cycles'!$FA$19:$FG$19,1,AX197),0,1-INDEX('Lease Cycles'!$EM$19:$ES$19,1,AX197)),AX200*IF(AX198&lt;INDEX('Lease Cycles'!$DK$19:$DQ$19,1,AX197),0,IF(AX198=INDEX('Lease Cycles'!$DK$19:$DQ$19,1,AX197),1-INDEX('Lease Cycles'!$DR$19:$DX$19,1,AX197),1))),0)</f>
        <v>0</v>
      </c>
      <c r="AY203" s="28">
        <f>IF(AY199=1,IF(INDEX('Lease Cycles'!$EF$19:$EL$19,1,AY197)=1,AY200*INDEX('Lease Cycles'!$EM$19:$ES$19,1,AY197)+AY201*IF(AY198&lt;INDEX('Lease Cycles'!$FA$19:$FG$19,1,AY197),0,1-INDEX('Lease Cycles'!$EM$19:$ES$19,1,AY197)),AY200*IF(AY198&lt;INDEX('Lease Cycles'!$DK$19:$DQ$19,1,AY197),0,IF(AY198=INDEX('Lease Cycles'!$DK$19:$DQ$19,1,AY197),1-INDEX('Lease Cycles'!$DR$19:$DX$19,1,AY197),1))),0)</f>
        <v>0</v>
      </c>
      <c r="AZ203" s="28">
        <f>IF(AZ199=1,IF(INDEX('Lease Cycles'!$EF$19:$EL$19,1,AZ197)=1,AZ200*INDEX('Lease Cycles'!$EM$19:$ES$19,1,AZ197)+AZ201*IF(AZ198&lt;INDEX('Lease Cycles'!$FA$19:$FG$19,1,AZ197),0,1-INDEX('Lease Cycles'!$EM$19:$ES$19,1,AZ197)),AZ200*IF(AZ198&lt;INDEX('Lease Cycles'!$DK$19:$DQ$19,1,AZ197),0,IF(AZ198=INDEX('Lease Cycles'!$DK$19:$DQ$19,1,AZ197),1-INDEX('Lease Cycles'!$DR$19:$DX$19,1,AZ197),1))),0)</f>
        <v>0</v>
      </c>
      <c r="BA203" s="28">
        <f>IF(BA199=1,IF(INDEX('Lease Cycles'!$EF$19:$EL$19,1,BA197)=1,BA200*INDEX('Lease Cycles'!$EM$19:$ES$19,1,BA197)+BA201*IF(BA198&lt;INDEX('Lease Cycles'!$FA$19:$FG$19,1,BA197),0,1-INDEX('Lease Cycles'!$EM$19:$ES$19,1,BA197)),BA200*IF(BA198&lt;INDEX('Lease Cycles'!$DK$19:$DQ$19,1,BA197),0,IF(BA198=INDEX('Lease Cycles'!$DK$19:$DQ$19,1,BA197),1-INDEX('Lease Cycles'!$DR$19:$DX$19,1,BA197),1))),0)</f>
        <v>0</v>
      </c>
      <c r="BB203" s="28">
        <f>IF(BB199=1,IF(INDEX('Lease Cycles'!$EF$19:$EL$19,1,BB197)=1,BB200*INDEX('Lease Cycles'!$EM$19:$ES$19,1,BB197)+BB201*IF(BB198&lt;INDEX('Lease Cycles'!$FA$19:$FG$19,1,BB197),0,1-INDEX('Lease Cycles'!$EM$19:$ES$19,1,BB197)),BB200*IF(BB198&lt;INDEX('Lease Cycles'!$DK$19:$DQ$19,1,BB197),0,IF(BB198=INDEX('Lease Cycles'!$DK$19:$DQ$19,1,BB197),1-INDEX('Lease Cycles'!$DR$19:$DX$19,1,BB197),1))),0)</f>
        <v>0</v>
      </c>
      <c r="BC203" s="28">
        <f>IF(BC199=1,IF(INDEX('Lease Cycles'!$EF$19:$EL$19,1,BC197)=1,BC200*INDEX('Lease Cycles'!$EM$19:$ES$19,1,BC197)+BC201*IF(BC198&lt;INDEX('Lease Cycles'!$FA$19:$FG$19,1,BC197),0,1-INDEX('Lease Cycles'!$EM$19:$ES$19,1,BC197)),BC200*IF(BC198&lt;INDEX('Lease Cycles'!$DK$19:$DQ$19,1,BC197),0,IF(BC198=INDEX('Lease Cycles'!$DK$19:$DQ$19,1,BC197),1-INDEX('Lease Cycles'!$DR$19:$DX$19,1,BC197),1))),0)</f>
        <v>0</v>
      </c>
      <c r="BD203" s="28">
        <f>IF(BD199=1,IF(INDEX('Lease Cycles'!$EF$19:$EL$19,1,BD197)=1,BD200*INDEX('Lease Cycles'!$EM$19:$ES$19,1,BD197)+BD201*IF(BD198&lt;INDEX('Lease Cycles'!$FA$19:$FG$19,1,BD197),0,1-INDEX('Lease Cycles'!$EM$19:$ES$19,1,BD197)),BD200*IF(BD198&lt;INDEX('Lease Cycles'!$DK$19:$DQ$19,1,BD197),0,IF(BD198=INDEX('Lease Cycles'!$DK$19:$DQ$19,1,BD197),1-INDEX('Lease Cycles'!$DR$19:$DX$19,1,BD197),1))),0)</f>
        <v>0</v>
      </c>
      <c r="BE203" s="28">
        <f>IF(BE199=1,IF(INDEX('Lease Cycles'!$EF$19:$EL$19,1,BE197)=1,BE200*INDEX('Lease Cycles'!$EM$19:$ES$19,1,BE197)+BE201*IF(BE198&lt;INDEX('Lease Cycles'!$FA$19:$FG$19,1,BE197),0,1-INDEX('Lease Cycles'!$EM$19:$ES$19,1,BE197)),BE200*IF(BE198&lt;INDEX('Lease Cycles'!$DK$19:$DQ$19,1,BE197),0,IF(BE198=INDEX('Lease Cycles'!$DK$19:$DQ$19,1,BE197),1-INDEX('Lease Cycles'!$DR$19:$DX$19,1,BE197),1))),0)</f>
        <v>0</v>
      </c>
      <c r="BF203" s="28">
        <f>IF(BF199=1,IF(INDEX('Lease Cycles'!$EF$19:$EL$19,1,BF197)=1,BF200*INDEX('Lease Cycles'!$EM$19:$ES$19,1,BF197)+BF201*IF(BF198&lt;INDEX('Lease Cycles'!$FA$19:$FG$19,1,BF197),0,1-INDEX('Lease Cycles'!$EM$19:$ES$19,1,BF197)),BF200*IF(BF198&lt;INDEX('Lease Cycles'!$DK$19:$DQ$19,1,BF197),0,IF(BF198=INDEX('Lease Cycles'!$DK$19:$DQ$19,1,BF197),1-INDEX('Lease Cycles'!$DR$19:$DX$19,1,BF197),1))),0)</f>
        <v>0</v>
      </c>
      <c r="BG203" s="28">
        <f>IF(BG199=1,IF(INDEX('Lease Cycles'!$EF$19:$EL$19,1,BG197)=1,BG200*INDEX('Lease Cycles'!$EM$19:$ES$19,1,BG197)+BG201*IF(BG198&lt;INDEX('Lease Cycles'!$FA$19:$FG$19,1,BG197),0,1-INDEX('Lease Cycles'!$EM$19:$ES$19,1,BG197)),BG200*IF(BG198&lt;INDEX('Lease Cycles'!$DK$19:$DQ$19,1,BG197),0,IF(BG198=INDEX('Lease Cycles'!$DK$19:$DQ$19,1,BG197),1-INDEX('Lease Cycles'!$DR$19:$DX$19,1,BG197),1))),0)</f>
        <v>0</v>
      </c>
      <c r="BH203" s="28">
        <f>IF(BH199=1,IF(INDEX('Lease Cycles'!$EF$19:$EL$19,1,BH197)=1,BH200*INDEX('Lease Cycles'!$EM$19:$ES$19,1,BH197)+BH201*IF(BH198&lt;INDEX('Lease Cycles'!$FA$19:$FG$19,1,BH197),0,1-INDEX('Lease Cycles'!$EM$19:$ES$19,1,BH197)),BH200*IF(BH198&lt;INDEX('Lease Cycles'!$DK$19:$DQ$19,1,BH197),0,IF(BH198=INDEX('Lease Cycles'!$DK$19:$DQ$19,1,BH197),1-INDEX('Lease Cycles'!$DR$19:$DX$19,1,BH197),1))),0)</f>
        <v>0</v>
      </c>
      <c r="BI203" s="28">
        <f>IF(BI199=1,IF(INDEX('Lease Cycles'!$EF$19:$EL$19,1,BI197)=1,BI200*INDEX('Lease Cycles'!$EM$19:$ES$19,1,BI197)+BI201*IF(BI198&lt;INDEX('Lease Cycles'!$FA$19:$FG$19,1,BI197),0,1-INDEX('Lease Cycles'!$EM$19:$ES$19,1,BI197)),BI200*IF(BI198&lt;INDEX('Lease Cycles'!$DK$19:$DQ$19,1,BI197),0,IF(BI198=INDEX('Lease Cycles'!$DK$19:$DQ$19,1,BI197),1-INDEX('Lease Cycles'!$DR$19:$DX$19,1,BI197),1))),0)</f>
        <v>0</v>
      </c>
      <c r="BJ203" s="28">
        <f>IF(BJ199=1,IF(INDEX('Lease Cycles'!$EF$19:$EL$19,1,BJ197)=1,BJ200*INDEX('Lease Cycles'!$EM$19:$ES$19,1,BJ197)+BJ201*IF(BJ198&lt;INDEX('Lease Cycles'!$FA$19:$FG$19,1,BJ197),0,1-INDEX('Lease Cycles'!$EM$19:$ES$19,1,BJ197)),BJ200*IF(BJ198&lt;INDEX('Lease Cycles'!$DK$19:$DQ$19,1,BJ197),0,IF(BJ198=INDEX('Lease Cycles'!$DK$19:$DQ$19,1,BJ197),1-INDEX('Lease Cycles'!$DR$19:$DX$19,1,BJ197),1))),0)</f>
        <v>0</v>
      </c>
      <c r="BK203" s="28">
        <f>IF(BK199=1,IF(INDEX('Lease Cycles'!$EF$19:$EL$19,1,BK197)=1,BK200*INDEX('Lease Cycles'!$EM$19:$ES$19,1,BK197)+BK201*IF(BK198&lt;INDEX('Lease Cycles'!$FA$19:$FG$19,1,BK197),0,1-INDEX('Lease Cycles'!$EM$19:$ES$19,1,BK197)),BK200*IF(BK198&lt;INDEX('Lease Cycles'!$DK$19:$DQ$19,1,BK197),0,IF(BK198=INDEX('Lease Cycles'!$DK$19:$DQ$19,1,BK197),1-INDEX('Lease Cycles'!$DR$19:$DX$19,1,BK197),1))),0)</f>
        <v>0</v>
      </c>
      <c r="BL203" s="28">
        <f>IF(BL199=1,IF(INDEX('Lease Cycles'!$EF$19:$EL$19,1,BL197)=1,BL200*INDEX('Lease Cycles'!$EM$19:$ES$19,1,BL197)+BL201*IF(BL198&lt;INDEX('Lease Cycles'!$FA$19:$FG$19,1,BL197),0,1-INDEX('Lease Cycles'!$EM$19:$ES$19,1,BL197)),BL200*IF(BL198&lt;INDEX('Lease Cycles'!$DK$19:$DQ$19,1,BL197),0,IF(BL198=INDEX('Lease Cycles'!$DK$19:$DQ$19,1,BL197),1-INDEX('Lease Cycles'!$DR$19:$DX$19,1,BL197),1))),0)</f>
        <v>0</v>
      </c>
      <c r="BM203" s="28">
        <f>IF(BM199=1,IF(INDEX('Lease Cycles'!$EF$19:$EL$19,1,BM197)=1,BM200*INDEX('Lease Cycles'!$EM$19:$ES$19,1,BM197)+BM201*IF(BM198&lt;INDEX('Lease Cycles'!$FA$19:$FG$19,1,BM197),0,1-INDEX('Lease Cycles'!$EM$19:$ES$19,1,BM197)),BM200*IF(BM198&lt;INDEX('Lease Cycles'!$DK$19:$DQ$19,1,BM197),0,IF(BM198=INDEX('Lease Cycles'!$DK$19:$DQ$19,1,BM197),1-INDEX('Lease Cycles'!$DR$19:$DX$19,1,BM197),1))),0)</f>
        <v>0</v>
      </c>
      <c r="BN203" s="28">
        <f>IF(BN199=1,IF(INDEX('Lease Cycles'!$EF$19:$EL$19,1,BN197)=1,BN200*INDEX('Lease Cycles'!$EM$19:$ES$19,1,BN197)+BN201*IF(BN198&lt;INDEX('Lease Cycles'!$FA$19:$FG$19,1,BN197),0,1-INDEX('Lease Cycles'!$EM$19:$ES$19,1,BN197)),BN200*IF(BN198&lt;INDEX('Lease Cycles'!$DK$19:$DQ$19,1,BN197),0,IF(BN198=INDEX('Lease Cycles'!$DK$19:$DQ$19,1,BN197),1-INDEX('Lease Cycles'!$DR$19:$DX$19,1,BN197),1))),0)</f>
        <v>0</v>
      </c>
      <c r="BO203" s="28">
        <f>IF(BO199=1,IF(INDEX('Lease Cycles'!$EF$19:$EL$19,1,BO197)=1,BO200*INDEX('Lease Cycles'!$EM$19:$ES$19,1,BO197)+BO201*IF(BO198&lt;INDEX('Lease Cycles'!$FA$19:$FG$19,1,BO197),0,1-INDEX('Lease Cycles'!$EM$19:$ES$19,1,BO197)),BO200*IF(BO198&lt;INDEX('Lease Cycles'!$DK$19:$DQ$19,1,BO197),0,IF(BO198=INDEX('Lease Cycles'!$DK$19:$DQ$19,1,BO197),1-INDEX('Lease Cycles'!$DR$19:$DX$19,1,BO197),1))),0)</f>
        <v>0</v>
      </c>
      <c r="BP203" s="28">
        <f>IF(BP199=1,IF(INDEX('Lease Cycles'!$EF$19:$EL$19,1,BP197)=1,BP200*INDEX('Lease Cycles'!$EM$19:$ES$19,1,BP197)+BP201*IF(BP198&lt;INDEX('Lease Cycles'!$FA$19:$FG$19,1,BP197),0,1-INDEX('Lease Cycles'!$EM$19:$ES$19,1,BP197)),BP200*IF(BP198&lt;INDEX('Lease Cycles'!$DK$19:$DQ$19,1,BP197),0,IF(BP198=INDEX('Lease Cycles'!$DK$19:$DQ$19,1,BP197),1-INDEX('Lease Cycles'!$DR$19:$DX$19,1,BP197),1))),0)</f>
        <v>0</v>
      </c>
      <c r="BQ203" s="28">
        <f>IF(BQ199=1,IF(INDEX('Lease Cycles'!$EF$19:$EL$19,1,BQ197)=1,BQ200*INDEX('Lease Cycles'!$EM$19:$ES$19,1,BQ197)+BQ201*IF(BQ198&lt;INDEX('Lease Cycles'!$FA$19:$FG$19,1,BQ197),0,1-INDEX('Lease Cycles'!$EM$19:$ES$19,1,BQ197)),BQ200*IF(BQ198&lt;INDEX('Lease Cycles'!$DK$19:$DQ$19,1,BQ197),0,IF(BQ198=INDEX('Lease Cycles'!$DK$19:$DQ$19,1,BQ197),1-INDEX('Lease Cycles'!$DR$19:$DX$19,1,BQ197),1))),0)</f>
        <v>0</v>
      </c>
      <c r="BR203" s="28">
        <f>IF(BR199=1,IF(INDEX('Lease Cycles'!$EF$19:$EL$19,1,BR197)=1,BR200*INDEX('Lease Cycles'!$EM$19:$ES$19,1,BR197)+BR201*IF(BR198&lt;INDEX('Lease Cycles'!$FA$19:$FG$19,1,BR197),0,1-INDEX('Lease Cycles'!$EM$19:$ES$19,1,BR197)),BR200*IF(BR198&lt;INDEX('Lease Cycles'!$DK$19:$DQ$19,1,BR197),0,IF(BR198=INDEX('Lease Cycles'!$DK$19:$DQ$19,1,BR197),1-INDEX('Lease Cycles'!$DR$19:$DX$19,1,BR197),1))),0)</f>
        <v>0</v>
      </c>
      <c r="BS203" s="28">
        <f>IF(BS199=1,IF(INDEX('Lease Cycles'!$EF$19:$EL$19,1,BS197)=1,BS200*INDEX('Lease Cycles'!$EM$19:$ES$19,1,BS197)+BS201*IF(BS198&lt;INDEX('Lease Cycles'!$FA$19:$FG$19,1,BS197),0,1-INDEX('Lease Cycles'!$EM$19:$ES$19,1,BS197)),BS200*IF(BS198&lt;INDEX('Lease Cycles'!$DK$19:$DQ$19,1,BS197),0,IF(BS198=INDEX('Lease Cycles'!$DK$19:$DQ$19,1,BS197),1-INDEX('Lease Cycles'!$DR$19:$DX$19,1,BS197),1))),0)</f>
        <v>0</v>
      </c>
      <c r="BT203" s="28">
        <f>IF(BT199=1,IF(INDEX('Lease Cycles'!$EF$19:$EL$19,1,BT197)=1,BT200*INDEX('Lease Cycles'!$EM$19:$ES$19,1,BT197)+BT201*IF(BT198&lt;INDEX('Lease Cycles'!$FA$19:$FG$19,1,BT197),0,1-INDEX('Lease Cycles'!$EM$19:$ES$19,1,BT197)),BT200*IF(BT198&lt;INDEX('Lease Cycles'!$DK$19:$DQ$19,1,BT197),0,IF(BT198=INDEX('Lease Cycles'!$DK$19:$DQ$19,1,BT197),1-INDEX('Lease Cycles'!$DR$19:$DX$19,1,BT197),1))),0)</f>
        <v>0</v>
      </c>
      <c r="BU203" s="28">
        <f>IF(BU199=1,IF(INDEX('Lease Cycles'!$EF$19:$EL$19,1,BU197)=1,BU200*INDEX('Lease Cycles'!$EM$19:$ES$19,1,BU197)+BU201*IF(BU198&lt;INDEX('Lease Cycles'!$FA$19:$FG$19,1,BU197),0,1-INDEX('Lease Cycles'!$EM$19:$ES$19,1,BU197)),BU200*IF(BU198&lt;INDEX('Lease Cycles'!$DK$19:$DQ$19,1,BU197),0,IF(BU198=INDEX('Lease Cycles'!$DK$19:$DQ$19,1,BU197),1-INDEX('Lease Cycles'!$DR$19:$DX$19,1,BU197),1))),0)</f>
        <v>0</v>
      </c>
      <c r="BV203" s="28">
        <f>IF(BV199=1,IF(INDEX('Lease Cycles'!$EF$19:$EL$19,1,BV197)=1,BV200*INDEX('Lease Cycles'!$EM$19:$ES$19,1,BV197)+BV201*IF(BV198&lt;INDEX('Lease Cycles'!$FA$19:$FG$19,1,BV197),0,1-INDEX('Lease Cycles'!$EM$19:$ES$19,1,BV197)),BV200*IF(BV198&lt;INDEX('Lease Cycles'!$DK$19:$DQ$19,1,BV197),0,IF(BV198=INDEX('Lease Cycles'!$DK$19:$DQ$19,1,BV197),1-INDEX('Lease Cycles'!$DR$19:$DX$19,1,BV197),1))),0)</f>
        <v>0</v>
      </c>
      <c r="BW203" s="28">
        <f>IF(BW199=1,IF(INDEX('Lease Cycles'!$EF$19:$EL$19,1,BW197)=1,BW200*INDEX('Lease Cycles'!$EM$19:$ES$19,1,BW197)+BW201*IF(BW198&lt;INDEX('Lease Cycles'!$FA$19:$FG$19,1,BW197),0,1-INDEX('Lease Cycles'!$EM$19:$ES$19,1,BW197)),BW200*IF(BW198&lt;INDEX('Lease Cycles'!$DK$19:$DQ$19,1,BW197),0,IF(BW198=INDEX('Lease Cycles'!$DK$19:$DQ$19,1,BW197),1-INDEX('Lease Cycles'!$DR$19:$DX$19,1,BW197),1))),0)</f>
        <v>0</v>
      </c>
      <c r="BX203" s="28">
        <f>IF(BX199=1,IF(INDEX('Lease Cycles'!$EF$19:$EL$19,1,BX197)=1,BX200*INDEX('Lease Cycles'!$EM$19:$ES$19,1,BX197)+BX201*IF(BX198&lt;INDEX('Lease Cycles'!$FA$19:$FG$19,1,BX197),0,1-INDEX('Lease Cycles'!$EM$19:$ES$19,1,BX197)),BX200*IF(BX198&lt;INDEX('Lease Cycles'!$DK$19:$DQ$19,1,BX197),0,IF(BX198=INDEX('Lease Cycles'!$DK$19:$DQ$19,1,BX197),1-INDEX('Lease Cycles'!$DR$19:$DX$19,1,BX197),1))),0)</f>
        <v>0</v>
      </c>
      <c r="BY203" s="28">
        <f>IF(BY199=1,IF(INDEX('Lease Cycles'!$EF$19:$EL$19,1,BY197)=1,BY200*INDEX('Lease Cycles'!$EM$19:$ES$19,1,BY197)+BY201*IF(BY198&lt;INDEX('Lease Cycles'!$FA$19:$FG$19,1,BY197),0,1-INDEX('Lease Cycles'!$EM$19:$ES$19,1,BY197)),BY200*IF(BY198&lt;INDEX('Lease Cycles'!$DK$19:$DQ$19,1,BY197),0,IF(BY198=INDEX('Lease Cycles'!$DK$19:$DQ$19,1,BY197),1-INDEX('Lease Cycles'!$DR$19:$DX$19,1,BY197),1))),0)</f>
        <v>0</v>
      </c>
      <c r="BZ203" s="28">
        <f>IF(BZ199=1,IF(INDEX('Lease Cycles'!$EF$19:$EL$19,1,BZ197)=1,BZ200*INDEX('Lease Cycles'!$EM$19:$ES$19,1,BZ197)+BZ201*IF(BZ198&lt;INDEX('Lease Cycles'!$FA$19:$FG$19,1,BZ197),0,1-INDEX('Lease Cycles'!$EM$19:$ES$19,1,BZ197)),BZ200*IF(BZ198&lt;INDEX('Lease Cycles'!$DK$19:$DQ$19,1,BZ197),0,IF(BZ198=INDEX('Lease Cycles'!$DK$19:$DQ$19,1,BZ197),1-INDEX('Lease Cycles'!$DR$19:$DX$19,1,BZ197),1))),0)</f>
        <v>0</v>
      </c>
      <c r="CA203" s="28">
        <f>IF(CA199=1,IF(INDEX('Lease Cycles'!$EF$19:$EL$19,1,CA197)=1,CA200*INDEX('Lease Cycles'!$EM$19:$ES$19,1,CA197)+CA201*IF(CA198&lt;INDEX('Lease Cycles'!$FA$19:$FG$19,1,CA197),0,1-INDEX('Lease Cycles'!$EM$19:$ES$19,1,CA197)),CA200*IF(CA198&lt;INDEX('Lease Cycles'!$DK$19:$DQ$19,1,CA197),0,IF(CA198=INDEX('Lease Cycles'!$DK$19:$DQ$19,1,CA197),1-INDEX('Lease Cycles'!$DR$19:$DX$19,1,CA197),1))),0)</f>
        <v>0</v>
      </c>
      <c r="CB203" s="28">
        <f>IF(CB199=1,IF(INDEX('Lease Cycles'!$EF$19:$EL$19,1,CB197)=1,CB200*INDEX('Lease Cycles'!$EM$19:$ES$19,1,CB197)+CB201*IF(CB198&lt;INDEX('Lease Cycles'!$FA$19:$FG$19,1,CB197),0,1-INDEX('Lease Cycles'!$EM$19:$ES$19,1,CB197)),CB200*IF(CB198&lt;INDEX('Lease Cycles'!$DK$19:$DQ$19,1,CB197),0,IF(CB198=INDEX('Lease Cycles'!$DK$19:$DQ$19,1,CB197),1-INDEX('Lease Cycles'!$DR$19:$DX$19,1,CB197),1))),0)</f>
        <v>0</v>
      </c>
      <c r="CC203" s="28">
        <f>IF(CC199=1,IF(INDEX('Lease Cycles'!$EF$19:$EL$19,1,CC197)=1,CC200*INDEX('Lease Cycles'!$EM$19:$ES$19,1,CC197)+CC201*IF(CC198&lt;INDEX('Lease Cycles'!$FA$19:$FG$19,1,CC197),0,1-INDEX('Lease Cycles'!$EM$19:$ES$19,1,CC197)),CC200*IF(CC198&lt;INDEX('Lease Cycles'!$DK$19:$DQ$19,1,CC197),0,IF(CC198=INDEX('Lease Cycles'!$DK$19:$DQ$19,1,CC197),1-INDEX('Lease Cycles'!$DR$19:$DX$19,1,CC197),1))),0)</f>
        <v>0</v>
      </c>
      <c r="CD203" s="28">
        <f>IF(CD199=1,IF(INDEX('Lease Cycles'!$EF$19:$EL$19,1,CD197)=1,CD200*INDEX('Lease Cycles'!$EM$19:$ES$19,1,CD197)+CD201*IF(CD198&lt;INDEX('Lease Cycles'!$FA$19:$FG$19,1,CD197),0,1-INDEX('Lease Cycles'!$EM$19:$ES$19,1,CD197)),CD200*IF(CD198&lt;INDEX('Lease Cycles'!$DK$19:$DQ$19,1,CD197),0,IF(CD198=INDEX('Lease Cycles'!$DK$19:$DQ$19,1,CD197),1-INDEX('Lease Cycles'!$DR$19:$DX$19,1,CD197),1))),0)</f>
        <v>0</v>
      </c>
      <c r="CE203" s="28">
        <f>IF(CE199=1,IF(INDEX('Lease Cycles'!$EF$19:$EL$19,1,CE197)=1,CE200*INDEX('Lease Cycles'!$EM$19:$ES$19,1,CE197)+CE201*IF(CE198&lt;INDEX('Lease Cycles'!$FA$19:$FG$19,1,CE197),0,1-INDEX('Lease Cycles'!$EM$19:$ES$19,1,CE197)),CE200*IF(CE198&lt;INDEX('Lease Cycles'!$DK$19:$DQ$19,1,CE197),0,IF(CE198=INDEX('Lease Cycles'!$DK$19:$DQ$19,1,CE197),1-INDEX('Lease Cycles'!$DR$19:$DX$19,1,CE197),1))),0)</f>
        <v>0</v>
      </c>
      <c r="CF203" s="28">
        <f>IF(CF199=1,IF(INDEX('Lease Cycles'!$EF$19:$EL$19,1,CF197)=1,CF200*INDEX('Lease Cycles'!$EM$19:$ES$19,1,CF197)+CF201*IF(CF198&lt;INDEX('Lease Cycles'!$FA$19:$FG$19,1,CF197),0,1-INDEX('Lease Cycles'!$EM$19:$ES$19,1,CF197)),CF200*IF(CF198&lt;INDEX('Lease Cycles'!$DK$19:$DQ$19,1,CF197),0,IF(CF198=INDEX('Lease Cycles'!$DK$19:$DQ$19,1,CF197),1-INDEX('Lease Cycles'!$DR$19:$DX$19,1,CF197),1))),0)</f>
        <v>0</v>
      </c>
      <c r="CG203" s="28">
        <f>IF(CG199=1,IF(INDEX('Lease Cycles'!$EF$19:$EL$19,1,CG197)=1,CG200*INDEX('Lease Cycles'!$EM$19:$ES$19,1,CG197)+CG201*IF(CG198&lt;INDEX('Lease Cycles'!$FA$19:$FG$19,1,CG197),0,1-INDEX('Lease Cycles'!$EM$19:$ES$19,1,CG197)),CG200*IF(CG198&lt;INDEX('Lease Cycles'!$DK$19:$DQ$19,1,CG197),0,IF(CG198=INDEX('Lease Cycles'!$DK$19:$DQ$19,1,CG197),1-INDEX('Lease Cycles'!$DR$19:$DX$19,1,CG197),1))),0)</f>
        <v>0</v>
      </c>
      <c r="CH203" s="28">
        <f>IF(CH199=1,IF(INDEX('Lease Cycles'!$EF$19:$EL$19,1,CH197)=1,CH200*INDEX('Lease Cycles'!$EM$19:$ES$19,1,CH197)+CH201*IF(CH198&lt;INDEX('Lease Cycles'!$FA$19:$FG$19,1,CH197),0,1-INDEX('Lease Cycles'!$EM$19:$ES$19,1,CH197)),CH200*IF(CH198&lt;INDEX('Lease Cycles'!$DK$19:$DQ$19,1,CH197),0,IF(CH198=INDEX('Lease Cycles'!$DK$19:$DQ$19,1,CH197),1-INDEX('Lease Cycles'!$DR$19:$DX$19,1,CH197),1))),0)</f>
        <v>0</v>
      </c>
      <c r="CI203" s="28">
        <f>IF(CI199=1,IF(INDEX('Lease Cycles'!$EF$19:$EL$19,1,CI197)=1,CI200*INDEX('Lease Cycles'!$EM$19:$ES$19,1,CI197)+CI201*IF(CI198&lt;INDEX('Lease Cycles'!$FA$19:$FG$19,1,CI197),0,1-INDEX('Lease Cycles'!$EM$19:$ES$19,1,CI197)),CI200*IF(CI198&lt;INDEX('Lease Cycles'!$DK$19:$DQ$19,1,CI197),0,IF(CI198=INDEX('Lease Cycles'!$DK$19:$DQ$19,1,CI197),1-INDEX('Lease Cycles'!$DR$19:$DX$19,1,CI197),1))),0)</f>
        <v>0</v>
      </c>
      <c r="CJ203" s="28">
        <f>IF(CJ199=1,IF(INDEX('Lease Cycles'!$EF$19:$EL$19,1,CJ197)=1,CJ200*INDEX('Lease Cycles'!$EM$19:$ES$19,1,CJ197)+CJ201*IF(CJ198&lt;INDEX('Lease Cycles'!$FA$19:$FG$19,1,CJ197),0,1-INDEX('Lease Cycles'!$EM$19:$ES$19,1,CJ197)),CJ200*IF(CJ198&lt;INDEX('Lease Cycles'!$DK$19:$DQ$19,1,CJ197),0,IF(CJ198=INDEX('Lease Cycles'!$DK$19:$DQ$19,1,CJ197),1-INDEX('Lease Cycles'!$DR$19:$DX$19,1,CJ197),1))),0)</f>
        <v>0</v>
      </c>
      <c r="CK203" s="28">
        <f>IF(CK199=1,IF(INDEX('Lease Cycles'!$EF$19:$EL$19,1,CK197)=1,CK200*INDEX('Lease Cycles'!$EM$19:$ES$19,1,CK197)+CK201*IF(CK198&lt;INDEX('Lease Cycles'!$FA$19:$FG$19,1,CK197),0,1-INDEX('Lease Cycles'!$EM$19:$ES$19,1,CK197)),CK200*IF(CK198&lt;INDEX('Lease Cycles'!$DK$19:$DQ$19,1,CK197),0,IF(CK198=INDEX('Lease Cycles'!$DK$19:$DQ$19,1,CK197),1-INDEX('Lease Cycles'!$DR$19:$DX$19,1,CK197),1))),0)</f>
        <v>0</v>
      </c>
      <c r="CL203" s="28">
        <f>IF(CL199=1,IF(INDEX('Lease Cycles'!$EF$19:$EL$19,1,CL197)=1,CL200*INDEX('Lease Cycles'!$EM$19:$ES$19,1,CL197)+CL201*IF(CL198&lt;INDEX('Lease Cycles'!$FA$19:$FG$19,1,CL197),0,1-INDEX('Lease Cycles'!$EM$19:$ES$19,1,CL197)),CL200*IF(CL198&lt;INDEX('Lease Cycles'!$DK$19:$DQ$19,1,CL197),0,IF(CL198=INDEX('Lease Cycles'!$DK$19:$DQ$19,1,CL197),1-INDEX('Lease Cycles'!$DR$19:$DX$19,1,CL197),1))),0)</f>
        <v>0</v>
      </c>
      <c r="CM203" s="28">
        <f>IF(CM199=1,IF(INDEX('Lease Cycles'!$EF$19:$EL$19,1,CM197)=1,CM200*INDEX('Lease Cycles'!$EM$19:$ES$19,1,CM197)+CM201*IF(CM198&lt;INDEX('Lease Cycles'!$FA$19:$FG$19,1,CM197),0,1-INDEX('Lease Cycles'!$EM$19:$ES$19,1,CM197)),CM200*IF(CM198&lt;INDEX('Lease Cycles'!$DK$19:$DQ$19,1,CM197),0,IF(CM198=INDEX('Lease Cycles'!$DK$19:$DQ$19,1,CM197),1-INDEX('Lease Cycles'!$DR$19:$DX$19,1,CM197),1))),0)</f>
        <v>0</v>
      </c>
      <c r="CN203" s="28">
        <f>IF(CN199=1,IF(INDEX('Lease Cycles'!$EF$19:$EL$19,1,CN197)=1,CN200*INDEX('Lease Cycles'!$EM$19:$ES$19,1,CN197)+CN201*IF(CN198&lt;INDEX('Lease Cycles'!$FA$19:$FG$19,1,CN197),0,1-INDEX('Lease Cycles'!$EM$19:$ES$19,1,CN197)),CN200*IF(CN198&lt;INDEX('Lease Cycles'!$DK$19:$DQ$19,1,CN197),0,IF(CN198=INDEX('Lease Cycles'!$DK$19:$DQ$19,1,CN197),1-INDEX('Lease Cycles'!$DR$19:$DX$19,1,CN197),1))),0)</f>
        <v>0</v>
      </c>
      <c r="CO203" s="28">
        <f>IF(CO199=1,IF(INDEX('Lease Cycles'!$EF$19:$EL$19,1,CO197)=1,CO200*INDEX('Lease Cycles'!$EM$19:$ES$19,1,CO197)+CO201*IF(CO198&lt;INDEX('Lease Cycles'!$FA$19:$FG$19,1,CO197),0,1-INDEX('Lease Cycles'!$EM$19:$ES$19,1,CO197)),CO200*IF(CO198&lt;INDEX('Lease Cycles'!$DK$19:$DQ$19,1,CO197),0,IF(CO198=INDEX('Lease Cycles'!$DK$19:$DQ$19,1,CO197),1-INDEX('Lease Cycles'!$DR$19:$DX$19,1,CO197),1))),0)</f>
        <v>0</v>
      </c>
      <c r="CP203" s="28">
        <f>IF(CP199=1,IF(INDEX('Lease Cycles'!$EF$19:$EL$19,1,CP197)=1,CP200*INDEX('Lease Cycles'!$EM$19:$ES$19,1,CP197)+CP201*IF(CP198&lt;INDEX('Lease Cycles'!$FA$19:$FG$19,1,CP197),0,1-INDEX('Lease Cycles'!$EM$19:$ES$19,1,CP197)),CP200*IF(CP198&lt;INDEX('Lease Cycles'!$DK$19:$DQ$19,1,CP197),0,IF(CP198=INDEX('Lease Cycles'!$DK$19:$DQ$19,1,CP197),1-INDEX('Lease Cycles'!$DR$19:$DX$19,1,CP197),1))),0)</f>
        <v>0</v>
      </c>
      <c r="CQ203" s="28">
        <f>IF(CQ199=1,IF(INDEX('Lease Cycles'!$EF$19:$EL$19,1,CQ197)=1,CQ200*INDEX('Lease Cycles'!$EM$19:$ES$19,1,CQ197)+CQ201*IF(CQ198&lt;INDEX('Lease Cycles'!$FA$19:$FG$19,1,CQ197),0,1-INDEX('Lease Cycles'!$EM$19:$ES$19,1,CQ197)),CQ200*IF(CQ198&lt;INDEX('Lease Cycles'!$DK$19:$DQ$19,1,CQ197),0,IF(CQ198=INDEX('Lease Cycles'!$DK$19:$DQ$19,1,CQ197),1-INDEX('Lease Cycles'!$DR$19:$DX$19,1,CQ197),1))),0)</f>
        <v>0</v>
      </c>
      <c r="CR203" s="28">
        <f>IF(CR199=1,IF(INDEX('Lease Cycles'!$EF$19:$EL$19,1,CR197)=1,CR200*INDEX('Lease Cycles'!$EM$19:$ES$19,1,CR197)+CR201*IF(CR198&lt;INDEX('Lease Cycles'!$FA$19:$FG$19,1,CR197),0,1-INDEX('Lease Cycles'!$EM$19:$ES$19,1,CR197)),CR200*IF(CR198&lt;INDEX('Lease Cycles'!$DK$19:$DQ$19,1,CR197),0,IF(CR198=INDEX('Lease Cycles'!$DK$19:$DQ$19,1,CR197),1-INDEX('Lease Cycles'!$DR$19:$DX$19,1,CR197),1))),0)</f>
        <v>0</v>
      </c>
      <c r="CS203" s="28">
        <f>IF(CS199=1,IF(INDEX('Lease Cycles'!$EF$19:$EL$19,1,CS197)=1,CS200*INDEX('Lease Cycles'!$EM$19:$ES$19,1,CS197)+CS201*IF(CS198&lt;INDEX('Lease Cycles'!$FA$19:$FG$19,1,CS197),0,1-INDEX('Lease Cycles'!$EM$19:$ES$19,1,CS197)),CS200*IF(CS198&lt;INDEX('Lease Cycles'!$DK$19:$DQ$19,1,CS197),0,IF(CS198=INDEX('Lease Cycles'!$DK$19:$DQ$19,1,CS197),1-INDEX('Lease Cycles'!$DR$19:$DX$19,1,CS197),1))),0)</f>
        <v>0</v>
      </c>
      <c r="CT203" s="28">
        <f>IF(CT199=1,IF(INDEX('Lease Cycles'!$EF$19:$EL$19,1,CT197)=1,CT200*INDEX('Lease Cycles'!$EM$19:$ES$19,1,CT197)+CT201*IF(CT198&lt;INDEX('Lease Cycles'!$FA$19:$FG$19,1,CT197),0,1-INDEX('Lease Cycles'!$EM$19:$ES$19,1,CT197)),CT200*IF(CT198&lt;INDEX('Lease Cycles'!$DK$19:$DQ$19,1,CT197),0,IF(CT198=INDEX('Lease Cycles'!$DK$19:$DQ$19,1,CT197),1-INDEX('Lease Cycles'!$DR$19:$DX$19,1,CT197),1))),0)</f>
        <v>0</v>
      </c>
      <c r="CU203" s="28">
        <f>IF(CU199=1,IF(INDEX('Lease Cycles'!$EF$19:$EL$19,1,CU197)=1,CU200*INDEX('Lease Cycles'!$EM$19:$ES$19,1,CU197)+CU201*IF(CU198&lt;INDEX('Lease Cycles'!$FA$19:$FG$19,1,CU197),0,1-INDEX('Lease Cycles'!$EM$19:$ES$19,1,CU197)),CU200*IF(CU198&lt;INDEX('Lease Cycles'!$DK$19:$DQ$19,1,CU197),0,IF(CU198=INDEX('Lease Cycles'!$DK$19:$DQ$19,1,CU197),1-INDEX('Lease Cycles'!$DR$19:$DX$19,1,CU197),1))),0)</f>
        <v>0</v>
      </c>
      <c r="CV203" s="28">
        <f>IF(CV199=1,IF(INDEX('Lease Cycles'!$EF$19:$EL$19,1,CV197)=1,CV200*INDEX('Lease Cycles'!$EM$19:$ES$19,1,CV197)+CV201*IF(CV198&lt;INDEX('Lease Cycles'!$FA$19:$FG$19,1,CV197),0,1-INDEX('Lease Cycles'!$EM$19:$ES$19,1,CV197)),CV200*IF(CV198&lt;INDEX('Lease Cycles'!$DK$19:$DQ$19,1,CV197),0,IF(CV198=INDEX('Lease Cycles'!$DK$19:$DQ$19,1,CV197),1-INDEX('Lease Cycles'!$DR$19:$DX$19,1,CV197),1))),0)</f>
        <v>0</v>
      </c>
      <c r="CW203" s="28">
        <f>IF(CW199=1,IF(INDEX('Lease Cycles'!$EF$19:$EL$19,1,CW197)=1,CW200*INDEX('Lease Cycles'!$EM$19:$ES$19,1,CW197)+CW201*IF(CW198&lt;INDEX('Lease Cycles'!$FA$19:$FG$19,1,CW197),0,1-INDEX('Lease Cycles'!$EM$19:$ES$19,1,CW197)),CW200*IF(CW198&lt;INDEX('Lease Cycles'!$DK$19:$DQ$19,1,CW197),0,IF(CW198=INDEX('Lease Cycles'!$DK$19:$DQ$19,1,CW197),1-INDEX('Lease Cycles'!$DR$19:$DX$19,1,CW197),1))),0)</f>
        <v>0</v>
      </c>
      <c r="CX203" s="28">
        <f>IF(CX199=1,IF(INDEX('Lease Cycles'!$EF$19:$EL$19,1,CX197)=1,CX200*INDEX('Lease Cycles'!$EM$19:$ES$19,1,CX197)+CX201*IF(CX198&lt;INDEX('Lease Cycles'!$FA$19:$FG$19,1,CX197),0,1-INDEX('Lease Cycles'!$EM$19:$ES$19,1,CX197)),CX200*IF(CX198&lt;INDEX('Lease Cycles'!$DK$19:$DQ$19,1,CX197),0,IF(CX198=INDEX('Lease Cycles'!$DK$19:$DQ$19,1,CX197),1-INDEX('Lease Cycles'!$DR$19:$DX$19,1,CX197),1))),0)</f>
        <v>0</v>
      </c>
      <c r="CY203" s="28">
        <f>IF(CY199=1,IF(INDEX('Lease Cycles'!$EF$19:$EL$19,1,CY197)=1,CY200*INDEX('Lease Cycles'!$EM$19:$ES$19,1,CY197)+CY201*IF(CY198&lt;INDEX('Lease Cycles'!$FA$19:$FG$19,1,CY197),0,1-INDEX('Lease Cycles'!$EM$19:$ES$19,1,CY197)),CY200*IF(CY198&lt;INDEX('Lease Cycles'!$DK$19:$DQ$19,1,CY197),0,IF(CY198=INDEX('Lease Cycles'!$DK$19:$DQ$19,1,CY197),1-INDEX('Lease Cycles'!$DR$19:$DX$19,1,CY197),1))),0)</f>
        <v>0</v>
      </c>
      <c r="CZ203" s="28">
        <f>IF(CZ199=1,IF(INDEX('Lease Cycles'!$EF$19:$EL$19,1,CZ197)=1,CZ200*INDEX('Lease Cycles'!$EM$19:$ES$19,1,CZ197)+CZ201*IF(CZ198&lt;INDEX('Lease Cycles'!$FA$19:$FG$19,1,CZ197),0,1-INDEX('Lease Cycles'!$EM$19:$ES$19,1,CZ197)),CZ200*IF(CZ198&lt;INDEX('Lease Cycles'!$DK$19:$DQ$19,1,CZ197),0,IF(CZ198=INDEX('Lease Cycles'!$DK$19:$DQ$19,1,CZ197),1-INDEX('Lease Cycles'!$DR$19:$DX$19,1,CZ197),1))),0)</f>
        <v>0</v>
      </c>
      <c r="DA203" s="28">
        <f>IF(DA199=1,IF(INDEX('Lease Cycles'!$EF$19:$EL$19,1,DA197)=1,DA200*INDEX('Lease Cycles'!$EM$19:$ES$19,1,DA197)+DA201*IF(DA198&lt;INDEX('Lease Cycles'!$FA$19:$FG$19,1,DA197),0,1-INDEX('Lease Cycles'!$EM$19:$ES$19,1,DA197)),DA200*IF(DA198&lt;INDEX('Lease Cycles'!$DK$19:$DQ$19,1,DA197),0,IF(DA198=INDEX('Lease Cycles'!$DK$19:$DQ$19,1,DA197),1-INDEX('Lease Cycles'!$DR$19:$DX$19,1,DA197),1))),0)</f>
        <v>0</v>
      </c>
      <c r="DB203" s="28">
        <f>IF(DB199=1,IF(INDEX('Lease Cycles'!$EF$19:$EL$19,1,DB197)=1,DB200*INDEX('Lease Cycles'!$EM$19:$ES$19,1,DB197)+DB201*IF(DB198&lt;INDEX('Lease Cycles'!$FA$19:$FG$19,1,DB197),0,1-INDEX('Lease Cycles'!$EM$19:$ES$19,1,DB197)),DB200*IF(DB198&lt;INDEX('Lease Cycles'!$DK$19:$DQ$19,1,DB197),0,IF(DB198=INDEX('Lease Cycles'!$DK$19:$DQ$19,1,DB197),1-INDEX('Lease Cycles'!$DR$19:$DX$19,1,DB197),1))),0)</f>
        <v>0</v>
      </c>
      <c r="DC203" s="28">
        <f>IF(DC199=1,IF(INDEX('Lease Cycles'!$EF$19:$EL$19,1,DC197)=1,DC200*INDEX('Lease Cycles'!$EM$19:$ES$19,1,DC197)+DC201*IF(DC198&lt;INDEX('Lease Cycles'!$FA$19:$FG$19,1,DC197),0,1-INDEX('Lease Cycles'!$EM$19:$ES$19,1,DC197)),DC200*IF(DC198&lt;INDEX('Lease Cycles'!$DK$19:$DQ$19,1,DC197),0,IF(DC198=INDEX('Lease Cycles'!$DK$19:$DQ$19,1,DC197),1-INDEX('Lease Cycles'!$DR$19:$DX$19,1,DC197),1))),0)</f>
        <v>0</v>
      </c>
      <c r="DD203" s="28">
        <f>IF(DD199=1,IF(INDEX('Lease Cycles'!$EF$19:$EL$19,1,DD197)=1,DD200*INDEX('Lease Cycles'!$EM$19:$ES$19,1,DD197)+DD201*IF(DD198&lt;INDEX('Lease Cycles'!$FA$19:$FG$19,1,DD197),0,1-INDEX('Lease Cycles'!$EM$19:$ES$19,1,DD197)),DD200*IF(DD198&lt;INDEX('Lease Cycles'!$DK$19:$DQ$19,1,DD197),0,IF(DD198=INDEX('Lease Cycles'!$DK$19:$DQ$19,1,DD197),1-INDEX('Lease Cycles'!$DR$19:$DX$19,1,DD197),1))),0)</f>
        <v>0</v>
      </c>
      <c r="DE203" s="28">
        <f>IF(DE199=1,IF(INDEX('Lease Cycles'!$EF$19:$EL$19,1,DE197)=1,DE200*INDEX('Lease Cycles'!$EM$19:$ES$19,1,DE197)+DE201*IF(DE198&lt;INDEX('Lease Cycles'!$FA$19:$FG$19,1,DE197),0,1-INDEX('Lease Cycles'!$EM$19:$ES$19,1,DE197)),DE200*IF(DE198&lt;INDEX('Lease Cycles'!$DK$19:$DQ$19,1,DE197),0,IF(DE198=INDEX('Lease Cycles'!$DK$19:$DQ$19,1,DE197),1-INDEX('Lease Cycles'!$DR$19:$DX$19,1,DE197),1))),0)</f>
        <v>0</v>
      </c>
      <c r="DF203" s="28">
        <f>IF(DF199=1,IF(INDEX('Lease Cycles'!$EF$19:$EL$19,1,DF197)=1,DF200*INDEX('Lease Cycles'!$EM$19:$ES$19,1,DF197)+DF201*IF(DF198&lt;INDEX('Lease Cycles'!$FA$19:$FG$19,1,DF197),0,1-INDEX('Lease Cycles'!$EM$19:$ES$19,1,DF197)),DF200*IF(DF198&lt;INDEX('Lease Cycles'!$DK$19:$DQ$19,1,DF197),0,IF(DF198=INDEX('Lease Cycles'!$DK$19:$DQ$19,1,DF197),1-INDEX('Lease Cycles'!$DR$19:$DX$19,1,DF197),1))),0)</f>
        <v>0</v>
      </c>
      <c r="DG203" s="28">
        <f>IF(DG199=1,IF(INDEX('Lease Cycles'!$EF$19:$EL$19,1,DG197)=1,DG200*INDEX('Lease Cycles'!$EM$19:$ES$19,1,DG197)+DG201*IF(DG198&lt;INDEX('Lease Cycles'!$FA$19:$FG$19,1,DG197),0,1-INDEX('Lease Cycles'!$EM$19:$ES$19,1,DG197)),DG200*IF(DG198&lt;INDEX('Lease Cycles'!$DK$19:$DQ$19,1,DG197),0,IF(DG198=INDEX('Lease Cycles'!$DK$19:$DQ$19,1,DG197),1-INDEX('Lease Cycles'!$DR$19:$DX$19,1,DG197),1))),0)</f>
        <v>0</v>
      </c>
      <c r="DH203" s="28">
        <f>IF(DH199=1,IF(INDEX('Lease Cycles'!$EF$19:$EL$19,1,DH197)=1,DH200*INDEX('Lease Cycles'!$EM$19:$ES$19,1,DH197)+DH201*IF(DH198&lt;INDEX('Lease Cycles'!$FA$19:$FG$19,1,DH197),0,1-INDEX('Lease Cycles'!$EM$19:$ES$19,1,DH197)),DH200*IF(DH198&lt;INDEX('Lease Cycles'!$DK$19:$DQ$19,1,DH197),0,IF(DH198=INDEX('Lease Cycles'!$DK$19:$DQ$19,1,DH197),1-INDEX('Lease Cycles'!$DR$19:$DX$19,1,DH197),1))),0)</f>
        <v>0</v>
      </c>
      <c r="DI203" s="28">
        <f>IF(DI199=1,IF(INDEX('Lease Cycles'!$EF$19:$EL$19,1,DI197)=1,DI200*INDEX('Lease Cycles'!$EM$19:$ES$19,1,DI197)+DI201*IF(DI198&lt;INDEX('Lease Cycles'!$FA$19:$FG$19,1,DI197),0,1-INDEX('Lease Cycles'!$EM$19:$ES$19,1,DI197)),DI200*IF(DI198&lt;INDEX('Lease Cycles'!$DK$19:$DQ$19,1,DI197),0,IF(DI198=INDEX('Lease Cycles'!$DK$19:$DQ$19,1,DI197),1-INDEX('Lease Cycles'!$DR$19:$DX$19,1,DI197),1))),0)</f>
        <v>0</v>
      </c>
      <c r="DJ203" s="28">
        <f>IF(DJ199=1,IF(INDEX('Lease Cycles'!$EF$19:$EL$19,1,DJ197)=1,DJ200*INDEX('Lease Cycles'!$EM$19:$ES$19,1,DJ197)+DJ201*IF(DJ198&lt;INDEX('Lease Cycles'!$FA$19:$FG$19,1,DJ197),0,1-INDEX('Lease Cycles'!$EM$19:$ES$19,1,DJ197)),DJ200*IF(DJ198&lt;INDEX('Lease Cycles'!$DK$19:$DQ$19,1,DJ197),0,IF(DJ198=INDEX('Lease Cycles'!$DK$19:$DQ$19,1,DJ197),1-INDEX('Lease Cycles'!$DR$19:$DX$19,1,DJ197),1))),0)</f>
        <v>0</v>
      </c>
      <c r="DK203" s="28">
        <f>IF(DK199=1,IF(INDEX('Lease Cycles'!$EF$19:$EL$19,1,DK197)=1,DK200*INDEX('Lease Cycles'!$EM$19:$ES$19,1,DK197)+DK201*IF(DK198&lt;INDEX('Lease Cycles'!$FA$19:$FG$19,1,DK197),0,1-INDEX('Lease Cycles'!$EM$19:$ES$19,1,DK197)),DK200*IF(DK198&lt;INDEX('Lease Cycles'!$DK$19:$DQ$19,1,DK197),0,IF(DK198=INDEX('Lease Cycles'!$DK$19:$DQ$19,1,DK197),1-INDEX('Lease Cycles'!$DR$19:$DX$19,1,DK197),1))),0)</f>
        <v>0</v>
      </c>
      <c r="DL203" s="28">
        <f>IF(DL199=1,IF(INDEX('Lease Cycles'!$EF$19:$EL$19,1,DL197)=1,DL200*INDEX('Lease Cycles'!$EM$19:$ES$19,1,DL197)+DL201*IF(DL198&lt;INDEX('Lease Cycles'!$FA$19:$FG$19,1,DL197),0,1-INDEX('Lease Cycles'!$EM$19:$ES$19,1,DL197)),DL200*IF(DL198&lt;INDEX('Lease Cycles'!$DK$19:$DQ$19,1,DL197),0,IF(DL198=INDEX('Lease Cycles'!$DK$19:$DQ$19,1,DL197),1-INDEX('Lease Cycles'!$DR$19:$DX$19,1,DL197),1))),0)</f>
        <v>0</v>
      </c>
      <c r="DM203" s="28">
        <f>IF(DM199=1,IF(INDEX('Lease Cycles'!$EF$19:$EL$19,1,DM197)=1,DM200*INDEX('Lease Cycles'!$EM$19:$ES$19,1,DM197)+DM201*IF(DM198&lt;INDEX('Lease Cycles'!$FA$19:$FG$19,1,DM197),0,1-INDEX('Lease Cycles'!$EM$19:$ES$19,1,DM197)),DM200*IF(DM198&lt;INDEX('Lease Cycles'!$DK$19:$DQ$19,1,DM197),0,IF(DM198=INDEX('Lease Cycles'!$DK$19:$DQ$19,1,DM197),1-INDEX('Lease Cycles'!$DR$19:$DX$19,1,DM197),1))),0)</f>
        <v>0</v>
      </c>
      <c r="DN203" s="28">
        <f>IF(DN199=1,IF(INDEX('Lease Cycles'!$EF$19:$EL$19,1,DN197)=1,DN200*INDEX('Lease Cycles'!$EM$19:$ES$19,1,DN197)+DN201*IF(DN198&lt;INDEX('Lease Cycles'!$FA$19:$FG$19,1,DN197),0,1-INDEX('Lease Cycles'!$EM$19:$ES$19,1,DN197)),DN200*IF(DN198&lt;INDEX('Lease Cycles'!$DK$19:$DQ$19,1,DN197),0,IF(DN198=INDEX('Lease Cycles'!$DK$19:$DQ$19,1,DN197),1-INDEX('Lease Cycles'!$DR$19:$DX$19,1,DN197),1))),0)</f>
        <v>0</v>
      </c>
      <c r="DO203" s="28">
        <f>IF(DO199=1,IF(INDEX('Lease Cycles'!$EF$19:$EL$19,1,DO197)=1,DO200*INDEX('Lease Cycles'!$EM$19:$ES$19,1,DO197)+DO201*IF(DO198&lt;INDEX('Lease Cycles'!$FA$19:$FG$19,1,DO197),0,1-INDEX('Lease Cycles'!$EM$19:$ES$19,1,DO197)),DO200*IF(DO198&lt;INDEX('Lease Cycles'!$DK$19:$DQ$19,1,DO197),0,IF(DO198=INDEX('Lease Cycles'!$DK$19:$DQ$19,1,DO197),1-INDEX('Lease Cycles'!$DR$19:$DX$19,1,DO197),1))),0)</f>
        <v>0</v>
      </c>
      <c r="DP203" s="28">
        <f>IF(DP199=1,IF(INDEX('Lease Cycles'!$EF$19:$EL$19,1,DP197)=1,DP200*INDEX('Lease Cycles'!$EM$19:$ES$19,1,DP197)+DP201*IF(DP198&lt;INDEX('Lease Cycles'!$FA$19:$FG$19,1,DP197),0,1-INDEX('Lease Cycles'!$EM$19:$ES$19,1,DP197)),DP200*IF(DP198&lt;INDEX('Lease Cycles'!$DK$19:$DQ$19,1,DP197),0,IF(DP198=INDEX('Lease Cycles'!$DK$19:$DQ$19,1,DP197),1-INDEX('Lease Cycles'!$DR$19:$DX$19,1,DP197),1))),0)</f>
        <v>0</v>
      </c>
      <c r="DQ203" s="28">
        <f>IF(DQ199=1,IF(INDEX('Lease Cycles'!$EF$19:$EL$19,1,DQ197)=1,DQ200*INDEX('Lease Cycles'!$EM$19:$ES$19,1,DQ197)+DQ201*IF(DQ198&lt;INDEX('Lease Cycles'!$FA$19:$FG$19,1,DQ197),0,1-INDEX('Lease Cycles'!$EM$19:$ES$19,1,DQ197)),DQ200*IF(DQ198&lt;INDEX('Lease Cycles'!$DK$19:$DQ$19,1,DQ197),0,IF(DQ198=INDEX('Lease Cycles'!$DK$19:$DQ$19,1,DQ197),1-INDEX('Lease Cycles'!$DR$19:$DX$19,1,DQ197),1))),0)</f>
        <v>0</v>
      </c>
      <c r="DR203" s="28">
        <f>IF(DR199=1,IF(INDEX('Lease Cycles'!$EF$19:$EL$19,1,DR197)=1,DR200*INDEX('Lease Cycles'!$EM$19:$ES$19,1,DR197)+DR201*IF(DR198&lt;INDEX('Lease Cycles'!$FA$19:$FG$19,1,DR197),0,1-INDEX('Lease Cycles'!$EM$19:$ES$19,1,DR197)),DR200*IF(DR198&lt;INDEX('Lease Cycles'!$DK$19:$DQ$19,1,DR197),0,IF(DR198=INDEX('Lease Cycles'!$DK$19:$DQ$19,1,DR197),1-INDEX('Lease Cycles'!$DR$19:$DX$19,1,DR197),1))),0)</f>
        <v>0</v>
      </c>
      <c r="DS203" s="28">
        <f>IF(DS199=1,IF(INDEX('Lease Cycles'!$EF$19:$EL$19,1,DS197)=1,DS200*INDEX('Lease Cycles'!$EM$19:$ES$19,1,DS197)+DS201*IF(DS198&lt;INDEX('Lease Cycles'!$FA$19:$FG$19,1,DS197),0,1-INDEX('Lease Cycles'!$EM$19:$ES$19,1,DS197)),DS200*IF(DS198&lt;INDEX('Lease Cycles'!$DK$19:$DQ$19,1,DS197),0,IF(DS198=INDEX('Lease Cycles'!$DK$19:$DQ$19,1,DS197),1-INDEX('Lease Cycles'!$DR$19:$DX$19,1,DS197),1))),0)</f>
        <v>0</v>
      </c>
      <c r="DT203" s="28">
        <f>IF(DT199=1,IF(INDEX('Lease Cycles'!$EF$19:$EL$19,1,DT197)=1,DT200*INDEX('Lease Cycles'!$EM$19:$ES$19,1,DT197)+DT201*IF(DT198&lt;INDEX('Lease Cycles'!$FA$19:$FG$19,1,DT197),0,1-INDEX('Lease Cycles'!$EM$19:$ES$19,1,DT197)),DT200*IF(DT198&lt;INDEX('Lease Cycles'!$DK$19:$DQ$19,1,DT197),0,IF(DT198=INDEX('Lease Cycles'!$DK$19:$DQ$19,1,DT197),1-INDEX('Lease Cycles'!$DR$19:$DX$19,1,DT197),1))),0)</f>
        <v>0</v>
      </c>
      <c r="DU203" s="28">
        <f>IF(DU199=1,IF(INDEX('Lease Cycles'!$EF$19:$EL$19,1,DU197)=1,DU200*INDEX('Lease Cycles'!$EM$19:$ES$19,1,DU197)+DU201*IF(DU198&lt;INDEX('Lease Cycles'!$FA$19:$FG$19,1,DU197),0,1-INDEX('Lease Cycles'!$EM$19:$ES$19,1,DU197)),DU200*IF(DU198&lt;INDEX('Lease Cycles'!$DK$19:$DQ$19,1,DU197),0,IF(DU198=INDEX('Lease Cycles'!$DK$19:$DQ$19,1,DU197),1-INDEX('Lease Cycles'!$DR$19:$DX$19,1,DU197),1))),0)</f>
        <v>0</v>
      </c>
      <c r="DV203" s="28">
        <f>IF(DV199=1,IF(INDEX('Lease Cycles'!$EF$19:$EL$19,1,DV197)=1,DV200*INDEX('Lease Cycles'!$EM$19:$ES$19,1,DV197)+DV201*IF(DV198&lt;INDEX('Lease Cycles'!$FA$19:$FG$19,1,DV197),0,1-INDEX('Lease Cycles'!$EM$19:$ES$19,1,DV197)),DV200*IF(DV198&lt;INDEX('Lease Cycles'!$DK$19:$DQ$19,1,DV197),0,IF(DV198=INDEX('Lease Cycles'!$DK$19:$DQ$19,1,DV197),1-INDEX('Lease Cycles'!$DR$19:$DX$19,1,DV197),1))),0)</f>
        <v>0</v>
      </c>
      <c r="DW203" s="28">
        <f>IF(DW199=1,IF(INDEX('Lease Cycles'!$EF$19:$EL$19,1,DW197)=1,DW200*INDEX('Lease Cycles'!$EM$19:$ES$19,1,DW197)+DW201*IF(DW198&lt;INDEX('Lease Cycles'!$FA$19:$FG$19,1,DW197),0,1-INDEX('Lease Cycles'!$EM$19:$ES$19,1,DW197)),DW200*IF(DW198&lt;INDEX('Lease Cycles'!$DK$19:$DQ$19,1,DW197),0,IF(DW198=INDEX('Lease Cycles'!$DK$19:$DQ$19,1,DW197),1-INDEX('Lease Cycles'!$DR$19:$DX$19,1,DW197),1))),0)</f>
        <v>0</v>
      </c>
      <c r="DX203" s="28">
        <f>IF(DX199=1,IF(INDEX('Lease Cycles'!$EF$19:$EL$19,1,DX197)=1,DX200*INDEX('Lease Cycles'!$EM$19:$ES$19,1,DX197)+DX201*IF(DX198&lt;INDEX('Lease Cycles'!$FA$19:$FG$19,1,DX197),0,1-INDEX('Lease Cycles'!$EM$19:$ES$19,1,DX197)),DX200*IF(DX198&lt;INDEX('Lease Cycles'!$DK$19:$DQ$19,1,DX197),0,IF(DX198=INDEX('Lease Cycles'!$DK$19:$DQ$19,1,DX197),1-INDEX('Lease Cycles'!$DR$19:$DX$19,1,DX197),1))),0)</f>
        <v>0</v>
      </c>
      <c r="DY203" s="28">
        <f>IF(DY199=1,IF(INDEX('Lease Cycles'!$EF$19:$EL$19,1,DY197)=1,DY200*INDEX('Lease Cycles'!$EM$19:$ES$19,1,DY197)+DY201*IF(DY198&lt;INDEX('Lease Cycles'!$FA$19:$FG$19,1,DY197),0,1-INDEX('Lease Cycles'!$EM$19:$ES$19,1,DY197)),DY200*IF(DY198&lt;INDEX('Lease Cycles'!$DK$19:$DQ$19,1,DY197),0,IF(DY198=INDEX('Lease Cycles'!$DK$19:$DQ$19,1,DY197),1-INDEX('Lease Cycles'!$DR$19:$DX$19,1,DY197),1))),0)</f>
        <v>0</v>
      </c>
      <c r="DZ203" s="28">
        <f>IF(DZ199=1,IF(INDEX('Lease Cycles'!$EF$19:$EL$19,1,DZ197)=1,DZ200*INDEX('Lease Cycles'!$EM$19:$ES$19,1,DZ197)+DZ201*IF(DZ198&lt;INDEX('Lease Cycles'!$FA$19:$FG$19,1,DZ197),0,1-INDEX('Lease Cycles'!$EM$19:$ES$19,1,DZ197)),DZ200*IF(DZ198&lt;INDEX('Lease Cycles'!$DK$19:$DQ$19,1,DZ197),0,IF(DZ198=INDEX('Lease Cycles'!$DK$19:$DQ$19,1,DZ197),1-INDEX('Lease Cycles'!$DR$19:$DX$19,1,DZ197),1))),0)</f>
        <v>0</v>
      </c>
      <c r="EA203" s="28">
        <f>IF(EA199=1,IF(INDEX('Lease Cycles'!$EF$19:$EL$19,1,EA197)=1,EA200*INDEX('Lease Cycles'!$EM$19:$ES$19,1,EA197)+EA201*IF(EA198&lt;INDEX('Lease Cycles'!$FA$19:$FG$19,1,EA197),0,1-INDEX('Lease Cycles'!$EM$19:$ES$19,1,EA197)),EA200*IF(EA198&lt;INDEX('Lease Cycles'!$DK$19:$DQ$19,1,EA197),0,IF(EA198=INDEX('Lease Cycles'!$DK$19:$DQ$19,1,EA197),1-INDEX('Lease Cycles'!$DR$19:$DX$19,1,EA197),1))),0)</f>
        <v>0</v>
      </c>
      <c r="EB203" s="28">
        <f>IF(EB199=1,IF(INDEX('Lease Cycles'!$EF$19:$EL$19,1,EB197)=1,EB200*INDEX('Lease Cycles'!$EM$19:$ES$19,1,EB197)+EB201*IF(EB198&lt;INDEX('Lease Cycles'!$FA$19:$FG$19,1,EB197),0,1-INDEX('Lease Cycles'!$EM$19:$ES$19,1,EB197)),EB200*IF(EB198&lt;INDEX('Lease Cycles'!$DK$19:$DQ$19,1,EB197),0,IF(EB198=INDEX('Lease Cycles'!$DK$19:$DQ$19,1,EB197),1-INDEX('Lease Cycles'!$DR$19:$DX$19,1,EB197),1))),0)</f>
        <v>0</v>
      </c>
      <c r="EC203" s="28">
        <f>IF(EC199=1,IF(INDEX('Lease Cycles'!$EF$19:$EL$19,1,EC197)=1,EC200*INDEX('Lease Cycles'!$EM$19:$ES$19,1,EC197)+EC201*IF(EC198&lt;INDEX('Lease Cycles'!$FA$19:$FG$19,1,EC197),0,1-INDEX('Lease Cycles'!$EM$19:$ES$19,1,EC197)),EC200*IF(EC198&lt;INDEX('Lease Cycles'!$DK$19:$DQ$19,1,EC197),0,IF(EC198=INDEX('Lease Cycles'!$DK$19:$DQ$19,1,EC197),1-INDEX('Lease Cycles'!$DR$19:$DX$19,1,EC197),1))),0)</f>
        <v>0</v>
      </c>
      <c r="ED203" s="28">
        <f>IF(ED199=1,IF(INDEX('Lease Cycles'!$EF$19:$EL$19,1,ED197)=1,ED200*INDEX('Lease Cycles'!$EM$19:$ES$19,1,ED197)+ED201*IF(ED198&lt;INDEX('Lease Cycles'!$FA$19:$FG$19,1,ED197),0,1-INDEX('Lease Cycles'!$EM$19:$ES$19,1,ED197)),ED200*IF(ED198&lt;INDEX('Lease Cycles'!$DK$19:$DQ$19,1,ED197),0,IF(ED198=INDEX('Lease Cycles'!$DK$19:$DQ$19,1,ED197),1-INDEX('Lease Cycles'!$DR$19:$DX$19,1,ED197),1))),0)</f>
        <v>0</v>
      </c>
      <c r="EE203" s="28">
        <f>IF(EE199=1,IF(INDEX('Lease Cycles'!$EF$19:$EL$19,1,EE197)=1,EE200*INDEX('Lease Cycles'!$EM$19:$ES$19,1,EE197)+EE201*IF(EE198&lt;INDEX('Lease Cycles'!$FA$19:$FG$19,1,EE197),0,1-INDEX('Lease Cycles'!$EM$19:$ES$19,1,EE197)),EE200*IF(EE198&lt;INDEX('Lease Cycles'!$DK$19:$DQ$19,1,EE197),0,IF(EE198=INDEX('Lease Cycles'!$DK$19:$DQ$19,1,EE197),1-INDEX('Lease Cycles'!$DR$19:$DX$19,1,EE197),1))),0)</f>
        <v>0</v>
      </c>
      <c r="EF203" s="28">
        <f>IF(EF199=1,IF(INDEX('Lease Cycles'!$EF$19:$EL$19,1,EF197)=1,EF200*INDEX('Lease Cycles'!$EM$19:$ES$19,1,EF197)+EF201*IF(EF198&lt;INDEX('Lease Cycles'!$FA$19:$FG$19,1,EF197),0,1-INDEX('Lease Cycles'!$EM$19:$ES$19,1,EF197)),EF200*IF(EF198&lt;INDEX('Lease Cycles'!$DK$19:$DQ$19,1,EF197),0,IF(EF198=INDEX('Lease Cycles'!$DK$19:$DQ$19,1,EF197),1-INDEX('Lease Cycles'!$DR$19:$DX$19,1,EF197),1))),0)</f>
        <v>0</v>
      </c>
      <c r="EG203" s="28">
        <f>IF(EG199=1,IF(INDEX('Lease Cycles'!$EF$19:$EL$19,1,EG197)=1,EG200*INDEX('Lease Cycles'!$EM$19:$ES$19,1,EG197)+EG201*IF(EG198&lt;INDEX('Lease Cycles'!$FA$19:$FG$19,1,EG197),0,1-INDEX('Lease Cycles'!$EM$19:$ES$19,1,EG197)),EG200*IF(EG198&lt;INDEX('Lease Cycles'!$DK$19:$DQ$19,1,EG197),0,IF(EG198=INDEX('Lease Cycles'!$DK$19:$DQ$19,1,EG197),1-INDEX('Lease Cycles'!$DR$19:$DX$19,1,EG197),1))),0)</f>
        <v>0</v>
      </c>
      <c r="EH203" s="28">
        <f>IF(EH199=1,IF(INDEX('Lease Cycles'!$EF$19:$EL$19,1,EH197)=1,EH200*INDEX('Lease Cycles'!$EM$19:$ES$19,1,EH197)+EH201*IF(EH198&lt;INDEX('Lease Cycles'!$FA$19:$FG$19,1,EH197),0,1-INDEX('Lease Cycles'!$EM$19:$ES$19,1,EH197)),EH200*IF(EH198&lt;INDEX('Lease Cycles'!$DK$19:$DQ$19,1,EH197),0,IF(EH198=INDEX('Lease Cycles'!$DK$19:$DQ$19,1,EH197),1-INDEX('Lease Cycles'!$DR$19:$DX$19,1,EH197),1))),0)</f>
        <v>0</v>
      </c>
      <c r="EI203" s="28">
        <f>IF(EI199=1,IF(INDEX('Lease Cycles'!$EF$19:$EL$19,1,EI197)=1,EI200*INDEX('Lease Cycles'!$EM$19:$ES$19,1,EI197)+EI201*IF(EI198&lt;INDEX('Lease Cycles'!$FA$19:$FG$19,1,EI197),0,1-INDEX('Lease Cycles'!$EM$19:$ES$19,1,EI197)),EI200*IF(EI198&lt;INDEX('Lease Cycles'!$DK$19:$DQ$19,1,EI197),0,IF(EI198=INDEX('Lease Cycles'!$DK$19:$DQ$19,1,EI197),1-INDEX('Lease Cycles'!$DR$19:$DX$19,1,EI197),1))),0)</f>
        <v>0</v>
      </c>
      <c r="EJ203" s="28">
        <f>IF(EJ199=1,IF(INDEX('Lease Cycles'!$EF$19:$EL$19,1,EJ197)=1,EJ200*INDEX('Lease Cycles'!$EM$19:$ES$19,1,EJ197)+EJ201*IF(EJ198&lt;INDEX('Lease Cycles'!$FA$19:$FG$19,1,EJ197),0,1-INDEX('Lease Cycles'!$EM$19:$ES$19,1,EJ197)),EJ200*IF(EJ198&lt;INDEX('Lease Cycles'!$DK$19:$DQ$19,1,EJ197),0,IF(EJ198=INDEX('Lease Cycles'!$DK$19:$DQ$19,1,EJ197),1-INDEX('Lease Cycles'!$DR$19:$DX$19,1,EJ197),1))),0)</f>
        <v>0</v>
      </c>
      <c r="EK203" s="28">
        <f>IF(EK199=1,IF(INDEX('Lease Cycles'!$EF$19:$EL$19,1,EK197)=1,EK200*INDEX('Lease Cycles'!$EM$19:$ES$19,1,EK197)+EK201*IF(EK198&lt;INDEX('Lease Cycles'!$FA$19:$FG$19,1,EK197),0,1-INDEX('Lease Cycles'!$EM$19:$ES$19,1,EK197)),EK200*IF(EK198&lt;INDEX('Lease Cycles'!$DK$19:$DQ$19,1,EK197),0,IF(EK198=INDEX('Lease Cycles'!$DK$19:$DQ$19,1,EK197),1-INDEX('Lease Cycles'!$DR$19:$DX$19,1,EK197),1))),0)</f>
        <v>0</v>
      </c>
      <c r="EL203" s="28">
        <f>IF(EL199=1,IF(INDEX('Lease Cycles'!$EF$19:$EL$19,1,EL197)=1,EL200*INDEX('Lease Cycles'!$EM$19:$ES$19,1,EL197)+EL201*IF(EL198&lt;INDEX('Lease Cycles'!$FA$19:$FG$19,1,EL197),0,1-INDEX('Lease Cycles'!$EM$19:$ES$19,1,EL197)),EL200*IF(EL198&lt;INDEX('Lease Cycles'!$DK$19:$DQ$19,1,EL197),0,IF(EL198=INDEX('Lease Cycles'!$DK$19:$DQ$19,1,EL197),1-INDEX('Lease Cycles'!$DR$19:$DX$19,1,EL197),1))),0)</f>
        <v>0</v>
      </c>
      <c r="EM203" s="28">
        <f>IF(EM199=1,IF(INDEX('Lease Cycles'!$EF$19:$EL$19,1,EM197)=1,EM200*INDEX('Lease Cycles'!$EM$19:$ES$19,1,EM197)+EM201*IF(EM198&lt;INDEX('Lease Cycles'!$FA$19:$FG$19,1,EM197),0,1-INDEX('Lease Cycles'!$EM$19:$ES$19,1,EM197)),EM200*IF(EM198&lt;INDEX('Lease Cycles'!$DK$19:$DQ$19,1,EM197),0,IF(EM198=INDEX('Lease Cycles'!$DK$19:$DQ$19,1,EM197),1-INDEX('Lease Cycles'!$DR$19:$DX$19,1,EM197),1))),0)</f>
        <v>0</v>
      </c>
      <c r="EN203" s="28">
        <f>IF(EN199=1,IF(INDEX('Lease Cycles'!$EF$19:$EL$19,1,EN197)=1,EN200*INDEX('Lease Cycles'!$EM$19:$ES$19,1,EN197)+EN201*IF(EN198&lt;INDEX('Lease Cycles'!$FA$19:$FG$19,1,EN197),0,1-INDEX('Lease Cycles'!$EM$19:$ES$19,1,EN197)),EN200*IF(EN198&lt;INDEX('Lease Cycles'!$DK$19:$DQ$19,1,EN197),0,IF(EN198=INDEX('Lease Cycles'!$DK$19:$DQ$19,1,EN197),1-INDEX('Lease Cycles'!$DR$19:$DX$19,1,EN197),1))),0)</f>
        <v>0</v>
      </c>
      <c r="EO203" s="28">
        <f>IF(EO199=1,IF(INDEX('Lease Cycles'!$EF$19:$EL$19,1,EO197)=1,EO200*INDEX('Lease Cycles'!$EM$19:$ES$19,1,EO197)+EO201*IF(EO198&lt;INDEX('Lease Cycles'!$FA$19:$FG$19,1,EO197),0,1-INDEX('Lease Cycles'!$EM$19:$ES$19,1,EO197)),EO200*IF(EO198&lt;INDEX('Lease Cycles'!$DK$19:$DQ$19,1,EO197),0,IF(EO198=INDEX('Lease Cycles'!$DK$19:$DQ$19,1,EO197),1-INDEX('Lease Cycles'!$DR$19:$DX$19,1,EO197),1))),0)</f>
        <v>0</v>
      </c>
      <c r="EP203" s="28">
        <f>IF(EP199=1,IF(INDEX('Lease Cycles'!$EF$19:$EL$19,1,EP197)=1,EP200*INDEX('Lease Cycles'!$EM$19:$ES$19,1,EP197)+EP201*IF(EP198&lt;INDEX('Lease Cycles'!$FA$19:$FG$19,1,EP197),0,1-INDEX('Lease Cycles'!$EM$19:$ES$19,1,EP197)),EP200*IF(EP198&lt;INDEX('Lease Cycles'!$DK$19:$DQ$19,1,EP197),0,IF(EP198=INDEX('Lease Cycles'!$DK$19:$DQ$19,1,EP197),1-INDEX('Lease Cycles'!$DR$19:$DX$19,1,EP197),1))),0)</f>
        <v>0</v>
      </c>
      <c r="EQ203" s="28">
        <f>IF(EQ199=1,IF(INDEX('Lease Cycles'!$EF$19:$EL$19,1,EQ197)=1,EQ200*INDEX('Lease Cycles'!$EM$19:$ES$19,1,EQ197)+EQ201*IF(EQ198&lt;INDEX('Lease Cycles'!$FA$19:$FG$19,1,EQ197),0,1-INDEX('Lease Cycles'!$EM$19:$ES$19,1,EQ197)),EQ200*IF(EQ198&lt;INDEX('Lease Cycles'!$DK$19:$DQ$19,1,EQ197),0,IF(EQ198=INDEX('Lease Cycles'!$DK$19:$DQ$19,1,EQ197),1-INDEX('Lease Cycles'!$DR$19:$DX$19,1,EQ197),1))),0)</f>
        <v>0</v>
      </c>
      <c r="ER203" s="28">
        <f>IF(ER199=1,IF(INDEX('Lease Cycles'!$EF$19:$EL$19,1,ER197)=1,ER200*INDEX('Lease Cycles'!$EM$19:$ES$19,1,ER197)+ER201*IF(ER198&lt;INDEX('Lease Cycles'!$FA$19:$FG$19,1,ER197),0,1-INDEX('Lease Cycles'!$EM$19:$ES$19,1,ER197)),ER200*IF(ER198&lt;INDEX('Lease Cycles'!$DK$19:$DQ$19,1,ER197),0,IF(ER198=INDEX('Lease Cycles'!$DK$19:$DQ$19,1,ER197),1-INDEX('Lease Cycles'!$DR$19:$DX$19,1,ER197),1))),0)</f>
        <v>0</v>
      </c>
      <c r="ES203" s="28">
        <f>IF(ES199=1,IF(INDEX('Lease Cycles'!$EF$19:$EL$19,1,ES197)=1,ES200*INDEX('Lease Cycles'!$EM$19:$ES$19,1,ES197)+ES201*IF(ES198&lt;INDEX('Lease Cycles'!$FA$19:$FG$19,1,ES197),0,1-INDEX('Lease Cycles'!$EM$19:$ES$19,1,ES197)),ES200*IF(ES198&lt;INDEX('Lease Cycles'!$DK$19:$DQ$19,1,ES197),0,IF(ES198=INDEX('Lease Cycles'!$DK$19:$DQ$19,1,ES197),1-INDEX('Lease Cycles'!$DR$19:$DX$19,1,ES197),1))),0)</f>
        <v>0</v>
      </c>
      <c r="ET203" s="28">
        <f>IF(ET199=1,IF(INDEX('Lease Cycles'!$EF$19:$EL$19,1,ET197)=1,ET200*INDEX('Lease Cycles'!$EM$19:$ES$19,1,ET197)+ET201*IF(ET198&lt;INDEX('Lease Cycles'!$FA$19:$FG$19,1,ET197),0,1-INDEX('Lease Cycles'!$EM$19:$ES$19,1,ET197)),ET200*IF(ET198&lt;INDEX('Lease Cycles'!$DK$19:$DQ$19,1,ET197),0,IF(ET198=INDEX('Lease Cycles'!$DK$19:$DQ$19,1,ET197),1-INDEX('Lease Cycles'!$DR$19:$DX$19,1,ET197),1))),0)</f>
        <v>0</v>
      </c>
    </row>
    <row r="204">
      <c r="A204" s="103">
        <v>12</v>
      </c>
      <c r="B204" s="23" t="str">
        <f>IF('Lease Cycles'!$B$19="","(empty slot)",'Lease Cycles'!$B$19)</f>
        <v>(empty slot)</v>
      </c>
      <c r="C204" s="23" t="s">
        <v>493</v>
      </c>
      <c r="D204" s="104" t="s">
        <v>494</v>
      </c>
      <c r="E204" s="25">
        <f>'Lease Cycles'!$AL$19</f>
        <v>0</v>
      </c>
      <c r="G204" s="28">
        <f>SUM(S204:AD204)</f>
        <v>0</v>
      </c>
      <c r="H204" s="28">
        <f>SUM(AE204:AP204)</f>
        <v>0</v>
      </c>
      <c r="I204" s="28">
        <f>SUM(AQ204:BB204)</f>
        <v>0</v>
      </c>
      <c r="J204" s="28">
        <f>SUM(BC204:BN204)</f>
        <v>0</v>
      </c>
      <c r="K204" s="28">
        <f>SUM(BO204:BZ204)</f>
        <v>0</v>
      </c>
      <c r="L204" s="28">
        <f>SUM(CA204:CL204)</f>
        <v>0</v>
      </c>
      <c r="M204" s="28">
        <f>SUM(CM204:CX204)</f>
        <v>0</v>
      </c>
      <c r="N204" s="28">
        <f>SUM(CY204:DJ204)</f>
        <v>0</v>
      </c>
      <c r="O204" s="28">
        <f>SUM(DK204:DV204)</f>
        <v>0</v>
      </c>
      <c r="P204" s="28">
        <f>SUM(DW204:EH204)</f>
        <v>0</v>
      </c>
      <c r="Q204" s="28">
        <f>SUM(EI204:ET204)</f>
        <v>0</v>
      </c>
      <c r="S204" s="28">
        <f>IF(S199=1,IF(INDEX('Lease Cycles'!$EF$19:$EL$19,1,S197)=1,0,S200*(1-IF(S198&lt;INDEX('Lease Cycles'!$DK$19:$DQ$19,1,S197),0,IF(S198=INDEX('Lease Cycles'!$DK$19:$DQ$19,1,S197),1-INDEX('Lease Cycles'!$DR$19:$DX$19,1,S197),1))-IF(S198=0,INDEX('Lease Cycles'!$DD$19:$DJ$19,1,S197),0))),0)</f>
        <v>0</v>
      </c>
      <c r="T204" s="28">
        <f>IF(T199=1,IF(INDEX('Lease Cycles'!$EF$19:$EL$19,1,T197)=1,0,T200*(1-IF(T198&lt;INDEX('Lease Cycles'!$DK$19:$DQ$19,1,T197),0,IF(T198=INDEX('Lease Cycles'!$DK$19:$DQ$19,1,T197),1-INDEX('Lease Cycles'!$DR$19:$DX$19,1,T197),1))-IF(T198=0,INDEX('Lease Cycles'!$DD$19:$DJ$19,1,T197),0))),0)</f>
        <v>0</v>
      </c>
      <c r="U204" s="28">
        <f>IF(U199=1,IF(INDEX('Lease Cycles'!$EF$19:$EL$19,1,U197)=1,0,U200*(1-IF(U198&lt;INDEX('Lease Cycles'!$DK$19:$DQ$19,1,U197),0,IF(U198=INDEX('Lease Cycles'!$DK$19:$DQ$19,1,U197),1-INDEX('Lease Cycles'!$DR$19:$DX$19,1,U197),1))-IF(U198=0,INDEX('Lease Cycles'!$DD$19:$DJ$19,1,U197),0))),0)</f>
        <v>0</v>
      </c>
      <c r="V204" s="28">
        <f>IF(V199=1,IF(INDEX('Lease Cycles'!$EF$19:$EL$19,1,V197)=1,0,V200*(1-IF(V198&lt;INDEX('Lease Cycles'!$DK$19:$DQ$19,1,V197),0,IF(V198=INDEX('Lease Cycles'!$DK$19:$DQ$19,1,V197),1-INDEX('Lease Cycles'!$DR$19:$DX$19,1,V197),1))-IF(V198=0,INDEX('Lease Cycles'!$DD$19:$DJ$19,1,V197),0))),0)</f>
        <v>0</v>
      </c>
      <c r="W204" s="28">
        <f>IF(W199=1,IF(INDEX('Lease Cycles'!$EF$19:$EL$19,1,W197)=1,0,W200*(1-IF(W198&lt;INDEX('Lease Cycles'!$DK$19:$DQ$19,1,W197),0,IF(W198=INDEX('Lease Cycles'!$DK$19:$DQ$19,1,W197),1-INDEX('Lease Cycles'!$DR$19:$DX$19,1,W197),1))-IF(W198=0,INDEX('Lease Cycles'!$DD$19:$DJ$19,1,W197),0))),0)</f>
        <v>0</v>
      </c>
      <c r="X204" s="28">
        <f>IF(X199=1,IF(INDEX('Lease Cycles'!$EF$19:$EL$19,1,X197)=1,0,X200*(1-IF(X198&lt;INDEX('Lease Cycles'!$DK$19:$DQ$19,1,X197),0,IF(X198=INDEX('Lease Cycles'!$DK$19:$DQ$19,1,X197),1-INDEX('Lease Cycles'!$DR$19:$DX$19,1,X197),1))-IF(X198=0,INDEX('Lease Cycles'!$DD$19:$DJ$19,1,X197),0))),0)</f>
        <v>0</v>
      </c>
      <c r="Y204" s="28">
        <f>IF(Y199=1,IF(INDEX('Lease Cycles'!$EF$19:$EL$19,1,Y197)=1,0,Y200*(1-IF(Y198&lt;INDEX('Lease Cycles'!$DK$19:$DQ$19,1,Y197),0,IF(Y198=INDEX('Lease Cycles'!$DK$19:$DQ$19,1,Y197),1-INDEX('Lease Cycles'!$DR$19:$DX$19,1,Y197),1))-IF(Y198=0,INDEX('Lease Cycles'!$DD$19:$DJ$19,1,Y197),0))),0)</f>
        <v>0</v>
      </c>
      <c r="Z204" s="28">
        <f>IF(Z199=1,IF(INDEX('Lease Cycles'!$EF$19:$EL$19,1,Z197)=1,0,Z200*(1-IF(Z198&lt;INDEX('Lease Cycles'!$DK$19:$DQ$19,1,Z197),0,IF(Z198=INDEX('Lease Cycles'!$DK$19:$DQ$19,1,Z197),1-INDEX('Lease Cycles'!$DR$19:$DX$19,1,Z197),1))-IF(Z198=0,INDEX('Lease Cycles'!$DD$19:$DJ$19,1,Z197),0))),0)</f>
        <v>0</v>
      </c>
      <c r="AA204" s="28">
        <f>IF(AA199=1,IF(INDEX('Lease Cycles'!$EF$19:$EL$19,1,AA197)=1,0,AA200*(1-IF(AA198&lt;INDEX('Lease Cycles'!$DK$19:$DQ$19,1,AA197),0,IF(AA198=INDEX('Lease Cycles'!$DK$19:$DQ$19,1,AA197),1-INDEX('Lease Cycles'!$DR$19:$DX$19,1,AA197),1))-IF(AA198=0,INDEX('Lease Cycles'!$DD$19:$DJ$19,1,AA197),0))),0)</f>
        <v>0</v>
      </c>
      <c r="AB204" s="28">
        <f>IF(AB199=1,IF(INDEX('Lease Cycles'!$EF$19:$EL$19,1,AB197)=1,0,AB200*(1-IF(AB198&lt;INDEX('Lease Cycles'!$DK$19:$DQ$19,1,AB197),0,IF(AB198=INDEX('Lease Cycles'!$DK$19:$DQ$19,1,AB197),1-INDEX('Lease Cycles'!$DR$19:$DX$19,1,AB197),1))-IF(AB198=0,INDEX('Lease Cycles'!$DD$19:$DJ$19,1,AB197),0))),0)</f>
        <v>0</v>
      </c>
      <c r="AC204" s="28">
        <f>IF(AC199=1,IF(INDEX('Lease Cycles'!$EF$19:$EL$19,1,AC197)=1,0,AC200*(1-IF(AC198&lt;INDEX('Lease Cycles'!$DK$19:$DQ$19,1,AC197),0,IF(AC198=INDEX('Lease Cycles'!$DK$19:$DQ$19,1,AC197),1-INDEX('Lease Cycles'!$DR$19:$DX$19,1,AC197),1))-IF(AC198=0,INDEX('Lease Cycles'!$DD$19:$DJ$19,1,AC197),0))),0)</f>
        <v>0</v>
      </c>
      <c r="AD204" s="28">
        <f>IF(AD199=1,IF(INDEX('Lease Cycles'!$EF$19:$EL$19,1,AD197)=1,0,AD200*(1-IF(AD198&lt;INDEX('Lease Cycles'!$DK$19:$DQ$19,1,AD197),0,IF(AD198=INDEX('Lease Cycles'!$DK$19:$DQ$19,1,AD197),1-INDEX('Lease Cycles'!$DR$19:$DX$19,1,AD197),1))-IF(AD198=0,INDEX('Lease Cycles'!$DD$19:$DJ$19,1,AD197),0))),0)</f>
        <v>0</v>
      </c>
      <c r="AE204" s="28">
        <f>IF(AE199=1,IF(INDEX('Lease Cycles'!$EF$19:$EL$19,1,AE197)=1,0,AE200*(1-IF(AE198&lt;INDEX('Lease Cycles'!$DK$19:$DQ$19,1,AE197),0,IF(AE198=INDEX('Lease Cycles'!$DK$19:$DQ$19,1,AE197),1-INDEX('Lease Cycles'!$DR$19:$DX$19,1,AE197),1))-IF(AE198=0,INDEX('Lease Cycles'!$DD$19:$DJ$19,1,AE197),0))),0)</f>
        <v>0</v>
      </c>
      <c r="AF204" s="28">
        <f>IF(AF199=1,IF(INDEX('Lease Cycles'!$EF$19:$EL$19,1,AF197)=1,0,AF200*(1-IF(AF198&lt;INDEX('Lease Cycles'!$DK$19:$DQ$19,1,AF197),0,IF(AF198=INDEX('Lease Cycles'!$DK$19:$DQ$19,1,AF197),1-INDEX('Lease Cycles'!$DR$19:$DX$19,1,AF197),1))-IF(AF198=0,INDEX('Lease Cycles'!$DD$19:$DJ$19,1,AF197),0))),0)</f>
        <v>0</v>
      </c>
      <c r="AG204" s="28">
        <f>IF(AG199=1,IF(INDEX('Lease Cycles'!$EF$19:$EL$19,1,AG197)=1,0,AG200*(1-IF(AG198&lt;INDEX('Lease Cycles'!$DK$19:$DQ$19,1,AG197),0,IF(AG198=INDEX('Lease Cycles'!$DK$19:$DQ$19,1,AG197),1-INDEX('Lease Cycles'!$DR$19:$DX$19,1,AG197),1))-IF(AG198=0,INDEX('Lease Cycles'!$DD$19:$DJ$19,1,AG197),0))),0)</f>
        <v>0</v>
      </c>
      <c r="AH204" s="28">
        <f>IF(AH199=1,IF(INDEX('Lease Cycles'!$EF$19:$EL$19,1,AH197)=1,0,AH200*(1-IF(AH198&lt;INDEX('Lease Cycles'!$DK$19:$DQ$19,1,AH197),0,IF(AH198=INDEX('Lease Cycles'!$DK$19:$DQ$19,1,AH197),1-INDEX('Lease Cycles'!$DR$19:$DX$19,1,AH197),1))-IF(AH198=0,INDEX('Lease Cycles'!$DD$19:$DJ$19,1,AH197),0))),0)</f>
        <v>0</v>
      </c>
      <c r="AI204" s="28">
        <f>IF(AI199=1,IF(INDEX('Lease Cycles'!$EF$19:$EL$19,1,AI197)=1,0,AI200*(1-IF(AI198&lt;INDEX('Lease Cycles'!$DK$19:$DQ$19,1,AI197),0,IF(AI198=INDEX('Lease Cycles'!$DK$19:$DQ$19,1,AI197),1-INDEX('Lease Cycles'!$DR$19:$DX$19,1,AI197),1))-IF(AI198=0,INDEX('Lease Cycles'!$DD$19:$DJ$19,1,AI197),0))),0)</f>
        <v>0</v>
      </c>
      <c r="AJ204" s="28">
        <f>IF(AJ199=1,IF(INDEX('Lease Cycles'!$EF$19:$EL$19,1,AJ197)=1,0,AJ200*(1-IF(AJ198&lt;INDEX('Lease Cycles'!$DK$19:$DQ$19,1,AJ197),0,IF(AJ198=INDEX('Lease Cycles'!$DK$19:$DQ$19,1,AJ197),1-INDEX('Lease Cycles'!$DR$19:$DX$19,1,AJ197),1))-IF(AJ198=0,INDEX('Lease Cycles'!$DD$19:$DJ$19,1,AJ197),0))),0)</f>
        <v>0</v>
      </c>
      <c r="AK204" s="28">
        <f>IF(AK199=1,IF(INDEX('Lease Cycles'!$EF$19:$EL$19,1,AK197)=1,0,AK200*(1-IF(AK198&lt;INDEX('Lease Cycles'!$DK$19:$DQ$19,1,AK197),0,IF(AK198=INDEX('Lease Cycles'!$DK$19:$DQ$19,1,AK197),1-INDEX('Lease Cycles'!$DR$19:$DX$19,1,AK197),1))-IF(AK198=0,INDEX('Lease Cycles'!$DD$19:$DJ$19,1,AK197),0))),0)</f>
        <v>0</v>
      </c>
      <c r="AL204" s="28">
        <f>IF(AL199=1,IF(INDEX('Lease Cycles'!$EF$19:$EL$19,1,AL197)=1,0,AL200*(1-IF(AL198&lt;INDEX('Lease Cycles'!$DK$19:$DQ$19,1,AL197),0,IF(AL198=INDEX('Lease Cycles'!$DK$19:$DQ$19,1,AL197),1-INDEX('Lease Cycles'!$DR$19:$DX$19,1,AL197),1))-IF(AL198=0,INDEX('Lease Cycles'!$DD$19:$DJ$19,1,AL197),0))),0)</f>
        <v>0</v>
      </c>
      <c r="AM204" s="28">
        <f>IF(AM199=1,IF(INDEX('Lease Cycles'!$EF$19:$EL$19,1,AM197)=1,0,AM200*(1-IF(AM198&lt;INDEX('Lease Cycles'!$DK$19:$DQ$19,1,AM197),0,IF(AM198=INDEX('Lease Cycles'!$DK$19:$DQ$19,1,AM197),1-INDEX('Lease Cycles'!$DR$19:$DX$19,1,AM197),1))-IF(AM198=0,INDEX('Lease Cycles'!$DD$19:$DJ$19,1,AM197),0))),0)</f>
        <v>0</v>
      </c>
      <c r="AN204" s="28">
        <f>IF(AN199=1,IF(INDEX('Lease Cycles'!$EF$19:$EL$19,1,AN197)=1,0,AN200*(1-IF(AN198&lt;INDEX('Lease Cycles'!$DK$19:$DQ$19,1,AN197),0,IF(AN198=INDEX('Lease Cycles'!$DK$19:$DQ$19,1,AN197),1-INDEX('Lease Cycles'!$DR$19:$DX$19,1,AN197),1))-IF(AN198=0,INDEX('Lease Cycles'!$DD$19:$DJ$19,1,AN197),0))),0)</f>
        <v>0</v>
      </c>
      <c r="AO204" s="28">
        <f>IF(AO199=1,IF(INDEX('Lease Cycles'!$EF$19:$EL$19,1,AO197)=1,0,AO200*(1-IF(AO198&lt;INDEX('Lease Cycles'!$DK$19:$DQ$19,1,AO197),0,IF(AO198=INDEX('Lease Cycles'!$DK$19:$DQ$19,1,AO197),1-INDEX('Lease Cycles'!$DR$19:$DX$19,1,AO197),1))-IF(AO198=0,INDEX('Lease Cycles'!$DD$19:$DJ$19,1,AO197),0))),0)</f>
        <v>0</v>
      </c>
      <c r="AP204" s="28">
        <f>IF(AP199=1,IF(INDEX('Lease Cycles'!$EF$19:$EL$19,1,AP197)=1,0,AP200*(1-IF(AP198&lt;INDEX('Lease Cycles'!$DK$19:$DQ$19,1,AP197),0,IF(AP198=INDEX('Lease Cycles'!$DK$19:$DQ$19,1,AP197),1-INDEX('Lease Cycles'!$DR$19:$DX$19,1,AP197),1))-IF(AP198=0,INDEX('Lease Cycles'!$DD$19:$DJ$19,1,AP197),0))),0)</f>
        <v>0</v>
      </c>
      <c r="AQ204" s="28">
        <f>IF(AQ199=1,IF(INDEX('Lease Cycles'!$EF$19:$EL$19,1,AQ197)=1,0,AQ200*(1-IF(AQ198&lt;INDEX('Lease Cycles'!$DK$19:$DQ$19,1,AQ197),0,IF(AQ198=INDEX('Lease Cycles'!$DK$19:$DQ$19,1,AQ197),1-INDEX('Lease Cycles'!$DR$19:$DX$19,1,AQ197),1))-IF(AQ198=0,INDEX('Lease Cycles'!$DD$19:$DJ$19,1,AQ197),0))),0)</f>
        <v>0</v>
      </c>
      <c r="AR204" s="28">
        <f>IF(AR199=1,IF(INDEX('Lease Cycles'!$EF$19:$EL$19,1,AR197)=1,0,AR200*(1-IF(AR198&lt;INDEX('Lease Cycles'!$DK$19:$DQ$19,1,AR197),0,IF(AR198=INDEX('Lease Cycles'!$DK$19:$DQ$19,1,AR197),1-INDEX('Lease Cycles'!$DR$19:$DX$19,1,AR197),1))-IF(AR198=0,INDEX('Lease Cycles'!$DD$19:$DJ$19,1,AR197),0))),0)</f>
        <v>0</v>
      </c>
      <c r="AS204" s="28">
        <f>IF(AS199=1,IF(INDEX('Lease Cycles'!$EF$19:$EL$19,1,AS197)=1,0,AS200*(1-IF(AS198&lt;INDEX('Lease Cycles'!$DK$19:$DQ$19,1,AS197),0,IF(AS198=INDEX('Lease Cycles'!$DK$19:$DQ$19,1,AS197),1-INDEX('Lease Cycles'!$DR$19:$DX$19,1,AS197),1))-IF(AS198=0,INDEX('Lease Cycles'!$DD$19:$DJ$19,1,AS197),0))),0)</f>
        <v>0</v>
      </c>
      <c r="AT204" s="28">
        <f>IF(AT199=1,IF(INDEX('Lease Cycles'!$EF$19:$EL$19,1,AT197)=1,0,AT200*(1-IF(AT198&lt;INDEX('Lease Cycles'!$DK$19:$DQ$19,1,AT197),0,IF(AT198=INDEX('Lease Cycles'!$DK$19:$DQ$19,1,AT197),1-INDEX('Lease Cycles'!$DR$19:$DX$19,1,AT197),1))-IF(AT198=0,INDEX('Lease Cycles'!$DD$19:$DJ$19,1,AT197),0))),0)</f>
        <v>0</v>
      </c>
      <c r="AU204" s="28">
        <f>IF(AU199=1,IF(INDEX('Lease Cycles'!$EF$19:$EL$19,1,AU197)=1,0,AU200*(1-IF(AU198&lt;INDEX('Lease Cycles'!$DK$19:$DQ$19,1,AU197),0,IF(AU198=INDEX('Lease Cycles'!$DK$19:$DQ$19,1,AU197),1-INDEX('Lease Cycles'!$DR$19:$DX$19,1,AU197),1))-IF(AU198=0,INDEX('Lease Cycles'!$DD$19:$DJ$19,1,AU197),0))),0)</f>
        <v>0</v>
      </c>
      <c r="AV204" s="28">
        <f>IF(AV199=1,IF(INDEX('Lease Cycles'!$EF$19:$EL$19,1,AV197)=1,0,AV200*(1-IF(AV198&lt;INDEX('Lease Cycles'!$DK$19:$DQ$19,1,AV197),0,IF(AV198=INDEX('Lease Cycles'!$DK$19:$DQ$19,1,AV197),1-INDEX('Lease Cycles'!$DR$19:$DX$19,1,AV197),1))-IF(AV198=0,INDEX('Lease Cycles'!$DD$19:$DJ$19,1,AV197),0))),0)</f>
        <v>0</v>
      </c>
      <c r="AW204" s="28">
        <f>IF(AW199=1,IF(INDEX('Lease Cycles'!$EF$19:$EL$19,1,AW197)=1,0,AW200*(1-IF(AW198&lt;INDEX('Lease Cycles'!$DK$19:$DQ$19,1,AW197),0,IF(AW198=INDEX('Lease Cycles'!$DK$19:$DQ$19,1,AW197),1-INDEX('Lease Cycles'!$DR$19:$DX$19,1,AW197),1))-IF(AW198=0,INDEX('Lease Cycles'!$DD$19:$DJ$19,1,AW197),0))),0)</f>
        <v>0</v>
      </c>
      <c r="AX204" s="28">
        <f>IF(AX199=1,IF(INDEX('Lease Cycles'!$EF$19:$EL$19,1,AX197)=1,0,AX200*(1-IF(AX198&lt;INDEX('Lease Cycles'!$DK$19:$DQ$19,1,AX197),0,IF(AX198=INDEX('Lease Cycles'!$DK$19:$DQ$19,1,AX197),1-INDEX('Lease Cycles'!$DR$19:$DX$19,1,AX197),1))-IF(AX198=0,INDEX('Lease Cycles'!$DD$19:$DJ$19,1,AX197),0))),0)</f>
        <v>0</v>
      </c>
      <c r="AY204" s="28">
        <f>IF(AY199=1,IF(INDEX('Lease Cycles'!$EF$19:$EL$19,1,AY197)=1,0,AY200*(1-IF(AY198&lt;INDEX('Lease Cycles'!$DK$19:$DQ$19,1,AY197),0,IF(AY198=INDEX('Lease Cycles'!$DK$19:$DQ$19,1,AY197),1-INDEX('Lease Cycles'!$DR$19:$DX$19,1,AY197),1))-IF(AY198=0,INDEX('Lease Cycles'!$DD$19:$DJ$19,1,AY197),0))),0)</f>
        <v>0</v>
      </c>
      <c r="AZ204" s="28">
        <f>IF(AZ199=1,IF(INDEX('Lease Cycles'!$EF$19:$EL$19,1,AZ197)=1,0,AZ200*(1-IF(AZ198&lt;INDEX('Lease Cycles'!$DK$19:$DQ$19,1,AZ197),0,IF(AZ198=INDEX('Lease Cycles'!$DK$19:$DQ$19,1,AZ197),1-INDEX('Lease Cycles'!$DR$19:$DX$19,1,AZ197),1))-IF(AZ198=0,INDEX('Lease Cycles'!$DD$19:$DJ$19,1,AZ197),0))),0)</f>
        <v>0</v>
      </c>
      <c r="BA204" s="28">
        <f>IF(BA199=1,IF(INDEX('Lease Cycles'!$EF$19:$EL$19,1,BA197)=1,0,BA200*(1-IF(BA198&lt;INDEX('Lease Cycles'!$DK$19:$DQ$19,1,BA197),0,IF(BA198=INDEX('Lease Cycles'!$DK$19:$DQ$19,1,BA197),1-INDEX('Lease Cycles'!$DR$19:$DX$19,1,BA197),1))-IF(BA198=0,INDEX('Lease Cycles'!$DD$19:$DJ$19,1,BA197),0))),0)</f>
        <v>0</v>
      </c>
      <c r="BB204" s="28">
        <f>IF(BB199=1,IF(INDEX('Lease Cycles'!$EF$19:$EL$19,1,BB197)=1,0,BB200*(1-IF(BB198&lt;INDEX('Lease Cycles'!$DK$19:$DQ$19,1,BB197),0,IF(BB198=INDEX('Lease Cycles'!$DK$19:$DQ$19,1,BB197),1-INDEX('Lease Cycles'!$DR$19:$DX$19,1,BB197),1))-IF(BB198=0,INDEX('Lease Cycles'!$DD$19:$DJ$19,1,BB197),0))),0)</f>
        <v>0</v>
      </c>
      <c r="BC204" s="28">
        <f>IF(BC199=1,IF(INDEX('Lease Cycles'!$EF$19:$EL$19,1,BC197)=1,0,BC200*(1-IF(BC198&lt;INDEX('Lease Cycles'!$DK$19:$DQ$19,1,BC197),0,IF(BC198=INDEX('Lease Cycles'!$DK$19:$DQ$19,1,BC197),1-INDEX('Lease Cycles'!$DR$19:$DX$19,1,BC197),1))-IF(BC198=0,INDEX('Lease Cycles'!$DD$19:$DJ$19,1,BC197),0))),0)</f>
        <v>0</v>
      </c>
      <c r="BD204" s="28">
        <f>IF(BD199=1,IF(INDEX('Lease Cycles'!$EF$19:$EL$19,1,BD197)=1,0,BD200*(1-IF(BD198&lt;INDEX('Lease Cycles'!$DK$19:$DQ$19,1,BD197),0,IF(BD198=INDEX('Lease Cycles'!$DK$19:$DQ$19,1,BD197),1-INDEX('Lease Cycles'!$DR$19:$DX$19,1,BD197),1))-IF(BD198=0,INDEX('Lease Cycles'!$DD$19:$DJ$19,1,BD197),0))),0)</f>
        <v>0</v>
      </c>
      <c r="BE204" s="28">
        <f>IF(BE199=1,IF(INDEX('Lease Cycles'!$EF$19:$EL$19,1,BE197)=1,0,BE200*(1-IF(BE198&lt;INDEX('Lease Cycles'!$DK$19:$DQ$19,1,BE197),0,IF(BE198=INDEX('Lease Cycles'!$DK$19:$DQ$19,1,BE197),1-INDEX('Lease Cycles'!$DR$19:$DX$19,1,BE197),1))-IF(BE198=0,INDEX('Lease Cycles'!$DD$19:$DJ$19,1,BE197),0))),0)</f>
        <v>0</v>
      </c>
      <c r="BF204" s="28">
        <f>IF(BF199=1,IF(INDEX('Lease Cycles'!$EF$19:$EL$19,1,BF197)=1,0,BF200*(1-IF(BF198&lt;INDEX('Lease Cycles'!$DK$19:$DQ$19,1,BF197),0,IF(BF198=INDEX('Lease Cycles'!$DK$19:$DQ$19,1,BF197),1-INDEX('Lease Cycles'!$DR$19:$DX$19,1,BF197),1))-IF(BF198=0,INDEX('Lease Cycles'!$DD$19:$DJ$19,1,BF197),0))),0)</f>
        <v>0</v>
      </c>
      <c r="BG204" s="28">
        <f>IF(BG199=1,IF(INDEX('Lease Cycles'!$EF$19:$EL$19,1,BG197)=1,0,BG200*(1-IF(BG198&lt;INDEX('Lease Cycles'!$DK$19:$DQ$19,1,BG197),0,IF(BG198=INDEX('Lease Cycles'!$DK$19:$DQ$19,1,BG197),1-INDEX('Lease Cycles'!$DR$19:$DX$19,1,BG197),1))-IF(BG198=0,INDEX('Lease Cycles'!$DD$19:$DJ$19,1,BG197),0))),0)</f>
        <v>0</v>
      </c>
      <c r="BH204" s="28">
        <f>IF(BH199=1,IF(INDEX('Lease Cycles'!$EF$19:$EL$19,1,BH197)=1,0,BH200*(1-IF(BH198&lt;INDEX('Lease Cycles'!$DK$19:$DQ$19,1,BH197),0,IF(BH198=INDEX('Lease Cycles'!$DK$19:$DQ$19,1,BH197),1-INDEX('Lease Cycles'!$DR$19:$DX$19,1,BH197),1))-IF(BH198=0,INDEX('Lease Cycles'!$DD$19:$DJ$19,1,BH197),0))),0)</f>
        <v>0</v>
      </c>
      <c r="BI204" s="28">
        <f>IF(BI199=1,IF(INDEX('Lease Cycles'!$EF$19:$EL$19,1,BI197)=1,0,BI200*(1-IF(BI198&lt;INDEX('Lease Cycles'!$DK$19:$DQ$19,1,BI197),0,IF(BI198=INDEX('Lease Cycles'!$DK$19:$DQ$19,1,BI197),1-INDEX('Lease Cycles'!$DR$19:$DX$19,1,BI197),1))-IF(BI198=0,INDEX('Lease Cycles'!$DD$19:$DJ$19,1,BI197),0))),0)</f>
        <v>0</v>
      </c>
      <c r="BJ204" s="28">
        <f>IF(BJ199=1,IF(INDEX('Lease Cycles'!$EF$19:$EL$19,1,BJ197)=1,0,BJ200*(1-IF(BJ198&lt;INDEX('Lease Cycles'!$DK$19:$DQ$19,1,BJ197),0,IF(BJ198=INDEX('Lease Cycles'!$DK$19:$DQ$19,1,BJ197),1-INDEX('Lease Cycles'!$DR$19:$DX$19,1,BJ197),1))-IF(BJ198=0,INDEX('Lease Cycles'!$DD$19:$DJ$19,1,BJ197),0))),0)</f>
        <v>0</v>
      </c>
      <c r="BK204" s="28">
        <f>IF(BK199=1,IF(INDEX('Lease Cycles'!$EF$19:$EL$19,1,BK197)=1,0,BK200*(1-IF(BK198&lt;INDEX('Lease Cycles'!$DK$19:$DQ$19,1,BK197),0,IF(BK198=INDEX('Lease Cycles'!$DK$19:$DQ$19,1,BK197),1-INDEX('Lease Cycles'!$DR$19:$DX$19,1,BK197),1))-IF(BK198=0,INDEX('Lease Cycles'!$DD$19:$DJ$19,1,BK197),0))),0)</f>
        <v>0</v>
      </c>
      <c r="BL204" s="28">
        <f>IF(BL199=1,IF(INDEX('Lease Cycles'!$EF$19:$EL$19,1,BL197)=1,0,BL200*(1-IF(BL198&lt;INDEX('Lease Cycles'!$DK$19:$DQ$19,1,BL197),0,IF(BL198=INDEX('Lease Cycles'!$DK$19:$DQ$19,1,BL197),1-INDEX('Lease Cycles'!$DR$19:$DX$19,1,BL197),1))-IF(BL198=0,INDEX('Lease Cycles'!$DD$19:$DJ$19,1,BL197),0))),0)</f>
        <v>0</v>
      </c>
      <c r="BM204" s="28">
        <f>IF(BM199=1,IF(INDEX('Lease Cycles'!$EF$19:$EL$19,1,BM197)=1,0,BM200*(1-IF(BM198&lt;INDEX('Lease Cycles'!$DK$19:$DQ$19,1,BM197),0,IF(BM198=INDEX('Lease Cycles'!$DK$19:$DQ$19,1,BM197),1-INDEX('Lease Cycles'!$DR$19:$DX$19,1,BM197),1))-IF(BM198=0,INDEX('Lease Cycles'!$DD$19:$DJ$19,1,BM197),0))),0)</f>
        <v>0</v>
      </c>
      <c r="BN204" s="28">
        <f>IF(BN199=1,IF(INDEX('Lease Cycles'!$EF$19:$EL$19,1,BN197)=1,0,BN200*(1-IF(BN198&lt;INDEX('Lease Cycles'!$DK$19:$DQ$19,1,BN197),0,IF(BN198=INDEX('Lease Cycles'!$DK$19:$DQ$19,1,BN197),1-INDEX('Lease Cycles'!$DR$19:$DX$19,1,BN197),1))-IF(BN198=0,INDEX('Lease Cycles'!$DD$19:$DJ$19,1,BN197),0))),0)</f>
        <v>0</v>
      </c>
      <c r="BO204" s="28">
        <f>IF(BO199=1,IF(INDEX('Lease Cycles'!$EF$19:$EL$19,1,BO197)=1,0,BO200*(1-IF(BO198&lt;INDEX('Lease Cycles'!$DK$19:$DQ$19,1,BO197),0,IF(BO198=INDEX('Lease Cycles'!$DK$19:$DQ$19,1,BO197),1-INDEX('Lease Cycles'!$DR$19:$DX$19,1,BO197),1))-IF(BO198=0,INDEX('Lease Cycles'!$DD$19:$DJ$19,1,BO197),0))),0)</f>
        <v>0</v>
      </c>
      <c r="BP204" s="28">
        <f>IF(BP199=1,IF(INDEX('Lease Cycles'!$EF$19:$EL$19,1,BP197)=1,0,BP200*(1-IF(BP198&lt;INDEX('Lease Cycles'!$DK$19:$DQ$19,1,BP197),0,IF(BP198=INDEX('Lease Cycles'!$DK$19:$DQ$19,1,BP197),1-INDEX('Lease Cycles'!$DR$19:$DX$19,1,BP197),1))-IF(BP198=0,INDEX('Lease Cycles'!$DD$19:$DJ$19,1,BP197),0))),0)</f>
        <v>0</v>
      </c>
      <c r="BQ204" s="28">
        <f>IF(BQ199=1,IF(INDEX('Lease Cycles'!$EF$19:$EL$19,1,BQ197)=1,0,BQ200*(1-IF(BQ198&lt;INDEX('Lease Cycles'!$DK$19:$DQ$19,1,BQ197),0,IF(BQ198=INDEX('Lease Cycles'!$DK$19:$DQ$19,1,BQ197),1-INDEX('Lease Cycles'!$DR$19:$DX$19,1,BQ197),1))-IF(BQ198=0,INDEX('Lease Cycles'!$DD$19:$DJ$19,1,BQ197),0))),0)</f>
        <v>0</v>
      </c>
      <c r="BR204" s="28">
        <f>IF(BR199=1,IF(INDEX('Lease Cycles'!$EF$19:$EL$19,1,BR197)=1,0,BR200*(1-IF(BR198&lt;INDEX('Lease Cycles'!$DK$19:$DQ$19,1,BR197),0,IF(BR198=INDEX('Lease Cycles'!$DK$19:$DQ$19,1,BR197),1-INDEX('Lease Cycles'!$DR$19:$DX$19,1,BR197),1))-IF(BR198=0,INDEX('Lease Cycles'!$DD$19:$DJ$19,1,BR197),0))),0)</f>
        <v>0</v>
      </c>
      <c r="BS204" s="28">
        <f>IF(BS199=1,IF(INDEX('Lease Cycles'!$EF$19:$EL$19,1,BS197)=1,0,BS200*(1-IF(BS198&lt;INDEX('Lease Cycles'!$DK$19:$DQ$19,1,BS197),0,IF(BS198=INDEX('Lease Cycles'!$DK$19:$DQ$19,1,BS197),1-INDEX('Lease Cycles'!$DR$19:$DX$19,1,BS197),1))-IF(BS198=0,INDEX('Lease Cycles'!$DD$19:$DJ$19,1,BS197),0))),0)</f>
        <v>0</v>
      </c>
      <c r="BT204" s="28">
        <f>IF(BT199=1,IF(INDEX('Lease Cycles'!$EF$19:$EL$19,1,BT197)=1,0,BT200*(1-IF(BT198&lt;INDEX('Lease Cycles'!$DK$19:$DQ$19,1,BT197),0,IF(BT198=INDEX('Lease Cycles'!$DK$19:$DQ$19,1,BT197),1-INDEX('Lease Cycles'!$DR$19:$DX$19,1,BT197),1))-IF(BT198=0,INDEX('Lease Cycles'!$DD$19:$DJ$19,1,BT197),0))),0)</f>
        <v>0</v>
      </c>
      <c r="BU204" s="28">
        <f>IF(BU199=1,IF(INDEX('Lease Cycles'!$EF$19:$EL$19,1,BU197)=1,0,BU200*(1-IF(BU198&lt;INDEX('Lease Cycles'!$DK$19:$DQ$19,1,BU197),0,IF(BU198=INDEX('Lease Cycles'!$DK$19:$DQ$19,1,BU197),1-INDEX('Lease Cycles'!$DR$19:$DX$19,1,BU197),1))-IF(BU198=0,INDEX('Lease Cycles'!$DD$19:$DJ$19,1,BU197),0))),0)</f>
        <v>0</v>
      </c>
      <c r="BV204" s="28">
        <f>IF(BV199=1,IF(INDEX('Lease Cycles'!$EF$19:$EL$19,1,BV197)=1,0,BV200*(1-IF(BV198&lt;INDEX('Lease Cycles'!$DK$19:$DQ$19,1,BV197),0,IF(BV198=INDEX('Lease Cycles'!$DK$19:$DQ$19,1,BV197),1-INDEX('Lease Cycles'!$DR$19:$DX$19,1,BV197),1))-IF(BV198=0,INDEX('Lease Cycles'!$DD$19:$DJ$19,1,BV197),0))),0)</f>
        <v>0</v>
      </c>
      <c r="BW204" s="28">
        <f>IF(BW199=1,IF(INDEX('Lease Cycles'!$EF$19:$EL$19,1,BW197)=1,0,BW200*(1-IF(BW198&lt;INDEX('Lease Cycles'!$DK$19:$DQ$19,1,BW197),0,IF(BW198=INDEX('Lease Cycles'!$DK$19:$DQ$19,1,BW197),1-INDEX('Lease Cycles'!$DR$19:$DX$19,1,BW197),1))-IF(BW198=0,INDEX('Lease Cycles'!$DD$19:$DJ$19,1,BW197),0))),0)</f>
        <v>0</v>
      </c>
      <c r="BX204" s="28">
        <f>IF(BX199=1,IF(INDEX('Lease Cycles'!$EF$19:$EL$19,1,BX197)=1,0,BX200*(1-IF(BX198&lt;INDEX('Lease Cycles'!$DK$19:$DQ$19,1,BX197),0,IF(BX198=INDEX('Lease Cycles'!$DK$19:$DQ$19,1,BX197),1-INDEX('Lease Cycles'!$DR$19:$DX$19,1,BX197),1))-IF(BX198=0,INDEX('Lease Cycles'!$DD$19:$DJ$19,1,BX197),0))),0)</f>
        <v>0</v>
      </c>
      <c r="BY204" s="28">
        <f>IF(BY199=1,IF(INDEX('Lease Cycles'!$EF$19:$EL$19,1,BY197)=1,0,BY200*(1-IF(BY198&lt;INDEX('Lease Cycles'!$DK$19:$DQ$19,1,BY197),0,IF(BY198=INDEX('Lease Cycles'!$DK$19:$DQ$19,1,BY197),1-INDEX('Lease Cycles'!$DR$19:$DX$19,1,BY197),1))-IF(BY198=0,INDEX('Lease Cycles'!$DD$19:$DJ$19,1,BY197),0))),0)</f>
        <v>0</v>
      </c>
      <c r="BZ204" s="28">
        <f>IF(BZ199=1,IF(INDEX('Lease Cycles'!$EF$19:$EL$19,1,BZ197)=1,0,BZ200*(1-IF(BZ198&lt;INDEX('Lease Cycles'!$DK$19:$DQ$19,1,BZ197),0,IF(BZ198=INDEX('Lease Cycles'!$DK$19:$DQ$19,1,BZ197),1-INDEX('Lease Cycles'!$DR$19:$DX$19,1,BZ197),1))-IF(BZ198=0,INDEX('Lease Cycles'!$DD$19:$DJ$19,1,BZ197),0))),0)</f>
        <v>0</v>
      </c>
      <c r="CA204" s="28">
        <f>IF(CA199=1,IF(INDEX('Lease Cycles'!$EF$19:$EL$19,1,CA197)=1,0,CA200*(1-IF(CA198&lt;INDEX('Lease Cycles'!$DK$19:$DQ$19,1,CA197),0,IF(CA198=INDEX('Lease Cycles'!$DK$19:$DQ$19,1,CA197),1-INDEX('Lease Cycles'!$DR$19:$DX$19,1,CA197),1))-IF(CA198=0,INDEX('Lease Cycles'!$DD$19:$DJ$19,1,CA197),0))),0)</f>
        <v>0</v>
      </c>
      <c r="CB204" s="28">
        <f>IF(CB199=1,IF(INDEX('Lease Cycles'!$EF$19:$EL$19,1,CB197)=1,0,CB200*(1-IF(CB198&lt;INDEX('Lease Cycles'!$DK$19:$DQ$19,1,CB197),0,IF(CB198=INDEX('Lease Cycles'!$DK$19:$DQ$19,1,CB197),1-INDEX('Lease Cycles'!$DR$19:$DX$19,1,CB197),1))-IF(CB198=0,INDEX('Lease Cycles'!$DD$19:$DJ$19,1,CB197),0))),0)</f>
        <v>0</v>
      </c>
      <c r="CC204" s="28">
        <f>IF(CC199=1,IF(INDEX('Lease Cycles'!$EF$19:$EL$19,1,CC197)=1,0,CC200*(1-IF(CC198&lt;INDEX('Lease Cycles'!$DK$19:$DQ$19,1,CC197),0,IF(CC198=INDEX('Lease Cycles'!$DK$19:$DQ$19,1,CC197),1-INDEX('Lease Cycles'!$DR$19:$DX$19,1,CC197),1))-IF(CC198=0,INDEX('Lease Cycles'!$DD$19:$DJ$19,1,CC197),0))),0)</f>
        <v>0</v>
      </c>
      <c r="CD204" s="28">
        <f>IF(CD199=1,IF(INDEX('Lease Cycles'!$EF$19:$EL$19,1,CD197)=1,0,CD200*(1-IF(CD198&lt;INDEX('Lease Cycles'!$DK$19:$DQ$19,1,CD197),0,IF(CD198=INDEX('Lease Cycles'!$DK$19:$DQ$19,1,CD197),1-INDEX('Lease Cycles'!$DR$19:$DX$19,1,CD197),1))-IF(CD198=0,INDEX('Lease Cycles'!$DD$19:$DJ$19,1,CD197),0))),0)</f>
        <v>0</v>
      </c>
      <c r="CE204" s="28">
        <f>IF(CE199=1,IF(INDEX('Lease Cycles'!$EF$19:$EL$19,1,CE197)=1,0,CE200*(1-IF(CE198&lt;INDEX('Lease Cycles'!$DK$19:$DQ$19,1,CE197),0,IF(CE198=INDEX('Lease Cycles'!$DK$19:$DQ$19,1,CE197),1-INDEX('Lease Cycles'!$DR$19:$DX$19,1,CE197),1))-IF(CE198=0,INDEX('Lease Cycles'!$DD$19:$DJ$19,1,CE197),0))),0)</f>
        <v>0</v>
      </c>
      <c r="CF204" s="28">
        <f>IF(CF199=1,IF(INDEX('Lease Cycles'!$EF$19:$EL$19,1,CF197)=1,0,CF200*(1-IF(CF198&lt;INDEX('Lease Cycles'!$DK$19:$DQ$19,1,CF197),0,IF(CF198=INDEX('Lease Cycles'!$DK$19:$DQ$19,1,CF197),1-INDEX('Lease Cycles'!$DR$19:$DX$19,1,CF197),1))-IF(CF198=0,INDEX('Lease Cycles'!$DD$19:$DJ$19,1,CF197),0))),0)</f>
        <v>0</v>
      </c>
      <c r="CG204" s="28">
        <f>IF(CG199=1,IF(INDEX('Lease Cycles'!$EF$19:$EL$19,1,CG197)=1,0,CG200*(1-IF(CG198&lt;INDEX('Lease Cycles'!$DK$19:$DQ$19,1,CG197),0,IF(CG198=INDEX('Lease Cycles'!$DK$19:$DQ$19,1,CG197),1-INDEX('Lease Cycles'!$DR$19:$DX$19,1,CG197),1))-IF(CG198=0,INDEX('Lease Cycles'!$DD$19:$DJ$19,1,CG197),0))),0)</f>
        <v>0</v>
      </c>
      <c r="CH204" s="28">
        <f>IF(CH199=1,IF(INDEX('Lease Cycles'!$EF$19:$EL$19,1,CH197)=1,0,CH200*(1-IF(CH198&lt;INDEX('Lease Cycles'!$DK$19:$DQ$19,1,CH197),0,IF(CH198=INDEX('Lease Cycles'!$DK$19:$DQ$19,1,CH197),1-INDEX('Lease Cycles'!$DR$19:$DX$19,1,CH197),1))-IF(CH198=0,INDEX('Lease Cycles'!$DD$19:$DJ$19,1,CH197),0))),0)</f>
        <v>0</v>
      </c>
      <c r="CI204" s="28">
        <f>IF(CI199=1,IF(INDEX('Lease Cycles'!$EF$19:$EL$19,1,CI197)=1,0,CI200*(1-IF(CI198&lt;INDEX('Lease Cycles'!$DK$19:$DQ$19,1,CI197),0,IF(CI198=INDEX('Lease Cycles'!$DK$19:$DQ$19,1,CI197),1-INDEX('Lease Cycles'!$DR$19:$DX$19,1,CI197),1))-IF(CI198=0,INDEX('Lease Cycles'!$DD$19:$DJ$19,1,CI197),0))),0)</f>
        <v>0</v>
      </c>
      <c r="CJ204" s="28">
        <f>IF(CJ199=1,IF(INDEX('Lease Cycles'!$EF$19:$EL$19,1,CJ197)=1,0,CJ200*(1-IF(CJ198&lt;INDEX('Lease Cycles'!$DK$19:$DQ$19,1,CJ197),0,IF(CJ198=INDEX('Lease Cycles'!$DK$19:$DQ$19,1,CJ197),1-INDEX('Lease Cycles'!$DR$19:$DX$19,1,CJ197),1))-IF(CJ198=0,INDEX('Lease Cycles'!$DD$19:$DJ$19,1,CJ197),0))),0)</f>
        <v>0</v>
      </c>
      <c r="CK204" s="28">
        <f>IF(CK199=1,IF(INDEX('Lease Cycles'!$EF$19:$EL$19,1,CK197)=1,0,CK200*(1-IF(CK198&lt;INDEX('Lease Cycles'!$DK$19:$DQ$19,1,CK197),0,IF(CK198=INDEX('Lease Cycles'!$DK$19:$DQ$19,1,CK197),1-INDEX('Lease Cycles'!$DR$19:$DX$19,1,CK197),1))-IF(CK198=0,INDEX('Lease Cycles'!$DD$19:$DJ$19,1,CK197),0))),0)</f>
        <v>0</v>
      </c>
      <c r="CL204" s="28">
        <f>IF(CL199=1,IF(INDEX('Lease Cycles'!$EF$19:$EL$19,1,CL197)=1,0,CL200*(1-IF(CL198&lt;INDEX('Lease Cycles'!$DK$19:$DQ$19,1,CL197),0,IF(CL198=INDEX('Lease Cycles'!$DK$19:$DQ$19,1,CL197),1-INDEX('Lease Cycles'!$DR$19:$DX$19,1,CL197),1))-IF(CL198=0,INDEX('Lease Cycles'!$DD$19:$DJ$19,1,CL197),0))),0)</f>
        <v>0</v>
      </c>
      <c r="CM204" s="28">
        <f>IF(CM199=1,IF(INDEX('Lease Cycles'!$EF$19:$EL$19,1,CM197)=1,0,CM200*(1-IF(CM198&lt;INDEX('Lease Cycles'!$DK$19:$DQ$19,1,CM197),0,IF(CM198=INDEX('Lease Cycles'!$DK$19:$DQ$19,1,CM197),1-INDEX('Lease Cycles'!$DR$19:$DX$19,1,CM197),1))-IF(CM198=0,INDEX('Lease Cycles'!$DD$19:$DJ$19,1,CM197),0))),0)</f>
        <v>0</v>
      </c>
      <c r="CN204" s="28">
        <f>IF(CN199=1,IF(INDEX('Lease Cycles'!$EF$19:$EL$19,1,CN197)=1,0,CN200*(1-IF(CN198&lt;INDEX('Lease Cycles'!$DK$19:$DQ$19,1,CN197),0,IF(CN198=INDEX('Lease Cycles'!$DK$19:$DQ$19,1,CN197),1-INDEX('Lease Cycles'!$DR$19:$DX$19,1,CN197),1))-IF(CN198=0,INDEX('Lease Cycles'!$DD$19:$DJ$19,1,CN197),0))),0)</f>
        <v>0</v>
      </c>
      <c r="CO204" s="28">
        <f>IF(CO199=1,IF(INDEX('Lease Cycles'!$EF$19:$EL$19,1,CO197)=1,0,CO200*(1-IF(CO198&lt;INDEX('Lease Cycles'!$DK$19:$DQ$19,1,CO197),0,IF(CO198=INDEX('Lease Cycles'!$DK$19:$DQ$19,1,CO197),1-INDEX('Lease Cycles'!$DR$19:$DX$19,1,CO197),1))-IF(CO198=0,INDEX('Lease Cycles'!$DD$19:$DJ$19,1,CO197),0))),0)</f>
        <v>0</v>
      </c>
      <c r="CP204" s="28">
        <f>IF(CP199=1,IF(INDEX('Lease Cycles'!$EF$19:$EL$19,1,CP197)=1,0,CP200*(1-IF(CP198&lt;INDEX('Lease Cycles'!$DK$19:$DQ$19,1,CP197),0,IF(CP198=INDEX('Lease Cycles'!$DK$19:$DQ$19,1,CP197),1-INDEX('Lease Cycles'!$DR$19:$DX$19,1,CP197),1))-IF(CP198=0,INDEX('Lease Cycles'!$DD$19:$DJ$19,1,CP197),0))),0)</f>
        <v>0</v>
      </c>
      <c r="CQ204" s="28">
        <f>IF(CQ199=1,IF(INDEX('Lease Cycles'!$EF$19:$EL$19,1,CQ197)=1,0,CQ200*(1-IF(CQ198&lt;INDEX('Lease Cycles'!$DK$19:$DQ$19,1,CQ197),0,IF(CQ198=INDEX('Lease Cycles'!$DK$19:$DQ$19,1,CQ197),1-INDEX('Lease Cycles'!$DR$19:$DX$19,1,CQ197),1))-IF(CQ198=0,INDEX('Lease Cycles'!$DD$19:$DJ$19,1,CQ197),0))),0)</f>
        <v>0</v>
      </c>
      <c r="CR204" s="28">
        <f>IF(CR199=1,IF(INDEX('Lease Cycles'!$EF$19:$EL$19,1,CR197)=1,0,CR200*(1-IF(CR198&lt;INDEX('Lease Cycles'!$DK$19:$DQ$19,1,CR197),0,IF(CR198=INDEX('Lease Cycles'!$DK$19:$DQ$19,1,CR197),1-INDEX('Lease Cycles'!$DR$19:$DX$19,1,CR197),1))-IF(CR198=0,INDEX('Lease Cycles'!$DD$19:$DJ$19,1,CR197),0))),0)</f>
        <v>0</v>
      </c>
      <c r="CS204" s="28">
        <f>IF(CS199=1,IF(INDEX('Lease Cycles'!$EF$19:$EL$19,1,CS197)=1,0,CS200*(1-IF(CS198&lt;INDEX('Lease Cycles'!$DK$19:$DQ$19,1,CS197),0,IF(CS198=INDEX('Lease Cycles'!$DK$19:$DQ$19,1,CS197),1-INDEX('Lease Cycles'!$DR$19:$DX$19,1,CS197),1))-IF(CS198=0,INDEX('Lease Cycles'!$DD$19:$DJ$19,1,CS197),0))),0)</f>
        <v>0</v>
      </c>
      <c r="CT204" s="28">
        <f>IF(CT199=1,IF(INDEX('Lease Cycles'!$EF$19:$EL$19,1,CT197)=1,0,CT200*(1-IF(CT198&lt;INDEX('Lease Cycles'!$DK$19:$DQ$19,1,CT197),0,IF(CT198=INDEX('Lease Cycles'!$DK$19:$DQ$19,1,CT197),1-INDEX('Lease Cycles'!$DR$19:$DX$19,1,CT197),1))-IF(CT198=0,INDEX('Lease Cycles'!$DD$19:$DJ$19,1,CT197),0))),0)</f>
        <v>0</v>
      </c>
      <c r="CU204" s="28">
        <f>IF(CU199=1,IF(INDEX('Lease Cycles'!$EF$19:$EL$19,1,CU197)=1,0,CU200*(1-IF(CU198&lt;INDEX('Lease Cycles'!$DK$19:$DQ$19,1,CU197),0,IF(CU198=INDEX('Lease Cycles'!$DK$19:$DQ$19,1,CU197),1-INDEX('Lease Cycles'!$DR$19:$DX$19,1,CU197),1))-IF(CU198=0,INDEX('Lease Cycles'!$DD$19:$DJ$19,1,CU197),0))),0)</f>
        <v>0</v>
      </c>
      <c r="CV204" s="28">
        <f>IF(CV199=1,IF(INDEX('Lease Cycles'!$EF$19:$EL$19,1,CV197)=1,0,CV200*(1-IF(CV198&lt;INDEX('Lease Cycles'!$DK$19:$DQ$19,1,CV197),0,IF(CV198=INDEX('Lease Cycles'!$DK$19:$DQ$19,1,CV197),1-INDEX('Lease Cycles'!$DR$19:$DX$19,1,CV197),1))-IF(CV198=0,INDEX('Lease Cycles'!$DD$19:$DJ$19,1,CV197),0))),0)</f>
        <v>0</v>
      </c>
      <c r="CW204" s="28">
        <f>IF(CW199=1,IF(INDEX('Lease Cycles'!$EF$19:$EL$19,1,CW197)=1,0,CW200*(1-IF(CW198&lt;INDEX('Lease Cycles'!$DK$19:$DQ$19,1,CW197),0,IF(CW198=INDEX('Lease Cycles'!$DK$19:$DQ$19,1,CW197),1-INDEX('Lease Cycles'!$DR$19:$DX$19,1,CW197),1))-IF(CW198=0,INDEX('Lease Cycles'!$DD$19:$DJ$19,1,CW197),0))),0)</f>
        <v>0</v>
      </c>
      <c r="CX204" s="28">
        <f>IF(CX199=1,IF(INDEX('Lease Cycles'!$EF$19:$EL$19,1,CX197)=1,0,CX200*(1-IF(CX198&lt;INDEX('Lease Cycles'!$DK$19:$DQ$19,1,CX197),0,IF(CX198=INDEX('Lease Cycles'!$DK$19:$DQ$19,1,CX197),1-INDEX('Lease Cycles'!$DR$19:$DX$19,1,CX197),1))-IF(CX198=0,INDEX('Lease Cycles'!$DD$19:$DJ$19,1,CX197),0))),0)</f>
        <v>0</v>
      </c>
      <c r="CY204" s="28">
        <f>IF(CY199=1,IF(INDEX('Lease Cycles'!$EF$19:$EL$19,1,CY197)=1,0,CY200*(1-IF(CY198&lt;INDEX('Lease Cycles'!$DK$19:$DQ$19,1,CY197),0,IF(CY198=INDEX('Lease Cycles'!$DK$19:$DQ$19,1,CY197),1-INDEX('Lease Cycles'!$DR$19:$DX$19,1,CY197),1))-IF(CY198=0,INDEX('Lease Cycles'!$DD$19:$DJ$19,1,CY197),0))),0)</f>
        <v>0</v>
      </c>
      <c r="CZ204" s="28">
        <f>IF(CZ199=1,IF(INDEX('Lease Cycles'!$EF$19:$EL$19,1,CZ197)=1,0,CZ200*(1-IF(CZ198&lt;INDEX('Lease Cycles'!$DK$19:$DQ$19,1,CZ197),0,IF(CZ198=INDEX('Lease Cycles'!$DK$19:$DQ$19,1,CZ197),1-INDEX('Lease Cycles'!$DR$19:$DX$19,1,CZ197),1))-IF(CZ198=0,INDEX('Lease Cycles'!$DD$19:$DJ$19,1,CZ197),0))),0)</f>
        <v>0</v>
      </c>
      <c r="DA204" s="28">
        <f>IF(DA199=1,IF(INDEX('Lease Cycles'!$EF$19:$EL$19,1,DA197)=1,0,DA200*(1-IF(DA198&lt;INDEX('Lease Cycles'!$DK$19:$DQ$19,1,DA197),0,IF(DA198=INDEX('Lease Cycles'!$DK$19:$DQ$19,1,DA197),1-INDEX('Lease Cycles'!$DR$19:$DX$19,1,DA197),1))-IF(DA198=0,INDEX('Lease Cycles'!$DD$19:$DJ$19,1,DA197),0))),0)</f>
        <v>0</v>
      </c>
      <c r="DB204" s="28">
        <f>IF(DB199=1,IF(INDEX('Lease Cycles'!$EF$19:$EL$19,1,DB197)=1,0,DB200*(1-IF(DB198&lt;INDEX('Lease Cycles'!$DK$19:$DQ$19,1,DB197),0,IF(DB198=INDEX('Lease Cycles'!$DK$19:$DQ$19,1,DB197),1-INDEX('Lease Cycles'!$DR$19:$DX$19,1,DB197),1))-IF(DB198=0,INDEX('Lease Cycles'!$DD$19:$DJ$19,1,DB197),0))),0)</f>
        <v>0</v>
      </c>
      <c r="DC204" s="28">
        <f>IF(DC199=1,IF(INDEX('Lease Cycles'!$EF$19:$EL$19,1,DC197)=1,0,DC200*(1-IF(DC198&lt;INDEX('Lease Cycles'!$DK$19:$DQ$19,1,DC197),0,IF(DC198=INDEX('Lease Cycles'!$DK$19:$DQ$19,1,DC197),1-INDEX('Lease Cycles'!$DR$19:$DX$19,1,DC197),1))-IF(DC198=0,INDEX('Lease Cycles'!$DD$19:$DJ$19,1,DC197),0))),0)</f>
        <v>0</v>
      </c>
      <c r="DD204" s="28">
        <f>IF(DD199=1,IF(INDEX('Lease Cycles'!$EF$19:$EL$19,1,DD197)=1,0,DD200*(1-IF(DD198&lt;INDEX('Lease Cycles'!$DK$19:$DQ$19,1,DD197),0,IF(DD198=INDEX('Lease Cycles'!$DK$19:$DQ$19,1,DD197),1-INDEX('Lease Cycles'!$DR$19:$DX$19,1,DD197),1))-IF(DD198=0,INDEX('Lease Cycles'!$DD$19:$DJ$19,1,DD197),0))),0)</f>
        <v>0</v>
      </c>
      <c r="DE204" s="28">
        <f>IF(DE199=1,IF(INDEX('Lease Cycles'!$EF$19:$EL$19,1,DE197)=1,0,DE200*(1-IF(DE198&lt;INDEX('Lease Cycles'!$DK$19:$DQ$19,1,DE197),0,IF(DE198=INDEX('Lease Cycles'!$DK$19:$DQ$19,1,DE197),1-INDEX('Lease Cycles'!$DR$19:$DX$19,1,DE197),1))-IF(DE198=0,INDEX('Lease Cycles'!$DD$19:$DJ$19,1,DE197),0))),0)</f>
        <v>0</v>
      </c>
      <c r="DF204" s="28">
        <f>IF(DF199=1,IF(INDEX('Lease Cycles'!$EF$19:$EL$19,1,DF197)=1,0,DF200*(1-IF(DF198&lt;INDEX('Lease Cycles'!$DK$19:$DQ$19,1,DF197),0,IF(DF198=INDEX('Lease Cycles'!$DK$19:$DQ$19,1,DF197),1-INDEX('Lease Cycles'!$DR$19:$DX$19,1,DF197),1))-IF(DF198=0,INDEX('Lease Cycles'!$DD$19:$DJ$19,1,DF197),0))),0)</f>
        <v>0</v>
      </c>
      <c r="DG204" s="28">
        <f>IF(DG199=1,IF(INDEX('Lease Cycles'!$EF$19:$EL$19,1,DG197)=1,0,DG200*(1-IF(DG198&lt;INDEX('Lease Cycles'!$DK$19:$DQ$19,1,DG197),0,IF(DG198=INDEX('Lease Cycles'!$DK$19:$DQ$19,1,DG197),1-INDEX('Lease Cycles'!$DR$19:$DX$19,1,DG197),1))-IF(DG198=0,INDEX('Lease Cycles'!$DD$19:$DJ$19,1,DG197),0))),0)</f>
        <v>0</v>
      </c>
      <c r="DH204" s="28">
        <f>IF(DH199=1,IF(INDEX('Lease Cycles'!$EF$19:$EL$19,1,DH197)=1,0,DH200*(1-IF(DH198&lt;INDEX('Lease Cycles'!$DK$19:$DQ$19,1,DH197),0,IF(DH198=INDEX('Lease Cycles'!$DK$19:$DQ$19,1,DH197),1-INDEX('Lease Cycles'!$DR$19:$DX$19,1,DH197),1))-IF(DH198=0,INDEX('Lease Cycles'!$DD$19:$DJ$19,1,DH197),0))),0)</f>
        <v>0</v>
      </c>
      <c r="DI204" s="28">
        <f>IF(DI199=1,IF(INDEX('Lease Cycles'!$EF$19:$EL$19,1,DI197)=1,0,DI200*(1-IF(DI198&lt;INDEX('Lease Cycles'!$DK$19:$DQ$19,1,DI197),0,IF(DI198=INDEX('Lease Cycles'!$DK$19:$DQ$19,1,DI197),1-INDEX('Lease Cycles'!$DR$19:$DX$19,1,DI197),1))-IF(DI198=0,INDEX('Lease Cycles'!$DD$19:$DJ$19,1,DI197),0))),0)</f>
        <v>0</v>
      </c>
      <c r="DJ204" s="28">
        <f>IF(DJ199=1,IF(INDEX('Lease Cycles'!$EF$19:$EL$19,1,DJ197)=1,0,DJ200*(1-IF(DJ198&lt;INDEX('Lease Cycles'!$DK$19:$DQ$19,1,DJ197),0,IF(DJ198=INDEX('Lease Cycles'!$DK$19:$DQ$19,1,DJ197),1-INDEX('Lease Cycles'!$DR$19:$DX$19,1,DJ197),1))-IF(DJ198=0,INDEX('Lease Cycles'!$DD$19:$DJ$19,1,DJ197),0))),0)</f>
        <v>0</v>
      </c>
      <c r="DK204" s="28">
        <f>IF(DK199=1,IF(INDEX('Lease Cycles'!$EF$19:$EL$19,1,DK197)=1,0,DK200*(1-IF(DK198&lt;INDEX('Lease Cycles'!$DK$19:$DQ$19,1,DK197),0,IF(DK198=INDEX('Lease Cycles'!$DK$19:$DQ$19,1,DK197),1-INDEX('Lease Cycles'!$DR$19:$DX$19,1,DK197),1))-IF(DK198=0,INDEX('Lease Cycles'!$DD$19:$DJ$19,1,DK197),0))),0)</f>
        <v>0</v>
      </c>
      <c r="DL204" s="28">
        <f>IF(DL199=1,IF(INDEX('Lease Cycles'!$EF$19:$EL$19,1,DL197)=1,0,DL200*(1-IF(DL198&lt;INDEX('Lease Cycles'!$DK$19:$DQ$19,1,DL197),0,IF(DL198=INDEX('Lease Cycles'!$DK$19:$DQ$19,1,DL197),1-INDEX('Lease Cycles'!$DR$19:$DX$19,1,DL197),1))-IF(DL198=0,INDEX('Lease Cycles'!$DD$19:$DJ$19,1,DL197),0))),0)</f>
        <v>0</v>
      </c>
      <c r="DM204" s="28">
        <f>IF(DM199=1,IF(INDEX('Lease Cycles'!$EF$19:$EL$19,1,DM197)=1,0,DM200*(1-IF(DM198&lt;INDEX('Lease Cycles'!$DK$19:$DQ$19,1,DM197),0,IF(DM198=INDEX('Lease Cycles'!$DK$19:$DQ$19,1,DM197),1-INDEX('Lease Cycles'!$DR$19:$DX$19,1,DM197),1))-IF(DM198=0,INDEX('Lease Cycles'!$DD$19:$DJ$19,1,DM197),0))),0)</f>
        <v>0</v>
      </c>
      <c r="DN204" s="28">
        <f>IF(DN199=1,IF(INDEX('Lease Cycles'!$EF$19:$EL$19,1,DN197)=1,0,DN200*(1-IF(DN198&lt;INDEX('Lease Cycles'!$DK$19:$DQ$19,1,DN197),0,IF(DN198=INDEX('Lease Cycles'!$DK$19:$DQ$19,1,DN197),1-INDEX('Lease Cycles'!$DR$19:$DX$19,1,DN197),1))-IF(DN198=0,INDEX('Lease Cycles'!$DD$19:$DJ$19,1,DN197),0))),0)</f>
        <v>0</v>
      </c>
      <c r="DO204" s="28">
        <f>IF(DO199=1,IF(INDEX('Lease Cycles'!$EF$19:$EL$19,1,DO197)=1,0,DO200*(1-IF(DO198&lt;INDEX('Lease Cycles'!$DK$19:$DQ$19,1,DO197),0,IF(DO198=INDEX('Lease Cycles'!$DK$19:$DQ$19,1,DO197),1-INDEX('Lease Cycles'!$DR$19:$DX$19,1,DO197),1))-IF(DO198=0,INDEX('Lease Cycles'!$DD$19:$DJ$19,1,DO197),0))),0)</f>
        <v>0</v>
      </c>
      <c r="DP204" s="28">
        <f>IF(DP199=1,IF(INDEX('Lease Cycles'!$EF$19:$EL$19,1,DP197)=1,0,DP200*(1-IF(DP198&lt;INDEX('Lease Cycles'!$DK$19:$DQ$19,1,DP197),0,IF(DP198=INDEX('Lease Cycles'!$DK$19:$DQ$19,1,DP197),1-INDEX('Lease Cycles'!$DR$19:$DX$19,1,DP197),1))-IF(DP198=0,INDEX('Lease Cycles'!$DD$19:$DJ$19,1,DP197),0))),0)</f>
        <v>0</v>
      </c>
      <c r="DQ204" s="28">
        <f>IF(DQ199=1,IF(INDEX('Lease Cycles'!$EF$19:$EL$19,1,DQ197)=1,0,DQ200*(1-IF(DQ198&lt;INDEX('Lease Cycles'!$DK$19:$DQ$19,1,DQ197),0,IF(DQ198=INDEX('Lease Cycles'!$DK$19:$DQ$19,1,DQ197),1-INDEX('Lease Cycles'!$DR$19:$DX$19,1,DQ197),1))-IF(DQ198=0,INDEX('Lease Cycles'!$DD$19:$DJ$19,1,DQ197),0))),0)</f>
        <v>0</v>
      </c>
      <c r="DR204" s="28">
        <f>IF(DR199=1,IF(INDEX('Lease Cycles'!$EF$19:$EL$19,1,DR197)=1,0,DR200*(1-IF(DR198&lt;INDEX('Lease Cycles'!$DK$19:$DQ$19,1,DR197),0,IF(DR198=INDEX('Lease Cycles'!$DK$19:$DQ$19,1,DR197),1-INDEX('Lease Cycles'!$DR$19:$DX$19,1,DR197),1))-IF(DR198=0,INDEX('Lease Cycles'!$DD$19:$DJ$19,1,DR197),0))),0)</f>
        <v>0</v>
      </c>
      <c r="DS204" s="28">
        <f>IF(DS199=1,IF(INDEX('Lease Cycles'!$EF$19:$EL$19,1,DS197)=1,0,DS200*(1-IF(DS198&lt;INDEX('Lease Cycles'!$DK$19:$DQ$19,1,DS197),0,IF(DS198=INDEX('Lease Cycles'!$DK$19:$DQ$19,1,DS197),1-INDEX('Lease Cycles'!$DR$19:$DX$19,1,DS197),1))-IF(DS198=0,INDEX('Lease Cycles'!$DD$19:$DJ$19,1,DS197),0))),0)</f>
        <v>0</v>
      </c>
      <c r="DT204" s="28">
        <f>IF(DT199=1,IF(INDEX('Lease Cycles'!$EF$19:$EL$19,1,DT197)=1,0,DT200*(1-IF(DT198&lt;INDEX('Lease Cycles'!$DK$19:$DQ$19,1,DT197),0,IF(DT198=INDEX('Lease Cycles'!$DK$19:$DQ$19,1,DT197),1-INDEX('Lease Cycles'!$DR$19:$DX$19,1,DT197),1))-IF(DT198=0,INDEX('Lease Cycles'!$DD$19:$DJ$19,1,DT197),0))),0)</f>
        <v>0</v>
      </c>
      <c r="DU204" s="28">
        <f>IF(DU199=1,IF(INDEX('Lease Cycles'!$EF$19:$EL$19,1,DU197)=1,0,DU200*(1-IF(DU198&lt;INDEX('Lease Cycles'!$DK$19:$DQ$19,1,DU197),0,IF(DU198=INDEX('Lease Cycles'!$DK$19:$DQ$19,1,DU197),1-INDEX('Lease Cycles'!$DR$19:$DX$19,1,DU197),1))-IF(DU198=0,INDEX('Lease Cycles'!$DD$19:$DJ$19,1,DU197),0))),0)</f>
        <v>0</v>
      </c>
      <c r="DV204" s="28">
        <f>IF(DV199=1,IF(INDEX('Lease Cycles'!$EF$19:$EL$19,1,DV197)=1,0,DV200*(1-IF(DV198&lt;INDEX('Lease Cycles'!$DK$19:$DQ$19,1,DV197),0,IF(DV198=INDEX('Lease Cycles'!$DK$19:$DQ$19,1,DV197),1-INDEX('Lease Cycles'!$DR$19:$DX$19,1,DV197),1))-IF(DV198=0,INDEX('Lease Cycles'!$DD$19:$DJ$19,1,DV197),0))),0)</f>
        <v>0</v>
      </c>
      <c r="DW204" s="28">
        <f>IF(DW199=1,IF(INDEX('Lease Cycles'!$EF$19:$EL$19,1,DW197)=1,0,DW200*(1-IF(DW198&lt;INDEX('Lease Cycles'!$DK$19:$DQ$19,1,DW197),0,IF(DW198=INDEX('Lease Cycles'!$DK$19:$DQ$19,1,DW197),1-INDEX('Lease Cycles'!$DR$19:$DX$19,1,DW197),1))-IF(DW198=0,INDEX('Lease Cycles'!$DD$19:$DJ$19,1,DW197),0))),0)</f>
        <v>0</v>
      </c>
      <c r="DX204" s="28">
        <f>IF(DX199=1,IF(INDEX('Lease Cycles'!$EF$19:$EL$19,1,DX197)=1,0,DX200*(1-IF(DX198&lt;INDEX('Lease Cycles'!$DK$19:$DQ$19,1,DX197),0,IF(DX198=INDEX('Lease Cycles'!$DK$19:$DQ$19,1,DX197),1-INDEX('Lease Cycles'!$DR$19:$DX$19,1,DX197),1))-IF(DX198=0,INDEX('Lease Cycles'!$DD$19:$DJ$19,1,DX197),0))),0)</f>
        <v>0</v>
      </c>
      <c r="DY204" s="28">
        <f>IF(DY199=1,IF(INDEX('Lease Cycles'!$EF$19:$EL$19,1,DY197)=1,0,DY200*(1-IF(DY198&lt;INDEX('Lease Cycles'!$DK$19:$DQ$19,1,DY197),0,IF(DY198=INDEX('Lease Cycles'!$DK$19:$DQ$19,1,DY197),1-INDEX('Lease Cycles'!$DR$19:$DX$19,1,DY197),1))-IF(DY198=0,INDEX('Lease Cycles'!$DD$19:$DJ$19,1,DY197),0))),0)</f>
        <v>0</v>
      </c>
      <c r="DZ204" s="28">
        <f>IF(DZ199=1,IF(INDEX('Lease Cycles'!$EF$19:$EL$19,1,DZ197)=1,0,DZ200*(1-IF(DZ198&lt;INDEX('Lease Cycles'!$DK$19:$DQ$19,1,DZ197),0,IF(DZ198=INDEX('Lease Cycles'!$DK$19:$DQ$19,1,DZ197),1-INDEX('Lease Cycles'!$DR$19:$DX$19,1,DZ197),1))-IF(DZ198=0,INDEX('Lease Cycles'!$DD$19:$DJ$19,1,DZ197),0))),0)</f>
        <v>0</v>
      </c>
      <c r="EA204" s="28">
        <f>IF(EA199=1,IF(INDEX('Lease Cycles'!$EF$19:$EL$19,1,EA197)=1,0,EA200*(1-IF(EA198&lt;INDEX('Lease Cycles'!$DK$19:$DQ$19,1,EA197),0,IF(EA198=INDEX('Lease Cycles'!$DK$19:$DQ$19,1,EA197),1-INDEX('Lease Cycles'!$DR$19:$DX$19,1,EA197),1))-IF(EA198=0,INDEX('Lease Cycles'!$DD$19:$DJ$19,1,EA197),0))),0)</f>
        <v>0</v>
      </c>
      <c r="EB204" s="28">
        <f>IF(EB199=1,IF(INDEX('Lease Cycles'!$EF$19:$EL$19,1,EB197)=1,0,EB200*(1-IF(EB198&lt;INDEX('Lease Cycles'!$DK$19:$DQ$19,1,EB197),0,IF(EB198=INDEX('Lease Cycles'!$DK$19:$DQ$19,1,EB197),1-INDEX('Lease Cycles'!$DR$19:$DX$19,1,EB197),1))-IF(EB198=0,INDEX('Lease Cycles'!$DD$19:$DJ$19,1,EB197),0))),0)</f>
        <v>0</v>
      </c>
      <c r="EC204" s="28">
        <f>IF(EC199=1,IF(INDEX('Lease Cycles'!$EF$19:$EL$19,1,EC197)=1,0,EC200*(1-IF(EC198&lt;INDEX('Lease Cycles'!$DK$19:$DQ$19,1,EC197),0,IF(EC198=INDEX('Lease Cycles'!$DK$19:$DQ$19,1,EC197),1-INDEX('Lease Cycles'!$DR$19:$DX$19,1,EC197),1))-IF(EC198=0,INDEX('Lease Cycles'!$DD$19:$DJ$19,1,EC197),0))),0)</f>
        <v>0</v>
      </c>
      <c r="ED204" s="28">
        <f>IF(ED199=1,IF(INDEX('Lease Cycles'!$EF$19:$EL$19,1,ED197)=1,0,ED200*(1-IF(ED198&lt;INDEX('Lease Cycles'!$DK$19:$DQ$19,1,ED197),0,IF(ED198=INDEX('Lease Cycles'!$DK$19:$DQ$19,1,ED197),1-INDEX('Lease Cycles'!$DR$19:$DX$19,1,ED197),1))-IF(ED198=0,INDEX('Lease Cycles'!$DD$19:$DJ$19,1,ED197),0))),0)</f>
        <v>0</v>
      </c>
      <c r="EE204" s="28">
        <f>IF(EE199=1,IF(INDEX('Lease Cycles'!$EF$19:$EL$19,1,EE197)=1,0,EE200*(1-IF(EE198&lt;INDEX('Lease Cycles'!$DK$19:$DQ$19,1,EE197),0,IF(EE198=INDEX('Lease Cycles'!$DK$19:$DQ$19,1,EE197),1-INDEX('Lease Cycles'!$DR$19:$DX$19,1,EE197),1))-IF(EE198=0,INDEX('Lease Cycles'!$DD$19:$DJ$19,1,EE197),0))),0)</f>
        <v>0</v>
      </c>
      <c r="EF204" s="28">
        <f>IF(EF199=1,IF(INDEX('Lease Cycles'!$EF$19:$EL$19,1,EF197)=1,0,EF200*(1-IF(EF198&lt;INDEX('Lease Cycles'!$DK$19:$DQ$19,1,EF197),0,IF(EF198=INDEX('Lease Cycles'!$DK$19:$DQ$19,1,EF197),1-INDEX('Lease Cycles'!$DR$19:$DX$19,1,EF197),1))-IF(EF198=0,INDEX('Lease Cycles'!$DD$19:$DJ$19,1,EF197),0))),0)</f>
        <v>0</v>
      </c>
      <c r="EG204" s="28">
        <f>IF(EG199=1,IF(INDEX('Lease Cycles'!$EF$19:$EL$19,1,EG197)=1,0,EG200*(1-IF(EG198&lt;INDEX('Lease Cycles'!$DK$19:$DQ$19,1,EG197),0,IF(EG198=INDEX('Lease Cycles'!$DK$19:$DQ$19,1,EG197),1-INDEX('Lease Cycles'!$DR$19:$DX$19,1,EG197),1))-IF(EG198=0,INDEX('Lease Cycles'!$DD$19:$DJ$19,1,EG197),0))),0)</f>
        <v>0</v>
      </c>
      <c r="EH204" s="28">
        <f>IF(EH199=1,IF(INDEX('Lease Cycles'!$EF$19:$EL$19,1,EH197)=1,0,EH200*(1-IF(EH198&lt;INDEX('Lease Cycles'!$DK$19:$DQ$19,1,EH197),0,IF(EH198=INDEX('Lease Cycles'!$DK$19:$DQ$19,1,EH197),1-INDEX('Lease Cycles'!$DR$19:$DX$19,1,EH197),1))-IF(EH198=0,INDEX('Lease Cycles'!$DD$19:$DJ$19,1,EH197),0))),0)</f>
        <v>0</v>
      </c>
      <c r="EI204" s="28">
        <f>IF(EI199=1,IF(INDEX('Lease Cycles'!$EF$19:$EL$19,1,EI197)=1,0,EI200*(1-IF(EI198&lt;INDEX('Lease Cycles'!$DK$19:$DQ$19,1,EI197),0,IF(EI198=INDEX('Lease Cycles'!$DK$19:$DQ$19,1,EI197),1-INDEX('Lease Cycles'!$DR$19:$DX$19,1,EI197),1))-IF(EI198=0,INDEX('Lease Cycles'!$DD$19:$DJ$19,1,EI197),0))),0)</f>
        <v>0</v>
      </c>
      <c r="EJ204" s="28">
        <f>IF(EJ199=1,IF(INDEX('Lease Cycles'!$EF$19:$EL$19,1,EJ197)=1,0,EJ200*(1-IF(EJ198&lt;INDEX('Lease Cycles'!$DK$19:$DQ$19,1,EJ197),0,IF(EJ198=INDEX('Lease Cycles'!$DK$19:$DQ$19,1,EJ197),1-INDEX('Lease Cycles'!$DR$19:$DX$19,1,EJ197),1))-IF(EJ198=0,INDEX('Lease Cycles'!$DD$19:$DJ$19,1,EJ197),0))),0)</f>
        <v>0</v>
      </c>
      <c r="EK204" s="28">
        <f>IF(EK199=1,IF(INDEX('Lease Cycles'!$EF$19:$EL$19,1,EK197)=1,0,EK200*(1-IF(EK198&lt;INDEX('Lease Cycles'!$DK$19:$DQ$19,1,EK197),0,IF(EK198=INDEX('Lease Cycles'!$DK$19:$DQ$19,1,EK197),1-INDEX('Lease Cycles'!$DR$19:$DX$19,1,EK197),1))-IF(EK198=0,INDEX('Lease Cycles'!$DD$19:$DJ$19,1,EK197),0))),0)</f>
        <v>0</v>
      </c>
      <c r="EL204" s="28">
        <f>IF(EL199=1,IF(INDEX('Lease Cycles'!$EF$19:$EL$19,1,EL197)=1,0,EL200*(1-IF(EL198&lt;INDEX('Lease Cycles'!$DK$19:$DQ$19,1,EL197),0,IF(EL198=INDEX('Lease Cycles'!$DK$19:$DQ$19,1,EL197),1-INDEX('Lease Cycles'!$DR$19:$DX$19,1,EL197),1))-IF(EL198=0,INDEX('Lease Cycles'!$DD$19:$DJ$19,1,EL197),0))),0)</f>
        <v>0</v>
      </c>
      <c r="EM204" s="28">
        <f>IF(EM199=1,IF(INDEX('Lease Cycles'!$EF$19:$EL$19,1,EM197)=1,0,EM200*(1-IF(EM198&lt;INDEX('Lease Cycles'!$DK$19:$DQ$19,1,EM197),0,IF(EM198=INDEX('Lease Cycles'!$DK$19:$DQ$19,1,EM197),1-INDEX('Lease Cycles'!$DR$19:$DX$19,1,EM197),1))-IF(EM198=0,INDEX('Lease Cycles'!$DD$19:$DJ$19,1,EM197),0))),0)</f>
        <v>0</v>
      </c>
      <c r="EN204" s="28">
        <f>IF(EN199=1,IF(INDEX('Lease Cycles'!$EF$19:$EL$19,1,EN197)=1,0,EN200*(1-IF(EN198&lt;INDEX('Lease Cycles'!$DK$19:$DQ$19,1,EN197),0,IF(EN198=INDEX('Lease Cycles'!$DK$19:$DQ$19,1,EN197),1-INDEX('Lease Cycles'!$DR$19:$DX$19,1,EN197),1))-IF(EN198=0,INDEX('Lease Cycles'!$DD$19:$DJ$19,1,EN197),0))),0)</f>
        <v>0</v>
      </c>
      <c r="EO204" s="28">
        <f>IF(EO199=1,IF(INDEX('Lease Cycles'!$EF$19:$EL$19,1,EO197)=1,0,EO200*(1-IF(EO198&lt;INDEX('Lease Cycles'!$DK$19:$DQ$19,1,EO197),0,IF(EO198=INDEX('Lease Cycles'!$DK$19:$DQ$19,1,EO197),1-INDEX('Lease Cycles'!$DR$19:$DX$19,1,EO197),1))-IF(EO198=0,INDEX('Lease Cycles'!$DD$19:$DJ$19,1,EO197),0))),0)</f>
        <v>0</v>
      </c>
      <c r="EP204" s="28">
        <f>IF(EP199=1,IF(INDEX('Lease Cycles'!$EF$19:$EL$19,1,EP197)=1,0,EP200*(1-IF(EP198&lt;INDEX('Lease Cycles'!$DK$19:$DQ$19,1,EP197),0,IF(EP198=INDEX('Lease Cycles'!$DK$19:$DQ$19,1,EP197),1-INDEX('Lease Cycles'!$DR$19:$DX$19,1,EP197),1))-IF(EP198=0,INDEX('Lease Cycles'!$DD$19:$DJ$19,1,EP197),0))),0)</f>
        <v>0</v>
      </c>
      <c r="EQ204" s="28">
        <f>IF(EQ199=1,IF(INDEX('Lease Cycles'!$EF$19:$EL$19,1,EQ197)=1,0,EQ200*(1-IF(EQ198&lt;INDEX('Lease Cycles'!$DK$19:$DQ$19,1,EQ197),0,IF(EQ198=INDEX('Lease Cycles'!$DK$19:$DQ$19,1,EQ197),1-INDEX('Lease Cycles'!$DR$19:$DX$19,1,EQ197),1))-IF(EQ198=0,INDEX('Lease Cycles'!$DD$19:$DJ$19,1,EQ197),0))),0)</f>
        <v>0</v>
      </c>
      <c r="ER204" s="28">
        <f>IF(ER199=1,IF(INDEX('Lease Cycles'!$EF$19:$EL$19,1,ER197)=1,0,ER200*(1-IF(ER198&lt;INDEX('Lease Cycles'!$DK$19:$DQ$19,1,ER197),0,IF(ER198=INDEX('Lease Cycles'!$DK$19:$DQ$19,1,ER197),1-INDEX('Lease Cycles'!$DR$19:$DX$19,1,ER197),1))-IF(ER198=0,INDEX('Lease Cycles'!$DD$19:$DJ$19,1,ER197),0))),0)</f>
        <v>0</v>
      </c>
      <c r="ES204" s="28">
        <f>IF(ES199=1,IF(INDEX('Lease Cycles'!$EF$19:$EL$19,1,ES197)=1,0,ES200*(1-IF(ES198&lt;INDEX('Lease Cycles'!$DK$19:$DQ$19,1,ES197),0,IF(ES198=INDEX('Lease Cycles'!$DK$19:$DQ$19,1,ES197),1-INDEX('Lease Cycles'!$DR$19:$DX$19,1,ES197),1))-IF(ES198=0,INDEX('Lease Cycles'!$DD$19:$DJ$19,1,ES197),0))),0)</f>
        <v>0</v>
      </c>
      <c r="ET204" s="28">
        <f>IF(ET199=1,IF(INDEX('Lease Cycles'!$EF$19:$EL$19,1,ET197)=1,0,ET200*(1-IF(ET198&lt;INDEX('Lease Cycles'!$DK$19:$DQ$19,1,ET197),0,IF(ET198=INDEX('Lease Cycles'!$DK$19:$DQ$19,1,ET197),1-INDEX('Lease Cycles'!$DR$19:$DX$19,1,ET197),1))-IF(ET198=0,INDEX('Lease Cycles'!$DD$19:$DJ$19,1,ET197),0))),0)</f>
        <v>0</v>
      </c>
    </row>
    <row r="205">
      <c r="A205" s="103">
        <v>12</v>
      </c>
      <c r="B205" s="23" t="str">
        <f>IF('Lease Cycles'!$B$19="","(empty slot)",'Lease Cycles'!$B$19)</f>
        <v>(empty slot)</v>
      </c>
      <c r="C205" s="23" t="s">
        <v>683</v>
      </c>
      <c r="D205" s="104" t="s">
        <v>684</v>
      </c>
      <c r="E205" s="25">
        <f>'Lease Cycles'!$AL$19</f>
        <v>0</v>
      </c>
      <c r="G205" s="24">
        <f>SUM(S205:AD205)</f>
        <v>0</v>
      </c>
      <c r="H205" s="24">
        <f>SUM(AE205:AP205)</f>
        <v>0</v>
      </c>
      <c r="I205" s="24">
        <f>SUM(AQ205:BB205)</f>
        <v>0</v>
      </c>
      <c r="J205" s="24">
        <f>SUM(BC205:BN205)</f>
        <v>0</v>
      </c>
      <c r="K205" s="24">
        <f>SUM(BO205:BZ205)</f>
        <v>0</v>
      </c>
      <c r="L205" s="24">
        <f>SUM(CA205:CL205)</f>
        <v>0</v>
      </c>
      <c r="M205" s="24">
        <f>SUM(CM205:CX205)</f>
        <v>0</v>
      </c>
      <c r="N205" s="24">
        <f>SUM(CY205:DJ205)</f>
        <v>0</v>
      </c>
      <c r="O205" s="24">
        <f>SUM(DK205:DV205)</f>
        <v>0</v>
      </c>
      <c r="P205" s="24">
        <f>SUM(DW205:EH205)</f>
        <v>0</v>
      </c>
      <c r="Q205" s="24">
        <f>SUM(EI205:ET205)</f>
        <v>0</v>
      </c>
      <c r="S205" s="24">
        <f>IF(S199=1,'Lease Cycles'!$D$19*IF(INDEX('Lease Cycles'!$EF$19:$EL$19,1,S197)=1,(1-'Lease Cycles'!$AJ$19)*INDEX('Lease Cycles'!$EM$19:$ES$19,1,S197)+(1-'Lease Cycles'!$BE$19)*IF(S198&lt;INDEX('Lease Cycles'!$FA$19:$FG$19,1,S197),0,1-INDEX('Lease Cycles'!$EM$19:$ES$19,1,S197)),IF(OR(INDEX('Lease Cycles'!$DY$19:$EE$19,1,S197)=1,S198&gt;0),1,1-INDEX('Lease Cycles'!$DD$19:$DJ$19,1,S197))*((1-'Lease Cycles'!$AJ$19)*INDEX('Lease Cycles'!$FO$19:$FU$19,1,S197)+(1-'Lease Cycles'!$BE$19)*(1-INDEX('Lease Cycles'!$FO$19:$FU$19,1,S197)))),0)</f>
        <v>0</v>
      </c>
      <c r="T205" s="24">
        <f>IF(T199=1,'Lease Cycles'!$D$19*IF(INDEX('Lease Cycles'!$EF$19:$EL$19,1,T197)=1,(1-'Lease Cycles'!$AJ$19)*INDEX('Lease Cycles'!$EM$19:$ES$19,1,T197)+(1-'Lease Cycles'!$BE$19)*IF(T198&lt;INDEX('Lease Cycles'!$FA$19:$FG$19,1,T197),0,1-INDEX('Lease Cycles'!$EM$19:$ES$19,1,T197)),IF(OR(INDEX('Lease Cycles'!$DY$19:$EE$19,1,T197)=1,T198&gt;0),1,1-INDEX('Lease Cycles'!$DD$19:$DJ$19,1,T197))*((1-'Lease Cycles'!$AJ$19)*INDEX('Lease Cycles'!$FO$19:$FU$19,1,T197)+(1-'Lease Cycles'!$BE$19)*(1-INDEX('Lease Cycles'!$FO$19:$FU$19,1,T197)))),0)</f>
        <v>0</v>
      </c>
      <c r="U205" s="24">
        <f>IF(U199=1,'Lease Cycles'!$D$19*IF(INDEX('Lease Cycles'!$EF$19:$EL$19,1,U197)=1,(1-'Lease Cycles'!$AJ$19)*INDEX('Lease Cycles'!$EM$19:$ES$19,1,U197)+(1-'Lease Cycles'!$BE$19)*IF(U198&lt;INDEX('Lease Cycles'!$FA$19:$FG$19,1,U197),0,1-INDEX('Lease Cycles'!$EM$19:$ES$19,1,U197)),IF(OR(INDEX('Lease Cycles'!$DY$19:$EE$19,1,U197)=1,U198&gt;0),1,1-INDEX('Lease Cycles'!$DD$19:$DJ$19,1,U197))*((1-'Lease Cycles'!$AJ$19)*INDEX('Lease Cycles'!$FO$19:$FU$19,1,U197)+(1-'Lease Cycles'!$BE$19)*(1-INDEX('Lease Cycles'!$FO$19:$FU$19,1,U197)))),0)</f>
        <v>0</v>
      </c>
      <c r="V205" s="24">
        <f>IF(V199=1,'Lease Cycles'!$D$19*IF(INDEX('Lease Cycles'!$EF$19:$EL$19,1,V197)=1,(1-'Lease Cycles'!$AJ$19)*INDEX('Lease Cycles'!$EM$19:$ES$19,1,V197)+(1-'Lease Cycles'!$BE$19)*IF(V198&lt;INDEX('Lease Cycles'!$FA$19:$FG$19,1,V197),0,1-INDEX('Lease Cycles'!$EM$19:$ES$19,1,V197)),IF(OR(INDEX('Lease Cycles'!$DY$19:$EE$19,1,V197)=1,V198&gt;0),1,1-INDEX('Lease Cycles'!$DD$19:$DJ$19,1,V197))*((1-'Lease Cycles'!$AJ$19)*INDEX('Lease Cycles'!$FO$19:$FU$19,1,V197)+(1-'Lease Cycles'!$BE$19)*(1-INDEX('Lease Cycles'!$FO$19:$FU$19,1,V197)))),0)</f>
        <v>0</v>
      </c>
      <c r="W205" s="24">
        <f>IF(W199=1,'Lease Cycles'!$D$19*IF(INDEX('Lease Cycles'!$EF$19:$EL$19,1,W197)=1,(1-'Lease Cycles'!$AJ$19)*INDEX('Lease Cycles'!$EM$19:$ES$19,1,W197)+(1-'Lease Cycles'!$BE$19)*IF(W198&lt;INDEX('Lease Cycles'!$FA$19:$FG$19,1,W197),0,1-INDEX('Lease Cycles'!$EM$19:$ES$19,1,W197)),IF(OR(INDEX('Lease Cycles'!$DY$19:$EE$19,1,W197)=1,W198&gt;0),1,1-INDEX('Lease Cycles'!$DD$19:$DJ$19,1,W197))*((1-'Lease Cycles'!$AJ$19)*INDEX('Lease Cycles'!$FO$19:$FU$19,1,W197)+(1-'Lease Cycles'!$BE$19)*(1-INDEX('Lease Cycles'!$FO$19:$FU$19,1,W197)))),0)</f>
        <v>0</v>
      </c>
      <c r="X205" s="24">
        <f>IF(X199=1,'Lease Cycles'!$D$19*IF(INDEX('Lease Cycles'!$EF$19:$EL$19,1,X197)=1,(1-'Lease Cycles'!$AJ$19)*INDEX('Lease Cycles'!$EM$19:$ES$19,1,X197)+(1-'Lease Cycles'!$BE$19)*IF(X198&lt;INDEX('Lease Cycles'!$FA$19:$FG$19,1,X197),0,1-INDEX('Lease Cycles'!$EM$19:$ES$19,1,X197)),IF(OR(INDEX('Lease Cycles'!$DY$19:$EE$19,1,X197)=1,X198&gt;0),1,1-INDEX('Lease Cycles'!$DD$19:$DJ$19,1,X197))*((1-'Lease Cycles'!$AJ$19)*INDEX('Lease Cycles'!$FO$19:$FU$19,1,X197)+(1-'Lease Cycles'!$BE$19)*(1-INDEX('Lease Cycles'!$FO$19:$FU$19,1,X197)))),0)</f>
        <v>0</v>
      </c>
      <c r="Y205" s="24">
        <f>IF(Y199=1,'Lease Cycles'!$D$19*IF(INDEX('Lease Cycles'!$EF$19:$EL$19,1,Y197)=1,(1-'Lease Cycles'!$AJ$19)*INDEX('Lease Cycles'!$EM$19:$ES$19,1,Y197)+(1-'Lease Cycles'!$BE$19)*IF(Y198&lt;INDEX('Lease Cycles'!$FA$19:$FG$19,1,Y197),0,1-INDEX('Lease Cycles'!$EM$19:$ES$19,1,Y197)),IF(OR(INDEX('Lease Cycles'!$DY$19:$EE$19,1,Y197)=1,Y198&gt;0),1,1-INDEX('Lease Cycles'!$DD$19:$DJ$19,1,Y197))*((1-'Lease Cycles'!$AJ$19)*INDEX('Lease Cycles'!$FO$19:$FU$19,1,Y197)+(1-'Lease Cycles'!$BE$19)*(1-INDEX('Lease Cycles'!$FO$19:$FU$19,1,Y197)))),0)</f>
        <v>0</v>
      </c>
      <c r="Z205" s="24">
        <f>IF(Z199=1,'Lease Cycles'!$D$19*IF(INDEX('Lease Cycles'!$EF$19:$EL$19,1,Z197)=1,(1-'Lease Cycles'!$AJ$19)*INDEX('Lease Cycles'!$EM$19:$ES$19,1,Z197)+(1-'Lease Cycles'!$BE$19)*IF(Z198&lt;INDEX('Lease Cycles'!$FA$19:$FG$19,1,Z197),0,1-INDEX('Lease Cycles'!$EM$19:$ES$19,1,Z197)),IF(OR(INDEX('Lease Cycles'!$DY$19:$EE$19,1,Z197)=1,Z198&gt;0),1,1-INDEX('Lease Cycles'!$DD$19:$DJ$19,1,Z197))*((1-'Lease Cycles'!$AJ$19)*INDEX('Lease Cycles'!$FO$19:$FU$19,1,Z197)+(1-'Lease Cycles'!$BE$19)*(1-INDEX('Lease Cycles'!$FO$19:$FU$19,1,Z197)))),0)</f>
        <v>0</v>
      </c>
      <c r="AA205" s="24">
        <f>IF(AA199=1,'Lease Cycles'!$D$19*IF(INDEX('Lease Cycles'!$EF$19:$EL$19,1,AA197)=1,(1-'Lease Cycles'!$AJ$19)*INDEX('Lease Cycles'!$EM$19:$ES$19,1,AA197)+(1-'Lease Cycles'!$BE$19)*IF(AA198&lt;INDEX('Lease Cycles'!$FA$19:$FG$19,1,AA197),0,1-INDEX('Lease Cycles'!$EM$19:$ES$19,1,AA197)),IF(OR(INDEX('Lease Cycles'!$DY$19:$EE$19,1,AA197)=1,AA198&gt;0),1,1-INDEX('Lease Cycles'!$DD$19:$DJ$19,1,AA197))*((1-'Lease Cycles'!$AJ$19)*INDEX('Lease Cycles'!$FO$19:$FU$19,1,AA197)+(1-'Lease Cycles'!$BE$19)*(1-INDEX('Lease Cycles'!$FO$19:$FU$19,1,AA197)))),0)</f>
        <v>0</v>
      </c>
      <c r="AB205" s="24">
        <f>IF(AB199=1,'Lease Cycles'!$D$19*IF(INDEX('Lease Cycles'!$EF$19:$EL$19,1,AB197)=1,(1-'Lease Cycles'!$AJ$19)*INDEX('Lease Cycles'!$EM$19:$ES$19,1,AB197)+(1-'Lease Cycles'!$BE$19)*IF(AB198&lt;INDEX('Lease Cycles'!$FA$19:$FG$19,1,AB197),0,1-INDEX('Lease Cycles'!$EM$19:$ES$19,1,AB197)),IF(OR(INDEX('Lease Cycles'!$DY$19:$EE$19,1,AB197)=1,AB198&gt;0),1,1-INDEX('Lease Cycles'!$DD$19:$DJ$19,1,AB197))*((1-'Lease Cycles'!$AJ$19)*INDEX('Lease Cycles'!$FO$19:$FU$19,1,AB197)+(1-'Lease Cycles'!$BE$19)*(1-INDEX('Lease Cycles'!$FO$19:$FU$19,1,AB197)))),0)</f>
        <v>0</v>
      </c>
      <c r="AC205" s="24">
        <f>IF(AC199=1,'Lease Cycles'!$D$19*IF(INDEX('Lease Cycles'!$EF$19:$EL$19,1,AC197)=1,(1-'Lease Cycles'!$AJ$19)*INDEX('Lease Cycles'!$EM$19:$ES$19,1,AC197)+(1-'Lease Cycles'!$BE$19)*IF(AC198&lt;INDEX('Lease Cycles'!$FA$19:$FG$19,1,AC197),0,1-INDEX('Lease Cycles'!$EM$19:$ES$19,1,AC197)),IF(OR(INDEX('Lease Cycles'!$DY$19:$EE$19,1,AC197)=1,AC198&gt;0),1,1-INDEX('Lease Cycles'!$DD$19:$DJ$19,1,AC197))*((1-'Lease Cycles'!$AJ$19)*INDEX('Lease Cycles'!$FO$19:$FU$19,1,AC197)+(1-'Lease Cycles'!$BE$19)*(1-INDEX('Lease Cycles'!$FO$19:$FU$19,1,AC197)))),0)</f>
        <v>0</v>
      </c>
      <c r="AD205" s="24">
        <f>IF(AD199=1,'Lease Cycles'!$D$19*IF(INDEX('Lease Cycles'!$EF$19:$EL$19,1,AD197)=1,(1-'Lease Cycles'!$AJ$19)*INDEX('Lease Cycles'!$EM$19:$ES$19,1,AD197)+(1-'Lease Cycles'!$BE$19)*IF(AD198&lt;INDEX('Lease Cycles'!$FA$19:$FG$19,1,AD197),0,1-INDEX('Lease Cycles'!$EM$19:$ES$19,1,AD197)),IF(OR(INDEX('Lease Cycles'!$DY$19:$EE$19,1,AD197)=1,AD198&gt;0),1,1-INDEX('Lease Cycles'!$DD$19:$DJ$19,1,AD197))*((1-'Lease Cycles'!$AJ$19)*INDEX('Lease Cycles'!$FO$19:$FU$19,1,AD197)+(1-'Lease Cycles'!$BE$19)*(1-INDEX('Lease Cycles'!$FO$19:$FU$19,1,AD197)))),0)</f>
        <v>0</v>
      </c>
      <c r="AE205" s="24">
        <f>IF(AE199=1,'Lease Cycles'!$D$19*IF(INDEX('Lease Cycles'!$EF$19:$EL$19,1,AE197)=1,(1-'Lease Cycles'!$AJ$19)*INDEX('Lease Cycles'!$EM$19:$ES$19,1,AE197)+(1-'Lease Cycles'!$BE$19)*IF(AE198&lt;INDEX('Lease Cycles'!$FA$19:$FG$19,1,AE197),0,1-INDEX('Lease Cycles'!$EM$19:$ES$19,1,AE197)),IF(OR(INDEX('Lease Cycles'!$DY$19:$EE$19,1,AE197)=1,AE198&gt;0),1,1-INDEX('Lease Cycles'!$DD$19:$DJ$19,1,AE197))*((1-'Lease Cycles'!$AJ$19)*INDEX('Lease Cycles'!$FO$19:$FU$19,1,AE197)+(1-'Lease Cycles'!$BE$19)*(1-INDEX('Lease Cycles'!$FO$19:$FU$19,1,AE197)))),0)</f>
        <v>0</v>
      </c>
      <c r="AF205" s="24">
        <f>IF(AF199=1,'Lease Cycles'!$D$19*IF(INDEX('Lease Cycles'!$EF$19:$EL$19,1,AF197)=1,(1-'Lease Cycles'!$AJ$19)*INDEX('Lease Cycles'!$EM$19:$ES$19,1,AF197)+(1-'Lease Cycles'!$BE$19)*IF(AF198&lt;INDEX('Lease Cycles'!$FA$19:$FG$19,1,AF197),0,1-INDEX('Lease Cycles'!$EM$19:$ES$19,1,AF197)),IF(OR(INDEX('Lease Cycles'!$DY$19:$EE$19,1,AF197)=1,AF198&gt;0),1,1-INDEX('Lease Cycles'!$DD$19:$DJ$19,1,AF197))*((1-'Lease Cycles'!$AJ$19)*INDEX('Lease Cycles'!$FO$19:$FU$19,1,AF197)+(1-'Lease Cycles'!$BE$19)*(1-INDEX('Lease Cycles'!$FO$19:$FU$19,1,AF197)))),0)</f>
        <v>0</v>
      </c>
      <c r="AG205" s="24">
        <f>IF(AG199=1,'Lease Cycles'!$D$19*IF(INDEX('Lease Cycles'!$EF$19:$EL$19,1,AG197)=1,(1-'Lease Cycles'!$AJ$19)*INDEX('Lease Cycles'!$EM$19:$ES$19,1,AG197)+(1-'Lease Cycles'!$BE$19)*IF(AG198&lt;INDEX('Lease Cycles'!$FA$19:$FG$19,1,AG197),0,1-INDEX('Lease Cycles'!$EM$19:$ES$19,1,AG197)),IF(OR(INDEX('Lease Cycles'!$DY$19:$EE$19,1,AG197)=1,AG198&gt;0),1,1-INDEX('Lease Cycles'!$DD$19:$DJ$19,1,AG197))*((1-'Lease Cycles'!$AJ$19)*INDEX('Lease Cycles'!$FO$19:$FU$19,1,AG197)+(1-'Lease Cycles'!$BE$19)*(1-INDEX('Lease Cycles'!$FO$19:$FU$19,1,AG197)))),0)</f>
        <v>0</v>
      </c>
      <c r="AH205" s="24">
        <f>IF(AH199=1,'Lease Cycles'!$D$19*IF(INDEX('Lease Cycles'!$EF$19:$EL$19,1,AH197)=1,(1-'Lease Cycles'!$AJ$19)*INDEX('Lease Cycles'!$EM$19:$ES$19,1,AH197)+(1-'Lease Cycles'!$BE$19)*IF(AH198&lt;INDEX('Lease Cycles'!$FA$19:$FG$19,1,AH197),0,1-INDEX('Lease Cycles'!$EM$19:$ES$19,1,AH197)),IF(OR(INDEX('Lease Cycles'!$DY$19:$EE$19,1,AH197)=1,AH198&gt;0),1,1-INDEX('Lease Cycles'!$DD$19:$DJ$19,1,AH197))*((1-'Lease Cycles'!$AJ$19)*INDEX('Lease Cycles'!$FO$19:$FU$19,1,AH197)+(1-'Lease Cycles'!$BE$19)*(1-INDEX('Lease Cycles'!$FO$19:$FU$19,1,AH197)))),0)</f>
        <v>0</v>
      </c>
      <c r="AI205" s="24">
        <f>IF(AI199=1,'Lease Cycles'!$D$19*IF(INDEX('Lease Cycles'!$EF$19:$EL$19,1,AI197)=1,(1-'Lease Cycles'!$AJ$19)*INDEX('Lease Cycles'!$EM$19:$ES$19,1,AI197)+(1-'Lease Cycles'!$BE$19)*IF(AI198&lt;INDEX('Lease Cycles'!$FA$19:$FG$19,1,AI197),0,1-INDEX('Lease Cycles'!$EM$19:$ES$19,1,AI197)),IF(OR(INDEX('Lease Cycles'!$DY$19:$EE$19,1,AI197)=1,AI198&gt;0),1,1-INDEX('Lease Cycles'!$DD$19:$DJ$19,1,AI197))*((1-'Lease Cycles'!$AJ$19)*INDEX('Lease Cycles'!$FO$19:$FU$19,1,AI197)+(1-'Lease Cycles'!$BE$19)*(1-INDEX('Lease Cycles'!$FO$19:$FU$19,1,AI197)))),0)</f>
        <v>0</v>
      </c>
      <c r="AJ205" s="24">
        <f>IF(AJ199=1,'Lease Cycles'!$D$19*IF(INDEX('Lease Cycles'!$EF$19:$EL$19,1,AJ197)=1,(1-'Lease Cycles'!$AJ$19)*INDEX('Lease Cycles'!$EM$19:$ES$19,1,AJ197)+(1-'Lease Cycles'!$BE$19)*IF(AJ198&lt;INDEX('Lease Cycles'!$FA$19:$FG$19,1,AJ197),0,1-INDEX('Lease Cycles'!$EM$19:$ES$19,1,AJ197)),IF(OR(INDEX('Lease Cycles'!$DY$19:$EE$19,1,AJ197)=1,AJ198&gt;0),1,1-INDEX('Lease Cycles'!$DD$19:$DJ$19,1,AJ197))*((1-'Lease Cycles'!$AJ$19)*INDEX('Lease Cycles'!$FO$19:$FU$19,1,AJ197)+(1-'Lease Cycles'!$BE$19)*(1-INDEX('Lease Cycles'!$FO$19:$FU$19,1,AJ197)))),0)</f>
        <v>0</v>
      </c>
      <c r="AK205" s="24">
        <f>IF(AK199=1,'Lease Cycles'!$D$19*IF(INDEX('Lease Cycles'!$EF$19:$EL$19,1,AK197)=1,(1-'Lease Cycles'!$AJ$19)*INDEX('Lease Cycles'!$EM$19:$ES$19,1,AK197)+(1-'Lease Cycles'!$BE$19)*IF(AK198&lt;INDEX('Lease Cycles'!$FA$19:$FG$19,1,AK197),0,1-INDEX('Lease Cycles'!$EM$19:$ES$19,1,AK197)),IF(OR(INDEX('Lease Cycles'!$DY$19:$EE$19,1,AK197)=1,AK198&gt;0),1,1-INDEX('Lease Cycles'!$DD$19:$DJ$19,1,AK197))*((1-'Lease Cycles'!$AJ$19)*INDEX('Lease Cycles'!$FO$19:$FU$19,1,AK197)+(1-'Lease Cycles'!$BE$19)*(1-INDEX('Lease Cycles'!$FO$19:$FU$19,1,AK197)))),0)</f>
        <v>0</v>
      </c>
      <c r="AL205" s="24">
        <f>IF(AL199=1,'Lease Cycles'!$D$19*IF(INDEX('Lease Cycles'!$EF$19:$EL$19,1,AL197)=1,(1-'Lease Cycles'!$AJ$19)*INDEX('Lease Cycles'!$EM$19:$ES$19,1,AL197)+(1-'Lease Cycles'!$BE$19)*IF(AL198&lt;INDEX('Lease Cycles'!$FA$19:$FG$19,1,AL197),0,1-INDEX('Lease Cycles'!$EM$19:$ES$19,1,AL197)),IF(OR(INDEX('Lease Cycles'!$DY$19:$EE$19,1,AL197)=1,AL198&gt;0),1,1-INDEX('Lease Cycles'!$DD$19:$DJ$19,1,AL197))*((1-'Lease Cycles'!$AJ$19)*INDEX('Lease Cycles'!$FO$19:$FU$19,1,AL197)+(1-'Lease Cycles'!$BE$19)*(1-INDEX('Lease Cycles'!$FO$19:$FU$19,1,AL197)))),0)</f>
        <v>0</v>
      </c>
      <c r="AM205" s="24">
        <f>IF(AM199=1,'Lease Cycles'!$D$19*IF(INDEX('Lease Cycles'!$EF$19:$EL$19,1,AM197)=1,(1-'Lease Cycles'!$AJ$19)*INDEX('Lease Cycles'!$EM$19:$ES$19,1,AM197)+(1-'Lease Cycles'!$BE$19)*IF(AM198&lt;INDEX('Lease Cycles'!$FA$19:$FG$19,1,AM197),0,1-INDEX('Lease Cycles'!$EM$19:$ES$19,1,AM197)),IF(OR(INDEX('Lease Cycles'!$DY$19:$EE$19,1,AM197)=1,AM198&gt;0),1,1-INDEX('Lease Cycles'!$DD$19:$DJ$19,1,AM197))*((1-'Lease Cycles'!$AJ$19)*INDEX('Lease Cycles'!$FO$19:$FU$19,1,AM197)+(1-'Lease Cycles'!$BE$19)*(1-INDEX('Lease Cycles'!$FO$19:$FU$19,1,AM197)))),0)</f>
        <v>0</v>
      </c>
      <c r="AN205" s="24">
        <f>IF(AN199=1,'Lease Cycles'!$D$19*IF(INDEX('Lease Cycles'!$EF$19:$EL$19,1,AN197)=1,(1-'Lease Cycles'!$AJ$19)*INDEX('Lease Cycles'!$EM$19:$ES$19,1,AN197)+(1-'Lease Cycles'!$BE$19)*IF(AN198&lt;INDEX('Lease Cycles'!$FA$19:$FG$19,1,AN197),0,1-INDEX('Lease Cycles'!$EM$19:$ES$19,1,AN197)),IF(OR(INDEX('Lease Cycles'!$DY$19:$EE$19,1,AN197)=1,AN198&gt;0),1,1-INDEX('Lease Cycles'!$DD$19:$DJ$19,1,AN197))*((1-'Lease Cycles'!$AJ$19)*INDEX('Lease Cycles'!$FO$19:$FU$19,1,AN197)+(1-'Lease Cycles'!$BE$19)*(1-INDEX('Lease Cycles'!$FO$19:$FU$19,1,AN197)))),0)</f>
        <v>0</v>
      </c>
      <c r="AO205" s="24">
        <f>IF(AO199=1,'Lease Cycles'!$D$19*IF(INDEX('Lease Cycles'!$EF$19:$EL$19,1,AO197)=1,(1-'Lease Cycles'!$AJ$19)*INDEX('Lease Cycles'!$EM$19:$ES$19,1,AO197)+(1-'Lease Cycles'!$BE$19)*IF(AO198&lt;INDEX('Lease Cycles'!$FA$19:$FG$19,1,AO197),0,1-INDEX('Lease Cycles'!$EM$19:$ES$19,1,AO197)),IF(OR(INDEX('Lease Cycles'!$DY$19:$EE$19,1,AO197)=1,AO198&gt;0),1,1-INDEX('Lease Cycles'!$DD$19:$DJ$19,1,AO197))*((1-'Lease Cycles'!$AJ$19)*INDEX('Lease Cycles'!$FO$19:$FU$19,1,AO197)+(1-'Lease Cycles'!$BE$19)*(1-INDEX('Lease Cycles'!$FO$19:$FU$19,1,AO197)))),0)</f>
        <v>0</v>
      </c>
      <c r="AP205" s="24">
        <f>IF(AP199=1,'Lease Cycles'!$D$19*IF(INDEX('Lease Cycles'!$EF$19:$EL$19,1,AP197)=1,(1-'Lease Cycles'!$AJ$19)*INDEX('Lease Cycles'!$EM$19:$ES$19,1,AP197)+(1-'Lease Cycles'!$BE$19)*IF(AP198&lt;INDEX('Lease Cycles'!$FA$19:$FG$19,1,AP197),0,1-INDEX('Lease Cycles'!$EM$19:$ES$19,1,AP197)),IF(OR(INDEX('Lease Cycles'!$DY$19:$EE$19,1,AP197)=1,AP198&gt;0),1,1-INDEX('Lease Cycles'!$DD$19:$DJ$19,1,AP197))*((1-'Lease Cycles'!$AJ$19)*INDEX('Lease Cycles'!$FO$19:$FU$19,1,AP197)+(1-'Lease Cycles'!$BE$19)*(1-INDEX('Lease Cycles'!$FO$19:$FU$19,1,AP197)))),0)</f>
        <v>0</v>
      </c>
      <c r="AQ205" s="24">
        <f>IF(AQ199=1,'Lease Cycles'!$D$19*IF(INDEX('Lease Cycles'!$EF$19:$EL$19,1,AQ197)=1,(1-'Lease Cycles'!$AJ$19)*INDEX('Lease Cycles'!$EM$19:$ES$19,1,AQ197)+(1-'Lease Cycles'!$BE$19)*IF(AQ198&lt;INDEX('Lease Cycles'!$FA$19:$FG$19,1,AQ197),0,1-INDEX('Lease Cycles'!$EM$19:$ES$19,1,AQ197)),IF(OR(INDEX('Lease Cycles'!$DY$19:$EE$19,1,AQ197)=1,AQ198&gt;0),1,1-INDEX('Lease Cycles'!$DD$19:$DJ$19,1,AQ197))*((1-'Lease Cycles'!$AJ$19)*INDEX('Lease Cycles'!$FO$19:$FU$19,1,AQ197)+(1-'Lease Cycles'!$BE$19)*(1-INDEX('Lease Cycles'!$FO$19:$FU$19,1,AQ197)))),0)</f>
        <v>0</v>
      </c>
      <c r="AR205" s="24">
        <f>IF(AR199=1,'Lease Cycles'!$D$19*IF(INDEX('Lease Cycles'!$EF$19:$EL$19,1,AR197)=1,(1-'Lease Cycles'!$AJ$19)*INDEX('Lease Cycles'!$EM$19:$ES$19,1,AR197)+(1-'Lease Cycles'!$BE$19)*IF(AR198&lt;INDEX('Lease Cycles'!$FA$19:$FG$19,1,AR197),0,1-INDEX('Lease Cycles'!$EM$19:$ES$19,1,AR197)),IF(OR(INDEX('Lease Cycles'!$DY$19:$EE$19,1,AR197)=1,AR198&gt;0),1,1-INDEX('Lease Cycles'!$DD$19:$DJ$19,1,AR197))*((1-'Lease Cycles'!$AJ$19)*INDEX('Lease Cycles'!$FO$19:$FU$19,1,AR197)+(1-'Lease Cycles'!$BE$19)*(1-INDEX('Lease Cycles'!$FO$19:$FU$19,1,AR197)))),0)</f>
        <v>0</v>
      </c>
      <c r="AS205" s="24">
        <f>IF(AS199=1,'Lease Cycles'!$D$19*IF(INDEX('Lease Cycles'!$EF$19:$EL$19,1,AS197)=1,(1-'Lease Cycles'!$AJ$19)*INDEX('Lease Cycles'!$EM$19:$ES$19,1,AS197)+(1-'Lease Cycles'!$BE$19)*IF(AS198&lt;INDEX('Lease Cycles'!$FA$19:$FG$19,1,AS197),0,1-INDEX('Lease Cycles'!$EM$19:$ES$19,1,AS197)),IF(OR(INDEX('Lease Cycles'!$DY$19:$EE$19,1,AS197)=1,AS198&gt;0),1,1-INDEX('Lease Cycles'!$DD$19:$DJ$19,1,AS197))*((1-'Lease Cycles'!$AJ$19)*INDEX('Lease Cycles'!$FO$19:$FU$19,1,AS197)+(1-'Lease Cycles'!$BE$19)*(1-INDEX('Lease Cycles'!$FO$19:$FU$19,1,AS197)))),0)</f>
        <v>0</v>
      </c>
      <c r="AT205" s="24">
        <f>IF(AT199=1,'Lease Cycles'!$D$19*IF(INDEX('Lease Cycles'!$EF$19:$EL$19,1,AT197)=1,(1-'Lease Cycles'!$AJ$19)*INDEX('Lease Cycles'!$EM$19:$ES$19,1,AT197)+(1-'Lease Cycles'!$BE$19)*IF(AT198&lt;INDEX('Lease Cycles'!$FA$19:$FG$19,1,AT197),0,1-INDEX('Lease Cycles'!$EM$19:$ES$19,1,AT197)),IF(OR(INDEX('Lease Cycles'!$DY$19:$EE$19,1,AT197)=1,AT198&gt;0),1,1-INDEX('Lease Cycles'!$DD$19:$DJ$19,1,AT197))*((1-'Lease Cycles'!$AJ$19)*INDEX('Lease Cycles'!$FO$19:$FU$19,1,AT197)+(1-'Lease Cycles'!$BE$19)*(1-INDEX('Lease Cycles'!$FO$19:$FU$19,1,AT197)))),0)</f>
        <v>0</v>
      </c>
      <c r="AU205" s="24">
        <f>IF(AU199=1,'Lease Cycles'!$D$19*IF(INDEX('Lease Cycles'!$EF$19:$EL$19,1,AU197)=1,(1-'Lease Cycles'!$AJ$19)*INDEX('Lease Cycles'!$EM$19:$ES$19,1,AU197)+(1-'Lease Cycles'!$BE$19)*IF(AU198&lt;INDEX('Lease Cycles'!$FA$19:$FG$19,1,AU197),0,1-INDEX('Lease Cycles'!$EM$19:$ES$19,1,AU197)),IF(OR(INDEX('Lease Cycles'!$DY$19:$EE$19,1,AU197)=1,AU198&gt;0),1,1-INDEX('Lease Cycles'!$DD$19:$DJ$19,1,AU197))*((1-'Lease Cycles'!$AJ$19)*INDEX('Lease Cycles'!$FO$19:$FU$19,1,AU197)+(1-'Lease Cycles'!$BE$19)*(1-INDEX('Lease Cycles'!$FO$19:$FU$19,1,AU197)))),0)</f>
        <v>0</v>
      </c>
      <c r="AV205" s="24">
        <f>IF(AV199=1,'Lease Cycles'!$D$19*IF(INDEX('Lease Cycles'!$EF$19:$EL$19,1,AV197)=1,(1-'Lease Cycles'!$AJ$19)*INDEX('Lease Cycles'!$EM$19:$ES$19,1,AV197)+(1-'Lease Cycles'!$BE$19)*IF(AV198&lt;INDEX('Lease Cycles'!$FA$19:$FG$19,1,AV197),0,1-INDEX('Lease Cycles'!$EM$19:$ES$19,1,AV197)),IF(OR(INDEX('Lease Cycles'!$DY$19:$EE$19,1,AV197)=1,AV198&gt;0),1,1-INDEX('Lease Cycles'!$DD$19:$DJ$19,1,AV197))*((1-'Lease Cycles'!$AJ$19)*INDEX('Lease Cycles'!$FO$19:$FU$19,1,AV197)+(1-'Lease Cycles'!$BE$19)*(1-INDEX('Lease Cycles'!$FO$19:$FU$19,1,AV197)))),0)</f>
        <v>0</v>
      </c>
      <c r="AW205" s="24">
        <f>IF(AW199=1,'Lease Cycles'!$D$19*IF(INDEX('Lease Cycles'!$EF$19:$EL$19,1,AW197)=1,(1-'Lease Cycles'!$AJ$19)*INDEX('Lease Cycles'!$EM$19:$ES$19,1,AW197)+(1-'Lease Cycles'!$BE$19)*IF(AW198&lt;INDEX('Lease Cycles'!$FA$19:$FG$19,1,AW197),0,1-INDEX('Lease Cycles'!$EM$19:$ES$19,1,AW197)),IF(OR(INDEX('Lease Cycles'!$DY$19:$EE$19,1,AW197)=1,AW198&gt;0),1,1-INDEX('Lease Cycles'!$DD$19:$DJ$19,1,AW197))*((1-'Lease Cycles'!$AJ$19)*INDEX('Lease Cycles'!$FO$19:$FU$19,1,AW197)+(1-'Lease Cycles'!$BE$19)*(1-INDEX('Lease Cycles'!$FO$19:$FU$19,1,AW197)))),0)</f>
        <v>0</v>
      </c>
      <c r="AX205" s="24">
        <f>IF(AX199=1,'Lease Cycles'!$D$19*IF(INDEX('Lease Cycles'!$EF$19:$EL$19,1,AX197)=1,(1-'Lease Cycles'!$AJ$19)*INDEX('Lease Cycles'!$EM$19:$ES$19,1,AX197)+(1-'Lease Cycles'!$BE$19)*IF(AX198&lt;INDEX('Lease Cycles'!$FA$19:$FG$19,1,AX197),0,1-INDEX('Lease Cycles'!$EM$19:$ES$19,1,AX197)),IF(OR(INDEX('Lease Cycles'!$DY$19:$EE$19,1,AX197)=1,AX198&gt;0),1,1-INDEX('Lease Cycles'!$DD$19:$DJ$19,1,AX197))*((1-'Lease Cycles'!$AJ$19)*INDEX('Lease Cycles'!$FO$19:$FU$19,1,AX197)+(1-'Lease Cycles'!$BE$19)*(1-INDEX('Lease Cycles'!$FO$19:$FU$19,1,AX197)))),0)</f>
        <v>0</v>
      </c>
      <c r="AY205" s="24">
        <f>IF(AY199=1,'Lease Cycles'!$D$19*IF(INDEX('Lease Cycles'!$EF$19:$EL$19,1,AY197)=1,(1-'Lease Cycles'!$AJ$19)*INDEX('Lease Cycles'!$EM$19:$ES$19,1,AY197)+(1-'Lease Cycles'!$BE$19)*IF(AY198&lt;INDEX('Lease Cycles'!$FA$19:$FG$19,1,AY197),0,1-INDEX('Lease Cycles'!$EM$19:$ES$19,1,AY197)),IF(OR(INDEX('Lease Cycles'!$DY$19:$EE$19,1,AY197)=1,AY198&gt;0),1,1-INDEX('Lease Cycles'!$DD$19:$DJ$19,1,AY197))*((1-'Lease Cycles'!$AJ$19)*INDEX('Lease Cycles'!$FO$19:$FU$19,1,AY197)+(1-'Lease Cycles'!$BE$19)*(1-INDEX('Lease Cycles'!$FO$19:$FU$19,1,AY197)))),0)</f>
        <v>0</v>
      </c>
      <c r="AZ205" s="24">
        <f>IF(AZ199=1,'Lease Cycles'!$D$19*IF(INDEX('Lease Cycles'!$EF$19:$EL$19,1,AZ197)=1,(1-'Lease Cycles'!$AJ$19)*INDEX('Lease Cycles'!$EM$19:$ES$19,1,AZ197)+(1-'Lease Cycles'!$BE$19)*IF(AZ198&lt;INDEX('Lease Cycles'!$FA$19:$FG$19,1,AZ197),0,1-INDEX('Lease Cycles'!$EM$19:$ES$19,1,AZ197)),IF(OR(INDEX('Lease Cycles'!$DY$19:$EE$19,1,AZ197)=1,AZ198&gt;0),1,1-INDEX('Lease Cycles'!$DD$19:$DJ$19,1,AZ197))*((1-'Lease Cycles'!$AJ$19)*INDEX('Lease Cycles'!$FO$19:$FU$19,1,AZ197)+(1-'Lease Cycles'!$BE$19)*(1-INDEX('Lease Cycles'!$FO$19:$FU$19,1,AZ197)))),0)</f>
        <v>0</v>
      </c>
      <c r="BA205" s="24">
        <f>IF(BA199=1,'Lease Cycles'!$D$19*IF(INDEX('Lease Cycles'!$EF$19:$EL$19,1,BA197)=1,(1-'Lease Cycles'!$AJ$19)*INDEX('Lease Cycles'!$EM$19:$ES$19,1,BA197)+(1-'Lease Cycles'!$BE$19)*IF(BA198&lt;INDEX('Lease Cycles'!$FA$19:$FG$19,1,BA197),0,1-INDEX('Lease Cycles'!$EM$19:$ES$19,1,BA197)),IF(OR(INDEX('Lease Cycles'!$DY$19:$EE$19,1,BA197)=1,BA198&gt;0),1,1-INDEX('Lease Cycles'!$DD$19:$DJ$19,1,BA197))*((1-'Lease Cycles'!$AJ$19)*INDEX('Lease Cycles'!$FO$19:$FU$19,1,BA197)+(1-'Lease Cycles'!$BE$19)*(1-INDEX('Lease Cycles'!$FO$19:$FU$19,1,BA197)))),0)</f>
        <v>0</v>
      </c>
      <c r="BB205" s="24">
        <f>IF(BB199=1,'Lease Cycles'!$D$19*IF(INDEX('Lease Cycles'!$EF$19:$EL$19,1,BB197)=1,(1-'Lease Cycles'!$AJ$19)*INDEX('Lease Cycles'!$EM$19:$ES$19,1,BB197)+(1-'Lease Cycles'!$BE$19)*IF(BB198&lt;INDEX('Lease Cycles'!$FA$19:$FG$19,1,BB197),0,1-INDEX('Lease Cycles'!$EM$19:$ES$19,1,BB197)),IF(OR(INDEX('Lease Cycles'!$DY$19:$EE$19,1,BB197)=1,BB198&gt;0),1,1-INDEX('Lease Cycles'!$DD$19:$DJ$19,1,BB197))*((1-'Lease Cycles'!$AJ$19)*INDEX('Lease Cycles'!$FO$19:$FU$19,1,BB197)+(1-'Lease Cycles'!$BE$19)*(1-INDEX('Lease Cycles'!$FO$19:$FU$19,1,BB197)))),0)</f>
        <v>0</v>
      </c>
      <c r="BC205" s="24">
        <f>IF(BC199=1,'Lease Cycles'!$D$19*IF(INDEX('Lease Cycles'!$EF$19:$EL$19,1,BC197)=1,(1-'Lease Cycles'!$AJ$19)*INDEX('Lease Cycles'!$EM$19:$ES$19,1,BC197)+(1-'Lease Cycles'!$BE$19)*IF(BC198&lt;INDEX('Lease Cycles'!$FA$19:$FG$19,1,BC197),0,1-INDEX('Lease Cycles'!$EM$19:$ES$19,1,BC197)),IF(OR(INDEX('Lease Cycles'!$DY$19:$EE$19,1,BC197)=1,BC198&gt;0),1,1-INDEX('Lease Cycles'!$DD$19:$DJ$19,1,BC197))*((1-'Lease Cycles'!$AJ$19)*INDEX('Lease Cycles'!$FO$19:$FU$19,1,BC197)+(1-'Lease Cycles'!$BE$19)*(1-INDEX('Lease Cycles'!$FO$19:$FU$19,1,BC197)))),0)</f>
        <v>0</v>
      </c>
      <c r="BD205" s="24">
        <f>IF(BD199=1,'Lease Cycles'!$D$19*IF(INDEX('Lease Cycles'!$EF$19:$EL$19,1,BD197)=1,(1-'Lease Cycles'!$AJ$19)*INDEX('Lease Cycles'!$EM$19:$ES$19,1,BD197)+(1-'Lease Cycles'!$BE$19)*IF(BD198&lt;INDEX('Lease Cycles'!$FA$19:$FG$19,1,BD197),0,1-INDEX('Lease Cycles'!$EM$19:$ES$19,1,BD197)),IF(OR(INDEX('Lease Cycles'!$DY$19:$EE$19,1,BD197)=1,BD198&gt;0),1,1-INDEX('Lease Cycles'!$DD$19:$DJ$19,1,BD197))*((1-'Lease Cycles'!$AJ$19)*INDEX('Lease Cycles'!$FO$19:$FU$19,1,BD197)+(1-'Lease Cycles'!$BE$19)*(1-INDEX('Lease Cycles'!$FO$19:$FU$19,1,BD197)))),0)</f>
        <v>0</v>
      </c>
      <c r="BE205" s="24">
        <f>IF(BE199=1,'Lease Cycles'!$D$19*IF(INDEX('Lease Cycles'!$EF$19:$EL$19,1,BE197)=1,(1-'Lease Cycles'!$AJ$19)*INDEX('Lease Cycles'!$EM$19:$ES$19,1,BE197)+(1-'Lease Cycles'!$BE$19)*IF(BE198&lt;INDEX('Lease Cycles'!$FA$19:$FG$19,1,BE197),0,1-INDEX('Lease Cycles'!$EM$19:$ES$19,1,BE197)),IF(OR(INDEX('Lease Cycles'!$DY$19:$EE$19,1,BE197)=1,BE198&gt;0),1,1-INDEX('Lease Cycles'!$DD$19:$DJ$19,1,BE197))*((1-'Lease Cycles'!$AJ$19)*INDEX('Lease Cycles'!$FO$19:$FU$19,1,BE197)+(1-'Lease Cycles'!$BE$19)*(1-INDEX('Lease Cycles'!$FO$19:$FU$19,1,BE197)))),0)</f>
        <v>0</v>
      </c>
      <c r="BF205" s="24">
        <f>IF(BF199=1,'Lease Cycles'!$D$19*IF(INDEX('Lease Cycles'!$EF$19:$EL$19,1,BF197)=1,(1-'Lease Cycles'!$AJ$19)*INDEX('Lease Cycles'!$EM$19:$ES$19,1,BF197)+(1-'Lease Cycles'!$BE$19)*IF(BF198&lt;INDEX('Lease Cycles'!$FA$19:$FG$19,1,BF197),0,1-INDEX('Lease Cycles'!$EM$19:$ES$19,1,BF197)),IF(OR(INDEX('Lease Cycles'!$DY$19:$EE$19,1,BF197)=1,BF198&gt;0),1,1-INDEX('Lease Cycles'!$DD$19:$DJ$19,1,BF197))*((1-'Lease Cycles'!$AJ$19)*INDEX('Lease Cycles'!$FO$19:$FU$19,1,BF197)+(1-'Lease Cycles'!$BE$19)*(1-INDEX('Lease Cycles'!$FO$19:$FU$19,1,BF197)))),0)</f>
        <v>0</v>
      </c>
      <c r="BG205" s="24">
        <f>IF(BG199=1,'Lease Cycles'!$D$19*IF(INDEX('Lease Cycles'!$EF$19:$EL$19,1,BG197)=1,(1-'Lease Cycles'!$AJ$19)*INDEX('Lease Cycles'!$EM$19:$ES$19,1,BG197)+(1-'Lease Cycles'!$BE$19)*IF(BG198&lt;INDEX('Lease Cycles'!$FA$19:$FG$19,1,BG197),0,1-INDEX('Lease Cycles'!$EM$19:$ES$19,1,BG197)),IF(OR(INDEX('Lease Cycles'!$DY$19:$EE$19,1,BG197)=1,BG198&gt;0),1,1-INDEX('Lease Cycles'!$DD$19:$DJ$19,1,BG197))*((1-'Lease Cycles'!$AJ$19)*INDEX('Lease Cycles'!$FO$19:$FU$19,1,BG197)+(1-'Lease Cycles'!$BE$19)*(1-INDEX('Lease Cycles'!$FO$19:$FU$19,1,BG197)))),0)</f>
        <v>0</v>
      </c>
      <c r="BH205" s="24">
        <f>IF(BH199=1,'Lease Cycles'!$D$19*IF(INDEX('Lease Cycles'!$EF$19:$EL$19,1,BH197)=1,(1-'Lease Cycles'!$AJ$19)*INDEX('Lease Cycles'!$EM$19:$ES$19,1,BH197)+(1-'Lease Cycles'!$BE$19)*IF(BH198&lt;INDEX('Lease Cycles'!$FA$19:$FG$19,1,BH197),0,1-INDEX('Lease Cycles'!$EM$19:$ES$19,1,BH197)),IF(OR(INDEX('Lease Cycles'!$DY$19:$EE$19,1,BH197)=1,BH198&gt;0),1,1-INDEX('Lease Cycles'!$DD$19:$DJ$19,1,BH197))*((1-'Lease Cycles'!$AJ$19)*INDEX('Lease Cycles'!$FO$19:$FU$19,1,BH197)+(1-'Lease Cycles'!$BE$19)*(1-INDEX('Lease Cycles'!$FO$19:$FU$19,1,BH197)))),0)</f>
        <v>0</v>
      </c>
      <c r="BI205" s="24">
        <f>IF(BI199=1,'Lease Cycles'!$D$19*IF(INDEX('Lease Cycles'!$EF$19:$EL$19,1,BI197)=1,(1-'Lease Cycles'!$AJ$19)*INDEX('Lease Cycles'!$EM$19:$ES$19,1,BI197)+(1-'Lease Cycles'!$BE$19)*IF(BI198&lt;INDEX('Lease Cycles'!$FA$19:$FG$19,1,BI197),0,1-INDEX('Lease Cycles'!$EM$19:$ES$19,1,BI197)),IF(OR(INDEX('Lease Cycles'!$DY$19:$EE$19,1,BI197)=1,BI198&gt;0),1,1-INDEX('Lease Cycles'!$DD$19:$DJ$19,1,BI197))*((1-'Lease Cycles'!$AJ$19)*INDEX('Lease Cycles'!$FO$19:$FU$19,1,BI197)+(1-'Lease Cycles'!$BE$19)*(1-INDEX('Lease Cycles'!$FO$19:$FU$19,1,BI197)))),0)</f>
        <v>0</v>
      </c>
      <c r="BJ205" s="24">
        <f>IF(BJ199=1,'Lease Cycles'!$D$19*IF(INDEX('Lease Cycles'!$EF$19:$EL$19,1,BJ197)=1,(1-'Lease Cycles'!$AJ$19)*INDEX('Lease Cycles'!$EM$19:$ES$19,1,BJ197)+(1-'Lease Cycles'!$BE$19)*IF(BJ198&lt;INDEX('Lease Cycles'!$FA$19:$FG$19,1,BJ197),0,1-INDEX('Lease Cycles'!$EM$19:$ES$19,1,BJ197)),IF(OR(INDEX('Lease Cycles'!$DY$19:$EE$19,1,BJ197)=1,BJ198&gt;0),1,1-INDEX('Lease Cycles'!$DD$19:$DJ$19,1,BJ197))*((1-'Lease Cycles'!$AJ$19)*INDEX('Lease Cycles'!$FO$19:$FU$19,1,BJ197)+(1-'Lease Cycles'!$BE$19)*(1-INDEX('Lease Cycles'!$FO$19:$FU$19,1,BJ197)))),0)</f>
        <v>0</v>
      </c>
      <c r="BK205" s="24">
        <f>IF(BK199=1,'Lease Cycles'!$D$19*IF(INDEX('Lease Cycles'!$EF$19:$EL$19,1,BK197)=1,(1-'Lease Cycles'!$AJ$19)*INDEX('Lease Cycles'!$EM$19:$ES$19,1,BK197)+(1-'Lease Cycles'!$BE$19)*IF(BK198&lt;INDEX('Lease Cycles'!$FA$19:$FG$19,1,BK197),0,1-INDEX('Lease Cycles'!$EM$19:$ES$19,1,BK197)),IF(OR(INDEX('Lease Cycles'!$DY$19:$EE$19,1,BK197)=1,BK198&gt;0),1,1-INDEX('Lease Cycles'!$DD$19:$DJ$19,1,BK197))*((1-'Lease Cycles'!$AJ$19)*INDEX('Lease Cycles'!$FO$19:$FU$19,1,BK197)+(1-'Lease Cycles'!$BE$19)*(1-INDEX('Lease Cycles'!$FO$19:$FU$19,1,BK197)))),0)</f>
        <v>0</v>
      </c>
      <c r="BL205" s="24">
        <f>IF(BL199=1,'Lease Cycles'!$D$19*IF(INDEX('Lease Cycles'!$EF$19:$EL$19,1,BL197)=1,(1-'Lease Cycles'!$AJ$19)*INDEX('Lease Cycles'!$EM$19:$ES$19,1,BL197)+(1-'Lease Cycles'!$BE$19)*IF(BL198&lt;INDEX('Lease Cycles'!$FA$19:$FG$19,1,BL197),0,1-INDEX('Lease Cycles'!$EM$19:$ES$19,1,BL197)),IF(OR(INDEX('Lease Cycles'!$DY$19:$EE$19,1,BL197)=1,BL198&gt;0),1,1-INDEX('Lease Cycles'!$DD$19:$DJ$19,1,BL197))*((1-'Lease Cycles'!$AJ$19)*INDEX('Lease Cycles'!$FO$19:$FU$19,1,BL197)+(1-'Lease Cycles'!$BE$19)*(1-INDEX('Lease Cycles'!$FO$19:$FU$19,1,BL197)))),0)</f>
        <v>0</v>
      </c>
      <c r="BM205" s="24">
        <f>IF(BM199=1,'Lease Cycles'!$D$19*IF(INDEX('Lease Cycles'!$EF$19:$EL$19,1,BM197)=1,(1-'Lease Cycles'!$AJ$19)*INDEX('Lease Cycles'!$EM$19:$ES$19,1,BM197)+(1-'Lease Cycles'!$BE$19)*IF(BM198&lt;INDEX('Lease Cycles'!$FA$19:$FG$19,1,BM197),0,1-INDEX('Lease Cycles'!$EM$19:$ES$19,1,BM197)),IF(OR(INDEX('Lease Cycles'!$DY$19:$EE$19,1,BM197)=1,BM198&gt;0),1,1-INDEX('Lease Cycles'!$DD$19:$DJ$19,1,BM197))*((1-'Lease Cycles'!$AJ$19)*INDEX('Lease Cycles'!$FO$19:$FU$19,1,BM197)+(1-'Lease Cycles'!$BE$19)*(1-INDEX('Lease Cycles'!$FO$19:$FU$19,1,BM197)))),0)</f>
        <v>0</v>
      </c>
      <c r="BN205" s="24">
        <f>IF(BN199=1,'Lease Cycles'!$D$19*IF(INDEX('Lease Cycles'!$EF$19:$EL$19,1,BN197)=1,(1-'Lease Cycles'!$AJ$19)*INDEX('Lease Cycles'!$EM$19:$ES$19,1,BN197)+(1-'Lease Cycles'!$BE$19)*IF(BN198&lt;INDEX('Lease Cycles'!$FA$19:$FG$19,1,BN197),0,1-INDEX('Lease Cycles'!$EM$19:$ES$19,1,BN197)),IF(OR(INDEX('Lease Cycles'!$DY$19:$EE$19,1,BN197)=1,BN198&gt;0),1,1-INDEX('Lease Cycles'!$DD$19:$DJ$19,1,BN197))*((1-'Lease Cycles'!$AJ$19)*INDEX('Lease Cycles'!$FO$19:$FU$19,1,BN197)+(1-'Lease Cycles'!$BE$19)*(1-INDEX('Lease Cycles'!$FO$19:$FU$19,1,BN197)))),0)</f>
        <v>0</v>
      </c>
      <c r="BO205" s="24">
        <f>IF(BO199=1,'Lease Cycles'!$D$19*IF(INDEX('Lease Cycles'!$EF$19:$EL$19,1,BO197)=1,(1-'Lease Cycles'!$AJ$19)*INDEX('Lease Cycles'!$EM$19:$ES$19,1,BO197)+(1-'Lease Cycles'!$BE$19)*IF(BO198&lt;INDEX('Lease Cycles'!$FA$19:$FG$19,1,BO197),0,1-INDEX('Lease Cycles'!$EM$19:$ES$19,1,BO197)),IF(OR(INDEX('Lease Cycles'!$DY$19:$EE$19,1,BO197)=1,BO198&gt;0),1,1-INDEX('Lease Cycles'!$DD$19:$DJ$19,1,BO197))*((1-'Lease Cycles'!$AJ$19)*INDEX('Lease Cycles'!$FO$19:$FU$19,1,BO197)+(1-'Lease Cycles'!$BE$19)*(1-INDEX('Lease Cycles'!$FO$19:$FU$19,1,BO197)))),0)</f>
        <v>0</v>
      </c>
      <c r="BP205" s="24">
        <f>IF(BP199=1,'Lease Cycles'!$D$19*IF(INDEX('Lease Cycles'!$EF$19:$EL$19,1,BP197)=1,(1-'Lease Cycles'!$AJ$19)*INDEX('Lease Cycles'!$EM$19:$ES$19,1,BP197)+(1-'Lease Cycles'!$BE$19)*IF(BP198&lt;INDEX('Lease Cycles'!$FA$19:$FG$19,1,BP197),0,1-INDEX('Lease Cycles'!$EM$19:$ES$19,1,BP197)),IF(OR(INDEX('Lease Cycles'!$DY$19:$EE$19,1,BP197)=1,BP198&gt;0),1,1-INDEX('Lease Cycles'!$DD$19:$DJ$19,1,BP197))*((1-'Lease Cycles'!$AJ$19)*INDEX('Lease Cycles'!$FO$19:$FU$19,1,BP197)+(1-'Lease Cycles'!$BE$19)*(1-INDEX('Lease Cycles'!$FO$19:$FU$19,1,BP197)))),0)</f>
        <v>0</v>
      </c>
      <c r="BQ205" s="24">
        <f>IF(BQ199=1,'Lease Cycles'!$D$19*IF(INDEX('Lease Cycles'!$EF$19:$EL$19,1,BQ197)=1,(1-'Lease Cycles'!$AJ$19)*INDEX('Lease Cycles'!$EM$19:$ES$19,1,BQ197)+(1-'Lease Cycles'!$BE$19)*IF(BQ198&lt;INDEX('Lease Cycles'!$FA$19:$FG$19,1,BQ197),0,1-INDEX('Lease Cycles'!$EM$19:$ES$19,1,BQ197)),IF(OR(INDEX('Lease Cycles'!$DY$19:$EE$19,1,BQ197)=1,BQ198&gt;0),1,1-INDEX('Lease Cycles'!$DD$19:$DJ$19,1,BQ197))*((1-'Lease Cycles'!$AJ$19)*INDEX('Lease Cycles'!$FO$19:$FU$19,1,BQ197)+(1-'Lease Cycles'!$BE$19)*(1-INDEX('Lease Cycles'!$FO$19:$FU$19,1,BQ197)))),0)</f>
        <v>0</v>
      </c>
      <c r="BR205" s="24">
        <f>IF(BR199=1,'Lease Cycles'!$D$19*IF(INDEX('Lease Cycles'!$EF$19:$EL$19,1,BR197)=1,(1-'Lease Cycles'!$AJ$19)*INDEX('Lease Cycles'!$EM$19:$ES$19,1,BR197)+(1-'Lease Cycles'!$BE$19)*IF(BR198&lt;INDEX('Lease Cycles'!$FA$19:$FG$19,1,BR197),0,1-INDEX('Lease Cycles'!$EM$19:$ES$19,1,BR197)),IF(OR(INDEX('Lease Cycles'!$DY$19:$EE$19,1,BR197)=1,BR198&gt;0),1,1-INDEX('Lease Cycles'!$DD$19:$DJ$19,1,BR197))*((1-'Lease Cycles'!$AJ$19)*INDEX('Lease Cycles'!$FO$19:$FU$19,1,BR197)+(1-'Lease Cycles'!$BE$19)*(1-INDEX('Lease Cycles'!$FO$19:$FU$19,1,BR197)))),0)</f>
        <v>0</v>
      </c>
      <c r="BS205" s="24">
        <f>IF(BS199=1,'Lease Cycles'!$D$19*IF(INDEX('Lease Cycles'!$EF$19:$EL$19,1,BS197)=1,(1-'Lease Cycles'!$AJ$19)*INDEX('Lease Cycles'!$EM$19:$ES$19,1,BS197)+(1-'Lease Cycles'!$BE$19)*IF(BS198&lt;INDEX('Lease Cycles'!$FA$19:$FG$19,1,BS197),0,1-INDEX('Lease Cycles'!$EM$19:$ES$19,1,BS197)),IF(OR(INDEX('Lease Cycles'!$DY$19:$EE$19,1,BS197)=1,BS198&gt;0),1,1-INDEX('Lease Cycles'!$DD$19:$DJ$19,1,BS197))*((1-'Lease Cycles'!$AJ$19)*INDEX('Lease Cycles'!$FO$19:$FU$19,1,BS197)+(1-'Lease Cycles'!$BE$19)*(1-INDEX('Lease Cycles'!$FO$19:$FU$19,1,BS197)))),0)</f>
        <v>0</v>
      </c>
      <c r="BT205" s="24">
        <f>IF(BT199=1,'Lease Cycles'!$D$19*IF(INDEX('Lease Cycles'!$EF$19:$EL$19,1,BT197)=1,(1-'Lease Cycles'!$AJ$19)*INDEX('Lease Cycles'!$EM$19:$ES$19,1,BT197)+(1-'Lease Cycles'!$BE$19)*IF(BT198&lt;INDEX('Lease Cycles'!$FA$19:$FG$19,1,BT197),0,1-INDEX('Lease Cycles'!$EM$19:$ES$19,1,BT197)),IF(OR(INDEX('Lease Cycles'!$DY$19:$EE$19,1,BT197)=1,BT198&gt;0),1,1-INDEX('Lease Cycles'!$DD$19:$DJ$19,1,BT197))*((1-'Lease Cycles'!$AJ$19)*INDEX('Lease Cycles'!$FO$19:$FU$19,1,BT197)+(1-'Lease Cycles'!$BE$19)*(1-INDEX('Lease Cycles'!$FO$19:$FU$19,1,BT197)))),0)</f>
        <v>0</v>
      </c>
      <c r="BU205" s="24">
        <f>IF(BU199=1,'Lease Cycles'!$D$19*IF(INDEX('Lease Cycles'!$EF$19:$EL$19,1,BU197)=1,(1-'Lease Cycles'!$AJ$19)*INDEX('Lease Cycles'!$EM$19:$ES$19,1,BU197)+(1-'Lease Cycles'!$BE$19)*IF(BU198&lt;INDEX('Lease Cycles'!$FA$19:$FG$19,1,BU197),0,1-INDEX('Lease Cycles'!$EM$19:$ES$19,1,BU197)),IF(OR(INDEX('Lease Cycles'!$DY$19:$EE$19,1,BU197)=1,BU198&gt;0),1,1-INDEX('Lease Cycles'!$DD$19:$DJ$19,1,BU197))*((1-'Lease Cycles'!$AJ$19)*INDEX('Lease Cycles'!$FO$19:$FU$19,1,BU197)+(1-'Lease Cycles'!$BE$19)*(1-INDEX('Lease Cycles'!$FO$19:$FU$19,1,BU197)))),0)</f>
        <v>0</v>
      </c>
      <c r="BV205" s="24">
        <f>IF(BV199=1,'Lease Cycles'!$D$19*IF(INDEX('Lease Cycles'!$EF$19:$EL$19,1,BV197)=1,(1-'Lease Cycles'!$AJ$19)*INDEX('Lease Cycles'!$EM$19:$ES$19,1,BV197)+(1-'Lease Cycles'!$BE$19)*IF(BV198&lt;INDEX('Lease Cycles'!$FA$19:$FG$19,1,BV197),0,1-INDEX('Lease Cycles'!$EM$19:$ES$19,1,BV197)),IF(OR(INDEX('Lease Cycles'!$DY$19:$EE$19,1,BV197)=1,BV198&gt;0),1,1-INDEX('Lease Cycles'!$DD$19:$DJ$19,1,BV197))*((1-'Lease Cycles'!$AJ$19)*INDEX('Lease Cycles'!$FO$19:$FU$19,1,BV197)+(1-'Lease Cycles'!$BE$19)*(1-INDEX('Lease Cycles'!$FO$19:$FU$19,1,BV197)))),0)</f>
        <v>0</v>
      </c>
      <c r="BW205" s="24">
        <f>IF(BW199=1,'Lease Cycles'!$D$19*IF(INDEX('Lease Cycles'!$EF$19:$EL$19,1,BW197)=1,(1-'Lease Cycles'!$AJ$19)*INDEX('Lease Cycles'!$EM$19:$ES$19,1,BW197)+(1-'Lease Cycles'!$BE$19)*IF(BW198&lt;INDEX('Lease Cycles'!$FA$19:$FG$19,1,BW197),0,1-INDEX('Lease Cycles'!$EM$19:$ES$19,1,BW197)),IF(OR(INDEX('Lease Cycles'!$DY$19:$EE$19,1,BW197)=1,BW198&gt;0),1,1-INDEX('Lease Cycles'!$DD$19:$DJ$19,1,BW197))*((1-'Lease Cycles'!$AJ$19)*INDEX('Lease Cycles'!$FO$19:$FU$19,1,BW197)+(1-'Lease Cycles'!$BE$19)*(1-INDEX('Lease Cycles'!$FO$19:$FU$19,1,BW197)))),0)</f>
        <v>0</v>
      </c>
      <c r="BX205" s="24">
        <f>IF(BX199=1,'Lease Cycles'!$D$19*IF(INDEX('Lease Cycles'!$EF$19:$EL$19,1,BX197)=1,(1-'Lease Cycles'!$AJ$19)*INDEX('Lease Cycles'!$EM$19:$ES$19,1,BX197)+(1-'Lease Cycles'!$BE$19)*IF(BX198&lt;INDEX('Lease Cycles'!$FA$19:$FG$19,1,BX197),0,1-INDEX('Lease Cycles'!$EM$19:$ES$19,1,BX197)),IF(OR(INDEX('Lease Cycles'!$DY$19:$EE$19,1,BX197)=1,BX198&gt;0),1,1-INDEX('Lease Cycles'!$DD$19:$DJ$19,1,BX197))*((1-'Lease Cycles'!$AJ$19)*INDEX('Lease Cycles'!$FO$19:$FU$19,1,BX197)+(1-'Lease Cycles'!$BE$19)*(1-INDEX('Lease Cycles'!$FO$19:$FU$19,1,BX197)))),0)</f>
        <v>0</v>
      </c>
      <c r="BY205" s="24">
        <f>IF(BY199=1,'Lease Cycles'!$D$19*IF(INDEX('Lease Cycles'!$EF$19:$EL$19,1,BY197)=1,(1-'Lease Cycles'!$AJ$19)*INDEX('Lease Cycles'!$EM$19:$ES$19,1,BY197)+(1-'Lease Cycles'!$BE$19)*IF(BY198&lt;INDEX('Lease Cycles'!$FA$19:$FG$19,1,BY197),0,1-INDEX('Lease Cycles'!$EM$19:$ES$19,1,BY197)),IF(OR(INDEX('Lease Cycles'!$DY$19:$EE$19,1,BY197)=1,BY198&gt;0),1,1-INDEX('Lease Cycles'!$DD$19:$DJ$19,1,BY197))*((1-'Lease Cycles'!$AJ$19)*INDEX('Lease Cycles'!$FO$19:$FU$19,1,BY197)+(1-'Lease Cycles'!$BE$19)*(1-INDEX('Lease Cycles'!$FO$19:$FU$19,1,BY197)))),0)</f>
        <v>0</v>
      </c>
      <c r="BZ205" s="24">
        <f>IF(BZ199=1,'Lease Cycles'!$D$19*IF(INDEX('Lease Cycles'!$EF$19:$EL$19,1,BZ197)=1,(1-'Lease Cycles'!$AJ$19)*INDEX('Lease Cycles'!$EM$19:$ES$19,1,BZ197)+(1-'Lease Cycles'!$BE$19)*IF(BZ198&lt;INDEX('Lease Cycles'!$FA$19:$FG$19,1,BZ197),0,1-INDEX('Lease Cycles'!$EM$19:$ES$19,1,BZ197)),IF(OR(INDEX('Lease Cycles'!$DY$19:$EE$19,1,BZ197)=1,BZ198&gt;0),1,1-INDEX('Lease Cycles'!$DD$19:$DJ$19,1,BZ197))*((1-'Lease Cycles'!$AJ$19)*INDEX('Lease Cycles'!$FO$19:$FU$19,1,BZ197)+(1-'Lease Cycles'!$BE$19)*(1-INDEX('Lease Cycles'!$FO$19:$FU$19,1,BZ197)))),0)</f>
        <v>0</v>
      </c>
      <c r="CA205" s="24">
        <f>IF(CA199=1,'Lease Cycles'!$D$19*IF(INDEX('Lease Cycles'!$EF$19:$EL$19,1,CA197)=1,(1-'Lease Cycles'!$AJ$19)*INDEX('Lease Cycles'!$EM$19:$ES$19,1,CA197)+(1-'Lease Cycles'!$BE$19)*IF(CA198&lt;INDEX('Lease Cycles'!$FA$19:$FG$19,1,CA197),0,1-INDEX('Lease Cycles'!$EM$19:$ES$19,1,CA197)),IF(OR(INDEX('Lease Cycles'!$DY$19:$EE$19,1,CA197)=1,CA198&gt;0),1,1-INDEX('Lease Cycles'!$DD$19:$DJ$19,1,CA197))*((1-'Lease Cycles'!$AJ$19)*INDEX('Lease Cycles'!$FO$19:$FU$19,1,CA197)+(1-'Lease Cycles'!$BE$19)*(1-INDEX('Lease Cycles'!$FO$19:$FU$19,1,CA197)))),0)</f>
        <v>0</v>
      </c>
      <c r="CB205" s="24">
        <f>IF(CB199=1,'Lease Cycles'!$D$19*IF(INDEX('Lease Cycles'!$EF$19:$EL$19,1,CB197)=1,(1-'Lease Cycles'!$AJ$19)*INDEX('Lease Cycles'!$EM$19:$ES$19,1,CB197)+(1-'Lease Cycles'!$BE$19)*IF(CB198&lt;INDEX('Lease Cycles'!$FA$19:$FG$19,1,CB197),0,1-INDEX('Lease Cycles'!$EM$19:$ES$19,1,CB197)),IF(OR(INDEX('Lease Cycles'!$DY$19:$EE$19,1,CB197)=1,CB198&gt;0),1,1-INDEX('Lease Cycles'!$DD$19:$DJ$19,1,CB197))*((1-'Lease Cycles'!$AJ$19)*INDEX('Lease Cycles'!$FO$19:$FU$19,1,CB197)+(1-'Lease Cycles'!$BE$19)*(1-INDEX('Lease Cycles'!$FO$19:$FU$19,1,CB197)))),0)</f>
        <v>0</v>
      </c>
      <c r="CC205" s="24">
        <f>IF(CC199=1,'Lease Cycles'!$D$19*IF(INDEX('Lease Cycles'!$EF$19:$EL$19,1,CC197)=1,(1-'Lease Cycles'!$AJ$19)*INDEX('Lease Cycles'!$EM$19:$ES$19,1,CC197)+(1-'Lease Cycles'!$BE$19)*IF(CC198&lt;INDEX('Lease Cycles'!$FA$19:$FG$19,1,CC197),0,1-INDEX('Lease Cycles'!$EM$19:$ES$19,1,CC197)),IF(OR(INDEX('Lease Cycles'!$DY$19:$EE$19,1,CC197)=1,CC198&gt;0),1,1-INDEX('Lease Cycles'!$DD$19:$DJ$19,1,CC197))*((1-'Lease Cycles'!$AJ$19)*INDEX('Lease Cycles'!$FO$19:$FU$19,1,CC197)+(1-'Lease Cycles'!$BE$19)*(1-INDEX('Lease Cycles'!$FO$19:$FU$19,1,CC197)))),0)</f>
        <v>0</v>
      </c>
      <c r="CD205" s="24">
        <f>IF(CD199=1,'Lease Cycles'!$D$19*IF(INDEX('Lease Cycles'!$EF$19:$EL$19,1,CD197)=1,(1-'Lease Cycles'!$AJ$19)*INDEX('Lease Cycles'!$EM$19:$ES$19,1,CD197)+(1-'Lease Cycles'!$BE$19)*IF(CD198&lt;INDEX('Lease Cycles'!$FA$19:$FG$19,1,CD197),0,1-INDEX('Lease Cycles'!$EM$19:$ES$19,1,CD197)),IF(OR(INDEX('Lease Cycles'!$DY$19:$EE$19,1,CD197)=1,CD198&gt;0),1,1-INDEX('Lease Cycles'!$DD$19:$DJ$19,1,CD197))*((1-'Lease Cycles'!$AJ$19)*INDEX('Lease Cycles'!$FO$19:$FU$19,1,CD197)+(1-'Lease Cycles'!$BE$19)*(1-INDEX('Lease Cycles'!$FO$19:$FU$19,1,CD197)))),0)</f>
        <v>0</v>
      </c>
      <c r="CE205" s="24">
        <f>IF(CE199=1,'Lease Cycles'!$D$19*IF(INDEX('Lease Cycles'!$EF$19:$EL$19,1,CE197)=1,(1-'Lease Cycles'!$AJ$19)*INDEX('Lease Cycles'!$EM$19:$ES$19,1,CE197)+(1-'Lease Cycles'!$BE$19)*IF(CE198&lt;INDEX('Lease Cycles'!$FA$19:$FG$19,1,CE197),0,1-INDEX('Lease Cycles'!$EM$19:$ES$19,1,CE197)),IF(OR(INDEX('Lease Cycles'!$DY$19:$EE$19,1,CE197)=1,CE198&gt;0),1,1-INDEX('Lease Cycles'!$DD$19:$DJ$19,1,CE197))*((1-'Lease Cycles'!$AJ$19)*INDEX('Lease Cycles'!$FO$19:$FU$19,1,CE197)+(1-'Lease Cycles'!$BE$19)*(1-INDEX('Lease Cycles'!$FO$19:$FU$19,1,CE197)))),0)</f>
        <v>0</v>
      </c>
      <c r="CF205" s="24">
        <f>IF(CF199=1,'Lease Cycles'!$D$19*IF(INDEX('Lease Cycles'!$EF$19:$EL$19,1,CF197)=1,(1-'Lease Cycles'!$AJ$19)*INDEX('Lease Cycles'!$EM$19:$ES$19,1,CF197)+(1-'Lease Cycles'!$BE$19)*IF(CF198&lt;INDEX('Lease Cycles'!$FA$19:$FG$19,1,CF197),0,1-INDEX('Lease Cycles'!$EM$19:$ES$19,1,CF197)),IF(OR(INDEX('Lease Cycles'!$DY$19:$EE$19,1,CF197)=1,CF198&gt;0),1,1-INDEX('Lease Cycles'!$DD$19:$DJ$19,1,CF197))*((1-'Lease Cycles'!$AJ$19)*INDEX('Lease Cycles'!$FO$19:$FU$19,1,CF197)+(1-'Lease Cycles'!$BE$19)*(1-INDEX('Lease Cycles'!$FO$19:$FU$19,1,CF197)))),0)</f>
        <v>0</v>
      </c>
      <c r="CG205" s="24">
        <f>IF(CG199=1,'Lease Cycles'!$D$19*IF(INDEX('Lease Cycles'!$EF$19:$EL$19,1,CG197)=1,(1-'Lease Cycles'!$AJ$19)*INDEX('Lease Cycles'!$EM$19:$ES$19,1,CG197)+(1-'Lease Cycles'!$BE$19)*IF(CG198&lt;INDEX('Lease Cycles'!$FA$19:$FG$19,1,CG197),0,1-INDEX('Lease Cycles'!$EM$19:$ES$19,1,CG197)),IF(OR(INDEX('Lease Cycles'!$DY$19:$EE$19,1,CG197)=1,CG198&gt;0),1,1-INDEX('Lease Cycles'!$DD$19:$DJ$19,1,CG197))*((1-'Lease Cycles'!$AJ$19)*INDEX('Lease Cycles'!$FO$19:$FU$19,1,CG197)+(1-'Lease Cycles'!$BE$19)*(1-INDEX('Lease Cycles'!$FO$19:$FU$19,1,CG197)))),0)</f>
        <v>0</v>
      </c>
      <c r="CH205" s="24">
        <f>IF(CH199=1,'Lease Cycles'!$D$19*IF(INDEX('Lease Cycles'!$EF$19:$EL$19,1,CH197)=1,(1-'Lease Cycles'!$AJ$19)*INDEX('Lease Cycles'!$EM$19:$ES$19,1,CH197)+(1-'Lease Cycles'!$BE$19)*IF(CH198&lt;INDEX('Lease Cycles'!$FA$19:$FG$19,1,CH197),0,1-INDEX('Lease Cycles'!$EM$19:$ES$19,1,CH197)),IF(OR(INDEX('Lease Cycles'!$DY$19:$EE$19,1,CH197)=1,CH198&gt;0),1,1-INDEX('Lease Cycles'!$DD$19:$DJ$19,1,CH197))*((1-'Lease Cycles'!$AJ$19)*INDEX('Lease Cycles'!$FO$19:$FU$19,1,CH197)+(1-'Lease Cycles'!$BE$19)*(1-INDEX('Lease Cycles'!$FO$19:$FU$19,1,CH197)))),0)</f>
        <v>0</v>
      </c>
      <c r="CI205" s="24">
        <f>IF(CI199=1,'Lease Cycles'!$D$19*IF(INDEX('Lease Cycles'!$EF$19:$EL$19,1,CI197)=1,(1-'Lease Cycles'!$AJ$19)*INDEX('Lease Cycles'!$EM$19:$ES$19,1,CI197)+(1-'Lease Cycles'!$BE$19)*IF(CI198&lt;INDEX('Lease Cycles'!$FA$19:$FG$19,1,CI197),0,1-INDEX('Lease Cycles'!$EM$19:$ES$19,1,CI197)),IF(OR(INDEX('Lease Cycles'!$DY$19:$EE$19,1,CI197)=1,CI198&gt;0),1,1-INDEX('Lease Cycles'!$DD$19:$DJ$19,1,CI197))*((1-'Lease Cycles'!$AJ$19)*INDEX('Lease Cycles'!$FO$19:$FU$19,1,CI197)+(1-'Lease Cycles'!$BE$19)*(1-INDEX('Lease Cycles'!$FO$19:$FU$19,1,CI197)))),0)</f>
        <v>0</v>
      </c>
      <c r="CJ205" s="24">
        <f>IF(CJ199=1,'Lease Cycles'!$D$19*IF(INDEX('Lease Cycles'!$EF$19:$EL$19,1,CJ197)=1,(1-'Lease Cycles'!$AJ$19)*INDEX('Lease Cycles'!$EM$19:$ES$19,1,CJ197)+(1-'Lease Cycles'!$BE$19)*IF(CJ198&lt;INDEX('Lease Cycles'!$FA$19:$FG$19,1,CJ197),0,1-INDEX('Lease Cycles'!$EM$19:$ES$19,1,CJ197)),IF(OR(INDEX('Lease Cycles'!$DY$19:$EE$19,1,CJ197)=1,CJ198&gt;0),1,1-INDEX('Lease Cycles'!$DD$19:$DJ$19,1,CJ197))*((1-'Lease Cycles'!$AJ$19)*INDEX('Lease Cycles'!$FO$19:$FU$19,1,CJ197)+(1-'Lease Cycles'!$BE$19)*(1-INDEX('Lease Cycles'!$FO$19:$FU$19,1,CJ197)))),0)</f>
        <v>0</v>
      </c>
      <c r="CK205" s="24">
        <f>IF(CK199=1,'Lease Cycles'!$D$19*IF(INDEX('Lease Cycles'!$EF$19:$EL$19,1,CK197)=1,(1-'Lease Cycles'!$AJ$19)*INDEX('Lease Cycles'!$EM$19:$ES$19,1,CK197)+(1-'Lease Cycles'!$BE$19)*IF(CK198&lt;INDEX('Lease Cycles'!$FA$19:$FG$19,1,CK197),0,1-INDEX('Lease Cycles'!$EM$19:$ES$19,1,CK197)),IF(OR(INDEX('Lease Cycles'!$DY$19:$EE$19,1,CK197)=1,CK198&gt;0),1,1-INDEX('Lease Cycles'!$DD$19:$DJ$19,1,CK197))*((1-'Lease Cycles'!$AJ$19)*INDEX('Lease Cycles'!$FO$19:$FU$19,1,CK197)+(1-'Lease Cycles'!$BE$19)*(1-INDEX('Lease Cycles'!$FO$19:$FU$19,1,CK197)))),0)</f>
        <v>0</v>
      </c>
      <c r="CL205" s="24">
        <f>IF(CL199=1,'Lease Cycles'!$D$19*IF(INDEX('Lease Cycles'!$EF$19:$EL$19,1,CL197)=1,(1-'Lease Cycles'!$AJ$19)*INDEX('Lease Cycles'!$EM$19:$ES$19,1,CL197)+(1-'Lease Cycles'!$BE$19)*IF(CL198&lt;INDEX('Lease Cycles'!$FA$19:$FG$19,1,CL197),0,1-INDEX('Lease Cycles'!$EM$19:$ES$19,1,CL197)),IF(OR(INDEX('Lease Cycles'!$DY$19:$EE$19,1,CL197)=1,CL198&gt;0),1,1-INDEX('Lease Cycles'!$DD$19:$DJ$19,1,CL197))*((1-'Lease Cycles'!$AJ$19)*INDEX('Lease Cycles'!$FO$19:$FU$19,1,CL197)+(1-'Lease Cycles'!$BE$19)*(1-INDEX('Lease Cycles'!$FO$19:$FU$19,1,CL197)))),0)</f>
        <v>0</v>
      </c>
      <c r="CM205" s="24">
        <f>IF(CM199=1,'Lease Cycles'!$D$19*IF(INDEX('Lease Cycles'!$EF$19:$EL$19,1,CM197)=1,(1-'Lease Cycles'!$AJ$19)*INDEX('Lease Cycles'!$EM$19:$ES$19,1,CM197)+(1-'Lease Cycles'!$BE$19)*IF(CM198&lt;INDEX('Lease Cycles'!$FA$19:$FG$19,1,CM197),0,1-INDEX('Lease Cycles'!$EM$19:$ES$19,1,CM197)),IF(OR(INDEX('Lease Cycles'!$DY$19:$EE$19,1,CM197)=1,CM198&gt;0),1,1-INDEX('Lease Cycles'!$DD$19:$DJ$19,1,CM197))*((1-'Lease Cycles'!$AJ$19)*INDEX('Lease Cycles'!$FO$19:$FU$19,1,CM197)+(1-'Lease Cycles'!$BE$19)*(1-INDEX('Lease Cycles'!$FO$19:$FU$19,1,CM197)))),0)</f>
        <v>0</v>
      </c>
      <c r="CN205" s="24">
        <f>IF(CN199=1,'Lease Cycles'!$D$19*IF(INDEX('Lease Cycles'!$EF$19:$EL$19,1,CN197)=1,(1-'Lease Cycles'!$AJ$19)*INDEX('Lease Cycles'!$EM$19:$ES$19,1,CN197)+(1-'Lease Cycles'!$BE$19)*IF(CN198&lt;INDEX('Lease Cycles'!$FA$19:$FG$19,1,CN197),0,1-INDEX('Lease Cycles'!$EM$19:$ES$19,1,CN197)),IF(OR(INDEX('Lease Cycles'!$DY$19:$EE$19,1,CN197)=1,CN198&gt;0),1,1-INDEX('Lease Cycles'!$DD$19:$DJ$19,1,CN197))*((1-'Lease Cycles'!$AJ$19)*INDEX('Lease Cycles'!$FO$19:$FU$19,1,CN197)+(1-'Lease Cycles'!$BE$19)*(1-INDEX('Lease Cycles'!$FO$19:$FU$19,1,CN197)))),0)</f>
        <v>0</v>
      </c>
      <c r="CO205" s="24">
        <f>IF(CO199=1,'Lease Cycles'!$D$19*IF(INDEX('Lease Cycles'!$EF$19:$EL$19,1,CO197)=1,(1-'Lease Cycles'!$AJ$19)*INDEX('Lease Cycles'!$EM$19:$ES$19,1,CO197)+(1-'Lease Cycles'!$BE$19)*IF(CO198&lt;INDEX('Lease Cycles'!$FA$19:$FG$19,1,CO197),0,1-INDEX('Lease Cycles'!$EM$19:$ES$19,1,CO197)),IF(OR(INDEX('Lease Cycles'!$DY$19:$EE$19,1,CO197)=1,CO198&gt;0),1,1-INDEX('Lease Cycles'!$DD$19:$DJ$19,1,CO197))*((1-'Lease Cycles'!$AJ$19)*INDEX('Lease Cycles'!$FO$19:$FU$19,1,CO197)+(1-'Lease Cycles'!$BE$19)*(1-INDEX('Lease Cycles'!$FO$19:$FU$19,1,CO197)))),0)</f>
        <v>0</v>
      </c>
      <c r="CP205" s="24">
        <f>IF(CP199=1,'Lease Cycles'!$D$19*IF(INDEX('Lease Cycles'!$EF$19:$EL$19,1,CP197)=1,(1-'Lease Cycles'!$AJ$19)*INDEX('Lease Cycles'!$EM$19:$ES$19,1,CP197)+(1-'Lease Cycles'!$BE$19)*IF(CP198&lt;INDEX('Lease Cycles'!$FA$19:$FG$19,1,CP197),0,1-INDEX('Lease Cycles'!$EM$19:$ES$19,1,CP197)),IF(OR(INDEX('Lease Cycles'!$DY$19:$EE$19,1,CP197)=1,CP198&gt;0),1,1-INDEX('Lease Cycles'!$DD$19:$DJ$19,1,CP197))*((1-'Lease Cycles'!$AJ$19)*INDEX('Lease Cycles'!$FO$19:$FU$19,1,CP197)+(1-'Lease Cycles'!$BE$19)*(1-INDEX('Lease Cycles'!$FO$19:$FU$19,1,CP197)))),0)</f>
        <v>0</v>
      </c>
      <c r="CQ205" s="24">
        <f>IF(CQ199=1,'Lease Cycles'!$D$19*IF(INDEX('Lease Cycles'!$EF$19:$EL$19,1,CQ197)=1,(1-'Lease Cycles'!$AJ$19)*INDEX('Lease Cycles'!$EM$19:$ES$19,1,CQ197)+(1-'Lease Cycles'!$BE$19)*IF(CQ198&lt;INDEX('Lease Cycles'!$FA$19:$FG$19,1,CQ197),0,1-INDEX('Lease Cycles'!$EM$19:$ES$19,1,CQ197)),IF(OR(INDEX('Lease Cycles'!$DY$19:$EE$19,1,CQ197)=1,CQ198&gt;0),1,1-INDEX('Lease Cycles'!$DD$19:$DJ$19,1,CQ197))*((1-'Lease Cycles'!$AJ$19)*INDEX('Lease Cycles'!$FO$19:$FU$19,1,CQ197)+(1-'Lease Cycles'!$BE$19)*(1-INDEX('Lease Cycles'!$FO$19:$FU$19,1,CQ197)))),0)</f>
        <v>0</v>
      </c>
      <c r="CR205" s="24">
        <f>IF(CR199=1,'Lease Cycles'!$D$19*IF(INDEX('Lease Cycles'!$EF$19:$EL$19,1,CR197)=1,(1-'Lease Cycles'!$AJ$19)*INDEX('Lease Cycles'!$EM$19:$ES$19,1,CR197)+(1-'Lease Cycles'!$BE$19)*IF(CR198&lt;INDEX('Lease Cycles'!$FA$19:$FG$19,1,CR197),0,1-INDEX('Lease Cycles'!$EM$19:$ES$19,1,CR197)),IF(OR(INDEX('Lease Cycles'!$DY$19:$EE$19,1,CR197)=1,CR198&gt;0),1,1-INDEX('Lease Cycles'!$DD$19:$DJ$19,1,CR197))*((1-'Lease Cycles'!$AJ$19)*INDEX('Lease Cycles'!$FO$19:$FU$19,1,CR197)+(1-'Lease Cycles'!$BE$19)*(1-INDEX('Lease Cycles'!$FO$19:$FU$19,1,CR197)))),0)</f>
        <v>0</v>
      </c>
      <c r="CS205" s="24">
        <f>IF(CS199=1,'Lease Cycles'!$D$19*IF(INDEX('Lease Cycles'!$EF$19:$EL$19,1,CS197)=1,(1-'Lease Cycles'!$AJ$19)*INDEX('Lease Cycles'!$EM$19:$ES$19,1,CS197)+(1-'Lease Cycles'!$BE$19)*IF(CS198&lt;INDEX('Lease Cycles'!$FA$19:$FG$19,1,CS197),0,1-INDEX('Lease Cycles'!$EM$19:$ES$19,1,CS197)),IF(OR(INDEX('Lease Cycles'!$DY$19:$EE$19,1,CS197)=1,CS198&gt;0),1,1-INDEX('Lease Cycles'!$DD$19:$DJ$19,1,CS197))*((1-'Lease Cycles'!$AJ$19)*INDEX('Lease Cycles'!$FO$19:$FU$19,1,CS197)+(1-'Lease Cycles'!$BE$19)*(1-INDEX('Lease Cycles'!$FO$19:$FU$19,1,CS197)))),0)</f>
        <v>0</v>
      </c>
      <c r="CT205" s="24">
        <f>IF(CT199=1,'Lease Cycles'!$D$19*IF(INDEX('Lease Cycles'!$EF$19:$EL$19,1,CT197)=1,(1-'Lease Cycles'!$AJ$19)*INDEX('Lease Cycles'!$EM$19:$ES$19,1,CT197)+(1-'Lease Cycles'!$BE$19)*IF(CT198&lt;INDEX('Lease Cycles'!$FA$19:$FG$19,1,CT197),0,1-INDEX('Lease Cycles'!$EM$19:$ES$19,1,CT197)),IF(OR(INDEX('Lease Cycles'!$DY$19:$EE$19,1,CT197)=1,CT198&gt;0),1,1-INDEX('Lease Cycles'!$DD$19:$DJ$19,1,CT197))*((1-'Lease Cycles'!$AJ$19)*INDEX('Lease Cycles'!$FO$19:$FU$19,1,CT197)+(1-'Lease Cycles'!$BE$19)*(1-INDEX('Lease Cycles'!$FO$19:$FU$19,1,CT197)))),0)</f>
        <v>0</v>
      </c>
      <c r="CU205" s="24">
        <f>IF(CU199=1,'Lease Cycles'!$D$19*IF(INDEX('Lease Cycles'!$EF$19:$EL$19,1,CU197)=1,(1-'Lease Cycles'!$AJ$19)*INDEX('Lease Cycles'!$EM$19:$ES$19,1,CU197)+(1-'Lease Cycles'!$BE$19)*IF(CU198&lt;INDEX('Lease Cycles'!$FA$19:$FG$19,1,CU197),0,1-INDEX('Lease Cycles'!$EM$19:$ES$19,1,CU197)),IF(OR(INDEX('Lease Cycles'!$DY$19:$EE$19,1,CU197)=1,CU198&gt;0),1,1-INDEX('Lease Cycles'!$DD$19:$DJ$19,1,CU197))*((1-'Lease Cycles'!$AJ$19)*INDEX('Lease Cycles'!$FO$19:$FU$19,1,CU197)+(1-'Lease Cycles'!$BE$19)*(1-INDEX('Lease Cycles'!$FO$19:$FU$19,1,CU197)))),0)</f>
        <v>0</v>
      </c>
      <c r="CV205" s="24">
        <f>IF(CV199=1,'Lease Cycles'!$D$19*IF(INDEX('Lease Cycles'!$EF$19:$EL$19,1,CV197)=1,(1-'Lease Cycles'!$AJ$19)*INDEX('Lease Cycles'!$EM$19:$ES$19,1,CV197)+(1-'Lease Cycles'!$BE$19)*IF(CV198&lt;INDEX('Lease Cycles'!$FA$19:$FG$19,1,CV197),0,1-INDEX('Lease Cycles'!$EM$19:$ES$19,1,CV197)),IF(OR(INDEX('Lease Cycles'!$DY$19:$EE$19,1,CV197)=1,CV198&gt;0),1,1-INDEX('Lease Cycles'!$DD$19:$DJ$19,1,CV197))*((1-'Lease Cycles'!$AJ$19)*INDEX('Lease Cycles'!$FO$19:$FU$19,1,CV197)+(1-'Lease Cycles'!$BE$19)*(1-INDEX('Lease Cycles'!$FO$19:$FU$19,1,CV197)))),0)</f>
        <v>0</v>
      </c>
      <c r="CW205" s="24">
        <f>IF(CW199=1,'Lease Cycles'!$D$19*IF(INDEX('Lease Cycles'!$EF$19:$EL$19,1,CW197)=1,(1-'Lease Cycles'!$AJ$19)*INDEX('Lease Cycles'!$EM$19:$ES$19,1,CW197)+(1-'Lease Cycles'!$BE$19)*IF(CW198&lt;INDEX('Lease Cycles'!$FA$19:$FG$19,1,CW197),0,1-INDEX('Lease Cycles'!$EM$19:$ES$19,1,CW197)),IF(OR(INDEX('Lease Cycles'!$DY$19:$EE$19,1,CW197)=1,CW198&gt;0),1,1-INDEX('Lease Cycles'!$DD$19:$DJ$19,1,CW197))*((1-'Lease Cycles'!$AJ$19)*INDEX('Lease Cycles'!$FO$19:$FU$19,1,CW197)+(1-'Lease Cycles'!$BE$19)*(1-INDEX('Lease Cycles'!$FO$19:$FU$19,1,CW197)))),0)</f>
        <v>0</v>
      </c>
      <c r="CX205" s="24">
        <f>IF(CX199=1,'Lease Cycles'!$D$19*IF(INDEX('Lease Cycles'!$EF$19:$EL$19,1,CX197)=1,(1-'Lease Cycles'!$AJ$19)*INDEX('Lease Cycles'!$EM$19:$ES$19,1,CX197)+(1-'Lease Cycles'!$BE$19)*IF(CX198&lt;INDEX('Lease Cycles'!$FA$19:$FG$19,1,CX197),0,1-INDEX('Lease Cycles'!$EM$19:$ES$19,1,CX197)),IF(OR(INDEX('Lease Cycles'!$DY$19:$EE$19,1,CX197)=1,CX198&gt;0),1,1-INDEX('Lease Cycles'!$DD$19:$DJ$19,1,CX197))*((1-'Lease Cycles'!$AJ$19)*INDEX('Lease Cycles'!$FO$19:$FU$19,1,CX197)+(1-'Lease Cycles'!$BE$19)*(1-INDEX('Lease Cycles'!$FO$19:$FU$19,1,CX197)))),0)</f>
        <v>0</v>
      </c>
      <c r="CY205" s="24">
        <f>IF(CY199=1,'Lease Cycles'!$D$19*IF(INDEX('Lease Cycles'!$EF$19:$EL$19,1,CY197)=1,(1-'Lease Cycles'!$AJ$19)*INDEX('Lease Cycles'!$EM$19:$ES$19,1,CY197)+(1-'Lease Cycles'!$BE$19)*IF(CY198&lt;INDEX('Lease Cycles'!$FA$19:$FG$19,1,CY197),0,1-INDEX('Lease Cycles'!$EM$19:$ES$19,1,CY197)),IF(OR(INDEX('Lease Cycles'!$DY$19:$EE$19,1,CY197)=1,CY198&gt;0),1,1-INDEX('Lease Cycles'!$DD$19:$DJ$19,1,CY197))*((1-'Lease Cycles'!$AJ$19)*INDEX('Lease Cycles'!$FO$19:$FU$19,1,CY197)+(1-'Lease Cycles'!$BE$19)*(1-INDEX('Lease Cycles'!$FO$19:$FU$19,1,CY197)))),0)</f>
        <v>0</v>
      </c>
      <c r="CZ205" s="24">
        <f>IF(CZ199=1,'Lease Cycles'!$D$19*IF(INDEX('Lease Cycles'!$EF$19:$EL$19,1,CZ197)=1,(1-'Lease Cycles'!$AJ$19)*INDEX('Lease Cycles'!$EM$19:$ES$19,1,CZ197)+(1-'Lease Cycles'!$BE$19)*IF(CZ198&lt;INDEX('Lease Cycles'!$FA$19:$FG$19,1,CZ197),0,1-INDEX('Lease Cycles'!$EM$19:$ES$19,1,CZ197)),IF(OR(INDEX('Lease Cycles'!$DY$19:$EE$19,1,CZ197)=1,CZ198&gt;0),1,1-INDEX('Lease Cycles'!$DD$19:$DJ$19,1,CZ197))*((1-'Lease Cycles'!$AJ$19)*INDEX('Lease Cycles'!$FO$19:$FU$19,1,CZ197)+(1-'Lease Cycles'!$BE$19)*(1-INDEX('Lease Cycles'!$FO$19:$FU$19,1,CZ197)))),0)</f>
        <v>0</v>
      </c>
      <c r="DA205" s="24">
        <f>IF(DA199=1,'Lease Cycles'!$D$19*IF(INDEX('Lease Cycles'!$EF$19:$EL$19,1,DA197)=1,(1-'Lease Cycles'!$AJ$19)*INDEX('Lease Cycles'!$EM$19:$ES$19,1,DA197)+(1-'Lease Cycles'!$BE$19)*IF(DA198&lt;INDEX('Lease Cycles'!$FA$19:$FG$19,1,DA197),0,1-INDEX('Lease Cycles'!$EM$19:$ES$19,1,DA197)),IF(OR(INDEX('Lease Cycles'!$DY$19:$EE$19,1,DA197)=1,DA198&gt;0),1,1-INDEX('Lease Cycles'!$DD$19:$DJ$19,1,DA197))*((1-'Lease Cycles'!$AJ$19)*INDEX('Lease Cycles'!$FO$19:$FU$19,1,DA197)+(1-'Lease Cycles'!$BE$19)*(1-INDEX('Lease Cycles'!$FO$19:$FU$19,1,DA197)))),0)</f>
        <v>0</v>
      </c>
      <c r="DB205" s="24">
        <f>IF(DB199=1,'Lease Cycles'!$D$19*IF(INDEX('Lease Cycles'!$EF$19:$EL$19,1,DB197)=1,(1-'Lease Cycles'!$AJ$19)*INDEX('Lease Cycles'!$EM$19:$ES$19,1,DB197)+(1-'Lease Cycles'!$BE$19)*IF(DB198&lt;INDEX('Lease Cycles'!$FA$19:$FG$19,1,DB197),0,1-INDEX('Lease Cycles'!$EM$19:$ES$19,1,DB197)),IF(OR(INDEX('Lease Cycles'!$DY$19:$EE$19,1,DB197)=1,DB198&gt;0),1,1-INDEX('Lease Cycles'!$DD$19:$DJ$19,1,DB197))*((1-'Lease Cycles'!$AJ$19)*INDEX('Lease Cycles'!$FO$19:$FU$19,1,DB197)+(1-'Lease Cycles'!$BE$19)*(1-INDEX('Lease Cycles'!$FO$19:$FU$19,1,DB197)))),0)</f>
        <v>0</v>
      </c>
      <c r="DC205" s="24">
        <f>IF(DC199=1,'Lease Cycles'!$D$19*IF(INDEX('Lease Cycles'!$EF$19:$EL$19,1,DC197)=1,(1-'Lease Cycles'!$AJ$19)*INDEX('Lease Cycles'!$EM$19:$ES$19,1,DC197)+(1-'Lease Cycles'!$BE$19)*IF(DC198&lt;INDEX('Lease Cycles'!$FA$19:$FG$19,1,DC197),0,1-INDEX('Lease Cycles'!$EM$19:$ES$19,1,DC197)),IF(OR(INDEX('Lease Cycles'!$DY$19:$EE$19,1,DC197)=1,DC198&gt;0),1,1-INDEX('Lease Cycles'!$DD$19:$DJ$19,1,DC197))*((1-'Lease Cycles'!$AJ$19)*INDEX('Lease Cycles'!$FO$19:$FU$19,1,DC197)+(1-'Lease Cycles'!$BE$19)*(1-INDEX('Lease Cycles'!$FO$19:$FU$19,1,DC197)))),0)</f>
        <v>0</v>
      </c>
      <c r="DD205" s="24">
        <f>IF(DD199=1,'Lease Cycles'!$D$19*IF(INDEX('Lease Cycles'!$EF$19:$EL$19,1,DD197)=1,(1-'Lease Cycles'!$AJ$19)*INDEX('Lease Cycles'!$EM$19:$ES$19,1,DD197)+(1-'Lease Cycles'!$BE$19)*IF(DD198&lt;INDEX('Lease Cycles'!$FA$19:$FG$19,1,DD197),0,1-INDEX('Lease Cycles'!$EM$19:$ES$19,1,DD197)),IF(OR(INDEX('Lease Cycles'!$DY$19:$EE$19,1,DD197)=1,DD198&gt;0),1,1-INDEX('Lease Cycles'!$DD$19:$DJ$19,1,DD197))*((1-'Lease Cycles'!$AJ$19)*INDEX('Lease Cycles'!$FO$19:$FU$19,1,DD197)+(1-'Lease Cycles'!$BE$19)*(1-INDEX('Lease Cycles'!$FO$19:$FU$19,1,DD197)))),0)</f>
        <v>0</v>
      </c>
      <c r="DE205" s="24">
        <f>IF(DE199=1,'Lease Cycles'!$D$19*IF(INDEX('Lease Cycles'!$EF$19:$EL$19,1,DE197)=1,(1-'Lease Cycles'!$AJ$19)*INDEX('Lease Cycles'!$EM$19:$ES$19,1,DE197)+(1-'Lease Cycles'!$BE$19)*IF(DE198&lt;INDEX('Lease Cycles'!$FA$19:$FG$19,1,DE197),0,1-INDEX('Lease Cycles'!$EM$19:$ES$19,1,DE197)),IF(OR(INDEX('Lease Cycles'!$DY$19:$EE$19,1,DE197)=1,DE198&gt;0),1,1-INDEX('Lease Cycles'!$DD$19:$DJ$19,1,DE197))*((1-'Lease Cycles'!$AJ$19)*INDEX('Lease Cycles'!$FO$19:$FU$19,1,DE197)+(1-'Lease Cycles'!$BE$19)*(1-INDEX('Lease Cycles'!$FO$19:$FU$19,1,DE197)))),0)</f>
        <v>0</v>
      </c>
      <c r="DF205" s="24">
        <f>IF(DF199=1,'Lease Cycles'!$D$19*IF(INDEX('Lease Cycles'!$EF$19:$EL$19,1,DF197)=1,(1-'Lease Cycles'!$AJ$19)*INDEX('Lease Cycles'!$EM$19:$ES$19,1,DF197)+(1-'Lease Cycles'!$BE$19)*IF(DF198&lt;INDEX('Lease Cycles'!$FA$19:$FG$19,1,DF197),0,1-INDEX('Lease Cycles'!$EM$19:$ES$19,1,DF197)),IF(OR(INDEX('Lease Cycles'!$DY$19:$EE$19,1,DF197)=1,DF198&gt;0),1,1-INDEX('Lease Cycles'!$DD$19:$DJ$19,1,DF197))*((1-'Lease Cycles'!$AJ$19)*INDEX('Lease Cycles'!$FO$19:$FU$19,1,DF197)+(1-'Lease Cycles'!$BE$19)*(1-INDEX('Lease Cycles'!$FO$19:$FU$19,1,DF197)))),0)</f>
        <v>0</v>
      </c>
      <c r="DG205" s="24">
        <f>IF(DG199=1,'Lease Cycles'!$D$19*IF(INDEX('Lease Cycles'!$EF$19:$EL$19,1,DG197)=1,(1-'Lease Cycles'!$AJ$19)*INDEX('Lease Cycles'!$EM$19:$ES$19,1,DG197)+(1-'Lease Cycles'!$BE$19)*IF(DG198&lt;INDEX('Lease Cycles'!$FA$19:$FG$19,1,DG197),0,1-INDEX('Lease Cycles'!$EM$19:$ES$19,1,DG197)),IF(OR(INDEX('Lease Cycles'!$DY$19:$EE$19,1,DG197)=1,DG198&gt;0),1,1-INDEX('Lease Cycles'!$DD$19:$DJ$19,1,DG197))*((1-'Lease Cycles'!$AJ$19)*INDEX('Lease Cycles'!$FO$19:$FU$19,1,DG197)+(1-'Lease Cycles'!$BE$19)*(1-INDEX('Lease Cycles'!$FO$19:$FU$19,1,DG197)))),0)</f>
        <v>0</v>
      </c>
      <c r="DH205" s="24">
        <f>IF(DH199=1,'Lease Cycles'!$D$19*IF(INDEX('Lease Cycles'!$EF$19:$EL$19,1,DH197)=1,(1-'Lease Cycles'!$AJ$19)*INDEX('Lease Cycles'!$EM$19:$ES$19,1,DH197)+(1-'Lease Cycles'!$BE$19)*IF(DH198&lt;INDEX('Lease Cycles'!$FA$19:$FG$19,1,DH197),0,1-INDEX('Lease Cycles'!$EM$19:$ES$19,1,DH197)),IF(OR(INDEX('Lease Cycles'!$DY$19:$EE$19,1,DH197)=1,DH198&gt;0),1,1-INDEX('Lease Cycles'!$DD$19:$DJ$19,1,DH197))*((1-'Lease Cycles'!$AJ$19)*INDEX('Lease Cycles'!$FO$19:$FU$19,1,DH197)+(1-'Lease Cycles'!$BE$19)*(1-INDEX('Lease Cycles'!$FO$19:$FU$19,1,DH197)))),0)</f>
        <v>0</v>
      </c>
      <c r="DI205" s="24">
        <f>IF(DI199=1,'Lease Cycles'!$D$19*IF(INDEX('Lease Cycles'!$EF$19:$EL$19,1,DI197)=1,(1-'Lease Cycles'!$AJ$19)*INDEX('Lease Cycles'!$EM$19:$ES$19,1,DI197)+(1-'Lease Cycles'!$BE$19)*IF(DI198&lt;INDEX('Lease Cycles'!$FA$19:$FG$19,1,DI197),0,1-INDEX('Lease Cycles'!$EM$19:$ES$19,1,DI197)),IF(OR(INDEX('Lease Cycles'!$DY$19:$EE$19,1,DI197)=1,DI198&gt;0),1,1-INDEX('Lease Cycles'!$DD$19:$DJ$19,1,DI197))*((1-'Lease Cycles'!$AJ$19)*INDEX('Lease Cycles'!$FO$19:$FU$19,1,DI197)+(1-'Lease Cycles'!$BE$19)*(1-INDEX('Lease Cycles'!$FO$19:$FU$19,1,DI197)))),0)</f>
        <v>0</v>
      </c>
      <c r="DJ205" s="24">
        <f>IF(DJ199=1,'Lease Cycles'!$D$19*IF(INDEX('Lease Cycles'!$EF$19:$EL$19,1,DJ197)=1,(1-'Lease Cycles'!$AJ$19)*INDEX('Lease Cycles'!$EM$19:$ES$19,1,DJ197)+(1-'Lease Cycles'!$BE$19)*IF(DJ198&lt;INDEX('Lease Cycles'!$FA$19:$FG$19,1,DJ197),0,1-INDEX('Lease Cycles'!$EM$19:$ES$19,1,DJ197)),IF(OR(INDEX('Lease Cycles'!$DY$19:$EE$19,1,DJ197)=1,DJ198&gt;0),1,1-INDEX('Lease Cycles'!$DD$19:$DJ$19,1,DJ197))*((1-'Lease Cycles'!$AJ$19)*INDEX('Lease Cycles'!$FO$19:$FU$19,1,DJ197)+(1-'Lease Cycles'!$BE$19)*(1-INDEX('Lease Cycles'!$FO$19:$FU$19,1,DJ197)))),0)</f>
        <v>0</v>
      </c>
      <c r="DK205" s="24">
        <f>IF(DK199=1,'Lease Cycles'!$D$19*IF(INDEX('Lease Cycles'!$EF$19:$EL$19,1,DK197)=1,(1-'Lease Cycles'!$AJ$19)*INDEX('Lease Cycles'!$EM$19:$ES$19,1,DK197)+(1-'Lease Cycles'!$BE$19)*IF(DK198&lt;INDEX('Lease Cycles'!$FA$19:$FG$19,1,DK197),0,1-INDEX('Lease Cycles'!$EM$19:$ES$19,1,DK197)),IF(OR(INDEX('Lease Cycles'!$DY$19:$EE$19,1,DK197)=1,DK198&gt;0),1,1-INDEX('Lease Cycles'!$DD$19:$DJ$19,1,DK197))*((1-'Lease Cycles'!$AJ$19)*INDEX('Lease Cycles'!$FO$19:$FU$19,1,DK197)+(1-'Lease Cycles'!$BE$19)*(1-INDEX('Lease Cycles'!$FO$19:$FU$19,1,DK197)))),0)</f>
        <v>0</v>
      </c>
      <c r="DL205" s="24">
        <f>IF(DL199=1,'Lease Cycles'!$D$19*IF(INDEX('Lease Cycles'!$EF$19:$EL$19,1,DL197)=1,(1-'Lease Cycles'!$AJ$19)*INDEX('Lease Cycles'!$EM$19:$ES$19,1,DL197)+(1-'Lease Cycles'!$BE$19)*IF(DL198&lt;INDEX('Lease Cycles'!$FA$19:$FG$19,1,DL197),0,1-INDEX('Lease Cycles'!$EM$19:$ES$19,1,DL197)),IF(OR(INDEX('Lease Cycles'!$DY$19:$EE$19,1,DL197)=1,DL198&gt;0),1,1-INDEX('Lease Cycles'!$DD$19:$DJ$19,1,DL197))*((1-'Lease Cycles'!$AJ$19)*INDEX('Lease Cycles'!$FO$19:$FU$19,1,DL197)+(1-'Lease Cycles'!$BE$19)*(1-INDEX('Lease Cycles'!$FO$19:$FU$19,1,DL197)))),0)</f>
        <v>0</v>
      </c>
      <c r="DM205" s="24">
        <f>IF(DM199=1,'Lease Cycles'!$D$19*IF(INDEX('Lease Cycles'!$EF$19:$EL$19,1,DM197)=1,(1-'Lease Cycles'!$AJ$19)*INDEX('Lease Cycles'!$EM$19:$ES$19,1,DM197)+(1-'Lease Cycles'!$BE$19)*IF(DM198&lt;INDEX('Lease Cycles'!$FA$19:$FG$19,1,DM197),0,1-INDEX('Lease Cycles'!$EM$19:$ES$19,1,DM197)),IF(OR(INDEX('Lease Cycles'!$DY$19:$EE$19,1,DM197)=1,DM198&gt;0),1,1-INDEX('Lease Cycles'!$DD$19:$DJ$19,1,DM197))*((1-'Lease Cycles'!$AJ$19)*INDEX('Lease Cycles'!$FO$19:$FU$19,1,DM197)+(1-'Lease Cycles'!$BE$19)*(1-INDEX('Lease Cycles'!$FO$19:$FU$19,1,DM197)))),0)</f>
        <v>0</v>
      </c>
      <c r="DN205" s="24">
        <f>IF(DN199=1,'Lease Cycles'!$D$19*IF(INDEX('Lease Cycles'!$EF$19:$EL$19,1,DN197)=1,(1-'Lease Cycles'!$AJ$19)*INDEX('Lease Cycles'!$EM$19:$ES$19,1,DN197)+(1-'Lease Cycles'!$BE$19)*IF(DN198&lt;INDEX('Lease Cycles'!$FA$19:$FG$19,1,DN197),0,1-INDEX('Lease Cycles'!$EM$19:$ES$19,1,DN197)),IF(OR(INDEX('Lease Cycles'!$DY$19:$EE$19,1,DN197)=1,DN198&gt;0),1,1-INDEX('Lease Cycles'!$DD$19:$DJ$19,1,DN197))*((1-'Lease Cycles'!$AJ$19)*INDEX('Lease Cycles'!$FO$19:$FU$19,1,DN197)+(1-'Lease Cycles'!$BE$19)*(1-INDEX('Lease Cycles'!$FO$19:$FU$19,1,DN197)))),0)</f>
        <v>0</v>
      </c>
      <c r="DO205" s="24">
        <f>IF(DO199=1,'Lease Cycles'!$D$19*IF(INDEX('Lease Cycles'!$EF$19:$EL$19,1,DO197)=1,(1-'Lease Cycles'!$AJ$19)*INDEX('Lease Cycles'!$EM$19:$ES$19,1,DO197)+(1-'Lease Cycles'!$BE$19)*IF(DO198&lt;INDEX('Lease Cycles'!$FA$19:$FG$19,1,DO197),0,1-INDEX('Lease Cycles'!$EM$19:$ES$19,1,DO197)),IF(OR(INDEX('Lease Cycles'!$DY$19:$EE$19,1,DO197)=1,DO198&gt;0),1,1-INDEX('Lease Cycles'!$DD$19:$DJ$19,1,DO197))*((1-'Lease Cycles'!$AJ$19)*INDEX('Lease Cycles'!$FO$19:$FU$19,1,DO197)+(1-'Lease Cycles'!$BE$19)*(1-INDEX('Lease Cycles'!$FO$19:$FU$19,1,DO197)))),0)</f>
        <v>0</v>
      </c>
      <c r="DP205" s="24">
        <f>IF(DP199=1,'Lease Cycles'!$D$19*IF(INDEX('Lease Cycles'!$EF$19:$EL$19,1,DP197)=1,(1-'Lease Cycles'!$AJ$19)*INDEX('Lease Cycles'!$EM$19:$ES$19,1,DP197)+(1-'Lease Cycles'!$BE$19)*IF(DP198&lt;INDEX('Lease Cycles'!$FA$19:$FG$19,1,DP197),0,1-INDEX('Lease Cycles'!$EM$19:$ES$19,1,DP197)),IF(OR(INDEX('Lease Cycles'!$DY$19:$EE$19,1,DP197)=1,DP198&gt;0),1,1-INDEX('Lease Cycles'!$DD$19:$DJ$19,1,DP197))*((1-'Lease Cycles'!$AJ$19)*INDEX('Lease Cycles'!$FO$19:$FU$19,1,DP197)+(1-'Lease Cycles'!$BE$19)*(1-INDEX('Lease Cycles'!$FO$19:$FU$19,1,DP197)))),0)</f>
        <v>0</v>
      </c>
      <c r="DQ205" s="24">
        <f>IF(DQ199=1,'Lease Cycles'!$D$19*IF(INDEX('Lease Cycles'!$EF$19:$EL$19,1,DQ197)=1,(1-'Lease Cycles'!$AJ$19)*INDEX('Lease Cycles'!$EM$19:$ES$19,1,DQ197)+(1-'Lease Cycles'!$BE$19)*IF(DQ198&lt;INDEX('Lease Cycles'!$FA$19:$FG$19,1,DQ197),0,1-INDEX('Lease Cycles'!$EM$19:$ES$19,1,DQ197)),IF(OR(INDEX('Lease Cycles'!$DY$19:$EE$19,1,DQ197)=1,DQ198&gt;0),1,1-INDEX('Lease Cycles'!$DD$19:$DJ$19,1,DQ197))*((1-'Lease Cycles'!$AJ$19)*INDEX('Lease Cycles'!$FO$19:$FU$19,1,DQ197)+(1-'Lease Cycles'!$BE$19)*(1-INDEX('Lease Cycles'!$FO$19:$FU$19,1,DQ197)))),0)</f>
        <v>0</v>
      </c>
      <c r="DR205" s="24">
        <f>IF(DR199=1,'Lease Cycles'!$D$19*IF(INDEX('Lease Cycles'!$EF$19:$EL$19,1,DR197)=1,(1-'Lease Cycles'!$AJ$19)*INDEX('Lease Cycles'!$EM$19:$ES$19,1,DR197)+(1-'Lease Cycles'!$BE$19)*IF(DR198&lt;INDEX('Lease Cycles'!$FA$19:$FG$19,1,DR197),0,1-INDEX('Lease Cycles'!$EM$19:$ES$19,1,DR197)),IF(OR(INDEX('Lease Cycles'!$DY$19:$EE$19,1,DR197)=1,DR198&gt;0),1,1-INDEX('Lease Cycles'!$DD$19:$DJ$19,1,DR197))*((1-'Lease Cycles'!$AJ$19)*INDEX('Lease Cycles'!$FO$19:$FU$19,1,DR197)+(1-'Lease Cycles'!$BE$19)*(1-INDEX('Lease Cycles'!$FO$19:$FU$19,1,DR197)))),0)</f>
        <v>0</v>
      </c>
      <c r="DS205" s="24">
        <f>IF(DS199=1,'Lease Cycles'!$D$19*IF(INDEX('Lease Cycles'!$EF$19:$EL$19,1,DS197)=1,(1-'Lease Cycles'!$AJ$19)*INDEX('Lease Cycles'!$EM$19:$ES$19,1,DS197)+(1-'Lease Cycles'!$BE$19)*IF(DS198&lt;INDEX('Lease Cycles'!$FA$19:$FG$19,1,DS197),0,1-INDEX('Lease Cycles'!$EM$19:$ES$19,1,DS197)),IF(OR(INDEX('Lease Cycles'!$DY$19:$EE$19,1,DS197)=1,DS198&gt;0),1,1-INDEX('Lease Cycles'!$DD$19:$DJ$19,1,DS197))*((1-'Lease Cycles'!$AJ$19)*INDEX('Lease Cycles'!$FO$19:$FU$19,1,DS197)+(1-'Lease Cycles'!$BE$19)*(1-INDEX('Lease Cycles'!$FO$19:$FU$19,1,DS197)))),0)</f>
        <v>0</v>
      </c>
      <c r="DT205" s="24">
        <f>IF(DT199=1,'Lease Cycles'!$D$19*IF(INDEX('Lease Cycles'!$EF$19:$EL$19,1,DT197)=1,(1-'Lease Cycles'!$AJ$19)*INDEX('Lease Cycles'!$EM$19:$ES$19,1,DT197)+(1-'Lease Cycles'!$BE$19)*IF(DT198&lt;INDEX('Lease Cycles'!$FA$19:$FG$19,1,DT197),0,1-INDEX('Lease Cycles'!$EM$19:$ES$19,1,DT197)),IF(OR(INDEX('Lease Cycles'!$DY$19:$EE$19,1,DT197)=1,DT198&gt;0),1,1-INDEX('Lease Cycles'!$DD$19:$DJ$19,1,DT197))*((1-'Lease Cycles'!$AJ$19)*INDEX('Lease Cycles'!$FO$19:$FU$19,1,DT197)+(1-'Lease Cycles'!$BE$19)*(1-INDEX('Lease Cycles'!$FO$19:$FU$19,1,DT197)))),0)</f>
        <v>0</v>
      </c>
      <c r="DU205" s="24">
        <f>IF(DU199=1,'Lease Cycles'!$D$19*IF(INDEX('Lease Cycles'!$EF$19:$EL$19,1,DU197)=1,(1-'Lease Cycles'!$AJ$19)*INDEX('Lease Cycles'!$EM$19:$ES$19,1,DU197)+(1-'Lease Cycles'!$BE$19)*IF(DU198&lt;INDEX('Lease Cycles'!$FA$19:$FG$19,1,DU197),0,1-INDEX('Lease Cycles'!$EM$19:$ES$19,1,DU197)),IF(OR(INDEX('Lease Cycles'!$DY$19:$EE$19,1,DU197)=1,DU198&gt;0),1,1-INDEX('Lease Cycles'!$DD$19:$DJ$19,1,DU197))*((1-'Lease Cycles'!$AJ$19)*INDEX('Lease Cycles'!$FO$19:$FU$19,1,DU197)+(1-'Lease Cycles'!$BE$19)*(1-INDEX('Lease Cycles'!$FO$19:$FU$19,1,DU197)))),0)</f>
        <v>0</v>
      </c>
      <c r="DV205" s="24">
        <f>IF(DV199=1,'Lease Cycles'!$D$19*IF(INDEX('Lease Cycles'!$EF$19:$EL$19,1,DV197)=1,(1-'Lease Cycles'!$AJ$19)*INDEX('Lease Cycles'!$EM$19:$ES$19,1,DV197)+(1-'Lease Cycles'!$BE$19)*IF(DV198&lt;INDEX('Lease Cycles'!$FA$19:$FG$19,1,DV197),0,1-INDEX('Lease Cycles'!$EM$19:$ES$19,1,DV197)),IF(OR(INDEX('Lease Cycles'!$DY$19:$EE$19,1,DV197)=1,DV198&gt;0),1,1-INDEX('Lease Cycles'!$DD$19:$DJ$19,1,DV197))*((1-'Lease Cycles'!$AJ$19)*INDEX('Lease Cycles'!$FO$19:$FU$19,1,DV197)+(1-'Lease Cycles'!$BE$19)*(1-INDEX('Lease Cycles'!$FO$19:$FU$19,1,DV197)))),0)</f>
        <v>0</v>
      </c>
      <c r="DW205" s="24">
        <f>IF(DW199=1,'Lease Cycles'!$D$19*IF(INDEX('Lease Cycles'!$EF$19:$EL$19,1,DW197)=1,(1-'Lease Cycles'!$AJ$19)*INDEX('Lease Cycles'!$EM$19:$ES$19,1,DW197)+(1-'Lease Cycles'!$BE$19)*IF(DW198&lt;INDEX('Lease Cycles'!$FA$19:$FG$19,1,DW197),0,1-INDEX('Lease Cycles'!$EM$19:$ES$19,1,DW197)),IF(OR(INDEX('Lease Cycles'!$DY$19:$EE$19,1,DW197)=1,DW198&gt;0),1,1-INDEX('Lease Cycles'!$DD$19:$DJ$19,1,DW197))*((1-'Lease Cycles'!$AJ$19)*INDEX('Lease Cycles'!$FO$19:$FU$19,1,DW197)+(1-'Lease Cycles'!$BE$19)*(1-INDEX('Lease Cycles'!$FO$19:$FU$19,1,DW197)))),0)</f>
        <v>0</v>
      </c>
      <c r="DX205" s="24">
        <f>IF(DX199=1,'Lease Cycles'!$D$19*IF(INDEX('Lease Cycles'!$EF$19:$EL$19,1,DX197)=1,(1-'Lease Cycles'!$AJ$19)*INDEX('Lease Cycles'!$EM$19:$ES$19,1,DX197)+(1-'Lease Cycles'!$BE$19)*IF(DX198&lt;INDEX('Lease Cycles'!$FA$19:$FG$19,1,DX197),0,1-INDEX('Lease Cycles'!$EM$19:$ES$19,1,DX197)),IF(OR(INDEX('Lease Cycles'!$DY$19:$EE$19,1,DX197)=1,DX198&gt;0),1,1-INDEX('Lease Cycles'!$DD$19:$DJ$19,1,DX197))*((1-'Lease Cycles'!$AJ$19)*INDEX('Lease Cycles'!$FO$19:$FU$19,1,DX197)+(1-'Lease Cycles'!$BE$19)*(1-INDEX('Lease Cycles'!$FO$19:$FU$19,1,DX197)))),0)</f>
        <v>0</v>
      </c>
      <c r="DY205" s="24">
        <f>IF(DY199=1,'Lease Cycles'!$D$19*IF(INDEX('Lease Cycles'!$EF$19:$EL$19,1,DY197)=1,(1-'Lease Cycles'!$AJ$19)*INDEX('Lease Cycles'!$EM$19:$ES$19,1,DY197)+(1-'Lease Cycles'!$BE$19)*IF(DY198&lt;INDEX('Lease Cycles'!$FA$19:$FG$19,1,DY197),0,1-INDEX('Lease Cycles'!$EM$19:$ES$19,1,DY197)),IF(OR(INDEX('Lease Cycles'!$DY$19:$EE$19,1,DY197)=1,DY198&gt;0),1,1-INDEX('Lease Cycles'!$DD$19:$DJ$19,1,DY197))*((1-'Lease Cycles'!$AJ$19)*INDEX('Lease Cycles'!$FO$19:$FU$19,1,DY197)+(1-'Lease Cycles'!$BE$19)*(1-INDEX('Lease Cycles'!$FO$19:$FU$19,1,DY197)))),0)</f>
        <v>0</v>
      </c>
      <c r="DZ205" s="24">
        <f>IF(DZ199=1,'Lease Cycles'!$D$19*IF(INDEX('Lease Cycles'!$EF$19:$EL$19,1,DZ197)=1,(1-'Lease Cycles'!$AJ$19)*INDEX('Lease Cycles'!$EM$19:$ES$19,1,DZ197)+(1-'Lease Cycles'!$BE$19)*IF(DZ198&lt;INDEX('Lease Cycles'!$FA$19:$FG$19,1,DZ197),0,1-INDEX('Lease Cycles'!$EM$19:$ES$19,1,DZ197)),IF(OR(INDEX('Lease Cycles'!$DY$19:$EE$19,1,DZ197)=1,DZ198&gt;0),1,1-INDEX('Lease Cycles'!$DD$19:$DJ$19,1,DZ197))*((1-'Lease Cycles'!$AJ$19)*INDEX('Lease Cycles'!$FO$19:$FU$19,1,DZ197)+(1-'Lease Cycles'!$BE$19)*(1-INDEX('Lease Cycles'!$FO$19:$FU$19,1,DZ197)))),0)</f>
        <v>0</v>
      </c>
      <c r="EA205" s="24">
        <f>IF(EA199=1,'Lease Cycles'!$D$19*IF(INDEX('Lease Cycles'!$EF$19:$EL$19,1,EA197)=1,(1-'Lease Cycles'!$AJ$19)*INDEX('Lease Cycles'!$EM$19:$ES$19,1,EA197)+(1-'Lease Cycles'!$BE$19)*IF(EA198&lt;INDEX('Lease Cycles'!$FA$19:$FG$19,1,EA197),0,1-INDEX('Lease Cycles'!$EM$19:$ES$19,1,EA197)),IF(OR(INDEX('Lease Cycles'!$DY$19:$EE$19,1,EA197)=1,EA198&gt;0),1,1-INDEX('Lease Cycles'!$DD$19:$DJ$19,1,EA197))*((1-'Lease Cycles'!$AJ$19)*INDEX('Lease Cycles'!$FO$19:$FU$19,1,EA197)+(1-'Lease Cycles'!$BE$19)*(1-INDEX('Lease Cycles'!$FO$19:$FU$19,1,EA197)))),0)</f>
        <v>0</v>
      </c>
      <c r="EB205" s="24">
        <f>IF(EB199=1,'Lease Cycles'!$D$19*IF(INDEX('Lease Cycles'!$EF$19:$EL$19,1,EB197)=1,(1-'Lease Cycles'!$AJ$19)*INDEX('Lease Cycles'!$EM$19:$ES$19,1,EB197)+(1-'Lease Cycles'!$BE$19)*IF(EB198&lt;INDEX('Lease Cycles'!$FA$19:$FG$19,1,EB197),0,1-INDEX('Lease Cycles'!$EM$19:$ES$19,1,EB197)),IF(OR(INDEX('Lease Cycles'!$DY$19:$EE$19,1,EB197)=1,EB198&gt;0),1,1-INDEX('Lease Cycles'!$DD$19:$DJ$19,1,EB197))*((1-'Lease Cycles'!$AJ$19)*INDEX('Lease Cycles'!$FO$19:$FU$19,1,EB197)+(1-'Lease Cycles'!$BE$19)*(1-INDEX('Lease Cycles'!$FO$19:$FU$19,1,EB197)))),0)</f>
        <v>0</v>
      </c>
      <c r="EC205" s="24">
        <f>IF(EC199=1,'Lease Cycles'!$D$19*IF(INDEX('Lease Cycles'!$EF$19:$EL$19,1,EC197)=1,(1-'Lease Cycles'!$AJ$19)*INDEX('Lease Cycles'!$EM$19:$ES$19,1,EC197)+(1-'Lease Cycles'!$BE$19)*IF(EC198&lt;INDEX('Lease Cycles'!$FA$19:$FG$19,1,EC197),0,1-INDEX('Lease Cycles'!$EM$19:$ES$19,1,EC197)),IF(OR(INDEX('Lease Cycles'!$DY$19:$EE$19,1,EC197)=1,EC198&gt;0),1,1-INDEX('Lease Cycles'!$DD$19:$DJ$19,1,EC197))*((1-'Lease Cycles'!$AJ$19)*INDEX('Lease Cycles'!$FO$19:$FU$19,1,EC197)+(1-'Lease Cycles'!$BE$19)*(1-INDEX('Lease Cycles'!$FO$19:$FU$19,1,EC197)))),0)</f>
        <v>0</v>
      </c>
      <c r="ED205" s="24">
        <f>IF(ED199=1,'Lease Cycles'!$D$19*IF(INDEX('Lease Cycles'!$EF$19:$EL$19,1,ED197)=1,(1-'Lease Cycles'!$AJ$19)*INDEX('Lease Cycles'!$EM$19:$ES$19,1,ED197)+(1-'Lease Cycles'!$BE$19)*IF(ED198&lt;INDEX('Lease Cycles'!$FA$19:$FG$19,1,ED197),0,1-INDEX('Lease Cycles'!$EM$19:$ES$19,1,ED197)),IF(OR(INDEX('Lease Cycles'!$DY$19:$EE$19,1,ED197)=1,ED198&gt;0),1,1-INDEX('Lease Cycles'!$DD$19:$DJ$19,1,ED197))*((1-'Lease Cycles'!$AJ$19)*INDEX('Lease Cycles'!$FO$19:$FU$19,1,ED197)+(1-'Lease Cycles'!$BE$19)*(1-INDEX('Lease Cycles'!$FO$19:$FU$19,1,ED197)))),0)</f>
        <v>0</v>
      </c>
      <c r="EE205" s="24">
        <f>IF(EE199=1,'Lease Cycles'!$D$19*IF(INDEX('Lease Cycles'!$EF$19:$EL$19,1,EE197)=1,(1-'Lease Cycles'!$AJ$19)*INDEX('Lease Cycles'!$EM$19:$ES$19,1,EE197)+(1-'Lease Cycles'!$BE$19)*IF(EE198&lt;INDEX('Lease Cycles'!$FA$19:$FG$19,1,EE197),0,1-INDEX('Lease Cycles'!$EM$19:$ES$19,1,EE197)),IF(OR(INDEX('Lease Cycles'!$DY$19:$EE$19,1,EE197)=1,EE198&gt;0),1,1-INDEX('Lease Cycles'!$DD$19:$DJ$19,1,EE197))*((1-'Lease Cycles'!$AJ$19)*INDEX('Lease Cycles'!$FO$19:$FU$19,1,EE197)+(1-'Lease Cycles'!$BE$19)*(1-INDEX('Lease Cycles'!$FO$19:$FU$19,1,EE197)))),0)</f>
        <v>0</v>
      </c>
      <c r="EF205" s="24">
        <f>IF(EF199=1,'Lease Cycles'!$D$19*IF(INDEX('Lease Cycles'!$EF$19:$EL$19,1,EF197)=1,(1-'Lease Cycles'!$AJ$19)*INDEX('Lease Cycles'!$EM$19:$ES$19,1,EF197)+(1-'Lease Cycles'!$BE$19)*IF(EF198&lt;INDEX('Lease Cycles'!$FA$19:$FG$19,1,EF197),0,1-INDEX('Lease Cycles'!$EM$19:$ES$19,1,EF197)),IF(OR(INDEX('Lease Cycles'!$DY$19:$EE$19,1,EF197)=1,EF198&gt;0),1,1-INDEX('Lease Cycles'!$DD$19:$DJ$19,1,EF197))*((1-'Lease Cycles'!$AJ$19)*INDEX('Lease Cycles'!$FO$19:$FU$19,1,EF197)+(1-'Lease Cycles'!$BE$19)*(1-INDEX('Lease Cycles'!$FO$19:$FU$19,1,EF197)))),0)</f>
        <v>0</v>
      </c>
      <c r="EG205" s="24">
        <f>IF(EG199=1,'Lease Cycles'!$D$19*IF(INDEX('Lease Cycles'!$EF$19:$EL$19,1,EG197)=1,(1-'Lease Cycles'!$AJ$19)*INDEX('Lease Cycles'!$EM$19:$ES$19,1,EG197)+(1-'Lease Cycles'!$BE$19)*IF(EG198&lt;INDEX('Lease Cycles'!$FA$19:$FG$19,1,EG197),0,1-INDEX('Lease Cycles'!$EM$19:$ES$19,1,EG197)),IF(OR(INDEX('Lease Cycles'!$DY$19:$EE$19,1,EG197)=1,EG198&gt;0),1,1-INDEX('Lease Cycles'!$DD$19:$DJ$19,1,EG197))*((1-'Lease Cycles'!$AJ$19)*INDEX('Lease Cycles'!$FO$19:$FU$19,1,EG197)+(1-'Lease Cycles'!$BE$19)*(1-INDEX('Lease Cycles'!$FO$19:$FU$19,1,EG197)))),0)</f>
        <v>0</v>
      </c>
      <c r="EH205" s="24">
        <f>IF(EH199=1,'Lease Cycles'!$D$19*IF(INDEX('Lease Cycles'!$EF$19:$EL$19,1,EH197)=1,(1-'Lease Cycles'!$AJ$19)*INDEX('Lease Cycles'!$EM$19:$ES$19,1,EH197)+(1-'Lease Cycles'!$BE$19)*IF(EH198&lt;INDEX('Lease Cycles'!$FA$19:$FG$19,1,EH197),0,1-INDEX('Lease Cycles'!$EM$19:$ES$19,1,EH197)),IF(OR(INDEX('Lease Cycles'!$DY$19:$EE$19,1,EH197)=1,EH198&gt;0),1,1-INDEX('Lease Cycles'!$DD$19:$DJ$19,1,EH197))*((1-'Lease Cycles'!$AJ$19)*INDEX('Lease Cycles'!$FO$19:$FU$19,1,EH197)+(1-'Lease Cycles'!$BE$19)*(1-INDEX('Lease Cycles'!$FO$19:$FU$19,1,EH197)))),0)</f>
        <v>0</v>
      </c>
      <c r="EI205" s="24">
        <f>IF(EI199=1,'Lease Cycles'!$D$19*IF(INDEX('Lease Cycles'!$EF$19:$EL$19,1,EI197)=1,(1-'Lease Cycles'!$AJ$19)*INDEX('Lease Cycles'!$EM$19:$ES$19,1,EI197)+(1-'Lease Cycles'!$BE$19)*IF(EI198&lt;INDEX('Lease Cycles'!$FA$19:$FG$19,1,EI197),0,1-INDEX('Lease Cycles'!$EM$19:$ES$19,1,EI197)),IF(OR(INDEX('Lease Cycles'!$DY$19:$EE$19,1,EI197)=1,EI198&gt;0),1,1-INDEX('Lease Cycles'!$DD$19:$DJ$19,1,EI197))*((1-'Lease Cycles'!$AJ$19)*INDEX('Lease Cycles'!$FO$19:$FU$19,1,EI197)+(1-'Lease Cycles'!$BE$19)*(1-INDEX('Lease Cycles'!$FO$19:$FU$19,1,EI197)))),0)</f>
        <v>0</v>
      </c>
      <c r="EJ205" s="24">
        <f>IF(EJ199=1,'Lease Cycles'!$D$19*IF(INDEX('Lease Cycles'!$EF$19:$EL$19,1,EJ197)=1,(1-'Lease Cycles'!$AJ$19)*INDEX('Lease Cycles'!$EM$19:$ES$19,1,EJ197)+(1-'Lease Cycles'!$BE$19)*IF(EJ198&lt;INDEX('Lease Cycles'!$FA$19:$FG$19,1,EJ197),0,1-INDEX('Lease Cycles'!$EM$19:$ES$19,1,EJ197)),IF(OR(INDEX('Lease Cycles'!$DY$19:$EE$19,1,EJ197)=1,EJ198&gt;0),1,1-INDEX('Lease Cycles'!$DD$19:$DJ$19,1,EJ197))*((1-'Lease Cycles'!$AJ$19)*INDEX('Lease Cycles'!$FO$19:$FU$19,1,EJ197)+(1-'Lease Cycles'!$BE$19)*(1-INDEX('Lease Cycles'!$FO$19:$FU$19,1,EJ197)))),0)</f>
        <v>0</v>
      </c>
      <c r="EK205" s="24">
        <f>IF(EK199=1,'Lease Cycles'!$D$19*IF(INDEX('Lease Cycles'!$EF$19:$EL$19,1,EK197)=1,(1-'Lease Cycles'!$AJ$19)*INDEX('Lease Cycles'!$EM$19:$ES$19,1,EK197)+(1-'Lease Cycles'!$BE$19)*IF(EK198&lt;INDEX('Lease Cycles'!$FA$19:$FG$19,1,EK197),0,1-INDEX('Lease Cycles'!$EM$19:$ES$19,1,EK197)),IF(OR(INDEX('Lease Cycles'!$DY$19:$EE$19,1,EK197)=1,EK198&gt;0),1,1-INDEX('Lease Cycles'!$DD$19:$DJ$19,1,EK197))*((1-'Lease Cycles'!$AJ$19)*INDEX('Lease Cycles'!$FO$19:$FU$19,1,EK197)+(1-'Lease Cycles'!$BE$19)*(1-INDEX('Lease Cycles'!$FO$19:$FU$19,1,EK197)))),0)</f>
        <v>0</v>
      </c>
      <c r="EL205" s="24">
        <f>IF(EL199=1,'Lease Cycles'!$D$19*IF(INDEX('Lease Cycles'!$EF$19:$EL$19,1,EL197)=1,(1-'Lease Cycles'!$AJ$19)*INDEX('Lease Cycles'!$EM$19:$ES$19,1,EL197)+(1-'Lease Cycles'!$BE$19)*IF(EL198&lt;INDEX('Lease Cycles'!$FA$19:$FG$19,1,EL197),0,1-INDEX('Lease Cycles'!$EM$19:$ES$19,1,EL197)),IF(OR(INDEX('Lease Cycles'!$DY$19:$EE$19,1,EL197)=1,EL198&gt;0),1,1-INDEX('Lease Cycles'!$DD$19:$DJ$19,1,EL197))*((1-'Lease Cycles'!$AJ$19)*INDEX('Lease Cycles'!$FO$19:$FU$19,1,EL197)+(1-'Lease Cycles'!$BE$19)*(1-INDEX('Lease Cycles'!$FO$19:$FU$19,1,EL197)))),0)</f>
        <v>0</v>
      </c>
      <c r="EM205" s="24">
        <f>IF(EM199=1,'Lease Cycles'!$D$19*IF(INDEX('Lease Cycles'!$EF$19:$EL$19,1,EM197)=1,(1-'Lease Cycles'!$AJ$19)*INDEX('Lease Cycles'!$EM$19:$ES$19,1,EM197)+(1-'Lease Cycles'!$BE$19)*IF(EM198&lt;INDEX('Lease Cycles'!$FA$19:$FG$19,1,EM197),0,1-INDEX('Lease Cycles'!$EM$19:$ES$19,1,EM197)),IF(OR(INDEX('Lease Cycles'!$DY$19:$EE$19,1,EM197)=1,EM198&gt;0),1,1-INDEX('Lease Cycles'!$DD$19:$DJ$19,1,EM197))*((1-'Lease Cycles'!$AJ$19)*INDEX('Lease Cycles'!$FO$19:$FU$19,1,EM197)+(1-'Lease Cycles'!$BE$19)*(1-INDEX('Lease Cycles'!$FO$19:$FU$19,1,EM197)))),0)</f>
        <v>0</v>
      </c>
      <c r="EN205" s="24">
        <f>IF(EN199=1,'Lease Cycles'!$D$19*IF(INDEX('Lease Cycles'!$EF$19:$EL$19,1,EN197)=1,(1-'Lease Cycles'!$AJ$19)*INDEX('Lease Cycles'!$EM$19:$ES$19,1,EN197)+(1-'Lease Cycles'!$BE$19)*IF(EN198&lt;INDEX('Lease Cycles'!$FA$19:$FG$19,1,EN197),0,1-INDEX('Lease Cycles'!$EM$19:$ES$19,1,EN197)),IF(OR(INDEX('Lease Cycles'!$DY$19:$EE$19,1,EN197)=1,EN198&gt;0),1,1-INDEX('Lease Cycles'!$DD$19:$DJ$19,1,EN197))*((1-'Lease Cycles'!$AJ$19)*INDEX('Lease Cycles'!$FO$19:$FU$19,1,EN197)+(1-'Lease Cycles'!$BE$19)*(1-INDEX('Lease Cycles'!$FO$19:$FU$19,1,EN197)))),0)</f>
        <v>0</v>
      </c>
      <c r="EO205" s="24">
        <f>IF(EO199=1,'Lease Cycles'!$D$19*IF(INDEX('Lease Cycles'!$EF$19:$EL$19,1,EO197)=1,(1-'Lease Cycles'!$AJ$19)*INDEX('Lease Cycles'!$EM$19:$ES$19,1,EO197)+(1-'Lease Cycles'!$BE$19)*IF(EO198&lt;INDEX('Lease Cycles'!$FA$19:$FG$19,1,EO197),0,1-INDEX('Lease Cycles'!$EM$19:$ES$19,1,EO197)),IF(OR(INDEX('Lease Cycles'!$DY$19:$EE$19,1,EO197)=1,EO198&gt;0),1,1-INDEX('Lease Cycles'!$DD$19:$DJ$19,1,EO197))*((1-'Lease Cycles'!$AJ$19)*INDEX('Lease Cycles'!$FO$19:$FU$19,1,EO197)+(1-'Lease Cycles'!$BE$19)*(1-INDEX('Lease Cycles'!$FO$19:$FU$19,1,EO197)))),0)</f>
        <v>0</v>
      </c>
      <c r="EP205" s="24">
        <f>IF(EP199=1,'Lease Cycles'!$D$19*IF(INDEX('Lease Cycles'!$EF$19:$EL$19,1,EP197)=1,(1-'Lease Cycles'!$AJ$19)*INDEX('Lease Cycles'!$EM$19:$ES$19,1,EP197)+(1-'Lease Cycles'!$BE$19)*IF(EP198&lt;INDEX('Lease Cycles'!$FA$19:$FG$19,1,EP197),0,1-INDEX('Lease Cycles'!$EM$19:$ES$19,1,EP197)),IF(OR(INDEX('Lease Cycles'!$DY$19:$EE$19,1,EP197)=1,EP198&gt;0),1,1-INDEX('Lease Cycles'!$DD$19:$DJ$19,1,EP197))*((1-'Lease Cycles'!$AJ$19)*INDEX('Lease Cycles'!$FO$19:$FU$19,1,EP197)+(1-'Lease Cycles'!$BE$19)*(1-INDEX('Lease Cycles'!$FO$19:$FU$19,1,EP197)))),0)</f>
        <v>0</v>
      </c>
      <c r="EQ205" s="24">
        <f>IF(EQ199=1,'Lease Cycles'!$D$19*IF(INDEX('Lease Cycles'!$EF$19:$EL$19,1,EQ197)=1,(1-'Lease Cycles'!$AJ$19)*INDEX('Lease Cycles'!$EM$19:$ES$19,1,EQ197)+(1-'Lease Cycles'!$BE$19)*IF(EQ198&lt;INDEX('Lease Cycles'!$FA$19:$FG$19,1,EQ197),0,1-INDEX('Lease Cycles'!$EM$19:$ES$19,1,EQ197)),IF(OR(INDEX('Lease Cycles'!$DY$19:$EE$19,1,EQ197)=1,EQ198&gt;0),1,1-INDEX('Lease Cycles'!$DD$19:$DJ$19,1,EQ197))*((1-'Lease Cycles'!$AJ$19)*INDEX('Lease Cycles'!$FO$19:$FU$19,1,EQ197)+(1-'Lease Cycles'!$BE$19)*(1-INDEX('Lease Cycles'!$FO$19:$FU$19,1,EQ197)))),0)</f>
        <v>0</v>
      </c>
      <c r="ER205" s="24">
        <f>IF(ER199=1,'Lease Cycles'!$D$19*IF(INDEX('Lease Cycles'!$EF$19:$EL$19,1,ER197)=1,(1-'Lease Cycles'!$AJ$19)*INDEX('Lease Cycles'!$EM$19:$ES$19,1,ER197)+(1-'Lease Cycles'!$BE$19)*IF(ER198&lt;INDEX('Lease Cycles'!$FA$19:$FG$19,1,ER197),0,1-INDEX('Lease Cycles'!$EM$19:$ES$19,1,ER197)),IF(OR(INDEX('Lease Cycles'!$DY$19:$EE$19,1,ER197)=1,ER198&gt;0),1,1-INDEX('Lease Cycles'!$DD$19:$DJ$19,1,ER197))*((1-'Lease Cycles'!$AJ$19)*INDEX('Lease Cycles'!$FO$19:$FU$19,1,ER197)+(1-'Lease Cycles'!$BE$19)*(1-INDEX('Lease Cycles'!$FO$19:$FU$19,1,ER197)))),0)</f>
        <v>0</v>
      </c>
      <c r="ES205" s="24">
        <f>IF(ES199=1,'Lease Cycles'!$D$19*IF(INDEX('Lease Cycles'!$EF$19:$EL$19,1,ES197)=1,(1-'Lease Cycles'!$AJ$19)*INDEX('Lease Cycles'!$EM$19:$ES$19,1,ES197)+(1-'Lease Cycles'!$BE$19)*IF(ES198&lt;INDEX('Lease Cycles'!$FA$19:$FG$19,1,ES197),0,1-INDEX('Lease Cycles'!$EM$19:$ES$19,1,ES197)),IF(OR(INDEX('Lease Cycles'!$DY$19:$EE$19,1,ES197)=1,ES198&gt;0),1,1-INDEX('Lease Cycles'!$DD$19:$DJ$19,1,ES197))*((1-'Lease Cycles'!$AJ$19)*INDEX('Lease Cycles'!$FO$19:$FU$19,1,ES197)+(1-'Lease Cycles'!$BE$19)*(1-INDEX('Lease Cycles'!$FO$19:$FU$19,1,ES197)))),0)</f>
        <v>0</v>
      </c>
      <c r="ET205" s="24">
        <f>IF(ET199=1,'Lease Cycles'!$D$19*IF(INDEX('Lease Cycles'!$EF$19:$EL$19,1,ET197)=1,(1-'Lease Cycles'!$AJ$19)*INDEX('Lease Cycles'!$EM$19:$ES$19,1,ET197)+(1-'Lease Cycles'!$BE$19)*IF(ET198&lt;INDEX('Lease Cycles'!$FA$19:$FG$19,1,ET197),0,1-INDEX('Lease Cycles'!$EM$19:$ES$19,1,ET197)),IF(OR(INDEX('Lease Cycles'!$DY$19:$EE$19,1,ET197)=1,ET198&gt;0),1,1-INDEX('Lease Cycles'!$DD$19:$DJ$19,1,ET197))*((1-'Lease Cycles'!$AJ$19)*INDEX('Lease Cycles'!$FO$19:$FU$19,1,ET197)+(1-'Lease Cycles'!$BE$19)*(1-INDEX('Lease Cycles'!$FO$19:$FU$19,1,ET197)))),0)</f>
        <v>0</v>
      </c>
    </row>
    <row r="206">
      <c r="A206" s="103">
        <v>12</v>
      </c>
      <c r="B206" s="23" t="str">
        <f>IF('Lease Cycles'!$B$19="","(empty slot)",'Lease Cycles'!$B$19)</f>
        <v>(empty slot)</v>
      </c>
      <c r="C206" s="23" t="s">
        <v>685</v>
      </c>
      <c r="D206" s="104" t="s">
        <v>686</v>
      </c>
      <c r="E206" s="25">
        <f>'Lease Cycles'!$AL$19</f>
        <v>0</v>
      </c>
      <c r="G206" s="24">
        <f>SUM(S206:AD206)</f>
        <v>0</v>
      </c>
      <c r="H206" s="24">
        <f>SUM(AE206:AP206)</f>
        <v>0</v>
      </c>
      <c r="I206" s="24">
        <f>SUM(AQ206:BB206)</f>
        <v>0</v>
      </c>
      <c r="J206" s="24">
        <f>SUM(BC206:BN206)</f>
        <v>0</v>
      </c>
      <c r="K206" s="24">
        <f>SUM(BO206:BZ206)</f>
        <v>0</v>
      </c>
      <c r="L206" s="24">
        <f>SUM(CA206:CL206)</f>
        <v>0</v>
      </c>
      <c r="M206" s="24">
        <f>SUM(CM206:CX206)</f>
        <v>0</v>
      </c>
      <c r="N206" s="24">
        <f>SUM(CY206:DJ206)</f>
        <v>0</v>
      </c>
      <c r="O206" s="24">
        <f>SUM(DK206:DV206)</f>
        <v>0</v>
      </c>
      <c r="P206" s="24">
        <f>SUM(DW206:EH206)</f>
        <v>0</v>
      </c>
      <c r="Q206" s="24">
        <f>SUM(EI206:ET206)</f>
        <v>0</v>
      </c>
      <c r="S206" s="24">
        <f>IF(S199=1,IF('Lease Cycles'!$AJ$19=1,0,'Lease Cycles'!$D$19*INDEX('Lease Cycles'!$FH$19:$FN$19,1,S197)*IF(INDEX('Lease Cycles'!$EF$19:$EL$19,1,S197)=1,1,IF(OR(INDEX('Lease Cycles'!$DY$19:$EE$19,1,S197)=1,S198&gt;0),1,1-INDEX('Lease Cycles'!$DD$19:$DJ$19,1,S197)))),0)</f>
        <v>0</v>
      </c>
      <c r="T206" s="24">
        <f>IF(T199=1,IF('Lease Cycles'!$AJ$19=1,0,'Lease Cycles'!$D$19*INDEX('Lease Cycles'!$FH$19:$FN$19,1,T197)*IF(INDEX('Lease Cycles'!$EF$19:$EL$19,1,T197)=1,1,IF(OR(INDEX('Lease Cycles'!$DY$19:$EE$19,1,T197)=1,T198&gt;0),1,1-INDEX('Lease Cycles'!$DD$19:$DJ$19,1,T197)))),0)</f>
        <v>0</v>
      </c>
      <c r="U206" s="24">
        <f>IF(U199=1,IF('Lease Cycles'!$AJ$19=1,0,'Lease Cycles'!$D$19*INDEX('Lease Cycles'!$FH$19:$FN$19,1,U197)*IF(INDEX('Lease Cycles'!$EF$19:$EL$19,1,U197)=1,1,IF(OR(INDEX('Lease Cycles'!$DY$19:$EE$19,1,U197)=1,U198&gt;0),1,1-INDEX('Lease Cycles'!$DD$19:$DJ$19,1,U197)))),0)</f>
        <v>0</v>
      </c>
      <c r="V206" s="24">
        <f>IF(V199=1,IF('Lease Cycles'!$AJ$19=1,0,'Lease Cycles'!$D$19*INDEX('Lease Cycles'!$FH$19:$FN$19,1,V197)*IF(INDEX('Lease Cycles'!$EF$19:$EL$19,1,V197)=1,1,IF(OR(INDEX('Lease Cycles'!$DY$19:$EE$19,1,V197)=1,V198&gt;0),1,1-INDEX('Lease Cycles'!$DD$19:$DJ$19,1,V197)))),0)</f>
        <v>0</v>
      </c>
      <c r="W206" s="24">
        <f>IF(W199=1,IF('Lease Cycles'!$AJ$19=1,0,'Lease Cycles'!$D$19*INDEX('Lease Cycles'!$FH$19:$FN$19,1,W197)*IF(INDEX('Lease Cycles'!$EF$19:$EL$19,1,W197)=1,1,IF(OR(INDEX('Lease Cycles'!$DY$19:$EE$19,1,W197)=1,W198&gt;0),1,1-INDEX('Lease Cycles'!$DD$19:$DJ$19,1,W197)))),0)</f>
        <v>0</v>
      </c>
      <c r="X206" s="24">
        <f>IF(X199=1,IF('Lease Cycles'!$AJ$19=1,0,'Lease Cycles'!$D$19*INDEX('Lease Cycles'!$FH$19:$FN$19,1,X197)*IF(INDEX('Lease Cycles'!$EF$19:$EL$19,1,X197)=1,1,IF(OR(INDEX('Lease Cycles'!$DY$19:$EE$19,1,X197)=1,X198&gt;0),1,1-INDEX('Lease Cycles'!$DD$19:$DJ$19,1,X197)))),0)</f>
        <v>0</v>
      </c>
      <c r="Y206" s="24">
        <f>IF(Y199=1,IF('Lease Cycles'!$AJ$19=1,0,'Lease Cycles'!$D$19*INDEX('Lease Cycles'!$FH$19:$FN$19,1,Y197)*IF(INDEX('Lease Cycles'!$EF$19:$EL$19,1,Y197)=1,1,IF(OR(INDEX('Lease Cycles'!$DY$19:$EE$19,1,Y197)=1,Y198&gt;0),1,1-INDEX('Lease Cycles'!$DD$19:$DJ$19,1,Y197)))),0)</f>
        <v>0</v>
      </c>
      <c r="Z206" s="24">
        <f>IF(Z199=1,IF('Lease Cycles'!$AJ$19=1,0,'Lease Cycles'!$D$19*INDEX('Lease Cycles'!$FH$19:$FN$19,1,Z197)*IF(INDEX('Lease Cycles'!$EF$19:$EL$19,1,Z197)=1,1,IF(OR(INDEX('Lease Cycles'!$DY$19:$EE$19,1,Z197)=1,Z198&gt;0),1,1-INDEX('Lease Cycles'!$DD$19:$DJ$19,1,Z197)))),0)</f>
        <v>0</v>
      </c>
      <c r="AA206" s="24">
        <f>IF(AA199=1,IF('Lease Cycles'!$AJ$19=1,0,'Lease Cycles'!$D$19*INDEX('Lease Cycles'!$FH$19:$FN$19,1,AA197)*IF(INDEX('Lease Cycles'!$EF$19:$EL$19,1,AA197)=1,1,IF(OR(INDEX('Lease Cycles'!$DY$19:$EE$19,1,AA197)=1,AA198&gt;0),1,1-INDEX('Lease Cycles'!$DD$19:$DJ$19,1,AA197)))),0)</f>
        <v>0</v>
      </c>
      <c r="AB206" s="24">
        <f>IF(AB199=1,IF('Lease Cycles'!$AJ$19=1,0,'Lease Cycles'!$D$19*INDEX('Lease Cycles'!$FH$19:$FN$19,1,AB197)*IF(INDEX('Lease Cycles'!$EF$19:$EL$19,1,AB197)=1,1,IF(OR(INDEX('Lease Cycles'!$DY$19:$EE$19,1,AB197)=1,AB198&gt;0),1,1-INDEX('Lease Cycles'!$DD$19:$DJ$19,1,AB197)))),0)</f>
        <v>0</v>
      </c>
      <c r="AC206" s="24">
        <f>IF(AC199=1,IF('Lease Cycles'!$AJ$19=1,0,'Lease Cycles'!$D$19*INDEX('Lease Cycles'!$FH$19:$FN$19,1,AC197)*IF(INDEX('Lease Cycles'!$EF$19:$EL$19,1,AC197)=1,1,IF(OR(INDEX('Lease Cycles'!$DY$19:$EE$19,1,AC197)=1,AC198&gt;0),1,1-INDEX('Lease Cycles'!$DD$19:$DJ$19,1,AC197)))),0)</f>
        <v>0</v>
      </c>
      <c r="AD206" s="24">
        <f>IF(AD199=1,IF('Lease Cycles'!$AJ$19=1,0,'Lease Cycles'!$D$19*INDEX('Lease Cycles'!$FH$19:$FN$19,1,AD197)*IF(INDEX('Lease Cycles'!$EF$19:$EL$19,1,AD197)=1,1,IF(OR(INDEX('Lease Cycles'!$DY$19:$EE$19,1,AD197)=1,AD198&gt;0),1,1-INDEX('Lease Cycles'!$DD$19:$DJ$19,1,AD197)))),0)</f>
        <v>0</v>
      </c>
      <c r="AE206" s="24">
        <f>IF(AE199=1,IF('Lease Cycles'!$AJ$19=1,0,'Lease Cycles'!$D$19*INDEX('Lease Cycles'!$FH$19:$FN$19,1,AE197)*IF(INDEX('Lease Cycles'!$EF$19:$EL$19,1,AE197)=1,1,IF(OR(INDEX('Lease Cycles'!$DY$19:$EE$19,1,AE197)=1,AE198&gt;0),1,1-INDEX('Lease Cycles'!$DD$19:$DJ$19,1,AE197)))),0)</f>
        <v>0</v>
      </c>
      <c r="AF206" s="24">
        <f>IF(AF199=1,IF('Lease Cycles'!$AJ$19=1,0,'Lease Cycles'!$D$19*INDEX('Lease Cycles'!$FH$19:$FN$19,1,AF197)*IF(INDEX('Lease Cycles'!$EF$19:$EL$19,1,AF197)=1,1,IF(OR(INDEX('Lease Cycles'!$DY$19:$EE$19,1,AF197)=1,AF198&gt;0),1,1-INDEX('Lease Cycles'!$DD$19:$DJ$19,1,AF197)))),0)</f>
        <v>0</v>
      </c>
      <c r="AG206" s="24">
        <f>IF(AG199=1,IF('Lease Cycles'!$AJ$19=1,0,'Lease Cycles'!$D$19*INDEX('Lease Cycles'!$FH$19:$FN$19,1,AG197)*IF(INDEX('Lease Cycles'!$EF$19:$EL$19,1,AG197)=1,1,IF(OR(INDEX('Lease Cycles'!$DY$19:$EE$19,1,AG197)=1,AG198&gt;0),1,1-INDEX('Lease Cycles'!$DD$19:$DJ$19,1,AG197)))),0)</f>
        <v>0</v>
      </c>
      <c r="AH206" s="24">
        <f>IF(AH199=1,IF('Lease Cycles'!$AJ$19=1,0,'Lease Cycles'!$D$19*INDEX('Lease Cycles'!$FH$19:$FN$19,1,AH197)*IF(INDEX('Lease Cycles'!$EF$19:$EL$19,1,AH197)=1,1,IF(OR(INDEX('Lease Cycles'!$DY$19:$EE$19,1,AH197)=1,AH198&gt;0),1,1-INDEX('Lease Cycles'!$DD$19:$DJ$19,1,AH197)))),0)</f>
        <v>0</v>
      </c>
      <c r="AI206" s="24">
        <f>IF(AI199=1,IF('Lease Cycles'!$AJ$19=1,0,'Lease Cycles'!$D$19*INDEX('Lease Cycles'!$FH$19:$FN$19,1,AI197)*IF(INDEX('Lease Cycles'!$EF$19:$EL$19,1,AI197)=1,1,IF(OR(INDEX('Lease Cycles'!$DY$19:$EE$19,1,AI197)=1,AI198&gt;0),1,1-INDEX('Lease Cycles'!$DD$19:$DJ$19,1,AI197)))),0)</f>
        <v>0</v>
      </c>
      <c r="AJ206" s="24">
        <f>IF(AJ199=1,IF('Lease Cycles'!$AJ$19=1,0,'Lease Cycles'!$D$19*INDEX('Lease Cycles'!$FH$19:$FN$19,1,AJ197)*IF(INDEX('Lease Cycles'!$EF$19:$EL$19,1,AJ197)=1,1,IF(OR(INDEX('Lease Cycles'!$DY$19:$EE$19,1,AJ197)=1,AJ198&gt;0),1,1-INDEX('Lease Cycles'!$DD$19:$DJ$19,1,AJ197)))),0)</f>
        <v>0</v>
      </c>
      <c r="AK206" s="24">
        <f>IF(AK199=1,IF('Lease Cycles'!$AJ$19=1,0,'Lease Cycles'!$D$19*INDEX('Lease Cycles'!$FH$19:$FN$19,1,AK197)*IF(INDEX('Lease Cycles'!$EF$19:$EL$19,1,AK197)=1,1,IF(OR(INDEX('Lease Cycles'!$DY$19:$EE$19,1,AK197)=1,AK198&gt;0),1,1-INDEX('Lease Cycles'!$DD$19:$DJ$19,1,AK197)))),0)</f>
        <v>0</v>
      </c>
      <c r="AL206" s="24">
        <f>IF(AL199=1,IF('Lease Cycles'!$AJ$19=1,0,'Lease Cycles'!$D$19*INDEX('Lease Cycles'!$FH$19:$FN$19,1,AL197)*IF(INDEX('Lease Cycles'!$EF$19:$EL$19,1,AL197)=1,1,IF(OR(INDEX('Lease Cycles'!$DY$19:$EE$19,1,AL197)=1,AL198&gt;0),1,1-INDEX('Lease Cycles'!$DD$19:$DJ$19,1,AL197)))),0)</f>
        <v>0</v>
      </c>
      <c r="AM206" s="24">
        <f>IF(AM199=1,IF('Lease Cycles'!$AJ$19=1,0,'Lease Cycles'!$D$19*INDEX('Lease Cycles'!$FH$19:$FN$19,1,AM197)*IF(INDEX('Lease Cycles'!$EF$19:$EL$19,1,AM197)=1,1,IF(OR(INDEX('Lease Cycles'!$DY$19:$EE$19,1,AM197)=1,AM198&gt;0),1,1-INDEX('Lease Cycles'!$DD$19:$DJ$19,1,AM197)))),0)</f>
        <v>0</v>
      </c>
      <c r="AN206" s="24">
        <f>IF(AN199=1,IF('Lease Cycles'!$AJ$19=1,0,'Lease Cycles'!$D$19*INDEX('Lease Cycles'!$FH$19:$FN$19,1,AN197)*IF(INDEX('Lease Cycles'!$EF$19:$EL$19,1,AN197)=1,1,IF(OR(INDEX('Lease Cycles'!$DY$19:$EE$19,1,AN197)=1,AN198&gt;0),1,1-INDEX('Lease Cycles'!$DD$19:$DJ$19,1,AN197)))),0)</f>
        <v>0</v>
      </c>
      <c r="AO206" s="24">
        <f>IF(AO199=1,IF('Lease Cycles'!$AJ$19=1,0,'Lease Cycles'!$D$19*INDEX('Lease Cycles'!$FH$19:$FN$19,1,AO197)*IF(INDEX('Lease Cycles'!$EF$19:$EL$19,1,AO197)=1,1,IF(OR(INDEX('Lease Cycles'!$DY$19:$EE$19,1,AO197)=1,AO198&gt;0),1,1-INDEX('Lease Cycles'!$DD$19:$DJ$19,1,AO197)))),0)</f>
        <v>0</v>
      </c>
      <c r="AP206" s="24">
        <f>IF(AP199=1,IF('Lease Cycles'!$AJ$19=1,0,'Lease Cycles'!$D$19*INDEX('Lease Cycles'!$FH$19:$FN$19,1,AP197)*IF(INDEX('Lease Cycles'!$EF$19:$EL$19,1,AP197)=1,1,IF(OR(INDEX('Lease Cycles'!$DY$19:$EE$19,1,AP197)=1,AP198&gt;0),1,1-INDEX('Lease Cycles'!$DD$19:$DJ$19,1,AP197)))),0)</f>
        <v>0</v>
      </c>
      <c r="AQ206" s="24">
        <f>IF(AQ199=1,IF('Lease Cycles'!$AJ$19=1,0,'Lease Cycles'!$D$19*INDEX('Lease Cycles'!$FH$19:$FN$19,1,AQ197)*IF(INDEX('Lease Cycles'!$EF$19:$EL$19,1,AQ197)=1,1,IF(OR(INDEX('Lease Cycles'!$DY$19:$EE$19,1,AQ197)=1,AQ198&gt;0),1,1-INDEX('Lease Cycles'!$DD$19:$DJ$19,1,AQ197)))),0)</f>
        <v>0</v>
      </c>
      <c r="AR206" s="24">
        <f>IF(AR199=1,IF('Lease Cycles'!$AJ$19=1,0,'Lease Cycles'!$D$19*INDEX('Lease Cycles'!$FH$19:$FN$19,1,AR197)*IF(INDEX('Lease Cycles'!$EF$19:$EL$19,1,AR197)=1,1,IF(OR(INDEX('Lease Cycles'!$DY$19:$EE$19,1,AR197)=1,AR198&gt;0),1,1-INDEX('Lease Cycles'!$DD$19:$DJ$19,1,AR197)))),0)</f>
        <v>0</v>
      </c>
      <c r="AS206" s="24">
        <f>IF(AS199=1,IF('Lease Cycles'!$AJ$19=1,0,'Lease Cycles'!$D$19*INDEX('Lease Cycles'!$FH$19:$FN$19,1,AS197)*IF(INDEX('Lease Cycles'!$EF$19:$EL$19,1,AS197)=1,1,IF(OR(INDEX('Lease Cycles'!$DY$19:$EE$19,1,AS197)=1,AS198&gt;0),1,1-INDEX('Lease Cycles'!$DD$19:$DJ$19,1,AS197)))),0)</f>
        <v>0</v>
      </c>
      <c r="AT206" s="24">
        <f>IF(AT199=1,IF('Lease Cycles'!$AJ$19=1,0,'Lease Cycles'!$D$19*INDEX('Lease Cycles'!$FH$19:$FN$19,1,AT197)*IF(INDEX('Lease Cycles'!$EF$19:$EL$19,1,AT197)=1,1,IF(OR(INDEX('Lease Cycles'!$DY$19:$EE$19,1,AT197)=1,AT198&gt;0),1,1-INDEX('Lease Cycles'!$DD$19:$DJ$19,1,AT197)))),0)</f>
        <v>0</v>
      </c>
      <c r="AU206" s="24">
        <f>IF(AU199=1,IF('Lease Cycles'!$AJ$19=1,0,'Lease Cycles'!$D$19*INDEX('Lease Cycles'!$FH$19:$FN$19,1,AU197)*IF(INDEX('Lease Cycles'!$EF$19:$EL$19,1,AU197)=1,1,IF(OR(INDEX('Lease Cycles'!$DY$19:$EE$19,1,AU197)=1,AU198&gt;0),1,1-INDEX('Lease Cycles'!$DD$19:$DJ$19,1,AU197)))),0)</f>
        <v>0</v>
      </c>
      <c r="AV206" s="24">
        <f>IF(AV199=1,IF('Lease Cycles'!$AJ$19=1,0,'Lease Cycles'!$D$19*INDEX('Lease Cycles'!$FH$19:$FN$19,1,AV197)*IF(INDEX('Lease Cycles'!$EF$19:$EL$19,1,AV197)=1,1,IF(OR(INDEX('Lease Cycles'!$DY$19:$EE$19,1,AV197)=1,AV198&gt;0),1,1-INDEX('Lease Cycles'!$DD$19:$DJ$19,1,AV197)))),0)</f>
        <v>0</v>
      </c>
      <c r="AW206" s="24">
        <f>IF(AW199=1,IF('Lease Cycles'!$AJ$19=1,0,'Lease Cycles'!$D$19*INDEX('Lease Cycles'!$FH$19:$FN$19,1,AW197)*IF(INDEX('Lease Cycles'!$EF$19:$EL$19,1,AW197)=1,1,IF(OR(INDEX('Lease Cycles'!$DY$19:$EE$19,1,AW197)=1,AW198&gt;0),1,1-INDEX('Lease Cycles'!$DD$19:$DJ$19,1,AW197)))),0)</f>
        <v>0</v>
      </c>
      <c r="AX206" s="24">
        <f>IF(AX199=1,IF('Lease Cycles'!$AJ$19=1,0,'Lease Cycles'!$D$19*INDEX('Lease Cycles'!$FH$19:$FN$19,1,AX197)*IF(INDEX('Lease Cycles'!$EF$19:$EL$19,1,AX197)=1,1,IF(OR(INDEX('Lease Cycles'!$DY$19:$EE$19,1,AX197)=1,AX198&gt;0),1,1-INDEX('Lease Cycles'!$DD$19:$DJ$19,1,AX197)))),0)</f>
        <v>0</v>
      </c>
      <c r="AY206" s="24">
        <f>IF(AY199=1,IF('Lease Cycles'!$AJ$19=1,0,'Lease Cycles'!$D$19*INDEX('Lease Cycles'!$FH$19:$FN$19,1,AY197)*IF(INDEX('Lease Cycles'!$EF$19:$EL$19,1,AY197)=1,1,IF(OR(INDEX('Lease Cycles'!$DY$19:$EE$19,1,AY197)=1,AY198&gt;0),1,1-INDEX('Lease Cycles'!$DD$19:$DJ$19,1,AY197)))),0)</f>
        <v>0</v>
      </c>
      <c r="AZ206" s="24">
        <f>IF(AZ199=1,IF('Lease Cycles'!$AJ$19=1,0,'Lease Cycles'!$D$19*INDEX('Lease Cycles'!$FH$19:$FN$19,1,AZ197)*IF(INDEX('Lease Cycles'!$EF$19:$EL$19,1,AZ197)=1,1,IF(OR(INDEX('Lease Cycles'!$DY$19:$EE$19,1,AZ197)=1,AZ198&gt;0),1,1-INDEX('Lease Cycles'!$DD$19:$DJ$19,1,AZ197)))),0)</f>
        <v>0</v>
      </c>
      <c r="BA206" s="24">
        <f>IF(BA199=1,IF('Lease Cycles'!$AJ$19=1,0,'Lease Cycles'!$D$19*INDEX('Lease Cycles'!$FH$19:$FN$19,1,BA197)*IF(INDEX('Lease Cycles'!$EF$19:$EL$19,1,BA197)=1,1,IF(OR(INDEX('Lease Cycles'!$DY$19:$EE$19,1,BA197)=1,BA198&gt;0),1,1-INDEX('Lease Cycles'!$DD$19:$DJ$19,1,BA197)))),0)</f>
        <v>0</v>
      </c>
      <c r="BB206" s="24">
        <f>IF(BB199=1,IF('Lease Cycles'!$AJ$19=1,0,'Lease Cycles'!$D$19*INDEX('Lease Cycles'!$FH$19:$FN$19,1,BB197)*IF(INDEX('Lease Cycles'!$EF$19:$EL$19,1,BB197)=1,1,IF(OR(INDEX('Lease Cycles'!$DY$19:$EE$19,1,BB197)=1,BB198&gt;0),1,1-INDEX('Lease Cycles'!$DD$19:$DJ$19,1,BB197)))),0)</f>
        <v>0</v>
      </c>
      <c r="BC206" s="24">
        <f>IF(BC199=1,IF('Lease Cycles'!$AJ$19=1,0,'Lease Cycles'!$D$19*INDEX('Lease Cycles'!$FH$19:$FN$19,1,BC197)*IF(INDEX('Lease Cycles'!$EF$19:$EL$19,1,BC197)=1,1,IF(OR(INDEX('Lease Cycles'!$DY$19:$EE$19,1,BC197)=1,BC198&gt;0),1,1-INDEX('Lease Cycles'!$DD$19:$DJ$19,1,BC197)))),0)</f>
        <v>0</v>
      </c>
      <c r="BD206" s="24">
        <f>IF(BD199=1,IF('Lease Cycles'!$AJ$19=1,0,'Lease Cycles'!$D$19*INDEX('Lease Cycles'!$FH$19:$FN$19,1,BD197)*IF(INDEX('Lease Cycles'!$EF$19:$EL$19,1,BD197)=1,1,IF(OR(INDEX('Lease Cycles'!$DY$19:$EE$19,1,BD197)=1,BD198&gt;0),1,1-INDEX('Lease Cycles'!$DD$19:$DJ$19,1,BD197)))),0)</f>
        <v>0</v>
      </c>
      <c r="BE206" s="24">
        <f>IF(BE199=1,IF('Lease Cycles'!$AJ$19=1,0,'Lease Cycles'!$D$19*INDEX('Lease Cycles'!$FH$19:$FN$19,1,BE197)*IF(INDEX('Lease Cycles'!$EF$19:$EL$19,1,BE197)=1,1,IF(OR(INDEX('Lease Cycles'!$DY$19:$EE$19,1,BE197)=1,BE198&gt;0),1,1-INDEX('Lease Cycles'!$DD$19:$DJ$19,1,BE197)))),0)</f>
        <v>0</v>
      </c>
      <c r="BF206" s="24">
        <f>IF(BF199=1,IF('Lease Cycles'!$AJ$19=1,0,'Lease Cycles'!$D$19*INDEX('Lease Cycles'!$FH$19:$FN$19,1,BF197)*IF(INDEX('Lease Cycles'!$EF$19:$EL$19,1,BF197)=1,1,IF(OR(INDEX('Lease Cycles'!$DY$19:$EE$19,1,BF197)=1,BF198&gt;0),1,1-INDEX('Lease Cycles'!$DD$19:$DJ$19,1,BF197)))),0)</f>
        <v>0</v>
      </c>
      <c r="BG206" s="24">
        <f>IF(BG199=1,IF('Lease Cycles'!$AJ$19=1,0,'Lease Cycles'!$D$19*INDEX('Lease Cycles'!$FH$19:$FN$19,1,BG197)*IF(INDEX('Lease Cycles'!$EF$19:$EL$19,1,BG197)=1,1,IF(OR(INDEX('Lease Cycles'!$DY$19:$EE$19,1,BG197)=1,BG198&gt;0),1,1-INDEX('Lease Cycles'!$DD$19:$DJ$19,1,BG197)))),0)</f>
        <v>0</v>
      </c>
      <c r="BH206" s="24">
        <f>IF(BH199=1,IF('Lease Cycles'!$AJ$19=1,0,'Lease Cycles'!$D$19*INDEX('Lease Cycles'!$FH$19:$FN$19,1,BH197)*IF(INDEX('Lease Cycles'!$EF$19:$EL$19,1,BH197)=1,1,IF(OR(INDEX('Lease Cycles'!$DY$19:$EE$19,1,BH197)=1,BH198&gt;0),1,1-INDEX('Lease Cycles'!$DD$19:$DJ$19,1,BH197)))),0)</f>
        <v>0</v>
      </c>
      <c r="BI206" s="24">
        <f>IF(BI199=1,IF('Lease Cycles'!$AJ$19=1,0,'Lease Cycles'!$D$19*INDEX('Lease Cycles'!$FH$19:$FN$19,1,BI197)*IF(INDEX('Lease Cycles'!$EF$19:$EL$19,1,BI197)=1,1,IF(OR(INDEX('Lease Cycles'!$DY$19:$EE$19,1,BI197)=1,BI198&gt;0),1,1-INDEX('Lease Cycles'!$DD$19:$DJ$19,1,BI197)))),0)</f>
        <v>0</v>
      </c>
      <c r="BJ206" s="24">
        <f>IF(BJ199=1,IF('Lease Cycles'!$AJ$19=1,0,'Lease Cycles'!$D$19*INDEX('Lease Cycles'!$FH$19:$FN$19,1,BJ197)*IF(INDEX('Lease Cycles'!$EF$19:$EL$19,1,BJ197)=1,1,IF(OR(INDEX('Lease Cycles'!$DY$19:$EE$19,1,BJ197)=1,BJ198&gt;0),1,1-INDEX('Lease Cycles'!$DD$19:$DJ$19,1,BJ197)))),0)</f>
        <v>0</v>
      </c>
      <c r="BK206" s="24">
        <f>IF(BK199=1,IF('Lease Cycles'!$AJ$19=1,0,'Lease Cycles'!$D$19*INDEX('Lease Cycles'!$FH$19:$FN$19,1,BK197)*IF(INDEX('Lease Cycles'!$EF$19:$EL$19,1,BK197)=1,1,IF(OR(INDEX('Lease Cycles'!$DY$19:$EE$19,1,BK197)=1,BK198&gt;0),1,1-INDEX('Lease Cycles'!$DD$19:$DJ$19,1,BK197)))),0)</f>
        <v>0</v>
      </c>
      <c r="BL206" s="24">
        <f>IF(BL199=1,IF('Lease Cycles'!$AJ$19=1,0,'Lease Cycles'!$D$19*INDEX('Lease Cycles'!$FH$19:$FN$19,1,BL197)*IF(INDEX('Lease Cycles'!$EF$19:$EL$19,1,BL197)=1,1,IF(OR(INDEX('Lease Cycles'!$DY$19:$EE$19,1,BL197)=1,BL198&gt;0),1,1-INDEX('Lease Cycles'!$DD$19:$DJ$19,1,BL197)))),0)</f>
        <v>0</v>
      </c>
      <c r="BM206" s="24">
        <f>IF(BM199=1,IF('Lease Cycles'!$AJ$19=1,0,'Lease Cycles'!$D$19*INDEX('Lease Cycles'!$FH$19:$FN$19,1,BM197)*IF(INDEX('Lease Cycles'!$EF$19:$EL$19,1,BM197)=1,1,IF(OR(INDEX('Lease Cycles'!$DY$19:$EE$19,1,BM197)=1,BM198&gt;0),1,1-INDEX('Lease Cycles'!$DD$19:$DJ$19,1,BM197)))),0)</f>
        <v>0</v>
      </c>
      <c r="BN206" s="24">
        <f>IF(BN199=1,IF('Lease Cycles'!$AJ$19=1,0,'Lease Cycles'!$D$19*INDEX('Lease Cycles'!$FH$19:$FN$19,1,BN197)*IF(INDEX('Lease Cycles'!$EF$19:$EL$19,1,BN197)=1,1,IF(OR(INDEX('Lease Cycles'!$DY$19:$EE$19,1,BN197)=1,BN198&gt;0),1,1-INDEX('Lease Cycles'!$DD$19:$DJ$19,1,BN197)))),0)</f>
        <v>0</v>
      </c>
      <c r="BO206" s="24">
        <f>IF(BO199=1,IF('Lease Cycles'!$AJ$19=1,0,'Lease Cycles'!$D$19*INDEX('Lease Cycles'!$FH$19:$FN$19,1,BO197)*IF(INDEX('Lease Cycles'!$EF$19:$EL$19,1,BO197)=1,1,IF(OR(INDEX('Lease Cycles'!$DY$19:$EE$19,1,BO197)=1,BO198&gt;0),1,1-INDEX('Lease Cycles'!$DD$19:$DJ$19,1,BO197)))),0)</f>
        <v>0</v>
      </c>
      <c r="BP206" s="24">
        <f>IF(BP199=1,IF('Lease Cycles'!$AJ$19=1,0,'Lease Cycles'!$D$19*INDEX('Lease Cycles'!$FH$19:$FN$19,1,BP197)*IF(INDEX('Lease Cycles'!$EF$19:$EL$19,1,BP197)=1,1,IF(OR(INDEX('Lease Cycles'!$DY$19:$EE$19,1,BP197)=1,BP198&gt;0),1,1-INDEX('Lease Cycles'!$DD$19:$DJ$19,1,BP197)))),0)</f>
        <v>0</v>
      </c>
      <c r="BQ206" s="24">
        <f>IF(BQ199=1,IF('Lease Cycles'!$AJ$19=1,0,'Lease Cycles'!$D$19*INDEX('Lease Cycles'!$FH$19:$FN$19,1,BQ197)*IF(INDEX('Lease Cycles'!$EF$19:$EL$19,1,BQ197)=1,1,IF(OR(INDEX('Lease Cycles'!$DY$19:$EE$19,1,BQ197)=1,BQ198&gt;0),1,1-INDEX('Lease Cycles'!$DD$19:$DJ$19,1,BQ197)))),0)</f>
        <v>0</v>
      </c>
      <c r="BR206" s="24">
        <f>IF(BR199=1,IF('Lease Cycles'!$AJ$19=1,0,'Lease Cycles'!$D$19*INDEX('Lease Cycles'!$FH$19:$FN$19,1,BR197)*IF(INDEX('Lease Cycles'!$EF$19:$EL$19,1,BR197)=1,1,IF(OR(INDEX('Lease Cycles'!$DY$19:$EE$19,1,BR197)=1,BR198&gt;0),1,1-INDEX('Lease Cycles'!$DD$19:$DJ$19,1,BR197)))),0)</f>
        <v>0</v>
      </c>
      <c r="BS206" s="24">
        <f>IF(BS199=1,IF('Lease Cycles'!$AJ$19=1,0,'Lease Cycles'!$D$19*INDEX('Lease Cycles'!$FH$19:$FN$19,1,BS197)*IF(INDEX('Lease Cycles'!$EF$19:$EL$19,1,BS197)=1,1,IF(OR(INDEX('Lease Cycles'!$DY$19:$EE$19,1,BS197)=1,BS198&gt;0),1,1-INDEX('Lease Cycles'!$DD$19:$DJ$19,1,BS197)))),0)</f>
        <v>0</v>
      </c>
      <c r="BT206" s="24">
        <f>IF(BT199=1,IF('Lease Cycles'!$AJ$19=1,0,'Lease Cycles'!$D$19*INDEX('Lease Cycles'!$FH$19:$FN$19,1,BT197)*IF(INDEX('Lease Cycles'!$EF$19:$EL$19,1,BT197)=1,1,IF(OR(INDEX('Lease Cycles'!$DY$19:$EE$19,1,BT197)=1,BT198&gt;0),1,1-INDEX('Lease Cycles'!$DD$19:$DJ$19,1,BT197)))),0)</f>
        <v>0</v>
      </c>
      <c r="BU206" s="24">
        <f>IF(BU199=1,IF('Lease Cycles'!$AJ$19=1,0,'Lease Cycles'!$D$19*INDEX('Lease Cycles'!$FH$19:$FN$19,1,BU197)*IF(INDEX('Lease Cycles'!$EF$19:$EL$19,1,BU197)=1,1,IF(OR(INDEX('Lease Cycles'!$DY$19:$EE$19,1,BU197)=1,BU198&gt;0),1,1-INDEX('Lease Cycles'!$DD$19:$DJ$19,1,BU197)))),0)</f>
        <v>0</v>
      </c>
      <c r="BV206" s="24">
        <f>IF(BV199=1,IF('Lease Cycles'!$AJ$19=1,0,'Lease Cycles'!$D$19*INDEX('Lease Cycles'!$FH$19:$FN$19,1,BV197)*IF(INDEX('Lease Cycles'!$EF$19:$EL$19,1,BV197)=1,1,IF(OR(INDEX('Lease Cycles'!$DY$19:$EE$19,1,BV197)=1,BV198&gt;0),1,1-INDEX('Lease Cycles'!$DD$19:$DJ$19,1,BV197)))),0)</f>
        <v>0</v>
      </c>
      <c r="BW206" s="24">
        <f>IF(BW199=1,IF('Lease Cycles'!$AJ$19=1,0,'Lease Cycles'!$D$19*INDEX('Lease Cycles'!$FH$19:$FN$19,1,BW197)*IF(INDEX('Lease Cycles'!$EF$19:$EL$19,1,BW197)=1,1,IF(OR(INDEX('Lease Cycles'!$DY$19:$EE$19,1,BW197)=1,BW198&gt;0),1,1-INDEX('Lease Cycles'!$DD$19:$DJ$19,1,BW197)))),0)</f>
        <v>0</v>
      </c>
      <c r="BX206" s="24">
        <f>IF(BX199=1,IF('Lease Cycles'!$AJ$19=1,0,'Lease Cycles'!$D$19*INDEX('Lease Cycles'!$FH$19:$FN$19,1,BX197)*IF(INDEX('Lease Cycles'!$EF$19:$EL$19,1,BX197)=1,1,IF(OR(INDEX('Lease Cycles'!$DY$19:$EE$19,1,BX197)=1,BX198&gt;0),1,1-INDEX('Lease Cycles'!$DD$19:$DJ$19,1,BX197)))),0)</f>
        <v>0</v>
      </c>
      <c r="BY206" s="24">
        <f>IF(BY199=1,IF('Lease Cycles'!$AJ$19=1,0,'Lease Cycles'!$D$19*INDEX('Lease Cycles'!$FH$19:$FN$19,1,BY197)*IF(INDEX('Lease Cycles'!$EF$19:$EL$19,1,BY197)=1,1,IF(OR(INDEX('Lease Cycles'!$DY$19:$EE$19,1,BY197)=1,BY198&gt;0),1,1-INDEX('Lease Cycles'!$DD$19:$DJ$19,1,BY197)))),0)</f>
        <v>0</v>
      </c>
      <c r="BZ206" s="24">
        <f>IF(BZ199=1,IF('Lease Cycles'!$AJ$19=1,0,'Lease Cycles'!$D$19*INDEX('Lease Cycles'!$FH$19:$FN$19,1,BZ197)*IF(INDEX('Lease Cycles'!$EF$19:$EL$19,1,BZ197)=1,1,IF(OR(INDEX('Lease Cycles'!$DY$19:$EE$19,1,BZ197)=1,BZ198&gt;0),1,1-INDEX('Lease Cycles'!$DD$19:$DJ$19,1,BZ197)))),0)</f>
        <v>0</v>
      </c>
      <c r="CA206" s="24">
        <f>IF(CA199=1,IF('Lease Cycles'!$AJ$19=1,0,'Lease Cycles'!$D$19*INDEX('Lease Cycles'!$FH$19:$FN$19,1,CA197)*IF(INDEX('Lease Cycles'!$EF$19:$EL$19,1,CA197)=1,1,IF(OR(INDEX('Lease Cycles'!$DY$19:$EE$19,1,CA197)=1,CA198&gt;0),1,1-INDEX('Lease Cycles'!$DD$19:$DJ$19,1,CA197)))),0)</f>
        <v>0</v>
      </c>
      <c r="CB206" s="24">
        <f>IF(CB199=1,IF('Lease Cycles'!$AJ$19=1,0,'Lease Cycles'!$D$19*INDEX('Lease Cycles'!$FH$19:$FN$19,1,CB197)*IF(INDEX('Lease Cycles'!$EF$19:$EL$19,1,CB197)=1,1,IF(OR(INDEX('Lease Cycles'!$DY$19:$EE$19,1,CB197)=1,CB198&gt;0),1,1-INDEX('Lease Cycles'!$DD$19:$DJ$19,1,CB197)))),0)</f>
        <v>0</v>
      </c>
      <c r="CC206" s="24">
        <f>IF(CC199=1,IF('Lease Cycles'!$AJ$19=1,0,'Lease Cycles'!$D$19*INDEX('Lease Cycles'!$FH$19:$FN$19,1,CC197)*IF(INDEX('Lease Cycles'!$EF$19:$EL$19,1,CC197)=1,1,IF(OR(INDEX('Lease Cycles'!$DY$19:$EE$19,1,CC197)=1,CC198&gt;0),1,1-INDEX('Lease Cycles'!$DD$19:$DJ$19,1,CC197)))),0)</f>
        <v>0</v>
      </c>
      <c r="CD206" s="24">
        <f>IF(CD199=1,IF('Lease Cycles'!$AJ$19=1,0,'Lease Cycles'!$D$19*INDEX('Lease Cycles'!$FH$19:$FN$19,1,CD197)*IF(INDEX('Lease Cycles'!$EF$19:$EL$19,1,CD197)=1,1,IF(OR(INDEX('Lease Cycles'!$DY$19:$EE$19,1,CD197)=1,CD198&gt;0),1,1-INDEX('Lease Cycles'!$DD$19:$DJ$19,1,CD197)))),0)</f>
        <v>0</v>
      </c>
      <c r="CE206" s="24">
        <f>IF(CE199=1,IF('Lease Cycles'!$AJ$19=1,0,'Lease Cycles'!$D$19*INDEX('Lease Cycles'!$FH$19:$FN$19,1,CE197)*IF(INDEX('Lease Cycles'!$EF$19:$EL$19,1,CE197)=1,1,IF(OR(INDEX('Lease Cycles'!$DY$19:$EE$19,1,CE197)=1,CE198&gt;0),1,1-INDEX('Lease Cycles'!$DD$19:$DJ$19,1,CE197)))),0)</f>
        <v>0</v>
      </c>
      <c r="CF206" s="24">
        <f>IF(CF199=1,IF('Lease Cycles'!$AJ$19=1,0,'Lease Cycles'!$D$19*INDEX('Lease Cycles'!$FH$19:$FN$19,1,CF197)*IF(INDEX('Lease Cycles'!$EF$19:$EL$19,1,CF197)=1,1,IF(OR(INDEX('Lease Cycles'!$DY$19:$EE$19,1,CF197)=1,CF198&gt;0),1,1-INDEX('Lease Cycles'!$DD$19:$DJ$19,1,CF197)))),0)</f>
        <v>0</v>
      </c>
      <c r="CG206" s="24">
        <f>IF(CG199=1,IF('Lease Cycles'!$AJ$19=1,0,'Lease Cycles'!$D$19*INDEX('Lease Cycles'!$FH$19:$FN$19,1,CG197)*IF(INDEX('Lease Cycles'!$EF$19:$EL$19,1,CG197)=1,1,IF(OR(INDEX('Lease Cycles'!$DY$19:$EE$19,1,CG197)=1,CG198&gt;0),1,1-INDEX('Lease Cycles'!$DD$19:$DJ$19,1,CG197)))),0)</f>
        <v>0</v>
      </c>
      <c r="CH206" s="24">
        <f>IF(CH199=1,IF('Lease Cycles'!$AJ$19=1,0,'Lease Cycles'!$D$19*INDEX('Lease Cycles'!$FH$19:$FN$19,1,CH197)*IF(INDEX('Lease Cycles'!$EF$19:$EL$19,1,CH197)=1,1,IF(OR(INDEX('Lease Cycles'!$DY$19:$EE$19,1,CH197)=1,CH198&gt;0),1,1-INDEX('Lease Cycles'!$DD$19:$DJ$19,1,CH197)))),0)</f>
        <v>0</v>
      </c>
      <c r="CI206" s="24">
        <f>IF(CI199=1,IF('Lease Cycles'!$AJ$19=1,0,'Lease Cycles'!$D$19*INDEX('Lease Cycles'!$FH$19:$FN$19,1,CI197)*IF(INDEX('Lease Cycles'!$EF$19:$EL$19,1,CI197)=1,1,IF(OR(INDEX('Lease Cycles'!$DY$19:$EE$19,1,CI197)=1,CI198&gt;0),1,1-INDEX('Lease Cycles'!$DD$19:$DJ$19,1,CI197)))),0)</f>
        <v>0</v>
      </c>
      <c r="CJ206" s="24">
        <f>IF(CJ199=1,IF('Lease Cycles'!$AJ$19=1,0,'Lease Cycles'!$D$19*INDEX('Lease Cycles'!$FH$19:$FN$19,1,CJ197)*IF(INDEX('Lease Cycles'!$EF$19:$EL$19,1,CJ197)=1,1,IF(OR(INDEX('Lease Cycles'!$DY$19:$EE$19,1,CJ197)=1,CJ198&gt;0),1,1-INDEX('Lease Cycles'!$DD$19:$DJ$19,1,CJ197)))),0)</f>
        <v>0</v>
      </c>
      <c r="CK206" s="24">
        <f>IF(CK199=1,IF('Lease Cycles'!$AJ$19=1,0,'Lease Cycles'!$D$19*INDEX('Lease Cycles'!$FH$19:$FN$19,1,CK197)*IF(INDEX('Lease Cycles'!$EF$19:$EL$19,1,CK197)=1,1,IF(OR(INDEX('Lease Cycles'!$DY$19:$EE$19,1,CK197)=1,CK198&gt;0),1,1-INDEX('Lease Cycles'!$DD$19:$DJ$19,1,CK197)))),0)</f>
        <v>0</v>
      </c>
      <c r="CL206" s="24">
        <f>IF(CL199=1,IF('Lease Cycles'!$AJ$19=1,0,'Lease Cycles'!$D$19*INDEX('Lease Cycles'!$FH$19:$FN$19,1,CL197)*IF(INDEX('Lease Cycles'!$EF$19:$EL$19,1,CL197)=1,1,IF(OR(INDEX('Lease Cycles'!$DY$19:$EE$19,1,CL197)=1,CL198&gt;0),1,1-INDEX('Lease Cycles'!$DD$19:$DJ$19,1,CL197)))),0)</f>
        <v>0</v>
      </c>
      <c r="CM206" s="24">
        <f>IF(CM199=1,IF('Lease Cycles'!$AJ$19=1,0,'Lease Cycles'!$D$19*INDEX('Lease Cycles'!$FH$19:$FN$19,1,CM197)*IF(INDEX('Lease Cycles'!$EF$19:$EL$19,1,CM197)=1,1,IF(OR(INDEX('Lease Cycles'!$DY$19:$EE$19,1,CM197)=1,CM198&gt;0),1,1-INDEX('Lease Cycles'!$DD$19:$DJ$19,1,CM197)))),0)</f>
        <v>0</v>
      </c>
      <c r="CN206" s="24">
        <f>IF(CN199=1,IF('Lease Cycles'!$AJ$19=1,0,'Lease Cycles'!$D$19*INDEX('Lease Cycles'!$FH$19:$FN$19,1,CN197)*IF(INDEX('Lease Cycles'!$EF$19:$EL$19,1,CN197)=1,1,IF(OR(INDEX('Lease Cycles'!$DY$19:$EE$19,1,CN197)=1,CN198&gt;0),1,1-INDEX('Lease Cycles'!$DD$19:$DJ$19,1,CN197)))),0)</f>
        <v>0</v>
      </c>
      <c r="CO206" s="24">
        <f>IF(CO199=1,IF('Lease Cycles'!$AJ$19=1,0,'Lease Cycles'!$D$19*INDEX('Lease Cycles'!$FH$19:$FN$19,1,CO197)*IF(INDEX('Lease Cycles'!$EF$19:$EL$19,1,CO197)=1,1,IF(OR(INDEX('Lease Cycles'!$DY$19:$EE$19,1,CO197)=1,CO198&gt;0),1,1-INDEX('Lease Cycles'!$DD$19:$DJ$19,1,CO197)))),0)</f>
        <v>0</v>
      </c>
      <c r="CP206" s="24">
        <f>IF(CP199=1,IF('Lease Cycles'!$AJ$19=1,0,'Lease Cycles'!$D$19*INDEX('Lease Cycles'!$FH$19:$FN$19,1,CP197)*IF(INDEX('Lease Cycles'!$EF$19:$EL$19,1,CP197)=1,1,IF(OR(INDEX('Lease Cycles'!$DY$19:$EE$19,1,CP197)=1,CP198&gt;0),1,1-INDEX('Lease Cycles'!$DD$19:$DJ$19,1,CP197)))),0)</f>
        <v>0</v>
      </c>
      <c r="CQ206" s="24">
        <f>IF(CQ199=1,IF('Lease Cycles'!$AJ$19=1,0,'Lease Cycles'!$D$19*INDEX('Lease Cycles'!$FH$19:$FN$19,1,CQ197)*IF(INDEX('Lease Cycles'!$EF$19:$EL$19,1,CQ197)=1,1,IF(OR(INDEX('Lease Cycles'!$DY$19:$EE$19,1,CQ197)=1,CQ198&gt;0),1,1-INDEX('Lease Cycles'!$DD$19:$DJ$19,1,CQ197)))),0)</f>
        <v>0</v>
      </c>
      <c r="CR206" s="24">
        <f>IF(CR199=1,IF('Lease Cycles'!$AJ$19=1,0,'Lease Cycles'!$D$19*INDEX('Lease Cycles'!$FH$19:$FN$19,1,CR197)*IF(INDEX('Lease Cycles'!$EF$19:$EL$19,1,CR197)=1,1,IF(OR(INDEX('Lease Cycles'!$DY$19:$EE$19,1,CR197)=1,CR198&gt;0),1,1-INDEX('Lease Cycles'!$DD$19:$DJ$19,1,CR197)))),0)</f>
        <v>0</v>
      </c>
      <c r="CS206" s="24">
        <f>IF(CS199=1,IF('Lease Cycles'!$AJ$19=1,0,'Lease Cycles'!$D$19*INDEX('Lease Cycles'!$FH$19:$FN$19,1,CS197)*IF(INDEX('Lease Cycles'!$EF$19:$EL$19,1,CS197)=1,1,IF(OR(INDEX('Lease Cycles'!$DY$19:$EE$19,1,CS197)=1,CS198&gt;0),1,1-INDEX('Lease Cycles'!$DD$19:$DJ$19,1,CS197)))),0)</f>
        <v>0</v>
      </c>
      <c r="CT206" s="24">
        <f>IF(CT199=1,IF('Lease Cycles'!$AJ$19=1,0,'Lease Cycles'!$D$19*INDEX('Lease Cycles'!$FH$19:$FN$19,1,CT197)*IF(INDEX('Lease Cycles'!$EF$19:$EL$19,1,CT197)=1,1,IF(OR(INDEX('Lease Cycles'!$DY$19:$EE$19,1,CT197)=1,CT198&gt;0),1,1-INDEX('Lease Cycles'!$DD$19:$DJ$19,1,CT197)))),0)</f>
        <v>0</v>
      </c>
      <c r="CU206" s="24">
        <f>IF(CU199=1,IF('Lease Cycles'!$AJ$19=1,0,'Lease Cycles'!$D$19*INDEX('Lease Cycles'!$FH$19:$FN$19,1,CU197)*IF(INDEX('Lease Cycles'!$EF$19:$EL$19,1,CU197)=1,1,IF(OR(INDEX('Lease Cycles'!$DY$19:$EE$19,1,CU197)=1,CU198&gt;0),1,1-INDEX('Lease Cycles'!$DD$19:$DJ$19,1,CU197)))),0)</f>
        <v>0</v>
      </c>
      <c r="CV206" s="24">
        <f>IF(CV199=1,IF('Lease Cycles'!$AJ$19=1,0,'Lease Cycles'!$D$19*INDEX('Lease Cycles'!$FH$19:$FN$19,1,CV197)*IF(INDEX('Lease Cycles'!$EF$19:$EL$19,1,CV197)=1,1,IF(OR(INDEX('Lease Cycles'!$DY$19:$EE$19,1,CV197)=1,CV198&gt;0),1,1-INDEX('Lease Cycles'!$DD$19:$DJ$19,1,CV197)))),0)</f>
        <v>0</v>
      </c>
      <c r="CW206" s="24">
        <f>IF(CW199=1,IF('Lease Cycles'!$AJ$19=1,0,'Lease Cycles'!$D$19*INDEX('Lease Cycles'!$FH$19:$FN$19,1,CW197)*IF(INDEX('Lease Cycles'!$EF$19:$EL$19,1,CW197)=1,1,IF(OR(INDEX('Lease Cycles'!$DY$19:$EE$19,1,CW197)=1,CW198&gt;0),1,1-INDEX('Lease Cycles'!$DD$19:$DJ$19,1,CW197)))),0)</f>
        <v>0</v>
      </c>
      <c r="CX206" s="24">
        <f>IF(CX199=1,IF('Lease Cycles'!$AJ$19=1,0,'Lease Cycles'!$D$19*INDEX('Lease Cycles'!$FH$19:$FN$19,1,CX197)*IF(INDEX('Lease Cycles'!$EF$19:$EL$19,1,CX197)=1,1,IF(OR(INDEX('Lease Cycles'!$DY$19:$EE$19,1,CX197)=1,CX198&gt;0),1,1-INDEX('Lease Cycles'!$DD$19:$DJ$19,1,CX197)))),0)</f>
        <v>0</v>
      </c>
      <c r="CY206" s="24">
        <f>IF(CY199=1,IF('Lease Cycles'!$AJ$19=1,0,'Lease Cycles'!$D$19*INDEX('Lease Cycles'!$FH$19:$FN$19,1,CY197)*IF(INDEX('Lease Cycles'!$EF$19:$EL$19,1,CY197)=1,1,IF(OR(INDEX('Lease Cycles'!$DY$19:$EE$19,1,CY197)=1,CY198&gt;0),1,1-INDEX('Lease Cycles'!$DD$19:$DJ$19,1,CY197)))),0)</f>
        <v>0</v>
      </c>
      <c r="CZ206" s="24">
        <f>IF(CZ199=1,IF('Lease Cycles'!$AJ$19=1,0,'Lease Cycles'!$D$19*INDEX('Lease Cycles'!$FH$19:$FN$19,1,CZ197)*IF(INDEX('Lease Cycles'!$EF$19:$EL$19,1,CZ197)=1,1,IF(OR(INDEX('Lease Cycles'!$DY$19:$EE$19,1,CZ197)=1,CZ198&gt;0),1,1-INDEX('Lease Cycles'!$DD$19:$DJ$19,1,CZ197)))),0)</f>
        <v>0</v>
      </c>
      <c r="DA206" s="24">
        <f>IF(DA199=1,IF('Lease Cycles'!$AJ$19=1,0,'Lease Cycles'!$D$19*INDEX('Lease Cycles'!$FH$19:$FN$19,1,DA197)*IF(INDEX('Lease Cycles'!$EF$19:$EL$19,1,DA197)=1,1,IF(OR(INDEX('Lease Cycles'!$DY$19:$EE$19,1,DA197)=1,DA198&gt;0),1,1-INDEX('Lease Cycles'!$DD$19:$DJ$19,1,DA197)))),0)</f>
        <v>0</v>
      </c>
      <c r="DB206" s="24">
        <f>IF(DB199=1,IF('Lease Cycles'!$AJ$19=1,0,'Lease Cycles'!$D$19*INDEX('Lease Cycles'!$FH$19:$FN$19,1,DB197)*IF(INDEX('Lease Cycles'!$EF$19:$EL$19,1,DB197)=1,1,IF(OR(INDEX('Lease Cycles'!$DY$19:$EE$19,1,DB197)=1,DB198&gt;0),1,1-INDEX('Lease Cycles'!$DD$19:$DJ$19,1,DB197)))),0)</f>
        <v>0</v>
      </c>
      <c r="DC206" s="24">
        <f>IF(DC199=1,IF('Lease Cycles'!$AJ$19=1,0,'Lease Cycles'!$D$19*INDEX('Lease Cycles'!$FH$19:$FN$19,1,DC197)*IF(INDEX('Lease Cycles'!$EF$19:$EL$19,1,DC197)=1,1,IF(OR(INDEX('Lease Cycles'!$DY$19:$EE$19,1,DC197)=1,DC198&gt;0),1,1-INDEX('Lease Cycles'!$DD$19:$DJ$19,1,DC197)))),0)</f>
        <v>0</v>
      </c>
      <c r="DD206" s="24">
        <f>IF(DD199=1,IF('Lease Cycles'!$AJ$19=1,0,'Lease Cycles'!$D$19*INDEX('Lease Cycles'!$FH$19:$FN$19,1,DD197)*IF(INDEX('Lease Cycles'!$EF$19:$EL$19,1,DD197)=1,1,IF(OR(INDEX('Lease Cycles'!$DY$19:$EE$19,1,DD197)=1,DD198&gt;0),1,1-INDEX('Lease Cycles'!$DD$19:$DJ$19,1,DD197)))),0)</f>
        <v>0</v>
      </c>
      <c r="DE206" s="24">
        <f>IF(DE199=1,IF('Lease Cycles'!$AJ$19=1,0,'Lease Cycles'!$D$19*INDEX('Lease Cycles'!$FH$19:$FN$19,1,DE197)*IF(INDEX('Lease Cycles'!$EF$19:$EL$19,1,DE197)=1,1,IF(OR(INDEX('Lease Cycles'!$DY$19:$EE$19,1,DE197)=1,DE198&gt;0),1,1-INDEX('Lease Cycles'!$DD$19:$DJ$19,1,DE197)))),0)</f>
        <v>0</v>
      </c>
      <c r="DF206" s="24">
        <f>IF(DF199=1,IF('Lease Cycles'!$AJ$19=1,0,'Lease Cycles'!$D$19*INDEX('Lease Cycles'!$FH$19:$FN$19,1,DF197)*IF(INDEX('Lease Cycles'!$EF$19:$EL$19,1,DF197)=1,1,IF(OR(INDEX('Lease Cycles'!$DY$19:$EE$19,1,DF197)=1,DF198&gt;0),1,1-INDEX('Lease Cycles'!$DD$19:$DJ$19,1,DF197)))),0)</f>
        <v>0</v>
      </c>
      <c r="DG206" s="24">
        <f>IF(DG199=1,IF('Lease Cycles'!$AJ$19=1,0,'Lease Cycles'!$D$19*INDEX('Lease Cycles'!$FH$19:$FN$19,1,DG197)*IF(INDEX('Lease Cycles'!$EF$19:$EL$19,1,DG197)=1,1,IF(OR(INDEX('Lease Cycles'!$DY$19:$EE$19,1,DG197)=1,DG198&gt;0),1,1-INDEX('Lease Cycles'!$DD$19:$DJ$19,1,DG197)))),0)</f>
        <v>0</v>
      </c>
      <c r="DH206" s="24">
        <f>IF(DH199=1,IF('Lease Cycles'!$AJ$19=1,0,'Lease Cycles'!$D$19*INDEX('Lease Cycles'!$FH$19:$FN$19,1,DH197)*IF(INDEX('Lease Cycles'!$EF$19:$EL$19,1,DH197)=1,1,IF(OR(INDEX('Lease Cycles'!$DY$19:$EE$19,1,DH197)=1,DH198&gt;0),1,1-INDEX('Lease Cycles'!$DD$19:$DJ$19,1,DH197)))),0)</f>
        <v>0</v>
      </c>
      <c r="DI206" s="24">
        <f>IF(DI199=1,IF('Lease Cycles'!$AJ$19=1,0,'Lease Cycles'!$D$19*INDEX('Lease Cycles'!$FH$19:$FN$19,1,DI197)*IF(INDEX('Lease Cycles'!$EF$19:$EL$19,1,DI197)=1,1,IF(OR(INDEX('Lease Cycles'!$DY$19:$EE$19,1,DI197)=1,DI198&gt;0),1,1-INDEX('Lease Cycles'!$DD$19:$DJ$19,1,DI197)))),0)</f>
        <v>0</v>
      </c>
      <c r="DJ206" s="24">
        <f>IF(DJ199=1,IF('Lease Cycles'!$AJ$19=1,0,'Lease Cycles'!$D$19*INDEX('Lease Cycles'!$FH$19:$FN$19,1,DJ197)*IF(INDEX('Lease Cycles'!$EF$19:$EL$19,1,DJ197)=1,1,IF(OR(INDEX('Lease Cycles'!$DY$19:$EE$19,1,DJ197)=1,DJ198&gt;0),1,1-INDEX('Lease Cycles'!$DD$19:$DJ$19,1,DJ197)))),0)</f>
        <v>0</v>
      </c>
      <c r="DK206" s="24">
        <f>IF(DK199=1,IF('Lease Cycles'!$AJ$19=1,0,'Lease Cycles'!$D$19*INDEX('Lease Cycles'!$FH$19:$FN$19,1,DK197)*IF(INDEX('Lease Cycles'!$EF$19:$EL$19,1,DK197)=1,1,IF(OR(INDEX('Lease Cycles'!$DY$19:$EE$19,1,DK197)=1,DK198&gt;0),1,1-INDEX('Lease Cycles'!$DD$19:$DJ$19,1,DK197)))),0)</f>
        <v>0</v>
      </c>
      <c r="DL206" s="24">
        <f>IF(DL199=1,IF('Lease Cycles'!$AJ$19=1,0,'Lease Cycles'!$D$19*INDEX('Lease Cycles'!$FH$19:$FN$19,1,DL197)*IF(INDEX('Lease Cycles'!$EF$19:$EL$19,1,DL197)=1,1,IF(OR(INDEX('Lease Cycles'!$DY$19:$EE$19,1,DL197)=1,DL198&gt;0),1,1-INDEX('Lease Cycles'!$DD$19:$DJ$19,1,DL197)))),0)</f>
        <v>0</v>
      </c>
      <c r="DM206" s="24">
        <f>IF(DM199=1,IF('Lease Cycles'!$AJ$19=1,0,'Lease Cycles'!$D$19*INDEX('Lease Cycles'!$FH$19:$FN$19,1,DM197)*IF(INDEX('Lease Cycles'!$EF$19:$EL$19,1,DM197)=1,1,IF(OR(INDEX('Lease Cycles'!$DY$19:$EE$19,1,DM197)=1,DM198&gt;0),1,1-INDEX('Lease Cycles'!$DD$19:$DJ$19,1,DM197)))),0)</f>
        <v>0</v>
      </c>
      <c r="DN206" s="24">
        <f>IF(DN199=1,IF('Lease Cycles'!$AJ$19=1,0,'Lease Cycles'!$D$19*INDEX('Lease Cycles'!$FH$19:$FN$19,1,DN197)*IF(INDEX('Lease Cycles'!$EF$19:$EL$19,1,DN197)=1,1,IF(OR(INDEX('Lease Cycles'!$DY$19:$EE$19,1,DN197)=1,DN198&gt;0),1,1-INDEX('Lease Cycles'!$DD$19:$DJ$19,1,DN197)))),0)</f>
        <v>0</v>
      </c>
      <c r="DO206" s="24">
        <f>IF(DO199=1,IF('Lease Cycles'!$AJ$19=1,0,'Lease Cycles'!$D$19*INDEX('Lease Cycles'!$FH$19:$FN$19,1,DO197)*IF(INDEX('Lease Cycles'!$EF$19:$EL$19,1,DO197)=1,1,IF(OR(INDEX('Lease Cycles'!$DY$19:$EE$19,1,DO197)=1,DO198&gt;0),1,1-INDEX('Lease Cycles'!$DD$19:$DJ$19,1,DO197)))),0)</f>
        <v>0</v>
      </c>
      <c r="DP206" s="24">
        <f>IF(DP199=1,IF('Lease Cycles'!$AJ$19=1,0,'Lease Cycles'!$D$19*INDEX('Lease Cycles'!$FH$19:$FN$19,1,DP197)*IF(INDEX('Lease Cycles'!$EF$19:$EL$19,1,DP197)=1,1,IF(OR(INDEX('Lease Cycles'!$DY$19:$EE$19,1,DP197)=1,DP198&gt;0),1,1-INDEX('Lease Cycles'!$DD$19:$DJ$19,1,DP197)))),0)</f>
        <v>0</v>
      </c>
      <c r="DQ206" s="24">
        <f>IF(DQ199=1,IF('Lease Cycles'!$AJ$19=1,0,'Lease Cycles'!$D$19*INDEX('Lease Cycles'!$FH$19:$FN$19,1,DQ197)*IF(INDEX('Lease Cycles'!$EF$19:$EL$19,1,DQ197)=1,1,IF(OR(INDEX('Lease Cycles'!$DY$19:$EE$19,1,DQ197)=1,DQ198&gt;0),1,1-INDEX('Lease Cycles'!$DD$19:$DJ$19,1,DQ197)))),0)</f>
        <v>0</v>
      </c>
      <c r="DR206" s="24">
        <f>IF(DR199=1,IF('Lease Cycles'!$AJ$19=1,0,'Lease Cycles'!$D$19*INDEX('Lease Cycles'!$FH$19:$FN$19,1,DR197)*IF(INDEX('Lease Cycles'!$EF$19:$EL$19,1,DR197)=1,1,IF(OR(INDEX('Lease Cycles'!$DY$19:$EE$19,1,DR197)=1,DR198&gt;0),1,1-INDEX('Lease Cycles'!$DD$19:$DJ$19,1,DR197)))),0)</f>
        <v>0</v>
      </c>
      <c r="DS206" s="24">
        <f>IF(DS199=1,IF('Lease Cycles'!$AJ$19=1,0,'Lease Cycles'!$D$19*INDEX('Lease Cycles'!$FH$19:$FN$19,1,DS197)*IF(INDEX('Lease Cycles'!$EF$19:$EL$19,1,DS197)=1,1,IF(OR(INDEX('Lease Cycles'!$DY$19:$EE$19,1,DS197)=1,DS198&gt;0),1,1-INDEX('Lease Cycles'!$DD$19:$DJ$19,1,DS197)))),0)</f>
        <v>0</v>
      </c>
      <c r="DT206" s="24">
        <f>IF(DT199=1,IF('Lease Cycles'!$AJ$19=1,0,'Lease Cycles'!$D$19*INDEX('Lease Cycles'!$FH$19:$FN$19,1,DT197)*IF(INDEX('Lease Cycles'!$EF$19:$EL$19,1,DT197)=1,1,IF(OR(INDEX('Lease Cycles'!$DY$19:$EE$19,1,DT197)=1,DT198&gt;0),1,1-INDEX('Lease Cycles'!$DD$19:$DJ$19,1,DT197)))),0)</f>
        <v>0</v>
      </c>
      <c r="DU206" s="24">
        <f>IF(DU199=1,IF('Lease Cycles'!$AJ$19=1,0,'Lease Cycles'!$D$19*INDEX('Lease Cycles'!$FH$19:$FN$19,1,DU197)*IF(INDEX('Lease Cycles'!$EF$19:$EL$19,1,DU197)=1,1,IF(OR(INDEX('Lease Cycles'!$DY$19:$EE$19,1,DU197)=1,DU198&gt;0),1,1-INDEX('Lease Cycles'!$DD$19:$DJ$19,1,DU197)))),0)</f>
        <v>0</v>
      </c>
      <c r="DV206" s="24">
        <f>IF(DV199=1,IF('Lease Cycles'!$AJ$19=1,0,'Lease Cycles'!$D$19*INDEX('Lease Cycles'!$FH$19:$FN$19,1,DV197)*IF(INDEX('Lease Cycles'!$EF$19:$EL$19,1,DV197)=1,1,IF(OR(INDEX('Lease Cycles'!$DY$19:$EE$19,1,DV197)=1,DV198&gt;0),1,1-INDEX('Lease Cycles'!$DD$19:$DJ$19,1,DV197)))),0)</f>
        <v>0</v>
      </c>
      <c r="DW206" s="24">
        <f>IF(DW199=1,IF('Lease Cycles'!$AJ$19=1,0,'Lease Cycles'!$D$19*INDEX('Lease Cycles'!$FH$19:$FN$19,1,DW197)*IF(INDEX('Lease Cycles'!$EF$19:$EL$19,1,DW197)=1,1,IF(OR(INDEX('Lease Cycles'!$DY$19:$EE$19,1,DW197)=1,DW198&gt;0),1,1-INDEX('Lease Cycles'!$DD$19:$DJ$19,1,DW197)))),0)</f>
        <v>0</v>
      </c>
      <c r="DX206" s="24">
        <f>IF(DX199=1,IF('Lease Cycles'!$AJ$19=1,0,'Lease Cycles'!$D$19*INDEX('Lease Cycles'!$FH$19:$FN$19,1,DX197)*IF(INDEX('Lease Cycles'!$EF$19:$EL$19,1,DX197)=1,1,IF(OR(INDEX('Lease Cycles'!$DY$19:$EE$19,1,DX197)=1,DX198&gt;0),1,1-INDEX('Lease Cycles'!$DD$19:$DJ$19,1,DX197)))),0)</f>
        <v>0</v>
      </c>
      <c r="DY206" s="24">
        <f>IF(DY199=1,IF('Lease Cycles'!$AJ$19=1,0,'Lease Cycles'!$D$19*INDEX('Lease Cycles'!$FH$19:$FN$19,1,DY197)*IF(INDEX('Lease Cycles'!$EF$19:$EL$19,1,DY197)=1,1,IF(OR(INDEX('Lease Cycles'!$DY$19:$EE$19,1,DY197)=1,DY198&gt;0),1,1-INDEX('Lease Cycles'!$DD$19:$DJ$19,1,DY197)))),0)</f>
        <v>0</v>
      </c>
      <c r="DZ206" s="24">
        <f>IF(DZ199=1,IF('Lease Cycles'!$AJ$19=1,0,'Lease Cycles'!$D$19*INDEX('Lease Cycles'!$FH$19:$FN$19,1,DZ197)*IF(INDEX('Lease Cycles'!$EF$19:$EL$19,1,DZ197)=1,1,IF(OR(INDEX('Lease Cycles'!$DY$19:$EE$19,1,DZ197)=1,DZ198&gt;0),1,1-INDEX('Lease Cycles'!$DD$19:$DJ$19,1,DZ197)))),0)</f>
        <v>0</v>
      </c>
      <c r="EA206" s="24">
        <f>IF(EA199=1,IF('Lease Cycles'!$AJ$19=1,0,'Lease Cycles'!$D$19*INDEX('Lease Cycles'!$FH$19:$FN$19,1,EA197)*IF(INDEX('Lease Cycles'!$EF$19:$EL$19,1,EA197)=1,1,IF(OR(INDEX('Lease Cycles'!$DY$19:$EE$19,1,EA197)=1,EA198&gt;0),1,1-INDEX('Lease Cycles'!$DD$19:$DJ$19,1,EA197)))),0)</f>
        <v>0</v>
      </c>
      <c r="EB206" s="24">
        <f>IF(EB199=1,IF('Lease Cycles'!$AJ$19=1,0,'Lease Cycles'!$D$19*INDEX('Lease Cycles'!$FH$19:$FN$19,1,EB197)*IF(INDEX('Lease Cycles'!$EF$19:$EL$19,1,EB197)=1,1,IF(OR(INDEX('Lease Cycles'!$DY$19:$EE$19,1,EB197)=1,EB198&gt;0),1,1-INDEX('Lease Cycles'!$DD$19:$DJ$19,1,EB197)))),0)</f>
        <v>0</v>
      </c>
      <c r="EC206" s="24">
        <f>IF(EC199=1,IF('Lease Cycles'!$AJ$19=1,0,'Lease Cycles'!$D$19*INDEX('Lease Cycles'!$FH$19:$FN$19,1,EC197)*IF(INDEX('Lease Cycles'!$EF$19:$EL$19,1,EC197)=1,1,IF(OR(INDEX('Lease Cycles'!$DY$19:$EE$19,1,EC197)=1,EC198&gt;0),1,1-INDEX('Lease Cycles'!$DD$19:$DJ$19,1,EC197)))),0)</f>
        <v>0</v>
      </c>
      <c r="ED206" s="24">
        <f>IF(ED199=1,IF('Lease Cycles'!$AJ$19=1,0,'Lease Cycles'!$D$19*INDEX('Lease Cycles'!$FH$19:$FN$19,1,ED197)*IF(INDEX('Lease Cycles'!$EF$19:$EL$19,1,ED197)=1,1,IF(OR(INDEX('Lease Cycles'!$DY$19:$EE$19,1,ED197)=1,ED198&gt;0),1,1-INDEX('Lease Cycles'!$DD$19:$DJ$19,1,ED197)))),0)</f>
        <v>0</v>
      </c>
      <c r="EE206" s="24">
        <f>IF(EE199=1,IF('Lease Cycles'!$AJ$19=1,0,'Lease Cycles'!$D$19*INDEX('Lease Cycles'!$FH$19:$FN$19,1,EE197)*IF(INDEX('Lease Cycles'!$EF$19:$EL$19,1,EE197)=1,1,IF(OR(INDEX('Lease Cycles'!$DY$19:$EE$19,1,EE197)=1,EE198&gt;0),1,1-INDEX('Lease Cycles'!$DD$19:$DJ$19,1,EE197)))),0)</f>
        <v>0</v>
      </c>
      <c r="EF206" s="24">
        <f>IF(EF199=1,IF('Lease Cycles'!$AJ$19=1,0,'Lease Cycles'!$D$19*INDEX('Lease Cycles'!$FH$19:$FN$19,1,EF197)*IF(INDEX('Lease Cycles'!$EF$19:$EL$19,1,EF197)=1,1,IF(OR(INDEX('Lease Cycles'!$DY$19:$EE$19,1,EF197)=1,EF198&gt;0),1,1-INDEX('Lease Cycles'!$DD$19:$DJ$19,1,EF197)))),0)</f>
        <v>0</v>
      </c>
      <c r="EG206" s="24">
        <f>IF(EG199=1,IF('Lease Cycles'!$AJ$19=1,0,'Lease Cycles'!$D$19*INDEX('Lease Cycles'!$FH$19:$FN$19,1,EG197)*IF(INDEX('Lease Cycles'!$EF$19:$EL$19,1,EG197)=1,1,IF(OR(INDEX('Lease Cycles'!$DY$19:$EE$19,1,EG197)=1,EG198&gt;0),1,1-INDEX('Lease Cycles'!$DD$19:$DJ$19,1,EG197)))),0)</f>
        <v>0</v>
      </c>
      <c r="EH206" s="24">
        <f>IF(EH199=1,IF('Lease Cycles'!$AJ$19=1,0,'Lease Cycles'!$D$19*INDEX('Lease Cycles'!$FH$19:$FN$19,1,EH197)*IF(INDEX('Lease Cycles'!$EF$19:$EL$19,1,EH197)=1,1,IF(OR(INDEX('Lease Cycles'!$DY$19:$EE$19,1,EH197)=1,EH198&gt;0),1,1-INDEX('Lease Cycles'!$DD$19:$DJ$19,1,EH197)))),0)</f>
        <v>0</v>
      </c>
      <c r="EI206" s="24">
        <f>IF(EI199=1,IF('Lease Cycles'!$AJ$19=1,0,'Lease Cycles'!$D$19*INDEX('Lease Cycles'!$FH$19:$FN$19,1,EI197)*IF(INDEX('Lease Cycles'!$EF$19:$EL$19,1,EI197)=1,1,IF(OR(INDEX('Lease Cycles'!$DY$19:$EE$19,1,EI197)=1,EI198&gt;0),1,1-INDEX('Lease Cycles'!$DD$19:$DJ$19,1,EI197)))),0)</f>
        <v>0</v>
      </c>
      <c r="EJ206" s="24">
        <f>IF(EJ199=1,IF('Lease Cycles'!$AJ$19=1,0,'Lease Cycles'!$D$19*INDEX('Lease Cycles'!$FH$19:$FN$19,1,EJ197)*IF(INDEX('Lease Cycles'!$EF$19:$EL$19,1,EJ197)=1,1,IF(OR(INDEX('Lease Cycles'!$DY$19:$EE$19,1,EJ197)=1,EJ198&gt;0),1,1-INDEX('Lease Cycles'!$DD$19:$DJ$19,1,EJ197)))),0)</f>
        <v>0</v>
      </c>
      <c r="EK206" s="24">
        <f>IF(EK199=1,IF('Lease Cycles'!$AJ$19=1,0,'Lease Cycles'!$D$19*INDEX('Lease Cycles'!$FH$19:$FN$19,1,EK197)*IF(INDEX('Lease Cycles'!$EF$19:$EL$19,1,EK197)=1,1,IF(OR(INDEX('Lease Cycles'!$DY$19:$EE$19,1,EK197)=1,EK198&gt;0),1,1-INDEX('Lease Cycles'!$DD$19:$DJ$19,1,EK197)))),0)</f>
        <v>0</v>
      </c>
      <c r="EL206" s="24">
        <f>IF(EL199=1,IF('Lease Cycles'!$AJ$19=1,0,'Lease Cycles'!$D$19*INDEX('Lease Cycles'!$FH$19:$FN$19,1,EL197)*IF(INDEX('Lease Cycles'!$EF$19:$EL$19,1,EL197)=1,1,IF(OR(INDEX('Lease Cycles'!$DY$19:$EE$19,1,EL197)=1,EL198&gt;0),1,1-INDEX('Lease Cycles'!$DD$19:$DJ$19,1,EL197)))),0)</f>
        <v>0</v>
      </c>
      <c r="EM206" s="24">
        <f>IF(EM199=1,IF('Lease Cycles'!$AJ$19=1,0,'Lease Cycles'!$D$19*INDEX('Lease Cycles'!$FH$19:$FN$19,1,EM197)*IF(INDEX('Lease Cycles'!$EF$19:$EL$19,1,EM197)=1,1,IF(OR(INDEX('Lease Cycles'!$DY$19:$EE$19,1,EM197)=1,EM198&gt;0),1,1-INDEX('Lease Cycles'!$DD$19:$DJ$19,1,EM197)))),0)</f>
        <v>0</v>
      </c>
      <c r="EN206" s="24">
        <f>IF(EN199=1,IF('Lease Cycles'!$AJ$19=1,0,'Lease Cycles'!$D$19*INDEX('Lease Cycles'!$FH$19:$FN$19,1,EN197)*IF(INDEX('Lease Cycles'!$EF$19:$EL$19,1,EN197)=1,1,IF(OR(INDEX('Lease Cycles'!$DY$19:$EE$19,1,EN197)=1,EN198&gt;0),1,1-INDEX('Lease Cycles'!$DD$19:$DJ$19,1,EN197)))),0)</f>
        <v>0</v>
      </c>
      <c r="EO206" s="24">
        <f>IF(EO199=1,IF('Lease Cycles'!$AJ$19=1,0,'Lease Cycles'!$D$19*INDEX('Lease Cycles'!$FH$19:$FN$19,1,EO197)*IF(INDEX('Lease Cycles'!$EF$19:$EL$19,1,EO197)=1,1,IF(OR(INDEX('Lease Cycles'!$DY$19:$EE$19,1,EO197)=1,EO198&gt;0),1,1-INDEX('Lease Cycles'!$DD$19:$DJ$19,1,EO197)))),0)</f>
        <v>0</v>
      </c>
      <c r="EP206" s="24">
        <f>IF(EP199=1,IF('Lease Cycles'!$AJ$19=1,0,'Lease Cycles'!$D$19*INDEX('Lease Cycles'!$FH$19:$FN$19,1,EP197)*IF(INDEX('Lease Cycles'!$EF$19:$EL$19,1,EP197)=1,1,IF(OR(INDEX('Lease Cycles'!$DY$19:$EE$19,1,EP197)=1,EP198&gt;0),1,1-INDEX('Lease Cycles'!$DD$19:$DJ$19,1,EP197)))),0)</f>
        <v>0</v>
      </c>
      <c r="EQ206" s="24">
        <f>IF(EQ199=1,IF('Lease Cycles'!$AJ$19=1,0,'Lease Cycles'!$D$19*INDEX('Lease Cycles'!$FH$19:$FN$19,1,EQ197)*IF(INDEX('Lease Cycles'!$EF$19:$EL$19,1,EQ197)=1,1,IF(OR(INDEX('Lease Cycles'!$DY$19:$EE$19,1,EQ197)=1,EQ198&gt;0),1,1-INDEX('Lease Cycles'!$DD$19:$DJ$19,1,EQ197)))),0)</f>
        <v>0</v>
      </c>
      <c r="ER206" s="24">
        <f>IF(ER199=1,IF('Lease Cycles'!$AJ$19=1,0,'Lease Cycles'!$D$19*INDEX('Lease Cycles'!$FH$19:$FN$19,1,ER197)*IF(INDEX('Lease Cycles'!$EF$19:$EL$19,1,ER197)=1,1,IF(OR(INDEX('Lease Cycles'!$DY$19:$EE$19,1,ER197)=1,ER198&gt;0),1,1-INDEX('Lease Cycles'!$DD$19:$DJ$19,1,ER197)))),0)</f>
        <v>0</v>
      </c>
      <c r="ES206" s="24">
        <f>IF(ES199=1,IF('Lease Cycles'!$AJ$19=1,0,'Lease Cycles'!$D$19*INDEX('Lease Cycles'!$FH$19:$FN$19,1,ES197)*IF(INDEX('Lease Cycles'!$EF$19:$EL$19,1,ES197)=1,1,IF(OR(INDEX('Lease Cycles'!$DY$19:$EE$19,1,ES197)=1,ES198&gt;0),1,1-INDEX('Lease Cycles'!$DD$19:$DJ$19,1,ES197)))),0)</f>
        <v>0</v>
      </c>
      <c r="ET206" s="24">
        <f>IF(ET199=1,IF('Lease Cycles'!$AJ$19=1,0,'Lease Cycles'!$D$19*INDEX('Lease Cycles'!$FH$19:$FN$19,1,ET197)*IF(INDEX('Lease Cycles'!$EF$19:$EL$19,1,ET197)=1,1,IF(OR(INDEX('Lease Cycles'!$DY$19:$EE$19,1,ET197)=1,ET198&gt;0),1,1-INDEX('Lease Cycles'!$DD$19:$DJ$19,1,ET197)))),0)</f>
        <v>0</v>
      </c>
    </row>
    <row r="207">
      <c r="A207" s="103">
        <v>12</v>
      </c>
      <c r="B207" s="23" t="str">
        <f>IF('Lease Cycles'!$B$19="","(empty slot)",'Lease Cycles'!$B$19)</f>
        <v>(empty slot)</v>
      </c>
      <c r="C207" s="23" t="s">
        <v>687</v>
      </c>
      <c r="D207" s="104" t="s">
        <v>688</v>
      </c>
      <c r="E207" s="25">
        <f>'Lease Cycles'!$AL$19</f>
        <v>0</v>
      </c>
      <c r="G207" s="24">
        <f>SUM(S207:AD207)</f>
        <v>0</v>
      </c>
      <c r="H207" s="24">
        <f>SUM(AE207:AP207)</f>
        <v>0</v>
      </c>
      <c r="I207" s="24">
        <f>SUM(AQ207:BB207)</f>
        <v>0</v>
      </c>
      <c r="J207" s="24">
        <f>SUM(BC207:BN207)</f>
        <v>0</v>
      </c>
      <c r="K207" s="24">
        <f>SUM(BO207:BZ207)</f>
        <v>0</v>
      </c>
      <c r="L207" s="24">
        <f>SUM(CA207:CL207)</f>
        <v>0</v>
      </c>
      <c r="M207" s="24">
        <f>SUM(CM207:CX207)</f>
        <v>0</v>
      </c>
      <c r="N207" s="24">
        <f>SUM(CY207:DJ207)</f>
        <v>0</v>
      </c>
      <c r="O207" s="24">
        <f>SUM(DK207:DV207)</f>
        <v>0</v>
      </c>
      <c r="P207" s="24">
        <f>SUM(DW207:EH207)</f>
        <v>0</v>
      </c>
      <c r="Q207" s="24">
        <f>SUM(EI207:ET207)</f>
        <v>0</v>
      </c>
      <c r="S207" s="24">
        <f>IF(S199=1,'Lease Cycles'!$D$19*IF(INDEX('Lease Cycles'!$EF$19:$EL$19,1,S197)=1,'Lease Cycles'!$AJ$19*INDEX('Lease Cycles'!$FO$19:$FU$19,1,S197)*INDEX('Lease Cycles'!$EM$19:$ES$19,1,S197)+'Lease Cycles'!$BE$19*IF(S198&lt;INDEX('Lease Cycles'!$FA$19:$FG$19,1,S197),0,1-INDEX('Lease Cycles'!$EM$19:$ES$19,1,S197)),IF(OR(INDEX('Lease Cycles'!$DY$19:$EE$19,1,S197)=1,S198&gt;0),1,1-INDEX('Lease Cycles'!$DD$19:$DJ$19,1,S197))*('Lease Cycles'!$AJ$19*INDEX('Lease Cycles'!$FO$19:$FU$19,1,S197)+'Lease Cycles'!$BE$19*(1-INDEX('Lease Cycles'!$FO$19:$FU$19,1,S197)))),0)</f>
        <v>0</v>
      </c>
      <c r="T207" s="24">
        <f>IF(T199=1,'Lease Cycles'!$D$19*IF(INDEX('Lease Cycles'!$EF$19:$EL$19,1,T197)=1,'Lease Cycles'!$AJ$19*INDEX('Lease Cycles'!$FO$19:$FU$19,1,T197)*INDEX('Lease Cycles'!$EM$19:$ES$19,1,T197)+'Lease Cycles'!$BE$19*IF(T198&lt;INDEX('Lease Cycles'!$FA$19:$FG$19,1,T197),0,1-INDEX('Lease Cycles'!$EM$19:$ES$19,1,T197)),IF(OR(INDEX('Lease Cycles'!$DY$19:$EE$19,1,T197)=1,T198&gt;0),1,1-INDEX('Lease Cycles'!$DD$19:$DJ$19,1,T197))*('Lease Cycles'!$AJ$19*INDEX('Lease Cycles'!$FO$19:$FU$19,1,T197)+'Lease Cycles'!$BE$19*(1-INDEX('Lease Cycles'!$FO$19:$FU$19,1,T197)))),0)</f>
        <v>0</v>
      </c>
      <c r="U207" s="24">
        <f>IF(U199=1,'Lease Cycles'!$D$19*IF(INDEX('Lease Cycles'!$EF$19:$EL$19,1,U197)=1,'Lease Cycles'!$AJ$19*INDEX('Lease Cycles'!$FO$19:$FU$19,1,U197)*INDEX('Lease Cycles'!$EM$19:$ES$19,1,U197)+'Lease Cycles'!$BE$19*IF(U198&lt;INDEX('Lease Cycles'!$FA$19:$FG$19,1,U197),0,1-INDEX('Lease Cycles'!$EM$19:$ES$19,1,U197)),IF(OR(INDEX('Lease Cycles'!$DY$19:$EE$19,1,U197)=1,U198&gt;0),1,1-INDEX('Lease Cycles'!$DD$19:$DJ$19,1,U197))*('Lease Cycles'!$AJ$19*INDEX('Lease Cycles'!$FO$19:$FU$19,1,U197)+'Lease Cycles'!$BE$19*(1-INDEX('Lease Cycles'!$FO$19:$FU$19,1,U197)))),0)</f>
        <v>0</v>
      </c>
      <c r="V207" s="24">
        <f>IF(V199=1,'Lease Cycles'!$D$19*IF(INDEX('Lease Cycles'!$EF$19:$EL$19,1,V197)=1,'Lease Cycles'!$AJ$19*INDEX('Lease Cycles'!$FO$19:$FU$19,1,V197)*INDEX('Lease Cycles'!$EM$19:$ES$19,1,V197)+'Lease Cycles'!$BE$19*IF(V198&lt;INDEX('Lease Cycles'!$FA$19:$FG$19,1,V197),0,1-INDEX('Lease Cycles'!$EM$19:$ES$19,1,V197)),IF(OR(INDEX('Lease Cycles'!$DY$19:$EE$19,1,V197)=1,V198&gt;0),1,1-INDEX('Lease Cycles'!$DD$19:$DJ$19,1,V197))*('Lease Cycles'!$AJ$19*INDEX('Lease Cycles'!$FO$19:$FU$19,1,V197)+'Lease Cycles'!$BE$19*(1-INDEX('Lease Cycles'!$FO$19:$FU$19,1,V197)))),0)</f>
        <v>0</v>
      </c>
      <c r="W207" s="24">
        <f>IF(W199=1,'Lease Cycles'!$D$19*IF(INDEX('Lease Cycles'!$EF$19:$EL$19,1,W197)=1,'Lease Cycles'!$AJ$19*INDEX('Lease Cycles'!$FO$19:$FU$19,1,W197)*INDEX('Lease Cycles'!$EM$19:$ES$19,1,W197)+'Lease Cycles'!$BE$19*IF(W198&lt;INDEX('Lease Cycles'!$FA$19:$FG$19,1,W197),0,1-INDEX('Lease Cycles'!$EM$19:$ES$19,1,W197)),IF(OR(INDEX('Lease Cycles'!$DY$19:$EE$19,1,W197)=1,W198&gt;0),1,1-INDEX('Lease Cycles'!$DD$19:$DJ$19,1,W197))*('Lease Cycles'!$AJ$19*INDEX('Lease Cycles'!$FO$19:$FU$19,1,W197)+'Lease Cycles'!$BE$19*(1-INDEX('Lease Cycles'!$FO$19:$FU$19,1,W197)))),0)</f>
        <v>0</v>
      </c>
      <c r="X207" s="24">
        <f>IF(X199=1,'Lease Cycles'!$D$19*IF(INDEX('Lease Cycles'!$EF$19:$EL$19,1,X197)=1,'Lease Cycles'!$AJ$19*INDEX('Lease Cycles'!$FO$19:$FU$19,1,X197)*INDEX('Lease Cycles'!$EM$19:$ES$19,1,X197)+'Lease Cycles'!$BE$19*IF(X198&lt;INDEX('Lease Cycles'!$FA$19:$FG$19,1,X197),0,1-INDEX('Lease Cycles'!$EM$19:$ES$19,1,X197)),IF(OR(INDEX('Lease Cycles'!$DY$19:$EE$19,1,X197)=1,X198&gt;0),1,1-INDEX('Lease Cycles'!$DD$19:$DJ$19,1,X197))*('Lease Cycles'!$AJ$19*INDEX('Lease Cycles'!$FO$19:$FU$19,1,X197)+'Lease Cycles'!$BE$19*(1-INDEX('Lease Cycles'!$FO$19:$FU$19,1,X197)))),0)</f>
        <v>0</v>
      </c>
      <c r="Y207" s="24">
        <f>IF(Y199=1,'Lease Cycles'!$D$19*IF(INDEX('Lease Cycles'!$EF$19:$EL$19,1,Y197)=1,'Lease Cycles'!$AJ$19*INDEX('Lease Cycles'!$FO$19:$FU$19,1,Y197)*INDEX('Lease Cycles'!$EM$19:$ES$19,1,Y197)+'Lease Cycles'!$BE$19*IF(Y198&lt;INDEX('Lease Cycles'!$FA$19:$FG$19,1,Y197),0,1-INDEX('Lease Cycles'!$EM$19:$ES$19,1,Y197)),IF(OR(INDEX('Lease Cycles'!$DY$19:$EE$19,1,Y197)=1,Y198&gt;0),1,1-INDEX('Lease Cycles'!$DD$19:$DJ$19,1,Y197))*('Lease Cycles'!$AJ$19*INDEX('Lease Cycles'!$FO$19:$FU$19,1,Y197)+'Lease Cycles'!$BE$19*(1-INDEX('Lease Cycles'!$FO$19:$FU$19,1,Y197)))),0)</f>
        <v>0</v>
      </c>
      <c r="Z207" s="24">
        <f>IF(Z199=1,'Lease Cycles'!$D$19*IF(INDEX('Lease Cycles'!$EF$19:$EL$19,1,Z197)=1,'Lease Cycles'!$AJ$19*INDEX('Lease Cycles'!$FO$19:$FU$19,1,Z197)*INDEX('Lease Cycles'!$EM$19:$ES$19,1,Z197)+'Lease Cycles'!$BE$19*IF(Z198&lt;INDEX('Lease Cycles'!$FA$19:$FG$19,1,Z197),0,1-INDEX('Lease Cycles'!$EM$19:$ES$19,1,Z197)),IF(OR(INDEX('Lease Cycles'!$DY$19:$EE$19,1,Z197)=1,Z198&gt;0),1,1-INDEX('Lease Cycles'!$DD$19:$DJ$19,1,Z197))*('Lease Cycles'!$AJ$19*INDEX('Lease Cycles'!$FO$19:$FU$19,1,Z197)+'Lease Cycles'!$BE$19*(1-INDEX('Lease Cycles'!$FO$19:$FU$19,1,Z197)))),0)</f>
        <v>0</v>
      </c>
      <c r="AA207" s="24">
        <f>IF(AA199=1,'Lease Cycles'!$D$19*IF(INDEX('Lease Cycles'!$EF$19:$EL$19,1,AA197)=1,'Lease Cycles'!$AJ$19*INDEX('Lease Cycles'!$FO$19:$FU$19,1,AA197)*INDEX('Lease Cycles'!$EM$19:$ES$19,1,AA197)+'Lease Cycles'!$BE$19*IF(AA198&lt;INDEX('Lease Cycles'!$FA$19:$FG$19,1,AA197),0,1-INDEX('Lease Cycles'!$EM$19:$ES$19,1,AA197)),IF(OR(INDEX('Lease Cycles'!$DY$19:$EE$19,1,AA197)=1,AA198&gt;0),1,1-INDEX('Lease Cycles'!$DD$19:$DJ$19,1,AA197))*('Lease Cycles'!$AJ$19*INDEX('Lease Cycles'!$FO$19:$FU$19,1,AA197)+'Lease Cycles'!$BE$19*(1-INDEX('Lease Cycles'!$FO$19:$FU$19,1,AA197)))),0)</f>
        <v>0</v>
      </c>
      <c r="AB207" s="24">
        <f>IF(AB199=1,'Lease Cycles'!$D$19*IF(INDEX('Lease Cycles'!$EF$19:$EL$19,1,AB197)=1,'Lease Cycles'!$AJ$19*INDEX('Lease Cycles'!$FO$19:$FU$19,1,AB197)*INDEX('Lease Cycles'!$EM$19:$ES$19,1,AB197)+'Lease Cycles'!$BE$19*IF(AB198&lt;INDEX('Lease Cycles'!$FA$19:$FG$19,1,AB197),0,1-INDEX('Lease Cycles'!$EM$19:$ES$19,1,AB197)),IF(OR(INDEX('Lease Cycles'!$DY$19:$EE$19,1,AB197)=1,AB198&gt;0),1,1-INDEX('Lease Cycles'!$DD$19:$DJ$19,1,AB197))*('Lease Cycles'!$AJ$19*INDEX('Lease Cycles'!$FO$19:$FU$19,1,AB197)+'Lease Cycles'!$BE$19*(1-INDEX('Lease Cycles'!$FO$19:$FU$19,1,AB197)))),0)</f>
        <v>0</v>
      </c>
      <c r="AC207" s="24">
        <f>IF(AC199=1,'Lease Cycles'!$D$19*IF(INDEX('Lease Cycles'!$EF$19:$EL$19,1,AC197)=1,'Lease Cycles'!$AJ$19*INDEX('Lease Cycles'!$FO$19:$FU$19,1,AC197)*INDEX('Lease Cycles'!$EM$19:$ES$19,1,AC197)+'Lease Cycles'!$BE$19*IF(AC198&lt;INDEX('Lease Cycles'!$FA$19:$FG$19,1,AC197),0,1-INDEX('Lease Cycles'!$EM$19:$ES$19,1,AC197)),IF(OR(INDEX('Lease Cycles'!$DY$19:$EE$19,1,AC197)=1,AC198&gt;0),1,1-INDEX('Lease Cycles'!$DD$19:$DJ$19,1,AC197))*('Lease Cycles'!$AJ$19*INDEX('Lease Cycles'!$FO$19:$FU$19,1,AC197)+'Lease Cycles'!$BE$19*(1-INDEX('Lease Cycles'!$FO$19:$FU$19,1,AC197)))),0)</f>
        <v>0</v>
      </c>
      <c r="AD207" s="24">
        <f>IF(AD199=1,'Lease Cycles'!$D$19*IF(INDEX('Lease Cycles'!$EF$19:$EL$19,1,AD197)=1,'Lease Cycles'!$AJ$19*INDEX('Lease Cycles'!$FO$19:$FU$19,1,AD197)*INDEX('Lease Cycles'!$EM$19:$ES$19,1,AD197)+'Lease Cycles'!$BE$19*IF(AD198&lt;INDEX('Lease Cycles'!$FA$19:$FG$19,1,AD197),0,1-INDEX('Lease Cycles'!$EM$19:$ES$19,1,AD197)),IF(OR(INDEX('Lease Cycles'!$DY$19:$EE$19,1,AD197)=1,AD198&gt;0),1,1-INDEX('Lease Cycles'!$DD$19:$DJ$19,1,AD197))*('Lease Cycles'!$AJ$19*INDEX('Lease Cycles'!$FO$19:$FU$19,1,AD197)+'Lease Cycles'!$BE$19*(1-INDEX('Lease Cycles'!$FO$19:$FU$19,1,AD197)))),0)</f>
        <v>0</v>
      </c>
      <c r="AE207" s="24">
        <f>IF(AE199=1,'Lease Cycles'!$D$19*IF(INDEX('Lease Cycles'!$EF$19:$EL$19,1,AE197)=1,'Lease Cycles'!$AJ$19*INDEX('Lease Cycles'!$FO$19:$FU$19,1,AE197)*INDEX('Lease Cycles'!$EM$19:$ES$19,1,AE197)+'Lease Cycles'!$BE$19*IF(AE198&lt;INDEX('Lease Cycles'!$FA$19:$FG$19,1,AE197),0,1-INDEX('Lease Cycles'!$EM$19:$ES$19,1,AE197)),IF(OR(INDEX('Lease Cycles'!$DY$19:$EE$19,1,AE197)=1,AE198&gt;0),1,1-INDEX('Lease Cycles'!$DD$19:$DJ$19,1,AE197))*('Lease Cycles'!$AJ$19*INDEX('Lease Cycles'!$FO$19:$FU$19,1,AE197)+'Lease Cycles'!$BE$19*(1-INDEX('Lease Cycles'!$FO$19:$FU$19,1,AE197)))),0)</f>
        <v>0</v>
      </c>
      <c r="AF207" s="24">
        <f>IF(AF199=1,'Lease Cycles'!$D$19*IF(INDEX('Lease Cycles'!$EF$19:$EL$19,1,AF197)=1,'Lease Cycles'!$AJ$19*INDEX('Lease Cycles'!$FO$19:$FU$19,1,AF197)*INDEX('Lease Cycles'!$EM$19:$ES$19,1,AF197)+'Lease Cycles'!$BE$19*IF(AF198&lt;INDEX('Lease Cycles'!$FA$19:$FG$19,1,AF197),0,1-INDEX('Lease Cycles'!$EM$19:$ES$19,1,AF197)),IF(OR(INDEX('Lease Cycles'!$DY$19:$EE$19,1,AF197)=1,AF198&gt;0),1,1-INDEX('Lease Cycles'!$DD$19:$DJ$19,1,AF197))*('Lease Cycles'!$AJ$19*INDEX('Lease Cycles'!$FO$19:$FU$19,1,AF197)+'Lease Cycles'!$BE$19*(1-INDEX('Lease Cycles'!$FO$19:$FU$19,1,AF197)))),0)</f>
        <v>0</v>
      </c>
      <c r="AG207" s="24">
        <f>IF(AG199=1,'Lease Cycles'!$D$19*IF(INDEX('Lease Cycles'!$EF$19:$EL$19,1,AG197)=1,'Lease Cycles'!$AJ$19*INDEX('Lease Cycles'!$FO$19:$FU$19,1,AG197)*INDEX('Lease Cycles'!$EM$19:$ES$19,1,AG197)+'Lease Cycles'!$BE$19*IF(AG198&lt;INDEX('Lease Cycles'!$FA$19:$FG$19,1,AG197),0,1-INDEX('Lease Cycles'!$EM$19:$ES$19,1,AG197)),IF(OR(INDEX('Lease Cycles'!$DY$19:$EE$19,1,AG197)=1,AG198&gt;0),1,1-INDEX('Lease Cycles'!$DD$19:$DJ$19,1,AG197))*('Lease Cycles'!$AJ$19*INDEX('Lease Cycles'!$FO$19:$FU$19,1,AG197)+'Lease Cycles'!$BE$19*(1-INDEX('Lease Cycles'!$FO$19:$FU$19,1,AG197)))),0)</f>
        <v>0</v>
      </c>
      <c r="AH207" s="24">
        <f>IF(AH199=1,'Lease Cycles'!$D$19*IF(INDEX('Lease Cycles'!$EF$19:$EL$19,1,AH197)=1,'Lease Cycles'!$AJ$19*INDEX('Lease Cycles'!$FO$19:$FU$19,1,AH197)*INDEX('Lease Cycles'!$EM$19:$ES$19,1,AH197)+'Lease Cycles'!$BE$19*IF(AH198&lt;INDEX('Lease Cycles'!$FA$19:$FG$19,1,AH197),0,1-INDEX('Lease Cycles'!$EM$19:$ES$19,1,AH197)),IF(OR(INDEX('Lease Cycles'!$DY$19:$EE$19,1,AH197)=1,AH198&gt;0),1,1-INDEX('Lease Cycles'!$DD$19:$DJ$19,1,AH197))*('Lease Cycles'!$AJ$19*INDEX('Lease Cycles'!$FO$19:$FU$19,1,AH197)+'Lease Cycles'!$BE$19*(1-INDEX('Lease Cycles'!$FO$19:$FU$19,1,AH197)))),0)</f>
        <v>0</v>
      </c>
      <c r="AI207" s="24">
        <f>IF(AI199=1,'Lease Cycles'!$D$19*IF(INDEX('Lease Cycles'!$EF$19:$EL$19,1,AI197)=1,'Lease Cycles'!$AJ$19*INDEX('Lease Cycles'!$FO$19:$FU$19,1,AI197)*INDEX('Lease Cycles'!$EM$19:$ES$19,1,AI197)+'Lease Cycles'!$BE$19*IF(AI198&lt;INDEX('Lease Cycles'!$FA$19:$FG$19,1,AI197),0,1-INDEX('Lease Cycles'!$EM$19:$ES$19,1,AI197)),IF(OR(INDEX('Lease Cycles'!$DY$19:$EE$19,1,AI197)=1,AI198&gt;0),1,1-INDEX('Lease Cycles'!$DD$19:$DJ$19,1,AI197))*('Lease Cycles'!$AJ$19*INDEX('Lease Cycles'!$FO$19:$FU$19,1,AI197)+'Lease Cycles'!$BE$19*(1-INDEX('Lease Cycles'!$FO$19:$FU$19,1,AI197)))),0)</f>
        <v>0</v>
      </c>
      <c r="AJ207" s="24">
        <f>IF(AJ199=1,'Lease Cycles'!$D$19*IF(INDEX('Lease Cycles'!$EF$19:$EL$19,1,AJ197)=1,'Lease Cycles'!$AJ$19*INDEX('Lease Cycles'!$FO$19:$FU$19,1,AJ197)*INDEX('Lease Cycles'!$EM$19:$ES$19,1,AJ197)+'Lease Cycles'!$BE$19*IF(AJ198&lt;INDEX('Lease Cycles'!$FA$19:$FG$19,1,AJ197),0,1-INDEX('Lease Cycles'!$EM$19:$ES$19,1,AJ197)),IF(OR(INDEX('Lease Cycles'!$DY$19:$EE$19,1,AJ197)=1,AJ198&gt;0),1,1-INDEX('Lease Cycles'!$DD$19:$DJ$19,1,AJ197))*('Lease Cycles'!$AJ$19*INDEX('Lease Cycles'!$FO$19:$FU$19,1,AJ197)+'Lease Cycles'!$BE$19*(1-INDEX('Lease Cycles'!$FO$19:$FU$19,1,AJ197)))),0)</f>
        <v>0</v>
      </c>
      <c r="AK207" s="24">
        <f>IF(AK199=1,'Lease Cycles'!$D$19*IF(INDEX('Lease Cycles'!$EF$19:$EL$19,1,AK197)=1,'Lease Cycles'!$AJ$19*INDEX('Lease Cycles'!$FO$19:$FU$19,1,AK197)*INDEX('Lease Cycles'!$EM$19:$ES$19,1,AK197)+'Lease Cycles'!$BE$19*IF(AK198&lt;INDEX('Lease Cycles'!$FA$19:$FG$19,1,AK197),0,1-INDEX('Lease Cycles'!$EM$19:$ES$19,1,AK197)),IF(OR(INDEX('Lease Cycles'!$DY$19:$EE$19,1,AK197)=1,AK198&gt;0),1,1-INDEX('Lease Cycles'!$DD$19:$DJ$19,1,AK197))*('Lease Cycles'!$AJ$19*INDEX('Lease Cycles'!$FO$19:$FU$19,1,AK197)+'Lease Cycles'!$BE$19*(1-INDEX('Lease Cycles'!$FO$19:$FU$19,1,AK197)))),0)</f>
        <v>0</v>
      </c>
      <c r="AL207" s="24">
        <f>IF(AL199=1,'Lease Cycles'!$D$19*IF(INDEX('Lease Cycles'!$EF$19:$EL$19,1,AL197)=1,'Lease Cycles'!$AJ$19*INDEX('Lease Cycles'!$FO$19:$FU$19,1,AL197)*INDEX('Lease Cycles'!$EM$19:$ES$19,1,AL197)+'Lease Cycles'!$BE$19*IF(AL198&lt;INDEX('Lease Cycles'!$FA$19:$FG$19,1,AL197),0,1-INDEX('Lease Cycles'!$EM$19:$ES$19,1,AL197)),IF(OR(INDEX('Lease Cycles'!$DY$19:$EE$19,1,AL197)=1,AL198&gt;0),1,1-INDEX('Lease Cycles'!$DD$19:$DJ$19,1,AL197))*('Lease Cycles'!$AJ$19*INDEX('Lease Cycles'!$FO$19:$FU$19,1,AL197)+'Lease Cycles'!$BE$19*(1-INDEX('Lease Cycles'!$FO$19:$FU$19,1,AL197)))),0)</f>
        <v>0</v>
      </c>
      <c r="AM207" s="24">
        <f>IF(AM199=1,'Lease Cycles'!$D$19*IF(INDEX('Lease Cycles'!$EF$19:$EL$19,1,AM197)=1,'Lease Cycles'!$AJ$19*INDEX('Lease Cycles'!$FO$19:$FU$19,1,AM197)*INDEX('Lease Cycles'!$EM$19:$ES$19,1,AM197)+'Lease Cycles'!$BE$19*IF(AM198&lt;INDEX('Lease Cycles'!$FA$19:$FG$19,1,AM197),0,1-INDEX('Lease Cycles'!$EM$19:$ES$19,1,AM197)),IF(OR(INDEX('Lease Cycles'!$DY$19:$EE$19,1,AM197)=1,AM198&gt;0),1,1-INDEX('Lease Cycles'!$DD$19:$DJ$19,1,AM197))*('Lease Cycles'!$AJ$19*INDEX('Lease Cycles'!$FO$19:$FU$19,1,AM197)+'Lease Cycles'!$BE$19*(1-INDEX('Lease Cycles'!$FO$19:$FU$19,1,AM197)))),0)</f>
        <v>0</v>
      </c>
      <c r="AN207" s="24">
        <f>IF(AN199=1,'Lease Cycles'!$D$19*IF(INDEX('Lease Cycles'!$EF$19:$EL$19,1,AN197)=1,'Lease Cycles'!$AJ$19*INDEX('Lease Cycles'!$FO$19:$FU$19,1,AN197)*INDEX('Lease Cycles'!$EM$19:$ES$19,1,AN197)+'Lease Cycles'!$BE$19*IF(AN198&lt;INDEX('Lease Cycles'!$FA$19:$FG$19,1,AN197),0,1-INDEX('Lease Cycles'!$EM$19:$ES$19,1,AN197)),IF(OR(INDEX('Lease Cycles'!$DY$19:$EE$19,1,AN197)=1,AN198&gt;0),1,1-INDEX('Lease Cycles'!$DD$19:$DJ$19,1,AN197))*('Lease Cycles'!$AJ$19*INDEX('Lease Cycles'!$FO$19:$FU$19,1,AN197)+'Lease Cycles'!$BE$19*(1-INDEX('Lease Cycles'!$FO$19:$FU$19,1,AN197)))),0)</f>
        <v>0</v>
      </c>
      <c r="AO207" s="24">
        <f>IF(AO199=1,'Lease Cycles'!$D$19*IF(INDEX('Lease Cycles'!$EF$19:$EL$19,1,AO197)=1,'Lease Cycles'!$AJ$19*INDEX('Lease Cycles'!$FO$19:$FU$19,1,AO197)*INDEX('Lease Cycles'!$EM$19:$ES$19,1,AO197)+'Lease Cycles'!$BE$19*IF(AO198&lt;INDEX('Lease Cycles'!$FA$19:$FG$19,1,AO197),0,1-INDEX('Lease Cycles'!$EM$19:$ES$19,1,AO197)),IF(OR(INDEX('Lease Cycles'!$DY$19:$EE$19,1,AO197)=1,AO198&gt;0),1,1-INDEX('Lease Cycles'!$DD$19:$DJ$19,1,AO197))*('Lease Cycles'!$AJ$19*INDEX('Lease Cycles'!$FO$19:$FU$19,1,AO197)+'Lease Cycles'!$BE$19*(1-INDEX('Lease Cycles'!$FO$19:$FU$19,1,AO197)))),0)</f>
        <v>0</v>
      </c>
      <c r="AP207" s="24">
        <f>IF(AP199=1,'Lease Cycles'!$D$19*IF(INDEX('Lease Cycles'!$EF$19:$EL$19,1,AP197)=1,'Lease Cycles'!$AJ$19*INDEX('Lease Cycles'!$FO$19:$FU$19,1,AP197)*INDEX('Lease Cycles'!$EM$19:$ES$19,1,AP197)+'Lease Cycles'!$BE$19*IF(AP198&lt;INDEX('Lease Cycles'!$FA$19:$FG$19,1,AP197),0,1-INDEX('Lease Cycles'!$EM$19:$ES$19,1,AP197)),IF(OR(INDEX('Lease Cycles'!$DY$19:$EE$19,1,AP197)=1,AP198&gt;0),1,1-INDEX('Lease Cycles'!$DD$19:$DJ$19,1,AP197))*('Lease Cycles'!$AJ$19*INDEX('Lease Cycles'!$FO$19:$FU$19,1,AP197)+'Lease Cycles'!$BE$19*(1-INDEX('Lease Cycles'!$FO$19:$FU$19,1,AP197)))),0)</f>
        <v>0</v>
      </c>
      <c r="AQ207" s="24">
        <f>IF(AQ199=1,'Lease Cycles'!$D$19*IF(INDEX('Lease Cycles'!$EF$19:$EL$19,1,AQ197)=1,'Lease Cycles'!$AJ$19*INDEX('Lease Cycles'!$FO$19:$FU$19,1,AQ197)*INDEX('Lease Cycles'!$EM$19:$ES$19,1,AQ197)+'Lease Cycles'!$BE$19*IF(AQ198&lt;INDEX('Lease Cycles'!$FA$19:$FG$19,1,AQ197),0,1-INDEX('Lease Cycles'!$EM$19:$ES$19,1,AQ197)),IF(OR(INDEX('Lease Cycles'!$DY$19:$EE$19,1,AQ197)=1,AQ198&gt;0),1,1-INDEX('Lease Cycles'!$DD$19:$DJ$19,1,AQ197))*('Lease Cycles'!$AJ$19*INDEX('Lease Cycles'!$FO$19:$FU$19,1,AQ197)+'Lease Cycles'!$BE$19*(1-INDEX('Lease Cycles'!$FO$19:$FU$19,1,AQ197)))),0)</f>
        <v>0</v>
      </c>
      <c r="AR207" s="24">
        <f>IF(AR199=1,'Lease Cycles'!$D$19*IF(INDEX('Lease Cycles'!$EF$19:$EL$19,1,AR197)=1,'Lease Cycles'!$AJ$19*INDEX('Lease Cycles'!$FO$19:$FU$19,1,AR197)*INDEX('Lease Cycles'!$EM$19:$ES$19,1,AR197)+'Lease Cycles'!$BE$19*IF(AR198&lt;INDEX('Lease Cycles'!$FA$19:$FG$19,1,AR197),0,1-INDEX('Lease Cycles'!$EM$19:$ES$19,1,AR197)),IF(OR(INDEX('Lease Cycles'!$DY$19:$EE$19,1,AR197)=1,AR198&gt;0),1,1-INDEX('Lease Cycles'!$DD$19:$DJ$19,1,AR197))*('Lease Cycles'!$AJ$19*INDEX('Lease Cycles'!$FO$19:$FU$19,1,AR197)+'Lease Cycles'!$BE$19*(1-INDEX('Lease Cycles'!$FO$19:$FU$19,1,AR197)))),0)</f>
        <v>0</v>
      </c>
      <c r="AS207" s="24">
        <f>IF(AS199=1,'Lease Cycles'!$D$19*IF(INDEX('Lease Cycles'!$EF$19:$EL$19,1,AS197)=1,'Lease Cycles'!$AJ$19*INDEX('Lease Cycles'!$FO$19:$FU$19,1,AS197)*INDEX('Lease Cycles'!$EM$19:$ES$19,1,AS197)+'Lease Cycles'!$BE$19*IF(AS198&lt;INDEX('Lease Cycles'!$FA$19:$FG$19,1,AS197),0,1-INDEX('Lease Cycles'!$EM$19:$ES$19,1,AS197)),IF(OR(INDEX('Lease Cycles'!$DY$19:$EE$19,1,AS197)=1,AS198&gt;0),1,1-INDEX('Lease Cycles'!$DD$19:$DJ$19,1,AS197))*('Lease Cycles'!$AJ$19*INDEX('Lease Cycles'!$FO$19:$FU$19,1,AS197)+'Lease Cycles'!$BE$19*(1-INDEX('Lease Cycles'!$FO$19:$FU$19,1,AS197)))),0)</f>
        <v>0</v>
      </c>
      <c r="AT207" s="24">
        <f>IF(AT199=1,'Lease Cycles'!$D$19*IF(INDEX('Lease Cycles'!$EF$19:$EL$19,1,AT197)=1,'Lease Cycles'!$AJ$19*INDEX('Lease Cycles'!$FO$19:$FU$19,1,AT197)*INDEX('Lease Cycles'!$EM$19:$ES$19,1,AT197)+'Lease Cycles'!$BE$19*IF(AT198&lt;INDEX('Lease Cycles'!$FA$19:$FG$19,1,AT197),0,1-INDEX('Lease Cycles'!$EM$19:$ES$19,1,AT197)),IF(OR(INDEX('Lease Cycles'!$DY$19:$EE$19,1,AT197)=1,AT198&gt;0),1,1-INDEX('Lease Cycles'!$DD$19:$DJ$19,1,AT197))*('Lease Cycles'!$AJ$19*INDEX('Lease Cycles'!$FO$19:$FU$19,1,AT197)+'Lease Cycles'!$BE$19*(1-INDEX('Lease Cycles'!$FO$19:$FU$19,1,AT197)))),0)</f>
        <v>0</v>
      </c>
      <c r="AU207" s="24">
        <f>IF(AU199=1,'Lease Cycles'!$D$19*IF(INDEX('Lease Cycles'!$EF$19:$EL$19,1,AU197)=1,'Lease Cycles'!$AJ$19*INDEX('Lease Cycles'!$FO$19:$FU$19,1,AU197)*INDEX('Lease Cycles'!$EM$19:$ES$19,1,AU197)+'Lease Cycles'!$BE$19*IF(AU198&lt;INDEX('Lease Cycles'!$FA$19:$FG$19,1,AU197),0,1-INDEX('Lease Cycles'!$EM$19:$ES$19,1,AU197)),IF(OR(INDEX('Lease Cycles'!$DY$19:$EE$19,1,AU197)=1,AU198&gt;0),1,1-INDEX('Lease Cycles'!$DD$19:$DJ$19,1,AU197))*('Lease Cycles'!$AJ$19*INDEX('Lease Cycles'!$FO$19:$FU$19,1,AU197)+'Lease Cycles'!$BE$19*(1-INDEX('Lease Cycles'!$FO$19:$FU$19,1,AU197)))),0)</f>
        <v>0</v>
      </c>
      <c r="AV207" s="24">
        <f>IF(AV199=1,'Lease Cycles'!$D$19*IF(INDEX('Lease Cycles'!$EF$19:$EL$19,1,AV197)=1,'Lease Cycles'!$AJ$19*INDEX('Lease Cycles'!$FO$19:$FU$19,1,AV197)*INDEX('Lease Cycles'!$EM$19:$ES$19,1,AV197)+'Lease Cycles'!$BE$19*IF(AV198&lt;INDEX('Lease Cycles'!$FA$19:$FG$19,1,AV197),0,1-INDEX('Lease Cycles'!$EM$19:$ES$19,1,AV197)),IF(OR(INDEX('Lease Cycles'!$DY$19:$EE$19,1,AV197)=1,AV198&gt;0),1,1-INDEX('Lease Cycles'!$DD$19:$DJ$19,1,AV197))*('Lease Cycles'!$AJ$19*INDEX('Lease Cycles'!$FO$19:$FU$19,1,AV197)+'Lease Cycles'!$BE$19*(1-INDEX('Lease Cycles'!$FO$19:$FU$19,1,AV197)))),0)</f>
        <v>0</v>
      </c>
      <c r="AW207" s="24">
        <f>IF(AW199=1,'Lease Cycles'!$D$19*IF(INDEX('Lease Cycles'!$EF$19:$EL$19,1,AW197)=1,'Lease Cycles'!$AJ$19*INDEX('Lease Cycles'!$FO$19:$FU$19,1,AW197)*INDEX('Lease Cycles'!$EM$19:$ES$19,1,AW197)+'Lease Cycles'!$BE$19*IF(AW198&lt;INDEX('Lease Cycles'!$FA$19:$FG$19,1,AW197),0,1-INDEX('Lease Cycles'!$EM$19:$ES$19,1,AW197)),IF(OR(INDEX('Lease Cycles'!$DY$19:$EE$19,1,AW197)=1,AW198&gt;0),1,1-INDEX('Lease Cycles'!$DD$19:$DJ$19,1,AW197))*('Lease Cycles'!$AJ$19*INDEX('Lease Cycles'!$FO$19:$FU$19,1,AW197)+'Lease Cycles'!$BE$19*(1-INDEX('Lease Cycles'!$FO$19:$FU$19,1,AW197)))),0)</f>
        <v>0</v>
      </c>
      <c r="AX207" s="24">
        <f>IF(AX199=1,'Lease Cycles'!$D$19*IF(INDEX('Lease Cycles'!$EF$19:$EL$19,1,AX197)=1,'Lease Cycles'!$AJ$19*INDEX('Lease Cycles'!$FO$19:$FU$19,1,AX197)*INDEX('Lease Cycles'!$EM$19:$ES$19,1,AX197)+'Lease Cycles'!$BE$19*IF(AX198&lt;INDEX('Lease Cycles'!$FA$19:$FG$19,1,AX197),0,1-INDEX('Lease Cycles'!$EM$19:$ES$19,1,AX197)),IF(OR(INDEX('Lease Cycles'!$DY$19:$EE$19,1,AX197)=1,AX198&gt;0),1,1-INDEX('Lease Cycles'!$DD$19:$DJ$19,1,AX197))*('Lease Cycles'!$AJ$19*INDEX('Lease Cycles'!$FO$19:$FU$19,1,AX197)+'Lease Cycles'!$BE$19*(1-INDEX('Lease Cycles'!$FO$19:$FU$19,1,AX197)))),0)</f>
        <v>0</v>
      </c>
      <c r="AY207" s="24">
        <f>IF(AY199=1,'Lease Cycles'!$D$19*IF(INDEX('Lease Cycles'!$EF$19:$EL$19,1,AY197)=1,'Lease Cycles'!$AJ$19*INDEX('Lease Cycles'!$FO$19:$FU$19,1,AY197)*INDEX('Lease Cycles'!$EM$19:$ES$19,1,AY197)+'Lease Cycles'!$BE$19*IF(AY198&lt;INDEX('Lease Cycles'!$FA$19:$FG$19,1,AY197),0,1-INDEX('Lease Cycles'!$EM$19:$ES$19,1,AY197)),IF(OR(INDEX('Lease Cycles'!$DY$19:$EE$19,1,AY197)=1,AY198&gt;0),1,1-INDEX('Lease Cycles'!$DD$19:$DJ$19,1,AY197))*('Lease Cycles'!$AJ$19*INDEX('Lease Cycles'!$FO$19:$FU$19,1,AY197)+'Lease Cycles'!$BE$19*(1-INDEX('Lease Cycles'!$FO$19:$FU$19,1,AY197)))),0)</f>
        <v>0</v>
      </c>
      <c r="AZ207" s="24">
        <f>IF(AZ199=1,'Lease Cycles'!$D$19*IF(INDEX('Lease Cycles'!$EF$19:$EL$19,1,AZ197)=1,'Lease Cycles'!$AJ$19*INDEX('Lease Cycles'!$FO$19:$FU$19,1,AZ197)*INDEX('Lease Cycles'!$EM$19:$ES$19,1,AZ197)+'Lease Cycles'!$BE$19*IF(AZ198&lt;INDEX('Lease Cycles'!$FA$19:$FG$19,1,AZ197),0,1-INDEX('Lease Cycles'!$EM$19:$ES$19,1,AZ197)),IF(OR(INDEX('Lease Cycles'!$DY$19:$EE$19,1,AZ197)=1,AZ198&gt;0),1,1-INDEX('Lease Cycles'!$DD$19:$DJ$19,1,AZ197))*('Lease Cycles'!$AJ$19*INDEX('Lease Cycles'!$FO$19:$FU$19,1,AZ197)+'Lease Cycles'!$BE$19*(1-INDEX('Lease Cycles'!$FO$19:$FU$19,1,AZ197)))),0)</f>
        <v>0</v>
      </c>
      <c r="BA207" s="24">
        <f>IF(BA199=1,'Lease Cycles'!$D$19*IF(INDEX('Lease Cycles'!$EF$19:$EL$19,1,BA197)=1,'Lease Cycles'!$AJ$19*INDEX('Lease Cycles'!$FO$19:$FU$19,1,BA197)*INDEX('Lease Cycles'!$EM$19:$ES$19,1,BA197)+'Lease Cycles'!$BE$19*IF(BA198&lt;INDEX('Lease Cycles'!$FA$19:$FG$19,1,BA197),0,1-INDEX('Lease Cycles'!$EM$19:$ES$19,1,BA197)),IF(OR(INDEX('Lease Cycles'!$DY$19:$EE$19,1,BA197)=1,BA198&gt;0),1,1-INDEX('Lease Cycles'!$DD$19:$DJ$19,1,BA197))*('Lease Cycles'!$AJ$19*INDEX('Lease Cycles'!$FO$19:$FU$19,1,BA197)+'Lease Cycles'!$BE$19*(1-INDEX('Lease Cycles'!$FO$19:$FU$19,1,BA197)))),0)</f>
        <v>0</v>
      </c>
      <c r="BB207" s="24">
        <f>IF(BB199=1,'Lease Cycles'!$D$19*IF(INDEX('Lease Cycles'!$EF$19:$EL$19,1,BB197)=1,'Lease Cycles'!$AJ$19*INDEX('Lease Cycles'!$FO$19:$FU$19,1,BB197)*INDEX('Lease Cycles'!$EM$19:$ES$19,1,BB197)+'Lease Cycles'!$BE$19*IF(BB198&lt;INDEX('Lease Cycles'!$FA$19:$FG$19,1,BB197),0,1-INDEX('Lease Cycles'!$EM$19:$ES$19,1,BB197)),IF(OR(INDEX('Lease Cycles'!$DY$19:$EE$19,1,BB197)=1,BB198&gt;0),1,1-INDEX('Lease Cycles'!$DD$19:$DJ$19,1,BB197))*('Lease Cycles'!$AJ$19*INDEX('Lease Cycles'!$FO$19:$FU$19,1,BB197)+'Lease Cycles'!$BE$19*(1-INDEX('Lease Cycles'!$FO$19:$FU$19,1,BB197)))),0)</f>
        <v>0</v>
      </c>
      <c r="BC207" s="24">
        <f>IF(BC199=1,'Lease Cycles'!$D$19*IF(INDEX('Lease Cycles'!$EF$19:$EL$19,1,BC197)=1,'Lease Cycles'!$AJ$19*INDEX('Lease Cycles'!$FO$19:$FU$19,1,BC197)*INDEX('Lease Cycles'!$EM$19:$ES$19,1,BC197)+'Lease Cycles'!$BE$19*IF(BC198&lt;INDEX('Lease Cycles'!$FA$19:$FG$19,1,BC197),0,1-INDEX('Lease Cycles'!$EM$19:$ES$19,1,BC197)),IF(OR(INDEX('Lease Cycles'!$DY$19:$EE$19,1,BC197)=1,BC198&gt;0),1,1-INDEX('Lease Cycles'!$DD$19:$DJ$19,1,BC197))*('Lease Cycles'!$AJ$19*INDEX('Lease Cycles'!$FO$19:$FU$19,1,BC197)+'Lease Cycles'!$BE$19*(1-INDEX('Lease Cycles'!$FO$19:$FU$19,1,BC197)))),0)</f>
        <v>0</v>
      </c>
      <c r="BD207" s="24">
        <f>IF(BD199=1,'Lease Cycles'!$D$19*IF(INDEX('Lease Cycles'!$EF$19:$EL$19,1,BD197)=1,'Lease Cycles'!$AJ$19*INDEX('Lease Cycles'!$FO$19:$FU$19,1,BD197)*INDEX('Lease Cycles'!$EM$19:$ES$19,1,BD197)+'Lease Cycles'!$BE$19*IF(BD198&lt;INDEX('Lease Cycles'!$FA$19:$FG$19,1,BD197),0,1-INDEX('Lease Cycles'!$EM$19:$ES$19,1,BD197)),IF(OR(INDEX('Lease Cycles'!$DY$19:$EE$19,1,BD197)=1,BD198&gt;0),1,1-INDEX('Lease Cycles'!$DD$19:$DJ$19,1,BD197))*('Lease Cycles'!$AJ$19*INDEX('Lease Cycles'!$FO$19:$FU$19,1,BD197)+'Lease Cycles'!$BE$19*(1-INDEX('Lease Cycles'!$FO$19:$FU$19,1,BD197)))),0)</f>
        <v>0</v>
      </c>
      <c r="BE207" s="24">
        <f>IF(BE199=1,'Lease Cycles'!$D$19*IF(INDEX('Lease Cycles'!$EF$19:$EL$19,1,BE197)=1,'Lease Cycles'!$AJ$19*INDEX('Lease Cycles'!$FO$19:$FU$19,1,BE197)*INDEX('Lease Cycles'!$EM$19:$ES$19,1,BE197)+'Lease Cycles'!$BE$19*IF(BE198&lt;INDEX('Lease Cycles'!$FA$19:$FG$19,1,BE197),0,1-INDEX('Lease Cycles'!$EM$19:$ES$19,1,BE197)),IF(OR(INDEX('Lease Cycles'!$DY$19:$EE$19,1,BE197)=1,BE198&gt;0),1,1-INDEX('Lease Cycles'!$DD$19:$DJ$19,1,BE197))*('Lease Cycles'!$AJ$19*INDEX('Lease Cycles'!$FO$19:$FU$19,1,BE197)+'Lease Cycles'!$BE$19*(1-INDEX('Lease Cycles'!$FO$19:$FU$19,1,BE197)))),0)</f>
        <v>0</v>
      </c>
      <c r="BF207" s="24">
        <f>IF(BF199=1,'Lease Cycles'!$D$19*IF(INDEX('Lease Cycles'!$EF$19:$EL$19,1,BF197)=1,'Lease Cycles'!$AJ$19*INDEX('Lease Cycles'!$FO$19:$FU$19,1,BF197)*INDEX('Lease Cycles'!$EM$19:$ES$19,1,BF197)+'Lease Cycles'!$BE$19*IF(BF198&lt;INDEX('Lease Cycles'!$FA$19:$FG$19,1,BF197),0,1-INDEX('Lease Cycles'!$EM$19:$ES$19,1,BF197)),IF(OR(INDEX('Lease Cycles'!$DY$19:$EE$19,1,BF197)=1,BF198&gt;0),1,1-INDEX('Lease Cycles'!$DD$19:$DJ$19,1,BF197))*('Lease Cycles'!$AJ$19*INDEX('Lease Cycles'!$FO$19:$FU$19,1,BF197)+'Lease Cycles'!$BE$19*(1-INDEX('Lease Cycles'!$FO$19:$FU$19,1,BF197)))),0)</f>
        <v>0</v>
      </c>
      <c r="BG207" s="24">
        <f>IF(BG199=1,'Lease Cycles'!$D$19*IF(INDEX('Lease Cycles'!$EF$19:$EL$19,1,BG197)=1,'Lease Cycles'!$AJ$19*INDEX('Lease Cycles'!$FO$19:$FU$19,1,BG197)*INDEX('Lease Cycles'!$EM$19:$ES$19,1,BG197)+'Lease Cycles'!$BE$19*IF(BG198&lt;INDEX('Lease Cycles'!$FA$19:$FG$19,1,BG197),0,1-INDEX('Lease Cycles'!$EM$19:$ES$19,1,BG197)),IF(OR(INDEX('Lease Cycles'!$DY$19:$EE$19,1,BG197)=1,BG198&gt;0),1,1-INDEX('Lease Cycles'!$DD$19:$DJ$19,1,BG197))*('Lease Cycles'!$AJ$19*INDEX('Lease Cycles'!$FO$19:$FU$19,1,BG197)+'Lease Cycles'!$BE$19*(1-INDEX('Lease Cycles'!$FO$19:$FU$19,1,BG197)))),0)</f>
        <v>0</v>
      </c>
      <c r="BH207" s="24">
        <f>IF(BH199=1,'Lease Cycles'!$D$19*IF(INDEX('Lease Cycles'!$EF$19:$EL$19,1,BH197)=1,'Lease Cycles'!$AJ$19*INDEX('Lease Cycles'!$FO$19:$FU$19,1,BH197)*INDEX('Lease Cycles'!$EM$19:$ES$19,1,BH197)+'Lease Cycles'!$BE$19*IF(BH198&lt;INDEX('Lease Cycles'!$FA$19:$FG$19,1,BH197),0,1-INDEX('Lease Cycles'!$EM$19:$ES$19,1,BH197)),IF(OR(INDEX('Lease Cycles'!$DY$19:$EE$19,1,BH197)=1,BH198&gt;0),1,1-INDEX('Lease Cycles'!$DD$19:$DJ$19,1,BH197))*('Lease Cycles'!$AJ$19*INDEX('Lease Cycles'!$FO$19:$FU$19,1,BH197)+'Lease Cycles'!$BE$19*(1-INDEX('Lease Cycles'!$FO$19:$FU$19,1,BH197)))),0)</f>
        <v>0</v>
      </c>
      <c r="BI207" s="24">
        <f>IF(BI199=1,'Lease Cycles'!$D$19*IF(INDEX('Lease Cycles'!$EF$19:$EL$19,1,BI197)=1,'Lease Cycles'!$AJ$19*INDEX('Lease Cycles'!$FO$19:$FU$19,1,BI197)*INDEX('Lease Cycles'!$EM$19:$ES$19,1,BI197)+'Lease Cycles'!$BE$19*IF(BI198&lt;INDEX('Lease Cycles'!$FA$19:$FG$19,1,BI197),0,1-INDEX('Lease Cycles'!$EM$19:$ES$19,1,BI197)),IF(OR(INDEX('Lease Cycles'!$DY$19:$EE$19,1,BI197)=1,BI198&gt;0),1,1-INDEX('Lease Cycles'!$DD$19:$DJ$19,1,BI197))*('Lease Cycles'!$AJ$19*INDEX('Lease Cycles'!$FO$19:$FU$19,1,BI197)+'Lease Cycles'!$BE$19*(1-INDEX('Lease Cycles'!$FO$19:$FU$19,1,BI197)))),0)</f>
        <v>0</v>
      </c>
      <c r="BJ207" s="24">
        <f>IF(BJ199=1,'Lease Cycles'!$D$19*IF(INDEX('Lease Cycles'!$EF$19:$EL$19,1,BJ197)=1,'Lease Cycles'!$AJ$19*INDEX('Lease Cycles'!$FO$19:$FU$19,1,BJ197)*INDEX('Lease Cycles'!$EM$19:$ES$19,1,BJ197)+'Lease Cycles'!$BE$19*IF(BJ198&lt;INDEX('Lease Cycles'!$FA$19:$FG$19,1,BJ197),0,1-INDEX('Lease Cycles'!$EM$19:$ES$19,1,BJ197)),IF(OR(INDEX('Lease Cycles'!$DY$19:$EE$19,1,BJ197)=1,BJ198&gt;0),1,1-INDEX('Lease Cycles'!$DD$19:$DJ$19,1,BJ197))*('Lease Cycles'!$AJ$19*INDEX('Lease Cycles'!$FO$19:$FU$19,1,BJ197)+'Lease Cycles'!$BE$19*(1-INDEX('Lease Cycles'!$FO$19:$FU$19,1,BJ197)))),0)</f>
        <v>0</v>
      </c>
      <c r="BK207" s="24">
        <f>IF(BK199=1,'Lease Cycles'!$D$19*IF(INDEX('Lease Cycles'!$EF$19:$EL$19,1,BK197)=1,'Lease Cycles'!$AJ$19*INDEX('Lease Cycles'!$FO$19:$FU$19,1,BK197)*INDEX('Lease Cycles'!$EM$19:$ES$19,1,BK197)+'Lease Cycles'!$BE$19*IF(BK198&lt;INDEX('Lease Cycles'!$FA$19:$FG$19,1,BK197),0,1-INDEX('Lease Cycles'!$EM$19:$ES$19,1,BK197)),IF(OR(INDEX('Lease Cycles'!$DY$19:$EE$19,1,BK197)=1,BK198&gt;0),1,1-INDEX('Lease Cycles'!$DD$19:$DJ$19,1,BK197))*('Lease Cycles'!$AJ$19*INDEX('Lease Cycles'!$FO$19:$FU$19,1,BK197)+'Lease Cycles'!$BE$19*(1-INDEX('Lease Cycles'!$FO$19:$FU$19,1,BK197)))),0)</f>
        <v>0</v>
      </c>
      <c r="BL207" s="24">
        <f>IF(BL199=1,'Lease Cycles'!$D$19*IF(INDEX('Lease Cycles'!$EF$19:$EL$19,1,BL197)=1,'Lease Cycles'!$AJ$19*INDEX('Lease Cycles'!$FO$19:$FU$19,1,BL197)*INDEX('Lease Cycles'!$EM$19:$ES$19,1,BL197)+'Lease Cycles'!$BE$19*IF(BL198&lt;INDEX('Lease Cycles'!$FA$19:$FG$19,1,BL197),0,1-INDEX('Lease Cycles'!$EM$19:$ES$19,1,BL197)),IF(OR(INDEX('Lease Cycles'!$DY$19:$EE$19,1,BL197)=1,BL198&gt;0),1,1-INDEX('Lease Cycles'!$DD$19:$DJ$19,1,BL197))*('Lease Cycles'!$AJ$19*INDEX('Lease Cycles'!$FO$19:$FU$19,1,BL197)+'Lease Cycles'!$BE$19*(1-INDEX('Lease Cycles'!$FO$19:$FU$19,1,BL197)))),0)</f>
        <v>0</v>
      </c>
      <c r="BM207" s="24">
        <f>IF(BM199=1,'Lease Cycles'!$D$19*IF(INDEX('Lease Cycles'!$EF$19:$EL$19,1,BM197)=1,'Lease Cycles'!$AJ$19*INDEX('Lease Cycles'!$FO$19:$FU$19,1,BM197)*INDEX('Lease Cycles'!$EM$19:$ES$19,1,BM197)+'Lease Cycles'!$BE$19*IF(BM198&lt;INDEX('Lease Cycles'!$FA$19:$FG$19,1,BM197),0,1-INDEX('Lease Cycles'!$EM$19:$ES$19,1,BM197)),IF(OR(INDEX('Lease Cycles'!$DY$19:$EE$19,1,BM197)=1,BM198&gt;0),1,1-INDEX('Lease Cycles'!$DD$19:$DJ$19,1,BM197))*('Lease Cycles'!$AJ$19*INDEX('Lease Cycles'!$FO$19:$FU$19,1,BM197)+'Lease Cycles'!$BE$19*(1-INDEX('Lease Cycles'!$FO$19:$FU$19,1,BM197)))),0)</f>
        <v>0</v>
      </c>
      <c r="BN207" s="24">
        <f>IF(BN199=1,'Lease Cycles'!$D$19*IF(INDEX('Lease Cycles'!$EF$19:$EL$19,1,BN197)=1,'Lease Cycles'!$AJ$19*INDEX('Lease Cycles'!$FO$19:$FU$19,1,BN197)*INDEX('Lease Cycles'!$EM$19:$ES$19,1,BN197)+'Lease Cycles'!$BE$19*IF(BN198&lt;INDEX('Lease Cycles'!$FA$19:$FG$19,1,BN197),0,1-INDEX('Lease Cycles'!$EM$19:$ES$19,1,BN197)),IF(OR(INDEX('Lease Cycles'!$DY$19:$EE$19,1,BN197)=1,BN198&gt;0),1,1-INDEX('Lease Cycles'!$DD$19:$DJ$19,1,BN197))*('Lease Cycles'!$AJ$19*INDEX('Lease Cycles'!$FO$19:$FU$19,1,BN197)+'Lease Cycles'!$BE$19*(1-INDEX('Lease Cycles'!$FO$19:$FU$19,1,BN197)))),0)</f>
        <v>0</v>
      </c>
      <c r="BO207" s="24">
        <f>IF(BO199=1,'Lease Cycles'!$D$19*IF(INDEX('Lease Cycles'!$EF$19:$EL$19,1,BO197)=1,'Lease Cycles'!$AJ$19*INDEX('Lease Cycles'!$FO$19:$FU$19,1,BO197)*INDEX('Lease Cycles'!$EM$19:$ES$19,1,BO197)+'Lease Cycles'!$BE$19*IF(BO198&lt;INDEX('Lease Cycles'!$FA$19:$FG$19,1,BO197),0,1-INDEX('Lease Cycles'!$EM$19:$ES$19,1,BO197)),IF(OR(INDEX('Lease Cycles'!$DY$19:$EE$19,1,BO197)=1,BO198&gt;0),1,1-INDEX('Lease Cycles'!$DD$19:$DJ$19,1,BO197))*('Lease Cycles'!$AJ$19*INDEX('Lease Cycles'!$FO$19:$FU$19,1,BO197)+'Lease Cycles'!$BE$19*(1-INDEX('Lease Cycles'!$FO$19:$FU$19,1,BO197)))),0)</f>
        <v>0</v>
      </c>
      <c r="BP207" s="24">
        <f>IF(BP199=1,'Lease Cycles'!$D$19*IF(INDEX('Lease Cycles'!$EF$19:$EL$19,1,BP197)=1,'Lease Cycles'!$AJ$19*INDEX('Lease Cycles'!$FO$19:$FU$19,1,BP197)*INDEX('Lease Cycles'!$EM$19:$ES$19,1,BP197)+'Lease Cycles'!$BE$19*IF(BP198&lt;INDEX('Lease Cycles'!$FA$19:$FG$19,1,BP197),0,1-INDEX('Lease Cycles'!$EM$19:$ES$19,1,BP197)),IF(OR(INDEX('Lease Cycles'!$DY$19:$EE$19,1,BP197)=1,BP198&gt;0),1,1-INDEX('Lease Cycles'!$DD$19:$DJ$19,1,BP197))*('Lease Cycles'!$AJ$19*INDEX('Lease Cycles'!$FO$19:$FU$19,1,BP197)+'Lease Cycles'!$BE$19*(1-INDEX('Lease Cycles'!$FO$19:$FU$19,1,BP197)))),0)</f>
        <v>0</v>
      </c>
      <c r="BQ207" s="24">
        <f>IF(BQ199=1,'Lease Cycles'!$D$19*IF(INDEX('Lease Cycles'!$EF$19:$EL$19,1,BQ197)=1,'Lease Cycles'!$AJ$19*INDEX('Lease Cycles'!$FO$19:$FU$19,1,BQ197)*INDEX('Lease Cycles'!$EM$19:$ES$19,1,BQ197)+'Lease Cycles'!$BE$19*IF(BQ198&lt;INDEX('Lease Cycles'!$FA$19:$FG$19,1,BQ197),0,1-INDEX('Lease Cycles'!$EM$19:$ES$19,1,BQ197)),IF(OR(INDEX('Lease Cycles'!$DY$19:$EE$19,1,BQ197)=1,BQ198&gt;0),1,1-INDEX('Lease Cycles'!$DD$19:$DJ$19,1,BQ197))*('Lease Cycles'!$AJ$19*INDEX('Lease Cycles'!$FO$19:$FU$19,1,BQ197)+'Lease Cycles'!$BE$19*(1-INDEX('Lease Cycles'!$FO$19:$FU$19,1,BQ197)))),0)</f>
        <v>0</v>
      </c>
      <c r="BR207" s="24">
        <f>IF(BR199=1,'Lease Cycles'!$D$19*IF(INDEX('Lease Cycles'!$EF$19:$EL$19,1,BR197)=1,'Lease Cycles'!$AJ$19*INDEX('Lease Cycles'!$FO$19:$FU$19,1,BR197)*INDEX('Lease Cycles'!$EM$19:$ES$19,1,BR197)+'Lease Cycles'!$BE$19*IF(BR198&lt;INDEX('Lease Cycles'!$FA$19:$FG$19,1,BR197),0,1-INDEX('Lease Cycles'!$EM$19:$ES$19,1,BR197)),IF(OR(INDEX('Lease Cycles'!$DY$19:$EE$19,1,BR197)=1,BR198&gt;0),1,1-INDEX('Lease Cycles'!$DD$19:$DJ$19,1,BR197))*('Lease Cycles'!$AJ$19*INDEX('Lease Cycles'!$FO$19:$FU$19,1,BR197)+'Lease Cycles'!$BE$19*(1-INDEX('Lease Cycles'!$FO$19:$FU$19,1,BR197)))),0)</f>
        <v>0</v>
      </c>
      <c r="BS207" s="24">
        <f>IF(BS199=1,'Lease Cycles'!$D$19*IF(INDEX('Lease Cycles'!$EF$19:$EL$19,1,BS197)=1,'Lease Cycles'!$AJ$19*INDEX('Lease Cycles'!$FO$19:$FU$19,1,BS197)*INDEX('Lease Cycles'!$EM$19:$ES$19,1,BS197)+'Lease Cycles'!$BE$19*IF(BS198&lt;INDEX('Lease Cycles'!$FA$19:$FG$19,1,BS197),0,1-INDEX('Lease Cycles'!$EM$19:$ES$19,1,BS197)),IF(OR(INDEX('Lease Cycles'!$DY$19:$EE$19,1,BS197)=1,BS198&gt;0),1,1-INDEX('Lease Cycles'!$DD$19:$DJ$19,1,BS197))*('Lease Cycles'!$AJ$19*INDEX('Lease Cycles'!$FO$19:$FU$19,1,BS197)+'Lease Cycles'!$BE$19*(1-INDEX('Lease Cycles'!$FO$19:$FU$19,1,BS197)))),0)</f>
        <v>0</v>
      </c>
      <c r="BT207" s="24">
        <f>IF(BT199=1,'Lease Cycles'!$D$19*IF(INDEX('Lease Cycles'!$EF$19:$EL$19,1,BT197)=1,'Lease Cycles'!$AJ$19*INDEX('Lease Cycles'!$FO$19:$FU$19,1,BT197)*INDEX('Lease Cycles'!$EM$19:$ES$19,1,BT197)+'Lease Cycles'!$BE$19*IF(BT198&lt;INDEX('Lease Cycles'!$FA$19:$FG$19,1,BT197),0,1-INDEX('Lease Cycles'!$EM$19:$ES$19,1,BT197)),IF(OR(INDEX('Lease Cycles'!$DY$19:$EE$19,1,BT197)=1,BT198&gt;0),1,1-INDEX('Lease Cycles'!$DD$19:$DJ$19,1,BT197))*('Lease Cycles'!$AJ$19*INDEX('Lease Cycles'!$FO$19:$FU$19,1,BT197)+'Lease Cycles'!$BE$19*(1-INDEX('Lease Cycles'!$FO$19:$FU$19,1,BT197)))),0)</f>
        <v>0</v>
      </c>
      <c r="BU207" s="24">
        <f>IF(BU199=1,'Lease Cycles'!$D$19*IF(INDEX('Lease Cycles'!$EF$19:$EL$19,1,BU197)=1,'Lease Cycles'!$AJ$19*INDEX('Lease Cycles'!$FO$19:$FU$19,1,BU197)*INDEX('Lease Cycles'!$EM$19:$ES$19,1,BU197)+'Lease Cycles'!$BE$19*IF(BU198&lt;INDEX('Lease Cycles'!$FA$19:$FG$19,1,BU197),0,1-INDEX('Lease Cycles'!$EM$19:$ES$19,1,BU197)),IF(OR(INDEX('Lease Cycles'!$DY$19:$EE$19,1,BU197)=1,BU198&gt;0),1,1-INDEX('Lease Cycles'!$DD$19:$DJ$19,1,BU197))*('Lease Cycles'!$AJ$19*INDEX('Lease Cycles'!$FO$19:$FU$19,1,BU197)+'Lease Cycles'!$BE$19*(1-INDEX('Lease Cycles'!$FO$19:$FU$19,1,BU197)))),0)</f>
        <v>0</v>
      </c>
      <c r="BV207" s="24">
        <f>IF(BV199=1,'Lease Cycles'!$D$19*IF(INDEX('Lease Cycles'!$EF$19:$EL$19,1,BV197)=1,'Lease Cycles'!$AJ$19*INDEX('Lease Cycles'!$FO$19:$FU$19,1,BV197)*INDEX('Lease Cycles'!$EM$19:$ES$19,1,BV197)+'Lease Cycles'!$BE$19*IF(BV198&lt;INDEX('Lease Cycles'!$FA$19:$FG$19,1,BV197),0,1-INDEX('Lease Cycles'!$EM$19:$ES$19,1,BV197)),IF(OR(INDEX('Lease Cycles'!$DY$19:$EE$19,1,BV197)=1,BV198&gt;0),1,1-INDEX('Lease Cycles'!$DD$19:$DJ$19,1,BV197))*('Lease Cycles'!$AJ$19*INDEX('Lease Cycles'!$FO$19:$FU$19,1,BV197)+'Lease Cycles'!$BE$19*(1-INDEX('Lease Cycles'!$FO$19:$FU$19,1,BV197)))),0)</f>
        <v>0</v>
      </c>
      <c r="BW207" s="24">
        <f>IF(BW199=1,'Lease Cycles'!$D$19*IF(INDEX('Lease Cycles'!$EF$19:$EL$19,1,BW197)=1,'Lease Cycles'!$AJ$19*INDEX('Lease Cycles'!$FO$19:$FU$19,1,BW197)*INDEX('Lease Cycles'!$EM$19:$ES$19,1,BW197)+'Lease Cycles'!$BE$19*IF(BW198&lt;INDEX('Lease Cycles'!$FA$19:$FG$19,1,BW197),0,1-INDEX('Lease Cycles'!$EM$19:$ES$19,1,BW197)),IF(OR(INDEX('Lease Cycles'!$DY$19:$EE$19,1,BW197)=1,BW198&gt;0),1,1-INDEX('Lease Cycles'!$DD$19:$DJ$19,1,BW197))*('Lease Cycles'!$AJ$19*INDEX('Lease Cycles'!$FO$19:$FU$19,1,BW197)+'Lease Cycles'!$BE$19*(1-INDEX('Lease Cycles'!$FO$19:$FU$19,1,BW197)))),0)</f>
        <v>0</v>
      </c>
      <c r="BX207" s="24">
        <f>IF(BX199=1,'Lease Cycles'!$D$19*IF(INDEX('Lease Cycles'!$EF$19:$EL$19,1,BX197)=1,'Lease Cycles'!$AJ$19*INDEX('Lease Cycles'!$FO$19:$FU$19,1,BX197)*INDEX('Lease Cycles'!$EM$19:$ES$19,1,BX197)+'Lease Cycles'!$BE$19*IF(BX198&lt;INDEX('Lease Cycles'!$FA$19:$FG$19,1,BX197),0,1-INDEX('Lease Cycles'!$EM$19:$ES$19,1,BX197)),IF(OR(INDEX('Lease Cycles'!$DY$19:$EE$19,1,BX197)=1,BX198&gt;0),1,1-INDEX('Lease Cycles'!$DD$19:$DJ$19,1,BX197))*('Lease Cycles'!$AJ$19*INDEX('Lease Cycles'!$FO$19:$FU$19,1,BX197)+'Lease Cycles'!$BE$19*(1-INDEX('Lease Cycles'!$FO$19:$FU$19,1,BX197)))),0)</f>
        <v>0</v>
      </c>
      <c r="BY207" s="24">
        <f>IF(BY199=1,'Lease Cycles'!$D$19*IF(INDEX('Lease Cycles'!$EF$19:$EL$19,1,BY197)=1,'Lease Cycles'!$AJ$19*INDEX('Lease Cycles'!$FO$19:$FU$19,1,BY197)*INDEX('Lease Cycles'!$EM$19:$ES$19,1,BY197)+'Lease Cycles'!$BE$19*IF(BY198&lt;INDEX('Lease Cycles'!$FA$19:$FG$19,1,BY197),0,1-INDEX('Lease Cycles'!$EM$19:$ES$19,1,BY197)),IF(OR(INDEX('Lease Cycles'!$DY$19:$EE$19,1,BY197)=1,BY198&gt;0),1,1-INDEX('Lease Cycles'!$DD$19:$DJ$19,1,BY197))*('Lease Cycles'!$AJ$19*INDEX('Lease Cycles'!$FO$19:$FU$19,1,BY197)+'Lease Cycles'!$BE$19*(1-INDEX('Lease Cycles'!$FO$19:$FU$19,1,BY197)))),0)</f>
        <v>0</v>
      </c>
      <c r="BZ207" s="24">
        <f>IF(BZ199=1,'Lease Cycles'!$D$19*IF(INDEX('Lease Cycles'!$EF$19:$EL$19,1,BZ197)=1,'Lease Cycles'!$AJ$19*INDEX('Lease Cycles'!$FO$19:$FU$19,1,BZ197)*INDEX('Lease Cycles'!$EM$19:$ES$19,1,BZ197)+'Lease Cycles'!$BE$19*IF(BZ198&lt;INDEX('Lease Cycles'!$FA$19:$FG$19,1,BZ197),0,1-INDEX('Lease Cycles'!$EM$19:$ES$19,1,BZ197)),IF(OR(INDEX('Lease Cycles'!$DY$19:$EE$19,1,BZ197)=1,BZ198&gt;0),1,1-INDEX('Lease Cycles'!$DD$19:$DJ$19,1,BZ197))*('Lease Cycles'!$AJ$19*INDEX('Lease Cycles'!$FO$19:$FU$19,1,BZ197)+'Lease Cycles'!$BE$19*(1-INDEX('Lease Cycles'!$FO$19:$FU$19,1,BZ197)))),0)</f>
        <v>0</v>
      </c>
      <c r="CA207" s="24">
        <f>IF(CA199=1,'Lease Cycles'!$D$19*IF(INDEX('Lease Cycles'!$EF$19:$EL$19,1,CA197)=1,'Lease Cycles'!$AJ$19*INDEX('Lease Cycles'!$FO$19:$FU$19,1,CA197)*INDEX('Lease Cycles'!$EM$19:$ES$19,1,CA197)+'Lease Cycles'!$BE$19*IF(CA198&lt;INDEX('Lease Cycles'!$FA$19:$FG$19,1,CA197),0,1-INDEX('Lease Cycles'!$EM$19:$ES$19,1,CA197)),IF(OR(INDEX('Lease Cycles'!$DY$19:$EE$19,1,CA197)=1,CA198&gt;0),1,1-INDEX('Lease Cycles'!$DD$19:$DJ$19,1,CA197))*('Lease Cycles'!$AJ$19*INDEX('Lease Cycles'!$FO$19:$FU$19,1,CA197)+'Lease Cycles'!$BE$19*(1-INDEX('Lease Cycles'!$FO$19:$FU$19,1,CA197)))),0)</f>
        <v>0</v>
      </c>
      <c r="CB207" s="24">
        <f>IF(CB199=1,'Lease Cycles'!$D$19*IF(INDEX('Lease Cycles'!$EF$19:$EL$19,1,CB197)=1,'Lease Cycles'!$AJ$19*INDEX('Lease Cycles'!$FO$19:$FU$19,1,CB197)*INDEX('Lease Cycles'!$EM$19:$ES$19,1,CB197)+'Lease Cycles'!$BE$19*IF(CB198&lt;INDEX('Lease Cycles'!$FA$19:$FG$19,1,CB197),0,1-INDEX('Lease Cycles'!$EM$19:$ES$19,1,CB197)),IF(OR(INDEX('Lease Cycles'!$DY$19:$EE$19,1,CB197)=1,CB198&gt;0),1,1-INDEX('Lease Cycles'!$DD$19:$DJ$19,1,CB197))*('Lease Cycles'!$AJ$19*INDEX('Lease Cycles'!$FO$19:$FU$19,1,CB197)+'Lease Cycles'!$BE$19*(1-INDEX('Lease Cycles'!$FO$19:$FU$19,1,CB197)))),0)</f>
        <v>0</v>
      </c>
      <c r="CC207" s="24">
        <f>IF(CC199=1,'Lease Cycles'!$D$19*IF(INDEX('Lease Cycles'!$EF$19:$EL$19,1,CC197)=1,'Lease Cycles'!$AJ$19*INDEX('Lease Cycles'!$FO$19:$FU$19,1,CC197)*INDEX('Lease Cycles'!$EM$19:$ES$19,1,CC197)+'Lease Cycles'!$BE$19*IF(CC198&lt;INDEX('Lease Cycles'!$FA$19:$FG$19,1,CC197),0,1-INDEX('Lease Cycles'!$EM$19:$ES$19,1,CC197)),IF(OR(INDEX('Lease Cycles'!$DY$19:$EE$19,1,CC197)=1,CC198&gt;0),1,1-INDEX('Lease Cycles'!$DD$19:$DJ$19,1,CC197))*('Lease Cycles'!$AJ$19*INDEX('Lease Cycles'!$FO$19:$FU$19,1,CC197)+'Lease Cycles'!$BE$19*(1-INDEX('Lease Cycles'!$FO$19:$FU$19,1,CC197)))),0)</f>
        <v>0</v>
      </c>
      <c r="CD207" s="24">
        <f>IF(CD199=1,'Lease Cycles'!$D$19*IF(INDEX('Lease Cycles'!$EF$19:$EL$19,1,CD197)=1,'Lease Cycles'!$AJ$19*INDEX('Lease Cycles'!$FO$19:$FU$19,1,CD197)*INDEX('Lease Cycles'!$EM$19:$ES$19,1,CD197)+'Lease Cycles'!$BE$19*IF(CD198&lt;INDEX('Lease Cycles'!$FA$19:$FG$19,1,CD197),0,1-INDEX('Lease Cycles'!$EM$19:$ES$19,1,CD197)),IF(OR(INDEX('Lease Cycles'!$DY$19:$EE$19,1,CD197)=1,CD198&gt;0),1,1-INDEX('Lease Cycles'!$DD$19:$DJ$19,1,CD197))*('Lease Cycles'!$AJ$19*INDEX('Lease Cycles'!$FO$19:$FU$19,1,CD197)+'Lease Cycles'!$BE$19*(1-INDEX('Lease Cycles'!$FO$19:$FU$19,1,CD197)))),0)</f>
        <v>0</v>
      </c>
      <c r="CE207" s="24">
        <f>IF(CE199=1,'Lease Cycles'!$D$19*IF(INDEX('Lease Cycles'!$EF$19:$EL$19,1,CE197)=1,'Lease Cycles'!$AJ$19*INDEX('Lease Cycles'!$FO$19:$FU$19,1,CE197)*INDEX('Lease Cycles'!$EM$19:$ES$19,1,CE197)+'Lease Cycles'!$BE$19*IF(CE198&lt;INDEX('Lease Cycles'!$FA$19:$FG$19,1,CE197),0,1-INDEX('Lease Cycles'!$EM$19:$ES$19,1,CE197)),IF(OR(INDEX('Lease Cycles'!$DY$19:$EE$19,1,CE197)=1,CE198&gt;0),1,1-INDEX('Lease Cycles'!$DD$19:$DJ$19,1,CE197))*('Lease Cycles'!$AJ$19*INDEX('Lease Cycles'!$FO$19:$FU$19,1,CE197)+'Lease Cycles'!$BE$19*(1-INDEX('Lease Cycles'!$FO$19:$FU$19,1,CE197)))),0)</f>
        <v>0</v>
      </c>
      <c r="CF207" s="24">
        <f>IF(CF199=1,'Lease Cycles'!$D$19*IF(INDEX('Lease Cycles'!$EF$19:$EL$19,1,CF197)=1,'Lease Cycles'!$AJ$19*INDEX('Lease Cycles'!$FO$19:$FU$19,1,CF197)*INDEX('Lease Cycles'!$EM$19:$ES$19,1,CF197)+'Lease Cycles'!$BE$19*IF(CF198&lt;INDEX('Lease Cycles'!$FA$19:$FG$19,1,CF197),0,1-INDEX('Lease Cycles'!$EM$19:$ES$19,1,CF197)),IF(OR(INDEX('Lease Cycles'!$DY$19:$EE$19,1,CF197)=1,CF198&gt;0),1,1-INDEX('Lease Cycles'!$DD$19:$DJ$19,1,CF197))*('Lease Cycles'!$AJ$19*INDEX('Lease Cycles'!$FO$19:$FU$19,1,CF197)+'Lease Cycles'!$BE$19*(1-INDEX('Lease Cycles'!$FO$19:$FU$19,1,CF197)))),0)</f>
        <v>0</v>
      </c>
      <c r="CG207" s="24">
        <f>IF(CG199=1,'Lease Cycles'!$D$19*IF(INDEX('Lease Cycles'!$EF$19:$EL$19,1,CG197)=1,'Lease Cycles'!$AJ$19*INDEX('Lease Cycles'!$FO$19:$FU$19,1,CG197)*INDEX('Lease Cycles'!$EM$19:$ES$19,1,CG197)+'Lease Cycles'!$BE$19*IF(CG198&lt;INDEX('Lease Cycles'!$FA$19:$FG$19,1,CG197),0,1-INDEX('Lease Cycles'!$EM$19:$ES$19,1,CG197)),IF(OR(INDEX('Lease Cycles'!$DY$19:$EE$19,1,CG197)=1,CG198&gt;0),1,1-INDEX('Lease Cycles'!$DD$19:$DJ$19,1,CG197))*('Lease Cycles'!$AJ$19*INDEX('Lease Cycles'!$FO$19:$FU$19,1,CG197)+'Lease Cycles'!$BE$19*(1-INDEX('Lease Cycles'!$FO$19:$FU$19,1,CG197)))),0)</f>
        <v>0</v>
      </c>
      <c r="CH207" s="24">
        <f>IF(CH199=1,'Lease Cycles'!$D$19*IF(INDEX('Lease Cycles'!$EF$19:$EL$19,1,CH197)=1,'Lease Cycles'!$AJ$19*INDEX('Lease Cycles'!$FO$19:$FU$19,1,CH197)*INDEX('Lease Cycles'!$EM$19:$ES$19,1,CH197)+'Lease Cycles'!$BE$19*IF(CH198&lt;INDEX('Lease Cycles'!$FA$19:$FG$19,1,CH197),0,1-INDEX('Lease Cycles'!$EM$19:$ES$19,1,CH197)),IF(OR(INDEX('Lease Cycles'!$DY$19:$EE$19,1,CH197)=1,CH198&gt;0),1,1-INDEX('Lease Cycles'!$DD$19:$DJ$19,1,CH197))*('Lease Cycles'!$AJ$19*INDEX('Lease Cycles'!$FO$19:$FU$19,1,CH197)+'Lease Cycles'!$BE$19*(1-INDEX('Lease Cycles'!$FO$19:$FU$19,1,CH197)))),0)</f>
        <v>0</v>
      </c>
      <c r="CI207" s="24">
        <f>IF(CI199=1,'Lease Cycles'!$D$19*IF(INDEX('Lease Cycles'!$EF$19:$EL$19,1,CI197)=1,'Lease Cycles'!$AJ$19*INDEX('Lease Cycles'!$FO$19:$FU$19,1,CI197)*INDEX('Lease Cycles'!$EM$19:$ES$19,1,CI197)+'Lease Cycles'!$BE$19*IF(CI198&lt;INDEX('Lease Cycles'!$FA$19:$FG$19,1,CI197),0,1-INDEX('Lease Cycles'!$EM$19:$ES$19,1,CI197)),IF(OR(INDEX('Lease Cycles'!$DY$19:$EE$19,1,CI197)=1,CI198&gt;0),1,1-INDEX('Lease Cycles'!$DD$19:$DJ$19,1,CI197))*('Lease Cycles'!$AJ$19*INDEX('Lease Cycles'!$FO$19:$FU$19,1,CI197)+'Lease Cycles'!$BE$19*(1-INDEX('Lease Cycles'!$FO$19:$FU$19,1,CI197)))),0)</f>
        <v>0</v>
      </c>
      <c r="CJ207" s="24">
        <f>IF(CJ199=1,'Lease Cycles'!$D$19*IF(INDEX('Lease Cycles'!$EF$19:$EL$19,1,CJ197)=1,'Lease Cycles'!$AJ$19*INDEX('Lease Cycles'!$FO$19:$FU$19,1,CJ197)*INDEX('Lease Cycles'!$EM$19:$ES$19,1,CJ197)+'Lease Cycles'!$BE$19*IF(CJ198&lt;INDEX('Lease Cycles'!$FA$19:$FG$19,1,CJ197),0,1-INDEX('Lease Cycles'!$EM$19:$ES$19,1,CJ197)),IF(OR(INDEX('Lease Cycles'!$DY$19:$EE$19,1,CJ197)=1,CJ198&gt;0),1,1-INDEX('Lease Cycles'!$DD$19:$DJ$19,1,CJ197))*('Lease Cycles'!$AJ$19*INDEX('Lease Cycles'!$FO$19:$FU$19,1,CJ197)+'Lease Cycles'!$BE$19*(1-INDEX('Lease Cycles'!$FO$19:$FU$19,1,CJ197)))),0)</f>
        <v>0</v>
      </c>
      <c r="CK207" s="24">
        <f>IF(CK199=1,'Lease Cycles'!$D$19*IF(INDEX('Lease Cycles'!$EF$19:$EL$19,1,CK197)=1,'Lease Cycles'!$AJ$19*INDEX('Lease Cycles'!$FO$19:$FU$19,1,CK197)*INDEX('Lease Cycles'!$EM$19:$ES$19,1,CK197)+'Lease Cycles'!$BE$19*IF(CK198&lt;INDEX('Lease Cycles'!$FA$19:$FG$19,1,CK197),0,1-INDEX('Lease Cycles'!$EM$19:$ES$19,1,CK197)),IF(OR(INDEX('Lease Cycles'!$DY$19:$EE$19,1,CK197)=1,CK198&gt;0),1,1-INDEX('Lease Cycles'!$DD$19:$DJ$19,1,CK197))*('Lease Cycles'!$AJ$19*INDEX('Lease Cycles'!$FO$19:$FU$19,1,CK197)+'Lease Cycles'!$BE$19*(1-INDEX('Lease Cycles'!$FO$19:$FU$19,1,CK197)))),0)</f>
        <v>0</v>
      </c>
      <c r="CL207" s="24">
        <f>IF(CL199=1,'Lease Cycles'!$D$19*IF(INDEX('Lease Cycles'!$EF$19:$EL$19,1,CL197)=1,'Lease Cycles'!$AJ$19*INDEX('Lease Cycles'!$FO$19:$FU$19,1,CL197)*INDEX('Lease Cycles'!$EM$19:$ES$19,1,CL197)+'Lease Cycles'!$BE$19*IF(CL198&lt;INDEX('Lease Cycles'!$FA$19:$FG$19,1,CL197),0,1-INDEX('Lease Cycles'!$EM$19:$ES$19,1,CL197)),IF(OR(INDEX('Lease Cycles'!$DY$19:$EE$19,1,CL197)=1,CL198&gt;0),1,1-INDEX('Lease Cycles'!$DD$19:$DJ$19,1,CL197))*('Lease Cycles'!$AJ$19*INDEX('Lease Cycles'!$FO$19:$FU$19,1,CL197)+'Lease Cycles'!$BE$19*(1-INDEX('Lease Cycles'!$FO$19:$FU$19,1,CL197)))),0)</f>
        <v>0</v>
      </c>
      <c r="CM207" s="24">
        <f>IF(CM199=1,'Lease Cycles'!$D$19*IF(INDEX('Lease Cycles'!$EF$19:$EL$19,1,CM197)=1,'Lease Cycles'!$AJ$19*INDEX('Lease Cycles'!$FO$19:$FU$19,1,CM197)*INDEX('Lease Cycles'!$EM$19:$ES$19,1,CM197)+'Lease Cycles'!$BE$19*IF(CM198&lt;INDEX('Lease Cycles'!$FA$19:$FG$19,1,CM197),0,1-INDEX('Lease Cycles'!$EM$19:$ES$19,1,CM197)),IF(OR(INDEX('Lease Cycles'!$DY$19:$EE$19,1,CM197)=1,CM198&gt;0),1,1-INDEX('Lease Cycles'!$DD$19:$DJ$19,1,CM197))*('Lease Cycles'!$AJ$19*INDEX('Lease Cycles'!$FO$19:$FU$19,1,CM197)+'Lease Cycles'!$BE$19*(1-INDEX('Lease Cycles'!$FO$19:$FU$19,1,CM197)))),0)</f>
        <v>0</v>
      </c>
      <c r="CN207" s="24">
        <f>IF(CN199=1,'Lease Cycles'!$D$19*IF(INDEX('Lease Cycles'!$EF$19:$EL$19,1,CN197)=1,'Lease Cycles'!$AJ$19*INDEX('Lease Cycles'!$FO$19:$FU$19,1,CN197)*INDEX('Lease Cycles'!$EM$19:$ES$19,1,CN197)+'Lease Cycles'!$BE$19*IF(CN198&lt;INDEX('Lease Cycles'!$FA$19:$FG$19,1,CN197),0,1-INDEX('Lease Cycles'!$EM$19:$ES$19,1,CN197)),IF(OR(INDEX('Lease Cycles'!$DY$19:$EE$19,1,CN197)=1,CN198&gt;0),1,1-INDEX('Lease Cycles'!$DD$19:$DJ$19,1,CN197))*('Lease Cycles'!$AJ$19*INDEX('Lease Cycles'!$FO$19:$FU$19,1,CN197)+'Lease Cycles'!$BE$19*(1-INDEX('Lease Cycles'!$FO$19:$FU$19,1,CN197)))),0)</f>
        <v>0</v>
      </c>
      <c r="CO207" s="24">
        <f>IF(CO199=1,'Lease Cycles'!$D$19*IF(INDEX('Lease Cycles'!$EF$19:$EL$19,1,CO197)=1,'Lease Cycles'!$AJ$19*INDEX('Lease Cycles'!$FO$19:$FU$19,1,CO197)*INDEX('Lease Cycles'!$EM$19:$ES$19,1,CO197)+'Lease Cycles'!$BE$19*IF(CO198&lt;INDEX('Lease Cycles'!$FA$19:$FG$19,1,CO197),0,1-INDEX('Lease Cycles'!$EM$19:$ES$19,1,CO197)),IF(OR(INDEX('Lease Cycles'!$DY$19:$EE$19,1,CO197)=1,CO198&gt;0),1,1-INDEX('Lease Cycles'!$DD$19:$DJ$19,1,CO197))*('Lease Cycles'!$AJ$19*INDEX('Lease Cycles'!$FO$19:$FU$19,1,CO197)+'Lease Cycles'!$BE$19*(1-INDEX('Lease Cycles'!$FO$19:$FU$19,1,CO197)))),0)</f>
        <v>0</v>
      </c>
      <c r="CP207" s="24">
        <f>IF(CP199=1,'Lease Cycles'!$D$19*IF(INDEX('Lease Cycles'!$EF$19:$EL$19,1,CP197)=1,'Lease Cycles'!$AJ$19*INDEX('Lease Cycles'!$FO$19:$FU$19,1,CP197)*INDEX('Lease Cycles'!$EM$19:$ES$19,1,CP197)+'Lease Cycles'!$BE$19*IF(CP198&lt;INDEX('Lease Cycles'!$FA$19:$FG$19,1,CP197),0,1-INDEX('Lease Cycles'!$EM$19:$ES$19,1,CP197)),IF(OR(INDEX('Lease Cycles'!$DY$19:$EE$19,1,CP197)=1,CP198&gt;0),1,1-INDEX('Lease Cycles'!$DD$19:$DJ$19,1,CP197))*('Lease Cycles'!$AJ$19*INDEX('Lease Cycles'!$FO$19:$FU$19,1,CP197)+'Lease Cycles'!$BE$19*(1-INDEX('Lease Cycles'!$FO$19:$FU$19,1,CP197)))),0)</f>
        <v>0</v>
      </c>
      <c r="CQ207" s="24">
        <f>IF(CQ199=1,'Lease Cycles'!$D$19*IF(INDEX('Lease Cycles'!$EF$19:$EL$19,1,CQ197)=1,'Lease Cycles'!$AJ$19*INDEX('Lease Cycles'!$FO$19:$FU$19,1,CQ197)*INDEX('Lease Cycles'!$EM$19:$ES$19,1,CQ197)+'Lease Cycles'!$BE$19*IF(CQ198&lt;INDEX('Lease Cycles'!$FA$19:$FG$19,1,CQ197),0,1-INDEX('Lease Cycles'!$EM$19:$ES$19,1,CQ197)),IF(OR(INDEX('Lease Cycles'!$DY$19:$EE$19,1,CQ197)=1,CQ198&gt;0),1,1-INDEX('Lease Cycles'!$DD$19:$DJ$19,1,CQ197))*('Lease Cycles'!$AJ$19*INDEX('Lease Cycles'!$FO$19:$FU$19,1,CQ197)+'Lease Cycles'!$BE$19*(1-INDEX('Lease Cycles'!$FO$19:$FU$19,1,CQ197)))),0)</f>
        <v>0</v>
      </c>
      <c r="CR207" s="24">
        <f>IF(CR199=1,'Lease Cycles'!$D$19*IF(INDEX('Lease Cycles'!$EF$19:$EL$19,1,CR197)=1,'Lease Cycles'!$AJ$19*INDEX('Lease Cycles'!$FO$19:$FU$19,1,CR197)*INDEX('Lease Cycles'!$EM$19:$ES$19,1,CR197)+'Lease Cycles'!$BE$19*IF(CR198&lt;INDEX('Lease Cycles'!$FA$19:$FG$19,1,CR197),0,1-INDEX('Lease Cycles'!$EM$19:$ES$19,1,CR197)),IF(OR(INDEX('Lease Cycles'!$DY$19:$EE$19,1,CR197)=1,CR198&gt;0),1,1-INDEX('Lease Cycles'!$DD$19:$DJ$19,1,CR197))*('Lease Cycles'!$AJ$19*INDEX('Lease Cycles'!$FO$19:$FU$19,1,CR197)+'Lease Cycles'!$BE$19*(1-INDEX('Lease Cycles'!$FO$19:$FU$19,1,CR197)))),0)</f>
        <v>0</v>
      </c>
      <c r="CS207" s="24">
        <f>IF(CS199=1,'Lease Cycles'!$D$19*IF(INDEX('Lease Cycles'!$EF$19:$EL$19,1,CS197)=1,'Lease Cycles'!$AJ$19*INDEX('Lease Cycles'!$FO$19:$FU$19,1,CS197)*INDEX('Lease Cycles'!$EM$19:$ES$19,1,CS197)+'Lease Cycles'!$BE$19*IF(CS198&lt;INDEX('Lease Cycles'!$FA$19:$FG$19,1,CS197),0,1-INDEX('Lease Cycles'!$EM$19:$ES$19,1,CS197)),IF(OR(INDEX('Lease Cycles'!$DY$19:$EE$19,1,CS197)=1,CS198&gt;0),1,1-INDEX('Lease Cycles'!$DD$19:$DJ$19,1,CS197))*('Lease Cycles'!$AJ$19*INDEX('Lease Cycles'!$FO$19:$FU$19,1,CS197)+'Lease Cycles'!$BE$19*(1-INDEX('Lease Cycles'!$FO$19:$FU$19,1,CS197)))),0)</f>
        <v>0</v>
      </c>
      <c r="CT207" s="24">
        <f>IF(CT199=1,'Lease Cycles'!$D$19*IF(INDEX('Lease Cycles'!$EF$19:$EL$19,1,CT197)=1,'Lease Cycles'!$AJ$19*INDEX('Lease Cycles'!$FO$19:$FU$19,1,CT197)*INDEX('Lease Cycles'!$EM$19:$ES$19,1,CT197)+'Lease Cycles'!$BE$19*IF(CT198&lt;INDEX('Lease Cycles'!$FA$19:$FG$19,1,CT197),0,1-INDEX('Lease Cycles'!$EM$19:$ES$19,1,CT197)),IF(OR(INDEX('Lease Cycles'!$DY$19:$EE$19,1,CT197)=1,CT198&gt;0),1,1-INDEX('Lease Cycles'!$DD$19:$DJ$19,1,CT197))*('Lease Cycles'!$AJ$19*INDEX('Lease Cycles'!$FO$19:$FU$19,1,CT197)+'Lease Cycles'!$BE$19*(1-INDEX('Lease Cycles'!$FO$19:$FU$19,1,CT197)))),0)</f>
        <v>0</v>
      </c>
      <c r="CU207" s="24">
        <f>IF(CU199=1,'Lease Cycles'!$D$19*IF(INDEX('Lease Cycles'!$EF$19:$EL$19,1,CU197)=1,'Lease Cycles'!$AJ$19*INDEX('Lease Cycles'!$FO$19:$FU$19,1,CU197)*INDEX('Lease Cycles'!$EM$19:$ES$19,1,CU197)+'Lease Cycles'!$BE$19*IF(CU198&lt;INDEX('Lease Cycles'!$FA$19:$FG$19,1,CU197),0,1-INDEX('Lease Cycles'!$EM$19:$ES$19,1,CU197)),IF(OR(INDEX('Lease Cycles'!$DY$19:$EE$19,1,CU197)=1,CU198&gt;0),1,1-INDEX('Lease Cycles'!$DD$19:$DJ$19,1,CU197))*('Lease Cycles'!$AJ$19*INDEX('Lease Cycles'!$FO$19:$FU$19,1,CU197)+'Lease Cycles'!$BE$19*(1-INDEX('Lease Cycles'!$FO$19:$FU$19,1,CU197)))),0)</f>
        <v>0</v>
      </c>
      <c r="CV207" s="24">
        <f>IF(CV199=1,'Lease Cycles'!$D$19*IF(INDEX('Lease Cycles'!$EF$19:$EL$19,1,CV197)=1,'Lease Cycles'!$AJ$19*INDEX('Lease Cycles'!$FO$19:$FU$19,1,CV197)*INDEX('Lease Cycles'!$EM$19:$ES$19,1,CV197)+'Lease Cycles'!$BE$19*IF(CV198&lt;INDEX('Lease Cycles'!$FA$19:$FG$19,1,CV197),0,1-INDEX('Lease Cycles'!$EM$19:$ES$19,1,CV197)),IF(OR(INDEX('Lease Cycles'!$DY$19:$EE$19,1,CV197)=1,CV198&gt;0),1,1-INDEX('Lease Cycles'!$DD$19:$DJ$19,1,CV197))*('Lease Cycles'!$AJ$19*INDEX('Lease Cycles'!$FO$19:$FU$19,1,CV197)+'Lease Cycles'!$BE$19*(1-INDEX('Lease Cycles'!$FO$19:$FU$19,1,CV197)))),0)</f>
        <v>0</v>
      </c>
      <c r="CW207" s="24">
        <f>IF(CW199=1,'Lease Cycles'!$D$19*IF(INDEX('Lease Cycles'!$EF$19:$EL$19,1,CW197)=1,'Lease Cycles'!$AJ$19*INDEX('Lease Cycles'!$FO$19:$FU$19,1,CW197)*INDEX('Lease Cycles'!$EM$19:$ES$19,1,CW197)+'Lease Cycles'!$BE$19*IF(CW198&lt;INDEX('Lease Cycles'!$FA$19:$FG$19,1,CW197),0,1-INDEX('Lease Cycles'!$EM$19:$ES$19,1,CW197)),IF(OR(INDEX('Lease Cycles'!$DY$19:$EE$19,1,CW197)=1,CW198&gt;0),1,1-INDEX('Lease Cycles'!$DD$19:$DJ$19,1,CW197))*('Lease Cycles'!$AJ$19*INDEX('Lease Cycles'!$FO$19:$FU$19,1,CW197)+'Lease Cycles'!$BE$19*(1-INDEX('Lease Cycles'!$FO$19:$FU$19,1,CW197)))),0)</f>
        <v>0</v>
      </c>
      <c r="CX207" s="24">
        <f>IF(CX199=1,'Lease Cycles'!$D$19*IF(INDEX('Lease Cycles'!$EF$19:$EL$19,1,CX197)=1,'Lease Cycles'!$AJ$19*INDEX('Lease Cycles'!$FO$19:$FU$19,1,CX197)*INDEX('Lease Cycles'!$EM$19:$ES$19,1,CX197)+'Lease Cycles'!$BE$19*IF(CX198&lt;INDEX('Lease Cycles'!$FA$19:$FG$19,1,CX197),0,1-INDEX('Lease Cycles'!$EM$19:$ES$19,1,CX197)),IF(OR(INDEX('Lease Cycles'!$DY$19:$EE$19,1,CX197)=1,CX198&gt;0),1,1-INDEX('Lease Cycles'!$DD$19:$DJ$19,1,CX197))*('Lease Cycles'!$AJ$19*INDEX('Lease Cycles'!$FO$19:$FU$19,1,CX197)+'Lease Cycles'!$BE$19*(1-INDEX('Lease Cycles'!$FO$19:$FU$19,1,CX197)))),0)</f>
        <v>0</v>
      </c>
      <c r="CY207" s="24">
        <f>IF(CY199=1,'Lease Cycles'!$D$19*IF(INDEX('Lease Cycles'!$EF$19:$EL$19,1,CY197)=1,'Lease Cycles'!$AJ$19*INDEX('Lease Cycles'!$FO$19:$FU$19,1,CY197)*INDEX('Lease Cycles'!$EM$19:$ES$19,1,CY197)+'Lease Cycles'!$BE$19*IF(CY198&lt;INDEX('Lease Cycles'!$FA$19:$FG$19,1,CY197),0,1-INDEX('Lease Cycles'!$EM$19:$ES$19,1,CY197)),IF(OR(INDEX('Lease Cycles'!$DY$19:$EE$19,1,CY197)=1,CY198&gt;0),1,1-INDEX('Lease Cycles'!$DD$19:$DJ$19,1,CY197))*('Lease Cycles'!$AJ$19*INDEX('Lease Cycles'!$FO$19:$FU$19,1,CY197)+'Lease Cycles'!$BE$19*(1-INDEX('Lease Cycles'!$FO$19:$FU$19,1,CY197)))),0)</f>
        <v>0</v>
      </c>
      <c r="CZ207" s="24">
        <f>IF(CZ199=1,'Lease Cycles'!$D$19*IF(INDEX('Lease Cycles'!$EF$19:$EL$19,1,CZ197)=1,'Lease Cycles'!$AJ$19*INDEX('Lease Cycles'!$FO$19:$FU$19,1,CZ197)*INDEX('Lease Cycles'!$EM$19:$ES$19,1,CZ197)+'Lease Cycles'!$BE$19*IF(CZ198&lt;INDEX('Lease Cycles'!$FA$19:$FG$19,1,CZ197),0,1-INDEX('Lease Cycles'!$EM$19:$ES$19,1,CZ197)),IF(OR(INDEX('Lease Cycles'!$DY$19:$EE$19,1,CZ197)=1,CZ198&gt;0),1,1-INDEX('Lease Cycles'!$DD$19:$DJ$19,1,CZ197))*('Lease Cycles'!$AJ$19*INDEX('Lease Cycles'!$FO$19:$FU$19,1,CZ197)+'Lease Cycles'!$BE$19*(1-INDEX('Lease Cycles'!$FO$19:$FU$19,1,CZ197)))),0)</f>
        <v>0</v>
      </c>
      <c r="DA207" s="24">
        <f>IF(DA199=1,'Lease Cycles'!$D$19*IF(INDEX('Lease Cycles'!$EF$19:$EL$19,1,DA197)=1,'Lease Cycles'!$AJ$19*INDEX('Lease Cycles'!$FO$19:$FU$19,1,DA197)*INDEX('Lease Cycles'!$EM$19:$ES$19,1,DA197)+'Lease Cycles'!$BE$19*IF(DA198&lt;INDEX('Lease Cycles'!$FA$19:$FG$19,1,DA197),0,1-INDEX('Lease Cycles'!$EM$19:$ES$19,1,DA197)),IF(OR(INDEX('Lease Cycles'!$DY$19:$EE$19,1,DA197)=1,DA198&gt;0),1,1-INDEX('Lease Cycles'!$DD$19:$DJ$19,1,DA197))*('Lease Cycles'!$AJ$19*INDEX('Lease Cycles'!$FO$19:$FU$19,1,DA197)+'Lease Cycles'!$BE$19*(1-INDEX('Lease Cycles'!$FO$19:$FU$19,1,DA197)))),0)</f>
        <v>0</v>
      </c>
      <c r="DB207" s="24">
        <f>IF(DB199=1,'Lease Cycles'!$D$19*IF(INDEX('Lease Cycles'!$EF$19:$EL$19,1,DB197)=1,'Lease Cycles'!$AJ$19*INDEX('Lease Cycles'!$FO$19:$FU$19,1,DB197)*INDEX('Lease Cycles'!$EM$19:$ES$19,1,DB197)+'Lease Cycles'!$BE$19*IF(DB198&lt;INDEX('Lease Cycles'!$FA$19:$FG$19,1,DB197),0,1-INDEX('Lease Cycles'!$EM$19:$ES$19,1,DB197)),IF(OR(INDEX('Lease Cycles'!$DY$19:$EE$19,1,DB197)=1,DB198&gt;0),1,1-INDEX('Lease Cycles'!$DD$19:$DJ$19,1,DB197))*('Lease Cycles'!$AJ$19*INDEX('Lease Cycles'!$FO$19:$FU$19,1,DB197)+'Lease Cycles'!$BE$19*(1-INDEX('Lease Cycles'!$FO$19:$FU$19,1,DB197)))),0)</f>
        <v>0</v>
      </c>
      <c r="DC207" s="24">
        <f>IF(DC199=1,'Lease Cycles'!$D$19*IF(INDEX('Lease Cycles'!$EF$19:$EL$19,1,DC197)=1,'Lease Cycles'!$AJ$19*INDEX('Lease Cycles'!$FO$19:$FU$19,1,DC197)*INDEX('Lease Cycles'!$EM$19:$ES$19,1,DC197)+'Lease Cycles'!$BE$19*IF(DC198&lt;INDEX('Lease Cycles'!$FA$19:$FG$19,1,DC197),0,1-INDEX('Lease Cycles'!$EM$19:$ES$19,1,DC197)),IF(OR(INDEX('Lease Cycles'!$DY$19:$EE$19,1,DC197)=1,DC198&gt;0),1,1-INDEX('Lease Cycles'!$DD$19:$DJ$19,1,DC197))*('Lease Cycles'!$AJ$19*INDEX('Lease Cycles'!$FO$19:$FU$19,1,DC197)+'Lease Cycles'!$BE$19*(1-INDEX('Lease Cycles'!$FO$19:$FU$19,1,DC197)))),0)</f>
        <v>0</v>
      </c>
      <c r="DD207" s="24">
        <f>IF(DD199=1,'Lease Cycles'!$D$19*IF(INDEX('Lease Cycles'!$EF$19:$EL$19,1,DD197)=1,'Lease Cycles'!$AJ$19*INDEX('Lease Cycles'!$FO$19:$FU$19,1,DD197)*INDEX('Lease Cycles'!$EM$19:$ES$19,1,DD197)+'Lease Cycles'!$BE$19*IF(DD198&lt;INDEX('Lease Cycles'!$FA$19:$FG$19,1,DD197),0,1-INDEX('Lease Cycles'!$EM$19:$ES$19,1,DD197)),IF(OR(INDEX('Lease Cycles'!$DY$19:$EE$19,1,DD197)=1,DD198&gt;0),1,1-INDEX('Lease Cycles'!$DD$19:$DJ$19,1,DD197))*('Lease Cycles'!$AJ$19*INDEX('Lease Cycles'!$FO$19:$FU$19,1,DD197)+'Lease Cycles'!$BE$19*(1-INDEX('Lease Cycles'!$FO$19:$FU$19,1,DD197)))),0)</f>
        <v>0</v>
      </c>
      <c r="DE207" s="24">
        <f>IF(DE199=1,'Lease Cycles'!$D$19*IF(INDEX('Lease Cycles'!$EF$19:$EL$19,1,DE197)=1,'Lease Cycles'!$AJ$19*INDEX('Lease Cycles'!$FO$19:$FU$19,1,DE197)*INDEX('Lease Cycles'!$EM$19:$ES$19,1,DE197)+'Lease Cycles'!$BE$19*IF(DE198&lt;INDEX('Lease Cycles'!$FA$19:$FG$19,1,DE197),0,1-INDEX('Lease Cycles'!$EM$19:$ES$19,1,DE197)),IF(OR(INDEX('Lease Cycles'!$DY$19:$EE$19,1,DE197)=1,DE198&gt;0),1,1-INDEX('Lease Cycles'!$DD$19:$DJ$19,1,DE197))*('Lease Cycles'!$AJ$19*INDEX('Lease Cycles'!$FO$19:$FU$19,1,DE197)+'Lease Cycles'!$BE$19*(1-INDEX('Lease Cycles'!$FO$19:$FU$19,1,DE197)))),0)</f>
        <v>0</v>
      </c>
      <c r="DF207" s="24">
        <f>IF(DF199=1,'Lease Cycles'!$D$19*IF(INDEX('Lease Cycles'!$EF$19:$EL$19,1,DF197)=1,'Lease Cycles'!$AJ$19*INDEX('Lease Cycles'!$FO$19:$FU$19,1,DF197)*INDEX('Lease Cycles'!$EM$19:$ES$19,1,DF197)+'Lease Cycles'!$BE$19*IF(DF198&lt;INDEX('Lease Cycles'!$FA$19:$FG$19,1,DF197),0,1-INDEX('Lease Cycles'!$EM$19:$ES$19,1,DF197)),IF(OR(INDEX('Lease Cycles'!$DY$19:$EE$19,1,DF197)=1,DF198&gt;0),1,1-INDEX('Lease Cycles'!$DD$19:$DJ$19,1,DF197))*('Lease Cycles'!$AJ$19*INDEX('Lease Cycles'!$FO$19:$FU$19,1,DF197)+'Lease Cycles'!$BE$19*(1-INDEX('Lease Cycles'!$FO$19:$FU$19,1,DF197)))),0)</f>
        <v>0</v>
      </c>
      <c r="DG207" s="24">
        <f>IF(DG199=1,'Lease Cycles'!$D$19*IF(INDEX('Lease Cycles'!$EF$19:$EL$19,1,DG197)=1,'Lease Cycles'!$AJ$19*INDEX('Lease Cycles'!$FO$19:$FU$19,1,DG197)*INDEX('Lease Cycles'!$EM$19:$ES$19,1,DG197)+'Lease Cycles'!$BE$19*IF(DG198&lt;INDEX('Lease Cycles'!$FA$19:$FG$19,1,DG197),0,1-INDEX('Lease Cycles'!$EM$19:$ES$19,1,DG197)),IF(OR(INDEX('Lease Cycles'!$DY$19:$EE$19,1,DG197)=1,DG198&gt;0),1,1-INDEX('Lease Cycles'!$DD$19:$DJ$19,1,DG197))*('Lease Cycles'!$AJ$19*INDEX('Lease Cycles'!$FO$19:$FU$19,1,DG197)+'Lease Cycles'!$BE$19*(1-INDEX('Lease Cycles'!$FO$19:$FU$19,1,DG197)))),0)</f>
        <v>0</v>
      </c>
      <c r="DH207" s="24">
        <f>IF(DH199=1,'Lease Cycles'!$D$19*IF(INDEX('Lease Cycles'!$EF$19:$EL$19,1,DH197)=1,'Lease Cycles'!$AJ$19*INDEX('Lease Cycles'!$FO$19:$FU$19,1,DH197)*INDEX('Lease Cycles'!$EM$19:$ES$19,1,DH197)+'Lease Cycles'!$BE$19*IF(DH198&lt;INDEX('Lease Cycles'!$FA$19:$FG$19,1,DH197),0,1-INDEX('Lease Cycles'!$EM$19:$ES$19,1,DH197)),IF(OR(INDEX('Lease Cycles'!$DY$19:$EE$19,1,DH197)=1,DH198&gt;0),1,1-INDEX('Lease Cycles'!$DD$19:$DJ$19,1,DH197))*('Lease Cycles'!$AJ$19*INDEX('Lease Cycles'!$FO$19:$FU$19,1,DH197)+'Lease Cycles'!$BE$19*(1-INDEX('Lease Cycles'!$FO$19:$FU$19,1,DH197)))),0)</f>
        <v>0</v>
      </c>
      <c r="DI207" s="24">
        <f>IF(DI199=1,'Lease Cycles'!$D$19*IF(INDEX('Lease Cycles'!$EF$19:$EL$19,1,DI197)=1,'Lease Cycles'!$AJ$19*INDEX('Lease Cycles'!$FO$19:$FU$19,1,DI197)*INDEX('Lease Cycles'!$EM$19:$ES$19,1,DI197)+'Lease Cycles'!$BE$19*IF(DI198&lt;INDEX('Lease Cycles'!$FA$19:$FG$19,1,DI197),0,1-INDEX('Lease Cycles'!$EM$19:$ES$19,1,DI197)),IF(OR(INDEX('Lease Cycles'!$DY$19:$EE$19,1,DI197)=1,DI198&gt;0),1,1-INDEX('Lease Cycles'!$DD$19:$DJ$19,1,DI197))*('Lease Cycles'!$AJ$19*INDEX('Lease Cycles'!$FO$19:$FU$19,1,DI197)+'Lease Cycles'!$BE$19*(1-INDEX('Lease Cycles'!$FO$19:$FU$19,1,DI197)))),0)</f>
        <v>0</v>
      </c>
      <c r="DJ207" s="24">
        <f>IF(DJ199=1,'Lease Cycles'!$D$19*IF(INDEX('Lease Cycles'!$EF$19:$EL$19,1,DJ197)=1,'Lease Cycles'!$AJ$19*INDEX('Lease Cycles'!$FO$19:$FU$19,1,DJ197)*INDEX('Lease Cycles'!$EM$19:$ES$19,1,DJ197)+'Lease Cycles'!$BE$19*IF(DJ198&lt;INDEX('Lease Cycles'!$FA$19:$FG$19,1,DJ197),0,1-INDEX('Lease Cycles'!$EM$19:$ES$19,1,DJ197)),IF(OR(INDEX('Lease Cycles'!$DY$19:$EE$19,1,DJ197)=1,DJ198&gt;0),1,1-INDEX('Lease Cycles'!$DD$19:$DJ$19,1,DJ197))*('Lease Cycles'!$AJ$19*INDEX('Lease Cycles'!$FO$19:$FU$19,1,DJ197)+'Lease Cycles'!$BE$19*(1-INDEX('Lease Cycles'!$FO$19:$FU$19,1,DJ197)))),0)</f>
        <v>0</v>
      </c>
      <c r="DK207" s="24">
        <f>IF(DK199=1,'Lease Cycles'!$D$19*IF(INDEX('Lease Cycles'!$EF$19:$EL$19,1,DK197)=1,'Lease Cycles'!$AJ$19*INDEX('Lease Cycles'!$FO$19:$FU$19,1,DK197)*INDEX('Lease Cycles'!$EM$19:$ES$19,1,DK197)+'Lease Cycles'!$BE$19*IF(DK198&lt;INDEX('Lease Cycles'!$FA$19:$FG$19,1,DK197),0,1-INDEX('Lease Cycles'!$EM$19:$ES$19,1,DK197)),IF(OR(INDEX('Lease Cycles'!$DY$19:$EE$19,1,DK197)=1,DK198&gt;0),1,1-INDEX('Lease Cycles'!$DD$19:$DJ$19,1,DK197))*('Lease Cycles'!$AJ$19*INDEX('Lease Cycles'!$FO$19:$FU$19,1,DK197)+'Lease Cycles'!$BE$19*(1-INDEX('Lease Cycles'!$FO$19:$FU$19,1,DK197)))),0)</f>
        <v>0</v>
      </c>
      <c r="DL207" s="24">
        <f>IF(DL199=1,'Lease Cycles'!$D$19*IF(INDEX('Lease Cycles'!$EF$19:$EL$19,1,DL197)=1,'Lease Cycles'!$AJ$19*INDEX('Lease Cycles'!$FO$19:$FU$19,1,DL197)*INDEX('Lease Cycles'!$EM$19:$ES$19,1,DL197)+'Lease Cycles'!$BE$19*IF(DL198&lt;INDEX('Lease Cycles'!$FA$19:$FG$19,1,DL197),0,1-INDEX('Lease Cycles'!$EM$19:$ES$19,1,DL197)),IF(OR(INDEX('Lease Cycles'!$DY$19:$EE$19,1,DL197)=1,DL198&gt;0),1,1-INDEX('Lease Cycles'!$DD$19:$DJ$19,1,DL197))*('Lease Cycles'!$AJ$19*INDEX('Lease Cycles'!$FO$19:$FU$19,1,DL197)+'Lease Cycles'!$BE$19*(1-INDEX('Lease Cycles'!$FO$19:$FU$19,1,DL197)))),0)</f>
        <v>0</v>
      </c>
      <c r="DM207" s="24">
        <f>IF(DM199=1,'Lease Cycles'!$D$19*IF(INDEX('Lease Cycles'!$EF$19:$EL$19,1,DM197)=1,'Lease Cycles'!$AJ$19*INDEX('Lease Cycles'!$FO$19:$FU$19,1,DM197)*INDEX('Lease Cycles'!$EM$19:$ES$19,1,DM197)+'Lease Cycles'!$BE$19*IF(DM198&lt;INDEX('Lease Cycles'!$FA$19:$FG$19,1,DM197),0,1-INDEX('Lease Cycles'!$EM$19:$ES$19,1,DM197)),IF(OR(INDEX('Lease Cycles'!$DY$19:$EE$19,1,DM197)=1,DM198&gt;0),1,1-INDEX('Lease Cycles'!$DD$19:$DJ$19,1,DM197))*('Lease Cycles'!$AJ$19*INDEX('Lease Cycles'!$FO$19:$FU$19,1,DM197)+'Lease Cycles'!$BE$19*(1-INDEX('Lease Cycles'!$FO$19:$FU$19,1,DM197)))),0)</f>
        <v>0</v>
      </c>
      <c r="DN207" s="24">
        <f>IF(DN199=1,'Lease Cycles'!$D$19*IF(INDEX('Lease Cycles'!$EF$19:$EL$19,1,DN197)=1,'Lease Cycles'!$AJ$19*INDEX('Lease Cycles'!$FO$19:$FU$19,1,DN197)*INDEX('Lease Cycles'!$EM$19:$ES$19,1,DN197)+'Lease Cycles'!$BE$19*IF(DN198&lt;INDEX('Lease Cycles'!$FA$19:$FG$19,1,DN197),0,1-INDEX('Lease Cycles'!$EM$19:$ES$19,1,DN197)),IF(OR(INDEX('Lease Cycles'!$DY$19:$EE$19,1,DN197)=1,DN198&gt;0),1,1-INDEX('Lease Cycles'!$DD$19:$DJ$19,1,DN197))*('Lease Cycles'!$AJ$19*INDEX('Lease Cycles'!$FO$19:$FU$19,1,DN197)+'Lease Cycles'!$BE$19*(1-INDEX('Lease Cycles'!$FO$19:$FU$19,1,DN197)))),0)</f>
        <v>0</v>
      </c>
      <c r="DO207" s="24">
        <f>IF(DO199=1,'Lease Cycles'!$D$19*IF(INDEX('Lease Cycles'!$EF$19:$EL$19,1,DO197)=1,'Lease Cycles'!$AJ$19*INDEX('Lease Cycles'!$FO$19:$FU$19,1,DO197)*INDEX('Lease Cycles'!$EM$19:$ES$19,1,DO197)+'Lease Cycles'!$BE$19*IF(DO198&lt;INDEX('Lease Cycles'!$FA$19:$FG$19,1,DO197),0,1-INDEX('Lease Cycles'!$EM$19:$ES$19,1,DO197)),IF(OR(INDEX('Lease Cycles'!$DY$19:$EE$19,1,DO197)=1,DO198&gt;0),1,1-INDEX('Lease Cycles'!$DD$19:$DJ$19,1,DO197))*('Lease Cycles'!$AJ$19*INDEX('Lease Cycles'!$FO$19:$FU$19,1,DO197)+'Lease Cycles'!$BE$19*(1-INDEX('Lease Cycles'!$FO$19:$FU$19,1,DO197)))),0)</f>
        <v>0</v>
      </c>
      <c r="DP207" s="24">
        <f>IF(DP199=1,'Lease Cycles'!$D$19*IF(INDEX('Lease Cycles'!$EF$19:$EL$19,1,DP197)=1,'Lease Cycles'!$AJ$19*INDEX('Lease Cycles'!$FO$19:$FU$19,1,DP197)*INDEX('Lease Cycles'!$EM$19:$ES$19,1,DP197)+'Lease Cycles'!$BE$19*IF(DP198&lt;INDEX('Lease Cycles'!$FA$19:$FG$19,1,DP197),0,1-INDEX('Lease Cycles'!$EM$19:$ES$19,1,DP197)),IF(OR(INDEX('Lease Cycles'!$DY$19:$EE$19,1,DP197)=1,DP198&gt;0),1,1-INDEX('Lease Cycles'!$DD$19:$DJ$19,1,DP197))*('Lease Cycles'!$AJ$19*INDEX('Lease Cycles'!$FO$19:$FU$19,1,DP197)+'Lease Cycles'!$BE$19*(1-INDEX('Lease Cycles'!$FO$19:$FU$19,1,DP197)))),0)</f>
        <v>0</v>
      </c>
      <c r="DQ207" s="24">
        <f>IF(DQ199=1,'Lease Cycles'!$D$19*IF(INDEX('Lease Cycles'!$EF$19:$EL$19,1,DQ197)=1,'Lease Cycles'!$AJ$19*INDEX('Lease Cycles'!$FO$19:$FU$19,1,DQ197)*INDEX('Lease Cycles'!$EM$19:$ES$19,1,DQ197)+'Lease Cycles'!$BE$19*IF(DQ198&lt;INDEX('Lease Cycles'!$FA$19:$FG$19,1,DQ197),0,1-INDEX('Lease Cycles'!$EM$19:$ES$19,1,DQ197)),IF(OR(INDEX('Lease Cycles'!$DY$19:$EE$19,1,DQ197)=1,DQ198&gt;0),1,1-INDEX('Lease Cycles'!$DD$19:$DJ$19,1,DQ197))*('Lease Cycles'!$AJ$19*INDEX('Lease Cycles'!$FO$19:$FU$19,1,DQ197)+'Lease Cycles'!$BE$19*(1-INDEX('Lease Cycles'!$FO$19:$FU$19,1,DQ197)))),0)</f>
        <v>0</v>
      </c>
      <c r="DR207" s="24">
        <f>IF(DR199=1,'Lease Cycles'!$D$19*IF(INDEX('Lease Cycles'!$EF$19:$EL$19,1,DR197)=1,'Lease Cycles'!$AJ$19*INDEX('Lease Cycles'!$FO$19:$FU$19,1,DR197)*INDEX('Lease Cycles'!$EM$19:$ES$19,1,DR197)+'Lease Cycles'!$BE$19*IF(DR198&lt;INDEX('Lease Cycles'!$FA$19:$FG$19,1,DR197),0,1-INDEX('Lease Cycles'!$EM$19:$ES$19,1,DR197)),IF(OR(INDEX('Lease Cycles'!$DY$19:$EE$19,1,DR197)=1,DR198&gt;0),1,1-INDEX('Lease Cycles'!$DD$19:$DJ$19,1,DR197))*('Lease Cycles'!$AJ$19*INDEX('Lease Cycles'!$FO$19:$FU$19,1,DR197)+'Lease Cycles'!$BE$19*(1-INDEX('Lease Cycles'!$FO$19:$FU$19,1,DR197)))),0)</f>
        <v>0</v>
      </c>
      <c r="DS207" s="24">
        <f>IF(DS199=1,'Lease Cycles'!$D$19*IF(INDEX('Lease Cycles'!$EF$19:$EL$19,1,DS197)=1,'Lease Cycles'!$AJ$19*INDEX('Lease Cycles'!$FO$19:$FU$19,1,DS197)*INDEX('Lease Cycles'!$EM$19:$ES$19,1,DS197)+'Lease Cycles'!$BE$19*IF(DS198&lt;INDEX('Lease Cycles'!$FA$19:$FG$19,1,DS197),0,1-INDEX('Lease Cycles'!$EM$19:$ES$19,1,DS197)),IF(OR(INDEX('Lease Cycles'!$DY$19:$EE$19,1,DS197)=1,DS198&gt;0),1,1-INDEX('Lease Cycles'!$DD$19:$DJ$19,1,DS197))*('Lease Cycles'!$AJ$19*INDEX('Lease Cycles'!$FO$19:$FU$19,1,DS197)+'Lease Cycles'!$BE$19*(1-INDEX('Lease Cycles'!$FO$19:$FU$19,1,DS197)))),0)</f>
        <v>0</v>
      </c>
      <c r="DT207" s="24">
        <f>IF(DT199=1,'Lease Cycles'!$D$19*IF(INDEX('Lease Cycles'!$EF$19:$EL$19,1,DT197)=1,'Lease Cycles'!$AJ$19*INDEX('Lease Cycles'!$FO$19:$FU$19,1,DT197)*INDEX('Lease Cycles'!$EM$19:$ES$19,1,DT197)+'Lease Cycles'!$BE$19*IF(DT198&lt;INDEX('Lease Cycles'!$FA$19:$FG$19,1,DT197),0,1-INDEX('Lease Cycles'!$EM$19:$ES$19,1,DT197)),IF(OR(INDEX('Lease Cycles'!$DY$19:$EE$19,1,DT197)=1,DT198&gt;0),1,1-INDEX('Lease Cycles'!$DD$19:$DJ$19,1,DT197))*('Lease Cycles'!$AJ$19*INDEX('Lease Cycles'!$FO$19:$FU$19,1,DT197)+'Lease Cycles'!$BE$19*(1-INDEX('Lease Cycles'!$FO$19:$FU$19,1,DT197)))),0)</f>
        <v>0</v>
      </c>
      <c r="DU207" s="24">
        <f>IF(DU199=1,'Lease Cycles'!$D$19*IF(INDEX('Lease Cycles'!$EF$19:$EL$19,1,DU197)=1,'Lease Cycles'!$AJ$19*INDEX('Lease Cycles'!$FO$19:$FU$19,1,DU197)*INDEX('Lease Cycles'!$EM$19:$ES$19,1,DU197)+'Lease Cycles'!$BE$19*IF(DU198&lt;INDEX('Lease Cycles'!$FA$19:$FG$19,1,DU197),0,1-INDEX('Lease Cycles'!$EM$19:$ES$19,1,DU197)),IF(OR(INDEX('Lease Cycles'!$DY$19:$EE$19,1,DU197)=1,DU198&gt;0),1,1-INDEX('Lease Cycles'!$DD$19:$DJ$19,1,DU197))*('Lease Cycles'!$AJ$19*INDEX('Lease Cycles'!$FO$19:$FU$19,1,DU197)+'Lease Cycles'!$BE$19*(1-INDEX('Lease Cycles'!$FO$19:$FU$19,1,DU197)))),0)</f>
        <v>0</v>
      </c>
      <c r="DV207" s="24">
        <f>IF(DV199=1,'Lease Cycles'!$D$19*IF(INDEX('Lease Cycles'!$EF$19:$EL$19,1,DV197)=1,'Lease Cycles'!$AJ$19*INDEX('Lease Cycles'!$FO$19:$FU$19,1,DV197)*INDEX('Lease Cycles'!$EM$19:$ES$19,1,DV197)+'Lease Cycles'!$BE$19*IF(DV198&lt;INDEX('Lease Cycles'!$FA$19:$FG$19,1,DV197),0,1-INDEX('Lease Cycles'!$EM$19:$ES$19,1,DV197)),IF(OR(INDEX('Lease Cycles'!$DY$19:$EE$19,1,DV197)=1,DV198&gt;0),1,1-INDEX('Lease Cycles'!$DD$19:$DJ$19,1,DV197))*('Lease Cycles'!$AJ$19*INDEX('Lease Cycles'!$FO$19:$FU$19,1,DV197)+'Lease Cycles'!$BE$19*(1-INDEX('Lease Cycles'!$FO$19:$FU$19,1,DV197)))),0)</f>
        <v>0</v>
      </c>
      <c r="DW207" s="24">
        <f>IF(DW199=1,'Lease Cycles'!$D$19*IF(INDEX('Lease Cycles'!$EF$19:$EL$19,1,DW197)=1,'Lease Cycles'!$AJ$19*INDEX('Lease Cycles'!$FO$19:$FU$19,1,DW197)*INDEX('Lease Cycles'!$EM$19:$ES$19,1,DW197)+'Lease Cycles'!$BE$19*IF(DW198&lt;INDEX('Lease Cycles'!$FA$19:$FG$19,1,DW197),0,1-INDEX('Lease Cycles'!$EM$19:$ES$19,1,DW197)),IF(OR(INDEX('Lease Cycles'!$DY$19:$EE$19,1,DW197)=1,DW198&gt;0),1,1-INDEX('Lease Cycles'!$DD$19:$DJ$19,1,DW197))*('Lease Cycles'!$AJ$19*INDEX('Lease Cycles'!$FO$19:$FU$19,1,DW197)+'Lease Cycles'!$BE$19*(1-INDEX('Lease Cycles'!$FO$19:$FU$19,1,DW197)))),0)</f>
        <v>0</v>
      </c>
      <c r="DX207" s="24">
        <f>IF(DX199=1,'Lease Cycles'!$D$19*IF(INDEX('Lease Cycles'!$EF$19:$EL$19,1,DX197)=1,'Lease Cycles'!$AJ$19*INDEX('Lease Cycles'!$FO$19:$FU$19,1,DX197)*INDEX('Lease Cycles'!$EM$19:$ES$19,1,DX197)+'Lease Cycles'!$BE$19*IF(DX198&lt;INDEX('Lease Cycles'!$FA$19:$FG$19,1,DX197),0,1-INDEX('Lease Cycles'!$EM$19:$ES$19,1,DX197)),IF(OR(INDEX('Lease Cycles'!$DY$19:$EE$19,1,DX197)=1,DX198&gt;0),1,1-INDEX('Lease Cycles'!$DD$19:$DJ$19,1,DX197))*('Lease Cycles'!$AJ$19*INDEX('Lease Cycles'!$FO$19:$FU$19,1,DX197)+'Lease Cycles'!$BE$19*(1-INDEX('Lease Cycles'!$FO$19:$FU$19,1,DX197)))),0)</f>
        <v>0</v>
      </c>
      <c r="DY207" s="24">
        <f>IF(DY199=1,'Lease Cycles'!$D$19*IF(INDEX('Lease Cycles'!$EF$19:$EL$19,1,DY197)=1,'Lease Cycles'!$AJ$19*INDEX('Lease Cycles'!$FO$19:$FU$19,1,DY197)*INDEX('Lease Cycles'!$EM$19:$ES$19,1,DY197)+'Lease Cycles'!$BE$19*IF(DY198&lt;INDEX('Lease Cycles'!$FA$19:$FG$19,1,DY197),0,1-INDEX('Lease Cycles'!$EM$19:$ES$19,1,DY197)),IF(OR(INDEX('Lease Cycles'!$DY$19:$EE$19,1,DY197)=1,DY198&gt;0),1,1-INDEX('Lease Cycles'!$DD$19:$DJ$19,1,DY197))*('Lease Cycles'!$AJ$19*INDEX('Lease Cycles'!$FO$19:$FU$19,1,DY197)+'Lease Cycles'!$BE$19*(1-INDEX('Lease Cycles'!$FO$19:$FU$19,1,DY197)))),0)</f>
        <v>0</v>
      </c>
      <c r="DZ207" s="24">
        <f>IF(DZ199=1,'Lease Cycles'!$D$19*IF(INDEX('Lease Cycles'!$EF$19:$EL$19,1,DZ197)=1,'Lease Cycles'!$AJ$19*INDEX('Lease Cycles'!$FO$19:$FU$19,1,DZ197)*INDEX('Lease Cycles'!$EM$19:$ES$19,1,DZ197)+'Lease Cycles'!$BE$19*IF(DZ198&lt;INDEX('Lease Cycles'!$FA$19:$FG$19,1,DZ197),0,1-INDEX('Lease Cycles'!$EM$19:$ES$19,1,DZ197)),IF(OR(INDEX('Lease Cycles'!$DY$19:$EE$19,1,DZ197)=1,DZ198&gt;0),1,1-INDEX('Lease Cycles'!$DD$19:$DJ$19,1,DZ197))*('Lease Cycles'!$AJ$19*INDEX('Lease Cycles'!$FO$19:$FU$19,1,DZ197)+'Lease Cycles'!$BE$19*(1-INDEX('Lease Cycles'!$FO$19:$FU$19,1,DZ197)))),0)</f>
        <v>0</v>
      </c>
      <c r="EA207" s="24">
        <f>IF(EA199=1,'Lease Cycles'!$D$19*IF(INDEX('Lease Cycles'!$EF$19:$EL$19,1,EA197)=1,'Lease Cycles'!$AJ$19*INDEX('Lease Cycles'!$FO$19:$FU$19,1,EA197)*INDEX('Lease Cycles'!$EM$19:$ES$19,1,EA197)+'Lease Cycles'!$BE$19*IF(EA198&lt;INDEX('Lease Cycles'!$FA$19:$FG$19,1,EA197),0,1-INDEX('Lease Cycles'!$EM$19:$ES$19,1,EA197)),IF(OR(INDEX('Lease Cycles'!$DY$19:$EE$19,1,EA197)=1,EA198&gt;0),1,1-INDEX('Lease Cycles'!$DD$19:$DJ$19,1,EA197))*('Lease Cycles'!$AJ$19*INDEX('Lease Cycles'!$FO$19:$FU$19,1,EA197)+'Lease Cycles'!$BE$19*(1-INDEX('Lease Cycles'!$FO$19:$FU$19,1,EA197)))),0)</f>
        <v>0</v>
      </c>
      <c r="EB207" s="24">
        <f>IF(EB199=1,'Lease Cycles'!$D$19*IF(INDEX('Lease Cycles'!$EF$19:$EL$19,1,EB197)=1,'Lease Cycles'!$AJ$19*INDEX('Lease Cycles'!$FO$19:$FU$19,1,EB197)*INDEX('Lease Cycles'!$EM$19:$ES$19,1,EB197)+'Lease Cycles'!$BE$19*IF(EB198&lt;INDEX('Lease Cycles'!$FA$19:$FG$19,1,EB197),0,1-INDEX('Lease Cycles'!$EM$19:$ES$19,1,EB197)),IF(OR(INDEX('Lease Cycles'!$DY$19:$EE$19,1,EB197)=1,EB198&gt;0),1,1-INDEX('Lease Cycles'!$DD$19:$DJ$19,1,EB197))*('Lease Cycles'!$AJ$19*INDEX('Lease Cycles'!$FO$19:$FU$19,1,EB197)+'Lease Cycles'!$BE$19*(1-INDEX('Lease Cycles'!$FO$19:$FU$19,1,EB197)))),0)</f>
        <v>0</v>
      </c>
      <c r="EC207" s="24">
        <f>IF(EC199=1,'Lease Cycles'!$D$19*IF(INDEX('Lease Cycles'!$EF$19:$EL$19,1,EC197)=1,'Lease Cycles'!$AJ$19*INDEX('Lease Cycles'!$FO$19:$FU$19,1,EC197)*INDEX('Lease Cycles'!$EM$19:$ES$19,1,EC197)+'Lease Cycles'!$BE$19*IF(EC198&lt;INDEX('Lease Cycles'!$FA$19:$FG$19,1,EC197),0,1-INDEX('Lease Cycles'!$EM$19:$ES$19,1,EC197)),IF(OR(INDEX('Lease Cycles'!$DY$19:$EE$19,1,EC197)=1,EC198&gt;0),1,1-INDEX('Lease Cycles'!$DD$19:$DJ$19,1,EC197))*('Lease Cycles'!$AJ$19*INDEX('Lease Cycles'!$FO$19:$FU$19,1,EC197)+'Lease Cycles'!$BE$19*(1-INDEX('Lease Cycles'!$FO$19:$FU$19,1,EC197)))),0)</f>
        <v>0</v>
      </c>
      <c r="ED207" s="24">
        <f>IF(ED199=1,'Lease Cycles'!$D$19*IF(INDEX('Lease Cycles'!$EF$19:$EL$19,1,ED197)=1,'Lease Cycles'!$AJ$19*INDEX('Lease Cycles'!$FO$19:$FU$19,1,ED197)*INDEX('Lease Cycles'!$EM$19:$ES$19,1,ED197)+'Lease Cycles'!$BE$19*IF(ED198&lt;INDEX('Lease Cycles'!$FA$19:$FG$19,1,ED197),0,1-INDEX('Lease Cycles'!$EM$19:$ES$19,1,ED197)),IF(OR(INDEX('Lease Cycles'!$DY$19:$EE$19,1,ED197)=1,ED198&gt;0),1,1-INDEX('Lease Cycles'!$DD$19:$DJ$19,1,ED197))*('Lease Cycles'!$AJ$19*INDEX('Lease Cycles'!$FO$19:$FU$19,1,ED197)+'Lease Cycles'!$BE$19*(1-INDEX('Lease Cycles'!$FO$19:$FU$19,1,ED197)))),0)</f>
        <v>0</v>
      </c>
      <c r="EE207" s="24">
        <f>IF(EE199=1,'Lease Cycles'!$D$19*IF(INDEX('Lease Cycles'!$EF$19:$EL$19,1,EE197)=1,'Lease Cycles'!$AJ$19*INDEX('Lease Cycles'!$FO$19:$FU$19,1,EE197)*INDEX('Lease Cycles'!$EM$19:$ES$19,1,EE197)+'Lease Cycles'!$BE$19*IF(EE198&lt;INDEX('Lease Cycles'!$FA$19:$FG$19,1,EE197),0,1-INDEX('Lease Cycles'!$EM$19:$ES$19,1,EE197)),IF(OR(INDEX('Lease Cycles'!$DY$19:$EE$19,1,EE197)=1,EE198&gt;0),1,1-INDEX('Lease Cycles'!$DD$19:$DJ$19,1,EE197))*('Lease Cycles'!$AJ$19*INDEX('Lease Cycles'!$FO$19:$FU$19,1,EE197)+'Lease Cycles'!$BE$19*(1-INDEX('Lease Cycles'!$FO$19:$FU$19,1,EE197)))),0)</f>
        <v>0</v>
      </c>
      <c r="EF207" s="24">
        <f>IF(EF199=1,'Lease Cycles'!$D$19*IF(INDEX('Lease Cycles'!$EF$19:$EL$19,1,EF197)=1,'Lease Cycles'!$AJ$19*INDEX('Lease Cycles'!$FO$19:$FU$19,1,EF197)*INDEX('Lease Cycles'!$EM$19:$ES$19,1,EF197)+'Lease Cycles'!$BE$19*IF(EF198&lt;INDEX('Lease Cycles'!$FA$19:$FG$19,1,EF197),0,1-INDEX('Lease Cycles'!$EM$19:$ES$19,1,EF197)),IF(OR(INDEX('Lease Cycles'!$DY$19:$EE$19,1,EF197)=1,EF198&gt;0),1,1-INDEX('Lease Cycles'!$DD$19:$DJ$19,1,EF197))*('Lease Cycles'!$AJ$19*INDEX('Lease Cycles'!$FO$19:$FU$19,1,EF197)+'Lease Cycles'!$BE$19*(1-INDEX('Lease Cycles'!$FO$19:$FU$19,1,EF197)))),0)</f>
        <v>0</v>
      </c>
      <c r="EG207" s="24">
        <f>IF(EG199=1,'Lease Cycles'!$D$19*IF(INDEX('Lease Cycles'!$EF$19:$EL$19,1,EG197)=1,'Lease Cycles'!$AJ$19*INDEX('Lease Cycles'!$FO$19:$FU$19,1,EG197)*INDEX('Lease Cycles'!$EM$19:$ES$19,1,EG197)+'Lease Cycles'!$BE$19*IF(EG198&lt;INDEX('Lease Cycles'!$FA$19:$FG$19,1,EG197),0,1-INDEX('Lease Cycles'!$EM$19:$ES$19,1,EG197)),IF(OR(INDEX('Lease Cycles'!$DY$19:$EE$19,1,EG197)=1,EG198&gt;0),1,1-INDEX('Lease Cycles'!$DD$19:$DJ$19,1,EG197))*('Lease Cycles'!$AJ$19*INDEX('Lease Cycles'!$FO$19:$FU$19,1,EG197)+'Lease Cycles'!$BE$19*(1-INDEX('Lease Cycles'!$FO$19:$FU$19,1,EG197)))),0)</f>
        <v>0</v>
      </c>
      <c r="EH207" s="24">
        <f>IF(EH199=1,'Lease Cycles'!$D$19*IF(INDEX('Lease Cycles'!$EF$19:$EL$19,1,EH197)=1,'Lease Cycles'!$AJ$19*INDEX('Lease Cycles'!$FO$19:$FU$19,1,EH197)*INDEX('Lease Cycles'!$EM$19:$ES$19,1,EH197)+'Lease Cycles'!$BE$19*IF(EH198&lt;INDEX('Lease Cycles'!$FA$19:$FG$19,1,EH197),0,1-INDEX('Lease Cycles'!$EM$19:$ES$19,1,EH197)),IF(OR(INDEX('Lease Cycles'!$DY$19:$EE$19,1,EH197)=1,EH198&gt;0),1,1-INDEX('Lease Cycles'!$DD$19:$DJ$19,1,EH197))*('Lease Cycles'!$AJ$19*INDEX('Lease Cycles'!$FO$19:$FU$19,1,EH197)+'Lease Cycles'!$BE$19*(1-INDEX('Lease Cycles'!$FO$19:$FU$19,1,EH197)))),0)</f>
        <v>0</v>
      </c>
      <c r="EI207" s="24">
        <f>IF(EI199=1,'Lease Cycles'!$D$19*IF(INDEX('Lease Cycles'!$EF$19:$EL$19,1,EI197)=1,'Lease Cycles'!$AJ$19*INDEX('Lease Cycles'!$FO$19:$FU$19,1,EI197)*INDEX('Lease Cycles'!$EM$19:$ES$19,1,EI197)+'Lease Cycles'!$BE$19*IF(EI198&lt;INDEX('Lease Cycles'!$FA$19:$FG$19,1,EI197),0,1-INDEX('Lease Cycles'!$EM$19:$ES$19,1,EI197)),IF(OR(INDEX('Lease Cycles'!$DY$19:$EE$19,1,EI197)=1,EI198&gt;0),1,1-INDEX('Lease Cycles'!$DD$19:$DJ$19,1,EI197))*('Lease Cycles'!$AJ$19*INDEX('Lease Cycles'!$FO$19:$FU$19,1,EI197)+'Lease Cycles'!$BE$19*(1-INDEX('Lease Cycles'!$FO$19:$FU$19,1,EI197)))),0)</f>
        <v>0</v>
      </c>
      <c r="EJ207" s="24">
        <f>IF(EJ199=1,'Lease Cycles'!$D$19*IF(INDEX('Lease Cycles'!$EF$19:$EL$19,1,EJ197)=1,'Lease Cycles'!$AJ$19*INDEX('Lease Cycles'!$FO$19:$FU$19,1,EJ197)*INDEX('Lease Cycles'!$EM$19:$ES$19,1,EJ197)+'Lease Cycles'!$BE$19*IF(EJ198&lt;INDEX('Lease Cycles'!$FA$19:$FG$19,1,EJ197),0,1-INDEX('Lease Cycles'!$EM$19:$ES$19,1,EJ197)),IF(OR(INDEX('Lease Cycles'!$DY$19:$EE$19,1,EJ197)=1,EJ198&gt;0),1,1-INDEX('Lease Cycles'!$DD$19:$DJ$19,1,EJ197))*('Lease Cycles'!$AJ$19*INDEX('Lease Cycles'!$FO$19:$FU$19,1,EJ197)+'Lease Cycles'!$BE$19*(1-INDEX('Lease Cycles'!$FO$19:$FU$19,1,EJ197)))),0)</f>
        <v>0</v>
      </c>
      <c r="EK207" s="24">
        <f>IF(EK199=1,'Lease Cycles'!$D$19*IF(INDEX('Lease Cycles'!$EF$19:$EL$19,1,EK197)=1,'Lease Cycles'!$AJ$19*INDEX('Lease Cycles'!$FO$19:$FU$19,1,EK197)*INDEX('Lease Cycles'!$EM$19:$ES$19,1,EK197)+'Lease Cycles'!$BE$19*IF(EK198&lt;INDEX('Lease Cycles'!$FA$19:$FG$19,1,EK197),0,1-INDEX('Lease Cycles'!$EM$19:$ES$19,1,EK197)),IF(OR(INDEX('Lease Cycles'!$DY$19:$EE$19,1,EK197)=1,EK198&gt;0),1,1-INDEX('Lease Cycles'!$DD$19:$DJ$19,1,EK197))*('Lease Cycles'!$AJ$19*INDEX('Lease Cycles'!$FO$19:$FU$19,1,EK197)+'Lease Cycles'!$BE$19*(1-INDEX('Lease Cycles'!$FO$19:$FU$19,1,EK197)))),0)</f>
        <v>0</v>
      </c>
      <c r="EL207" s="24">
        <f>IF(EL199=1,'Lease Cycles'!$D$19*IF(INDEX('Lease Cycles'!$EF$19:$EL$19,1,EL197)=1,'Lease Cycles'!$AJ$19*INDEX('Lease Cycles'!$FO$19:$FU$19,1,EL197)*INDEX('Lease Cycles'!$EM$19:$ES$19,1,EL197)+'Lease Cycles'!$BE$19*IF(EL198&lt;INDEX('Lease Cycles'!$FA$19:$FG$19,1,EL197),0,1-INDEX('Lease Cycles'!$EM$19:$ES$19,1,EL197)),IF(OR(INDEX('Lease Cycles'!$DY$19:$EE$19,1,EL197)=1,EL198&gt;0),1,1-INDEX('Lease Cycles'!$DD$19:$DJ$19,1,EL197))*('Lease Cycles'!$AJ$19*INDEX('Lease Cycles'!$FO$19:$FU$19,1,EL197)+'Lease Cycles'!$BE$19*(1-INDEX('Lease Cycles'!$FO$19:$FU$19,1,EL197)))),0)</f>
        <v>0</v>
      </c>
      <c r="EM207" s="24">
        <f>IF(EM199=1,'Lease Cycles'!$D$19*IF(INDEX('Lease Cycles'!$EF$19:$EL$19,1,EM197)=1,'Lease Cycles'!$AJ$19*INDEX('Lease Cycles'!$FO$19:$FU$19,1,EM197)*INDEX('Lease Cycles'!$EM$19:$ES$19,1,EM197)+'Lease Cycles'!$BE$19*IF(EM198&lt;INDEX('Lease Cycles'!$FA$19:$FG$19,1,EM197),0,1-INDEX('Lease Cycles'!$EM$19:$ES$19,1,EM197)),IF(OR(INDEX('Lease Cycles'!$DY$19:$EE$19,1,EM197)=1,EM198&gt;0),1,1-INDEX('Lease Cycles'!$DD$19:$DJ$19,1,EM197))*('Lease Cycles'!$AJ$19*INDEX('Lease Cycles'!$FO$19:$FU$19,1,EM197)+'Lease Cycles'!$BE$19*(1-INDEX('Lease Cycles'!$FO$19:$FU$19,1,EM197)))),0)</f>
        <v>0</v>
      </c>
      <c r="EN207" s="24">
        <f>IF(EN199=1,'Lease Cycles'!$D$19*IF(INDEX('Lease Cycles'!$EF$19:$EL$19,1,EN197)=1,'Lease Cycles'!$AJ$19*INDEX('Lease Cycles'!$FO$19:$FU$19,1,EN197)*INDEX('Lease Cycles'!$EM$19:$ES$19,1,EN197)+'Lease Cycles'!$BE$19*IF(EN198&lt;INDEX('Lease Cycles'!$FA$19:$FG$19,1,EN197),0,1-INDEX('Lease Cycles'!$EM$19:$ES$19,1,EN197)),IF(OR(INDEX('Lease Cycles'!$DY$19:$EE$19,1,EN197)=1,EN198&gt;0),1,1-INDEX('Lease Cycles'!$DD$19:$DJ$19,1,EN197))*('Lease Cycles'!$AJ$19*INDEX('Lease Cycles'!$FO$19:$FU$19,1,EN197)+'Lease Cycles'!$BE$19*(1-INDEX('Lease Cycles'!$FO$19:$FU$19,1,EN197)))),0)</f>
        <v>0</v>
      </c>
      <c r="EO207" s="24">
        <f>IF(EO199=1,'Lease Cycles'!$D$19*IF(INDEX('Lease Cycles'!$EF$19:$EL$19,1,EO197)=1,'Lease Cycles'!$AJ$19*INDEX('Lease Cycles'!$FO$19:$FU$19,1,EO197)*INDEX('Lease Cycles'!$EM$19:$ES$19,1,EO197)+'Lease Cycles'!$BE$19*IF(EO198&lt;INDEX('Lease Cycles'!$FA$19:$FG$19,1,EO197),0,1-INDEX('Lease Cycles'!$EM$19:$ES$19,1,EO197)),IF(OR(INDEX('Lease Cycles'!$DY$19:$EE$19,1,EO197)=1,EO198&gt;0),1,1-INDEX('Lease Cycles'!$DD$19:$DJ$19,1,EO197))*('Lease Cycles'!$AJ$19*INDEX('Lease Cycles'!$FO$19:$FU$19,1,EO197)+'Lease Cycles'!$BE$19*(1-INDEX('Lease Cycles'!$FO$19:$FU$19,1,EO197)))),0)</f>
        <v>0</v>
      </c>
      <c r="EP207" s="24">
        <f>IF(EP199=1,'Lease Cycles'!$D$19*IF(INDEX('Lease Cycles'!$EF$19:$EL$19,1,EP197)=1,'Lease Cycles'!$AJ$19*INDEX('Lease Cycles'!$FO$19:$FU$19,1,EP197)*INDEX('Lease Cycles'!$EM$19:$ES$19,1,EP197)+'Lease Cycles'!$BE$19*IF(EP198&lt;INDEX('Lease Cycles'!$FA$19:$FG$19,1,EP197),0,1-INDEX('Lease Cycles'!$EM$19:$ES$19,1,EP197)),IF(OR(INDEX('Lease Cycles'!$DY$19:$EE$19,1,EP197)=1,EP198&gt;0),1,1-INDEX('Lease Cycles'!$DD$19:$DJ$19,1,EP197))*('Lease Cycles'!$AJ$19*INDEX('Lease Cycles'!$FO$19:$FU$19,1,EP197)+'Lease Cycles'!$BE$19*(1-INDEX('Lease Cycles'!$FO$19:$FU$19,1,EP197)))),0)</f>
        <v>0</v>
      </c>
      <c r="EQ207" s="24">
        <f>IF(EQ199=1,'Lease Cycles'!$D$19*IF(INDEX('Lease Cycles'!$EF$19:$EL$19,1,EQ197)=1,'Lease Cycles'!$AJ$19*INDEX('Lease Cycles'!$FO$19:$FU$19,1,EQ197)*INDEX('Lease Cycles'!$EM$19:$ES$19,1,EQ197)+'Lease Cycles'!$BE$19*IF(EQ198&lt;INDEX('Lease Cycles'!$FA$19:$FG$19,1,EQ197),0,1-INDEX('Lease Cycles'!$EM$19:$ES$19,1,EQ197)),IF(OR(INDEX('Lease Cycles'!$DY$19:$EE$19,1,EQ197)=1,EQ198&gt;0),1,1-INDEX('Lease Cycles'!$DD$19:$DJ$19,1,EQ197))*('Lease Cycles'!$AJ$19*INDEX('Lease Cycles'!$FO$19:$FU$19,1,EQ197)+'Lease Cycles'!$BE$19*(1-INDEX('Lease Cycles'!$FO$19:$FU$19,1,EQ197)))),0)</f>
        <v>0</v>
      </c>
      <c r="ER207" s="24">
        <f>IF(ER199=1,'Lease Cycles'!$D$19*IF(INDEX('Lease Cycles'!$EF$19:$EL$19,1,ER197)=1,'Lease Cycles'!$AJ$19*INDEX('Lease Cycles'!$FO$19:$FU$19,1,ER197)*INDEX('Lease Cycles'!$EM$19:$ES$19,1,ER197)+'Lease Cycles'!$BE$19*IF(ER198&lt;INDEX('Lease Cycles'!$FA$19:$FG$19,1,ER197),0,1-INDEX('Lease Cycles'!$EM$19:$ES$19,1,ER197)),IF(OR(INDEX('Lease Cycles'!$DY$19:$EE$19,1,ER197)=1,ER198&gt;0),1,1-INDEX('Lease Cycles'!$DD$19:$DJ$19,1,ER197))*('Lease Cycles'!$AJ$19*INDEX('Lease Cycles'!$FO$19:$FU$19,1,ER197)+'Lease Cycles'!$BE$19*(1-INDEX('Lease Cycles'!$FO$19:$FU$19,1,ER197)))),0)</f>
        <v>0</v>
      </c>
      <c r="ES207" s="24">
        <f>IF(ES199=1,'Lease Cycles'!$D$19*IF(INDEX('Lease Cycles'!$EF$19:$EL$19,1,ES197)=1,'Lease Cycles'!$AJ$19*INDEX('Lease Cycles'!$FO$19:$FU$19,1,ES197)*INDEX('Lease Cycles'!$EM$19:$ES$19,1,ES197)+'Lease Cycles'!$BE$19*IF(ES198&lt;INDEX('Lease Cycles'!$FA$19:$FG$19,1,ES197),0,1-INDEX('Lease Cycles'!$EM$19:$ES$19,1,ES197)),IF(OR(INDEX('Lease Cycles'!$DY$19:$EE$19,1,ES197)=1,ES198&gt;0),1,1-INDEX('Lease Cycles'!$DD$19:$DJ$19,1,ES197))*('Lease Cycles'!$AJ$19*INDEX('Lease Cycles'!$FO$19:$FU$19,1,ES197)+'Lease Cycles'!$BE$19*(1-INDEX('Lease Cycles'!$FO$19:$FU$19,1,ES197)))),0)</f>
        <v>0</v>
      </c>
      <c r="ET207" s="24">
        <f>IF(ET199=1,'Lease Cycles'!$D$19*IF(INDEX('Lease Cycles'!$EF$19:$EL$19,1,ET197)=1,'Lease Cycles'!$AJ$19*INDEX('Lease Cycles'!$FO$19:$FU$19,1,ET197)*INDEX('Lease Cycles'!$EM$19:$ES$19,1,ET197)+'Lease Cycles'!$BE$19*IF(ET198&lt;INDEX('Lease Cycles'!$FA$19:$FG$19,1,ET197),0,1-INDEX('Lease Cycles'!$EM$19:$ES$19,1,ET197)),IF(OR(INDEX('Lease Cycles'!$DY$19:$EE$19,1,ET197)=1,ET198&gt;0),1,1-INDEX('Lease Cycles'!$DD$19:$DJ$19,1,ET197))*('Lease Cycles'!$AJ$19*INDEX('Lease Cycles'!$FO$19:$FU$19,1,ET197)+'Lease Cycles'!$BE$19*(1-INDEX('Lease Cycles'!$FO$19:$FU$19,1,ET197)))),0)</f>
        <v>0</v>
      </c>
    </row>
    <row r="208">
      <c r="A208" s="103">
        <v>12</v>
      </c>
      <c r="B208" s="23" t="str">
        <f>IF('Lease Cycles'!$B$19="","(empty slot)",'Lease Cycles'!$B$19)</f>
        <v>(empty slot)</v>
      </c>
      <c r="C208" s="23" t="s">
        <v>689</v>
      </c>
      <c r="D208" s="104" t="s">
        <v>690</v>
      </c>
      <c r="E208" s="25">
        <f>'Lease Cycles'!$AL$19</f>
        <v>0</v>
      </c>
      <c r="G208" s="28">
        <f>SUM(S208:AD208)</f>
        <v>0</v>
      </c>
      <c r="H208" s="28">
        <f>SUM(AE208:AP208)</f>
        <v>0</v>
      </c>
      <c r="I208" s="28">
        <f>SUM(AQ208:BB208)</f>
        <v>0</v>
      </c>
      <c r="J208" s="28">
        <f>SUM(BC208:BN208)</f>
        <v>0</v>
      </c>
      <c r="K208" s="28">
        <f>SUM(BO208:BZ208)</f>
        <v>0</v>
      </c>
      <c r="L208" s="28">
        <f>SUM(CA208:CL208)</f>
        <v>0</v>
      </c>
      <c r="M208" s="28">
        <f>SUM(CM208:CX208)</f>
        <v>0</v>
      </c>
      <c r="N208" s="28">
        <f>SUM(CY208:DJ208)</f>
        <v>0</v>
      </c>
      <c r="O208" s="28">
        <f>SUM(DK208:DV208)</f>
        <v>0</v>
      </c>
      <c r="P208" s="28">
        <f>SUM(DW208:EH208)</f>
        <v>0</v>
      </c>
      <c r="Q208" s="28">
        <f>SUM(EI208:ET208)</f>
        <v>0</v>
      </c>
      <c r="S208" s="28">
        <f>IF(S207=0,0,S207*MAX(0,(INDEX(c_CAMy,1,S$7)-INDEX(c_CAMy,1,INDEX('Lease Cycles'!$GC$19:$GI$19,1,S197)+1))*(1+'Lease Cycles'!$AK$19)+(INDEX(c_TAXy,1,S$7)-INDEX(c_TAXy,1,INDEX('Lease Cycles'!$GC$19:$GI$19,1,S197)+1))+(INDEX(c_INSy,1,S$7)-INDEX(c_INSy,1,INDEX('Lease Cycles'!$GC$19:$GI$19,1,S197)+1)))/12)</f>
        <v>0</v>
      </c>
      <c r="T208" s="28">
        <f>IF(T207=0,0,T207*MAX(0,(INDEX(c_CAMy,1,T$7)-INDEX(c_CAMy,1,INDEX('Lease Cycles'!$GC$19:$GI$19,1,T197)+1))*(1+'Lease Cycles'!$AK$19)+(INDEX(c_TAXy,1,T$7)-INDEX(c_TAXy,1,INDEX('Lease Cycles'!$GC$19:$GI$19,1,T197)+1))+(INDEX(c_INSy,1,T$7)-INDEX(c_INSy,1,INDEX('Lease Cycles'!$GC$19:$GI$19,1,T197)+1)))/12)</f>
        <v>0</v>
      </c>
      <c r="U208" s="28">
        <f>IF(U207=0,0,U207*MAX(0,(INDEX(c_CAMy,1,U$7)-INDEX(c_CAMy,1,INDEX('Lease Cycles'!$GC$19:$GI$19,1,U197)+1))*(1+'Lease Cycles'!$AK$19)+(INDEX(c_TAXy,1,U$7)-INDEX(c_TAXy,1,INDEX('Lease Cycles'!$GC$19:$GI$19,1,U197)+1))+(INDEX(c_INSy,1,U$7)-INDEX(c_INSy,1,INDEX('Lease Cycles'!$GC$19:$GI$19,1,U197)+1)))/12)</f>
        <v>0</v>
      </c>
      <c r="V208" s="28">
        <f>IF(V207=0,0,V207*MAX(0,(INDEX(c_CAMy,1,V$7)-INDEX(c_CAMy,1,INDEX('Lease Cycles'!$GC$19:$GI$19,1,V197)+1))*(1+'Lease Cycles'!$AK$19)+(INDEX(c_TAXy,1,V$7)-INDEX(c_TAXy,1,INDEX('Lease Cycles'!$GC$19:$GI$19,1,V197)+1))+(INDEX(c_INSy,1,V$7)-INDEX(c_INSy,1,INDEX('Lease Cycles'!$GC$19:$GI$19,1,V197)+1)))/12)</f>
        <v>0</v>
      </c>
      <c r="W208" s="28">
        <f>IF(W207=0,0,W207*MAX(0,(INDEX(c_CAMy,1,W$7)-INDEX(c_CAMy,1,INDEX('Lease Cycles'!$GC$19:$GI$19,1,W197)+1))*(1+'Lease Cycles'!$AK$19)+(INDEX(c_TAXy,1,W$7)-INDEX(c_TAXy,1,INDEX('Lease Cycles'!$GC$19:$GI$19,1,W197)+1))+(INDEX(c_INSy,1,W$7)-INDEX(c_INSy,1,INDEX('Lease Cycles'!$GC$19:$GI$19,1,W197)+1)))/12)</f>
        <v>0</v>
      </c>
      <c r="X208" s="28">
        <f>IF(X207=0,0,X207*MAX(0,(INDEX(c_CAMy,1,X$7)-INDEX(c_CAMy,1,INDEX('Lease Cycles'!$GC$19:$GI$19,1,X197)+1))*(1+'Lease Cycles'!$AK$19)+(INDEX(c_TAXy,1,X$7)-INDEX(c_TAXy,1,INDEX('Lease Cycles'!$GC$19:$GI$19,1,X197)+1))+(INDEX(c_INSy,1,X$7)-INDEX(c_INSy,1,INDEX('Lease Cycles'!$GC$19:$GI$19,1,X197)+1)))/12)</f>
        <v>0</v>
      </c>
      <c r="Y208" s="28">
        <f>IF(Y207=0,0,Y207*MAX(0,(INDEX(c_CAMy,1,Y$7)-INDEX(c_CAMy,1,INDEX('Lease Cycles'!$GC$19:$GI$19,1,Y197)+1))*(1+'Lease Cycles'!$AK$19)+(INDEX(c_TAXy,1,Y$7)-INDEX(c_TAXy,1,INDEX('Lease Cycles'!$GC$19:$GI$19,1,Y197)+1))+(INDEX(c_INSy,1,Y$7)-INDEX(c_INSy,1,INDEX('Lease Cycles'!$GC$19:$GI$19,1,Y197)+1)))/12)</f>
        <v>0</v>
      </c>
      <c r="Z208" s="28">
        <f>IF(Z207=0,0,Z207*MAX(0,(INDEX(c_CAMy,1,Z$7)-INDEX(c_CAMy,1,INDEX('Lease Cycles'!$GC$19:$GI$19,1,Z197)+1))*(1+'Lease Cycles'!$AK$19)+(INDEX(c_TAXy,1,Z$7)-INDEX(c_TAXy,1,INDEX('Lease Cycles'!$GC$19:$GI$19,1,Z197)+1))+(INDEX(c_INSy,1,Z$7)-INDEX(c_INSy,1,INDEX('Lease Cycles'!$GC$19:$GI$19,1,Z197)+1)))/12)</f>
        <v>0</v>
      </c>
      <c r="AA208" s="28">
        <f>IF(AA207=0,0,AA207*MAX(0,(INDEX(c_CAMy,1,AA$7)-INDEX(c_CAMy,1,INDEX('Lease Cycles'!$GC$19:$GI$19,1,AA197)+1))*(1+'Lease Cycles'!$AK$19)+(INDEX(c_TAXy,1,AA$7)-INDEX(c_TAXy,1,INDEX('Lease Cycles'!$GC$19:$GI$19,1,AA197)+1))+(INDEX(c_INSy,1,AA$7)-INDEX(c_INSy,1,INDEX('Lease Cycles'!$GC$19:$GI$19,1,AA197)+1)))/12)</f>
        <v>0</v>
      </c>
      <c r="AB208" s="28">
        <f>IF(AB207=0,0,AB207*MAX(0,(INDEX(c_CAMy,1,AB$7)-INDEX(c_CAMy,1,INDEX('Lease Cycles'!$GC$19:$GI$19,1,AB197)+1))*(1+'Lease Cycles'!$AK$19)+(INDEX(c_TAXy,1,AB$7)-INDEX(c_TAXy,1,INDEX('Lease Cycles'!$GC$19:$GI$19,1,AB197)+1))+(INDEX(c_INSy,1,AB$7)-INDEX(c_INSy,1,INDEX('Lease Cycles'!$GC$19:$GI$19,1,AB197)+1)))/12)</f>
        <v>0</v>
      </c>
      <c r="AC208" s="28">
        <f>IF(AC207=0,0,AC207*MAX(0,(INDEX(c_CAMy,1,AC$7)-INDEX(c_CAMy,1,INDEX('Lease Cycles'!$GC$19:$GI$19,1,AC197)+1))*(1+'Lease Cycles'!$AK$19)+(INDEX(c_TAXy,1,AC$7)-INDEX(c_TAXy,1,INDEX('Lease Cycles'!$GC$19:$GI$19,1,AC197)+1))+(INDEX(c_INSy,1,AC$7)-INDEX(c_INSy,1,INDEX('Lease Cycles'!$GC$19:$GI$19,1,AC197)+1)))/12)</f>
        <v>0</v>
      </c>
      <c r="AD208" s="28">
        <f>IF(AD207=0,0,AD207*MAX(0,(INDEX(c_CAMy,1,AD$7)-INDEX(c_CAMy,1,INDEX('Lease Cycles'!$GC$19:$GI$19,1,AD197)+1))*(1+'Lease Cycles'!$AK$19)+(INDEX(c_TAXy,1,AD$7)-INDEX(c_TAXy,1,INDEX('Lease Cycles'!$GC$19:$GI$19,1,AD197)+1))+(INDEX(c_INSy,1,AD$7)-INDEX(c_INSy,1,INDEX('Lease Cycles'!$GC$19:$GI$19,1,AD197)+1)))/12)</f>
        <v>0</v>
      </c>
      <c r="AE208" s="28">
        <f>IF(AE207=0,0,AE207*MAX(0,(INDEX(c_CAMy,1,AE$7)-INDEX(c_CAMy,1,INDEX('Lease Cycles'!$GC$19:$GI$19,1,AE197)+1))*(1+'Lease Cycles'!$AK$19)+(INDEX(c_TAXy,1,AE$7)-INDEX(c_TAXy,1,INDEX('Lease Cycles'!$GC$19:$GI$19,1,AE197)+1))+(INDEX(c_INSy,1,AE$7)-INDEX(c_INSy,1,INDEX('Lease Cycles'!$GC$19:$GI$19,1,AE197)+1)))/12)</f>
        <v>0</v>
      </c>
      <c r="AF208" s="28">
        <f>IF(AF207=0,0,AF207*MAX(0,(INDEX(c_CAMy,1,AF$7)-INDEX(c_CAMy,1,INDEX('Lease Cycles'!$GC$19:$GI$19,1,AF197)+1))*(1+'Lease Cycles'!$AK$19)+(INDEX(c_TAXy,1,AF$7)-INDEX(c_TAXy,1,INDEX('Lease Cycles'!$GC$19:$GI$19,1,AF197)+1))+(INDEX(c_INSy,1,AF$7)-INDEX(c_INSy,1,INDEX('Lease Cycles'!$GC$19:$GI$19,1,AF197)+1)))/12)</f>
        <v>0</v>
      </c>
      <c r="AG208" s="28">
        <f>IF(AG207=0,0,AG207*MAX(0,(INDEX(c_CAMy,1,AG$7)-INDEX(c_CAMy,1,INDEX('Lease Cycles'!$GC$19:$GI$19,1,AG197)+1))*(1+'Lease Cycles'!$AK$19)+(INDEX(c_TAXy,1,AG$7)-INDEX(c_TAXy,1,INDEX('Lease Cycles'!$GC$19:$GI$19,1,AG197)+1))+(INDEX(c_INSy,1,AG$7)-INDEX(c_INSy,1,INDEX('Lease Cycles'!$GC$19:$GI$19,1,AG197)+1)))/12)</f>
        <v>0</v>
      </c>
      <c r="AH208" s="28">
        <f>IF(AH207=0,0,AH207*MAX(0,(INDEX(c_CAMy,1,AH$7)-INDEX(c_CAMy,1,INDEX('Lease Cycles'!$GC$19:$GI$19,1,AH197)+1))*(1+'Lease Cycles'!$AK$19)+(INDEX(c_TAXy,1,AH$7)-INDEX(c_TAXy,1,INDEX('Lease Cycles'!$GC$19:$GI$19,1,AH197)+1))+(INDEX(c_INSy,1,AH$7)-INDEX(c_INSy,1,INDEX('Lease Cycles'!$GC$19:$GI$19,1,AH197)+1)))/12)</f>
        <v>0</v>
      </c>
      <c r="AI208" s="28">
        <f>IF(AI207=0,0,AI207*MAX(0,(INDEX(c_CAMy,1,AI$7)-INDEX(c_CAMy,1,INDEX('Lease Cycles'!$GC$19:$GI$19,1,AI197)+1))*(1+'Lease Cycles'!$AK$19)+(INDEX(c_TAXy,1,AI$7)-INDEX(c_TAXy,1,INDEX('Lease Cycles'!$GC$19:$GI$19,1,AI197)+1))+(INDEX(c_INSy,1,AI$7)-INDEX(c_INSy,1,INDEX('Lease Cycles'!$GC$19:$GI$19,1,AI197)+1)))/12)</f>
        <v>0</v>
      </c>
      <c r="AJ208" s="28">
        <f>IF(AJ207=0,0,AJ207*MAX(0,(INDEX(c_CAMy,1,AJ$7)-INDEX(c_CAMy,1,INDEX('Lease Cycles'!$GC$19:$GI$19,1,AJ197)+1))*(1+'Lease Cycles'!$AK$19)+(INDEX(c_TAXy,1,AJ$7)-INDEX(c_TAXy,1,INDEX('Lease Cycles'!$GC$19:$GI$19,1,AJ197)+1))+(INDEX(c_INSy,1,AJ$7)-INDEX(c_INSy,1,INDEX('Lease Cycles'!$GC$19:$GI$19,1,AJ197)+1)))/12)</f>
        <v>0</v>
      </c>
      <c r="AK208" s="28">
        <f>IF(AK207=0,0,AK207*MAX(0,(INDEX(c_CAMy,1,AK$7)-INDEX(c_CAMy,1,INDEX('Lease Cycles'!$GC$19:$GI$19,1,AK197)+1))*(1+'Lease Cycles'!$AK$19)+(INDEX(c_TAXy,1,AK$7)-INDEX(c_TAXy,1,INDEX('Lease Cycles'!$GC$19:$GI$19,1,AK197)+1))+(INDEX(c_INSy,1,AK$7)-INDEX(c_INSy,1,INDEX('Lease Cycles'!$GC$19:$GI$19,1,AK197)+1)))/12)</f>
        <v>0</v>
      </c>
      <c r="AL208" s="28">
        <f>IF(AL207=0,0,AL207*MAX(0,(INDEX(c_CAMy,1,AL$7)-INDEX(c_CAMy,1,INDEX('Lease Cycles'!$GC$19:$GI$19,1,AL197)+1))*(1+'Lease Cycles'!$AK$19)+(INDEX(c_TAXy,1,AL$7)-INDEX(c_TAXy,1,INDEX('Lease Cycles'!$GC$19:$GI$19,1,AL197)+1))+(INDEX(c_INSy,1,AL$7)-INDEX(c_INSy,1,INDEX('Lease Cycles'!$GC$19:$GI$19,1,AL197)+1)))/12)</f>
        <v>0</v>
      </c>
      <c r="AM208" s="28">
        <f>IF(AM207=0,0,AM207*MAX(0,(INDEX(c_CAMy,1,AM$7)-INDEX(c_CAMy,1,INDEX('Lease Cycles'!$GC$19:$GI$19,1,AM197)+1))*(1+'Lease Cycles'!$AK$19)+(INDEX(c_TAXy,1,AM$7)-INDEX(c_TAXy,1,INDEX('Lease Cycles'!$GC$19:$GI$19,1,AM197)+1))+(INDEX(c_INSy,1,AM$7)-INDEX(c_INSy,1,INDEX('Lease Cycles'!$GC$19:$GI$19,1,AM197)+1)))/12)</f>
        <v>0</v>
      </c>
      <c r="AN208" s="28">
        <f>IF(AN207=0,0,AN207*MAX(0,(INDEX(c_CAMy,1,AN$7)-INDEX(c_CAMy,1,INDEX('Lease Cycles'!$GC$19:$GI$19,1,AN197)+1))*(1+'Lease Cycles'!$AK$19)+(INDEX(c_TAXy,1,AN$7)-INDEX(c_TAXy,1,INDEX('Lease Cycles'!$GC$19:$GI$19,1,AN197)+1))+(INDEX(c_INSy,1,AN$7)-INDEX(c_INSy,1,INDEX('Lease Cycles'!$GC$19:$GI$19,1,AN197)+1)))/12)</f>
        <v>0</v>
      </c>
      <c r="AO208" s="28">
        <f>IF(AO207=0,0,AO207*MAX(0,(INDEX(c_CAMy,1,AO$7)-INDEX(c_CAMy,1,INDEX('Lease Cycles'!$GC$19:$GI$19,1,AO197)+1))*(1+'Lease Cycles'!$AK$19)+(INDEX(c_TAXy,1,AO$7)-INDEX(c_TAXy,1,INDEX('Lease Cycles'!$GC$19:$GI$19,1,AO197)+1))+(INDEX(c_INSy,1,AO$7)-INDEX(c_INSy,1,INDEX('Lease Cycles'!$GC$19:$GI$19,1,AO197)+1)))/12)</f>
        <v>0</v>
      </c>
      <c r="AP208" s="28">
        <f>IF(AP207=0,0,AP207*MAX(0,(INDEX(c_CAMy,1,AP$7)-INDEX(c_CAMy,1,INDEX('Lease Cycles'!$GC$19:$GI$19,1,AP197)+1))*(1+'Lease Cycles'!$AK$19)+(INDEX(c_TAXy,1,AP$7)-INDEX(c_TAXy,1,INDEX('Lease Cycles'!$GC$19:$GI$19,1,AP197)+1))+(INDEX(c_INSy,1,AP$7)-INDEX(c_INSy,1,INDEX('Lease Cycles'!$GC$19:$GI$19,1,AP197)+1)))/12)</f>
        <v>0</v>
      </c>
      <c r="AQ208" s="28">
        <f>IF(AQ207=0,0,AQ207*MAX(0,(INDEX(c_CAMy,1,AQ$7)-INDEX(c_CAMy,1,INDEX('Lease Cycles'!$GC$19:$GI$19,1,AQ197)+1))*(1+'Lease Cycles'!$AK$19)+(INDEX(c_TAXy,1,AQ$7)-INDEX(c_TAXy,1,INDEX('Lease Cycles'!$GC$19:$GI$19,1,AQ197)+1))+(INDEX(c_INSy,1,AQ$7)-INDEX(c_INSy,1,INDEX('Lease Cycles'!$GC$19:$GI$19,1,AQ197)+1)))/12)</f>
        <v>0</v>
      </c>
      <c r="AR208" s="28">
        <f>IF(AR207=0,0,AR207*MAX(0,(INDEX(c_CAMy,1,AR$7)-INDEX(c_CAMy,1,INDEX('Lease Cycles'!$GC$19:$GI$19,1,AR197)+1))*(1+'Lease Cycles'!$AK$19)+(INDEX(c_TAXy,1,AR$7)-INDEX(c_TAXy,1,INDEX('Lease Cycles'!$GC$19:$GI$19,1,AR197)+1))+(INDEX(c_INSy,1,AR$7)-INDEX(c_INSy,1,INDEX('Lease Cycles'!$GC$19:$GI$19,1,AR197)+1)))/12)</f>
        <v>0</v>
      </c>
      <c r="AS208" s="28">
        <f>IF(AS207=0,0,AS207*MAX(0,(INDEX(c_CAMy,1,AS$7)-INDEX(c_CAMy,1,INDEX('Lease Cycles'!$GC$19:$GI$19,1,AS197)+1))*(1+'Lease Cycles'!$AK$19)+(INDEX(c_TAXy,1,AS$7)-INDEX(c_TAXy,1,INDEX('Lease Cycles'!$GC$19:$GI$19,1,AS197)+1))+(INDEX(c_INSy,1,AS$7)-INDEX(c_INSy,1,INDEX('Lease Cycles'!$GC$19:$GI$19,1,AS197)+1)))/12)</f>
        <v>0</v>
      </c>
      <c r="AT208" s="28">
        <f>IF(AT207=0,0,AT207*MAX(0,(INDEX(c_CAMy,1,AT$7)-INDEX(c_CAMy,1,INDEX('Lease Cycles'!$GC$19:$GI$19,1,AT197)+1))*(1+'Lease Cycles'!$AK$19)+(INDEX(c_TAXy,1,AT$7)-INDEX(c_TAXy,1,INDEX('Lease Cycles'!$GC$19:$GI$19,1,AT197)+1))+(INDEX(c_INSy,1,AT$7)-INDEX(c_INSy,1,INDEX('Lease Cycles'!$GC$19:$GI$19,1,AT197)+1)))/12)</f>
        <v>0</v>
      </c>
      <c r="AU208" s="28">
        <f>IF(AU207=0,0,AU207*MAX(0,(INDEX(c_CAMy,1,AU$7)-INDEX(c_CAMy,1,INDEX('Lease Cycles'!$GC$19:$GI$19,1,AU197)+1))*(1+'Lease Cycles'!$AK$19)+(INDEX(c_TAXy,1,AU$7)-INDEX(c_TAXy,1,INDEX('Lease Cycles'!$GC$19:$GI$19,1,AU197)+1))+(INDEX(c_INSy,1,AU$7)-INDEX(c_INSy,1,INDEX('Lease Cycles'!$GC$19:$GI$19,1,AU197)+1)))/12)</f>
        <v>0</v>
      </c>
      <c r="AV208" s="28">
        <f>IF(AV207=0,0,AV207*MAX(0,(INDEX(c_CAMy,1,AV$7)-INDEX(c_CAMy,1,INDEX('Lease Cycles'!$GC$19:$GI$19,1,AV197)+1))*(1+'Lease Cycles'!$AK$19)+(INDEX(c_TAXy,1,AV$7)-INDEX(c_TAXy,1,INDEX('Lease Cycles'!$GC$19:$GI$19,1,AV197)+1))+(INDEX(c_INSy,1,AV$7)-INDEX(c_INSy,1,INDEX('Lease Cycles'!$GC$19:$GI$19,1,AV197)+1)))/12)</f>
        <v>0</v>
      </c>
      <c r="AW208" s="28">
        <f>IF(AW207=0,0,AW207*MAX(0,(INDEX(c_CAMy,1,AW$7)-INDEX(c_CAMy,1,INDEX('Lease Cycles'!$GC$19:$GI$19,1,AW197)+1))*(1+'Lease Cycles'!$AK$19)+(INDEX(c_TAXy,1,AW$7)-INDEX(c_TAXy,1,INDEX('Lease Cycles'!$GC$19:$GI$19,1,AW197)+1))+(INDEX(c_INSy,1,AW$7)-INDEX(c_INSy,1,INDEX('Lease Cycles'!$GC$19:$GI$19,1,AW197)+1)))/12)</f>
        <v>0</v>
      </c>
      <c r="AX208" s="28">
        <f>IF(AX207=0,0,AX207*MAX(0,(INDEX(c_CAMy,1,AX$7)-INDEX(c_CAMy,1,INDEX('Lease Cycles'!$GC$19:$GI$19,1,AX197)+1))*(1+'Lease Cycles'!$AK$19)+(INDEX(c_TAXy,1,AX$7)-INDEX(c_TAXy,1,INDEX('Lease Cycles'!$GC$19:$GI$19,1,AX197)+1))+(INDEX(c_INSy,1,AX$7)-INDEX(c_INSy,1,INDEX('Lease Cycles'!$GC$19:$GI$19,1,AX197)+1)))/12)</f>
        <v>0</v>
      </c>
      <c r="AY208" s="28">
        <f>IF(AY207=0,0,AY207*MAX(0,(INDEX(c_CAMy,1,AY$7)-INDEX(c_CAMy,1,INDEX('Lease Cycles'!$GC$19:$GI$19,1,AY197)+1))*(1+'Lease Cycles'!$AK$19)+(INDEX(c_TAXy,1,AY$7)-INDEX(c_TAXy,1,INDEX('Lease Cycles'!$GC$19:$GI$19,1,AY197)+1))+(INDEX(c_INSy,1,AY$7)-INDEX(c_INSy,1,INDEX('Lease Cycles'!$GC$19:$GI$19,1,AY197)+1)))/12)</f>
        <v>0</v>
      </c>
      <c r="AZ208" s="28">
        <f>IF(AZ207=0,0,AZ207*MAX(0,(INDEX(c_CAMy,1,AZ$7)-INDEX(c_CAMy,1,INDEX('Lease Cycles'!$GC$19:$GI$19,1,AZ197)+1))*(1+'Lease Cycles'!$AK$19)+(INDEX(c_TAXy,1,AZ$7)-INDEX(c_TAXy,1,INDEX('Lease Cycles'!$GC$19:$GI$19,1,AZ197)+1))+(INDEX(c_INSy,1,AZ$7)-INDEX(c_INSy,1,INDEX('Lease Cycles'!$GC$19:$GI$19,1,AZ197)+1)))/12)</f>
        <v>0</v>
      </c>
      <c r="BA208" s="28">
        <f>IF(BA207=0,0,BA207*MAX(0,(INDEX(c_CAMy,1,BA$7)-INDEX(c_CAMy,1,INDEX('Lease Cycles'!$GC$19:$GI$19,1,BA197)+1))*(1+'Lease Cycles'!$AK$19)+(INDEX(c_TAXy,1,BA$7)-INDEX(c_TAXy,1,INDEX('Lease Cycles'!$GC$19:$GI$19,1,BA197)+1))+(INDEX(c_INSy,1,BA$7)-INDEX(c_INSy,1,INDEX('Lease Cycles'!$GC$19:$GI$19,1,BA197)+1)))/12)</f>
        <v>0</v>
      </c>
      <c r="BB208" s="28">
        <f>IF(BB207=0,0,BB207*MAX(0,(INDEX(c_CAMy,1,BB$7)-INDEX(c_CAMy,1,INDEX('Lease Cycles'!$GC$19:$GI$19,1,BB197)+1))*(1+'Lease Cycles'!$AK$19)+(INDEX(c_TAXy,1,BB$7)-INDEX(c_TAXy,1,INDEX('Lease Cycles'!$GC$19:$GI$19,1,BB197)+1))+(INDEX(c_INSy,1,BB$7)-INDEX(c_INSy,1,INDEX('Lease Cycles'!$GC$19:$GI$19,1,BB197)+1)))/12)</f>
        <v>0</v>
      </c>
      <c r="BC208" s="28">
        <f>IF(BC207=0,0,BC207*MAX(0,(INDEX(c_CAMy,1,BC$7)-INDEX(c_CAMy,1,INDEX('Lease Cycles'!$GC$19:$GI$19,1,BC197)+1))*(1+'Lease Cycles'!$AK$19)+(INDEX(c_TAXy,1,BC$7)-INDEX(c_TAXy,1,INDEX('Lease Cycles'!$GC$19:$GI$19,1,BC197)+1))+(INDEX(c_INSy,1,BC$7)-INDEX(c_INSy,1,INDEX('Lease Cycles'!$GC$19:$GI$19,1,BC197)+1)))/12)</f>
        <v>0</v>
      </c>
      <c r="BD208" s="28">
        <f>IF(BD207=0,0,BD207*MAX(0,(INDEX(c_CAMy,1,BD$7)-INDEX(c_CAMy,1,INDEX('Lease Cycles'!$GC$19:$GI$19,1,BD197)+1))*(1+'Lease Cycles'!$AK$19)+(INDEX(c_TAXy,1,BD$7)-INDEX(c_TAXy,1,INDEX('Lease Cycles'!$GC$19:$GI$19,1,BD197)+1))+(INDEX(c_INSy,1,BD$7)-INDEX(c_INSy,1,INDEX('Lease Cycles'!$GC$19:$GI$19,1,BD197)+1)))/12)</f>
        <v>0</v>
      </c>
      <c r="BE208" s="28">
        <f>IF(BE207=0,0,BE207*MAX(0,(INDEX(c_CAMy,1,BE$7)-INDEX(c_CAMy,1,INDEX('Lease Cycles'!$GC$19:$GI$19,1,BE197)+1))*(1+'Lease Cycles'!$AK$19)+(INDEX(c_TAXy,1,BE$7)-INDEX(c_TAXy,1,INDEX('Lease Cycles'!$GC$19:$GI$19,1,BE197)+1))+(INDEX(c_INSy,1,BE$7)-INDEX(c_INSy,1,INDEX('Lease Cycles'!$GC$19:$GI$19,1,BE197)+1)))/12)</f>
        <v>0</v>
      </c>
      <c r="BF208" s="28">
        <f>IF(BF207=0,0,BF207*MAX(0,(INDEX(c_CAMy,1,BF$7)-INDEX(c_CAMy,1,INDEX('Lease Cycles'!$GC$19:$GI$19,1,BF197)+1))*(1+'Lease Cycles'!$AK$19)+(INDEX(c_TAXy,1,BF$7)-INDEX(c_TAXy,1,INDEX('Lease Cycles'!$GC$19:$GI$19,1,BF197)+1))+(INDEX(c_INSy,1,BF$7)-INDEX(c_INSy,1,INDEX('Lease Cycles'!$GC$19:$GI$19,1,BF197)+1)))/12)</f>
        <v>0</v>
      </c>
      <c r="BG208" s="28">
        <f>IF(BG207=0,0,BG207*MAX(0,(INDEX(c_CAMy,1,BG$7)-INDEX(c_CAMy,1,INDEX('Lease Cycles'!$GC$19:$GI$19,1,BG197)+1))*(1+'Lease Cycles'!$AK$19)+(INDEX(c_TAXy,1,BG$7)-INDEX(c_TAXy,1,INDEX('Lease Cycles'!$GC$19:$GI$19,1,BG197)+1))+(INDEX(c_INSy,1,BG$7)-INDEX(c_INSy,1,INDEX('Lease Cycles'!$GC$19:$GI$19,1,BG197)+1)))/12)</f>
        <v>0</v>
      </c>
      <c r="BH208" s="28">
        <f>IF(BH207=0,0,BH207*MAX(0,(INDEX(c_CAMy,1,BH$7)-INDEX(c_CAMy,1,INDEX('Lease Cycles'!$GC$19:$GI$19,1,BH197)+1))*(1+'Lease Cycles'!$AK$19)+(INDEX(c_TAXy,1,BH$7)-INDEX(c_TAXy,1,INDEX('Lease Cycles'!$GC$19:$GI$19,1,BH197)+1))+(INDEX(c_INSy,1,BH$7)-INDEX(c_INSy,1,INDEX('Lease Cycles'!$GC$19:$GI$19,1,BH197)+1)))/12)</f>
        <v>0</v>
      </c>
      <c r="BI208" s="28">
        <f>IF(BI207=0,0,BI207*MAX(0,(INDEX(c_CAMy,1,BI$7)-INDEX(c_CAMy,1,INDEX('Lease Cycles'!$GC$19:$GI$19,1,BI197)+1))*(1+'Lease Cycles'!$AK$19)+(INDEX(c_TAXy,1,BI$7)-INDEX(c_TAXy,1,INDEX('Lease Cycles'!$GC$19:$GI$19,1,BI197)+1))+(INDEX(c_INSy,1,BI$7)-INDEX(c_INSy,1,INDEX('Lease Cycles'!$GC$19:$GI$19,1,BI197)+1)))/12)</f>
        <v>0</v>
      </c>
      <c r="BJ208" s="28">
        <f>IF(BJ207=0,0,BJ207*MAX(0,(INDEX(c_CAMy,1,BJ$7)-INDEX(c_CAMy,1,INDEX('Lease Cycles'!$GC$19:$GI$19,1,BJ197)+1))*(1+'Lease Cycles'!$AK$19)+(INDEX(c_TAXy,1,BJ$7)-INDEX(c_TAXy,1,INDEX('Lease Cycles'!$GC$19:$GI$19,1,BJ197)+1))+(INDEX(c_INSy,1,BJ$7)-INDEX(c_INSy,1,INDEX('Lease Cycles'!$GC$19:$GI$19,1,BJ197)+1)))/12)</f>
        <v>0</v>
      </c>
      <c r="BK208" s="28">
        <f>IF(BK207=0,0,BK207*MAX(0,(INDEX(c_CAMy,1,BK$7)-INDEX(c_CAMy,1,INDEX('Lease Cycles'!$GC$19:$GI$19,1,BK197)+1))*(1+'Lease Cycles'!$AK$19)+(INDEX(c_TAXy,1,BK$7)-INDEX(c_TAXy,1,INDEX('Lease Cycles'!$GC$19:$GI$19,1,BK197)+1))+(INDEX(c_INSy,1,BK$7)-INDEX(c_INSy,1,INDEX('Lease Cycles'!$GC$19:$GI$19,1,BK197)+1)))/12)</f>
        <v>0</v>
      </c>
      <c r="BL208" s="28">
        <f>IF(BL207=0,0,BL207*MAX(0,(INDEX(c_CAMy,1,BL$7)-INDEX(c_CAMy,1,INDEX('Lease Cycles'!$GC$19:$GI$19,1,BL197)+1))*(1+'Lease Cycles'!$AK$19)+(INDEX(c_TAXy,1,BL$7)-INDEX(c_TAXy,1,INDEX('Lease Cycles'!$GC$19:$GI$19,1,BL197)+1))+(INDEX(c_INSy,1,BL$7)-INDEX(c_INSy,1,INDEX('Lease Cycles'!$GC$19:$GI$19,1,BL197)+1)))/12)</f>
        <v>0</v>
      </c>
      <c r="BM208" s="28">
        <f>IF(BM207=0,0,BM207*MAX(0,(INDEX(c_CAMy,1,BM$7)-INDEX(c_CAMy,1,INDEX('Lease Cycles'!$GC$19:$GI$19,1,BM197)+1))*(1+'Lease Cycles'!$AK$19)+(INDEX(c_TAXy,1,BM$7)-INDEX(c_TAXy,1,INDEX('Lease Cycles'!$GC$19:$GI$19,1,BM197)+1))+(INDEX(c_INSy,1,BM$7)-INDEX(c_INSy,1,INDEX('Lease Cycles'!$GC$19:$GI$19,1,BM197)+1)))/12)</f>
        <v>0</v>
      </c>
      <c r="BN208" s="28">
        <f>IF(BN207=0,0,BN207*MAX(0,(INDEX(c_CAMy,1,BN$7)-INDEX(c_CAMy,1,INDEX('Lease Cycles'!$GC$19:$GI$19,1,BN197)+1))*(1+'Lease Cycles'!$AK$19)+(INDEX(c_TAXy,1,BN$7)-INDEX(c_TAXy,1,INDEX('Lease Cycles'!$GC$19:$GI$19,1,BN197)+1))+(INDEX(c_INSy,1,BN$7)-INDEX(c_INSy,1,INDEX('Lease Cycles'!$GC$19:$GI$19,1,BN197)+1)))/12)</f>
        <v>0</v>
      </c>
      <c r="BO208" s="28">
        <f>IF(BO207=0,0,BO207*MAX(0,(INDEX(c_CAMy,1,BO$7)-INDEX(c_CAMy,1,INDEX('Lease Cycles'!$GC$19:$GI$19,1,BO197)+1))*(1+'Lease Cycles'!$AK$19)+(INDEX(c_TAXy,1,BO$7)-INDEX(c_TAXy,1,INDEX('Lease Cycles'!$GC$19:$GI$19,1,BO197)+1))+(INDEX(c_INSy,1,BO$7)-INDEX(c_INSy,1,INDEX('Lease Cycles'!$GC$19:$GI$19,1,BO197)+1)))/12)</f>
        <v>0</v>
      </c>
      <c r="BP208" s="28">
        <f>IF(BP207=0,0,BP207*MAX(0,(INDEX(c_CAMy,1,BP$7)-INDEX(c_CAMy,1,INDEX('Lease Cycles'!$GC$19:$GI$19,1,BP197)+1))*(1+'Lease Cycles'!$AK$19)+(INDEX(c_TAXy,1,BP$7)-INDEX(c_TAXy,1,INDEX('Lease Cycles'!$GC$19:$GI$19,1,BP197)+1))+(INDEX(c_INSy,1,BP$7)-INDEX(c_INSy,1,INDEX('Lease Cycles'!$GC$19:$GI$19,1,BP197)+1)))/12)</f>
        <v>0</v>
      </c>
      <c r="BQ208" s="28">
        <f>IF(BQ207=0,0,BQ207*MAX(0,(INDEX(c_CAMy,1,BQ$7)-INDEX(c_CAMy,1,INDEX('Lease Cycles'!$GC$19:$GI$19,1,BQ197)+1))*(1+'Lease Cycles'!$AK$19)+(INDEX(c_TAXy,1,BQ$7)-INDEX(c_TAXy,1,INDEX('Lease Cycles'!$GC$19:$GI$19,1,BQ197)+1))+(INDEX(c_INSy,1,BQ$7)-INDEX(c_INSy,1,INDEX('Lease Cycles'!$GC$19:$GI$19,1,BQ197)+1)))/12)</f>
        <v>0</v>
      </c>
      <c r="BR208" s="28">
        <f>IF(BR207=0,0,BR207*MAX(0,(INDEX(c_CAMy,1,BR$7)-INDEX(c_CAMy,1,INDEX('Lease Cycles'!$GC$19:$GI$19,1,BR197)+1))*(1+'Lease Cycles'!$AK$19)+(INDEX(c_TAXy,1,BR$7)-INDEX(c_TAXy,1,INDEX('Lease Cycles'!$GC$19:$GI$19,1,BR197)+1))+(INDEX(c_INSy,1,BR$7)-INDEX(c_INSy,1,INDEX('Lease Cycles'!$GC$19:$GI$19,1,BR197)+1)))/12)</f>
        <v>0</v>
      </c>
      <c r="BS208" s="28">
        <f>IF(BS207=0,0,BS207*MAX(0,(INDEX(c_CAMy,1,BS$7)-INDEX(c_CAMy,1,INDEX('Lease Cycles'!$GC$19:$GI$19,1,BS197)+1))*(1+'Lease Cycles'!$AK$19)+(INDEX(c_TAXy,1,BS$7)-INDEX(c_TAXy,1,INDEX('Lease Cycles'!$GC$19:$GI$19,1,BS197)+1))+(INDEX(c_INSy,1,BS$7)-INDEX(c_INSy,1,INDEX('Lease Cycles'!$GC$19:$GI$19,1,BS197)+1)))/12)</f>
        <v>0</v>
      </c>
      <c r="BT208" s="28">
        <f>IF(BT207=0,0,BT207*MAX(0,(INDEX(c_CAMy,1,BT$7)-INDEX(c_CAMy,1,INDEX('Lease Cycles'!$GC$19:$GI$19,1,BT197)+1))*(1+'Lease Cycles'!$AK$19)+(INDEX(c_TAXy,1,BT$7)-INDEX(c_TAXy,1,INDEX('Lease Cycles'!$GC$19:$GI$19,1,BT197)+1))+(INDEX(c_INSy,1,BT$7)-INDEX(c_INSy,1,INDEX('Lease Cycles'!$GC$19:$GI$19,1,BT197)+1)))/12)</f>
        <v>0</v>
      </c>
      <c r="BU208" s="28">
        <f>IF(BU207=0,0,BU207*MAX(0,(INDEX(c_CAMy,1,BU$7)-INDEX(c_CAMy,1,INDEX('Lease Cycles'!$GC$19:$GI$19,1,BU197)+1))*(1+'Lease Cycles'!$AK$19)+(INDEX(c_TAXy,1,BU$7)-INDEX(c_TAXy,1,INDEX('Lease Cycles'!$GC$19:$GI$19,1,BU197)+1))+(INDEX(c_INSy,1,BU$7)-INDEX(c_INSy,1,INDEX('Lease Cycles'!$GC$19:$GI$19,1,BU197)+1)))/12)</f>
        <v>0</v>
      </c>
      <c r="BV208" s="28">
        <f>IF(BV207=0,0,BV207*MAX(0,(INDEX(c_CAMy,1,BV$7)-INDEX(c_CAMy,1,INDEX('Lease Cycles'!$GC$19:$GI$19,1,BV197)+1))*(1+'Lease Cycles'!$AK$19)+(INDEX(c_TAXy,1,BV$7)-INDEX(c_TAXy,1,INDEX('Lease Cycles'!$GC$19:$GI$19,1,BV197)+1))+(INDEX(c_INSy,1,BV$7)-INDEX(c_INSy,1,INDEX('Lease Cycles'!$GC$19:$GI$19,1,BV197)+1)))/12)</f>
        <v>0</v>
      </c>
      <c r="BW208" s="28">
        <f>IF(BW207=0,0,BW207*MAX(0,(INDEX(c_CAMy,1,BW$7)-INDEX(c_CAMy,1,INDEX('Lease Cycles'!$GC$19:$GI$19,1,BW197)+1))*(1+'Lease Cycles'!$AK$19)+(INDEX(c_TAXy,1,BW$7)-INDEX(c_TAXy,1,INDEX('Lease Cycles'!$GC$19:$GI$19,1,BW197)+1))+(INDEX(c_INSy,1,BW$7)-INDEX(c_INSy,1,INDEX('Lease Cycles'!$GC$19:$GI$19,1,BW197)+1)))/12)</f>
        <v>0</v>
      </c>
      <c r="BX208" s="28">
        <f>IF(BX207=0,0,BX207*MAX(0,(INDEX(c_CAMy,1,BX$7)-INDEX(c_CAMy,1,INDEX('Lease Cycles'!$GC$19:$GI$19,1,BX197)+1))*(1+'Lease Cycles'!$AK$19)+(INDEX(c_TAXy,1,BX$7)-INDEX(c_TAXy,1,INDEX('Lease Cycles'!$GC$19:$GI$19,1,BX197)+1))+(INDEX(c_INSy,1,BX$7)-INDEX(c_INSy,1,INDEX('Lease Cycles'!$GC$19:$GI$19,1,BX197)+1)))/12)</f>
        <v>0</v>
      </c>
      <c r="BY208" s="28">
        <f>IF(BY207=0,0,BY207*MAX(0,(INDEX(c_CAMy,1,BY$7)-INDEX(c_CAMy,1,INDEX('Lease Cycles'!$GC$19:$GI$19,1,BY197)+1))*(1+'Lease Cycles'!$AK$19)+(INDEX(c_TAXy,1,BY$7)-INDEX(c_TAXy,1,INDEX('Lease Cycles'!$GC$19:$GI$19,1,BY197)+1))+(INDEX(c_INSy,1,BY$7)-INDEX(c_INSy,1,INDEX('Lease Cycles'!$GC$19:$GI$19,1,BY197)+1)))/12)</f>
        <v>0</v>
      </c>
      <c r="BZ208" s="28">
        <f>IF(BZ207=0,0,BZ207*MAX(0,(INDEX(c_CAMy,1,BZ$7)-INDEX(c_CAMy,1,INDEX('Lease Cycles'!$GC$19:$GI$19,1,BZ197)+1))*(1+'Lease Cycles'!$AK$19)+(INDEX(c_TAXy,1,BZ$7)-INDEX(c_TAXy,1,INDEX('Lease Cycles'!$GC$19:$GI$19,1,BZ197)+1))+(INDEX(c_INSy,1,BZ$7)-INDEX(c_INSy,1,INDEX('Lease Cycles'!$GC$19:$GI$19,1,BZ197)+1)))/12)</f>
        <v>0</v>
      </c>
      <c r="CA208" s="28">
        <f>IF(CA207=0,0,CA207*MAX(0,(INDEX(c_CAMy,1,CA$7)-INDEX(c_CAMy,1,INDEX('Lease Cycles'!$GC$19:$GI$19,1,CA197)+1))*(1+'Lease Cycles'!$AK$19)+(INDEX(c_TAXy,1,CA$7)-INDEX(c_TAXy,1,INDEX('Lease Cycles'!$GC$19:$GI$19,1,CA197)+1))+(INDEX(c_INSy,1,CA$7)-INDEX(c_INSy,1,INDEX('Lease Cycles'!$GC$19:$GI$19,1,CA197)+1)))/12)</f>
        <v>0</v>
      </c>
      <c r="CB208" s="28">
        <f>IF(CB207=0,0,CB207*MAX(0,(INDEX(c_CAMy,1,CB$7)-INDEX(c_CAMy,1,INDEX('Lease Cycles'!$GC$19:$GI$19,1,CB197)+1))*(1+'Lease Cycles'!$AK$19)+(INDEX(c_TAXy,1,CB$7)-INDEX(c_TAXy,1,INDEX('Lease Cycles'!$GC$19:$GI$19,1,CB197)+1))+(INDEX(c_INSy,1,CB$7)-INDEX(c_INSy,1,INDEX('Lease Cycles'!$GC$19:$GI$19,1,CB197)+1)))/12)</f>
        <v>0</v>
      </c>
      <c r="CC208" s="28">
        <f>IF(CC207=0,0,CC207*MAX(0,(INDEX(c_CAMy,1,CC$7)-INDEX(c_CAMy,1,INDEX('Lease Cycles'!$GC$19:$GI$19,1,CC197)+1))*(1+'Lease Cycles'!$AK$19)+(INDEX(c_TAXy,1,CC$7)-INDEX(c_TAXy,1,INDEX('Lease Cycles'!$GC$19:$GI$19,1,CC197)+1))+(INDEX(c_INSy,1,CC$7)-INDEX(c_INSy,1,INDEX('Lease Cycles'!$GC$19:$GI$19,1,CC197)+1)))/12)</f>
        <v>0</v>
      </c>
      <c r="CD208" s="28">
        <f>IF(CD207=0,0,CD207*MAX(0,(INDEX(c_CAMy,1,CD$7)-INDEX(c_CAMy,1,INDEX('Lease Cycles'!$GC$19:$GI$19,1,CD197)+1))*(1+'Lease Cycles'!$AK$19)+(INDEX(c_TAXy,1,CD$7)-INDEX(c_TAXy,1,INDEX('Lease Cycles'!$GC$19:$GI$19,1,CD197)+1))+(INDEX(c_INSy,1,CD$7)-INDEX(c_INSy,1,INDEX('Lease Cycles'!$GC$19:$GI$19,1,CD197)+1)))/12)</f>
        <v>0</v>
      </c>
      <c r="CE208" s="28">
        <f>IF(CE207=0,0,CE207*MAX(0,(INDEX(c_CAMy,1,CE$7)-INDEX(c_CAMy,1,INDEX('Lease Cycles'!$GC$19:$GI$19,1,CE197)+1))*(1+'Lease Cycles'!$AK$19)+(INDEX(c_TAXy,1,CE$7)-INDEX(c_TAXy,1,INDEX('Lease Cycles'!$GC$19:$GI$19,1,CE197)+1))+(INDEX(c_INSy,1,CE$7)-INDEX(c_INSy,1,INDEX('Lease Cycles'!$GC$19:$GI$19,1,CE197)+1)))/12)</f>
        <v>0</v>
      </c>
      <c r="CF208" s="28">
        <f>IF(CF207=0,0,CF207*MAX(0,(INDEX(c_CAMy,1,CF$7)-INDEX(c_CAMy,1,INDEX('Lease Cycles'!$GC$19:$GI$19,1,CF197)+1))*(1+'Lease Cycles'!$AK$19)+(INDEX(c_TAXy,1,CF$7)-INDEX(c_TAXy,1,INDEX('Lease Cycles'!$GC$19:$GI$19,1,CF197)+1))+(INDEX(c_INSy,1,CF$7)-INDEX(c_INSy,1,INDEX('Lease Cycles'!$GC$19:$GI$19,1,CF197)+1)))/12)</f>
        <v>0</v>
      </c>
      <c r="CG208" s="28">
        <f>IF(CG207=0,0,CG207*MAX(0,(INDEX(c_CAMy,1,CG$7)-INDEX(c_CAMy,1,INDEX('Lease Cycles'!$GC$19:$GI$19,1,CG197)+1))*(1+'Lease Cycles'!$AK$19)+(INDEX(c_TAXy,1,CG$7)-INDEX(c_TAXy,1,INDEX('Lease Cycles'!$GC$19:$GI$19,1,CG197)+1))+(INDEX(c_INSy,1,CG$7)-INDEX(c_INSy,1,INDEX('Lease Cycles'!$GC$19:$GI$19,1,CG197)+1)))/12)</f>
        <v>0</v>
      </c>
      <c r="CH208" s="28">
        <f>IF(CH207=0,0,CH207*MAX(0,(INDEX(c_CAMy,1,CH$7)-INDEX(c_CAMy,1,INDEX('Lease Cycles'!$GC$19:$GI$19,1,CH197)+1))*(1+'Lease Cycles'!$AK$19)+(INDEX(c_TAXy,1,CH$7)-INDEX(c_TAXy,1,INDEX('Lease Cycles'!$GC$19:$GI$19,1,CH197)+1))+(INDEX(c_INSy,1,CH$7)-INDEX(c_INSy,1,INDEX('Lease Cycles'!$GC$19:$GI$19,1,CH197)+1)))/12)</f>
        <v>0</v>
      </c>
      <c r="CI208" s="28">
        <f>IF(CI207=0,0,CI207*MAX(0,(INDEX(c_CAMy,1,CI$7)-INDEX(c_CAMy,1,INDEX('Lease Cycles'!$GC$19:$GI$19,1,CI197)+1))*(1+'Lease Cycles'!$AK$19)+(INDEX(c_TAXy,1,CI$7)-INDEX(c_TAXy,1,INDEX('Lease Cycles'!$GC$19:$GI$19,1,CI197)+1))+(INDEX(c_INSy,1,CI$7)-INDEX(c_INSy,1,INDEX('Lease Cycles'!$GC$19:$GI$19,1,CI197)+1)))/12)</f>
        <v>0</v>
      </c>
      <c r="CJ208" s="28">
        <f>IF(CJ207=0,0,CJ207*MAX(0,(INDEX(c_CAMy,1,CJ$7)-INDEX(c_CAMy,1,INDEX('Lease Cycles'!$GC$19:$GI$19,1,CJ197)+1))*(1+'Lease Cycles'!$AK$19)+(INDEX(c_TAXy,1,CJ$7)-INDEX(c_TAXy,1,INDEX('Lease Cycles'!$GC$19:$GI$19,1,CJ197)+1))+(INDEX(c_INSy,1,CJ$7)-INDEX(c_INSy,1,INDEX('Lease Cycles'!$GC$19:$GI$19,1,CJ197)+1)))/12)</f>
        <v>0</v>
      </c>
      <c r="CK208" s="28">
        <f>IF(CK207=0,0,CK207*MAX(0,(INDEX(c_CAMy,1,CK$7)-INDEX(c_CAMy,1,INDEX('Lease Cycles'!$GC$19:$GI$19,1,CK197)+1))*(1+'Lease Cycles'!$AK$19)+(INDEX(c_TAXy,1,CK$7)-INDEX(c_TAXy,1,INDEX('Lease Cycles'!$GC$19:$GI$19,1,CK197)+1))+(INDEX(c_INSy,1,CK$7)-INDEX(c_INSy,1,INDEX('Lease Cycles'!$GC$19:$GI$19,1,CK197)+1)))/12)</f>
        <v>0</v>
      </c>
      <c r="CL208" s="28">
        <f>IF(CL207=0,0,CL207*MAX(0,(INDEX(c_CAMy,1,CL$7)-INDEX(c_CAMy,1,INDEX('Lease Cycles'!$GC$19:$GI$19,1,CL197)+1))*(1+'Lease Cycles'!$AK$19)+(INDEX(c_TAXy,1,CL$7)-INDEX(c_TAXy,1,INDEX('Lease Cycles'!$GC$19:$GI$19,1,CL197)+1))+(INDEX(c_INSy,1,CL$7)-INDEX(c_INSy,1,INDEX('Lease Cycles'!$GC$19:$GI$19,1,CL197)+1)))/12)</f>
        <v>0</v>
      </c>
      <c r="CM208" s="28">
        <f>IF(CM207=0,0,CM207*MAX(0,(INDEX(c_CAMy,1,CM$7)-INDEX(c_CAMy,1,INDEX('Lease Cycles'!$GC$19:$GI$19,1,CM197)+1))*(1+'Lease Cycles'!$AK$19)+(INDEX(c_TAXy,1,CM$7)-INDEX(c_TAXy,1,INDEX('Lease Cycles'!$GC$19:$GI$19,1,CM197)+1))+(INDEX(c_INSy,1,CM$7)-INDEX(c_INSy,1,INDEX('Lease Cycles'!$GC$19:$GI$19,1,CM197)+1)))/12)</f>
        <v>0</v>
      </c>
      <c r="CN208" s="28">
        <f>IF(CN207=0,0,CN207*MAX(0,(INDEX(c_CAMy,1,CN$7)-INDEX(c_CAMy,1,INDEX('Lease Cycles'!$GC$19:$GI$19,1,CN197)+1))*(1+'Lease Cycles'!$AK$19)+(INDEX(c_TAXy,1,CN$7)-INDEX(c_TAXy,1,INDEX('Lease Cycles'!$GC$19:$GI$19,1,CN197)+1))+(INDEX(c_INSy,1,CN$7)-INDEX(c_INSy,1,INDEX('Lease Cycles'!$GC$19:$GI$19,1,CN197)+1)))/12)</f>
        <v>0</v>
      </c>
      <c r="CO208" s="28">
        <f>IF(CO207=0,0,CO207*MAX(0,(INDEX(c_CAMy,1,CO$7)-INDEX(c_CAMy,1,INDEX('Lease Cycles'!$GC$19:$GI$19,1,CO197)+1))*(1+'Lease Cycles'!$AK$19)+(INDEX(c_TAXy,1,CO$7)-INDEX(c_TAXy,1,INDEX('Lease Cycles'!$GC$19:$GI$19,1,CO197)+1))+(INDEX(c_INSy,1,CO$7)-INDEX(c_INSy,1,INDEX('Lease Cycles'!$GC$19:$GI$19,1,CO197)+1)))/12)</f>
        <v>0</v>
      </c>
      <c r="CP208" s="28">
        <f>IF(CP207=0,0,CP207*MAX(0,(INDEX(c_CAMy,1,CP$7)-INDEX(c_CAMy,1,INDEX('Lease Cycles'!$GC$19:$GI$19,1,CP197)+1))*(1+'Lease Cycles'!$AK$19)+(INDEX(c_TAXy,1,CP$7)-INDEX(c_TAXy,1,INDEX('Lease Cycles'!$GC$19:$GI$19,1,CP197)+1))+(INDEX(c_INSy,1,CP$7)-INDEX(c_INSy,1,INDEX('Lease Cycles'!$GC$19:$GI$19,1,CP197)+1)))/12)</f>
        <v>0</v>
      </c>
      <c r="CQ208" s="28">
        <f>IF(CQ207=0,0,CQ207*MAX(0,(INDEX(c_CAMy,1,CQ$7)-INDEX(c_CAMy,1,INDEX('Lease Cycles'!$GC$19:$GI$19,1,CQ197)+1))*(1+'Lease Cycles'!$AK$19)+(INDEX(c_TAXy,1,CQ$7)-INDEX(c_TAXy,1,INDEX('Lease Cycles'!$GC$19:$GI$19,1,CQ197)+1))+(INDEX(c_INSy,1,CQ$7)-INDEX(c_INSy,1,INDEX('Lease Cycles'!$GC$19:$GI$19,1,CQ197)+1)))/12)</f>
        <v>0</v>
      </c>
      <c r="CR208" s="28">
        <f>IF(CR207=0,0,CR207*MAX(0,(INDEX(c_CAMy,1,CR$7)-INDEX(c_CAMy,1,INDEX('Lease Cycles'!$GC$19:$GI$19,1,CR197)+1))*(1+'Lease Cycles'!$AK$19)+(INDEX(c_TAXy,1,CR$7)-INDEX(c_TAXy,1,INDEX('Lease Cycles'!$GC$19:$GI$19,1,CR197)+1))+(INDEX(c_INSy,1,CR$7)-INDEX(c_INSy,1,INDEX('Lease Cycles'!$GC$19:$GI$19,1,CR197)+1)))/12)</f>
        <v>0</v>
      </c>
      <c r="CS208" s="28">
        <f>IF(CS207=0,0,CS207*MAX(0,(INDEX(c_CAMy,1,CS$7)-INDEX(c_CAMy,1,INDEX('Lease Cycles'!$GC$19:$GI$19,1,CS197)+1))*(1+'Lease Cycles'!$AK$19)+(INDEX(c_TAXy,1,CS$7)-INDEX(c_TAXy,1,INDEX('Lease Cycles'!$GC$19:$GI$19,1,CS197)+1))+(INDEX(c_INSy,1,CS$7)-INDEX(c_INSy,1,INDEX('Lease Cycles'!$GC$19:$GI$19,1,CS197)+1)))/12)</f>
        <v>0</v>
      </c>
      <c r="CT208" s="28">
        <f>IF(CT207=0,0,CT207*MAX(0,(INDEX(c_CAMy,1,CT$7)-INDEX(c_CAMy,1,INDEX('Lease Cycles'!$GC$19:$GI$19,1,CT197)+1))*(1+'Lease Cycles'!$AK$19)+(INDEX(c_TAXy,1,CT$7)-INDEX(c_TAXy,1,INDEX('Lease Cycles'!$GC$19:$GI$19,1,CT197)+1))+(INDEX(c_INSy,1,CT$7)-INDEX(c_INSy,1,INDEX('Lease Cycles'!$GC$19:$GI$19,1,CT197)+1)))/12)</f>
        <v>0</v>
      </c>
      <c r="CU208" s="28">
        <f>IF(CU207=0,0,CU207*MAX(0,(INDEX(c_CAMy,1,CU$7)-INDEX(c_CAMy,1,INDEX('Lease Cycles'!$GC$19:$GI$19,1,CU197)+1))*(1+'Lease Cycles'!$AK$19)+(INDEX(c_TAXy,1,CU$7)-INDEX(c_TAXy,1,INDEX('Lease Cycles'!$GC$19:$GI$19,1,CU197)+1))+(INDEX(c_INSy,1,CU$7)-INDEX(c_INSy,1,INDEX('Lease Cycles'!$GC$19:$GI$19,1,CU197)+1)))/12)</f>
        <v>0</v>
      </c>
      <c r="CV208" s="28">
        <f>IF(CV207=0,0,CV207*MAX(0,(INDEX(c_CAMy,1,CV$7)-INDEX(c_CAMy,1,INDEX('Lease Cycles'!$GC$19:$GI$19,1,CV197)+1))*(1+'Lease Cycles'!$AK$19)+(INDEX(c_TAXy,1,CV$7)-INDEX(c_TAXy,1,INDEX('Lease Cycles'!$GC$19:$GI$19,1,CV197)+1))+(INDEX(c_INSy,1,CV$7)-INDEX(c_INSy,1,INDEX('Lease Cycles'!$GC$19:$GI$19,1,CV197)+1)))/12)</f>
        <v>0</v>
      </c>
      <c r="CW208" s="28">
        <f>IF(CW207=0,0,CW207*MAX(0,(INDEX(c_CAMy,1,CW$7)-INDEX(c_CAMy,1,INDEX('Lease Cycles'!$GC$19:$GI$19,1,CW197)+1))*(1+'Lease Cycles'!$AK$19)+(INDEX(c_TAXy,1,CW$7)-INDEX(c_TAXy,1,INDEX('Lease Cycles'!$GC$19:$GI$19,1,CW197)+1))+(INDEX(c_INSy,1,CW$7)-INDEX(c_INSy,1,INDEX('Lease Cycles'!$GC$19:$GI$19,1,CW197)+1)))/12)</f>
        <v>0</v>
      </c>
      <c r="CX208" s="28">
        <f>IF(CX207=0,0,CX207*MAX(0,(INDEX(c_CAMy,1,CX$7)-INDEX(c_CAMy,1,INDEX('Lease Cycles'!$GC$19:$GI$19,1,CX197)+1))*(1+'Lease Cycles'!$AK$19)+(INDEX(c_TAXy,1,CX$7)-INDEX(c_TAXy,1,INDEX('Lease Cycles'!$GC$19:$GI$19,1,CX197)+1))+(INDEX(c_INSy,1,CX$7)-INDEX(c_INSy,1,INDEX('Lease Cycles'!$GC$19:$GI$19,1,CX197)+1)))/12)</f>
        <v>0</v>
      </c>
      <c r="CY208" s="28">
        <f>IF(CY207=0,0,CY207*MAX(0,(INDEX(c_CAMy,1,CY$7)-INDEX(c_CAMy,1,INDEX('Lease Cycles'!$GC$19:$GI$19,1,CY197)+1))*(1+'Lease Cycles'!$AK$19)+(INDEX(c_TAXy,1,CY$7)-INDEX(c_TAXy,1,INDEX('Lease Cycles'!$GC$19:$GI$19,1,CY197)+1))+(INDEX(c_INSy,1,CY$7)-INDEX(c_INSy,1,INDEX('Lease Cycles'!$GC$19:$GI$19,1,CY197)+1)))/12)</f>
        <v>0</v>
      </c>
      <c r="CZ208" s="28">
        <f>IF(CZ207=0,0,CZ207*MAX(0,(INDEX(c_CAMy,1,CZ$7)-INDEX(c_CAMy,1,INDEX('Lease Cycles'!$GC$19:$GI$19,1,CZ197)+1))*(1+'Lease Cycles'!$AK$19)+(INDEX(c_TAXy,1,CZ$7)-INDEX(c_TAXy,1,INDEX('Lease Cycles'!$GC$19:$GI$19,1,CZ197)+1))+(INDEX(c_INSy,1,CZ$7)-INDEX(c_INSy,1,INDEX('Lease Cycles'!$GC$19:$GI$19,1,CZ197)+1)))/12)</f>
        <v>0</v>
      </c>
      <c r="DA208" s="28">
        <f>IF(DA207=0,0,DA207*MAX(0,(INDEX(c_CAMy,1,DA$7)-INDEX(c_CAMy,1,INDEX('Lease Cycles'!$GC$19:$GI$19,1,DA197)+1))*(1+'Lease Cycles'!$AK$19)+(INDEX(c_TAXy,1,DA$7)-INDEX(c_TAXy,1,INDEX('Lease Cycles'!$GC$19:$GI$19,1,DA197)+1))+(INDEX(c_INSy,1,DA$7)-INDEX(c_INSy,1,INDEX('Lease Cycles'!$GC$19:$GI$19,1,DA197)+1)))/12)</f>
        <v>0</v>
      </c>
      <c r="DB208" s="28">
        <f>IF(DB207=0,0,DB207*MAX(0,(INDEX(c_CAMy,1,DB$7)-INDEX(c_CAMy,1,INDEX('Lease Cycles'!$GC$19:$GI$19,1,DB197)+1))*(1+'Lease Cycles'!$AK$19)+(INDEX(c_TAXy,1,DB$7)-INDEX(c_TAXy,1,INDEX('Lease Cycles'!$GC$19:$GI$19,1,DB197)+1))+(INDEX(c_INSy,1,DB$7)-INDEX(c_INSy,1,INDEX('Lease Cycles'!$GC$19:$GI$19,1,DB197)+1)))/12)</f>
        <v>0</v>
      </c>
      <c r="DC208" s="28">
        <f>IF(DC207=0,0,DC207*MAX(0,(INDEX(c_CAMy,1,DC$7)-INDEX(c_CAMy,1,INDEX('Lease Cycles'!$GC$19:$GI$19,1,DC197)+1))*(1+'Lease Cycles'!$AK$19)+(INDEX(c_TAXy,1,DC$7)-INDEX(c_TAXy,1,INDEX('Lease Cycles'!$GC$19:$GI$19,1,DC197)+1))+(INDEX(c_INSy,1,DC$7)-INDEX(c_INSy,1,INDEX('Lease Cycles'!$GC$19:$GI$19,1,DC197)+1)))/12)</f>
        <v>0</v>
      </c>
      <c r="DD208" s="28">
        <f>IF(DD207=0,0,DD207*MAX(0,(INDEX(c_CAMy,1,DD$7)-INDEX(c_CAMy,1,INDEX('Lease Cycles'!$GC$19:$GI$19,1,DD197)+1))*(1+'Lease Cycles'!$AK$19)+(INDEX(c_TAXy,1,DD$7)-INDEX(c_TAXy,1,INDEX('Lease Cycles'!$GC$19:$GI$19,1,DD197)+1))+(INDEX(c_INSy,1,DD$7)-INDEX(c_INSy,1,INDEX('Lease Cycles'!$GC$19:$GI$19,1,DD197)+1)))/12)</f>
        <v>0</v>
      </c>
      <c r="DE208" s="28">
        <f>IF(DE207=0,0,DE207*MAX(0,(INDEX(c_CAMy,1,DE$7)-INDEX(c_CAMy,1,INDEX('Lease Cycles'!$GC$19:$GI$19,1,DE197)+1))*(1+'Lease Cycles'!$AK$19)+(INDEX(c_TAXy,1,DE$7)-INDEX(c_TAXy,1,INDEX('Lease Cycles'!$GC$19:$GI$19,1,DE197)+1))+(INDEX(c_INSy,1,DE$7)-INDEX(c_INSy,1,INDEX('Lease Cycles'!$GC$19:$GI$19,1,DE197)+1)))/12)</f>
        <v>0</v>
      </c>
      <c r="DF208" s="28">
        <f>IF(DF207=0,0,DF207*MAX(0,(INDEX(c_CAMy,1,DF$7)-INDEX(c_CAMy,1,INDEX('Lease Cycles'!$GC$19:$GI$19,1,DF197)+1))*(1+'Lease Cycles'!$AK$19)+(INDEX(c_TAXy,1,DF$7)-INDEX(c_TAXy,1,INDEX('Lease Cycles'!$GC$19:$GI$19,1,DF197)+1))+(INDEX(c_INSy,1,DF$7)-INDEX(c_INSy,1,INDEX('Lease Cycles'!$GC$19:$GI$19,1,DF197)+1)))/12)</f>
        <v>0</v>
      </c>
      <c r="DG208" s="28">
        <f>IF(DG207=0,0,DG207*MAX(0,(INDEX(c_CAMy,1,DG$7)-INDEX(c_CAMy,1,INDEX('Lease Cycles'!$GC$19:$GI$19,1,DG197)+1))*(1+'Lease Cycles'!$AK$19)+(INDEX(c_TAXy,1,DG$7)-INDEX(c_TAXy,1,INDEX('Lease Cycles'!$GC$19:$GI$19,1,DG197)+1))+(INDEX(c_INSy,1,DG$7)-INDEX(c_INSy,1,INDEX('Lease Cycles'!$GC$19:$GI$19,1,DG197)+1)))/12)</f>
        <v>0</v>
      </c>
      <c r="DH208" s="28">
        <f>IF(DH207=0,0,DH207*MAX(0,(INDEX(c_CAMy,1,DH$7)-INDEX(c_CAMy,1,INDEX('Lease Cycles'!$GC$19:$GI$19,1,DH197)+1))*(1+'Lease Cycles'!$AK$19)+(INDEX(c_TAXy,1,DH$7)-INDEX(c_TAXy,1,INDEX('Lease Cycles'!$GC$19:$GI$19,1,DH197)+1))+(INDEX(c_INSy,1,DH$7)-INDEX(c_INSy,1,INDEX('Lease Cycles'!$GC$19:$GI$19,1,DH197)+1)))/12)</f>
        <v>0</v>
      </c>
      <c r="DI208" s="28">
        <f>IF(DI207=0,0,DI207*MAX(0,(INDEX(c_CAMy,1,DI$7)-INDEX(c_CAMy,1,INDEX('Lease Cycles'!$GC$19:$GI$19,1,DI197)+1))*(1+'Lease Cycles'!$AK$19)+(INDEX(c_TAXy,1,DI$7)-INDEX(c_TAXy,1,INDEX('Lease Cycles'!$GC$19:$GI$19,1,DI197)+1))+(INDEX(c_INSy,1,DI$7)-INDEX(c_INSy,1,INDEX('Lease Cycles'!$GC$19:$GI$19,1,DI197)+1)))/12)</f>
        <v>0</v>
      </c>
      <c r="DJ208" s="28">
        <f>IF(DJ207=0,0,DJ207*MAX(0,(INDEX(c_CAMy,1,DJ$7)-INDEX(c_CAMy,1,INDEX('Lease Cycles'!$GC$19:$GI$19,1,DJ197)+1))*(1+'Lease Cycles'!$AK$19)+(INDEX(c_TAXy,1,DJ$7)-INDEX(c_TAXy,1,INDEX('Lease Cycles'!$GC$19:$GI$19,1,DJ197)+1))+(INDEX(c_INSy,1,DJ$7)-INDEX(c_INSy,1,INDEX('Lease Cycles'!$GC$19:$GI$19,1,DJ197)+1)))/12)</f>
        <v>0</v>
      </c>
      <c r="DK208" s="28">
        <f>IF(DK207=0,0,DK207*MAX(0,(INDEX(c_CAMy,1,DK$7)-INDEX(c_CAMy,1,INDEX('Lease Cycles'!$GC$19:$GI$19,1,DK197)+1))*(1+'Lease Cycles'!$AK$19)+(INDEX(c_TAXy,1,DK$7)-INDEX(c_TAXy,1,INDEX('Lease Cycles'!$GC$19:$GI$19,1,DK197)+1))+(INDEX(c_INSy,1,DK$7)-INDEX(c_INSy,1,INDEX('Lease Cycles'!$GC$19:$GI$19,1,DK197)+1)))/12)</f>
        <v>0</v>
      </c>
      <c r="DL208" s="28">
        <f>IF(DL207=0,0,DL207*MAX(0,(INDEX(c_CAMy,1,DL$7)-INDEX(c_CAMy,1,INDEX('Lease Cycles'!$GC$19:$GI$19,1,DL197)+1))*(1+'Lease Cycles'!$AK$19)+(INDEX(c_TAXy,1,DL$7)-INDEX(c_TAXy,1,INDEX('Lease Cycles'!$GC$19:$GI$19,1,DL197)+1))+(INDEX(c_INSy,1,DL$7)-INDEX(c_INSy,1,INDEX('Lease Cycles'!$GC$19:$GI$19,1,DL197)+1)))/12)</f>
        <v>0</v>
      </c>
      <c r="DM208" s="28">
        <f>IF(DM207=0,0,DM207*MAX(0,(INDEX(c_CAMy,1,DM$7)-INDEX(c_CAMy,1,INDEX('Lease Cycles'!$GC$19:$GI$19,1,DM197)+1))*(1+'Lease Cycles'!$AK$19)+(INDEX(c_TAXy,1,DM$7)-INDEX(c_TAXy,1,INDEX('Lease Cycles'!$GC$19:$GI$19,1,DM197)+1))+(INDEX(c_INSy,1,DM$7)-INDEX(c_INSy,1,INDEX('Lease Cycles'!$GC$19:$GI$19,1,DM197)+1)))/12)</f>
        <v>0</v>
      </c>
      <c r="DN208" s="28">
        <f>IF(DN207=0,0,DN207*MAX(0,(INDEX(c_CAMy,1,DN$7)-INDEX(c_CAMy,1,INDEX('Lease Cycles'!$GC$19:$GI$19,1,DN197)+1))*(1+'Lease Cycles'!$AK$19)+(INDEX(c_TAXy,1,DN$7)-INDEX(c_TAXy,1,INDEX('Lease Cycles'!$GC$19:$GI$19,1,DN197)+1))+(INDEX(c_INSy,1,DN$7)-INDEX(c_INSy,1,INDEX('Lease Cycles'!$GC$19:$GI$19,1,DN197)+1)))/12)</f>
        <v>0</v>
      </c>
      <c r="DO208" s="28">
        <f>IF(DO207=0,0,DO207*MAX(0,(INDEX(c_CAMy,1,DO$7)-INDEX(c_CAMy,1,INDEX('Lease Cycles'!$GC$19:$GI$19,1,DO197)+1))*(1+'Lease Cycles'!$AK$19)+(INDEX(c_TAXy,1,DO$7)-INDEX(c_TAXy,1,INDEX('Lease Cycles'!$GC$19:$GI$19,1,DO197)+1))+(INDEX(c_INSy,1,DO$7)-INDEX(c_INSy,1,INDEX('Lease Cycles'!$GC$19:$GI$19,1,DO197)+1)))/12)</f>
        <v>0</v>
      </c>
      <c r="DP208" s="28">
        <f>IF(DP207=0,0,DP207*MAX(0,(INDEX(c_CAMy,1,DP$7)-INDEX(c_CAMy,1,INDEX('Lease Cycles'!$GC$19:$GI$19,1,DP197)+1))*(1+'Lease Cycles'!$AK$19)+(INDEX(c_TAXy,1,DP$7)-INDEX(c_TAXy,1,INDEX('Lease Cycles'!$GC$19:$GI$19,1,DP197)+1))+(INDEX(c_INSy,1,DP$7)-INDEX(c_INSy,1,INDEX('Lease Cycles'!$GC$19:$GI$19,1,DP197)+1)))/12)</f>
        <v>0</v>
      </c>
      <c r="DQ208" s="28">
        <f>IF(DQ207=0,0,DQ207*MAX(0,(INDEX(c_CAMy,1,DQ$7)-INDEX(c_CAMy,1,INDEX('Lease Cycles'!$GC$19:$GI$19,1,DQ197)+1))*(1+'Lease Cycles'!$AK$19)+(INDEX(c_TAXy,1,DQ$7)-INDEX(c_TAXy,1,INDEX('Lease Cycles'!$GC$19:$GI$19,1,DQ197)+1))+(INDEX(c_INSy,1,DQ$7)-INDEX(c_INSy,1,INDEX('Lease Cycles'!$GC$19:$GI$19,1,DQ197)+1)))/12)</f>
        <v>0</v>
      </c>
      <c r="DR208" s="28">
        <f>IF(DR207=0,0,DR207*MAX(0,(INDEX(c_CAMy,1,DR$7)-INDEX(c_CAMy,1,INDEX('Lease Cycles'!$GC$19:$GI$19,1,DR197)+1))*(1+'Lease Cycles'!$AK$19)+(INDEX(c_TAXy,1,DR$7)-INDEX(c_TAXy,1,INDEX('Lease Cycles'!$GC$19:$GI$19,1,DR197)+1))+(INDEX(c_INSy,1,DR$7)-INDEX(c_INSy,1,INDEX('Lease Cycles'!$GC$19:$GI$19,1,DR197)+1)))/12)</f>
        <v>0</v>
      </c>
      <c r="DS208" s="28">
        <f>IF(DS207=0,0,DS207*MAX(0,(INDEX(c_CAMy,1,DS$7)-INDEX(c_CAMy,1,INDEX('Lease Cycles'!$GC$19:$GI$19,1,DS197)+1))*(1+'Lease Cycles'!$AK$19)+(INDEX(c_TAXy,1,DS$7)-INDEX(c_TAXy,1,INDEX('Lease Cycles'!$GC$19:$GI$19,1,DS197)+1))+(INDEX(c_INSy,1,DS$7)-INDEX(c_INSy,1,INDEX('Lease Cycles'!$GC$19:$GI$19,1,DS197)+1)))/12)</f>
        <v>0</v>
      </c>
      <c r="DT208" s="28">
        <f>IF(DT207=0,0,DT207*MAX(0,(INDEX(c_CAMy,1,DT$7)-INDEX(c_CAMy,1,INDEX('Lease Cycles'!$GC$19:$GI$19,1,DT197)+1))*(1+'Lease Cycles'!$AK$19)+(INDEX(c_TAXy,1,DT$7)-INDEX(c_TAXy,1,INDEX('Lease Cycles'!$GC$19:$GI$19,1,DT197)+1))+(INDEX(c_INSy,1,DT$7)-INDEX(c_INSy,1,INDEX('Lease Cycles'!$GC$19:$GI$19,1,DT197)+1)))/12)</f>
        <v>0</v>
      </c>
      <c r="DU208" s="28">
        <f>IF(DU207=0,0,DU207*MAX(0,(INDEX(c_CAMy,1,DU$7)-INDEX(c_CAMy,1,INDEX('Lease Cycles'!$GC$19:$GI$19,1,DU197)+1))*(1+'Lease Cycles'!$AK$19)+(INDEX(c_TAXy,1,DU$7)-INDEX(c_TAXy,1,INDEX('Lease Cycles'!$GC$19:$GI$19,1,DU197)+1))+(INDEX(c_INSy,1,DU$7)-INDEX(c_INSy,1,INDEX('Lease Cycles'!$GC$19:$GI$19,1,DU197)+1)))/12)</f>
        <v>0</v>
      </c>
      <c r="DV208" s="28">
        <f>IF(DV207=0,0,DV207*MAX(0,(INDEX(c_CAMy,1,DV$7)-INDEX(c_CAMy,1,INDEX('Lease Cycles'!$GC$19:$GI$19,1,DV197)+1))*(1+'Lease Cycles'!$AK$19)+(INDEX(c_TAXy,1,DV$7)-INDEX(c_TAXy,1,INDEX('Lease Cycles'!$GC$19:$GI$19,1,DV197)+1))+(INDEX(c_INSy,1,DV$7)-INDEX(c_INSy,1,INDEX('Lease Cycles'!$GC$19:$GI$19,1,DV197)+1)))/12)</f>
        <v>0</v>
      </c>
      <c r="DW208" s="28">
        <f>IF(DW207=0,0,DW207*MAX(0,(INDEX(c_CAMy,1,DW$7)-INDEX(c_CAMy,1,INDEX('Lease Cycles'!$GC$19:$GI$19,1,DW197)+1))*(1+'Lease Cycles'!$AK$19)+(INDEX(c_TAXy,1,DW$7)-INDEX(c_TAXy,1,INDEX('Lease Cycles'!$GC$19:$GI$19,1,DW197)+1))+(INDEX(c_INSy,1,DW$7)-INDEX(c_INSy,1,INDEX('Lease Cycles'!$GC$19:$GI$19,1,DW197)+1)))/12)</f>
        <v>0</v>
      </c>
      <c r="DX208" s="28">
        <f>IF(DX207=0,0,DX207*MAX(0,(INDEX(c_CAMy,1,DX$7)-INDEX(c_CAMy,1,INDEX('Lease Cycles'!$GC$19:$GI$19,1,DX197)+1))*(1+'Lease Cycles'!$AK$19)+(INDEX(c_TAXy,1,DX$7)-INDEX(c_TAXy,1,INDEX('Lease Cycles'!$GC$19:$GI$19,1,DX197)+1))+(INDEX(c_INSy,1,DX$7)-INDEX(c_INSy,1,INDEX('Lease Cycles'!$GC$19:$GI$19,1,DX197)+1)))/12)</f>
        <v>0</v>
      </c>
      <c r="DY208" s="28">
        <f>IF(DY207=0,0,DY207*MAX(0,(INDEX(c_CAMy,1,DY$7)-INDEX(c_CAMy,1,INDEX('Lease Cycles'!$GC$19:$GI$19,1,DY197)+1))*(1+'Lease Cycles'!$AK$19)+(INDEX(c_TAXy,1,DY$7)-INDEX(c_TAXy,1,INDEX('Lease Cycles'!$GC$19:$GI$19,1,DY197)+1))+(INDEX(c_INSy,1,DY$7)-INDEX(c_INSy,1,INDEX('Lease Cycles'!$GC$19:$GI$19,1,DY197)+1)))/12)</f>
        <v>0</v>
      </c>
      <c r="DZ208" s="28">
        <f>IF(DZ207=0,0,DZ207*MAX(0,(INDEX(c_CAMy,1,DZ$7)-INDEX(c_CAMy,1,INDEX('Lease Cycles'!$GC$19:$GI$19,1,DZ197)+1))*(1+'Lease Cycles'!$AK$19)+(INDEX(c_TAXy,1,DZ$7)-INDEX(c_TAXy,1,INDEX('Lease Cycles'!$GC$19:$GI$19,1,DZ197)+1))+(INDEX(c_INSy,1,DZ$7)-INDEX(c_INSy,1,INDEX('Lease Cycles'!$GC$19:$GI$19,1,DZ197)+1)))/12)</f>
        <v>0</v>
      </c>
      <c r="EA208" s="28">
        <f>IF(EA207=0,0,EA207*MAX(0,(INDEX(c_CAMy,1,EA$7)-INDEX(c_CAMy,1,INDEX('Lease Cycles'!$GC$19:$GI$19,1,EA197)+1))*(1+'Lease Cycles'!$AK$19)+(INDEX(c_TAXy,1,EA$7)-INDEX(c_TAXy,1,INDEX('Lease Cycles'!$GC$19:$GI$19,1,EA197)+1))+(INDEX(c_INSy,1,EA$7)-INDEX(c_INSy,1,INDEX('Lease Cycles'!$GC$19:$GI$19,1,EA197)+1)))/12)</f>
        <v>0</v>
      </c>
      <c r="EB208" s="28">
        <f>IF(EB207=0,0,EB207*MAX(0,(INDEX(c_CAMy,1,EB$7)-INDEX(c_CAMy,1,INDEX('Lease Cycles'!$GC$19:$GI$19,1,EB197)+1))*(1+'Lease Cycles'!$AK$19)+(INDEX(c_TAXy,1,EB$7)-INDEX(c_TAXy,1,INDEX('Lease Cycles'!$GC$19:$GI$19,1,EB197)+1))+(INDEX(c_INSy,1,EB$7)-INDEX(c_INSy,1,INDEX('Lease Cycles'!$GC$19:$GI$19,1,EB197)+1)))/12)</f>
        <v>0</v>
      </c>
      <c r="EC208" s="28">
        <f>IF(EC207=0,0,EC207*MAX(0,(INDEX(c_CAMy,1,EC$7)-INDEX(c_CAMy,1,INDEX('Lease Cycles'!$GC$19:$GI$19,1,EC197)+1))*(1+'Lease Cycles'!$AK$19)+(INDEX(c_TAXy,1,EC$7)-INDEX(c_TAXy,1,INDEX('Lease Cycles'!$GC$19:$GI$19,1,EC197)+1))+(INDEX(c_INSy,1,EC$7)-INDEX(c_INSy,1,INDEX('Lease Cycles'!$GC$19:$GI$19,1,EC197)+1)))/12)</f>
        <v>0</v>
      </c>
      <c r="ED208" s="28">
        <f>IF(ED207=0,0,ED207*MAX(0,(INDEX(c_CAMy,1,ED$7)-INDEX(c_CAMy,1,INDEX('Lease Cycles'!$GC$19:$GI$19,1,ED197)+1))*(1+'Lease Cycles'!$AK$19)+(INDEX(c_TAXy,1,ED$7)-INDEX(c_TAXy,1,INDEX('Lease Cycles'!$GC$19:$GI$19,1,ED197)+1))+(INDEX(c_INSy,1,ED$7)-INDEX(c_INSy,1,INDEX('Lease Cycles'!$GC$19:$GI$19,1,ED197)+1)))/12)</f>
        <v>0</v>
      </c>
      <c r="EE208" s="28">
        <f>IF(EE207=0,0,EE207*MAX(0,(INDEX(c_CAMy,1,EE$7)-INDEX(c_CAMy,1,INDEX('Lease Cycles'!$GC$19:$GI$19,1,EE197)+1))*(1+'Lease Cycles'!$AK$19)+(INDEX(c_TAXy,1,EE$7)-INDEX(c_TAXy,1,INDEX('Lease Cycles'!$GC$19:$GI$19,1,EE197)+1))+(INDEX(c_INSy,1,EE$7)-INDEX(c_INSy,1,INDEX('Lease Cycles'!$GC$19:$GI$19,1,EE197)+1)))/12)</f>
        <v>0</v>
      </c>
      <c r="EF208" s="28">
        <f>IF(EF207=0,0,EF207*MAX(0,(INDEX(c_CAMy,1,EF$7)-INDEX(c_CAMy,1,INDEX('Lease Cycles'!$GC$19:$GI$19,1,EF197)+1))*(1+'Lease Cycles'!$AK$19)+(INDEX(c_TAXy,1,EF$7)-INDEX(c_TAXy,1,INDEX('Lease Cycles'!$GC$19:$GI$19,1,EF197)+1))+(INDEX(c_INSy,1,EF$7)-INDEX(c_INSy,1,INDEX('Lease Cycles'!$GC$19:$GI$19,1,EF197)+1)))/12)</f>
        <v>0</v>
      </c>
      <c r="EG208" s="28">
        <f>IF(EG207=0,0,EG207*MAX(0,(INDEX(c_CAMy,1,EG$7)-INDEX(c_CAMy,1,INDEX('Lease Cycles'!$GC$19:$GI$19,1,EG197)+1))*(1+'Lease Cycles'!$AK$19)+(INDEX(c_TAXy,1,EG$7)-INDEX(c_TAXy,1,INDEX('Lease Cycles'!$GC$19:$GI$19,1,EG197)+1))+(INDEX(c_INSy,1,EG$7)-INDEX(c_INSy,1,INDEX('Lease Cycles'!$GC$19:$GI$19,1,EG197)+1)))/12)</f>
        <v>0</v>
      </c>
      <c r="EH208" s="28">
        <f>IF(EH207=0,0,EH207*MAX(0,(INDEX(c_CAMy,1,EH$7)-INDEX(c_CAMy,1,INDEX('Lease Cycles'!$GC$19:$GI$19,1,EH197)+1))*(1+'Lease Cycles'!$AK$19)+(INDEX(c_TAXy,1,EH$7)-INDEX(c_TAXy,1,INDEX('Lease Cycles'!$GC$19:$GI$19,1,EH197)+1))+(INDEX(c_INSy,1,EH$7)-INDEX(c_INSy,1,INDEX('Lease Cycles'!$GC$19:$GI$19,1,EH197)+1)))/12)</f>
        <v>0</v>
      </c>
      <c r="EI208" s="28">
        <f>IF(EI207=0,0,EI207*MAX(0,(INDEX(c_CAMy,1,EI$7)-INDEX(c_CAMy,1,INDEX('Lease Cycles'!$GC$19:$GI$19,1,EI197)+1))*(1+'Lease Cycles'!$AK$19)+(INDEX(c_TAXy,1,EI$7)-INDEX(c_TAXy,1,INDEX('Lease Cycles'!$GC$19:$GI$19,1,EI197)+1))+(INDEX(c_INSy,1,EI$7)-INDEX(c_INSy,1,INDEX('Lease Cycles'!$GC$19:$GI$19,1,EI197)+1)))/12)</f>
        <v>0</v>
      </c>
      <c r="EJ208" s="28">
        <f>IF(EJ207=0,0,EJ207*MAX(0,(INDEX(c_CAMy,1,EJ$7)-INDEX(c_CAMy,1,INDEX('Lease Cycles'!$GC$19:$GI$19,1,EJ197)+1))*(1+'Lease Cycles'!$AK$19)+(INDEX(c_TAXy,1,EJ$7)-INDEX(c_TAXy,1,INDEX('Lease Cycles'!$GC$19:$GI$19,1,EJ197)+1))+(INDEX(c_INSy,1,EJ$7)-INDEX(c_INSy,1,INDEX('Lease Cycles'!$GC$19:$GI$19,1,EJ197)+1)))/12)</f>
        <v>0</v>
      </c>
      <c r="EK208" s="28">
        <f>IF(EK207=0,0,EK207*MAX(0,(INDEX(c_CAMy,1,EK$7)-INDEX(c_CAMy,1,INDEX('Lease Cycles'!$GC$19:$GI$19,1,EK197)+1))*(1+'Lease Cycles'!$AK$19)+(INDEX(c_TAXy,1,EK$7)-INDEX(c_TAXy,1,INDEX('Lease Cycles'!$GC$19:$GI$19,1,EK197)+1))+(INDEX(c_INSy,1,EK$7)-INDEX(c_INSy,1,INDEX('Lease Cycles'!$GC$19:$GI$19,1,EK197)+1)))/12)</f>
        <v>0</v>
      </c>
      <c r="EL208" s="28">
        <f>IF(EL207=0,0,EL207*MAX(0,(INDEX(c_CAMy,1,EL$7)-INDEX(c_CAMy,1,INDEX('Lease Cycles'!$GC$19:$GI$19,1,EL197)+1))*(1+'Lease Cycles'!$AK$19)+(INDEX(c_TAXy,1,EL$7)-INDEX(c_TAXy,1,INDEX('Lease Cycles'!$GC$19:$GI$19,1,EL197)+1))+(INDEX(c_INSy,1,EL$7)-INDEX(c_INSy,1,INDEX('Lease Cycles'!$GC$19:$GI$19,1,EL197)+1)))/12)</f>
        <v>0</v>
      </c>
      <c r="EM208" s="28">
        <f>IF(EM207=0,0,EM207*MAX(0,(INDEX(c_CAMy,1,EM$7)-INDEX(c_CAMy,1,INDEX('Lease Cycles'!$GC$19:$GI$19,1,EM197)+1))*(1+'Lease Cycles'!$AK$19)+(INDEX(c_TAXy,1,EM$7)-INDEX(c_TAXy,1,INDEX('Lease Cycles'!$GC$19:$GI$19,1,EM197)+1))+(INDEX(c_INSy,1,EM$7)-INDEX(c_INSy,1,INDEX('Lease Cycles'!$GC$19:$GI$19,1,EM197)+1)))/12)</f>
        <v>0</v>
      </c>
      <c r="EN208" s="28">
        <f>IF(EN207=0,0,EN207*MAX(0,(INDEX(c_CAMy,1,EN$7)-INDEX(c_CAMy,1,INDEX('Lease Cycles'!$GC$19:$GI$19,1,EN197)+1))*(1+'Lease Cycles'!$AK$19)+(INDEX(c_TAXy,1,EN$7)-INDEX(c_TAXy,1,INDEX('Lease Cycles'!$GC$19:$GI$19,1,EN197)+1))+(INDEX(c_INSy,1,EN$7)-INDEX(c_INSy,1,INDEX('Lease Cycles'!$GC$19:$GI$19,1,EN197)+1)))/12)</f>
        <v>0</v>
      </c>
      <c r="EO208" s="28">
        <f>IF(EO207=0,0,EO207*MAX(0,(INDEX(c_CAMy,1,EO$7)-INDEX(c_CAMy,1,INDEX('Lease Cycles'!$GC$19:$GI$19,1,EO197)+1))*(1+'Lease Cycles'!$AK$19)+(INDEX(c_TAXy,1,EO$7)-INDEX(c_TAXy,1,INDEX('Lease Cycles'!$GC$19:$GI$19,1,EO197)+1))+(INDEX(c_INSy,1,EO$7)-INDEX(c_INSy,1,INDEX('Lease Cycles'!$GC$19:$GI$19,1,EO197)+1)))/12)</f>
        <v>0</v>
      </c>
      <c r="EP208" s="28">
        <f>IF(EP207=0,0,EP207*MAX(0,(INDEX(c_CAMy,1,EP$7)-INDEX(c_CAMy,1,INDEX('Lease Cycles'!$GC$19:$GI$19,1,EP197)+1))*(1+'Lease Cycles'!$AK$19)+(INDEX(c_TAXy,1,EP$7)-INDEX(c_TAXy,1,INDEX('Lease Cycles'!$GC$19:$GI$19,1,EP197)+1))+(INDEX(c_INSy,1,EP$7)-INDEX(c_INSy,1,INDEX('Lease Cycles'!$GC$19:$GI$19,1,EP197)+1)))/12)</f>
        <v>0</v>
      </c>
      <c r="EQ208" s="28">
        <f>IF(EQ207=0,0,EQ207*MAX(0,(INDEX(c_CAMy,1,EQ$7)-INDEX(c_CAMy,1,INDEX('Lease Cycles'!$GC$19:$GI$19,1,EQ197)+1))*(1+'Lease Cycles'!$AK$19)+(INDEX(c_TAXy,1,EQ$7)-INDEX(c_TAXy,1,INDEX('Lease Cycles'!$GC$19:$GI$19,1,EQ197)+1))+(INDEX(c_INSy,1,EQ$7)-INDEX(c_INSy,1,INDEX('Lease Cycles'!$GC$19:$GI$19,1,EQ197)+1)))/12)</f>
        <v>0</v>
      </c>
      <c r="ER208" s="28">
        <f>IF(ER207=0,0,ER207*MAX(0,(INDEX(c_CAMy,1,ER$7)-INDEX(c_CAMy,1,INDEX('Lease Cycles'!$GC$19:$GI$19,1,ER197)+1))*(1+'Lease Cycles'!$AK$19)+(INDEX(c_TAXy,1,ER$7)-INDEX(c_TAXy,1,INDEX('Lease Cycles'!$GC$19:$GI$19,1,ER197)+1))+(INDEX(c_INSy,1,ER$7)-INDEX(c_INSy,1,INDEX('Lease Cycles'!$GC$19:$GI$19,1,ER197)+1)))/12)</f>
        <v>0</v>
      </c>
      <c r="ES208" s="28">
        <f>IF(ES207=0,0,ES207*MAX(0,(INDEX(c_CAMy,1,ES$7)-INDEX(c_CAMy,1,INDEX('Lease Cycles'!$GC$19:$GI$19,1,ES197)+1))*(1+'Lease Cycles'!$AK$19)+(INDEX(c_TAXy,1,ES$7)-INDEX(c_TAXy,1,INDEX('Lease Cycles'!$GC$19:$GI$19,1,ES197)+1))+(INDEX(c_INSy,1,ES$7)-INDEX(c_INSy,1,INDEX('Lease Cycles'!$GC$19:$GI$19,1,ES197)+1)))/12)</f>
        <v>0</v>
      </c>
      <c r="ET208" s="28">
        <f>IF(ET207=0,0,ET207*MAX(0,(INDEX(c_CAMy,1,ET$7)-INDEX(c_CAMy,1,INDEX('Lease Cycles'!$GC$19:$GI$19,1,ET197)+1))*(1+'Lease Cycles'!$AK$19)+(INDEX(c_TAXy,1,ET$7)-INDEX(c_TAXy,1,INDEX('Lease Cycles'!$GC$19:$GI$19,1,ET197)+1))+(INDEX(c_INSy,1,ET$7)-INDEX(c_INSy,1,INDEX('Lease Cycles'!$GC$19:$GI$19,1,ET197)+1)))/12)</f>
        <v>0</v>
      </c>
    </row>
    <row r="209">
      <c r="A209" s="103">
        <v>12</v>
      </c>
      <c r="B209" s="23" t="str">
        <f>IF('Lease Cycles'!$B$19="","(empty slot)",'Lease Cycles'!$B$19)</f>
        <v>(empty slot)</v>
      </c>
      <c r="C209" s="23" t="s">
        <v>530</v>
      </c>
      <c r="D209" s="104" t="s">
        <v>531</v>
      </c>
      <c r="E209" s="25">
        <f>'Lease Cycles'!$AL$19</f>
        <v>0</v>
      </c>
      <c r="G209" s="28">
        <f>SUM(S209:AD209)</f>
        <v>0</v>
      </c>
      <c r="H209" s="28">
        <f>SUM(AE209:AP209)</f>
        <v>0</v>
      </c>
      <c r="I209" s="28">
        <f>SUM(AQ209:BB209)</f>
        <v>0</v>
      </c>
      <c r="J209" s="28">
        <f>SUM(BC209:BN209)</f>
        <v>0</v>
      </c>
      <c r="K209" s="28">
        <f>SUM(BO209:BZ209)</f>
        <v>0</v>
      </c>
      <c r="L209" s="28">
        <f>SUM(CA209:CL209)</f>
        <v>0</v>
      </c>
      <c r="M209" s="28">
        <f>SUM(CM209:CX209)</f>
        <v>0</v>
      </c>
      <c r="N209" s="28">
        <f>SUM(CY209:DJ209)</f>
        <v>0</v>
      </c>
      <c r="O209" s="28">
        <f>SUM(DK209:DV209)</f>
        <v>0</v>
      </c>
      <c r="P209" s="28">
        <f>SUM(DW209:EH209)</f>
        <v>0</v>
      </c>
      <c r="Q209" s="28">
        <f>SUM(EI209:ET209)</f>
        <v>0</v>
      </c>
      <c r="S209" s="28">
        <f>SUMIF('Lease Cycles'!$HL$19:$HR$19,S$6,'Lease Cycles'!$HS$19:$HY$19)</f>
        <v>0</v>
      </c>
      <c r="T209" s="28">
        <f>SUMIF('Lease Cycles'!$HL$19:$HR$19,T$6,'Lease Cycles'!$HS$19:$HY$19)</f>
        <v>0</v>
      </c>
      <c r="U209" s="28">
        <f>SUMIF('Lease Cycles'!$HL$19:$HR$19,U$6,'Lease Cycles'!$HS$19:$HY$19)</f>
        <v>0</v>
      </c>
      <c r="V209" s="28">
        <f>SUMIF('Lease Cycles'!$HL$19:$HR$19,V$6,'Lease Cycles'!$HS$19:$HY$19)</f>
        <v>0</v>
      </c>
      <c r="W209" s="28">
        <f>SUMIF('Lease Cycles'!$HL$19:$HR$19,W$6,'Lease Cycles'!$HS$19:$HY$19)</f>
        <v>0</v>
      </c>
      <c r="X209" s="28">
        <f>SUMIF('Lease Cycles'!$HL$19:$HR$19,X$6,'Lease Cycles'!$HS$19:$HY$19)</f>
        <v>0</v>
      </c>
      <c r="Y209" s="28">
        <f>SUMIF('Lease Cycles'!$HL$19:$HR$19,Y$6,'Lease Cycles'!$HS$19:$HY$19)</f>
        <v>0</v>
      </c>
      <c r="Z209" s="28">
        <f>SUMIF('Lease Cycles'!$HL$19:$HR$19,Z$6,'Lease Cycles'!$HS$19:$HY$19)</f>
        <v>0</v>
      </c>
      <c r="AA209" s="28">
        <f>SUMIF('Lease Cycles'!$HL$19:$HR$19,AA$6,'Lease Cycles'!$HS$19:$HY$19)</f>
        <v>0</v>
      </c>
      <c r="AB209" s="28">
        <f>SUMIF('Lease Cycles'!$HL$19:$HR$19,AB$6,'Lease Cycles'!$HS$19:$HY$19)</f>
        <v>0</v>
      </c>
      <c r="AC209" s="28">
        <f>SUMIF('Lease Cycles'!$HL$19:$HR$19,AC$6,'Lease Cycles'!$HS$19:$HY$19)</f>
        <v>0</v>
      </c>
      <c r="AD209" s="28">
        <f>SUMIF('Lease Cycles'!$HL$19:$HR$19,AD$6,'Lease Cycles'!$HS$19:$HY$19)</f>
        <v>0</v>
      </c>
      <c r="AE209" s="28">
        <f>SUMIF('Lease Cycles'!$HL$19:$HR$19,AE$6,'Lease Cycles'!$HS$19:$HY$19)</f>
        <v>0</v>
      </c>
      <c r="AF209" s="28">
        <f>SUMIF('Lease Cycles'!$HL$19:$HR$19,AF$6,'Lease Cycles'!$HS$19:$HY$19)</f>
        <v>0</v>
      </c>
      <c r="AG209" s="28">
        <f>SUMIF('Lease Cycles'!$HL$19:$HR$19,AG$6,'Lease Cycles'!$HS$19:$HY$19)</f>
        <v>0</v>
      </c>
      <c r="AH209" s="28">
        <f>SUMIF('Lease Cycles'!$HL$19:$HR$19,AH$6,'Lease Cycles'!$HS$19:$HY$19)</f>
        <v>0</v>
      </c>
      <c r="AI209" s="28">
        <f>SUMIF('Lease Cycles'!$HL$19:$HR$19,AI$6,'Lease Cycles'!$HS$19:$HY$19)</f>
        <v>0</v>
      </c>
      <c r="AJ209" s="28">
        <f>SUMIF('Lease Cycles'!$HL$19:$HR$19,AJ$6,'Lease Cycles'!$HS$19:$HY$19)</f>
        <v>0</v>
      </c>
      <c r="AK209" s="28">
        <f>SUMIF('Lease Cycles'!$HL$19:$HR$19,AK$6,'Lease Cycles'!$HS$19:$HY$19)</f>
        <v>0</v>
      </c>
      <c r="AL209" s="28">
        <f>SUMIF('Lease Cycles'!$HL$19:$HR$19,AL$6,'Lease Cycles'!$HS$19:$HY$19)</f>
        <v>0</v>
      </c>
      <c r="AM209" s="28">
        <f>SUMIF('Lease Cycles'!$HL$19:$HR$19,AM$6,'Lease Cycles'!$HS$19:$HY$19)</f>
        <v>0</v>
      </c>
      <c r="AN209" s="28">
        <f>SUMIF('Lease Cycles'!$HL$19:$HR$19,AN$6,'Lease Cycles'!$HS$19:$HY$19)</f>
        <v>0</v>
      </c>
      <c r="AO209" s="28">
        <f>SUMIF('Lease Cycles'!$HL$19:$HR$19,AO$6,'Lease Cycles'!$HS$19:$HY$19)</f>
        <v>0</v>
      </c>
      <c r="AP209" s="28">
        <f>SUMIF('Lease Cycles'!$HL$19:$HR$19,AP$6,'Lease Cycles'!$HS$19:$HY$19)</f>
        <v>0</v>
      </c>
      <c r="AQ209" s="28">
        <f>SUMIF('Lease Cycles'!$HL$19:$HR$19,AQ$6,'Lease Cycles'!$HS$19:$HY$19)</f>
        <v>0</v>
      </c>
      <c r="AR209" s="28">
        <f>SUMIF('Lease Cycles'!$HL$19:$HR$19,AR$6,'Lease Cycles'!$HS$19:$HY$19)</f>
        <v>0</v>
      </c>
      <c r="AS209" s="28">
        <f>SUMIF('Lease Cycles'!$HL$19:$HR$19,AS$6,'Lease Cycles'!$HS$19:$HY$19)</f>
        <v>0</v>
      </c>
      <c r="AT209" s="28">
        <f>SUMIF('Lease Cycles'!$HL$19:$HR$19,AT$6,'Lease Cycles'!$HS$19:$HY$19)</f>
        <v>0</v>
      </c>
      <c r="AU209" s="28">
        <f>SUMIF('Lease Cycles'!$HL$19:$HR$19,AU$6,'Lease Cycles'!$HS$19:$HY$19)</f>
        <v>0</v>
      </c>
      <c r="AV209" s="28">
        <f>SUMIF('Lease Cycles'!$HL$19:$HR$19,AV$6,'Lease Cycles'!$HS$19:$HY$19)</f>
        <v>0</v>
      </c>
      <c r="AW209" s="28">
        <f>SUMIF('Lease Cycles'!$HL$19:$HR$19,AW$6,'Lease Cycles'!$HS$19:$HY$19)</f>
        <v>0</v>
      </c>
      <c r="AX209" s="28">
        <f>SUMIF('Lease Cycles'!$HL$19:$HR$19,AX$6,'Lease Cycles'!$HS$19:$HY$19)</f>
        <v>0</v>
      </c>
      <c r="AY209" s="28">
        <f>SUMIF('Lease Cycles'!$HL$19:$HR$19,AY$6,'Lease Cycles'!$HS$19:$HY$19)</f>
        <v>0</v>
      </c>
      <c r="AZ209" s="28">
        <f>SUMIF('Lease Cycles'!$HL$19:$HR$19,AZ$6,'Lease Cycles'!$HS$19:$HY$19)</f>
        <v>0</v>
      </c>
      <c r="BA209" s="28">
        <f>SUMIF('Lease Cycles'!$HL$19:$HR$19,BA$6,'Lease Cycles'!$HS$19:$HY$19)</f>
        <v>0</v>
      </c>
      <c r="BB209" s="28">
        <f>SUMIF('Lease Cycles'!$HL$19:$HR$19,BB$6,'Lease Cycles'!$HS$19:$HY$19)</f>
        <v>0</v>
      </c>
      <c r="BC209" s="28">
        <f>SUMIF('Lease Cycles'!$HL$19:$HR$19,BC$6,'Lease Cycles'!$HS$19:$HY$19)</f>
        <v>0</v>
      </c>
      <c r="BD209" s="28">
        <f>SUMIF('Lease Cycles'!$HL$19:$HR$19,BD$6,'Lease Cycles'!$HS$19:$HY$19)</f>
        <v>0</v>
      </c>
      <c r="BE209" s="28">
        <f>SUMIF('Lease Cycles'!$HL$19:$HR$19,BE$6,'Lease Cycles'!$HS$19:$HY$19)</f>
        <v>0</v>
      </c>
      <c r="BF209" s="28">
        <f>SUMIF('Lease Cycles'!$HL$19:$HR$19,BF$6,'Lease Cycles'!$HS$19:$HY$19)</f>
        <v>0</v>
      </c>
      <c r="BG209" s="28">
        <f>SUMIF('Lease Cycles'!$HL$19:$HR$19,BG$6,'Lease Cycles'!$HS$19:$HY$19)</f>
        <v>0</v>
      </c>
      <c r="BH209" s="28">
        <f>SUMIF('Lease Cycles'!$HL$19:$HR$19,BH$6,'Lease Cycles'!$HS$19:$HY$19)</f>
        <v>0</v>
      </c>
      <c r="BI209" s="28">
        <f>SUMIF('Lease Cycles'!$HL$19:$HR$19,BI$6,'Lease Cycles'!$HS$19:$HY$19)</f>
        <v>0</v>
      </c>
      <c r="BJ209" s="28">
        <f>SUMIF('Lease Cycles'!$HL$19:$HR$19,BJ$6,'Lease Cycles'!$HS$19:$HY$19)</f>
        <v>0</v>
      </c>
      <c r="BK209" s="28">
        <f>SUMIF('Lease Cycles'!$HL$19:$HR$19,BK$6,'Lease Cycles'!$HS$19:$HY$19)</f>
        <v>0</v>
      </c>
      <c r="BL209" s="28">
        <f>SUMIF('Lease Cycles'!$HL$19:$HR$19,BL$6,'Lease Cycles'!$HS$19:$HY$19)</f>
        <v>0</v>
      </c>
      <c r="BM209" s="28">
        <f>SUMIF('Lease Cycles'!$HL$19:$HR$19,BM$6,'Lease Cycles'!$HS$19:$HY$19)</f>
        <v>0</v>
      </c>
      <c r="BN209" s="28">
        <f>SUMIF('Lease Cycles'!$HL$19:$HR$19,BN$6,'Lease Cycles'!$HS$19:$HY$19)</f>
        <v>0</v>
      </c>
      <c r="BO209" s="28">
        <f>SUMIF('Lease Cycles'!$HL$19:$HR$19,BO$6,'Lease Cycles'!$HS$19:$HY$19)</f>
        <v>0</v>
      </c>
      <c r="BP209" s="28">
        <f>SUMIF('Lease Cycles'!$HL$19:$HR$19,BP$6,'Lease Cycles'!$HS$19:$HY$19)</f>
        <v>0</v>
      </c>
      <c r="BQ209" s="28">
        <f>SUMIF('Lease Cycles'!$HL$19:$HR$19,BQ$6,'Lease Cycles'!$HS$19:$HY$19)</f>
        <v>0</v>
      </c>
      <c r="BR209" s="28">
        <f>SUMIF('Lease Cycles'!$HL$19:$HR$19,BR$6,'Lease Cycles'!$HS$19:$HY$19)</f>
        <v>0</v>
      </c>
      <c r="BS209" s="28">
        <f>SUMIF('Lease Cycles'!$HL$19:$HR$19,BS$6,'Lease Cycles'!$HS$19:$HY$19)</f>
        <v>0</v>
      </c>
      <c r="BT209" s="28">
        <f>SUMIF('Lease Cycles'!$HL$19:$HR$19,BT$6,'Lease Cycles'!$HS$19:$HY$19)</f>
        <v>0</v>
      </c>
      <c r="BU209" s="28">
        <f>SUMIF('Lease Cycles'!$HL$19:$HR$19,BU$6,'Lease Cycles'!$HS$19:$HY$19)</f>
        <v>0</v>
      </c>
      <c r="BV209" s="28">
        <f>SUMIF('Lease Cycles'!$HL$19:$HR$19,BV$6,'Lease Cycles'!$HS$19:$HY$19)</f>
        <v>0</v>
      </c>
      <c r="BW209" s="28">
        <f>SUMIF('Lease Cycles'!$HL$19:$HR$19,BW$6,'Lease Cycles'!$HS$19:$HY$19)</f>
        <v>0</v>
      </c>
      <c r="BX209" s="28">
        <f>SUMIF('Lease Cycles'!$HL$19:$HR$19,BX$6,'Lease Cycles'!$HS$19:$HY$19)</f>
        <v>0</v>
      </c>
      <c r="BY209" s="28">
        <f>SUMIF('Lease Cycles'!$HL$19:$HR$19,BY$6,'Lease Cycles'!$HS$19:$HY$19)</f>
        <v>0</v>
      </c>
      <c r="BZ209" s="28">
        <f>SUMIF('Lease Cycles'!$HL$19:$HR$19,BZ$6,'Lease Cycles'!$HS$19:$HY$19)</f>
        <v>0</v>
      </c>
      <c r="CA209" s="28">
        <f>SUMIF('Lease Cycles'!$HL$19:$HR$19,CA$6,'Lease Cycles'!$HS$19:$HY$19)</f>
        <v>0</v>
      </c>
      <c r="CB209" s="28">
        <f>SUMIF('Lease Cycles'!$HL$19:$HR$19,CB$6,'Lease Cycles'!$HS$19:$HY$19)</f>
        <v>0</v>
      </c>
      <c r="CC209" s="28">
        <f>SUMIF('Lease Cycles'!$HL$19:$HR$19,CC$6,'Lease Cycles'!$HS$19:$HY$19)</f>
        <v>0</v>
      </c>
      <c r="CD209" s="28">
        <f>SUMIF('Lease Cycles'!$HL$19:$HR$19,CD$6,'Lease Cycles'!$HS$19:$HY$19)</f>
        <v>0</v>
      </c>
      <c r="CE209" s="28">
        <f>SUMIF('Lease Cycles'!$HL$19:$HR$19,CE$6,'Lease Cycles'!$HS$19:$HY$19)</f>
        <v>0</v>
      </c>
      <c r="CF209" s="28">
        <f>SUMIF('Lease Cycles'!$HL$19:$HR$19,CF$6,'Lease Cycles'!$HS$19:$HY$19)</f>
        <v>0</v>
      </c>
      <c r="CG209" s="28">
        <f>SUMIF('Lease Cycles'!$HL$19:$HR$19,CG$6,'Lease Cycles'!$HS$19:$HY$19)</f>
        <v>0</v>
      </c>
      <c r="CH209" s="28">
        <f>SUMIF('Lease Cycles'!$HL$19:$HR$19,CH$6,'Lease Cycles'!$HS$19:$HY$19)</f>
        <v>0</v>
      </c>
      <c r="CI209" s="28">
        <f>SUMIF('Lease Cycles'!$HL$19:$HR$19,CI$6,'Lease Cycles'!$HS$19:$HY$19)</f>
        <v>0</v>
      </c>
      <c r="CJ209" s="28">
        <f>SUMIF('Lease Cycles'!$HL$19:$HR$19,CJ$6,'Lease Cycles'!$HS$19:$HY$19)</f>
        <v>0</v>
      </c>
      <c r="CK209" s="28">
        <f>SUMIF('Lease Cycles'!$HL$19:$HR$19,CK$6,'Lease Cycles'!$HS$19:$HY$19)</f>
        <v>0</v>
      </c>
      <c r="CL209" s="28">
        <f>SUMIF('Lease Cycles'!$HL$19:$HR$19,CL$6,'Lease Cycles'!$HS$19:$HY$19)</f>
        <v>0</v>
      </c>
      <c r="CM209" s="28">
        <f>SUMIF('Lease Cycles'!$HL$19:$HR$19,CM$6,'Lease Cycles'!$HS$19:$HY$19)</f>
        <v>0</v>
      </c>
      <c r="CN209" s="28">
        <f>SUMIF('Lease Cycles'!$HL$19:$HR$19,CN$6,'Lease Cycles'!$HS$19:$HY$19)</f>
        <v>0</v>
      </c>
      <c r="CO209" s="28">
        <f>SUMIF('Lease Cycles'!$HL$19:$HR$19,CO$6,'Lease Cycles'!$HS$19:$HY$19)</f>
        <v>0</v>
      </c>
      <c r="CP209" s="28">
        <f>SUMIF('Lease Cycles'!$HL$19:$HR$19,CP$6,'Lease Cycles'!$HS$19:$HY$19)</f>
        <v>0</v>
      </c>
      <c r="CQ209" s="28">
        <f>SUMIF('Lease Cycles'!$HL$19:$HR$19,CQ$6,'Lease Cycles'!$HS$19:$HY$19)</f>
        <v>0</v>
      </c>
      <c r="CR209" s="28">
        <f>SUMIF('Lease Cycles'!$HL$19:$HR$19,CR$6,'Lease Cycles'!$HS$19:$HY$19)</f>
        <v>0</v>
      </c>
      <c r="CS209" s="28">
        <f>SUMIF('Lease Cycles'!$HL$19:$HR$19,CS$6,'Lease Cycles'!$HS$19:$HY$19)</f>
        <v>0</v>
      </c>
      <c r="CT209" s="28">
        <f>SUMIF('Lease Cycles'!$HL$19:$HR$19,CT$6,'Lease Cycles'!$HS$19:$HY$19)</f>
        <v>0</v>
      </c>
      <c r="CU209" s="28">
        <f>SUMIF('Lease Cycles'!$HL$19:$HR$19,CU$6,'Lease Cycles'!$HS$19:$HY$19)</f>
        <v>0</v>
      </c>
      <c r="CV209" s="28">
        <f>SUMIF('Lease Cycles'!$HL$19:$HR$19,CV$6,'Lease Cycles'!$HS$19:$HY$19)</f>
        <v>0</v>
      </c>
      <c r="CW209" s="28">
        <f>SUMIF('Lease Cycles'!$HL$19:$HR$19,CW$6,'Lease Cycles'!$HS$19:$HY$19)</f>
        <v>0</v>
      </c>
      <c r="CX209" s="28">
        <f>SUMIF('Lease Cycles'!$HL$19:$HR$19,CX$6,'Lease Cycles'!$HS$19:$HY$19)</f>
        <v>0</v>
      </c>
      <c r="CY209" s="28">
        <f>SUMIF('Lease Cycles'!$HL$19:$HR$19,CY$6,'Lease Cycles'!$HS$19:$HY$19)</f>
        <v>0</v>
      </c>
      <c r="CZ209" s="28">
        <f>SUMIF('Lease Cycles'!$HL$19:$HR$19,CZ$6,'Lease Cycles'!$HS$19:$HY$19)</f>
        <v>0</v>
      </c>
      <c r="DA209" s="28">
        <f>SUMIF('Lease Cycles'!$HL$19:$HR$19,DA$6,'Lease Cycles'!$HS$19:$HY$19)</f>
        <v>0</v>
      </c>
      <c r="DB209" s="28">
        <f>SUMIF('Lease Cycles'!$HL$19:$HR$19,DB$6,'Lease Cycles'!$HS$19:$HY$19)</f>
        <v>0</v>
      </c>
      <c r="DC209" s="28">
        <f>SUMIF('Lease Cycles'!$HL$19:$HR$19,DC$6,'Lease Cycles'!$HS$19:$HY$19)</f>
        <v>0</v>
      </c>
      <c r="DD209" s="28">
        <f>SUMIF('Lease Cycles'!$HL$19:$HR$19,DD$6,'Lease Cycles'!$HS$19:$HY$19)</f>
        <v>0</v>
      </c>
      <c r="DE209" s="28">
        <f>SUMIF('Lease Cycles'!$HL$19:$HR$19,DE$6,'Lease Cycles'!$HS$19:$HY$19)</f>
        <v>0</v>
      </c>
      <c r="DF209" s="28">
        <f>SUMIF('Lease Cycles'!$HL$19:$HR$19,DF$6,'Lease Cycles'!$HS$19:$HY$19)</f>
        <v>0</v>
      </c>
      <c r="DG209" s="28">
        <f>SUMIF('Lease Cycles'!$HL$19:$HR$19,DG$6,'Lease Cycles'!$HS$19:$HY$19)</f>
        <v>0</v>
      </c>
      <c r="DH209" s="28">
        <f>SUMIF('Lease Cycles'!$HL$19:$HR$19,DH$6,'Lease Cycles'!$HS$19:$HY$19)</f>
        <v>0</v>
      </c>
      <c r="DI209" s="28">
        <f>SUMIF('Lease Cycles'!$HL$19:$HR$19,DI$6,'Lease Cycles'!$HS$19:$HY$19)</f>
        <v>0</v>
      </c>
      <c r="DJ209" s="28">
        <f>SUMIF('Lease Cycles'!$HL$19:$HR$19,DJ$6,'Lease Cycles'!$HS$19:$HY$19)</f>
        <v>0</v>
      </c>
      <c r="DK209" s="28">
        <f>SUMIF('Lease Cycles'!$HL$19:$HR$19,DK$6,'Lease Cycles'!$HS$19:$HY$19)</f>
        <v>0</v>
      </c>
      <c r="DL209" s="28">
        <f>SUMIF('Lease Cycles'!$HL$19:$HR$19,DL$6,'Lease Cycles'!$HS$19:$HY$19)</f>
        <v>0</v>
      </c>
      <c r="DM209" s="28">
        <f>SUMIF('Lease Cycles'!$HL$19:$HR$19,DM$6,'Lease Cycles'!$HS$19:$HY$19)</f>
        <v>0</v>
      </c>
      <c r="DN209" s="28">
        <f>SUMIF('Lease Cycles'!$HL$19:$HR$19,DN$6,'Lease Cycles'!$HS$19:$HY$19)</f>
        <v>0</v>
      </c>
      <c r="DO209" s="28">
        <f>SUMIF('Lease Cycles'!$HL$19:$HR$19,DO$6,'Lease Cycles'!$HS$19:$HY$19)</f>
        <v>0</v>
      </c>
      <c r="DP209" s="28">
        <f>SUMIF('Lease Cycles'!$HL$19:$HR$19,DP$6,'Lease Cycles'!$HS$19:$HY$19)</f>
        <v>0</v>
      </c>
      <c r="DQ209" s="28">
        <f>SUMIF('Lease Cycles'!$HL$19:$HR$19,DQ$6,'Lease Cycles'!$HS$19:$HY$19)</f>
        <v>0</v>
      </c>
      <c r="DR209" s="28">
        <f>SUMIF('Lease Cycles'!$HL$19:$HR$19,DR$6,'Lease Cycles'!$HS$19:$HY$19)</f>
        <v>0</v>
      </c>
      <c r="DS209" s="28">
        <f>SUMIF('Lease Cycles'!$HL$19:$HR$19,DS$6,'Lease Cycles'!$HS$19:$HY$19)</f>
        <v>0</v>
      </c>
      <c r="DT209" s="28">
        <f>SUMIF('Lease Cycles'!$HL$19:$HR$19,DT$6,'Lease Cycles'!$HS$19:$HY$19)</f>
        <v>0</v>
      </c>
      <c r="DU209" s="28">
        <f>SUMIF('Lease Cycles'!$HL$19:$HR$19,DU$6,'Lease Cycles'!$HS$19:$HY$19)</f>
        <v>0</v>
      </c>
      <c r="DV209" s="28">
        <f>SUMIF('Lease Cycles'!$HL$19:$HR$19,DV$6,'Lease Cycles'!$HS$19:$HY$19)</f>
        <v>0</v>
      </c>
      <c r="DW209" s="28">
        <f>SUMIF('Lease Cycles'!$HL$19:$HR$19,DW$6,'Lease Cycles'!$HS$19:$HY$19)</f>
        <v>0</v>
      </c>
      <c r="DX209" s="28">
        <f>SUMIF('Lease Cycles'!$HL$19:$HR$19,DX$6,'Lease Cycles'!$HS$19:$HY$19)</f>
        <v>0</v>
      </c>
      <c r="DY209" s="28">
        <f>SUMIF('Lease Cycles'!$HL$19:$HR$19,DY$6,'Lease Cycles'!$HS$19:$HY$19)</f>
        <v>0</v>
      </c>
      <c r="DZ209" s="28">
        <f>SUMIF('Lease Cycles'!$HL$19:$HR$19,DZ$6,'Lease Cycles'!$HS$19:$HY$19)</f>
        <v>0</v>
      </c>
      <c r="EA209" s="28">
        <f>SUMIF('Lease Cycles'!$HL$19:$HR$19,EA$6,'Lease Cycles'!$HS$19:$HY$19)</f>
        <v>0</v>
      </c>
      <c r="EB209" s="28">
        <f>SUMIF('Lease Cycles'!$HL$19:$HR$19,EB$6,'Lease Cycles'!$HS$19:$HY$19)</f>
        <v>0</v>
      </c>
      <c r="EC209" s="28">
        <f>SUMIF('Lease Cycles'!$HL$19:$HR$19,EC$6,'Lease Cycles'!$HS$19:$HY$19)</f>
        <v>0</v>
      </c>
      <c r="ED209" s="28">
        <f>SUMIF('Lease Cycles'!$HL$19:$HR$19,ED$6,'Lease Cycles'!$HS$19:$HY$19)</f>
        <v>0</v>
      </c>
      <c r="EE209" s="28">
        <f>SUMIF('Lease Cycles'!$HL$19:$HR$19,EE$6,'Lease Cycles'!$HS$19:$HY$19)</f>
        <v>0</v>
      </c>
      <c r="EF209" s="28">
        <f>SUMIF('Lease Cycles'!$HL$19:$HR$19,EF$6,'Lease Cycles'!$HS$19:$HY$19)</f>
        <v>0</v>
      </c>
      <c r="EG209" s="28">
        <f>SUMIF('Lease Cycles'!$HL$19:$HR$19,EG$6,'Lease Cycles'!$HS$19:$HY$19)</f>
        <v>0</v>
      </c>
      <c r="EH209" s="28">
        <f>SUMIF('Lease Cycles'!$HL$19:$HR$19,EH$6,'Lease Cycles'!$HS$19:$HY$19)</f>
        <v>0</v>
      </c>
      <c r="EI209" s="28">
        <f>SUMIF('Lease Cycles'!$HL$19:$HR$19,EI$6,'Lease Cycles'!$HS$19:$HY$19)</f>
        <v>0</v>
      </c>
      <c r="EJ209" s="28">
        <f>SUMIF('Lease Cycles'!$HL$19:$HR$19,EJ$6,'Lease Cycles'!$HS$19:$HY$19)</f>
        <v>0</v>
      </c>
      <c r="EK209" s="28">
        <f>SUMIF('Lease Cycles'!$HL$19:$HR$19,EK$6,'Lease Cycles'!$HS$19:$HY$19)</f>
        <v>0</v>
      </c>
      <c r="EL209" s="28">
        <f>SUMIF('Lease Cycles'!$HL$19:$HR$19,EL$6,'Lease Cycles'!$HS$19:$HY$19)</f>
        <v>0</v>
      </c>
      <c r="EM209" s="28">
        <f>SUMIF('Lease Cycles'!$HL$19:$HR$19,EM$6,'Lease Cycles'!$HS$19:$HY$19)</f>
        <v>0</v>
      </c>
      <c r="EN209" s="28">
        <f>SUMIF('Lease Cycles'!$HL$19:$HR$19,EN$6,'Lease Cycles'!$HS$19:$HY$19)</f>
        <v>0</v>
      </c>
      <c r="EO209" s="28">
        <f>SUMIF('Lease Cycles'!$HL$19:$HR$19,EO$6,'Lease Cycles'!$HS$19:$HY$19)</f>
        <v>0</v>
      </c>
      <c r="EP209" s="28">
        <f>SUMIF('Lease Cycles'!$HL$19:$HR$19,EP$6,'Lease Cycles'!$HS$19:$HY$19)</f>
        <v>0</v>
      </c>
      <c r="EQ209" s="28">
        <f>SUMIF('Lease Cycles'!$HL$19:$HR$19,EQ$6,'Lease Cycles'!$HS$19:$HY$19)</f>
        <v>0</v>
      </c>
      <c r="ER209" s="28">
        <f>SUMIF('Lease Cycles'!$HL$19:$HR$19,ER$6,'Lease Cycles'!$HS$19:$HY$19)</f>
        <v>0</v>
      </c>
      <c r="ES209" s="28">
        <f>SUMIF('Lease Cycles'!$HL$19:$HR$19,ES$6,'Lease Cycles'!$HS$19:$HY$19)</f>
        <v>0</v>
      </c>
      <c r="ET209" s="28">
        <f>SUMIF('Lease Cycles'!$HL$19:$HR$19,ET$6,'Lease Cycles'!$HS$19:$HY$19)</f>
        <v>0</v>
      </c>
    </row>
    <row r="210">
      <c r="A210" s="103">
        <v>12</v>
      </c>
      <c r="B210" s="23" t="str">
        <f>IF('Lease Cycles'!$B$19="","(empty slot)",'Lease Cycles'!$B$19)</f>
        <v>(empty slot)</v>
      </c>
      <c r="C210" s="23" t="s">
        <v>532</v>
      </c>
      <c r="D210" s="104" t="s">
        <v>533</v>
      </c>
      <c r="E210" s="25">
        <f>'Lease Cycles'!$AL$19</f>
        <v>0</v>
      </c>
      <c r="G210" s="28">
        <f>SUM(S210:AD210)</f>
        <v>0</v>
      </c>
      <c r="H210" s="28">
        <f>SUM(AE210:AP210)</f>
        <v>0</v>
      </c>
      <c r="I210" s="28">
        <f>SUM(AQ210:BB210)</f>
        <v>0</v>
      </c>
      <c r="J210" s="28">
        <f>SUM(BC210:BN210)</f>
        <v>0</v>
      </c>
      <c r="K210" s="28">
        <f>SUM(BO210:BZ210)</f>
        <v>0</v>
      </c>
      <c r="L210" s="28">
        <f>SUM(CA210:CL210)</f>
        <v>0</v>
      </c>
      <c r="M210" s="28">
        <f>SUM(CM210:CX210)</f>
        <v>0</v>
      </c>
      <c r="N210" s="28">
        <f>SUM(CY210:DJ210)</f>
        <v>0</v>
      </c>
      <c r="O210" s="28">
        <f>SUM(DK210:DV210)</f>
        <v>0</v>
      </c>
      <c r="P210" s="28">
        <f>SUM(DW210:EH210)</f>
        <v>0</v>
      </c>
      <c r="Q210" s="28">
        <f>SUM(EI210:ET210)</f>
        <v>0</v>
      </c>
      <c r="S210" s="28">
        <f>SUMIF('Lease Cycles'!$HL$19:$HR$19,S$6,'Lease Cycles'!$HZ$19:$IF$19)</f>
        <v>0</v>
      </c>
      <c r="T210" s="28">
        <f>SUMIF('Lease Cycles'!$HL$19:$HR$19,T$6,'Lease Cycles'!$HZ$19:$IF$19)</f>
        <v>0</v>
      </c>
      <c r="U210" s="28">
        <f>SUMIF('Lease Cycles'!$HL$19:$HR$19,U$6,'Lease Cycles'!$HZ$19:$IF$19)</f>
        <v>0</v>
      </c>
      <c r="V210" s="28">
        <f>SUMIF('Lease Cycles'!$HL$19:$HR$19,V$6,'Lease Cycles'!$HZ$19:$IF$19)</f>
        <v>0</v>
      </c>
      <c r="W210" s="28">
        <f>SUMIF('Lease Cycles'!$HL$19:$HR$19,W$6,'Lease Cycles'!$HZ$19:$IF$19)</f>
        <v>0</v>
      </c>
      <c r="X210" s="28">
        <f>SUMIF('Lease Cycles'!$HL$19:$HR$19,X$6,'Lease Cycles'!$HZ$19:$IF$19)</f>
        <v>0</v>
      </c>
      <c r="Y210" s="28">
        <f>SUMIF('Lease Cycles'!$HL$19:$HR$19,Y$6,'Lease Cycles'!$HZ$19:$IF$19)</f>
        <v>0</v>
      </c>
      <c r="Z210" s="28">
        <f>SUMIF('Lease Cycles'!$HL$19:$HR$19,Z$6,'Lease Cycles'!$HZ$19:$IF$19)</f>
        <v>0</v>
      </c>
      <c r="AA210" s="28">
        <f>SUMIF('Lease Cycles'!$HL$19:$HR$19,AA$6,'Lease Cycles'!$HZ$19:$IF$19)</f>
        <v>0</v>
      </c>
      <c r="AB210" s="28">
        <f>SUMIF('Lease Cycles'!$HL$19:$HR$19,AB$6,'Lease Cycles'!$HZ$19:$IF$19)</f>
        <v>0</v>
      </c>
      <c r="AC210" s="28">
        <f>SUMIF('Lease Cycles'!$HL$19:$HR$19,AC$6,'Lease Cycles'!$HZ$19:$IF$19)</f>
        <v>0</v>
      </c>
      <c r="AD210" s="28">
        <f>SUMIF('Lease Cycles'!$HL$19:$HR$19,AD$6,'Lease Cycles'!$HZ$19:$IF$19)</f>
        <v>0</v>
      </c>
      <c r="AE210" s="28">
        <f>SUMIF('Lease Cycles'!$HL$19:$HR$19,AE$6,'Lease Cycles'!$HZ$19:$IF$19)</f>
        <v>0</v>
      </c>
      <c r="AF210" s="28">
        <f>SUMIF('Lease Cycles'!$HL$19:$HR$19,AF$6,'Lease Cycles'!$HZ$19:$IF$19)</f>
        <v>0</v>
      </c>
      <c r="AG210" s="28">
        <f>SUMIF('Lease Cycles'!$HL$19:$HR$19,AG$6,'Lease Cycles'!$HZ$19:$IF$19)</f>
        <v>0</v>
      </c>
      <c r="AH210" s="28">
        <f>SUMIF('Lease Cycles'!$HL$19:$HR$19,AH$6,'Lease Cycles'!$HZ$19:$IF$19)</f>
        <v>0</v>
      </c>
      <c r="AI210" s="28">
        <f>SUMIF('Lease Cycles'!$HL$19:$HR$19,AI$6,'Lease Cycles'!$HZ$19:$IF$19)</f>
        <v>0</v>
      </c>
      <c r="AJ210" s="28">
        <f>SUMIF('Lease Cycles'!$HL$19:$HR$19,AJ$6,'Lease Cycles'!$HZ$19:$IF$19)</f>
        <v>0</v>
      </c>
      <c r="AK210" s="28">
        <f>SUMIF('Lease Cycles'!$HL$19:$HR$19,AK$6,'Lease Cycles'!$HZ$19:$IF$19)</f>
        <v>0</v>
      </c>
      <c r="AL210" s="28">
        <f>SUMIF('Lease Cycles'!$HL$19:$HR$19,AL$6,'Lease Cycles'!$HZ$19:$IF$19)</f>
        <v>0</v>
      </c>
      <c r="AM210" s="28">
        <f>SUMIF('Lease Cycles'!$HL$19:$HR$19,AM$6,'Lease Cycles'!$HZ$19:$IF$19)</f>
        <v>0</v>
      </c>
      <c r="AN210" s="28">
        <f>SUMIF('Lease Cycles'!$HL$19:$HR$19,AN$6,'Lease Cycles'!$HZ$19:$IF$19)</f>
        <v>0</v>
      </c>
      <c r="AO210" s="28">
        <f>SUMIF('Lease Cycles'!$HL$19:$HR$19,AO$6,'Lease Cycles'!$HZ$19:$IF$19)</f>
        <v>0</v>
      </c>
      <c r="AP210" s="28">
        <f>SUMIF('Lease Cycles'!$HL$19:$HR$19,AP$6,'Lease Cycles'!$HZ$19:$IF$19)</f>
        <v>0</v>
      </c>
      <c r="AQ210" s="28">
        <f>SUMIF('Lease Cycles'!$HL$19:$HR$19,AQ$6,'Lease Cycles'!$HZ$19:$IF$19)</f>
        <v>0</v>
      </c>
      <c r="AR210" s="28">
        <f>SUMIF('Lease Cycles'!$HL$19:$HR$19,AR$6,'Lease Cycles'!$HZ$19:$IF$19)</f>
        <v>0</v>
      </c>
      <c r="AS210" s="28">
        <f>SUMIF('Lease Cycles'!$HL$19:$HR$19,AS$6,'Lease Cycles'!$HZ$19:$IF$19)</f>
        <v>0</v>
      </c>
      <c r="AT210" s="28">
        <f>SUMIF('Lease Cycles'!$HL$19:$HR$19,AT$6,'Lease Cycles'!$HZ$19:$IF$19)</f>
        <v>0</v>
      </c>
      <c r="AU210" s="28">
        <f>SUMIF('Lease Cycles'!$HL$19:$HR$19,AU$6,'Lease Cycles'!$HZ$19:$IF$19)</f>
        <v>0</v>
      </c>
      <c r="AV210" s="28">
        <f>SUMIF('Lease Cycles'!$HL$19:$HR$19,AV$6,'Lease Cycles'!$HZ$19:$IF$19)</f>
        <v>0</v>
      </c>
      <c r="AW210" s="28">
        <f>SUMIF('Lease Cycles'!$HL$19:$HR$19,AW$6,'Lease Cycles'!$HZ$19:$IF$19)</f>
        <v>0</v>
      </c>
      <c r="AX210" s="28">
        <f>SUMIF('Lease Cycles'!$HL$19:$HR$19,AX$6,'Lease Cycles'!$HZ$19:$IF$19)</f>
        <v>0</v>
      </c>
      <c r="AY210" s="28">
        <f>SUMIF('Lease Cycles'!$HL$19:$HR$19,AY$6,'Lease Cycles'!$HZ$19:$IF$19)</f>
        <v>0</v>
      </c>
      <c r="AZ210" s="28">
        <f>SUMIF('Lease Cycles'!$HL$19:$HR$19,AZ$6,'Lease Cycles'!$HZ$19:$IF$19)</f>
        <v>0</v>
      </c>
      <c r="BA210" s="28">
        <f>SUMIF('Lease Cycles'!$HL$19:$HR$19,BA$6,'Lease Cycles'!$HZ$19:$IF$19)</f>
        <v>0</v>
      </c>
      <c r="BB210" s="28">
        <f>SUMIF('Lease Cycles'!$HL$19:$HR$19,BB$6,'Lease Cycles'!$HZ$19:$IF$19)</f>
        <v>0</v>
      </c>
      <c r="BC210" s="28">
        <f>SUMIF('Lease Cycles'!$HL$19:$HR$19,BC$6,'Lease Cycles'!$HZ$19:$IF$19)</f>
        <v>0</v>
      </c>
      <c r="BD210" s="28">
        <f>SUMIF('Lease Cycles'!$HL$19:$HR$19,BD$6,'Lease Cycles'!$HZ$19:$IF$19)</f>
        <v>0</v>
      </c>
      <c r="BE210" s="28">
        <f>SUMIF('Lease Cycles'!$HL$19:$HR$19,BE$6,'Lease Cycles'!$HZ$19:$IF$19)</f>
        <v>0</v>
      </c>
      <c r="BF210" s="28">
        <f>SUMIF('Lease Cycles'!$HL$19:$HR$19,BF$6,'Lease Cycles'!$HZ$19:$IF$19)</f>
        <v>0</v>
      </c>
      <c r="BG210" s="28">
        <f>SUMIF('Lease Cycles'!$HL$19:$HR$19,BG$6,'Lease Cycles'!$HZ$19:$IF$19)</f>
        <v>0</v>
      </c>
      <c r="BH210" s="28">
        <f>SUMIF('Lease Cycles'!$HL$19:$HR$19,BH$6,'Lease Cycles'!$HZ$19:$IF$19)</f>
        <v>0</v>
      </c>
      <c r="BI210" s="28">
        <f>SUMIF('Lease Cycles'!$HL$19:$HR$19,BI$6,'Lease Cycles'!$HZ$19:$IF$19)</f>
        <v>0</v>
      </c>
      <c r="BJ210" s="28">
        <f>SUMIF('Lease Cycles'!$HL$19:$HR$19,BJ$6,'Lease Cycles'!$HZ$19:$IF$19)</f>
        <v>0</v>
      </c>
      <c r="BK210" s="28">
        <f>SUMIF('Lease Cycles'!$HL$19:$HR$19,BK$6,'Lease Cycles'!$HZ$19:$IF$19)</f>
        <v>0</v>
      </c>
      <c r="BL210" s="28">
        <f>SUMIF('Lease Cycles'!$HL$19:$HR$19,BL$6,'Lease Cycles'!$HZ$19:$IF$19)</f>
        <v>0</v>
      </c>
      <c r="BM210" s="28">
        <f>SUMIF('Lease Cycles'!$HL$19:$HR$19,BM$6,'Lease Cycles'!$HZ$19:$IF$19)</f>
        <v>0</v>
      </c>
      <c r="BN210" s="28">
        <f>SUMIF('Lease Cycles'!$HL$19:$HR$19,BN$6,'Lease Cycles'!$HZ$19:$IF$19)</f>
        <v>0</v>
      </c>
      <c r="BO210" s="28">
        <f>SUMIF('Lease Cycles'!$HL$19:$HR$19,BO$6,'Lease Cycles'!$HZ$19:$IF$19)</f>
        <v>0</v>
      </c>
      <c r="BP210" s="28">
        <f>SUMIF('Lease Cycles'!$HL$19:$HR$19,BP$6,'Lease Cycles'!$HZ$19:$IF$19)</f>
        <v>0</v>
      </c>
      <c r="BQ210" s="28">
        <f>SUMIF('Lease Cycles'!$HL$19:$HR$19,BQ$6,'Lease Cycles'!$HZ$19:$IF$19)</f>
        <v>0</v>
      </c>
      <c r="BR210" s="28">
        <f>SUMIF('Lease Cycles'!$HL$19:$HR$19,BR$6,'Lease Cycles'!$HZ$19:$IF$19)</f>
        <v>0</v>
      </c>
      <c r="BS210" s="28">
        <f>SUMIF('Lease Cycles'!$HL$19:$HR$19,BS$6,'Lease Cycles'!$HZ$19:$IF$19)</f>
        <v>0</v>
      </c>
      <c r="BT210" s="28">
        <f>SUMIF('Lease Cycles'!$HL$19:$HR$19,BT$6,'Lease Cycles'!$HZ$19:$IF$19)</f>
        <v>0</v>
      </c>
      <c r="BU210" s="28">
        <f>SUMIF('Lease Cycles'!$HL$19:$HR$19,BU$6,'Lease Cycles'!$HZ$19:$IF$19)</f>
        <v>0</v>
      </c>
      <c r="BV210" s="28">
        <f>SUMIF('Lease Cycles'!$HL$19:$HR$19,BV$6,'Lease Cycles'!$HZ$19:$IF$19)</f>
        <v>0</v>
      </c>
      <c r="BW210" s="28">
        <f>SUMIF('Lease Cycles'!$HL$19:$HR$19,BW$6,'Lease Cycles'!$HZ$19:$IF$19)</f>
        <v>0</v>
      </c>
      <c r="BX210" s="28">
        <f>SUMIF('Lease Cycles'!$HL$19:$HR$19,BX$6,'Lease Cycles'!$HZ$19:$IF$19)</f>
        <v>0</v>
      </c>
      <c r="BY210" s="28">
        <f>SUMIF('Lease Cycles'!$HL$19:$HR$19,BY$6,'Lease Cycles'!$HZ$19:$IF$19)</f>
        <v>0</v>
      </c>
      <c r="BZ210" s="28">
        <f>SUMIF('Lease Cycles'!$HL$19:$HR$19,BZ$6,'Lease Cycles'!$HZ$19:$IF$19)</f>
        <v>0</v>
      </c>
      <c r="CA210" s="28">
        <f>SUMIF('Lease Cycles'!$HL$19:$HR$19,CA$6,'Lease Cycles'!$HZ$19:$IF$19)</f>
        <v>0</v>
      </c>
      <c r="CB210" s="28">
        <f>SUMIF('Lease Cycles'!$HL$19:$HR$19,CB$6,'Lease Cycles'!$HZ$19:$IF$19)</f>
        <v>0</v>
      </c>
      <c r="CC210" s="28">
        <f>SUMIF('Lease Cycles'!$HL$19:$HR$19,CC$6,'Lease Cycles'!$HZ$19:$IF$19)</f>
        <v>0</v>
      </c>
      <c r="CD210" s="28">
        <f>SUMIF('Lease Cycles'!$HL$19:$HR$19,CD$6,'Lease Cycles'!$HZ$19:$IF$19)</f>
        <v>0</v>
      </c>
      <c r="CE210" s="28">
        <f>SUMIF('Lease Cycles'!$HL$19:$HR$19,CE$6,'Lease Cycles'!$HZ$19:$IF$19)</f>
        <v>0</v>
      </c>
      <c r="CF210" s="28">
        <f>SUMIF('Lease Cycles'!$HL$19:$HR$19,CF$6,'Lease Cycles'!$HZ$19:$IF$19)</f>
        <v>0</v>
      </c>
      <c r="CG210" s="28">
        <f>SUMIF('Lease Cycles'!$HL$19:$HR$19,CG$6,'Lease Cycles'!$HZ$19:$IF$19)</f>
        <v>0</v>
      </c>
      <c r="CH210" s="28">
        <f>SUMIF('Lease Cycles'!$HL$19:$HR$19,CH$6,'Lease Cycles'!$HZ$19:$IF$19)</f>
        <v>0</v>
      </c>
      <c r="CI210" s="28">
        <f>SUMIF('Lease Cycles'!$HL$19:$HR$19,CI$6,'Lease Cycles'!$HZ$19:$IF$19)</f>
        <v>0</v>
      </c>
      <c r="CJ210" s="28">
        <f>SUMIF('Lease Cycles'!$HL$19:$HR$19,CJ$6,'Lease Cycles'!$HZ$19:$IF$19)</f>
        <v>0</v>
      </c>
      <c r="CK210" s="28">
        <f>SUMIF('Lease Cycles'!$HL$19:$HR$19,CK$6,'Lease Cycles'!$HZ$19:$IF$19)</f>
        <v>0</v>
      </c>
      <c r="CL210" s="28">
        <f>SUMIF('Lease Cycles'!$HL$19:$HR$19,CL$6,'Lease Cycles'!$HZ$19:$IF$19)</f>
        <v>0</v>
      </c>
      <c r="CM210" s="28">
        <f>SUMIF('Lease Cycles'!$HL$19:$HR$19,CM$6,'Lease Cycles'!$HZ$19:$IF$19)</f>
        <v>0</v>
      </c>
      <c r="CN210" s="28">
        <f>SUMIF('Lease Cycles'!$HL$19:$HR$19,CN$6,'Lease Cycles'!$HZ$19:$IF$19)</f>
        <v>0</v>
      </c>
      <c r="CO210" s="28">
        <f>SUMIF('Lease Cycles'!$HL$19:$HR$19,CO$6,'Lease Cycles'!$HZ$19:$IF$19)</f>
        <v>0</v>
      </c>
      <c r="CP210" s="28">
        <f>SUMIF('Lease Cycles'!$HL$19:$HR$19,CP$6,'Lease Cycles'!$HZ$19:$IF$19)</f>
        <v>0</v>
      </c>
      <c r="CQ210" s="28">
        <f>SUMIF('Lease Cycles'!$HL$19:$HR$19,CQ$6,'Lease Cycles'!$HZ$19:$IF$19)</f>
        <v>0</v>
      </c>
      <c r="CR210" s="28">
        <f>SUMIF('Lease Cycles'!$HL$19:$HR$19,CR$6,'Lease Cycles'!$HZ$19:$IF$19)</f>
        <v>0</v>
      </c>
      <c r="CS210" s="28">
        <f>SUMIF('Lease Cycles'!$HL$19:$HR$19,CS$6,'Lease Cycles'!$HZ$19:$IF$19)</f>
        <v>0</v>
      </c>
      <c r="CT210" s="28">
        <f>SUMIF('Lease Cycles'!$HL$19:$HR$19,CT$6,'Lease Cycles'!$HZ$19:$IF$19)</f>
        <v>0</v>
      </c>
      <c r="CU210" s="28">
        <f>SUMIF('Lease Cycles'!$HL$19:$HR$19,CU$6,'Lease Cycles'!$HZ$19:$IF$19)</f>
        <v>0</v>
      </c>
      <c r="CV210" s="28">
        <f>SUMIF('Lease Cycles'!$HL$19:$HR$19,CV$6,'Lease Cycles'!$HZ$19:$IF$19)</f>
        <v>0</v>
      </c>
      <c r="CW210" s="28">
        <f>SUMIF('Lease Cycles'!$HL$19:$HR$19,CW$6,'Lease Cycles'!$HZ$19:$IF$19)</f>
        <v>0</v>
      </c>
      <c r="CX210" s="28">
        <f>SUMIF('Lease Cycles'!$HL$19:$HR$19,CX$6,'Lease Cycles'!$HZ$19:$IF$19)</f>
        <v>0</v>
      </c>
      <c r="CY210" s="28">
        <f>SUMIF('Lease Cycles'!$HL$19:$HR$19,CY$6,'Lease Cycles'!$HZ$19:$IF$19)</f>
        <v>0</v>
      </c>
      <c r="CZ210" s="28">
        <f>SUMIF('Lease Cycles'!$HL$19:$HR$19,CZ$6,'Lease Cycles'!$HZ$19:$IF$19)</f>
        <v>0</v>
      </c>
      <c r="DA210" s="28">
        <f>SUMIF('Lease Cycles'!$HL$19:$HR$19,DA$6,'Lease Cycles'!$HZ$19:$IF$19)</f>
        <v>0</v>
      </c>
      <c r="DB210" s="28">
        <f>SUMIF('Lease Cycles'!$HL$19:$HR$19,DB$6,'Lease Cycles'!$HZ$19:$IF$19)</f>
        <v>0</v>
      </c>
      <c r="DC210" s="28">
        <f>SUMIF('Lease Cycles'!$HL$19:$HR$19,DC$6,'Lease Cycles'!$HZ$19:$IF$19)</f>
        <v>0</v>
      </c>
      <c r="DD210" s="28">
        <f>SUMIF('Lease Cycles'!$HL$19:$HR$19,DD$6,'Lease Cycles'!$HZ$19:$IF$19)</f>
        <v>0</v>
      </c>
      <c r="DE210" s="28">
        <f>SUMIF('Lease Cycles'!$HL$19:$HR$19,DE$6,'Lease Cycles'!$HZ$19:$IF$19)</f>
        <v>0</v>
      </c>
      <c r="DF210" s="28">
        <f>SUMIF('Lease Cycles'!$HL$19:$HR$19,DF$6,'Lease Cycles'!$HZ$19:$IF$19)</f>
        <v>0</v>
      </c>
      <c r="DG210" s="28">
        <f>SUMIF('Lease Cycles'!$HL$19:$HR$19,DG$6,'Lease Cycles'!$HZ$19:$IF$19)</f>
        <v>0</v>
      </c>
      <c r="DH210" s="28">
        <f>SUMIF('Lease Cycles'!$HL$19:$HR$19,DH$6,'Lease Cycles'!$HZ$19:$IF$19)</f>
        <v>0</v>
      </c>
      <c r="DI210" s="28">
        <f>SUMIF('Lease Cycles'!$HL$19:$HR$19,DI$6,'Lease Cycles'!$HZ$19:$IF$19)</f>
        <v>0</v>
      </c>
      <c r="DJ210" s="28">
        <f>SUMIF('Lease Cycles'!$HL$19:$HR$19,DJ$6,'Lease Cycles'!$HZ$19:$IF$19)</f>
        <v>0</v>
      </c>
      <c r="DK210" s="28">
        <f>SUMIF('Lease Cycles'!$HL$19:$HR$19,DK$6,'Lease Cycles'!$HZ$19:$IF$19)</f>
        <v>0</v>
      </c>
      <c r="DL210" s="28">
        <f>SUMIF('Lease Cycles'!$HL$19:$HR$19,DL$6,'Lease Cycles'!$HZ$19:$IF$19)</f>
        <v>0</v>
      </c>
      <c r="DM210" s="28">
        <f>SUMIF('Lease Cycles'!$HL$19:$HR$19,DM$6,'Lease Cycles'!$HZ$19:$IF$19)</f>
        <v>0</v>
      </c>
      <c r="DN210" s="28">
        <f>SUMIF('Lease Cycles'!$HL$19:$HR$19,DN$6,'Lease Cycles'!$HZ$19:$IF$19)</f>
        <v>0</v>
      </c>
      <c r="DO210" s="28">
        <f>SUMIF('Lease Cycles'!$HL$19:$HR$19,DO$6,'Lease Cycles'!$HZ$19:$IF$19)</f>
        <v>0</v>
      </c>
      <c r="DP210" s="28">
        <f>SUMIF('Lease Cycles'!$HL$19:$HR$19,DP$6,'Lease Cycles'!$HZ$19:$IF$19)</f>
        <v>0</v>
      </c>
      <c r="DQ210" s="28">
        <f>SUMIF('Lease Cycles'!$HL$19:$HR$19,DQ$6,'Lease Cycles'!$HZ$19:$IF$19)</f>
        <v>0</v>
      </c>
      <c r="DR210" s="28">
        <f>SUMIF('Lease Cycles'!$HL$19:$HR$19,DR$6,'Lease Cycles'!$HZ$19:$IF$19)</f>
        <v>0</v>
      </c>
      <c r="DS210" s="28">
        <f>SUMIF('Lease Cycles'!$HL$19:$HR$19,DS$6,'Lease Cycles'!$HZ$19:$IF$19)</f>
        <v>0</v>
      </c>
      <c r="DT210" s="28">
        <f>SUMIF('Lease Cycles'!$HL$19:$HR$19,DT$6,'Lease Cycles'!$HZ$19:$IF$19)</f>
        <v>0</v>
      </c>
      <c r="DU210" s="28">
        <f>SUMIF('Lease Cycles'!$HL$19:$HR$19,DU$6,'Lease Cycles'!$HZ$19:$IF$19)</f>
        <v>0</v>
      </c>
      <c r="DV210" s="28">
        <f>SUMIF('Lease Cycles'!$HL$19:$HR$19,DV$6,'Lease Cycles'!$HZ$19:$IF$19)</f>
        <v>0</v>
      </c>
      <c r="DW210" s="28">
        <f>SUMIF('Lease Cycles'!$HL$19:$HR$19,DW$6,'Lease Cycles'!$HZ$19:$IF$19)</f>
        <v>0</v>
      </c>
      <c r="DX210" s="28">
        <f>SUMIF('Lease Cycles'!$HL$19:$HR$19,DX$6,'Lease Cycles'!$HZ$19:$IF$19)</f>
        <v>0</v>
      </c>
      <c r="DY210" s="28">
        <f>SUMIF('Lease Cycles'!$HL$19:$HR$19,DY$6,'Lease Cycles'!$HZ$19:$IF$19)</f>
        <v>0</v>
      </c>
      <c r="DZ210" s="28">
        <f>SUMIF('Lease Cycles'!$HL$19:$HR$19,DZ$6,'Lease Cycles'!$HZ$19:$IF$19)</f>
        <v>0</v>
      </c>
      <c r="EA210" s="28">
        <f>SUMIF('Lease Cycles'!$HL$19:$HR$19,EA$6,'Lease Cycles'!$HZ$19:$IF$19)</f>
        <v>0</v>
      </c>
      <c r="EB210" s="28">
        <f>SUMIF('Lease Cycles'!$HL$19:$HR$19,EB$6,'Lease Cycles'!$HZ$19:$IF$19)</f>
        <v>0</v>
      </c>
      <c r="EC210" s="28">
        <f>SUMIF('Lease Cycles'!$HL$19:$HR$19,EC$6,'Lease Cycles'!$HZ$19:$IF$19)</f>
        <v>0</v>
      </c>
      <c r="ED210" s="28">
        <f>SUMIF('Lease Cycles'!$HL$19:$HR$19,ED$6,'Lease Cycles'!$HZ$19:$IF$19)</f>
        <v>0</v>
      </c>
      <c r="EE210" s="28">
        <f>SUMIF('Lease Cycles'!$HL$19:$HR$19,EE$6,'Lease Cycles'!$HZ$19:$IF$19)</f>
        <v>0</v>
      </c>
      <c r="EF210" s="28">
        <f>SUMIF('Lease Cycles'!$HL$19:$HR$19,EF$6,'Lease Cycles'!$HZ$19:$IF$19)</f>
        <v>0</v>
      </c>
      <c r="EG210" s="28">
        <f>SUMIF('Lease Cycles'!$HL$19:$HR$19,EG$6,'Lease Cycles'!$HZ$19:$IF$19)</f>
        <v>0</v>
      </c>
      <c r="EH210" s="28">
        <f>SUMIF('Lease Cycles'!$HL$19:$HR$19,EH$6,'Lease Cycles'!$HZ$19:$IF$19)</f>
        <v>0</v>
      </c>
      <c r="EI210" s="28">
        <f>SUMIF('Lease Cycles'!$HL$19:$HR$19,EI$6,'Lease Cycles'!$HZ$19:$IF$19)</f>
        <v>0</v>
      </c>
      <c r="EJ210" s="28">
        <f>SUMIF('Lease Cycles'!$HL$19:$HR$19,EJ$6,'Lease Cycles'!$HZ$19:$IF$19)</f>
        <v>0</v>
      </c>
      <c r="EK210" s="28">
        <f>SUMIF('Lease Cycles'!$HL$19:$HR$19,EK$6,'Lease Cycles'!$HZ$19:$IF$19)</f>
        <v>0</v>
      </c>
      <c r="EL210" s="28">
        <f>SUMIF('Lease Cycles'!$HL$19:$HR$19,EL$6,'Lease Cycles'!$HZ$19:$IF$19)</f>
        <v>0</v>
      </c>
      <c r="EM210" s="28">
        <f>SUMIF('Lease Cycles'!$HL$19:$HR$19,EM$6,'Lease Cycles'!$HZ$19:$IF$19)</f>
        <v>0</v>
      </c>
      <c r="EN210" s="28">
        <f>SUMIF('Lease Cycles'!$HL$19:$HR$19,EN$6,'Lease Cycles'!$HZ$19:$IF$19)</f>
        <v>0</v>
      </c>
      <c r="EO210" s="28">
        <f>SUMIF('Lease Cycles'!$HL$19:$HR$19,EO$6,'Lease Cycles'!$HZ$19:$IF$19)</f>
        <v>0</v>
      </c>
      <c r="EP210" s="28">
        <f>SUMIF('Lease Cycles'!$HL$19:$HR$19,EP$6,'Lease Cycles'!$HZ$19:$IF$19)</f>
        <v>0</v>
      </c>
      <c r="EQ210" s="28">
        <f>SUMIF('Lease Cycles'!$HL$19:$HR$19,EQ$6,'Lease Cycles'!$HZ$19:$IF$19)</f>
        <v>0</v>
      </c>
      <c r="ER210" s="28">
        <f>SUMIF('Lease Cycles'!$HL$19:$HR$19,ER$6,'Lease Cycles'!$HZ$19:$IF$19)</f>
        <v>0</v>
      </c>
      <c r="ES210" s="28">
        <f>SUMIF('Lease Cycles'!$HL$19:$HR$19,ES$6,'Lease Cycles'!$HZ$19:$IF$19)</f>
        <v>0</v>
      </c>
      <c r="ET210" s="28">
        <f>SUMIF('Lease Cycles'!$HL$19:$HR$19,ET$6,'Lease Cycles'!$HZ$19:$IF$19)</f>
        <v>0</v>
      </c>
    </row>
    <row r="211">
      <c r="A211" s="103">
        <v>12</v>
      </c>
      <c r="B211" s="23" t="str">
        <f>IF('Lease Cycles'!$B$19="","(empty slot)",'Lease Cycles'!$B$19)</f>
        <v>(empty slot)</v>
      </c>
      <c r="C211" s="23" t="s">
        <v>691</v>
      </c>
      <c r="D211" s="104" t="s">
        <v>692</v>
      </c>
      <c r="E211" s="25">
        <f>'Lease Cycles'!$AL$19</f>
        <v>0</v>
      </c>
      <c r="G211" s="28">
        <f>SUM(S211:AD211)</f>
        <v>0</v>
      </c>
      <c r="H211" s="28">
        <f>SUM(AE211:AP211)</f>
        <v>0</v>
      </c>
      <c r="I211" s="28">
        <f>SUM(AQ211:BB211)</f>
        <v>0</v>
      </c>
      <c r="J211" s="28">
        <f>SUM(BC211:BN211)</f>
        <v>0</v>
      </c>
      <c r="K211" s="28">
        <f>SUM(BO211:BZ211)</f>
        <v>0</v>
      </c>
      <c r="L211" s="28">
        <f>SUM(CA211:CL211)</f>
        <v>0</v>
      </c>
      <c r="M211" s="28">
        <f>SUM(CM211:CX211)</f>
        <v>0</v>
      </c>
      <c r="N211" s="28">
        <f>SUM(CY211:DJ211)</f>
        <v>0</v>
      </c>
      <c r="O211" s="28">
        <f>SUM(DK211:DV211)</f>
        <v>0</v>
      </c>
      <c r="P211" s="28">
        <f>SUM(DW211:EH211)</f>
        <v>0</v>
      </c>
      <c r="Q211" s="28">
        <f>SUM(EI211:ET211)</f>
        <v>0</v>
      </c>
      <c r="S211" s="28">
        <f>IF(S$6='Lease Cycles'!$HL$19,'Lease Cycles'!$HS$19+'Lease Cycles'!$HZ$19,0)</f>
        <v>0</v>
      </c>
      <c r="T211" s="28">
        <f>IF(T$6='Lease Cycles'!$HL$19,'Lease Cycles'!$HS$19+'Lease Cycles'!$HZ$19,0)</f>
        <v>0</v>
      </c>
      <c r="U211" s="28">
        <f>IF(U$6='Lease Cycles'!$HL$19,'Lease Cycles'!$HS$19+'Lease Cycles'!$HZ$19,0)</f>
        <v>0</v>
      </c>
      <c r="V211" s="28">
        <f>IF(V$6='Lease Cycles'!$HL$19,'Lease Cycles'!$HS$19+'Lease Cycles'!$HZ$19,0)</f>
        <v>0</v>
      </c>
      <c r="W211" s="28">
        <f>IF(W$6='Lease Cycles'!$HL$19,'Lease Cycles'!$HS$19+'Lease Cycles'!$HZ$19,0)</f>
        <v>0</v>
      </c>
      <c r="X211" s="28">
        <f>IF(X$6='Lease Cycles'!$HL$19,'Lease Cycles'!$HS$19+'Lease Cycles'!$HZ$19,0)</f>
        <v>0</v>
      </c>
      <c r="Y211" s="28">
        <f>IF(Y$6='Lease Cycles'!$HL$19,'Lease Cycles'!$HS$19+'Lease Cycles'!$HZ$19,0)</f>
        <v>0</v>
      </c>
      <c r="Z211" s="28">
        <f>IF(Z$6='Lease Cycles'!$HL$19,'Lease Cycles'!$HS$19+'Lease Cycles'!$HZ$19,0)</f>
        <v>0</v>
      </c>
      <c r="AA211" s="28">
        <f>IF(AA$6='Lease Cycles'!$HL$19,'Lease Cycles'!$HS$19+'Lease Cycles'!$HZ$19,0)</f>
        <v>0</v>
      </c>
      <c r="AB211" s="28">
        <f>IF(AB$6='Lease Cycles'!$HL$19,'Lease Cycles'!$HS$19+'Lease Cycles'!$HZ$19,0)</f>
        <v>0</v>
      </c>
      <c r="AC211" s="28">
        <f>IF(AC$6='Lease Cycles'!$HL$19,'Lease Cycles'!$HS$19+'Lease Cycles'!$HZ$19,0)</f>
        <v>0</v>
      </c>
      <c r="AD211" s="28">
        <f>IF(AD$6='Lease Cycles'!$HL$19,'Lease Cycles'!$HS$19+'Lease Cycles'!$HZ$19,0)</f>
        <v>0</v>
      </c>
      <c r="AE211" s="28">
        <f>IF(AE$6='Lease Cycles'!$HL$19,'Lease Cycles'!$HS$19+'Lease Cycles'!$HZ$19,0)</f>
        <v>0</v>
      </c>
      <c r="AF211" s="28">
        <f>IF(AF$6='Lease Cycles'!$HL$19,'Lease Cycles'!$HS$19+'Lease Cycles'!$HZ$19,0)</f>
        <v>0</v>
      </c>
      <c r="AG211" s="28">
        <f>IF(AG$6='Lease Cycles'!$HL$19,'Lease Cycles'!$HS$19+'Lease Cycles'!$HZ$19,0)</f>
        <v>0</v>
      </c>
      <c r="AH211" s="28">
        <f>IF(AH$6='Lease Cycles'!$HL$19,'Lease Cycles'!$HS$19+'Lease Cycles'!$HZ$19,0)</f>
        <v>0</v>
      </c>
      <c r="AI211" s="28">
        <f>IF(AI$6='Lease Cycles'!$HL$19,'Lease Cycles'!$HS$19+'Lease Cycles'!$HZ$19,0)</f>
        <v>0</v>
      </c>
      <c r="AJ211" s="28">
        <f>IF(AJ$6='Lease Cycles'!$HL$19,'Lease Cycles'!$HS$19+'Lease Cycles'!$HZ$19,0)</f>
        <v>0</v>
      </c>
      <c r="AK211" s="28">
        <f>IF(AK$6='Lease Cycles'!$HL$19,'Lease Cycles'!$HS$19+'Lease Cycles'!$HZ$19,0)</f>
        <v>0</v>
      </c>
      <c r="AL211" s="28">
        <f>IF(AL$6='Lease Cycles'!$HL$19,'Lease Cycles'!$HS$19+'Lease Cycles'!$HZ$19,0)</f>
        <v>0</v>
      </c>
      <c r="AM211" s="28">
        <f>IF(AM$6='Lease Cycles'!$HL$19,'Lease Cycles'!$HS$19+'Lease Cycles'!$HZ$19,0)</f>
        <v>0</v>
      </c>
      <c r="AN211" s="28">
        <f>IF(AN$6='Lease Cycles'!$HL$19,'Lease Cycles'!$HS$19+'Lease Cycles'!$HZ$19,0)</f>
        <v>0</v>
      </c>
      <c r="AO211" s="28">
        <f>IF(AO$6='Lease Cycles'!$HL$19,'Lease Cycles'!$HS$19+'Lease Cycles'!$HZ$19,0)</f>
        <v>0</v>
      </c>
      <c r="AP211" s="28">
        <f>IF(AP$6='Lease Cycles'!$HL$19,'Lease Cycles'!$HS$19+'Lease Cycles'!$HZ$19,0)</f>
        <v>0</v>
      </c>
      <c r="AQ211" s="28">
        <f>IF(AQ$6='Lease Cycles'!$HL$19,'Lease Cycles'!$HS$19+'Lease Cycles'!$HZ$19,0)</f>
        <v>0</v>
      </c>
      <c r="AR211" s="28">
        <f>IF(AR$6='Lease Cycles'!$HL$19,'Lease Cycles'!$HS$19+'Lease Cycles'!$HZ$19,0)</f>
        <v>0</v>
      </c>
      <c r="AS211" s="28">
        <f>IF(AS$6='Lease Cycles'!$HL$19,'Lease Cycles'!$HS$19+'Lease Cycles'!$HZ$19,0)</f>
        <v>0</v>
      </c>
      <c r="AT211" s="28">
        <f>IF(AT$6='Lease Cycles'!$HL$19,'Lease Cycles'!$HS$19+'Lease Cycles'!$HZ$19,0)</f>
        <v>0</v>
      </c>
      <c r="AU211" s="28">
        <f>IF(AU$6='Lease Cycles'!$HL$19,'Lease Cycles'!$HS$19+'Lease Cycles'!$HZ$19,0)</f>
        <v>0</v>
      </c>
      <c r="AV211" s="28">
        <f>IF(AV$6='Lease Cycles'!$HL$19,'Lease Cycles'!$HS$19+'Lease Cycles'!$HZ$19,0)</f>
        <v>0</v>
      </c>
      <c r="AW211" s="28">
        <f>IF(AW$6='Lease Cycles'!$HL$19,'Lease Cycles'!$HS$19+'Lease Cycles'!$HZ$19,0)</f>
        <v>0</v>
      </c>
      <c r="AX211" s="28">
        <f>IF(AX$6='Lease Cycles'!$HL$19,'Lease Cycles'!$HS$19+'Lease Cycles'!$HZ$19,0)</f>
        <v>0</v>
      </c>
      <c r="AY211" s="28">
        <f>IF(AY$6='Lease Cycles'!$HL$19,'Lease Cycles'!$HS$19+'Lease Cycles'!$HZ$19,0)</f>
        <v>0</v>
      </c>
      <c r="AZ211" s="28">
        <f>IF(AZ$6='Lease Cycles'!$HL$19,'Lease Cycles'!$HS$19+'Lease Cycles'!$HZ$19,0)</f>
        <v>0</v>
      </c>
      <c r="BA211" s="28">
        <f>IF(BA$6='Lease Cycles'!$HL$19,'Lease Cycles'!$HS$19+'Lease Cycles'!$HZ$19,0)</f>
        <v>0</v>
      </c>
      <c r="BB211" s="28">
        <f>IF(BB$6='Lease Cycles'!$HL$19,'Lease Cycles'!$HS$19+'Lease Cycles'!$HZ$19,0)</f>
        <v>0</v>
      </c>
      <c r="BC211" s="28">
        <f>IF(BC$6='Lease Cycles'!$HL$19,'Lease Cycles'!$HS$19+'Lease Cycles'!$HZ$19,0)</f>
        <v>0</v>
      </c>
      <c r="BD211" s="28">
        <f>IF(BD$6='Lease Cycles'!$HL$19,'Lease Cycles'!$HS$19+'Lease Cycles'!$HZ$19,0)</f>
        <v>0</v>
      </c>
      <c r="BE211" s="28">
        <f>IF(BE$6='Lease Cycles'!$HL$19,'Lease Cycles'!$HS$19+'Lease Cycles'!$HZ$19,0)</f>
        <v>0</v>
      </c>
      <c r="BF211" s="28">
        <f>IF(BF$6='Lease Cycles'!$HL$19,'Lease Cycles'!$HS$19+'Lease Cycles'!$HZ$19,0)</f>
        <v>0</v>
      </c>
      <c r="BG211" s="28">
        <f>IF(BG$6='Lease Cycles'!$HL$19,'Lease Cycles'!$HS$19+'Lease Cycles'!$HZ$19,0)</f>
        <v>0</v>
      </c>
      <c r="BH211" s="28">
        <f>IF(BH$6='Lease Cycles'!$HL$19,'Lease Cycles'!$HS$19+'Lease Cycles'!$HZ$19,0)</f>
        <v>0</v>
      </c>
      <c r="BI211" s="28">
        <f>IF(BI$6='Lease Cycles'!$HL$19,'Lease Cycles'!$HS$19+'Lease Cycles'!$HZ$19,0)</f>
        <v>0</v>
      </c>
      <c r="BJ211" s="28">
        <f>IF(BJ$6='Lease Cycles'!$HL$19,'Lease Cycles'!$HS$19+'Lease Cycles'!$HZ$19,0)</f>
        <v>0</v>
      </c>
      <c r="BK211" s="28">
        <f>IF(BK$6='Lease Cycles'!$HL$19,'Lease Cycles'!$HS$19+'Lease Cycles'!$HZ$19,0)</f>
        <v>0</v>
      </c>
      <c r="BL211" s="28">
        <f>IF(BL$6='Lease Cycles'!$HL$19,'Lease Cycles'!$HS$19+'Lease Cycles'!$HZ$19,0)</f>
        <v>0</v>
      </c>
      <c r="BM211" s="28">
        <f>IF(BM$6='Lease Cycles'!$HL$19,'Lease Cycles'!$HS$19+'Lease Cycles'!$HZ$19,0)</f>
        <v>0</v>
      </c>
      <c r="BN211" s="28">
        <f>IF(BN$6='Lease Cycles'!$HL$19,'Lease Cycles'!$HS$19+'Lease Cycles'!$HZ$19,0)</f>
        <v>0</v>
      </c>
      <c r="BO211" s="28">
        <f>IF(BO$6='Lease Cycles'!$HL$19,'Lease Cycles'!$HS$19+'Lease Cycles'!$HZ$19,0)</f>
        <v>0</v>
      </c>
      <c r="BP211" s="28">
        <f>IF(BP$6='Lease Cycles'!$HL$19,'Lease Cycles'!$HS$19+'Lease Cycles'!$HZ$19,0)</f>
        <v>0</v>
      </c>
      <c r="BQ211" s="28">
        <f>IF(BQ$6='Lease Cycles'!$HL$19,'Lease Cycles'!$HS$19+'Lease Cycles'!$HZ$19,0)</f>
        <v>0</v>
      </c>
      <c r="BR211" s="28">
        <f>IF(BR$6='Lease Cycles'!$HL$19,'Lease Cycles'!$HS$19+'Lease Cycles'!$HZ$19,0)</f>
        <v>0</v>
      </c>
      <c r="BS211" s="28">
        <f>IF(BS$6='Lease Cycles'!$HL$19,'Lease Cycles'!$HS$19+'Lease Cycles'!$HZ$19,0)</f>
        <v>0</v>
      </c>
      <c r="BT211" s="28">
        <f>IF(BT$6='Lease Cycles'!$HL$19,'Lease Cycles'!$HS$19+'Lease Cycles'!$HZ$19,0)</f>
        <v>0</v>
      </c>
      <c r="BU211" s="28">
        <f>IF(BU$6='Lease Cycles'!$HL$19,'Lease Cycles'!$HS$19+'Lease Cycles'!$HZ$19,0)</f>
        <v>0</v>
      </c>
      <c r="BV211" s="28">
        <f>IF(BV$6='Lease Cycles'!$HL$19,'Lease Cycles'!$HS$19+'Lease Cycles'!$HZ$19,0)</f>
        <v>0</v>
      </c>
      <c r="BW211" s="28">
        <f>IF(BW$6='Lease Cycles'!$HL$19,'Lease Cycles'!$HS$19+'Lease Cycles'!$HZ$19,0)</f>
        <v>0</v>
      </c>
      <c r="BX211" s="28">
        <f>IF(BX$6='Lease Cycles'!$HL$19,'Lease Cycles'!$HS$19+'Lease Cycles'!$HZ$19,0)</f>
        <v>0</v>
      </c>
      <c r="BY211" s="28">
        <f>IF(BY$6='Lease Cycles'!$HL$19,'Lease Cycles'!$HS$19+'Lease Cycles'!$HZ$19,0)</f>
        <v>0</v>
      </c>
      <c r="BZ211" s="28">
        <f>IF(BZ$6='Lease Cycles'!$HL$19,'Lease Cycles'!$HS$19+'Lease Cycles'!$HZ$19,0)</f>
        <v>0</v>
      </c>
      <c r="CA211" s="28">
        <f>IF(CA$6='Lease Cycles'!$HL$19,'Lease Cycles'!$HS$19+'Lease Cycles'!$HZ$19,0)</f>
        <v>0</v>
      </c>
      <c r="CB211" s="28">
        <f>IF(CB$6='Lease Cycles'!$HL$19,'Lease Cycles'!$HS$19+'Lease Cycles'!$HZ$19,0)</f>
        <v>0</v>
      </c>
      <c r="CC211" s="28">
        <f>IF(CC$6='Lease Cycles'!$HL$19,'Lease Cycles'!$HS$19+'Lease Cycles'!$HZ$19,0)</f>
        <v>0</v>
      </c>
      <c r="CD211" s="28">
        <f>IF(CD$6='Lease Cycles'!$HL$19,'Lease Cycles'!$HS$19+'Lease Cycles'!$HZ$19,0)</f>
        <v>0</v>
      </c>
      <c r="CE211" s="28">
        <f>IF(CE$6='Lease Cycles'!$HL$19,'Lease Cycles'!$HS$19+'Lease Cycles'!$HZ$19,0)</f>
        <v>0</v>
      </c>
      <c r="CF211" s="28">
        <f>IF(CF$6='Lease Cycles'!$HL$19,'Lease Cycles'!$HS$19+'Lease Cycles'!$HZ$19,0)</f>
        <v>0</v>
      </c>
      <c r="CG211" s="28">
        <f>IF(CG$6='Lease Cycles'!$HL$19,'Lease Cycles'!$HS$19+'Lease Cycles'!$HZ$19,0)</f>
        <v>0</v>
      </c>
      <c r="CH211" s="28">
        <f>IF(CH$6='Lease Cycles'!$HL$19,'Lease Cycles'!$HS$19+'Lease Cycles'!$HZ$19,0)</f>
        <v>0</v>
      </c>
      <c r="CI211" s="28">
        <f>IF(CI$6='Lease Cycles'!$HL$19,'Lease Cycles'!$HS$19+'Lease Cycles'!$HZ$19,0)</f>
        <v>0</v>
      </c>
      <c r="CJ211" s="28">
        <f>IF(CJ$6='Lease Cycles'!$HL$19,'Lease Cycles'!$HS$19+'Lease Cycles'!$HZ$19,0)</f>
        <v>0</v>
      </c>
      <c r="CK211" s="28">
        <f>IF(CK$6='Lease Cycles'!$HL$19,'Lease Cycles'!$HS$19+'Lease Cycles'!$HZ$19,0)</f>
        <v>0</v>
      </c>
      <c r="CL211" s="28">
        <f>IF(CL$6='Lease Cycles'!$HL$19,'Lease Cycles'!$HS$19+'Lease Cycles'!$HZ$19,0)</f>
        <v>0</v>
      </c>
      <c r="CM211" s="28">
        <f>IF(CM$6='Lease Cycles'!$HL$19,'Lease Cycles'!$HS$19+'Lease Cycles'!$HZ$19,0)</f>
        <v>0</v>
      </c>
      <c r="CN211" s="28">
        <f>IF(CN$6='Lease Cycles'!$HL$19,'Lease Cycles'!$HS$19+'Lease Cycles'!$HZ$19,0)</f>
        <v>0</v>
      </c>
      <c r="CO211" s="28">
        <f>IF(CO$6='Lease Cycles'!$HL$19,'Lease Cycles'!$HS$19+'Lease Cycles'!$HZ$19,0)</f>
        <v>0</v>
      </c>
      <c r="CP211" s="28">
        <f>IF(CP$6='Lease Cycles'!$HL$19,'Lease Cycles'!$HS$19+'Lease Cycles'!$HZ$19,0)</f>
        <v>0</v>
      </c>
      <c r="CQ211" s="28">
        <f>IF(CQ$6='Lease Cycles'!$HL$19,'Lease Cycles'!$HS$19+'Lease Cycles'!$HZ$19,0)</f>
        <v>0</v>
      </c>
      <c r="CR211" s="28">
        <f>IF(CR$6='Lease Cycles'!$HL$19,'Lease Cycles'!$HS$19+'Lease Cycles'!$HZ$19,0)</f>
        <v>0</v>
      </c>
      <c r="CS211" s="28">
        <f>IF(CS$6='Lease Cycles'!$HL$19,'Lease Cycles'!$HS$19+'Lease Cycles'!$HZ$19,0)</f>
        <v>0</v>
      </c>
      <c r="CT211" s="28">
        <f>IF(CT$6='Lease Cycles'!$HL$19,'Lease Cycles'!$HS$19+'Lease Cycles'!$HZ$19,0)</f>
        <v>0</v>
      </c>
      <c r="CU211" s="28">
        <f>IF(CU$6='Lease Cycles'!$HL$19,'Lease Cycles'!$HS$19+'Lease Cycles'!$HZ$19,0)</f>
        <v>0</v>
      </c>
      <c r="CV211" s="28">
        <f>IF(CV$6='Lease Cycles'!$HL$19,'Lease Cycles'!$HS$19+'Lease Cycles'!$HZ$19,0)</f>
        <v>0</v>
      </c>
      <c r="CW211" s="28">
        <f>IF(CW$6='Lease Cycles'!$HL$19,'Lease Cycles'!$HS$19+'Lease Cycles'!$HZ$19,0)</f>
        <v>0</v>
      </c>
      <c r="CX211" s="28">
        <f>IF(CX$6='Lease Cycles'!$HL$19,'Lease Cycles'!$HS$19+'Lease Cycles'!$HZ$19,0)</f>
        <v>0</v>
      </c>
      <c r="CY211" s="28">
        <f>IF(CY$6='Lease Cycles'!$HL$19,'Lease Cycles'!$HS$19+'Lease Cycles'!$HZ$19,0)</f>
        <v>0</v>
      </c>
      <c r="CZ211" s="28">
        <f>IF(CZ$6='Lease Cycles'!$HL$19,'Lease Cycles'!$HS$19+'Lease Cycles'!$HZ$19,0)</f>
        <v>0</v>
      </c>
      <c r="DA211" s="28">
        <f>IF(DA$6='Lease Cycles'!$HL$19,'Lease Cycles'!$HS$19+'Lease Cycles'!$HZ$19,0)</f>
        <v>0</v>
      </c>
      <c r="DB211" s="28">
        <f>IF(DB$6='Lease Cycles'!$HL$19,'Lease Cycles'!$HS$19+'Lease Cycles'!$HZ$19,0)</f>
        <v>0</v>
      </c>
      <c r="DC211" s="28">
        <f>IF(DC$6='Lease Cycles'!$HL$19,'Lease Cycles'!$HS$19+'Lease Cycles'!$HZ$19,0)</f>
        <v>0</v>
      </c>
      <c r="DD211" s="28">
        <f>IF(DD$6='Lease Cycles'!$HL$19,'Lease Cycles'!$HS$19+'Lease Cycles'!$HZ$19,0)</f>
        <v>0</v>
      </c>
      <c r="DE211" s="28">
        <f>IF(DE$6='Lease Cycles'!$HL$19,'Lease Cycles'!$HS$19+'Lease Cycles'!$HZ$19,0)</f>
        <v>0</v>
      </c>
      <c r="DF211" s="28">
        <f>IF(DF$6='Lease Cycles'!$HL$19,'Lease Cycles'!$HS$19+'Lease Cycles'!$HZ$19,0)</f>
        <v>0</v>
      </c>
      <c r="DG211" s="28">
        <f>IF(DG$6='Lease Cycles'!$HL$19,'Lease Cycles'!$HS$19+'Lease Cycles'!$HZ$19,0)</f>
        <v>0</v>
      </c>
      <c r="DH211" s="28">
        <f>IF(DH$6='Lease Cycles'!$HL$19,'Lease Cycles'!$HS$19+'Lease Cycles'!$HZ$19,0)</f>
        <v>0</v>
      </c>
      <c r="DI211" s="28">
        <f>IF(DI$6='Lease Cycles'!$HL$19,'Lease Cycles'!$HS$19+'Lease Cycles'!$HZ$19,0)</f>
        <v>0</v>
      </c>
      <c r="DJ211" s="28">
        <f>IF(DJ$6='Lease Cycles'!$HL$19,'Lease Cycles'!$HS$19+'Lease Cycles'!$HZ$19,0)</f>
        <v>0</v>
      </c>
      <c r="DK211" s="28">
        <f>IF(DK$6='Lease Cycles'!$HL$19,'Lease Cycles'!$HS$19+'Lease Cycles'!$HZ$19,0)</f>
        <v>0</v>
      </c>
      <c r="DL211" s="28">
        <f>IF(DL$6='Lease Cycles'!$HL$19,'Lease Cycles'!$HS$19+'Lease Cycles'!$HZ$19,0)</f>
        <v>0</v>
      </c>
      <c r="DM211" s="28">
        <f>IF(DM$6='Lease Cycles'!$HL$19,'Lease Cycles'!$HS$19+'Lease Cycles'!$HZ$19,0)</f>
        <v>0</v>
      </c>
      <c r="DN211" s="28">
        <f>IF(DN$6='Lease Cycles'!$HL$19,'Lease Cycles'!$HS$19+'Lease Cycles'!$HZ$19,0)</f>
        <v>0</v>
      </c>
      <c r="DO211" s="28">
        <f>IF(DO$6='Lease Cycles'!$HL$19,'Lease Cycles'!$HS$19+'Lease Cycles'!$HZ$19,0)</f>
        <v>0</v>
      </c>
      <c r="DP211" s="28">
        <f>IF(DP$6='Lease Cycles'!$HL$19,'Lease Cycles'!$HS$19+'Lease Cycles'!$HZ$19,0)</f>
        <v>0</v>
      </c>
      <c r="DQ211" s="28">
        <f>IF(DQ$6='Lease Cycles'!$HL$19,'Lease Cycles'!$HS$19+'Lease Cycles'!$HZ$19,0)</f>
        <v>0</v>
      </c>
      <c r="DR211" s="28">
        <f>IF(DR$6='Lease Cycles'!$HL$19,'Lease Cycles'!$HS$19+'Lease Cycles'!$HZ$19,0)</f>
        <v>0</v>
      </c>
      <c r="DS211" s="28">
        <f>IF(DS$6='Lease Cycles'!$HL$19,'Lease Cycles'!$HS$19+'Lease Cycles'!$HZ$19,0)</f>
        <v>0</v>
      </c>
      <c r="DT211" s="28">
        <f>IF(DT$6='Lease Cycles'!$HL$19,'Lease Cycles'!$HS$19+'Lease Cycles'!$HZ$19,0)</f>
        <v>0</v>
      </c>
      <c r="DU211" s="28">
        <f>IF(DU$6='Lease Cycles'!$HL$19,'Lease Cycles'!$HS$19+'Lease Cycles'!$HZ$19,0)</f>
        <v>0</v>
      </c>
      <c r="DV211" s="28">
        <f>IF(DV$6='Lease Cycles'!$HL$19,'Lease Cycles'!$HS$19+'Lease Cycles'!$HZ$19,0)</f>
        <v>0</v>
      </c>
      <c r="DW211" s="28">
        <f>IF(DW$6='Lease Cycles'!$HL$19,'Lease Cycles'!$HS$19+'Lease Cycles'!$HZ$19,0)</f>
        <v>0</v>
      </c>
      <c r="DX211" s="28">
        <f>IF(DX$6='Lease Cycles'!$HL$19,'Lease Cycles'!$HS$19+'Lease Cycles'!$HZ$19,0)</f>
        <v>0</v>
      </c>
      <c r="DY211" s="28">
        <f>IF(DY$6='Lease Cycles'!$HL$19,'Lease Cycles'!$HS$19+'Lease Cycles'!$HZ$19,0)</f>
        <v>0</v>
      </c>
      <c r="DZ211" s="28">
        <f>IF(DZ$6='Lease Cycles'!$HL$19,'Lease Cycles'!$HS$19+'Lease Cycles'!$HZ$19,0)</f>
        <v>0</v>
      </c>
      <c r="EA211" s="28">
        <f>IF(EA$6='Lease Cycles'!$HL$19,'Lease Cycles'!$HS$19+'Lease Cycles'!$HZ$19,0)</f>
        <v>0</v>
      </c>
      <c r="EB211" s="28">
        <f>IF(EB$6='Lease Cycles'!$HL$19,'Lease Cycles'!$HS$19+'Lease Cycles'!$HZ$19,0)</f>
        <v>0</v>
      </c>
      <c r="EC211" s="28">
        <f>IF(EC$6='Lease Cycles'!$HL$19,'Lease Cycles'!$HS$19+'Lease Cycles'!$HZ$19,0)</f>
        <v>0</v>
      </c>
      <c r="ED211" s="28">
        <f>IF(ED$6='Lease Cycles'!$HL$19,'Lease Cycles'!$HS$19+'Lease Cycles'!$HZ$19,0)</f>
        <v>0</v>
      </c>
      <c r="EE211" s="28">
        <f>IF(EE$6='Lease Cycles'!$HL$19,'Lease Cycles'!$HS$19+'Lease Cycles'!$HZ$19,0)</f>
        <v>0</v>
      </c>
      <c r="EF211" s="28">
        <f>IF(EF$6='Lease Cycles'!$HL$19,'Lease Cycles'!$HS$19+'Lease Cycles'!$HZ$19,0)</f>
        <v>0</v>
      </c>
      <c r="EG211" s="28">
        <f>IF(EG$6='Lease Cycles'!$HL$19,'Lease Cycles'!$HS$19+'Lease Cycles'!$HZ$19,0)</f>
        <v>0</v>
      </c>
      <c r="EH211" s="28">
        <f>IF(EH$6='Lease Cycles'!$HL$19,'Lease Cycles'!$HS$19+'Lease Cycles'!$HZ$19,0)</f>
        <v>0</v>
      </c>
      <c r="EI211" s="28">
        <f>IF(EI$6='Lease Cycles'!$HL$19,'Lease Cycles'!$HS$19+'Lease Cycles'!$HZ$19,0)</f>
        <v>0</v>
      </c>
      <c r="EJ211" s="28">
        <f>IF(EJ$6='Lease Cycles'!$HL$19,'Lease Cycles'!$HS$19+'Lease Cycles'!$HZ$19,0)</f>
        <v>0</v>
      </c>
      <c r="EK211" s="28">
        <f>IF(EK$6='Lease Cycles'!$HL$19,'Lease Cycles'!$HS$19+'Lease Cycles'!$HZ$19,0)</f>
        <v>0</v>
      </c>
      <c r="EL211" s="28">
        <f>IF(EL$6='Lease Cycles'!$HL$19,'Lease Cycles'!$HS$19+'Lease Cycles'!$HZ$19,0)</f>
        <v>0</v>
      </c>
      <c r="EM211" s="28">
        <f>IF(EM$6='Lease Cycles'!$HL$19,'Lease Cycles'!$HS$19+'Lease Cycles'!$HZ$19,0)</f>
        <v>0</v>
      </c>
      <c r="EN211" s="28">
        <f>IF(EN$6='Lease Cycles'!$HL$19,'Lease Cycles'!$HS$19+'Lease Cycles'!$HZ$19,0)</f>
        <v>0</v>
      </c>
      <c r="EO211" s="28">
        <f>IF(EO$6='Lease Cycles'!$HL$19,'Lease Cycles'!$HS$19+'Lease Cycles'!$HZ$19,0)</f>
        <v>0</v>
      </c>
      <c r="EP211" s="28">
        <f>IF(EP$6='Lease Cycles'!$HL$19,'Lease Cycles'!$HS$19+'Lease Cycles'!$HZ$19,0)</f>
        <v>0</v>
      </c>
      <c r="EQ211" s="28">
        <f>IF(EQ$6='Lease Cycles'!$HL$19,'Lease Cycles'!$HS$19+'Lease Cycles'!$HZ$19,0)</f>
        <v>0</v>
      </c>
      <c r="ER211" s="28">
        <f>IF(ER$6='Lease Cycles'!$HL$19,'Lease Cycles'!$HS$19+'Lease Cycles'!$HZ$19,0)</f>
        <v>0</v>
      </c>
      <c r="ES211" s="28">
        <f>IF(ES$6='Lease Cycles'!$HL$19,'Lease Cycles'!$HS$19+'Lease Cycles'!$HZ$19,0)</f>
        <v>0</v>
      </c>
      <c r="ET211" s="28">
        <f>IF(ET$6='Lease Cycles'!$HL$19,'Lease Cycles'!$HS$19+'Lease Cycles'!$HZ$19,0)</f>
        <v>0</v>
      </c>
    </row>
    <row r="212">
      <c r="A212" s="103">
        <v>12</v>
      </c>
      <c r="B212" s="23" t="str">
        <f>IF('Lease Cycles'!$B$19="","(empty slot)",'Lease Cycles'!$B$19)</f>
        <v>(empty slot)</v>
      </c>
      <c r="C212" s="23" t="s">
        <v>499</v>
      </c>
      <c r="D212" s="104" t="s">
        <v>500</v>
      </c>
      <c r="E212" s="25">
        <f>'Lease Cycles'!$AL$19</f>
        <v>0</v>
      </c>
      <c r="G212" s="28">
        <f>MAX(0,'Lease Cycles'!$AN$19*'Lease Cycles'!$C$19*'Lease Cycles'!$AM$19*(1+a_SalesGrowth)^(G$6-1)-G202)</f>
        <v>0</v>
      </c>
      <c r="H212" s="28">
        <f>MAX(0,'Lease Cycles'!$AN$19*'Lease Cycles'!$C$19*'Lease Cycles'!$AM$19*(1+a_SalesGrowth)^(H$6-1)-H202)</f>
        <v>0</v>
      </c>
      <c r="I212" s="28">
        <f>MAX(0,'Lease Cycles'!$AN$19*'Lease Cycles'!$C$19*'Lease Cycles'!$AM$19*(1+a_SalesGrowth)^(I$6-1)-I202)</f>
        <v>0</v>
      </c>
      <c r="J212" s="28">
        <f>MAX(0,'Lease Cycles'!$AN$19*'Lease Cycles'!$C$19*'Lease Cycles'!$AM$19*(1+a_SalesGrowth)^(J$6-1)-J202)</f>
        <v>0</v>
      </c>
      <c r="K212" s="28">
        <f>MAX(0,'Lease Cycles'!$AN$19*'Lease Cycles'!$C$19*'Lease Cycles'!$AM$19*(1+a_SalesGrowth)^(K$6-1)-K202)</f>
        <v>0</v>
      </c>
      <c r="L212" s="28">
        <f>MAX(0,'Lease Cycles'!$AN$19*'Lease Cycles'!$C$19*'Lease Cycles'!$AM$19*(1+a_SalesGrowth)^(L$6-1)-L202)</f>
        <v>0</v>
      </c>
      <c r="M212" s="28">
        <f>MAX(0,'Lease Cycles'!$AN$19*'Lease Cycles'!$C$19*'Lease Cycles'!$AM$19*(1+a_SalesGrowth)^(M$6-1)-M202)</f>
        <v>0</v>
      </c>
      <c r="N212" s="28">
        <f>MAX(0,'Lease Cycles'!$AN$19*'Lease Cycles'!$C$19*'Lease Cycles'!$AM$19*(1+a_SalesGrowth)^(N$6-1)-N202)</f>
        <v>0</v>
      </c>
      <c r="O212" s="28">
        <f>MAX(0,'Lease Cycles'!$AN$19*'Lease Cycles'!$C$19*'Lease Cycles'!$AM$19*(1+a_SalesGrowth)^(O$6-1)-O202)</f>
        <v>0</v>
      </c>
      <c r="P212" s="28">
        <f>MAX(0,'Lease Cycles'!$AN$19*'Lease Cycles'!$C$19*'Lease Cycles'!$AM$19*(1+a_SalesGrowth)^(P$6-1)-P202)</f>
        <v>0</v>
      </c>
      <c r="Q212" s="28">
        <f>MAX(0,'Lease Cycles'!$AN$19*'Lease Cycles'!$C$19*'Lease Cycles'!$AM$19*(1+a_SalesGrowth)^(Q$6-1)-Q202)</f>
        <v>0</v>
      </c>
    </row>
    <row r="214">
      <c r="A214" s="103">
        <v>13</v>
      </c>
      <c r="B214" s="23" t="str">
        <f>IF('Lease Cycles'!$B$20="","(empty slot)",'Lease Cycles'!$B$20)</f>
        <v>(empty slot)</v>
      </c>
      <c r="C214" s="23" t="s">
        <v>671</v>
      </c>
      <c r="D214" s="104" t="s">
        <v>672</v>
      </c>
      <c r="E214" s="25">
        <f>'Lease Cycles'!$AL$20</f>
        <v>0</v>
      </c>
      <c r="S214" s="25">
        <f>IF('Lease Cycles'!$C$20&gt;0,COUNTIF('Lease Cycles'!$BG$20:$BM$20,"&lt;="&amp;S$6),0)</f>
        <v>0</v>
      </c>
      <c r="T214" s="25">
        <f>IF('Lease Cycles'!$C$20&gt;0,COUNTIF('Lease Cycles'!$BG$20:$BM$20,"&lt;="&amp;T$6),0)</f>
        <v>0</v>
      </c>
      <c r="U214" s="25">
        <f>IF('Lease Cycles'!$C$20&gt;0,COUNTIF('Lease Cycles'!$BG$20:$BM$20,"&lt;="&amp;U$6),0)</f>
        <v>0</v>
      </c>
      <c r="V214" s="25">
        <f>IF('Lease Cycles'!$C$20&gt;0,COUNTIF('Lease Cycles'!$BG$20:$BM$20,"&lt;="&amp;V$6),0)</f>
        <v>0</v>
      </c>
      <c r="W214" s="25">
        <f>IF('Lease Cycles'!$C$20&gt;0,COUNTIF('Lease Cycles'!$BG$20:$BM$20,"&lt;="&amp;W$6),0)</f>
        <v>0</v>
      </c>
      <c r="X214" s="25">
        <f>IF('Lease Cycles'!$C$20&gt;0,COUNTIF('Lease Cycles'!$BG$20:$BM$20,"&lt;="&amp;X$6),0)</f>
        <v>0</v>
      </c>
      <c r="Y214" s="25">
        <f>IF('Lease Cycles'!$C$20&gt;0,COUNTIF('Lease Cycles'!$BG$20:$BM$20,"&lt;="&amp;Y$6),0)</f>
        <v>0</v>
      </c>
      <c r="Z214" s="25">
        <f>IF('Lease Cycles'!$C$20&gt;0,COUNTIF('Lease Cycles'!$BG$20:$BM$20,"&lt;="&amp;Z$6),0)</f>
        <v>0</v>
      </c>
      <c r="AA214" s="25">
        <f>IF('Lease Cycles'!$C$20&gt;0,COUNTIF('Lease Cycles'!$BG$20:$BM$20,"&lt;="&amp;AA$6),0)</f>
        <v>0</v>
      </c>
      <c r="AB214" s="25">
        <f>IF('Lease Cycles'!$C$20&gt;0,COUNTIF('Lease Cycles'!$BG$20:$BM$20,"&lt;="&amp;AB$6),0)</f>
        <v>0</v>
      </c>
      <c r="AC214" s="25">
        <f>IF('Lease Cycles'!$C$20&gt;0,COUNTIF('Lease Cycles'!$BG$20:$BM$20,"&lt;="&amp;AC$6),0)</f>
        <v>0</v>
      </c>
      <c r="AD214" s="25">
        <f>IF('Lease Cycles'!$C$20&gt;0,COUNTIF('Lease Cycles'!$BG$20:$BM$20,"&lt;="&amp;AD$6),0)</f>
        <v>0</v>
      </c>
      <c r="AE214" s="25">
        <f>IF('Lease Cycles'!$C$20&gt;0,COUNTIF('Lease Cycles'!$BG$20:$BM$20,"&lt;="&amp;AE$6),0)</f>
        <v>0</v>
      </c>
      <c r="AF214" s="25">
        <f>IF('Lease Cycles'!$C$20&gt;0,COUNTIF('Lease Cycles'!$BG$20:$BM$20,"&lt;="&amp;AF$6),0)</f>
        <v>0</v>
      </c>
      <c r="AG214" s="25">
        <f>IF('Lease Cycles'!$C$20&gt;0,COUNTIF('Lease Cycles'!$BG$20:$BM$20,"&lt;="&amp;AG$6),0)</f>
        <v>0</v>
      </c>
      <c r="AH214" s="25">
        <f>IF('Lease Cycles'!$C$20&gt;0,COUNTIF('Lease Cycles'!$BG$20:$BM$20,"&lt;="&amp;AH$6),0)</f>
        <v>0</v>
      </c>
      <c r="AI214" s="25">
        <f>IF('Lease Cycles'!$C$20&gt;0,COUNTIF('Lease Cycles'!$BG$20:$BM$20,"&lt;="&amp;AI$6),0)</f>
        <v>0</v>
      </c>
      <c r="AJ214" s="25">
        <f>IF('Lease Cycles'!$C$20&gt;0,COUNTIF('Lease Cycles'!$BG$20:$BM$20,"&lt;="&amp;AJ$6),0)</f>
        <v>0</v>
      </c>
      <c r="AK214" s="25">
        <f>IF('Lease Cycles'!$C$20&gt;0,COUNTIF('Lease Cycles'!$BG$20:$BM$20,"&lt;="&amp;AK$6),0)</f>
        <v>0</v>
      </c>
      <c r="AL214" s="25">
        <f>IF('Lease Cycles'!$C$20&gt;0,COUNTIF('Lease Cycles'!$BG$20:$BM$20,"&lt;="&amp;AL$6),0)</f>
        <v>0</v>
      </c>
      <c r="AM214" s="25">
        <f>IF('Lease Cycles'!$C$20&gt;0,COUNTIF('Lease Cycles'!$BG$20:$BM$20,"&lt;="&amp;AM$6),0)</f>
        <v>0</v>
      </c>
      <c r="AN214" s="25">
        <f>IF('Lease Cycles'!$C$20&gt;0,COUNTIF('Lease Cycles'!$BG$20:$BM$20,"&lt;="&amp;AN$6),0)</f>
        <v>0</v>
      </c>
      <c r="AO214" s="25">
        <f>IF('Lease Cycles'!$C$20&gt;0,COUNTIF('Lease Cycles'!$BG$20:$BM$20,"&lt;="&amp;AO$6),0)</f>
        <v>0</v>
      </c>
      <c r="AP214" s="25">
        <f>IF('Lease Cycles'!$C$20&gt;0,COUNTIF('Lease Cycles'!$BG$20:$BM$20,"&lt;="&amp;AP$6),0)</f>
        <v>0</v>
      </c>
      <c r="AQ214" s="25">
        <f>IF('Lease Cycles'!$C$20&gt;0,COUNTIF('Lease Cycles'!$BG$20:$BM$20,"&lt;="&amp;AQ$6),0)</f>
        <v>0</v>
      </c>
      <c r="AR214" s="25">
        <f>IF('Lease Cycles'!$C$20&gt;0,COUNTIF('Lease Cycles'!$BG$20:$BM$20,"&lt;="&amp;AR$6),0)</f>
        <v>0</v>
      </c>
      <c r="AS214" s="25">
        <f>IF('Lease Cycles'!$C$20&gt;0,COUNTIF('Lease Cycles'!$BG$20:$BM$20,"&lt;="&amp;AS$6),0)</f>
        <v>0</v>
      </c>
      <c r="AT214" s="25">
        <f>IF('Lease Cycles'!$C$20&gt;0,COUNTIF('Lease Cycles'!$BG$20:$BM$20,"&lt;="&amp;AT$6),0)</f>
        <v>0</v>
      </c>
      <c r="AU214" s="25">
        <f>IF('Lease Cycles'!$C$20&gt;0,COUNTIF('Lease Cycles'!$BG$20:$BM$20,"&lt;="&amp;AU$6),0)</f>
        <v>0</v>
      </c>
      <c r="AV214" s="25">
        <f>IF('Lease Cycles'!$C$20&gt;0,COUNTIF('Lease Cycles'!$BG$20:$BM$20,"&lt;="&amp;AV$6),0)</f>
        <v>0</v>
      </c>
      <c r="AW214" s="25">
        <f>IF('Lease Cycles'!$C$20&gt;0,COUNTIF('Lease Cycles'!$BG$20:$BM$20,"&lt;="&amp;AW$6),0)</f>
        <v>0</v>
      </c>
      <c r="AX214" s="25">
        <f>IF('Lease Cycles'!$C$20&gt;0,COUNTIF('Lease Cycles'!$BG$20:$BM$20,"&lt;="&amp;AX$6),0)</f>
        <v>0</v>
      </c>
      <c r="AY214" s="25">
        <f>IF('Lease Cycles'!$C$20&gt;0,COUNTIF('Lease Cycles'!$BG$20:$BM$20,"&lt;="&amp;AY$6),0)</f>
        <v>0</v>
      </c>
      <c r="AZ214" s="25">
        <f>IF('Lease Cycles'!$C$20&gt;0,COUNTIF('Lease Cycles'!$BG$20:$BM$20,"&lt;="&amp;AZ$6),0)</f>
        <v>0</v>
      </c>
      <c r="BA214" s="25">
        <f>IF('Lease Cycles'!$C$20&gt;0,COUNTIF('Lease Cycles'!$BG$20:$BM$20,"&lt;="&amp;BA$6),0)</f>
        <v>0</v>
      </c>
      <c r="BB214" s="25">
        <f>IF('Lease Cycles'!$C$20&gt;0,COUNTIF('Lease Cycles'!$BG$20:$BM$20,"&lt;="&amp;BB$6),0)</f>
        <v>0</v>
      </c>
      <c r="BC214" s="25">
        <f>IF('Lease Cycles'!$C$20&gt;0,COUNTIF('Lease Cycles'!$BG$20:$BM$20,"&lt;="&amp;BC$6),0)</f>
        <v>0</v>
      </c>
      <c r="BD214" s="25">
        <f>IF('Lease Cycles'!$C$20&gt;0,COUNTIF('Lease Cycles'!$BG$20:$BM$20,"&lt;="&amp;BD$6),0)</f>
        <v>0</v>
      </c>
      <c r="BE214" s="25">
        <f>IF('Lease Cycles'!$C$20&gt;0,COUNTIF('Lease Cycles'!$BG$20:$BM$20,"&lt;="&amp;BE$6),0)</f>
        <v>0</v>
      </c>
      <c r="BF214" s="25">
        <f>IF('Lease Cycles'!$C$20&gt;0,COUNTIF('Lease Cycles'!$BG$20:$BM$20,"&lt;="&amp;BF$6),0)</f>
        <v>0</v>
      </c>
      <c r="BG214" s="25">
        <f>IF('Lease Cycles'!$C$20&gt;0,COUNTIF('Lease Cycles'!$BG$20:$BM$20,"&lt;="&amp;BG$6),0)</f>
        <v>0</v>
      </c>
      <c r="BH214" s="25">
        <f>IF('Lease Cycles'!$C$20&gt;0,COUNTIF('Lease Cycles'!$BG$20:$BM$20,"&lt;="&amp;BH$6),0)</f>
        <v>0</v>
      </c>
      <c r="BI214" s="25">
        <f>IF('Lease Cycles'!$C$20&gt;0,COUNTIF('Lease Cycles'!$BG$20:$BM$20,"&lt;="&amp;BI$6),0)</f>
        <v>0</v>
      </c>
      <c r="BJ214" s="25">
        <f>IF('Lease Cycles'!$C$20&gt;0,COUNTIF('Lease Cycles'!$BG$20:$BM$20,"&lt;="&amp;BJ$6),0)</f>
        <v>0</v>
      </c>
      <c r="BK214" s="25">
        <f>IF('Lease Cycles'!$C$20&gt;0,COUNTIF('Lease Cycles'!$BG$20:$BM$20,"&lt;="&amp;BK$6),0)</f>
        <v>0</v>
      </c>
      <c r="BL214" s="25">
        <f>IF('Lease Cycles'!$C$20&gt;0,COUNTIF('Lease Cycles'!$BG$20:$BM$20,"&lt;="&amp;BL$6),0)</f>
        <v>0</v>
      </c>
      <c r="BM214" s="25">
        <f>IF('Lease Cycles'!$C$20&gt;0,COUNTIF('Lease Cycles'!$BG$20:$BM$20,"&lt;="&amp;BM$6),0)</f>
        <v>0</v>
      </c>
      <c r="BN214" s="25">
        <f>IF('Lease Cycles'!$C$20&gt;0,COUNTIF('Lease Cycles'!$BG$20:$BM$20,"&lt;="&amp;BN$6),0)</f>
        <v>0</v>
      </c>
      <c r="BO214" s="25">
        <f>IF('Lease Cycles'!$C$20&gt;0,COUNTIF('Lease Cycles'!$BG$20:$BM$20,"&lt;="&amp;BO$6),0)</f>
        <v>0</v>
      </c>
      <c r="BP214" s="25">
        <f>IF('Lease Cycles'!$C$20&gt;0,COUNTIF('Lease Cycles'!$BG$20:$BM$20,"&lt;="&amp;BP$6),0)</f>
        <v>0</v>
      </c>
      <c r="BQ214" s="25">
        <f>IF('Lease Cycles'!$C$20&gt;0,COUNTIF('Lease Cycles'!$BG$20:$BM$20,"&lt;="&amp;BQ$6),0)</f>
        <v>0</v>
      </c>
      <c r="BR214" s="25">
        <f>IF('Lease Cycles'!$C$20&gt;0,COUNTIF('Lease Cycles'!$BG$20:$BM$20,"&lt;="&amp;BR$6),0)</f>
        <v>0</v>
      </c>
      <c r="BS214" s="25">
        <f>IF('Lease Cycles'!$C$20&gt;0,COUNTIF('Lease Cycles'!$BG$20:$BM$20,"&lt;="&amp;BS$6),0)</f>
        <v>0</v>
      </c>
      <c r="BT214" s="25">
        <f>IF('Lease Cycles'!$C$20&gt;0,COUNTIF('Lease Cycles'!$BG$20:$BM$20,"&lt;="&amp;BT$6),0)</f>
        <v>0</v>
      </c>
      <c r="BU214" s="25">
        <f>IF('Lease Cycles'!$C$20&gt;0,COUNTIF('Lease Cycles'!$BG$20:$BM$20,"&lt;="&amp;BU$6),0)</f>
        <v>0</v>
      </c>
      <c r="BV214" s="25">
        <f>IF('Lease Cycles'!$C$20&gt;0,COUNTIF('Lease Cycles'!$BG$20:$BM$20,"&lt;="&amp;BV$6),0)</f>
        <v>0</v>
      </c>
      <c r="BW214" s="25">
        <f>IF('Lease Cycles'!$C$20&gt;0,COUNTIF('Lease Cycles'!$BG$20:$BM$20,"&lt;="&amp;BW$6),0)</f>
        <v>0</v>
      </c>
      <c r="BX214" s="25">
        <f>IF('Lease Cycles'!$C$20&gt;0,COUNTIF('Lease Cycles'!$BG$20:$BM$20,"&lt;="&amp;BX$6),0)</f>
        <v>0</v>
      </c>
      <c r="BY214" s="25">
        <f>IF('Lease Cycles'!$C$20&gt;0,COUNTIF('Lease Cycles'!$BG$20:$BM$20,"&lt;="&amp;BY$6),0)</f>
        <v>0</v>
      </c>
      <c r="BZ214" s="25">
        <f>IF('Lease Cycles'!$C$20&gt;0,COUNTIF('Lease Cycles'!$BG$20:$BM$20,"&lt;="&amp;BZ$6),0)</f>
        <v>0</v>
      </c>
      <c r="CA214" s="25">
        <f>IF('Lease Cycles'!$C$20&gt;0,COUNTIF('Lease Cycles'!$BG$20:$BM$20,"&lt;="&amp;CA$6),0)</f>
        <v>0</v>
      </c>
      <c r="CB214" s="25">
        <f>IF('Lease Cycles'!$C$20&gt;0,COUNTIF('Lease Cycles'!$BG$20:$BM$20,"&lt;="&amp;CB$6),0)</f>
        <v>0</v>
      </c>
      <c r="CC214" s="25">
        <f>IF('Lease Cycles'!$C$20&gt;0,COUNTIF('Lease Cycles'!$BG$20:$BM$20,"&lt;="&amp;CC$6),0)</f>
        <v>0</v>
      </c>
      <c r="CD214" s="25">
        <f>IF('Lease Cycles'!$C$20&gt;0,COUNTIF('Lease Cycles'!$BG$20:$BM$20,"&lt;="&amp;CD$6),0)</f>
        <v>0</v>
      </c>
      <c r="CE214" s="25">
        <f>IF('Lease Cycles'!$C$20&gt;0,COUNTIF('Lease Cycles'!$BG$20:$BM$20,"&lt;="&amp;CE$6),0)</f>
        <v>0</v>
      </c>
      <c r="CF214" s="25">
        <f>IF('Lease Cycles'!$C$20&gt;0,COUNTIF('Lease Cycles'!$BG$20:$BM$20,"&lt;="&amp;CF$6),0)</f>
        <v>0</v>
      </c>
      <c r="CG214" s="25">
        <f>IF('Lease Cycles'!$C$20&gt;0,COUNTIF('Lease Cycles'!$BG$20:$BM$20,"&lt;="&amp;CG$6),0)</f>
        <v>0</v>
      </c>
      <c r="CH214" s="25">
        <f>IF('Lease Cycles'!$C$20&gt;0,COUNTIF('Lease Cycles'!$BG$20:$BM$20,"&lt;="&amp;CH$6),0)</f>
        <v>0</v>
      </c>
      <c r="CI214" s="25">
        <f>IF('Lease Cycles'!$C$20&gt;0,COUNTIF('Lease Cycles'!$BG$20:$BM$20,"&lt;="&amp;CI$6),0)</f>
        <v>0</v>
      </c>
      <c r="CJ214" s="25">
        <f>IF('Lease Cycles'!$C$20&gt;0,COUNTIF('Lease Cycles'!$BG$20:$BM$20,"&lt;="&amp;CJ$6),0)</f>
        <v>0</v>
      </c>
      <c r="CK214" s="25">
        <f>IF('Lease Cycles'!$C$20&gt;0,COUNTIF('Lease Cycles'!$BG$20:$BM$20,"&lt;="&amp;CK$6),0)</f>
        <v>0</v>
      </c>
      <c r="CL214" s="25">
        <f>IF('Lease Cycles'!$C$20&gt;0,COUNTIF('Lease Cycles'!$BG$20:$BM$20,"&lt;="&amp;CL$6),0)</f>
        <v>0</v>
      </c>
      <c r="CM214" s="25">
        <f>IF('Lease Cycles'!$C$20&gt;0,COUNTIF('Lease Cycles'!$BG$20:$BM$20,"&lt;="&amp;CM$6),0)</f>
        <v>0</v>
      </c>
      <c r="CN214" s="25">
        <f>IF('Lease Cycles'!$C$20&gt;0,COUNTIF('Lease Cycles'!$BG$20:$BM$20,"&lt;="&amp;CN$6),0)</f>
        <v>0</v>
      </c>
      <c r="CO214" s="25">
        <f>IF('Lease Cycles'!$C$20&gt;0,COUNTIF('Lease Cycles'!$BG$20:$BM$20,"&lt;="&amp;CO$6),0)</f>
        <v>0</v>
      </c>
      <c r="CP214" s="25">
        <f>IF('Lease Cycles'!$C$20&gt;0,COUNTIF('Lease Cycles'!$BG$20:$BM$20,"&lt;="&amp;CP$6),0)</f>
        <v>0</v>
      </c>
      <c r="CQ214" s="25">
        <f>IF('Lease Cycles'!$C$20&gt;0,COUNTIF('Lease Cycles'!$BG$20:$BM$20,"&lt;="&amp;CQ$6),0)</f>
        <v>0</v>
      </c>
      <c r="CR214" s="25">
        <f>IF('Lease Cycles'!$C$20&gt;0,COUNTIF('Lease Cycles'!$BG$20:$BM$20,"&lt;="&amp;CR$6),0)</f>
        <v>0</v>
      </c>
      <c r="CS214" s="25">
        <f>IF('Lease Cycles'!$C$20&gt;0,COUNTIF('Lease Cycles'!$BG$20:$BM$20,"&lt;="&amp;CS$6),0)</f>
        <v>0</v>
      </c>
      <c r="CT214" s="25">
        <f>IF('Lease Cycles'!$C$20&gt;0,COUNTIF('Lease Cycles'!$BG$20:$BM$20,"&lt;="&amp;CT$6),0)</f>
        <v>0</v>
      </c>
      <c r="CU214" s="25">
        <f>IF('Lease Cycles'!$C$20&gt;0,COUNTIF('Lease Cycles'!$BG$20:$BM$20,"&lt;="&amp;CU$6),0)</f>
        <v>0</v>
      </c>
      <c r="CV214" s="25">
        <f>IF('Lease Cycles'!$C$20&gt;0,COUNTIF('Lease Cycles'!$BG$20:$BM$20,"&lt;="&amp;CV$6),0)</f>
        <v>0</v>
      </c>
      <c r="CW214" s="25">
        <f>IF('Lease Cycles'!$C$20&gt;0,COUNTIF('Lease Cycles'!$BG$20:$BM$20,"&lt;="&amp;CW$6),0)</f>
        <v>0</v>
      </c>
      <c r="CX214" s="25">
        <f>IF('Lease Cycles'!$C$20&gt;0,COUNTIF('Lease Cycles'!$BG$20:$BM$20,"&lt;="&amp;CX$6),0)</f>
        <v>0</v>
      </c>
      <c r="CY214" s="25">
        <f>IF('Lease Cycles'!$C$20&gt;0,COUNTIF('Lease Cycles'!$BG$20:$BM$20,"&lt;="&amp;CY$6),0)</f>
        <v>0</v>
      </c>
      <c r="CZ214" s="25">
        <f>IF('Lease Cycles'!$C$20&gt;0,COUNTIF('Lease Cycles'!$BG$20:$BM$20,"&lt;="&amp;CZ$6),0)</f>
        <v>0</v>
      </c>
      <c r="DA214" s="25">
        <f>IF('Lease Cycles'!$C$20&gt;0,COUNTIF('Lease Cycles'!$BG$20:$BM$20,"&lt;="&amp;DA$6),0)</f>
        <v>0</v>
      </c>
      <c r="DB214" s="25">
        <f>IF('Lease Cycles'!$C$20&gt;0,COUNTIF('Lease Cycles'!$BG$20:$BM$20,"&lt;="&amp;DB$6),0)</f>
        <v>0</v>
      </c>
      <c r="DC214" s="25">
        <f>IF('Lease Cycles'!$C$20&gt;0,COUNTIF('Lease Cycles'!$BG$20:$BM$20,"&lt;="&amp;DC$6),0)</f>
        <v>0</v>
      </c>
      <c r="DD214" s="25">
        <f>IF('Lease Cycles'!$C$20&gt;0,COUNTIF('Lease Cycles'!$BG$20:$BM$20,"&lt;="&amp;DD$6),0)</f>
        <v>0</v>
      </c>
      <c r="DE214" s="25">
        <f>IF('Lease Cycles'!$C$20&gt;0,COUNTIF('Lease Cycles'!$BG$20:$BM$20,"&lt;="&amp;DE$6),0)</f>
        <v>0</v>
      </c>
      <c r="DF214" s="25">
        <f>IF('Lease Cycles'!$C$20&gt;0,COUNTIF('Lease Cycles'!$BG$20:$BM$20,"&lt;="&amp;DF$6),0)</f>
        <v>0</v>
      </c>
      <c r="DG214" s="25">
        <f>IF('Lease Cycles'!$C$20&gt;0,COUNTIF('Lease Cycles'!$BG$20:$BM$20,"&lt;="&amp;DG$6),0)</f>
        <v>0</v>
      </c>
      <c r="DH214" s="25">
        <f>IF('Lease Cycles'!$C$20&gt;0,COUNTIF('Lease Cycles'!$BG$20:$BM$20,"&lt;="&amp;DH$6),0)</f>
        <v>0</v>
      </c>
      <c r="DI214" s="25">
        <f>IF('Lease Cycles'!$C$20&gt;0,COUNTIF('Lease Cycles'!$BG$20:$BM$20,"&lt;="&amp;DI$6),0)</f>
        <v>0</v>
      </c>
      <c r="DJ214" s="25">
        <f>IF('Lease Cycles'!$C$20&gt;0,COUNTIF('Lease Cycles'!$BG$20:$BM$20,"&lt;="&amp;DJ$6),0)</f>
        <v>0</v>
      </c>
      <c r="DK214" s="25">
        <f>IF('Lease Cycles'!$C$20&gt;0,COUNTIF('Lease Cycles'!$BG$20:$BM$20,"&lt;="&amp;DK$6),0)</f>
        <v>0</v>
      </c>
      <c r="DL214" s="25">
        <f>IF('Lease Cycles'!$C$20&gt;0,COUNTIF('Lease Cycles'!$BG$20:$BM$20,"&lt;="&amp;DL$6),0)</f>
        <v>0</v>
      </c>
      <c r="DM214" s="25">
        <f>IF('Lease Cycles'!$C$20&gt;0,COUNTIF('Lease Cycles'!$BG$20:$BM$20,"&lt;="&amp;DM$6),0)</f>
        <v>0</v>
      </c>
      <c r="DN214" s="25">
        <f>IF('Lease Cycles'!$C$20&gt;0,COUNTIF('Lease Cycles'!$BG$20:$BM$20,"&lt;="&amp;DN$6),0)</f>
        <v>0</v>
      </c>
      <c r="DO214" s="25">
        <f>IF('Lease Cycles'!$C$20&gt;0,COUNTIF('Lease Cycles'!$BG$20:$BM$20,"&lt;="&amp;DO$6),0)</f>
        <v>0</v>
      </c>
      <c r="DP214" s="25">
        <f>IF('Lease Cycles'!$C$20&gt;0,COUNTIF('Lease Cycles'!$BG$20:$BM$20,"&lt;="&amp;DP$6),0)</f>
        <v>0</v>
      </c>
      <c r="DQ214" s="25">
        <f>IF('Lease Cycles'!$C$20&gt;0,COUNTIF('Lease Cycles'!$BG$20:$BM$20,"&lt;="&amp;DQ$6),0)</f>
        <v>0</v>
      </c>
      <c r="DR214" s="25">
        <f>IF('Lease Cycles'!$C$20&gt;0,COUNTIF('Lease Cycles'!$BG$20:$BM$20,"&lt;="&amp;DR$6),0)</f>
        <v>0</v>
      </c>
      <c r="DS214" s="25">
        <f>IF('Lease Cycles'!$C$20&gt;0,COUNTIF('Lease Cycles'!$BG$20:$BM$20,"&lt;="&amp;DS$6),0)</f>
        <v>0</v>
      </c>
      <c r="DT214" s="25">
        <f>IF('Lease Cycles'!$C$20&gt;0,COUNTIF('Lease Cycles'!$BG$20:$BM$20,"&lt;="&amp;DT$6),0)</f>
        <v>0</v>
      </c>
      <c r="DU214" s="25">
        <f>IF('Lease Cycles'!$C$20&gt;0,COUNTIF('Lease Cycles'!$BG$20:$BM$20,"&lt;="&amp;DU$6),0)</f>
        <v>0</v>
      </c>
      <c r="DV214" s="25">
        <f>IF('Lease Cycles'!$C$20&gt;0,COUNTIF('Lease Cycles'!$BG$20:$BM$20,"&lt;="&amp;DV$6),0)</f>
        <v>0</v>
      </c>
      <c r="DW214" s="25">
        <f>IF('Lease Cycles'!$C$20&gt;0,COUNTIF('Lease Cycles'!$BG$20:$BM$20,"&lt;="&amp;DW$6),0)</f>
        <v>0</v>
      </c>
      <c r="DX214" s="25">
        <f>IF('Lease Cycles'!$C$20&gt;0,COUNTIF('Lease Cycles'!$BG$20:$BM$20,"&lt;="&amp;DX$6),0)</f>
        <v>0</v>
      </c>
      <c r="DY214" s="25">
        <f>IF('Lease Cycles'!$C$20&gt;0,COUNTIF('Lease Cycles'!$BG$20:$BM$20,"&lt;="&amp;DY$6),0)</f>
        <v>0</v>
      </c>
      <c r="DZ214" s="25">
        <f>IF('Lease Cycles'!$C$20&gt;0,COUNTIF('Lease Cycles'!$BG$20:$BM$20,"&lt;="&amp;DZ$6),0)</f>
        <v>0</v>
      </c>
      <c r="EA214" s="25">
        <f>IF('Lease Cycles'!$C$20&gt;0,COUNTIF('Lease Cycles'!$BG$20:$BM$20,"&lt;="&amp;EA$6),0)</f>
        <v>0</v>
      </c>
      <c r="EB214" s="25">
        <f>IF('Lease Cycles'!$C$20&gt;0,COUNTIF('Lease Cycles'!$BG$20:$BM$20,"&lt;="&amp;EB$6),0)</f>
        <v>0</v>
      </c>
      <c r="EC214" s="25">
        <f>IF('Lease Cycles'!$C$20&gt;0,COUNTIF('Lease Cycles'!$BG$20:$BM$20,"&lt;="&amp;EC$6),0)</f>
        <v>0</v>
      </c>
      <c r="ED214" s="25">
        <f>IF('Lease Cycles'!$C$20&gt;0,COUNTIF('Lease Cycles'!$BG$20:$BM$20,"&lt;="&amp;ED$6),0)</f>
        <v>0</v>
      </c>
      <c r="EE214" s="25">
        <f>IF('Lease Cycles'!$C$20&gt;0,COUNTIF('Lease Cycles'!$BG$20:$BM$20,"&lt;="&amp;EE$6),0)</f>
        <v>0</v>
      </c>
      <c r="EF214" s="25">
        <f>IF('Lease Cycles'!$C$20&gt;0,COUNTIF('Lease Cycles'!$BG$20:$BM$20,"&lt;="&amp;EF$6),0)</f>
        <v>0</v>
      </c>
      <c r="EG214" s="25">
        <f>IF('Lease Cycles'!$C$20&gt;0,COUNTIF('Lease Cycles'!$BG$20:$BM$20,"&lt;="&amp;EG$6),0)</f>
        <v>0</v>
      </c>
      <c r="EH214" s="25">
        <f>IF('Lease Cycles'!$C$20&gt;0,COUNTIF('Lease Cycles'!$BG$20:$BM$20,"&lt;="&amp;EH$6),0)</f>
        <v>0</v>
      </c>
      <c r="EI214" s="25">
        <f>IF('Lease Cycles'!$C$20&gt;0,COUNTIF('Lease Cycles'!$BG$20:$BM$20,"&lt;="&amp;EI$6),0)</f>
        <v>0</v>
      </c>
      <c r="EJ214" s="25">
        <f>IF('Lease Cycles'!$C$20&gt;0,COUNTIF('Lease Cycles'!$BG$20:$BM$20,"&lt;="&amp;EJ$6),0)</f>
        <v>0</v>
      </c>
      <c r="EK214" s="25">
        <f>IF('Lease Cycles'!$C$20&gt;0,COUNTIF('Lease Cycles'!$BG$20:$BM$20,"&lt;="&amp;EK$6),0)</f>
        <v>0</v>
      </c>
      <c r="EL214" s="25">
        <f>IF('Lease Cycles'!$C$20&gt;0,COUNTIF('Lease Cycles'!$BG$20:$BM$20,"&lt;="&amp;EL$6),0)</f>
        <v>0</v>
      </c>
      <c r="EM214" s="25">
        <f>IF('Lease Cycles'!$C$20&gt;0,COUNTIF('Lease Cycles'!$BG$20:$BM$20,"&lt;="&amp;EM$6),0)</f>
        <v>0</v>
      </c>
      <c r="EN214" s="25">
        <f>IF('Lease Cycles'!$C$20&gt;0,COUNTIF('Lease Cycles'!$BG$20:$BM$20,"&lt;="&amp;EN$6),0)</f>
        <v>0</v>
      </c>
      <c r="EO214" s="25">
        <f>IF('Lease Cycles'!$C$20&gt;0,COUNTIF('Lease Cycles'!$BG$20:$BM$20,"&lt;="&amp;EO$6),0)</f>
        <v>0</v>
      </c>
      <c r="EP214" s="25">
        <f>IF('Lease Cycles'!$C$20&gt;0,COUNTIF('Lease Cycles'!$BG$20:$BM$20,"&lt;="&amp;EP$6),0)</f>
        <v>0</v>
      </c>
      <c r="EQ214" s="25">
        <f>IF('Lease Cycles'!$C$20&gt;0,COUNTIF('Lease Cycles'!$BG$20:$BM$20,"&lt;="&amp;EQ$6),0)</f>
        <v>0</v>
      </c>
      <c r="ER214" s="25">
        <f>IF('Lease Cycles'!$C$20&gt;0,COUNTIF('Lease Cycles'!$BG$20:$BM$20,"&lt;="&amp;ER$6),0)</f>
        <v>0</v>
      </c>
      <c r="ES214" s="25">
        <f>IF('Lease Cycles'!$C$20&gt;0,COUNTIF('Lease Cycles'!$BG$20:$BM$20,"&lt;="&amp;ES$6),0)</f>
        <v>0</v>
      </c>
      <c r="ET214" s="25">
        <f>IF('Lease Cycles'!$C$20&gt;0,COUNTIF('Lease Cycles'!$BG$20:$BM$20,"&lt;="&amp;ET$6),0)</f>
        <v>0</v>
      </c>
    </row>
    <row r="215">
      <c r="A215" s="103">
        <v>13</v>
      </c>
      <c r="B215" s="23" t="str">
        <f>IF('Lease Cycles'!$B$20="","(empty slot)",'Lease Cycles'!$B$20)</f>
        <v>(empty slot)</v>
      </c>
      <c r="C215" s="23" t="s">
        <v>673</v>
      </c>
      <c r="D215" s="104" t="s">
        <v>674</v>
      </c>
      <c r="E215" s="25">
        <f>'Lease Cycles'!$AL$20</f>
        <v>0</v>
      </c>
      <c r="S215" s="25">
        <f>IF(S214=0,-1,S$6-INDEX('Lease Cycles'!$BG$20:$BM$20,1,S214))</f>
        <v>-1</v>
      </c>
      <c r="T215" s="25">
        <f>IF(T214=0,-1,T$6-INDEX('Lease Cycles'!$BG$20:$BM$20,1,T214))</f>
        <v>-1</v>
      </c>
      <c r="U215" s="25">
        <f>IF(U214=0,-1,U$6-INDEX('Lease Cycles'!$BG$20:$BM$20,1,U214))</f>
        <v>-1</v>
      </c>
      <c r="V215" s="25">
        <f>IF(V214=0,-1,V$6-INDEX('Lease Cycles'!$BG$20:$BM$20,1,V214))</f>
        <v>-1</v>
      </c>
      <c r="W215" s="25">
        <f>IF(W214=0,-1,W$6-INDEX('Lease Cycles'!$BG$20:$BM$20,1,W214))</f>
        <v>-1</v>
      </c>
      <c r="X215" s="25">
        <f>IF(X214=0,-1,X$6-INDEX('Lease Cycles'!$BG$20:$BM$20,1,X214))</f>
        <v>-1</v>
      </c>
      <c r="Y215" s="25">
        <f>IF(Y214=0,-1,Y$6-INDEX('Lease Cycles'!$BG$20:$BM$20,1,Y214))</f>
        <v>-1</v>
      </c>
      <c r="Z215" s="25">
        <f>IF(Z214=0,-1,Z$6-INDEX('Lease Cycles'!$BG$20:$BM$20,1,Z214))</f>
        <v>-1</v>
      </c>
      <c r="AA215" s="25">
        <f>IF(AA214=0,-1,AA$6-INDEX('Lease Cycles'!$BG$20:$BM$20,1,AA214))</f>
        <v>-1</v>
      </c>
      <c r="AB215" s="25">
        <f>IF(AB214=0,-1,AB$6-INDEX('Lease Cycles'!$BG$20:$BM$20,1,AB214))</f>
        <v>-1</v>
      </c>
      <c r="AC215" s="25">
        <f>IF(AC214=0,-1,AC$6-INDEX('Lease Cycles'!$BG$20:$BM$20,1,AC214))</f>
        <v>-1</v>
      </c>
      <c r="AD215" s="25">
        <f>IF(AD214=0,-1,AD$6-INDEX('Lease Cycles'!$BG$20:$BM$20,1,AD214))</f>
        <v>-1</v>
      </c>
      <c r="AE215" s="25">
        <f>IF(AE214=0,-1,AE$6-INDEX('Lease Cycles'!$BG$20:$BM$20,1,AE214))</f>
        <v>-1</v>
      </c>
      <c r="AF215" s="25">
        <f>IF(AF214=0,-1,AF$6-INDEX('Lease Cycles'!$BG$20:$BM$20,1,AF214))</f>
        <v>-1</v>
      </c>
      <c r="AG215" s="25">
        <f>IF(AG214=0,-1,AG$6-INDEX('Lease Cycles'!$BG$20:$BM$20,1,AG214))</f>
        <v>-1</v>
      </c>
      <c r="AH215" s="25">
        <f>IF(AH214=0,-1,AH$6-INDEX('Lease Cycles'!$BG$20:$BM$20,1,AH214))</f>
        <v>-1</v>
      </c>
      <c r="AI215" s="25">
        <f>IF(AI214=0,-1,AI$6-INDEX('Lease Cycles'!$BG$20:$BM$20,1,AI214))</f>
        <v>-1</v>
      </c>
      <c r="AJ215" s="25">
        <f>IF(AJ214=0,-1,AJ$6-INDEX('Lease Cycles'!$BG$20:$BM$20,1,AJ214))</f>
        <v>-1</v>
      </c>
      <c r="AK215" s="25">
        <f>IF(AK214=0,-1,AK$6-INDEX('Lease Cycles'!$BG$20:$BM$20,1,AK214))</f>
        <v>-1</v>
      </c>
      <c r="AL215" s="25">
        <f>IF(AL214=0,-1,AL$6-INDEX('Lease Cycles'!$BG$20:$BM$20,1,AL214))</f>
        <v>-1</v>
      </c>
      <c r="AM215" s="25">
        <f>IF(AM214=0,-1,AM$6-INDEX('Lease Cycles'!$BG$20:$BM$20,1,AM214))</f>
        <v>-1</v>
      </c>
      <c r="AN215" s="25">
        <f>IF(AN214=0,-1,AN$6-INDEX('Lease Cycles'!$BG$20:$BM$20,1,AN214))</f>
        <v>-1</v>
      </c>
      <c r="AO215" s="25">
        <f>IF(AO214=0,-1,AO$6-INDEX('Lease Cycles'!$BG$20:$BM$20,1,AO214))</f>
        <v>-1</v>
      </c>
      <c r="AP215" s="25">
        <f>IF(AP214=0,-1,AP$6-INDEX('Lease Cycles'!$BG$20:$BM$20,1,AP214))</f>
        <v>-1</v>
      </c>
      <c r="AQ215" s="25">
        <f>IF(AQ214=0,-1,AQ$6-INDEX('Lease Cycles'!$BG$20:$BM$20,1,AQ214))</f>
        <v>-1</v>
      </c>
      <c r="AR215" s="25">
        <f>IF(AR214=0,-1,AR$6-INDEX('Lease Cycles'!$BG$20:$BM$20,1,AR214))</f>
        <v>-1</v>
      </c>
      <c r="AS215" s="25">
        <f>IF(AS214=0,-1,AS$6-INDEX('Lease Cycles'!$BG$20:$BM$20,1,AS214))</f>
        <v>-1</v>
      </c>
      <c r="AT215" s="25">
        <f>IF(AT214=0,-1,AT$6-INDEX('Lease Cycles'!$BG$20:$BM$20,1,AT214))</f>
        <v>-1</v>
      </c>
      <c r="AU215" s="25">
        <f>IF(AU214=0,-1,AU$6-INDEX('Lease Cycles'!$BG$20:$BM$20,1,AU214))</f>
        <v>-1</v>
      </c>
      <c r="AV215" s="25">
        <f>IF(AV214=0,-1,AV$6-INDEX('Lease Cycles'!$BG$20:$BM$20,1,AV214))</f>
        <v>-1</v>
      </c>
      <c r="AW215" s="25">
        <f>IF(AW214=0,-1,AW$6-INDEX('Lease Cycles'!$BG$20:$BM$20,1,AW214))</f>
        <v>-1</v>
      </c>
      <c r="AX215" s="25">
        <f>IF(AX214=0,-1,AX$6-INDEX('Lease Cycles'!$BG$20:$BM$20,1,AX214))</f>
        <v>-1</v>
      </c>
      <c r="AY215" s="25">
        <f>IF(AY214=0,-1,AY$6-INDEX('Lease Cycles'!$BG$20:$BM$20,1,AY214))</f>
        <v>-1</v>
      </c>
      <c r="AZ215" s="25">
        <f>IF(AZ214=0,-1,AZ$6-INDEX('Lease Cycles'!$BG$20:$BM$20,1,AZ214))</f>
        <v>-1</v>
      </c>
      <c r="BA215" s="25">
        <f>IF(BA214=0,-1,BA$6-INDEX('Lease Cycles'!$BG$20:$BM$20,1,BA214))</f>
        <v>-1</v>
      </c>
      <c r="BB215" s="25">
        <f>IF(BB214=0,-1,BB$6-INDEX('Lease Cycles'!$BG$20:$BM$20,1,BB214))</f>
        <v>-1</v>
      </c>
      <c r="BC215" s="25">
        <f>IF(BC214=0,-1,BC$6-INDEX('Lease Cycles'!$BG$20:$BM$20,1,BC214))</f>
        <v>-1</v>
      </c>
      <c r="BD215" s="25">
        <f>IF(BD214=0,-1,BD$6-INDEX('Lease Cycles'!$BG$20:$BM$20,1,BD214))</f>
        <v>-1</v>
      </c>
      <c r="BE215" s="25">
        <f>IF(BE214=0,-1,BE$6-INDEX('Lease Cycles'!$BG$20:$BM$20,1,BE214))</f>
        <v>-1</v>
      </c>
      <c r="BF215" s="25">
        <f>IF(BF214=0,-1,BF$6-INDEX('Lease Cycles'!$BG$20:$BM$20,1,BF214))</f>
        <v>-1</v>
      </c>
      <c r="BG215" s="25">
        <f>IF(BG214=0,-1,BG$6-INDEX('Lease Cycles'!$BG$20:$BM$20,1,BG214))</f>
        <v>-1</v>
      </c>
      <c r="BH215" s="25">
        <f>IF(BH214=0,-1,BH$6-INDEX('Lease Cycles'!$BG$20:$BM$20,1,BH214))</f>
        <v>-1</v>
      </c>
      <c r="BI215" s="25">
        <f>IF(BI214=0,-1,BI$6-INDEX('Lease Cycles'!$BG$20:$BM$20,1,BI214))</f>
        <v>-1</v>
      </c>
      <c r="BJ215" s="25">
        <f>IF(BJ214=0,-1,BJ$6-INDEX('Lease Cycles'!$BG$20:$BM$20,1,BJ214))</f>
        <v>-1</v>
      </c>
      <c r="BK215" s="25">
        <f>IF(BK214=0,-1,BK$6-INDEX('Lease Cycles'!$BG$20:$BM$20,1,BK214))</f>
        <v>-1</v>
      </c>
      <c r="BL215" s="25">
        <f>IF(BL214=0,-1,BL$6-INDEX('Lease Cycles'!$BG$20:$BM$20,1,BL214))</f>
        <v>-1</v>
      </c>
      <c r="BM215" s="25">
        <f>IF(BM214=0,-1,BM$6-INDEX('Lease Cycles'!$BG$20:$BM$20,1,BM214))</f>
        <v>-1</v>
      </c>
      <c r="BN215" s="25">
        <f>IF(BN214=0,-1,BN$6-INDEX('Lease Cycles'!$BG$20:$BM$20,1,BN214))</f>
        <v>-1</v>
      </c>
      <c r="BO215" s="25">
        <f>IF(BO214=0,-1,BO$6-INDEX('Lease Cycles'!$BG$20:$BM$20,1,BO214))</f>
        <v>-1</v>
      </c>
      <c r="BP215" s="25">
        <f>IF(BP214=0,-1,BP$6-INDEX('Lease Cycles'!$BG$20:$BM$20,1,BP214))</f>
        <v>-1</v>
      </c>
      <c r="BQ215" s="25">
        <f>IF(BQ214=0,-1,BQ$6-INDEX('Lease Cycles'!$BG$20:$BM$20,1,BQ214))</f>
        <v>-1</v>
      </c>
      <c r="BR215" s="25">
        <f>IF(BR214=0,-1,BR$6-INDEX('Lease Cycles'!$BG$20:$BM$20,1,BR214))</f>
        <v>-1</v>
      </c>
      <c r="BS215" s="25">
        <f>IF(BS214=0,-1,BS$6-INDEX('Lease Cycles'!$BG$20:$BM$20,1,BS214))</f>
        <v>-1</v>
      </c>
      <c r="BT215" s="25">
        <f>IF(BT214=0,-1,BT$6-INDEX('Lease Cycles'!$BG$20:$BM$20,1,BT214))</f>
        <v>-1</v>
      </c>
      <c r="BU215" s="25">
        <f>IF(BU214=0,-1,BU$6-INDEX('Lease Cycles'!$BG$20:$BM$20,1,BU214))</f>
        <v>-1</v>
      </c>
      <c r="BV215" s="25">
        <f>IF(BV214=0,-1,BV$6-INDEX('Lease Cycles'!$BG$20:$BM$20,1,BV214))</f>
        <v>-1</v>
      </c>
      <c r="BW215" s="25">
        <f>IF(BW214=0,-1,BW$6-INDEX('Lease Cycles'!$BG$20:$BM$20,1,BW214))</f>
        <v>-1</v>
      </c>
      <c r="BX215" s="25">
        <f>IF(BX214=0,-1,BX$6-INDEX('Lease Cycles'!$BG$20:$BM$20,1,BX214))</f>
        <v>-1</v>
      </c>
      <c r="BY215" s="25">
        <f>IF(BY214=0,-1,BY$6-INDEX('Lease Cycles'!$BG$20:$BM$20,1,BY214))</f>
        <v>-1</v>
      </c>
      <c r="BZ215" s="25">
        <f>IF(BZ214=0,-1,BZ$6-INDEX('Lease Cycles'!$BG$20:$BM$20,1,BZ214))</f>
        <v>-1</v>
      </c>
      <c r="CA215" s="25">
        <f>IF(CA214=0,-1,CA$6-INDEX('Lease Cycles'!$BG$20:$BM$20,1,CA214))</f>
        <v>-1</v>
      </c>
      <c r="CB215" s="25">
        <f>IF(CB214=0,-1,CB$6-INDEX('Lease Cycles'!$BG$20:$BM$20,1,CB214))</f>
        <v>-1</v>
      </c>
      <c r="CC215" s="25">
        <f>IF(CC214=0,-1,CC$6-INDEX('Lease Cycles'!$BG$20:$BM$20,1,CC214))</f>
        <v>-1</v>
      </c>
      <c r="CD215" s="25">
        <f>IF(CD214=0,-1,CD$6-INDEX('Lease Cycles'!$BG$20:$BM$20,1,CD214))</f>
        <v>-1</v>
      </c>
      <c r="CE215" s="25">
        <f>IF(CE214=0,-1,CE$6-INDEX('Lease Cycles'!$BG$20:$BM$20,1,CE214))</f>
        <v>-1</v>
      </c>
      <c r="CF215" s="25">
        <f>IF(CF214=0,-1,CF$6-INDEX('Lease Cycles'!$BG$20:$BM$20,1,CF214))</f>
        <v>-1</v>
      </c>
      <c r="CG215" s="25">
        <f>IF(CG214=0,-1,CG$6-INDEX('Lease Cycles'!$BG$20:$BM$20,1,CG214))</f>
        <v>-1</v>
      </c>
      <c r="CH215" s="25">
        <f>IF(CH214=0,-1,CH$6-INDEX('Lease Cycles'!$BG$20:$BM$20,1,CH214))</f>
        <v>-1</v>
      </c>
      <c r="CI215" s="25">
        <f>IF(CI214=0,-1,CI$6-INDEX('Lease Cycles'!$BG$20:$BM$20,1,CI214))</f>
        <v>-1</v>
      </c>
      <c r="CJ215" s="25">
        <f>IF(CJ214=0,-1,CJ$6-INDEX('Lease Cycles'!$BG$20:$BM$20,1,CJ214))</f>
        <v>-1</v>
      </c>
      <c r="CK215" s="25">
        <f>IF(CK214=0,-1,CK$6-INDEX('Lease Cycles'!$BG$20:$BM$20,1,CK214))</f>
        <v>-1</v>
      </c>
      <c r="CL215" s="25">
        <f>IF(CL214=0,-1,CL$6-INDEX('Lease Cycles'!$BG$20:$BM$20,1,CL214))</f>
        <v>-1</v>
      </c>
      <c r="CM215" s="25">
        <f>IF(CM214=0,-1,CM$6-INDEX('Lease Cycles'!$BG$20:$BM$20,1,CM214))</f>
        <v>-1</v>
      </c>
      <c r="CN215" s="25">
        <f>IF(CN214=0,-1,CN$6-INDEX('Lease Cycles'!$BG$20:$BM$20,1,CN214))</f>
        <v>-1</v>
      </c>
      <c r="CO215" s="25">
        <f>IF(CO214=0,-1,CO$6-INDEX('Lease Cycles'!$BG$20:$BM$20,1,CO214))</f>
        <v>-1</v>
      </c>
      <c r="CP215" s="25">
        <f>IF(CP214=0,-1,CP$6-INDEX('Lease Cycles'!$BG$20:$BM$20,1,CP214))</f>
        <v>-1</v>
      </c>
      <c r="CQ215" s="25">
        <f>IF(CQ214=0,-1,CQ$6-INDEX('Lease Cycles'!$BG$20:$BM$20,1,CQ214))</f>
        <v>-1</v>
      </c>
      <c r="CR215" s="25">
        <f>IF(CR214=0,-1,CR$6-INDEX('Lease Cycles'!$BG$20:$BM$20,1,CR214))</f>
        <v>-1</v>
      </c>
      <c r="CS215" s="25">
        <f>IF(CS214=0,-1,CS$6-INDEX('Lease Cycles'!$BG$20:$BM$20,1,CS214))</f>
        <v>-1</v>
      </c>
      <c r="CT215" s="25">
        <f>IF(CT214=0,-1,CT$6-INDEX('Lease Cycles'!$BG$20:$BM$20,1,CT214))</f>
        <v>-1</v>
      </c>
      <c r="CU215" s="25">
        <f>IF(CU214=0,-1,CU$6-INDEX('Lease Cycles'!$BG$20:$BM$20,1,CU214))</f>
        <v>-1</v>
      </c>
      <c r="CV215" s="25">
        <f>IF(CV214=0,-1,CV$6-INDEX('Lease Cycles'!$BG$20:$BM$20,1,CV214))</f>
        <v>-1</v>
      </c>
      <c r="CW215" s="25">
        <f>IF(CW214=0,-1,CW$6-INDEX('Lease Cycles'!$BG$20:$BM$20,1,CW214))</f>
        <v>-1</v>
      </c>
      <c r="CX215" s="25">
        <f>IF(CX214=0,-1,CX$6-INDEX('Lease Cycles'!$BG$20:$BM$20,1,CX214))</f>
        <v>-1</v>
      </c>
      <c r="CY215" s="25">
        <f>IF(CY214=0,-1,CY$6-INDEX('Lease Cycles'!$BG$20:$BM$20,1,CY214))</f>
        <v>-1</v>
      </c>
      <c r="CZ215" s="25">
        <f>IF(CZ214=0,-1,CZ$6-INDEX('Lease Cycles'!$BG$20:$BM$20,1,CZ214))</f>
        <v>-1</v>
      </c>
      <c r="DA215" s="25">
        <f>IF(DA214=0,-1,DA$6-INDEX('Lease Cycles'!$BG$20:$BM$20,1,DA214))</f>
        <v>-1</v>
      </c>
      <c r="DB215" s="25">
        <f>IF(DB214=0,-1,DB$6-INDEX('Lease Cycles'!$BG$20:$BM$20,1,DB214))</f>
        <v>-1</v>
      </c>
      <c r="DC215" s="25">
        <f>IF(DC214=0,-1,DC$6-INDEX('Lease Cycles'!$BG$20:$BM$20,1,DC214))</f>
        <v>-1</v>
      </c>
      <c r="DD215" s="25">
        <f>IF(DD214=0,-1,DD$6-INDEX('Lease Cycles'!$BG$20:$BM$20,1,DD214))</f>
        <v>-1</v>
      </c>
      <c r="DE215" s="25">
        <f>IF(DE214=0,-1,DE$6-INDEX('Lease Cycles'!$BG$20:$BM$20,1,DE214))</f>
        <v>-1</v>
      </c>
      <c r="DF215" s="25">
        <f>IF(DF214=0,-1,DF$6-INDEX('Lease Cycles'!$BG$20:$BM$20,1,DF214))</f>
        <v>-1</v>
      </c>
      <c r="DG215" s="25">
        <f>IF(DG214=0,-1,DG$6-INDEX('Lease Cycles'!$BG$20:$BM$20,1,DG214))</f>
        <v>-1</v>
      </c>
      <c r="DH215" s="25">
        <f>IF(DH214=0,-1,DH$6-INDEX('Lease Cycles'!$BG$20:$BM$20,1,DH214))</f>
        <v>-1</v>
      </c>
      <c r="DI215" s="25">
        <f>IF(DI214=0,-1,DI$6-INDEX('Lease Cycles'!$BG$20:$BM$20,1,DI214))</f>
        <v>-1</v>
      </c>
      <c r="DJ215" s="25">
        <f>IF(DJ214=0,-1,DJ$6-INDEX('Lease Cycles'!$BG$20:$BM$20,1,DJ214))</f>
        <v>-1</v>
      </c>
      <c r="DK215" s="25">
        <f>IF(DK214=0,-1,DK$6-INDEX('Lease Cycles'!$BG$20:$BM$20,1,DK214))</f>
        <v>-1</v>
      </c>
      <c r="DL215" s="25">
        <f>IF(DL214=0,-1,DL$6-INDEX('Lease Cycles'!$BG$20:$BM$20,1,DL214))</f>
        <v>-1</v>
      </c>
      <c r="DM215" s="25">
        <f>IF(DM214=0,-1,DM$6-INDEX('Lease Cycles'!$BG$20:$BM$20,1,DM214))</f>
        <v>-1</v>
      </c>
      <c r="DN215" s="25">
        <f>IF(DN214=0,-1,DN$6-INDEX('Lease Cycles'!$BG$20:$BM$20,1,DN214))</f>
        <v>-1</v>
      </c>
      <c r="DO215" s="25">
        <f>IF(DO214=0,-1,DO$6-INDEX('Lease Cycles'!$BG$20:$BM$20,1,DO214))</f>
        <v>-1</v>
      </c>
      <c r="DP215" s="25">
        <f>IF(DP214=0,-1,DP$6-INDEX('Lease Cycles'!$BG$20:$BM$20,1,DP214))</f>
        <v>-1</v>
      </c>
      <c r="DQ215" s="25">
        <f>IF(DQ214=0,-1,DQ$6-INDEX('Lease Cycles'!$BG$20:$BM$20,1,DQ214))</f>
        <v>-1</v>
      </c>
      <c r="DR215" s="25">
        <f>IF(DR214=0,-1,DR$6-INDEX('Lease Cycles'!$BG$20:$BM$20,1,DR214))</f>
        <v>-1</v>
      </c>
      <c r="DS215" s="25">
        <f>IF(DS214=0,-1,DS$6-INDEX('Lease Cycles'!$BG$20:$BM$20,1,DS214))</f>
        <v>-1</v>
      </c>
      <c r="DT215" s="25">
        <f>IF(DT214=0,-1,DT$6-INDEX('Lease Cycles'!$BG$20:$BM$20,1,DT214))</f>
        <v>-1</v>
      </c>
      <c r="DU215" s="25">
        <f>IF(DU214=0,-1,DU$6-INDEX('Lease Cycles'!$BG$20:$BM$20,1,DU214))</f>
        <v>-1</v>
      </c>
      <c r="DV215" s="25">
        <f>IF(DV214=0,-1,DV$6-INDEX('Lease Cycles'!$BG$20:$BM$20,1,DV214))</f>
        <v>-1</v>
      </c>
      <c r="DW215" s="25">
        <f>IF(DW214=0,-1,DW$6-INDEX('Lease Cycles'!$BG$20:$BM$20,1,DW214))</f>
        <v>-1</v>
      </c>
      <c r="DX215" s="25">
        <f>IF(DX214=0,-1,DX$6-INDEX('Lease Cycles'!$BG$20:$BM$20,1,DX214))</f>
        <v>-1</v>
      </c>
      <c r="DY215" s="25">
        <f>IF(DY214=0,-1,DY$6-INDEX('Lease Cycles'!$BG$20:$BM$20,1,DY214))</f>
        <v>-1</v>
      </c>
      <c r="DZ215" s="25">
        <f>IF(DZ214=0,-1,DZ$6-INDEX('Lease Cycles'!$BG$20:$BM$20,1,DZ214))</f>
        <v>-1</v>
      </c>
      <c r="EA215" s="25">
        <f>IF(EA214=0,-1,EA$6-INDEX('Lease Cycles'!$BG$20:$BM$20,1,EA214))</f>
        <v>-1</v>
      </c>
      <c r="EB215" s="25">
        <f>IF(EB214=0,-1,EB$6-INDEX('Lease Cycles'!$BG$20:$BM$20,1,EB214))</f>
        <v>-1</v>
      </c>
      <c r="EC215" s="25">
        <f>IF(EC214=0,-1,EC$6-INDEX('Lease Cycles'!$BG$20:$BM$20,1,EC214))</f>
        <v>-1</v>
      </c>
      <c r="ED215" s="25">
        <f>IF(ED214=0,-1,ED$6-INDEX('Lease Cycles'!$BG$20:$BM$20,1,ED214))</f>
        <v>-1</v>
      </c>
      <c r="EE215" s="25">
        <f>IF(EE214=0,-1,EE$6-INDEX('Lease Cycles'!$BG$20:$BM$20,1,EE214))</f>
        <v>-1</v>
      </c>
      <c r="EF215" s="25">
        <f>IF(EF214=0,-1,EF$6-INDEX('Lease Cycles'!$BG$20:$BM$20,1,EF214))</f>
        <v>-1</v>
      </c>
      <c r="EG215" s="25">
        <f>IF(EG214=0,-1,EG$6-INDEX('Lease Cycles'!$BG$20:$BM$20,1,EG214))</f>
        <v>-1</v>
      </c>
      <c r="EH215" s="25">
        <f>IF(EH214=0,-1,EH$6-INDEX('Lease Cycles'!$BG$20:$BM$20,1,EH214))</f>
        <v>-1</v>
      </c>
      <c r="EI215" s="25">
        <f>IF(EI214=0,-1,EI$6-INDEX('Lease Cycles'!$BG$20:$BM$20,1,EI214))</f>
        <v>-1</v>
      </c>
      <c r="EJ215" s="25">
        <f>IF(EJ214=0,-1,EJ$6-INDEX('Lease Cycles'!$BG$20:$BM$20,1,EJ214))</f>
        <v>-1</v>
      </c>
      <c r="EK215" s="25">
        <f>IF(EK214=0,-1,EK$6-INDEX('Lease Cycles'!$BG$20:$BM$20,1,EK214))</f>
        <v>-1</v>
      </c>
      <c r="EL215" s="25">
        <f>IF(EL214=0,-1,EL$6-INDEX('Lease Cycles'!$BG$20:$BM$20,1,EL214))</f>
        <v>-1</v>
      </c>
      <c r="EM215" s="25">
        <f>IF(EM214=0,-1,EM$6-INDEX('Lease Cycles'!$BG$20:$BM$20,1,EM214))</f>
        <v>-1</v>
      </c>
      <c r="EN215" s="25">
        <f>IF(EN214=0,-1,EN$6-INDEX('Lease Cycles'!$BG$20:$BM$20,1,EN214))</f>
        <v>-1</v>
      </c>
      <c r="EO215" s="25">
        <f>IF(EO214=0,-1,EO$6-INDEX('Lease Cycles'!$BG$20:$BM$20,1,EO214))</f>
        <v>-1</v>
      </c>
      <c r="EP215" s="25">
        <f>IF(EP214=0,-1,EP$6-INDEX('Lease Cycles'!$BG$20:$BM$20,1,EP214))</f>
        <v>-1</v>
      </c>
      <c r="EQ215" s="25">
        <f>IF(EQ214=0,-1,EQ$6-INDEX('Lease Cycles'!$BG$20:$BM$20,1,EQ214))</f>
        <v>-1</v>
      </c>
      <c r="ER215" s="25">
        <f>IF(ER214=0,-1,ER$6-INDEX('Lease Cycles'!$BG$20:$BM$20,1,ER214))</f>
        <v>-1</v>
      </c>
      <c r="ES215" s="25">
        <f>IF(ES214=0,-1,ES$6-INDEX('Lease Cycles'!$BG$20:$BM$20,1,ES214))</f>
        <v>-1</v>
      </c>
      <c r="ET215" s="25">
        <f>IF(ET214=0,-1,ET$6-INDEX('Lease Cycles'!$BG$20:$BM$20,1,ET214))</f>
        <v>-1</v>
      </c>
    </row>
    <row r="216">
      <c r="A216" s="103">
        <v>13</v>
      </c>
      <c r="B216" s="23" t="str">
        <f>IF('Lease Cycles'!$B$20="","(empty slot)",'Lease Cycles'!$B$20)</f>
        <v>(empty slot)</v>
      </c>
      <c r="C216" s="23" t="s">
        <v>675</v>
      </c>
      <c r="D216" s="104" t="s">
        <v>676</v>
      </c>
      <c r="E216" s="25">
        <f>'Lease Cycles'!$AL$20</f>
        <v>0</v>
      </c>
      <c r="S216" s="25">
        <f>IF(S214=0,0,IF(S215&lt;INDEX('Lease Cycles'!$BN$20:$BT$20,1,S214),1,0))</f>
        <v>0</v>
      </c>
      <c r="T216" s="25">
        <f>IF(T214=0,0,IF(T215&lt;INDEX('Lease Cycles'!$BN$20:$BT$20,1,T214),1,0))</f>
        <v>0</v>
      </c>
      <c r="U216" s="25">
        <f>IF(U214=0,0,IF(U215&lt;INDEX('Lease Cycles'!$BN$20:$BT$20,1,U214),1,0))</f>
        <v>0</v>
      </c>
      <c r="V216" s="25">
        <f>IF(V214=0,0,IF(V215&lt;INDEX('Lease Cycles'!$BN$20:$BT$20,1,V214),1,0))</f>
        <v>0</v>
      </c>
      <c r="W216" s="25">
        <f>IF(W214=0,0,IF(W215&lt;INDEX('Lease Cycles'!$BN$20:$BT$20,1,W214),1,0))</f>
        <v>0</v>
      </c>
      <c r="X216" s="25">
        <f>IF(X214=0,0,IF(X215&lt;INDEX('Lease Cycles'!$BN$20:$BT$20,1,X214),1,0))</f>
        <v>0</v>
      </c>
      <c r="Y216" s="25">
        <f>IF(Y214=0,0,IF(Y215&lt;INDEX('Lease Cycles'!$BN$20:$BT$20,1,Y214),1,0))</f>
        <v>0</v>
      </c>
      <c r="Z216" s="25">
        <f>IF(Z214=0,0,IF(Z215&lt;INDEX('Lease Cycles'!$BN$20:$BT$20,1,Z214),1,0))</f>
        <v>0</v>
      </c>
      <c r="AA216" s="25">
        <f>IF(AA214=0,0,IF(AA215&lt;INDEX('Lease Cycles'!$BN$20:$BT$20,1,AA214),1,0))</f>
        <v>0</v>
      </c>
      <c r="AB216" s="25">
        <f>IF(AB214=0,0,IF(AB215&lt;INDEX('Lease Cycles'!$BN$20:$BT$20,1,AB214),1,0))</f>
        <v>0</v>
      </c>
      <c r="AC216" s="25">
        <f>IF(AC214=0,0,IF(AC215&lt;INDEX('Lease Cycles'!$BN$20:$BT$20,1,AC214),1,0))</f>
        <v>0</v>
      </c>
      <c r="AD216" s="25">
        <f>IF(AD214=0,0,IF(AD215&lt;INDEX('Lease Cycles'!$BN$20:$BT$20,1,AD214),1,0))</f>
        <v>0</v>
      </c>
      <c r="AE216" s="25">
        <f>IF(AE214=0,0,IF(AE215&lt;INDEX('Lease Cycles'!$BN$20:$BT$20,1,AE214),1,0))</f>
        <v>0</v>
      </c>
      <c r="AF216" s="25">
        <f>IF(AF214=0,0,IF(AF215&lt;INDEX('Lease Cycles'!$BN$20:$BT$20,1,AF214),1,0))</f>
        <v>0</v>
      </c>
      <c r="AG216" s="25">
        <f>IF(AG214=0,0,IF(AG215&lt;INDEX('Lease Cycles'!$BN$20:$BT$20,1,AG214),1,0))</f>
        <v>0</v>
      </c>
      <c r="AH216" s="25">
        <f>IF(AH214=0,0,IF(AH215&lt;INDEX('Lease Cycles'!$BN$20:$BT$20,1,AH214),1,0))</f>
        <v>0</v>
      </c>
      <c r="AI216" s="25">
        <f>IF(AI214=0,0,IF(AI215&lt;INDEX('Lease Cycles'!$BN$20:$BT$20,1,AI214),1,0))</f>
        <v>0</v>
      </c>
      <c r="AJ216" s="25">
        <f>IF(AJ214=0,0,IF(AJ215&lt;INDEX('Lease Cycles'!$BN$20:$BT$20,1,AJ214),1,0))</f>
        <v>0</v>
      </c>
      <c r="AK216" s="25">
        <f>IF(AK214=0,0,IF(AK215&lt;INDEX('Lease Cycles'!$BN$20:$BT$20,1,AK214),1,0))</f>
        <v>0</v>
      </c>
      <c r="AL216" s="25">
        <f>IF(AL214=0,0,IF(AL215&lt;INDEX('Lease Cycles'!$BN$20:$BT$20,1,AL214),1,0))</f>
        <v>0</v>
      </c>
      <c r="AM216" s="25">
        <f>IF(AM214=0,0,IF(AM215&lt;INDEX('Lease Cycles'!$BN$20:$BT$20,1,AM214),1,0))</f>
        <v>0</v>
      </c>
      <c r="AN216" s="25">
        <f>IF(AN214=0,0,IF(AN215&lt;INDEX('Lease Cycles'!$BN$20:$BT$20,1,AN214),1,0))</f>
        <v>0</v>
      </c>
      <c r="AO216" s="25">
        <f>IF(AO214=0,0,IF(AO215&lt;INDEX('Lease Cycles'!$BN$20:$BT$20,1,AO214),1,0))</f>
        <v>0</v>
      </c>
      <c r="AP216" s="25">
        <f>IF(AP214=0,0,IF(AP215&lt;INDEX('Lease Cycles'!$BN$20:$BT$20,1,AP214),1,0))</f>
        <v>0</v>
      </c>
      <c r="AQ216" s="25">
        <f>IF(AQ214=0,0,IF(AQ215&lt;INDEX('Lease Cycles'!$BN$20:$BT$20,1,AQ214),1,0))</f>
        <v>0</v>
      </c>
      <c r="AR216" s="25">
        <f>IF(AR214=0,0,IF(AR215&lt;INDEX('Lease Cycles'!$BN$20:$BT$20,1,AR214),1,0))</f>
        <v>0</v>
      </c>
      <c r="AS216" s="25">
        <f>IF(AS214=0,0,IF(AS215&lt;INDEX('Lease Cycles'!$BN$20:$BT$20,1,AS214),1,0))</f>
        <v>0</v>
      </c>
      <c r="AT216" s="25">
        <f>IF(AT214=0,0,IF(AT215&lt;INDEX('Lease Cycles'!$BN$20:$BT$20,1,AT214),1,0))</f>
        <v>0</v>
      </c>
      <c r="AU216" s="25">
        <f>IF(AU214=0,0,IF(AU215&lt;INDEX('Lease Cycles'!$BN$20:$BT$20,1,AU214),1,0))</f>
        <v>0</v>
      </c>
      <c r="AV216" s="25">
        <f>IF(AV214=0,0,IF(AV215&lt;INDEX('Lease Cycles'!$BN$20:$BT$20,1,AV214),1,0))</f>
        <v>0</v>
      </c>
      <c r="AW216" s="25">
        <f>IF(AW214=0,0,IF(AW215&lt;INDEX('Lease Cycles'!$BN$20:$BT$20,1,AW214),1,0))</f>
        <v>0</v>
      </c>
      <c r="AX216" s="25">
        <f>IF(AX214=0,0,IF(AX215&lt;INDEX('Lease Cycles'!$BN$20:$BT$20,1,AX214),1,0))</f>
        <v>0</v>
      </c>
      <c r="AY216" s="25">
        <f>IF(AY214=0,0,IF(AY215&lt;INDEX('Lease Cycles'!$BN$20:$BT$20,1,AY214),1,0))</f>
        <v>0</v>
      </c>
      <c r="AZ216" s="25">
        <f>IF(AZ214=0,0,IF(AZ215&lt;INDEX('Lease Cycles'!$BN$20:$BT$20,1,AZ214),1,0))</f>
        <v>0</v>
      </c>
      <c r="BA216" s="25">
        <f>IF(BA214=0,0,IF(BA215&lt;INDEX('Lease Cycles'!$BN$20:$BT$20,1,BA214),1,0))</f>
        <v>0</v>
      </c>
      <c r="BB216" s="25">
        <f>IF(BB214=0,0,IF(BB215&lt;INDEX('Lease Cycles'!$BN$20:$BT$20,1,BB214),1,0))</f>
        <v>0</v>
      </c>
      <c r="BC216" s="25">
        <f>IF(BC214=0,0,IF(BC215&lt;INDEX('Lease Cycles'!$BN$20:$BT$20,1,BC214),1,0))</f>
        <v>0</v>
      </c>
      <c r="BD216" s="25">
        <f>IF(BD214=0,0,IF(BD215&lt;INDEX('Lease Cycles'!$BN$20:$BT$20,1,BD214),1,0))</f>
        <v>0</v>
      </c>
      <c r="BE216" s="25">
        <f>IF(BE214=0,0,IF(BE215&lt;INDEX('Lease Cycles'!$BN$20:$BT$20,1,BE214),1,0))</f>
        <v>0</v>
      </c>
      <c r="BF216" s="25">
        <f>IF(BF214=0,0,IF(BF215&lt;INDEX('Lease Cycles'!$BN$20:$BT$20,1,BF214),1,0))</f>
        <v>0</v>
      </c>
      <c r="BG216" s="25">
        <f>IF(BG214=0,0,IF(BG215&lt;INDEX('Lease Cycles'!$BN$20:$BT$20,1,BG214),1,0))</f>
        <v>0</v>
      </c>
      <c r="BH216" s="25">
        <f>IF(BH214=0,0,IF(BH215&lt;INDEX('Lease Cycles'!$BN$20:$BT$20,1,BH214),1,0))</f>
        <v>0</v>
      </c>
      <c r="BI216" s="25">
        <f>IF(BI214=0,0,IF(BI215&lt;INDEX('Lease Cycles'!$BN$20:$BT$20,1,BI214),1,0))</f>
        <v>0</v>
      </c>
      <c r="BJ216" s="25">
        <f>IF(BJ214=0,0,IF(BJ215&lt;INDEX('Lease Cycles'!$BN$20:$BT$20,1,BJ214),1,0))</f>
        <v>0</v>
      </c>
      <c r="BK216" s="25">
        <f>IF(BK214=0,0,IF(BK215&lt;INDEX('Lease Cycles'!$BN$20:$BT$20,1,BK214),1,0))</f>
        <v>0</v>
      </c>
      <c r="BL216" s="25">
        <f>IF(BL214=0,0,IF(BL215&lt;INDEX('Lease Cycles'!$BN$20:$BT$20,1,BL214),1,0))</f>
        <v>0</v>
      </c>
      <c r="BM216" s="25">
        <f>IF(BM214=0,0,IF(BM215&lt;INDEX('Lease Cycles'!$BN$20:$BT$20,1,BM214),1,0))</f>
        <v>0</v>
      </c>
      <c r="BN216" s="25">
        <f>IF(BN214=0,0,IF(BN215&lt;INDEX('Lease Cycles'!$BN$20:$BT$20,1,BN214),1,0))</f>
        <v>0</v>
      </c>
      <c r="BO216" s="25">
        <f>IF(BO214=0,0,IF(BO215&lt;INDEX('Lease Cycles'!$BN$20:$BT$20,1,BO214),1,0))</f>
        <v>0</v>
      </c>
      <c r="BP216" s="25">
        <f>IF(BP214=0,0,IF(BP215&lt;INDEX('Lease Cycles'!$BN$20:$BT$20,1,BP214),1,0))</f>
        <v>0</v>
      </c>
      <c r="BQ216" s="25">
        <f>IF(BQ214=0,0,IF(BQ215&lt;INDEX('Lease Cycles'!$BN$20:$BT$20,1,BQ214),1,0))</f>
        <v>0</v>
      </c>
      <c r="BR216" s="25">
        <f>IF(BR214=0,0,IF(BR215&lt;INDEX('Lease Cycles'!$BN$20:$BT$20,1,BR214),1,0))</f>
        <v>0</v>
      </c>
      <c r="BS216" s="25">
        <f>IF(BS214=0,0,IF(BS215&lt;INDEX('Lease Cycles'!$BN$20:$BT$20,1,BS214),1,0))</f>
        <v>0</v>
      </c>
      <c r="BT216" s="25">
        <f>IF(BT214=0,0,IF(BT215&lt;INDEX('Lease Cycles'!$BN$20:$BT$20,1,BT214),1,0))</f>
        <v>0</v>
      </c>
      <c r="BU216" s="25">
        <f>IF(BU214=0,0,IF(BU215&lt;INDEX('Lease Cycles'!$BN$20:$BT$20,1,BU214),1,0))</f>
        <v>0</v>
      </c>
      <c r="BV216" s="25">
        <f>IF(BV214=0,0,IF(BV215&lt;INDEX('Lease Cycles'!$BN$20:$BT$20,1,BV214),1,0))</f>
        <v>0</v>
      </c>
      <c r="BW216" s="25">
        <f>IF(BW214=0,0,IF(BW215&lt;INDEX('Lease Cycles'!$BN$20:$BT$20,1,BW214),1,0))</f>
        <v>0</v>
      </c>
      <c r="BX216" s="25">
        <f>IF(BX214=0,0,IF(BX215&lt;INDEX('Lease Cycles'!$BN$20:$BT$20,1,BX214),1,0))</f>
        <v>0</v>
      </c>
      <c r="BY216" s="25">
        <f>IF(BY214=0,0,IF(BY215&lt;INDEX('Lease Cycles'!$BN$20:$BT$20,1,BY214),1,0))</f>
        <v>0</v>
      </c>
      <c r="BZ216" s="25">
        <f>IF(BZ214=0,0,IF(BZ215&lt;INDEX('Lease Cycles'!$BN$20:$BT$20,1,BZ214),1,0))</f>
        <v>0</v>
      </c>
      <c r="CA216" s="25">
        <f>IF(CA214=0,0,IF(CA215&lt;INDEX('Lease Cycles'!$BN$20:$BT$20,1,CA214),1,0))</f>
        <v>0</v>
      </c>
      <c r="CB216" s="25">
        <f>IF(CB214=0,0,IF(CB215&lt;INDEX('Lease Cycles'!$BN$20:$BT$20,1,CB214),1,0))</f>
        <v>0</v>
      </c>
      <c r="CC216" s="25">
        <f>IF(CC214=0,0,IF(CC215&lt;INDEX('Lease Cycles'!$BN$20:$BT$20,1,CC214),1,0))</f>
        <v>0</v>
      </c>
      <c r="CD216" s="25">
        <f>IF(CD214=0,0,IF(CD215&lt;INDEX('Lease Cycles'!$BN$20:$BT$20,1,CD214),1,0))</f>
        <v>0</v>
      </c>
      <c r="CE216" s="25">
        <f>IF(CE214=0,0,IF(CE215&lt;INDEX('Lease Cycles'!$BN$20:$BT$20,1,CE214),1,0))</f>
        <v>0</v>
      </c>
      <c r="CF216" s="25">
        <f>IF(CF214=0,0,IF(CF215&lt;INDEX('Lease Cycles'!$BN$20:$BT$20,1,CF214),1,0))</f>
        <v>0</v>
      </c>
      <c r="CG216" s="25">
        <f>IF(CG214=0,0,IF(CG215&lt;INDEX('Lease Cycles'!$BN$20:$BT$20,1,CG214),1,0))</f>
        <v>0</v>
      </c>
      <c r="CH216" s="25">
        <f>IF(CH214=0,0,IF(CH215&lt;INDEX('Lease Cycles'!$BN$20:$BT$20,1,CH214),1,0))</f>
        <v>0</v>
      </c>
      <c r="CI216" s="25">
        <f>IF(CI214=0,0,IF(CI215&lt;INDEX('Lease Cycles'!$BN$20:$BT$20,1,CI214),1,0))</f>
        <v>0</v>
      </c>
      <c r="CJ216" s="25">
        <f>IF(CJ214=0,0,IF(CJ215&lt;INDEX('Lease Cycles'!$BN$20:$BT$20,1,CJ214),1,0))</f>
        <v>0</v>
      </c>
      <c r="CK216" s="25">
        <f>IF(CK214=0,0,IF(CK215&lt;INDEX('Lease Cycles'!$BN$20:$BT$20,1,CK214),1,0))</f>
        <v>0</v>
      </c>
      <c r="CL216" s="25">
        <f>IF(CL214=0,0,IF(CL215&lt;INDEX('Lease Cycles'!$BN$20:$BT$20,1,CL214),1,0))</f>
        <v>0</v>
      </c>
      <c r="CM216" s="25">
        <f>IF(CM214=0,0,IF(CM215&lt;INDEX('Lease Cycles'!$BN$20:$BT$20,1,CM214),1,0))</f>
        <v>0</v>
      </c>
      <c r="CN216" s="25">
        <f>IF(CN214=0,0,IF(CN215&lt;INDEX('Lease Cycles'!$BN$20:$BT$20,1,CN214),1,0))</f>
        <v>0</v>
      </c>
      <c r="CO216" s="25">
        <f>IF(CO214=0,0,IF(CO215&lt;INDEX('Lease Cycles'!$BN$20:$BT$20,1,CO214),1,0))</f>
        <v>0</v>
      </c>
      <c r="CP216" s="25">
        <f>IF(CP214=0,0,IF(CP215&lt;INDEX('Lease Cycles'!$BN$20:$BT$20,1,CP214),1,0))</f>
        <v>0</v>
      </c>
      <c r="CQ216" s="25">
        <f>IF(CQ214=0,0,IF(CQ215&lt;INDEX('Lease Cycles'!$BN$20:$BT$20,1,CQ214),1,0))</f>
        <v>0</v>
      </c>
      <c r="CR216" s="25">
        <f>IF(CR214=0,0,IF(CR215&lt;INDEX('Lease Cycles'!$BN$20:$BT$20,1,CR214),1,0))</f>
        <v>0</v>
      </c>
      <c r="CS216" s="25">
        <f>IF(CS214=0,0,IF(CS215&lt;INDEX('Lease Cycles'!$BN$20:$BT$20,1,CS214),1,0))</f>
        <v>0</v>
      </c>
      <c r="CT216" s="25">
        <f>IF(CT214=0,0,IF(CT215&lt;INDEX('Lease Cycles'!$BN$20:$BT$20,1,CT214),1,0))</f>
        <v>0</v>
      </c>
      <c r="CU216" s="25">
        <f>IF(CU214=0,0,IF(CU215&lt;INDEX('Lease Cycles'!$BN$20:$BT$20,1,CU214),1,0))</f>
        <v>0</v>
      </c>
      <c r="CV216" s="25">
        <f>IF(CV214=0,0,IF(CV215&lt;INDEX('Lease Cycles'!$BN$20:$BT$20,1,CV214),1,0))</f>
        <v>0</v>
      </c>
      <c r="CW216" s="25">
        <f>IF(CW214=0,0,IF(CW215&lt;INDEX('Lease Cycles'!$BN$20:$BT$20,1,CW214),1,0))</f>
        <v>0</v>
      </c>
      <c r="CX216" s="25">
        <f>IF(CX214=0,0,IF(CX215&lt;INDEX('Lease Cycles'!$BN$20:$BT$20,1,CX214),1,0))</f>
        <v>0</v>
      </c>
      <c r="CY216" s="25">
        <f>IF(CY214=0,0,IF(CY215&lt;INDEX('Lease Cycles'!$BN$20:$BT$20,1,CY214),1,0))</f>
        <v>0</v>
      </c>
      <c r="CZ216" s="25">
        <f>IF(CZ214=0,0,IF(CZ215&lt;INDEX('Lease Cycles'!$BN$20:$BT$20,1,CZ214),1,0))</f>
        <v>0</v>
      </c>
      <c r="DA216" s="25">
        <f>IF(DA214=0,0,IF(DA215&lt;INDEX('Lease Cycles'!$BN$20:$BT$20,1,DA214),1,0))</f>
        <v>0</v>
      </c>
      <c r="DB216" s="25">
        <f>IF(DB214=0,0,IF(DB215&lt;INDEX('Lease Cycles'!$BN$20:$BT$20,1,DB214),1,0))</f>
        <v>0</v>
      </c>
      <c r="DC216" s="25">
        <f>IF(DC214=0,0,IF(DC215&lt;INDEX('Lease Cycles'!$BN$20:$BT$20,1,DC214),1,0))</f>
        <v>0</v>
      </c>
      <c r="DD216" s="25">
        <f>IF(DD214=0,0,IF(DD215&lt;INDEX('Lease Cycles'!$BN$20:$BT$20,1,DD214),1,0))</f>
        <v>0</v>
      </c>
      <c r="DE216" s="25">
        <f>IF(DE214=0,0,IF(DE215&lt;INDEX('Lease Cycles'!$BN$20:$BT$20,1,DE214),1,0))</f>
        <v>0</v>
      </c>
      <c r="DF216" s="25">
        <f>IF(DF214=0,0,IF(DF215&lt;INDEX('Lease Cycles'!$BN$20:$BT$20,1,DF214),1,0))</f>
        <v>0</v>
      </c>
      <c r="DG216" s="25">
        <f>IF(DG214=0,0,IF(DG215&lt;INDEX('Lease Cycles'!$BN$20:$BT$20,1,DG214),1,0))</f>
        <v>0</v>
      </c>
      <c r="DH216" s="25">
        <f>IF(DH214=0,0,IF(DH215&lt;INDEX('Lease Cycles'!$BN$20:$BT$20,1,DH214),1,0))</f>
        <v>0</v>
      </c>
      <c r="DI216" s="25">
        <f>IF(DI214=0,0,IF(DI215&lt;INDEX('Lease Cycles'!$BN$20:$BT$20,1,DI214),1,0))</f>
        <v>0</v>
      </c>
      <c r="DJ216" s="25">
        <f>IF(DJ214=0,0,IF(DJ215&lt;INDEX('Lease Cycles'!$BN$20:$BT$20,1,DJ214),1,0))</f>
        <v>0</v>
      </c>
      <c r="DK216" s="25">
        <f>IF(DK214=0,0,IF(DK215&lt;INDEX('Lease Cycles'!$BN$20:$BT$20,1,DK214),1,0))</f>
        <v>0</v>
      </c>
      <c r="DL216" s="25">
        <f>IF(DL214=0,0,IF(DL215&lt;INDEX('Lease Cycles'!$BN$20:$BT$20,1,DL214),1,0))</f>
        <v>0</v>
      </c>
      <c r="DM216" s="25">
        <f>IF(DM214=0,0,IF(DM215&lt;INDEX('Lease Cycles'!$BN$20:$BT$20,1,DM214),1,0))</f>
        <v>0</v>
      </c>
      <c r="DN216" s="25">
        <f>IF(DN214=0,0,IF(DN215&lt;INDEX('Lease Cycles'!$BN$20:$BT$20,1,DN214),1,0))</f>
        <v>0</v>
      </c>
      <c r="DO216" s="25">
        <f>IF(DO214=0,0,IF(DO215&lt;INDEX('Lease Cycles'!$BN$20:$BT$20,1,DO214),1,0))</f>
        <v>0</v>
      </c>
      <c r="DP216" s="25">
        <f>IF(DP214=0,0,IF(DP215&lt;INDEX('Lease Cycles'!$BN$20:$BT$20,1,DP214),1,0))</f>
        <v>0</v>
      </c>
      <c r="DQ216" s="25">
        <f>IF(DQ214=0,0,IF(DQ215&lt;INDEX('Lease Cycles'!$BN$20:$BT$20,1,DQ214),1,0))</f>
        <v>0</v>
      </c>
      <c r="DR216" s="25">
        <f>IF(DR214=0,0,IF(DR215&lt;INDEX('Lease Cycles'!$BN$20:$BT$20,1,DR214),1,0))</f>
        <v>0</v>
      </c>
      <c r="DS216" s="25">
        <f>IF(DS214=0,0,IF(DS215&lt;INDEX('Lease Cycles'!$BN$20:$BT$20,1,DS214),1,0))</f>
        <v>0</v>
      </c>
      <c r="DT216" s="25">
        <f>IF(DT214=0,0,IF(DT215&lt;INDEX('Lease Cycles'!$BN$20:$BT$20,1,DT214),1,0))</f>
        <v>0</v>
      </c>
      <c r="DU216" s="25">
        <f>IF(DU214=0,0,IF(DU215&lt;INDEX('Lease Cycles'!$BN$20:$BT$20,1,DU214),1,0))</f>
        <v>0</v>
      </c>
      <c r="DV216" s="25">
        <f>IF(DV214=0,0,IF(DV215&lt;INDEX('Lease Cycles'!$BN$20:$BT$20,1,DV214),1,0))</f>
        <v>0</v>
      </c>
      <c r="DW216" s="25">
        <f>IF(DW214=0,0,IF(DW215&lt;INDEX('Lease Cycles'!$BN$20:$BT$20,1,DW214),1,0))</f>
        <v>0</v>
      </c>
      <c r="DX216" s="25">
        <f>IF(DX214=0,0,IF(DX215&lt;INDEX('Lease Cycles'!$BN$20:$BT$20,1,DX214),1,0))</f>
        <v>0</v>
      </c>
      <c r="DY216" s="25">
        <f>IF(DY214=0,0,IF(DY215&lt;INDEX('Lease Cycles'!$BN$20:$BT$20,1,DY214),1,0))</f>
        <v>0</v>
      </c>
      <c r="DZ216" s="25">
        <f>IF(DZ214=0,0,IF(DZ215&lt;INDEX('Lease Cycles'!$BN$20:$BT$20,1,DZ214),1,0))</f>
        <v>0</v>
      </c>
      <c r="EA216" s="25">
        <f>IF(EA214=0,0,IF(EA215&lt;INDEX('Lease Cycles'!$BN$20:$BT$20,1,EA214),1,0))</f>
        <v>0</v>
      </c>
      <c r="EB216" s="25">
        <f>IF(EB214=0,0,IF(EB215&lt;INDEX('Lease Cycles'!$BN$20:$BT$20,1,EB214),1,0))</f>
        <v>0</v>
      </c>
      <c r="EC216" s="25">
        <f>IF(EC214=0,0,IF(EC215&lt;INDEX('Lease Cycles'!$BN$20:$BT$20,1,EC214),1,0))</f>
        <v>0</v>
      </c>
      <c r="ED216" s="25">
        <f>IF(ED214=0,0,IF(ED215&lt;INDEX('Lease Cycles'!$BN$20:$BT$20,1,ED214),1,0))</f>
        <v>0</v>
      </c>
      <c r="EE216" s="25">
        <f>IF(EE214=0,0,IF(EE215&lt;INDEX('Lease Cycles'!$BN$20:$BT$20,1,EE214),1,0))</f>
        <v>0</v>
      </c>
      <c r="EF216" s="25">
        <f>IF(EF214=0,0,IF(EF215&lt;INDEX('Lease Cycles'!$BN$20:$BT$20,1,EF214),1,0))</f>
        <v>0</v>
      </c>
      <c r="EG216" s="25">
        <f>IF(EG214=0,0,IF(EG215&lt;INDEX('Lease Cycles'!$BN$20:$BT$20,1,EG214),1,0))</f>
        <v>0</v>
      </c>
      <c r="EH216" s="25">
        <f>IF(EH214=0,0,IF(EH215&lt;INDEX('Lease Cycles'!$BN$20:$BT$20,1,EH214),1,0))</f>
        <v>0</v>
      </c>
      <c r="EI216" s="25">
        <f>IF(EI214=0,0,IF(EI215&lt;INDEX('Lease Cycles'!$BN$20:$BT$20,1,EI214),1,0))</f>
        <v>0</v>
      </c>
      <c r="EJ216" s="25">
        <f>IF(EJ214=0,0,IF(EJ215&lt;INDEX('Lease Cycles'!$BN$20:$BT$20,1,EJ214),1,0))</f>
        <v>0</v>
      </c>
      <c r="EK216" s="25">
        <f>IF(EK214=0,0,IF(EK215&lt;INDEX('Lease Cycles'!$BN$20:$BT$20,1,EK214),1,0))</f>
        <v>0</v>
      </c>
      <c r="EL216" s="25">
        <f>IF(EL214=0,0,IF(EL215&lt;INDEX('Lease Cycles'!$BN$20:$BT$20,1,EL214),1,0))</f>
        <v>0</v>
      </c>
      <c r="EM216" s="25">
        <f>IF(EM214=0,0,IF(EM215&lt;INDEX('Lease Cycles'!$BN$20:$BT$20,1,EM214),1,0))</f>
        <v>0</v>
      </c>
      <c r="EN216" s="25">
        <f>IF(EN214=0,0,IF(EN215&lt;INDEX('Lease Cycles'!$BN$20:$BT$20,1,EN214),1,0))</f>
        <v>0</v>
      </c>
      <c r="EO216" s="25">
        <f>IF(EO214=0,0,IF(EO215&lt;INDEX('Lease Cycles'!$BN$20:$BT$20,1,EO214),1,0))</f>
        <v>0</v>
      </c>
      <c r="EP216" s="25">
        <f>IF(EP214=0,0,IF(EP215&lt;INDEX('Lease Cycles'!$BN$20:$BT$20,1,EP214),1,0))</f>
        <v>0</v>
      </c>
      <c r="EQ216" s="25">
        <f>IF(EQ214=0,0,IF(EQ215&lt;INDEX('Lease Cycles'!$BN$20:$BT$20,1,EQ214),1,0))</f>
        <v>0</v>
      </c>
      <c r="ER216" s="25">
        <f>IF(ER214=0,0,IF(ER215&lt;INDEX('Lease Cycles'!$BN$20:$BT$20,1,ER214),1,0))</f>
        <v>0</v>
      </c>
      <c r="ES216" s="25">
        <f>IF(ES214=0,0,IF(ES215&lt;INDEX('Lease Cycles'!$BN$20:$BT$20,1,ES214),1,0))</f>
        <v>0</v>
      </c>
      <c r="ET216" s="25">
        <f>IF(ET214=0,0,IF(ET215&lt;INDEX('Lease Cycles'!$BN$20:$BT$20,1,ET214),1,0))</f>
        <v>0</v>
      </c>
    </row>
    <row r="217">
      <c r="A217" s="103">
        <v>13</v>
      </c>
      <c r="B217" s="23" t="str">
        <f>IF('Lease Cycles'!$B$20="","(empty slot)",'Lease Cycles'!$B$20)</f>
        <v>(empty slot)</v>
      </c>
      <c r="C217" s="23" t="s">
        <v>677</v>
      </c>
      <c r="D217" s="104" t="s">
        <v>678</v>
      </c>
      <c r="E217" s="25">
        <f>'Lease Cycles'!$AL$20</f>
        <v>0</v>
      </c>
      <c r="S217" s="28">
        <f>IF(S214=0,IF('Lease Cycles'!$F$20&gt;0,'Lease Cycles'!$C$20*'Lease Cycles'!$E$20/12,0),IF(S216=1,IF('Lease Cycles'!$AT$20&gt;=9999,'Lease Cycles'!$C$20*INDEX('Lease Cycles'!$CB$20:$CH$20,1,S214)*(1+INDEX('Lease Cycles'!$CI$20:$CO$20,1,S214))^INT(INT(S215/12)/INDEX('Lease Cycles'!$CP$20:$CV$20,1,S214))/12,IF(S214=1,IF(S215&gt;=INDEX('Lease Cycles'!$DK$20:$DQ$20,1,S214),IF(S$6&gt;='Lease Cycles'!$AZ$20,'Lease Cycles'!$C$20*'Lease Cycles'!$BA$20/12,IF(S$6&gt;='Lease Cycles'!$AX$20,'Lease Cycles'!$C$20*'Lease Cycles'!$AY$20/12,IF(S$6&gt;='Lease Cycles'!$AV$20,'Lease Cycles'!$C$20*'Lease Cycles'!$AW$20/12,IF(S$6&gt;='Lease Cycles'!$AT$20,'Lease Cycles'!$C$20*'Lease Cycles'!$AU$20/12,'Lease Cycles'!$C$20*INDEX('Lease Cycles'!$CB$20:$CH$20,1,S214)*(1+INDEX('Lease Cycles'!$CI$20:$CO$20,1,S214))^INT(INT(S215/12)/INDEX('Lease Cycles'!$CP$20:$CV$20,1,S214))/12)))),'Lease Cycles'!$C$20*INDEX('Lease Cycles'!$CB$20:$CH$20,1,S214)*(1+INDEX('Lease Cycles'!$CI$20:$CO$20,1,S214))^INT(INT(S215/12)/INDEX('Lease Cycles'!$CP$20:$CV$20,1,S214))/12),IF(INDEX('Lease Cycles'!$EF$20:$EL$20,1,S214)=1,IF(AND('Lease Cycles'!$AZ$20&gt;=INDEX('Lease Cycles'!$BG$20:$BM$20,1,S214),'Lease Cycles'!$AZ$20&lt;=S$6),'Lease Cycles'!$C$20*'Lease Cycles'!$BA$20/12,IF(AND('Lease Cycles'!$AX$20&gt;=INDEX('Lease Cycles'!$BG$20:$BM$20,1,S214),'Lease Cycles'!$AX$20&lt;=S$6),'Lease Cycles'!$C$20*'Lease Cycles'!$AY$20/12,IF(AND('Lease Cycles'!$AV$20&gt;=INDEX('Lease Cycles'!$BG$20:$BM$20,1,S214),'Lease Cycles'!$AV$20&lt;=S$6),'Lease Cycles'!$C$20*'Lease Cycles'!$AW$20/12,IF(AND('Lease Cycles'!$AT$20&gt;=INDEX('Lease Cycles'!$BG$20:$BM$20,1,S214),'Lease Cycles'!$AT$20&lt;=S$6),'Lease Cycles'!$C$20*'Lease Cycles'!$AU$20/12,'Lease Cycles'!$C$20*INDEX('Lease Cycles'!$CB$20:$CH$20,1,S214)*(1+INDEX('Lease Cycles'!$CI$20:$CO$20,1,S214))^INT(INT(S215/12)/INDEX('Lease Cycles'!$CP$20:$CV$20,1,S214))/12)))),'Lease Cycles'!$C$20*INDEX('Lease Cycles'!$CB$20:$CH$20,1,S214)*(1+INDEX('Lease Cycles'!$CI$20:$CO$20,1,S214))^INT(INT(S215/12)/INDEX('Lease Cycles'!$CP$20:$CV$20,1,S214))/12))),IF('Lease Cycles'!$N$20=1,'Lease Cycles'!$C$20*'Lease Cycles'!$E$20*INDEX('Lease Cycles'!$HE$20:$HK$20,1,S214)*(1+INDEX('Lease Cycles'!$GQ$20:$GW$20,1,S214))^INT(INT((S$6-INDEX('Lease Cycles'!$GJ$20:$GP$20,1,S214))/12)/INDEX('Lease Cycles'!$GX$20:$HD$20,1,S214))/12,0)))</f>
        <v>0</v>
      </c>
      <c r="T217" s="28">
        <f>IF(T214=0,IF('Lease Cycles'!$F$20&gt;0,'Lease Cycles'!$C$20*'Lease Cycles'!$E$20/12,0),IF(T216=1,IF('Lease Cycles'!$AT$20&gt;=9999,'Lease Cycles'!$C$20*INDEX('Lease Cycles'!$CB$20:$CH$20,1,T214)*(1+INDEX('Lease Cycles'!$CI$20:$CO$20,1,T214))^INT(INT(T215/12)/INDEX('Lease Cycles'!$CP$20:$CV$20,1,T214))/12,IF(T214=1,IF(T215&gt;=INDEX('Lease Cycles'!$DK$20:$DQ$20,1,T214),IF(T$6&gt;='Lease Cycles'!$AZ$20,'Lease Cycles'!$C$20*'Lease Cycles'!$BA$20/12,IF(T$6&gt;='Lease Cycles'!$AX$20,'Lease Cycles'!$C$20*'Lease Cycles'!$AY$20/12,IF(T$6&gt;='Lease Cycles'!$AV$20,'Lease Cycles'!$C$20*'Lease Cycles'!$AW$20/12,IF(T$6&gt;='Lease Cycles'!$AT$20,'Lease Cycles'!$C$20*'Lease Cycles'!$AU$20/12,'Lease Cycles'!$C$20*INDEX('Lease Cycles'!$CB$20:$CH$20,1,T214)*(1+INDEX('Lease Cycles'!$CI$20:$CO$20,1,T214))^INT(INT(T215/12)/INDEX('Lease Cycles'!$CP$20:$CV$20,1,T214))/12)))),'Lease Cycles'!$C$20*INDEX('Lease Cycles'!$CB$20:$CH$20,1,T214)*(1+INDEX('Lease Cycles'!$CI$20:$CO$20,1,T214))^INT(INT(T215/12)/INDEX('Lease Cycles'!$CP$20:$CV$20,1,T214))/12),IF(INDEX('Lease Cycles'!$EF$20:$EL$20,1,T214)=1,IF(AND('Lease Cycles'!$AZ$20&gt;=INDEX('Lease Cycles'!$BG$20:$BM$20,1,T214),'Lease Cycles'!$AZ$20&lt;=T$6),'Lease Cycles'!$C$20*'Lease Cycles'!$BA$20/12,IF(AND('Lease Cycles'!$AX$20&gt;=INDEX('Lease Cycles'!$BG$20:$BM$20,1,T214),'Lease Cycles'!$AX$20&lt;=T$6),'Lease Cycles'!$C$20*'Lease Cycles'!$AY$20/12,IF(AND('Lease Cycles'!$AV$20&gt;=INDEX('Lease Cycles'!$BG$20:$BM$20,1,T214),'Lease Cycles'!$AV$20&lt;=T$6),'Lease Cycles'!$C$20*'Lease Cycles'!$AW$20/12,IF(AND('Lease Cycles'!$AT$20&gt;=INDEX('Lease Cycles'!$BG$20:$BM$20,1,T214),'Lease Cycles'!$AT$20&lt;=T$6),'Lease Cycles'!$C$20*'Lease Cycles'!$AU$20/12,'Lease Cycles'!$C$20*INDEX('Lease Cycles'!$CB$20:$CH$20,1,T214)*(1+INDEX('Lease Cycles'!$CI$20:$CO$20,1,T214))^INT(INT(T215/12)/INDEX('Lease Cycles'!$CP$20:$CV$20,1,T214))/12)))),'Lease Cycles'!$C$20*INDEX('Lease Cycles'!$CB$20:$CH$20,1,T214)*(1+INDEX('Lease Cycles'!$CI$20:$CO$20,1,T214))^INT(INT(T215/12)/INDEX('Lease Cycles'!$CP$20:$CV$20,1,T214))/12))),IF('Lease Cycles'!$N$20=1,'Lease Cycles'!$C$20*'Lease Cycles'!$E$20*INDEX('Lease Cycles'!$HE$20:$HK$20,1,T214)*(1+INDEX('Lease Cycles'!$GQ$20:$GW$20,1,T214))^INT(INT((T$6-INDEX('Lease Cycles'!$GJ$20:$GP$20,1,T214))/12)/INDEX('Lease Cycles'!$GX$20:$HD$20,1,T214))/12,0)))</f>
        <v>0</v>
      </c>
      <c r="U217" s="28">
        <f>IF(U214=0,IF('Lease Cycles'!$F$20&gt;0,'Lease Cycles'!$C$20*'Lease Cycles'!$E$20/12,0),IF(U216=1,IF('Lease Cycles'!$AT$20&gt;=9999,'Lease Cycles'!$C$20*INDEX('Lease Cycles'!$CB$20:$CH$20,1,U214)*(1+INDEX('Lease Cycles'!$CI$20:$CO$20,1,U214))^INT(INT(U215/12)/INDEX('Lease Cycles'!$CP$20:$CV$20,1,U214))/12,IF(U214=1,IF(U215&gt;=INDEX('Lease Cycles'!$DK$20:$DQ$20,1,U214),IF(U$6&gt;='Lease Cycles'!$AZ$20,'Lease Cycles'!$C$20*'Lease Cycles'!$BA$20/12,IF(U$6&gt;='Lease Cycles'!$AX$20,'Lease Cycles'!$C$20*'Lease Cycles'!$AY$20/12,IF(U$6&gt;='Lease Cycles'!$AV$20,'Lease Cycles'!$C$20*'Lease Cycles'!$AW$20/12,IF(U$6&gt;='Lease Cycles'!$AT$20,'Lease Cycles'!$C$20*'Lease Cycles'!$AU$20/12,'Lease Cycles'!$C$20*INDEX('Lease Cycles'!$CB$20:$CH$20,1,U214)*(1+INDEX('Lease Cycles'!$CI$20:$CO$20,1,U214))^INT(INT(U215/12)/INDEX('Lease Cycles'!$CP$20:$CV$20,1,U214))/12)))),'Lease Cycles'!$C$20*INDEX('Lease Cycles'!$CB$20:$CH$20,1,U214)*(1+INDEX('Lease Cycles'!$CI$20:$CO$20,1,U214))^INT(INT(U215/12)/INDEX('Lease Cycles'!$CP$20:$CV$20,1,U214))/12),IF(INDEX('Lease Cycles'!$EF$20:$EL$20,1,U214)=1,IF(AND('Lease Cycles'!$AZ$20&gt;=INDEX('Lease Cycles'!$BG$20:$BM$20,1,U214),'Lease Cycles'!$AZ$20&lt;=U$6),'Lease Cycles'!$C$20*'Lease Cycles'!$BA$20/12,IF(AND('Lease Cycles'!$AX$20&gt;=INDEX('Lease Cycles'!$BG$20:$BM$20,1,U214),'Lease Cycles'!$AX$20&lt;=U$6),'Lease Cycles'!$C$20*'Lease Cycles'!$AY$20/12,IF(AND('Lease Cycles'!$AV$20&gt;=INDEX('Lease Cycles'!$BG$20:$BM$20,1,U214),'Lease Cycles'!$AV$20&lt;=U$6),'Lease Cycles'!$C$20*'Lease Cycles'!$AW$20/12,IF(AND('Lease Cycles'!$AT$20&gt;=INDEX('Lease Cycles'!$BG$20:$BM$20,1,U214),'Lease Cycles'!$AT$20&lt;=U$6),'Lease Cycles'!$C$20*'Lease Cycles'!$AU$20/12,'Lease Cycles'!$C$20*INDEX('Lease Cycles'!$CB$20:$CH$20,1,U214)*(1+INDEX('Lease Cycles'!$CI$20:$CO$20,1,U214))^INT(INT(U215/12)/INDEX('Lease Cycles'!$CP$20:$CV$20,1,U214))/12)))),'Lease Cycles'!$C$20*INDEX('Lease Cycles'!$CB$20:$CH$20,1,U214)*(1+INDEX('Lease Cycles'!$CI$20:$CO$20,1,U214))^INT(INT(U215/12)/INDEX('Lease Cycles'!$CP$20:$CV$20,1,U214))/12))),IF('Lease Cycles'!$N$20=1,'Lease Cycles'!$C$20*'Lease Cycles'!$E$20*INDEX('Lease Cycles'!$HE$20:$HK$20,1,U214)*(1+INDEX('Lease Cycles'!$GQ$20:$GW$20,1,U214))^INT(INT((U$6-INDEX('Lease Cycles'!$GJ$20:$GP$20,1,U214))/12)/INDEX('Lease Cycles'!$GX$20:$HD$20,1,U214))/12,0)))</f>
        <v>0</v>
      </c>
      <c r="V217" s="28">
        <f>IF(V214=0,IF('Lease Cycles'!$F$20&gt;0,'Lease Cycles'!$C$20*'Lease Cycles'!$E$20/12,0),IF(V216=1,IF('Lease Cycles'!$AT$20&gt;=9999,'Lease Cycles'!$C$20*INDEX('Lease Cycles'!$CB$20:$CH$20,1,V214)*(1+INDEX('Lease Cycles'!$CI$20:$CO$20,1,V214))^INT(INT(V215/12)/INDEX('Lease Cycles'!$CP$20:$CV$20,1,V214))/12,IF(V214=1,IF(V215&gt;=INDEX('Lease Cycles'!$DK$20:$DQ$20,1,V214),IF(V$6&gt;='Lease Cycles'!$AZ$20,'Lease Cycles'!$C$20*'Lease Cycles'!$BA$20/12,IF(V$6&gt;='Lease Cycles'!$AX$20,'Lease Cycles'!$C$20*'Lease Cycles'!$AY$20/12,IF(V$6&gt;='Lease Cycles'!$AV$20,'Lease Cycles'!$C$20*'Lease Cycles'!$AW$20/12,IF(V$6&gt;='Lease Cycles'!$AT$20,'Lease Cycles'!$C$20*'Lease Cycles'!$AU$20/12,'Lease Cycles'!$C$20*INDEX('Lease Cycles'!$CB$20:$CH$20,1,V214)*(1+INDEX('Lease Cycles'!$CI$20:$CO$20,1,V214))^INT(INT(V215/12)/INDEX('Lease Cycles'!$CP$20:$CV$20,1,V214))/12)))),'Lease Cycles'!$C$20*INDEX('Lease Cycles'!$CB$20:$CH$20,1,V214)*(1+INDEX('Lease Cycles'!$CI$20:$CO$20,1,V214))^INT(INT(V215/12)/INDEX('Lease Cycles'!$CP$20:$CV$20,1,V214))/12),IF(INDEX('Lease Cycles'!$EF$20:$EL$20,1,V214)=1,IF(AND('Lease Cycles'!$AZ$20&gt;=INDEX('Lease Cycles'!$BG$20:$BM$20,1,V214),'Lease Cycles'!$AZ$20&lt;=V$6),'Lease Cycles'!$C$20*'Lease Cycles'!$BA$20/12,IF(AND('Lease Cycles'!$AX$20&gt;=INDEX('Lease Cycles'!$BG$20:$BM$20,1,V214),'Lease Cycles'!$AX$20&lt;=V$6),'Lease Cycles'!$C$20*'Lease Cycles'!$AY$20/12,IF(AND('Lease Cycles'!$AV$20&gt;=INDEX('Lease Cycles'!$BG$20:$BM$20,1,V214),'Lease Cycles'!$AV$20&lt;=V$6),'Lease Cycles'!$C$20*'Lease Cycles'!$AW$20/12,IF(AND('Lease Cycles'!$AT$20&gt;=INDEX('Lease Cycles'!$BG$20:$BM$20,1,V214),'Lease Cycles'!$AT$20&lt;=V$6),'Lease Cycles'!$C$20*'Lease Cycles'!$AU$20/12,'Lease Cycles'!$C$20*INDEX('Lease Cycles'!$CB$20:$CH$20,1,V214)*(1+INDEX('Lease Cycles'!$CI$20:$CO$20,1,V214))^INT(INT(V215/12)/INDEX('Lease Cycles'!$CP$20:$CV$20,1,V214))/12)))),'Lease Cycles'!$C$20*INDEX('Lease Cycles'!$CB$20:$CH$20,1,V214)*(1+INDEX('Lease Cycles'!$CI$20:$CO$20,1,V214))^INT(INT(V215/12)/INDEX('Lease Cycles'!$CP$20:$CV$20,1,V214))/12))),IF('Lease Cycles'!$N$20=1,'Lease Cycles'!$C$20*'Lease Cycles'!$E$20*INDEX('Lease Cycles'!$HE$20:$HK$20,1,V214)*(1+INDEX('Lease Cycles'!$GQ$20:$GW$20,1,V214))^INT(INT((V$6-INDEX('Lease Cycles'!$GJ$20:$GP$20,1,V214))/12)/INDEX('Lease Cycles'!$GX$20:$HD$20,1,V214))/12,0)))</f>
        <v>0</v>
      </c>
      <c r="W217" s="28">
        <f>IF(W214=0,IF('Lease Cycles'!$F$20&gt;0,'Lease Cycles'!$C$20*'Lease Cycles'!$E$20/12,0),IF(W216=1,IF('Lease Cycles'!$AT$20&gt;=9999,'Lease Cycles'!$C$20*INDEX('Lease Cycles'!$CB$20:$CH$20,1,W214)*(1+INDEX('Lease Cycles'!$CI$20:$CO$20,1,W214))^INT(INT(W215/12)/INDEX('Lease Cycles'!$CP$20:$CV$20,1,W214))/12,IF(W214=1,IF(W215&gt;=INDEX('Lease Cycles'!$DK$20:$DQ$20,1,W214),IF(W$6&gt;='Lease Cycles'!$AZ$20,'Lease Cycles'!$C$20*'Lease Cycles'!$BA$20/12,IF(W$6&gt;='Lease Cycles'!$AX$20,'Lease Cycles'!$C$20*'Lease Cycles'!$AY$20/12,IF(W$6&gt;='Lease Cycles'!$AV$20,'Lease Cycles'!$C$20*'Lease Cycles'!$AW$20/12,IF(W$6&gt;='Lease Cycles'!$AT$20,'Lease Cycles'!$C$20*'Lease Cycles'!$AU$20/12,'Lease Cycles'!$C$20*INDEX('Lease Cycles'!$CB$20:$CH$20,1,W214)*(1+INDEX('Lease Cycles'!$CI$20:$CO$20,1,W214))^INT(INT(W215/12)/INDEX('Lease Cycles'!$CP$20:$CV$20,1,W214))/12)))),'Lease Cycles'!$C$20*INDEX('Lease Cycles'!$CB$20:$CH$20,1,W214)*(1+INDEX('Lease Cycles'!$CI$20:$CO$20,1,W214))^INT(INT(W215/12)/INDEX('Lease Cycles'!$CP$20:$CV$20,1,W214))/12),IF(INDEX('Lease Cycles'!$EF$20:$EL$20,1,W214)=1,IF(AND('Lease Cycles'!$AZ$20&gt;=INDEX('Lease Cycles'!$BG$20:$BM$20,1,W214),'Lease Cycles'!$AZ$20&lt;=W$6),'Lease Cycles'!$C$20*'Lease Cycles'!$BA$20/12,IF(AND('Lease Cycles'!$AX$20&gt;=INDEX('Lease Cycles'!$BG$20:$BM$20,1,W214),'Lease Cycles'!$AX$20&lt;=W$6),'Lease Cycles'!$C$20*'Lease Cycles'!$AY$20/12,IF(AND('Lease Cycles'!$AV$20&gt;=INDEX('Lease Cycles'!$BG$20:$BM$20,1,W214),'Lease Cycles'!$AV$20&lt;=W$6),'Lease Cycles'!$C$20*'Lease Cycles'!$AW$20/12,IF(AND('Lease Cycles'!$AT$20&gt;=INDEX('Lease Cycles'!$BG$20:$BM$20,1,W214),'Lease Cycles'!$AT$20&lt;=W$6),'Lease Cycles'!$C$20*'Lease Cycles'!$AU$20/12,'Lease Cycles'!$C$20*INDEX('Lease Cycles'!$CB$20:$CH$20,1,W214)*(1+INDEX('Lease Cycles'!$CI$20:$CO$20,1,W214))^INT(INT(W215/12)/INDEX('Lease Cycles'!$CP$20:$CV$20,1,W214))/12)))),'Lease Cycles'!$C$20*INDEX('Lease Cycles'!$CB$20:$CH$20,1,W214)*(1+INDEX('Lease Cycles'!$CI$20:$CO$20,1,W214))^INT(INT(W215/12)/INDEX('Lease Cycles'!$CP$20:$CV$20,1,W214))/12))),IF('Lease Cycles'!$N$20=1,'Lease Cycles'!$C$20*'Lease Cycles'!$E$20*INDEX('Lease Cycles'!$HE$20:$HK$20,1,W214)*(1+INDEX('Lease Cycles'!$GQ$20:$GW$20,1,W214))^INT(INT((W$6-INDEX('Lease Cycles'!$GJ$20:$GP$20,1,W214))/12)/INDEX('Lease Cycles'!$GX$20:$HD$20,1,W214))/12,0)))</f>
        <v>0</v>
      </c>
      <c r="X217" s="28">
        <f>IF(X214=0,IF('Lease Cycles'!$F$20&gt;0,'Lease Cycles'!$C$20*'Lease Cycles'!$E$20/12,0),IF(X216=1,IF('Lease Cycles'!$AT$20&gt;=9999,'Lease Cycles'!$C$20*INDEX('Lease Cycles'!$CB$20:$CH$20,1,X214)*(1+INDEX('Lease Cycles'!$CI$20:$CO$20,1,X214))^INT(INT(X215/12)/INDEX('Lease Cycles'!$CP$20:$CV$20,1,X214))/12,IF(X214=1,IF(X215&gt;=INDEX('Lease Cycles'!$DK$20:$DQ$20,1,X214),IF(X$6&gt;='Lease Cycles'!$AZ$20,'Lease Cycles'!$C$20*'Lease Cycles'!$BA$20/12,IF(X$6&gt;='Lease Cycles'!$AX$20,'Lease Cycles'!$C$20*'Lease Cycles'!$AY$20/12,IF(X$6&gt;='Lease Cycles'!$AV$20,'Lease Cycles'!$C$20*'Lease Cycles'!$AW$20/12,IF(X$6&gt;='Lease Cycles'!$AT$20,'Lease Cycles'!$C$20*'Lease Cycles'!$AU$20/12,'Lease Cycles'!$C$20*INDEX('Lease Cycles'!$CB$20:$CH$20,1,X214)*(1+INDEX('Lease Cycles'!$CI$20:$CO$20,1,X214))^INT(INT(X215/12)/INDEX('Lease Cycles'!$CP$20:$CV$20,1,X214))/12)))),'Lease Cycles'!$C$20*INDEX('Lease Cycles'!$CB$20:$CH$20,1,X214)*(1+INDEX('Lease Cycles'!$CI$20:$CO$20,1,X214))^INT(INT(X215/12)/INDEX('Lease Cycles'!$CP$20:$CV$20,1,X214))/12),IF(INDEX('Lease Cycles'!$EF$20:$EL$20,1,X214)=1,IF(AND('Lease Cycles'!$AZ$20&gt;=INDEX('Lease Cycles'!$BG$20:$BM$20,1,X214),'Lease Cycles'!$AZ$20&lt;=X$6),'Lease Cycles'!$C$20*'Lease Cycles'!$BA$20/12,IF(AND('Lease Cycles'!$AX$20&gt;=INDEX('Lease Cycles'!$BG$20:$BM$20,1,X214),'Lease Cycles'!$AX$20&lt;=X$6),'Lease Cycles'!$C$20*'Lease Cycles'!$AY$20/12,IF(AND('Lease Cycles'!$AV$20&gt;=INDEX('Lease Cycles'!$BG$20:$BM$20,1,X214),'Lease Cycles'!$AV$20&lt;=X$6),'Lease Cycles'!$C$20*'Lease Cycles'!$AW$20/12,IF(AND('Lease Cycles'!$AT$20&gt;=INDEX('Lease Cycles'!$BG$20:$BM$20,1,X214),'Lease Cycles'!$AT$20&lt;=X$6),'Lease Cycles'!$C$20*'Lease Cycles'!$AU$20/12,'Lease Cycles'!$C$20*INDEX('Lease Cycles'!$CB$20:$CH$20,1,X214)*(1+INDEX('Lease Cycles'!$CI$20:$CO$20,1,X214))^INT(INT(X215/12)/INDEX('Lease Cycles'!$CP$20:$CV$20,1,X214))/12)))),'Lease Cycles'!$C$20*INDEX('Lease Cycles'!$CB$20:$CH$20,1,X214)*(1+INDEX('Lease Cycles'!$CI$20:$CO$20,1,X214))^INT(INT(X215/12)/INDEX('Lease Cycles'!$CP$20:$CV$20,1,X214))/12))),IF('Lease Cycles'!$N$20=1,'Lease Cycles'!$C$20*'Lease Cycles'!$E$20*INDEX('Lease Cycles'!$HE$20:$HK$20,1,X214)*(1+INDEX('Lease Cycles'!$GQ$20:$GW$20,1,X214))^INT(INT((X$6-INDEX('Lease Cycles'!$GJ$20:$GP$20,1,X214))/12)/INDEX('Lease Cycles'!$GX$20:$HD$20,1,X214))/12,0)))</f>
        <v>0</v>
      </c>
      <c r="Y217" s="28">
        <f>IF(Y214=0,IF('Lease Cycles'!$F$20&gt;0,'Lease Cycles'!$C$20*'Lease Cycles'!$E$20/12,0),IF(Y216=1,IF('Lease Cycles'!$AT$20&gt;=9999,'Lease Cycles'!$C$20*INDEX('Lease Cycles'!$CB$20:$CH$20,1,Y214)*(1+INDEX('Lease Cycles'!$CI$20:$CO$20,1,Y214))^INT(INT(Y215/12)/INDEX('Lease Cycles'!$CP$20:$CV$20,1,Y214))/12,IF(Y214=1,IF(Y215&gt;=INDEX('Lease Cycles'!$DK$20:$DQ$20,1,Y214),IF(Y$6&gt;='Lease Cycles'!$AZ$20,'Lease Cycles'!$C$20*'Lease Cycles'!$BA$20/12,IF(Y$6&gt;='Lease Cycles'!$AX$20,'Lease Cycles'!$C$20*'Lease Cycles'!$AY$20/12,IF(Y$6&gt;='Lease Cycles'!$AV$20,'Lease Cycles'!$C$20*'Lease Cycles'!$AW$20/12,IF(Y$6&gt;='Lease Cycles'!$AT$20,'Lease Cycles'!$C$20*'Lease Cycles'!$AU$20/12,'Lease Cycles'!$C$20*INDEX('Lease Cycles'!$CB$20:$CH$20,1,Y214)*(1+INDEX('Lease Cycles'!$CI$20:$CO$20,1,Y214))^INT(INT(Y215/12)/INDEX('Lease Cycles'!$CP$20:$CV$20,1,Y214))/12)))),'Lease Cycles'!$C$20*INDEX('Lease Cycles'!$CB$20:$CH$20,1,Y214)*(1+INDEX('Lease Cycles'!$CI$20:$CO$20,1,Y214))^INT(INT(Y215/12)/INDEX('Lease Cycles'!$CP$20:$CV$20,1,Y214))/12),IF(INDEX('Lease Cycles'!$EF$20:$EL$20,1,Y214)=1,IF(AND('Lease Cycles'!$AZ$20&gt;=INDEX('Lease Cycles'!$BG$20:$BM$20,1,Y214),'Lease Cycles'!$AZ$20&lt;=Y$6),'Lease Cycles'!$C$20*'Lease Cycles'!$BA$20/12,IF(AND('Lease Cycles'!$AX$20&gt;=INDEX('Lease Cycles'!$BG$20:$BM$20,1,Y214),'Lease Cycles'!$AX$20&lt;=Y$6),'Lease Cycles'!$C$20*'Lease Cycles'!$AY$20/12,IF(AND('Lease Cycles'!$AV$20&gt;=INDEX('Lease Cycles'!$BG$20:$BM$20,1,Y214),'Lease Cycles'!$AV$20&lt;=Y$6),'Lease Cycles'!$C$20*'Lease Cycles'!$AW$20/12,IF(AND('Lease Cycles'!$AT$20&gt;=INDEX('Lease Cycles'!$BG$20:$BM$20,1,Y214),'Lease Cycles'!$AT$20&lt;=Y$6),'Lease Cycles'!$C$20*'Lease Cycles'!$AU$20/12,'Lease Cycles'!$C$20*INDEX('Lease Cycles'!$CB$20:$CH$20,1,Y214)*(1+INDEX('Lease Cycles'!$CI$20:$CO$20,1,Y214))^INT(INT(Y215/12)/INDEX('Lease Cycles'!$CP$20:$CV$20,1,Y214))/12)))),'Lease Cycles'!$C$20*INDEX('Lease Cycles'!$CB$20:$CH$20,1,Y214)*(1+INDEX('Lease Cycles'!$CI$20:$CO$20,1,Y214))^INT(INT(Y215/12)/INDEX('Lease Cycles'!$CP$20:$CV$20,1,Y214))/12))),IF('Lease Cycles'!$N$20=1,'Lease Cycles'!$C$20*'Lease Cycles'!$E$20*INDEX('Lease Cycles'!$HE$20:$HK$20,1,Y214)*(1+INDEX('Lease Cycles'!$GQ$20:$GW$20,1,Y214))^INT(INT((Y$6-INDEX('Lease Cycles'!$GJ$20:$GP$20,1,Y214))/12)/INDEX('Lease Cycles'!$GX$20:$HD$20,1,Y214))/12,0)))</f>
        <v>0</v>
      </c>
      <c r="Z217" s="28">
        <f>IF(Z214=0,IF('Lease Cycles'!$F$20&gt;0,'Lease Cycles'!$C$20*'Lease Cycles'!$E$20/12,0),IF(Z216=1,IF('Lease Cycles'!$AT$20&gt;=9999,'Lease Cycles'!$C$20*INDEX('Lease Cycles'!$CB$20:$CH$20,1,Z214)*(1+INDEX('Lease Cycles'!$CI$20:$CO$20,1,Z214))^INT(INT(Z215/12)/INDEX('Lease Cycles'!$CP$20:$CV$20,1,Z214))/12,IF(Z214=1,IF(Z215&gt;=INDEX('Lease Cycles'!$DK$20:$DQ$20,1,Z214),IF(Z$6&gt;='Lease Cycles'!$AZ$20,'Lease Cycles'!$C$20*'Lease Cycles'!$BA$20/12,IF(Z$6&gt;='Lease Cycles'!$AX$20,'Lease Cycles'!$C$20*'Lease Cycles'!$AY$20/12,IF(Z$6&gt;='Lease Cycles'!$AV$20,'Lease Cycles'!$C$20*'Lease Cycles'!$AW$20/12,IF(Z$6&gt;='Lease Cycles'!$AT$20,'Lease Cycles'!$C$20*'Lease Cycles'!$AU$20/12,'Lease Cycles'!$C$20*INDEX('Lease Cycles'!$CB$20:$CH$20,1,Z214)*(1+INDEX('Lease Cycles'!$CI$20:$CO$20,1,Z214))^INT(INT(Z215/12)/INDEX('Lease Cycles'!$CP$20:$CV$20,1,Z214))/12)))),'Lease Cycles'!$C$20*INDEX('Lease Cycles'!$CB$20:$CH$20,1,Z214)*(1+INDEX('Lease Cycles'!$CI$20:$CO$20,1,Z214))^INT(INT(Z215/12)/INDEX('Lease Cycles'!$CP$20:$CV$20,1,Z214))/12),IF(INDEX('Lease Cycles'!$EF$20:$EL$20,1,Z214)=1,IF(AND('Lease Cycles'!$AZ$20&gt;=INDEX('Lease Cycles'!$BG$20:$BM$20,1,Z214),'Lease Cycles'!$AZ$20&lt;=Z$6),'Lease Cycles'!$C$20*'Lease Cycles'!$BA$20/12,IF(AND('Lease Cycles'!$AX$20&gt;=INDEX('Lease Cycles'!$BG$20:$BM$20,1,Z214),'Lease Cycles'!$AX$20&lt;=Z$6),'Lease Cycles'!$C$20*'Lease Cycles'!$AY$20/12,IF(AND('Lease Cycles'!$AV$20&gt;=INDEX('Lease Cycles'!$BG$20:$BM$20,1,Z214),'Lease Cycles'!$AV$20&lt;=Z$6),'Lease Cycles'!$C$20*'Lease Cycles'!$AW$20/12,IF(AND('Lease Cycles'!$AT$20&gt;=INDEX('Lease Cycles'!$BG$20:$BM$20,1,Z214),'Lease Cycles'!$AT$20&lt;=Z$6),'Lease Cycles'!$C$20*'Lease Cycles'!$AU$20/12,'Lease Cycles'!$C$20*INDEX('Lease Cycles'!$CB$20:$CH$20,1,Z214)*(1+INDEX('Lease Cycles'!$CI$20:$CO$20,1,Z214))^INT(INT(Z215/12)/INDEX('Lease Cycles'!$CP$20:$CV$20,1,Z214))/12)))),'Lease Cycles'!$C$20*INDEX('Lease Cycles'!$CB$20:$CH$20,1,Z214)*(1+INDEX('Lease Cycles'!$CI$20:$CO$20,1,Z214))^INT(INT(Z215/12)/INDEX('Lease Cycles'!$CP$20:$CV$20,1,Z214))/12))),IF('Lease Cycles'!$N$20=1,'Lease Cycles'!$C$20*'Lease Cycles'!$E$20*INDEX('Lease Cycles'!$HE$20:$HK$20,1,Z214)*(1+INDEX('Lease Cycles'!$GQ$20:$GW$20,1,Z214))^INT(INT((Z$6-INDEX('Lease Cycles'!$GJ$20:$GP$20,1,Z214))/12)/INDEX('Lease Cycles'!$GX$20:$HD$20,1,Z214))/12,0)))</f>
        <v>0</v>
      </c>
      <c r="AA217" s="28">
        <f>IF(AA214=0,IF('Lease Cycles'!$F$20&gt;0,'Lease Cycles'!$C$20*'Lease Cycles'!$E$20/12,0),IF(AA216=1,IF('Lease Cycles'!$AT$20&gt;=9999,'Lease Cycles'!$C$20*INDEX('Lease Cycles'!$CB$20:$CH$20,1,AA214)*(1+INDEX('Lease Cycles'!$CI$20:$CO$20,1,AA214))^INT(INT(AA215/12)/INDEX('Lease Cycles'!$CP$20:$CV$20,1,AA214))/12,IF(AA214=1,IF(AA215&gt;=INDEX('Lease Cycles'!$DK$20:$DQ$20,1,AA214),IF(AA$6&gt;='Lease Cycles'!$AZ$20,'Lease Cycles'!$C$20*'Lease Cycles'!$BA$20/12,IF(AA$6&gt;='Lease Cycles'!$AX$20,'Lease Cycles'!$C$20*'Lease Cycles'!$AY$20/12,IF(AA$6&gt;='Lease Cycles'!$AV$20,'Lease Cycles'!$C$20*'Lease Cycles'!$AW$20/12,IF(AA$6&gt;='Lease Cycles'!$AT$20,'Lease Cycles'!$C$20*'Lease Cycles'!$AU$20/12,'Lease Cycles'!$C$20*INDEX('Lease Cycles'!$CB$20:$CH$20,1,AA214)*(1+INDEX('Lease Cycles'!$CI$20:$CO$20,1,AA214))^INT(INT(AA215/12)/INDEX('Lease Cycles'!$CP$20:$CV$20,1,AA214))/12)))),'Lease Cycles'!$C$20*INDEX('Lease Cycles'!$CB$20:$CH$20,1,AA214)*(1+INDEX('Lease Cycles'!$CI$20:$CO$20,1,AA214))^INT(INT(AA215/12)/INDEX('Lease Cycles'!$CP$20:$CV$20,1,AA214))/12),IF(INDEX('Lease Cycles'!$EF$20:$EL$20,1,AA214)=1,IF(AND('Lease Cycles'!$AZ$20&gt;=INDEX('Lease Cycles'!$BG$20:$BM$20,1,AA214),'Lease Cycles'!$AZ$20&lt;=AA$6),'Lease Cycles'!$C$20*'Lease Cycles'!$BA$20/12,IF(AND('Lease Cycles'!$AX$20&gt;=INDEX('Lease Cycles'!$BG$20:$BM$20,1,AA214),'Lease Cycles'!$AX$20&lt;=AA$6),'Lease Cycles'!$C$20*'Lease Cycles'!$AY$20/12,IF(AND('Lease Cycles'!$AV$20&gt;=INDEX('Lease Cycles'!$BG$20:$BM$20,1,AA214),'Lease Cycles'!$AV$20&lt;=AA$6),'Lease Cycles'!$C$20*'Lease Cycles'!$AW$20/12,IF(AND('Lease Cycles'!$AT$20&gt;=INDEX('Lease Cycles'!$BG$20:$BM$20,1,AA214),'Lease Cycles'!$AT$20&lt;=AA$6),'Lease Cycles'!$C$20*'Lease Cycles'!$AU$20/12,'Lease Cycles'!$C$20*INDEX('Lease Cycles'!$CB$20:$CH$20,1,AA214)*(1+INDEX('Lease Cycles'!$CI$20:$CO$20,1,AA214))^INT(INT(AA215/12)/INDEX('Lease Cycles'!$CP$20:$CV$20,1,AA214))/12)))),'Lease Cycles'!$C$20*INDEX('Lease Cycles'!$CB$20:$CH$20,1,AA214)*(1+INDEX('Lease Cycles'!$CI$20:$CO$20,1,AA214))^INT(INT(AA215/12)/INDEX('Lease Cycles'!$CP$20:$CV$20,1,AA214))/12))),IF('Lease Cycles'!$N$20=1,'Lease Cycles'!$C$20*'Lease Cycles'!$E$20*INDEX('Lease Cycles'!$HE$20:$HK$20,1,AA214)*(1+INDEX('Lease Cycles'!$GQ$20:$GW$20,1,AA214))^INT(INT((AA$6-INDEX('Lease Cycles'!$GJ$20:$GP$20,1,AA214))/12)/INDEX('Lease Cycles'!$GX$20:$HD$20,1,AA214))/12,0)))</f>
        <v>0</v>
      </c>
      <c r="AB217" s="28">
        <f>IF(AB214=0,IF('Lease Cycles'!$F$20&gt;0,'Lease Cycles'!$C$20*'Lease Cycles'!$E$20/12,0),IF(AB216=1,IF('Lease Cycles'!$AT$20&gt;=9999,'Lease Cycles'!$C$20*INDEX('Lease Cycles'!$CB$20:$CH$20,1,AB214)*(1+INDEX('Lease Cycles'!$CI$20:$CO$20,1,AB214))^INT(INT(AB215/12)/INDEX('Lease Cycles'!$CP$20:$CV$20,1,AB214))/12,IF(AB214=1,IF(AB215&gt;=INDEX('Lease Cycles'!$DK$20:$DQ$20,1,AB214),IF(AB$6&gt;='Lease Cycles'!$AZ$20,'Lease Cycles'!$C$20*'Lease Cycles'!$BA$20/12,IF(AB$6&gt;='Lease Cycles'!$AX$20,'Lease Cycles'!$C$20*'Lease Cycles'!$AY$20/12,IF(AB$6&gt;='Lease Cycles'!$AV$20,'Lease Cycles'!$C$20*'Lease Cycles'!$AW$20/12,IF(AB$6&gt;='Lease Cycles'!$AT$20,'Lease Cycles'!$C$20*'Lease Cycles'!$AU$20/12,'Lease Cycles'!$C$20*INDEX('Lease Cycles'!$CB$20:$CH$20,1,AB214)*(1+INDEX('Lease Cycles'!$CI$20:$CO$20,1,AB214))^INT(INT(AB215/12)/INDEX('Lease Cycles'!$CP$20:$CV$20,1,AB214))/12)))),'Lease Cycles'!$C$20*INDEX('Lease Cycles'!$CB$20:$CH$20,1,AB214)*(1+INDEX('Lease Cycles'!$CI$20:$CO$20,1,AB214))^INT(INT(AB215/12)/INDEX('Lease Cycles'!$CP$20:$CV$20,1,AB214))/12),IF(INDEX('Lease Cycles'!$EF$20:$EL$20,1,AB214)=1,IF(AND('Lease Cycles'!$AZ$20&gt;=INDEX('Lease Cycles'!$BG$20:$BM$20,1,AB214),'Lease Cycles'!$AZ$20&lt;=AB$6),'Lease Cycles'!$C$20*'Lease Cycles'!$BA$20/12,IF(AND('Lease Cycles'!$AX$20&gt;=INDEX('Lease Cycles'!$BG$20:$BM$20,1,AB214),'Lease Cycles'!$AX$20&lt;=AB$6),'Lease Cycles'!$C$20*'Lease Cycles'!$AY$20/12,IF(AND('Lease Cycles'!$AV$20&gt;=INDEX('Lease Cycles'!$BG$20:$BM$20,1,AB214),'Lease Cycles'!$AV$20&lt;=AB$6),'Lease Cycles'!$C$20*'Lease Cycles'!$AW$20/12,IF(AND('Lease Cycles'!$AT$20&gt;=INDEX('Lease Cycles'!$BG$20:$BM$20,1,AB214),'Lease Cycles'!$AT$20&lt;=AB$6),'Lease Cycles'!$C$20*'Lease Cycles'!$AU$20/12,'Lease Cycles'!$C$20*INDEX('Lease Cycles'!$CB$20:$CH$20,1,AB214)*(1+INDEX('Lease Cycles'!$CI$20:$CO$20,1,AB214))^INT(INT(AB215/12)/INDEX('Lease Cycles'!$CP$20:$CV$20,1,AB214))/12)))),'Lease Cycles'!$C$20*INDEX('Lease Cycles'!$CB$20:$CH$20,1,AB214)*(1+INDEX('Lease Cycles'!$CI$20:$CO$20,1,AB214))^INT(INT(AB215/12)/INDEX('Lease Cycles'!$CP$20:$CV$20,1,AB214))/12))),IF('Lease Cycles'!$N$20=1,'Lease Cycles'!$C$20*'Lease Cycles'!$E$20*INDEX('Lease Cycles'!$HE$20:$HK$20,1,AB214)*(1+INDEX('Lease Cycles'!$GQ$20:$GW$20,1,AB214))^INT(INT((AB$6-INDEX('Lease Cycles'!$GJ$20:$GP$20,1,AB214))/12)/INDEX('Lease Cycles'!$GX$20:$HD$20,1,AB214))/12,0)))</f>
        <v>0</v>
      </c>
      <c r="AC217" s="28">
        <f>IF(AC214=0,IF('Lease Cycles'!$F$20&gt;0,'Lease Cycles'!$C$20*'Lease Cycles'!$E$20/12,0),IF(AC216=1,IF('Lease Cycles'!$AT$20&gt;=9999,'Lease Cycles'!$C$20*INDEX('Lease Cycles'!$CB$20:$CH$20,1,AC214)*(1+INDEX('Lease Cycles'!$CI$20:$CO$20,1,AC214))^INT(INT(AC215/12)/INDEX('Lease Cycles'!$CP$20:$CV$20,1,AC214))/12,IF(AC214=1,IF(AC215&gt;=INDEX('Lease Cycles'!$DK$20:$DQ$20,1,AC214),IF(AC$6&gt;='Lease Cycles'!$AZ$20,'Lease Cycles'!$C$20*'Lease Cycles'!$BA$20/12,IF(AC$6&gt;='Lease Cycles'!$AX$20,'Lease Cycles'!$C$20*'Lease Cycles'!$AY$20/12,IF(AC$6&gt;='Lease Cycles'!$AV$20,'Lease Cycles'!$C$20*'Lease Cycles'!$AW$20/12,IF(AC$6&gt;='Lease Cycles'!$AT$20,'Lease Cycles'!$C$20*'Lease Cycles'!$AU$20/12,'Lease Cycles'!$C$20*INDEX('Lease Cycles'!$CB$20:$CH$20,1,AC214)*(1+INDEX('Lease Cycles'!$CI$20:$CO$20,1,AC214))^INT(INT(AC215/12)/INDEX('Lease Cycles'!$CP$20:$CV$20,1,AC214))/12)))),'Lease Cycles'!$C$20*INDEX('Lease Cycles'!$CB$20:$CH$20,1,AC214)*(1+INDEX('Lease Cycles'!$CI$20:$CO$20,1,AC214))^INT(INT(AC215/12)/INDEX('Lease Cycles'!$CP$20:$CV$20,1,AC214))/12),IF(INDEX('Lease Cycles'!$EF$20:$EL$20,1,AC214)=1,IF(AND('Lease Cycles'!$AZ$20&gt;=INDEX('Lease Cycles'!$BG$20:$BM$20,1,AC214),'Lease Cycles'!$AZ$20&lt;=AC$6),'Lease Cycles'!$C$20*'Lease Cycles'!$BA$20/12,IF(AND('Lease Cycles'!$AX$20&gt;=INDEX('Lease Cycles'!$BG$20:$BM$20,1,AC214),'Lease Cycles'!$AX$20&lt;=AC$6),'Lease Cycles'!$C$20*'Lease Cycles'!$AY$20/12,IF(AND('Lease Cycles'!$AV$20&gt;=INDEX('Lease Cycles'!$BG$20:$BM$20,1,AC214),'Lease Cycles'!$AV$20&lt;=AC$6),'Lease Cycles'!$C$20*'Lease Cycles'!$AW$20/12,IF(AND('Lease Cycles'!$AT$20&gt;=INDEX('Lease Cycles'!$BG$20:$BM$20,1,AC214),'Lease Cycles'!$AT$20&lt;=AC$6),'Lease Cycles'!$C$20*'Lease Cycles'!$AU$20/12,'Lease Cycles'!$C$20*INDEX('Lease Cycles'!$CB$20:$CH$20,1,AC214)*(1+INDEX('Lease Cycles'!$CI$20:$CO$20,1,AC214))^INT(INT(AC215/12)/INDEX('Lease Cycles'!$CP$20:$CV$20,1,AC214))/12)))),'Lease Cycles'!$C$20*INDEX('Lease Cycles'!$CB$20:$CH$20,1,AC214)*(1+INDEX('Lease Cycles'!$CI$20:$CO$20,1,AC214))^INT(INT(AC215/12)/INDEX('Lease Cycles'!$CP$20:$CV$20,1,AC214))/12))),IF('Lease Cycles'!$N$20=1,'Lease Cycles'!$C$20*'Lease Cycles'!$E$20*INDEX('Lease Cycles'!$HE$20:$HK$20,1,AC214)*(1+INDEX('Lease Cycles'!$GQ$20:$GW$20,1,AC214))^INT(INT((AC$6-INDEX('Lease Cycles'!$GJ$20:$GP$20,1,AC214))/12)/INDEX('Lease Cycles'!$GX$20:$HD$20,1,AC214))/12,0)))</f>
        <v>0</v>
      </c>
      <c r="AD217" s="28">
        <f>IF(AD214=0,IF('Lease Cycles'!$F$20&gt;0,'Lease Cycles'!$C$20*'Lease Cycles'!$E$20/12,0),IF(AD216=1,IF('Lease Cycles'!$AT$20&gt;=9999,'Lease Cycles'!$C$20*INDEX('Lease Cycles'!$CB$20:$CH$20,1,AD214)*(1+INDEX('Lease Cycles'!$CI$20:$CO$20,1,AD214))^INT(INT(AD215/12)/INDEX('Lease Cycles'!$CP$20:$CV$20,1,AD214))/12,IF(AD214=1,IF(AD215&gt;=INDEX('Lease Cycles'!$DK$20:$DQ$20,1,AD214),IF(AD$6&gt;='Lease Cycles'!$AZ$20,'Lease Cycles'!$C$20*'Lease Cycles'!$BA$20/12,IF(AD$6&gt;='Lease Cycles'!$AX$20,'Lease Cycles'!$C$20*'Lease Cycles'!$AY$20/12,IF(AD$6&gt;='Lease Cycles'!$AV$20,'Lease Cycles'!$C$20*'Lease Cycles'!$AW$20/12,IF(AD$6&gt;='Lease Cycles'!$AT$20,'Lease Cycles'!$C$20*'Lease Cycles'!$AU$20/12,'Lease Cycles'!$C$20*INDEX('Lease Cycles'!$CB$20:$CH$20,1,AD214)*(1+INDEX('Lease Cycles'!$CI$20:$CO$20,1,AD214))^INT(INT(AD215/12)/INDEX('Lease Cycles'!$CP$20:$CV$20,1,AD214))/12)))),'Lease Cycles'!$C$20*INDEX('Lease Cycles'!$CB$20:$CH$20,1,AD214)*(1+INDEX('Lease Cycles'!$CI$20:$CO$20,1,AD214))^INT(INT(AD215/12)/INDEX('Lease Cycles'!$CP$20:$CV$20,1,AD214))/12),IF(INDEX('Lease Cycles'!$EF$20:$EL$20,1,AD214)=1,IF(AND('Lease Cycles'!$AZ$20&gt;=INDEX('Lease Cycles'!$BG$20:$BM$20,1,AD214),'Lease Cycles'!$AZ$20&lt;=AD$6),'Lease Cycles'!$C$20*'Lease Cycles'!$BA$20/12,IF(AND('Lease Cycles'!$AX$20&gt;=INDEX('Lease Cycles'!$BG$20:$BM$20,1,AD214),'Lease Cycles'!$AX$20&lt;=AD$6),'Lease Cycles'!$C$20*'Lease Cycles'!$AY$20/12,IF(AND('Lease Cycles'!$AV$20&gt;=INDEX('Lease Cycles'!$BG$20:$BM$20,1,AD214),'Lease Cycles'!$AV$20&lt;=AD$6),'Lease Cycles'!$C$20*'Lease Cycles'!$AW$20/12,IF(AND('Lease Cycles'!$AT$20&gt;=INDEX('Lease Cycles'!$BG$20:$BM$20,1,AD214),'Lease Cycles'!$AT$20&lt;=AD$6),'Lease Cycles'!$C$20*'Lease Cycles'!$AU$20/12,'Lease Cycles'!$C$20*INDEX('Lease Cycles'!$CB$20:$CH$20,1,AD214)*(1+INDEX('Lease Cycles'!$CI$20:$CO$20,1,AD214))^INT(INT(AD215/12)/INDEX('Lease Cycles'!$CP$20:$CV$20,1,AD214))/12)))),'Lease Cycles'!$C$20*INDEX('Lease Cycles'!$CB$20:$CH$20,1,AD214)*(1+INDEX('Lease Cycles'!$CI$20:$CO$20,1,AD214))^INT(INT(AD215/12)/INDEX('Lease Cycles'!$CP$20:$CV$20,1,AD214))/12))),IF('Lease Cycles'!$N$20=1,'Lease Cycles'!$C$20*'Lease Cycles'!$E$20*INDEX('Lease Cycles'!$HE$20:$HK$20,1,AD214)*(1+INDEX('Lease Cycles'!$GQ$20:$GW$20,1,AD214))^INT(INT((AD$6-INDEX('Lease Cycles'!$GJ$20:$GP$20,1,AD214))/12)/INDEX('Lease Cycles'!$GX$20:$HD$20,1,AD214))/12,0)))</f>
        <v>0</v>
      </c>
      <c r="AE217" s="28">
        <f>IF(AE214=0,IF('Lease Cycles'!$F$20&gt;0,'Lease Cycles'!$C$20*'Lease Cycles'!$E$20/12,0),IF(AE216=1,IF('Lease Cycles'!$AT$20&gt;=9999,'Lease Cycles'!$C$20*INDEX('Lease Cycles'!$CB$20:$CH$20,1,AE214)*(1+INDEX('Lease Cycles'!$CI$20:$CO$20,1,AE214))^INT(INT(AE215/12)/INDEX('Lease Cycles'!$CP$20:$CV$20,1,AE214))/12,IF(AE214=1,IF(AE215&gt;=INDEX('Lease Cycles'!$DK$20:$DQ$20,1,AE214),IF(AE$6&gt;='Lease Cycles'!$AZ$20,'Lease Cycles'!$C$20*'Lease Cycles'!$BA$20/12,IF(AE$6&gt;='Lease Cycles'!$AX$20,'Lease Cycles'!$C$20*'Lease Cycles'!$AY$20/12,IF(AE$6&gt;='Lease Cycles'!$AV$20,'Lease Cycles'!$C$20*'Lease Cycles'!$AW$20/12,IF(AE$6&gt;='Lease Cycles'!$AT$20,'Lease Cycles'!$C$20*'Lease Cycles'!$AU$20/12,'Lease Cycles'!$C$20*INDEX('Lease Cycles'!$CB$20:$CH$20,1,AE214)*(1+INDEX('Lease Cycles'!$CI$20:$CO$20,1,AE214))^INT(INT(AE215/12)/INDEX('Lease Cycles'!$CP$20:$CV$20,1,AE214))/12)))),'Lease Cycles'!$C$20*INDEX('Lease Cycles'!$CB$20:$CH$20,1,AE214)*(1+INDEX('Lease Cycles'!$CI$20:$CO$20,1,AE214))^INT(INT(AE215/12)/INDEX('Lease Cycles'!$CP$20:$CV$20,1,AE214))/12),IF(INDEX('Lease Cycles'!$EF$20:$EL$20,1,AE214)=1,IF(AND('Lease Cycles'!$AZ$20&gt;=INDEX('Lease Cycles'!$BG$20:$BM$20,1,AE214),'Lease Cycles'!$AZ$20&lt;=AE$6),'Lease Cycles'!$C$20*'Lease Cycles'!$BA$20/12,IF(AND('Lease Cycles'!$AX$20&gt;=INDEX('Lease Cycles'!$BG$20:$BM$20,1,AE214),'Lease Cycles'!$AX$20&lt;=AE$6),'Lease Cycles'!$C$20*'Lease Cycles'!$AY$20/12,IF(AND('Lease Cycles'!$AV$20&gt;=INDEX('Lease Cycles'!$BG$20:$BM$20,1,AE214),'Lease Cycles'!$AV$20&lt;=AE$6),'Lease Cycles'!$C$20*'Lease Cycles'!$AW$20/12,IF(AND('Lease Cycles'!$AT$20&gt;=INDEX('Lease Cycles'!$BG$20:$BM$20,1,AE214),'Lease Cycles'!$AT$20&lt;=AE$6),'Lease Cycles'!$C$20*'Lease Cycles'!$AU$20/12,'Lease Cycles'!$C$20*INDEX('Lease Cycles'!$CB$20:$CH$20,1,AE214)*(1+INDEX('Lease Cycles'!$CI$20:$CO$20,1,AE214))^INT(INT(AE215/12)/INDEX('Lease Cycles'!$CP$20:$CV$20,1,AE214))/12)))),'Lease Cycles'!$C$20*INDEX('Lease Cycles'!$CB$20:$CH$20,1,AE214)*(1+INDEX('Lease Cycles'!$CI$20:$CO$20,1,AE214))^INT(INT(AE215/12)/INDEX('Lease Cycles'!$CP$20:$CV$20,1,AE214))/12))),IF('Lease Cycles'!$N$20=1,'Lease Cycles'!$C$20*'Lease Cycles'!$E$20*INDEX('Lease Cycles'!$HE$20:$HK$20,1,AE214)*(1+INDEX('Lease Cycles'!$GQ$20:$GW$20,1,AE214))^INT(INT((AE$6-INDEX('Lease Cycles'!$GJ$20:$GP$20,1,AE214))/12)/INDEX('Lease Cycles'!$GX$20:$HD$20,1,AE214))/12,0)))</f>
        <v>0</v>
      </c>
      <c r="AF217" s="28">
        <f>IF(AF214=0,IF('Lease Cycles'!$F$20&gt;0,'Lease Cycles'!$C$20*'Lease Cycles'!$E$20/12,0),IF(AF216=1,IF('Lease Cycles'!$AT$20&gt;=9999,'Lease Cycles'!$C$20*INDEX('Lease Cycles'!$CB$20:$CH$20,1,AF214)*(1+INDEX('Lease Cycles'!$CI$20:$CO$20,1,AF214))^INT(INT(AF215/12)/INDEX('Lease Cycles'!$CP$20:$CV$20,1,AF214))/12,IF(AF214=1,IF(AF215&gt;=INDEX('Lease Cycles'!$DK$20:$DQ$20,1,AF214),IF(AF$6&gt;='Lease Cycles'!$AZ$20,'Lease Cycles'!$C$20*'Lease Cycles'!$BA$20/12,IF(AF$6&gt;='Lease Cycles'!$AX$20,'Lease Cycles'!$C$20*'Lease Cycles'!$AY$20/12,IF(AF$6&gt;='Lease Cycles'!$AV$20,'Lease Cycles'!$C$20*'Lease Cycles'!$AW$20/12,IF(AF$6&gt;='Lease Cycles'!$AT$20,'Lease Cycles'!$C$20*'Lease Cycles'!$AU$20/12,'Lease Cycles'!$C$20*INDEX('Lease Cycles'!$CB$20:$CH$20,1,AF214)*(1+INDEX('Lease Cycles'!$CI$20:$CO$20,1,AF214))^INT(INT(AF215/12)/INDEX('Lease Cycles'!$CP$20:$CV$20,1,AF214))/12)))),'Lease Cycles'!$C$20*INDEX('Lease Cycles'!$CB$20:$CH$20,1,AF214)*(1+INDEX('Lease Cycles'!$CI$20:$CO$20,1,AF214))^INT(INT(AF215/12)/INDEX('Lease Cycles'!$CP$20:$CV$20,1,AF214))/12),IF(INDEX('Lease Cycles'!$EF$20:$EL$20,1,AF214)=1,IF(AND('Lease Cycles'!$AZ$20&gt;=INDEX('Lease Cycles'!$BG$20:$BM$20,1,AF214),'Lease Cycles'!$AZ$20&lt;=AF$6),'Lease Cycles'!$C$20*'Lease Cycles'!$BA$20/12,IF(AND('Lease Cycles'!$AX$20&gt;=INDEX('Lease Cycles'!$BG$20:$BM$20,1,AF214),'Lease Cycles'!$AX$20&lt;=AF$6),'Lease Cycles'!$C$20*'Lease Cycles'!$AY$20/12,IF(AND('Lease Cycles'!$AV$20&gt;=INDEX('Lease Cycles'!$BG$20:$BM$20,1,AF214),'Lease Cycles'!$AV$20&lt;=AF$6),'Lease Cycles'!$C$20*'Lease Cycles'!$AW$20/12,IF(AND('Lease Cycles'!$AT$20&gt;=INDEX('Lease Cycles'!$BG$20:$BM$20,1,AF214),'Lease Cycles'!$AT$20&lt;=AF$6),'Lease Cycles'!$C$20*'Lease Cycles'!$AU$20/12,'Lease Cycles'!$C$20*INDEX('Lease Cycles'!$CB$20:$CH$20,1,AF214)*(1+INDEX('Lease Cycles'!$CI$20:$CO$20,1,AF214))^INT(INT(AF215/12)/INDEX('Lease Cycles'!$CP$20:$CV$20,1,AF214))/12)))),'Lease Cycles'!$C$20*INDEX('Lease Cycles'!$CB$20:$CH$20,1,AF214)*(1+INDEX('Lease Cycles'!$CI$20:$CO$20,1,AF214))^INT(INT(AF215/12)/INDEX('Lease Cycles'!$CP$20:$CV$20,1,AF214))/12))),IF('Lease Cycles'!$N$20=1,'Lease Cycles'!$C$20*'Lease Cycles'!$E$20*INDEX('Lease Cycles'!$HE$20:$HK$20,1,AF214)*(1+INDEX('Lease Cycles'!$GQ$20:$GW$20,1,AF214))^INT(INT((AF$6-INDEX('Lease Cycles'!$GJ$20:$GP$20,1,AF214))/12)/INDEX('Lease Cycles'!$GX$20:$HD$20,1,AF214))/12,0)))</f>
        <v>0</v>
      </c>
      <c r="AG217" s="28">
        <f>IF(AG214=0,IF('Lease Cycles'!$F$20&gt;0,'Lease Cycles'!$C$20*'Lease Cycles'!$E$20/12,0),IF(AG216=1,IF('Lease Cycles'!$AT$20&gt;=9999,'Lease Cycles'!$C$20*INDEX('Lease Cycles'!$CB$20:$CH$20,1,AG214)*(1+INDEX('Lease Cycles'!$CI$20:$CO$20,1,AG214))^INT(INT(AG215/12)/INDEX('Lease Cycles'!$CP$20:$CV$20,1,AG214))/12,IF(AG214=1,IF(AG215&gt;=INDEX('Lease Cycles'!$DK$20:$DQ$20,1,AG214),IF(AG$6&gt;='Lease Cycles'!$AZ$20,'Lease Cycles'!$C$20*'Lease Cycles'!$BA$20/12,IF(AG$6&gt;='Lease Cycles'!$AX$20,'Lease Cycles'!$C$20*'Lease Cycles'!$AY$20/12,IF(AG$6&gt;='Lease Cycles'!$AV$20,'Lease Cycles'!$C$20*'Lease Cycles'!$AW$20/12,IF(AG$6&gt;='Lease Cycles'!$AT$20,'Lease Cycles'!$C$20*'Lease Cycles'!$AU$20/12,'Lease Cycles'!$C$20*INDEX('Lease Cycles'!$CB$20:$CH$20,1,AG214)*(1+INDEX('Lease Cycles'!$CI$20:$CO$20,1,AG214))^INT(INT(AG215/12)/INDEX('Lease Cycles'!$CP$20:$CV$20,1,AG214))/12)))),'Lease Cycles'!$C$20*INDEX('Lease Cycles'!$CB$20:$CH$20,1,AG214)*(1+INDEX('Lease Cycles'!$CI$20:$CO$20,1,AG214))^INT(INT(AG215/12)/INDEX('Lease Cycles'!$CP$20:$CV$20,1,AG214))/12),IF(INDEX('Lease Cycles'!$EF$20:$EL$20,1,AG214)=1,IF(AND('Lease Cycles'!$AZ$20&gt;=INDEX('Lease Cycles'!$BG$20:$BM$20,1,AG214),'Lease Cycles'!$AZ$20&lt;=AG$6),'Lease Cycles'!$C$20*'Lease Cycles'!$BA$20/12,IF(AND('Lease Cycles'!$AX$20&gt;=INDEX('Lease Cycles'!$BG$20:$BM$20,1,AG214),'Lease Cycles'!$AX$20&lt;=AG$6),'Lease Cycles'!$C$20*'Lease Cycles'!$AY$20/12,IF(AND('Lease Cycles'!$AV$20&gt;=INDEX('Lease Cycles'!$BG$20:$BM$20,1,AG214),'Lease Cycles'!$AV$20&lt;=AG$6),'Lease Cycles'!$C$20*'Lease Cycles'!$AW$20/12,IF(AND('Lease Cycles'!$AT$20&gt;=INDEX('Lease Cycles'!$BG$20:$BM$20,1,AG214),'Lease Cycles'!$AT$20&lt;=AG$6),'Lease Cycles'!$C$20*'Lease Cycles'!$AU$20/12,'Lease Cycles'!$C$20*INDEX('Lease Cycles'!$CB$20:$CH$20,1,AG214)*(1+INDEX('Lease Cycles'!$CI$20:$CO$20,1,AG214))^INT(INT(AG215/12)/INDEX('Lease Cycles'!$CP$20:$CV$20,1,AG214))/12)))),'Lease Cycles'!$C$20*INDEX('Lease Cycles'!$CB$20:$CH$20,1,AG214)*(1+INDEX('Lease Cycles'!$CI$20:$CO$20,1,AG214))^INT(INT(AG215/12)/INDEX('Lease Cycles'!$CP$20:$CV$20,1,AG214))/12))),IF('Lease Cycles'!$N$20=1,'Lease Cycles'!$C$20*'Lease Cycles'!$E$20*INDEX('Lease Cycles'!$HE$20:$HK$20,1,AG214)*(1+INDEX('Lease Cycles'!$GQ$20:$GW$20,1,AG214))^INT(INT((AG$6-INDEX('Lease Cycles'!$GJ$20:$GP$20,1,AG214))/12)/INDEX('Lease Cycles'!$GX$20:$HD$20,1,AG214))/12,0)))</f>
        <v>0</v>
      </c>
      <c r="AH217" s="28">
        <f>IF(AH214=0,IF('Lease Cycles'!$F$20&gt;0,'Lease Cycles'!$C$20*'Lease Cycles'!$E$20/12,0),IF(AH216=1,IF('Lease Cycles'!$AT$20&gt;=9999,'Lease Cycles'!$C$20*INDEX('Lease Cycles'!$CB$20:$CH$20,1,AH214)*(1+INDEX('Lease Cycles'!$CI$20:$CO$20,1,AH214))^INT(INT(AH215/12)/INDEX('Lease Cycles'!$CP$20:$CV$20,1,AH214))/12,IF(AH214=1,IF(AH215&gt;=INDEX('Lease Cycles'!$DK$20:$DQ$20,1,AH214),IF(AH$6&gt;='Lease Cycles'!$AZ$20,'Lease Cycles'!$C$20*'Lease Cycles'!$BA$20/12,IF(AH$6&gt;='Lease Cycles'!$AX$20,'Lease Cycles'!$C$20*'Lease Cycles'!$AY$20/12,IF(AH$6&gt;='Lease Cycles'!$AV$20,'Lease Cycles'!$C$20*'Lease Cycles'!$AW$20/12,IF(AH$6&gt;='Lease Cycles'!$AT$20,'Lease Cycles'!$C$20*'Lease Cycles'!$AU$20/12,'Lease Cycles'!$C$20*INDEX('Lease Cycles'!$CB$20:$CH$20,1,AH214)*(1+INDEX('Lease Cycles'!$CI$20:$CO$20,1,AH214))^INT(INT(AH215/12)/INDEX('Lease Cycles'!$CP$20:$CV$20,1,AH214))/12)))),'Lease Cycles'!$C$20*INDEX('Lease Cycles'!$CB$20:$CH$20,1,AH214)*(1+INDEX('Lease Cycles'!$CI$20:$CO$20,1,AH214))^INT(INT(AH215/12)/INDEX('Lease Cycles'!$CP$20:$CV$20,1,AH214))/12),IF(INDEX('Lease Cycles'!$EF$20:$EL$20,1,AH214)=1,IF(AND('Lease Cycles'!$AZ$20&gt;=INDEX('Lease Cycles'!$BG$20:$BM$20,1,AH214),'Lease Cycles'!$AZ$20&lt;=AH$6),'Lease Cycles'!$C$20*'Lease Cycles'!$BA$20/12,IF(AND('Lease Cycles'!$AX$20&gt;=INDEX('Lease Cycles'!$BG$20:$BM$20,1,AH214),'Lease Cycles'!$AX$20&lt;=AH$6),'Lease Cycles'!$C$20*'Lease Cycles'!$AY$20/12,IF(AND('Lease Cycles'!$AV$20&gt;=INDEX('Lease Cycles'!$BG$20:$BM$20,1,AH214),'Lease Cycles'!$AV$20&lt;=AH$6),'Lease Cycles'!$C$20*'Lease Cycles'!$AW$20/12,IF(AND('Lease Cycles'!$AT$20&gt;=INDEX('Lease Cycles'!$BG$20:$BM$20,1,AH214),'Lease Cycles'!$AT$20&lt;=AH$6),'Lease Cycles'!$C$20*'Lease Cycles'!$AU$20/12,'Lease Cycles'!$C$20*INDEX('Lease Cycles'!$CB$20:$CH$20,1,AH214)*(1+INDEX('Lease Cycles'!$CI$20:$CO$20,1,AH214))^INT(INT(AH215/12)/INDEX('Lease Cycles'!$CP$20:$CV$20,1,AH214))/12)))),'Lease Cycles'!$C$20*INDEX('Lease Cycles'!$CB$20:$CH$20,1,AH214)*(1+INDEX('Lease Cycles'!$CI$20:$CO$20,1,AH214))^INT(INT(AH215/12)/INDEX('Lease Cycles'!$CP$20:$CV$20,1,AH214))/12))),IF('Lease Cycles'!$N$20=1,'Lease Cycles'!$C$20*'Lease Cycles'!$E$20*INDEX('Lease Cycles'!$HE$20:$HK$20,1,AH214)*(1+INDEX('Lease Cycles'!$GQ$20:$GW$20,1,AH214))^INT(INT((AH$6-INDEX('Lease Cycles'!$GJ$20:$GP$20,1,AH214))/12)/INDEX('Lease Cycles'!$GX$20:$HD$20,1,AH214))/12,0)))</f>
        <v>0</v>
      </c>
      <c r="AI217" s="28">
        <f>IF(AI214=0,IF('Lease Cycles'!$F$20&gt;0,'Lease Cycles'!$C$20*'Lease Cycles'!$E$20/12,0),IF(AI216=1,IF('Lease Cycles'!$AT$20&gt;=9999,'Lease Cycles'!$C$20*INDEX('Lease Cycles'!$CB$20:$CH$20,1,AI214)*(1+INDEX('Lease Cycles'!$CI$20:$CO$20,1,AI214))^INT(INT(AI215/12)/INDEX('Lease Cycles'!$CP$20:$CV$20,1,AI214))/12,IF(AI214=1,IF(AI215&gt;=INDEX('Lease Cycles'!$DK$20:$DQ$20,1,AI214),IF(AI$6&gt;='Lease Cycles'!$AZ$20,'Lease Cycles'!$C$20*'Lease Cycles'!$BA$20/12,IF(AI$6&gt;='Lease Cycles'!$AX$20,'Lease Cycles'!$C$20*'Lease Cycles'!$AY$20/12,IF(AI$6&gt;='Lease Cycles'!$AV$20,'Lease Cycles'!$C$20*'Lease Cycles'!$AW$20/12,IF(AI$6&gt;='Lease Cycles'!$AT$20,'Lease Cycles'!$C$20*'Lease Cycles'!$AU$20/12,'Lease Cycles'!$C$20*INDEX('Lease Cycles'!$CB$20:$CH$20,1,AI214)*(1+INDEX('Lease Cycles'!$CI$20:$CO$20,1,AI214))^INT(INT(AI215/12)/INDEX('Lease Cycles'!$CP$20:$CV$20,1,AI214))/12)))),'Lease Cycles'!$C$20*INDEX('Lease Cycles'!$CB$20:$CH$20,1,AI214)*(1+INDEX('Lease Cycles'!$CI$20:$CO$20,1,AI214))^INT(INT(AI215/12)/INDEX('Lease Cycles'!$CP$20:$CV$20,1,AI214))/12),IF(INDEX('Lease Cycles'!$EF$20:$EL$20,1,AI214)=1,IF(AND('Lease Cycles'!$AZ$20&gt;=INDEX('Lease Cycles'!$BG$20:$BM$20,1,AI214),'Lease Cycles'!$AZ$20&lt;=AI$6),'Lease Cycles'!$C$20*'Lease Cycles'!$BA$20/12,IF(AND('Lease Cycles'!$AX$20&gt;=INDEX('Lease Cycles'!$BG$20:$BM$20,1,AI214),'Lease Cycles'!$AX$20&lt;=AI$6),'Lease Cycles'!$C$20*'Lease Cycles'!$AY$20/12,IF(AND('Lease Cycles'!$AV$20&gt;=INDEX('Lease Cycles'!$BG$20:$BM$20,1,AI214),'Lease Cycles'!$AV$20&lt;=AI$6),'Lease Cycles'!$C$20*'Lease Cycles'!$AW$20/12,IF(AND('Lease Cycles'!$AT$20&gt;=INDEX('Lease Cycles'!$BG$20:$BM$20,1,AI214),'Lease Cycles'!$AT$20&lt;=AI$6),'Lease Cycles'!$C$20*'Lease Cycles'!$AU$20/12,'Lease Cycles'!$C$20*INDEX('Lease Cycles'!$CB$20:$CH$20,1,AI214)*(1+INDEX('Lease Cycles'!$CI$20:$CO$20,1,AI214))^INT(INT(AI215/12)/INDEX('Lease Cycles'!$CP$20:$CV$20,1,AI214))/12)))),'Lease Cycles'!$C$20*INDEX('Lease Cycles'!$CB$20:$CH$20,1,AI214)*(1+INDEX('Lease Cycles'!$CI$20:$CO$20,1,AI214))^INT(INT(AI215/12)/INDEX('Lease Cycles'!$CP$20:$CV$20,1,AI214))/12))),IF('Lease Cycles'!$N$20=1,'Lease Cycles'!$C$20*'Lease Cycles'!$E$20*INDEX('Lease Cycles'!$HE$20:$HK$20,1,AI214)*(1+INDEX('Lease Cycles'!$GQ$20:$GW$20,1,AI214))^INT(INT((AI$6-INDEX('Lease Cycles'!$GJ$20:$GP$20,1,AI214))/12)/INDEX('Lease Cycles'!$GX$20:$HD$20,1,AI214))/12,0)))</f>
        <v>0</v>
      </c>
      <c r="AJ217" s="28">
        <f>IF(AJ214=0,IF('Lease Cycles'!$F$20&gt;0,'Lease Cycles'!$C$20*'Lease Cycles'!$E$20/12,0),IF(AJ216=1,IF('Lease Cycles'!$AT$20&gt;=9999,'Lease Cycles'!$C$20*INDEX('Lease Cycles'!$CB$20:$CH$20,1,AJ214)*(1+INDEX('Lease Cycles'!$CI$20:$CO$20,1,AJ214))^INT(INT(AJ215/12)/INDEX('Lease Cycles'!$CP$20:$CV$20,1,AJ214))/12,IF(AJ214=1,IF(AJ215&gt;=INDEX('Lease Cycles'!$DK$20:$DQ$20,1,AJ214),IF(AJ$6&gt;='Lease Cycles'!$AZ$20,'Lease Cycles'!$C$20*'Lease Cycles'!$BA$20/12,IF(AJ$6&gt;='Lease Cycles'!$AX$20,'Lease Cycles'!$C$20*'Lease Cycles'!$AY$20/12,IF(AJ$6&gt;='Lease Cycles'!$AV$20,'Lease Cycles'!$C$20*'Lease Cycles'!$AW$20/12,IF(AJ$6&gt;='Lease Cycles'!$AT$20,'Lease Cycles'!$C$20*'Lease Cycles'!$AU$20/12,'Lease Cycles'!$C$20*INDEX('Lease Cycles'!$CB$20:$CH$20,1,AJ214)*(1+INDEX('Lease Cycles'!$CI$20:$CO$20,1,AJ214))^INT(INT(AJ215/12)/INDEX('Lease Cycles'!$CP$20:$CV$20,1,AJ214))/12)))),'Lease Cycles'!$C$20*INDEX('Lease Cycles'!$CB$20:$CH$20,1,AJ214)*(1+INDEX('Lease Cycles'!$CI$20:$CO$20,1,AJ214))^INT(INT(AJ215/12)/INDEX('Lease Cycles'!$CP$20:$CV$20,1,AJ214))/12),IF(INDEX('Lease Cycles'!$EF$20:$EL$20,1,AJ214)=1,IF(AND('Lease Cycles'!$AZ$20&gt;=INDEX('Lease Cycles'!$BG$20:$BM$20,1,AJ214),'Lease Cycles'!$AZ$20&lt;=AJ$6),'Lease Cycles'!$C$20*'Lease Cycles'!$BA$20/12,IF(AND('Lease Cycles'!$AX$20&gt;=INDEX('Lease Cycles'!$BG$20:$BM$20,1,AJ214),'Lease Cycles'!$AX$20&lt;=AJ$6),'Lease Cycles'!$C$20*'Lease Cycles'!$AY$20/12,IF(AND('Lease Cycles'!$AV$20&gt;=INDEX('Lease Cycles'!$BG$20:$BM$20,1,AJ214),'Lease Cycles'!$AV$20&lt;=AJ$6),'Lease Cycles'!$C$20*'Lease Cycles'!$AW$20/12,IF(AND('Lease Cycles'!$AT$20&gt;=INDEX('Lease Cycles'!$BG$20:$BM$20,1,AJ214),'Lease Cycles'!$AT$20&lt;=AJ$6),'Lease Cycles'!$C$20*'Lease Cycles'!$AU$20/12,'Lease Cycles'!$C$20*INDEX('Lease Cycles'!$CB$20:$CH$20,1,AJ214)*(1+INDEX('Lease Cycles'!$CI$20:$CO$20,1,AJ214))^INT(INT(AJ215/12)/INDEX('Lease Cycles'!$CP$20:$CV$20,1,AJ214))/12)))),'Lease Cycles'!$C$20*INDEX('Lease Cycles'!$CB$20:$CH$20,1,AJ214)*(1+INDEX('Lease Cycles'!$CI$20:$CO$20,1,AJ214))^INT(INT(AJ215/12)/INDEX('Lease Cycles'!$CP$20:$CV$20,1,AJ214))/12))),IF('Lease Cycles'!$N$20=1,'Lease Cycles'!$C$20*'Lease Cycles'!$E$20*INDEX('Lease Cycles'!$HE$20:$HK$20,1,AJ214)*(1+INDEX('Lease Cycles'!$GQ$20:$GW$20,1,AJ214))^INT(INT((AJ$6-INDEX('Lease Cycles'!$GJ$20:$GP$20,1,AJ214))/12)/INDEX('Lease Cycles'!$GX$20:$HD$20,1,AJ214))/12,0)))</f>
        <v>0</v>
      </c>
      <c r="AK217" s="28">
        <f>IF(AK214=0,IF('Lease Cycles'!$F$20&gt;0,'Lease Cycles'!$C$20*'Lease Cycles'!$E$20/12,0),IF(AK216=1,IF('Lease Cycles'!$AT$20&gt;=9999,'Lease Cycles'!$C$20*INDEX('Lease Cycles'!$CB$20:$CH$20,1,AK214)*(1+INDEX('Lease Cycles'!$CI$20:$CO$20,1,AK214))^INT(INT(AK215/12)/INDEX('Lease Cycles'!$CP$20:$CV$20,1,AK214))/12,IF(AK214=1,IF(AK215&gt;=INDEX('Lease Cycles'!$DK$20:$DQ$20,1,AK214),IF(AK$6&gt;='Lease Cycles'!$AZ$20,'Lease Cycles'!$C$20*'Lease Cycles'!$BA$20/12,IF(AK$6&gt;='Lease Cycles'!$AX$20,'Lease Cycles'!$C$20*'Lease Cycles'!$AY$20/12,IF(AK$6&gt;='Lease Cycles'!$AV$20,'Lease Cycles'!$C$20*'Lease Cycles'!$AW$20/12,IF(AK$6&gt;='Lease Cycles'!$AT$20,'Lease Cycles'!$C$20*'Lease Cycles'!$AU$20/12,'Lease Cycles'!$C$20*INDEX('Lease Cycles'!$CB$20:$CH$20,1,AK214)*(1+INDEX('Lease Cycles'!$CI$20:$CO$20,1,AK214))^INT(INT(AK215/12)/INDEX('Lease Cycles'!$CP$20:$CV$20,1,AK214))/12)))),'Lease Cycles'!$C$20*INDEX('Lease Cycles'!$CB$20:$CH$20,1,AK214)*(1+INDEX('Lease Cycles'!$CI$20:$CO$20,1,AK214))^INT(INT(AK215/12)/INDEX('Lease Cycles'!$CP$20:$CV$20,1,AK214))/12),IF(INDEX('Lease Cycles'!$EF$20:$EL$20,1,AK214)=1,IF(AND('Lease Cycles'!$AZ$20&gt;=INDEX('Lease Cycles'!$BG$20:$BM$20,1,AK214),'Lease Cycles'!$AZ$20&lt;=AK$6),'Lease Cycles'!$C$20*'Lease Cycles'!$BA$20/12,IF(AND('Lease Cycles'!$AX$20&gt;=INDEX('Lease Cycles'!$BG$20:$BM$20,1,AK214),'Lease Cycles'!$AX$20&lt;=AK$6),'Lease Cycles'!$C$20*'Lease Cycles'!$AY$20/12,IF(AND('Lease Cycles'!$AV$20&gt;=INDEX('Lease Cycles'!$BG$20:$BM$20,1,AK214),'Lease Cycles'!$AV$20&lt;=AK$6),'Lease Cycles'!$C$20*'Lease Cycles'!$AW$20/12,IF(AND('Lease Cycles'!$AT$20&gt;=INDEX('Lease Cycles'!$BG$20:$BM$20,1,AK214),'Lease Cycles'!$AT$20&lt;=AK$6),'Lease Cycles'!$C$20*'Lease Cycles'!$AU$20/12,'Lease Cycles'!$C$20*INDEX('Lease Cycles'!$CB$20:$CH$20,1,AK214)*(1+INDEX('Lease Cycles'!$CI$20:$CO$20,1,AK214))^INT(INT(AK215/12)/INDEX('Lease Cycles'!$CP$20:$CV$20,1,AK214))/12)))),'Lease Cycles'!$C$20*INDEX('Lease Cycles'!$CB$20:$CH$20,1,AK214)*(1+INDEX('Lease Cycles'!$CI$20:$CO$20,1,AK214))^INT(INT(AK215/12)/INDEX('Lease Cycles'!$CP$20:$CV$20,1,AK214))/12))),IF('Lease Cycles'!$N$20=1,'Lease Cycles'!$C$20*'Lease Cycles'!$E$20*INDEX('Lease Cycles'!$HE$20:$HK$20,1,AK214)*(1+INDEX('Lease Cycles'!$GQ$20:$GW$20,1,AK214))^INT(INT((AK$6-INDEX('Lease Cycles'!$GJ$20:$GP$20,1,AK214))/12)/INDEX('Lease Cycles'!$GX$20:$HD$20,1,AK214))/12,0)))</f>
        <v>0</v>
      </c>
      <c r="AL217" s="28">
        <f>IF(AL214=0,IF('Lease Cycles'!$F$20&gt;0,'Lease Cycles'!$C$20*'Lease Cycles'!$E$20/12,0),IF(AL216=1,IF('Lease Cycles'!$AT$20&gt;=9999,'Lease Cycles'!$C$20*INDEX('Lease Cycles'!$CB$20:$CH$20,1,AL214)*(1+INDEX('Lease Cycles'!$CI$20:$CO$20,1,AL214))^INT(INT(AL215/12)/INDEX('Lease Cycles'!$CP$20:$CV$20,1,AL214))/12,IF(AL214=1,IF(AL215&gt;=INDEX('Lease Cycles'!$DK$20:$DQ$20,1,AL214),IF(AL$6&gt;='Lease Cycles'!$AZ$20,'Lease Cycles'!$C$20*'Lease Cycles'!$BA$20/12,IF(AL$6&gt;='Lease Cycles'!$AX$20,'Lease Cycles'!$C$20*'Lease Cycles'!$AY$20/12,IF(AL$6&gt;='Lease Cycles'!$AV$20,'Lease Cycles'!$C$20*'Lease Cycles'!$AW$20/12,IF(AL$6&gt;='Lease Cycles'!$AT$20,'Lease Cycles'!$C$20*'Lease Cycles'!$AU$20/12,'Lease Cycles'!$C$20*INDEX('Lease Cycles'!$CB$20:$CH$20,1,AL214)*(1+INDEX('Lease Cycles'!$CI$20:$CO$20,1,AL214))^INT(INT(AL215/12)/INDEX('Lease Cycles'!$CP$20:$CV$20,1,AL214))/12)))),'Lease Cycles'!$C$20*INDEX('Lease Cycles'!$CB$20:$CH$20,1,AL214)*(1+INDEX('Lease Cycles'!$CI$20:$CO$20,1,AL214))^INT(INT(AL215/12)/INDEX('Lease Cycles'!$CP$20:$CV$20,1,AL214))/12),IF(INDEX('Lease Cycles'!$EF$20:$EL$20,1,AL214)=1,IF(AND('Lease Cycles'!$AZ$20&gt;=INDEX('Lease Cycles'!$BG$20:$BM$20,1,AL214),'Lease Cycles'!$AZ$20&lt;=AL$6),'Lease Cycles'!$C$20*'Lease Cycles'!$BA$20/12,IF(AND('Lease Cycles'!$AX$20&gt;=INDEX('Lease Cycles'!$BG$20:$BM$20,1,AL214),'Lease Cycles'!$AX$20&lt;=AL$6),'Lease Cycles'!$C$20*'Lease Cycles'!$AY$20/12,IF(AND('Lease Cycles'!$AV$20&gt;=INDEX('Lease Cycles'!$BG$20:$BM$20,1,AL214),'Lease Cycles'!$AV$20&lt;=AL$6),'Lease Cycles'!$C$20*'Lease Cycles'!$AW$20/12,IF(AND('Lease Cycles'!$AT$20&gt;=INDEX('Lease Cycles'!$BG$20:$BM$20,1,AL214),'Lease Cycles'!$AT$20&lt;=AL$6),'Lease Cycles'!$C$20*'Lease Cycles'!$AU$20/12,'Lease Cycles'!$C$20*INDEX('Lease Cycles'!$CB$20:$CH$20,1,AL214)*(1+INDEX('Lease Cycles'!$CI$20:$CO$20,1,AL214))^INT(INT(AL215/12)/INDEX('Lease Cycles'!$CP$20:$CV$20,1,AL214))/12)))),'Lease Cycles'!$C$20*INDEX('Lease Cycles'!$CB$20:$CH$20,1,AL214)*(1+INDEX('Lease Cycles'!$CI$20:$CO$20,1,AL214))^INT(INT(AL215/12)/INDEX('Lease Cycles'!$CP$20:$CV$20,1,AL214))/12))),IF('Lease Cycles'!$N$20=1,'Lease Cycles'!$C$20*'Lease Cycles'!$E$20*INDEX('Lease Cycles'!$HE$20:$HK$20,1,AL214)*(1+INDEX('Lease Cycles'!$GQ$20:$GW$20,1,AL214))^INT(INT((AL$6-INDEX('Lease Cycles'!$GJ$20:$GP$20,1,AL214))/12)/INDEX('Lease Cycles'!$GX$20:$HD$20,1,AL214))/12,0)))</f>
        <v>0</v>
      </c>
      <c r="AM217" s="28">
        <f>IF(AM214=0,IF('Lease Cycles'!$F$20&gt;0,'Lease Cycles'!$C$20*'Lease Cycles'!$E$20/12,0),IF(AM216=1,IF('Lease Cycles'!$AT$20&gt;=9999,'Lease Cycles'!$C$20*INDEX('Lease Cycles'!$CB$20:$CH$20,1,AM214)*(1+INDEX('Lease Cycles'!$CI$20:$CO$20,1,AM214))^INT(INT(AM215/12)/INDEX('Lease Cycles'!$CP$20:$CV$20,1,AM214))/12,IF(AM214=1,IF(AM215&gt;=INDEX('Lease Cycles'!$DK$20:$DQ$20,1,AM214),IF(AM$6&gt;='Lease Cycles'!$AZ$20,'Lease Cycles'!$C$20*'Lease Cycles'!$BA$20/12,IF(AM$6&gt;='Lease Cycles'!$AX$20,'Lease Cycles'!$C$20*'Lease Cycles'!$AY$20/12,IF(AM$6&gt;='Lease Cycles'!$AV$20,'Lease Cycles'!$C$20*'Lease Cycles'!$AW$20/12,IF(AM$6&gt;='Lease Cycles'!$AT$20,'Lease Cycles'!$C$20*'Lease Cycles'!$AU$20/12,'Lease Cycles'!$C$20*INDEX('Lease Cycles'!$CB$20:$CH$20,1,AM214)*(1+INDEX('Lease Cycles'!$CI$20:$CO$20,1,AM214))^INT(INT(AM215/12)/INDEX('Lease Cycles'!$CP$20:$CV$20,1,AM214))/12)))),'Lease Cycles'!$C$20*INDEX('Lease Cycles'!$CB$20:$CH$20,1,AM214)*(1+INDEX('Lease Cycles'!$CI$20:$CO$20,1,AM214))^INT(INT(AM215/12)/INDEX('Lease Cycles'!$CP$20:$CV$20,1,AM214))/12),IF(INDEX('Lease Cycles'!$EF$20:$EL$20,1,AM214)=1,IF(AND('Lease Cycles'!$AZ$20&gt;=INDEX('Lease Cycles'!$BG$20:$BM$20,1,AM214),'Lease Cycles'!$AZ$20&lt;=AM$6),'Lease Cycles'!$C$20*'Lease Cycles'!$BA$20/12,IF(AND('Lease Cycles'!$AX$20&gt;=INDEX('Lease Cycles'!$BG$20:$BM$20,1,AM214),'Lease Cycles'!$AX$20&lt;=AM$6),'Lease Cycles'!$C$20*'Lease Cycles'!$AY$20/12,IF(AND('Lease Cycles'!$AV$20&gt;=INDEX('Lease Cycles'!$BG$20:$BM$20,1,AM214),'Lease Cycles'!$AV$20&lt;=AM$6),'Lease Cycles'!$C$20*'Lease Cycles'!$AW$20/12,IF(AND('Lease Cycles'!$AT$20&gt;=INDEX('Lease Cycles'!$BG$20:$BM$20,1,AM214),'Lease Cycles'!$AT$20&lt;=AM$6),'Lease Cycles'!$C$20*'Lease Cycles'!$AU$20/12,'Lease Cycles'!$C$20*INDEX('Lease Cycles'!$CB$20:$CH$20,1,AM214)*(1+INDEX('Lease Cycles'!$CI$20:$CO$20,1,AM214))^INT(INT(AM215/12)/INDEX('Lease Cycles'!$CP$20:$CV$20,1,AM214))/12)))),'Lease Cycles'!$C$20*INDEX('Lease Cycles'!$CB$20:$CH$20,1,AM214)*(1+INDEX('Lease Cycles'!$CI$20:$CO$20,1,AM214))^INT(INT(AM215/12)/INDEX('Lease Cycles'!$CP$20:$CV$20,1,AM214))/12))),IF('Lease Cycles'!$N$20=1,'Lease Cycles'!$C$20*'Lease Cycles'!$E$20*INDEX('Lease Cycles'!$HE$20:$HK$20,1,AM214)*(1+INDEX('Lease Cycles'!$GQ$20:$GW$20,1,AM214))^INT(INT((AM$6-INDEX('Lease Cycles'!$GJ$20:$GP$20,1,AM214))/12)/INDEX('Lease Cycles'!$GX$20:$HD$20,1,AM214))/12,0)))</f>
        <v>0</v>
      </c>
      <c r="AN217" s="28">
        <f>IF(AN214=0,IF('Lease Cycles'!$F$20&gt;0,'Lease Cycles'!$C$20*'Lease Cycles'!$E$20/12,0),IF(AN216=1,IF('Lease Cycles'!$AT$20&gt;=9999,'Lease Cycles'!$C$20*INDEX('Lease Cycles'!$CB$20:$CH$20,1,AN214)*(1+INDEX('Lease Cycles'!$CI$20:$CO$20,1,AN214))^INT(INT(AN215/12)/INDEX('Lease Cycles'!$CP$20:$CV$20,1,AN214))/12,IF(AN214=1,IF(AN215&gt;=INDEX('Lease Cycles'!$DK$20:$DQ$20,1,AN214),IF(AN$6&gt;='Lease Cycles'!$AZ$20,'Lease Cycles'!$C$20*'Lease Cycles'!$BA$20/12,IF(AN$6&gt;='Lease Cycles'!$AX$20,'Lease Cycles'!$C$20*'Lease Cycles'!$AY$20/12,IF(AN$6&gt;='Lease Cycles'!$AV$20,'Lease Cycles'!$C$20*'Lease Cycles'!$AW$20/12,IF(AN$6&gt;='Lease Cycles'!$AT$20,'Lease Cycles'!$C$20*'Lease Cycles'!$AU$20/12,'Lease Cycles'!$C$20*INDEX('Lease Cycles'!$CB$20:$CH$20,1,AN214)*(1+INDEX('Lease Cycles'!$CI$20:$CO$20,1,AN214))^INT(INT(AN215/12)/INDEX('Lease Cycles'!$CP$20:$CV$20,1,AN214))/12)))),'Lease Cycles'!$C$20*INDEX('Lease Cycles'!$CB$20:$CH$20,1,AN214)*(1+INDEX('Lease Cycles'!$CI$20:$CO$20,1,AN214))^INT(INT(AN215/12)/INDEX('Lease Cycles'!$CP$20:$CV$20,1,AN214))/12),IF(INDEX('Lease Cycles'!$EF$20:$EL$20,1,AN214)=1,IF(AND('Lease Cycles'!$AZ$20&gt;=INDEX('Lease Cycles'!$BG$20:$BM$20,1,AN214),'Lease Cycles'!$AZ$20&lt;=AN$6),'Lease Cycles'!$C$20*'Lease Cycles'!$BA$20/12,IF(AND('Lease Cycles'!$AX$20&gt;=INDEX('Lease Cycles'!$BG$20:$BM$20,1,AN214),'Lease Cycles'!$AX$20&lt;=AN$6),'Lease Cycles'!$C$20*'Lease Cycles'!$AY$20/12,IF(AND('Lease Cycles'!$AV$20&gt;=INDEX('Lease Cycles'!$BG$20:$BM$20,1,AN214),'Lease Cycles'!$AV$20&lt;=AN$6),'Lease Cycles'!$C$20*'Lease Cycles'!$AW$20/12,IF(AND('Lease Cycles'!$AT$20&gt;=INDEX('Lease Cycles'!$BG$20:$BM$20,1,AN214),'Lease Cycles'!$AT$20&lt;=AN$6),'Lease Cycles'!$C$20*'Lease Cycles'!$AU$20/12,'Lease Cycles'!$C$20*INDEX('Lease Cycles'!$CB$20:$CH$20,1,AN214)*(1+INDEX('Lease Cycles'!$CI$20:$CO$20,1,AN214))^INT(INT(AN215/12)/INDEX('Lease Cycles'!$CP$20:$CV$20,1,AN214))/12)))),'Lease Cycles'!$C$20*INDEX('Lease Cycles'!$CB$20:$CH$20,1,AN214)*(1+INDEX('Lease Cycles'!$CI$20:$CO$20,1,AN214))^INT(INT(AN215/12)/INDEX('Lease Cycles'!$CP$20:$CV$20,1,AN214))/12))),IF('Lease Cycles'!$N$20=1,'Lease Cycles'!$C$20*'Lease Cycles'!$E$20*INDEX('Lease Cycles'!$HE$20:$HK$20,1,AN214)*(1+INDEX('Lease Cycles'!$GQ$20:$GW$20,1,AN214))^INT(INT((AN$6-INDEX('Lease Cycles'!$GJ$20:$GP$20,1,AN214))/12)/INDEX('Lease Cycles'!$GX$20:$HD$20,1,AN214))/12,0)))</f>
        <v>0</v>
      </c>
      <c r="AO217" s="28">
        <f>IF(AO214=0,IF('Lease Cycles'!$F$20&gt;0,'Lease Cycles'!$C$20*'Lease Cycles'!$E$20/12,0),IF(AO216=1,IF('Lease Cycles'!$AT$20&gt;=9999,'Lease Cycles'!$C$20*INDEX('Lease Cycles'!$CB$20:$CH$20,1,AO214)*(1+INDEX('Lease Cycles'!$CI$20:$CO$20,1,AO214))^INT(INT(AO215/12)/INDEX('Lease Cycles'!$CP$20:$CV$20,1,AO214))/12,IF(AO214=1,IF(AO215&gt;=INDEX('Lease Cycles'!$DK$20:$DQ$20,1,AO214),IF(AO$6&gt;='Lease Cycles'!$AZ$20,'Lease Cycles'!$C$20*'Lease Cycles'!$BA$20/12,IF(AO$6&gt;='Lease Cycles'!$AX$20,'Lease Cycles'!$C$20*'Lease Cycles'!$AY$20/12,IF(AO$6&gt;='Lease Cycles'!$AV$20,'Lease Cycles'!$C$20*'Lease Cycles'!$AW$20/12,IF(AO$6&gt;='Lease Cycles'!$AT$20,'Lease Cycles'!$C$20*'Lease Cycles'!$AU$20/12,'Lease Cycles'!$C$20*INDEX('Lease Cycles'!$CB$20:$CH$20,1,AO214)*(1+INDEX('Lease Cycles'!$CI$20:$CO$20,1,AO214))^INT(INT(AO215/12)/INDEX('Lease Cycles'!$CP$20:$CV$20,1,AO214))/12)))),'Lease Cycles'!$C$20*INDEX('Lease Cycles'!$CB$20:$CH$20,1,AO214)*(1+INDEX('Lease Cycles'!$CI$20:$CO$20,1,AO214))^INT(INT(AO215/12)/INDEX('Lease Cycles'!$CP$20:$CV$20,1,AO214))/12),IF(INDEX('Lease Cycles'!$EF$20:$EL$20,1,AO214)=1,IF(AND('Lease Cycles'!$AZ$20&gt;=INDEX('Lease Cycles'!$BG$20:$BM$20,1,AO214),'Lease Cycles'!$AZ$20&lt;=AO$6),'Lease Cycles'!$C$20*'Lease Cycles'!$BA$20/12,IF(AND('Lease Cycles'!$AX$20&gt;=INDEX('Lease Cycles'!$BG$20:$BM$20,1,AO214),'Lease Cycles'!$AX$20&lt;=AO$6),'Lease Cycles'!$C$20*'Lease Cycles'!$AY$20/12,IF(AND('Lease Cycles'!$AV$20&gt;=INDEX('Lease Cycles'!$BG$20:$BM$20,1,AO214),'Lease Cycles'!$AV$20&lt;=AO$6),'Lease Cycles'!$C$20*'Lease Cycles'!$AW$20/12,IF(AND('Lease Cycles'!$AT$20&gt;=INDEX('Lease Cycles'!$BG$20:$BM$20,1,AO214),'Lease Cycles'!$AT$20&lt;=AO$6),'Lease Cycles'!$C$20*'Lease Cycles'!$AU$20/12,'Lease Cycles'!$C$20*INDEX('Lease Cycles'!$CB$20:$CH$20,1,AO214)*(1+INDEX('Lease Cycles'!$CI$20:$CO$20,1,AO214))^INT(INT(AO215/12)/INDEX('Lease Cycles'!$CP$20:$CV$20,1,AO214))/12)))),'Lease Cycles'!$C$20*INDEX('Lease Cycles'!$CB$20:$CH$20,1,AO214)*(1+INDEX('Lease Cycles'!$CI$20:$CO$20,1,AO214))^INT(INT(AO215/12)/INDEX('Lease Cycles'!$CP$20:$CV$20,1,AO214))/12))),IF('Lease Cycles'!$N$20=1,'Lease Cycles'!$C$20*'Lease Cycles'!$E$20*INDEX('Lease Cycles'!$HE$20:$HK$20,1,AO214)*(1+INDEX('Lease Cycles'!$GQ$20:$GW$20,1,AO214))^INT(INT((AO$6-INDEX('Lease Cycles'!$GJ$20:$GP$20,1,AO214))/12)/INDEX('Lease Cycles'!$GX$20:$HD$20,1,AO214))/12,0)))</f>
        <v>0</v>
      </c>
      <c r="AP217" s="28">
        <f>IF(AP214=0,IF('Lease Cycles'!$F$20&gt;0,'Lease Cycles'!$C$20*'Lease Cycles'!$E$20/12,0),IF(AP216=1,IF('Lease Cycles'!$AT$20&gt;=9999,'Lease Cycles'!$C$20*INDEX('Lease Cycles'!$CB$20:$CH$20,1,AP214)*(1+INDEX('Lease Cycles'!$CI$20:$CO$20,1,AP214))^INT(INT(AP215/12)/INDEX('Lease Cycles'!$CP$20:$CV$20,1,AP214))/12,IF(AP214=1,IF(AP215&gt;=INDEX('Lease Cycles'!$DK$20:$DQ$20,1,AP214),IF(AP$6&gt;='Lease Cycles'!$AZ$20,'Lease Cycles'!$C$20*'Lease Cycles'!$BA$20/12,IF(AP$6&gt;='Lease Cycles'!$AX$20,'Lease Cycles'!$C$20*'Lease Cycles'!$AY$20/12,IF(AP$6&gt;='Lease Cycles'!$AV$20,'Lease Cycles'!$C$20*'Lease Cycles'!$AW$20/12,IF(AP$6&gt;='Lease Cycles'!$AT$20,'Lease Cycles'!$C$20*'Lease Cycles'!$AU$20/12,'Lease Cycles'!$C$20*INDEX('Lease Cycles'!$CB$20:$CH$20,1,AP214)*(1+INDEX('Lease Cycles'!$CI$20:$CO$20,1,AP214))^INT(INT(AP215/12)/INDEX('Lease Cycles'!$CP$20:$CV$20,1,AP214))/12)))),'Lease Cycles'!$C$20*INDEX('Lease Cycles'!$CB$20:$CH$20,1,AP214)*(1+INDEX('Lease Cycles'!$CI$20:$CO$20,1,AP214))^INT(INT(AP215/12)/INDEX('Lease Cycles'!$CP$20:$CV$20,1,AP214))/12),IF(INDEX('Lease Cycles'!$EF$20:$EL$20,1,AP214)=1,IF(AND('Lease Cycles'!$AZ$20&gt;=INDEX('Lease Cycles'!$BG$20:$BM$20,1,AP214),'Lease Cycles'!$AZ$20&lt;=AP$6),'Lease Cycles'!$C$20*'Lease Cycles'!$BA$20/12,IF(AND('Lease Cycles'!$AX$20&gt;=INDEX('Lease Cycles'!$BG$20:$BM$20,1,AP214),'Lease Cycles'!$AX$20&lt;=AP$6),'Lease Cycles'!$C$20*'Lease Cycles'!$AY$20/12,IF(AND('Lease Cycles'!$AV$20&gt;=INDEX('Lease Cycles'!$BG$20:$BM$20,1,AP214),'Lease Cycles'!$AV$20&lt;=AP$6),'Lease Cycles'!$C$20*'Lease Cycles'!$AW$20/12,IF(AND('Lease Cycles'!$AT$20&gt;=INDEX('Lease Cycles'!$BG$20:$BM$20,1,AP214),'Lease Cycles'!$AT$20&lt;=AP$6),'Lease Cycles'!$C$20*'Lease Cycles'!$AU$20/12,'Lease Cycles'!$C$20*INDEX('Lease Cycles'!$CB$20:$CH$20,1,AP214)*(1+INDEX('Lease Cycles'!$CI$20:$CO$20,1,AP214))^INT(INT(AP215/12)/INDEX('Lease Cycles'!$CP$20:$CV$20,1,AP214))/12)))),'Lease Cycles'!$C$20*INDEX('Lease Cycles'!$CB$20:$CH$20,1,AP214)*(1+INDEX('Lease Cycles'!$CI$20:$CO$20,1,AP214))^INT(INT(AP215/12)/INDEX('Lease Cycles'!$CP$20:$CV$20,1,AP214))/12))),IF('Lease Cycles'!$N$20=1,'Lease Cycles'!$C$20*'Lease Cycles'!$E$20*INDEX('Lease Cycles'!$HE$20:$HK$20,1,AP214)*(1+INDEX('Lease Cycles'!$GQ$20:$GW$20,1,AP214))^INT(INT((AP$6-INDEX('Lease Cycles'!$GJ$20:$GP$20,1,AP214))/12)/INDEX('Lease Cycles'!$GX$20:$HD$20,1,AP214))/12,0)))</f>
        <v>0</v>
      </c>
      <c r="AQ217" s="28">
        <f>IF(AQ214=0,IF('Lease Cycles'!$F$20&gt;0,'Lease Cycles'!$C$20*'Lease Cycles'!$E$20/12,0),IF(AQ216=1,IF('Lease Cycles'!$AT$20&gt;=9999,'Lease Cycles'!$C$20*INDEX('Lease Cycles'!$CB$20:$CH$20,1,AQ214)*(1+INDEX('Lease Cycles'!$CI$20:$CO$20,1,AQ214))^INT(INT(AQ215/12)/INDEX('Lease Cycles'!$CP$20:$CV$20,1,AQ214))/12,IF(AQ214=1,IF(AQ215&gt;=INDEX('Lease Cycles'!$DK$20:$DQ$20,1,AQ214),IF(AQ$6&gt;='Lease Cycles'!$AZ$20,'Lease Cycles'!$C$20*'Lease Cycles'!$BA$20/12,IF(AQ$6&gt;='Lease Cycles'!$AX$20,'Lease Cycles'!$C$20*'Lease Cycles'!$AY$20/12,IF(AQ$6&gt;='Lease Cycles'!$AV$20,'Lease Cycles'!$C$20*'Lease Cycles'!$AW$20/12,IF(AQ$6&gt;='Lease Cycles'!$AT$20,'Lease Cycles'!$C$20*'Lease Cycles'!$AU$20/12,'Lease Cycles'!$C$20*INDEX('Lease Cycles'!$CB$20:$CH$20,1,AQ214)*(1+INDEX('Lease Cycles'!$CI$20:$CO$20,1,AQ214))^INT(INT(AQ215/12)/INDEX('Lease Cycles'!$CP$20:$CV$20,1,AQ214))/12)))),'Lease Cycles'!$C$20*INDEX('Lease Cycles'!$CB$20:$CH$20,1,AQ214)*(1+INDEX('Lease Cycles'!$CI$20:$CO$20,1,AQ214))^INT(INT(AQ215/12)/INDEX('Lease Cycles'!$CP$20:$CV$20,1,AQ214))/12),IF(INDEX('Lease Cycles'!$EF$20:$EL$20,1,AQ214)=1,IF(AND('Lease Cycles'!$AZ$20&gt;=INDEX('Lease Cycles'!$BG$20:$BM$20,1,AQ214),'Lease Cycles'!$AZ$20&lt;=AQ$6),'Lease Cycles'!$C$20*'Lease Cycles'!$BA$20/12,IF(AND('Lease Cycles'!$AX$20&gt;=INDEX('Lease Cycles'!$BG$20:$BM$20,1,AQ214),'Lease Cycles'!$AX$20&lt;=AQ$6),'Lease Cycles'!$C$20*'Lease Cycles'!$AY$20/12,IF(AND('Lease Cycles'!$AV$20&gt;=INDEX('Lease Cycles'!$BG$20:$BM$20,1,AQ214),'Lease Cycles'!$AV$20&lt;=AQ$6),'Lease Cycles'!$C$20*'Lease Cycles'!$AW$20/12,IF(AND('Lease Cycles'!$AT$20&gt;=INDEX('Lease Cycles'!$BG$20:$BM$20,1,AQ214),'Lease Cycles'!$AT$20&lt;=AQ$6),'Lease Cycles'!$C$20*'Lease Cycles'!$AU$20/12,'Lease Cycles'!$C$20*INDEX('Lease Cycles'!$CB$20:$CH$20,1,AQ214)*(1+INDEX('Lease Cycles'!$CI$20:$CO$20,1,AQ214))^INT(INT(AQ215/12)/INDEX('Lease Cycles'!$CP$20:$CV$20,1,AQ214))/12)))),'Lease Cycles'!$C$20*INDEX('Lease Cycles'!$CB$20:$CH$20,1,AQ214)*(1+INDEX('Lease Cycles'!$CI$20:$CO$20,1,AQ214))^INT(INT(AQ215/12)/INDEX('Lease Cycles'!$CP$20:$CV$20,1,AQ214))/12))),IF('Lease Cycles'!$N$20=1,'Lease Cycles'!$C$20*'Lease Cycles'!$E$20*INDEX('Lease Cycles'!$HE$20:$HK$20,1,AQ214)*(1+INDEX('Lease Cycles'!$GQ$20:$GW$20,1,AQ214))^INT(INT((AQ$6-INDEX('Lease Cycles'!$GJ$20:$GP$20,1,AQ214))/12)/INDEX('Lease Cycles'!$GX$20:$HD$20,1,AQ214))/12,0)))</f>
        <v>0</v>
      </c>
      <c r="AR217" s="28">
        <f>IF(AR214=0,IF('Lease Cycles'!$F$20&gt;0,'Lease Cycles'!$C$20*'Lease Cycles'!$E$20/12,0),IF(AR216=1,IF('Lease Cycles'!$AT$20&gt;=9999,'Lease Cycles'!$C$20*INDEX('Lease Cycles'!$CB$20:$CH$20,1,AR214)*(1+INDEX('Lease Cycles'!$CI$20:$CO$20,1,AR214))^INT(INT(AR215/12)/INDEX('Lease Cycles'!$CP$20:$CV$20,1,AR214))/12,IF(AR214=1,IF(AR215&gt;=INDEX('Lease Cycles'!$DK$20:$DQ$20,1,AR214),IF(AR$6&gt;='Lease Cycles'!$AZ$20,'Lease Cycles'!$C$20*'Lease Cycles'!$BA$20/12,IF(AR$6&gt;='Lease Cycles'!$AX$20,'Lease Cycles'!$C$20*'Lease Cycles'!$AY$20/12,IF(AR$6&gt;='Lease Cycles'!$AV$20,'Lease Cycles'!$C$20*'Lease Cycles'!$AW$20/12,IF(AR$6&gt;='Lease Cycles'!$AT$20,'Lease Cycles'!$C$20*'Lease Cycles'!$AU$20/12,'Lease Cycles'!$C$20*INDEX('Lease Cycles'!$CB$20:$CH$20,1,AR214)*(1+INDEX('Lease Cycles'!$CI$20:$CO$20,1,AR214))^INT(INT(AR215/12)/INDEX('Lease Cycles'!$CP$20:$CV$20,1,AR214))/12)))),'Lease Cycles'!$C$20*INDEX('Lease Cycles'!$CB$20:$CH$20,1,AR214)*(1+INDEX('Lease Cycles'!$CI$20:$CO$20,1,AR214))^INT(INT(AR215/12)/INDEX('Lease Cycles'!$CP$20:$CV$20,1,AR214))/12),IF(INDEX('Lease Cycles'!$EF$20:$EL$20,1,AR214)=1,IF(AND('Lease Cycles'!$AZ$20&gt;=INDEX('Lease Cycles'!$BG$20:$BM$20,1,AR214),'Lease Cycles'!$AZ$20&lt;=AR$6),'Lease Cycles'!$C$20*'Lease Cycles'!$BA$20/12,IF(AND('Lease Cycles'!$AX$20&gt;=INDEX('Lease Cycles'!$BG$20:$BM$20,1,AR214),'Lease Cycles'!$AX$20&lt;=AR$6),'Lease Cycles'!$C$20*'Lease Cycles'!$AY$20/12,IF(AND('Lease Cycles'!$AV$20&gt;=INDEX('Lease Cycles'!$BG$20:$BM$20,1,AR214),'Lease Cycles'!$AV$20&lt;=AR$6),'Lease Cycles'!$C$20*'Lease Cycles'!$AW$20/12,IF(AND('Lease Cycles'!$AT$20&gt;=INDEX('Lease Cycles'!$BG$20:$BM$20,1,AR214),'Lease Cycles'!$AT$20&lt;=AR$6),'Lease Cycles'!$C$20*'Lease Cycles'!$AU$20/12,'Lease Cycles'!$C$20*INDEX('Lease Cycles'!$CB$20:$CH$20,1,AR214)*(1+INDEX('Lease Cycles'!$CI$20:$CO$20,1,AR214))^INT(INT(AR215/12)/INDEX('Lease Cycles'!$CP$20:$CV$20,1,AR214))/12)))),'Lease Cycles'!$C$20*INDEX('Lease Cycles'!$CB$20:$CH$20,1,AR214)*(1+INDEX('Lease Cycles'!$CI$20:$CO$20,1,AR214))^INT(INT(AR215/12)/INDEX('Lease Cycles'!$CP$20:$CV$20,1,AR214))/12))),IF('Lease Cycles'!$N$20=1,'Lease Cycles'!$C$20*'Lease Cycles'!$E$20*INDEX('Lease Cycles'!$HE$20:$HK$20,1,AR214)*(1+INDEX('Lease Cycles'!$GQ$20:$GW$20,1,AR214))^INT(INT((AR$6-INDEX('Lease Cycles'!$GJ$20:$GP$20,1,AR214))/12)/INDEX('Lease Cycles'!$GX$20:$HD$20,1,AR214))/12,0)))</f>
        <v>0</v>
      </c>
      <c r="AS217" s="28">
        <f>IF(AS214=0,IF('Lease Cycles'!$F$20&gt;0,'Lease Cycles'!$C$20*'Lease Cycles'!$E$20/12,0),IF(AS216=1,IF('Lease Cycles'!$AT$20&gt;=9999,'Lease Cycles'!$C$20*INDEX('Lease Cycles'!$CB$20:$CH$20,1,AS214)*(1+INDEX('Lease Cycles'!$CI$20:$CO$20,1,AS214))^INT(INT(AS215/12)/INDEX('Lease Cycles'!$CP$20:$CV$20,1,AS214))/12,IF(AS214=1,IF(AS215&gt;=INDEX('Lease Cycles'!$DK$20:$DQ$20,1,AS214),IF(AS$6&gt;='Lease Cycles'!$AZ$20,'Lease Cycles'!$C$20*'Lease Cycles'!$BA$20/12,IF(AS$6&gt;='Lease Cycles'!$AX$20,'Lease Cycles'!$C$20*'Lease Cycles'!$AY$20/12,IF(AS$6&gt;='Lease Cycles'!$AV$20,'Lease Cycles'!$C$20*'Lease Cycles'!$AW$20/12,IF(AS$6&gt;='Lease Cycles'!$AT$20,'Lease Cycles'!$C$20*'Lease Cycles'!$AU$20/12,'Lease Cycles'!$C$20*INDEX('Lease Cycles'!$CB$20:$CH$20,1,AS214)*(1+INDEX('Lease Cycles'!$CI$20:$CO$20,1,AS214))^INT(INT(AS215/12)/INDEX('Lease Cycles'!$CP$20:$CV$20,1,AS214))/12)))),'Lease Cycles'!$C$20*INDEX('Lease Cycles'!$CB$20:$CH$20,1,AS214)*(1+INDEX('Lease Cycles'!$CI$20:$CO$20,1,AS214))^INT(INT(AS215/12)/INDEX('Lease Cycles'!$CP$20:$CV$20,1,AS214))/12),IF(INDEX('Lease Cycles'!$EF$20:$EL$20,1,AS214)=1,IF(AND('Lease Cycles'!$AZ$20&gt;=INDEX('Lease Cycles'!$BG$20:$BM$20,1,AS214),'Lease Cycles'!$AZ$20&lt;=AS$6),'Lease Cycles'!$C$20*'Lease Cycles'!$BA$20/12,IF(AND('Lease Cycles'!$AX$20&gt;=INDEX('Lease Cycles'!$BG$20:$BM$20,1,AS214),'Lease Cycles'!$AX$20&lt;=AS$6),'Lease Cycles'!$C$20*'Lease Cycles'!$AY$20/12,IF(AND('Lease Cycles'!$AV$20&gt;=INDEX('Lease Cycles'!$BG$20:$BM$20,1,AS214),'Lease Cycles'!$AV$20&lt;=AS$6),'Lease Cycles'!$C$20*'Lease Cycles'!$AW$20/12,IF(AND('Lease Cycles'!$AT$20&gt;=INDEX('Lease Cycles'!$BG$20:$BM$20,1,AS214),'Lease Cycles'!$AT$20&lt;=AS$6),'Lease Cycles'!$C$20*'Lease Cycles'!$AU$20/12,'Lease Cycles'!$C$20*INDEX('Lease Cycles'!$CB$20:$CH$20,1,AS214)*(1+INDEX('Lease Cycles'!$CI$20:$CO$20,1,AS214))^INT(INT(AS215/12)/INDEX('Lease Cycles'!$CP$20:$CV$20,1,AS214))/12)))),'Lease Cycles'!$C$20*INDEX('Lease Cycles'!$CB$20:$CH$20,1,AS214)*(1+INDEX('Lease Cycles'!$CI$20:$CO$20,1,AS214))^INT(INT(AS215/12)/INDEX('Lease Cycles'!$CP$20:$CV$20,1,AS214))/12))),IF('Lease Cycles'!$N$20=1,'Lease Cycles'!$C$20*'Lease Cycles'!$E$20*INDEX('Lease Cycles'!$HE$20:$HK$20,1,AS214)*(1+INDEX('Lease Cycles'!$GQ$20:$GW$20,1,AS214))^INT(INT((AS$6-INDEX('Lease Cycles'!$GJ$20:$GP$20,1,AS214))/12)/INDEX('Lease Cycles'!$GX$20:$HD$20,1,AS214))/12,0)))</f>
        <v>0</v>
      </c>
      <c r="AT217" s="28">
        <f>IF(AT214=0,IF('Lease Cycles'!$F$20&gt;0,'Lease Cycles'!$C$20*'Lease Cycles'!$E$20/12,0),IF(AT216=1,IF('Lease Cycles'!$AT$20&gt;=9999,'Lease Cycles'!$C$20*INDEX('Lease Cycles'!$CB$20:$CH$20,1,AT214)*(1+INDEX('Lease Cycles'!$CI$20:$CO$20,1,AT214))^INT(INT(AT215/12)/INDEX('Lease Cycles'!$CP$20:$CV$20,1,AT214))/12,IF(AT214=1,IF(AT215&gt;=INDEX('Lease Cycles'!$DK$20:$DQ$20,1,AT214),IF(AT$6&gt;='Lease Cycles'!$AZ$20,'Lease Cycles'!$C$20*'Lease Cycles'!$BA$20/12,IF(AT$6&gt;='Lease Cycles'!$AX$20,'Lease Cycles'!$C$20*'Lease Cycles'!$AY$20/12,IF(AT$6&gt;='Lease Cycles'!$AV$20,'Lease Cycles'!$C$20*'Lease Cycles'!$AW$20/12,IF(AT$6&gt;='Lease Cycles'!$AT$20,'Lease Cycles'!$C$20*'Lease Cycles'!$AU$20/12,'Lease Cycles'!$C$20*INDEX('Lease Cycles'!$CB$20:$CH$20,1,AT214)*(1+INDEX('Lease Cycles'!$CI$20:$CO$20,1,AT214))^INT(INT(AT215/12)/INDEX('Lease Cycles'!$CP$20:$CV$20,1,AT214))/12)))),'Lease Cycles'!$C$20*INDEX('Lease Cycles'!$CB$20:$CH$20,1,AT214)*(1+INDEX('Lease Cycles'!$CI$20:$CO$20,1,AT214))^INT(INT(AT215/12)/INDEX('Lease Cycles'!$CP$20:$CV$20,1,AT214))/12),IF(INDEX('Lease Cycles'!$EF$20:$EL$20,1,AT214)=1,IF(AND('Lease Cycles'!$AZ$20&gt;=INDEX('Lease Cycles'!$BG$20:$BM$20,1,AT214),'Lease Cycles'!$AZ$20&lt;=AT$6),'Lease Cycles'!$C$20*'Lease Cycles'!$BA$20/12,IF(AND('Lease Cycles'!$AX$20&gt;=INDEX('Lease Cycles'!$BG$20:$BM$20,1,AT214),'Lease Cycles'!$AX$20&lt;=AT$6),'Lease Cycles'!$C$20*'Lease Cycles'!$AY$20/12,IF(AND('Lease Cycles'!$AV$20&gt;=INDEX('Lease Cycles'!$BG$20:$BM$20,1,AT214),'Lease Cycles'!$AV$20&lt;=AT$6),'Lease Cycles'!$C$20*'Lease Cycles'!$AW$20/12,IF(AND('Lease Cycles'!$AT$20&gt;=INDEX('Lease Cycles'!$BG$20:$BM$20,1,AT214),'Lease Cycles'!$AT$20&lt;=AT$6),'Lease Cycles'!$C$20*'Lease Cycles'!$AU$20/12,'Lease Cycles'!$C$20*INDEX('Lease Cycles'!$CB$20:$CH$20,1,AT214)*(1+INDEX('Lease Cycles'!$CI$20:$CO$20,1,AT214))^INT(INT(AT215/12)/INDEX('Lease Cycles'!$CP$20:$CV$20,1,AT214))/12)))),'Lease Cycles'!$C$20*INDEX('Lease Cycles'!$CB$20:$CH$20,1,AT214)*(1+INDEX('Lease Cycles'!$CI$20:$CO$20,1,AT214))^INT(INT(AT215/12)/INDEX('Lease Cycles'!$CP$20:$CV$20,1,AT214))/12))),IF('Lease Cycles'!$N$20=1,'Lease Cycles'!$C$20*'Lease Cycles'!$E$20*INDEX('Lease Cycles'!$HE$20:$HK$20,1,AT214)*(1+INDEX('Lease Cycles'!$GQ$20:$GW$20,1,AT214))^INT(INT((AT$6-INDEX('Lease Cycles'!$GJ$20:$GP$20,1,AT214))/12)/INDEX('Lease Cycles'!$GX$20:$HD$20,1,AT214))/12,0)))</f>
        <v>0</v>
      </c>
      <c r="AU217" s="28">
        <f>IF(AU214=0,IF('Lease Cycles'!$F$20&gt;0,'Lease Cycles'!$C$20*'Lease Cycles'!$E$20/12,0),IF(AU216=1,IF('Lease Cycles'!$AT$20&gt;=9999,'Lease Cycles'!$C$20*INDEX('Lease Cycles'!$CB$20:$CH$20,1,AU214)*(1+INDEX('Lease Cycles'!$CI$20:$CO$20,1,AU214))^INT(INT(AU215/12)/INDEX('Lease Cycles'!$CP$20:$CV$20,1,AU214))/12,IF(AU214=1,IF(AU215&gt;=INDEX('Lease Cycles'!$DK$20:$DQ$20,1,AU214),IF(AU$6&gt;='Lease Cycles'!$AZ$20,'Lease Cycles'!$C$20*'Lease Cycles'!$BA$20/12,IF(AU$6&gt;='Lease Cycles'!$AX$20,'Lease Cycles'!$C$20*'Lease Cycles'!$AY$20/12,IF(AU$6&gt;='Lease Cycles'!$AV$20,'Lease Cycles'!$C$20*'Lease Cycles'!$AW$20/12,IF(AU$6&gt;='Lease Cycles'!$AT$20,'Lease Cycles'!$C$20*'Lease Cycles'!$AU$20/12,'Lease Cycles'!$C$20*INDEX('Lease Cycles'!$CB$20:$CH$20,1,AU214)*(1+INDEX('Lease Cycles'!$CI$20:$CO$20,1,AU214))^INT(INT(AU215/12)/INDEX('Lease Cycles'!$CP$20:$CV$20,1,AU214))/12)))),'Lease Cycles'!$C$20*INDEX('Lease Cycles'!$CB$20:$CH$20,1,AU214)*(1+INDEX('Lease Cycles'!$CI$20:$CO$20,1,AU214))^INT(INT(AU215/12)/INDEX('Lease Cycles'!$CP$20:$CV$20,1,AU214))/12),IF(INDEX('Lease Cycles'!$EF$20:$EL$20,1,AU214)=1,IF(AND('Lease Cycles'!$AZ$20&gt;=INDEX('Lease Cycles'!$BG$20:$BM$20,1,AU214),'Lease Cycles'!$AZ$20&lt;=AU$6),'Lease Cycles'!$C$20*'Lease Cycles'!$BA$20/12,IF(AND('Lease Cycles'!$AX$20&gt;=INDEX('Lease Cycles'!$BG$20:$BM$20,1,AU214),'Lease Cycles'!$AX$20&lt;=AU$6),'Lease Cycles'!$C$20*'Lease Cycles'!$AY$20/12,IF(AND('Lease Cycles'!$AV$20&gt;=INDEX('Lease Cycles'!$BG$20:$BM$20,1,AU214),'Lease Cycles'!$AV$20&lt;=AU$6),'Lease Cycles'!$C$20*'Lease Cycles'!$AW$20/12,IF(AND('Lease Cycles'!$AT$20&gt;=INDEX('Lease Cycles'!$BG$20:$BM$20,1,AU214),'Lease Cycles'!$AT$20&lt;=AU$6),'Lease Cycles'!$C$20*'Lease Cycles'!$AU$20/12,'Lease Cycles'!$C$20*INDEX('Lease Cycles'!$CB$20:$CH$20,1,AU214)*(1+INDEX('Lease Cycles'!$CI$20:$CO$20,1,AU214))^INT(INT(AU215/12)/INDEX('Lease Cycles'!$CP$20:$CV$20,1,AU214))/12)))),'Lease Cycles'!$C$20*INDEX('Lease Cycles'!$CB$20:$CH$20,1,AU214)*(1+INDEX('Lease Cycles'!$CI$20:$CO$20,1,AU214))^INT(INT(AU215/12)/INDEX('Lease Cycles'!$CP$20:$CV$20,1,AU214))/12))),IF('Lease Cycles'!$N$20=1,'Lease Cycles'!$C$20*'Lease Cycles'!$E$20*INDEX('Lease Cycles'!$HE$20:$HK$20,1,AU214)*(1+INDEX('Lease Cycles'!$GQ$20:$GW$20,1,AU214))^INT(INT((AU$6-INDEX('Lease Cycles'!$GJ$20:$GP$20,1,AU214))/12)/INDEX('Lease Cycles'!$GX$20:$HD$20,1,AU214))/12,0)))</f>
        <v>0</v>
      </c>
      <c r="AV217" s="28">
        <f>IF(AV214=0,IF('Lease Cycles'!$F$20&gt;0,'Lease Cycles'!$C$20*'Lease Cycles'!$E$20/12,0),IF(AV216=1,IF('Lease Cycles'!$AT$20&gt;=9999,'Lease Cycles'!$C$20*INDEX('Lease Cycles'!$CB$20:$CH$20,1,AV214)*(1+INDEX('Lease Cycles'!$CI$20:$CO$20,1,AV214))^INT(INT(AV215/12)/INDEX('Lease Cycles'!$CP$20:$CV$20,1,AV214))/12,IF(AV214=1,IF(AV215&gt;=INDEX('Lease Cycles'!$DK$20:$DQ$20,1,AV214),IF(AV$6&gt;='Lease Cycles'!$AZ$20,'Lease Cycles'!$C$20*'Lease Cycles'!$BA$20/12,IF(AV$6&gt;='Lease Cycles'!$AX$20,'Lease Cycles'!$C$20*'Lease Cycles'!$AY$20/12,IF(AV$6&gt;='Lease Cycles'!$AV$20,'Lease Cycles'!$C$20*'Lease Cycles'!$AW$20/12,IF(AV$6&gt;='Lease Cycles'!$AT$20,'Lease Cycles'!$C$20*'Lease Cycles'!$AU$20/12,'Lease Cycles'!$C$20*INDEX('Lease Cycles'!$CB$20:$CH$20,1,AV214)*(1+INDEX('Lease Cycles'!$CI$20:$CO$20,1,AV214))^INT(INT(AV215/12)/INDEX('Lease Cycles'!$CP$20:$CV$20,1,AV214))/12)))),'Lease Cycles'!$C$20*INDEX('Lease Cycles'!$CB$20:$CH$20,1,AV214)*(1+INDEX('Lease Cycles'!$CI$20:$CO$20,1,AV214))^INT(INT(AV215/12)/INDEX('Lease Cycles'!$CP$20:$CV$20,1,AV214))/12),IF(INDEX('Lease Cycles'!$EF$20:$EL$20,1,AV214)=1,IF(AND('Lease Cycles'!$AZ$20&gt;=INDEX('Lease Cycles'!$BG$20:$BM$20,1,AV214),'Lease Cycles'!$AZ$20&lt;=AV$6),'Lease Cycles'!$C$20*'Lease Cycles'!$BA$20/12,IF(AND('Lease Cycles'!$AX$20&gt;=INDEX('Lease Cycles'!$BG$20:$BM$20,1,AV214),'Lease Cycles'!$AX$20&lt;=AV$6),'Lease Cycles'!$C$20*'Lease Cycles'!$AY$20/12,IF(AND('Lease Cycles'!$AV$20&gt;=INDEX('Lease Cycles'!$BG$20:$BM$20,1,AV214),'Lease Cycles'!$AV$20&lt;=AV$6),'Lease Cycles'!$C$20*'Lease Cycles'!$AW$20/12,IF(AND('Lease Cycles'!$AT$20&gt;=INDEX('Lease Cycles'!$BG$20:$BM$20,1,AV214),'Lease Cycles'!$AT$20&lt;=AV$6),'Lease Cycles'!$C$20*'Lease Cycles'!$AU$20/12,'Lease Cycles'!$C$20*INDEX('Lease Cycles'!$CB$20:$CH$20,1,AV214)*(1+INDEX('Lease Cycles'!$CI$20:$CO$20,1,AV214))^INT(INT(AV215/12)/INDEX('Lease Cycles'!$CP$20:$CV$20,1,AV214))/12)))),'Lease Cycles'!$C$20*INDEX('Lease Cycles'!$CB$20:$CH$20,1,AV214)*(1+INDEX('Lease Cycles'!$CI$20:$CO$20,1,AV214))^INT(INT(AV215/12)/INDEX('Lease Cycles'!$CP$20:$CV$20,1,AV214))/12))),IF('Lease Cycles'!$N$20=1,'Lease Cycles'!$C$20*'Lease Cycles'!$E$20*INDEX('Lease Cycles'!$HE$20:$HK$20,1,AV214)*(1+INDEX('Lease Cycles'!$GQ$20:$GW$20,1,AV214))^INT(INT((AV$6-INDEX('Lease Cycles'!$GJ$20:$GP$20,1,AV214))/12)/INDEX('Lease Cycles'!$GX$20:$HD$20,1,AV214))/12,0)))</f>
        <v>0</v>
      </c>
      <c r="AW217" s="28">
        <f>IF(AW214=0,IF('Lease Cycles'!$F$20&gt;0,'Lease Cycles'!$C$20*'Lease Cycles'!$E$20/12,0),IF(AW216=1,IF('Lease Cycles'!$AT$20&gt;=9999,'Lease Cycles'!$C$20*INDEX('Lease Cycles'!$CB$20:$CH$20,1,AW214)*(1+INDEX('Lease Cycles'!$CI$20:$CO$20,1,AW214))^INT(INT(AW215/12)/INDEX('Lease Cycles'!$CP$20:$CV$20,1,AW214))/12,IF(AW214=1,IF(AW215&gt;=INDEX('Lease Cycles'!$DK$20:$DQ$20,1,AW214),IF(AW$6&gt;='Lease Cycles'!$AZ$20,'Lease Cycles'!$C$20*'Lease Cycles'!$BA$20/12,IF(AW$6&gt;='Lease Cycles'!$AX$20,'Lease Cycles'!$C$20*'Lease Cycles'!$AY$20/12,IF(AW$6&gt;='Lease Cycles'!$AV$20,'Lease Cycles'!$C$20*'Lease Cycles'!$AW$20/12,IF(AW$6&gt;='Lease Cycles'!$AT$20,'Lease Cycles'!$C$20*'Lease Cycles'!$AU$20/12,'Lease Cycles'!$C$20*INDEX('Lease Cycles'!$CB$20:$CH$20,1,AW214)*(1+INDEX('Lease Cycles'!$CI$20:$CO$20,1,AW214))^INT(INT(AW215/12)/INDEX('Lease Cycles'!$CP$20:$CV$20,1,AW214))/12)))),'Lease Cycles'!$C$20*INDEX('Lease Cycles'!$CB$20:$CH$20,1,AW214)*(1+INDEX('Lease Cycles'!$CI$20:$CO$20,1,AW214))^INT(INT(AW215/12)/INDEX('Lease Cycles'!$CP$20:$CV$20,1,AW214))/12),IF(INDEX('Lease Cycles'!$EF$20:$EL$20,1,AW214)=1,IF(AND('Lease Cycles'!$AZ$20&gt;=INDEX('Lease Cycles'!$BG$20:$BM$20,1,AW214),'Lease Cycles'!$AZ$20&lt;=AW$6),'Lease Cycles'!$C$20*'Lease Cycles'!$BA$20/12,IF(AND('Lease Cycles'!$AX$20&gt;=INDEX('Lease Cycles'!$BG$20:$BM$20,1,AW214),'Lease Cycles'!$AX$20&lt;=AW$6),'Lease Cycles'!$C$20*'Lease Cycles'!$AY$20/12,IF(AND('Lease Cycles'!$AV$20&gt;=INDEX('Lease Cycles'!$BG$20:$BM$20,1,AW214),'Lease Cycles'!$AV$20&lt;=AW$6),'Lease Cycles'!$C$20*'Lease Cycles'!$AW$20/12,IF(AND('Lease Cycles'!$AT$20&gt;=INDEX('Lease Cycles'!$BG$20:$BM$20,1,AW214),'Lease Cycles'!$AT$20&lt;=AW$6),'Lease Cycles'!$C$20*'Lease Cycles'!$AU$20/12,'Lease Cycles'!$C$20*INDEX('Lease Cycles'!$CB$20:$CH$20,1,AW214)*(1+INDEX('Lease Cycles'!$CI$20:$CO$20,1,AW214))^INT(INT(AW215/12)/INDEX('Lease Cycles'!$CP$20:$CV$20,1,AW214))/12)))),'Lease Cycles'!$C$20*INDEX('Lease Cycles'!$CB$20:$CH$20,1,AW214)*(1+INDEX('Lease Cycles'!$CI$20:$CO$20,1,AW214))^INT(INT(AW215/12)/INDEX('Lease Cycles'!$CP$20:$CV$20,1,AW214))/12))),IF('Lease Cycles'!$N$20=1,'Lease Cycles'!$C$20*'Lease Cycles'!$E$20*INDEX('Lease Cycles'!$HE$20:$HK$20,1,AW214)*(1+INDEX('Lease Cycles'!$GQ$20:$GW$20,1,AW214))^INT(INT((AW$6-INDEX('Lease Cycles'!$GJ$20:$GP$20,1,AW214))/12)/INDEX('Lease Cycles'!$GX$20:$HD$20,1,AW214))/12,0)))</f>
        <v>0</v>
      </c>
      <c r="AX217" s="28">
        <f>IF(AX214=0,IF('Lease Cycles'!$F$20&gt;0,'Lease Cycles'!$C$20*'Lease Cycles'!$E$20/12,0),IF(AX216=1,IF('Lease Cycles'!$AT$20&gt;=9999,'Lease Cycles'!$C$20*INDEX('Lease Cycles'!$CB$20:$CH$20,1,AX214)*(1+INDEX('Lease Cycles'!$CI$20:$CO$20,1,AX214))^INT(INT(AX215/12)/INDEX('Lease Cycles'!$CP$20:$CV$20,1,AX214))/12,IF(AX214=1,IF(AX215&gt;=INDEX('Lease Cycles'!$DK$20:$DQ$20,1,AX214),IF(AX$6&gt;='Lease Cycles'!$AZ$20,'Lease Cycles'!$C$20*'Lease Cycles'!$BA$20/12,IF(AX$6&gt;='Lease Cycles'!$AX$20,'Lease Cycles'!$C$20*'Lease Cycles'!$AY$20/12,IF(AX$6&gt;='Lease Cycles'!$AV$20,'Lease Cycles'!$C$20*'Lease Cycles'!$AW$20/12,IF(AX$6&gt;='Lease Cycles'!$AT$20,'Lease Cycles'!$C$20*'Lease Cycles'!$AU$20/12,'Lease Cycles'!$C$20*INDEX('Lease Cycles'!$CB$20:$CH$20,1,AX214)*(1+INDEX('Lease Cycles'!$CI$20:$CO$20,1,AX214))^INT(INT(AX215/12)/INDEX('Lease Cycles'!$CP$20:$CV$20,1,AX214))/12)))),'Lease Cycles'!$C$20*INDEX('Lease Cycles'!$CB$20:$CH$20,1,AX214)*(1+INDEX('Lease Cycles'!$CI$20:$CO$20,1,AX214))^INT(INT(AX215/12)/INDEX('Lease Cycles'!$CP$20:$CV$20,1,AX214))/12),IF(INDEX('Lease Cycles'!$EF$20:$EL$20,1,AX214)=1,IF(AND('Lease Cycles'!$AZ$20&gt;=INDEX('Lease Cycles'!$BG$20:$BM$20,1,AX214),'Lease Cycles'!$AZ$20&lt;=AX$6),'Lease Cycles'!$C$20*'Lease Cycles'!$BA$20/12,IF(AND('Lease Cycles'!$AX$20&gt;=INDEX('Lease Cycles'!$BG$20:$BM$20,1,AX214),'Lease Cycles'!$AX$20&lt;=AX$6),'Lease Cycles'!$C$20*'Lease Cycles'!$AY$20/12,IF(AND('Lease Cycles'!$AV$20&gt;=INDEX('Lease Cycles'!$BG$20:$BM$20,1,AX214),'Lease Cycles'!$AV$20&lt;=AX$6),'Lease Cycles'!$C$20*'Lease Cycles'!$AW$20/12,IF(AND('Lease Cycles'!$AT$20&gt;=INDEX('Lease Cycles'!$BG$20:$BM$20,1,AX214),'Lease Cycles'!$AT$20&lt;=AX$6),'Lease Cycles'!$C$20*'Lease Cycles'!$AU$20/12,'Lease Cycles'!$C$20*INDEX('Lease Cycles'!$CB$20:$CH$20,1,AX214)*(1+INDEX('Lease Cycles'!$CI$20:$CO$20,1,AX214))^INT(INT(AX215/12)/INDEX('Lease Cycles'!$CP$20:$CV$20,1,AX214))/12)))),'Lease Cycles'!$C$20*INDEX('Lease Cycles'!$CB$20:$CH$20,1,AX214)*(1+INDEX('Lease Cycles'!$CI$20:$CO$20,1,AX214))^INT(INT(AX215/12)/INDEX('Lease Cycles'!$CP$20:$CV$20,1,AX214))/12))),IF('Lease Cycles'!$N$20=1,'Lease Cycles'!$C$20*'Lease Cycles'!$E$20*INDEX('Lease Cycles'!$HE$20:$HK$20,1,AX214)*(1+INDEX('Lease Cycles'!$GQ$20:$GW$20,1,AX214))^INT(INT((AX$6-INDEX('Lease Cycles'!$GJ$20:$GP$20,1,AX214))/12)/INDEX('Lease Cycles'!$GX$20:$HD$20,1,AX214))/12,0)))</f>
        <v>0</v>
      </c>
      <c r="AY217" s="28">
        <f>IF(AY214=0,IF('Lease Cycles'!$F$20&gt;0,'Lease Cycles'!$C$20*'Lease Cycles'!$E$20/12,0),IF(AY216=1,IF('Lease Cycles'!$AT$20&gt;=9999,'Lease Cycles'!$C$20*INDEX('Lease Cycles'!$CB$20:$CH$20,1,AY214)*(1+INDEX('Lease Cycles'!$CI$20:$CO$20,1,AY214))^INT(INT(AY215/12)/INDEX('Lease Cycles'!$CP$20:$CV$20,1,AY214))/12,IF(AY214=1,IF(AY215&gt;=INDEX('Lease Cycles'!$DK$20:$DQ$20,1,AY214),IF(AY$6&gt;='Lease Cycles'!$AZ$20,'Lease Cycles'!$C$20*'Lease Cycles'!$BA$20/12,IF(AY$6&gt;='Lease Cycles'!$AX$20,'Lease Cycles'!$C$20*'Lease Cycles'!$AY$20/12,IF(AY$6&gt;='Lease Cycles'!$AV$20,'Lease Cycles'!$C$20*'Lease Cycles'!$AW$20/12,IF(AY$6&gt;='Lease Cycles'!$AT$20,'Lease Cycles'!$C$20*'Lease Cycles'!$AU$20/12,'Lease Cycles'!$C$20*INDEX('Lease Cycles'!$CB$20:$CH$20,1,AY214)*(1+INDEX('Lease Cycles'!$CI$20:$CO$20,1,AY214))^INT(INT(AY215/12)/INDEX('Lease Cycles'!$CP$20:$CV$20,1,AY214))/12)))),'Lease Cycles'!$C$20*INDEX('Lease Cycles'!$CB$20:$CH$20,1,AY214)*(1+INDEX('Lease Cycles'!$CI$20:$CO$20,1,AY214))^INT(INT(AY215/12)/INDEX('Lease Cycles'!$CP$20:$CV$20,1,AY214))/12),IF(INDEX('Lease Cycles'!$EF$20:$EL$20,1,AY214)=1,IF(AND('Lease Cycles'!$AZ$20&gt;=INDEX('Lease Cycles'!$BG$20:$BM$20,1,AY214),'Lease Cycles'!$AZ$20&lt;=AY$6),'Lease Cycles'!$C$20*'Lease Cycles'!$BA$20/12,IF(AND('Lease Cycles'!$AX$20&gt;=INDEX('Lease Cycles'!$BG$20:$BM$20,1,AY214),'Lease Cycles'!$AX$20&lt;=AY$6),'Lease Cycles'!$C$20*'Lease Cycles'!$AY$20/12,IF(AND('Lease Cycles'!$AV$20&gt;=INDEX('Lease Cycles'!$BG$20:$BM$20,1,AY214),'Lease Cycles'!$AV$20&lt;=AY$6),'Lease Cycles'!$C$20*'Lease Cycles'!$AW$20/12,IF(AND('Lease Cycles'!$AT$20&gt;=INDEX('Lease Cycles'!$BG$20:$BM$20,1,AY214),'Lease Cycles'!$AT$20&lt;=AY$6),'Lease Cycles'!$C$20*'Lease Cycles'!$AU$20/12,'Lease Cycles'!$C$20*INDEX('Lease Cycles'!$CB$20:$CH$20,1,AY214)*(1+INDEX('Lease Cycles'!$CI$20:$CO$20,1,AY214))^INT(INT(AY215/12)/INDEX('Lease Cycles'!$CP$20:$CV$20,1,AY214))/12)))),'Lease Cycles'!$C$20*INDEX('Lease Cycles'!$CB$20:$CH$20,1,AY214)*(1+INDEX('Lease Cycles'!$CI$20:$CO$20,1,AY214))^INT(INT(AY215/12)/INDEX('Lease Cycles'!$CP$20:$CV$20,1,AY214))/12))),IF('Lease Cycles'!$N$20=1,'Lease Cycles'!$C$20*'Lease Cycles'!$E$20*INDEX('Lease Cycles'!$HE$20:$HK$20,1,AY214)*(1+INDEX('Lease Cycles'!$GQ$20:$GW$20,1,AY214))^INT(INT((AY$6-INDEX('Lease Cycles'!$GJ$20:$GP$20,1,AY214))/12)/INDEX('Lease Cycles'!$GX$20:$HD$20,1,AY214))/12,0)))</f>
        <v>0</v>
      </c>
      <c r="AZ217" s="28">
        <f>IF(AZ214=0,IF('Lease Cycles'!$F$20&gt;0,'Lease Cycles'!$C$20*'Lease Cycles'!$E$20/12,0),IF(AZ216=1,IF('Lease Cycles'!$AT$20&gt;=9999,'Lease Cycles'!$C$20*INDEX('Lease Cycles'!$CB$20:$CH$20,1,AZ214)*(1+INDEX('Lease Cycles'!$CI$20:$CO$20,1,AZ214))^INT(INT(AZ215/12)/INDEX('Lease Cycles'!$CP$20:$CV$20,1,AZ214))/12,IF(AZ214=1,IF(AZ215&gt;=INDEX('Lease Cycles'!$DK$20:$DQ$20,1,AZ214),IF(AZ$6&gt;='Lease Cycles'!$AZ$20,'Lease Cycles'!$C$20*'Lease Cycles'!$BA$20/12,IF(AZ$6&gt;='Lease Cycles'!$AX$20,'Lease Cycles'!$C$20*'Lease Cycles'!$AY$20/12,IF(AZ$6&gt;='Lease Cycles'!$AV$20,'Lease Cycles'!$C$20*'Lease Cycles'!$AW$20/12,IF(AZ$6&gt;='Lease Cycles'!$AT$20,'Lease Cycles'!$C$20*'Lease Cycles'!$AU$20/12,'Lease Cycles'!$C$20*INDEX('Lease Cycles'!$CB$20:$CH$20,1,AZ214)*(1+INDEX('Lease Cycles'!$CI$20:$CO$20,1,AZ214))^INT(INT(AZ215/12)/INDEX('Lease Cycles'!$CP$20:$CV$20,1,AZ214))/12)))),'Lease Cycles'!$C$20*INDEX('Lease Cycles'!$CB$20:$CH$20,1,AZ214)*(1+INDEX('Lease Cycles'!$CI$20:$CO$20,1,AZ214))^INT(INT(AZ215/12)/INDEX('Lease Cycles'!$CP$20:$CV$20,1,AZ214))/12),IF(INDEX('Lease Cycles'!$EF$20:$EL$20,1,AZ214)=1,IF(AND('Lease Cycles'!$AZ$20&gt;=INDEX('Lease Cycles'!$BG$20:$BM$20,1,AZ214),'Lease Cycles'!$AZ$20&lt;=AZ$6),'Lease Cycles'!$C$20*'Lease Cycles'!$BA$20/12,IF(AND('Lease Cycles'!$AX$20&gt;=INDEX('Lease Cycles'!$BG$20:$BM$20,1,AZ214),'Lease Cycles'!$AX$20&lt;=AZ$6),'Lease Cycles'!$C$20*'Lease Cycles'!$AY$20/12,IF(AND('Lease Cycles'!$AV$20&gt;=INDEX('Lease Cycles'!$BG$20:$BM$20,1,AZ214),'Lease Cycles'!$AV$20&lt;=AZ$6),'Lease Cycles'!$C$20*'Lease Cycles'!$AW$20/12,IF(AND('Lease Cycles'!$AT$20&gt;=INDEX('Lease Cycles'!$BG$20:$BM$20,1,AZ214),'Lease Cycles'!$AT$20&lt;=AZ$6),'Lease Cycles'!$C$20*'Lease Cycles'!$AU$20/12,'Lease Cycles'!$C$20*INDEX('Lease Cycles'!$CB$20:$CH$20,1,AZ214)*(1+INDEX('Lease Cycles'!$CI$20:$CO$20,1,AZ214))^INT(INT(AZ215/12)/INDEX('Lease Cycles'!$CP$20:$CV$20,1,AZ214))/12)))),'Lease Cycles'!$C$20*INDEX('Lease Cycles'!$CB$20:$CH$20,1,AZ214)*(1+INDEX('Lease Cycles'!$CI$20:$CO$20,1,AZ214))^INT(INT(AZ215/12)/INDEX('Lease Cycles'!$CP$20:$CV$20,1,AZ214))/12))),IF('Lease Cycles'!$N$20=1,'Lease Cycles'!$C$20*'Lease Cycles'!$E$20*INDEX('Lease Cycles'!$HE$20:$HK$20,1,AZ214)*(1+INDEX('Lease Cycles'!$GQ$20:$GW$20,1,AZ214))^INT(INT((AZ$6-INDEX('Lease Cycles'!$GJ$20:$GP$20,1,AZ214))/12)/INDEX('Lease Cycles'!$GX$20:$HD$20,1,AZ214))/12,0)))</f>
        <v>0</v>
      </c>
      <c r="BA217" s="28">
        <f>IF(BA214=0,IF('Lease Cycles'!$F$20&gt;0,'Lease Cycles'!$C$20*'Lease Cycles'!$E$20/12,0),IF(BA216=1,IF('Lease Cycles'!$AT$20&gt;=9999,'Lease Cycles'!$C$20*INDEX('Lease Cycles'!$CB$20:$CH$20,1,BA214)*(1+INDEX('Lease Cycles'!$CI$20:$CO$20,1,BA214))^INT(INT(BA215/12)/INDEX('Lease Cycles'!$CP$20:$CV$20,1,BA214))/12,IF(BA214=1,IF(BA215&gt;=INDEX('Lease Cycles'!$DK$20:$DQ$20,1,BA214),IF(BA$6&gt;='Lease Cycles'!$AZ$20,'Lease Cycles'!$C$20*'Lease Cycles'!$BA$20/12,IF(BA$6&gt;='Lease Cycles'!$AX$20,'Lease Cycles'!$C$20*'Lease Cycles'!$AY$20/12,IF(BA$6&gt;='Lease Cycles'!$AV$20,'Lease Cycles'!$C$20*'Lease Cycles'!$AW$20/12,IF(BA$6&gt;='Lease Cycles'!$AT$20,'Lease Cycles'!$C$20*'Lease Cycles'!$AU$20/12,'Lease Cycles'!$C$20*INDEX('Lease Cycles'!$CB$20:$CH$20,1,BA214)*(1+INDEX('Lease Cycles'!$CI$20:$CO$20,1,BA214))^INT(INT(BA215/12)/INDEX('Lease Cycles'!$CP$20:$CV$20,1,BA214))/12)))),'Lease Cycles'!$C$20*INDEX('Lease Cycles'!$CB$20:$CH$20,1,BA214)*(1+INDEX('Lease Cycles'!$CI$20:$CO$20,1,BA214))^INT(INT(BA215/12)/INDEX('Lease Cycles'!$CP$20:$CV$20,1,BA214))/12),IF(INDEX('Lease Cycles'!$EF$20:$EL$20,1,BA214)=1,IF(AND('Lease Cycles'!$AZ$20&gt;=INDEX('Lease Cycles'!$BG$20:$BM$20,1,BA214),'Lease Cycles'!$AZ$20&lt;=BA$6),'Lease Cycles'!$C$20*'Lease Cycles'!$BA$20/12,IF(AND('Lease Cycles'!$AX$20&gt;=INDEX('Lease Cycles'!$BG$20:$BM$20,1,BA214),'Lease Cycles'!$AX$20&lt;=BA$6),'Lease Cycles'!$C$20*'Lease Cycles'!$AY$20/12,IF(AND('Lease Cycles'!$AV$20&gt;=INDEX('Lease Cycles'!$BG$20:$BM$20,1,BA214),'Lease Cycles'!$AV$20&lt;=BA$6),'Lease Cycles'!$C$20*'Lease Cycles'!$AW$20/12,IF(AND('Lease Cycles'!$AT$20&gt;=INDEX('Lease Cycles'!$BG$20:$BM$20,1,BA214),'Lease Cycles'!$AT$20&lt;=BA$6),'Lease Cycles'!$C$20*'Lease Cycles'!$AU$20/12,'Lease Cycles'!$C$20*INDEX('Lease Cycles'!$CB$20:$CH$20,1,BA214)*(1+INDEX('Lease Cycles'!$CI$20:$CO$20,1,BA214))^INT(INT(BA215/12)/INDEX('Lease Cycles'!$CP$20:$CV$20,1,BA214))/12)))),'Lease Cycles'!$C$20*INDEX('Lease Cycles'!$CB$20:$CH$20,1,BA214)*(1+INDEX('Lease Cycles'!$CI$20:$CO$20,1,BA214))^INT(INT(BA215/12)/INDEX('Lease Cycles'!$CP$20:$CV$20,1,BA214))/12))),IF('Lease Cycles'!$N$20=1,'Lease Cycles'!$C$20*'Lease Cycles'!$E$20*INDEX('Lease Cycles'!$HE$20:$HK$20,1,BA214)*(1+INDEX('Lease Cycles'!$GQ$20:$GW$20,1,BA214))^INT(INT((BA$6-INDEX('Lease Cycles'!$GJ$20:$GP$20,1,BA214))/12)/INDEX('Lease Cycles'!$GX$20:$HD$20,1,BA214))/12,0)))</f>
        <v>0</v>
      </c>
      <c r="BB217" s="28">
        <f>IF(BB214=0,IF('Lease Cycles'!$F$20&gt;0,'Lease Cycles'!$C$20*'Lease Cycles'!$E$20/12,0),IF(BB216=1,IF('Lease Cycles'!$AT$20&gt;=9999,'Lease Cycles'!$C$20*INDEX('Lease Cycles'!$CB$20:$CH$20,1,BB214)*(1+INDEX('Lease Cycles'!$CI$20:$CO$20,1,BB214))^INT(INT(BB215/12)/INDEX('Lease Cycles'!$CP$20:$CV$20,1,BB214))/12,IF(BB214=1,IF(BB215&gt;=INDEX('Lease Cycles'!$DK$20:$DQ$20,1,BB214),IF(BB$6&gt;='Lease Cycles'!$AZ$20,'Lease Cycles'!$C$20*'Lease Cycles'!$BA$20/12,IF(BB$6&gt;='Lease Cycles'!$AX$20,'Lease Cycles'!$C$20*'Lease Cycles'!$AY$20/12,IF(BB$6&gt;='Lease Cycles'!$AV$20,'Lease Cycles'!$C$20*'Lease Cycles'!$AW$20/12,IF(BB$6&gt;='Lease Cycles'!$AT$20,'Lease Cycles'!$C$20*'Lease Cycles'!$AU$20/12,'Lease Cycles'!$C$20*INDEX('Lease Cycles'!$CB$20:$CH$20,1,BB214)*(1+INDEX('Lease Cycles'!$CI$20:$CO$20,1,BB214))^INT(INT(BB215/12)/INDEX('Lease Cycles'!$CP$20:$CV$20,1,BB214))/12)))),'Lease Cycles'!$C$20*INDEX('Lease Cycles'!$CB$20:$CH$20,1,BB214)*(1+INDEX('Lease Cycles'!$CI$20:$CO$20,1,BB214))^INT(INT(BB215/12)/INDEX('Lease Cycles'!$CP$20:$CV$20,1,BB214))/12),IF(INDEX('Lease Cycles'!$EF$20:$EL$20,1,BB214)=1,IF(AND('Lease Cycles'!$AZ$20&gt;=INDEX('Lease Cycles'!$BG$20:$BM$20,1,BB214),'Lease Cycles'!$AZ$20&lt;=BB$6),'Lease Cycles'!$C$20*'Lease Cycles'!$BA$20/12,IF(AND('Lease Cycles'!$AX$20&gt;=INDEX('Lease Cycles'!$BG$20:$BM$20,1,BB214),'Lease Cycles'!$AX$20&lt;=BB$6),'Lease Cycles'!$C$20*'Lease Cycles'!$AY$20/12,IF(AND('Lease Cycles'!$AV$20&gt;=INDEX('Lease Cycles'!$BG$20:$BM$20,1,BB214),'Lease Cycles'!$AV$20&lt;=BB$6),'Lease Cycles'!$C$20*'Lease Cycles'!$AW$20/12,IF(AND('Lease Cycles'!$AT$20&gt;=INDEX('Lease Cycles'!$BG$20:$BM$20,1,BB214),'Lease Cycles'!$AT$20&lt;=BB$6),'Lease Cycles'!$C$20*'Lease Cycles'!$AU$20/12,'Lease Cycles'!$C$20*INDEX('Lease Cycles'!$CB$20:$CH$20,1,BB214)*(1+INDEX('Lease Cycles'!$CI$20:$CO$20,1,BB214))^INT(INT(BB215/12)/INDEX('Lease Cycles'!$CP$20:$CV$20,1,BB214))/12)))),'Lease Cycles'!$C$20*INDEX('Lease Cycles'!$CB$20:$CH$20,1,BB214)*(1+INDEX('Lease Cycles'!$CI$20:$CO$20,1,BB214))^INT(INT(BB215/12)/INDEX('Lease Cycles'!$CP$20:$CV$20,1,BB214))/12))),IF('Lease Cycles'!$N$20=1,'Lease Cycles'!$C$20*'Lease Cycles'!$E$20*INDEX('Lease Cycles'!$HE$20:$HK$20,1,BB214)*(1+INDEX('Lease Cycles'!$GQ$20:$GW$20,1,BB214))^INT(INT((BB$6-INDEX('Lease Cycles'!$GJ$20:$GP$20,1,BB214))/12)/INDEX('Lease Cycles'!$GX$20:$HD$20,1,BB214))/12,0)))</f>
        <v>0</v>
      </c>
      <c r="BC217" s="28">
        <f>IF(BC214=0,IF('Lease Cycles'!$F$20&gt;0,'Lease Cycles'!$C$20*'Lease Cycles'!$E$20/12,0),IF(BC216=1,IF('Lease Cycles'!$AT$20&gt;=9999,'Lease Cycles'!$C$20*INDEX('Lease Cycles'!$CB$20:$CH$20,1,BC214)*(1+INDEX('Lease Cycles'!$CI$20:$CO$20,1,BC214))^INT(INT(BC215/12)/INDEX('Lease Cycles'!$CP$20:$CV$20,1,BC214))/12,IF(BC214=1,IF(BC215&gt;=INDEX('Lease Cycles'!$DK$20:$DQ$20,1,BC214),IF(BC$6&gt;='Lease Cycles'!$AZ$20,'Lease Cycles'!$C$20*'Lease Cycles'!$BA$20/12,IF(BC$6&gt;='Lease Cycles'!$AX$20,'Lease Cycles'!$C$20*'Lease Cycles'!$AY$20/12,IF(BC$6&gt;='Lease Cycles'!$AV$20,'Lease Cycles'!$C$20*'Lease Cycles'!$AW$20/12,IF(BC$6&gt;='Lease Cycles'!$AT$20,'Lease Cycles'!$C$20*'Lease Cycles'!$AU$20/12,'Lease Cycles'!$C$20*INDEX('Lease Cycles'!$CB$20:$CH$20,1,BC214)*(1+INDEX('Lease Cycles'!$CI$20:$CO$20,1,BC214))^INT(INT(BC215/12)/INDEX('Lease Cycles'!$CP$20:$CV$20,1,BC214))/12)))),'Lease Cycles'!$C$20*INDEX('Lease Cycles'!$CB$20:$CH$20,1,BC214)*(1+INDEX('Lease Cycles'!$CI$20:$CO$20,1,BC214))^INT(INT(BC215/12)/INDEX('Lease Cycles'!$CP$20:$CV$20,1,BC214))/12),IF(INDEX('Lease Cycles'!$EF$20:$EL$20,1,BC214)=1,IF(AND('Lease Cycles'!$AZ$20&gt;=INDEX('Lease Cycles'!$BG$20:$BM$20,1,BC214),'Lease Cycles'!$AZ$20&lt;=BC$6),'Lease Cycles'!$C$20*'Lease Cycles'!$BA$20/12,IF(AND('Lease Cycles'!$AX$20&gt;=INDEX('Lease Cycles'!$BG$20:$BM$20,1,BC214),'Lease Cycles'!$AX$20&lt;=BC$6),'Lease Cycles'!$C$20*'Lease Cycles'!$AY$20/12,IF(AND('Lease Cycles'!$AV$20&gt;=INDEX('Lease Cycles'!$BG$20:$BM$20,1,BC214),'Lease Cycles'!$AV$20&lt;=BC$6),'Lease Cycles'!$C$20*'Lease Cycles'!$AW$20/12,IF(AND('Lease Cycles'!$AT$20&gt;=INDEX('Lease Cycles'!$BG$20:$BM$20,1,BC214),'Lease Cycles'!$AT$20&lt;=BC$6),'Lease Cycles'!$C$20*'Lease Cycles'!$AU$20/12,'Lease Cycles'!$C$20*INDEX('Lease Cycles'!$CB$20:$CH$20,1,BC214)*(1+INDEX('Lease Cycles'!$CI$20:$CO$20,1,BC214))^INT(INT(BC215/12)/INDEX('Lease Cycles'!$CP$20:$CV$20,1,BC214))/12)))),'Lease Cycles'!$C$20*INDEX('Lease Cycles'!$CB$20:$CH$20,1,BC214)*(1+INDEX('Lease Cycles'!$CI$20:$CO$20,1,BC214))^INT(INT(BC215/12)/INDEX('Lease Cycles'!$CP$20:$CV$20,1,BC214))/12))),IF('Lease Cycles'!$N$20=1,'Lease Cycles'!$C$20*'Lease Cycles'!$E$20*INDEX('Lease Cycles'!$HE$20:$HK$20,1,BC214)*(1+INDEX('Lease Cycles'!$GQ$20:$GW$20,1,BC214))^INT(INT((BC$6-INDEX('Lease Cycles'!$GJ$20:$GP$20,1,BC214))/12)/INDEX('Lease Cycles'!$GX$20:$HD$20,1,BC214))/12,0)))</f>
        <v>0</v>
      </c>
      <c r="BD217" s="28">
        <f>IF(BD214=0,IF('Lease Cycles'!$F$20&gt;0,'Lease Cycles'!$C$20*'Lease Cycles'!$E$20/12,0),IF(BD216=1,IF('Lease Cycles'!$AT$20&gt;=9999,'Lease Cycles'!$C$20*INDEX('Lease Cycles'!$CB$20:$CH$20,1,BD214)*(1+INDEX('Lease Cycles'!$CI$20:$CO$20,1,BD214))^INT(INT(BD215/12)/INDEX('Lease Cycles'!$CP$20:$CV$20,1,BD214))/12,IF(BD214=1,IF(BD215&gt;=INDEX('Lease Cycles'!$DK$20:$DQ$20,1,BD214),IF(BD$6&gt;='Lease Cycles'!$AZ$20,'Lease Cycles'!$C$20*'Lease Cycles'!$BA$20/12,IF(BD$6&gt;='Lease Cycles'!$AX$20,'Lease Cycles'!$C$20*'Lease Cycles'!$AY$20/12,IF(BD$6&gt;='Lease Cycles'!$AV$20,'Lease Cycles'!$C$20*'Lease Cycles'!$AW$20/12,IF(BD$6&gt;='Lease Cycles'!$AT$20,'Lease Cycles'!$C$20*'Lease Cycles'!$AU$20/12,'Lease Cycles'!$C$20*INDEX('Lease Cycles'!$CB$20:$CH$20,1,BD214)*(1+INDEX('Lease Cycles'!$CI$20:$CO$20,1,BD214))^INT(INT(BD215/12)/INDEX('Lease Cycles'!$CP$20:$CV$20,1,BD214))/12)))),'Lease Cycles'!$C$20*INDEX('Lease Cycles'!$CB$20:$CH$20,1,BD214)*(1+INDEX('Lease Cycles'!$CI$20:$CO$20,1,BD214))^INT(INT(BD215/12)/INDEX('Lease Cycles'!$CP$20:$CV$20,1,BD214))/12),IF(INDEX('Lease Cycles'!$EF$20:$EL$20,1,BD214)=1,IF(AND('Lease Cycles'!$AZ$20&gt;=INDEX('Lease Cycles'!$BG$20:$BM$20,1,BD214),'Lease Cycles'!$AZ$20&lt;=BD$6),'Lease Cycles'!$C$20*'Lease Cycles'!$BA$20/12,IF(AND('Lease Cycles'!$AX$20&gt;=INDEX('Lease Cycles'!$BG$20:$BM$20,1,BD214),'Lease Cycles'!$AX$20&lt;=BD$6),'Lease Cycles'!$C$20*'Lease Cycles'!$AY$20/12,IF(AND('Lease Cycles'!$AV$20&gt;=INDEX('Lease Cycles'!$BG$20:$BM$20,1,BD214),'Lease Cycles'!$AV$20&lt;=BD$6),'Lease Cycles'!$C$20*'Lease Cycles'!$AW$20/12,IF(AND('Lease Cycles'!$AT$20&gt;=INDEX('Lease Cycles'!$BG$20:$BM$20,1,BD214),'Lease Cycles'!$AT$20&lt;=BD$6),'Lease Cycles'!$C$20*'Lease Cycles'!$AU$20/12,'Lease Cycles'!$C$20*INDEX('Lease Cycles'!$CB$20:$CH$20,1,BD214)*(1+INDEX('Lease Cycles'!$CI$20:$CO$20,1,BD214))^INT(INT(BD215/12)/INDEX('Lease Cycles'!$CP$20:$CV$20,1,BD214))/12)))),'Lease Cycles'!$C$20*INDEX('Lease Cycles'!$CB$20:$CH$20,1,BD214)*(1+INDEX('Lease Cycles'!$CI$20:$CO$20,1,BD214))^INT(INT(BD215/12)/INDEX('Lease Cycles'!$CP$20:$CV$20,1,BD214))/12))),IF('Lease Cycles'!$N$20=1,'Lease Cycles'!$C$20*'Lease Cycles'!$E$20*INDEX('Lease Cycles'!$HE$20:$HK$20,1,BD214)*(1+INDEX('Lease Cycles'!$GQ$20:$GW$20,1,BD214))^INT(INT((BD$6-INDEX('Lease Cycles'!$GJ$20:$GP$20,1,BD214))/12)/INDEX('Lease Cycles'!$GX$20:$HD$20,1,BD214))/12,0)))</f>
        <v>0</v>
      </c>
      <c r="BE217" s="28">
        <f>IF(BE214=0,IF('Lease Cycles'!$F$20&gt;0,'Lease Cycles'!$C$20*'Lease Cycles'!$E$20/12,0),IF(BE216=1,IF('Lease Cycles'!$AT$20&gt;=9999,'Lease Cycles'!$C$20*INDEX('Lease Cycles'!$CB$20:$CH$20,1,BE214)*(1+INDEX('Lease Cycles'!$CI$20:$CO$20,1,BE214))^INT(INT(BE215/12)/INDEX('Lease Cycles'!$CP$20:$CV$20,1,BE214))/12,IF(BE214=1,IF(BE215&gt;=INDEX('Lease Cycles'!$DK$20:$DQ$20,1,BE214),IF(BE$6&gt;='Lease Cycles'!$AZ$20,'Lease Cycles'!$C$20*'Lease Cycles'!$BA$20/12,IF(BE$6&gt;='Lease Cycles'!$AX$20,'Lease Cycles'!$C$20*'Lease Cycles'!$AY$20/12,IF(BE$6&gt;='Lease Cycles'!$AV$20,'Lease Cycles'!$C$20*'Lease Cycles'!$AW$20/12,IF(BE$6&gt;='Lease Cycles'!$AT$20,'Lease Cycles'!$C$20*'Lease Cycles'!$AU$20/12,'Lease Cycles'!$C$20*INDEX('Lease Cycles'!$CB$20:$CH$20,1,BE214)*(1+INDEX('Lease Cycles'!$CI$20:$CO$20,1,BE214))^INT(INT(BE215/12)/INDEX('Lease Cycles'!$CP$20:$CV$20,1,BE214))/12)))),'Lease Cycles'!$C$20*INDEX('Lease Cycles'!$CB$20:$CH$20,1,BE214)*(1+INDEX('Lease Cycles'!$CI$20:$CO$20,1,BE214))^INT(INT(BE215/12)/INDEX('Lease Cycles'!$CP$20:$CV$20,1,BE214))/12),IF(INDEX('Lease Cycles'!$EF$20:$EL$20,1,BE214)=1,IF(AND('Lease Cycles'!$AZ$20&gt;=INDEX('Lease Cycles'!$BG$20:$BM$20,1,BE214),'Lease Cycles'!$AZ$20&lt;=BE$6),'Lease Cycles'!$C$20*'Lease Cycles'!$BA$20/12,IF(AND('Lease Cycles'!$AX$20&gt;=INDEX('Lease Cycles'!$BG$20:$BM$20,1,BE214),'Lease Cycles'!$AX$20&lt;=BE$6),'Lease Cycles'!$C$20*'Lease Cycles'!$AY$20/12,IF(AND('Lease Cycles'!$AV$20&gt;=INDEX('Lease Cycles'!$BG$20:$BM$20,1,BE214),'Lease Cycles'!$AV$20&lt;=BE$6),'Lease Cycles'!$C$20*'Lease Cycles'!$AW$20/12,IF(AND('Lease Cycles'!$AT$20&gt;=INDEX('Lease Cycles'!$BG$20:$BM$20,1,BE214),'Lease Cycles'!$AT$20&lt;=BE$6),'Lease Cycles'!$C$20*'Lease Cycles'!$AU$20/12,'Lease Cycles'!$C$20*INDEX('Lease Cycles'!$CB$20:$CH$20,1,BE214)*(1+INDEX('Lease Cycles'!$CI$20:$CO$20,1,BE214))^INT(INT(BE215/12)/INDEX('Lease Cycles'!$CP$20:$CV$20,1,BE214))/12)))),'Lease Cycles'!$C$20*INDEX('Lease Cycles'!$CB$20:$CH$20,1,BE214)*(1+INDEX('Lease Cycles'!$CI$20:$CO$20,1,BE214))^INT(INT(BE215/12)/INDEX('Lease Cycles'!$CP$20:$CV$20,1,BE214))/12))),IF('Lease Cycles'!$N$20=1,'Lease Cycles'!$C$20*'Lease Cycles'!$E$20*INDEX('Lease Cycles'!$HE$20:$HK$20,1,BE214)*(1+INDEX('Lease Cycles'!$GQ$20:$GW$20,1,BE214))^INT(INT((BE$6-INDEX('Lease Cycles'!$GJ$20:$GP$20,1,BE214))/12)/INDEX('Lease Cycles'!$GX$20:$HD$20,1,BE214))/12,0)))</f>
        <v>0</v>
      </c>
      <c r="BF217" s="28">
        <f>IF(BF214=0,IF('Lease Cycles'!$F$20&gt;0,'Lease Cycles'!$C$20*'Lease Cycles'!$E$20/12,0),IF(BF216=1,IF('Lease Cycles'!$AT$20&gt;=9999,'Lease Cycles'!$C$20*INDEX('Lease Cycles'!$CB$20:$CH$20,1,BF214)*(1+INDEX('Lease Cycles'!$CI$20:$CO$20,1,BF214))^INT(INT(BF215/12)/INDEX('Lease Cycles'!$CP$20:$CV$20,1,BF214))/12,IF(BF214=1,IF(BF215&gt;=INDEX('Lease Cycles'!$DK$20:$DQ$20,1,BF214),IF(BF$6&gt;='Lease Cycles'!$AZ$20,'Lease Cycles'!$C$20*'Lease Cycles'!$BA$20/12,IF(BF$6&gt;='Lease Cycles'!$AX$20,'Lease Cycles'!$C$20*'Lease Cycles'!$AY$20/12,IF(BF$6&gt;='Lease Cycles'!$AV$20,'Lease Cycles'!$C$20*'Lease Cycles'!$AW$20/12,IF(BF$6&gt;='Lease Cycles'!$AT$20,'Lease Cycles'!$C$20*'Lease Cycles'!$AU$20/12,'Lease Cycles'!$C$20*INDEX('Lease Cycles'!$CB$20:$CH$20,1,BF214)*(1+INDEX('Lease Cycles'!$CI$20:$CO$20,1,BF214))^INT(INT(BF215/12)/INDEX('Lease Cycles'!$CP$20:$CV$20,1,BF214))/12)))),'Lease Cycles'!$C$20*INDEX('Lease Cycles'!$CB$20:$CH$20,1,BF214)*(1+INDEX('Lease Cycles'!$CI$20:$CO$20,1,BF214))^INT(INT(BF215/12)/INDEX('Lease Cycles'!$CP$20:$CV$20,1,BF214))/12),IF(INDEX('Lease Cycles'!$EF$20:$EL$20,1,BF214)=1,IF(AND('Lease Cycles'!$AZ$20&gt;=INDEX('Lease Cycles'!$BG$20:$BM$20,1,BF214),'Lease Cycles'!$AZ$20&lt;=BF$6),'Lease Cycles'!$C$20*'Lease Cycles'!$BA$20/12,IF(AND('Lease Cycles'!$AX$20&gt;=INDEX('Lease Cycles'!$BG$20:$BM$20,1,BF214),'Lease Cycles'!$AX$20&lt;=BF$6),'Lease Cycles'!$C$20*'Lease Cycles'!$AY$20/12,IF(AND('Lease Cycles'!$AV$20&gt;=INDEX('Lease Cycles'!$BG$20:$BM$20,1,BF214),'Lease Cycles'!$AV$20&lt;=BF$6),'Lease Cycles'!$C$20*'Lease Cycles'!$AW$20/12,IF(AND('Lease Cycles'!$AT$20&gt;=INDEX('Lease Cycles'!$BG$20:$BM$20,1,BF214),'Lease Cycles'!$AT$20&lt;=BF$6),'Lease Cycles'!$C$20*'Lease Cycles'!$AU$20/12,'Lease Cycles'!$C$20*INDEX('Lease Cycles'!$CB$20:$CH$20,1,BF214)*(1+INDEX('Lease Cycles'!$CI$20:$CO$20,1,BF214))^INT(INT(BF215/12)/INDEX('Lease Cycles'!$CP$20:$CV$20,1,BF214))/12)))),'Lease Cycles'!$C$20*INDEX('Lease Cycles'!$CB$20:$CH$20,1,BF214)*(1+INDEX('Lease Cycles'!$CI$20:$CO$20,1,BF214))^INT(INT(BF215/12)/INDEX('Lease Cycles'!$CP$20:$CV$20,1,BF214))/12))),IF('Lease Cycles'!$N$20=1,'Lease Cycles'!$C$20*'Lease Cycles'!$E$20*INDEX('Lease Cycles'!$HE$20:$HK$20,1,BF214)*(1+INDEX('Lease Cycles'!$GQ$20:$GW$20,1,BF214))^INT(INT((BF$6-INDEX('Lease Cycles'!$GJ$20:$GP$20,1,BF214))/12)/INDEX('Lease Cycles'!$GX$20:$HD$20,1,BF214))/12,0)))</f>
        <v>0</v>
      </c>
      <c r="BG217" s="28">
        <f>IF(BG214=0,IF('Lease Cycles'!$F$20&gt;0,'Lease Cycles'!$C$20*'Lease Cycles'!$E$20/12,0),IF(BG216=1,IF('Lease Cycles'!$AT$20&gt;=9999,'Lease Cycles'!$C$20*INDEX('Lease Cycles'!$CB$20:$CH$20,1,BG214)*(1+INDEX('Lease Cycles'!$CI$20:$CO$20,1,BG214))^INT(INT(BG215/12)/INDEX('Lease Cycles'!$CP$20:$CV$20,1,BG214))/12,IF(BG214=1,IF(BG215&gt;=INDEX('Lease Cycles'!$DK$20:$DQ$20,1,BG214),IF(BG$6&gt;='Lease Cycles'!$AZ$20,'Lease Cycles'!$C$20*'Lease Cycles'!$BA$20/12,IF(BG$6&gt;='Lease Cycles'!$AX$20,'Lease Cycles'!$C$20*'Lease Cycles'!$AY$20/12,IF(BG$6&gt;='Lease Cycles'!$AV$20,'Lease Cycles'!$C$20*'Lease Cycles'!$AW$20/12,IF(BG$6&gt;='Lease Cycles'!$AT$20,'Lease Cycles'!$C$20*'Lease Cycles'!$AU$20/12,'Lease Cycles'!$C$20*INDEX('Lease Cycles'!$CB$20:$CH$20,1,BG214)*(1+INDEX('Lease Cycles'!$CI$20:$CO$20,1,BG214))^INT(INT(BG215/12)/INDEX('Lease Cycles'!$CP$20:$CV$20,1,BG214))/12)))),'Lease Cycles'!$C$20*INDEX('Lease Cycles'!$CB$20:$CH$20,1,BG214)*(1+INDEX('Lease Cycles'!$CI$20:$CO$20,1,BG214))^INT(INT(BG215/12)/INDEX('Lease Cycles'!$CP$20:$CV$20,1,BG214))/12),IF(INDEX('Lease Cycles'!$EF$20:$EL$20,1,BG214)=1,IF(AND('Lease Cycles'!$AZ$20&gt;=INDEX('Lease Cycles'!$BG$20:$BM$20,1,BG214),'Lease Cycles'!$AZ$20&lt;=BG$6),'Lease Cycles'!$C$20*'Lease Cycles'!$BA$20/12,IF(AND('Lease Cycles'!$AX$20&gt;=INDEX('Lease Cycles'!$BG$20:$BM$20,1,BG214),'Lease Cycles'!$AX$20&lt;=BG$6),'Lease Cycles'!$C$20*'Lease Cycles'!$AY$20/12,IF(AND('Lease Cycles'!$AV$20&gt;=INDEX('Lease Cycles'!$BG$20:$BM$20,1,BG214),'Lease Cycles'!$AV$20&lt;=BG$6),'Lease Cycles'!$C$20*'Lease Cycles'!$AW$20/12,IF(AND('Lease Cycles'!$AT$20&gt;=INDEX('Lease Cycles'!$BG$20:$BM$20,1,BG214),'Lease Cycles'!$AT$20&lt;=BG$6),'Lease Cycles'!$C$20*'Lease Cycles'!$AU$20/12,'Lease Cycles'!$C$20*INDEX('Lease Cycles'!$CB$20:$CH$20,1,BG214)*(1+INDEX('Lease Cycles'!$CI$20:$CO$20,1,BG214))^INT(INT(BG215/12)/INDEX('Lease Cycles'!$CP$20:$CV$20,1,BG214))/12)))),'Lease Cycles'!$C$20*INDEX('Lease Cycles'!$CB$20:$CH$20,1,BG214)*(1+INDEX('Lease Cycles'!$CI$20:$CO$20,1,BG214))^INT(INT(BG215/12)/INDEX('Lease Cycles'!$CP$20:$CV$20,1,BG214))/12))),IF('Lease Cycles'!$N$20=1,'Lease Cycles'!$C$20*'Lease Cycles'!$E$20*INDEX('Lease Cycles'!$HE$20:$HK$20,1,BG214)*(1+INDEX('Lease Cycles'!$GQ$20:$GW$20,1,BG214))^INT(INT((BG$6-INDEX('Lease Cycles'!$GJ$20:$GP$20,1,BG214))/12)/INDEX('Lease Cycles'!$GX$20:$HD$20,1,BG214))/12,0)))</f>
        <v>0</v>
      </c>
      <c r="BH217" s="28">
        <f>IF(BH214=0,IF('Lease Cycles'!$F$20&gt;0,'Lease Cycles'!$C$20*'Lease Cycles'!$E$20/12,0),IF(BH216=1,IF('Lease Cycles'!$AT$20&gt;=9999,'Lease Cycles'!$C$20*INDEX('Lease Cycles'!$CB$20:$CH$20,1,BH214)*(1+INDEX('Lease Cycles'!$CI$20:$CO$20,1,BH214))^INT(INT(BH215/12)/INDEX('Lease Cycles'!$CP$20:$CV$20,1,BH214))/12,IF(BH214=1,IF(BH215&gt;=INDEX('Lease Cycles'!$DK$20:$DQ$20,1,BH214),IF(BH$6&gt;='Lease Cycles'!$AZ$20,'Lease Cycles'!$C$20*'Lease Cycles'!$BA$20/12,IF(BH$6&gt;='Lease Cycles'!$AX$20,'Lease Cycles'!$C$20*'Lease Cycles'!$AY$20/12,IF(BH$6&gt;='Lease Cycles'!$AV$20,'Lease Cycles'!$C$20*'Lease Cycles'!$AW$20/12,IF(BH$6&gt;='Lease Cycles'!$AT$20,'Lease Cycles'!$C$20*'Lease Cycles'!$AU$20/12,'Lease Cycles'!$C$20*INDEX('Lease Cycles'!$CB$20:$CH$20,1,BH214)*(1+INDEX('Lease Cycles'!$CI$20:$CO$20,1,BH214))^INT(INT(BH215/12)/INDEX('Lease Cycles'!$CP$20:$CV$20,1,BH214))/12)))),'Lease Cycles'!$C$20*INDEX('Lease Cycles'!$CB$20:$CH$20,1,BH214)*(1+INDEX('Lease Cycles'!$CI$20:$CO$20,1,BH214))^INT(INT(BH215/12)/INDEX('Lease Cycles'!$CP$20:$CV$20,1,BH214))/12),IF(INDEX('Lease Cycles'!$EF$20:$EL$20,1,BH214)=1,IF(AND('Lease Cycles'!$AZ$20&gt;=INDEX('Lease Cycles'!$BG$20:$BM$20,1,BH214),'Lease Cycles'!$AZ$20&lt;=BH$6),'Lease Cycles'!$C$20*'Lease Cycles'!$BA$20/12,IF(AND('Lease Cycles'!$AX$20&gt;=INDEX('Lease Cycles'!$BG$20:$BM$20,1,BH214),'Lease Cycles'!$AX$20&lt;=BH$6),'Lease Cycles'!$C$20*'Lease Cycles'!$AY$20/12,IF(AND('Lease Cycles'!$AV$20&gt;=INDEX('Lease Cycles'!$BG$20:$BM$20,1,BH214),'Lease Cycles'!$AV$20&lt;=BH$6),'Lease Cycles'!$C$20*'Lease Cycles'!$AW$20/12,IF(AND('Lease Cycles'!$AT$20&gt;=INDEX('Lease Cycles'!$BG$20:$BM$20,1,BH214),'Lease Cycles'!$AT$20&lt;=BH$6),'Lease Cycles'!$C$20*'Lease Cycles'!$AU$20/12,'Lease Cycles'!$C$20*INDEX('Lease Cycles'!$CB$20:$CH$20,1,BH214)*(1+INDEX('Lease Cycles'!$CI$20:$CO$20,1,BH214))^INT(INT(BH215/12)/INDEX('Lease Cycles'!$CP$20:$CV$20,1,BH214))/12)))),'Lease Cycles'!$C$20*INDEX('Lease Cycles'!$CB$20:$CH$20,1,BH214)*(1+INDEX('Lease Cycles'!$CI$20:$CO$20,1,BH214))^INT(INT(BH215/12)/INDEX('Lease Cycles'!$CP$20:$CV$20,1,BH214))/12))),IF('Lease Cycles'!$N$20=1,'Lease Cycles'!$C$20*'Lease Cycles'!$E$20*INDEX('Lease Cycles'!$HE$20:$HK$20,1,BH214)*(1+INDEX('Lease Cycles'!$GQ$20:$GW$20,1,BH214))^INT(INT((BH$6-INDEX('Lease Cycles'!$GJ$20:$GP$20,1,BH214))/12)/INDEX('Lease Cycles'!$GX$20:$HD$20,1,BH214))/12,0)))</f>
        <v>0</v>
      </c>
      <c r="BI217" s="28">
        <f>IF(BI214=0,IF('Lease Cycles'!$F$20&gt;0,'Lease Cycles'!$C$20*'Lease Cycles'!$E$20/12,0),IF(BI216=1,IF('Lease Cycles'!$AT$20&gt;=9999,'Lease Cycles'!$C$20*INDEX('Lease Cycles'!$CB$20:$CH$20,1,BI214)*(1+INDEX('Lease Cycles'!$CI$20:$CO$20,1,BI214))^INT(INT(BI215/12)/INDEX('Lease Cycles'!$CP$20:$CV$20,1,BI214))/12,IF(BI214=1,IF(BI215&gt;=INDEX('Lease Cycles'!$DK$20:$DQ$20,1,BI214),IF(BI$6&gt;='Lease Cycles'!$AZ$20,'Lease Cycles'!$C$20*'Lease Cycles'!$BA$20/12,IF(BI$6&gt;='Lease Cycles'!$AX$20,'Lease Cycles'!$C$20*'Lease Cycles'!$AY$20/12,IF(BI$6&gt;='Lease Cycles'!$AV$20,'Lease Cycles'!$C$20*'Lease Cycles'!$AW$20/12,IF(BI$6&gt;='Lease Cycles'!$AT$20,'Lease Cycles'!$C$20*'Lease Cycles'!$AU$20/12,'Lease Cycles'!$C$20*INDEX('Lease Cycles'!$CB$20:$CH$20,1,BI214)*(1+INDEX('Lease Cycles'!$CI$20:$CO$20,1,BI214))^INT(INT(BI215/12)/INDEX('Lease Cycles'!$CP$20:$CV$20,1,BI214))/12)))),'Lease Cycles'!$C$20*INDEX('Lease Cycles'!$CB$20:$CH$20,1,BI214)*(1+INDEX('Lease Cycles'!$CI$20:$CO$20,1,BI214))^INT(INT(BI215/12)/INDEX('Lease Cycles'!$CP$20:$CV$20,1,BI214))/12),IF(INDEX('Lease Cycles'!$EF$20:$EL$20,1,BI214)=1,IF(AND('Lease Cycles'!$AZ$20&gt;=INDEX('Lease Cycles'!$BG$20:$BM$20,1,BI214),'Lease Cycles'!$AZ$20&lt;=BI$6),'Lease Cycles'!$C$20*'Lease Cycles'!$BA$20/12,IF(AND('Lease Cycles'!$AX$20&gt;=INDEX('Lease Cycles'!$BG$20:$BM$20,1,BI214),'Lease Cycles'!$AX$20&lt;=BI$6),'Lease Cycles'!$C$20*'Lease Cycles'!$AY$20/12,IF(AND('Lease Cycles'!$AV$20&gt;=INDEX('Lease Cycles'!$BG$20:$BM$20,1,BI214),'Lease Cycles'!$AV$20&lt;=BI$6),'Lease Cycles'!$C$20*'Lease Cycles'!$AW$20/12,IF(AND('Lease Cycles'!$AT$20&gt;=INDEX('Lease Cycles'!$BG$20:$BM$20,1,BI214),'Lease Cycles'!$AT$20&lt;=BI$6),'Lease Cycles'!$C$20*'Lease Cycles'!$AU$20/12,'Lease Cycles'!$C$20*INDEX('Lease Cycles'!$CB$20:$CH$20,1,BI214)*(1+INDEX('Lease Cycles'!$CI$20:$CO$20,1,BI214))^INT(INT(BI215/12)/INDEX('Lease Cycles'!$CP$20:$CV$20,1,BI214))/12)))),'Lease Cycles'!$C$20*INDEX('Lease Cycles'!$CB$20:$CH$20,1,BI214)*(1+INDEX('Lease Cycles'!$CI$20:$CO$20,1,BI214))^INT(INT(BI215/12)/INDEX('Lease Cycles'!$CP$20:$CV$20,1,BI214))/12))),IF('Lease Cycles'!$N$20=1,'Lease Cycles'!$C$20*'Lease Cycles'!$E$20*INDEX('Lease Cycles'!$HE$20:$HK$20,1,BI214)*(1+INDEX('Lease Cycles'!$GQ$20:$GW$20,1,BI214))^INT(INT((BI$6-INDEX('Lease Cycles'!$GJ$20:$GP$20,1,BI214))/12)/INDEX('Lease Cycles'!$GX$20:$HD$20,1,BI214))/12,0)))</f>
        <v>0</v>
      </c>
      <c r="BJ217" s="28">
        <f>IF(BJ214=0,IF('Lease Cycles'!$F$20&gt;0,'Lease Cycles'!$C$20*'Lease Cycles'!$E$20/12,0),IF(BJ216=1,IF('Lease Cycles'!$AT$20&gt;=9999,'Lease Cycles'!$C$20*INDEX('Lease Cycles'!$CB$20:$CH$20,1,BJ214)*(1+INDEX('Lease Cycles'!$CI$20:$CO$20,1,BJ214))^INT(INT(BJ215/12)/INDEX('Lease Cycles'!$CP$20:$CV$20,1,BJ214))/12,IF(BJ214=1,IF(BJ215&gt;=INDEX('Lease Cycles'!$DK$20:$DQ$20,1,BJ214),IF(BJ$6&gt;='Lease Cycles'!$AZ$20,'Lease Cycles'!$C$20*'Lease Cycles'!$BA$20/12,IF(BJ$6&gt;='Lease Cycles'!$AX$20,'Lease Cycles'!$C$20*'Lease Cycles'!$AY$20/12,IF(BJ$6&gt;='Lease Cycles'!$AV$20,'Lease Cycles'!$C$20*'Lease Cycles'!$AW$20/12,IF(BJ$6&gt;='Lease Cycles'!$AT$20,'Lease Cycles'!$C$20*'Lease Cycles'!$AU$20/12,'Lease Cycles'!$C$20*INDEX('Lease Cycles'!$CB$20:$CH$20,1,BJ214)*(1+INDEX('Lease Cycles'!$CI$20:$CO$20,1,BJ214))^INT(INT(BJ215/12)/INDEX('Lease Cycles'!$CP$20:$CV$20,1,BJ214))/12)))),'Lease Cycles'!$C$20*INDEX('Lease Cycles'!$CB$20:$CH$20,1,BJ214)*(1+INDEX('Lease Cycles'!$CI$20:$CO$20,1,BJ214))^INT(INT(BJ215/12)/INDEX('Lease Cycles'!$CP$20:$CV$20,1,BJ214))/12),IF(INDEX('Lease Cycles'!$EF$20:$EL$20,1,BJ214)=1,IF(AND('Lease Cycles'!$AZ$20&gt;=INDEX('Lease Cycles'!$BG$20:$BM$20,1,BJ214),'Lease Cycles'!$AZ$20&lt;=BJ$6),'Lease Cycles'!$C$20*'Lease Cycles'!$BA$20/12,IF(AND('Lease Cycles'!$AX$20&gt;=INDEX('Lease Cycles'!$BG$20:$BM$20,1,BJ214),'Lease Cycles'!$AX$20&lt;=BJ$6),'Lease Cycles'!$C$20*'Lease Cycles'!$AY$20/12,IF(AND('Lease Cycles'!$AV$20&gt;=INDEX('Lease Cycles'!$BG$20:$BM$20,1,BJ214),'Lease Cycles'!$AV$20&lt;=BJ$6),'Lease Cycles'!$C$20*'Lease Cycles'!$AW$20/12,IF(AND('Lease Cycles'!$AT$20&gt;=INDEX('Lease Cycles'!$BG$20:$BM$20,1,BJ214),'Lease Cycles'!$AT$20&lt;=BJ$6),'Lease Cycles'!$C$20*'Lease Cycles'!$AU$20/12,'Lease Cycles'!$C$20*INDEX('Lease Cycles'!$CB$20:$CH$20,1,BJ214)*(1+INDEX('Lease Cycles'!$CI$20:$CO$20,1,BJ214))^INT(INT(BJ215/12)/INDEX('Lease Cycles'!$CP$20:$CV$20,1,BJ214))/12)))),'Lease Cycles'!$C$20*INDEX('Lease Cycles'!$CB$20:$CH$20,1,BJ214)*(1+INDEX('Lease Cycles'!$CI$20:$CO$20,1,BJ214))^INT(INT(BJ215/12)/INDEX('Lease Cycles'!$CP$20:$CV$20,1,BJ214))/12))),IF('Lease Cycles'!$N$20=1,'Lease Cycles'!$C$20*'Lease Cycles'!$E$20*INDEX('Lease Cycles'!$HE$20:$HK$20,1,BJ214)*(1+INDEX('Lease Cycles'!$GQ$20:$GW$20,1,BJ214))^INT(INT((BJ$6-INDEX('Lease Cycles'!$GJ$20:$GP$20,1,BJ214))/12)/INDEX('Lease Cycles'!$GX$20:$HD$20,1,BJ214))/12,0)))</f>
        <v>0</v>
      </c>
      <c r="BK217" s="28">
        <f>IF(BK214=0,IF('Lease Cycles'!$F$20&gt;0,'Lease Cycles'!$C$20*'Lease Cycles'!$E$20/12,0),IF(BK216=1,IF('Lease Cycles'!$AT$20&gt;=9999,'Lease Cycles'!$C$20*INDEX('Lease Cycles'!$CB$20:$CH$20,1,BK214)*(1+INDEX('Lease Cycles'!$CI$20:$CO$20,1,BK214))^INT(INT(BK215/12)/INDEX('Lease Cycles'!$CP$20:$CV$20,1,BK214))/12,IF(BK214=1,IF(BK215&gt;=INDEX('Lease Cycles'!$DK$20:$DQ$20,1,BK214),IF(BK$6&gt;='Lease Cycles'!$AZ$20,'Lease Cycles'!$C$20*'Lease Cycles'!$BA$20/12,IF(BK$6&gt;='Lease Cycles'!$AX$20,'Lease Cycles'!$C$20*'Lease Cycles'!$AY$20/12,IF(BK$6&gt;='Lease Cycles'!$AV$20,'Lease Cycles'!$C$20*'Lease Cycles'!$AW$20/12,IF(BK$6&gt;='Lease Cycles'!$AT$20,'Lease Cycles'!$C$20*'Lease Cycles'!$AU$20/12,'Lease Cycles'!$C$20*INDEX('Lease Cycles'!$CB$20:$CH$20,1,BK214)*(1+INDEX('Lease Cycles'!$CI$20:$CO$20,1,BK214))^INT(INT(BK215/12)/INDEX('Lease Cycles'!$CP$20:$CV$20,1,BK214))/12)))),'Lease Cycles'!$C$20*INDEX('Lease Cycles'!$CB$20:$CH$20,1,BK214)*(1+INDEX('Lease Cycles'!$CI$20:$CO$20,1,BK214))^INT(INT(BK215/12)/INDEX('Lease Cycles'!$CP$20:$CV$20,1,BK214))/12),IF(INDEX('Lease Cycles'!$EF$20:$EL$20,1,BK214)=1,IF(AND('Lease Cycles'!$AZ$20&gt;=INDEX('Lease Cycles'!$BG$20:$BM$20,1,BK214),'Lease Cycles'!$AZ$20&lt;=BK$6),'Lease Cycles'!$C$20*'Lease Cycles'!$BA$20/12,IF(AND('Lease Cycles'!$AX$20&gt;=INDEX('Lease Cycles'!$BG$20:$BM$20,1,BK214),'Lease Cycles'!$AX$20&lt;=BK$6),'Lease Cycles'!$C$20*'Lease Cycles'!$AY$20/12,IF(AND('Lease Cycles'!$AV$20&gt;=INDEX('Lease Cycles'!$BG$20:$BM$20,1,BK214),'Lease Cycles'!$AV$20&lt;=BK$6),'Lease Cycles'!$C$20*'Lease Cycles'!$AW$20/12,IF(AND('Lease Cycles'!$AT$20&gt;=INDEX('Lease Cycles'!$BG$20:$BM$20,1,BK214),'Lease Cycles'!$AT$20&lt;=BK$6),'Lease Cycles'!$C$20*'Lease Cycles'!$AU$20/12,'Lease Cycles'!$C$20*INDEX('Lease Cycles'!$CB$20:$CH$20,1,BK214)*(1+INDEX('Lease Cycles'!$CI$20:$CO$20,1,BK214))^INT(INT(BK215/12)/INDEX('Lease Cycles'!$CP$20:$CV$20,1,BK214))/12)))),'Lease Cycles'!$C$20*INDEX('Lease Cycles'!$CB$20:$CH$20,1,BK214)*(1+INDEX('Lease Cycles'!$CI$20:$CO$20,1,BK214))^INT(INT(BK215/12)/INDEX('Lease Cycles'!$CP$20:$CV$20,1,BK214))/12))),IF('Lease Cycles'!$N$20=1,'Lease Cycles'!$C$20*'Lease Cycles'!$E$20*INDEX('Lease Cycles'!$HE$20:$HK$20,1,BK214)*(1+INDEX('Lease Cycles'!$GQ$20:$GW$20,1,BK214))^INT(INT((BK$6-INDEX('Lease Cycles'!$GJ$20:$GP$20,1,BK214))/12)/INDEX('Lease Cycles'!$GX$20:$HD$20,1,BK214))/12,0)))</f>
        <v>0</v>
      </c>
      <c r="BL217" s="28">
        <f>IF(BL214=0,IF('Lease Cycles'!$F$20&gt;0,'Lease Cycles'!$C$20*'Lease Cycles'!$E$20/12,0),IF(BL216=1,IF('Lease Cycles'!$AT$20&gt;=9999,'Lease Cycles'!$C$20*INDEX('Lease Cycles'!$CB$20:$CH$20,1,BL214)*(1+INDEX('Lease Cycles'!$CI$20:$CO$20,1,BL214))^INT(INT(BL215/12)/INDEX('Lease Cycles'!$CP$20:$CV$20,1,BL214))/12,IF(BL214=1,IF(BL215&gt;=INDEX('Lease Cycles'!$DK$20:$DQ$20,1,BL214),IF(BL$6&gt;='Lease Cycles'!$AZ$20,'Lease Cycles'!$C$20*'Lease Cycles'!$BA$20/12,IF(BL$6&gt;='Lease Cycles'!$AX$20,'Lease Cycles'!$C$20*'Lease Cycles'!$AY$20/12,IF(BL$6&gt;='Lease Cycles'!$AV$20,'Lease Cycles'!$C$20*'Lease Cycles'!$AW$20/12,IF(BL$6&gt;='Lease Cycles'!$AT$20,'Lease Cycles'!$C$20*'Lease Cycles'!$AU$20/12,'Lease Cycles'!$C$20*INDEX('Lease Cycles'!$CB$20:$CH$20,1,BL214)*(1+INDEX('Lease Cycles'!$CI$20:$CO$20,1,BL214))^INT(INT(BL215/12)/INDEX('Lease Cycles'!$CP$20:$CV$20,1,BL214))/12)))),'Lease Cycles'!$C$20*INDEX('Lease Cycles'!$CB$20:$CH$20,1,BL214)*(1+INDEX('Lease Cycles'!$CI$20:$CO$20,1,BL214))^INT(INT(BL215/12)/INDEX('Lease Cycles'!$CP$20:$CV$20,1,BL214))/12),IF(INDEX('Lease Cycles'!$EF$20:$EL$20,1,BL214)=1,IF(AND('Lease Cycles'!$AZ$20&gt;=INDEX('Lease Cycles'!$BG$20:$BM$20,1,BL214),'Lease Cycles'!$AZ$20&lt;=BL$6),'Lease Cycles'!$C$20*'Lease Cycles'!$BA$20/12,IF(AND('Lease Cycles'!$AX$20&gt;=INDEX('Lease Cycles'!$BG$20:$BM$20,1,BL214),'Lease Cycles'!$AX$20&lt;=BL$6),'Lease Cycles'!$C$20*'Lease Cycles'!$AY$20/12,IF(AND('Lease Cycles'!$AV$20&gt;=INDEX('Lease Cycles'!$BG$20:$BM$20,1,BL214),'Lease Cycles'!$AV$20&lt;=BL$6),'Lease Cycles'!$C$20*'Lease Cycles'!$AW$20/12,IF(AND('Lease Cycles'!$AT$20&gt;=INDEX('Lease Cycles'!$BG$20:$BM$20,1,BL214),'Lease Cycles'!$AT$20&lt;=BL$6),'Lease Cycles'!$C$20*'Lease Cycles'!$AU$20/12,'Lease Cycles'!$C$20*INDEX('Lease Cycles'!$CB$20:$CH$20,1,BL214)*(1+INDEX('Lease Cycles'!$CI$20:$CO$20,1,BL214))^INT(INT(BL215/12)/INDEX('Lease Cycles'!$CP$20:$CV$20,1,BL214))/12)))),'Lease Cycles'!$C$20*INDEX('Lease Cycles'!$CB$20:$CH$20,1,BL214)*(1+INDEX('Lease Cycles'!$CI$20:$CO$20,1,BL214))^INT(INT(BL215/12)/INDEX('Lease Cycles'!$CP$20:$CV$20,1,BL214))/12))),IF('Lease Cycles'!$N$20=1,'Lease Cycles'!$C$20*'Lease Cycles'!$E$20*INDEX('Lease Cycles'!$HE$20:$HK$20,1,BL214)*(1+INDEX('Lease Cycles'!$GQ$20:$GW$20,1,BL214))^INT(INT((BL$6-INDEX('Lease Cycles'!$GJ$20:$GP$20,1,BL214))/12)/INDEX('Lease Cycles'!$GX$20:$HD$20,1,BL214))/12,0)))</f>
        <v>0</v>
      </c>
      <c r="BM217" s="28">
        <f>IF(BM214=0,IF('Lease Cycles'!$F$20&gt;0,'Lease Cycles'!$C$20*'Lease Cycles'!$E$20/12,0),IF(BM216=1,IF('Lease Cycles'!$AT$20&gt;=9999,'Lease Cycles'!$C$20*INDEX('Lease Cycles'!$CB$20:$CH$20,1,BM214)*(1+INDEX('Lease Cycles'!$CI$20:$CO$20,1,BM214))^INT(INT(BM215/12)/INDEX('Lease Cycles'!$CP$20:$CV$20,1,BM214))/12,IF(BM214=1,IF(BM215&gt;=INDEX('Lease Cycles'!$DK$20:$DQ$20,1,BM214),IF(BM$6&gt;='Lease Cycles'!$AZ$20,'Lease Cycles'!$C$20*'Lease Cycles'!$BA$20/12,IF(BM$6&gt;='Lease Cycles'!$AX$20,'Lease Cycles'!$C$20*'Lease Cycles'!$AY$20/12,IF(BM$6&gt;='Lease Cycles'!$AV$20,'Lease Cycles'!$C$20*'Lease Cycles'!$AW$20/12,IF(BM$6&gt;='Lease Cycles'!$AT$20,'Lease Cycles'!$C$20*'Lease Cycles'!$AU$20/12,'Lease Cycles'!$C$20*INDEX('Lease Cycles'!$CB$20:$CH$20,1,BM214)*(1+INDEX('Lease Cycles'!$CI$20:$CO$20,1,BM214))^INT(INT(BM215/12)/INDEX('Lease Cycles'!$CP$20:$CV$20,1,BM214))/12)))),'Lease Cycles'!$C$20*INDEX('Lease Cycles'!$CB$20:$CH$20,1,BM214)*(1+INDEX('Lease Cycles'!$CI$20:$CO$20,1,BM214))^INT(INT(BM215/12)/INDEX('Lease Cycles'!$CP$20:$CV$20,1,BM214))/12),IF(INDEX('Lease Cycles'!$EF$20:$EL$20,1,BM214)=1,IF(AND('Lease Cycles'!$AZ$20&gt;=INDEX('Lease Cycles'!$BG$20:$BM$20,1,BM214),'Lease Cycles'!$AZ$20&lt;=BM$6),'Lease Cycles'!$C$20*'Lease Cycles'!$BA$20/12,IF(AND('Lease Cycles'!$AX$20&gt;=INDEX('Lease Cycles'!$BG$20:$BM$20,1,BM214),'Lease Cycles'!$AX$20&lt;=BM$6),'Lease Cycles'!$C$20*'Lease Cycles'!$AY$20/12,IF(AND('Lease Cycles'!$AV$20&gt;=INDEX('Lease Cycles'!$BG$20:$BM$20,1,BM214),'Lease Cycles'!$AV$20&lt;=BM$6),'Lease Cycles'!$C$20*'Lease Cycles'!$AW$20/12,IF(AND('Lease Cycles'!$AT$20&gt;=INDEX('Lease Cycles'!$BG$20:$BM$20,1,BM214),'Lease Cycles'!$AT$20&lt;=BM$6),'Lease Cycles'!$C$20*'Lease Cycles'!$AU$20/12,'Lease Cycles'!$C$20*INDEX('Lease Cycles'!$CB$20:$CH$20,1,BM214)*(1+INDEX('Lease Cycles'!$CI$20:$CO$20,1,BM214))^INT(INT(BM215/12)/INDEX('Lease Cycles'!$CP$20:$CV$20,1,BM214))/12)))),'Lease Cycles'!$C$20*INDEX('Lease Cycles'!$CB$20:$CH$20,1,BM214)*(1+INDEX('Lease Cycles'!$CI$20:$CO$20,1,BM214))^INT(INT(BM215/12)/INDEX('Lease Cycles'!$CP$20:$CV$20,1,BM214))/12))),IF('Lease Cycles'!$N$20=1,'Lease Cycles'!$C$20*'Lease Cycles'!$E$20*INDEX('Lease Cycles'!$HE$20:$HK$20,1,BM214)*(1+INDEX('Lease Cycles'!$GQ$20:$GW$20,1,BM214))^INT(INT((BM$6-INDEX('Lease Cycles'!$GJ$20:$GP$20,1,BM214))/12)/INDEX('Lease Cycles'!$GX$20:$HD$20,1,BM214))/12,0)))</f>
        <v>0</v>
      </c>
      <c r="BN217" s="28">
        <f>IF(BN214=0,IF('Lease Cycles'!$F$20&gt;0,'Lease Cycles'!$C$20*'Lease Cycles'!$E$20/12,0),IF(BN216=1,IF('Lease Cycles'!$AT$20&gt;=9999,'Lease Cycles'!$C$20*INDEX('Lease Cycles'!$CB$20:$CH$20,1,BN214)*(1+INDEX('Lease Cycles'!$CI$20:$CO$20,1,BN214))^INT(INT(BN215/12)/INDEX('Lease Cycles'!$CP$20:$CV$20,1,BN214))/12,IF(BN214=1,IF(BN215&gt;=INDEX('Lease Cycles'!$DK$20:$DQ$20,1,BN214),IF(BN$6&gt;='Lease Cycles'!$AZ$20,'Lease Cycles'!$C$20*'Lease Cycles'!$BA$20/12,IF(BN$6&gt;='Lease Cycles'!$AX$20,'Lease Cycles'!$C$20*'Lease Cycles'!$AY$20/12,IF(BN$6&gt;='Lease Cycles'!$AV$20,'Lease Cycles'!$C$20*'Lease Cycles'!$AW$20/12,IF(BN$6&gt;='Lease Cycles'!$AT$20,'Lease Cycles'!$C$20*'Lease Cycles'!$AU$20/12,'Lease Cycles'!$C$20*INDEX('Lease Cycles'!$CB$20:$CH$20,1,BN214)*(1+INDEX('Lease Cycles'!$CI$20:$CO$20,1,BN214))^INT(INT(BN215/12)/INDEX('Lease Cycles'!$CP$20:$CV$20,1,BN214))/12)))),'Lease Cycles'!$C$20*INDEX('Lease Cycles'!$CB$20:$CH$20,1,BN214)*(1+INDEX('Lease Cycles'!$CI$20:$CO$20,1,BN214))^INT(INT(BN215/12)/INDEX('Lease Cycles'!$CP$20:$CV$20,1,BN214))/12),IF(INDEX('Lease Cycles'!$EF$20:$EL$20,1,BN214)=1,IF(AND('Lease Cycles'!$AZ$20&gt;=INDEX('Lease Cycles'!$BG$20:$BM$20,1,BN214),'Lease Cycles'!$AZ$20&lt;=BN$6),'Lease Cycles'!$C$20*'Lease Cycles'!$BA$20/12,IF(AND('Lease Cycles'!$AX$20&gt;=INDEX('Lease Cycles'!$BG$20:$BM$20,1,BN214),'Lease Cycles'!$AX$20&lt;=BN$6),'Lease Cycles'!$C$20*'Lease Cycles'!$AY$20/12,IF(AND('Lease Cycles'!$AV$20&gt;=INDEX('Lease Cycles'!$BG$20:$BM$20,1,BN214),'Lease Cycles'!$AV$20&lt;=BN$6),'Lease Cycles'!$C$20*'Lease Cycles'!$AW$20/12,IF(AND('Lease Cycles'!$AT$20&gt;=INDEX('Lease Cycles'!$BG$20:$BM$20,1,BN214),'Lease Cycles'!$AT$20&lt;=BN$6),'Lease Cycles'!$C$20*'Lease Cycles'!$AU$20/12,'Lease Cycles'!$C$20*INDEX('Lease Cycles'!$CB$20:$CH$20,1,BN214)*(1+INDEX('Lease Cycles'!$CI$20:$CO$20,1,BN214))^INT(INT(BN215/12)/INDEX('Lease Cycles'!$CP$20:$CV$20,1,BN214))/12)))),'Lease Cycles'!$C$20*INDEX('Lease Cycles'!$CB$20:$CH$20,1,BN214)*(1+INDEX('Lease Cycles'!$CI$20:$CO$20,1,BN214))^INT(INT(BN215/12)/INDEX('Lease Cycles'!$CP$20:$CV$20,1,BN214))/12))),IF('Lease Cycles'!$N$20=1,'Lease Cycles'!$C$20*'Lease Cycles'!$E$20*INDEX('Lease Cycles'!$HE$20:$HK$20,1,BN214)*(1+INDEX('Lease Cycles'!$GQ$20:$GW$20,1,BN214))^INT(INT((BN$6-INDEX('Lease Cycles'!$GJ$20:$GP$20,1,BN214))/12)/INDEX('Lease Cycles'!$GX$20:$HD$20,1,BN214))/12,0)))</f>
        <v>0</v>
      </c>
      <c r="BO217" s="28">
        <f>IF(BO214=0,IF('Lease Cycles'!$F$20&gt;0,'Lease Cycles'!$C$20*'Lease Cycles'!$E$20/12,0),IF(BO216=1,IF('Lease Cycles'!$AT$20&gt;=9999,'Lease Cycles'!$C$20*INDEX('Lease Cycles'!$CB$20:$CH$20,1,BO214)*(1+INDEX('Lease Cycles'!$CI$20:$CO$20,1,BO214))^INT(INT(BO215/12)/INDEX('Lease Cycles'!$CP$20:$CV$20,1,BO214))/12,IF(BO214=1,IF(BO215&gt;=INDEX('Lease Cycles'!$DK$20:$DQ$20,1,BO214),IF(BO$6&gt;='Lease Cycles'!$AZ$20,'Lease Cycles'!$C$20*'Lease Cycles'!$BA$20/12,IF(BO$6&gt;='Lease Cycles'!$AX$20,'Lease Cycles'!$C$20*'Lease Cycles'!$AY$20/12,IF(BO$6&gt;='Lease Cycles'!$AV$20,'Lease Cycles'!$C$20*'Lease Cycles'!$AW$20/12,IF(BO$6&gt;='Lease Cycles'!$AT$20,'Lease Cycles'!$C$20*'Lease Cycles'!$AU$20/12,'Lease Cycles'!$C$20*INDEX('Lease Cycles'!$CB$20:$CH$20,1,BO214)*(1+INDEX('Lease Cycles'!$CI$20:$CO$20,1,BO214))^INT(INT(BO215/12)/INDEX('Lease Cycles'!$CP$20:$CV$20,1,BO214))/12)))),'Lease Cycles'!$C$20*INDEX('Lease Cycles'!$CB$20:$CH$20,1,BO214)*(1+INDEX('Lease Cycles'!$CI$20:$CO$20,1,BO214))^INT(INT(BO215/12)/INDEX('Lease Cycles'!$CP$20:$CV$20,1,BO214))/12),IF(INDEX('Lease Cycles'!$EF$20:$EL$20,1,BO214)=1,IF(AND('Lease Cycles'!$AZ$20&gt;=INDEX('Lease Cycles'!$BG$20:$BM$20,1,BO214),'Lease Cycles'!$AZ$20&lt;=BO$6),'Lease Cycles'!$C$20*'Lease Cycles'!$BA$20/12,IF(AND('Lease Cycles'!$AX$20&gt;=INDEX('Lease Cycles'!$BG$20:$BM$20,1,BO214),'Lease Cycles'!$AX$20&lt;=BO$6),'Lease Cycles'!$C$20*'Lease Cycles'!$AY$20/12,IF(AND('Lease Cycles'!$AV$20&gt;=INDEX('Lease Cycles'!$BG$20:$BM$20,1,BO214),'Lease Cycles'!$AV$20&lt;=BO$6),'Lease Cycles'!$C$20*'Lease Cycles'!$AW$20/12,IF(AND('Lease Cycles'!$AT$20&gt;=INDEX('Lease Cycles'!$BG$20:$BM$20,1,BO214),'Lease Cycles'!$AT$20&lt;=BO$6),'Lease Cycles'!$C$20*'Lease Cycles'!$AU$20/12,'Lease Cycles'!$C$20*INDEX('Lease Cycles'!$CB$20:$CH$20,1,BO214)*(1+INDEX('Lease Cycles'!$CI$20:$CO$20,1,BO214))^INT(INT(BO215/12)/INDEX('Lease Cycles'!$CP$20:$CV$20,1,BO214))/12)))),'Lease Cycles'!$C$20*INDEX('Lease Cycles'!$CB$20:$CH$20,1,BO214)*(1+INDEX('Lease Cycles'!$CI$20:$CO$20,1,BO214))^INT(INT(BO215/12)/INDEX('Lease Cycles'!$CP$20:$CV$20,1,BO214))/12))),IF('Lease Cycles'!$N$20=1,'Lease Cycles'!$C$20*'Lease Cycles'!$E$20*INDEX('Lease Cycles'!$HE$20:$HK$20,1,BO214)*(1+INDEX('Lease Cycles'!$GQ$20:$GW$20,1,BO214))^INT(INT((BO$6-INDEX('Lease Cycles'!$GJ$20:$GP$20,1,BO214))/12)/INDEX('Lease Cycles'!$GX$20:$HD$20,1,BO214))/12,0)))</f>
        <v>0</v>
      </c>
      <c r="BP217" s="28">
        <f>IF(BP214=0,IF('Lease Cycles'!$F$20&gt;0,'Lease Cycles'!$C$20*'Lease Cycles'!$E$20/12,0),IF(BP216=1,IF('Lease Cycles'!$AT$20&gt;=9999,'Lease Cycles'!$C$20*INDEX('Lease Cycles'!$CB$20:$CH$20,1,BP214)*(1+INDEX('Lease Cycles'!$CI$20:$CO$20,1,BP214))^INT(INT(BP215/12)/INDEX('Lease Cycles'!$CP$20:$CV$20,1,BP214))/12,IF(BP214=1,IF(BP215&gt;=INDEX('Lease Cycles'!$DK$20:$DQ$20,1,BP214),IF(BP$6&gt;='Lease Cycles'!$AZ$20,'Lease Cycles'!$C$20*'Lease Cycles'!$BA$20/12,IF(BP$6&gt;='Lease Cycles'!$AX$20,'Lease Cycles'!$C$20*'Lease Cycles'!$AY$20/12,IF(BP$6&gt;='Lease Cycles'!$AV$20,'Lease Cycles'!$C$20*'Lease Cycles'!$AW$20/12,IF(BP$6&gt;='Lease Cycles'!$AT$20,'Lease Cycles'!$C$20*'Lease Cycles'!$AU$20/12,'Lease Cycles'!$C$20*INDEX('Lease Cycles'!$CB$20:$CH$20,1,BP214)*(1+INDEX('Lease Cycles'!$CI$20:$CO$20,1,BP214))^INT(INT(BP215/12)/INDEX('Lease Cycles'!$CP$20:$CV$20,1,BP214))/12)))),'Lease Cycles'!$C$20*INDEX('Lease Cycles'!$CB$20:$CH$20,1,BP214)*(1+INDEX('Lease Cycles'!$CI$20:$CO$20,1,BP214))^INT(INT(BP215/12)/INDEX('Lease Cycles'!$CP$20:$CV$20,1,BP214))/12),IF(INDEX('Lease Cycles'!$EF$20:$EL$20,1,BP214)=1,IF(AND('Lease Cycles'!$AZ$20&gt;=INDEX('Lease Cycles'!$BG$20:$BM$20,1,BP214),'Lease Cycles'!$AZ$20&lt;=BP$6),'Lease Cycles'!$C$20*'Lease Cycles'!$BA$20/12,IF(AND('Lease Cycles'!$AX$20&gt;=INDEX('Lease Cycles'!$BG$20:$BM$20,1,BP214),'Lease Cycles'!$AX$20&lt;=BP$6),'Lease Cycles'!$C$20*'Lease Cycles'!$AY$20/12,IF(AND('Lease Cycles'!$AV$20&gt;=INDEX('Lease Cycles'!$BG$20:$BM$20,1,BP214),'Lease Cycles'!$AV$20&lt;=BP$6),'Lease Cycles'!$C$20*'Lease Cycles'!$AW$20/12,IF(AND('Lease Cycles'!$AT$20&gt;=INDEX('Lease Cycles'!$BG$20:$BM$20,1,BP214),'Lease Cycles'!$AT$20&lt;=BP$6),'Lease Cycles'!$C$20*'Lease Cycles'!$AU$20/12,'Lease Cycles'!$C$20*INDEX('Lease Cycles'!$CB$20:$CH$20,1,BP214)*(1+INDEX('Lease Cycles'!$CI$20:$CO$20,1,BP214))^INT(INT(BP215/12)/INDEX('Lease Cycles'!$CP$20:$CV$20,1,BP214))/12)))),'Lease Cycles'!$C$20*INDEX('Lease Cycles'!$CB$20:$CH$20,1,BP214)*(1+INDEX('Lease Cycles'!$CI$20:$CO$20,1,BP214))^INT(INT(BP215/12)/INDEX('Lease Cycles'!$CP$20:$CV$20,1,BP214))/12))),IF('Lease Cycles'!$N$20=1,'Lease Cycles'!$C$20*'Lease Cycles'!$E$20*INDEX('Lease Cycles'!$HE$20:$HK$20,1,BP214)*(1+INDEX('Lease Cycles'!$GQ$20:$GW$20,1,BP214))^INT(INT((BP$6-INDEX('Lease Cycles'!$GJ$20:$GP$20,1,BP214))/12)/INDEX('Lease Cycles'!$GX$20:$HD$20,1,BP214))/12,0)))</f>
        <v>0</v>
      </c>
      <c r="BQ217" s="28">
        <f>IF(BQ214=0,IF('Lease Cycles'!$F$20&gt;0,'Lease Cycles'!$C$20*'Lease Cycles'!$E$20/12,0),IF(BQ216=1,IF('Lease Cycles'!$AT$20&gt;=9999,'Lease Cycles'!$C$20*INDEX('Lease Cycles'!$CB$20:$CH$20,1,BQ214)*(1+INDEX('Lease Cycles'!$CI$20:$CO$20,1,BQ214))^INT(INT(BQ215/12)/INDEX('Lease Cycles'!$CP$20:$CV$20,1,BQ214))/12,IF(BQ214=1,IF(BQ215&gt;=INDEX('Lease Cycles'!$DK$20:$DQ$20,1,BQ214),IF(BQ$6&gt;='Lease Cycles'!$AZ$20,'Lease Cycles'!$C$20*'Lease Cycles'!$BA$20/12,IF(BQ$6&gt;='Lease Cycles'!$AX$20,'Lease Cycles'!$C$20*'Lease Cycles'!$AY$20/12,IF(BQ$6&gt;='Lease Cycles'!$AV$20,'Lease Cycles'!$C$20*'Lease Cycles'!$AW$20/12,IF(BQ$6&gt;='Lease Cycles'!$AT$20,'Lease Cycles'!$C$20*'Lease Cycles'!$AU$20/12,'Lease Cycles'!$C$20*INDEX('Lease Cycles'!$CB$20:$CH$20,1,BQ214)*(1+INDEX('Lease Cycles'!$CI$20:$CO$20,1,BQ214))^INT(INT(BQ215/12)/INDEX('Lease Cycles'!$CP$20:$CV$20,1,BQ214))/12)))),'Lease Cycles'!$C$20*INDEX('Lease Cycles'!$CB$20:$CH$20,1,BQ214)*(1+INDEX('Lease Cycles'!$CI$20:$CO$20,1,BQ214))^INT(INT(BQ215/12)/INDEX('Lease Cycles'!$CP$20:$CV$20,1,BQ214))/12),IF(INDEX('Lease Cycles'!$EF$20:$EL$20,1,BQ214)=1,IF(AND('Lease Cycles'!$AZ$20&gt;=INDEX('Lease Cycles'!$BG$20:$BM$20,1,BQ214),'Lease Cycles'!$AZ$20&lt;=BQ$6),'Lease Cycles'!$C$20*'Lease Cycles'!$BA$20/12,IF(AND('Lease Cycles'!$AX$20&gt;=INDEX('Lease Cycles'!$BG$20:$BM$20,1,BQ214),'Lease Cycles'!$AX$20&lt;=BQ$6),'Lease Cycles'!$C$20*'Lease Cycles'!$AY$20/12,IF(AND('Lease Cycles'!$AV$20&gt;=INDEX('Lease Cycles'!$BG$20:$BM$20,1,BQ214),'Lease Cycles'!$AV$20&lt;=BQ$6),'Lease Cycles'!$C$20*'Lease Cycles'!$AW$20/12,IF(AND('Lease Cycles'!$AT$20&gt;=INDEX('Lease Cycles'!$BG$20:$BM$20,1,BQ214),'Lease Cycles'!$AT$20&lt;=BQ$6),'Lease Cycles'!$C$20*'Lease Cycles'!$AU$20/12,'Lease Cycles'!$C$20*INDEX('Lease Cycles'!$CB$20:$CH$20,1,BQ214)*(1+INDEX('Lease Cycles'!$CI$20:$CO$20,1,BQ214))^INT(INT(BQ215/12)/INDEX('Lease Cycles'!$CP$20:$CV$20,1,BQ214))/12)))),'Lease Cycles'!$C$20*INDEX('Lease Cycles'!$CB$20:$CH$20,1,BQ214)*(1+INDEX('Lease Cycles'!$CI$20:$CO$20,1,BQ214))^INT(INT(BQ215/12)/INDEX('Lease Cycles'!$CP$20:$CV$20,1,BQ214))/12))),IF('Lease Cycles'!$N$20=1,'Lease Cycles'!$C$20*'Lease Cycles'!$E$20*INDEX('Lease Cycles'!$HE$20:$HK$20,1,BQ214)*(1+INDEX('Lease Cycles'!$GQ$20:$GW$20,1,BQ214))^INT(INT((BQ$6-INDEX('Lease Cycles'!$GJ$20:$GP$20,1,BQ214))/12)/INDEX('Lease Cycles'!$GX$20:$HD$20,1,BQ214))/12,0)))</f>
        <v>0</v>
      </c>
      <c r="BR217" s="28">
        <f>IF(BR214=0,IF('Lease Cycles'!$F$20&gt;0,'Lease Cycles'!$C$20*'Lease Cycles'!$E$20/12,0),IF(BR216=1,IF('Lease Cycles'!$AT$20&gt;=9999,'Lease Cycles'!$C$20*INDEX('Lease Cycles'!$CB$20:$CH$20,1,BR214)*(1+INDEX('Lease Cycles'!$CI$20:$CO$20,1,BR214))^INT(INT(BR215/12)/INDEX('Lease Cycles'!$CP$20:$CV$20,1,BR214))/12,IF(BR214=1,IF(BR215&gt;=INDEX('Lease Cycles'!$DK$20:$DQ$20,1,BR214),IF(BR$6&gt;='Lease Cycles'!$AZ$20,'Lease Cycles'!$C$20*'Lease Cycles'!$BA$20/12,IF(BR$6&gt;='Lease Cycles'!$AX$20,'Lease Cycles'!$C$20*'Lease Cycles'!$AY$20/12,IF(BR$6&gt;='Lease Cycles'!$AV$20,'Lease Cycles'!$C$20*'Lease Cycles'!$AW$20/12,IF(BR$6&gt;='Lease Cycles'!$AT$20,'Lease Cycles'!$C$20*'Lease Cycles'!$AU$20/12,'Lease Cycles'!$C$20*INDEX('Lease Cycles'!$CB$20:$CH$20,1,BR214)*(1+INDEX('Lease Cycles'!$CI$20:$CO$20,1,BR214))^INT(INT(BR215/12)/INDEX('Lease Cycles'!$CP$20:$CV$20,1,BR214))/12)))),'Lease Cycles'!$C$20*INDEX('Lease Cycles'!$CB$20:$CH$20,1,BR214)*(1+INDEX('Lease Cycles'!$CI$20:$CO$20,1,BR214))^INT(INT(BR215/12)/INDEX('Lease Cycles'!$CP$20:$CV$20,1,BR214))/12),IF(INDEX('Lease Cycles'!$EF$20:$EL$20,1,BR214)=1,IF(AND('Lease Cycles'!$AZ$20&gt;=INDEX('Lease Cycles'!$BG$20:$BM$20,1,BR214),'Lease Cycles'!$AZ$20&lt;=BR$6),'Lease Cycles'!$C$20*'Lease Cycles'!$BA$20/12,IF(AND('Lease Cycles'!$AX$20&gt;=INDEX('Lease Cycles'!$BG$20:$BM$20,1,BR214),'Lease Cycles'!$AX$20&lt;=BR$6),'Lease Cycles'!$C$20*'Lease Cycles'!$AY$20/12,IF(AND('Lease Cycles'!$AV$20&gt;=INDEX('Lease Cycles'!$BG$20:$BM$20,1,BR214),'Lease Cycles'!$AV$20&lt;=BR$6),'Lease Cycles'!$C$20*'Lease Cycles'!$AW$20/12,IF(AND('Lease Cycles'!$AT$20&gt;=INDEX('Lease Cycles'!$BG$20:$BM$20,1,BR214),'Lease Cycles'!$AT$20&lt;=BR$6),'Lease Cycles'!$C$20*'Lease Cycles'!$AU$20/12,'Lease Cycles'!$C$20*INDEX('Lease Cycles'!$CB$20:$CH$20,1,BR214)*(1+INDEX('Lease Cycles'!$CI$20:$CO$20,1,BR214))^INT(INT(BR215/12)/INDEX('Lease Cycles'!$CP$20:$CV$20,1,BR214))/12)))),'Lease Cycles'!$C$20*INDEX('Lease Cycles'!$CB$20:$CH$20,1,BR214)*(1+INDEX('Lease Cycles'!$CI$20:$CO$20,1,BR214))^INT(INT(BR215/12)/INDEX('Lease Cycles'!$CP$20:$CV$20,1,BR214))/12))),IF('Lease Cycles'!$N$20=1,'Lease Cycles'!$C$20*'Lease Cycles'!$E$20*INDEX('Lease Cycles'!$HE$20:$HK$20,1,BR214)*(1+INDEX('Lease Cycles'!$GQ$20:$GW$20,1,BR214))^INT(INT((BR$6-INDEX('Lease Cycles'!$GJ$20:$GP$20,1,BR214))/12)/INDEX('Lease Cycles'!$GX$20:$HD$20,1,BR214))/12,0)))</f>
        <v>0</v>
      </c>
      <c r="BS217" s="28">
        <f>IF(BS214=0,IF('Lease Cycles'!$F$20&gt;0,'Lease Cycles'!$C$20*'Lease Cycles'!$E$20/12,0),IF(BS216=1,IF('Lease Cycles'!$AT$20&gt;=9999,'Lease Cycles'!$C$20*INDEX('Lease Cycles'!$CB$20:$CH$20,1,BS214)*(1+INDEX('Lease Cycles'!$CI$20:$CO$20,1,BS214))^INT(INT(BS215/12)/INDEX('Lease Cycles'!$CP$20:$CV$20,1,BS214))/12,IF(BS214=1,IF(BS215&gt;=INDEX('Lease Cycles'!$DK$20:$DQ$20,1,BS214),IF(BS$6&gt;='Lease Cycles'!$AZ$20,'Lease Cycles'!$C$20*'Lease Cycles'!$BA$20/12,IF(BS$6&gt;='Lease Cycles'!$AX$20,'Lease Cycles'!$C$20*'Lease Cycles'!$AY$20/12,IF(BS$6&gt;='Lease Cycles'!$AV$20,'Lease Cycles'!$C$20*'Lease Cycles'!$AW$20/12,IF(BS$6&gt;='Lease Cycles'!$AT$20,'Lease Cycles'!$C$20*'Lease Cycles'!$AU$20/12,'Lease Cycles'!$C$20*INDEX('Lease Cycles'!$CB$20:$CH$20,1,BS214)*(1+INDEX('Lease Cycles'!$CI$20:$CO$20,1,BS214))^INT(INT(BS215/12)/INDEX('Lease Cycles'!$CP$20:$CV$20,1,BS214))/12)))),'Lease Cycles'!$C$20*INDEX('Lease Cycles'!$CB$20:$CH$20,1,BS214)*(1+INDEX('Lease Cycles'!$CI$20:$CO$20,1,BS214))^INT(INT(BS215/12)/INDEX('Lease Cycles'!$CP$20:$CV$20,1,BS214))/12),IF(INDEX('Lease Cycles'!$EF$20:$EL$20,1,BS214)=1,IF(AND('Lease Cycles'!$AZ$20&gt;=INDEX('Lease Cycles'!$BG$20:$BM$20,1,BS214),'Lease Cycles'!$AZ$20&lt;=BS$6),'Lease Cycles'!$C$20*'Lease Cycles'!$BA$20/12,IF(AND('Lease Cycles'!$AX$20&gt;=INDEX('Lease Cycles'!$BG$20:$BM$20,1,BS214),'Lease Cycles'!$AX$20&lt;=BS$6),'Lease Cycles'!$C$20*'Lease Cycles'!$AY$20/12,IF(AND('Lease Cycles'!$AV$20&gt;=INDEX('Lease Cycles'!$BG$20:$BM$20,1,BS214),'Lease Cycles'!$AV$20&lt;=BS$6),'Lease Cycles'!$C$20*'Lease Cycles'!$AW$20/12,IF(AND('Lease Cycles'!$AT$20&gt;=INDEX('Lease Cycles'!$BG$20:$BM$20,1,BS214),'Lease Cycles'!$AT$20&lt;=BS$6),'Lease Cycles'!$C$20*'Lease Cycles'!$AU$20/12,'Lease Cycles'!$C$20*INDEX('Lease Cycles'!$CB$20:$CH$20,1,BS214)*(1+INDEX('Lease Cycles'!$CI$20:$CO$20,1,BS214))^INT(INT(BS215/12)/INDEX('Lease Cycles'!$CP$20:$CV$20,1,BS214))/12)))),'Lease Cycles'!$C$20*INDEX('Lease Cycles'!$CB$20:$CH$20,1,BS214)*(1+INDEX('Lease Cycles'!$CI$20:$CO$20,1,BS214))^INT(INT(BS215/12)/INDEX('Lease Cycles'!$CP$20:$CV$20,1,BS214))/12))),IF('Lease Cycles'!$N$20=1,'Lease Cycles'!$C$20*'Lease Cycles'!$E$20*INDEX('Lease Cycles'!$HE$20:$HK$20,1,BS214)*(1+INDEX('Lease Cycles'!$GQ$20:$GW$20,1,BS214))^INT(INT((BS$6-INDEX('Lease Cycles'!$GJ$20:$GP$20,1,BS214))/12)/INDEX('Lease Cycles'!$GX$20:$HD$20,1,BS214))/12,0)))</f>
        <v>0</v>
      </c>
      <c r="BT217" s="28">
        <f>IF(BT214=0,IF('Lease Cycles'!$F$20&gt;0,'Lease Cycles'!$C$20*'Lease Cycles'!$E$20/12,0),IF(BT216=1,IF('Lease Cycles'!$AT$20&gt;=9999,'Lease Cycles'!$C$20*INDEX('Lease Cycles'!$CB$20:$CH$20,1,BT214)*(1+INDEX('Lease Cycles'!$CI$20:$CO$20,1,BT214))^INT(INT(BT215/12)/INDEX('Lease Cycles'!$CP$20:$CV$20,1,BT214))/12,IF(BT214=1,IF(BT215&gt;=INDEX('Lease Cycles'!$DK$20:$DQ$20,1,BT214),IF(BT$6&gt;='Lease Cycles'!$AZ$20,'Lease Cycles'!$C$20*'Lease Cycles'!$BA$20/12,IF(BT$6&gt;='Lease Cycles'!$AX$20,'Lease Cycles'!$C$20*'Lease Cycles'!$AY$20/12,IF(BT$6&gt;='Lease Cycles'!$AV$20,'Lease Cycles'!$C$20*'Lease Cycles'!$AW$20/12,IF(BT$6&gt;='Lease Cycles'!$AT$20,'Lease Cycles'!$C$20*'Lease Cycles'!$AU$20/12,'Lease Cycles'!$C$20*INDEX('Lease Cycles'!$CB$20:$CH$20,1,BT214)*(1+INDEX('Lease Cycles'!$CI$20:$CO$20,1,BT214))^INT(INT(BT215/12)/INDEX('Lease Cycles'!$CP$20:$CV$20,1,BT214))/12)))),'Lease Cycles'!$C$20*INDEX('Lease Cycles'!$CB$20:$CH$20,1,BT214)*(1+INDEX('Lease Cycles'!$CI$20:$CO$20,1,BT214))^INT(INT(BT215/12)/INDEX('Lease Cycles'!$CP$20:$CV$20,1,BT214))/12),IF(INDEX('Lease Cycles'!$EF$20:$EL$20,1,BT214)=1,IF(AND('Lease Cycles'!$AZ$20&gt;=INDEX('Lease Cycles'!$BG$20:$BM$20,1,BT214),'Lease Cycles'!$AZ$20&lt;=BT$6),'Lease Cycles'!$C$20*'Lease Cycles'!$BA$20/12,IF(AND('Lease Cycles'!$AX$20&gt;=INDEX('Lease Cycles'!$BG$20:$BM$20,1,BT214),'Lease Cycles'!$AX$20&lt;=BT$6),'Lease Cycles'!$C$20*'Lease Cycles'!$AY$20/12,IF(AND('Lease Cycles'!$AV$20&gt;=INDEX('Lease Cycles'!$BG$20:$BM$20,1,BT214),'Lease Cycles'!$AV$20&lt;=BT$6),'Lease Cycles'!$C$20*'Lease Cycles'!$AW$20/12,IF(AND('Lease Cycles'!$AT$20&gt;=INDEX('Lease Cycles'!$BG$20:$BM$20,1,BT214),'Lease Cycles'!$AT$20&lt;=BT$6),'Lease Cycles'!$C$20*'Lease Cycles'!$AU$20/12,'Lease Cycles'!$C$20*INDEX('Lease Cycles'!$CB$20:$CH$20,1,BT214)*(1+INDEX('Lease Cycles'!$CI$20:$CO$20,1,BT214))^INT(INT(BT215/12)/INDEX('Lease Cycles'!$CP$20:$CV$20,1,BT214))/12)))),'Lease Cycles'!$C$20*INDEX('Lease Cycles'!$CB$20:$CH$20,1,BT214)*(1+INDEX('Lease Cycles'!$CI$20:$CO$20,1,BT214))^INT(INT(BT215/12)/INDEX('Lease Cycles'!$CP$20:$CV$20,1,BT214))/12))),IF('Lease Cycles'!$N$20=1,'Lease Cycles'!$C$20*'Lease Cycles'!$E$20*INDEX('Lease Cycles'!$HE$20:$HK$20,1,BT214)*(1+INDEX('Lease Cycles'!$GQ$20:$GW$20,1,BT214))^INT(INT((BT$6-INDEX('Lease Cycles'!$GJ$20:$GP$20,1,BT214))/12)/INDEX('Lease Cycles'!$GX$20:$HD$20,1,BT214))/12,0)))</f>
        <v>0</v>
      </c>
      <c r="BU217" s="28">
        <f>IF(BU214=0,IF('Lease Cycles'!$F$20&gt;0,'Lease Cycles'!$C$20*'Lease Cycles'!$E$20/12,0),IF(BU216=1,IF('Lease Cycles'!$AT$20&gt;=9999,'Lease Cycles'!$C$20*INDEX('Lease Cycles'!$CB$20:$CH$20,1,BU214)*(1+INDEX('Lease Cycles'!$CI$20:$CO$20,1,BU214))^INT(INT(BU215/12)/INDEX('Lease Cycles'!$CP$20:$CV$20,1,BU214))/12,IF(BU214=1,IF(BU215&gt;=INDEX('Lease Cycles'!$DK$20:$DQ$20,1,BU214),IF(BU$6&gt;='Lease Cycles'!$AZ$20,'Lease Cycles'!$C$20*'Lease Cycles'!$BA$20/12,IF(BU$6&gt;='Lease Cycles'!$AX$20,'Lease Cycles'!$C$20*'Lease Cycles'!$AY$20/12,IF(BU$6&gt;='Lease Cycles'!$AV$20,'Lease Cycles'!$C$20*'Lease Cycles'!$AW$20/12,IF(BU$6&gt;='Lease Cycles'!$AT$20,'Lease Cycles'!$C$20*'Lease Cycles'!$AU$20/12,'Lease Cycles'!$C$20*INDEX('Lease Cycles'!$CB$20:$CH$20,1,BU214)*(1+INDEX('Lease Cycles'!$CI$20:$CO$20,1,BU214))^INT(INT(BU215/12)/INDEX('Lease Cycles'!$CP$20:$CV$20,1,BU214))/12)))),'Lease Cycles'!$C$20*INDEX('Lease Cycles'!$CB$20:$CH$20,1,BU214)*(1+INDEX('Lease Cycles'!$CI$20:$CO$20,1,BU214))^INT(INT(BU215/12)/INDEX('Lease Cycles'!$CP$20:$CV$20,1,BU214))/12),IF(INDEX('Lease Cycles'!$EF$20:$EL$20,1,BU214)=1,IF(AND('Lease Cycles'!$AZ$20&gt;=INDEX('Lease Cycles'!$BG$20:$BM$20,1,BU214),'Lease Cycles'!$AZ$20&lt;=BU$6),'Lease Cycles'!$C$20*'Lease Cycles'!$BA$20/12,IF(AND('Lease Cycles'!$AX$20&gt;=INDEX('Lease Cycles'!$BG$20:$BM$20,1,BU214),'Lease Cycles'!$AX$20&lt;=BU$6),'Lease Cycles'!$C$20*'Lease Cycles'!$AY$20/12,IF(AND('Lease Cycles'!$AV$20&gt;=INDEX('Lease Cycles'!$BG$20:$BM$20,1,BU214),'Lease Cycles'!$AV$20&lt;=BU$6),'Lease Cycles'!$C$20*'Lease Cycles'!$AW$20/12,IF(AND('Lease Cycles'!$AT$20&gt;=INDEX('Lease Cycles'!$BG$20:$BM$20,1,BU214),'Lease Cycles'!$AT$20&lt;=BU$6),'Lease Cycles'!$C$20*'Lease Cycles'!$AU$20/12,'Lease Cycles'!$C$20*INDEX('Lease Cycles'!$CB$20:$CH$20,1,BU214)*(1+INDEX('Lease Cycles'!$CI$20:$CO$20,1,BU214))^INT(INT(BU215/12)/INDEX('Lease Cycles'!$CP$20:$CV$20,1,BU214))/12)))),'Lease Cycles'!$C$20*INDEX('Lease Cycles'!$CB$20:$CH$20,1,BU214)*(1+INDEX('Lease Cycles'!$CI$20:$CO$20,1,BU214))^INT(INT(BU215/12)/INDEX('Lease Cycles'!$CP$20:$CV$20,1,BU214))/12))),IF('Lease Cycles'!$N$20=1,'Lease Cycles'!$C$20*'Lease Cycles'!$E$20*INDEX('Lease Cycles'!$HE$20:$HK$20,1,BU214)*(1+INDEX('Lease Cycles'!$GQ$20:$GW$20,1,BU214))^INT(INT((BU$6-INDEX('Lease Cycles'!$GJ$20:$GP$20,1,BU214))/12)/INDEX('Lease Cycles'!$GX$20:$HD$20,1,BU214))/12,0)))</f>
        <v>0</v>
      </c>
      <c r="BV217" s="28">
        <f>IF(BV214=0,IF('Lease Cycles'!$F$20&gt;0,'Lease Cycles'!$C$20*'Lease Cycles'!$E$20/12,0),IF(BV216=1,IF('Lease Cycles'!$AT$20&gt;=9999,'Lease Cycles'!$C$20*INDEX('Lease Cycles'!$CB$20:$CH$20,1,BV214)*(1+INDEX('Lease Cycles'!$CI$20:$CO$20,1,BV214))^INT(INT(BV215/12)/INDEX('Lease Cycles'!$CP$20:$CV$20,1,BV214))/12,IF(BV214=1,IF(BV215&gt;=INDEX('Lease Cycles'!$DK$20:$DQ$20,1,BV214),IF(BV$6&gt;='Lease Cycles'!$AZ$20,'Lease Cycles'!$C$20*'Lease Cycles'!$BA$20/12,IF(BV$6&gt;='Lease Cycles'!$AX$20,'Lease Cycles'!$C$20*'Lease Cycles'!$AY$20/12,IF(BV$6&gt;='Lease Cycles'!$AV$20,'Lease Cycles'!$C$20*'Lease Cycles'!$AW$20/12,IF(BV$6&gt;='Lease Cycles'!$AT$20,'Lease Cycles'!$C$20*'Lease Cycles'!$AU$20/12,'Lease Cycles'!$C$20*INDEX('Lease Cycles'!$CB$20:$CH$20,1,BV214)*(1+INDEX('Lease Cycles'!$CI$20:$CO$20,1,BV214))^INT(INT(BV215/12)/INDEX('Lease Cycles'!$CP$20:$CV$20,1,BV214))/12)))),'Lease Cycles'!$C$20*INDEX('Lease Cycles'!$CB$20:$CH$20,1,BV214)*(1+INDEX('Lease Cycles'!$CI$20:$CO$20,1,BV214))^INT(INT(BV215/12)/INDEX('Lease Cycles'!$CP$20:$CV$20,1,BV214))/12),IF(INDEX('Lease Cycles'!$EF$20:$EL$20,1,BV214)=1,IF(AND('Lease Cycles'!$AZ$20&gt;=INDEX('Lease Cycles'!$BG$20:$BM$20,1,BV214),'Lease Cycles'!$AZ$20&lt;=BV$6),'Lease Cycles'!$C$20*'Lease Cycles'!$BA$20/12,IF(AND('Lease Cycles'!$AX$20&gt;=INDEX('Lease Cycles'!$BG$20:$BM$20,1,BV214),'Lease Cycles'!$AX$20&lt;=BV$6),'Lease Cycles'!$C$20*'Lease Cycles'!$AY$20/12,IF(AND('Lease Cycles'!$AV$20&gt;=INDEX('Lease Cycles'!$BG$20:$BM$20,1,BV214),'Lease Cycles'!$AV$20&lt;=BV$6),'Lease Cycles'!$C$20*'Lease Cycles'!$AW$20/12,IF(AND('Lease Cycles'!$AT$20&gt;=INDEX('Lease Cycles'!$BG$20:$BM$20,1,BV214),'Lease Cycles'!$AT$20&lt;=BV$6),'Lease Cycles'!$C$20*'Lease Cycles'!$AU$20/12,'Lease Cycles'!$C$20*INDEX('Lease Cycles'!$CB$20:$CH$20,1,BV214)*(1+INDEX('Lease Cycles'!$CI$20:$CO$20,1,BV214))^INT(INT(BV215/12)/INDEX('Lease Cycles'!$CP$20:$CV$20,1,BV214))/12)))),'Lease Cycles'!$C$20*INDEX('Lease Cycles'!$CB$20:$CH$20,1,BV214)*(1+INDEX('Lease Cycles'!$CI$20:$CO$20,1,BV214))^INT(INT(BV215/12)/INDEX('Lease Cycles'!$CP$20:$CV$20,1,BV214))/12))),IF('Lease Cycles'!$N$20=1,'Lease Cycles'!$C$20*'Lease Cycles'!$E$20*INDEX('Lease Cycles'!$HE$20:$HK$20,1,BV214)*(1+INDEX('Lease Cycles'!$GQ$20:$GW$20,1,BV214))^INT(INT((BV$6-INDEX('Lease Cycles'!$GJ$20:$GP$20,1,BV214))/12)/INDEX('Lease Cycles'!$GX$20:$HD$20,1,BV214))/12,0)))</f>
        <v>0</v>
      </c>
      <c r="BW217" s="28">
        <f>IF(BW214=0,IF('Lease Cycles'!$F$20&gt;0,'Lease Cycles'!$C$20*'Lease Cycles'!$E$20/12,0),IF(BW216=1,IF('Lease Cycles'!$AT$20&gt;=9999,'Lease Cycles'!$C$20*INDEX('Lease Cycles'!$CB$20:$CH$20,1,BW214)*(1+INDEX('Lease Cycles'!$CI$20:$CO$20,1,BW214))^INT(INT(BW215/12)/INDEX('Lease Cycles'!$CP$20:$CV$20,1,BW214))/12,IF(BW214=1,IF(BW215&gt;=INDEX('Lease Cycles'!$DK$20:$DQ$20,1,BW214),IF(BW$6&gt;='Lease Cycles'!$AZ$20,'Lease Cycles'!$C$20*'Lease Cycles'!$BA$20/12,IF(BW$6&gt;='Lease Cycles'!$AX$20,'Lease Cycles'!$C$20*'Lease Cycles'!$AY$20/12,IF(BW$6&gt;='Lease Cycles'!$AV$20,'Lease Cycles'!$C$20*'Lease Cycles'!$AW$20/12,IF(BW$6&gt;='Lease Cycles'!$AT$20,'Lease Cycles'!$C$20*'Lease Cycles'!$AU$20/12,'Lease Cycles'!$C$20*INDEX('Lease Cycles'!$CB$20:$CH$20,1,BW214)*(1+INDEX('Lease Cycles'!$CI$20:$CO$20,1,BW214))^INT(INT(BW215/12)/INDEX('Lease Cycles'!$CP$20:$CV$20,1,BW214))/12)))),'Lease Cycles'!$C$20*INDEX('Lease Cycles'!$CB$20:$CH$20,1,BW214)*(1+INDEX('Lease Cycles'!$CI$20:$CO$20,1,BW214))^INT(INT(BW215/12)/INDEX('Lease Cycles'!$CP$20:$CV$20,1,BW214))/12),IF(INDEX('Lease Cycles'!$EF$20:$EL$20,1,BW214)=1,IF(AND('Lease Cycles'!$AZ$20&gt;=INDEX('Lease Cycles'!$BG$20:$BM$20,1,BW214),'Lease Cycles'!$AZ$20&lt;=BW$6),'Lease Cycles'!$C$20*'Lease Cycles'!$BA$20/12,IF(AND('Lease Cycles'!$AX$20&gt;=INDEX('Lease Cycles'!$BG$20:$BM$20,1,BW214),'Lease Cycles'!$AX$20&lt;=BW$6),'Lease Cycles'!$C$20*'Lease Cycles'!$AY$20/12,IF(AND('Lease Cycles'!$AV$20&gt;=INDEX('Lease Cycles'!$BG$20:$BM$20,1,BW214),'Lease Cycles'!$AV$20&lt;=BW$6),'Lease Cycles'!$C$20*'Lease Cycles'!$AW$20/12,IF(AND('Lease Cycles'!$AT$20&gt;=INDEX('Lease Cycles'!$BG$20:$BM$20,1,BW214),'Lease Cycles'!$AT$20&lt;=BW$6),'Lease Cycles'!$C$20*'Lease Cycles'!$AU$20/12,'Lease Cycles'!$C$20*INDEX('Lease Cycles'!$CB$20:$CH$20,1,BW214)*(1+INDEX('Lease Cycles'!$CI$20:$CO$20,1,BW214))^INT(INT(BW215/12)/INDEX('Lease Cycles'!$CP$20:$CV$20,1,BW214))/12)))),'Lease Cycles'!$C$20*INDEX('Lease Cycles'!$CB$20:$CH$20,1,BW214)*(1+INDEX('Lease Cycles'!$CI$20:$CO$20,1,BW214))^INT(INT(BW215/12)/INDEX('Lease Cycles'!$CP$20:$CV$20,1,BW214))/12))),IF('Lease Cycles'!$N$20=1,'Lease Cycles'!$C$20*'Lease Cycles'!$E$20*INDEX('Lease Cycles'!$HE$20:$HK$20,1,BW214)*(1+INDEX('Lease Cycles'!$GQ$20:$GW$20,1,BW214))^INT(INT((BW$6-INDEX('Lease Cycles'!$GJ$20:$GP$20,1,BW214))/12)/INDEX('Lease Cycles'!$GX$20:$HD$20,1,BW214))/12,0)))</f>
        <v>0</v>
      </c>
      <c r="BX217" s="28">
        <f>IF(BX214=0,IF('Lease Cycles'!$F$20&gt;0,'Lease Cycles'!$C$20*'Lease Cycles'!$E$20/12,0),IF(BX216=1,IF('Lease Cycles'!$AT$20&gt;=9999,'Lease Cycles'!$C$20*INDEX('Lease Cycles'!$CB$20:$CH$20,1,BX214)*(1+INDEX('Lease Cycles'!$CI$20:$CO$20,1,BX214))^INT(INT(BX215/12)/INDEX('Lease Cycles'!$CP$20:$CV$20,1,BX214))/12,IF(BX214=1,IF(BX215&gt;=INDEX('Lease Cycles'!$DK$20:$DQ$20,1,BX214),IF(BX$6&gt;='Lease Cycles'!$AZ$20,'Lease Cycles'!$C$20*'Lease Cycles'!$BA$20/12,IF(BX$6&gt;='Lease Cycles'!$AX$20,'Lease Cycles'!$C$20*'Lease Cycles'!$AY$20/12,IF(BX$6&gt;='Lease Cycles'!$AV$20,'Lease Cycles'!$C$20*'Lease Cycles'!$AW$20/12,IF(BX$6&gt;='Lease Cycles'!$AT$20,'Lease Cycles'!$C$20*'Lease Cycles'!$AU$20/12,'Lease Cycles'!$C$20*INDEX('Lease Cycles'!$CB$20:$CH$20,1,BX214)*(1+INDEX('Lease Cycles'!$CI$20:$CO$20,1,BX214))^INT(INT(BX215/12)/INDEX('Lease Cycles'!$CP$20:$CV$20,1,BX214))/12)))),'Lease Cycles'!$C$20*INDEX('Lease Cycles'!$CB$20:$CH$20,1,BX214)*(1+INDEX('Lease Cycles'!$CI$20:$CO$20,1,BX214))^INT(INT(BX215/12)/INDEX('Lease Cycles'!$CP$20:$CV$20,1,BX214))/12),IF(INDEX('Lease Cycles'!$EF$20:$EL$20,1,BX214)=1,IF(AND('Lease Cycles'!$AZ$20&gt;=INDEX('Lease Cycles'!$BG$20:$BM$20,1,BX214),'Lease Cycles'!$AZ$20&lt;=BX$6),'Lease Cycles'!$C$20*'Lease Cycles'!$BA$20/12,IF(AND('Lease Cycles'!$AX$20&gt;=INDEX('Lease Cycles'!$BG$20:$BM$20,1,BX214),'Lease Cycles'!$AX$20&lt;=BX$6),'Lease Cycles'!$C$20*'Lease Cycles'!$AY$20/12,IF(AND('Lease Cycles'!$AV$20&gt;=INDEX('Lease Cycles'!$BG$20:$BM$20,1,BX214),'Lease Cycles'!$AV$20&lt;=BX$6),'Lease Cycles'!$C$20*'Lease Cycles'!$AW$20/12,IF(AND('Lease Cycles'!$AT$20&gt;=INDEX('Lease Cycles'!$BG$20:$BM$20,1,BX214),'Lease Cycles'!$AT$20&lt;=BX$6),'Lease Cycles'!$C$20*'Lease Cycles'!$AU$20/12,'Lease Cycles'!$C$20*INDEX('Lease Cycles'!$CB$20:$CH$20,1,BX214)*(1+INDEX('Lease Cycles'!$CI$20:$CO$20,1,BX214))^INT(INT(BX215/12)/INDEX('Lease Cycles'!$CP$20:$CV$20,1,BX214))/12)))),'Lease Cycles'!$C$20*INDEX('Lease Cycles'!$CB$20:$CH$20,1,BX214)*(1+INDEX('Lease Cycles'!$CI$20:$CO$20,1,BX214))^INT(INT(BX215/12)/INDEX('Lease Cycles'!$CP$20:$CV$20,1,BX214))/12))),IF('Lease Cycles'!$N$20=1,'Lease Cycles'!$C$20*'Lease Cycles'!$E$20*INDEX('Lease Cycles'!$HE$20:$HK$20,1,BX214)*(1+INDEX('Lease Cycles'!$GQ$20:$GW$20,1,BX214))^INT(INT((BX$6-INDEX('Lease Cycles'!$GJ$20:$GP$20,1,BX214))/12)/INDEX('Lease Cycles'!$GX$20:$HD$20,1,BX214))/12,0)))</f>
        <v>0</v>
      </c>
      <c r="BY217" s="28">
        <f>IF(BY214=0,IF('Lease Cycles'!$F$20&gt;0,'Lease Cycles'!$C$20*'Lease Cycles'!$E$20/12,0),IF(BY216=1,IF('Lease Cycles'!$AT$20&gt;=9999,'Lease Cycles'!$C$20*INDEX('Lease Cycles'!$CB$20:$CH$20,1,BY214)*(1+INDEX('Lease Cycles'!$CI$20:$CO$20,1,BY214))^INT(INT(BY215/12)/INDEX('Lease Cycles'!$CP$20:$CV$20,1,BY214))/12,IF(BY214=1,IF(BY215&gt;=INDEX('Lease Cycles'!$DK$20:$DQ$20,1,BY214),IF(BY$6&gt;='Lease Cycles'!$AZ$20,'Lease Cycles'!$C$20*'Lease Cycles'!$BA$20/12,IF(BY$6&gt;='Lease Cycles'!$AX$20,'Lease Cycles'!$C$20*'Lease Cycles'!$AY$20/12,IF(BY$6&gt;='Lease Cycles'!$AV$20,'Lease Cycles'!$C$20*'Lease Cycles'!$AW$20/12,IF(BY$6&gt;='Lease Cycles'!$AT$20,'Lease Cycles'!$C$20*'Lease Cycles'!$AU$20/12,'Lease Cycles'!$C$20*INDEX('Lease Cycles'!$CB$20:$CH$20,1,BY214)*(1+INDEX('Lease Cycles'!$CI$20:$CO$20,1,BY214))^INT(INT(BY215/12)/INDEX('Lease Cycles'!$CP$20:$CV$20,1,BY214))/12)))),'Lease Cycles'!$C$20*INDEX('Lease Cycles'!$CB$20:$CH$20,1,BY214)*(1+INDEX('Lease Cycles'!$CI$20:$CO$20,1,BY214))^INT(INT(BY215/12)/INDEX('Lease Cycles'!$CP$20:$CV$20,1,BY214))/12),IF(INDEX('Lease Cycles'!$EF$20:$EL$20,1,BY214)=1,IF(AND('Lease Cycles'!$AZ$20&gt;=INDEX('Lease Cycles'!$BG$20:$BM$20,1,BY214),'Lease Cycles'!$AZ$20&lt;=BY$6),'Lease Cycles'!$C$20*'Lease Cycles'!$BA$20/12,IF(AND('Lease Cycles'!$AX$20&gt;=INDEX('Lease Cycles'!$BG$20:$BM$20,1,BY214),'Lease Cycles'!$AX$20&lt;=BY$6),'Lease Cycles'!$C$20*'Lease Cycles'!$AY$20/12,IF(AND('Lease Cycles'!$AV$20&gt;=INDEX('Lease Cycles'!$BG$20:$BM$20,1,BY214),'Lease Cycles'!$AV$20&lt;=BY$6),'Lease Cycles'!$C$20*'Lease Cycles'!$AW$20/12,IF(AND('Lease Cycles'!$AT$20&gt;=INDEX('Lease Cycles'!$BG$20:$BM$20,1,BY214),'Lease Cycles'!$AT$20&lt;=BY$6),'Lease Cycles'!$C$20*'Lease Cycles'!$AU$20/12,'Lease Cycles'!$C$20*INDEX('Lease Cycles'!$CB$20:$CH$20,1,BY214)*(1+INDEX('Lease Cycles'!$CI$20:$CO$20,1,BY214))^INT(INT(BY215/12)/INDEX('Lease Cycles'!$CP$20:$CV$20,1,BY214))/12)))),'Lease Cycles'!$C$20*INDEX('Lease Cycles'!$CB$20:$CH$20,1,BY214)*(1+INDEX('Lease Cycles'!$CI$20:$CO$20,1,BY214))^INT(INT(BY215/12)/INDEX('Lease Cycles'!$CP$20:$CV$20,1,BY214))/12))),IF('Lease Cycles'!$N$20=1,'Lease Cycles'!$C$20*'Lease Cycles'!$E$20*INDEX('Lease Cycles'!$HE$20:$HK$20,1,BY214)*(1+INDEX('Lease Cycles'!$GQ$20:$GW$20,1,BY214))^INT(INT((BY$6-INDEX('Lease Cycles'!$GJ$20:$GP$20,1,BY214))/12)/INDEX('Lease Cycles'!$GX$20:$HD$20,1,BY214))/12,0)))</f>
        <v>0</v>
      </c>
      <c r="BZ217" s="28">
        <f>IF(BZ214=0,IF('Lease Cycles'!$F$20&gt;0,'Lease Cycles'!$C$20*'Lease Cycles'!$E$20/12,0),IF(BZ216=1,IF('Lease Cycles'!$AT$20&gt;=9999,'Lease Cycles'!$C$20*INDEX('Lease Cycles'!$CB$20:$CH$20,1,BZ214)*(1+INDEX('Lease Cycles'!$CI$20:$CO$20,1,BZ214))^INT(INT(BZ215/12)/INDEX('Lease Cycles'!$CP$20:$CV$20,1,BZ214))/12,IF(BZ214=1,IF(BZ215&gt;=INDEX('Lease Cycles'!$DK$20:$DQ$20,1,BZ214),IF(BZ$6&gt;='Lease Cycles'!$AZ$20,'Lease Cycles'!$C$20*'Lease Cycles'!$BA$20/12,IF(BZ$6&gt;='Lease Cycles'!$AX$20,'Lease Cycles'!$C$20*'Lease Cycles'!$AY$20/12,IF(BZ$6&gt;='Lease Cycles'!$AV$20,'Lease Cycles'!$C$20*'Lease Cycles'!$AW$20/12,IF(BZ$6&gt;='Lease Cycles'!$AT$20,'Lease Cycles'!$C$20*'Lease Cycles'!$AU$20/12,'Lease Cycles'!$C$20*INDEX('Lease Cycles'!$CB$20:$CH$20,1,BZ214)*(1+INDEX('Lease Cycles'!$CI$20:$CO$20,1,BZ214))^INT(INT(BZ215/12)/INDEX('Lease Cycles'!$CP$20:$CV$20,1,BZ214))/12)))),'Lease Cycles'!$C$20*INDEX('Lease Cycles'!$CB$20:$CH$20,1,BZ214)*(1+INDEX('Lease Cycles'!$CI$20:$CO$20,1,BZ214))^INT(INT(BZ215/12)/INDEX('Lease Cycles'!$CP$20:$CV$20,1,BZ214))/12),IF(INDEX('Lease Cycles'!$EF$20:$EL$20,1,BZ214)=1,IF(AND('Lease Cycles'!$AZ$20&gt;=INDEX('Lease Cycles'!$BG$20:$BM$20,1,BZ214),'Lease Cycles'!$AZ$20&lt;=BZ$6),'Lease Cycles'!$C$20*'Lease Cycles'!$BA$20/12,IF(AND('Lease Cycles'!$AX$20&gt;=INDEX('Lease Cycles'!$BG$20:$BM$20,1,BZ214),'Lease Cycles'!$AX$20&lt;=BZ$6),'Lease Cycles'!$C$20*'Lease Cycles'!$AY$20/12,IF(AND('Lease Cycles'!$AV$20&gt;=INDEX('Lease Cycles'!$BG$20:$BM$20,1,BZ214),'Lease Cycles'!$AV$20&lt;=BZ$6),'Lease Cycles'!$C$20*'Lease Cycles'!$AW$20/12,IF(AND('Lease Cycles'!$AT$20&gt;=INDEX('Lease Cycles'!$BG$20:$BM$20,1,BZ214),'Lease Cycles'!$AT$20&lt;=BZ$6),'Lease Cycles'!$C$20*'Lease Cycles'!$AU$20/12,'Lease Cycles'!$C$20*INDEX('Lease Cycles'!$CB$20:$CH$20,1,BZ214)*(1+INDEX('Lease Cycles'!$CI$20:$CO$20,1,BZ214))^INT(INT(BZ215/12)/INDEX('Lease Cycles'!$CP$20:$CV$20,1,BZ214))/12)))),'Lease Cycles'!$C$20*INDEX('Lease Cycles'!$CB$20:$CH$20,1,BZ214)*(1+INDEX('Lease Cycles'!$CI$20:$CO$20,1,BZ214))^INT(INT(BZ215/12)/INDEX('Lease Cycles'!$CP$20:$CV$20,1,BZ214))/12))),IF('Lease Cycles'!$N$20=1,'Lease Cycles'!$C$20*'Lease Cycles'!$E$20*INDEX('Lease Cycles'!$HE$20:$HK$20,1,BZ214)*(1+INDEX('Lease Cycles'!$GQ$20:$GW$20,1,BZ214))^INT(INT((BZ$6-INDEX('Lease Cycles'!$GJ$20:$GP$20,1,BZ214))/12)/INDEX('Lease Cycles'!$GX$20:$HD$20,1,BZ214))/12,0)))</f>
        <v>0</v>
      </c>
      <c r="CA217" s="28">
        <f>IF(CA214=0,IF('Lease Cycles'!$F$20&gt;0,'Lease Cycles'!$C$20*'Lease Cycles'!$E$20/12,0),IF(CA216=1,IF('Lease Cycles'!$AT$20&gt;=9999,'Lease Cycles'!$C$20*INDEX('Lease Cycles'!$CB$20:$CH$20,1,CA214)*(1+INDEX('Lease Cycles'!$CI$20:$CO$20,1,CA214))^INT(INT(CA215/12)/INDEX('Lease Cycles'!$CP$20:$CV$20,1,CA214))/12,IF(CA214=1,IF(CA215&gt;=INDEX('Lease Cycles'!$DK$20:$DQ$20,1,CA214),IF(CA$6&gt;='Lease Cycles'!$AZ$20,'Lease Cycles'!$C$20*'Lease Cycles'!$BA$20/12,IF(CA$6&gt;='Lease Cycles'!$AX$20,'Lease Cycles'!$C$20*'Lease Cycles'!$AY$20/12,IF(CA$6&gt;='Lease Cycles'!$AV$20,'Lease Cycles'!$C$20*'Lease Cycles'!$AW$20/12,IF(CA$6&gt;='Lease Cycles'!$AT$20,'Lease Cycles'!$C$20*'Lease Cycles'!$AU$20/12,'Lease Cycles'!$C$20*INDEX('Lease Cycles'!$CB$20:$CH$20,1,CA214)*(1+INDEX('Lease Cycles'!$CI$20:$CO$20,1,CA214))^INT(INT(CA215/12)/INDEX('Lease Cycles'!$CP$20:$CV$20,1,CA214))/12)))),'Lease Cycles'!$C$20*INDEX('Lease Cycles'!$CB$20:$CH$20,1,CA214)*(1+INDEX('Lease Cycles'!$CI$20:$CO$20,1,CA214))^INT(INT(CA215/12)/INDEX('Lease Cycles'!$CP$20:$CV$20,1,CA214))/12),IF(INDEX('Lease Cycles'!$EF$20:$EL$20,1,CA214)=1,IF(AND('Lease Cycles'!$AZ$20&gt;=INDEX('Lease Cycles'!$BG$20:$BM$20,1,CA214),'Lease Cycles'!$AZ$20&lt;=CA$6),'Lease Cycles'!$C$20*'Lease Cycles'!$BA$20/12,IF(AND('Lease Cycles'!$AX$20&gt;=INDEX('Lease Cycles'!$BG$20:$BM$20,1,CA214),'Lease Cycles'!$AX$20&lt;=CA$6),'Lease Cycles'!$C$20*'Lease Cycles'!$AY$20/12,IF(AND('Lease Cycles'!$AV$20&gt;=INDEX('Lease Cycles'!$BG$20:$BM$20,1,CA214),'Lease Cycles'!$AV$20&lt;=CA$6),'Lease Cycles'!$C$20*'Lease Cycles'!$AW$20/12,IF(AND('Lease Cycles'!$AT$20&gt;=INDEX('Lease Cycles'!$BG$20:$BM$20,1,CA214),'Lease Cycles'!$AT$20&lt;=CA$6),'Lease Cycles'!$C$20*'Lease Cycles'!$AU$20/12,'Lease Cycles'!$C$20*INDEX('Lease Cycles'!$CB$20:$CH$20,1,CA214)*(1+INDEX('Lease Cycles'!$CI$20:$CO$20,1,CA214))^INT(INT(CA215/12)/INDEX('Lease Cycles'!$CP$20:$CV$20,1,CA214))/12)))),'Lease Cycles'!$C$20*INDEX('Lease Cycles'!$CB$20:$CH$20,1,CA214)*(1+INDEX('Lease Cycles'!$CI$20:$CO$20,1,CA214))^INT(INT(CA215/12)/INDEX('Lease Cycles'!$CP$20:$CV$20,1,CA214))/12))),IF('Lease Cycles'!$N$20=1,'Lease Cycles'!$C$20*'Lease Cycles'!$E$20*INDEX('Lease Cycles'!$HE$20:$HK$20,1,CA214)*(1+INDEX('Lease Cycles'!$GQ$20:$GW$20,1,CA214))^INT(INT((CA$6-INDEX('Lease Cycles'!$GJ$20:$GP$20,1,CA214))/12)/INDEX('Lease Cycles'!$GX$20:$HD$20,1,CA214))/12,0)))</f>
        <v>0</v>
      </c>
      <c r="CB217" s="28">
        <f>IF(CB214=0,IF('Lease Cycles'!$F$20&gt;0,'Lease Cycles'!$C$20*'Lease Cycles'!$E$20/12,0),IF(CB216=1,IF('Lease Cycles'!$AT$20&gt;=9999,'Lease Cycles'!$C$20*INDEX('Lease Cycles'!$CB$20:$CH$20,1,CB214)*(1+INDEX('Lease Cycles'!$CI$20:$CO$20,1,CB214))^INT(INT(CB215/12)/INDEX('Lease Cycles'!$CP$20:$CV$20,1,CB214))/12,IF(CB214=1,IF(CB215&gt;=INDEX('Lease Cycles'!$DK$20:$DQ$20,1,CB214),IF(CB$6&gt;='Lease Cycles'!$AZ$20,'Lease Cycles'!$C$20*'Lease Cycles'!$BA$20/12,IF(CB$6&gt;='Lease Cycles'!$AX$20,'Lease Cycles'!$C$20*'Lease Cycles'!$AY$20/12,IF(CB$6&gt;='Lease Cycles'!$AV$20,'Lease Cycles'!$C$20*'Lease Cycles'!$AW$20/12,IF(CB$6&gt;='Lease Cycles'!$AT$20,'Lease Cycles'!$C$20*'Lease Cycles'!$AU$20/12,'Lease Cycles'!$C$20*INDEX('Lease Cycles'!$CB$20:$CH$20,1,CB214)*(1+INDEX('Lease Cycles'!$CI$20:$CO$20,1,CB214))^INT(INT(CB215/12)/INDEX('Lease Cycles'!$CP$20:$CV$20,1,CB214))/12)))),'Lease Cycles'!$C$20*INDEX('Lease Cycles'!$CB$20:$CH$20,1,CB214)*(1+INDEX('Lease Cycles'!$CI$20:$CO$20,1,CB214))^INT(INT(CB215/12)/INDEX('Lease Cycles'!$CP$20:$CV$20,1,CB214))/12),IF(INDEX('Lease Cycles'!$EF$20:$EL$20,1,CB214)=1,IF(AND('Lease Cycles'!$AZ$20&gt;=INDEX('Lease Cycles'!$BG$20:$BM$20,1,CB214),'Lease Cycles'!$AZ$20&lt;=CB$6),'Lease Cycles'!$C$20*'Lease Cycles'!$BA$20/12,IF(AND('Lease Cycles'!$AX$20&gt;=INDEX('Lease Cycles'!$BG$20:$BM$20,1,CB214),'Lease Cycles'!$AX$20&lt;=CB$6),'Lease Cycles'!$C$20*'Lease Cycles'!$AY$20/12,IF(AND('Lease Cycles'!$AV$20&gt;=INDEX('Lease Cycles'!$BG$20:$BM$20,1,CB214),'Lease Cycles'!$AV$20&lt;=CB$6),'Lease Cycles'!$C$20*'Lease Cycles'!$AW$20/12,IF(AND('Lease Cycles'!$AT$20&gt;=INDEX('Lease Cycles'!$BG$20:$BM$20,1,CB214),'Lease Cycles'!$AT$20&lt;=CB$6),'Lease Cycles'!$C$20*'Lease Cycles'!$AU$20/12,'Lease Cycles'!$C$20*INDEX('Lease Cycles'!$CB$20:$CH$20,1,CB214)*(1+INDEX('Lease Cycles'!$CI$20:$CO$20,1,CB214))^INT(INT(CB215/12)/INDEX('Lease Cycles'!$CP$20:$CV$20,1,CB214))/12)))),'Lease Cycles'!$C$20*INDEX('Lease Cycles'!$CB$20:$CH$20,1,CB214)*(1+INDEX('Lease Cycles'!$CI$20:$CO$20,1,CB214))^INT(INT(CB215/12)/INDEX('Lease Cycles'!$CP$20:$CV$20,1,CB214))/12))),IF('Lease Cycles'!$N$20=1,'Lease Cycles'!$C$20*'Lease Cycles'!$E$20*INDEX('Lease Cycles'!$HE$20:$HK$20,1,CB214)*(1+INDEX('Lease Cycles'!$GQ$20:$GW$20,1,CB214))^INT(INT((CB$6-INDEX('Lease Cycles'!$GJ$20:$GP$20,1,CB214))/12)/INDEX('Lease Cycles'!$GX$20:$HD$20,1,CB214))/12,0)))</f>
        <v>0</v>
      </c>
      <c r="CC217" s="28">
        <f>IF(CC214=0,IF('Lease Cycles'!$F$20&gt;0,'Lease Cycles'!$C$20*'Lease Cycles'!$E$20/12,0),IF(CC216=1,IF('Lease Cycles'!$AT$20&gt;=9999,'Lease Cycles'!$C$20*INDEX('Lease Cycles'!$CB$20:$CH$20,1,CC214)*(1+INDEX('Lease Cycles'!$CI$20:$CO$20,1,CC214))^INT(INT(CC215/12)/INDEX('Lease Cycles'!$CP$20:$CV$20,1,CC214))/12,IF(CC214=1,IF(CC215&gt;=INDEX('Lease Cycles'!$DK$20:$DQ$20,1,CC214),IF(CC$6&gt;='Lease Cycles'!$AZ$20,'Lease Cycles'!$C$20*'Lease Cycles'!$BA$20/12,IF(CC$6&gt;='Lease Cycles'!$AX$20,'Lease Cycles'!$C$20*'Lease Cycles'!$AY$20/12,IF(CC$6&gt;='Lease Cycles'!$AV$20,'Lease Cycles'!$C$20*'Lease Cycles'!$AW$20/12,IF(CC$6&gt;='Lease Cycles'!$AT$20,'Lease Cycles'!$C$20*'Lease Cycles'!$AU$20/12,'Lease Cycles'!$C$20*INDEX('Lease Cycles'!$CB$20:$CH$20,1,CC214)*(1+INDEX('Lease Cycles'!$CI$20:$CO$20,1,CC214))^INT(INT(CC215/12)/INDEX('Lease Cycles'!$CP$20:$CV$20,1,CC214))/12)))),'Lease Cycles'!$C$20*INDEX('Lease Cycles'!$CB$20:$CH$20,1,CC214)*(1+INDEX('Lease Cycles'!$CI$20:$CO$20,1,CC214))^INT(INT(CC215/12)/INDEX('Lease Cycles'!$CP$20:$CV$20,1,CC214))/12),IF(INDEX('Lease Cycles'!$EF$20:$EL$20,1,CC214)=1,IF(AND('Lease Cycles'!$AZ$20&gt;=INDEX('Lease Cycles'!$BG$20:$BM$20,1,CC214),'Lease Cycles'!$AZ$20&lt;=CC$6),'Lease Cycles'!$C$20*'Lease Cycles'!$BA$20/12,IF(AND('Lease Cycles'!$AX$20&gt;=INDEX('Lease Cycles'!$BG$20:$BM$20,1,CC214),'Lease Cycles'!$AX$20&lt;=CC$6),'Lease Cycles'!$C$20*'Lease Cycles'!$AY$20/12,IF(AND('Lease Cycles'!$AV$20&gt;=INDEX('Lease Cycles'!$BG$20:$BM$20,1,CC214),'Lease Cycles'!$AV$20&lt;=CC$6),'Lease Cycles'!$C$20*'Lease Cycles'!$AW$20/12,IF(AND('Lease Cycles'!$AT$20&gt;=INDEX('Lease Cycles'!$BG$20:$BM$20,1,CC214),'Lease Cycles'!$AT$20&lt;=CC$6),'Lease Cycles'!$C$20*'Lease Cycles'!$AU$20/12,'Lease Cycles'!$C$20*INDEX('Lease Cycles'!$CB$20:$CH$20,1,CC214)*(1+INDEX('Lease Cycles'!$CI$20:$CO$20,1,CC214))^INT(INT(CC215/12)/INDEX('Lease Cycles'!$CP$20:$CV$20,1,CC214))/12)))),'Lease Cycles'!$C$20*INDEX('Lease Cycles'!$CB$20:$CH$20,1,CC214)*(1+INDEX('Lease Cycles'!$CI$20:$CO$20,1,CC214))^INT(INT(CC215/12)/INDEX('Lease Cycles'!$CP$20:$CV$20,1,CC214))/12))),IF('Lease Cycles'!$N$20=1,'Lease Cycles'!$C$20*'Lease Cycles'!$E$20*INDEX('Lease Cycles'!$HE$20:$HK$20,1,CC214)*(1+INDEX('Lease Cycles'!$GQ$20:$GW$20,1,CC214))^INT(INT((CC$6-INDEX('Lease Cycles'!$GJ$20:$GP$20,1,CC214))/12)/INDEX('Lease Cycles'!$GX$20:$HD$20,1,CC214))/12,0)))</f>
        <v>0</v>
      </c>
      <c r="CD217" s="28">
        <f>IF(CD214=0,IF('Lease Cycles'!$F$20&gt;0,'Lease Cycles'!$C$20*'Lease Cycles'!$E$20/12,0),IF(CD216=1,IF('Lease Cycles'!$AT$20&gt;=9999,'Lease Cycles'!$C$20*INDEX('Lease Cycles'!$CB$20:$CH$20,1,CD214)*(1+INDEX('Lease Cycles'!$CI$20:$CO$20,1,CD214))^INT(INT(CD215/12)/INDEX('Lease Cycles'!$CP$20:$CV$20,1,CD214))/12,IF(CD214=1,IF(CD215&gt;=INDEX('Lease Cycles'!$DK$20:$DQ$20,1,CD214),IF(CD$6&gt;='Lease Cycles'!$AZ$20,'Lease Cycles'!$C$20*'Lease Cycles'!$BA$20/12,IF(CD$6&gt;='Lease Cycles'!$AX$20,'Lease Cycles'!$C$20*'Lease Cycles'!$AY$20/12,IF(CD$6&gt;='Lease Cycles'!$AV$20,'Lease Cycles'!$C$20*'Lease Cycles'!$AW$20/12,IF(CD$6&gt;='Lease Cycles'!$AT$20,'Lease Cycles'!$C$20*'Lease Cycles'!$AU$20/12,'Lease Cycles'!$C$20*INDEX('Lease Cycles'!$CB$20:$CH$20,1,CD214)*(1+INDEX('Lease Cycles'!$CI$20:$CO$20,1,CD214))^INT(INT(CD215/12)/INDEX('Lease Cycles'!$CP$20:$CV$20,1,CD214))/12)))),'Lease Cycles'!$C$20*INDEX('Lease Cycles'!$CB$20:$CH$20,1,CD214)*(1+INDEX('Lease Cycles'!$CI$20:$CO$20,1,CD214))^INT(INT(CD215/12)/INDEX('Lease Cycles'!$CP$20:$CV$20,1,CD214))/12),IF(INDEX('Lease Cycles'!$EF$20:$EL$20,1,CD214)=1,IF(AND('Lease Cycles'!$AZ$20&gt;=INDEX('Lease Cycles'!$BG$20:$BM$20,1,CD214),'Lease Cycles'!$AZ$20&lt;=CD$6),'Lease Cycles'!$C$20*'Lease Cycles'!$BA$20/12,IF(AND('Lease Cycles'!$AX$20&gt;=INDEX('Lease Cycles'!$BG$20:$BM$20,1,CD214),'Lease Cycles'!$AX$20&lt;=CD$6),'Lease Cycles'!$C$20*'Lease Cycles'!$AY$20/12,IF(AND('Lease Cycles'!$AV$20&gt;=INDEX('Lease Cycles'!$BG$20:$BM$20,1,CD214),'Lease Cycles'!$AV$20&lt;=CD$6),'Lease Cycles'!$C$20*'Lease Cycles'!$AW$20/12,IF(AND('Lease Cycles'!$AT$20&gt;=INDEX('Lease Cycles'!$BG$20:$BM$20,1,CD214),'Lease Cycles'!$AT$20&lt;=CD$6),'Lease Cycles'!$C$20*'Lease Cycles'!$AU$20/12,'Lease Cycles'!$C$20*INDEX('Lease Cycles'!$CB$20:$CH$20,1,CD214)*(1+INDEX('Lease Cycles'!$CI$20:$CO$20,1,CD214))^INT(INT(CD215/12)/INDEX('Lease Cycles'!$CP$20:$CV$20,1,CD214))/12)))),'Lease Cycles'!$C$20*INDEX('Lease Cycles'!$CB$20:$CH$20,1,CD214)*(1+INDEX('Lease Cycles'!$CI$20:$CO$20,1,CD214))^INT(INT(CD215/12)/INDEX('Lease Cycles'!$CP$20:$CV$20,1,CD214))/12))),IF('Lease Cycles'!$N$20=1,'Lease Cycles'!$C$20*'Lease Cycles'!$E$20*INDEX('Lease Cycles'!$HE$20:$HK$20,1,CD214)*(1+INDEX('Lease Cycles'!$GQ$20:$GW$20,1,CD214))^INT(INT((CD$6-INDEX('Lease Cycles'!$GJ$20:$GP$20,1,CD214))/12)/INDEX('Lease Cycles'!$GX$20:$HD$20,1,CD214))/12,0)))</f>
        <v>0</v>
      </c>
      <c r="CE217" s="28">
        <f>IF(CE214=0,IF('Lease Cycles'!$F$20&gt;0,'Lease Cycles'!$C$20*'Lease Cycles'!$E$20/12,0),IF(CE216=1,IF('Lease Cycles'!$AT$20&gt;=9999,'Lease Cycles'!$C$20*INDEX('Lease Cycles'!$CB$20:$CH$20,1,CE214)*(1+INDEX('Lease Cycles'!$CI$20:$CO$20,1,CE214))^INT(INT(CE215/12)/INDEX('Lease Cycles'!$CP$20:$CV$20,1,CE214))/12,IF(CE214=1,IF(CE215&gt;=INDEX('Lease Cycles'!$DK$20:$DQ$20,1,CE214),IF(CE$6&gt;='Lease Cycles'!$AZ$20,'Lease Cycles'!$C$20*'Lease Cycles'!$BA$20/12,IF(CE$6&gt;='Lease Cycles'!$AX$20,'Lease Cycles'!$C$20*'Lease Cycles'!$AY$20/12,IF(CE$6&gt;='Lease Cycles'!$AV$20,'Lease Cycles'!$C$20*'Lease Cycles'!$AW$20/12,IF(CE$6&gt;='Lease Cycles'!$AT$20,'Lease Cycles'!$C$20*'Lease Cycles'!$AU$20/12,'Lease Cycles'!$C$20*INDEX('Lease Cycles'!$CB$20:$CH$20,1,CE214)*(1+INDEX('Lease Cycles'!$CI$20:$CO$20,1,CE214))^INT(INT(CE215/12)/INDEX('Lease Cycles'!$CP$20:$CV$20,1,CE214))/12)))),'Lease Cycles'!$C$20*INDEX('Lease Cycles'!$CB$20:$CH$20,1,CE214)*(1+INDEX('Lease Cycles'!$CI$20:$CO$20,1,CE214))^INT(INT(CE215/12)/INDEX('Lease Cycles'!$CP$20:$CV$20,1,CE214))/12),IF(INDEX('Lease Cycles'!$EF$20:$EL$20,1,CE214)=1,IF(AND('Lease Cycles'!$AZ$20&gt;=INDEX('Lease Cycles'!$BG$20:$BM$20,1,CE214),'Lease Cycles'!$AZ$20&lt;=CE$6),'Lease Cycles'!$C$20*'Lease Cycles'!$BA$20/12,IF(AND('Lease Cycles'!$AX$20&gt;=INDEX('Lease Cycles'!$BG$20:$BM$20,1,CE214),'Lease Cycles'!$AX$20&lt;=CE$6),'Lease Cycles'!$C$20*'Lease Cycles'!$AY$20/12,IF(AND('Lease Cycles'!$AV$20&gt;=INDEX('Lease Cycles'!$BG$20:$BM$20,1,CE214),'Lease Cycles'!$AV$20&lt;=CE$6),'Lease Cycles'!$C$20*'Lease Cycles'!$AW$20/12,IF(AND('Lease Cycles'!$AT$20&gt;=INDEX('Lease Cycles'!$BG$20:$BM$20,1,CE214),'Lease Cycles'!$AT$20&lt;=CE$6),'Lease Cycles'!$C$20*'Lease Cycles'!$AU$20/12,'Lease Cycles'!$C$20*INDEX('Lease Cycles'!$CB$20:$CH$20,1,CE214)*(1+INDEX('Lease Cycles'!$CI$20:$CO$20,1,CE214))^INT(INT(CE215/12)/INDEX('Lease Cycles'!$CP$20:$CV$20,1,CE214))/12)))),'Lease Cycles'!$C$20*INDEX('Lease Cycles'!$CB$20:$CH$20,1,CE214)*(1+INDEX('Lease Cycles'!$CI$20:$CO$20,1,CE214))^INT(INT(CE215/12)/INDEX('Lease Cycles'!$CP$20:$CV$20,1,CE214))/12))),IF('Lease Cycles'!$N$20=1,'Lease Cycles'!$C$20*'Lease Cycles'!$E$20*INDEX('Lease Cycles'!$HE$20:$HK$20,1,CE214)*(1+INDEX('Lease Cycles'!$GQ$20:$GW$20,1,CE214))^INT(INT((CE$6-INDEX('Lease Cycles'!$GJ$20:$GP$20,1,CE214))/12)/INDEX('Lease Cycles'!$GX$20:$HD$20,1,CE214))/12,0)))</f>
        <v>0</v>
      </c>
      <c r="CF217" s="28">
        <f>IF(CF214=0,IF('Lease Cycles'!$F$20&gt;0,'Lease Cycles'!$C$20*'Lease Cycles'!$E$20/12,0),IF(CF216=1,IF('Lease Cycles'!$AT$20&gt;=9999,'Lease Cycles'!$C$20*INDEX('Lease Cycles'!$CB$20:$CH$20,1,CF214)*(1+INDEX('Lease Cycles'!$CI$20:$CO$20,1,CF214))^INT(INT(CF215/12)/INDEX('Lease Cycles'!$CP$20:$CV$20,1,CF214))/12,IF(CF214=1,IF(CF215&gt;=INDEX('Lease Cycles'!$DK$20:$DQ$20,1,CF214),IF(CF$6&gt;='Lease Cycles'!$AZ$20,'Lease Cycles'!$C$20*'Lease Cycles'!$BA$20/12,IF(CF$6&gt;='Lease Cycles'!$AX$20,'Lease Cycles'!$C$20*'Lease Cycles'!$AY$20/12,IF(CF$6&gt;='Lease Cycles'!$AV$20,'Lease Cycles'!$C$20*'Lease Cycles'!$AW$20/12,IF(CF$6&gt;='Lease Cycles'!$AT$20,'Lease Cycles'!$C$20*'Lease Cycles'!$AU$20/12,'Lease Cycles'!$C$20*INDEX('Lease Cycles'!$CB$20:$CH$20,1,CF214)*(1+INDEX('Lease Cycles'!$CI$20:$CO$20,1,CF214))^INT(INT(CF215/12)/INDEX('Lease Cycles'!$CP$20:$CV$20,1,CF214))/12)))),'Lease Cycles'!$C$20*INDEX('Lease Cycles'!$CB$20:$CH$20,1,CF214)*(1+INDEX('Lease Cycles'!$CI$20:$CO$20,1,CF214))^INT(INT(CF215/12)/INDEX('Lease Cycles'!$CP$20:$CV$20,1,CF214))/12),IF(INDEX('Lease Cycles'!$EF$20:$EL$20,1,CF214)=1,IF(AND('Lease Cycles'!$AZ$20&gt;=INDEX('Lease Cycles'!$BG$20:$BM$20,1,CF214),'Lease Cycles'!$AZ$20&lt;=CF$6),'Lease Cycles'!$C$20*'Lease Cycles'!$BA$20/12,IF(AND('Lease Cycles'!$AX$20&gt;=INDEX('Lease Cycles'!$BG$20:$BM$20,1,CF214),'Lease Cycles'!$AX$20&lt;=CF$6),'Lease Cycles'!$C$20*'Lease Cycles'!$AY$20/12,IF(AND('Lease Cycles'!$AV$20&gt;=INDEX('Lease Cycles'!$BG$20:$BM$20,1,CF214),'Lease Cycles'!$AV$20&lt;=CF$6),'Lease Cycles'!$C$20*'Lease Cycles'!$AW$20/12,IF(AND('Lease Cycles'!$AT$20&gt;=INDEX('Lease Cycles'!$BG$20:$BM$20,1,CF214),'Lease Cycles'!$AT$20&lt;=CF$6),'Lease Cycles'!$C$20*'Lease Cycles'!$AU$20/12,'Lease Cycles'!$C$20*INDEX('Lease Cycles'!$CB$20:$CH$20,1,CF214)*(1+INDEX('Lease Cycles'!$CI$20:$CO$20,1,CF214))^INT(INT(CF215/12)/INDEX('Lease Cycles'!$CP$20:$CV$20,1,CF214))/12)))),'Lease Cycles'!$C$20*INDEX('Lease Cycles'!$CB$20:$CH$20,1,CF214)*(1+INDEX('Lease Cycles'!$CI$20:$CO$20,1,CF214))^INT(INT(CF215/12)/INDEX('Lease Cycles'!$CP$20:$CV$20,1,CF214))/12))),IF('Lease Cycles'!$N$20=1,'Lease Cycles'!$C$20*'Lease Cycles'!$E$20*INDEX('Lease Cycles'!$HE$20:$HK$20,1,CF214)*(1+INDEX('Lease Cycles'!$GQ$20:$GW$20,1,CF214))^INT(INT((CF$6-INDEX('Lease Cycles'!$GJ$20:$GP$20,1,CF214))/12)/INDEX('Lease Cycles'!$GX$20:$HD$20,1,CF214))/12,0)))</f>
        <v>0</v>
      </c>
      <c r="CG217" s="28">
        <f>IF(CG214=0,IF('Lease Cycles'!$F$20&gt;0,'Lease Cycles'!$C$20*'Lease Cycles'!$E$20/12,0),IF(CG216=1,IF('Lease Cycles'!$AT$20&gt;=9999,'Lease Cycles'!$C$20*INDEX('Lease Cycles'!$CB$20:$CH$20,1,CG214)*(1+INDEX('Lease Cycles'!$CI$20:$CO$20,1,CG214))^INT(INT(CG215/12)/INDEX('Lease Cycles'!$CP$20:$CV$20,1,CG214))/12,IF(CG214=1,IF(CG215&gt;=INDEX('Lease Cycles'!$DK$20:$DQ$20,1,CG214),IF(CG$6&gt;='Lease Cycles'!$AZ$20,'Lease Cycles'!$C$20*'Lease Cycles'!$BA$20/12,IF(CG$6&gt;='Lease Cycles'!$AX$20,'Lease Cycles'!$C$20*'Lease Cycles'!$AY$20/12,IF(CG$6&gt;='Lease Cycles'!$AV$20,'Lease Cycles'!$C$20*'Lease Cycles'!$AW$20/12,IF(CG$6&gt;='Lease Cycles'!$AT$20,'Lease Cycles'!$C$20*'Lease Cycles'!$AU$20/12,'Lease Cycles'!$C$20*INDEX('Lease Cycles'!$CB$20:$CH$20,1,CG214)*(1+INDEX('Lease Cycles'!$CI$20:$CO$20,1,CG214))^INT(INT(CG215/12)/INDEX('Lease Cycles'!$CP$20:$CV$20,1,CG214))/12)))),'Lease Cycles'!$C$20*INDEX('Lease Cycles'!$CB$20:$CH$20,1,CG214)*(1+INDEX('Lease Cycles'!$CI$20:$CO$20,1,CG214))^INT(INT(CG215/12)/INDEX('Lease Cycles'!$CP$20:$CV$20,1,CG214))/12),IF(INDEX('Lease Cycles'!$EF$20:$EL$20,1,CG214)=1,IF(AND('Lease Cycles'!$AZ$20&gt;=INDEX('Lease Cycles'!$BG$20:$BM$20,1,CG214),'Lease Cycles'!$AZ$20&lt;=CG$6),'Lease Cycles'!$C$20*'Lease Cycles'!$BA$20/12,IF(AND('Lease Cycles'!$AX$20&gt;=INDEX('Lease Cycles'!$BG$20:$BM$20,1,CG214),'Lease Cycles'!$AX$20&lt;=CG$6),'Lease Cycles'!$C$20*'Lease Cycles'!$AY$20/12,IF(AND('Lease Cycles'!$AV$20&gt;=INDEX('Lease Cycles'!$BG$20:$BM$20,1,CG214),'Lease Cycles'!$AV$20&lt;=CG$6),'Lease Cycles'!$C$20*'Lease Cycles'!$AW$20/12,IF(AND('Lease Cycles'!$AT$20&gt;=INDEX('Lease Cycles'!$BG$20:$BM$20,1,CG214),'Lease Cycles'!$AT$20&lt;=CG$6),'Lease Cycles'!$C$20*'Lease Cycles'!$AU$20/12,'Lease Cycles'!$C$20*INDEX('Lease Cycles'!$CB$20:$CH$20,1,CG214)*(1+INDEX('Lease Cycles'!$CI$20:$CO$20,1,CG214))^INT(INT(CG215/12)/INDEX('Lease Cycles'!$CP$20:$CV$20,1,CG214))/12)))),'Lease Cycles'!$C$20*INDEX('Lease Cycles'!$CB$20:$CH$20,1,CG214)*(1+INDEX('Lease Cycles'!$CI$20:$CO$20,1,CG214))^INT(INT(CG215/12)/INDEX('Lease Cycles'!$CP$20:$CV$20,1,CG214))/12))),IF('Lease Cycles'!$N$20=1,'Lease Cycles'!$C$20*'Lease Cycles'!$E$20*INDEX('Lease Cycles'!$HE$20:$HK$20,1,CG214)*(1+INDEX('Lease Cycles'!$GQ$20:$GW$20,1,CG214))^INT(INT((CG$6-INDEX('Lease Cycles'!$GJ$20:$GP$20,1,CG214))/12)/INDEX('Lease Cycles'!$GX$20:$HD$20,1,CG214))/12,0)))</f>
        <v>0</v>
      </c>
      <c r="CH217" s="28">
        <f>IF(CH214=0,IF('Lease Cycles'!$F$20&gt;0,'Lease Cycles'!$C$20*'Lease Cycles'!$E$20/12,0),IF(CH216=1,IF('Lease Cycles'!$AT$20&gt;=9999,'Lease Cycles'!$C$20*INDEX('Lease Cycles'!$CB$20:$CH$20,1,CH214)*(1+INDEX('Lease Cycles'!$CI$20:$CO$20,1,CH214))^INT(INT(CH215/12)/INDEX('Lease Cycles'!$CP$20:$CV$20,1,CH214))/12,IF(CH214=1,IF(CH215&gt;=INDEX('Lease Cycles'!$DK$20:$DQ$20,1,CH214),IF(CH$6&gt;='Lease Cycles'!$AZ$20,'Lease Cycles'!$C$20*'Lease Cycles'!$BA$20/12,IF(CH$6&gt;='Lease Cycles'!$AX$20,'Lease Cycles'!$C$20*'Lease Cycles'!$AY$20/12,IF(CH$6&gt;='Lease Cycles'!$AV$20,'Lease Cycles'!$C$20*'Lease Cycles'!$AW$20/12,IF(CH$6&gt;='Lease Cycles'!$AT$20,'Lease Cycles'!$C$20*'Lease Cycles'!$AU$20/12,'Lease Cycles'!$C$20*INDEX('Lease Cycles'!$CB$20:$CH$20,1,CH214)*(1+INDEX('Lease Cycles'!$CI$20:$CO$20,1,CH214))^INT(INT(CH215/12)/INDEX('Lease Cycles'!$CP$20:$CV$20,1,CH214))/12)))),'Lease Cycles'!$C$20*INDEX('Lease Cycles'!$CB$20:$CH$20,1,CH214)*(1+INDEX('Lease Cycles'!$CI$20:$CO$20,1,CH214))^INT(INT(CH215/12)/INDEX('Lease Cycles'!$CP$20:$CV$20,1,CH214))/12),IF(INDEX('Lease Cycles'!$EF$20:$EL$20,1,CH214)=1,IF(AND('Lease Cycles'!$AZ$20&gt;=INDEX('Lease Cycles'!$BG$20:$BM$20,1,CH214),'Lease Cycles'!$AZ$20&lt;=CH$6),'Lease Cycles'!$C$20*'Lease Cycles'!$BA$20/12,IF(AND('Lease Cycles'!$AX$20&gt;=INDEX('Lease Cycles'!$BG$20:$BM$20,1,CH214),'Lease Cycles'!$AX$20&lt;=CH$6),'Lease Cycles'!$C$20*'Lease Cycles'!$AY$20/12,IF(AND('Lease Cycles'!$AV$20&gt;=INDEX('Lease Cycles'!$BG$20:$BM$20,1,CH214),'Lease Cycles'!$AV$20&lt;=CH$6),'Lease Cycles'!$C$20*'Lease Cycles'!$AW$20/12,IF(AND('Lease Cycles'!$AT$20&gt;=INDEX('Lease Cycles'!$BG$20:$BM$20,1,CH214),'Lease Cycles'!$AT$20&lt;=CH$6),'Lease Cycles'!$C$20*'Lease Cycles'!$AU$20/12,'Lease Cycles'!$C$20*INDEX('Lease Cycles'!$CB$20:$CH$20,1,CH214)*(1+INDEX('Lease Cycles'!$CI$20:$CO$20,1,CH214))^INT(INT(CH215/12)/INDEX('Lease Cycles'!$CP$20:$CV$20,1,CH214))/12)))),'Lease Cycles'!$C$20*INDEX('Lease Cycles'!$CB$20:$CH$20,1,CH214)*(1+INDEX('Lease Cycles'!$CI$20:$CO$20,1,CH214))^INT(INT(CH215/12)/INDEX('Lease Cycles'!$CP$20:$CV$20,1,CH214))/12))),IF('Lease Cycles'!$N$20=1,'Lease Cycles'!$C$20*'Lease Cycles'!$E$20*INDEX('Lease Cycles'!$HE$20:$HK$20,1,CH214)*(1+INDEX('Lease Cycles'!$GQ$20:$GW$20,1,CH214))^INT(INT((CH$6-INDEX('Lease Cycles'!$GJ$20:$GP$20,1,CH214))/12)/INDEX('Lease Cycles'!$GX$20:$HD$20,1,CH214))/12,0)))</f>
        <v>0</v>
      </c>
      <c r="CI217" s="28">
        <f>IF(CI214=0,IF('Lease Cycles'!$F$20&gt;0,'Lease Cycles'!$C$20*'Lease Cycles'!$E$20/12,0),IF(CI216=1,IF('Lease Cycles'!$AT$20&gt;=9999,'Lease Cycles'!$C$20*INDEX('Lease Cycles'!$CB$20:$CH$20,1,CI214)*(1+INDEX('Lease Cycles'!$CI$20:$CO$20,1,CI214))^INT(INT(CI215/12)/INDEX('Lease Cycles'!$CP$20:$CV$20,1,CI214))/12,IF(CI214=1,IF(CI215&gt;=INDEX('Lease Cycles'!$DK$20:$DQ$20,1,CI214),IF(CI$6&gt;='Lease Cycles'!$AZ$20,'Lease Cycles'!$C$20*'Lease Cycles'!$BA$20/12,IF(CI$6&gt;='Lease Cycles'!$AX$20,'Lease Cycles'!$C$20*'Lease Cycles'!$AY$20/12,IF(CI$6&gt;='Lease Cycles'!$AV$20,'Lease Cycles'!$C$20*'Lease Cycles'!$AW$20/12,IF(CI$6&gt;='Lease Cycles'!$AT$20,'Lease Cycles'!$C$20*'Lease Cycles'!$AU$20/12,'Lease Cycles'!$C$20*INDEX('Lease Cycles'!$CB$20:$CH$20,1,CI214)*(1+INDEX('Lease Cycles'!$CI$20:$CO$20,1,CI214))^INT(INT(CI215/12)/INDEX('Lease Cycles'!$CP$20:$CV$20,1,CI214))/12)))),'Lease Cycles'!$C$20*INDEX('Lease Cycles'!$CB$20:$CH$20,1,CI214)*(1+INDEX('Lease Cycles'!$CI$20:$CO$20,1,CI214))^INT(INT(CI215/12)/INDEX('Lease Cycles'!$CP$20:$CV$20,1,CI214))/12),IF(INDEX('Lease Cycles'!$EF$20:$EL$20,1,CI214)=1,IF(AND('Lease Cycles'!$AZ$20&gt;=INDEX('Lease Cycles'!$BG$20:$BM$20,1,CI214),'Lease Cycles'!$AZ$20&lt;=CI$6),'Lease Cycles'!$C$20*'Lease Cycles'!$BA$20/12,IF(AND('Lease Cycles'!$AX$20&gt;=INDEX('Lease Cycles'!$BG$20:$BM$20,1,CI214),'Lease Cycles'!$AX$20&lt;=CI$6),'Lease Cycles'!$C$20*'Lease Cycles'!$AY$20/12,IF(AND('Lease Cycles'!$AV$20&gt;=INDEX('Lease Cycles'!$BG$20:$BM$20,1,CI214),'Lease Cycles'!$AV$20&lt;=CI$6),'Lease Cycles'!$C$20*'Lease Cycles'!$AW$20/12,IF(AND('Lease Cycles'!$AT$20&gt;=INDEX('Lease Cycles'!$BG$20:$BM$20,1,CI214),'Lease Cycles'!$AT$20&lt;=CI$6),'Lease Cycles'!$C$20*'Lease Cycles'!$AU$20/12,'Lease Cycles'!$C$20*INDEX('Lease Cycles'!$CB$20:$CH$20,1,CI214)*(1+INDEX('Lease Cycles'!$CI$20:$CO$20,1,CI214))^INT(INT(CI215/12)/INDEX('Lease Cycles'!$CP$20:$CV$20,1,CI214))/12)))),'Lease Cycles'!$C$20*INDEX('Lease Cycles'!$CB$20:$CH$20,1,CI214)*(1+INDEX('Lease Cycles'!$CI$20:$CO$20,1,CI214))^INT(INT(CI215/12)/INDEX('Lease Cycles'!$CP$20:$CV$20,1,CI214))/12))),IF('Lease Cycles'!$N$20=1,'Lease Cycles'!$C$20*'Lease Cycles'!$E$20*INDEX('Lease Cycles'!$HE$20:$HK$20,1,CI214)*(1+INDEX('Lease Cycles'!$GQ$20:$GW$20,1,CI214))^INT(INT((CI$6-INDEX('Lease Cycles'!$GJ$20:$GP$20,1,CI214))/12)/INDEX('Lease Cycles'!$GX$20:$HD$20,1,CI214))/12,0)))</f>
        <v>0</v>
      </c>
      <c r="CJ217" s="28">
        <f>IF(CJ214=0,IF('Lease Cycles'!$F$20&gt;0,'Lease Cycles'!$C$20*'Lease Cycles'!$E$20/12,0),IF(CJ216=1,IF('Lease Cycles'!$AT$20&gt;=9999,'Lease Cycles'!$C$20*INDEX('Lease Cycles'!$CB$20:$CH$20,1,CJ214)*(1+INDEX('Lease Cycles'!$CI$20:$CO$20,1,CJ214))^INT(INT(CJ215/12)/INDEX('Lease Cycles'!$CP$20:$CV$20,1,CJ214))/12,IF(CJ214=1,IF(CJ215&gt;=INDEX('Lease Cycles'!$DK$20:$DQ$20,1,CJ214),IF(CJ$6&gt;='Lease Cycles'!$AZ$20,'Lease Cycles'!$C$20*'Lease Cycles'!$BA$20/12,IF(CJ$6&gt;='Lease Cycles'!$AX$20,'Lease Cycles'!$C$20*'Lease Cycles'!$AY$20/12,IF(CJ$6&gt;='Lease Cycles'!$AV$20,'Lease Cycles'!$C$20*'Lease Cycles'!$AW$20/12,IF(CJ$6&gt;='Lease Cycles'!$AT$20,'Lease Cycles'!$C$20*'Lease Cycles'!$AU$20/12,'Lease Cycles'!$C$20*INDEX('Lease Cycles'!$CB$20:$CH$20,1,CJ214)*(1+INDEX('Lease Cycles'!$CI$20:$CO$20,1,CJ214))^INT(INT(CJ215/12)/INDEX('Lease Cycles'!$CP$20:$CV$20,1,CJ214))/12)))),'Lease Cycles'!$C$20*INDEX('Lease Cycles'!$CB$20:$CH$20,1,CJ214)*(1+INDEX('Lease Cycles'!$CI$20:$CO$20,1,CJ214))^INT(INT(CJ215/12)/INDEX('Lease Cycles'!$CP$20:$CV$20,1,CJ214))/12),IF(INDEX('Lease Cycles'!$EF$20:$EL$20,1,CJ214)=1,IF(AND('Lease Cycles'!$AZ$20&gt;=INDEX('Lease Cycles'!$BG$20:$BM$20,1,CJ214),'Lease Cycles'!$AZ$20&lt;=CJ$6),'Lease Cycles'!$C$20*'Lease Cycles'!$BA$20/12,IF(AND('Lease Cycles'!$AX$20&gt;=INDEX('Lease Cycles'!$BG$20:$BM$20,1,CJ214),'Lease Cycles'!$AX$20&lt;=CJ$6),'Lease Cycles'!$C$20*'Lease Cycles'!$AY$20/12,IF(AND('Lease Cycles'!$AV$20&gt;=INDEX('Lease Cycles'!$BG$20:$BM$20,1,CJ214),'Lease Cycles'!$AV$20&lt;=CJ$6),'Lease Cycles'!$C$20*'Lease Cycles'!$AW$20/12,IF(AND('Lease Cycles'!$AT$20&gt;=INDEX('Lease Cycles'!$BG$20:$BM$20,1,CJ214),'Lease Cycles'!$AT$20&lt;=CJ$6),'Lease Cycles'!$C$20*'Lease Cycles'!$AU$20/12,'Lease Cycles'!$C$20*INDEX('Lease Cycles'!$CB$20:$CH$20,1,CJ214)*(1+INDEX('Lease Cycles'!$CI$20:$CO$20,1,CJ214))^INT(INT(CJ215/12)/INDEX('Lease Cycles'!$CP$20:$CV$20,1,CJ214))/12)))),'Lease Cycles'!$C$20*INDEX('Lease Cycles'!$CB$20:$CH$20,1,CJ214)*(1+INDEX('Lease Cycles'!$CI$20:$CO$20,1,CJ214))^INT(INT(CJ215/12)/INDEX('Lease Cycles'!$CP$20:$CV$20,1,CJ214))/12))),IF('Lease Cycles'!$N$20=1,'Lease Cycles'!$C$20*'Lease Cycles'!$E$20*INDEX('Lease Cycles'!$HE$20:$HK$20,1,CJ214)*(1+INDEX('Lease Cycles'!$GQ$20:$GW$20,1,CJ214))^INT(INT((CJ$6-INDEX('Lease Cycles'!$GJ$20:$GP$20,1,CJ214))/12)/INDEX('Lease Cycles'!$GX$20:$HD$20,1,CJ214))/12,0)))</f>
        <v>0</v>
      </c>
      <c r="CK217" s="28">
        <f>IF(CK214=0,IF('Lease Cycles'!$F$20&gt;0,'Lease Cycles'!$C$20*'Lease Cycles'!$E$20/12,0),IF(CK216=1,IF('Lease Cycles'!$AT$20&gt;=9999,'Lease Cycles'!$C$20*INDEX('Lease Cycles'!$CB$20:$CH$20,1,CK214)*(1+INDEX('Lease Cycles'!$CI$20:$CO$20,1,CK214))^INT(INT(CK215/12)/INDEX('Lease Cycles'!$CP$20:$CV$20,1,CK214))/12,IF(CK214=1,IF(CK215&gt;=INDEX('Lease Cycles'!$DK$20:$DQ$20,1,CK214),IF(CK$6&gt;='Lease Cycles'!$AZ$20,'Lease Cycles'!$C$20*'Lease Cycles'!$BA$20/12,IF(CK$6&gt;='Lease Cycles'!$AX$20,'Lease Cycles'!$C$20*'Lease Cycles'!$AY$20/12,IF(CK$6&gt;='Lease Cycles'!$AV$20,'Lease Cycles'!$C$20*'Lease Cycles'!$AW$20/12,IF(CK$6&gt;='Lease Cycles'!$AT$20,'Lease Cycles'!$C$20*'Lease Cycles'!$AU$20/12,'Lease Cycles'!$C$20*INDEX('Lease Cycles'!$CB$20:$CH$20,1,CK214)*(1+INDEX('Lease Cycles'!$CI$20:$CO$20,1,CK214))^INT(INT(CK215/12)/INDEX('Lease Cycles'!$CP$20:$CV$20,1,CK214))/12)))),'Lease Cycles'!$C$20*INDEX('Lease Cycles'!$CB$20:$CH$20,1,CK214)*(1+INDEX('Lease Cycles'!$CI$20:$CO$20,1,CK214))^INT(INT(CK215/12)/INDEX('Lease Cycles'!$CP$20:$CV$20,1,CK214))/12),IF(INDEX('Lease Cycles'!$EF$20:$EL$20,1,CK214)=1,IF(AND('Lease Cycles'!$AZ$20&gt;=INDEX('Lease Cycles'!$BG$20:$BM$20,1,CK214),'Lease Cycles'!$AZ$20&lt;=CK$6),'Lease Cycles'!$C$20*'Lease Cycles'!$BA$20/12,IF(AND('Lease Cycles'!$AX$20&gt;=INDEX('Lease Cycles'!$BG$20:$BM$20,1,CK214),'Lease Cycles'!$AX$20&lt;=CK$6),'Lease Cycles'!$C$20*'Lease Cycles'!$AY$20/12,IF(AND('Lease Cycles'!$AV$20&gt;=INDEX('Lease Cycles'!$BG$20:$BM$20,1,CK214),'Lease Cycles'!$AV$20&lt;=CK$6),'Lease Cycles'!$C$20*'Lease Cycles'!$AW$20/12,IF(AND('Lease Cycles'!$AT$20&gt;=INDEX('Lease Cycles'!$BG$20:$BM$20,1,CK214),'Lease Cycles'!$AT$20&lt;=CK$6),'Lease Cycles'!$C$20*'Lease Cycles'!$AU$20/12,'Lease Cycles'!$C$20*INDEX('Lease Cycles'!$CB$20:$CH$20,1,CK214)*(1+INDEX('Lease Cycles'!$CI$20:$CO$20,1,CK214))^INT(INT(CK215/12)/INDEX('Lease Cycles'!$CP$20:$CV$20,1,CK214))/12)))),'Lease Cycles'!$C$20*INDEX('Lease Cycles'!$CB$20:$CH$20,1,CK214)*(1+INDEX('Lease Cycles'!$CI$20:$CO$20,1,CK214))^INT(INT(CK215/12)/INDEX('Lease Cycles'!$CP$20:$CV$20,1,CK214))/12))),IF('Lease Cycles'!$N$20=1,'Lease Cycles'!$C$20*'Lease Cycles'!$E$20*INDEX('Lease Cycles'!$HE$20:$HK$20,1,CK214)*(1+INDEX('Lease Cycles'!$GQ$20:$GW$20,1,CK214))^INT(INT((CK$6-INDEX('Lease Cycles'!$GJ$20:$GP$20,1,CK214))/12)/INDEX('Lease Cycles'!$GX$20:$HD$20,1,CK214))/12,0)))</f>
        <v>0</v>
      </c>
      <c r="CL217" s="28">
        <f>IF(CL214=0,IF('Lease Cycles'!$F$20&gt;0,'Lease Cycles'!$C$20*'Lease Cycles'!$E$20/12,0),IF(CL216=1,IF('Lease Cycles'!$AT$20&gt;=9999,'Lease Cycles'!$C$20*INDEX('Lease Cycles'!$CB$20:$CH$20,1,CL214)*(1+INDEX('Lease Cycles'!$CI$20:$CO$20,1,CL214))^INT(INT(CL215/12)/INDEX('Lease Cycles'!$CP$20:$CV$20,1,CL214))/12,IF(CL214=1,IF(CL215&gt;=INDEX('Lease Cycles'!$DK$20:$DQ$20,1,CL214),IF(CL$6&gt;='Lease Cycles'!$AZ$20,'Lease Cycles'!$C$20*'Lease Cycles'!$BA$20/12,IF(CL$6&gt;='Lease Cycles'!$AX$20,'Lease Cycles'!$C$20*'Lease Cycles'!$AY$20/12,IF(CL$6&gt;='Lease Cycles'!$AV$20,'Lease Cycles'!$C$20*'Lease Cycles'!$AW$20/12,IF(CL$6&gt;='Lease Cycles'!$AT$20,'Lease Cycles'!$C$20*'Lease Cycles'!$AU$20/12,'Lease Cycles'!$C$20*INDEX('Lease Cycles'!$CB$20:$CH$20,1,CL214)*(1+INDEX('Lease Cycles'!$CI$20:$CO$20,1,CL214))^INT(INT(CL215/12)/INDEX('Lease Cycles'!$CP$20:$CV$20,1,CL214))/12)))),'Lease Cycles'!$C$20*INDEX('Lease Cycles'!$CB$20:$CH$20,1,CL214)*(1+INDEX('Lease Cycles'!$CI$20:$CO$20,1,CL214))^INT(INT(CL215/12)/INDEX('Lease Cycles'!$CP$20:$CV$20,1,CL214))/12),IF(INDEX('Lease Cycles'!$EF$20:$EL$20,1,CL214)=1,IF(AND('Lease Cycles'!$AZ$20&gt;=INDEX('Lease Cycles'!$BG$20:$BM$20,1,CL214),'Lease Cycles'!$AZ$20&lt;=CL$6),'Lease Cycles'!$C$20*'Lease Cycles'!$BA$20/12,IF(AND('Lease Cycles'!$AX$20&gt;=INDEX('Lease Cycles'!$BG$20:$BM$20,1,CL214),'Lease Cycles'!$AX$20&lt;=CL$6),'Lease Cycles'!$C$20*'Lease Cycles'!$AY$20/12,IF(AND('Lease Cycles'!$AV$20&gt;=INDEX('Lease Cycles'!$BG$20:$BM$20,1,CL214),'Lease Cycles'!$AV$20&lt;=CL$6),'Lease Cycles'!$C$20*'Lease Cycles'!$AW$20/12,IF(AND('Lease Cycles'!$AT$20&gt;=INDEX('Lease Cycles'!$BG$20:$BM$20,1,CL214),'Lease Cycles'!$AT$20&lt;=CL$6),'Lease Cycles'!$C$20*'Lease Cycles'!$AU$20/12,'Lease Cycles'!$C$20*INDEX('Lease Cycles'!$CB$20:$CH$20,1,CL214)*(1+INDEX('Lease Cycles'!$CI$20:$CO$20,1,CL214))^INT(INT(CL215/12)/INDEX('Lease Cycles'!$CP$20:$CV$20,1,CL214))/12)))),'Lease Cycles'!$C$20*INDEX('Lease Cycles'!$CB$20:$CH$20,1,CL214)*(1+INDEX('Lease Cycles'!$CI$20:$CO$20,1,CL214))^INT(INT(CL215/12)/INDEX('Lease Cycles'!$CP$20:$CV$20,1,CL214))/12))),IF('Lease Cycles'!$N$20=1,'Lease Cycles'!$C$20*'Lease Cycles'!$E$20*INDEX('Lease Cycles'!$HE$20:$HK$20,1,CL214)*(1+INDEX('Lease Cycles'!$GQ$20:$GW$20,1,CL214))^INT(INT((CL$6-INDEX('Lease Cycles'!$GJ$20:$GP$20,1,CL214))/12)/INDEX('Lease Cycles'!$GX$20:$HD$20,1,CL214))/12,0)))</f>
        <v>0</v>
      </c>
      <c r="CM217" s="28">
        <f>IF(CM214=0,IF('Lease Cycles'!$F$20&gt;0,'Lease Cycles'!$C$20*'Lease Cycles'!$E$20/12,0),IF(CM216=1,IF('Lease Cycles'!$AT$20&gt;=9999,'Lease Cycles'!$C$20*INDEX('Lease Cycles'!$CB$20:$CH$20,1,CM214)*(1+INDEX('Lease Cycles'!$CI$20:$CO$20,1,CM214))^INT(INT(CM215/12)/INDEX('Lease Cycles'!$CP$20:$CV$20,1,CM214))/12,IF(CM214=1,IF(CM215&gt;=INDEX('Lease Cycles'!$DK$20:$DQ$20,1,CM214),IF(CM$6&gt;='Lease Cycles'!$AZ$20,'Lease Cycles'!$C$20*'Lease Cycles'!$BA$20/12,IF(CM$6&gt;='Lease Cycles'!$AX$20,'Lease Cycles'!$C$20*'Lease Cycles'!$AY$20/12,IF(CM$6&gt;='Lease Cycles'!$AV$20,'Lease Cycles'!$C$20*'Lease Cycles'!$AW$20/12,IF(CM$6&gt;='Lease Cycles'!$AT$20,'Lease Cycles'!$C$20*'Lease Cycles'!$AU$20/12,'Lease Cycles'!$C$20*INDEX('Lease Cycles'!$CB$20:$CH$20,1,CM214)*(1+INDEX('Lease Cycles'!$CI$20:$CO$20,1,CM214))^INT(INT(CM215/12)/INDEX('Lease Cycles'!$CP$20:$CV$20,1,CM214))/12)))),'Lease Cycles'!$C$20*INDEX('Lease Cycles'!$CB$20:$CH$20,1,CM214)*(1+INDEX('Lease Cycles'!$CI$20:$CO$20,1,CM214))^INT(INT(CM215/12)/INDEX('Lease Cycles'!$CP$20:$CV$20,1,CM214))/12),IF(INDEX('Lease Cycles'!$EF$20:$EL$20,1,CM214)=1,IF(AND('Lease Cycles'!$AZ$20&gt;=INDEX('Lease Cycles'!$BG$20:$BM$20,1,CM214),'Lease Cycles'!$AZ$20&lt;=CM$6),'Lease Cycles'!$C$20*'Lease Cycles'!$BA$20/12,IF(AND('Lease Cycles'!$AX$20&gt;=INDEX('Lease Cycles'!$BG$20:$BM$20,1,CM214),'Lease Cycles'!$AX$20&lt;=CM$6),'Lease Cycles'!$C$20*'Lease Cycles'!$AY$20/12,IF(AND('Lease Cycles'!$AV$20&gt;=INDEX('Lease Cycles'!$BG$20:$BM$20,1,CM214),'Lease Cycles'!$AV$20&lt;=CM$6),'Lease Cycles'!$C$20*'Lease Cycles'!$AW$20/12,IF(AND('Lease Cycles'!$AT$20&gt;=INDEX('Lease Cycles'!$BG$20:$BM$20,1,CM214),'Lease Cycles'!$AT$20&lt;=CM$6),'Lease Cycles'!$C$20*'Lease Cycles'!$AU$20/12,'Lease Cycles'!$C$20*INDEX('Lease Cycles'!$CB$20:$CH$20,1,CM214)*(1+INDEX('Lease Cycles'!$CI$20:$CO$20,1,CM214))^INT(INT(CM215/12)/INDEX('Lease Cycles'!$CP$20:$CV$20,1,CM214))/12)))),'Lease Cycles'!$C$20*INDEX('Lease Cycles'!$CB$20:$CH$20,1,CM214)*(1+INDEX('Lease Cycles'!$CI$20:$CO$20,1,CM214))^INT(INT(CM215/12)/INDEX('Lease Cycles'!$CP$20:$CV$20,1,CM214))/12))),IF('Lease Cycles'!$N$20=1,'Lease Cycles'!$C$20*'Lease Cycles'!$E$20*INDEX('Lease Cycles'!$HE$20:$HK$20,1,CM214)*(1+INDEX('Lease Cycles'!$GQ$20:$GW$20,1,CM214))^INT(INT((CM$6-INDEX('Lease Cycles'!$GJ$20:$GP$20,1,CM214))/12)/INDEX('Lease Cycles'!$GX$20:$HD$20,1,CM214))/12,0)))</f>
        <v>0</v>
      </c>
      <c r="CN217" s="28">
        <f>IF(CN214=0,IF('Lease Cycles'!$F$20&gt;0,'Lease Cycles'!$C$20*'Lease Cycles'!$E$20/12,0),IF(CN216=1,IF('Lease Cycles'!$AT$20&gt;=9999,'Lease Cycles'!$C$20*INDEX('Lease Cycles'!$CB$20:$CH$20,1,CN214)*(1+INDEX('Lease Cycles'!$CI$20:$CO$20,1,CN214))^INT(INT(CN215/12)/INDEX('Lease Cycles'!$CP$20:$CV$20,1,CN214))/12,IF(CN214=1,IF(CN215&gt;=INDEX('Lease Cycles'!$DK$20:$DQ$20,1,CN214),IF(CN$6&gt;='Lease Cycles'!$AZ$20,'Lease Cycles'!$C$20*'Lease Cycles'!$BA$20/12,IF(CN$6&gt;='Lease Cycles'!$AX$20,'Lease Cycles'!$C$20*'Lease Cycles'!$AY$20/12,IF(CN$6&gt;='Lease Cycles'!$AV$20,'Lease Cycles'!$C$20*'Lease Cycles'!$AW$20/12,IF(CN$6&gt;='Lease Cycles'!$AT$20,'Lease Cycles'!$C$20*'Lease Cycles'!$AU$20/12,'Lease Cycles'!$C$20*INDEX('Lease Cycles'!$CB$20:$CH$20,1,CN214)*(1+INDEX('Lease Cycles'!$CI$20:$CO$20,1,CN214))^INT(INT(CN215/12)/INDEX('Lease Cycles'!$CP$20:$CV$20,1,CN214))/12)))),'Lease Cycles'!$C$20*INDEX('Lease Cycles'!$CB$20:$CH$20,1,CN214)*(1+INDEX('Lease Cycles'!$CI$20:$CO$20,1,CN214))^INT(INT(CN215/12)/INDEX('Lease Cycles'!$CP$20:$CV$20,1,CN214))/12),IF(INDEX('Lease Cycles'!$EF$20:$EL$20,1,CN214)=1,IF(AND('Lease Cycles'!$AZ$20&gt;=INDEX('Lease Cycles'!$BG$20:$BM$20,1,CN214),'Lease Cycles'!$AZ$20&lt;=CN$6),'Lease Cycles'!$C$20*'Lease Cycles'!$BA$20/12,IF(AND('Lease Cycles'!$AX$20&gt;=INDEX('Lease Cycles'!$BG$20:$BM$20,1,CN214),'Lease Cycles'!$AX$20&lt;=CN$6),'Lease Cycles'!$C$20*'Lease Cycles'!$AY$20/12,IF(AND('Lease Cycles'!$AV$20&gt;=INDEX('Lease Cycles'!$BG$20:$BM$20,1,CN214),'Lease Cycles'!$AV$20&lt;=CN$6),'Lease Cycles'!$C$20*'Lease Cycles'!$AW$20/12,IF(AND('Lease Cycles'!$AT$20&gt;=INDEX('Lease Cycles'!$BG$20:$BM$20,1,CN214),'Lease Cycles'!$AT$20&lt;=CN$6),'Lease Cycles'!$C$20*'Lease Cycles'!$AU$20/12,'Lease Cycles'!$C$20*INDEX('Lease Cycles'!$CB$20:$CH$20,1,CN214)*(1+INDEX('Lease Cycles'!$CI$20:$CO$20,1,CN214))^INT(INT(CN215/12)/INDEX('Lease Cycles'!$CP$20:$CV$20,1,CN214))/12)))),'Lease Cycles'!$C$20*INDEX('Lease Cycles'!$CB$20:$CH$20,1,CN214)*(1+INDEX('Lease Cycles'!$CI$20:$CO$20,1,CN214))^INT(INT(CN215/12)/INDEX('Lease Cycles'!$CP$20:$CV$20,1,CN214))/12))),IF('Lease Cycles'!$N$20=1,'Lease Cycles'!$C$20*'Lease Cycles'!$E$20*INDEX('Lease Cycles'!$HE$20:$HK$20,1,CN214)*(1+INDEX('Lease Cycles'!$GQ$20:$GW$20,1,CN214))^INT(INT((CN$6-INDEX('Lease Cycles'!$GJ$20:$GP$20,1,CN214))/12)/INDEX('Lease Cycles'!$GX$20:$HD$20,1,CN214))/12,0)))</f>
        <v>0</v>
      </c>
      <c r="CO217" s="28">
        <f>IF(CO214=0,IF('Lease Cycles'!$F$20&gt;0,'Lease Cycles'!$C$20*'Lease Cycles'!$E$20/12,0),IF(CO216=1,IF('Lease Cycles'!$AT$20&gt;=9999,'Lease Cycles'!$C$20*INDEX('Lease Cycles'!$CB$20:$CH$20,1,CO214)*(1+INDEX('Lease Cycles'!$CI$20:$CO$20,1,CO214))^INT(INT(CO215/12)/INDEX('Lease Cycles'!$CP$20:$CV$20,1,CO214))/12,IF(CO214=1,IF(CO215&gt;=INDEX('Lease Cycles'!$DK$20:$DQ$20,1,CO214),IF(CO$6&gt;='Lease Cycles'!$AZ$20,'Lease Cycles'!$C$20*'Lease Cycles'!$BA$20/12,IF(CO$6&gt;='Lease Cycles'!$AX$20,'Lease Cycles'!$C$20*'Lease Cycles'!$AY$20/12,IF(CO$6&gt;='Lease Cycles'!$AV$20,'Lease Cycles'!$C$20*'Lease Cycles'!$AW$20/12,IF(CO$6&gt;='Lease Cycles'!$AT$20,'Lease Cycles'!$C$20*'Lease Cycles'!$AU$20/12,'Lease Cycles'!$C$20*INDEX('Lease Cycles'!$CB$20:$CH$20,1,CO214)*(1+INDEX('Lease Cycles'!$CI$20:$CO$20,1,CO214))^INT(INT(CO215/12)/INDEX('Lease Cycles'!$CP$20:$CV$20,1,CO214))/12)))),'Lease Cycles'!$C$20*INDEX('Lease Cycles'!$CB$20:$CH$20,1,CO214)*(1+INDEX('Lease Cycles'!$CI$20:$CO$20,1,CO214))^INT(INT(CO215/12)/INDEX('Lease Cycles'!$CP$20:$CV$20,1,CO214))/12),IF(INDEX('Lease Cycles'!$EF$20:$EL$20,1,CO214)=1,IF(AND('Lease Cycles'!$AZ$20&gt;=INDEX('Lease Cycles'!$BG$20:$BM$20,1,CO214),'Lease Cycles'!$AZ$20&lt;=CO$6),'Lease Cycles'!$C$20*'Lease Cycles'!$BA$20/12,IF(AND('Lease Cycles'!$AX$20&gt;=INDEX('Lease Cycles'!$BG$20:$BM$20,1,CO214),'Lease Cycles'!$AX$20&lt;=CO$6),'Lease Cycles'!$C$20*'Lease Cycles'!$AY$20/12,IF(AND('Lease Cycles'!$AV$20&gt;=INDEX('Lease Cycles'!$BG$20:$BM$20,1,CO214),'Lease Cycles'!$AV$20&lt;=CO$6),'Lease Cycles'!$C$20*'Lease Cycles'!$AW$20/12,IF(AND('Lease Cycles'!$AT$20&gt;=INDEX('Lease Cycles'!$BG$20:$BM$20,1,CO214),'Lease Cycles'!$AT$20&lt;=CO$6),'Lease Cycles'!$C$20*'Lease Cycles'!$AU$20/12,'Lease Cycles'!$C$20*INDEX('Lease Cycles'!$CB$20:$CH$20,1,CO214)*(1+INDEX('Lease Cycles'!$CI$20:$CO$20,1,CO214))^INT(INT(CO215/12)/INDEX('Lease Cycles'!$CP$20:$CV$20,1,CO214))/12)))),'Lease Cycles'!$C$20*INDEX('Lease Cycles'!$CB$20:$CH$20,1,CO214)*(1+INDEX('Lease Cycles'!$CI$20:$CO$20,1,CO214))^INT(INT(CO215/12)/INDEX('Lease Cycles'!$CP$20:$CV$20,1,CO214))/12))),IF('Lease Cycles'!$N$20=1,'Lease Cycles'!$C$20*'Lease Cycles'!$E$20*INDEX('Lease Cycles'!$HE$20:$HK$20,1,CO214)*(1+INDEX('Lease Cycles'!$GQ$20:$GW$20,1,CO214))^INT(INT((CO$6-INDEX('Lease Cycles'!$GJ$20:$GP$20,1,CO214))/12)/INDEX('Lease Cycles'!$GX$20:$HD$20,1,CO214))/12,0)))</f>
        <v>0</v>
      </c>
      <c r="CP217" s="28">
        <f>IF(CP214=0,IF('Lease Cycles'!$F$20&gt;0,'Lease Cycles'!$C$20*'Lease Cycles'!$E$20/12,0),IF(CP216=1,IF('Lease Cycles'!$AT$20&gt;=9999,'Lease Cycles'!$C$20*INDEX('Lease Cycles'!$CB$20:$CH$20,1,CP214)*(1+INDEX('Lease Cycles'!$CI$20:$CO$20,1,CP214))^INT(INT(CP215/12)/INDEX('Lease Cycles'!$CP$20:$CV$20,1,CP214))/12,IF(CP214=1,IF(CP215&gt;=INDEX('Lease Cycles'!$DK$20:$DQ$20,1,CP214),IF(CP$6&gt;='Lease Cycles'!$AZ$20,'Lease Cycles'!$C$20*'Lease Cycles'!$BA$20/12,IF(CP$6&gt;='Lease Cycles'!$AX$20,'Lease Cycles'!$C$20*'Lease Cycles'!$AY$20/12,IF(CP$6&gt;='Lease Cycles'!$AV$20,'Lease Cycles'!$C$20*'Lease Cycles'!$AW$20/12,IF(CP$6&gt;='Lease Cycles'!$AT$20,'Lease Cycles'!$C$20*'Lease Cycles'!$AU$20/12,'Lease Cycles'!$C$20*INDEX('Lease Cycles'!$CB$20:$CH$20,1,CP214)*(1+INDEX('Lease Cycles'!$CI$20:$CO$20,1,CP214))^INT(INT(CP215/12)/INDEX('Lease Cycles'!$CP$20:$CV$20,1,CP214))/12)))),'Lease Cycles'!$C$20*INDEX('Lease Cycles'!$CB$20:$CH$20,1,CP214)*(1+INDEX('Lease Cycles'!$CI$20:$CO$20,1,CP214))^INT(INT(CP215/12)/INDEX('Lease Cycles'!$CP$20:$CV$20,1,CP214))/12),IF(INDEX('Lease Cycles'!$EF$20:$EL$20,1,CP214)=1,IF(AND('Lease Cycles'!$AZ$20&gt;=INDEX('Lease Cycles'!$BG$20:$BM$20,1,CP214),'Lease Cycles'!$AZ$20&lt;=CP$6),'Lease Cycles'!$C$20*'Lease Cycles'!$BA$20/12,IF(AND('Lease Cycles'!$AX$20&gt;=INDEX('Lease Cycles'!$BG$20:$BM$20,1,CP214),'Lease Cycles'!$AX$20&lt;=CP$6),'Lease Cycles'!$C$20*'Lease Cycles'!$AY$20/12,IF(AND('Lease Cycles'!$AV$20&gt;=INDEX('Lease Cycles'!$BG$20:$BM$20,1,CP214),'Lease Cycles'!$AV$20&lt;=CP$6),'Lease Cycles'!$C$20*'Lease Cycles'!$AW$20/12,IF(AND('Lease Cycles'!$AT$20&gt;=INDEX('Lease Cycles'!$BG$20:$BM$20,1,CP214),'Lease Cycles'!$AT$20&lt;=CP$6),'Lease Cycles'!$C$20*'Lease Cycles'!$AU$20/12,'Lease Cycles'!$C$20*INDEX('Lease Cycles'!$CB$20:$CH$20,1,CP214)*(1+INDEX('Lease Cycles'!$CI$20:$CO$20,1,CP214))^INT(INT(CP215/12)/INDEX('Lease Cycles'!$CP$20:$CV$20,1,CP214))/12)))),'Lease Cycles'!$C$20*INDEX('Lease Cycles'!$CB$20:$CH$20,1,CP214)*(1+INDEX('Lease Cycles'!$CI$20:$CO$20,1,CP214))^INT(INT(CP215/12)/INDEX('Lease Cycles'!$CP$20:$CV$20,1,CP214))/12))),IF('Lease Cycles'!$N$20=1,'Lease Cycles'!$C$20*'Lease Cycles'!$E$20*INDEX('Lease Cycles'!$HE$20:$HK$20,1,CP214)*(1+INDEX('Lease Cycles'!$GQ$20:$GW$20,1,CP214))^INT(INT((CP$6-INDEX('Lease Cycles'!$GJ$20:$GP$20,1,CP214))/12)/INDEX('Lease Cycles'!$GX$20:$HD$20,1,CP214))/12,0)))</f>
        <v>0</v>
      </c>
      <c r="CQ217" s="28">
        <f>IF(CQ214=0,IF('Lease Cycles'!$F$20&gt;0,'Lease Cycles'!$C$20*'Lease Cycles'!$E$20/12,0),IF(CQ216=1,IF('Lease Cycles'!$AT$20&gt;=9999,'Lease Cycles'!$C$20*INDEX('Lease Cycles'!$CB$20:$CH$20,1,CQ214)*(1+INDEX('Lease Cycles'!$CI$20:$CO$20,1,CQ214))^INT(INT(CQ215/12)/INDEX('Lease Cycles'!$CP$20:$CV$20,1,CQ214))/12,IF(CQ214=1,IF(CQ215&gt;=INDEX('Lease Cycles'!$DK$20:$DQ$20,1,CQ214),IF(CQ$6&gt;='Lease Cycles'!$AZ$20,'Lease Cycles'!$C$20*'Lease Cycles'!$BA$20/12,IF(CQ$6&gt;='Lease Cycles'!$AX$20,'Lease Cycles'!$C$20*'Lease Cycles'!$AY$20/12,IF(CQ$6&gt;='Lease Cycles'!$AV$20,'Lease Cycles'!$C$20*'Lease Cycles'!$AW$20/12,IF(CQ$6&gt;='Lease Cycles'!$AT$20,'Lease Cycles'!$C$20*'Lease Cycles'!$AU$20/12,'Lease Cycles'!$C$20*INDEX('Lease Cycles'!$CB$20:$CH$20,1,CQ214)*(1+INDEX('Lease Cycles'!$CI$20:$CO$20,1,CQ214))^INT(INT(CQ215/12)/INDEX('Lease Cycles'!$CP$20:$CV$20,1,CQ214))/12)))),'Lease Cycles'!$C$20*INDEX('Lease Cycles'!$CB$20:$CH$20,1,CQ214)*(1+INDEX('Lease Cycles'!$CI$20:$CO$20,1,CQ214))^INT(INT(CQ215/12)/INDEX('Lease Cycles'!$CP$20:$CV$20,1,CQ214))/12),IF(INDEX('Lease Cycles'!$EF$20:$EL$20,1,CQ214)=1,IF(AND('Lease Cycles'!$AZ$20&gt;=INDEX('Lease Cycles'!$BG$20:$BM$20,1,CQ214),'Lease Cycles'!$AZ$20&lt;=CQ$6),'Lease Cycles'!$C$20*'Lease Cycles'!$BA$20/12,IF(AND('Lease Cycles'!$AX$20&gt;=INDEX('Lease Cycles'!$BG$20:$BM$20,1,CQ214),'Lease Cycles'!$AX$20&lt;=CQ$6),'Lease Cycles'!$C$20*'Lease Cycles'!$AY$20/12,IF(AND('Lease Cycles'!$AV$20&gt;=INDEX('Lease Cycles'!$BG$20:$BM$20,1,CQ214),'Lease Cycles'!$AV$20&lt;=CQ$6),'Lease Cycles'!$C$20*'Lease Cycles'!$AW$20/12,IF(AND('Lease Cycles'!$AT$20&gt;=INDEX('Lease Cycles'!$BG$20:$BM$20,1,CQ214),'Lease Cycles'!$AT$20&lt;=CQ$6),'Lease Cycles'!$C$20*'Lease Cycles'!$AU$20/12,'Lease Cycles'!$C$20*INDEX('Lease Cycles'!$CB$20:$CH$20,1,CQ214)*(1+INDEX('Lease Cycles'!$CI$20:$CO$20,1,CQ214))^INT(INT(CQ215/12)/INDEX('Lease Cycles'!$CP$20:$CV$20,1,CQ214))/12)))),'Lease Cycles'!$C$20*INDEX('Lease Cycles'!$CB$20:$CH$20,1,CQ214)*(1+INDEX('Lease Cycles'!$CI$20:$CO$20,1,CQ214))^INT(INT(CQ215/12)/INDEX('Lease Cycles'!$CP$20:$CV$20,1,CQ214))/12))),IF('Lease Cycles'!$N$20=1,'Lease Cycles'!$C$20*'Lease Cycles'!$E$20*INDEX('Lease Cycles'!$HE$20:$HK$20,1,CQ214)*(1+INDEX('Lease Cycles'!$GQ$20:$GW$20,1,CQ214))^INT(INT((CQ$6-INDEX('Lease Cycles'!$GJ$20:$GP$20,1,CQ214))/12)/INDEX('Lease Cycles'!$GX$20:$HD$20,1,CQ214))/12,0)))</f>
        <v>0</v>
      </c>
      <c r="CR217" s="28">
        <f>IF(CR214=0,IF('Lease Cycles'!$F$20&gt;0,'Lease Cycles'!$C$20*'Lease Cycles'!$E$20/12,0),IF(CR216=1,IF('Lease Cycles'!$AT$20&gt;=9999,'Lease Cycles'!$C$20*INDEX('Lease Cycles'!$CB$20:$CH$20,1,CR214)*(1+INDEX('Lease Cycles'!$CI$20:$CO$20,1,CR214))^INT(INT(CR215/12)/INDEX('Lease Cycles'!$CP$20:$CV$20,1,CR214))/12,IF(CR214=1,IF(CR215&gt;=INDEX('Lease Cycles'!$DK$20:$DQ$20,1,CR214),IF(CR$6&gt;='Lease Cycles'!$AZ$20,'Lease Cycles'!$C$20*'Lease Cycles'!$BA$20/12,IF(CR$6&gt;='Lease Cycles'!$AX$20,'Lease Cycles'!$C$20*'Lease Cycles'!$AY$20/12,IF(CR$6&gt;='Lease Cycles'!$AV$20,'Lease Cycles'!$C$20*'Lease Cycles'!$AW$20/12,IF(CR$6&gt;='Lease Cycles'!$AT$20,'Lease Cycles'!$C$20*'Lease Cycles'!$AU$20/12,'Lease Cycles'!$C$20*INDEX('Lease Cycles'!$CB$20:$CH$20,1,CR214)*(1+INDEX('Lease Cycles'!$CI$20:$CO$20,1,CR214))^INT(INT(CR215/12)/INDEX('Lease Cycles'!$CP$20:$CV$20,1,CR214))/12)))),'Lease Cycles'!$C$20*INDEX('Lease Cycles'!$CB$20:$CH$20,1,CR214)*(1+INDEX('Lease Cycles'!$CI$20:$CO$20,1,CR214))^INT(INT(CR215/12)/INDEX('Lease Cycles'!$CP$20:$CV$20,1,CR214))/12),IF(INDEX('Lease Cycles'!$EF$20:$EL$20,1,CR214)=1,IF(AND('Lease Cycles'!$AZ$20&gt;=INDEX('Lease Cycles'!$BG$20:$BM$20,1,CR214),'Lease Cycles'!$AZ$20&lt;=CR$6),'Lease Cycles'!$C$20*'Lease Cycles'!$BA$20/12,IF(AND('Lease Cycles'!$AX$20&gt;=INDEX('Lease Cycles'!$BG$20:$BM$20,1,CR214),'Lease Cycles'!$AX$20&lt;=CR$6),'Lease Cycles'!$C$20*'Lease Cycles'!$AY$20/12,IF(AND('Lease Cycles'!$AV$20&gt;=INDEX('Lease Cycles'!$BG$20:$BM$20,1,CR214),'Lease Cycles'!$AV$20&lt;=CR$6),'Lease Cycles'!$C$20*'Lease Cycles'!$AW$20/12,IF(AND('Lease Cycles'!$AT$20&gt;=INDEX('Lease Cycles'!$BG$20:$BM$20,1,CR214),'Lease Cycles'!$AT$20&lt;=CR$6),'Lease Cycles'!$C$20*'Lease Cycles'!$AU$20/12,'Lease Cycles'!$C$20*INDEX('Lease Cycles'!$CB$20:$CH$20,1,CR214)*(1+INDEX('Lease Cycles'!$CI$20:$CO$20,1,CR214))^INT(INT(CR215/12)/INDEX('Lease Cycles'!$CP$20:$CV$20,1,CR214))/12)))),'Lease Cycles'!$C$20*INDEX('Lease Cycles'!$CB$20:$CH$20,1,CR214)*(1+INDEX('Lease Cycles'!$CI$20:$CO$20,1,CR214))^INT(INT(CR215/12)/INDEX('Lease Cycles'!$CP$20:$CV$20,1,CR214))/12))),IF('Lease Cycles'!$N$20=1,'Lease Cycles'!$C$20*'Lease Cycles'!$E$20*INDEX('Lease Cycles'!$HE$20:$HK$20,1,CR214)*(1+INDEX('Lease Cycles'!$GQ$20:$GW$20,1,CR214))^INT(INT((CR$6-INDEX('Lease Cycles'!$GJ$20:$GP$20,1,CR214))/12)/INDEX('Lease Cycles'!$GX$20:$HD$20,1,CR214))/12,0)))</f>
        <v>0</v>
      </c>
      <c r="CS217" s="28">
        <f>IF(CS214=0,IF('Lease Cycles'!$F$20&gt;0,'Lease Cycles'!$C$20*'Lease Cycles'!$E$20/12,0),IF(CS216=1,IF('Lease Cycles'!$AT$20&gt;=9999,'Lease Cycles'!$C$20*INDEX('Lease Cycles'!$CB$20:$CH$20,1,CS214)*(1+INDEX('Lease Cycles'!$CI$20:$CO$20,1,CS214))^INT(INT(CS215/12)/INDEX('Lease Cycles'!$CP$20:$CV$20,1,CS214))/12,IF(CS214=1,IF(CS215&gt;=INDEX('Lease Cycles'!$DK$20:$DQ$20,1,CS214),IF(CS$6&gt;='Lease Cycles'!$AZ$20,'Lease Cycles'!$C$20*'Lease Cycles'!$BA$20/12,IF(CS$6&gt;='Lease Cycles'!$AX$20,'Lease Cycles'!$C$20*'Lease Cycles'!$AY$20/12,IF(CS$6&gt;='Lease Cycles'!$AV$20,'Lease Cycles'!$C$20*'Lease Cycles'!$AW$20/12,IF(CS$6&gt;='Lease Cycles'!$AT$20,'Lease Cycles'!$C$20*'Lease Cycles'!$AU$20/12,'Lease Cycles'!$C$20*INDEX('Lease Cycles'!$CB$20:$CH$20,1,CS214)*(1+INDEX('Lease Cycles'!$CI$20:$CO$20,1,CS214))^INT(INT(CS215/12)/INDEX('Lease Cycles'!$CP$20:$CV$20,1,CS214))/12)))),'Lease Cycles'!$C$20*INDEX('Lease Cycles'!$CB$20:$CH$20,1,CS214)*(1+INDEX('Lease Cycles'!$CI$20:$CO$20,1,CS214))^INT(INT(CS215/12)/INDEX('Lease Cycles'!$CP$20:$CV$20,1,CS214))/12),IF(INDEX('Lease Cycles'!$EF$20:$EL$20,1,CS214)=1,IF(AND('Lease Cycles'!$AZ$20&gt;=INDEX('Lease Cycles'!$BG$20:$BM$20,1,CS214),'Lease Cycles'!$AZ$20&lt;=CS$6),'Lease Cycles'!$C$20*'Lease Cycles'!$BA$20/12,IF(AND('Lease Cycles'!$AX$20&gt;=INDEX('Lease Cycles'!$BG$20:$BM$20,1,CS214),'Lease Cycles'!$AX$20&lt;=CS$6),'Lease Cycles'!$C$20*'Lease Cycles'!$AY$20/12,IF(AND('Lease Cycles'!$AV$20&gt;=INDEX('Lease Cycles'!$BG$20:$BM$20,1,CS214),'Lease Cycles'!$AV$20&lt;=CS$6),'Lease Cycles'!$C$20*'Lease Cycles'!$AW$20/12,IF(AND('Lease Cycles'!$AT$20&gt;=INDEX('Lease Cycles'!$BG$20:$BM$20,1,CS214),'Lease Cycles'!$AT$20&lt;=CS$6),'Lease Cycles'!$C$20*'Lease Cycles'!$AU$20/12,'Lease Cycles'!$C$20*INDEX('Lease Cycles'!$CB$20:$CH$20,1,CS214)*(1+INDEX('Lease Cycles'!$CI$20:$CO$20,1,CS214))^INT(INT(CS215/12)/INDEX('Lease Cycles'!$CP$20:$CV$20,1,CS214))/12)))),'Lease Cycles'!$C$20*INDEX('Lease Cycles'!$CB$20:$CH$20,1,CS214)*(1+INDEX('Lease Cycles'!$CI$20:$CO$20,1,CS214))^INT(INT(CS215/12)/INDEX('Lease Cycles'!$CP$20:$CV$20,1,CS214))/12))),IF('Lease Cycles'!$N$20=1,'Lease Cycles'!$C$20*'Lease Cycles'!$E$20*INDEX('Lease Cycles'!$HE$20:$HK$20,1,CS214)*(1+INDEX('Lease Cycles'!$GQ$20:$GW$20,1,CS214))^INT(INT((CS$6-INDEX('Lease Cycles'!$GJ$20:$GP$20,1,CS214))/12)/INDEX('Lease Cycles'!$GX$20:$HD$20,1,CS214))/12,0)))</f>
        <v>0</v>
      </c>
      <c r="CT217" s="28">
        <f>IF(CT214=0,IF('Lease Cycles'!$F$20&gt;0,'Lease Cycles'!$C$20*'Lease Cycles'!$E$20/12,0),IF(CT216=1,IF('Lease Cycles'!$AT$20&gt;=9999,'Lease Cycles'!$C$20*INDEX('Lease Cycles'!$CB$20:$CH$20,1,CT214)*(1+INDEX('Lease Cycles'!$CI$20:$CO$20,1,CT214))^INT(INT(CT215/12)/INDEX('Lease Cycles'!$CP$20:$CV$20,1,CT214))/12,IF(CT214=1,IF(CT215&gt;=INDEX('Lease Cycles'!$DK$20:$DQ$20,1,CT214),IF(CT$6&gt;='Lease Cycles'!$AZ$20,'Lease Cycles'!$C$20*'Lease Cycles'!$BA$20/12,IF(CT$6&gt;='Lease Cycles'!$AX$20,'Lease Cycles'!$C$20*'Lease Cycles'!$AY$20/12,IF(CT$6&gt;='Lease Cycles'!$AV$20,'Lease Cycles'!$C$20*'Lease Cycles'!$AW$20/12,IF(CT$6&gt;='Lease Cycles'!$AT$20,'Lease Cycles'!$C$20*'Lease Cycles'!$AU$20/12,'Lease Cycles'!$C$20*INDEX('Lease Cycles'!$CB$20:$CH$20,1,CT214)*(1+INDEX('Lease Cycles'!$CI$20:$CO$20,1,CT214))^INT(INT(CT215/12)/INDEX('Lease Cycles'!$CP$20:$CV$20,1,CT214))/12)))),'Lease Cycles'!$C$20*INDEX('Lease Cycles'!$CB$20:$CH$20,1,CT214)*(1+INDEX('Lease Cycles'!$CI$20:$CO$20,1,CT214))^INT(INT(CT215/12)/INDEX('Lease Cycles'!$CP$20:$CV$20,1,CT214))/12),IF(INDEX('Lease Cycles'!$EF$20:$EL$20,1,CT214)=1,IF(AND('Lease Cycles'!$AZ$20&gt;=INDEX('Lease Cycles'!$BG$20:$BM$20,1,CT214),'Lease Cycles'!$AZ$20&lt;=CT$6),'Lease Cycles'!$C$20*'Lease Cycles'!$BA$20/12,IF(AND('Lease Cycles'!$AX$20&gt;=INDEX('Lease Cycles'!$BG$20:$BM$20,1,CT214),'Lease Cycles'!$AX$20&lt;=CT$6),'Lease Cycles'!$C$20*'Lease Cycles'!$AY$20/12,IF(AND('Lease Cycles'!$AV$20&gt;=INDEX('Lease Cycles'!$BG$20:$BM$20,1,CT214),'Lease Cycles'!$AV$20&lt;=CT$6),'Lease Cycles'!$C$20*'Lease Cycles'!$AW$20/12,IF(AND('Lease Cycles'!$AT$20&gt;=INDEX('Lease Cycles'!$BG$20:$BM$20,1,CT214),'Lease Cycles'!$AT$20&lt;=CT$6),'Lease Cycles'!$C$20*'Lease Cycles'!$AU$20/12,'Lease Cycles'!$C$20*INDEX('Lease Cycles'!$CB$20:$CH$20,1,CT214)*(1+INDEX('Lease Cycles'!$CI$20:$CO$20,1,CT214))^INT(INT(CT215/12)/INDEX('Lease Cycles'!$CP$20:$CV$20,1,CT214))/12)))),'Lease Cycles'!$C$20*INDEX('Lease Cycles'!$CB$20:$CH$20,1,CT214)*(1+INDEX('Lease Cycles'!$CI$20:$CO$20,1,CT214))^INT(INT(CT215/12)/INDEX('Lease Cycles'!$CP$20:$CV$20,1,CT214))/12))),IF('Lease Cycles'!$N$20=1,'Lease Cycles'!$C$20*'Lease Cycles'!$E$20*INDEX('Lease Cycles'!$HE$20:$HK$20,1,CT214)*(1+INDEX('Lease Cycles'!$GQ$20:$GW$20,1,CT214))^INT(INT((CT$6-INDEX('Lease Cycles'!$GJ$20:$GP$20,1,CT214))/12)/INDEX('Lease Cycles'!$GX$20:$HD$20,1,CT214))/12,0)))</f>
        <v>0</v>
      </c>
      <c r="CU217" s="28">
        <f>IF(CU214=0,IF('Lease Cycles'!$F$20&gt;0,'Lease Cycles'!$C$20*'Lease Cycles'!$E$20/12,0),IF(CU216=1,IF('Lease Cycles'!$AT$20&gt;=9999,'Lease Cycles'!$C$20*INDEX('Lease Cycles'!$CB$20:$CH$20,1,CU214)*(1+INDEX('Lease Cycles'!$CI$20:$CO$20,1,CU214))^INT(INT(CU215/12)/INDEX('Lease Cycles'!$CP$20:$CV$20,1,CU214))/12,IF(CU214=1,IF(CU215&gt;=INDEX('Lease Cycles'!$DK$20:$DQ$20,1,CU214),IF(CU$6&gt;='Lease Cycles'!$AZ$20,'Lease Cycles'!$C$20*'Lease Cycles'!$BA$20/12,IF(CU$6&gt;='Lease Cycles'!$AX$20,'Lease Cycles'!$C$20*'Lease Cycles'!$AY$20/12,IF(CU$6&gt;='Lease Cycles'!$AV$20,'Lease Cycles'!$C$20*'Lease Cycles'!$AW$20/12,IF(CU$6&gt;='Lease Cycles'!$AT$20,'Lease Cycles'!$C$20*'Lease Cycles'!$AU$20/12,'Lease Cycles'!$C$20*INDEX('Lease Cycles'!$CB$20:$CH$20,1,CU214)*(1+INDEX('Lease Cycles'!$CI$20:$CO$20,1,CU214))^INT(INT(CU215/12)/INDEX('Lease Cycles'!$CP$20:$CV$20,1,CU214))/12)))),'Lease Cycles'!$C$20*INDEX('Lease Cycles'!$CB$20:$CH$20,1,CU214)*(1+INDEX('Lease Cycles'!$CI$20:$CO$20,1,CU214))^INT(INT(CU215/12)/INDEX('Lease Cycles'!$CP$20:$CV$20,1,CU214))/12),IF(INDEX('Lease Cycles'!$EF$20:$EL$20,1,CU214)=1,IF(AND('Lease Cycles'!$AZ$20&gt;=INDEX('Lease Cycles'!$BG$20:$BM$20,1,CU214),'Lease Cycles'!$AZ$20&lt;=CU$6),'Lease Cycles'!$C$20*'Lease Cycles'!$BA$20/12,IF(AND('Lease Cycles'!$AX$20&gt;=INDEX('Lease Cycles'!$BG$20:$BM$20,1,CU214),'Lease Cycles'!$AX$20&lt;=CU$6),'Lease Cycles'!$C$20*'Lease Cycles'!$AY$20/12,IF(AND('Lease Cycles'!$AV$20&gt;=INDEX('Lease Cycles'!$BG$20:$BM$20,1,CU214),'Lease Cycles'!$AV$20&lt;=CU$6),'Lease Cycles'!$C$20*'Lease Cycles'!$AW$20/12,IF(AND('Lease Cycles'!$AT$20&gt;=INDEX('Lease Cycles'!$BG$20:$BM$20,1,CU214),'Lease Cycles'!$AT$20&lt;=CU$6),'Lease Cycles'!$C$20*'Lease Cycles'!$AU$20/12,'Lease Cycles'!$C$20*INDEX('Lease Cycles'!$CB$20:$CH$20,1,CU214)*(1+INDEX('Lease Cycles'!$CI$20:$CO$20,1,CU214))^INT(INT(CU215/12)/INDEX('Lease Cycles'!$CP$20:$CV$20,1,CU214))/12)))),'Lease Cycles'!$C$20*INDEX('Lease Cycles'!$CB$20:$CH$20,1,CU214)*(1+INDEX('Lease Cycles'!$CI$20:$CO$20,1,CU214))^INT(INT(CU215/12)/INDEX('Lease Cycles'!$CP$20:$CV$20,1,CU214))/12))),IF('Lease Cycles'!$N$20=1,'Lease Cycles'!$C$20*'Lease Cycles'!$E$20*INDEX('Lease Cycles'!$HE$20:$HK$20,1,CU214)*(1+INDEX('Lease Cycles'!$GQ$20:$GW$20,1,CU214))^INT(INT((CU$6-INDEX('Lease Cycles'!$GJ$20:$GP$20,1,CU214))/12)/INDEX('Lease Cycles'!$GX$20:$HD$20,1,CU214))/12,0)))</f>
        <v>0</v>
      </c>
      <c r="CV217" s="28">
        <f>IF(CV214=0,IF('Lease Cycles'!$F$20&gt;0,'Lease Cycles'!$C$20*'Lease Cycles'!$E$20/12,0),IF(CV216=1,IF('Lease Cycles'!$AT$20&gt;=9999,'Lease Cycles'!$C$20*INDEX('Lease Cycles'!$CB$20:$CH$20,1,CV214)*(1+INDEX('Lease Cycles'!$CI$20:$CO$20,1,CV214))^INT(INT(CV215/12)/INDEX('Lease Cycles'!$CP$20:$CV$20,1,CV214))/12,IF(CV214=1,IF(CV215&gt;=INDEX('Lease Cycles'!$DK$20:$DQ$20,1,CV214),IF(CV$6&gt;='Lease Cycles'!$AZ$20,'Lease Cycles'!$C$20*'Lease Cycles'!$BA$20/12,IF(CV$6&gt;='Lease Cycles'!$AX$20,'Lease Cycles'!$C$20*'Lease Cycles'!$AY$20/12,IF(CV$6&gt;='Lease Cycles'!$AV$20,'Lease Cycles'!$C$20*'Lease Cycles'!$AW$20/12,IF(CV$6&gt;='Lease Cycles'!$AT$20,'Lease Cycles'!$C$20*'Lease Cycles'!$AU$20/12,'Lease Cycles'!$C$20*INDEX('Lease Cycles'!$CB$20:$CH$20,1,CV214)*(1+INDEX('Lease Cycles'!$CI$20:$CO$20,1,CV214))^INT(INT(CV215/12)/INDEX('Lease Cycles'!$CP$20:$CV$20,1,CV214))/12)))),'Lease Cycles'!$C$20*INDEX('Lease Cycles'!$CB$20:$CH$20,1,CV214)*(1+INDEX('Lease Cycles'!$CI$20:$CO$20,1,CV214))^INT(INT(CV215/12)/INDEX('Lease Cycles'!$CP$20:$CV$20,1,CV214))/12),IF(INDEX('Lease Cycles'!$EF$20:$EL$20,1,CV214)=1,IF(AND('Lease Cycles'!$AZ$20&gt;=INDEX('Lease Cycles'!$BG$20:$BM$20,1,CV214),'Lease Cycles'!$AZ$20&lt;=CV$6),'Lease Cycles'!$C$20*'Lease Cycles'!$BA$20/12,IF(AND('Lease Cycles'!$AX$20&gt;=INDEX('Lease Cycles'!$BG$20:$BM$20,1,CV214),'Lease Cycles'!$AX$20&lt;=CV$6),'Lease Cycles'!$C$20*'Lease Cycles'!$AY$20/12,IF(AND('Lease Cycles'!$AV$20&gt;=INDEX('Lease Cycles'!$BG$20:$BM$20,1,CV214),'Lease Cycles'!$AV$20&lt;=CV$6),'Lease Cycles'!$C$20*'Lease Cycles'!$AW$20/12,IF(AND('Lease Cycles'!$AT$20&gt;=INDEX('Lease Cycles'!$BG$20:$BM$20,1,CV214),'Lease Cycles'!$AT$20&lt;=CV$6),'Lease Cycles'!$C$20*'Lease Cycles'!$AU$20/12,'Lease Cycles'!$C$20*INDEX('Lease Cycles'!$CB$20:$CH$20,1,CV214)*(1+INDEX('Lease Cycles'!$CI$20:$CO$20,1,CV214))^INT(INT(CV215/12)/INDEX('Lease Cycles'!$CP$20:$CV$20,1,CV214))/12)))),'Lease Cycles'!$C$20*INDEX('Lease Cycles'!$CB$20:$CH$20,1,CV214)*(1+INDEX('Lease Cycles'!$CI$20:$CO$20,1,CV214))^INT(INT(CV215/12)/INDEX('Lease Cycles'!$CP$20:$CV$20,1,CV214))/12))),IF('Lease Cycles'!$N$20=1,'Lease Cycles'!$C$20*'Lease Cycles'!$E$20*INDEX('Lease Cycles'!$HE$20:$HK$20,1,CV214)*(1+INDEX('Lease Cycles'!$GQ$20:$GW$20,1,CV214))^INT(INT((CV$6-INDEX('Lease Cycles'!$GJ$20:$GP$20,1,CV214))/12)/INDEX('Lease Cycles'!$GX$20:$HD$20,1,CV214))/12,0)))</f>
        <v>0</v>
      </c>
      <c r="CW217" s="28">
        <f>IF(CW214=0,IF('Lease Cycles'!$F$20&gt;0,'Lease Cycles'!$C$20*'Lease Cycles'!$E$20/12,0),IF(CW216=1,IF('Lease Cycles'!$AT$20&gt;=9999,'Lease Cycles'!$C$20*INDEX('Lease Cycles'!$CB$20:$CH$20,1,CW214)*(1+INDEX('Lease Cycles'!$CI$20:$CO$20,1,CW214))^INT(INT(CW215/12)/INDEX('Lease Cycles'!$CP$20:$CV$20,1,CW214))/12,IF(CW214=1,IF(CW215&gt;=INDEX('Lease Cycles'!$DK$20:$DQ$20,1,CW214),IF(CW$6&gt;='Lease Cycles'!$AZ$20,'Lease Cycles'!$C$20*'Lease Cycles'!$BA$20/12,IF(CW$6&gt;='Lease Cycles'!$AX$20,'Lease Cycles'!$C$20*'Lease Cycles'!$AY$20/12,IF(CW$6&gt;='Lease Cycles'!$AV$20,'Lease Cycles'!$C$20*'Lease Cycles'!$AW$20/12,IF(CW$6&gt;='Lease Cycles'!$AT$20,'Lease Cycles'!$C$20*'Lease Cycles'!$AU$20/12,'Lease Cycles'!$C$20*INDEX('Lease Cycles'!$CB$20:$CH$20,1,CW214)*(1+INDEX('Lease Cycles'!$CI$20:$CO$20,1,CW214))^INT(INT(CW215/12)/INDEX('Lease Cycles'!$CP$20:$CV$20,1,CW214))/12)))),'Lease Cycles'!$C$20*INDEX('Lease Cycles'!$CB$20:$CH$20,1,CW214)*(1+INDEX('Lease Cycles'!$CI$20:$CO$20,1,CW214))^INT(INT(CW215/12)/INDEX('Lease Cycles'!$CP$20:$CV$20,1,CW214))/12),IF(INDEX('Lease Cycles'!$EF$20:$EL$20,1,CW214)=1,IF(AND('Lease Cycles'!$AZ$20&gt;=INDEX('Lease Cycles'!$BG$20:$BM$20,1,CW214),'Lease Cycles'!$AZ$20&lt;=CW$6),'Lease Cycles'!$C$20*'Lease Cycles'!$BA$20/12,IF(AND('Lease Cycles'!$AX$20&gt;=INDEX('Lease Cycles'!$BG$20:$BM$20,1,CW214),'Lease Cycles'!$AX$20&lt;=CW$6),'Lease Cycles'!$C$20*'Lease Cycles'!$AY$20/12,IF(AND('Lease Cycles'!$AV$20&gt;=INDEX('Lease Cycles'!$BG$20:$BM$20,1,CW214),'Lease Cycles'!$AV$20&lt;=CW$6),'Lease Cycles'!$C$20*'Lease Cycles'!$AW$20/12,IF(AND('Lease Cycles'!$AT$20&gt;=INDEX('Lease Cycles'!$BG$20:$BM$20,1,CW214),'Lease Cycles'!$AT$20&lt;=CW$6),'Lease Cycles'!$C$20*'Lease Cycles'!$AU$20/12,'Lease Cycles'!$C$20*INDEX('Lease Cycles'!$CB$20:$CH$20,1,CW214)*(1+INDEX('Lease Cycles'!$CI$20:$CO$20,1,CW214))^INT(INT(CW215/12)/INDEX('Lease Cycles'!$CP$20:$CV$20,1,CW214))/12)))),'Lease Cycles'!$C$20*INDEX('Lease Cycles'!$CB$20:$CH$20,1,CW214)*(1+INDEX('Lease Cycles'!$CI$20:$CO$20,1,CW214))^INT(INT(CW215/12)/INDEX('Lease Cycles'!$CP$20:$CV$20,1,CW214))/12))),IF('Lease Cycles'!$N$20=1,'Lease Cycles'!$C$20*'Lease Cycles'!$E$20*INDEX('Lease Cycles'!$HE$20:$HK$20,1,CW214)*(1+INDEX('Lease Cycles'!$GQ$20:$GW$20,1,CW214))^INT(INT((CW$6-INDEX('Lease Cycles'!$GJ$20:$GP$20,1,CW214))/12)/INDEX('Lease Cycles'!$GX$20:$HD$20,1,CW214))/12,0)))</f>
        <v>0</v>
      </c>
      <c r="CX217" s="28">
        <f>IF(CX214=0,IF('Lease Cycles'!$F$20&gt;0,'Lease Cycles'!$C$20*'Lease Cycles'!$E$20/12,0),IF(CX216=1,IF('Lease Cycles'!$AT$20&gt;=9999,'Lease Cycles'!$C$20*INDEX('Lease Cycles'!$CB$20:$CH$20,1,CX214)*(1+INDEX('Lease Cycles'!$CI$20:$CO$20,1,CX214))^INT(INT(CX215/12)/INDEX('Lease Cycles'!$CP$20:$CV$20,1,CX214))/12,IF(CX214=1,IF(CX215&gt;=INDEX('Lease Cycles'!$DK$20:$DQ$20,1,CX214),IF(CX$6&gt;='Lease Cycles'!$AZ$20,'Lease Cycles'!$C$20*'Lease Cycles'!$BA$20/12,IF(CX$6&gt;='Lease Cycles'!$AX$20,'Lease Cycles'!$C$20*'Lease Cycles'!$AY$20/12,IF(CX$6&gt;='Lease Cycles'!$AV$20,'Lease Cycles'!$C$20*'Lease Cycles'!$AW$20/12,IF(CX$6&gt;='Lease Cycles'!$AT$20,'Lease Cycles'!$C$20*'Lease Cycles'!$AU$20/12,'Lease Cycles'!$C$20*INDEX('Lease Cycles'!$CB$20:$CH$20,1,CX214)*(1+INDEX('Lease Cycles'!$CI$20:$CO$20,1,CX214))^INT(INT(CX215/12)/INDEX('Lease Cycles'!$CP$20:$CV$20,1,CX214))/12)))),'Lease Cycles'!$C$20*INDEX('Lease Cycles'!$CB$20:$CH$20,1,CX214)*(1+INDEX('Lease Cycles'!$CI$20:$CO$20,1,CX214))^INT(INT(CX215/12)/INDEX('Lease Cycles'!$CP$20:$CV$20,1,CX214))/12),IF(INDEX('Lease Cycles'!$EF$20:$EL$20,1,CX214)=1,IF(AND('Lease Cycles'!$AZ$20&gt;=INDEX('Lease Cycles'!$BG$20:$BM$20,1,CX214),'Lease Cycles'!$AZ$20&lt;=CX$6),'Lease Cycles'!$C$20*'Lease Cycles'!$BA$20/12,IF(AND('Lease Cycles'!$AX$20&gt;=INDEX('Lease Cycles'!$BG$20:$BM$20,1,CX214),'Lease Cycles'!$AX$20&lt;=CX$6),'Lease Cycles'!$C$20*'Lease Cycles'!$AY$20/12,IF(AND('Lease Cycles'!$AV$20&gt;=INDEX('Lease Cycles'!$BG$20:$BM$20,1,CX214),'Lease Cycles'!$AV$20&lt;=CX$6),'Lease Cycles'!$C$20*'Lease Cycles'!$AW$20/12,IF(AND('Lease Cycles'!$AT$20&gt;=INDEX('Lease Cycles'!$BG$20:$BM$20,1,CX214),'Lease Cycles'!$AT$20&lt;=CX$6),'Lease Cycles'!$C$20*'Lease Cycles'!$AU$20/12,'Lease Cycles'!$C$20*INDEX('Lease Cycles'!$CB$20:$CH$20,1,CX214)*(1+INDEX('Lease Cycles'!$CI$20:$CO$20,1,CX214))^INT(INT(CX215/12)/INDEX('Lease Cycles'!$CP$20:$CV$20,1,CX214))/12)))),'Lease Cycles'!$C$20*INDEX('Lease Cycles'!$CB$20:$CH$20,1,CX214)*(1+INDEX('Lease Cycles'!$CI$20:$CO$20,1,CX214))^INT(INT(CX215/12)/INDEX('Lease Cycles'!$CP$20:$CV$20,1,CX214))/12))),IF('Lease Cycles'!$N$20=1,'Lease Cycles'!$C$20*'Lease Cycles'!$E$20*INDEX('Lease Cycles'!$HE$20:$HK$20,1,CX214)*(1+INDEX('Lease Cycles'!$GQ$20:$GW$20,1,CX214))^INT(INT((CX$6-INDEX('Lease Cycles'!$GJ$20:$GP$20,1,CX214))/12)/INDEX('Lease Cycles'!$GX$20:$HD$20,1,CX214))/12,0)))</f>
        <v>0</v>
      </c>
      <c r="CY217" s="28">
        <f>IF(CY214=0,IF('Lease Cycles'!$F$20&gt;0,'Lease Cycles'!$C$20*'Lease Cycles'!$E$20/12,0),IF(CY216=1,IF('Lease Cycles'!$AT$20&gt;=9999,'Lease Cycles'!$C$20*INDEX('Lease Cycles'!$CB$20:$CH$20,1,CY214)*(1+INDEX('Lease Cycles'!$CI$20:$CO$20,1,CY214))^INT(INT(CY215/12)/INDEX('Lease Cycles'!$CP$20:$CV$20,1,CY214))/12,IF(CY214=1,IF(CY215&gt;=INDEX('Lease Cycles'!$DK$20:$DQ$20,1,CY214),IF(CY$6&gt;='Lease Cycles'!$AZ$20,'Lease Cycles'!$C$20*'Lease Cycles'!$BA$20/12,IF(CY$6&gt;='Lease Cycles'!$AX$20,'Lease Cycles'!$C$20*'Lease Cycles'!$AY$20/12,IF(CY$6&gt;='Lease Cycles'!$AV$20,'Lease Cycles'!$C$20*'Lease Cycles'!$AW$20/12,IF(CY$6&gt;='Lease Cycles'!$AT$20,'Lease Cycles'!$C$20*'Lease Cycles'!$AU$20/12,'Lease Cycles'!$C$20*INDEX('Lease Cycles'!$CB$20:$CH$20,1,CY214)*(1+INDEX('Lease Cycles'!$CI$20:$CO$20,1,CY214))^INT(INT(CY215/12)/INDEX('Lease Cycles'!$CP$20:$CV$20,1,CY214))/12)))),'Lease Cycles'!$C$20*INDEX('Lease Cycles'!$CB$20:$CH$20,1,CY214)*(1+INDEX('Lease Cycles'!$CI$20:$CO$20,1,CY214))^INT(INT(CY215/12)/INDEX('Lease Cycles'!$CP$20:$CV$20,1,CY214))/12),IF(INDEX('Lease Cycles'!$EF$20:$EL$20,1,CY214)=1,IF(AND('Lease Cycles'!$AZ$20&gt;=INDEX('Lease Cycles'!$BG$20:$BM$20,1,CY214),'Lease Cycles'!$AZ$20&lt;=CY$6),'Lease Cycles'!$C$20*'Lease Cycles'!$BA$20/12,IF(AND('Lease Cycles'!$AX$20&gt;=INDEX('Lease Cycles'!$BG$20:$BM$20,1,CY214),'Lease Cycles'!$AX$20&lt;=CY$6),'Lease Cycles'!$C$20*'Lease Cycles'!$AY$20/12,IF(AND('Lease Cycles'!$AV$20&gt;=INDEX('Lease Cycles'!$BG$20:$BM$20,1,CY214),'Lease Cycles'!$AV$20&lt;=CY$6),'Lease Cycles'!$C$20*'Lease Cycles'!$AW$20/12,IF(AND('Lease Cycles'!$AT$20&gt;=INDEX('Lease Cycles'!$BG$20:$BM$20,1,CY214),'Lease Cycles'!$AT$20&lt;=CY$6),'Lease Cycles'!$C$20*'Lease Cycles'!$AU$20/12,'Lease Cycles'!$C$20*INDEX('Lease Cycles'!$CB$20:$CH$20,1,CY214)*(1+INDEX('Lease Cycles'!$CI$20:$CO$20,1,CY214))^INT(INT(CY215/12)/INDEX('Lease Cycles'!$CP$20:$CV$20,1,CY214))/12)))),'Lease Cycles'!$C$20*INDEX('Lease Cycles'!$CB$20:$CH$20,1,CY214)*(1+INDEX('Lease Cycles'!$CI$20:$CO$20,1,CY214))^INT(INT(CY215/12)/INDEX('Lease Cycles'!$CP$20:$CV$20,1,CY214))/12))),IF('Lease Cycles'!$N$20=1,'Lease Cycles'!$C$20*'Lease Cycles'!$E$20*INDEX('Lease Cycles'!$HE$20:$HK$20,1,CY214)*(1+INDEX('Lease Cycles'!$GQ$20:$GW$20,1,CY214))^INT(INT((CY$6-INDEX('Lease Cycles'!$GJ$20:$GP$20,1,CY214))/12)/INDEX('Lease Cycles'!$GX$20:$HD$20,1,CY214))/12,0)))</f>
        <v>0</v>
      </c>
      <c r="CZ217" s="28">
        <f>IF(CZ214=0,IF('Lease Cycles'!$F$20&gt;0,'Lease Cycles'!$C$20*'Lease Cycles'!$E$20/12,0),IF(CZ216=1,IF('Lease Cycles'!$AT$20&gt;=9999,'Lease Cycles'!$C$20*INDEX('Lease Cycles'!$CB$20:$CH$20,1,CZ214)*(1+INDEX('Lease Cycles'!$CI$20:$CO$20,1,CZ214))^INT(INT(CZ215/12)/INDEX('Lease Cycles'!$CP$20:$CV$20,1,CZ214))/12,IF(CZ214=1,IF(CZ215&gt;=INDEX('Lease Cycles'!$DK$20:$DQ$20,1,CZ214),IF(CZ$6&gt;='Lease Cycles'!$AZ$20,'Lease Cycles'!$C$20*'Lease Cycles'!$BA$20/12,IF(CZ$6&gt;='Lease Cycles'!$AX$20,'Lease Cycles'!$C$20*'Lease Cycles'!$AY$20/12,IF(CZ$6&gt;='Lease Cycles'!$AV$20,'Lease Cycles'!$C$20*'Lease Cycles'!$AW$20/12,IF(CZ$6&gt;='Lease Cycles'!$AT$20,'Lease Cycles'!$C$20*'Lease Cycles'!$AU$20/12,'Lease Cycles'!$C$20*INDEX('Lease Cycles'!$CB$20:$CH$20,1,CZ214)*(1+INDEX('Lease Cycles'!$CI$20:$CO$20,1,CZ214))^INT(INT(CZ215/12)/INDEX('Lease Cycles'!$CP$20:$CV$20,1,CZ214))/12)))),'Lease Cycles'!$C$20*INDEX('Lease Cycles'!$CB$20:$CH$20,1,CZ214)*(1+INDEX('Lease Cycles'!$CI$20:$CO$20,1,CZ214))^INT(INT(CZ215/12)/INDEX('Lease Cycles'!$CP$20:$CV$20,1,CZ214))/12),IF(INDEX('Lease Cycles'!$EF$20:$EL$20,1,CZ214)=1,IF(AND('Lease Cycles'!$AZ$20&gt;=INDEX('Lease Cycles'!$BG$20:$BM$20,1,CZ214),'Lease Cycles'!$AZ$20&lt;=CZ$6),'Lease Cycles'!$C$20*'Lease Cycles'!$BA$20/12,IF(AND('Lease Cycles'!$AX$20&gt;=INDEX('Lease Cycles'!$BG$20:$BM$20,1,CZ214),'Lease Cycles'!$AX$20&lt;=CZ$6),'Lease Cycles'!$C$20*'Lease Cycles'!$AY$20/12,IF(AND('Lease Cycles'!$AV$20&gt;=INDEX('Lease Cycles'!$BG$20:$BM$20,1,CZ214),'Lease Cycles'!$AV$20&lt;=CZ$6),'Lease Cycles'!$C$20*'Lease Cycles'!$AW$20/12,IF(AND('Lease Cycles'!$AT$20&gt;=INDEX('Lease Cycles'!$BG$20:$BM$20,1,CZ214),'Lease Cycles'!$AT$20&lt;=CZ$6),'Lease Cycles'!$C$20*'Lease Cycles'!$AU$20/12,'Lease Cycles'!$C$20*INDEX('Lease Cycles'!$CB$20:$CH$20,1,CZ214)*(1+INDEX('Lease Cycles'!$CI$20:$CO$20,1,CZ214))^INT(INT(CZ215/12)/INDEX('Lease Cycles'!$CP$20:$CV$20,1,CZ214))/12)))),'Lease Cycles'!$C$20*INDEX('Lease Cycles'!$CB$20:$CH$20,1,CZ214)*(1+INDEX('Lease Cycles'!$CI$20:$CO$20,1,CZ214))^INT(INT(CZ215/12)/INDEX('Lease Cycles'!$CP$20:$CV$20,1,CZ214))/12))),IF('Lease Cycles'!$N$20=1,'Lease Cycles'!$C$20*'Lease Cycles'!$E$20*INDEX('Lease Cycles'!$HE$20:$HK$20,1,CZ214)*(1+INDEX('Lease Cycles'!$GQ$20:$GW$20,1,CZ214))^INT(INT((CZ$6-INDEX('Lease Cycles'!$GJ$20:$GP$20,1,CZ214))/12)/INDEX('Lease Cycles'!$GX$20:$HD$20,1,CZ214))/12,0)))</f>
        <v>0</v>
      </c>
      <c r="DA217" s="28">
        <f>IF(DA214=0,IF('Lease Cycles'!$F$20&gt;0,'Lease Cycles'!$C$20*'Lease Cycles'!$E$20/12,0),IF(DA216=1,IF('Lease Cycles'!$AT$20&gt;=9999,'Lease Cycles'!$C$20*INDEX('Lease Cycles'!$CB$20:$CH$20,1,DA214)*(1+INDEX('Lease Cycles'!$CI$20:$CO$20,1,DA214))^INT(INT(DA215/12)/INDEX('Lease Cycles'!$CP$20:$CV$20,1,DA214))/12,IF(DA214=1,IF(DA215&gt;=INDEX('Lease Cycles'!$DK$20:$DQ$20,1,DA214),IF(DA$6&gt;='Lease Cycles'!$AZ$20,'Lease Cycles'!$C$20*'Lease Cycles'!$BA$20/12,IF(DA$6&gt;='Lease Cycles'!$AX$20,'Lease Cycles'!$C$20*'Lease Cycles'!$AY$20/12,IF(DA$6&gt;='Lease Cycles'!$AV$20,'Lease Cycles'!$C$20*'Lease Cycles'!$AW$20/12,IF(DA$6&gt;='Lease Cycles'!$AT$20,'Lease Cycles'!$C$20*'Lease Cycles'!$AU$20/12,'Lease Cycles'!$C$20*INDEX('Lease Cycles'!$CB$20:$CH$20,1,DA214)*(1+INDEX('Lease Cycles'!$CI$20:$CO$20,1,DA214))^INT(INT(DA215/12)/INDEX('Lease Cycles'!$CP$20:$CV$20,1,DA214))/12)))),'Lease Cycles'!$C$20*INDEX('Lease Cycles'!$CB$20:$CH$20,1,DA214)*(1+INDEX('Lease Cycles'!$CI$20:$CO$20,1,DA214))^INT(INT(DA215/12)/INDEX('Lease Cycles'!$CP$20:$CV$20,1,DA214))/12),IF(INDEX('Lease Cycles'!$EF$20:$EL$20,1,DA214)=1,IF(AND('Lease Cycles'!$AZ$20&gt;=INDEX('Lease Cycles'!$BG$20:$BM$20,1,DA214),'Lease Cycles'!$AZ$20&lt;=DA$6),'Lease Cycles'!$C$20*'Lease Cycles'!$BA$20/12,IF(AND('Lease Cycles'!$AX$20&gt;=INDEX('Lease Cycles'!$BG$20:$BM$20,1,DA214),'Lease Cycles'!$AX$20&lt;=DA$6),'Lease Cycles'!$C$20*'Lease Cycles'!$AY$20/12,IF(AND('Lease Cycles'!$AV$20&gt;=INDEX('Lease Cycles'!$BG$20:$BM$20,1,DA214),'Lease Cycles'!$AV$20&lt;=DA$6),'Lease Cycles'!$C$20*'Lease Cycles'!$AW$20/12,IF(AND('Lease Cycles'!$AT$20&gt;=INDEX('Lease Cycles'!$BG$20:$BM$20,1,DA214),'Lease Cycles'!$AT$20&lt;=DA$6),'Lease Cycles'!$C$20*'Lease Cycles'!$AU$20/12,'Lease Cycles'!$C$20*INDEX('Lease Cycles'!$CB$20:$CH$20,1,DA214)*(1+INDEX('Lease Cycles'!$CI$20:$CO$20,1,DA214))^INT(INT(DA215/12)/INDEX('Lease Cycles'!$CP$20:$CV$20,1,DA214))/12)))),'Lease Cycles'!$C$20*INDEX('Lease Cycles'!$CB$20:$CH$20,1,DA214)*(1+INDEX('Lease Cycles'!$CI$20:$CO$20,1,DA214))^INT(INT(DA215/12)/INDEX('Lease Cycles'!$CP$20:$CV$20,1,DA214))/12))),IF('Lease Cycles'!$N$20=1,'Lease Cycles'!$C$20*'Lease Cycles'!$E$20*INDEX('Lease Cycles'!$HE$20:$HK$20,1,DA214)*(1+INDEX('Lease Cycles'!$GQ$20:$GW$20,1,DA214))^INT(INT((DA$6-INDEX('Lease Cycles'!$GJ$20:$GP$20,1,DA214))/12)/INDEX('Lease Cycles'!$GX$20:$HD$20,1,DA214))/12,0)))</f>
        <v>0</v>
      </c>
      <c r="DB217" s="28">
        <f>IF(DB214=0,IF('Lease Cycles'!$F$20&gt;0,'Lease Cycles'!$C$20*'Lease Cycles'!$E$20/12,0),IF(DB216=1,IF('Lease Cycles'!$AT$20&gt;=9999,'Lease Cycles'!$C$20*INDEX('Lease Cycles'!$CB$20:$CH$20,1,DB214)*(1+INDEX('Lease Cycles'!$CI$20:$CO$20,1,DB214))^INT(INT(DB215/12)/INDEX('Lease Cycles'!$CP$20:$CV$20,1,DB214))/12,IF(DB214=1,IF(DB215&gt;=INDEX('Lease Cycles'!$DK$20:$DQ$20,1,DB214),IF(DB$6&gt;='Lease Cycles'!$AZ$20,'Lease Cycles'!$C$20*'Lease Cycles'!$BA$20/12,IF(DB$6&gt;='Lease Cycles'!$AX$20,'Lease Cycles'!$C$20*'Lease Cycles'!$AY$20/12,IF(DB$6&gt;='Lease Cycles'!$AV$20,'Lease Cycles'!$C$20*'Lease Cycles'!$AW$20/12,IF(DB$6&gt;='Lease Cycles'!$AT$20,'Lease Cycles'!$C$20*'Lease Cycles'!$AU$20/12,'Lease Cycles'!$C$20*INDEX('Lease Cycles'!$CB$20:$CH$20,1,DB214)*(1+INDEX('Lease Cycles'!$CI$20:$CO$20,1,DB214))^INT(INT(DB215/12)/INDEX('Lease Cycles'!$CP$20:$CV$20,1,DB214))/12)))),'Lease Cycles'!$C$20*INDEX('Lease Cycles'!$CB$20:$CH$20,1,DB214)*(1+INDEX('Lease Cycles'!$CI$20:$CO$20,1,DB214))^INT(INT(DB215/12)/INDEX('Lease Cycles'!$CP$20:$CV$20,1,DB214))/12),IF(INDEX('Lease Cycles'!$EF$20:$EL$20,1,DB214)=1,IF(AND('Lease Cycles'!$AZ$20&gt;=INDEX('Lease Cycles'!$BG$20:$BM$20,1,DB214),'Lease Cycles'!$AZ$20&lt;=DB$6),'Lease Cycles'!$C$20*'Lease Cycles'!$BA$20/12,IF(AND('Lease Cycles'!$AX$20&gt;=INDEX('Lease Cycles'!$BG$20:$BM$20,1,DB214),'Lease Cycles'!$AX$20&lt;=DB$6),'Lease Cycles'!$C$20*'Lease Cycles'!$AY$20/12,IF(AND('Lease Cycles'!$AV$20&gt;=INDEX('Lease Cycles'!$BG$20:$BM$20,1,DB214),'Lease Cycles'!$AV$20&lt;=DB$6),'Lease Cycles'!$C$20*'Lease Cycles'!$AW$20/12,IF(AND('Lease Cycles'!$AT$20&gt;=INDEX('Lease Cycles'!$BG$20:$BM$20,1,DB214),'Lease Cycles'!$AT$20&lt;=DB$6),'Lease Cycles'!$C$20*'Lease Cycles'!$AU$20/12,'Lease Cycles'!$C$20*INDEX('Lease Cycles'!$CB$20:$CH$20,1,DB214)*(1+INDEX('Lease Cycles'!$CI$20:$CO$20,1,DB214))^INT(INT(DB215/12)/INDEX('Lease Cycles'!$CP$20:$CV$20,1,DB214))/12)))),'Lease Cycles'!$C$20*INDEX('Lease Cycles'!$CB$20:$CH$20,1,DB214)*(1+INDEX('Lease Cycles'!$CI$20:$CO$20,1,DB214))^INT(INT(DB215/12)/INDEX('Lease Cycles'!$CP$20:$CV$20,1,DB214))/12))),IF('Lease Cycles'!$N$20=1,'Lease Cycles'!$C$20*'Lease Cycles'!$E$20*INDEX('Lease Cycles'!$HE$20:$HK$20,1,DB214)*(1+INDEX('Lease Cycles'!$GQ$20:$GW$20,1,DB214))^INT(INT((DB$6-INDEX('Lease Cycles'!$GJ$20:$GP$20,1,DB214))/12)/INDEX('Lease Cycles'!$GX$20:$HD$20,1,DB214))/12,0)))</f>
        <v>0</v>
      </c>
      <c r="DC217" s="28">
        <f>IF(DC214=0,IF('Lease Cycles'!$F$20&gt;0,'Lease Cycles'!$C$20*'Lease Cycles'!$E$20/12,0),IF(DC216=1,IF('Lease Cycles'!$AT$20&gt;=9999,'Lease Cycles'!$C$20*INDEX('Lease Cycles'!$CB$20:$CH$20,1,DC214)*(1+INDEX('Lease Cycles'!$CI$20:$CO$20,1,DC214))^INT(INT(DC215/12)/INDEX('Lease Cycles'!$CP$20:$CV$20,1,DC214))/12,IF(DC214=1,IF(DC215&gt;=INDEX('Lease Cycles'!$DK$20:$DQ$20,1,DC214),IF(DC$6&gt;='Lease Cycles'!$AZ$20,'Lease Cycles'!$C$20*'Lease Cycles'!$BA$20/12,IF(DC$6&gt;='Lease Cycles'!$AX$20,'Lease Cycles'!$C$20*'Lease Cycles'!$AY$20/12,IF(DC$6&gt;='Lease Cycles'!$AV$20,'Lease Cycles'!$C$20*'Lease Cycles'!$AW$20/12,IF(DC$6&gt;='Lease Cycles'!$AT$20,'Lease Cycles'!$C$20*'Lease Cycles'!$AU$20/12,'Lease Cycles'!$C$20*INDEX('Lease Cycles'!$CB$20:$CH$20,1,DC214)*(1+INDEX('Lease Cycles'!$CI$20:$CO$20,1,DC214))^INT(INT(DC215/12)/INDEX('Lease Cycles'!$CP$20:$CV$20,1,DC214))/12)))),'Lease Cycles'!$C$20*INDEX('Lease Cycles'!$CB$20:$CH$20,1,DC214)*(1+INDEX('Lease Cycles'!$CI$20:$CO$20,1,DC214))^INT(INT(DC215/12)/INDEX('Lease Cycles'!$CP$20:$CV$20,1,DC214))/12),IF(INDEX('Lease Cycles'!$EF$20:$EL$20,1,DC214)=1,IF(AND('Lease Cycles'!$AZ$20&gt;=INDEX('Lease Cycles'!$BG$20:$BM$20,1,DC214),'Lease Cycles'!$AZ$20&lt;=DC$6),'Lease Cycles'!$C$20*'Lease Cycles'!$BA$20/12,IF(AND('Lease Cycles'!$AX$20&gt;=INDEX('Lease Cycles'!$BG$20:$BM$20,1,DC214),'Lease Cycles'!$AX$20&lt;=DC$6),'Lease Cycles'!$C$20*'Lease Cycles'!$AY$20/12,IF(AND('Lease Cycles'!$AV$20&gt;=INDEX('Lease Cycles'!$BG$20:$BM$20,1,DC214),'Lease Cycles'!$AV$20&lt;=DC$6),'Lease Cycles'!$C$20*'Lease Cycles'!$AW$20/12,IF(AND('Lease Cycles'!$AT$20&gt;=INDEX('Lease Cycles'!$BG$20:$BM$20,1,DC214),'Lease Cycles'!$AT$20&lt;=DC$6),'Lease Cycles'!$C$20*'Lease Cycles'!$AU$20/12,'Lease Cycles'!$C$20*INDEX('Lease Cycles'!$CB$20:$CH$20,1,DC214)*(1+INDEX('Lease Cycles'!$CI$20:$CO$20,1,DC214))^INT(INT(DC215/12)/INDEX('Lease Cycles'!$CP$20:$CV$20,1,DC214))/12)))),'Lease Cycles'!$C$20*INDEX('Lease Cycles'!$CB$20:$CH$20,1,DC214)*(1+INDEX('Lease Cycles'!$CI$20:$CO$20,1,DC214))^INT(INT(DC215/12)/INDEX('Lease Cycles'!$CP$20:$CV$20,1,DC214))/12))),IF('Lease Cycles'!$N$20=1,'Lease Cycles'!$C$20*'Lease Cycles'!$E$20*INDEX('Lease Cycles'!$HE$20:$HK$20,1,DC214)*(1+INDEX('Lease Cycles'!$GQ$20:$GW$20,1,DC214))^INT(INT((DC$6-INDEX('Lease Cycles'!$GJ$20:$GP$20,1,DC214))/12)/INDEX('Lease Cycles'!$GX$20:$HD$20,1,DC214))/12,0)))</f>
        <v>0</v>
      </c>
      <c r="DD217" s="28">
        <f>IF(DD214=0,IF('Lease Cycles'!$F$20&gt;0,'Lease Cycles'!$C$20*'Lease Cycles'!$E$20/12,0),IF(DD216=1,IF('Lease Cycles'!$AT$20&gt;=9999,'Lease Cycles'!$C$20*INDEX('Lease Cycles'!$CB$20:$CH$20,1,DD214)*(1+INDEX('Lease Cycles'!$CI$20:$CO$20,1,DD214))^INT(INT(DD215/12)/INDEX('Lease Cycles'!$CP$20:$CV$20,1,DD214))/12,IF(DD214=1,IF(DD215&gt;=INDEX('Lease Cycles'!$DK$20:$DQ$20,1,DD214),IF(DD$6&gt;='Lease Cycles'!$AZ$20,'Lease Cycles'!$C$20*'Lease Cycles'!$BA$20/12,IF(DD$6&gt;='Lease Cycles'!$AX$20,'Lease Cycles'!$C$20*'Lease Cycles'!$AY$20/12,IF(DD$6&gt;='Lease Cycles'!$AV$20,'Lease Cycles'!$C$20*'Lease Cycles'!$AW$20/12,IF(DD$6&gt;='Lease Cycles'!$AT$20,'Lease Cycles'!$C$20*'Lease Cycles'!$AU$20/12,'Lease Cycles'!$C$20*INDEX('Lease Cycles'!$CB$20:$CH$20,1,DD214)*(1+INDEX('Lease Cycles'!$CI$20:$CO$20,1,DD214))^INT(INT(DD215/12)/INDEX('Lease Cycles'!$CP$20:$CV$20,1,DD214))/12)))),'Lease Cycles'!$C$20*INDEX('Lease Cycles'!$CB$20:$CH$20,1,DD214)*(1+INDEX('Lease Cycles'!$CI$20:$CO$20,1,DD214))^INT(INT(DD215/12)/INDEX('Lease Cycles'!$CP$20:$CV$20,1,DD214))/12),IF(INDEX('Lease Cycles'!$EF$20:$EL$20,1,DD214)=1,IF(AND('Lease Cycles'!$AZ$20&gt;=INDEX('Lease Cycles'!$BG$20:$BM$20,1,DD214),'Lease Cycles'!$AZ$20&lt;=DD$6),'Lease Cycles'!$C$20*'Lease Cycles'!$BA$20/12,IF(AND('Lease Cycles'!$AX$20&gt;=INDEX('Lease Cycles'!$BG$20:$BM$20,1,DD214),'Lease Cycles'!$AX$20&lt;=DD$6),'Lease Cycles'!$C$20*'Lease Cycles'!$AY$20/12,IF(AND('Lease Cycles'!$AV$20&gt;=INDEX('Lease Cycles'!$BG$20:$BM$20,1,DD214),'Lease Cycles'!$AV$20&lt;=DD$6),'Lease Cycles'!$C$20*'Lease Cycles'!$AW$20/12,IF(AND('Lease Cycles'!$AT$20&gt;=INDEX('Lease Cycles'!$BG$20:$BM$20,1,DD214),'Lease Cycles'!$AT$20&lt;=DD$6),'Lease Cycles'!$C$20*'Lease Cycles'!$AU$20/12,'Lease Cycles'!$C$20*INDEX('Lease Cycles'!$CB$20:$CH$20,1,DD214)*(1+INDEX('Lease Cycles'!$CI$20:$CO$20,1,DD214))^INT(INT(DD215/12)/INDEX('Lease Cycles'!$CP$20:$CV$20,1,DD214))/12)))),'Lease Cycles'!$C$20*INDEX('Lease Cycles'!$CB$20:$CH$20,1,DD214)*(1+INDEX('Lease Cycles'!$CI$20:$CO$20,1,DD214))^INT(INT(DD215/12)/INDEX('Lease Cycles'!$CP$20:$CV$20,1,DD214))/12))),IF('Lease Cycles'!$N$20=1,'Lease Cycles'!$C$20*'Lease Cycles'!$E$20*INDEX('Lease Cycles'!$HE$20:$HK$20,1,DD214)*(1+INDEX('Lease Cycles'!$GQ$20:$GW$20,1,DD214))^INT(INT((DD$6-INDEX('Lease Cycles'!$GJ$20:$GP$20,1,DD214))/12)/INDEX('Lease Cycles'!$GX$20:$HD$20,1,DD214))/12,0)))</f>
        <v>0</v>
      </c>
      <c r="DE217" s="28">
        <f>IF(DE214=0,IF('Lease Cycles'!$F$20&gt;0,'Lease Cycles'!$C$20*'Lease Cycles'!$E$20/12,0),IF(DE216=1,IF('Lease Cycles'!$AT$20&gt;=9999,'Lease Cycles'!$C$20*INDEX('Lease Cycles'!$CB$20:$CH$20,1,DE214)*(1+INDEX('Lease Cycles'!$CI$20:$CO$20,1,DE214))^INT(INT(DE215/12)/INDEX('Lease Cycles'!$CP$20:$CV$20,1,DE214))/12,IF(DE214=1,IF(DE215&gt;=INDEX('Lease Cycles'!$DK$20:$DQ$20,1,DE214),IF(DE$6&gt;='Lease Cycles'!$AZ$20,'Lease Cycles'!$C$20*'Lease Cycles'!$BA$20/12,IF(DE$6&gt;='Lease Cycles'!$AX$20,'Lease Cycles'!$C$20*'Lease Cycles'!$AY$20/12,IF(DE$6&gt;='Lease Cycles'!$AV$20,'Lease Cycles'!$C$20*'Lease Cycles'!$AW$20/12,IF(DE$6&gt;='Lease Cycles'!$AT$20,'Lease Cycles'!$C$20*'Lease Cycles'!$AU$20/12,'Lease Cycles'!$C$20*INDEX('Lease Cycles'!$CB$20:$CH$20,1,DE214)*(1+INDEX('Lease Cycles'!$CI$20:$CO$20,1,DE214))^INT(INT(DE215/12)/INDEX('Lease Cycles'!$CP$20:$CV$20,1,DE214))/12)))),'Lease Cycles'!$C$20*INDEX('Lease Cycles'!$CB$20:$CH$20,1,DE214)*(1+INDEX('Lease Cycles'!$CI$20:$CO$20,1,DE214))^INT(INT(DE215/12)/INDEX('Lease Cycles'!$CP$20:$CV$20,1,DE214))/12),IF(INDEX('Lease Cycles'!$EF$20:$EL$20,1,DE214)=1,IF(AND('Lease Cycles'!$AZ$20&gt;=INDEX('Lease Cycles'!$BG$20:$BM$20,1,DE214),'Lease Cycles'!$AZ$20&lt;=DE$6),'Lease Cycles'!$C$20*'Lease Cycles'!$BA$20/12,IF(AND('Lease Cycles'!$AX$20&gt;=INDEX('Lease Cycles'!$BG$20:$BM$20,1,DE214),'Lease Cycles'!$AX$20&lt;=DE$6),'Lease Cycles'!$C$20*'Lease Cycles'!$AY$20/12,IF(AND('Lease Cycles'!$AV$20&gt;=INDEX('Lease Cycles'!$BG$20:$BM$20,1,DE214),'Lease Cycles'!$AV$20&lt;=DE$6),'Lease Cycles'!$C$20*'Lease Cycles'!$AW$20/12,IF(AND('Lease Cycles'!$AT$20&gt;=INDEX('Lease Cycles'!$BG$20:$BM$20,1,DE214),'Lease Cycles'!$AT$20&lt;=DE$6),'Lease Cycles'!$C$20*'Lease Cycles'!$AU$20/12,'Lease Cycles'!$C$20*INDEX('Lease Cycles'!$CB$20:$CH$20,1,DE214)*(1+INDEX('Lease Cycles'!$CI$20:$CO$20,1,DE214))^INT(INT(DE215/12)/INDEX('Lease Cycles'!$CP$20:$CV$20,1,DE214))/12)))),'Lease Cycles'!$C$20*INDEX('Lease Cycles'!$CB$20:$CH$20,1,DE214)*(1+INDEX('Lease Cycles'!$CI$20:$CO$20,1,DE214))^INT(INT(DE215/12)/INDEX('Lease Cycles'!$CP$20:$CV$20,1,DE214))/12))),IF('Lease Cycles'!$N$20=1,'Lease Cycles'!$C$20*'Lease Cycles'!$E$20*INDEX('Lease Cycles'!$HE$20:$HK$20,1,DE214)*(1+INDEX('Lease Cycles'!$GQ$20:$GW$20,1,DE214))^INT(INT((DE$6-INDEX('Lease Cycles'!$GJ$20:$GP$20,1,DE214))/12)/INDEX('Lease Cycles'!$GX$20:$HD$20,1,DE214))/12,0)))</f>
        <v>0</v>
      </c>
      <c r="DF217" s="28">
        <f>IF(DF214=0,IF('Lease Cycles'!$F$20&gt;0,'Lease Cycles'!$C$20*'Lease Cycles'!$E$20/12,0),IF(DF216=1,IF('Lease Cycles'!$AT$20&gt;=9999,'Lease Cycles'!$C$20*INDEX('Lease Cycles'!$CB$20:$CH$20,1,DF214)*(1+INDEX('Lease Cycles'!$CI$20:$CO$20,1,DF214))^INT(INT(DF215/12)/INDEX('Lease Cycles'!$CP$20:$CV$20,1,DF214))/12,IF(DF214=1,IF(DF215&gt;=INDEX('Lease Cycles'!$DK$20:$DQ$20,1,DF214),IF(DF$6&gt;='Lease Cycles'!$AZ$20,'Lease Cycles'!$C$20*'Lease Cycles'!$BA$20/12,IF(DF$6&gt;='Lease Cycles'!$AX$20,'Lease Cycles'!$C$20*'Lease Cycles'!$AY$20/12,IF(DF$6&gt;='Lease Cycles'!$AV$20,'Lease Cycles'!$C$20*'Lease Cycles'!$AW$20/12,IF(DF$6&gt;='Lease Cycles'!$AT$20,'Lease Cycles'!$C$20*'Lease Cycles'!$AU$20/12,'Lease Cycles'!$C$20*INDEX('Lease Cycles'!$CB$20:$CH$20,1,DF214)*(1+INDEX('Lease Cycles'!$CI$20:$CO$20,1,DF214))^INT(INT(DF215/12)/INDEX('Lease Cycles'!$CP$20:$CV$20,1,DF214))/12)))),'Lease Cycles'!$C$20*INDEX('Lease Cycles'!$CB$20:$CH$20,1,DF214)*(1+INDEX('Lease Cycles'!$CI$20:$CO$20,1,DF214))^INT(INT(DF215/12)/INDEX('Lease Cycles'!$CP$20:$CV$20,1,DF214))/12),IF(INDEX('Lease Cycles'!$EF$20:$EL$20,1,DF214)=1,IF(AND('Lease Cycles'!$AZ$20&gt;=INDEX('Lease Cycles'!$BG$20:$BM$20,1,DF214),'Lease Cycles'!$AZ$20&lt;=DF$6),'Lease Cycles'!$C$20*'Lease Cycles'!$BA$20/12,IF(AND('Lease Cycles'!$AX$20&gt;=INDEX('Lease Cycles'!$BG$20:$BM$20,1,DF214),'Lease Cycles'!$AX$20&lt;=DF$6),'Lease Cycles'!$C$20*'Lease Cycles'!$AY$20/12,IF(AND('Lease Cycles'!$AV$20&gt;=INDEX('Lease Cycles'!$BG$20:$BM$20,1,DF214),'Lease Cycles'!$AV$20&lt;=DF$6),'Lease Cycles'!$C$20*'Lease Cycles'!$AW$20/12,IF(AND('Lease Cycles'!$AT$20&gt;=INDEX('Lease Cycles'!$BG$20:$BM$20,1,DF214),'Lease Cycles'!$AT$20&lt;=DF$6),'Lease Cycles'!$C$20*'Lease Cycles'!$AU$20/12,'Lease Cycles'!$C$20*INDEX('Lease Cycles'!$CB$20:$CH$20,1,DF214)*(1+INDEX('Lease Cycles'!$CI$20:$CO$20,1,DF214))^INT(INT(DF215/12)/INDEX('Lease Cycles'!$CP$20:$CV$20,1,DF214))/12)))),'Lease Cycles'!$C$20*INDEX('Lease Cycles'!$CB$20:$CH$20,1,DF214)*(1+INDEX('Lease Cycles'!$CI$20:$CO$20,1,DF214))^INT(INT(DF215/12)/INDEX('Lease Cycles'!$CP$20:$CV$20,1,DF214))/12))),IF('Lease Cycles'!$N$20=1,'Lease Cycles'!$C$20*'Lease Cycles'!$E$20*INDEX('Lease Cycles'!$HE$20:$HK$20,1,DF214)*(1+INDEX('Lease Cycles'!$GQ$20:$GW$20,1,DF214))^INT(INT((DF$6-INDEX('Lease Cycles'!$GJ$20:$GP$20,1,DF214))/12)/INDEX('Lease Cycles'!$GX$20:$HD$20,1,DF214))/12,0)))</f>
        <v>0</v>
      </c>
      <c r="DG217" s="28">
        <f>IF(DG214=0,IF('Lease Cycles'!$F$20&gt;0,'Lease Cycles'!$C$20*'Lease Cycles'!$E$20/12,0),IF(DG216=1,IF('Lease Cycles'!$AT$20&gt;=9999,'Lease Cycles'!$C$20*INDEX('Lease Cycles'!$CB$20:$CH$20,1,DG214)*(1+INDEX('Lease Cycles'!$CI$20:$CO$20,1,DG214))^INT(INT(DG215/12)/INDEX('Lease Cycles'!$CP$20:$CV$20,1,DG214))/12,IF(DG214=1,IF(DG215&gt;=INDEX('Lease Cycles'!$DK$20:$DQ$20,1,DG214),IF(DG$6&gt;='Lease Cycles'!$AZ$20,'Lease Cycles'!$C$20*'Lease Cycles'!$BA$20/12,IF(DG$6&gt;='Lease Cycles'!$AX$20,'Lease Cycles'!$C$20*'Lease Cycles'!$AY$20/12,IF(DG$6&gt;='Lease Cycles'!$AV$20,'Lease Cycles'!$C$20*'Lease Cycles'!$AW$20/12,IF(DG$6&gt;='Lease Cycles'!$AT$20,'Lease Cycles'!$C$20*'Lease Cycles'!$AU$20/12,'Lease Cycles'!$C$20*INDEX('Lease Cycles'!$CB$20:$CH$20,1,DG214)*(1+INDEX('Lease Cycles'!$CI$20:$CO$20,1,DG214))^INT(INT(DG215/12)/INDEX('Lease Cycles'!$CP$20:$CV$20,1,DG214))/12)))),'Lease Cycles'!$C$20*INDEX('Lease Cycles'!$CB$20:$CH$20,1,DG214)*(1+INDEX('Lease Cycles'!$CI$20:$CO$20,1,DG214))^INT(INT(DG215/12)/INDEX('Lease Cycles'!$CP$20:$CV$20,1,DG214))/12),IF(INDEX('Lease Cycles'!$EF$20:$EL$20,1,DG214)=1,IF(AND('Lease Cycles'!$AZ$20&gt;=INDEX('Lease Cycles'!$BG$20:$BM$20,1,DG214),'Lease Cycles'!$AZ$20&lt;=DG$6),'Lease Cycles'!$C$20*'Lease Cycles'!$BA$20/12,IF(AND('Lease Cycles'!$AX$20&gt;=INDEX('Lease Cycles'!$BG$20:$BM$20,1,DG214),'Lease Cycles'!$AX$20&lt;=DG$6),'Lease Cycles'!$C$20*'Lease Cycles'!$AY$20/12,IF(AND('Lease Cycles'!$AV$20&gt;=INDEX('Lease Cycles'!$BG$20:$BM$20,1,DG214),'Lease Cycles'!$AV$20&lt;=DG$6),'Lease Cycles'!$C$20*'Lease Cycles'!$AW$20/12,IF(AND('Lease Cycles'!$AT$20&gt;=INDEX('Lease Cycles'!$BG$20:$BM$20,1,DG214),'Lease Cycles'!$AT$20&lt;=DG$6),'Lease Cycles'!$C$20*'Lease Cycles'!$AU$20/12,'Lease Cycles'!$C$20*INDEX('Lease Cycles'!$CB$20:$CH$20,1,DG214)*(1+INDEX('Lease Cycles'!$CI$20:$CO$20,1,DG214))^INT(INT(DG215/12)/INDEX('Lease Cycles'!$CP$20:$CV$20,1,DG214))/12)))),'Lease Cycles'!$C$20*INDEX('Lease Cycles'!$CB$20:$CH$20,1,DG214)*(1+INDEX('Lease Cycles'!$CI$20:$CO$20,1,DG214))^INT(INT(DG215/12)/INDEX('Lease Cycles'!$CP$20:$CV$20,1,DG214))/12))),IF('Lease Cycles'!$N$20=1,'Lease Cycles'!$C$20*'Lease Cycles'!$E$20*INDEX('Lease Cycles'!$HE$20:$HK$20,1,DG214)*(1+INDEX('Lease Cycles'!$GQ$20:$GW$20,1,DG214))^INT(INT((DG$6-INDEX('Lease Cycles'!$GJ$20:$GP$20,1,DG214))/12)/INDEX('Lease Cycles'!$GX$20:$HD$20,1,DG214))/12,0)))</f>
        <v>0</v>
      </c>
      <c r="DH217" s="28">
        <f>IF(DH214=0,IF('Lease Cycles'!$F$20&gt;0,'Lease Cycles'!$C$20*'Lease Cycles'!$E$20/12,0),IF(DH216=1,IF('Lease Cycles'!$AT$20&gt;=9999,'Lease Cycles'!$C$20*INDEX('Lease Cycles'!$CB$20:$CH$20,1,DH214)*(1+INDEX('Lease Cycles'!$CI$20:$CO$20,1,DH214))^INT(INT(DH215/12)/INDEX('Lease Cycles'!$CP$20:$CV$20,1,DH214))/12,IF(DH214=1,IF(DH215&gt;=INDEX('Lease Cycles'!$DK$20:$DQ$20,1,DH214),IF(DH$6&gt;='Lease Cycles'!$AZ$20,'Lease Cycles'!$C$20*'Lease Cycles'!$BA$20/12,IF(DH$6&gt;='Lease Cycles'!$AX$20,'Lease Cycles'!$C$20*'Lease Cycles'!$AY$20/12,IF(DH$6&gt;='Lease Cycles'!$AV$20,'Lease Cycles'!$C$20*'Lease Cycles'!$AW$20/12,IF(DH$6&gt;='Lease Cycles'!$AT$20,'Lease Cycles'!$C$20*'Lease Cycles'!$AU$20/12,'Lease Cycles'!$C$20*INDEX('Lease Cycles'!$CB$20:$CH$20,1,DH214)*(1+INDEX('Lease Cycles'!$CI$20:$CO$20,1,DH214))^INT(INT(DH215/12)/INDEX('Lease Cycles'!$CP$20:$CV$20,1,DH214))/12)))),'Lease Cycles'!$C$20*INDEX('Lease Cycles'!$CB$20:$CH$20,1,DH214)*(1+INDEX('Lease Cycles'!$CI$20:$CO$20,1,DH214))^INT(INT(DH215/12)/INDEX('Lease Cycles'!$CP$20:$CV$20,1,DH214))/12),IF(INDEX('Lease Cycles'!$EF$20:$EL$20,1,DH214)=1,IF(AND('Lease Cycles'!$AZ$20&gt;=INDEX('Lease Cycles'!$BG$20:$BM$20,1,DH214),'Lease Cycles'!$AZ$20&lt;=DH$6),'Lease Cycles'!$C$20*'Lease Cycles'!$BA$20/12,IF(AND('Lease Cycles'!$AX$20&gt;=INDEX('Lease Cycles'!$BG$20:$BM$20,1,DH214),'Lease Cycles'!$AX$20&lt;=DH$6),'Lease Cycles'!$C$20*'Lease Cycles'!$AY$20/12,IF(AND('Lease Cycles'!$AV$20&gt;=INDEX('Lease Cycles'!$BG$20:$BM$20,1,DH214),'Lease Cycles'!$AV$20&lt;=DH$6),'Lease Cycles'!$C$20*'Lease Cycles'!$AW$20/12,IF(AND('Lease Cycles'!$AT$20&gt;=INDEX('Lease Cycles'!$BG$20:$BM$20,1,DH214),'Lease Cycles'!$AT$20&lt;=DH$6),'Lease Cycles'!$C$20*'Lease Cycles'!$AU$20/12,'Lease Cycles'!$C$20*INDEX('Lease Cycles'!$CB$20:$CH$20,1,DH214)*(1+INDEX('Lease Cycles'!$CI$20:$CO$20,1,DH214))^INT(INT(DH215/12)/INDEX('Lease Cycles'!$CP$20:$CV$20,1,DH214))/12)))),'Lease Cycles'!$C$20*INDEX('Lease Cycles'!$CB$20:$CH$20,1,DH214)*(1+INDEX('Lease Cycles'!$CI$20:$CO$20,1,DH214))^INT(INT(DH215/12)/INDEX('Lease Cycles'!$CP$20:$CV$20,1,DH214))/12))),IF('Lease Cycles'!$N$20=1,'Lease Cycles'!$C$20*'Lease Cycles'!$E$20*INDEX('Lease Cycles'!$HE$20:$HK$20,1,DH214)*(1+INDEX('Lease Cycles'!$GQ$20:$GW$20,1,DH214))^INT(INT((DH$6-INDEX('Lease Cycles'!$GJ$20:$GP$20,1,DH214))/12)/INDEX('Lease Cycles'!$GX$20:$HD$20,1,DH214))/12,0)))</f>
        <v>0</v>
      </c>
      <c r="DI217" s="28">
        <f>IF(DI214=0,IF('Lease Cycles'!$F$20&gt;0,'Lease Cycles'!$C$20*'Lease Cycles'!$E$20/12,0),IF(DI216=1,IF('Lease Cycles'!$AT$20&gt;=9999,'Lease Cycles'!$C$20*INDEX('Lease Cycles'!$CB$20:$CH$20,1,DI214)*(1+INDEX('Lease Cycles'!$CI$20:$CO$20,1,DI214))^INT(INT(DI215/12)/INDEX('Lease Cycles'!$CP$20:$CV$20,1,DI214))/12,IF(DI214=1,IF(DI215&gt;=INDEX('Lease Cycles'!$DK$20:$DQ$20,1,DI214),IF(DI$6&gt;='Lease Cycles'!$AZ$20,'Lease Cycles'!$C$20*'Lease Cycles'!$BA$20/12,IF(DI$6&gt;='Lease Cycles'!$AX$20,'Lease Cycles'!$C$20*'Lease Cycles'!$AY$20/12,IF(DI$6&gt;='Lease Cycles'!$AV$20,'Lease Cycles'!$C$20*'Lease Cycles'!$AW$20/12,IF(DI$6&gt;='Lease Cycles'!$AT$20,'Lease Cycles'!$C$20*'Lease Cycles'!$AU$20/12,'Lease Cycles'!$C$20*INDEX('Lease Cycles'!$CB$20:$CH$20,1,DI214)*(1+INDEX('Lease Cycles'!$CI$20:$CO$20,1,DI214))^INT(INT(DI215/12)/INDEX('Lease Cycles'!$CP$20:$CV$20,1,DI214))/12)))),'Lease Cycles'!$C$20*INDEX('Lease Cycles'!$CB$20:$CH$20,1,DI214)*(1+INDEX('Lease Cycles'!$CI$20:$CO$20,1,DI214))^INT(INT(DI215/12)/INDEX('Lease Cycles'!$CP$20:$CV$20,1,DI214))/12),IF(INDEX('Lease Cycles'!$EF$20:$EL$20,1,DI214)=1,IF(AND('Lease Cycles'!$AZ$20&gt;=INDEX('Lease Cycles'!$BG$20:$BM$20,1,DI214),'Lease Cycles'!$AZ$20&lt;=DI$6),'Lease Cycles'!$C$20*'Lease Cycles'!$BA$20/12,IF(AND('Lease Cycles'!$AX$20&gt;=INDEX('Lease Cycles'!$BG$20:$BM$20,1,DI214),'Lease Cycles'!$AX$20&lt;=DI$6),'Lease Cycles'!$C$20*'Lease Cycles'!$AY$20/12,IF(AND('Lease Cycles'!$AV$20&gt;=INDEX('Lease Cycles'!$BG$20:$BM$20,1,DI214),'Lease Cycles'!$AV$20&lt;=DI$6),'Lease Cycles'!$C$20*'Lease Cycles'!$AW$20/12,IF(AND('Lease Cycles'!$AT$20&gt;=INDEX('Lease Cycles'!$BG$20:$BM$20,1,DI214),'Lease Cycles'!$AT$20&lt;=DI$6),'Lease Cycles'!$C$20*'Lease Cycles'!$AU$20/12,'Lease Cycles'!$C$20*INDEX('Lease Cycles'!$CB$20:$CH$20,1,DI214)*(1+INDEX('Lease Cycles'!$CI$20:$CO$20,1,DI214))^INT(INT(DI215/12)/INDEX('Lease Cycles'!$CP$20:$CV$20,1,DI214))/12)))),'Lease Cycles'!$C$20*INDEX('Lease Cycles'!$CB$20:$CH$20,1,DI214)*(1+INDEX('Lease Cycles'!$CI$20:$CO$20,1,DI214))^INT(INT(DI215/12)/INDEX('Lease Cycles'!$CP$20:$CV$20,1,DI214))/12))),IF('Lease Cycles'!$N$20=1,'Lease Cycles'!$C$20*'Lease Cycles'!$E$20*INDEX('Lease Cycles'!$HE$20:$HK$20,1,DI214)*(1+INDEX('Lease Cycles'!$GQ$20:$GW$20,1,DI214))^INT(INT((DI$6-INDEX('Lease Cycles'!$GJ$20:$GP$20,1,DI214))/12)/INDEX('Lease Cycles'!$GX$20:$HD$20,1,DI214))/12,0)))</f>
        <v>0</v>
      </c>
      <c r="DJ217" s="28">
        <f>IF(DJ214=0,IF('Lease Cycles'!$F$20&gt;0,'Lease Cycles'!$C$20*'Lease Cycles'!$E$20/12,0),IF(DJ216=1,IF('Lease Cycles'!$AT$20&gt;=9999,'Lease Cycles'!$C$20*INDEX('Lease Cycles'!$CB$20:$CH$20,1,DJ214)*(1+INDEX('Lease Cycles'!$CI$20:$CO$20,1,DJ214))^INT(INT(DJ215/12)/INDEX('Lease Cycles'!$CP$20:$CV$20,1,DJ214))/12,IF(DJ214=1,IF(DJ215&gt;=INDEX('Lease Cycles'!$DK$20:$DQ$20,1,DJ214),IF(DJ$6&gt;='Lease Cycles'!$AZ$20,'Lease Cycles'!$C$20*'Lease Cycles'!$BA$20/12,IF(DJ$6&gt;='Lease Cycles'!$AX$20,'Lease Cycles'!$C$20*'Lease Cycles'!$AY$20/12,IF(DJ$6&gt;='Lease Cycles'!$AV$20,'Lease Cycles'!$C$20*'Lease Cycles'!$AW$20/12,IF(DJ$6&gt;='Lease Cycles'!$AT$20,'Lease Cycles'!$C$20*'Lease Cycles'!$AU$20/12,'Lease Cycles'!$C$20*INDEX('Lease Cycles'!$CB$20:$CH$20,1,DJ214)*(1+INDEX('Lease Cycles'!$CI$20:$CO$20,1,DJ214))^INT(INT(DJ215/12)/INDEX('Lease Cycles'!$CP$20:$CV$20,1,DJ214))/12)))),'Lease Cycles'!$C$20*INDEX('Lease Cycles'!$CB$20:$CH$20,1,DJ214)*(1+INDEX('Lease Cycles'!$CI$20:$CO$20,1,DJ214))^INT(INT(DJ215/12)/INDEX('Lease Cycles'!$CP$20:$CV$20,1,DJ214))/12),IF(INDEX('Lease Cycles'!$EF$20:$EL$20,1,DJ214)=1,IF(AND('Lease Cycles'!$AZ$20&gt;=INDEX('Lease Cycles'!$BG$20:$BM$20,1,DJ214),'Lease Cycles'!$AZ$20&lt;=DJ$6),'Lease Cycles'!$C$20*'Lease Cycles'!$BA$20/12,IF(AND('Lease Cycles'!$AX$20&gt;=INDEX('Lease Cycles'!$BG$20:$BM$20,1,DJ214),'Lease Cycles'!$AX$20&lt;=DJ$6),'Lease Cycles'!$C$20*'Lease Cycles'!$AY$20/12,IF(AND('Lease Cycles'!$AV$20&gt;=INDEX('Lease Cycles'!$BG$20:$BM$20,1,DJ214),'Lease Cycles'!$AV$20&lt;=DJ$6),'Lease Cycles'!$C$20*'Lease Cycles'!$AW$20/12,IF(AND('Lease Cycles'!$AT$20&gt;=INDEX('Lease Cycles'!$BG$20:$BM$20,1,DJ214),'Lease Cycles'!$AT$20&lt;=DJ$6),'Lease Cycles'!$C$20*'Lease Cycles'!$AU$20/12,'Lease Cycles'!$C$20*INDEX('Lease Cycles'!$CB$20:$CH$20,1,DJ214)*(1+INDEX('Lease Cycles'!$CI$20:$CO$20,1,DJ214))^INT(INT(DJ215/12)/INDEX('Lease Cycles'!$CP$20:$CV$20,1,DJ214))/12)))),'Lease Cycles'!$C$20*INDEX('Lease Cycles'!$CB$20:$CH$20,1,DJ214)*(1+INDEX('Lease Cycles'!$CI$20:$CO$20,1,DJ214))^INT(INT(DJ215/12)/INDEX('Lease Cycles'!$CP$20:$CV$20,1,DJ214))/12))),IF('Lease Cycles'!$N$20=1,'Lease Cycles'!$C$20*'Lease Cycles'!$E$20*INDEX('Lease Cycles'!$HE$20:$HK$20,1,DJ214)*(1+INDEX('Lease Cycles'!$GQ$20:$GW$20,1,DJ214))^INT(INT((DJ$6-INDEX('Lease Cycles'!$GJ$20:$GP$20,1,DJ214))/12)/INDEX('Lease Cycles'!$GX$20:$HD$20,1,DJ214))/12,0)))</f>
        <v>0</v>
      </c>
      <c r="DK217" s="28">
        <f>IF(DK214=0,IF('Lease Cycles'!$F$20&gt;0,'Lease Cycles'!$C$20*'Lease Cycles'!$E$20/12,0),IF(DK216=1,IF('Lease Cycles'!$AT$20&gt;=9999,'Lease Cycles'!$C$20*INDEX('Lease Cycles'!$CB$20:$CH$20,1,DK214)*(1+INDEX('Lease Cycles'!$CI$20:$CO$20,1,DK214))^INT(INT(DK215/12)/INDEX('Lease Cycles'!$CP$20:$CV$20,1,DK214))/12,IF(DK214=1,IF(DK215&gt;=INDEX('Lease Cycles'!$DK$20:$DQ$20,1,DK214),IF(DK$6&gt;='Lease Cycles'!$AZ$20,'Lease Cycles'!$C$20*'Lease Cycles'!$BA$20/12,IF(DK$6&gt;='Lease Cycles'!$AX$20,'Lease Cycles'!$C$20*'Lease Cycles'!$AY$20/12,IF(DK$6&gt;='Lease Cycles'!$AV$20,'Lease Cycles'!$C$20*'Lease Cycles'!$AW$20/12,IF(DK$6&gt;='Lease Cycles'!$AT$20,'Lease Cycles'!$C$20*'Lease Cycles'!$AU$20/12,'Lease Cycles'!$C$20*INDEX('Lease Cycles'!$CB$20:$CH$20,1,DK214)*(1+INDEX('Lease Cycles'!$CI$20:$CO$20,1,DK214))^INT(INT(DK215/12)/INDEX('Lease Cycles'!$CP$20:$CV$20,1,DK214))/12)))),'Lease Cycles'!$C$20*INDEX('Lease Cycles'!$CB$20:$CH$20,1,DK214)*(1+INDEX('Lease Cycles'!$CI$20:$CO$20,1,DK214))^INT(INT(DK215/12)/INDEX('Lease Cycles'!$CP$20:$CV$20,1,DK214))/12),IF(INDEX('Lease Cycles'!$EF$20:$EL$20,1,DK214)=1,IF(AND('Lease Cycles'!$AZ$20&gt;=INDEX('Lease Cycles'!$BG$20:$BM$20,1,DK214),'Lease Cycles'!$AZ$20&lt;=DK$6),'Lease Cycles'!$C$20*'Lease Cycles'!$BA$20/12,IF(AND('Lease Cycles'!$AX$20&gt;=INDEX('Lease Cycles'!$BG$20:$BM$20,1,DK214),'Lease Cycles'!$AX$20&lt;=DK$6),'Lease Cycles'!$C$20*'Lease Cycles'!$AY$20/12,IF(AND('Lease Cycles'!$AV$20&gt;=INDEX('Lease Cycles'!$BG$20:$BM$20,1,DK214),'Lease Cycles'!$AV$20&lt;=DK$6),'Lease Cycles'!$C$20*'Lease Cycles'!$AW$20/12,IF(AND('Lease Cycles'!$AT$20&gt;=INDEX('Lease Cycles'!$BG$20:$BM$20,1,DK214),'Lease Cycles'!$AT$20&lt;=DK$6),'Lease Cycles'!$C$20*'Lease Cycles'!$AU$20/12,'Lease Cycles'!$C$20*INDEX('Lease Cycles'!$CB$20:$CH$20,1,DK214)*(1+INDEX('Lease Cycles'!$CI$20:$CO$20,1,DK214))^INT(INT(DK215/12)/INDEX('Lease Cycles'!$CP$20:$CV$20,1,DK214))/12)))),'Lease Cycles'!$C$20*INDEX('Lease Cycles'!$CB$20:$CH$20,1,DK214)*(1+INDEX('Lease Cycles'!$CI$20:$CO$20,1,DK214))^INT(INT(DK215/12)/INDEX('Lease Cycles'!$CP$20:$CV$20,1,DK214))/12))),IF('Lease Cycles'!$N$20=1,'Lease Cycles'!$C$20*'Lease Cycles'!$E$20*INDEX('Lease Cycles'!$HE$20:$HK$20,1,DK214)*(1+INDEX('Lease Cycles'!$GQ$20:$GW$20,1,DK214))^INT(INT((DK$6-INDEX('Lease Cycles'!$GJ$20:$GP$20,1,DK214))/12)/INDEX('Lease Cycles'!$GX$20:$HD$20,1,DK214))/12,0)))</f>
        <v>0</v>
      </c>
      <c r="DL217" s="28">
        <f>IF(DL214=0,IF('Lease Cycles'!$F$20&gt;0,'Lease Cycles'!$C$20*'Lease Cycles'!$E$20/12,0),IF(DL216=1,IF('Lease Cycles'!$AT$20&gt;=9999,'Lease Cycles'!$C$20*INDEX('Lease Cycles'!$CB$20:$CH$20,1,DL214)*(1+INDEX('Lease Cycles'!$CI$20:$CO$20,1,DL214))^INT(INT(DL215/12)/INDEX('Lease Cycles'!$CP$20:$CV$20,1,DL214))/12,IF(DL214=1,IF(DL215&gt;=INDEX('Lease Cycles'!$DK$20:$DQ$20,1,DL214),IF(DL$6&gt;='Lease Cycles'!$AZ$20,'Lease Cycles'!$C$20*'Lease Cycles'!$BA$20/12,IF(DL$6&gt;='Lease Cycles'!$AX$20,'Lease Cycles'!$C$20*'Lease Cycles'!$AY$20/12,IF(DL$6&gt;='Lease Cycles'!$AV$20,'Lease Cycles'!$C$20*'Lease Cycles'!$AW$20/12,IF(DL$6&gt;='Lease Cycles'!$AT$20,'Lease Cycles'!$C$20*'Lease Cycles'!$AU$20/12,'Lease Cycles'!$C$20*INDEX('Lease Cycles'!$CB$20:$CH$20,1,DL214)*(1+INDEX('Lease Cycles'!$CI$20:$CO$20,1,DL214))^INT(INT(DL215/12)/INDEX('Lease Cycles'!$CP$20:$CV$20,1,DL214))/12)))),'Lease Cycles'!$C$20*INDEX('Lease Cycles'!$CB$20:$CH$20,1,DL214)*(1+INDEX('Lease Cycles'!$CI$20:$CO$20,1,DL214))^INT(INT(DL215/12)/INDEX('Lease Cycles'!$CP$20:$CV$20,1,DL214))/12),IF(INDEX('Lease Cycles'!$EF$20:$EL$20,1,DL214)=1,IF(AND('Lease Cycles'!$AZ$20&gt;=INDEX('Lease Cycles'!$BG$20:$BM$20,1,DL214),'Lease Cycles'!$AZ$20&lt;=DL$6),'Lease Cycles'!$C$20*'Lease Cycles'!$BA$20/12,IF(AND('Lease Cycles'!$AX$20&gt;=INDEX('Lease Cycles'!$BG$20:$BM$20,1,DL214),'Lease Cycles'!$AX$20&lt;=DL$6),'Lease Cycles'!$C$20*'Lease Cycles'!$AY$20/12,IF(AND('Lease Cycles'!$AV$20&gt;=INDEX('Lease Cycles'!$BG$20:$BM$20,1,DL214),'Lease Cycles'!$AV$20&lt;=DL$6),'Lease Cycles'!$C$20*'Lease Cycles'!$AW$20/12,IF(AND('Lease Cycles'!$AT$20&gt;=INDEX('Lease Cycles'!$BG$20:$BM$20,1,DL214),'Lease Cycles'!$AT$20&lt;=DL$6),'Lease Cycles'!$C$20*'Lease Cycles'!$AU$20/12,'Lease Cycles'!$C$20*INDEX('Lease Cycles'!$CB$20:$CH$20,1,DL214)*(1+INDEX('Lease Cycles'!$CI$20:$CO$20,1,DL214))^INT(INT(DL215/12)/INDEX('Lease Cycles'!$CP$20:$CV$20,1,DL214))/12)))),'Lease Cycles'!$C$20*INDEX('Lease Cycles'!$CB$20:$CH$20,1,DL214)*(1+INDEX('Lease Cycles'!$CI$20:$CO$20,1,DL214))^INT(INT(DL215/12)/INDEX('Lease Cycles'!$CP$20:$CV$20,1,DL214))/12))),IF('Lease Cycles'!$N$20=1,'Lease Cycles'!$C$20*'Lease Cycles'!$E$20*INDEX('Lease Cycles'!$HE$20:$HK$20,1,DL214)*(1+INDEX('Lease Cycles'!$GQ$20:$GW$20,1,DL214))^INT(INT((DL$6-INDEX('Lease Cycles'!$GJ$20:$GP$20,1,DL214))/12)/INDEX('Lease Cycles'!$GX$20:$HD$20,1,DL214))/12,0)))</f>
        <v>0</v>
      </c>
      <c r="DM217" s="28">
        <f>IF(DM214=0,IF('Lease Cycles'!$F$20&gt;0,'Lease Cycles'!$C$20*'Lease Cycles'!$E$20/12,0),IF(DM216=1,IF('Lease Cycles'!$AT$20&gt;=9999,'Lease Cycles'!$C$20*INDEX('Lease Cycles'!$CB$20:$CH$20,1,DM214)*(1+INDEX('Lease Cycles'!$CI$20:$CO$20,1,DM214))^INT(INT(DM215/12)/INDEX('Lease Cycles'!$CP$20:$CV$20,1,DM214))/12,IF(DM214=1,IF(DM215&gt;=INDEX('Lease Cycles'!$DK$20:$DQ$20,1,DM214),IF(DM$6&gt;='Lease Cycles'!$AZ$20,'Lease Cycles'!$C$20*'Lease Cycles'!$BA$20/12,IF(DM$6&gt;='Lease Cycles'!$AX$20,'Lease Cycles'!$C$20*'Lease Cycles'!$AY$20/12,IF(DM$6&gt;='Lease Cycles'!$AV$20,'Lease Cycles'!$C$20*'Lease Cycles'!$AW$20/12,IF(DM$6&gt;='Lease Cycles'!$AT$20,'Lease Cycles'!$C$20*'Lease Cycles'!$AU$20/12,'Lease Cycles'!$C$20*INDEX('Lease Cycles'!$CB$20:$CH$20,1,DM214)*(1+INDEX('Lease Cycles'!$CI$20:$CO$20,1,DM214))^INT(INT(DM215/12)/INDEX('Lease Cycles'!$CP$20:$CV$20,1,DM214))/12)))),'Lease Cycles'!$C$20*INDEX('Lease Cycles'!$CB$20:$CH$20,1,DM214)*(1+INDEX('Lease Cycles'!$CI$20:$CO$20,1,DM214))^INT(INT(DM215/12)/INDEX('Lease Cycles'!$CP$20:$CV$20,1,DM214))/12),IF(INDEX('Lease Cycles'!$EF$20:$EL$20,1,DM214)=1,IF(AND('Lease Cycles'!$AZ$20&gt;=INDEX('Lease Cycles'!$BG$20:$BM$20,1,DM214),'Lease Cycles'!$AZ$20&lt;=DM$6),'Lease Cycles'!$C$20*'Lease Cycles'!$BA$20/12,IF(AND('Lease Cycles'!$AX$20&gt;=INDEX('Lease Cycles'!$BG$20:$BM$20,1,DM214),'Lease Cycles'!$AX$20&lt;=DM$6),'Lease Cycles'!$C$20*'Lease Cycles'!$AY$20/12,IF(AND('Lease Cycles'!$AV$20&gt;=INDEX('Lease Cycles'!$BG$20:$BM$20,1,DM214),'Lease Cycles'!$AV$20&lt;=DM$6),'Lease Cycles'!$C$20*'Lease Cycles'!$AW$20/12,IF(AND('Lease Cycles'!$AT$20&gt;=INDEX('Lease Cycles'!$BG$20:$BM$20,1,DM214),'Lease Cycles'!$AT$20&lt;=DM$6),'Lease Cycles'!$C$20*'Lease Cycles'!$AU$20/12,'Lease Cycles'!$C$20*INDEX('Lease Cycles'!$CB$20:$CH$20,1,DM214)*(1+INDEX('Lease Cycles'!$CI$20:$CO$20,1,DM214))^INT(INT(DM215/12)/INDEX('Lease Cycles'!$CP$20:$CV$20,1,DM214))/12)))),'Lease Cycles'!$C$20*INDEX('Lease Cycles'!$CB$20:$CH$20,1,DM214)*(1+INDEX('Lease Cycles'!$CI$20:$CO$20,1,DM214))^INT(INT(DM215/12)/INDEX('Lease Cycles'!$CP$20:$CV$20,1,DM214))/12))),IF('Lease Cycles'!$N$20=1,'Lease Cycles'!$C$20*'Lease Cycles'!$E$20*INDEX('Lease Cycles'!$HE$20:$HK$20,1,DM214)*(1+INDEX('Lease Cycles'!$GQ$20:$GW$20,1,DM214))^INT(INT((DM$6-INDEX('Lease Cycles'!$GJ$20:$GP$20,1,DM214))/12)/INDEX('Lease Cycles'!$GX$20:$HD$20,1,DM214))/12,0)))</f>
        <v>0</v>
      </c>
      <c r="DN217" s="28">
        <f>IF(DN214=0,IF('Lease Cycles'!$F$20&gt;0,'Lease Cycles'!$C$20*'Lease Cycles'!$E$20/12,0),IF(DN216=1,IF('Lease Cycles'!$AT$20&gt;=9999,'Lease Cycles'!$C$20*INDEX('Lease Cycles'!$CB$20:$CH$20,1,DN214)*(1+INDEX('Lease Cycles'!$CI$20:$CO$20,1,DN214))^INT(INT(DN215/12)/INDEX('Lease Cycles'!$CP$20:$CV$20,1,DN214))/12,IF(DN214=1,IF(DN215&gt;=INDEX('Lease Cycles'!$DK$20:$DQ$20,1,DN214),IF(DN$6&gt;='Lease Cycles'!$AZ$20,'Lease Cycles'!$C$20*'Lease Cycles'!$BA$20/12,IF(DN$6&gt;='Lease Cycles'!$AX$20,'Lease Cycles'!$C$20*'Lease Cycles'!$AY$20/12,IF(DN$6&gt;='Lease Cycles'!$AV$20,'Lease Cycles'!$C$20*'Lease Cycles'!$AW$20/12,IF(DN$6&gt;='Lease Cycles'!$AT$20,'Lease Cycles'!$C$20*'Lease Cycles'!$AU$20/12,'Lease Cycles'!$C$20*INDEX('Lease Cycles'!$CB$20:$CH$20,1,DN214)*(1+INDEX('Lease Cycles'!$CI$20:$CO$20,1,DN214))^INT(INT(DN215/12)/INDEX('Lease Cycles'!$CP$20:$CV$20,1,DN214))/12)))),'Lease Cycles'!$C$20*INDEX('Lease Cycles'!$CB$20:$CH$20,1,DN214)*(1+INDEX('Lease Cycles'!$CI$20:$CO$20,1,DN214))^INT(INT(DN215/12)/INDEX('Lease Cycles'!$CP$20:$CV$20,1,DN214))/12),IF(INDEX('Lease Cycles'!$EF$20:$EL$20,1,DN214)=1,IF(AND('Lease Cycles'!$AZ$20&gt;=INDEX('Lease Cycles'!$BG$20:$BM$20,1,DN214),'Lease Cycles'!$AZ$20&lt;=DN$6),'Lease Cycles'!$C$20*'Lease Cycles'!$BA$20/12,IF(AND('Lease Cycles'!$AX$20&gt;=INDEX('Lease Cycles'!$BG$20:$BM$20,1,DN214),'Lease Cycles'!$AX$20&lt;=DN$6),'Lease Cycles'!$C$20*'Lease Cycles'!$AY$20/12,IF(AND('Lease Cycles'!$AV$20&gt;=INDEX('Lease Cycles'!$BG$20:$BM$20,1,DN214),'Lease Cycles'!$AV$20&lt;=DN$6),'Lease Cycles'!$C$20*'Lease Cycles'!$AW$20/12,IF(AND('Lease Cycles'!$AT$20&gt;=INDEX('Lease Cycles'!$BG$20:$BM$20,1,DN214),'Lease Cycles'!$AT$20&lt;=DN$6),'Lease Cycles'!$C$20*'Lease Cycles'!$AU$20/12,'Lease Cycles'!$C$20*INDEX('Lease Cycles'!$CB$20:$CH$20,1,DN214)*(1+INDEX('Lease Cycles'!$CI$20:$CO$20,1,DN214))^INT(INT(DN215/12)/INDEX('Lease Cycles'!$CP$20:$CV$20,1,DN214))/12)))),'Lease Cycles'!$C$20*INDEX('Lease Cycles'!$CB$20:$CH$20,1,DN214)*(1+INDEX('Lease Cycles'!$CI$20:$CO$20,1,DN214))^INT(INT(DN215/12)/INDEX('Lease Cycles'!$CP$20:$CV$20,1,DN214))/12))),IF('Lease Cycles'!$N$20=1,'Lease Cycles'!$C$20*'Lease Cycles'!$E$20*INDEX('Lease Cycles'!$HE$20:$HK$20,1,DN214)*(1+INDEX('Lease Cycles'!$GQ$20:$GW$20,1,DN214))^INT(INT((DN$6-INDEX('Lease Cycles'!$GJ$20:$GP$20,1,DN214))/12)/INDEX('Lease Cycles'!$GX$20:$HD$20,1,DN214))/12,0)))</f>
        <v>0</v>
      </c>
      <c r="DO217" s="28">
        <f>IF(DO214=0,IF('Lease Cycles'!$F$20&gt;0,'Lease Cycles'!$C$20*'Lease Cycles'!$E$20/12,0),IF(DO216=1,IF('Lease Cycles'!$AT$20&gt;=9999,'Lease Cycles'!$C$20*INDEX('Lease Cycles'!$CB$20:$CH$20,1,DO214)*(1+INDEX('Lease Cycles'!$CI$20:$CO$20,1,DO214))^INT(INT(DO215/12)/INDEX('Lease Cycles'!$CP$20:$CV$20,1,DO214))/12,IF(DO214=1,IF(DO215&gt;=INDEX('Lease Cycles'!$DK$20:$DQ$20,1,DO214),IF(DO$6&gt;='Lease Cycles'!$AZ$20,'Lease Cycles'!$C$20*'Lease Cycles'!$BA$20/12,IF(DO$6&gt;='Lease Cycles'!$AX$20,'Lease Cycles'!$C$20*'Lease Cycles'!$AY$20/12,IF(DO$6&gt;='Lease Cycles'!$AV$20,'Lease Cycles'!$C$20*'Lease Cycles'!$AW$20/12,IF(DO$6&gt;='Lease Cycles'!$AT$20,'Lease Cycles'!$C$20*'Lease Cycles'!$AU$20/12,'Lease Cycles'!$C$20*INDEX('Lease Cycles'!$CB$20:$CH$20,1,DO214)*(1+INDEX('Lease Cycles'!$CI$20:$CO$20,1,DO214))^INT(INT(DO215/12)/INDEX('Lease Cycles'!$CP$20:$CV$20,1,DO214))/12)))),'Lease Cycles'!$C$20*INDEX('Lease Cycles'!$CB$20:$CH$20,1,DO214)*(1+INDEX('Lease Cycles'!$CI$20:$CO$20,1,DO214))^INT(INT(DO215/12)/INDEX('Lease Cycles'!$CP$20:$CV$20,1,DO214))/12),IF(INDEX('Lease Cycles'!$EF$20:$EL$20,1,DO214)=1,IF(AND('Lease Cycles'!$AZ$20&gt;=INDEX('Lease Cycles'!$BG$20:$BM$20,1,DO214),'Lease Cycles'!$AZ$20&lt;=DO$6),'Lease Cycles'!$C$20*'Lease Cycles'!$BA$20/12,IF(AND('Lease Cycles'!$AX$20&gt;=INDEX('Lease Cycles'!$BG$20:$BM$20,1,DO214),'Lease Cycles'!$AX$20&lt;=DO$6),'Lease Cycles'!$C$20*'Lease Cycles'!$AY$20/12,IF(AND('Lease Cycles'!$AV$20&gt;=INDEX('Lease Cycles'!$BG$20:$BM$20,1,DO214),'Lease Cycles'!$AV$20&lt;=DO$6),'Lease Cycles'!$C$20*'Lease Cycles'!$AW$20/12,IF(AND('Lease Cycles'!$AT$20&gt;=INDEX('Lease Cycles'!$BG$20:$BM$20,1,DO214),'Lease Cycles'!$AT$20&lt;=DO$6),'Lease Cycles'!$C$20*'Lease Cycles'!$AU$20/12,'Lease Cycles'!$C$20*INDEX('Lease Cycles'!$CB$20:$CH$20,1,DO214)*(1+INDEX('Lease Cycles'!$CI$20:$CO$20,1,DO214))^INT(INT(DO215/12)/INDEX('Lease Cycles'!$CP$20:$CV$20,1,DO214))/12)))),'Lease Cycles'!$C$20*INDEX('Lease Cycles'!$CB$20:$CH$20,1,DO214)*(1+INDEX('Lease Cycles'!$CI$20:$CO$20,1,DO214))^INT(INT(DO215/12)/INDEX('Lease Cycles'!$CP$20:$CV$20,1,DO214))/12))),IF('Lease Cycles'!$N$20=1,'Lease Cycles'!$C$20*'Lease Cycles'!$E$20*INDEX('Lease Cycles'!$HE$20:$HK$20,1,DO214)*(1+INDEX('Lease Cycles'!$GQ$20:$GW$20,1,DO214))^INT(INT((DO$6-INDEX('Lease Cycles'!$GJ$20:$GP$20,1,DO214))/12)/INDEX('Lease Cycles'!$GX$20:$HD$20,1,DO214))/12,0)))</f>
        <v>0</v>
      </c>
      <c r="DP217" s="28">
        <f>IF(DP214=0,IF('Lease Cycles'!$F$20&gt;0,'Lease Cycles'!$C$20*'Lease Cycles'!$E$20/12,0),IF(DP216=1,IF('Lease Cycles'!$AT$20&gt;=9999,'Lease Cycles'!$C$20*INDEX('Lease Cycles'!$CB$20:$CH$20,1,DP214)*(1+INDEX('Lease Cycles'!$CI$20:$CO$20,1,DP214))^INT(INT(DP215/12)/INDEX('Lease Cycles'!$CP$20:$CV$20,1,DP214))/12,IF(DP214=1,IF(DP215&gt;=INDEX('Lease Cycles'!$DK$20:$DQ$20,1,DP214),IF(DP$6&gt;='Lease Cycles'!$AZ$20,'Lease Cycles'!$C$20*'Lease Cycles'!$BA$20/12,IF(DP$6&gt;='Lease Cycles'!$AX$20,'Lease Cycles'!$C$20*'Lease Cycles'!$AY$20/12,IF(DP$6&gt;='Lease Cycles'!$AV$20,'Lease Cycles'!$C$20*'Lease Cycles'!$AW$20/12,IF(DP$6&gt;='Lease Cycles'!$AT$20,'Lease Cycles'!$C$20*'Lease Cycles'!$AU$20/12,'Lease Cycles'!$C$20*INDEX('Lease Cycles'!$CB$20:$CH$20,1,DP214)*(1+INDEX('Lease Cycles'!$CI$20:$CO$20,1,DP214))^INT(INT(DP215/12)/INDEX('Lease Cycles'!$CP$20:$CV$20,1,DP214))/12)))),'Lease Cycles'!$C$20*INDEX('Lease Cycles'!$CB$20:$CH$20,1,DP214)*(1+INDEX('Lease Cycles'!$CI$20:$CO$20,1,DP214))^INT(INT(DP215/12)/INDEX('Lease Cycles'!$CP$20:$CV$20,1,DP214))/12),IF(INDEX('Lease Cycles'!$EF$20:$EL$20,1,DP214)=1,IF(AND('Lease Cycles'!$AZ$20&gt;=INDEX('Lease Cycles'!$BG$20:$BM$20,1,DP214),'Lease Cycles'!$AZ$20&lt;=DP$6),'Lease Cycles'!$C$20*'Lease Cycles'!$BA$20/12,IF(AND('Lease Cycles'!$AX$20&gt;=INDEX('Lease Cycles'!$BG$20:$BM$20,1,DP214),'Lease Cycles'!$AX$20&lt;=DP$6),'Lease Cycles'!$C$20*'Lease Cycles'!$AY$20/12,IF(AND('Lease Cycles'!$AV$20&gt;=INDEX('Lease Cycles'!$BG$20:$BM$20,1,DP214),'Lease Cycles'!$AV$20&lt;=DP$6),'Lease Cycles'!$C$20*'Lease Cycles'!$AW$20/12,IF(AND('Lease Cycles'!$AT$20&gt;=INDEX('Lease Cycles'!$BG$20:$BM$20,1,DP214),'Lease Cycles'!$AT$20&lt;=DP$6),'Lease Cycles'!$C$20*'Lease Cycles'!$AU$20/12,'Lease Cycles'!$C$20*INDEX('Lease Cycles'!$CB$20:$CH$20,1,DP214)*(1+INDEX('Lease Cycles'!$CI$20:$CO$20,1,DP214))^INT(INT(DP215/12)/INDEX('Lease Cycles'!$CP$20:$CV$20,1,DP214))/12)))),'Lease Cycles'!$C$20*INDEX('Lease Cycles'!$CB$20:$CH$20,1,DP214)*(1+INDEX('Lease Cycles'!$CI$20:$CO$20,1,DP214))^INT(INT(DP215/12)/INDEX('Lease Cycles'!$CP$20:$CV$20,1,DP214))/12))),IF('Lease Cycles'!$N$20=1,'Lease Cycles'!$C$20*'Lease Cycles'!$E$20*INDEX('Lease Cycles'!$HE$20:$HK$20,1,DP214)*(1+INDEX('Lease Cycles'!$GQ$20:$GW$20,1,DP214))^INT(INT((DP$6-INDEX('Lease Cycles'!$GJ$20:$GP$20,1,DP214))/12)/INDEX('Lease Cycles'!$GX$20:$HD$20,1,DP214))/12,0)))</f>
        <v>0</v>
      </c>
      <c r="DQ217" s="28">
        <f>IF(DQ214=0,IF('Lease Cycles'!$F$20&gt;0,'Lease Cycles'!$C$20*'Lease Cycles'!$E$20/12,0),IF(DQ216=1,IF('Lease Cycles'!$AT$20&gt;=9999,'Lease Cycles'!$C$20*INDEX('Lease Cycles'!$CB$20:$CH$20,1,DQ214)*(1+INDEX('Lease Cycles'!$CI$20:$CO$20,1,DQ214))^INT(INT(DQ215/12)/INDEX('Lease Cycles'!$CP$20:$CV$20,1,DQ214))/12,IF(DQ214=1,IF(DQ215&gt;=INDEX('Lease Cycles'!$DK$20:$DQ$20,1,DQ214),IF(DQ$6&gt;='Lease Cycles'!$AZ$20,'Lease Cycles'!$C$20*'Lease Cycles'!$BA$20/12,IF(DQ$6&gt;='Lease Cycles'!$AX$20,'Lease Cycles'!$C$20*'Lease Cycles'!$AY$20/12,IF(DQ$6&gt;='Lease Cycles'!$AV$20,'Lease Cycles'!$C$20*'Lease Cycles'!$AW$20/12,IF(DQ$6&gt;='Lease Cycles'!$AT$20,'Lease Cycles'!$C$20*'Lease Cycles'!$AU$20/12,'Lease Cycles'!$C$20*INDEX('Lease Cycles'!$CB$20:$CH$20,1,DQ214)*(1+INDEX('Lease Cycles'!$CI$20:$CO$20,1,DQ214))^INT(INT(DQ215/12)/INDEX('Lease Cycles'!$CP$20:$CV$20,1,DQ214))/12)))),'Lease Cycles'!$C$20*INDEX('Lease Cycles'!$CB$20:$CH$20,1,DQ214)*(1+INDEX('Lease Cycles'!$CI$20:$CO$20,1,DQ214))^INT(INT(DQ215/12)/INDEX('Lease Cycles'!$CP$20:$CV$20,1,DQ214))/12),IF(INDEX('Lease Cycles'!$EF$20:$EL$20,1,DQ214)=1,IF(AND('Lease Cycles'!$AZ$20&gt;=INDEX('Lease Cycles'!$BG$20:$BM$20,1,DQ214),'Lease Cycles'!$AZ$20&lt;=DQ$6),'Lease Cycles'!$C$20*'Lease Cycles'!$BA$20/12,IF(AND('Lease Cycles'!$AX$20&gt;=INDEX('Lease Cycles'!$BG$20:$BM$20,1,DQ214),'Lease Cycles'!$AX$20&lt;=DQ$6),'Lease Cycles'!$C$20*'Lease Cycles'!$AY$20/12,IF(AND('Lease Cycles'!$AV$20&gt;=INDEX('Lease Cycles'!$BG$20:$BM$20,1,DQ214),'Lease Cycles'!$AV$20&lt;=DQ$6),'Lease Cycles'!$C$20*'Lease Cycles'!$AW$20/12,IF(AND('Lease Cycles'!$AT$20&gt;=INDEX('Lease Cycles'!$BG$20:$BM$20,1,DQ214),'Lease Cycles'!$AT$20&lt;=DQ$6),'Lease Cycles'!$C$20*'Lease Cycles'!$AU$20/12,'Lease Cycles'!$C$20*INDEX('Lease Cycles'!$CB$20:$CH$20,1,DQ214)*(1+INDEX('Lease Cycles'!$CI$20:$CO$20,1,DQ214))^INT(INT(DQ215/12)/INDEX('Lease Cycles'!$CP$20:$CV$20,1,DQ214))/12)))),'Lease Cycles'!$C$20*INDEX('Lease Cycles'!$CB$20:$CH$20,1,DQ214)*(1+INDEX('Lease Cycles'!$CI$20:$CO$20,1,DQ214))^INT(INT(DQ215/12)/INDEX('Lease Cycles'!$CP$20:$CV$20,1,DQ214))/12))),IF('Lease Cycles'!$N$20=1,'Lease Cycles'!$C$20*'Lease Cycles'!$E$20*INDEX('Lease Cycles'!$HE$20:$HK$20,1,DQ214)*(1+INDEX('Lease Cycles'!$GQ$20:$GW$20,1,DQ214))^INT(INT((DQ$6-INDEX('Lease Cycles'!$GJ$20:$GP$20,1,DQ214))/12)/INDEX('Lease Cycles'!$GX$20:$HD$20,1,DQ214))/12,0)))</f>
        <v>0</v>
      </c>
      <c r="DR217" s="28">
        <f>IF(DR214=0,IF('Lease Cycles'!$F$20&gt;0,'Lease Cycles'!$C$20*'Lease Cycles'!$E$20/12,0),IF(DR216=1,IF('Lease Cycles'!$AT$20&gt;=9999,'Lease Cycles'!$C$20*INDEX('Lease Cycles'!$CB$20:$CH$20,1,DR214)*(1+INDEX('Lease Cycles'!$CI$20:$CO$20,1,DR214))^INT(INT(DR215/12)/INDEX('Lease Cycles'!$CP$20:$CV$20,1,DR214))/12,IF(DR214=1,IF(DR215&gt;=INDEX('Lease Cycles'!$DK$20:$DQ$20,1,DR214),IF(DR$6&gt;='Lease Cycles'!$AZ$20,'Lease Cycles'!$C$20*'Lease Cycles'!$BA$20/12,IF(DR$6&gt;='Lease Cycles'!$AX$20,'Lease Cycles'!$C$20*'Lease Cycles'!$AY$20/12,IF(DR$6&gt;='Lease Cycles'!$AV$20,'Lease Cycles'!$C$20*'Lease Cycles'!$AW$20/12,IF(DR$6&gt;='Lease Cycles'!$AT$20,'Lease Cycles'!$C$20*'Lease Cycles'!$AU$20/12,'Lease Cycles'!$C$20*INDEX('Lease Cycles'!$CB$20:$CH$20,1,DR214)*(1+INDEX('Lease Cycles'!$CI$20:$CO$20,1,DR214))^INT(INT(DR215/12)/INDEX('Lease Cycles'!$CP$20:$CV$20,1,DR214))/12)))),'Lease Cycles'!$C$20*INDEX('Lease Cycles'!$CB$20:$CH$20,1,DR214)*(1+INDEX('Lease Cycles'!$CI$20:$CO$20,1,DR214))^INT(INT(DR215/12)/INDEX('Lease Cycles'!$CP$20:$CV$20,1,DR214))/12),IF(INDEX('Lease Cycles'!$EF$20:$EL$20,1,DR214)=1,IF(AND('Lease Cycles'!$AZ$20&gt;=INDEX('Lease Cycles'!$BG$20:$BM$20,1,DR214),'Lease Cycles'!$AZ$20&lt;=DR$6),'Lease Cycles'!$C$20*'Lease Cycles'!$BA$20/12,IF(AND('Lease Cycles'!$AX$20&gt;=INDEX('Lease Cycles'!$BG$20:$BM$20,1,DR214),'Lease Cycles'!$AX$20&lt;=DR$6),'Lease Cycles'!$C$20*'Lease Cycles'!$AY$20/12,IF(AND('Lease Cycles'!$AV$20&gt;=INDEX('Lease Cycles'!$BG$20:$BM$20,1,DR214),'Lease Cycles'!$AV$20&lt;=DR$6),'Lease Cycles'!$C$20*'Lease Cycles'!$AW$20/12,IF(AND('Lease Cycles'!$AT$20&gt;=INDEX('Lease Cycles'!$BG$20:$BM$20,1,DR214),'Lease Cycles'!$AT$20&lt;=DR$6),'Lease Cycles'!$C$20*'Lease Cycles'!$AU$20/12,'Lease Cycles'!$C$20*INDEX('Lease Cycles'!$CB$20:$CH$20,1,DR214)*(1+INDEX('Lease Cycles'!$CI$20:$CO$20,1,DR214))^INT(INT(DR215/12)/INDEX('Lease Cycles'!$CP$20:$CV$20,1,DR214))/12)))),'Lease Cycles'!$C$20*INDEX('Lease Cycles'!$CB$20:$CH$20,1,DR214)*(1+INDEX('Lease Cycles'!$CI$20:$CO$20,1,DR214))^INT(INT(DR215/12)/INDEX('Lease Cycles'!$CP$20:$CV$20,1,DR214))/12))),IF('Lease Cycles'!$N$20=1,'Lease Cycles'!$C$20*'Lease Cycles'!$E$20*INDEX('Lease Cycles'!$HE$20:$HK$20,1,DR214)*(1+INDEX('Lease Cycles'!$GQ$20:$GW$20,1,DR214))^INT(INT((DR$6-INDEX('Lease Cycles'!$GJ$20:$GP$20,1,DR214))/12)/INDEX('Lease Cycles'!$GX$20:$HD$20,1,DR214))/12,0)))</f>
        <v>0</v>
      </c>
      <c r="DS217" s="28">
        <f>IF(DS214=0,IF('Lease Cycles'!$F$20&gt;0,'Lease Cycles'!$C$20*'Lease Cycles'!$E$20/12,0),IF(DS216=1,IF('Lease Cycles'!$AT$20&gt;=9999,'Lease Cycles'!$C$20*INDEX('Lease Cycles'!$CB$20:$CH$20,1,DS214)*(1+INDEX('Lease Cycles'!$CI$20:$CO$20,1,DS214))^INT(INT(DS215/12)/INDEX('Lease Cycles'!$CP$20:$CV$20,1,DS214))/12,IF(DS214=1,IF(DS215&gt;=INDEX('Lease Cycles'!$DK$20:$DQ$20,1,DS214),IF(DS$6&gt;='Lease Cycles'!$AZ$20,'Lease Cycles'!$C$20*'Lease Cycles'!$BA$20/12,IF(DS$6&gt;='Lease Cycles'!$AX$20,'Lease Cycles'!$C$20*'Lease Cycles'!$AY$20/12,IF(DS$6&gt;='Lease Cycles'!$AV$20,'Lease Cycles'!$C$20*'Lease Cycles'!$AW$20/12,IF(DS$6&gt;='Lease Cycles'!$AT$20,'Lease Cycles'!$C$20*'Lease Cycles'!$AU$20/12,'Lease Cycles'!$C$20*INDEX('Lease Cycles'!$CB$20:$CH$20,1,DS214)*(1+INDEX('Lease Cycles'!$CI$20:$CO$20,1,DS214))^INT(INT(DS215/12)/INDEX('Lease Cycles'!$CP$20:$CV$20,1,DS214))/12)))),'Lease Cycles'!$C$20*INDEX('Lease Cycles'!$CB$20:$CH$20,1,DS214)*(1+INDEX('Lease Cycles'!$CI$20:$CO$20,1,DS214))^INT(INT(DS215/12)/INDEX('Lease Cycles'!$CP$20:$CV$20,1,DS214))/12),IF(INDEX('Lease Cycles'!$EF$20:$EL$20,1,DS214)=1,IF(AND('Lease Cycles'!$AZ$20&gt;=INDEX('Lease Cycles'!$BG$20:$BM$20,1,DS214),'Lease Cycles'!$AZ$20&lt;=DS$6),'Lease Cycles'!$C$20*'Lease Cycles'!$BA$20/12,IF(AND('Lease Cycles'!$AX$20&gt;=INDEX('Lease Cycles'!$BG$20:$BM$20,1,DS214),'Lease Cycles'!$AX$20&lt;=DS$6),'Lease Cycles'!$C$20*'Lease Cycles'!$AY$20/12,IF(AND('Lease Cycles'!$AV$20&gt;=INDEX('Lease Cycles'!$BG$20:$BM$20,1,DS214),'Lease Cycles'!$AV$20&lt;=DS$6),'Lease Cycles'!$C$20*'Lease Cycles'!$AW$20/12,IF(AND('Lease Cycles'!$AT$20&gt;=INDEX('Lease Cycles'!$BG$20:$BM$20,1,DS214),'Lease Cycles'!$AT$20&lt;=DS$6),'Lease Cycles'!$C$20*'Lease Cycles'!$AU$20/12,'Lease Cycles'!$C$20*INDEX('Lease Cycles'!$CB$20:$CH$20,1,DS214)*(1+INDEX('Lease Cycles'!$CI$20:$CO$20,1,DS214))^INT(INT(DS215/12)/INDEX('Lease Cycles'!$CP$20:$CV$20,1,DS214))/12)))),'Lease Cycles'!$C$20*INDEX('Lease Cycles'!$CB$20:$CH$20,1,DS214)*(1+INDEX('Lease Cycles'!$CI$20:$CO$20,1,DS214))^INT(INT(DS215/12)/INDEX('Lease Cycles'!$CP$20:$CV$20,1,DS214))/12))),IF('Lease Cycles'!$N$20=1,'Lease Cycles'!$C$20*'Lease Cycles'!$E$20*INDEX('Lease Cycles'!$HE$20:$HK$20,1,DS214)*(1+INDEX('Lease Cycles'!$GQ$20:$GW$20,1,DS214))^INT(INT((DS$6-INDEX('Lease Cycles'!$GJ$20:$GP$20,1,DS214))/12)/INDEX('Lease Cycles'!$GX$20:$HD$20,1,DS214))/12,0)))</f>
        <v>0</v>
      </c>
      <c r="DT217" s="28">
        <f>IF(DT214=0,IF('Lease Cycles'!$F$20&gt;0,'Lease Cycles'!$C$20*'Lease Cycles'!$E$20/12,0),IF(DT216=1,IF('Lease Cycles'!$AT$20&gt;=9999,'Lease Cycles'!$C$20*INDEX('Lease Cycles'!$CB$20:$CH$20,1,DT214)*(1+INDEX('Lease Cycles'!$CI$20:$CO$20,1,DT214))^INT(INT(DT215/12)/INDEX('Lease Cycles'!$CP$20:$CV$20,1,DT214))/12,IF(DT214=1,IF(DT215&gt;=INDEX('Lease Cycles'!$DK$20:$DQ$20,1,DT214),IF(DT$6&gt;='Lease Cycles'!$AZ$20,'Lease Cycles'!$C$20*'Lease Cycles'!$BA$20/12,IF(DT$6&gt;='Lease Cycles'!$AX$20,'Lease Cycles'!$C$20*'Lease Cycles'!$AY$20/12,IF(DT$6&gt;='Lease Cycles'!$AV$20,'Lease Cycles'!$C$20*'Lease Cycles'!$AW$20/12,IF(DT$6&gt;='Lease Cycles'!$AT$20,'Lease Cycles'!$C$20*'Lease Cycles'!$AU$20/12,'Lease Cycles'!$C$20*INDEX('Lease Cycles'!$CB$20:$CH$20,1,DT214)*(1+INDEX('Lease Cycles'!$CI$20:$CO$20,1,DT214))^INT(INT(DT215/12)/INDEX('Lease Cycles'!$CP$20:$CV$20,1,DT214))/12)))),'Lease Cycles'!$C$20*INDEX('Lease Cycles'!$CB$20:$CH$20,1,DT214)*(1+INDEX('Lease Cycles'!$CI$20:$CO$20,1,DT214))^INT(INT(DT215/12)/INDEX('Lease Cycles'!$CP$20:$CV$20,1,DT214))/12),IF(INDEX('Lease Cycles'!$EF$20:$EL$20,1,DT214)=1,IF(AND('Lease Cycles'!$AZ$20&gt;=INDEX('Lease Cycles'!$BG$20:$BM$20,1,DT214),'Lease Cycles'!$AZ$20&lt;=DT$6),'Lease Cycles'!$C$20*'Lease Cycles'!$BA$20/12,IF(AND('Lease Cycles'!$AX$20&gt;=INDEX('Lease Cycles'!$BG$20:$BM$20,1,DT214),'Lease Cycles'!$AX$20&lt;=DT$6),'Lease Cycles'!$C$20*'Lease Cycles'!$AY$20/12,IF(AND('Lease Cycles'!$AV$20&gt;=INDEX('Lease Cycles'!$BG$20:$BM$20,1,DT214),'Lease Cycles'!$AV$20&lt;=DT$6),'Lease Cycles'!$C$20*'Lease Cycles'!$AW$20/12,IF(AND('Lease Cycles'!$AT$20&gt;=INDEX('Lease Cycles'!$BG$20:$BM$20,1,DT214),'Lease Cycles'!$AT$20&lt;=DT$6),'Lease Cycles'!$C$20*'Lease Cycles'!$AU$20/12,'Lease Cycles'!$C$20*INDEX('Lease Cycles'!$CB$20:$CH$20,1,DT214)*(1+INDEX('Lease Cycles'!$CI$20:$CO$20,1,DT214))^INT(INT(DT215/12)/INDEX('Lease Cycles'!$CP$20:$CV$20,1,DT214))/12)))),'Lease Cycles'!$C$20*INDEX('Lease Cycles'!$CB$20:$CH$20,1,DT214)*(1+INDEX('Lease Cycles'!$CI$20:$CO$20,1,DT214))^INT(INT(DT215/12)/INDEX('Lease Cycles'!$CP$20:$CV$20,1,DT214))/12))),IF('Lease Cycles'!$N$20=1,'Lease Cycles'!$C$20*'Lease Cycles'!$E$20*INDEX('Lease Cycles'!$HE$20:$HK$20,1,DT214)*(1+INDEX('Lease Cycles'!$GQ$20:$GW$20,1,DT214))^INT(INT((DT$6-INDEX('Lease Cycles'!$GJ$20:$GP$20,1,DT214))/12)/INDEX('Lease Cycles'!$GX$20:$HD$20,1,DT214))/12,0)))</f>
        <v>0</v>
      </c>
      <c r="DU217" s="28">
        <f>IF(DU214=0,IF('Lease Cycles'!$F$20&gt;0,'Lease Cycles'!$C$20*'Lease Cycles'!$E$20/12,0),IF(DU216=1,IF('Lease Cycles'!$AT$20&gt;=9999,'Lease Cycles'!$C$20*INDEX('Lease Cycles'!$CB$20:$CH$20,1,DU214)*(1+INDEX('Lease Cycles'!$CI$20:$CO$20,1,DU214))^INT(INT(DU215/12)/INDEX('Lease Cycles'!$CP$20:$CV$20,1,DU214))/12,IF(DU214=1,IF(DU215&gt;=INDEX('Lease Cycles'!$DK$20:$DQ$20,1,DU214),IF(DU$6&gt;='Lease Cycles'!$AZ$20,'Lease Cycles'!$C$20*'Lease Cycles'!$BA$20/12,IF(DU$6&gt;='Lease Cycles'!$AX$20,'Lease Cycles'!$C$20*'Lease Cycles'!$AY$20/12,IF(DU$6&gt;='Lease Cycles'!$AV$20,'Lease Cycles'!$C$20*'Lease Cycles'!$AW$20/12,IF(DU$6&gt;='Lease Cycles'!$AT$20,'Lease Cycles'!$C$20*'Lease Cycles'!$AU$20/12,'Lease Cycles'!$C$20*INDEX('Lease Cycles'!$CB$20:$CH$20,1,DU214)*(1+INDEX('Lease Cycles'!$CI$20:$CO$20,1,DU214))^INT(INT(DU215/12)/INDEX('Lease Cycles'!$CP$20:$CV$20,1,DU214))/12)))),'Lease Cycles'!$C$20*INDEX('Lease Cycles'!$CB$20:$CH$20,1,DU214)*(1+INDEX('Lease Cycles'!$CI$20:$CO$20,1,DU214))^INT(INT(DU215/12)/INDEX('Lease Cycles'!$CP$20:$CV$20,1,DU214))/12),IF(INDEX('Lease Cycles'!$EF$20:$EL$20,1,DU214)=1,IF(AND('Lease Cycles'!$AZ$20&gt;=INDEX('Lease Cycles'!$BG$20:$BM$20,1,DU214),'Lease Cycles'!$AZ$20&lt;=DU$6),'Lease Cycles'!$C$20*'Lease Cycles'!$BA$20/12,IF(AND('Lease Cycles'!$AX$20&gt;=INDEX('Lease Cycles'!$BG$20:$BM$20,1,DU214),'Lease Cycles'!$AX$20&lt;=DU$6),'Lease Cycles'!$C$20*'Lease Cycles'!$AY$20/12,IF(AND('Lease Cycles'!$AV$20&gt;=INDEX('Lease Cycles'!$BG$20:$BM$20,1,DU214),'Lease Cycles'!$AV$20&lt;=DU$6),'Lease Cycles'!$C$20*'Lease Cycles'!$AW$20/12,IF(AND('Lease Cycles'!$AT$20&gt;=INDEX('Lease Cycles'!$BG$20:$BM$20,1,DU214),'Lease Cycles'!$AT$20&lt;=DU$6),'Lease Cycles'!$C$20*'Lease Cycles'!$AU$20/12,'Lease Cycles'!$C$20*INDEX('Lease Cycles'!$CB$20:$CH$20,1,DU214)*(1+INDEX('Lease Cycles'!$CI$20:$CO$20,1,DU214))^INT(INT(DU215/12)/INDEX('Lease Cycles'!$CP$20:$CV$20,1,DU214))/12)))),'Lease Cycles'!$C$20*INDEX('Lease Cycles'!$CB$20:$CH$20,1,DU214)*(1+INDEX('Lease Cycles'!$CI$20:$CO$20,1,DU214))^INT(INT(DU215/12)/INDEX('Lease Cycles'!$CP$20:$CV$20,1,DU214))/12))),IF('Lease Cycles'!$N$20=1,'Lease Cycles'!$C$20*'Lease Cycles'!$E$20*INDEX('Lease Cycles'!$HE$20:$HK$20,1,DU214)*(1+INDEX('Lease Cycles'!$GQ$20:$GW$20,1,DU214))^INT(INT((DU$6-INDEX('Lease Cycles'!$GJ$20:$GP$20,1,DU214))/12)/INDEX('Lease Cycles'!$GX$20:$HD$20,1,DU214))/12,0)))</f>
        <v>0</v>
      </c>
      <c r="DV217" s="28">
        <f>IF(DV214=0,IF('Lease Cycles'!$F$20&gt;0,'Lease Cycles'!$C$20*'Lease Cycles'!$E$20/12,0),IF(DV216=1,IF('Lease Cycles'!$AT$20&gt;=9999,'Lease Cycles'!$C$20*INDEX('Lease Cycles'!$CB$20:$CH$20,1,DV214)*(1+INDEX('Lease Cycles'!$CI$20:$CO$20,1,DV214))^INT(INT(DV215/12)/INDEX('Lease Cycles'!$CP$20:$CV$20,1,DV214))/12,IF(DV214=1,IF(DV215&gt;=INDEX('Lease Cycles'!$DK$20:$DQ$20,1,DV214),IF(DV$6&gt;='Lease Cycles'!$AZ$20,'Lease Cycles'!$C$20*'Lease Cycles'!$BA$20/12,IF(DV$6&gt;='Lease Cycles'!$AX$20,'Lease Cycles'!$C$20*'Lease Cycles'!$AY$20/12,IF(DV$6&gt;='Lease Cycles'!$AV$20,'Lease Cycles'!$C$20*'Lease Cycles'!$AW$20/12,IF(DV$6&gt;='Lease Cycles'!$AT$20,'Lease Cycles'!$C$20*'Lease Cycles'!$AU$20/12,'Lease Cycles'!$C$20*INDEX('Lease Cycles'!$CB$20:$CH$20,1,DV214)*(1+INDEX('Lease Cycles'!$CI$20:$CO$20,1,DV214))^INT(INT(DV215/12)/INDEX('Lease Cycles'!$CP$20:$CV$20,1,DV214))/12)))),'Lease Cycles'!$C$20*INDEX('Lease Cycles'!$CB$20:$CH$20,1,DV214)*(1+INDEX('Lease Cycles'!$CI$20:$CO$20,1,DV214))^INT(INT(DV215/12)/INDEX('Lease Cycles'!$CP$20:$CV$20,1,DV214))/12),IF(INDEX('Lease Cycles'!$EF$20:$EL$20,1,DV214)=1,IF(AND('Lease Cycles'!$AZ$20&gt;=INDEX('Lease Cycles'!$BG$20:$BM$20,1,DV214),'Lease Cycles'!$AZ$20&lt;=DV$6),'Lease Cycles'!$C$20*'Lease Cycles'!$BA$20/12,IF(AND('Lease Cycles'!$AX$20&gt;=INDEX('Lease Cycles'!$BG$20:$BM$20,1,DV214),'Lease Cycles'!$AX$20&lt;=DV$6),'Lease Cycles'!$C$20*'Lease Cycles'!$AY$20/12,IF(AND('Lease Cycles'!$AV$20&gt;=INDEX('Lease Cycles'!$BG$20:$BM$20,1,DV214),'Lease Cycles'!$AV$20&lt;=DV$6),'Lease Cycles'!$C$20*'Lease Cycles'!$AW$20/12,IF(AND('Lease Cycles'!$AT$20&gt;=INDEX('Lease Cycles'!$BG$20:$BM$20,1,DV214),'Lease Cycles'!$AT$20&lt;=DV$6),'Lease Cycles'!$C$20*'Lease Cycles'!$AU$20/12,'Lease Cycles'!$C$20*INDEX('Lease Cycles'!$CB$20:$CH$20,1,DV214)*(1+INDEX('Lease Cycles'!$CI$20:$CO$20,1,DV214))^INT(INT(DV215/12)/INDEX('Lease Cycles'!$CP$20:$CV$20,1,DV214))/12)))),'Lease Cycles'!$C$20*INDEX('Lease Cycles'!$CB$20:$CH$20,1,DV214)*(1+INDEX('Lease Cycles'!$CI$20:$CO$20,1,DV214))^INT(INT(DV215/12)/INDEX('Lease Cycles'!$CP$20:$CV$20,1,DV214))/12))),IF('Lease Cycles'!$N$20=1,'Lease Cycles'!$C$20*'Lease Cycles'!$E$20*INDEX('Lease Cycles'!$HE$20:$HK$20,1,DV214)*(1+INDEX('Lease Cycles'!$GQ$20:$GW$20,1,DV214))^INT(INT((DV$6-INDEX('Lease Cycles'!$GJ$20:$GP$20,1,DV214))/12)/INDEX('Lease Cycles'!$GX$20:$HD$20,1,DV214))/12,0)))</f>
        <v>0</v>
      </c>
      <c r="DW217" s="28">
        <f>IF(DW214=0,IF('Lease Cycles'!$F$20&gt;0,'Lease Cycles'!$C$20*'Lease Cycles'!$E$20/12,0),IF(DW216=1,IF('Lease Cycles'!$AT$20&gt;=9999,'Lease Cycles'!$C$20*INDEX('Lease Cycles'!$CB$20:$CH$20,1,DW214)*(1+INDEX('Lease Cycles'!$CI$20:$CO$20,1,DW214))^INT(INT(DW215/12)/INDEX('Lease Cycles'!$CP$20:$CV$20,1,DW214))/12,IF(DW214=1,IF(DW215&gt;=INDEX('Lease Cycles'!$DK$20:$DQ$20,1,DW214),IF(DW$6&gt;='Lease Cycles'!$AZ$20,'Lease Cycles'!$C$20*'Lease Cycles'!$BA$20/12,IF(DW$6&gt;='Lease Cycles'!$AX$20,'Lease Cycles'!$C$20*'Lease Cycles'!$AY$20/12,IF(DW$6&gt;='Lease Cycles'!$AV$20,'Lease Cycles'!$C$20*'Lease Cycles'!$AW$20/12,IF(DW$6&gt;='Lease Cycles'!$AT$20,'Lease Cycles'!$C$20*'Lease Cycles'!$AU$20/12,'Lease Cycles'!$C$20*INDEX('Lease Cycles'!$CB$20:$CH$20,1,DW214)*(1+INDEX('Lease Cycles'!$CI$20:$CO$20,1,DW214))^INT(INT(DW215/12)/INDEX('Lease Cycles'!$CP$20:$CV$20,1,DW214))/12)))),'Lease Cycles'!$C$20*INDEX('Lease Cycles'!$CB$20:$CH$20,1,DW214)*(1+INDEX('Lease Cycles'!$CI$20:$CO$20,1,DW214))^INT(INT(DW215/12)/INDEX('Lease Cycles'!$CP$20:$CV$20,1,DW214))/12),IF(INDEX('Lease Cycles'!$EF$20:$EL$20,1,DW214)=1,IF(AND('Lease Cycles'!$AZ$20&gt;=INDEX('Lease Cycles'!$BG$20:$BM$20,1,DW214),'Lease Cycles'!$AZ$20&lt;=DW$6),'Lease Cycles'!$C$20*'Lease Cycles'!$BA$20/12,IF(AND('Lease Cycles'!$AX$20&gt;=INDEX('Lease Cycles'!$BG$20:$BM$20,1,DW214),'Lease Cycles'!$AX$20&lt;=DW$6),'Lease Cycles'!$C$20*'Lease Cycles'!$AY$20/12,IF(AND('Lease Cycles'!$AV$20&gt;=INDEX('Lease Cycles'!$BG$20:$BM$20,1,DW214),'Lease Cycles'!$AV$20&lt;=DW$6),'Lease Cycles'!$C$20*'Lease Cycles'!$AW$20/12,IF(AND('Lease Cycles'!$AT$20&gt;=INDEX('Lease Cycles'!$BG$20:$BM$20,1,DW214),'Lease Cycles'!$AT$20&lt;=DW$6),'Lease Cycles'!$C$20*'Lease Cycles'!$AU$20/12,'Lease Cycles'!$C$20*INDEX('Lease Cycles'!$CB$20:$CH$20,1,DW214)*(1+INDEX('Lease Cycles'!$CI$20:$CO$20,1,DW214))^INT(INT(DW215/12)/INDEX('Lease Cycles'!$CP$20:$CV$20,1,DW214))/12)))),'Lease Cycles'!$C$20*INDEX('Lease Cycles'!$CB$20:$CH$20,1,DW214)*(1+INDEX('Lease Cycles'!$CI$20:$CO$20,1,DW214))^INT(INT(DW215/12)/INDEX('Lease Cycles'!$CP$20:$CV$20,1,DW214))/12))),IF('Lease Cycles'!$N$20=1,'Lease Cycles'!$C$20*'Lease Cycles'!$E$20*INDEX('Lease Cycles'!$HE$20:$HK$20,1,DW214)*(1+INDEX('Lease Cycles'!$GQ$20:$GW$20,1,DW214))^INT(INT((DW$6-INDEX('Lease Cycles'!$GJ$20:$GP$20,1,DW214))/12)/INDEX('Lease Cycles'!$GX$20:$HD$20,1,DW214))/12,0)))</f>
        <v>0</v>
      </c>
      <c r="DX217" s="28">
        <f>IF(DX214=0,IF('Lease Cycles'!$F$20&gt;0,'Lease Cycles'!$C$20*'Lease Cycles'!$E$20/12,0),IF(DX216=1,IF('Lease Cycles'!$AT$20&gt;=9999,'Lease Cycles'!$C$20*INDEX('Lease Cycles'!$CB$20:$CH$20,1,DX214)*(1+INDEX('Lease Cycles'!$CI$20:$CO$20,1,DX214))^INT(INT(DX215/12)/INDEX('Lease Cycles'!$CP$20:$CV$20,1,DX214))/12,IF(DX214=1,IF(DX215&gt;=INDEX('Lease Cycles'!$DK$20:$DQ$20,1,DX214),IF(DX$6&gt;='Lease Cycles'!$AZ$20,'Lease Cycles'!$C$20*'Lease Cycles'!$BA$20/12,IF(DX$6&gt;='Lease Cycles'!$AX$20,'Lease Cycles'!$C$20*'Lease Cycles'!$AY$20/12,IF(DX$6&gt;='Lease Cycles'!$AV$20,'Lease Cycles'!$C$20*'Lease Cycles'!$AW$20/12,IF(DX$6&gt;='Lease Cycles'!$AT$20,'Lease Cycles'!$C$20*'Lease Cycles'!$AU$20/12,'Lease Cycles'!$C$20*INDEX('Lease Cycles'!$CB$20:$CH$20,1,DX214)*(1+INDEX('Lease Cycles'!$CI$20:$CO$20,1,DX214))^INT(INT(DX215/12)/INDEX('Lease Cycles'!$CP$20:$CV$20,1,DX214))/12)))),'Lease Cycles'!$C$20*INDEX('Lease Cycles'!$CB$20:$CH$20,1,DX214)*(1+INDEX('Lease Cycles'!$CI$20:$CO$20,1,DX214))^INT(INT(DX215/12)/INDEX('Lease Cycles'!$CP$20:$CV$20,1,DX214))/12),IF(INDEX('Lease Cycles'!$EF$20:$EL$20,1,DX214)=1,IF(AND('Lease Cycles'!$AZ$20&gt;=INDEX('Lease Cycles'!$BG$20:$BM$20,1,DX214),'Lease Cycles'!$AZ$20&lt;=DX$6),'Lease Cycles'!$C$20*'Lease Cycles'!$BA$20/12,IF(AND('Lease Cycles'!$AX$20&gt;=INDEX('Lease Cycles'!$BG$20:$BM$20,1,DX214),'Lease Cycles'!$AX$20&lt;=DX$6),'Lease Cycles'!$C$20*'Lease Cycles'!$AY$20/12,IF(AND('Lease Cycles'!$AV$20&gt;=INDEX('Lease Cycles'!$BG$20:$BM$20,1,DX214),'Lease Cycles'!$AV$20&lt;=DX$6),'Lease Cycles'!$C$20*'Lease Cycles'!$AW$20/12,IF(AND('Lease Cycles'!$AT$20&gt;=INDEX('Lease Cycles'!$BG$20:$BM$20,1,DX214),'Lease Cycles'!$AT$20&lt;=DX$6),'Lease Cycles'!$C$20*'Lease Cycles'!$AU$20/12,'Lease Cycles'!$C$20*INDEX('Lease Cycles'!$CB$20:$CH$20,1,DX214)*(1+INDEX('Lease Cycles'!$CI$20:$CO$20,1,DX214))^INT(INT(DX215/12)/INDEX('Lease Cycles'!$CP$20:$CV$20,1,DX214))/12)))),'Lease Cycles'!$C$20*INDEX('Lease Cycles'!$CB$20:$CH$20,1,DX214)*(1+INDEX('Lease Cycles'!$CI$20:$CO$20,1,DX214))^INT(INT(DX215/12)/INDEX('Lease Cycles'!$CP$20:$CV$20,1,DX214))/12))),IF('Lease Cycles'!$N$20=1,'Lease Cycles'!$C$20*'Lease Cycles'!$E$20*INDEX('Lease Cycles'!$HE$20:$HK$20,1,DX214)*(1+INDEX('Lease Cycles'!$GQ$20:$GW$20,1,DX214))^INT(INT((DX$6-INDEX('Lease Cycles'!$GJ$20:$GP$20,1,DX214))/12)/INDEX('Lease Cycles'!$GX$20:$HD$20,1,DX214))/12,0)))</f>
        <v>0</v>
      </c>
      <c r="DY217" s="28">
        <f>IF(DY214=0,IF('Lease Cycles'!$F$20&gt;0,'Lease Cycles'!$C$20*'Lease Cycles'!$E$20/12,0),IF(DY216=1,IF('Lease Cycles'!$AT$20&gt;=9999,'Lease Cycles'!$C$20*INDEX('Lease Cycles'!$CB$20:$CH$20,1,DY214)*(1+INDEX('Lease Cycles'!$CI$20:$CO$20,1,DY214))^INT(INT(DY215/12)/INDEX('Lease Cycles'!$CP$20:$CV$20,1,DY214))/12,IF(DY214=1,IF(DY215&gt;=INDEX('Lease Cycles'!$DK$20:$DQ$20,1,DY214),IF(DY$6&gt;='Lease Cycles'!$AZ$20,'Lease Cycles'!$C$20*'Lease Cycles'!$BA$20/12,IF(DY$6&gt;='Lease Cycles'!$AX$20,'Lease Cycles'!$C$20*'Lease Cycles'!$AY$20/12,IF(DY$6&gt;='Lease Cycles'!$AV$20,'Lease Cycles'!$C$20*'Lease Cycles'!$AW$20/12,IF(DY$6&gt;='Lease Cycles'!$AT$20,'Lease Cycles'!$C$20*'Lease Cycles'!$AU$20/12,'Lease Cycles'!$C$20*INDEX('Lease Cycles'!$CB$20:$CH$20,1,DY214)*(1+INDEX('Lease Cycles'!$CI$20:$CO$20,1,DY214))^INT(INT(DY215/12)/INDEX('Lease Cycles'!$CP$20:$CV$20,1,DY214))/12)))),'Lease Cycles'!$C$20*INDEX('Lease Cycles'!$CB$20:$CH$20,1,DY214)*(1+INDEX('Lease Cycles'!$CI$20:$CO$20,1,DY214))^INT(INT(DY215/12)/INDEX('Lease Cycles'!$CP$20:$CV$20,1,DY214))/12),IF(INDEX('Lease Cycles'!$EF$20:$EL$20,1,DY214)=1,IF(AND('Lease Cycles'!$AZ$20&gt;=INDEX('Lease Cycles'!$BG$20:$BM$20,1,DY214),'Lease Cycles'!$AZ$20&lt;=DY$6),'Lease Cycles'!$C$20*'Lease Cycles'!$BA$20/12,IF(AND('Lease Cycles'!$AX$20&gt;=INDEX('Lease Cycles'!$BG$20:$BM$20,1,DY214),'Lease Cycles'!$AX$20&lt;=DY$6),'Lease Cycles'!$C$20*'Lease Cycles'!$AY$20/12,IF(AND('Lease Cycles'!$AV$20&gt;=INDEX('Lease Cycles'!$BG$20:$BM$20,1,DY214),'Lease Cycles'!$AV$20&lt;=DY$6),'Lease Cycles'!$C$20*'Lease Cycles'!$AW$20/12,IF(AND('Lease Cycles'!$AT$20&gt;=INDEX('Lease Cycles'!$BG$20:$BM$20,1,DY214),'Lease Cycles'!$AT$20&lt;=DY$6),'Lease Cycles'!$C$20*'Lease Cycles'!$AU$20/12,'Lease Cycles'!$C$20*INDEX('Lease Cycles'!$CB$20:$CH$20,1,DY214)*(1+INDEX('Lease Cycles'!$CI$20:$CO$20,1,DY214))^INT(INT(DY215/12)/INDEX('Lease Cycles'!$CP$20:$CV$20,1,DY214))/12)))),'Lease Cycles'!$C$20*INDEX('Lease Cycles'!$CB$20:$CH$20,1,DY214)*(1+INDEX('Lease Cycles'!$CI$20:$CO$20,1,DY214))^INT(INT(DY215/12)/INDEX('Lease Cycles'!$CP$20:$CV$20,1,DY214))/12))),IF('Lease Cycles'!$N$20=1,'Lease Cycles'!$C$20*'Lease Cycles'!$E$20*INDEX('Lease Cycles'!$HE$20:$HK$20,1,DY214)*(1+INDEX('Lease Cycles'!$GQ$20:$GW$20,1,DY214))^INT(INT((DY$6-INDEX('Lease Cycles'!$GJ$20:$GP$20,1,DY214))/12)/INDEX('Lease Cycles'!$GX$20:$HD$20,1,DY214))/12,0)))</f>
        <v>0</v>
      </c>
      <c r="DZ217" s="28">
        <f>IF(DZ214=0,IF('Lease Cycles'!$F$20&gt;0,'Lease Cycles'!$C$20*'Lease Cycles'!$E$20/12,0),IF(DZ216=1,IF('Lease Cycles'!$AT$20&gt;=9999,'Lease Cycles'!$C$20*INDEX('Lease Cycles'!$CB$20:$CH$20,1,DZ214)*(1+INDEX('Lease Cycles'!$CI$20:$CO$20,1,DZ214))^INT(INT(DZ215/12)/INDEX('Lease Cycles'!$CP$20:$CV$20,1,DZ214))/12,IF(DZ214=1,IF(DZ215&gt;=INDEX('Lease Cycles'!$DK$20:$DQ$20,1,DZ214),IF(DZ$6&gt;='Lease Cycles'!$AZ$20,'Lease Cycles'!$C$20*'Lease Cycles'!$BA$20/12,IF(DZ$6&gt;='Lease Cycles'!$AX$20,'Lease Cycles'!$C$20*'Lease Cycles'!$AY$20/12,IF(DZ$6&gt;='Lease Cycles'!$AV$20,'Lease Cycles'!$C$20*'Lease Cycles'!$AW$20/12,IF(DZ$6&gt;='Lease Cycles'!$AT$20,'Lease Cycles'!$C$20*'Lease Cycles'!$AU$20/12,'Lease Cycles'!$C$20*INDEX('Lease Cycles'!$CB$20:$CH$20,1,DZ214)*(1+INDEX('Lease Cycles'!$CI$20:$CO$20,1,DZ214))^INT(INT(DZ215/12)/INDEX('Lease Cycles'!$CP$20:$CV$20,1,DZ214))/12)))),'Lease Cycles'!$C$20*INDEX('Lease Cycles'!$CB$20:$CH$20,1,DZ214)*(1+INDEX('Lease Cycles'!$CI$20:$CO$20,1,DZ214))^INT(INT(DZ215/12)/INDEX('Lease Cycles'!$CP$20:$CV$20,1,DZ214))/12),IF(INDEX('Lease Cycles'!$EF$20:$EL$20,1,DZ214)=1,IF(AND('Lease Cycles'!$AZ$20&gt;=INDEX('Lease Cycles'!$BG$20:$BM$20,1,DZ214),'Lease Cycles'!$AZ$20&lt;=DZ$6),'Lease Cycles'!$C$20*'Lease Cycles'!$BA$20/12,IF(AND('Lease Cycles'!$AX$20&gt;=INDEX('Lease Cycles'!$BG$20:$BM$20,1,DZ214),'Lease Cycles'!$AX$20&lt;=DZ$6),'Lease Cycles'!$C$20*'Lease Cycles'!$AY$20/12,IF(AND('Lease Cycles'!$AV$20&gt;=INDEX('Lease Cycles'!$BG$20:$BM$20,1,DZ214),'Lease Cycles'!$AV$20&lt;=DZ$6),'Lease Cycles'!$C$20*'Lease Cycles'!$AW$20/12,IF(AND('Lease Cycles'!$AT$20&gt;=INDEX('Lease Cycles'!$BG$20:$BM$20,1,DZ214),'Lease Cycles'!$AT$20&lt;=DZ$6),'Lease Cycles'!$C$20*'Lease Cycles'!$AU$20/12,'Lease Cycles'!$C$20*INDEX('Lease Cycles'!$CB$20:$CH$20,1,DZ214)*(1+INDEX('Lease Cycles'!$CI$20:$CO$20,1,DZ214))^INT(INT(DZ215/12)/INDEX('Lease Cycles'!$CP$20:$CV$20,1,DZ214))/12)))),'Lease Cycles'!$C$20*INDEX('Lease Cycles'!$CB$20:$CH$20,1,DZ214)*(1+INDEX('Lease Cycles'!$CI$20:$CO$20,1,DZ214))^INT(INT(DZ215/12)/INDEX('Lease Cycles'!$CP$20:$CV$20,1,DZ214))/12))),IF('Lease Cycles'!$N$20=1,'Lease Cycles'!$C$20*'Lease Cycles'!$E$20*INDEX('Lease Cycles'!$HE$20:$HK$20,1,DZ214)*(1+INDEX('Lease Cycles'!$GQ$20:$GW$20,1,DZ214))^INT(INT((DZ$6-INDEX('Lease Cycles'!$GJ$20:$GP$20,1,DZ214))/12)/INDEX('Lease Cycles'!$GX$20:$HD$20,1,DZ214))/12,0)))</f>
        <v>0</v>
      </c>
      <c r="EA217" s="28">
        <f>IF(EA214=0,IF('Lease Cycles'!$F$20&gt;0,'Lease Cycles'!$C$20*'Lease Cycles'!$E$20/12,0),IF(EA216=1,IF('Lease Cycles'!$AT$20&gt;=9999,'Lease Cycles'!$C$20*INDEX('Lease Cycles'!$CB$20:$CH$20,1,EA214)*(1+INDEX('Lease Cycles'!$CI$20:$CO$20,1,EA214))^INT(INT(EA215/12)/INDEX('Lease Cycles'!$CP$20:$CV$20,1,EA214))/12,IF(EA214=1,IF(EA215&gt;=INDEX('Lease Cycles'!$DK$20:$DQ$20,1,EA214),IF(EA$6&gt;='Lease Cycles'!$AZ$20,'Lease Cycles'!$C$20*'Lease Cycles'!$BA$20/12,IF(EA$6&gt;='Lease Cycles'!$AX$20,'Lease Cycles'!$C$20*'Lease Cycles'!$AY$20/12,IF(EA$6&gt;='Lease Cycles'!$AV$20,'Lease Cycles'!$C$20*'Lease Cycles'!$AW$20/12,IF(EA$6&gt;='Lease Cycles'!$AT$20,'Lease Cycles'!$C$20*'Lease Cycles'!$AU$20/12,'Lease Cycles'!$C$20*INDEX('Lease Cycles'!$CB$20:$CH$20,1,EA214)*(1+INDEX('Lease Cycles'!$CI$20:$CO$20,1,EA214))^INT(INT(EA215/12)/INDEX('Lease Cycles'!$CP$20:$CV$20,1,EA214))/12)))),'Lease Cycles'!$C$20*INDEX('Lease Cycles'!$CB$20:$CH$20,1,EA214)*(1+INDEX('Lease Cycles'!$CI$20:$CO$20,1,EA214))^INT(INT(EA215/12)/INDEX('Lease Cycles'!$CP$20:$CV$20,1,EA214))/12),IF(INDEX('Lease Cycles'!$EF$20:$EL$20,1,EA214)=1,IF(AND('Lease Cycles'!$AZ$20&gt;=INDEX('Lease Cycles'!$BG$20:$BM$20,1,EA214),'Lease Cycles'!$AZ$20&lt;=EA$6),'Lease Cycles'!$C$20*'Lease Cycles'!$BA$20/12,IF(AND('Lease Cycles'!$AX$20&gt;=INDEX('Lease Cycles'!$BG$20:$BM$20,1,EA214),'Lease Cycles'!$AX$20&lt;=EA$6),'Lease Cycles'!$C$20*'Lease Cycles'!$AY$20/12,IF(AND('Lease Cycles'!$AV$20&gt;=INDEX('Lease Cycles'!$BG$20:$BM$20,1,EA214),'Lease Cycles'!$AV$20&lt;=EA$6),'Lease Cycles'!$C$20*'Lease Cycles'!$AW$20/12,IF(AND('Lease Cycles'!$AT$20&gt;=INDEX('Lease Cycles'!$BG$20:$BM$20,1,EA214),'Lease Cycles'!$AT$20&lt;=EA$6),'Lease Cycles'!$C$20*'Lease Cycles'!$AU$20/12,'Lease Cycles'!$C$20*INDEX('Lease Cycles'!$CB$20:$CH$20,1,EA214)*(1+INDEX('Lease Cycles'!$CI$20:$CO$20,1,EA214))^INT(INT(EA215/12)/INDEX('Lease Cycles'!$CP$20:$CV$20,1,EA214))/12)))),'Lease Cycles'!$C$20*INDEX('Lease Cycles'!$CB$20:$CH$20,1,EA214)*(1+INDEX('Lease Cycles'!$CI$20:$CO$20,1,EA214))^INT(INT(EA215/12)/INDEX('Lease Cycles'!$CP$20:$CV$20,1,EA214))/12))),IF('Lease Cycles'!$N$20=1,'Lease Cycles'!$C$20*'Lease Cycles'!$E$20*INDEX('Lease Cycles'!$HE$20:$HK$20,1,EA214)*(1+INDEX('Lease Cycles'!$GQ$20:$GW$20,1,EA214))^INT(INT((EA$6-INDEX('Lease Cycles'!$GJ$20:$GP$20,1,EA214))/12)/INDEX('Lease Cycles'!$GX$20:$HD$20,1,EA214))/12,0)))</f>
        <v>0</v>
      </c>
      <c r="EB217" s="28">
        <f>IF(EB214=0,IF('Lease Cycles'!$F$20&gt;0,'Lease Cycles'!$C$20*'Lease Cycles'!$E$20/12,0),IF(EB216=1,IF('Lease Cycles'!$AT$20&gt;=9999,'Lease Cycles'!$C$20*INDEX('Lease Cycles'!$CB$20:$CH$20,1,EB214)*(1+INDEX('Lease Cycles'!$CI$20:$CO$20,1,EB214))^INT(INT(EB215/12)/INDEX('Lease Cycles'!$CP$20:$CV$20,1,EB214))/12,IF(EB214=1,IF(EB215&gt;=INDEX('Lease Cycles'!$DK$20:$DQ$20,1,EB214),IF(EB$6&gt;='Lease Cycles'!$AZ$20,'Lease Cycles'!$C$20*'Lease Cycles'!$BA$20/12,IF(EB$6&gt;='Lease Cycles'!$AX$20,'Lease Cycles'!$C$20*'Lease Cycles'!$AY$20/12,IF(EB$6&gt;='Lease Cycles'!$AV$20,'Lease Cycles'!$C$20*'Lease Cycles'!$AW$20/12,IF(EB$6&gt;='Lease Cycles'!$AT$20,'Lease Cycles'!$C$20*'Lease Cycles'!$AU$20/12,'Lease Cycles'!$C$20*INDEX('Lease Cycles'!$CB$20:$CH$20,1,EB214)*(1+INDEX('Lease Cycles'!$CI$20:$CO$20,1,EB214))^INT(INT(EB215/12)/INDEX('Lease Cycles'!$CP$20:$CV$20,1,EB214))/12)))),'Lease Cycles'!$C$20*INDEX('Lease Cycles'!$CB$20:$CH$20,1,EB214)*(1+INDEX('Lease Cycles'!$CI$20:$CO$20,1,EB214))^INT(INT(EB215/12)/INDEX('Lease Cycles'!$CP$20:$CV$20,1,EB214))/12),IF(INDEX('Lease Cycles'!$EF$20:$EL$20,1,EB214)=1,IF(AND('Lease Cycles'!$AZ$20&gt;=INDEX('Lease Cycles'!$BG$20:$BM$20,1,EB214),'Lease Cycles'!$AZ$20&lt;=EB$6),'Lease Cycles'!$C$20*'Lease Cycles'!$BA$20/12,IF(AND('Lease Cycles'!$AX$20&gt;=INDEX('Lease Cycles'!$BG$20:$BM$20,1,EB214),'Lease Cycles'!$AX$20&lt;=EB$6),'Lease Cycles'!$C$20*'Lease Cycles'!$AY$20/12,IF(AND('Lease Cycles'!$AV$20&gt;=INDEX('Lease Cycles'!$BG$20:$BM$20,1,EB214),'Lease Cycles'!$AV$20&lt;=EB$6),'Lease Cycles'!$C$20*'Lease Cycles'!$AW$20/12,IF(AND('Lease Cycles'!$AT$20&gt;=INDEX('Lease Cycles'!$BG$20:$BM$20,1,EB214),'Lease Cycles'!$AT$20&lt;=EB$6),'Lease Cycles'!$C$20*'Lease Cycles'!$AU$20/12,'Lease Cycles'!$C$20*INDEX('Lease Cycles'!$CB$20:$CH$20,1,EB214)*(1+INDEX('Lease Cycles'!$CI$20:$CO$20,1,EB214))^INT(INT(EB215/12)/INDEX('Lease Cycles'!$CP$20:$CV$20,1,EB214))/12)))),'Lease Cycles'!$C$20*INDEX('Lease Cycles'!$CB$20:$CH$20,1,EB214)*(1+INDEX('Lease Cycles'!$CI$20:$CO$20,1,EB214))^INT(INT(EB215/12)/INDEX('Lease Cycles'!$CP$20:$CV$20,1,EB214))/12))),IF('Lease Cycles'!$N$20=1,'Lease Cycles'!$C$20*'Lease Cycles'!$E$20*INDEX('Lease Cycles'!$HE$20:$HK$20,1,EB214)*(1+INDEX('Lease Cycles'!$GQ$20:$GW$20,1,EB214))^INT(INT((EB$6-INDEX('Lease Cycles'!$GJ$20:$GP$20,1,EB214))/12)/INDEX('Lease Cycles'!$GX$20:$HD$20,1,EB214))/12,0)))</f>
        <v>0</v>
      </c>
      <c r="EC217" s="28">
        <f>IF(EC214=0,IF('Lease Cycles'!$F$20&gt;0,'Lease Cycles'!$C$20*'Lease Cycles'!$E$20/12,0),IF(EC216=1,IF('Lease Cycles'!$AT$20&gt;=9999,'Lease Cycles'!$C$20*INDEX('Lease Cycles'!$CB$20:$CH$20,1,EC214)*(1+INDEX('Lease Cycles'!$CI$20:$CO$20,1,EC214))^INT(INT(EC215/12)/INDEX('Lease Cycles'!$CP$20:$CV$20,1,EC214))/12,IF(EC214=1,IF(EC215&gt;=INDEX('Lease Cycles'!$DK$20:$DQ$20,1,EC214),IF(EC$6&gt;='Lease Cycles'!$AZ$20,'Lease Cycles'!$C$20*'Lease Cycles'!$BA$20/12,IF(EC$6&gt;='Lease Cycles'!$AX$20,'Lease Cycles'!$C$20*'Lease Cycles'!$AY$20/12,IF(EC$6&gt;='Lease Cycles'!$AV$20,'Lease Cycles'!$C$20*'Lease Cycles'!$AW$20/12,IF(EC$6&gt;='Lease Cycles'!$AT$20,'Lease Cycles'!$C$20*'Lease Cycles'!$AU$20/12,'Lease Cycles'!$C$20*INDEX('Lease Cycles'!$CB$20:$CH$20,1,EC214)*(1+INDEX('Lease Cycles'!$CI$20:$CO$20,1,EC214))^INT(INT(EC215/12)/INDEX('Lease Cycles'!$CP$20:$CV$20,1,EC214))/12)))),'Lease Cycles'!$C$20*INDEX('Lease Cycles'!$CB$20:$CH$20,1,EC214)*(1+INDEX('Lease Cycles'!$CI$20:$CO$20,1,EC214))^INT(INT(EC215/12)/INDEX('Lease Cycles'!$CP$20:$CV$20,1,EC214))/12),IF(INDEX('Lease Cycles'!$EF$20:$EL$20,1,EC214)=1,IF(AND('Lease Cycles'!$AZ$20&gt;=INDEX('Lease Cycles'!$BG$20:$BM$20,1,EC214),'Lease Cycles'!$AZ$20&lt;=EC$6),'Lease Cycles'!$C$20*'Lease Cycles'!$BA$20/12,IF(AND('Lease Cycles'!$AX$20&gt;=INDEX('Lease Cycles'!$BG$20:$BM$20,1,EC214),'Lease Cycles'!$AX$20&lt;=EC$6),'Lease Cycles'!$C$20*'Lease Cycles'!$AY$20/12,IF(AND('Lease Cycles'!$AV$20&gt;=INDEX('Lease Cycles'!$BG$20:$BM$20,1,EC214),'Lease Cycles'!$AV$20&lt;=EC$6),'Lease Cycles'!$C$20*'Lease Cycles'!$AW$20/12,IF(AND('Lease Cycles'!$AT$20&gt;=INDEX('Lease Cycles'!$BG$20:$BM$20,1,EC214),'Lease Cycles'!$AT$20&lt;=EC$6),'Lease Cycles'!$C$20*'Lease Cycles'!$AU$20/12,'Lease Cycles'!$C$20*INDEX('Lease Cycles'!$CB$20:$CH$20,1,EC214)*(1+INDEX('Lease Cycles'!$CI$20:$CO$20,1,EC214))^INT(INT(EC215/12)/INDEX('Lease Cycles'!$CP$20:$CV$20,1,EC214))/12)))),'Lease Cycles'!$C$20*INDEX('Lease Cycles'!$CB$20:$CH$20,1,EC214)*(1+INDEX('Lease Cycles'!$CI$20:$CO$20,1,EC214))^INT(INT(EC215/12)/INDEX('Lease Cycles'!$CP$20:$CV$20,1,EC214))/12))),IF('Lease Cycles'!$N$20=1,'Lease Cycles'!$C$20*'Lease Cycles'!$E$20*INDEX('Lease Cycles'!$HE$20:$HK$20,1,EC214)*(1+INDEX('Lease Cycles'!$GQ$20:$GW$20,1,EC214))^INT(INT((EC$6-INDEX('Lease Cycles'!$GJ$20:$GP$20,1,EC214))/12)/INDEX('Lease Cycles'!$GX$20:$HD$20,1,EC214))/12,0)))</f>
        <v>0</v>
      </c>
      <c r="ED217" s="28">
        <f>IF(ED214=0,IF('Lease Cycles'!$F$20&gt;0,'Lease Cycles'!$C$20*'Lease Cycles'!$E$20/12,0),IF(ED216=1,IF('Lease Cycles'!$AT$20&gt;=9999,'Lease Cycles'!$C$20*INDEX('Lease Cycles'!$CB$20:$CH$20,1,ED214)*(1+INDEX('Lease Cycles'!$CI$20:$CO$20,1,ED214))^INT(INT(ED215/12)/INDEX('Lease Cycles'!$CP$20:$CV$20,1,ED214))/12,IF(ED214=1,IF(ED215&gt;=INDEX('Lease Cycles'!$DK$20:$DQ$20,1,ED214),IF(ED$6&gt;='Lease Cycles'!$AZ$20,'Lease Cycles'!$C$20*'Lease Cycles'!$BA$20/12,IF(ED$6&gt;='Lease Cycles'!$AX$20,'Lease Cycles'!$C$20*'Lease Cycles'!$AY$20/12,IF(ED$6&gt;='Lease Cycles'!$AV$20,'Lease Cycles'!$C$20*'Lease Cycles'!$AW$20/12,IF(ED$6&gt;='Lease Cycles'!$AT$20,'Lease Cycles'!$C$20*'Lease Cycles'!$AU$20/12,'Lease Cycles'!$C$20*INDEX('Lease Cycles'!$CB$20:$CH$20,1,ED214)*(1+INDEX('Lease Cycles'!$CI$20:$CO$20,1,ED214))^INT(INT(ED215/12)/INDEX('Lease Cycles'!$CP$20:$CV$20,1,ED214))/12)))),'Lease Cycles'!$C$20*INDEX('Lease Cycles'!$CB$20:$CH$20,1,ED214)*(1+INDEX('Lease Cycles'!$CI$20:$CO$20,1,ED214))^INT(INT(ED215/12)/INDEX('Lease Cycles'!$CP$20:$CV$20,1,ED214))/12),IF(INDEX('Lease Cycles'!$EF$20:$EL$20,1,ED214)=1,IF(AND('Lease Cycles'!$AZ$20&gt;=INDEX('Lease Cycles'!$BG$20:$BM$20,1,ED214),'Lease Cycles'!$AZ$20&lt;=ED$6),'Lease Cycles'!$C$20*'Lease Cycles'!$BA$20/12,IF(AND('Lease Cycles'!$AX$20&gt;=INDEX('Lease Cycles'!$BG$20:$BM$20,1,ED214),'Lease Cycles'!$AX$20&lt;=ED$6),'Lease Cycles'!$C$20*'Lease Cycles'!$AY$20/12,IF(AND('Lease Cycles'!$AV$20&gt;=INDEX('Lease Cycles'!$BG$20:$BM$20,1,ED214),'Lease Cycles'!$AV$20&lt;=ED$6),'Lease Cycles'!$C$20*'Lease Cycles'!$AW$20/12,IF(AND('Lease Cycles'!$AT$20&gt;=INDEX('Lease Cycles'!$BG$20:$BM$20,1,ED214),'Lease Cycles'!$AT$20&lt;=ED$6),'Lease Cycles'!$C$20*'Lease Cycles'!$AU$20/12,'Lease Cycles'!$C$20*INDEX('Lease Cycles'!$CB$20:$CH$20,1,ED214)*(1+INDEX('Lease Cycles'!$CI$20:$CO$20,1,ED214))^INT(INT(ED215/12)/INDEX('Lease Cycles'!$CP$20:$CV$20,1,ED214))/12)))),'Lease Cycles'!$C$20*INDEX('Lease Cycles'!$CB$20:$CH$20,1,ED214)*(1+INDEX('Lease Cycles'!$CI$20:$CO$20,1,ED214))^INT(INT(ED215/12)/INDEX('Lease Cycles'!$CP$20:$CV$20,1,ED214))/12))),IF('Lease Cycles'!$N$20=1,'Lease Cycles'!$C$20*'Lease Cycles'!$E$20*INDEX('Lease Cycles'!$HE$20:$HK$20,1,ED214)*(1+INDEX('Lease Cycles'!$GQ$20:$GW$20,1,ED214))^INT(INT((ED$6-INDEX('Lease Cycles'!$GJ$20:$GP$20,1,ED214))/12)/INDEX('Lease Cycles'!$GX$20:$HD$20,1,ED214))/12,0)))</f>
        <v>0</v>
      </c>
      <c r="EE217" s="28">
        <f>IF(EE214=0,IF('Lease Cycles'!$F$20&gt;0,'Lease Cycles'!$C$20*'Lease Cycles'!$E$20/12,0),IF(EE216=1,IF('Lease Cycles'!$AT$20&gt;=9999,'Lease Cycles'!$C$20*INDEX('Lease Cycles'!$CB$20:$CH$20,1,EE214)*(1+INDEX('Lease Cycles'!$CI$20:$CO$20,1,EE214))^INT(INT(EE215/12)/INDEX('Lease Cycles'!$CP$20:$CV$20,1,EE214))/12,IF(EE214=1,IF(EE215&gt;=INDEX('Lease Cycles'!$DK$20:$DQ$20,1,EE214),IF(EE$6&gt;='Lease Cycles'!$AZ$20,'Lease Cycles'!$C$20*'Lease Cycles'!$BA$20/12,IF(EE$6&gt;='Lease Cycles'!$AX$20,'Lease Cycles'!$C$20*'Lease Cycles'!$AY$20/12,IF(EE$6&gt;='Lease Cycles'!$AV$20,'Lease Cycles'!$C$20*'Lease Cycles'!$AW$20/12,IF(EE$6&gt;='Lease Cycles'!$AT$20,'Lease Cycles'!$C$20*'Lease Cycles'!$AU$20/12,'Lease Cycles'!$C$20*INDEX('Lease Cycles'!$CB$20:$CH$20,1,EE214)*(1+INDEX('Lease Cycles'!$CI$20:$CO$20,1,EE214))^INT(INT(EE215/12)/INDEX('Lease Cycles'!$CP$20:$CV$20,1,EE214))/12)))),'Lease Cycles'!$C$20*INDEX('Lease Cycles'!$CB$20:$CH$20,1,EE214)*(1+INDEX('Lease Cycles'!$CI$20:$CO$20,1,EE214))^INT(INT(EE215/12)/INDEX('Lease Cycles'!$CP$20:$CV$20,1,EE214))/12),IF(INDEX('Lease Cycles'!$EF$20:$EL$20,1,EE214)=1,IF(AND('Lease Cycles'!$AZ$20&gt;=INDEX('Lease Cycles'!$BG$20:$BM$20,1,EE214),'Lease Cycles'!$AZ$20&lt;=EE$6),'Lease Cycles'!$C$20*'Lease Cycles'!$BA$20/12,IF(AND('Lease Cycles'!$AX$20&gt;=INDEX('Lease Cycles'!$BG$20:$BM$20,1,EE214),'Lease Cycles'!$AX$20&lt;=EE$6),'Lease Cycles'!$C$20*'Lease Cycles'!$AY$20/12,IF(AND('Lease Cycles'!$AV$20&gt;=INDEX('Lease Cycles'!$BG$20:$BM$20,1,EE214),'Lease Cycles'!$AV$20&lt;=EE$6),'Lease Cycles'!$C$20*'Lease Cycles'!$AW$20/12,IF(AND('Lease Cycles'!$AT$20&gt;=INDEX('Lease Cycles'!$BG$20:$BM$20,1,EE214),'Lease Cycles'!$AT$20&lt;=EE$6),'Lease Cycles'!$C$20*'Lease Cycles'!$AU$20/12,'Lease Cycles'!$C$20*INDEX('Lease Cycles'!$CB$20:$CH$20,1,EE214)*(1+INDEX('Lease Cycles'!$CI$20:$CO$20,1,EE214))^INT(INT(EE215/12)/INDEX('Lease Cycles'!$CP$20:$CV$20,1,EE214))/12)))),'Lease Cycles'!$C$20*INDEX('Lease Cycles'!$CB$20:$CH$20,1,EE214)*(1+INDEX('Lease Cycles'!$CI$20:$CO$20,1,EE214))^INT(INT(EE215/12)/INDEX('Lease Cycles'!$CP$20:$CV$20,1,EE214))/12))),IF('Lease Cycles'!$N$20=1,'Lease Cycles'!$C$20*'Lease Cycles'!$E$20*INDEX('Lease Cycles'!$HE$20:$HK$20,1,EE214)*(1+INDEX('Lease Cycles'!$GQ$20:$GW$20,1,EE214))^INT(INT((EE$6-INDEX('Lease Cycles'!$GJ$20:$GP$20,1,EE214))/12)/INDEX('Lease Cycles'!$GX$20:$HD$20,1,EE214))/12,0)))</f>
        <v>0</v>
      </c>
      <c r="EF217" s="28">
        <f>IF(EF214=0,IF('Lease Cycles'!$F$20&gt;0,'Lease Cycles'!$C$20*'Lease Cycles'!$E$20/12,0),IF(EF216=1,IF('Lease Cycles'!$AT$20&gt;=9999,'Lease Cycles'!$C$20*INDEX('Lease Cycles'!$CB$20:$CH$20,1,EF214)*(1+INDEX('Lease Cycles'!$CI$20:$CO$20,1,EF214))^INT(INT(EF215/12)/INDEX('Lease Cycles'!$CP$20:$CV$20,1,EF214))/12,IF(EF214=1,IF(EF215&gt;=INDEX('Lease Cycles'!$DK$20:$DQ$20,1,EF214),IF(EF$6&gt;='Lease Cycles'!$AZ$20,'Lease Cycles'!$C$20*'Lease Cycles'!$BA$20/12,IF(EF$6&gt;='Lease Cycles'!$AX$20,'Lease Cycles'!$C$20*'Lease Cycles'!$AY$20/12,IF(EF$6&gt;='Lease Cycles'!$AV$20,'Lease Cycles'!$C$20*'Lease Cycles'!$AW$20/12,IF(EF$6&gt;='Lease Cycles'!$AT$20,'Lease Cycles'!$C$20*'Lease Cycles'!$AU$20/12,'Lease Cycles'!$C$20*INDEX('Lease Cycles'!$CB$20:$CH$20,1,EF214)*(1+INDEX('Lease Cycles'!$CI$20:$CO$20,1,EF214))^INT(INT(EF215/12)/INDEX('Lease Cycles'!$CP$20:$CV$20,1,EF214))/12)))),'Lease Cycles'!$C$20*INDEX('Lease Cycles'!$CB$20:$CH$20,1,EF214)*(1+INDEX('Lease Cycles'!$CI$20:$CO$20,1,EF214))^INT(INT(EF215/12)/INDEX('Lease Cycles'!$CP$20:$CV$20,1,EF214))/12),IF(INDEX('Lease Cycles'!$EF$20:$EL$20,1,EF214)=1,IF(AND('Lease Cycles'!$AZ$20&gt;=INDEX('Lease Cycles'!$BG$20:$BM$20,1,EF214),'Lease Cycles'!$AZ$20&lt;=EF$6),'Lease Cycles'!$C$20*'Lease Cycles'!$BA$20/12,IF(AND('Lease Cycles'!$AX$20&gt;=INDEX('Lease Cycles'!$BG$20:$BM$20,1,EF214),'Lease Cycles'!$AX$20&lt;=EF$6),'Lease Cycles'!$C$20*'Lease Cycles'!$AY$20/12,IF(AND('Lease Cycles'!$AV$20&gt;=INDEX('Lease Cycles'!$BG$20:$BM$20,1,EF214),'Lease Cycles'!$AV$20&lt;=EF$6),'Lease Cycles'!$C$20*'Lease Cycles'!$AW$20/12,IF(AND('Lease Cycles'!$AT$20&gt;=INDEX('Lease Cycles'!$BG$20:$BM$20,1,EF214),'Lease Cycles'!$AT$20&lt;=EF$6),'Lease Cycles'!$C$20*'Lease Cycles'!$AU$20/12,'Lease Cycles'!$C$20*INDEX('Lease Cycles'!$CB$20:$CH$20,1,EF214)*(1+INDEX('Lease Cycles'!$CI$20:$CO$20,1,EF214))^INT(INT(EF215/12)/INDEX('Lease Cycles'!$CP$20:$CV$20,1,EF214))/12)))),'Lease Cycles'!$C$20*INDEX('Lease Cycles'!$CB$20:$CH$20,1,EF214)*(1+INDEX('Lease Cycles'!$CI$20:$CO$20,1,EF214))^INT(INT(EF215/12)/INDEX('Lease Cycles'!$CP$20:$CV$20,1,EF214))/12))),IF('Lease Cycles'!$N$20=1,'Lease Cycles'!$C$20*'Lease Cycles'!$E$20*INDEX('Lease Cycles'!$HE$20:$HK$20,1,EF214)*(1+INDEX('Lease Cycles'!$GQ$20:$GW$20,1,EF214))^INT(INT((EF$6-INDEX('Lease Cycles'!$GJ$20:$GP$20,1,EF214))/12)/INDEX('Lease Cycles'!$GX$20:$HD$20,1,EF214))/12,0)))</f>
        <v>0</v>
      </c>
      <c r="EG217" s="28">
        <f>IF(EG214=0,IF('Lease Cycles'!$F$20&gt;0,'Lease Cycles'!$C$20*'Lease Cycles'!$E$20/12,0),IF(EG216=1,IF('Lease Cycles'!$AT$20&gt;=9999,'Lease Cycles'!$C$20*INDEX('Lease Cycles'!$CB$20:$CH$20,1,EG214)*(1+INDEX('Lease Cycles'!$CI$20:$CO$20,1,EG214))^INT(INT(EG215/12)/INDEX('Lease Cycles'!$CP$20:$CV$20,1,EG214))/12,IF(EG214=1,IF(EG215&gt;=INDEX('Lease Cycles'!$DK$20:$DQ$20,1,EG214),IF(EG$6&gt;='Lease Cycles'!$AZ$20,'Lease Cycles'!$C$20*'Lease Cycles'!$BA$20/12,IF(EG$6&gt;='Lease Cycles'!$AX$20,'Lease Cycles'!$C$20*'Lease Cycles'!$AY$20/12,IF(EG$6&gt;='Lease Cycles'!$AV$20,'Lease Cycles'!$C$20*'Lease Cycles'!$AW$20/12,IF(EG$6&gt;='Lease Cycles'!$AT$20,'Lease Cycles'!$C$20*'Lease Cycles'!$AU$20/12,'Lease Cycles'!$C$20*INDEX('Lease Cycles'!$CB$20:$CH$20,1,EG214)*(1+INDEX('Lease Cycles'!$CI$20:$CO$20,1,EG214))^INT(INT(EG215/12)/INDEX('Lease Cycles'!$CP$20:$CV$20,1,EG214))/12)))),'Lease Cycles'!$C$20*INDEX('Lease Cycles'!$CB$20:$CH$20,1,EG214)*(1+INDEX('Lease Cycles'!$CI$20:$CO$20,1,EG214))^INT(INT(EG215/12)/INDEX('Lease Cycles'!$CP$20:$CV$20,1,EG214))/12),IF(INDEX('Lease Cycles'!$EF$20:$EL$20,1,EG214)=1,IF(AND('Lease Cycles'!$AZ$20&gt;=INDEX('Lease Cycles'!$BG$20:$BM$20,1,EG214),'Lease Cycles'!$AZ$20&lt;=EG$6),'Lease Cycles'!$C$20*'Lease Cycles'!$BA$20/12,IF(AND('Lease Cycles'!$AX$20&gt;=INDEX('Lease Cycles'!$BG$20:$BM$20,1,EG214),'Lease Cycles'!$AX$20&lt;=EG$6),'Lease Cycles'!$C$20*'Lease Cycles'!$AY$20/12,IF(AND('Lease Cycles'!$AV$20&gt;=INDEX('Lease Cycles'!$BG$20:$BM$20,1,EG214),'Lease Cycles'!$AV$20&lt;=EG$6),'Lease Cycles'!$C$20*'Lease Cycles'!$AW$20/12,IF(AND('Lease Cycles'!$AT$20&gt;=INDEX('Lease Cycles'!$BG$20:$BM$20,1,EG214),'Lease Cycles'!$AT$20&lt;=EG$6),'Lease Cycles'!$C$20*'Lease Cycles'!$AU$20/12,'Lease Cycles'!$C$20*INDEX('Lease Cycles'!$CB$20:$CH$20,1,EG214)*(1+INDEX('Lease Cycles'!$CI$20:$CO$20,1,EG214))^INT(INT(EG215/12)/INDEX('Lease Cycles'!$CP$20:$CV$20,1,EG214))/12)))),'Lease Cycles'!$C$20*INDEX('Lease Cycles'!$CB$20:$CH$20,1,EG214)*(1+INDEX('Lease Cycles'!$CI$20:$CO$20,1,EG214))^INT(INT(EG215/12)/INDEX('Lease Cycles'!$CP$20:$CV$20,1,EG214))/12))),IF('Lease Cycles'!$N$20=1,'Lease Cycles'!$C$20*'Lease Cycles'!$E$20*INDEX('Lease Cycles'!$HE$20:$HK$20,1,EG214)*(1+INDEX('Lease Cycles'!$GQ$20:$GW$20,1,EG214))^INT(INT((EG$6-INDEX('Lease Cycles'!$GJ$20:$GP$20,1,EG214))/12)/INDEX('Lease Cycles'!$GX$20:$HD$20,1,EG214))/12,0)))</f>
        <v>0</v>
      </c>
      <c r="EH217" s="28">
        <f>IF(EH214=0,IF('Lease Cycles'!$F$20&gt;0,'Lease Cycles'!$C$20*'Lease Cycles'!$E$20/12,0),IF(EH216=1,IF('Lease Cycles'!$AT$20&gt;=9999,'Lease Cycles'!$C$20*INDEX('Lease Cycles'!$CB$20:$CH$20,1,EH214)*(1+INDEX('Lease Cycles'!$CI$20:$CO$20,1,EH214))^INT(INT(EH215/12)/INDEX('Lease Cycles'!$CP$20:$CV$20,1,EH214))/12,IF(EH214=1,IF(EH215&gt;=INDEX('Lease Cycles'!$DK$20:$DQ$20,1,EH214),IF(EH$6&gt;='Lease Cycles'!$AZ$20,'Lease Cycles'!$C$20*'Lease Cycles'!$BA$20/12,IF(EH$6&gt;='Lease Cycles'!$AX$20,'Lease Cycles'!$C$20*'Lease Cycles'!$AY$20/12,IF(EH$6&gt;='Lease Cycles'!$AV$20,'Lease Cycles'!$C$20*'Lease Cycles'!$AW$20/12,IF(EH$6&gt;='Lease Cycles'!$AT$20,'Lease Cycles'!$C$20*'Lease Cycles'!$AU$20/12,'Lease Cycles'!$C$20*INDEX('Lease Cycles'!$CB$20:$CH$20,1,EH214)*(1+INDEX('Lease Cycles'!$CI$20:$CO$20,1,EH214))^INT(INT(EH215/12)/INDEX('Lease Cycles'!$CP$20:$CV$20,1,EH214))/12)))),'Lease Cycles'!$C$20*INDEX('Lease Cycles'!$CB$20:$CH$20,1,EH214)*(1+INDEX('Lease Cycles'!$CI$20:$CO$20,1,EH214))^INT(INT(EH215/12)/INDEX('Lease Cycles'!$CP$20:$CV$20,1,EH214))/12),IF(INDEX('Lease Cycles'!$EF$20:$EL$20,1,EH214)=1,IF(AND('Lease Cycles'!$AZ$20&gt;=INDEX('Lease Cycles'!$BG$20:$BM$20,1,EH214),'Lease Cycles'!$AZ$20&lt;=EH$6),'Lease Cycles'!$C$20*'Lease Cycles'!$BA$20/12,IF(AND('Lease Cycles'!$AX$20&gt;=INDEX('Lease Cycles'!$BG$20:$BM$20,1,EH214),'Lease Cycles'!$AX$20&lt;=EH$6),'Lease Cycles'!$C$20*'Lease Cycles'!$AY$20/12,IF(AND('Lease Cycles'!$AV$20&gt;=INDEX('Lease Cycles'!$BG$20:$BM$20,1,EH214),'Lease Cycles'!$AV$20&lt;=EH$6),'Lease Cycles'!$C$20*'Lease Cycles'!$AW$20/12,IF(AND('Lease Cycles'!$AT$20&gt;=INDEX('Lease Cycles'!$BG$20:$BM$20,1,EH214),'Lease Cycles'!$AT$20&lt;=EH$6),'Lease Cycles'!$C$20*'Lease Cycles'!$AU$20/12,'Lease Cycles'!$C$20*INDEX('Lease Cycles'!$CB$20:$CH$20,1,EH214)*(1+INDEX('Lease Cycles'!$CI$20:$CO$20,1,EH214))^INT(INT(EH215/12)/INDEX('Lease Cycles'!$CP$20:$CV$20,1,EH214))/12)))),'Lease Cycles'!$C$20*INDEX('Lease Cycles'!$CB$20:$CH$20,1,EH214)*(1+INDEX('Lease Cycles'!$CI$20:$CO$20,1,EH214))^INT(INT(EH215/12)/INDEX('Lease Cycles'!$CP$20:$CV$20,1,EH214))/12))),IF('Lease Cycles'!$N$20=1,'Lease Cycles'!$C$20*'Lease Cycles'!$E$20*INDEX('Lease Cycles'!$HE$20:$HK$20,1,EH214)*(1+INDEX('Lease Cycles'!$GQ$20:$GW$20,1,EH214))^INT(INT((EH$6-INDEX('Lease Cycles'!$GJ$20:$GP$20,1,EH214))/12)/INDEX('Lease Cycles'!$GX$20:$HD$20,1,EH214))/12,0)))</f>
        <v>0</v>
      </c>
      <c r="EI217" s="28">
        <f>IF(EI214=0,IF('Lease Cycles'!$F$20&gt;0,'Lease Cycles'!$C$20*'Lease Cycles'!$E$20/12,0),IF(EI216=1,IF('Lease Cycles'!$AT$20&gt;=9999,'Lease Cycles'!$C$20*INDEX('Lease Cycles'!$CB$20:$CH$20,1,EI214)*(1+INDEX('Lease Cycles'!$CI$20:$CO$20,1,EI214))^INT(INT(EI215/12)/INDEX('Lease Cycles'!$CP$20:$CV$20,1,EI214))/12,IF(EI214=1,IF(EI215&gt;=INDEX('Lease Cycles'!$DK$20:$DQ$20,1,EI214),IF(EI$6&gt;='Lease Cycles'!$AZ$20,'Lease Cycles'!$C$20*'Lease Cycles'!$BA$20/12,IF(EI$6&gt;='Lease Cycles'!$AX$20,'Lease Cycles'!$C$20*'Lease Cycles'!$AY$20/12,IF(EI$6&gt;='Lease Cycles'!$AV$20,'Lease Cycles'!$C$20*'Lease Cycles'!$AW$20/12,IF(EI$6&gt;='Lease Cycles'!$AT$20,'Lease Cycles'!$C$20*'Lease Cycles'!$AU$20/12,'Lease Cycles'!$C$20*INDEX('Lease Cycles'!$CB$20:$CH$20,1,EI214)*(1+INDEX('Lease Cycles'!$CI$20:$CO$20,1,EI214))^INT(INT(EI215/12)/INDEX('Lease Cycles'!$CP$20:$CV$20,1,EI214))/12)))),'Lease Cycles'!$C$20*INDEX('Lease Cycles'!$CB$20:$CH$20,1,EI214)*(1+INDEX('Lease Cycles'!$CI$20:$CO$20,1,EI214))^INT(INT(EI215/12)/INDEX('Lease Cycles'!$CP$20:$CV$20,1,EI214))/12),IF(INDEX('Lease Cycles'!$EF$20:$EL$20,1,EI214)=1,IF(AND('Lease Cycles'!$AZ$20&gt;=INDEX('Lease Cycles'!$BG$20:$BM$20,1,EI214),'Lease Cycles'!$AZ$20&lt;=EI$6),'Lease Cycles'!$C$20*'Lease Cycles'!$BA$20/12,IF(AND('Lease Cycles'!$AX$20&gt;=INDEX('Lease Cycles'!$BG$20:$BM$20,1,EI214),'Lease Cycles'!$AX$20&lt;=EI$6),'Lease Cycles'!$C$20*'Lease Cycles'!$AY$20/12,IF(AND('Lease Cycles'!$AV$20&gt;=INDEX('Lease Cycles'!$BG$20:$BM$20,1,EI214),'Lease Cycles'!$AV$20&lt;=EI$6),'Lease Cycles'!$C$20*'Lease Cycles'!$AW$20/12,IF(AND('Lease Cycles'!$AT$20&gt;=INDEX('Lease Cycles'!$BG$20:$BM$20,1,EI214),'Lease Cycles'!$AT$20&lt;=EI$6),'Lease Cycles'!$C$20*'Lease Cycles'!$AU$20/12,'Lease Cycles'!$C$20*INDEX('Lease Cycles'!$CB$20:$CH$20,1,EI214)*(1+INDEX('Lease Cycles'!$CI$20:$CO$20,1,EI214))^INT(INT(EI215/12)/INDEX('Lease Cycles'!$CP$20:$CV$20,1,EI214))/12)))),'Lease Cycles'!$C$20*INDEX('Lease Cycles'!$CB$20:$CH$20,1,EI214)*(1+INDEX('Lease Cycles'!$CI$20:$CO$20,1,EI214))^INT(INT(EI215/12)/INDEX('Lease Cycles'!$CP$20:$CV$20,1,EI214))/12))),IF('Lease Cycles'!$N$20=1,'Lease Cycles'!$C$20*'Lease Cycles'!$E$20*INDEX('Lease Cycles'!$HE$20:$HK$20,1,EI214)*(1+INDEX('Lease Cycles'!$GQ$20:$GW$20,1,EI214))^INT(INT((EI$6-INDEX('Lease Cycles'!$GJ$20:$GP$20,1,EI214))/12)/INDEX('Lease Cycles'!$GX$20:$HD$20,1,EI214))/12,0)))</f>
        <v>0</v>
      </c>
      <c r="EJ217" s="28">
        <f>IF(EJ214=0,IF('Lease Cycles'!$F$20&gt;0,'Lease Cycles'!$C$20*'Lease Cycles'!$E$20/12,0),IF(EJ216=1,IF('Lease Cycles'!$AT$20&gt;=9999,'Lease Cycles'!$C$20*INDEX('Lease Cycles'!$CB$20:$CH$20,1,EJ214)*(1+INDEX('Lease Cycles'!$CI$20:$CO$20,1,EJ214))^INT(INT(EJ215/12)/INDEX('Lease Cycles'!$CP$20:$CV$20,1,EJ214))/12,IF(EJ214=1,IF(EJ215&gt;=INDEX('Lease Cycles'!$DK$20:$DQ$20,1,EJ214),IF(EJ$6&gt;='Lease Cycles'!$AZ$20,'Lease Cycles'!$C$20*'Lease Cycles'!$BA$20/12,IF(EJ$6&gt;='Lease Cycles'!$AX$20,'Lease Cycles'!$C$20*'Lease Cycles'!$AY$20/12,IF(EJ$6&gt;='Lease Cycles'!$AV$20,'Lease Cycles'!$C$20*'Lease Cycles'!$AW$20/12,IF(EJ$6&gt;='Lease Cycles'!$AT$20,'Lease Cycles'!$C$20*'Lease Cycles'!$AU$20/12,'Lease Cycles'!$C$20*INDEX('Lease Cycles'!$CB$20:$CH$20,1,EJ214)*(1+INDEX('Lease Cycles'!$CI$20:$CO$20,1,EJ214))^INT(INT(EJ215/12)/INDEX('Lease Cycles'!$CP$20:$CV$20,1,EJ214))/12)))),'Lease Cycles'!$C$20*INDEX('Lease Cycles'!$CB$20:$CH$20,1,EJ214)*(1+INDEX('Lease Cycles'!$CI$20:$CO$20,1,EJ214))^INT(INT(EJ215/12)/INDEX('Lease Cycles'!$CP$20:$CV$20,1,EJ214))/12),IF(INDEX('Lease Cycles'!$EF$20:$EL$20,1,EJ214)=1,IF(AND('Lease Cycles'!$AZ$20&gt;=INDEX('Lease Cycles'!$BG$20:$BM$20,1,EJ214),'Lease Cycles'!$AZ$20&lt;=EJ$6),'Lease Cycles'!$C$20*'Lease Cycles'!$BA$20/12,IF(AND('Lease Cycles'!$AX$20&gt;=INDEX('Lease Cycles'!$BG$20:$BM$20,1,EJ214),'Lease Cycles'!$AX$20&lt;=EJ$6),'Lease Cycles'!$C$20*'Lease Cycles'!$AY$20/12,IF(AND('Lease Cycles'!$AV$20&gt;=INDEX('Lease Cycles'!$BG$20:$BM$20,1,EJ214),'Lease Cycles'!$AV$20&lt;=EJ$6),'Lease Cycles'!$C$20*'Lease Cycles'!$AW$20/12,IF(AND('Lease Cycles'!$AT$20&gt;=INDEX('Lease Cycles'!$BG$20:$BM$20,1,EJ214),'Lease Cycles'!$AT$20&lt;=EJ$6),'Lease Cycles'!$C$20*'Lease Cycles'!$AU$20/12,'Lease Cycles'!$C$20*INDEX('Lease Cycles'!$CB$20:$CH$20,1,EJ214)*(1+INDEX('Lease Cycles'!$CI$20:$CO$20,1,EJ214))^INT(INT(EJ215/12)/INDEX('Lease Cycles'!$CP$20:$CV$20,1,EJ214))/12)))),'Lease Cycles'!$C$20*INDEX('Lease Cycles'!$CB$20:$CH$20,1,EJ214)*(1+INDEX('Lease Cycles'!$CI$20:$CO$20,1,EJ214))^INT(INT(EJ215/12)/INDEX('Lease Cycles'!$CP$20:$CV$20,1,EJ214))/12))),IF('Lease Cycles'!$N$20=1,'Lease Cycles'!$C$20*'Lease Cycles'!$E$20*INDEX('Lease Cycles'!$HE$20:$HK$20,1,EJ214)*(1+INDEX('Lease Cycles'!$GQ$20:$GW$20,1,EJ214))^INT(INT((EJ$6-INDEX('Lease Cycles'!$GJ$20:$GP$20,1,EJ214))/12)/INDEX('Lease Cycles'!$GX$20:$HD$20,1,EJ214))/12,0)))</f>
        <v>0</v>
      </c>
      <c r="EK217" s="28">
        <f>IF(EK214=0,IF('Lease Cycles'!$F$20&gt;0,'Lease Cycles'!$C$20*'Lease Cycles'!$E$20/12,0),IF(EK216=1,IF('Lease Cycles'!$AT$20&gt;=9999,'Lease Cycles'!$C$20*INDEX('Lease Cycles'!$CB$20:$CH$20,1,EK214)*(1+INDEX('Lease Cycles'!$CI$20:$CO$20,1,EK214))^INT(INT(EK215/12)/INDEX('Lease Cycles'!$CP$20:$CV$20,1,EK214))/12,IF(EK214=1,IF(EK215&gt;=INDEX('Lease Cycles'!$DK$20:$DQ$20,1,EK214),IF(EK$6&gt;='Lease Cycles'!$AZ$20,'Lease Cycles'!$C$20*'Lease Cycles'!$BA$20/12,IF(EK$6&gt;='Lease Cycles'!$AX$20,'Lease Cycles'!$C$20*'Lease Cycles'!$AY$20/12,IF(EK$6&gt;='Lease Cycles'!$AV$20,'Lease Cycles'!$C$20*'Lease Cycles'!$AW$20/12,IF(EK$6&gt;='Lease Cycles'!$AT$20,'Lease Cycles'!$C$20*'Lease Cycles'!$AU$20/12,'Lease Cycles'!$C$20*INDEX('Lease Cycles'!$CB$20:$CH$20,1,EK214)*(1+INDEX('Lease Cycles'!$CI$20:$CO$20,1,EK214))^INT(INT(EK215/12)/INDEX('Lease Cycles'!$CP$20:$CV$20,1,EK214))/12)))),'Lease Cycles'!$C$20*INDEX('Lease Cycles'!$CB$20:$CH$20,1,EK214)*(1+INDEX('Lease Cycles'!$CI$20:$CO$20,1,EK214))^INT(INT(EK215/12)/INDEX('Lease Cycles'!$CP$20:$CV$20,1,EK214))/12),IF(INDEX('Lease Cycles'!$EF$20:$EL$20,1,EK214)=1,IF(AND('Lease Cycles'!$AZ$20&gt;=INDEX('Lease Cycles'!$BG$20:$BM$20,1,EK214),'Lease Cycles'!$AZ$20&lt;=EK$6),'Lease Cycles'!$C$20*'Lease Cycles'!$BA$20/12,IF(AND('Lease Cycles'!$AX$20&gt;=INDEX('Lease Cycles'!$BG$20:$BM$20,1,EK214),'Lease Cycles'!$AX$20&lt;=EK$6),'Lease Cycles'!$C$20*'Lease Cycles'!$AY$20/12,IF(AND('Lease Cycles'!$AV$20&gt;=INDEX('Lease Cycles'!$BG$20:$BM$20,1,EK214),'Lease Cycles'!$AV$20&lt;=EK$6),'Lease Cycles'!$C$20*'Lease Cycles'!$AW$20/12,IF(AND('Lease Cycles'!$AT$20&gt;=INDEX('Lease Cycles'!$BG$20:$BM$20,1,EK214),'Lease Cycles'!$AT$20&lt;=EK$6),'Lease Cycles'!$C$20*'Lease Cycles'!$AU$20/12,'Lease Cycles'!$C$20*INDEX('Lease Cycles'!$CB$20:$CH$20,1,EK214)*(1+INDEX('Lease Cycles'!$CI$20:$CO$20,1,EK214))^INT(INT(EK215/12)/INDEX('Lease Cycles'!$CP$20:$CV$20,1,EK214))/12)))),'Lease Cycles'!$C$20*INDEX('Lease Cycles'!$CB$20:$CH$20,1,EK214)*(1+INDEX('Lease Cycles'!$CI$20:$CO$20,1,EK214))^INT(INT(EK215/12)/INDEX('Lease Cycles'!$CP$20:$CV$20,1,EK214))/12))),IF('Lease Cycles'!$N$20=1,'Lease Cycles'!$C$20*'Lease Cycles'!$E$20*INDEX('Lease Cycles'!$HE$20:$HK$20,1,EK214)*(1+INDEX('Lease Cycles'!$GQ$20:$GW$20,1,EK214))^INT(INT((EK$6-INDEX('Lease Cycles'!$GJ$20:$GP$20,1,EK214))/12)/INDEX('Lease Cycles'!$GX$20:$HD$20,1,EK214))/12,0)))</f>
        <v>0</v>
      </c>
      <c r="EL217" s="28">
        <f>IF(EL214=0,IF('Lease Cycles'!$F$20&gt;0,'Lease Cycles'!$C$20*'Lease Cycles'!$E$20/12,0),IF(EL216=1,IF('Lease Cycles'!$AT$20&gt;=9999,'Lease Cycles'!$C$20*INDEX('Lease Cycles'!$CB$20:$CH$20,1,EL214)*(1+INDEX('Lease Cycles'!$CI$20:$CO$20,1,EL214))^INT(INT(EL215/12)/INDEX('Lease Cycles'!$CP$20:$CV$20,1,EL214))/12,IF(EL214=1,IF(EL215&gt;=INDEX('Lease Cycles'!$DK$20:$DQ$20,1,EL214),IF(EL$6&gt;='Lease Cycles'!$AZ$20,'Lease Cycles'!$C$20*'Lease Cycles'!$BA$20/12,IF(EL$6&gt;='Lease Cycles'!$AX$20,'Lease Cycles'!$C$20*'Lease Cycles'!$AY$20/12,IF(EL$6&gt;='Lease Cycles'!$AV$20,'Lease Cycles'!$C$20*'Lease Cycles'!$AW$20/12,IF(EL$6&gt;='Lease Cycles'!$AT$20,'Lease Cycles'!$C$20*'Lease Cycles'!$AU$20/12,'Lease Cycles'!$C$20*INDEX('Lease Cycles'!$CB$20:$CH$20,1,EL214)*(1+INDEX('Lease Cycles'!$CI$20:$CO$20,1,EL214))^INT(INT(EL215/12)/INDEX('Lease Cycles'!$CP$20:$CV$20,1,EL214))/12)))),'Lease Cycles'!$C$20*INDEX('Lease Cycles'!$CB$20:$CH$20,1,EL214)*(1+INDEX('Lease Cycles'!$CI$20:$CO$20,1,EL214))^INT(INT(EL215/12)/INDEX('Lease Cycles'!$CP$20:$CV$20,1,EL214))/12),IF(INDEX('Lease Cycles'!$EF$20:$EL$20,1,EL214)=1,IF(AND('Lease Cycles'!$AZ$20&gt;=INDEX('Lease Cycles'!$BG$20:$BM$20,1,EL214),'Lease Cycles'!$AZ$20&lt;=EL$6),'Lease Cycles'!$C$20*'Lease Cycles'!$BA$20/12,IF(AND('Lease Cycles'!$AX$20&gt;=INDEX('Lease Cycles'!$BG$20:$BM$20,1,EL214),'Lease Cycles'!$AX$20&lt;=EL$6),'Lease Cycles'!$C$20*'Lease Cycles'!$AY$20/12,IF(AND('Lease Cycles'!$AV$20&gt;=INDEX('Lease Cycles'!$BG$20:$BM$20,1,EL214),'Lease Cycles'!$AV$20&lt;=EL$6),'Lease Cycles'!$C$20*'Lease Cycles'!$AW$20/12,IF(AND('Lease Cycles'!$AT$20&gt;=INDEX('Lease Cycles'!$BG$20:$BM$20,1,EL214),'Lease Cycles'!$AT$20&lt;=EL$6),'Lease Cycles'!$C$20*'Lease Cycles'!$AU$20/12,'Lease Cycles'!$C$20*INDEX('Lease Cycles'!$CB$20:$CH$20,1,EL214)*(1+INDEX('Lease Cycles'!$CI$20:$CO$20,1,EL214))^INT(INT(EL215/12)/INDEX('Lease Cycles'!$CP$20:$CV$20,1,EL214))/12)))),'Lease Cycles'!$C$20*INDEX('Lease Cycles'!$CB$20:$CH$20,1,EL214)*(1+INDEX('Lease Cycles'!$CI$20:$CO$20,1,EL214))^INT(INT(EL215/12)/INDEX('Lease Cycles'!$CP$20:$CV$20,1,EL214))/12))),IF('Lease Cycles'!$N$20=1,'Lease Cycles'!$C$20*'Lease Cycles'!$E$20*INDEX('Lease Cycles'!$HE$20:$HK$20,1,EL214)*(1+INDEX('Lease Cycles'!$GQ$20:$GW$20,1,EL214))^INT(INT((EL$6-INDEX('Lease Cycles'!$GJ$20:$GP$20,1,EL214))/12)/INDEX('Lease Cycles'!$GX$20:$HD$20,1,EL214))/12,0)))</f>
        <v>0</v>
      </c>
      <c r="EM217" s="28">
        <f>IF(EM214=0,IF('Lease Cycles'!$F$20&gt;0,'Lease Cycles'!$C$20*'Lease Cycles'!$E$20/12,0),IF(EM216=1,IF('Lease Cycles'!$AT$20&gt;=9999,'Lease Cycles'!$C$20*INDEX('Lease Cycles'!$CB$20:$CH$20,1,EM214)*(1+INDEX('Lease Cycles'!$CI$20:$CO$20,1,EM214))^INT(INT(EM215/12)/INDEX('Lease Cycles'!$CP$20:$CV$20,1,EM214))/12,IF(EM214=1,IF(EM215&gt;=INDEX('Lease Cycles'!$DK$20:$DQ$20,1,EM214),IF(EM$6&gt;='Lease Cycles'!$AZ$20,'Lease Cycles'!$C$20*'Lease Cycles'!$BA$20/12,IF(EM$6&gt;='Lease Cycles'!$AX$20,'Lease Cycles'!$C$20*'Lease Cycles'!$AY$20/12,IF(EM$6&gt;='Lease Cycles'!$AV$20,'Lease Cycles'!$C$20*'Lease Cycles'!$AW$20/12,IF(EM$6&gt;='Lease Cycles'!$AT$20,'Lease Cycles'!$C$20*'Lease Cycles'!$AU$20/12,'Lease Cycles'!$C$20*INDEX('Lease Cycles'!$CB$20:$CH$20,1,EM214)*(1+INDEX('Lease Cycles'!$CI$20:$CO$20,1,EM214))^INT(INT(EM215/12)/INDEX('Lease Cycles'!$CP$20:$CV$20,1,EM214))/12)))),'Lease Cycles'!$C$20*INDEX('Lease Cycles'!$CB$20:$CH$20,1,EM214)*(1+INDEX('Lease Cycles'!$CI$20:$CO$20,1,EM214))^INT(INT(EM215/12)/INDEX('Lease Cycles'!$CP$20:$CV$20,1,EM214))/12),IF(INDEX('Lease Cycles'!$EF$20:$EL$20,1,EM214)=1,IF(AND('Lease Cycles'!$AZ$20&gt;=INDEX('Lease Cycles'!$BG$20:$BM$20,1,EM214),'Lease Cycles'!$AZ$20&lt;=EM$6),'Lease Cycles'!$C$20*'Lease Cycles'!$BA$20/12,IF(AND('Lease Cycles'!$AX$20&gt;=INDEX('Lease Cycles'!$BG$20:$BM$20,1,EM214),'Lease Cycles'!$AX$20&lt;=EM$6),'Lease Cycles'!$C$20*'Lease Cycles'!$AY$20/12,IF(AND('Lease Cycles'!$AV$20&gt;=INDEX('Lease Cycles'!$BG$20:$BM$20,1,EM214),'Lease Cycles'!$AV$20&lt;=EM$6),'Lease Cycles'!$C$20*'Lease Cycles'!$AW$20/12,IF(AND('Lease Cycles'!$AT$20&gt;=INDEX('Lease Cycles'!$BG$20:$BM$20,1,EM214),'Lease Cycles'!$AT$20&lt;=EM$6),'Lease Cycles'!$C$20*'Lease Cycles'!$AU$20/12,'Lease Cycles'!$C$20*INDEX('Lease Cycles'!$CB$20:$CH$20,1,EM214)*(1+INDEX('Lease Cycles'!$CI$20:$CO$20,1,EM214))^INT(INT(EM215/12)/INDEX('Lease Cycles'!$CP$20:$CV$20,1,EM214))/12)))),'Lease Cycles'!$C$20*INDEX('Lease Cycles'!$CB$20:$CH$20,1,EM214)*(1+INDEX('Lease Cycles'!$CI$20:$CO$20,1,EM214))^INT(INT(EM215/12)/INDEX('Lease Cycles'!$CP$20:$CV$20,1,EM214))/12))),IF('Lease Cycles'!$N$20=1,'Lease Cycles'!$C$20*'Lease Cycles'!$E$20*INDEX('Lease Cycles'!$HE$20:$HK$20,1,EM214)*(1+INDEX('Lease Cycles'!$GQ$20:$GW$20,1,EM214))^INT(INT((EM$6-INDEX('Lease Cycles'!$GJ$20:$GP$20,1,EM214))/12)/INDEX('Lease Cycles'!$GX$20:$HD$20,1,EM214))/12,0)))</f>
        <v>0</v>
      </c>
      <c r="EN217" s="28">
        <f>IF(EN214=0,IF('Lease Cycles'!$F$20&gt;0,'Lease Cycles'!$C$20*'Lease Cycles'!$E$20/12,0),IF(EN216=1,IF('Lease Cycles'!$AT$20&gt;=9999,'Lease Cycles'!$C$20*INDEX('Lease Cycles'!$CB$20:$CH$20,1,EN214)*(1+INDEX('Lease Cycles'!$CI$20:$CO$20,1,EN214))^INT(INT(EN215/12)/INDEX('Lease Cycles'!$CP$20:$CV$20,1,EN214))/12,IF(EN214=1,IF(EN215&gt;=INDEX('Lease Cycles'!$DK$20:$DQ$20,1,EN214),IF(EN$6&gt;='Lease Cycles'!$AZ$20,'Lease Cycles'!$C$20*'Lease Cycles'!$BA$20/12,IF(EN$6&gt;='Lease Cycles'!$AX$20,'Lease Cycles'!$C$20*'Lease Cycles'!$AY$20/12,IF(EN$6&gt;='Lease Cycles'!$AV$20,'Lease Cycles'!$C$20*'Lease Cycles'!$AW$20/12,IF(EN$6&gt;='Lease Cycles'!$AT$20,'Lease Cycles'!$C$20*'Lease Cycles'!$AU$20/12,'Lease Cycles'!$C$20*INDEX('Lease Cycles'!$CB$20:$CH$20,1,EN214)*(1+INDEX('Lease Cycles'!$CI$20:$CO$20,1,EN214))^INT(INT(EN215/12)/INDEX('Lease Cycles'!$CP$20:$CV$20,1,EN214))/12)))),'Lease Cycles'!$C$20*INDEX('Lease Cycles'!$CB$20:$CH$20,1,EN214)*(1+INDEX('Lease Cycles'!$CI$20:$CO$20,1,EN214))^INT(INT(EN215/12)/INDEX('Lease Cycles'!$CP$20:$CV$20,1,EN214))/12),IF(INDEX('Lease Cycles'!$EF$20:$EL$20,1,EN214)=1,IF(AND('Lease Cycles'!$AZ$20&gt;=INDEX('Lease Cycles'!$BG$20:$BM$20,1,EN214),'Lease Cycles'!$AZ$20&lt;=EN$6),'Lease Cycles'!$C$20*'Lease Cycles'!$BA$20/12,IF(AND('Lease Cycles'!$AX$20&gt;=INDEX('Lease Cycles'!$BG$20:$BM$20,1,EN214),'Lease Cycles'!$AX$20&lt;=EN$6),'Lease Cycles'!$C$20*'Lease Cycles'!$AY$20/12,IF(AND('Lease Cycles'!$AV$20&gt;=INDEX('Lease Cycles'!$BG$20:$BM$20,1,EN214),'Lease Cycles'!$AV$20&lt;=EN$6),'Lease Cycles'!$C$20*'Lease Cycles'!$AW$20/12,IF(AND('Lease Cycles'!$AT$20&gt;=INDEX('Lease Cycles'!$BG$20:$BM$20,1,EN214),'Lease Cycles'!$AT$20&lt;=EN$6),'Lease Cycles'!$C$20*'Lease Cycles'!$AU$20/12,'Lease Cycles'!$C$20*INDEX('Lease Cycles'!$CB$20:$CH$20,1,EN214)*(1+INDEX('Lease Cycles'!$CI$20:$CO$20,1,EN214))^INT(INT(EN215/12)/INDEX('Lease Cycles'!$CP$20:$CV$20,1,EN214))/12)))),'Lease Cycles'!$C$20*INDEX('Lease Cycles'!$CB$20:$CH$20,1,EN214)*(1+INDEX('Lease Cycles'!$CI$20:$CO$20,1,EN214))^INT(INT(EN215/12)/INDEX('Lease Cycles'!$CP$20:$CV$20,1,EN214))/12))),IF('Lease Cycles'!$N$20=1,'Lease Cycles'!$C$20*'Lease Cycles'!$E$20*INDEX('Lease Cycles'!$HE$20:$HK$20,1,EN214)*(1+INDEX('Lease Cycles'!$GQ$20:$GW$20,1,EN214))^INT(INT((EN$6-INDEX('Lease Cycles'!$GJ$20:$GP$20,1,EN214))/12)/INDEX('Lease Cycles'!$GX$20:$HD$20,1,EN214))/12,0)))</f>
        <v>0</v>
      </c>
      <c r="EO217" s="28">
        <f>IF(EO214=0,IF('Lease Cycles'!$F$20&gt;0,'Lease Cycles'!$C$20*'Lease Cycles'!$E$20/12,0),IF(EO216=1,IF('Lease Cycles'!$AT$20&gt;=9999,'Lease Cycles'!$C$20*INDEX('Lease Cycles'!$CB$20:$CH$20,1,EO214)*(1+INDEX('Lease Cycles'!$CI$20:$CO$20,1,EO214))^INT(INT(EO215/12)/INDEX('Lease Cycles'!$CP$20:$CV$20,1,EO214))/12,IF(EO214=1,IF(EO215&gt;=INDEX('Lease Cycles'!$DK$20:$DQ$20,1,EO214),IF(EO$6&gt;='Lease Cycles'!$AZ$20,'Lease Cycles'!$C$20*'Lease Cycles'!$BA$20/12,IF(EO$6&gt;='Lease Cycles'!$AX$20,'Lease Cycles'!$C$20*'Lease Cycles'!$AY$20/12,IF(EO$6&gt;='Lease Cycles'!$AV$20,'Lease Cycles'!$C$20*'Lease Cycles'!$AW$20/12,IF(EO$6&gt;='Lease Cycles'!$AT$20,'Lease Cycles'!$C$20*'Lease Cycles'!$AU$20/12,'Lease Cycles'!$C$20*INDEX('Lease Cycles'!$CB$20:$CH$20,1,EO214)*(1+INDEX('Lease Cycles'!$CI$20:$CO$20,1,EO214))^INT(INT(EO215/12)/INDEX('Lease Cycles'!$CP$20:$CV$20,1,EO214))/12)))),'Lease Cycles'!$C$20*INDEX('Lease Cycles'!$CB$20:$CH$20,1,EO214)*(1+INDEX('Lease Cycles'!$CI$20:$CO$20,1,EO214))^INT(INT(EO215/12)/INDEX('Lease Cycles'!$CP$20:$CV$20,1,EO214))/12),IF(INDEX('Lease Cycles'!$EF$20:$EL$20,1,EO214)=1,IF(AND('Lease Cycles'!$AZ$20&gt;=INDEX('Lease Cycles'!$BG$20:$BM$20,1,EO214),'Lease Cycles'!$AZ$20&lt;=EO$6),'Lease Cycles'!$C$20*'Lease Cycles'!$BA$20/12,IF(AND('Lease Cycles'!$AX$20&gt;=INDEX('Lease Cycles'!$BG$20:$BM$20,1,EO214),'Lease Cycles'!$AX$20&lt;=EO$6),'Lease Cycles'!$C$20*'Lease Cycles'!$AY$20/12,IF(AND('Lease Cycles'!$AV$20&gt;=INDEX('Lease Cycles'!$BG$20:$BM$20,1,EO214),'Lease Cycles'!$AV$20&lt;=EO$6),'Lease Cycles'!$C$20*'Lease Cycles'!$AW$20/12,IF(AND('Lease Cycles'!$AT$20&gt;=INDEX('Lease Cycles'!$BG$20:$BM$20,1,EO214),'Lease Cycles'!$AT$20&lt;=EO$6),'Lease Cycles'!$C$20*'Lease Cycles'!$AU$20/12,'Lease Cycles'!$C$20*INDEX('Lease Cycles'!$CB$20:$CH$20,1,EO214)*(1+INDEX('Lease Cycles'!$CI$20:$CO$20,1,EO214))^INT(INT(EO215/12)/INDEX('Lease Cycles'!$CP$20:$CV$20,1,EO214))/12)))),'Lease Cycles'!$C$20*INDEX('Lease Cycles'!$CB$20:$CH$20,1,EO214)*(1+INDEX('Lease Cycles'!$CI$20:$CO$20,1,EO214))^INT(INT(EO215/12)/INDEX('Lease Cycles'!$CP$20:$CV$20,1,EO214))/12))),IF('Lease Cycles'!$N$20=1,'Lease Cycles'!$C$20*'Lease Cycles'!$E$20*INDEX('Lease Cycles'!$HE$20:$HK$20,1,EO214)*(1+INDEX('Lease Cycles'!$GQ$20:$GW$20,1,EO214))^INT(INT((EO$6-INDEX('Lease Cycles'!$GJ$20:$GP$20,1,EO214))/12)/INDEX('Lease Cycles'!$GX$20:$HD$20,1,EO214))/12,0)))</f>
        <v>0</v>
      </c>
      <c r="EP217" s="28">
        <f>IF(EP214=0,IF('Lease Cycles'!$F$20&gt;0,'Lease Cycles'!$C$20*'Lease Cycles'!$E$20/12,0),IF(EP216=1,IF('Lease Cycles'!$AT$20&gt;=9999,'Lease Cycles'!$C$20*INDEX('Lease Cycles'!$CB$20:$CH$20,1,EP214)*(1+INDEX('Lease Cycles'!$CI$20:$CO$20,1,EP214))^INT(INT(EP215/12)/INDEX('Lease Cycles'!$CP$20:$CV$20,1,EP214))/12,IF(EP214=1,IF(EP215&gt;=INDEX('Lease Cycles'!$DK$20:$DQ$20,1,EP214),IF(EP$6&gt;='Lease Cycles'!$AZ$20,'Lease Cycles'!$C$20*'Lease Cycles'!$BA$20/12,IF(EP$6&gt;='Lease Cycles'!$AX$20,'Lease Cycles'!$C$20*'Lease Cycles'!$AY$20/12,IF(EP$6&gt;='Lease Cycles'!$AV$20,'Lease Cycles'!$C$20*'Lease Cycles'!$AW$20/12,IF(EP$6&gt;='Lease Cycles'!$AT$20,'Lease Cycles'!$C$20*'Lease Cycles'!$AU$20/12,'Lease Cycles'!$C$20*INDEX('Lease Cycles'!$CB$20:$CH$20,1,EP214)*(1+INDEX('Lease Cycles'!$CI$20:$CO$20,1,EP214))^INT(INT(EP215/12)/INDEX('Lease Cycles'!$CP$20:$CV$20,1,EP214))/12)))),'Lease Cycles'!$C$20*INDEX('Lease Cycles'!$CB$20:$CH$20,1,EP214)*(1+INDEX('Lease Cycles'!$CI$20:$CO$20,1,EP214))^INT(INT(EP215/12)/INDEX('Lease Cycles'!$CP$20:$CV$20,1,EP214))/12),IF(INDEX('Lease Cycles'!$EF$20:$EL$20,1,EP214)=1,IF(AND('Lease Cycles'!$AZ$20&gt;=INDEX('Lease Cycles'!$BG$20:$BM$20,1,EP214),'Lease Cycles'!$AZ$20&lt;=EP$6),'Lease Cycles'!$C$20*'Lease Cycles'!$BA$20/12,IF(AND('Lease Cycles'!$AX$20&gt;=INDEX('Lease Cycles'!$BG$20:$BM$20,1,EP214),'Lease Cycles'!$AX$20&lt;=EP$6),'Lease Cycles'!$C$20*'Lease Cycles'!$AY$20/12,IF(AND('Lease Cycles'!$AV$20&gt;=INDEX('Lease Cycles'!$BG$20:$BM$20,1,EP214),'Lease Cycles'!$AV$20&lt;=EP$6),'Lease Cycles'!$C$20*'Lease Cycles'!$AW$20/12,IF(AND('Lease Cycles'!$AT$20&gt;=INDEX('Lease Cycles'!$BG$20:$BM$20,1,EP214),'Lease Cycles'!$AT$20&lt;=EP$6),'Lease Cycles'!$C$20*'Lease Cycles'!$AU$20/12,'Lease Cycles'!$C$20*INDEX('Lease Cycles'!$CB$20:$CH$20,1,EP214)*(1+INDEX('Lease Cycles'!$CI$20:$CO$20,1,EP214))^INT(INT(EP215/12)/INDEX('Lease Cycles'!$CP$20:$CV$20,1,EP214))/12)))),'Lease Cycles'!$C$20*INDEX('Lease Cycles'!$CB$20:$CH$20,1,EP214)*(1+INDEX('Lease Cycles'!$CI$20:$CO$20,1,EP214))^INT(INT(EP215/12)/INDEX('Lease Cycles'!$CP$20:$CV$20,1,EP214))/12))),IF('Lease Cycles'!$N$20=1,'Lease Cycles'!$C$20*'Lease Cycles'!$E$20*INDEX('Lease Cycles'!$HE$20:$HK$20,1,EP214)*(1+INDEX('Lease Cycles'!$GQ$20:$GW$20,1,EP214))^INT(INT((EP$6-INDEX('Lease Cycles'!$GJ$20:$GP$20,1,EP214))/12)/INDEX('Lease Cycles'!$GX$20:$HD$20,1,EP214))/12,0)))</f>
        <v>0</v>
      </c>
      <c r="EQ217" s="28">
        <f>IF(EQ214=0,IF('Lease Cycles'!$F$20&gt;0,'Lease Cycles'!$C$20*'Lease Cycles'!$E$20/12,0),IF(EQ216=1,IF('Lease Cycles'!$AT$20&gt;=9999,'Lease Cycles'!$C$20*INDEX('Lease Cycles'!$CB$20:$CH$20,1,EQ214)*(1+INDEX('Lease Cycles'!$CI$20:$CO$20,1,EQ214))^INT(INT(EQ215/12)/INDEX('Lease Cycles'!$CP$20:$CV$20,1,EQ214))/12,IF(EQ214=1,IF(EQ215&gt;=INDEX('Lease Cycles'!$DK$20:$DQ$20,1,EQ214),IF(EQ$6&gt;='Lease Cycles'!$AZ$20,'Lease Cycles'!$C$20*'Lease Cycles'!$BA$20/12,IF(EQ$6&gt;='Lease Cycles'!$AX$20,'Lease Cycles'!$C$20*'Lease Cycles'!$AY$20/12,IF(EQ$6&gt;='Lease Cycles'!$AV$20,'Lease Cycles'!$C$20*'Lease Cycles'!$AW$20/12,IF(EQ$6&gt;='Lease Cycles'!$AT$20,'Lease Cycles'!$C$20*'Lease Cycles'!$AU$20/12,'Lease Cycles'!$C$20*INDEX('Lease Cycles'!$CB$20:$CH$20,1,EQ214)*(1+INDEX('Lease Cycles'!$CI$20:$CO$20,1,EQ214))^INT(INT(EQ215/12)/INDEX('Lease Cycles'!$CP$20:$CV$20,1,EQ214))/12)))),'Lease Cycles'!$C$20*INDEX('Lease Cycles'!$CB$20:$CH$20,1,EQ214)*(1+INDEX('Lease Cycles'!$CI$20:$CO$20,1,EQ214))^INT(INT(EQ215/12)/INDEX('Lease Cycles'!$CP$20:$CV$20,1,EQ214))/12),IF(INDEX('Lease Cycles'!$EF$20:$EL$20,1,EQ214)=1,IF(AND('Lease Cycles'!$AZ$20&gt;=INDEX('Lease Cycles'!$BG$20:$BM$20,1,EQ214),'Lease Cycles'!$AZ$20&lt;=EQ$6),'Lease Cycles'!$C$20*'Lease Cycles'!$BA$20/12,IF(AND('Lease Cycles'!$AX$20&gt;=INDEX('Lease Cycles'!$BG$20:$BM$20,1,EQ214),'Lease Cycles'!$AX$20&lt;=EQ$6),'Lease Cycles'!$C$20*'Lease Cycles'!$AY$20/12,IF(AND('Lease Cycles'!$AV$20&gt;=INDEX('Lease Cycles'!$BG$20:$BM$20,1,EQ214),'Lease Cycles'!$AV$20&lt;=EQ$6),'Lease Cycles'!$C$20*'Lease Cycles'!$AW$20/12,IF(AND('Lease Cycles'!$AT$20&gt;=INDEX('Lease Cycles'!$BG$20:$BM$20,1,EQ214),'Lease Cycles'!$AT$20&lt;=EQ$6),'Lease Cycles'!$C$20*'Lease Cycles'!$AU$20/12,'Lease Cycles'!$C$20*INDEX('Lease Cycles'!$CB$20:$CH$20,1,EQ214)*(1+INDEX('Lease Cycles'!$CI$20:$CO$20,1,EQ214))^INT(INT(EQ215/12)/INDEX('Lease Cycles'!$CP$20:$CV$20,1,EQ214))/12)))),'Lease Cycles'!$C$20*INDEX('Lease Cycles'!$CB$20:$CH$20,1,EQ214)*(1+INDEX('Lease Cycles'!$CI$20:$CO$20,1,EQ214))^INT(INT(EQ215/12)/INDEX('Lease Cycles'!$CP$20:$CV$20,1,EQ214))/12))),IF('Lease Cycles'!$N$20=1,'Lease Cycles'!$C$20*'Lease Cycles'!$E$20*INDEX('Lease Cycles'!$HE$20:$HK$20,1,EQ214)*(1+INDEX('Lease Cycles'!$GQ$20:$GW$20,1,EQ214))^INT(INT((EQ$6-INDEX('Lease Cycles'!$GJ$20:$GP$20,1,EQ214))/12)/INDEX('Lease Cycles'!$GX$20:$HD$20,1,EQ214))/12,0)))</f>
        <v>0</v>
      </c>
      <c r="ER217" s="28">
        <f>IF(ER214=0,IF('Lease Cycles'!$F$20&gt;0,'Lease Cycles'!$C$20*'Lease Cycles'!$E$20/12,0),IF(ER216=1,IF('Lease Cycles'!$AT$20&gt;=9999,'Lease Cycles'!$C$20*INDEX('Lease Cycles'!$CB$20:$CH$20,1,ER214)*(1+INDEX('Lease Cycles'!$CI$20:$CO$20,1,ER214))^INT(INT(ER215/12)/INDEX('Lease Cycles'!$CP$20:$CV$20,1,ER214))/12,IF(ER214=1,IF(ER215&gt;=INDEX('Lease Cycles'!$DK$20:$DQ$20,1,ER214),IF(ER$6&gt;='Lease Cycles'!$AZ$20,'Lease Cycles'!$C$20*'Lease Cycles'!$BA$20/12,IF(ER$6&gt;='Lease Cycles'!$AX$20,'Lease Cycles'!$C$20*'Lease Cycles'!$AY$20/12,IF(ER$6&gt;='Lease Cycles'!$AV$20,'Lease Cycles'!$C$20*'Lease Cycles'!$AW$20/12,IF(ER$6&gt;='Lease Cycles'!$AT$20,'Lease Cycles'!$C$20*'Lease Cycles'!$AU$20/12,'Lease Cycles'!$C$20*INDEX('Lease Cycles'!$CB$20:$CH$20,1,ER214)*(1+INDEX('Lease Cycles'!$CI$20:$CO$20,1,ER214))^INT(INT(ER215/12)/INDEX('Lease Cycles'!$CP$20:$CV$20,1,ER214))/12)))),'Lease Cycles'!$C$20*INDEX('Lease Cycles'!$CB$20:$CH$20,1,ER214)*(1+INDEX('Lease Cycles'!$CI$20:$CO$20,1,ER214))^INT(INT(ER215/12)/INDEX('Lease Cycles'!$CP$20:$CV$20,1,ER214))/12),IF(INDEX('Lease Cycles'!$EF$20:$EL$20,1,ER214)=1,IF(AND('Lease Cycles'!$AZ$20&gt;=INDEX('Lease Cycles'!$BG$20:$BM$20,1,ER214),'Lease Cycles'!$AZ$20&lt;=ER$6),'Lease Cycles'!$C$20*'Lease Cycles'!$BA$20/12,IF(AND('Lease Cycles'!$AX$20&gt;=INDEX('Lease Cycles'!$BG$20:$BM$20,1,ER214),'Lease Cycles'!$AX$20&lt;=ER$6),'Lease Cycles'!$C$20*'Lease Cycles'!$AY$20/12,IF(AND('Lease Cycles'!$AV$20&gt;=INDEX('Lease Cycles'!$BG$20:$BM$20,1,ER214),'Lease Cycles'!$AV$20&lt;=ER$6),'Lease Cycles'!$C$20*'Lease Cycles'!$AW$20/12,IF(AND('Lease Cycles'!$AT$20&gt;=INDEX('Lease Cycles'!$BG$20:$BM$20,1,ER214),'Lease Cycles'!$AT$20&lt;=ER$6),'Lease Cycles'!$C$20*'Lease Cycles'!$AU$20/12,'Lease Cycles'!$C$20*INDEX('Lease Cycles'!$CB$20:$CH$20,1,ER214)*(1+INDEX('Lease Cycles'!$CI$20:$CO$20,1,ER214))^INT(INT(ER215/12)/INDEX('Lease Cycles'!$CP$20:$CV$20,1,ER214))/12)))),'Lease Cycles'!$C$20*INDEX('Lease Cycles'!$CB$20:$CH$20,1,ER214)*(1+INDEX('Lease Cycles'!$CI$20:$CO$20,1,ER214))^INT(INT(ER215/12)/INDEX('Lease Cycles'!$CP$20:$CV$20,1,ER214))/12))),IF('Lease Cycles'!$N$20=1,'Lease Cycles'!$C$20*'Lease Cycles'!$E$20*INDEX('Lease Cycles'!$HE$20:$HK$20,1,ER214)*(1+INDEX('Lease Cycles'!$GQ$20:$GW$20,1,ER214))^INT(INT((ER$6-INDEX('Lease Cycles'!$GJ$20:$GP$20,1,ER214))/12)/INDEX('Lease Cycles'!$GX$20:$HD$20,1,ER214))/12,0)))</f>
        <v>0</v>
      </c>
      <c r="ES217" s="28">
        <f>IF(ES214=0,IF('Lease Cycles'!$F$20&gt;0,'Lease Cycles'!$C$20*'Lease Cycles'!$E$20/12,0),IF(ES216=1,IF('Lease Cycles'!$AT$20&gt;=9999,'Lease Cycles'!$C$20*INDEX('Lease Cycles'!$CB$20:$CH$20,1,ES214)*(1+INDEX('Lease Cycles'!$CI$20:$CO$20,1,ES214))^INT(INT(ES215/12)/INDEX('Lease Cycles'!$CP$20:$CV$20,1,ES214))/12,IF(ES214=1,IF(ES215&gt;=INDEX('Lease Cycles'!$DK$20:$DQ$20,1,ES214),IF(ES$6&gt;='Lease Cycles'!$AZ$20,'Lease Cycles'!$C$20*'Lease Cycles'!$BA$20/12,IF(ES$6&gt;='Lease Cycles'!$AX$20,'Lease Cycles'!$C$20*'Lease Cycles'!$AY$20/12,IF(ES$6&gt;='Lease Cycles'!$AV$20,'Lease Cycles'!$C$20*'Lease Cycles'!$AW$20/12,IF(ES$6&gt;='Lease Cycles'!$AT$20,'Lease Cycles'!$C$20*'Lease Cycles'!$AU$20/12,'Lease Cycles'!$C$20*INDEX('Lease Cycles'!$CB$20:$CH$20,1,ES214)*(1+INDEX('Lease Cycles'!$CI$20:$CO$20,1,ES214))^INT(INT(ES215/12)/INDEX('Lease Cycles'!$CP$20:$CV$20,1,ES214))/12)))),'Lease Cycles'!$C$20*INDEX('Lease Cycles'!$CB$20:$CH$20,1,ES214)*(1+INDEX('Lease Cycles'!$CI$20:$CO$20,1,ES214))^INT(INT(ES215/12)/INDEX('Lease Cycles'!$CP$20:$CV$20,1,ES214))/12),IF(INDEX('Lease Cycles'!$EF$20:$EL$20,1,ES214)=1,IF(AND('Lease Cycles'!$AZ$20&gt;=INDEX('Lease Cycles'!$BG$20:$BM$20,1,ES214),'Lease Cycles'!$AZ$20&lt;=ES$6),'Lease Cycles'!$C$20*'Lease Cycles'!$BA$20/12,IF(AND('Lease Cycles'!$AX$20&gt;=INDEX('Lease Cycles'!$BG$20:$BM$20,1,ES214),'Lease Cycles'!$AX$20&lt;=ES$6),'Lease Cycles'!$C$20*'Lease Cycles'!$AY$20/12,IF(AND('Lease Cycles'!$AV$20&gt;=INDEX('Lease Cycles'!$BG$20:$BM$20,1,ES214),'Lease Cycles'!$AV$20&lt;=ES$6),'Lease Cycles'!$C$20*'Lease Cycles'!$AW$20/12,IF(AND('Lease Cycles'!$AT$20&gt;=INDEX('Lease Cycles'!$BG$20:$BM$20,1,ES214),'Lease Cycles'!$AT$20&lt;=ES$6),'Lease Cycles'!$C$20*'Lease Cycles'!$AU$20/12,'Lease Cycles'!$C$20*INDEX('Lease Cycles'!$CB$20:$CH$20,1,ES214)*(1+INDEX('Lease Cycles'!$CI$20:$CO$20,1,ES214))^INT(INT(ES215/12)/INDEX('Lease Cycles'!$CP$20:$CV$20,1,ES214))/12)))),'Lease Cycles'!$C$20*INDEX('Lease Cycles'!$CB$20:$CH$20,1,ES214)*(1+INDEX('Lease Cycles'!$CI$20:$CO$20,1,ES214))^INT(INT(ES215/12)/INDEX('Lease Cycles'!$CP$20:$CV$20,1,ES214))/12))),IF('Lease Cycles'!$N$20=1,'Lease Cycles'!$C$20*'Lease Cycles'!$E$20*INDEX('Lease Cycles'!$HE$20:$HK$20,1,ES214)*(1+INDEX('Lease Cycles'!$GQ$20:$GW$20,1,ES214))^INT(INT((ES$6-INDEX('Lease Cycles'!$GJ$20:$GP$20,1,ES214))/12)/INDEX('Lease Cycles'!$GX$20:$HD$20,1,ES214))/12,0)))</f>
        <v>0</v>
      </c>
      <c r="ET217" s="28">
        <f>IF(ET214=0,IF('Lease Cycles'!$F$20&gt;0,'Lease Cycles'!$C$20*'Lease Cycles'!$E$20/12,0),IF(ET216=1,IF('Lease Cycles'!$AT$20&gt;=9999,'Lease Cycles'!$C$20*INDEX('Lease Cycles'!$CB$20:$CH$20,1,ET214)*(1+INDEX('Lease Cycles'!$CI$20:$CO$20,1,ET214))^INT(INT(ET215/12)/INDEX('Lease Cycles'!$CP$20:$CV$20,1,ET214))/12,IF(ET214=1,IF(ET215&gt;=INDEX('Lease Cycles'!$DK$20:$DQ$20,1,ET214),IF(ET$6&gt;='Lease Cycles'!$AZ$20,'Lease Cycles'!$C$20*'Lease Cycles'!$BA$20/12,IF(ET$6&gt;='Lease Cycles'!$AX$20,'Lease Cycles'!$C$20*'Lease Cycles'!$AY$20/12,IF(ET$6&gt;='Lease Cycles'!$AV$20,'Lease Cycles'!$C$20*'Lease Cycles'!$AW$20/12,IF(ET$6&gt;='Lease Cycles'!$AT$20,'Lease Cycles'!$C$20*'Lease Cycles'!$AU$20/12,'Lease Cycles'!$C$20*INDEX('Lease Cycles'!$CB$20:$CH$20,1,ET214)*(1+INDEX('Lease Cycles'!$CI$20:$CO$20,1,ET214))^INT(INT(ET215/12)/INDEX('Lease Cycles'!$CP$20:$CV$20,1,ET214))/12)))),'Lease Cycles'!$C$20*INDEX('Lease Cycles'!$CB$20:$CH$20,1,ET214)*(1+INDEX('Lease Cycles'!$CI$20:$CO$20,1,ET214))^INT(INT(ET215/12)/INDEX('Lease Cycles'!$CP$20:$CV$20,1,ET214))/12),IF(INDEX('Lease Cycles'!$EF$20:$EL$20,1,ET214)=1,IF(AND('Lease Cycles'!$AZ$20&gt;=INDEX('Lease Cycles'!$BG$20:$BM$20,1,ET214),'Lease Cycles'!$AZ$20&lt;=ET$6),'Lease Cycles'!$C$20*'Lease Cycles'!$BA$20/12,IF(AND('Lease Cycles'!$AX$20&gt;=INDEX('Lease Cycles'!$BG$20:$BM$20,1,ET214),'Lease Cycles'!$AX$20&lt;=ET$6),'Lease Cycles'!$C$20*'Lease Cycles'!$AY$20/12,IF(AND('Lease Cycles'!$AV$20&gt;=INDEX('Lease Cycles'!$BG$20:$BM$20,1,ET214),'Lease Cycles'!$AV$20&lt;=ET$6),'Lease Cycles'!$C$20*'Lease Cycles'!$AW$20/12,IF(AND('Lease Cycles'!$AT$20&gt;=INDEX('Lease Cycles'!$BG$20:$BM$20,1,ET214),'Lease Cycles'!$AT$20&lt;=ET$6),'Lease Cycles'!$C$20*'Lease Cycles'!$AU$20/12,'Lease Cycles'!$C$20*INDEX('Lease Cycles'!$CB$20:$CH$20,1,ET214)*(1+INDEX('Lease Cycles'!$CI$20:$CO$20,1,ET214))^INT(INT(ET215/12)/INDEX('Lease Cycles'!$CP$20:$CV$20,1,ET214))/12)))),'Lease Cycles'!$C$20*INDEX('Lease Cycles'!$CB$20:$CH$20,1,ET214)*(1+INDEX('Lease Cycles'!$CI$20:$CO$20,1,ET214))^INT(INT(ET215/12)/INDEX('Lease Cycles'!$CP$20:$CV$20,1,ET214))/12))),IF('Lease Cycles'!$N$20=1,'Lease Cycles'!$C$20*'Lease Cycles'!$E$20*INDEX('Lease Cycles'!$HE$20:$HK$20,1,ET214)*(1+INDEX('Lease Cycles'!$GQ$20:$GW$20,1,ET214))^INT(INT((ET$6-INDEX('Lease Cycles'!$GJ$20:$GP$20,1,ET214))/12)/INDEX('Lease Cycles'!$GX$20:$HD$20,1,ET214))/12,0)))</f>
        <v>0</v>
      </c>
    </row>
    <row r="218">
      <c r="A218" s="103">
        <v>13</v>
      </c>
      <c r="B218" s="23" t="str">
        <f>IF('Lease Cycles'!$B$20="","(empty slot)",'Lease Cycles'!$B$20)</f>
        <v>(empty slot)</v>
      </c>
      <c r="C218" s="23" t="s">
        <v>679</v>
      </c>
      <c r="D218" s="104" t="s">
        <v>680</v>
      </c>
      <c r="E218" s="25">
        <f>'Lease Cycles'!$AL$20</f>
        <v>0</v>
      </c>
      <c r="S218" s="28">
        <f>IF(S216=1,IF(INDEX('Lease Cycles'!$EF$20:$EL$20,1,S214)=1,'Lease Cycles'!$C$20*INDEX('Lease Cycles'!$ET$20:$EZ$20,1,S214)*(1+'Lease Cycles'!$V$20)^INT(INT(S215/12)/'Lease Cycles'!$W$20)/12,0),0)</f>
        <v>0</v>
      </c>
      <c r="T218" s="28">
        <f>IF(T216=1,IF(INDEX('Lease Cycles'!$EF$20:$EL$20,1,T214)=1,'Lease Cycles'!$C$20*INDEX('Lease Cycles'!$ET$20:$EZ$20,1,T214)*(1+'Lease Cycles'!$V$20)^INT(INT(T215/12)/'Lease Cycles'!$W$20)/12,0),0)</f>
        <v>0</v>
      </c>
      <c r="U218" s="28">
        <f>IF(U216=1,IF(INDEX('Lease Cycles'!$EF$20:$EL$20,1,U214)=1,'Lease Cycles'!$C$20*INDEX('Lease Cycles'!$ET$20:$EZ$20,1,U214)*(1+'Lease Cycles'!$V$20)^INT(INT(U215/12)/'Lease Cycles'!$W$20)/12,0),0)</f>
        <v>0</v>
      </c>
      <c r="V218" s="28">
        <f>IF(V216=1,IF(INDEX('Lease Cycles'!$EF$20:$EL$20,1,V214)=1,'Lease Cycles'!$C$20*INDEX('Lease Cycles'!$ET$20:$EZ$20,1,V214)*(1+'Lease Cycles'!$V$20)^INT(INT(V215/12)/'Lease Cycles'!$W$20)/12,0),0)</f>
        <v>0</v>
      </c>
      <c r="W218" s="28">
        <f>IF(W216=1,IF(INDEX('Lease Cycles'!$EF$20:$EL$20,1,W214)=1,'Lease Cycles'!$C$20*INDEX('Lease Cycles'!$ET$20:$EZ$20,1,W214)*(1+'Lease Cycles'!$V$20)^INT(INT(W215/12)/'Lease Cycles'!$W$20)/12,0),0)</f>
        <v>0</v>
      </c>
      <c r="X218" s="28">
        <f>IF(X216=1,IF(INDEX('Lease Cycles'!$EF$20:$EL$20,1,X214)=1,'Lease Cycles'!$C$20*INDEX('Lease Cycles'!$ET$20:$EZ$20,1,X214)*(1+'Lease Cycles'!$V$20)^INT(INT(X215/12)/'Lease Cycles'!$W$20)/12,0),0)</f>
        <v>0</v>
      </c>
      <c r="Y218" s="28">
        <f>IF(Y216=1,IF(INDEX('Lease Cycles'!$EF$20:$EL$20,1,Y214)=1,'Lease Cycles'!$C$20*INDEX('Lease Cycles'!$ET$20:$EZ$20,1,Y214)*(1+'Lease Cycles'!$V$20)^INT(INT(Y215/12)/'Lease Cycles'!$W$20)/12,0),0)</f>
        <v>0</v>
      </c>
      <c r="Z218" s="28">
        <f>IF(Z216=1,IF(INDEX('Lease Cycles'!$EF$20:$EL$20,1,Z214)=1,'Lease Cycles'!$C$20*INDEX('Lease Cycles'!$ET$20:$EZ$20,1,Z214)*(1+'Lease Cycles'!$V$20)^INT(INT(Z215/12)/'Lease Cycles'!$W$20)/12,0),0)</f>
        <v>0</v>
      </c>
      <c r="AA218" s="28">
        <f>IF(AA216=1,IF(INDEX('Lease Cycles'!$EF$20:$EL$20,1,AA214)=1,'Lease Cycles'!$C$20*INDEX('Lease Cycles'!$ET$20:$EZ$20,1,AA214)*(1+'Lease Cycles'!$V$20)^INT(INT(AA215/12)/'Lease Cycles'!$W$20)/12,0),0)</f>
        <v>0</v>
      </c>
      <c r="AB218" s="28">
        <f>IF(AB216=1,IF(INDEX('Lease Cycles'!$EF$20:$EL$20,1,AB214)=1,'Lease Cycles'!$C$20*INDEX('Lease Cycles'!$ET$20:$EZ$20,1,AB214)*(1+'Lease Cycles'!$V$20)^INT(INT(AB215/12)/'Lease Cycles'!$W$20)/12,0),0)</f>
        <v>0</v>
      </c>
      <c r="AC218" s="28">
        <f>IF(AC216=1,IF(INDEX('Lease Cycles'!$EF$20:$EL$20,1,AC214)=1,'Lease Cycles'!$C$20*INDEX('Lease Cycles'!$ET$20:$EZ$20,1,AC214)*(1+'Lease Cycles'!$V$20)^INT(INT(AC215/12)/'Lease Cycles'!$W$20)/12,0),0)</f>
        <v>0</v>
      </c>
      <c r="AD218" s="28">
        <f>IF(AD216=1,IF(INDEX('Lease Cycles'!$EF$20:$EL$20,1,AD214)=1,'Lease Cycles'!$C$20*INDEX('Lease Cycles'!$ET$20:$EZ$20,1,AD214)*(1+'Lease Cycles'!$V$20)^INT(INT(AD215/12)/'Lease Cycles'!$W$20)/12,0),0)</f>
        <v>0</v>
      </c>
      <c r="AE218" s="28">
        <f>IF(AE216=1,IF(INDEX('Lease Cycles'!$EF$20:$EL$20,1,AE214)=1,'Lease Cycles'!$C$20*INDEX('Lease Cycles'!$ET$20:$EZ$20,1,AE214)*(1+'Lease Cycles'!$V$20)^INT(INT(AE215/12)/'Lease Cycles'!$W$20)/12,0),0)</f>
        <v>0</v>
      </c>
      <c r="AF218" s="28">
        <f>IF(AF216=1,IF(INDEX('Lease Cycles'!$EF$20:$EL$20,1,AF214)=1,'Lease Cycles'!$C$20*INDEX('Lease Cycles'!$ET$20:$EZ$20,1,AF214)*(1+'Lease Cycles'!$V$20)^INT(INT(AF215/12)/'Lease Cycles'!$W$20)/12,0),0)</f>
        <v>0</v>
      </c>
      <c r="AG218" s="28">
        <f>IF(AG216=1,IF(INDEX('Lease Cycles'!$EF$20:$EL$20,1,AG214)=1,'Lease Cycles'!$C$20*INDEX('Lease Cycles'!$ET$20:$EZ$20,1,AG214)*(1+'Lease Cycles'!$V$20)^INT(INT(AG215/12)/'Lease Cycles'!$W$20)/12,0),0)</f>
        <v>0</v>
      </c>
      <c r="AH218" s="28">
        <f>IF(AH216=1,IF(INDEX('Lease Cycles'!$EF$20:$EL$20,1,AH214)=1,'Lease Cycles'!$C$20*INDEX('Lease Cycles'!$ET$20:$EZ$20,1,AH214)*(1+'Lease Cycles'!$V$20)^INT(INT(AH215/12)/'Lease Cycles'!$W$20)/12,0),0)</f>
        <v>0</v>
      </c>
      <c r="AI218" s="28">
        <f>IF(AI216=1,IF(INDEX('Lease Cycles'!$EF$20:$EL$20,1,AI214)=1,'Lease Cycles'!$C$20*INDEX('Lease Cycles'!$ET$20:$EZ$20,1,AI214)*(1+'Lease Cycles'!$V$20)^INT(INT(AI215/12)/'Lease Cycles'!$W$20)/12,0),0)</f>
        <v>0</v>
      </c>
      <c r="AJ218" s="28">
        <f>IF(AJ216=1,IF(INDEX('Lease Cycles'!$EF$20:$EL$20,1,AJ214)=1,'Lease Cycles'!$C$20*INDEX('Lease Cycles'!$ET$20:$EZ$20,1,AJ214)*(1+'Lease Cycles'!$V$20)^INT(INT(AJ215/12)/'Lease Cycles'!$W$20)/12,0),0)</f>
        <v>0</v>
      </c>
      <c r="AK218" s="28">
        <f>IF(AK216=1,IF(INDEX('Lease Cycles'!$EF$20:$EL$20,1,AK214)=1,'Lease Cycles'!$C$20*INDEX('Lease Cycles'!$ET$20:$EZ$20,1,AK214)*(1+'Lease Cycles'!$V$20)^INT(INT(AK215/12)/'Lease Cycles'!$W$20)/12,0),0)</f>
        <v>0</v>
      </c>
      <c r="AL218" s="28">
        <f>IF(AL216=1,IF(INDEX('Lease Cycles'!$EF$20:$EL$20,1,AL214)=1,'Lease Cycles'!$C$20*INDEX('Lease Cycles'!$ET$20:$EZ$20,1,AL214)*(1+'Lease Cycles'!$V$20)^INT(INT(AL215/12)/'Lease Cycles'!$W$20)/12,0),0)</f>
        <v>0</v>
      </c>
      <c r="AM218" s="28">
        <f>IF(AM216=1,IF(INDEX('Lease Cycles'!$EF$20:$EL$20,1,AM214)=1,'Lease Cycles'!$C$20*INDEX('Lease Cycles'!$ET$20:$EZ$20,1,AM214)*(1+'Lease Cycles'!$V$20)^INT(INT(AM215/12)/'Lease Cycles'!$W$20)/12,0),0)</f>
        <v>0</v>
      </c>
      <c r="AN218" s="28">
        <f>IF(AN216=1,IF(INDEX('Lease Cycles'!$EF$20:$EL$20,1,AN214)=1,'Lease Cycles'!$C$20*INDEX('Lease Cycles'!$ET$20:$EZ$20,1,AN214)*(1+'Lease Cycles'!$V$20)^INT(INT(AN215/12)/'Lease Cycles'!$W$20)/12,0),0)</f>
        <v>0</v>
      </c>
      <c r="AO218" s="28">
        <f>IF(AO216=1,IF(INDEX('Lease Cycles'!$EF$20:$EL$20,1,AO214)=1,'Lease Cycles'!$C$20*INDEX('Lease Cycles'!$ET$20:$EZ$20,1,AO214)*(1+'Lease Cycles'!$V$20)^INT(INT(AO215/12)/'Lease Cycles'!$W$20)/12,0),0)</f>
        <v>0</v>
      </c>
      <c r="AP218" s="28">
        <f>IF(AP216=1,IF(INDEX('Lease Cycles'!$EF$20:$EL$20,1,AP214)=1,'Lease Cycles'!$C$20*INDEX('Lease Cycles'!$ET$20:$EZ$20,1,AP214)*(1+'Lease Cycles'!$V$20)^INT(INT(AP215/12)/'Lease Cycles'!$W$20)/12,0),0)</f>
        <v>0</v>
      </c>
      <c r="AQ218" s="28">
        <f>IF(AQ216=1,IF(INDEX('Lease Cycles'!$EF$20:$EL$20,1,AQ214)=1,'Lease Cycles'!$C$20*INDEX('Lease Cycles'!$ET$20:$EZ$20,1,AQ214)*(1+'Lease Cycles'!$V$20)^INT(INT(AQ215/12)/'Lease Cycles'!$W$20)/12,0),0)</f>
        <v>0</v>
      </c>
      <c r="AR218" s="28">
        <f>IF(AR216=1,IF(INDEX('Lease Cycles'!$EF$20:$EL$20,1,AR214)=1,'Lease Cycles'!$C$20*INDEX('Lease Cycles'!$ET$20:$EZ$20,1,AR214)*(1+'Lease Cycles'!$V$20)^INT(INT(AR215/12)/'Lease Cycles'!$W$20)/12,0),0)</f>
        <v>0</v>
      </c>
      <c r="AS218" s="28">
        <f>IF(AS216=1,IF(INDEX('Lease Cycles'!$EF$20:$EL$20,1,AS214)=1,'Lease Cycles'!$C$20*INDEX('Lease Cycles'!$ET$20:$EZ$20,1,AS214)*(1+'Lease Cycles'!$V$20)^INT(INT(AS215/12)/'Lease Cycles'!$W$20)/12,0),0)</f>
        <v>0</v>
      </c>
      <c r="AT218" s="28">
        <f>IF(AT216=1,IF(INDEX('Lease Cycles'!$EF$20:$EL$20,1,AT214)=1,'Lease Cycles'!$C$20*INDEX('Lease Cycles'!$ET$20:$EZ$20,1,AT214)*(1+'Lease Cycles'!$V$20)^INT(INT(AT215/12)/'Lease Cycles'!$W$20)/12,0),0)</f>
        <v>0</v>
      </c>
      <c r="AU218" s="28">
        <f>IF(AU216=1,IF(INDEX('Lease Cycles'!$EF$20:$EL$20,1,AU214)=1,'Lease Cycles'!$C$20*INDEX('Lease Cycles'!$ET$20:$EZ$20,1,AU214)*(1+'Lease Cycles'!$V$20)^INT(INT(AU215/12)/'Lease Cycles'!$W$20)/12,0),0)</f>
        <v>0</v>
      </c>
      <c r="AV218" s="28">
        <f>IF(AV216=1,IF(INDEX('Lease Cycles'!$EF$20:$EL$20,1,AV214)=1,'Lease Cycles'!$C$20*INDEX('Lease Cycles'!$ET$20:$EZ$20,1,AV214)*(1+'Lease Cycles'!$V$20)^INT(INT(AV215/12)/'Lease Cycles'!$W$20)/12,0),0)</f>
        <v>0</v>
      </c>
      <c r="AW218" s="28">
        <f>IF(AW216=1,IF(INDEX('Lease Cycles'!$EF$20:$EL$20,1,AW214)=1,'Lease Cycles'!$C$20*INDEX('Lease Cycles'!$ET$20:$EZ$20,1,AW214)*(1+'Lease Cycles'!$V$20)^INT(INT(AW215/12)/'Lease Cycles'!$W$20)/12,0),0)</f>
        <v>0</v>
      </c>
      <c r="AX218" s="28">
        <f>IF(AX216=1,IF(INDEX('Lease Cycles'!$EF$20:$EL$20,1,AX214)=1,'Lease Cycles'!$C$20*INDEX('Lease Cycles'!$ET$20:$EZ$20,1,AX214)*(1+'Lease Cycles'!$V$20)^INT(INT(AX215/12)/'Lease Cycles'!$W$20)/12,0),0)</f>
        <v>0</v>
      </c>
      <c r="AY218" s="28">
        <f>IF(AY216=1,IF(INDEX('Lease Cycles'!$EF$20:$EL$20,1,AY214)=1,'Lease Cycles'!$C$20*INDEX('Lease Cycles'!$ET$20:$EZ$20,1,AY214)*(1+'Lease Cycles'!$V$20)^INT(INT(AY215/12)/'Lease Cycles'!$W$20)/12,0),0)</f>
        <v>0</v>
      </c>
      <c r="AZ218" s="28">
        <f>IF(AZ216=1,IF(INDEX('Lease Cycles'!$EF$20:$EL$20,1,AZ214)=1,'Lease Cycles'!$C$20*INDEX('Lease Cycles'!$ET$20:$EZ$20,1,AZ214)*(1+'Lease Cycles'!$V$20)^INT(INT(AZ215/12)/'Lease Cycles'!$W$20)/12,0),0)</f>
        <v>0</v>
      </c>
      <c r="BA218" s="28">
        <f>IF(BA216=1,IF(INDEX('Lease Cycles'!$EF$20:$EL$20,1,BA214)=1,'Lease Cycles'!$C$20*INDEX('Lease Cycles'!$ET$20:$EZ$20,1,BA214)*(1+'Lease Cycles'!$V$20)^INT(INT(BA215/12)/'Lease Cycles'!$W$20)/12,0),0)</f>
        <v>0</v>
      </c>
      <c r="BB218" s="28">
        <f>IF(BB216=1,IF(INDEX('Lease Cycles'!$EF$20:$EL$20,1,BB214)=1,'Lease Cycles'!$C$20*INDEX('Lease Cycles'!$ET$20:$EZ$20,1,BB214)*(1+'Lease Cycles'!$V$20)^INT(INT(BB215/12)/'Lease Cycles'!$W$20)/12,0),0)</f>
        <v>0</v>
      </c>
      <c r="BC218" s="28">
        <f>IF(BC216=1,IF(INDEX('Lease Cycles'!$EF$20:$EL$20,1,BC214)=1,'Lease Cycles'!$C$20*INDEX('Lease Cycles'!$ET$20:$EZ$20,1,BC214)*(1+'Lease Cycles'!$V$20)^INT(INT(BC215/12)/'Lease Cycles'!$W$20)/12,0),0)</f>
        <v>0</v>
      </c>
      <c r="BD218" s="28">
        <f>IF(BD216=1,IF(INDEX('Lease Cycles'!$EF$20:$EL$20,1,BD214)=1,'Lease Cycles'!$C$20*INDEX('Lease Cycles'!$ET$20:$EZ$20,1,BD214)*(1+'Lease Cycles'!$V$20)^INT(INT(BD215/12)/'Lease Cycles'!$W$20)/12,0),0)</f>
        <v>0</v>
      </c>
      <c r="BE218" s="28">
        <f>IF(BE216=1,IF(INDEX('Lease Cycles'!$EF$20:$EL$20,1,BE214)=1,'Lease Cycles'!$C$20*INDEX('Lease Cycles'!$ET$20:$EZ$20,1,BE214)*(1+'Lease Cycles'!$V$20)^INT(INT(BE215/12)/'Lease Cycles'!$W$20)/12,0),0)</f>
        <v>0</v>
      </c>
      <c r="BF218" s="28">
        <f>IF(BF216=1,IF(INDEX('Lease Cycles'!$EF$20:$EL$20,1,BF214)=1,'Lease Cycles'!$C$20*INDEX('Lease Cycles'!$ET$20:$EZ$20,1,BF214)*(1+'Lease Cycles'!$V$20)^INT(INT(BF215/12)/'Lease Cycles'!$W$20)/12,0),0)</f>
        <v>0</v>
      </c>
      <c r="BG218" s="28">
        <f>IF(BG216=1,IF(INDEX('Lease Cycles'!$EF$20:$EL$20,1,BG214)=1,'Lease Cycles'!$C$20*INDEX('Lease Cycles'!$ET$20:$EZ$20,1,BG214)*(1+'Lease Cycles'!$V$20)^INT(INT(BG215/12)/'Lease Cycles'!$W$20)/12,0),0)</f>
        <v>0</v>
      </c>
      <c r="BH218" s="28">
        <f>IF(BH216=1,IF(INDEX('Lease Cycles'!$EF$20:$EL$20,1,BH214)=1,'Lease Cycles'!$C$20*INDEX('Lease Cycles'!$ET$20:$EZ$20,1,BH214)*(1+'Lease Cycles'!$V$20)^INT(INT(BH215/12)/'Lease Cycles'!$W$20)/12,0),0)</f>
        <v>0</v>
      </c>
      <c r="BI218" s="28">
        <f>IF(BI216=1,IF(INDEX('Lease Cycles'!$EF$20:$EL$20,1,BI214)=1,'Lease Cycles'!$C$20*INDEX('Lease Cycles'!$ET$20:$EZ$20,1,BI214)*(1+'Lease Cycles'!$V$20)^INT(INT(BI215/12)/'Lease Cycles'!$W$20)/12,0),0)</f>
        <v>0</v>
      </c>
      <c r="BJ218" s="28">
        <f>IF(BJ216=1,IF(INDEX('Lease Cycles'!$EF$20:$EL$20,1,BJ214)=1,'Lease Cycles'!$C$20*INDEX('Lease Cycles'!$ET$20:$EZ$20,1,BJ214)*(1+'Lease Cycles'!$V$20)^INT(INT(BJ215/12)/'Lease Cycles'!$W$20)/12,0),0)</f>
        <v>0</v>
      </c>
      <c r="BK218" s="28">
        <f>IF(BK216=1,IF(INDEX('Lease Cycles'!$EF$20:$EL$20,1,BK214)=1,'Lease Cycles'!$C$20*INDEX('Lease Cycles'!$ET$20:$EZ$20,1,BK214)*(1+'Lease Cycles'!$V$20)^INT(INT(BK215/12)/'Lease Cycles'!$W$20)/12,0),0)</f>
        <v>0</v>
      </c>
      <c r="BL218" s="28">
        <f>IF(BL216=1,IF(INDEX('Lease Cycles'!$EF$20:$EL$20,1,BL214)=1,'Lease Cycles'!$C$20*INDEX('Lease Cycles'!$ET$20:$EZ$20,1,BL214)*(1+'Lease Cycles'!$V$20)^INT(INT(BL215/12)/'Lease Cycles'!$W$20)/12,0),0)</f>
        <v>0</v>
      </c>
      <c r="BM218" s="28">
        <f>IF(BM216=1,IF(INDEX('Lease Cycles'!$EF$20:$EL$20,1,BM214)=1,'Lease Cycles'!$C$20*INDEX('Lease Cycles'!$ET$20:$EZ$20,1,BM214)*(1+'Lease Cycles'!$V$20)^INT(INT(BM215/12)/'Lease Cycles'!$W$20)/12,0),0)</f>
        <v>0</v>
      </c>
      <c r="BN218" s="28">
        <f>IF(BN216=1,IF(INDEX('Lease Cycles'!$EF$20:$EL$20,1,BN214)=1,'Lease Cycles'!$C$20*INDEX('Lease Cycles'!$ET$20:$EZ$20,1,BN214)*(1+'Lease Cycles'!$V$20)^INT(INT(BN215/12)/'Lease Cycles'!$W$20)/12,0),0)</f>
        <v>0</v>
      </c>
      <c r="BO218" s="28">
        <f>IF(BO216=1,IF(INDEX('Lease Cycles'!$EF$20:$EL$20,1,BO214)=1,'Lease Cycles'!$C$20*INDEX('Lease Cycles'!$ET$20:$EZ$20,1,BO214)*(1+'Lease Cycles'!$V$20)^INT(INT(BO215/12)/'Lease Cycles'!$W$20)/12,0),0)</f>
        <v>0</v>
      </c>
      <c r="BP218" s="28">
        <f>IF(BP216=1,IF(INDEX('Lease Cycles'!$EF$20:$EL$20,1,BP214)=1,'Lease Cycles'!$C$20*INDEX('Lease Cycles'!$ET$20:$EZ$20,1,BP214)*(1+'Lease Cycles'!$V$20)^INT(INT(BP215/12)/'Lease Cycles'!$W$20)/12,0),0)</f>
        <v>0</v>
      </c>
      <c r="BQ218" s="28">
        <f>IF(BQ216=1,IF(INDEX('Lease Cycles'!$EF$20:$EL$20,1,BQ214)=1,'Lease Cycles'!$C$20*INDEX('Lease Cycles'!$ET$20:$EZ$20,1,BQ214)*(1+'Lease Cycles'!$V$20)^INT(INT(BQ215/12)/'Lease Cycles'!$W$20)/12,0),0)</f>
        <v>0</v>
      </c>
      <c r="BR218" s="28">
        <f>IF(BR216=1,IF(INDEX('Lease Cycles'!$EF$20:$EL$20,1,BR214)=1,'Lease Cycles'!$C$20*INDEX('Lease Cycles'!$ET$20:$EZ$20,1,BR214)*(1+'Lease Cycles'!$V$20)^INT(INT(BR215/12)/'Lease Cycles'!$W$20)/12,0),0)</f>
        <v>0</v>
      </c>
      <c r="BS218" s="28">
        <f>IF(BS216=1,IF(INDEX('Lease Cycles'!$EF$20:$EL$20,1,BS214)=1,'Lease Cycles'!$C$20*INDEX('Lease Cycles'!$ET$20:$EZ$20,1,BS214)*(1+'Lease Cycles'!$V$20)^INT(INT(BS215/12)/'Lease Cycles'!$W$20)/12,0),0)</f>
        <v>0</v>
      </c>
      <c r="BT218" s="28">
        <f>IF(BT216=1,IF(INDEX('Lease Cycles'!$EF$20:$EL$20,1,BT214)=1,'Lease Cycles'!$C$20*INDEX('Lease Cycles'!$ET$20:$EZ$20,1,BT214)*(1+'Lease Cycles'!$V$20)^INT(INT(BT215/12)/'Lease Cycles'!$W$20)/12,0),0)</f>
        <v>0</v>
      </c>
      <c r="BU218" s="28">
        <f>IF(BU216=1,IF(INDEX('Lease Cycles'!$EF$20:$EL$20,1,BU214)=1,'Lease Cycles'!$C$20*INDEX('Lease Cycles'!$ET$20:$EZ$20,1,BU214)*(1+'Lease Cycles'!$V$20)^INT(INT(BU215/12)/'Lease Cycles'!$W$20)/12,0),0)</f>
        <v>0</v>
      </c>
      <c r="BV218" s="28">
        <f>IF(BV216=1,IF(INDEX('Lease Cycles'!$EF$20:$EL$20,1,BV214)=1,'Lease Cycles'!$C$20*INDEX('Lease Cycles'!$ET$20:$EZ$20,1,BV214)*(1+'Lease Cycles'!$V$20)^INT(INT(BV215/12)/'Lease Cycles'!$W$20)/12,0),0)</f>
        <v>0</v>
      </c>
      <c r="BW218" s="28">
        <f>IF(BW216=1,IF(INDEX('Lease Cycles'!$EF$20:$EL$20,1,BW214)=1,'Lease Cycles'!$C$20*INDEX('Lease Cycles'!$ET$20:$EZ$20,1,BW214)*(1+'Lease Cycles'!$V$20)^INT(INT(BW215/12)/'Lease Cycles'!$W$20)/12,0),0)</f>
        <v>0</v>
      </c>
      <c r="BX218" s="28">
        <f>IF(BX216=1,IF(INDEX('Lease Cycles'!$EF$20:$EL$20,1,BX214)=1,'Lease Cycles'!$C$20*INDEX('Lease Cycles'!$ET$20:$EZ$20,1,BX214)*(1+'Lease Cycles'!$V$20)^INT(INT(BX215/12)/'Lease Cycles'!$W$20)/12,0),0)</f>
        <v>0</v>
      </c>
      <c r="BY218" s="28">
        <f>IF(BY216=1,IF(INDEX('Lease Cycles'!$EF$20:$EL$20,1,BY214)=1,'Lease Cycles'!$C$20*INDEX('Lease Cycles'!$ET$20:$EZ$20,1,BY214)*(1+'Lease Cycles'!$V$20)^INT(INT(BY215/12)/'Lease Cycles'!$W$20)/12,0),0)</f>
        <v>0</v>
      </c>
      <c r="BZ218" s="28">
        <f>IF(BZ216=1,IF(INDEX('Lease Cycles'!$EF$20:$EL$20,1,BZ214)=1,'Lease Cycles'!$C$20*INDEX('Lease Cycles'!$ET$20:$EZ$20,1,BZ214)*(1+'Lease Cycles'!$V$20)^INT(INT(BZ215/12)/'Lease Cycles'!$W$20)/12,0),0)</f>
        <v>0</v>
      </c>
      <c r="CA218" s="28">
        <f>IF(CA216=1,IF(INDEX('Lease Cycles'!$EF$20:$EL$20,1,CA214)=1,'Lease Cycles'!$C$20*INDEX('Lease Cycles'!$ET$20:$EZ$20,1,CA214)*(1+'Lease Cycles'!$V$20)^INT(INT(CA215/12)/'Lease Cycles'!$W$20)/12,0),0)</f>
        <v>0</v>
      </c>
      <c r="CB218" s="28">
        <f>IF(CB216=1,IF(INDEX('Lease Cycles'!$EF$20:$EL$20,1,CB214)=1,'Lease Cycles'!$C$20*INDEX('Lease Cycles'!$ET$20:$EZ$20,1,CB214)*(1+'Lease Cycles'!$V$20)^INT(INT(CB215/12)/'Lease Cycles'!$W$20)/12,0),0)</f>
        <v>0</v>
      </c>
      <c r="CC218" s="28">
        <f>IF(CC216=1,IF(INDEX('Lease Cycles'!$EF$20:$EL$20,1,CC214)=1,'Lease Cycles'!$C$20*INDEX('Lease Cycles'!$ET$20:$EZ$20,1,CC214)*(1+'Lease Cycles'!$V$20)^INT(INT(CC215/12)/'Lease Cycles'!$W$20)/12,0),0)</f>
        <v>0</v>
      </c>
      <c r="CD218" s="28">
        <f>IF(CD216=1,IF(INDEX('Lease Cycles'!$EF$20:$EL$20,1,CD214)=1,'Lease Cycles'!$C$20*INDEX('Lease Cycles'!$ET$20:$EZ$20,1,CD214)*(1+'Lease Cycles'!$V$20)^INT(INT(CD215/12)/'Lease Cycles'!$W$20)/12,0),0)</f>
        <v>0</v>
      </c>
      <c r="CE218" s="28">
        <f>IF(CE216=1,IF(INDEX('Lease Cycles'!$EF$20:$EL$20,1,CE214)=1,'Lease Cycles'!$C$20*INDEX('Lease Cycles'!$ET$20:$EZ$20,1,CE214)*(1+'Lease Cycles'!$V$20)^INT(INT(CE215/12)/'Lease Cycles'!$W$20)/12,0),0)</f>
        <v>0</v>
      </c>
      <c r="CF218" s="28">
        <f>IF(CF216=1,IF(INDEX('Lease Cycles'!$EF$20:$EL$20,1,CF214)=1,'Lease Cycles'!$C$20*INDEX('Lease Cycles'!$ET$20:$EZ$20,1,CF214)*(1+'Lease Cycles'!$V$20)^INT(INT(CF215/12)/'Lease Cycles'!$W$20)/12,0),0)</f>
        <v>0</v>
      </c>
      <c r="CG218" s="28">
        <f>IF(CG216=1,IF(INDEX('Lease Cycles'!$EF$20:$EL$20,1,CG214)=1,'Lease Cycles'!$C$20*INDEX('Lease Cycles'!$ET$20:$EZ$20,1,CG214)*(1+'Lease Cycles'!$V$20)^INT(INT(CG215/12)/'Lease Cycles'!$W$20)/12,0),0)</f>
        <v>0</v>
      </c>
      <c r="CH218" s="28">
        <f>IF(CH216=1,IF(INDEX('Lease Cycles'!$EF$20:$EL$20,1,CH214)=1,'Lease Cycles'!$C$20*INDEX('Lease Cycles'!$ET$20:$EZ$20,1,CH214)*(1+'Lease Cycles'!$V$20)^INT(INT(CH215/12)/'Lease Cycles'!$W$20)/12,0),0)</f>
        <v>0</v>
      </c>
      <c r="CI218" s="28">
        <f>IF(CI216=1,IF(INDEX('Lease Cycles'!$EF$20:$EL$20,1,CI214)=1,'Lease Cycles'!$C$20*INDEX('Lease Cycles'!$ET$20:$EZ$20,1,CI214)*(1+'Lease Cycles'!$V$20)^INT(INT(CI215/12)/'Lease Cycles'!$W$20)/12,0),0)</f>
        <v>0</v>
      </c>
      <c r="CJ218" s="28">
        <f>IF(CJ216=1,IF(INDEX('Lease Cycles'!$EF$20:$EL$20,1,CJ214)=1,'Lease Cycles'!$C$20*INDEX('Lease Cycles'!$ET$20:$EZ$20,1,CJ214)*(1+'Lease Cycles'!$V$20)^INT(INT(CJ215/12)/'Lease Cycles'!$W$20)/12,0),0)</f>
        <v>0</v>
      </c>
      <c r="CK218" s="28">
        <f>IF(CK216=1,IF(INDEX('Lease Cycles'!$EF$20:$EL$20,1,CK214)=1,'Lease Cycles'!$C$20*INDEX('Lease Cycles'!$ET$20:$EZ$20,1,CK214)*(1+'Lease Cycles'!$V$20)^INT(INT(CK215/12)/'Lease Cycles'!$W$20)/12,0),0)</f>
        <v>0</v>
      </c>
      <c r="CL218" s="28">
        <f>IF(CL216=1,IF(INDEX('Lease Cycles'!$EF$20:$EL$20,1,CL214)=1,'Lease Cycles'!$C$20*INDEX('Lease Cycles'!$ET$20:$EZ$20,1,CL214)*(1+'Lease Cycles'!$V$20)^INT(INT(CL215/12)/'Lease Cycles'!$W$20)/12,0),0)</f>
        <v>0</v>
      </c>
      <c r="CM218" s="28">
        <f>IF(CM216=1,IF(INDEX('Lease Cycles'!$EF$20:$EL$20,1,CM214)=1,'Lease Cycles'!$C$20*INDEX('Lease Cycles'!$ET$20:$EZ$20,1,CM214)*(1+'Lease Cycles'!$V$20)^INT(INT(CM215/12)/'Lease Cycles'!$W$20)/12,0),0)</f>
        <v>0</v>
      </c>
      <c r="CN218" s="28">
        <f>IF(CN216=1,IF(INDEX('Lease Cycles'!$EF$20:$EL$20,1,CN214)=1,'Lease Cycles'!$C$20*INDEX('Lease Cycles'!$ET$20:$EZ$20,1,CN214)*(1+'Lease Cycles'!$V$20)^INT(INT(CN215/12)/'Lease Cycles'!$W$20)/12,0),0)</f>
        <v>0</v>
      </c>
      <c r="CO218" s="28">
        <f>IF(CO216=1,IF(INDEX('Lease Cycles'!$EF$20:$EL$20,1,CO214)=1,'Lease Cycles'!$C$20*INDEX('Lease Cycles'!$ET$20:$EZ$20,1,CO214)*(1+'Lease Cycles'!$V$20)^INT(INT(CO215/12)/'Lease Cycles'!$W$20)/12,0),0)</f>
        <v>0</v>
      </c>
      <c r="CP218" s="28">
        <f>IF(CP216=1,IF(INDEX('Lease Cycles'!$EF$20:$EL$20,1,CP214)=1,'Lease Cycles'!$C$20*INDEX('Lease Cycles'!$ET$20:$EZ$20,1,CP214)*(1+'Lease Cycles'!$V$20)^INT(INT(CP215/12)/'Lease Cycles'!$W$20)/12,0),0)</f>
        <v>0</v>
      </c>
      <c r="CQ218" s="28">
        <f>IF(CQ216=1,IF(INDEX('Lease Cycles'!$EF$20:$EL$20,1,CQ214)=1,'Lease Cycles'!$C$20*INDEX('Lease Cycles'!$ET$20:$EZ$20,1,CQ214)*(1+'Lease Cycles'!$V$20)^INT(INT(CQ215/12)/'Lease Cycles'!$W$20)/12,0),0)</f>
        <v>0</v>
      </c>
      <c r="CR218" s="28">
        <f>IF(CR216=1,IF(INDEX('Lease Cycles'!$EF$20:$EL$20,1,CR214)=1,'Lease Cycles'!$C$20*INDEX('Lease Cycles'!$ET$20:$EZ$20,1,CR214)*(1+'Lease Cycles'!$V$20)^INT(INT(CR215/12)/'Lease Cycles'!$W$20)/12,0),0)</f>
        <v>0</v>
      </c>
      <c r="CS218" s="28">
        <f>IF(CS216=1,IF(INDEX('Lease Cycles'!$EF$20:$EL$20,1,CS214)=1,'Lease Cycles'!$C$20*INDEX('Lease Cycles'!$ET$20:$EZ$20,1,CS214)*(1+'Lease Cycles'!$V$20)^INT(INT(CS215/12)/'Lease Cycles'!$W$20)/12,0),0)</f>
        <v>0</v>
      </c>
      <c r="CT218" s="28">
        <f>IF(CT216=1,IF(INDEX('Lease Cycles'!$EF$20:$EL$20,1,CT214)=1,'Lease Cycles'!$C$20*INDEX('Lease Cycles'!$ET$20:$EZ$20,1,CT214)*(1+'Lease Cycles'!$V$20)^INT(INT(CT215/12)/'Lease Cycles'!$W$20)/12,0),0)</f>
        <v>0</v>
      </c>
      <c r="CU218" s="28">
        <f>IF(CU216=1,IF(INDEX('Lease Cycles'!$EF$20:$EL$20,1,CU214)=1,'Lease Cycles'!$C$20*INDEX('Lease Cycles'!$ET$20:$EZ$20,1,CU214)*(1+'Lease Cycles'!$V$20)^INT(INT(CU215/12)/'Lease Cycles'!$W$20)/12,0),0)</f>
        <v>0</v>
      </c>
      <c r="CV218" s="28">
        <f>IF(CV216=1,IF(INDEX('Lease Cycles'!$EF$20:$EL$20,1,CV214)=1,'Lease Cycles'!$C$20*INDEX('Lease Cycles'!$ET$20:$EZ$20,1,CV214)*(1+'Lease Cycles'!$V$20)^INT(INT(CV215/12)/'Lease Cycles'!$W$20)/12,0),0)</f>
        <v>0</v>
      </c>
      <c r="CW218" s="28">
        <f>IF(CW216=1,IF(INDEX('Lease Cycles'!$EF$20:$EL$20,1,CW214)=1,'Lease Cycles'!$C$20*INDEX('Lease Cycles'!$ET$20:$EZ$20,1,CW214)*(1+'Lease Cycles'!$V$20)^INT(INT(CW215/12)/'Lease Cycles'!$W$20)/12,0),0)</f>
        <v>0</v>
      </c>
      <c r="CX218" s="28">
        <f>IF(CX216=1,IF(INDEX('Lease Cycles'!$EF$20:$EL$20,1,CX214)=1,'Lease Cycles'!$C$20*INDEX('Lease Cycles'!$ET$20:$EZ$20,1,CX214)*(1+'Lease Cycles'!$V$20)^INT(INT(CX215/12)/'Lease Cycles'!$W$20)/12,0),0)</f>
        <v>0</v>
      </c>
      <c r="CY218" s="28">
        <f>IF(CY216=1,IF(INDEX('Lease Cycles'!$EF$20:$EL$20,1,CY214)=1,'Lease Cycles'!$C$20*INDEX('Lease Cycles'!$ET$20:$EZ$20,1,CY214)*(1+'Lease Cycles'!$V$20)^INT(INT(CY215/12)/'Lease Cycles'!$W$20)/12,0),0)</f>
        <v>0</v>
      </c>
      <c r="CZ218" s="28">
        <f>IF(CZ216=1,IF(INDEX('Lease Cycles'!$EF$20:$EL$20,1,CZ214)=1,'Lease Cycles'!$C$20*INDEX('Lease Cycles'!$ET$20:$EZ$20,1,CZ214)*(1+'Lease Cycles'!$V$20)^INT(INT(CZ215/12)/'Lease Cycles'!$W$20)/12,0),0)</f>
        <v>0</v>
      </c>
      <c r="DA218" s="28">
        <f>IF(DA216=1,IF(INDEX('Lease Cycles'!$EF$20:$EL$20,1,DA214)=1,'Lease Cycles'!$C$20*INDEX('Lease Cycles'!$ET$20:$EZ$20,1,DA214)*(1+'Lease Cycles'!$V$20)^INT(INT(DA215/12)/'Lease Cycles'!$W$20)/12,0),0)</f>
        <v>0</v>
      </c>
      <c r="DB218" s="28">
        <f>IF(DB216=1,IF(INDEX('Lease Cycles'!$EF$20:$EL$20,1,DB214)=1,'Lease Cycles'!$C$20*INDEX('Lease Cycles'!$ET$20:$EZ$20,1,DB214)*(1+'Lease Cycles'!$V$20)^INT(INT(DB215/12)/'Lease Cycles'!$W$20)/12,0),0)</f>
        <v>0</v>
      </c>
      <c r="DC218" s="28">
        <f>IF(DC216=1,IF(INDEX('Lease Cycles'!$EF$20:$EL$20,1,DC214)=1,'Lease Cycles'!$C$20*INDEX('Lease Cycles'!$ET$20:$EZ$20,1,DC214)*(1+'Lease Cycles'!$V$20)^INT(INT(DC215/12)/'Lease Cycles'!$W$20)/12,0),0)</f>
        <v>0</v>
      </c>
      <c r="DD218" s="28">
        <f>IF(DD216=1,IF(INDEX('Lease Cycles'!$EF$20:$EL$20,1,DD214)=1,'Lease Cycles'!$C$20*INDEX('Lease Cycles'!$ET$20:$EZ$20,1,DD214)*(1+'Lease Cycles'!$V$20)^INT(INT(DD215/12)/'Lease Cycles'!$W$20)/12,0),0)</f>
        <v>0</v>
      </c>
      <c r="DE218" s="28">
        <f>IF(DE216=1,IF(INDEX('Lease Cycles'!$EF$20:$EL$20,1,DE214)=1,'Lease Cycles'!$C$20*INDEX('Lease Cycles'!$ET$20:$EZ$20,1,DE214)*(1+'Lease Cycles'!$V$20)^INT(INT(DE215/12)/'Lease Cycles'!$W$20)/12,0),0)</f>
        <v>0</v>
      </c>
      <c r="DF218" s="28">
        <f>IF(DF216=1,IF(INDEX('Lease Cycles'!$EF$20:$EL$20,1,DF214)=1,'Lease Cycles'!$C$20*INDEX('Lease Cycles'!$ET$20:$EZ$20,1,DF214)*(1+'Lease Cycles'!$V$20)^INT(INT(DF215/12)/'Lease Cycles'!$W$20)/12,0),0)</f>
        <v>0</v>
      </c>
      <c r="DG218" s="28">
        <f>IF(DG216=1,IF(INDEX('Lease Cycles'!$EF$20:$EL$20,1,DG214)=1,'Lease Cycles'!$C$20*INDEX('Lease Cycles'!$ET$20:$EZ$20,1,DG214)*(1+'Lease Cycles'!$V$20)^INT(INT(DG215/12)/'Lease Cycles'!$W$20)/12,0),0)</f>
        <v>0</v>
      </c>
      <c r="DH218" s="28">
        <f>IF(DH216=1,IF(INDEX('Lease Cycles'!$EF$20:$EL$20,1,DH214)=1,'Lease Cycles'!$C$20*INDEX('Lease Cycles'!$ET$20:$EZ$20,1,DH214)*(1+'Lease Cycles'!$V$20)^INT(INT(DH215/12)/'Lease Cycles'!$W$20)/12,0),0)</f>
        <v>0</v>
      </c>
      <c r="DI218" s="28">
        <f>IF(DI216=1,IF(INDEX('Lease Cycles'!$EF$20:$EL$20,1,DI214)=1,'Lease Cycles'!$C$20*INDEX('Lease Cycles'!$ET$20:$EZ$20,1,DI214)*(1+'Lease Cycles'!$V$20)^INT(INT(DI215/12)/'Lease Cycles'!$W$20)/12,0),0)</f>
        <v>0</v>
      </c>
      <c r="DJ218" s="28">
        <f>IF(DJ216=1,IF(INDEX('Lease Cycles'!$EF$20:$EL$20,1,DJ214)=1,'Lease Cycles'!$C$20*INDEX('Lease Cycles'!$ET$20:$EZ$20,1,DJ214)*(1+'Lease Cycles'!$V$20)^INT(INT(DJ215/12)/'Lease Cycles'!$W$20)/12,0),0)</f>
        <v>0</v>
      </c>
      <c r="DK218" s="28">
        <f>IF(DK216=1,IF(INDEX('Lease Cycles'!$EF$20:$EL$20,1,DK214)=1,'Lease Cycles'!$C$20*INDEX('Lease Cycles'!$ET$20:$EZ$20,1,DK214)*(1+'Lease Cycles'!$V$20)^INT(INT(DK215/12)/'Lease Cycles'!$W$20)/12,0),0)</f>
        <v>0</v>
      </c>
      <c r="DL218" s="28">
        <f>IF(DL216=1,IF(INDEX('Lease Cycles'!$EF$20:$EL$20,1,DL214)=1,'Lease Cycles'!$C$20*INDEX('Lease Cycles'!$ET$20:$EZ$20,1,DL214)*(1+'Lease Cycles'!$V$20)^INT(INT(DL215/12)/'Lease Cycles'!$W$20)/12,0),0)</f>
        <v>0</v>
      </c>
      <c r="DM218" s="28">
        <f>IF(DM216=1,IF(INDEX('Lease Cycles'!$EF$20:$EL$20,1,DM214)=1,'Lease Cycles'!$C$20*INDEX('Lease Cycles'!$ET$20:$EZ$20,1,DM214)*(1+'Lease Cycles'!$V$20)^INT(INT(DM215/12)/'Lease Cycles'!$W$20)/12,0),0)</f>
        <v>0</v>
      </c>
      <c r="DN218" s="28">
        <f>IF(DN216=1,IF(INDEX('Lease Cycles'!$EF$20:$EL$20,1,DN214)=1,'Lease Cycles'!$C$20*INDEX('Lease Cycles'!$ET$20:$EZ$20,1,DN214)*(1+'Lease Cycles'!$V$20)^INT(INT(DN215/12)/'Lease Cycles'!$W$20)/12,0),0)</f>
        <v>0</v>
      </c>
      <c r="DO218" s="28">
        <f>IF(DO216=1,IF(INDEX('Lease Cycles'!$EF$20:$EL$20,1,DO214)=1,'Lease Cycles'!$C$20*INDEX('Lease Cycles'!$ET$20:$EZ$20,1,DO214)*(1+'Lease Cycles'!$V$20)^INT(INT(DO215/12)/'Lease Cycles'!$W$20)/12,0),0)</f>
        <v>0</v>
      </c>
      <c r="DP218" s="28">
        <f>IF(DP216=1,IF(INDEX('Lease Cycles'!$EF$20:$EL$20,1,DP214)=1,'Lease Cycles'!$C$20*INDEX('Lease Cycles'!$ET$20:$EZ$20,1,DP214)*(1+'Lease Cycles'!$V$20)^INT(INT(DP215/12)/'Lease Cycles'!$W$20)/12,0),0)</f>
        <v>0</v>
      </c>
      <c r="DQ218" s="28">
        <f>IF(DQ216=1,IF(INDEX('Lease Cycles'!$EF$20:$EL$20,1,DQ214)=1,'Lease Cycles'!$C$20*INDEX('Lease Cycles'!$ET$20:$EZ$20,1,DQ214)*(1+'Lease Cycles'!$V$20)^INT(INT(DQ215/12)/'Lease Cycles'!$W$20)/12,0),0)</f>
        <v>0</v>
      </c>
      <c r="DR218" s="28">
        <f>IF(DR216=1,IF(INDEX('Lease Cycles'!$EF$20:$EL$20,1,DR214)=1,'Lease Cycles'!$C$20*INDEX('Lease Cycles'!$ET$20:$EZ$20,1,DR214)*(1+'Lease Cycles'!$V$20)^INT(INT(DR215/12)/'Lease Cycles'!$W$20)/12,0),0)</f>
        <v>0</v>
      </c>
      <c r="DS218" s="28">
        <f>IF(DS216=1,IF(INDEX('Lease Cycles'!$EF$20:$EL$20,1,DS214)=1,'Lease Cycles'!$C$20*INDEX('Lease Cycles'!$ET$20:$EZ$20,1,DS214)*(1+'Lease Cycles'!$V$20)^INT(INT(DS215/12)/'Lease Cycles'!$W$20)/12,0),0)</f>
        <v>0</v>
      </c>
      <c r="DT218" s="28">
        <f>IF(DT216=1,IF(INDEX('Lease Cycles'!$EF$20:$EL$20,1,DT214)=1,'Lease Cycles'!$C$20*INDEX('Lease Cycles'!$ET$20:$EZ$20,1,DT214)*(1+'Lease Cycles'!$V$20)^INT(INT(DT215/12)/'Lease Cycles'!$W$20)/12,0),0)</f>
        <v>0</v>
      </c>
      <c r="DU218" s="28">
        <f>IF(DU216=1,IF(INDEX('Lease Cycles'!$EF$20:$EL$20,1,DU214)=1,'Lease Cycles'!$C$20*INDEX('Lease Cycles'!$ET$20:$EZ$20,1,DU214)*(1+'Lease Cycles'!$V$20)^INT(INT(DU215/12)/'Lease Cycles'!$W$20)/12,0),0)</f>
        <v>0</v>
      </c>
      <c r="DV218" s="28">
        <f>IF(DV216=1,IF(INDEX('Lease Cycles'!$EF$20:$EL$20,1,DV214)=1,'Lease Cycles'!$C$20*INDEX('Lease Cycles'!$ET$20:$EZ$20,1,DV214)*(1+'Lease Cycles'!$V$20)^INT(INT(DV215/12)/'Lease Cycles'!$W$20)/12,0),0)</f>
        <v>0</v>
      </c>
      <c r="DW218" s="28">
        <f>IF(DW216=1,IF(INDEX('Lease Cycles'!$EF$20:$EL$20,1,DW214)=1,'Lease Cycles'!$C$20*INDEX('Lease Cycles'!$ET$20:$EZ$20,1,DW214)*(1+'Lease Cycles'!$V$20)^INT(INT(DW215/12)/'Lease Cycles'!$W$20)/12,0),0)</f>
        <v>0</v>
      </c>
      <c r="DX218" s="28">
        <f>IF(DX216=1,IF(INDEX('Lease Cycles'!$EF$20:$EL$20,1,DX214)=1,'Lease Cycles'!$C$20*INDEX('Lease Cycles'!$ET$20:$EZ$20,1,DX214)*(1+'Lease Cycles'!$V$20)^INT(INT(DX215/12)/'Lease Cycles'!$W$20)/12,0),0)</f>
        <v>0</v>
      </c>
      <c r="DY218" s="28">
        <f>IF(DY216=1,IF(INDEX('Lease Cycles'!$EF$20:$EL$20,1,DY214)=1,'Lease Cycles'!$C$20*INDEX('Lease Cycles'!$ET$20:$EZ$20,1,DY214)*(1+'Lease Cycles'!$V$20)^INT(INT(DY215/12)/'Lease Cycles'!$W$20)/12,0),0)</f>
        <v>0</v>
      </c>
      <c r="DZ218" s="28">
        <f>IF(DZ216=1,IF(INDEX('Lease Cycles'!$EF$20:$EL$20,1,DZ214)=1,'Lease Cycles'!$C$20*INDEX('Lease Cycles'!$ET$20:$EZ$20,1,DZ214)*(1+'Lease Cycles'!$V$20)^INT(INT(DZ215/12)/'Lease Cycles'!$W$20)/12,0),0)</f>
        <v>0</v>
      </c>
      <c r="EA218" s="28">
        <f>IF(EA216=1,IF(INDEX('Lease Cycles'!$EF$20:$EL$20,1,EA214)=1,'Lease Cycles'!$C$20*INDEX('Lease Cycles'!$ET$20:$EZ$20,1,EA214)*(1+'Lease Cycles'!$V$20)^INT(INT(EA215/12)/'Lease Cycles'!$W$20)/12,0),0)</f>
        <v>0</v>
      </c>
      <c r="EB218" s="28">
        <f>IF(EB216=1,IF(INDEX('Lease Cycles'!$EF$20:$EL$20,1,EB214)=1,'Lease Cycles'!$C$20*INDEX('Lease Cycles'!$ET$20:$EZ$20,1,EB214)*(1+'Lease Cycles'!$V$20)^INT(INT(EB215/12)/'Lease Cycles'!$W$20)/12,0),0)</f>
        <v>0</v>
      </c>
      <c r="EC218" s="28">
        <f>IF(EC216=1,IF(INDEX('Lease Cycles'!$EF$20:$EL$20,1,EC214)=1,'Lease Cycles'!$C$20*INDEX('Lease Cycles'!$ET$20:$EZ$20,1,EC214)*(1+'Lease Cycles'!$V$20)^INT(INT(EC215/12)/'Lease Cycles'!$W$20)/12,0),0)</f>
        <v>0</v>
      </c>
      <c r="ED218" s="28">
        <f>IF(ED216=1,IF(INDEX('Lease Cycles'!$EF$20:$EL$20,1,ED214)=1,'Lease Cycles'!$C$20*INDEX('Lease Cycles'!$ET$20:$EZ$20,1,ED214)*(1+'Lease Cycles'!$V$20)^INT(INT(ED215/12)/'Lease Cycles'!$W$20)/12,0),0)</f>
        <v>0</v>
      </c>
      <c r="EE218" s="28">
        <f>IF(EE216=1,IF(INDEX('Lease Cycles'!$EF$20:$EL$20,1,EE214)=1,'Lease Cycles'!$C$20*INDEX('Lease Cycles'!$ET$20:$EZ$20,1,EE214)*(1+'Lease Cycles'!$V$20)^INT(INT(EE215/12)/'Lease Cycles'!$W$20)/12,0),0)</f>
        <v>0</v>
      </c>
      <c r="EF218" s="28">
        <f>IF(EF216=1,IF(INDEX('Lease Cycles'!$EF$20:$EL$20,1,EF214)=1,'Lease Cycles'!$C$20*INDEX('Lease Cycles'!$ET$20:$EZ$20,1,EF214)*(1+'Lease Cycles'!$V$20)^INT(INT(EF215/12)/'Lease Cycles'!$W$20)/12,0),0)</f>
        <v>0</v>
      </c>
      <c r="EG218" s="28">
        <f>IF(EG216=1,IF(INDEX('Lease Cycles'!$EF$20:$EL$20,1,EG214)=1,'Lease Cycles'!$C$20*INDEX('Lease Cycles'!$ET$20:$EZ$20,1,EG214)*(1+'Lease Cycles'!$V$20)^INT(INT(EG215/12)/'Lease Cycles'!$W$20)/12,0),0)</f>
        <v>0</v>
      </c>
      <c r="EH218" s="28">
        <f>IF(EH216=1,IF(INDEX('Lease Cycles'!$EF$20:$EL$20,1,EH214)=1,'Lease Cycles'!$C$20*INDEX('Lease Cycles'!$ET$20:$EZ$20,1,EH214)*(1+'Lease Cycles'!$V$20)^INT(INT(EH215/12)/'Lease Cycles'!$W$20)/12,0),0)</f>
        <v>0</v>
      </c>
      <c r="EI218" s="28">
        <f>IF(EI216=1,IF(INDEX('Lease Cycles'!$EF$20:$EL$20,1,EI214)=1,'Lease Cycles'!$C$20*INDEX('Lease Cycles'!$ET$20:$EZ$20,1,EI214)*(1+'Lease Cycles'!$V$20)^INT(INT(EI215/12)/'Lease Cycles'!$W$20)/12,0),0)</f>
        <v>0</v>
      </c>
      <c r="EJ218" s="28">
        <f>IF(EJ216=1,IF(INDEX('Lease Cycles'!$EF$20:$EL$20,1,EJ214)=1,'Lease Cycles'!$C$20*INDEX('Lease Cycles'!$ET$20:$EZ$20,1,EJ214)*(1+'Lease Cycles'!$V$20)^INT(INT(EJ215/12)/'Lease Cycles'!$W$20)/12,0),0)</f>
        <v>0</v>
      </c>
      <c r="EK218" s="28">
        <f>IF(EK216=1,IF(INDEX('Lease Cycles'!$EF$20:$EL$20,1,EK214)=1,'Lease Cycles'!$C$20*INDEX('Lease Cycles'!$ET$20:$EZ$20,1,EK214)*(1+'Lease Cycles'!$V$20)^INT(INT(EK215/12)/'Lease Cycles'!$W$20)/12,0),0)</f>
        <v>0</v>
      </c>
      <c r="EL218" s="28">
        <f>IF(EL216=1,IF(INDEX('Lease Cycles'!$EF$20:$EL$20,1,EL214)=1,'Lease Cycles'!$C$20*INDEX('Lease Cycles'!$ET$20:$EZ$20,1,EL214)*(1+'Lease Cycles'!$V$20)^INT(INT(EL215/12)/'Lease Cycles'!$W$20)/12,0),0)</f>
        <v>0</v>
      </c>
      <c r="EM218" s="28">
        <f>IF(EM216=1,IF(INDEX('Lease Cycles'!$EF$20:$EL$20,1,EM214)=1,'Lease Cycles'!$C$20*INDEX('Lease Cycles'!$ET$20:$EZ$20,1,EM214)*(1+'Lease Cycles'!$V$20)^INT(INT(EM215/12)/'Lease Cycles'!$W$20)/12,0),0)</f>
        <v>0</v>
      </c>
      <c r="EN218" s="28">
        <f>IF(EN216=1,IF(INDEX('Lease Cycles'!$EF$20:$EL$20,1,EN214)=1,'Lease Cycles'!$C$20*INDEX('Lease Cycles'!$ET$20:$EZ$20,1,EN214)*(1+'Lease Cycles'!$V$20)^INT(INT(EN215/12)/'Lease Cycles'!$W$20)/12,0),0)</f>
        <v>0</v>
      </c>
      <c r="EO218" s="28">
        <f>IF(EO216=1,IF(INDEX('Lease Cycles'!$EF$20:$EL$20,1,EO214)=1,'Lease Cycles'!$C$20*INDEX('Lease Cycles'!$ET$20:$EZ$20,1,EO214)*(1+'Lease Cycles'!$V$20)^INT(INT(EO215/12)/'Lease Cycles'!$W$20)/12,0),0)</f>
        <v>0</v>
      </c>
      <c r="EP218" s="28">
        <f>IF(EP216=1,IF(INDEX('Lease Cycles'!$EF$20:$EL$20,1,EP214)=1,'Lease Cycles'!$C$20*INDEX('Lease Cycles'!$ET$20:$EZ$20,1,EP214)*(1+'Lease Cycles'!$V$20)^INT(INT(EP215/12)/'Lease Cycles'!$W$20)/12,0),0)</f>
        <v>0</v>
      </c>
      <c r="EQ218" s="28">
        <f>IF(EQ216=1,IF(INDEX('Lease Cycles'!$EF$20:$EL$20,1,EQ214)=1,'Lease Cycles'!$C$20*INDEX('Lease Cycles'!$ET$20:$EZ$20,1,EQ214)*(1+'Lease Cycles'!$V$20)^INT(INT(EQ215/12)/'Lease Cycles'!$W$20)/12,0),0)</f>
        <v>0</v>
      </c>
      <c r="ER218" s="28">
        <f>IF(ER216=1,IF(INDEX('Lease Cycles'!$EF$20:$EL$20,1,ER214)=1,'Lease Cycles'!$C$20*INDEX('Lease Cycles'!$ET$20:$EZ$20,1,ER214)*(1+'Lease Cycles'!$V$20)^INT(INT(ER215/12)/'Lease Cycles'!$W$20)/12,0),0)</f>
        <v>0</v>
      </c>
      <c r="ES218" s="28">
        <f>IF(ES216=1,IF(INDEX('Lease Cycles'!$EF$20:$EL$20,1,ES214)=1,'Lease Cycles'!$C$20*INDEX('Lease Cycles'!$ET$20:$EZ$20,1,ES214)*(1+'Lease Cycles'!$V$20)^INT(INT(ES215/12)/'Lease Cycles'!$W$20)/12,0),0)</f>
        <v>0</v>
      </c>
      <c r="ET218" s="28">
        <f>IF(ET216=1,IF(INDEX('Lease Cycles'!$EF$20:$EL$20,1,ET214)=1,'Lease Cycles'!$C$20*INDEX('Lease Cycles'!$ET$20:$EZ$20,1,ET214)*(1+'Lease Cycles'!$V$20)^INT(INT(ET215/12)/'Lease Cycles'!$W$20)/12,0),0)</f>
        <v>0</v>
      </c>
    </row>
    <row r="219">
      <c r="A219" s="103">
        <v>13</v>
      </c>
      <c r="B219" s="23" t="str">
        <f>IF('Lease Cycles'!$B$20="","(empty slot)",'Lease Cycles'!$B$20)</f>
        <v>(empty slot)</v>
      </c>
      <c r="C219" s="23" t="s">
        <v>681</v>
      </c>
      <c r="D219" s="104" t="s">
        <v>490</v>
      </c>
      <c r="E219" s="25">
        <f>'Lease Cycles'!$AL$20</f>
        <v>0</v>
      </c>
      <c r="G219" s="28">
        <f>SUM(S219:AD219)</f>
        <v>0</v>
      </c>
      <c r="H219" s="28">
        <f>SUM(AE219:AP219)</f>
        <v>0</v>
      </c>
      <c r="I219" s="28">
        <f>SUM(AQ219:BB219)</f>
        <v>0</v>
      </c>
      <c r="J219" s="28">
        <f>SUM(BC219:BN219)</f>
        <v>0</v>
      </c>
      <c r="K219" s="28">
        <f>SUM(BO219:BZ219)</f>
        <v>0</v>
      </c>
      <c r="L219" s="28">
        <f>SUM(CA219:CL219)</f>
        <v>0</v>
      </c>
      <c r="M219" s="28">
        <f>SUM(CM219:CX219)</f>
        <v>0</v>
      </c>
      <c r="N219" s="28">
        <f>SUM(CY219:DJ219)</f>
        <v>0</v>
      </c>
      <c r="O219" s="28">
        <f>SUM(DK219:DV219)</f>
        <v>0</v>
      </c>
      <c r="P219" s="28">
        <f>SUM(DW219:EH219)</f>
        <v>0</v>
      </c>
      <c r="Q219" s="28">
        <f>SUM(EI219:ET219)</f>
        <v>0</v>
      </c>
      <c r="S219" s="28">
        <f>IF(S216=1,IF(INDEX('Lease Cycles'!$EF$20:$EL$20,1,S214)=1,S217*INDEX('Lease Cycles'!$EM$20:$ES$20,1,S214)+S218*(1-INDEX('Lease Cycles'!$EM$20:$ES$20,1,S214)),S217),S217)</f>
        <v>0</v>
      </c>
      <c r="T219" s="28">
        <f>IF(T216=1,IF(INDEX('Lease Cycles'!$EF$20:$EL$20,1,T214)=1,T217*INDEX('Lease Cycles'!$EM$20:$ES$20,1,T214)+T218*(1-INDEX('Lease Cycles'!$EM$20:$ES$20,1,T214)),T217),T217)</f>
        <v>0</v>
      </c>
      <c r="U219" s="28">
        <f>IF(U216=1,IF(INDEX('Lease Cycles'!$EF$20:$EL$20,1,U214)=1,U217*INDEX('Lease Cycles'!$EM$20:$ES$20,1,U214)+U218*(1-INDEX('Lease Cycles'!$EM$20:$ES$20,1,U214)),U217),U217)</f>
        <v>0</v>
      </c>
      <c r="V219" s="28">
        <f>IF(V216=1,IF(INDEX('Lease Cycles'!$EF$20:$EL$20,1,V214)=1,V217*INDEX('Lease Cycles'!$EM$20:$ES$20,1,V214)+V218*(1-INDEX('Lease Cycles'!$EM$20:$ES$20,1,V214)),V217),V217)</f>
        <v>0</v>
      </c>
      <c r="W219" s="28">
        <f>IF(W216=1,IF(INDEX('Lease Cycles'!$EF$20:$EL$20,1,W214)=1,W217*INDEX('Lease Cycles'!$EM$20:$ES$20,1,W214)+W218*(1-INDEX('Lease Cycles'!$EM$20:$ES$20,1,W214)),W217),W217)</f>
        <v>0</v>
      </c>
      <c r="X219" s="28">
        <f>IF(X216=1,IF(INDEX('Lease Cycles'!$EF$20:$EL$20,1,X214)=1,X217*INDEX('Lease Cycles'!$EM$20:$ES$20,1,X214)+X218*(1-INDEX('Lease Cycles'!$EM$20:$ES$20,1,X214)),X217),X217)</f>
        <v>0</v>
      </c>
      <c r="Y219" s="28">
        <f>IF(Y216=1,IF(INDEX('Lease Cycles'!$EF$20:$EL$20,1,Y214)=1,Y217*INDEX('Lease Cycles'!$EM$20:$ES$20,1,Y214)+Y218*(1-INDEX('Lease Cycles'!$EM$20:$ES$20,1,Y214)),Y217),Y217)</f>
        <v>0</v>
      </c>
      <c r="Z219" s="28">
        <f>IF(Z216=1,IF(INDEX('Lease Cycles'!$EF$20:$EL$20,1,Z214)=1,Z217*INDEX('Lease Cycles'!$EM$20:$ES$20,1,Z214)+Z218*(1-INDEX('Lease Cycles'!$EM$20:$ES$20,1,Z214)),Z217),Z217)</f>
        <v>0</v>
      </c>
      <c r="AA219" s="28">
        <f>IF(AA216=1,IF(INDEX('Lease Cycles'!$EF$20:$EL$20,1,AA214)=1,AA217*INDEX('Lease Cycles'!$EM$20:$ES$20,1,AA214)+AA218*(1-INDEX('Lease Cycles'!$EM$20:$ES$20,1,AA214)),AA217),AA217)</f>
        <v>0</v>
      </c>
      <c r="AB219" s="28">
        <f>IF(AB216=1,IF(INDEX('Lease Cycles'!$EF$20:$EL$20,1,AB214)=1,AB217*INDEX('Lease Cycles'!$EM$20:$ES$20,1,AB214)+AB218*(1-INDEX('Lease Cycles'!$EM$20:$ES$20,1,AB214)),AB217),AB217)</f>
        <v>0</v>
      </c>
      <c r="AC219" s="28">
        <f>IF(AC216=1,IF(INDEX('Lease Cycles'!$EF$20:$EL$20,1,AC214)=1,AC217*INDEX('Lease Cycles'!$EM$20:$ES$20,1,AC214)+AC218*(1-INDEX('Lease Cycles'!$EM$20:$ES$20,1,AC214)),AC217),AC217)</f>
        <v>0</v>
      </c>
      <c r="AD219" s="28">
        <f>IF(AD216=1,IF(INDEX('Lease Cycles'!$EF$20:$EL$20,1,AD214)=1,AD217*INDEX('Lease Cycles'!$EM$20:$ES$20,1,AD214)+AD218*(1-INDEX('Lease Cycles'!$EM$20:$ES$20,1,AD214)),AD217),AD217)</f>
        <v>0</v>
      </c>
      <c r="AE219" s="28">
        <f>IF(AE216=1,IF(INDEX('Lease Cycles'!$EF$20:$EL$20,1,AE214)=1,AE217*INDEX('Lease Cycles'!$EM$20:$ES$20,1,AE214)+AE218*(1-INDEX('Lease Cycles'!$EM$20:$ES$20,1,AE214)),AE217),AE217)</f>
        <v>0</v>
      </c>
      <c r="AF219" s="28">
        <f>IF(AF216=1,IF(INDEX('Lease Cycles'!$EF$20:$EL$20,1,AF214)=1,AF217*INDEX('Lease Cycles'!$EM$20:$ES$20,1,AF214)+AF218*(1-INDEX('Lease Cycles'!$EM$20:$ES$20,1,AF214)),AF217),AF217)</f>
        <v>0</v>
      </c>
      <c r="AG219" s="28">
        <f>IF(AG216=1,IF(INDEX('Lease Cycles'!$EF$20:$EL$20,1,AG214)=1,AG217*INDEX('Lease Cycles'!$EM$20:$ES$20,1,AG214)+AG218*(1-INDEX('Lease Cycles'!$EM$20:$ES$20,1,AG214)),AG217),AG217)</f>
        <v>0</v>
      </c>
      <c r="AH219" s="28">
        <f>IF(AH216=1,IF(INDEX('Lease Cycles'!$EF$20:$EL$20,1,AH214)=1,AH217*INDEX('Lease Cycles'!$EM$20:$ES$20,1,AH214)+AH218*(1-INDEX('Lease Cycles'!$EM$20:$ES$20,1,AH214)),AH217),AH217)</f>
        <v>0</v>
      </c>
      <c r="AI219" s="28">
        <f>IF(AI216=1,IF(INDEX('Lease Cycles'!$EF$20:$EL$20,1,AI214)=1,AI217*INDEX('Lease Cycles'!$EM$20:$ES$20,1,AI214)+AI218*(1-INDEX('Lease Cycles'!$EM$20:$ES$20,1,AI214)),AI217),AI217)</f>
        <v>0</v>
      </c>
      <c r="AJ219" s="28">
        <f>IF(AJ216=1,IF(INDEX('Lease Cycles'!$EF$20:$EL$20,1,AJ214)=1,AJ217*INDEX('Lease Cycles'!$EM$20:$ES$20,1,AJ214)+AJ218*(1-INDEX('Lease Cycles'!$EM$20:$ES$20,1,AJ214)),AJ217),AJ217)</f>
        <v>0</v>
      </c>
      <c r="AK219" s="28">
        <f>IF(AK216=1,IF(INDEX('Lease Cycles'!$EF$20:$EL$20,1,AK214)=1,AK217*INDEX('Lease Cycles'!$EM$20:$ES$20,1,AK214)+AK218*(1-INDEX('Lease Cycles'!$EM$20:$ES$20,1,AK214)),AK217),AK217)</f>
        <v>0</v>
      </c>
      <c r="AL219" s="28">
        <f>IF(AL216=1,IF(INDEX('Lease Cycles'!$EF$20:$EL$20,1,AL214)=1,AL217*INDEX('Lease Cycles'!$EM$20:$ES$20,1,AL214)+AL218*(1-INDEX('Lease Cycles'!$EM$20:$ES$20,1,AL214)),AL217),AL217)</f>
        <v>0</v>
      </c>
      <c r="AM219" s="28">
        <f>IF(AM216=1,IF(INDEX('Lease Cycles'!$EF$20:$EL$20,1,AM214)=1,AM217*INDEX('Lease Cycles'!$EM$20:$ES$20,1,AM214)+AM218*(1-INDEX('Lease Cycles'!$EM$20:$ES$20,1,AM214)),AM217),AM217)</f>
        <v>0</v>
      </c>
      <c r="AN219" s="28">
        <f>IF(AN216=1,IF(INDEX('Lease Cycles'!$EF$20:$EL$20,1,AN214)=1,AN217*INDEX('Lease Cycles'!$EM$20:$ES$20,1,AN214)+AN218*(1-INDEX('Lease Cycles'!$EM$20:$ES$20,1,AN214)),AN217),AN217)</f>
        <v>0</v>
      </c>
      <c r="AO219" s="28">
        <f>IF(AO216=1,IF(INDEX('Lease Cycles'!$EF$20:$EL$20,1,AO214)=1,AO217*INDEX('Lease Cycles'!$EM$20:$ES$20,1,AO214)+AO218*(1-INDEX('Lease Cycles'!$EM$20:$ES$20,1,AO214)),AO217),AO217)</f>
        <v>0</v>
      </c>
      <c r="AP219" s="28">
        <f>IF(AP216=1,IF(INDEX('Lease Cycles'!$EF$20:$EL$20,1,AP214)=1,AP217*INDEX('Lease Cycles'!$EM$20:$ES$20,1,AP214)+AP218*(1-INDEX('Lease Cycles'!$EM$20:$ES$20,1,AP214)),AP217),AP217)</f>
        <v>0</v>
      </c>
      <c r="AQ219" s="28">
        <f>IF(AQ216=1,IF(INDEX('Lease Cycles'!$EF$20:$EL$20,1,AQ214)=1,AQ217*INDEX('Lease Cycles'!$EM$20:$ES$20,1,AQ214)+AQ218*(1-INDEX('Lease Cycles'!$EM$20:$ES$20,1,AQ214)),AQ217),AQ217)</f>
        <v>0</v>
      </c>
      <c r="AR219" s="28">
        <f>IF(AR216=1,IF(INDEX('Lease Cycles'!$EF$20:$EL$20,1,AR214)=1,AR217*INDEX('Lease Cycles'!$EM$20:$ES$20,1,AR214)+AR218*(1-INDEX('Lease Cycles'!$EM$20:$ES$20,1,AR214)),AR217),AR217)</f>
        <v>0</v>
      </c>
      <c r="AS219" s="28">
        <f>IF(AS216=1,IF(INDEX('Lease Cycles'!$EF$20:$EL$20,1,AS214)=1,AS217*INDEX('Lease Cycles'!$EM$20:$ES$20,1,AS214)+AS218*(1-INDEX('Lease Cycles'!$EM$20:$ES$20,1,AS214)),AS217),AS217)</f>
        <v>0</v>
      </c>
      <c r="AT219" s="28">
        <f>IF(AT216=1,IF(INDEX('Lease Cycles'!$EF$20:$EL$20,1,AT214)=1,AT217*INDEX('Lease Cycles'!$EM$20:$ES$20,1,AT214)+AT218*(1-INDEX('Lease Cycles'!$EM$20:$ES$20,1,AT214)),AT217),AT217)</f>
        <v>0</v>
      </c>
      <c r="AU219" s="28">
        <f>IF(AU216=1,IF(INDEX('Lease Cycles'!$EF$20:$EL$20,1,AU214)=1,AU217*INDEX('Lease Cycles'!$EM$20:$ES$20,1,AU214)+AU218*(1-INDEX('Lease Cycles'!$EM$20:$ES$20,1,AU214)),AU217),AU217)</f>
        <v>0</v>
      </c>
      <c r="AV219" s="28">
        <f>IF(AV216=1,IF(INDEX('Lease Cycles'!$EF$20:$EL$20,1,AV214)=1,AV217*INDEX('Lease Cycles'!$EM$20:$ES$20,1,AV214)+AV218*(1-INDEX('Lease Cycles'!$EM$20:$ES$20,1,AV214)),AV217),AV217)</f>
        <v>0</v>
      </c>
      <c r="AW219" s="28">
        <f>IF(AW216=1,IF(INDEX('Lease Cycles'!$EF$20:$EL$20,1,AW214)=1,AW217*INDEX('Lease Cycles'!$EM$20:$ES$20,1,AW214)+AW218*(1-INDEX('Lease Cycles'!$EM$20:$ES$20,1,AW214)),AW217),AW217)</f>
        <v>0</v>
      </c>
      <c r="AX219" s="28">
        <f>IF(AX216=1,IF(INDEX('Lease Cycles'!$EF$20:$EL$20,1,AX214)=1,AX217*INDEX('Lease Cycles'!$EM$20:$ES$20,1,AX214)+AX218*(1-INDEX('Lease Cycles'!$EM$20:$ES$20,1,AX214)),AX217),AX217)</f>
        <v>0</v>
      </c>
      <c r="AY219" s="28">
        <f>IF(AY216=1,IF(INDEX('Lease Cycles'!$EF$20:$EL$20,1,AY214)=1,AY217*INDEX('Lease Cycles'!$EM$20:$ES$20,1,AY214)+AY218*(1-INDEX('Lease Cycles'!$EM$20:$ES$20,1,AY214)),AY217),AY217)</f>
        <v>0</v>
      </c>
      <c r="AZ219" s="28">
        <f>IF(AZ216=1,IF(INDEX('Lease Cycles'!$EF$20:$EL$20,1,AZ214)=1,AZ217*INDEX('Lease Cycles'!$EM$20:$ES$20,1,AZ214)+AZ218*(1-INDEX('Lease Cycles'!$EM$20:$ES$20,1,AZ214)),AZ217),AZ217)</f>
        <v>0</v>
      </c>
      <c r="BA219" s="28">
        <f>IF(BA216=1,IF(INDEX('Lease Cycles'!$EF$20:$EL$20,1,BA214)=1,BA217*INDEX('Lease Cycles'!$EM$20:$ES$20,1,BA214)+BA218*(1-INDEX('Lease Cycles'!$EM$20:$ES$20,1,BA214)),BA217),BA217)</f>
        <v>0</v>
      </c>
      <c r="BB219" s="28">
        <f>IF(BB216=1,IF(INDEX('Lease Cycles'!$EF$20:$EL$20,1,BB214)=1,BB217*INDEX('Lease Cycles'!$EM$20:$ES$20,1,BB214)+BB218*(1-INDEX('Lease Cycles'!$EM$20:$ES$20,1,BB214)),BB217),BB217)</f>
        <v>0</v>
      </c>
      <c r="BC219" s="28">
        <f>IF(BC216=1,IF(INDEX('Lease Cycles'!$EF$20:$EL$20,1,BC214)=1,BC217*INDEX('Lease Cycles'!$EM$20:$ES$20,1,BC214)+BC218*(1-INDEX('Lease Cycles'!$EM$20:$ES$20,1,BC214)),BC217),BC217)</f>
        <v>0</v>
      </c>
      <c r="BD219" s="28">
        <f>IF(BD216=1,IF(INDEX('Lease Cycles'!$EF$20:$EL$20,1,BD214)=1,BD217*INDEX('Lease Cycles'!$EM$20:$ES$20,1,BD214)+BD218*(1-INDEX('Lease Cycles'!$EM$20:$ES$20,1,BD214)),BD217),BD217)</f>
        <v>0</v>
      </c>
      <c r="BE219" s="28">
        <f>IF(BE216=1,IF(INDEX('Lease Cycles'!$EF$20:$EL$20,1,BE214)=1,BE217*INDEX('Lease Cycles'!$EM$20:$ES$20,1,BE214)+BE218*(1-INDEX('Lease Cycles'!$EM$20:$ES$20,1,BE214)),BE217),BE217)</f>
        <v>0</v>
      </c>
      <c r="BF219" s="28">
        <f>IF(BF216=1,IF(INDEX('Lease Cycles'!$EF$20:$EL$20,1,BF214)=1,BF217*INDEX('Lease Cycles'!$EM$20:$ES$20,1,BF214)+BF218*(1-INDEX('Lease Cycles'!$EM$20:$ES$20,1,BF214)),BF217),BF217)</f>
        <v>0</v>
      </c>
      <c r="BG219" s="28">
        <f>IF(BG216=1,IF(INDEX('Lease Cycles'!$EF$20:$EL$20,1,BG214)=1,BG217*INDEX('Lease Cycles'!$EM$20:$ES$20,1,BG214)+BG218*(1-INDEX('Lease Cycles'!$EM$20:$ES$20,1,BG214)),BG217),BG217)</f>
        <v>0</v>
      </c>
      <c r="BH219" s="28">
        <f>IF(BH216=1,IF(INDEX('Lease Cycles'!$EF$20:$EL$20,1,BH214)=1,BH217*INDEX('Lease Cycles'!$EM$20:$ES$20,1,BH214)+BH218*(1-INDEX('Lease Cycles'!$EM$20:$ES$20,1,BH214)),BH217),BH217)</f>
        <v>0</v>
      </c>
      <c r="BI219" s="28">
        <f>IF(BI216=1,IF(INDEX('Lease Cycles'!$EF$20:$EL$20,1,BI214)=1,BI217*INDEX('Lease Cycles'!$EM$20:$ES$20,1,BI214)+BI218*(1-INDEX('Lease Cycles'!$EM$20:$ES$20,1,BI214)),BI217),BI217)</f>
        <v>0</v>
      </c>
      <c r="BJ219" s="28">
        <f>IF(BJ216=1,IF(INDEX('Lease Cycles'!$EF$20:$EL$20,1,BJ214)=1,BJ217*INDEX('Lease Cycles'!$EM$20:$ES$20,1,BJ214)+BJ218*(1-INDEX('Lease Cycles'!$EM$20:$ES$20,1,BJ214)),BJ217),BJ217)</f>
        <v>0</v>
      </c>
      <c r="BK219" s="28">
        <f>IF(BK216=1,IF(INDEX('Lease Cycles'!$EF$20:$EL$20,1,BK214)=1,BK217*INDEX('Lease Cycles'!$EM$20:$ES$20,1,BK214)+BK218*(1-INDEX('Lease Cycles'!$EM$20:$ES$20,1,BK214)),BK217),BK217)</f>
        <v>0</v>
      </c>
      <c r="BL219" s="28">
        <f>IF(BL216=1,IF(INDEX('Lease Cycles'!$EF$20:$EL$20,1,BL214)=1,BL217*INDEX('Lease Cycles'!$EM$20:$ES$20,1,BL214)+BL218*(1-INDEX('Lease Cycles'!$EM$20:$ES$20,1,BL214)),BL217),BL217)</f>
        <v>0</v>
      </c>
      <c r="BM219" s="28">
        <f>IF(BM216=1,IF(INDEX('Lease Cycles'!$EF$20:$EL$20,1,BM214)=1,BM217*INDEX('Lease Cycles'!$EM$20:$ES$20,1,BM214)+BM218*(1-INDEX('Lease Cycles'!$EM$20:$ES$20,1,BM214)),BM217),BM217)</f>
        <v>0</v>
      </c>
      <c r="BN219" s="28">
        <f>IF(BN216=1,IF(INDEX('Lease Cycles'!$EF$20:$EL$20,1,BN214)=1,BN217*INDEX('Lease Cycles'!$EM$20:$ES$20,1,BN214)+BN218*(1-INDEX('Lease Cycles'!$EM$20:$ES$20,1,BN214)),BN217),BN217)</f>
        <v>0</v>
      </c>
      <c r="BO219" s="28">
        <f>IF(BO216=1,IF(INDEX('Lease Cycles'!$EF$20:$EL$20,1,BO214)=1,BO217*INDEX('Lease Cycles'!$EM$20:$ES$20,1,BO214)+BO218*(1-INDEX('Lease Cycles'!$EM$20:$ES$20,1,BO214)),BO217),BO217)</f>
        <v>0</v>
      </c>
      <c r="BP219" s="28">
        <f>IF(BP216=1,IF(INDEX('Lease Cycles'!$EF$20:$EL$20,1,BP214)=1,BP217*INDEX('Lease Cycles'!$EM$20:$ES$20,1,BP214)+BP218*(1-INDEX('Lease Cycles'!$EM$20:$ES$20,1,BP214)),BP217),BP217)</f>
        <v>0</v>
      </c>
      <c r="BQ219" s="28">
        <f>IF(BQ216=1,IF(INDEX('Lease Cycles'!$EF$20:$EL$20,1,BQ214)=1,BQ217*INDEX('Lease Cycles'!$EM$20:$ES$20,1,BQ214)+BQ218*(1-INDEX('Lease Cycles'!$EM$20:$ES$20,1,BQ214)),BQ217),BQ217)</f>
        <v>0</v>
      </c>
      <c r="BR219" s="28">
        <f>IF(BR216=1,IF(INDEX('Lease Cycles'!$EF$20:$EL$20,1,BR214)=1,BR217*INDEX('Lease Cycles'!$EM$20:$ES$20,1,BR214)+BR218*(1-INDEX('Lease Cycles'!$EM$20:$ES$20,1,BR214)),BR217),BR217)</f>
        <v>0</v>
      </c>
      <c r="BS219" s="28">
        <f>IF(BS216=1,IF(INDEX('Lease Cycles'!$EF$20:$EL$20,1,BS214)=1,BS217*INDEX('Lease Cycles'!$EM$20:$ES$20,1,BS214)+BS218*(1-INDEX('Lease Cycles'!$EM$20:$ES$20,1,BS214)),BS217),BS217)</f>
        <v>0</v>
      </c>
      <c r="BT219" s="28">
        <f>IF(BT216=1,IF(INDEX('Lease Cycles'!$EF$20:$EL$20,1,BT214)=1,BT217*INDEX('Lease Cycles'!$EM$20:$ES$20,1,BT214)+BT218*(1-INDEX('Lease Cycles'!$EM$20:$ES$20,1,BT214)),BT217),BT217)</f>
        <v>0</v>
      </c>
      <c r="BU219" s="28">
        <f>IF(BU216=1,IF(INDEX('Lease Cycles'!$EF$20:$EL$20,1,BU214)=1,BU217*INDEX('Lease Cycles'!$EM$20:$ES$20,1,BU214)+BU218*(1-INDEX('Lease Cycles'!$EM$20:$ES$20,1,BU214)),BU217),BU217)</f>
        <v>0</v>
      </c>
      <c r="BV219" s="28">
        <f>IF(BV216=1,IF(INDEX('Lease Cycles'!$EF$20:$EL$20,1,BV214)=1,BV217*INDEX('Lease Cycles'!$EM$20:$ES$20,1,BV214)+BV218*(1-INDEX('Lease Cycles'!$EM$20:$ES$20,1,BV214)),BV217),BV217)</f>
        <v>0</v>
      </c>
      <c r="BW219" s="28">
        <f>IF(BW216=1,IF(INDEX('Lease Cycles'!$EF$20:$EL$20,1,BW214)=1,BW217*INDEX('Lease Cycles'!$EM$20:$ES$20,1,BW214)+BW218*(1-INDEX('Lease Cycles'!$EM$20:$ES$20,1,BW214)),BW217),BW217)</f>
        <v>0</v>
      </c>
      <c r="BX219" s="28">
        <f>IF(BX216=1,IF(INDEX('Lease Cycles'!$EF$20:$EL$20,1,BX214)=1,BX217*INDEX('Lease Cycles'!$EM$20:$ES$20,1,BX214)+BX218*(1-INDEX('Lease Cycles'!$EM$20:$ES$20,1,BX214)),BX217),BX217)</f>
        <v>0</v>
      </c>
      <c r="BY219" s="28">
        <f>IF(BY216=1,IF(INDEX('Lease Cycles'!$EF$20:$EL$20,1,BY214)=1,BY217*INDEX('Lease Cycles'!$EM$20:$ES$20,1,BY214)+BY218*(1-INDEX('Lease Cycles'!$EM$20:$ES$20,1,BY214)),BY217),BY217)</f>
        <v>0</v>
      </c>
      <c r="BZ219" s="28">
        <f>IF(BZ216=1,IF(INDEX('Lease Cycles'!$EF$20:$EL$20,1,BZ214)=1,BZ217*INDEX('Lease Cycles'!$EM$20:$ES$20,1,BZ214)+BZ218*(1-INDEX('Lease Cycles'!$EM$20:$ES$20,1,BZ214)),BZ217),BZ217)</f>
        <v>0</v>
      </c>
      <c r="CA219" s="28">
        <f>IF(CA216=1,IF(INDEX('Lease Cycles'!$EF$20:$EL$20,1,CA214)=1,CA217*INDEX('Lease Cycles'!$EM$20:$ES$20,1,CA214)+CA218*(1-INDEX('Lease Cycles'!$EM$20:$ES$20,1,CA214)),CA217),CA217)</f>
        <v>0</v>
      </c>
      <c r="CB219" s="28">
        <f>IF(CB216=1,IF(INDEX('Lease Cycles'!$EF$20:$EL$20,1,CB214)=1,CB217*INDEX('Lease Cycles'!$EM$20:$ES$20,1,CB214)+CB218*(1-INDEX('Lease Cycles'!$EM$20:$ES$20,1,CB214)),CB217),CB217)</f>
        <v>0</v>
      </c>
      <c r="CC219" s="28">
        <f>IF(CC216=1,IF(INDEX('Lease Cycles'!$EF$20:$EL$20,1,CC214)=1,CC217*INDEX('Lease Cycles'!$EM$20:$ES$20,1,CC214)+CC218*(1-INDEX('Lease Cycles'!$EM$20:$ES$20,1,CC214)),CC217),CC217)</f>
        <v>0</v>
      </c>
      <c r="CD219" s="28">
        <f>IF(CD216=1,IF(INDEX('Lease Cycles'!$EF$20:$EL$20,1,CD214)=1,CD217*INDEX('Lease Cycles'!$EM$20:$ES$20,1,CD214)+CD218*(1-INDEX('Lease Cycles'!$EM$20:$ES$20,1,CD214)),CD217),CD217)</f>
        <v>0</v>
      </c>
      <c r="CE219" s="28">
        <f>IF(CE216=1,IF(INDEX('Lease Cycles'!$EF$20:$EL$20,1,CE214)=1,CE217*INDEX('Lease Cycles'!$EM$20:$ES$20,1,CE214)+CE218*(1-INDEX('Lease Cycles'!$EM$20:$ES$20,1,CE214)),CE217),CE217)</f>
        <v>0</v>
      </c>
      <c r="CF219" s="28">
        <f>IF(CF216=1,IF(INDEX('Lease Cycles'!$EF$20:$EL$20,1,CF214)=1,CF217*INDEX('Lease Cycles'!$EM$20:$ES$20,1,CF214)+CF218*(1-INDEX('Lease Cycles'!$EM$20:$ES$20,1,CF214)),CF217),CF217)</f>
        <v>0</v>
      </c>
      <c r="CG219" s="28">
        <f>IF(CG216=1,IF(INDEX('Lease Cycles'!$EF$20:$EL$20,1,CG214)=1,CG217*INDEX('Lease Cycles'!$EM$20:$ES$20,1,CG214)+CG218*(1-INDEX('Lease Cycles'!$EM$20:$ES$20,1,CG214)),CG217),CG217)</f>
        <v>0</v>
      </c>
      <c r="CH219" s="28">
        <f>IF(CH216=1,IF(INDEX('Lease Cycles'!$EF$20:$EL$20,1,CH214)=1,CH217*INDEX('Lease Cycles'!$EM$20:$ES$20,1,CH214)+CH218*(1-INDEX('Lease Cycles'!$EM$20:$ES$20,1,CH214)),CH217),CH217)</f>
        <v>0</v>
      </c>
      <c r="CI219" s="28">
        <f>IF(CI216=1,IF(INDEX('Lease Cycles'!$EF$20:$EL$20,1,CI214)=1,CI217*INDEX('Lease Cycles'!$EM$20:$ES$20,1,CI214)+CI218*(1-INDEX('Lease Cycles'!$EM$20:$ES$20,1,CI214)),CI217),CI217)</f>
        <v>0</v>
      </c>
      <c r="CJ219" s="28">
        <f>IF(CJ216=1,IF(INDEX('Lease Cycles'!$EF$20:$EL$20,1,CJ214)=1,CJ217*INDEX('Lease Cycles'!$EM$20:$ES$20,1,CJ214)+CJ218*(1-INDEX('Lease Cycles'!$EM$20:$ES$20,1,CJ214)),CJ217),CJ217)</f>
        <v>0</v>
      </c>
      <c r="CK219" s="28">
        <f>IF(CK216=1,IF(INDEX('Lease Cycles'!$EF$20:$EL$20,1,CK214)=1,CK217*INDEX('Lease Cycles'!$EM$20:$ES$20,1,CK214)+CK218*(1-INDEX('Lease Cycles'!$EM$20:$ES$20,1,CK214)),CK217),CK217)</f>
        <v>0</v>
      </c>
      <c r="CL219" s="28">
        <f>IF(CL216=1,IF(INDEX('Lease Cycles'!$EF$20:$EL$20,1,CL214)=1,CL217*INDEX('Lease Cycles'!$EM$20:$ES$20,1,CL214)+CL218*(1-INDEX('Lease Cycles'!$EM$20:$ES$20,1,CL214)),CL217),CL217)</f>
        <v>0</v>
      </c>
      <c r="CM219" s="28">
        <f>IF(CM216=1,IF(INDEX('Lease Cycles'!$EF$20:$EL$20,1,CM214)=1,CM217*INDEX('Lease Cycles'!$EM$20:$ES$20,1,CM214)+CM218*(1-INDEX('Lease Cycles'!$EM$20:$ES$20,1,CM214)),CM217),CM217)</f>
        <v>0</v>
      </c>
      <c r="CN219" s="28">
        <f>IF(CN216=1,IF(INDEX('Lease Cycles'!$EF$20:$EL$20,1,CN214)=1,CN217*INDEX('Lease Cycles'!$EM$20:$ES$20,1,CN214)+CN218*(1-INDEX('Lease Cycles'!$EM$20:$ES$20,1,CN214)),CN217),CN217)</f>
        <v>0</v>
      </c>
      <c r="CO219" s="28">
        <f>IF(CO216=1,IF(INDEX('Lease Cycles'!$EF$20:$EL$20,1,CO214)=1,CO217*INDEX('Lease Cycles'!$EM$20:$ES$20,1,CO214)+CO218*(1-INDEX('Lease Cycles'!$EM$20:$ES$20,1,CO214)),CO217),CO217)</f>
        <v>0</v>
      </c>
      <c r="CP219" s="28">
        <f>IF(CP216=1,IF(INDEX('Lease Cycles'!$EF$20:$EL$20,1,CP214)=1,CP217*INDEX('Lease Cycles'!$EM$20:$ES$20,1,CP214)+CP218*(1-INDEX('Lease Cycles'!$EM$20:$ES$20,1,CP214)),CP217),CP217)</f>
        <v>0</v>
      </c>
      <c r="CQ219" s="28">
        <f>IF(CQ216=1,IF(INDEX('Lease Cycles'!$EF$20:$EL$20,1,CQ214)=1,CQ217*INDEX('Lease Cycles'!$EM$20:$ES$20,1,CQ214)+CQ218*(1-INDEX('Lease Cycles'!$EM$20:$ES$20,1,CQ214)),CQ217),CQ217)</f>
        <v>0</v>
      </c>
      <c r="CR219" s="28">
        <f>IF(CR216=1,IF(INDEX('Lease Cycles'!$EF$20:$EL$20,1,CR214)=1,CR217*INDEX('Lease Cycles'!$EM$20:$ES$20,1,CR214)+CR218*(1-INDEX('Lease Cycles'!$EM$20:$ES$20,1,CR214)),CR217),CR217)</f>
        <v>0</v>
      </c>
      <c r="CS219" s="28">
        <f>IF(CS216=1,IF(INDEX('Lease Cycles'!$EF$20:$EL$20,1,CS214)=1,CS217*INDEX('Lease Cycles'!$EM$20:$ES$20,1,CS214)+CS218*(1-INDEX('Lease Cycles'!$EM$20:$ES$20,1,CS214)),CS217),CS217)</f>
        <v>0</v>
      </c>
      <c r="CT219" s="28">
        <f>IF(CT216=1,IF(INDEX('Lease Cycles'!$EF$20:$EL$20,1,CT214)=1,CT217*INDEX('Lease Cycles'!$EM$20:$ES$20,1,CT214)+CT218*(1-INDEX('Lease Cycles'!$EM$20:$ES$20,1,CT214)),CT217),CT217)</f>
        <v>0</v>
      </c>
      <c r="CU219" s="28">
        <f>IF(CU216=1,IF(INDEX('Lease Cycles'!$EF$20:$EL$20,1,CU214)=1,CU217*INDEX('Lease Cycles'!$EM$20:$ES$20,1,CU214)+CU218*(1-INDEX('Lease Cycles'!$EM$20:$ES$20,1,CU214)),CU217),CU217)</f>
        <v>0</v>
      </c>
      <c r="CV219" s="28">
        <f>IF(CV216=1,IF(INDEX('Lease Cycles'!$EF$20:$EL$20,1,CV214)=1,CV217*INDEX('Lease Cycles'!$EM$20:$ES$20,1,CV214)+CV218*(1-INDEX('Lease Cycles'!$EM$20:$ES$20,1,CV214)),CV217),CV217)</f>
        <v>0</v>
      </c>
      <c r="CW219" s="28">
        <f>IF(CW216=1,IF(INDEX('Lease Cycles'!$EF$20:$EL$20,1,CW214)=1,CW217*INDEX('Lease Cycles'!$EM$20:$ES$20,1,CW214)+CW218*(1-INDEX('Lease Cycles'!$EM$20:$ES$20,1,CW214)),CW217),CW217)</f>
        <v>0</v>
      </c>
      <c r="CX219" s="28">
        <f>IF(CX216=1,IF(INDEX('Lease Cycles'!$EF$20:$EL$20,1,CX214)=1,CX217*INDEX('Lease Cycles'!$EM$20:$ES$20,1,CX214)+CX218*(1-INDEX('Lease Cycles'!$EM$20:$ES$20,1,CX214)),CX217),CX217)</f>
        <v>0</v>
      </c>
      <c r="CY219" s="28">
        <f>IF(CY216=1,IF(INDEX('Lease Cycles'!$EF$20:$EL$20,1,CY214)=1,CY217*INDEX('Lease Cycles'!$EM$20:$ES$20,1,CY214)+CY218*(1-INDEX('Lease Cycles'!$EM$20:$ES$20,1,CY214)),CY217),CY217)</f>
        <v>0</v>
      </c>
      <c r="CZ219" s="28">
        <f>IF(CZ216=1,IF(INDEX('Lease Cycles'!$EF$20:$EL$20,1,CZ214)=1,CZ217*INDEX('Lease Cycles'!$EM$20:$ES$20,1,CZ214)+CZ218*(1-INDEX('Lease Cycles'!$EM$20:$ES$20,1,CZ214)),CZ217),CZ217)</f>
        <v>0</v>
      </c>
      <c r="DA219" s="28">
        <f>IF(DA216=1,IF(INDEX('Lease Cycles'!$EF$20:$EL$20,1,DA214)=1,DA217*INDEX('Lease Cycles'!$EM$20:$ES$20,1,DA214)+DA218*(1-INDEX('Lease Cycles'!$EM$20:$ES$20,1,DA214)),DA217),DA217)</f>
        <v>0</v>
      </c>
      <c r="DB219" s="28">
        <f>IF(DB216=1,IF(INDEX('Lease Cycles'!$EF$20:$EL$20,1,DB214)=1,DB217*INDEX('Lease Cycles'!$EM$20:$ES$20,1,DB214)+DB218*(1-INDEX('Lease Cycles'!$EM$20:$ES$20,1,DB214)),DB217),DB217)</f>
        <v>0</v>
      </c>
      <c r="DC219" s="28">
        <f>IF(DC216=1,IF(INDEX('Lease Cycles'!$EF$20:$EL$20,1,DC214)=1,DC217*INDEX('Lease Cycles'!$EM$20:$ES$20,1,DC214)+DC218*(1-INDEX('Lease Cycles'!$EM$20:$ES$20,1,DC214)),DC217),DC217)</f>
        <v>0</v>
      </c>
      <c r="DD219" s="28">
        <f>IF(DD216=1,IF(INDEX('Lease Cycles'!$EF$20:$EL$20,1,DD214)=1,DD217*INDEX('Lease Cycles'!$EM$20:$ES$20,1,DD214)+DD218*(1-INDEX('Lease Cycles'!$EM$20:$ES$20,1,DD214)),DD217),DD217)</f>
        <v>0</v>
      </c>
      <c r="DE219" s="28">
        <f>IF(DE216=1,IF(INDEX('Lease Cycles'!$EF$20:$EL$20,1,DE214)=1,DE217*INDEX('Lease Cycles'!$EM$20:$ES$20,1,DE214)+DE218*(1-INDEX('Lease Cycles'!$EM$20:$ES$20,1,DE214)),DE217),DE217)</f>
        <v>0</v>
      </c>
      <c r="DF219" s="28">
        <f>IF(DF216=1,IF(INDEX('Lease Cycles'!$EF$20:$EL$20,1,DF214)=1,DF217*INDEX('Lease Cycles'!$EM$20:$ES$20,1,DF214)+DF218*(1-INDEX('Lease Cycles'!$EM$20:$ES$20,1,DF214)),DF217),DF217)</f>
        <v>0</v>
      </c>
      <c r="DG219" s="28">
        <f>IF(DG216=1,IF(INDEX('Lease Cycles'!$EF$20:$EL$20,1,DG214)=1,DG217*INDEX('Lease Cycles'!$EM$20:$ES$20,1,DG214)+DG218*(1-INDEX('Lease Cycles'!$EM$20:$ES$20,1,DG214)),DG217),DG217)</f>
        <v>0</v>
      </c>
      <c r="DH219" s="28">
        <f>IF(DH216=1,IF(INDEX('Lease Cycles'!$EF$20:$EL$20,1,DH214)=1,DH217*INDEX('Lease Cycles'!$EM$20:$ES$20,1,DH214)+DH218*(1-INDEX('Lease Cycles'!$EM$20:$ES$20,1,DH214)),DH217),DH217)</f>
        <v>0</v>
      </c>
      <c r="DI219" s="28">
        <f>IF(DI216=1,IF(INDEX('Lease Cycles'!$EF$20:$EL$20,1,DI214)=1,DI217*INDEX('Lease Cycles'!$EM$20:$ES$20,1,DI214)+DI218*(1-INDEX('Lease Cycles'!$EM$20:$ES$20,1,DI214)),DI217),DI217)</f>
        <v>0</v>
      </c>
      <c r="DJ219" s="28">
        <f>IF(DJ216=1,IF(INDEX('Lease Cycles'!$EF$20:$EL$20,1,DJ214)=1,DJ217*INDEX('Lease Cycles'!$EM$20:$ES$20,1,DJ214)+DJ218*(1-INDEX('Lease Cycles'!$EM$20:$ES$20,1,DJ214)),DJ217),DJ217)</f>
        <v>0</v>
      </c>
      <c r="DK219" s="28">
        <f>IF(DK216=1,IF(INDEX('Lease Cycles'!$EF$20:$EL$20,1,DK214)=1,DK217*INDEX('Lease Cycles'!$EM$20:$ES$20,1,DK214)+DK218*(1-INDEX('Lease Cycles'!$EM$20:$ES$20,1,DK214)),DK217),DK217)</f>
        <v>0</v>
      </c>
      <c r="DL219" s="28">
        <f>IF(DL216=1,IF(INDEX('Lease Cycles'!$EF$20:$EL$20,1,DL214)=1,DL217*INDEX('Lease Cycles'!$EM$20:$ES$20,1,DL214)+DL218*(1-INDEX('Lease Cycles'!$EM$20:$ES$20,1,DL214)),DL217),DL217)</f>
        <v>0</v>
      </c>
      <c r="DM219" s="28">
        <f>IF(DM216=1,IF(INDEX('Lease Cycles'!$EF$20:$EL$20,1,DM214)=1,DM217*INDEX('Lease Cycles'!$EM$20:$ES$20,1,DM214)+DM218*(1-INDEX('Lease Cycles'!$EM$20:$ES$20,1,DM214)),DM217),DM217)</f>
        <v>0</v>
      </c>
      <c r="DN219" s="28">
        <f>IF(DN216=1,IF(INDEX('Lease Cycles'!$EF$20:$EL$20,1,DN214)=1,DN217*INDEX('Lease Cycles'!$EM$20:$ES$20,1,DN214)+DN218*(1-INDEX('Lease Cycles'!$EM$20:$ES$20,1,DN214)),DN217),DN217)</f>
        <v>0</v>
      </c>
      <c r="DO219" s="28">
        <f>IF(DO216=1,IF(INDEX('Lease Cycles'!$EF$20:$EL$20,1,DO214)=1,DO217*INDEX('Lease Cycles'!$EM$20:$ES$20,1,DO214)+DO218*(1-INDEX('Lease Cycles'!$EM$20:$ES$20,1,DO214)),DO217),DO217)</f>
        <v>0</v>
      </c>
      <c r="DP219" s="28">
        <f>IF(DP216=1,IF(INDEX('Lease Cycles'!$EF$20:$EL$20,1,DP214)=1,DP217*INDEX('Lease Cycles'!$EM$20:$ES$20,1,DP214)+DP218*(1-INDEX('Lease Cycles'!$EM$20:$ES$20,1,DP214)),DP217),DP217)</f>
        <v>0</v>
      </c>
      <c r="DQ219" s="28">
        <f>IF(DQ216=1,IF(INDEX('Lease Cycles'!$EF$20:$EL$20,1,DQ214)=1,DQ217*INDEX('Lease Cycles'!$EM$20:$ES$20,1,DQ214)+DQ218*(1-INDEX('Lease Cycles'!$EM$20:$ES$20,1,DQ214)),DQ217),DQ217)</f>
        <v>0</v>
      </c>
      <c r="DR219" s="28">
        <f>IF(DR216=1,IF(INDEX('Lease Cycles'!$EF$20:$EL$20,1,DR214)=1,DR217*INDEX('Lease Cycles'!$EM$20:$ES$20,1,DR214)+DR218*(1-INDEX('Lease Cycles'!$EM$20:$ES$20,1,DR214)),DR217),DR217)</f>
        <v>0</v>
      </c>
      <c r="DS219" s="28">
        <f>IF(DS216=1,IF(INDEX('Lease Cycles'!$EF$20:$EL$20,1,DS214)=1,DS217*INDEX('Lease Cycles'!$EM$20:$ES$20,1,DS214)+DS218*(1-INDEX('Lease Cycles'!$EM$20:$ES$20,1,DS214)),DS217),DS217)</f>
        <v>0</v>
      </c>
      <c r="DT219" s="28">
        <f>IF(DT216=1,IF(INDEX('Lease Cycles'!$EF$20:$EL$20,1,DT214)=1,DT217*INDEX('Lease Cycles'!$EM$20:$ES$20,1,DT214)+DT218*(1-INDEX('Lease Cycles'!$EM$20:$ES$20,1,DT214)),DT217),DT217)</f>
        <v>0</v>
      </c>
      <c r="DU219" s="28">
        <f>IF(DU216=1,IF(INDEX('Lease Cycles'!$EF$20:$EL$20,1,DU214)=1,DU217*INDEX('Lease Cycles'!$EM$20:$ES$20,1,DU214)+DU218*(1-INDEX('Lease Cycles'!$EM$20:$ES$20,1,DU214)),DU217),DU217)</f>
        <v>0</v>
      </c>
      <c r="DV219" s="28">
        <f>IF(DV216=1,IF(INDEX('Lease Cycles'!$EF$20:$EL$20,1,DV214)=1,DV217*INDEX('Lease Cycles'!$EM$20:$ES$20,1,DV214)+DV218*(1-INDEX('Lease Cycles'!$EM$20:$ES$20,1,DV214)),DV217),DV217)</f>
        <v>0</v>
      </c>
      <c r="DW219" s="28">
        <f>IF(DW216=1,IF(INDEX('Lease Cycles'!$EF$20:$EL$20,1,DW214)=1,DW217*INDEX('Lease Cycles'!$EM$20:$ES$20,1,DW214)+DW218*(1-INDEX('Lease Cycles'!$EM$20:$ES$20,1,DW214)),DW217),DW217)</f>
        <v>0</v>
      </c>
      <c r="DX219" s="28">
        <f>IF(DX216=1,IF(INDEX('Lease Cycles'!$EF$20:$EL$20,1,DX214)=1,DX217*INDEX('Lease Cycles'!$EM$20:$ES$20,1,DX214)+DX218*(1-INDEX('Lease Cycles'!$EM$20:$ES$20,1,DX214)),DX217),DX217)</f>
        <v>0</v>
      </c>
      <c r="DY219" s="28">
        <f>IF(DY216=1,IF(INDEX('Lease Cycles'!$EF$20:$EL$20,1,DY214)=1,DY217*INDEX('Lease Cycles'!$EM$20:$ES$20,1,DY214)+DY218*(1-INDEX('Lease Cycles'!$EM$20:$ES$20,1,DY214)),DY217),DY217)</f>
        <v>0</v>
      </c>
      <c r="DZ219" s="28">
        <f>IF(DZ216=1,IF(INDEX('Lease Cycles'!$EF$20:$EL$20,1,DZ214)=1,DZ217*INDEX('Lease Cycles'!$EM$20:$ES$20,1,DZ214)+DZ218*(1-INDEX('Lease Cycles'!$EM$20:$ES$20,1,DZ214)),DZ217),DZ217)</f>
        <v>0</v>
      </c>
      <c r="EA219" s="28">
        <f>IF(EA216=1,IF(INDEX('Lease Cycles'!$EF$20:$EL$20,1,EA214)=1,EA217*INDEX('Lease Cycles'!$EM$20:$ES$20,1,EA214)+EA218*(1-INDEX('Lease Cycles'!$EM$20:$ES$20,1,EA214)),EA217),EA217)</f>
        <v>0</v>
      </c>
      <c r="EB219" s="28">
        <f>IF(EB216=1,IF(INDEX('Lease Cycles'!$EF$20:$EL$20,1,EB214)=1,EB217*INDEX('Lease Cycles'!$EM$20:$ES$20,1,EB214)+EB218*(1-INDEX('Lease Cycles'!$EM$20:$ES$20,1,EB214)),EB217),EB217)</f>
        <v>0</v>
      </c>
      <c r="EC219" s="28">
        <f>IF(EC216=1,IF(INDEX('Lease Cycles'!$EF$20:$EL$20,1,EC214)=1,EC217*INDEX('Lease Cycles'!$EM$20:$ES$20,1,EC214)+EC218*(1-INDEX('Lease Cycles'!$EM$20:$ES$20,1,EC214)),EC217),EC217)</f>
        <v>0</v>
      </c>
      <c r="ED219" s="28">
        <f>IF(ED216=1,IF(INDEX('Lease Cycles'!$EF$20:$EL$20,1,ED214)=1,ED217*INDEX('Lease Cycles'!$EM$20:$ES$20,1,ED214)+ED218*(1-INDEX('Lease Cycles'!$EM$20:$ES$20,1,ED214)),ED217),ED217)</f>
        <v>0</v>
      </c>
      <c r="EE219" s="28">
        <f>IF(EE216=1,IF(INDEX('Lease Cycles'!$EF$20:$EL$20,1,EE214)=1,EE217*INDEX('Lease Cycles'!$EM$20:$ES$20,1,EE214)+EE218*(1-INDEX('Lease Cycles'!$EM$20:$ES$20,1,EE214)),EE217),EE217)</f>
        <v>0</v>
      </c>
      <c r="EF219" s="28">
        <f>IF(EF216=1,IF(INDEX('Lease Cycles'!$EF$20:$EL$20,1,EF214)=1,EF217*INDEX('Lease Cycles'!$EM$20:$ES$20,1,EF214)+EF218*(1-INDEX('Lease Cycles'!$EM$20:$ES$20,1,EF214)),EF217),EF217)</f>
        <v>0</v>
      </c>
      <c r="EG219" s="28">
        <f>IF(EG216=1,IF(INDEX('Lease Cycles'!$EF$20:$EL$20,1,EG214)=1,EG217*INDEX('Lease Cycles'!$EM$20:$ES$20,1,EG214)+EG218*(1-INDEX('Lease Cycles'!$EM$20:$ES$20,1,EG214)),EG217),EG217)</f>
        <v>0</v>
      </c>
      <c r="EH219" s="28">
        <f>IF(EH216=1,IF(INDEX('Lease Cycles'!$EF$20:$EL$20,1,EH214)=1,EH217*INDEX('Lease Cycles'!$EM$20:$ES$20,1,EH214)+EH218*(1-INDEX('Lease Cycles'!$EM$20:$ES$20,1,EH214)),EH217),EH217)</f>
        <v>0</v>
      </c>
      <c r="EI219" s="28">
        <f>IF(EI216=1,IF(INDEX('Lease Cycles'!$EF$20:$EL$20,1,EI214)=1,EI217*INDEX('Lease Cycles'!$EM$20:$ES$20,1,EI214)+EI218*(1-INDEX('Lease Cycles'!$EM$20:$ES$20,1,EI214)),EI217),EI217)</f>
        <v>0</v>
      </c>
      <c r="EJ219" s="28">
        <f>IF(EJ216=1,IF(INDEX('Lease Cycles'!$EF$20:$EL$20,1,EJ214)=1,EJ217*INDEX('Lease Cycles'!$EM$20:$ES$20,1,EJ214)+EJ218*(1-INDEX('Lease Cycles'!$EM$20:$ES$20,1,EJ214)),EJ217),EJ217)</f>
        <v>0</v>
      </c>
      <c r="EK219" s="28">
        <f>IF(EK216=1,IF(INDEX('Lease Cycles'!$EF$20:$EL$20,1,EK214)=1,EK217*INDEX('Lease Cycles'!$EM$20:$ES$20,1,EK214)+EK218*(1-INDEX('Lease Cycles'!$EM$20:$ES$20,1,EK214)),EK217),EK217)</f>
        <v>0</v>
      </c>
      <c r="EL219" s="28">
        <f>IF(EL216=1,IF(INDEX('Lease Cycles'!$EF$20:$EL$20,1,EL214)=1,EL217*INDEX('Lease Cycles'!$EM$20:$ES$20,1,EL214)+EL218*(1-INDEX('Lease Cycles'!$EM$20:$ES$20,1,EL214)),EL217),EL217)</f>
        <v>0</v>
      </c>
      <c r="EM219" s="28">
        <f>IF(EM216=1,IF(INDEX('Lease Cycles'!$EF$20:$EL$20,1,EM214)=1,EM217*INDEX('Lease Cycles'!$EM$20:$ES$20,1,EM214)+EM218*(1-INDEX('Lease Cycles'!$EM$20:$ES$20,1,EM214)),EM217),EM217)</f>
        <v>0</v>
      </c>
      <c r="EN219" s="28">
        <f>IF(EN216=1,IF(INDEX('Lease Cycles'!$EF$20:$EL$20,1,EN214)=1,EN217*INDEX('Lease Cycles'!$EM$20:$ES$20,1,EN214)+EN218*(1-INDEX('Lease Cycles'!$EM$20:$ES$20,1,EN214)),EN217),EN217)</f>
        <v>0</v>
      </c>
      <c r="EO219" s="28">
        <f>IF(EO216=1,IF(INDEX('Lease Cycles'!$EF$20:$EL$20,1,EO214)=1,EO217*INDEX('Lease Cycles'!$EM$20:$ES$20,1,EO214)+EO218*(1-INDEX('Lease Cycles'!$EM$20:$ES$20,1,EO214)),EO217),EO217)</f>
        <v>0</v>
      </c>
      <c r="EP219" s="28">
        <f>IF(EP216=1,IF(INDEX('Lease Cycles'!$EF$20:$EL$20,1,EP214)=1,EP217*INDEX('Lease Cycles'!$EM$20:$ES$20,1,EP214)+EP218*(1-INDEX('Lease Cycles'!$EM$20:$ES$20,1,EP214)),EP217),EP217)</f>
        <v>0</v>
      </c>
      <c r="EQ219" s="28">
        <f>IF(EQ216=1,IF(INDEX('Lease Cycles'!$EF$20:$EL$20,1,EQ214)=1,EQ217*INDEX('Lease Cycles'!$EM$20:$ES$20,1,EQ214)+EQ218*(1-INDEX('Lease Cycles'!$EM$20:$ES$20,1,EQ214)),EQ217),EQ217)</f>
        <v>0</v>
      </c>
      <c r="ER219" s="28">
        <f>IF(ER216=1,IF(INDEX('Lease Cycles'!$EF$20:$EL$20,1,ER214)=1,ER217*INDEX('Lease Cycles'!$EM$20:$ES$20,1,ER214)+ER218*(1-INDEX('Lease Cycles'!$EM$20:$ES$20,1,ER214)),ER217),ER217)</f>
        <v>0</v>
      </c>
      <c r="ES219" s="28">
        <f>IF(ES216=1,IF(INDEX('Lease Cycles'!$EF$20:$EL$20,1,ES214)=1,ES217*INDEX('Lease Cycles'!$EM$20:$ES$20,1,ES214)+ES218*(1-INDEX('Lease Cycles'!$EM$20:$ES$20,1,ES214)),ES217),ES217)</f>
        <v>0</v>
      </c>
      <c r="ET219" s="28">
        <f>IF(ET216=1,IF(INDEX('Lease Cycles'!$EF$20:$EL$20,1,ET214)=1,ET217*INDEX('Lease Cycles'!$EM$20:$ES$20,1,ET214)+ET218*(1-INDEX('Lease Cycles'!$EM$20:$ES$20,1,ET214)),ET217),ET217)</f>
        <v>0</v>
      </c>
    </row>
    <row r="220">
      <c r="A220" s="103">
        <v>13</v>
      </c>
      <c r="B220" s="23" t="str">
        <f>IF('Lease Cycles'!$B$20="","(empty slot)",'Lease Cycles'!$B$20)</f>
        <v>(empty slot)</v>
      </c>
      <c r="C220" s="23" t="s">
        <v>682</v>
      </c>
      <c r="D220" s="104" t="s">
        <v>495</v>
      </c>
      <c r="E220" s="25">
        <f>'Lease Cycles'!$AL$20</f>
        <v>0</v>
      </c>
      <c r="G220" s="28">
        <f>SUM(S220:AD220)</f>
        <v>0</v>
      </c>
      <c r="H220" s="28">
        <f>SUM(AE220:AP220)</f>
        <v>0</v>
      </c>
      <c r="I220" s="28">
        <f>SUM(AQ220:BB220)</f>
        <v>0</v>
      </c>
      <c r="J220" s="28">
        <f>SUM(BC220:BN220)</f>
        <v>0</v>
      </c>
      <c r="K220" s="28">
        <f>SUM(BO220:BZ220)</f>
        <v>0</v>
      </c>
      <c r="L220" s="28">
        <f>SUM(CA220:CL220)</f>
        <v>0</v>
      </c>
      <c r="M220" s="28">
        <f>SUM(CM220:CX220)</f>
        <v>0</v>
      </c>
      <c r="N220" s="28">
        <f>SUM(CY220:DJ220)</f>
        <v>0</v>
      </c>
      <c r="O220" s="28">
        <f>SUM(DK220:DV220)</f>
        <v>0</v>
      </c>
      <c r="P220" s="28">
        <f>SUM(DW220:EH220)</f>
        <v>0</v>
      </c>
      <c r="Q220" s="28">
        <f>SUM(EI220:ET220)</f>
        <v>0</v>
      </c>
      <c r="S220" s="28">
        <f>IF(S216=1,IF(INDEX('Lease Cycles'!$EF$20:$EL$20,1,S214)=1,S217*INDEX('Lease Cycles'!$EM$20:$ES$20,1,S214)+S218*IF(S215&lt;INDEX('Lease Cycles'!$FA$20:$FG$20,1,S214),0,1-INDEX('Lease Cycles'!$EM$20:$ES$20,1,S214)),S217*IF(S215&lt;INDEX('Lease Cycles'!$DK$20:$DQ$20,1,S214),0,IF(S215=INDEX('Lease Cycles'!$DK$20:$DQ$20,1,S214),1-INDEX('Lease Cycles'!$DR$20:$DX$20,1,S214),1))),0)</f>
        <v>0</v>
      </c>
      <c r="T220" s="28">
        <f>IF(T216=1,IF(INDEX('Lease Cycles'!$EF$20:$EL$20,1,T214)=1,T217*INDEX('Lease Cycles'!$EM$20:$ES$20,1,T214)+T218*IF(T215&lt;INDEX('Lease Cycles'!$FA$20:$FG$20,1,T214),0,1-INDEX('Lease Cycles'!$EM$20:$ES$20,1,T214)),T217*IF(T215&lt;INDEX('Lease Cycles'!$DK$20:$DQ$20,1,T214),0,IF(T215=INDEX('Lease Cycles'!$DK$20:$DQ$20,1,T214),1-INDEX('Lease Cycles'!$DR$20:$DX$20,1,T214),1))),0)</f>
        <v>0</v>
      </c>
      <c r="U220" s="28">
        <f>IF(U216=1,IF(INDEX('Lease Cycles'!$EF$20:$EL$20,1,U214)=1,U217*INDEX('Lease Cycles'!$EM$20:$ES$20,1,U214)+U218*IF(U215&lt;INDEX('Lease Cycles'!$FA$20:$FG$20,1,U214),0,1-INDEX('Lease Cycles'!$EM$20:$ES$20,1,U214)),U217*IF(U215&lt;INDEX('Lease Cycles'!$DK$20:$DQ$20,1,U214),0,IF(U215=INDEX('Lease Cycles'!$DK$20:$DQ$20,1,U214),1-INDEX('Lease Cycles'!$DR$20:$DX$20,1,U214),1))),0)</f>
        <v>0</v>
      </c>
      <c r="V220" s="28">
        <f>IF(V216=1,IF(INDEX('Lease Cycles'!$EF$20:$EL$20,1,V214)=1,V217*INDEX('Lease Cycles'!$EM$20:$ES$20,1,V214)+V218*IF(V215&lt;INDEX('Lease Cycles'!$FA$20:$FG$20,1,V214),0,1-INDEX('Lease Cycles'!$EM$20:$ES$20,1,V214)),V217*IF(V215&lt;INDEX('Lease Cycles'!$DK$20:$DQ$20,1,V214),0,IF(V215=INDEX('Lease Cycles'!$DK$20:$DQ$20,1,V214),1-INDEX('Lease Cycles'!$DR$20:$DX$20,1,V214),1))),0)</f>
        <v>0</v>
      </c>
      <c r="W220" s="28">
        <f>IF(W216=1,IF(INDEX('Lease Cycles'!$EF$20:$EL$20,1,W214)=1,W217*INDEX('Lease Cycles'!$EM$20:$ES$20,1,W214)+W218*IF(W215&lt;INDEX('Lease Cycles'!$FA$20:$FG$20,1,W214),0,1-INDEX('Lease Cycles'!$EM$20:$ES$20,1,W214)),W217*IF(W215&lt;INDEX('Lease Cycles'!$DK$20:$DQ$20,1,W214),0,IF(W215=INDEX('Lease Cycles'!$DK$20:$DQ$20,1,W214),1-INDEX('Lease Cycles'!$DR$20:$DX$20,1,W214),1))),0)</f>
        <v>0</v>
      </c>
      <c r="X220" s="28">
        <f>IF(X216=1,IF(INDEX('Lease Cycles'!$EF$20:$EL$20,1,X214)=1,X217*INDEX('Lease Cycles'!$EM$20:$ES$20,1,X214)+X218*IF(X215&lt;INDEX('Lease Cycles'!$FA$20:$FG$20,1,X214),0,1-INDEX('Lease Cycles'!$EM$20:$ES$20,1,X214)),X217*IF(X215&lt;INDEX('Lease Cycles'!$DK$20:$DQ$20,1,X214),0,IF(X215=INDEX('Lease Cycles'!$DK$20:$DQ$20,1,X214),1-INDEX('Lease Cycles'!$DR$20:$DX$20,1,X214),1))),0)</f>
        <v>0</v>
      </c>
      <c r="Y220" s="28">
        <f>IF(Y216=1,IF(INDEX('Lease Cycles'!$EF$20:$EL$20,1,Y214)=1,Y217*INDEX('Lease Cycles'!$EM$20:$ES$20,1,Y214)+Y218*IF(Y215&lt;INDEX('Lease Cycles'!$FA$20:$FG$20,1,Y214),0,1-INDEX('Lease Cycles'!$EM$20:$ES$20,1,Y214)),Y217*IF(Y215&lt;INDEX('Lease Cycles'!$DK$20:$DQ$20,1,Y214),0,IF(Y215=INDEX('Lease Cycles'!$DK$20:$DQ$20,1,Y214),1-INDEX('Lease Cycles'!$DR$20:$DX$20,1,Y214),1))),0)</f>
        <v>0</v>
      </c>
      <c r="Z220" s="28">
        <f>IF(Z216=1,IF(INDEX('Lease Cycles'!$EF$20:$EL$20,1,Z214)=1,Z217*INDEX('Lease Cycles'!$EM$20:$ES$20,1,Z214)+Z218*IF(Z215&lt;INDEX('Lease Cycles'!$FA$20:$FG$20,1,Z214),0,1-INDEX('Lease Cycles'!$EM$20:$ES$20,1,Z214)),Z217*IF(Z215&lt;INDEX('Lease Cycles'!$DK$20:$DQ$20,1,Z214),0,IF(Z215=INDEX('Lease Cycles'!$DK$20:$DQ$20,1,Z214),1-INDEX('Lease Cycles'!$DR$20:$DX$20,1,Z214),1))),0)</f>
        <v>0</v>
      </c>
      <c r="AA220" s="28">
        <f>IF(AA216=1,IF(INDEX('Lease Cycles'!$EF$20:$EL$20,1,AA214)=1,AA217*INDEX('Lease Cycles'!$EM$20:$ES$20,1,AA214)+AA218*IF(AA215&lt;INDEX('Lease Cycles'!$FA$20:$FG$20,1,AA214),0,1-INDEX('Lease Cycles'!$EM$20:$ES$20,1,AA214)),AA217*IF(AA215&lt;INDEX('Lease Cycles'!$DK$20:$DQ$20,1,AA214),0,IF(AA215=INDEX('Lease Cycles'!$DK$20:$DQ$20,1,AA214),1-INDEX('Lease Cycles'!$DR$20:$DX$20,1,AA214),1))),0)</f>
        <v>0</v>
      </c>
      <c r="AB220" s="28">
        <f>IF(AB216=1,IF(INDEX('Lease Cycles'!$EF$20:$EL$20,1,AB214)=1,AB217*INDEX('Lease Cycles'!$EM$20:$ES$20,1,AB214)+AB218*IF(AB215&lt;INDEX('Lease Cycles'!$FA$20:$FG$20,1,AB214),0,1-INDEX('Lease Cycles'!$EM$20:$ES$20,1,AB214)),AB217*IF(AB215&lt;INDEX('Lease Cycles'!$DK$20:$DQ$20,1,AB214),0,IF(AB215=INDEX('Lease Cycles'!$DK$20:$DQ$20,1,AB214),1-INDEX('Lease Cycles'!$DR$20:$DX$20,1,AB214),1))),0)</f>
        <v>0</v>
      </c>
      <c r="AC220" s="28">
        <f>IF(AC216=1,IF(INDEX('Lease Cycles'!$EF$20:$EL$20,1,AC214)=1,AC217*INDEX('Lease Cycles'!$EM$20:$ES$20,1,AC214)+AC218*IF(AC215&lt;INDEX('Lease Cycles'!$FA$20:$FG$20,1,AC214),0,1-INDEX('Lease Cycles'!$EM$20:$ES$20,1,AC214)),AC217*IF(AC215&lt;INDEX('Lease Cycles'!$DK$20:$DQ$20,1,AC214),0,IF(AC215=INDEX('Lease Cycles'!$DK$20:$DQ$20,1,AC214),1-INDEX('Lease Cycles'!$DR$20:$DX$20,1,AC214),1))),0)</f>
        <v>0</v>
      </c>
      <c r="AD220" s="28">
        <f>IF(AD216=1,IF(INDEX('Lease Cycles'!$EF$20:$EL$20,1,AD214)=1,AD217*INDEX('Lease Cycles'!$EM$20:$ES$20,1,AD214)+AD218*IF(AD215&lt;INDEX('Lease Cycles'!$FA$20:$FG$20,1,AD214),0,1-INDEX('Lease Cycles'!$EM$20:$ES$20,1,AD214)),AD217*IF(AD215&lt;INDEX('Lease Cycles'!$DK$20:$DQ$20,1,AD214),0,IF(AD215=INDEX('Lease Cycles'!$DK$20:$DQ$20,1,AD214),1-INDEX('Lease Cycles'!$DR$20:$DX$20,1,AD214),1))),0)</f>
        <v>0</v>
      </c>
      <c r="AE220" s="28">
        <f>IF(AE216=1,IF(INDEX('Lease Cycles'!$EF$20:$EL$20,1,AE214)=1,AE217*INDEX('Lease Cycles'!$EM$20:$ES$20,1,AE214)+AE218*IF(AE215&lt;INDEX('Lease Cycles'!$FA$20:$FG$20,1,AE214),0,1-INDEX('Lease Cycles'!$EM$20:$ES$20,1,AE214)),AE217*IF(AE215&lt;INDEX('Lease Cycles'!$DK$20:$DQ$20,1,AE214),0,IF(AE215=INDEX('Lease Cycles'!$DK$20:$DQ$20,1,AE214),1-INDEX('Lease Cycles'!$DR$20:$DX$20,1,AE214),1))),0)</f>
        <v>0</v>
      </c>
      <c r="AF220" s="28">
        <f>IF(AF216=1,IF(INDEX('Lease Cycles'!$EF$20:$EL$20,1,AF214)=1,AF217*INDEX('Lease Cycles'!$EM$20:$ES$20,1,AF214)+AF218*IF(AF215&lt;INDEX('Lease Cycles'!$FA$20:$FG$20,1,AF214),0,1-INDEX('Lease Cycles'!$EM$20:$ES$20,1,AF214)),AF217*IF(AF215&lt;INDEX('Lease Cycles'!$DK$20:$DQ$20,1,AF214),0,IF(AF215=INDEX('Lease Cycles'!$DK$20:$DQ$20,1,AF214),1-INDEX('Lease Cycles'!$DR$20:$DX$20,1,AF214),1))),0)</f>
        <v>0</v>
      </c>
      <c r="AG220" s="28">
        <f>IF(AG216=1,IF(INDEX('Lease Cycles'!$EF$20:$EL$20,1,AG214)=1,AG217*INDEX('Lease Cycles'!$EM$20:$ES$20,1,AG214)+AG218*IF(AG215&lt;INDEX('Lease Cycles'!$FA$20:$FG$20,1,AG214),0,1-INDEX('Lease Cycles'!$EM$20:$ES$20,1,AG214)),AG217*IF(AG215&lt;INDEX('Lease Cycles'!$DK$20:$DQ$20,1,AG214),0,IF(AG215=INDEX('Lease Cycles'!$DK$20:$DQ$20,1,AG214),1-INDEX('Lease Cycles'!$DR$20:$DX$20,1,AG214),1))),0)</f>
        <v>0</v>
      </c>
      <c r="AH220" s="28">
        <f>IF(AH216=1,IF(INDEX('Lease Cycles'!$EF$20:$EL$20,1,AH214)=1,AH217*INDEX('Lease Cycles'!$EM$20:$ES$20,1,AH214)+AH218*IF(AH215&lt;INDEX('Lease Cycles'!$FA$20:$FG$20,1,AH214),0,1-INDEX('Lease Cycles'!$EM$20:$ES$20,1,AH214)),AH217*IF(AH215&lt;INDEX('Lease Cycles'!$DK$20:$DQ$20,1,AH214),0,IF(AH215=INDEX('Lease Cycles'!$DK$20:$DQ$20,1,AH214),1-INDEX('Lease Cycles'!$DR$20:$DX$20,1,AH214),1))),0)</f>
        <v>0</v>
      </c>
      <c r="AI220" s="28">
        <f>IF(AI216=1,IF(INDEX('Lease Cycles'!$EF$20:$EL$20,1,AI214)=1,AI217*INDEX('Lease Cycles'!$EM$20:$ES$20,1,AI214)+AI218*IF(AI215&lt;INDEX('Lease Cycles'!$FA$20:$FG$20,1,AI214),0,1-INDEX('Lease Cycles'!$EM$20:$ES$20,1,AI214)),AI217*IF(AI215&lt;INDEX('Lease Cycles'!$DK$20:$DQ$20,1,AI214),0,IF(AI215=INDEX('Lease Cycles'!$DK$20:$DQ$20,1,AI214),1-INDEX('Lease Cycles'!$DR$20:$DX$20,1,AI214),1))),0)</f>
        <v>0</v>
      </c>
      <c r="AJ220" s="28">
        <f>IF(AJ216=1,IF(INDEX('Lease Cycles'!$EF$20:$EL$20,1,AJ214)=1,AJ217*INDEX('Lease Cycles'!$EM$20:$ES$20,1,AJ214)+AJ218*IF(AJ215&lt;INDEX('Lease Cycles'!$FA$20:$FG$20,1,AJ214),0,1-INDEX('Lease Cycles'!$EM$20:$ES$20,1,AJ214)),AJ217*IF(AJ215&lt;INDEX('Lease Cycles'!$DK$20:$DQ$20,1,AJ214),0,IF(AJ215=INDEX('Lease Cycles'!$DK$20:$DQ$20,1,AJ214),1-INDEX('Lease Cycles'!$DR$20:$DX$20,1,AJ214),1))),0)</f>
        <v>0</v>
      </c>
      <c r="AK220" s="28">
        <f>IF(AK216=1,IF(INDEX('Lease Cycles'!$EF$20:$EL$20,1,AK214)=1,AK217*INDEX('Lease Cycles'!$EM$20:$ES$20,1,AK214)+AK218*IF(AK215&lt;INDEX('Lease Cycles'!$FA$20:$FG$20,1,AK214),0,1-INDEX('Lease Cycles'!$EM$20:$ES$20,1,AK214)),AK217*IF(AK215&lt;INDEX('Lease Cycles'!$DK$20:$DQ$20,1,AK214),0,IF(AK215=INDEX('Lease Cycles'!$DK$20:$DQ$20,1,AK214),1-INDEX('Lease Cycles'!$DR$20:$DX$20,1,AK214),1))),0)</f>
        <v>0</v>
      </c>
      <c r="AL220" s="28">
        <f>IF(AL216=1,IF(INDEX('Lease Cycles'!$EF$20:$EL$20,1,AL214)=1,AL217*INDEX('Lease Cycles'!$EM$20:$ES$20,1,AL214)+AL218*IF(AL215&lt;INDEX('Lease Cycles'!$FA$20:$FG$20,1,AL214),0,1-INDEX('Lease Cycles'!$EM$20:$ES$20,1,AL214)),AL217*IF(AL215&lt;INDEX('Lease Cycles'!$DK$20:$DQ$20,1,AL214),0,IF(AL215=INDEX('Lease Cycles'!$DK$20:$DQ$20,1,AL214),1-INDEX('Lease Cycles'!$DR$20:$DX$20,1,AL214),1))),0)</f>
        <v>0</v>
      </c>
      <c r="AM220" s="28">
        <f>IF(AM216=1,IF(INDEX('Lease Cycles'!$EF$20:$EL$20,1,AM214)=1,AM217*INDEX('Lease Cycles'!$EM$20:$ES$20,1,AM214)+AM218*IF(AM215&lt;INDEX('Lease Cycles'!$FA$20:$FG$20,1,AM214),0,1-INDEX('Lease Cycles'!$EM$20:$ES$20,1,AM214)),AM217*IF(AM215&lt;INDEX('Lease Cycles'!$DK$20:$DQ$20,1,AM214),0,IF(AM215=INDEX('Lease Cycles'!$DK$20:$DQ$20,1,AM214),1-INDEX('Lease Cycles'!$DR$20:$DX$20,1,AM214),1))),0)</f>
        <v>0</v>
      </c>
      <c r="AN220" s="28">
        <f>IF(AN216=1,IF(INDEX('Lease Cycles'!$EF$20:$EL$20,1,AN214)=1,AN217*INDEX('Lease Cycles'!$EM$20:$ES$20,1,AN214)+AN218*IF(AN215&lt;INDEX('Lease Cycles'!$FA$20:$FG$20,1,AN214),0,1-INDEX('Lease Cycles'!$EM$20:$ES$20,1,AN214)),AN217*IF(AN215&lt;INDEX('Lease Cycles'!$DK$20:$DQ$20,1,AN214),0,IF(AN215=INDEX('Lease Cycles'!$DK$20:$DQ$20,1,AN214),1-INDEX('Lease Cycles'!$DR$20:$DX$20,1,AN214),1))),0)</f>
        <v>0</v>
      </c>
      <c r="AO220" s="28">
        <f>IF(AO216=1,IF(INDEX('Lease Cycles'!$EF$20:$EL$20,1,AO214)=1,AO217*INDEX('Lease Cycles'!$EM$20:$ES$20,1,AO214)+AO218*IF(AO215&lt;INDEX('Lease Cycles'!$FA$20:$FG$20,1,AO214),0,1-INDEX('Lease Cycles'!$EM$20:$ES$20,1,AO214)),AO217*IF(AO215&lt;INDEX('Lease Cycles'!$DK$20:$DQ$20,1,AO214),0,IF(AO215=INDEX('Lease Cycles'!$DK$20:$DQ$20,1,AO214),1-INDEX('Lease Cycles'!$DR$20:$DX$20,1,AO214),1))),0)</f>
        <v>0</v>
      </c>
      <c r="AP220" s="28">
        <f>IF(AP216=1,IF(INDEX('Lease Cycles'!$EF$20:$EL$20,1,AP214)=1,AP217*INDEX('Lease Cycles'!$EM$20:$ES$20,1,AP214)+AP218*IF(AP215&lt;INDEX('Lease Cycles'!$FA$20:$FG$20,1,AP214),0,1-INDEX('Lease Cycles'!$EM$20:$ES$20,1,AP214)),AP217*IF(AP215&lt;INDEX('Lease Cycles'!$DK$20:$DQ$20,1,AP214),0,IF(AP215=INDEX('Lease Cycles'!$DK$20:$DQ$20,1,AP214),1-INDEX('Lease Cycles'!$DR$20:$DX$20,1,AP214),1))),0)</f>
        <v>0</v>
      </c>
      <c r="AQ220" s="28">
        <f>IF(AQ216=1,IF(INDEX('Lease Cycles'!$EF$20:$EL$20,1,AQ214)=1,AQ217*INDEX('Lease Cycles'!$EM$20:$ES$20,1,AQ214)+AQ218*IF(AQ215&lt;INDEX('Lease Cycles'!$FA$20:$FG$20,1,AQ214),0,1-INDEX('Lease Cycles'!$EM$20:$ES$20,1,AQ214)),AQ217*IF(AQ215&lt;INDEX('Lease Cycles'!$DK$20:$DQ$20,1,AQ214),0,IF(AQ215=INDEX('Lease Cycles'!$DK$20:$DQ$20,1,AQ214),1-INDEX('Lease Cycles'!$DR$20:$DX$20,1,AQ214),1))),0)</f>
        <v>0</v>
      </c>
      <c r="AR220" s="28">
        <f>IF(AR216=1,IF(INDEX('Lease Cycles'!$EF$20:$EL$20,1,AR214)=1,AR217*INDEX('Lease Cycles'!$EM$20:$ES$20,1,AR214)+AR218*IF(AR215&lt;INDEX('Lease Cycles'!$FA$20:$FG$20,1,AR214),0,1-INDEX('Lease Cycles'!$EM$20:$ES$20,1,AR214)),AR217*IF(AR215&lt;INDEX('Lease Cycles'!$DK$20:$DQ$20,1,AR214),0,IF(AR215=INDEX('Lease Cycles'!$DK$20:$DQ$20,1,AR214),1-INDEX('Lease Cycles'!$DR$20:$DX$20,1,AR214),1))),0)</f>
        <v>0</v>
      </c>
      <c r="AS220" s="28">
        <f>IF(AS216=1,IF(INDEX('Lease Cycles'!$EF$20:$EL$20,1,AS214)=1,AS217*INDEX('Lease Cycles'!$EM$20:$ES$20,1,AS214)+AS218*IF(AS215&lt;INDEX('Lease Cycles'!$FA$20:$FG$20,1,AS214),0,1-INDEX('Lease Cycles'!$EM$20:$ES$20,1,AS214)),AS217*IF(AS215&lt;INDEX('Lease Cycles'!$DK$20:$DQ$20,1,AS214),0,IF(AS215=INDEX('Lease Cycles'!$DK$20:$DQ$20,1,AS214),1-INDEX('Lease Cycles'!$DR$20:$DX$20,1,AS214),1))),0)</f>
        <v>0</v>
      </c>
      <c r="AT220" s="28">
        <f>IF(AT216=1,IF(INDEX('Lease Cycles'!$EF$20:$EL$20,1,AT214)=1,AT217*INDEX('Lease Cycles'!$EM$20:$ES$20,1,AT214)+AT218*IF(AT215&lt;INDEX('Lease Cycles'!$FA$20:$FG$20,1,AT214),0,1-INDEX('Lease Cycles'!$EM$20:$ES$20,1,AT214)),AT217*IF(AT215&lt;INDEX('Lease Cycles'!$DK$20:$DQ$20,1,AT214),0,IF(AT215=INDEX('Lease Cycles'!$DK$20:$DQ$20,1,AT214),1-INDEX('Lease Cycles'!$DR$20:$DX$20,1,AT214),1))),0)</f>
        <v>0</v>
      </c>
      <c r="AU220" s="28">
        <f>IF(AU216=1,IF(INDEX('Lease Cycles'!$EF$20:$EL$20,1,AU214)=1,AU217*INDEX('Lease Cycles'!$EM$20:$ES$20,1,AU214)+AU218*IF(AU215&lt;INDEX('Lease Cycles'!$FA$20:$FG$20,1,AU214),0,1-INDEX('Lease Cycles'!$EM$20:$ES$20,1,AU214)),AU217*IF(AU215&lt;INDEX('Lease Cycles'!$DK$20:$DQ$20,1,AU214),0,IF(AU215=INDEX('Lease Cycles'!$DK$20:$DQ$20,1,AU214),1-INDEX('Lease Cycles'!$DR$20:$DX$20,1,AU214),1))),0)</f>
        <v>0</v>
      </c>
      <c r="AV220" s="28">
        <f>IF(AV216=1,IF(INDEX('Lease Cycles'!$EF$20:$EL$20,1,AV214)=1,AV217*INDEX('Lease Cycles'!$EM$20:$ES$20,1,AV214)+AV218*IF(AV215&lt;INDEX('Lease Cycles'!$FA$20:$FG$20,1,AV214),0,1-INDEX('Lease Cycles'!$EM$20:$ES$20,1,AV214)),AV217*IF(AV215&lt;INDEX('Lease Cycles'!$DK$20:$DQ$20,1,AV214),0,IF(AV215=INDEX('Lease Cycles'!$DK$20:$DQ$20,1,AV214),1-INDEX('Lease Cycles'!$DR$20:$DX$20,1,AV214),1))),0)</f>
        <v>0</v>
      </c>
      <c r="AW220" s="28">
        <f>IF(AW216=1,IF(INDEX('Lease Cycles'!$EF$20:$EL$20,1,AW214)=1,AW217*INDEX('Lease Cycles'!$EM$20:$ES$20,1,AW214)+AW218*IF(AW215&lt;INDEX('Lease Cycles'!$FA$20:$FG$20,1,AW214),0,1-INDEX('Lease Cycles'!$EM$20:$ES$20,1,AW214)),AW217*IF(AW215&lt;INDEX('Lease Cycles'!$DK$20:$DQ$20,1,AW214),0,IF(AW215=INDEX('Lease Cycles'!$DK$20:$DQ$20,1,AW214),1-INDEX('Lease Cycles'!$DR$20:$DX$20,1,AW214),1))),0)</f>
        <v>0</v>
      </c>
      <c r="AX220" s="28">
        <f>IF(AX216=1,IF(INDEX('Lease Cycles'!$EF$20:$EL$20,1,AX214)=1,AX217*INDEX('Lease Cycles'!$EM$20:$ES$20,1,AX214)+AX218*IF(AX215&lt;INDEX('Lease Cycles'!$FA$20:$FG$20,1,AX214),0,1-INDEX('Lease Cycles'!$EM$20:$ES$20,1,AX214)),AX217*IF(AX215&lt;INDEX('Lease Cycles'!$DK$20:$DQ$20,1,AX214),0,IF(AX215=INDEX('Lease Cycles'!$DK$20:$DQ$20,1,AX214),1-INDEX('Lease Cycles'!$DR$20:$DX$20,1,AX214),1))),0)</f>
        <v>0</v>
      </c>
      <c r="AY220" s="28">
        <f>IF(AY216=1,IF(INDEX('Lease Cycles'!$EF$20:$EL$20,1,AY214)=1,AY217*INDEX('Lease Cycles'!$EM$20:$ES$20,1,AY214)+AY218*IF(AY215&lt;INDEX('Lease Cycles'!$FA$20:$FG$20,1,AY214),0,1-INDEX('Lease Cycles'!$EM$20:$ES$20,1,AY214)),AY217*IF(AY215&lt;INDEX('Lease Cycles'!$DK$20:$DQ$20,1,AY214),0,IF(AY215=INDEX('Lease Cycles'!$DK$20:$DQ$20,1,AY214),1-INDEX('Lease Cycles'!$DR$20:$DX$20,1,AY214),1))),0)</f>
        <v>0</v>
      </c>
      <c r="AZ220" s="28">
        <f>IF(AZ216=1,IF(INDEX('Lease Cycles'!$EF$20:$EL$20,1,AZ214)=1,AZ217*INDEX('Lease Cycles'!$EM$20:$ES$20,1,AZ214)+AZ218*IF(AZ215&lt;INDEX('Lease Cycles'!$FA$20:$FG$20,1,AZ214),0,1-INDEX('Lease Cycles'!$EM$20:$ES$20,1,AZ214)),AZ217*IF(AZ215&lt;INDEX('Lease Cycles'!$DK$20:$DQ$20,1,AZ214),0,IF(AZ215=INDEX('Lease Cycles'!$DK$20:$DQ$20,1,AZ214),1-INDEX('Lease Cycles'!$DR$20:$DX$20,1,AZ214),1))),0)</f>
        <v>0</v>
      </c>
      <c r="BA220" s="28">
        <f>IF(BA216=1,IF(INDEX('Lease Cycles'!$EF$20:$EL$20,1,BA214)=1,BA217*INDEX('Lease Cycles'!$EM$20:$ES$20,1,BA214)+BA218*IF(BA215&lt;INDEX('Lease Cycles'!$FA$20:$FG$20,1,BA214),0,1-INDEX('Lease Cycles'!$EM$20:$ES$20,1,BA214)),BA217*IF(BA215&lt;INDEX('Lease Cycles'!$DK$20:$DQ$20,1,BA214),0,IF(BA215=INDEX('Lease Cycles'!$DK$20:$DQ$20,1,BA214),1-INDEX('Lease Cycles'!$DR$20:$DX$20,1,BA214),1))),0)</f>
        <v>0</v>
      </c>
      <c r="BB220" s="28">
        <f>IF(BB216=1,IF(INDEX('Lease Cycles'!$EF$20:$EL$20,1,BB214)=1,BB217*INDEX('Lease Cycles'!$EM$20:$ES$20,1,BB214)+BB218*IF(BB215&lt;INDEX('Lease Cycles'!$FA$20:$FG$20,1,BB214),0,1-INDEX('Lease Cycles'!$EM$20:$ES$20,1,BB214)),BB217*IF(BB215&lt;INDEX('Lease Cycles'!$DK$20:$DQ$20,1,BB214),0,IF(BB215=INDEX('Lease Cycles'!$DK$20:$DQ$20,1,BB214),1-INDEX('Lease Cycles'!$DR$20:$DX$20,1,BB214),1))),0)</f>
        <v>0</v>
      </c>
      <c r="BC220" s="28">
        <f>IF(BC216=1,IF(INDEX('Lease Cycles'!$EF$20:$EL$20,1,BC214)=1,BC217*INDEX('Lease Cycles'!$EM$20:$ES$20,1,BC214)+BC218*IF(BC215&lt;INDEX('Lease Cycles'!$FA$20:$FG$20,1,BC214),0,1-INDEX('Lease Cycles'!$EM$20:$ES$20,1,BC214)),BC217*IF(BC215&lt;INDEX('Lease Cycles'!$DK$20:$DQ$20,1,BC214),0,IF(BC215=INDEX('Lease Cycles'!$DK$20:$DQ$20,1,BC214),1-INDEX('Lease Cycles'!$DR$20:$DX$20,1,BC214),1))),0)</f>
        <v>0</v>
      </c>
      <c r="BD220" s="28">
        <f>IF(BD216=1,IF(INDEX('Lease Cycles'!$EF$20:$EL$20,1,BD214)=1,BD217*INDEX('Lease Cycles'!$EM$20:$ES$20,1,BD214)+BD218*IF(BD215&lt;INDEX('Lease Cycles'!$FA$20:$FG$20,1,BD214),0,1-INDEX('Lease Cycles'!$EM$20:$ES$20,1,BD214)),BD217*IF(BD215&lt;INDEX('Lease Cycles'!$DK$20:$DQ$20,1,BD214),0,IF(BD215=INDEX('Lease Cycles'!$DK$20:$DQ$20,1,BD214),1-INDEX('Lease Cycles'!$DR$20:$DX$20,1,BD214),1))),0)</f>
        <v>0</v>
      </c>
      <c r="BE220" s="28">
        <f>IF(BE216=1,IF(INDEX('Lease Cycles'!$EF$20:$EL$20,1,BE214)=1,BE217*INDEX('Lease Cycles'!$EM$20:$ES$20,1,BE214)+BE218*IF(BE215&lt;INDEX('Lease Cycles'!$FA$20:$FG$20,1,BE214),0,1-INDEX('Lease Cycles'!$EM$20:$ES$20,1,BE214)),BE217*IF(BE215&lt;INDEX('Lease Cycles'!$DK$20:$DQ$20,1,BE214),0,IF(BE215=INDEX('Lease Cycles'!$DK$20:$DQ$20,1,BE214),1-INDEX('Lease Cycles'!$DR$20:$DX$20,1,BE214),1))),0)</f>
        <v>0</v>
      </c>
      <c r="BF220" s="28">
        <f>IF(BF216=1,IF(INDEX('Lease Cycles'!$EF$20:$EL$20,1,BF214)=1,BF217*INDEX('Lease Cycles'!$EM$20:$ES$20,1,BF214)+BF218*IF(BF215&lt;INDEX('Lease Cycles'!$FA$20:$FG$20,1,BF214),0,1-INDEX('Lease Cycles'!$EM$20:$ES$20,1,BF214)),BF217*IF(BF215&lt;INDEX('Lease Cycles'!$DK$20:$DQ$20,1,BF214),0,IF(BF215=INDEX('Lease Cycles'!$DK$20:$DQ$20,1,BF214),1-INDEX('Lease Cycles'!$DR$20:$DX$20,1,BF214),1))),0)</f>
        <v>0</v>
      </c>
      <c r="BG220" s="28">
        <f>IF(BG216=1,IF(INDEX('Lease Cycles'!$EF$20:$EL$20,1,BG214)=1,BG217*INDEX('Lease Cycles'!$EM$20:$ES$20,1,BG214)+BG218*IF(BG215&lt;INDEX('Lease Cycles'!$FA$20:$FG$20,1,BG214),0,1-INDEX('Lease Cycles'!$EM$20:$ES$20,1,BG214)),BG217*IF(BG215&lt;INDEX('Lease Cycles'!$DK$20:$DQ$20,1,BG214),0,IF(BG215=INDEX('Lease Cycles'!$DK$20:$DQ$20,1,BG214),1-INDEX('Lease Cycles'!$DR$20:$DX$20,1,BG214),1))),0)</f>
        <v>0</v>
      </c>
      <c r="BH220" s="28">
        <f>IF(BH216=1,IF(INDEX('Lease Cycles'!$EF$20:$EL$20,1,BH214)=1,BH217*INDEX('Lease Cycles'!$EM$20:$ES$20,1,BH214)+BH218*IF(BH215&lt;INDEX('Lease Cycles'!$FA$20:$FG$20,1,BH214),0,1-INDEX('Lease Cycles'!$EM$20:$ES$20,1,BH214)),BH217*IF(BH215&lt;INDEX('Lease Cycles'!$DK$20:$DQ$20,1,BH214),0,IF(BH215=INDEX('Lease Cycles'!$DK$20:$DQ$20,1,BH214),1-INDEX('Lease Cycles'!$DR$20:$DX$20,1,BH214),1))),0)</f>
        <v>0</v>
      </c>
      <c r="BI220" s="28">
        <f>IF(BI216=1,IF(INDEX('Lease Cycles'!$EF$20:$EL$20,1,BI214)=1,BI217*INDEX('Lease Cycles'!$EM$20:$ES$20,1,BI214)+BI218*IF(BI215&lt;INDEX('Lease Cycles'!$FA$20:$FG$20,1,BI214),0,1-INDEX('Lease Cycles'!$EM$20:$ES$20,1,BI214)),BI217*IF(BI215&lt;INDEX('Lease Cycles'!$DK$20:$DQ$20,1,BI214),0,IF(BI215=INDEX('Lease Cycles'!$DK$20:$DQ$20,1,BI214),1-INDEX('Lease Cycles'!$DR$20:$DX$20,1,BI214),1))),0)</f>
        <v>0</v>
      </c>
      <c r="BJ220" s="28">
        <f>IF(BJ216=1,IF(INDEX('Lease Cycles'!$EF$20:$EL$20,1,BJ214)=1,BJ217*INDEX('Lease Cycles'!$EM$20:$ES$20,1,BJ214)+BJ218*IF(BJ215&lt;INDEX('Lease Cycles'!$FA$20:$FG$20,1,BJ214),0,1-INDEX('Lease Cycles'!$EM$20:$ES$20,1,BJ214)),BJ217*IF(BJ215&lt;INDEX('Lease Cycles'!$DK$20:$DQ$20,1,BJ214),0,IF(BJ215=INDEX('Lease Cycles'!$DK$20:$DQ$20,1,BJ214),1-INDEX('Lease Cycles'!$DR$20:$DX$20,1,BJ214),1))),0)</f>
        <v>0</v>
      </c>
      <c r="BK220" s="28">
        <f>IF(BK216=1,IF(INDEX('Lease Cycles'!$EF$20:$EL$20,1,BK214)=1,BK217*INDEX('Lease Cycles'!$EM$20:$ES$20,1,BK214)+BK218*IF(BK215&lt;INDEX('Lease Cycles'!$FA$20:$FG$20,1,BK214),0,1-INDEX('Lease Cycles'!$EM$20:$ES$20,1,BK214)),BK217*IF(BK215&lt;INDEX('Lease Cycles'!$DK$20:$DQ$20,1,BK214),0,IF(BK215=INDEX('Lease Cycles'!$DK$20:$DQ$20,1,BK214),1-INDEX('Lease Cycles'!$DR$20:$DX$20,1,BK214),1))),0)</f>
        <v>0</v>
      </c>
      <c r="BL220" s="28">
        <f>IF(BL216=1,IF(INDEX('Lease Cycles'!$EF$20:$EL$20,1,BL214)=1,BL217*INDEX('Lease Cycles'!$EM$20:$ES$20,1,BL214)+BL218*IF(BL215&lt;INDEX('Lease Cycles'!$FA$20:$FG$20,1,BL214),0,1-INDEX('Lease Cycles'!$EM$20:$ES$20,1,BL214)),BL217*IF(BL215&lt;INDEX('Lease Cycles'!$DK$20:$DQ$20,1,BL214),0,IF(BL215=INDEX('Lease Cycles'!$DK$20:$DQ$20,1,BL214),1-INDEX('Lease Cycles'!$DR$20:$DX$20,1,BL214),1))),0)</f>
        <v>0</v>
      </c>
      <c r="BM220" s="28">
        <f>IF(BM216=1,IF(INDEX('Lease Cycles'!$EF$20:$EL$20,1,BM214)=1,BM217*INDEX('Lease Cycles'!$EM$20:$ES$20,1,BM214)+BM218*IF(BM215&lt;INDEX('Lease Cycles'!$FA$20:$FG$20,1,BM214),0,1-INDEX('Lease Cycles'!$EM$20:$ES$20,1,BM214)),BM217*IF(BM215&lt;INDEX('Lease Cycles'!$DK$20:$DQ$20,1,BM214),0,IF(BM215=INDEX('Lease Cycles'!$DK$20:$DQ$20,1,BM214),1-INDEX('Lease Cycles'!$DR$20:$DX$20,1,BM214),1))),0)</f>
        <v>0</v>
      </c>
      <c r="BN220" s="28">
        <f>IF(BN216=1,IF(INDEX('Lease Cycles'!$EF$20:$EL$20,1,BN214)=1,BN217*INDEX('Lease Cycles'!$EM$20:$ES$20,1,BN214)+BN218*IF(BN215&lt;INDEX('Lease Cycles'!$FA$20:$FG$20,1,BN214),0,1-INDEX('Lease Cycles'!$EM$20:$ES$20,1,BN214)),BN217*IF(BN215&lt;INDEX('Lease Cycles'!$DK$20:$DQ$20,1,BN214),0,IF(BN215=INDEX('Lease Cycles'!$DK$20:$DQ$20,1,BN214),1-INDEX('Lease Cycles'!$DR$20:$DX$20,1,BN214),1))),0)</f>
        <v>0</v>
      </c>
      <c r="BO220" s="28">
        <f>IF(BO216=1,IF(INDEX('Lease Cycles'!$EF$20:$EL$20,1,BO214)=1,BO217*INDEX('Lease Cycles'!$EM$20:$ES$20,1,BO214)+BO218*IF(BO215&lt;INDEX('Lease Cycles'!$FA$20:$FG$20,1,BO214),0,1-INDEX('Lease Cycles'!$EM$20:$ES$20,1,BO214)),BO217*IF(BO215&lt;INDEX('Lease Cycles'!$DK$20:$DQ$20,1,BO214),0,IF(BO215=INDEX('Lease Cycles'!$DK$20:$DQ$20,1,BO214),1-INDEX('Lease Cycles'!$DR$20:$DX$20,1,BO214),1))),0)</f>
        <v>0</v>
      </c>
      <c r="BP220" s="28">
        <f>IF(BP216=1,IF(INDEX('Lease Cycles'!$EF$20:$EL$20,1,BP214)=1,BP217*INDEX('Lease Cycles'!$EM$20:$ES$20,1,BP214)+BP218*IF(BP215&lt;INDEX('Lease Cycles'!$FA$20:$FG$20,1,BP214),0,1-INDEX('Lease Cycles'!$EM$20:$ES$20,1,BP214)),BP217*IF(BP215&lt;INDEX('Lease Cycles'!$DK$20:$DQ$20,1,BP214),0,IF(BP215=INDEX('Lease Cycles'!$DK$20:$DQ$20,1,BP214),1-INDEX('Lease Cycles'!$DR$20:$DX$20,1,BP214),1))),0)</f>
        <v>0</v>
      </c>
      <c r="BQ220" s="28">
        <f>IF(BQ216=1,IF(INDEX('Lease Cycles'!$EF$20:$EL$20,1,BQ214)=1,BQ217*INDEX('Lease Cycles'!$EM$20:$ES$20,1,BQ214)+BQ218*IF(BQ215&lt;INDEX('Lease Cycles'!$FA$20:$FG$20,1,BQ214),0,1-INDEX('Lease Cycles'!$EM$20:$ES$20,1,BQ214)),BQ217*IF(BQ215&lt;INDEX('Lease Cycles'!$DK$20:$DQ$20,1,BQ214),0,IF(BQ215=INDEX('Lease Cycles'!$DK$20:$DQ$20,1,BQ214),1-INDEX('Lease Cycles'!$DR$20:$DX$20,1,BQ214),1))),0)</f>
        <v>0</v>
      </c>
      <c r="BR220" s="28">
        <f>IF(BR216=1,IF(INDEX('Lease Cycles'!$EF$20:$EL$20,1,BR214)=1,BR217*INDEX('Lease Cycles'!$EM$20:$ES$20,1,BR214)+BR218*IF(BR215&lt;INDEX('Lease Cycles'!$FA$20:$FG$20,1,BR214),0,1-INDEX('Lease Cycles'!$EM$20:$ES$20,1,BR214)),BR217*IF(BR215&lt;INDEX('Lease Cycles'!$DK$20:$DQ$20,1,BR214),0,IF(BR215=INDEX('Lease Cycles'!$DK$20:$DQ$20,1,BR214),1-INDEX('Lease Cycles'!$DR$20:$DX$20,1,BR214),1))),0)</f>
        <v>0</v>
      </c>
      <c r="BS220" s="28">
        <f>IF(BS216=1,IF(INDEX('Lease Cycles'!$EF$20:$EL$20,1,BS214)=1,BS217*INDEX('Lease Cycles'!$EM$20:$ES$20,1,BS214)+BS218*IF(BS215&lt;INDEX('Lease Cycles'!$FA$20:$FG$20,1,BS214),0,1-INDEX('Lease Cycles'!$EM$20:$ES$20,1,BS214)),BS217*IF(BS215&lt;INDEX('Lease Cycles'!$DK$20:$DQ$20,1,BS214),0,IF(BS215=INDEX('Lease Cycles'!$DK$20:$DQ$20,1,BS214),1-INDEX('Lease Cycles'!$DR$20:$DX$20,1,BS214),1))),0)</f>
        <v>0</v>
      </c>
      <c r="BT220" s="28">
        <f>IF(BT216=1,IF(INDEX('Lease Cycles'!$EF$20:$EL$20,1,BT214)=1,BT217*INDEX('Lease Cycles'!$EM$20:$ES$20,1,BT214)+BT218*IF(BT215&lt;INDEX('Lease Cycles'!$FA$20:$FG$20,1,BT214),0,1-INDEX('Lease Cycles'!$EM$20:$ES$20,1,BT214)),BT217*IF(BT215&lt;INDEX('Lease Cycles'!$DK$20:$DQ$20,1,BT214),0,IF(BT215=INDEX('Lease Cycles'!$DK$20:$DQ$20,1,BT214),1-INDEX('Lease Cycles'!$DR$20:$DX$20,1,BT214),1))),0)</f>
        <v>0</v>
      </c>
      <c r="BU220" s="28">
        <f>IF(BU216=1,IF(INDEX('Lease Cycles'!$EF$20:$EL$20,1,BU214)=1,BU217*INDEX('Lease Cycles'!$EM$20:$ES$20,1,BU214)+BU218*IF(BU215&lt;INDEX('Lease Cycles'!$FA$20:$FG$20,1,BU214),0,1-INDEX('Lease Cycles'!$EM$20:$ES$20,1,BU214)),BU217*IF(BU215&lt;INDEX('Lease Cycles'!$DK$20:$DQ$20,1,BU214),0,IF(BU215=INDEX('Lease Cycles'!$DK$20:$DQ$20,1,BU214),1-INDEX('Lease Cycles'!$DR$20:$DX$20,1,BU214),1))),0)</f>
        <v>0</v>
      </c>
      <c r="BV220" s="28">
        <f>IF(BV216=1,IF(INDEX('Lease Cycles'!$EF$20:$EL$20,1,BV214)=1,BV217*INDEX('Lease Cycles'!$EM$20:$ES$20,1,BV214)+BV218*IF(BV215&lt;INDEX('Lease Cycles'!$FA$20:$FG$20,1,BV214),0,1-INDEX('Lease Cycles'!$EM$20:$ES$20,1,BV214)),BV217*IF(BV215&lt;INDEX('Lease Cycles'!$DK$20:$DQ$20,1,BV214),0,IF(BV215=INDEX('Lease Cycles'!$DK$20:$DQ$20,1,BV214),1-INDEX('Lease Cycles'!$DR$20:$DX$20,1,BV214),1))),0)</f>
        <v>0</v>
      </c>
      <c r="BW220" s="28">
        <f>IF(BW216=1,IF(INDEX('Lease Cycles'!$EF$20:$EL$20,1,BW214)=1,BW217*INDEX('Lease Cycles'!$EM$20:$ES$20,1,BW214)+BW218*IF(BW215&lt;INDEX('Lease Cycles'!$FA$20:$FG$20,1,BW214),0,1-INDEX('Lease Cycles'!$EM$20:$ES$20,1,BW214)),BW217*IF(BW215&lt;INDEX('Lease Cycles'!$DK$20:$DQ$20,1,BW214),0,IF(BW215=INDEX('Lease Cycles'!$DK$20:$DQ$20,1,BW214),1-INDEX('Lease Cycles'!$DR$20:$DX$20,1,BW214),1))),0)</f>
        <v>0</v>
      </c>
      <c r="BX220" s="28">
        <f>IF(BX216=1,IF(INDEX('Lease Cycles'!$EF$20:$EL$20,1,BX214)=1,BX217*INDEX('Lease Cycles'!$EM$20:$ES$20,1,BX214)+BX218*IF(BX215&lt;INDEX('Lease Cycles'!$FA$20:$FG$20,1,BX214),0,1-INDEX('Lease Cycles'!$EM$20:$ES$20,1,BX214)),BX217*IF(BX215&lt;INDEX('Lease Cycles'!$DK$20:$DQ$20,1,BX214),0,IF(BX215=INDEX('Lease Cycles'!$DK$20:$DQ$20,1,BX214),1-INDEX('Lease Cycles'!$DR$20:$DX$20,1,BX214),1))),0)</f>
        <v>0</v>
      </c>
      <c r="BY220" s="28">
        <f>IF(BY216=1,IF(INDEX('Lease Cycles'!$EF$20:$EL$20,1,BY214)=1,BY217*INDEX('Lease Cycles'!$EM$20:$ES$20,1,BY214)+BY218*IF(BY215&lt;INDEX('Lease Cycles'!$FA$20:$FG$20,1,BY214),0,1-INDEX('Lease Cycles'!$EM$20:$ES$20,1,BY214)),BY217*IF(BY215&lt;INDEX('Lease Cycles'!$DK$20:$DQ$20,1,BY214),0,IF(BY215=INDEX('Lease Cycles'!$DK$20:$DQ$20,1,BY214),1-INDEX('Lease Cycles'!$DR$20:$DX$20,1,BY214),1))),0)</f>
        <v>0</v>
      </c>
      <c r="BZ220" s="28">
        <f>IF(BZ216=1,IF(INDEX('Lease Cycles'!$EF$20:$EL$20,1,BZ214)=1,BZ217*INDEX('Lease Cycles'!$EM$20:$ES$20,1,BZ214)+BZ218*IF(BZ215&lt;INDEX('Lease Cycles'!$FA$20:$FG$20,1,BZ214),0,1-INDEX('Lease Cycles'!$EM$20:$ES$20,1,BZ214)),BZ217*IF(BZ215&lt;INDEX('Lease Cycles'!$DK$20:$DQ$20,1,BZ214),0,IF(BZ215=INDEX('Lease Cycles'!$DK$20:$DQ$20,1,BZ214),1-INDEX('Lease Cycles'!$DR$20:$DX$20,1,BZ214),1))),0)</f>
        <v>0</v>
      </c>
      <c r="CA220" s="28">
        <f>IF(CA216=1,IF(INDEX('Lease Cycles'!$EF$20:$EL$20,1,CA214)=1,CA217*INDEX('Lease Cycles'!$EM$20:$ES$20,1,CA214)+CA218*IF(CA215&lt;INDEX('Lease Cycles'!$FA$20:$FG$20,1,CA214),0,1-INDEX('Lease Cycles'!$EM$20:$ES$20,1,CA214)),CA217*IF(CA215&lt;INDEX('Lease Cycles'!$DK$20:$DQ$20,1,CA214),0,IF(CA215=INDEX('Lease Cycles'!$DK$20:$DQ$20,1,CA214),1-INDEX('Lease Cycles'!$DR$20:$DX$20,1,CA214),1))),0)</f>
        <v>0</v>
      </c>
      <c r="CB220" s="28">
        <f>IF(CB216=1,IF(INDEX('Lease Cycles'!$EF$20:$EL$20,1,CB214)=1,CB217*INDEX('Lease Cycles'!$EM$20:$ES$20,1,CB214)+CB218*IF(CB215&lt;INDEX('Lease Cycles'!$FA$20:$FG$20,1,CB214),0,1-INDEX('Lease Cycles'!$EM$20:$ES$20,1,CB214)),CB217*IF(CB215&lt;INDEX('Lease Cycles'!$DK$20:$DQ$20,1,CB214),0,IF(CB215=INDEX('Lease Cycles'!$DK$20:$DQ$20,1,CB214),1-INDEX('Lease Cycles'!$DR$20:$DX$20,1,CB214),1))),0)</f>
        <v>0</v>
      </c>
      <c r="CC220" s="28">
        <f>IF(CC216=1,IF(INDEX('Lease Cycles'!$EF$20:$EL$20,1,CC214)=1,CC217*INDEX('Lease Cycles'!$EM$20:$ES$20,1,CC214)+CC218*IF(CC215&lt;INDEX('Lease Cycles'!$FA$20:$FG$20,1,CC214),0,1-INDEX('Lease Cycles'!$EM$20:$ES$20,1,CC214)),CC217*IF(CC215&lt;INDEX('Lease Cycles'!$DK$20:$DQ$20,1,CC214),0,IF(CC215=INDEX('Lease Cycles'!$DK$20:$DQ$20,1,CC214),1-INDEX('Lease Cycles'!$DR$20:$DX$20,1,CC214),1))),0)</f>
        <v>0</v>
      </c>
      <c r="CD220" s="28">
        <f>IF(CD216=1,IF(INDEX('Lease Cycles'!$EF$20:$EL$20,1,CD214)=1,CD217*INDEX('Lease Cycles'!$EM$20:$ES$20,1,CD214)+CD218*IF(CD215&lt;INDEX('Lease Cycles'!$FA$20:$FG$20,1,CD214),0,1-INDEX('Lease Cycles'!$EM$20:$ES$20,1,CD214)),CD217*IF(CD215&lt;INDEX('Lease Cycles'!$DK$20:$DQ$20,1,CD214),0,IF(CD215=INDEX('Lease Cycles'!$DK$20:$DQ$20,1,CD214),1-INDEX('Lease Cycles'!$DR$20:$DX$20,1,CD214),1))),0)</f>
        <v>0</v>
      </c>
      <c r="CE220" s="28">
        <f>IF(CE216=1,IF(INDEX('Lease Cycles'!$EF$20:$EL$20,1,CE214)=1,CE217*INDEX('Lease Cycles'!$EM$20:$ES$20,1,CE214)+CE218*IF(CE215&lt;INDEX('Lease Cycles'!$FA$20:$FG$20,1,CE214),0,1-INDEX('Lease Cycles'!$EM$20:$ES$20,1,CE214)),CE217*IF(CE215&lt;INDEX('Lease Cycles'!$DK$20:$DQ$20,1,CE214),0,IF(CE215=INDEX('Lease Cycles'!$DK$20:$DQ$20,1,CE214),1-INDEX('Lease Cycles'!$DR$20:$DX$20,1,CE214),1))),0)</f>
        <v>0</v>
      </c>
      <c r="CF220" s="28">
        <f>IF(CF216=1,IF(INDEX('Lease Cycles'!$EF$20:$EL$20,1,CF214)=1,CF217*INDEX('Lease Cycles'!$EM$20:$ES$20,1,CF214)+CF218*IF(CF215&lt;INDEX('Lease Cycles'!$FA$20:$FG$20,1,CF214),0,1-INDEX('Lease Cycles'!$EM$20:$ES$20,1,CF214)),CF217*IF(CF215&lt;INDEX('Lease Cycles'!$DK$20:$DQ$20,1,CF214),0,IF(CF215=INDEX('Lease Cycles'!$DK$20:$DQ$20,1,CF214),1-INDEX('Lease Cycles'!$DR$20:$DX$20,1,CF214),1))),0)</f>
        <v>0</v>
      </c>
      <c r="CG220" s="28">
        <f>IF(CG216=1,IF(INDEX('Lease Cycles'!$EF$20:$EL$20,1,CG214)=1,CG217*INDEX('Lease Cycles'!$EM$20:$ES$20,1,CG214)+CG218*IF(CG215&lt;INDEX('Lease Cycles'!$FA$20:$FG$20,1,CG214),0,1-INDEX('Lease Cycles'!$EM$20:$ES$20,1,CG214)),CG217*IF(CG215&lt;INDEX('Lease Cycles'!$DK$20:$DQ$20,1,CG214),0,IF(CG215=INDEX('Lease Cycles'!$DK$20:$DQ$20,1,CG214),1-INDEX('Lease Cycles'!$DR$20:$DX$20,1,CG214),1))),0)</f>
        <v>0</v>
      </c>
      <c r="CH220" s="28">
        <f>IF(CH216=1,IF(INDEX('Lease Cycles'!$EF$20:$EL$20,1,CH214)=1,CH217*INDEX('Lease Cycles'!$EM$20:$ES$20,1,CH214)+CH218*IF(CH215&lt;INDEX('Lease Cycles'!$FA$20:$FG$20,1,CH214),0,1-INDEX('Lease Cycles'!$EM$20:$ES$20,1,CH214)),CH217*IF(CH215&lt;INDEX('Lease Cycles'!$DK$20:$DQ$20,1,CH214),0,IF(CH215=INDEX('Lease Cycles'!$DK$20:$DQ$20,1,CH214),1-INDEX('Lease Cycles'!$DR$20:$DX$20,1,CH214),1))),0)</f>
        <v>0</v>
      </c>
      <c r="CI220" s="28">
        <f>IF(CI216=1,IF(INDEX('Lease Cycles'!$EF$20:$EL$20,1,CI214)=1,CI217*INDEX('Lease Cycles'!$EM$20:$ES$20,1,CI214)+CI218*IF(CI215&lt;INDEX('Lease Cycles'!$FA$20:$FG$20,1,CI214),0,1-INDEX('Lease Cycles'!$EM$20:$ES$20,1,CI214)),CI217*IF(CI215&lt;INDEX('Lease Cycles'!$DK$20:$DQ$20,1,CI214),0,IF(CI215=INDEX('Lease Cycles'!$DK$20:$DQ$20,1,CI214),1-INDEX('Lease Cycles'!$DR$20:$DX$20,1,CI214),1))),0)</f>
        <v>0</v>
      </c>
      <c r="CJ220" s="28">
        <f>IF(CJ216=1,IF(INDEX('Lease Cycles'!$EF$20:$EL$20,1,CJ214)=1,CJ217*INDEX('Lease Cycles'!$EM$20:$ES$20,1,CJ214)+CJ218*IF(CJ215&lt;INDEX('Lease Cycles'!$FA$20:$FG$20,1,CJ214),0,1-INDEX('Lease Cycles'!$EM$20:$ES$20,1,CJ214)),CJ217*IF(CJ215&lt;INDEX('Lease Cycles'!$DK$20:$DQ$20,1,CJ214),0,IF(CJ215=INDEX('Lease Cycles'!$DK$20:$DQ$20,1,CJ214),1-INDEX('Lease Cycles'!$DR$20:$DX$20,1,CJ214),1))),0)</f>
        <v>0</v>
      </c>
      <c r="CK220" s="28">
        <f>IF(CK216=1,IF(INDEX('Lease Cycles'!$EF$20:$EL$20,1,CK214)=1,CK217*INDEX('Lease Cycles'!$EM$20:$ES$20,1,CK214)+CK218*IF(CK215&lt;INDEX('Lease Cycles'!$FA$20:$FG$20,1,CK214),0,1-INDEX('Lease Cycles'!$EM$20:$ES$20,1,CK214)),CK217*IF(CK215&lt;INDEX('Lease Cycles'!$DK$20:$DQ$20,1,CK214),0,IF(CK215=INDEX('Lease Cycles'!$DK$20:$DQ$20,1,CK214),1-INDEX('Lease Cycles'!$DR$20:$DX$20,1,CK214),1))),0)</f>
        <v>0</v>
      </c>
      <c r="CL220" s="28">
        <f>IF(CL216=1,IF(INDEX('Lease Cycles'!$EF$20:$EL$20,1,CL214)=1,CL217*INDEX('Lease Cycles'!$EM$20:$ES$20,1,CL214)+CL218*IF(CL215&lt;INDEX('Lease Cycles'!$FA$20:$FG$20,1,CL214),0,1-INDEX('Lease Cycles'!$EM$20:$ES$20,1,CL214)),CL217*IF(CL215&lt;INDEX('Lease Cycles'!$DK$20:$DQ$20,1,CL214),0,IF(CL215=INDEX('Lease Cycles'!$DK$20:$DQ$20,1,CL214),1-INDEX('Lease Cycles'!$DR$20:$DX$20,1,CL214),1))),0)</f>
        <v>0</v>
      </c>
      <c r="CM220" s="28">
        <f>IF(CM216=1,IF(INDEX('Lease Cycles'!$EF$20:$EL$20,1,CM214)=1,CM217*INDEX('Lease Cycles'!$EM$20:$ES$20,1,CM214)+CM218*IF(CM215&lt;INDEX('Lease Cycles'!$FA$20:$FG$20,1,CM214),0,1-INDEX('Lease Cycles'!$EM$20:$ES$20,1,CM214)),CM217*IF(CM215&lt;INDEX('Lease Cycles'!$DK$20:$DQ$20,1,CM214),0,IF(CM215=INDEX('Lease Cycles'!$DK$20:$DQ$20,1,CM214),1-INDEX('Lease Cycles'!$DR$20:$DX$20,1,CM214),1))),0)</f>
        <v>0</v>
      </c>
      <c r="CN220" s="28">
        <f>IF(CN216=1,IF(INDEX('Lease Cycles'!$EF$20:$EL$20,1,CN214)=1,CN217*INDEX('Lease Cycles'!$EM$20:$ES$20,1,CN214)+CN218*IF(CN215&lt;INDEX('Lease Cycles'!$FA$20:$FG$20,1,CN214),0,1-INDEX('Lease Cycles'!$EM$20:$ES$20,1,CN214)),CN217*IF(CN215&lt;INDEX('Lease Cycles'!$DK$20:$DQ$20,1,CN214),0,IF(CN215=INDEX('Lease Cycles'!$DK$20:$DQ$20,1,CN214),1-INDEX('Lease Cycles'!$DR$20:$DX$20,1,CN214),1))),0)</f>
        <v>0</v>
      </c>
      <c r="CO220" s="28">
        <f>IF(CO216=1,IF(INDEX('Lease Cycles'!$EF$20:$EL$20,1,CO214)=1,CO217*INDEX('Lease Cycles'!$EM$20:$ES$20,1,CO214)+CO218*IF(CO215&lt;INDEX('Lease Cycles'!$FA$20:$FG$20,1,CO214),0,1-INDEX('Lease Cycles'!$EM$20:$ES$20,1,CO214)),CO217*IF(CO215&lt;INDEX('Lease Cycles'!$DK$20:$DQ$20,1,CO214),0,IF(CO215=INDEX('Lease Cycles'!$DK$20:$DQ$20,1,CO214),1-INDEX('Lease Cycles'!$DR$20:$DX$20,1,CO214),1))),0)</f>
        <v>0</v>
      </c>
      <c r="CP220" s="28">
        <f>IF(CP216=1,IF(INDEX('Lease Cycles'!$EF$20:$EL$20,1,CP214)=1,CP217*INDEX('Lease Cycles'!$EM$20:$ES$20,1,CP214)+CP218*IF(CP215&lt;INDEX('Lease Cycles'!$FA$20:$FG$20,1,CP214),0,1-INDEX('Lease Cycles'!$EM$20:$ES$20,1,CP214)),CP217*IF(CP215&lt;INDEX('Lease Cycles'!$DK$20:$DQ$20,1,CP214),0,IF(CP215=INDEX('Lease Cycles'!$DK$20:$DQ$20,1,CP214),1-INDEX('Lease Cycles'!$DR$20:$DX$20,1,CP214),1))),0)</f>
        <v>0</v>
      </c>
      <c r="CQ220" s="28">
        <f>IF(CQ216=1,IF(INDEX('Lease Cycles'!$EF$20:$EL$20,1,CQ214)=1,CQ217*INDEX('Lease Cycles'!$EM$20:$ES$20,1,CQ214)+CQ218*IF(CQ215&lt;INDEX('Lease Cycles'!$FA$20:$FG$20,1,CQ214),0,1-INDEX('Lease Cycles'!$EM$20:$ES$20,1,CQ214)),CQ217*IF(CQ215&lt;INDEX('Lease Cycles'!$DK$20:$DQ$20,1,CQ214),0,IF(CQ215=INDEX('Lease Cycles'!$DK$20:$DQ$20,1,CQ214),1-INDEX('Lease Cycles'!$DR$20:$DX$20,1,CQ214),1))),0)</f>
        <v>0</v>
      </c>
      <c r="CR220" s="28">
        <f>IF(CR216=1,IF(INDEX('Lease Cycles'!$EF$20:$EL$20,1,CR214)=1,CR217*INDEX('Lease Cycles'!$EM$20:$ES$20,1,CR214)+CR218*IF(CR215&lt;INDEX('Lease Cycles'!$FA$20:$FG$20,1,CR214),0,1-INDEX('Lease Cycles'!$EM$20:$ES$20,1,CR214)),CR217*IF(CR215&lt;INDEX('Lease Cycles'!$DK$20:$DQ$20,1,CR214),0,IF(CR215=INDEX('Lease Cycles'!$DK$20:$DQ$20,1,CR214),1-INDEX('Lease Cycles'!$DR$20:$DX$20,1,CR214),1))),0)</f>
        <v>0</v>
      </c>
      <c r="CS220" s="28">
        <f>IF(CS216=1,IF(INDEX('Lease Cycles'!$EF$20:$EL$20,1,CS214)=1,CS217*INDEX('Lease Cycles'!$EM$20:$ES$20,1,CS214)+CS218*IF(CS215&lt;INDEX('Lease Cycles'!$FA$20:$FG$20,1,CS214),0,1-INDEX('Lease Cycles'!$EM$20:$ES$20,1,CS214)),CS217*IF(CS215&lt;INDEX('Lease Cycles'!$DK$20:$DQ$20,1,CS214),0,IF(CS215=INDEX('Lease Cycles'!$DK$20:$DQ$20,1,CS214),1-INDEX('Lease Cycles'!$DR$20:$DX$20,1,CS214),1))),0)</f>
        <v>0</v>
      </c>
      <c r="CT220" s="28">
        <f>IF(CT216=1,IF(INDEX('Lease Cycles'!$EF$20:$EL$20,1,CT214)=1,CT217*INDEX('Lease Cycles'!$EM$20:$ES$20,1,CT214)+CT218*IF(CT215&lt;INDEX('Lease Cycles'!$FA$20:$FG$20,1,CT214),0,1-INDEX('Lease Cycles'!$EM$20:$ES$20,1,CT214)),CT217*IF(CT215&lt;INDEX('Lease Cycles'!$DK$20:$DQ$20,1,CT214),0,IF(CT215=INDEX('Lease Cycles'!$DK$20:$DQ$20,1,CT214),1-INDEX('Lease Cycles'!$DR$20:$DX$20,1,CT214),1))),0)</f>
        <v>0</v>
      </c>
      <c r="CU220" s="28">
        <f>IF(CU216=1,IF(INDEX('Lease Cycles'!$EF$20:$EL$20,1,CU214)=1,CU217*INDEX('Lease Cycles'!$EM$20:$ES$20,1,CU214)+CU218*IF(CU215&lt;INDEX('Lease Cycles'!$FA$20:$FG$20,1,CU214),0,1-INDEX('Lease Cycles'!$EM$20:$ES$20,1,CU214)),CU217*IF(CU215&lt;INDEX('Lease Cycles'!$DK$20:$DQ$20,1,CU214),0,IF(CU215=INDEX('Lease Cycles'!$DK$20:$DQ$20,1,CU214),1-INDEX('Lease Cycles'!$DR$20:$DX$20,1,CU214),1))),0)</f>
        <v>0</v>
      </c>
      <c r="CV220" s="28">
        <f>IF(CV216=1,IF(INDEX('Lease Cycles'!$EF$20:$EL$20,1,CV214)=1,CV217*INDEX('Lease Cycles'!$EM$20:$ES$20,1,CV214)+CV218*IF(CV215&lt;INDEX('Lease Cycles'!$FA$20:$FG$20,1,CV214),0,1-INDEX('Lease Cycles'!$EM$20:$ES$20,1,CV214)),CV217*IF(CV215&lt;INDEX('Lease Cycles'!$DK$20:$DQ$20,1,CV214),0,IF(CV215=INDEX('Lease Cycles'!$DK$20:$DQ$20,1,CV214),1-INDEX('Lease Cycles'!$DR$20:$DX$20,1,CV214),1))),0)</f>
        <v>0</v>
      </c>
      <c r="CW220" s="28">
        <f>IF(CW216=1,IF(INDEX('Lease Cycles'!$EF$20:$EL$20,1,CW214)=1,CW217*INDEX('Lease Cycles'!$EM$20:$ES$20,1,CW214)+CW218*IF(CW215&lt;INDEX('Lease Cycles'!$FA$20:$FG$20,1,CW214),0,1-INDEX('Lease Cycles'!$EM$20:$ES$20,1,CW214)),CW217*IF(CW215&lt;INDEX('Lease Cycles'!$DK$20:$DQ$20,1,CW214),0,IF(CW215=INDEX('Lease Cycles'!$DK$20:$DQ$20,1,CW214),1-INDEX('Lease Cycles'!$DR$20:$DX$20,1,CW214),1))),0)</f>
        <v>0</v>
      </c>
      <c r="CX220" s="28">
        <f>IF(CX216=1,IF(INDEX('Lease Cycles'!$EF$20:$EL$20,1,CX214)=1,CX217*INDEX('Lease Cycles'!$EM$20:$ES$20,1,CX214)+CX218*IF(CX215&lt;INDEX('Lease Cycles'!$FA$20:$FG$20,1,CX214),0,1-INDEX('Lease Cycles'!$EM$20:$ES$20,1,CX214)),CX217*IF(CX215&lt;INDEX('Lease Cycles'!$DK$20:$DQ$20,1,CX214),0,IF(CX215=INDEX('Lease Cycles'!$DK$20:$DQ$20,1,CX214),1-INDEX('Lease Cycles'!$DR$20:$DX$20,1,CX214),1))),0)</f>
        <v>0</v>
      </c>
      <c r="CY220" s="28">
        <f>IF(CY216=1,IF(INDEX('Lease Cycles'!$EF$20:$EL$20,1,CY214)=1,CY217*INDEX('Lease Cycles'!$EM$20:$ES$20,1,CY214)+CY218*IF(CY215&lt;INDEX('Lease Cycles'!$FA$20:$FG$20,1,CY214),0,1-INDEX('Lease Cycles'!$EM$20:$ES$20,1,CY214)),CY217*IF(CY215&lt;INDEX('Lease Cycles'!$DK$20:$DQ$20,1,CY214),0,IF(CY215=INDEX('Lease Cycles'!$DK$20:$DQ$20,1,CY214),1-INDEX('Lease Cycles'!$DR$20:$DX$20,1,CY214),1))),0)</f>
        <v>0</v>
      </c>
      <c r="CZ220" s="28">
        <f>IF(CZ216=1,IF(INDEX('Lease Cycles'!$EF$20:$EL$20,1,CZ214)=1,CZ217*INDEX('Lease Cycles'!$EM$20:$ES$20,1,CZ214)+CZ218*IF(CZ215&lt;INDEX('Lease Cycles'!$FA$20:$FG$20,1,CZ214),0,1-INDEX('Lease Cycles'!$EM$20:$ES$20,1,CZ214)),CZ217*IF(CZ215&lt;INDEX('Lease Cycles'!$DK$20:$DQ$20,1,CZ214),0,IF(CZ215=INDEX('Lease Cycles'!$DK$20:$DQ$20,1,CZ214),1-INDEX('Lease Cycles'!$DR$20:$DX$20,1,CZ214),1))),0)</f>
        <v>0</v>
      </c>
      <c r="DA220" s="28">
        <f>IF(DA216=1,IF(INDEX('Lease Cycles'!$EF$20:$EL$20,1,DA214)=1,DA217*INDEX('Lease Cycles'!$EM$20:$ES$20,1,DA214)+DA218*IF(DA215&lt;INDEX('Lease Cycles'!$FA$20:$FG$20,1,DA214),0,1-INDEX('Lease Cycles'!$EM$20:$ES$20,1,DA214)),DA217*IF(DA215&lt;INDEX('Lease Cycles'!$DK$20:$DQ$20,1,DA214),0,IF(DA215=INDEX('Lease Cycles'!$DK$20:$DQ$20,1,DA214),1-INDEX('Lease Cycles'!$DR$20:$DX$20,1,DA214),1))),0)</f>
        <v>0</v>
      </c>
      <c r="DB220" s="28">
        <f>IF(DB216=1,IF(INDEX('Lease Cycles'!$EF$20:$EL$20,1,DB214)=1,DB217*INDEX('Lease Cycles'!$EM$20:$ES$20,1,DB214)+DB218*IF(DB215&lt;INDEX('Lease Cycles'!$FA$20:$FG$20,1,DB214),0,1-INDEX('Lease Cycles'!$EM$20:$ES$20,1,DB214)),DB217*IF(DB215&lt;INDEX('Lease Cycles'!$DK$20:$DQ$20,1,DB214),0,IF(DB215=INDEX('Lease Cycles'!$DK$20:$DQ$20,1,DB214),1-INDEX('Lease Cycles'!$DR$20:$DX$20,1,DB214),1))),0)</f>
        <v>0</v>
      </c>
      <c r="DC220" s="28">
        <f>IF(DC216=1,IF(INDEX('Lease Cycles'!$EF$20:$EL$20,1,DC214)=1,DC217*INDEX('Lease Cycles'!$EM$20:$ES$20,1,DC214)+DC218*IF(DC215&lt;INDEX('Lease Cycles'!$FA$20:$FG$20,1,DC214),0,1-INDEX('Lease Cycles'!$EM$20:$ES$20,1,DC214)),DC217*IF(DC215&lt;INDEX('Lease Cycles'!$DK$20:$DQ$20,1,DC214),0,IF(DC215=INDEX('Lease Cycles'!$DK$20:$DQ$20,1,DC214),1-INDEX('Lease Cycles'!$DR$20:$DX$20,1,DC214),1))),0)</f>
        <v>0</v>
      </c>
      <c r="DD220" s="28">
        <f>IF(DD216=1,IF(INDEX('Lease Cycles'!$EF$20:$EL$20,1,DD214)=1,DD217*INDEX('Lease Cycles'!$EM$20:$ES$20,1,DD214)+DD218*IF(DD215&lt;INDEX('Lease Cycles'!$FA$20:$FG$20,1,DD214),0,1-INDEX('Lease Cycles'!$EM$20:$ES$20,1,DD214)),DD217*IF(DD215&lt;INDEX('Lease Cycles'!$DK$20:$DQ$20,1,DD214),0,IF(DD215=INDEX('Lease Cycles'!$DK$20:$DQ$20,1,DD214),1-INDEX('Lease Cycles'!$DR$20:$DX$20,1,DD214),1))),0)</f>
        <v>0</v>
      </c>
      <c r="DE220" s="28">
        <f>IF(DE216=1,IF(INDEX('Lease Cycles'!$EF$20:$EL$20,1,DE214)=1,DE217*INDEX('Lease Cycles'!$EM$20:$ES$20,1,DE214)+DE218*IF(DE215&lt;INDEX('Lease Cycles'!$FA$20:$FG$20,1,DE214),0,1-INDEX('Lease Cycles'!$EM$20:$ES$20,1,DE214)),DE217*IF(DE215&lt;INDEX('Lease Cycles'!$DK$20:$DQ$20,1,DE214),0,IF(DE215=INDEX('Lease Cycles'!$DK$20:$DQ$20,1,DE214),1-INDEX('Lease Cycles'!$DR$20:$DX$20,1,DE214),1))),0)</f>
        <v>0</v>
      </c>
      <c r="DF220" s="28">
        <f>IF(DF216=1,IF(INDEX('Lease Cycles'!$EF$20:$EL$20,1,DF214)=1,DF217*INDEX('Lease Cycles'!$EM$20:$ES$20,1,DF214)+DF218*IF(DF215&lt;INDEX('Lease Cycles'!$FA$20:$FG$20,1,DF214),0,1-INDEX('Lease Cycles'!$EM$20:$ES$20,1,DF214)),DF217*IF(DF215&lt;INDEX('Lease Cycles'!$DK$20:$DQ$20,1,DF214),0,IF(DF215=INDEX('Lease Cycles'!$DK$20:$DQ$20,1,DF214),1-INDEX('Lease Cycles'!$DR$20:$DX$20,1,DF214),1))),0)</f>
        <v>0</v>
      </c>
      <c r="DG220" s="28">
        <f>IF(DG216=1,IF(INDEX('Lease Cycles'!$EF$20:$EL$20,1,DG214)=1,DG217*INDEX('Lease Cycles'!$EM$20:$ES$20,1,DG214)+DG218*IF(DG215&lt;INDEX('Lease Cycles'!$FA$20:$FG$20,1,DG214),0,1-INDEX('Lease Cycles'!$EM$20:$ES$20,1,DG214)),DG217*IF(DG215&lt;INDEX('Lease Cycles'!$DK$20:$DQ$20,1,DG214),0,IF(DG215=INDEX('Lease Cycles'!$DK$20:$DQ$20,1,DG214),1-INDEX('Lease Cycles'!$DR$20:$DX$20,1,DG214),1))),0)</f>
        <v>0</v>
      </c>
      <c r="DH220" s="28">
        <f>IF(DH216=1,IF(INDEX('Lease Cycles'!$EF$20:$EL$20,1,DH214)=1,DH217*INDEX('Lease Cycles'!$EM$20:$ES$20,1,DH214)+DH218*IF(DH215&lt;INDEX('Lease Cycles'!$FA$20:$FG$20,1,DH214),0,1-INDEX('Lease Cycles'!$EM$20:$ES$20,1,DH214)),DH217*IF(DH215&lt;INDEX('Lease Cycles'!$DK$20:$DQ$20,1,DH214),0,IF(DH215=INDEX('Lease Cycles'!$DK$20:$DQ$20,1,DH214),1-INDEX('Lease Cycles'!$DR$20:$DX$20,1,DH214),1))),0)</f>
        <v>0</v>
      </c>
      <c r="DI220" s="28">
        <f>IF(DI216=1,IF(INDEX('Lease Cycles'!$EF$20:$EL$20,1,DI214)=1,DI217*INDEX('Lease Cycles'!$EM$20:$ES$20,1,DI214)+DI218*IF(DI215&lt;INDEX('Lease Cycles'!$FA$20:$FG$20,1,DI214),0,1-INDEX('Lease Cycles'!$EM$20:$ES$20,1,DI214)),DI217*IF(DI215&lt;INDEX('Lease Cycles'!$DK$20:$DQ$20,1,DI214),0,IF(DI215=INDEX('Lease Cycles'!$DK$20:$DQ$20,1,DI214),1-INDEX('Lease Cycles'!$DR$20:$DX$20,1,DI214),1))),0)</f>
        <v>0</v>
      </c>
      <c r="DJ220" s="28">
        <f>IF(DJ216=1,IF(INDEX('Lease Cycles'!$EF$20:$EL$20,1,DJ214)=1,DJ217*INDEX('Lease Cycles'!$EM$20:$ES$20,1,DJ214)+DJ218*IF(DJ215&lt;INDEX('Lease Cycles'!$FA$20:$FG$20,1,DJ214),0,1-INDEX('Lease Cycles'!$EM$20:$ES$20,1,DJ214)),DJ217*IF(DJ215&lt;INDEX('Lease Cycles'!$DK$20:$DQ$20,1,DJ214),0,IF(DJ215=INDEX('Lease Cycles'!$DK$20:$DQ$20,1,DJ214),1-INDEX('Lease Cycles'!$DR$20:$DX$20,1,DJ214),1))),0)</f>
        <v>0</v>
      </c>
      <c r="DK220" s="28">
        <f>IF(DK216=1,IF(INDEX('Lease Cycles'!$EF$20:$EL$20,1,DK214)=1,DK217*INDEX('Lease Cycles'!$EM$20:$ES$20,1,DK214)+DK218*IF(DK215&lt;INDEX('Lease Cycles'!$FA$20:$FG$20,1,DK214),0,1-INDEX('Lease Cycles'!$EM$20:$ES$20,1,DK214)),DK217*IF(DK215&lt;INDEX('Lease Cycles'!$DK$20:$DQ$20,1,DK214),0,IF(DK215=INDEX('Lease Cycles'!$DK$20:$DQ$20,1,DK214),1-INDEX('Lease Cycles'!$DR$20:$DX$20,1,DK214),1))),0)</f>
        <v>0</v>
      </c>
      <c r="DL220" s="28">
        <f>IF(DL216=1,IF(INDEX('Lease Cycles'!$EF$20:$EL$20,1,DL214)=1,DL217*INDEX('Lease Cycles'!$EM$20:$ES$20,1,DL214)+DL218*IF(DL215&lt;INDEX('Lease Cycles'!$FA$20:$FG$20,1,DL214),0,1-INDEX('Lease Cycles'!$EM$20:$ES$20,1,DL214)),DL217*IF(DL215&lt;INDEX('Lease Cycles'!$DK$20:$DQ$20,1,DL214),0,IF(DL215=INDEX('Lease Cycles'!$DK$20:$DQ$20,1,DL214),1-INDEX('Lease Cycles'!$DR$20:$DX$20,1,DL214),1))),0)</f>
        <v>0</v>
      </c>
      <c r="DM220" s="28">
        <f>IF(DM216=1,IF(INDEX('Lease Cycles'!$EF$20:$EL$20,1,DM214)=1,DM217*INDEX('Lease Cycles'!$EM$20:$ES$20,1,DM214)+DM218*IF(DM215&lt;INDEX('Lease Cycles'!$FA$20:$FG$20,1,DM214),0,1-INDEX('Lease Cycles'!$EM$20:$ES$20,1,DM214)),DM217*IF(DM215&lt;INDEX('Lease Cycles'!$DK$20:$DQ$20,1,DM214),0,IF(DM215=INDEX('Lease Cycles'!$DK$20:$DQ$20,1,DM214),1-INDEX('Lease Cycles'!$DR$20:$DX$20,1,DM214),1))),0)</f>
        <v>0</v>
      </c>
      <c r="DN220" s="28">
        <f>IF(DN216=1,IF(INDEX('Lease Cycles'!$EF$20:$EL$20,1,DN214)=1,DN217*INDEX('Lease Cycles'!$EM$20:$ES$20,1,DN214)+DN218*IF(DN215&lt;INDEX('Lease Cycles'!$FA$20:$FG$20,1,DN214),0,1-INDEX('Lease Cycles'!$EM$20:$ES$20,1,DN214)),DN217*IF(DN215&lt;INDEX('Lease Cycles'!$DK$20:$DQ$20,1,DN214),0,IF(DN215=INDEX('Lease Cycles'!$DK$20:$DQ$20,1,DN214),1-INDEX('Lease Cycles'!$DR$20:$DX$20,1,DN214),1))),0)</f>
        <v>0</v>
      </c>
      <c r="DO220" s="28">
        <f>IF(DO216=1,IF(INDEX('Lease Cycles'!$EF$20:$EL$20,1,DO214)=1,DO217*INDEX('Lease Cycles'!$EM$20:$ES$20,1,DO214)+DO218*IF(DO215&lt;INDEX('Lease Cycles'!$FA$20:$FG$20,1,DO214),0,1-INDEX('Lease Cycles'!$EM$20:$ES$20,1,DO214)),DO217*IF(DO215&lt;INDEX('Lease Cycles'!$DK$20:$DQ$20,1,DO214),0,IF(DO215=INDEX('Lease Cycles'!$DK$20:$DQ$20,1,DO214),1-INDEX('Lease Cycles'!$DR$20:$DX$20,1,DO214),1))),0)</f>
        <v>0</v>
      </c>
      <c r="DP220" s="28">
        <f>IF(DP216=1,IF(INDEX('Lease Cycles'!$EF$20:$EL$20,1,DP214)=1,DP217*INDEX('Lease Cycles'!$EM$20:$ES$20,1,DP214)+DP218*IF(DP215&lt;INDEX('Lease Cycles'!$FA$20:$FG$20,1,DP214),0,1-INDEX('Lease Cycles'!$EM$20:$ES$20,1,DP214)),DP217*IF(DP215&lt;INDEX('Lease Cycles'!$DK$20:$DQ$20,1,DP214),0,IF(DP215=INDEX('Lease Cycles'!$DK$20:$DQ$20,1,DP214),1-INDEX('Lease Cycles'!$DR$20:$DX$20,1,DP214),1))),0)</f>
        <v>0</v>
      </c>
      <c r="DQ220" s="28">
        <f>IF(DQ216=1,IF(INDEX('Lease Cycles'!$EF$20:$EL$20,1,DQ214)=1,DQ217*INDEX('Lease Cycles'!$EM$20:$ES$20,1,DQ214)+DQ218*IF(DQ215&lt;INDEX('Lease Cycles'!$FA$20:$FG$20,1,DQ214),0,1-INDEX('Lease Cycles'!$EM$20:$ES$20,1,DQ214)),DQ217*IF(DQ215&lt;INDEX('Lease Cycles'!$DK$20:$DQ$20,1,DQ214),0,IF(DQ215=INDEX('Lease Cycles'!$DK$20:$DQ$20,1,DQ214),1-INDEX('Lease Cycles'!$DR$20:$DX$20,1,DQ214),1))),0)</f>
        <v>0</v>
      </c>
      <c r="DR220" s="28">
        <f>IF(DR216=1,IF(INDEX('Lease Cycles'!$EF$20:$EL$20,1,DR214)=1,DR217*INDEX('Lease Cycles'!$EM$20:$ES$20,1,DR214)+DR218*IF(DR215&lt;INDEX('Lease Cycles'!$FA$20:$FG$20,1,DR214),0,1-INDEX('Lease Cycles'!$EM$20:$ES$20,1,DR214)),DR217*IF(DR215&lt;INDEX('Lease Cycles'!$DK$20:$DQ$20,1,DR214),0,IF(DR215=INDEX('Lease Cycles'!$DK$20:$DQ$20,1,DR214),1-INDEX('Lease Cycles'!$DR$20:$DX$20,1,DR214),1))),0)</f>
        <v>0</v>
      </c>
      <c r="DS220" s="28">
        <f>IF(DS216=1,IF(INDEX('Lease Cycles'!$EF$20:$EL$20,1,DS214)=1,DS217*INDEX('Lease Cycles'!$EM$20:$ES$20,1,DS214)+DS218*IF(DS215&lt;INDEX('Lease Cycles'!$FA$20:$FG$20,1,DS214),0,1-INDEX('Lease Cycles'!$EM$20:$ES$20,1,DS214)),DS217*IF(DS215&lt;INDEX('Lease Cycles'!$DK$20:$DQ$20,1,DS214),0,IF(DS215=INDEX('Lease Cycles'!$DK$20:$DQ$20,1,DS214),1-INDEX('Lease Cycles'!$DR$20:$DX$20,1,DS214),1))),0)</f>
        <v>0</v>
      </c>
      <c r="DT220" s="28">
        <f>IF(DT216=1,IF(INDEX('Lease Cycles'!$EF$20:$EL$20,1,DT214)=1,DT217*INDEX('Lease Cycles'!$EM$20:$ES$20,1,DT214)+DT218*IF(DT215&lt;INDEX('Lease Cycles'!$FA$20:$FG$20,1,DT214),0,1-INDEX('Lease Cycles'!$EM$20:$ES$20,1,DT214)),DT217*IF(DT215&lt;INDEX('Lease Cycles'!$DK$20:$DQ$20,1,DT214),0,IF(DT215=INDEX('Lease Cycles'!$DK$20:$DQ$20,1,DT214),1-INDEX('Lease Cycles'!$DR$20:$DX$20,1,DT214),1))),0)</f>
        <v>0</v>
      </c>
      <c r="DU220" s="28">
        <f>IF(DU216=1,IF(INDEX('Lease Cycles'!$EF$20:$EL$20,1,DU214)=1,DU217*INDEX('Lease Cycles'!$EM$20:$ES$20,1,DU214)+DU218*IF(DU215&lt;INDEX('Lease Cycles'!$FA$20:$FG$20,1,DU214),0,1-INDEX('Lease Cycles'!$EM$20:$ES$20,1,DU214)),DU217*IF(DU215&lt;INDEX('Lease Cycles'!$DK$20:$DQ$20,1,DU214),0,IF(DU215=INDEX('Lease Cycles'!$DK$20:$DQ$20,1,DU214),1-INDEX('Lease Cycles'!$DR$20:$DX$20,1,DU214),1))),0)</f>
        <v>0</v>
      </c>
      <c r="DV220" s="28">
        <f>IF(DV216=1,IF(INDEX('Lease Cycles'!$EF$20:$EL$20,1,DV214)=1,DV217*INDEX('Lease Cycles'!$EM$20:$ES$20,1,DV214)+DV218*IF(DV215&lt;INDEX('Lease Cycles'!$FA$20:$FG$20,1,DV214),0,1-INDEX('Lease Cycles'!$EM$20:$ES$20,1,DV214)),DV217*IF(DV215&lt;INDEX('Lease Cycles'!$DK$20:$DQ$20,1,DV214),0,IF(DV215=INDEX('Lease Cycles'!$DK$20:$DQ$20,1,DV214),1-INDEX('Lease Cycles'!$DR$20:$DX$20,1,DV214),1))),0)</f>
        <v>0</v>
      </c>
      <c r="DW220" s="28">
        <f>IF(DW216=1,IF(INDEX('Lease Cycles'!$EF$20:$EL$20,1,DW214)=1,DW217*INDEX('Lease Cycles'!$EM$20:$ES$20,1,DW214)+DW218*IF(DW215&lt;INDEX('Lease Cycles'!$FA$20:$FG$20,1,DW214),0,1-INDEX('Lease Cycles'!$EM$20:$ES$20,1,DW214)),DW217*IF(DW215&lt;INDEX('Lease Cycles'!$DK$20:$DQ$20,1,DW214),0,IF(DW215=INDEX('Lease Cycles'!$DK$20:$DQ$20,1,DW214),1-INDEX('Lease Cycles'!$DR$20:$DX$20,1,DW214),1))),0)</f>
        <v>0</v>
      </c>
      <c r="DX220" s="28">
        <f>IF(DX216=1,IF(INDEX('Lease Cycles'!$EF$20:$EL$20,1,DX214)=1,DX217*INDEX('Lease Cycles'!$EM$20:$ES$20,1,DX214)+DX218*IF(DX215&lt;INDEX('Lease Cycles'!$FA$20:$FG$20,1,DX214),0,1-INDEX('Lease Cycles'!$EM$20:$ES$20,1,DX214)),DX217*IF(DX215&lt;INDEX('Lease Cycles'!$DK$20:$DQ$20,1,DX214),0,IF(DX215=INDEX('Lease Cycles'!$DK$20:$DQ$20,1,DX214),1-INDEX('Lease Cycles'!$DR$20:$DX$20,1,DX214),1))),0)</f>
        <v>0</v>
      </c>
      <c r="DY220" s="28">
        <f>IF(DY216=1,IF(INDEX('Lease Cycles'!$EF$20:$EL$20,1,DY214)=1,DY217*INDEX('Lease Cycles'!$EM$20:$ES$20,1,DY214)+DY218*IF(DY215&lt;INDEX('Lease Cycles'!$FA$20:$FG$20,1,DY214),0,1-INDEX('Lease Cycles'!$EM$20:$ES$20,1,DY214)),DY217*IF(DY215&lt;INDEX('Lease Cycles'!$DK$20:$DQ$20,1,DY214),0,IF(DY215=INDEX('Lease Cycles'!$DK$20:$DQ$20,1,DY214),1-INDEX('Lease Cycles'!$DR$20:$DX$20,1,DY214),1))),0)</f>
        <v>0</v>
      </c>
      <c r="DZ220" s="28">
        <f>IF(DZ216=1,IF(INDEX('Lease Cycles'!$EF$20:$EL$20,1,DZ214)=1,DZ217*INDEX('Lease Cycles'!$EM$20:$ES$20,1,DZ214)+DZ218*IF(DZ215&lt;INDEX('Lease Cycles'!$FA$20:$FG$20,1,DZ214),0,1-INDEX('Lease Cycles'!$EM$20:$ES$20,1,DZ214)),DZ217*IF(DZ215&lt;INDEX('Lease Cycles'!$DK$20:$DQ$20,1,DZ214),0,IF(DZ215=INDEX('Lease Cycles'!$DK$20:$DQ$20,1,DZ214),1-INDEX('Lease Cycles'!$DR$20:$DX$20,1,DZ214),1))),0)</f>
        <v>0</v>
      </c>
      <c r="EA220" s="28">
        <f>IF(EA216=1,IF(INDEX('Lease Cycles'!$EF$20:$EL$20,1,EA214)=1,EA217*INDEX('Lease Cycles'!$EM$20:$ES$20,1,EA214)+EA218*IF(EA215&lt;INDEX('Lease Cycles'!$FA$20:$FG$20,1,EA214),0,1-INDEX('Lease Cycles'!$EM$20:$ES$20,1,EA214)),EA217*IF(EA215&lt;INDEX('Lease Cycles'!$DK$20:$DQ$20,1,EA214),0,IF(EA215=INDEX('Lease Cycles'!$DK$20:$DQ$20,1,EA214),1-INDEX('Lease Cycles'!$DR$20:$DX$20,1,EA214),1))),0)</f>
        <v>0</v>
      </c>
      <c r="EB220" s="28">
        <f>IF(EB216=1,IF(INDEX('Lease Cycles'!$EF$20:$EL$20,1,EB214)=1,EB217*INDEX('Lease Cycles'!$EM$20:$ES$20,1,EB214)+EB218*IF(EB215&lt;INDEX('Lease Cycles'!$FA$20:$FG$20,1,EB214),0,1-INDEX('Lease Cycles'!$EM$20:$ES$20,1,EB214)),EB217*IF(EB215&lt;INDEX('Lease Cycles'!$DK$20:$DQ$20,1,EB214),0,IF(EB215=INDEX('Lease Cycles'!$DK$20:$DQ$20,1,EB214),1-INDEX('Lease Cycles'!$DR$20:$DX$20,1,EB214),1))),0)</f>
        <v>0</v>
      </c>
      <c r="EC220" s="28">
        <f>IF(EC216=1,IF(INDEX('Lease Cycles'!$EF$20:$EL$20,1,EC214)=1,EC217*INDEX('Lease Cycles'!$EM$20:$ES$20,1,EC214)+EC218*IF(EC215&lt;INDEX('Lease Cycles'!$FA$20:$FG$20,1,EC214),0,1-INDEX('Lease Cycles'!$EM$20:$ES$20,1,EC214)),EC217*IF(EC215&lt;INDEX('Lease Cycles'!$DK$20:$DQ$20,1,EC214),0,IF(EC215=INDEX('Lease Cycles'!$DK$20:$DQ$20,1,EC214),1-INDEX('Lease Cycles'!$DR$20:$DX$20,1,EC214),1))),0)</f>
        <v>0</v>
      </c>
      <c r="ED220" s="28">
        <f>IF(ED216=1,IF(INDEX('Lease Cycles'!$EF$20:$EL$20,1,ED214)=1,ED217*INDEX('Lease Cycles'!$EM$20:$ES$20,1,ED214)+ED218*IF(ED215&lt;INDEX('Lease Cycles'!$FA$20:$FG$20,1,ED214),0,1-INDEX('Lease Cycles'!$EM$20:$ES$20,1,ED214)),ED217*IF(ED215&lt;INDEX('Lease Cycles'!$DK$20:$DQ$20,1,ED214),0,IF(ED215=INDEX('Lease Cycles'!$DK$20:$DQ$20,1,ED214),1-INDEX('Lease Cycles'!$DR$20:$DX$20,1,ED214),1))),0)</f>
        <v>0</v>
      </c>
      <c r="EE220" s="28">
        <f>IF(EE216=1,IF(INDEX('Lease Cycles'!$EF$20:$EL$20,1,EE214)=1,EE217*INDEX('Lease Cycles'!$EM$20:$ES$20,1,EE214)+EE218*IF(EE215&lt;INDEX('Lease Cycles'!$FA$20:$FG$20,1,EE214),0,1-INDEX('Lease Cycles'!$EM$20:$ES$20,1,EE214)),EE217*IF(EE215&lt;INDEX('Lease Cycles'!$DK$20:$DQ$20,1,EE214),0,IF(EE215=INDEX('Lease Cycles'!$DK$20:$DQ$20,1,EE214),1-INDEX('Lease Cycles'!$DR$20:$DX$20,1,EE214),1))),0)</f>
        <v>0</v>
      </c>
      <c r="EF220" s="28">
        <f>IF(EF216=1,IF(INDEX('Lease Cycles'!$EF$20:$EL$20,1,EF214)=1,EF217*INDEX('Lease Cycles'!$EM$20:$ES$20,1,EF214)+EF218*IF(EF215&lt;INDEX('Lease Cycles'!$FA$20:$FG$20,1,EF214),0,1-INDEX('Lease Cycles'!$EM$20:$ES$20,1,EF214)),EF217*IF(EF215&lt;INDEX('Lease Cycles'!$DK$20:$DQ$20,1,EF214),0,IF(EF215=INDEX('Lease Cycles'!$DK$20:$DQ$20,1,EF214),1-INDEX('Lease Cycles'!$DR$20:$DX$20,1,EF214),1))),0)</f>
        <v>0</v>
      </c>
      <c r="EG220" s="28">
        <f>IF(EG216=1,IF(INDEX('Lease Cycles'!$EF$20:$EL$20,1,EG214)=1,EG217*INDEX('Lease Cycles'!$EM$20:$ES$20,1,EG214)+EG218*IF(EG215&lt;INDEX('Lease Cycles'!$FA$20:$FG$20,1,EG214),0,1-INDEX('Lease Cycles'!$EM$20:$ES$20,1,EG214)),EG217*IF(EG215&lt;INDEX('Lease Cycles'!$DK$20:$DQ$20,1,EG214),0,IF(EG215=INDEX('Lease Cycles'!$DK$20:$DQ$20,1,EG214),1-INDEX('Lease Cycles'!$DR$20:$DX$20,1,EG214),1))),0)</f>
        <v>0</v>
      </c>
      <c r="EH220" s="28">
        <f>IF(EH216=1,IF(INDEX('Lease Cycles'!$EF$20:$EL$20,1,EH214)=1,EH217*INDEX('Lease Cycles'!$EM$20:$ES$20,1,EH214)+EH218*IF(EH215&lt;INDEX('Lease Cycles'!$FA$20:$FG$20,1,EH214),0,1-INDEX('Lease Cycles'!$EM$20:$ES$20,1,EH214)),EH217*IF(EH215&lt;INDEX('Lease Cycles'!$DK$20:$DQ$20,1,EH214),0,IF(EH215=INDEX('Lease Cycles'!$DK$20:$DQ$20,1,EH214),1-INDEX('Lease Cycles'!$DR$20:$DX$20,1,EH214),1))),0)</f>
        <v>0</v>
      </c>
      <c r="EI220" s="28">
        <f>IF(EI216=1,IF(INDEX('Lease Cycles'!$EF$20:$EL$20,1,EI214)=1,EI217*INDEX('Lease Cycles'!$EM$20:$ES$20,1,EI214)+EI218*IF(EI215&lt;INDEX('Lease Cycles'!$FA$20:$FG$20,1,EI214),0,1-INDEX('Lease Cycles'!$EM$20:$ES$20,1,EI214)),EI217*IF(EI215&lt;INDEX('Lease Cycles'!$DK$20:$DQ$20,1,EI214),0,IF(EI215=INDEX('Lease Cycles'!$DK$20:$DQ$20,1,EI214),1-INDEX('Lease Cycles'!$DR$20:$DX$20,1,EI214),1))),0)</f>
        <v>0</v>
      </c>
      <c r="EJ220" s="28">
        <f>IF(EJ216=1,IF(INDEX('Lease Cycles'!$EF$20:$EL$20,1,EJ214)=1,EJ217*INDEX('Lease Cycles'!$EM$20:$ES$20,1,EJ214)+EJ218*IF(EJ215&lt;INDEX('Lease Cycles'!$FA$20:$FG$20,1,EJ214),0,1-INDEX('Lease Cycles'!$EM$20:$ES$20,1,EJ214)),EJ217*IF(EJ215&lt;INDEX('Lease Cycles'!$DK$20:$DQ$20,1,EJ214),0,IF(EJ215=INDEX('Lease Cycles'!$DK$20:$DQ$20,1,EJ214),1-INDEX('Lease Cycles'!$DR$20:$DX$20,1,EJ214),1))),0)</f>
        <v>0</v>
      </c>
      <c r="EK220" s="28">
        <f>IF(EK216=1,IF(INDEX('Lease Cycles'!$EF$20:$EL$20,1,EK214)=1,EK217*INDEX('Lease Cycles'!$EM$20:$ES$20,1,EK214)+EK218*IF(EK215&lt;INDEX('Lease Cycles'!$FA$20:$FG$20,1,EK214),0,1-INDEX('Lease Cycles'!$EM$20:$ES$20,1,EK214)),EK217*IF(EK215&lt;INDEX('Lease Cycles'!$DK$20:$DQ$20,1,EK214),0,IF(EK215=INDEX('Lease Cycles'!$DK$20:$DQ$20,1,EK214),1-INDEX('Lease Cycles'!$DR$20:$DX$20,1,EK214),1))),0)</f>
        <v>0</v>
      </c>
      <c r="EL220" s="28">
        <f>IF(EL216=1,IF(INDEX('Lease Cycles'!$EF$20:$EL$20,1,EL214)=1,EL217*INDEX('Lease Cycles'!$EM$20:$ES$20,1,EL214)+EL218*IF(EL215&lt;INDEX('Lease Cycles'!$FA$20:$FG$20,1,EL214),0,1-INDEX('Lease Cycles'!$EM$20:$ES$20,1,EL214)),EL217*IF(EL215&lt;INDEX('Lease Cycles'!$DK$20:$DQ$20,1,EL214),0,IF(EL215=INDEX('Lease Cycles'!$DK$20:$DQ$20,1,EL214),1-INDEX('Lease Cycles'!$DR$20:$DX$20,1,EL214),1))),0)</f>
        <v>0</v>
      </c>
      <c r="EM220" s="28">
        <f>IF(EM216=1,IF(INDEX('Lease Cycles'!$EF$20:$EL$20,1,EM214)=1,EM217*INDEX('Lease Cycles'!$EM$20:$ES$20,1,EM214)+EM218*IF(EM215&lt;INDEX('Lease Cycles'!$FA$20:$FG$20,1,EM214),0,1-INDEX('Lease Cycles'!$EM$20:$ES$20,1,EM214)),EM217*IF(EM215&lt;INDEX('Lease Cycles'!$DK$20:$DQ$20,1,EM214),0,IF(EM215=INDEX('Lease Cycles'!$DK$20:$DQ$20,1,EM214),1-INDEX('Lease Cycles'!$DR$20:$DX$20,1,EM214),1))),0)</f>
        <v>0</v>
      </c>
      <c r="EN220" s="28">
        <f>IF(EN216=1,IF(INDEX('Lease Cycles'!$EF$20:$EL$20,1,EN214)=1,EN217*INDEX('Lease Cycles'!$EM$20:$ES$20,1,EN214)+EN218*IF(EN215&lt;INDEX('Lease Cycles'!$FA$20:$FG$20,1,EN214),0,1-INDEX('Lease Cycles'!$EM$20:$ES$20,1,EN214)),EN217*IF(EN215&lt;INDEX('Lease Cycles'!$DK$20:$DQ$20,1,EN214),0,IF(EN215=INDEX('Lease Cycles'!$DK$20:$DQ$20,1,EN214),1-INDEX('Lease Cycles'!$DR$20:$DX$20,1,EN214),1))),0)</f>
        <v>0</v>
      </c>
      <c r="EO220" s="28">
        <f>IF(EO216=1,IF(INDEX('Lease Cycles'!$EF$20:$EL$20,1,EO214)=1,EO217*INDEX('Lease Cycles'!$EM$20:$ES$20,1,EO214)+EO218*IF(EO215&lt;INDEX('Lease Cycles'!$FA$20:$FG$20,1,EO214),0,1-INDEX('Lease Cycles'!$EM$20:$ES$20,1,EO214)),EO217*IF(EO215&lt;INDEX('Lease Cycles'!$DK$20:$DQ$20,1,EO214),0,IF(EO215=INDEX('Lease Cycles'!$DK$20:$DQ$20,1,EO214),1-INDEX('Lease Cycles'!$DR$20:$DX$20,1,EO214),1))),0)</f>
        <v>0</v>
      </c>
      <c r="EP220" s="28">
        <f>IF(EP216=1,IF(INDEX('Lease Cycles'!$EF$20:$EL$20,1,EP214)=1,EP217*INDEX('Lease Cycles'!$EM$20:$ES$20,1,EP214)+EP218*IF(EP215&lt;INDEX('Lease Cycles'!$FA$20:$FG$20,1,EP214),0,1-INDEX('Lease Cycles'!$EM$20:$ES$20,1,EP214)),EP217*IF(EP215&lt;INDEX('Lease Cycles'!$DK$20:$DQ$20,1,EP214),0,IF(EP215=INDEX('Lease Cycles'!$DK$20:$DQ$20,1,EP214),1-INDEX('Lease Cycles'!$DR$20:$DX$20,1,EP214),1))),0)</f>
        <v>0</v>
      </c>
      <c r="EQ220" s="28">
        <f>IF(EQ216=1,IF(INDEX('Lease Cycles'!$EF$20:$EL$20,1,EQ214)=1,EQ217*INDEX('Lease Cycles'!$EM$20:$ES$20,1,EQ214)+EQ218*IF(EQ215&lt;INDEX('Lease Cycles'!$FA$20:$FG$20,1,EQ214),0,1-INDEX('Lease Cycles'!$EM$20:$ES$20,1,EQ214)),EQ217*IF(EQ215&lt;INDEX('Lease Cycles'!$DK$20:$DQ$20,1,EQ214),0,IF(EQ215=INDEX('Lease Cycles'!$DK$20:$DQ$20,1,EQ214),1-INDEX('Lease Cycles'!$DR$20:$DX$20,1,EQ214),1))),0)</f>
        <v>0</v>
      </c>
      <c r="ER220" s="28">
        <f>IF(ER216=1,IF(INDEX('Lease Cycles'!$EF$20:$EL$20,1,ER214)=1,ER217*INDEX('Lease Cycles'!$EM$20:$ES$20,1,ER214)+ER218*IF(ER215&lt;INDEX('Lease Cycles'!$FA$20:$FG$20,1,ER214),0,1-INDEX('Lease Cycles'!$EM$20:$ES$20,1,ER214)),ER217*IF(ER215&lt;INDEX('Lease Cycles'!$DK$20:$DQ$20,1,ER214),0,IF(ER215=INDEX('Lease Cycles'!$DK$20:$DQ$20,1,ER214),1-INDEX('Lease Cycles'!$DR$20:$DX$20,1,ER214),1))),0)</f>
        <v>0</v>
      </c>
      <c r="ES220" s="28">
        <f>IF(ES216=1,IF(INDEX('Lease Cycles'!$EF$20:$EL$20,1,ES214)=1,ES217*INDEX('Lease Cycles'!$EM$20:$ES$20,1,ES214)+ES218*IF(ES215&lt;INDEX('Lease Cycles'!$FA$20:$FG$20,1,ES214),0,1-INDEX('Lease Cycles'!$EM$20:$ES$20,1,ES214)),ES217*IF(ES215&lt;INDEX('Lease Cycles'!$DK$20:$DQ$20,1,ES214),0,IF(ES215=INDEX('Lease Cycles'!$DK$20:$DQ$20,1,ES214),1-INDEX('Lease Cycles'!$DR$20:$DX$20,1,ES214),1))),0)</f>
        <v>0</v>
      </c>
      <c r="ET220" s="28">
        <f>IF(ET216=1,IF(INDEX('Lease Cycles'!$EF$20:$EL$20,1,ET214)=1,ET217*INDEX('Lease Cycles'!$EM$20:$ES$20,1,ET214)+ET218*IF(ET215&lt;INDEX('Lease Cycles'!$FA$20:$FG$20,1,ET214),0,1-INDEX('Lease Cycles'!$EM$20:$ES$20,1,ET214)),ET217*IF(ET215&lt;INDEX('Lease Cycles'!$DK$20:$DQ$20,1,ET214),0,IF(ET215=INDEX('Lease Cycles'!$DK$20:$DQ$20,1,ET214),1-INDEX('Lease Cycles'!$DR$20:$DX$20,1,ET214),1))),0)</f>
        <v>0</v>
      </c>
    </row>
    <row r="221">
      <c r="A221" s="103">
        <v>13</v>
      </c>
      <c r="B221" s="23" t="str">
        <f>IF('Lease Cycles'!$B$20="","(empty slot)",'Lease Cycles'!$B$20)</f>
        <v>(empty slot)</v>
      </c>
      <c r="C221" s="23" t="s">
        <v>493</v>
      </c>
      <c r="D221" s="104" t="s">
        <v>494</v>
      </c>
      <c r="E221" s="25">
        <f>'Lease Cycles'!$AL$20</f>
        <v>0</v>
      </c>
      <c r="G221" s="28">
        <f>SUM(S221:AD221)</f>
        <v>0</v>
      </c>
      <c r="H221" s="28">
        <f>SUM(AE221:AP221)</f>
        <v>0</v>
      </c>
      <c r="I221" s="28">
        <f>SUM(AQ221:BB221)</f>
        <v>0</v>
      </c>
      <c r="J221" s="28">
        <f>SUM(BC221:BN221)</f>
        <v>0</v>
      </c>
      <c r="K221" s="28">
        <f>SUM(BO221:BZ221)</f>
        <v>0</v>
      </c>
      <c r="L221" s="28">
        <f>SUM(CA221:CL221)</f>
        <v>0</v>
      </c>
      <c r="M221" s="28">
        <f>SUM(CM221:CX221)</f>
        <v>0</v>
      </c>
      <c r="N221" s="28">
        <f>SUM(CY221:DJ221)</f>
        <v>0</v>
      </c>
      <c r="O221" s="28">
        <f>SUM(DK221:DV221)</f>
        <v>0</v>
      </c>
      <c r="P221" s="28">
        <f>SUM(DW221:EH221)</f>
        <v>0</v>
      </c>
      <c r="Q221" s="28">
        <f>SUM(EI221:ET221)</f>
        <v>0</v>
      </c>
      <c r="S221" s="28">
        <f>IF(S216=1,IF(INDEX('Lease Cycles'!$EF$20:$EL$20,1,S214)=1,0,S217*(1-IF(S215&lt;INDEX('Lease Cycles'!$DK$20:$DQ$20,1,S214),0,IF(S215=INDEX('Lease Cycles'!$DK$20:$DQ$20,1,S214),1-INDEX('Lease Cycles'!$DR$20:$DX$20,1,S214),1))-IF(S215=0,INDEX('Lease Cycles'!$DD$20:$DJ$20,1,S214),0))),0)</f>
        <v>0</v>
      </c>
      <c r="T221" s="28">
        <f>IF(T216=1,IF(INDEX('Lease Cycles'!$EF$20:$EL$20,1,T214)=1,0,T217*(1-IF(T215&lt;INDEX('Lease Cycles'!$DK$20:$DQ$20,1,T214),0,IF(T215=INDEX('Lease Cycles'!$DK$20:$DQ$20,1,T214),1-INDEX('Lease Cycles'!$DR$20:$DX$20,1,T214),1))-IF(T215=0,INDEX('Lease Cycles'!$DD$20:$DJ$20,1,T214),0))),0)</f>
        <v>0</v>
      </c>
      <c r="U221" s="28">
        <f>IF(U216=1,IF(INDEX('Lease Cycles'!$EF$20:$EL$20,1,U214)=1,0,U217*(1-IF(U215&lt;INDEX('Lease Cycles'!$DK$20:$DQ$20,1,U214),0,IF(U215=INDEX('Lease Cycles'!$DK$20:$DQ$20,1,U214),1-INDEX('Lease Cycles'!$DR$20:$DX$20,1,U214),1))-IF(U215=0,INDEX('Lease Cycles'!$DD$20:$DJ$20,1,U214),0))),0)</f>
        <v>0</v>
      </c>
      <c r="V221" s="28">
        <f>IF(V216=1,IF(INDEX('Lease Cycles'!$EF$20:$EL$20,1,V214)=1,0,V217*(1-IF(V215&lt;INDEX('Lease Cycles'!$DK$20:$DQ$20,1,V214),0,IF(V215=INDEX('Lease Cycles'!$DK$20:$DQ$20,1,V214),1-INDEX('Lease Cycles'!$DR$20:$DX$20,1,V214),1))-IF(V215=0,INDEX('Lease Cycles'!$DD$20:$DJ$20,1,V214),0))),0)</f>
        <v>0</v>
      </c>
      <c r="W221" s="28">
        <f>IF(W216=1,IF(INDEX('Lease Cycles'!$EF$20:$EL$20,1,W214)=1,0,W217*(1-IF(W215&lt;INDEX('Lease Cycles'!$DK$20:$DQ$20,1,W214),0,IF(W215=INDEX('Lease Cycles'!$DK$20:$DQ$20,1,W214),1-INDEX('Lease Cycles'!$DR$20:$DX$20,1,W214),1))-IF(W215=0,INDEX('Lease Cycles'!$DD$20:$DJ$20,1,W214),0))),0)</f>
        <v>0</v>
      </c>
      <c r="X221" s="28">
        <f>IF(X216=1,IF(INDEX('Lease Cycles'!$EF$20:$EL$20,1,X214)=1,0,X217*(1-IF(X215&lt;INDEX('Lease Cycles'!$DK$20:$DQ$20,1,X214),0,IF(X215=INDEX('Lease Cycles'!$DK$20:$DQ$20,1,X214),1-INDEX('Lease Cycles'!$DR$20:$DX$20,1,X214),1))-IF(X215=0,INDEX('Lease Cycles'!$DD$20:$DJ$20,1,X214),0))),0)</f>
        <v>0</v>
      </c>
      <c r="Y221" s="28">
        <f>IF(Y216=1,IF(INDEX('Lease Cycles'!$EF$20:$EL$20,1,Y214)=1,0,Y217*(1-IF(Y215&lt;INDEX('Lease Cycles'!$DK$20:$DQ$20,1,Y214),0,IF(Y215=INDEX('Lease Cycles'!$DK$20:$DQ$20,1,Y214),1-INDEX('Lease Cycles'!$DR$20:$DX$20,1,Y214),1))-IF(Y215=0,INDEX('Lease Cycles'!$DD$20:$DJ$20,1,Y214),0))),0)</f>
        <v>0</v>
      </c>
      <c r="Z221" s="28">
        <f>IF(Z216=1,IF(INDEX('Lease Cycles'!$EF$20:$EL$20,1,Z214)=1,0,Z217*(1-IF(Z215&lt;INDEX('Lease Cycles'!$DK$20:$DQ$20,1,Z214),0,IF(Z215=INDEX('Lease Cycles'!$DK$20:$DQ$20,1,Z214),1-INDEX('Lease Cycles'!$DR$20:$DX$20,1,Z214),1))-IF(Z215=0,INDEX('Lease Cycles'!$DD$20:$DJ$20,1,Z214),0))),0)</f>
        <v>0</v>
      </c>
      <c r="AA221" s="28">
        <f>IF(AA216=1,IF(INDEX('Lease Cycles'!$EF$20:$EL$20,1,AA214)=1,0,AA217*(1-IF(AA215&lt;INDEX('Lease Cycles'!$DK$20:$DQ$20,1,AA214),0,IF(AA215=INDEX('Lease Cycles'!$DK$20:$DQ$20,1,AA214),1-INDEX('Lease Cycles'!$DR$20:$DX$20,1,AA214),1))-IF(AA215=0,INDEX('Lease Cycles'!$DD$20:$DJ$20,1,AA214),0))),0)</f>
        <v>0</v>
      </c>
      <c r="AB221" s="28">
        <f>IF(AB216=1,IF(INDEX('Lease Cycles'!$EF$20:$EL$20,1,AB214)=1,0,AB217*(1-IF(AB215&lt;INDEX('Lease Cycles'!$DK$20:$DQ$20,1,AB214),0,IF(AB215=INDEX('Lease Cycles'!$DK$20:$DQ$20,1,AB214),1-INDEX('Lease Cycles'!$DR$20:$DX$20,1,AB214),1))-IF(AB215=0,INDEX('Lease Cycles'!$DD$20:$DJ$20,1,AB214),0))),0)</f>
        <v>0</v>
      </c>
      <c r="AC221" s="28">
        <f>IF(AC216=1,IF(INDEX('Lease Cycles'!$EF$20:$EL$20,1,AC214)=1,0,AC217*(1-IF(AC215&lt;INDEX('Lease Cycles'!$DK$20:$DQ$20,1,AC214),0,IF(AC215=INDEX('Lease Cycles'!$DK$20:$DQ$20,1,AC214),1-INDEX('Lease Cycles'!$DR$20:$DX$20,1,AC214),1))-IF(AC215=0,INDEX('Lease Cycles'!$DD$20:$DJ$20,1,AC214),0))),0)</f>
        <v>0</v>
      </c>
      <c r="AD221" s="28">
        <f>IF(AD216=1,IF(INDEX('Lease Cycles'!$EF$20:$EL$20,1,AD214)=1,0,AD217*(1-IF(AD215&lt;INDEX('Lease Cycles'!$DK$20:$DQ$20,1,AD214),0,IF(AD215=INDEX('Lease Cycles'!$DK$20:$DQ$20,1,AD214),1-INDEX('Lease Cycles'!$DR$20:$DX$20,1,AD214),1))-IF(AD215=0,INDEX('Lease Cycles'!$DD$20:$DJ$20,1,AD214),0))),0)</f>
        <v>0</v>
      </c>
      <c r="AE221" s="28">
        <f>IF(AE216=1,IF(INDEX('Lease Cycles'!$EF$20:$EL$20,1,AE214)=1,0,AE217*(1-IF(AE215&lt;INDEX('Lease Cycles'!$DK$20:$DQ$20,1,AE214),0,IF(AE215=INDEX('Lease Cycles'!$DK$20:$DQ$20,1,AE214),1-INDEX('Lease Cycles'!$DR$20:$DX$20,1,AE214),1))-IF(AE215=0,INDEX('Lease Cycles'!$DD$20:$DJ$20,1,AE214),0))),0)</f>
        <v>0</v>
      </c>
      <c r="AF221" s="28">
        <f>IF(AF216=1,IF(INDEX('Lease Cycles'!$EF$20:$EL$20,1,AF214)=1,0,AF217*(1-IF(AF215&lt;INDEX('Lease Cycles'!$DK$20:$DQ$20,1,AF214),0,IF(AF215=INDEX('Lease Cycles'!$DK$20:$DQ$20,1,AF214),1-INDEX('Lease Cycles'!$DR$20:$DX$20,1,AF214),1))-IF(AF215=0,INDEX('Lease Cycles'!$DD$20:$DJ$20,1,AF214),0))),0)</f>
        <v>0</v>
      </c>
      <c r="AG221" s="28">
        <f>IF(AG216=1,IF(INDEX('Lease Cycles'!$EF$20:$EL$20,1,AG214)=1,0,AG217*(1-IF(AG215&lt;INDEX('Lease Cycles'!$DK$20:$DQ$20,1,AG214),0,IF(AG215=INDEX('Lease Cycles'!$DK$20:$DQ$20,1,AG214),1-INDEX('Lease Cycles'!$DR$20:$DX$20,1,AG214),1))-IF(AG215=0,INDEX('Lease Cycles'!$DD$20:$DJ$20,1,AG214),0))),0)</f>
        <v>0</v>
      </c>
      <c r="AH221" s="28">
        <f>IF(AH216=1,IF(INDEX('Lease Cycles'!$EF$20:$EL$20,1,AH214)=1,0,AH217*(1-IF(AH215&lt;INDEX('Lease Cycles'!$DK$20:$DQ$20,1,AH214),0,IF(AH215=INDEX('Lease Cycles'!$DK$20:$DQ$20,1,AH214),1-INDEX('Lease Cycles'!$DR$20:$DX$20,1,AH214),1))-IF(AH215=0,INDEX('Lease Cycles'!$DD$20:$DJ$20,1,AH214),0))),0)</f>
        <v>0</v>
      </c>
      <c r="AI221" s="28">
        <f>IF(AI216=1,IF(INDEX('Lease Cycles'!$EF$20:$EL$20,1,AI214)=1,0,AI217*(1-IF(AI215&lt;INDEX('Lease Cycles'!$DK$20:$DQ$20,1,AI214),0,IF(AI215=INDEX('Lease Cycles'!$DK$20:$DQ$20,1,AI214),1-INDEX('Lease Cycles'!$DR$20:$DX$20,1,AI214),1))-IF(AI215=0,INDEX('Lease Cycles'!$DD$20:$DJ$20,1,AI214),0))),0)</f>
        <v>0</v>
      </c>
      <c r="AJ221" s="28">
        <f>IF(AJ216=1,IF(INDEX('Lease Cycles'!$EF$20:$EL$20,1,AJ214)=1,0,AJ217*(1-IF(AJ215&lt;INDEX('Lease Cycles'!$DK$20:$DQ$20,1,AJ214),0,IF(AJ215=INDEX('Lease Cycles'!$DK$20:$DQ$20,1,AJ214),1-INDEX('Lease Cycles'!$DR$20:$DX$20,1,AJ214),1))-IF(AJ215=0,INDEX('Lease Cycles'!$DD$20:$DJ$20,1,AJ214),0))),0)</f>
        <v>0</v>
      </c>
      <c r="AK221" s="28">
        <f>IF(AK216=1,IF(INDEX('Lease Cycles'!$EF$20:$EL$20,1,AK214)=1,0,AK217*(1-IF(AK215&lt;INDEX('Lease Cycles'!$DK$20:$DQ$20,1,AK214),0,IF(AK215=INDEX('Lease Cycles'!$DK$20:$DQ$20,1,AK214),1-INDEX('Lease Cycles'!$DR$20:$DX$20,1,AK214),1))-IF(AK215=0,INDEX('Lease Cycles'!$DD$20:$DJ$20,1,AK214),0))),0)</f>
        <v>0</v>
      </c>
      <c r="AL221" s="28">
        <f>IF(AL216=1,IF(INDEX('Lease Cycles'!$EF$20:$EL$20,1,AL214)=1,0,AL217*(1-IF(AL215&lt;INDEX('Lease Cycles'!$DK$20:$DQ$20,1,AL214),0,IF(AL215=INDEX('Lease Cycles'!$DK$20:$DQ$20,1,AL214),1-INDEX('Lease Cycles'!$DR$20:$DX$20,1,AL214),1))-IF(AL215=0,INDEX('Lease Cycles'!$DD$20:$DJ$20,1,AL214),0))),0)</f>
        <v>0</v>
      </c>
      <c r="AM221" s="28">
        <f>IF(AM216=1,IF(INDEX('Lease Cycles'!$EF$20:$EL$20,1,AM214)=1,0,AM217*(1-IF(AM215&lt;INDEX('Lease Cycles'!$DK$20:$DQ$20,1,AM214),0,IF(AM215=INDEX('Lease Cycles'!$DK$20:$DQ$20,1,AM214),1-INDEX('Lease Cycles'!$DR$20:$DX$20,1,AM214),1))-IF(AM215=0,INDEX('Lease Cycles'!$DD$20:$DJ$20,1,AM214),0))),0)</f>
        <v>0</v>
      </c>
      <c r="AN221" s="28">
        <f>IF(AN216=1,IF(INDEX('Lease Cycles'!$EF$20:$EL$20,1,AN214)=1,0,AN217*(1-IF(AN215&lt;INDEX('Lease Cycles'!$DK$20:$DQ$20,1,AN214),0,IF(AN215=INDEX('Lease Cycles'!$DK$20:$DQ$20,1,AN214),1-INDEX('Lease Cycles'!$DR$20:$DX$20,1,AN214),1))-IF(AN215=0,INDEX('Lease Cycles'!$DD$20:$DJ$20,1,AN214),0))),0)</f>
        <v>0</v>
      </c>
      <c r="AO221" s="28">
        <f>IF(AO216=1,IF(INDEX('Lease Cycles'!$EF$20:$EL$20,1,AO214)=1,0,AO217*(1-IF(AO215&lt;INDEX('Lease Cycles'!$DK$20:$DQ$20,1,AO214),0,IF(AO215=INDEX('Lease Cycles'!$DK$20:$DQ$20,1,AO214),1-INDEX('Lease Cycles'!$DR$20:$DX$20,1,AO214),1))-IF(AO215=0,INDEX('Lease Cycles'!$DD$20:$DJ$20,1,AO214),0))),0)</f>
        <v>0</v>
      </c>
      <c r="AP221" s="28">
        <f>IF(AP216=1,IF(INDEX('Lease Cycles'!$EF$20:$EL$20,1,AP214)=1,0,AP217*(1-IF(AP215&lt;INDEX('Lease Cycles'!$DK$20:$DQ$20,1,AP214),0,IF(AP215=INDEX('Lease Cycles'!$DK$20:$DQ$20,1,AP214),1-INDEX('Lease Cycles'!$DR$20:$DX$20,1,AP214),1))-IF(AP215=0,INDEX('Lease Cycles'!$DD$20:$DJ$20,1,AP214),0))),0)</f>
        <v>0</v>
      </c>
      <c r="AQ221" s="28">
        <f>IF(AQ216=1,IF(INDEX('Lease Cycles'!$EF$20:$EL$20,1,AQ214)=1,0,AQ217*(1-IF(AQ215&lt;INDEX('Lease Cycles'!$DK$20:$DQ$20,1,AQ214),0,IF(AQ215=INDEX('Lease Cycles'!$DK$20:$DQ$20,1,AQ214),1-INDEX('Lease Cycles'!$DR$20:$DX$20,1,AQ214),1))-IF(AQ215=0,INDEX('Lease Cycles'!$DD$20:$DJ$20,1,AQ214),0))),0)</f>
        <v>0</v>
      </c>
      <c r="AR221" s="28">
        <f>IF(AR216=1,IF(INDEX('Lease Cycles'!$EF$20:$EL$20,1,AR214)=1,0,AR217*(1-IF(AR215&lt;INDEX('Lease Cycles'!$DK$20:$DQ$20,1,AR214),0,IF(AR215=INDEX('Lease Cycles'!$DK$20:$DQ$20,1,AR214),1-INDEX('Lease Cycles'!$DR$20:$DX$20,1,AR214),1))-IF(AR215=0,INDEX('Lease Cycles'!$DD$20:$DJ$20,1,AR214),0))),0)</f>
        <v>0</v>
      </c>
      <c r="AS221" s="28">
        <f>IF(AS216=1,IF(INDEX('Lease Cycles'!$EF$20:$EL$20,1,AS214)=1,0,AS217*(1-IF(AS215&lt;INDEX('Lease Cycles'!$DK$20:$DQ$20,1,AS214),0,IF(AS215=INDEX('Lease Cycles'!$DK$20:$DQ$20,1,AS214),1-INDEX('Lease Cycles'!$DR$20:$DX$20,1,AS214),1))-IF(AS215=0,INDEX('Lease Cycles'!$DD$20:$DJ$20,1,AS214),0))),0)</f>
        <v>0</v>
      </c>
      <c r="AT221" s="28">
        <f>IF(AT216=1,IF(INDEX('Lease Cycles'!$EF$20:$EL$20,1,AT214)=1,0,AT217*(1-IF(AT215&lt;INDEX('Lease Cycles'!$DK$20:$DQ$20,1,AT214),0,IF(AT215=INDEX('Lease Cycles'!$DK$20:$DQ$20,1,AT214),1-INDEX('Lease Cycles'!$DR$20:$DX$20,1,AT214),1))-IF(AT215=0,INDEX('Lease Cycles'!$DD$20:$DJ$20,1,AT214),0))),0)</f>
        <v>0</v>
      </c>
      <c r="AU221" s="28">
        <f>IF(AU216=1,IF(INDEX('Lease Cycles'!$EF$20:$EL$20,1,AU214)=1,0,AU217*(1-IF(AU215&lt;INDEX('Lease Cycles'!$DK$20:$DQ$20,1,AU214),0,IF(AU215=INDEX('Lease Cycles'!$DK$20:$DQ$20,1,AU214),1-INDEX('Lease Cycles'!$DR$20:$DX$20,1,AU214),1))-IF(AU215=0,INDEX('Lease Cycles'!$DD$20:$DJ$20,1,AU214),0))),0)</f>
        <v>0</v>
      </c>
      <c r="AV221" s="28">
        <f>IF(AV216=1,IF(INDEX('Lease Cycles'!$EF$20:$EL$20,1,AV214)=1,0,AV217*(1-IF(AV215&lt;INDEX('Lease Cycles'!$DK$20:$DQ$20,1,AV214),0,IF(AV215=INDEX('Lease Cycles'!$DK$20:$DQ$20,1,AV214),1-INDEX('Lease Cycles'!$DR$20:$DX$20,1,AV214),1))-IF(AV215=0,INDEX('Lease Cycles'!$DD$20:$DJ$20,1,AV214),0))),0)</f>
        <v>0</v>
      </c>
      <c r="AW221" s="28">
        <f>IF(AW216=1,IF(INDEX('Lease Cycles'!$EF$20:$EL$20,1,AW214)=1,0,AW217*(1-IF(AW215&lt;INDEX('Lease Cycles'!$DK$20:$DQ$20,1,AW214),0,IF(AW215=INDEX('Lease Cycles'!$DK$20:$DQ$20,1,AW214),1-INDEX('Lease Cycles'!$DR$20:$DX$20,1,AW214),1))-IF(AW215=0,INDEX('Lease Cycles'!$DD$20:$DJ$20,1,AW214),0))),0)</f>
        <v>0</v>
      </c>
      <c r="AX221" s="28">
        <f>IF(AX216=1,IF(INDEX('Lease Cycles'!$EF$20:$EL$20,1,AX214)=1,0,AX217*(1-IF(AX215&lt;INDEX('Lease Cycles'!$DK$20:$DQ$20,1,AX214),0,IF(AX215=INDEX('Lease Cycles'!$DK$20:$DQ$20,1,AX214),1-INDEX('Lease Cycles'!$DR$20:$DX$20,1,AX214),1))-IF(AX215=0,INDEX('Lease Cycles'!$DD$20:$DJ$20,1,AX214),0))),0)</f>
        <v>0</v>
      </c>
      <c r="AY221" s="28">
        <f>IF(AY216=1,IF(INDEX('Lease Cycles'!$EF$20:$EL$20,1,AY214)=1,0,AY217*(1-IF(AY215&lt;INDEX('Lease Cycles'!$DK$20:$DQ$20,1,AY214),0,IF(AY215=INDEX('Lease Cycles'!$DK$20:$DQ$20,1,AY214),1-INDEX('Lease Cycles'!$DR$20:$DX$20,1,AY214),1))-IF(AY215=0,INDEX('Lease Cycles'!$DD$20:$DJ$20,1,AY214),0))),0)</f>
        <v>0</v>
      </c>
      <c r="AZ221" s="28">
        <f>IF(AZ216=1,IF(INDEX('Lease Cycles'!$EF$20:$EL$20,1,AZ214)=1,0,AZ217*(1-IF(AZ215&lt;INDEX('Lease Cycles'!$DK$20:$DQ$20,1,AZ214),0,IF(AZ215=INDEX('Lease Cycles'!$DK$20:$DQ$20,1,AZ214),1-INDEX('Lease Cycles'!$DR$20:$DX$20,1,AZ214),1))-IF(AZ215=0,INDEX('Lease Cycles'!$DD$20:$DJ$20,1,AZ214),0))),0)</f>
        <v>0</v>
      </c>
      <c r="BA221" s="28">
        <f>IF(BA216=1,IF(INDEX('Lease Cycles'!$EF$20:$EL$20,1,BA214)=1,0,BA217*(1-IF(BA215&lt;INDEX('Lease Cycles'!$DK$20:$DQ$20,1,BA214),0,IF(BA215=INDEX('Lease Cycles'!$DK$20:$DQ$20,1,BA214),1-INDEX('Lease Cycles'!$DR$20:$DX$20,1,BA214),1))-IF(BA215=0,INDEX('Lease Cycles'!$DD$20:$DJ$20,1,BA214),0))),0)</f>
        <v>0</v>
      </c>
      <c r="BB221" s="28">
        <f>IF(BB216=1,IF(INDEX('Lease Cycles'!$EF$20:$EL$20,1,BB214)=1,0,BB217*(1-IF(BB215&lt;INDEX('Lease Cycles'!$DK$20:$DQ$20,1,BB214),0,IF(BB215=INDEX('Lease Cycles'!$DK$20:$DQ$20,1,BB214),1-INDEX('Lease Cycles'!$DR$20:$DX$20,1,BB214),1))-IF(BB215=0,INDEX('Lease Cycles'!$DD$20:$DJ$20,1,BB214),0))),0)</f>
        <v>0</v>
      </c>
      <c r="BC221" s="28">
        <f>IF(BC216=1,IF(INDEX('Lease Cycles'!$EF$20:$EL$20,1,BC214)=1,0,BC217*(1-IF(BC215&lt;INDEX('Lease Cycles'!$DK$20:$DQ$20,1,BC214),0,IF(BC215=INDEX('Lease Cycles'!$DK$20:$DQ$20,1,BC214),1-INDEX('Lease Cycles'!$DR$20:$DX$20,1,BC214),1))-IF(BC215=0,INDEX('Lease Cycles'!$DD$20:$DJ$20,1,BC214),0))),0)</f>
        <v>0</v>
      </c>
      <c r="BD221" s="28">
        <f>IF(BD216=1,IF(INDEX('Lease Cycles'!$EF$20:$EL$20,1,BD214)=1,0,BD217*(1-IF(BD215&lt;INDEX('Lease Cycles'!$DK$20:$DQ$20,1,BD214),0,IF(BD215=INDEX('Lease Cycles'!$DK$20:$DQ$20,1,BD214),1-INDEX('Lease Cycles'!$DR$20:$DX$20,1,BD214),1))-IF(BD215=0,INDEX('Lease Cycles'!$DD$20:$DJ$20,1,BD214),0))),0)</f>
        <v>0</v>
      </c>
      <c r="BE221" s="28">
        <f>IF(BE216=1,IF(INDEX('Lease Cycles'!$EF$20:$EL$20,1,BE214)=1,0,BE217*(1-IF(BE215&lt;INDEX('Lease Cycles'!$DK$20:$DQ$20,1,BE214),0,IF(BE215=INDEX('Lease Cycles'!$DK$20:$DQ$20,1,BE214),1-INDEX('Lease Cycles'!$DR$20:$DX$20,1,BE214),1))-IF(BE215=0,INDEX('Lease Cycles'!$DD$20:$DJ$20,1,BE214),0))),0)</f>
        <v>0</v>
      </c>
      <c r="BF221" s="28">
        <f>IF(BF216=1,IF(INDEX('Lease Cycles'!$EF$20:$EL$20,1,BF214)=1,0,BF217*(1-IF(BF215&lt;INDEX('Lease Cycles'!$DK$20:$DQ$20,1,BF214),0,IF(BF215=INDEX('Lease Cycles'!$DK$20:$DQ$20,1,BF214),1-INDEX('Lease Cycles'!$DR$20:$DX$20,1,BF214),1))-IF(BF215=0,INDEX('Lease Cycles'!$DD$20:$DJ$20,1,BF214),0))),0)</f>
        <v>0</v>
      </c>
      <c r="BG221" s="28">
        <f>IF(BG216=1,IF(INDEX('Lease Cycles'!$EF$20:$EL$20,1,BG214)=1,0,BG217*(1-IF(BG215&lt;INDEX('Lease Cycles'!$DK$20:$DQ$20,1,BG214),0,IF(BG215=INDEX('Lease Cycles'!$DK$20:$DQ$20,1,BG214),1-INDEX('Lease Cycles'!$DR$20:$DX$20,1,BG214),1))-IF(BG215=0,INDEX('Lease Cycles'!$DD$20:$DJ$20,1,BG214),0))),0)</f>
        <v>0</v>
      </c>
      <c r="BH221" s="28">
        <f>IF(BH216=1,IF(INDEX('Lease Cycles'!$EF$20:$EL$20,1,BH214)=1,0,BH217*(1-IF(BH215&lt;INDEX('Lease Cycles'!$DK$20:$DQ$20,1,BH214),0,IF(BH215=INDEX('Lease Cycles'!$DK$20:$DQ$20,1,BH214),1-INDEX('Lease Cycles'!$DR$20:$DX$20,1,BH214),1))-IF(BH215=0,INDEX('Lease Cycles'!$DD$20:$DJ$20,1,BH214),0))),0)</f>
        <v>0</v>
      </c>
      <c r="BI221" s="28">
        <f>IF(BI216=1,IF(INDEX('Lease Cycles'!$EF$20:$EL$20,1,BI214)=1,0,BI217*(1-IF(BI215&lt;INDEX('Lease Cycles'!$DK$20:$DQ$20,1,BI214),0,IF(BI215=INDEX('Lease Cycles'!$DK$20:$DQ$20,1,BI214),1-INDEX('Lease Cycles'!$DR$20:$DX$20,1,BI214),1))-IF(BI215=0,INDEX('Lease Cycles'!$DD$20:$DJ$20,1,BI214),0))),0)</f>
        <v>0</v>
      </c>
      <c r="BJ221" s="28">
        <f>IF(BJ216=1,IF(INDEX('Lease Cycles'!$EF$20:$EL$20,1,BJ214)=1,0,BJ217*(1-IF(BJ215&lt;INDEX('Lease Cycles'!$DK$20:$DQ$20,1,BJ214),0,IF(BJ215=INDEX('Lease Cycles'!$DK$20:$DQ$20,1,BJ214),1-INDEX('Lease Cycles'!$DR$20:$DX$20,1,BJ214),1))-IF(BJ215=0,INDEX('Lease Cycles'!$DD$20:$DJ$20,1,BJ214),0))),0)</f>
        <v>0</v>
      </c>
      <c r="BK221" s="28">
        <f>IF(BK216=1,IF(INDEX('Lease Cycles'!$EF$20:$EL$20,1,BK214)=1,0,BK217*(1-IF(BK215&lt;INDEX('Lease Cycles'!$DK$20:$DQ$20,1,BK214),0,IF(BK215=INDEX('Lease Cycles'!$DK$20:$DQ$20,1,BK214),1-INDEX('Lease Cycles'!$DR$20:$DX$20,1,BK214),1))-IF(BK215=0,INDEX('Lease Cycles'!$DD$20:$DJ$20,1,BK214),0))),0)</f>
        <v>0</v>
      </c>
      <c r="BL221" s="28">
        <f>IF(BL216=1,IF(INDEX('Lease Cycles'!$EF$20:$EL$20,1,BL214)=1,0,BL217*(1-IF(BL215&lt;INDEX('Lease Cycles'!$DK$20:$DQ$20,1,BL214),0,IF(BL215=INDEX('Lease Cycles'!$DK$20:$DQ$20,1,BL214),1-INDEX('Lease Cycles'!$DR$20:$DX$20,1,BL214),1))-IF(BL215=0,INDEX('Lease Cycles'!$DD$20:$DJ$20,1,BL214),0))),0)</f>
        <v>0</v>
      </c>
      <c r="BM221" s="28">
        <f>IF(BM216=1,IF(INDEX('Lease Cycles'!$EF$20:$EL$20,1,BM214)=1,0,BM217*(1-IF(BM215&lt;INDEX('Lease Cycles'!$DK$20:$DQ$20,1,BM214),0,IF(BM215=INDEX('Lease Cycles'!$DK$20:$DQ$20,1,BM214),1-INDEX('Lease Cycles'!$DR$20:$DX$20,1,BM214),1))-IF(BM215=0,INDEX('Lease Cycles'!$DD$20:$DJ$20,1,BM214),0))),0)</f>
        <v>0</v>
      </c>
      <c r="BN221" s="28">
        <f>IF(BN216=1,IF(INDEX('Lease Cycles'!$EF$20:$EL$20,1,BN214)=1,0,BN217*(1-IF(BN215&lt;INDEX('Lease Cycles'!$DK$20:$DQ$20,1,BN214),0,IF(BN215=INDEX('Lease Cycles'!$DK$20:$DQ$20,1,BN214),1-INDEX('Lease Cycles'!$DR$20:$DX$20,1,BN214),1))-IF(BN215=0,INDEX('Lease Cycles'!$DD$20:$DJ$20,1,BN214),0))),0)</f>
        <v>0</v>
      </c>
      <c r="BO221" s="28">
        <f>IF(BO216=1,IF(INDEX('Lease Cycles'!$EF$20:$EL$20,1,BO214)=1,0,BO217*(1-IF(BO215&lt;INDEX('Lease Cycles'!$DK$20:$DQ$20,1,BO214),0,IF(BO215=INDEX('Lease Cycles'!$DK$20:$DQ$20,1,BO214),1-INDEX('Lease Cycles'!$DR$20:$DX$20,1,BO214),1))-IF(BO215=0,INDEX('Lease Cycles'!$DD$20:$DJ$20,1,BO214),0))),0)</f>
        <v>0</v>
      </c>
      <c r="BP221" s="28">
        <f>IF(BP216=1,IF(INDEX('Lease Cycles'!$EF$20:$EL$20,1,BP214)=1,0,BP217*(1-IF(BP215&lt;INDEX('Lease Cycles'!$DK$20:$DQ$20,1,BP214),0,IF(BP215=INDEX('Lease Cycles'!$DK$20:$DQ$20,1,BP214),1-INDEX('Lease Cycles'!$DR$20:$DX$20,1,BP214),1))-IF(BP215=0,INDEX('Lease Cycles'!$DD$20:$DJ$20,1,BP214),0))),0)</f>
        <v>0</v>
      </c>
      <c r="BQ221" s="28">
        <f>IF(BQ216=1,IF(INDEX('Lease Cycles'!$EF$20:$EL$20,1,BQ214)=1,0,BQ217*(1-IF(BQ215&lt;INDEX('Lease Cycles'!$DK$20:$DQ$20,1,BQ214),0,IF(BQ215=INDEX('Lease Cycles'!$DK$20:$DQ$20,1,BQ214),1-INDEX('Lease Cycles'!$DR$20:$DX$20,1,BQ214),1))-IF(BQ215=0,INDEX('Lease Cycles'!$DD$20:$DJ$20,1,BQ214),0))),0)</f>
        <v>0</v>
      </c>
      <c r="BR221" s="28">
        <f>IF(BR216=1,IF(INDEX('Lease Cycles'!$EF$20:$EL$20,1,BR214)=1,0,BR217*(1-IF(BR215&lt;INDEX('Lease Cycles'!$DK$20:$DQ$20,1,BR214),0,IF(BR215=INDEX('Lease Cycles'!$DK$20:$DQ$20,1,BR214),1-INDEX('Lease Cycles'!$DR$20:$DX$20,1,BR214),1))-IF(BR215=0,INDEX('Lease Cycles'!$DD$20:$DJ$20,1,BR214),0))),0)</f>
        <v>0</v>
      </c>
      <c r="BS221" s="28">
        <f>IF(BS216=1,IF(INDEX('Lease Cycles'!$EF$20:$EL$20,1,BS214)=1,0,BS217*(1-IF(BS215&lt;INDEX('Lease Cycles'!$DK$20:$DQ$20,1,BS214),0,IF(BS215=INDEX('Lease Cycles'!$DK$20:$DQ$20,1,BS214),1-INDEX('Lease Cycles'!$DR$20:$DX$20,1,BS214),1))-IF(BS215=0,INDEX('Lease Cycles'!$DD$20:$DJ$20,1,BS214),0))),0)</f>
        <v>0</v>
      </c>
      <c r="BT221" s="28">
        <f>IF(BT216=1,IF(INDEX('Lease Cycles'!$EF$20:$EL$20,1,BT214)=1,0,BT217*(1-IF(BT215&lt;INDEX('Lease Cycles'!$DK$20:$DQ$20,1,BT214),0,IF(BT215=INDEX('Lease Cycles'!$DK$20:$DQ$20,1,BT214),1-INDEX('Lease Cycles'!$DR$20:$DX$20,1,BT214),1))-IF(BT215=0,INDEX('Lease Cycles'!$DD$20:$DJ$20,1,BT214),0))),0)</f>
        <v>0</v>
      </c>
      <c r="BU221" s="28">
        <f>IF(BU216=1,IF(INDEX('Lease Cycles'!$EF$20:$EL$20,1,BU214)=1,0,BU217*(1-IF(BU215&lt;INDEX('Lease Cycles'!$DK$20:$DQ$20,1,BU214),0,IF(BU215=INDEX('Lease Cycles'!$DK$20:$DQ$20,1,BU214),1-INDEX('Lease Cycles'!$DR$20:$DX$20,1,BU214),1))-IF(BU215=0,INDEX('Lease Cycles'!$DD$20:$DJ$20,1,BU214),0))),0)</f>
        <v>0</v>
      </c>
      <c r="BV221" s="28">
        <f>IF(BV216=1,IF(INDEX('Lease Cycles'!$EF$20:$EL$20,1,BV214)=1,0,BV217*(1-IF(BV215&lt;INDEX('Lease Cycles'!$DK$20:$DQ$20,1,BV214),0,IF(BV215=INDEX('Lease Cycles'!$DK$20:$DQ$20,1,BV214),1-INDEX('Lease Cycles'!$DR$20:$DX$20,1,BV214),1))-IF(BV215=0,INDEX('Lease Cycles'!$DD$20:$DJ$20,1,BV214),0))),0)</f>
        <v>0</v>
      </c>
      <c r="BW221" s="28">
        <f>IF(BW216=1,IF(INDEX('Lease Cycles'!$EF$20:$EL$20,1,BW214)=1,0,BW217*(1-IF(BW215&lt;INDEX('Lease Cycles'!$DK$20:$DQ$20,1,BW214),0,IF(BW215=INDEX('Lease Cycles'!$DK$20:$DQ$20,1,BW214),1-INDEX('Lease Cycles'!$DR$20:$DX$20,1,BW214),1))-IF(BW215=0,INDEX('Lease Cycles'!$DD$20:$DJ$20,1,BW214),0))),0)</f>
        <v>0</v>
      </c>
      <c r="BX221" s="28">
        <f>IF(BX216=1,IF(INDEX('Lease Cycles'!$EF$20:$EL$20,1,BX214)=1,0,BX217*(1-IF(BX215&lt;INDEX('Lease Cycles'!$DK$20:$DQ$20,1,BX214),0,IF(BX215=INDEX('Lease Cycles'!$DK$20:$DQ$20,1,BX214),1-INDEX('Lease Cycles'!$DR$20:$DX$20,1,BX214),1))-IF(BX215=0,INDEX('Lease Cycles'!$DD$20:$DJ$20,1,BX214),0))),0)</f>
        <v>0</v>
      </c>
      <c r="BY221" s="28">
        <f>IF(BY216=1,IF(INDEX('Lease Cycles'!$EF$20:$EL$20,1,BY214)=1,0,BY217*(1-IF(BY215&lt;INDEX('Lease Cycles'!$DK$20:$DQ$20,1,BY214),0,IF(BY215=INDEX('Lease Cycles'!$DK$20:$DQ$20,1,BY214),1-INDEX('Lease Cycles'!$DR$20:$DX$20,1,BY214),1))-IF(BY215=0,INDEX('Lease Cycles'!$DD$20:$DJ$20,1,BY214),0))),0)</f>
        <v>0</v>
      </c>
      <c r="BZ221" s="28">
        <f>IF(BZ216=1,IF(INDEX('Lease Cycles'!$EF$20:$EL$20,1,BZ214)=1,0,BZ217*(1-IF(BZ215&lt;INDEX('Lease Cycles'!$DK$20:$DQ$20,1,BZ214),0,IF(BZ215=INDEX('Lease Cycles'!$DK$20:$DQ$20,1,BZ214),1-INDEX('Lease Cycles'!$DR$20:$DX$20,1,BZ214),1))-IF(BZ215=0,INDEX('Lease Cycles'!$DD$20:$DJ$20,1,BZ214),0))),0)</f>
        <v>0</v>
      </c>
      <c r="CA221" s="28">
        <f>IF(CA216=1,IF(INDEX('Lease Cycles'!$EF$20:$EL$20,1,CA214)=1,0,CA217*(1-IF(CA215&lt;INDEX('Lease Cycles'!$DK$20:$DQ$20,1,CA214),0,IF(CA215=INDEX('Lease Cycles'!$DK$20:$DQ$20,1,CA214),1-INDEX('Lease Cycles'!$DR$20:$DX$20,1,CA214),1))-IF(CA215=0,INDEX('Lease Cycles'!$DD$20:$DJ$20,1,CA214),0))),0)</f>
        <v>0</v>
      </c>
      <c r="CB221" s="28">
        <f>IF(CB216=1,IF(INDEX('Lease Cycles'!$EF$20:$EL$20,1,CB214)=1,0,CB217*(1-IF(CB215&lt;INDEX('Lease Cycles'!$DK$20:$DQ$20,1,CB214),0,IF(CB215=INDEX('Lease Cycles'!$DK$20:$DQ$20,1,CB214),1-INDEX('Lease Cycles'!$DR$20:$DX$20,1,CB214),1))-IF(CB215=0,INDEX('Lease Cycles'!$DD$20:$DJ$20,1,CB214),0))),0)</f>
        <v>0</v>
      </c>
      <c r="CC221" s="28">
        <f>IF(CC216=1,IF(INDEX('Lease Cycles'!$EF$20:$EL$20,1,CC214)=1,0,CC217*(1-IF(CC215&lt;INDEX('Lease Cycles'!$DK$20:$DQ$20,1,CC214),0,IF(CC215=INDEX('Lease Cycles'!$DK$20:$DQ$20,1,CC214),1-INDEX('Lease Cycles'!$DR$20:$DX$20,1,CC214),1))-IF(CC215=0,INDEX('Lease Cycles'!$DD$20:$DJ$20,1,CC214),0))),0)</f>
        <v>0</v>
      </c>
      <c r="CD221" s="28">
        <f>IF(CD216=1,IF(INDEX('Lease Cycles'!$EF$20:$EL$20,1,CD214)=1,0,CD217*(1-IF(CD215&lt;INDEX('Lease Cycles'!$DK$20:$DQ$20,1,CD214),0,IF(CD215=INDEX('Lease Cycles'!$DK$20:$DQ$20,1,CD214),1-INDEX('Lease Cycles'!$DR$20:$DX$20,1,CD214),1))-IF(CD215=0,INDEX('Lease Cycles'!$DD$20:$DJ$20,1,CD214),0))),0)</f>
        <v>0</v>
      </c>
      <c r="CE221" s="28">
        <f>IF(CE216=1,IF(INDEX('Lease Cycles'!$EF$20:$EL$20,1,CE214)=1,0,CE217*(1-IF(CE215&lt;INDEX('Lease Cycles'!$DK$20:$DQ$20,1,CE214),0,IF(CE215=INDEX('Lease Cycles'!$DK$20:$DQ$20,1,CE214),1-INDEX('Lease Cycles'!$DR$20:$DX$20,1,CE214),1))-IF(CE215=0,INDEX('Lease Cycles'!$DD$20:$DJ$20,1,CE214),0))),0)</f>
        <v>0</v>
      </c>
      <c r="CF221" s="28">
        <f>IF(CF216=1,IF(INDEX('Lease Cycles'!$EF$20:$EL$20,1,CF214)=1,0,CF217*(1-IF(CF215&lt;INDEX('Lease Cycles'!$DK$20:$DQ$20,1,CF214),0,IF(CF215=INDEX('Lease Cycles'!$DK$20:$DQ$20,1,CF214),1-INDEX('Lease Cycles'!$DR$20:$DX$20,1,CF214),1))-IF(CF215=0,INDEX('Lease Cycles'!$DD$20:$DJ$20,1,CF214),0))),0)</f>
        <v>0</v>
      </c>
      <c r="CG221" s="28">
        <f>IF(CG216=1,IF(INDEX('Lease Cycles'!$EF$20:$EL$20,1,CG214)=1,0,CG217*(1-IF(CG215&lt;INDEX('Lease Cycles'!$DK$20:$DQ$20,1,CG214),0,IF(CG215=INDEX('Lease Cycles'!$DK$20:$DQ$20,1,CG214),1-INDEX('Lease Cycles'!$DR$20:$DX$20,1,CG214),1))-IF(CG215=0,INDEX('Lease Cycles'!$DD$20:$DJ$20,1,CG214),0))),0)</f>
        <v>0</v>
      </c>
      <c r="CH221" s="28">
        <f>IF(CH216=1,IF(INDEX('Lease Cycles'!$EF$20:$EL$20,1,CH214)=1,0,CH217*(1-IF(CH215&lt;INDEX('Lease Cycles'!$DK$20:$DQ$20,1,CH214),0,IF(CH215=INDEX('Lease Cycles'!$DK$20:$DQ$20,1,CH214),1-INDEX('Lease Cycles'!$DR$20:$DX$20,1,CH214),1))-IF(CH215=0,INDEX('Lease Cycles'!$DD$20:$DJ$20,1,CH214),0))),0)</f>
        <v>0</v>
      </c>
      <c r="CI221" s="28">
        <f>IF(CI216=1,IF(INDEX('Lease Cycles'!$EF$20:$EL$20,1,CI214)=1,0,CI217*(1-IF(CI215&lt;INDEX('Lease Cycles'!$DK$20:$DQ$20,1,CI214),0,IF(CI215=INDEX('Lease Cycles'!$DK$20:$DQ$20,1,CI214),1-INDEX('Lease Cycles'!$DR$20:$DX$20,1,CI214),1))-IF(CI215=0,INDEX('Lease Cycles'!$DD$20:$DJ$20,1,CI214),0))),0)</f>
        <v>0</v>
      </c>
      <c r="CJ221" s="28">
        <f>IF(CJ216=1,IF(INDEX('Lease Cycles'!$EF$20:$EL$20,1,CJ214)=1,0,CJ217*(1-IF(CJ215&lt;INDEX('Lease Cycles'!$DK$20:$DQ$20,1,CJ214),0,IF(CJ215=INDEX('Lease Cycles'!$DK$20:$DQ$20,1,CJ214),1-INDEX('Lease Cycles'!$DR$20:$DX$20,1,CJ214),1))-IF(CJ215=0,INDEX('Lease Cycles'!$DD$20:$DJ$20,1,CJ214),0))),0)</f>
        <v>0</v>
      </c>
      <c r="CK221" s="28">
        <f>IF(CK216=1,IF(INDEX('Lease Cycles'!$EF$20:$EL$20,1,CK214)=1,0,CK217*(1-IF(CK215&lt;INDEX('Lease Cycles'!$DK$20:$DQ$20,1,CK214),0,IF(CK215=INDEX('Lease Cycles'!$DK$20:$DQ$20,1,CK214),1-INDEX('Lease Cycles'!$DR$20:$DX$20,1,CK214),1))-IF(CK215=0,INDEX('Lease Cycles'!$DD$20:$DJ$20,1,CK214),0))),0)</f>
        <v>0</v>
      </c>
      <c r="CL221" s="28">
        <f>IF(CL216=1,IF(INDEX('Lease Cycles'!$EF$20:$EL$20,1,CL214)=1,0,CL217*(1-IF(CL215&lt;INDEX('Lease Cycles'!$DK$20:$DQ$20,1,CL214),0,IF(CL215=INDEX('Lease Cycles'!$DK$20:$DQ$20,1,CL214),1-INDEX('Lease Cycles'!$DR$20:$DX$20,1,CL214),1))-IF(CL215=0,INDEX('Lease Cycles'!$DD$20:$DJ$20,1,CL214),0))),0)</f>
        <v>0</v>
      </c>
      <c r="CM221" s="28">
        <f>IF(CM216=1,IF(INDEX('Lease Cycles'!$EF$20:$EL$20,1,CM214)=1,0,CM217*(1-IF(CM215&lt;INDEX('Lease Cycles'!$DK$20:$DQ$20,1,CM214),0,IF(CM215=INDEX('Lease Cycles'!$DK$20:$DQ$20,1,CM214),1-INDEX('Lease Cycles'!$DR$20:$DX$20,1,CM214),1))-IF(CM215=0,INDEX('Lease Cycles'!$DD$20:$DJ$20,1,CM214),0))),0)</f>
        <v>0</v>
      </c>
      <c r="CN221" s="28">
        <f>IF(CN216=1,IF(INDEX('Lease Cycles'!$EF$20:$EL$20,1,CN214)=1,0,CN217*(1-IF(CN215&lt;INDEX('Lease Cycles'!$DK$20:$DQ$20,1,CN214),0,IF(CN215=INDEX('Lease Cycles'!$DK$20:$DQ$20,1,CN214),1-INDEX('Lease Cycles'!$DR$20:$DX$20,1,CN214),1))-IF(CN215=0,INDEX('Lease Cycles'!$DD$20:$DJ$20,1,CN214),0))),0)</f>
        <v>0</v>
      </c>
      <c r="CO221" s="28">
        <f>IF(CO216=1,IF(INDEX('Lease Cycles'!$EF$20:$EL$20,1,CO214)=1,0,CO217*(1-IF(CO215&lt;INDEX('Lease Cycles'!$DK$20:$DQ$20,1,CO214),0,IF(CO215=INDEX('Lease Cycles'!$DK$20:$DQ$20,1,CO214),1-INDEX('Lease Cycles'!$DR$20:$DX$20,1,CO214),1))-IF(CO215=0,INDEX('Lease Cycles'!$DD$20:$DJ$20,1,CO214),0))),0)</f>
        <v>0</v>
      </c>
      <c r="CP221" s="28">
        <f>IF(CP216=1,IF(INDEX('Lease Cycles'!$EF$20:$EL$20,1,CP214)=1,0,CP217*(1-IF(CP215&lt;INDEX('Lease Cycles'!$DK$20:$DQ$20,1,CP214),0,IF(CP215=INDEX('Lease Cycles'!$DK$20:$DQ$20,1,CP214),1-INDEX('Lease Cycles'!$DR$20:$DX$20,1,CP214),1))-IF(CP215=0,INDEX('Lease Cycles'!$DD$20:$DJ$20,1,CP214),0))),0)</f>
        <v>0</v>
      </c>
      <c r="CQ221" s="28">
        <f>IF(CQ216=1,IF(INDEX('Lease Cycles'!$EF$20:$EL$20,1,CQ214)=1,0,CQ217*(1-IF(CQ215&lt;INDEX('Lease Cycles'!$DK$20:$DQ$20,1,CQ214),0,IF(CQ215=INDEX('Lease Cycles'!$DK$20:$DQ$20,1,CQ214),1-INDEX('Lease Cycles'!$DR$20:$DX$20,1,CQ214),1))-IF(CQ215=0,INDEX('Lease Cycles'!$DD$20:$DJ$20,1,CQ214),0))),0)</f>
        <v>0</v>
      </c>
      <c r="CR221" s="28">
        <f>IF(CR216=1,IF(INDEX('Lease Cycles'!$EF$20:$EL$20,1,CR214)=1,0,CR217*(1-IF(CR215&lt;INDEX('Lease Cycles'!$DK$20:$DQ$20,1,CR214),0,IF(CR215=INDEX('Lease Cycles'!$DK$20:$DQ$20,1,CR214),1-INDEX('Lease Cycles'!$DR$20:$DX$20,1,CR214),1))-IF(CR215=0,INDEX('Lease Cycles'!$DD$20:$DJ$20,1,CR214),0))),0)</f>
        <v>0</v>
      </c>
      <c r="CS221" s="28">
        <f>IF(CS216=1,IF(INDEX('Lease Cycles'!$EF$20:$EL$20,1,CS214)=1,0,CS217*(1-IF(CS215&lt;INDEX('Lease Cycles'!$DK$20:$DQ$20,1,CS214),0,IF(CS215=INDEX('Lease Cycles'!$DK$20:$DQ$20,1,CS214),1-INDEX('Lease Cycles'!$DR$20:$DX$20,1,CS214),1))-IF(CS215=0,INDEX('Lease Cycles'!$DD$20:$DJ$20,1,CS214),0))),0)</f>
        <v>0</v>
      </c>
      <c r="CT221" s="28">
        <f>IF(CT216=1,IF(INDEX('Lease Cycles'!$EF$20:$EL$20,1,CT214)=1,0,CT217*(1-IF(CT215&lt;INDEX('Lease Cycles'!$DK$20:$DQ$20,1,CT214),0,IF(CT215=INDEX('Lease Cycles'!$DK$20:$DQ$20,1,CT214),1-INDEX('Lease Cycles'!$DR$20:$DX$20,1,CT214),1))-IF(CT215=0,INDEX('Lease Cycles'!$DD$20:$DJ$20,1,CT214),0))),0)</f>
        <v>0</v>
      </c>
      <c r="CU221" s="28">
        <f>IF(CU216=1,IF(INDEX('Lease Cycles'!$EF$20:$EL$20,1,CU214)=1,0,CU217*(1-IF(CU215&lt;INDEX('Lease Cycles'!$DK$20:$DQ$20,1,CU214),0,IF(CU215=INDEX('Lease Cycles'!$DK$20:$DQ$20,1,CU214),1-INDEX('Lease Cycles'!$DR$20:$DX$20,1,CU214),1))-IF(CU215=0,INDEX('Lease Cycles'!$DD$20:$DJ$20,1,CU214),0))),0)</f>
        <v>0</v>
      </c>
      <c r="CV221" s="28">
        <f>IF(CV216=1,IF(INDEX('Lease Cycles'!$EF$20:$EL$20,1,CV214)=1,0,CV217*(1-IF(CV215&lt;INDEX('Lease Cycles'!$DK$20:$DQ$20,1,CV214),0,IF(CV215=INDEX('Lease Cycles'!$DK$20:$DQ$20,1,CV214),1-INDEX('Lease Cycles'!$DR$20:$DX$20,1,CV214),1))-IF(CV215=0,INDEX('Lease Cycles'!$DD$20:$DJ$20,1,CV214),0))),0)</f>
        <v>0</v>
      </c>
      <c r="CW221" s="28">
        <f>IF(CW216=1,IF(INDEX('Lease Cycles'!$EF$20:$EL$20,1,CW214)=1,0,CW217*(1-IF(CW215&lt;INDEX('Lease Cycles'!$DK$20:$DQ$20,1,CW214),0,IF(CW215=INDEX('Lease Cycles'!$DK$20:$DQ$20,1,CW214),1-INDEX('Lease Cycles'!$DR$20:$DX$20,1,CW214),1))-IF(CW215=0,INDEX('Lease Cycles'!$DD$20:$DJ$20,1,CW214),0))),0)</f>
        <v>0</v>
      </c>
      <c r="CX221" s="28">
        <f>IF(CX216=1,IF(INDEX('Lease Cycles'!$EF$20:$EL$20,1,CX214)=1,0,CX217*(1-IF(CX215&lt;INDEX('Lease Cycles'!$DK$20:$DQ$20,1,CX214),0,IF(CX215=INDEX('Lease Cycles'!$DK$20:$DQ$20,1,CX214),1-INDEX('Lease Cycles'!$DR$20:$DX$20,1,CX214),1))-IF(CX215=0,INDEX('Lease Cycles'!$DD$20:$DJ$20,1,CX214),0))),0)</f>
        <v>0</v>
      </c>
      <c r="CY221" s="28">
        <f>IF(CY216=1,IF(INDEX('Lease Cycles'!$EF$20:$EL$20,1,CY214)=1,0,CY217*(1-IF(CY215&lt;INDEX('Lease Cycles'!$DK$20:$DQ$20,1,CY214),0,IF(CY215=INDEX('Lease Cycles'!$DK$20:$DQ$20,1,CY214),1-INDEX('Lease Cycles'!$DR$20:$DX$20,1,CY214),1))-IF(CY215=0,INDEX('Lease Cycles'!$DD$20:$DJ$20,1,CY214),0))),0)</f>
        <v>0</v>
      </c>
      <c r="CZ221" s="28">
        <f>IF(CZ216=1,IF(INDEX('Lease Cycles'!$EF$20:$EL$20,1,CZ214)=1,0,CZ217*(1-IF(CZ215&lt;INDEX('Lease Cycles'!$DK$20:$DQ$20,1,CZ214),0,IF(CZ215=INDEX('Lease Cycles'!$DK$20:$DQ$20,1,CZ214),1-INDEX('Lease Cycles'!$DR$20:$DX$20,1,CZ214),1))-IF(CZ215=0,INDEX('Lease Cycles'!$DD$20:$DJ$20,1,CZ214),0))),0)</f>
        <v>0</v>
      </c>
      <c r="DA221" s="28">
        <f>IF(DA216=1,IF(INDEX('Lease Cycles'!$EF$20:$EL$20,1,DA214)=1,0,DA217*(1-IF(DA215&lt;INDEX('Lease Cycles'!$DK$20:$DQ$20,1,DA214),0,IF(DA215=INDEX('Lease Cycles'!$DK$20:$DQ$20,1,DA214),1-INDEX('Lease Cycles'!$DR$20:$DX$20,1,DA214),1))-IF(DA215=0,INDEX('Lease Cycles'!$DD$20:$DJ$20,1,DA214),0))),0)</f>
        <v>0</v>
      </c>
      <c r="DB221" s="28">
        <f>IF(DB216=1,IF(INDEX('Lease Cycles'!$EF$20:$EL$20,1,DB214)=1,0,DB217*(1-IF(DB215&lt;INDEX('Lease Cycles'!$DK$20:$DQ$20,1,DB214),0,IF(DB215=INDEX('Lease Cycles'!$DK$20:$DQ$20,1,DB214),1-INDEX('Lease Cycles'!$DR$20:$DX$20,1,DB214),1))-IF(DB215=0,INDEX('Lease Cycles'!$DD$20:$DJ$20,1,DB214),0))),0)</f>
        <v>0</v>
      </c>
      <c r="DC221" s="28">
        <f>IF(DC216=1,IF(INDEX('Lease Cycles'!$EF$20:$EL$20,1,DC214)=1,0,DC217*(1-IF(DC215&lt;INDEX('Lease Cycles'!$DK$20:$DQ$20,1,DC214),0,IF(DC215=INDEX('Lease Cycles'!$DK$20:$DQ$20,1,DC214),1-INDEX('Lease Cycles'!$DR$20:$DX$20,1,DC214),1))-IF(DC215=0,INDEX('Lease Cycles'!$DD$20:$DJ$20,1,DC214),0))),0)</f>
        <v>0</v>
      </c>
      <c r="DD221" s="28">
        <f>IF(DD216=1,IF(INDEX('Lease Cycles'!$EF$20:$EL$20,1,DD214)=1,0,DD217*(1-IF(DD215&lt;INDEX('Lease Cycles'!$DK$20:$DQ$20,1,DD214),0,IF(DD215=INDEX('Lease Cycles'!$DK$20:$DQ$20,1,DD214),1-INDEX('Lease Cycles'!$DR$20:$DX$20,1,DD214),1))-IF(DD215=0,INDEX('Lease Cycles'!$DD$20:$DJ$20,1,DD214),0))),0)</f>
        <v>0</v>
      </c>
      <c r="DE221" s="28">
        <f>IF(DE216=1,IF(INDEX('Lease Cycles'!$EF$20:$EL$20,1,DE214)=1,0,DE217*(1-IF(DE215&lt;INDEX('Lease Cycles'!$DK$20:$DQ$20,1,DE214),0,IF(DE215=INDEX('Lease Cycles'!$DK$20:$DQ$20,1,DE214),1-INDEX('Lease Cycles'!$DR$20:$DX$20,1,DE214),1))-IF(DE215=0,INDEX('Lease Cycles'!$DD$20:$DJ$20,1,DE214),0))),0)</f>
        <v>0</v>
      </c>
      <c r="DF221" s="28">
        <f>IF(DF216=1,IF(INDEX('Lease Cycles'!$EF$20:$EL$20,1,DF214)=1,0,DF217*(1-IF(DF215&lt;INDEX('Lease Cycles'!$DK$20:$DQ$20,1,DF214),0,IF(DF215=INDEX('Lease Cycles'!$DK$20:$DQ$20,1,DF214),1-INDEX('Lease Cycles'!$DR$20:$DX$20,1,DF214),1))-IF(DF215=0,INDEX('Lease Cycles'!$DD$20:$DJ$20,1,DF214),0))),0)</f>
        <v>0</v>
      </c>
      <c r="DG221" s="28">
        <f>IF(DG216=1,IF(INDEX('Lease Cycles'!$EF$20:$EL$20,1,DG214)=1,0,DG217*(1-IF(DG215&lt;INDEX('Lease Cycles'!$DK$20:$DQ$20,1,DG214),0,IF(DG215=INDEX('Lease Cycles'!$DK$20:$DQ$20,1,DG214),1-INDEX('Lease Cycles'!$DR$20:$DX$20,1,DG214),1))-IF(DG215=0,INDEX('Lease Cycles'!$DD$20:$DJ$20,1,DG214),0))),0)</f>
        <v>0</v>
      </c>
      <c r="DH221" s="28">
        <f>IF(DH216=1,IF(INDEX('Lease Cycles'!$EF$20:$EL$20,1,DH214)=1,0,DH217*(1-IF(DH215&lt;INDEX('Lease Cycles'!$DK$20:$DQ$20,1,DH214),0,IF(DH215=INDEX('Lease Cycles'!$DK$20:$DQ$20,1,DH214),1-INDEX('Lease Cycles'!$DR$20:$DX$20,1,DH214),1))-IF(DH215=0,INDEX('Lease Cycles'!$DD$20:$DJ$20,1,DH214),0))),0)</f>
        <v>0</v>
      </c>
      <c r="DI221" s="28">
        <f>IF(DI216=1,IF(INDEX('Lease Cycles'!$EF$20:$EL$20,1,DI214)=1,0,DI217*(1-IF(DI215&lt;INDEX('Lease Cycles'!$DK$20:$DQ$20,1,DI214),0,IF(DI215=INDEX('Lease Cycles'!$DK$20:$DQ$20,1,DI214),1-INDEX('Lease Cycles'!$DR$20:$DX$20,1,DI214),1))-IF(DI215=0,INDEX('Lease Cycles'!$DD$20:$DJ$20,1,DI214),0))),0)</f>
        <v>0</v>
      </c>
      <c r="DJ221" s="28">
        <f>IF(DJ216=1,IF(INDEX('Lease Cycles'!$EF$20:$EL$20,1,DJ214)=1,0,DJ217*(1-IF(DJ215&lt;INDEX('Lease Cycles'!$DK$20:$DQ$20,1,DJ214),0,IF(DJ215=INDEX('Lease Cycles'!$DK$20:$DQ$20,1,DJ214),1-INDEX('Lease Cycles'!$DR$20:$DX$20,1,DJ214),1))-IF(DJ215=0,INDEX('Lease Cycles'!$DD$20:$DJ$20,1,DJ214),0))),0)</f>
        <v>0</v>
      </c>
      <c r="DK221" s="28">
        <f>IF(DK216=1,IF(INDEX('Lease Cycles'!$EF$20:$EL$20,1,DK214)=1,0,DK217*(1-IF(DK215&lt;INDEX('Lease Cycles'!$DK$20:$DQ$20,1,DK214),0,IF(DK215=INDEX('Lease Cycles'!$DK$20:$DQ$20,1,DK214),1-INDEX('Lease Cycles'!$DR$20:$DX$20,1,DK214),1))-IF(DK215=0,INDEX('Lease Cycles'!$DD$20:$DJ$20,1,DK214),0))),0)</f>
        <v>0</v>
      </c>
      <c r="DL221" s="28">
        <f>IF(DL216=1,IF(INDEX('Lease Cycles'!$EF$20:$EL$20,1,DL214)=1,0,DL217*(1-IF(DL215&lt;INDEX('Lease Cycles'!$DK$20:$DQ$20,1,DL214),0,IF(DL215=INDEX('Lease Cycles'!$DK$20:$DQ$20,1,DL214),1-INDEX('Lease Cycles'!$DR$20:$DX$20,1,DL214),1))-IF(DL215=0,INDEX('Lease Cycles'!$DD$20:$DJ$20,1,DL214),0))),0)</f>
        <v>0</v>
      </c>
      <c r="DM221" s="28">
        <f>IF(DM216=1,IF(INDEX('Lease Cycles'!$EF$20:$EL$20,1,DM214)=1,0,DM217*(1-IF(DM215&lt;INDEX('Lease Cycles'!$DK$20:$DQ$20,1,DM214),0,IF(DM215=INDEX('Lease Cycles'!$DK$20:$DQ$20,1,DM214),1-INDEX('Lease Cycles'!$DR$20:$DX$20,1,DM214),1))-IF(DM215=0,INDEX('Lease Cycles'!$DD$20:$DJ$20,1,DM214),0))),0)</f>
        <v>0</v>
      </c>
      <c r="DN221" s="28">
        <f>IF(DN216=1,IF(INDEX('Lease Cycles'!$EF$20:$EL$20,1,DN214)=1,0,DN217*(1-IF(DN215&lt;INDEX('Lease Cycles'!$DK$20:$DQ$20,1,DN214),0,IF(DN215=INDEX('Lease Cycles'!$DK$20:$DQ$20,1,DN214),1-INDEX('Lease Cycles'!$DR$20:$DX$20,1,DN214),1))-IF(DN215=0,INDEX('Lease Cycles'!$DD$20:$DJ$20,1,DN214),0))),0)</f>
        <v>0</v>
      </c>
      <c r="DO221" s="28">
        <f>IF(DO216=1,IF(INDEX('Lease Cycles'!$EF$20:$EL$20,1,DO214)=1,0,DO217*(1-IF(DO215&lt;INDEX('Lease Cycles'!$DK$20:$DQ$20,1,DO214),0,IF(DO215=INDEX('Lease Cycles'!$DK$20:$DQ$20,1,DO214),1-INDEX('Lease Cycles'!$DR$20:$DX$20,1,DO214),1))-IF(DO215=0,INDEX('Lease Cycles'!$DD$20:$DJ$20,1,DO214),0))),0)</f>
        <v>0</v>
      </c>
      <c r="DP221" s="28">
        <f>IF(DP216=1,IF(INDEX('Lease Cycles'!$EF$20:$EL$20,1,DP214)=1,0,DP217*(1-IF(DP215&lt;INDEX('Lease Cycles'!$DK$20:$DQ$20,1,DP214),0,IF(DP215=INDEX('Lease Cycles'!$DK$20:$DQ$20,1,DP214),1-INDEX('Lease Cycles'!$DR$20:$DX$20,1,DP214),1))-IF(DP215=0,INDEX('Lease Cycles'!$DD$20:$DJ$20,1,DP214),0))),0)</f>
        <v>0</v>
      </c>
      <c r="DQ221" s="28">
        <f>IF(DQ216=1,IF(INDEX('Lease Cycles'!$EF$20:$EL$20,1,DQ214)=1,0,DQ217*(1-IF(DQ215&lt;INDEX('Lease Cycles'!$DK$20:$DQ$20,1,DQ214),0,IF(DQ215=INDEX('Lease Cycles'!$DK$20:$DQ$20,1,DQ214),1-INDEX('Lease Cycles'!$DR$20:$DX$20,1,DQ214),1))-IF(DQ215=0,INDEX('Lease Cycles'!$DD$20:$DJ$20,1,DQ214),0))),0)</f>
        <v>0</v>
      </c>
      <c r="DR221" s="28">
        <f>IF(DR216=1,IF(INDEX('Lease Cycles'!$EF$20:$EL$20,1,DR214)=1,0,DR217*(1-IF(DR215&lt;INDEX('Lease Cycles'!$DK$20:$DQ$20,1,DR214),0,IF(DR215=INDEX('Lease Cycles'!$DK$20:$DQ$20,1,DR214),1-INDEX('Lease Cycles'!$DR$20:$DX$20,1,DR214),1))-IF(DR215=0,INDEX('Lease Cycles'!$DD$20:$DJ$20,1,DR214),0))),0)</f>
        <v>0</v>
      </c>
      <c r="DS221" s="28">
        <f>IF(DS216=1,IF(INDEX('Lease Cycles'!$EF$20:$EL$20,1,DS214)=1,0,DS217*(1-IF(DS215&lt;INDEX('Lease Cycles'!$DK$20:$DQ$20,1,DS214),0,IF(DS215=INDEX('Lease Cycles'!$DK$20:$DQ$20,1,DS214),1-INDEX('Lease Cycles'!$DR$20:$DX$20,1,DS214),1))-IF(DS215=0,INDEX('Lease Cycles'!$DD$20:$DJ$20,1,DS214),0))),0)</f>
        <v>0</v>
      </c>
      <c r="DT221" s="28">
        <f>IF(DT216=1,IF(INDEX('Lease Cycles'!$EF$20:$EL$20,1,DT214)=1,0,DT217*(1-IF(DT215&lt;INDEX('Lease Cycles'!$DK$20:$DQ$20,1,DT214),0,IF(DT215=INDEX('Lease Cycles'!$DK$20:$DQ$20,1,DT214),1-INDEX('Lease Cycles'!$DR$20:$DX$20,1,DT214),1))-IF(DT215=0,INDEX('Lease Cycles'!$DD$20:$DJ$20,1,DT214),0))),0)</f>
        <v>0</v>
      </c>
      <c r="DU221" s="28">
        <f>IF(DU216=1,IF(INDEX('Lease Cycles'!$EF$20:$EL$20,1,DU214)=1,0,DU217*(1-IF(DU215&lt;INDEX('Lease Cycles'!$DK$20:$DQ$20,1,DU214),0,IF(DU215=INDEX('Lease Cycles'!$DK$20:$DQ$20,1,DU214),1-INDEX('Lease Cycles'!$DR$20:$DX$20,1,DU214),1))-IF(DU215=0,INDEX('Lease Cycles'!$DD$20:$DJ$20,1,DU214),0))),0)</f>
        <v>0</v>
      </c>
      <c r="DV221" s="28">
        <f>IF(DV216=1,IF(INDEX('Lease Cycles'!$EF$20:$EL$20,1,DV214)=1,0,DV217*(1-IF(DV215&lt;INDEX('Lease Cycles'!$DK$20:$DQ$20,1,DV214),0,IF(DV215=INDEX('Lease Cycles'!$DK$20:$DQ$20,1,DV214),1-INDEX('Lease Cycles'!$DR$20:$DX$20,1,DV214),1))-IF(DV215=0,INDEX('Lease Cycles'!$DD$20:$DJ$20,1,DV214),0))),0)</f>
        <v>0</v>
      </c>
      <c r="DW221" s="28">
        <f>IF(DW216=1,IF(INDEX('Lease Cycles'!$EF$20:$EL$20,1,DW214)=1,0,DW217*(1-IF(DW215&lt;INDEX('Lease Cycles'!$DK$20:$DQ$20,1,DW214),0,IF(DW215=INDEX('Lease Cycles'!$DK$20:$DQ$20,1,DW214),1-INDEX('Lease Cycles'!$DR$20:$DX$20,1,DW214),1))-IF(DW215=0,INDEX('Lease Cycles'!$DD$20:$DJ$20,1,DW214),0))),0)</f>
        <v>0</v>
      </c>
      <c r="DX221" s="28">
        <f>IF(DX216=1,IF(INDEX('Lease Cycles'!$EF$20:$EL$20,1,DX214)=1,0,DX217*(1-IF(DX215&lt;INDEX('Lease Cycles'!$DK$20:$DQ$20,1,DX214),0,IF(DX215=INDEX('Lease Cycles'!$DK$20:$DQ$20,1,DX214),1-INDEX('Lease Cycles'!$DR$20:$DX$20,1,DX214),1))-IF(DX215=0,INDEX('Lease Cycles'!$DD$20:$DJ$20,1,DX214),0))),0)</f>
        <v>0</v>
      </c>
      <c r="DY221" s="28">
        <f>IF(DY216=1,IF(INDEX('Lease Cycles'!$EF$20:$EL$20,1,DY214)=1,0,DY217*(1-IF(DY215&lt;INDEX('Lease Cycles'!$DK$20:$DQ$20,1,DY214),0,IF(DY215=INDEX('Lease Cycles'!$DK$20:$DQ$20,1,DY214),1-INDEX('Lease Cycles'!$DR$20:$DX$20,1,DY214),1))-IF(DY215=0,INDEX('Lease Cycles'!$DD$20:$DJ$20,1,DY214),0))),0)</f>
        <v>0</v>
      </c>
      <c r="DZ221" s="28">
        <f>IF(DZ216=1,IF(INDEX('Lease Cycles'!$EF$20:$EL$20,1,DZ214)=1,0,DZ217*(1-IF(DZ215&lt;INDEX('Lease Cycles'!$DK$20:$DQ$20,1,DZ214),0,IF(DZ215=INDEX('Lease Cycles'!$DK$20:$DQ$20,1,DZ214),1-INDEX('Lease Cycles'!$DR$20:$DX$20,1,DZ214),1))-IF(DZ215=0,INDEX('Lease Cycles'!$DD$20:$DJ$20,1,DZ214),0))),0)</f>
        <v>0</v>
      </c>
      <c r="EA221" s="28">
        <f>IF(EA216=1,IF(INDEX('Lease Cycles'!$EF$20:$EL$20,1,EA214)=1,0,EA217*(1-IF(EA215&lt;INDEX('Lease Cycles'!$DK$20:$DQ$20,1,EA214),0,IF(EA215=INDEX('Lease Cycles'!$DK$20:$DQ$20,1,EA214),1-INDEX('Lease Cycles'!$DR$20:$DX$20,1,EA214),1))-IF(EA215=0,INDEX('Lease Cycles'!$DD$20:$DJ$20,1,EA214),0))),0)</f>
        <v>0</v>
      </c>
      <c r="EB221" s="28">
        <f>IF(EB216=1,IF(INDEX('Lease Cycles'!$EF$20:$EL$20,1,EB214)=1,0,EB217*(1-IF(EB215&lt;INDEX('Lease Cycles'!$DK$20:$DQ$20,1,EB214),0,IF(EB215=INDEX('Lease Cycles'!$DK$20:$DQ$20,1,EB214),1-INDEX('Lease Cycles'!$DR$20:$DX$20,1,EB214),1))-IF(EB215=0,INDEX('Lease Cycles'!$DD$20:$DJ$20,1,EB214),0))),0)</f>
        <v>0</v>
      </c>
      <c r="EC221" s="28">
        <f>IF(EC216=1,IF(INDEX('Lease Cycles'!$EF$20:$EL$20,1,EC214)=1,0,EC217*(1-IF(EC215&lt;INDEX('Lease Cycles'!$DK$20:$DQ$20,1,EC214),0,IF(EC215=INDEX('Lease Cycles'!$DK$20:$DQ$20,1,EC214),1-INDEX('Lease Cycles'!$DR$20:$DX$20,1,EC214),1))-IF(EC215=0,INDEX('Lease Cycles'!$DD$20:$DJ$20,1,EC214),0))),0)</f>
        <v>0</v>
      </c>
      <c r="ED221" s="28">
        <f>IF(ED216=1,IF(INDEX('Lease Cycles'!$EF$20:$EL$20,1,ED214)=1,0,ED217*(1-IF(ED215&lt;INDEX('Lease Cycles'!$DK$20:$DQ$20,1,ED214),0,IF(ED215=INDEX('Lease Cycles'!$DK$20:$DQ$20,1,ED214),1-INDEX('Lease Cycles'!$DR$20:$DX$20,1,ED214),1))-IF(ED215=0,INDEX('Lease Cycles'!$DD$20:$DJ$20,1,ED214),0))),0)</f>
        <v>0</v>
      </c>
      <c r="EE221" s="28">
        <f>IF(EE216=1,IF(INDEX('Lease Cycles'!$EF$20:$EL$20,1,EE214)=1,0,EE217*(1-IF(EE215&lt;INDEX('Lease Cycles'!$DK$20:$DQ$20,1,EE214),0,IF(EE215=INDEX('Lease Cycles'!$DK$20:$DQ$20,1,EE214),1-INDEX('Lease Cycles'!$DR$20:$DX$20,1,EE214),1))-IF(EE215=0,INDEX('Lease Cycles'!$DD$20:$DJ$20,1,EE214),0))),0)</f>
        <v>0</v>
      </c>
      <c r="EF221" s="28">
        <f>IF(EF216=1,IF(INDEX('Lease Cycles'!$EF$20:$EL$20,1,EF214)=1,0,EF217*(1-IF(EF215&lt;INDEX('Lease Cycles'!$DK$20:$DQ$20,1,EF214),0,IF(EF215=INDEX('Lease Cycles'!$DK$20:$DQ$20,1,EF214),1-INDEX('Lease Cycles'!$DR$20:$DX$20,1,EF214),1))-IF(EF215=0,INDEX('Lease Cycles'!$DD$20:$DJ$20,1,EF214),0))),0)</f>
        <v>0</v>
      </c>
      <c r="EG221" s="28">
        <f>IF(EG216=1,IF(INDEX('Lease Cycles'!$EF$20:$EL$20,1,EG214)=1,0,EG217*(1-IF(EG215&lt;INDEX('Lease Cycles'!$DK$20:$DQ$20,1,EG214),0,IF(EG215=INDEX('Lease Cycles'!$DK$20:$DQ$20,1,EG214),1-INDEX('Lease Cycles'!$DR$20:$DX$20,1,EG214),1))-IF(EG215=0,INDEX('Lease Cycles'!$DD$20:$DJ$20,1,EG214),0))),0)</f>
        <v>0</v>
      </c>
      <c r="EH221" s="28">
        <f>IF(EH216=1,IF(INDEX('Lease Cycles'!$EF$20:$EL$20,1,EH214)=1,0,EH217*(1-IF(EH215&lt;INDEX('Lease Cycles'!$DK$20:$DQ$20,1,EH214),0,IF(EH215=INDEX('Lease Cycles'!$DK$20:$DQ$20,1,EH214),1-INDEX('Lease Cycles'!$DR$20:$DX$20,1,EH214),1))-IF(EH215=0,INDEX('Lease Cycles'!$DD$20:$DJ$20,1,EH214),0))),0)</f>
        <v>0</v>
      </c>
      <c r="EI221" s="28">
        <f>IF(EI216=1,IF(INDEX('Lease Cycles'!$EF$20:$EL$20,1,EI214)=1,0,EI217*(1-IF(EI215&lt;INDEX('Lease Cycles'!$DK$20:$DQ$20,1,EI214),0,IF(EI215=INDEX('Lease Cycles'!$DK$20:$DQ$20,1,EI214),1-INDEX('Lease Cycles'!$DR$20:$DX$20,1,EI214),1))-IF(EI215=0,INDEX('Lease Cycles'!$DD$20:$DJ$20,1,EI214),0))),0)</f>
        <v>0</v>
      </c>
      <c r="EJ221" s="28">
        <f>IF(EJ216=1,IF(INDEX('Lease Cycles'!$EF$20:$EL$20,1,EJ214)=1,0,EJ217*(1-IF(EJ215&lt;INDEX('Lease Cycles'!$DK$20:$DQ$20,1,EJ214),0,IF(EJ215=INDEX('Lease Cycles'!$DK$20:$DQ$20,1,EJ214),1-INDEX('Lease Cycles'!$DR$20:$DX$20,1,EJ214),1))-IF(EJ215=0,INDEX('Lease Cycles'!$DD$20:$DJ$20,1,EJ214),0))),0)</f>
        <v>0</v>
      </c>
      <c r="EK221" s="28">
        <f>IF(EK216=1,IF(INDEX('Lease Cycles'!$EF$20:$EL$20,1,EK214)=1,0,EK217*(1-IF(EK215&lt;INDEX('Lease Cycles'!$DK$20:$DQ$20,1,EK214),0,IF(EK215=INDEX('Lease Cycles'!$DK$20:$DQ$20,1,EK214),1-INDEX('Lease Cycles'!$DR$20:$DX$20,1,EK214),1))-IF(EK215=0,INDEX('Lease Cycles'!$DD$20:$DJ$20,1,EK214),0))),0)</f>
        <v>0</v>
      </c>
      <c r="EL221" s="28">
        <f>IF(EL216=1,IF(INDEX('Lease Cycles'!$EF$20:$EL$20,1,EL214)=1,0,EL217*(1-IF(EL215&lt;INDEX('Lease Cycles'!$DK$20:$DQ$20,1,EL214),0,IF(EL215=INDEX('Lease Cycles'!$DK$20:$DQ$20,1,EL214),1-INDEX('Lease Cycles'!$DR$20:$DX$20,1,EL214),1))-IF(EL215=0,INDEX('Lease Cycles'!$DD$20:$DJ$20,1,EL214),0))),0)</f>
        <v>0</v>
      </c>
      <c r="EM221" s="28">
        <f>IF(EM216=1,IF(INDEX('Lease Cycles'!$EF$20:$EL$20,1,EM214)=1,0,EM217*(1-IF(EM215&lt;INDEX('Lease Cycles'!$DK$20:$DQ$20,1,EM214),0,IF(EM215=INDEX('Lease Cycles'!$DK$20:$DQ$20,1,EM214),1-INDEX('Lease Cycles'!$DR$20:$DX$20,1,EM214),1))-IF(EM215=0,INDEX('Lease Cycles'!$DD$20:$DJ$20,1,EM214),0))),0)</f>
        <v>0</v>
      </c>
      <c r="EN221" s="28">
        <f>IF(EN216=1,IF(INDEX('Lease Cycles'!$EF$20:$EL$20,1,EN214)=1,0,EN217*(1-IF(EN215&lt;INDEX('Lease Cycles'!$DK$20:$DQ$20,1,EN214),0,IF(EN215=INDEX('Lease Cycles'!$DK$20:$DQ$20,1,EN214),1-INDEX('Lease Cycles'!$DR$20:$DX$20,1,EN214),1))-IF(EN215=0,INDEX('Lease Cycles'!$DD$20:$DJ$20,1,EN214),0))),0)</f>
        <v>0</v>
      </c>
      <c r="EO221" s="28">
        <f>IF(EO216=1,IF(INDEX('Lease Cycles'!$EF$20:$EL$20,1,EO214)=1,0,EO217*(1-IF(EO215&lt;INDEX('Lease Cycles'!$DK$20:$DQ$20,1,EO214),0,IF(EO215=INDEX('Lease Cycles'!$DK$20:$DQ$20,1,EO214),1-INDEX('Lease Cycles'!$DR$20:$DX$20,1,EO214),1))-IF(EO215=0,INDEX('Lease Cycles'!$DD$20:$DJ$20,1,EO214),0))),0)</f>
        <v>0</v>
      </c>
      <c r="EP221" s="28">
        <f>IF(EP216=1,IF(INDEX('Lease Cycles'!$EF$20:$EL$20,1,EP214)=1,0,EP217*(1-IF(EP215&lt;INDEX('Lease Cycles'!$DK$20:$DQ$20,1,EP214),0,IF(EP215=INDEX('Lease Cycles'!$DK$20:$DQ$20,1,EP214),1-INDEX('Lease Cycles'!$DR$20:$DX$20,1,EP214),1))-IF(EP215=0,INDEX('Lease Cycles'!$DD$20:$DJ$20,1,EP214),0))),0)</f>
        <v>0</v>
      </c>
      <c r="EQ221" s="28">
        <f>IF(EQ216=1,IF(INDEX('Lease Cycles'!$EF$20:$EL$20,1,EQ214)=1,0,EQ217*(1-IF(EQ215&lt;INDEX('Lease Cycles'!$DK$20:$DQ$20,1,EQ214),0,IF(EQ215=INDEX('Lease Cycles'!$DK$20:$DQ$20,1,EQ214),1-INDEX('Lease Cycles'!$DR$20:$DX$20,1,EQ214),1))-IF(EQ215=0,INDEX('Lease Cycles'!$DD$20:$DJ$20,1,EQ214),0))),0)</f>
        <v>0</v>
      </c>
      <c r="ER221" s="28">
        <f>IF(ER216=1,IF(INDEX('Lease Cycles'!$EF$20:$EL$20,1,ER214)=1,0,ER217*(1-IF(ER215&lt;INDEX('Lease Cycles'!$DK$20:$DQ$20,1,ER214),0,IF(ER215=INDEX('Lease Cycles'!$DK$20:$DQ$20,1,ER214),1-INDEX('Lease Cycles'!$DR$20:$DX$20,1,ER214),1))-IF(ER215=0,INDEX('Lease Cycles'!$DD$20:$DJ$20,1,ER214),0))),0)</f>
        <v>0</v>
      </c>
      <c r="ES221" s="28">
        <f>IF(ES216=1,IF(INDEX('Lease Cycles'!$EF$20:$EL$20,1,ES214)=1,0,ES217*(1-IF(ES215&lt;INDEX('Lease Cycles'!$DK$20:$DQ$20,1,ES214),0,IF(ES215=INDEX('Lease Cycles'!$DK$20:$DQ$20,1,ES214),1-INDEX('Lease Cycles'!$DR$20:$DX$20,1,ES214),1))-IF(ES215=0,INDEX('Lease Cycles'!$DD$20:$DJ$20,1,ES214),0))),0)</f>
        <v>0</v>
      </c>
      <c r="ET221" s="28">
        <f>IF(ET216=1,IF(INDEX('Lease Cycles'!$EF$20:$EL$20,1,ET214)=1,0,ET217*(1-IF(ET215&lt;INDEX('Lease Cycles'!$DK$20:$DQ$20,1,ET214),0,IF(ET215=INDEX('Lease Cycles'!$DK$20:$DQ$20,1,ET214),1-INDEX('Lease Cycles'!$DR$20:$DX$20,1,ET214),1))-IF(ET215=0,INDEX('Lease Cycles'!$DD$20:$DJ$20,1,ET214),0))),0)</f>
        <v>0</v>
      </c>
    </row>
    <row r="222">
      <c r="A222" s="103">
        <v>13</v>
      </c>
      <c r="B222" s="23" t="str">
        <f>IF('Lease Cycles'!$B$20="","(empty slot)",'Lease Cycles'!$B$20)</f>
        <v>(empty slot)</v>
      </c>
      <c r="C222" s="23" t="s">
        <v>683</v>
      </c>
      <c r="D222" s="104" t="s">
        <v>684</v>
      </c>
      <c r="E222" s="25">
        <f>'Lease Cycles'!$AL$20</f>
        <v>0</v>
      </c>
      <c r="G222" s="24">
        <f>SUM(S222:AD222)</f>
        <v>0</v>
      </c>
      <c r="H222" s="24">
        <f>SUM(AE222:AP222)</f>
        <v>0</v>
      </c>
      <c r="I222" s="24">
        <f>SUM(AQ222:BB222)</f>
        <v>0</v>
      </c>
      <c r="J222" s="24">
        <f>SUM(BC222:BN222)</f>
        <v>0</v>
      </c>
      <c r="K222" s="24">
        <f>SUM(BO222:BZ222)</f>
        <v>0</v>
      </c>
      <c r="L222" s="24">
        <f>SUM(CA222:CL222)</f>
        <v>0</v>
      </c>
      <c r="M222" s="24">
        <f>SUM(CM222:CX222)</f>
        <v>0</v>
      </c>
      <c r="N222" s="24">
        <f>SUM(CY222:DJ222)</f>
        <v>0</v>
      </c>
      <c r="O222" s="24">
        <f>SUM(DK222:DV222)</f>
        <v>0</v>
      </c>
      <c r="P222" s="24">
        <f>SUM(DW222:EH222)</f>
        <v>0</v>
      </c>
      <c r="Q222" s="24">
        <f>SUM(EI222:ET222)</f>
        <v>0</v>
      </c>
      <c r="S222" s="24">
        <f>IF(S216=1,'Lease Cycles'!$D$20*IF(INDEX('Lease Cycles'!$EF$20:$EL$20,1,S214)=1,(1-'Lease Cycles'!$AJ$20)*INDEX('Lease Cycles'!$EM$20:$ES$20,1,S214)+(1-'Lease Cycles'!$BE$20)*IF(S215&lt;INDEX('Lease Cycles'!$FA$20:$FG$20,1,S214),0,1-INDEX('Lease Cycles'!$EM$20:$ES$20,1,S214)),IF(OR(INDEX('Lease Cycles'!$DY$20:$EE$20,1,S214)=1,S215&gt;0),1,1-INDEX('Lease Cycles'!$DD$20:$DJ$20,1,S214))*((1-'Lease Cycles'!$AJ$20)*INDEX('Lease Cycles'!$FO$20:$FU$20,1,S214)+(1-'Lease Cycles'!$BE$20)*(1-INDEX('Lease Cycles'!$FO$20:$FU$20,1,S214)))),0)</f>
        <v>0</v>
      </c>
      <c r="T222" s="24">
        <f>IF(T216=1,'Lease Cycles'!$D$20*IF(INDEX('Lease Cycles'!$EF$20:$EL$20,1,T214)=1,(1-'Lease Cycles'!$AJ$20)*INDEX('Lease Cycles'!$EM$20:$ES$20,1,T214)+(1-'Lease Cycles'!$BE$20)*IF(T215&lt;INDEX('Lease Cycles'!$FA$20:$FG$20,1,T214),0,1-INDEX('Lease Cycles'!$EM$20:$ES$20,1,T214)),IF(OR(INDEX('Lease Cycles'!$DY$20:$EE$20,1,T214)=1,T215&gt;0),1,1-INDEX('Lease Cycles'!$DD$20:$DJ$20,1,T214))*((1-'Lease Cycles'!$AJ$20)*INDEX('Lease Cycles'!$FO$20:$FU$20,1,T214)+(1-'Lease Cycles'!$BE$20)*(1-INDEX('Lease Cycles'!$FO$20:$FU$20,1,T214)))),0)</f>
        <v>0</v>
      </c>
      <c r="U222" s="24">
        <f>IF(U216=1,'Lease Cycles'!$D$20*IF(INDEX('Lease Cycles'!$EF$20:$EL$20,1,U214)=1,(1-'Lease Cycles'!$AJ$20)*INDEX('Lease Cycles'!$EM$20:$ES$20,1,U214)+(1-'Lease Cycles'!$BE$20)*IF(U215&lt;INDEX('Lease Cycles'!$FA$20:$FG$20,1,U214),0,1-INDEX('Lease Cycles'!$EM$20:$ES$20,1,U214)),IF(OR(INDEX('Lease Cycles'!$DY$20:$EE$20,1,U214)=1,U215&gt;0),1,1-INDEX('Lease Cycles'!$DD$20:$DJ$20,1,U214))*((1-'Lease Cycles'!$AJ$20)*INDEX('Lease Cycles'!$FO$20:$FU$20,1,U214)+(1-'Lease Cycles'!$BE$20)*(1-INDEX('Lease Cycles'!$FO$20:$FU$20,1,U214)))),0)</f>
        <v>0</v>
      </c>
      <c r="V222" s="24">
        <f>IF(V216=1,'Lease Cycles'!$D$20*IF(INDEX('Lease Cycles'!$EF$20:$EL$20,1,V214)=1,(1-'Lease Cycles'!$AJ$20)*INDEX('Lease Cycles'!$EM$20:$ES$20,1,V214)+(1-'Lease Cycles'!$BE$20)*IF(V215&lt;INDEX('Lease Cycles'!$FA$20:$FG$20,1,V214),0,1-INDEX('Lease Cycles'!$EM$20:$ES$20,1,V214)),IF(OR(INDEX('Lease Cycles'!$DY$20:$EE$20,1,V214)=1,V215&gt;0),1,1-INDEX('Lease Cycles'!$DD$20:$DJ$20,1,V214))*((1-'Lease Cycles'!$AJ$20)*INDEX('Lease Cycles'!$FO$20:$FU$20,1,V214)+(1-'Lease Cycles'!$BE$20)*(1-INDEX('Lease Cycles'!$FO$20:$FU$20,1,V214)))),0)</f>
        <v>0</v>
      </c>
      <c r="W222" s="24">
        <f>IF(W216=1,'Lease Cycles'!$D$20*IF(INDEX('Lease Cycles'!$EF$20:$EL$20,1,W214)=1,(1-'Lease Cycles'!$AJ$20)*INDEX('Lease Cycles'!$EM$20:$ES$20,1,W214)+(1-'Lease Cycles'!$BE$20)*IF(W215&lt;INDEX('Lease Cycles'!$FA$20:$FG$20,1,W214),0,1-INDEX('Lease Cycles'!$EM$20:$ES$20,1,W214)),IF(OR(INDEX('Lease Cycles'!$DY$20:$EE$20,1,W214)=1,W215&gt;0),1,1-INDEX('Lease Cycles'!$DD$20:$DJ$20,1,W214))*((1-'Lease Cycles'!$AJ$20)*INDEX('Lease Cycles'!$FO$20:$FU$20,1,W214)+(1-'Lease Cycles'!$BE$20)*(1-INDEX('Lease Cycles'!$FO$20:$FU$20,1,W214)))),0)</f>
        <v>0</v>
      </c>
      <c r="X222" s="24">
        <f>IF(X216=1,'Lease Cycles'!$D$20*IF(INDEX('Lease Cycles'!$EF$20:$EL$20,1,X214)=1,(1-'Lease Cycles'!$AJ$20)*INDEX('Lease Cycles'!$EM$20:$ES$20,1,X214)+(1-'Lease Cycles'!$BE$20)*IF(X215&lt;INDEX('Lease Cycles'!$FA$20:$FG$20,1,X214),0,1-INDEX('Lease Cycles'!$EM$20:$ES$20,1,X214)),IF(OR(INDEX('Lease Cycles'!$DY$20:$EE$20,1,X214)=1,X215&gt;0),1,1-INDEX('Lease Cycles'!$DD$20:$DJ$20,1,X214))*((1-'Lease Cycles'!$AJ$20)*INDEX('Lease Cycles'!$FO$20:$FU$20,1,X214)+(1-'Lease Cycles'!$BE$20)*(1-INDEX('Lease Cycles'!$FO$20:$FU$20,1,X214)))),0)</f>
        <v>0</v>
      </c>
      <c r="Y222" s="24">
        <f>IF(Y216=1,'Lease Cycles'!$D$20*IF(INDEX('Lease Cycles'!$EF$20:$EL$20,1,Y214)=1,(1-'Lease Cycles'!$AJ$20)*INDEX('Lease Cycles'!$EM$20:$ES$20,1,Y214)+(1-'Lease Cycles'!$BE$20)*IF(Y215&lt;INDEX('Lease Cycles'!$FA$20:$FG$20,1,Y214),0,1-INDEX('Lease Cycles'!$EM$20:$ES$20,1,Y214)),IF(OR(INDEX('Lease Cycles'!$DY$20:$EE$20,1,Y214)=1,Y215&gt;0),1,1-INDEX('Lease Cycles'!$DD$20:$DJ$20,1,Y214))*((1-'Lease Cycles'!$AJ$20)*INDEX('Lease Cycles'!$FO$20:$FU$20,1,Y214)+(1-'Lease Cycles'!$BE$20)*(1-INDEX('Lease Cycles'!$FO$20:$FU$20,1,Y214)))),0)</f>
        <v>0</v>
      </c>
      <c r="Z222" s="24">
        <f>IF(Z216=1,'Lease Cycles'!$D$20*IF(INDEX('Lease Cycles'!$EF$20:$EL$20,1,Z214)=1,(1-'Lease Cycles'!$AJ$20)*INDEX('Lease Cycles'!$EM$20:$ES$20,1,Z214)+(1-'Lease Cycles'!$BE$20)*IF(Z215&lt;INDEX('Lease Cycles'!$FA$20:$FG$20,1,Z214),0,1-INDEX('Lease Cycles'!$EM$20:$ES$20,1,Z214)),IF(OR(INDEX('Lease Cycles'!$DY$20:$EE$20,1,Z214)=1,Z215&gt;0),1,1-INDEX('Lease Cycles'!$DD$20:$DJ$20,1,Z214))*((1-'Lease Cycles'!$AJ$20)*INDEX('Lease Cycles'!$FO$20:$FU$20,1,Z214)+(1-'Lease Cycles'!$BE$20)*(1-INDEX('Lease Cycles'!$FO$20:$FU$20,1,Z214)))),0)</f>
        <v>0</v>
      </c>
      <c r="AA222" s="24">
        <f>IF(AA216=1,'Lease Cycles'!$D$20*IF(INDEX('Lease Cycles'!$EF$20:$EL$20,1,AA214)=1,(1-'Lease Cycles'!$AJ$20)*INDEX('Lease Cycles'!$EM$20:$ES$20,1,AA214)+(1-'Lease Cycles'!$BE$20)*IF(AA215&lt;INDEX('Lease Cycles'!$FA$20:$FG$20,1,AA214),0,1-INDEX('Lease Cycles'!$EM$20:$ES$20,1,AA214)),IF(OR(INDEX('Lease Cycles'!$DY$20:$EE$20,1,AA214)=1,AA215&gt;0),1,1-INDEX('Lease Cycles'!$DD$20:$DJ$20,1,AA214))*((1-'Lease Cycles'!$AJ$20)*INDEX('Lease Cycles'!$FO$20:$FU$20,1,AA214)+(1-'Lease Cycles'!$BE$20)*(1-INDEX('Lease Cycles'!$FO$20:$FU$20,1,AA214)))),0)</f>
        <v>0</v>
      </c>
      <c r="AB222" s="24">
        <f>IF(AB216=1,'Lease Cycles'!$D$20*IF(INDEX('Lease Cycles'!$EF$20:$EL$20,1,AB214)=1,(1-'Lease Cycles'!$AJ$20)*INDEX('Lease Cycles'!$EM$20:$ES$20,1,AB214)+(1-'Lease Cycles'!$BE$20)*IF(AB215&lt;INDEX('Lease Cycles'!$FA$20:$FG$20,1,AB214),0,1-INDEX('Lease Cycles'!$EM$20:$ES$20,1,AB214)),IF(OR(INDEX('Lease Cycles'!$DY$20:$EE$20,1,AB214)=1,AB215&gt;0),1,1-INDEX('Lease Cycles'!$DD$20:$DJ$20,1,AB214))*((1-'Lease Cycles'!$AJ$20)*INDEX('Lease Cycles'!$FO$20:$FU$20,1,AB214)+(1-'Lease Cycles'!$BE$20)*(1-INDEX('Lease Cycles'!$FO$20:$FU$20,1,AB214)))),0)</f>
        <v>0</v>
      </c>
      <c r="AC222" s="24">
        <f>IF(AC216=1,'Lease Cycles'!$D$20*IF(INDEX('Lease Cycles'!$EF$20:$EL$20,1,AC214)=1,(1-'Lease Cycles'!$AJ$20)*INDEX('Lease Cycles'!$EM$20:$ES$20,1,AC214)+(1-'Lease Cycles'!$BE$20)*IF(AC215&lt;INDEX('Lease Cycles'!$FA$20:$FG$20,1,AC214),0,1-INDEX('Lease Cycles'!$EM$20:$ES$20,1,AC214)),IF(OR(INDEX('Lease Cycles'!$DY$20:$EE$20,1,AC214)=1,AC215&gt;0),1,1-INDEX('Lease Cycles'!$DD$20:$DJ$20,1,AC214))*((1-'Lease Cycles'!$AJ$20)*INDEX('Lease Cycles'!$FO$20:$FU$20,1,AC214)+(1-'Lease Cycles'!$BE$20)*(1-INDEX('Lease Cycles'!$FO$20:$FU$20,1,AC214)))),0)</f>
        <v>0</v>
      </c>
      <c r="AD222" s="24">
        <f>IF(AD216=1,'Lease Cycles'!$D$20*IF(INDEX('Lease Cycles'!$EF$20:$EL$20,1,AD214)=1,(1-'Lease Cycles'!$AJ$20)*INDEX('Lease Cycles'!$EM$20:$ES$20,1,AD214)+(1-'Lease Cycles'!$BE$20)*IF(AD215&lt;INDEX('Lease Cycles'!$FA$20:$FG$20,1,AD214),0,1-INDEX('Lease Cycles'!$EM$20:$ES$20,1,AD214)),IF(OR(INDEX('Lease Cycles'!$DY$20:$EE$20,1,AD214)=1,AD215&gt;0),1,1-INDEX('Lease Cycles'!$DD$20:$DJ$20,1,AD214))*((1-'Lease Cycles'!$AJ$20)*INDEX('Lease Cycles'!$FO$20:$FU$20,1,AD214)+(1-'Lease Cycles'!$BE$20)*(1-INDEX('Lease Cycles'!$FO$20:$FU$20,1,AD214)))),0)</f>
        <v>0</v>
      </c>
      <c r="AE222" s="24">
        <f>IF(AE216=1,'Lease Cycles'!$D$20*IF(INDEX('Lease Cycles'!$EF$20:$EL$20,1,AE214)=1,(1-'Lease Cycles'!$AJ$20)*INDEX('Lease Cycles'!$EM$20:$ES$20,1,AE214)+(1-'Lease Cycles'!$BE$20)*IF(AE215&lt;INDEX('Lease Cycles'!$FA$20:$FG$20,1,AE214),0,1-INDEX('Lease Cycles'!$EM$20:$ES$20,1,AE214)),IF(OR(INDEX('Lease Cycles'!$DY$20:$EE$20,1,AE214)=1,AE215&gt;0),1,1-INDEX('Lease Cycles'!$DD$20:$DJ$20,1,AE214))*((1-'Lease Cycles'!$AJ$20)*INDEX('Lease Cycles'!$FO$20:$FU$20,1,AE214)+(1-'Lease Cycles'!$BE$20)*(1-INDEX('Lease Cycles'!$FO$20:$FU$20,1,AE214)))),0)</f>
        <v>0</v>
      </c>
      <c r="AF222" s="24">
        <f>IF(AF216=1,'Lease Cycles'!$D$20*IF(INDEX('Lease Cycles'!$EF$20:$EL$20,1,AF214)=1,(1-'Lease Cycles'!$AJ$20)*INDEX('Lease Cycles'!$EM$20:$ES$20,1,AF214)+(1-'Lease Cycles'!$BE$20)*IF(AF215&lt;INDEX('Lease Cycles'!$FA$20:$FG$20,1,AF214),0,1-INDEX('Lease Cycles'!$EM$20:$ES$20,1,AF214)),IF(OR(INDEX('Lease Cycles'!$DY$20:$EE$20,1,AF214)=1,AF215&gt;0),1,1-INDEX('Lease Cycles'!$DD$20:$DJ$20,1,AF214))*((1-'Lease Cycles'!$AJ$20)*INDEX('Lease Cycles'!$FO$20:$FU$20,1,AF214)+(1-'Lease Cycles'!$BE$20)*(1-INDEX('Lease Cycles'!$FO$20:$FU$20,1,AF214)))),0)</f>
        <v>0</v>
      </c>
      <c r="AG222" s="24">
        <f>IF(AG216=1,'Lease Cycles'!$D$20*IF(INDEX('Lease Cycles'!$EF$20:$EL$20,1,AG214)=1,(1-'Lease Cycles'!$AJ$20)*INDEX('Lease Cycles'!$EM$20:$ES$20,1,AG214)+(1-'Lease Cycles'!$BE$20)*IF(AG215&lt;INDEX('Lease Cycles'!$FA$20:$FG$20,1,AG214),0,1-INDEX('Lease Cycles'!$EM$20:$ES$20,1,AG214)),IF(OR(INDEX('Lease Cycles'!$DY$20:$EE$20,1,AG214)=1,AG215&gt;0),1,1-INDEX('Lease Cycles'!$DD$20:$DJ$20,1,AG214))*((1-'Lease Cycles'!$AJ$20)*INDEX('Lease Cycles'!$FO$20:$FU$20,1,AG214)+(1-'Lease Cycles'!$BE$20)*(1-INDEX('Lease Cycles'!$FO$20:$FU$20,1,AG214)))),0)</f>
        <v>0</v>
      </c>
      <c r="AH222" s="24">
        <f>IF(AH216=1,'Lease Cycles'!$D$20*IF(INDEX('Lease Cycles'!$EF$20:$EL$20,1,AH214)=1,(1-'Lease Cycles'!$AJ$20)*INDEX('Lease Cycles'!$EM$20:$ES$20,1,AH214)+(1-'Lease Cycles'!$BE$20)*IF(AH215&lt;INDEX('Lease Cycles'!$FA$20:$FG$20,1,AH214),0,1-INDEX('Lease Cycles'!$EM$20:$ES$20,1,AH214)),IF(OR(INDEX('Lease Cycles'!$DY$20:$EE$20,1,AH214)=1,AH215&gt;0),1,1-INDEX('Lease Cycles'!$DD$20:$DJ$20,1,AH214))*((1-'Lease Cycles'!$AJ$20)*INDEX('Lease Cycles'!$FO$20:$FU$20,1,AH214)+(1-'Lease Cycles'!$BE$20)*(1-INDEX('Lease Cycles'!$FO$20:$FU$20,1,AH214)))),0)</f>
        <v>0</v>
      </c>
      <c r="AI222" s="24">
        <f>IF(AI216=1,'Lease Cycles'!$D$20*IF(INDEX('Lease Cycles'!$EF$20:$EL$20,1,AI214)=1,(1-'Lease Cycles'!$AJ$20)*INDEX('Lease Cycles'!$EM$20:$ES$20,1,AI214)+(1-'Lease Cycles'!$BE$20)*IF(AI215&lt;INDEX('Lease Cycles'!$FA$20:$FG$20,1,AI214),0,1-INDEX('Lease Cycles'!$EM$20:$ES$20,1,AI214)),IF(OR(INDEX('Lease Cycles'!$DY$20:$EE$20,1,AI214)=1,AI215&gt;0),1,1-INDEX('Lease Cycles'!$DD$20:$DJ$20,1,AI214))*((1-'Lease Cycles'!$AJ$20)*INDEX('Lease Cycles'!$FO$20:$FU$20,1,AI214)+(1-'Lease Cycles'!$BE$20)*(1-INDEX('Lease Cycles'!$FO$20:$FU$20,1,AI214)))),0)</f>
        <v>0</v>
      </c>
      <c r="AJ222" s="24">
        <f>IF(AJ216=1,'Lease Cycles'!$D$20*IF(INDEX('Lease Cycles'!$EF$20:$EL$20,1,AJ214)=1,(1-'Lease Cycles'!$AJ$20)*INDEX('Lease Cycles'!$EM$20:$ES$20,1,AJ214)+(1-'Lease Cycles'!$BE$20)*IF(AJ215&lt;INDEX('Lease Cycles'!$FA$20:$FG$20,1,AJ214),0,1-INDEX('Lease Cycles'!$EM$20:$ES$20,1,AJ214)),IF(OR(INDEX('Lease Cycles'!$DY$20:$EE$20,1,AJ214)=1,AJ215&gt;0),1,1-INDEX('Lease Cycles'!$DD$20:$DJ$20,1,AJ214))*((1-'Lease Cycles'!$AJ$20)*INDEX('Lease Cycles'!$FO$20:$FU$20,1,AJ214)+(1-'Lease Cycles'!$BE$20)*(1-INDEX('Lease Cycles'!$FO$20:$FU$20,1,AJ214)))),0)</f>
        <v>0</v>
      </c>
      <c r="AK222" s="24">
        <f>IF(AK216=1,'Lease Cycles'!$D$20*IF(INDEX('Lease Cycles'!$EF$20:$EL$20,1,AK214)=1,(1-'Lease Cycles'!$AJ$20)*INDEX('Lease Cycles'!$EM$20:$ES$20,1,AK214)+(1-'Lease Cycles'!$BE$20)*IF(AK215&lt;INDEX('Lease Cycles'!$FA$20:$FG$20,1,AK214),0,1-INDEX('Lease Cycles'!$EM$20:$ES$20,1,AK214)),IF(OR(INDEX('Lease Cycles'!$DY$20:$EE$20,1,AK214)=1,AK215&gt;0),1,1-INDEX('Lease Cycles'!$DD$20:$DJ$20,1,AK214))*((1-'Lease Cycles'!$AJ$20)*INDEX('Lease Cycles'!$FO$20:$FU$20,1,AK214)+(1-'Lease Cycles'!$BE$20)*(1-INDEX('Lease Cycles'!$FO$20:$FU$20,1,AK214)))),0)</f>
        <v>0</v>
      </c>
      <c r="AL222" s="24">
        <f>IF(AL216=1,'Lease Cycles'!$D$20*IF(INDEX('Lease Cycles'!$EF$20:$EL$20,1,AL214)=1,(1-'Lease Cycles'!$AJ$20)*INDEX('Lease Cycles'!$EM$20:$ES$20,1,AL214)+(1-'Lease Cycles'!$BE$20)*IF(AL215&lt;INDEX('Lease Cycles'!$FA$20:$FG$20,1,AL214),0,1-INDEX('Lease Cycles'!$EM$20:$ES$20,1,AL214)),IF(OR(INDEX('Lease Cycles'!$DY$20:$EE$20,1,AL214)=1,AL215&gt;0),1,1-INDEX('Lease Cycles'!$DD$20:$DJ$20,1,AL214))*((1-'Lease Cycles'!$AJ$20)*INDEX('Lease Cycles'!$FO$20:$FU$20,1,AL214)+(1-'Lease Cycles'!$BE$20)*(1-INDEX('Lease Cycles'!$FO$20:$FU$20,1,AL214)))),0)</f>
        <v>0</v>
      </c>
      <c r="AM222" s="24">
        <f>IF(AM216=1,'Lease Cycles'!$D$20*IF(INDEX('Lease Cycles'!$EF$20:$EL$20,1,AM214)=1,(1-'Lease Cycles'!$AJ$20)*INDEX('Lease Cycles'!$EM$20:$ES$20,1,AM214)+(1-'Lease Cycles'!$BE$20)*IF(AM215&lt;INDEX('Lease Cycles'!$FA$20:$FG$20,1,AM214),0,1-INDEX('Lease Cycles'!$EM$20:$ES$20,1,AM214)),IF(OR(INDEX('Lease Cycles'!$DY$20:$EE$20,1,AM214)=1,AM215&gt;0),1,1-INDEX('Lease Cycles'!$DD$20:$DJ$20,1,AM214))*((1-'Lease Cycles'!$AJ$20)*INDEX('Lease Cycles'!$FO$20:$FU$20,1,AM214)+(1-'Lease Cycles'!$BE$20)*(1-INDEX('Lease Cycles'!$FO$20:$FU$20,1,AM214)))),0)</f>
        <v>0</v>
      </c>
      <c r="AN222" s="24">
        <f>IF(AN216=1,'Lease Cycles'!$D$20*IF(INDEX('Lease Cycles'!$EF$20:$EL$20,1,AN214)=1,(1-'Lease Cycles'!$AJ$20)*INDEX('Lease Cycles'!$EM$20:$ES$20,1,AN214)+(1-'Lease Cycles'!$BE$20)*IF(AN215&lt;INDEX('Lease Cycles'!$FA$20:$FG$20,1,AN214),0,1-INDEX('Lease Cycles'!$EM$20:$ES$20,1,AN214)),IF(OR(INDEX('Lease Cycles'!$DY$20:$EE$20,1,AN214)=1,AN215&gt;0),1,1-INDEX('Lease Cycles'!$DD$20:$DJ$20,1,AN214))*((1-'Lease Cycles'!$AJ$20)*INDEX('Lease Cycles'!$FO$20:$FU$20,1,AN214)+(1-'Lease Cycles'!$BE$20)*(1-INDEX('Lease Cycles'!$FO$20:$FU$20,1,AN214)))),0)</f>
        <v>0</v>
      </c>
      <c r="AO222" s="24">
        <f>IF(AO216=1,'Lease Cycles'!$D$20*IF(INDEX('Lease Cycles'!$EF$20:$EL$20,1,AO214)=1,(1-'Lease Cycles'!$AJ$20)*INDEX('Lease Cycles'!$EM$20:$ES$20,1,AO214)+(1-'Lease Cycles'!$BE$20)*IF(AO215&lt;INDEX('Lease Cycles'!$FA$20:$FG$20,1,AO214),0,1-INDEX('Lease Cycles'!$EM$20:$ES$20,1,AO214)),IF(OR(INDEX('Lease Cycles'!$DY$20:$EE$20,1,AO214)=1,AO215&gt;0),1,1-INDEX('Lease Cycles'!$DD$20:$DJ$20,1,AO214))*((1-'Lease Cycles'!$AJ$20)*INDEX('Lease Cycles'!$FO$20:$FU$20,1,AO214)+(1-'Lease Cycles'!$BE$20)*(1-INDEX('Lease Cycles'!$FO$20:$FU$20,1,AO214)))),0)</f>
        <v>0</v>
      </c>
      <c r="AP222" s="24">
        <f>IF(AP216=1,'Lease Cycles'!$D$20*IF(INDEX('Lease Cycles'!$EF$20:$EL$20,1,AP214)=1,(1-'Lease Cycles'!$AJ$20)*INDEX('Lease Cycles'!$EM$20:$ES$20,1,AP214)+(1-'Lease Cycles'!$BE$20)*IF(AP215&lt;INDEX('Lease Cycles'!$FA$20:$FG$20,1,AP214),0,1-INDEX('Lease Cycles'!$EM$20:$ES$20,1,AP214)),IF(OR(INDEX('Lease Cycles'!$DY$20:$EE$20,1,AP214)=1,AP215&gt;0),1,1-INDEX('Lease Cycles'!$DD$20:$DJ$20,1,AP214))*((1-'Lease Cycles'!$AJ$20)*INDEX('Lease Cycles'!$FO$20:$FU$20,1,AP214)+(1-'Lease Cycles'!$BE$20)*(1-INDEX('Lease Cycles'!$FO$20:$FU$20,1,AP214)))),0)</f>
        <v>0</v>
      </c>
      <c r="AQ222" s="24">
        <f>IF(AQ216=1,'Lease Cycles'!$D$20*IF(INDEX('Lease Cycles'!$EF$20:$EL$20,1,AQ214)=1,(1-'Lease Cycles'!$AJ$20)*INDEX('Lease Cycles'!$EM$20:$ES$20,1,AQ214)+(1-'Lease Cycles'!$BE$20)*IF(AQ215&lt;INDEX('Lease Cycles'!$FA$20:$FG$20,1,AQ214),0,1-INDEX('Lease Cycles'!$EM$20:$ES$20,1,AQ214)),IF(OR(INDEX('Lease Cycles'!$DY$20:$EE$20,1,AQ214)=1,AQ215&gt;0),1,1-INDEX('Lease Cycles'!$DD$20:$DJ$20,1,AQ214))*((1-'Lease Cycles'!$AJ$20)*INDEX('Lease Cycles'!$FO$20:$FU$20,1,AQ214)+(1-'Lease Cycles'!$BE$20)*(1-INDEX('Lease Cycles'!$FO$20:$FU$20,1,AQ214)))),0)</f>
        <v>0</v>
      </c>
      <c r="AR222" s="24">
        <f>IF(AR216=1,'Lease Cycles'!$D$20*IF(INDEX('Lease Cycles'!$EF$20:$EL$20,1,AR214)=1,(1-'Lease Cycles'!$AJ$20)*INDEX('Lease Cycles'!$EM$20:$ES$20,1,AR214)+(1-'Lease Cycles'!$BE$20)*IF(AR215&lt;INDEX('Lease Cycles'!$FA$20:$FG$20,1,AR214),0,1-INDEX('Lease Cycles'!$EM$20:$ES$20,1,AR214)),IF(OR(INDEX('Lease Cycles'!$DY$20:$EE$20,1,AR214)=1,AR215&gt;0),1,1-INDEX('Lease Cycles'!$DD$20:$DJ$20,1,AR214))*((1-'Lease Cycles'!$AJ$20)*INDEX('Lease Cycles'!$FO$20:$FU$20,1,AR214)+(1-'Lease Cycles'!$BE$20)*(1-INDEX('Lease Cycles'!$FO$20:$FU$20,1,AR214)))),0)</f>
        <v>0</v>
      </c>
      <c r="AS222" s="24">
        <f>IF(AS216=1,'Lease Cycles'!$D$20*IF(INDEX('Lease Cycles'!$EF$20:$EL$20,1,AS214)=1,(1-'Lease Cycles'!$AJ$20)*INDEX('Lease Cycles'!$EM$20:$ES$20,1,AS214)+(1-'Lease Cycles'!$BE$20)*IF(AS215&lt;INDEX('Lease Cycles'!$FA$20:$FG$20,1,AS214),0,1-INDEX('Lease Cycles'!$EM$20:$ES$20,1,AS214)),IF(OR(INDEX('Lease Cycles'!$DY$20:$EE$20,1,AS214)=1,AS215&gt;0),1,1-INDEX('Lease Cycles'!$DD$20:$DJ$20,1,AS214))*((1-'Lease Cycles'!$AJ$20)*INDEX('Lease Cycles'!$FO$20:$FU$20,1,AS214)+(1-'Lease Cycles'!$BE$20)*(1-INDEX('Lease Cycles'!$FO$20:$FU$20,1,AS214)))),0)</f>
        <v>0</v>
      </c>
      <c r="AT222" s="24">
        <f>IF(AT216=1,'Lease Cycles'!$D$20*IF(INDEX('Lease Cycles'!$EF$20:$EL$20,1,AT214)=1,(1-'Lease Cycles'!$AJ$20)*INDEX('Lease Cycles'!$EM$20:$ES$20,1,AT214)+(1-'Lease Cycles'!$BE$20)*IF(AT215&lt;INDEX('Lease Cycles'!$FA$20:$FG$20,1,AT214),0,1-INDEX('Lease Cycles'!$EM$20:$ES$20,1,AT214)),IF(OR(INDEX('Lease Cycles'!$DY$20:$EE$20,1,AT214)=1,AT215&gt;0),1,1-INDEX('Lease Cycles'!$DD$20:$DJ$20,1,AT214))*((1-'Lease Cycles'!$AJ$20)*INDEX('Lease Cycles'!$FO$20:$FU$20,1,AT214)+(1-'Lease Cycles'!$BE$20)*(1-INDEX('Lease Cycles'!$FO$20:$FU$20,1,AT214)))),0)</f>
        <v>0</v>
      </c>
      <c r="AU222" s="24">
        <f>IF(AU216=1,'Lease Cycles'!$D$20*IF(INDEX('Lease Cycles'!$EF$20:$EL$20,1,AU214)=1,(1-'Lease Cycles'!$AJ$20)*INDEX('Lease Cycles'!$EM$20:$ES$20,1,AU214)+(1-'Lease Cycles'!$BE$20)*IF(AU215&lt;INDEX('Lease Cycles'!$FA$20:$FG$20,1,AU214),0,1-INDEX('Lease Cycles'!$EM$20:$ES$20,1,AU214)),IF(OR(INDEX('Lease Cycles'!$DY$20:$EE$20,1,AU214)=1,AU215&gt;0),1,1-INDEX('Lease Cycles'!$DD$20:$DJ$20,1,AU214))*((1-'Lease Cycles'!$AJ$20)*INDEX('Lease Cycles'!$FO$20:$FU$20,1,AU214)+(1-'Lease Cycles'!$BE$20)*(1-INDEX('Lease Cycles'!$FO$20:$FU$20,1,AU214)))),0)</f>
        <v>0</v>
      </c>
      <c r="AV222" s="24">
        <f>IF(AV216=1,'Lease Cycles'!$D$20*IF(INDEX('Lease Cycles'!$EF$20:$EL$20,1,AV214)=1,(1-'Lease Cycles'!$AJ$20)*INDEX('Lease Cycles'!$EM$20:$ES$20,1,AV214)+(1-'Lease Cycles'!$BE$20)*IF(AV215&lt;INDEX('Lease Cycles'!$FA$20:$FG$20,1,AV214),0,1-INDEX('Lease Cycles'!$EM$20:$ES$20,1,AV214)),IF(OR(INDEX('Lease Cycles'!$DY$20:$EE$20,1,AV214)=1,AV215&gt;0),1,1-INDEX('Lease Cycles'!$DD$20:$DJ$20,1,AV214))*((1-'Lease Cycles'!$AJ$20)*INDEX('Lease Cycles'!$FO$20:$FU$20,1,AV214)+(1-'Lease Cycles'!$BE$20)*(1-INDEX('Lease Cycles'!$FO$20:$FU$20,1,AV214)))),0)</f>
        <v>0</v>
      </c>
      <c r="AW222" s="24">
        <f>IF(AW216=1,'Lease Cycles'!$D$20*IF(INDEX('Lease Cycles'!$EF$20:$EL$20,1,AW214)=1,(1-'Lease Cycles'!$AJ$20)*INDEX('Lease Cycles'!$EM$20:$ES$20,1,AW214)+(1-'Lease Cycles'!$BE$20)*IF(AW215&lt;INDEX('Lease Cycles'!$FA$20:$FG$20,1,AW214),0,1-INDEX('Lease Cycles'!$EM$20:$ES$20,1,AW214)),IF(OR(INDEX('Lease Cycles'!$DY$20:$EE$20,1,AW214)=1,AW215&gt;0),1,1-INDEX('Lease Cycles'!$DD$20:$DJ$20,1,AW214))*((1-'Lease Cycles'!$AJ$20)*INDEX('Lease Cycles'!$FO$20:$FU$20,1,AW214)+(1-'Lease Cycles'!$BE$20)*(1-INDEX('Lease Cycles'!$FO$20:$FU$20,1,AW214)))),0)</f>
        <v>0</v>
      </c>
      <c r="AX222" s="24">
        <f>IF(AX216=1,'Lease Cycles'!$D$20*IF(INDEX('Lease Cycles'!$EF$20:$EL$20,1,AX214)=1,(1-'Lease Cycles'!$AJ$20)*INDEX('Lease Cycles'!$EM$20:$ES$20,1,AX214)+(1-'Lease Cycles'!$BE$20)*IF(AX215&lt;INDEX('Lease Cycles'!$FA$20:$FG$20,1,AX214),0,1-INDEX('Lease Cycles'!$EM$20:$ES$20,1,AX214)),IF(OR(INDEX('Lease Cycles'!$DY$20:$EE$20,1,AX214)=1,AX215&gt;0),1,1-INDEX('Lease Cycles'!$DD$20:$DJ$20,1,AX214))*((1-'Lease Cycles'!$AJ$20)*INDEX('Lease Cycles'!$FO$20:$FU$20,1,AX214)+(1-'Lease Cycles'!$BE$20)*(1-INDEX('Lease Cycles'!$FO$20:$FU$20,1,AX214)))),0)</f>
        <v>0</v>
      </c>
      <c r="AY222" s="24">
        <f>IF(AY216=1,'Lease Cycles'!$D$20*IF(INDEX('Lease Cycles'!$EF$20:$EL$20,1,AY214)=1,(1-'Lease Cycles'!$AJ$20)*INDEX('Lease Cycles'!$EM$20:$ES$20,1,AY214)+(1-'Lease Cycles'!$BE$20)*IF(AY215&lt;INDEX('Lease Cycles'!$FA$20:$FG$20,1,AY214),0,1-INDEX('Lease Cycles'!$EM$20:$ES$20,1,AY214)),IF(OR(INDEX('Lease Cycles'!$DY$20:$EE$20,1,AY214)=1,AY215&gt;0),1,1-INDEX('Lease Cycles'!$DD$20:$DJ$20,1,AY214))*((1-'Lease Cycles'!$AJ$20)*INDEX('Lease Cycles'!$FO$20:$FU$20,1,AY214)+(1-'Lease Cycles'!$BE$20)*(1-INDEX('Lease Cycles'!$FO$20:$FU$20,1,AY214)))),0)</f>
        <v>0</v>
      </c>
      <c r="AZ222" s="24">
        <f>IF(AZ216=1,'Lease Cycles'!$D$20*IF(INDEX('Lease Cycles'!$EF$20:$EL$20,1,AZ214)=1,(1-'Lease Cycles'!$AJ$20)*INDEX('Lease Cycles'!$EM$20:$ES$20,1,AZ214)+(1-'Lease Cycles'!$BE$20)*IF(AZ215&lt;INDEX('Lease Cycles'!$FA$20:$FG$20,1,AZ214),0,1-INDEX('Lease Cycles'!$EM$20:$ES$20,1,AZ214)),IF(OR(INDEX('Lease Cycles'!$DY$20:$EE$20,1,AZ214)=1,AZ215&gt;0),1,1-INDEX('Lease Cycles'!$DD$20:$DJ$20,1,AZ214))*((1-'Lease Cycles'!$AJ$20)*INDEX('Lease Cycles'!$FO$20:$FU$20,1,AZ214)+(1-'Lease Cycles'!$BE$20)*(1-INDEX('Lease Cycles'!$FO$20:$FU$20,1,AZ214)))),0)</f>
        <v>0</v>
      </c>
      <c r="BA222" s="24">
        <f>IF(BA216=1,'Lease Cycles'!$D$20*IF(INDEX('Lease Cycles'!$EF$20:$EL$20,1,BA214)=1,(1-'Lease Cycles'!$AJ$20)*INDEX('Lease Cycles'!$EM$20:$ES$20,1,BA214)+(1-'Lease Cycles'!$BE$20)*IF(BA215&lt;INDEX('Lease Cycles'!$FA$20:$FG$20,1,BA214),0,1-INDEX('Lease Cycles'!$EM$20:$ES$20,1,BA214)),IF(OR(INDEX('Lease Cycles'!$DY$20:$EE$20,1,BA214)=1,BA215&gt;0),1,1-INDEX('Lease Cycles'!$DD$20:$DJ$20,1,BA214))*((1-'Lease Cycles'!$AJ$20)*INDEX('Lease Cycles'!$FO$20:$FU$20,1,BA214)+(1-'Lease Cycles'!$BE$20)*(1-INDEX('Lease Cycles'!$FO$20:$FU$20,1,BA214)))),0)</f>
        <v>0</v>
      </c>
      <c r="BB222" s="24">
        <f>IF(BB216=1,'Lease Cycles'!$D$20*IF(INDEX('Lease Cycles'!$EF$20:$EL$20,1,BB214)=1,(1-'Lease Cycles'!$AJ$20)*INDEX('Lease Cycles'!$EM$20:$ES$20,1,BB214)+(1-'Lease Cycles'!$BE$20)*IF(BB215&lt;INDEX('Lease Cycles'!$FA$20:$FG$20,1,BB214),0,1-INDEX('Lease Cycles'!$EM$20:$ES$20,1,BB214)),IF(OR(INDEX('Lease Cycles'!$DY$20:$EE$20,1,BB214)=1,BB215&gt;0),1,1-INDEX('Lease Cycles'!$DD$20:$DJ$20,1,BB214))*((1-'Lease Cycles'!$AJ$20)*INDEX('Lease Cycles'!$FO$20:$FU$20,1,BB214)+(1-'Lease Cycles'!$BE$20)*(1-INDEX('Lease Cycles'!$FO$20:$FU$20,1,BB214)))),0)</f>
        <v>0</v>
      </c>
      <c r="BC222" s="24">
        <f>IF(BC216=1,'Lease Cycles'!$D$20*IF(INDEX('Lease Cycles'!$EF$20:$EL$20,1,BC214)=1,(1-'Lease Cycles'!$AJ$20)*INDEX('Lease Cycles'!$EM$20:$ES$20,1,BC214)+(1-'Lease Cycles'!$BE$20)*IF(BC215&lt;INDEX('Lease Cycles'!$FA$20:$FG$20,1,BC214),0,1-INDEX('Lease Cycles'!$EM$20:$ES$20,1,BC214)),IF(OR(INDEX('Lease Cycles'!$DY$20:$EE$20,1,BC214)=1,BC215&gt;0),1,1-INDEX('Lease Cycles'!$DD$20:$DJ$20,1,BC214))*((1-'Lease Cycles'!$AJ$20)*INDEX('Lease Cycles'!$FO$20:$FU$20,1,BC214)+(1-'Lease Cycles'!$BE$20)*(1-INDEX('Lease Cycles'!$FO$20:$FU$20,1,BC214)))),0)</f>
        <v>0</v>
      </c>
      <c r="BD222" s="24">
        <f>IF(BD216=1,'Lease Cycles'!$D$20*IF(INDEX('Lease Cycles'!$EF$20:$EL$20,1,BD214)=1,(1-'Lease Cycles'!$AJ$20)*INDEX('Lease Cycles'!$EM$20:$ES$20,1,BD214)+(1-'Lease Cycles'!$BE$20)*IF(BD215&lt;INDEX('Lease Cycles'!$FA$20:$FG$20,1,BD214),0,1-INDEX('Lease Cycles'!$EM$20:$ES$20,1,BD214)),IF(OR(INDEX('Lease Cycles'!$DY$20:$EE$20,1,BD214)=1,BD215&gt;0),1,1-INDEX('Lease Cycles'!$DD$20:$DJ$20,1,BD214))*((1-'Lease Cycles'!$AJ$20)*INDEX('Lease Cycles'!$FO$20:$FU$20,1,BD214)+(1-'Lease Cycles'!$BE$20)*(1-INDEX('Lease Cycles'!$FO$20:$FU$20,1,BD214)))),0)</f>
        <v>0</v>
      </c>
      <c r="BE222" s="24">
        <f>IF(BE216=1,'Lease Cycles'!$D$20*IF(INDEX('Lease Cycles'!$EF$20:$EL$20,1,BE214)=1,(1-'Lease Cycles'!$AJ$20)*INDEX('Lease Cycles'!$EM$20:$ES$20,1,BE214)+(1-'Lease Cycles'!$BE$20)*IF(BE215&lt;INDEX('Lease Cycles'!$FA$20:$FG$20,1,BE214),0,1-INDEX('Lease Cycles'!$EM$20:$ES$20,1,BE214)),IF(OR(INDEX('Lease Cycles'!$DY$20:$EE$20,1,BE214)=1,BE215&gt;0),1,1-INDEX('Lease Cycles'!$DD$20:$DJ$20,1,BE214))*((1-'Lease Cycles'!$AJ$20)*INDEX('Lease Cycles'!$FO$20:$FU$20,1,BE214)+(1-'Lease Cycles'!$BE$20)*(1-INDEX('Lease Cycles'!$FO$20:$FU$20,1,BE214)))),0)</f>
        <v>0</v>
      </c>
      <c r="BF222" s="24">
        <f>IF(BF216=1,'Lease Cycles'!$D$20*IF(INDEX('Lease Cycles'!$EF$20:$EL$20,1,BF214)=1,(1-'Lease Cycles'!$AJ$20)*INDEX('Lease Cycles'!$EM$20:$ES$20,1,BF214)+(1-'Lease Cycles'!$BE$20)*IF(BF215&lt;INDEX('Lease Cycles'!$FA$20:$FG$20,1,BF214),0,1-INDEX('Lease Cycles'!$EM$20:$ES$20,1,BF214)),IF(OR(INDEX('Lease Cycles'!$DY$20:$EE$20,1,BF214)=1,BF215&gt;0),1,1-INDEX('Lease Cycles'!$DD$20:$DJ$20,1,BF214))*((1-'Lease Cycles'!$AJ$20)*INDEX('Lease Cycles'!$FO$20:$FU$20,1,BF214)+(1-'Lease Cycles'!$BE$20)*(1-INDEX('Lease Cycles'!$FO$20:$FU$20,1,BF214)))),0)</f>
        <v>0</v>
      </c>
      <c r="BG222" s="24">
        <f>IF(BG216=1,'Lease Cycles'!$D$20*IF(INDEX('Lease Cycles'!$EF$20:$EL$20,1,BG214)=1,(1-'Lease Cycles'!$AJ$20)*INDEX('Lease Cycles'!$EM$20:$ES$20,1,BG214)+(1-'Lease Cycles'!$BE$20)*IF(BG215&lt;INDEX('Lease Cycles'!$FA$20:$FG$20,1,BG214),0,1-INDEX('Lease Cycles'!$EM$20:$ES$20,1,BG214)),IF(OR(INDEX('Lease Cycles'!$DY$20:$EE$20,1,BG214)=1,BG215&gt;0),1,1-INDEX('Lease Cycles'!$DD$20:$DJ$20,1,BG214))*((1-'Lease Cycles'!$AJ$20)*INDEX('Lease Cycles'!$FO$20:$FU$20,1,BG214)+(1-'Lease Cycles'!$BE$20)*(1-INDEX('Lease Cycles'!$FO$20:$FU$20,1,BG214)))),0)</f>
        <v>0</v>
      </c>
      <c r="BH222" s="24">
        <f>IF(BH216=1,'Lease Cycles'!$D$20*IF(INDEX('Lease Cycles'!$EF$20:$EL$20,1,BH214)=1,(1-'Lease Cycles'!$AJ$20)*INDEX('Lease Cycles'!$EM$20:$ES$20,1,BH214)+(1-'Lease Cycles'!$BE$20)*IF(BH215&lt;INDEX('Lease Cycles'!$FA$20:$FG$20,1,BH214),0,1-INDEX('Lease Cycles'!$EM$20:$ES$20,1,BH214)),IF(OR(INDEX('Lease Cycles'!$DY$20:$EE$20,1,BH214)=1,BH215&gt;0),1,1-INDEX('Lease Cycles'!$DD$20:$DJ$20,1,BH214))*((1-'Lease Cycles'!$AJ$20)*INDEX('Lease Cycles'!$FO$20:$FU$20,1,BH214)+(1-'Lease Cycles'!$BE$20)*(1-INDEX('Lease Cycles'!$FO$20:$FU$20,1,BH214)))),0)</f>
        <v>0</v>
      </c>
      <c r="BI222" s="24">
        <f>IF(BI216=1,'Lease Cycles'!$D$20*IF(INDEX('Lease Cycles'!$EF$20:$EL$20,1,BI214)=1,(1-'Lease Cycles'!$AJ$20)*INDEX('Lease Cycles'!$EM$20:$ES$20,1,BI214)+(1-'Lease Cycles'!$BE$20)*IF(BI215&lt;INDEX('Lease Cycles'!$FA$20:$FG$20,1,BI214),0,1-INDEX('Lease Cycles'!$EM$20:$ES$20,1,BI214)),IF(OR(INDEX('Lease Cycles'!$DY$20:$EE$20,1,BI214)=1,BI215&gt;0),1,1-INDEX('Lease Cycles'!$DD$20:$DJ$20,1,BI214))*((1-'Lease Cycles'!$AJ$20)*INDEX('Lease Cycles'!$FO$20:$FU$20,1,BI214)+(1-'Lease Cycles'!$BE$20)*(1-INDEX('Lease Cycles'!$FO$20:$FU$20,1,BI214)))),0)</f>
        <v>0</v>
      </c>
      <c r="BJ222" s="24">
        <f>IF(BJ216=1,'Lease Cycles'!$D$20*IF(INDEX('Lease Cycles'!$EF$20:$EL$20,1,BJ214)=1,(1-'Lease Cycles'!$AJ$20)*INDEX('Lease Cycles'!$EM$20:$ES$20,1,BJ214)+(1-'Lease Cycles'!$BE$20)*IF(BJ215&lt;INDEX('Lease Cycles'!$FA$20:$FG$20,1,BJ214),0,1-INDEX('Lease Cycles'!$EM$20:$ES$20,1,BJ214)),IF(OR(INDEX('Lease Cycles'!$DY$20:$EE$20,1,BJ214)=1,BJ215&gt;0),1,1-INDEX('Lease Cycles'!$DD$20:$DJ$20,1,BJ214))*((1-'Lease Cycles'!$AJ$20)*INDEX('Lease Cycles'!$FO$20:$FU$20,1,BJ214)+(1-'Lease Cycles'!$BE$20)*(1-INDEX('Lease Cycles'!$FO$20:$FU$20,1,BJ214)))),0)</f>
        <v>0</v>
      </c>
      <c r="BK222" s="24">
        <f>IF(BK216=1,'Lease Cycles'!$D$20*IF(INDEX('Lease Cycles'!$EF$20:$EL$20,1,BK214)=1,(1-'Lease Cycles'!$AJ$20)*INDEX('Lease Cycles'!$EM$20:$ES$20,1,BK214)+(1-'Lease Cycles'!$BE$20)*IF(BK215&lt;INDEX('Lease Cycles'!$FA$20:$FG$20,1,BK214),0,1-INDEX('Lease Cycles'!$EM$20:$ES$20,1,BK214)),IF(OR(INDEX('Lease Cycles'!$DY$20:$EE$20,1,BK214)=1,BK215&gt;0),1,1-INDEX('Lease Cycles'!$DD$20:$DJ$20,1,BK214))*((1-'Lease Cycles'!$AJ$20)*INDEX('Lease Cycles'!$FO$20:$FU$20,1,BK214)+(1-'Lease Cycles'!$BE$20)*(1-INDEX('Lease Cycles'!$FO$20:$FU$20,1,BK214)))),0)</f>
        <v>0</v>
      </c>
      <c r="BL222" s="24">
        <f>IF(BL216=1,'Lease Cycles'!$D$20*IF(INDEX('Lease Cycles'!$EF$20:$EL$20,1,BL214)=1,(1-'Lease Cycles'!$AJ$20)*INDEX('Lease Cycles'!$EM$20:$ES$20,1,BL214)+(1-'Lease Cycles'!$BE$20)*IF(BL215&lt;INDEX('Lease Cycles'!$FA$20:$FG$20,1,BL214),0,1-INDEX('Lease Cycles'!$EM$20:$ES$20,1,BL214)),IF(OR(INDEX('Lease Cycles'!$DY$20:$EE$20,1,BL214)=1,BL215&gt;0),1,1-INDEX('Lease Cycles'!$DD$20:$DJ$20,1,BL214))*((1-'Lease Cycles'!$AJ$20)*INDEX('Lease Cycles'!$FO$20:$FU$20,1,BL214)+(1-'Lease Cycles'!$BE$20)*(1-INDEX('Lease Cycles'!$FO$20:$FU$20,1,BL214)))),0)</f>
        <v>0</v>
      </c>
      <c r="BM222" s="24">
        <f>IF(BM216=1,'Lease Cycles'!$D$20*IF(INDEX('Lease Cycles'!$EF$20:$EL$20,1,BM214)=1,(1-'Lease Cycles'!$AJ$20)*INDEX('Lease Cycles'!$EM$20:$ES$20,1,BM214)+(1-'Lease Cycles'!$BE$20)*IF(BM215&lt;INDEX('Lease Cycles'!$FA$20:$FG$20,1,BM214),0,1-INDEX('Lease Cycles'!$EM$20:$ES$20,1,BM214)),IF(OR(INDEX('Lease Cycles'!$DY$20:$EE$20,1,BM214)=1,BM215&gt;0),1,1-INDEX('Lease Cycles'!$DD$20:$DJ$20,1,BM214))*((1-'Lease Cycles'!$AJ$20)*INDEX('Lease Cycles'!$FO$20:$FU$20,1,BM214)+(1-'Lease Cycles'!$BE$20)*(1-INDEX('Lease Cycles'!$FO$20:$FU$20,1,BM214)))),0)</f>
        <v>0</v>
      </c>
      <c r="BN222" s="24">
        <f>IF(BN216=1,'Lease Cycles'!$D$20*IF(INDEX('Lease Cycles'!$EF$20:$EL$20,1,BN214)=1,(1-'Lease Cycles'!$AJ$20)*INDEX('Lease Cycles'!$EM$20:$ES$20,1,BN214)+(1-'Lease Cycles'!$BE$20)*IF(BN215&lt;INDEX('Lease Cycles'!$FA$20:$FG$20,1,BN214),0,1-INDEX('Lease Cycles'!$EM$20:$ES$20,1,BN214)),IF(OR(INDEX('Lease Cycles'!$DY$20:$EE$20,1,BN214)=1,BN215&gt;0),1,1-INDEX('Lease Cycles'!$DD$20:$DJ$20,1,BN214))*((1-'Lease Cycles'!$AJ$20)*INDEX('Lease Cycles'!$FO$20:$FU$20,1,BN214)+(1-'Lease Cycles'!$BE$20)*(1-INDEX('Lease Cycles'!$FO$20:$FU$20,1,BN214)))),0)</f>
        <v>0</v>
      </c>
      <c r="BO222" s="24">
        <f>IF(BO216=1,'Lease Cycles'!$D$20*IF(INDEX('Lease Cycles'!$EF$20:$EL$20,1,BO214)=1,(1-'Lease Cycles'!$AJ$20)*INDEX('Lease Cycles'!$EM$20:$ES$20,1,BO214)+(1-'Lease Cycles'!$BE$20)*IF(BO215&lt;INDEX('Lease Cycles'!$FA$20:$FG$20,1,BO214),0,1-INDEX('Lease Cycles'!$EM$20:$ES$20,1,BO214)),IF(OR(INDEX('Lease Cycles'!$DY$20:$EE$20,1,BO214)=1,BO215&gt;0),1,1-INDEX('Lease Cycles'!$DD$20:$DJ$20,1,BO214))*((1-'Lease Cycles'!$AJ$20)*INDEX('Lease Cycles'!$FO$20:$FU$20,1,BO214)+(1-'Lease Cycles'!$BE$20)*(1-INDEX('Lease Cycles'!$FO$20:$FU$20,1,BO214)))),0)</f>
        <v>0</v>
      </c>
      <c r="BP222" s="24">
        <f>IF(BP216=1,'Lease Cycles'!$D$20*IF(INDEX('Lease Cycles'!$EF$20:$EL$20,1,BP214)=1,(1-'Lease Cycles'!$AJ$20)*INDEX('Lease Cycles'!$EM$20:$ES$20,1,BP214)+(1-'Lease Cycles'!$BE$20)*IF(BP215&lt;INDEX('Lease Cycles'!$FA$20:$FG$20,1,BP214),0,1-INDEX('Lease Cycles'!$EM$20:$ES$20,1,BP214)),IF(OR(INDEX('Lease Cycles'!$DY$20:$EE$20,1,BP214)=1,BP215&gt;0),1,1-INDEX('Lease Cycles'!$DD$20:$DJ$20,1,BP214))*((1-'Lease Cycles'!$AJ$20)*INDEX('Lease Cycles'!$FO$20:$FU$20,1,BP214)+(1-'Lease Cycles'!$BE$20)*(1-INDEX('Lease Cycles'!$FO$20:$FU$20,1,BP214)))),0)</f>
        <v>0</v>
      </c>
      <c r="BQ222" s="24">
        <f>IF(BQ216=1,'Lease Cycles'!$D$20*IF(INDEX('Lease Cycles'!$EF$20:$EL$20,1,BQ214)=1,(1-'Lease Cycles'!$AJ$20)*INDEX('Lease Cycles'!$EM$20:$ES$20,1,BQ214)+(1-'Lease Cycles'!$BE$20)*IF(BQ215&lt;INDEX('Lease Cycles'!$FA$20:$FG$20,1,BQ214),0,1-INDEX('Lease Cycles'!$EM$20:$ES$20,1,BQ214)),IF(OR(INDEX('Lease Cycles'!$DY$20:$EE$20,1,BQ214)=1,BQ215&gt;0),1,1-INDEX('Lease Cycles'!$DD$20:$DJ$20,1,BQ214))*((1-'Lease Cycles'!$AJ$20)*INDEX('Lease Cycles'!$FO$20:$FU$20,1,BQ214)+(1-'Lease Cycles'!$BE$20)*(1-INDEX('Lease Cycles'!$FO$20:$FU$20,1,BQ214)))),0)</f>
        <v>0</v>
      </c>
      <c r="BR222" s="24">
        <f>IF(BR216=1,'Lease Cycles'!$D$20*IF(INDEX('Lease Cycles'!$EF$20:$EL$20,1,BR214)=1,(1-'Lease Cycles'!$AJ$20)*INDEX('Lease Cycles'!$EM$20:$ES$20,1,BR214)+(1-'Lease Cycles'!$BE$20)*IF(BR215&lt;INDEX('Lease Cycles'!$FA$20:$FG$20,1,BR214),0,1-INDEX('Lease Cycles'!$EM$20:$ES$20,1,BR214)),IF(OR(INDEX('Lease Cycles'!$DY$20:$EE$20,1,BR214)=1,BR215&gt;0),1,1-INDEX('Lease Cycles'!$DD$20:$DJ$20,1,BR214))*((1-'Lease Cycles'!$AJ$20)*INDEX('Lease Cycles'!$FO$20:$FU$20,1,BR214)+(1-'Lease Cycles'!$BE$20)*(1-INDEX('Lease Cycles'!$FO$20:$FU$20,1,BR214)))),0)</f>
        <v>0</v>
      </c>
      <c r="BS222" s="24">
        <f>IF(BS216=1,'Lease Cycles'!$D$20*IF(INDEX('Lease Cycles'!$EF$20:$EL$20,1,BS214)=1,(1-'Lease Cycles'!$AJ$20)*INDEX('Lease Cycles'!$EM$20:$ES$20,1,BS214)+(1-'Lease Cycles'!$BE$20)*IF(BS215&lt;INDEX('Lease Cycles'!$FA$20:$FG$20,1,BS214),0,1-INDEX('Lease Cycles'!$EM$20:$ES$20,1,BS214)),IF(OR(INDEX('Lease Cycles'!$DY$20:$EE$20,1,BS214)=1,BS215&gt;0),1,1-INDEX('Lease Cycles'!$DD$20:$DJ$20,1,BS214))*((1-'Lease Cycles'!$AJ$20)*INDEX('Lease Cycles'!$FO$20:$FU$20,1,BS214)+(1-'Lease Cycles'!$BE$20)*(1-INDEX('Lease Cycles'!$FO$20:$FU$20,1,BS214)))),0)</f>
        <v>0</v>
      </c>
      <c r="BT222" s="24">
        <f>IF(BT216=1,'Lease Cycles'!$D$20*IF(INDEX('Lease Cycles'!$EF$20:$EL$20,1,BT214)=1,(1-'Lease Cycles'!$AJ$20)*INDEX('Lease Cycles'!$EM$20:$ES$20,1,BT214)+(1-'Lease Cycles'!$BE$20)*IF(BT215&lt;INDEX('Lease Cycles'!$FA$20:$FG$20,1,BT214),0,1-INDEX('Lease Cycles'!$EM$20:$ES$20,1,BT214)),IF(OR(INDEX('Lease Cycles'!$DY$20:$EE$20,1,BT214)=1,BT215&gt;0),1,1-INDEX('Lease Cycles'!$DD$20:$DJ$20,1,BT214))*((1-'Lease Cycles'!$AJ$20)*INDEX('Lease Cycles'!$FO$20:$FU$20,1,BT214)+(1-'Lease Cycles'!$BE$20)*(1-INDEX('Lease Cycles'!$FO$20:$FU$20,1,BT214)))),0)</f>
        <v>0</v>
      </c>
      <c r="BU222" s="24">
        <f>IF(BU216=1,'Lease Cycles'!$D$20*IF(INDEX('Lease Cycles'!$EF$20:$EL$20,1,BU214)=1,(1-'Lease Cycles'!$AJ$20)*INDEX('Lease Cycles'!$EM$20:$ES$20,1,BU214)+(1-'Lease Cycles'!$BE$20)*IF(BU215&lt;INDEX('Lease Cycles'!$FA$20:$FG$20,1,BU214),0,1-INDEX('Lease Cycles'!$EM$20:$ES$20,1,BU214)),IF(OR(INDEX('Lease Cycles'!$DY$20:$EE$20,1,BU214)=1,BU215&gt;0),1,1-INDEX('Lease Cycles'!$DD$20:$DJ$20,1,BU214))*((1-'Lease Cycles'!$AJ$20)*INDEX('Lease Cycles'!$FO$20:$FU$20,1,BU214)+(1-'Lease Cycles'!$BE$20)*(1-INDEX('Lease Cycles'!$FO$20:$FU$20,1,BU214)))),0)</f>
        <v>0</v>
      </c>
      <c r="BV222" s="24">
        <f>IF(BV216=1,'Lease Cycles'!$D$20*IF(INDEX('Lease Cycles'!$EF$20:$EL$20,1,BV214)=1,(1-'Lease Cycles'!$AJ$20)*INDEX('Lease Cycles'!$EM$20:$ES$20,1,BV214)+(1-'Lease Cycles'!$BE$20)*IF(BV215&lt;INDEX('Lease Cycles'!$FA$20:$FG$20,1,BV214),0,1-INDEX('Lease Cycles'!$EM$20:$ES$20,1,BV214)),IF(OR(INDEX('Lease Cycles'!$DY$20:$EE$20,1,BV214)=1,BV215&gt;0),1,1-INDEX('Lease Cycles'!$DD$20:$DJ$20,1,BV214))*((1-'Lease Cycles'!$AJ$20)*INDEX('Lease Cycles'!$FO$20:$FU$20,1,BV214)+(1-'Lease Cycles'!$BE$20)*(1-INDEX('Lease Cycles'!$FO$20:$FU$20,1,BV214)))),0)</f>
        <v>0</v>
      </c>
      <c r="BW222" s="24">
        <f>IF(BW216=1,'Lease Cycles'!$D$20*IF(INDEX('Lease Cycles'!$EF$20:$EL$20,1,BW214)=1,(1-'Lease Cycles'!$AJ$20)*INDEX('Lease Cycles'!$EM$20:$ES$20,1,BW214)+(1-'Lease Cycles'!$BE$20)*IF(BW215&lt;INDEX('Lease Cycles'!$FA$20:$FG$20,1,BW214),0,1-INDEX('Lease Cycles'!$EM$20:$ES$20,1,BW214)),IF(OR(INDEX('Lease Cycles'!$DY$20:$EE$20,1,BW214)=1,BW215&gt;0),1,1-INDEX('Lease Cycles'!$DD$20:$DJ$20,1,BW214))*((1-'Lease Cycles'!$AJ$20)*INDEX('Lease Cycles'!$FO$20:$FU$20,1,BW214)+(1-'Lease Cycles'!$BE$20)*(1-INDEX('Lease Cycles'!$FO$20:$FU$20,1,BW214)))),0)</f>
        <v>0</v>
      </c>
      <c r="BX222" s="24">
        <f>IF(BX216=1,'Lease Cycles'!$D$20*IF(INDEX('Lease Cycles'!$EF$20:$EL$20,1,BX214)=1,(1-'Lease Cycles'!$AJ$20)*INDEX('Lease Cycles'!$EM$20:$ES$20,1,BX214)+(1-'Lease Cycles'!$BE$20)*IF(BX215&lt;INDEX('Lease Cycles'!$FA$20:$FG$20,1,BX214),0,1-INDEX('Lease Cycles'!$EM$20:$ES$20,1,BX214)),IF(OR(INDEX('Lease Cycles'!$DY$20:$EE$20,1,BX214)=1,BX215&gt;0),1,1-INDEX('Lease Cycles'!$DD$20:$DJ$20,1,BX214))*((1-'Lease Cycles'!$AJ$20)*INDEX('Lease Cycles'!$FO$20:$FU$20,1,BX214)+(1-'Lease Cycles'!$BE$20)*(1-INDEX('Lease Cycles'!$FO$20:$FU$20,1,BX214)))),0)</f>
        <v>0</v>
      </c>
      <c r="BY222" s="24">
        <f>IF(BY216=1,'Lease Cycles'!$D$20*IF(INDEX('Lease Cycles'!$EF$20:$EL$20,1,BY214)=1,(1-'Lease Cycles'!$AJ$20)*INDEX('Lease Cycles'!$EM$20:$ES$20,1,BY214)+(1-'Lease Cycles'!$BE$20)*IF(BY215&lt;INDEX('Lease Cycles'!$FA$20:$FG$20,1,BY214),0,1-INDEX('Lease Cycles'!$EM$20:$ES$20,1,BY214)),IF(OR(INDEX('Lease Cycles'!$DY$20:$EE$20,1,BY214)=1,BY215&gt;0),1,1-INDEX('Lease Cycles'!$DD$20:$DJ$20,1,BY214))*((1-'Lease Cycles'!$AJ$20)*INDEX('Lease Cycles'!$FO$20:$FU$20,1,BY214)+(1-'Lease Cycles'!$BE$20)*(1-INDEX('Lease Cycles'!$FO$20:$FU$20,1,BY214)))),0)</f>
        <v>0</v>
      </c>
      <c r="BZ222" s="24">
        <f>IF(BZ216=1,'Lease Cycles'!$D$20*IF(INDEX('Lease Cycles'!$EF$20:$EL$20,1,BZ214)=1,(1-'Lease Cycles'!$AJ$20)*INDEX('Lease Cycles'!$EM$20:$ES$20,1,BZ214)+(1-'Lease Cycles'!$BE$20)*IF(BZ215&lt;INDEX('Lease Cycles'!$FA$20:$FG$20,1,BZ214),0,1-INDEX('Lease Cycles'!$EM$20:$ES$20,1,BZ214)),IF(OR(INDEX('Lease Cycles'!$DY$20:$EE$20,1,BZ214)=1,BZ215&gt;0),1,1-INDEX('Lease Cycles'!$DD$20:$DJ$20,1,BZ214))*((1-'Lease Cycles'!$AJ$20)*INDEX('Lease Cycles'!$FO$20:$FU$20,1,BZ214)+(1-'Lease Cycles'!$BE$20)*(1-INDEX('Lease Cycles'!$FO$20:$FU$20,1,BZ214)))),0)</f>
        <v>0</v>
      </c>
      <c r="CA222" s="24">
        <f>IF(CA216=1,'Lease Cycles'!$D$20*IF(INDEX('Lease Cycles'!$EF$20:$EL$20,1,CA214)=1,(1-'Lease Cycles'!$AJ$20)*INDEX('Lease Cycles'!$EM$20:$ES$20,1,CA214)+(1-'Lease Cycles'!$BE$20)*IF(CA215&lt;INDEX('Lease Cycles'!$FA$20:$FG$20,1,CA214),0,1-INDEX('Lease Cycles'!$EM$20:$ES$20,1,CA214)),IF(OR(INDEX('Lease Cycles'!$DY$20:$EE$20,1,CA214)=1,CA215&gt;0),1,1-INDEX('Lease Cycles'!$DD$20:$DJ$20,1,CA214))*((1-'Lease Cycles'!$AJ$20)*INDEX('Lease Cycles'!$FO$20:$FU$20,1,CA214)+(1-'Lease Cycles'!$BE$20)*(1-INDEX('Lease Cycles'!$FO$20:$FU$20,1,CA214)))),0)</f>
        <v>0</v>
      </c>
      <c r="CB222" s="24">
        <f>IF(CB216=1,'Lease Cycles'!$D$20*IF(INDEX('Lease Cycles'!$EF$20:$EL$20,1,CB214)=1,(1-'Lease Cycles'!$AJ$20)*INDEX('Lease Cycles'!$EM$20:$ES$20,1,CB214)+(1-'Lease Cycles'!$BE$20)*IF(CB215&lt;INDEX('Lease Cycles'!$FA$20:$FG$20,1,CB214),0,1-INDEX('Lease Cycles'!$EM$20:$ES$20,1,CB214)),IF(OR(INDEX('Lease Cycles'!$DY$20:$EE$20,1,CB214)=1,CB215&gt;0),1,1-INDEX('Lease Cycles'!$DD$20:$DJ$20,1,CB214))*((1-'Lease Cycles'!$AJ$20)*INDEX('Lease Cycles'!$FO$20:$FU$20,1,CB214)+(1-'Lease Cycles'!$BE$20)*(1-INDEX('Lease Cycles'!$FO$20:$FU$20,1,CB214)))),0)</f>
        <v>0</v>
      </c>
      <c r="CC222" s="24">
        <f>IF(CC216=1,'Lease Cycles'!$D$20*IF(INDEX('Lease Cycles'!$EF$20:$EL$20,1,CC214)=1,(1-'Lease Cycles'!$AJ$20)*INDEX('Lease Cycles'!$EM$20:$ES$20,1,CC214)+(1-'Lease Cycles'!$BE$20)*IF(CC215&lt;INDEX('Lease Cycles'!$FA$20:$FG$20,1,CC214),0,1-INDEX('Lease Cycles'!$EM$20:$ES$20,1,CC214)),IF(OR(INDEX('Lease Cycles'!$DY$20:$EE$20,1,CC214)=1,CC215&gt;0),1,1-INDEX('Lease Cycles'!$DD$20:$DJ$20,1,CC214))*((1-'Lease Cycles'!$AJ$20)*INDEX('Lease Cycles'!$FO$20:$FU$20,1,CC214)+(1-'Lease Cycles'!$BE$20)*(1-INDEX('Lease Cycles'!$FO$20:$FU$20,1,CC214)))),0)</f>
        <v>0</v>
      </c>
      <c r="CD222" s="24">
        <f>IF(CD216=1,'Lease Cycles'!$D$20*IF(INDEX('Lease Cycles'!$EF$20:$EL$20,1,CD214)=1,(1-'Lease Cycles'!$AJ$20)*INDEX('Lease Cycles'!$EM$20:$ES$20,1,CD214)+(1-'Lease Cycles'!$BE$20)*IF(CD215&lt;INDEX('Lease Cycles'!$FA$20:$FG$20,1,CD214),0,1-INDEX('Lease Cycles'!$EM$20:$ES$20,1,CD214)),IF(OR(INDEX('Lease Cycles'!$DY$20:$EE$20,1,CD214)=1,CD215&gt;0),1,1-INDEX('Lease Cycles'!$DD$20:$DJ$20,1,CD214))*((1-'Lease Cycles'!$AJ$20)*INDEX('Lease Cycles'!$FO$20:$FU$20,1,CD214)+(1-'Lease Cycles'!$BE$20)*(1-INDEX('Lease Cycles'!$FO$20:$FU$20,1,CD214)))),0)</f>
        <v>0</v>
      </c>
      <c r="CE222" s="24">
        <f>IF(CE216=1,'Lease Cycles'!$D$20*IF(INDEX('Lease Cycles'!$EF$20:$EL$20,1,CE214)=1,(1-'Lease Cycles'!$AJ$20)*INDEX('Lease Cycles'!$EM$20:$ES$20,1,CE214)+(1-'Lease Cycles'!$BE$20)*IF(CE215&lt;INDEX('Lease Cycles'!$FA$20:$FG$20,1,CE214),0,1-INDEX('Lease Cycles'!$EM$20:$ES$20,1,CE214)),IF(OR(INDEX('Lease Cycles'!$DY$20:$EE$20,1,CE214)=1,CE215&gt;0),1,1-INDEX('Lease Cycles'!$DD$20:$DJ$20,1,CE214))*((1-'Lease Cycles'!$AJ$20)*INDEX('Lease Cycles'!$FO$20:$FU$20,1,CE214)+(1-'Lease Cycles'!$BE$20)*(1-INDEX('Lease Cycles'!$FO$20:$FU$20,1,CE214)))),0)</f>
        <v>0</v>
      </c>
      <c r="CF222" s="24">
        <f>IF(CF216=1,'Lease Cycles'!$D$20*IF(INDEX('Lease Cycles'!$EF$20:$EL$20,1,CF214)=1,(1-'Lease Cycles'!$AJ$20)*INDEX('Lease Cycles'!$EM$20:$ES$20,1,CF214)+(1-'Lease Cycles'!$BE$20)*IF(CF215&lt;INDEX('Lease Cycles'!$FA$20:$FG$20,1,CF214),0,1-INDEX('Lease Cycles'!$EM$20:$ES$20,1,CF214)),IF(OR(INDEX('Lease Cycles'!$DY$20:$EE$20,1,CF214)=1,CF215&gt;0),1,1-INDEX('Lease Cycles'!$DD$20:$DJ$20,1,CF214))*((1-'Lease Cycles'!$AJ$20)*INDEX('Lease Cycles'!$FO$20:$FU$20,1,CF214)+(1-'Lease Cycles'!$BE$20)*(1-INDEX('Lease Cycles'!$FO$20:$FU$20,1,CF214)))),0)</f>
        <v>0</v>
      </c>
      <c r="CG222" s="24">
        <f>IF(CG216=1,'Lease Cycles'!$D$20*IF(INDEX('Lease Cycles'!$EF$20:$EL$20,1,CG214)=1,(1-'Lease Cycles'!$AJ$20)*INDEX('Lease Cycles'!$EM$20:$ES$20,1,CG214)+(1-'Lease Cycles'!$BE$20)*IF(CG215&lt;INDEX('Lease Cycles'!$FA$20:$FG$20,1,CG214),0,1-INDEX('Lease Cycles'!$EM$20:$ES$20,1,CG214)),IF(OR(INDEX('Lease Cycles'!$DY$20:$EE$20,1,CG214)=1,CG215&gt;0),1,1-INDEX('Lease Cycles'!$DD$20:$DJ$20,1,CG214))*((1-'Lease Cycles'!$AJ$20)*INDEX('Lease Cycles'!$FO$20:$FU$20,1,CG214)+(1-'Lease Cycles'!$BE$20)*(1-INDEX('Lease Cycles'!$FO$20:$FU$20,1,CG214)))),0)</f>
        <v>0</v>
      </c>
      <c r="CH222" s="24">
        <f>IF(CH216=1,'Lease Cycles'!$D$20*IF(INDEX('Lease Cycles'!$EF$20:$EL$20,1,CH214)=1,(1-'Lease Cycles'!$AJ$20)*INDEX('Lease Cycles'!$EM$20:$ES$20,1,CH214)+(1-'Lease Cycles'!$BE$20)*IF(CH215&lt;INDEX('Lease Cycles'!$FA$20:$FG$20,1,CH214),0,1-INDEX('Lease Cycles'!$EM$20:$ES$20,1,CH214)),IF(OR(INDEX('Lease Cycles'!$DY$20:$EE$20,1,CH214)=1,CH215&gt;0),1,1-INDEX('Lease Cycles'!$DD$20:$DJ$20,1,CH214))*((1-'Lease Cycles'!$AJ$20)*INDEX('Lease Cycles'!$FO$20:$FU$20,1,CH214)+(1-'Lease Cycles'!$BE$20)*(1-INDEX('Lease Cycles'!$FO$20:$FU$20,1,CH214)))),0)</f>
        <v>0</v>
      </c>
      <c r="CI222" s="24">
        <f>IF(CI216=1,'Lease Cycles'!$D$20*IF(INDEX('Lease Cycles'!$EF$20:$EL$20,1,CI214)=1,(1-'Lease Cycles'!$AJ$20)*INDEX('Lease Cycles'!$EM$20:$ES$20,1,CI214)+(1-'Lease Cycles'!$BE$20)*IF(CI215&lt;INDEX('Lease Cycles'!$FA$20:$FG$20,1,CI214),0,1-INDEX('Lease Cycles'!$EM$20:$ES$20,1,CI214)),IF(OR(INDEX('Lease Cycles'!$DY$20:$EE$20,1,CI214)=1,CI215&gt;0),1,1-INDEX('Lease Cycles'!$DD$20:$DJ$20,1,CI214))*((1-'Lease Cycles'!$AJ$20)*INDEX('Lease Cycles'!$FO$20:$FU$20,1,CI214)+(1-'Lease Cycles'!$BE$20)*(1-INDEX('Lease Cycles'!$FO$20:$FU$20,1,CI214)))),0)</f>
        <v>0</v>
      </c>
      <c r="CJ222" s="24">
        <f>IF(CJ216=1,'Lease Cycles'!$D$20*IF(INDEX('Lease Cycles'!$EF$20:$EL$20,1,CJ214)=1,(1-'Lease Cycles'!$AJ$20)*INDEX('Lease Cycles'!$EM$20:$ES$20,1,CJ214)+(1-'Lease Cycles'!$BE$20)*IF(CJ215&lt;INDEX('Lease Cycles'!$FA$20:$FG$20,1,CJ214),0,1-INDEX('Lease Cycles'!$EM$20:$ES$20,1,CJ214)),IF(OR(INDEX('Lease Cycles'!$DY$20:$EE$20,1,CJ214)=1,CJ215&gt;0),1,1-INDEX('Lease Cycles'!$DD$20:$DJ$20,1,CJ214))*((1-'Lease Cycles'!$AJ$20)*INDEX('Lease Cycles'!$FO$20:$FU$20,1,CJ214)+(1-'Lease Cycles'!$BE$20)*(1-INDEX('Lease Cycles'!$FO$20:$FU$20,1,CJ214)))),0)</f>
        <v>0</v>
      </c>
      <c r="CK222" s="24">
        <f>IF(CK216=1,'Lease Cycles'!$D$20*IF(INDEX('Lease Cycles'!$EF$20:$EL$20,1,CK214)=1,(1-'Lease Cycles'!$AJ$20)*INDEX('Lease Cycles'!$EM$20:$ES$20,1,CK214)+(1-'Lease Cycles'!$BE$20)*IF(CK215&lt;INDEX('Lease Cycles'!$FA$20:$FG$20,1,CK214),0,1-INDEX('Lease Cycles'!$EM$20:$ES$20,1,CK214)),IF(OR(INDEX('Lease Cycles'!$DY$20:$EE$20,1,CK214)=1,CK215&gt;0),1,1-INDEX('Lease Cycles'!$DD$20:$DJ$20,1,CK214))*((1-'Lease Cycles'!$AJ$20)*INDEX('Lease Cycles'!$FO$20:$FU$20,1,CK214)+(1-'Lease Cycles'!$BE$20)*(1-INDEX('Lease Cycles'!$FO$20:$FU$20,1,CK214)))),0)</f>
        <v>0</v>
      </c>
      <c r="CL222" s="24">
        <f>IF(CL216=1,'Lease Cycles'!$D$20*IF(INDEX('Lease Cycles'!$EF$20:$EL$20,1,CL214)=1,(1-'Lease Cycles'!$AJ$20)*INDEX('Lease Cycles'!$EM$20:$ES$20,1,CL214)+(1-'Lease Cycles'!$BE$20)*IF(CL215&lt;INDEX('Lease Cycles'!$FA$20:$FG$20,1,CL214),0,1-INDEX('Lease Cycles'!$EM$20:$ES$20,1,CL214)),IF(OR(INDEX('Lease Cycles'!$DY$20:$EE$20,1,CL214)=1,CL215&gt;0),1,1-INDEX('Lease Cycles'!$DD$20:$DJ$20,1,CL214))*((1-'Lease Cycles'!$AJ$20)*INDEX('Lease Cycles'!$FO$20:$FU$20,1,CL214)+(1-'Lease Cycles'!$BE$20)*(1-INDEX('Lease Cycles'!$FO$20:$FU$20,1,CL214)))),0)</f>
        <v>0</v>
      </c>
      <c r="CM222" s="24">
        <f>IF(CM216=1,'Lease Cycles'!$D$20*IF(INDEX('Lease Cycles'!$EF$20:$EL$20,1,CM214)=1,(1-'Lease Cycles'!$AJ$20)*INDEX('Lease Cycles'!$EM$20:$ES$20,1,CM214)+(1-'Lease Cycles'!$BE$20)*IF(CM215&lt;INDEX('Lease Cycles'!$FA$20:$FG$20,1,CM214),0,1-INDEX('Lease Cycles'!$EM$20:$ES$20,1,CM214)),IF(OR(INDEX('Lease Cycles'!$DY$20:$EE$20,1,CM214)=1,CM215&gt;0),1,1-INDEX('Lease Cycles'!$DD$20:$DJ$20,1,CM214))*((1-'Lease Cycles'!$AJ$20)*INDEX('Lease Cycles'!$FO$20:$FU$20,1,CM214)+(1-'Lease Cycles'!$BE$20)*(1-INDEX('Lease Cycles'!$FO$20:$FU$20,1,CM214)))),0)</f>
        <v>0</v>
      </c>
      <c r="CN222" s="24">
        <f>IF(CN216=1,'Lease Cycles'!$D$20*IF(INDEX('Lease Cycles'!$EF$20:$EL$20,1,CN214)=1,(1-'Lease Cycles'!$AJ$20)*INDEX('Lease Cycles'!$EM$20:$ES$20,1,CN214)+(1-'Lease Cycles'!$BE$20)*IF(CN215&lt;INDEX('Lease Cycles'!$FA$20:$FG$20,1,CN214),0,1-INDEX('Lease Cycles'!$EM$20:$ES$20,1,CN214)),IF(OR(INDEX('Lease Cycles'!$DY$20:$EE$20,1,CN214)=1,CN215&gt;0),1,1-INDEX('Lease Cycles'!$DD$20:$DJ$20,1,CN214))*((1-'Lease Cycles'!$AJ$20)*INDEX('Lease Cycles'!$FO$20:$FU$20,1,CN214)+(1-'Lease Cycles'!$BE$20)*(1-INDEX('Lease Cycles'!$FO$20:$FU$20,1,CN214)))),0)</f>
        <v>0</v>
      </c>
      <c r="CO222" s="24">
        <f>IF(CO216=1,'Lease Cycles'!$D$20*IF(INDEX('Lease Cycles'!$EF$20:$EL$20,1,CO214)=1,(1-'Lease Cycles'!$AJ$20)*INDEX('Lease Cycles'!$EM$20:$ES$20,1,CO214)+(1-'Lease Cycles'!$BE$20)*IF(CO215&lt;INDEX('Lease Cycles'!$FA$20:$FG$20,1,CO214),0,1-INDEX('Lease Cycles'!$EM$20:$ES$20,1,CO214)),IF(OR(INDEX('Lease Cycles'!$DY$20:$EE$20,1,CO214)=1,CO215&gt;0),1,1-INDEX('Lease Cycles'!$DD$20:$DJ$20,1,CO214))*((1-'Lease Cycles'!$AJ$20)*INDEX('Lease Cycles'!$FO$20:$FU$20,1,CO214)+(1-'Lease Cycles'!$BE$20)*(1-INDEX('Lease Cycles'!$FO$20:$FU$20,1,CO214)))),0)</f>
        <v>0</v>
      </c>
      <c r="CP222" s="24">
        <f>IF(CP216=1,'Lease Cycles'!$D$20*IF(INDEX('Lease Cycles'!$EF$20:$EL$20,1,CP214)=1,(1-'Lease Cycles'!$AJ$20)*INDEX('Lease Cycles'!$EM$20:$ES$20,1,CP214)+(1-'Lease Cycles'!$BE$20)*IF(CP215&lt;INDEX('Lease Cycles'!$FA$20:$FG$20,1,CP214),0,1-INDEX('Lease Cycles'!$EM$20:$ES$20,1,CP214)),IF(OR(INDEX('Lease Cycles'!$DY$20:$EE$20,1,CP214)=1,CP215&gt;0),1,1-INDEX('Lease Cycles'!$DD$20:$DJ$20,1,CP214))*((1-'Lease Cycles'!$AJ$20)*INDEX('Lease Cycles'!$FO$20:$FU$20,1,CP214)+(1-'Lease Cycles'!$BE$20)*(1-INDEX('Lease Cycles'!$FO$20:$FU$20,1,CP214)))),0)</f>
        <v>0</v>
      </c>
      <c r="CQ222" s="24">
        <f>IF(CQ216=1,'Lease Cycles'!$D$20*IF(INDEX('Lease Cycles'!$EF$20:$EL$20,1,CQ214)=1,(1-'Lease Cycles'!$AJ$20)*INDEX('Lease Cycles'!$EM$20:$ES$20,1,CQ214)+(1-'Lease Cycles'!$BE$20)*IF(CQ215&lt;INDEX('Lease Cycles'!$FA$20:$FG$20,1,CQ214),0,1-INDEX('Lease Cycles'!$EM$20:$ES$20,1,CQ214)),IF(OR(INDEX('Lease Cycles'!$DY$20:$EE$20,1,CQ214)=1,CQ215&gt;0),1,1-INDEX('Lease Cycles'!$DD$20:$DJ$20,1,CQ214))*((1-'Lease Cycles'!$AJ$20)*INDEX('Lease Cycles'!$FO$20:$FU$20,1,CQ214)+(1-'Lease Cycles'!$BE$20)*(1-INDEX('Lease Cycles'!$FO$20:$FU$20,1,CQ214)))),0)</f>
        <v>0</v>
      </c>
      <c r="CR222" s="24">
        <f>IF(CR216=1,'Lease Cycles'!$D$20*IF(INDEX('Lease Cycles'!$EF$20:$EL$20,1,CR214)=1,(1-'Lease Cycles'!$AJ$20)*INDEX('Lease Cycles'!$EM$20:$ES$20,1,CR214)+(1-'Lease Cycles'!$BE$20)*IF(CR215&lt;INDEX('Lease Cycles'!$FA$20:$FG$20,1,CR214),0,1-INDEX('Lease Cycles'!$EM$20:$ES$20,1,CR214)),IF(OR(INDEX('Lease Cycles'!$DY$20:$EE$20,1,CR214)=1,CR215&gt;0),1,1-INDEX('Lease Cycles'!$DD$20:$DJ$20,1,CR214))*((1-'Lease Cycles'!$AJ$20)*INDEX('Lease Cycles'!$FO$20:$FU$20,1,CR214)+(1-'Lease Cycles'!$BE$20)*(1-INDEX('Lease Cycles'!$FO$20:$FU$20,1,CR214)))),0)</f>
        <v>0</v>
      </c>
      <c r="CS222" s="24">
        <f>IF(CS216=1,'Lease Cycles'!$D$20*IF(INDEX('Lease Cycles'!$EF$20:$EL$20,1,CS214)=1,(1-'Lease Cycles'!$AJ$20)*INDEX('Lease Cycles'!$EM$20:$ES$20,1,CS214)+(1-'Lease Cycles'!$BE$20)*IF(CS215&lt;INDEX('Lease Cycles'!$FA$20:$FG$20,1,CS214),0,1-INDEX('Lease Cycles'!$EM$20:$ES$20,1,CS214)),IF(OR(INDEX('Lease Cycles'!$DY$20:$EE$20,1,CS214)=1,CS215&gt;0),1,1-INDEX('Lease Cycles'!$DD$20:$DJ$20,1,CS214))*((1-'Lease Cycles'!$AJ$20)*INDEX('Lease Cycles'!$FO$20:$FU$20,1,CS214)+(1-'Lease Cycles'!$BE$20)*(1-INDEX('Lease Cycles'!$FO$20:$FU$20,1,CS214)))),0)</f>
        <v>0</v>
      </c>
      <c r="CT222" s="24">
        <f>IF(CT216=1,'Lease Cycles'!$D$20*IF(INDEX('Lease Cycles'!$EF$20:$EL$20,1,CT214)=1,(1-'Lease Cycles'!$AJ$20)*INDEX('Lease Cycles'!$EM$20:$ES$20,1,CT214)+(1-'Lease Cycles'!$BE$20)*IF(CT215&lt;INDEX('Lease Cycles'!$FA$20:$FG$20,1,CT214),0,1-INDEX('Lease Cycles'!$EM$20:$ES$20,1,CT214)),IF(OR(INDEX('Lease Cycles'!$DY$20:$EE$20,1,CT214)=1,CT215&gt;0),1,1-INDEX('Lease Cycles'!$DD$20:$DJ$20,1,CT214))*((1-'Lease Cycles'!$AJ$20)*INDEX('Lease Cycles'!$FO$20:$FU$20,1,CT214)+(1-'Lease Cycles'!$BE$20)*(1-INDEX('Lease Cycles'!$FO$20:$FU$20,1,CT214)))),0)</f>
        <v>0</v>
      </c>
      <c r="CU222" s="24">
        <f>IF(CU216=1,'Lease Cycles'!$D$20*IF(INDEX('Lease Cycles'!$EF$20:$EL$20,1,CU214)=1,(1-'Lease Cycles'!$AJ$20)*INDEX('Lease Cycles'!$EM$20:$ES$20,1,CU214)+(1-'Lease Cycles'!$BE$20)*IF(CU215&lt;INDEX('Lease Cycles'!$FA$20:$FG$20,1,CU214),0,1-INDEX('Lease Cycles'!$EM$20:$ES$20,1,CU214)),IF(OR(INDEX('Lease Cycles'!$DY$20:$EE$20,1,CU214)=1,CU215&gt;0),1,1-INDEX('Lease Cycles'!$DD$20:$DJ$20,1,CU214))*((1-'Lease Cycles'!$AJ$20)*INDEX('Lease Cycles'!$FO$20:$FU$20,1,CU214)+(1-'Lease Cycles'!$BE$20)*(1-INDEX('Lease Cycles'!$FO$20:$FU$20,1,CU214)))),0)</f>
        <v>0</v>
      </c>
      <c r="CV222" s="24">
        <f>IF(CV216=1,'Lease Cycles'!$D$20*IF(INDEX('Lease Cycles'!$EF$20:$EL$20,1,CV214)=1,(1-'Lease Cycles'!$AJ$20)*INDEX('Lease Cycles'!$EM$20:$ES$20,1,CV214)+(1-'Lease Cycles'!$BE$20)*IF(CV215&lt;INDEX('Lease Cycles'!$FA$20:$FG$20,1,CV214),0,1-INDEX('Lease Cycles'!$EM$20:$ES$20,1,CV214)),IF(OR(INDEX('Lease Cycles'!$DY$20:$EE$20,1,CV214)=1,CV215&gt;0),1,1-INDEX('Lease Cycles'!$DD$20:$DJ$20,1,CV214))*((1-'Lease Cycles'!$AJ$20)*INDEX('Lease Cycles'!$FO$20:$FU$20,1,CV214)+(1-'Lease Cycles'!$BE$20)*(1-INDEX('Lease Cycles'!$FO$20:$FU$20,1,CV214)))),0)</f>
        <v>0</v>
      </c>
      <c r="CW222" s="24">
        <f>IF(CW216=1,'Lease Cycles'!$D$20*IF(INDEX('Lease Cycles'!$EF$20:$EL$20,1,CW214)=1,(1-'Lease Cycles'!$AJ$20)*INDEX('Lease Cycles'!$EM$20:$ES$20,1,CW214)+(1-'Lease Cycles'!$BE$20)*IF(CW215&lt;INDEX('Lease Cycles'!$FA$20:$FG$20,1,CW214),0,1-INDEX('Lease Cycles'!$EM$20:$ES$20,1,CW214)),IF(OR(INDEX('Lease Cycles'!$DY$20:$EE$20,1,CW214)=1,CW215&gt;0),1,1-INDEX('Lease Cycles'!$DD$20:$DJ$20,1,CW214))*((1-'Lease Cycles'!$AJ$20)*INDEX('Lease Cycles'!$FO$20:$FU$20,1,CW214)+(1-'Lease Cycles'!$BE$20)*(1-INDEX('Lease Cycles'!$FO$20:$FU$20,1,CW214)))),0)</f>
        <v>0</v>
      </c>
      <c r="CX222" s="24">
        <f>IF(CX216=1,'Lease Cycles'!$D$20*IF(INDEX('Lease Cycles'!$EF$20:$EL$20,1,CX214)=1,(1-'Lease Cycles'!$AJ$20)*INDEX('Lease Cycles'!$EM$20:$ES$20,1,CX214)+(1-'Lease Cycles'!$BE$20)*IF(CX215&lt;INDEX('Lease Cycles'!$FA$20:$FG$20,1,CX214),0,1-INDEX('Lease Cycles'!$EM$20:$ES$20,1,CX214)),IF(OR(INDEX('Lease Cycles'!$DY$20:$EE$20,1,CX214)=1,CX215&gt;0),1,1-INDEX('Lease Cycles'!$DD$20:$DJ$20,1,CX214))*((1-'Lease Cycles'!$AJ$20)*INDEX('Lease Cycles'!$FO$20:$FU$20,1,CX214)+(1-'Lease Cycles'!$BE$20)*(1-INDEX('Lease Cycles'!$FO$20:$FU$20,1,CX214)))),0)</f>
        <v>0</v>
      </c>
      <c r="CY222" s="24">
        <f>IF(CY216=1,'Lease Cycles'!$D$20*IF(INDEX('Lease Cycles'!$EF$20:$EL$20,1,CY214)=1,(1-'Lease Cycles'!$AJ$20)*INDEX('Lease Cycles'!$EM$20:$ES$20,1,CY214)+(1-'Lease Cycles'!$BE$20)*IF(CY215&lt;INDEX('Lease Cycles'!$FA$20:$FG$20,1,CY214),0,1-INDEX('Lease Cycles'!$EM$20:$ES$20,1,CY214)),IF(OR(INDEX('Lease Cycles'!$DY$20:$EE$20,1,CY214)=1,CY215&gt;0),1,1-INDEX('Lease Cycles'!$DD$20:$DJ$20,1,CY214))*((1-'Lease Cycles'!$AJ$20)*INDEX('Lease Cycles'!$FO$20:$FU$20,1,CY214)+(1-'Lease Cycles'!$BE$20)*(1-INDEX('Lease Cycles'!$FO$20:$FU$20,1,CY214)))),0)</f>
        <v>0</v>
      </c>
      <c r="CZ222" s="24">
        <f>IF(CZ216=1,'Lease Cycles'!$D$20*IF(INDEX('Lease Cycles'!$EF$20:$EL$20,1,CZ214)=1,(1-'Lease Cycles'!$AJ$20)*INDEX('Lease Cycles'!$EM$20:$ES$20,1,CZ214)+(1-'Lease Cycles'!$BE$20)*IF(CZ215&lt;INDEX('Lease Cycles'!$FA$20:$FG$20,1,CZ214),0,1-INDEX('Lease Cycles'!$EM$20:$ES$20,1,CZ214)),IF(OR(INDEX('Lease Cycles'!$DY$20:$EE$20,1,CZ214)=1,CZ215&gt;0),1,1-INDEX('Lease Cycles'!$DD$20:$DJ$20,1,CZ214))*((1-'Lease Cycles'!$AJ$20)*INDEX('Lease Cycles'!$FO$20:$FU$20,1,CZ214)+(1-'Lease Cycles'!$BE$20)*(1-INDEX('Lease Cycles'!$FO$20:$FU$20,1,CZ214)))),0)</f>
        <v>0</v>
      </c>
      <c r="DA222" s="24">
        <f>IF(DA216=1,'Lease Cycles'!$D$20*IF(INDEX('Lease Cycles'!$EF$20:$EL$20,1,DA214)=1,(1-'Lease Cycles'!$AJ$20)*INDEX('Lease Cycles'!$EM$20:$ES$20,1,DA214)+(1-'Lease Cycles'!$BE$20)*IF(DA215&lt;INDEX('Lease Cycles'!$FA$20:$FG$20,1,DA214),0,1-INDEX('Lease Cycles'!$EM$20:$ES$20,1,DA214)),IF(OR(INDEX('Lease Cycles'!$DY$20:$EE$20,1,DA214)=1,DA215&gt;0),1,1-INDEX('Lease Cycles'!$DD$20:$DJ$20,1,DA214))*((1-'Lease Cycles'!$AJ$20)*INDEX('Lease Cycles'!$FO$20:$FU$20,1,DA214)+(1-'Lease Cycles'!$BE$20)*(1-INDEX('Lease Cycles'!$FO$20:$FU$20,1,DA214)))),0)</f>
        <v>0</v>
      </c>
      <c r="DB222" s="24">
        <f>IF(DB216=1,'Lease Cycles'!$D$20*IF(INDEX('Lease Cycles'!$EF$20:$EL$20,1,DB214)=1,(1-'Lease Cycles'!$AJ$20)*INDEX('Lease Cycles'!$EM$20:$ES$20,1,DB214)+(1-'Lease Cycles'!$BE$20)*IF(DB215&lt;INDEX('Lease Cycles'!$FA$20:$FG$20,1,DB214),0,1-INDEX('Lease Cycles'!$EM$20:$ES$20,1,DB214)),IF(OR(INDEX('Lease Cycles'!$DY$20:$EE$20,1,DB214)=1,DB215&gt;0),1,1-INDEX('Lease Cycles'!$DD$20:$DJ$20,1,DB214))*((1-'Lease Cycles'!$AJ$20)*INDEX('Lease Cycles'!$FO$20:$FU$20,1,DB214)+(1-'Lease Cycles'!$BE$20)*(1-INDEX('Lease Cycles'!$FO$20:$FU$20,1,DB214)))),0)</f>
        <v>0</v>
      </c>
      <c r="DC222" s="24">
        <f>IF(DC216=1,'Lease Cycles'!$D$20*IF(INDEX('Lease Cycles'!$EF$20:$EL$20,1,DC214)=1,(1-'Lease Cycles'!$AJ$20)*INDEX('Lease Cycles'!$EM$20:$ES$20,1,DC214)+(1-'Lease Cycles'!$BE$20)*IF(DC215&lt;INDEX('Lease Cycles'!$FA$20:$FG$20,1,DC214),0,1-INDEX('Lease Cycles'!$EM$20:$ES$20,1,DC214)),IF(OR(INDEX('Lease Cycles'!$DY$20:$EE$20,1,DC214)=1,DC215&gt;0),1,1-INDEX('Lease Cycles'!$DD$20:$DJ$20,1,DC214))*((1-'Lease Cycles'!$AJ$20)*INDEX('Lease Cycles'!$FO$20:$FU$20,1,DC214)+(1-'Lease Cycles'!$BE$20)*(1-INDEX('Lease Cycles'!$FO$20:$FU$20,1,DC214)))),0)</f>
        <v>0</v>
      </c>
      <c r="DD222" s="24">
        <f>IF(DD216=1,'Lease Cycles'!$D$20*IF(INDEX('Lease Cycles'!$EF$20:$EL$20,1,DD214)=1,(1-'Lease Cycles'!$AJ$20)*INDEX('Lease Cycles'!$EM$20:$ES$20,1,DD214)+(1-'Lease Cycles'!$BE$20)*IF(DD215&lt;INDEX('Lease Cycles'!$FA$20:$FG$20,1,DD214),0,1-INDEX('Lease Cycles'!$EM$20:$ES$20,1,DD214)),IF(OR(INDEX('Lease Cycles'!$DY$20:$EE$20,1,DD214)=1,DD215&gt;0),1,1-INDEX('Lease Cycles'!$DD$20:$DJ$20,1,DD214))*((1-'Lease Cycles'!$AJ$20)*INDEX('Lease Cycles'!$FO$20:$FU$20,1,DD214)+(1-'Lease Cycles'!$BE$20)*(1-INDEX('Lease Cycles'!$FO$20:$FU$20,1,DD214)))),0)</f>
        <v>0</v>
      </c>
      <c r="DE222" s="24">
        <f>IF(DE216=1,'Lease Cycles'!$D$20*IF(INDEX('Lease Cycles'!$EF$20:$EL$20,1,DE214)=1,(1-'Lease Cycles'!$AJ$20)*INDEX('Lease Cycles'!$EM$20:$ES$20,1,DE214)+(1-'Lease Cycles'!$BE$20)*IF(DE215&lt;INDEX('Lease Cycles'!$FA$20:$FG$20,1,DE214),0,1-INDEX('Lease Cycles'!$EM$20:$ES$20,1,DE214)),IF(OR(INDEX('Lease Cycles'!$DY$20:$EE$20,1,DE214)=1,DE215&gt;0),1,1-INDEX('Lease Cycles'!$DD$20:$DJ$20,1,DE214))*((1-'Lease Cycles'!$AJ$20)*INDEX('Lease Cycles'!$FO$20:$FU$20,1,DE214)+(1-'Lease Cycles'!$BE$20)*(1-INDEX('Lease Cycles'!$FO$20:$FU$20,1,DE214)))),0)</f>
        <v>0</v>
      </c>
      <c r="DF222" s="24">
        <f>IF(DF216=1,'Lease Cycles'!$D$20*IF(INDEX('Lease Cycles'!$EF$20:$EL$20,1,DF214)=1,(1-'Lease Cycles'!$AJ$20)*INDEX('Lease Cycles'!$EM$20:$ES$20,1,DF214)+(1-'Lease Cycles'!$BE$20)*IF(DF215&lt;INDEX('Lease Cycles'!$FA$20:$FG$20,1,DF214),0,1-INDEX('Lease Cycles'!$EM$20:$ES$20,1,DF214)),IF(OR(INDEX('Lease Cycles'!$DY$20:$EE$20,1,DF214)=1,DF215&gt;0),1,1-INDEX('Lease Cycles'!$DD$20:$DJ$20,1,DF214))*((1-'Lease Cycles'!$AJ$20)*INDEX('Lease Cycles'!$FO$20:$FU$20,1,DF214)+(1-'Lease Cycles'!$BE$20)*(1-INDEX('Lease Cycles'!$FO$20:$FU$20,1,DF214)))),0)</f>
        <v>0</v>
      </c>
      <c r="DG222" s="24">
        <f>IF(DG216=1,'Lease Cycles'!$D$20*IF(INDEX('Lease Cycles'!$EF$20:$EL$20,1,DG214)=1,(1-'Lease Cycles'!$AJ$20)*INDEX('Lease Cycles'!$EM$20:$ES$20,1,DG214)+(1-'Lease Cycles'!$BE$20)*IF(DG215&lt;INDEX('Lease Cycles'!$FA$20:$FG$20,1,DG214),0,1-INDEX('Lease Cycles'!$EM$20:$ES$20,1,DG214)),IF(OR(INDEX('Lease Cycles'!$DY$20:$EE$20,1,DG214)=1,DG215&gt;0),1,1-INDEX('Lease Cycles'!$DD$20:$DJ$20,1,DG214))*((1-'Lease Cycles'!$AJ$20)*INDEX('Lease Cycles'!$FO$20:$FU$20,1,DG214)+(1-'Lease Cycles'!$BE$20)*(1-INDEX('Lease Cycles'!$FO$20:$FU$20,1,DG214)))),0)</f>
        <v>0</v>
      </c>
      <c r="DH222" s="24">
        <f>IF(DH216=1,'Lease Cycles'!$D$20*IF(INDEX('Lease Cycles'!$EF$20:$EL$20,1,DH214)=1,(1-'Lease Cycles'!$AJ$20)*INDEX('Lease Cycles'!$EM$20:$ES$20,1,DH214)+(1-'Lease Cycles'!$BE$20)*IF(DH215&lt;INDEX('Lease Cycles'!$FA$20:$FG$20,1,DH214),0,1-INDEX('Lease Cycles'!$EM$20:$ES$20,1,DH214)),IF(OR(INDEX('Lease Cycles'!$DY$20:$EE$20,1,DH214)=1,DH215&gt;0),1,1-INDEX('Lease Cycles'!$DD$20:$DJ$20,1,DH214))*((1-'Lease Cycles'!$AJ$20)*INDEX('Lease Cycles'!$FO$20:$FU$20,1,DH214)+(1-'Lease Cycles'!$BE$20)*(1-INDEX('Lease Cycles'!$FO$20:$FU$20,1,DH214)))),0)</f>
        <v>0</v>
      </c>
      <c r="DI222" s="24">
        <f>IF(DI216=1,'Lease Cycles'!$D$20*IF(INDEX('Lease Cycles'!$EF$20:$EL$20,1,DI214)=1,(1-'Lease Cycles'!$AJ$20)*INDEX('Lease Cycles'!$EM$20:$ES$20,1,DI214)+(1-'Lease Cycles'!$BE$20)*IF(DI215&lt;INDEX('Lease Cycles'!$FA$20:$FG$20,1,DI214),0,1-INDEX('Lease Cycles'!$EM$20:$ES$20,1,DI214)),IF(OR(INDEX('Lease Cycles'!$DY$20:$EE$20,1,DI214)=1,DI215&gt;0),1,1-INDEX('Lease Cycles'!$DD$20:$DJ$20,1,DI214))*((1-'Lease Cycles'!$AJ$20)*INDEX('Lease Cycles'!$FO$20:$FU$20,1,DI214)+(1-'Lease Cycles'!$BE$20)*(1-INDEX('Lease Cycles'!$FO$20:$FU$20,1,DI214)))),0)</f>
        <v>0</v>
      </c>
      <c r="DJ222" s="24">
        <f>IF(DJ216=1,'Lease Cycles'!$D$20*IF(INDEX('Lease Cycles'!$EF$20:$EL$20,1,DJ214)=1,(1-'Lease Cycles'!$AJ$20)*INDEX('Lease Cycles'!$EM$20:$ES$20,1,DJ214)+(1-'Lease Cycles'!$BE$20)*IF(DJ215&lt;INDEX('Lease Cycles'!$FA$20:$FG$20,1,DJ214),0,1-INDEX('Lease Cycles'!$EM$20:$ES$20,1,DJ214)),IF(OR(INDEX('Lease Cycles'!$DY$20:$EE$20,1,DJ214)=1,DJ215&gt;0),1,1-INDEX('Lease Cycles'!$DD$20:$DJ$20,1,DJ214))*((1-'Lease Cycles'!$AJ$20)*INDEX('Lease Cycles'!$FO$20:$FU$20,1,DJ214)+(1-'Lease Cycles'!$BE$20)*(1-INDEX('Lease Cycles'!$FO$20:$FU$20,1,DJ214)))),0)</f>
        <v>0</v>
      </c>
      <c r="DK222" s="24">
        <f>IF(DK216=1,'Lease Cycles'!$D$20*IF(INDEX('Lease Cycles'!$EF$20:$EL$20,1,DK214)=1,(1-'Lease Cycles'!$AJ$20)*INDEX('Lease Cycles'!$EM$20:$ES$20,1,DK214)+(1-'Lease Cycles'!$BE$20)*IF(DK215&lt;INDEX('Lease Cycles'!$FA$20:$FG$20,1,DK214),0,1-INDEX('Lease Cycles'!$EM$20:$ES$20,1,DK214)),IF(OR(INDEX('Lease Cycles'!$DY$20:$EE$20,1,DK214)=1,DK215&gt;0),1,1-INDEX('Lease Cycles'!$DD$20:$DJ$20,1,DK214))*((1-'Lease Cycles'!$AJ$20)*INDEX('Lease Cycles'!$FO$20:$FU$20,1,DK214)+(1-'Lease Cycles'!$BE$20)*(1-INDEX('Lease Cycles'!$FO$20:$FU$20,1,DK214)))),0)</f>
        <v>0</v>
      </c>
      <c r="DL222" s="24">
        <f>IF(DL216=1,'Lease Cycles'!$D$20*IF(INDEX('Lease Cycles'!$EF$20:$EL$20,1,DL214)=1,(1-'Lease Cycles'!$AJ$20)*INDEX('Lease Cycles'!$EM$20:$ES$20,1,DL214)+(1-'Lease Cycles'!$BE$20)*IF(DL215&lt;INDEX('Lease Cycles'!$FA$20:$FG$20,1,DL214),0,1-INDEX('Lease Cycles'!$EM$20:$ES$20,1,DL214)),IF(OR(INDEX('Lease Cycles'!$DY$20:$EE$20,1,DL214)=1,DL215&gt;0),1,1-INDEX('Lease Cycles'!$DD$20:$DJ$20,1,DL214))*((1-'Lease Cycles'!$AJ$20)*INDEX('Lease Cycles'!$FO$20:$FU$20,1,DL214)+(1-'Lease Cycles'!$BE$20)*(1-INDEX('Lease Cycles'!$FO$20:$FU$20,1,DL214)))),0)</f>
        <v>0</v>
      </c>
      <c r="DM222" s="24">
        <f>IF(DM216=1,'Lease Cycles'!$D$20*IF(INDEX('Lease Cycles'!$EF$20:$EL$20,1,DM214)=1,(1-'Lease Cycles'!$AJ$20)*INDEX('Lease Cycles'!$EM$20:$ES$20,1,DM214)+(1-'Lease Cycles'!$BE$20)*IF(DM215&lt;INDEX('Lease Cycles'!$FA$20:$FG$20,1,DM214),0,1-INDEX('Lease Cycles'!$EM$20:$ES$20,1,DM214)),IF(OR(INDEX('Lease Cycles'!$DY$20:$EE$20,1,DM214)=1,DM215&gt;0),1,1-INDEX('Lease Cycles'!$DD$20:$DJ$20,1,DM214))*((1-'Lease Cycles'!$AJ$20)*INDEX('Lease Cycles'!$FO$20:$FU$20,1,DM214)+(1-'Lease Cycles'!$BE$20)*(1-INDEX('Lease Cycles'!$FO$20:$FU$20,1,DM214)))),0)</f>
        <v>0</v>
      </c>
      <c r="DN222" s="24">
        <f>IF(DN216=1,'Lease Cycles'!$D$20*IF(INDEX('Lease Cycles'!$EF$20:$EL$20,1,DN214)=1,(1-'Lease Cycles'!$AJ$20)*INDEX('Lease Cycles'!$EM$20:$ES$20,1,DN214)+(1-'Lease Cycles'!$BE$20)*IF(DN215&lt;INDEX('Lease Cycles'!$FA$20:$FG$20,1,DN214),0,1-INDEX('Lease Cycles'!$EM$20:$ES$20,1,DN214)),IF(OR(INDEX('Lease Cycles'!$DY$20:$EE$20,1,DN214)=1,DN215&gt;0),1,1-INDEX('Lease Cycles'!$DD$20:$DJ$20,1,DN214))*((1-'Lease Cycles'!$AJ$20)*INDEX('Lease Cycles'!$FO$20:$FU$20,1,DN214)+(1-'Lease Cycles'!$BE$20)*(1-INDEX('Lease Cycles'!$FO$20:$FU$20,1,DN214)))),0)</f>
        <v>0</v>
      </c>
      <c r="DO222" s="24">
        <f>IF(DO216=1,'Lease Cycles'!$D$20*IF(INDEX('Lease Cycles'!$EF$20:$EL$20,1,DO214)=1,(1-'Lease Cycles'!$AJ$20)*INDEX('Lease Cycles'!$EM$20:$ES$20,1,DO214)+(1-'Lease Cycles'!$BE$20)*IF(DO215&lt;INDEX('Lease Cycles'!$FA$20:$FG$20,1,DO214),0,1-INDEX('Lease Cycles'!$EM$20:$ES$20,1,DO214)),IF(OR(INDEX('Lease Cycles'!$DY$20:$EE$20,1,DO214)=1,DO215&gt;0),1,1-INDEX('Lease Cycles'!$DD$20:$DJ$20,1,DO214))*((1-'Lease Cycles'!$AJ$20)*INDEX('Lease Cycles'!$FO$20:$FU$20,1,DO214)+(1-'Lease Cycles'!$BE$20)*(1-INDEX('Lease Cycles'!$FO$20:$FU$20,1,DO214)))),0)</f>
        <v>0</v>
      </c>
      <c r="DP222" s="24">
        <f>IF(DP216=1,'Lease Cycles'!$D$20*IF(INDEX('Lease Cycles'!$EF$20:$EL$20,1,DP214)=1,(1-'Lease Cycles'!$AJ$20)*INDEX('Lease Cycles'!$EM$20:$ES$20,1,DP214)+(1-'Lease Cycles'!$BE$20)*IF(DP215&lt;INDEX('Lease Cycles'!$FA$20:$FG$20,1,DP214),0,1-INDEX('Lease Cycles'!$EM$20:$ES$20,1,DP214)),IF(OR(INDEX('Lease Cycles'!$DY$20:$EE$20,1,DP214)=1,DP215&gt;0),1,1-INDEX('Lease Cycles'!$DD$20:$DJ$20,1,DP214))*((1-'Lease Cycles'!$AJ$20)*INDEX('Lease Cycles'!$FO$20:$FU$20,1,DP214)+(1-'Lease Cycles'!$BE$20)*(1-INDEX('Lease Cycles'!$FO$20:$FU$20,1,DP214)))),0)</f>
        <v>0</v>
      </c>
      <c r="DQ222" s="24">
        <f>IF(DQ216=1,'Lease Cycles'!$D$20*IF(INDEX('Lease Cycles'!$EF$20:$EL$20,1,DQ214)=1,(1-'Lease Cycles'!$AJ$20)*INDEX('Lease Cycles'!$EM$20:$ES$20,1,DQ214)+(1-'Lease Cycles'!$BE$20)*IF(DQ215&lt;INDEX('Lease Cycles'!$FA$20:$FG$20,1,DQ214),0,1-INDEX('Lease Cycles'!$EM$20:$ES$20,1,DQ214)),IF(OR(INDEX('Lease Cycles'!$DY$20:$EE$20,1,DQ214)=1,DQ215&gt;0),1,1-INDEX('Lease Cycles'!$DD$20:$DJ$20,1,DQ214))*((1-'Lease Cycles'!$AJ$20)*INDEX('Lease Cycles'!$FO$20:$FU$20,1,DQ214)+(1-'Lease Cycles'!$BE$20)*(1-INDEX('Lease Cycles'!$FO$20:$FU$20,1,DQ214)))),0)</f>
        <v>0</v>
      </c>
      <c r="DR222" s="24">
        <f>IF(DR216=1,'Lease Cycles'!$D$20*IF(INDEX('Lease Cycles'!$EF$20:$EL$20,1,DR214)=1,(1-'Lease Cycles'!$AJ$20)*INDEX('Lease Cycles'!$EM$20:$ES$20,1,DR214)+(1-'Lease Cycles'!$BE$20)*IF(DR215&lt;INDEX('Lease Cycles'!$FA$20:$FG$20,1,DR214),0,1-INDEX('Lease Cycles'!$EM$20:$ES$20,1,DR214)),IF(OR(INDEX('Lease Cycles'!$DY$20:$EE$20,1,DR214)=1,DR215&gt;0),1,1-INDEX('Lease Cycles'!$DD$20:$DJ$20,1,DR214))*((1-'Lease Cycles'!$AJ$20)*INDEX('Lease Cycles'!$FO$20:$FU$20,1,DR214)+(1-'Lease Cycles'!$BE$20)*(1-INDEX('Lease Cycles'!$FO$20:$FU$20,1,DR214)))),0)</f>
        <v>0</v>
      </c>
      <c r="DS222" s="24">
        <f>IF(DS216=1,'Lease Cycles'!$D$20*IF(INDEX('Lease Cycles'!$EF$20:$EL$20,1,DS214)=1,(1-'Lease Cycles'!$AJ$20)*INDEX('Lease Cycles'!$EM$20:$ES$20,1,DS214)+(1-'Lease Cycles'!$BE$20)*IF(DS215&lt;INDEX('Lease Cycles'!$FA$20:$FG$20,1,DS214),0,1-INDEX('Lease Cycles'!$EM$20:$ES$20,1,DS214)),IF(OR(INDEX('Lease Cycles'!$DY$20:$EE$20,1,DS214)=1,DS215&gt;0),1,1-INDEX('Lease Cycles'!$DD$20:$DJ$20,1,DS214))*((1-'Lease Cycles'!$AJ$20)*INDEX('Lease Cycles'!$FO$20:$FU$20,1,DS214)+(1-'Lease Cycles'!$BE$20)*(1-INDEX('Lease Cycles'!$FO$20:$FU$20,1,DS214)))),0)</f>
        <v>0</v>
      </c>
      <c r="DT222" s="24">
        <f>IF(DT216=1,'Lease Cycles'!$D$20*IF(INDEX('Lease Cycles'!$EF$20:$EL$20,1,DT214)=1,(1-'Lease Cycles'!$AJ$20)*INDEX('Lease Cycles'!$EM$20:$ES$20,1,DT214)+(1-'Lease Cycles'!$BE$20)*IF(DT215&lt;INDEX('Lease Cycles'!$FA$20:$FG$20,1,DT214),0,1-INDEX('Lease Cycles'!$EM$20:$ES$20,1,DT214)),IF(OR(INDEX('Lease Cycles'!$DY$20:$EE$20,1,DT214)=1,DT215&gt;0),1,1-INDEX('Lease Cycles'!$DD$20:$DJ$20,1,DT214))*((1-'Lease Cycles'!$AJ$20)*INDEX('Lease Cycles'!$FO$20:$FU$20,1,DT214)+(1-'Lease Cycles'!$BE$20)*(1-INDEX('Lease Cycles'!$FO$20:$FU$20,1,DT214)))),0)</f>
        <v>0</v>
      </c>
      <c r="DU222" s="24">
        <f>IF(DU216=1,'Lease Cycles'!$D$20*IF(INDEX('Lease Cycles'!$EF$20:$EL$20,1,DU214)=1,(1-'Lease Cycles'!$AJ$20)*INDEX('Lease Cycles'!$EM$20:$ES$20,1,DU214)+(1-'Lease Cycles'!$BE$20)*IF(DU215&lt;INDEX('Lease Cycles'!$FA$20:$FG$20,1,DU214),0,1-INDEX('Lease Cycles'!$EM$20:$ES$20,1,DU214)),IF(OR(INDEX('Lease Cycles'!$DY$20:$EE$20,1,DU214)=1,DU215&gt;0),1,1-INDEX('Lease Cycles'!$DD$20:$DJ$20,1,DU214))*((1-'Lease Cycles'!$AJ$20)*INDEX('Lease Cycles'!$FO$20:$FU$20,1,DU214)+(1-'Lease Cycles'!$BE$20)*(1-INDEX('Lease Cycles'!$FO$20:$FU$20,1,DU214)))),0)</f>
        <v>0</v>
      </c>
      <c r="DV222" s="24">
        <f>IF(DV216=1,'Lease Cycles'!$D$20*IF(INDEX('Lease Cycles'!$EF$20:$EL$20,1,DV214)=1,(1-'Lease Cycles'!$AJ$20)*INDEX('Lease Cycles'!$EM$20:$ES$20,1,DV214)+(1-'Lease Cycles'!$BE$20)*IF(DV215&lt;INDEX('Lease Cycles'!$FA$20:$FG$20,1,DV214),0,1-INDEX('Lease Cycles'!$EM$20:$ES$20,1,DV214)),IF(OR(INDEX('Lease Cycles'!$DY$20:$EE$20,1,DV214)=1,DV215&gt;0),1,1-INDEX('Lease Cycles'!$DD$20:$DJ$20,1,DV214))*((1-'Lease Cycles'!$AJ$20)*INDEX('Lease Cycles'!$FO$20:$FU$20,1,DV214)+(1-'Lease Cycles'!$BE$20)*(1-INDEX('Lease Cycles'!$FO$20:$FU$20,1,DV214)))),0)</f>
        <v>0</v>
      </c>
      <c r="DW222" s="24">
        <f>IF(DW216=1,'Lease Cycles'!$D$20*IF(INDEX('Lease Cycles'!$EF$20:$EL$20,1,DW214)=1,(1-'Lease Cycles'!$AJ$20)*INDEX('Lease Cycles'!$EM$20:$ES$20,1,DW214)+(1-'Lease Cycles'!$BE$20)*IF(DW215&lt;INDEX('Lease Cycles'!$FA$20:$FG$20,1,DW214),0,1-INDEX('Lease Cycles'!$EM$20:$ES$20,1,DW214)),IF(OR(INDEX('Lease Cycles'!$DY$20:$EE$20,1,DW214)=1,DW215&gt;0),1,1-INDEX('Lease Cycles'!$DD$20:$DJ$20,1,DW214))*((1-'Lease Cycles'!$AJ$20)*INDEX('Lease Cycles'!$FO$20:$FU$20,1,DW214)+(1-'Lease Cycles'!$BE$20)*(1-INDEX('Lease Cycles'!$FO$20:$FU$20,1,DW214)))),0)</f>
        <v>0</v>
      </c>
      <c r="DX222" s="24">
        <f>IF(DX216=1,'Lease Cycles'!$D$20*IF(INDEX('Lease Cycles'!$EF$20:$EL$20,1,DX214)=1,(1-'Lease Cycles'!$AJ$20)*INDEX('Lease Cycles'!$EM$20:$ES$20,1,DX214)+(1-'Lease Cycles'!$BE$20)*IF(DX215&lt;INDEX('Lease Cycles'!$FA$20:$FG$20,1,DX214),0,1-INDEX('Lease Cycles'!$EM$20:$ES$20,1,DX214)),IF(OR(INDEX('Lease Cycles'!$DY$20:$EE$20,1,DX214)=1,DX215&gt;0),1,1-INDEX('Lease Cycles'!$DD$20:$DJ$20,1,DX214))*((1-'Lease Cycles'!$AJ$20)*INDEX('Lease Cycles'!$FO$20:$FU$20,1,DX214)+(1-'Lease Cycles'!$BE$20)*(1-INDEX('Lease Cycles'!$FO$20:$FU$20,1,DX214)))),0)</f>
        <v>0</v>
      </c>
      <c r="DY222" s="24">
        <f>IF(DY216=1,'Lease Cycles'!$D$20*IF(INDEX('Lease Cycles'!$EF$20:$EL$20,1,DY214)=1,(1-'Lease Cycles'!$AJ$20)*INDEX('Lease Cycles'!$EM$20:$ES$20,1,DY214)+(1-'Lease Cycles'!$BE$20)*IF(DY215&lt;INDEX('Lease Cycles'!$FA$20:$FG$20,1,DY214),0,1-INDEX('Lease Cycles'!$EM$20:$ES$20,1,DY214)),IF(OR(INDEX('Lease Cycles'!$DY$20:$EE$20,1,DY214)=1,DY215&gt;0),1,1-INDEX('Lease Cycles'!$DD$20:$DJ$20,1,DY214))*((1-'Lease Cycles'!$AJ$20)*INDEX('Lease Cycles'!$FO$20:$FU$20,1,DY214)+(1-'Lease Cycles'!$BE$20)*(1-INDEX('Lease Cycles'!$FO$20:$FU$20,1,DY214)))),0)</f>
        <v>0</v>
      </c>
      <c r="DZ222" s="24">
        <f>IF(DZ216=1,'Lease Cycles'!$D$20*IF(INDEX('Lease Cycles'!$EF$20:$EL$20,1,DZ214)=1,(1-'Lease Cycles'!$AJ$20)*INDEX('Lease Cycles'!$EM$20:$ES$20,1,DZ214)+(1-'Lease Cycles'!$BE$20)*IF(DZ215&lt;INDEX('Lease Cycles'!$FA$20:$FG$20,1,DZ214),0,1-INDEX('Lease Cycles'!$EM$20:$ES$20,1,DZ214)),IF(OR(INDEX('Lease Cycles'!$DY$20:$EE$20,1,DZ214)=1,DZ215&gt;0),1,1-INDEX('Lease Cycles'!$DD$20:$DJ$20,1,DZ214))*((1-'Lease Cycles'!$AJ$20)*INDEX('Lease Cycles'!$FO$20:$FU$20,1,DZ214)+(1-'Lease Cycles'!$BE$20)*(1-INDEX('Lease Cycles'!$FO$20:$FU$20,1,DZ214)))),0)</f>
        <v>0</v>
      </c>
      <c r="EA222" s="24">
        <f>IF(EA216=1,'Lease Cycles'!$D$20*IF(INDEX('Lease Cycles'!$EF$20:$EL$20,1,EA214)=1,(1-'Lease Cycles'!$AJ$20)*INDEX('Lease Cycles'!$EM$20:$ES$20,1,EA214)+(1-'Lease Cycles'!$BE$20)*IF(EA215&lt;INDEX('Lease Cycles'!$FA$20:$FG$20,1,EA214),0,1-INDEX('Lease Cycles'!$EM$20:$ES$20,1,EA214)),IF(OR(INDEX('Lease Cycles'!$DY$20:$EE$20,1,EA214)=1,EA215&gt;0),1,1-INDEX('Lease Cycles'!$DD$20:$DJ$20,1,EA214))*((1-'Lease Cycles'!$AJ$20)*INDEX('Lease Cycles'!$FO$20:$FU$20,1,EA214)+(1-'Lease Cycles'!$BE$20)*(1-INDEX('Lease Cycles'!$FO$20:$FU$20,1,EA214)))),0)</f>
        <v>0</v>
      </c>
      <c r="EB222" s="24">
        <f>IF(EB216=1,'Lease Cycles'!$D$20*IF(INDEX('Lease Cycles'!$EF$20:$EL$20,1,EB214)=1,(1-'Lease Cycles'!$AJ$20)*INDEX('Lease Cycles'!$EM$20:$ES$20,1,EB214)+(1-'Lease Cycles'!$BE$20)*IF(EB215&lt;INDEX('Lease Cycles'!$FA$20:$FG$20,1,EB214),0,1-INDEX('Lease Cycles'!$EM$20:$ES$20,1,EB214)),IF(OR(INDEX('Lease Cycles'!$DY$20:$EE$20,1,EB214)=1,EB215&gt;0),1,1-INDEX('Lease Cycles'!$DD$20:$DJ$20,1,EB214))*((1-'Lease Cycles'!$AJ$20)*INDEX('Lease Cycles'!$FO$20:$FU$20,1,EB214)+(1-'Lease Cycles'!$BE$20)*(1-INDEX('Lease Cycles'!$FO$20:$FU$20,1,EB214)))),0)</f>
        <v>0</v>
      </c>
      <c r="EC222" s="24">
        <f>IF(EC216=1,'Lease Cycles'!$D$20*IF(INDEX('Lease Cycles'!$EF$20:$EL$20,1,EC214)=1,(1-'Lease Cycles'!$AJ$20)*INDEX('Lease Cycles'!$EM$20:$ES$20,1,EC214)+(1-'Lease Cycles'!$BE$20)*IF(EC215&lt;INDEX('Lease Cycles'!$FA$20:$FG$20,1,EC214),0,1-INDEX('Lease Cycles'!$EM$20:$ES$20,1,EC214)),IF(OR(INDEX('Lease Cycles'!$DY$20:$EE$20,1,EC214)=1,EC215&gt;0),1,1-INDEX('Lease Cycles'!$DD$20:$DJ$20,1,EC214))*((1-'Lease Cycles'!$AJ$20)*INDEX('Lease Cycles'!$FO$20:$FU$20,1,EC214)+(1-'Lease Cycles'!$BE$20)*(1-INDEX('Lease Cycles'!$FO$20:$FU$20,1,EC214)))),0)</f>
        <v>0</v>
      </c>
      <c r="ED222" s="24">
        <f>IF(ED216=1,'Lease Cycles'!$D$20*IF(INDEX('Lease Cycles'!$EF$20:$EL$20,1,ED214)=1,(1-'Lease Cycles'!$AJ$20)*INDEX('Lease Cycles'!$EM$20:$ES$20,1,ED214)+(1-'Lease Cycles'!$BE$20)*IF(ED215&lt;INDEX('Lease Cycles'!$FA$20:$FG$20,1,ED214),0,1-INDEX('Lease Cycles'!$EM$20:$ES$20,1,ED214)),IF(OR(INDEX('Lease Cycles'!$DY$20:$EE$20,1,ED214)=1,ED215&gt;0),1,1-INDEX('Lease Cycles'!$DD$20:$DJ$20,1,ED214))*((1-'Lease Cycles'!$AJ$20)*INDEX('Lease Cycles'!$FO$20:$FU$20,1,ED214)+(1-'Lease Cycles'!$BE$20)*(1-INDEX('Lease Cycles'!$FO$20:$FU$20,1,ED214)))),0)</f>
        <v>0</v>
      </c>
      <c r="EE222" s="24">
        <f>IF(EE216=1,'Lease Cycles'!$D$20*IF(INDEX('Lease Cycles'!$EF$20:$EL$20,1,EE214)=1,(1-'Lease Cycles'!$AJ$20)*INDEX('Lease Cycles'!$EM$20:$ES$20,1,EE214)+(1-'Lease Cycles'!$BE$20)*IF(EE215&lt;INDEX('Lease Cycles'!$FA$20:$FG$20,1,EE214),0,1-INDEX('Lease Cycles'!$EM$20:$ES$20,1,EE214)),IF(OR(INDEX('Lease Cycles'!$DY$20:$EE$20,1,EE214)=1,EE215&gt;0),1,1-INDEX('Lease Cycles'!$DD$20:$DJ$20,1,EE214))*((1-'Lease Cycles'!$AJ$20)*INDEX('Lease Cycles'!$FO$20:$FU$20,1,EE214)+(1-'Lease Cycles'!$BE$20)*(1-INDEX('Lease Cycles'!$FO$20:$FU$20,1,EE214)))),0)</f>
        <v>0</v>
      </c>
      <c r="EF222" s="24">
        <f>IF(EF216=1,'Lease Cycles'!$D$20*IF(INDEX('Lease Cycles'!$EF$20:$EL$20,1,EF214)=1,(1-'Lease Cycles'!$AJ$20)*INDEX('Lease Cycles'!$EM$20:$ES$20,1,EF214)+(1-'Lease Cycles'!$BE$20)*IF(EF215&lt;INDEX('Lease Cycles'!$FA$20:$FG$20,1,EF214),0,1-INDEX('Lease Cycles'!$EM$20:$ES$20,1,EF214)),IF(OR(INDEX('Lease Cycles'!$DY$20:$EE$20,1,EF214)=1,EF215&gt;0),1,1-INDEX('Lease Cycles'!$DD$20:$DJ$20,1,EF214))*((1-'Lease Cycles'!$AJ$20)*INDEX('Lease Cycles'!$FO$20:$FU$20,1,EF214)+(1-'Lease Cycles'!$BE$20)*(1-INDEX('Lease Cycles'!$FO$20:$FU$20,1,EF214)))),0)</f>
        <v>0</v>
      </c>
      <c r="EG222" s="24">
        <f>IF(EG216=1,'Lease Cycles'!$D$20*IF(INDEX('Lease Cycles'!$EF$20:$EL$20,1,EG214)=1,(1-'Lease Cycles'!$AJ$20)*INDEX('Lease Cycles'!$EM$20:$ES$20,1,EG214)+(1-'Lease Cycles'!$BE$20)*IF(EG215&lt;INDEX('Lease Cycles'!$FA$20:$FG$20,1,EG214),0,1-INDEX('Lease Cycles'!$EM$20:$ES$20,1,EG214)),IF(OR(INDEX('Lease Cycles'!$DY$20:$EE$20,1,EG214)=1,EG215&gt;0),1,1-INDEX('Lease Cycles'!$DD$20:$DJ$20,1,EG214))*((1-'Lease Cycles'!$AJ$20)*INDEX('Lease Cycles'!$FO$20:$FU$20,1,EG214)+(1-'Lease Cycles'!$BE$20)*(1-INDEX('Lease Cycles'!$FO$20:$FU$20,1,EG214)))),0)</f>
        <v>0</v>
      </c>
      <c r="EH222" s="24">
        <f>IF(EH216=1,'Lease Cycles'!$D$20*IF(INDEX('Lease Cycles'!$EF$20:$EL$20,1,EH214)=1,(1-'Lease Cycles'!$AJ$20)*INDEX('Lease Cycles'!$EM$20:$ES$20,1,EH214)+(1-'Lease Cycles'!$BE$20)*IF(EH215&lt;INDEX('Lease Cycles'!$FA$20:$FG$20,1,EH214),0,1-INDEX('Lease Cycles'!$EM$20:$ES$20,1,EH214)),IF(OR(INDEX('Lease Cycles'!$DY$20:$EE$20,1,EH214)=1,EH215&gt;0),1,1-INDEX('Lease Cycles'!$DD$20:$DJ$20,1,EH214))*((1-'Lease Cycles'!$AJ$20)*INDEX('Lease Cycles'!$FO$20:$FU$20,1,EH214)+(1-'Lease Cycles'!$BE$20)*(1-INDEX('Lease Cycles'!$FO$20:$FU$20,1,EH214)))),0)</f>
        <v>0</v>
      </c>
      <c r="EI222" s="24">
        <f>IF(EI216=1,'Lease Cycles'!$D$20*IF(INDEX('Lease Cycles'!$EF$20:$EL$20,1,EI214)=1,(1-'Lease Cycles'!$AJ$20)*INDEX('Lease Cycles'!$EM$20:$ES$20,1,EI214)+(1-'Lease Cycles'!$BE$20)*IF(EI215&lt;INDEX('Lease Cycles'!$FA$20:$FG$20,1,EI214),0,1-INDEX('Lease Cycles'!$EM$20:$ES$20,1,EI214)),IF(OR(INDEX('Lease Cycles'!$DY$20:$EE$20,1,EI214)=1,EI215&gt;0),1,1-INDEX('Lease Cycles'!$DD$20:$DJ$20,1,EI214))*((1-'Lease Cycles'!$AJ$20)*INDEX('Lease Cycles'!$FO$20:$FU$20,1,EI214)+(1-'Lease Cycles'!$BE$20)*(1-INDEX('Lease Cycles'!$FO$20:$FU$20,1,EI214)))),0)</f>
        <v>0</v>
      </c>
      <c r="EJ222" s="24">
        <f>IF(EJ216=1,'Lease Cycles'!$D$20*IF(INDEX('Lease Cycles'!$EF$20:$EL$20,1,EJ214)=1,(1-'Lease Cycles'!$AJ$20)*INDEX('Lease Cycles'!$EM$20:$ES$20,1,EJ214)+(1-'Lease Cycles'!$BE$20)*IF(EJ215&lt;INDEX('Lease Cycles'!$FA$20:$FG$20,1,EJ214),0,1-INDEX('Lease Cycles'!$EM$20:$ES$20,1,EJ214)),IF(OR(INDEX('Lease Cycles'!$DY$20:$EE$20,1,EJ214)=1,EJ215&gt;0),1,1-INDEX('Lease Cycles'!$DD$20:$DJ$20,1,EJ214))*((1-'Lease Cycles'!$AJ$20)*INDEX('Lease Cycles'!$FO$20:$FU$20,1,EJ214)+(1-'Lease Cycles'!$BE$20)*(1-INDEX('Lease Cycles'!$FO$20:$FU$20,1,EJ214)))),0)</f>
        <v>0</v>
      </c>
      <c r="EK222" s="24">
        <f>IF(EK216=1,'Lease Cycles'!$D$20*IF(INDEX('Lease Cycles'!$EF$20:$EL$20,1,EK214)=1,(1-'Lease Cycles'!$AJ$20)*INDEX('Lease Cycles'!$EM$20:$ES$20,1,EK214)+(1-'Lease Cycles'!$BE$20)*IF(EK215&lt;INDEX('Lease Cycles'!$FA$20:$FG$20,1,EK214),0,1-INDEX('Lease Cycles'!$EM$20:$ES$20,1,EK214)),IF(OR(INDEX('Lease Cycles'!$DY$20:$EE$20,1,EK214)=1,EK215&gt;0),1,1-INDEX('Lease Cycles'!$DD$20:$DJ$20,1,EK214))*((1-'Lease Cycles'!$AJ$20)*INDEX('Lease Cycles'!$FO$20:$FU$20,1,EK214)+(1-'Lease Cycles'!$BE$20)*(1-INDEX('Lease Cycles'!$FO$20:$FU$20,1,EK214)))),0)</f>
        <v>0</v>
      </c>
      <c r="EL222" s="24">
        <f>IF(EL216=1,'Lease Cycles'!$D$20*IF(INDEX('Lease Cycles'!$EF$20:$EL$20,1,EL214)=1,(1-'Lease Cycles'!$AJ$20)*INDEX('Lease Cycles'!$EM$20:$ES$20,1,EL214)+(1-'Lease Cycles'!$BE$20)*IF(EL215&lt;INDEX('Lease Cycles'!$FA$20:$FG$20,1,EL214),0,1-INDEX('Lease Cycles'!$EM$20:$ES$20,1,EL214)),IF(OR(INDEX('Lease Cycles'!$DY$20:$EE$20,1,EL214)=1,EL215&gt;0),1,1-INDEX('Lease Cycles'!$DD$20:$DJ$20,1,EL214))*((1-'Lease Cycles'!$AJ$20)*INDEX('Lease Cycles'!$FO$20:$FU$20,1,EL214)+(1-'Lease Cycles'!$BE$20)*(1-INDEX('Lease Cycles'!$FO$20:$FU$20,1,EL214)))),0)</f>
        <v>0</v>
      </c>
      <c r="EM222" s="24">
        <f>IF(EM216=1,'Lease Cycles'!$D$20*IF(INDEX('Lease Cycles'!$EF$20:$EL$20,1,EM214)=1,(1-'Lease Cycles'!$AJ$20)*INDEX('Lease Cycles'!$EM$20:$ES$20,1,EM214)+(1-'Lease Cycles'!$BE$20)*IF(EM215&lt;INDEX('Lease Cycles'!$FA$20:$FG$20,1,EM214),0,1-INDEX('Lease Cycles'!$EM$20:$ES$20,1,EM214)),IF(OR(INDEX('Lease Cycles'!$DY$20:$EE$20,1,EM214)=1,EM215&gt;0),1,1-INDEX('Lease Cycles'!$DD$20:$DJ$20,1,EM214))*((1-'Lease Cycles'!$AJ$20)*INDEX('Lease Cycles'!$FO$20:$FU$20,1,EM214)+(1-'Lease Cycles'!$BE$20)*(1-INDEX('Lease Cycles'!$FO$20:$FU$20,1,EM214)))),0)</f>
        <v>0</v>
      </c>
      <c r="EN222" s="24">
        <f>IF(EN216=1,'Lease Cycles'!$D$20*IF(INDEX('Lease Cycles'!$EF$20:$EL$20,1,EN214)=1,(1-'Lease Cycles'!$AJ$20)*INDEX('Lease Cycles'!$EM$20:$ES$20,1,EN214)+(1-'Lease Cycles'!$BE$20)*IF(EN215&lt;INDEX('Lease Cycles'!$FA$20:$FG$20,1,EN214),0,1-INDEX('Lease Cycles'!$EM$20:$ES$20,1,EN214)),IF(OR(INDEX('Lease Cycles'!$DY$20:$EE$20,1,EN214)=1,EN215&gt;0),1,1-INDEX('Lease Cycles'!$DD$20:$DJ$20,1,EN214))*((1-'Lease Cycles'!$AJ$20)*INDEX('Lease Cycles'!$FO$20:$FU$20,1,EN214)+(1-'Lease Cycles'!$BE$20)*(1-INDEX('Lease Cycles'!$FO$20:$FU$20,1,EN214)))),0)</f>
        <v>0</v>
      </c>
      <c r="EO222" s="24">
        <f>IF(EO216=1,'Lease Cycles'!$D$20*IF(INDEX('Lease Cycles'!$EF$20:$EL$20,1,EO214)=1,(1-'Lease Cycles'!$AJ$20)*INDEX('Lease Cycles'!$EM$20:$ES$20,1,EO214)+(1-'Lease Cycles'!$BE$20)*IF(EO215&lt;INDEX('Lease Cycles'!$FA$20:$FG$20,1,EO214),0,1-INDEX('Lease Cycles'!$EM$20:$ES$20,1,EO214)),IF(OR(INDEX('Lease Cycles'!$DY$20:$EE$20,1,EO214)=1,EO215&gt;0),1,1-INDEX('Lease Cycles'!$DD$20:$DJ$20,1,EO214))*((1-'Lease Cycles'!$AJ$20)*INDEX('Lease Cycles'!$FO$20:$FU$20,1,EO214)+(1-'Lease Cycles'!$BE$20)*(1-INDEX('Lease Cycles'!$FO$20:$FU$20,1,EO214)))),0)</f>
        <v>0</v>
      </c>
      <c r="EP222" s="24">
        <f>IF(EP216=1,'Lease Cycles'!$D$20*IF(INDEX('Lease Cycles'!$EF$20:$EL$20,1,EP214)=1,(1-'Lease Cycles'!$AJ$20)*INDEX('Lease Cycles'!$EM$20:$ES$20,1,EP214)+(1-'Lease Cycles'!$BE$20)*IF(EP215&lt;INDEX('Lease Cycles'!$FA$20:$FG$20,1,EP214),0,1-INDEX('Lease Cycles'!$EM$20:$ES$20,1,EP214)),IF(OR(INDEX('Lease Cycles'!$DY$20:$EE$20,1,EP214)=1,EP215&gt;0),1,1-INDEX('Lease Cycles'!$DD$20:$DJ$20,1,EP214))*((1-'Lease Cycles'!$AJ$20)*INDEX('Lease Cycles'!$FO$20:$FU$20,1,EP214)+(1-'Lease Cycles'!$BE$20)*(1-INDEX('Lease Cycles'!$FO$20:$FU$20,1,EP214)))),0)</f>
        <v>0</v>
      </c>
      <c r="EQ222" s="24">
        <f>IF(EQ216=1,'Lease Cycles'!$D$20*IF(INDEX('Lease Cycles'!$EF$20:$EL$20,1,EQ214)=1,(1-'Lease Cycles'!$AJ$20)*INDEX('Lease Cycles'!$EM$20:$ES$20,1,EQ214)+(1-'Lease Cycles'!$BE$20)*IF(EQ215&lt;INDEX('Lease Cycles'!$FA$20:$FG$20,1,EQ214),0,1-INDEX('Lease Cycles'!$EM$20:$ES$20,1,EQ214)),IF(OR(INDEX('Lease Cycles'!$DY$20:$EE$20,1,EQ214)=1,EQ215&gt;0),1,1-INDEX('Lease Cycles'!$DD$20:$DJ$20,1,EQ214))*((1-'Lease Cycles'!$AJ$20)*INDEX('Lease Cycles'!$FO$20:$FU$20,1,EQ214)+(1-'Lease Cycles'!$BE$20)*(1-INDEX('Lease Cycles'!$FO$20:$FU$20,1,EQ214)))),0)</f>
        <v>0</v>
      </c>
      <c r="ER222" s="24">
        <f>IF(ER216=1,'Lease Cycles'!$D$20*IF(INDEX('Lease Cycles'!$EF$20:$EL$20,1,ER214)=1,(1-'Lease Cycles'!$AJ$20)*INDEX('Lease Cycles'!$EM$20:$ES$20,1,ER214)+(1-'Lease Cycles'!$BE$20)*IF(ER215&lt;INDEX('Lease Cycles'!$FA$20:$FG$20,1,ER214),0,1-INDEX('Lease Cycles'!$EM$20:$ES$20,1,ER214)),IF(OR(INDEX('Lease Cycles'!$DY$20:$EE$20,1,ER214)=1,ER215&gt;0),1,1-INDEX('Lease Cycles'!$DD$20:$DJ$20,1,ER214))*((1-'Lease Cycles'!$AJ$20)*INDEX('Lease Cycles'!$FO$20:$FU$20,1,ER214)+(1-'Lease Cycles'!$BE$20)*(1-INDEX('Lease Cycles'!$FO$20:$FU$20,1,ER214)))),0)</f>
        <v>0</v>
      </c>
      <c r="ES222" s="24">
        <f>IF(ES216=1,'Lease Cycles'!$D$20*IF(INDEX('Lease Cycles'!$EF$20:$EL$20,1,ES214)=1,(1-'Lease Cycles'!$AJ$20)*INDEX('Lease Cycles'!$EM$20:$ES$20,1,ES214)+(1-'Lease Cycles'!$BE$20)*IF(ES215&lt;INDEX('Lease Cycles'!$FA$20:$FG$20,1,ES214),0,1-INDEX('Lease Cycles'!$EM$20:$ES$20,1,ES214)),IF(OR(INDEX('Lease Cycles'!$DY$20:$EE$20,1,ES214)=1,ES215&gt;0),1,1-INDEX('Lease Cycles'!$DD$20:$DJ$20,1,ES214))*((1-'Lease Cycles'!$AJ$20)*INDEX('Lease Cycles'!$FO$20:$FU$20,1,ES214)+(1-'Lease Cycles'!$BE$20)*(1-INDEX('Lease Cycles'!$FO$20:$FU$20,1,ES214)))),0)</f>
        <v>0</v>
      </c>
      <c r="ET222" s="24">
        <f>IF(ET216=1,'Lease Cycles'!$D$20*IF(INDEX('Lease Cycles'!$EF$20:$EL$20,1,ET214)=1,(1-'Lease Cycles'!$AJ$20)*INDEX('Lease Cycles'!$EM$20:$ES$20,1,ET214)+(1-'Lease Cycles'!$BE$20)*IF(ET215&lt;INDEX('Lease Cycles'!$FA$20:$FG$20,1,ET214),0,1-INDEX('Lease Cycles'!$EM$20:$ES$20,1,ET214)),IF(OR(INDEX('Lease Cycles'!$DY$20:$EE$20,1,ET214)=1,ET215&gt;0),1,1-INDEX('Lease Cycles'!$DD$20:$DJ$20,1,ET214))*((1-'Lease Cycles'!$AJ$20)*INDEX('Lease Cycles'!$FO$20:$FU$20,1,ET214)+(1-'Lease Cycles'!$BE$20)*(1-INDEX('Lease Cycles'!$FO$20:$FU$20,1,ET214)))),0)</f>
        <v>0</v>
      </c>
    </row>
    <row r="223">
      <c r="A223" s="103">
        <v>13</v>
      </c>
      <c r="B223" s="23" t="str">
        <f>IF('Lease Cycles'!$B$20="","(empty slot)",'Lease Cycles'!$B$20)</f>
        <v>(empty slot)</v>
      </c>
      <c r="C223" s="23" t="s">
        <v>685</v>
      </c>
      <c r="D223" s="104" t="s">
        <v>686</v>
      </c>
      <c r="E223" s="25">
        <f>'Lease Cycles'!$AL$20</f>
        <v>0</v>
      </c>
      <c r="G223" s="24">
        <f>SUM(S223:AD223)</f>
        <v>0</v>
      </c>
      <c r="H223" s="24">
        <f>SUM(AE223:AP223)</f>
        <v>0</v>
      </c>
      <c r="I223" s="24">
        <f>SUM(AQ223:BB223)</f>
        <v>0</v>
      </c>
      <c r="J223" s="24">
        <f>SUM(BC223:BN223)</f>
        <v>0</v>
      </c>
      <c r="K223" s="24">
        <f>SUM(BO223:BZ223)</f>
        <v>0</v>
      </c>
      <c r="L223" s="24">
        <f>SUM(CA223:CL223)</f>
        <v>0</v>
      </c>
      <c r="M223" s="24">
        <f>SUM(CM223:CX223)</f>
        <v>0</v>
      </c>
      <c r="N223" s="24">
        <f>SUM(CY223:DJ223)</f>
        <v>0</v>
      </c>
      <c r="O223" s="24">
        <f>SUM(DK223:DV223)</f>
        <v>0</v>
      </c>
      <c r="P223" s="24">
        <f>SUM(DW223:EH223)</f>
        <v>0</v>
      </c>
      <c r="Q223" s="24">
        <f>SUM(EI223:ET223)</f>
        <v>0</v>
      </c>
      <c r="S223" s="24">
        <f>IF(S216=1,IF('Lease Cycles'!$AJ$20=1,0,'Lease Cycles'!$D$20*INDEX('Lease Cycles'!$FH$20:$FN$20,1,S214)*IF(INDEX('Lease Cycles'!$EF$20:$EL$20,1,S214)=1,1,IF(OR(INDEX('Lease Cycles'!$DY$20:$EE$20,1,S214)=1,S215&gt;0),1,1-INDEX('Lease Cycles'!$DD$20:$DJ$20,1,S214)))),0)</f>
        <v>0</v>
      </c>
      <c r="T223" s="24">
        <f>IF(T216=1,IF('Lease Cycles'!$AJ$20=1,0,'Lease Cycles'!$D$20*INDEX('Lease Cycles'!$FH$20:$FN$20,1,T214)*IF(INDEX('Lease Cycles'!$EF$20:$EL$20,1,T214)=1,1,IF(OR(INDEX('Lease Cycles'!$DY$20:$EE$20,1,T214)=1,T215&gt;0),1,1-INDEX('Lease Cycles'!$DD$20:$DJ$20,1,T214)))),0)</f>
        <v>0</v>
      </c>
      <c r="U223" s="24">
        <f>IF(U216=1,IF('Lease Cycles'!$AJ$20=1,0,'Lease Cycles'!$D$20*INDEX('Lease Cycles'!$FH$20:$FN$20,1,U214)*IF(INDEX('Lease Cycles'!$EF$20:$EL$20,1,U214)=1,1,IF(OR(INDEX('Lease Cycles'!$DY$20:$EE$20,1,U214)=1,U215&gt;0),1,1-INDEX('Lease Cycles'!$DD$20:$DJ$20,1,U214)))),0)</f>
        <v>0</v>
      </c>
      <c r="V223" s="24">
        <f>IF(V216=1,IF('Lease Cycles'!$AJ$20=1,0,'Lease Cycles'!$D$20*INDEX('Lease Cycles'!$FH$20:$FN$20,1,V214)*IF(INDEX('Lease Cycles'!$EF$20:$EL$20,1,V214)=1,1,IF(OR(INDEX('Lease Cycles'!$DY$20:$EE$20,1,V214)=1,V215&gt;0),1,1-INDEX('Lease Cycles'!$DD$20:$DJ$20,1,V214)))),0)</f>
        <v>0</v>
      </c>
      <c r="W223" s="24">
        <f>IF(W216=1,IF('Lease Cycles'!$AJ$20=1,0,'Lease Cycles'!$D$20*INDEX('Lease Cycles'!$FH$20:$FN$20,1,W214)*IF(INDEX('Lease Cycles'!$EF$20:$EL$20,1,W214)=1,1,IF(OR(INDEX('Lease Cycles'!$DY$20:$EE$20,1,W214)=1,W215&gt;0),1,1-INDEX('Lease Cycles'!$DD$20:$DJ$20,1,W214)))),0)</f>
        <v>0</v>
      </c>
      <c r="X223" s="24">
        <f>IF(X216=1,IF('Lease Cycles'!$AJ$20=1,0,'Lease Cycles'!$D$20*INDEX('Lease Cycles'!$FH$20:$FN$20,1,X214)*IF(INDEX('Lease Cycles'!$EF$20:$EL$20,1,X214)=1,1,IF(OR(INDEX('Lease Cycles'!$DY$20:$EE$20,1,X214)=1,X215&gt;0),1,1-INDEX('Lease Cycles'!$DD$20:$DJ$20,1,X214)))),0)</f>
        <v>0</v>
      </c>
      <c r="Y223" s="24">
        <f>IF(Y216=1,IF('Lease Cycles'!$AJ$20=1,0,'Lease Cycles'!$D$20*INDEX('Lease Cycles'!$FH$20:$FN$20,1,Y214)*IF(INDEX('Lease Cycles'!$EF$20:$EL$20,1,Y214)=1,1,IF(OR(INDEX('Lease Cycles'!$DY$20:$EE$20,1,Y214)=1,Y215&gt;0),1,1-INDEX('Lease Cycles'!$DD$20:$DJ$20,1,Y214)))),0)</f>
        <v>0</v>
      </c>
      <c r="Z223" s="24">
        <f>IF(Z216=1,IF('Lease Cycles'!$AJ$20=1,0,'Lease Cycles'!$D$20*INDEX('Lease Cycles'!$FH$20:$FN$20,1,Z214)*IF(INDEX('Lease Cycles'!$EF$20:$EL$20,1,Z214)=1,1,IF(OR(INDEX('Lease Cycles'!$DY$20:$EE$20,1,Z214)=1,Z215&gt;0),1,1-INDEX('Lease Cycles'!$DD$20:$DJ$20,1,Z214)))),0)</f>
        <v>0</v>
      </c>
      <c r="AA223" s="24">
        <f>IF(AA216=1,IF('Lease Cycles'!$AJ$20=1,0,'Lease Cycles'!$D$20*INDEX('Lease Cycles'!$FH$20:$FN$20,1,AA214)*IF(INDEX('Lease Cycles'!$EF$20:$EL$20,1,AA214)=1,1,IF(OR(INDEX('Lease Cycles'!$DY$20:$EE$20,1,AA214)=1,AA215&gt;0),1,1-INDEX('Lease Cycles'!$DD$20:$DJ$20,1,AA214)))),0)</f>
        <v>0</v>
      </c>
      <c r="AB223" s="24">
        <f>IF(AB216=1,IF('Lease Cycles'!$AJ$20=1,0,'Lease Cycles'!$D$20*INDEX('Lease Cycles'!$FH$20:$FN$20,1,AB214)*IF(INDEX('Lease Cycles'!$EF$20:$EL$20,1,AB214)=1,1,IF(OR(INDEX('Lease Cycles'!$DY$20:$EE$20,1,AB214)=1,AB215&gt;0),1,1-INDEX('Lease Cycles'!$DD$20:$DJ$20,1,AB214)))),0)</f>
        <v>0</v>
      </c>
      <c r="AC223" s="24">
        <f>IF(AC216=1,IF('Lease Cycles'!$AJ$20=1,0,'Lease Cycles'!$D$20*INDEX('Lease Cycles'!$FH$20:$FN$20,1,AC214)*IF(INDEX('Lease Cycles'!$EF$20:$EL$20,1,AC214)=1,1,IF(OR(INDEX('Lease Cycles'!$DY$20:$EE$20,1,AC214)=1,AC215&gt;0),1,1-INDEX('Lease Cycles'!$DD$20:$DJ$20,1,AC214)))),0)</f>
        <v>0</v>
      </c>
      <c r="AD223" s="24">
        <f>IF(AD216=1,IF('Lease Cycles'!$AJ$20=1,0,'Lease Cycles'!$D$20*INDEX('Lease Cycles'!$FH$20:$FN$20,1,AD214)*IF(INDEX('Lease Cycles'!$EF$20:$EL$20,1,AD214)=1,1,IF(OR(INDEX('Lease Cycles'!$DY$20:$EE$20,1,AD214)=1,AD215&gt;0),1,1-INDEX('Lease Cycles'!$DD$20:$DJ$20,1,AD214)))),0)</f>
        <v>0</v>
      </c>
      <c r="AE223" s="24">
        <f>IF(AE216=1,IF('Lease Cycles'!$AJ$20=1,0,'Lease Cycles'!$D$20*INDEX('Lease Cycles'!$FH$20:$FN$20,1,AE214)*IF(INDEX('Lease Cycles'!$EF$20:$EL$20,1,AE214)=1,1,IF(OR(INDEX('Lease Cycles'!$DY$20:$EE$20,1,AE214)=1,AE215&gt;0),1,1-INDEX('Lease Cycles'!$DD$20:$DJ$20,1,AE214)))),0)</f>
        <v>0</v>
      </c>
      <c r="AF223" s="24">
        <f>IF(AF216=1,IF('Lease Cycles'!$AJ$20=1,0,'Lease Cycles'!$D$20*INDEX('Lease Cycles'!$FH$20:$FN$20,1,AF214)*IF(INDEX('Lease Cycles'!$EF$20:$EL$20,1,AF214)=1,1,IF(OR(INDEX('Lease Cycles'!$DY$20:$EE$20,1,AF214)=1,AF215&gt;0),1,1-INDEX('Lease Cycles'!$DD$20:$DJ$20,1,AF214)))),0)</f>
        <v>0</v>
      </c>
      <c r="AG223" s="24">
        <f>IF(AG216=1,IF('Lease Cycles'!$AJ$20=1,0,'Lease Cycles'!$D$20*INDEX('Lease Cycles'!$FH$20:$FN$20,1,AG214)*IF(INDEX('Lease Cycles'!$EF$20:$EL$20,1,AG214)=1,1,IF(OR(INDEX('Lease Cycles'!$DY$20:$EE$20,1,AG214)=1,AG215&gt;0),1,1-INDEX('Lease Cycles'!$DD$20:$DJ$20,1,AG214)))),0)</f>
        <v>0</v>
      </c>
      <c r="AH223" s="24">
        <f>IF(AH216=1,IF('Lease Cycles'!$AJ$20=1,0,'Lease Cycles'!$D$20*INDEX('Lease Cycles'!$FH$20:$FN$20,1,AH214)*IF(INDEX('Lease Cycles'!$EF$20:$EL$20,1,AH214)=1,1,IF(OR(INDEX('Lease Cycles'!$DY$20:$EE$20,1,AH214)=1,AH215&gt;0),1,1-INDEX('Lease Cycles'!$DD$20:$DJ$20,1,AH214)))),0)</f>
        <v>0</v>
      </c>
      <c r="AI223" s="24">
        <f>IF(AI216=1,IF('Lease Cycles'!$AJ$20=1,0,'Lease Cycles'!$D$20*INDEX('Lease Cycles'!$FH$20:$FN$20,1,AI214)*IF(INDEX('Lease Cycles'!$EF$20:$EL$20,1,AI214)=1,1,IF(OR(INDEX('Lease Cycles'!$DY$20:$EE$20,1,AI214)=1,AI215&gt;0),1,1-INDEX('Lease Cycles'!$DD$20:$DJ$20,1,AI214)))),0)</f>
        <v>0</v>
      </c>
      <c r="AJ223" s="24">
        <f>IF(AJ216=1,IF('Lease Cycles'!$AJ$20=1,0,'Lease Cycles'!$D$20*INDEX('Lease Cycles'!$FH$20:$FN$20,1,AJ214)*IF(INDEX('Lease Cycles'!$EF$20:$EL$20,1,AJ214)=1,1,IF(OR(INDEX('Lease Cycles'!$DY$20:$EE$20,1,AJ214)=1,AJ215&gt;0),1,1-INDEX('Lease Cycles'!$DD$20:$DJ$20,1,AJ214)))),0)</f>
        <v>0</v>
      </c>
      <c r="AK223" s="24">
        <f>IF(AK216=1,IF('Lease Cycles'!$AJ$20=1,0,'Lease Cycles'!$D$20*INDEX('Lease Cycles'!$FH$20:$FN$20,1,AK214)*IF(INDEX('Lease Cycles'!$EF$20:$EL$20,1,AK214)=1,1,IF(OR(INDEX('Lease Cycles'!$DY$20:$EE$20,1,AK214)=1,AK215&gt;0),1,1-INDEX('Lease Cycles'!$DD$20:$DJ$20,1,AK214)))),0)</f>
        <v>0</v>
      </c>
      <c r="AL223" s="24">
        <f>IF(AL216=1,IF('Lease Cycles'!$AJ$20=1,0,'Lease Cycles'!$D$20*INDEX('Lease Cycles'!$FH$20:$FN$20,1,AL214)*IF(INDEX('Lease Cycles'!$EF$20:$EL$20,1,AL214)=1,1,IF(OR(INDEX('Lease Cycles'!$DY$20:$EE$20,1,AL214)=1,AL215&gt;0),1,1-INDEX('Lease Cycles'!$DD$20:$DJ$20,1,AL214)))),0)</f>
        <v>0</v>
      </c>
      <c r="AM223" s="24">
        <f>IF(AM216=1,IF('Lease Cycles'!$AJ$20=1,0,'Lease Cycles'!$D$20*INDEX('Lease Cycles'!$FH$20:$FN$20,1,AM214)*IF(INDEX('Lease Cycles'!$EF$20:$EL$20,1,AM214)=1,1,IF(OR(INDEX('Lease Cycles'!$DY$20:$EE$20,1,AM214)=1,AM215&gt;0),1,1-INDEX('Lease Cycles'!$DD$20:$DJ$20,1,AM214)))),0)</f>
        <v>0</v>
      </c>
      <c r="AN223" s="24">
        <f>IF(AN216=1,IF('Lease Cycles'!$AJ$20=1,0,'Lease Cycles'!$D$20*INDEX('Lease Cycles'!$FH$20:$FN$20,1,AN214)*IF(INDEX('Lease Cycles'!$EF$20:$EL$20,1,AN214)=1,1,IF(OR(INDEX('Lease Cycles'!$DY$20:$EE$20,1,AN214)=1,AN215&gt;0),1,1-INDEX('Lease Cycles'!$DD$20:$DJ$20,1,AN214)))),0)</f>
        <v>0</v>
      </c>
      <c r="AO223" s="24">
        <f>IF(AO216=1,IF('Lease Cycles'!$AJ$20=1,0,'Lease Cycles'!$D$20*INDEX('Lease Cycles'!$FH$20:$FN$20,1,AO214)*IF(INDEX('Lease Cycles'!$EF$20:$EL$20,1,AO214)=1,1,IF(OR(INDEX('Lease Cycles'!$DY$20:$EE$20,1,AO214)=1,AO215&gt;0),1,1-INDEX('Lease Cycles'!$DD$20:$DJ$20,1,AO214)))),0)</f>
        <v>0</v>
      </c>
      <c r="AP223" s="24">
        <f>IF(AP216=1,IF('Lease Cycles'!$AJ$20=1,0,'Lease Cycles'!$D$20*INDEX('Lease Cycles'!$FH$20:$FN$20,1,AP214)*IF(INDEX('Lease Cycles'!$EF$20:$EL$20,1,AP214)=1,1,IF(OR(INDEX('Lease Cycles'!$DY$20:$EE$20,1,AP214)=1,AP215&gt;0),1,1-INDEX('Lease Cycles'!$DD$20:$DJ$20,1,AP214)))),0)</f>
        <v>0</v>
      </c>
      <c r="AQ223" s="24">
        <f>IF(AQ216=1,IF('Lease Cycles'!$AJ$20=1,0,'Lease Cycles'!$D$20*INDEX('Lease Cycles'!$FH$20:$FN$20,1,AQ214)*IF(INDEX('Lease Cycles'!$EF$20:$EL$20,1,AQ214)=1,1,IF(OR(INDEX('Lease Cycles'!$DY$20:$EE$20,1,AQ214)=1,AQ215&gt;0),1,1-INDEX('Lease Cycles'!$DD$20:$DJ$20,1,AQ214)))),0)</f>
        <v>0</v>
      </c>
      <c r="AR223" s="24">
        <f>IF(AR216=1,IF('Lease Cycles'!$AJ$20=1,0,'Lease Cycles'!$D$20*INDEX('Lease Cycles'!$FH$20:$FN$20,1,AR214)*IF(INDEX('Lease Cycles'!$EF$20:$EL$20,1,AR214)=1,1,IF(OR(INDEX('Lease Cycles'!$DY$20:$EE$20,1,AR214)=1,AR215&gt;0),1,1-INDEX('Lease Cycles'!$DD$20:$DJ$20,1,AR214)))),0)</f>
        <v>0</v>
      </c>
      <c r="AS223" s="24">
        <f>IF(AS216=1,IF('Lease Cycles'!$AJ$20=1,0,'Lease Cycles'!$D$20*INDEX('Lease Cycles'!$FH$20:$FN$20,1,AS214)*IF(INDEX('Lease Cycles'!$EF$20:$EL$20,1,AS214)=1,1,IF(OR(INDEX('Lease Cycles'!$DY$20:$EE$20,1,AS214)=1,AS215&gt;0),1,1-INDEX('Lease Cycles'!$DD$20:$DJ$20,1,AS214)))),0)</f>
        <v>0</v>
      </c>
      <c r="AT223" s="24">
        <f>IF(AT216=1,IF('Lease Cycles'!$AJ$20=1,0,'Lease Cycles'!$D$20*INDEX('Lease Cycles'!$FH$20:$FN$20,1,AT214)*IF(INDEX('Lease Cycles'!$EF$20:$EL$20,1,AT214)=1,1,IF(OR(INDEX('Lease Cycles'!$DY$20:$EE$20,1,AT214)=1,AT215&gt;0),1,1-INDEX('Lease Cycles'!$DD$20:$DJ$20,1,AT214)))),0)</f>
        <v>0</v>
      </c>
      <c r="AU223" s="24">
        <f>IF(AU216=1,IF('Lease Cycles'!$AJ$20=1,0,'Lease Cycles'!$D$20*INDEX('Lease Cycles'!$FH$20:$FN$20,1,AU214)*IF(INDEX('Lease Cycles'!$EF$20:$EL$20,1,AU214)=1,1,IF(OR(INDEX('Lease Cycles'!$DY$20:$EE$20,1,AU214)=1,AU215&gt;0),1,1-INDEX('Lease Cycles'!$DD$20:$DJ$20,1,AU214)))),0)</f>
        <v>0</v>
      </c>
      <c r="AV223" s="24">
        <f>IF(AV216=1,IF('Lease Cycles'!$AJ$20=1,0,'Lease Cycles'!$D$20*INDEX('Lease Cycles'!$FH$20:$FN$20,1,AV214)*IF(INDEX('Lease Cycles'!$EF$20:$EL$20,1,AV214)=1,1,IF(OR(INDEX('Lease Cycles'!$DY$20:$EE$20,1,AV214)=1,AV215&gt;0),1,1-INDEX('Lease Cycles'!$DD$20:$DJ$20,1,AV214)))),0)</f>
        <v>0</v>
      </c>
      <c r="AW223" s="24">
        <f>IF(AW216=1,IF('Lease Cycles'!$AJ$20=1,0,'Lease Cycles'!$D$20*INDEX('Lease Cycles'!$FH$20:$FN$20,1,AW214)*IF(INDEX('Lease Cycles'!$EF$20:$EL$20,1,AW214)=1,1,IF(OR(INDEX('Lease Cycles'!$DY$20:$EE$20,1,AW214)=1,AW215&gt;0),1,1-INDEX('Lease Cycles'!$DD$20:$DJ$20,1,AW214)))),0)</f>
        <v>0</v>
      </c>
      <c r="AX223" s="24">
        <f>IF(AX216=1,IF('Lease Cycles'!$AJ$20=1,0,'Lease Cycles'!$D$20*INDEX('Lease Cycles'!$FH$20:$FN$20,1,AX214)*IF(INDEX('Lease Cycles'!$EF$20:$EL$20,1,AX214)=1,1,IF(OR(INDEX('Lease Cycles'!$DY$20:$EE$20,1,AX214)=1,AX215&gt;0),1,1-INDEX('Lease Cycles'!$DD$20:$DJ$20,1,AX214)))),0)</f>
        <v>0</v>
      </c>
      <c r="AY223" s="24">
        <f>IF(AY216=1,IF('Lease Cycles'!$AJ$20=1,0,'Lease Cycles'!$D$20*INDEX('Lease Cycles'!$FH$20:$FN$20,1,AY214)*IF(INDEX('Lease Cycles'!$EF$20:$EL$20,1,AY214)=1,1,IF(OR(INDEX('Lease Cycles'!$DY$20:$EE$20,1,AY214)=1,AY215&gt;0),1,1-INDEX('Lease Cycles'!$DD$20:$DJ$20,1,AY214)))),0)</f>
        <v>0</v>
      </c>
      <c r="AZ223" s="24">
        <f>IF(AZ216=1,IF('Lease Cycles'!$AJ$20=1,0,'Lease Cycles'!$D$20*INDEX('Lease Cycles'!$FH$20:$FN$20,1,AZ214)*IF(INDEX('Lease Cycles'!$EF$20:$EL$20,1,AZ214)=1,1,IF(OR(INDEX('Lease Cycles'!$DY$20:$EE$20,1,AZ214)=1,AZ215&gt;0),1,1-INDEX('Lease Cycles'!$DD$20:$DJ$20,1,AZ214)))),0)</f>
        <v>0</v>
      </c>
      <c r="BA223" s="24">
        <f>IF(BA216=1,IF('Lease Cycles'!$AJ$20=1,0,'Lease Cycles'!$D$20*INDEX('Lease Cycles'!$FH$20:$FN$20,1,BA214)*IF(INDEX('Lease Cycles'!$EF$20:$EL$20,1,BA214)=1,1,IF(OR(INDEX('Lease Cycles'!$DY$20:$EE$20,1,BA214)=1,BA215&gt;0),1,1-INDEX('Lease Cycles'!$DD$20:$DJ$20,1,BA214)))),0)</f>
        <v>0</v>
      </c>
      <c r="BB223" s="24">
        <f>IF(BB216=1,IF('Lease Cycles'!$AJ$20=1,0,'Lease Cycles'!$D$20*INDEX('Lease Cycles'!$FH$20:$FN$20,1,BB214)*IF(INDEX('Lease Cycles'!$EF$20:$EL$20,1,BB214)=1,1,IF(OR(INDEX('Lease Cycles'!$DY$20:$EE$20,1,BB214)=1,BB215&gt;0),1,1-INDEX('Lease Cycles'!$DD$20:$DJ$20,1,BB214)))),0)</f>
        <v>0</v>
      </c>
      <c r="BC223" s="24">
        <f>IF(BC216=1,IF('Lease Cycles'!$AJ$20=1,0,'Lease Cycles'!$D$20*INDEX('Lease Cycles'!$FH$20:$FN$20,1,BC214)*IF(INDEX('Lease Cycles'!$EF$20:$EL$20,1,BC214)=1,1,IF(OR(INDEX('Lease Cycles'!$DY$20:$EE$20,1,BC214)=1,BC215&gt;0),1,1-INDEX('Lease Cycles'!$DD$20:$DJ$20,1,BC214)))),0)</f>
        <v>0</v>
      </c>
      <c r="BD223" s="24">
        <f>IF(BD216=1,IF('Lease Cycles'!$AJ$20=1,0,'Lease Cycles'!$D$20*INDEX('Lease Cycles'!$FH$20:$FN$20,1,BD214)*IF(INDEX('Lease Cycles'!$EF$20:$EL$20,1,BD214)=1,1,IF(OR(INDEX('Lease Cycles'!$DY$20:$EE$20,1,BD214)=1,BD215&gt;0),1,1-INDEX('Lease Cycles'!$DD$20:$DJ$20,1,BD214)))),0)</f>
        <v>0</v>
      </c>
      <c r="BE223" s="24">
        <f>IF(BE216=1,IF('Lease Cycles'!$AJ$20=1,0,'Lease Cycles'!$D$20*INDEX('Lease Cycles'!$FH$20:$FN$20,1,BE214)*IF(INDEX('Lease Cycles'!$EF$20:$EL$20,1,BE214)=1,1,IF(OR(INDEX('Lease Cycles'!$DY$20:$EE$20,1,BE214)=1,BE215&gt;0),1,1-INDEX('Lease Cycles'!$DD$20:$DJ$20,1,BE214)))),0)</f>
        <v>0</v>
      </c>
      <c r="BF223" s="24">
        <f>IF(BF216=1,IF('Lease Cycles'!$AJ$20=1,0,'Lease Cycles'!$D$20*INDEX('Lease Cycles'!$FH$20:$FN$20,1,BF214)*IF(INDEX('Lease Cycles'!$EF$20:$EL$20,1,BF214)=1,1,IF(OR(INDEX('Lease Cycles'!$DY$20:$EE$20,1,BF214)=1,BF215&gt;0),1,1-INDEX('Lease Cycles'!$DD$20:$DJ$20,1,BF214)))),0)</f>
        <v>0</v>
      </c>
      <c r="BG223" s="24">
        <f>IF(BG216=1,IF('Lease Cycles'!$AJ$20=1,0,'Lease Cycles'!$D$20*INDEX('Lease Cycles'!$FH$20:$FN$20,1,BG214)*IF(INDEX('Lease Cycles'!$EF$20:$EL$20,1,BG214)=1,1,IF(OR(INDEX('Lease Cycles'!$DY$20:$EE$20,1,BG214)=1,BG215&gt;0),1,1-INDEX('Lease Cycles'!$DD$20:$DJ$20,1,BG214)))),0)</f>
        <v>0</v>
      </c>
      <c r="BH223" s="24">
        <f>IF(BH216=1,IF('Lease Cycles'!$AJ$20=1,0,'Lease Cycles'!$D$20*INDEX('Lease Cycles'!$FH$20:$FN$20,1,BH214)*IF(INDEX('Lease Cycles'!$EF$20:$EL$20,1,BH214)=1,1,IF(OR(INDEX('Lease Cycles'!$DY$20:$EE$20,1,BH214)=1,BH215&gt;0),1,1-INDEX('Lease Cycles'!$DD$20:$DJ$20,1,BH214)))),0)</f>
        <v>0</v>
      </c>
      <c r="BI223" s="24">
        <f>IF(BI216=1,IF('Lease Cycles'!$AJ$20=1,0,'Lease Cycles'!$D$20*INDEX('Lease Cycles'!$FH$20:$FN$20,1,BI214)*IF(INDEX('Lease Cycles'!$EF$20:$EL$20,1,BI214)=1,1,IF(OR(INDEX('Lease Cycles'!$DY$20:$EE$20,1,BI214)=1,BI215&gt;0),1,1-INDEX('Lease Cycles'!$DD$20:$DJ$20,1,BI214)))),0)</f>
        <v>0</v>
      </c>
      <c r="BJ223" s="24">
        <f>IF(BJ216=1,IF('Lease Cycles'!$AJ$20=1,0,'Lease Cycles'!$D$20*INDEX('Lease Cycles'!$FH$20:$FN$20,1,BJ214)*IF(INDEX('Lease Cycles'!$EF$20:$EL$20,1,BJ214)=1,1,IF(OR(INDEX('Lease Cycles'!$DY$20:$EE$20,1,BJ214)=1,BJ215&gt;0),1,1-INDEX('Lease Cycles'!$DD$20:$DJ$20,1,BJ214)))),0)</f>
        <v>0</v>
      </c>
      <c r="BK223" s="24">
        <f>IF(BK216=1,IF('Lease Cycles'!$AJ$20=1,0,'Lease Cycles'!$D$20*INDEX('Lease Cycles'!$FH$20:$FN$20,1,BK214)*IF(INDEX('Lease Cycles'!$EF$20:$EL$20,1,BK214)=1,1,IF(OR(INDEX('Lease Cycles'!$DY$20:$EE$20,1,BK214)=1,BK215&gt;0),1,1-INDEX('Lease Cycles'!$DD$20:$DJ$20,1,BK214)))),0)</f>
        <v>0</v>
      </c>
      <c r="BL223" s="24">
        <f>IF(BL216=1,IF('Lease Cycles'!$AJ$20=1,0,'Lease Cycles'!$D$20*INDEX('Lease Cycles'!$FH$20:$FN$20,1,BL214)*IF(INDEX('Lease Cycles'!$EF$20:$EL$20,1,BL214)=1,1,IF(OR(INDEX('Lease Cycles'!$DY$20:$EE$20,1,BL214)=1,BL215&gt;0),1,1-INDEX('Lease Cycles'!$DD$20:$DJ$20,1,BL214)))),0)</f>
        <v>0</v>
      </c>
      <c r="BM223" s="24">
        <f>IF(BM216=1,IF('Lease Cycles'!$AJ$20=1,0,'Lease Cycles'!$D$20*INDEX('Lease Cycles'!$FH$20:$FN$20,1,BM214)*IF(INDEX('Lease Cycles'!$EF$20:$EL$20,1,BM214)=1,1,IF(OR(INDEX('Lease Cycles'!$DY$20:$EE$20,1,BM214)=1,BM215&gt;0),1,1-INDEX('Lease Cycles'!$DD$20:$DJ$20,1,BM214)))),0)</f>
        <v>0</v>
      </c>
      <c r="BN223" s="24">
        <f>IF(BN216=1,IF('Lease Cycles'!$AJ$20=1,0,'Lease Cycles'!$D$20*INDEX('Lease Cycles'!$FH$20:$FN$20,1,BN214)*IF(INDEX('Lease Cycles'!$EF$20:$EL$20,1,BN214)=1,1,IF(OR(INDEX('Lease Cycles'!$DY$20:$EE$20,1,BN214)=1,BN215&gt;0),1,1-INDEX('Lease Cycles'!$DD$20:$DJ$20,1,BN214)))),0)</f>
        <v>0</v>
      </c>
      <c r="BO223" s="24">
        <f>IF(BO216=1,IF('Lease Cycles'!$AJ$20=1,0,'Lease Cycles'!$D$20*INDEX('Lease Cycles'!$FH$20:$FN$20,1,BO214)*IF(INDEX('Lease Cycles'!$EF$20:$EL$20,1,BO214)=1,1,IF(OR(INDEX('Lease Cycles'!$DY$20:$EE$20,1,BO214)=1,BO215&gt;0),1,1-INDEX('Lease Cycles'!$DD$20:$DJ$20,1,BO214)))),0)</f>
        <v>0</v>
      </c>
      <c r="BP223" s="24">
        <f>IF(BP216=1,IF('Lease Cycles'!$AJ$20=1,0,'Lease Cycles'!$D$20*INDEX('Lease Cycles'!$FH$20:$FN$20,1,BP214)*IF(INDEX('Lease Cycles'!$EF$20:$EL$20,1,BP214)=1,1,IF(OR(INDEX('Lease Cycles'!$DY$20:$EE$20,1,BP214)=1,BP215&gt;0),1,1-INDEX('Lease Cycles'!$DD$20:$DJ$20,1,BP214)))),0)</f>
        <v>0</v>
      </c>
      <c r="BQ223" s="24">
        <f>IF(BQ216=1,IF('Lease Cycles'!$AJ$20=1,0,'Lease Cycles'!$D$20*INDEX('Lease Cycles'!$FH$20:$FN$20,1,BQ214)*IF(INDEX('Lease Cycles'!$EF$20:$EL$20,1,BQ214)=1,1,IF(OR(INDEX('Lease Cycles'!$DY$20:$EE$20,1,BQ214)=1,BQ215&gt;0),1,1-INDEX('Lease Cycles'!$DD$20:$DJ$20,1,BQ214)))),0)</f>
        <v>0</v>
      </c>
      <c r="BR223" s="24">
        <f>IF(BR216=1,IF('Lease Cycles'!$AJ$20=1,0,'Lease Cycles'!$D$20*INDEX('Lease Cycles'!$FH$20:$FN$20,1,BR214)*IF(INDEX('Lease Cycles'!$EF$20:$EL$20,1,BR214)=1,1,IF(OR(INDEX('Lease Cycles'!$DY$20:$EE$20,1,BR214)=1,BR215&gt;0),1,1-INDEX('Lease Cycles'!$DD$20:$DJ$20,1,BR214)))),0)</f>
        <v>0</v>
      </c>
      <c r="BS223" s="24">
        <f>IF(BS216=1,IF('Lease Cycles'!$AJ$20=1,0,'Lease Cycles'!$D$20*INDEX('Lease Cycles'!$FH$20:$FN$20,1,BS214)*IF(INDEX('Lease Cycles'!$EF$20:$EL$20,1,BS214)=1,1,IF(OR(INDEX('Lease Cycles'!$DY$20:$EE$20,1,BS214)=1,BS215&gt;0),1,1-INDEX('Lease Cycles'!$DD$20:$DJ$20,1,BS214)))),0)</f>
        <v>0</v>
      </c>
      <c r="BT223" s="24">
        <f>IF(BT216=1,IF('Lease Cycles'!$AJ$20=1,0,'Lease Cycles'!$D$20*INDEX('Lease Cycles'!$FH$20:$FN$20,1,BT214)*IF(INDEX('Lease Cycles'!$EF$20:$EL$20,1,BT214)=1,1,IF(OR(INDEX('Lease Cycles'!$DY$20:$EE$20,1,BT214)=1,BT215&gt;0),1,1-INDEX('Lease Cycles'!$DD$20:$DJ$20,1,BT214)))),0)</f>
        <v>0</v>
      </c>
      <c r="BU223" s="24">
        <f>IF(BU216=1,IF('Lease Cycles'!$AJ$20=1,0,'Lease Cycles'!$D$20*INDEX('Lease Cycles'!$FH$20:$FN$20,1,BU214)*IF(INDEX('Lease Cycles'!$EF$20:$EL$20,1,BU214)=1,1,IF(OR(INDEX('Lease Cycles'!$DY$20:$EE$20,1,BU214)=1,BU215&gt;0),1,1-INDEX('Lease Cycles'!$DD$20:$DJ$20,1,BU214)))),0)</f>
        <v>0</v>
      </c>
      <c r="BV223" s="24">
        <f>IF(BV216=1,IF('Lease Cycles'!$AJ$20=1,0,'Lease Cycles'!$D$20*INDEX('Lease Cycles'!$FH$20:$FN$20,1,BV214)*IF(INDEX('Lease Cycles'!$EF$20:$EL$20,1,BV214)=1,1,IF(OR(INDEX('Lease Cycles'!$DY$20:$EE$20,1,BV214)=1,BV215&gt;0),1,1-INDEX('Lease Cycles'!$DD$20:$DJ$20,1,BV214)))),0)</f>
        <v>0</v>
      </c>
      <c r="BW223" s="24">
        <f>IF(BW216=1,IF('Lease Cycles'!$AJ$20=1,0,'Lease Cycles'!$D$20*INDEX('Lease Cycles'!$FH$20:$FN$20,1,BW214)*IF(INDEX('Lease Cycles'!$EF$20:$EL$20,1,BW214)=1,1,IF(OR(INDEX('Lease Cycles'!$DY$20:$EE$20,1,BW214)=1,BW215&gt;0),1,1-INDEX('Lease Cycles'!$DD$20:$DJ$20,1,BW214)))),0)</f>
        <v>0</v>
      </c>
      <c r="BX223" s="24">
        <f>IF(BX216=1,IF('Lease Cycles'!$AJ$20=1,0,'Lease Cycles'!$D$20*INDEX('Lease Cycles'!$FH$20:$FN$20,1,BX214)*IF(INDEX('Lease Cycles'!$EF$20:$EL$20,1,BX214)=1,1,IF(OR(INDEX('Lease Cycles'!$DY$20:$EE$20,1,BX214)=1,BX215&gt;0),1,1-INDEX('Lease Cycles'!$DD$20:$DJ$20,1,BX214)))),0)</f>
        <v>0</v>
      </c>
      <c r="BY223" s="24">
        <f>IF(BY216=1,IF('Lease Cycles'!$AJ$20=1,0,'Lease Cycles'!$D$20*INDEX('Lease Cycles'!$FH$20:$FN$20,1,BY214)*IF(INDEX('Lease Cycles'!$EF$20:$EL$20,1,BY214)=1,1,IF(OR(INDEX('Lease Cycles'!$DY$20:$EE$20,1,BY214)=1,BY215&gt;0),1,1-INDEX('Lease Cycles'!$DD$20:$DJ$20,1,BY214)))),0)</f>
        <v>0</v>
      </c>
      <c r="BZ223" s="24">
        <f>IF(BZ216=1,IF('Lease Cycles'!$AJ$20=1,0,'Lease Cycles'!$D$20*INDEX('Lease Cycles'!$FH$20:$FN$20,1,BZ214)*IF(INDEX('Lease Cycles'!$EF$20:$EL$20,1,BZ214)=1,1,IF(OR(INDEX('Lease Cycles'!$DY$20:$EE$20,1,BZ214)=1,BZ215&gt;0),1,1-INDEX('Lease Cycles'!$DD$20:$DJ$20,1,BZ214)))),0)</f>
        <v>0</v>
      </c>
      <c r="CA223" s="24">
        <f>IF(CA216=1,IF('Lease Cycles'!$AJ$20=1,0,'Lease Cycles'!$D$20*INDEX('Lease Cycles'!$FH$20:$FN$20,1,CA214)*IF(INDEX('Lease Cycles'!$EF$20:$EL$20,1,CA214)=1,1,IF(OR(INDEX('Lease Cycles'!$DY$20:$EE$20,1,CA214)=1,CA215&gt;0),1,1-INDEX('Lease Cycles'!$DD$20:$DJ$20,1,CA214)))),0)</f>
        <v>0</v>
      </c>
      <c r="CB223" s="24">
        <f>IF(CB216=1,IF('Lease Cycles'!$AJ$20=1,0,'Lease Cycles'!$D$20*INDEX('Lease Cycles'!$FH$20:$FN$20,1,CB214)*IF(INDEX('Lease Cycles'!$EF$20:$EL$20,1,CB214)=1,1,IF(OR(INDEX('Lease Cycles'!$DY$20:$EE$20,1,CB214)=1,CB215&gt;0),1,1-INDEX('Lease Cycles'!$DD$20:$DJ$20,1,CB214)))),0)</f>
        <v>0</v>
      </c>
      <c r="CC223" s="24">
        <f>IF(CC216=1,IF('Lease Cycles'!$AJ$20=1,0,'Lease Cycles'!$D$20*INDEX('Lease Cycles'!$FH$20:$FN$20,1,CC214)*IF(INDEX('Lease Cycles'!$EF$20:$EL$20,1,CC214)=1,1,IF(OR(INDEX('Lease Cycles'!$DY$20:$EE$20,1,CC214)=1,CC215&gt;0),1,1-INDEX('Lease Cycles'!$DD$20:$DJ$20,1,CC214)))),0)</f>
        <v>0</v>
      </c>
      <c r="CD223" s="24">
        <f>IF(CD216=1,IF('Lease Cycles'!$AJ$20=1,0,'Lease Cycles'!$D$20*INDEX('Lease Cycles'!$FH$20:$FN$20,1,CD214)*IF(INDEX('Lease Cycles'!$EF$20:$EL$20,1,CD214)=1,1,IF(OR(INDEX('Lease Cycles'!$DY$20:$EE$20,1,CD214)=1,CD215&gt;0),1,1-INDEX('Lease Cycles'!$DD$20:$DJ$20,1,CD214)))),0)</f>
        <v>0</v>
      </c>
      <c r="CE223" s="24">
        <f>IF(CE216=1,IF('Lease Cycles'!$AJ$20=1,0,'Lease Cycles'!$D$20*INDEX('Lease Cycles'!$FH$20:$FN$20,1,CE214)*IF(INDEX('Lease Cycles'!$EF$20:$EL$20,1,CE214)=1,1,IF(OR(INDEX('Lease Cycles'!$DY$20:$EE$20,1,CE214)=1,CE215&gt;0),1,1-INDEX('Lease Cycles'!$DD$20:$DJ$20,1,CE214)))),0)</f>
        <v>0</v>
      </c>
      <c r="CF223" s="24">
        <f>IF(CF216=1,IF('Lease Cycles'!$AJ$20=1,0,'Lease Cycles'!$D$20*INDEX('Lease Cycles'!$FH$20:$FN$20,1,CF214)*IF(INDEX('Lease Cycles'!$EF$20:$EL$20,1,CF214)=1,1,IF(OR(INDEX('Lease Cycles'!$DY$20:$EE$20,1,CF214)=1,CF215&gt;0),1,1-INDEX('Lease Cycles'!$DD$20:$DJ$20,1,CF214)))),0)</f>
        <v>0</v>
      </c>
      <c r="CG223" s="24">
        <f>IF(CG216=1,IF('Lease Cycles'!$AJ$20=1,0,'Lease Cycles'!$D$20*INDEX('Lease Cycles'!$FH$20:$FN$20,1,CG214)*IF(INDEX('Lease Cycles'!$EF$20:$EL$20,1,CG214)=1,1,IF(OR(INDEX('Lease Cycles'!$DY$20:$EE$20,1,CG214)=1,CG215&gt;0),1,1-INDEX('Lease Cycles'!$DD$20:$DJ$20,1,CG214)))),0)</f>
        <v>0</v>
      </c>
      <c r="CH223" s="24">
        <f>IF(CH216=1,IF('Lease Cycles'!$AJ$20=1,0,'Lease Cycles'!$D$20*INDEX('Lease Cycles'!$FH$20:$FN$20,1,CH214)*IF(INDEX('Lease Cycles'!$EF$20:$EL$20,1,CH214)=1,1,IF(OR(INDEX('Lease Cycles'!$DY$20:$EE$20,1,CH214)=1,CH215&gt;0),1,1-INDEX('Lease Cycles'!$DD$20:$DJ$20,1,CH214)))),0)</f>
        <v>0</v>
      </c>
      <c r="CI223" s="24">
        <f>IF(CI216=1,IF('Lease Cycles'!$AJ$20=1,0,'Lease Cycles'!$D$20*INDEX('Lease Cycles'!$FH$20:$FN$20,1,CI214)*IF(INDEX('Lease Cycles'!$EF$20:$EL$20,1,CI214)=1,1,IF(OR(INDEX('Lease Cycles'!$DY$20:$EE$20,1,CI214)=1,CI215&gt;0),1,1-INDEX('Lease Cycles'!$DD$20:$DJ$20,1,CI214)))),0)</f>
        <v>0</v>
      </c>
      <c r="CJ223" s="24">
        <f>IF(CJ216=1,IF('Lease Cycles'!$AJ$20=1,0,'Lease Cycles'!$D$20*INDEX('Lease Cycles'!$FH$20:$FN$20,1,CJ214)*IF(INDEX('Lease Cycles'!$EF$20:$EL$20,1,CJ214)=1,1,IF(OR(INDEX('Lease Cycles'!$DY$20:$EE$20,1,CJ214)=1,CJ215&gt;0),1,1-INDEX('Lease Cycles'!$DD$20:$DJ$20,1,CJ214)))),0)</f>
        <v>0</v>
      </c>
      <c r="CK223" s="24">
        <f>IF(CK216=1,IF('Lease Cycles'!$AJ$20=1,0,'Lease Cycles'!$D$20*INDEX('Lease Cycles'!$FH$20:$FN$20,1,CK214)*IF(INDEX('Lease Cycles'!$EF$20:$EL$20,1,CK214)=1,1,IF(OR(INDEX('Lease Cycles'!$DY$20:$EE$20,1,CK214)=1,CK215&gt;0),1,1-INDEX('Lease Cycles'!$DD$20:$DJ$20,1,CK214)))),0)</f>
        <v>0</v>
      </c>
      <c r="CL223" s="24">
        <f>IF(CL216=1,IF('Lease Cycles'!$AJ$20=1,0,'Lease Cycles'!$D$20*INDEX('Lease Cycles'!$FH$20:$FN$20,1,CL214)*IF(INDEX('Lease Cycles'!$EF$20:$EL$20,1,CL214)=1,1,IF(OR(INDEX('Lease Cycles'!$DY$20:$EE$20,1,CL214)=1,CL215&gt;0),1,1-INDEX('Lease Cycles'!$DD$20:$DJ$20,1,CL214)))),0)</f>
        <v>0</v>
      </c>
      <c r="CM223" s="24">
        <f>IF(CM216=1,IF('Lease Cycles'!$AJ$20=1,0,'Lease Cycles'!$D$20*INDEX('Lease Cycles'!$FH$20:$FN$20,1,CM214)*IF(INDEX('Lease Cycles'!$EF$20:$EL$20,1,CM214)=1,1,IF(OR(INDEX('Lease Cycles'!$DY$20:$EE$20,1,CM214)=1,CM215&gt;0),1,1-INDEX('Lease Cycles'!$DD$20:$DJ$20,1,CM214)))),0)</f>
        <v>0</v>
      </c>
      <c r="CN223" s="24">
        <f>IF(CN216=1,IF('Lease Cycles'!$AJ$20=1,0,'Lease Cycles'!$D$20*INDEX('Lease Cycles'!$FH$20:$FN$20,1,CN214)*IF(INDEX('Lease Cycles'!$EF$20:$EL$20,1,CN214)=1,1,IF(OR(INDEX('Lease Cycles'!$DY$20:$EE$20,1,CN214)=1,CN215&gt;0),1,1-INDEX('Lease Cycles'!$DD$20:$DJ$20,1,CN214)))),0)</f>
        <v>0</v>
      </c>
      <c r="CO223" s="24">
        <f>IF(CO216=1,IF('Lease Cycles'!$AJ$20=1,0,'Lease Cycles'!$D$20*INDEX('Lease Cycles'!$FH$20:$FN$20,1,CO214)*IF(INDEX('Lease Cycles'!$EF$20:$EL$20,1,CO214)=1,1,IF(OR(INDEX('Lease Cycles'!$DY$20:$EE$20,1,CO214)=1,CO215&gt;0),1,1-INDEX('Lease Cycles'!$DD$20:$DJ$20,1,CO214)))),0)</f>
        <v>0</v>
      </c>
      <c r="CP223" s="24">
        <f>IF(CP216=1,IF('Lease Cycles'!$AJ$20=1,0,'Lease Cycles'!$D$20*INDEX('Lease Cycles'!$FH$20:$FN$20,1,CP214)*IF(INDEX('Lease Cycles'!$EF$20:$EL$20,1,CP214)=1,1,IF(OR(INDEX('Lease Cycles'!$DY$20:$EE$20,1,CP214)=1,CP215&gt;0),1,1-INDEX('Lease Cycles'!$DD$20:$DJ$20,1,CP214)))),0)</f>
        <v>0</v>
      </c>
      <c r="CQ223" s="24">
        <f>IF(CQ216=1,IF('Lease Cycles'!$AJ$20=1,0,'Lease Cycles'!$D$20*INDEX('Lease Cycles'!$FH$20:$FN$20,1,CQ214)*IF(INDEX('Lease Cycles'!$EF$20:$EL$20,1,CQ214)=1,1,IF(OR(INDEX('Lease Cycles'!$DY$20:$EE$20,1,CQ214)=1,CQ215&gt;0),1,1-INDEX('Lease Cycles'!$DD$20:$DJ$20,1,CQ214)))),0)</f>
        <v>0</v>
      </c>
      <c r="CR223" s="24">
        <f>IF(CR216=1,IF('Lease Cycles'!$AJ$20=1,0,'Lease Cycles'!$D$20*INDEX('Lease Cycles'!$FH$20:$FN$20,1,CR214)*IF(INDEX('Lease Cycles'!$EF$20:$EL$20,1,CR214)=1,1,IF(OR(INDEX('Lease Cycles'!$DY$20:$EE$20,1,CR214)=1,CR215&gt;0),1,1-INDEX('Lease Cycles'!$DD$20:$DJ$20,1,CR214)))),0)</f>
        <v>0</v>
      </c>
      <c r="CS223" s="24">
        <f>IF(CS216=1,IF('Lease Cycles'!$AJ$20=1,0,'Lease Cycles'!$D$20*INDEX('Lease Cycles'!$FH$20:$FN$20,1,CS214)*IF(INDEX('Lease Cycles'!$EF$20:$EL$20,1,CS214)=1,1,IF(OR(INDEX('Lease Cycles'!$DY$20:$EE$20,1,CS214)=1,CS215&gt;0),1,1-INDEX('Lease Cycles'!$DD$20:$DJ$20,1,CS214)))),0)</f>
        <v>0</v>
      </c>
      <c r="CT223" s="24">
        <f>IF(CT216=1,IF('Lease Cycles'!$AJ$20=1,0,'Lease Cycles'!$D$20*INDEX('Lease Cycles'!$FH$20:$FN$20,1,CT214)*IF(INDEX('Lease Cycles'!$EF$20:$EL$20,1,CT214)=1,1,IF(OR(INDEX('Lease Cycles'!$DY$20:$EE$20,1,CT214)=1,CT215&gt;0),1,1-INDEX('Lease Cycles'!$DD$20:$DJ$20,1,CT214)))),0)</f>
        <v>0</v>
      </c>
      <c r="CU223" s="24">
        <f>IF(CU216=1,IF('Lease Cycles'!$AJ$20=1,0,'Lease Cycles'!$D$20*INDEX('Lease Cycles'!$FH$20:$FN$20,1,CU214)*IF(INDEX('Lease Cycles'!$EF$20:$EL$20,1,CU214)=1,1,IF(OR(INDEX('Lease Cycles'!$DY$20:$EE$20,1,CU214)=1,CU215&gt;0),1,1-INDEX('Lease Cycles'!$DD$20:$DJ$20,1,CU214)))),0)</f>
        <v>0</v>
      </c>
      <c r="CV223" s="24">
        <f>IF(CV216=1,IF('Lease Cycles'!$AJ$20=1,0,'Lease Cycles'!$D$20*INDEX('Lease Cycles'!$FH$20:$FN$20,1,CV214)*IF(INDEX('Lease Cycles'!$EF$20:$EL$20,1,CV214)=1,1,IF(OR(INDEX('Lease Cycles'!$DY$20:$EE$20,1,CV214)=1,CV215&gt;0),1,1-INDEX('Lease Cycles'!$DD$20:$DJ$20,1,CV214)))),0)</f>
        <v>0</v>
      </c>
      <c r="CW223" s="24">
        <f>IF(CW216=1,IF('Lease Cycles'!$AJ$20=1,0,'Lease Cycles'!$D$20*INDEX('Lease Cycles'!$FH$20:$FN$20,1,CW214)*IF(INDEX('Lease Cycles'!$EF$20:$EL$20,1,CW214)=1,1,IF(OR(INDEX('Lease Cycles'!$DY$20:$EE$20,1,CW214)=1,CW215&gt;0),1,1-INDEX('Lease Cycles'!$DD$20:$DJ$20,1,CW214)))),0)</f>
        <v>0</v>
      </c>
      <c r="CX223" s="24">
        <f>IF(CX216=1,IF('Lease Cycles'!$AJ$20=1,0,'Lease Cycles'!$D$20*INDEX('Lease Cycles'!$FH$20:$FN$20,1,CX214)*IF(INDEX('Lease Cycles'!$EF$20:$EL$20,1,CX214)=1,1,IF(OR(INDEX('Lease Cycles'!$DY$20:$EE$20,1,CX214)=1,CX215&gt;0),1,1-INDEX('Lease Cycles'!$DD$20:$DJ$20,1,CX214)))),0)</f>
        <v>0</v>
      </c>
      <c r="CY223" s="24">
        <f>IF(CY216=1,IF('Lease Cycles'!$AJ$20=1,0,'Lease Cycles'!$D$20*INDEX('Lease Cycles'!$FH$20:$FN$20,1,CY214)*IF(INDEX('Lease Cycles'!$EF$20:$EL$20,1,CY214)=1,1,IF(OR(INDEX('Lease Cycles'!$DY$20:$EE$20,1,CY214)=1,CY215&gt;0),1,1-INDEX('Lease Cycles'!$DD$20:$DJ$20,1,CY214)))),0)</f>
        <v>0</v>
      </c>
      <c r="CZ223" s="24">
        <f>IF(CZ216=1,IF('Lease Cycles'!$AJ$20=1,0,'Lease Cycles'!$D$20*INDEX('Lease Cycles'!$FH$20:$FN$20,1,CZ214)*IF(INDEX('Lease Cycles'!$EF$20:$EL$20,1,CZ214)=1,1,IF(OR(INDEX('Lease Cycles'!$DY$20:$EE$20,1,CZ214)=1,CZ215&gt;0),1,1-INDEX('Lease Cycles'!$DD$20:$DJ$20,1,CZ214)))),0)</f>
        <v>0</v>
      </c>
      <c r="DA223" s="24">
        <f>IF(DA216=1,IF('Lease Cycles'!$AJ$20=1,0,'Lease Cycles'!$D$20*INDEX('Lease Cycles'!$FH$20:$FN$20,1,DA214)*IF(INDEX('Lease Cycles'!$EF$20:$EL$20,1,DA214)=1,1,IF(OR(INDEX('Lease Cycles'!$DY$20:$EE$20,1,DA214)=1,DA215&gt;0),1,1-INDEX('Lease Cycles'!$DD$20:$DJ$20,1,DA214)))),0)</f>
        <v>0</v>
      </c>
      <c r="DB223" s="24">
        <f>IF(DB216=1,IF('Lease Cycles'!$AJ$20=1,0,'Lease Cycles'!$D$20*INDEX('Lease Cycles'!$FH$20:$FN$20,1,DB214)*IF(INDEX('Lease Cycles'!$EF$20:$EL$20,1,DB214)=1,1,IF(OR(INDEX('Lease Cycles'!$DY$20:$EE$20,1,DB214)=1,DB215&gt;0),1,1-INDEX('Lease Cycles'!$DD$20:$DJ$20,1,DB214)))),0)</f>
        <v>0</v>
      </c>
      <c r="DC223" s="24">
        <f>IF(DC216=1,IF('Lease Cycles'!$AJ$20=1,0,'Lease Cycles'!$D$20*INDEX('Lease Cycles'!$FH$20:$FN$20,1,DC214)*IF(INDEX('Lease Cycles'!$EF$20:$EL$20,1,DC214)=1,1,IF(OR(INDEX('Lease Cycles'!$DY$20:$EE$20,1,DC214)=1,DC215&gt;0),1,1-INDEX('Lease Cycles'!$DD$20:$DJ$20,1,DC214)))),0)</f>
        <v>0</v>
      </c>
      <c r="DD223" s="24">
        <f>IF(DD216=1,IF('Lease Cycles'!$AJ$20=1,0,'Lease Cycles'!$D$20*INDEX('Lease Cycles'!$FH$20:$FN$20,1,DD214)*IF(INDEX('Lease Cycles'!$EF$20:$EL$20,1,DD214)=1,1,IF(OR(INDEX('Lease Cycles'!$DY$20:$EE$20,1,DD214)=1,DD215&gt;0),1,1-INDEX('Lease Cycles'!$DD$20:$DJ$20,1,DD214)))),0)</f>
        <v>0</v>
      </c>
      <c r="DE223" s="24">
        <f>IF(DE216=1,IF('Lease Cycles'!$AJ$20=1,0,'Lease Cycles'!$D$20*INDEX('Lease Cycles'!$FH$20:$FN$20,1,DE214)*IF(INDEX('Lease Cycles'!$EF$20:$EL$20,1,DE214)=1,1,IF(OR(INDEX('Lease Cycles'!$DY$20:$EE$20,1,DE214)=1,DE215&gt;0),1,1-INDEX('Lease Cycles'!$DD$20:$DJ$20,1,DE214)))),0)</f>
        <v>0</v>
      </c>
      <c r="DF223" s="24">
        <f>IF(DF216=1,IF('Lease Cycles'!$AJ$20=1,0,'Lease Cycles'!$D$20*INDEX('Lease Cycles'!$FH$20:$FN$20,1,DF214)*IF(INDEX('Lease Cycles'!$EF$20:$EL$20,1,DF214)=1,1,IF(OR(INDEX('Lease Cycles'!$DY$20:$EE$20,1,DF214)=1,DF215&gt;0),1,1-INDEX('Lease Cycles'!$DD$20:$DJ$20,1,DF214)))),0)</f>
        <v>0</v>
      </c>
      <c r="DG223" s="24">
        <f>IF(DG216=1,IF('Lease Cycles'!$AJ$20=1,0,'Lease Cycles'!$D$20*INDEX('Lease Cycles'!$FH$20:$FN$20,1,DG214)*IF(INDEX('Lease Cycles'!$EF$20:$EL$20,1,DG214)=1,1,IF(OR(INDEX('Lease Cycles'!$DY$20:$EE$20,1,DG214)=1,DG215&gt;0),1,1-INDEX('Lease Cycles'!$DD$20:$DJ$20,1,DG214)))),0)</f>
        <v>0</v>
      </c>
      <c r="DH223" s="24">
        <f>IF(DH216=1,IF('Lease Cycles'!$AJ$20=1,0,'Lease Cycles'!$D$20*INDEX('Lease Cycles'!$FH$20:$FN$20,1,DH214)*IF(INDEX('Lease Cycles'!$EF$20:$EL$20,1,DH214)=1,1,IF(OR(INDEX('Lease Cycles'!$DY$20:$EE$20,1,DH214)=1,DH215&gt;0),1,1-INDEX('Lease Cycles'!$DD$20:$DJ$20,1,DH214)))),0)</f>
        <v>0</v>
      </c>
      <c r="DI223" s="24">
        <f>IF(DI216=1,IF('Lease Cycles'!$AJ$20=1,0,'Lease Cycles'!$D$20*INDEX('Lease Cycles'!$FH$20:$FN$20,1,DI214)*IF(INDEX('Lease Cycles'!$EF$20:$EL$20,1,DI214)=1,1,IF(OR(INDEX('Lease Cycles'!$DY$20:$EE$20,1,DI214)=1,DI215&gt;0),1,1-INDEX('Lease Cycles'!$DD$20:$DJ$20,1,DI214)))),0)</f>
        <v>0</v>
      </c>
      <c r="DJ223" s="24">
        <f>IF(DJ216=1,IF('Lease Cycles'!$AJ$20=1,0,'Lease Cycles'!$D$20*INDEX('Lease Cycles'!$FH$20:$FN$20,1,DJ214)*IF(INDEX('Lease Cycles'!$EF$20:$EL$20,1,DJ214)=1,1,IF(OR(INDEX('Lease Cycles'!$DY$20:$EE$20,1,DJ214)=1,DJ215&gt;0),1,1-INDEX('Lease Cycles'!$DD$20:$DJ$20,1,DJ214)))),0)</f>
        <v>0</v>
      </c>
      <c r="DK223" s="24">
        <f>IF(DK216=1,IF('Lease Cycles'!$AJ$20=1,0,'Lease Cycles'!$D$20*INDEX('Lease Cycles'!$FH$20:$FN$20,1,DK214)*IF(INDEX('Lease Cycles'!$EF$20:$EL$20,1,DK214)=1,1,IF(OR(INDEX('Lease Cycles'!$DY$20:$EE$20,1,DK214)=1,DK215&gt;0),1,1-INDEX('Lease Cycles'!$DD$20:$DJ$20,1,DK214)))),0)</f>
        <v>0</v>
      </c>
      <c r="DL223" s="24">
        <f>IF(DL216=1,IF('Lease Cycles'!$AJ$20=1,0,'Lease Cycles'!$D$20*INDEX('Lease Cycles'!$FH$20:$FN$20,1,DL214)*IF(INDEX('Lease Cycles'!$EF$20:$EL$20,1,DL214)=1,1,IF(OR(INDEX('Lease Cycles'!$DY$20:$EE$20,1,DL214)=1,DL215&gt;0),1,1-INDEX('Lease Cycles'!$DD$20:$DJ$20,1,DL214)))),0)</f>
        <v>0</v>
      </c>
      <c r="DM223" s="24">
        <f>IF(DM216=1,IF('Lease Cycles'!$AJ$20=1,0,'Lease Cycles'!$D$20*INDEX('Lease Cycles'!$FH$20:$FN$20,1,DM214)*IF(INDEX('Lease Cycles'!$EF$20:$EL$20,1,DM214)=1,1,IF(OR(INDEX('Lease Cycles'!$DY$20:$EE$20,1,DM214)=1,DM215&gt;0),1,1-INDEX('Lease Cycles'!$DD$20:$DJ$20,1,DM214)))),0)</f>
        <v>0</v>
      </c>
      <c r="DN223" s="24">
        <f>IF(DN216=1,IF('Lease Cycles'!$AJ$20=1,0,'Lease Cycles'!$D$20*INDEX('Lease Cycles'!$FH$20:$FN$20,1,DN214)*IF(INDEX('Lease Cycles'!$EF$20:$EL$20,1,DN214)=1,1,IF(OR(INDEX('Lease Cycles'!$DY$20:$EE$20,1,DN214)=1,DN215&gt;0),1,1-INDEX('Lease Cycles'!$DD$20:$DJ$20,1,DN214)))),0)</f>
        <v>0</v>
      </c>
      <c r="DO223" s="24">
        <f>IF(DO216=1,IF('Lease Cycles'!$AJ$20=1,0,'Lease Cycles'!$D$20*INDEX('Lease Cycles'!$FH$20:$FN$20,1,DO214)*IF(INDEX('Lease Cycles'!$EF$20:$EL$20,1,DO214)=1,1,IF(OR(INDEX('Lease Cycles'!$DY$20:$EE$20,1,DO214)=1,DO215&gt;0),1,1-INDEX('Lease Cycles'!$DD$20:$DJ$20,1,DO214)))),0)</f>
        <v>0</v>
      </c>
      <c r="DP223" s="24">
        <f>IF(DP216=1,IF('Lease Cycles'!$AJ$20=1,0,'Lease Cycles'!$D$20*INDEX('Lease Cycles'!$FH$20:$FN$20,1,DP214)*IF(INDEX('Lease Cycles'!$EF$20:$EL$20,1,DP214)=1,1,IF(OR(INDEX('Lease Cycles'!$DY$20:$EE$20,1,DP214)=1,DP215&gt;0),1,1-INDEX('Lease Cycles'!$DD$20:$DJ$20,1,DP214)))),0)</f>
        <v>0</v>
      </c>
      <c r="DQ223" s="24">
        <f>IF(DQ216=1,IF('Lease Cycles'!$AJ$20=1,0,'Lease Cycles'!$D$20*INDEX('Lease Cycles'!$FH$20:$FN$20,1,DQ214)*IF(INDEX('Lease Cycles'!$EF$20:$EL$20,1,DQ214)=1,1,IF(OR(INDEX('Lease Cycles'!$DY$20:$EE$20,1,DQ214)=1,DQ215&gt;0),1,1-INDEX('Lease Cycles'!$DD$20:$DJ$20,1,DQ214)))),0)</f>
        <v>0</v>
      </c>
      <c r="DR223" s="24">
        <f>IF(DR216=1,IF('Lease Cycles'!$AJ$20=1,0,'Lease Cycles'!$D$20*INDEX('Lease Cycles'!$FH$20:$FN$20,1,DR214)*IF(INDEX('Lease Cycles'!$EF$20:$EL$20,1,DR214)=1,1,IF(OR(INDEX('Lease Cycles'!$DY$20:$EE$20,1,DR214)=1,DR215&gt;0),1,1-INDEX('Lease Cycles'!$DD$20:$DJ$20,1,DR214)))),0)</f>
        <v>0</v>
      </c>
      <c r="DS223" s="24">
        <f>IF(DS216=1,IF('Lease Cycles'!$AJ$20=1,0,'Lease Cycles'!$D$20*INDEX('Lease Cycles'!$FH$20:$FN$20,1,DS214)*IF(INDEX('Lease Cycles'!$EF$20:$EL$20,1,DS214)=1,1,IF(OR(INDEX('Lease Cycles'!$DY$20:$EE$20,1,DS214)=1,DS215&gt;0),1,1-INDEX('Lease Cycles'!$DD$20:$DJ$20,1,DS214)))),0)</f>
        <v>0</v>
      </c>
      <c r="DT223" s="24">
        <f>IF(DT216=1,IF('Lease Cycles'!$AJ$20=1,0,'Lease Cycles'!$D$20*INDEX('Lease Cycles'!$FH$20:$FN$20,1,DT214)*IF(INDEX('Lease Cycles'!$EF$20:$EL$20,1,DT214)=1,1,IF(OR(INDEX('Lease Cycles'!$DY$20:$EE$20,1,DT214)=1,DT215&gt;0),1,1-INDEX('Lease Cycles'!$DD$20:$DJ$20,1,DT214)))),0)</f>
        <v>0</v>
      </c>
      <c r="DU223" s="24">
        <f>IF(DU216=1,IF('Lease Cycles'!$AJ$20=1,0,'Lease Cycles'!$D$20*INDEX('Lease Cycles'!$FH$20:$FN$20,1,DU214)*IF(INDEX('Lease Cycles'!$EF$20:$EL$20,1,DU214)=1,1,IF(OR(INDEX('Lease Cycles'!$DY$20:$EE$20,1,DU214)=1,DU215&gt;0),1,1-INDEX('Lease Cycles'!$DD$20:$DJ$20,1,DU214)))),0)</f>
        <v>0</v>
      </c>
      <c r="DV223" s="24">
        <f>IF(DV216=1,IF('Lease Cycles'!$AJ$20=1,0,'Lease Cycles'!$D$20*INDEX('Lease Cycles'!$FH$20:$FN$20,1,DV214)*IF(INDEX('Lease Cycles'!$EF$20:$EL$20,1,DV214)=1,1,IF(OR(INDEX('Lease Cycles'!$DY$20:$EE$20,1,DV214)=1,DV215&gt;0),1,1-INDEX('Lease Cycles'!$DD$20:$DJ$20,1,DV214)))),0)</f>
        <v>0</v>
      </c>
      <c r="DW223" s="24">
        <f>IF(DW216=1,IF('Lease Cycles'!$AJ$20=1,0,'Lease Cycles'!$D$20*INDEX('Lease Cycles'!$FH$20:$FN$20,1,DW214)*IF(INDEX('Lease Cycles'!$EF$20:$EL$20,1,DW214)=1,1,IF(OR(INDEX('Lease Cycles'!$DY$20:$EE$20,1,DW214)=1,DW215&gt;0),1,1-INDEX('Lease Cycles'!$DD$20:$DJ$20,1,DW214)))),0)</f>
        <v>0</v>
      </c>
      <c r="DX223" s="24">
        <f>IF(DX216=1,IF('Lease Cycles'!$AJ$20=1,0,'Lease Cycles'!$D$20*INDEX('Lease Cycles'!$FH$20:$FN$20,1,DX214)*IF(INDEX('Lease Cycles'!$EF$20:$EL$20,1,DX214)=1,1,IF(OR(INDEX('Lease Cycles'!$DY$20:$EE$20,1,DX214)=1,DX215&gt;0),1,1-INDEX('Lease Cycles'!$DD$20:$DJ$20,1,DX214)))),0)</f>
        <v>0</v>
      </c>
      <c r="DY223" s="24">
        <f>IF(DY216=1,IF('Lease Cycles'!$AJ$20=1,0,'Lease Cycles'!$D$20*INDEX('Lease Cycles'!$FH$20:$FN$20,1,DY214)*IF(INDEX('Lease Cycles'!$EF$20:$EL$20,1,DY214)=1,1,IF(OR(INDEX('Lease Cycles'!$DY$20:$EE$20,1,DY214)=1,DY215&gt;0),1,1-INDEX('Lease Cycles'!$DD$20:$DJ$20,1,DY214)))),0)</f>
        <v>0</v>
      </c>
      <c r="DZ223" s="24">
        <f>IF(DZ216=1,IF('Lease Cycles'!$AJ$20=1,0,'Lease Cycles'!$D$20*INDEX('Lease Cycles'!$FH$20:$FN$20,1,DZ214)*IF(INDEX('Lease Cycles'!$EF$20:$EL$20,1,DZ214)=1,1,IF(OR(INDEX('Lease Cycles'!$DY$20:$EE$20,1,DZ214)=1,DZ215&gt;0),1,1-INDEX('Lease Cycles'!$DD$20:$DJ$20,1,DZ214)))),0)</f>
        <v>0</v>
      </c>
      <c r="EA223" s="24">
        <f>IF(EA216=1,IF('Lease Cycles'!$AJ$20=1,0,'Lease Cycles'!$D$20*INDEX('Lease Cycles'!$FH$20:$FN$20,1,EA214)*IF(INDEX('Lease Cycles'!$EF$20:$EL$20,1,EA214)=1,1,IF(OR(INDEX('Lease Cycles'!$DY$20:$EE$20,1,EA214)=1,EA215&gt;0),1,1-INDEX('Lease Cycles'!$DD$20:$DJ$20,1,EA214)))),0)</f>
        <v>0</v>
      </c>
      <c r="EB223" s="24">
        <f>IF(EB216=1,IF('Lease Cycles'!$AJ$20=1,0,'Lease Cycles'!$D$20*INDEX('Lease Cycles'!$FH$20:$FN$20,1,EB214)*IF(INDEX('Lease Cycles'!$EF$20:$EL$20,1,EB214)=1,1,IF(OR(INDEX('Lease Cycles'!$DY$20:$EE$20,1,EB214)=1,EB215&gt;0),1,1-INDEX('Lease Cycles'!$DD$20:$DJ$20,1,EB214)))),0)</f>
        <v>0</v>
      </c>
      <c r="EC223" s="24">
        <f>IF(EC216=1,IF('Lease Cycles'!$AJ$20=1,0,'Lease Cycles'!$D$20*INDEX('Lease Cycles'!$FH$20:$FN$20,1,EC214)*IF(INDEX('Lease Cycles'!$EF$20:$EL$20,1,EC214)=1,1,IF(OR(INDEX('Lease Cycles'!$DY$20:$EE$20,1,EC214)=1,EC215&gt;0),1,1-INDEX('Lease Cycles'!$DD$20:$DJ$20,1,EC214)))),0)</f>
        <v>0</v>
      </c>
      <c r="ED223" s="24">
        <f>IF(ED216=1,IF('Lease Cycles'!$AJ$20=1,0,'Lease Cycles'!$D$20*INDEX('Lease Cycles'!$FH$20:$FN$20,1,ED214)*IF(INDEX('Lease Cycles'!$EF$20:$EL$20,1,ED214)=1,1,IF(OR(INDEX('Lease Cycles'!$DY$20:$EE$20,1,ED214)=1,ED215&gt;0),1,1-INDEX('Lease Cycles'!$DD$20:$DJ$20,1,ED214)))),0)</f>
        <v>0</v>
      </c>
      <c r="EE223" s="24">
        <f>IF(EE216=1,IF('Lease Cycles'!$AJ$20=1,0,'Lease Cycles'!$D$20*INDEX('Lease Cycles'!$FH$20:$FN$20,1,EE214)*IF(INDEX('Lease Cycles'!$EF$20:$EL$20,1,EE214)=1,1,IF(OR(INDEX('Lease Cycles'!$DY$20:$EE$20,1,EE214)=1,EE215&gt;0),1,1-INDEX('Lease Cycles'!$DD$20:$DJ$20,1,EE214)))),0)</f>
        <v>0</v>
      </c>
      <c r="EF223" s="24">
        <f>IF(EF216=1,IF('Lease Cycles'!$AJ$20=1,0,'Lease Cycles'!$D$20*INDEX('Lease Cycles'!$FH$20:$FN$20,1,EF214)*IF(INDEX('Lease Cycles'!$EF$20:$EL$20,1,EF214)=1,1,IF(OR(INDEX('Lease Cycles'!$DY$20:$EE$20,1,EF214)=1,EF215&gt;0),1,1-INDEX('Lease Cycles'!$DD$20:$DJ$20,1,EF214)))),0)</f>
        <v>0</v>
      </c>
      <c r="EG223" s="24">
        <f>IF(EG216=1,IF('Lease Cycles'!$AJ$20=1,0,'Lease Cycles'!$D$20*INDEX('Lease Cycles'!$FH$20:$FN$20,1,EG214)*IF(INDEX('Lease Cycles'!$EF$20:$EL$20,1,EG214)=1,1,IF(OR(INDEX('Lease Cycles'!$DY$20:$EE$20,1,EG214)=1,EG215&gt;0),1,1-INDEX('Lease Cycles'!$DD$20:$DJ$20,1,EG214)))),0)</f>
        <v>0</v>
      </c>
      <c r="EH223" s="24">
        <f>IF(EH216=1,IF('Lease Cycles'!$AJ$20=1,0,'Lease Cycles'!$D$20*INDEX('Lease Cycles'!$FH$20:$FN$20,1,EH214)*IF(INDEX('Lease Cycles'!$EF$20:$EL$20,1,EH214)=1,1,IF(OR(INDEX('Lease Cycles'!$DY$20:$EE$20,1,EH214)=1,EH215&gt;0),1,1-INDEX('Lease Cycles'!$DD$20:$DJ$20,1,EH214)))),0)</f>
        <v>0</v>
      </c>
      <c r="EI223" s="24">
        <f>IF(EI216=1,IF('Lease Cycles'!$AJ$20=1,0,'Lease Cycles'!$D$20*INDEX('Lease Cycles'!$FH$20:$FN$20,1,EI214)*IF(INDEX('Lease Cycles'!$EF$20:$EL$20,1,EI214)=1,1,IF(OR(INDEX('Lease Cycles'!$DY$20:$EE$20,1,EI214)=1,EI215&gt;0),1,1-INDEX('Lease Cycles'!$DD$20:$DJ$20,1,EI214)))),0)</f>
        <v>0</v>
      </c>
      <c r="EJ223" s="24">
        <f>IF(EJ216=1,IF('Lease Cycles'!$AJ$20=1,0,'Lease Cycles'!$D$20*INDEX('Lease Cycles'!$FH$20:$FN$20,1,EJ214)*IF(INDEX('Lease Cycles'!$EF$20:$EL$20,1,EJ214)=1,1,IF(OR(INDEX('Lease Cycles'!$DY$20:$EE$20,1,EJ214)=1,EJ215&gt;0),1,1-INDEX('Lease Cycles'!$DD$20:$DJ$20,1,EJ214)))),0)</f>
        <v>0</v>
      </c>
      <c r="EK223" s="24">
        <f>IF(EK216=1,IF('Lease Cycles'!$AJ$20=1,0,'Lease Cycles'!$D$20*INDEX('Lease Cycles'!$FH$20:$FN$20,1,EK214)*IF(INDEX('Lease Cycles'!$EF$20:$EL$20,1,EK214)=1,1,IF(OR(INDEX('Lease Cycles'!$DY$20:$EE$20,1,EK214)=1,EK215&gt;0),1,1-INDEX('Lease Cycles'!$DD$20:$DJ$20,1,EK214)))),0)</f>
        <v>0</v>
      </c>
      <c r="EL223" s="24">
        <f>IF(EL216=1,IF('Lease Cycles'!$AJ$20=1,0,'Lease Cycles'!$D$20*INDEX('Lease Cycles'!$FH$20:$FN$20,1,EL214)*IF(INDEX('Lease Cycles'!$EF$20:$EL$20,1,EL214)=1,1,IF(OR(INDEX('Lease Cycles'!$DY$20:$EE$20,1,EL214)=1,EL215&gt;0),1,1-INDEX('Lease Cycles'!$DD$20:$DJ$20,1,EL214)))),0)</f>
        <v>0</v>
      </c>
      <c r="EM223" s="24">
        <f>IF(EM216=1,IF('Lease Cycles'!$AJ$20=1,0,'Lease Cycles'!$D$20*INDEX('Lease Cycles'!$FH$20:$FN$20,1,EM214)*IF(INDEX('Lease Cycles'!$EF$20:$EL$20,1,EM214)=1,1,IF(OR(INDEX('Lease Cycles'!$DY$20:$EE$20,1,EM214)=1,EM215&gt;0),1,1-INDEX('Lease Cycles'!$DD$20:$DJ$20,1,EM214)))),0)</f>
        <v>0</v>
      </c>
      <c r="EN223" s="24">
        <f>IF(EN216=1,IF('Lease Cycles'!$AJ$20=1,0,'Lease Cycles'!$D$20*INDEX('Lease Cycles'!$FH$20:$FN$20,1,EN214)*IF(INDEX('Lease Cycles'!$EF$20:$EL$20,1,EN214)=1,1,IF(OR(INDEX('Lease Cycles'!$DY$20:$EE$20,1,EN214)=1,EN215&gt;0),1,1-INDEX('Lease Cycles'!$DD$20:$DJ$20,1,EN214)))),0)</f>
        <v>0</v>
      </c>
      <c r="EO223" s="24">
        <f>IF(EO216=1,IF('Lease Cycles'!$AJ$20=1,0,'Lease Cycles'!$D$20*INDEX('Lease Cycles'!$FH$20:$FN$20,1,EO214)*IF(INDEX('Lease Cycles'!$EF$20:$EL$20,1,EO214)=1,1,IF(OR(INDEX('Lease Cycles'!$DY$20:$EE$20,1,EO214)=1,EO215&gt;0),1,1-INDEX('Lease Cycles'!$DD$20:$DJ$20,1,EO214)))),0)</f>
        <v>0</v>
      </c>
      <c r="EP223" s="24">
        <f>IF(EP216=1,IF('Lease Cycles'!$AJ$20=1,0,'Lease Cycles'!$D$20*INDEX('Lease Cycles'!$FH$20:$FN$20,1,EP214)*IF(INDEX('Lease Cycles'!$EF$20:$EL$20,1,EP214)=1,1,IF(OR(INDEX('Lease Cycles'!$DY$20:$EE$20,1,EP214)=1,EP215&gt;0),1,1-INDEX('Lease Cycles'!$DD$20:$DJ$20,1,EP214)))),0)</f>
        <v>0</v>
      </c>
      <c r="EQ223" s="24">
        <f>IF(EQ216=1,IF('Lease Cycles'!$AJ$20=1,0,'Lease Cycles'!$D$20*INDEX('Lease Cycles'!$FH$20:$FN$20,1,EQ214)*IF(INDEX('Lease Cycles'!$EF$20:$EL$20,1,EQ214)=1,1,IF(OR(INDEX('Lease Cycles'!$DY$20:$EE$20,1,EQ214)=1,EQ215&gt;0),1,1-INDEX('Lease Cycles'!$DD$20:$DJ$20,1,EQ214)))),0)</f>
        <v>0</v>
      </c>
      <c r="ER223" s="24">
        <f>IF(ER216=1,IF('Lease Cycles'!$AJ$20=1,0,'Lease Cycles'!$D$20*INDEX('Lease Cycles'!$FH$20:$FN$20,1,ER214)*IF(INDEX('Lease Cycles'!$EF$20:$EL$20,1,ER214)=1,1,IF(OR(INDEX('Lease Cycles'!$DY$20:$EE$20,1,ER214)=1,ER215&gt;0),1,1-INDEX('Lease Cycles'!$DD$20:$DJ$20,1,ER214)))),0)</f>
        <v>0</v>
      </c>
      <c r="ES223" s="24">
        <f>IF(ES216=1,IF('Lease Cycles'!$AJ$20=1,0,'Lease Cycles'!$D$20*INDEX('Lease Cycles'!$FH$20:$FN$20,1,ES214)*IF(INDEX('Lease Cycles'!$EF$20:$EL$20,1,ES214)=1,1,IF(OR(INDEX('Lease Cycles'!$DY$20:$EE$20,1,ES214)=1,ES215&gt;0),1,1-INDEX('Lease Cycles'!$DD$20:$DJ$20,1,ES214)))),0)</f>
        <v>0</v>
      </c>
      <c r="ET223" s="24">
        <f>IF(ET216=1,IF('Lease Cycles'!$AJ$20=1,0,'Lease Cycles'!$D$20*INDEX('Lease Cycles'!$FH$20:$FN$20,1,ET214)*IF(INDEX('Lease Cycles'!$EF$20:$EL$20,1,ET214)=1,1,IF(OR(INDEX('Lease Cycles'!$DY$20:$EE$20,1,ET214)=1,ET215&gt;0),1,1-INDEX('Lease Cycles'!$DD$20:$DJ$20,1,ET214)))),0)</f>
        <v>0</v>
      </c>
    </row>
    <row r="224">
      <c r="A224" s="103">
        <v>13</v>
      </c>
      <c r="B224" s="23" t="str">
        <f>IF('Lease Cycles'!$B$20="","(empty slot)",'Lease Cycles'!$B$20)</f>
        <v>(empty slot)</v>
      </c>
      <c r="C224" s="23" t="s">
        <v>687</v>
      </c>
      <c r="D224" s="104" t="s">
        <v>688</v>
      </c>
      <c r="E224" s="25">
        <f>'Lease Cycles'!$AL$20</f>
        <v>0</v>
      </c>
      <c r="G224" s="24">
        <f>SUM(S224:AD224)</f>
        <v>0</v>
      </c>
      <c r="H224" s="24">
        <f>SUM(AE224:AP224)</f>
        <v>0</v>
      </c>
      <c r="I224" s="24">
        <f>SUM(AQ224:BB224)</f>
        <v>0</v>
      </c>
      <c r="J224" s="24">
        <f>SUM(BC224:BN224)</f>
        <v>0</v>
      </c>
      <c r="K224" s="24">
        <f>SUM(BO224:BZ224)</f>
        <v>0</v>
      </c>
      <c r="L224" s="24">
        <f>SUM(CA224:CL224)</f>
        <v>0</v>
      </c>
      <c r="M224" s="24">
        <f>SUM(CM224:CX224)</f>
        <v>0</v>
      </c>
      <c r="N224" s="24">
        <f>SUM(CY224:DJ224)</f>
        <v>0</v>
      </c>
      <c r="O224" s="24">
        <f>SUM(DK224:DV224)</f>
        <v>0</v>
      </c>
      <c r="P224" s="24">
        <f>SUM(DW224:EH224)</f>
        <v>0</v>
      </c>
      <c r="Q224" s="24">
        <f>SUM(EI224:ET224)</f>
        <v>0</v>
      </c>
      <c r="S224" s="24">
        <f>IF(S216=1,'Lease Cycles'!$D$20*IF(INDEX('Lease Cycles'!$EF$20:$EL$20,1,S214)=1,'Lease Cycles'!$AJ$20*INDEX('Lease Cycles'!$FO$20:$FU$20,1,S214)*INDEX('Lease Cycles'!$EM$20:$ES$20,1,S214)+'Lease Cycles'!$BE$20*IF(S215&lt;INDEX('Lease Cycles'!$FA$20:$FG$20,1,S214),0,1-INDEX('Lease Cycles'!$EM$20:$ES$20,1,S214)),IF(OR(INDEX('Lease Cycles'!$DY$20:$EE$20,1,S214)=1,S215&gt;0),1,1-INDEX('Lease Cycles'!$DD$20:$DJ$20,1,S214))*('Lease Cycles'!$AJ$20*INDEX('Lease Cycles'!$FO$20:$FU$20,1,S214)+'Lease Cycles'!$BE$20*(1-INDEX('Lease Cycles'!$FO$20:$FU$20,1,S214)))),0)</f>
        <v>0</v>
      </c>
      <c r="T224" s="24">
        <f>IF(T216=1,'Lease Cycles'!$D$20*IF(INDEX('Lease Cycles'!$EF$20:$EL$20,1,T214)=1,'Lease Cycles'!$AJ$20*INDEX('Lease Cycles'!$FO$20:$FU$20,1,T214)*INDEX('Lease Cycles'!$EM$20:$ES$20,1,T214)+'Lease Cycles'!$BE$20*IF(T215&lt;INDEX('Lease Cycles'!$FA$20:$FG$20,1,T214),0,1-INDEX('Lease Cycles'!$EM$20:$ES$20,1,T214)),IF(OR(INDEX('Lease Cycles'!$DY$20:$EE$20,1,T214)=1,T215&gt;0),1,1-INDEX('Lease Cycles'!$DD$20:$DJ$20,1,T214))*('Lease Cycles'!$AJ$20*INDEX('Lease Cycles'!$FO$20:$FU$20,1,T214)+'Lease Cycles'!$BE$20*(1-INDEX('Lease Cycles'!$FO$20:$FU$20,1,T214)))),0)</f>
        <v>0</v>
      </c>
      <c r="U224" s="24">
        <f>IF(U216=1,'Lease Cycles'!$D$20*IF(INDEX('Lease Cycles'!$EF$20:$EL$20,1,U214)=1,'Lease Cycles'!$AJ$20*INDEX('Lease Cycles'!$FO$20:$FU$20,1,U214)*INDEX('Lease Cycles'!$EM$20:$ES$20,1,U214)+'Lease Cycles'!$BE$20*IF(U215&lt;INDEX('Lease Cycles'!$FA$20:$FG$20,1,U214),0,1-INDEX('Lease Cycles'!$EM$20:$ES$20,1,U214)),IF(OR(INDEX('Lease Cycles'!$DY$20:$EE$20,1,U214)=1,U215&gt;0),1,1-INDEX('Lease Cycles'!$DD$20:$DJ$20,1,U214))*('Lease Cycles'!$AJ$20*INDEX('Lease Cycles'!$FO$20:$FU$20,1,U214)+'Lease Cycles'!$BE$20*(1-INDEX('Lease Cycles'!$FO$20:$FU$20,1,U214)))),0)</f>
        <v>0</v>
      </c>
      <c r="V224" s="24">
        <f>IF(V216=1,'Lease Cycles'!$D$20*IF(INDEX('Lease Cycles'!$EF$20:$EL$20,1,V214)=1,'Lease Cycles'!$AJ$20*INDEX('Lease Cycles'!$FO$20:$FU$20,1,V214)*INDEX('Lease Cycles'!$EM$20:$ES$20,1,V214)+'Lease Cycles'!$BE$20*IF(V215&lt;INDEX('Lease Cycles'!$FA$20:$FG$20,1,V214),0,1-INDEX('Lease Cycles'!$EM$20:$ES$20,1,V214)),IF(OR(INDEX('Lease Cycles'!$DY$20:$EE$20,1,V214)=1,V215&gt;0),1,1-INDEX('Lease Cycles'!$DD$20:$DJ$20,1,V214))*('Lease Cycles'!$AJ$20*INDEX('Lease Cycles'!$FO$20:$FU$20,1,V214)+'Lease Cycles'!$BE$20*(1-INDEX('Lease Cycles'!$FO$20:$FU$20,1,V214)))),0)</f>
        <v>0</v>
      </c>
      <c r="W224" s="24">
        <f>IF(W216=1,'Lease Cycles'!$D$20*IF(INDEX('Lease Cycles'!$EF$20:$EL$20,1,W214)=1,'Lease Cycles'!$AJ$20*INDEX('Lease Cycles'!$FO$20:$FU$20,1,W214)*INDEX('Lease Cycles'!$EM$20:$ES$20,1,W214)+'Lease Cycles'!$BE$20*IF(W215&lt;INDEX('Lease Cycles'!$FA$20:$FG$20,1,W214),0,1-INDEX('Lease Cycles'!$EM$20:$ES$20,1,W214)),IF(OR(INDEX('Lease Cycles'!$DY$20:$EE$20,1,W214)=1,W215&gt;0),1,1-INDEX('Lease Cycles'!$DD$20:$DJ$20,1,W214))*('Lease Cycles'!$AJ$20*INDEX('Lease Cycles'!$FO$20:$FU$20,1,W214)+'Lease Cycles'!$BE$20*(1-INDEX('Lease Cycles'!$FO$20:$FU$20,1,W214)))),0)</f>
        <v>0</v>
      </c>
      <c r="X224" s="24">
        <f>IF(X216=1,'Lease Cycles'!$D$20*IF(INDEX('Lease Cycles'!$EF$20:$EL$20,1,X214)=1,'Lease Cycles'!$AJ$20*INDEX('Lease Cycles'!$FO$20:$FU$20,1,X214)*INDEX('Lease Cycles'!$EM$20:$ES$20,1,X214)+'Lease Cycles'!$BE$20*IF(X215&lt;INDEX('Lease Cycles'!$FA$20:$FG$20,1,X214),0,1-INDEX('Lease Cycles'!$EM$20:$ES$20,1,X214)),IF(OR(INDEX('Lease Cycles'!$DY$20:$EE$20,1,X214)=1,X215&gt;0),1,1-INDEX('Lease Cycles'!$DD$20:$DJ$20,1,X214))*('Lease Cycles'!$AJ$20*INDEX('Lease Cycles'!$FO$20:$FU$20,1,X214)+'Lease Cycles'!$BE$20*(1-INDEX('Lease Cycles'!$FO$20:$FU$20,1,X214)))),0)</f>
        <v>0</v>
      </c>
      <c r="Y224" s="24">
        <f>IF(Y216=1,'Lease Cycles'!$D$20*IF(INDEX('Lease Cycles'!$EF$20:$EL$20,1,Y214)=1,'Lease Cycles'!$AJ$20*INDEX('Lease Cycles'!$FO$20:$FU$20,1,Y214)*INDEX('Lease Cycles'!$EM$20:$ES$20,1,Y214)+'Lease Cycles'!$BE$20*IF(Y215&lt;INDEX('Lease Cycles'!$FA$20:$FG$20,1,Y214),0,1-INDEX('Lease Cycles'!$EM$20:$ES$20,1,Y214)),IF(OR(INDEX('Lease Cycles'!$DY$20:$EE$20,1,Y214)=1,Y215&gt;0),1,1-INDEX('Lease Cycles'!$DD$20:$DJ$20,1,Y214))*('Lease Cycles'!$AJ$20*INDEX('Lease Cycles'!$FO$20:$FU$20,1,Y214)+'Lease Cycles'!$BE$20*(1-INDEX('Lease Cycles'!$FO$20:$FU$20,1,Y214)))),0)</f>
        <v>0</v>
      </c>
      <c r="Z224" s="24">
        <f>IF(Z216=1,'Lease Cycles'!$D$20*IF(INDEX('Lease Cycles'!$EF$20:$EL$20,1,Z214)=1,'Lease Cycles'!$AJ$20*INDEX('Lease Cycles'!$FO$20:$FU$20,1,Z214)*INDEX('Lease Cycles'!$EM$20:$ES$20,1,Z214)+'Lease Cycles'!$BE$20*IF(Z215&lt;INDEX('Lease Cycles'!$FA$20:$FG$20,1,Z214),0,1-INDEX('Lease Cycles'!$EM$20:$ES$20,1,Z214)),IF(OR(INDEX('Lease Cycles'!$DY$20:$EE$20,1,Z214)=1,Z215&gt;0),1,1-INDEX('Lease Cycles'!$DD$20:$DJ$20,1,Z214))*('Lease Cycles'!$AJ$20*INDEX('Lease Cycles'!$FO$20:$FU$20,1,Z214)+'Lease Cycles'!$BE$20*(1-INDEX('Lease Cycles'!$FO$20:$FU$20,1,Z214)))),0)</f>
        <v>0</v>
      </c>
      <c r="AA224" s="24">
        <f>IF(AA216=1,'Lease Cycles'!$D$20*IF(INDEX('Lease Cycles'!$EF$20:$EL$20,1,AA214)=1,'Lease Cycles'!$AJ$20*INDEX('Lease Cycles'!$FO$20:$FU$20,1,AA214)*INDEX('Lease Cycles'!$EM$20:$ES$20,1,AA214)+'Lease Cycles'!$BE$20*IF(AA215&lt;INDEX('Lease Cycles'!$FA$20:$FG$20,1,AA214),0,1-INDEX('Lease Cycles'!$EM$20:$ES$20,1,AA214)),IF(OR(INDEX('Lease Cycles'!$DY$20:$EE$20,1,AA214)=1,AA215&gt;0),1,1-INDEX('Lease Cycles'!$DD$20:$DJ$20,1,AA214))*('Lease Cycles'!$AJ$20*INDEX('Lease Cycles'!$FO$20:$FU$20,1,AA214)+'Lease Cycles'!$BE$20*(1-INDEX('Lease Cycles'!$FO$20:$FU$20,1,AA214)))),0)</f>
        <v>0</v>
      </c>
      <c r="AB224" s="24">
        <f>IF(AB216=1,'Lease Cycles'!$D$20*IF(INDEX('Lease Cycles'!$EF$20:$EL$20,1,AB214)=1,'Lease Cycles'!$AJ$20*INDEX('Lease Cycles'!$FO$20:$FU$20,1,AB214)*INDEX('Lease Cycles'!$EM$20:$ES$20,1,AB214)+'Lease Cycles'!$BE$20*IF(AB215&lt;INDEX('Lease Cycles'!$FA$20:$FG$20,1,AB214),0,1-INDEX('Lease Cycles'!$EM$20:$ES$20,1,AB214)),IF(OR(INDEX('Lease Cycles'!$DY$20:$EE$20,1,AB214)=1,AB215&gt;0),1,1-INDEX('Lease Cycles'!$DD$20:$DJ$20,1,AB214))*('Lease Cycles'!$AJ$20*INDEX('Lease Cycles'!$FO$20:$FU$20,1,AB214)+'Lease Cycles'!$BE$20*(1-INDEX('Lease Cycles'!$FO$20:$FU$20,1,AB214)))),0)</f>
        <v>0</v>
      </c>
      <c r="AC224" s="24">
        <f>IF(AC216=1,'Lease Cycles'!$D$20*IF(INDEX('Lease Cycles'!$EF$20:$EL$20,1,AC214)=1,'Lease Cycles'!$AJ$20*INDEX('Lease Cycles'!$FO$20:$FU$20,1,AC214)*INDEX('Lease Cycles'!$EM$20:$ES$20,1,AC214)+'Lease Cycles'!$BE$20*IF(AC215&lt;INDEX('Lease Cycles'!$FA$20:$FG$20,1,AC214),0,1-INDEX('Lease Cycles'!$EM$20:$ES$20,1,AC214)),IF(OR(INDEX('Lease Cycles'!$DY$20:$EE$20,1,AC214)=1,AC215&gt;0),1,1-INDEX('Lease Cycles'!$DD$20:$DJ$20,1,AC214))*('Lease Cycles'!$AJ$20*INDEX('Lease Cycles'!$FO$20:$FU$20,1,AC214)+'Lease Cycles'!$BE$20*(1-INDEX('Lease Cycles'!$FO$20:$FU$20,1,AC214)))),0)</f>
        <v>0</v>
      </c>
      <c r="AD224" s="24">
        <f>IF(AD216=1,'Lease Cycles'!$D$20*IF(INDEX('Lease Cycles'!$EF$20:$EL$20,1,AD214)=1,'Lease Cycles'!$AJ$20*INDEX('Lease Cycles'!$FO$20:$FU$20,1,AD214)*INDEX('Lease Cycles'!$EM$20:$ES$20,1,AD214)+'Lease Cycles'!$BE$20*IF(AD215&lt;INDEX('Lease Cycles'!$FA$20:$FG$20,1,AD214),0,1-INDEX('Lease Cycles'!$EM$20:$ES$20,1,AD214)),IF(OR(INDEX('Lease Cycles'!$DY$20:$EE$20,1,AD214)=1,AD215&gt;0),1,1-INDEX('Lease Cycles'!$DD$20:$DJ$20,1,AD214))*('Lease Cycles'!$AJ$20*INDEX('Lease Cycles'!$FO$20:$FU$20,1,AD214)+'Lease Cycles'!$BE$20*(1-INDEX('Lease Cycles'!$FO$20:$FU$20,1,AD214)))),0)</f>
        <v>0</v>
      </c>
      <c r="AE224" s="24">
        <f>IF(AE216=1,'Lease Cycles'!$D$20*IF(INDEX('Lease Cycles'!$EF$20:$EL$20,1,AE214)=1,'Lease Cycles'!$AJ$20*INDEX('Lease Cycles'!$FO$20:$FU$20,1,AE214)*INDEX('Lease Cycles'!$EM$20:$ES$20,1,AE214)+'Lease Cycles'!$BE$20*IF(AE215&lt;INDEX('Lease Cycles'!$FA$20:$FG$20,1,AE214),0,1-INDEX('Lease Cycles'!$EM$20:$ES$20,1,AE214)),IF(OR(INDEX('Lease Cycles'!$DY$20:$EE$20,1,AE214)=1,AE215&gt;0),1,1-INDEX('Lease Cycles'!$DD$20:$DJ$20,1,AE214))*('Lease Cycles'!$AJ$20*INDEX('Lease Cycles'!$FO$20:$FU$20,1,AE214)+'Lease Cycles'!$BE$20*(1-INDEX('Lease Cycles'!$FO$20:$FU$20,1,AE214)))),0)</f>
        <v>0</v>
      </c>
      <c r="AF224" s="24">
        <f>IF(AF216=1,'Lease Cycles'!$D$20*IF(INDEX('Lease Cycles'!$EF$20:$EL$20,1,AF214)=1,'Lease Cycles'!$AJ$20*INDEX('Lease Cycles'!$FO$20:$FU$20,1,AF214)*INDEX('Lease Cycles'!$EM$20:$ES$20,1,AF214)+'Lease Cycles'!$BE$20*IF(AF215&lt;INDEX('Lease Cycles'!$FA$20:$FG$20,1,AF214),0,1-INDEX('Lease Cycles'!$EM$20:$ES$20,1,AF214)),IF(OR(INDEX('Lease Cycles'!$DY$20:$EE$20,1,AF214)=1,AF215&gt;0),1,1-INDEX('Lease Cycles'!$DD$20:$DJ$20,1,AF214))*('Lease Cycles'!$AJ$20*INDEX('Lease Cycles'!$FO$20:$FU$20,1,AF214)+'Lease Cycles'!$BE$20*(1-INDEX('Lease Cycles'!$FO$20:$FU$20,1,AF214)))),0)</f>
        <v>0</v>
      </c>
      <c r="AG224" s="24">
        <f>IF(AG216=1,'Lease Cycles'!$D$20*IF(INDEX('Lease Cycles'!$EF$20:$EL$20,1,AG214)=1,'Lease Cycles'!$AJ$20*INDEX('Lease Cycles'!$FO$20:$FU$20,1,AG214)*INDEX('Lease Cycles'!$EM$20:$ES$20,1,AG214)+'Lease Cycles'!$BE$20*IF(AG215&lt;INDEX('Lease Cycles'!$FA$20:$FG$20,1,AG214),0,1-INDEX('Lease Cycles'!$EM$20:$ES$20,1,AG214)),IF(OR(INDEX('Lease Cycles'!$DY$20:$EE$20,1,AG214)=1,AG215&gt;0),1,1-INDEX('Lease Cycles'!$DD$20:$DJ$20,1,AG214))*('Lease Cycles'!$AJ$20*INDEX('Lease Cycles'!$FO$20:$FU$20,1,AG214)+'Lease Cycles'!$BE$20*(1-INDEX('Lease Cycles'!$FO$20:$FU$20,1,AG214)))),0)</f>
        <v>0</v>
      </c>
      <c r="AH224" s="24">
        <f>IF(AH216=1,'Lease Cycles'!$D$20*IF(INDEX('Lease Cycles'!$EF$20:$EL$20,1,AH214)=1,'Lease Cycles'!$AJ$20*INDEX('Lease Cycles'!$FO$20:$FU$20,1,AH214)*INDEX('Lease Cycles'!$EM$20:$ES$20,1,AH214)+'Lease Cycles'!$BE$20*IF(AH215&lt;INDEX('Lease Cycles'!$FA$20:$FG$20,1,AH214),0,1-INDEX('Lease Cycles'!$EM$20:$ES$20,1,AH214)),IF(OR(INDEX('Lease Cycles'!$DY$20:$EE$20,1,AH214)=1,AH215&gt;0),1,1-INDEX('Lease Cycles'!$DD$20:$DJ$20,1,AH214))*('Lease Cycles'!$AJ$20*INDEX('Lease Cycles'!$FO$20:$FU$20,1,AH214)+'Lease Cycles'!$BE$20*(1-INDEX('Lease Cycles'!$FO$20:$FU$20,1,AH214)))),0)</f>
        <v>0</v>
      </c>
      <c r="AI224" s="24">
        <f>IF(AI216=1,'Lease Cycles'!$D$20*IF(INDEX('Lease Cycles'!$EF$20:$EL$20,1,AI214)=1,'Lease Cycles'!$AJ$20*INDEX('Lease Cycles'!$FO$20:$FU$20,1,AI214)*INDEX('Lease Cycles'!$EM$20:$ES$20,1,AI214)+'Lease Cycles'!$BE$20*IF(AI215&lt;INDEX('Lease Cycles'!$FA$20:$FG$20,1,AI214),0,1-INDEX('Lease Cycles'!$EM$20:$ES$20,1,AI214)),IF(OR(INDEX('Lease Cycles'!$DY$20:$EE$20,1,AI214)=1,AI215&gt;0),1,1-INDEX('Lease Cycles'!$DD$20:$DJ$20,1,AI214))*('Lease Cycles'!$AJ$20*INDEX('Lease Cycles'!$FO$20:$FU$20,1,AI214)+'Lease Cycles'!$BE$20*(1-INDEX('Lease Cycles'!$FO$20:$FU$20,1,AI214)))),0)</f>
        <v>0</v>
      </c>
      <c r="AJ224" s="24">
        <f>IF(AJ216=1,'Lease Cycles'!$D$20*IF(INDEX('Lease Cycles'!$EF$20:$EL$20,1,AJ214)=1,'Lease Cycles'!$AJ$20*INDEX('Lease Cycles'!$FO$20:$FU$20,1,AJ214)*INDEX('Lease Cycles'!$EM$20:$ES$20,1,AJ214)+'Lease Cycles'!$BE$20*IF(AJ215&lt;INDEX('Lease Cycles'!$FA$20:$FG$20,1,AJ214),0,1-INDEX('Lease Cycles'!$EM$20:$ES$20,1,AJ214)),IF(OR(INDEX('Lease Cycles'!$DY$20:$EE$20,1,AJ214)=1,AJ215&gt;0),1,1-INDEX('Lease Cycles'!$DD$20:$DJ$20,1,AJ214))*('Lease Cycles'!$AJ$20*INDEX('Lease Cycles'!$FO$20:$FU$20,1,AJ214)+'Lease Cycles'!$BE$20*(1-INDEX('Lease Cycles'!$FO$20:$FU$20,1,AJ214)))),0)</f>
        <v>0</v>
      </c>
      <c r="AK224" s="24">
        <f>IF(AK216=1,'Lease Cycles'!$D$20*IF(INDEX('Lease Cycles'!$EF$20:$EL$20,1,AK214)=1,'Lease Cycles'!$AJ$20*INDEX('Lease Cycles'!$FO$20:$FU$20,1,AK214)*INDEX('Lease Cycles'!$EM$20:$ES$20,1,AK214)+'Lease Cycles'!$BE$20*IF(AK215&lt;INDEX('Lease Cycles'!$FA$20:$FG$20,1,AK214),0,1-INDEX('Lease Cycles'!$EM$20:$ES$20,1,AK214)),IF(OR(INDEX('Lease Cycles'!$DY$20:$EE$20,1,AK214)=1,AK215&gt;0),1,1-INDEX('Lease Cycles'!$DD$20:$DJ$20,1,AK214))*('Lease Cycles'!$AJ$20*INDEX('Lease Cycles'!$FO$20:$FU$20,1,AK214)+'Lease Cycles'!$BE$20*(1-INDEX('Lease Cycles'!$FO$20:$FU$20,1,AK214)))),0)</f>
        <v>0</v>
      </c>
      <c r="AL224" s="24">
        <f>IF(AL216=1,'Lease Cycles'!$D$20*IF(INDEX('Lease Cycles'!$EF$20:$EL$20,1,AL214)=1,'Lease Cycles'!$AJ$20*INDEX('Lease Cycles'!$FO$20:$FU$20,1,AL214)*INDEX('Lease Cycles'!$EM$20:$ES$20,1,AL214)+'Lease Cycles'!$BE$20*IF(AL215&lt;INDEX('Lease Cycles'!$FA$20:$FG$20,1,AL214),0,1-INDEX('Lease Cycles'!$EM$20:$ES$20,1,AL214)),IF(OR(INDEX('Lease Cycles'!$DY$20:$EE$20,1,AL214)=1,AL215&gt;0),1,1-INDEX('Lease Cycles'!$DD$20:$DJ$20,1,AL214))*('Lease Cycles'!$AJ$20*INDEX('Lease Cycles'!$FO$20:$FU$20,1,AL214)+'Lease Cycles'!$BE$20*(1-INDEX('Lease Cycles'!$FO$20:$FU$20,1,AL214)))),0)</f>
        <v>0</v>
      </c>
      <c r="AM224" s="24">
        <f>IF(AM216=1,'Lease Cycles'!$D$20*IF(INDEX('Lease Cycles'!$EF$20:$EL$20,1,AM214)=1,'Lease Cycles'!$AJ$20*INDEX('Lease Cycles'!$FO$20:$FU$20,1,AM214)*INDEX('Lease Cycles'!$EM$20:$ES$20,1,AM214)+'Lease Cycles'!$BE$20*IF(AM215&lt;INDEX('Lease Cycles'!$FA$20:$FG$20,1,AM214),0,1-INDEX('Lease Cycles'!$EM$20:$ES$20,1,AM214)),IF(OR(INDEX('Lease Cycles'!$DY$20:$EE$20,1,AM214)=1,AM215&gt;0),1,1-INDEX('Lease Cycles'!$DD$20:$DJ$20,1,AM214))*('Lease Cycles'!$AJ$20*INDEX('Lease Cycles'!$FO$20:$FU$20,1,AM214)+'Lease Cycles'!$BE$20*(1-INDEX('Lease Cycles'!$FO$20:$FU$20,1,AM214)))),0)</f>
        <v>0</v>
      </c>
      <c r="AN224" s="24">
        <f>IF(AN216=1,'Lease Cycles'!$D$20*IF(INDEX('Lease Cycles'!$EF$20:$EL$20,1,AN214)=1,'Lease Cycles'!$AJ$20*INDEX('Lease Cycles'!$FO$20:$FU$20,1,AN214)*INDEX('Lease Cycles'!$EM$20:$ES$20,1,AN214)+'Lease Cycles'!$BE$20*IF(AN215&lt;INDEX('Lease Cycles'!$FA$20:$FG$20,1,AN214),0,1-INDEX('Lease Cycles'!$EM$20:$ES$20,1,AN214)),IF(OR(INDEX('Lease Cycles'!$DY$20:$EE$20,1,AN214)=1,AN215&gt;0),1,1-INDEX('Lease Cycles'!$DD$20:$DJ$20,1,AN214))*('Lease Cycles'!$AJ$20*INDEX('Lease Cycles'!$FO$20:$FU$20,1,AN214)+'Lease Cycles'!$BE$20*(1-INDEX('Lease Cycles'!$FO$20:$FU$20,1,AN214)))),0)</f>
        <v>0</v>
      </c>
      <c r="AO224" s="24">
        <f>IF(AO216=1,'Lease Cycles'!$D$20*IF(INDEX('Lease Cycles'!$EF$20:$EL$20,1,AO214)=1,'Lease Cycles'!$AJ$20*INDEX('Lease Cycles'!$FO$20:$FU$20,1,AO214)*INDEX('Lease Cycles'!$EM$20:$ES$20,1,AO214)+'Lease Cycles'!$BE$20*IF(AO215&lt;INDEX('Lease Cycles'!$FA$20:$FG$20,1,AO214),0,1-INDEX('Lease Cycles'!$EM$20:$ES$20,1,AO214)),IF(OR(INDEX('Lease Cycles'!$DY$20:$EE$20,1,AO214)=1,AO215&gt;0),1,1-INDEX('Lease Cycles'!$DD$20:$DJ$20,1,AO214))*('Lease Cycles'!$AJ$20*INDEX('Lease Cycles'!$FO$20:$FU$20,1,AO214)+'Lease Cycles'!$BE$20*(1-INDEX('Lease Cycles'!$FO$20:$FU$20,1,AO214)))),0)</f>
        <v>0</v>
      </c>
      <c r="AP224" s="24">
        <f>IF(AP216=1,'Lease Cycles'!$D$20*IF(INDEX('Lease Cycles'!$EF$20:$EL$20,1,AP214)=1,'Lease Cycles'!$AJ$20*INDEX('Lease Cycles'!$FO$20:$FU$20,1,AP214)*INDEX('Lease Cycles'!$EM$20:$ES$20,1,AP214)+'Lease Cycles'!$BE$20*IF(AP215&lt;INDEX('Lease Cycles'!$FA$20:$FG$20,1,AP214),0,1-INDEX('Lease Cycles'!$EM$20:$ES$20,1,AP214)),IF(OR(INDEX('Lease Cycles'!$DY$20:$EE$20,1,AP214)=1,AP215&gt;0),1,1-INDEX('Lease Cycles'!$DD$20:$DJ$20,1,AP214))*('Lease Cycles'!$AJ$20*INDEX('Lease Cycles'!$FO$20:$FU$20,1,AP214)+'Lease Cycles'!$BE$20*(1-INDEX('Lease Cycles'!$FO$20:$FU$20,1,AP214)))),0)</f>
        <v>0</v>
      </c>
      <c r="AQ224" s="24">
        <f>IF(AQ216=1,'Lease Cycles'!$D$20*IF(INDEX('Lease Cycles'!$EF$20:$EL$20,1,AQ214)=1,'Lease Cycles'!$AJ$20*INDEX('Lease Cycles'!$FO$20:$FU$20,1,AQ214)*INDEX('Lease Cycles'!$EM$20:$ES$20,1,AQ214)+'Lease Cycles'!$BE$20*IF(AQ215&lt;INDEX('Lease Cycles'!$FA$20:$FG$20,1,AQ214),0,1-INDEX('Lease Cycles'!$EM$20:$ES$20,1,AQ214)),IF(OR(INDEX('Lease Cycles'!$DY$20:$EE$20,1,AQ214)=1,AQ215&gt;0),1,1-INDEX('Lease Cycles'!$DD$20:$DJ$20,1,AQ214))*('Lease Cycles'!$AJ$20*INDEX('Lease Cycles'!$FO$20:$FU$20,1,AQ214)+'Lease Cycles'!$BE$20*(1-INDEX('Lease Cycles'!$FO$20:$FU$20,1,AQ214)))),0)</f>
        <v>0</v>
      </c>
      <c r="AR224" s="24">
        <f>IF(AR216=1,'Lease Cycles'!$D$20*IF(INDEX('Lease Cycles'!$EF$20:$EL$20,1,AR214)=1,'Lease Cycles'!$AJ$20*INDEX('Lease Cycles'!$FO$20:$FU$20,1,AR214)*INDEX('Lease Cycles'!$EM$20:$ES$20,1,AR214)+'Lease Cycles'!$BE$20*IF(AR215&lt;INDEX('Lease Cycles'!$FA$20:$FG$20,1,AR214),0,1-INDEX('Lease Cycles'!$EM$20:$ES$20,1,AR214)),IF(OR(INDEX('Lease Cycles'!$DY$20:$EE$20,1,AR214)=1,AR215&gt;0),1,1-INDEX('Lease Cycles'!$DD$20:$DJ$20,1,AR214))*('Lease Cycles'!$AJ$20*INDEX('Lease Cycles'!$FO$20:$FU$20,1,AR214)+'Lease Cycles'!$BE$20*(1-INDEX('Lease Cycles'!$FO$20:$FU$20,1,AR214)))),0)</f>
        <v>0</v>
      </c>
      <c r="AS224" s="24">
        <f>IF(AS216=1,'Lease Cycles'!$D$20*IF(INDEX('Lease Cycles'!$EF$20:$EL$20,1,AS214)=1,'Lease Cycles'!$AJ$20*INDEX('Lease Cycles'!$FO$20:$FU$20,1,AS214)*INDEX('Lease Cycles'!$EM$20:$ES$20,1,AS214)+'Lease Cycles'!$BE$20*IF(AS215&lt;INDEX('Lease Cycles'!$FA$20:$FG$20,1,AS214),0,1-INDEX('Lease Cycles'!$EM$20:$ES$20,1,AS214)),IF(OR(INDEX('Lease Cycles'!$DY$20:$EE$20,1,AS214)=1,AS215&gt;0),1,1-INDEX('Lease Cycles'!$DD$20:$DJ$20,1,AS214))*('Lease Cycles'!$AJ$20*INDEX('Lease Cycles'!$FO$20:$FU$20,1,AS214)+'Lease Cycles'!$BE$20*(1-INDEX('Lease Cycles'!$FO$20:$FU$20,1,AS214)))),0)</f>
        <v>0</v>
      </c>
      <c r="AT224" s="24">
        <f>IF(AT216=1,'Lease Cycles'!$D$20*IF(INDEX('Lease Cycles'!$EF$20:$EL$20,1,AT214)=1,'Lease Cycles'!$AJ$20*INDEX('Lease Cycles'!$FO$20:$FU$20,1,AT214)*INDEX('Lease Cycles'!$EM$20:$ES$20,1,AT214)+'Lease Cycles'!$BE$20*IF(AT215&lt;INDEX('Lease Cycles'!$FA$20:$FG$20,1,AT214),0,1-INDEX('Lease Cycles'!$EM$20:$ES$20,1,AT214)),IF(OR(INDEX('Lease Cycles'!$DY$20:$EE$20,1,AT214)=1,AT215&gt;0),1,1-INDEX('Lease Cycles'!$DD$20:$DJ$20,1,AT214))*('Lease Cycles'!$AJ$20*INDEX('Lease Cycles'!$FO$20:$FU$20,1,AT214)+'Lease Cycles'!$BE$20*(1-INDEX('Lease Cycles'!$FO$20:$FU$20,1,AT214)))),0)</f>
        <v>0</v>
      </c>
      <c r="AU224" s="24">
        <f>IF(AU216=1,'Lease Cycles'!$D$20*IF(INDEX('Lease Cycles'!$EF$20:$EL$20,1,AU214)=1,'Lease Cycles'!$AJ$20*INDEX('Lease Cycles'!$FO$20:$FU$20,1,AU214)*INDEX('Lease Cycles'!$EM$20:$ES$20,1,AU214)+'Lease Cycles'!$BE$20*IF(AU215&lt;INDEX('Lease Cycles'!$FA$20:$FG$20,1,AU214),0,1-INDEX('Lease Cycles'!$EM$20:$ES$20,1,AU214)),IF(OR(INDEX('Lease Cycles'!$DY$20:$EE$20,1,AU214)=1,AU215&gt;0),1,1-INDEX('Lease Cycles'!$DD$20:$DJ$20,1,AU214))*('Lease Cycles'!$AJ$20*INDEX('Lease Cycles'!$FO$20:$FU$20,1,AU214)+'Lease Cycles'!$BE$20*(1-INDEX('Lease Cycles'!$FO$20:$FU$20,1,AU214)))),0)</f>
        <v>0</v>
      </c>
      <c r="AV224" s="24">
        <f>IF(AV216=1,'Lease Cycles'!$D$20*IF(INDEX('Lease Cycles'!$EF$20:$EL$20,1,AV214)=1,'Lease Cycles'!$AJ$20*INDEX('Lease Cycles'!$FO$20:$FU$20,1,AV214)*INDEX('Lease Cycles'!$EM$20:$ES$20,1,AV214)+'Lease Cycles'!$BE$20*IF(AV215&lt;INDEX('Lease Cycles'!$FA$20:$FG$20,1,AV214),0,1-INDEX('Lease Cycles'!$EM$20:$ES$20,1,AV214)),IF(OR(INDEX('Lease Cycles'!$DY$20:$EE$20,1,AV214)=1,AV215&gt;0),1,1-INDEX('Lease Cycles'!$DD$20:$DJ$20,1,AV214))*('Lease Cycles'!$AJ$20*INDEX('Lease Cycles'!$FO$20:$FU$20,1,AV214)+'Lease Cycles'!$BE$20*(1-INDEX('Lease Cycles'!$FO$20:$FU$20,1,AV214)))),0)</f>
        <v>0</v>
      </c>
      <c r="AW224" s="24">
        <f>IF(AW216=1,'Lease Cycles'!$D$20*IF(INDEX('Lease Cycles'!$EF$20:$EL$20,1,AW214)=1,'Lease Cycles'!$AJ$20*INDEX('Lease Cycles'!$FO$20:$FU$20,1,AW214)*INDEX('Lease Cycles'!$EM$20:$ES$20,1,AW214)+'Lease Cycles'!$BE$20*IF(AW215&lt;INDEX('Lease Cycles'!$FA$20:$FG$20,1,AW214),0,1-INDEX('Lease Cycles'!$EM$20:$ES$20,1,AW214)),IF(OR(INDEX('Lease Cycles'!$DY$20:$EE$20,1,AW214)=1,AW215&gt;0),1,1-INDEX('Lease Cycles'!$DD$20:$DJ$20,1,AW214))*('Lease Cycles'!$AJ$20*INDEX('Lease Cycles'!$FO$20:$FU$20,1,AW214)+'Lease Cycles'!$BE$20*(1-INDEX('Lease Cycles'!$FO$20:$FU$20,1,AW214)))),0)</f>
        <v>0</v>
      </c>
      <c r="AX224" s="24">
        <f>IF(AX216=1,'Lease Cycles'!$D$20*IF(INDEX('Lease Cycles'!$EF$20:$EL$20,1,AX214)=1,'Lease Cycles'!$AJ$20*INDEX('Lease Cycles'!$FO$20:$FU$20,1,AX214)*INDEX('Lease Cycles'!$EM$20:$ES$20,1,AX214)+'Lease Cycles'!$BE$20*IF(AX215&lt;INDEX('Lease Cycles'!$FA$20:$FG$20,1,AX214),0,1-INDEX('Lease Cycles'!$EM$20:$ES$20,1,AX214)),IF(OR(INDEX('Lease Cycles'!$DY$20:$EE$20,1,AX214)=1,AX215&gt;0),1,1-INDEX('Lease Cycles'!$DD$20:$DJ$20,1,AX214))*('Lease Cycles'!$AJ$20*INDEX('Lease Cycles'!$FO$20:$FU$20,1,AX214)+'Lease Cycles'!$BE$20*(1-INDEX('Lease Cycles'!$FO$20:$FU$20,1,AX214)))),0)</f>
        <v>0</v>
      </c>
      <c r="AY224" s="24">
        <f>IF(AY216=1,'Lease Cycles'!$D$20*IF(INDEX('Lease Cycles'!$EF$20:$EL$20,1,AY214)=1,'Lease Cycles'!$AJ$20*INDEX('Lease Cycles'!$FO$20:$FU$20,1,AY214)*INDEX('Lease Cycles'!$EM$20:$ES$20,1,AY214)+'Lease Cycles'!$BE$20*IF(AY215&lt;INDEX('Lease Cycles'!$FA$20:$FG$20,1,AY214),0,1-INDEX('Lease Cycles'!$EM$20:$ES$20,1,AY214)),IF(OR(INDEX('Lease Cycles'!$DY$20:$EE$20,1,AY214)=1,AY215&gt;0),1,1-INDEX('Lease Cycles'!$DD$20:$DJ$20,1,AY214))*('Lease Cycles'!$AJ$20*INDEX('Lease Cycles'!$FO$20:$FU$20,1,AY214)+'Lease Cycles'!$BE$20*(1-INDEX('Lease Cycles'!$FO$20:$FU$20,1,AY214)))),0)</f>
        <v>0</v>
      </c>
      <c r="AZ224" s="24">
        <f>IF(AZ216=1,'Lease Cycles'!$D$20*IF(INDEX('Lease Cycles'!$EF$20:$EL$20,1,AZ214)=1,'Lease Cycles'!$AJ$20*INDEX('Lease Cycles'!$FO$20:$FU$20,1,AZ214)*INDEX('Lease Cycles'!$EM$20:$ES$20,1,AZ214)+'Lease Cycles'!$BE$20*IF(AZ215&lt;INDEX('Lease Cycles'!$FA$20:$FG$20,1,AZ214),0,1-INDEX('Lease Cycles'!$EM$20:$ES$20,1,AZ214)),IF(OR(INDEX('Lease Cycles'!$DY$20:$EE$20,1,AZ214)=1,AZ215&gt;0),1,1-INDEX('Lease Cycles'!$DD$20:$DJ$20,1,AZ214))*('Lease Cycles'!$AJ$20*INDEX('Lease Cycles'!$FO$20:$FU$20,1,AZ214)+'Lease Cycles'!$BE$20*(1-INDEX('Lease Cycles'!$FO$20:$FU$20,1,AZ214)))),0)</f>
        <v>0</v>
      </c>
      <c r="BA224" s="24">
        <f>IF(BA216=1,'Lease Cycles'!$D$20*IF(INDEX('Lease Cycles'!$EF$20:$EL$20,1,BA214)=1,'Lease Cycles'!$AJ$20*INDEX('Lease Cycles'!$FO$20:$FU$20,1,BA214)*INDEX('Lease Cycles'!$EM$20:$ES$20,1,BA214)+'Lease Cycles'!$BE$20*IF(BA215&lt;INDEX('Lease Cycles'!$FA$20:$FG$20,1,BA214),0,1-INDEX('Lease Cycles'!$EM$20:$ES$20,1,BA214)),IF(OR(INDEX('Lease Cycles'!$DY$20:$EE$20,1,BA214)=1,BA215&gt;0),1,1-INDEX('Lease Cycles'!$DD$20:$DJ$20,1,BA214))*('Lease Cycles'!$AJ$20*INDEX('Lease Cycles'!$FO$20:$FU$20,1,BA214)+'Lease Cycles'!$BE$20*(1-INDEX('Lease Cycles'!$FO$20:$FU$20,1,BA214)))),0)</f>
        <v>0</v>
      </c>
      <c r="BB224" s="24">
        <f>IF(BB216=1,'Lease Cycles'!$D$20*IF(INDEX('Lease Cycles'!$EF$20:$EL$20,1,BB214)=1,'Lease Cycles'!$AJ$20*INDEX('Lease Cycles'!$FO$20:$FU$20,1,BB214)*INDEX('Lease Cycles'!$EM$20:$ES$20,1,BB214)+'Lease Cycles'!$BE$20*IF(BB215&lt;INDEX('Lease Cycles'!$FA$20:$FG$20,1,BB214),0,1-INDEX('Lease Cycles'!$EM$20:$ES$20,1,BB214)),IF(OR(INDEX('Lease Cycles'!$DY$20:$EE$20,1,BB214)=1,BB215&gt;0),1,1-INDEX('Lease Cycles'!$DD$20:$DJ$20,1,BB214))*('Lease Cycles'!$AJ$20*INDEX('Lease Cycles'!$FO$20:$FU$20,1,BB214)+'Lease Cycles'!$BE$20*(1-INDEX('Lease Cycles'!$FO$20:$FU$20,1,BB214)))),0)</f>
        <v>0</v>
      </c>
      <c r="BC224" s="24">
        <f>IF(BC216=1,'Lease Cycles'!$D$20*IF(INDEX('Lease Cycles'!$EF$20:$EL$20,1,BC214)=1,'Lease Cycles'!$AJ$20*INDEX('Lease Cycles'!$FO$20:$FU$20,1,BC214)*INDEX('Lease Cycles'!$EM$20:$ES$20,1,BC214)+'Lease Cycles'!$BE$20*IF(BC215&lt;INDEX('Lease Cycles'!$FA$20:$FG$20,1,BC214),0,1-INDEX('Lease Cycles'!$EM$20:$ES$20,1,BC214)),IF(OR(INDEX('Lease Cycles'!$DY$20:$EE$20,1,BC214)=1,BC215&gt;0),1,1-INDEX('Lease Cycles'!$DD$20:$DJ$20,1,BC214))*('Lease Cycles'!$AJ$20*INDEX('Lease Cycles'!$FO$20:$FU$20,1,BC214)+'Lease Cycles'!$BE$20*(1-INDEX('Lease Cycles'!$FO$20:$FU$20,1,BC214)))),0)</f>
        <v>0</v>
      </c>
      <c r="BD224" s="24">
        <f>IF(BD216=1,'Lease Cycles'!$D$20*IF(INDEX('Lease Cycles'!$EF$20:$EL$20,1,BD214)=1,'Lease Cycles'!$AJ$20*INDEX('Lease Cycles'!$FO$20:$FU$20,1,BD214)*INDEX('Lease Cycles'!$EM$20:$ES$20,1,BD214)+'Lease Cycles'!$BE$20*IF(BD215&lt;INDEX('Lease Cycles'!$FA$20:$FG$20,1,BD214),0,1-INDEX('Lease Cycles'!$EM$20:$ES$20,1,BD214)),IF(OR(INDEX('Lease Cycles'!$DY$20:$EE$20,1,BD214)=1,BD215&gt;0),1,1-INDEX('Lease Cycles'!$DD$20:$DJ$20,1,BD214))*('Lease Cycles'!$AJ$20*INDEX('Lease Cycles'!$FO$20:$FU$20,1,BD214)+'Lease Cycles'!$BE$20*(1-INDEX('Lease Cycles'!$FO$20:$FU$20,1,BD214)))),0)</f>
        <v>0</v>
      </c>
      <c r="BE224" s="24">
        <f>IF(BE216=1,'Lease Cycles'!$D$20*IF(INDEX('Lease Cycles'!$EF$20:$EL$20,1,BE214)=1,'Lease Cycles'!$AJ$20*INDEX('Lease Cycles'!$FO$20:$FU$20,1,BE214)*INDEX('Lease Cycles'!$EM$20:$ES$20,1,BE214)+'Lease Cycles'!$BE$20*IF(BE215&lt;INDEX('Lease Cycles'!$FA$20:$FG$20,1,BE214),0,1-INDEX('Lease Cycles'!$EM$20:$ES$20,1,BE214)),IF(OR(INDEX('Lease Cycles'!$DY$20:$EE$20,1,BE214)=1,BE215&gt;0),1,1-INDEX('Lease Cycles'!$DD$20:$DJ$20,1,BE214))*('Lease Cycles'!$AJ$20*INDEX('Lease Cycles'!$FO$20:$FU$20,1,BE214)+'Lease Cycles'!$BE$20*(1-INDEX('Lease Cycles'!$FO$20:$FU$20,1,BE214)))),0)</f>
        <v>0</v>
      </c>
      <c r="BF224" s="24">
        <f>IF(BF216=1,'Lease Cycles'!$D$20*IF(INDEX('Lease Cycles'!$EF$20:$EL$20,1,BF214)=1,'Lease Cycles'!$AJ$20*INDEX('Lease Cycles'!$FO$20:$FU$20,1,BF214)*INDEX('Lease Cycles'!$EM$20:$ES$20,1,BF214)+'Lease Cycles'!$BE$20*IF(BF215&lt;INDEX('Lease Cycles'!$FA$20:$FG$20,1,BF214),0,1-INDEX('Lease Cycles'!$EM$20:$ES$20,1,BF214)),IF(OR(INDEX('Lease Cycles'!$DY$20:$EE$20,1,BF214)=1,BF215&gt;0),1,1-INDEX('Lease Cycles'!$DD$20:$DJ$20,1,BF214))*('Lease Cycles'!$AJ$20*INDEX('Lease Cycles'!$FO$20:$FU$20,1,BF214)+'Lease Cycles'!$BE$20*(1-INDEX('Lease Cycles'!$FO$20:$FU$20,1,BF214)))),0)</f>
        <v>0</v>
      </c>
      <c r="BG224" s="24">
        <f>IF(BG216=1,'Lease Cycles'!$D$20*IF(INDEX('Lease Cycles'!$EF$20:$EL$20,1,BG214)=1,'Lease Cycles'!$AJ$20*INDEX('Lease Cycles'!$FO$20:$FU$20,1,BG214)*INDEX('Lease Cycles'!$EM$20:$ES$20,1,BG214)+'Lease Cycles'!$BE$20*IF(BG215&lt;INDEX('Lease Cycles'!$FA$20:$FG$20,1,BG214),0,1-INDEX('Lease Cycles'!$EM$20:$ES$20,1,BG214)),IF(OR(INDEX('Lease Cycles'!$DY$20:$EE$20,1,BG214)=1,BG215&gt;0),1,1-INDEX('Lease Cycles'!$DD$20:$DJ$20,1,BG214))*('Lease Cycles'!$AJ$20*INDEX('Lease Cycles'!$FO$20:$FU$20,1,BG214)+'Lease Cycles'!$BE$20*(1-INDEX('Lease Cycles'!$FO$20:$FU$20,1,BG214)))),0)</f>
        <v>0</v>
      </c>
      <c r="BH224" s="24">
        <f>IF(BH216=1,'Lease Cycles'!$D$20*IF(INDEX('Lease Cycles'!$EF$20:$EL$20,1,BH214)=1,'Lease Cycles'!$AJ$20*INDEX('Lease Cycles'!$FO$20:$FU$20,1,BH214)*INDEX('Lease Cycles'!$EM$20:$ES$20,1,BH214)+'Lease Cycles'!$BE$20*IF(BH215&lt;INDEX('Lease Cycles'!$FA$20:$FG$20,1,BH214),0,1-INDEX('Lease Cycles'!$EM$20:$ES$20,1,BH214)),IF(OR(INDEX('Lease Cycles'!$DY$20:$EE$20,1,BH214)=1,BH215&gt;0),1,1-INDEX('Lease Cycles'!$DD$20:$DJ$20,1,BH214))*('Lease Cycles'!$AJ$20*INDEX('Lease Cycles'!$FO$20:$FU$20,1,BH214)+'Lease Cycles'!$BE$20*(1-INDEX('Lease Cycles'!$FO$20:$FU$20,1,BH214)))),0)</f>
        <v>0</v>
      </c>
      <c r="BI224" s="24">
        <f>IF(BI216=1,'Lease Cycles'!$D$20*IF(INDEX('Lease Cycles'!$EF$20:$EL$20,1,BI214)=1,'Lease Cycles'!$AJ$20*INDEX('Lease Cycles'!$FO$20:$FU$20,1,BI214)*INDEX('Lease Cycles'!$EM$20:$ES$20,1,BI214)+'Lease Cycles'!$BE$20*IF(BI215&lt;INDEX('Lease Cycles'!$FA$20:$FG$20,1,BI214),0,1-INDEX('Lease Cycles'!$EM$20:$ES$20,1,BI214)),IF(OR(INDEX('Lease Cycles'!$DY$20:$EE$20,1,BI214)=1,BI215&gt;0),1,1-INDEX('Lease Cycles'!$DD$20:$DJ$20,1,BI214))*('Lease Cycles'!$AJ$20*INDEX('Lease Cycles'!$FO$20:$FU$20,1,BI214)+'Lease Cycles'!$BE$20*(1-INDEX('Lease Cycles'!$FO$20:$FU$20,1,BI214)))),0)</f>
        <v>0</v>
      </c>
      <c r="BJ224" s="24">
        <f>IF(BJ216=1,'Lease Cycles'!$D$20*IF(INDEX('Lease Cycles'!$EF$20:$EL$20,1,BJ214)=1,'Lease Cycles'!$AJ$20*INDEX('Lease Cycles'!$FO$20:$FU$20,1,BJ214)*INDEX('Lease Cycles'!$EM$20:$ES$20,1,BJ214)+'Lease Cycles'!$BE$20*IF(BJ215&lt;INDEX('Lease Cycles'!$FA$20:$FG$20,1,BJ214),0,1-INDEX('Lease Cycles'!$EM$20:$ES$20,1,BJ214)),IF(OR(INDEX('Lease Cycles'!$DY$20:$EE$20,1,BJ214)=1,BJ215&gt;0),1,1-INDEX('Lease Cycles'!$DD$20:$DJ$20,1,BJ214))*('Lease Cycles'!$AJ$20*INDEX('Lease Cycles'!$FO$20:$FU$20,1,BJ214)+'Lease Cycles'!$BE$20*(1-INDEX('Lease Cycles'!$FO$20:$FU$20,1,BJ214)))),0)</f>
        <v>0</v>
      </c>
      <c r="BK224" s="24">
        <f>IF(BK216=1,'Lease Cycles'!$D$20*IF(INDEX('Lease Cycles'!$EF$20:$EL$20,1,BK214)=1,'Lease Cycles'!$AJ$20*INDEX('Lease Cycles'!$FO$20:$FU$20,1,BK214)*INDEX('Lease Cycles'!$EM$20:$ES$20,1,BK214)+'Lease Cycles'!$BE$20*IF(BK215&lt;INDEX('Lease Cycles'!$FA$20:$FG$20,1,BK214),0,1-INDEX('Lease Cycles'!$EM$20:$ES$20,1,BK214)),IF(OR(INDEX('Lease Cycles'!$DY$20:$EE$20,1,BK214)=1,BK215&gt;0),1,1-INDEX('Lease Cycles'!$DD$20:$DJ$20,1,BK214))*('Lease Cycles'!$AJ$20*INDEX('Lease Cycles'!$FO$20:$FU$20,1,BK214)+'Lease Cycles'!$BE$20*(1-INDEX('Lease Cycles'!$FO$20:$FU$20,1,BK214)))),0)</f>
        <v>0</v>
      </c>
      <c r="BL224" s="24">
        <f>IF(BL216=1,'Lease Cycles'!$D$20*IF(INDEX('Lease Cycles'!$EF$20:$EL$20,1,BL214)=1,'Lease Cycles'!$AJ$20*INDEX('Lease Cycles'!$FO$20:$FU$20,1,BL214)*INDEX('Lease Cycles'!$EM$20:$ES$20,1,BL214)+'Lease Cycles'!$BE$20*IF(BL215&lt;INDEX('Lease Cycles'!$FA$20:$FG$20,1,BL214),0,1-INDEX('Lease Cycles'!$EM$20:$ES$20,1,BL214)),IF(OR(INDEX('Lease Cycles'!$DY$20:$EE$20,1,BL214)=1,BL215&gt;0),1,1-INDEX('Lease Cycles'!$DD$20:$DJ$20,1,BL214))*('Lease Cycles'!$AJ$20*INDEX('Lease Cycles'!$FO$20:$FU$20,1,BL214)+'Lease Cycles'!$BE$20*(1-INDEX('Lease Cycles'!$FO$20:$FU$20,1,BL214)))),0)</f>
        <v>0</v>
      </c>
      <c r="BM224" s="24">
        <f>IF(BM216=1,'Lease Cycles'!$D$20*IF(INDEX('Lease Cycles'!$EF$20:$EL$20,1,BM214)=1,'Lease Cycles'!$AJ$20*INDEX('Lease Cycles'!$FO$20:$FU$20,1,BM214)*INDEX('Lease Cycles'!$EM$20:$ES$20,1,BM214)+'Lease Cycles'!$BE$20*IF(BM215&lt;INDEX('Lease Cycles'!$FA$20:$FG$20,1,BM214),0,1-INDEX('Lease Cycles'!$EM$20:$ES$20,1,BM214)),IF(OR(INDEX('Lease Cycles'!$DY$20:$EE$20,1,BM214)=1,BM215&gt;0),1,1-INDEX('Lease Cycles'!$DD$20:$DJ$20,1,BM214))*('Lease Cycles'!$AJ$20*INDEX('Lease Cycles'!$FO$20:$FU$20,1,BM214)+'Lease Cycles'!$BE$20*(1-INDEX('Lease Cycles'!$FO$20:$FU$20,1,BM214)))),0)</f>
        <v>0</v>
      </c>
      <c r="BN224" s="24">
        <f>IF(BN216=1,'Lease Cycles'!$D$20*IF(INDEX('Lease Cycles'!$EF$20:$EL$20,1,BN214)=1,'Lease Cycles'!$AJ$20*INDEX('Lease Cycles'!$FO$20:$FU$20,1,BN214)*INDEX('Lease Cycles'!$EM$20:$ES$20,1,BN214)+'Lease Cycles'!$BE$20*IF(BN215&lt;INDEX('Lease Cycles'!$FA$20:$FG$20,1,BN214),0,1-INDEX('Lease Cycles'!$EM$20:$ES$20,1,BN214)),IF(OR(INDEX('Lease Cycles'!$DY$20:$EE$20,1,BN214)=1,BN215&gt;0),1,1-INDEX('Lease Cycles'!$DD$20:$DJ$20,1,BN214))*('Lease Cycles'!$AJ$20*INDEX('Lease Cycles'!$FO$20:$FU$20,1,BN214)+'Lease Cycles'!$BE$20*(1-INDEX('Lease Cycles'!$FO$20:$FU$20,1,BN214)))),0)</f>
        <v>0</v>
      </c>
      <c r="BO224" s="24">
        <f>IF(BO216=1,'Lease Cycles'!$D$20*IF(INDEX('Lease Cycles'!$EF$20:$EL$20,1,BO214)=1,'Lease Cycles'!$AJ$20*INDEX('Lease Cycles'!$FO$20:$FU$20,1,BO214)*INDEX('Lease Cycles'!$EM$20:$ES$20,1,BO214)+'Lease Cycles'!$BE$20*IF(BO215&lt;INDEX('Lease Cycles'!$FA$20:$FG$20,1,BO214),0,1-INDEX('Lease Cycles'!$EM$20:$ES$20,1,BO214)),IF(OR(INDEX('Lease Cycles'!$DY$20:$EE$20,1,BO214)=1,BO215&gt;0),1,1-INDEX('Lease Cycles'!$DD$20:$DJ$20,1,BO214))*('Lease Cycles'!$AJ$20*INDEX('Lease Cycles'!$FO$20:$FU$20,1,BO214)+'Lease Cycles'!$BE$20*(1-INDEX('Lease Cycles'!$FO$20:$FU$20,1,BO214)))),0)</f>
        <v>0</v>
      </c>
      <c r="BP224" s="24">
        <f>IF(BP216=1,'Lease Cycles'!$D$20*IF(INDEX('Lease Cycles'!$EF$20:$EL$20,1,BP214)=1,'Lease Cycles'!$AJ$20*INDEX('Lease Cycles'!$FO$20:$FU$20,1,BP214)*INDEX('Lease Cycles'!$EM$20:$ES$20,1,BP214)+'Lease Cycles'!$BE$20*IF(BP215&lt;INDEX('Lease Cycles'!$FA$20:$FG$20,1,BP214),0,1-INDEX('Lease Cycles'!$EM$20:$ES$20,1,BP214)),IF(OR(INDEX('Lease Cycles'!$DY$20:$EE$20,1,BP214)=1,BP215&gt;0),1,1-INDEX('Lease Cycles'!$DD$20:$DJ$20,1,BP214))*('Lease Cycles'!$AJ$20*INDEX('Lease Cycles'!$FO$20:$FU$20,1,BP214)+'Lease Cycles'!$BE$20*(1-INDEX('Lease Cycles'!$FO$20:$FU$20,1,BP214)))),0)</f>
        <v>0</v>
      </c>
      <c r="BQ224" s="24">
        <f>IF(BQ216=1,'Lease Cycles'!$D$20*IF(INDEX('Lease Cycles'!$EF$20:$EL$20,1,BQ214)=1,'Lease Cycles'!$AJ$20*INDEX('Lease Cycles'!$FO$20:$FU$20,1,BQ214)*INDEX('Lease Cycles'!$EM$20:$ES$20,1,BQ214)+'Lease Cycles'!$BE$20*IF(BQ215&lt;INDEX('Lease Cycles'!$FA$20:$FG$20,1,BQ214),0,1-INDEX('Lease Cycles'!$EM$20:$ES$20,1,BQ214)),IF(OR(INDEX('Lease Cycles'!$DY$20:$EE$20,1,BQ214)=1,BQ215&gt;0),1,1-INDEX('Lease Cycles'!$DD$20:$DJ$20,1,BQ214))*('Lease Cycles'!$AJ$20*INDEX('Lease Cycles'!$FO$20:$FU$20,1,BQ214)+'Lease Cycles'!$BE$20*(1-INDEX('Lease Cycles'!$FO$20:$FU$20,1,BQ214)))),0)</f>
        <v>0</v>
      </c>
      <c r="BR224" s="24">
        <f>IF(BR216=1,'Lease Cycles'!$D$20*IF(INDEX('Lease Cycles'!$EF$20:$EL$20,1,BR214)=1,'Lease Cycles'!$AJ$20*INDEX('Lease Cycles'!$FO$20:$FU$20,1,BR214)*INDEX('Lease Cycles'!$EM$20:$ES$20,1,BR214)+'Lease Cycles'!$BE$20*IF(BR215&lt;INDEX('Lease Cycles'!$FA$20:$FG$20,1,BR214),0,1-INDEX('Lease Cycles'!$EM$20:$ES$20,1,BR214)),IF(OR(INDEX('Lease Cycles'!$DY$20:$EE$20,1,BR214)=1,BR215&gt;0),1,1-INDEX('Lease Cycles'!$DD$20:$DJ$20,1,BR214))*('Lease Cycles'!$AJ$20*INDEX('Lease Cycles'!$FO$20:$FU$20,1,BR214)+'Lease Cycles'!$BE$20*(1-INDEX('Lease Cycles'!$FO$20:$FU$20,1,BR214)))),0)</f>
        <v>0</v>
      </c>
      <c r="BS224" s="24">
        <f>IF(BS216=1,'Lease Cycles'!$D$20*IF(INDEX('Lease Cycles'!$EF$20:$EL$20,1,BS214)=1,'Lease Cycles'!$AJ$20*INDEX('Lease Cycles'!$FO$20:$FU$20,1,BS214)*INDEX('Lease Cycles'!$EM$20:$ES$20,1,BS214)+'Lease Cycles'!$BE$20*IF(BS215&lt;INDEX('Lease Cycles'!$FA$20:$FG$20,1,BS214),0,1-INDEX('Lease Cycles'!$EM$20:$ES$20,1,BS214)),IF(OR(INDEX('Lease Cycles'!$DY$20:$EE$20,1,BS214)=1,BS215&gt;0),1,1-INDEX('Lease Cycles'!$DD$20:$DJ$20,1,BS214))*('Lease Cycles'!$AJ$20*INDEX('Lease Cycles'!$FO$20:$FU$20,1,BS214)+'Lease Cycles'!$BE$20*(1-INDEX('Lease Cycles'!$FO$20:$FU$20,1,BS214)))),0)</f>
        <v>0</v>
      </c>
      <c r="BT224" s="24">
        <f>IF(BT216=1,'Lease Cycles'!$D$20*IF(INDEX('Lease Cycles'!$EF$20:$EL$20,1,BT214)=1,'Lease Cycles'!$AJ$20*INDEX('Lease Cycles'!$FO$20:$FU$20,1,BT214)*INDEX('Lease Cycles'!$EM$20:$ES$20,1,BT214)+'Lease Cycles'!$BE$20*IF(BT215&lt;INDEX('Lease Cycles'!$FA$20:$FG$20,1,BT214),0,1-INDEX('Lease Cycles'!$EM$20:$ES$20,1,BT214)),IF(OR(INDEX('Lease Cycles'!$DY$20:$EE$20,1,BT214)=1,BT215&gt;0),1,1-INDEX('Lease Cycles'!$DD$20:$DJ$20,1,BT214))*('Lease Cycles'!$AJ$20*INDEX('Lease Cycles'!$FO$20:$FU$20,1,BT214)+'Lease Cycles'!$BE$20*(1-INDEX('Lease Cycles'!$FO$20:$FU$20,1,BT214)))),0)</f>
        <v>0</v>
      </c>
      <c r="BU224" s="24">
        <f>IF(BU216=1,'Lease Cycles'!$D$20*IF(INDEX('Lease Cycles'!$EF$20:$EL$20,1,BU214)=1,'Lease Cycles'!$AJ$20*INDEX('Lease Cycles'!$FO$20:$FU$20,1,BU214)*INDEX('Lease Cycles'!$EM$20:$ES$20,1,BU214)+'Lease Cycles'!$BE$20*IF(BU215&lt;INDEX('Lease Cycles'!$FA$20:$FG$20,1,BU214),0,1-INDEX('Lease Cycles'!$EM$20:$ES$20,1,BU214)),IF(OR(INDEX('Lease Cycles'!$DY$20:$EE$20,1,BU214)=1,BU215&gt;0),1,1-INDEX('Lease Cycles'!$DD$20:$DJ$20,1,BU214))*('Lease Cycles'!$AJ$20*INDEX('Lease Cycles'!$FO$20:$FU$20,1,BU214)+'Lease Cycles'!$BE$20*(1-INDEX('Lease Cycles'!$FO$20:$FU$20,1,BU214)))),0)</f>
        <v>0</v>
      </c>
      <c r="BV224" s="24">
        <f>IF(BV216=1,'Lease Cycles'!$D$20*IF(INDEX('Lease Cycles'!$EF$20:$EL$20,1,BV214)=1,'Lease Cycles'!$AJ$20*INDEX('Lease Cycles'!$FO$20:$FU$20,1,BV214)*INDEX('Lease Cycles'!$EM$20:$ES$20,1,BV214)+'Lease Cycles'!$BE$20*IF(BV215&lt;INDEX('Lease Cycles'!$FA$20:$FG$20,1,BV214),0,1-INDEX('Lease Cycles'!$EM$20:$ES$20,1,BV214)),IF(OR(INDEX('Lease Cycles'!$DY$20:$EE$20,1,BV214)=1,BV215&gt;0),1,1-INDEX('Lease Cycles'!$DD$20:$DJ$20,1,BV214))*('Lease Cycles'!$AJ$20*INDEX('Lease Cycles'!$FO$20:$FU$20,1,BV214)+'Lease Cycles'!$BE$20*(1-INDEX('Lease Cycles'!$FO$20:$FU$20,1,BV214)))),0)</f>
        <v>0</v>
      </c>
      <c r="BW224" s="24">
        <f>IF(BW216=1,'Lease Cycles'!$D$20*IF(INDEX('Lease Cycles'!$EF$20:$EL$20,1,BW214)=1,'Lease Cycles'!$AJ$20*INDEX('Lease Cycles'!$FO$20:$FU$20,1,BW214)*INDEX('Lease Cycles'!$EM$20:$ES$20,1,BW214)+'Lease Cycles'!$BE$20*IF(BW215&lt;INDEX('Lease Cycles'!$FA$20:$FG$20,1,BW214),0,1-INDEX('Lease Cycles'!$EM$20:$ES$20,1,BW214)),IF(OR(INDEX('Lease Cycles'!$DY$20:$EE$20,1,BW214)=1,BW215&gt;0),1,1-INDEX('Lease Cycles'!$DD$20:$DJ$20,1,BW214))*('Lease Cycles'!$AJ$20*INDEX('Lease Cycles'!$FO$20:$FU$20,1,BW214)+'Lease Cycles'!$BE$20*(1-INDEX('Lease Cycles'!$FO$20:$FU$20,1,BW214)))),0)</f>
        <v>0</v>
      </c>
      <c r="BX224" s="24">
        <f>IF(BX216=1,'Lease Cycles'!$D$20*IF(INDEX('Lease Cycles'!$EF$20:$EL$20,1,BX214)=1,'Lease Cycles'!$AJ$20*INDEX('Lease Cycles'!$FO$20:$FU$20,1,BX214)*INDEX('Lease Cycles'!$EM$20:$ES$20,1,BX214)+'Lease Cycles'!$BE$20*IF(BX215&lt;INDEX('Lease Cycles'!$FA$20:$FG$20,1,BX214),0,1-INDEX('Lease Cycles'!$EM$20:$ES$20,1,BX214)),IF(OR(INDEX('Lease Cycles'!$DY$20:$EE$20,1,BX214)=1,BX215&gt;0),1,1-INDEX('Lease Cycles'!$DD$20:$DJ$20,1,BX214))*('Lease Cycles'!$AJ$20*INDEX('Lease Cycles'!$FO$20:$FU$20,1,BX214)+'Lease Cycles'!$BE$20*(1-INDEX('Lease Cycles'!$FO$20:$FU$20,1,BX214)))),0)</f>
        <v>0</v>
      </c>
      <c r="BY224" s="24">
        <f>IF(BY216=1,'Lease Cycles'!$D$20*IF(INDEX('Lease Cycles'!$EF$20:$EL$20,1,BY214)=1,'Lease Cycles'!$AJ$20*INDEX('Lease Cycles'!$FO$20:$FU$20,1,BY214)*INDEX('Lease Cycles'!$EM$20:$ES$20,1,BY214)+'Lease Cycles'!$BE$20*IF(BY215&lt;INDEX('Lease Cycles'!$FA$20:$FG$20,1,BY214),0,1-INDEX('Lease Cycles'!$EM$20:$ES$20,1,BY214)),IF(OR(INDEX('Lease Cycles'!$DY$20:$EE$20,1,BY214)=1,BY215&gt;0),1,1-INDEX('Lease Cycles'!$DD$20:$DJ$20,1,BY214))*('Lease Cycles'!$AJ$20*INDEX('Lease Cycles'!$FO$20:$FU$20,1,BY214)+'Lease Cycles'!$BE$20*(1-INDEX('Lease Cycles'!$FO$20:$FU$20,1,BY214)))),0)</f>
        <v>0</v>
      </c>
      <c r="BZ224" s="24">
        <f>IF(BZ216=1,'Lease Cycles'!$D$20*IF(INDEX('Lease Cycles'!$EF$20:$EL$20,1,BZ214)=1,'Lease Cycles'!$AJ$20*INDEX('Lease Cycles'!$FO$20:$FU$20,1,BZ214)*INDEX('Lease Cycles'!$EM$20:$ES$20,1,BZ214)+'Lease Cycles'!$BE$20*IF(BZ215&lt;INDEX('Lease Cycles'!$FA$20:$FG$20,1,BZ214),0,1-INDEX('Lease Cycles'!$EM$20:$ES$20,1,BZ214)),IF(OR(INDEX('Lease Cycles'!$DY$20:$EE$20,1,BZ214)=1,BZ215&gt;0),1,1-INDEX('Lease Cycles'!$DD$20:$DJ$20,1,BZ214))*('Lease Cycles'!$AJ$20*INDEX('Lease Cycles'!$FO$20:$FU$20,1,BZ214)+'Lease Cycles'!$BE$20*(1-INDEX('Lease Cycles'!$FO$20:$FU$20,1,BZ214)))),0)</f>
        <v>0</v>
      </c>
      <c r="CA224" s="24">
        <f>IF(CA216=1,'Lease Cycles'!$D$20*IF(INDEX('Lease Cycles'!$EF$20:$EL$20,1,CA214)=1,'Lease Cycles'!$AJ$20*INDEX('Lease Cycles'!$FO$20:$FU$20,1,CA214)*INDEX('Lease Cycles'!$EM$20:$ES$20,1,CA214)+'Lease Cycles'!$BE$20*IF(CA215&lt;INDEX('Lease Cycles'!$FA$20:$FG$20,1,CA214),0,1-INDEX('Lease Cycles'!$EM$20:$ES$20,1,CA214)),IF(OR(INDEX('Lease Cycles'!$DY$20:$EE$20,1,CA214)=1,CA215&gt;0),1,1-INDEX('Lease Cycles'!$DD$20:$DJ$20,1,CA214))*('Lease Cycles'!$AJ$20*INDEX('Lease Cycles'!$FO$20:$FU$20,1,CA214)+'Lease Cycles'!$BE$20*(1-INDEX('Lease Cycles'!$FO$20:$FU$20,1,CA214)))),0)</f>
        <v>0</v>
      </c>
      <c r="CB224" s="24">
        <f>IF(CB216=1,'Lease Cycles'!$D$20*IF(INDEX('Lease Cycles'!$EF$20:$EL$20,1,CB214)=1,'Lease Cycles'!$AJ$20*INDEX('Lease Cycles'!$FO$20:$FU$20,1,CB214)*INDEX('Lease Cycles'!$EM$20:$ES$20,1,CB214)+'Lease Cycles'!$BE$20*IF(CB215&lt;INDEX('Lease Cycles'!$FA$20:$FG$20,1,CB214),0,1-INDEX('Lease Cycles'!$EM$20:$ES$20,1,CB214)),IF(OR(INDEX('Lease Cycles'!$DY$20:$EE$20,1,CB214)=1,CB215&gt;0),1,1-INDEX('Lease Cycles'!$DD$20:$DJ$20,1,CB214))*('Lease Cycles'!$AJ$20*INDEX('Lease Cycles'!$FO$20:$FU$20,1,CB214)+'Lease Cycles'!$BE$20*(1-INDEX('Lease Cycles'!$FO$20:$FU$20,1,CB214)))),0)</f>
        <v>0</v>
      </c>
      <c r="CC224" s="24">
        <f>IF(CC216=1,'Lease Cycles'!$D$20*IF(INDEX('Lease Cycles'!$EF$20:$EL$20,1,CC214)=1,'Lease Cycles'!$AJ$20*INDEX('Lease Cycles'!$FO$20:$FU$20,1,CC214)*INDEX('Lease Cycles'!$EM$20:$ES$20,1,CC214)+'Lease Cycles'!$BE$20*IF(CC215&lt;INDEX('Lease Cycles'!$FA$20:$FG$20,1,CC214),0,1-INDEX('Lease Cycles'!$EM$20:$ES$20,1,CC214)),IF(OR(INDEX('Lease Cycles'!$DY$20:$EE$20,1,CC214)=1,CC215&gt;0),1,1-INDEX('Lease Cycles'!$DD$20:$DJ$20,1,CC214))*('Lease Cycles'!$AJ$20*INDEX('Lease Cycles'!$FO$20:$FU$20,1,CC214)+'Lease Cycles'!$BE$20*(1-INDEX('Lease Cycles'!$FO$20:$FU$20,1,CC214)))),0)</f>
        <v>0</v>
      </c>
      <c r="CD224" s="24">
        <f>IF(CD216=1,'Lease Cycles'!$D$20*IF(INDEX('Lease Cycles'!$EF$20:$EL$20,1,CD214)=1,'Lease Cycles'!$AJ$20*INDEX('Lease Cycles'!$FO$20:$FU$20,1,CD214)*INDEX('Lease Cycles'!$EM$20:$ES$20,1,CD214)+'Lease Cycles'!$BE$20*IF(CD215&lt;INDEX('Lease Cycles'!$FA$20:$FG$20,1,CD214),0,1-INDEX('Lease Cycles'!$EM$20:$ES$20,1,CD214)),IF(OR(INDEX('Lease Cycles'!$DY$20:$EE$20,1,CD214)=1,CD215&gt;0),1,1-INDEX('Lease Cycles'!$DD$20:$DJ$20,1,CD214))*('Lease Cycles'!$AJ$20*INDEX('Lease Cycles'!$FO$20:$FU$20,1,CD214)+'Lease Cycles'!$BE$20*(1-INDEX('Lease Cycles'!$FO$20:$FU$20,1,CD214)))),0)</f>
        <v>0</v>
      </c>
      <c r="CE224" s="24">
        <f>IF(CE216=1,'Lease Cycles'!$D$20*IF(INDEX('Lease Cycles'!$EF$20:$EL$20,1,CE214)=1,'Lease Cycles'!$AJ$20*INDEX('Lease Cycles'!$FO$20:$FU$20,1,CE214)*INDEX('Lease Cycles'!$EM$20:$ES$20,1,CE214)+'Lease Cycles'!$BE$20*IF(CE215&lt;INDEX('Lease Cycles'!$FA$20:$FG$20,1,CE214),0,1-INDEX('Lease Cycles'!$EM$20:$ES$20,1,CE214)),IF(OR(INDEX('Lease Cycles'!$DY$20:$EE$20,1,CE214)=1,CE215&gt;0),1,1-INDEX('Lease Cycles'!$DD$20:$DJ$20,1,CE214))*('Lease Cycles'!$AJ$20*INDEX('Lease Cycles'!$FO$20:$FU$20,1,CE214)+'Lease Cycles'!$BE$20*(1-INDEX('Lease Cycles'!$FO$20:$FU$20,1,CE214)))),0)</f>
        <v>0</v>
      </c>
      <c r="CF224" s="24">
        <f>IF(CF216=1,'Lease Cycles'!$D$20*IF(INDEX('Lease Cycles'!$EF$20:$EL$20,1,CF214)=1,'Lease Cycles'!$AJ$20*INDEX('Lease Cycles'!$FO$20:$FU$20,1,CF214)*INDEX('Lease Cycles'!$EM$20:$ES$20,1,CF214)+'Lease Cycles'!$BE$20*IF(CF215&lt;INDEX('Lease Cycles'!$FA$20:$FG$20,1,CF214),0,1-INDEX('Lease Cycles'!$EM$20:$ES$20,1,CF214)),IF(OR(INDEX('Lease Cycles'!$DY$20:$EE$20,1,CF214)=1,CF215&gt;0),1,1-INDEX('Lease Cycles'!$DD$20:$DJ$20,1,CF214))*('Lease Cycles'!$AJ$20*INDEX('Lease Cycles'!$FO$20:$FU$20,1,CF214)+'Lease Cycles'!$BE$20*(1-INDEX('Lease Cycles'!$FO$20:$FU$20,1,CF214)))),0)</f>
        <v>0</v>
      </c>
      <c r="CG224" s="24">
        <f>IF(CG216=1,'Lease Cycles'!$D$20*IF(INDEX('Lease Cycles'!$EF$20:$EL$20,1,CG214)=1,'Lease Cycles'!$AJ$20*INDEX('Lease Cycles'!$FO$20:$FU$20,1,CG214)*INDEX('Lease Cycles'!$EM$20:$ES$20,1,CG214)+'Lease Cycles'!$BE$20*IF(CG215&lt;INDEX('Lease Cycles'!$FA$20:$FG$20,1,CG214),0,1-INDEX('Lease Cycles'!$EM$20:$ES$20,1,CG214)),IF(OR(INDEX('Lease Cycles'!$DY$20:$EE$20,1,CG214)=1,CG215&gt;0),1,1-INDEX('Lease Cycles'!$DD$20:$DJ$20,1,CG214))*('Lease Cycles'!$AJ$20*INDEX('Lease Cycles'!$FO$20:$FU$20,1,CG214)+'Lease Cycles'!$BE$20*(1-INDEX('Lease Cycles'!$FO$20:$FU$20,1,CG214)))),0)</f>
        <v>0</v>
      </c>
      <c r="CH224" s="24">
        <f>IF(CH216=1,'Lease Cycles'!$D$20*IF(INDEX('Lease Cycles'!$EF$20:$EL$20,1,CH214)=1,'Lease Cycles'!$AJ$20*INDEX('Lease Cycles'!$FO$20:$FU$20,1,CH214)*INDEX('Lease Cycles'!$EM$20:$ES$20,1,CH214)+'Lease Cycles'!$BE$20*IF(CH215&lt;INDEX('Lease Cycles'!$FA$20:$FG$20,1,CH214),0,1-INDEX('Lease Cycles'!$EM$20:$ES$20,1,CH214)),IF(OR(INDEX('Lease Cycles'!$DY$20:$EE$20,1,CH214)=1,CH215&gt;0),1,1-INDEX('Lease Cycles'!$DD$20:$DJ$20,1,CH214))*('Lease Cycles'!$AJ$20*INDEX('Lease Cycles'!$FO$20:$FU$20,1,CH214)+'Lease Cycles'!$BE$20*(1-INDEX('Lease Cycles'!$FO$20:$FU$20,1,CH214)))),0)</f>
        <v>0</v>
      </c>
      <c r="CI224" s="24">
        <f>IF(CI216=1,'Lease Cycles'!$D$20*IF(INDEX('Lease Cycles'!$EF$20:$EL$20,1,CI214)=1,'Lease Cycles'!$AJ$20*INDEX('Lease Cycles'!$FO$20:$FU$20,1,CI214)*INDEX('Lease Cycles'!$EM$20:$ES$20,1,CI214)+'Lease Cycles'!$BE$20*IF(CI215&lt;INDEX('Lease Cycles'!$FA$20:$FG$20,1,CI214),0,1-INDEX('Lease Cycles'!$EM$20:$ES$20,1,CI214)),IF(OR(INDEX('Lease Cycles'!$DY$20:$EE$20,1,CI214)=1,CI215&gt;0),1,1-INDEX('Lease Cycles'!$DD$20:$DJ$20,1,CI214))*('Lease Cycles'!$AJ$20*INDEX('Lease Cycles'!$FO$20:$FU$20,1,CI214)+'Lease Cycles'!$BE$20*(1-INDEX('Lease Cycles'!$FO$20:$FU$20,1,CI214)))),0)</f>
        <v>0</v>
      </c>
      <c r="CJ224" s="24">
        <f>IF(CJ216=1,'Lease Cycles'!$D$20*IF(INDEX('Lease Cycles'!$EF$20:$EL$20,1,CJ214)=1,'Lease Cycles'!$AJ$20*INDEX('Lease Cycles'!$FO$20:$FU$20,1,CJ214)*INDEX('Lease Cycles'!$EM$20:$ES$20,1,CJ214)+'Lease Cycles'!$BE$20*IF(CJ215&lt;INDEX('Lease Cycles'!$FA$20:$FG$20,1,CJ214),0,1-INDEX('Lease Cycles'!$EM$20:$ES$20,1,CJ214)),IF(OR(INDEX('Lease Cycles'!$DY$20:$EE$20,1,CJ214)=1,CJ215&gt;0),1,1-INDEX('Lease Cycles'!$DD$20:$DJ$20,1,CJ214))*('Lease Cycles'!$AJ$20*INDEX('Lease Cycles'!$FO$20:$FU$20,1,CJ214)+'Lease Cycles'!$BE$20*(1-INDEX('Lease Cycles'!$FO$20:$FU$20,1,CJ214)))),0)</f>
        <v>0</v>
      </c>
      <c r="CK224" s="24">
        <f>IF(CK216=1,'Lease Cycles'!$D$20*IF(INDEX('Lease Cycles'!$EF$20:$EL$20,1,CK214)=1,'Lease Cycles'!$AJ$20*INDEX('Lease Cycles'!$FO$20:$FU$20,1,CK214)*INDEX('Lease Cycles'!$EM$20:$ES$20,1,CK214)+'Lease Cycles'!$BE$20*IF(CK215&lt;INDEX('Lease Cycles'!$FA$20:$FG$20,1,CK214),0,1-INDEX('Lease Cycles'!$EM$20:$ES$20,1,CK214)),IF(OR(INDEX('Lease Cycles'!$DY$20:$EE$20,1,CK214)=1,CK215&gt;0),1,1-INDEX('Lease Cycles'!$DD$20:$DJ$20,1,CK214))*('Lease Cycles'!$AJ$20*INDEX('Lease Cycles'!$FO$20:$FU$20,1,CK214)+'Lease Cycles'!$BE$20*(1-INDEX('Lease Cycles'!$FO$20:$FU$20,1,CK214)))),0)</f>
        <v>0</v>
      </c>
      <c r="CL224" s="24">
        <f>IF(CL216=1,'Lease Cycles'!$D$20*IF(INDEX('Lease Cycles'!$EF$20:$EL$20,1,CL214)=1,'Lease Cycles'!$AJ$20*INDEX('Lease Cycles'!$FO$20:$FU$20,1,CL214)*INDEX('Lease Cycles'!$EM$20:$ES$20,1,CL214)+'Lease Cycles'!$BE$20*IF(CL215&lt;INDEX('Lease Cycles'!$FA$20:$FG$20,1,CL214),0,1-INDEX('Lease Cycles'!$EM$20:$ES$20,1,CL214)),IF(OR(INDEX('Lease Cycles'!$DY$20:$EE$20,1,CL214)=1,CL215&gt;0),1,1-INDEX('Lease Cycles'!$DD$20:$DJ$20,1,CL214))*('Lease Cycles'!$AJ$20*INDEX('Lease Cycles'!$FO$20:$FU$20,1,CL214)+'Lease Cycles'!$BE$20*(1-INDEX('Lease Cycles'!$FO$20:$FU$20,1,CL214)))),0)</f>
        <v>0</v>
      </c>
      <c r="CM224" s="24">
        <f>IF(CM216=1,'Lease Cycles'!$D$20*IF(INDEX('Lease Cycles'!$EF$20:$EL$20,1,CM214)=1,'Lease Cycles'!$AJ$20*INDEX('Lease Cycles'!$FO$20:$FU$20,1,CM214)*INDEX('Lease Cycles'!$EM$20:$ES$20,1,CM214)+'Lease Cycles'!$BE$20*IF(CM215&lt;INDEX('Lease Cycles'!$FA$20:$FG$20,1,CM214),0,1-INDEX('Lease Cycles'!$EM$20:$ES$20,1,CM214)),IF(OR(INDEX('Lease Cycles'!$DY$20:$EE$20,1,CM214)=1,CM215&gt;0),1,1-INDEX('Lease Cycles'!$DD$20:$DJ$20,1,CM214))*('Lease Cycles'!$AJ$20*INDEX('Lease Cycles'!$FO$20:$FU$20,1,CM214)+'Lease Cycles'!$BE$20*(1-INDEX('Lease Cycles'!$FO$20:$FU$20,1,CM214)))),0)</f>
        <v>0</v>
      </c>
      <c r="CN224" s="24">
        <f>IF(CN216=1,'Lease Cycles'!$D$20*IF(INDEX('Lease Cycles'!$EF$20:$EL$20,1,CN214)=1,'Lease Cycles'!$AJ$20*INDEX('Lease Cycles'!$FO$20:$FU$20,1,CN214)*INDEX('Lease Cycles'!$EM$20:$ES$20,1,CN214)+'Lease Cycles'!$BE$20*IF(CN215&lt;INDEX('Lease Cycles'!$FA$20:$FG$20,1,CN214),0,1-INDEX('Lease Cycles'!$EM$20:$ES$20,1,CN214)),IF(OR(INDEX('Lease Cycles'!$DY$20:$EE$20,1,CN214)=1,CN215&gt;0),1,1-INDEX('Lease Cycles'!$DD$20:$DJ$20,1,CN214))*('Lease Cycles'!$AJ$20*INDEX('Lease Cycles'!$FO$20:$FU$20,1,CN214)+'Lease Cycles'!$BE$20*(1-INDEX('Lease Cycles'!$FO$20:$FU$20,1,CN214)))),0)</f>
        <v>0</v>
      </c>
      <c r="CO224" s="24">
        <f>IF(CO216=1,'Lease Cycles'!$D$20*IF(INDEX('Lease Cycles'!$EF$20:$EL$20,1,CO214)=1,'Lease Cycles'!$AJ$20*INDEX('Lease Cycles'!$FO$20:$FU$20,1,CO214)*INDEX('Lease Cycles'!$EM$20:$ES$20,1,CO214)+'Lease Cycles'!$BE$20*IF(CO215&lt;INDEX('Lease Cycles'!$FA$20:$FG$20,1,CO214),0,1-INDEX('Lease Cycles'!$EM$20:$ES$20,1,CO214)),IF(OR(INDEX('Lease Cycles'!$DY$20:$EE$20,1,CO214)=1,CO215&gt;0),1,1-INDEX('Lease Cycles'!$DD$20:$DJ$20,1,CO214))*('Lease Cycles'!$AJ$20*INDEX('Lease Cycles'!$FO$20:$FU$20,1,CO214)+'Lease Cycles'!$BE$20*(1-INDEX('Lease Cycles'!$FO$20:$FU$20,1,CO214)))),0)</f>
        <v>0</v>
      </c>
      <c r="CP224" s="24">
        <f>IF(CP216=1,'Lease Cycles'!$D$20*IF(INDEX('Lease Cycles'!$EF$20:$EL$20,1,CP214)=1,'Lease Cycles'!$AJ$20*INDEX('Lease Cycles'!$FO$20:$FU$20,1,CP214)*INDEX('Lease Cycles'!$EM$20:$ES$20,1,CP214)+'Lease Cycles'!$BE$20*IF(CP215&lt;INDEX('Lease Cycles'!$FA$20:$FG$20,1,CP214),0,1-INDEX('Lease Cycles'!$EM$20:$ES$20,1,CP214)),IF(OR(INDEX('Lease Cycles'!$DY$20:$EE$20,1,CP214)=1,CP215&gt;0),1,1-INDEX('Lease Cycles'!$DD$20:$DJ$20,1,CP214))*('Lease Cycles'!$AJ$20*INDEX('Lease Cycles'!$FO$20:$FU$20,1,CP214)+'Lease Cycles'!$BE$20*(1-INDEX('Lease Cycles'!$FO$20:$FU$20,1,CP214)))),0)</f>
        <v>0</v>
      </c>
      <c r="CQ224" s="24">
        <f>IF(CQ216=1,'Lease Cycles'!$D$20*IF(INDEX('Lease Cycles'!$EF$20:$EL$20,1,CQ214)=1,'Lease Cycles'!$AJ$20*INDEX('Lease Cycles'!$FO$20:$FU$20,1,CQ214)*INDEX('Lease Cycles'!$EM$20:$ES$20,1,CQ214)+'Lease Cycles'!$BE$20*IF(CQ215&lt;INDEX('Lease Cycles'!$FA$20:$FG$20,1,CQ214),0,1-INDEX('Lease Cycles'!$EM$20:$ES$20,1,CQ214)),IF(OR(INDEX('Lease Cycles'!$DY$20:$EE$20,1,CQ214)=1,CQ215&gt;0),1,1-INDEX('Lease Cycles'!$DD$20:$DJ$20,1,CQ214))*('Lease Cycles'!$AJ$20*INDEX('Lease Cycles'!$FO$20:$FU$20,1,CQ214)+'Lease Cycles'!$BE$20*(1-INDEX('Lease Cycles'!$FO$20:$FU$20,1,CQ214)))),0)</f>
        <v>0</v>
      </c>
      <c r="CR224" s="24">
        <f>IF(CR216=1,'Lease Cycles'!$D$20*IF(INDEX('Lease Cycles'!$EF$20:$EL$20,1,CR214)=1,'Lease Cycles'!$AJ$20*INDEX('Lease Cycles'!$FO$20:$FU$20,1,CR214)*INDEX('Lease Cycles'!$EM$20:$ES$20,1,CR214)+'Lease Cycles'!$BE$20*IF(CR215&lt;INDEX('Lease Cycles'!$FA$20:$FG$20,1,CR214),0,1-INDEX('Lease Cycles'!$EM$20:$ES$20,1,CR214)),IF(OR(INDEX('Lease Cycles'!$DY$20:$EE$20,1,CR214)=1,CR215&gt;0),1,1-INDEX('Lease Cycles'!$DD$20:$DJ$20,1,CR214))*('Lease Cycles'!$AJ$20*INDEX('Lease Cycles'!$FO$20:$FU$20,1,CR214)+'Lease Cycles'!$BE$20*(1-INDEX('Lease Cycles'!$FO$20:$FU$20,1,CR214)))),0)</f>
        <v>0</v>
      </c>
      <c r="CS224" s="24">
        <f>IF(CS216=1,'Lease Cycles'!$D$20*IF(INDEX('Lease Cycles'!$EF$20:$EL$20,1,CS214)=1,'Lease Cycles'!$AJ$20*INDEX('Lease Cycles'!$FO$20:$FU$20,1,CS214)*INDEX('Lease Cycles'!$EM$20:$ES$20,1,CS214)+'Lease Cycles'!$BE$20*IF(CS215&lt;INDEX('Lease Cycles'!$FA$20:$FG$20,1,CS214),0,1-INDEX('Lease Cycles'!$EM$20:$ES$20,1,CS214)),IF(OR(INDEX('Lease Cycles'!$DY$20:$EE$20,1,CS214)=1,CS215&gt;0),1,1-INDEX('Lease Cycles'!$DD$20:$DJ$20,1,CS214))*('Lease Cycles'!$AJ$20*INDEX('Lease Cycles'!$FO$20:$FU$20,1,CS214)+'Lease Cycles'!$BE$20*(1-INDEX('Lease Cycles'!$FO$20:$FU$20,1,CS214)))),0)</f>
        <v>0</v>
      </c>
      <c r="CT224" s="24">
        <f>IF(CT216=1,'Lease Cycles'!$D$20*IF(INDEX('Lease Cycles'!$EF$20:$EL$20,1,CT214)=1,'Lease Cycles'!$AJ$20*INDEX('Lease Cycles'!$FO$20:$FU$20,1,CT214)*INDEX('Lease Cycles'!$EM$20:$ES$20,1,CT214)+'Lease Cycles'!$BE$20*IF(CT215&lt;INDEX('Lease Cycles'!$FA$20:$FG$20,1,CT214),0,1-INDEX('Lease Cycles'!$EM$20:$ES$20,1,CT214)),IF(OR(INDEX('Lease Cycles'!$DY$20:$EE$20,1,CT214)=1,CT215&gt;0),1,1-INDEX('Lease Cycles'!$DD$20:$DJ$20,1,CT214))*('Lease Cycles'!$AJ$20*INDEX('Lease Cycles'!$FO$20:$FU$20,1,CT214)+'Lease Cycles'!$BE$20*(1-INDEX('Lease Cycles'!$FO$20:$FU$20,1,CT214)))),0)</f>
        <v>0</v>
      </c>
      <c r="CU224" s="24">
        <f>IF(CU216=1,'Lease Cycles'!$D$20*IF(INDEX('Lease Cycles'!$EF$20:$EL$20,1,CU214)=1,'Lease Cycles'!$AJ$20*INDEX('Lease Cycles'!$FO$20:$FU$20,1,CU214)*INDEX('Lease Cycles'!$EM$20:$ES$20,1,CU214)+'Lease Cycles'!$BE$20*IF(CU215&lt;INDEX('Lease Cycles'!$FA$20:$FG$20,1,CU214),0,1-INDEX('Lease Cycles'!$EM$20:$ES$20,1,CU214)),IF(OR(INDEX('Lease Cycles'!$DY$20:$EE$20,1,CU214)=1,CU215&gt;0),1,1-INDEX('Lease Cycles'!$DD$20:$DJ$20,1,CU214))*('Lease Cycles'!$AJ$20*INDEX('Lease Cycles'!$FO$20:$FU$20,1,CU214)+'Lease Cycles'!$BE$20*(1-INDEX('Lease Cycles'!$FO$20:$FU$20,1,CU214)))),0)</f>
        <v>0</v>
      </c>
      <c r="CV224" s="24">
        <f>IF(CV216=1,'Lease Cycles'!$D$20*IF(INDEX('Lease Cycles'!$EF$20:$EL$20,1,CV214)=1,'Lease Cycles'!$AJ$20*INDEX('Lease Cycles'!$FO$20:$FU$20,1,CV214)*INDEX('Lease Cycles'!$EM$20:$ES$20,1,CV214)+'Lease Cycles'!$BE$20*IF(CV215&lt;INDEX('Lease Cycles'!$FA$20:$FG$20,1,CV214),0,1-INDEX('Lease Cycles'!$EM$20:$ES$20,1,CV214)),IF(OR(INDEX('Lease Cycles'!$DY$20:$EE$20,1,CV214)=1,CV215&gt;0),1,1-INDEX('Lease Cycles'!$DD$20:$DJ$20,1,CV214))*('Lease Cycles'!$AJ$20*INDEX('Lease Cycles'!$FO$20:$FU$20,1,CV214)+'Lease Cycles'!$BE$20*(1-INDEX('Lease Cycles'!$FO$20:$FU$20,1,CV214)))),0)</f>
        <v>0</v>
      </c>
      <c r="CW224" s="24">
        <f>IF(CW216=1,'Lease Cycles'!$D$20*IF(INDEX('Lease Cycles'!$EF$20:$EL$20,1,CW214)=1,'Lease Cycles'!$AJ$20*INDEX('Lease Cycles'!$FO$20:$FU$20,1,CW214)*INDEX('Lease Cycles'!$EM$20:$ES$20,1,CW214)+'Lease Cycles'!$BE$20*IF(CW215&lt;INDEX('Lease Cycles'!$FA$20:$FG$20,1,CW214),0,1-INDEX('Lease Cycles'!$EM$20:$ES$20,1,CW214)),IF(OR(INDEX('Lease Cycles'!$DY$20:$EE$20,1,CW214)=1,CW215&gt;0),1,1-INDEX('Lease Cycles'!$DD$20:$DJ$20,1,CW214))*('Lease Cycles'!$AJ$20*INDEX('Lease Cycles'!$FO$20:$FU$20,1,CW214)+'Lease Cycles'!$BE$20*(1-INDEX('Lease Cycles'!$FO$20:$FU$20,1,CW214)))),0)</f>
        <v>0</v>
      </c>
      <c r="CX224" s="24">
        <f>IF(CX216=1,'Lease Cycles'!$D$20*IF(INDEX('Lease Cycles'!$EF$20:$EL$20,1,CX214)=1,'Lease Cycles'!$AJ$20*INDEX('Lease Cycles'!$FO$20:$FU$20,1,CX214)*INDEX('Lease Cycles'!$EM$20:$ES$20,1,CX214)+'Lease Cycles'!$BE$20*IF(CX215&lt;INDEX('Lease Cycles'!$FA$20:$FG$20,1,CX214),0,1-INDEX('Lease Cycles'!$EM$20:$ES$20,1,CX214)),IF(OR(INDEX('Lease Cycles'!$DY$20:$EE$20,1,CX214)=1,CX215&gt;0),1,1-INDEX('Lease Cycles'!$DD$20:$DJ$20,1,CX214))*('Lease Cycles'!$AJ$20*INDEX('Lease Cycles'!$FO$20:$FU$20,1,CX214)+'Lease Cycles'!$BE$20*(1-INDEX('Lease Cycles'!$FO$20:$FU$20,1,CX214)))),0)</f>
        <v>0</v>
      </c>
      <c r="CY224" s="24">
        <f>IF(CY216=1,'Lease Cycles'!$D$20*IF(INDEX('Lease Cycles'!$EF$20:$EL$20,1,CY214)=1,'Lease Cycles'!$AJ$20*INDEX('Lease Cycles'!$FO$20:$FU$20,1,CY214)*INDEX('Lease Cycles'!$EM$20:$ES$20,1,CY214)+'Lease Cycles'!$BE$20*IF(CY215&lt;INDEX('Lease Cycles'!$FA$20:$FG$20,1,CY214),0,1-INDEX('Lease Cycles'!$EM$20:$ES$20,1,CY214)),IF(OR(INDEX('Lease Cycles'!$DY$20:$EE$20,1,CY214)=1,CY215&gt;0),1,1-INDEX('Lease Cycles'!$DD$20:$DJ$20,1,CY214))*('Lease Cycles'!$AJ$20*INDEX('Lease Cycles'!$FO$20:$FU$20,1,CY214)+'Lease Cycles'!$BE$20*(1-INDEX('Lease Cycles'!$FO$20:$FU$20,1,CY214)))),0)</f>
        <v>0</v>
      </c>
      <c r="CZ224" s="24">
        <f>IF(CZ216=1,'Lease Cycles'!$D$20*IF(INDEX('Lease Cycles'!$EF$20:$EL$20,1,CZ214)=1,'Lease Cycles'!$AJ$20*INDEX('Lease Cycles'!$FO$20:$FU$20,1,CZ214)*INDEX('Lease Cycles'!$EM$20:$ES$20,1,CZ214)+'Lease Cycles'!$BE$20*IF(CZ215&lt;INDEX('Lease Cycles'!$FA$20:$FG$20,1,CZ214),0,1-INDEX('Lease Cycles'!$EM$20:$ES$20,1,CZ214)),IF(OR(INDEX('Lease Cycles'!$DY$20:$EE$20,1,CZ214)=1,CZ215&gt;0),1,1-INDEX('Lease Cycles'!$DD$20:$DJ$20,1,CZ214))*('Lease Cycles'!$AJ$20*INDEX('Lease Cycles'!$FO$20:$FU$20,1,CZ214)+'Lease Cycles'!$BE$20*(1-INDEX('Lease Cycles'!$FO$20:$FU$20,1,CZ214)))),0)</f>
        <v>0</v>
      </c>
      <c r="DA224" s="24">
        <f>IF(DA216=1,'Lease Cycles'!$D$20*IF(INDEX('Lease Cycles'!$EF$20:$EL$20,1,DA214)=1,'Lease Cycles'!$AJ$20*INDEX('Lease Cycles'!$FO$20:$FU$20,1,DA214)*INDEX('Lease Cycles'!$EM$20:$ES$20,1,DA214)+'Lease Cycles'!$BE$20*IF(DA215&lt;INDEX('Lease Cycles'!$FA$20:$FG$20,1,DA214),0,1-INDEX('Lease Cycles'!$EM$20:$ES$20,1,DA214)),IF(OR(INDEX('Lease Cycles'!$DY$20:$EE$20,1,DA214)=1,DA215&gt;0),1,1-INDEX('Lease Cycles'!$DD$20:$DJ$20,1,DA214))*('Lease Cycles'!$AJ$20*INDEX('Lease Cycles'!$FO$20:$FU$20,1,DA214)+'Lease Cycles'!$BE$20*(1-INDEX('Lease Cycles'!$FO$20:$FU$20,1,DA214)))),0)</f>
        <v>0</v>
      </c>
      <c r="DB224" s="24">
        <f>IF(DB216=1,'Lease Cycles'!$D$20*IF(INDEX('Lease Cycles'!$EF$20:$EL$20,1,DB214)=1,'Lease Cycles'!$AJ$20*INDEX('Lease Cycles'!$FO$20:$FU$20,1,DB214)*INDEX('Lease Cycles'!$EM$20:$ES$20,1,DB214)+'Lease Cycles'!$BE$20*IF(DB215&lt;INDEX('Lease Cycles'!$FA$20:$FG$20,1,DB214),0,1-INDEX('Lease Cycles'!$EM$20:$ES$20,1,DB214)),IF(OR(INDEX('Lease Cycles'!$DY$20:$EE$20,1,DB214)=1,DB215&gt;0),1,1-INDEX('Lease Cycles'!$DD$20:$DJ$20,1,DB214))*('Lease Cycles'!$AJ$20*INDEX('Lease Cycles'!$FO$20:$FU$20,1,DB214)+'Lease Cycles'!$BE$20*(1-INDEX('Lease Cycles'!$FO$20:$FU$20,1,DB214)))),0)</f>
        <v>0</v>
      </c>
      <c r="DC224" s="24">
        <f>IF(DC216=1,'Lease Cycles'!$D$20*IF(INDEX('Lease Cycles'!$EF$20:$EL$20,1,DC214)=1,'Lease Cycles'!$AJ$20*INDEX('Lease Cycles'!$FO$20:$FU$20,1,DC214)*INDEX('Lease Cycles'!$EM$20:$ES$20,1,DC214)+'Lease Cycles'!$BE$20*IF(DC215&lt;INDEX('Lease Cycles'!$FA$20:$FG$20,1,DC214),0,1-INDEX('Lease Cycles'!$EM$20:$ES$20,1,DC214)),IF(OR(INDEX('Lease Cycles'!$DY$20:$EE$20,1,DC214)=1,DC215&gt;0),1,1-INDEX('Lease Cycles'!$DD$20:$DJ$20,1,DC214))*('Lease Cycles'!$AJ$20*INDEX('Lease Cycles'!$FO$20:$FU$20,1,DC214)+'Lease Cycles'!$BE$20*(1-INDEX('Lease Cycles'!$FO$20:$FU$20,1,DC214)))),0)</f>
        <v>0</v>
      </c>
      <c r="DD224" s="24">
        <f>IF(DD216=1,'Lease Cycles'!$D$20*IF(INDEX('Lease Cycles'!$EF$20:$EL$20,1,DD214)=1,'Lease Cycles'!$AJ$20*INDEX('Lease Cycles'!$FO$20:$FU$20,1,DD214)*INDEX('Lease Cycles'!$EM$20:$ES$20,1,DD214)+'Lease Cycles'!$BE$20*IF(DD215&lt;INDEX('Lease Cycles'!$FA$20:$FG$20,1,DD214),0,1-INDEX('Lease Cycles'!$EM$20:$ES$20,1,DD214)),IF(OR(INDEX('Lease Cycles'!$DY$20:$EE$20,1,DD214)=1,DD215&gt;0),1,1-INDEX('Lease Cycles'!$DD$20:$DJ$20,1,DD214))*('Lease Cycles'!$AJ$20*INDEX('Lease Cycles'!$FO$20:$FU$20,1,DD214)+'Lease Cycles'!$BE$20*(1-INDEX('Lease Cycles'!$FO$20:$FU$20,1,DD214)))),0)</f>
        <v>0</v>
      </c>
      <c r="DE224" s="24">
        <f>IF(DE216=1,'Lease Cycles'!$D$20*IF(INDEX('Lease Cycles'!$EF$20:$EL$20,1,DE214)=1,'Lease Cycles'!$AJ$20*INDEX('Lease Cycles'!$FO$20:$FU$20,1,DE214)*INDEX('Lease Cycles'!$EM$20:$ES$20,1,DE214)+'Lease Cycles'!$BE$20*IF(DE215&lt;INDEX('Lease Cycles'!$FA$20:$FG$20,1,DE214),0,1-INDEX('Lease Cycles'!$EM$20:$ES$20,1,DE214)),IF(OR(INDEX('Lease Cycles'!$DY$20:$EE$20,1,DE214)=1,DE215&gt;0),1,1-INDEX('Lease Cycles'!$DD$20:$DJ$20,1,DE214))*('Lease Cycles'!$AJ$20*INDEX('Lease Cycles'!$FO$20:$FU$20,1,DE214)+'Lease Cycles'!$BE$20*(1-INDEX('Lease Cycles'!$FO$20:$FU$20,1,DE214)))),0)</f>
        <v>0</v>
      </c>
      <c r="DF224" s="24">
        <f>IF(DF216=1,'Lease Cycles'!$D$20*IF(INDEX('Lease Cycles'!$EF$20:$EL$20,1,DF214)=1,'Lease Cycles'!$AJ$20*INDEX('Lease Cycles'!$FO$20:$FU$20,1,DF214)*INDEX('Lease Cycles'!$EM$20:$ES$20,1,DF214)+'Lease Cycles'!$BE$20*IF(DF215&lt;INDEX('Lease Cycles'!$FA$20:$FG$20,1,DF214),0,1-INDEX('Lease Cycles'!$EM$20:$ES$20,1,DF214)),IF(OR(INDEX('Lease Cycles'!$DY$20:$EE$20,1,DF214)=1,DF215&gt;0),1,1-INDEX('Lease Cycles'!$DD$20:$DJ$20,1,DF214))*('Lease Cycles'!$AJ$20*INDEX('Lease Cycles'!$FO$20:$FU$20,1,DF214)+'Lease Cycles'!$BE$20*(1-INDEX('Lease Cycles'!$FO$20:$FU$20,1,DF214)))),0)</f>
        <v>0</v>
      </c>
      <c r="DG224" s="24">
        <f>IF(DG216=1,'Lease Cycles'!$D$20*IF(INDEX('Lease Cycles'!$EF$20:$EL$20,1,DG214)=1,'Lease Cycles'!$AJ$20*INDEX('Lease Cycles'!$FO$20:$FU$20,1,DG214)*INDEX('Lease Cycles'!$EM$20:$ES$20,1,DG214)+'Lease Cycles'!$BE$20*IF(DG215&lt;INDEX('Lease Cycles'!$FA$20:$FG$20,1,DG214),0,1-INDEX('Lease Cycles'!$EM$20:$ES$20,1,DG214)),IF(OR(INDEX('Lease Cycles'!$DY$20:$EE$20,1,DG214)=1,DG215&gt;0),1,1-INDEX('Lease Cycles'!$DD$20:$DJ$20,1,DG214))*('Lease Cycles'!$AJ$20*INDEX('Lease Cycles'!$FO$20:$FU$20,1,DG214)+'Lease Cycles'!$BE$20*(1-INDEX('Lease Cycles'!$FO$20:$FU$20,1,DG214)))),0)</f>
        <v>0</v>
      </c>
      <c r="DH224" s="24">
        <f>IF(DH216=1,'Lease Cycles'!$D$20*IF(INDEX('Lease Cycles'!$EF$20:$EL$20,1,DH214)=1,'Lease Cycles'!$AJ$20*INDEX('Lease Cycles'!$FO$20:$FU$20,1,DH214)*INDEX('Lease Cycles'!$EM$20:$ES$20,1,DH214)+'Lease Cycles'!$BE$20*IF(DH215&lt;INDEX('Lease Cycles'!$FA$20:$FG$20,1,DH214),0,1-INDEX('Lease Cycles'!$EM$20:$ES$20,1,DH214)),IF(OR(INDEX('Lease Cycles'!$DY$20:$EE$20,1,DH214)=1,DH215&gt;0),1,1-INDEX('Lease Cycles'!$DD$20:$DJ$20,1,DH214))*('Lease Cycles'!$AJ$20*INDEX('Lease Cycles'!$FO$20:$FU$20,1,DH214)+'Lease Cycles'!$BE$20*(1-INDEX('Lease Cycles'!$FO$20:$FU$20,1,DH214)))),0)</f>
        <v>0</v>
      </c>
      <c r="DI224" s="24">
        <f>IF(DI216=1,'Lease Cycles'!$D$20*IF(INDEX('Lease Cycles'!$EF$20:$EL$20,1,DI214)=1,'Lease Cycles'!$AJ$20*INDEX('Lease Cycles'!$FO$20:$FU$20,1,DI214)*INDEX('Lease Cycles'!$EM$20:$ES$20,1,DI214)+'Lease Cycles'!$BE$20*IF(DI215&lt;INDEX('Lease Cycles'!$FA$20:$FG$20,1,DI214),0,1-INDEX('Lease Cycles'!$EM$20:$ES$20,1,DI214)),IF(OR(INDEX('Lease Cycles'!$DY$20:$EE$20,1,DI214)=1,DI215&gt;0),1,1-INDEX('Lease Cycles'!$DD$20:$DJ$20,1,DI214))*('Lease Cycles'!$AJ$20*INDEX('Lease Cycles'!$FO$20:$FU$20,1,DI214)+'Lease Cycles'!$BE$20*(1-INDEX('Lease Cycles'!$FO$20:$FU$20,1,DI214)))),0)</f>
        <v>0</v>
      </c>
      <c r="DJ224" s="24">
        <f>IF(DJ216=1,'Lease Cycles'!$D$20*IF(INDEX('Lease Cycles'!$EF$20:$EL$20,1,DJ214)=1,'Lease Cycles'!$AJ$20*INDEX('Lease Cycles'!$FO$20:$FU$20,1,DJ214)*INDEX('Lease Cycles'!$EM$20:$ES$20,1,DJ214)+'Lease Cycles'!$BE$20*IF(DJ215&lt;INDEX('Lease Cycles'!$FA$20:$FG$20,1,DJ214),0,1-INDEX('Lease Cycles'!$EM$20:$ES$20,1,DJ214)),IF(OR(INDEX('Lease Cycles'!$DY$20:$EE$20,1,DJ214)=1,DJ215&gt;0),1,1-INDEX('Lease Cycles'!$DD$20:$DJ$20,1,DJ214))*('Lease Cycles'!$AJ$20*INDEX('Lease Cycles'!$FO$20:$FU$20,1,DJ214)+'Lease Cycles'!$BE$20*(1-INDEX('Lease Cycles'!$FO$20:$FU$20,1,DJ214)))),0)</f>
        <v>0</v>
      </c>
      <c r="DK224" s="24">
        <f>IF(DK216=1,'Lease Cycles'!$D$20*IF(INDEX('Lease Cycles'!$EF$20:$EL$20,1,DK214)=1,'Lease Cycles'!$AJ$20*INDEX('Lease Cycles'!$FO$20:$FU$20,1,DK214)*INDEX('Lease Cycles'!$EM$20:$ES$20,1,DK214)+'Lease Cycles'!$BE$20*IF(DK215&lt;INDEX('Lease Cycles'!$FA$20:$FG$20,1,DK214),0,1-INDEX('Lease Cycles'!$EM$20:$ES$20,1,DK214)),IF(OR(INDEX('Lease Cycles'!$DY$20:$EE$20,1,DK214)=1,DK215&gt;0),1,1-INDEX('Lease Cycles'!$DD$20:$DJ$20,1,DK214))*('Lease Cycles'!$AJ$20*INDEX('Lease Cycles'!$FO$20:$FU$20,1,DK214)+'Lease Cycles'!$BE$20*(1-INDEX('Lease Cycles'!$FO$20:$FU$20,1,DK214)))),0)</f>
        <v>0</v>
      </c>
      <c r="DL224" s="24">
        <f>IF(DL216=1,'Lease Cycles'!$D$20*IF(INDEX('Lease Cycles'!$EF$20:$EL$20,1,DL214)=1,'Lease Cycles'!$AJ$20*INDEX('Lease Cycles'!$FO$20:$FU$20,1,DL214)*INDEX('Lease Cycles'!$EM$20:$ES$20,1,DL214)+'Lease Cycles'!$BE$20*IF(DL215&lt;INDEX('Lease Cycles'!$FA$20:$FG$20,1,DL214),0,1-INDEX('Lease Cycles'!$EM$20:$ES$20,1,DL214)),IF(OR(INDEX('Lease Cycles'!$DY$20:$EE$20,1,DL214)=1,DL215&gt;0),1,1-INDEX('Lease Cycles'!$DD$20:$DJ$20,1,DL214))*('Lease Cycles'!$AJ$20*INDEX('Lease Cycles'!$FO$20:$FU$20,1,DL214)+'Lease Cycles'!$BE$20*(1-INDEX('Lease Cycles'!$FO$20:$FU$20,1,DL214)))),0)</f>
        <v>0</v>
      </c>
      <c r="DM224" s="24">
        <f>IF(DM216=1,'Lease Cycles'!$D$20*IF(INDEX('Lease Cycles'!$EF$20:$EL$20,1,DM214)=1,'Lease Cycles'!$AJ$20*INDEX('Lease Cycles'!$FO$20:$FU$20,1,DM214)*INDEX('Lease Cycles'!$EM$20:$ES$20,1,DM214)+'Lease Cycles'!$BE$20*IF(DM215&lt;INDEX('Lease Cycles'!$FA$20:$FG$20,1,DM214),0,1-INDEX('Lease Cycles'!$EM$20:$ES$20,1,DM214)),IF(OR(INDEX('Lease Cycles'!$DY$20:$EE$20,1,DM214)=1,DM215&gt;0),1,1-INDEX('Lease Cycles'!$DD$20:$DJ$20,1,DM214))*('Lease Cycles'!$AJ$20*INDEX('Lease Cycles'!$FO$20:$FU$20,1,DM214)+'Lease Cycles'!$BE$20*(1-INDEX('Lease Cycles'!$FO$20:$FU$20,1,DM214)))),0)</f>
        <v>0</v>
      </c>
      <c r="DN224" s="24">
        <f>IF(DN216=1,'Lease Cycles'!$D$20*IF(INDEX('Lease Cycles'!$EF$20:$EL$20,1,DN214)=1,'Lease Cycles'!$AJ$20*INDEX('Lease Cycles'!$FO$20:$FU$20,1,DN214)*INDEX('Lease Cycles'!$EM$20:$ES$20,1,DN214)+'Lease Cycles'!$BE$20*IF(DN215&lt;INDEX('Lease Cycles'!$FA$20:$FG$20,1,DN214),0,1-INDEX('Lease Cycles'!$EM$20:$ES$20,1,DN214)),IF(OR(INDEX('Lease Cycles'!$DY$20:$EE$20,1,DN214)=1,DN215&gt;0),1,1-INDEX('Lease Cycles'!$DD$20:$DJ$20,1,DN214))*('Lease Cycles'!$AJ$20*INDEX('Lease Cycles'!$FO$20:$FU$20,1,DN214)+'Lease Cycles'!$BE$20*(1-INDEX('Lease Cycles'!$FO$20:$FU$20,1,DN214)))),0)</f>
        <v>0</v>
      </c>
      <c r="DO224" s="24">
        <f>IF(DO216=1,'Lease Cycles'!$D$20*IF(INDEX('Lease Cycles'!$EF$20:$EL$20,1,DO214)=1,'Lease Cycles'!$AJ$20*INDEX('Lease Cycles'!$FO$20:$FU$20,1,DO214)*INDEX('Lease Cycles'!$EM$20:$ES$20,1,DO214)+'Lease Cycles'!$BE$20*IF(DO215&lt;INDEX('Lease Cycles'!$FA$20:$FG$20,1,DO214),0,1-INDEX('Lease Cycles'!$EM$20:$ES$20,1,DO214)),IF(OR(INDEX('Lease Cycles'!$DY$20:$EE$20,1,DO214)=1,DO215&gt;0),1,1-INDEX('Lease Cycles'!$DD$20:$DJ$20,1,DO214))*('Lease Cycles'!$AJ$20*INDEX('Lease Cycles'!$FO$20:$FU$20,1,DO214)+'Lease Cycles'!$BE$20*(1-INDEX('Lease Cycles'!$FO$20:$FU$20,1,DO214)))),0)</f>
        <v>0</v>
      </c>
      <c r="DP224" s="24">
        <f>IF(DP216=1,'Lease Cycles'!$D$20*IF(INDEX('Lease Cycles'!$EF$20:$EL$20,1,DP214)=1,'Lease Cycles'!$AJ$20*INDEX('Lease Cycles'!$FO$20:$FU$20,1,DP214)*INDEX('Lease Cycles'!$EM$20:$ES$20,1,DP214)+'Lease Cycles'!$BE$20*IF(DP215&lt;INDEX('Lease Cycles'!$FA$20:$FG$20,1,DP214),0,1-INDEX('Lease Cycles'!$EM$20:$ES$20,1,DP214)),IF(OR(INDEX('Lease Cycles'!$DY$20:$EE$20,1,DP214)=1,DP215&gt;0),1,1-INDEX('Lease Cycles'!$DD$20:$DJ$20,1,DP214))*('Lease Cycles'!$AJ$20*INDEX('Lease Cycles'!$FO$20:$FU$20,1,DP214)+'Lease Cycles'!$BE$20*(1-INDEX('Lease Cycles'!$FO$20:$FU$20,1,DP214)))),0)</f>
        <v>0</v>
      </c>
      <c r="DQ224" s="24">
        <f>IF(DQ216=1,'Lease Cycles'!$D$20*IF(INDEX('Lease Cycles'!$EF$20:$EL$20,1,DQ214)=1,'Lease Cycles'!$AJ$20*INDEX('Lease Cycles'!$FO$20:$FU$20,1,DQ214)*INDEX('Lease Cycles'!$EM$20:$ES$20,1,DQ214)+'Lease Cycles'!$BE$20*IF(DQ215&lt;INDEX('Lease Cycles'!$FA$20:$FG$20,1,DQ214),0,1-INDEX('Lease Cycles'!$EM$20:$ES$20,1,DQ214)),IF(OR(INDEX('Lease Cycles'!$DY$20:$EE$20,1,DQ214)=1,DQ215&gt;0),1,1-INDEX('Lease Cycles'!$DD$20:$DJ$20,1,DQ214))*('Lease Cycles'!$AJ$20*INDEX('Lease Cycles'!$FO$20:$FU$20,1,DQ214)+'Lease Cycles'!$BE$20*(1-INDEX('Lease Cycles'!$FO$20:$FU$20,1,DQ214)))),0)</f>
        <v>0</v>
      </c>
      <c r="DR224" s="24">
        <f>IF(DR216=1,'Lease Cycles'!$D$20*IF(INDEX('Lease Cycles'!$EF$20:$EL$20,1,DR214)=1,'Lease Cycles'!$AJ$20*INDEX('Lease Cycles'!$FO$20:$FU$20,1,DR214)*INDEX('Lease Cycles'!$EM$20:$ES$20,1,DR214)+'Lease Cycles'!$BE$20*IF(DR215&lt;INDEX('Lease Cycles'!$FA$20:$FG$20,1,DR214),0,1-INDEX('Lease Cycles'!$EM$20:$ES$20,1,DR214)),IF(OR(INDEX('Lease Cycles'!$DY$20:$EE$20,1,DR214)=1,DR215&gt;0),1,1-INDEX('Lease Cycles'!$DD$20:$DJ$20,1,DR214))*('Lease Cycles'!$AJ$20*INDEX('Lease Cycles'!$FO$20:$FU$20,1,DR214)+'Lease Cycles'!$BE$20*(1-INDEX('Lease Cycles'!$FO$20:$FU$20,1,DR214)))),0)</f>
        <v>0</v>
      </c>
      <c r="DS224" s="24">
        <f>IF(DS216=1,'Lease Cycles'!$D$20*IF(INDEX('Lease Cycles'!$EF$20:$EL$20,1,DS214)=1,'Lease Cycles'!$AJ$20*INDEX('Lease Cycles'!$FO$20:$FU$20,1,DS214)*INDEX('Lease Cycles'!$EM$20:$ES$20,1,DS214)+'Lease Cycles'!$BE$20*IF(DS215&lt;INDEX('Lease Cycles'!$FA$20:$FG$20,1,DS214),0,1-INDEX('Lease Cycles'!$EM$20:$ES$20,1,DS214)),IF(OR(INDEX('Lease Cycles'!$DY$20:$EE$20,1,DS214)=1,DS215&gt;0),1,1-INDEX('Lease Cycles'!$DD$20:$DJ$20,1,DS214))*('Lease Cycles'!$AJ$20*INDEX('Lease Cycles'!$FO$20:$FU$20,1,DS214)+'Lease Cycles'!$BE$20*(1-INDEX('Lease Cycles'!$FO$20:$FU$20,1,DS214)))),0)</f>
        <v>0</v>
      </c>
      <c r="DT224" s="24">
        <f>IF(DT216=1,'Lease Cycles'!$D$20*IF(INDEX('Lease Cycles'!$EF$20:$EL$20,1,DT214)=1,'Lease Cycles'!$AJ$20*INDEX('Lease Cycles'!$FO$20:$FU$20,1,DT214)*INDEX('Lease Cycles'!$EM$20:$ES$20,1,DT214)+'Lease Cycles'!$BE$20*IF(DT215&lt;INDEX('Lease Cycles'!$FA$20:$FG$20,1,DT214),0,1-INDEX('Lease Cycles'!$EM$20:$ES$20,1,DT214)),IF(OR(INDEX('Lease Cycles'!$DY$20:$EE$20,1,DT214)=1,DT215&gt;0),1,1-INDEX('Lease Cycles'!$DD$20:$DJ$20,1,DT214))*('Lease Cycles'!$AJ$20*INDEX('Lease Cycles'!$FO$20:$FU$20,1,DT214)+'Lease Cycles'!$BE$20*(1-INDEX('Lease Cycles'!$FO$20:$FU$20,1,DT214)))),0)</f>
        <v>0</v>
      </c>
      <c r="DU224" s="24">
        <f>IF(DU216=1,'Lease Cycles'!$D$20*IF(INDEX('Lease Cycles'!$EF$20:$EL$20,1,DU214)=1,'Lease Cycles'!$AJ$20*INDEX('Lease Cycles'!$FO$20:$FU$20,1,DU214)*INDEX('Lease Cycles'!$EM$20:$ES$20,1,DU214)+'Lease Cycles'!$BE$20*IF(DU215&lt;INDEX('Lease Cycles'!$FA$20:$FG$20,1,DU214),0,1-INDEX('Lease Cycles'!$EM$20:$ES$20,1,DU214)),IF(OR(INDEX('Lease Cycles'!$DY$20:$EE$20,1,DU214)=1,DU215&gt;0),1,1-INDEX('Lease Cycles'!$DD$20:$DJ$20,1,DU214))*('Lease Cycles'!$AJ$20*INDEX('Lease Cycles'!$FO$20:$FU$20,1,DU214)+'Lease Cycles'!$BE$20*(1-INDEX('Lease Cycles'!$FO$20:$FU$20,1,DU214)))),0)</f>
        <v>0</v>
      </c>
      <c r="DV224" s="24">
        <f>IF(DV216=1,'Lease Cycles'!$D$20*IF(INDEX('Lease Cycles'!$EF$20:$EL$20,1,DV214)=1,'Lease Cycles'!$AJ$20*INDEX('Lease Cycles'!$FO$20:$FU$20,1,DV214)*INDEX('Lease Cycles'!$EM$20:$ES$20,1,DV214)+'Lease Cycles'!$BE$20*IF(DV215&lt;INDEX('Lease Cycles'!$FA$20:$FG$20,1,DV214),0,1-INDEX('Lease Cycles'!$EM$20:$ES$20,1,DV214)),IF(OR(INDEX('Lease Cycles'!$DY$20:$EE$20,1,DV214)=1,DV215&gt;0),1,1-INDEX('Lease Cycles'!$DD$20:$DJ$20,1,DV214))*('Lease Cycles'!$AJ$20*INDEX('Lease Cycles'!$FO$20:$FU$20,1,DV214)+'Lease Cycles'!$BE$20*(1-INDEX('Lease Cycles'!$FO$20:$FU$20,1,DV214)))),0)</f>
        <v>0</v>
      </c>
      <c r="DW224" s="24">
        <f>IF(DW216=1,'Lease Cycles'!$D$20*IF(INDEX('Lease Cycles'!$EF$20:$EL$20,1,DW214)=1,'Lease Cycles'!$AJ$20*INDEX('Lease Cycles'!$FO$20:$FU$20,1,DW214)*INDEX('Lease Cycles'!$EM$20:$ES$20,1,DW214)+'Lease Cycles'!$BE$20*IF(DW215&lt;INDEX('Lease Cycles'!$FA$20:$FG$20,1,DW214),0,1-INDEX('Lease Cycles'!$EM$20:$ES$20,1,DW214)),IF(OR(INDEX('Lease Cycles'!$DY$20:$EE$20,1,DW214)=1,DW215&gt;0),1,1-INDEX('Lease Cycles'!$DD$20:$DJ$20,1,DW214))*('Lease Cycles'!$AJ$20*INDEX('Lease Cycles'!$FO$20:$FU$20,1,DW214)+'Lease Cycles'!$BE$20*(1-INDEX('Lease Cycles'!$FO$20:$FU$20,1,DW214)))),0)</f>
        <v>0</v>
      </c>
      <c r="DX224" s="24">
        <f>IF(DX216=1,'Lease Cycles'!$D$20*IF(INDEX('Lease Cycles'!$EF$20:$EL$20,1,DX214)=1,'Lease Cycles'!$AJ$20*INDEX('Lease Cycles'!$FO$20:$FU$20,1,DX214)*INDEX('Lease Cycles'!$EM$20:$ES$20,1,DX214)+'Lease Cycles'!$BE$20*IF(DX215&lt;INDEX('Lease Cycles'!$FA$20:$FG$20,1,DX214),0,1-INDEX('Lease Cycles'!$EM$20:$ES$20,1,DX214)),IF(OR(INDEX('Lease Cycles'!$DY$20:$EE$20,1,DX214)=1,DX215&gt;0),1,1-INDEX('Lease Cycles'!$DD$20:$DJ$20,1,DX214))*('Lease Cycles'!$AJ$20*INDEX('Lease Cycles'!$FO$20:$FU$20,1,DX214)+'Lease Cycles'!$BE$20*(1-INDEX('Lease Cycles'!$FO$20:$FU$20,1,DX214)))),0)</f>
        <v>0</v>
      </c>
      <c r="DY224" s="24">
        <f>IF(DY216=1,'Lease Cycles'!$D$20*IF(INDEX('Lease Cycles'!$EF$20:$EL$20,1,DY214)=1,'Lease Cycles'!$AJ$20*INDEX('Lease Cycles'!$FO$20:$FU$20,1,DY214)*INDEX('Lease Cycles'!$EM$20:$ES$20,1,DY214)+'Lease Cycles'!$BE$20*IF(DY215&lt;INDEX('Lease Cycles'!$FA$20:$FG$20,1,DY214),0,1-INDEX('Lease Cycles'!$EM$20:$ES$20,1,DY214)),IF(OR(INDEX('Lease Cycles'!$DY$20:$EE$20,1,DY214)=1,DY215&gt;0),1,1-INDEX('Lease Cycles'!$DD$20:$DJ$20,1,DY214))*('Lease Cycles'!$AJ$20*INDEX('Lease Cycles'!$FO$20:$FU$20,1,DY214)+'Lease Cycles'!$BE$20*(1-INDEX('Lease Cycles'!$FO$20:$FU$20,1,DY214)))),0)</f>
        <v>0</v>
      </c>
      <c r="DZ224" s="24">
        <f>IF(DZ216=1,'Lease Cycles'!$D$20*IF(INDEX('Lease Cycles'!$EF$20:$EL$20,1,DZ214)=1,'Lease Cycles'!$AJ$20*INDEX('Lease Cycles'!$FO$20:$FU$20,1,DZ214)*INDEX('Lease Cycles'!$EM$20:$ES$20,1,DZ214)+'Lease Cycles'!$BE$20*IF(DZ215&lt;INDEX('Lease Cycles'!$FA$20:$FG$20,1,DZ214),0,1-INDEX('Lease Cycles'!$EM$20:$ES$20,1,DZ214)),IF(OR(INDEX('Lease Cycles'!$DY$20:$EE$20,1,DZ214)=1,DZ215&gt;0),1,1-INDEX('Lease Cycles'!$DD$20:$DJ$20,1,DZ214))*('Lease Cycles'!$AJ$20*INDEX('Lease Cycles'!$FO$20:$FU$20,1,DZ214)+'Lease Cycles'!$BE$20*(1-INDEX('Lease Cycles'!$FO$20:$FU$20,1,DZ214)))),0)</f>
        <v>0</v>
      </c>
      <c r="EA224" s="24">
        <f>IF(EA216=1,'Lease Cycles'!$D$20*IF(INDEX('Lease Cycles'!$EF$20:$EL$20,1,EA214)=1,'Lease Cycles'!$AJ$20*INDEX('Lease Cycles'!$FO$20:$FU$20,1,EA214)*INDEX('Lease Cycles'!$EM$20:$ES$20,1,EA214)+'Lease Cycles'!$BE$20*IF(EA215&lt;INDEX('Lease Cycles'!$FA$20:$FG$20,1,EA214),0,1-INDEX('Lease Cycles'!$EM$20:$ES$20,1,EA214)),IF(OR(INDEX('Lease Cycles'!$DY$20:$EE$20,1,EA214)=1,EA215&gt;0),1,1-INDEX('Lease Cycles'!$DD$20:$DJ$20,1,EA214))*('Lease Cycles'!$AJ$20*INDEX('Lease Cycles'!$FO$20:$FU$20,1,EA214)+'Lease Cycles'!$BE$20*(1-INDEX('Lease Cycles'!$FO$20:$FU$20,1,EA214)))),0)</f>
        <v>0</v>
      </c>
      <c r="EB224" s="24">
        <f>IF(EB216=1,'Lease Cycles'!$D$20*IF(INDEX('Lease Cycles'!$EF$20:$EL$20,1,EB214)=1,'Lease Cycles'!$AJ$20*INDEX('Lease Cycles'!$FO$20:$FU$20,1,EB214)*INDEX('Lease Cycles'!$EM$20:$ES$20,1,EB214)+'Lease Cycles'!$BE$20*IF(EB215&lt;INDEX('Lease Cycles'!$FA$20:$FG$20,1,EB214),0,1-INDEX('Lease Cycles'!$EM$20:$ES$20,1,EB214)),IF(OR(INDEX('Lease Cycles'!$DY$20:$EE$20,1,EB214)=1,EB215&gt;0),1,1-INDEX('Lease Cycles'!$DD$20:$DJ$20,1,EB214))*('Lease Cycles'!$AJ$20*INDEX('Lease Cycles'!$FO$20:$FU$20,1,EB214)+'Lease Cycles'!$BE$20*(1-INDEX('Lease Cycles'!$FO$20:$FU$20,1,EB214)))),0)</f>
        <v>0</v>
      </c>
      <c r="EC224" s="24">
        <f>IF(EC216=1,'Lease Cycles'!$D$20*IF(INDEX('Lease Cycles'!$EF$20:$EL$20,1,EC214)=1,'Lease Cycles'!$AJ$20*INDEX('Lease Cycles'!$FO$20:$FU$20,1,EC214)*INDEX('Lease Cycles'!$EM$20:$ES$20,1,EC214)+'Lease Cycles'!$BE$20*IF(EC215&lt;INDEX('Lease Cycles'!$FA$20:$FG$20,1,EC214),0,1-INDEX('Lease Cycles'!$EM$20:$ES$20,1,EC214)),IF(OR(INDEX('Lease Cycles'!$DY$20:$EE$20,1,EC214)=1,EC215&gt;0),1,1-INDEX('Lease Cycles'!$DD$20:$DJ$20,1,EC214))*('Lease Cycles'!$AJ$20*INDEX('Lease Cycles'!$FO$20:$FU$20,1,EC214)+'Lease Cycles'!$BE$20*(1-INDEX('Lease Cycles'!$FO$20:$FU$20,1,EC214)))),0)</f>
        <v>0</v>
      </c>
      <c r="ED224" s="24">
        <f>IF(ED216=1,'Lease Cycles'!$D$20*IF(INDEX('Lease Cycles'!$EF$20:$EL$20,1,ED214)=1,'Lease Cycles'!$AJ$20*INDEX('Lease Cycles'!$FO$20:$FU$20,1,ED214)*INDEX('Lease Cycles'!$EM$20:$ES$20,1,ED214)+'Lease Cycles'!$BE$20*IF(ED215&lt;INDEX('Lease Cycles'!$FA$20:$FG$20,1,ED214),0,1-INDEX('Lease Cycles'!$EM$20:$ES$20,1,ED214)),IF(OR(INDEX('Lease Cycles'!$DY$20:$EE$20,1,ED214)=1,ED215&gt;0),1,1-INDEX('Lease Cycles'!$DD$20:$DJ$20,1,ED214))*('Lease Cycles'!$AJ$20*INDEX('Lease Cycles'!$FO$20:$FU$20,1,ED214)+'Lease Cycles'!$BE$20*(1-INDEX('Lease Cycles'!$FO$20:$FU$20,1,ED214)))),0)</f>
        <v>0</v>
      </c>
      <c r="EE224" s="24">
        <f>IF(EE216=1,'Lease Cycles'!$D$20*IF(INDEX('Lease Cycles'!$EF$20:$EL$20,1,EE214)=1,'Lease Cycles'!$AJ$20*INDEX('Lease Cycles'!$FO$20:$FU$20,1,EE214)*INDEX('Lease Cycles'!$EM$20:$ES$20,1,EE214)+'Lease Cycles'!$BE$20*IF(EE215&lt;INDEX('Lease Cycles'!$FA$20:$FG$20,1,EE214),0,1-INDEX('Lease Cycles'!$EM$20:$ES$20,1,EE214)),IF(OR(INDEX('Lease Cycles'!$DY$20:$EE$20,1,EE214)=1,EE215&gt;0),1,1-INDEX('Lease Cycles'!$DD$20:$DJ$20,1,EE214))*('Lease Cycles'!$AJ$20*INDEX('Lease Cycles'!$FO$20:$FU$20,1,EE214)+'Lease Cycles'!$BE$20*(1-INDEX('Lease Cycles'!$FO$20:$FU$20,1,EE214)))),0)</f>
        <v>0</v>
      </c>
      <c r="EF224" s="24">
        <f>IF(EF216=1,'Lease Cycles'!$D$20*IF(INDEX('Lease Cycles'!$EF$20:$EL$20,1,EF214)=1,'Lease Cycles'!$AJ$20*INDEX('Lease Cycles'!$FO$20:$FU$20,1,EF214)*INDEX('Lease Cycles'!$EM$20:$ES$20,1,EF214)+'Lease Cycles'!$BE$20*IF(EF215&lt;INDEX('Lease Cycles'!$FA$20:$FG$20,1,EF214),0,1-INDEX('Lease Cycles'!$EM$20:$ES$20,1,EF214)),IF(OR(INDEX('Lease Cycles'!$DY$20:$EE$20,1,EF214)=1,EF215&gt;0),1,1-INDEX('Lease Cycles'!$DD$20:$DJ$20,1,EF214))*('Lease Cycles'!$AJ$20*INDEX('Lease Cycles'!$FO$20:$FU$20,1,EF214)+'Lease Cycles'!$BE$20*(1-INDEX('Lease Cycles'!$FO$20:$FU$20,1,EF214)))),0)</f>
        <v>0</v>
      </c>
      <c r="EG224" s="24">
        <f>IF(EG216=1,'Lease Cycles'!$D$20*IF(INDEX('Lease Cycles'!$EF$20:$EL$20,1,EG214)=1,'Lease Cycles'!$AJ$20*INDEX('Lease Cycles'!$FO$20:$FU$20,1,EG214)*INDEX('Lease Cycles'!$EM$20:$ES$20,1,EG214)+'Lease Cycles'!$BE$20*IF(EG215&lt;INDEX('Lease Cycles'!$FA$20:$FG$20,1,EG214),0,1-INDEX('Lease Cycles'!$EM$20:$ES$20,1,EG214)),IF(OR(INDEX('Lease Cycles'!$DY$20:$EE$20,1,EG214)=1,EG215&gt;0),1,1-INDEX('Lease Cycles'!$DD$20:$DJ$20,1,EG214))*('Lease Cycles'!$AJ$20*INDEX('Lease Cycles'!$FO$20:$FU$20,1,EG214)+'Lease Cycles'!$BE$20*(1-INDEX('Lease Cycles'!$FO$20:$FU$20,1,EG214)))),0)</f>
        <v>0</v>
      </c>
      <c r="EH224" s="24">
        <f>IF(EH216=1,'Lease Cycles'!$D$20*IF(INDEX('Lease Cycles'!$EF$20:$EL$20,1,EH214)=1,'Lease Cycles'!$AJ$20*INDEX('Lease Cycles'!$FO$20:$FU$20,1,EH214)*INDEX('Lease Cycles'!$EM$20:$ES$20,1,EH214)+'Lease Cycles'!$BE$20*IF(EH215&lt;INDEX('Lease Cycles'!$FA$20:$FG$20,1,EH214),0,1-INDEX('Lease Cycles'!$EM$20:$ES$20,1,EH214)),IF(OR(INDEX('Lease Cycles'!$DY$20:$EE$20,1,EH214)=1,EH215&gt;0),1,1-INDEX('Lease Cycles'!$DD$20:$DJ$20,1,EH214))*('Lease Cycles'!$AJ$20*INDEX('Lease Cycles'!$FO$20:$FU$20,1,EH214)+'Lease Cycles'!$BE$20*(1-INDEX('Lease Cycles'!$FO$20:$FU$20,1,EH214)))),0)</f>
        <v>0</v>
      </c>
      <c r="EI224" s="24">
        <f>IF(EI216=1,'Lease Cycles'!$D$20*IF(INDEX('Lease Cycles'!$EF$20:$EL$20,1,EI214)=1,'Lease Cycles'!$AJ$20*INDEX('Lease Cycles'!$FO$20:$FU$20,1,EI214)*INDEX('Lease Cycles'!$EM$20:$ES$20,1,EI214)+'Lease Cycles'!$BE$20*IF(EI215&lt;INDEX('Lease Cycles'!$FA$20:$FG$20,1,EI214),0,1-INDEX('Lease Cycles'!$EM$20:$ES$20,1,EI214)),IF(OR(INDEX('Lease Cycles'!$DY$20:$EE$20,1,EI214)=1,EI215&gt;0),1,1-INDEX('Lease Cycles'!$DD$20:$DJ$20,1,EI214))*('Lease Cycles'!$AJ$20*INDEX('Lease Cycles'!$FO$20:$FU$20,1,EI214)+'Lease Cycles'!$BE$20*(1-INDEX('Lease Cycles'!$FO$20:$FU$20,1,EI214)))),0)</f>
        <v>0</v>
      </c>
      <c r="EJ224" s="24">
        <f>IF(EJ216=1,'Lease Cycles'!$D$20*IF(INDEX('Lease Cycles'!$EF$20:$EL$20,1,EJ214)=1,'Lease Cycles'!$AJ$20*INDEX('Lease Cycles'!$FO$20:$FU$20,1,EJ214)*INDEX('Lease Cycles'!$EM$20:$ES$20,1,EJ214)+'Lease Cycles'!$BE$20*IF(EJ215&lt;INDEX('Lease Cycles'!$FA$20:$FG$20,1,EJ214),0,1-INDEX('Lease Cycles'!$EM$20:$ES$20,1,EJ214)),IF(OR(INDEX('Lease Cycles'!$DY$20:$EE$20,1,EJ214)=1,EJ215&gt;0),1,1-INDEX('Lease Cycles'!$DD$20:$DJ$20,1,EJ214))*('Lease Cycles'!$AJ$20*INDEX('Lease Cycles'!$FO$20:$FU$20,1,EJ214)+'Lease Cycles'!$BE$20*(1-INDEX('Lease Cycles'!$FO$20:$FU$20,1,EJ214)))),0)</f>
        <v>0</v>
      </c>
      <c r="EK224" s="24">
        <f>IF(EK216=1,'Lease Cycles'!$D$20*IF(INDEX('Lease Cycles'!$EF$20:$EL$20,1,EK214)=1,'Lease Cycles'!$AJ$20*INDEX('Lease Cycles'!$FO$20:$FU$20,1,EK214)*INDEX('Lease Cycles'!$EM$20:$ES$20,1,EK214)+'Lease Cycles'!$BE$20*IF(EK215&lt;INDEX('Lease Cycles'!$FA$20:$FG$20,1,EK214),0,1-INDEX('Lease Cycles'!$EM$20:$ES$20,1,EK214)),IF(OR(INDEX('Lease Cycles'!$DY$20:$EE$20,1,EK214)=1,EK215&gt;0),1,1-INDEX('Lease Cycles'!$DD$20:$DJ$20,1,EK214))*('Lease Cycles'!$AJ$20*INDEX('Lease Cycles'!$FO$20:$FU$20,1,EK214)+'Lease Cycles'!$BE$20*(1-INDEX('Lease Cycles'!$FO$20:$FU$20,1,EK214)))),0)</f>
        <v>0</v>
      </c>
      <c r="EL224" s="24">
        <f>IF(EL216=1,'Lease Cycles'!$D$20*IF(INDEX('Lease Cycles'!$EF$20:$EL$20,1,EL214)=1,'Lease Cycles'!$AJ$20*INDEX('Lease Cycles'!$FO$20:$FU$20,1,EL214)*INDEX('Lease Cycles'!$EM$20:$ES$20,1,EL214)+'Lease Cycles'!$BE$20*IF(EL215&lt;INDEX('Lease Cycles'!$FA$20:$FG$20,1,EL214),0,1-INDEX('Lease Cycles'!$EM$20:$ES$20,1,EL214)),IF(OR(INDEX('Lease Cycles'!$DY$20:$EE$20,1,EL214)=1,EL215&gt;0),1,1-INDEX('Lease Cycles'!$DD$20:$DJ$20,1,EL214))*('Lease Cycles'!$AJ$20*INDEX('Lease Cycles'!$FO$20:$FU$20,1,EL214)+'Lease Cycles'!$BE$20*(1-INDEX('Lease Cycles'!$FO$20:$FU$20,1,EL214)))),0)</f>
        <v>0</v>
      </c>
      <c r="EM224" s="24">
        <f>IF(EM216=1,'Lease Cycles'!$D$20*IF(INDEX('Lease Cycles'!$EF$20:$EL$20,1,EM214)=1,'Lease Cycles'!$AJ$20*INDEX('Lease Cycles'!$FO$20:$FU$20,1,EM214)*INDEX('Lease Cycles'!$EM$20:$ES$20,1,EM214)+'Lease Cycles'!$BE$20*IF(EM215&lt;INDEX('Lease Cycles'!$FA$20:$FG$20,1,EM214),0,1-INDEX('Lease Cycles'!$EM$20:$ES$20,1,EM214)),IF(OR(INDEX('Lease Cycles'!$DY$20:$EE$20,1,EM214)=1,EM215&gt;0),1,1-INDEX('Lease Cycles'!$DD$20:$DJ$20,1,EM214))*('Lease Cycles'!$AJ$20*INDEX('Lease Cycles'!$FO$20:$FU$20,1,EM214)+'Lease Cycles'!$BE$20*(1-INDEX('Lease Cycles'!$FO$20:$FU$20,1,EM214)))),0)</f>
        <v>0</v>
      </c>
      <c r="EN224" s="24">
        <f>IF(EN216=1,'Lease Cycles'!$D$20*IF(INDEX('Lease Cycles'!$EF$20:$EL$20,1,EN214)=1,'Lease Cycles'!$AJ$20*INDEX('Lease Cycles'!$FO$20:$FU$20,1,EN214)*INDEX('Lease Cycles'!$EM$20:$ES$20,1,EN214)+'Lease Cycles'!$BE$20*IF(EN215&lt;INDEX('Lease Cycles'!$FA$20:$FG$20,1,EN214),0,1-INDEX('Lease Cycles'!$EM$20:$ES$20,1,EN214)),IF(OR(INDEX('Lease Cycles'!$DY$20:$EE$20,1,EN214)=1,EN215&gt;0),1,1-INDEX('Lease Cycles'!$DD$20:$DJ$20,1,EN214))*('Lease Cycles'!$AJ$20*INDEX('Lease Cycles'!$FO$20:$FU$20,1,EN214)+'Lease Cycles'!$BE$20*(1-INDEX('Lease Cycles'!$FO$20:$FU$20,1,EN214)))),0)</f>
        <v>0</v>
      </c>
      <c r="EO224" s="24">
        <f>IF(EO216=1,'Lease Cycles'!$D$20*IF(INDEX('Lease Cycles'!$EF$20:$EL$20,1,EO214)=1,'Lease Cycles'!$AJ$20*INDEX('Lease Cycles'!$FO$20:$FU$20,1,EO214)*INDEX('Lease Cycles'!$EM$20:$ES$20,1,EO214)+'Lease Cycles'!$BE$20*IF(EO215&lt;INDEX('Lease Cycles'!$FA$20:$FG$20,1,EO214),0,1-INDEX('Lease Cycles'!$EM$20:$ES$20,1,EO214)),IF(OR(INDEX('Lease Cycles'!$DY$20:$EE$20,1,EO214)=1,EO215&gt;0),1,1-INDEX('Lease Cycles'!$DD$20:$DJ$20,1,EO214))*('Lease Cycles'!$AJ$20*INDEX('Lease Cycles'!$FO$20:$FU$20,1,EO214)+'Lease Cycles'!$BE$20*(1-INDEX('Lease Cycles'!$FO$20:$FU$20,1,EO214)))),0)</f>
        <v>0</v>
      </c>
      <c r="EP224" s="24">
        <f>IF(EP216=1,'Lease Cycles'!$D$20*IF(INDEX('Lease Cycles'!$EF$20:$EL$20,1,EP214)=1,'Lease Cycles'!$AJ$20*INDEX('Lease Cycles'!$FO$20:$FU$20,1,EP214)*INDEX('Lease Cycles'!$EM$20:$ES$20,1,EP214)+'Lease Cycles'!$BE$20*IF(EP215&lt;INDEX('Lease Cycles'!$FA$20:$FG$20,1,EP214),0,1-INDEX('Lease Cycles'!$EM$20:$ES$20,1,EP214)),IF(OR(INDEX('Lease Cycles'!$DY$20:$EE$20,1,EP214)=1,EP215&gt;0),1,1-INDEX('Lease Cycles'!$DD$20:$DJ$20,1,EP214))*('Lease Cycles'!$AJ$20*INDEX('Lease Cycles'!$FO$20:$FU$20,1,EP214)+'Lease Cycles'!$BE$20*(1-INDEX('Lease Cycles'!$FO$20:$FU$20,1,EP214)))),0)</f>
        <v>0</v>
      </c>
      <c r="EQ224" s="24">
        <f>IF(EQ216=1,'Lease Cycles'!$D$20*IF(INDEX('Lease Cycles'!$EF$20:$EL$20,1,EQ214)=1,'Lease Cycles'!$AJ$20*INDEX('Lease Cycles'!$FO$20:$FU$20,1,EQ214)*INDEX('Lease Cycles'!$EM$20:$ES$20,1,EQ214)+'Lease Cycles'!$BE$20*IF(EQ215&lt;INDEX('Lease Cycles'!$FA$20:$FG$20,1,EQ214),0,1-INDEX('Lease Cycles'!$EM$20:$ES$20,1,EQ214)),IF(OR(INDEX('Lease Cycles'!$DY$20:$EE$20,1,EQ214)=1,EQ215&gt;0),1,1-INDEX('Lease Cycles'!$DD$20:$DJ$20,1,EQ214))*('Lease Cycles'!$AJ$20*INDEX('Lease Cycles'!$FO$20:$FU$20,1,EQ214)+'Lease Cycles'!$BE$20*(1-INDEX('Lease Cycles'!$FO$20:$FU$20,1,EQ214)))),0)</f>
        <v>0</v>
      </c>
      <c r="ER224" s="24">
        <f>IF(ER216=1,'Lease Cycles'!$D$20*IF(INDEX('Lease Cycles'!$EF$20:$EL$20,1,ER214)=1,'Lease Cycles'!$AJ$20*INDEX('Lease Cycles'!$FO$20:$FU$20,1,ER214)*INDEX('Lease Cycles'!$EM$20:$ES$20,1,ER214)+'Lease Cycles'!$BE$20*IF(ER215&lt;INDEX('Lease Cycles'!$FA$20:$FG$20,1,ER214),0,1-INDEX('Lease Cycles'!$EM$20:$ES$20,1,ER214)),IF(OR(INDEX('Lease Cycles'!$DY$20:$EE$20,1,ER214)=1,ER215&gt;0),1,1-INDEX('Lease Cycles'!$DD$20:$DJ$20,1,ER214))*('Lease Cycles'!$AJ$20*INDEX('Lease Cycles'!$FO$20:$FU$20,1,ER214)+'Lease Cycles'!$BE$20*(1-INDEX('Lease Cycles'!$FO$20:$FU$20,1,ER214)))),0)</f>
        <v>0</v>
      </c>
      <c r="ES224" s="24">
        <f>IF(ES216=1,'Lease Cycles'!$D$20*IF(INDEX('Lease Cycles'!$EF$20:$EL$20,1,ES214)=1,'Lease Cycles'!$AJ$20*INDEX('Lease Cycles'!$FO$20:$FU$20,1,ES214)*INDEX('Lease Cycles'!$EM$20:$ES$20,1,ES214)+'Lease Cycles'!$BE$20*IF(ES215&lt;INDEX('Lease Cycles'!$FA$20:$FG$20,1,ES214),0,1-INDEX('Lease Cycles'!$EM$20:$ES$20,1,ES214)),IF(OR(INDEX('Lease Cycles'!$DY$20:$EE$20,1,ES214)=1,ES215&gt;0),1,1-INDEX('Lease Cycles'!$DD$20:$DJ$20,1,ES214))*('Lease Cycles'!$AJ$20*INDEX('Lease Cycles'!$FO$20:$FU$20,1,ES214)+'Lease Cycles'!$BE$20*(1-INDEX('Lease Cycles'!$FO$20:$FU$20,1,ES214)))),0)</f>
        <v>0</v>
      </c>
      <c r="ET224" s="24">
        <f>IF(ET216=1,'Lease Cycles'!$D$20*IF(INDEX('Lease Cycles'!$EF$20:$EL$20,1,ET214)=1,'Lease Cycles'!$AJ$20*INDEX('Lease Cycles'!$FO$20:$FU$20,1,ET214)*INDEX('Lease Cycles'!$EM$20:$ES$20,1,ET214)+'Lease Cycles'!$BE$20*IF(ET215&lt;INDEX('Lease Cycles'!$FA$20:$FG$20,1,ET214),0,1-INDEX('Lease Cycles'!$EM$20:$ES$20,1,ET214)),IF(OR(INDEX('Lease Cycles'!$DY$20:$EE$20,1,ET214)=1,ET215&gt;0),1,1-INDEX('Lease Cycles'!$DD$20:$DJ$20,1,ET214))*('Lease Cycles'!$AJ$20*INDEX('Lease Cycles'!$FO$20:$FU$20,1,ET214)+'Lease Cycles'!$BE$20*(1-INDEX('Lease Cycles'!$FO$20:$FU$20,1,ET214)))),0)</f>
        <v>0</v>
      </c>
    </row>
    <row r="225">
      <c r="A225" s="103">
        <v>13</v>
      </c>
      <c r="B225" s="23" t="str">
        <f>IF('Lease Cycles'!$B$20="","(empty slot)",'Lease Cycles'!$B$20)</f>
        <v>(empty slot)</v>
      </c>
      <c r="C225" s="23" t="s">
        <v>689</v>
      </c>
      <c r="D225" s="104" t="s">
        <v>690</v>
      </c>
      <c r="E225" s="25">
        <f>'Lease Cycles'!$AL$20</f>
        <v>0</v>
      </c>
      <c r="G225" s="28">
        <f>SUM(S225:AD225)</f>
        <v>0</v>
      </c>
      <c r="H225" s="28">
        <f>SUM(AE225:AP225)</f>
        <v>0</v>
      </c>
      <c r="I225" s="28">
        <f>SUM(AQ225:BB225)</f>
        <v>0</v>
      </c>
      <c r="J225" s="28">
        <f>SUM(BC225:BN225)</f>
        <v>0</v>
      </c>
      <c r="K225" s="28">
        <f>SUM(BO225:BZ225)</f>
        <v>0</v>
      </c>
      <c r="L225" s="28">
        <f>SUM(CA225:CL225)</f>
        <v>0</v>
      </c>
      <c r="M225" s="28">
        <f>SUM(CM225:CX225)</f>
        <v>0</v>
      </c>
      <c r="N225" s="28">
        <f>SUM(CY225:DJ225)</f>
        <v>0</v>
      </c>
      <c r="O225" s="28">
        <f>SUM(DK225:DV225)</f>
        <v>0</v>
      </c>
      <c r="P225" s="28">
        <f>SUM(DW225:EH225)</f>
        <v>0</v>
      </c>
      <c r="Q225" s="28">
        <f>SUM(EI225:ET225)</f>
        <v>0</v>
      </c>
      <c r="S225" s="28">
        <f>IF(S224=0,0,S224*MAX(0,(INDEX(c_CAMy,1,S$7)-INDEX(c_CAMy,1,INDEX('Lease Cycles'!$GC$20:$GI$20,1,S214)+1))*(1+'Lease Cycles'!$AK$20)+(INDEX(c_TAXy,1,S$7)-INDEX(c_TAXy,1,INDEX('Lease Cycles'!$GC$20:$GI$20,1,S214)+1))+(INDEX(c_INSy,1,S$7)-INDEX(c_INSy,1,INDEX('Lease Cycles'!$GC$20:$GI$20,1,S214)+1)))/12)</f>
        <v>0</v>
      </c>
      <c r="T225" s="28">
        <f>IF(T224=0,0,T224*MAX(0,(INDEX(c_CAMy,1,T$7)-INDEX(c_CAMy,1,INDEX('Lease Cycles'!$GC$20:$GI$20,1,T214)+1))*(1+'Lease Cycles'!$AK$20)+(INDEX(c_TAXy,1,T$7)-INDEX(c_TAXy,1,INDEX('Lease Cycles'!$GC$20:$GI$20,1,T214)+1))+(INDEX(c_INSy,1,T$7)-INDEX(c_INSy,1,INDEX('Lease Cycles'!$GC$20:$GI$20,1,T214)+1)))/12)</f>
        <v>0</v>
      </c>
      <c r="U225" s="28">
        <f>IF(U224=0,0,U224*MAX(0,(INDEX(c_CAMy,1,U$7)-INDEX(c_CAMy,1,INDEX('Lease Cycles'!$GC$20:$GI$20,1,U214)+1))*(1+'Lease Cycles'!$AK$20)+(INDEX(c_TAXy,1,U$7)-INDEX(c_TAXy,1,INDEX('Lease Cycles'!$GC$20:$GI$20,1,U214)+1))+(INDEX(c_INSy,1,U$7)-INDEX(c_INSy,1,INDEX('Lease Cycles'!$GC$20:$GI$20,1,U214)+1)))/12)</f>
        <v>0</v>
      </c>
      <c r="V225" s="28">
        <f>IF(V224=0,0,V224*MAX(0,(INDEX(c_CAMy,1,V$7)-INDEX(c_CAMy,1,INDEX('Lease Cycles'!$GC$20:$GI$20,1,V214)+1))*(1+'Lease Cycles'!$AK$20)+(INDEX(c_TAXy,1,V$7)-INDEX(c_TAXy,1,INDEX('Lease Cycles'!$GC$20:$GI$20,1,V214)+1))+(INDEX(c_INSy,1,V$7)-INDEX(c_INSy,1,INDEX('Lease Cycles'!$GC$20:$GI$20,1,V214)+1)))/12)</f>
        <v>0</v>
      </c>
      <c r="W225" s="28">
        <f>IF(W224=0,0,W224*MAX(0,(INDEX(c_CAMy,1,W$7)-INDEX(c_CAMy,1,INDEX('Lease Cycles'!$GC$20:$GI$20,1,W214)+1))*(1+'Lease Cycles'!$AK$20)+(INDEX(c_TAXy,1,W$7)-INDEX(c_TAXy,1,INDEX('Lease Cycles'!$GC$20:$GI$20,1,W214)+1))+(INDEX(c_INSy,1,W$7)-INDEX(c_INSy,1,INDEX('Lease Cycles'!$GC$20:$GI$20,1,W214)+1)))/12)</f>
        <v>0</v>
      </c>
      <c r="X225" s="28">
        <f>IF(X224=0,0,X224*MAX(0,(INDEX(c_CAMy,1,X$7)-INDEX(c_CAMy,1,INDEX('Lease Cycles'!$GC$20:$GI$20,1,X214)+1))*(1+'Lease Cycles'!$AK$20)+(INDEX(c_TAXy,1,X$7)-INDEX(c_TAXy,1,INDEX('Lease Cycles'!$GC$20:$GI$20,1,X214)+1))+(INDEX(c_INSy,1,X$7)-INDEX(c_INSy,1,INDEX('Lease Cycles'!$GC$20:$GI$20,1,X214)+1)))/12)</f>
        <v>0</v>
      </c>
      <c r="Y225" s="28">
        <f>IF(Y224=0,0,Y224*MAX(0,(INDEX(c_CAMy,1,Y$7)-INDEX(c_CAMy,1,INDEX('Lease Cycles'!$GC$20:$GI$20,1,Y214)+1))*(1+'Lease Cycles'!$AK$20)+(INDEX(c_TAXy,1,Y$7)-INDEX(c_TAXy,1,INDEX('Lease Cycles'!$GC$20:$GI$20,1,Y214)+1))+(INDEX(c_INSy,1,Y$7)-INDEX(c_INSy,1,INDEX('Lease Cycles'!$GC$20:$GI$20,1,Y214)+1)))/12)</f>
        <v>0</v>
      </c>
      <c r="Z225" s="28">
        <f>IF(Z224=0,0,Z224*MAX(0,(INDEX(c_CAMy,1,Z$7)-INDEX(c_CAMy,1,INDEX('Lease Cycles'!$GC$20:$GI$20,1,Z214)+1))*(1+'Lease Cycles'!$AK$20)+(INDEX(c_TAXy,1,Z$7)-INDEX(c_TAXy,1,INDEX('Lease Cycles'!$GC$20:$GI$20,1,Z214)+1))+(INDEX(c_INSy,1,Z$7)-INDEX(c_INSy,1,INDEX('Lease Cycles'!$GC$20:$GI$20,1,Z214)+1)))/12)</f>
        <v>0</v>
      </c>
      <c r="AA225" s="28">
        <f>IF(AA224=0,0,AA224*MAX(0,(INDEX(c_CAMy,1,AA$7)-INDEX(c_CAMy,1,INDEX('Lease Cycles'!$GC$20:$GI$20,1,AA214)+1))*(1+'Lease Cycles'!$AK$20)+(INDEX(c_TAXy,1,AA$7)-INDEX(c_TAXy,1,INDEX('Lease Cycles'!$GC$20:$GI$20,1,AA214)+1))+(INDEX(c_INSy,1,AA$7)-INDEX(c_INSy,1,INDEX('Lease Cycles'!$GC$20:$GI$20,1,AA214)+1)))/12)</f>
        <v>0</v>
      </c>
      <c r="AB225" s="28">
        <f>IF(AB224=0,0,AB224*MAX(0,(INDEX(c_CAMy,1,AB$7)-INDEX(c_CAMy,1,INDEX('Lease Cycles'!$GC$20:$GI$20,1,AB214)+1))*(1+'Lease Cycles'!$AK$20)+(INDEX(c_TAXy,1,AB$7)-INDEX(c_TAXy,1,INDEX('Lease Cycles'!$GC$20:$GI$20,1,AB214)+1))+(INDEX(c_INSy,1,AB$7)-INDEX(c_INSy,1,INDEX('Lease Cycles'!$GC$20:$GI$20,1,AB214)+1)))/12)</f>
        <v>0</v>
      </c>
      <c r="AC225" s="28">
        <f>IF(AC224=0,0,AC224*MAX(0,(INDEX(c_CAMy,1,AC$7)-INDEX(c_CAMy,1,INDEX('Lease Cycles'!$GC$20:$GI$20,1,AC214)+1))*(1+'Lease Cycles'!$AK$20)+(INDEX(c_TAXy,1,AC$7)-INDEX(c_TAXy,1,INDEX('Lease Cycles'!$GC$20:$GI$20,1,AC214)+1))+(INDEX(c_INSy,1,AC$7)-INDEX(c_INSy,1,INDEX('Lease Cycles'!$GC$20:$GI$20,1,AC214)+1)))/12)</f>
        <v>0</v>
      </c>
      <c r="AD225" s="28">
        <f>IF(AD224=0,0,AD224*MAX(0,(INDEX(c_CAMy,1,AD$7)-INDEX(c_CAMy,1,INDEX('Lease Cycles'!$GC$20:$GI$20,1,AD214)+1))*(1+'Lease Cycles'!$AK$20)+(INDEX(c_TAXy,1,AD$7)-INDEX(c_TAXy,1,INDEX('Lease Cycles'!$GC$20:$GI$20,1,AD214)+1))+(INDEX(c_INSy,1,AD$7)-INDEX(c_INSy,1,INDEX('Lease Cycles'!$GC$20:$GI$20,1,AD214)+1)))/12)</f>
        <v>0</v>
      </c>
      <c r="AE225" s="28">
        <f>IF(AE224=0,0,AE224*MAX(0,(INDEX(c_CAMy,1,AE$7)-INDEX(c_CAMy,1,INDEX('Lease Cycles'!$GC$20:$GI$20,1,AE214)+1))*(1+'Lease Cycles'!$AK$20)+(INDEX(c_TAXy,1,AE$7)-INDEX(c_TAXy,1,INDEX('Lease Cycles'!$GC$20:$GI$20,1,AE214)+1))+(INDEX(c_INSy,1,AE$7)-INDEX(c_INSy,1,INDEX('Lease Cycles'!$GC$20:$GI$20,1,AE214)+1)))/12)</f>
        <v>0</v>
      </c>
      <c r="AF225" s="28">
        <f>IF(AF224=0,0,AF224*MAX(0,(INDEX(c_CAMy,1,AF$7)-INDEX(c_CAMy,1,INDEX('Lease Cycles'!$GC$20:$GI$20,1,AF214)+1))*(1+'Lease Cycles'!$AK$20)+(INDEX(c_TAXy,1,AF$7)-INDEX(c_TAXy,1,INDEX('Lease Cycles'!$GC$20:$GI$20,1,AF214)+1))+(INDEX(c_INSy,1,AF$7)-INDEX(c_INSy,1,INDEX('Lease Cycles'!$GC$20:$GI$20,1,AF214)+1)))/12)</f>
        <v>0</v>
      </c>
      <c r="AG225" s="28">
        <f>IF(AG224=0,0,AG224*MAX(0,(INDEX(c_CAMy,1,AG$7)-INDEX(c_CAMy,1,INDEX('Lease Cycles'!$GC$20:$GI$20,1,AG214)+1))*(1+'Lease Cycles'!$AK$20)+(INDEX(c_TAXy,1,AG$7)-INDEX(c_TAXy,1,INDEX('Lease Cycles'!$GC$20:$GI$20,1,AG214)+1))+(INDEX(c_INSy,1,AG$7)-INDEX(c_INSy,1,INDEX('Lease Cycles'!$GC$20:$GI$20,1,AG214)+1)))/12)</f>
        <v>0</v>
      </c>
      <c r="AH225" s="28">
        <f>IF(AH224=0,0,AH224*MAX(0,(INDEX(c_CAMy,1,AH$7)-INDEX(c_CAMy,1,INDEX('Lease Cycles'!$GC$20:$GI$20,1,AH214)+1))*(1+'Lease Cycles'!$AK$20)+(INDEX(c_TAXy,1,AH$7)-INDEX(c_TAXy,1,INDEX('Lease Cycles'!$GC$20:$GI$20,1,AH214)+1))+(INDEX(c_INSy,1,AH$7)-INDEX(c_INSy,1,INDEX('Lease Cycles'!$GC$20:$GI$20,1,AH214)+1)))/12)</f>
        <v>0</v>
      </c>
      <c r="AI225" s="28">
        <f>IF(AI224=0,0,AI224*MAX(0,(INDEX(c_CAMy,1,AI$7)-INDEX(c_CAMy,1,INDEX('Lease Cycles'!$GC$20:$GI$20,1,AI214)+1))*(1+'Lease Cycles'!$AK$20)+(INDEX(c_TAXy,1,AI$7)-INDEX(c_TAXy,1,INDEX('Lease Cycles'!$GC$20:$GI$20,1,AI214)+1))+(INDEX(c_INSy,1,AI$7)-INDEX(c_INSy,1,INDEX('Lease Cycles'!$GC$20:$GI$20,1,AI214)+1)))/12)</f>
        <v>0</v>
      </c>
      <c r="AJ225" s="28">
        <f>IF(AJ224=0,0,AJ224*MAX(0,(INDEX(c_CAMy,1,AJ$7)-INDEX(c_CAMy,1,INDEX('Lease Cycles'!$GC$20:$GI$20,1,AJ214)+1))*(1+'Lease Cycles'!$AK$20)+(INDEX(c_TAXy,1,AJ$7)-INDEX(c_TAXy,1,INDEX('Lease Cycles'!$GC$20:$GI$20,1,AJ214)+1))+(INDEX(c_INSy,1,AJ$7)-INDEX(c_INSy,1,INDEX('Lease Cycles'!$GC$20:$GI$20,1,AJ214)+1)))/12)</f>
        <v>0</v>
      </c>
      <c r="AK225" s="28">
        <f>IF(AK224=0,0,AK224*MAX(0,(INDEX(c_CAMy,1,AK$7)-INDEX(c_CAMy,1,INDEX('Lease Cycles'!$GC$20:$GI$20,1,AK214)+1))*(1+'Lease Cycles'!$AK$20)+(INDEX(c_TAXy,1,AK$7)-INDEX(c_TAXy,1,INDEX('Lease Cycles'!$GC$20:$GI$20,1,AK214)+1))+(INDEX(c_INSy,1,AK$7)-INDEX(c_INSy,1,INDEX('Lease Cycles'!$GC$20:$GI$20,1,AK214)+1)))/12)</f>
        <v>0</v>
      </c>
      <c r="AL225" s="28">
        <f>IF(AL224=0,0,AL224*MAX(0,(INDEX(c_CAMy,1,AL$7)-INDEX(c_CAMy,1,INDEX('Lease Cycles'!$GC$20:$GI$20,1,AL214)+1))*(1+'Lease Cycles'!$AK$20)+(INDEX(c_TAXy,1,AL$7)-INDEX(c_TAXy,1,INDEX('Lease Cycles'!$GC$20:$GI$20,1,AL214)+1))+(INDEX(c_INSy,1,AL$7)-INDEX(c_INSy,1,INDEX('Lease Cycles'!$GC$20:$GI$20,1,AL214)+1)))/12)</f>
        <v>0</v>
      </c>
      <c r="AM225" s="28">
        <f>IF(AM224=0,0,AM224*MAX(0,(INDEX(c_CAMy,1,AM$7)-INDEX(c_CAMy,1,INDEX('Lease Cycles'!$GC$20:$GI$20,1,AM214)+1))*(1+'Lease Cycles'!$AK$20)+(INDEX(c_TAXy,1,AM$7)-INDEX(c_TAXy,1,INDEX('Lease Cycles'!$GC$20:$GI$20,1,AM214)+1))+(INDEX(c_INSy,1,AM$7)-INDEX(c_INSy,1,INDEX('Lease Cycles'!$GC$20:$GI$20,1,AM214)+1)))/12)</f>
        <v>0</v>
      </c>
      <c r="AN225" s="28">
        <f>IF(AN224=0,0,AN224*MAX(0,(INDEX(c_CAMy,1,AN$7)-INDEX(c_CAMy,1,INDEX('Lease Cycles'!$GC$20:$GI$20,1,AN214)+1))*(1+'Lease Cycles'!$AK$20)+(INDEX(c_TAXy,1,AN$7)-INDEX(c_TAXy,1,INDEX('Lease Cycles'!$GC$20:$GI$20,1,AN214)+1))+(INDEX(c_INSy,1,AN$7)-INDEX(c_INSy,1,INDEX('Lease Cycles'!$GC$20:$GI$20,1,AN214)+1)))/12)</f>
        <v>0</v>
      </c>
      <c r="AO225" s="28">
        <f>IF(AO224=0,0,AO224*MAX(0,(INDEX(c_CAMy,1,AO$7)-INDEX(c_CAMy,1,INDEX('Lease Cycles'!$GC$20:$GI$20,1,AO214)+1))*(1+'Lease Cycles'!$AK$20)+(INDEX(c_TAXy,1,AO$7)-INDEX(c_TAXy,1,INDEX('Lease Cycles'!$GC$20:$GI$20,1,AO214)+1))+(INDEX(c_INSy,1,AO$7)-INDEX(c_INSy,1,INDEX('Lease Cycles'!$GC$20:$GI$20,1,AO214)+1)))/12)</f>
        <v>0</v>
      </c>
      <c r="AP225" s="28">
        <f>IF(AP224=0,0,AP224*MAX(0,(INDEX(c_CAMy,1,AP$7)-INDEX(c_CAMy,1,INDEX('Lease Cycles'!$GC$20:$GI$20,1,AP214)+1))*(1+'Lease Cycles'!$AK$20)+(INDEX(c_TAXy,1,AP$7)-INDEX(c_TAXy,1,INDEX('Lease Cycles'!$GC$20:$GI$20,1,AP214)+1))+(INDEX(c_INSy,1,AP$7)-INDEX(c_INSy,1,INDEX('Lease Cycles'!$GC$20:$GI$20,1,AP214)+1)))/12)</f>
        <v>0</v>
      </c>
      <c r="AQ225" s="28">
        <f>IF(AQ224=0,0,AQ224*MAX(0,(INDEX(c_CAMy,1,AQ$7)-INDEX(c_CAMy,1,INDEX('Lease Cycles'!$GC$20:$GI$20,1,AQ214)+1))*(1+'Lease Cycles'!$AK$20)+(INDEX(c_TAXy,1,AQ$7)-INDEX(c_TAXy,1,INDEX('Lease Cycles'!$GC$20:$GI$20,1,AQ214)+1))+(INDEX(c_INSy,1,AQ$7)-INDEX(c_INSy,1,INDEX('Lease Cycles'!$GC$20:$GI$20,1,AQ214)+1)))/12)</f>
        <v>0</v>
      </c>
      <c r="AR225" s="28">
        <f>IF(AR224=0,0,AR224*MAX(0,(INDEX(c_CAMy,1,AR$7)-INDEX(c_CAMy,1,INDEX('Lease Cycles'!$GC$20:$GI$20,1,AR214)+1))*(1+'Lease Cycles'!$AK$20)+(INDEX(c_TAXy,1,AR$7)-INDEX(c_TAXy,1,INDEX('Lease Cycles'!$GC$20:$GI$20,1,AR214)+1))+(INDEX(c_INSy,1,AR$7)-INDEX(c_INSy,1,INDEX('Lease Cycles'!$GC$20:$GI$20,1,AR214)+1)))/12)</f>
        <v>0</v>
      </c>
      <c r="AS225" s="28">
        <f>IF(AS224=0,0,AS224*MAX(0,(INDEX(c_CAMy,1,AS$7)-INDEX(c_CAMy,1,INDEX('Lease Cycles'!$GC$20:$GI$20,1,AS214)+1))*(1+'Lease Cycles'!$AK$20)+(INDEX(c_TAXy,1,AS$7)-INDEX(c_TAXy,1,INDEX('Lease Cycles'!$GC$20:$GI$20,1,AS214)+1))+(INDEX(c_INSy,1,AS$7)-INDEX(c_INSy,1,INDEX('Lease Cycles'!$GC$20:$GI$20,1,AS214)+1)))/12)</f>
        <v>0</v>
      </c>
      <c r="AT225" s="28">
        <f>IF(AT224=0,0,AT224*MAX(0,(INDEX(c_CAMy,1,AT$7)-INDEX(c_CAMy,1,INDEX('Lease Cycles'!$GC$20:$GI$20,1,AT214)+1))*(1+'Lease Cycles'!$AK$20)+(INDEX(c_TAXy,1,AT$7)-INDEX(c_TAXy,1,INDEX('Lease Cycles'!$GC$20:$GI$20,1,AT214)+1))+(INDEX(c_INSy,1,AT$7)-INDEX(c_INSy,1,INDEX('Lease Cycles'!$GC$20:$GI$20,1,AT214)+1)))/12)</f>
        <v>0</v>
      </c>
      <c r="AU225" s="28">
        <f>IF(AU224=0,0,AU224*MAX(0,(INDEX(c_CAMy,1,AU$7)-INDEX(c_CAMy,1,INDEX('Lease Cycles'!$GC$20:$GI$20,1,AU214)+1))*(1+'Lease Cycles'!$AK$20)+(INDEX(c_TAXy,1,AU$7)-INDEX(c_TAXy,1,INDEX('Lease Cycles'!$GC$20:$GI$20,1,AU214)+1))+(INDEX(c_INSy,1,AU$7)-INDEX(c_INSy,1,INDEX('Lease Cycles'!$GC$20:$GI$20,1,AU214)+1)))/12)</f>
        <v>0</v>
      </c>
      <c r="AV225" s="28">
        <f>IF(AV224=0,0,AV224*MAX(0,(INDEX(c_CAMy,1,AV$7)-INDEX(c_CAMy,1,INDEX('Lease Cycles'!$GC$20:$GI$20,1,AV214)+1))*(1+'Lease Cycles'!$AK$20)+(INDEX(c_TAXy,1,AV$7)-INDEX(c_TAXy,1,INDEX('Lease Cycles'!$GC$20:$GI$20,1,AV214)+1))+(INDEX(c_INSy,1,AV$7)-INDEX(c_INSy,1,INDEX('Lease Cycles'!$GC$20:$GI$20,1,AV214)+1)))/12)</f>
        <v>0</v>
      </c>
      <c r="AW225" s="28">
        <f>IF(AW224=0,0,AW224*MAX(0,(INDEX(c_CAMy,1,AW$7)-INDEX(c_CAMy,1,INDEX('Lease Cycles'!$GC$20:$GI$20,1,AW214)+1))*(1+'Lease Cycles'!$AK$20)+(INDEX(c_TAXy,1,AW$7)-INDEX(c_TAXy,1,INDEX('Lease Cycles'!$GC$20:$GI$20,1,AW214)+1))+(INDEX(c_INSy,1,AW$7)-INDEX(c_INSy,1,INDEX('Lease Cycles'!$GC$20:$GI$20,1,AW214)+1)))/12)</f>
        <v>0</v>
      </c>
      <c r="AX225" s="28">
        <f>IF(AX224=0,0,AX224*MAX(0,(INDEX(c_CAMy,1,AX$7)-INDEX(c_CAMy,1,INDEX('Lease Cycles'!$GC$20:$GI$20,1,AX214)+1))*(1+'Lease Cycles'!$AK$20)+(INDEX(c_TAXy,1,AX$7)-INDEX(c_TAXy,1,INDEX('Lease Cycles'!$GC$20:$GI$20,1,AX214)+1))+(INDEX(c_INSy,1,AX$7)-INDEX(c_INSy,1,INDEX('Lease Cycles'!$GC$20:$GI$20,1,AX214)+1)))/12)</f>
        <v>0</v>
      </c>
      <c r="AY225" s="28">
        <f>IF(AY224=0,0,AY224*MAX(0,(INDEX(c_CAMy,1,AY$7)-INDEX(c_CAMy,1,INDEX('Lease Cycles'!$GC$20:$GI$20,1,AY214)+1))*(1+'Lease Cycles'!$AK$20)+(INDEX(c_TAXy,1,AY$7)-INDEX(c_TAXy,1,INDEX('Lease Cycles'!$GC$20:$GI$20,1,AY214)+1))+(INDEX(c_INSy,1,AY$7)-INDEX(c_INSy,1,INDEX('Lease Cycles'!$GC$20:$GI$20,1,AY214)+1)))/12)</f>
        <v>0</v>
      </c>
      <c r="AZ225" s="28">
        <f>IF(AZ224=0,0,AZ224*MAX(0,(INDEX(c_CAMy,1,AZ$7)-INDEX(c_CAMy,1,INDEX('Lease Cycles'!$GC$20:$GI$20,1,AZ214)+1))*(1+'Lease Cycles'!$AK$20)+(INDEX(c_TAXy,1,AZ$7)-INDEX(c_TAXy,1,INDEX('Lease Cycles'!$GC$20:$GI$20,1,AZ214)+1))+(INDEX(c_INSy,1,AZ$7)-INDEX(c_INSy,1,INDEX('Lease Cycles'!$GC$20:$GI$20,1,AZ214)+1)))/12)</f>
        <v>0</v>
      </c>
      <c r="BA225" s="28">
        <f>IF(BA224=0,0,BA224*MAX(0,(INDEX(c_CAMy,1,BA$7)-INDEX(c_CAMy,1,INDEX('Lease Cycles'!$GC$20:$GI$20,1,BA214)+1))*(1+'Lease Cycles'!$AK$20)+(INDEX(c_TAXy,1,BA$7)-INDEX(c_TAXy,1,INDEX('Lease Cycles'!$GC$20:$GI$20,1,BA214)+1))+(INDEX(c_INSy,1,BA$7)-INDEX(c_INSy,1,INDEX('Lease Cycles'!$GC$20:$GI$20,1,BA214)+1)))/12)</f>
        <v>0</v>
      </c>
      <c r="BB225" s="28">
        <f>IF(BB224=0,0,BB224*MAX(0,(INDEX(c_CAMy,1,BB$7)-INDEX(c_CAMy,1,INDEX('Lease Cycles'!$GC$20:$GI$20,1,BB214)+1))*(1+'Lease Cycles'!$AK$20)+(INDEX(c_TAXy,1,BB$7)-INDEX(c_TAXy,1,INDEX('Lease Cycles'!$GC$20:$GI$20,1,BB214)+1))+(INDEX(c_INSy,1,BB$7)-INDEX(c_INSy,1,INDEX('Lease Cycles'!$GC$20:$GI$20,1,BB214)+1)))/12)</f>
        <v>0</v>
      </c>
      <c r="BC225" s="28">
        <f>IF(BC224=0,0,BC224*MAX(0,(INDEX(c_CAMy,1,BC$7)-INDEX(c_CAMy,1,INDEX('Lease Cycles'!$GC$20:$GI$20,1,BC214)+1))*(1+'Lease Cycles'!$AK$20)+(INDEX(c_TAXy,1,BC$7)-INDEX(c_TAXy,1,INDEX('Lease Cycles'!$GC$20:$GI$20,1,BC214)+1))+(INDEX(c_INSy,1,BC$7)-INDEX(c_INSy,1,INDEX('Lease Cycles'!$GC$20:$GI$20,1,BC214)+1)))/12)</f>
        <v>0</v>
      </c>
      <c r="BD225" s="28">
        <f>IF(BD224=0,0,BD224*MAX(0,(INDEX(c_CAMy,1,BD$7)-INDEX(c_CAMy,1,INDEX('Lease Cycles'!$GC$20:$GI$20,1,BD214)+1))*(1+'Lease Cycles'!$AK$20)+(INDEX(c_TAXy,1,BD$7)-INDEX(c_TAXy,1,INDEX('Lease Cycles'!$GC$20:$GI$20,1,BD214)+1))+(INDEX(c_INSy,1,BD$7)-INDEX(c_INSy,1,INDEX('Lease Cycles'!$GC$20:$GI$20,1,BD214)+1)))/12)</f>
        <v>0</v>
      </c>
      <c r="BE225" s="28">
        <f>IF(BE224=0,0,BE224*MAX(0,(INDEX(c_CAMy,1,BE$7)-INDEX(c_CAMy,1,INDEX('Lease Cycles'!$GC$20:$GI$20,1,BE214)+1))*(1+'Lease Cycles'!$AK$20)+(INDEX(c_TAXy,1,BE$7)-INDEX(c_TAXy,1,INDEX('Lease Cycles'!$GC$20:$GI$20,1,BE214)+1))+(INDEX(c_INSy,1,BE$7)-INDEX(c_INSy,1,INDEX('Lease Cycles'!$GC$20:$GI$20,1,BE214)+1)))/12)</f>
        <v>0</v>
      </c>
      <c r="BF225" s="28">
        <f>IF(BF224=0,0,BF224*MAX(0,(INDEX(c_CAMy,1,BF$7)-INDEX(c_CAMy,1,INDEX('Lease Cycles'!$GC$20:$GI$20,1,BF214)+1))*(1+'Lease Cycles'!$AK$20)+(INDEX(c_TAXy,1,BF$7)-INDEX(c_TAXy,1,INDEX('Lease Cycles'!$GC$20:$GI$20,1,BF214)+1))+(INDEX(c_INSy,1,BF$7)-INDEX(c_INSy,1,INDEX('Lease Cycles'!$GC$20:$GI$20,1,BF214)+1)))/12)</f>
        <v>0</v>
      </c>
      <c r="BG225" s="28">
        <f>IF(BG224=0,0,BG224*MAX(0,(INDEX(c_CAMy,1,BG$7)-INDEX(c_CAMy,1,INDEX('Lease Cycles'!$GC$20:$GI$20,1,BG214)+1))*(1+'Lease Cycles'!$AK$20)+(INDEX(c_TAXy,1,BG$7)-INDEX(c_TAXy,1,INDEX('Lease Cycles'!$GC$20:$GI$20,1,BG214)+1))+(INDEX(c_INSy,1,BG$7)-INDEX(c_INSy,1,INDEX('Lease Cycles'!$GC$20:$GI$20,1,BG214)+1)))/12)</f>
        <v>0</v>
      </c>
      <c r="BH225" s="28">
        <f>IF(BH224=0,0,BH224*MAX(0,(INDEX(c_CAMy,1,BH$7)-INDEX(c_CAMy,1,INDEX('Lease Cycles'!$GC$20:$GI$20,1,BH214)+1))*(1+'Lease Cycles'!$AK$20)+(INDEX(c_TAXy,1,BH$7)-INDEX(c_TAXy,1,INDEX('Lease Cycles'!$GC$20:$GI$20,1,BH214)+1))+(INDEX(c_INSy,1,BH$7)-INDEX(c_INSy,1,INDEX('Lease Cycles'!$GC$20:$GI$20,1,BH214)+1)))/12)</f>
        <v>0</v>
      </c>
      <c r="BI225" s="28">
        <f>IF(BI224=0,0,BI224*MAX(0,(INDEX(c_CAMy,1,BI$7)-INDEX(c_CAMy,1,INDEX('Lease Cycles'!$GC$20:$GI$20,1,BI214)+1))*(1+'Lease Cycles'!$AK$20)+(INDEX(c_TAXy,1,BI$7)-INDEX(c_TAXy,1,INDEX('Lease Cycles'!$GC$20:$GI$20,1,BI214)+1))+(INDEX(c_INSy,1,BI$7)-INDEX(c_INSy,1,INDEX('Lease Cycles'!$GC$20:$GI$20,1,BI214)+1)))/12)</f>
        <v>0</v>
      </c>
      <c r="BJ225" s="28">
        <f>IF(BJ224=0,0,BJ224*MAX(0,(INDEX(c_CAMy,1,BJ$7)-INDEX(c_CAMy,1,INDEX('Lease Cycles'!$GC$20:$GI$20,1,BJ214)+1))*(1+'Lease Cycles'!$AK$20)+(INDEX(c_TAXy,1,BJ$7)-INDEX(c_TAXy,1,INDEX('Lease Cycles'!$GC$20:$GI$20,1,BJ214)+1))+(INDEX(c_INSy,1,BJ$7)-INDEX(c_INSy,1,INDEX('Lease Cycles'!$GC$20:$GI$20,1,BJ214)+1)))/12)</f>
        <v>0</v>
      </c>
      <c r="BK225" s="28">
        <f>IF(BK224=0,0,BK224*MAX(0,(INDEX(c_CAMy,1,BK$7)-INDEX(c_CAMy,1,INDEX('Lease Cycles'!$GC$20:$GI$20,1,BK214)+1))*(1+'Lease Cycles'!$AK$20)+(INDEX(c_TAXy,1,BK$7)-INDEX(c_TAXy,1,INDEX('Lease Cycles'!$GC$20:$GI$20,1,BK214)+1))+(INDEX(c_INSy,1,BK$7)-INDEX(c_INSy,1,INDEX('Lease Cycles'!$GC$20:$GI$20,1,BK214)+1)))/12)</f>
        <v>0</v>
      </c>
      <c r="BL225" s="28">
        <f>IF(BL224=0,0,BL224*MAX(0,(INDEX(c_CAMy,1,BL$7)-INDEX(c_CAMy,1,INDEX('Lease Cycles'!$GC$20:$GI$20,1,BL214)+1))*(1+'Lease Cycles'!$AK$20)+(INDEX(c_TAXy,1,BL$7)-INDEX(c_TAXy,1,INDEX('Lease Cycles'!$GC$20:$GI$20,1,BL214)+1))+(INDEX(c_INSy,1,BL$7)-INDEX(c_INSy,1,INDEX('Lease Cycles'!$GC$20:$GI$20,1,BL214)+1)))/12)</f>
        <v>0</v>
      </c>
      <c r="BM225" s="28">
        <f>IF(BM224=0,0,BM224*MAX(0,(INDEX(c_CAMy,1,BM$7)-INDEX(c_CAMy,1,INDEX('Lease Cycles'!$GC$20:$GI$20,1,BM214)+1))*(1+'Lease Cycles'!$AK$20)+(INDEX(c_TAXy,1,BM$7)-INDEX(c_TAXy,1,INDEX('Lease Cycles'!$GC$20:$GI$20,1,BM214)+1))+(INDEX(c_INSy,1,BM$7)-INDEX(c_INSy,1,INDEX('Lease Cycles'!$GC$20:$GI$20,1,BM214)+1)))/12)</f>
        <v>0</v>
      </c>
      <c r="BN225" s="28">
        <f>IF(BN224=0,0,BN224*MAX(0,(INDEX(c_CAMy,1,BN$7)-INDEX(c_CAMy,1,INDEX('Lease Cycles'!$GC$20:$GI$20,1,BN214)+1))*(1+'Lease Cycles'!$AK$20)+(INDEX(c_TAXy,1,BN$7)-INDEX(c_TAXy,1,INDEX('Lease Cycles'!$GC$20:$GI$20,1,BN214)+1))+(INDEX(c_INSy,1,BN$7)-INDEX(c_INSy,1,INDEX('Lease Cycles'!$GC$20:$GI$20,1,BN214)+1)))/12)</f>
        <v>0</v>
      </c>
      <c r="BO225" s="28">
        <f>IF(BO224=0,0,BO224*MAX(0,(INDEX(c_CAMy,1,BO$7)-INDEX(c_CAMy,1,INDEX('Lease Cycles'!$GC$20:$GI$20,1,BO214)+1))*(1+'Lease Cycles'!$AK$20)+(INDEX(c_TAXy,1,BO$7)-INDEX(c_TAXy,1,INDEX('Lease Cycles'!$GC$20:$GI$20,1,BO214)+1))+(INDEX(c_INSy,1,BO$7)-INDEX(c_INSy,1,INDEX('Lease Cycles'!$GC$20:$GI$20,1,BO214)+1)))/12)</f>
        <v>0</v>
      </c>
      <c r="BP225" s="28">
        <f>IF(BP224=0,0,BP224*MAX(0,(INDEX(c_CAMy,1,BP$7)-INDEX(c_CAMy,1,INDEX('Lease Cycles'!$GC$20:$GI$20,1,BP214)+1))*(1+'Lease Cycles'!$AK$20)+(INDEX(c_TAXy,1,BP$7)-INDEX(c_TAXy,1,INDEX('Lease Cycles'!$GC$20:$GI$20,1,BP214)+1))+(INDEX(c_INSy,1,BP$7)-INDEX(c_INSy,1,INDEX('Lease Cycles'!$GC$20:$GI$20,1,BP214)+1)))/12)</f>
        <v>0</v>
      </c>
      <c r="BQ225" s="28">
        <f>IF(BQ224=0,0,BQ224*MAX(0,(INDEX(c_CAMy,1,BQ$7)-INDEX(c_CAMy,1,INDEX('Lease Cycles'!$GC$20:$GI$20,1,BQ214)+1))*(1+'Lease Cycles'!$AK$20)+(INDEX(c_TAXy,1,BQ$7)-INDEX(c_TAXy,1,INDEX('Lease Cycles'!$GC$20:$GI$20,1,BQ214)+1))+(INDEX(c_INSy,1,BQ$7)-INDEX(c_INSy,1,INDEX('Lease Cycles'!$GC$20:$GI$20,1,BQ214)+1)))/12)</f>
        <v>0</v>
      </c>
      <c r="BR225" s="28">
        <f>IF(BR224=0,0,BR224*MAX(0,(INDEX(c_CAMy,1,BR$7)-INDEX(c_CAMy,1,INDEX('Lease Cycles'!$GC$20:$GI$20,1,BR214)+1))*(1+'Lease Cycles'!$AK$20)+(INDEX(c_TAXy,1,BR$7)-INDEX(c_TAXy,1,INDEX('Lease Cycles'!$GC$20:$GI$20,1,BR214)+1))+(INDEX(c_INSy,1,BR$7)-INDEX(c_INSy,1,INDEX('Lease Cycles'!$GC$20:$GI$20,1,BR214)+1)))/12)</f>
        <v>0</v>
      </c>
      <c r="BS225" s="28">
        <f>IF(BS224=0,0,BS224*MAX(0,(INDEX(c_CAMy,1,BS$7)-INDEX(c_CAMy,1,INDEX('Lease Cycles'!$GC$20:$GI$20,1,BS214)+1))*(1+'Lease Cycles'!$AK$20)+(INDEX(c_TAXy,1,BS$7)-INDEX(c_TAXy,1,INDEX('Lease Cycles'!$GC$20:$GI$20,1,BS214)+1))+(INDEX(c_INSy,1,BS$7)-INDEX(c_INSy,1,INDEX('Lease Cycles'!$GC$20:$GI$20,1,BS214)+1)))/12)</f>
        <v>0</v>
      </c>
      <c r="BT225" s="28">
        <f>IF(BT224=0,0,BT224*MAX(0,(INDEX(c_CAMy,1,BT$7)-INDEX(c_CAMy,1,INDEX('Lease Cycles'!$GC$20:$GI$20,1,BT214)+1))*(1+'Lease Cycles'!$AK$20)+(INDEX(c_TAXy,1,BT$7)-INDEX(c_TAXy,1,INDEX('Lease Cycles'!$GC$20:$GI$20,1,BT214)+1))+(INDEX(c_INSy,1,BT$7)-INDEX(c_INSy,1,INDEX('Lease Cycles'!$GC$20:$GI$20,1,BT214)+1)))/12)</f>
        <v>0</v>
      </c>
      <c r="BU225" s="28">
        <f>IF(BU224=0,0,BU224*MAX(0,(INDEX(c_CAMy,1,BU$7)-INDEX(c_CAMy,1,INDEX('Lease Cycles'!$GC$20:$GI$20,1,BU214)+1))*(1+'Lease Cycles'!$AK$20)+(INDEX(c_TAXy,1,BU$7)-INDEX(c_TAXy,1,INDEX('Lease Cycles'!$GC$20:$GI$20,1,BU214)+1))+(INDEX(c_INSy,1,BU$7)-INDEX(c_INSy,1,INDEX('Lease Cycles'!$GC$20:$GI$20,1,BU214)+1)))/12)</f>
        <v>0</v>
      </c>
      <c r="BV225" s="28">
        <f>IF(BV224=0,0,BV224*MAX(0,(INDEX(c_CAMy,1,BV$7)-INDEX(c_CAMy,1,INDEX('Lease Cycles'!$GC$20:$GI$20,1,BV214)+1))*(1+'Lease Cycles'!$AK$20)+(INDEX(c_TAXy,1,BV$7)-INDEX(c_TAXy,1,INDEX('Lease Cycles'!$GC$20:$GI$20,1,BV214)+1))+(INDEX(c_INSy,1,BV$7)-INDEX(c_INSy,1,INDEX('Lease Cycles'!$GC$20:$GI$20,1,BV214)+1)))/12)</f>
        <v>0</v>
      </c>
      <c r="BW225" s="28">
        <f>IF(BW224=0,0,BW224*MAX(0,(INDEX(c_CAMy,1,BW$7)-INDEX(c_CAMy,1,INDEX('Lease Cycles'!$GC$20:$GI$20,1,BW214)+1))*(1+'Lease Cycles'!$AK$20)+(INDEX(c_TAXy,1,BW$7)-INDEX(c_TAXy,1,INDEX('Lease Cycles'!$GC$20:$GI$20,1,BW214)+1))+(INDEX(c_INSy,1,BW$7)-INDEX(c_INSy,1,INDEX('Lease Cycles'!$GC$20:$GI$20,1,BW214)+1)))/12)</f>
        <v>0</v>
      </c>
      <c r="BX225" s="28">
        <f>IF(BX224=0,0,BX224*MAX(0,(INDEX(c_CAMy,1,BX$7)-INDEX(c_CAMy,1,INDEX('Lease Cycles'!$GC$20:$GI$20,1,BX214)+1))*(1+'Lease Cycles'!$AK$20)+(INDEX(c_TAXy,1,BX$7)-INDEX(c_TAXy,1,INDEX('Lease Cycles'!$GC$20:$GI$20,1,BX214)+1))+(INDEX(c_INSy,1,BX$7)-INDEX(c_INSy,1,INDEX('Lease Cycles'!$GC$20:$GI$20,1,BX214)+1)))/12)</f>
        <v>0</v>
      </c>
      <c r="BY225" s="28">
        <f>IF(BY224=0,0,BY224*MAX(0,(INDEX(c_CAMy,1,BY$7)-INDEX(c_CAMy,1,INDEX('Lease Cycles'!$GC$20:$GI$20,1,BY214)+1))*(1+'Lease Cycles'!$AK$20)+(INDEX(c_TAXy,1,BY$7)-INDEX(c_TAXy,1,INDEX('Lease Cycles'!$GC$20:$GI$20,1,BY214)+1))+(INDEX(c_INSy,1,BY$7)-INDEX(c_INSy,1,INDEX('Lease Cycles'!$GC$20:$GI$20,1,BY214)+1)))/12)</f>
        <v>0</v>
      </c>
      <c r="BZ225" s="28">
        <f>IF(BZ224=0,0,BZ224*MAX(0,(INDEX(c_CAMy,1,BZ$7)-INDEX(c_CAMy,1,INDEX('Lease Cycles'!$GC$20:$GI$20,1,BZ214)+1))*(1+'Lease Cycles'!$AK$20)+(INDEX(c_TAXy,1,BZ$7)-INDEX(c_TAXy,1,INDEX('Lease Cycles'!$GC$20:$GI$20,1,BZ214)+1))+(INDEX(c_INSy,1,BZ$7)-INDEX(c_INSy,1,INDEX('Lease Cycles'!$GC$20:$GI$20,1,BZ214)+1)))/12)</f>
        <v>0</v>
      </c>
      <c r="CA225" s="28">
        <f>IF(CA224=0,0,CA224*MAX(0,(INDEX(c_CAMy,1,CA$7)-INDEX(c_CAMy,1,INDEX('Lease Cycles'!$GC$20:$GI$20,1,CA214)+1))*(1+'Lease Cycles'!$AK$20)+(INDEX(c_TAXy,1,CA$7)-INDEX(c_TAXy,1,INDEX('Lease Cycles'!$GC$20:$GI$20,1,CA214)+1))+(INDEX(c_INSy,1,CA$7)-INDEX(c_INSy,1,INDEX('Lease Cycles'!$GC$20:$GI$20,1,CA214)+1)))/12)</f>
        <v>0</v>
      </c>
      <c r="CB225" s="28">
        <f>IF(CB224=0,0,CB224*MAX(0,(INDEX(c_CAMy,1,CB$7)-INDEX(c_CAMy,1,INDEX('Lease Cycles'!$GC$20:$GI$20,1,CB214)+1))*(1+'Lease Cycles'!$AK$20)+(INDEX(c_TAXy,1,CB$7)-INDEX(c_TAXy,1,INDEX('Lease Cycles'!$GC$20:$GI$20,1,CB214)+1))+(INDEX(c_INSy,1,CB$7)-INDEX(c_INSy,1,INDEX('Lease Cycles'!$GC$20:$GI$20,1,CB214)+1)))/12)</f>
        <v>0</v>
      </c>
      <c r="CC225" s="28">
        <f>IF(CC224=0,0,CC224*MAX(0,(INDEX(c_CAMy,1,CC$7)-INDEX(c_CAMy,1,INDEX('Lease Cycles'!$GC$20:$GI$20,1,CC214)+1))*(1+'Lease Cycles'!$AK$20)+(INDEX(c_TAXy,1,CC$7)-INDEX(c_TAXy,1,INDEX('Lease Cycles'!$GC$20:$GI$20,1,CC214)+1))+(INDEX(c_INSy,1,CC$7)-INDEX(c_INSy,1,INDEX('Lease Cycles'!$GC$20:$GI$20,1,CC214)+1)))/12)</f>
        <v>0</v>
      </c>
      <c r="CD225" s="28">
        <f>IF(CD224=0,0,CD224*MAX(0,(INDEX(c_CAMy,1,CD$7)-INDEX(c_CAMy,1,INDEX('Lease Cycles'!$GC$20:$GI$20,1,CD214)+1))*(1+'Lease Cycles'!$AK$20)+(INDEX(c_TAXy,1,CD$7)-INDEX(c_TAXy,1,INDEX('Lease Cycles'!$GC$20:$GI$20,1,CD214)+1))+(INDEX(c_INSy,1,CD$7)-INDEX(c_INSy,1,INDEX('Lease Cycles'!$GC$20:$GI$20,1,CD214)+1)))/12)</f>
        <v>0</v>
      </c>
      <c r="CE225" s="28">
        <f>IF(CE224=0,0,CE224*MAX(0,(INDEX(c_CAMy,1,CE$7)-INDEX(c_CAMy,1,INDEX('Lease Cycles'!$GC$20:$GI$20,1,CE214)+1))*(1+'Lease Cycles'!$AK$20)+(INDEX(c_TAXy,1,CE$7)-INDEX(c_TAXy,1,INDEX('Lease Cycles'!$GC$20:$GI$20,1,CE214)+1))+(INDEX(c_INSy,1,CE$7)-INDEX(c_INSy,1,INDEX('Lease Cycles'!$GC$20:$GI$20,1,CE214)+1)))/12)</f>
        <v>0</v>
      </c>
      <c r="CF225" s="28">
        <f>IF(CF224=0,0,CF224*MAX(0,(INDEX(c_CAMy,1,CF$7)-INDEX(c_CAMy,1,INDEX('Lease Cycles'!$GC$20:$GI$20,1,CF214)+1))*(1+'Lease Cycles'!$AK$20)+(INDEX(c_TAXy,1,CF$7)-INDEX(c_TAXy,1,INDEX('Lease Cycles'!$GC$20:$GI$20,1,CF214)+1))+(INDEX(c_INSy,1,CF$7)-INDEX(c_INSy,1,INDEX('Lease Cycles'!$GC$20:$GI$20,1,CF214)+1)))/12)</f>
        <v>0</v>
      </c>
      <c r="CG225" s="28">
        <f>IF(CG224=0,0,CG224*MAX(0,(INDEX(c_CAMy,1,CG$7)-INDEX(c_CAMy,1,INDEX('Lease Cycles'!$GC$20:$GI$20,1,CG214)+1))*(1+'Lease Cycles'!$AK$20)+(INDEX(c_TAXy,1,CG$7)-INDEX(c_TAXy,1,INDEX('Lease Cycles'!$GC$20:$GI$20,1,CG214)+1))+(INDEX(c_INSy,1,CG$7)-INDEX(c_INSy,1,INDEX('Lease Cycles'!$GC$20:$GI$20,1,CG214)+1)))/12)</f>
        <v>0</v>
      </c>
      <c r="CH225" s="28">
        <f>IF(CH224=0,0,CH224*MAX(0,(INDEX(c_CAMy,1,CH$7)-INDEX(c_CAMy,1,INDEX('Lease Cycles'!$GC$20:$GI$20,1,CH214)+1))*(1+'Lease Cycles'!$AK$20)+(INDEX(c_TAXy,1,CH$7)-INDEX(c_TAXy,1,INDEX('Lease Cycles'!$GC$20:$GI$20,1,CH214)+1))+(INDEX(c_INSy,1,CH$7)-INDEX(c_INSy,1,INDEX('Lease Cycles'!$GC$20:$GI$20,1,CH214)+1)))/12)</f>
        <v>0</v>
      </c>
      <c r="CI225" s="28">
        <f>IF(CI224=0,0,CI224*MAX(0,(INDEX(c_CAMy,1,CI$7)-INDEX(c_CAMy,1,INDEX('Lease Cycles'!$GC$20:$GI$20,1,CI214)+1))*(1+'Lease Cycles'!$AK$20)+(INDEX(c_TAXy,1,CI$7)-INDEX(c_TAXy,1,INDEX('Lease Cycles'!$GC$20:$GI$20,1,CI214)+1))+(INDEX(c_INSy,1,CI$7)-INDEX(c_INSy,1,INDEX('Lease Cycles'!$GC$20:$GI$20,1,CI214)+1)))/12)</f>
        <v>0</v>
      </c>
      <c r="CJ225" s="28">
        <f>IF(CJ224=0,0,CJ224*MAX(0,(INDEX(c_CAMy,1,CJ$7)-INDEX(c_CAMy,1,INDEX('Lease Cycles'!$GC$20:$GI$20,1,CJ214)+1))*(1+'Lease Cycles'!$AK$20)+(INDEX(c_TAXy,1,CJ$7)-INDEX(c_TAXy,1,INDEX('Lease Cycles'!$GC$20:$GI$20,1,CJ214)+1))+(INDEX(c_INSy,1,CJ$7)-INDEX(c_INSy,1,INDEX('Lease Cycles'!$GC$20:$GI$20,1,CJ214)+1)))/12)</f>
        <v>0</v>
      </c>
      <c r="CK225" s="28">
        <f>IF(CK224=0,0,CK224*MAX(0,(INDEX(c_CAMy,1,CK$7)-INDEX(c_CAMy,1,INDEX('Lease Cycles'!$GC$20:$GI$20,1,CK214)+1))*(1+'Lease Cycles'!$AK$20)+(INDEX(c_TAXy,1,CK$7)-INDEX(c_TAXy,1,INDEX('Lease Cycles'!$GC$20:$GI$20,1,CK214)+1))+(INDEX(c_INSy,1,CK$7)-INDEX(c_INSy,1,INDEX('Lease Cycles'!$GC$20:$GI$20,1,CK214)+1)))/12)</f>
        <v>0</v>
      </c>
      <c r="CL225" s="28">
        <f>IF(CL224=0,0,CL224*MAX(0,(INDEX(c_CAMy,1,CL$7)-INDEX(c_CAMy,1,INDEX('Lease Cycles'!$GC$20:$GI$20,1,CL214)+1))*(1+'Lease Cycles'!$AK$20)+(INDEX(c_TAXy,1,CL$7)-INDEX(c_TAXy,1,INDEX('Lease Cycles'!$GC$20:$GI$20,1,CL214)+1))+(INDEX(c_INSy,1,CL$7)-INDEX(c_INSy,1,INDEX('Lease Cycles'!$GC$20:$GI$20,1,CL214)+1)))/12)</f>
        <v>0</v>
      </c>
      <c r="CM225" s="28">
        <f>IF(CM224=0,0,CM224*MAX(0,(INDEX(c_CAMy,1,CM$7)-INDEX(c_CAMy,1,INDEX('Lease Cycles'!$GC$20:$GI$20,1,CM214)+1))*(1+'Lease Cycles'!$AK$20)+(INDEX(c_TAXy,1,CM$7)-INDEX(c_TAXy,1,INDEX('Lease Cycles'!$GC$20:$GI$20,1,CM214)+1))+(INDEX(c_INSy,1,CM$7)-INDEX(c_INSy,1,INDEX('Lease Cycles'!$GC$20:$GI$20,1,CM214)+1)))/12)</f>
        <v>0</v>
      </c>
      <c r="CN225" s="28">
        <f>IF(CN224=0,0,CN224*MAX(0,(INDEX(c_CAMy,1,CN$7)-INDEX(c_CAMy,1,INDEX('Lease Cycles'!$GC$20:$GI$20,1,CN214)+1))*(1+'Lease Cycles'!$AK$20)+(INDEX(c_TAXy,1,CN$7)-INDEX(c_TAXy,1,INDEX('Lease Cycles'!$GC$20:$GI$20,1,CN214)+1))+(INDEX(c_INSy,1,CN$7)-INDEX(c_INSy,1,INDEX('Lease Cycles'!$GC$20:$GI$20,1,CN214)+1)))/12)</f>
        <v>0</v>
      </c>
      <c r="CO225" s="28">
        <f>IF(CO224=0,0,CO224*MAX(0,(INDEX(c_CAMy,1,CO$7)-INDEX(c_CAMy,1,INDEX('Lease Cycles'!$GC$20:$GI$20,1,CO214)+1))*(1+'Lease Cycles'!$AK$20)+(INDEX(c_TAXy,1,CO$7)-INDEX(c_TAXy,1,INDEX('Lease Cycles'!$GC$20:$GI$20,1,CO214)+1))+(INDEX(c_INSy,1,CO$7)-INDEX(c_INSy,1,INDEX('Lease Cycles'!$GC$20:$GI$20,1,CO214)+1)))/12)</f>
        <v>0</v>
      </c>
      <c r="CP225" s="28">
        <f>IF(CP224=0,0,CP224*MAX(0,(INDEX(c_CAMy,1,CP$7)-INDEX(c_CAMy,1,INDEX('Lease Cycles'!$GC$20:$GI$20,1,CP214)+1))*(1+'Lease Cycles'!$AK$20)+(INDEX(c_TAXy,1,CP$7)-INDEX(c_TAXy,1,INDEX('Lease Cycles'!$GC$20:$GI$20,1,CP214)+1))+(INDEX(c_INSy,1,CP$7)-INDEX(c_INSy,1,INDEX('Lease Cycles'!$GC$20:$GI$20,1,CP214)+1)))/12)</f>
        <v>0</v>
      </c>
      <c r="CQ225" s="28">
        <f>IF(CQ224=0,0,CQ224*MAX(0,(INDEX(c_CAMy,1,CQ$7)-INDEX(c_CAMy,1,INDEX('Lease Cycles'!$GC$20:$GI$20,1,CQ214)+1))*(1+'Lease Cycles'!$AK$20)+(INDEX(c_TAXy,1,CQ$7)-INDEX(c_TAXy,1,INDEX('Lease Cycles'!$GC$20:$GI$20,1,CQ214)+1))+(INDEX(c_INSy,1,CQ$7)-INDEX(c_INSy,1,INDEX('Lease Cycles'!$GC$20:$GI$20,1,CQ214)+1)))/12)</f>
        <v>0</v>
      </c>
      <c r="CR225" s="28">
        <f>IF(CR224=0,0,CR224*MAX(0,(INDEX(c_CAMy,1,CR$7)-INDEX(c_CAMy,1,INDEX('Lease Cycles'!$GC$20:$GI$20,1,CR214)+1))*(1+'Lease Cycles'!$AK$20)+(INDEX(c_TAXy,1,CR$7)-INDEX(c_TAXy,1,INDEX('Lease Cycles'!$GC$20:$GI$20,1,CR214)+1))+(INDEX(c_INSy,1,CR$7)-INDEX(c_INSy,1,INDEX('Lease Cycles'!$GC$20:$GI$20,1,CR214)+1)))/12)</f>
        <v>0</v>
      </c>
      <c r="CS225" s="28">
        <f>IF(CS224=0,0,CS224*MAX(0,(INDEX(c_CAMy,1,CS$7)-INDEX(c_CAMy,1,INDEX('Lease Cycles'!$GC$20:$GI$20,1,CS214)+1))*(1+'Lease Cycles'!$AK$20)+(INDEX(c_TAXy,1,CS$7)-INDEX(c_TAXy,1,INDEX('Lease Cycles'!$GC$20:$GI$20,1,CS214)+1))+(INDEX(c_INSy,1,CS$7)-INDEX(c_INSy,1,INDEX('Lease Cycles'!$GC$20:$GI$20,1,CS214)+1)))/12)</f>
        <v>0</v>
      </c>
      <c r="CT225" s="28">
        <f>IF(CT224=0,0,CT224*MAX(0,(INDEX(c_CAMy,1,CT$7)-INDEX(c_CAMy,1,INDEX('Lease Cycles'!$GC$20:$GI$20,1,CT214)+1))*(1+'Lease Cycles'!$AK$20)+(INDEX(c_TAXy,1,CT$7)-INDEX(c_TAXy,1,INDEX('Lease Cycles'!$GC$20:$GI$20,1,CT214)+1))+(INDEX(c_INSy,1,CT$7)-INDEX(c_INSy,1,INDEX('Lease Cycles'!$GC$20:$GI$20,1,CT214)+1)))/12)</f>
        <v>0</v>
      </c>
      <c r="CU225" s="28">
        <f>IF(CU224=0,0,CU224*MAX(0,(INDEX(c_CAMy,1,CU$7)-INDEX(c_CAMy,1,INDEX('Lease Cycles'!$GC$20:$GI$20,1,CU214)+1))*(1+'Lease Cycles'!$AK$20)+(INDEX(c_TAXy,1,CU$7)-INDEX(c_TAXy,1,INDEX('Lease Cycles'!$GC$20:$GI$20,1,CU214)+1))+(INDEX(c_INSy,1,CU$7)-INDEX(c_INSy,1,INDEX('Lease Cycles'!$GC$20:$GI$20,1,CU214)+1)))/12)</f>
        <v>0</v>
      </c>
      <c r="CV225" s="28">
        <f>IF(CV224=0,0,CV224*MAX(0,(INDEX(c_CAMy,1,CV$7)-INDEX(c_CAMy,1,INDEX('Lease Cycles'!$GC$20:$GI$20,1,CV214)+1))*(1+'Lease Cycles'!$AK$20)+(INDEX(c_TAXy,1,CV$7)-INDEX(c_TAXy,1,INDEX('Lease Cycles'!$GC$20:$GI$20,1,CV214)+1))+(INDEX(c_INSy,1,CV$7)-INDEX(c_INSy,1,INDEX('Lease Cycles'!$GC$20:$GI$20,1,CV214)+1)))/12)</f>
        <v>0</v>
      </c>
      <c r="CW225" s="28">
        <f>IF(CW224=0,0,CW224*MAX(0,(INDEX(c_CAMy,1,CW$7)-INDEX(c_CAMy,1,INDEX('Lease Cycles'!$GC$20:$GI$20,1,CW214)+1))*(1+'Lease Cycles'!$AK$20)+(INDEX(c_TAXy,1,CW$7)-INDEX(c_TAXy,1,INDEX('Lease Cycles'!$GC$20:$GI$20,1,CW214)+1))+(INDEX(c_INSy,1,CW$7)-INDEX(c_INSy,1,INDEX('Lease Cycles'!$GC$20:$GI$20,1,CW214)+1)))/12)</f>
        <v>0</v>
      </c>
      <c r="CX225" s="28">
        <f>IF(CX224=0,0,CX224*MAX(0,(INDEX(c_CAMy,1,CX$7)-INDEX(c_CAMy,1,INDEX('Lease Cycles'!$GC$20:$GI$20,1,CX214)+1))*(1+'Lease Cycles'!$AK$20)+(INDEX(c_TAXy,1,CX$7)-INDEX(c_TAXy,1,INDEX('Lease Cycles'!$GC$20:$GI$20,1,CX214)+1))+(INDEX(c_INSy,1,CX$7)-INDEX(c_INSy,1,INDEX('Lease Cycles'!$GC$20:$GI$20,1,CX214)+1)))/12)</f>
        <v>0</v>
      </c>
      <c r="CY225" s="28">
        <f>IF(CY224=0,0,CY224*MAX(0,(INDEX(c_CAMy,1,CY$7)-INDEX(c_CAMy,1,INDEX('Lease Cycles'!$GC$20:$GI$20,1,CY214)+1))*(1+'Lease Cycles'!$AK$20)+(INDEX(c_TAXy,1,CY$7)-INDEX(c_TAXy,1,INDEX('Lease Cycles'!$GC$20:$GI$20,1,CY214)+1))+(INDEX(c_INSy,1,CY$7)-INDEX(c_INSy,1,INDEX('Lease Cycles'!$GC$20:$GI$20,1,CY214)+1)))/12)</f>
        <v>0</v>
      </c>
      <c r="CZ225" s="28">
        <f>IF(CZ224=0,0,CZ224*MAX(0,(INDEX(c_CAMy,1,CZ$7)-INDEX(c_CAMy,1,INDEX('Lease Cycles'!$GC$20:$GI$20,1,CZ214)+1))*(1+'Lease Cycles'!$AK$20)+(INDEX(c_TAXy,1,CZ$7)-INDEX(c_TAXy,1,INDEX('Lease Cycles'!$GC$20:$GI$20,1,CZ214)+1))+(INDEX(c_INSy,1,CZ$7)-INDEX(c_INSy,1,INDEX('Lease Cycles'!$GC$20:$GI$20,1,CZ214)+1)))/12)</f>
        <v>0</v>
      </c>
      <c r="DA225" s="28">
        <f>IF(DA224=0,0,DA224*MAX(0,(INDEX(c_CAMy,1,DA$7)-INDEX(c_CAMy,1,INDEX('Lease Cycles'!$GC$20:$GI$20,1,DA214)+1))*(1+'Lease Cycles'!$AK$20)+(INDEX(c_TAXy,1,DA$7)-INDEX(c_TAXy,1,INDEX('Lease Cycles'!$GC$20:$GI$20,1,DA214)+1))+(INDEX(c_INSy,1,DA$7)-INDEX(c_INSy,1,INDEX('Lease Cycles'!$GC$20:$GI$20,1,DA214)+1)))/12)</f>
        <v>0</v>
      </c>
      <c r="DB225" s="28">
        <f>IF(DB224=0,0,DB224*MAX(0,(INDEX(c_CAMy,1,DB$7)-INDEX(c_CAMy,1,INDEX('Lease Cycles'!$GC$20:$GI$20,1,DB214)+1))*(1+'Lease Cycles'!$AK$20)+(INDEX(c_TAXy,1,DB$7)-INDEX(c_TAXy,1,INDEX('Lease Cycles'!$GC$20:$GI$20,1,DB214)+1))+(INDEX(c_INSy,1,DB$7)-INDEX(c_INSy,1,INDEX('Lease Cycles'!$GC$20:$GI$20,1,DB214)+1)))/12)</f>
        <v>0</v>
      </c>
      <c r="DC225" s="28">
        <f>IF(DC224=0,0,DC224*MAX(0,(INDEX(c_CAMy,1,DC$7)-INDEX(c_CAMy,1,INDEX('Lease Cycles'!$GC$20:$GI$20,1,DC214)+1))*(1+'Lease Cycles'!$AK$20)+(INDEX(c_TAXy,1,DC$7)-INDEX(c_TAXy,1,INDEX('Lease Cycles'!$GC$20:$GI$20,1,DC214)+1))+(INDEX(c_INSy,1,DC$7)-INDEX(c_INSy,1,INDEX('Lease Cycles'!$GC$20:$GI$20,1,DC214)+1)))/12)</f>
        <v>0</v>
      </c>
      <c r="DD225" s="28">
        <f>IF(DD224=0,0,DD224*MAX(0,(INDEX(c_CAMy,1,DD$7)-INDEX(c_CAMy,1,INDEX('Lease Cycles'!$GC$20:$GI$20,1,DD214)+1))*(1+'Lease Cycles'!$AK$20)+(INDEX(c_TAXy,1,DD$7)-INDEX(c_TAXy,1,INDEX('Lease Cycles'!$GC$20:$GI$20,1,DD214)+1))+(INDEX(c_INSy,1,DD$7)-INDEX(c_INSy,1,INDEX('Lease Cycles'!$GC$20:$GI$20,1,DD214)+1)))/12)</f>
        <v>0</v>
      </c>
      <c r="DE225" s="28">
        <f>IF(DE224=0,0,DE224*MAX(0,(INDEX(c_CAMy,1,DE$7)-INDEX(c_CAMy,1,INDEX('Lease Cycles'!$GC$20:$GI$20,1,DE214)+1))*(1+'Lease Cycles'!$AK$20)+(INDEX(c_TAXy,1,DE$7)-INDEX(c_TAXy,1,INDEX('Lease Cycles'!$GC$20:$GI$20,1,DE214)+1))+(INDEX(c_INSy,1,DE$7)-INDEX(c_INSy,1,INDEX('Lease Cycles'!$GC$20:$GI$20,1,DE214)+1)))/12)</f>
        <v>0</v>
      </c>
      <c r="DF225" s="28">
        <f>IF(DF224=0,0,DF224*MAX(0,(INDEX(c_CAMy,1,DF$7)-INDEX(c_CAMy,1,INDEX('Lease Cycles'!$GC$20:$GI$20,1,DF214)+1))*(1+'Lease Cycles'!$AK$20)+(INDEX(c_TAXy,1,DF$7)-INDEX(c_TAXy,1,INDEX('Lease Cycles'!$GC$20:$GI$20,1,DF214)+1))+(INDEX(c_INSy,1,DF$7)-INDEX(c_INSy,1,INDEX('Lease Cycles'!$GC$20:$GI$20,1,DF214)+1)))/12)</f>
        <v>0</v>
      </c>
      <c r="DG225" s="28">
        <f>IF(DG224=0,0,DG224*MAX(0,(INDEX(c_CAMy,1,DG$7)-INDEX(c_CAMy,1,INDEX('Lease Cycles'!$GC$20:$GI$20,1,DG214)+1))*(1+'Lease Cycles'!$AK$20)+(INDEX(c_TAXy,1,DG$7)-INDEX(c_TAXy,1,INDEX('Lease Cycles'!$GC$20:$GI$20,1,DG214)+1))+(INDEX(c_INSy,1,DG$7)-INDEX(c_INSy,1,INDEX('Lease Cycles'!$GC$20:$GI$20,1,DG214)+1)))/12)</f>
        <v>0</v>
      </c>
      <c r="DH225" s="28">
        <f>IF(DH224=0,0,DH224*MAX(0,(INDEX(c_CAMy,1,DH$7)-INDEX(c_CAMy,1,INDEX('Lease Cycles'!$GC$20:$GI$20,1,DH214)+1))*(1+'Lease Cycles'!$AK$20)+(INDEX(c_TAXy,1,DH$7)-INDEX(c_TAXy,1,INDEX('Lease Cycles'!$GC$20:$GI$20,1,DH214)+1))+(INDEX(c_INSy,1,DH$7)-INDEX(c_INSy,1,INDEX('Lease Cycles'!$GC$20:$GI$20,1,DH214)+1)))/12)</f>
        <v>0</v>
      </c>
      <c r="DI225" s="28">
        <f>IF(DI224=0,0,DI224*MAX(0,(INDEX(c_CAMy,1,DI$7)-INDEX(c_CAMy,1,INDEX('Lease Cycles'!$GC$20:$GI$20,1,DI214)+1))*(1+'Lease Cycles'!$AK$20)+(INDEX(c_TAXy,1,DI$7)-INDEX(c_TAXy,1,INDEX('Lease Cycles'!$GC$20:$GI$20,1,DI214)+1))+(INDEX(c_INSy,1,DI$7)-INDEX(c_INSy,1,INDEX('Lease Cycles'!$GC$20:$GI$20,1,DI214)+1)))/12)</f>
        <v>0</v>
      </c>
      <c r="DJ225" s="28">
        <f>IF(DJ224=0,0,DJ224*MAX(0,(INDEX(c_CAMy,1,DJ$7)-INDEX(c_CAMy,1,INDEX('Lease Cycles'!$GC$20:$GI$20,1,DJ214)+1))*(1+'Lease Cycles'!$AK$20)+(INDEX(c_TAXy,1,DJ$7)-INDEX(c_TAXy,1,INDEX('Lease Cycles'!$GC$20:$GI$20,1,DJ214)+1))+(INDEX(c_INSy,1,DJ$7)-INDEX(c_INSy,1,INDEX('Lease Cycles'!$GC$20:$GI$20,1,DJ214)+1)))/12)</f>
        <v>0</v>
      </c>
      <c r="DK225" s="28">
        <f>IF(DK224=0,0,DK224*MAX(0,(INDEX(c_CAMy,1,DK$7)-INDEX(c_CAMy,1,INDEX('Lease Cycles'!$GC$20:$GI$20,1,DK214)+1))*(1+'Lease Cycles'!$AK$20)+(INDEX(c_TAXy,1,DK$7)-INDEX(c_TAXy,1,INDEX('Lease Cycles'!$GC$20:$GI$20,1,DK214)+1))+(INDEX(c_INSy,1,DK$7)-INDEX(c_INSy,1,INDEX('Lease Cycles'!$GC$20:$GI$20,1,DK214)+1)))/12)</f>
        <v>0</v>
      </c>
      <c r="DL225" s="28">
        <f>IF(DL224=0,0,DL224*MAX(0,(INDEX(c_CAMy,1,DL$7)-INDEX(c_CAMy,1,INDEX('Lease Cycles'!$GC$20:$GI$20,1,DL214)+1))*(1+'Lease Cycles'!$AK$20)+(INDEX(c_TAXy,1,DL$7)-INDEX(c_TAXy,1,INDEX('Lease Cycles'!$GC$20:$GI$20,1,DL214)+1))+(INDEX(c_INSy,1,DL$7)-INDEX(c_INSy,1,INDEX('Lease Cycles'!$GC$20:$GI$20,1,DL214)+1)))/12)</f>
        <v>0</v>
      </c>
      <c r="DM225" s="28">
        <f>IF(DM224=0,0,DM224*MAX(0,(INDEX(c_CAMy,1,DM$7)-INDEX(c_CAMy,1,INDEX('Lease Cycles'!$GC$20:$GI$20,1,DM214)+1))*(1+'Lease Cycles'!$AK$20)+(INDEX(c_TAXy,1,DM$7)-INDEX(c_TAXy,1,INDEX('Lease Cycles'!$GC$20:$GI$20,1,DM214)+1))+(INDEX(c_INSy,1,DM$7)-INDEX(c_INSy,1,INDEX('Lease Cycles'!$GC$20:$GI$20,1,DM214)+1)))/12)</f>
        <v>0</v>
      </c>
      <c r="DN225" s="28">
        <f>IF(DN224=0,0,DN224*MAX(0,(INDEX(c_CAMy,1,DN$7)-INDEX(c_CAMy,1,INDEX('Lease Cycles'!$GC$20:$GI$20,1,DN214)+1))*(1+'Lease Cycles'!$AK$20)+(INDEX(c_TAXy,1,DN$7)-INDEX(c_TAXy,1,INDEX('Lease Cycles'!$GC$20:$GI$20,1,DN214)+1))+(INDEX(c_INSy,1,DN$7)-INDEX(c_INSy,1,INDEX('Lease Cycles'!$GC$20:$GI$20,1,DN214)+1)))/12)</f>
        <v>0</v>
      </c>
      <c r="DO225" s="28">
        <f>IF(DO224=0,0,DO224*MAX(0,(INDEX(c_CAMy,1,DO$7)-INDEX(c_CAMy,1,INDEX('Lease Cycles'!$GC$20:$GI$20,1,DO214)+1))*(1+'Lease Cycles'!$AK$20)+(INDEX(c_TAXy,1,DO$7)-INDEX(c_TAXy,1,INDEX('Lease Cycles'!$GC$20:$GI$20,1,DO214)+1))+(INDEX(c_INSy,1,DO$7)-INDEX(c_INSy,1,INDEX('Lease Cycles'!$GC$20:$GI$20,1,DO214)+1)))/12)</f>
        <v>0</v>
      </c>
      <c r="DP225" s="28">
        <f>IF(DP224=0,0,DP224*MAX(0,(INDEX(c_CAMy,1,DP$7)-INDEX(c_CAMy,1,INDEX('Lease Cycles'!$GC$20:$GI$20,1,DP214)+1))*(1+'Lease Cycles'!$AK$20)+(INDEX(c_TAXy,1,DP$7)-INDEX(c_TAXy,1,INDEX('Lease Cycles'!$GC$20:$GI$20,1,DP214)+1))+(INDEX(c_INSy,1,DP$7)-INDEX(c_INSy,1,INDEX('Lease Cycles'!$GC$20:$GI$20,1,DP214)+1)))/12)</f>
        <v>0</v>
      </c>
      <c r="DQ225" s="28">
        <f>IF(DQ224=0,0,DQ224*MAX(0,(INDEX(c_CAMy,1,DQ$7)-INDEX(c_CAMy,1,INDEX('Lease Cycles'!$GC$20:$GI$20,1,DQ214)+1))*(1+'Lease Cycles'!$AK$20)+(INDEX(c_TAXy,1,DQ$7)-INDEX(c_TAXy,1,INDEX('Lease Cycles'!$GC$20:$GI$20,1,DQ214)+1))+(INDEX(c_INSy,1,DQ$7)-INDEX(c_INSy,1,INDEX('Lease Cycles'!$GC$20:$GI$20,1,DQ214)+1)))/12)</f>
        <v>0</v>
      </c>
      <c r="DR225" s="28">
        <f>IF(DR224=0,0,DR224*MAX(0,(INDEX(c_CAMy,1,DR$7)-INDEX(c_CAMy,1,INDEX('Lease Cycles'!$GC$20:$GI$20,1,DR214)+1))*(1+'Lease Cycles'!$AK$20)+(INDEX(c_TAXy,1,DR$7)-INDEX(c_TAXy,1,INDEX('Lease Cycles'!$GC$20:$GI$20,1,DR214)+1))+(INDEX(c_INSy,1,DR$7)-INDEX(c_INSy,1,INDEX('Lease Cycles'!$GC$20:$GI$20,1,DR214)+1)))/12)</f>
        <v>0</v>
      </c>
      <c r="DS225" s="28">
        <f>IF(DS224=0,0,DS224*MAX(0,(INDEX(c_CAMy,1,DS$7)-INDEX(c_CAMy,1,INDEX('Lease Cycles'!$GC$20:$GI$20,1,DS214)+1))*(1+'Lease Cycles'!$AK$20)+(INDEX(c_TAXy,1,DS$7)-INDEX(c_TAXy,1,INDEX('Lease Cycles'!$GC$20:$GI$20,1,DS214)+1))+(INDEX(c_INSy,1,DS$7)-INDEX(c_INSy,1,INDEX('Lease Cycles'!$GC$20:$GI$20,1,DS214)+1)))/12)</f>
        <v>0</v>
      </c>
      <c r="DT225" s="28">
        <f>IF(DT224=0,0,DT224*MAX(0,(INDEX(c_CAMy,1,DT$7)-INDEX(c_CAMy,1,INDEX('Lease Cycles'!$GC$20:$GI$20,1,DT214)+1))*(1+'Lease Cycles'!$AK$20)+(INDEX(c_TAXy,1,DT$7)-INDEX(c_TAXy,1,INDEX('Lease Cycles'!$GC$20:$GI$20,1,DT214)+1))+(INDEX(c_INSy,1,DT$7)-INDEX(c_INSy,1,INDEX('Lease Cycles'!$GC$20:$GI$20,1,DT214)+1)))/12)</f>
        <v>0</v>
      </c>
      <c r="DU225" s="28">
        <f>IF(DU224=0,0,DU224*MAX(0,(INDEX(c_CAMy,1,DU$7)-INDEX(c_CAMy,1,INDEX('Lease Cycles'!$GC$20:$GI$20,1,DU214)+1))*(1+'Lease Cycles'!$AK$20)+(INDEX(c_TAXy,1,DU$7)-INDEX(c_TAXy,1,INDEX('Lease Cycles'!$GC$20:$GI$20,1,DU214)+1))+(INDEX(c_INSy,1,DU$7)-INDEX(c_INSy,1,INDEX('Lease Cycles'!$GC$20:$GI$20,1,DU214)+1)))/12)</f>
        <v>0</v>
      </c>
      <c r="DV225" s="28">
        <f>IF(DV224=0,0,DV224*MAX(0,(INDEX(c_CAMy,1,DV$7)-INDEX(c_CAMy,1,INDEX('Lease Cycles'!$GC$20:$GI$20,1,DV214)+1))*(1+'Lease Cycles'!$AK$20)+(INDEX(c_TAXy,1,DV$7)-INDEX(c_TAXy,1,INDEX('Lease Cycles'!$GC$20:$GI$20,1,DV214)+1))+(INDEX(c_INSy,1,DV$7)-INDEX(c_INSy,1,INDEX('Lease Cycles'!$GC$20:$GI$20,1,DV214)+1)))/12)</f>
        <v>0</v>
      </c>
      <c r="DW225" s="28">
        <f>IF(DW224=0,0,DW224*MAX(0,(INDEX(c_CAMy,1,DW$7)-INDEX(c_CAMy,1,INDEX('Lease Cycles'!$GC$20:$GI$20,1,DW214)+1))*(1+'Lease Cycles'!$AK$20)+(INDEX(c_TAXy,1,DW$7)-INDEX(c_TAXy,1,INDEX('Lease Cycles'!$GC$20:$GI$20,1,DW214)+1))+(INDEX(c_INSy,1,DW$7)-INDEX(c_INSy,1,INDEX('Lease Cycles'!$GC$20:$GI$20,1,DW214)+1)))/12)</f>
        <v>0</v>
      </c>
      <c r="DX225" s="28">
        <f>IF(DX224=0,0,DX224*MAX(0,(INDEX(c_CAMy,1,DX$7)-INDEX(c_CAMy,1,INDEX('Lease Cycles'!$GC$20:$GI$20,1,DX214)+1))*(1+'Lease Cycles'!$AK$20)+(INDEX(c_TAXy,1,DX$7)-INDEX(c_TAXy,1,INDEX('Lease Cycles'!$GC$20:$GI$20,1,DX214)+1))+(INDEX(c_INSy,1,DX$7)-INDEX(c_INSy,1,INDEX('Lease Cycles'!$GC$20:$GI$20,1,DX214)+1)))/12)</f>
        <v>0</v>
      </c>
      <c r="DY225" s="28">
        <f>IF(DY224=0,0,DY224*MAX(0,(INDEX(c_CAMy,1,DY$7)-INDEX(c_CAMy,1,INDEX('Lease Cycles'!$GC$20:$GI$20,1,DY214)+1))*(1+'Lease Cycles'!$AK$20)+(INDEX(c_TAXy,1,DY$7)-INDEX(c_TAXy,1,INDEX('Lease Cycles'!$GC$20:$GI$20,1,DY214)+1))+(INDEX(c_INSy,1,DY$7)-INDEX(c_INSy,1,INDEX('Lease Cycles'!$GC$20:$GI$20,1,DY214)+1)))/12)</f>
        <v>0</v>
      </c>
      <c r="DZ225" s="28">
        <f>IF(DZ224=0,0,DZ224*MAX(0,(INDEX(c_CAMy,1,DZ$7)-INDEX(c_CAMy,1,INDEX('Lease Cycles'!$GC$20:$GI$20,1,DZ214)+1))*(1+'Lease Cycles'!$AK$20)+(INDEX(c_TAXy,1,DZ$7)-INDEX(c_TAXy,1,INDEX('Lease Cycles'!$GC$20:$GI$20,1,DZ214)+1))+(INDEX(c_INSy,1,DZ$7)-INDEX(c_INSy,1,INDEX('Lease Cycles'!$GC$20:$GI$20,1,DZ214)+1)))/12)</f>
        <v>0</v>
      </c>
      <c r="EA225" s="28">
        <f>IF(EA224=0,0,EA224*MAX(0,(INDEX(c_CAMy,1,EA$7)-INDEX(c_CAMy,1,INDEX('Lease Cycles'!$GC$20:$GI$20,1,EA214)+1))*(1+'Lease Cycles'!$AK$20)+(INDEX(c_TAXy,1,EA$7)-INDEX(c_TAXy,1,INDEX('Lease Cycles'!$GC$20:$GI$20,1,EA214)+1))+(INDEX(c_INSy,1,EA$7)-INDEX(c_INSy,1,INDEX('Lease Cycles'!$GC$20:$GI$20,1,EA214)+1)))/12)</f>
        <v>0</v>
      </c>
      <c r="EB225" s="28">
        <f>IF(EB224=0,0,EB224*MAX(0,(INDEX(c_CAMy,1,EB$7)-INDEX(c_CAMy,1,INDEX('Lease Cycles'!$GC$20:$GI$20,1,EB214)+1))*(1+'Lease Cycles'!$AK$20)+(INDEX(c_TAXy,1,EB$7)-INDEX(c_TAXy,1,INDEX('Lease Cycles'!$GC$20:$GI$20,1,EB214)+1))+(INDEX(c_INSy,1,EB$7)-INDEX(c_INSy,1,INDEX('Lease Cycles'!$GC$20:$GI$20,1,EB214)+1)))/12)</f>
        <v>0</v>
      </c>
      <c r="EC225" s="28">
        <f>IF(EC224=0,0,EC224*MAX(0,(INDEX(c_CAMy,1,EC$7)-INDEX(c_CAMy,1,INDEX('Lease Cycles'!$GC$20:$GI$20,1,EC214)+1))*(1+'Lease Cycles'!$AK$20)+(INDEX(c_TAXy,1,EC$7)-INDEX(c_TAXy,1,INDEX('Lease Cycles'!$GC$20:$GI$20,1,EC214)+1))+(INDEX(c_INSy,1,EC$7)-INDEX(c_INSy,1,INDEX('Lease Cycles'!$GC$20:$GI$20,1,EC214)+1)))/12)</f>
        <v>0</v>
      </c>
      <c r="ED225" s="28">
        <f>IF(ED224=0,0,ED224*MAX(0,(INDEX(c_CAMy,1,ED$7)-INDEX(c_CAMy,1,INDEX('Lease Cycles'!$GC$20:$GI$20,1,ED214)+1))*(1+'Lease Cycles'!$AK$20)+(INDEX(c_TAXy,1,ED$7)-INDEX(c_TAXy,1,INDEX('Lease Cycles'!$GC$20:$GI$20,1,ED214)+1))+(INDEX(c_INSy,1,ED$7)-INDEX(c_INSy,1,INDEX('Lease Cycles'!$GC$20:$GI$20,1,ED214)+1)))/12)</f>
        <v>0</v>
      </c>
      <c r="EE225" s="28">
        <f>IF(EE224=0,0,EE224*MAX(0,(INDEX(c_CAMy,1,EE$7)-INDEX(c_CAMy,1,INDEX('Lease Cycles'!$GC$20:$GI$20,1,EE214)+1))*(1+'Lease Cycles'!$AK$20)+(INDEX(c_TAXy,1,EE$7)-INDEX(c_TAXy,1,INDEX('Lease Cycles'!$GC$20:$GI$20,1,EE214)+1))+(INDEX(c_INSy,1,EE$7)-INDEX(c_INSy,1,INDEX('Lease Cycles'!$GC$20:$GI$20,1,EE214)+1)))/12)</f>
        <v>0</v>
      </c>
      <c r="EF225" s="28">
        <f>IF(EF224=0,0,EF224*MAX(0,(INDEX(c_CAMy,1,EF$7)-INDEX(c_CAMy,1,INDEX('Lease Cycles'!$GC$20:$GI$20,1,EF214)+1))*(1+'Lease Cycles'!$AK$20)+(INDEX(c_TAXy,1,EF$7)-INDEX(c_TAXy,1,INDEX('Lease Cycles'!$GC$20:$GI$20,1,EF214)+1))+(INDEX(c_INSy,1,EF$7)-INDEX(c_INSy,1,INDEX('Lease Cycles'!$GC$20:$GI$20,1,EF214)+1)))/12)</f>
        <v>0</v>
      </c>
      <c r="EG225" s="28">
        <f>IF(EG224=0,0,EG224*MAX(0,(INDEX(c_CAMy,1,EG$7)-INDEX(c_CAMy,1,INDEX('Lease Cycles'!$GC$20:$GI$20,1,EG214)+1))*(1+'Lease Cycles'!$AK$20)+(INDEX(c_TAXy,1,EG$7)-INDEX(c_TAXy,1,INDEX('Lease Cycles'!$GC$20:$GI$20,1,EG214)+1))+(INDEX(c_INSy,1,EG$7)-INDEX(c_INSy,1,INDEX('Lease Cycles'!$GC$20:$GI$20,1,EG214)+1)))/12)</f>
        <v>0</v>
      </c>
      <c r="EH225" s="28">
        <f>IF(EH224=0,0,EH224*MAX(0,(INDEX(c_CAMy,1,EH$7)-INDEX(c_CAMy,1,INDEX('Lease Cycles'!$GC$20:$GI$20,1,EH214)+1))*(1+'Lease Cycles'!$AK$20)+(INDEX(c_TAXy,1,EH$7)-INDEX(c_TAXy,1,INDEX('Lease Cycles'!$GC$20:$GI$20,1,EH214)+1))+(INDEX(c_INSy,1,EH$7)-INDEX(c_INSy,1,INDEX('Lease Cycles'!$GC$20:$GI$20,1,EH214)+1)))/12)</f>
        <v>0</v>
      </c>
      <c r="EI225" s="28">
        <f>IF(EI224=0,0,EI224*MAX(0,(INDEX(c_CAMy,1,EI$7)-INDEX(c_CAMy,1,INDEX('Lease Cycles'!$GC$20:$GI$20,1,EI214)+1))*(1+'Lease Cycles'!$AK$20)+(INDEX(c_TAXy,1,EI$7)-INDEX(c_TAXy,1,INDEX('Lease Cycles'!$GC$20:$GI$20,1,EI214)+1))+(INDEX(c_INSy,1,EI$7)-INDEX(c_INSy,1,INDEX('Lease Cycles'!$GC$20:$GI$20,1,EI214)+1)))/12)</f>
        <v>0</v>
      </c>
      <c r="EJ225" s="28">
        <f>IF(EJ224=0,0,EJ224*MAX(0,(INDEX(c_CAMy,1,EJ$7)-INDEX(c_CAMy,1,INDEX('Lease Cycles'!$GC$20:$GI$20,1,EJ214)+1))*(1+'Lease Cycles'!$AK$20)+(INDEX(c_TAXy,1,EJ$7)-INDEX(c_TAXy,1,INDEX('Lease Cycles'!$GC$20:$GI$20,1,EJ214)+1))+(INDEX(c_INSy,1,EJ$7)-INDEX(c_INSy,1,INDEX('Lease Cycles'!$GC$20:$GI$20,1,EJ214)+1)))/12)</f>
        <v>0</v>
      </c>
      <c r="EK225" s="28">
        <f>IF(EK224=0,0,EK224*MAX(0,(INDEX(c_CAMy,1,EK$7)-INDEX(c_CAMy,1,INDEX('Lease Cycles'!$GC$20:$GI$20,1,EK214)+1))*(1+'Lease Cycles'!$AK$20)+(INDEX(c_TAXy,1,EK$7)-INDEX(c_TAXy,1,INDEX('Lease Cycles'!$GC$20:$GI$20,1,EK214)+1))+(INDEX(c_INSy,1,EK$7)-INDEX(c_INSy,1,INDEX('Lease Cycles'!$GC$20:$GI$20,1,EK214)+1)))/12)</f>
        <v>0</v>
      </c>
      <c r="EL225" s="28">
        <f>IF(EL224=0,0,EL224*MAX(0,(INDEX(c_CAMy,1,EL$7)-INDEX(c_CAMy,1,INDEX('Lease Cycles'!$GC$20:$GI$20,1,EL214)+1))*(1+'Lease Cycles'!$AK$20)+(INDEX(c_TAXy,1,EL$7)-INDEX(c_TAXy,1,INDEX('Lease Cycles'!$GC$20:$GI$20,1,EL214)+1))+(INDEX(c_INSy,1,EL$7)-INDEX(c_INSy,1,INDEX('Lease Cycles'!$GC$20:$GI$20,1,EL214)+1)))/12)</f>
        <v>0</v>
      </c>
      <c r="EM225" s="28">
        <f>IF(EM224=0,0,EM224*MAX(0,(INDEX(c_CAMy,1,EM$7)-INDEX(c_CAMy,1,INDEX('Lease Cycles'!$GC$20:$GI$20,1,EM214)+1))*(1+'Lease Cycles'!$AK$20)+(INDEX(c_TAXy,1,EM$7)-INDEX(c_TAXy,1,INDEX('Lease Cycles'!$GC$20:$GI$20,1,EM214)+1))+(INDEX(c_INSy,1,EM$7)-INDEX(c_INSy,1,INDEX('Lease Cycles'!$GC$20:$GI$20,1,EM214)+1)))/12)</f>
        <v>0</v>
      </c>
      <c r="EN225" s="28">
        <f>IF(EN224=0,0,EN224*MAX(0,(INDEX(c_CAMy,1,EN$7)-INDEX(c_CAMy,1,INDEX('Lease Cycles'!$GC$20:$GI$20,1,EN214)+1))*(1+'Lease Cycles'!$AK$20)+(INDEX(c_TAXy,1,EN$7)-INDEX(c_TAXy,1,INDEX('Lease Cycles'!$GC$20:$GI$20,1,EN214)+1))+(INDEX(c_INSy,1,EN$7)-INDEX(c_INSy,1,INDEX('Lease Cycles'!$GC$20:$GI$20,1,EN214)+1)))/12)</f>
        <v>0</v>
      </c>
      <c r="EO225" s="28">
        <f>IF(EO224=0,0,EO224*MAX(0,(INDEX(c_CAMy,1,EO$7)-INDEX(c_CAMy,1,INDEX('Lease Cycles'!$GC$20:$GI$20,1,EO214)+1))*(1+'Lease Cycles'!$AK$20)+(INDEX(c_TAXy,1,EO$7)-INDEX(c_TAXy,1,INDEX('Lease Cycles'!$GC$20:$GI$20,1,EO214)+1))+(INDEX(c_INSy,1,EO$7)-INDEX(c_INSy,1,INDEX('Lease Cycles'!$GC$20:$GI$20,1,EO214)+1)))/12)</f>
        <v>0</v>
      </c>
      <c r="EP225" s="28">
        <f>IF(EP224=0,0,EP224*MAX(0,(INDEX(c_CAMy,1,EP$7)-INDEX(c_CAMy,1,INDEX('Lease Cycles'!$GC$20:$GI$20,1,EP214)+1))*(1+'Lease Cycles'!$AK$20)+(INDEX(c_TAXy,1,EP$7)-INDEX(c_TAXy,1,INDEX('Lease Cycles'!$GC$20:$GI$20,1,EP214)+1))+(INDEX(c_INSy,1,EP$7)-INDEX(c_INSy,1,INDEX('Lease Cycles'!$GC$20:$GI$20,1,EP214)+1)))/12)</f>
        <v>0</v>
      </c>
      <c r="EQ225" s="28">
        <f>IF(EQ224=0,0,EQ224*MAX(0,(INDEX(c_CAMy,1,EQ$7)-INDEX(c_CAMy,1,INDEX('Lease Cycles'!$GC$20:$GI$20,1,EQ214)+1))*(1+'Lease Cycles'!$AK$20)+(INDEX(c_TAXy,1,EQ$7)-INDEX(c_TAXy,1,INDEX('Lease Cycles'!$GC$20:$GI$20,1,EQ214)+1))+(INDEX(c_INSy,1,EQ$7)-INDEX(c_INSy,1,INDEX('Lease Cycles'!$GC$20:$GI$20,1,EQ214)+1)))/12)</f>
        <v>0</v>
      </c>
      <c r="ER225" s="28">
        <f>IF(ER224=0,0,ER224*MAX(0,(INDEX(c_CAMy,1,ER$7)-INDEX(c_CAMy,1,INDEX('Lease Cycles'!$GC$20:$GI$20,1,ER214)+1))*(1+'Lease Cycles'!$AK$20)+(INDEX(c_TAXy,1,ER$7)-INDEX(c_TAXy,1,INDEX('Lease Cycles'!$GC$20:$GI$20,1,ER214)+1))+(INDEX(c_INSy,1,ER$7)-INDEX(c_INSy,1,INDEX('Lease Cycles'!$GC$20:$GI$20,1,ER214)+1)))/12)</f>
        <v>0</v>
      </c>
      <c r="ES225" s="28">
        <f>IF(ES224=0,0,ES224*MAX(0,(INDEX(c_CAMy,1,ES$7)-INDEX(c_CAMy,1,INDEX('Lease Cycles'!$GC$20:$GI$20,1,ES214)+1))*(1+'Lease Cycles'!$AK$20)+(INDEX(c_TAXy,1,ES$7)-INDEX(c_TAXy,1,INDEX('Lease Cycles'!$GC$20:$GI$20,1,ES214)+1))+(INDEX(c_INSy,1,ES$7)-INDEX(c_INSy,1,INDEX('Lease Cycles'!$GC$20:$GI$20,1,ES214)+1)))/12)</f>
        <v>0</v>
      </c>
      <c r="ET225" s="28">
        <f>IF(ET224=0,0,ET224*MAX(0,(INDEX(c_CAMy,1,ET$7)-INDEX(c_CAMy,1,INDEX('Lease Cycles'!$GC$20:$GI$20,1,ET214)+1))*(1+'Lease Cycles'!$AK$20)+(INDEX(c_TAXy,1,ET$7)-INDEX(c_TAXy,1,INDEX('Lease Cycles'!$GC$20:$GI$20,1,ET214)+1))+(INDEX(c_INSy,1,ET$7)-INDEX(c_INSy,1,INDEX('Lease Cycles'!$GC$20:$GI$20,1,ET214)+1)))/12)</f>
        <v>0</v>
      </c>
    </row>
    <row r="226">
      <c r="A226" s="103">
        <v>13</v>
      </c>
      <c r="B226" s="23" t="str">
        <f>IF('Lease Cycles'!$B$20="","(empty slot)",'Lease Cycles'!$B$20)</f>
        <v>(empty slot)</v>
      </c>
      <c r="C226" s="23" t="s">
        <v>530</v>
      </c>
      <c r="D226" s="104" t="s">
        <v>531</v>
      </c>
      <c r="E226" s="25">
        <f>'Lease Cycles'!$AL$20</f>
        <v>0</v>
      </c>
      <c r="G226" s="28">
        <f>SUM(S226:AD226)</f>
        <v>0</v>
      </c>
      <c r="H226" s="28">
        <f>SUM(AE226:AP226)</f>
        <v>0</v>
      </c>
      <c r="I226" s="28">
        <f>SUM(AQ226:BB226)</f>
        <v>0</v>
      </c>
      <c r="J226" s="28">
        <f>SUM(BC226:BN226)</f>
        <v>0</v>
      </c>
      <c r="K226" s="28">
        <f>SUM(BO226:BZ226)</f>
        <v>0</v>
      </c>
      <c r="L226" s="28">
        <f>SUM(CA226:CL226)</f>
        <v>0</v>
      </c>
      <c r="M226" s="28">
        <f>SUM(CM226:CX226)</f>
        <v>0</v>
      </c>
      <c r="N226" s="28">
        <f>SUM(CY226:DJ226)</f>
        <v>0</v>
      </c>
      <c r="O226" s="28">
        <f>SUM(DK226:DV226)</f>
        <v>0</v>
      </c>
      <c r="P226" s="28">
        <f>SUM(DW226:EH226)</f>
        <v>0</v>
      </c>
      <c r="Q226" s="28">
        <f>SUM(EI226:ET226)</f>
        <v>0</v>
      </c>
      <c r="S226" s="28">
        <f>SUMIF('Lease Cycles'!$HL$20:$HR$20,S$6,'Lease Cycles'!$HS$20:$HY$20)</f>
        <v>0</v>
      </c>
      <c r="T226" s="28">
        <f>SUMIF('Lease Cycles'!$HL$20:$HR$20,T$6,'Lease Cycles'!$HS$20:$HY$20)</f>
        <v>0</v>
      </c>
      <c r="U226" s="28">
        <f>SUMIF('Lease Cycles'!$HL$20:$HR$20,U$6,'Lease Cycles'!$HS$20:$HY$20)</f>
        <v>0</v>
      </c>
      <c r="V226" s="28">
        <f>SUMIF('Lease Cycles'!$HL$20:$HR$20,V$6,'Lease Cycles'!$HS$20:$HY$20)</f>
        <v>0</v>
      </c>
      <c r="W226" s="28">
        <f>SUMIF('Lease Cycles'!$HL$20:$HR$20,W$6,'Lease Cycles'!$HS$20:$HY$20)</f>
        <v>0</v>
      </c>
      <c r="X226" s="28">
        <f>SUMIF('Lease Cycles'!$HL$20:$HR$20,X$6,'Lease Cycles'!$HS$20:$HY$20)</f>
        <v>0</v>
      </c>
      <c r="Y226" s="28">
        <f>SUMIF('Lease Cycles'!$HL$20:$HR$20,Y$6,'Lease Cycles'!$HS$20:$HY$20)</f>
        <v>0</v>
      </c>
      <c r="Z226" s="28">
        <f>SUMIF('Lease Cycles'!$HL$20:$HR$20,Z$6,'Lease Cycles'!$HS$20:$HY$20)</f>
        <v>0</v>
      </c>
      <c r="AA226" s="28">
        <f>SUMIF('Lease Cycles'!$HL$20:$HR$20,AA$6,'Lease Cycles'!$HS$20:$HY$20)</f>
        <v>0</v>
      </c>
      <c r="AB226" s="28">
        <f>SUMIF('Lease Cycles'!$HL$20:$HR$20,AB$6,'Lease Cycles'!$HS$20:$HY$20)</f>
        <v>0</v>
      </c>
      <c r="AC226" s="28">
        <f>SUMIF('Lease Cycles'!$HL$20:$HR$20,AC$6,'Lease Cycles'!$HS$20:$HY$20)</f>
        <v>0</v>
      </c>
      <c r="AD226" s="28">
        <f>SUMIF('Lease Cycles'!$HL$20:$HR$20,AD$6,'Lease Cycles'!$HS$20:$HY$20)</f>
        <v>0</v>
      </c>
      <c r="AE226" s="28">
        <f>SUMIF('Lease Cycles'!$HL$20:$HR$20,AE$6,'Lease Cycles'!$HS$20:$HY$20)</f>
        <v>0</v>
      </c>
      <c r="AF226" s="28">
        <f>SUMIF('Lease Cycles'!$HL$20:$HR$20,AF$6,'Lease Cycles'!$HS$20:$HY$20)</f>
        <v>0</v>
      </c>
      <c r="AG226" s="28">
        <f>SUMIF('Lease Cycles'!$HL$20:$HR$20,AG$6,'Lease Cycles'!$HS$20:$HY$20)</f>
        <v>0</v>
      </c>
      <c r="AH226" s="28">
        <f>SUMIF('Lease Cycles'!$HL$20:$HR$20,AH$6,'Lease Cycles'!$HS$20:$HY$20)</f>
        <v>0</v>
      </c>
      <c r="AI226" s="28">
        <f>SUMIF('Lease Cycles'!$HL$20:$HR$20,AI$6,'Lease Cycles'!$HS$20:$HY$20)</f>
        <v>0</v>
      </c>
      <c r="AJ226" s="28">
        <f>SUMIF('Lease Cycles'!$HL$20:$HR$20,AJ$6,'Lease Cycles'!$HS$20:$HY$20)</f>
        <v>0</v>
      </c>
      <c r="AK226" s="28">
        <f>SUMIF('Lease Cycles'!$HL$20:$HR$20,AK$6,'Lease Cycles'!$HS$20:$HY$20)</f>
        <v>0</v>
      </c>
      <c r="AL226" s="28">
        <f>SUMIF('Lease Cycles'!$HL$20:$HR$20,AL$6,'Lease Cycles'!$HS$20:$HY$20)</f>
        <v>0</v>
      </c>
      <c r="AM226" s="28">
        <f>SUMIF('Lease Cycles'!$HL$20:$HR$20,AM$6,'Lease Cycles'!$HS$20:$HY$20)</f>
        <v>0</v>
      </c>
      <c r="AN226" s="28">
        <f>SUMIF('Lease Cycles'!$HL$20:$HR$20,AN$6,'Lease Cycles'!$HS$20:$HY$20)</f>
        <v>0</v>
      </c>
      <c r="AO226" s="28">
        <f>SUMIF('Lease Cycles'!$HL$20:$HR$20,AO$6,'Lease Cycles'!$HS$20:$HY$20)</f>
        <v>0</v>
      </c>
      <c r="AP226" s="28">
        <f>SUMIF('Lease Cycles'!$HL$20:$HR$20,AP$6,'Lease Cycles'!$HS$20:$HY$20)</f>
        <v>0</v>
      </c>
      <c r="AQ226" s="28">
        <f>SUMIF('Lease Cycles'!$HL$20:$HR$20,AQ$6,'Lease Cycles'!$HS$20:$HY$20)</f>
        <v>0</v>
      </c>
      <c r="AR226" s="28">
        <f>SUMIF('Lease Cycles'!$HL$20:$HR$20,AR$6,'Lease Cycles'!$HS$20:$HY$20)</f>
        <v>0</v>
      </c>
      <c r="AS226" s="28">
        <f>SUMIF('Lease Cycles'!$HL$20:$HR$20,AS$6,'Lease Cycles'!$HS$20:$HY$20)</f>
        <v>0</v>
      </c>
      <c r="AT226" s="28">
        <f>SUMIF('Lease Cycles'!$HL$20:$HR$20,AT$6,'Lease Cycles'!$HS$20:$HY$20)</f>
        <v>0</v>
      </c>
      <c r="AU226" s="28">
        <f>SUMIF('Lease Cycles'!$HL$20:$HR$20,AU$6,'Lease Cycles'!$HS$20:$HY$20)</f>
        <v>0</v>
      </c>
      <c r="AV226" s="28">
        <f>SUMIF('Lease Cycles'!$HL$20:$HR$20,AV$6,'Lease Cycles'!$HS$20:$HY$20)</f>
        <v>0</v>
      </c>
      <c r="AW226" s="28">
        <f>SUMIF('Lease Cycles'!$HL$20:$HR$20,AW$6,'Lease Cycles'!$HS$20:$HY$20)</f>
        <v>0</v>
      </c>
      <c r="AX226" s="28">
        <f>SUMIF('Lease Cycles'!$HL$20:$HR$20,AX$6,'Lease Cycles'!$HS$20:$HY$20)</f>
        <v>0</v>
      </c>
      <c r="AY226" s="28">
        <f>SUMIF('Lease Cycles'!$HL$20:$HR$20,AY$6,'Lease Cycles'!$HS$20:$HY$20)</f>
        <v>0</v>
      </c>
      <c r="AZ226" s="28">
        <f>SUMIF('Lease Cycles'!$HL$20:$HR$20,AZ$6,'Lease Cycles'!$HS$20:$HY$20)</f>
        <v>0</v>
      </c>
      <c r="BA226" s="28">
        <f>SUMIF('Lease Cycles'!$HL$20:$HR$20,BA$6,'Lease Cycles'!$HS$20:$HY$20)</f>
        <v>0</v>
      </c>
      <c r="BB226" s="28">
        <f>SUMIF('Lease Cycles'!$HL$20:$HR$20,BB$6,'Lease Cycles'!$HS$20:$HY$20)</f>
        <v>0</v>
      </c>
      <c r="BC226" s="28">
        <f>SUMIF('Lease Cycles'!$HL$20:$HR$20,BC$6,'Lease Cycles'!$HS$20:$HY$20)</f>
        <v>0</v>
      </c>
      <c r="BD226" s="28">
        <f>SUMIF('Lease Cycles'!$HL$20:$HR$20,BD$6,'Lease Cycles'!$HS$20:$HY$20)</f>
        <v>0</v>
      </c>
      <c r="BE226" s="28">
        <f>SUMIF('Lease Cycles'!$HL$20:$HR$20,BE$6,'Lease Cycles'!$HS$20:$HY$20)</f>
        <v>0</v>
      </c>
      <c r="BF226" s="28">
        <f>SUMIF('Lease Cycles'!$HL$20:$HR$20,BF$6,'Lease Cycles'!$HS$20:$HY$20)</f>
        <v>0</v>
      </c>
      <c r="BG226" s="28">
        <f>SUMIF('Lease Cycles'!$HL$20:$HR$20,BG$6,'Lease Cycles'!$HS$20:$HY$20)</f>
        <v>0</v>
      </c>
      <c r="BH226" s="28">
        <f>SUMIF('Lease Cycles'!$HL$20:$HR$20,BH$6,'Lease Cycles'!$HS$20:$HY$20)</f>
        <v>0</v>
      </c>
      <c r="BI226" s="28">
        <f>SUMIF('Lease Cycles'!$HL$20:$HR$20,BI$6,'Lease Cycles'!$HS$20:$HY$20)</f>
        <v>0</v>
      </c>
      <c r="BJ226" s="28">
        <f>SUMIF('Lease Cycles'!$HL$20:$HR$20,BJ$6,'Lease Cycles'!$HS$20:$HY$20)</f>
        <v>0</v>
      </c>
      <c r="BK226" s="28">
        <f>SUMIF('Lease Cycles'!$HL$20:$HR$20,BK$6,'Lease Cycles'!$HS$20:$HY$20)</f>
        <v>0</v>
      </c>
      <c r="BL226" s="28">
        <f>SUMIF('Lease Cycles'!$HL$20:$HR$20,BL$6,'Lease Cycles'!$HS$20:$HY$20)</f>
        <v>0</v>
      </c>
      <c r="BM226" s="28">
        <f>SUMIF('Lease Cycles'!$HL$20:$HR$20,BM$6,'Lease Cycles'!$HS$20:$HY$20)</f>
        <v>0</v>
      </c>
      <c r="BN226" s="28">
        <f>SUMIF('Lease Cycles'!$HL$20:$HR$20,BN$6,'Lease Cycles'!$HS$20:$HY$20)</f>
        <v>0</v>
      </c>
      <c r="BO226" s="28">
        <f>SUMIF('Lease Cycles'!$HL$20:$HR$20,BO$6,'Lease Cycles'!$HS$20:$HY$20)</f>
        <v>0</v>
      </c>
      <c r="BP226" s="28">
        <f>SUMIF('Lease Cycles'!$HL$20:$HR$20,BP$6,'Lease Cycles'!$HS$20:$HY$20)</f>
        <v>0</v>
      </c>
      <c r="BQ226" s="28">
        <f>SUMIF('Lease Cycles'!$HL$20:$HR$20,BQ$6,'Lease Cycles'!$HS$20:$HY$20)</f>
        <v>0</v>
      </c>
      <c r="BR226" s="28">
        <f>SUMIF('Lease Cycles'!$HL$20:$HR$20,BR$6,'Lease Cycles'!$HS$20:$HY$20)</f>
        <v>0</v>
      </c>
      <c r="BS226" s="28">
        <f>SUMIF('Lease Cycles'!$HL$20:$HR$20,BS$6,'Lease Cycles'!$HS$20:$HY$20)</f>
        <v>0</v>
      </c>
      <c r="BT226" s="28">
        <f>SUMIF('Lease Cycles'!$HL$20:$HR$20,BT$6,'Lease Cycles'!$HS$20:$HY$20)</f>
        <v>0</v>
      </c>
      <c r="BU226" s="28">
        <f>SUMIF('Lease Cycles'!$HL$20:$HR$20,BU$6,'Lease Cycles'!$HS$20:$HY$20)</f>
        <v>0</v>
      </c>
      <c r="BV226" s="28">
        <f>SUMIF('Lease Cycles'!$HL$20:$HR$20,BV$6,'Lease Cycles'!$HS$20:$HY$20)</f>
        <v>0</v>
      </c>
      <c r="BW226" s="28">
        <f>SUMIF('Lease Cycles'!$HL$20:$HR$20,BW$6,'Lease Cycles'!$HS$20:$HY$20)</f>
        <v>0</v>
      </c>
      <c r="BX226" s="28">
        <f>SUMIF('Lease Cycles'!$HL$20:$HR$20,BX$6,'Lease Cycles'!$HS$20:$HY$20)</f>
        <v>0</v>
      </c>
      <c r="BY226" s="28">
        <f>SUMIF('Lease Cycles'!$HL$20:$HR$20,BY$6,'Lease Cycles'!$HS$20:$HY$20)</f>
        <v>0</v>
      </c>
      <c r="BZ226" s="28">
        <f>SUMIF('Lease Cycles'!$HL$20:$HR$20,BZ$6,'Lease Cycles'!$HS$20:$HY$20)</f>
        <v>0</v>
      </c>
      <c r="CA226" s="28">
        <f>SUMIF('Lease Cycles'!$HL$20:$HR$20,CA$6,'Lease Cycles'!$HS$20:$HY$20)</f>
        <v>0</v>
      </c>
      <c r="CB226" s="28">
        <f>SUMIF('Lease Cycles'!$HL$20:$HR$20,CB$6,'Lease Cycles'!$HS$20:$HY$20)</f>
        <v>0</v>
      </c>
      <c r="CC226" s="28">
        <f>SUMIF('Lease Cycles'!$HL$20:$HR$20,CC$6,'Lease Cycles'!$HS$20:$HY$20)</f>
        <v>0</v>
      </c>
      <c r="CD226" s="28">
        <f>SUMIF('Lease Cycles'!$HL$20:$HR$20,CD$6,'Lease Cycles'!$HS$20:$HY$20)</f>
        <v>0</v>
      </c>
      <c r="CE226" s="28">
        <f>SUMIF('Lease Cycles'!$HL$20:$HR$20,CE$6,'Lease Cycles'!$HS$20:$HY$20)</f>
        <v>0</v>
      </c>
      <c r="CF226" s="28">
        <f>SUMIF('Lease Cycles'!$HL$20:$HR$20,CF$6,'Lease Cycles'!$HS$20:$HY$20)</f>
        <v>0</v>
      </c>
      <c r="CG226" s="28">
        <f>SUMIF('Lease Cycles'!$HL$20:$HR$20,CG$6,'Lease Cycles'!$HS$20:$HY$20)</f>
        <v>0</v>
      </c>
      <c r="CH226" s="28">
        <f>SUMIF('Lease Cycles'!$HL$20:$HR$20,CH$6,'Lease Cycles'!$HS$20:$HY$20)</f>
        <v>0</v>
      </c>
      <c r="CI226" s="28">
        <f>SUMIF('Lease Cycles'!$HL$20:$HR$20,CI$6,'Lease Cycles'!$HS$20:$HY$20)</f>
        <v>0</v>
      </c>
      <c r="CJ226" s="28">
        <f>SUMIF('Lease Cycles'!$HL$20:$HR$20,CJ$6,'Lease Cycles'!$HS$20:$HY$20)</f>
        <v>0</v>
      </c>
      <c r="CK226" s="28">
        <f>SUMIF('Lease Cycles'!$HL$20:$HR$20,CK$6,'Lease Cycles'!$HS$20:$HY$20)</f>
        <v>0</v>
      </c>
      <c r="CL226" s="28">
        <f>SUMIF('Lease Cycles'!$HL$20:$HR$20,CL$6,'Lease Cycles'!$HS$20:$HY$20)</f>
        <v>0</v>
      </c>
      <c r="CM226" s="28">
        <f>SUMIF('Lease Cycles'!$HL$20:$HR$20,CM$6,'Lease Cycles'!$HS$20:$HY$20)</f>
        <v>0</v>
      </c>
      <c r="CN226" s="28">
        <f>SUMIF('Lease Cycles'!$HL$20:$HR$20,CN$6,'Lease Cycles'!$HS$20:$HY$20)</f>
        <v>0</v>
      </c>
      <c r="CO226" s="28">
        <f>SUMIF('Lease Cycles'!$HL$20:$HR$20,CO$6,'Lease Cycles'!$HS$20:$HY$20)</f>
        <v>0</v>
      </c>
      <c r="CP226" s="28">
        <f>SUMIF('Lease Cycles'!$HL$20:$HR$20,CP$6,'Lease Cycles'!$HS$20:$HY$20)</f>
        <v>0</v>
      </c>
      <c r="CQ226" s="28">
        <f>SUMIF('Lease Cycles'!$HL$20:$HR$20,CQ$6,'Lease Cycles'!$HS$20:$HY$20)</f>
        <v>0</v>
      </c>
      <c r="CR226" s="28">
        <f>SUMIF('Lease Cycles'!$HL$20:$HR$20,CR$6,'Lease Cycles'!$HS$20:$HY$20)</f>
        <v>0</v>
      </c>
      <c r="CS226" s="28">
        <f>SUMIF('Lease Cycles'!$HL$20:$HR$20,CS$6,'Lease Cycles'!$HS$20:$HY$20)</f>
        <v>0</v>
      </c>
      <c r="CT226" s="28">
        <f>SUMIF('Lease Cycles'!$HL$20:$HR$20,CT$6,'Lease Cycles'!$HS$20:$HY$20)</f>
        <v>0</v>
      </c>
      <c r="CU226" s="28">
        <f>SUMIF('Lease Cycles'!$HL$20:$HR$20,CU$6,'Lease Cycles'!$HS$20:$HY$20)</f>
        <v>0</v>
      </c>
      <c r="CV226" s="28">
        <f>SUMIF('Lease Cycles'!$HL$20:$HR$20,CV$6,'Lease Cycles'!$HS$20:$HY$20)</f>
        <v>0</v>
      </c>
      <c r="CW226" s="28">
        <f>SUMIF('Lease Cycles'!$HL$20:$HR$20,CW$6,'Lease Cycles'!$HS$20:$HY$20)</f>
        <v>0</v>
      </c>
      <c r="CX226" s="28">
        <f>SUMIF('Lease Cycles'!$HL$20:$HR$20,CX$6,'Lease Cycles'!$HS$20:$HY$20)</f>
        <v>0</v>
      </c>
      <c r="CY226" s="28">
        <f>SUMIF('Lease Cycles'!$HL$20:$HR$20,CY$6,'Lease Cycles'!$HS$20:$HY$20)</f>
        <v>0</v>
      </c>
      <c r="CZ226" s="28">
        <f>SUMIF('Lease Cycles'!$HL$20:$HR$20,CZ$6,'Lease Cycles'!$HS$20:$HY$20)</f>
        <v>0</v>
      </c>
      <c r="DA226" s="28">
        <f>SUMIF('Lease Cycles'!$HL$20:$HR$20,DA$6,'Lease Cycles'!$HS$20:$HY$20)</f>
        <v>0</v>
      </c>
      <c r="DB226" s="28">
        <f>SUMIF('Lease Cycles'!$HL$20:$HR$20,DB$6,'Lease Cycles'!$HS$20:$HY$20)</f>
        <v>0</v>
      </c>
      <c r="DC226" s="28">
        <f>SUMIF('Lease Cycles'!$HL$20:$HR$20,DC$6,'Lease Cycles'!$HS$20:$HY$20)</f>
        <v>0</v>
      </c>
      <c r="DD226" s="28">
        <f>SUMIF('Lease Cycles'!$HL$20:$HR$20,DD$6,'Lease Cycles'!$HS$20:$HY$20)</f>
        <v>0</v>
      </c>
      <c r="DE226" s="28">
        <f>SUMIF('Lease Cycles'!$HL$20:$HR$20,DE$6,'Lease Cycles'!$HS$20:$HY$20)</f>
        <v>0</v>
      </c>
      <c r="DF226" s="28">
        <f>SUMIF('Lease Cycles'!$HL$20:$HR$20,DF$6,'Lease Cycles'!$HS$20:$HY$20)</f>
        <v>0</v>
      </c>
      <c r="DG226" s="28">
        <f>SUMIF('Lease Cycles'!$HL$20:$HR$20,DG$6,'Lease Cycles'!$HS$20:$HY$20)</f>
        <v>0</v>
      </c>
      <c r="DH226" s="28">
        <f>SUMIF('Lease Cycles'!$HL$20:$HR$20,DH$6,'Lease Cycles'!$HS$20:$HY$20)</f>
        <v>0</v>
      </c>
      <c r="DI226" s="28">
        <f>SUMIF('Lease Cycles'!$HL$20:$HR$20,DI$6,'Lease Cycles'!$HS$20:$HY$20)</f>
        <v>0</v>
      </c>
      <c r="DJ226" s="28">
        <f>SUMIF('Lease Cycles'!$HL$20:$HR$20,DJ$6,'Lease Cycles'!$HS$20:$HY$20)</f>
        <v>0</v>
      </c>
      <c r="DK226" s="28">
        <f>SUMIF('Lease Cycles'!$HL$20:$HR$20,DK$6,'Lease Cycles'!$HS$20:$HY$20)</f>
        <v>0</v>
      </c>
      <c r="DL226" s="28">
        <f>SUMIF('Lease Cycles'!$HL$20:$HR$20,DL$6,'Lease Cycles'!$HS$20:$HY$20)</f>
        <v>0</v>
      </c>
      <c r="DM226" s="28">
        <f>SUMIF('Lease Cycles'!$HL$20:$HR$20,DM$6,'Lease Cycles'!$HS$20:$HY$20)</f>
        <v>0</v>
      </c>
      <c r="DN226" s="28">
        <f>SUMIF('Lease Cycles'!$HL$20:$HR$20,DN$6,'Lease Cycles'!$HS$20:$HY$20)</f>
        <v>0</v>
      </c>
      <c r="DO226" s="28">
        <f>SUMIF('Lease Cycles'!$HL$20:$HR$20,DO$6,'Lease Cycles'!$HS$20:$HY$20)</f>
        <v>0</v>
      </c>
      <c r="DP226" s="28">
        <f>SUMIF('Lease Cycles'!$HL$20:$HR$20,DP$6,'Lease Cycles'!$HS$20:$HY$20)</f>
        <v>0</v>
      </c>
      <c r="DQ226" s="28">
        <f>SUMIF('Lease Cycles'!$HL$20:$HR$20,DQ$6,'Lease Cycles'!$HS$20:$HY$20)</f>
        <v>0</v>
      </c>
      <c r="DR226" s="28">
        <f>SUMIF('Lease Cycles'!$HL$20:$HR$20,DR$6,'Lease Cycles'!$HS$20:$HY$20)</f>
        <v>0</v>
      </c>
      <c r="DS226" s="28">
        <f>SUMIF('Lease Cycles'!$HL$20:$HR$20,DS$6,'Lease Cycles'!$HS$20:$HY$20)</f>
        <v>0</v>
      </c>
      <c r="DT226" s="28">
        <f>SUMIF('Lease Cycles'!$HL$20:$HR$20,DT$6,'Lease Cycles'!$HS$20:$HY$20)</f>
        <v>0</v>
      </c>
      <c r="DU226" s="28">
        <f>SUMIF('Lease Cycles'!$HL$20:$HR$20,DU$6,'Lease Cycles'!$HS$20:$HY$20)</f>
        <v>0</v>
      </c>
      <c r="DV226" s="28">
        <f>SUMIF('Lease Cycles'!$HL$20:$HR$20,DV$6,'Lease Cycles'!$HS$20:$HY$20)</f>
        <v>0</v>
      </c>
      <c r="DW226" s="28">
        <f>SUMIF('Lease Cycles'!$HL$20:$HR$20,DW$6,'Lease Cycles'!$HS$20:$HY$20)</f>
        <v>0</v>
      </c>
      <c r="DX226" s="28">
        <f>SUMIF('Lease Cycles'!$HL$20:$HR$20,DX$6,'Lease Cycles'!$HS$20:$HY$20)</f>
        <v>0</v>
      </c>
      <c r="DY226" s="28">
        <f>SUMIF('Lease Cycles'!$HL$20:$HR$20,DY$6,'Lease Cycles'!$HS$20:$HY$20)</f>
        <v>0</v>
      </c>
      <c r="DZ226" s="28">
        <f>SUMIF('Lease Cycles'!$HL$20:$HR$20,DZ$6,'Lease Cycles'!$HS$20:$HY$20)</f>
        <v>0</v>
      </c>
      <c r="EA226" s="28">
        <f>SUMIF('Lease Cycles'!$HL$20:$HR$20,EA$6,'Lease Cycles'!$HS$20:$HY$20)</f>
        <v>0</v>
      </c>
      <c r="EB226" s="28">
        <f>SUMIF('Lease Cycles'!$HL$20:$HR$20,EB$6,'Lease Cycles'!$HS$20:$HY$20)</f>
        <v>0</v>
      </c>
      <c r="EC226" s="28">
        <f>SUMIF('Lease Cycles'!$HL$20:$HR$20,EC$6,'Lease Cycles'!$HS$20:$HY$20)</f>
        <v>0</v>
      </c>
      <c r="ED226" s="28">
        <f>SUMIF('Lease Cycles'!$HL$20:$HR$20,ED$6,'Lease Cycles'!$HS$20:$HY$20)</f>
        <v>0</v>
      </c>
      <c r="EE226" s="28">
        <f>SUMIF('Lease Cycles'!$HL$20:$HR$20,EE$6,'Lease Cycles'!$HS$20:$HY$20)</f>
        <v>0</v>
      </c>
      <c r="EF226" s="28">
        <f>SUMIF('Lease Cycles'!$HL$20:$HR$20,EF$6,'Lease Cycles'!$HS$20:$HY$20)</f>
        <v>0</v>
      </c>
      <c r="EG226" s="28">
        <f>SUMIF('Lease Cycles'!$HL$20:$HR$20,EG$6,'Lease Cycles'!$HS$20:$HY$20)</f>
        <v>0</v>
      </c>
      <c r="EH226" s="28">
        <f>SUMIF('Lease Cycles'!$HL$20:$HR$20,EH$6,'Lease Cycles'!$HS$20:$HY$20)</f>
        <v>0</v>
      </c>
      <c r="EI226" s="28">
        <f>SUMIF('Lease Cycles'!$HL$20:$HR$20,EI$6,'Lease Cycles'!$HS$20:$HY$20)</f>
        <v>0</v>
      </c>
      <c r="EJ226" s="28">
        <f>SUMIF('Lease Cycles'!$HL$20:$HR$20,EJ$6,'Lease Cycles'!$HS$20:$HY$20)</f>
        <v>0</v>
      </c>
      <c r="EK226" s="28">
        <f>SUMIF('Lease Cycles'!$HL$20:$HR$20,EK$6,'Lease Cycles'!$HS$20:$HY$20)</f>
        <v>0</v>
      </c>
      <c r="EL226" s="28">
        <f>SUMIF('Lease Cycles'!$HL$20:$HR$20,EL$6,'Lease Cycles'!$HS$20:$HY$20)</f>
        <v>0</v>
      </c>
      <c r="EM226" s="28">
        <f>SUMIF('Lease Cycles'!$HL$20:$HR$20,EM$6,'Lease Cycles'!$HS$20:$HY$20)</f>
        <v>0</v>
      </c>
      <c r="EN226" s="28">
        <f>SUMIF('Lease Cycles'!$HL$20:$HR$20,EN$6,'Lease Cycles'!$HS$20:$HY$20)</f>
        <v>0</v>
      </c>
      <c r="EO226" s="28">
        <f>SUMIF('Lease Cycles'!$HL$20:$HR$20,EO$6,'Lease Cycles'!$HS$20:$HY$20)</f>
        <v>0</v>
      </c>
      <c r="EP226" s="28">
        <f>SUMIF('Lease Cycles'!$HL$20:$HR$20,EP$6,'Lease Cycles'!$HS$20:$HY$20)</f>
        <v>0</v>
      </c>
      <c r="EQ226" s="28">
        <f>SUMIF('Lease Cycles'!$HL$20:$HR$20,EQ$6,'Lease Cycles'!$HS$20:$HY$20)</f>
        <v>0</v>
      </c>
      <c r="ER226" s="28">
        <f>SUMIF('Lease Cycles'!$HL$20:$HR$20,ER$6,'Lease Cycles'!$HS$20:$HY$20)</f>
        <v>0</v>
      </c>
      <c r="ES226" s="28">
        <f>SUMIF('Lease Cycles'!$HL$20:$HR$20,ES$6,'Lease Cycles'!$HS$20:$HY$20)</f>
        <v>0</v>
      </c>
      <c r="ET226" s="28">
        <f>SUMIF('Lease Cycles'!$HL$20:$HR$20,ET$6,'Lease Cycles'!$HS$20:$HY$20)</f>
        <v>0</v>
      </c>
    </row>
    <row r="227">
      <c r="A227" s="103">
        <v>13</v>
      </c>
      <c r="B227" s="23" t="str">
        <f>IF('Lease Cycles'!$B$20="","(empty slot)",'Lease Cycles'!$B$20)</f>
        <v>(empty slot)</v>
      </c>
      <c r="C227" s="23" t="s">
        <v>532</v>
      </c>
      <c r="D227" s="104" t="s">
        <v>533</v>
      </c>
      <c r="E227" s="25">
        <f>'Lease Cycles'!$AL$20</f>
        <v>0</v>
      </c>
      <c r="G227" s="28">
        <f>SUM(S227:AD227)</f>
        <v>0</v>
      </c>
      <c r="H227" s="28">
        <f>SUM(AE227:AP227)</f>
        <v>0</v>
      </c>
      <c r="I227" s="28">
        <f>SUM(AQ227:BB227)</f>
        <v>0</v>
      </c>
      <c r="J227" s="28">
        <f>SUM(BC227:BN227)</f>
        <v>0</v>
      </c>
      <c r="K227" s="28">
        <f>SUM(BO227:BZ227)</f>
        <v>0</v>
      </c>
      <c r="L227" s="28">
        <f>SUM(CA227:CL227)</f>
        <v>0</v>
      </c>
      <c r="M227" s="28">
        <f>SUM(CM227:CX227)</f>
        <v>0</v>
      </c>
      <c r="N227" s="28">
        <f>SUM(CY227:DJ227)</f>
        <v>0</v>
      </c>
      <c r="O227" s="28">
        <f>SUM(DK227:DV227)</f>
        <v>0</v>
      </c>
      <c r="P227" s="28">
        <f>SUM(DW227:EH227)</f>
        <v>0</v>
      </c>
      <c r="Q227" s="28">
        <f>SUM(EI227:ET227)</f>
        <v>0</v>
      </c>
      <c r="S227" s="28">
        <f>SUMIF('Lease Cycles'!$HL$20:$HR$20,S$6,'Lease Cycles'!$HZ$20:$IF$20)</f>
        <v>0</v>
      </c>
      <c r="T227" s="28">
        <f>SUMIF('Lease Cycles'!$HL$20:$HR$20,T$6,'Lease Cycles'!$HZ$20:$IF$20)</f>
        <v>0</v>
      </c>
      <c r="U227" s="28">
        <f>SUMIF('Lease Cycles'!$HL$20:$HR$20,U$6,'Lease Cycles'!$HZ$20:$IF$20)</f>
        <v>0</v>
      </c>
      <c r="V227" s="28">
        <f>SUMIF('Lease Cycles'!$HL$20:$HR$20,V$6,'Lease Cycles'!$HZ$20:$IF$20)</f>
        <v>0</v>
      </c>
      <c r="W227" s="28">
        <f>SUMIF('Lease Cycles'!$HL$20:$HR$20,W$6,'Lease Cycles'!$HZ$20:$IF$20)</f>
        <v>0</v>
      </c>
      <c r="X227" s="28">
        <f>SUMIF('Lease Cycles'!$HL$20:$HR$20,X$6,'Lease Cycles'!$HZ$20:$IF$20)</f>
        <v>0</v>
      </c>
      <c r="Y227" s="28">
        <f>SUMIF('Lease Cycles'!$HL$20:$HR$20,Y$6,'Lease Cycles'!$HZ$20:$IF$20)</f>
        <v>0</v>
      </c>
      <c r="Z227" s="28">
        <f>SUMIF('Lease Cycles'!$HL$20:$HR$20,Z$6,'Lease Cycles'!$HZ$20:$IF$20)</f>
        <v>0</v>
      </c>
      <c r="AA227" s="28">
        <f>SUMIF('Lease Cycles'!$HL$20:$HR$20,AA$6,'Lease Cycles'!$HZ$20:$IF$20)</f>
        <v>0</v>
      </c>
      <c r="AB227" s="28">
        <f>SUMIF('Lease Cycles'!$HL$20:$HR$20,AB$6,'Lease Cycles'!$HZ$20:$IF$20)</f>
        <v>0</v>
      </c>
      <c r="AC227" s="28">
        <f>SUMIF('Lease Cycles'!$HL$20:$HR$20,AC$6,'Lease Cycles'!$HZ$20:$IF$20)</f>
        <v>0</v>
      </c>
      <c r="AD227" s="28">
        <f>SUMIF('Lease Cycles'!$HL$20:$HR$20,AD$6,'Lease Cycles'!$HZ$20:$IF$20)</f>
        <v>0</v>
      </c>
      <c r="AE227" s="28">
        <f>SUMIF('Lease Cycles'!$HL$20:$HR$20,AE$6,'Lease Cycles'!$HZ$20:$IF$20)</f>
        <v>0</v>
      </c>
      <c r="AF227" s="28">
        <f>SUMIF('Lease Cycles'!$HL$20:$HR$20,AF$6,'Lease Cycles'!$HZ$20:$IF$20)</f>
        <v>0</v>
      </c>
      <c r="AG227" s="28">
        <f>SUMIF('Lease Cycles'!$HL$20:$HR$20,AG$6,'Lease Cycles'!$HZ$20:$IF$20)</f>
        <v>0</v>
      </c>
      <c r="AH227" s="28">
        <f>SUMIF('Lease Cycles'!$HL$20:$HR$20,AH$6,'Lease Cycles'!$HZ$20:$IF$20)</f>
        <v>0</v>
      </c>
      <c r="AI227" s="28">
        <f>SUMIF('Lease Cycles'!$HL$20:$HR$20,AI$6,'Lease Cycles'!$HZ$20:$IF$20)</f>
        <v>0</v>
      </c>
      <c r="AJ227" s="28">
        <f>SUMIF('Lease Cycles'!$HL$20:$HR$20,AJ$6,'Lease Cycles'!$HZ$20:$IF$20)</f>
        <v>0</v>
      </c>
      <c r="AK227" s="28">
        <f>SUMIF('Lease Cycles'!$HL$20:$HR$20,AK$6,'Lease Cycles'!$HZ$20:$IF$20)</f>
        <v>0</v>
      </c>
      <c r="AL227" s="28">
        <f>SUMIF('Lease Cycles'!$HL$20:$HR$20,AL$6,'Lease Cycles'!$HZ$20:$IF$20)</f>
        <v>0</v>
      </c>
      <c r="AM227" s="28">
        <f>SUMIF('Lease Cycles'!$HL$20:$HR$20,AM$6,'Lease Cycles'!$HZ$20:$IF$20)</f>
        <v>0</v>
      </c>
      <c r="AN227" s="28">
        <f>SUMIF('Lease Cycles'!$HL$20:$HR$20,AN$6,'Lease Cycles'!$HZ$20:$IF$20)</f>
        <v>0</v>
      </c>
      <c r="AO227" s="28">
        <f>SUMIF('Lease Cycles'!$HL$20:$HR$20,AO$6,'Lease Cycles'!$HZ$20:$IF$20)</f>
        <v>0</v>
      </c>
      <c r="AP227" s="28">
        <f>SUMIF('Lease Cycles'!$HL$20:$HR$20,AP$6,'Lease Cycles'!$HZ$20:$IF$20)</f>
        <v>0</v>
      </c>
      <c r="AQ227" s="28">
        <f>SUMIF('Lease Cycles'!$HL$20:$HR$20,AQ$6,'Lease Cycles'!$HZ$20:$IF$20)</f>
        <v>0</v>
      </c>
      <c r="AR227" s="28">
        <f>SUMIF('Lease Cycles'!$HL$20:$HR$20,AR$6,'Lease Cycles'!$HZ$20:$IF$20)</f>
        <v>0</v>
      </c>
      <c r="AS227" s="28">
        <f>SUMIF('Lease Cycles'!$HL$20:$HR$20,AS$6,'Lease Cycles'!$HZ$20:$IF$20)</f>
        <v>0</v>
      </c>
      <c r="AT227" s="28">
        <f>SUMIF('Lease Cycles'!$HL$20:$HR$20,AT$6,'Lease Cycles'!$HZ$20:$IF$20)</f>
        <v>0</v>
      </c>
      <c r="AU227" s="28">
        <f>SUMIF('Lease Cycles'!$HL$20:$HR$20,AU$6,'Lease Cycles'!$HZ$20:$IF$20)</f>
        <v>0</v>
      </c>
      <c r="AV227" s="28">
        <f>SUMIF('Lease Cycles'!$HL$20:$HR$20,AV$6,'Lease Cycles'!$HZ$20:$IF$20)</f>
        <v>0</v>
      </c>
      <c r="AW227" s="28">
        <f>SUMIF('Lease Cycles'!$HL$20:$HR$20,AW$6,'Lease Cycles'!$HZ$20:$IF$20)</f>
        <v>0</v>
      </c>
      <c r="AX227" s="28">
        <f>SUMIF('Lease Cycles'!$HL$20:$HR$20,AX$6,'Lease Cycles'!$HZ$20:$IF$20)</f>
        <v>0</v>
      </c>
      <c r="AY227" s="28">
        <f>SUMIF('Lease Cycles'!$HL$20:$HR$20,AY$6,'Lease Cycles'!$HZ$20:$IF$20)</f>
        <v>0</v>
      </c>
      <c r="AZ227" s="28">
        <f>SUMIF('Lease Cycles'!$HL$20:$HR$20,AZ$6,'Lease Cycles'!$HZ$20:$IF$20)</f>
        <v>0</v>
      </c>
      <c r="BA227" s="28">
        <f>SUMIF('Lease Cycles'!$HL$20:$HR$20,BA$6,'Lease Cycles'!$HZ$20:$IF$20)</f>
        <v>0</v>
      </c>
      <c r="BB227" s="28">
        <f>SUMIF('Lease Cycles'!$HL$20:$HR$20,BB$6,'Lease Cycles'!$HZ$20:$IF$20)</f>
        <v>0</v>
      </c>
      <c r="BC227" s="28">
        <f>SUMIF('Lease Cycles'!$HL$20:$HR$20,BC$6,'Lease Cycles'!$HZ$20:$IF$20)</f>
        <v>0</v>
      </c>
      <c r="BD227" s="28">
        <f>SUMIF('Lease Cycles'!$HL$20:$HR$20,BD$6,'Lease Cycles'!$HZ$20:$IF$20)</f>
        <v>0</v>
      </c>
      <c r="BE227" s="28">
        <f>SUMIF('Lease Cycles'!$HL$20:$HR$20,BE$6,'Lease Cycles'!$HZ$20:$IF$20)</f>
        <v>0</v>
      </c>
      <c r="BF227" s="28">
        <f>SUMIF('Lease Cycles'!$HL$20:$HR$20,BF$6,'Lease Cycles'!$HZ$20:$IF$20)</f>
        <v>0</v>
      </c>
      <c r="BG227" s="28">
        <f>SUMIF('Lease Cycles'!$HL$20:$HR$20,BG$6,'Lease Cycles'!$HZ$20:$IF$20)</f>
        <v>0</v>
      </c>
      <c r="BH227" s="28">
        <f>SUMIF('Lease Cycles'!$HL$20:$HR$20,BH$6,'Lease Cycles'!$HZ$20:$IF$20)</f>
        <v>0</v>
      </c>
      <c r="BI227" s="28">
        <f>SUMIF('Lease Cycles'!$HL$20:$HR$20,BI$6,'Lease Cycles'!$HZ$20:$IF$20)</f>
        <v>0</v>
      </c>
      <c r="BJ227" s="28">
        <f>SUMIF('Lease Cycles'!$HL$20:$HR$20,BJ$6,'Lease Cycles'!$HZ$20:$IF$20)</f>
        <v>0</v>
      </c>
      <c r="BK227" s="28">
        <f>SUMIF('Lease Cycles'!$HL$20:$HR$20,BK$6,'Lease Cycles'!$HZ$20:$IF$20)</f>
        <v>0</v>
      </c>
      <c r="BL227" s="28">
        <f>SUMIF('Lease Cycles'!$HL$20:$HR$20,BL$6,'Lease Cycles'!$HZ$20:$IF$20)</f>
        <v>0</v>
      </c>
      <c r="BM227" s="28">
        <f>SUMIF('Lease Cycles'!$HL$20:$HR$20,BM$6,'Lease Cycles'!$HZ$20:$IF$20)</f>
        <v>0</v>
      </c>
      <c r="BN227" s="28">
        <f>SUMIF('Lease Cycles'!$HL$20:$HR$20,BN$6,'Lease Cycles'!$HZ$20:$IF$20)</f>
        <v>0</v>
      </c>
      <c r="BO227" s="28">
        <f>SUMIF('Lease Cycles'!$HL$20:$HR$20,BO$6,'Lease Cycles'!$HZ$20:$IF$20)</f>
        <v>0</v>
      </c>
      <c r="BP227" s="28">
        <f>SUMIF('Lease Cycles'!$HL$20:$HR$20,BP$6,'Lease Cycles'!$HZ$20:$IF$20)</f>
        <v>0</v>
      </c>
      <c r="BQ227" s="28">
        <f>SUMIF('Lease Cycles'!$HL$20:$HR$20,BQ$6,'Lease Cycles'!$HZ$20:$IF$20)</f>
        <v>0</v>
      </c>
      <c r="BR227" s="28">
        <f>SUMIF('Lease Cycles'!$HL$20:$HR$20,BR$6,'Lease Cycles'!$HZ$20:$IF$20)</f>
        <v>0</v>
      </c>
      <c r="BS227" s="28">
        <f>SUMIF('Lease Cycles'!$HL$20:$HR$20,BS$6,'Lease Cycles'!$HZ$20:$IF$20)</f>
        <v>0</v>
      </c>
      <c r="BT227" s="28">
        <f>SUMIF('Lease Cycles'!$HL$20:$HR$20,BT$6,'Lease Cycles'!$HZ$20:$IF$20)</f>
        <v>0</v>
      </c>
      <c r="BU227" s="28">
        <f>SUMIF('Lease Cycles'!$HL$20:$HR$20,BU$6,'Lease Cycles'!$HZ$20:$IF$20)</f>
        <v>0</v>
      </c>
      <c r="BV227" s="28">
        <f>SUMIF('Lease Cycles'!$HL$20:$HR$20,BV$6,'Lease Cycles'!$HZ$20:$IF$20)</f>
        <v>0</v>
      </c>
      <c r="BW227" s="28">
        <f>SUMIF('Lease Cycles'!$HL$20:$HR$20,BW$6,'Lease Cycles'!$HZ$20:$IF$20)</f>
        <v>0</v>
      </c>
      <c r="BX227" s="28">
        <f>SUMIF('Lease Cycles'!$HL$20:$HR$20,BX$6,'Lease Cycles'!$HZ$20:$IF$20)</f>
        <v>0</v>
      </c>
      <c r="BY227" s="28">
        <f>SUMIF('Lease Cycles'!$HL$20:$HR$20,BY$6,'Lease Cycles'!$HZ$20:$IF$20)</f>
        <v>0</v>
      </c>
      <c r="BZ227" s="28">
        <f>SUMIF('Lease Cycles'!$HL$20:$HR$20,BZ$6,'Lease Cycles'!$HZ$20:$IF$20)</f>
        <v>0</v>
      </c>
      <c r="CA227" s="28">
        <f>SUMIF('Lease Cycles'!$HL$20:$HR$20,CA$6,'Lease Cycles'!$HZ$20:$IF$20)</f>
        <v>0</v>
      </c>
      <c r="CB227" s="28">
        <f>SUMIF('Lease Cycles'!$HL$20:$HR$20,CB$6,'Lease Cycles'!$HZ$20:$IF$20)</f>
        <v>0</v>
      </c>
      <c r="CC227" s="28">
        <f>SUMIF('Lease Cycles'!$HL$20:$HR$20,CC$6,'Lease Cycles'!$HZ$20:$IF$20)</f>
        <v>0</v>
      </c>
      <c r="CD227" s="28">
        <f>SUMIF('Lease Cycles'!$HL$20:$HR$20,CD$6,'Lease Cycles'!$HZ$20:$IF$20)</f>
        <v>0</v>
      </c>
      <c r="CE227" s="28">
        <f>SUMIF('Lease Cycles'!$HL$20:$HR$20,CE$6,'Lease Cycles'!$HZ$20:$IF$20)</f>
        <v>0</v>
      </c>
      <c r="CF227" s="28">
        <f>SUMIF('Lease Cycles'!$HL$20:$HR$20,CF$6,'Lease Cycles'!$HZ$20:$IF$20)</f>
        <v>0</v>
      </c>
      <c r="CG227" s="28">
        <f>SUMIF('Lease Cycles'!$HL$20:$HR$20,CG$6,'Lease Cycles'!$HZ$20:$IF$20)</f>
        <v>0</v>
      </c>
      <c r="CH227" s="28">
        <f>SUMIF('Lease Cycles'!$HL$20:$HR$20,CH$6,'Lease Cycles'!$HZ$20:$IF$20)</f>
        <v>0</v>
      </c>
      <c r="CI227" s="28">
        <f>SUMIF('Lease Cycles'!$HL$20:$HR$20,CI$6,'Lease Cycles'!$HZ$20:$IF$20)</f>
        <v>0</v>
      </c>
      <c r="CJ227" s="28">
        <f>SUMIF('Lease Cycles'!$HL$20:$HR$20,CJ$6,'Lease Cycles'!$HZ$20:$IF$20)</f>
        <v>0</v>
      </c>
      <c r="CK227" s="28">
        <f>SUMIF('Lease Cycles'!$HL$20:$HR$20,CK$6,'Lease Cycles'!$HZ$20:$IF$20)</f>
        <v>0</v>
      </c>
      <c r="CL227" s="28">
        <f>SUMIF('Lease Cycles'!$HL$20:$HR$20,CL$6,'Lease Cycles'!$HZ$20:$IF$20)</f>
        <v>0</v>
      </c>
      <c r="CM227" s="28">
        <f>SUMIF('Lease Cycles'!$HL$20:$HR$20,CM$6,'Lease Cycles'!$HZ$20:$IF$20)</f>
        <v>0</v>
      </c>
      <c r="CN227" s="28">
        <f>SUMIF('Lease Cycles'!$HL$20:$HR$20,CN$6,'Lease Cycles'!$HZ$20:$IF$20)</f>
        <v>0</v>
      </c>
      <c r="CO227" s="28">
        <f>SUMIF('Lease Cycles'!$HL$20:$HR$20,CO$6,'Lease Cycles'!$HZ$20:$IF$20)</f>
        <v>0</v>
      </c>
      <c r="CP227" s="28">
        <f>SUMIF('Lease Cycles'!$HL$20:$HR$20,CP$6,'Lease Cycles'!$HZ$20:$IF$20)</f>
        <v>0</v>
      </c>
      <c r="CQ227" s="28">
        <f>SUMIF('Lease Cycles'!$HL$20:$HR$20,CQ$6,'Lease Cycles'!$HZ$20:$IF$20)</f>
        <v>0</v>
      </c>
      <c r="CR227" s="28">
        <f>SUMIF('Lease Cycles'!$HL$20:$HR$20,CR$6,'Lease Cycles'!$HZ$20:$IF$20)</f>
        <v>0</v>
      </c>
      <c r="CS227" s="28">
        <f>SUMIF('Lease Cycles'!$HL$20:$HR$20,CS$6,'Lease Cycles'!$HZ$20:$IF$20)</f>
        <v>0</v>
      </c>
      <c r="CT227" s="28">
        <f>SUMIF('Lease Cycles'!$HL$20:$HR$20,CT$6,'Lease Cycles'!$HZ$20:$IF$20)</f>
        <v>0</v>
      </c>
      <c r="CU227" s="28">
        <f>SUMIF('Lease Cycles'!$HL$20:$HR$20,CU$6,'Lease Cycles'!$HZ$20:$IF$20)</f>
        <v>0</v>
      </c>
      <c r="CV227" s="28">
        <f>SUMIF('Lease Cycles'!$HL$20:$HR$20,CV$6,'Lease Cycles'!$HZ$20:$IF$20)</f>
        <v>0</v>
      </c>
      <c r="CW227" s="28">
        <f>SUMIF('Lease Cycles'!$HL$20:$HR$20,CW$6,'Lease Cycles'!$HZ$20:$IF$20)</f>
        <v>0</v>
      </c>
      <c r="CX227" s="28">
        <f>SUMIF('Lease Cycles'!$HL$20:$HR$20,CX$6,'Lease Cycles'!$HZ$20:$IF$20)</f>
        <v>0</v>
      </c>
      <c r="CY227" s="28">
        <f>SUMIF('Lease Cycles'!$HL$20:$HR$20,CY$6,'Lease Cycles'!$HZ$20:$IF$20)</f>
        <v>0</v>
      </c>
      <c r="CZ227" s="28">
        <f>SUMIF('Lease Cycles'!$HL$20:$HR$20,CZ$6,'Lease Cycles'!$HZ$20:$IF$20)</f>
        <v>0</v>
      </c>
      <c r="DA227" s="28">
        <f>SUMIF('Lease Cycles'!$HL$20:$HR$20,DA$6,'Lease Cycles'!$HZ$20:$IF$20)</f>
        <v>0</v>
      </c>
      <c r="DB227" s="28">
        <f>SUMIF('Lease Cycles'!$HL$20:$HR$20,DB$6,'Lease Cycles'!$HZ$20:$IF$20)</f>
        <v>0</v>
      </c>
      <c r="DC227" s="28">
        <f>SUMIF('Lease Cycles'!$HL$20:$HR$20,DC$6,'Lease Cycles'!$HZ$20:$IF$20)</f>
        <v>0</v>
      </c>
      <c r="DD227" s="28">
        <f>SUMIF('Lease Cycles'!$HL$20:$HR$20,DD$6,'Lease Cycles'!$HZ$20:$IF$20)</f>
        <v>0</v>
      </c>
      <c r="DE227" s="28">
        <f>SUMIF('Lease Cycles'!$HL$20:$HR$20,DE$6,'Lease Cycles'!$HZ$20:$IF$20)</f>
        <v>0</v>
      </c>
      <c r="DF227" s="28">
        <f>SUMIF('Lease Cycles'!$HL$20:$HR$20,DF$6,'Lease Cycles'!$HZ$20:$IF$20)</f>
        <v>0</v>
      </c>
      <c r="DG227" s="28">
        <f>SUMIF('Lease Cycles'!$HL$20:$HR$20,DG$6,'Lease Cycles'!$HZ$20:$IF$20)</f>
        <v>0</v>
      </c>
      <c r="DH227" s="28">
        <f>SUMIF('Lease Cycles'!$HL$20:$HR$20,DH$6,'Lease Cycles'!$HZ$20:$IF$20)</f>
        <v>0</v>
      </c>
      <c r="DI227" s="28">
        <f>SUMIF('Lease Cycles'!$HL$20:$HR$20,DI$6,'Lease Cycles'!$HZ$20:$IF$20)</f>
        <v>0</v>
      </c>
      <c r="DJ227" s="28">
        <f>SUMIF('Lease Cycles'!$HL$20:$HR$20,DJ$6,'Lease Cycles'!$HZ$20:$IF$20)</f>
        <v>0</v>
      </c>
      <c r="DK227" s="28">
        <f>SUMIF('Lease Cycles'!$HL$20:$HR$20,DK$6,'Lease Cycles'!$HZ$20:$IF$20)</f>
        <v>0</v>
      </c>
      <c r="DL227" s="28">
        <f>SUMIF('Lease Cycles'!$HL$20:$HR$20,DL$6,'Lease Cycles'!$HZ$20:$IF$20)</f>
        <v>0</v>
      </c>
      <c r="DM227" s="28">
        <f>SUMIF('Lease Cycles'!$HL$20:$HR$20,DM$6,'Lease Cycles'!$HZ$20:$IF$20)</f>
        <v>0</v>
      </c>
      <c r="DN227" s="28">
        <f>SUMIF('Lease Cycles'!$HL$20:$HR$20,DN$6,'Lease Cycles'!$HZ$20:$IF$20)</f>
        <v>0</v>
      </c>
      <c r="DO227" s="28">
        <f>SUMIF('Lease Cycles'!$HL$20:$HR$20,DO$6,'Lease Cycles'!$HZ$20:$IF$20)</f>
        <v>0</v>
      </c>
      <c r="DP227" s="28">
        <f>SUMIF('Lease Cycles'!$HL$20:$HR$20,DP$6,'Lease Cycles'!$HZ$20:$IF$20)</f>
        <v>0</v>
      </c>
      <c r="DQ227" s="28">
        <f>SUMIF('Lease Cycles'!$HL$20:$HR$20,DQ$6,'Lease Cycles'!$HZ$20:$IF$20)</f>
        <v>0</v>
      </c>
      <c r="DR227" s="28">
        <f>SUMIF('Lease Cycles'!$HL$20:$HR$20,DR$6,'Lease Cycles'!$HZ$20:$IF$20)</f>
        <v>0</v>
      </c>
      <c r="DS227" s="28">
        <f>SUMIF('Lease Cycles'!$HL$20:$HR$20,DS$6,'Lease Cycles'!$HZ$20:$IF$20)</f>
        <v>0</v>
      </c>
      <c r="DT227" s="28">
        <f>SUMIF('Lease Cycles'!$HL$20:$HR$20,DT$6,'Lease Cycles'!$HZ$20:$IF$20)</f>
        <v>0</v>
      </c>
      <c r="DU227" s="28">
        <f>SUMIF('Lease Cycles'!$HL$20:$HR$20,DU$6,'Lease Cycles'!$HZ$20:$IF$20)</f>
        <v>0</v>
      </c>
      <c r="DV227" s="28">
        <f>SUMIF('Lease Cycles'!$HL$20:$HR$20,DV$6,'Lease Cycles'!$HZ$20:$IF$20)</f>
        <v>0</v>
      </c>
      <c r="DW227" s="28">
        <f>SUMIF('Lease Cycles'!$HL$20:$HR$20,DW$6,'Lease Cycles'!$HZ$20:$IF$20)</f>
        <v>0</v>
      </c>
      <c r="DX227" s="28">
        <f>SUMIF('Lease Cycles'!$HL$20:$HR$20,DX$6,'Lease Cycles'!$HZ$20:$IF$20)</f>
        <v>0</v>
      </c>
      <c r="DY227" s="28">
        <f>SUMIF('Lease Cycles'!$HL$20:$HR$20,DY$6,'Lease Cycles'!$HZ$20:$IF$20)</f>
        <v>0</v>
      </c>
      <c r="DZ227" s="28">
        <f>SUMIF('Lease Cycles'!$HL$20:$HR$20,DZ$6,'Lease Cycles'!$HZ$20:$IF$20)</f>
        <v>0</v>
      </c>
      <c r="EA227" s="28">
        <f>SUMIF('Lease Cycles'!$HL$20:$HR$20,EA$6,'Lease Cycles'!$HZ$20:$IF$20)</f>
        <v>0</v>
      </c>
      <c r="EB227" s="28">
        <f>SUMIF('Lease Cycles'!$HL$20:$HR$20,EB$6,'Lease Cycles'!$HZ$20:$IF$20)</f>
        <v>0</v>
      </c>
      <c r="EC227" s="28">
        <f>SUMIF('Lease Cycles'!$HL$20:$HR$20,EC$6,'Lease Cycles'!$HZ$20:$IF$20)</f>
        <v>0</v>
      </c>
      <c r="ED227" s="28">
        <f>SUMIF('Lease Cycles'!$HL$20:$HR$20,ED$6,'Lease Cycles'!$HZ$20:$IF$20)</f>
        <v>0</v>
      </c>
      <c r="EE227" s="28">
        <f>SUMIF('Lease Cycles'!$HL$20:$HR$20,EE$6,'Lease Cycles'!$HZ$20:$IF$20)</f>
        <v>0</v>
      </c>
      <c r="EF227" s="28">
        <f>SUMIF('Lease Cycles'!$HL$20:$HR$20,EF$6,'Lease Cycles'!$HZ$20:$IF$20)</f>
        <v>0</v>
      </c>
      <c r="EG227" s="28">
        <f>SUMIF('Lease Cycles'!$HL$20:$HR$20,EG$6,'Lease Cycles'!$HZ$20:$IF$20)</f>
        <v>0</v>
      </c>
      <c r="EH227" s="28">
        <f>SUMIF('Lease Cycles'!$HL$20:$HR$20,EH$6,'Lease Cycles'!$HZ$20:$IF$20)</f>
        <v>0</v>
      </c>
      <c r="EI227" s="28">
        <f>SUMIF('Lease Cycles'!$HL$20:$HR$20,EI$6,'Lease Cycles'!$HZ$20:$IF$20)</f>
        <v>0</v>
      </c>
      <c r="EJ227" s="28">
        <f>SUMIF('Lease Cycles'!$HL$20:$HR$20,EJ$6,'Lease Cycles'!$HZ$20:$IF$20)</f>
        <v>0</v>
      </c>
      <c r="EK227" s="28">
        <f>SUMIF('Lease Cycles'!$HL$20:$HR$20,EK$6,'Lease Cycles'!$HZ$20:$IF$20)</f>
        <v>0</v>
      </c>
      <c r="EL227" s="28">
        <f>SUMIF('Lease Cycles'!$HL$20:$HR$20,EL$6,'Lease Cycles'!$HZ$20:$IF$20)</f>
        <v>0</v>
      </c>
      <c r="EM227" s="28">
        <f>SUMIF('Lease Cycles'!$HL$20:$HR$20,EM$6,'Lease Cycles'!$HZ$20:$IF$20)</f>
        <v>0</v>
      </c>
      <c r="EN227" s="28">
        <f>SUMIF('Lease Cycles'!$HL$20:$HR$20,EN$6,'Lease Cycles'!$HZ$20:$IF$20)</f>
        <v>0</v>
      </c>
      <c r="EO227" s="28">
        <f>SUMIF('Lease Cycles'!$HL$20:$HR$20,EO$6,'Lease Cycles'!$HZ$20:$IF$20)</f>
        <v>0</v>
      </c>
      <c r="EP227" s="28">
        <f>SUMIF('Lease Cycles'!$HL$20:$HR$20,EP$6,'Lease Cycles'!$HZ$20:$IF$20)</f>
        <v>0</v>
      </c>
      <c r="EQ227" s="28">
        <f>SUMIF('Lease Cycles'!$HL$20:$HR$20,EQ$6,'Lease Cycles'!$HZ$20:$IF$20)</f>
        <v>0</v>
      </c>
      <c r="ER227" s="28">
        <f>SUMIF('Lease Cycles'!$HL$20:$HR$20,ER$6,'Lease Cycles'!$HZ$20:$IF$20)</f>
        <v>0</v>
      </c>
      <c r="ES227" s="28">
        <f>SUMIF('Lease Cycles'!$HL$20:$HR$20,ES$6,'Lease Cycles'!$HZ$20:$IF$20)</f>
        <v>0</v>
      </c>
      <c r="ET227" s="28">
        <f>SUMIF('Lease Cycles'!$HL$20:$HR$20,ET$6,'Lease Cycles'!$HZ$20:$IF$20)</f>
        <v>0</v>
      </c>
    </row>
    <row r="228">
      <c r="A228" s="103">
        <v>13</v>
      </c>
      <c r="B228" s="23" t="str">
        <f>IF('Lease Cycles'!$B$20="","(empty slot)",'Lease Cycles'!$B$20)</f>
        <v>(empty slot)</v>
      </c>
      <c r="C228" s="23" t="s">
        <v>691</v>
      </c>
      <c r="D228" s="104" t="s">
        <v>692</v>
      </c>
      <c r="E228" s="25">
        <f>'Lease Cycles'!$AL$20</f>
        <v>0</v>
      </c>
      <c r="G228" s="28">
        <f>SUM(S228:AD228)</f>
        <v>0</v>
      </c>
      <c r="H228" s="28">
        <f>SUM(AE228:AP228)</f>
        <v>0</v>
      </c>
      <c r="I228" s="28">
        <f>SUM(AQ228:BB228)</f>
        <v>0</v>
      </c>
      <c r="J228" s="28">
        <f>SUM(BC228:BN228)</f>
        <v>0</v>
      </c>
      <c r="K228" s="28">
        <f>SUM(BO228:BZ228)</f>
        <v>0</v>
      </c>
      <c r="L228" s="28">
        <f>SUM(CA228:CL228)</f>
        <v>0</v>
      </c>
      <c r="M228" s="28">
        <f>SUM(CM228:CX228)</f>
        <v>0</v>
      </c>
      <c r="N228" s="28">
        <f>SUM(CY228:DJ228)</f>
        <v>0</v>
      </c>
      <c r="O228" s="28">
        <f>SUM(DK228:DV228)</f>
        <v>0</v>
      </c>
      <c r="P228" s="28">
        <f>SUM(DW228:EH228)</f>
        <v>0</v>
      </c>
      <c r="Q228" s="28">
        <f>SUM(EI228:ET228)</f>
        <v>0</v>
      </c>
      <c r="S228" s="28">
        <f>IF(S$6='Lease Cycles'!$HL$20,'Lease Cycles'!$HS$20+'Lease Cycles'!$HZ$20,0)</f>
        <v>0</v>
      </c>
      <c r="T228" s="28">
        <f>IF(T$6='Lease Cycles'!$HL$20,'Lease Cycles'!$HS$20+'Lease Cycles'!$HZ$20,0)</f>
        <v>0</v>
      </c>
      <c r="U228" s="28">
        <f>IF(U$6='Lease Cycles'!$HL$20,'Lease Cycles'!$HS$20+'Lease Cycles'!$HZ$20,0)</f>
        <v>0</v>
      </c>
      <c r="V228" s="28">
        <f>IF(V$6='Lease Cycles'!$HL$20,'Lease Cycles'!$HS$20+'Lease Cycles'!$HZ$20,0)</f>
        <v>0</v>
      </c>
      <c r="W228" s="28">
        <f>IF(W$6='Lease Cycles'!$HL$20,'Lease Cycles'!$HS$20+'Lease Cycles'!$HZ$20,0)</f>
        <v>0</v>
      </c>
      <c r="X228" s="28">
        <f>IF(X$6='Lease Cycles'!$HL$20,'Lease Cycles'!$HS$20+'Lease Cycles'!$HZ$20,0)</f>
        <v>0</v>
      </c>
      <c r="Y228" s="28">
        <f>IF(Y$6='Lease Cycles'!$HL$20,'Lease Cycles'!$HS$20+'Lease Cycles'!$HZ$20,0)</f>
        <v>0</v>
      </c>
      <c r="Z228" s="28">
        <f>IF(Z$6='Lease Cycles'!$HL$20,'Lease Cycles'!$HS$20+'Lease Cycles'!$HZ$20,0)</f>
        <v>0</v>
      </c>
      <c r="AA228" s="28">
        <f>IF(AA$6='Lease Cycles'!$HL$20,'Lease Cycles'!$HS$20+'Lease Cycles'!$HZ$20,0)</f>
        <v>0</v>
      </c>
      <c r="AB228" s="28">
        <f>IF(AB$6='Lease Cycles'!$HL$20,'Lease Cycles'!$HS$20+'Lease Cycles'!$HZ$20,0)</f>
        <v>0</v>
      </c>
      <c r="AC228" s="28">
        <f>IF(AC$6='Lease Cycles'!$HL$20,'Lease Cycles'!$HS$20+'Lease Cycles'!$HZ$20,0)</f>
        <v>0</v>
      </c>
      <c r="AD228" s="28">
        <f>IF(AD$6='Lease Cycles'!$HL$20,'Lease Cycles'!$HS$20+'Lease Cycles'!$HZ$20,0)</f>
        <v>0</v>
      </c>
      <c r="AE228" s="28">
        <f>IF(AE$6='Lease Cycles'!$HL$20,'Lease Cycles'!$HS$20+'Lease Cycles'!$HZ$20,0)</f>
        <v>0</v>
      </c>
      <c r="AF228" s="28">
        <f>IF(AF$6='Lease Cycles'!$HL$20,'Lease Cycles'!$HS$20+'Lease Cycles'!$HZ$20,0)</f>
        <v>0</v>
      </c>
      <c r="AG228" s="28">
        <f>IF(AG$6='Lease Cycles'!$HL$20,'Lease Cycles'!$HS$20+'Lease Cycles'!$HZ$20,0)</f>
        <v>0</v>
      </c>
      <c r="AH228" s="28">
        <f>IF(AH$6='Lease Cycles'!$HL$20,'Lease Cycles'!$HS$20+'Lease Cycles'!$HZ$20,0)</f>
        <v>0</v>
      </c>
      <c r="AI228" s="28">
        <f>IF(AI$6='Lease Cycles'!$HL$20,'Lease Cycles'!$HS$20+'Lease Cycles'!$HZ$20,0)</f>
        <v>0</v>
      </c>
      <c r="AJ228" s="28">
        <f>IF(AJ$6='Lease Cycles'!$HL$20,'Lease Cycles'!$HS$20+'Lease Cycles'!$HZ$20,0)</f>
        <v>0</v>
      </c>
      <c r="AK228" s="28">
        <f>IF(AK$6='Lease Cycles'!$HL$20,'Lease Cycles'!$HS$20+'Lease Cycles'!$HZ$20,0)</f>
        <v>0</v>
      </c>
      <c r="AL228" s="28">
        <f>IF(AL$6='Lease Cycles'!$HL$20,'Lease Cycles'!$HS$20+'Lease Cycles'!$HZ$20,0)</f>
        <v>0</v>
      </c>
      <c r="AM228" s="28">
        <f>IF(AM$6='Lease Cycles'!$HL$20,'Lease Cycles'!$HS$20+'Lease Cycles'!$HZ$20,0)</f>
        <v>0</v>
      </c>
      <c r="AN228" s="28">
        <f>IF(AN$6='Lease Cycles'!$HL$20,'Lease Cycles'!$HS$20+'Lease Cycles'!$HZ$20,0)</f>
        <v>0</v>
      </c>
      <c r="AO228" s="28">
        <f>IF(AO$6='Lease Cycles'!$HL$20,'Lease Cycles'!$HS$20+'Lease Cycles'!$HZ$20,0)</f>
        <v>0</v>
      </c>
      <c r="AP228" s="28">
        <f>IF(AP$6='Lease Cycles'!$HL$20,'Lease Cycles'!$HS$20+'Lease Cycles'!$HZ$20,0)</f>
        <v>0</v>
      </c>
      <c r="AQ228" s="28">
        <f>IF(AQ$6='Lease Cycles'!$HL$20,'Lease Cycles'!$HS$20+'Lease Cycles'!$HZ$20,0)</f>
        <v>0</v>
      </c>
      <c r="AR228" s="28">
        <f>IF(AR$6='Lease Cycles'!$HL$20,'Lease Cycles'!$HS$20+'Lease Cycles'!$HZ$20,0)</f>
        <v>0</v>
      </c>
      <c r="AS228" s="28">
        <f>IF(AS$6='Lease Cycles'!$HL$20,'Lease Cycles'!$HS$20+'Lease Cycles'!$HZ$20,0)</f>
        <v>0</v>
      </c>
      <c r="AT228" s="28">
        <f>IF(AT$6='Lease Cycles'!$HL$20,'Lease Cycles'!$HS$20+'Lease Cycles'!$HZ$20,0)</f>
        <v>0</v>
      </c>
      <c r="AU228" s="28">
        <f>IF(AU$6='Lease Cycles'!$HL$20,'Lease Cycles'!$HS$20+'Lease Cycles'!$HZ$20,0)</f>
        <v>0</v>
      </c>
      <c r="AV228" s="28">
        <f>IF(AV$6='Lease Cycles'!$HL$20,'Lease Cycles'!$HS$20+'Lease Cycles'!$HZ$20,0)</f>
        <v>0</v>
      </c>
      <c r="AW228" s="28">
        <f>IF(AW$6='Lease Cycles'!$HL$20,'Lease Cycles'!$HS$20+'Lease Cycles'!$HZ$20,0)</f>
        <v>0</v>
      </c>
      <c r="AX228" s="28">
        <f>IF(AX$6='Lease Cycles'!$HL$20,'Lease Cycles'!$HS$20+'Lease Cycles'!$HZ$20,0)</f>
        <v>0</v>
      </c>
      <c r="AY228" s="28">
        <f>IF(AY$6='Lease Cycles'!$HL$20,'Lease Cycles'!$HS$20+'Lease Cycles'!$HZ$20,0)</f>
        <v>0</v>
      </c>
      <c r="AZ228" s="28">
        <f>IF(AZ$6='Lease Cycles'!$HL$20,'Lease Cycles'!$HS$20+'Lease Cycles'!$HZ$20,0)</f>
        <v>0</v>
      </c>
      <c r="BA228" s="28">
        <f>IF(BA$6='Lease Cycles'!$HL$20,'Lease Cycles'!$HS$20+'Lease Cycles'!$HZ$20,0)</f>
        <v>0</v>
      </c>
      <c r="BB228" s="28">
        <f>IF(BB$6='Lease Cycles'!$HL$20,'Lease Cycles'!$HS$20+'Lease Cycles'!$HZ$20,0)</f>
        <v>0</v>
      </c>
      <c r="BC228" s="28">
        <f>IF(BC$6='Lease Cycles'!$HL$20,'Lease Cycles'!$HS$20+'Lease Cycles'!$HZ$20,0)</f>
        <v>0</v>
      </c>
      <c r="BD228" s="28">
        <f>IF(BD$6='Lease Cycles'!$HL$20,'Lease Cycles'!$HS$20+'Lease Cycles'!$HZ$20,0)</f>
        <v>0</v>
      </c>
      <c r="BE228" s="28">
        <f>IF(BE$6='Lease Cycles'!$HL$20,'Lease Cycles'!$HS$20+'Lease Cycles'!$HZ$20,0)</f>
        <v>0</v>
      </c>
      <c r="BF228" s="28">
        <f>IF(BF$6='Lease Cycles'!$HL$20,'Lease Cycles'!$HS$20+'Lease Cycles'!$HZ$20,0)</f>
        <v>0</v>
      </c>
      <c r="BG228" s="28">
        <f>IF(BG$6='Lease Cycles'!$HL$20,'Lease Cycles'!$HS$20+'Lease Cycles'!$HZ$20,0)</f>
        <v>0</v>
      </c>
      <c r="BH228" s="28">
        <f>IF(BH$6='Lease Cycles'!$HL$20,'Lease Cycles'!$HS$20+'Lease Cycles'!$HZ$20,0)</f>
        <v>0</v>
      </c>
      <c r="BI228" s="28">
        <f>IF(BI$6='Lease Cycles'!$HL$20,'Lease Cycles'!$HS$20+'Lease Cycles'!$HZ$20,0)</f>
        <v>0</v>
      </c>
      <c r="BJ228" s="28">
        <f>IF(BJ$6='Lease Cycles'!$HL$20,'Lease Cycles'!$HS$20+'Lease Cycles'!$HZ$20,0)</f>
        <v>0</v>
      </c>
      <c r="BK228" s="28">
        <f>IF(BK$6='Lease Cycles'!$HL$20,'Lease Cycles'!$HS$20+'Lease Cycles'!$HZ$20,0)</f>
        <v>0</v>
      </c>
      <c r="BL228" s="28">
        <f>IF(BL$6='Lease Cycles'!$HL$20,'Lease Cycles'!$HS$20+'Lease Cycles'!$HZ$20,0)</f>
        <v>0</v>
      </c>
      <c r="BM228" s="28">
        <f>IF(BM$6='Lease Cycles'!$HL$20,'Lease Cycles'!$HS$20+'Lease Cycles'!$HZ$20,0)</f>
        <v>0</v>
      </c>
      <c r="BN228" s="28">
        <f>IF(BN$6='Lease Cycles'!$HL$20,'Lease Cycles'!$HS$20+'Lease Cycles'!$HZ$20,0)</f>
        <v>0</v>
      </c>
      <c r="BO228" s="28">
        <f>IF(BO$6='Lease Cycles'!$HL$20,'Lease Cycles'!$HS$20+'Lease Cycles'!$HZ$20,0)</f>
        <v>0</v>
      </c>
      <c r="BP228" s="28">
        <f>IF(BP$6='Lease Cycles'!$HL$20,'Lease Cycles'!$HS$20+'Lease Cycles'!$HZ$20,0)</f>
        <v>0</v>
      </c>
      <c r="BQ228" s="28">
        <f>IF(BQ$6='Lease Cycles'!$HL$20,'Lease Cycles'!$HS$20+'Lease Cycles'!$HZ$20,0)</f>
        <v>0</v>
      </c>
      <c r="BR228" s="28">
        <f>IF(BR$6='Lease Cycles'!$HL$20,'Lease Cycles'!$HS$20+'Lease Cycles'!$HZ$20,0)</f>
        <v>0</v>
      </c>
      <c r="BS228" s="28">
        <f>IF(BS$6='Lease Cycles'!$HL$20,'Lease Cycles'!$HS$20+'Lease Cycles'!$HZ$20,0)</f>
        <v>0</v>
      </c>
      <c r="BT228" s="28">
        <f>IF(BT$6='Lease Cycles'!$HL$20,'Lease Cycles'!$HS$20+'Lease Cycles'!$HZ$20,0)</f>
        <v>0</v>
      </c>
      <c r="BU228" s="28">
        <f>IF(BU$6='Lease Cycles'!$HL$20,'Lease Cycles'!$HS$20+'Lease Cycles'!$HZ$20,0)</f>
        <v>0</v>
      </c>
      <c r="BV228" s="28">
        <f>IF(BV$6='Lease Cycles'!$HL$20,'Lease Cycles'!$HS$20+'Lease Cycles'!$HZ$20,0)</f>
        <v>0</v>
      </c>
      <c r="BW228" s="28">
        <f>IF(BW$6='Lease Cycles'!$HL$20,'Lease Cycles'!$HS$20+'Lease Cycles'!$HZ$20,0)</f>
        <v>0</v>
      </c>
      <c r="BX228" s="28">
        <f>IF(BX$6='Lease Cycles'!$HL$20,'Lease Cycles'!$HS$20+'Lease Cycles'!$HZ$20,0)</f>
        <v>0</v>
      </c>
      <c r="BY228" s="28">
        <f>IF(BY$6='Lease Cycles'!$HL$20,'Lease Cycles'!$HS$20+'Lease Cycles'!$HZ$20,0)</f>
        <v>0</v>
      </c>
      <c r="BZ228" s="28">
        <f>IF(BZ$6='Lease Cycles'!$HL$20,'Lease Cycles'!$HS$20+'Lease Cycles'!$HZ$20,0)</f>
        <v>0</v>
      </c>
      <c r="CA228" s="28">
        <f>IF(CA$6='Lease Cycles'!$HL$20,'Lease Cycles'!$HS$20+'Lease Cycles'!$HZ$20,0)</f>
        <v>0</v>
      </c>
      <c r="CB228" s="28">
        <f>IF(CB$6='Lease Cycles'!$HL$20,'Lease Cycles'!$HS$20+'Lease Cycles'!$HZ$20,0)</f>
        <v>0</v>
      </c>
      <c r="CC228" s="28">
        <f>IF(CC$6='Lease Cycles'!$HL$20,'Lease Cycles'!$HS$20+'Lease Cycles'!$HZ$20,0)</f>
        <v>0</v>
      </c>
      <c r="CD228" s="28">
        <f>IF(CD$6='Lease Cycles'!$HL$20,'Lease Cycles'!$HS$20+'Lease Cycles'!$HZ$20,0)</f>
        <v>0</v>
      </c>
      <c r="CE228" s="28">
        <f>IF(CE$6='Lease Cycles'!$HL$20,'Lease Cycles'!$HS$20+'Lease Cycles'!$HZ$20,0)</f>
        <v>0</v>
      </c>
      <c r="CF228" s="28">
        <f>IF(CF$6='Lease Cycles'!$HL$20,'Lease Cycles'!$HS$20+'Lease Cycles'!$HZ$20,0)</f>
        <v>0</v>
      </c>
      <c r="CG228" s="28">
        <f>IF(CG$6='Lease Cycles'!$HL$20,'Lease Cycles'!$HS$20+'Lease Cycles'!$HZ$20,0)</f>
        <v>0</v>
      </c>
      <c r="CH228" s="28">
        <f>IF(CH$6='Lease Cycles'!$HL$20,'Lease Cycles'!$HS$20+'Lease Cycles'!$HZ$20,0)</f>
        <v>0</v>
      </c>
      <c r="CI228" s="28">
        <f>IF(CI$6='Lease Cycles'!$HL$20,'Lease Cycles'!$HS$20+'Lease Cycles'!$HZ$20,0)</f>
        <v>0</v>
      </c>
      <c r="CJ228" s="28">
        <f>IF(CJ$6='Lease Cycles'!$HL$20,'Lease Cycles'!$HS$20+'Lease Cycles'!$HZ$20,0)</f>
        <v>0</v>
      </c>
      <c r="CK228" s="28">
        <f>IF(CK$6='Lease Cycles'!$HL$20,'Lease Cycles'!$HS$20+'Lease Cycles'!$HZ$20,0)</f>
        <v>0</v>
      </c>
      <c r="CL228" s="28">
        <f>IF(CL$6='Lease Cycles'!$HL$20,'Lease Cycles'!$HS$20+'Lease Cycles'!$HZ$20,0)</f>
        <v>0</v>
      </c>
      <c r="CM228" s="28">
        <f>IF(CM$6='Lease Cycles'!$HL$20,'Lease Cycles'!$HS$20+'Lease Cycles'!$HZ$20,0)</f>
        <v>0</v>
      </c>
      <c r="CN228" s="28">
        <f>IF(CN$6='Lease Cycles'!$HL$20,'Lease Cycles'!$HS$20+'Lease Cycles'!$HZ$20,0)</f>
        <v>0</v>
      </c>
      <c r="CO228" s="28">
        <f>IF(CO$6='Lease Cycles'!$HL$20,'Lease Cycles'!$HS$20+'Lease Cycles'!$HZ$20,0)</f>
        <v>0</v>
      </c>
      <c r="CP228" s="28">
        <f>IF(CP$6='Lease Cycles'!$HL$20,'Lease Cycles'!$HS$20+'Lease Cycles'!$HZ$20,0)</f>
        <v>0</v>
      </c>
      <c r="CQ228" s="28">
        <f>IF(CQ$6='Lease Cycles'!$HL$20,'Lease Cycles'!$HS$20+'Lease Cycles'!$HZ$20,0)</f>
        <v>0</v>
      </c>
      <c r="CR228" s="28">
        <f>IF(CR$6='Lease Cycles'!$HL$20,'Lease Cycles'!$HS$20+'Lease Cycles'!$HZ$20,0)</f>
        <v>0</v>
      </c>
      <c r="CS228" s="28">
        <f>IF(CS$6='Lease Cycles'!$HL$20,'Lease Cycles'!$HS$20+'Lease Cycles'!$HZ$20,0)</f>
        <v>0</v>
      </c>
      <c r="CT228" s="28">
        <f>IF(CT$6='Lease Cycles'!$HL$20,'Lease Cycles'!$HS$20+'Lease Cycles'!$HZ$20,0)</f>
        <v>0</v>
      </c>
      <c r="CU228" s="28">
        <f>IF(CU$6='Lease Cycles'!$HL$20,'Lease Cycles'!$HS$20+'Lease Cycles'!$HZ$20,0)</f>
        <v>0</v>
      </c>
      <c r="CV228" s="28">
        <f>IF(CV$6='Lease Cycles'!$HL$20,'Lease Cycles'!$HS$20+'Lease Cycles'!$HZ$20,0)</f>
        <v>0</v>
      </c>
      <c r="CW228" s="28">
        <f>IF(CW$6='Lease Cycles'!$HL$20,'Lease Cycles'!$HS$20+'Lease Cycles'!$HZ$20,0)</f>
        <v>0</v>
      </c>
      <c r="CX228" s="28">
        <f>IF(CX$6='Lease Cycles'!$HL$20,'Lease Cycles'!$HS$20+'Lease Cycles'!$HZ$20,0)</f>
        <v>0</v>
      </c>
      <c r="CY228" s="28">
        <f>IF(CY$6='Lease Cycles'!$HL$20,'Lease Cycles'!$HS$20+'Lease Cycles'!$HZ$20,0)</f>
        <v>0</v>
      </c>
      <c r="CZ228" s="28">
        <f>IF(CZ$6='Lease Cycles'!$HL$20,'Lease Cycles'!$HS$20+'Lease Cycles'!$HZ$20,0)</f>
        <v>0</v>
      </c>
      <c r="DA228" s="28">
        <f>IF(DA$6='Lease Cycles'!$HL$20,'Lease Cycles'!$HS$20+'Lease Cycles'!$HZ$20,0)</f>
        <v>0</v>
      </c>
      <c r="DB228" s="28">
        <f>IF(DB$6='Lease Cycles'!$HL$20,'Lease Cycles'!$HS$20+'Lease Cycles'!$HZ$20,0)</f>
        <v>0</v>
      </c>
      <c r="DC228" s="28">
        <f>IF(DC$6='Lease Cycles'!$HL$20,'Lease Cycles'!$HS$20+'Lease Cycles'!$HZ$20,0)</f>
        <v>0</v>
      </c>
      <c r="DD228" s="28">
        <f>IF(DD$6='Lease Cycles'!$HL$20,'Lease Cycles'!$HS$20+'Lease Cycles'!$HZ$20,0)</f>
        <v>0</v>
      </c>
      <c r="DE228" s="28">
        <f>IF(DE$6='Lease Cycles'!$HL$20,'Lease Cycles'!$HS$20+'Lease Cycles'!$HZ$20,0)</f>
        <v>0</v>
      </c>
      <c r="DF228" s="28">
        <f>IF(DF$6='Lease Cycles'!$HL$20,'Lease Cycles'!$HS$20+'Lease Cycles'!$HZ$20,0)</f>
        <v>0</v>
      </c>
      <c r="DG228" s="28">
        <f>IF(DG$6='Lease Cycles'!$HL$20,'Lease Cycles'!$HS$20+'Lease Cycles'!$HZ$20,0)</f>
        <v>0</v>
      </c>
      <c r="DH228" s="28">
        <f>IF(DH$6='Lease Cycles'!$HL$20,'Lease Cycles'!$HS$20+'Lease Cycles'!$HZ$20,0)</f>
        <v>0</v>
      </c>
      <c r="DI228" s="28">
        <f>IF(DI$6='Lease Cycles'!$HL$20,'Lease Cycles'!$HS$20+'Lease Cycles'!$HZ$20,0)</f>
        <v>0</v>
      </c>
      <c r="DJ228" s="28">
        <f>IF(DJ$6='Lease Cycles'!$HL$20,'Lease Cycles'!$HS$20+'Lease Cycles'!$HZ$20,0)</f>
        <v>0</v>
      </c>
      <c r="DK228" s="28">
        <f>IF(DK$6='Lease Cycles'!$HL$20,'Lease Cycles'!$HS$20+'Lease Cycles'!$HZ$20,0)</f>
        <v>0</v>
      </c>
      <c r="DL228" s="28">
        <f>IF(DL$6='Lease Cycles'!$HL$20,'Lease Cycles'!$HS$20+'Lease Cycles'!$HZ$20,0)</f>
        <v>0</v>
      </c>
      <c r="DM228" s="28">
        <f>IF(DM$6='Lease Cycles'!$HL$20,'Lease Cycles'!$HS$20+'Lease Cycles'!$HZ$20,0)</f>
        <v>0</v>
      </c>
      <c r="DN228" s="28">
        <f>IF(DN$6='Lease Cycles'!$HL$20,'Lease Cycles'!$HS$20+'Lease Cycles'!$HZ$20,0)</f>
        <v>0</v>
      </c>
      <c r="DO228" s="28">
        <f>IF(DO$6='Lease Cycles'!$HL$20,'Lease Cycles'!$HS$20+'Lease Cycles'!$HZ$20,0)</f>
        <v>0</v>
      </c>
      <c r="DP228" s="28">
        <f>IF(DP$6='Lease Cycles'!$HL$20,'Lease Cycles'!$HS$20+'Lease Cycles'!$HZ$20,0)</f>
        <v>0</v>
      </c>
      <c r="DQ228" s="28">
        <f>IF(DQ$6='Lease Cycles'!$HL$20,'Lease Cycles'!$HS$20+'Lease Cycles'!$HZ$20,0)</f>
        <v>0</v>
      </c>
      <c r="DR228" s="28">
        <f>IF(DR$6='Lease Cycles'!$HL$20,'Lease Cycles'!$HS$20+'Lease Cycles'!$HZ$20,0)</f>
        <v>0</v>
      </c>
      <c r="DS228" s="28">
        <f>IF(DS$6='Lease Cycles'!$HL$20,'Lease Cycles'!$HS$20+'Lease Cycles'!$HZ$20,0)</f>
        <v>0</v>
      </c>
      <c r="DT228" s="28">
        <f>IF(DT$6='Lease Cycles'!$HL$20,'Lease Cycles'!$HS$20+'Lease Cycles'!$HZ$20,0)</f>
        <v>0</v>
      </c>
      <c r="DU228" s="28">
        <f>IF(DU$6='Lease Cycles'!$HL$20,'Lease Cycles'!$HS$20+'Lease Cycles'!$HZ$20,0)</f>
        <v>0</v>
      </c>
      <c r="DV228" s="28">
        <f>IF(DV$6='Lease Cycles'!$HL$20,'Lease Cycles'!$HS$20+'Lease Cycles'!$HZ$20,0)</f>
        <v>0</v>
      </c>
      <c r="DW228" s="28">
        <f>IF(DW$6='Lease Cycles'!$HL$20,'Lease Cycles'!$HS$20+'Lease Cycles'!$HZ$20,0)</f>
        <v>0</v>
      </c>
      <c r="DX228" s="28">
        <f>IF(DX$6='Lease Cycles'!$HL$20,'Lease Cycles'!$HS$20+'Lease Cycles'!$HZ$20,0)</f>
        <v>0</v>
      </c>
      <c r="DY228" s="28">
        <f>IF(DY$6='Lease Cycles'!$HL$20,'Lease Cycles'!$HS$20+'Lease Cycles'!$HZ$20,0)</f>
        <v>0</v>
      </c>
      <c r="DZ228" s="28">
        <f>IF(DZ$6='Lease Cycles'!$HL$20,'Lease Cycles'!$HS$20+'Lease Cycles'!$HZ$20,0)</f>
        <v>0</v>
      </c>
      <c r="EA228" s="28">
        <f>IF(EA$6='Lease Cycles'!$HL$20,'Lease Cycles'!$HS$20+'Lease Cycles'!$HZ$20,0)</f>
        <v>0</v>
      </c>
      <c r="EB228" s="28">
        <f>IF(EB$6='Lease Cycles'!$HL$20,'Lease Cycles'!$HS$20+'Lease Cycles'!$HZ$20,0)</f>
        <v>0</v>
      </c>
      <c r="EC228" s="28">
        <f>IF(EC$6='Lease Cycles'!$HL$20,'Lease Cycles'!$HS$20+'Lease Cycles'!$HZ$20,0)</f>
        <v>0</v>
      </c>
      <c r="ED228" s="28">
        <f>IF(ED$6='Lease Cycles'!$HL$20,'Lease Cycles'!$HS$20+'Lease Cycles'!$HZ$20,0)</f>
        <v>0</v>
      </c>
      <c r="EE228" s="28">
        <f>IF(EE$6='Lease Cycles'!$HL$20,'Lease Cycles'!$HS$20+'Lease Cycles'!$HZ$20,0)</f>
        <v>0</v>
      </c>
      <c r="EF228" s="28">
        <f>IF(EF$6='Lease Cycles'!$HL$20,'Lease Cycles'!$HS$20+'Lease Cycles'!$HZ$20,0)</f>
        <v>0</v>
      </c>
      <c r="EG228" s="28">
        <f>IF(EG$6='Lease Cycles'!$HL$20,'Lease Cycles'!$HS$20+'Lease Cycles'!$HZ$20,0)</f>
        <v>0</v>
      </c>
      <c r="EH228" s="28">
        <f>IF(EH$6='Lease Cycles'!$HL$20,'Lease Cycles'!$HS$20+'Lease Cycles'!$HZ$20,0)</f>
        <v>0</v>
      </c>
      <c r="EI228" s="28">
        <f>IF(EI$6='Lease Cycles'!$HL$20,'Lease Cycles'!$HS$20+'Lease Cycles'!$HZ$20,0)</f>
        <v>0</v>
      </c>
      <c r="EJ228" s="28">
        <f>IF(EJ$6='Lease Cycles'!$HL$20,'Lease Cycles'!$HS$20+'Lease Cycles'!$HZ$20,0)</f>
        <v>0</v>
      </c>
      <c r="EK228" s="28">
        <f>IF(EK$6='Lease Cycles'!$HL$20,'Lease Cycles'!$HS$20+'Lease Cycles'!$HZ$20,0)</f>
        <v>0</v>
      </c>
      <c r="EL228" s="28">
        <f>IF(EL$6='Lease Cycles'!$HL$20,'Lease Cycles'!$HS$20+'Lease Cycles'!$HZ$20,0)</f>
        <v>0</v>
      </c>
      <c r="EM228" s="28">
        <f>IF(EM$6='Lease Cycles'!$HL$20,'Lease Cycles'!$HS$20+'Lease Cycles'!$HZ$20,0)</f>
        <v>0</v>
      </c>
      <c r="EN228" s="28">
        <f>IF(EN$6='Lease Cycles'!$HL$20,'Lease Cycles'!$HS$20+'Lease Cycles'!$HZ$20,0)</f>
        <v>0</v>
      </c>
      <c r="EO228" s="28">
        <f>IF(EO$6='Lease Cycles'!$HL$20,'Lease Cycles'!$HS$20+'Lease Cycles'!$HZ$20,0)</f>
        <v>0</v>
      </c>
      <c r="EP228" s="28">
        <f>IF(EP$6='Lease Cycles'!$HL$20,'Lease Cycles'!$HS$20+'Lease Cycles'!$HZ$20,0)</f>
        <v>0</v>
      </c>
      <c r="EQ228" s="28">
        <f>IF(EQ$6='Lease Cycles'!$HL$20,'Lease Cycles'!$HS$20+'Lease Cycles'!$HZ$20,0)</f>
        <v>0</v>
      </c>
      <c r="ER228" s="28">
        <f>IF(ER$6='Lease Cycles'!$HL$20,'Lease Cycles'!$HS$20+'Lease Cycles'!$HZ$20,0)</f>
        <v>0</v>
      </c>
      <c r="ES228" s="28">
        <f>IF(ES$6='Lease Cycles'!$HL$20,'Lease Cycles'!$HS$20+'Lease Cycles'!$HZ$20,0)</f>
        <v>0</v>
      </c>
      <c r="ET228" s="28">
        <f>IF(ET$6='Lease Cycles'!$HL$20,'Lease Cycles'!$HS$20+'Lease Cycles'!$HZ$20,0)</f>
        <v>0</v>
      </c>
    </row>
    <row r="229">
      <c r="A229" s="103">
        <v>13</v>
      </c>
      <c r="B229" s="23" t="str">
        <f>IF('Lease Cycles'!$B$20="","(empty slot)",'Lease Cycles'!$B$20)</f>
        <v>(empty slot)</v>
      </c>
      <c r="C229" s="23" t="s">
        <v>499</v>
      </c>
      <c r="D229" s="104" t="s">
        <v>500</v>
      </c>
      <c r="E229" s="25">
        <f>'Lease Cycles'!$AL$20</f>
        <v>0</v>
      </c>
      <c r="G229" s="28">
        <f>MAX(0,'Lease Cycles'!$AN$20*'Lease Cycles'!$C$20*'Lease Cycles'!$AM$20*(1+a_SalesGrowth)^(G$6-1)-G219)</f>
        <v>0</v>
      </c>
      <c r="H229" s="28">
        <f>MAX(0,'Lease Cycles'!$AN$20*'Lease Cycles'!$C$20*'Lease Cycles'!$AM$20*(1+a_SalesGrowth)^(H$6-1)-H219)</f>
        <v>0</v>
      </c>
      <c r="I229" s="28">
        <f>MAX(0,'Lease Cycles'!$AN$20*'Lease Cycles'!$C$20*'Lease Cycles'!$AM$20*(1+a_SalesGrowth)^(I$6-1)-I219)</f>
        <v>0</v>
      </c>
      <c r="J229" s="28">
        <f>MAX(0,'Lease Cycles'!$AN$20*'Lease Cycles'!$C$20*'Lease Cycles'!$AM$20*(1+a_SalesGrowth)^(J$6-1)-J219)</f>
        <v>0</v>
      </c>
      <c r="K229" s="28">
        <f>MAX(0,'Lease Cycles'!$AN$20*'Lease Cycles'!$C$20*'Lease Cycles'!$AM$20*(1+a_SalesGrowth)^(K$6-1)-K219)</f>
        <v>0</v>
      </c>
      <c r="L229" s="28">
        <f>MAX(0,'Lease Cycles'!$AN$20*'Lease Cycles'!$C$20*'Lease Cycles'!$AM$20*(1+a_SalesGrowth)^(L$6-1)-L219)</f>
        <v>0</v>
      </c>
      <c r="M229" s="28">
        <f>MAX(0,'Lease Cycles'!$AN$20*'Lease Cycles'!$C$20*'Lease Cycles'!$AM$20*(1+a_SalesGrowth)^(M$6-1)-M219)</f>
        <v>0</v>
      </c>
      <c r="N229" s="28">
        <f>MAX(0,'Lease Cycles'!$AN$20*'Lease Cycles'!$C$20*'Lease Cycles'!$AM$20*(1+a_SalesGrowth)^(N$6-1)-N219)</f>
        <v>0</v>
      </c>
      <c r="O229" s="28">
        <f>MAX(0,'Lease Cycles'!$AN$20*'Lease Cycles'!$C$20*'Lease Cycles'!$AM$20*(1+a_SalesGrowth)^(O$6-1)-O219)</f>
        <v>0</v>
      </c>
      <c r="P229" s="28">
        <f>MAX(0,'Lease Cycles'!$AN$20*'Lease Cycles'!$C$20*'Lease Cycles'!$AM$20*(1+a_SalesGrowth)^(P$6-1)-P219)</f>
        <v>0</v>
      </c>
      <c r="Q229" s="28">
        <f>MAX(0,'Lease Cycles'!$AN$20*'Lease Cycles'!$C$20*'Lease Cycles'!$AM$20*(1+a_SalesGrowth)^(Q$6-1)-Q219)</f>
        <v>0</v>
      </c>
    </row>
    <row r="231">
      <c r="A231" s="103">
        <v>14</v>
      </c>
      <c r="B231" s="23" t="str">
        <f>IF('Lease Cycles'!$B$21="","(empty slot)",'Lease Cycles'!$B$21)</f>
        <v>(empty slot)</v>
      </c>
      <c r="C231" s="23" t="s">
        <v>671</v>
      </c>
      <c r="D231" s="104" t="s">
        <v>672</v>
      </c>
      <c r="E231" s="25">
        <f>'Lease Cycles'!$AL$21</f>
        <v>0</v>
      </c>
      <c r="S231" s="25">
        <f>IF('Lease Cycles'!$C$21&gt;0,COUNTIF('Lease Cycles'!$BG$21:$BM$21,"&lt;="&amp;S$6),0)</f>
        <v>0</v>
      </c>
      <c r="T231" s="25">
        <f>IF('Lease Cycles'!$C$21&gt;0,COUNTIF('Lease Cycles'!$BG$21:$BM$21,"&lt;="&amp;T$6),0)</f>
        <v>0</v>
      </c>
      <c r="U231" s="25">
        <f>IF('Lease Cycles'!$C$21&gt;0,COUNTIF('Lease Cycles'!$BG$21:$BM$21,"&lt;="&amp;U$6),0)</f>
        <v>0</v>
      </c>
      <c r="V231" s="25">
        <f>IF('Lease Cycles'!$C$21&gt;0,COUNTIF('Lease Cycles'!$BG$21:$BM$21,"&lt;="&amp;V$6),0)</f>
        <v>0</v>
      </c>
      <c r="W231" s="25">
        <f>IF('Lease Cycles'!$C$21&gt;0,COUNTIF('Lease Cycles'!$BG$21:$BM$21,"&lt;="&amp;W$6),0)</f>
        <v>0</v>
      </c>
      <c r="X231" s="25">
        <f>IF('Lease Cycles'!$C$21&gt;0,COUNTIF('Lease Cycles'!$BG$21:$BM$21,"&lt;="&amp;X$6),0)</f>
        <v>0</v>
      </c>
      <c r="Y231" s="25">
        <f>IF('Lease Cycles'!$C$21&gt;0,COUNTIF('Lease Cycles'!$BG$21:$BM$21,"&lt;="&amp;Y$6),0)</f>
        <v>0</v>
      </c>
      <c r="Z231" s="25">
        <f>IF('Lease Cycles'!$C$21&gt;0,COUNTIF('Lease Cycles'!$BG$21:$BM$21,"&lt;="&amp;Z$6),0)</f>
        <v>0</v>
      </c>
      <c r="AA231" s="25">
        <f>IF('Lease Cycles'!$C$21&gt;0,COUNTIF('Lease Cycles'!$BG$21:$BM$21,"&lt;="&amp;AA$6),0)</f>
        <v>0</v>
      </c>
      <c r="AB231" s="25">
        <f>IF('Lease Cycles'!$C$21&gt;0,COUNTIF('Lease Cycles'!$BG$21:$BM$21,"&lt;="&amp;AB$6),0)</f>
        <v>0</v>
      </c>
      <c r="AC231" s="25">
        <f>IF('Lease Cycles'!$C$21&gt;0,COUNTIF('Lease Cycles'!$BG$21:$BM$21,"&lt;="&amp;AC$6),0)</f>
        <v>0</v>
      </c>
      <c r="AD231" s="25">
        <f>IF('Lease Cycles'!$C$21&gt;0,COUNTIF('Lease Cycles'!$BG$21:$BM$21,"&lt;="&amp;AD$6),0)</f>
        <v>0</v>
      </c>
      <c r="AE231" s="25">
        <f>IF('Lease Cycles'!$C$21&gt;0,COUNTIF('Lease Cycles'!$BG$21:$BM$21,"&lt;="&amp;AE$6),0)</f>
        <v>0</v>
      </c>
      <c r="AF231" s="25">
        <f>IF('Lease Cycles'!$C$21&gt;0,COUNTIF('Lease Cycles'!$BG$21:$BM$21,"&lt;="&amp;AF$6),0)</f>
        <v>0</v>
      </c>
      <c r="AG231" s="25">
        <f>IF('Lease Cycles'!$C$21&gt;0,COUNTIF('Lease Cycles'!$BG$21:$BM$21,"&lt;="&amp;AG$6),0)</f>
        <v>0</v>
      </c>
      <c r="AH231" s="25">
        <f>IF('Lease Cycles'!$C$21&gt;0,COUNTIF('Lease Cycles'!$BG$21:$BM$21,"&lt;="&amp;AH$6),0)</f>
        <v>0</v>
      </c>
      <c r="AI231" s="25">
        <f>IF('Lease Cycles'!$C$21&gt;0,COUNTIF('Lease Cycles'!$BG$21:$BM$21,"&lt;="&amp;AI$6),0)</f>
        <v>0</v>
      </c>
      <c r="AJ231" s="25">
        <f>IF('Lease Cycles'!$C$21&gt;0,COUNTIF('Lease Cycles'!$BG$21:$BM$21,"&lt;="&amp;AJ$6),0)</f>
        <v>0</v>
      </c>
      <c r="AK231" s="25">
        <f>IF('Lease Cycles'!$C$21&gt;0,COUNTIF('Lease Cycles'!$BG$21:$BM$21,"&lt;="&amp;AK$6),0)</f>
        <v>0</v>
      </c>
      <c r="AL231" s="25">
        <f>IF('Lease Cycles'!$C$21&gt;0,COUNTIF('Lease Cycles'!$BG$21:$BM$21,"&lt;="&amp;AL$6),0)</f>
        <v>0</v>
      </c>
      <c r="AM231" s="25">
        <f>IF('Lease Cycles'!$C$21&gt;0,COUNTIF('Lease Cycles'!$BG$21:$BM$21,"&lt;="&amp;AM$6),0)</f>
        <v>0</v>
      </c>
      <c r="AN231" s="25">
        <f>IF('Lease Cycles'!$C$21&gt;0,COUNTIF('Lease Cycles'!$BG$21:$BM$21,"&lt;="&amp;AN$6),0)</f>
        <v>0</v>
      </c>
      <c r="AO231" s="25">
        <f>IF('Lease Cycles'!$C$21&gt;0,COUNTIF('Lease Cycles'!$BG$21:$BM$21,"&lt;="&amp;AO$6),0)</f>
        <v>0</v>
      </c>
      <c r="AP231" s="25">
        <f>IF('Lease Cycles'!$C$21&gt;0,COUNTIF('Lease Cycles'!$BG$21:$BM$21,"&lt;="&amp;AP$6),0)</f>
        <v>0</v>
      </c>
      <c r="AQ231" s="25">
        <f>IF('Lease Cycles'!$C$21&gt;0,COUNTIF('Lease Cycles'!$BG$21:$BM$21,"&lt;="&amp;AQ$6),0)</f>
        <v>0</v>
      </c>
      <c r="AR231" s="25">
        <f>IF('Lease Cycles'!$C$21&gt;0,COUNTIF('Lease Cycles'!$BG$21:$BM$21,"&lt;="&amp;AR$6),0)</f>
        <v>0</v>
      </c>
      <c r="AS231" s="25">
        <f>IF('Lease Cycles'!$C$21&gt;0,COUNTIF('Lease Cycles'!$BG$21:$BM$21,"&lt;="&amp;AS$6),0)</f>
        <v>0</v>
      </c>
      <c r="AT231" s="25">
        <f>IF('Lease Cycles'!$C$21&gt;0,COUNTIF('Lease Cycles'!$BG$21:$BM$21,"&lt;="&amp;AT$6),0)</f>
        <v>0</v>
      </c>
      <c r="AU231" s="25">
        <f>IF('Lease Cycles'!$C$21&gt;0,COUNTIF('Lease Cycles'!$BG$21:$BM$21,"&lt;="&amp;AU$6),0)</f>
        <v>0</v>
      </c>
      <c r="AV231" s="25">
        <f>IF('Lease Cycles'!$C$21&gt;0,COUNTIF('Lease Cycles'!$BG$21:$BM$21,"&lt;="&amp;AV$6),0)</f>
        <v>0</v>
      </c>
      <c r="AW231" s="25">
        <f>IF('Lease Cycles'!$C$21&gt;0,COUNTIF('Lease Cycles'!$BG$21:$BM$21,"&lt;="&amp;AW$6),0)</f>
        <v>0</v>
      </c>
      <c r="AX231" s="25">
        <f>IF('Lease Cycles'!$C$21&gt;0,COUNTIF('Lease Cycles'!$BG$21:$BM$21,"&lt;="&amp;AX$6),0)</f>
        <v>0</v>
      </c>
      <c r="AY231" s="25">
        <f>IF('Lease Cycles'!$C$21&gt;0,COUNTIF('Lease Cycles'!$BG$21:$BM$21,"&lt;="&amp;AY$6),0)</f>
        <v>0</v>
      </c>
      <c r="AZ231" s="25">
        <f>IF('Lease Cycles'!$C$21&gt;0,COUNTIF('Lease Cycles'!$BG$21:$BM$21,"&lt;="&amp;AZ$6),0)</f>
        <v>0</v>
      </c>
      <c r="BA231" s="25">
        <f>IF('Lease Cycles'!$C$21&gt;0,COUNTIF('Lease Cycles'!$BG$21:$BM$21,"&lt;="&amp;BA$6),0)</f>
        <v>0</v>
      </c>
      <c r="BB231" s="25">
        <f>IF('Lease Cycles'!$C$21&gt;0,COUNTIF('Lease Cycles'!$BG$21:$BM$21,"&lt;="&amp;BB$6),0)</f>
        <v>0</v>
      </c>
      <c r="BC231" s="25">
        <f>IF('Lease Cycles'!$C$21&gt;0,COUNTIF('Lease Cycles'!$BG$21:$BM$21,"&lt;="&amp;BC$6),0)</f>
        <v>0</v>
      </c>
      <c r="BD231" s="25">
        <f>IF('Lease Cycles'!$C$21&gt;0,COUNTIF('Lease Cycles'!$BG$21:$BM$21,"&lt;="&amp;BD$6),0)</f>
        <v>0</v>
      </c>
      <c r="BE231" s="25">
        <f>IF('Lease Cycles'!$C$21&gt;0,COUNTIF('Lease Cycles'!$BG$21:$BM$21,"&lt;="&amp;BE$6),0)</f>
        <v>0</v>
      </c>
      <c r="BF231" s="25">
        <f>IF('Lease Cycles'!$C$21&gt;0,COUNTIF('Lease Cycles'!$BG$21:$BM$21,"&lt;="&amp;BF$6),0)</f>
        <v>0</v>
      </c>
      <c r="BG231" s="25">
        <f>IF('Lease Cycles'!$C$21&gt;0,COUNTIF('Lease Cycles'!$BG$21:$BM$21,"&lt;="&amp;BG$6),0)</f>
        <v>0</v>
      </c>
      <c r="BH231" s="25">
        <f>IF('Lease Cycles'!$C$21&gt;0,COUNTIF('Lease Cycles'!$BG$21:$BM$21,"&lt;="&amp;BH$6),0)</f>
        <v>0</v>
      </c>
      <c r="BI231" s="25">
        <f>IF('Lease Cycles'!$C$21&gt;0,COUNTIF('Lease Cycles'!$BG$21:$BM$21,"&lt;="&amp;BI$6),0)</f>
        <v>0</v>
      </c>
      <c r="BJ231" s="25">
        <f>IF('Lease Cycles'!$C$21&gt;0,COUNTIF('Lease Cycles'!$BG$21:$BM$21,"&lt;="&amp;BJ$6),0)</f>
        <v>0</v>
      </c>
      <c r="BK231" s="25">
        <f>IF('Lease Cycles'!$C$21&gt;0,COUNTIF('Lease Cycles'!$BG$21:$BM$21,"&lt;="&amp;BK$6),0)</f>
        <v>0</v>
      </c>
      <c r="BL231" s="25">
        <f>IF('Lease Cycles'!$C$21&gt;0,COUNTIF('Lease Cycles'!$BG$21:$BM$21,"&lt;="&amp;BL$6),0)</f>
        <v>0</v>
      </c>
      <c r="BM231" s="25">
        <f>IF('Lease Cycles'!$C$21&gt;0,COUNTIF('Lease Cycles'!$BG$21:$BM$21,"&lt;="&amp;BM$6),0)</f>
        <v>0</v>
      </c>
      <c r="BN231" s="25">
        <f>IF('Lease Cycles'!$C$21&gt;0,COUNTIF('Lease Cycles'!$BG$21:$BM$21,"&lt;="&amp;BN$6),0)</f>
        <v>0</v>
      </c>
      <c r="BO231" s="25">
        <f>IF('Lease Cycles'!$C$21&gt;0,COUNTIF('Lease Cycles'!$BG$21:$BM$21,"&lt;="&amp;BO$6),0)</f>
        <v>0</v>
      </c>
      <c r="BP231" s="25">
        <f>IF('Lease Cycles'!$C$21&gt;0,COUNTIF('Lease Cycles'!$BG$21:$BM$21,"&lt;="&amp;BP$6),0)</f>
        <v>0</v>
      </c>
      <c r="BQ231" s="25">
        <f>IF('Lease Cycles'!$C$21&gt;0,COUNTIF('Lease Cycles'!$BG$21:$BM$21,"&lt;="&amp;BQ$6),0)</f>
        <v>0</v>
      </c>
      <c r="BR231" s="25">
        <f>IF('Lease Cycles'!$C$21&gt;0,COUNTIF('Lease Cycles'!$BG$21:$BM$21,"&lt;="&amp;BR$6),0)</f>
        <v>0</v>
      </c>
      <c r="BS231" s="25">
        <f>IF('Lease Cycles'!$C$21&gt;0,COUNTIF('Lease Cycles'!$BG$21:$BM$21,"&lt;="&amp;BS$6),0)</f>
        <v>0</v>
      </c>
      <c r="BT231" s="25">
        <f>IF('Lease Cycles'!$C$21&gt;0,COUNTIF('Lease Cycles'!$BG$21:$BM$21,"&lt;="&amp;BT$6),0)</f>
        <v>0</v>
      </c>
      <c r="BU231" s="25">
        <f>IF('Lease Cycles'!$C$21&gt;0,COUNTIF('Lease Cycles'!$BG$21:$BM$21,"&lt;="&amp;BU$6),0)</f>
        <v>0</v>
      </c>
      <c r="BV231" s="25">
        <f>IF('Lease Cycles'!$C$21&gt;0,COUNTIF('Lease Cycles'!$BG$21:$BM$21,"&lt;="&amp;BV$6),0)</f>
        <v>0</v>
      </c>
      <c r="BW231" s="25">
        <f>IF('Lease Cycles'!$C$21&gt;0,COUNTIF('Lease Cycles'!$BG$21:$BM$21,"&lt;="&amp;BW$6),0)</f>
        <v>0</v>
      </c>
      <c r="BX231" s="25">
        <f>IF('Lease Cycles'!$C$21&gt;0,COUNTIF('Lease Cycles'!$BG$21:$BM$21,"&lt;="&amp;BX$6),0)</f>
        <v>0</v>
      </c>
      <c r="BY231" s="25">
        <f>IF('Lease Cycles'!$C$21&gt;0,COUNTIF('Lease Cycles'!$BG$21:$BM$21,"&lt;="&amp;BY$6),0)</f>
        <v>0</v>
      </c>
      <c r="BZ231" s="25">
        <f>IF('Lease Cycles'!$C$21&gt;0,COUNTIF('Lease Cycles'!$BG$21:$BM$21,"&lt;="&amp;BZ$6),0)</f>
        <v>0</v>
      </c>
      <c r="CA231" s="25">
        <f>IF('Lease Cycles'!$C$21&gt;0,COUNTIF('Lease Cycles'!$BG$21:$BM$21,"&lt;="&amp;CA$6),0)</f>
        <v>0</v>
      </c>
      <c r="CB231" s="25">
        <f>IF('Lease Cycles'!$C$21&gt;0,COUNTIF('Lease Cycles'!$BG$21:$BM$21,"&lt;="&amp;CB$6),0)</f>
        <v>0</v>
      </c>
      <c r="CC231" s="25">
        <f>IF('Lease Cycles'!$C$21&gt;0,COUNTIF('Lease Cycles'!$BG$21:$BM$21,"&lt;="&amp;CC$6),0)</f>
        <v>0</v>
      </c>
      <c r="CD231" s="25">
        <f>IF('Lease Cycles'!$C$21&gt;0,COUNTIF('Lease Cycles'!$BG$21:$BM$21,"&lt;="&amp;CD$6),0)</f>
        <v>0</v>
      </c>
      <c r="CE231" s="25">
        <f>IF('Lease Cycles'!$C$21&gt;0,COUNTIF('Lease Cycles'!$BG$21:$BM$21,"&lt;="&amp;CE$6),0)</f>
        <v>0</v>
      </c>
      <c r="CF231" s="25">
        <f>IF('Lease Cycles'!$C$21&gt;0,COUNTIF('Lease Cycles'!$BG$21:$BM$21,"&lt;="&amp;CF$6),0)</f>
        <v>0</v>
      </c>
      <c r="CG231" s="25">
        <f>IF('Lease Cycles'!$C$21&gt;0,COUNTIF('Lease Cycles'!$BG$21:$BM$21,"&lt;="&amp;CG$6),0)</f>
        <v>0</v>
      </c>
      <c r="CH231" s="25">
        <f>IF('Lease Cycles'!$C$21&gt;0,COUNTIF('Lease Cycles'!$BG$21:$BM$21,"&lt;="&amp;CH$6),0)</f>
        <v>0</v>
      </c>
      <c r="CI231" s="25">
        <f>IF('Lease Cycles'!$C$21&gt;0,COUNTIF('Lease Cycles'!$BG$21:$BM$21,"&lt;="&amp;CI$6),0)</f>
        <v>0</v>
      </c>
      <c r="CJ231" s="25">
        <f>IF('Lease Cycles'!$C$21&gt;0,COUNTIF('Lease Cycles'!$BG$21:$BM$21,"&lt;="&amp;CJ$6),0)</f>
        <v>0</v>
      </c>
      <c r="CK231" s="25">
        <f>IF('Lease Cycles'!$C$21&gt;0,COUNTIF('Lease Cycles'!$BG$21:$BM$21,"&lt;="&amp;CK$6),0)</f>
        <v>0</v>
      </c>
      <c r="CL231" s="25">
        <f>IF('Lease Cycles'!$C$21&gt;0,COUNTIF('Lease Cycles'!$BG$21:$BM$21,"&lt;="&amp;CL$6),0)</f>
        <v>0</v>
      </c>
      <c r="CM231" s="25">
        <f>IF('Lease Cycles'!$C$21&gt;0,COUNTIF('Lease Cycles'!$BG$21:$BM$21,"&lt;="&amp;CM$6),0)</f>
        <v>0</v>
      </c>
      <c r="CN231" s="25">
        <f>IF('Lease Cycles'!$C$21&gt;0,COUNTIF('Lease Cycles'!$BG$21:$BM$21,"&lt;="&amp;CN$6),0)</f>
        <v>0</v>
      </c>
      <c r="CO231" s="25">
        <f>IF('Lease Cycles'!$C$21&gt;0,COUNTIF('Lease Cycles'!$BG$21:$BM$21,"&lt;="&amp;CO$6),0)</f>
        <v>0</v>
      </c>
      <c r="CP231" s="25">
        <f>IF('Lease Cycles'!$C$21&gt;0,COUNTIF('Lease Cycles'!$BG$21:$BM$21,"&lt;="&amp;CP$6),0)</f>
        <v>0</v>
      </c>
      <c r="CQ231" s="25">
        <f>IF('Lease Cycles'!$C$21&gt;0,COUNTIF('Lease Cycles'!$BG$21:$BM$21,"&lt;="&amp;CQ$6),0)</f>
        <v>0</v>
      </c>
      <c r="CR231" s="25">
        <f>IF('Lease Cycles'!$C$21&gt;0,COUNTIF('Lease Cycles'!$BG$21:$BM$21,"&lt;="&amp;CR$6),0)</f>
        <v>0</v>
      </c>
      <c r="CS231" s="25">
        <f>IF('Lease Cycles'!$C$21&gt;0,COUNTIF('Lease Cycles'!$BG$21:$BM$21,"&lt;="&amp;CS$6),0)</f>
        <v>0</v>
      </c>
      <c r="CT231" s="25">
        <f>IF('Lease Cycles'!$C$21&gt;0,COUNTIF('Lease Cycles'!$BG$21:$BM$21,"&lt;="&amp;CT$6),0)</f>
        <v>0</v>
      </c>
      <c r="CU231" s="25">
        <f>IF('Lease Cycles'!$C$21&gt;0,COUNTIF('Lease Cycles'!$BG$21:$BM$21,"&lt;="&amp;CU$6),0)</f>
        <v>0</v>
      </c>
      <c r="CV231" s="25">
        <f>IF('Lease Cycles'!$C$21&gt;0,COUNTIF('Lease Cycles'!$BG$21:$BM$21,"&lt;="&amp;CV$6),0)</f>
        <v>0</v>
      </c>
      <c r="CW231" s="25">
        <f>IF('Lease Cycles'!$C$21&gt;0,COUNTIF('Lease Cycles'!$BG$21:$BM$21,"&lt;="&amp;CW$6),0)</f>
        <v>0</v>
      </c>
      <c r="CX231" s="25">
        <f>IF('Lease Cycles'!$C$21&gt;0,COUNTIF('Lease Cycles'!$BG$21:$BM$21,"&lt;="&amp;CX$6),0)</f>
        <v>0</v>
      </c>
      <c r="CY231" s="25">
        <f>IF('Lease Cycles'!$C$21&gt;0,COUNTIF('Lease Cycles'!$BG$21:$BM$21,"&lt;="&amp;CY$6),0)</f>
        <v>0</v>
      </c>
      <c r="CZ231" s="25">
        <f>IF('Lease Cycles'!$C$21&gt;0,COUNTIF('Lease Cycles'!$BG$21:$BM$21,"&lt;="&amp;CZ$6),0)</f>
        <v>0</v>
      </c>
      <c r="DA231" s="25">
        <f>IF('Lease Cycles'!$C$21&gt;0,COUNTIF('Lease Cycles'!$BG$21:$BM$21,"&lt;="&amp;DA$6),0)</f>
        <v>0</v>
      </c>
      <c r="DB231" s="25">
        <f>IF('Lease Cycles'!$C$21&gt;0,COUNTIF('Lease Cycles'!$BG$21:$BM$21,"&lt;="&amp;DB$6),0)</f>
        <v>0</v>
      </c>
      <c r="DC231" s="25">
        <f>IF('Lease Cycles'!$C$21&gt;0,COUNTIF('Lease Cycles'!$BG$21:$BM$21,"&lt;="&amp;DC$6),0)</f>
        <v>0</v>
      </c>
      <c r="DD231" s="25">
        <f>IF('Lease Cycles'!$C$21&gt;0,COUNTIF('Lease Cycles'!$BG$21:$BM$21,"&lt;="&amp;DD$6),0)</f>
        <v>0</v>
      </c>
      <c r="DE231" s="25">
        <f>IF('Lease Cycles'!$C$21&gt;0,COUNTIF('Lease Cycles'!$BG$21:$BM$21,"&lt;="&amp;DE$6),0)</f>
        <v>0</v>
      </c>
      <c r="DF231" s="25">
        <f>IF('Lease Cycles'!$C$21&gt;0,COUNTIF('Lease Cycles'!$BG$21:$BM$21,"&lt;="&amp;DF$6),0)</f>
        <v>0</v>
      </c>
      <c r="DG231" s="25">
        <f>IF('Lease Cycles'!$C$21&gt;0,COUNTIF('Lease Cycles'!$BG$21:$BM$21,"&lt;="&amp;DG$6),0)</f>
        <v>0</v>
      </c>
      <c r="DH231" s="25">
        <f>IF('Lease Cycles'!$C$21&gt;0,COUNTIF('Lease Cycles'!$BG$21:$BM$21,"&lt;="&amp;DH$6),0)</f>
        <v>0</v>
      </c>
      <c r="DI231" s="25">
        <f>IF('Lease Cycles'!$C$21&gt;0,COUNTIF('Lease Cycles'!$BG$21:$BM$21,"&lt;="&amp;DI$6),0)</f>
        <v>0</v>
      </c>
      <c r="DJ231" s="25">
        <f>IF('Lease Cycles'!$C$21&gt;0,COUNTIF('Lease Cycles'!$BG$21:$BM$21,"&lt;="&amp;DJ$6),0)</f>
        <v>0</v>
      </c>
      <c r="DK231" s="25">
        <f>IF('Lease Cycles'!$C$21&gt;0,COUNTIF('Lease Cycles'!$BG$21:$BM$21,"&lt;="&amp;DK$6),0)</f>
        <v>0</v>
      </c>
      <c r="DL231" s="25">
        <f>IF('Lease Cycles'!$C$21&gt;0,COUNTIF('Lease Cycles'!$BG$21:$BM$21,"&lt;="&amp;DL$6),0)</f>
        <v>0</v>
      </c>
      <c r="DM231" s="25">
        <f>IF('Lease Cycles'!$C$21&gt;0,COUNTIF('Lease Cycles'!$BG$21:$BM$21,"&lt;="&amp;DM$6),0)</f>
        <v>0</v>
      </c>
      <c r="DN231" s="25">
        <f>IF('Lease Cycles'!$C$21&gt;0,COUNTIF('Lease Cycles'!$BG$21:$BM$21,"&lt;="&amp;DN$6),0)</f>
        <v>0</v>
      </c>
      <c r="DO231" s="25">
        <f>IF('Lease Cycles'!$C$21&gt;0,COUNTIF('Lease Cycles'!$BG$21:$BM$21,"&lt;="&amp;DO$6),0)</f>
        <v>0</v>
      </c>
      <c r="DP231" s="25">
        <f>IF('Lease Cycles'!$C$21&gt;0,COUNTIF('Lease Cycles'!$BG$21:$BM$21,"&lt;="&amp;DP$6),0)</f>
        <v>0</v>
      </c>
      <c r="DQ231" s="25">
        <f>IF('Lease Cycles'!$C$21&gt;0,COUNTIF('Lease Cycles'!$BG$21:$BM$21,"&lt;="&amp;DQ$6),0)</f>
        <v>0</v>
      </c>
      <c r="DR231" s="25">
        <f>IF('Lease Cycles'!$C$21&gt;0,COUNTIF('Lease Cycles'!$BG$21:$BM$21,"&lt;="&amp;DR$6),0)</f>
        <v>0</v>
      </c>
      <c r="DS231" s="25">
        <f>IF('Lease Cycles'!$C$21&gt;0,COUNTIF('Lease Cycles'!$BG$21:$BM$21,"&lt;="&amp;DS$6),0)</f>
        <v>0</v>
      </c>
      <c r="DT231" s="25">
        <f>IF('Lease Cycles'!$C$21&gt;0,COUNTIF('Lease Cycles'!$BG$21:$BM$21,"&lt;="&amp;DT$6),0)</f>
        <v>0</v>
      </c>
      <c r="DU231" s="25">
        <f>IF('Lease Cycles'!$C$21&gt;0,COUNTIF('Lease Cycles'!$BG$21:$BM$21,"&lt;="&amp;DU$6),0)</f>
        <v>0</v>
      </c>
      <c r="DV231" s="25">
        <f>IF('Lease Cycles'!$C$21&gt;0,COUNTIF('Lease Cycles'!$BG$21:$BM$21,"&lt;="&amp;DV$6),0)</f>
        <v>0</v>
      </c>
      <c r="DW231" s="25">
        <f>IF('Lease Cycles'!$C$21&gt;0,COUNTIF('Lease Cycles'!$BG$21:$BM$21,"&lt;="&amp;DW$6),0)</f>
        <v>0</v>
      </c>
      <c r="DX231" s="25">
        <f>IF('Lease Cycles'!$C$21&gt;0,COUNTIF('Lease Cycles'!$BG$21:$BM$21,"&lt;="&amp;DX$6),0)</f>
        <v>0</v>
      </c>
      <c r="DY231" s="25">
        <f>IF('Lease Cycles'!$C$21&gt;0,COUNTIF('Lease Cycles'!$BG$21:$BM$21,"&lt;="&amp;DY$6),0)</f>
        <v>0</v>
      </c>
      <c r="DZ231" s="25">
        <f>IF('Lease Cycles'!$C$21&gt;0,COUNTIF('Lease Cycles'!$BG$21:$BM$21,"&lt;="&amp;DZ$6),0)</f>
        <v>0</v>
      </c>
      <c r="EA231" s="25">
        <f>IF('Lease Cycles'!$C$21&gt;0,COUNTIF('Lease Cycles'!$BG$21:$BM$21,"&lt;="&amp;EA$6),0)</f>
        <v>0</v>
      </c>
      <c r="EB231" s="25">
        <f>IF('Lease Cycles'!$C$21&gt;0,COUNTIF('Lease Cycles'!$BG$21:$BM$21,"&lt;="&amp;EB$6),0)</f>
        <v>0</v>
      </c>
      <c r="EC231" s="25">
        <f>IF('Lease Cycles'!$C$21&gt;0,COUNTIF('Lease Cycles'!$BG$21:$BM$21,"&lt;="&amp;EC$6),0)</f>
        <v>0</v>
      </c>
      <c r="ED231" s="25">
        <f>IF('Lease Cycles'!$C$21&gt;0,COUNTIF('Lease Cycles'!$BG$21:$BM$21,"&lt;="&amp;ED$6),0)</f>
        <v>0</v>
      </c>
      <c r="EE231" s="25">
        <f>IF('Lease Cycles'!$C$21&gt;0,COUNTIF('Lease Cycles'!$BG$21:$BM$21,"&lt;="&amp;EE$6),0)</f>
        <v>0</v>
      </c>
      <c r="EF231" s="25">
        <f>IF('Lease Cycles'!$C$21&gt;0,COUNTIF('Lease Cycles'!$BG$21:$BM$21,"&lt;="&amp;EF$6),0)</f>
        <v>0</v>
      </c>
      <c r="EG231" s="25">
        <f>IF('Lease Cycles'!$C$21&gt;0,COUNTIF('Lease Cycles'!$BG$21:$BM$21,"&lt;="&amp;EG$6),0)</f>
        <v>0</v>
      </c>
      <c r="EH231" s="25">
        <f>IF('Lease Cycles'!$C$21&gt;0,COUNTIF('Lease Cycles'!$BG$21:$BM$21,"&lt;="&amp;EH$6),0)</f>
        <v>0</v>
      </c>
      <c r="EI231" s="25">
        <f>IF('Lease Cycles'!$C$21&gt;0,COUNTIF('Lease Cycles'!$BG$21:$BM$21,"&lt;="&amp;EI$6),0)</f>
        <v>0</v>
      </c>
      <c r="EJ231" s="25">
        <f>IF('Lease Cycles'!$C$21&gt;0,COUNTIF('Lease Cycles'!$BG$21:$BM$21,"&lt;="&amp;EJ$6),0)</f>
        <v>0</v>
      </c>
      <c r="EK231" s="25">
        <f>IF('Lease Cycles'!$C$21&gt;0,COUNTIF('Lease Cycles'!$BG$21:$BM$21,"&lt;="&amp;EK$6),0)</f>
        <v>0</v>
      </c>
      <c r="EL231" s="25">
        <f>IF('Lease Cycles'!$C$21&gt;0,COUNTIF('Lease Cycles'!$BG$21:$BM$21,"&lt;="&amp;EL$6),0)</f>
        <v>0</v>
      </c>
      <c r="EM231" s="25">
        <f>IF('Lease Cycles'!$C$21&gt;0,COUNTIF('Lease Cycles'!$BG$21:$BM$21,"&lt;="&amp;EM$6),0)</f>
        <v>0</v>
      </c>
      <c r="EN231" s="25">
        <f>IF('Lease Cycles'!$C$21&gt;0,COUNTIF('Lease Cycles'!$BG$21:$BM$21,"&lt;="&amp;EN$6),0)</f>
        <v>0</v>
      </c>
      <c r="EO231" s="25">
        <f>IF('Lease Cycles'!$C$21&gt;0,COUNTIF('Lease Cycles'!$BG$21:$BM$21,"&lt;="&amp;EO$6),0)</f>
        <v>0</v>
      </c>
      <c r="EP231" s="25">
        <f>IF('Lease Cycles'!$C$21&gt;0,COUNTIF('Lease Cycles'!$BG$21:$BM$21,"&lt;="&amp;EP$6),0)</f>
        <v>0</v>
      </c>
      <c r="EQ231" s="25">
        <f>IF('Lease Cycles'!$C$21&gt;0,COUNTIF('Lease Cycles'!$BG$21:$BM$21,"&lt;="&amp;EQ$6),0)</f>
        <v>0</v>
      </c>
      <c r="ER231" s="25">
        <f>IF('Lease Cycles'!$C$21&gt;0,COUNTIF('Lease Cycles'!$BG$21:$BM$21,"&lt;="&amp;ER$6),0)</f>
        <v>0</v>
      </c>
      <c r="ES231" s="25">
        <f>IF('Lease Cycles'!$C$21&gt;0,COUNTIF('Lease Cycles'!$BG$21:$BM$21,"&lt;="&amp;ES$6),0)</f>
        <v>0</v>
      </c>
      <c r="ET231" s="25">
        <f>IF('Lease Cycles'!$C$21&gt;0,COUNTIF('Lease Cycles'!$BG$21:$BM$21,"&lt;="&amp;ET$6),0)</f>
        <v>0</v>
      </c>
    </row>
    <row r="232">
      <c r="A232" s="103">
        <v>14</v>
      </c>
      <c r="B232" s="23" t="str">
        <f>IF('Lease Cycles'!$B$21="","(empty slot)",'Lease Cycles'!$B$21)</f>
        <v>(empty slot)</v>
      </c>
      <c r="C232" s="23" t="s">
        <v>673</v>
      </c>
      <c r="D232" s="104" t="s">
        <v>674</v>
      </c>
      <c r="E232" s="25">
        <f>'Lease Cycles'!$AL$21</f>
        <v>0</v>
      </c>
      <c r="S232" s="25">
        <f>IF(S231=0,-1,S$6-INDEX('Lease Cycles'!$BG$21:$BM$21,1,S231))</f>
        <v>-1</v>
      </c>
      <c r="T232" s="25">
        <f>IF(T231=0,-1,T$6-INDEX('Lease Cycles'!$BG$21:$BM$21,1,T231))</f>
        <v>-1</v>
      </c>
      <c r="U232" s="25">
        <f>IF(U231=0,-1,U$6-INDEX('Lease Cycles'!$BG$21:$BM$21,1,U231))</f>
        <v>-1</v>
      </c>
      <c r="V232" s="25">
        <f>IF(V231=0,-1,V$6-INDEX('Lease Cycles'!$BG$21:$BM$21,1,V231))</f>
        <v>-1</v>
      </c>
      <c r="W232" s="25">
        <f>IF(W231=0,-1,W$6-INDEX('Lease Cycles'!$BG$21:$BM$21,1,W231))</f>
        <v>-1</v>
      </c>
      <c r="X232" s="25">
        <f>IF(X231=0,-1,X$6-INDEX('Lease Cycles'!$BG$21:$BM$21,1,X231))</f>
        <v>-1</v>
      </c>
      <c r="Y232" s="25">
        <f>IF(Y231=0,-1,Y$6-INDEX('Lease Cycles'!$BG$21:$BM$21,1,Y231))</f>
        <v>-1</v>
      </c>
      <c r="Z232" s="25">
        <f>IF(Z231=0,-1,Z$6-INDEX('Lease Cycles'!$BG$21:$BM$21,1,Z231))</f>
        <v>-1</v>
      </c>
      <c r="AA232" s="25">
        <f>IF(AA231=0,-1,AA$6-INDEX('Lease Cycles'!$BG$21:$BM$21,1,AA231))</f>
        <v>-1</v>
      </c>
      <c r="AB232" s="25">
        <f>IF(AB231=0,-1,AB$6-INDEX('Lease Cycles'!$BG$21:$BM$21,1,AB231))</f>
        <v>-1</v>
      </c>
      <c r="AC232" s="25">
        <f>IF(AC231=0,-1,AC$6-INDEX('Lease Cycles'!$BG$21:$BM$21,1,AC231))</f>
        <v>-1</v>
      </c>
      <c r="AD232" s="25">
        <f>IF(AD231=0,-1,AD$6-INDEX('Lease Cycles'!$BG$21:$BM$21,1,AD231))</f>
        <v>-1</v>
      </c>
      <c r="AE232" s="25">
        <f>IF(AE231=0,-1,AE$6-INDEX('Lease Cycles'!$BG$21:$BM$21,1,AE231))</f>
        <v>-1</v>
      </c>
      <c r="AF232" s="25">
        <f>IF(AF231=0,-1,AF$6-INDEX('Lease Cycles'!$BG$21:$BM$21,1,AF231))</f>
        <v>-1</v>
      </c>
      <c r="AG232" s="25">
        <f>IF(AG231=0,-1,AG$6-INDEX('Lease Cycles'!$BG$21:$BM$21,1,AG231))</f>
        <v>-1</v>
      </c>
      <c r="AH232" s="25">
        <f>IF(AH231=0,-1,AH$6-INDEX('Lease Cycles'!$BG$21:$BM$21,1,AH231))</f>
        <v>-1</v>
      </c>
      <c r="AI232" s="25">
        <f>IF(AI231=0,-1,AI$6-INDEX('Lease Cycles'!$BG$21:$BM$21,1,AI231))</f>
        <v>-1</v>
      </c>
      <c r="AJ232" s="25">
        <f>IF(AJ231=0,-1,AJ$6-INDEX('Lease Cycles'!$BG$21:$BM$21,1,AJ231))</f>
        <v>-1</v>
      </c>
      <c r="AK232" s="25">
        <f>IF(AK231=0,-1,AK$6-INDEX('Lease Cycles'!$BG$21:$BM$21,1,AK231))</f>
        <v>-1</v>
      </c>
      <c r="AL232" s="25">
        <f>IF(AL231=0,-1,AL$6-INDEX('Lease Cycles'!$BG$21:$BM$21,1,AL231))</f>
        <v>-1</v>
      </c>
      <c r="AM232" s="25">
        <f>IF(AM231=0,-1,AM$6-INDEX('Lease Cycles'!$BG$21:$BM$21,1,AM231))</f>
        <v>-1</v>
      </c>
      <c r="AN232" s="25">
        <f>IF(AN231=0,-1,AN$6-INDEX('Lease Cycles'!$BG$21:$BM$21,1,AN231))</f>
        <v>-1</v>
      </c>
      <c r="AO232" s="25">
        <f>IF(AO231=0,-1,AO$6-INDEX('Lease Cycles'!$BG$21:$BM$21,1,AO231))</f>
        <v>-1</v>
      </c>
      <c r="AP232" s="25">
        <f>IF(AP231=0,-1,AP$6-INDEX('Lease Cycles'!$BG$21:$BM$21,1,AP231))</f>
        <v>-1</v>
      </c>
      <c r="AQ232" s="25">
        <f>IF(AQ231=0,-1,AQ$6-INDEX('Lease Cycles'!$BG$21:$BM$21,1,AQ231))</f>
        <v>-1</v>
      </c>
      <c r="AR232" s="25">
        <f>IF(AR231=0,-1,AR$6-INDEX('Lease Cycles'!$BG$21:$BM$21,1,AR231))</f>
        <v>-1</v>
      </c>
      <c r="AS232" s="25">
        <f>IF(AS231=0,-1,AS$6-INDEX('Lease Cycles'!$BG$21:$BM$21,1,AS231))</f>
        <v>-1</v>
      </c>
      <c r="AT232" s="25">
        <f>IF(AT231=0,-1,AT$6-INDEX('Lease Cycles'!$BG$21:$BM$21,1,AT231))</f>
        <v>-1</v>
      </c>
      <c r="AU232" s="25">
        <f>IF(AU231=0,-1,AU$6-INDEX('Lease Cycles'!$BG$21:$BM$21,1,AU231))</f>
        <v>-1</v>
      </c>
      <c r="AV232" s="25">
        <f>IF(AV231=0,-1,AV$6-INDEX('Lease Cycles'!$BG$21:$BM$21,1,AV231))</f>
        <v>-1</v>
      </c>
      <c r="AW232" s="25">
        <f>IF(AW231=0,-1,AW$6-INDEX('Lease Cycles'!$BG$21:$BM$21,1,AW231))</f>
        <v>-1</v>
      </c>
      <c r="AX232" s="25">
        <f>IF(AX231=0,-1,AX$6-INDEX('Lease Cycles'!$BG$21:$BM$21,1,AX231))</f>
        <v>-1</v>
      </c>
      <c r="AY232" s="25">
        <f>IF(AY231=0,-1,AY$6-INDEX('Lease Cycles'!$BG$21:$BM$21,1,AY231))</f>
        <v>-1</v>
      </c>
      <c r="AZ232" s="25">
        <f>IF(AZ231=0,-1,AZ$6-INDEX('Lease Cycles'!$BG$21:$BM$21,1,AZ231))</f>
        <v>-1</v>
      </c>
      <c r="BA232" s="25">
        <f>IF(BA231=0,-1,BA$6-INDEX('Lease Cycles'!$BG$21:$BM$21,1,BA231))</f>
        <v>-1</v>
      </c>
      <c r="BB232" s="25">
        <f>IF(BB231=0,-1,BB$6-INDEX('Lease Cycles'!$BG$21:$BM$21,1,BB231))</f>
        <v>-1</v>
      </c>
      <c r="BC232" s="25">
        <f>IF(BC231=0,-1,BC$6-INDEX('Lease Cycles'!$BG$21:$BM$21,1,BC231))</f>
        <v>-1</v>
      </c>
      <c r="BD232" s="25">
        <f>IF(BD231=0,-1,BD$6-INDEX('Lease Cycles'!$BG$21:$BM$21,1,BD231))</f>
        <v>-1</v>
      </c>
      <c r="BE232" s="25">
        <f>IF(BE231=0,-1,BE$6-INDEX('Lease Cycles'!$BG$21:$BM$21,1,BE231))</f>
        <v>-1</v>
      </c>
      <c r="BF232" s="25">
        <f>IF(BF231=0,-1,BF$6-INDEX('Lease Cycles'!$BG$21:$BM$21,1,BF231))</f>
        <v>-1</v>
      </c>
      <c r="BG232" s="25">
        <f>IF(BG231=0,-1,BG$6-INDEX('Lease Cycles'!$BG$21:$BM$21,1,BG231))</f>
        <v>-1</v>
      </c>
      <c r="BH232" s="25">
        <f>IF(BH231=0,-1,BH$6-INDEX('Lease Cycles'!$BG$21:$BM$21,1,BH231))</f>
        <v>-1</v>
      </c>
      <c r="BI232" s="25">
        <f>IF(BI231=0,-1,BI$6-INDEX('Lease Cycles'!$BG$21:$BM$21,1,BI231))</f>
        <v>-1</v>
      </c>
      <c r="BJ232" s="25">
        <f>IF(BJ231=0,-1,BJ$6-INDEX('Lease Cycles'!$BG$21:$BM$21,1,BJ231))</f>
        <v>-1</v>
      </c>
      <c r="BK232" s="25">
        <f>IF(BK231=0,-1,BK$6-INDEX('Lease Cycles'!$BG$21:$BM$21,1,BK231))</f>
        <v>-1</v>
      </c>
      <c r="BL232" s="25">
        <f>IF(BL231=0,-1,BL$6-INDEX('Lease Cycles'!$BG$21:$BM$21,1,BL231))</f>
        <v>-1</v>
      </c>
      <c r="BM232" s="25">
        <f>IF(BM231=0,-1,BM$6-INDEX('Lease Cycles'!$BG$21:$BM$21,1,BM231))</f>
        <v>-1</v>
      </c>
      <c r="BN232" s="25">
        <f>IF(BN231=0,-1,BN$6-INDEX('Lease Cycles'!$BG$21:$BM$21,1,BN231))</f>
        <v>-1</v>
      </c>
      <c r="BO232" s="25">
        <f>IF(BO231=0,-1,BO$6-INDEX('Lease Cycles'!$BG$21:$BM$21,1,BO231))</f>
        <v>-1</v>
      </c>
      <c r="BP232" s="25">
        <f>IF(BP231=0,-1,BP$6-INDEX('Lease Cycles'!$BG$21:$BM$21,1,BP231))</f>
        <v>-1</v>
      </c>
      <c r="BQ232" s="25">
        <f>IF(BQ231=0,-1,BQ$6-INDEX('Lease Cycles'!$BG$21:$BM$21,1,BQ231))</f>
        <v>-1</v>
      </c>
      <c r="BR232" s="25">
        <f>IF(BR231=0,-1,BR$6-INDEX('Lease Cycles'!$BG$21:$BM$21,1,BR231))</f>
        <v>-1</v>
      </c>
      <c r="BS232" s="25">
        <f>IF(BS231=0,-1,BS$6-INDEX('Lease Cycles'!$BG$21:$BM$21,1,BS231))</f>
        <v>-1</v>
      </c>
      <c r="BT232" s="25">
        <f>IF(BT231=0,-1,BT$6-INDEX('Lease Cycles'!$BG$21:$BM$21,1,BT231))</f>
        <v>-1</v>
      </c>
      <c r="BU232" s="25">
        <f>IF(BU231=0,-1,BU$6-INDEX('Lease Cycles'!$BG$21:$BM$21,1,BU231))</f>
        <v>-1</v>
      </c>
      <c r="BV232" s="25">
        <f>IF(BV231=0,-1,BV$6-INDEX('Lease Cycles'!$BG$21:$BM$21,1,BV231))</f>
        <v>-1</v>
      </c>
      <c r="BW232" s="25">
        <f>IF(BW231=0,-1,BW$6-INDEX('Lease Cycles'!$BG$21:$BM$21,1,BW231))</f>
        <v>-1</v>
      </c>
      <c r="BX232" s="25">
        <f>IF(BX231=0,-1,BX$6-INDEX('Lease Cycles'!$BG$21:$BM$21,1,BX231))</f>
        <v>-1</v>
      </c>
      <c r="BY232" s="25">
        <f>IF(BY231=0,-1,BY$6-INDEX('Lease Cycles'!$BG$21:$BM$21,1,BY231))</f>
        <v>-1</v>
      </c>
      <c r="BZ232" s="25">
        <f>IF(BZ231=0,-1,BZ$6-INDEX('Lease Cycles'!$BG$21:$BM$21,1,BZ231))</f>
        <v>-1</v>
      </c>
      <c r="CA232" s="25">
        <f>IF(CA231=0,-1,CA$6-INDEX('Lease Cycles'!$BG$21:$BM$21,1,CA231))</f>
        <v>-1</v>
      </c>
      <c r="CB232" s="25">
        <f>IF(CB231=0,-1,CB$6-INDEX('Lease Cycles'!$BG$21:$BM$21,1,CB231))</f>
        <v>-1</v>
      </c>
      <c r="CC232" s="25">
        <f>IF(CC231=0,-1,CC$6-INDEX('Lease Cycles'!$BG$21:$BM$21,1,CC231))</f>
        <v>-1</v>
      </c>
      <c r="CD232" s="25">
        <f>IF(CD231=0,-1,CD$6-INDEX('Lease Cycles'!$BG$21:$BM$21,1,CD231))</f>
        <v>-1</v>
      </c>
      <c r="CE232" s="25">
        <f>IF(CE231=0,-1,CE$6-INDEX('Lease Cycles'!$BG$21:$BM$21,1,CE231))</f>
        <v>-1</v>
      </c>
      <c r="CF232" s="25">
        <f>IF(CF231=0,-1,CF$6-INDEX('Lease Cycles'!$BG$21:$BM$21,1,CF231))</f>
        <v>-1</v>
      </c>
      <c r="CG232" s="25">
        <f>IF(CG231=0,-1,CG$6-INDEX('Lease Cycles'!$BG$21:$BM$21,1,CG231))</f>
        <v>-1</v>
      </c>
      <c r="CH232" s="25">
        <f>IF(CH231=0,-1,CH$6-INDEX('Lease Cycles'!$BG$21:$BM$21,1,CH231))</f>
        <v>-1</v>
      </c>
      <c r="CI232" s="25">
        <f>IF(CI231=0,-1,CI$6-INDEX('Lease Cycles'!$BG$21:$BM$21,1,CI231))</f>
        <v>-1</v>
      </c>
      <c r="CJ232" s="25">
        <f>IF(CJ231=0,-1,CJ$6-INDEX('Lease Cycles'!$BG$21:$BM$21,1,CJ231))</f>
        <v>-1</v>
      </c>
      <c r="CK232" s="25">
        <f>IF(CK231=0,-1,CK$6-INDEX('Lease Cycles'!$BG$21:$BM$21,1,CK231))</f>
        <v>-1</v>
      </c>
      <c r="CL232" s="25">
        <f>IF(CL231=0,-1,CL$6-INDEX('Lease Cycles'!$BG$21:$BM$21,1,CL231))</f>
        <v>-1</v>
      </c>
      <c r="CM232" s="25">
        <f>IF(CM231=0,-1,CM$6-INDEX('Lease Cycles'!$BG$21:$BM$21,1,CM231))</f>
        <v>-1</v>
      </c>
      <c r="CN232" s="25">
        <f>IF(CN231=0,-1,CN$6-INDEX('Lease Cycles'!$BG$21:$BM$21,1,CN231))</f>
        <v>-1</v>
      </c>
      <c r="CO232" s="25">
        <f>IF(CO231=0,-1,CO$6-INDEX('Lease Cycles'!$BG$21:$BM$21,1,CO231))</f>
        <v>-1</v>
      </c>
      <c r="CP232" s="25">
        <f>IF(CP231=0,-1,CP$6-INDEX('Lease Cycles'!$BG$21:$BM$21,1,CP231))</f>
        <v>-1</v>
      </c>
      <c r="CQ232" s="25">
        <f>IF(CQ231=0,-1,CQ$6-INDEX('Lease Cycles'!$BG$21:$BM$21,1,CQ231))</f>
        <v>-1</v>
      </c>
      <c r="CR232" s="25">
        <f>IF(CR231=0,-1,CR$6-INDEX('Lease Cycles'!$BG$21:$BM$21,1,CR231))</f>
        <v>-1</v>
      </c>
      <c r="CS232" s="25">
        <f>IF(CS231=0,-1,CS$6-INDEX('Lease Cycles'!$BG$21:$BM$21,1,CS231))</f>
        <v>-1</v>
      </c>
      <c r="CT232" s="25">
        <f>IF(CT231=0,-1,CT$6-INDEX('Lease Cycles'!$BG$21:$BM$21,1,CT231))</f>
        <v>-1</v>
      </c>
      <c r="CU232" s="25">
        <f>IF(CU231=0,-1,CU$6-INDEX('Lease Cycles'!$BG$21:$BM$21,1,CU231))</f>
        <v>-1</v>
      </c>
      <c r="CV232" s="25">
        <f>IF(CV231=0,-1,CV$6-INDEX('Lease Cycles'!$BG$21:$BM$21,1,CV231))</f>
        <v>-1</v>
      </c>
      <c r="CW232" s="25">
        <f>IF(CW231=0,-1,CW$6-INDEX('Lease Cycles'!$BG$21:$BM$21,1,CW231))</f>
        <v>-1</v>
      </c>
      <c r="CX232" s="25">
        <f>IF(CX231=0,-1,CX$6-INDEX('Lease Cycles'!$BG$21:$BM$21,1,CX231))</f>
        <v>-1</v>
      </c>
      <c r="CY232" s="25">
        <f>IF(CY231=0,-1,CY$6-INDEX('Lease Cycles'!$BG$21:$BM$21,1,CY231))</f>
        <v>-1</v>
      </c>
      <c r="CZ232" s="25">
        <f>IF(CZ231=0,-1,CZ$6-INDEX('Lease Cycles'!$BG$21:$BM$21,1,CZ231))</f>
        <v>-1</v>
      </c>
      <c r="DA232" s="25">
        <f>IF(DA231=0,-1,DA$6-INDEX('Lease Cycles'!$BG$21:$BM$21,1,DA231))</f>
        <v>-1</v>
      </c>
      <c r="DB232" s="25">
        <f>IF(DB231=0,-1,DB$6-INDEX('Lease Cycles'!$BG$21:$BM$21,1,DB231))</f>
        <v>-1</v>
      </c>
      <c r="DC232" s="25">
        <f>IF(DC231=0,-1,DC$6-INDEX('Lease Cycles'!$BG$21:$BM$21,1,DC231))</f>
        <v>-1</v>
      </c>
      <c r="DD232" s="25">
        <f>IF(DD231=0,-1,DD$6-INDEX('Lease Cycles'!$BG$21:$BM$21,1,DD231))</f>
        <v>-1</v>
      </c>
      <c r="DE232" s="25">
        <f>IF(DE231=0,-1,DE$6-INDEX('Lease Cycles'!$BG$21:$BM$21,1,DE231))</f>
        <v>-1</v>
      </c>
      <c r="DF232" s="25">
        <f>IF(DF231=0,-1,DF$6-INDEX('Lease Cycles'!$BG$21:$BM$21,1,DF231))</f>
        <v>-1</v>
      </c>
      <c r="DG232" s="25">
        <f>IF(DG231=0,-1,DG$6-INDEX('Lease Cycles'!$BG$21:$BM$21,1,DG231))</f>
        <v>-1</v>
      </c>
      <c r="DH232" s="25">
        <f>IF(DH231=0,-1,DH$6-INDEX('Lease Cycles'!$BG$21:$BM$21,1,DH231))</f>
        <v>-1</v>
      </c>
      <c r="DI232" s="25">
        <f>IF(DI231=0,-1,DI$6-INDEX('Lease Cycles'!$BG$21:$BM$21,1,DI231))</f>
        <v>-1</v>
      </c>
      <c r="DJ232" s="25">
        <f>IF(DJ231=0,-1,DJ$6-INDEX('Lease Cycles'!$BG$21:$BM$21,1,DJ231))</f>
        <v>-1</v>
      </c>
      <c r="DK232" s="25">
        <f>IF(DK231=0,-1,DK$6-INDEX('Lease Cycles'!$BG$21:$BM$21,1,DK231))</f>
        <v>-1</v>
      </c>
      <c r="DL232" s="25">
        <f>IF(DL231=0,-1,DL$6-INDEX('Lease Cycles'!$BG$21:$BM$21,1,DL231))</f>
        <v>-1</v>
      </c>
      <c r="DM232" s="25">
        <f>IF(DM231=0,-1,DM$6-INDEX('Lease Cycles'!$BG$21:$BM$21,1,DM231))</f>
        <v>-1</v>
      </c>
      <c r="DN232" s="25">
        <f>IF(DN231=0,-1,DN$6-INDEX('Lease Cycles'!$BG$21:$BM$21,1,DN231))</f>
        <v>-1</v>
      </c>
      <c r="DO232" s="25">
        <f>IF(DO231=0,-1,DO$6-INDEX('Lease Cycles'!$BG$21:$BM$21,1,DO231))</f>
        <v>-1</v>
      </c>
      <c r="DP232" s="25">
        <f>IF(DP231=0,-1,DP$6-INDEX('Lease Cycles'!$BG$21:$BM$21,1,DP231))</f>
        <v>-1</v>
      </c>
      <c r="DQ232" s="25">
        <f>IF(DQ231=0,-1,DQ$6-INDEX('Lease Cycles'!$BG$21:$BM$21,1,DQ231))</f>
        <v>-1</v>
      </c>
      <c r="DR232" s="25">
        <f>IF(DR231=0,-1,DR$6-INDEX('Lease Cycles'!$BG$21:$BM$21,1,DR231))</f>
        <v>-1</v>
      </c>
      <c r="DS232" s="25">
        <f>IF(DS231=0,-1,DS$6-INDEX('Lease Cycles'!$BG$21:$BM$21,1,DS231))</f>
        <v>-1</v>
      </c>
      <c r="DT232" s="25">
        <f>IF(DT231=0,-1,DT$6-INDEX('Lease Cycles'!$BG$21:$BM$21,1,DT231))</f>
        <v>-1</v>
      </c>
      <c r="DU232" s="25">
        <f>IF(DU231=0,-1,DU$6-INDEX('Lease Cycles'!$BG$21:$BM$21,1,DU231))</f>
        <v>-1</v>
      </c>
      <c r="DV232" s="25">
        <f>IF(DV231=0,-1,DV$6-INDEX('Lease Cycles'!$BG$21:$BM$21,1,DV231))</f>
        <v>-1</v>
      </c>
      <c r="DW232" s="25">
        <f>IF(DW231=0,-1,DW$6-INDEX('Lease Cycles'!$BG$21:$BM$21,1,DW231))</f>
        <v>-1</v>
      </c>
      <c r="DX232" s="25">
        <f>IF(DX231=0,-1,DX$6-INDEX('Lease Cycles'!$BG$21:$BM$21,1,DX231))</f>
        <v>-1</v>
      </c>
      <c r="DY232" s="25">
        <f>IF(DY231=0,-1,DY$6-INDEX('Lease Cycles'!$BG$21:$BM$21,1,DY231))</f>
        <v>-1</v>
      </c>
      <c r="DZ232" s="25">
        <f>IF(DZ231=0,-1,DZ$6-INDEX('Lease Cycles'!$BG$21:$BM$21,1,DZ231))</f>
        <v>-1</v>
      </c>
      <c r="EA232" s="25">
        <f>IF(EA231=0,-1,EA$6-INDEX('Lease Cycles'!$BG$21:$BM$21,1,EA231))</f>
        <v>-1</v>
      </c>
      <c r="EB232" s="25">
        <f>IF(EB231=0,-1,EB$6-INDEX('Lease Cycles'!$BG$21:$BM$21,1,EB231))</f>
        <v>-1</v>
      </c>
      <c r="EC232" s="25">
        <f>IF(EC231=0,-1,EC$6-INDEX('Lease Cycles'!$BG$21:$BM$21,1,EC231))</f>
        <v>-1</v>
      </c>
      <c r="ED232" s="25">
        <f>IF(ED231=0,-1,ED$6-INDEX('Lease Cycles'!$BG$21:$BM$21,1,ED231))</f>
        <v>-1</v>
      </c>
      <c r="EE232" s="25">
        <f>IF(EE231=0,-1,EE$6-INDEX('Lease Cycles'!$BG$21:$BM$21,1,EE231))</f>
        <v>-1</v>
      </c>
      <c r="EF232" s="25">
        <f>IF(EF231=0,-1,EF$6-INDEX('Lease Cycles'!$BG$21:$BM$21,1,EF231))</f>
        <v>-1</v>
      </c>
      <c r="EG232" s="25">
        <f>IF(EG231=0,-1,EG$6-INDEX('Lease Cycles'!$BG$21:$BM$21,1,EG231))</f>
        <v>-1</v>
      </c>
      <c r="EH232" s="25">
        <f>IF(EH231=0,-1,EH$6-INDEX('Lease Cycles'!$BG$21:$BM$21,1,EH231))</f>
        <v>-1</v>
      </c>
      <c r="EI232" s="25">
        <f>IF(EI231=0,-1,EI$6-INDEX('Lease Cycles'!$BG$21:$BM$21,1,EI231))</f>
        <v>-1</v>
      </c>
      <c r="EJ232" s="25">
        <f>IF(EJ231=0,-1,EJ$6-INDEX('Lease Cycles'!$BG$21:$BM$21,1,EJ231))</f>
        <v>-1</v>
      </c>
      <c r="EK232" s="25">
        <f>IF(EK231=0,-1,EK$6-INDEX('Lease Cycles'!$BG$21:$BM$21,1,EK231))</f>
        <v>-1</v>
      </c>
      <c r="EL232" s="25">
        <f>IF(EL231=0,-1,EL$6-INDEX('Lease Cycles'!$BG$21:$BM$21,1,EL231))</f>
        <v>-1</v>
      </c>
      <c r="EM232" s="25">
        <f>IF(EM231=0,-1,EM$6-INDEX('Lease Cycles'!$BG$21:$BM$21,1,EM231))</f>
        <v>-1</v>
      </c>
      <c r="EN232" s="25">
        <f>IF(EN231=0,-1,EN$6-INDEX('Lease Cycles'!$BG$21:$BM$21,1,EN231))</f>
        <v>-1</v>
      </c>
      <c r="EO232" s="25">
        <f>IF(EO231=0,-1,EO$6-INDEX('Lease Cycles'!$BG$21:$BM$21,1,EO231))</f>
        <v>-1</v>
      </c>
      <c r="EP232" s="25">
        <f>IF(EP231=0,-1,EP$6-INDEX('Lease Cycles'!$BG$21:$BM$21,1,EP231))</f>
        <v>-1</v>
      </c>
      <c r="EQ232" s="25">
        <f>IF(EQ231=0,-1,EQ$6-INDEX('Lease Cycles'!$BG$21:$BM$21,1,EQ231))</f>
        <v>-1</v>
      </c>
      <c r="ER232" s="25">
        <f>IF(ER231=0,-1,ER$6-INDEX('Lease Cycles'!$BG$21:$BM$21,1,ER231))</f>
        <v>-1</v>
      </c>
      <c r="ES232" s="25">
        <f>IF(ES231=0,-1,ES$6-INDEX('Lease Cycles'!$BG$21:$BM$21,1,ES231))</f>
        <v>-1</v>
      </c>
      <c r="ET232" s="25">
        <f>IF(ET231=0,-1,ET$6-INDEX('Lease Cycles'!$BG$21:$BM$21,1,ET231))</f>
        <v>-1</v>
      </c>
    </row>
    <row r="233">
      <c r="A233" s="103">
        <v>14</v>
      </c>
      <c r="B233" s="23" t="str">
        <f>IF('Lease Cycles'!$B$21="","(empty slot)",'Lease Cycles'!$B$21)</f>
        <v>(empty slot)</v>
      </c>
      <c r="C233" s="23" t="s">
        <v>675</v>
      </c>
      <c r="D233" s="104" t="s">
        <v>676</v>
      </c>
      <c r="E233" s="25">
        <f>'Lease Cycles'!$AL$21</f>
        <v>0</v>
      </c>
      <c r="S233" s="25">
        <f>IF(S231=0,0,IF(S232&lt;INDEX('Lease Cycles'!$BN$21:$BT$21,1,S231),1,0))</f>
        <v>0</v>
      </c>
      <c r="T233" s="25">
        <f>IF(T231=0,0,IF(T232&lt;INDEX('Lease Cycles'!$BN$21:$BT$21,1,T231),1,0))</f>
        <v>0</v>
      </c>
      <c r="U233" s="25">
        <f>IF(U231=0,0,IF(U232&lt;INDEX('Lease Cycles'!$BN$21:$BT$21,1,U231),1,0))</f>
        <v>0</v>
      </c>
      <c r="V233" s="25">
        <f>IF(V231=0,0,IF(V232&lt;INDEX('Lease Cycles'!$BN$21:$BT$21,1,V231),1,0))</f>
        <v>0</v>
      </c>
      <c r="W233" s="25">
        <f>IF(W231=0,0,IF(W232&lt;INDEX('Lease Cycles'!$BN$21:$BT$21,1,W231),1,0))</f>
        <v>0</v>
      </c>
      <c r="X233" s="25">
        <f>IF(X231=0,0,IF(X232&lt;INDEX('Lease Cycles'!$BN$21:$BT$21,1,X231),1,0))</f>
        <v>0</v>
      </c>
      <c r="Y233" s="25">
        <f>IF(Y231=0,0,IF(Y232&lt;INDEX('Lease Cycles'!$BN$21:$BT$21,1,Y231),1,0))</f>
        <v>0</v>
      </c>
      <c r="Z233" s="25">
        <f>IF(Z231=0,0,IF(Z232&lt;INDEX('Lease Cycles'!$BN$21:$BT$21,1,Z231),1,0))</f>
        <v>0</v>
      </c>
      <c r="AA233" s="25">
        <f>IF(AA231=0,0,IF(AA232&lt;INDEX('Lease Cycles'!$BN$21:$BT$21,1,AA231),1,0))</f>
        <v>0</v>
      </c>
      <c r="AB233" s="25">
        <f>IF(AB231=0,0,IF(AB232&lt;INDEX('Lease Cycles'!$BN$21:$BT$21,1,AB231),1,0))</f>
        <v>0</v>
      </c>
      <c r="AC233" s="25">
        <f>IF(AC231=0,0,IF(AC232&lt;INDEX('Lease Cycles'!$BN$21:$BT$21,1,AC231),1,0))</f>
        <v>0</v>
      </c>
      <c r="AD233" s="25">
        <f>IF(AD231=0,0,IF(AD232&lt;INDEX('Lease Cycles'!$BN$21:$BT$21,1,AD231),1,0))</f>
        <v>0</v>
      </c>
      <c r="AE233" s="25">
        <f>IF(AE231=0,0,IF(AE232&lt;INDEX('Lease Cycles'!$BN$21:$BT$21,1,AE231),1,0))</f>
        <v>0</v>
      </c>
      <c r="AF233" s="25">
        <f>IF(AF231=0,0,IF(AF232&lt;INDEX('Lease Cycles'!$BN$21:$BT$21,1,AF231),1,0))</f>
        <v>0</v>
      </c>
      <c r="AG233" s="25">
        <f>IF(AG231=0,0,IF(AG232&lt;INDEX('Lease Cycles'!$BN$21:$BT$21,1,AG231),1,0))</f>
        <v>0</v>
      </c>
      <c r="AH233" s="25">
        <f>IF(AH231=0,0,IF(AH232&lt;INDEX('Lease Cycles'!$BN$21:$BT$21,1,AH231),1,0))</f>
        <v>0</v>
      </c>
      <c r="AI233" s="25">
        <f>IF(AI231=0,0,IF(AI232&lt;INDEX('Lease Cycles'!$BN$21:$BT$21,1,AI231),1,0))</f>
        <v>0</v>
      </c>
      <c r="AJ233" s="25">
        <f>IF(AJ231=0,0,IF(AJ232&lt;INDEX('Lease Cycles'!$BN$21:$BT$21,1,AJ231),1,0))</f>
        <v>0</v>
      </c>
      <c r="AK233" s="25">
        <f>IF(AK231=0,0,IF(AK232&lt;INDEX('Lease Cycles'!$BN$21:$BT$21,1,AK231),1,0))</f>
        <v>0</v>
      </c>
      <c r="AL233" s="25">
        <f>IF(AL231=0,0,IF(AL232&lt;INDEX('Lease Cycles'!$BN$21:$BT$21,1,AL231),1,0))</f>
        <v>0</v>
      </c>
      <c r="AM233" s="25">
        <f>IF(AM231=0,0,IF(AM232&lt;INDEX('Lease Cycles'!$BN$21:$BT$21,1,AM231),1,0))</f>
        <v>0</v>
      </c>
      <c r="AN233" s="25">
        <f>IF(AN231=0,0,IF(AN232&lt;INDEX('Lease Cycles'!$BN$21:$BT$21,1,AN231),1,0))</f>
        <v>0</v>
      </c>
      <c r="AO233" s="25">
        <f>IF(AO231=0,0,IF(AO232&lt;INDEX('Lease Cycles'!$BN$21:$BT$21,1,AO231),1,0))</f>
        <v>0</v>
      </c>
      <c r="AP233" s="25">
        <f>IF(AP231=0,0,IF(AP232&lt;INDEX('Lease Cycles'!$BN$21:$BT$21,1,AP231),1,0))</f>
        <v>0</v>
      </c>
      <c r="AQ233" s="25">
        <f>IF(AQ231=0,0,IF(AQ232&lt;INDEX('Lease Cycles'!$BN$21:$BT$21,1,AQ231),1,0))</f>
        <v>0</v>
      </c>
      <c r="AR233" s="25">
        <f>IF(AR231=0,0,IF(AR232&lt;INDEX('Lease Cycles'!$BN$21:$BT$21,1,AR231),1,0))</f>
        <v>0</v>
      </c>
      <c r="AS233" s="25">
        <f>IF(AS231=0,0,IF(AS232&lt;INDEX('Lease Cycles'!$BN$21:$BT$21,1,AS231),1,0))</f>
        <v>0</v>
      </c>
      <c r="AT233" s="25">
        <f>IF(AT231=0,0,IF(AT232&lt;INDEX('Lease Cycles'!$BN$21:$BT$21,1,AT231),1,0))</f>
        <v>0</v>
      </c>
      <c r="AU233" s="25">
        <f>IF(AU231=0,0,IF(AU232&lt;INDEX('Lease Cycles'!$BN$21:$BT$21,1,AU231),1,0))</f>
        <v>0</v>
      </c>
      <c r="AV233" s="25">
        <f>IF(AV231=0,0,IF(AV232&lt;INDEX('Lease Cycles'!$BN$21:$BT$21,1,AV231),1,0))</f>
        <v>0</v>
      </c>
      <c r="AW233" s="25">
        <f>IF(AW231=0,0,IF(AW232&lt;INDEX('Lease Cycles'!$BN$21:$BT$21,1,AW231),1,0))</f>
        <v>0</v>
      </c>
      <c r="AX233" s="25">
        <f>IF(AX231=0,0,IF(AX232&lt;INDEX('Lease Cycles'!$BN$21:$BT$21,1,AX231),1,0))</f>
        <v>0</v>
      </c>
      <c r="AY233" s="25">
        <f>IF(AY231=0,0,IF(AY232&lt;INDEX('Lease Cycles'!$BN$21:$BT$21,1,AY231),1,0))</f>
        <v>0</v>
      </c>
      <c r="AZ233" s="25">
        <f>IF(AZ231=0,0,IF(AZ232&lt;INDEX('Lease Cycles'!$BN$21:$BT$21,1,AZ231),1,0))</f>
        <v>0</v>
      </c>
      <c r="BA233" s="25">
        <f>IF(BA231=0,0,IF(BA232&lt;INDEX('Lease Cycles'!$BN$21:$BT$21,1,BA231),1,0))</f>
        <v>0</v>
      </c>
      <c r="BB233" s="25">
        <f>IF(BB231=0,0,IF(BB232&lt;INDEX('Lease Cycles'!$BN$21:$BT$21,1,BB231),1,0))</f>
        <v>0</v>
      </c>
      <c r="BC233" s="25">
        <f>IF(BC231=0,0,IF(BC232&lt;INDEX('Lease Cycles'!$BN$21:$BT$21,1,BC231),1,0))</f>
        <v>0</v>
      </c>
      <c r="BD233" s="25">
        <f>IF(BD231=0,0,IF(BD232&lt;INDEX('Lease Cycles'!$BN$21:$BT$21,1,BD231),1,0))</f>
        <v>0</v>
      </c>
      <c r="BE233" s="25">
        <f>IF(BE231=0,0,IF(BE232&lt;INDEX('Lease Cycles'!$BN$21:$BT$21,1,BE231),1,0))</f>
        <v>0</v>
      </c>
      <c r="BF233" s="25">
        <f>IF(BF231=0,0,IF(BF232&lt;INDEX('Lease Cycles'!$BN$21:$BT$21,1,BF231),1,0))</f>
        <v>0</v>
      </c>
      <c r="BG233" s="25">
        <f>IF(BG231=0,0,IF(BG232&lt;INDEX('Lease Cycles'!$BN$21:$BT$21,1,BG231),1,0))</f>
        <v>0</v>
      </c>
      <c r="BH233" s="25">
        <f>IF(BH231=0,0,IF(BH232&lt;INDEX('Lease Cycles'!$BN$21:$BT$21,1,BH231),1,0))</f>
        <v>0</v>
      </c>
      <c r="BI233" s="25">
        <f>IF(BI231=0,0,IF(BI232&lt;INDEX('Lease Cycles'!$BN$21:$BT$21,1,BI231),1,0))</f>
        <v>0</v>
      </c>
      <c r="BJ233" s="25">
        <f>IF(BJ231=0,0,IF(BJ232&lt;INDEX('Lease Cycles'!$BN$21:$BT$21,1,BJ231),1,0))</f>
        <v>0</v>
      </c>
      <c r="BK233" s="25">
        <f>IF(BK231=0,0,IF(BK232&lt;INDEX('Lease Cycles'!$BN$21:$BT$21,1,BK231),1,0))</f>
        <v>0</v>
      </c>
      <c r="BL233" s="25">
        <f>IF(BL231=0,0,IF(BL232&lt;INDEX('Lease Cycles'!$BN$21:$BT$21,1,BL231),1,0))</f>
        <v>0</v>
      </c>
      <c r="BM233" s="25">
        <f>IF(BM231=0,0,IF(BM232&lt;INDEX('Lease Cycles'!$BN$21:$BT$21,1,BM231),1,0))</f>
        <v>0</v>
      </c>
      <c r="BN233" s="25">
        <f>IF(BN231=0,0,IF(BN232&lt;INDEX('Lease Cycles'!$BN$21:$BT$21,1,BN231),1,0))</f>
        <v>0</v>
      </c>
      <c r="BO233" s="25">
        <f>IF(BO231=0,0,IF(BO232&lt;INDEX('Lease Cycles'!$BN$21:$BT$21,1,BO231),1,0))</f>
        <v>0</v>
      </c>
      <c r="BP233" s="25">
        <f>IF(BP231=0,0,IF(BP232&lt;INDEX('Lease Cycles'!$BN$21:$BT$21,1,BP231),1,0))</f>
        <v>0</v>
      </c>
      <c r="BQ233" s="25">
        <f>IF(BQ231=0,0,IF(BQ232&lt;INDEX('Lease Cycles'!$BN$21:$BT$21,1,BQ231),1,0))</f>
        <v>0</v>
      </c>
      <c r="BR233" s="25">
        <f>IF(BR231=0,0,IF(BR232&lt;INDEX('Lease Cycles'!$BN$21:$BT$21,1,BR231),1,0))</f>
        <v>0</v>
      </c>
      <c r="BS233" s="25">
        <f>IF(BS231=0,0,IF(BS232&lt;INDEX('Lease Cycles'!$BN$21:$BT$21,1,BS231),1,0))</f>
        <v>0</v>
      </c>
      <c r="BT233" s="25">
        <f>IF(BT231=0,0,IF(BT232&lt;INDEX('Lease Cycles'!$BN$21:$BT$21,1,BT231),1,0))</f>
        <v>0</v>
      </c>
      <c r="BU233" s="25">
        <f>IF(BU231=0,0,IF(BU232&lt;INDEX('Lease Cycles'!$BN$21:$BT$21,1,BU231),1,0))</f>
        <v>0</v>
      </c>
      <c r="BV233" s="25">
        <f>IF(BV231=0,0,IF(BV232&lt;INDEX('Lease Cycles'!$BN$21:$BT$21,1,BV231),1,0))</f>
        <v>0</v>
      </c>
      <c r="BW233" s="25">
        <f>IF(BW231=0,0,IF(BW232&lt;INDEX('Lease Cycles'!$BN$21:$BT$21,1,BW231),1,0))</f>
        <v>0</v>
      </c>
      <c r="BX233" s="25">
        <f>IF(BX231=0,0,IF(BX232&lt;INDEX('Lease Cycles'!$BN$21:$BT$21,1,BX231),1,0))</f>
        <v>0</v>
      </c>
      <c r="BY233" s="25">
        <f>IF(BY231=0,0,IF(BY232&lt;INDEX('Lease Cycles'!$BN$21:$BT$21,1,BY231),1,0))</f>
        <v>0</v>
      </c>
      <c r="BZ233" s="25">
        <f>IF(BZ231=0,0,IF(BZ232&lt;INDEX('Lease Cycles'!$BN$21:$BT$21,1,BZ231),1,0))</f>
        <v>0</v>
      </c>
      <c r="CA233" s="25">
        <f>IF(CA231=0,0,IF(CA232&lt;INDEX('Lease Cycles'!$BN$21:$BT$21,1,CA231),1,0))</f>
        <v>0</v>
      </c>
      <c r="CB233" s="25">
        <f>IF(CB231=0,0,IF(CB232&lt;INDEX('Lease Cycles'!$BN$21:$BT$21,1,CB231),1,0))</f>
        <v>0</v>
      </c>
      <c r="CC233" s="25">
        <f>IF(CC231=0,0,IF(CC232&lt;INDEX('Lease Cycles'!$BN$21:$BT$21,1,CC231),1,0))</f>
        <v>0</v>
      </c>
      <c r="CD233" s="25">
        <f>IF(CD231=0,0,IF(CD232&lt;INDEX('Lease Cycles'!$BN$21:$BT$21,1,CD231),1,0))</f>
        <v>0</v>
      </c>
      <c r="CE233" s="25">
        <f>IF(CE231=0,0,IF(CE232&lt;INDEX('Lease Cycles'!$BN$21:$BT$21,1,CE231),1,0))</f>
        <v>0</v>
      </c>
      <c r="CF233" s="25">
        <f>IF(CF231=0,0,IF(CF232&lt;INDEX('Lease Cycles'!$BN$21:$BT$21,1,CF231),1,0))</f>
        <v>0</v>
      </c>
      <c r="CG233" s="25">
        <f>IF(CG231=0,0,IF(CG232&lt;INDEX('Lease Cycles'!$BN$21:$BT$21,1,CG231),1,0))</f>
        <v>0</v>
      </c>
      <c r="CH233" s="25">
        <f>IF(CH231=0,0,IF(CH232&lt;INDEX('Lease Cycles'!$BN$21:$BT$21,1,CH231),1,0))</f>
        <v>0</v>
      </c>
      <c r="CI233" s="25">
        <f>IF(CI231=0,0,IF(CI232&lt;INDEX('Lease Cycles'!$BN$21:$BT$21,1,CI231),1,0))</f>
        <v>0</v>
      </c>
      <c r="CJ233" s="25">
        <f>IF(CJ231=0,0,IF(CJ232&lt;INDEX('Lease Cycles'!$BN$21:$BT$21,1,CJ231),1,0))</f>
        <v>0</v>
      </c>
      <c r="CK233" s="25">
        <f>IF(CK231=0,0,IF(CK232&lt;INDEX('Lease Cycles'!$BN$21:$BT$21,1,CK231),1,0))</f>
        <v>0</v>
      </c>
      <c r="CL233" s="25">
        <f>IF(CL231=0,0,IF(CL232&lt;INDEX('Lease Cycles'!$BN$21:$BT$21,1,CL231),1,0))</f>
        <v>0</v>
      </c>
      <c r="CM233" s="25">
        <f>IF(CM231=0,0,IF(CM232&lt;INDEX('Lease Cycles'!$BN$21:$BT$21,1,CM231),1,0))</f>
        <v>0</v>
      </c>
      <c r="CN233" s="25">
        <f>IF(CN231=0,0,IF(CN232&lt;INDEX('Lease Cycles'!$BN$21:$BT$21,1,CN231),1,0))</f>
        <v>0</v>
      </c>
      <c r="CO233" s="25">
        <f>IF(CO231=0,0,IF(CO232&lt;INDEX('Lease Cycles'!$BN$21:$BT$21,1,CO231),1,0))</f>
        <v>0</v>
      </c>
      <c r="CP233" s="25">
        <f>IF(CP231=0,0,IF(CP232&lt;INDEX('Lease Cycles'!$BN$21:$BT$21,1,CP231),1,0))</f>
        <v>0</v>
      </c>
      <c r="CQ233" s="25">
        <f>IF(CQ231=0,0,IF(CQ232&lt;INDEX('Lease Cycles'!$BN$21:$BT$21,1,CQ231),1,0))</f>
        <v>0</v>
      </c>
      <c r="CR233" s="25">
        <f>IF(CR231=0,0,IF(CR232&lt;INDEX('Lease Cycles'!$BN$21:$BT$21,1,CR231),1,0))</f>
        <v>0</v>
      </c>
      <c r="CS233" s="25">
        <f>IF(CS231=0,0,IF(CS232&lt;INDEX('Lease Cycles'!$BN$21:$BT$21,1,CS231),1,0))</f>
        <v>0</v>
      </c>
      <c r="CT233" s="25">
        <f>IF(CT231=0,0,IF(CT232&lt;INDEX('Lease Cycles'!$BN$21:$BT$21,1,CT231),1,0))</f>
        <v>0</v>
      </c>
      <c r="CU233" s="25">
        <f>IF(CU231=0,0,IF(CU232&lt;INDEX('Lease Cycles'!$BN$21:$BT$21,1,CU231),1,0))</f>
        <v>0</v>
      </c>
      <c r="CV233" s="25">
        <f>IF(CV231=0,0,IF(CV232&lt;INDEX('Lease Cycles'!$BN$21:$BT$21,1,CV231),1,0))</f>
        <v>0</v>
      </c>
      <c r="CW233" s="25">
        <f>IF(CW231=0,0,IF(CW232&lt;INDEX('Lease Cycles'!$BN$21:$BT$21,1,CW231),1,0))</f>
        <v>0</v>
      </c>
      <c r="CX233" s="25">
        <f>IF(CX231=0,0,IF(CX232&lt;INDEX('Lease Cycles'!$BN$21:$BT$21,1,CX231),1,0))</f>
        <v>0</v>
      </c>
      <c r="CY233" s="25">
        <f>IF(CY231=0,0,IF(CY232&lt;INDEX('Lease Cycles'!$BN$21:$BT$21,1,CY231),1,0))</f>
        <v>0</v>
      </c>
      <c r="CZ233" s="25">
        <f>IF(CZ231=0,0,IF(CZ232&lt;INDEX('Lease Cycles'!$BN$21:$BT$21,1,CZ231),1,0))</f>
        <v>0</v>
      </c>
      <c r="DA233" s="25">
        <f>IF(DA231=0,0,IF(DA232&lt;INDEX('Lease Cycles'!$BN$21:$BT$21,1,DA231),1,0))</f>
        <v>0</v>
      </c>
      <c r="DB233" s="25">
        <f>IF(DB231=0,0,IF(DB232&lt;INDEX('Lease Cycles'!$BN$21:$BT$21,1,DB231),1,0))</f>
        <v>0</v>
      </c>
      <c r="DC233" s="25">
        <f>IF(DC231=0,0,IF(DC232&lt;INDEX('Lease Cycles'!$BN$21:$BT$21,1,DC231),1,0))</f>
        <v>0</v>
      </c>
      <c r="DD233" s="25">
        <f>IF(DD231=0,0,IF(DD232&lt;INDEX('Lease Cycles'!$BN$21:$BT$21,1,DD231),1,0))</f>
        <v>0</v>
      </c>
      <c r="DE233" s="25">
        <f>IF(DE231=0,0,IF(DE232&lt;INDEX('Lease Cycles'!$BN$21:$BT$21,1,DE231),1,0))</f>
        <v>0</v>
      </c>
      <c r="DF233" s="25">
        <f>IF(DF231=0,0,IF(DF232&lt;INDEX('Lease Cycles'!$BN$21:$BT$21,1,DF231),1,0))</f>
        <v>0</v>
      </c>
      <c r="DG233" s="25">
        <f>IF(DG231=0,0,IF(DG232&lt;INDEX('Lease Cycles'!$BN$21:$BT$21,1,DG231),1,0))</f>
        <v>0</v>
      </c>
      <c r="DH233" s="25">
        <f>IF(DH231=0,0,IF(DH232&lt;INDEX('Lease Cycles'!$BN$21:$BT$21,1,DH231),1,0))</f>
        <v>0</v>
      </c>
      <c r="DI233" s="25">
        <f>IF(DI231=0,0,IF(DI232&lt;INDEX('Lease Cycles'!$BN$21:$BT$21,1,DI231),1,0))</f>
        <v>0</v>
      </c>
      <c r="DJ233" s="25">
        <f>IF(DJ231=0,0,IF(DJ232&lt;INDEX('Lease Cycles'!$BN$21:$BT$21,1,DJ231),1,0))</f>
        <v>0</v>
      </c>
      <c r="DK233" s="25">
        <f>IF(DK231=0,0,IF(DK232&lt;INDEX('Lease Cycles'!$BN$21:$BT$21,1,DK231),1,0))</f>
        <v>0</v>
      </c>
      <c r="DL233" s="25">
        <f>IF(DL231=0,0,IF(DL232&lt;INDEX('Lease Cycles'!$BN$21:$BT$21,1,DL231),1,0))</f>
        <v>0</v>
      </c>
      <c r="DM233" s="25">
        <f>IF(DM231=0,0,IF(DM232&lt;INDEX('Lease Cycles'!$BN$21:$BT$21,1,DM231),1,0))</f>
        <v>0</v>
      </c>
      <c r="DN233" s="25">
        <f>IF(DN231=0,0,IF(DN232&lt;INDEX('Lease Cycles'!$BN$21:$BT$21,1,DN231),1,0))</f>
        <v>0</v>
      </c>
      <c r="DO233" s="25">
        <f>IF(DO231=0,0,IF(DO232&lt;INDEX('Lease Cycles'!$BN$21:$BT$21,1,DO231),1,0))</f>
        <v>0</v>
      </c>
      <c r="DP233" s="25">
        <f>IF(DP231=0,0,IF(DP232&lt;INDEX('Lease Cycles'!$BN$21:$BT$21,1,DP231),1,0))</f>
        <v>0</v>
      </c>
      <c r="DQ233" s="25">
        <f>IF(DQ231=0,0,IF(DQ232&lt;INDEX('Lease Cycles'!$BN$21:$BT$21,1,DQ231),1,0))</f>
        <v>0</v>
      </c>
      <c r="DR233" s="25">
        <f>IF(DR231=0,0,IF(DR232&lt;INDEX('Lease Cycles'!$BN$21:$BT$21,1,DR231),1,0))</f>
        <v>0</v>
      </c>
      <c r="DS233" s="25">
        <f>IF(DS231=0,0,IF(DS232&lt;INDEX('Lease Cycles'!$BN$21:$BT$21,1,DS231),1,0))</f>
        <v>0</v>
      </c>
      <c r="DT233" s="25">
        <f>IF(DT231=0,0,IF(DT232&lt;INDEX('Lease Cycles'!$BN$21:$BT$21,1,DT231),1,0))</f>
        <v>0</v>
      </c>
      <c r="DU233" s="25">
        <f>IF(DU231=0,0,IF(DU232&lt;INDEX('Lease Cycles'!$BN$21:$BT$21,1,DU231),1,0))</f>
        <v>0</v>
      </c>
      <c r="DV233" s="25">
        <f>IF(DV231=0,0,IF(DV232&lt;INDEX('Lease Cycles'!$BN$21:$BT$21,1,DV231),1,0))</f>
        <v>0</v>
      </c>
      <c r="DW233" s="25">
        <f>IF(DW231=0,0,IF(DW232&lt;INDEX('Lease Cycles'!$BN$21:$BT$21,1,DW231),1,0))</f>
        <v>0</v>
      </c>
      <c r="DX233" s="25">
        <f>IF(DX231=0,0,IF(DX232&lt;INDEX('Lease Cycles'!$BN$21:$BT$21,1,DX231),1,0))</f>
        <v>0</v>
      </c>
      <c r="DY233" s="25">
        <f>IF(DY231=0,0,IF(DY232&lt;INDEX('Lease Cycles'!$BN$21:$BT$21,1,DY231),1,0))</f>
        <v>0</v>
      </c>
      <c r="DZ233" s="25">
        <f>IF(DZ231=0,0,IF(DZ232&lt;INDEX('Lease Cycles'!$BN$21:$BT$21,1,DZ231),1,0))</f>
        <v>0</v>
      </c>
      <c r="EA233" s="25">
        <f>IF(EA231=0,0,IF(EA232&lt;INDEX('Lease Cycles'!$BN$21:$BT$21,1,EA231),1,0))</f>
        <v>0</v>
      </c>
      <c r="EB233" s="25">
        <f>IF(EB231=0,0,IF(EB232&lt;INDEX('Lease Cycles'!$BN$21:$BT$21,1,EB231),1,0))</f>
        <v>0</v>
      </c>
      <c r="EC233" s="25">
        <f>IF(EC231=0,0,IF(EC232&lt;INDEX('Lease Cycles'!$BN$21:$BT$21,1,EC231),1,0))</f>
        <v>0</v>
      </c>
      <c r="ED233" s="25">
        <f>IF(ED231=0,0,IF(ED232&lt;INDEX('Lease Cycles'!$BN$21:$BT$21,1,ED231),1,0))</f>
        <v>0</v>
      </c>
      <c r="EE233" s="25">
        <f>IF(EE231=0,0,IF(EE232&lt;INDEX('Lease Cycles'!$BN$21:$BT$21,1,EE231),1,0))</f>
        <v>0</v>
      </c>
      <c r="EF233" s="25">
        <f>IF(EF231=0,0,IF(EF232&lt;INDEX('Lease Cycles'!$BN$21:$BT$21,1,EF231),1,0))</f>
        <v>0</v>
      </c>
      <c r="EG233" s="25">
        <f>IF(EG231=0,0,IF(EG232&lt;INDEX('Lease Cycles'!$BN$21:$BT$21,1,EG231),1,0))</f>
        <v>0</v>
      </c>
      <c r="EH233" s="25">
        <f>IF(EH231=0,0,IF(EH232&lt;INDEX('Lease Cycles'!$BN$21:$BT$21,1,EH231),1,0))</f>
        <v>0</v>
      </c>
      <c r="EI233" s="25">
        <f>IF(EI231=0,0,IF(EI232&lt;INDEX('Lease Cycles'!$BN$21:$BT$21,1,EI231),1,0))</f>
        <v>0</v>
      </c>
      <c r="EJ233" s="25">
        <f>IF(EJ231=0,0,IF(EJ232&lt;INDEX('Lease Cycles'!$BN$21:$BT$21,1,EJ231),1,0))</f>
        <v>0</v>
      </c>
      <c r="EK233" s="25">
        <f>IF(EK231=0,0,IF(EK232&lt;INDEX('Lease Cycles'!$BN$21:$BT$21,1,EK231),1,0))</f>
        <v>0</v>
      </c>
      <c r="EL233" s="25">
        <f>IF(EL231=0,0,IF(EL232&lt;INDEX('Lease Cycles'!$BN$21:$BT$21,1,EL231),1,0))</f>
        <v>0</v>
      </c>
      <c r="EM233" s="25">
        <f>IF(EM231=0,0,IF(EM232&lt;INDEX('Lease Cycles'!$BN$21:$BT$21,1,EM231),1,0))</f>
        <v>0</v>
      </c>
      <c r="EN233" s="25">
        <f>IF(EN231=0,0,IF(EN232&lt;INDEX('Lease Cycles'!$BN$21:$BT$21,1,EN231),1,0))</f>
        <v>0</v>
      </c>
      <c r="EO233" s="25">
        <f>IF(EO231=0,0,IF(EO232&lt;INDEX('Lease Cycles'!$BN$21:$BT$21,1,EO231),1,0))</f>
        <v>0</v>
      </c>
      <c r="EP233" s="25">
        <f>IF(EP231=0,0,IF(EP232&lt;INDEX('Lease Cycles'!$BN$21:$BT$21,1,EP231),1,0))</f>
        <v>0</v>
      </c>
      <c r="EQ233" s="25">
        <f>IF(EQ231=0,0,IF(EQ232&lt;INDEX('Lease Cycles'!$BN$21:$BT$21,1,EQ231),1,0))</f>
        <v>0</v>
      </c>
      <c r="ER233" s="25">
        <f>IF(ER231=0,0,IF(ER232&lt;INDEX('Lease Cycles'!$BN$21:$BT$21,1,ER231),1,0))</f>
        <v>0</v>
      </c>
      <c r="ES233" s="25">
        <f>IF(ES231=0,0,IF(ES232&lt;INDEX('Lease Cycles'!$BN$21:$BT$21,1,ES231),1,0))</f>
        <v>0</v>
      </c>
      <c r="ET233" s="25">
        <f>IF(ET231=0,0,IF(ET232&lt;INDEX('Lease Cycles'!$BN$21:$BT$21,1,ET231),1,0))</f>
        <v>0</v>
      </c>
    </row>
    <row r="234">
      <c r="A234" s="103">
        <v>14</v>
      </c>
      <c r="B234" s="23" t="str">
        <f>IF('Lease Cycles'!$B$21="","(empty slot)",'Lease Cycles'!$B$21)</f>
        <v>(empty slot)</v>
      </c>
      <c r="C234" s="23" t="s">
        <v>677</v>
      </c>
      <c r="D234" s="104" t="s">
        <v>678</v>
      </c>
      <c r="E234" s="25">
        <f>'Lease Cycles'!$AL$21</f>
        <v>0</v>
      </c>
      <c r="S234" s="28">
        <f>IF(S231=0,IF('Lease Cycles'!$F$21&gt;0,'Lease Cycles'!$C$21*'Lease Cycles'!$E$21/12,0),IF(S233=1,IF('Lease Cycles'!$AT$21&gt;=9999,'Lease Cycles'!$C$21*INDEX('Lease Cycles'!$CB$21:$CH$21,1,S231)*(1+INDEX('Lease Cycles'!$CI$21:$CO$21,1,S231))^INT(INT(S232/12)/INDEX('Lease Cycles'!$CP$21:$CV$21,1,S231))/12,IF(S231=1,IF(S232&gt;=INDEX('Lease Cycles'!$DK$21:$DQ$21,1,S231),IF(S$6&gt;='Lease Cycles'!$AZ$21,'Lease Cycles'!$C$21*'Lease Cycles'!$BA$21/12,IF(S$6&gt;='Lease Cycles'!$AX$21,'Lease Cycles'!$C$21*'Lease Cycles'!$AY$21/12,IF(S$6&gt;='Lease Cycles'!$AV$21,'Lease Cycles'!$C$21*'Lease Cycles'!$AW$21/12,IF(S$6&gt;='Lease Cycles'!$AT$21,'Lease Cycles'!$C$21*'Lease Cycles'!$AU$21/12,'Lease Cycles'!$C$21*INDEX('Lease Cycles'!$CB$21:$CH$21,1,S231)*(1+INDEX('Lease Cycles'!$CI$21:$CO$21,1,S231))^INT(INT(S232/12)/INDEX('Lease Cycles'!$CP$21:$CV$21,1,S231))/12)))),'Lease Cycles'!$C$21*INDEX('Lease Cycles'!$CB$21:$CH$21,1,S231)*(1+INDEX('Lease Cycles'!$CI$21:$CO$21,1,S231))^INT(INT(S232/12)/INDEX('Lease Cycles'!$CP$21:$CV$21,1,S231))/12),IF(INDEX('Lease Cycles'!$EF$21:$EL$21,1,S231)=1,IF(AND('Lease Cycles'!$AZ$21&gt;=INDEX('Lease Cycles'!$BG$21:$BM$21,1,S231),'Lease Cycles'!$AZ$21&lt;=S$6),'Lease Cycles'!$C$21*'Lease Cycles'!$BA$21/12,IF(AND('Lease Cycles'!$AX$21&gt;=INDEX('Lease Cycles'!$BG$21:$BM$21,1,S231),'Lease Cycles'!$AX$21&lt;=S$6),'Lease Cycles'!$C$21*'Lease Cycles'!$AY$21/12,IF(AND('Lease Cycles'!$AV$21&gt;=INDEX('Lease Cycles'!$BG$21:$BM$21,1,S231),'Lease Cycles'!$AV$21&lt;=S$6),'Lease Cycles'!$C$21*'Lease Cycles'!$AW$21/12,IF(AND('Lease Cycles'!$AT$21&gt;=INDEX('Lease Cycles'!$BG$21:$BM$21,1,S231),'Lease Cycles'!$AT$21&lt;=S$6),'Lease Cycles'!$C$21*'Lease Cycles'!$AU$21/12,'Lease Cycles'!$C$21*INDEX('Lease Cycles'!$CB$21:$CH$21,1,S231)*(1+INDEX('Lease Cycles'!$CI$21:$CO$21,1,S231))^INT(INT(S232/12)/INDEX('Lease Cycles'!$CP$21:$CV$21,1,S231))/12)))),'Lease Cycles'!$C$21*INDEX('Lease Cycles'!$CB$21:$CH$21,1,S231)*(1+INDEX('Lease Cycles'!$CI$21:$CO$21,1,S231))^INT(INT(S232/12)/INDEX('Lease Cycles'!$CP$21:$CV$21,1,S231))/12))),IF('Lease Cycles'!$N$21=1,'Lease Cycles'!$C$21*'Lease Cycles'!$E$21*INDEX('Lease Cycles'!$HE$21:$HK$21,1,S231)*(1+INDEX('Lease Cycles'!$GQ$21:$GW$21,1,S231))^INT(INT((S$6-INDEX('Lease Cycles'!$GJ$21:$GP$21,1,S231))/12)/INDEX('Lease Cycles'!$GX$21:$HD$21,1,S231))/12,0)))</f>
        <v>0</v>
      </c>
      <c r="T234" s="28">
        <f>IF(T231=0,IF('Lease Cycles'!$F$21&gt;0,'Lease Cycles'!$C$21*'Lease Cycles'!$E$21/12,0),IF(T233=1,IF('Lease Cycles'!$AT$21&gt;=9999,'Lease Cycles'!$C$21*INDEX('Lease Cycles'!$CB$21:$CH$21,1,T231)*(1+INDEX('Lease Cycles'!$CI$21:$CO$21,1,T231))^INT(INT(T232/12)/INDEX('Lease Cycles'!$CP$21:$CV$21,1,T231))/12,IF(T231=1,IF(T232&gt;=INDEX('Lease Cycles'!$DK$21:$DQ$21,1,T231),IF(T$6&gt;='Lease Cycles'!$AZ$21,'Lease Cycles'!$C$21*'Lease Cycles'!$BA$21/12,IF(T$6&gt;='Lease Cycles'!$AX$21,'Lease Cycles'!$C$21*'Lease Cycles'!$AY$21/12,IF(T$6&gt;='Lease Cycles'!$AV$21,'Lease Cycles'!$C$21*'Lease Cycles'!$AW$21/12,IF(T$6&gt;='Lease Cycles'!$AT$21,'Lease Cycles'!$C$21*'Lease Cycles'!$AU$21/12,'Lease Cycles'!$C$21*INDEX('Lease Cycles'!$CB$21:$CH$21,1,T231)*(1+INDEX('Lease Cycles'!$CI$21:$CO$21,1,T231))^INT(INT(T232/12)/INDEX('Lease Cycles'!$CP$21:$CV$21,1,T231))/12)))),'Lease Cycles'!$C$21*INDEX('Lease Cycles'!$CB$21:$CH$21,1,T231)*(1+INDEX('Lease Cycles'!$CI$21:$CO$21,1,T231))^INT(INT(T232/12)/INDEX('Lease Cycles'!$CP$21:$CV$21,1,T231))/12),IF(INDEX('Lease Cycles'!$EF$21:$EL$21,1,T231)=1,IF(AND('Lease Cycles'!$AZ$21&gt;=INDEX('Lease Cycles'!$BG$21:$BM$21,1,T231),'Lease Cycles'!$AZ$21&lt;=T$6),'Lease Cycles'!$C$21*'Lease Cycles'!$BA$21/12,IF(AND('Lease Cycles'!$AX$21&gt;=INDEX('Lease Cycles'!$BG$21:$BM$21,1,T231),'Lease Cycles'!$AX$21&lt;=T$6),'Lease Cycles'!$C$21*'Lease Cycles'!$AY$21/12,IF(AND('Lease Cycles'!$AV$21&gt;=INDEX('Lease Cycles'!$BG$21:$BM$21,1,T231),'Lease Cycles'!$AV$21&lt;=T$6),'Lease Cycles'!$C$21*'Lease Cycles'!$AW$21/12,IF(AND('Lease Cycles'!$AT$21&gt;=INDEX('Lease Cycles'!$BG$21:$BM$21,1,T231),'Lease Cycles'!$AT$21&lt;=T$6),'Lease Cycles'!$C$21*'Lease Cycles'!$AU$21/12,'Lease Cycles'!$C$21*INDEX('Lease Cycles'!$CB$21:$CH$21,1,T231)*(1+INDEX('Lease Cycles'!$CI$21:$CO$21,1,T231))^INT(INT(T232/12)/INDEX('Lease Cycles'!$CP$21:$CV$21,1,T231))/12)))),'Lease Cycles'!$C$21*INDEX('Lease Cycles'!$CB$21:$CH$21,1,T231)*(1+INDEX('Lease Cycles'!$CI$21:$CO$21,1,T231))^INT(INT(T232/12)/INDEX('Lease Cycles'!$CP$21:$CV$21,1,T231))/12))),IF('Lease Cycles'!$N$21=1,'Lease Cycles'!$C$21*'Lease Cycles'!$E$21*INDEX('Lease Cycles'!$HE$21:$HK$21,1,T231)*(1+INDEX('Lease Cycles'!$GQ$21:$GW$21,1,T231))^INT(INT((T$6-INDEX('Lease Cycles'!$GJ$21:$GP$21,1,T231))/12)/INDEX('Lease Cycles'!$GX$21:$HD$21,1,T231))/12,0)))</f>
        <v>0</v>
      </c>
      <c r="U234" s="28">
        <f>IF(U231=0,IF('Lease Cycles'!$F$21&gt;0,'Lease Cycles'!$C$21*'Lease Cycles'!$E$21/12,0),IF(U233=1,IF('Lease Cycles'!$AT$21&gt;=9999,'Lease Cycles'!$C$21*INDEX('Lease Cycles'!$CB$21:$CH$21,1,U231)*(1+INDEX('Lease Cycles'!$CI$21:$CO$21,1,U231))^INT(INT(U232/12)/INDEX('Lease Cycles'!$CP$21:$CV$21,1,U231))/12,IF(U231=1,IF(U232&gt;=INDEX('Lease Cycles'!$DK$21:$DQ$21,1,U231),IF(U$6&gt;='Lease Cycles'!$AZ$21,'Lease Cycles'!$C$21*'Lease Cycles'!$BA$21/12,IF(U$6&gt;='Lease Cycles'!$AX$21,'Lease Cycles'!$C$21*'Lease Cycles'!$AY$21/12,IF(U$6&gt;='Lease Cycles'!$AV$21,'Lease Cycles'!$C$21*'Lease Cycles'!$AW$21/12,IF(U$6&gt;='Lease Cycles'!$AT$21,'Lease Cycles'!$C$21*'Lease Cycles'!$AU$21/12,'Lease Cycles'!$C$21*INDEX('Lease Cycles'!$CB$21:$CH$21,1,U231)*(1+INDEX('Lease Cycles'!$CI$21:$CO$21,1,U231))^INT(INT(U232/12)/INDEX('Lease Cycles'!$CP$21:$CV$21,1,U231))/12)))),'Lease Cycles'!$C$21*INDEX('Lease Cycles'!$CB$21:$CH$21,1,U231)*(1+INDEX('Lease Cycles'!$CI$21:$CO$21,1,U231))^INT(INT(U232/12)/INDEX('Lease Cycles'!$CP$21:$CV$21,1,U231))/12),IF(INDEX('Lease Cycles'!$EF$21:$EL$21,1,U231)=1,IF(AND('Lease Cycles'!$AZ$21&gt;=INDEX('Lease Cycles'!$BG$21:$BM$21,1,U231),'Lease Cycles'!$AZ$21&lt;=U$6),'Lease Cycles'!$C$21*'Lease Cycles'!$BA$21/12,IF(AND('Lease Cycles'!$AX$21&gt;=INDEX('Lease Cycles'!$BG$21:$BM$21,1,U231),'Lease Cycles'!$AX$21&lt;=U$6),'Lease Cycles'!$C$21*'Lease Cycles'!$AY$21/12,IF(AND('Lease Cycles'!$AV$21&gt;=INDEX('Lease Cycles'!$BG$21:$BM$21,1,U231),'Lease Cycles'!$AV$21&lt;=U$6),'Lease Cycles'!$C$21*'Lease Cycles'!$AW$21/12,IF(AND('Lease Cycles'!$AT$21&gt;=INDEX('Lease Cycles'!$BG$21:$BM$21,1,U231),'Lease Cycles'!$AT$21&lt;=U$6),'Lease Cycles'!$C$21*'Lease Cycles'!$AU$21/12,'Lease Cycles'!$C$21*INDEX('Lease Cycles'!$CB$21:$CH$21,1,U231)*(1+INDEX('Lease Cycles'!$CI$21:$CO$21,1,U231))^INT(INT(U232/12)/INDEX('Lease Cycles'!$CP$21:$CV$21,1,U231))/12)))),'Lease Cycles'!$C$21*INDEX('Lease Cycles'!$CB$21:$CH$21,1,U231)*(1+INDEX('Lease Cycles'!$CI$21:$CO$21,1,U231))^INT(INT(U232/12)/INDEX('Lease Cycles'!$CP$21:$CV$21,1,U231))/12))),IF('Lease Cycles'!$N$21=1,'Lease Cycles'!$C$21*'Lease Cycles'!$E$21*INDEX('Lease Cycles'!$HE$21:$HK$21,1,U231)*(1+INDEX('Lease Cycles'!$GQ$21:$GW$21,1,U231))^INT(INT((U$6-INDEX('Lease Cycles'!$GJ$21:$GP$21,1,U231))/12)/INDEX('Lease Cycles'!$GX$21:$HD$21,1,U231))/12,0)))</f>
        <v>0</v>
      </c>
      <c r="V234" s="28">
        <f>IF(V231=0,IF('Lease Cycles'!$F$21&gt;0,'Lease Cycles'!$C$21*'Lease Cycles'!$E$21/12,0),IF(V233=1,IF('Lease Cycles'!$AT$21&gt;=9999,'Lease Cycles'!$C$21*INDEX('Lease Cycles'!$CB$21:$CH$21,1,V231)*(1+INDEX('Lease Cycles'!$CI$21:$CO$21,1,V231))^INT(INT(V232/12)/INDEX('Lease Cycles'!$CP$21:$CV$21,1,V231))/12,IF(V231=1,IF(V232&gt;=INDEX('Lease Cycles'!$DK$21:$DQ$21,1,V231),IF(V$6&gt;='Lease Cycles'!$AZ$21,'Lease Cycles'!$C$21*'Lease Cycles'!$BA$21/12,IF(V$6&gt;='Lease Cycles'!$AX$21,'Lease Cycles'!$C$21*'Lease Cycles'!$AY$21/12,IF(V$6&gt;='Lease Cycles'!$AV$21,'Lease Cycles'!$C$21*'Lease Cycles'!$AW$21/12,IF(V$6&gt;='Lease Cycles'!$AT$21,'Lease Cycles'!$C$21*'Lease Cycles'!$AU$21/12,'Lease Cycles'!$C$21*INDEX('Lease Cycles'!$CB$21:$CH$21,1,V231)*(1+INDEX('Lease Cycles'!$CI$21:$CO$21,1,V231))^INT(INT(V232/12)/INDEX('Lease Cycles'!$CP$21:$CV$21,1,V231))/12)))),'Lease Cycles'!$C$21*INDEX('Lease Cycles'!$CB$21:$CH$21,1,V231)*(1+INDEX('Lease Cycles'!$CI$21:$CO$21,1,V231))^INT(INT(V232/12)/INDEX('Lease Cycles'!$CP$21:$CV$21,1,V231))/12),IF(INDEX('Lease Cycles'!$EF$21:$EL$21,1,V231)=1,IF(AND('Lease Cycles'!$AZ$21&gt;=INDEX('Lease Cycles'!$BG$21:$BM$21,1,V231),'Lease Cycles'!$AZ$21&lt;=V$6),'Lease Cycles'!$C$21*'Lease Cycles'!$BA$21/12,IF(AND('Lease Cycles'!$AX$21&gt;=INDEX('Lease Cycles'!$BG$21:$BM$21,1,V231),'Lease Cycles'!$AX$21&lt;=V$6),'Lease Cycles'!$C$21*'Lease Cycles'!$AY$21/12,IF(AND('Lease Cycles'!$AV$21&gt;=INDEX('Lease Cycles'!$BG$21:$BM$21,1,V231),'Lease Cycles'!$AV$21&lt;=V$6),'Lease Cycles'!$C$21*'Lease Cycles'!$AW$21/12,IF(AND('Lease Cycles'!$AT$21&gt;=INDEX('Lease Cycles'!$BG$21:$BM$21,1,V231),'Lease Cycles'!$AT$21&lt;=V$6),'Lease Cycles'!$C$21*'Lease Cycles'!$AU$21/12,'Lease Cycles'!$C$21*INDEX('Lease Cycles'!$CB$21:$CH$21,1,V231)*(1+INDEX('Lease Cycles'!$CI$21:$CO$21,1,V231))^INT(INT(V232/12)/INDEX('Lease Cycles'!$CP$21:$CV$21,1,V231))/12)))),'Lease Cycles'!$C$21*INDEX('Lease Cycles'!$CB$21:$CH$21,1,V231)*(1+INDEX('Lease Cycles'!$CI$21:$CO$21,1,V231))^INT(INT(V232/12)/INDEX('Lease Cycles'!$CP$21:$CV$21,1,V231))/12))),IF('Lease Cycles'!$N$21=1,'Lease Cycles'!$C$21*'Lease Cycles'!$E$21*INDEX('Lease Cycles'!$HE$21:$HK$21,1,V231)*(1+INDEX('Lease Cycles'!$GQ$21:$GW$21,1,V231))^INT(INT((V$6-INDEX('Lease Cycles'!$GJ$21:$GP$21,1,V231))/12)/INDEX('Lease Cycles'!$GX$21:$HD$21,1,V231))/12,0)))</f>
        <v>0</v>
      </c>
      <c r="W234" s="28">
        <f>IF(W231=0,IF('Lease Cycles'!$F$21&gt;0,'Lease Cycles'!$C$21*'Lease Cycles'!$E$21/12,0),IF(W233=1,IF('Lease Cycles'!$AT$21&gt;=9999,'Lease Cycles'!$C$21*INDEX('Lease Cycles'!$CB$21:$CH$21,1,W231)*(1+INDEX('Lease Cycles'!$CI$21:$CO$21,1,W231))^INT(INT(W232/12)/INDEX('Lease Cycles'!$CP$21:$CV$21,1,W231))/12,IF(W231=1,IF(W232&gt;=INDEX('Lease Cycles'!$DK$21:$DQ$21,1,W231),IF(W$6&gt;='Lease Cycles'!$AZ$21,'Lease Cycles'!$C$21*'Lease Cycles'!$BA$21/12,IF(W$6&gt;='Lease Cycles'!$AX$21,'Lease Cycles'!$C$21*'Lease Cycles'!$AY$21/12,IF(W$6&gt;='Lease Cycles'!$AV$21,'Lease Cycles'!$C$21*'Lease Cycles'!$AW$21/12,IF(W$6&gt;='Lease Cycles'!$AT$21,'Lease Cycles'!$C$21*'Lease Cycles'!$AU$21/12,'Lease Cycles'!$C$21*INDEX('Lease Cycles'!$CB$21:$CH$21,1,W231)*(1+INDEX('Lease Cycles'!$CI$21:$CO$21,1,W231))^INT(INT(W232/12)/INDEX('Lease Cycles'!$CP$21:$CV$21,1,W231))/12)))),'Lease Cycles'!$C$21*INDEX('Lease Cycles'!$CB$21:$CH$21,1,W231)*(1+INDEX('Lease Cycles'!$CI$21:$CO$21,1,W231))^INT(INT(W232/12)/INDEX('Lease Cycles'!$CP$21:$CV$21,1,W231))/12),IF(INDEX('Lease Cycles'!$EF$21:$EL$21,1,W231)=1,IF(AND('Lease Cycles'!$AZ$21&gt;=INDEX('Lease Cycles'!$BG$21:$BM$21,1,W231),'Lease Cycles'!$AZ$21&lt;=W$6),'Lease Cycles'!$C$21*'Lease Cycles'!$BA$21/12,IF(AND('Lease Cycles'!$AX$21&gt;=INDEX('Lease Cycles'!$BG$21:$BM$21,1,W231),'Lease Cycles'!$AX$21&lt;=W$6),'Lease Cycles'!$C$21*'Lease Cycles'!$AY$21/12,IF(AND('Lease Cycles'!$AV$21&gt;=INDEX('Lease Cycles'!$BG$21:$BM$21,1,W231),'Lease Cycles'!$AV$21&lt;=W$6),'Lease Cycles'!$C$21*'Lease Cycles'!$AW$21/12,IF(AND('Lease Cycles'!$AT$21&gt;=INDEX('Lease Cycles'!$BG$21:$BM$21,1,W231),'Lease Cycles'!$AT$21&lt;=W$6),'Lease Cycles'!$C$21*'Lease Cycles'!$AU$21/12,'Lease Cycles'!$C$21*INDEX('Lease Cycles'!$CB$21:$CH$21,1,W231)*(1+INDEX('Lease Cycles'!$CI$21:$CO$21,1,W231))^INT(INT(W232/12)/INDEX('Lease Cycles'!$CP$21:$CV$21,1,W231))/12)))),'Lease Cycles'!$C$21*INDEX('Lease Cycles'!$CB$21:$CH$21,1,W231)*(1+INDEX('Lease Cycles'!$CI$21:$CO$21,1,W231))^INT(INT(W232/12)/INDEX('Lease Cycles'!$CP$21:$CV$21,1,W231))/12))),IF('Lease Cycles'!$N$21=1,'Lease Cycles'!$C$21*'Lease Cycles'!$E$21*INDEX('Lease Cycles'!$HE$21:$HK$21,1,W231)*(1+INDEX('Lease Cycles'!$GQ$21:$GW$21,1,W231))^INT(INT((W$6-INDEX('Lease Cycles'!$GJ$21:$GP$21,1,W231))/12)/INDEX('Lease Cycles'!$GX$21:$HD$21,1,W231))/12,0)))</f>
        <v>0</v>
      </c>
      <c r="X234" s="28">
        <f>IF(X231=0,IF('Lease Cycles'!$F$21&gt;0,'Lease Cycles'!$C$21*'Lease Cycles'!$E$21/12,0),IF(X233=1,IF('Lease Cycles'!$AT$21&gt;=9999,'Lease Cycles'!$C$21*INDEX('Lease Cycles'!$CB$21:$CH$21,1,X231)*(1+INDEX('Lease Cycles'!$CI$21:$CO$21,1,X231))^INT(INT(X232/12)/INDEX('Lease Cycles'!$CP$21:$CV$21,1,X231))/12,IF(X231=1,IF(X232&gt;=INDEX('Lease Cycles'!$DK$21:$DQ$21,1,X231),IF(X$6&gt;='Lease Cycles'!$AZ$21,'Lease Cycles'!$C$21*'Lease Cycles'!$BA$21/12,IF(X$6&gt;='Lease Cycles'!$AX$21,'Lease Cycles'!$C$21*'Lease Cycles'!$AY$21/12,IF(X$6&gt;='Lease Cycles'!$AV$21,'Lease Cycles'!$C$21*'Lease Cycles'!$AW$21/12,IF(X$6&gt;='Lease Cycles'!$AT$21,'Lease Cycles'!$C$21*'Lease Cycles'!$AU$21/12,'Lease Cycles'!$C$21*INDEX('Lease Cycles'!$CB$21:$CH$21,1,X231)*(1+INDEX('Lease Cycles'!$CI$21:$CO$21,1,X231))^INT(INT(X232/12)/INDEX('Lease Cycles'!$CP$21:$CV$21,1,X231))/12)))),'Lease Cycles'!$C$21*INDEX('Lease Cycles'!$CB$21:$CH$21,1,X231)*(1+INDEX('Lease Cycles'!$CI$21:$CO$21,1,X231))^INT(INT(X232/12)/INDEX('Lease Cycles'!$CP$21:$CV$21,1,X231))/12),IF(INDEX('Lease Cycles'!$EF$21:$EL$21,1,X231)=1,IF(AND('Lease Cycles'!$AZ$21&gt;=INDEX('Lease Cycles'!$BG$21:$BM$21,1,X231),'Lease Cycles'!$AZ$21&lt;=X$6),'Lease Cycles'!$C$21*'Lease Cycles'!$BA$21/12,IF(AND('Lease Cycles'!$AX$21&gt;=INDEX('Lease Cycles'!$BG$21:$BM$21,1,X231),'Lease Cycles'!$AX$21&lt;=X$6),'Lease Cycles'!$C$21*'Lease Cycles'!$AY$21/12,IF(AND('Lease Cycles'!$AV$21&gt;=INDEX('Lease Cycles'!$BG$21:$BM$21,1,X231),'Lease Cycles'!$AV$21&lt;=X$6),'Lease Cycles'!$C$21*'Lease Cycles'!$AW$21/12,IF(AND('Lease Cycles'!$AT$21&gt;=INDEX('Lease Cycles'!$BG$21:$BM$21,1,X231),'Lease Cycles'!$AT$21&lt;=X$6),'Lease Cycles'!$C$21*'Lease Cycles'!$AU$21/12,'Lease Cycles'!$C$21*INDEX('Lease Cycles'!$CB$21:$CH$21,1,X231)*(1+INDEX('Lease Cycles'!$CI$21:$CO$21,1,X231))^INT(INT(X232/12)/INDEX('Lease Cycles'!$CP$21:$CV$21,1,X231))/12)))),'Lease Cycles'!$C$21*INDEX('Lease Cycles'!$CB$21:$CH$21,1,X231)*(1+INDEX('Lease Cycles'!$CI$21:$CO$21,1,X231))^INT(INT(X232/12)/INDEX('Lease Cycles'!$CP$21:$CV$21,1,X231))/12))),IF('Lease Cycles'!$N$21=1,'Lease Cycles'!$C$21*'Lease Cycles'!$E$21*INDEX('Lease Cycles'!$HE$21:$HK$21,1,X231)*(1+INDEX('Lease Cycles'!$GQ$21:$GW$21,1,X231))^INT(INT((X$6-INDEX('Lease Cycles'!$GJ$21:$GP$21,1,X231))/12)/INDEX('Lease Cycles'!$GX$21:$HD$21,1,X231))/12,0)))</f>
        <v>0</v>
      </c>
      <c r="Y234" s="28">
        <f>IF(Y231=0,IF('Lease Cycles'!$F$21&gt;0,'Lease Cycles'!$C$21*'Lease Cycles'!$E$21/12,0),IF(Y233=1,IF('Lease Cycles'!$AT$21&gt;=9999,'Lease Cycles'!$C$21*INDEX('Lease Cycles'!$CB$21:$CH$21,1,Y231)*(1+INDEX('Lease Cycles'!$CI$21:$CO$21,1,Y231))^INT(INT(Y232/12)/INDEX('Lease Cycles'!$CP$21:$CV$21,1,Y231))/12,IF(Y231=1,IF(Y232&gt;=INDEX('Lease Cycles'!$DK$21:$DQ$21,1,Y231),IF(Y$6&gt;='Lease Cycles'!$AZ$21,'Lease Cycles'!$C$21*'Lease Cycles'!$BA$21/12,IF(Y$6&gt;='Lease Cycles'!$AX$21,'Lease Cycles'!$C$21*'Lease Cycles'!$AY$21/12,IF(Y$6&gt;='Lease Cycles'!$AV$21,'Lease Cycles'!$C$21*'Lease Cycles'!$AW$21/12,IF(Y$6&gt;='Lease Cycles'!$AT$21,'Lease Cycles'!$C$21*'Lease Cycles'!$AU$21/12,'Lease Cycles'!$C$21*INDEX('Lease Cycles'!$CB$21:$CH$21,1,Y231)*(1+INDEX('Lease Cycles'!$CI$21:$CO$21,1,Y231))^INT(INT(Y232/12)/INDEX('Lease Cycles'!$CP$21:$CV$21,1,Y231))/12)))),'Lease Cycles'!$C$21*INDEX('Lease Cycles'!$CB$21:$CH$21,1,Y231)*(1+INDEX('Lease Cycles'!$CI$21:$CO$21,1,Y231))^INT(INT(Y232/12)/INDEX('Lease Cycles'!$CP$21:$CV$21,1,Y231))/12),IF(INDEX('Lease Cycles'!$EF$21:$EL$21,1,Y231)=1,IF(AND('Lease Cycles'!$AZ$21&gt;=INDEX('Lease Cycles'!$BG$21:$BM$21,1,Y231),'Lease Cycles'!$AZ$21&lt;=Y$6),'Lease Cycles'!$C$21*'Lease Cycles'!$BA$21/12,IF(AND('Lease Cycles'!$AX$21&gt;=INDEX('Lease Cycles'!$BG$21:$BM$21,1,Y231),'Lease Cycles'!$AX$21&lt;=Y$6),'Lease Cycles'!$C$21*'Lease Cycles'!$AY$21/12,IF(AND('Lease Cycles'!$AV$21&gt;=INDEX('Lease Cycles'!$BG$21:$BM$21,1,Y231),'Lease Cycles'!$AV$21&lt;=Y$6),'Lease Cycles'!$C$21*'Lease Cycles'!$AW$21/12,IF(AND('Lease Cycles'!$AT$21&gt;=INDEX('Lease Cycles'!$BG$21:$BM$21,1,Y231),'Lease Cycles'!$AT$21&lt;=Y$6),'Lease Cycles'!$C$21*'Lease Cycles'!$AU$21/12,'Lease Cycles'!$C$21*INDEX('Lease Cycles'!$CB$21:$CH$21,1,Y231)*(1+INDEX('Lease Cycles'!$CI$21:$CO$21,1,Y231))^INT(INT(Y232/12)/INDEX('Lease Cycles'!$CP$21:$CV$21,1,Y231))/12)))),'Lease Cycles'!$C$21*INDEX('Lease Cycles'!$CB$21:$CH$21,1,Y231)*(1+INDEX('Lease Cycles'!$CI$21:$CO$21,1,Y231))^INT(INT(Y232/12)/INDEX('Lease Cycles'!$CP$21:$CV$21,1,Y231))/12))),IF('Lease Cycles'!$N$21=1,'Lease Cycles'!$C$21*'Lease Cycles'!$E$21*INDEX('Lease Cycles'!$HE$21:$HK$21,1,Y231)*(1+INDEX('Lease Cycles'!$GQ$21:$GW$21,1,Y231))^INT(INT((Y$6-INDEX('Lease Cycles'!$GJ$21:$GP$21,1,Y231))/12)/INDEX('Lease Cycles'!$GX$21:$HD$21,1,Y231))/12,0)))</f>
        <v>0</v>
      </c>
      <c r="Z234" s="28">
        <f>IF(Z231=0,IF('Lease Cycles'!$F$21&gt;0,'Lease Cycles'!$C$21*'Lease Cycles'!$E$21/12,0),IF(Z233=1,IF('Lease Cycles'!$AT$21&gt;=9999,'Lease Cycles'!$C$21*INDEX('Lease Cycles'!$CB$21:$CH$21,1,Z231)*(1+INDEX('Lease Cycles'!$CI$21:$CO$21,1,Z231))^INT(INT(Z232/12)/INDEX('Lease Cycles'!$CP$21:$CV$21,1,Z231))/12,IF(Z231=1,IF(Z232&gt;=INDEX('Lease Cycles'!$DK$21:$DQ$21,1,Z231),IF(Z$6&gt;='Lease Cycles'!$AZ$21,'Lease Cycles'!$C$21*'Lease Cycles'!$BA$21/12,IF(Z$6&gt;='Lease Cycles'!$AX$21,'Lease Cycles'!$C$21*'Lease Cycles'!$AY$21/12,IF(Z$6&gt;='Lease Cycles'!$AV$21,'Lease Cycles'!$C$21*'Lease Cycles'!$AW$21/12,IF(Z$6&gt;='Lease Cycles'!$AT$21,'Lease Cycles'!$C$21*'Lease Cycles'!$AU$21/12,'Lease Cycles'!$C$21*INDEX('Lease Cycles'!$CB$21:$CH$21,1,Z231)*(1+INDEX('Lease Cycles'!$CI$21:$CO$21,1,Z231))^INT(INT(Z232/12)/INDEX('Lease Cycles'!$CP$21:$CV$21,1,Z231))/12)))),'Lease Cycles'!$C$21*INDEX('Lease Cycles'!$CB$21:$CH$21,1,Z231)*(1+INDEX('Lease Cycles'!$CI$21:$CO$21,1,Z231))^INT(INT(Z232/12)/INDEX('Lease Cycles'!$CP$21:$CV$21,1,Z231))/12),IF(INDEX('Lease Cycles'!$EF$21:$EL$21,1,Z231)=1,IF(AND('Lease Cycles'!$AZ$21&gt;=INDEX('Lease Cycles'!$BG$21:$BM$21,1,Z231),'Lease Cycles'!$AZ$21&lt;=Z$6),'Lease Cycles'!$C$21*'Lease Cycles'!$BA$21/12,IF(AND('Lease Cycles'!$AX$21&gt;=INDEX('Lease Cycles'!$BG$21:$BM$21,1,Z231),'Lease Cycles'!$AX$21&lt;=Z$6),'Lease Cycles'!$C$21*'Lease Cycles'!$AY$21/12,IF(AND('Lease Cycles'!$AV$21&gt;=INDEX('Lease Cycles'!$BG$21:$BM$21,1,Z231),'Lease Cycles'!$AV$21&lt;=Z$6),'Lease Cycles'!$C$21*'Lease Cycles'!$AW$21/12,IF(AND('Lease Cycles'!$AT$21&gt;=INDEX('Lease Cycles'!$BG$21:$BM$21,1,Z231),'Lease Cycles'!$AT$21&lt;=Z$6),'Lease Cycles'!$C$21*'Lease Cycles'!$AU$21/12,'Lease Cycles'!$C$21*INDEX('Lease Cycles'!$CB$21:$CH$21,1,Z231)*(1+INDEX('Lease Cycles'!$CI$21:$CO$21,1,Z231))^INT(INT(Z232/12)/INDEX('Lease Cycles'!$CP$21:$CV$21,1,Z231))/12)))),'Lease Cycles'!$C$21*INDEX('Lease Cycles'!$CB$21:$CH$21,1,Z231)*(1+INDEX('Lease Cycles'!$CI$21:$CO$21,1,Z231))^INT(INT(Z232/12)/INDEX('Lease Cycles'!$CP$21:$CV$21,1,Z231))/12))),IF('Lease Cycles'!$N$21=1,'Lease Cycles'!$C$21*'Lease Cycles'!$E$21*INDEX('Lease Cycles'!$HE$21:$HK$21,1,Z231)*(1+INDEX('Lease Cycles'!$GQ$21:$GW$21,1,Z231))^INT(INT((Z$6-INDEX('Lease Cycles'!$GJ$21:$GP$21,1,Z231))/12)/INDEX('Lease Cycles'!$GX$21:$HD$21,1,Z231))/12,0)))</f>
        <v>0</v>
      </c>
      <c r="AA234" s="28">
        <f>IF(AA231=0,IF('Lease Cycles'!$F$21&gt;0,'Lease Cycles'!$C$21*'Lease Cycles'!$E$21/12,0),IF(AA233=1,IF('Lease Cycles'!$AT$21&gt;=9999,'Lease Cycles'!$C$21*INDEX('Lease Cycles'!$CB$21:$CH$21,1,AA231)*(1+INDEX('Lease Cycles'!$CI$21:$CO$21,1,AA231))^INT(INT(AA232/12)/INDEX('Lease Cycles'!$CP$21:$CV$21,1,AA231))/12,IF(AA231=1,IF(AA232&gt;=INDEX('Lease Cycles'!$DK$21:$DQ$21,1,AA231),IF(AA$6&gt;='Lease Cycles'!$AZ$21,'Lease Cycles'!$C$21*'Lease Cycles'!$BA$21/12,IF(AA$6&gt;='Lease Cycles'!$AX$21,'Lease Cycles'!$C$21*'Lease Cycles'!$AY$21/12,IF(AA$6&gt;='Lease Cycles'!$AV$21,'Lease Cycles'!$C$21*'Lease Cycles'!$AW$21/12,IF(AA$6&gt;='Lease Cycles'!$AT$21,'Lease Cycles'!$C$21*'Lease Cycles'!$AU$21/12,'Lease Cycles'!$C$21*INDEX('Lease Cycles'!$CB$21:$CH$21,1,AA231)*(1+INDEX('Lease Cycles'!$CI$21:$CO$21,1,AA231))^INT(INT(AA232/12)/INDEX('Lease Cycles'!$CP$21:$CV$21,1,AA231))/12)))),'Lease Cycles'!$C$21*INDEX('Lease Cycles'!$CB$21:$CH$21,1,AA231)*(1+INDEX('Lease Cycles'!$CI$21:$CO$21,1,AA231))^INT(INT(AA232/12)/INDEX('Lease Cycles'!$CP$21:$CV$21,1,AA231))/12),IF(INDEX('Lease Cycles'!$EF$21:$EL$21,1,AA231)=1,IF(AND('Lease Cycles'!$AZ$21&gt;=INDEX('Lease Cycles'!$BG$21:$BM$21,1,AA231),'Lease Cycles'!$AZ$21&lt;=AA$6),'Lease Cycles'!$C$21*'Lease Cycles'!$BA$21/12,IF(AND('Lease Cycles'!$AX$21&gt;=INDEX('Lease Cycles'!$BG$21:$BM$21,1,AA231),'Lease Cycles'!$AX$21&lt;=AA$6),'Lease Cycles'!$C$21*'Lease Cycles'!$AY$21/12,IF(AND('Lease Cycles'!$AV$21&gt;=INDEX('Lease Cycles'!$BG$21:$BM$21,1,AA231),'Lease Cycles'!$AV$21&lt;=AA$6),'Lease Cycles'!$C$21*'Lease Cycles'!$AW$21/12,IF(AND('Lease Cycles'!$AT$21&gt;=INDEX('Lease Cycles'!$BG$21:$BM$21,1,AA231),'Lease Cycles'!$AT$21&lt;=AA$6),'Lease Cycles'!$C$21*'Lease Cycles'!$AU$21/12,'Lease Cycles'!$C$21*INDEX('Lease Cycles'!$CB$21:$CH$21,1,AA231)*(1+INDEX('Lease Cycles'!$CI$21:$CO$21,1,AA231))^INT(INT(AA232/12)/INDEX('Lease Cycles'!$CP$21:$CV$21,1,AA231))/12)))),'Lease Cycles'!$C$21*INDEX('Lease Cycles'!$CB$21:$CH$21,1,AA231)*(1+INDEX('Lease Cycles'!$CI$21:$CO$21,1,AA231))^INT(INT(AA232/12)/INDEX('Lease Cycles'!$CP$21:$CV$21,1,AA231))/12))),IF('Lease Cycles'!$N$21=1,'Lease Cycles'!$C$21*'Lease Cycles'!$E$21*INDEX('Lease Cycles'!$HE$21:$HK$21,1,AA231)*(1+INDEX('Lease Cycles'!$GQ$21:$GW$21,1,AA231))^INT(INT((AA$6-INDEX('Lease Cycles'!$GJ$21:$GP$21,1,AA231))/12)/INDEX('Lease Cycles'!$GX$21:$HD$21,1,AA231))/12,0)))</f>
        <v>0</v>
      </c>
      <c r="AB234" s="28">
        <f>IF(AB231=0,IF('Lease Cycles'!$F$21&gt;0,'Lease Cycles'!$C$21*'Lease Cycles'!$E$21/12,0),IF(AB233=1,IF('Lease Cycles'!$AT$21&gt;=9999,'Lease Cycles'!$C$21*INDEX('Lease Cycles'!$CB$21:$CH$21,1,AB231)*(1+INDEX('Lease Cycles'!$CI$21:$CO$21,1,AB231))^INT(INT(AB232/12)/INDEX('Lease Cycles'!$CP$21:$CV$21,1,AB231))/12,IF(AB231=1,IF(AB232&gt;=INDEX('Lease Cycles'!$DK$21:$DQ$21,1,AB231),IF(AB$6&gt;='Lease Cycles'!$AZ$21,'Lease Cycles'!$C$21*'Lease Cycles'!$BA$21/12,IF(AB$6&gt;='Lease Cycles'!$AX$21,'Lease Cycles'!$C$21*'Lease Cycles'!$AY$21/12,IF(AB$6&gt;='Lease Cycles'!$AV$21,'Lease Cycles'!$C$21*'Lease Cycles'!$AW$21/12,IF(AB$6&gt;='Lease Cycles'!$AT$21,'Lease Cycles'!$C$21*'Lease Cycles'!$AU$21/12,'Lease Cycles'!$C$21*INDEX('Lease Cycles'!$CB$21:$CH$21,1,AB231)*(1+INDEX('Lease Cycles'!$CI$21:$CO$21,1,AB231))^INT(INT(AB232/12)/INDEX('Lease Cycles'!$CP$21:$CV$21,1,AB231))/12)))),'Lease Cycles'!$C$21*INDEX('Lease Cycles'!$CB$21:$CH$21,1,AB231)*(1+INDEX('Lease Cycles'!$CI$21:$CO$21,1,AB231))^INT(INT(AB232/12)/INDEX('Lease Cycles'!$CP$21:$CV$21,1,AB231))/12),IF(INDEX('Lease Cycles'!$EF$21:$EL$21,1,AB231)=1,IF(AND('Lease Cycles'!$AZ$21&gt;=INDEX('Lease Cycles'!$BG$21:$BM$21,1,AB231),'Lease Cycles'!$AZ$21&lt;=AB$6),'Lease Cycles'!$C$21*'Lease Cycles'!$BA$21/12,IF(AND('Lease Cycles'!$AX$21&gt;=INDEX('Lease Cycles'!$BG$21:$BM$21,1,AB231),'Lease Cycles'!$AX$21&lt;=AB$6),'Lease Cycles'!$C$21*'Lease Cycles'!$AY$21/12,IF(AND('Lease Cycles'!$AV$21&gt;=INDEX('Lease Cycles'!$BG$21:$BM$21,1,AB231),'Lease Cycles'!$AV$21&lt;=AB$6),'Lease Cycles'!$C$21*'Lease Cycles'!$AW$21/12,IF(AND('Lease Cycles'!$AT$21&gt;=INDEX('Lease Cycles'!$BG$21:$BM$21,1,AB231),'Lease Cycles'!$AT$21&lt;=AB$6),'Lease Cycles'!$C$21*'Lease Cycles'!$AU$21/12,'Lease Cycles'!$C$21*INDEX('Lease Cycles'!$CB$21:$CH$21,1,AB231)*(1+INDEX('Lease Cycles'!$CI$21:$CO$21,1,AB231))^INT(INT(AB232/12)/INDEX('Lease Cycles'!$CP$21:$CV$21,1,AB231))/12)))),'Lease Cycles'!$C$21*INDEX('Lease Cycles'!$CB$21:$CH$21,1,AB231)*(1+INDEX('Lease Cycles'!$CI$21:$CO$21,1,AB231))^INT(INT(AB232/12)/INDEX('Lease Cycles'!$CP$21:$CV$21,1,AB231))/12))),IF('Lease Cycles'!$N$21=1,'Lease Cycles'!$C$21*'Lease Cycles'!$E$21*INDEX('Lease Cycles'!$HE$21:$HK$21,1,AB231)*(1+INDEX('Lease Cycles'!$GQ$21:$GW$21,1,AB231))^INT(INT((AB$6-INDEX('Lease Cycles'!$GJ$21:$GP$21,1,AB231))/12)/INDEX('Lease Cycles'!$GX$21:$HD$21,1,AB231))/12,0)))</f>
        <v>0</v>
      </c>
      <c r="AC234" s="28">
        <f>IF(AC231=0,IF('Lease Cycles'!$F$21&gt;0,'Lease Cycles'!$C$21*'Lease Cycles'!$E$21/12,0),IF(AC233=1,IF('Lease Cycles'!$AT$21&gt;=9999,'Lease Cycles'!$C$21*INDEX('Lease Cycles'!$CB$21:$CH$21,1,AC231)*(1+INDEX('Lease Cycles'!$CI$21:$CO$21,1,AC231))^INT(INT(AC232/12)/INDEX('Lease Cycles'!$CP$21:$CV$21,1,AC231))/12,IF(AC231=1,IF(AC232&gt;=INDEX('Lease Cycles'!$DK$21:$DQ$21,1,AC231),IF(AC$6&gt;='Lease Cycles'!$AZ$21,'Lease Cycles'!$C$21*'Lease Cycles'!$BA$21/12,IF(AC$6&gt;='Lease Cycles'!$AX$21,'Lease Cycles'!$C$21*'Lease Cycles'!$AY$21/12,IF(AC$6&gt;='Lease Cycles'!$AV$21,'Lease Cycles'!$C$21*'Lease Cycles'!$AW$21/12,IF(AC$6&gt;='Lease Cycles'!$AT$21,'Lease Cycles'!$C$21*'Lease Cycles'!$AU$21/12,'Lease Cycles'!$C$21*INDEX('Lease Cycles'!$CB$21:$CH$21,1,AC231)*(1+INDEX('Lease Cycles'!$CI$21:$CO$21,1,AC231))^INT(INT(AC232/12)/INDEX('Lease Cycles'!$CP$21:$CV$21,1,AC231))/12)))),'Lease Cycles'!$C$21*INDEX('Lease Cycles'!$CB$21:$CH$21,1,AC231)*(1+INDEX('Lease Cycles'!$CI$21:$CO$21,1,AC231))^INT(INT(AC232/12)/INDEX('Lease Cycles'!$CP$21:$CV$21,1,AC231))/12),IF(INDEX('Lease Cycles'!$EF$21:$EL$21,1,AC231)=1,IF(AND('Lease Cycles'!$AZ$21&gt;=INDEX('Lease Cycles'!$BG$21:$BM$21,1,AC231),'Lease Cycles'!$AZ$21&lt;=AC$6),'Lease Cycles'!$C$21*'Lease Cycles'!$BA$21/12,IF(AND('Lease Cycles'!$AX$21&gt;=INDEX('Lease Cycles'!$BG$21:$BM$21,1,AC231),'Lease Cycles'!$AX$21&lt;=AC$6),'Lease Cycles'!$C$21*'Lease Cycles'!$AY$21/12,IF(AND('Lease Cycles'!$AV$21&gt;=INDEX('Lease Cycles'!$BG$21:$BM$21,1,AC231),'Lease Cycles'!$AV$21&lt;=AC$6),'Lease Cycles'!$C$21*'Lease Cycles'!$AW$21/12,IF(AND('Lease Cycles'!$AT$21&gt;=INDEX('Lease Cycles'!$BG$21:$BM$21,1,AC231),'Lease Cycles'!$AT$21&lt;=AC$6),'Lease Cycles'!$C$21*'Lease Cycles'!$AU$21/12,'Lease Cycles'!$C$21*INDEX('Lease Cycles'!$CB$21:$CH$21,1,AC231)*(1+INDEX('Lease Cycles'!$CI$21:$CO$21,1,AC231))^INT(INT(AC232/12)/INDEX('Lease Cycles'!$CP$21:$CV$21,1,AC231))/12)))),'Lease Cycles'!$C$21*INDEX('Lease Cycles'!$CB$21:$CH$21,1,AC231)*(1+INDEX('Lease Cycles'!$CI$21:$CO$21,1,AC231))^INT(INT(AC232/12)/INDEX('Lease Cycles'!$CP$21:$CV$21,1,AC231))/12))),IF('Lease Cycles'!$N$21=1,'Lease Cycles'!$C$21*'Lease Cycles'!$E$21*INDEX('Lease Cycles'!$HE$21:$HK$21,1,AC231)*(1+INDEX('Lease Cycles'!$GQ$21:$GW$21,1,AC231))^INT(INT((AC$6-INDEX('Lease Cycles'!$GJ$21:$GP$21,1,AC231))/12)/INDEX('Lease Cycles'!$GX$21:$HD$21,1,AC231))/12,0)))</f>
        <v>0</v>
      </c>
      <c r="AD234" s="28">
        <f>IF(AD231=0,IF('Lease Cycles'!$F$21&gt;0,'Lease Cycles'!$C$21*'Lease Cycles'!$E$21/12,0),IF(AD233=1,IF('Lease Cycles'!$AT$21&gt;=9999,'Lease Cycles'!$C$21*INDEX('Lease Cycles'!$CB$21:$CH$21,1,AD231)*(1+INDEX('Lease Cycles'!$CI$21:$CO$21,1,AD231))^INT(INT(AD232/12)/INDEX('Lease Cycles'!$CP$21:$CV$21,1,AD231))/12,IF(AD231=1,IF(AD232&gt;=INDEX('Lease Cycles'!$DK$21:$DQ$21,1,AD231),IF(AD$6&gt;='Lease Cycles'!$AZ$21,'Lease Cycles'!$C$21*'Lease Cycles'!$BA$21/12,IF(AD$6&gt;='Lease Cycles'!$AX$21,'Lease Cycles'!$C$21*'Lease Cycles'!$AY$21/12,IF(AD$6&gt;='Lease Cycles'!$AV$21,'Lease Cycles'!$C$21*'Lease Cycles'!$AW$21/12,IF(AD$6&gt;='Lease Cycles'!$AT$21,'Lease Cycles'!$C$21*'Lease Cycles'!$AU$21/12,'Lease Cycles'!$C$21*INDEX('Lease Cycles'!$CB$21:$CH$21,1,AD231)*(1+INDEX('Lease Cycles'!$CI$21:$CO$21,1,AD231))^INT(INT(AD232/12)/INDEX('Lease Cycles'!$CP$21:$CV$21,1,AD231))/12)))),'Lease Cycles'!$C$21*INDEX('Lease Cycles'!$CB$21:$CH$21,1,AD231)*(1+INDEX('Lease Cycles'!$CI$21:$CO$21,1,AD231))^INT(INT(AD232/12)/INDEX('Lease Cycles'!$CP$21:$CV$21,1,AD231))/12),IF(INDEX('Lease Cycles'!$EF$21:$EL$21,1,AD231)=1,IF(AND('Lease Cycles'!$AZ$21&gt;=INDEX('Lease Cycles'!$BG$21:$BM$21,1,AD231),'Lease Cycles'!$AZ$21&lt;=AD$6),'Lease Cycles'!$C$21*'Lease Cycles'!$BA$21/12,IF(AND('Lease Cycles'!$AX$21&gt;=INDEX('Lease Cycles'!$BG$21:$BM$21,1,AD231),'Lease Cycles'!$AX$21&lt;=AD$6),'Lease Cycles'!$C$21*'Lease Cycles'!$AY$21/12,IF(AND('Lease Cycles'!$AV$21&gt;=INDEX('Lease Cycles'!$BG$21:$BM$21,1,AD231),'Lease Cycles'!$AV$21&lt;=AD$6),'Lease Cycles'!$C$21*'Lease Cycles'!$AW$21/12,IF(AND('Lease Cycles'!$AT$21&gt;=INDEX('Lease Cycles'!$BG$21:$BM$21,1,AD231),'Lease Cycles'!$AT$21&lt;=AD$6),'Lease Cycles'!$C$21*'Lease Cycles'!$AU$21/12,'Lease Cycles'!$C$21*INDEX('Lease Cycles'!$CB$21:$CH$21,1,AD231)*(1+INDEX('Lease Cycles'!$CI$21:$CO$21,1,AD231))^INT(INT(AD232/12)/INDEX('Lease Cycles'!$CP$21:$CV$21,1,AD231))/12)))),'Lease Cycles'!$C$21*INDEX('Lease Cycles'!$CB$21:$CH$21,1,AD231)*(1+INDEX('Lease Cycles'!$CI$21:$CO$21,1,AD231))^INT(INT(AD232/12)/INDEX('Lease Cycles'!$CP$21:$CV$21,1,AD231))/12))),IF('Lease Cycles'!$N$21=1,'Lease Cycles'!$C$21*'Lease Cycles'!$E$21*INDEX('Lease Cycles'!$HE$21:$HK$21,1,AD231)*(1+INDEX('Lease Cycles'!$GQ$21:$GW$21,1,AD231))^INT(INT((AD$6-INDEX('Lease Cycles'!$GJ$21:$GP$21,1,AD231))/12)/INDEX('Lease Cycles'!$GX$21:$HD$21,1,AD231))/12,0)))</f>
        <v>0</v>
      </c>
      <c r="AE234" s="28">
        <f>IF(AE231=0,IF('Lease Cycles'!$F$21&gt;0,'Lease Cycles'!$C$21*'Lease Cycles'!$E$21/12,0),IF(AE233=1,IF('Lease Cycles'!$AT$21&gt;=9999,'Lease Cycles'!$C$21*INDEX('Lease Cycles'!$CB$21:$CH$21,1,AE231)*(1+INDEX('Lease Cycles'!$CI$21:$CO$21,1,AE231))^INT(INT(AE232/12)/INDEX('Lease Cycles'!$CP$21:$CV$21,1,AE231))/12,IF(AE231=1,IF(AE232&gt;=INDEX('Lease Cycles'!$DK$21:$DQ$21,1,AE231),IF(AE$6&gt;='Lease Cycles'!$AZ$21,'Lease Cycles'!$C$21*'Lease Cycles'!$BA$21/12,IF(AE$6&gt;='Lease Cycles'!$AX$21,'Lease Cycles'!$C$21*'Lease Cycles'!$AY$21/12,IF(AE$6&gt;='Lease Cycles'!$AV$21,'Lease Cycles'!$C$21*'Lease Cycles'!$AW$21/12,IF(AE$6&gt;='Lease Cycles'!$AT$21,'Lease Cycles'!$C$21*'Lease Cycles'!$AU$21/12,'Lease Cycles'!$C$21*INDEX('Lease Cycles'!$CB$21:$CH$21,1,AE231)*(1+INDEX('Lease Cycles'!$CI$21:$CO$21,1,AE231))^INT(INT(AE232/12)/INDEX('Lease Cycles'!$CP$21:$CV$21,1,AE231))/12)))),'Lease Cycles'!$C$21*INDEX('Lease Cycles'!$CB$21:$CH$21,1,AE231)*(1+INDEX('Lease Cycles'!$CI$21:$CO$21,1,AE231))^INT(INT(AE232/12)/INDEX('Lease Cycles'!$CP$21:$CV$21,1,AE231))/12),IF(INDEX('Lease Cycles'!$EF$21:$EL$21,1,AE231)=1,IF(AND('Lease Cycles'!$AZ$21&gt;=INDEX('Lease Cycles'!$BG$21:$BM$21,1,AE231),'Lease Cycles'!$AZ$21&lt;=AE$6),'Lease Cycles'!$C$21*'Lease Cycles'!$BA$21/12,IF(AND('Lease Cycles'!$AX$21&gt;=INDEX('Lease Cycles'!$BG$21:$BM$21,1,AE231),'Lease Cycles'!$AX$21&lt;=AE$6),'Lease Cycles'!$C$21*'Lease Cycles'!$AY$21/12,IF(AND('Lease Cycles'!$AV$21&gt;=INDEX('Lease Cycles'!$BG$21:$BM$21,1,AE231),'Lease Cycles'!$AV$21&lt;=AE$6),'Lease Cycles'!$C$21*'Lease Cycles'!$AW$21/12,IF(AND('Lease Cycles'!$AT$21&gt;=INDEX('Lease Cycles'!$BG$21:$BM$21,1,AE231),'Lease Cycles'!$AT$21&lt;=AE$6),'Lease Cycles'!$C$21*'Lease Cycles'!$AU$21/12,'Lease Cycles'!$C$21*INDEX('Lease Cycles'!$CB$21:$CH$21,1,AE231)*(1+INDEX('Lease Cycles'!$CI$21:$CO$21,1,AE231))^INT(INT(AE232/12)/INDEX('Lease Cycles'!$CP$21:$CV$21,1,AE231))/12)))),'Lease Cycles'!$C$21*INDEX('Lease Cycles'!$CB$21:$CH$21,1,AE231)*(1+INDEX('Lease Cycles'!$CI$21:$CO$21,1,AE231))^INT(INT(AE232/12)/INDEX('Lease Cycles'!$CP$21:$CV$21,1,AE231))/12))),IF('Lease Cycles'!$N$21=1,'Lease Cycles'!$C$21*'Lease Cycles'!$E$21*INDEX('Lease Cycles'!$HE$21:$HK$21,1,AE231)*(1+INDEX('Lease Cycles'!$GQ$21:$GW$21,1,AE231))^INT(INT((AE$6-INDEX('Lease Cycles'!$GJ$21:$GP$21,1,AE231))/12)/INDEX('Lease Cycles'!$GX$21:$HD$21,1,AE231))/12,0)))</f>
        <v>0</v>
      </c>
      <c r="AF234" s="28">
        <f>IF(AF231=0,IF('Lease Cycles'!$F$21&gt;0,'Lease Cycles'!$C$21*'Lease Cycles'!$E$21/12,0),IF(AF233=1,IF('Lease Cycles'!$AT$21&gt;=9999,'Lease Cycles'!$C$21*INDEX('Lease Cycles'!$CB$21:$CH$21,1,AF231)*(1+INDEX('Lease Cycles'!$CI$21:$CO$21,1,AF231))^INT(INT(AF232/12)/INDEX('Lease Cycles'!$CP$21:$CV$21,1,AF231))/12,IF(AF231=1,IF(AF232&gt;=INDEX('Lease Cycles'!$DK$21:$DQ$21,1,AF231),IF(AF$6&gt;='Lease Cycles'!$AZ$21,'Lease Cycles'!$C$21*'Lease Cycles'!$BA$21/12,IF(AF$6&gt;='Lease Cycles'!$AX$21,'Lease Cycles'!$C$21*'Lease Cycles'!$AY$21/12,IF(AF$6&gt;='Lease Cycles'!$AV$21,'Lease Cycles'!$C$21*'Lease Cycles'!$AW$21/12,IF(AF$6&gt;='Lease Cycles'!$AT$21,'Lease Cycles'!$C$21*'Lease Cycles'!$AU$21/12,'Lease Cycles'!$C$21*INDEX('Lease Cycles'!$CB$21:$CH$21,1,AF231)*(1+INDEX('Lease Cycles'!$CI$21:$CO$21,1,AF231))^INT(INT(AF232/12)/INDEX('Lease Cycles'!$CP$21:$CV$21,1,AF231))/12)))),'Lease Cycles'!$C$21*INDEX('Lease Cycles'!$CB$21:$CH$21,1,AF231)*(1+INDEX('Lease Cycles'!$CI$21:$CO$21,1,AF231))^INT(INT(AF232/12)/INDEX('Lease Cycles'!$CP$21:$CV$21,1,AF231))/12),IF(INDEX('Lease Cycles'!$EF$21:$EL$21,1,AF231)=1,IF(AND('Lease Cycles'!$AZ$21&gt;=INDEX('Lease Cycles'!$BG$21:$BM$21,1,AF231),'Lease Cycles'!$AZ$21&lt;=AF$6),'Lease Cycles'!$C$21*'Lease Cycles'!$BA$21/12,IF(AND('Lease Cycles'!$AX$21&gt;=INDEX('Lease Cycles'!$BG$21:$BM$21,1,AF231),'Lease Cycles'!$AX$21&lt;=AF$6),'Lease Cycles'!$C$21*'Lease Cycles'!$AY$21/12,IF(AND('Lease Cycles'!$AV$21&gt;=INDEX('Lease Cycles'!$BG$21:$BM$21,1,AF231),'Lease Cycles'!$AV$21&lt;=AF$6),'Lease Cycles'!$C$21*'Lease Cycles'!$AW$21/12,IF(AND('Lease Cycles'!$AT$21&gt;=INDEX('Lease Cycles'!$BG$21:$BM$21,1,AF231),'Lease Cycles'!$AT$21&lt;=AF$6),'Lease Cycles'!$C$21*'Lease Cycles'!$AU$21/12,'Lease Cycles'!$C$21*INDEX('Lease Cycles'!$CB$21:$CH$21,1,AF231)*(1+INDEX('Lease Cycles'!$CI$21:$CO$21,1,AF231))^INT(INT(AF232/12)/INDEX('Lease Cycles'!$CP$21:$CV$21,1,AF231))/12)))),'Lease Cycles'!$C$21*INDEX('Lease Cycles'!$CB$21:$CH$21,1,AF231)*(1+INDEX('Lease Cycles'!$CI$21:$CO$21,1,AF231))^INT(INT(AF232/12)/INDEX('Lease Cycles'!$CP$21:$CV$21,1,AF231))/12))),IF('Lease Cycles'!$N$21=1,'Lease Cycles'!$C$21*'Lease Cycles'!$E$21*INDEX('Lease Cycles'!$HE$21:$HK$21,1,AF231)*(1+INDEX('Lease Cycles'!$GQ$21:$GW$21,1,AF231))^INT(INT((AF$6-INDEX('Lease Cycles'!$GJ$21:$GP$21,1,AF231))/12)/INDEX('Lease Cycles'!$GX$21:$HD$21,1,AF231))/12,0)))</f>
        <v>0</v>
      </c>
      <c r="AG234" s="28">
        <f>IF(AG231=0,IF('Lease Cycles'!$F$21&gt;0,'Lease Cycles'!$C$21*'Lease Cycles'!$E$21/12,0),IF(AG233=1,IF('Lease Cycles'!$AT$21&gt;=9999,'Lease Cycles'!$C$21*INDEX('Lease Cycles'!$CB$21:$CH$21,1,AG231)*(1+INDEX('Lease Cycles'!$CI$21:$CO$21,1,AG231))^INT(INT(AG232/12)/INDEX('Lease Cycles'!$CP$21:$CV$21,1,AG231))/12,IF(AG231=1,IF(AG232&gt;=INDEX('Lease Cycles'!$DK$21:$DQ$21,1,AG231),IF(AG$6&gt;='Lease Cycles'!$AZ$21,'Lease Cycles'!$C$21*'Lease Cycles'!$BA$21/12,IF(AG$6&gt;='Lease Cycles'!$AX$21,'Lease Cycles'!$C$21*'Lease Cycles'!$AY$21/12,IF(AG$6&gt;='Lease Cycles'!$AV$21,'Lease Cycles'!$C$21*'Lease Cycles'!$AW$21/12,IF(AG$6&gt;='Lease Cycles'!$AT$21,'Lease Cycles'!$C$21*'Lease Cycles'!$AU$21/12,'Lease Cycles'!$C$21*INDEX('Lease Cycles'!$CB$21:$CH$21,1,AG231)*(1+INDEX('Lease Cycles'!$CI$21:$CO$21,1,AG231))^INT(INT(AG232/12)/INDEX('Lease Cycles'!$CP$21:$CV$21,1,AG231))/12)))),'Lease Cycles'!$C$21*INDEX('Lease Cycles'!$CB$21:$CH$21,1,AG231)*(1+INDEX('Lease Cycles'!$CI$21:$CO$21,1,AG231))^INT(INT(AG232/12)/INDEX('Lease Cycles'!$CP$21:$CV$21,1,AG231))/12),IF(INDEX('Lease Cycles'!$EF$21:$EL$21,1,AG231)=1,IF(AND('Lease Cycles'!$AZ$21&gt;=INDEX('Lease Cycles'!$BG$21:$BM$21,1,AG231),'Lease Cycles'!$AZ$21&lt;=AG$6),'Lease Cycles'!$C$21*'Lease Cycles'!$BA$21/12,IF(AND('Lease Cycles'!$AX$21&gt;=INDEX('Lease Cycles'!$BG$21:$BM$21,1,AG231),'Lease Cycles'!$AX$21&lt;=AG$6),'Lease Cycles'!$C$21*'Lease Cycles'!$AY$21/12,IF(AND('Lease Cycles'!$AV$21&gt;=INDEX('Lease Cycles'!$BG$21:$BM$21,1,AG231),'Lease Cycles'!$AV$21&lt;=AG$6),'Lease Cycles'!$C$21*'Lease Cycles'!$AW$21/12,IF(AND('Lease Cycles'!$AT$21&gt;=INDEX('Lease Cycles'!$BG$21:$BM$21,1,AG231),'Lease Cycles'!$AT$21&lt;=AG$6),'Lease Cycles'!$C$21*'Lease Cycles'!$AU$21/12,'Lease Cycles'!$C$21*INDEX('Lease Cycles'!$CB$21:$CH$21,1,AG231)*(1+INDEX('Lease Cycles'!$CI$21:$CO$21,1,AG231))^INT(INT(AG232/12)/INDEX('Lease Cycles'!$CP$21:$CV$21,1,AG231))/12)))),'Lease Cycles'!$C$21*INDEX('Lease Cycles'!$CB$21:$CH$21,1,AG231)*(1+INDEX('Lease Cycles'!$CI$21:$CO$21,1,AG231))^INT(INT(AG232/12)/INDEX('Lease Cycles'!$CP$21:$CV$21,1,AG231))/12))),IF('Lease Cycles'!$N$21=1,'Lease Cycles'!$C$21*'Lease Cycles'!$E$21*INDEX('Lease Cycles'!$HE$21:$HK$21,1,AG231)*(1+INDEX('Lease Cycles'!$GQ$21:$GW$21,1,AG231))^INT(INT((AG$6-INDEX('Lease Cycles'!$GJ$21:$GP$21,1,AG231))/12)/INDEX('Lease Cycles'!$GX$21:$HD$21,1,AG231))/12,0)))</f>
        <v>0</v>
      </c>
      <c r="AH234" s="28">
        <f>IF(AH231=0,IF('Lease Cycles'!$F$21&gt;0,'Lease Cycles'!$C$21*'Lease Cycles'!$E$21/12,0),IF(AH233=1,IF('Lease Cycles'!$AT$21&gt;=9999,'Lease Cycles'!$C$21*INDEX('Lease Cycles'!$CB$21:$CH$21,1,AH231)*(1+INDEX('Lease Cycles'!$CI$21:$CO$21,1,AH231))^INT(INT(AH232/12)/INDEX('Lease Cycles'!$CP$21:$CV$21,1,AH231))/12,IF(AH231=1,IF(AH232&gt;=INDEX('Lease Cycles'!$DK$21:$DQ$21,1,AH231),IF(AH$6&gt;='Lease Cycles'!$AZ$21,'Lease Cycles'!$C$21*'Lease Cycles'!$BA$21/12,IF(AH$6&gt;='Lease Cycles'!$AX$21,'Lease Cycles'!$C$21*'Lease Cycles'!$AY$21/12,IF(AH$6&gt;='Lease Cycles'!$AV$21,'Lease Cycles'!$C$21*'Lease Cycles'!$AW$21/12,IF(AH$6&gt;='Lease Cycles'!$AT$21,'Lease Cycles'!$C$21*'Lease Cycles'!$AU$21/12,'Lease Cycles'!$C$21*INDEX('Lease Cycles'!$CB$21:$CH$21,1,AH231)*(1+INDEX('Lease Cycles'!$CI$21:$CO$21,1,AH231))^INT(INT(AH232/12)/INDEX('Lease Cycles'!$CP$21:$CV$21,1,AH231))/12)))),'Lease Cycles'!$C$21*INDEX('Lease Cycles'!$CB$21:$CH$21,1,AH231)*(1+INDEX('Lease Cycles'!$CI$21:$CO$21,1,AH231))^INT(INT(AH232/12)/INDEX('Lease Cycles'!$CP$21:$CV$21,1,AH231))/12),IF(INDEX('Lease Cycles'!$EF$21:$EL$21,1,AH231)=1,IF(AND('Lease Cycles'!$AZ$21&gt;=INDEX('Lease Cycles'!$BG$21:$BM$21,1,AH231),'Lease Cycles'!$AZ$21&lt;=AH$6),'Lease Cycles'!$C$21*'Lease Cycles'!$BA$21/12,IF(AND('Lease Cycles'!$AX$21&gt;=INDEX('Lease Cycles'!$BG$21:$BM$21,1,AH231),'Lease Cycles'!$AX$21&lt;=AH$6),'Lease Cycles'!$C$21*'Lease Cycles'!$AY$21/12,IF(AND('Lease Cycles'!$AV$21&gt;=INDEX('Lease Cycles'!$BG$21:$BM$21,1,AH231),'Lease Cycles'!$AV$21&lt;=AH$6),'Lease Cycles'!$C$21*'Lease Cycles'!$AW$21/12,IF(AND('Lease Cycles'!$AT$21&gt;=INDEX('Lease Cycles'!$BG$21:$BM$21,1,AH231),'Lease Cycles'!$AT$21&lt;=AH$6),'Lease Cycles'!$C$21*'Lease Cycles'!$AU$21/12,'Lease Cycles'!$C$21*INDEX('Lease Cycles'!$CB$21:$CH$21,1,AH231)*(1+INDEX('Lease Cycles'!$CI$21:$CO$21,1,AH231))^INT(INT(AH232/12)/INDEX('Lease Cycles'!$CP$21:$CV$21,1,AH231))/12)))),'Lease Cycles'!$C$21*INDEX('Lease Cycles'!$CB$21:$CH$21,1,AH231)*(1+INDEX('Lease Cycles'!$CI$21:$CO$21,1,AH231))^INT(INT(AH232/12)/INDEX('Lease Cycles'!$CP$21:$CV$21,1,AH231))/12))),IF('Lease Cycles'!$N$21=1,'Lease Cycles'!$C$21*'Lease Cycles'!$E$21*INDEX('Lease Cycles'!$HE$21:$HK$21,1,AH231)*(1+INDEX('Lease Cycles'!$GQ$21:$GW$21,1,AH231))^INT(INT((AH$6-INDEX('Lease Cycles'!$GJ$21:$GP$21,1,AH231))/12)/INDEX('Lease Cycles'!$GX$21:$HD$21,1,AH231))/12,0)))</f>
        <v>0</v>
      </c>
      <c r="AI234" s="28">
        <f>IF(AI231=0,IF('Lease Cycles'!$F$21&gt;0,'Lease Cycles'!$C$21*'Lease Cycles'!$E$21/12,0),IF(AI233=1,IF('Lease Cycles'!$AT$21&gt;=9999,'Lease Cycles'!$C$21*INDEX('Lease Cycles'!$CB$21:$CH$21,1,AI231)*(1+INDEX('Lease Cycles'!$CI$21:$CO$21,1,AI231))^INT(INT(AI232/12)/INDEX('Lease Cycles'!$CP$21:$CV$21,1,AI231))/12,IF(AI231=1,IF(AI232&gt;=INDEX('Lease Cycles'!$DK$21:$DQ$21,1,AI231),IF(AI$6&gt;='Lease Cycles'!$AZ$21,'Lease Cycles'!$C$21*'Lease Cycles'!$BA$21/12,IF(AI$6&gt;='Lease Cycles'!$AX$21,'Lease Cycles'!$C$21*'Lease Cycles'!$AY$21/12,IF(AI$6&gt;='Lease Cycles'!$AV$21,'Lease Cycles'!$C$21*'Lease Cycles'!$AW$21/12,IF(AI$6&gt;='Lease Cycles'!$AT$21,'Lease Cycles'!$C$21*'Lease Cycles'!$AU$21/12,'Lease Cycles'!$C$21*INDEX('Lease Cycles'!$CB$21:$CH$21,1,AI231)*(1+INDEX('Lease Cycles'!$CI$21:$CO$21,1,AI231))^INT(INT(AI232/12)/INDEX('Lease Cycles'!$CP$21:$CV$21,1,AI231))/12)))),'Lease Cycles'!$C$21*INDEX('Lease Cycles'!$CB$21:$CH$21,1,AI231)*(1+INDEX('Lease Cycles'!$CI$21:$CO$21,1,AI231))^INT(INT(AI232/12)/INDEX('Lease Cycles'!$CP$21:$CV$21,1,AI231))/12),IF(INDEX('Lease Cycles'!$EF$21:$EL$21,1,AI231)=1,IF(AND('Lease Cycles'!$AZ$21&gt;=INDEX('Lease Cycles'!$BG$21:$BM$21,1,AI231),'Lease Cycles'!$AZ$21&lt;=AI$6),'Lease Cycles'!$C$21*'Lease Cycles'!$BA$21/12,IF(AND('Lease Cycles'!$AX$21&gt;=INDEX('Lease Cycles'!$BG$21:$BM$21,1,AI231),'Lease Cycles'!$AX$21&lt;=AI$6),'Lease Cycles'!$C$21*'Lease Cycles'!$AY$21/12,IF(AND('Lease Cycles'!$AV$21&gt;=INDEX('Lease Cycles'!$BG$21:$BM$21,1,AI231),'Lease Cycles'!$AV$21&lt;=AI$6),'Lease Cycles'!$C$21*'Lease Cycles'!$AW$21/12,IF(AND('Lease Cycles'!$AT$21&gt;=INDEX('Lease Cycles'!$BG$21:$BM$21,1,AI231),'Lease Cycles'!$AT$21&lt;=AI$6),'Lease Cycles'!$C$21*'Lease Cycles'!$AU$21/12,'Lease Cycles'!$C$21*INDEX('Lease Cycles'!$CB$21:$CH$21,1,AI231)*(1+INDEX('Lease Cycles'!$CI$21:$CO$21,1,AI231))^INT(INT(AI232/12)/INDEX('Lease Cycles'!$CP$21:$CV$21,1,AI231))/12)))),'Lease Cycles'!$C$21*INDEX('Lease Cycles'!$CB$21:$CH$21,1,AI231)*(1+INDEX('Lease Cycles'!$CI$21:$CO$21,1,AI231))^INT(INT(AI232/12)/INDEX('Lease Cycles'!$CP$21:$CV$21,1,AI231))/12))),IF('Lease Cycles'!$N$21=1,'Lease Cycles'!$C$21*'Lease Cycles'!$E$21*INDEX('Lease Cycles'!$HE$21:$HK$21,1,AI231)*(1+INDEX('Lease Cycles'!$GQ$21:$GW$21,1,AI231))^INT(INT((AI$6-INDEX('Lease Cycles'!$GJ$21:$GP$21,1,AI231))/12)/INDEX('Lease Cycles'!$GX$21:$HD$21,1,AI231))/12,0)))</f>
        <v>0</v>
      </c>
      <c r="AJ234" s="28">
        <f>IF(AJ231=0,IF('Lease Cycles'!$F$21&gt;0,'Lease Cycles'!$C$21*'Lease Cycles'!$E$21/12,0),IF(AJ233=1,IF('Lease Cycles'!$AT$21&gt;=9999,'Lease Cycles'!$C$21*INDEX('Lease Cycles'!$CB$21:$CH$21,1,AJ231)*(1+INDEX('Lease Cycles'!$CI$21:$CO$21,1,AJ231))^INT(INT(AJ232/12)/INDEX('Lease Cycles'!$CP$21:$CV$21,1,AJ231))/12,IF(AJ231=1,IF(AJ232&gt;=INDEX('Lease Cycles'!$DK$21:$DQ$21,1,AJ231),IF(AJ$6&gt;='Lease Cycles'!$AZ$21,'Lease Cycles'!$C$21*'Lease Cycles'!$BA$21/12,IF(AJ$6&gt;='Lease Cycles'!$AX$21,'Lease Cycles'!$C$21*'Lease Cycles'!$AY$21/12,IF(AJ$6&gt;='Lease Cycles'!$AV$21,'Lease Cycles'!$C$21*'Lease Cycles'!$AW$21/12,IF(AJ$6&gt;='Lease Cycles'!$AT$21,'Lease Cycles'!$C$21*'Lease Cycles'!$AU$21/12,'Lease Cycles'!$C$21*INDEX('Lease Cycles'!$CB$21:$CH$21,1,AJ231)*(1+INDEX('Lease Cycles'!$CI$21:$CO$21,1,AJ231))^INT(INT(AJ232/12)/INDEX('Lease Cycles'!$CP$21:$CV$21,1,AJ231))/12)))),'Lease Cycles'!$C$21*INDEX('Lease Cycles'!$CB$21:$CH$21,1,AJ231)*(1+INDEX('Lease Cycles'!$CI$21:$CO$21,1,AJ231))^INT(INT(AJ232/12)/INDEX('Lease Cycles'!$CP$21:$CV$21,1,AJ231))/12),IF(INDEX('Lease Cycles'!$EF$21:$EL$21,1,AJ231)=1,IF(AND('Lease Cycles'!$AZ$21&gt;=INDEX('Lease Cycles'!$BG$21:$BM$21,1,AJ231),'Lease Cycles'!$AZ$21&lt;=AJ$6),'Lease Cycles'!$C$21*'Lease Cycles'!$BA$21/12,IF(AND('Lease Cycles'!$AX$21&gt;=INDEX('Lease Cycles'!$BG$21:$BM$21,1,AJ231),'Lease Cycles'!$AX$21&lt;=AJ$6),'Lease Cycles'!$C$21*'Lease Cycles'!$AY$21/12,IF(AND('Lease Cycles'!$AV$21&gt;=INDEX('Lease Cycles'!$BG$21:$BM$21,1,AJ231),'Lease Cycles'!$AV$21&lt;=AJ$6),'Lease Cycles'!$C$21*'Lease Cycles'!$AW$21/12,IF(AND('Lease Cycles'!$AT$21&gt;=INDEX('Lease Cycles'!$BG$21:$BM$21,1,AJ231),'Lease Cycles'!$AT$21&lt;=AJ$6),'Lease Cycles'!$C$21*'Lease Cycles'!$AU$21/12,'Lease Cycles'!$C$21*INDEX('Lease Cycles'!$CB$21:$CH$21,1,AJ231)*(1+INDEX('Lease Cycles'!$CI$21:$CO$21,1,AJ231))^INT(INT(AJ232/12)/INDEX('Lease Cycles'!$CP$21:$CV$21,1,AJ231))/12)))),'Lease Cycles'!$C$21*INDEX('Lease Cycles'!$CB$21:$CH$21,1,AJ231)*(1+INDEX('Lease Cycles'!$CI$21:$CO$21,1,AJ231))^INT(INT(AJ232/12)/INDEX('Lease Cycles'!$CP$21:$CV$21,1,AJ231))/12))),IF('Lease Cycles'!$N$21=1,'Lease Cycles'!$C$21*'Lease Cycles'!$E$21*INDEX('Lease Cycles'!$HE$21:$HK$21,1,AJ231)*(1+INDEX('Lease Cycles'!$GQ$21:$GW$21,1,AJ231))^INT(INT((AJ$6-INDEX('Lease Cycles'!$GJ$21:$GP$21,1,AJ231))/12)/INDEX('Lease Cycles'!$GX$21:$HD$21,1,AJ231))/12,0)))</f>
        <v>0</v>
      </c>
      <c r="AK234" s="28">
        <f>IF(AK231=0,IF('Lease Cycles'!$F$21&gt;0,'Lease Cycles'!$C$21*'Lease Cycles'!$E$21/12,0),IF(AK233=1,IF('Lease Cycles'!$AT$21&gt;=9999,'Lease Cycles'!$C$21*INDEX('Lease Cycles'!$CB$21:$CH$21,1,AK231)*(1+INDEX('Lease Cycles'!$CI$21:$CO$21,1,AK231))^INT(INT(AK232/12)/INDEX('Lease Cycles'!$CP$21:$CV$21,1,AK231))/12,IF(AK231=1,IF(AK232&gt;=INDEX('Lease Cycles'!$DK$21:$DQ$21,1,AK231),IF(AK$6&gt;='Lease Cycles'!$AZ$21,'Lease Cycles'!$C$21*'Lease Cycles'!$BA$21/12,IF(AK$6&gt;='Lease Cycles'!$AX$21,'Lease Cycles'!$C$21*'Lease Cycles'!$AY$21/12,IF(AK$6&gt;='Lease Cycles'!$AV$21,'Lease Cycles'!$C$21*'Lease Cycles'!$AW$21/12,IF(AK$6&gt;='Lease Cycles'!$AT$21,'Lease Cycles'!$C$21*'Lease Cycles'!$AU$21/12,'Lease Cycles'!$C$21*INDEX('Lease Cycles'!$CB$21:$CH$21,1,AK231)*(1+INDEX('Lease Cycles'!$CI$21:$CO$21,1,AK231))^INT(INT(AK232/12)/INDEX('Lease Cycles'!$CP$21:$CV$21,1,AK231))/12)))),'Lease Cycles'!$C$21*INDEX('Lease Cycles'!$CB$21:$CH$21,1,AK231)*(1+INDEX('Lease Cycles'!$CI$21:$CO$21,1,AK231))^INT(INT(AK232/12)/INDEX('Lease Cycles'!$CP$21:$CV$21,1,AK231))/12),IF(INDEX('Lease Cycles'!$EF$21:$EL$21,1,AK231)=1,IF(AND('Lease Cycles'!$AZ$21&gt;=INDEX('Lease Cycles'!$BG$21:$BM$21,1,AK231),'Lease Cycles'!$AZ$21&lt;=AK$6),'Lease Cycles'!$C$21*'Lease Cycles'!$BA$21/12,IF(AND('Lease Cycles'!$AX$21&gt;=INDEX('Lease Cycles'!$BG$21:$BM$21,1,AK231),'Lease Cycles'!$AX$21&lt;=AK$6),'Lease Cycles'!$C$21*'Lease Cycles'!$AY$21/12,IF(AND('Lease Cycles'!$AV$21&gt;=INDEX('Lease Cycles'!$BG$21:$BM$21,1,AK231),'Lease Cycles'!$AV$21&lt;=AK$6),'Lease Cycles'!$C$21*'Lease Cycles'!$AW$21/12,IF(AND('Lease Cycles'!$AT$21&gt;=INDEX('Lease Cycles'!$BG$21:$BM$21,1,AK231),'Lease Cycles'!$AT$21&lt;=AK$6),'Lease Cycles'!$C$21*'Lease Cycles'!$AU$21/12,'Lease Cycles'!$C$21*INDEX('Lease Cycles'!$CB$21:$CH$21,1,AK231)*(1+INDEX('Lease Cycles'!$CI$21:$CO$21,1,AK231))^INT(INT(AK232/12)/INDEX('Lease Cycles'!$CP$21:$CV$21,1,AK231))/12)))),'Lease Cycles'!$C$21*INDEX('Lease Cycles'!$CB$21:$CH$21,1,AK231)*(1+INDEX('Lease Cycles'!$CI$21:$CO$21,1,AK231))^INT(INT(AK232/12)/INDEX('Lease Cycles'!$CP$21:$CV$21,1,AK231))/12))),IF('Lease Cycles'!$N$21=1,'Lease Cycles'!$C$21*'Lease Cycles'!$E$21*INDEX('Lease Cycles'!$HE$21:$HK$21,1,AK231)*(1+INDEX('Lease Cycles'!$GQ$21:$GW$21,1,AK231))^INT(INT((AK$6-INDEX('Lease Cycles'!$GJ$21:$GP$21,1,AK231))/12)/INDEX('Lease Cycles'!$GX$21:$HD$21,1,AK231))/12,0)))</f>
        <v>0</v>
      </c>
      <c r="AL234" s="28">
        <f>IF(AL231=0,IF('Lease Cycles'!$F$21&gt;0,'Lease Cycles'!$C$21*'Lease Cycles'!$E$21/12,0),IF(AL233=1,IF('Lease Cycles'!$AT$21&gt;=9999,'Lease Cycles'!$C$21*INDEX('Lease Cycles'!$CB$21:$CH$21,1,AL231)*(1+INDEX('Lease Cycles'!$CI$21:$CO$21,1,AL231))^INT(INT(AL232/12)/INDEX('Lease Cycles'!$CP$21:$CV$21,1,AL231))/12,IF(AL231=1,IF(AL232&gt;=INDEX('Lease Cycles'!$DK$21:$DQ$21,1,AL231),IF(AL$6&gt;='Lease Cycles'!$AZ$21,'Lease Cycles'!$C$21*'Lease Cycles'!$BA$21/12,IF(AL$6&gt;='Lease Cycles'!$AX$21,'Lease Cycles'!$C$21*'Lease Cycles'!$AY$21/12,IF(AL$6&gt;='Lease Cycles'!$AV$21,'Lease Cycles'!$C$21*'Lease Cycles'!$AW$21/12,IF(AL$6&gt;='Lease Cycles'!$AT$21,'Lease Cycles'!$C$21*'Lease Cycles'!$AU$21/12,'Lease Cycles'!$C$21*INDEX('Lease Cycles'!$CB$21:$CH$21,1,AL231)*(1+INDEX('Lease Cycles'!$CI$21:$CO$21,1,AL231))^INT(INT(AL232/12)/INDEX('Lease Cycles'!$CP$21:$CV$21,1,AL231))/12)))),'Lease Cycles'!$C$21*INDEX('Lease Cycles'!$CB$21:$CH$21,1,AL231)*(1+INDEX('Lease Cycles'!$CI$21:$CO$21,1,AL231))^INT(INT(AL232/12)/INDEX('Lease Cycles'!$CP$21:$CV$21,1,AL231))/12),IF(INDEX('Lease Cycles'!$EF$21:$EL$21,1,AL231)=1,IF(AND('Lease Cycles'!$AZ$21&gt;=INDEX('Lease Cycles'!$BG$21:$BM$21,1,AL231),'Lease Cycles'!$AZ$21&lt;=AL$6),'Lease Cycles'!$C$21*'Lease Cycles'!$BA$21/12,IF(AND('Lease Cycles'!$AX$21&gt;=INDEX('Lease Cycles'!$BG$21:$BM$21,1,AL231),'Lease Cycles'!$AX$21&lt;=AL$6),'Lease Cycles'!$C$21*'Lease Cycles'!$AY$21/12,IF(AND('Lease Cycles'!$AV$21&gt;=INDEX('Lease Cycles'!$BG$21:$BM$21,1,AL231),'Lease Cycles'!$AV$21&lt;=AL$6),'Lease Cycles'!$C$21*'Lease Cycles'!$AW$21/12,IF(AND('Lease Cycles'!$AT$21&gt;=INDEX('Lease Cycles'!$BG$21:$BM$21,1,AL231),'Lease Cycles'!$AT$21&lt;=AL$6),'Lease Cycles'!$C$21*'Lease Cycles'!$AU$21/12,'Lease Cycles'!$C$21*INDEX('Lease Cycles'!$CB$21:$CH$21,1,AL231)*(1+INDEX('Lease Cycles'!$CI$21:$CO$21,1,AL231))^INT(INT(AL232/12)/INDEX('Lease Cycles'!$CP$21:$CV$21,1,AL231))/12)))),'Lease Cycles'!$C$21*INDEX('Lease Cycles'!$CB$21:$CH$21,1,AL231)*(1+INDEX('Lease Cycles'!$CI$21:$CO$21,1,AL231))^INT(INT(AL232/12)/INDEX('Lease Cycles'!$CP$21:$CV$21,1,AL231))/12))),IF('Lease Cycles'!$N$21=1,'Lease Cycles'!$C$21*'Lease Cycles'!$E$21*INDEX('Lease Cycles'!$HE$21:$HK$21,1,AL231)*(1+INDEX('Lease Cycles'!$GQ$21:$GW$21,1,AL231))^INT(INT((AL$6-INDEX('Lease Cycles'!$GJ$21:$GP$21,1,AL231))/12)/INDEX('Lease Cycles'!$GX$21:$HD$21,1,AL231))/12,0)))</f>
        <v>0</v>
      </c>
      <c r="AM234" s="28">
        <f>IF(AM231=0,IF('Lease Cycles'!$F$21&gt;0,'Lease Cycles'!$C$21*'Lease Cycles'!$E$21/12,0),IF(AM233=1,IF('Lease Cycles'!$AT$21&gt;=9999,'Lease Cycles'!$C$21*INDEX('Lease Cycles'!$CB$21:$CH$21,1,AM231)*(1+INDEX('Lease Cycles'!$CI$21:$CO$21,1,AM231))^INT(INT(AM232/12)/INDEX('Lease Cycles'!$CP$21:$CV$21,1,AM231))/12,IF(AM231=1,IF(AM232&gt;=INDEX('Lease Cycles'!$DK$21:$DQ$21,1,AM231),IF(AM$6&gt;='Lease Cycles'!$AZ$21,'Lease Cycles'!$C$21*'Lease Cycles'!$BA$21/12,IF(AM$6&gt;='Lease Cycles'!$AX$21,'Lease Cycles'!$C$21*'Lease Cycles'!$AY$21/12,IF(AM$6&gt;='Lease Cycles'!$AV$21,'Lease Cycles'!$C$21*'Lease Cycles'!$AW$21/12,IF(AM$6&gt;='Lease Cycles'!$AT$21,'Lease Cycles'!$C$21*'Lease Cycles'!$AU$21/12,'Lease Cycles'!$C$21*INDEX('Lease Cycles'!$CB$21:$CH$21,1,AM231)*(1+INDEX('Lease Cycles'!$CI$21:$CO$21,1,AM231))^INT(INT(AM232/12)/INDEX('Lease Cycles'!$CP$21:$CV$21,1,AM231))/12)))),'Lease Cycles'!$C$21*INDEX('Lease Cycles'!$CB$21:$CH$21,1,AM231)*(1+INDEX('Lease Cycles'!$CI$21:$CO$21,1,AM231))^INT(INT(AM232/12)/INDEX('Lease Cycles'!$CP$21:$CV$21,1,AM231))/12),IF(INDEX('Lease Cycles'!$EF$21:$EL$21,1,AM231)=1,IF(AND('Lease Cycles'!$AZ$21&gt;=INDEX('Lease Cycles'!$BG$21:$BM$21,1,AM231),'Lease Cycles'!$AZ$21&lt;=AM$6),'Lease Cycles'!$C$21*'Lease Cycles'!$BA$21/12,IF(AND('Lease Cycles'!$AX$21&gt;=INDEX('Lease Cycles'!$BG$21:$BM$21,1,AM231),'Lease Cycles'!$AX$21&lt;=AM$6),'Lease Cycles'!$C$21*'Lease Cycles'!$AY$21/12,IF(AND('Lease Cycles'!$AV$21&gt;=INDEX('Lease Cycles'!$BG$21:$BM$21,1,AM231),'Lease Cycles'!$AV$21&lt;=AM$6),'Lease Cycles'!$C$21*'Lease Cycles'!$AW$21/12,IF(AND('Lease Cycles'!$AT$21&gt;=INDEX('Lease Cycles'!$BG$21:$BM$21,1,AM231),'Lease Cycles'!$AT$21&lt;=AM$6),'Lease Cycles'!$C$21*'Lease Cycles'!$AU$21/12,'Lease Cycles'!$C$21*INDEX('Lease Cycles'!$CB$21:$CH$21,1,AM231)*(1+INDEX('Lease Cycles'!$CI$21:$CO$21,1,AM231))^INT(INT(AM232/12)/INDEX('Lease Cycles'!$CP$21:$CV$21,1,AM231))/12)))),'Lease Cycles'!$C$21*INDEX('Lease Cycles'!$CB$21:$CH$21,1,AM231)*(1+INDEX('Lease Cycles'!$CI$21:$CO$21,1,AM231))^INT(INT(AM232/12)/INDEX('Lease Cycles'!$CP$21:$CV$21,1,AM231))/12))),IF('Lease Cycles'!$N$21=1,'Lease Cycles'!$C$21*'Lease Cycles'!$E$21*INDEX('Lease Cycles'!$HE$21:$HK$21,1,AM231)*(1+INDEX('Lease Cycles'!$GQ$21:$GW$21,1,AM231))^INT(INT((AM$6-INDEX('Lease Cycles'!$GJ$21:$GP$21,1,AM231))/12)/INDEX('Lease Cycles'!$GX$21:$HD$21,1,AM231))/12,0)))</f>
        <v>0</v>
      </c>
      <c r="AN234" s="28">
        <f>IF(AN231=0,IF('Lease Cycles'!$F$21&gt;0,'Lease Cycles'!$C$21*'Lease Cycles'!$E$21/12,0),IF(AN233=1,IF('Lease Cycles'!$AT$21&gt;=9999,'Lease Cycles'!$C$21*INDEX('Lease Cycles'!$CB$21:$CH$21,1,AN231)*(1+INDEX('Lease Cycles'!$CI$21:$CO$21,1,AN231))^INT(INT(AN232/12)/INDEX('Lease Cycles'!$CP$21:$CV$21,1,AN231))/12,IF(AN231=1,IF(AN232&gt;=INDEX('Lease Cycles'!$DK$21:$DQ$21,1,AN231),IF(AN$6&gt;='Lease Cycles'!$AZ$21,'Lease Cycles'!$C$21*'Lease Cycles'!$BA$21/12,IF(AN$6&gt;='Lease Cycles'!$AX$21,'Lease Cycles'!$C$21*'Lease Cycles'!$AY$21/12,IF(AN$6&gt;='Lease Cycles'!$AV$21,'Lease Cycles'!$C$21*'Lease Cycles'!$AW$21/12,IF(AN$6&gt;='Lease Cycles'!$AT$21,'Lease Cycles'!$C$21*'Lease Cycles'!$AU$21/12,'Lease Cycles'!$C$21*INDEX('Lease Cycles'!$CB$21:$CH$21,1,AN231)*(1+INDEX('Lease Cycles'!$CI$21:$CO$21,1,AN231))^INT(INT(AN232/12)/INDEX('Lease Cycles'!$CP$21:$CV$21,1,AN231))/12)))),'Lease Cycles'!$C$21*INDEX('Lease Cycles'!$CB$21:$CH$21,1,AN231)*(1+INDEX('Lease Cycles'!$CI$21:$CO$21,1,AN231))^INT(INT(AN232/12)/INDEX('Lease Cycles'!$CP$21:$CV$21,1,AN231))/12),IF(INDEX('Lease Cycles'!$EF$21:$EL$21,1,AN231)=1,IF(AND('Lease Cycles'!$AZ$21&gt;=INDEX('Lease Cycles'!$BG$21:$BM$21,1,AN231),'Lease Cycles'!$AZ$21&lt;=AN$6),'Lease Cycles'!$C$21*'Lease Cycles'!$BA$21/12,IF(AND('Lease Cycles'!$AX$21&gt;=INDEX('Lease Cycles'!$BG$21:$BM$21,1,AN231),'Lease Cycles'!$AX$21&lt;=AN$6),'Lease Cycles'!$C$21*'Lease Cycles'!$AY$21/12,IF(AND('Lease Cycles'!$AV$21&gt;=INDEX('Lease Cycles'!$BG$21:$BM$21,1,AN231),'Lease Cycles'!$AV$21&lt;=AN$6),'Lease Cycles'!$C$21*'Lease Cycles'!$AW$21/12,IF(AND('Lease Cycles'!$AT$21&gt;=INDEX('Lease Cycles'!$BG$21:$BM$21,1,AN231),'Lease Cycles'!$AT$21&lt;=AN$6),'Lease Cycles'!$C$21*'Lease Cycles'!$AU$21/12,'Lease Cycles'!$C$21*INDEX('Lease Cycles'!$CB$21:$CH$21,1,AN231)*(1+INDEX('Lease Cycles'!$CI$21:$CO$21,1,AN231))^INT(INT(AN232/12)/INDEX('Lease Cycles'!$CP$21:$CV$21,1,AN231))/12)))),'Lease Cycles'!$C$21*INDEX('Lease Cycles'!$CB$21:$CH$21,1,AN231)*(1+INDEX('Lease Cycles'!$CI$21:$CO$21,1,AN231))^INT(INT(AN232/12)/INDEX('Lease Cycles'!$CP$21:$CV$21,1,AN231))/12))),IF('Lease Cycles'!$N$21=1,'Lease Cycles'!$C$21*'Lease Cycles'!$E$21*INDEX('Lease Cycles'!$HE$21:$HK$21,1,AN231)*(1+INDEX('Lease Cycles'!$GQ$21:$GW$21,1,AN231))^INT(INT((AN$6-INDEX('Lease Cycles'!$GJ$21:$GP$21,1,AN231))/12)/INDEX('Lease Cycles'!$GX$21:$HD$21,1,AN231))/12,0)))</f>
        <v>0</v>
      </c>
      <c r="AO234" s="28">
        <f>IF(AO231=0,IF('Lease Cycles'!$F$21&gt;0,'Lease Cycles'!$C$21*'Lease Cycles'!$E$21/12,0),IF(AO233=1,IF('Lease Cycles'!$AT$21&gt;=9999,'Lease Cycles'!$C$21*INDEX('Lease Cycles'!$CB$21:$CH$21,1,AO231)*(1+INDEX('Lease Cycles'!$CI$21:$CO$21,1,AO231))^INT(INT(AO232/12)/INDEX('Lease Cycles'!$CP$21:$CV$21,1,AO231))/12,IF(AO231=1,IF(AO232&gt;=INDEX('Lease Cycles'!$DK$21:$DQ$21,1,AO231),IF(AO$6&gt;='Lease Cycles'!$AZ$21,'Lease Cycles'!$C$21*'Lease Cycles'!$BA$21/12,IF(AO$6&gt;='Lease Cycles'!$AX$21,'Lease Cycles'!$C$21*'Lease Cycles'!$AY$21/12,IF(AO$6&gt;='Lease Cycles'!$AV$21,'Lease Cycles'!$C$21*'Lease Cycles'!$AW$21/12,IF(AO$6&gt;='Lease Cycles'!$AT$21,'Lease Cycles'!$C$21*'Lease Cycles'!$AU$21/12,'Lease Cycles'!$C$21*INDEX('Lease Cycles'!$CB$21:$CH$21,1,AO231)*(1+INDEX('Lease Cycles'!$CI$21:$CO$21,1,AO231))^INT(INT(AO232/12)/INDEX('Lease Cycles'!$CP$21:$CV$21,1,AO231))/12)))),'Lease Cycles'!$C$21*INDEX('Lease Cycles'!$CB$21:$CH$21,1,AO231)*(1+INDEX('Lease Cycles'!$CI$21:$CO$21,1,AO231))^INT(INT(AO232/12)/INDEX('Lease Cycles'!$CP$21:$CV$21,1,AO231))/12),IF(INDEX('Lease Cycles'!$EF$21:$EL$21,1,AO231)=1,IF(AND('Lease Cycles'!$AZ$21&gt;=INDEX('Lease Cycles'!$BG$21:$BM$21,1,AO231),'Lease Cycles'!$AZ$21&lt;=AO$6),'Lease Cycles'!$C$21*'Lease Cycles'!$BA$21/12,IF(AND('Lease Cycles'!$AX$21&gt;=INDEX('Lease Cycles'!$BG$21:$BM$21,1,AO231),'Lease Cycles'!$AX$21&lt;=AO$6),'Lease Cycles'!$C$21*'Lease Cycles'!$AY$21/12,IF(AND('Lease Cycles'!$AV$21&gt;=INDEX('Lease Cycles'!$BG$21:$BM$21,1,AO231),'Lease Cycles'!$AV$21&lt;=AO$6),'Lease Cycles'!$C$21*'Lease Cycles'!$AW$21/12,IF(AND('Lease Cycles'!$AT$21&gt;=INDEX('Lease Cycles'!$BG$21:$BM$21,1,AO231),'Lease Cycles'!$AT$21&lt;=AO$6),'Lease Cycles'!$C$21*'Lease Cycles'!$AU$21/12,'Lease Cycles'!$C$21*INDEX('Lease Cycles'!$CB$21:$CH$21,1,AO231)*(1+INDEX('Lease Cycles'!$CI$21:$CO$21,1,AO231))^INT(INT(AO232/12)/INDEX('Lease Cycles'!$CP$21:$CV$21,1,AO231))/12)))),'Lease Cycles'!$C$21*INDEX('Lease Cycles'!$CB$21:$CH$21,1,AO231)*(1+INDEX('Lease Cycles'!$CI$21:$CO$21,1,AO231))^INT(INT(AO232/12)/INDEX('Lease Cycles'!$CP$21:$CV$21,1,AO231))/12))),IF('Lease Cycles'!$N$21=1,'Lease Cycles'!$C$21*'Lease Cycles'!$E$21*INDEX('Lease Cycles'!$HE$21:$HK$21,1,AO231)*(1+INDEX('Lease Cycles'!$GQ$21:$GW$21,1,AO231))^INT(INT((AO$6-INDEX('Lease Cycles'!$GJ$21:$GP$21,1,AO231))/12)/INDEX('Lease Cycles'!$GX$21:$HD$21,1,AO231))/12,0)))</f>
        <v>0</v>
      </c>
      <c r="AP234" s="28">
        <f>IF(AP231=0,IF('Lease Cycles'!$F$21&gt;0,'Lease Cycles'!$C$21*'Lease Cycles'!$E$21/12,0),IF(AP233=1,IF('Lease Cycles'!$AT$21&gt;=9999,'Lease Cycles'!$C$21*INDEX('Lease Cycles'!$CB$21:$CH$21,1,AP231)*(1+INDEX('Lease Cycles'!$CI$21:$CO$21,1,AP231))^INT(INT(AP232/12)/INDEX('Lease Cycles'!$CP$21:$CV$21,1,AP231))/12,IF(AP231=1,IF(AP232&gt;=INDEX('Lease Cycles'!$DK$21:$DQ$21,1,AP231),IF(AP$6&gt;='Lease Cycles'!$AZ$21,'Lease Cycles'!$C$21*'Lease Cycles'!$BA$21/12,IF(AP$6&gt;='Lease Cycles'!$AX$21,'Lease Cycles'!$C$21*'Lease Cycles'!$AY$21/12,IF(AP$6&gt;='Lease Cycles'!$AV$21,'Lease Cycles'!$C$21*'Lease Cycles'!$AW$21/12,IF(AP$6&gt;='Lease Cycles'!$AT$21,'Lease Cycles'!$C$21*'Lease Cycles'!$AU$21/12,'Lease Cycles'!$C$21*INDEX('Lease Cycles'!$CB$21:$CH$21,1,AP231)*(1+INDEX('Lease Cycles'!$CI$21:$CO$21,1,AP231))^INT(INT(AP232/12)/INDEX('Lease Cycles'!$CP$21:$CV$21,1,AP231))/12)))),'Lease Cycles'!$C$21*INDEX('Lease Cycles'!$CB$21:$CH$21,1,AP231)*(1+INDEX('Lease Cycles'!$CI$21:$CO$21,1,AP231))^INT(INT(AP232/12)/INDEX('Lease Cycles'!$CP$21:$CV$21,1,AP231))/12),IF(INDEX('Lease Cycles'!$EF$21:$EL$21,1,AP231)=1,IF(AND('Lease Cycles'!$AZ$21&gt;=INDEX('Lease Cycles'!$BG$21:$BM$21,1,AP231),'Lease Cycles'!$AZ$21&lt;=AP$6),'Lease Cycles'!$C$21*'Lease Cycles'!$BA$21/12,IF(AND('Lease Cycles'!$AX$21&gt;=INDEX('Lease Cycles'!$BG$21:$BM$21,1,AP231),'Lease Cycles'!$AX$21&lt;=AP$6),'Lease Cycles'!$C$21*'Lease Cycles'!$AY$21/12,IF(AND('Lease Cycles'!$AV$21&gt;=INDEX('Lease Cycles'!$BG$21:$BM$21,1,AP231),'Lease Cycles'!$AV$21&lt;=AP$6),'Lease Cycles'!$C$21*'Lease Cycles'!$AW$21/12,IF(AND('Lease Cycles'!$AT$21&gt;=INDEX('Lease Cycles'!$BG$21:$BM$21,1,AP231),'Lease Cycles'!$AT$21&lt;=AP$6),'Lease Cycles'!$C$21*'Lease Cycles'!$AU$21/12,'Lease Cycles'!$C$21*INDEX('Lease Cycles'!$CB$21:$CH$21,1,AP231)*(1+INDEX('Lease Cycles'!$CI$21:$CO$21,1,AP231))^INT(INT(AP232/12)/INDEX('Lease Cycles'!$CP$21:$CV$21,1,AP231))/12)))),'Lease Cycles'!$C$21*INDEX('Lease Cycles'!$CB$21:$CH$21,1,AP231)*(1+INDEX('Lease Cycles'!$CI$21:$CO$21,1,AP231))^INT(INT(AP232/12)/INDEX('Lease Cycles'!$CP$21:$CV$21,1,AP231))/12))),IF('Lease Cycles'!$N$21=1,'Lease Cycles'!$C$21*'Lease Cycles'!$E$21*INDEX('Lease Cycles'!$HE$21:$HK$21,1,AP231)*(1+INDEX('Lease Cycles'!$GQ$21:$GW$21,1,AP231))^INT(INT((AP$6-INDEX('Lease Cycles'!$GJ$21:$GP$21,1,AP231))/12)/INDEX('Lease Cycles'!$GX$21:$HD$21,1,AP231))/12,0)))</f>
        <v>0</v>
      </c>
      <c r="AQ234" s="28">
        <f>IF(AQ231=0,IF('Lease Cycles'!$F$21&gt;0,'Lease Cycles'!$C$21*'Lease Cycles'!$E$21/12,0),IF(AQ233=1,IF('Lease Cycles'!$AT$21&gt;=9999,'Lease Cycles'!$C$21*INDEX('Lease Cycles'!$CB$21:$CH$21,1,AQ231)*(1+INDEX('Lease Cycles'!$CI$21:$CO$21,1,AQ231))^INT(INT(AQ232/12)/INDEX('Lease Cycles'!$CP$21:$CV$21,1,AQ231))/12,IF(AQ231=1,IF(AQ232&gt;=INDEX('Lease Cycles'!$DK$21:$DQ$21,1,AQ231),IF(AQ$6&gt;='Lease Cycles'!$AZ$21,'Lease Cycles'!$C$21*'Lease Cycles'!$BA$21/12,IF(AQ$6&gt;='Lease Cycles'!$AX$21,'Lease Cycles'!$C$21*'Lease Cycles'!$AY$21/12,IF(AQ$6&gt;='Lease Cycles'!$AV$21,'Lease Cycles'!$C$21*'Lease Cycles'!$AW$21/12,IF(AQ$6&gt;='Lease Cycles'!$AT$21,'Lease Cycles'!$C$21*'Lease Cycles'!$AU$21/12,'Lease Cycles'!$C$21*INDEX('Lease Cycles'!$CB$21:$CH$21,1,AQ231)*(1+INDEX('Lease Cycles'!$CI$21:$CO$21,1,AQ231))^INT(INT(AQ232/12)/INDEX('Lease Cycles'!$CP$21:$CV$21,1,AQ231))/12)))),'Lease Cycles'!$C$21*INDEX('Lease Cycles'!$CB$21:$CH$21,1,AQ231)*(1+INDEX('Lease Cycles'!$CI$21:$CO$21,1,AQ231))^INT(INT(AQ232/12)/INDEX('Lease Cycles'!$CP$21:$CV$21,1,AQ231))/12),IF(INDEX('Lease Cycles'!$EF$21:$EL$21,1,AQ231)=1,IF(AND('Lease Cycles'!$AZ$21&gt;=INDEX('Lease Cycles'!$BG$21:$BM$21,1,AQ231),'Lease Cycles'!$AZ$21&lt;=AQ$6),'Lease Cycles'!$C$21*'Lease Cycles'!$BA$21/12,IF(AND('Lease Cycles'!$AX$21&gt;=INDEX('Lease Cycles'!$BG$21:$BM$21,1,AQ231),'Lease Cycles'!$AX$21&lt;=AQ$6),'Lease Cycles'!$C$21*'Lease Cycles'!$AY$21/12,IF(AND('Lease Cycles'!$AV$21&gt;=INDEX('Lease Cycles'!$BG$21:$BM$21,1,AQ231),'Lease Cycles'!$AV$21&lt;=AQ$6),'Lease Cycles'!$C$21*'Lease Cycles'!$AW$21/12,IF(AND('Lease Cycles'!$AT$21&gt;=INDEX('Lease Cycles'!$BG$21:$BM$21,1,AQ231),'Lease Cycles'!$AT$21&lt;=AQ$6),'Lease Cycles'!$C$21*'Lease Cycles'!$AU$21/12,'Lease Cycles'!$C$21*INDEX('Lease Cycles'!$CB$21:$CH$21,1,AQ231)*(1+INDEX('Lease Cycles'!$CI$21:$CO$21,1,AQ231))^INT(INT(AQ232/12)/INDEX('Lease Cycles'!$CP$21:$CV$21,1,AQ231))/12)))),'Lease Cycles'!$C$21*INDEX('Lease Cycles'!$CB$21:$CH$21,1,AQ231)*(1+INDEX('Lease Cycles'!$CI$21:$CO$21,1,AQ231))^INT(INT(AQ232/12)/INDEX('Lease Cycles'!$CP$21:$CV$21,1,AQ231))/12))),IF('Lease Cycles'!$N$21=1,'Lease Cycles'!$C$21*'Lease Cycles'!$E$21*INDEX('Lease Cycles'!$HE$21:$HK$21,1,AQ231)*(1+INDEX('Lease Cycles'!$GQ$21:$GW$21,1,AQ231))^INT(INT((AQ$6-INDEX('Lease Cycles'!$GJ$21:$GP$21,1,AQ231))/12)/INDEX('Lease Cycles'!$GX$21:$HD$21,1,AQ231))/12,0)))</f>
        <v>0</v>
      </c>
      <c r="AR234" s="28">
        <f>IF(AR231=0,IF('Lease Cycles'!$F$21&gt;0,'Lease Cycles'!$C$21*'Lease Cycles'!$E$21/12,0),IF(AR233=1,IF('Lease Cycles'!$AT$21&gt;=9999,'Lease Cycles'!$C$21*INDEX('Lease Cycles'!$CB$21:$CH$21,1,AR231)*(1+INDEX('Lease Cycles'!$CI$21:$CO$21,1,AR231))^INT(INT(AR232/12)/INDEX('Lease Cycles'!$CP$21:$CV$21,1,AR231))/12,IF(AR231=1,IF(AR232&gt;=INDEX('Lease Cycles'!$DK$21:$DQ$21,1,AR231),IF(AR$6&gt;='Lease Cycles'!$AZ$21,'Lease Cycles'!$C$21*'Lease Cycles'!$BA$21/12,IF(AR$6&gt;='Lease Cycles'!$AX$21,'Lease Cycles'!$C$21*'Lease Cycles'!$AY$21/12,IF(AR$6&gt;='Lease Cycles'!$AV$21,'Lease Cycles'!$C$21*'Lease Cycles'!$AW$21/12,IF(AR$6&gt;='Lease Cycles'!$AT$21,'Lease Cycles'!$C$21*'Lease Cycles'!$AU$21/12,'Lease Cycles'!$C$21*INDEX('Lease Cycles'!$CB$21:$CH$21,1,AR231)*(1+INDEX('Lease Cycles'!$CI$21:$CO$21,1,AR231))^INT(INT(AR232/12)/INDEX('Lease Cycles'!$CP$21:$CV$21,1,AR231))/12)))),'Lease Cycles'!$C$21*INDEX('Lease Cycles'!$CB$21:$CH$21,1,AR231)*(1+INDEX('Lease Cycles'!$CI$21:$CO$21,1,AR231))^INT(INT(AR232/12)/INDEX('Lease Cycles'!$CP$21:$CV$21,1,AR231))/12),IF(INDEX('Lease Cycles'!$EF$21:$EL$21,1,AR231)=1,IF(AND('Lease Cycles'!$AZ$21&gt;=INDEX('Lease Cycles'!$BG$21:$BM$21,1,AR231),'Lease Cycles'!$AZ$21&lt;=AR$6),'Lease Cycles'!$C$21*'Lease Cycles'!$BA$21/12,IF(AND('Lease Cycles'!$AX$21&gt;=INDEX('Lease Cycles'!$BG$21:$BM$21,1,AR231),'Lease Cycles'!$AX$21&lt;=AR$6),'Lease Cycles'!$C$21*'Lease Cycles'!$AY$21/12,IF(AND('Lease Cycles'!$AV$21&gt;=INDEX('Lease Cycles'!$BG$21:$BM$21,1,AR231),'Lease Cycles'!$AV$21&lt;=AR$6),'Lease Cycles'!$C$21*'Lease Cycles'!$AW$21/12,IF(AND('Lease Cycles'!$AT$21&gt;=INDEX('Lease Cycles'!$BG$21:$BM$21,1,AR231),'Lease Cycles'!$AT$21&lt;=AR$6),'Lease Cycles'!$C$21*'Lease Cycles'!$AU$21/12,'Lease Cycles'!$C$21*INDEX('Lease Cycles'!$CB$21:$CH$21,1,AR231)*(1+INDEX('Lease Cycles'!$CI$21:$CO$21,1,AR231))^INT(INT(AR232/12)/INDEX('Lease Cycles'!$CP$21:$CV$21,1,AR231))/12)))),'Lease Cycles'!$C$21*INDEX('Lease Cycles'!$CB$21:$CH$21,1,AR231)*(1+INDEX('Lease Cycles'!$CI$21:$CO$21,1,AR231))^INT(INT(AR232/12)/INDEX('Lease Cycles'!$CP$21:$CV$21,1,AR231))/12))),IF('Lease Cycles'!$N$21=1,'Lease Cycles'!$C$21*'Lease Cycles'!$E$21*INDEX('Lease Cycles'!$HE$21:$HK$21,1,AR231)*(1+INDEX('Lease Cycles'!$GQ$21:$GW$21,1,AR231))^INT(INT((AR$6-INDEX('Lease Cycles'!$GJ$21:$GP$21,1,AR231))/12)/INDEX('Lease Cycles'!$GX$21:$HD$21,1,AR231))/12,0)))</f>
        <v>0</v>
      </c>
      <c r="AS234" s="28">
        <f>IF(AS231=0,IF('Lease Cycles'!$F$21&gt;0,'Lease Cycles'!$C$21*'Lease Cycles'!$E$21/12,0),IF(AS233=1,IF('Lease Cycles'!$AT$21&gt;=9999,'Lease Cycles'!$C$21*INDEX('Lease Cycles'!$CB$21:$CH$21,1,AS231)*(1+INDEX('Lease Cycles'!$CI$21:$CO$21,1,AS231))^INT(INT(AS232/12)/INDEX('Lease Cycles'!$CP$21:$CV$21,1,AS231))/12,IF(AS231=1,IF(AS232&gt;=INDEX('Lease Cycles'!$DK$21:$DQ$21,1,AS231),IF(AS$6&gt;='Lease Cycles'!$AZ$21,'Lease Cycles'!$C$21*'Lease Cycles'!$BA$21/12,IF(AS$6&gt;='Lease Cycles'!$AX$21,'Lease Cycles'!$C$21*'Lease Cycles'!$AY$21/12,IF(AS$6&gt;='Lease Cycles'!$AV$21,'Lease Cycles'!$C$21*'Lease Cycles'!$AW$21/12,IF(AS$6&gt;='Lease Cycles'!$AT$21,'Lease Cycles'!$C$21*'Lease Cycles'!$AU$21/12,'Lease Cycles'!$C$21*INDEX('Lease Cycles'!$CB$21:$CH$21,1,AS231)*(1+INDEX('Lease Cycles'!$CI$21:$CO$21,1,AS231))^INT(INT(AS232/12)/INDEX('Lease Cycles'!$CP$21:$CV$21,1,AS231))/12)))),'Lease Cycles'!$C$21*INDEX('Lease Cycles'!$CB$21:$CH$21,1,AS231)*(1+INDEX('Lease Cycles'!$CI$21:$CO$21,1,AS231))^INT(INT(AS232/12)/INDEX('Lease Cycles'!$CP$21:$CV$21,1,AS231))/12),IF(INDEX('Lease Cycles'!$EF$21:$EL$21,1,AS231)=1,IF(AND('Lease Cycles'!$AZ$21&gt;=INDEX('Lease Cycles'!$BG$21:$BM$21,1,AS231),'Lease Cycles'!$AZ$21&lt;=AS$6),'Lease Cycles'!$C$21*'Lease Cycles'!$BA$21/12,IF(AND('Lease Cycles'!$AX$21&gt;=INDEX('Lease Cycles'!$BG$21:$BM$21,1,AS231),'Lease Cycles'!$AX$21&lt;=AS$6),'Lease Cycles'!$C$21*'Lease Cycles'!$AY$21/12,IF(AND('Lease Cycles'!$AV$21&gt;=INDEX('Lease Cycles'!$BG$21:$BM$21,1,AS231),'Lease Cycles'!$AV$21&lt;=AS$6),'Lease Cycles'!$C$21*'Lease Cycles'!$AW$21/12,IF(AND('Lease Cycles'!$AT$21&gt;=INDEX('Lease Cycles'!$BG$21:$BM$21,1,AS231),'Lease Cycles'!$AT$21&lt;=AS$6),'Lease Cycles'!$C$21*'Lease Cycles'!$AU$21/12,'Lease Cycles'!$C$21*INDEX('Lease Cycles'!$CB$21:$CH$21,1,AS231)*(1+INDEX('Lease Cycles'!$CI$21:$CO$21,1,AS231))^INT(INT(AS232/12)/INDEX('Lease Cycles'!$CP$21:$CV$21,1,AS231))/12)))),'Lease Cycles'!$C$21*INDEX('Lease Cycles'!$CB$21:$CH$21,1,AS231)*(1+INDEX('Lease Cycles'!$CI$21:$CO$21,1,AS231))^INT(INT(AS232/12)/INDEX('Lease Cycles'!$CP$21:$CV$21,1,AS231))/12))),IF('Lease Cycles'!$N$21=1,'Lease Cycles'!$C$21*'Lease Cycles'!$E$21*INDEX('Lease Cycles'!$HE$21:$HK$21,1,AS231)*(1+INDEX('Lease Cycles'!$GQ$21:$GW$21,1,AS231))^INT(INT((AS$6-INDEX('Lease Cycles'!$GJ$21:$GP$21,1,AS231))/12)/INDEX('Lease Cycles'!$GX$21:$HD$21,1,AS231))/12,0)))</f>
        <v>0</v>
      </c>
      <c r="AT234" s="28">
        <f>IF(AT231=0,IF('Lease Cycles'!$F$21&gt;0,'Lease Cycles'!$C$21*'Lease Cycles'!$E$21/12,0),IF(AT233=1,IF('Lease Cycles'!$AT$21&gt;=9999,'Lease Cycles'!$C$21*INDEX('Lease Cycles'!$CB$21:$CH$21,1,AT231)*(1+INDEX('Lease Cycles'!$CI$21:$CO$21,1,AT231))^INT(INT(AT232/12)/INDEX('Lease Cycles'!$CP$21:$CV$21,1,AT231))/12,IF(AT231=1,IF(AT232&gt;=INDEX('Lease Cycles'!$DK$21:$DQ$21,1,AT231),IF(AT$6&gt;='Lease Cycles'!$AZ$21,'Lease Cycles'!$C$21*'Lease Cycles'!$BA$21/12,IF(AT$6&gt;='Lease Cycles'!$AX$21,'Lease Cycles'!$C$21*'Lease Cycles'!$AY$21/12,IF(AT$6&gt;='Lease Cycles'!$AV$21,'Lease Cycles'!$C$21*'Lease Cycles'!$AW$21/12,IF(AT$6&gt;='Lease Cycles'!$AT$21,'Lease Cycles'!$C$21*'Lease Cycles'!$AU$21/12,'Lease Cycles'!$C$21*INDEX('Lease Cycles'!$CB$21:$CH$21,1,AT231)*(1+INDEX('Lease Cycles'!$CI$21:$CO$21,1,AT231))^INT(INT(AT232/12)/INDEX('Lease Cycles'!$CP$21:$CV$21,1,AT231))/12)))),'Lease Cycles'!$C$21*INDEX('Lease Cycles'!$CB$21:$CH$21,1,AT231)*(1+INDEX('Lease Cycles'!$CI$21:$CO$21,1,AT231))^INT(INT(AT232/12)/INDEX('Lease Cycles'!$CP$21:$CV$21,1,AT231))/12),IF(INDEX('Lease Cycles'!$EF$21:$EL$21,1,AT231)=1,IF(AND('Lease Cycles'!$AZ$21&gt;=INDEX('Lease Cycles'!$BG$21:$BM$21,1,AT231),'Lease Cycles'!$AZ$21&lt;=AT$6),'Lease Cycles'!$C$21*'Lease Cycles'!$BA$21/12,IF(AND('Lease Cycles'!$AX$21&gt;=INDEX('Lease Cycles'!$BG$21:$BM$21,1,AT231),'Lease Cycles'!$AX$21&lt;=AT$6),'Lease Cycles'!$C$21*'Lease Cycles'!$AY$21/12,IF(AND('Lease Cycles'!$AV$21&gt;=INDEX('Lease Cycles'!$BG$21:$BM$21,1,AT231),'Lease Cycles'!$AV$21&lt;=AT$6),'Lease Cycles'!$C$21*'Lease Cycles'!$AW$21/12,IF(AND('Lease Cycles'!$AT$21&gt;=INDEX('Lease Cycles'!$BG$21:$BM$21,1,AT231),'Lease Cycles'!$AT$21&lt;=AT$6),'Lease Cycles'!$C$21*'Lease Cycles'!$AU$21/12,'Lease Cycles'!$C$21*INDEX('Lease Cycles'!$CB$21:$CH$21,1,AT231)*(1+INDEX('Lease Cycles'!$CI$21:$CO$21,1,AT231))^INT(INT(AT232/12)/INDEX('Lease Cycles'!$CP$21:$CV$21,1,AT231))/12)))),'Lease Cycles'!$C$21*INDEX('Lease Cycles'!$CB$21:$CH$21,1,AT231)*(1+INDEX('Lease Cycles'!$CI$21:$CO$21,1,AT231))^INT(INT(AT232/12)/INDEX('Lease Cycles'!$CP$21:$CV$21,1,AT231))/12))),IF('Lease Cycles'!$N$21=1,'Lease Cycles'!$C$21*'Lease Cycles'!$E$21*INDEX('Lease Cycles'!$HE$21:$HK$21,1,AT231)*(1+INDEX('Lease Cycles'!$GQ$21:$GW$21,1,AT231))^INT(INT((AT$6-INDEX('Lease Cycles'!$GJ$21:$GP$21,1,AT231))/12)/INDEX('Lease Cycles'!$GX$21:$HD$21,1,AT231))/12,0)))</f>
        <v>0</v>
      </c>
      <c r="AU234" s="28">
        <f>IF(AU231=0,IF('Lease Cycles'!$F$21&gt;0,'Lease Cycles'!$C$21*'Lease Cycles'!$E$21/12,0),IF(AU233=1,IF('Lease Cycles'!$AT$21&gt;=9999,'Lease Cycles'!$C$21*INDEX('Lease Cycles'!$CB$21:$CH$21,1,AU231)*(1+INDEX('Lease Cycles'!$CI$21:$CO$21,1,AU231))^INT(INT(AU232/12)/INDEX('Lease Cycles'!$CP$21:$CV$21,1,AU231))/12,IF(AU231=1,IF(AU232&gt;=INDEX('Lease Cycles'!$DK$21:$DQ$21,1,AU231),IF(AU$6&gt;='Lease Cycles'!$AZ$21,'Lease Cycles'!$C$21*'Lease Cycles'!$BA$21/12,IF(AU$6&gt;='Lease Cycles'!$AX$21,'Lease Cycles'!$C$21*'Lease Cycles'!$AY$21/12,IF(AU$6&gt;='Lease Cycles'!$AV$21,'Lease Cycles'!$C$21*'Lease Cycles'!$AW$21/12,IF(AU$6&gt;='Lease Cycles'!$AT$21,'Lease Cycles'!$C$21*'Lease Cycles'!$AU$21/12,'Lease Cycles'!$C$21*INDEX('Lease Cycles'!$CB$21:$CH$21,1,AU231)*(1+INDEX('Lease Cycles'!$CI$21:$CO$21,1,AU231))^INT(INT(AU232/12)/INDEX('Lease Cycles'!$CP$21:$CV$21,1,AU231))/12)))),'Lease Cycles'!$C$21*INDEX('Lease Cycles'!$CB$21:$CH$21,1,AU231)*(1+INDEX('Lease Cycles'!$CI$21:$CO$21,1,AU231))^INT(INT(AU232/12)/INDEX('Lease Cycles'!$CP$21:$CV$21,1,AU231))/12),IF(INDEX('Lease Cycles'!$EF$21:$EL$21,1,AU231)=1,IF(AND('Lease Cycles'!$AZ$21&gt;=INDEX('Lease Cycles'!$BG$21:$BM$21,1,AU231),'Lease Cycles'!$AZ$21&lt;=AU$6),'Lease Cycles'!$C$21*'Lease Cycles'!$BA$21/12,IF(AND('Lease Cycles'!$AX$21&gt;=INDEX('Lease Cycles'!$BG$21:$BM$21,1,AU231),'Lease Cycles'!$AX$21&lt;=AU$6),'Lease Cycles'!$C$21*'Lease Cycles'!$AY$21/12,IF(AND('Lease Cycles'!$AV$21&gt;=INDEX('Lease Cycles'!$BG$21:$BM$21,1,AU231),'Lease Cycles'!$AV$21&lt;=AU$6),'Lease Cycles'!$C$21*'Lease Cycles'!$AW$21/12,IF(AND('Lease Cycles'!$AT$21&gt;=INDEX('Lease Cycles'!$BG$21:$BM$21,1,AU231),'Lease Cycles'!$AT$21&lt;=AU$6),'Lease Cycles'!$C$21*'Lease Cycles'!$AU$21/12,'Lease Cycles'!$C$21*INDEX('Lease Cycles'!$CB$21:$CH$21,1,AU231)*(1+INDEX('Lease Cycles'!$CI$21:$CO$21,1,AU231))^INT(INT(AU232/12)/INDEX('Lease Cycles'!$CP$21:$CV$21,1,AU231))/12)))),'Lease Cycles'!$C$21*INDEX('Lease Cycles'!$CB$21:$CH$21,1,AU231)*(1+INDEX('Lease Cycles'!$CI$21:$CO$21,1,AU231))^INT(INT(AU232/12)/INDEX('Lease Cycles'!$CP$21:$CV$21,1,AU231))/12))),IF('Lease Cycles'!$N$21=1,'Lease Cycles'!$C$21*'Lease Cycles'!$E$21*INDEX('Lease Cycles'!$HE$21:$HK$21,1,AU231)*(1+INDEX('Lease Cycles'!$GQ$21:$GW$21,1,AU231))^INT(INT((AU$6-INDEX('Lease Cycles'!$GJ$21:$GP$21,1,AU231))/12)/INDEX('Lease Cycles'!$GX$21:$HD$21,1,AU231))/12,0)))</f>
        <v>0</v>
      </c>
      <c r="AV234" s="28">
        <f>IF(AV231=0,IF('Lease Cycles'!$F$21&gt;0,'Lease Cycles'!$C$21*'Lease Cycles'!$E$21/12,0),IF(AV233=1,IF('Lease Cycles'!$AT$21&gt;=9999,'Lease Cycles'!$C$21*INDEX('Lease Cycles'!$CB$21:$CH$21,1,AV231)*(1+INDEX('Lease Cycles'!$CI$21:$CO$21,1,AV231))^INT(INT(AV232/12)/INDEX('Lease Cycles'!$CP$21:$CV$21,1,AV231))/12,IF(AV231=1,IF(AV232&gt;=INDEX('Lease Cycles'!$DK$21:$DQ$21,1,AV231),IF(AV$6&gt;='Lease Cycles'!$AZ$21,'Lease Cycles'!$C$21*'Lease Cycles'!$BA$21/12,IF(AV$6&gt;='Lease Cycles'!$AX$21,'Lease Cycles'!$C$21*'Lease Cycles'!$AY$21/12,IF(AV$6&gt;='Lease Cycles'!$AV$21,'Lease Cycles'!$C$21*'Lease Cycles'!$AW$21/12,IF(AV$6&gt;='Lease Cycles'!$AT$21,'Lease Cycles'!$C$21*'Lease Cycles'!$AU$21/12,'Lease Cycles'!$C$21*INDEX('Lease Cycles'!$CB$21:$CH$21,1,AV231)*(1+INDEX('Lease Cycles'!$CI$21:$CO$21,1,AV231))^INT(INT(AV232/12)/INDEX('Lease Cycles'!$CP$21:$CV$21,1,AV231))/12)))),'Lease Cycles'!$C$21*INDEX('Lease Cycles'!$CB$21:$CH$21,1,AV231)*(1+INDEX('Lease Cycles'!$CI$21:$CO$21,1,AV231))^INT(INT(AV232/12)/INDEX('Lease Cycles'!$CP$21:$CV$21,1,AV231))/12),IF(INDEX('Lease Cycles'!$EF$21:$EL$21,1,AV231)=1,IF(AND('Lease Cycles'!$AZ$21&gt;=INDEX('Lease Cycles'!$BG$21:$BM$21,1,AV231),'Lease Cycles'!$AZ$21&lt;=AV$6),'Lease Cycles'!$C$21*'Lease Cycles'!$BA$21/12,IF(AND('Lease Cycles'!$AX$21&gt;=INDEX('Lease Cycles'!$BG$21:$BM$21,1,AV231),'Lease Cycles'!$AX$21&lt;=AV$6),'Lease Cycles'!$C$21*'Lease Cycles'!$AY$21/12,IF(AND('Lease Cycles'!$AV$21&gt;=INDEX('Lease Cycles'!$BG$21:$BM$21,1,AV231),'Lease Cycles'!$AV$21&lt;=AV$6),'Lease Cycles'!$C$21*'Lease Cycles'!$AW$21/12,IF(AND('Lease Cycles'!$AT$21&gt;=INDEX('Lease Cycles'!$BG$21:$BM$21,1,AV231),'Lease Cycles'!$AT$21&lt;=AV$6),'Lease Cycles'!$C$21*'Lease Cycles'!$AU$21/12,'Lease Cycles'!$C$21*INDEX('Lease Cycles'!$CB$21:$CH$21,1,AV231)*(1+INDEX('Lease Cycles'!$CI$21:$CO$21,1,AV231))^INT(INT(AV232/12)/INDEX('Lease Cycles'!$CP$21:$CV$21,1,AV231))/12)))),'Lease Cycles'!$C$21*INDEX('Lease Cycles'!$CB$21:$CH$21,1,AV231)*(1+INDEX('Lease Cycles'!$CI$21:$CO$21,1,AV231))^INT(INT(AV232/12)/INDEX('Lease Cycles'!$CP$21:$CV$21,1,AV231))/12))),IF('Lease Cycles'!$N$21=1,'Lease Cycles'!$C$21*'Lease Cycles'!$E$21*INDEX('Lease Cycles'!$HE$21:$HK$21,1,AV231)*(1+INDEX('Lease Cycles'!$GQ$21:$GW$21,1,AV231))^INT(INT((AV$6-INDEX('Lease Cycles'!$GJ$21:$GP$21,1,AV231))/12)/INDEX('Lease Cycles'!$GX$21:$HD$21,1,AV231))/12,0)))</f>
        <v>0</v>
      </c>
      <c r="AW234" s="28">
        <f>IF(AW231=0,IF('Lease Cycles'!$F$21&gt;0,'Lease Cycles'!$C$21*'Lease Cycles'!$E$21/12,0),IF(AW233=1,IF('Lease Cycles'!$AT$21&gt;=9999,'Lease Cycles'!$C$21*INDEX('Lease Cycles'!$CB$21:$CH$21,1,AW231)*(1+INDEX('Lease Cycles'!$CI$21:$CO$21,1,AW231))^INT(INT(AW232/12)/INDEX('Lease Cycles'!$CP$21:$CV$21,1,AW231))/12,IF(AW231=1,IF(AW232&gt;=INDEX('Lease Cycles'!$DK$21:$DQ$21,1,AW231),IF(AW$6&gt;='Lease Cycles'!$AZ$21,'Lease Cycles'!$C$21*'Lease Cycles'!$BA$21/12,IF(AW$6&gt;='Lease Cycles'!$AX$21,'Lease Cycles'!$C$21*'Lease Cycles'!$AY$21/12,IF(AW$6&gt;='Lease Cycles'!$AV$21,'Lease Cycles'!$C$21*'Lease Cycles'!$AW$21/12,IF(AW$6&gt;='Lease Cycles'!$AT$21,'Lease Cycles'!$C$21*'Lease Cycles'!$AU$21/12,'Lease Cycles'!$C$21*INDEX('Lease Cycles'!$CB$21:$CH$21,1,AW231)*(1+INDEX('Lease Cycles'!$CI$21:$CO$21,1,AW231))^INT(INT(AW232/12)/INDEX('Lease Cycles'!$CP$21:$CV$21,1,AW231))/12)))),'Lease Cycles'!$C$21*INDEX('Lease Cycles'!$CB$21:$CH$21,1,AW231)*(1+INDEX('Lease Cycles'!$CI$21:$CO$21,1,AW231))^INT(INT(AW232/12)/INDEX('Lease Cycles'!$CP$21:$CV$21,1,AW231))/12),IF(INDEX('Lease Cycles'!$EF$21:$EL$21,1,AW231)=1,IF(AND('Lease Cycles'!$AZ$21&gt;=INDEX('Lease Cycles'!$BG$21:$BM$21,1,AW231),'Lease Cycles'!$AZ$21&lt;=AW$6),'Lease Cycles'!$C$21*'Lease Cycles'!$BA$21/12,IF(AND('Lease Cycles'!$AX$21&gt;=INDEX('Lease Cycles'!$BG$21:$BM$21,1,AW231),'Lease Cycles'!$AX$21&lt;=AW$6),'Lease Cycles'!$C$21*'Lease Cycles'!$AY$21/12,IF(AND('Lease Cycles'!$AV$21&gt;=INDEX('Lease Cycles'!$BG$21:$BM$21,1,AW231),'Lease Cycles'!$AV$21&lt;=AW$6),'Lease Cycles'!$C$21*'Lease Cycles'!$AW$21/12,IF(AND('Lease Cycles'!$AT$21&gt;=INDEX('Lease Cycles'!$BG$21:$BM$21,1,AW231),'Lease Cycles'!$AT$21&lt;=AW$6),'Lease Cycles'!$C$21*'Lease Cycles'!$AU$21/12,'Lease Cycles'!$C$21*INDEX('Lease Cycles'!$CB$21:$CH$21,1,AW231)*(1+INDEX('Lease Cycles'!$CI$21:$CO$21,1,AW231))^INT(INT(AW232/12)/INDEX('Lease Cycles'!$CP$21:$CV$21,1,AW231))/12)))),'Lease Cycles'!$C$21*INDEX('Lease Cycles'!$CB$21:$CH$21,1,AW231)*(1+INDEX('Lease Cycles'!$CI$21:$CO$21,1,AW231))^INT(INT(AW232/12)/INDEX('Lease Cycles'!$CP$21:$CV$21,1,AW231))/12))),IF('Lease Cycles'!$N$21=1,'Lease Cycles'!$C$21*'Lease Cycles'!$E$21*INDEX('Lease Cycles'!$HE$21:$HK$21,1,AW231)*(1+INDEX('Lease Cycles'!$GQ$21:$GW$21,1,AW231))^INT(INT((AW$6-INDEX('Lease Cycles'!$GJ$21:$GP$21,1,AW231))/12)/INDEX('Lease Cycles'!$GX$21:$HD$21,1,AW231))/12,0)))</f>
        <v>0</v>
      </c>
      <c r="AX234" s="28">
        <f>IF(AX231=0,IF('Lease Cycles'!$F$21&gt;0,'Lease Cycles'!$C$21*'Lease Cycles'!$E$21/12,0),IF(AX233=1,IF('Lease Cycles'!$AT$21&gt;=9999,'Lease Cycles'!$C$21*INDEX('Lease Cycles'!$CB$21:$CH$21,1,AX231)*(1+INDEX('Lease Cycles'!$CI$21:$CO$21,1,AX231))^INT(INT(AX232/12)/INDEX('Lease Cycles'!$CP$21:$CV$21,1,AX231))/12,IF(AX231=1,IF(AX232&gt;=INDEX('Lease Cycles'!$DK$21:$DQ$21,1,AX231),IF(AX$6&gt;='Lease Cycles'!$AZ$21,'Lease Cycles'!$C$21*'Lease Cycles'!$BA$21/12,IF(AX$6&gt;='Lease Cycles'!$AX$21,'Lease Cycles'!$C$21*'Lease Cycles'!$AY$21/12,IF(AX$6&gt;='Lease Cycles'!$AV$21,'Lease Cycles'!$C$21*'Lease Cycles'!$AW$21/12,IF(AX$6&gt;='Lease Cycles'!$AT$21,'Lease Cycles'!$C$21*'Lease Cycles'!$AU$21/12,'Lease Cycles'!$C$21*INDEX('Lease Cycles'!$CB$21:$CH$21,1,AX231)*(1+INDEX('Lease Cycles'!$CI$21:$CO$21,1,AX231))^INT(INT(AX232/12)/INDEX('Lease Cycles'!$CP$21:$CV$21,1,AX231))/12)))),'Lease Cycles'!$C$21*INDEX('Lease Cycles'!$CB$21:$CH$21,1,AX231)*(1+INDEX('Lease Cycles'!$CI$21:$CO$21,1,AX231))^INT(INT(AX232/12)/INDEX('Lease Cycles'!$CP$21:$CV$21,1,AX231))/12),IF(INDEX('Lease Cycles'!$EF$21:$EL$21,1,AX231)=1,IF(AND('Lease Cycles'!$AZ$21&gt;=INDEX('Lease Cycles'!$BG$21:$BM$21,1,AX231),'Lease Cycles'!$AZ$21&lt;=AX$6),'Lease Cycles'!$C$21*'Lease Cycles'!$BA$21/12,IF(AND('Lease Cycles'!$AX$21&gt;=INDEX('Lease Cycles'!$BG$21:$BM$21,1,AX231),'Lease Cycles'!$AX$21&lt;=AX$6),'Lease Cycles'!$C$21*'Lease Cycles'!$AY$21/12,IF(AND('Lease Cycles'!$AV$21&gt;=INDEX('Lease Cycles'!$BG$21:$BM$21,1,AX231),'Lease Cycles'!$AV$21&lt;=AX$6),'Lease Cycles'!$C$21*'Lease Cycles'!$AW$21/12,IF(AND('Lease Cycles'!$AT$21&gt;=INDEX('Lease Cycles'!$BG$21:$BM$21,1,AX231),'Lease Cycles'!$AT$21&lt;=AX$6),'Lease Cycles'!$C$21*'Lease Cycles'!$AU$21/12,'Lease Cycles'!$C$21*INDEX('Lease Cycles'!$CB$21:$CH$21,1,AX231)*(1+INDEX('Lease Cycles'!$CI$21:$CO$21,1,AX231))^INT(INT(AX232/12)/INDEX('Lease Cycles'!$CP$21:$CV$21,1,AX231))/12)))),'Lease Cycles'!$C$21*INDEX('Lease Cycles'!$CB$21:$CH$21,1,AX231)*(1+INDEX('Lease Cycles'!$CI$21:$CO$21,1,AX231))^INT(INT(AX232/12)/INDEX('Lease Cycles'!$CP$21:$CV$21,1,AX231))/12))),IF('Lease Cycles'!$N$21=1,'Lease Cycles'!$C$21*'Lease Cycles'!$E$21*INDEX('Lease Cycles'!$HE$21:$HK$21,1,AX231)*(1+INDEX('Lease Cycles'!$GQ$21:$GW$21,1,AX231))^INT(INT((AX$6-INDEX('Lease Cycles'!$GJ$21:$GP$21,1,AX231))/12)/INDEX('Lease Cycles'!$GX$21:$HD$21,1,AX231))/12,0)))</f>
        <v>0</v>
      </c>
      <c r="AY234" s="28">
        <f>IF(AY231=0,IF('Lease Cycles'!$F$21&gt;0,'Lease Cycles'!$C$21*'Lease Cycles'!$E$21/12,0),IF(AY233=1,IF('Lease Cycles'!$AT$21&gt;=9999,'Lease Cycles'!$C$21*INDEX('Lease Cycles'!$CB$21:$CH$21,1,AY231)*(1+INDEX('Lease Cycles'!$CI$21:$CO$21,1,AY231))^INT(INT(AY232/12)/INDEX('Lease Cycles'!$CP$21:$CV$21,1,AY231))/12,IF(AY231=1,IF(AY232&gt;=INDEX('Lease Cycles'!$DK$21:$DQ$21,1,AY231),IF(AY$6&gt;='Lease Cycles'!$AZ$21,'Lease Cycles'!$C$21*'Lease Cycles'!$BA$21/12,IF(AY$6&gt;='Lease Cycles'!$AX$21,'Lease Cycles'!$C$21*'Lease Cycles'!$AY$21/12,IF(AY$6&gt;='Lease Cycles'!$AV$21,'Lease Cycles'!$C$21*'Lease Cycles'!$AW$21/12,IF(AY$6&gt;='Lease Cycles'!$AT$21,'Lease Cycles'!$C$21*'Lease Cycles'!$AU$21/12,'Lease Cycles'!$C$21*INDEX('Lease Cycles'!$CB$21:$CH$21,1,AY231)*(1+INDEX('Lease Cycles'!$CI$21:$CO$21,1,AY231))^INT(INT(AY232/12)/INDEX('Lease Cycles'!$CP$21:$CV$21,1,AY231))/12)))),'Lease Cycles'!$C$21*INDEX('Lease Cycles'!$CB$21:$CH$21,1,AY231)*(1+INDEX('Lease Cycles'!$CI$21:$CO$21,1,AY231))^INT(INT(AY232/12)/INDEX('Lease Cycles'!$CP$21:$CV$21,1,AY231))/12),IF(INDEX('Lease Cycles'!$EF$21:$EL$21,1,AY231)=1,IF(AND('Lease Cycles'!$AZ$21&gt;=INDEX('Lease Cycles'!$BG$21:$BM$21,1,AY231),'Lease Cycles'!$AZ$21&lt;=AY$6),'Lease Cycles'!$C$21*'Lease Cycles'!$BA$21/12,IF(AND('Lease Cycles'!$AX$21&gt;=INDEX('Lease Cycles'!$BG$21:$BM$21,1,AY231),'Lease Cycles'!$AX$21&lt;=AY$6),'Lease Cycles'!$C$21*'Lease Cycles'!$AY$21/12,IF(AND('Lease Cycles'!$AV$21&gt;=INDEX('Lease Cycles'!$BG$21:$BM$21,1,AY231),'Lease Cycles'!$AV$21&lt;=AY$6),'Lease Cycles'!$C$21*'Lease Cycles'!$AW$21/12,IF(AND('Lease Cycles'!$AT$21&gt;=INDEX('Lease Cycles'!$BG$21:$BM$21,1,AY231),'Lease Cycles'!$AT$21&lt;=AY$6),'Lease Cycles'!$C$21*'Lease Cycles'!$AU$21/12,'Lease Cycles'!$C$21*INDEX('Lease Cycles'!$CB$21:$CH$21,1,AY231)*(1+INDEX('Lease Cycles'!$CI$21:$CO$21,1,AY231))^INT(INT(AY232/12)/INDEX('Lease Cycles'!$CP$21:$CV$21,1,AY231))/12)))),'Lease Cycles'!$C$21*INDEX('Lease Cycles'!$CB$21:$CH$21,1,AY231)*(1+INDEX('Lease Cycles'!$CI$21:$CO$21,1,AY231))^INT(INT(AY232/12)/INDEX('Lease Cycles'!$CP$21:$CV$21,1,AY231))/12))),IF('Lease Cycles'!$N$21=1,'Lease Cycles'!$C$21*'Lease Cycles'!$E$21*INDEX('Lease Cycles'!$HE$21:$HK$21,1,AY231)*(1+INDEX('Lease Cycles'!$GQ$21:$GW$21,1,AY231))^INT(INT((AY$6-INDEX('Lease Cycles'!$GJ$21:$GP$21,1,AY231))/12)/INDEX('Lease Cycles'!$GX$21:$HD$21,1,AY231))/12,0)))</f>
        <v>0</v>
      </c>
      <c r="AZ234" s="28">
        <f>IF(AZ231=0,IF('Lease Cycles'!$F$21&gt;0,'Lease Cycles'!$C$21*'Lease Cycles'!$E$21/12,0),IF(AZ233=1,IF('Lease Cycles'!$AT$21&gt;=9999,'Lease Cycles'!$C$21*INDEX('Lease Cycles'!$CB$21:$CH$21,1,AZ231)*(1+INDEX('Lease Cycles'!$CI$21:$CO$21,1,AZ231))^INT(INT(AZ232/12)/INDEX('Lease Cycles'!$CP$21:$CV$21,1,AZ231))/12,IF(AZ231=1,IF(AZ232&gt;=INDEX('Lease Cycles'!$DK$21:$DQ$21,1,AZ231),IF(AZ$6&gt;='Lease Cycles'!$AZ$21,'Lease Cycles'!$C$21*'Lease Cycles'!$BA$21/12,IF(AZ$6&gt;='Lease Cycles'!$AX$21,'Lease Cycles'!$C$21*'Lease Cycles'!$AY$21/12,IF(AZ$6&gt;='Lease Cycles'!$AV$21,'Lease Cycles'!$C$21*'Lease Cycles'!$AW$21/12,IF(AZ$6&gt;='Lease Cycles'!$AT$21,'Lease Cycles'!$C$21*'Lease Cycles'!$AU$21/12,'Lease Cycles'!$C$21*INDEX('Lease Cycles'!$CB$21:$CH$21,1,AZ231)*(1+INDEX('Lease Cycles'!$CI$21:$CO$21,1,AZ231))^INT(INT(AZ232/12)/INDEX('Lease Cycles'!$CP$21:$CV$21,1,AZ231))/12)))),'Lease Cycles'!$C$21*INDEX('Lease Cycles'!$CB$21:$CH$21,1,AZ231)*(1+INDEX('Lease Cycles'!$CI$21:$CO$21,1,AZ231))^INT(INT(AZ232/12)/INDEX('Lease Cycles'!$CP$21:$CV$21,1,AZ231))/12),IF(INDEX('Lease Cycles'!$EF$21:$EL$21,1,AZ231)=1,IF(AND('Lease Cycles'!$AZ$21&gt;=INDEX('Lease Cycles'!$BG$21:$BM$21,1,AZ231),'Lease Cycles'!$AZ$21&lt;=AZ$6),'Lease Cycles'!$C$21*'Lease Cycles'!$BA$21/12,IF(AND('Lease Cycles'!$AX$21&gt;=INDEX('Lease Cycles'!$BG$21:$BM$21,1,AZ231),'Lease Cycles'!$AX$21&lt;=AZ$6),'Lease Cycles'!$C$21*'Lease Cycles'!$AY$21/12,IF(AND('Lease Cycles'!$AV$21&gt;=INDEX('Lease Cycles'!$BG$21:$BM$21,1,AZ231),'Lease Cycles'!$AV$21&lt;=AZ$6),'Lease Cycles'!$C$21*'Lease Cycles'!$AW$21/12,IF(AND('Lease Cycles'!$AT$21&gt;=INDEX('Lease Cycles'!$BG$21:$BM$21,1,AZ231),'Lease Cycles'!$AT$21&lt;=AZ$6),'Lease Cycles'!$C$21*'Lease Cycles'!$AU$21/12,'Lease Cycles'!$C$21*INDEX('Lease Cycles'!$CB$21:$CH$21,1,AZ231)*(1+INDEX('Lease Cycles'!$CI$21:$CO$21,1,AZ231))^INT(INT(AZ232/12)/INDEX('Lease Cycles'!$CP$21:$CV$21,1,AZ231))/12)))),'Lease Cycles'!$C$21*INDEX('Lease Cycles'!$CB$21:$CH$21,1,AZ231)*(1+INDEX('Lease Cycles'!$CI$21:$CO$21,1,AZ231))^INT(INT(AZ232/12)/INDEX('Lease Cycles'!$CP$21:$CV$21,1,AZ231))/12))),IF('Lease Cycles'!$N$21=1,'Lease Cycles'!$C$21*'Lease Cycles'!$E$21*INDEX('Lease Cycles'!$HE$21:$HK$21,1,AZ231)*(1+INDEX('Lease Cycles'!$GQ$21:$GW$21,1,AZ231))^INT(INT((AZ$6-INDEX('Lease Cycles'!$GJ$21:$GP$21,1,AZ231))/12)/INDEX('Lease Cycles'!$GX$21:$HD$21,1,AZ231))/12,0)))</f>
        <v>0</v>
      </c>
      <c r="BA234" s="28">
        <f>IF(BA231=0,IF('Lease Cycles'!$F$21&gt;0,'Lease Cycles'!$C$21*'Lease Cycles'!$E$21/12,0),IF(BA233=1,IF('Lease Cycles'!$AT$21&gt;=9999,'Lease Cycles'!$C$21*INDEX('Lease Cycles'!$CB$21:$CH$21,1,BA231)*(1+INDEX('Lease Cycles'!$CI$21:$CO$21,1,BA231))^INT(INT(BA232/12)/INDEX('Lease Cycles'!$CP$21:$CV$21,1,BA231))/12,IF(BA231=1,IF(BA232&gt;=INDEX('Lease Cycles'!$DK$21:$DQ$21,1,BA231),IF(BA$6&gt;='Lease Cycles'!$AZ$21,'Lease Cycles'!$C$21*'Lease Cycles'!$BA$21/12,IF(BA$6&gt;='Lease Cycles'!$AX$21,'Lease Cycles'!$C$21*'Lease Cycles'!$AY$21/12,IF(BA$6&gt;='Lease Cycles'!$AV$21,'Lease Cycles'!$C$21*'Lease Cycles'!$AW$21/12,IF(BA$6&gt;='Lease Cycles'!$AT$21,'Lease Cycles'!$C$21*'Lease Cycles'!$AU$21/12,'Lease Cycles'!$C$21*INDEX('Lease Cycles'!$CB$21:$CH$21,1,BA231)*(1+INDEX('Lease Cycles'!$CI$21:$CO$21,1,BA231))^INT(INT(BA232/12)/INDEX('Lease Cycles'!$CP$21:$CV$21,1,BA231))/12)))),'Lease Cycles'!$C$21*INDEX('Lease Cycles'!$CB$21:$CH$21,1,BA231)*(1+INDEX('Lease Cycles'!$CI$21:$CO$21,1,BA231))^INT(INT(BA232/12)/INDEX('Lease Cycles'!$CP$21:$CV$21,1,BA231))/12),IF(INDEX('Lease Cycles'!$EF$21:$EL$21,1,BA231)=1,IF(AND('Lease Cycles'!$AZ$21&gt;=INDEX('Lease Cycles'!$BG$21:$BM$21,1,BA231),'Lease Cycles'!$AZ$21&lt;=BA$6),'Lease Cycles'!$C$21*'Lease Cycles'!$BA$21/12,IF(AND('Lease Cycles'!$AX$21&gt;=INDEX('Lease Cycles'!$BG$21:$BM$21,1,BA231),'Lease Cycles'!$AX$21&lt;=BA$6),'Lease Cycles'!$C$21*'Lease Cycles'!$AY$21/12,IF(AND('Lease Cycles'!$AV$21&gt;=INDEX('Lease Cycles'!$BG$21:$BM$21,1,BA231),'Lease Cycles'!$AV$21&lt;=BA$6),'Lease Cycles'!$C$21*'Lease Cycles'!$AW$21/12,IF(AND('Lease Cycles'!$AT$21&gt;=INDEX('Lease Cycles'!$BG$21:$BM$21,1,BA231),'Lease Cycles'!$AT$21&lt;=BA$6),'Lease Cycles'!$C$21*'Lease Cycles'!$AU$21/12,'Lease Cycles'!$C$21*INDEX('Lease Cycles'!$CB$21:$CH$21,1,BA231)*(1+INDEX('Lease Cycles'!$CI$21:$CO$21,1,BA231))^INT(INT(BA232/12)/INDEX('Lease Cycles'!$CP$21:$CV$21,1,BA231))/12)))),'Lease Cycles'!$C$21*INDEX('Lease Cycles'!$CB$21:$CH$21,1,BA231)*(1+INDEX('Lease Cycles'!$CI$21:$CO$21,1,BA231))^INT(INT(BA232/12)/INDEX('Lease Cycles'!$CP$21:$CV$21,1,BA231))/12))),IF('Lease Cycles'!$N$21=1,'Lease Cycles'!$C$21*'Lease Cycles'!$E$21*INDEX('Lease Cycles'!$HE$21:$HK$21,1,BA231)*(1+INDEX('Lease Cycles'!$GQ$21:$GW$21,1,BA231))^INT(INT((BA$6-INDEX('Lease Cycles'!$GJ$21:$GP$21,1,BA231))/12)/INDEX('Lease Cycles'!$GX$21:$HD$21,1,BA231))/12,0)))</f>
        <v>0</v>
      </c>
      <c r="BB234" s="28">
        <f>IF(BB231=0,IF('Lease Cycles'!$F$21&gt;0,'Lease Cycles'!$C$21*'Lease Cycles'!$E$21/12,0),IF(BB233=1,IF('Lease Cycles'!$AT$21&gt;=9999,'Lease Cycles'!$C$21*INDEX('Lease Cycles'!$CB$21:$CH$21,1,BB231)*(1+INDEX('Lease Cycles'!$CI$21:$CO$21,1,BB231))^INT(INT(BB232/12)/INDEX('Lease Cycles'!$CP$21:$CV$21,1,BB231))/12,IF(BB231=1,IF(BB232&gt;=INDEX('Lease Cycles'!$DK$21:$DQ$21,1,BB231),IF(BB$6&gt;='Lease Cycles'!$AZ$21,'Lease Cycles'!$C$21*'Lease Cycles'!$BA$21/12,IF(BB$6&gt;='Lease Cycles'!$AX$21,'Lease Cycles'!$C$21*'Lease Cycles'!$AY$21/12,IF(BB$6&gt;='Lease Cycles'!$AV$21,'Lease Cycles'!$C$21*'Lease Cycles'!$AW$21/12,IF(BB$6&gt;='Lease Cycles'!$AT$21,'Lease Cycles'!$C$21*'Lease Cycles'!$AU$21/12,'Lease Cycles'!$C$21*INDEX('Lease Cycles'!$CB$21:$CH$21,1,BB231)*(1+INDEX('Lease Cycles'!$CI$21:$CO$21,1,BB231))^INT(INT(BB232/12)/INDEX('Lease Cycles'!$CP$21:$CV$21,1,BB231))/12)))),'Lease Cycles'!$C$21*INDEX('Lease Cycles'!$CB$21:$CH$21,1,BB231)*(1+INDEX('Lease Cycles'!$CI$21:$CO$21,1,BB231))^INT(INT(BB232/12)/INDEX('Lease Cycles'!$CP$21:$CV$21,1,BB231))/12),IF(INDEX('Lease Cycles'!$EF$21:$EL$21,1,BB231)=1,IF(AND('Lease Cycles'!$AZ$21&gt;=INDEX('Lease Cycles'!$BG$21:$BM$21,1,BB231),'Lease Cycles'!$AZ$21&lt;=BB$6),'Lease Cycles'!$C$21*'Lease Cycles'!$BA$21/12,IF(AND('Lease Cycles'!$AX$21&gt;=INDEX('Lease Cycles'!$BG$21:$BM$21,1,BB231),'Lease Cycles'!$AX$21&lt;=BB$6),'Lease Cycles'!$C$21*'Lease Cycles'!$AY$21/12,IF(AND('Lease Cycles'!$AV$21&gt;=INDEX('Lease Cycles'!$BG$21:$BM$21,1,BB231),'Lease Cycles'!$AV$21&lt;=BB$6),'Lease Cycles'!$C$21*'Lease Cycles'!$AW$21/12,IF(AND('Lease Cycles'!$AT$21&gt;=INDEX('Lease Cycles'!$BG$21:$BM$21,1,BB231),'Lease Cycles'!$AT$21&lt;=BB$6),'Lease Cycles'!$C$21*'Lease Cycles'!$AU$21/12,'Lease Cycles'!$C$21*INDEX('Lease Cycles'!$CB$21:$CH$21,1,BB231)*(1+INDEX('Lease Cycles'!$CI$21:$CO$21,1,BB231))^INT(INT(BB232/12)/INDEX('Lease Cycles'!$CP$21:$CV$21,1,BB231))/12)))),'Lease Cycles'!$C$21*INDEX('Lease Cycles'!$CB$21:$CH$21,1,BB231)*(1+INDEX('Lease Cycles'!$CI$21:$CO$21,1,BB231))^INT(INT(BB232/12)/INDEX('Lease Cycles'!$CP$21:$CV$21,1,BB231))/12))),IF('Lease Cycles'!$N$21=1,'Lease Cycles'!$C$21*'Lease Cycles'!$E$21*INDEX('Lease Cycles'!$HE$21:$HK$21,1,BB231)*(1+INDEX('Lease Cycles'!$GQ$21:$GW$21,1,BB231))^INT(INT((BB$6-INDEX('Lease Cycles'!$GJ$21:$GP$21,1,BB231))/12)/INDEX('Lease Cycles'!$GX$21:$HD$21,1,BB231))/12,0)))</f>
        <v>0</v>
      </c>
      <c r="BC234" s="28">
        <f>IF(BC231=0,IF('Lease Cycles'!$F$21&gt;0,'Lease Cycles'!$C$21*'Lease Cycles'!$E$21/12,0),IF(BC233=1,IF('Lease Cycles'!$AT$21&gt;=9999,'Lease Cycles'!$C$21*INDEX('Lease Cycles'!$CB$21:$CH$21,1,BC231)*(1+INDEX('Lease Cycles'!$CI$21:$CO$21,1,BC231))^INT(INT(BC232/12)/INDEX('Lease Cycles'!$CP$21:$CV$21,1,BC231))/12,IF(BC231=1,IF(BC232&gt;=INDEX('Lease Cycles'!$DK$21:$DQ$21,1,BC231),IF(BC$6&gt;='Lease Cycles'!$AZ$21,'Lease Cycles'!$C$21*'Lease Cycles'!$BA$21/12,IF(BC$6&gt;='Lease Cycles'!$AX$21,'Lease Cycles'!$C$21*'Lease Cycles'!$AY$21/12,IF(BC$6&gt;='Lease Cycles'!$AV$21,'Lease Cycles'!$C$21*'Lease Cycles'!$AW$21/12,IF(BC$6&gt;='Lease Cycles'!$AT$21,'Lease Cycles'!$C$21*'Lease Cycles'!$AU$21/12,'Lease Cycles'!$C$21*INDEX('Lease Cycles'!$CB$21:$CH$21,1,BC231)*(1+INDEX('Lease Cycles'!$CI$21:$CO$21,1,BC231))^INT(INT(BC232/12)/INDEX('Lease Cycles'!$CP$21:$CV$21,1,BC231))/12)))),'Lease Cycles'!$C$21*INDEX('Lease Cycles'!$CB$21:$CH$21,1,BC231)*(1+INDEX('Lease Cycles'!$CI$21:$CO$21,1,BC231))^INT(INT(BC232/12)/INDEX('Lease Cycles'!$CP$21:$CV$21,1,BC231))/12),IF(INDEX('Lease Cycles'!$EF$21:$EL$21,1,BC231)=1,IF(AND('Lease Cycles'!$AZ$21&gt;=INDEX('Lease Cycles'!$BG$21:$BM$21,1,BC231),'Lease Cycles'!$AZ$21&lt;=BC$6),'Lease Cycles'!$C$21*'Lease Cycles'!$BA$21/12,IF(AND('Lease Cycles'!$AX$21&gt;=INDEX('Lease Cycles'!$BG$21:$BM$21,1,BC231),'Lease Cycles'!$AX$21&lt;=BC$6),'Lease Cycles'!$C$21*'Lease Cycles'!$AY$21/12,IF(AND('Lease Cycles'!$AV$21&gt;=INDEX('Lease Cycles'!$BG$21:$BM$21,1,BC231),'Lease Cycles'!$AV$21&lt;=BC$6),'Lease Cycles'!$C$21*'Lease Cycles'!$AW$21/12,IF(AND('Lease Cycles'!$AT$21&gt;=INDEX('Lease Cycles'!$BG$21:$BM$21,1,BC231),'Lease Cycles'!$AT$21&lt;=BC$6),'Lease Cycles'!$C$21*'Lease Cycles'!$AU$21/12,'Lease Cycles'!$C$21*INDEX('Lease Cycles'!$CB$21:$CH$21,1,BC231)*(1+INDEX('Lease Cycles'!$CI$21:$CO$21,1,BC231))^INT(INT(BC232/12)/INDEX('Lease Cycles'!$CP$21:$CV$21,1,BC231))/12)))),'Lease Cycles'!$C$21*INDEX('Lease Cycles'!$CB$21:$CH$21,1,BC231)*(1+INDEX('Lease Cycles'!$CI$21:$CO$21,1,BC231))^INT(INT(BC232/12)/INDEX('Lease Cycles'!$CP$21:$CV$21,1,BC231))/12))),IF('Lease Cycles'!$N$21=1,'Lease Cycles'!$C$21*'Lease Cycles'!$E$21*INDEX('Lease Cycles'!$HE$21:$HK$21,1,BC231)*(1+INDEX('Lease Cycles'!$GQ$21:$GW$21,1,BC231))^INT(INT((BC$6-INDEX('Lease Cycles'!$GJ$21:$GP$21,1,BC231))/12)/INDEX('Lease Cycles'!$GX$21:$HD$21,1,BC231))/12,0)))</f>
        <v>0</v>
      </c>
      <c r="BD234" s="28">
        <f>IF(BD231=0,IF('Lease Cycles'!$F$21&gt;0,'Lease Cycles'!$C$21*'Lease Cycles'!$E$21/12,0),IF(BD233=1,IF('Lease Cycles'!$AT$21&gt;=9999,'Lease Cycles'!$C$21*INDEX('Lease Cycles'!$CB$21:$CH$21,1,BD231)*(1+INDEX('Lease Cycles'!$CI$21:$CO$21,1,BD231))^INT(INT(BD232/12)/INDEX('Lease Cycles'!$CP$21:$CV$21,1,BD231))/12,IF(BD231=1,IF(BD232&gt;=INDEX('Lease Cycles'!$DK$21:$DQ$21,1,BD231),IF(BD$6&gt;='Lease Cycles'!$AZ$21,'Lease Cycles'!$C$21*'Lease Cycles'!$BA$21/12,IF(BD$6&gt;='Lease Cycles'!$AX$21,'Lease Cycles'!$C$21*'Lease Cycles'!$AY$21/12,IF(BD$6&gt;='Lease Cycles'!$AV$21,'Lease Cycles'!$C$21*'Lease Cycles'!$AW$21/12,IF(BD$6&gt;='Lease Cycles'!$AT$21,'Lease Cycles'!$C$21*'Lease Cycles'!$AU$21/12,'Lease Cycles'!$C$21*INDEX('Lease Cycles'!$CB$21:$CH$21,1,BD231)*(1+INDEX('Lease Cycles'!$CI$21:$CO$21,1,BD231))^INT(INT(BD232/12)/INDEX('Lease Cycles'!$CP$21:$CV$21,1,BD231))/12)))),'Lease Cycles'!$C$21*INDEX('Lease Cycles'!$CB$21:$CH$21,1,BD231)*(1+INDEX('Lease Cycles'!$CI$21:$CO$21,1,BD231))^INT(INT(BD232/12)/INDEX('Lease Cycles'!$CP$21:$CV$21,1,BD231))/12),IF(INDEX('Lease Cycles'!$EF$21:$EL$21,1,BD231)=1,IF(AND('Lease Cycles'!$AZ$21&gt;=INDEX('Lease Cycles'!$BG$21:$BM$21,1,BD231),'Lease Cycles'!$AZ$21&lt;=BD$6),'Lease Cycles'!$C$21*'Lease Cycles'!$BA$21/12,IF(AND('Lease Cycles'!$AX$21&gt;=INDEX('Lease Cycles'!$BG$21:$BM$21,1,BD231),'Lease Cycles'!$AX$21&lt;=BD$6),'Lease Cycles'!$C$21*'Lease Cycles'!$AY$21/12,IF(AND('Lease Cycles'!$AV$21&gt;=INDEX('Lease Cycles'!$BG$21:$BM$21,1,BD231),'Lease Cycles'!$AV$21&lt;=BD$6),'Lease Cycles'!$C$21*'Lease Cycles'!$AW$21/12,IF(AND('Lease Cycles'!$AT$21&gt;=INDEX('Lease Cycles'!$BG$21:$BM$21,1,BD231),'Lease Cycles'!$AT$21&lt;=BD$6),'Lease Cycles'!$C$21*'Lease Cycles'!$AU$21/12,'Lease Cycles'!$C$21*INDEX('Lease Cycles'!$CB$21:$CH$21,1,BD231)*(1+INDEX('Lease Cycles'!$CI$21:$CO$21,1,BD231))^INT(INT(BD232/12)/INDEX('Lease Cycles'!$CP$21:$CV$21,1,BD231))/12)))),'Lease Cycles'!$C$21*INDEX('Lease Cycles'!$CB$21:$CH$21,1,BD231)*(1+INDEX('Lease Cycles'!$CI$21:$CO$21,1,BD231))^INT(INT(BD232/12)/INDEX('Lease Cycles'!$CP$21:$CV$21,1,BD231))/12))),IF('Lease Cycles'!$N$21=1,'Lease Cycles'!$C$21*'Lease Cycles'!$E$21*INDEX('Lease Cycles'!$HE$21:$HK$21,1,BD231)*(1+INDEX('Lease Cycles'!$GQ$21:$GW$21,1,BD231))^INT(INT((BD$6-INDEX('Lease Cycles'!$GJ$21:$GP$21,1,BD231))/12)/INDEX('Lease Cycles'!$GX$21:$HD$21,1,BD231))/12,0)))</f>
        <v>0</v>
      </c>
      <c r="BE234" s="28">
        <f>IF(BE231=0,IF('Lease Cycles'!$F$21&gt;0,'Lease Cycles'!$C$21*'Lease Cycles'!$E$21/12,0),IF(BE233=1,IF('Lease Cycles'!$AT$21&gt;=9999,'Lease Cycles'!$C$21*INDEX('Lease Cycles'!$CB$21:$CH$21,1,BE231)*(1+INDEX('Lease Cycles'!$CI$21:$CO$21,1,BE231))^INT(INT(BE232/12)/INDEX('Lease Cycles'!$CP$21:$CV$21,1,BE231))/12,IF(BE231=1,IF(BE232&gt;=INDEX('Lease Cycles'!$DK$21:$DQ$21,1,BE231),IF(BE$6&gt;='Lease Cycles'!$AZ$21,'Lease Cycles'!$C$21*'Lease Cycles'!$BA$21/12,IF(BE$6&gt;='Lease Cycles'!$AX$21,'Lease Cycles'!$C$21*'Lease Cycles'!$AY$21/12,IF(BE$6&gt;='Lease Cycles'!$AV$21,'Lease Cycles'!$C$21*'Lease Cycles'!$AW$21/12,IF(BE$6&gt;='Lease Cycles'!$AT$21,'Lease Cycles'!$C$21*'Lease Cycles'!$AU$21/12,'Lease Cycles'!$C$21*INDEX('Lease Cycles'!$CB$21:$CH$21,1,BE231)*(1+INDEX('Lease Cycles'!$CI$21:$CO$21,1,BE231))^INT(INT(BE232/12)/INDEX('Lease Cycles'!$CP$21:$CV$21,1,BE231))/12)))),'Lease Cycles'!$C$21*INDEX('Lease Cycles'!$CB$21:$CH$21,1,BE231)*(1+INDEX('Lease Cycles'!$CI$21:$CO$21,1,BE231))^INT(INT(BE232/12)/INDEX('Lease Cycles'!$CP$21:$CV$21,1,BE231))/12),IF(INDEX('Lease Cycles'!$EF$21:$EL$21,1,BE231)=1,IF(AND('Lease Cycles'!$AZ$21&gt;=INDEX('Lease Cycles'!$BG$21:$BM$21,1,BE231),'Lease Cycles'!$AZ$21&lt;=BE$6),'Lease Cycles'!$C$21*'Lease Cycles'!$BA$21/12,IF(AND('Lease Cycles'!$AX$21&gt;=INDEX('Lease Cycles'!$BG$21:$BM$21,1,BE231),'Lease Cycles'!$AX$21&lt;=BE$6),'Lease Cycles'!$C$21*'Lease Cycles'!$AY$21/12,IF(AND('Lease Cycles'!$AV$21&gt;=INDEX('Lease Cycles'!$BG$21:$BM$21,1,BE231),'Lease Cycles'!$AV$21&lt;=BE$6),'Lease Cycles'!$C$21*'Lease Cycles'!$AW$21/12,IF(AND('Lease Cycles'!$AT$21&gt;=INDEX('Lease Cycles'!$BG$21:$BM$21,1,BE231),'Lease Cycles'!$AT$21&lt;=BE$6),'Lease Cycles'!$C$21*'Lease Cycles'!$AU$21/12,'Lease Cycles'!$C$21*INDEX('Lease Cycles'!$CB$21:$CH$21,1,BE231)*(1+INDEX('Lease Cycles'!$CI$21:$CO$21,1,BE231))^INT(INT(BE232/12)/INDEX('Lease Cycles'!$CP$21:$CV$21,1,BE231))/12)))),'Lease Cycles'!$C$21*INDEX('Lease Cycles'!$CB$21:$CH$21,1,BE231)*(1+INDEX('Lease Cycles'!$CI$21:$CO$21,1,BE231))^INT(INT(BE232/12)/INDEX('Lease Cycles'!$CP$21:$CV$21,1,BE231))/12))),IF('Lease Cycles'!$N$21=1,'Lease Cycles'!$C$21*'Lease Cycles'!$E$21*INDEX('Lease Cycles'!$HE$21:$HK$21,1,BE231)*(1+INDEX('Lease Cycles'!$GQ$21:$GW$21,1,BE231))^INT(INT((BE$6-INDEX('Lease Cycles'!$GJ$21:$GP$21,1,BE231))/12)/INDEX('Lease Cycles'!$GX$21:$HD$21,1,BE231))/12,0)))</f>
        <v>0</v>
      </c>
      <c r="BF234" s="28">
        <f>IF(BF231=0,IF('Lease Cycles'!$F$21&gt;0,'Lease Cycles'!$C$21*'Lease Cycles'!$E$21/12,0),IF(BF233=1,IF('Lease Cycles'!$AT$21&gt;=9999,'Lease Cycles'!$C$21*INDEX('Lease Cycles'!$CB$21:$CH$21,1,BF231)*(1+INDEX('Lease Cycles'!$CI$21:$CO$21,1,BF231))^INT(INT(BF232/12)/INDEX('Lease Cycles'!$CP$21:$CV$21,1,BF231))/12,IF(BF231=1,IF(BF232&gt;=INDEX('Lease Cycles'!$DK$21:$DQ$21,1,BF231),IF(BF$6&gt;='Lease Cycles'!$AZ$21,'Lease Cycles'!$C$21*'Lease Cycles'!$BA$21/12,IF(BF$6&gt;='Lease Cycles'!$AX$21,'Lease Cycles'!$C$21*'Lease Cycles'!$AY$21/12,IF(BF$6&gt;='Lease Cycles'!$AV$21,'Lease Cycles'!$C$21*'Lease Cycles'!$AW$21/12,IF(BF$6&gt;='Lease Cycles'!$AT$21,'Lease Cycles'!$C$21*'Lease Cycles'!$AU$21/12,'Lease Cycles'!$C$21*INDEX('Lease Cycles'!$CB$21:$CH$21,1,BF231)*(1+INDEX('Lease Cycles'!$CI$21:$CO$21,1,BF231))^INT(INT(BF232/12)/INDEX('Lease Cycles'!$CP$21:$CV$21,1,BF231))/12)))),'Lease Cycles'!$C$21*INDEX('Lease Cycles'!$CB$21:$CH$21,1,BF231)*(1+INDEX('Lease Cycles'!$CI$21:$CO$21,1,BF231))^INT(INT(BF232/12)/INDEX('Lease Cycles'!$CP$21:$CV$21,1,BF231))/12),IF(INDEX('Lease Cycles'!$EF$21:$EL$21,1,BF231)=1,IF(AND('Lease Cycles'!$AZ$21&gt;=INDEX('Lease Cycles'!$BG$21:$BM$21,1,BF231),'Lease Cycles'!$AZ$21&lt;=BF$6),'Lease Cycles'!$C$21*'Lease Cycles'!$BA$21/12,IF(AND('Lease Cycles'!$AX$21&gt;=INDEX('Lease Cycles'!$BG$21:$BM$21,1,BF231),'Lease Cycles'!$AX$21&lt;=BF$6),'Lease Cycles'!$C$21*'Lease Cycles'!$AY$21/12,IF(AND('Lease Cycles'!$AV$21&gt;=INDEX('Lease Cycles'!$BG$21:$BM$21,1,BF231),'Lease Cycles'!$AV$21&lt;=BF$6),'Lease Cycles'!$C$21*'Lease Cycles'!$AW$21/12,IF(AND('Lease Cycles'!$AT$21&gt;=INDEX('Lease Cycles'!$BG$21:$BM$21,1,BF231),'Lease Cycles'!$AT$21&lt;=BF$6),'Lease Cycles'!$C$21*'Lease Cycles'!$AU$21/12,'Lease Cycles'!$C$21*INDEX('Lease Cycles'!$CB$21:$CH$21,1,BF231)*(1+INDEX('Lease Cycles'!$CI$21:$CO$21,1,BF231))^INT(INT(BF232/12)/INDEX('Lease Cycles'!$CP$21:$CV$21,1,BF231))/12)))),'Lease Cycles'!$C$21*INDEX('Lease Cycles'!$CB$21:$CH$21,1,BF231)*(1+INDEX('Lease Cycles'!$CI$21:$CO$21,1,BF231))^INT(INT(BF232/12)/INDEX('Lease Cycles'!$CP$21:$CV$21,1,BF231))/12))),IF('Lease Cycles'!$N$21=1,'Lease Cycles'!$C$21*'Lease Cycles'!$E$21*INDEX('Lease Cycles'!$HE$21:$HK$21,1,BF231)*(1+INDEX('Lease Cycles'!$GQ$21:$GW$21,1,BF231))^INT(INT((BF$6-INDEX('Lease Cycles'!$GJ$21:$GP$21,1,BF231))/12)/INDEX('Lease Cycles'!$GX$21:$HD$21,1,BF231))/12,0)))</f>
        <v>0</v>
      </c>
      <c r="BG234" s="28">
        <f>IF(BG231=0,IF('Lease Cycles'!$F$21&gt;0,'Lease Cycles'!$C$21*'Lease Cycles'!$E$21/12,0),IF(BG233=1,IF('Lease Cycles'!$AT$21&gt;=9999,'Lease Cycles'!$C$21*INDEX('Lease Cycles'!$CB$21:$CH$21,1,BG231)*(1+INDEX('Lease Cycles'!$CI$21:$CO$21,1,BG231))^INT(INT(BG232/12)/INDEX('Lease Cycles'!$CP$21:$CV$21,1,BG231))/12,IF(BG231=1,IF(BG232&gt;=INDEX('Lease Cycles'!$DK$21:$DQ$21,1,BG231),IF(BG$6&gt;='Lease Cycles'!$AZ$21,'Lease Cycles'!$C$21*'Lease Cycles'!$BA$21/12,IF(BG$6&gt;='Lease Cycles'!$AX$21,'Lease Cycles'!$C$21*'Lease Cycles'!$AY$21/12,IF(BG$6&gt;='Lease Cycles'!$AV$21,'Lease Cycles'!$C$21*'Lease Cycles'!$AW$21/12,IF(BG$6&gt;='Lease Cycles'!$AT$21,'Lease Cycles'!$C$21*'Lease Cycles'!$AU$21/12,'Lease Cycles'!$C$21*INDEX('Lease Cycles'!$CB$21:$CH$21,1,BG231)*(1+INDEX('Lease Cycles'!$CI$21:$CO$21,1,BG231))^INT(INT(BG232/12)/INDEX('Lease Cycles'!$CP$21:$CV$21,1,BG231))/12)))),'Lease Cycles'!$C$21*INDEX('Lease Cycles'!$CB$21:$CH$21,1,BG231)*(1+INDEX('Lease Cycles'!$CI$21:$CO$21,1,BG231))^INT(INT(BG232/12)/INDEX('Lease Cycles'!$CP$21:$CV$21,1,BG231))/12),IF(INDEX('Lease Cycles'!$EF$21:$EL$21,1,BG231)=1,IF(AND('Lease Cycles'!$AZ$21&gt;=INDEX('Lease Cycles'!$BG$21:$BM$21,1,BG231),'Lease Cycles'!$AZ$21&lt;=BG$6),'Lease Cycles'!$C$21*'Lease Cycles'!$BA$21/12,IF(AND('Lease Cycles'!$AX$21&gt;=INDEX('Lease Cycles'!$BG$21:$BM$21,1,BG231),'Lease Cycles'!$AX$21&lt;=BG$6),'Lease Cycles'!$C$21*'Lease Cycles'!$AY$21/12,IF(AND('Lease Cycles'!$AV$21&gt;=INDEX('Lease Cycles'!$BG$21:$BM$21,1,BG231),'Lease Cycles'!$AV$21&lt;=BG$6),'Lease Cycles'!$C$21*'Lease Cycles'!$AW$21/12,IF(AND('Lease Cycles'!$AT$21&gt;=INDEX('Lease Cycles'!$BG$21:$BM$21,1,BG231),'Lease Cycles'!$AT$21&lt;=BG$6),'Lease Cycles'!$C$21*'Lease Cycles'!$AU$21/12,'Lease Cycles'!$C$21*INDEX('Lease Cycles'!$CB$21:$CH$21,1,BG231)*(1+INDEX('Lease Cycles'!$CI$21:$CO$21,1,BG231))^INT(INT(BG232/12)/INDEX('Lease Cycles'!$CP$21:$CV$21,1,BG231))/12)))),'Lease Cycles'!$C$21*INDEX('Lease Cycles'!$CB$21:$CH$21,1,BG231)*(1+INDEX('Lease Cycles'!$CI$21:$CO$21,1,BG231))^INT(INT(BG232/12)/INDEX('Lease Cycles'!$CP$21:$CV$21,1,BG231))/12))),IF('Lease Cycles'!$N$21=1,'Lease Cycles'!$C$21*'Lease Cycles'!$E$21*INDEX('Lease Cycles'!$HE$21:$HK$21,1,BG231)*(1+INDEX('Lease Cycles'!$GQ$21:$GW$21,1,BG231))^INT(INT((BG$6-INDEX('Lease Cycles'!$GJ$21:$GP$21,1,BG231))/12)/INDEX('Lease Cycles'!$GX$21:$HD$21,1,BG231))/12,0)))</f>
        <v>0</v>
      </c>
      <c r="BH234" s="28">
        <f>IF(BH231=0,IF('Lease Cycles'!$F$21&gt;0,'Lease Cycles'!$C$21*'Lease Cycles'!$E$21/12,0),IF(BH233=1,IF('Lease Cycles'!$AT$21&gt;=9999,'Lease Cycles'!$C$21*INDEX('Lease Cycles'!$CB$21:$CH$21,1,BH231)*(1+INDEX('Lease Cycles'!$CI$21:$CO$21,1,BH231))^INT(INT(BH232/12)/INDEX('Lease Cycles'!$CP$21:$CV$21,1,BH231))/12,IF(BH231=1,IF(BH232&gt;=INDEX('Lease Cycles'!$DK$21:$DQ$21,1,BH231),IF(BH$6&gt;='Lease Cycles'!$AZ$21,'Lease Cycles'!$C$21*'Lease Cycles'!$BA$21/12,IF(BH$6&gt;='Lease Cycles'!$AX$21,'Lease Cycles'!$C$21*'Lease Cycles'!$AY$21/12,IF(BH$6&gt;='Lease Cycles'!$AV$21,'Lease Cycles'!$C$21*'Lease Cycles'!$AW$21/12,IF(BH$6&gt;='Lease Cycles'!$AT$21,'Lease Cycles'!$C$21*'Lease Cycles'!$AU$21/12,'Lease Cycles'!$C$21*INDEX('Lease Cycles'!$CB$21:$CH$21,1,BH231)*(1+INDEX('Lease Cycles'!$CI$21:$CO$21,1,BH231))^INT(INT(BH232/12)/INDEX('Lease Cycles'!$CP$21:$CV$21,1,BH231))/12)))),'Lease Cycles'!$C$21*INDEX('Lease Cycles'!$CB$21:$CH$21,1,BH231)*(1+INDEX('Lease Cycles'!$CI$21:$CO$21,1,BH231))^INT(INT(BH232/12)/INDEX('Lease Cycles'!$CP$21:$CV$21,1,BH231))/12),IF(INDEX('Lease Cycles'!$EF$21:$EL$21,1,BH231)=1,IF(AND('Lease Cycles'!$AZ$21&gt;=INDEX('Lease Cycles'!$BG$21:$BM$21,1,BH231),'Lease Cycles'!$AZ$21&lt;=BH$6),'Lease Cycles'!$C$21*'Lease Cycles'!$BA$21/12,IF(AND('Lease Cycles'!$AX$21&gt;=INDEX('Lease Cycles'!$BG$21:$BM$21,1,BH231),'Lease Cycles'!$AX$21&lt;=BH$6),'Lease Cycles'!$C$21*'Lease Cycles'!$AY$21/12,IF(AND('Lease Cycles'!$AV$21&gt;=INDEX('Lease Cycles'!$BG$21:$BM$21,1,BH231),'Lease Cycles'!$AV$21&lt;=BH$6),'Lease Cycles'!$C$21*'Lease Cycles'!$AW$21/12,IF(AND('Lease Cycles'!$AT$21&gt;=INDEX('Lease Cycles'!$BG$21:$BM$21,1,BH231),'Lease Cycles'!$AT$21&lt;=BH$6),'Lease Cycles'!$C$21*'Lease Cycles'!$AU$21/12,'Lease Cycles'!$C$21*INDEX('Lease Cycles'!$CB$21:$CH$21,1,BH231)*(1+INDEX('Lease Cycles'!$CI$21:$CO$21,1,BH231))^INT(INT(BH232/12)/INDEX('Lease Cycles'!$CP$21:$CV$21,1,BH231))/12)))),'Lease Cycles'!$C$21*INDEX('Lease Cycles'!$CB$21:$CH$21,1,BH231)*(1+INDEX('Lease Cycles'!$CI$21:$CO$21,1,BH231))^INT(INT(BH232/12)/INDEX('Lease Cycles'!$CP$21:$CV$21,1,BH231))/12))),IF('Lease Cycles'!$N$21=1,'Lease Cycles'!$C$21*'Lease Cycles'!$E$21*INDEX('Lease Cycles'!$HE$21:$HK$21,1,BH231)*(1+INDEX('Lease Cycles'!$GQ$21:$GW$21,1,BH231))^INT(INT((BH$6-INDEX('Lease Cycles'!$GJ$21:$GP$21,1,BH231))/12)/INDEX('Lease Cycles'!$GX$21:$HD$21,1,BH231))/12,0)))</f>
        <v>0</v>
      </c>
      <c r="BI234" s="28">
        <f>IF(BI231=0,IF('Lease Cycles'!$F$21&gt;0,'Lease Cycles'!$C$21*'Lease Cycles'!$E$21/12,0),IF(BI233=1,IF('Lease Cycles'!$AT$21&gt;=9999,'Lease Cycles'!$C$21*INDEX('Lease Cycles'!$CB$21:$CH$21,1,BI231)*(1+INDEX('Lease Cycles'!$CI$21:$CO$21,1,BI231))^INT(INT(BI232/12)/INDEX('Lease Cycles'!$CP$21:$CV$21,1,BI231))/12,IF(BI231=1,IF(BI232&gt;=INDEX('Lease Cycles'!$DK$21:$DQ$21,1,BI231),IF(BI$6&gt;='Lease Cycles'!$AZ$21,'Lease Cycles'!$C$21*'Lease Cycles'!$BA$21/12,IF(BI$6&gt;='Lease Cycles'!$AX$21,'Lease Cycles'!$C$21*'Lease Cycles'!$AY$21/12,IF(BI$6&gt;='Lease Cycles'!$AV$21,'Lease Cycles'!$C$21*'Lease Cycles'!$AW$21/12,IF(BI$6&gt;='Lease Cycles'!$AT$21,'Lease Cycles'!$C$21*'Lease Cycles'!$AU$21/12,'Lease Cycles'!$C$21*INDEX('Lease Cycles'!$CB$21:$CH$21,1,BI231)*(1+INDEX('Lease Cycles'!$CI$21:$CO$21,1,BI231))^INT(INT(BI232/12)/INDEX('Lease Cycles'!$CP$21:$CV$21,1,BI231))/12)))),'Lease Cycles'!$C$21*INDEX('Lease Cycles'!$CB$21:$CH$21,1,BI231)*(1+INDEX('Lease Cycles'!$CI$21:$CO$21,1,BI231))^INT(INT(BI232/12)/INDEX('Lease Cycles'!$CP$21:$CV$21,1,BI231))/12),IF(INDEX('Lease Cycles'!$EF$21:$EL$21,1,BI231)=1,IF(AND('Lease Cycles'!$AZ$21&gt;=INDEX('Lease Cycles'!$BG$21:$BM$21,1,BI231),'Lease Cycles'!$AZ$21&lt;=BI$6),'Lease Cycles'!$C$21*'Lease Cycles'!$BA$21/12,IF(AND('Lease Cycles'!$AX$21&gt;=INDEX('Lease Cycles'!$BG$21:$BM$21,1,BI231),'Lease Cycles'!$AX$21&lt;=BI$6),'Lease Cycles'!$C$21*'Lease Cycles'!$AY$21/12,IF(AND('Lease Cycles'!$AV$21&gt;=INDEX('Lease Cycles'!$BG$21:$BM$21,1,BI231),'Lease Cycles'!$AV$21&lt;=BI$6),'Lease Cycles'!$C$21*'Lease Cycles'!$AW$21/12,IF(AND('Lease Cycles'!$AT$21&gt;=INDEX('Lease Cycles'!$BG$21:$BM$21,1,BI231),'Lease Cycles'!$AT$21&lt;=BI$6),'Lease Cycles'!$C$21*'Lease Cycles'!$AU$21/12,'Lease Cycles'!$C$21*INDEX('Lease Cycles'!$CB$21:$CH$21,1,BI231)*(1+INDEX('Lease Cycles'!$CI$21:$CO$21,1,BI231))^INT(INT(BI232/12)/INDEX('Lease Cycles'!$CP$21:$CV$21,1,BI231))/12)))),'Lease Cycles'!$C$21*INDEX('Lease Cycles'!$CB$21:$CH$21,1,BI231)*(1+INDEX('Lease Cycles'!$CI$21:$CO$21,1,BI231))^INT(INT(BI232/12)/INDEX('Lease Cycles'!$CP$21:$CV$21,1,BI231))/12))),IF('Lease Cycles'!$N$21=1,'Lease Cycles'!$C$21*'Lease Cycles'!$E$21*INDEX('Lease Cycles'!$HE$21:$HK$21,1,BI231)*(1+INDEX('Lease Cycles'!$GQ$21:$GW$21,1,BI231))^INT(INT((BI$6-INDEX('Lease Cycles'!$GJ$21:$GP$21,1,BI231))/12)/INDEX('Lease Cycles'!$GX$21:$HD$21,1,BI231))/12,0)))</f>
        <v>0</v>
      </c>
      <c r="BJ234" s="28">
        <f>IF(BJ231=0,IF('Lease Cycles'!$F$21&gt;0,'Lease Cycles'!$C$21*'Lease Cycles'!$E$21/12,0),IF(BJ233=1,IF('Lease Cycles'!$AT$21&gt;=9999,'Lease Cycles'!$C$21*INDEX('Lease Cycles'!$CB$21:$CH$21,1,BJ231)*(1+INDEX('Lease Cycles'!$CI$21:$CO$21,1,BJ231))^INT(INT(BJ232/12)/INDEX('Lease Cycles'!$CP$21:$CV$21,1,BJ231))/12,IF(BJ231=1,IF(BJ232&gt;=INDEX('Lease Cycles'!$DK$21:$DQ$21,1,BJ231),IF(BJ$6&gt;='Lease Cycles'!$AZ$21,'Lease Cycles'!$C$21*'Lease Cycles'!$BA$21/12,IF(BJ$6&gt;='Lease Cycles'!$AX$21,'Lease Cycles'!$C$21*'Lease Cycles'!$AY$21/12,IF(BJ$6&gt;='Lease Cycles'!$AV$21,'Lease Cycles'!$C$21*'Lease Cycles'!$AW$21/12,IF(BJ$6&gt;='Lease Cycles'!$AT$21,'Lease Cycles'!$C$21*'Lease Cycles'!$AU$21/12,'Lease Cycles'!$C$21*INDEX('Lease Cycles'!$CB$21:$CH$21,1,BJ231)*(1+INDEX('Lease Cycles'!$CI$21:$CO$21,1,BJ231))^INT(INT(BJ232/12)/INDEX('Lease Cycles'!$CP$21:$CV$21,1,BJ231))/12)))),'Lease Cycles'!$C$21*INDEX('Lease Cycles'!$CB$21:$CH$21,1,BJ231)*(1+INDEX('Lease Cycles'!$CI$21:$CO$21,1,BJ231))^INT(INT(BJ232/12)/INDEX('Lease Cycles'!$CP$21:$CV$21,1,BJ231))/12),IF(INDEX('Lease Cycles'!$EF$21:$EL$21,1,BJ231)=1,IF(AND('Lease Cycles'!$AZ$21&gt;=INDEX('Lease Cycles'!$BG$21:$BM$21,1,BJ231),'Lease Cycles'!$AZ$21&lt;=BJ$6),'Lease Cycles'!$C$21*'Lease Cycles'!$BA$21/12,IF(AND('Lease Cycles'!$AX$21&gt;=INDEX('Lease Cycles'!$BG$21:$BM$21,1,BJ231),'Lease Cycles'!$AX$21&lt;=BJ$6),'Lease Cycles'!$C$21*'Lease Cycles'!$AY$21/12,IF(AND('Lease Cycles'!$AV$21&gt;=INDEX('Lease Cycles'!$BG$21:$BM$21,1,BJ231),'Lease Cycles'!$AV$21&lt;=BJ$6),'Lease Cycles'!$C$21*'Lease Cycles'!$AW$21/12,IF(AND('Lease Cycles'!$AT$21&gt;=INDEX('Lease Cycles'!$BG$21:$BM$21,1,BJ231),'Lease Cycles'!$AT$21&lt;=BJ$6),'Lease Cycles'!$C$21*'Lease Cycles'!$AU$21/12,'Lease Cycles'!$C$21*INDEX('Lease Cycles'!$CB$21:$CH$21,1,BJ231)*(1+INDEX('Lease Cycles'!$CI$21:$CO$21,1,BJ231))^INT(INT(BJ232/12)/INDEX('Lease Cycles'!$CP$21:$CV$21,1,BJ231))/12)))),'Lease Cycles'!$C$21*INDEX('Lease Cycles'!$CB$21:$CH$21,1,BJ231)*(1+INDEX('Lease Cycles'!$CI$21:$CO$21,1,BJ231))^INT(INT(BJ232/12)/INDEX('Lease Cycles'!$CP$21:$CV$21,1,BJ231))/12))),IF('Lease Cycles'!$N$21=1,'Lease Cycles'!$C$21*'Lease Cycles'!$E$21*INDEX('Lease Cycles'!$HE$21:$HK$21,1,BJ231)*(1+INDEX('Lease Cycles'!$GQ$21:$GW$21,1,BJ231))^INT(INT((BJ$6-INDEX('Lease Cycles'!$GJ$21:$GP$21,1,BJ231))/12)/INDEX('Lease Cycles'!$GX$21:$HD$21,1,BJ231))/12,0)))</f>
        <v>0</v>
      </c>
      <c r="BK234" s="28">
        <f>IF(BK231=0,IF('Lease Cycles'!$F$21&gt;0,'Lease Cycles'!$C$21*'Lease Cycles'!$E$21/12,0),IF(BK233=1,IF('Lease Cycles'!$AT$21&gt;=9999,'Lease Cycles'!$C$21*INDEX('Lease Cycles'!$CB$21:$CH$21,1,BK231)*(1+INDEX('Lease Cycles'!$CI$21:$CO$21,1,BK231))^INT(INT(BK232/12)/INDEX('Lease Cycles'!$CP$21:$CV$21,1,BK231))/12,IF(BK231=1,IF(BK232&gt;=INDEX('Lease Cycles'!$DK$21:$DQ$21,1,BK231),IF(BK$6&gt;='Lease Cycles'!$AZ$21,'Lease Cycles'!$C$21*'Lease Cycles'!$BA$21/12,IF(BK$6&gt;='Lease Cycles'!$AX$21,'Lease Cycles'!$C$21*'Lease Cycles'!$AY$21/12,IF(BK$6&gt;='Lease Cycles'!$AV$21,'Lease Cycles'!$C$21*'Lease Cycles'!$AW$21/12,IF(BK$6&gt;='Lease Cycles'!$AT$21,'Lease Cycles'!$C$21*'Lease Cycles'!$AU$21/12,'Lease Cycles'!$C$21*INDEX('Lease Cycles'!$CB$21:$CH$21,1,BK231)*(1+INDEX('Lease Cycles'!$CI$21:$CO$21,1,BK231))^INT(INT(BK232/12)/INDEX('Lease Cycles'!$CP$21:$CV$21,1,BK231))/12)))),'Lease Cycles'!$C$21*INDEX('Lease Cycles'!$CB$21:$CH$21,1,BK231)*(1+INDEX('Lease Cycles'!$CI$21:$CO$21,1,BK231))^INT(INT(BK232/12)/INDEX('Lease Cycles'!$CP$21:$CV$21,1,BK231))/12),IF(INDEX('Lease Cycles'!$EF$21:$EL$21,1,BK231)=1,IF(AND('Lease Cycles'!$AZ$21&gt;=INDEX('Lease Cycles'!$BG$21:$BM$21,1,BK231),'Lease Cycles'!$AZ$21&lt;=BK$6),'Lease Cycles'!$C$21*'Lease Cycles'!$BA$21/12,IF(AND('Lease Cycles'!$AX$21&gt;=INDEX('Lease Cycles'!$BG$21:$BM$21,1,BK231),'Lease Cycles'!$AX$21&lt;=BK$6),'Lease Cycles'!$C$21*'Lease Cycles'!$AY$21/12,IF(AND('Lease Cycles'!$AV$21&gt;=INDEX('Lease Cycles'!$BG$21:$BM$21,1,BK231),'Lease Cycles'!$AV$21&lt;=BK$6),'Lease Cycles'!$C$21*'Lease Cycles'!$AW$21/12,IF(AND('Lease Cycles'!$AT$21&gt;=INDEX('Lease Cycles'!$BG$21:$BM$21,1,BK231),'Lease Cycles'!$AT$21&lt;=BK$6),'Lease Cycles'!$C$21*'Lease Cycles'!$AU$21/12,'Lease Cycles'!$C$21*INDEX('Lease Cycles'!$CB$21:$CH$21,1,BK231)*(1+INDEX('Lease Cycles'!$CI$21:$CO$21,1,BK231))^INT(INT(BK232/12)/INDEX('Lease Cycles'!$CP$21:$CV$21,1,BK231))/12)))),'Lease Cycles'!$C$21*INDEX('Lease Cycles'!$CB$21:$CH$21,1,BK231)*(1+INDEX('Lease Cycles'!$CI$21:$CO$21,1,BK231))^INT(INT(BK232/12)/INDEX('Lease Cycles'!$CP$21:$CV$21,1,BK231))/12))),IF('Lease Cycles'!$N$21=1,'Lease Cycles'!$C$21*'Lease Cycles'!$E$21*INDEX('Lease Cycles'!$HE$21:$HK$21,1,BK231)*(1+INDEX('Lease Cycles'!$GQ$21:$GW$21,1,BK231))^INT(INT((BK$6-INDEX('Lease Cycles'!$GJ$21:$GP$21,1,BK231))/12)/INDEX('Lease Cycles'!$GX$21:$HD$21,1,BK231))/12,0)))</f>
        <v>0</v>
      </c>
      <c r="BL234" s="28">
        <f>IF(BL231=0,IF('Lease Cycles'!$F$21&gt;0,'Lease Cycles'!$C$21*'Lease Cycles'!$E$21/12,0),IF(BL233=1,IF('Lease Cycles'!$AT$21&gt;=9999,'Lease Cycles'!$C$21*INDEX('Lease Cycles'!$CB$21:$CH$21,1,BL231)*(1+INDEX('Lease Cycles'!$CI$21:$CO$21,1,BL231))^INT(INT(BL232/12)/INDEX('Lease Cycles'!$CP$21:$CV$21,1,BL231))/12,IF(BL231=1,IF(BL232&gt;=INDEX('Lease Cycles'!$DK$21:$DQ$21,1,BL231),IF(BL$6&gt;='Lease Cycles'!$AZ$21,'Lease Cycles'!$C$21*'Lease Cycles'!$BA$21/12,IF(BL$6&gt;='Lease Cycles'!$AX$21,'Lease Cycles'!$C$21*'Lease Cycles'!$AY$21/12,IF(BL$6&gt;='Lease Cycles'!$AV$21,'Lease Cycles'!$C$21*'Lease Cycles'!$AW$21/12,IF(BL$6&gt;='Lease Cycles'!$AT$21,'Lease Cycles'!$C$21*'Lease Cycles'!$AU$21/12,'Lease Cycles'!$C$21*INDEX('Lease Cycles'!$CB$21:$CH$21,1,BL231)*(1+INDEX('Lease Cycles'!$CI$21:$CO$21,1,BL231))^INT(INT(BL232/12)/INDEX('Lease Cycles'!$CP$21:$CV$21,1,BL231))/12)))),'Lease Cycles'!$C$21*INDEX('Lease Cycles'!$CB$21:$CH$21,1,BL231)*(1+INDEX('Lease Cycles'!$CI$21:$CO$21,1,BL231))^INT(INT(BL232/12)/INDEX('Lease Cycles'!$CP$21:$CV$21,1,BL231))/12),IF(INDEX('Lease Cycles'!$EF$21:$EL$21,1,BL231)=1,IF(AND('Lease Cycles'!$AZ$21&gt;=INDEX('Lease Cycles'!$BG$21:$BM$21,1,BL231),'Lease Cycles'!$AZ$21&lt;=BL$6),'Lease Cycles'!$C$21*'Lease Cycles'!$BA$21/12,IF(AND('Lease Cycles'!$AX$21&gt;=INDEX('Lease Cycles'!$BG$21:$BM$21,1,BL231),'Lease Cycles'!$AX$21&lt;=BL$6),'Lease Cycles'!$C$21*'Lease Cycles'!$AY$21/12,IF(AND('Lease Cycles'!$AV$21&gt;=INDEX('Lease Cycles'!$BG$21:$BM$21,1,BL231),'Lease Cycles'!$AV$21&lt;=BL$6),'Lease Cycles'!$C$21*'Lease Cycles'!$AW$21/12,IF(AND('Lease Cycles'!$AT$21&gt;=INDEX('Lease Cycles'!$BG$21:$BM$21,1,BL231),'Lease Cycles'!$AT$21&lt;=BL$6),'Lease Cycles'!$C$21*'Lease Cycles'!$AU$21/12,'Lease Cycles'!$C$21*INDEX('Lease Cycles'!$CB$21:$CH$21,1,BL231)*(1+INDEX('Lease Cycles'!$CI$21:$CO$21,1,BL231))^INT(INT(BL232/12)/INDEX('Lease Cycles'!$CP$21:$CV$21,1,BL231))/12)))),'Lease Cycles'!$C$21*INDEX('Lease Cycles'!$CB$21:$CH$21,1,BL231)*(1+INDEX('Lease Cycles'!$CI$21:$CO$21,1,BL231))^INT(INT(BL232/12)/INDEX('Lease Cycles'!$CP$21:$CV$21,1,BL231))/12))),IF('Lease Cycles'!$N$21=1,'Lease Cycles'!$C$21*'Lease Cycles'!$E$21*INDEX('Lease Cycles'!$HE$21:$HK$21,1,BL231)*(1+INDEX('Lease Cycles'!$GQ$21:$GW$21,1,BL231))^INT(INT((BL$6-INDEX('Lease Cycles'!$GJ$21:$GP$21,1,BL231))/12)/INDEX('Lease Cycles'!$GX$21:$HD$21,1,BL231))/12,0)))</f>
        <v>0</v>
      </c>
      <c r="BM234" s="28">
        <f>IF(BM231=0,IF('Lease Cycles'!$F$21&gt;0,'Lease Cycles'!$C$21*'Lease Cycles'!$E$21/12,0),IF(BM233=1,IF('Lease Cycles'!$AT$21&gt;=9999,'Lease Cycles'!$C$21*INDEX('Lease Cycles'!$CB$21:$CH$21,1,BM231)*(1+INDEX('Lease Cycles'!$CI$21:$CO$21,1,BM231))^INT(INT(BM232/12)/INDEX('Lease Cycles'!$CP$21:$CV$21,1,BM231))/12,IF(BM231=1,IF(BM232&gt;=INDEX('Lease Cycles'!$DK$21:$DQ$21,1,BM231),IF(BM$6&gt;='Lease Cycles'!$AZ$21,'Lease Cycles'!$C$21*'Lease Cycles'!$BA$21/12,IF(BM$6&gt;='Lease Cycles'!$AX$21,'Lease Cycles'!$C$21*'Lease Cycles'!$AY$21/12,IF(BM$6&gt;='Lease Cycles'!$AV$21,'Lease Cycles'!$C$21*'Lease Cycles'!$AW$21/12,IF(BM$6&gt;='Lease Cycles'!$AT$21,'Lease Cycles'!$C$21*'Lease Cycles'!$AU$21/12,'Lease Cycles'!$C$21*INDEX('Lease Cycles'!$CB$21:$CH$21,1,BM231)*(1+INDEX('Lease Cycles'!$CI$21:$CO$21,1,BM231))^INT(INT(BM232/12)/INDEX('Lease Cycles'!$CP$21:$CV$21,1,BM231))/12)))),'Lease Cycles'!$C$21*INDEX('Lease Cycles'!$CB$21:$CH$21,1,BM231)*(1+INDEX('Lease Cycles'!$CI$21:$CO$21,1,BM231))^INT(INT(BM232/12)/INDEX('Lease Cycles'!$CP$21:$CV$21,1,BM231))/12),IF(INDEX('Lease Cycles'!$EF$21:$EL$21,1,BM231)=1,IF(AND('Lease Cycles'!$AZ$21&gt;=INDEX('Lease Cycles'!$BG$21:$BM$21,1,BM231),'Lease Cycles'!$AZ$21&lt;=BM$6),'Lease Cycles'!$C$21*'Lease Cycles'!$BA$21/12,IF(AND('Lease Cycles'!$AX$21&gt;=INDEX('Lease Cycles'!$BG$21:$BM$21,1,BM231),'Lease Cycles'!$AX$21&lt;=BM$6),'Lease Cycles'!$C$21*'Lease Cycles'!$AY$21/12,IF(AND('Lease Cycles'!$AV$21&gt;=INDEX('Lease Cycles'!$BG$21:$BM$21,1,BM231),'Lease Cycles'!$AV$21&lt;=BM$6),'Lease Cycles'!$C$21*'Lease Cycles'!$AW$21/12,IF(AND('Lease Cycles'!$AT$21&gt;=INDEX('Lease Cycles'!$BG$21:$BM$21,1,BM231),'Lease Cycles'!$AT$21&lt;=BM$6),'Lease Cycles'!$C$21*'Lease Cycles'!$AU$21/12,'Lease Cycles'!$C$21*INDEX('Lease Cycles'!$CB$21:$CH$21,1,BM231)*(1+INDEX('Lease Cycles'!$CI$21:$CO$21,1,BM231))^INT(INT(BM232/12)/INDEX('Lease Cycles'!$CP$21:$CV$21,1,BM231))/12)))),'Lease Cycles'!$C$21*INDEX('Lease Cycles'!$CB$21:$CH$21,1,BM231)*(1+INDEX('Lease Cycles'!$CI$21:$CO$21,1,BM231))^INT(INT(BM232/12)/INDEX('Lease Cycles'!$CP$21:$CV$21,1,BM231))/12))),IF('Lease Cycles'!$N$21=1,'Lease Cycles'!$C$21*'Lease Cycles'!$E$21*INDEX('Lease Cycles'!$HE$21:$HK$21,1,BM231)*(1+INDEX('Lease Cycles'!$GQ$21:$GW$21,1,BM231))^INT(INT((BM$6-INDEX('Lease Cycles'!$GJ$21:$GP$21,1,BM231))/12)/INDEX('Lease Cycles'!$GX$21:$HD$21,1,BM231))/12,0)))</f>
        <v>0</v>
      </c>
      <c r="BN234" s="28">
        <f>IF(BN231=0,IF('Lease Cycles'!$F$21&gt;0,'Lease Cycles'!$C$21*'Lease Cycles'!$E$21/12,0),IF(BN233=1,IF('Lease Cycles'!$AT$21&gt;=9999,'Lease Cycles'!$C$21*INDEX('Lease Cycles'!$CB$21:$CH$21,1,BN231)*(1+INDEX('Lease Cycles'!$CI$21:$CO$21,1,BN231))^INT(INT(BN232/12)/INDEX('Lease Cycles'!$CP$21:$CV$21,1,BN231))/12,IF(BN231=1,IF(BN232&gt;=INDEX('Lease Cycles'!$DK$21:$DQ$21,1,BN231),IF(BN$6&gt;='Lease Cycles'!$AZ$21,'Lease Cycles'!$C$21*'Lease Cycles'!$BA$21/12,IF(BN$6&gt;='Lease Cycles'!$AX$21,'Lease Cycles'!$C$21*'Lease Cycles'!$AY$21/12,IF(BN$6&gt;='Lease Cycles'!$AV$21,'Lease Cycles'!$C$21*'Lease Cycles'!$AW$21/12,IF(BN$6&gt;='Lease Cycles'!$AT$21,'Lease Cycles'!$C$21*'Lease Cycles'!$AU$21/12,'Lease Cycles'!$C$21*INDEX('Lease Cycles'!$CB$21:$CH$21,1,BN231)*(1+INDEX('Lease Cycles'!$CI$21:$CO$21,1,BN231))^INT(INT(BN232/12)/INDEX('Lease Cycles'!$CP$21:$CV$21,1,BN231))/12)))),'Lease Cycles'!$C$21*INDEX('Lease Cycles'!$CB$21:$CH$21,1,BN231)*(1+INDEX('Lease Cycles'!$CI$21:$CO$21,1,BN231))^INT(INT(BN232/12)/INDEX('Lease Cycles'!$CP$21:$CV$21,1,BN231))/12),IF(INDEX('Lease Cycles'!$EF$21:$EL$21,1,BN231)=1,IF(AND('Lease Cycles'!$AZ$21&gt;=INDEX('Lease Cycles'!$BG$21:$BM$21,1,BN231),'Lease Cycles'!$AZ$21&lt;=BN$6),'Lease Cycles'!$C$21*'Lease Cycles'!$BA$21/12,IF(AND('Lease Cycles'!$AX$21&gt;=INDEX('Lease Cycles'!$BG$21:$BM$21,1,BN231),'Lease Cycles'!$AX$21&lt;=BN$6),'Lease Cycles'!$C$21*'Lease Cycles'!$AY$21/12,IF(AND('Lease Cycles'!$AV$21&gt;=INDEX('Lease Cycles'!$BG$21:$BM$21,1,BN231),'Lease Cycles'!$AV$21&lt;=BN$6),'Lease Cycles'!$C$21*'Lease Cycles'!$AW$21/12,IF(AND('Lease Cycles'!$AT$21&gt;=INDEX('Lease Cycles'!$BG$21:$BM$21,1,BN231),'Lease Cycles'!$AT$21&lt;=BN$6),'Lease Cycles'!$C$21*'Lease Cycles'!$AU$21/12,'Lease Cycles'!$C$21*INDEX('Lease Cycles'!$CB$21:$CH$21,1,BN231)*(1+INDEX('Lease Cycles'!$CI$21:$CO$21,1,BN231))^INT(INT(BN232/12)/INDEX('Lease Cycles'!$CP$21:$CV$21,1,BN231))/12)))),'Lease Cycles'!$C$21*INDEX('Lease Cycles'!$CB$21:$CH$21,1,BN231)*(1+INDEX('Lease Cycles'!$CI$21:$CO$21,1,BN231))^INT(INT(BN232/12)/INDEX('Lease Cycles'!$CP$21:$CV$21,1,BN231))/12))),IF('Lease Cycles'!$N$21=1,'Lease Cycles'!$C$21*'Lease Cycles'!$E$21*INDEX('Lease Cycles'!$HE$21:$HK$21,1,BN231)*(1+INDEX('Lease Cycles'!$GQ$21:$GW$21,1,BN231))^INT(INT((BN$6-INDEX('Lease Cycles'!$GJ$21:$GP$21,1,BN231))/12)/INDEX('Lease Cycles'!$GX$21:$HD$21,1,BN231))/12,0)))</f>
        <v>0</v>
      </c>
      <c r="BO234" s="28">
        <f>IF(BO231=0,IF('Lease Cycles'!$F$21&gt;0,'Lease Cycles'!$C$21*'Lease Cycles'!$E$21/12,0),IF(BO233=1,IF('Lease Cycles'!$AT$21&gt;=9999,'Lease Cycles'!$C$21*INDEX('Lease Cycles'!$CB$21:$CH$21,1,BO231)*(1+INDEX('Lease Cycles'!$CI$21:$CO$21,1,BO231))^INT(INT(BO232/12)/INDEX('Lease Cycles'!$CP$21:$CV$21,1,BO231))/12,IF(BO231=1,IF(BO232&gt;=INDEX('Lease Cycles'!$DK$21:$DQ$21,1,BO231),IF(BO$6&gt;='Lease Cycles'!$AZ$21,'Lease Cycles'!$C$21*'Lease Cycles'!$BA$21/12,IF(BO$6&gt;='Lease Cycles'!$AX$21,'Lease Cycles'!$C$21*'Lease Cycles'!$AY$21/12,IF(BO$6&gt;='Lease Cycles'!$AV$21,'Lease Cycles'!$C$21*'Lease Cycles'!$AW$21/12,IF(BO$6&gt;='Lease Cycles'!$AT$21,'Lease Cycles'!$C$21*'Lease Cycles'!$AU$21/12,'Lease Cycles'!$C$21*INDEX('Lease Cycles'!$CB$21:$CH$21,1,BO231)*(1+INDEX('Lease Cycles'!$CI$21:$CO$21,1,BO231))^INT(INT(BO232/12)/INDEX('Lease Cycles'!$CP$21:$CV$21,1,BO231))/12)))),'Lease Cycles'!$C$21*INDEX('Lease Cycles'!$CB$21:$CH$21,1,BO231)*(1+INDEX('Lease Cycles'!$CI$21:$CO$21,1,BO231))^INT(INT(BO232/12)/INDEX('Lease Cycles'!$CP$21:$CV$21,1,BO231))/12),IF(INDEX('Lease Cycles'!$EF$21:$EL$21,1,BO231)=1,IF(AND('Lease Cycles'!$AZ$21&gt;=INDEX('Lease Cycles'!$BG$21:$BM$21,1,BO231),'Lease Cycles'!$AZ$21&lt;=BO$6),'Lease Cycles'!$C$21*'Lease Cycles'!$BA$21/12,IF(AND('Lease Cycles'!$AX$21&gt;=INDEX('Lease Cycles'!$BG$21:$BM$21,1,BO231),'Lease Cycles'!$AX$21&lt;=BO$6),'Lease Cycles'!$C$21*'Lease Cycles'!$AY$21/12,IF(AND('Lease Cycles'!$AV$21&gt;=INDEX('Lease Cycles'!$BG$21:$BM$21,1,BO231),'Lease Cycles'!$AV$21&lt;=BO$6),'Lease Cycles'!$C$21*'Lease Cycles'!$AW$21/12,IF(AND('Lease Cycles'!$AT$21&gt;=INDEX('Lease Cycles'!$BG$21:$BM$21,1,BO231),'Lease Cycles'!$AT$21&lt;=BO$6),'Lease Cycles'!$C$21*'Lease Cycles'!$AU$21/12,'Lease Cycles'!$C$21*INDEX('Lease Cycles'!$CB$21:$CH$21,1,BO231)*(1+INDEX('Lease Cycles'!$CI$21:$CO$21,1,BO231))^INT(INT(BO232/12)/INDEX('Lease Cycles'!$CP$21:$CV$21,1,BO231))/12)))),'Lease Cycles'!$C$21*INDEX('Lease Cycles'!$CB$21:$CH$21,1,BO231)*(1+INDEX('Lease Cycles'!$CI$21:$CO$21,1,BO231))^INT(INT(BO232/12)/INDEX('Lease Cycles'!$CP$21:$CV$21,1,BO231))/12))),IF('Lease Cycles'!$N$21=1,'Lease Cycles'!$C$21*'Lease Cycles'!$E$21*INDEX('Lease Cycles'!$HE$21:$HK$21,1,BO231)*(1+INDEX('Lease Cycles'!$GQ$21:$GW$21,1,BO231))^INT(INT((BO$6-INDEX('Lease Cycles'!$GJ$21:$GP$21,1,BO231))/12)/INDEX('Lease Cycles'!$GX$21:$HD$21,1,BO231))/12,0)))</f>
        <v>0</v>
      </c>
      <c r="BP234" s="28">
        <f>IF(BP231=0,IF('Lease Cycles'!$F$21&gt;0,'Lease Cycles'!$C$21*'Lease Cycles'!$E$21/12,0),IF(BP233=1,IF('Lease Cycles'!$AT$21&gt;=9999,'Lease Cycles'!$C$21*INDEX('Lease Cycles'!$CB$21:$CH$21,1,BP231)*(1+INDEX('Lease Cycles'!$CI$21:$CO$21,1,BP231))^INT(INT(BP232/12)/INDEX('Lease Cycles'!$CP$21:$CV$21,1,BP231))/12,IF(BP231=1,IF(BP232&gt;=INDEX('Lease Cycles'!$DK$21:$DQ$21,1,BP231),IF(BP$6&gt;='Lease Cycles'!$AZ$21,'Lease Cycles'!$C$21*'Lease Cycles'!$BA$21/12,IF(BP$6&gt;='Lease Cycles'!$AX$21,'Lease Cycles'!$C$21*'Lease Cycles'!$AY$21/12,IF(BP$6&gt;='Lease Cycles'!$AV$21,'Lease Cycles'!$C$21*'Lease Cycles'!$AW$21/12,IF(BP$6&gt;='Lease Cycles'!$AT$21,'Lease Cycles'!$C$21*'Lease Cycles'!$AU$21/12,'Lease Cycles'!$C$21*INDEX('Lease Cycles'!$CB$21:$CH$21,1,BP231)*(1+INDEX('Lease Cycles'!$CI$21:$CO$21,1,BP231))^INT(INT(BP232/12)/INDEX('Lease Cycles'!$CP$21:$CV$21,1,BP231))/12)))),'Lease Cycles'!$C$21*INDEX('Lease Cycles'!$CB$21:$CH$21,1,BP231)*(1+INDEX('Lease Cycles'!$CI$21:$CO$21,1,BP231))^INT(INT(BP232/12)/INDEX('Lease Cycles'!$CP$21:$CV$21,1,BP231))/12),IF(INDEX('Lease Cycles'!$EF$21:$EL$21,1,BP231)=1,IF(AND('Lease Cycles'!$AZ$21&gt;=INDEX('Lease Cycles'!$BG$21:$BM$21,1,BP231),'Lease Cycles'!$AZ$21&lt;=BP$6),'Lease Cycles'!$C$21*'Lease Cycles'!$BA$21/12,IF(AND('Lease Cycles'!$AX$21&gt;=INDEX('Lease Cycles'!$BG$21:$BM$21,1,BP231),'Lease Cycles'!$AX$21&lt;=BP$6),'Lease Cycles'!$C$21*'Lease Cycles'!$AY$21/12,IF(AND('Lease Cycles'!$AV$21&gt;=INDEX('Lease Cycles'!$BG$21:$BM$21,1,BP231),'Lease Cycles'!$AV$21&lt;=BP$6),'Lease Cycles'!$C$21*'Lease Cycles'!$AW$21/12,IF(AND('Lease Cycles'!$AT$21&gt;=INDEX('Lease Cycles'!$BG$21:$BM$21,1,BP231),'Lease Cycles'!$AT$21&lt;=BP$6),'Lease Cycles'!$C$21*'Lease Cycles'!$AU$21/12,'Lease Cycles'!$C$21*INDEX('Lease Cycles'!$CB$21:$CH$21,1,BP231)*(1+INDEX('Lease Cycles'!$CI$21:$CO$21,1,BP231))^INT(INT(BP232/12)/INDEX('Lease Cycles'!$CP$21:$CV$21,1,BP231))/12)))),'Lease Cycles'!$C$21*INDEX('Lease Cycles'!$CB$21:$CH$21,1,BP231)*(1+INDEX('Lease Cycles'!$CI$21:$CO$21,1,BP231))^INT(INT(BP232/12)/INDEX('Lease Cycles'!$CP$21:$CV$21,1,BP231))/12))),IF('Lease Cycles'!$N$21=1,'Lease Cycles'!$C$21*'Lease Cycles'!$E$21*INDEX('Lease Cycles'!$HE$21:$HK$21,1,BP231)*(1+INDEX('Lease Cycles'!$GQ$21:$GW$21,1,BP231))^INT(INT((BP$6-INDEX('Lease Cycles'!$GJ$21:$GP$21,1,BP231))/12)/INDEX('Lease Cycles'!$GX$21:$HD$21,1,BP231))/12,0)))</f>
        <v>0</v>
      </c>
      <c r="BQ234" s="28">
        <f>IF(BQ231=0,IF('Lease Cycles'!$F$21&gt;0,'Lease Cycles'!$C$21*'Lease Cycles'!$E$21/12,0),IF(BQ233=1,IF('Lease Cycles'!$AT$21&gt;=9999,'Lease Cycles'!$C$21*INDEX('Lease Cycles'!$CB$21:$CH$21,1,BQ231)*(1+INDEX('Lease Cycles'!$CI$21:$CO$21,1,BQ231))^INT(INT(BQ232/12)/INDEX('Lease Cycles'!$CP$21:$CV$21,1,BQ231))/12,IF(BQ231=1,IF(BQ232&gt;=INDEX('Lease Cycles'!$DK$21:$DQ$21,1,BQ231),IF(BQ$6&gt;='Lease Cycles'!$AZ$21,'Lease Cycles'!$C$21*'Lease Cycles'!$BA$21/12,IF(BQ$6&gt;='Lease Cycles'!$AX$21,'Lease Cycles'!$C$21*'Lease Cycles'!$AY$21/12,IF(BQ$6&gt;='Lease Cycles'!$AV$21,'Lease Cycles'!$C$21*'Lease Cycles'!$AW$21/12,IF(BQ$6&gt;='Lease Cycles'!$AT$21,'Lease Cycles'!$C$21*'Lease Cycles'!$AU$21/12,'Lease Cycles'!$C$21*INDEX('Lease Cycles'!$CB$21:$CH$21,1,BQ231)*(1+INDEX('Lease Cycles'!$CI$21:$CO$21,1,BQ231))^INT(INT(BQ232/12)/INDEX('Lease Cycles'!$CP$21:$CV$21,1,BQ231))/12)))),'Lease Cycles'!$C$21*INDEX('Lease Cycles'!$CB$21:$CH$21,1,BQ231)*(1+INDEX('Lease Cycles'!$CI$21:$CO$21,1,BQ231))^INT(INT(BQ232/12)/INDEX('Lease Cycles'!$CP$21:$CV$21,1,BQ231))/12),IF(INDEX('Lease Cycles'!$EF$21:$EL$21,1,BQ231)=1,IF(AND('Lease Cycles'!$AZ$21&gt;=INDEX('Lease Cycles'!$BG$21:$BM$21,1,BQ231),'Lease Cycles'!$AZ$21&lt;=BQ$6),'Lease Cycles'!$C$21*'Lease Cycles'!$BA$21/12,IF(AND('Lease Cycles'!$AX$21&gt;=INDEX('Lease Cycles'!$BG$21:$BM$21,1,BQ231),'Lease Cycles'!$AX$21&lt;=BQ$6),'Lease Cycles'!$C$21*'Lease Cycles'!$AY$21/12,IF(AND('Lease Cycles'!$AV$21&gt;=INDEX('Lease Cycles'!$BG$21:$BM$21,1,BQ231),'Lease Cycles'!$AV$21&lt;=BQ$6),'Lease Cycles'!$C$21*'Lease Cycles'!$AW$21/12,IF(AND('Lease Cycles'!$AT$21&gt;=INDEX('Lease Cycles'!$BG$21:$BM$21,1,BQ231),'Lease Cycles'!$AT$21&lt;=BQ$6),'Lease Cycles'!$C$21*'Lease Cycles'!$AU$21/12,'Lease Cycles'!$C$21*INDEX('Lease Cycles'!$CB$21:$CH$21,1,BQ231)*(1+INDEX('Lease Cycles'!$CI$21:$CO$21,1,BQ231))^INT(INT(BQ232/12)/INDEX('Lease Cycles'!$CP$21:$CV$21,1,BQ231))/12)))),'Lease Cycles'!$C$21*INDEX('Lease Cycles'!$CB$21:$CH$21,1,BQ231)*(1+INDEX('Lease Cycles'!$CI$21:$CO$21,1,BQ231))^INT(INT(BQ232/12)/INDEX('Lease Cycles'!$CP$21:$CV$21,1,BQ231))/12))),IF('Lease Cycles'!$N$21=1,'Lease Cycles'!$C$21*'Lease Cycles'!$E$21*INDEX('Lease Cycles'!$HE$21:$HK$21,1,BQ231)*(1+INDEX('Lease Cycles'!$GQ$21:$GW$21,1,BQ231))^INT(INT((BQ$6-INDEX('Lease Cycles'!$GJ$21:$GP$21,1,BQ231))/12)/INDEX('Lease Cycles'!$GX$21:$HD$21,1,BQ231))/12,0)))</f>
        <v>0</v>
      </c>
      <c r="BR234" s="28">
        <f>IF(BR231=0,IF('Lease Cycles'!$F$21&gt;0,'Lease Cycles'!$C$21*'Lease Cycles'!$E$21/12,0),IF(BR233=1,IF('Lease Cycles'!$AT$21&gt;=9999,'Lease Cycles'!$C$21*INDEX('Lease Cycles'!$CB$21:$CH$21,1,BR231)*(1+INDEX('Lease Cycles'!$CI$21:$CO$21,1,BR231))^INT(INT(BR232/12)/INDEX('Lease Cycles'!$CP$21:$CV$21,1,BR231))/12,IF(BR231=1,IF(BR232&gt;=INDEX('Lease Cycles'!$DK$21:$DQ$21,1,BR231),IF(BR$6&gt;='Lease Cycles'!$AZ$21,'Lease Cycles'!$C$21*'Lease Cycles'!$BA$21/12,IF(BR$6&gt;='Lease Cycles'!$AX$21,'Lease Cycles'!$C$21*'Lease Cycles'!$AY$21/12,IF(BR$6&gt;='Lease Cycles'!$AV$21,'Lease Cycles'!$C$21*'Lease Cycles'!$AW$21/12,IF(BR$6&gt;='Lease Cycles'!$AT$21,'Lease Cycles'!$C$21*'Lease Cycles'!$AU$21/12,'Lease Cycles'!$C$21*INDEX('Lease Cycles'!$CB$21:$CH$21,1,BR231)*(1+INDEX('Lease Cycles'!$CI$21:$CO$21,1,BR231))^INT(INT(BR232/12)/INDEX('Lease Cycles'!$CP$21:$CV$21,1,BR231))/12)))),'Lease Cycles'!$C$21*INDEX('Lease Cycles'!$CB$21:$CH$21,1,BR231)*(1+INDEX('Lease Cycles'!$CI$21:$CO$21,1,BR231))^INT(INT(BR232/12)/INDEX('Lease Cycles'!$CP$21:$CV$21,1,BR231))/12),IF(INDEX('Lease Cycles'!$EF$21:$EL$21,1,BR231)=1,IF(AND('Lease Cycles'!$AZ$21&gt;=INDEX('Lease Cycles'!$BG$21:$BM$21,1,BR231),'Lease Cycles'!$AZ$21&lt;=BR$6),'Lease Cycles'!$C$21*'Lease Cycles'!$BA$21/12,IF(AND('Lease Cycles'!$AX$21&gt;=INDEX('Lease Cycles'!$BG$21:$BM$21,1,BR231),'Lease Cycles'!$AX$21&lt;=BR$6),'Lease Cycles'!$C$21*'Lease Cycles'!$AY$21/12,IF(AND('Lease Cycles'!$AV$21&gt;=INDEX('Lease Cycles'!$BG$21:$BM$21,1,BR231),'Lease Cycles'!$AV$21&lt;=BR$6),'Lease Cycles'!$C$21*'Lease Cycles'!$AW$21/12,IF(AND('Lease Cycles'!$AT$21&gt;=INDEX('Lease Cycles'!$BG$21:$BM$21,1,BR231),'Lease Cycles'!$AT$21&lt;=BR$6),'Lease Cycles'!$C$21*'Lease Cycles'!$AU$21/12,'Lease Cycles'!$C$21*INDEX('Lease Cycles'!$CB$21:$CH$21,1,BR231)*(1+INDEX('Lease Cycles'!$CI$21:$CO$21,1,BR231))^INT(INT(BR232/12)/INDEX('Lease Cycles'!$CP$21:$CV$21,1,BR231))/12)))),'Lease Cycles'!$C$21*INDEX('Lease Cycles'!$CB$21:$CH$21,1,BR231)*(1+INDEX('Lease Cycles'!$CI$21:$CO$21,1,BR231))^INT(INT(BR232/12)/INDEX('Lease Cycles'!$CP$21:$CV$21,1,BR231))/12))),IF('Lease Cycles'!$N$21=1,'Lease Cycles'!$C$21*'Lease Cycles'!$E$21*INDEX('Lease Cycles'!$HE$21:$HK$21,1,BR231)*(1+INDEX('Lease Cycles'!$GQ$21:$GW$21,1,BR231))^INT(INT((BR$6-INDEX('Lease Cycles'!$GJ$21:$GP$21,1,BR231))/12)/INDEX('Lease Cycles'!$GX$21:$HD$21,1,BR231))/12,0)))</f>
        <v>0</v>
      </c>
      <c r="BS234" s="28">
        <f>IF(BS231=0,IF('Lease Cycles'!$F$21&gt;0,'Lease Cycles'!$C$21*'Lease Cycles'!$E$21/12,0),IF(BS233=1,IF('Lease Cycles'!$AT$21&gt;=9999,'Lease Cycles'!$C$21*INDEX('Lease Cycles'!$CB$21:$CH$21,1,BS231)*(1+INDEX('Lease Cycles'!$CI$21:$CO$21,1,BS231))^INT(INT(BS232/12)/INDEX('Lease Cycles'!$CP$21:$CV$21,1,BS231))/12,IF(BS231=1,IF(BS232&gt;=INDEX('Lease Cycles'!$DK$21:$DQ$21,1,BS231),IF(BS$6&gt;='Lease Cycles'!$AZ$21,'Lease Cycles'!$C$21*'Lease Cycles'!$BA$21/12,IF(BS$6&gt;='Lease Cycles'!$AX$21,'Lease Cycles'!$C$21*'Lease Cycles'!$AY$21/12,IF(BS$6&gt;='Lease Cycles'!$AV$21,'Lease Cycles'!$C$21*'Lease Cycles'!$AW$21/12,IF(BS$6&gt;='Lease Cycles'!$AT$21,'Lease Cycles'!$C$21*'Lease Cycles'!$AU$21/12,'Lease Cycles'!$C$21*INDEX('Lease Cycles'!$CB$21:$CH$21,1,BS231)*(1+INDEX('Lease Cycles'!$CI$21:$CO$21,1,BS231))^INT(INT(BS232/12)/INDEX('Lease Cycles'!$CP$21:$CV$21,1,BS231))/12)))),'Lease Cycles'!$C$21*INDEX('Lease Cycles'!$CB$21:$CH$21,1,BS231)*(1+INDEX('Lease Cycles'!$CI$21:$CO$21,1,BS231))^INT(INT(BS232/12)/INDEX('Lease Cycles'!$CP$21:$CV$21,1,BS231))/12),IF(INDEX('Lease Cycles'!$EF$21:$EL$21,1,BS231)=1,IF(AND('Lease Cycles'!$AZ$21&gt;=INDEX('Lease Cycles'!$BG$21:$BM$21,1,BS231),'Lease Cycles'!$AZ$21&lt;=BS$6),'Lease Cycles'!$C$21*'Lease Cycles'!$BA$21/12,IF(AND('Lease Cycles'!$AX$21&gt;=INDEX('Lease Cycles'!$BG$21:$BM$21,1,BS231),'Lease Cycles'!$AX$21&lt;=BS$6),'Lease Cycles'!$C$21*'Lease Cycles'!$AY$21/12,IF(AND('Lease Cycles'!$AV$21&gt;=INDEX('Lease Cycles'!$BG$21:$BM$21,1,BS231),'Lease Cycles'!$AV$21&lt;=BS$6),'Lease Cycles'!$C$21*'Lease Cycles'!$AW$21/12,IF(AND('Lease Cycles'!$AT$21&gt;=INDEX('Lease Cycles'!$BG$21:$BM$21,1,BS231),'Lease Cycles'!$AT$21&lt;=BS$6),'Lease Cycles'!$C$21*'Lease Cycles'!$AU$21/12,'Lease Cycles'!$C$21*INDEX('Lease Cycles'!$CB$21:$CH$21,1,BS231)*(1+INDEX('Lease Cycles'!$CI$21:$CO$21,1,BS231))^INT(INT(BS232/12)/INDEX('Lease Cycles'!$CP$21:$CV$21,1,BS231))/12)))),'Lease Cycles'!$C$21*INDEX('Lease Cycles'!$CB$21:$CH$21,1,BS231)*(1+INDEX('Lease Cycles'!$CI$21:$CO$21,1,BS231))^INT(INT(BS232/12)/INDEX('Lease Cycles'!$CP$21:$CV$21,1,BS231))/12))),IF('Lease Cycles'!$N$21=1,'Lease Cycles'!$C$21*'Lease Cycles'!$E$21*INDEX('Lease Cycles'!$HE$21:$HK$21,1,BS231)*(1+INDEX('Lease Cycles'!$GQ$21:$GW$21,1,BS231))^INT(INT((BS$6-INDEX('Lease Cycles'!$GJ$21:$GP$21,1,BS231))/12)/INDEX('Lease Cycles'!$GX$21:$HD$21,1,BS231))/12,0)))</f>
        <v>0</v>
      </c>
      <c r="BT234" s="28">
        <f>IF(BT231=0,IF('Lease Cycles'!$F$21&gt;0,'Lease Cycles'!$C$21*'Lease Cycles'!$E$21/12,0),IF(BT233=1,IF('Lease Cycles'!$AT$21&gt;=9999,'Lease Cycles'!$C$21*INDEX('Lease Cycles'!$CB$21:$CH$21,1,BT231)*(1+INDEX('Lease Cycles'!$CI$21:$CO$21,1,BT231))^INT(INT(BT232/12)/INDEX('Lease Cycles'!$CP$21:$CV$21,1,BT231))/12,IF(BT231=1,IF(BT232&gt;=INDEX('Lease Cycles'!$DK$21:$DQ$21,1,BT231),IF(BT$6&gt;='Lease Cycles'!$AZ$21,'Lease Cycles'!$C$21*'Lease Cycles'!$BA$21/12,IF(BT$6&gt;='Lease Cycles'!$AX$21,'Lease Cycles'!$C$21*'Lease Cycles'!$AY$21/12,IF(BT$6&gt;='Lease Cycles'!$AV$21,'Lease Cycles'!$C$21*'Lease Cycles'!$AW$21/12,IF(BT$6&gt;='Lease Cycles'!$AT$21,'Lease Cycles'!$C$21*'Lease Cycles'!$AU$21/12,'Lease Cycles'!$C$21*INDEX('Lease Cycles'!$CB$21:$CH$21,1,BT231)*(1+INDEX('Lease Cycles'!$CI$21:$CO$21,1,BT231))^INT(INT(BT232/12)/INDEX('Lease Cycles'!$CP$21:$CV$21,1,BT231))/12)))),'Lease Cycles'!$C$21*INDEX('Lease Cycles'!$CB$21:$CH$21,1,BT231)*(1+INDEX('Lease Cycles'!$CI$21:$CO$21,1,BT231))^INT(INT(BT232/12)/INDEX('Lease Cycles'!$CP$21:$CV$21,1,BT231))/12),IF(INDEX('Lease Cycles'!$EF$21:$EL$21,1,BT231)=1,IF(AND('Lease Cycles'!$AZ$21&gt;=INDEX('Lease Cycles'!$BG$21:$BM$21,1,BT231),'Lease Cycles'!$AZ$21&lt;=BT$6),'Lease Cycles'!$C$21*'Lease Cycles'!$BA$21/12,IF(AND('Lease Cycles'!$AX$21&gt;=INDEX('Lease Cycles'!$BG$21:$BM$21,1,BT231),'Lease Cycles'!$AX$21&lt;=BT$6),'Lease Cycles'!$C$21*'Lease Cycles'!$AY$21/12,IF(AND('Lease Cycles'!$AV$21&gt;=INDEX('Lease Cycles'!$BG$21:$BM$21,1,BT231),'Lease Cycles'!$AV$21&lt;=BT$6),'Lease Cycles'!$C$21*'Lease Cycles'!$AW$21/12,IF(AND('Lease Cycles'!$AT$21&gt;=INDEX('Lease Cycles'!$BG$21:$BM$21,1,BT231),'Lease Cycles'!$AT$21&lt;=BT$6),'Lease Cycles'!$C$21*'Lease Cycles'!$AU$21/12,'Lease Cycles'!$C$21*INDEX('Lease Cycles'!$CB$21:$CH$21,1,BT231)*(1+INDEX('Lease Cycles'!$CI$21:$CO$21,1,BT231))^INT(INT(BT232/12)/INDEX('Lease Cycles'!$CP$21:$CV$21,1,BT231))/12)))),'Lease Cycles'!$C$21*INDEX('Lease Cycles'!$CB$21:$CH$21,1,BT231)*(1+INDEX('Lease Cycles'!$CI$21:$CO$21,1,BT231))^INT(INT(BT232/12)/INDEX('Lease Cycles'!$CP$21:$CV$21,1,BT231))/12))),IF('Lease Cycles'!$N$21=1,'Lease Cycles'!$C$21*'Lease Cycles'!$E$21*INDEX('Lease Cycles'!$HE$21:$HK$21,1,BT231)*(1+INDEX('Lease Cycles'!$GQ$21:$GW$21,1,BT231))^INT(INT((BT$6-INDEX('Lease Cycles'!$GJ$21:$GP$21,1,BT231))/12)/INDEX('Lease Cycles'!$GX$21:$HD$21,1,BT231))/12,0)))</f>
        <v>0</v>
      </c>
      <c r="BU234" s="28">
        <f>IF(BU231=0,IF('Lease Cycles'!$F$21&gt;0,'Lease Cycles'!$C$21*'Lease Cycles'!$E$21/12,0),IF(BU233=1,IF('Lease Cycles'!$AT$21&gt;=9999,'Lease Cycles'!$C$21*INDEX('Lease Cycles'!$CB$21:$CH$21,1,BU231)*(1+INDEX('Lease Cycles'!$CI$21:$CO$21,1,BU231))^INT(INT(BU232/12)/INDEX('Lease Cycles'!$CP$21:$CV$21,1,BU231))/12,IF(BU231=1,IF(BU232&gt;=INDEX('Lease Cycles'!$DK$21:$DQ$21,1,BU231),IF(BU$6&gt;='Lease Cycles'!$AZ$21,'Lease Cycles'!$C$21*'Lease Cycles'!$BA$21/12,IF(BU$6&gt;='Lease Cycles'!$AX$21,'Lease Cycles'!$C$21*'Lease Cycles'!$AY$21/12,IF(BU$6&gt;='Lease Cycles'!$AV$21,'Lease Cycles'!$C$21*'Lease Cycles'!$AW$21/12,IF(BU$6&gt;='Lease Cycles'!$AT$21,'Lease Cycles'!$C$21*'Lease Cycles'!$AU$21/12,'Lease Cycles'!$C$21*INDEX('Lease Cycles'!$CB$21:$CH$21,1,BU231)*(1+INDEX('Lease Cycles'!$CI$21:$CO$21,1,BU231))^INT(INT(BU232/12)/INDEX('Lease Cycles'!$CP$21:$CV$21,1,BU231))/12)))),'Lease Cycles'!$C$21*INDEX('Lease Cycles'!$CB$21:$CH$21,1,BU231)*(1+INDEX('Lease Cycles'!$CI$21:$CO$21,1,BU231))^INT(INT(BU232/12)/INDEX('Lease Cycles'!$CP$21:$CV$21,1,BU231))/12),IF(INDEX('Lease Cycles'!$EF$21:$EL$21,1,BU231)=1,IF(AND('Lease Cycles'!$AZ$21&gt;=INDEX('Lease Cycles'!$BG$21:$BM$21,1,BU231),'Lease Cycles'!$AZ$21&lt;=BU$6),'Lease Cycles'!$C$21*'Lease Cycles'!$BA$21/12,IF(AND('Lease Cycles'!$AX$21&gt;=INDEX('Lease Cycles'!$BG$21:$BM$21,1,BU231),'Lease Cycles'!$AX$21&lt;=BU$6),'Lease Cycles'!$C$21*'Lease Cycles'!$AY$21/12,IF(AND('Lease Cycles'!$AV$21&gt;=INDEX('Lease Cycles'!$BG$21:$BM$21,1,BU231),'Lease Cycles'!$AV$21&lt;=BU$6),'Lease Cycles'!$C$21*'Lease Cycles'!$AW$21/12,IF(AND('Lease Cycles'!$AT$21&gt;=INDEX('Lease Cycles'!$BG$21:$BM$21,1,BU231),'Lease Cycles'!$AT$21&lt;=BU$6),'Lease Cycles'!$C$21*'Lease Cycles'!$AU$21/12,'Lease Cycles'!$C$21*INDEX('Lease Cycles'!$CB$21:$CH$21,1,BU231)*(1+INDEX('Lease Cycles'!$CI$21:$CO$21,1,BU231))^INT(INT(BU232/12)/INDEX('Lease Cycles'!$CP$21:$CV$21,1,BU231))/12)))),'Lease Cycles'!$C$21*INDEX('Lease Cycles'!$CB$21:$CH$21,1,BU231)*(1+INDEX('Lease Cycles'!$CI$21:$CO$21,1,BU231))^INT(INT(BU232/12)/INDEX('Lease Cycles'!$CP$21:$CV$21,1,BU231))/12))),IF('Lease Cycles'!$N$21=1,'Lease Cycles'!$C$21*'Lease Cycles'!$E$21*INDEX('Lease Cycles'!$HE$21:$HK$21,1,BU231)*(1+INDEX('Lease Cycles'!$GQ$21:$GW$21,1,BU231))^INT(INT((BU$6-INDEX('Lease Cycles'!$GJ$21:$GP$21,1,BU231))/12)/INDEX('Lease Cycles'!$GX$21:$HD$21,1,BU231))/12,0)))</f>
        <v>0</v>
      </c>
      <c r="BV234" s="28">
        <f>IF(BV231=0,IF('Lease Cycles'!$F$21&gt;0,'Lease Cycles'!$C$21*'Lease Cycles'!$E$21/12,0),IF(BV233=1,IF('Lease Cycles'!$AT$21&gt;=9999,'Lease Cycles'!$C$21*INDEX('Lease Cycles'!$CB$21:$CH$21,1,BV231)*(1+INDEX('Lease Cycles'!$CI$21:$CO$21,1,BV231))^INT(INT(BV232/12)/INDEX('Lease Cycles'!$CP$21:$CV$21,1,BV231))/12,IF(BV231=1,IF(BV232&gt;=INDEX('Lease Cycles'!$DK$21:$DQ$21,1,BV231),IF(BV$6&gt;='Lease Cycles'!$AZ$21,'Lease Cycles'!$C$21*'Lease Cycles'!$BA$21/12,IF(BV$6&gt;='Lease Cycles'!$AX$21,'Lease Cycles'!$C$21*'Lease Cycles'!$AY$21/12,IF(BV$6&gt;='Lease Cycles'!$AV$21,'Lease Cycles'!$C$21*'Lease Cycles'!$AW$21/12,IF(BV$6&gt;='Lease Cycles'!$AT$21,'Lease Cycles'!$C$21*'Lease Cycles'!$AU$21/12,'Lease Cycles'!$C$21*INDEX('Lease Cycles'!$CB$21:$CH$21,1,BV231)*(1+INDEX('Lease Cycles'!$CI$21:$CO$21,1,BV231))^INT(INT(BV232/12)/INDEX('Lease Cycles'!$CP$21:$CV$21,1,BV231))/12)))),'Lease Cycles'!$C$21*INDEX('Lease Cycles'!$CB$21:$CH$21,1,BV231)*(1+INDEX('Lease Cycles'!$CI$21:$CO$21,1,BV231))^INT(INT(BV232/12)/INDEX('Lease Cycles'!$CP$21:$CV$21,1,BV231))/12),IF(INDEX('Lease Cycles'!$EF$21:$EL$21,1,BV231)=1,IF(AND('Lease Cycles'!$AZ$21&gt;=INDEX('Lease Cycles'!$BG$21:$BM$21,1,BV231),'Lease Cycles'!$AZ$21&lt;=BV$6),'Lease Cycles'!$C$21*'Lease Cycles'!$BA$21/12,IF(AND('Lease Cycles'!$AX$21&gt;=INDEX('Lease Cycles'!$BG$21:$BM$21,1,BV231),'Lease Cycles'!$AX$21&lt;=BV$6),'Lease Cycles'!$C$21*'Lease Cycles'!$AY$21/12,IF(AND('Lease Cycles'!$AV$21&gt;=INDEX('Lease Cycles'!$BG$21:$BM$21,1,BV231),'Lease Cycles'!$AV$21&lt;=BV$6),'Lease Cycles'!$C$21*'Lease Cycles'!$AW$21/12,IF(AND('Lease Cycles'!$AT$21&gt;=INDEX('Lease Cycles'!$BG$21:$BM$21,1,BV231),'Lease Cycles'!$AT$21&lt;=BV$6),'Lease Cycles'!$C$21*'Lease Cycles'!$AU$21/12,'Lease Cycles'!$C$21*INDEX('Lease Cycles'!$CB$21:$CH$21,1,BV231)*(1+INDEX('Lease Cycles'!$CI$21:$CO$21,1,BV231))^INT(INT(BV232/12)/INDEX('Lease Cycles'!$CP$21:$CV$21,1,BV231))/12)))),'Lease Cycles'!$C$21*INDEX('Lease Cycles'!$CB$21:$CH$21,1,BV231)*(1+INDEX('Lease Cycles'!$CI$21:$CO$21,1,BV231))^INT(INT(BV232/12)/INDEX('Lease Cycles'!$CP$21:$CV$21,1,BV231))/12))),IF('Lease Cycles'!$N$21=1,'Lease Cycles'!$C$21*'Lease Cycles'!$E$21*INDEX('Lease Cycles'!$HE$21:$HK$21,1,BV231)*(1+INDEX('Lease Cycles'!$GQ$21:$GW$21,1,BV231))^INT(INT((BV$6-INDEX('Lease Cycles'!$GJ$21:$GP$21,1,BV231))/12)/INDEX('Lease Cycles'!$GX$21:$HD$21,1,BV231))/12,0)))</f>
        <v>0</v>
      </c>
      <c r="BW234" s="28">
        <f>IF(BW231=0,IF('Lease Cycles'!$F$21&gt;0,'Lease Cycles'!$C$21*'Lease Cycles'!$E$21/12,0),IF(BW233=1,IF('Lease Cycles'!$AT$21&gt;=9999,'Lease Cycles'!$C$21*INDEX('Lease Cycles'!$CB$21:$CH$21,1,BW231)*(1+INDEX('Lease Cycles'!$CI$21:$CO$21,1,BW231))^INT(INT(BW232/12)/INDEX('Lease Cycles'!$CP$21:$CV$21,1,BW231))/12,IF(BW231=1,IF(BW232&gt;=INDEX('Lease Cycles'!$DK$21:$DQ$21,1,BW231),IF(BW$6&gt;='Lease Cycles'!$AZ$21,'Lease Cycles'!$C$21*'Lease Cycles'!$BA$21/12,IF(BW$6&gt;='Lease Cycles'!$AX$21,'Lease Cycles'!$C$21*'Lease Cycles'!$AY$21/12,IF(BW$6&gt;='Lease Cycles'!$AV$21,'Lease Cycles'!$C$21*'Lease Cycles'!$AW$21/12,IF(BW$6&gt;='Lease Cycles'!$AT$21,'Lease Cycles'!$C$21*'Lease Cycles'!$AU$21/12,'Lease Cycles'!$C$21*INDEX('Lease Cycles'!$CB$21:$CH$21,1,BW231)*(1+INDEX('Lease Cycles'!$CI$21:$CO$21,1,BW231))^INT(INT(BW232/12)/INDEX('Lease Cycles'!$CP$21:$CV$21,1,BW231))/12)))),'Lease Cycles'!$C$21*INDEX('Lease Cycles'!$CB$21:$CH$21,1,BW231)*(1+INDEX('Lease Cycles'!$CI$21:$CO$21,1,BW231))^INT(INT(BW232/12)/INDEX('Lease Cycles'!$CP$21:$CV$21,1,BW231))/12),IF(INDEX('Lease Cycles'!$EF$21:$EL$21,1,BW231)=1,IF(AND('Lease Cycles'!$AZ$21&gt;=INDEX('Lease Cycles'!$BG$21:$BM$21,1,BW231),'Lease Cycles'!$AZ$21&lt;=BW$6),'Lease Cycles'!$C$21*'Lease Cycles'!$BA$21/12,IF(AND('Lease Cycles'!$AX$21&gt;=INDEX('Lease Cycles'!$BG$21:$BM$21,1,BW231),'Lease Cycles'!$AX$21&lt;=BW$6),'Lease Cycles'!$C$21*'Lease Cycles'!$AY$21/12,IF(AND('Lease Cycles'!$AV$21&gt;=INDEX('Lease Cycles'!$BG$21:$BM$21,1,BW231),'Lease Cycles'!$AV$21&lt;=BW$6),'Lease Cycles'!$C$21*'Lease Cycles'!$AW$21/12,IF(AND('Lease Cycles'!$AT$21&gt;=INDEX('Lease Cycles'!$BG$21:$BM$21,1,BW231),'Lease Cycles'!$AT$21&lt;=BW$6),'Lease Cycles'!$C$21*'Lease Cycles'!$AU$21/12,'Lease Cycles'!$C$21*INDEX('Lease Cycles'!$CB$21:$CH$21,1,BW231)*(1+INDEX('Lease Cycles'!$CI$21:$CO$21,1,BW231))^INT(INT(BW232/12)/INDEX('Lease Cycles'!$CP$21:$CV$21,1,BW231))/12)))),'Lease Cycles'!$C$21*INDEX('Lease Cycles'!$CB$21:$CH$21,1,BW231)*(1+INDEX('Lease Cycles'!$CI$21:$CO$21,1,BW231))^INT(INT(BW232/12)/INDEX('Lease Cycles'!$CP$21:$CV$21,1,BW231))/12))),IF('Lease Cycles'!$N$21=1,'Lease Cycles'!$C$21*'Lease Cycles'!$E$21*INDEX('Lease Cycles'!$HE$21:$HK$21,1,BW231)*(1+INDEX('Lease Cycles'!$GQ$21:$GW$21,1,BW231))^INT(INT((BW$6-INDEX('Lease Cycles'!$GJ$21:$GP$21,1,BW231))/12)/INDEX('Lease Cycles'!$GX$21:$HD$21,1,BW231))/12,0)))</f>
        <v>0</v>
      </c>
      <c r="BX234" s="28">
        <f>IF(BX231=0,IF('Lease Cycles'!$F$21&gt;0,'Lease Cycles'!$C$21*'Lease Cycles'!$E$21/12,0),IF(BX233=1,IF('Lease Cycles'!$AT$21&gt;=9999,'Lease Cycles'!$C$21*INDEX('Lease Cycles'!$CB$21:$CH$21,1,BX231)*(1+INDEX('Lease Cycles'!$CI$21:$CO$21,1,BX231))^INT(INT(BX232/12)/INDEX('Lease Cycles'!$CP$21:$CV$21,1,BX231))/12,IF(BX231=1,IF(BX232&gt;=INDEX('Lease Cycles'!$DK$21:$DQ$21,1,BX231),IF(BX$6&gt;='Lease Cycles'!$AZ$21,'Lease Cycles'!$C$21*'Lease Cycles'!$BA$21/12,IF(BX$6&gt;='Lease Cycles'!$AX$21,'Lease Cycles'!$C$21*'Lease Cycles'!$AY$21/12,IF(BX$6&gt;='Lease Cycles'!$AV$21,'Lease Cycles'!$C$21*'Lease Cycles'!$AW$21/12,IF(BX$6&gt;='Lease Cycles'!$AT$21,'Lease Cycles'!$C$21*'Lease Cycles'!$AU$21/12,'Lease Cycles'!$C$21*INDEX('Lease Cycles'!$CB$21:$CH$21,1,BX231)*(1+INDEX('Lease Cycles'!$CI$21:$CO$21,1,BX231))^INT(INT(BX232/12)/INDEX('Lease Cycles'!$CP$21:$CV$21,1,BX231))/12)))),'Lease Cycles'!$C$21*INDEX('Lease Cycles'!$CB$21:$CH$21,1,BX231)*(1+INDEX('Lease Cycles'!$CI$21:$CO$21,1,BX231))^INT(INT(BX232/12)/INDEX('Lease Cycles'!$CP$21:$CV$21,1,BX231))/12),IF(INDEX('Lease Cycles'!$EF$21:$EL$21,1,BX231)=1,IF(AND('Lease Cycles'!$AZ$21&gt;=INDEX('Lease Cycles'!$BG$21:$BM$21,1,BX231),'Lease Cycles'!$AZ$21&lt;=BX$6),'Lease Cycles'!$C$21*'Lease Cycles'!$BA$21/12,IF(AND('Lease Cycles'!$AX$21&gt;=INDEX('Lease Cycles'!$BG$21:$BM$21,1,BX231),'Lease Cycles'!$AX$21&lt;=BX$6),'Lease Cycles'!$C$21*'Lease Cycles'!$AY$21/12,IF(AND('Lease Cycles'!$AV$21&gt;=INDEX('Lease Cycles'!$BG$21:$BM$21,1,BX231),'Lease Cycles'!$AV$21&lt;=BX$6),'Lease Cycles'!$C$21*'Lease Cycles'!$AW$21/12,IF(AND('Lease Cycles'!$AT$21&gt;=INDEX('Lease Cycles'!$BG$21:$BM$21,1,BX231),'Lease Cycles'!$AT$21&lt;=BX$6),'Lease Cycles'!$C$21*'Lease Cycles'!$AU$21/12,'Lease Cycles'!$C$21*INDEX('Lease Cycles'!$CB$21:$CH$21,1,BX231)*(1+INDEX('Lease Cycles'!$CI$21:$CO$21,1,BX231))^INT(INT(BX232/12)/INDEX('Lease Cycles'!$CP$21:$CV$21,1,BX231))/12)))),'Lease Cycles'!$C$21*INDEX('Lease Cycles'!$CB$21:$CH$21,1,BX231)*(1+INDEX('Lease Cycles'!$CI$21:$CO$21,1,BX231))^INT(INT(BX232/12)/INDEX('Lease Cycles'!$CP$21:$CV$21,1,BX231))/12))),IF('Lease Cycles'!$N$21=1,'Lease Cycles'!$C$21*'Lease Cycles'!$E$21*INDEX('Lease Cycles'!$HE$21:$HK$21,1,BX231)*(1+INDEX('Lease Cycles'!$GQ$21:$GW$21,1,BX231))^INT(INT((BX$6-INDEX('Lease Cycles'!$GJ$21:$GP$21,1,BX231))/12)/INDEX('Lease Cycles'!$GX$21:$HD$21,1,BX231))/12,0)))</f>
        <v>0</v>
      </c>
      <c r="BY234" s="28">
        <f>IF(BY231=0,IF('Lease Cycles'!$F$21&gt;0,'Lease Cycles'!$C$21*'Lease Cycles'!$E$21/12,0),IF(BY233=1,IF('Lease Cycles'!$AT$21&gt;=9999,'Lease Cycles'!$C$21*INDEX('Lease Cycles'!$CB$21:$CH$21,1,BY231)*(1+INDEX('Lease Cycles'!$CI$21:$CO$21,1,BY231))^INT(INT(BY232/12)/INDEX('Lease Cycles'!$CP$21:$CV$21,1,BY231))/12,IF(BY231=1,IF(BY232&gt;=INDEX('Lease Cycles'!$DK$21:$DQ$21,1,BY231),IF(BY$6&gt;='Lease Cycles'!$AZ$21,'Lease Cycles'!$C$21*'Lease Cycles'!$BA$21/12,IF(BY$6&gt;='Lease Cycles'!$AX$21,'Lease Cycles'!$C$21*'Lease Cycles'!$AY$21/12,IF(BY$6&gt;='Lease Cycles'!$AV$21,'Lease Cycles'!$C$21*'Lease Cycles'!$AW$21/12,IF(BY$6&gt;='Lease Cycles'!$AT$21,'Lease Cycles'!$C$21*'Lease Cycles'!$AU$21/12,'Lease Cycles'!$C$21*INDEX('Lease Cycles'!$CB$21:$CH$21,1,BY231)*(1+INDEX('Lease Cycles'!$CI$21:$CO$21,1,BY231))^INT(INT(BY232/12)/INDEX('Lease Cycles'!$CP$21:$CV$21,1,BY231))/12)))),'Lease Cycles'!$C$21*INDEX('Lease Cycles'!$CB$21:$CH$21,1,BY231)*(1+INDEX('Lease Cycles'!$CI$21:$CO$21,1,BY231))^INT(INT(BY232/12)/INDEX('Lease Cycles'!$CP$21:$CV$21,1,BY231))/12),IF(INDEX('Lease Cycles'!$EF$21:$EL$21,1,BY231)=1,IF(AND('Lease Cycles'!$AZ$21&gt;=INDEX('Lease Cycles'!$BG$21:$BM$21,1,BY231),'Lease Cycles'!$AZ$21&lt;=BY$6),'Lease Cycles'!$C$21*'Lease Cycles'!$BA$21/12,IF(AND('Lease Cycles'!$AX$21&gt;=INDEX('Lease Cycles'!$BG$21:$BM$21,1,BY231),'Lease Cycles'!$AX$21&lt;=BY$6),'Lease Cycles'!$C$21*'Lease Cycles'!$AY$21/12,IF(AND('Lease Cycles'!$AV$21&gt;=INDEX('Lease Cycles'!$BG$21:$BM$21,1,BY231),'Lease Cycles'!$AV$21&lt;=BY$6),'Lease Cycles'!$C$21*'Lease Cycles'!$AW$21/12,IF(AND('Lease Cycles'!$AT$21&gt;=INDEX('Lease Cycles'!$BG$21:$BM$21,1,BY231),'Lease Cycles'!$AT$21&lt;=BY$6),'Lease Cycles'!$C$21*'Lease Cycles'!$AU$21/12,'Lease Cycles'!$C$21*INDEX('Lease Cycles'!$CB$21:$CH$21,1,BY231)*(1+INDEX('Lease Cycles'!$CI$21:$CO$21,1,BY231))^INT(INT(BY232/12)/INDEX('Lease Cycles'!$CP$21:$CV$21,1,BY231))/12)))),'Lease Cycles'!$C$21*INDEX('Lease Cycles'!$CB$21:$CH$21,1,BY231)*(1+INDEX('Lease Cycles'!$CI$21:$CO$21,1,BY231))^INT(INT(BY232/12)/INDEX('Lease Cycles'!$CP$21:$CV$21,1,BY231))/12))),IF('Lease Cycles'!$N$21=1,'Lease Cycles'!$C$21*'Lease Cycles'!$E$21*INDEX('Lease Cycles'!$HE$21:$HK$21,1,BY231)*(1+INDEX('Lease Cycles'!$GQ$21:$GW$21,1,BY231))^INT(INT((BY$6-INDEX('Lease Cycles'!$GJ$21:$GP$21,1,BY231))/12)/INDEX('Lease Cycles'!$GX$21:$HD$21,1,BY231))/12,0)))</f>
        <v>0</v>
      </c>
      <c r="BZ234" s="28">
        <f>IF(BZ231=0,IF('Lease Cycles'!$F$21&gt;0,'Lease Cycles'!$C$21*'Lease Cycles'!$E$21/12,0),IF(BZ233=1,IF('Lease Cycles'!$AT$21&gt;=9999,'Lease Cycles'!$C$21*INDEX('Lease Cycles'!$CB$21:$CH$21,1,BZ231)*(1+INDEX('Lease Cycles'!$CI$21:$CO$21,1,BZ231))^INT(INT(BZ232/12)/INDEX('Lease Cycles'!$CP$21:$CV$21,1,BZ231))/12,IF(BZ231=1,IF(BZ232&gt;=INDEX('Lease Cycles'!$DK$21:$DQ$21,1,BZ231),IF(BZ$6&gt;='Lease Cycles'!$AZ$21,'Lease Cycles'!$C$21*'Lease Cycles'!$BA$21/12,IF(BZ$6&gt;='Lease Cycles'!$AX$21,'Lease Cycles'!$C$21*'Lease Cycles'!$AY$21/12,IF(BZ$6&gt;='Lease Cycles'!$AV$21,'Lease Cycles'!$C$21*'Lease Cycles'!$AW$21/12,IF(BZ$6&gt;='Lease Cycles'!$AT$21,'Lease Cycles'!$C$21*'Lease Cycles'!$AU$21/12,'Lease Cycles'!$C$21*INDEX('Lease Cycles'!$CB$21:$CH$21,1,BZ231)*(1+INDEX('Lease Cycles'!$CI$21:$CO$21,1,BZ231))^INT(INT(BZ232/12)/INDEX('Lease Cycles'!$CP$21:$CV$21,1,BZ231))/12)))),'Lease Cycles'!$C$21*INDEX('Lease Cycles'!$CB$21:$CH$21,1,BZ231)*(1+INDEX('Lease Cycles'!$CI$21:$CO$21,1,BZ231))^INT(INT(BZ232/12)/INDEX('Lease Cycles'!$CP$21:$CV$21,1,BZ231))/12),IF(INDEX('Lease Cycles'!$EF$21:$EL$21,1,BZ231)=1,IF(AND('Lease Cycles'!$AZ$21&gt;=INDEX('Lease Cycles'!$BG$21:$BM$21,1,BZ231),'Lease Cycles'!$AZ$21&lt;=BZ$6),'Lease Cycles'!$C$21*'Lease Cycles'!$BA$21/12,IF(AND('Lease Cycles'!$AX$21&gt;=INDEX('Lease Cycles'!$BG$21:$BM$21,1,BZ231),'Lease Cycles'!$AX$21&lt;=BZ$6),'Lease Cycles'!$C$21*'Lease Cycles'!$AY$21/12,IF(AND('Lease Cycles'!$AV$21&gt;=INDEX('Lease Cycles'!$BG$21:$BM$21,1,BZ231),'Lease Cycles'!$AV$21&lt;=BZ$6),'Lease Cycles'!$C$21*'Lease Cycles'!$AW$21/12,IF(AND('Lease Cycles'!$AT$21&gt;=INDEX('Lease Cycles'!$BG$21:$BM$21,1,BZ231),'Lease Cycles'!$AT$21&lt;=BZ$6),'Lease Cycles'!$C$21*'Lease Cycles'!$AU$21/12,'Lease Cycles'!$C$21*INDEX('Lease Cycles'!$CB$21:$CH$21,1,BZ231)*(1+INDEX('Lease Cycles'!$CI$21:$CO$21,1,BZ231))^INT(INT(BZ232/12)/INDEX('Lease Cycles'!$CP$21:$CV$21,1,BZ231))/12)))),'Lease Cycles'!$C$21*INDEX('Lease Cycles'!$CB$21:$CH$21,1,BZ231)*(1+INDEX('Lease Cycles'!$CI$21:$CO$21,1,BZ231))^INT(INT(BZ232/12)/INDEX('Lease Cycles'!$CP$21:$CV$21,1,BZ231))/12))),IF('Lease Cycles'!$N$21=1,'Lease Cycles'!$C$21*'Lease Cycles'!$E$21*INDEX('Lease Cycles'!$HE$21:$HK$21,1,BZ231)*(1+INDEX('Lease Cycles'!$GQ$21:$GW$21,1,BZ231))^INT(INT((BZ$6-INDEX('Lease Cycles'!$GJ$21:$GP$21,1,BZ231))/12)/INDEX('Lease Cycles'!$GX$21:$HD$21,1,BZ231))/12,0)))</f>
        <v>0</v>
      </c>
      <c r="CA234" s="28">
        <f>IF(CA231=0,IF('Lease Cycles'!$F$21&gt;0,'Lease Cycles'!$C$21*'Lease Cycles'!$E$21/12,0),IF(CA233=1,IF('Lease Cycles'!$AT$21&gt;=9999,'Lease Cycles'!$C$21*INDEX('Lease Cycles'!$CB$21:$CH$21,1,CA231)*(1+INDEX('Lease Cycles'!$CI$21:$CO$21,1,CA231))^INT(INT(CA232/12)/INDEX('Lease Cycles'!$CP$21:$CV$21,1,CA231))/12,IF(CA231=1,IF(CA232&gt;=INDEX('Lease Cycles'!$DK$21:$DQ$21,1,CA231),IF(CA$6&gt;='Lease Cycles'!$AZ$21,'Lease Cycles'!$C$21*'Lease Cycles'!$BA$21/12,IF(CA$6&gt;='Lease Cycles'!$AX$21,'Lease Cycles'!$C$21*'Lease Cycles'!$AY$21/12,IF(CA$6&gt;='Lease Cycles'!$AV$21,'Lease Cycles'!$C$21*'Lease Cycles'!$AW$21/12,IF(CA$6&gt;='Lease Cycles'!$AT$21,'Lease Cycles'!$C$21*'Lease Cycles'!$AU$21/12,'Lease Cycles'!$C$21*INDEX('Lease Cycles'!$CB$21:$CH$21,1,CA231)*(1+INDEX('Lease Cycles'!$CI$21:$CO$21,1,CA231))^INT(INT(CA232/12)/INDEX('Lease Cycles'!$CP$21:$CV$21,1,CA231))/12)))),'Lease Cycles'!$C$21*INDEX('Lease Cycles'!$CB$21:$CH$21,1,CA231)*(1+INDEX('Lease Cycles'!$CI$21:$CO$21,1,CA231))^INT(INT(CA232/12)/INDEX('Lease Cycles'!$CP$21:$CV$21,1,CA231))/12),IF(INDEX('Lease Cycles'!$EF$21:$EL$21,1,CA231)=1,IF(AND('Lease Cycles'!$AZ$21&gt;=INDEX('Lease Cycles'!$BG$21:$BM$21,1,CA231),'Lease Cycles'!$AZ$21&lt;=CA$6),'Lease Cycles'!$C$21*'Lease Cycles'!$BA$21/12,IF(AND('Lease Cycles'!$AX$21&gt;=INDEX('Lease Cycles'!$BG$21:$BM$21,1,CA231),'Lease Cycles'!$AX$21&lt;=CA$6),'Lease Cycles'!$C$21*'Lease Cycles'!$AY$21/12,IF(AND('Lease Cycles'!$AV$21&gt;=INDEX('Lease Cycles'!$BG$21:$BM$21,1,CA231),'Lease Cycles'!$AV$21&lt;=CA$6),'Lease Cycles'!$C$21*'Lease Cycles'!$AW$21/12,IF(AND('Lease Cycles'!$AT$21&gt;=INDEX('Lease Cycles'!$BG$21:$BM$21,1,CA231),'Lease Cycles'!$AT$21&lt;=CA$6),'Lease Cycles'!$C$21*'Lease Cycles'!$AU$21/12,'Lease Cycles'!$C$21*INDEX('Lease Cycles'!$CB$21:$CH$21,1,CA231)*(1+INDEX('Lease Cycles'!$CI$21:$CO$21,1,CA231))^INT(INT(CA232/12)/INDEX('Lease Cycles'!$CP$21:$CV$21,1,CA231))/12)))),'Lease Cycles'!$C$21*INDEX('Lease Cycles'!$CB$21:$CH$21,1,CA231)*(1+INDEX('Lease Cycles'!$CI$21:$CO$21,1,CA231))^INT(INT(CA232/12)/INDEX('Lease Cycles'!$CP$21:$CV$21,1,CA231))/12))),IF('Lease Cycles'!$N$21=1,'Lease Cycles'!$C$21*'Lease Cycles'!$E$21*INDEX('Lease Cycles'!$HE$21:$HK$21,1,CA231)*(1+INDEX('Lease Cycles'!$GQ$21:$GW$21,1,CA231))^INT(INT((CA$6-INDEX('Lease Cycles'!$GJ$21:$GP$21,1,CA231))/12)/INDEX('Lease Cycles'!$GX$21:$HD$21,1,CA231))/12,0)))</f>
        <v>0</v>
      </c>
      <c r="CB234" s="28">
        <f>IF(CB231=0,IF('Lease Cycles'!$F$21&gt;0,'Lease Cycles'!$C$21*'Lease Cycles'!$E$21/12,0),IF(CB233=1,IF('Lease Cycles'!$AT$21&gt;=9999,'Lease Cycles'!$C$21*INDEX('Lease Cycles'!$CB$21:$CH$21,1,CB231)*(1+INDEX('Lease Cycles'!$CI$21:$CO$21,1,CB231))^INT(INT(CB232/12)/INDEX('Lease Cycles'!$CP$21:$CV$21,1,CB231))/12,IF(CB231=1,IF(CB232&gt;=INDEX('Lease Cycles'!$DK$21:$DQ$21,1,CB231),IF(CB$6&gt;='Lease Cycles'!$AZ$21,'Lease Cycles'!$C$21*'Lease Cycles'!$BA$21/12,IF(CB$6&gt;='Lease Cycles'!$AX$21,'Lease Cycles'!$C$21*'Lease Cycles'!$AY$21/12,IF(CB$6&gt;='Lease Cycles'!$AV$21,'Lease Cycles'!$C$21*'Lease Cycles'!$AW$21/12,IF(CB$6&gt;='Lease Cycles'!$AT$21,'Lease Cycles'!$C$21*'Lease Cycles'!$AU$21/12,'Lease Cycles'!$C$21*INDEX('Lease Cycles'!$CB$21:$CH$21,1,CB231)*(1+INDEX('Lease Cycles'!$CI$21:$CO$21,1,CB231))^INT(INT(CB232/12)/INDEX('Lease Cycles'!$CP$21:$CV$21,1,CB231))/12)))),'Lease Cycles'!$C$21*INDEX('Lease Cycles'!$CB$21:$CH$21,1,CB231)*(1+INDEX('Lease Cycles'!$CI$21:$CO$21,1,CB231))^INT(INT(CB232/12)/INDEX('Lease Cycles'!$CP$21:$CV$21,1,CB231))/12),IF(INDEX('Lease Cycles'!$EF$21:$EL$21,1,CB231)=1,IF(AND('Lease Cycles'!$AZ$21&gt;=INDEX('Lease Cycles'!$BG$21:$BM$21,1,CB231),'Lease Cycles'!$AZ$21&lt;=CB$6),'Lease Cycles'!$C$21*'Lease Cycles'!$BA$21/12,IF(AND('Lease Cycles'!$AX$21&gt;=INDEX('Lease Cycles'!$BG$21:$BM$21,1,CB231),'Lease Cycles'!$AX$21&lt;=CB$6),'Lease Cycles'!$C$21*'Lease Cycles'!$AY$21/12,IF(AND('Lease Cycles'!$AV$21&gt;=INDEX('Lease Cycles'!$BG$21:$BM$21,1,CB231),'Lease Cycles'!$AV$21&lt;=CB$6),'Lease Cycles'!$C$21*'Lease Cycles'!$AW$21/12,IF(AND('Lease Cycles'!$AT$21&gt;=INDEX('Lease Cycles'!$BG$21:$BM$21,1,CB231),'Lease Cycles'!$AT$21&lt;=CB$6),'Lease Cycles'!$C$21*'Lease Cycles'!$AU$21/12,'Lease Cycles'!$C$21*INDEX('Lease Cycles'!$CB$21:$CH$21,1,CB231)*(1+INDEX('Lease Cycles'!$CI$21:$CO$21,1,CB231))^INT(INT(CB232/12)/INDEX('Lease Cycles'!$CP$21:$CV$21,1,CB231))/12)))),'Lease Cycles'!$C$21*INDEX('Lease Cycles'!$CB$21:$CH$21,1,CB231)*(1+INDEX('Lease Cycles'!$CI$21:$CO$21,1,CB231))^INT(INT(CB232/12)/INDEX('Lease Cycles'!$CP$21:$CV$21,1,CB231))/12))),IF('Lease Cycles'!$N$21=1,'Lease Cycles'!$C$21*'Lease Cycles'!$E$21*INDEX('Lease Cycles'!$HE$21:$HK$21,1,CB231)*(1+INDEX('Lease Cycles'!$GQ$21:$GW$21,1,CB231))^INT(INT((CB$6-INDEX('Lease Cycles'!$GJ$21:$GP$21,1,CB231))/12)/INDEX('Lease Cycles'!$GX$21:$HD$21,1,CB231))/12,0)))</f>
        <v>0</v>
      </c>
      <c r="CC234" s="28">
        <f>IF(CC231=0,IF('Lease Cycles'!$F$21&gt;0,'Lease Cycles'!$C$21*'Lease Cycles'!$E$21/12,0),IF(CC233=1,IF('Lease Cycles'!$AT$21&gt;=9999,'Lease Cycles'!$C$21*INDEX('Lease Cycles'!$CB$21:$CH$21,1,CC231)*(1+INDEX('Lease Cycles'!$CI$21:$CO$21,1,CC231))^INT(INT(CC232/12)/INDEX('Lease Cycles'!$CP$21:$CV$21,1,CC231))/12,IF(CC231=1,IF(CC232&gt;=INDEX('Lease Cycles'!$DK$21:$DQ$21,1,CC231),IF(CC$6&gt;='Lease Cycles'!$AZ$21,'Lease Cycles'!$C$21*'Lease Cycles'!$BA$21/12,IF(CC$6&gt;='Lease Cycles'!$AX$21,'Lease Cycles'!$C$21*'Lease Cycles'!$AY$21/12,IF(CC$6&gt;='Lease Cycles'!$AV$21,'Lease Cycles'!$C$21*'Lease Cycles'!$AW$21/12,IF(CC$6&gt;='Lease Cycles'!$AT$21,'Lease Cycles'!$C$21*'Lease Cycles'!$AU$21/12,'Lease Cycles'!$C$21*INDEX('Lease Cycles'!$CB$21:$CH$21,1,CC231)*(1+INDEX('Lease Cycles'!$CI$21:$CO$21,1,CC231))^INT(INT(CC232/12)/INDEX('Lease Cycles'!$CP$21:$CV$21,1,CC231))/12)))),'Lease Cycles'!$C$21*INDEX('Lease Cycles'!$CB$21:$CH$21,1,CC231)*(1+INDEX('Lease Cycles'!$CI$21:$CO$21,1,CC231))^INT(INT(CC232/12)/INDEX('Lease Cycles'!$CP$21:$CV$21,1,CC231))/12),IF(INDEX('Lease Cycles'!$EF$21:$EL$21,1,CC231)=1,IF(AND('Lease Cycles'!$AZ$21&gt;=INDEX('Lease Cycles'!$BG$21:$BM$21,1,CC231),'Lease Cycles'!$AZ$21&lt;=CC$6),'Lease Cycles'!$C$21*'Lease Cycles'!$BA$21/12,IF(AND('Lease Cycles'!$AX$21&gt;=INDEX('Lease Cycles'!$BG$21:$BM$21,1,CC231),'Lease Cycles'!$AX$21&lt;=CC$6),'Lease Cycles'!$C$21*'Lease Cycles'!$AY$21/12,IF(AND('Lease Cycles'!$AV$21&gt;=INDEX('Lease Cycles'!$BG$21:$BM$21,1,CC231),'Lease Cycles'!$AV$21&lt;=CC$6),'Lease Cycles'!$C$21*'Lease Cycles'!$AW$21/12,IF(AND('Lease Cycles'!$AT$21&gt;=INDEX('Lease Cycles'!$BG$21:$BM$21,1,CC231),'Lease Cycles'!$AT$21&lt;=CC$6),'Lease Cycles'!$C$21*'Lease Cycles'!$AU$21/12,'Lease Cycles'!$C$21*INDEX('Lease Cycles'!$CB$21:$CH$21,1,CC231)*(1+INDEX('Lease Cycles'!$CI$21:$CO$21,1,CC231))^INT(INT(CC232/12)/INDEX('Lease Cycles'!$CP$21:$CV$21,1,CC231))/12)))),'Lease Cycles'!$C$21*INDEX('Lease Cycles'!$CB$21:$CH$21,1,CC231)*(1+INDEX('Lease Cycles'!$CI$21:$CO$21,1,CC231))^INT(INT(CC232/12)/INDEX('Lease Cycles'!$CP$21:$CV$21,1,CC231))/12))),IF('Lease Cycles'!$N$21=1,'Lease Cycles'!$C$21*'Lease Cycles'!$E$21*INDEX('Lease Cycles'!$HE$21:$HK$21,1,CC231)*(1+INDEX('Lease Cycles'!$GQ$21:$GW$21,1,CC231))^INT(INT((CC$6-INDEX('Lease Cycles'!$GJ$21:$GP$21,1,CC231))/12)/INDEX('Lease Cycles'!$GX$21:$HD$21,1,CC231))/12,0)))</f>
        <v>0</v>
      </c>
      <c r="CD234" s="28">
        <f>IF(CD231=0,IF('Lease Cycles'!$F$21&gt;0,'Lease Cycles'!$C$21*'Lease Cycles'!$E$21/12,0),IF(CD233=1,IF('Lease Cycles'!$AT$21&gt;=9999,'Lease Cycles'!$C$21*INDEX('Lease Cycles'!$CB$21:$CH$21,1,CD231)*(1+INDEX('Lease Cycles'!$CI$21:$CO$21,1,CD231))^INT(INT(CD232/12)/INDEX('Lease Cycles'!$CP$21:$CV$21,1,CD231))/12,IF(CD231=1,IF(CD232&gt;=INDEX('Lease Cycles'!$DK$21:$DQ$21,1,CD231),IF(CD$6&gt;='Lease Cycles'!$AZ$21,'Lease Cycles'!$C$21*'Lease Cycles'!$BA$21/12,IF(CD$6&gt;='Lease Cycles'!$AX$21,'Lease Cycles'!$C$21*'Lease Cycles'!$AY$21/12,IF(CD$6&gt;='Lease Cycles'!$AV$21,'Lease Cycles'!$C$21*'Lease Cycles'!$AW$21/12,IF(CD$6&gt;='Lease Cycles'!$AT$21,'Lease Cycles'!$C$21*'Lease Cycles'!$AU$21/12,'Lease Cycles'!$C$21*INDEX('Lease Cycles'!$CB$21:$CH$21,1,CD231)*(1+INDEX('Lease Cycles'!$CI$21:$CO$21,1,CD231))^INT(INT(CD232/12)/INDEX('Lease Cycles'!$CP$21:$CV$21,1,CD231))/12)))),'Lease Cycles'!$C$21*INDEX('Lease Cycles'!$CB$21:$CH$21,1,CD231)*(1+INDEX('Lease Cycles'!$CI$21:$CO$21,1,CD231))^INT(INT(CD232/12)/INDEX('Lease Cycles'!$CP$21:$CV$21,1,CD231))/12),IF(INDEX('Lease Cycles'!$EF$21:$EL$21,1,CD231)=1,IF(AND('Lease Cycles'!$AZ$21&gt;=INDEX('Lease Cycles'!$BG$21:$BM$21,1,CD231),'Lease Cycles'!$AZ$21&lt;=CD$6),'Lease Cycles'!$C$21*'Lease Cycles'!$BA$21/12,IF(AND('Lease Cycles'!$AX$21&gt;=INDEX('Lease Cycles'!$BG$21:$BM$21,1,CD231),'Lease Cycles'!$AX$21&lt;=CD$6),'Lease Cycles'!$C$21*'Lease Cycles'!$AY$21/12,IF(AND('Lease Cycles'!$AV$21&gt;=INDEX('Lease Cycles'!$BG$21:$BM$21,1,CD231),'Lease Cycles'!$AV$21&lt;=CD$6),'Lease Cycles'!$C$21*'Lease Cycles'!$AW$21/12,IF(AND('Lease Cycles'!$AT$21&gt;=INDEX('Lease Cycles'!$BG$21:$BM$21,1,CD231),'Lease Cycles'!$AT$21&lt;=CD$6),'Lease Cycles'!$C$21*'Lease Cycles'!$AU$21/12,'Lease Cycles'!$C$21*INDEX('Lease Cycles'!$CB$21:$CH$21,1,CD231)*(1+INDEX('Lease Cycles'!$CI$21:$CO$21,1,CD231))^INT(INT(CD232/12)/INDEX('Lease Cycles'!$CP$21:$CV$21,1,CD231))/12)))),'Lease Cycles'!$C$21*INDEX('Lease Cycles'!$CB$21:$CH$21,1,CD231)*(1+INDEX('Lease Cycles'!$CI$21:$CO$21,1,CD231))^INT(INT(CD232/12)/INDEX('Lease Cycles'!$CP$21:$CV$21,1,CD231))/12))),IF('Lease Cycles'!$N$21=1,'Lease Cycles'!$C$21*'Lease Cycles'!$E$21*INDEX('Lease Cycles'!$HE$21:$HK$21,1,CD231)*(1+INDEX('Lease Cycles'!$GQ$21:$GW$21,1,CD231))^INT(INT((CD$6-INDEX('Lease Cycles'!$GJ$21:$GP$21,1,CD231))/12)/INDEX('Lease Cycles'!$GX$21:$HD$21,1,CD231))/12,0)))</f>
        <v>0</v>
      </c>
      <c r="CE234" s="28">
        <f>IF(CE231=0,IF('Lease Cycles'!$F$21&gt;0,'Lease Cycles'!$C$21*'Lease Cycles'!$E$21/12,0),IF(CE233=1,IF('Lease Cycles'!$AT$21&gt;=9999,'Lease Cycles'!$C$21*INDEX('Lease Cycles'!$CB$21:$CH$21,1,CE231)*(1+INDEX('Lease Cycles'!$CI$21:$CO$21,1,CE231))^INT(INT(CE232/12)/INDEX('Lease Cycles'!$CP$21:$CV$21,1,CE231))/12,IF(CE231=1,IF(CE232&gt;=INDEX('Lease Cycles'!$DK$21:$DQ$21,1,CE231),IF(CE$6&gt;='Lease Cycles'!$AZ$21,'Lease Cycles'!$C$21*'Lease Cycles'!$BA$21/12,IF(CE$6&gt;='Lease Cycles'!$AX$21,'Lease Cycles'!$C$21*'Lease Cycles'!$AY$21/12,IF(CE$6&gt;='Lease Cycles'!$AV$21,'Lease Cycles'!$C$21*'Lease Cycles'!$AW$21/12,IF(CE$6&gt;='Lease Cycles'!$AT$21,'Lease Cycles'!$C$21*'Lease Cycles'!$AU$21/12,'Lease Cycles'!$C$21*INDEX('Lease Cycles'!$CB$21:$CH$21,1,CE231)*(1+INDEX('Lease Cycles'!$CI$21:$CO$21,1,CE231))^INT(INT(CE232/12)/INDEX('Lease Cycles'!$CP$21:$CV$21,1,CE231))/12)))),'Lease Cycles'!$C$21*INDEX('Lease Cycles'!$CB$21:$CH$21,1,CE231)*(1+INDEX('Lease Cycles'!$CI$21:$CO$21,1,CE231))^INT(INT(CE232/12)/INDEX('Lease Cycles'!$CP$21:$CV$21,1,CE231))/12),IF(INDEX('Lease Cycles'!$EF$21:$EL$21,1,CE231)=1,IF(AND('Lease Cycles'!$AZ$21&gt;=INDEX('Lease Cycles'!$BG$21:$BM$21,1,CE231),'Lease Cycles'!$AZ$21&lt;=CE$6),'Lease Cycles'!$C$21*'Lease Cycles'!$BA$21/12,IF(AND('Lease Cycles'!$AX$21&gt;=INDEX('Lease Cycles'!$BG$21:$BM$21,1,CE231),'Lease Cycles'!$AX$21&lt;=CE$6),'Lease Cycles'!$C$21*'Lease Cycles'!$AY$21/12,IF(AND('Lease Cycles'!$AV$21&gt;=INDEX('Lease Cycles'!$BG$21:$BM$21,1,CE231),'Lease Cycles'!$AV$21&lt;=CE$6),'Lease Cycles'!$C$21*'Lease Cycles'!$AW$21/12,IF(AND('Lease Cycles'!$AT$21&gt;=INDEX('Lease Cycles'!$BG$21:$BM$21,1,CE231),'Lease Cycles'!$AT$21&lt;=CE$6),'Lease Cycles'!$C$21*'Lease Cycles'!$AU$21/12,'Lease Cycles'!$C$21*INDEX('Lease Cycles'!$CB$21:$CH$21,1,CE231)*(1+INDEX('Lease Cycles'!$CI$21:$CO$21,1,CE231))^INT(INT(CE232/12)/INDEX('Lease Cycles'!$CP$21:$CV$21,1,CE231))/12)))),'Lease Cycles'!$C$21*INDEX('Lease Cycles'!$CB$21:$CH$21,1,CE231)*(1+INDEX('Lease Cycles'!$CI$21:$CO$21,1,CE231))^INT(INT(CE232/12)/INDEX('Lease Cycles'!$CP$21:$CV$21,1,CE231))/12))),IF('Lease Cycles'!$N$21=1,'Lease Cycles'!$C$21*'Lease Cycles'!$E$21*INDEX('Lease Cycles'!$HE$21:$HK$21,1,CE231)*(1+INDEX('Lease Cycles'!$GQ$21:$GW$21,1,CE231))^INT(INT((CE$6-INDEX('Lease Cycles'!$GJ$21:$GP$21,1,CE231))/12)/INDEX('Lease Cycles'!$GX$21:$HD$21,1,CE231))/12,0)))</f>
        <v>0</v>
      </c>
      <c r="CF234" s="28">
        <f>IF(CF231=0,IF('Lease Cycles'!$F$21&gt;0,'Lease Cycles'!$C$21*'Lease Cycles'!$E$21/12,0),IF(CF233=1,IF('Lease Cycles'!$AT$21&gt;=9999,'Lease Cycles'!$C$21*INDEX('Lease Cycles'!$CB$21:$CH$21,1,CF231)*(1+INDEX('Lease Cycles'!$CI$21:$CO$21,1,CF231))^INT(INT(CF232/12)/INDEX('Lease Cycles'!$CP$21:$CV$21,1,CF231))/12,IF(CF231=1,IF(CF232&gt;=INDEX('Lease Cycles'!$DK$21:$DQ$21,1,CF231),IF(CF$6&gt;='Lease Cycles'!$AZ$21,'Lease Cycles'!$C$21*'Lease Cycles'!$BA$21/12,IF(CF$6&gt;='Lease Cycles'!$AX$21,'Lease Cycles'!$C$21*'Lease Cycles'!$AY$21/12,IF(CF$6&gt;='Lease Cycles'!$AV$21,'Lease Cycles'!$C$21*'Lease Cycles'!$AW$21/12,IF(CF$6&gt;='Lease Cycles'!$AT$21,'Lease Cycles'!$C$21*'Lease Cycles'!$AU$21/12,'Lease Cycles'!$C$21*INDEX('Lease Cycles'!$CB$21:$CH$21,1,CF231)*(1+INDEX('Lease Cycles'!$CI$21:$CO$21,1,CF231))^INT(INT(CF232/12)/INDEX('Lease Cycles'!$CP$21:$CV$21,1,CF231))/12)))),'Lease Cycles'!$C$21*INDEX('Lease Cycles'!$CB$21:$CH$21,1,CF231)*(1+INDEX('Lease Cycles'!$CI$21:$CO$21,1,CF231))^INT(INT(CF232/12)/INDEX('Lease Cycles'!$CP$21:$CV$21,1,CF231))/12),IF(INDEX('Lease Cycles'!$EF$21:$EL$21,1,CF231)=1,IF(AND('Lease Cycles'!$AZ$21&gt;=INDEX('Lease Cycles'!$BG$21:$BM$21,1,CF231),'Lease Cycles'!$AZ$21&lt;=CF$6),'Lease Cycles'!$C$21*'Lease Cycles'!$BA$21/12,IF(AND('Lease Cycles'!$AX$21&gt;=INDEX('Lease Cycles'!$BG$21:$BM$21,1,CF231),'Lease Cycles'!$AX$21&lt;=CF$6),'Lease Cycles'!$C$21*'Lease Cycles'!$AY$21/12,IF(AND('Lease Cycles'!$AV$21&gt;=INDEX('Lease Cycles'!$BG$21:$BM$21,1,CF231),'Lease Cycles'!$AV$21&lt;=CF$6),'Lease Cycles'!$C$21*'Lease Cycles'!$AW$21/12,IF(AND('Lease Cycles'!$AT$21&gt;=INDEX('Lease Cycles'!$BG$21:$BM$21,1,CF231),'Lease Cycles'!$AT$21&lt;=CF$6),'Lease Cycles'!$C$21*'Lease Cycles'!$AU$21/12,'Lease Cycles'!$C$21*INDEX('Lease Cycles'!$CB$21:$CH$21,1,CF231)*(1+INDEX('Lease Cycles'!$CI$21:$CO$21,1,CF231))^INT(INT(CF232/12)/INDEX('Lease Cycles'!$CP$21:$CV$21,1,CF231))/12)))),'Lease Cycles'!$C$21*INDEX('Lease Cycles'!$CB$21:$CH$21,1,CF231)*(1+INDEX('Lease Cycles'!$CI$21:$CO$21,1,CF231))^INT(INT(CF232/12)/INDEX('Lease Cycles'!$CP$21:$CV$21,1,CF231))/12))),IF('Lease Cycles'!$N$21=1,'Lease Cycles'!$C$21*'Lease Cycles'!$E$21*INDEX('Lease Cycles'!$HE$21:$HK$21,1,CF231)*(1+INDEX('Lease Cycles'!$GQ$21:$GW$21,1,CF231))^INT(INT((CF$6-INDEX('Lease Cycles'!$GJ$21:$GP$21,1,CF231))/12)/INDEX('Lease Cycles'!$GX$21:$HD$21,1,CF231))/12,0)))</f>
        <v>0</v>
      </c>
      <c r="CG234" s="28">
        <f>IF(CG231=0,IF('Lease Cycles'!$F$21&gt;0,'Lease Cycles'!$C$21*'Lease Cycles'!$E$21/12,0),IF(CG233=1,IF('Lease Cycles'!$AT$21&gt;=9999,'Lease Cycles'!$C$21*INDEX('Lease Cycles'!$CB$21:$CH$21,1,CG231)*(1+INDEX('Lease Cycles'!$CI$21:$CO$21,1,CG231))^INT(INT(CG232/12)/INDEX('Lease Cycles'!$CP$21:$CV$21,1,CG231))/12,IF(CG231=1,IF(CG232&gt;=INDEX('Lease Cycles'!$DK$21:$DQ$21,1,CG231),IF(CG$6&gt;='Lease Cycles'!$AZ$21,'Lease Cycles'!$C$21*'Lease Cycles'!$BA$21/12,IF(CG$6&gt;='Lease Cycles'!$AX$21,'Lease Cycles'!$C$21*'Lease Cycles'!$AY$21/12,IF(CG$6&gt;='Lease Cycles'!$AV$21,'Lease Cycles'!$C$21*'Lease Cycles'!$AW$21/12,IF(CG$6&gt;='Lease Cycles'!$AT$21,'Lease Cycles'!$C$21*'Lease Cycles'!$AU$21/12,'Lease Cycles'!$C$21*INDEX('Lease Cycles'!$CB$21:$CH$21,1,CG231)*(1+INDEX('Lease Cycles'!$CI$21:$CO$21,1,CG231))^INT(INT(CG232/12)/INDEX('Lease Cycles'!$CP$21:$CV$21,1,CG231))/12)))),'Lease Cycles'!$C$21*INDEX('Lease Cycles'!$CB$21:$CH$21,1,CG231)*(1+INDEX('Lease Cycles'!$CI$21:$CO$21,1,CG231))^INT(INT(CG232/12)/INDEX('Lease Cycles'!$CP$21:$CV$21,1,CG231))/12),IF(INDEX('Lease Cycles'!$EF$21:$EL$21,1,CG231)=1,IF(AND('Lease Cycles'!$AZ$21&gt;=INDEX('Lease Cycles'!$BG$21:$BM$21,1,CG231),'Lease Cycles'!$AZ$21&lt;=CG$6),'Lease Cycles'!$C$21*'Lease Cycles'!$BA$21/12,IF(AND('Lease Cycles'!$AX$21&gt;=INDEX('Lease Cycles'!$BG$21:$BM$21,1,CG231),'Lease Cycles'!$AX$21&lt;=CG$6),'Lease Cycles'!$C$21*'Lease Cycles'!$AY$21/12,IF(AND('Lease Cycles'!$AV$21&gt;=INDEX('Lease Cycles'!$BG$21:$BM$21,1,CG231),'Lease Cycles'!$AV$21&lt;=CG$6),'Lease Cycles'!$C$21*'Lease Cycles'!$AW$21/12,IF(AND('Lease Cycles'!$AT$21&gt;=INDEX('Lease Cycles'!$BG$21:$BM$21,1,CG231),'Lease Cycles'!$AT$21&lt;=CG$6),'Lease Cycles'!$C$21*'Lease Cycles'!$AU$21/12,'Lease Cycles'!$C$21*INDEX('Lease Cycles'!$CB$21:$CH$21,1,CG231)*(1+INDEX('Lease Cycles'!$CI$21:$CO$21,1,CG231))^INT(INT(CG232/12)/INDEX('Lease Cycles'!$CP$21:$CV$21,1,CG231))/12)))),'Lease Cycles'!$C$21*INDEX('Lease Cycles'!$CB$21:$CH$21,1,CG231)*(1+INDEX('Lease Cycles'!$CI$21:$CO$21,1,CG231))^INT(INT(CG232/12)/INDEX('Lease Cycles'!$CP$21:$CV$21,1,CG231))/12))),IF('Lease Cycles'!$N$21=1,'Lease Cycles'!$C$21*'Lease Cycles'!$E$21*INDEX('Lease Cycles'!$HE$21:$HK$21,1,CG231)*(1+INDEX('Lease Cycles'!$GQ$21:$GW$21,1,CG231))^INT(INT((CG$6-INDEX('Lease Cycles'!$GJ$21:$GP$21,1,CG231))/12)/INDEX('Lease Cycles'!$GX$21:$HD$21,1,CG231))/12,0)))</f>
        <v>0</v>
      </c>
      <c r="CH234" s="28">
        <f>IF(CH231=0,IF('Lease Cycles'!$F$21&gt;0,'Lease Cycles'!$C$21*'Lease Cycles'!$E$21/12,0),IF(CH233=1,IF('Lease Cycles'!$AT$21&gt;=9999,'Lease Cycles'!$C$21*INDEX('Lease Cycles'!$CB$21:$CH$21,1,CH231)*(1+INDEX('Lease Cycles'!$CI$21:$CO$21,1,CH231))^INT(INT(CH232/12)/INDEX('Lease Cycles'!$CP$21:$CV$21,1,CH231))/12,IF(CH231=1,IF(CH232&gt;=INDEX('Lease Cycles'!$DK$21:$DQ$21,1,CH231),IF(CH$6&gt;='Lease Cycles'!$AZ$21,'Lease Cycles'!$C$21*'Lease Cycles'!$BA$21/12,IF(CH$6&gt;='Lease Cycles'!$AX$21,'Lease Cycles'!$C$21*'Lease Cycles'!$AY$21/12,IF(CH$6&gt;='Lease Cycles'!$AV$21,'Lease Cycles'!$C$21*'Lease Cycles'!$AW$21/12,IF(CH$6&gt;='Lease Cycles'!$AT$21,'Lease Cycles'!$C$21*'Lease Cycles'!$AU$21/12,'Lease Cycles'!$C$21*INDEX('Lease Cycles'!$CB$21:$CH$21,1,CH231)*(1+INDEX('Lease Cycles'!$CI$21:$CO$21,1,CH231))^INT(INT(CH232/12)/INDEX('Lease Cycles'!$CP$21:$CV$21,1,CH231))/12)))),'Lease Cycles'!$C$21*INDEX('Lease Cycles'!$CB$21:$CH$21,1,CH231)*(1+INDEX('Lease Cycles'!$CI$21:$CO$21,1,CH231))^INT(INT(CH232/12)/INDEX('Lease Cycles'!$CP$21:$CV$21,1,CH231))/12),IF(INDEX('Lease Cycles'!$EF$21:$EL$21,1,CH231)=1,IF(AND('Lease Cycles'!$AZ$21&gt;=INDEX('Lease Cycles'!$BG$21:$BM$21,1,CH231),'Lease Cycles'!$AZ$21&lt;=CH$6),'Lease Cycles'!$C$21*'Lease Cycles'!$BA$21/12,IF(AND('Lease Cycles'!$AX$21&gt;=INDEX('Lease Cycles'!$BG$21:$BM$21,1,CH231),'Lease Cycles'!$AX$21&lt;=CH$6),'Lease Cycles'!$C$21*'Lease Cycles'!$AY$21/12,IF(AND('Lease Cycles'!$AV$21&gt;=INDEX('Lease Cycles'!$BG$21:$BM$21,1,CH231),'Lease Cycles'!$AV$21&lt;=CH$6),'Lease Cycles'!$C$21*'Lease Cycles'!$AW$21/12,IF(AND('Lease Cycles'!$AT$21&gt;=INDEX('Lease Cycles'!$BG$21:$BM$21,1,CH231),'Lease Cycles'!$AT$21&lt;=CH$6),'Lease Cycles'!$C$21*'Lease Cycles'!$AU$21/12,'Lease Cycles'!$C$21*INDEX('Lease Cycles'!$CB$21:$CH$21,1,CH231)*(1+INDEX('Lease Cycles'!$CI$21:$CO$21,1,CH231))^INT(INT(CH232/12)/INDEX('Lease Cycles'!$CP$21:$CV$21,1,CH231))/12)))),'Lease Cycles'!$C$21*INDEX('Lease Cycles'!$CB$21:$CH$21,1,CH231)*(1+INDEX('Lease Cycles'!$CI$21:$CO$21,1,CH231))^INT(INT(CH232/12)/INDEX('Lease Cycles'!$CP$21:$CV$21,1,CH231))/12))),IF('Lease Cycles'!$N$21=1,'Lease Cycles'!$C$21*'Lease Cycles'!$E$21*INDEX('Lease Cycles'!$HE$21:$HK$21,1,CH231)*(1+INDEX('Lease Cycles'!$GQ$21:$GW$21,1,CH231))^INT(INT((CH$6-INDEX('Lease Cycles'!$GJ$21:$GP$21,1,CH231))/12)/INDEX('Lease Cycles'!$GX$21:$HD$21,1,CH231))/12,0)))</f>
        <v>0</v>
      </c>
      <c r="CI234" s="28">
        <f>IF(CI231=0,IF('Lease Cycles'!$F$21&gt;0,'Lease Cycles'!$C$21*'Lease Cycles'!$E$21/12,0),IF(CI233=1,IF('Lease Cycles'!$AT$21&gt;=9999,'Lease Cycles'!$C$21*INDEX('Lease Cycles'!$CB$21:$CH$21,1,CI231)*(1+INDEX('Lease Cycles'!$CI$21:$CO$21,1,CI231))^INT(INT(CI232/12)/INDEX('Lease Cycles'!$CP$21:$CV$21,1,CI231))/12,IF(CI231=1,IF(CI232&gt;=INDEX('Lease Cycles'!$DK$21:$DQ$21,1,CI231),IF(CI$6&gt;='Lease Cycles'!$AZ$21,'Lease Cycles'!$C$21*'Lease Cycles'!$BA$21/12,IF(CI$6&gt;='Lease Cycles'!$AX$21,'Lease Cycles'!$C$21*'Lease Cycles'!$AY$21/12,IF(CI$6&gt;='Lease Cycles'!$AV$21,'Lease Cycles'!$C$21*'Lease Cycles'!$AW$21/12,IF(CI$6&gt;='Lease Cycles'!$AT$21,'Lease Cycles'!$C$21*'Lease Cycles'!$AU$21/12,'Lease Cycles'!$C$21*INDEX('Lease Cycles'!$CB$21:$CH$21,1,CI231)*(1+INDEX('Lease Cycles'!$CI$21:$CO$21,1,CI231))^INT(INT(CI232/12)/INDEX('Lease Cycles'!$CP$21:$CV$21,1,CI231))/12)))),'Lease Cycles'!$C$21*INDEX('Lease Cycles'!$CB$21:$CH$21,1,CI231)*(1+INDEX('Lease Cycles'!$CI$21:$CO$21,1,CI231))^INT(INT(CI232/12)/INDEX('Lease Cycles'!$CP$21:$CV$21,1,CI231))/12),IF(INDEX('Lease Cycles'!$EF$21:$EL$21,1,CI231)=1,IF(AND('Lease Cycles'!$AZ$21&gt;=INDEX('Lease Cycles'!$BG$21:$BM$21,1,CI231),'Lease Cycles'!$AZ$21&lt;=CI$6),'Lease Cycles'!$C$21*'Lease Cycles'!$BA$21/12,IF(AND('Lease Cycles'!$AX$21&gt;=INDEX('Lease Cycles'!$BG$21:$BM$21,1,CI231),'Lease Cycles'!$AX$21&lt;=CI$6),'Lease Cycles'!$C$21*'Lease Cycles'!$AY$21/12,IF(AND('Lease Cycles'!$AV$21&gt;=INDEX('Lease Cycles'!$BG$21:$BM$21,1,CI231),'Lease Cycles'!$AV$21&lt;=CI$6),'Lease Cycles'!$C$21*'Lease Cycles'!$AW$21/12,IF(AND('Lease Cycles'!$AT$21&gt;=INDEX('Lease Cycles'!$BG$21:$BM$21,1,CI231),'Lease Cycles'!$AT$21&lt;=CI$6),'Lease Cycles'!$C$21*'Lease Cycles'!$AU$21/12,'Lease Cycles'!$C$21*INDEX('Lease Cycles'!$CB$21:$CH$21,1,CI231)*(1+INDEX('Lease Cycles'!$CI$21:$CO$21,1,CI231))^INT(INT(CI232/12)/INDEX('Lease Cycles'!$CP$21:$CV$21,1,CI231))/12)))),'Lease Cycles'!$C$21*INDEX('Lease Cycles'!$CB$21:$CH$21,1,CI231)*(1+INDEX('Lease Cycles'!$CI$21:$CO$21,1,CI231))^INT(INT(CI232/12)/INDEX('Lease Cycles'!$CP$21:$CV$21,1,CI231))/12))),IF('Lease Cycles'!$N$21=1,'Lease Cycles'!$C$21*'Lease Cycles'!$E$21*INDEX('Lease Cycles'!$HE$21:$HK$21,1,CI231)*(1+INDEX('Lease Cycles'!$GQ$21:$GW$21,1,CI231))^INT(INT((CI$6-INDEX('Lease Cycles'!$GJ$21:$GP$21,1,CI231))/12)/INDEX('Lease Cycles'!$GX$21:$HD$21,1,CI231))/12,0)))</f>
        <v>0</v>
      </c>
      <c r="CJ234" s="28">
        <f>IF(CJ231=0,IF('Lease Cycles'!$F$21&gt;0,'Lease Cycles'!$C$21*'Lease Cycles'!$E$21/12,0),IF(CJ233=1,IF('Lease Cycles'!$AT$21&gt;=9999,'Lease Cycles'!$C$21*INDEX('Lease Cycles'!$CB$21:$CH$21,1,CJ231)*(1+INDEX('Lease Cycles'!$CI$21:$CO$21,1,CJ231))^INT(INT(CJ232/12)/INDEX('Lease Cycles'!$CP$21:$CV$21,1,CJ231))/12,IF(CJ231=1,IF(CJ232&gt;=INDEX('Lease Cycles'!$DK$21:$DQ$21,1,CJ231),IF(CJ$6&gt;='Lease Cycles'!$AZ$21,'Lease Cycles'!$C$21*'Lease Cycles'!$BA$21/12,IF(CJ$6&gt;='Lease Cycles'!$AX$21,'Lease Cycles'!$C$21*'Lease Cycles'!$AY$21/12,IF(CJ$6&gt;='Lease Cycles'!$AV$21,'Lease Cycles'!$C$21*'Lease Cycles'!$AW$21/12,IF(CJ$6&gt;='Lease Cycles'!$AT$21,'Lease Cycles'!$C$21*'Lease Cycles'!$AU$21/12,'Lease Cycles'!$C$21*INDEX('Lease Cycles'!$CB$21:$CH$21,1,CJ231)*(1+INDEX('Lease Cycles'!$CI$21:$CO$21,1,CJ231))^INT(INT(CJ232/12)/INDEX('Lease Cycles'!$CP$21:$CV$21,1,CJ231))/12)))),'Lease Cycles'!$C$21*INDEX('Lease Cycles'!$CB$21:$CH$21,1,CJ231)*(1+INDEX('Lease Cycles'!$CI$21:$CO$21,1,CJ231))^INT(INT(CJ232/12)/INDEX('Lease Cycles'!$CP$21:$CV$21,1,CJ231))/12),IF(INDEX('Lease Cycles'!$EF$21:$EL$21,1,CJ231)=1,IF(AND('Lease Cycles'!$AZ$21&gt;=INDEX('Lease Cycles'!$BG$21:$BM$21,1,CJ231),'Lease Cycles'!$AZ$21&lt;=CJ$6),'Lease Cycles'!$C$21*'Lease Cycles'!$BA$21/12,IF(AND('Lease Cycles'!$AX$21&gt;=INDEX('Lease Cycles'!$BG$21:$BM$21,1,CJ231),'Lease Cycles'!$AX$21&lt;=CJ$6),'Lease Cycles'!$C$21*'Lease Cycles'!$AY$21/12,IF(AND('Lease Cycles'!$AV$21&gt;=INDEX('Lease Cycles'!$BG$21:$BM$21,1,CJ231),'Lease Cycles'!$AV$21&lt;=CJ$6),'Lease Cycles'!$C$21*'Lease Cycles'!$AW$21/12,IF(AND('Lease Cycles'!$AT$21&gt;=INDEX('Lease Cycles'!$BG$21:$BM$21,1,CJ231),'Lease Cycles'!$AT$21&lt;=CJ$6),'Lease Cycles'!$C$21*'Lease Cycles'!$AU$21/12,'Lease Cycles'!$C$21*INDEX('Lease Cycles'!$CB$21:$CH$21,1,CJ231)*(1+INDEX('Lease Cycles'!$CI$21:$CO$21,1,CJ231))^INT(INT(CJ232/12)/INDEX('Lease Cycles'!$CP$21:$CV$21,1,CJ231))/12)))),'Lease Cycles'!$C$21*INDEX('Lease Cycles'!$CB$21:$CH$21,1,CJ231)*(1+INDEX('Lease Cycles'!$CI$21:$CO$21,1,CJ231))^INT(INT(CJ232/12)/INDEX('Lease Cycles'!$CP$21:$CV$21,1,CJ231))/12))),IF('Lease Cycles'!$N$21=1,'Lease Cycles'!$C$21*'Lease Cycles'!$E$21*INDEX('Lease Cycles'!$HE$21:$HK$21,1,CJ231)*(1+INDEX('Lease Cycles'!$GQ$21:$GW$21,1,CJ231))^INT(INT((CJ$6-INDEX('Lease Cycles'!$GJ$21:$GP$21,1,CJ231))/12)/INDEX('Lease Cycles'!$GX$21:$HD$21,1,CJ231))/12,0)))</f>
        <v>0</v>
      </c>
      <c r="CK234" s="28">
        <f>IF(CK231=0,IF('Lease Cycles'!$F$21&gt;0,'Lease Cycles'!$C$21*'Lease Cycles'!$E$21/12,0),IF(CK233=1,IF('Lease Cycles'!$AT$21&gt;=9999,'Lease Cycles'!$C$21*INDEX('Lease Cycles'!$CB$21:$CH$21,1,CK231)*(1+INDEX('Lease Cycles'!$CI$21:$CO$21,1,CK231))^INT(INT(CK232/12)/INDEX('Lease Cycles'!$CP$21:$CV$21,1,CK231))/12,IF(CK231=1,IF(CK232&gt;=INDEX('Lease Cycles'!$DK$21:$DQ$21,1,CK231),IF(CK$6&gt;='Lease Cycles'!$AZ$21,'Lease Cycles'!$C$21*'Lease Cycles'!$BA$21/12,IF(CK$6&gt;='Lease Cycles'!$AX$21,'Lease Cycles'!$C$21*'Lease Cycles'!$AY$21/12,IF(CK$6&gt;='Lease Cycles'!$AV$21,'Lease Cycles'!$C$21*'Lease Cycles'!$AW$21/12,IF(CK$6&gt;='Lease Cycles'!$AT$21,'Lease Cycles'!$C$21*'Lease Cycles'!$AU$21/12,'Lease Cycles'!$C$21*INDEX('Lease Cycles'!$CB$21:$CH$21,1,CK231)*(1+INDEX('Lease Cycles'!$CI$21:$CO$21,1,CK231))^INT(INT(CK232/12)/INDEX('Lease Cycles'!$CP$21:$CV$21,1,CK231))/12)))),'Lease Cycles'!$C$21*INDEX('Lease Cycles'!$CB$21:$CH$21,1,CK231)*(1+INDEX('Lease Cycles'!$CI$21:$CO$21,1,CK231))^INT(INT(CK232/12)/INDEX('Lease Cycles'!$CP$21:$CV$21,1,CK231))/12),IF(INDEX('Lease Cycles'!$EF$21:$EL$21,1,CK231)=1,IF(AND('Lease Cycles'!$AZ$21&gt;=INDEX('Lease Cycles'!$BG$21:$BM$21,1,CK231),'Lease Cycles'!$AZ$21&lt;=CK$6),'Lease Cycles'!$C$21*'Lease Cycles'!$BA$21/12,IF(AND('Lease Cycles'!$AX$21&gt;=INDEX('Lease Cycles'!$BG$21:$BM$21,1,CK231),'Lease Cycles'!$AX$21&lt;=CK$6),'Lease Cycles'!$C$21*'Lease Cycles'!$AY$21/12,IF(AND('Lease Cycles'!$AV$21&gt;=INDEX('Lease Cycles'!$BG$21:$BM$21,1,CK231),'Lease Cycles'!$AV$21&lt;=CK$6),'Lease Cycles'!$C$21*'Lease Cycles'!$AW$21/12,IF(AND('Lease Cycles'!$AT$21&gt;=INDEX('Lease Cycles'!$BG$21:$BM$21,1,CK231),'Lease Cycles'!$AT$21&lt;=CK$6),'Lease Cycles'!$C$21*'Lease Cycles'!$AU$21/12,'Lease Cycles'!$C$21*INDEX('Lease Cycles'!$CB$21:$CH$21,1,CK231)*(1+INDEX('Lease Cycles'!$CI$21:$CO$21,1,CK231))^INT(INT(CK232/12)/INDEX('Lease Cycles'!$CP$21:$CV$21,1,CK231))/12)))),'Lease Cycles'!$C$21*INDEX('Lease Cycles'!$CB$21:$CH$21,1,CK231)*(1+INDEX('Lease Cycles'!$CI$21:$CO$21,1,CK231))^INT(INT(CK232/12)/INDEX('Lease Cycles'!$CP$21:$CV$21,1,CK231))/12))),IF('Lease Cycles'!$N$21=1,'Lease Cycles'!$C$21*'Lease Cycles'!$E$21*INDEX('Lease Cycles'!$HE$21:$HK$21,1,CK231)*(1+INDEX('Lease Cycles'!$GQ$21:$GW$21,1,CK231))^INT(INT((CK$6-INDEX('Lease Cycles'!$GJ$21:$GP$21,1,CK231))/12)/INDEX('Lease Cycles'!$GX$21:$HD$21,1,CK231))/12,0)))</f>
        <v>0</v>
      </c>
      <c r="CL234" s="28">
        <f>IF(CL231=0,IF('Lease Cycles'!$F$21&gt;0,'Lease Cycles'!$C$21*'Lease Cycles'!$E$21/12,0),IF(CL233=1,IF('Lease Cycles'!$AT$21&gt;=9999,'Lease Cycles'!$C$21*INDEX('Lease Cycles'!$CB$21:$CH$21,1,CL231)*(1+INDEX('Lease Cycles'!$CI$21:$CO$21,1,CL231))^INT(INT(CL232/12)/INDEX('Lease Cycles'!$CP$21:$CV$21,1,CL231))/12,IF(CL231=1,IF(CL232&gt;=INDEX('Lease Cycles'!$DK$21:$DQ$21,1,CL231),IF(CL$6&gt;='Lease Cycles'!$AZ$21,'Lease Cycles'!$C$21*'Lease Cycles'!$BA$21/12,IF(CL$6&gt;='Lease Cycles'!$AX$21,'Lease Cycles'!$C$21*'Lease Cycles'!$AY$21/12,IF(CL$6&gt;='Lease Cycles'!$AV$21,'Lease Cycles'!$C$21*'Lease Cycles'!$AW$21/12,IF(CL$6&gt;='Lease Cycles'!$AT$21,'Lease Cycles'!$C$21*'Lease Cycles'!$AU$21/12,'Lease Cycles'!$C$21*INDEX('Lease Cycles'!$CB$21:$CH$21,1,CL231)*(1+INDEX('Lease Cycles'!$CI$21:$CO$21,1,CL231))^INT(INT(CL232/12)/INDEX('Lease Cycles'!$CP$21:$CV$21,1,CL231))/12)))),'Lease Cycles'!$C$21*INDEX('Lease Cycles'!$CB$21:$CH$21,1,CL231)*(1+INDEX('Lease Cycles'!$CI$21:$CO$21,1,CL231))^INT(INT(CL232/12)/INDEX('Lease Cycles'!$CP$21:$CV$21,1,CL231))/12),IF(INDEX('Lease Cycles'!$EF$21:$EL$21,1,CL231)=1,IF(AND('Lease Cycles'!$AZ$21&gt;=INDEX('Lease Cycles'!$BG$21:$BM$21,1,CL231),'Lease Cycles'!$AZ$21&lt;=CL$6),'Lease Cycles'!$C$21*'Lease Cycles'!$BA$21/12,IF(AND('Lease Cycles'!$AX$21&gt;=INDEX('Lease Cycles'!$BG$21:$BM$21,1,CL231),'Lease Cycles'!$AX$21&lt;=CL$6),'Lease Cycles'!$C$21*'Lease Cycles'!$AY$21/12,IF(AND('Lease Cycles'!$AV$21&gt;=INDEX('Lease Cycles'!$BG$21:$BM$21,1,CL231),'Lease Cycles'!$AV$21&lt;=CL$6),'Lease Cycles'!$C$21*'Lease Cycles'!$AW$21/12,IF(AND('Lease Cycles'!$AT$21&gt;=INDEX('Lease Cycles'!$BG$21:$BM$21,1,CL231),'Lease Cycles'!$AT$21&lt;=CL$6),'Lease Cycles'!$C$21*'Lease Cycles'!$AU$21/12,'Lease Cycles'!$C$21*INDEX('Lease Cycles'!$CB$21:$CH$21,1,CL231)*(1+INDEX('Lease Cycles'!$CI$21:$CO$21,1,CL231))^INT(INT(CL232/12)/INDEX('Lease Cycles'!$CP$21:$CV$21,1,CL231))/12)))),'Lease Cycles'!$C$21*INDEX('Lease Cycles'!$CB$21:$CH$21,1,CL231)*(1+INDEX('Lease Cycles'!$CI$21:$CO$21,1,CL231))^INT(INT(CL232/12)/INDEX('Lease Cycles'!$CP$21:$CV$21,1,CL231))/12))),IF('Lease Cycles'!$N$21=1,'Lease Cycles'!$C$21*'Lease Cycles'!$E$21*INDEX('Lease Cycles'!$HE$21:$HK$21,1,CL231)*(1+INDEX('Lease Cycles'!$GQ$21:$GW$21,1,CL231))^INT(INT((CL$6-INDEX('Lease Cycles'!$GJ$21:$GP$21,1,CL231))/12)/INDEX('Lease Cycles'!$GX$21:$HD$21,1,CL231))/12,0)))</f>
        <v>0</v>
      </c>
      <c r="CM234" s="28">
        <f>IF(CM231=0,IF('Lease Cycles'!$F$21&gt;0,'Lease Cycles'!$C$21*'Lease Cycles'!$E$21/12,0),IF(CM233=1,IF('Lease Cycles'!$AT$21&gt;=9999,'Lease Cycles'!$C$21*INDEX('Lease Cycles'!$CB$21:$CH$21,1,CM231)*(1+INDEX('Lease Cycles'!$CI$21:$CO$21,1,CM231))^INT(INT(CM232/12)/INDEX('Lease Cycles'!$CP$21:$CV$21,1,CM231))/12,IF(CM231=1,IF(CM232&gt;=INDEX('Lease Cycles'!$DK$21:$DQ$21,1,CM231),IF(CM$6&gt;='Lease Cycles'!$AZ$21,'Lease Cycles'!$C$21*'Lease Cycles'!$BA$21/12,IF(CM$6&gt;='Lease Cycles'!$AX$21,'Lease Cycles'!$C$21*'Lease Cycles'!$AY$21/12,IF(CM$6&gt;='Lease Cycles'!$AV$21,'Lease Cycles'!$C$21*'Lease Cycles'!$AW$21/12,IF(CM$6&gt;='Lease Cycles'!$AT$21,'Lease Cycles'!$C$21*'Lease Cycles'!$AU$21/12,'Lease Cycles'!$C$21*INDEX('Lease Cycles'!$CB$21:$CH$21,1,CM231)*(1+INDEX('Lease Cycles'!$CI$21:$CO$21,1,CM231))^INT(INT(CM232/12)/INDEX('Lease Cycles'!$CP$21:$CV$21,1,CM231))/12)))),'Lease Cycles'!$C$21*INDEX('Lease Cycles'!$CB$21:$CH$21,1,CM231)*(1+INDEX('Lease Cycles'!$CI$21:$CO$21,1,CM231))^INT(INT(CM232/12)/INDEX('Lease Cycles'!$CP$21:$CV$21,1,CM231))/12),IF(INDEX('Lease Cycles'!$EF$21:$EL$21,1,CM231)=1,IF(AND('Lease Cycles'!$AZ$21&gt;=INDEX('Lease Cycles'!$BG$21:$BM$21,1,CM231),'Lease Cycles'!$AZ$21&lt;=CM$6),'Lease Cycles'!$C$21*'Lease Cycles'!$BA$21/12,IF(AND('Lease Cycles'!$AX$21&gt;=INDEX('Lease Cycles'!$BG$21:$BM$21,1,CM231),'Lease Cycles'!$AX$21&lt;=CM$6),'Lease Cycles'!$C$21*'Lease Cycles'!$AY$21/12,IF(AND('Lease Cycles'!$AV$21&gt;=INDEX('Lease Cycles'!$BG$21:$BM$21,1,CM231),'Lease Cycles'!$AV$21&lt;=CM$6),'Lease Cycles'!$C$21*'Lease Cycles'!$AW$21/12,IF(AND('Lease Cycles'!$AT$21&gt;=INDEX('Lease Cycles'!$BG$21:$BM$21,1,CM231),'Lease Cycles'!$AT$21&lt;=CM$6),'Lease Cycles'!$C$21*'Lease Cycles'!$AU$21/12,'Lease Cycles'!$C$21*INDEX('Lease Cycles'!$CB$21:$CH$21,1,CM231)*(1+INDEX('Lease Cycles'!$CI$21:$CO$21,1,CM231))^INT(INT(CM232/12)/INDEX('Lease Cycles'!$CP$21:$CV$21,1,CM231))/12)))),'Lease Cycles'!$C$21*INDEX('Lease Cycles'!$CB$21:$CH$21,1,CM231)*(1+INDEX('Lease Cycles'!$CI$21:$CO$21,1,CM231))^INT(INT(CM232/12)/INDEX('Lease Cycles'!$CP$21:$CV$21,1,CM231))/12))),IF('Lease Cycles'!$N$21=1,'Lease Cycles'!$C$21*'Lease Cycles'!$E$21*INDEX('Lease Cycles'!$HE$21:$HK$21,1,CM231)*(1+INDEX('Lease Cycles'!$GQ$21:$GW$21,1,CM231))^INT(INT((CM$6-INDEX('Lease Cycles'!$GJ$21:$GP$21,1,CM231))/12)/INDEX('Lease Cycles'!$GX$21:$HD$21,1,CM231))/12,0)))</f>
        <v>0</v>
      </c>
      <c r="CN234" s="28">
        <f>IF(CN231=0,IF('Lease Cycles'!$F$21&gt;0,'Lease Cycles'!$C$21*'Lease Cycles'!$E$21/12,0),IF(CN233=1,IF('Lease Cycles'!$AT$21&gt;=9999,'Lease Cycles'!$C$21*INDEX('Lease Cycles'!$CB$21:$CH$21,1,CN231)*(1+INDEX('Lease Cycles'!$CI$21:$CO$21,1,CN231))^INT(INT(CN232/12)/INDEX('Lease Cycles'!$CP$21:$CV$21,1,CN231))/12,IF(CN231=1,IF(CN232&gt;=INDEX('Lease Cycles'!$DK$21:$DQ$21,1,CN231),IF(CN$6&gt;='Lease Cycles'!$AZ$21,'Lease Cycles'!$C$21*'Lease Cycles'!$BA$21/12,IF(CN$6&gt;='Lease Cycles'!$AX$21,'Lease Cycles'!$C$21*'Lease Cycles'!$AY$21/12,IF(CN$6&gt;='Lease Cycles'!$AV$21,'Lease Cycles'!$C$21*'Lease Cycles'!$AW$21/12,IF(CN$6&gt;='Lease Cycles'!$AT$21,'Lease Cycles'!$C$21*'Lease Cycles'!$AU$21/12,'Lease Cycles'!$C$21*INDEX('Lease Cycles'!$CB$21:$CH$21,1,CN231)*(1+INDEX('Lease Cycles'!$CI$21:$CO$21,1,CN231))^INT(INT(CN232/12)/INDEX('Lease Cycles'!$CP$21:$CV$21,1,CN231))/12)))),'Lease Cycles'!$C$21*INDEX('Lease Cycles'!$CB$21:$CH$21,1,CN231)*(1+INDEX('Lease Cycles'!$CI$21:$CO$21,1,CN231))^INT(INT(CN232/12)/INDEX('Lease Cycles'!$CP$21:$CV$21,1,CN231))/12),IF(INDEX('Lease Cycles'!$EF$21:$EL$21,1,CN231)=1,IF(AND('Lease Cycles'!$AZ$21&gt;=INDEX('Lease Cycles'!$BG$21:$BM$21,1,CN231),'Lease Cycles'!$AZ$21&lt;=CN$6),'Lease Cycles'!$C$21*'Lease Cycles'!$BA$21/12,IF(AND('Lease Cycles'!$AX$21&gt;=INDEX('Lease Cycles'!$BG$21:$BM$21,1,CN231),'Lease Cycles'!$AX$21&lt;=CN$6),'Lease Cycles'!$C$21*'Lease Cycles'!$AY$21/12,IF(AND('Lease Cycles'!$AV$21&gt;=INDEX('Lease Cycles'!$BG$21:$BM$21,1,CN231),'Lease Cycles'!$AV$21&lt;=CN$6),'Lease Cycles'!$C$21*'Lease Cycles'!$AW$21/12,IF(AND('Lease Cycles'!$AT$21&gt;=INDEX('Lease Cycles'!$BG$21:$BM$21,1,CN231),'Lease Cycles'!$AT$21&lt;=CN$6),'Lease Cycles'!$C$21*'Lease Cycles'!$AU$21/12,'Lease Cycles'!$C$21*INDEX('Lease Cycles'!$CB$21:$CH$21,1,CN231)*(1+INDEX('Lease Cycles'!$CI$21:$CO$21,1,CN231))^INT(INT(CN232/12)/INDEX('Lease Cycles'!$CP$21:$CV$21,1,CN231))/12)))),'Lease Cycles'!$C$21*INDEX('Lease Cycles'!$CB$21:$CH$21,1,CN231)*(1+INDEX('Lease Cycles'!$CI$21:$CO$21,1,CN231))^INT(INT(CN232/12)/INDEX('Lease Cycles'!$CP$21:$CV$21,1,CN231))/12))),IF('Lease Cycles'!$N$21=1,'Lease Cycles'!$C$21*'Lease Cycles'!$E$21*INDEX('Lease Cycles'!$HE$21:$HK$21,1,CN231)*(1+INDEX('Lease Cycles'!$GQ$21:$GW$21,1,CN231))^INT(INT((CN$6-INDEX('Lease Cycles'!$GJ$21:$GP$21,1,CN231))/12)/INDEX('Lease Cycles'!$GX$21:$HD$21,1,CN231))/12,0)))</f>
        <v>0</v>
      </c>
      <c r="CO234" s="28">
        <f>IF(CO231=0,IF('Lease Cycles'!$F$21&gt;0,'Lease Cycles'!$C$21*'Lease Cycles'!$E$21/12,0),IF(CO233=1,IF('Lease Cycles'!$AT$21&gt;=9999,'Lease Cycles'!$C$21*INDEX('Lease Cycles'!$CB$21:$CH$21,1,CO231)*(1+INDEX('Lease Cycles'!$CI$21:$CO$21,1,CO231))^INT(INT(CO232/12)/INDEX('Lease Cycles'!$CP$21:$CV$21,1,CO231))/12,IF(CO231=1,IF(CO232&gt;=INDEX('Lease Cycles'!$DK$21:$DQ$21,1,CO231),IF(CO$6&gt;='Lease Cycles'!$AZ$21,'Lease Cycles'!$C$21*'Lease Cycles'!$BA$21/12,IF(CO$6&gt;='Lease Cycles'!$AX$21,'Lease Cycles'!$C$21*'Lease Cycles'!$AY$21/12,IF(CO$6&gt;='Lease Cycles'!$AV$21,'Lease Cycles'!$C$21*'Lease Cycles'!$AW$21/12,IF(CO$6&gt;='Lease Cycles'!$AT$21,'Lease Cycles'!$C$21*'Lease Cycles'!$AU$21/12,'Lease Cycles'!$C$21*INDEX('Lease Cycles'!$CB$21:$CH$21,1,CO231)*(1+INDEX('Lease Cycles'!$CI$21:$CO$21,1,CO231))^INT(INT(CO232/12)/INDEX('Lease Cycles'!$CP$21:$CV$21,1,CO231))/12)))),'Lease Cycles'!$C$21*INDEX('Lease Cycles'!$CB$21:$CH$21,1,CO231)*(1+INDEX('Lease Cycles'!$CI$21:$CO$21,1,CO231))^INT(INT(CO232/12)/INDEX('Lease Cycles'!$CP$21:$CV$21,1,CO231))/12),IF(INDEX('Lease Cycles'!$EF$21:$EL$21,1,CO231)=1,IF(AND('Lease Cycles'!$AZ$21&gt;=INDEX('Lease Cycles'!$BG$21:$BM$21,1,CO231),'Lease Cycles'!$AZ$21&lt;=CO$6),'Lease Cycles'!$C$21*'Lease Cycles'!$BA$21/12,IF(AND('Lease Cycles'!$AX$21&gt;=INDEX('Lease Cycles'!$BG$21:$BM$21,1,CO231),'Lease Cycles'!$AX$21&lt;=CO$6),'Lease Cycles'!$C$21*'Lease Cycles'!$AY$21/12,IF(AND('Lease Cycles'!$AV$21&gt;=INDEX('Lease Cycles'!$BG$21:$BM$21,1,CO231),'Lease Cycles'!$AV$21&lt;=CO$6),'Lease Cycles'!$C$21*'Lease Cycles'!$AW$21/12,IF(AND('Lease Cycles'!$AT$21&gt;=INDEX('Lease Cycles'!$BG$21:$BM$21,1,CO231),'Lease Cycles'!$AT$21&lt;=CO$6),'Lease Cycles'!$C$21*'Lease Cycles'!$AU$21/12,'Lease Cycles'!$C$21*INDEX('Lease Cycles'!$CB$21:$CH$21,1,CO231)*(1+INDEX('Lease Cycles'!$CI$21:$CO$21,1,CO231))^INT(INT(CO232/12)/INDEX('Lease Cycles'!$CP$21:$CV$21,1,CO231))/12)))),'Lease Cycles'!$C$21*INDEX('Lease Cycles'!$CB$21:$CH$21,1,CO231)*(1+INDEX('Lease Cycles'!$CI$21:$CO$21,1,CO231))^INT(INT(CO232/12)/INDEX('Lease Cycles'!$CP$21:$CV$21,1,CO231))/12))),IF('Lease Cycles'!$N$21=1,'Lease Cycles'!$C$21*'Lease Cycles'!$E$21*INDEX('Lease Cycles'!$HE$21:$HK$21,1,CO231)*(1+INDEX('Lease Cycles'!$GQ$21:$GW$21,1,CO231))^INT(INT((CO$6-INDEX('Lease Cycles'!$GJ$21:$GP$21,1,CO231))/12)/INDEX('Lease Cycles'!$GX$21:$HD$21,1,CO231))/12,0)))</f>
        <v>0</v>
      </c>
      <c r="CP234" s="28">
        <f>IF(CP231=0,IF('Lease Cycles'!$F$21&gt;0,'Lease Cycles'!$C$21*'Lease Cycles'!$E$21/12,0),IF(CP233=1,IF('Lease Cycles'!$AT$21&gt;=9999,'Lease Cycles'!$C$21*INDEX('Lease Cycles'!$CB$21:$CH$21,1,CP231)*(1+INDEX('Lease Cycles'!$CI$21:$CO$21,1,CP231))^INT(INT(CP232/12)/INDEX('Lease Cycles'!$CP$21:$CV$21,1,CP231))/12,IF(CP231=1,IF(CP232&gt;=INDEX('Lease Cycles'!$DK$21:$DQ$21,1,CP231),IF(CP$6&gt;='Lease Cycles'!$AZ$21,'Lease Cycles'!$C$21*'Lease Cycles'!$BA$21/12,IF(CP$6&gt;='Lease Cycles'!$AX$21,'Lease Cycles'!$C$21*'Lease Cycles'!$AY$21/12,IF(CP$6&gt;='Lease Cycles'!$AV$21,'Lease Cycles'!$C$21*'Lease Cycles'!$AW$21/12,IF(CP$6&gt;='Lease Cycles'!$AT$21,'Lease Cycles'!$C$21*'Lease Cycles'!$AU$21/12,'Lease Cycles'!$C$21*INDEX('Lease Cycles'!$CB$21:$CH$21,1,CP231)*(1+INDEX('Lease Cycles'!$CI$21:$CO$21,1,CP231))^INT(INT(CP232/12)/INDEX('Lease Cycles'!$CP$21:$CV$21,1,CP231))/12)))),'Lease Cycles'!$C$21*INDEX('Lease Cycles'!$CB$21:$CH$21,1,CP231)*(1+INDEX('Lease Cycles'!$CI$21:$CO$21,1,CP231))^INT(INT(CP232/12)/INDEX('Lease Cycles'!$CP$21:$CV$21,1,CP231))/12),IF(INDEX('Lease Cycles'!$EF$21:$EL$21,1,CP231)=1,IF(AND('Lease Cycles'!$AZ$21&gt;=INDEX('Lease Cycles'!$BG$21:$BM$21,1,CP231),'Lease Cycles'!$AZ$21&lt;=CP$6),'Lease Cycles'!$C$21*'Lease Cycles'!$BA$21/12,IF(AND('Lease Cycles'!$AX$21&gt;=INDEX('Lease Cycles'!$BG$21:$BM$21,1,CP231),'Lease Cycles'!$AX$21&lt;=CP$6),'Lease Cycles'!$C$21*'Lease Cycles'!$AY$21/12,IF(AND('Lease Cycles'!$AV$21&gt;=INDEX('Lease Cycles'!$BG$21:$BM$21,1,CP231),'Lease Cycles'!$AV$21&lt;=CP$6),'Lease Cycles'!$C$21*'Lease Cycles'!$AW$21/12,IF(AND('Lease Cycles'!$AT$21&gt;=INDEX('Lease Cycles'!$BG$21:$BM$21,1,CP231),'Lease Cycles'!$AT$21&lt;=CP$6),'Lease Cycles'!$C$21*'Lease Cycles'!$AU$21/12,'Lease Cycles'!$C$21*INDEX('Lease Cycles'!$CB$21:$CH$21,1,CP231)*(1+INDEX('Lease Cycles'!$CI$21:$CO$21,1,CP231))^INT(INT(CP232/12)/INDEX('Lease Cycles'!$CP$21:$CV$21,1,CP231))/12)))),'Lease Cycles'!$C$21*INDEX('Lease Cycles'!$CB$21:$CH$21,1,CP231)*(1+INDEX('Lease Cycles'!$CI$21:$CO$21,1,CP231))^INT(INT(CP232/12)/INDEX('Lease Cycles'!$CP$21:$CV$21,1,CP231))/12))),IF('Lease Cycles'!$N$21=1,'Lease Cycles'!$C$21*'Lease Cycles'!$E$21*INDEX('Lease Cycles'!$HE$21:$HK$21,1,CP231)*(1+INDEX('Lease Cycles'!$GQ$21:$GW$21,1,CP231))^INT(INT((CP$6-INDEX('Lease Cycles'!$GJ$21:$GP$21,1,CP231))/12)/INDEX('Lease Cycles'!$GX$21:$HD$21,1,CP231))/12,0)))</f>
        <v>0</v>
      </c>
      <c r="CQ234" s="28">
        <f>IF(CQ231=0,IF('Lease Cycles'!$F$21&gt;0,'Lease Cycles'!$C$21*'Lease Cycles'!$E$21/12,0),IF(CQ233=1,IF('Lease Cycles'!$AT$21&gt;=9999,'Lease Cycles'!$C$21*INDEX('Lease Cycles'!$CB$21:$CH$21,1,CQ231)*(1+INDEX('Lease Cycles'!$CI$21:$CO$21,1,CQ231))^INT(INT(CQ232/12)/INDEX('Lease Cycles'!$CP$21:$CV$21,1,CQ231))/12,IF(CQ231=1,IF(CQ232&gt;=INDEX('Lease Cycles'!$DK$21:$DQ$21,1,CQ231),IF(CQ$6&gt;='Lease Cycles'!$AZ$21,'Lease Cycles'!$C$21*'Lease Cycles'!$BA$21/12,IF(CQ$6&gt;='Lease Cycles'!$AX$21,'Lease Cycles'!$C$21*'Lease Cycles'!$AY$21/12,IF(CQ$6&gt;='Lease Cycles'!$AV$21,'Lease Cycles'!$C$21*'Lease Cycles'!$AW$21/12,IF(CQ$6&gt;='Lease Cycles'!$AT$21,'Lease Cycles'!$C$21*'Lease Cycles'!$AU$21/12,'Lease Cycles'!$C$21*INDEX('Lease Cycles'!$CB$21:$CH$21,1,CQ231)*(1+INDEX('Lease Cycles'!$CI$21:$CO$21,1,CQ231))^INT(INT(CQ232/12)/INDEX('Lease Cycles'!$CP$21:$CV$21,1,CQ231))/12)))),'Lease Cycles'!$C$21*INDEX('Lease Cycles'!$CB$21:$CH$21,1,CQ231)*(1+INDEX('Lease Cycles'!$CI$21:$CO$21,1,CQ231))^INT(INT(CQ232/12)/INDEX('Lease Cycles'!$CP$21:$CV$21,1,CQ231))/12),IF(INDEX('Lease Cycles'!$EF$21:$EL$21,1,CQ231)=1,IF(AND('Lease Cycles'!$AZ$21&gt;=INDEX('Lease Cycles'!$BG$21:$BM$21,1,CQ231),'Lease Cycles'!$AZ$21&lt;=CQ$6),'Lease Cycles'!$C$21*'Lease Cycles'!$BA$21/12,IF(AND('Lease Cycles'!$AX$21&gt;=INDEX('Lease Cycles'!$BG$21:$BM$21,1,CQ231),'Lease Cycles'!$AX$21&lt;=CQ$6),'Lease Cycles'!$C$21*'Lease Cycles'!$AY$21/12,IF(AND('Lease Cycles'!$AV$21&gt;=INDEX('Lease Cycles'!$BG$21:$BM$21,1,CQ231),'Lease Cycles'!$AV$21&lt;=CQ$6),'Lease Cycles'!$C$21*'Lease Cycles'!$AW$21/12,IF(AND('Lease Cycles'!$AT$21&gt;=INDEX('Lease Cycles'!$BG$21:$BM$21,1,CQ231),'Lease Cycles'!$AT$21&lt;=CQ$6),'Lease Cycles'!$C$21*'Lease Cycles'!$AU$21/12,'Lease Cycles'!$C$21*INDEX('Lease Cycles'!$CB$21:$CH$21,1,CQ231)*(1+INDEX('Lease Cycles'!$CI$21:$CO$21,1,CQ231))^INT(INT(CQ232/12)/INDEX('Lease Cycles'!$CP$21:$CV$21,1,CQ231))/12)))),'Lease Cycles'!$C$21*INDEX('Lease Cycles'!$CB$21:$CH$21,1,CQ231)*(1+INDEX('Lease Cycles'!$CI$21:$CO$21,1,CQ231))^INT(INT(CQ232/12)/INDEX('Lease Cycles'!$CP$21:$CV$21,1,CQ231))/12))),IF('Lease Cycles'!$N$21=1,'Lease Cycles'!$C$21*'Lease Cycles'!$E$21*INDEX('Lease Cycles'!$HE$21:$HK$21,1,CQ231)*(1+INDEX('Lease Cycles'!$GQ$21:$GW$21,1,CQ231))^INT(INT((CQ$6-INDEX('Lease Cycles'!$GJ$21:$GP$21,1,CQ231))/12)/INDEX('Lease Cycles'!$GX$21:$HD$21,1,CQ231))/12,0)))</f>
        <v>0</v>
      </c>
      <c r="CR234" s="28">
        <f>IF(CR231=0,IF('Lease Cycles'!$F$21&gt;0,'Lease Cycles'!$C$21*'Lease Cycles'!$E$21/12,0),IF(CR233=1,IF('Lease Cycles'!$AT$21&gt;=9999,'Lease Cycles'!$C$21*INDEX('Lease Cycles'!$CB$21:$CH$21,1,CR231)*(1+INDEX('Lease Cycles'!$CI$21:$CO$21,1,CR231))^INT(INT(CR232/12)/INDEX('Lease Cycles'!$CP$21:$CV$21,1,CR231))/12,IF(CR231=1,IF(CR232&gt;=INDEX('Lease Cycles'!$DK$21:$DQ$21,1,CR231),IF(CR$6&gt;='Lease Cycles'!$AZ$21,'Lease Cycles'!$C$21*'Lease Cycles'!$BA$21/12,IF(CR$6&gt;='Lease Cycles'!$AX$21,'Lease Cycles'!$C$21*'Lease Cycles'!$AY$21/12,IF(CR$6&gt;='Lease Cycles'!$AV$21,'Lease Cycles'!$C$21*'Lease Cycles'!$AW$21/12,IF(CR$6&gt;='Lease Cycles'!$AT$21,'Lease Cycles'!$C$21*'Lease Cycles'!$AU$21/12,'Lease Cycles'!$C$21*INDEX('Lease Cycles'!$CB$21:$CH$21,1,CR231)*(1+INDEX('Lease Cycles'!$CI$21:$CO$21,1,CR231))^INT(INT(CR232/12)/INDEX('Lease Cycles'!$CP$21:$CV$21,1,CR231))/12)))),'Lease Cycles'!$C$21*INDEX('Lease Cycles'!$CB$21:$CH$21,1,CR231)*(1+INDEX('Lease Cycles'!$CI$21:$CO$21,1,CR231))^INT(INT(CR232/12)/INDEX('Lease Cycles'!$CP$21:$CV$21,1,CR231))/12),IF(INDEX('Lease Cycles'!$EF$21:$EL$21,1,CR231)=1,IF(AND('Lease Cycles'!$AZ$21&gt;=INDEX('Lease Cycles'!$BG$21:$BM$21,1,CR231),'Lease Cycles'!$AZ$21&lt;=CR$6),'Lease Cycles'!$C$21*'Lease Cycles'!$BA$21/12,IF(AND('Lease Cycles'!$AX$21&gt;=INDEX('Lease Cycles'!$BG$21:$BM$21,1,CR231),'Lease Cycles'!$AX$21&lt;=CR$6),'Lease Cycles'!$C$21*'Lease Cycles'!$AY$21/12,IF(AND('Lease Cycles'!$AV$21&gt;=INDEX('Lease Cycles'!$BG$21:$BM$21,1,CR231),'Lease Cycles'!$AV$21&lt;=CR$6),'Lease Cycles'!$C$21*'Lease Cycles'!$AW$21/12,IF(AND('Lease Cycles'!$AT$21&gt;=INDEX('Lease Cycles'!$BG$21:$BM$21,1,CR231),'Lease Cycles'!$AT$21&lt;=CR$6),'Lease Cycles'!$C$21*'Lease Cycles'!$AU$21/12,'Lease Cycles'!$C$21*INDEX('Lease Cycles'!$CB$21:$CH$21,1,CR231)*(1+INDEX('Lease Cycles'!$CI$21:$CO$21,1,CR231))^INT(INT(CR232/12)/INDEX('Lease Cycles'!$CP$21:$CV$21,1,CR231))/12)))),'Lease Cycles'!$C$21*INDEX('Lease Cycles'!$CB$21:$CH$21,1,CR231)*(1+INDEX('Lease Cycles'!$CI$21:$CO$21,1,CR231))^INT(INT(CR232/12)/INDEX('Lease Cycles'!$CP$21:$CV$21,1,CR231))/12))),IF('Lease Cycles'!$N$21=1,'Lease Cycles'!$C$21*'Lease Cycles'!$E$21*INDEX('Lease Cycles'!$HE$21:$HK$21,1,CR231)*(1+INDEX('Lease Cycles'!$GQ$21:$GW$21,1,CR231))^INT(INT((CR$6-INDEX('Lease Cycles'!$GJ$21:$GP$21,1,CR231))/12)/INDEX('Lease Cycles'!$GX$21:$HD$21,1,CR231))/12,0)))</f>
        <v>0</v>
      </c>
      <c r="CS234" s="28">
        <f>IF(CS231=0,IF('Lease Cycles'!$F$21&gt;0,'Lease Cycles'!$C$21*'Lease Cycles'!$E$21/12,0),IF(CS233=1,IF('Lease Cycles'!$AT$21&gt;=9999,'Lease Cycles'!$C$21*INDEX('Lease Cycles'!$CB$21:$CH$21,1,CS231)*(1+INDEX('Lease Cycles'!$CI$21:$CO$21,1,CS231))^INT(INT(CS232/12)/INDEX('Lease Cycles'!$CP$21:$CV$21,1,CS231))/12,IF(CS231=1,IF(CS232&gt;=INDEX('Lease Cycles'!$DK$21:$DQ$21,1,CS231),IF(CS$6&gt;='Lease Cycles'!$AZ$21,'Lease Cycles'!$C$21*'Lease Cycles'!$BA$21/12,IF(CS$6&gt;='Lease Cycles'!$AX$21,'Lease Cycles'!$C$21*'Lease Cycles'!$AY$21/12,IF(CS$6&gt;='Lease Cycles'!$AV$21,'Lease Cycles'!$C$21*'Lease Cycles'!$AW$21/12,IF(CS$6&gt;='Lease Cycles'!$AT$21,'Lease Cycles'!$C$21*'Lease Cycles'!$AU$21/12,'Lease Cycles'!$C$21*INDEX('Lease Cycles'!$CB$21:$CH$21,1,CS231)*(1+INDEX('Lease Cycles'!$CI$21:$CO$21,1,CS231))^INT(INT(CS232/12)/INDEX('Lease Cycles'!$CP$21:$CV$21,1,CS231))/12)))),'Lease Cycles'!$C$21*INDEX('Lease Cycles'!$CB$21:$CH$21,1,CS231)*(1+INDEX('Lease Cycles'!$CI$21:$CO$21,1,CS231))^INT(INT(CS232/12)/INDEX('Lease Cycles'!$CP$21:$CV$21,1,CS231))/12),IF(INDEX('Lease Cycles'!$EF$21:$EL$21,1,CS231)=1,IF(AND('Lease Cycles'!$AZ$21&gt;=INDEX('Lease Cycles'!$BG$21:$BM$21,1,CS231),'Lease Cycles'!$AZ$21&lt;=CS$6),'Lease Cycles'!$C$21*'Lease Cycles'!$BA$21/12,IF(AND('Lease Cycles'!$AX$21&gt;=INDEX('Lease Cycles'!$BG$21:$BM$21,1,CS231),'Lease Cycles'!$AX$21&lt;=CS$6),'Lease Cycles'!$C$21*'Lease Cycles'!$AY$21/12,IF(AND('Lease Cycles'!$AV$21&gt;=INDEX('Lease Cycles'!$BG$21:$BM$21,1,CS231),'Lease Cycles'!$AV$21&lt;=CS$6),'Lease Cycles'!$C$21*'Lease Cycles'!$AW$21/12,IF(AND('Lease Cycles'!$AT$21&gt;=INDEX('Lease Cycles'!$BG$21:$BM$21,1,CS231),'Lease Cycles'!$AT$21&lt;=CS$6),'Lease Cycles'!$C$21*'Lease Cycles'!$AU$21/12,'Lease Cycles'!$C$21*INDEX('Lease Cycles'!$CB$21:$CH$21,1,CS231)*(1+INDEX('Lease Cycles'!$CI$21:$CO$21,1,CS231))^INT(INT(CS232/12)/INDEX('Lease Cycles'!$CP$21:$CV$21,1,CS231))/12)))),'Lease Cycles'!$C$21*INDEX('Lease Cycles'!$CB$21:$CH$21,1,CS231)*(1+INDEX('Lease Cycles'!$CI$21:$CO$21,1,CS231))^INT(INT(CS232/12)/INDEX('Lease Cycles'!$CP$21:$CV$21,1,CS231))/12))),IF('Lease Cycles'!$N$21=1,'Lease Cycles'!$C$21*'Lease Cycles'!$E$21*INDEX('Lease Cycles'!$HE$21:$HK$21,1,CS231)*(1+INDEX('Lease Cycles'!$GQ$21:$GW$21,1,CS231))^INT(INT((CS$6-INDEX('Lease Cycles'!$GJ$21:$GP$21,1,CS231))/12)/INDEX('Lease Cycles'!$GX$21:$HD$21,1,CS231))/12,0)))</f>
        <v>0</v>
      </c>
      <c r="CT234" s="28">
        <f>IF(CT231=0,IF('Lease Cycles'!$F$21&gt;0,'Lease Cycles'!$C$21*'Lease Cycles'!$E$21/12,0),IF(CT233=1,IF('Lease Cycles'!$AT$21&gt;=9999,'Lease Cycles'!$C$21*INDEX('Lease Cycles'!$CB$21:$CH$21,1,CT231)*(1+INDEX('Lease Cycles'!$CI$21:$CO$21,1,CT231))^INT(INT(CT232/12)/INDEX('Lease Cycles'!$CP$21:$CV$21,1,CT231))/12,IF(CT231=1,IF(CT232&gt;=INDEX('Lease Cycles'!$DK$21:$DQ$21,1,CT231),IF(CT$6&gt;='Lease Cycles'!$AZ$21,'Lease Cycles'!$C$21*'Lease Cycles'!$BA$21/12,IF(CT$6&gt;='Lease Cycles'!$AX$21,'Lease Cycles'!$C$21*'Lease Cycles'!$AY$21/12,IF(CT$6&gt;='Lease Cycles'!$AV$21,'Lease Cycles'!$C$21*'Lease Cycles'!$AW$21/12,IF(CT$6&gt;='Lease Cycles'!$AT$21,'Lease Cycles'!$C$21*'Lease Cycles'!$AU$21/12,'Lease Cycles'!$C$21*INDEX('Lease Cycles'!$CB$21:$CH$21,1,CT231)*(1+INDEX('Lease Cycles'!$CI$21:$CO$21,1,CT231))^INT(INT(CT232/12)/INDEX('Lease Cycles'!$CP$21:$CV$21,1,CT231))/12)))),'Lease Cycles'!$C$21*INDEX('Lease Cycles'!$CB$21:$CH$21,1,CT231)*(1+INDEX('Lease Cycles'!$CI$21:$CO$21,1,CT231))^INT(INT(CT232/12)/INDEX('Lease Cycles'!$CP$21:$CV$21,1,CT231))/12),IF(INDEX('Lease Cycles'!$EF$21:$EL$21,1,CT231)=1,IF(AND('Lease Cycles'!$AZ$21&gt;=INDEX('Lease Cycles'!$BG$21:$BM$21,1,CT231),'Lease Cycles'!$AZ$21&lt;=CT$6),'Lease Cycles'!$C$21*'Lease Cycles'!$BA$21/12,IF(AND('Lease Cycles'!$AX$21&gt;=INDEX('Lease Cycles'!$BG$21:$BM$21,1,CT231),'Lease Cycles'!$AX$21&lt;=CT$6),'Lease Cycles'!$C$21*'Lease Cycles'!$AY$21/12,IF(AND('Lease Cycles'!$AV$21&gt;=INDEX('Lease Cycles'!$BG$21:$BM$21,1,CT231),'Lease Cycles'!$AV$21&lt;=CT$6),'Lease Cycles'!$C$21*'Lease Cycles'!$AW$21/12,IF(AND('Lease Cycles'!$AT$21&gt;=INDEX('Lease Cycles'!$BG$21:$BM$21,1,CT231),'Lease Cycles'!$AT$21&lt;=CT$6),'Lease Cycles'!$C$21*'Lease Cycles'!$AU$21/12,'Lease Cycles'!$C$21*INDEX('Lease Cycles'!$CB$21:$CH$21,1,CT231)*(1+INDEX('Lease Cycles'!$CI$21:$CO$21,1,CT231))^INT(INT(CT232/12)/INDEX('Lease Cycles'!$CP$21:$CV$21,1,CT231))/12)))),'Lease Cycles'!$C$21*INDEX('Lease Cycles'!$CB$21:$CH$21,1,CT231)*(1+INDEX('Lease Cycles'!$CI$21:$CO$21,1,CT231))^INT(INT(CT232/12)/INDEX('Lease Cycles'!$CP$21:$CV$21,1,CT231))/12))),IF('Lease Cycles'!$N$21=1,'Lease Cycles'!$C$21*'Lease Cycles'!$E$21*INDEX('Lease Cycles'!$HE$21:$HK$21,1,CT231)*(1+INDEX('Lease Cycles'!$GQ$21:$GW$21,1,CT231))^INT(INT((CT$6-INDEX('Lease Cycles'!$GJ$21:$GP$21,1,CT231))/12)/INDEX('Lease Cycles'!$GX$21:$HD$21,1,CT231))/12,0)))</f>
        <v>0</v>
      </c>
      <c r="CU234" s="28">
        <f>IF(CU231=0,IF('Lease Cycles'!$F$21&gt;0,'Lease Cycles'!$C$21*'Lease Cycles'!$E$21/12,0),IF(CU233=1,IF('Lease Cycles'!$AT$21&gt;=9999,'Lease Cycles'!$C$21*INDEX('Lease Cycles'!$CB$21:$CH$21,1,CU231)*(1+INDEX('Lease Cycles'!$CI$21:$CO$21,1,CU231))^INT(INT(CU232/12)/INDEX('Lease Cycles'!$CP$21:$CV$21,1,CU231))/12,IF(CU231=1,IF(CU232&gt;=INDEX('Lease Cycles'!$DK$21:$DQ$21,1,CU231),IF(CU$6&gt;='Lease Cycles'!$AZ$21,'Lease Cycles'!$C$21*'Lease Cycles'!$BA$21/12,IF(CU$6&gt;='Lease Cycles'!$AX$21,'Lease Cycles'!$C$21*'Lease Cycles'!$AY$21/12,IF(CU$6&gt;='Lease Cycles'!$AV$21,'Lease Cycles'!$C$21*'Lease Cycles'!$AW$21/12,IF(CU$6&gt;='Lease Cycles'!$AT$21,'Lease Cycles'!$C$21*'Lease Cycles'!$AU$21/12,'Lease Cycles'!$C$21*INDEX('Lease Cycles'!$CB$21:$CH$21,1,CU231)*(1+INDEX('Lease Cycles'!$CI$21:$CO$21,1,CU231))^INT(INT(CU232/12)/INDEX('Lease Cycles'!$CP$21:$CV$21,1,CU231))/12)))),'Lease Cycles'!$C$21*INDEX('Lease Cycles'!$CB$21:$CH$21,1,CU231)*(1+INDEX('Lease Cycles'!$CI$21:$CO$21,1,CU231))^INT(INT(CU232/12)/INDEX('Lease Cycles'!$CP$21:$CV$21,1,CU231))/12),IF(INDEX('Lease Cycles'!$EF$21:$EL$21,1,CU231)=1,IF(AND('Lease Cycles'!$AZ$21&gt;=INDEX('Lease Cycles'!$BG$21:$BM$21,1,CU231),'Lease Cycles'!$AZ$21&lt;=CU$6),'Lease Cycles'!$C$21*'Lease Cycles'!$BA$21/12,IF(AND('Lease Cycles'!$AX$21&gt;=INDEX('Lease Cycles'!$BG$21:$BM$21,1,CU231),'Lease Cycles'!$AX$21&lt;=CU$6),'Lease Cycles'!$C$21*'Lease Cycles'!$AY$21/12,IF(AND('Lease Cycles'!$AV$21&gt;=INDEX('Lease Cycles'!$BG$21:$BM$21,1,CU231),'Lease Cycles'!$AV$21&lt;=CU$6),'Lease Cycles'!$C$21*'Lease Cycles'!$AW$21/12,IF(AND('Lease Cycles'!$AT$21&gt;=INDEX('Lease Cycles'!$BG$21:$BM$21,1,CU231),'Lease Cycles'!$AT$21&lt;=CU$6),'Lease Cycles'!$C$21*'Lease Cycles'!$AU$21/12,'Lease Cycles'!$C$21*INDEX('Lease Cycles'!$CB$21:$CH$21,1,CU231)*(1+INDEX('Lease Cycles'!$CI$21:$CO$21,1,CU231))^INT(INT(CU232/12)/INDEX('Lease Cycles'!$CP$21:$CV$21,1,CU231))/12)))),'Lease Cycles'!$C$21*INDEX('Lease Cycles'!$CB$21:$CH$21,1,CU231)*(1+INDEX('Lease Cycles'!$CI$21:$CO$21,1,CU231))^INT(INT(CU232/12)/INDEX('Lease Cycles'!$CP$21:$CV$21,1,CU231))/12))),IF('Lease Cycles'!$N$21=1,'Lease Cycles'!$C$21*'Lease Cycles'!$E$21*INDEX('Lease Cycles'!$HE$21:$HK$21,1,CU231)*(1+INDEX('Lease Cycles'!$GQ$21:$GW$21,1,CU231))^INT(INT((CU$6-INDEX('Lease Cycles'!$GJ$21:$GP$21,1,CU231))/12)/INDEX('Lease Cycles'!$GX$21:$HD$21,1,CU231))/12,0)))</f>
        <v>0</v>
      </c>
      <c r="CV234" s="28">
        <f>IF(CV231=0,IF('Lease Cycles'!$F$21&gt;0,'Lease Cycles'!$C$21*'Lease Cycles'!$E$21/12,0),IF(CV233=1,IF('Lease Cycles'!$AT$21&gt;=9999,'Lease Cycles'!$C$21*INDEX('Lease Cycles'!$CB$21:$CH$21,1,CV231)*(1+INDEX('Lease Cycles'!$CI$21:$CO$21,1,CV231))^INT(INT(CV232/12)/INDEX('Lease Cycles'!$CP$21:$CV$21,1,CV231))/12,IF(CV231=1,IF(CV232&gt;=INDEX('Lease Cycles'!$DK$21:$DQ$21,1,CV231),IF(CV$6&gt;='Lease Cycles'!$AZ$21,'Lease Cycles'!$C$21*'Lease Cycles'!$BA$21/12,IF(CV$6&gt;='Lease Cycles'!$AX$21,'Lease Cycles'!$C$21*'Lease Cycles'!$AY$21/12,IF(CV$6&gt;='Lease Cycles'!$AV$21,'Lease Cycles'!$C$21*'Lease Cycles'!$AW$21/12,IF(CV$6&gt;='Lease Cycles'!$AT$21,'Lease Cycles'!$C$21*'Lease Cycles'!$AU$21/12,'Lease Cycles'!$C$21*INDEX('Lease Cycles'!$CB$21:$CH$21,1,CV231)*(1+INDEX('Lease Cycles'!$CI$21:$CO$21,1,CV231))^INT(INT(CV232/12)/INDEX('Lease Cycles'!$CP$21:$CV$21,1,CV231))/12)))),'Lease Cycles'!$C$21*INDEX('Lease Cycles'!$CB$21:$CH$21,1,CV231)*(1+INDEX('Lease Cycles'!$CI$21:$CO$21,1,CV231))^INT(INT(CV232/12)/INDEX('Lease Cycles'!$CP$21:$CV$21,1,CV231))/12),IF(INDEX('Lease Cycles'!$EF$21:$EL$21,1,CV231)=1,IF(AND('Lease Cycles'!$AZ$21&gt;=INDEX('Lease Cycles'!$BG$21:$BM$21,1,CV231),'Lease Cycles'!$AZ$21&lt;=CV$6),'Lease Cycles'!$C$21*'Lease Cycles'!$BA$21/12,IF(AND('Lease Cycles'!$AX$21&gt;=INDEX('Lease Cycles'!$BG$21:$BM$21,1,CV231),'Lease Cycles'!$AX$21&lt;=CV$6),'Lease Cycles'!$C$21*'Lease Cycles'!$AY$21/12,IF(AND('Lease Cycles'!$AV$21&gt;=INDEX('Lease Cycles'!$BG$21:$BM$21,1,CV231),'Lease Cycles'!$AV$21&lt;=CV$6),'Lease Cycles'!$C$21*'Lease Cycles'!$AW$21/12,IF(AND('Lease Cycles'!$AT$21&gt;=INDEX('Lease Cycles'!$BG$21:$BM$21,1,CV231),'Lease Cycles'!$AT$21&lt;=CV$6),'Lease Cycles'!$C$21*'Lease Cycles'!$AU$21/12,'Lease Cycles'!$C$21*INDEX('Lease Cycles'!$CB$21:$CH$21,1,CV231)*(1+INDEX('Lease Cycles'!$CI$21:$CO$21,1,CV231))^INT(INT(CV232/12)/INDEX('Lease Cycles'!$CP$21:$CV$21,1,CV231))/12)))),'Lease Cycles'!$C$21*INDEX('Lease Cycles'!$CB$21:$CH$21,1,CV231)*(1+INDEX('Lease Cycles'!$CI$21:$CO$21,1,CV231))^INT(INT(CV232/12)/INDEX('Lease Cycles'!$CP$21:$CV$21,1,CV231))/12))),IF('Lease Cycles'!$N$21=1,'Lease Cycles'!$C$21*'Lease Cycles'!$E$21*INDEX('Lease Cycles'!$HE$21:$HK$21,1,CV231)*(1+INDEX('Lease Cycles'!$GQ$21:$GW$21,1,CV231))^INT(INT((CV$6-INDEX('Lease Cycles'!$GJ$21:$GP$21,1,CV231))/12)/INDEX('Lease Cycles'!$GX$21:$HD$21,1,CV231))/12,0)))</f>
        <v>0</v>
      </c>
      <c r="CW234" s="28">
        <f>IF(CW231=0,IF('Lease Cycles'!$F$21&gt;0,'Lease Cycles'!$C$21*'Lease Cycles'!$E$21/12,0),IF(CW233=1,IF('Lease Cycles'!$AT$21&gt;=9999,'Lease Cycles'!$C$21*INDEX('Lease Cycles'!$CB$21:$CH$21,1,CW231)*(1+INDEX('Lease Cycles'!$CI$21:$CO$21,1,CW231))^INT(INT(CW232/12)/INDEX('Lease Cycles'!$CP$21:$CV$21,1,CW231))/12,IF(CW231=1,IF(CW232&gt;=INDEX('Lease Cycles'!$DK$21:$DQ$21,1,CW231),IF(CW$6&gt;='Lease Cycles'!$AZ$21,'Lease Cycles'!$C$21*'Lease Cycles'!$BA$21/12,IF(CW$6&gt;='Lease Cycles'!$AX$21,'Lease Cycles'!$C$21*'Lease Cycles'!$AY$21/12,IF(CW$6&gt;='Lease Cycles'!$AV$21,'Lease Cycles'!$C$21*'Lease Cycles'!$AW$21/12,IF(CW$6&gt;='Lease Cycles'!$AT$21,'Lease Cycles'!$C$21*'Lease Cycles'!$AU$21/12,'Lease Cycles'!$C$21*INDEX('Lease Cycles'!$CB$21:$CH$21,1,CW231)*(1+INDEX('Lease Cycles'!$CI$21:$CO$21,1,CW231))^INT(INT(CW232/12)/INDEX('Lease Cycles'!$CP$21:$CV$21,1,CW231))/12)))),'Lease Cycles'!$C$21*INDEX('Lease Cycles'!$CB$21:$CH$21,1,CW231)*(1+INDEX('Lease Cycles'!$CI$21:$CO$21,1,CW231))^INT(INT(CW232/12)/INDEX('Lease Cycles'!$CP$21:$CV$21,1,CW231))/12),IF(INDEX('Lease Cycles'!$EF$21:$EL$21,1,CW231)=1,IF(AND('Lease Cycles'!$AZ$21&gt;=INDEX('Lease Cycles'!$BG$21:$BM$21,1,CW231),'Lease Cycles'!$AZ$21&lt;=CW$6),'Lease Cycles'!$C$21*'Lease Cycles'!$BA$21/12,IF(AND('Lease Cycles'!$AX$21&gt;=INDEX('Lease Cycles'!$BG$21:$BM$21,1,CW231),'Lease Cycles'!$AX$21&lt;=CW$6),'Lease Cycles'!$C$21*'Lease Cycles'!$AY$21/12,IF(AND('Lease Cycles'!$AV$21&gt;=INDEX('Lease Cycles'!$BG$21:$BM$21,1,CW231),'Lease Cycles'!$AV$21&lt;=CW$6),'Lease Cycles'!$C$21*'Lease Cycles'!$AW$21/12,IF(AND('Lease Cycles'!$AT$21&gt;=INDEX('Lease Cycles'!$BG$21:$BM$21,1,CW231),'Lease Cycles'!$AT$21&lt;=CW$6),'Lease Cycles'!$C$21*'Lease Cycles'!$AU$21/12,'Lease Cycles'!$C$21*INDEX('Lease Cycles'!$CB$21:$CH$21,1,CW231)*(1+INDEX('Lease Cycles'!$CI$21:$CO$21,1,CW231))^INT(INT(CW232/12)/INDEX('Lease Cycles'!$CP$21:$CV$21,1,CW231))/12)))),'Lease Cycles'!$C$21*INDEX('Lease Cycles'!$CB$21:$CH$21,1,CW231)*(1+INDEX('Lease Cycles'!$CI$21:$CO$21,1,CW231))^INT(INT(CW232/12)/INDEX('Lease Cycles'!$CP$21:$CV$21,1,CW231))/12))),IF('Lease Cycles'!$N$21=1,'Lease Cycles'!$C$21*'Lease Cycles'!$E$21*INDEX('Lease Cycles'!$HE$21:$HK$21,1,CW231)*(1+INDEX('Lease Cycles'!$GQ$21:$GW$21,1,CW231))^INT(INT((CW$6-INDEX('Lease Cycles'!$GJ$21:$GP$21,1,CW231))/12)/INDEX('Lease Cycles'!$GX$21:$HD$21,1,CW231))/12,0)))</f>
        <v>0</v>
      </c>
      <c r="CX234" s="28">
        <f>IF(CX231=0,IF('Lease Cycles'!$F$21&gt;0,'Lease Cycles'!$C$21*'Lease Cycles'!$E$21/12,0),IF(CX233=1,IF('Lease Cycles'!$AT$21&gt;=9999,'Lease Cycles'!$C$21*INDEX('Lease Cycles'!$CB$21:$CH$21,1,CX231)*(1+INDEX('Lease Cycles'!$CI$21:$CO$21,1,CX231))^INT(INT(CX232/12)/INDEX('Lease Cycles'!$CP$21:$CV$21,1,CX231))/12,IF(CX231=1,IF(CX232&gt;=INDEX('Lease Cycles'!$DK$21:$DQ$21,1,CX231),IF(CX$6&gt;='Lease Cycles'!$AZ$21,'Lease Cycles'!$C$21*'Lease Cycles'!$BA$21/12,IF(CX$6&gt;='Lease Cycles'!$AX$21,'Lease Cycles'!$C$21*'Lease Cycles'!$AY$21/12,IF(CX$6&gt;='Lease Cycles'!$AV$21,'Lease Cycles'!$C$21*'Lease Cycles'!$AW$21/12,IF(CX$6&gt;='Lease Cycles'!$AT$21,'Lease Cycles'!$C$21*'Lease Cycles'!$AU$21/12,'Lease Cycles'!$C$21*INDEX('Lease Cycles'!$CB$21:$CH$21,1,CX231)*(1+INDEX('Lease Cycles'!$CI$21:$CO$21,1,CX231))^INT(INT(CX232/12)/INDEX('Lease Cycles'!$CP$21:$CV$21,1,CX231))/12)))),'Lease Cycles'!$C$21*INDEX('Lease Cycles'!$CB$21:$CH$21,1,CX231)*(1+INDEX('Lease Cycles'!$CI$21:$CO$21,1,CX231))^INT(INT(CX232/12)/INDEX('Lease Cycles'!$CP$21:$CV$21,1,CX231))/12),IF(INDEX('Lease Cycles'!$EF$21:$EL$21,1,CX231)=1,IF(AND('Lease Cycles'!$AZ$21&gt;=INDEX('Lease Cycles'!$BG$21:$BM$21,1,CX231),'Lease Cycles'!$AZ$21&lt;=CX$6),'Lease Cycles'!$C$21*'Lease Cycles'!$BA$21/12,IF(AND('Lease Cycles'!$AX$21&gt;=INDEX('Lease Cycles'!$BG$21:$BM$21,1,CX231),'Lease Cycles'!$AX$21&lt;=CX$6),'Lease Cycles'!$C$21*'Lease Cycles'!$AY$21/12,IF(AND('Lease Cycles'!$AV$21&gt;=INDEX('Lease Cycles'!$BG$21:$BM$21,1,CX231),'Lease Cycles'!$AV$21&lt;=CX$6),'Lease Cycles'!$C$21*'Lease Cycles'!$AW$21/12,IF(AND('Lease Cycles'!$AT$21&gt;=INDEX('Lease Cycles'!$BG$21:$BM$21,1,CX231),'Lease Cycles'!$AT$21&lt;=CX$6),'Lease Cycles'!$C$21*'Lease Cycles'!$AU$21/12,'Lease Cycles'!$C$21*INDEX('Lease Cycles'!$CB$21:$CH$21,1,CX231)*(1+INDEX('Lease Cycles'!$CI$21:$CO$21,1,CX231))^INT(INT(CX232/12)/INDEX('Lease Cycles'!$CP$21:$CV$21,1,CX231))/12)))),'Lease Cycles'!$C$21*INDEX('Lease Cycles'!$CB$21:$CH$21,1,CX231)*(1+INDEX('Lease Cycles'!$CI$21:$CO$21,1,CX231))^INT(INT(CX232/12)/INDEX('Lease Cycles'!$CP$21:$CV$21,1,CX231))/12))),IF('Lease Cycles'!$N$21=1,'Lease Cycles'!$C$21*'Lease Cycles'!$E$21*INDEX('Lease Cycles'!$HE$21:$HK$21,1,CX231)*(1+INDEX('Lease Cycles'!$GQ$21:$GW$21,1,CX231))^INT(INT((CX$6-INDEX('Lease Cycles'!$GJ$21:$GP$21,1,CX231))/12)/INDEX('Lease Cycles'!$GX$21:$HD$21,1,CX231))/12,0)))</f>
        <v>0</v>
      </c>
      <c r="CY234" s="28">
        <f>IF(CY231=0,IF('Lease Cycles'!$F$21&gt;0,'Lease Cycles'!$C$21*'Lease Cycles'!$E$21/12,0),IF(CY233=1,IF('Lease Cycles'!$AT$21&gt;=9999,'Lease Cycles'!$C$21*INDEX('Lease Cycles'!$CB$21:$CH$21,1,CY231)*(1+INDEX('Lease Cycles'!$CI$21:$CO$21,1,CY231))^INT(INT(CY232/12)/INDEX('Lease Cycles'!$CP$21:$CV$21,1,CY231))/12,IF(CY231=1,IF(CY232&gt;=INDEX('Lease Cycles'!$DK$21:$DQ$21,1,CY231),IF(CY$6&gt;='Lease Cycles'!$AZ$21,'Lease Cycles'!$C$21*'Lease Cycles'!$BA$21/12,IF(CY$6&gt;='Lease Cycles'!$AX$21,'Lease Cycles'!$C$21*'Lease Cycles'!$AY$21/12,IF(CY$6&gt;='Lease Cycles'!$AV$21,'Lease Cycles'!$C$21*'Lease Cycles'!$AW$21/12,IF(CY$6&gt;='Lease Cycles'!$AT$21,'Lease Cycles'!$C$21*'Lease Cycles'!$AU$21/12,'Lease Cycles'!$C$21*INDEX('Lease Cycles'!$CB$21:$CH$21,1,CY231)*(1+INDEX('Lease Cycles'!$CI$21:$CO$21,1,CY231))^INT(INT(CY232/12)/INDEX('Lease Cycles'!$CP$21:$CV$21,1,CY231))/12)))),'Lease Cycles'!$C$21*INDEX('Lease Cycles'!$CB$21:$CH$21,1,CY231)*(1+INDEX('Lease Cycles'!$CI$21:$CO$21,1,CY231))^INT(INT(CY232/12)/INDEX('Lease Cycles'!$CP$21:$CV$21,1,CY231))/12),IF(INDEX('Lease Cycles'!$EF$21:$EL$21,1,CY231)=1,IF(AND('Lease Cycles'!$AZ$21&gt;=INDEX('Lease Cycles'!$BG$21:$BM$21,1,CY231),'Lease Cycles'!$AZ$21&lt;=CY$6),'Lease Cycles'!$C$21*'Lease Cycles'!$BA$21/12,IF(AND('Lease Cycles'!$AX$21&gt;=INDEX('Lease Cycles'!$BG$21:$BM$21,1,CY231),'Lease Cycles'!$AX$21&lt;=CY$6),'Lease Cycles'!$C$21*'Lease Cycles'!$AY$21/12,IF(AND('Lease Cycles'!$AV$21&gt;=INDEX('Lease Cycles'!$BG$21:$BM$21,1,CY231),'Lease Cycles'!$AV$21&lt;=CY$6),'Lease Cycles'!$C$21*'Lease Cycles'!$AW$21/12,IF(AND('Lease Cycles'!$AT$21&gt;=INDEX('Lease Cycles'!$BG$21:$BM$21,1,CY231),'Lease Cycles'!$AT$21&lt;=CY$6),'Lease Cycles'!$C$21*'Lease Cycles'!$AU$21/12,'Lease Cycles'!$C$21*INDEX('Lease Cycles'!$CB$21:$CH$21,1,CY231)*(1+INDEX('Lease Cycles'!$CI$21:$CO$21,1,CY231))^INT(INT(CY232/12)/INDEX('Lease Cycles'!$CP$21:$CV$21,1,CY231))/12)))),'Lease Cycles'!$C$21*INDEX('Lease Cycles'!$CB$21:$CH$21,1,CY231)*(1+INDEX('Lease Cycles'!$CI$21:$CO$21,1,CY231))^INT(INT(CY232/12)/INDEX('Lease Cycles'!$CP$21:$CV$21,1,CY231))/12))),IF('Lease Cycles'!$N$21=1,'Lease Cycles'!$C$21*'Lease Cycles'!$E$21*INDEX('Lease Cycles'!$HE$21:$HK$21,1,CY231)*(1+INDEX('Lease Cycles'!$GQ$21:$GW$21,1,CY231))^INT(INT((CY$6-INDEX('Lease Cycles'!$GJ$21:$GP$21,1,CY231))/12)/INDEX('Lease Cycles'!$GX$21:$HD$21,1,CY231))/12,0)))</f>
        <v>0</v>
      </c>
      <c r="CZ234" s="28">
        <f>IF(CZ231=0,IF('Lease Cycles'!$F$21&gt;0,'Lease Cycles'!$C$21*'Lease Cycles'!$E$21/12,0),IF(CZ233=1,IF('Lease Cycles'!$AT$21&gt;=9999,'Lease Cycles'!$C$21*INDEX('Lease Cycles'!$CB$21:$CH$21,1,CZ231)*(1+INDEX('Lease Cycles'!$CI$21:$CO$21,1,CZ231))^INT(INT(CZ232/12)/INDEX('Lease Cycles'!$CP$21:$CV$21,1,CZ231))/12,IF(CZ231=1,IF(CZ232&gt;=INDEX('Lease Cycles'!$DK$21:$DQ$21,1,CZ231),IF(CZ$6&gt;='Lease Cycles'!$AZ$21,'Lease Cycles'!$C$21*'Lease Cycles'!$BA$21/12,IF(CZ$6&gt;='Lease Cycles'!$AX$21,'Lease Cycles'!$C$21*'Lease Cycles'!$AY$21/12,IF(CZ$6&gt;='Lease Cycles'!$AV$21,'Lease Cycles'!$C$21*'Lease Cycles'!$AW$21/12,IF(CZ$6&gt;='Lease Cycles'!$AT$21,'Lease Cycles'!$C$21*'Lease Cycles'!$AU$21/12,'Lease Cycles'!$C$21*INDEX('Lease Cycles'!$CB$21:$CH$21,1,CZ231)*(1+INDEX('Lease Cycles'!$CI$21:$CO$21,1,CZ231))^INT(INT(CZ232/12)/INDEX('Lease Cycles'!$CP$21:$CV$21,1,CZ231))/12)))),'Lease Cycles'!$C$21*INDEX('Lease Cycles'!$CB$21:$CH$21,1,CZ231)*(1+INDEX('Lease Cycles'!$CI$21:$CO$21,1,CZ231))^INT(INT(CZ232/12)/INDEX('Lease Cycles'!$CP$21:$CV$21,1,CZ231))/12),IF(INDEX('Lease Cycles'!$EF$21:$EL$21,1,CZ231)=1,IF(AND('Lease Cycles'!$AZ$21&gt;=INDEX('Lease Cycles'!$BG$21:$BM$21,1,CZ231),'Lease Cycles'!$AZ$21&lt;=CZ$6),'Lease Cycles'!$C$21*'Lease Cycles'!$BA$21/12,IF(AND('Lease Cycles'!$AX$21&gt;=INDEX('Lease Cycles'!$BG$21:$BM$21,1,CZ231),'Lease Cycles'!$AX$21&lt;=CZ$6),'Lease Cycles'!$C$21*'Lease Cycles'!$AY$21/12,IF(AND('Lease Cycles'!$AV$21&gt;=INDEX('Lease Cycles'!$BG$21:$BM$21,1,CZ231),'Lease Cycles'!$AV$21&lt;=CZ$6),'Lease Cycles'!$C$21*'Lease Cycles'!$AW$21/12,IF(AND('Lease Cycles'!$AT$21&gt;=INDEX('Lease Cycles'!$BG$21:$BM$21,1,CZ231),'Lease Cycles'!$AT$21&lt;=CZ$6),'Lease Cycles'!$C$21*'Lease Cycles'!$AU$21/12,'Lease Cycles'!$C$21*INDEX('Lease Cycles'!$CB$21:$CH$21,1,CZ231)*(1+INDEX('Lease Cycles'!$CI$21:$CO$21,1,CZ231))^INT(INT(CZ232/12)/INDEX('Lease Cycles'!$CP$21:$CV$21,1,CZ231))/12)))),'Lease Cycles'!$C$21*INDEX('Lease Cycles'!$CB$21:$CH$21,1,CZ231)*(1+INDEX('Lease Cycles'!$CI$21:$CO$21,1,CZ231))^INT(INT(CZ232/12)/INDEX('Lease Cycles'!$CP$21:$CV$21,1,CZ231))/12))),IF('Lease Cycles'!$N$21=1,'Lease Cycles'!$C$21*'Lease Cycles'!$E$21*INDEX('Lease Cycles'!$HE$21:$HK$21,1,CZ231)*(1+INDEX('Lease Cycles'!$GQ$21:$GW$21,1,CZ231))^INT(INT((CZ$6-INDEX('Lease Cycles'!$GJ$21:$GP$21,1,CZ231))/12)/INDEX('Lease Cycles'!$GX$21:$HD$21,1,CZ231))/12,0)))</f>
        <v>0</v>
      </c>
      <c r="DA234" s="28">
        <f>IF(DA231=0,IF('Lease Cycles'!$F$21&gt;0,'Lease Cycles'!$C$21*'Lease Cycles'!$E$21/12,0),IF(DA233=1,IF('Lease Cycles'!$AT$21&gt;=9999,'Lease Cycles'!$C$21*INDEX('Lease Cycles'!$CB$21:$CH$21,1,DA231)*(1+INDEX('Lease Cycles'!$CI$21:$CO$21,1,DA231))^INT(INT(DA232/12)/INDEX('Lease Cycles'!$CP$21:$CV$21,1,DA231))/12,IF(DA231=1,IF(DA232&gt;=INDEX('Lease Cycles'!$DK$21:$DQ$21,1,DA231),IF(DA$6&gt;='Lease Cycles'!$AZ$21,'Lease Cycles'!$C$21*'Lease Cycles'!$BA$21/12,IF(DA$6&gt;='Lease Cycles'!$AX$21,'Lease Cycles'!$C$21*'Lease Cycles'!$AY$21/12,IF(DA$6&gt;='Lease Cycles'!$AV$21,'Lease Cycles'!$C$21*'Lease Cycles'!$AW$21/12,IF(DA$6&gt;='Lease Cycles'!$AT$21,'Lease Cycles'!$C$21*'Lease Cycles'!$AU$21/12,'Lease Cycles'!$C$21*INDEX('Lease Cycles'!$CB$21:$CH$21,1,DA231)*(1+INDEX('Lease Cycles'!$CI$21:$CO$21,1,DA231))^INT(INT(DA232/12)/INDEX('Lease Cycles'!$CP$21:$CV$21,1,DA231))/12)))),'Lease Cycles'!$C$21*INDEX('Lease Cycles'!$CB$21:$CH$21,1,DA231)*(1+INDEX('Lease Cycles'!$CI$21:$CO$21,1,DA231))^INT(INT(DA232/12)/INDEX('Lease Cycles'!$CP$21:$CV$21,1,DA231))/12),IF(INDEX('Lease Cycles'!$EF$21:$EL$21,1,DA231)=1,IF(AND('Lease Cycles'!$AZ$21&gt;=INDEX('Lease Cycles'!$BG$21:$BM$21,1,DA231),'Lease Cycles'!$AZ$21&lt;=DA$6),'Lease Cycles'!$C$21*'Lease Cycles'!$BA$21/12,IF(AND('Lease Cycles'!$AX$21&gt;=INDEX('Lease Cycles'!$BG$21:$BM$21,1,DA231),'Lease Cycles'!$AX$21&lt;=DA$6),'Lease Cycles'!$C$21*'Lease Cycles'!$AY$21/12,IF(AND('Lease Cycles'!$AV$21&gt;=INDEX('Lease Cycles'!$BG$21:$BM$21,1,DA231),'Lease Cycles'!$AV$21&lt;=DA$6),'Lease Cycles'!$C$21*'Lease Cycles'!$AW$21/12,IF(AND('Lease Cycles'!$AT$21&gt;=INDEX('Lease Cycles'!$BG$21:$BM$21,1,DA231),'Lease Cycles'!$AT$21&lt;=DA$6),'Lease Cycles'!$C$21*'Lease Cycles'!$AU$21/12,'Lease Cycles'!$C$21*INDEX('Lease Cycles'!$CB$21:$CH$21,1,DA231)*(1+INDEX('Lease Cycles'!$CI$21:$CO$21,1,DA231))^INT(INT(DA232/12)/INDEX('Lease Cycles'!$CP$21:$CV$21,1,DA231))/12)))),'Lease Cycles'!$C$21*INDEX('Lease Cycles'!$CB$21:$CH$21,1,DA231)*(1+INDEX('Lease Cycles'!$CI$21:$CO$21,1,DA231))^INT(INT(DA232/12)/INDEX('Lease Cycles'!$CP$21:$CV$21,1,DA231))/12))),IF('Lease Cycles'!$N$21=1,'Lease Cycles'!$C$21*'Lease Cycles'!$E$21*INDEX('Lease Cycles'!$HE$21:$HK$21,1,DA231)*(1+INDEX('Lease Cycles'!$GQ$21:$GW$21,1,DA231))^INT(INT((DA$6-INDEX('Lease Cycles'!$GJ$21:$GP$21,1,DA231))/12)/INDEX('Lease Cycles'!$GX$21:$HD$21,1,DA231))/12,0)))</f>
        <v>0</v>
      </c>
      <c r="DB234" s="28">
        <f>IF(DB231=0,IF('Lease Cycles'!$F$21&gt;0,'Lease Cycles'!$C$21*'Lease Cycles'!$E$21/12,0),IF(DB233=1,IF('Lease Cycles'!$AT$21&gt;=9999,'Lease Cycles'!$C$21*INDEX('Lease Cycles'!$CB$21:$CH$21,1,DB231)*(1+INDEX('Lease Cycles'!$CI$21:$CO$21,1,DB231))^INT(INT(DB232/12)/INDEX('Lease Cycles'!$CP$21:$CV$21,1,DB231))/12,IF(DB231=1,IF(DB232&gt;=INDEX('Lease Cycles'!$DK$21:$DQ$21,1,DB231),IF(DB$6&gt;='Lease Cycles'!$AZ$21,'Lease Cycles'!$C$21*'Lease Cycles'!$BA$21/12,IF(DB$6&gt;='Lease Cycles'!$AX$21,'Lease Cycles'!$C$21*'Lease Cycles'!$AY$21/12,IF(DB$6&gt;='Lease Cycles'!$AV$21,'Lease Cycles'!$C$21*'Lease Cycles'!$AW$21/12,IF(DB$6&gt;='Lease Cycles'!$AT$21,'Lease Cycles'!$C$21*'Lease Cycles'!$AU$21/12,'Lease Cycles'!$C$21*INDEX('Lease Cycles'!$CB$21:$CH$21,1,DB231)*(1+INDEX('Lease Cycles'!$CI$21:$CO$21,1,DB231))^INT(INT(DB232/12)/INDEX('Lease Cycles'!$CP$21:$CV$21,1,DB231))/12)))),'Lease Cycles'!$C$21*INDEX('Lease Cycles'!$CB$21:$CH$21,1,DB231)*(1+INDEX('Lease Cycles'!$CI$21:$CO$21,1,DB231))^INT(INT(DB232/12)/INDEX('Lease Cycles'!$CP$21:$CV$21,1,DB231))/12),IF(INDEX('Lease Cycles'!$EF$21:$EL$21,1,DB231)=1,IF(AND('Lease Cycles'!$AZ$21&gt;=INDEX('Lease Cycles'!$BG$21:$BM$21,1,DB231),'Lease Cycles'!$AZ$21&lt;=DB$6),'Lease Cycles'!$C$21*'Lease Cycles'!$BA$21/12,IF(AND('Lease Cycles'!$AX$21&gt;=INDEX('Lease Cycles'!$BG$21:$BM$21,1,DB231),'Lease Cycles'!$AX$21&lt;=DB$6),'Lease Cycles'!$C$21*'Lease Cycles'!$AY$21/12,IF(AND('Lease Cycles'!$AV$21&gt;=INDEX('Lease Cycles'!$BG$21:$BM$21,1,DB231),'Lease Cycles'!$AV$21&lt;=DB$6),'Lease Cycles'!$C$21*'Lease Cycles'!$AW$21/12,IF(AND('Lease Cycles'!$AT$21&gt;=INDEX('Lease Cycles'!$BG$21:$BM$21,1,DB231),'Lease Cycles'!$AT$21&lt;=DB$6),'Lease Cycles'!$C$21*'Lease Cycles'!$AU$21/12,'Lease Cycles'!$C$21*INDEX('Lease Cycles'!$CB$21:$CH$21,1,DB231)*(1+INDEX('Lease Cycles'!$CI$21:$CO$21,1,DB231))^INT(INT(DB232/12)/INDEX('Lease Cycles'!$CP$21:$CV$21,1,DB231))/12)))),'Lease Cycles'!$C$21*INDEX('Lease Cycles'!$CB$21:$CH$21,1,DB231)*(1+INDEX('Lease Cycles'!$CI$21:$CO$21,1,DB231))^INT(INT(DB232/12)/INDEX('Lease Cycles'!$CP$21:$CV$21,1,DB231))/12))),IF('Lease Cycles'!$N$21=1,'Lease Cycles'!$C$21*'Lease Cycles'!$E$21*INDEX('Lease Cycles'!$HE$21:$HK$21,1,DB231)*(1+INDEX('Lease Cycles'!$GQ$21:$GW$21,1,DB231))^INT(INT((DB$6-INDEX('Lease Cycles'!$GJ$21:$GP$21,1,DB231))/12)/INDEX('Lease Cycles'!$GX$21:$HD$21,1,DB231))/12,0)))</f>
        <v>0</v>
      </c>
      <c r="DC234" s="28">
        <f>IF(DC231=0,IF('Lease Cycles'!$F$21&gt;0,'Lease Cycles'!$C$21*'Lease Cycles'!$E$21/12,0),IF(DC233=1,IF('Lease Cycles'!$AT$21&gt;=9999,'Lease Cycles'!$C$21*INDEX('Lease Cycles'!$CB$21:$CH$21,1,DC231)*(1+INDEX('Lease Cycles'!$CI$21:$CO$21,1,DC231))^INT(INT(DC232/12)/INDEX('Lease Cycles'!$CP$21:$CV$21,1,DC231))/12,IF(DC231=1,IF(DC232&gt;=INDEX('Lease Cycles'!$DK$21:$DQ$21,1,DC231),IF(DC$6&gt;='Lease Cycles'!$AZ$21,'Lease Cycles'!$C$21*'Lease Cycles'!$BA$21/12,IF(DC$6&gt;='Lease Cycles'!$AX$21,'Lease Cycles'!$C$21*'Lease Cycles'!$AY$21/12,IF(DC$6&gt;='Lease Cycles'!$AV$21,'Lease Cycles'!$C$21*'Lease Cycles'!$AW$21/12,IF(DC$6&gt;='Lease Cycles'!$AT$21,'Lease Cycles'!$C$21*'Lease Cycles'!$AU$21/12,'Lease Cycles'!$C$21*INDEX('Lease Cycles'!$CB$21:$CH$21,1,DC231)*(1+INDEX('Lease Cycles'!$CI$21:$CO$21,1,DC231))^INT(INT(DC232/12)/INDEX('Lease Cycles'!$CP$21:$CV$21,1,DC231))/12)))),'Lease Cycles'!$C$21*INDEX('Lease Cycles'!$CB$21:$CH$21,1,DC231)*(1+INDEX('Lease Cycles'!$CI$21:$CO$21,1,DC231))^INT(INT(DC232/12)/INDEX('Lease Cycles'!$CP$21:$CV$21,1,DC231))/12),IF(INDEX('Lease Cycles'!$EF$21:$EL$21,1,DC231)=1,IF(AND('Lease Cycles'!$AZ$21&gt;=INDEX('Lease Cycles'!$BG$21:$BM$21,1,DC231),'Lease Cycles'!$AZ$21&lt;=DC$6),'Lease Cycles'!$C$21*'Lease Cycles'!$BA$21/12,IF(AND('Lease Cycles'!$AX$21&gt;=INDEX('Lease Cycles'!$BG$21:$BM$21,1,DC231),'Lease Cycles'!$AX$21&lt;=DC$6),'Lease Cycles'!$C$21*'Lease Cycles'!$AY$21/12,IF(AND('Lease Cycles'!$AV$21&gt;=INDEX('Lease Cycles'!$BG$21:$BM$21,1,DC231),'Lease Cycles'!$AV$21&lt;=DC$6),'Lease Cycles'!$C$21*'Lease Cycles'!$AW$21/12,IF(AND('Lease Cycles'!$AT$21&gt;=INDEX('Lease Cycles'!$BG$21:$BM$21,1,DC231),'Lease Cycles'!$AT$21&lt;=DC$6),'Lease Cycles'!$C$21*'Lease Cycles'!$AU$21/12,'Lease Cycles'!$C$21*INDEX('Lease Cycles'!$CB$21:$CH$21,1,DC231)*(1+INDEX('Lease Cycles'!$CI$21:$CO$21,1,DC231))^INT(INT(DC232/12)/INDEX('Lease Cycles'!$CP$21:$CV$21,1,DC231))/12)))),'Lease Cycles'!$C$21*INDEX('Lease Cycles'!$CB$21:$CH$21,1,DC231)*(1+INDEX('Lease Cycles'!$CI$21:$CO$21,1,DC231))^INT(INT(DC232/12)/INDEX('Lease Cycles'!$CP$21:$CV$21,1,DC231))/12))),IF('Lease Cycles'!$N$21=1,'Lease Cycles'!$C$21*'Lease Cycles'!$E$21*INDEX('Lease Cycles'!$HE$21:$HK$21,1,DC231)*(1+INDEX('Lease Cycles'!$GQ$21:$GW$21,1,DC231))^INT(INT((DC$6-INDEX('Lease Cycles'!$GJ$21:$GP$21,1,DC231))/12)/INDEX('Lease Cycles'!$GX$21:$HD$21,1,DC231))/12,0)))</f>
        <v>0</v>
      </c>
      <c r="DD234" s="28">
        <f>IF(DD231=0,IF('Lease Cycles'!$F$21&gt;0,'Lease Cycles'!$C$21*'Lease Cycles'!$E$21/12,0),IF(DD233=1,IF('Lease Cycles'!$AT$21&gt;=9999,'Lease Cycles'!$C$21*INDEX('Lease Cycles'!$CB$21:$CH$21,1,DD231)*(1+INDEX('Lease Cycles'!$CI$21:$CO$21,1,DD231))^INT(INT(DD232/12)/INDEX('Lease Cycles'!$CP$21:$CV$21,1,DD231))/12,IF(DD231=1,IF(DD232&gt;=INDEX('Lease Cycles'!$DK$21:$DQ$21,1,DD231),IF(DD$6&gt;='Lease Cycles'!$AZ$21,'Lease Cycles'!$C$21*'Lease Cycles'!$BA$21/12,IF(DD$6&gt;='Lease Cycles'!$AX$21,'Lease Cycles'!$C$21*'Lease Cycles'!$AY$21/12,IF(DD$6&gt;='Lease Cycles'!$AV$21,'Lease Cycles'!$C$21*'Lease Cycles'!$AW$21/12,IF(DD$6&gt;='Lease Cycles'!$AT$21,'Lease Cycles'!$C$21*'Lease Cycles'!$AU$21/12,'Lease Cycles'!$C$21*INDEX('Lease Cycles'!$CB$21:$CH$21,1,DD231)*(1+INDEX('Lease Cycles'!$CI$21:$CO$21,1,DD231))^INT(INT(DD232/12)/INDEX('Lease Cycles'!$CP$21:$CV$21,1,DD231))/12)))),'Lease Cycles'!$C$21*INDEX('Lease Cycles'!$CB$21:$CH$21,1,DD231)*(1+INDEX('Lease Cycles'!$CI$21:$CO$21,1,DD231))^INT(INT(DD232/12)/INDEX('Lease Cycles'!$CP$21:$CV$21,1,DD231))/12),IF(INDEX('Lease Cycles'!$EF$21:$EL$21,1,DD231)=1,IF(AND('Lease Cycles'!$AZ$21&gt;=INDEX('Lease Cycles'!$BG$21:$BM$21,1,DD231),'Lease Cycles'!$AZ$21&lt;=DD$6),'Lease Cycles'!$C$21*'Lease Cycles'!$BA$21/12,IF(AND('Lease Cycles'!$AX$21&gt;=INDEX('Lease Cycles'!$BG$21:$BM$21,1,DD231),'Lease Cycles'!$AX$21&lt;=DD$6),'Lease Cycles'!$C$21*'Lease Cycles'!$AY$21/12,IF(AND('Lease Cycles'!$AV$21&gt;=INDEX('Lease Cycles'!$BG$21:$BM$21,1,DD231),'Lease Cycles'!$AV$21&lt;=DD$6),'Lease Cycles'!$C$21*'Lease Cycles'!$AW$21/12,IF(AND('Lease Cycles'!$AT$21&gt;=INDEX('Lease Cycles'!$BG$21:$BM$21,1,DD231),'Lease Cycles'!$AT$21&lt;=DD$6),'Lease Cycles'!$C$21*'Lease Cycles'!$AU$21/12,'Lease Cycles'!$C$21*INDEX('Lease Cycles'!$CB$21:$CH$21,1,DD231)*(1+INDEX('Lease Cycles'!$CI$21:$CO$21,1,DD231))^INT(INT(DD232/12)/INDEX('Lease Cycles'!$CP$21:$CV$21,1,DD231))/12)))),'Lease Cycles'!$C$21*INDEX('Lease Cycles'!$CB$21:$CH$21,1,DD231)*(1+INDEX('Lease Cycles'!$CI$21:$CO$21,1,DD231))^INT(INT(DD232/12)/INDEX('Lease Cycles'!$CP$21:$CV$21,1,DD231))/12))),IF('Lease Cycles'!$N$21=1,'Lease Cycles'!$C$21*'Lease Cycles'!$E$21*INDEX('Lease Cycles'!$HE$21:$HK$21,1,DD231)*(1+INDEX('Lease Cycles'!$GQ$21:$GW$21,1,DD231))^INT(INT((DD$6-INDEX('Lease Cycles'!$GJ$21:$GP$21,1,DD231))/12)/INDEX('Lease Cycles'!$GX$21:$HD$21,1,DD231))/12,0)))</f>
        <v>0</v>
      </c>
      <c r="DE234" s="28">
        <f>IF(DE231=0,IF('Lease Cycles'!$F$21&gt;0,'Lease Cycles'!$C$21*'Lease Cycles'!$E$21/12,0),IF(DE233=1,IF('Lease Cycles'!$AT$21&gt;=9999,'Lease Cycles'!$C$21*INDEX('Lease Cycles'!$CB$21:$CH$21,1,DE231)*(1+INDEX('Lease Cycles'!$CI$21:$CO$21,1,DE231))^INT(INT(DE232/12)/INDEX('Lease Cycles'!$CP$21:$CV$21,1,DE231))/12,IF(DE231=1,IF(DE232&gt;=INDEX('Lease Cycles'!$DK$21:$DQ$21,1,DE231),IF(DE$6&gt;='Lease Cycles'!$AZ$21,'Lease Cycles'!$C$21*'Lease Cycles'!$BA$21/12,IF(DE$6&gt;='Lease Cycles'!$AX$21,'Lease Cycles'!$C$21*'Lease Cycles'!$AY$21/12,IF(DE$6&gt;='Lease Cycles'!$AV$21,'Lease Cycles'!$C$21*'Lease Cycles'!$AW$21/12,IF(DE$6&gt;='Lease Cycles'!$AT$21,'Lease Cycles'!$C$21*'Lease Cycles'!$AU$21/12,'Lease Cycles'!$C$21*INDEX('Lease Cycles'!$CB$21:$CH$21,1,DE231)*(1+INDEX('Lease Cycles'!$CI$21:$CO$21,1,DE231))^INT(INT(DE232/12)/INDEX('Lease Cycles'!$CP$21:$CV$21,1,DE231))/12)))),'Lease Cycles'!$C$21*INDEX('Lease Cycles'!$CB$21:$CH$21,1,DE231)*(1+INDEX('Lease Cycles'!$CI$21:$CO$21,1,DE231))^INT(INT(DE232/12)/INDEX('Lease Cycles'!$CP$21:$CV$21,1,DE231))/12),IF(INDEX('Lease Cycles'!$EF$21:$EL$21,1,DE231)=1,IF(AND('Lease Cycles'!$AZ$21&gt;=INDEX('Lease Cycles'!$BG$21:$BM$21,1,DE231),'Lease Cycles'!$AZ$21&lt;=DE$6),'Lease Cycles'!$C$21*'Lease Cycles'!$BA$21/12,IF(AND('Lease Cycles'!$AX$21&gt;=INDEX('Lease Cycles'!$BG$21:$BM$21,1,DE231),'Lease Cycles'!$AX$21&lt;=DE$6),'Lease Cycles'!$C$21*'Lease Cycles'!$AY$21/12,IF(AND('Lease Cycles'!$AV$21&gt;=INDEX('Lease Cycles'!$BG$21:$BM$21,1,DE231),'Lease Cycles'!$AV$21&lt;=DE$6),'Lease Cycles'!$C$21*'Lease Cycles'!$AW$21/12,IF(AND('Lease Cycles'!$AT$21&gt;=INDEX('Lease Cycles'!$BG$21:$BM$21,1,DE231),'Lease Cycles'!$AT$21&lt;=DE$6),'Lease Cycles'!$C$21*'Lease Cycles'!$AU$21/12,'Lease Cycles'!$C$21*INDEX('Lease Cycles'!$CB$21:$CH$21,1,DE231)*(1+INDEX('Lease Cycles'!$CI$21:$CO$21,1,DE231))^INT(INT(DE232/12)/INDEX('Lease Cycles'!$CP$21:$CV$21,1,DE231))/12)))),'Lease Cycles'!$C$21*INDEX('Lease Cycles'!$CB$21:$CH$21,1,DE231)*(1+INDEX('Lease Cycles'!$CI$21:$CO$21,1,DE231))^INT(INT(DE232/12)/INDEX('Lease Cycles'!$CP$21:$CV$21,1,DE231))/12))),IF('Lease Cycles'!$N$21=1,'Lease Cycles'!$C$21*'Lease Cycles'!$E$21*INDEX('Lease Cycles'!$HE$21:$HK$21,1,DE231)*(1+INDEX('Lease Cycles'!$GQ$21:$GW$21,1,DE231))^INT(INT((DE$6-INDEX('Lease Cycles'!$GJ$21:$GP$21,1,DE231))/12)/INDEX('Lease Cycles'!$GX$21:$HD$21,1,DE231))/12,0)))</f>
        <v>0</v>
      </c>
      <c r="DF234" s="28">
        <f>IF(DF231=0,IF('Lease Cycles'!$F$21&gt;0,'Lease Cycles'!$C$21*'Lease Cycles'!$E$21/12,0),IF(DF233=1,IF('Lease Cycles'!$AT$21&gt;=9999,'Lease Cycles'!$C$21*INDEX('Lease Cycles'!$CB$21:$CH$21,1,DF231)*(1+INDEX('Lease Cycles'!$CI$21:$CO$21,1,DF231))^INT(INT(DF232/12)/INDEX('Lease Cycles'!$CP$21:$CV$21,1,DF231))/12,IF(DF231=1,IF(DF232&gt;=INDEX('Lease Cycles'!$DK$21:$DQ$21,1,DF231),IF(DF$6&gt;='Lease Cycles'!$AZ$21,'Lease Cycles'!$C$21*'Lease Cycles'!$BA$21/12,IF(DF$6&gt;='Lease Cycles'!$AX$21,'Lease Cycles'!$C$21*'Lease Cycles'!$AY$21/12,IF(DF$6&gt;='Lease Cycles'!$AV$21,'Lease Cycles'!$C$21*'Lease Cycles'!$AW$21/12,IF(DF$6&gt;='Lease Cycles'!$AT$21,'Lease Cycles'!$C$21*'Lease Cycles'!$AU$21/12,'Lease Cycles'!$C$21*INDEX('Lease Cycles'!$CB$21:$CH$21,1,DF231)*(1+INDEX('Lease Cycles'!$CI$21:$CO$21,1,DF231))^INT(INT(DF232/12)/INDEX('Lease Cycles'!$CP$21:$CV$21,1,DF231))/12)))),'Lease Cycles'!$C$21*INDEX('Lease Cycles'!$CB$21:$CH$21,1,DF231)*(1+INDEX('Lease Cycles'!$CI$21:$CO$21,1,DF231))^INT(INT(DF232/12)/INDEX('Lease Cycles'!$CP$21:$CV$21,1,DF231))/12),IF(INDEX('Lease Cycles'!$EF$21:$EL$21,1,DF231)=1,IF(AND('Lease Cycles'!$AZ$21&gt;=INDEX('Lease Cycles'!$BG$21:$BM$21,1,DF231),'Lease Cycles'!$AZ$21&lt;=DF$6),'Lease Cycles'!$C$21*'Lease Cycles'!$BA$21/12,IF(AND('Lease Cycles'!$AX$21&gt;=INDEX('Lease Cycles'!$BG$21:$BM$21,1,DF231),'Lease Cycles'!$AX$21&lt;=DF$6),'Lease Cycles'!$C$21*'Lease Cycles'!$AY$21/12,IF(AND('Lease Cycles'!$AV$21&gt;=INDEX('Lease Cycles'!$BG$21:$BM$21,1,DF231),'Lease Cycles'!$AV$21&lt;=DF$6),'Lease Cycles'!$C$21*'Lease Cycles'!$AW$21/12,IF(AND('Lease Cycles'!$AT$21&gt;=INDEX('Lease Cycles'!$BG$21:$BM$21,1,DF231),'Lease Cycles'!$AT$21&lt;=DF$6),'Lease Cycles'!$C$21*'Lease Cycles'!$AU$21/12,'Lease Cycles'!$C$21*INDEX('Lease Cycles'!$CB$21:$CH$21,1,DF231)*(1+INDEX('Lease Cycles'!$CI$21:$CO$21,1,DF231))^INT(INT(DF232/12)/INDEX('Lease Cycles'!$CP$21:$CV$21,1,DF231))/12)))),'Lease Cycles'!$C$21*INDEX('Lease Cycles'!$CB$21:$CH$21,1,DF231)*(1+INDEX('Lease Cycles'!$CI$21:$CO$21,1,DF231))^INT(INT(DF232/12)/INDEX('Lease Cycles'!$CP$21:$CV$21,1,DF231))/12))),IF('Lease Cycles'!$N$21=1,'Lease Cycles'!$C$21*'Lease Cycles'!$E$21*INDEX('Lease Cycles'!$HE$21:$HK$21,1,DF231)*(1+INDEX('Lease Cycles'!$GQ$21:$GW$21,1,DF231))^INT(INT((DF$6-INDEX('Lease Cycles'!$GJ$21:$GP$21,1,DF231))/12)/INDEX('Lease Cycles'!$GX$21:$HD$21,1,DF231))/12,0)))</f>
        <v>0</v>
      </c>
      <c r="DG234" s="28">
        <f>IF(DG231=0,IF('Lease Cycles'!$F$21&gt;0,'Lease Cycles'!$C$21*'Lease Cycles'!$E$21/12,0),IF(DG233=1,IF('Lease Cycles'!$AT$21&gt;=9999,'Lease Cycles'!$C$21*INDEX('Lease Cycles'!$CB$21:$CH$21,1,DG231)*(1+INDEX('Lease Cycles'!$CI$21:$CO$21,1,DG231))^INT(INT(DG232/12)/INDEX('Lease Cycles'!$CP$21:$CV$21,1,DG231))/12,IF(DG231=1,IF(DG232&gt;=INDEX('Lease Cycles'!$DK$21:$DQ$21,1,DG231),IF(DG$6&gt;='Lease Cycles'!$AZ$21,'Lease Cycles'!$C$21*'Lease Cycles'!$BA$21/12,IF(DG$6&gt;='Lease Cycles'!$AX$21,'Lease Cycles'!$C$21*'Lease Cycles'!$AY$21/12,IF(DG$6&gt;='Lease Cycles'!$AV$21,'Lease Cycles'!$C$21*'Lease Cycles'!$AW$21/12,IF(DG$6&gt;='Lease Cycles'!$AT$21,'Lease Cycles'!$C$21*'Lease Cycles'!$AU$21/12,'Lease Cycles'!$C$21*INDEX('Lease Cycles'!$CB$21:$CH$21,1,DG231)*(1+INDEX('Lease Cycles'!$CI$21:$CO$21,1,DG231))^INT(INT(DG232/12)/INDEX('Lease Cycles'!$CP$21:$CV$21,1,DG231))/12)))),'Lease Cycles'!$C$21*INDEX('Lease Cycles'!$CB$21:$CH$21,1,DG231)*(1+INDEX('Lease Cycles'!$CI$21:$CO$21,1,DG231))^INT(INT(DG232/12)/INDEX('Lease Cycles'!$CP$21:$CV$21,1,DG231))/12),IF(INDEX('Lease Cycles'!$EF$21:$EL$21,1,DG231)=1,IF(AND('Lease Cycles'!$AZ$21&gt;=INDEX('Lease Cycles'!$BG$21:$BM$21,1,DG231),'Lease Cycles'!$AZ$21&lt;=DG$6),'Lease Cycles'!$C$21*'Lease Cycles'!$BA$21/12,IF(AND('Lease Cycles'!$AX$21&gt;=INDEX('Lease Cycles'!$BG$21:$BM$21,1,DG231),'Lease Cycles'!$AX$21&lt;=DG$6),'Lease Cycles'!$C$21*'Lease Cycles'!$AY$21/12,IF(AND('Lease Cycles'!$AV$21&gt;=INDEX('Lease Cycles'!$BG$21:$BM$21,1,DG231),'Lease Cycles'!$AV$21&lt;=DG$6),'Lease Cycles'!$C$21*'Lease Cycles'!$AW$21/12,IF(AND('Lease Cycles'!$AT$21&gt;=INDEX('Lease Cycles'!$BG$21:$BM$21,1,DG231),'Lease Cycles'!$AT$21&lt;=DG$6),'Lease Cycles'!$C$21*'Lease Cycles'!$AU$21/12,'Lease Cycles'!$C$21*INDEX('Lease Cycles'!$CB$21:$CH$21,1,DG231)*(1+INDEX('Lease Cycles'!$CI$21:$CO$21,1,DG231))^INT(INT(DG232/12)/INDEX('Lease Cycles'!$CP$21:$CV$21,1,DG231))/12)))),'Lease Cycles'!$C$21*INDEX('Lease Cycles'!$CB$21:$CH$21,1,DG231)*(1+INDEX('Lease Cycles'!$CI$21:$CO$21,1,DG231))^INT(INT(DG232/12)/INDEX('Lease Cycles'!$CP$21:$CV$21,1,DG231))/12))),IF('Lease Cycles'!$N$21=1,'Lease Cycles'!$C$21*'Lease Cycles'!$E$21*INDEX('Lease Cycles'!$HE$21:$HK$21,1,DG231)*(1+INDEX('Lease Cycles'!$GQ$21:$GW$21,1,DG231))^INT(INT((DG$6-INDEX('Lease Cycles'!$GJ$21:$GP$21,1,DG231))/12)/INDEX('Lease Cycles'!$GX$21:$HD$21,1,DG231))/12,0)))</f>
        <v>0</v>
      </c>
      <c r="DH234" s="28">
        <f>IF(DH231=0,IF('Lease Cycles'!$F$21&gt;0,'Lease Cycles'!$C$21*'Lease Cycles'!$E$21/12,0),IF(DH233=1,IF('Lease Cycles'!$AT$21&gt;=9999,'Lease Cycles'!$C$21*INDEX('Lease Cycles'!$CB$21:$CH$21,1,DH231)*(1+INDEX('Lease Cycles'!$CI$21:$CO$21,1,DH231))^INT(INT(DH232/12)/INDEX('Lease Cycles'!$CP$21:$CV$21,1,DH231))/12,IF(DH231=1,IF(DH232&gt;=INDEX('Lease Cycles'!$DK$21:$DQ$21,1,DH231),IF(DH$6&gt;='Lease Cycles'!$AZ$21,'Lease Cycles'!$C$21*'Lease Cycles'!$BA$21/12,IF(DH$6&gt;='Lease Cycles'!$AX$21,'Lease Cycles'!$C$21*'Lease Cycles'!$AY$21/12,IF(DH$6&gt;='Lease Cycles'!$AV$21,'Lease Cycles'!$C$21*'Lease Cycles'!$AW$21/12,IF(DH$6&gt;='Lease Cycles'!$AT$21,'Lease Cycles'!$C$21*'Lease Cycles'!$AU$21/12,'Lease Cycles'!$C$21*INDEX('Lease Cycles'!$CB$21:$CH$21,1,DH231)*(1+INDEX('Lease Cycles'!$CI$21:$CO$21,1,DH231))^INT(INT(DH232/12)/INDEX('Lease Cycles'!$CP$21:$CV$21,1,DH231))/12)))),'Lease Cycles'!$C$21*INDEX('Lease Cycles'!$CB$21:$CH$21,1,DH231)*(1+INDEX('Lease Cycles'!$CI$21:$CO$21,1,DH231))^INT(INT(DH232/12)/INDEX('Lease Cycles'!$CP$21:$CV$21,1,DH231))/12),IF(INDEX('Lease Cycles'!$EF$21:$EL$21,1,DH231)=1,IF(AND('Lease Cycles'!$AZ$21&gt;=INDEX('Lease Cycles'!$BG$21:$BM$21,1,DH231),'Lease Cycles'!$AZ$21&lt;=DH$6),'Lease Cycles'!$C$21*'Lease Cycles'!$BA$21/12,IF(AND('Lease Cycles'!$AX$21&gt;=INDEX('Lease Cycles'!$BG$21:$BM$21,1,DH231),'Lease Cycles'!$AX$21&lt;=DH$6),'Lease Cycles'!$C$21*'Lease Cycles'!$AY$21/12,IF(AND('Lease Cycles'!$AV$21&gt;=INDEX('Lease Cycles'!$BG$21:$BM$21,1,DH231),'Lease Cycles'!$AV$21&lt;=DH$6),'Lease Cycles'!$C$21*'Lease Cycles'!$AW$21/12,IF(AND('Lease Cycles'!$AT$21&gt;=INDEX('Lease Cycles'!$BG$21:$BM$21,1,DH231),'Lease Cycles'!$AT$21&lt;=DH$6),'Lease Cycles'!$C$21*'Lease Cycles'!$AU$21/12,'Lease Cycles'!$C$21*INDEX('Lease Cycles'!$CB$21:$CH$21,1,DH231)*(1+INDEX('Lease Cycles'!$CI$21:$CO$21,1,DH231))^INT(INT(DH232/12)/INDEX('Lease Cycles'!$CP$21:$CV$21,1,DH231))/12)))),'Lease Cycles'!$C$21*INDEX('Lease Cycles'!$CB$21:$CH$21,1,DH231)*(1+INDEX('Lease Cycles'!$CI$21:$CO$21,1,DH231))^INT(INT(DH232/12)/INDEX('Lease Cycles'!$CP$21:$CV$21,1,DH231))/12))),IF('Lease Cycles'!$N$21=1,'Lease Cycles'!$C$21*'Lease Cycles'!$E$21*INDEX('Lease Cycles'!$HE$21:$HK$21,1,DH231)*(1+INDEX('Lease Cycles'!$GQ$21:$GW$21,1,DH231))^INT(INT((DH$6-INDEX('Lease Cycles'!$GJ$21:$GP$21,1,DH231))/12)/INDEX('Lease Cycles'!$GX$21:$HD$21,1,DH231))/12,0)))</f>
        <v>0</v>
      </c>
      <c r="DI234" s="28">
        <f>IF(DI231=0,IF('Lease Cycles'!$F$21&gt;0,'Lease Cycles'!$C$21*'Lease Cycles'!$E$21/12,0),IF(DI233=1,IF('Lease Cycles'!$AT$21&gt;=9999,'Lease Cycles'!$C$21*INDEX('Lease Cycles'!$CB$21:$CH$21,1,DI231)*(1+INDEX('Lease Cycles'!$CI$21:$CO$21,1,DI231))^INT(INT(DI232/12)/INDEX('Lease Cycles'!$CP$21:$CV$21,1,DI231))/12,IF(DI231=1,IF(DI232&gt;=INDEX('Lease Cycles'!$DK$21:$DQ$21,1,DI231),IF(DI$6&gt;='Lease Cycles'!$AZ$21,'Lease Cycles'!$C$21*'Lease Cycles'!$BA$21/12,IF(DI$6&gt;='Lease Cycles'!$AX$21,'Lease Cycles'!$C$21*'Lease Cycles'!$AY$21/12,IF(DI$6&gt;='Lease Cycles'!$AV$21,'Lease Cycles'!$C$21*'Lease Cycles'!$AW$21/12,IF(DI$6&gt;='Lease Cycles'!$AT$21,'Lease Cycles'!$C$21*'Lease Cycles'!$AU$21/12,'Lease Cycles'!$C$21*INDEX('Lease Cycles'!$CB$21:$CH$21,1,DI231)*(1+INDEX('Lease Cycles'!$CI$21:$CO$21,1,DI231))^INT(INT(DI232/12)/INDEX('Lease Cycles'!$CP$21:$CV$21,1,DI231))/12)))),'Lease Cycles'!$C$21*INDEX('Lease Cycles'!$CB$21:$CH$21,1,DI231)*(1+INDEX('Lease Cycles'!$CI$21:$CO$21,1,DI231))^INT(INT(DI232/12)/INDEX('Lease Cycles'!$CP$21:$CV$21,1,DI231))/12),IF(INDEX('Lease Cycles'!$EF$21:$EL$21,1,DI231)=1,IF(AND('Lease Cycles'!$AZ$21&gt;=INDEX('Lease Cycles'!$BG$21:$BM$21,1,DI231),'Lease Cycles'!$AZ$21&lt;=DI$6),'Lease Cycles'!$C$21*'Lease Cycles'!$BA$21/12,IF(AND('Lease Cycles'!$AX$21&gt;=INDEX('Lease Cycles'!$BG$21:$BM$21,1,DI231),'Lease Cycles'!$AX$21&lt;=DI$6),'Lease Cycles'!$C$21*'Lease Cycles'!$AY$21/12,IF(AND('Lease Cycles'!$AV$21&gt;=INDEX('Lease Cycles'!$BG$21:$BM$21,1,DI231),'Lease Cycles'!$AV$21&lt;=DI$6),'Lease Cycles'!$C$21*'Lease Cycles'!$AW$21/12,IF(AND('Lease Cycles'!$AT$21&gt;=INDEX('Lease Cycles'!$BG$21:$BM$21,1,DI231),'Lease Cycles'!$AT$21&lt;=DI$6),'Lease Cycles'!$C$21*'Lease Cycles'!$AU$21/12,'Lease Cycles'!$C$21*INDEX('Lease Cycles'!$CB$21:$CH$21,1,DI231)*(1+INDEX('Lease Cycles'!$CI$21:$CO$21,1,DI231))^INT(INT(DI232/12)/INDEX('Lease Cycles'!$CP$21:$CV$21,1,DI231))/12)))),'Lease Cycles'!$C$21*INDEX('Lease Cycles'!$CB$21:$CH$21,1,DI231)*(1+INDEX('Lease Cycles'!$CI$21:$CO$21,1,DI231))^INT(INT(DI232/12)/INDEX('Lease Cycles'!$CP$21:$CV$21,1,DI231))/12))),IF('Lease Cycles'!$N$21=1,'Lease Cycles'!$C$21*'Lease Cycles'!$E$21*INDEX('Lease Cycles'!$HE$21:$HK$21,1,DI231)*(1+INDEX('Lease Cycles'!$GQ$21:$GW$21,1,DI231))^INT(INT((DI$6-INDEX('Lease Cycles'!$GJ$21:$GP$21,1,DI231))/12)/INDEX('Lease Cycles'!$GX$21:$HD$21,1,DI231))/12,0)))</f>
        <v>0</v>
      </c>
      <c r="DJ234" s="28">
        <f>IF(DJ231=0,IF('Lease Cycles'!$F$21&gt;0,'Lease Cycles'!$C$21*'Lease Cycles'!$E$21/12,0),IF(DJ233=1,IF('Lease Cycles'!$AT$21&gt;=9999,'Lease Cycles'!$C$21*INDEX('Lease Cycles'!$CB$21:$CH$21,1,DJ231)*(1+INDEX('Lease Cycles'!$CI$21:$CO$21,1,DJ231))^INT(INT(DJ232/12)/INDEX('Lease Cycles'!$CP$21:$CV$21,1,DJ231))/12,IF(DJ231=1,IF(DJ232&gt;=INDEX('Lease Cycles'!$DK$21:$DQ$21,1,DJ231),IF(DJ$6&gt;='Lease Cycles'!$AZ$21,'Lease Cycles'!$C$21*'Lease Cycles'!$BA$21/12,IF(DJ$6&gt;='Lease Cycles'!$AX$21,'Lease Cycles'!$C$21*'Lease Cycles'!$AY$21/12,IF(DJ$6&gt;='Lease Cycles'!$AV$21,'Lease Cycles'!$C$21*'Lease Cycles'!$AW$21/12,IF(DJ$6&gt;='Lease Cycles'!$AT$21,'Lease Cycles'!$C$21*'Lease Cycles'!$AU$21/12,'Lease Cycles'!$C$21*INDEX('Lease Cycles'!$CB$21:$CH$21,1,DJ231)*(1+INDEX('Lease Cycles'!$CI$21:$CO$21,1,DJ231))^INT(INT(DJ232/12)/INDEX('Lease Cycles'!$CP$21:$CV$21,1,DJ231))/12)))),'Lease Cycles'!$C$21*INDEX('Lease Cycles'!$CB$21:$CH$21,1,DJ231)*(1+INDEX('Lease Cycles'!$CI$21:$CO$21,1,DJ231))^INT(INT(DJ232/12)/INDEX('Lease Cycles'!$CP$21:$CV$21,1,DJ231))/12),IF(INDEX('Lease Cycles'!$EF$21:$EL$21,1,DJ231)=1,IF(AND('Lease Cycles'!$AZ$21&gt;=INDEX('Lease Cycles'!$BG$21:$BM$21,1,DJ231),'Lease Cycles'!$AZ$21&lt;=DJ$6),'Lease Cycles'!$C$21*'Lease Cycles'!$BA$21/12,IF(AND('Lease Cycles'!$AX$21&gt;=INDEX('Lease Cycles'!$BG$21:$BM$21,1,DJ231),'Lease Cycles'!$AX$21&lt;=DJ$6),'Lease Cycles'!$C$21*'Lease Cycles'!$AY$21/12,IF(AND('Lease Cycles'!$AV$21&gt;=INDEX('Lease Cycles'!$BG$21:$BM$21,1,DJ231),'Lease Cycles'!$AV$21&lt;=DJ$6),'Lease Cycles'!$C$21*'Lease Cycles'!$AW$21/12,IF(AND('Lease Cycles'!$AT$21&gt;=INDEX('Lease Cycles'!$BG$21:$BM$21,1,DJ231),'Lease Cycles'!$AT$21&lt;=DJ$6),'Lease Cycles'!$C$21*'Lease Cycles'!$AU$21/12,'Lease Cycles'!$C$21*INDEX('Lease Cycles'!$CB$21:$CH$21,1,DJ231)*(1+INDEX('Lease Cycles'!$CI$21:$CO$21,1,DJ231))^INT(INT(DJ232/12)/INDEX('Lease Cycles'!$CP$21:$CV$21,1,DJ231))/12)))),'Lease Cycles'!$C$21*INDEX('Lease Cycles'!$CB$21:$CH$21,1,DJ231)*(1+INDEX('Lease Cycles'!$CI$21:$CO$21,1,DJ231))^INT(INT(DJ232/12)/INDEX('Lease Cycles'!$CP$21:$CV$21,1,DJ231))/12))),IF('Lease Cycles'!$N$21=1,'Lease Cycles'!$C$21*'Lease Cycles'!$E$21*INDEX('Lease Cycles'!$HE$21:$HK$21,1,DJ231)*(1+INDEX('Lease Cycles'!$GQ$21:$GW$21,1,DJ231))^INT(INT((DJ$6-INDEX('Lease Cycles'!$GJ$21:$GP$21,1,DJ231))/12)/INDEX('Lease Cycles'!$GX$21:$HD$21,1,DJ231))/12,0)))</f>
        <v>0</v>
      </c>
      <c r="DK234" s="28">
        <f>IF(DK231=0,IF('Lease Cycles'!$F$21&gt;0,'Lease Cycles'!$C$21*'Lease Cycles'!$E$21/12,0),IF(DK233=1,IF('Lease Cycles'!$AT$21&gt;=9999,'Lease Cycles'!$C$21*INDEX('Lease Cycles'!$CB$21:$CH$21,1,DK231)*(1+INDEX('Lease Cycles'!$CI$21:$CO$21,1,DK231))^INT(INT(DK232/12)/INDEX('Lease Cycles'!$CP$21:$CV$21,1,DK231))/12,IF(DK231=1,IF(DK232&gt;=INDEX('Lease Cycles'!$DK$21:$DQ$21,1,DK231),IF(DK$6&gt;='Lease Cycles'!$AZ$21,'Lease Cycles'!$C$21*'Lease Cycles'!$BA$21/12,IF(DK$6&gt;='Lease Cycles'!$AX$21,'Lease Cycles'!$C$21*'Lease Cycles'!$AY$21/12,IF(DK$6&gt;='Lease Cycles'!$AV$21,'Lease Cycles'!$C$21*'Lease Cycles'!$AW$21/12,IF(DK$6&gt;='Lease Cycles'!$AT$21,'Lease Cycles'!$C$21*'Lease Cycles'!$AU$21/12,'Lease Cycles'!$C$21*INDEX('Lease Cycles'!$CB$21:$CH$21,1,DK231)*(1+INDEX('Lease Cycles'!$CI$21:$CO$21,1,DK231))^INT(INT(DK232/12)/INDEX('Lease Cycles'!$CP$21:$CV$21,1,DK231))/12)))),'Lease Cycles'!$C$21*INDEX('Lease Cycles'!$CB$21:$CH$21,1,DK231)*(1+INDEX('Lease Cycles'!$CI$21:$CO$21,1,DK231))^INT(INT(DK232/12)/INDEX('Lease Cycles'!$CP$21:$CV$21,1,DK231))/12),IF(INDEX('Lease Cycles'!$EF$21:$EL$21,1,DK231)=1,IF(AND('Lease Cycles'!$AZ$21&gt;=INDEX('Lease Cycles'!$BG$21:$BM$21,1,DK231),'Lease Cycles'!$AZ$21&lt;=DK$6),'Lease Cycles'!$C$21*'Lease Cycles'!$BA$21/12,IF(AND('Lease Cycles'!$AX$21&gt;=INDEX('Lease Cycles'!$BG$21:$BM$21,1,DK231),'Lease Cycles'!$AX$21&lt;=DK$6),'Lease Cycles'!$C$21*'Lease Cycles'!$AY$21/12,IF(AND('Lease Cycles'!$AV$21&gt;=INDEX('Lease Cycles'!$BG$21:$BM$21,1,DK231),'Lease Cycles'!$AV$21&lt;=DK$6),'Lease Cycles'!$C$21*'Lease Cycles'!$AW$21/12,IF(AND('Lease Cycles'!$AT$21&gt;=INDEX('Lease Cycles'!$BG$21:$BM$21,1,DK231),'Lease Cycles'!$AT$21&lt;=DK$6),'Lease Cycles'!$C$21*'Lease Cycles'!$AU$21/12,'Lease Cycles'!$C$21*INDEX('Lease Cycles'!$CB$21:$CH$21,1,DK231)*(1+INDEX('Lease Cycles'!$CI$21:$CO$21,1,DK231))^INT(INT(DK232/12)/INDEX('Lease Cycles'!$CP$21:$CV$21,1,DK231))/12)))),'Lease Cycles'!$C$21*INDEX('Lease Cycles'!$CB$21:$CH$21,1,DK231)*(1+INDEX('Lease Cycles'!$CI$21:$CO$21,1,DK231))^INT(INT(DK232/12)/INDEX('Lease Cycles'!$CP$21:$CV$21,1,DK231))/12))),IF('Lease Cycles'!$N$21=1,'Lease Cycles'!$C$21*'Lease Cycles'!$E$21*INDEX('Lease Cycles'!$HE$21:$HK$21,1,DK231)*(1+INDEX('Lease Cycles'!$GQ$21:$GW$21,1,DK231))^INT(INT((DK$6-INDEX('Lease Cycles'!$GJ$21:$GP$21,1,DK231))/12)/INDEX('Lease Cycles'!$GX$21:$HD$21,1,DK231))/12,0)))</f>
        <v>0</v>
      </c>
      <c r="DL234" s="28">
        <f>IF(DL231=0,IF('Lease Cycles'!$F$21&gt;0,'Lease Cycles'!$C$21*'Lease Cycles'!$E$21/12,0),IF(DL233=1,IF('Lease Cycles'!$AT$21&gt;=9999,'Lease Cycles'!$C$21*INDEX('Lease Cycles'!$CB$21:$CH$21,1,DL231)*(1+INDEX('Lease Cycles'!$CI$21:$CO$21,1,DL231))^INT(INT(DL232/12)/INDEX('Lease Cycles'!$CP$21:$CV$21,1,DL231))/12,IF(DL231=1,IF(DL232&gt;=INDEX('Lease Cycles'!$DK$21:$DQ$21,1,DL231),IF(DL$6&gt;='Lease Cycles'!$AZ$21,'Lease Cycles'!$C$21*'Lease Cycles'!$BA$21/12,IF(DL$6&gt;='Lease Cycles'!$AX$21,'Lease Cycles'!$C$21*'Lease Cycles'!$AY$21/12,IF(DL$6&gt;='Lease Cycles'!$AV$21,'Lease Cycles'!$C$21*'Lease Cycles'!$AW$21/12,IF(DL$6&gt;='Lease Cycles'!$AT$21,'Lease Cycles'!$C$21*'Lease Cycles'!$AU$21/12,'Lease Cycles'!$C$21*INDEX('Lease Cycles'!$CB$21:$CH$21,1,DL231)*(1+INDEX('Lease Cycles'!$CI$21:$CO$21,1,DL231))^INT(INT(DL232/12)/INDEX('Lease Cycles'!$CP$21:$CV$21,1,DL231))/12)))),'Lease Cycles'!$C$21*INDEX('Lease Cycles'!$CB$21:$CH$21,1,DL231)*(1+INDEX('Lease Cycles'!$CI$21:$CO$21,1,DL231))^INT(INT(DL232/12)/INDEX('Lease Cycles'!$CP$21:$CV$21,1,DL231))/12),IF(INDEX('Lease Cycles'!$EF$21:$EL$21,1,DL231)=1,IF(AND('Lease Cycles'!$AZ$21&gt;=INDEX('Lease Cycles'!$BG$21:$BM$21,1,DL231),'Lease Cycles'!$AZ$21&lt;=DL$6),'Lease Cycles'!$C$21*'Lease Cycles'!$BA$21/12,IF(AND('Lease Cycles'!$AX$21&gt;=INDEX('Lease Cycles'!$BG$21:$BM$21,1,DL231),'Lease Cycles'!$AX$21&lt;=DL$6),'Lease Cycles'!$C$21*'Lease Cycles'!$AY$21/12,IF(AND('Lease Cycles'!$AV$21&gt;=INDEX('Lease Cycles'!$BG$21:$BM$21,1,DL231),'Lease Cycles'!$AV$21&lt;=DL$6),'Lease Cycles'!$C$21*'Lease Cycles'!$AW$21/12,IF(AND('Lease Cycles'!$AT$21&gt;=INDEX('Lease Cycles'!$BG$21:$BM$21,1,DL231),'Lease Cycles'!$AT$21&lt;=DL$6),'Lease Cycles'!$C$21*'Lease Cycles'!$AU$21/12,'Lease Cycles'!$C$21*INDEX('Lease Cycles'!$CB$21:$CH$21,1,DL231)*(1+INDEX('Lease Cycles'!$CI$21:$CO$21,1,DL231))^INT(INT(DL232/12)/INDEX('Lease Cycles'!$CP$21:$CV$21,1,DL231))/12)))),'Lease Cycles'!$C$21*INDEX('Lease Cycles'!$CB$21:$CH$21,1,DL231)*(1+INDEX('Lease Cycles'!$CI$21:$CO$21,1,DL231))^INT(INT(DL232/12)/INDEX('Lease Cycles'!$CP$21:$CV$21,1,DL231))/12))),IF('Lease Cycles'!$N$21=1,'Lease Cycles'!$C$21*'Lease Cycles'!$E$21*INDEX('Lease Cycles'!$HE$21:$HK$21,1,DL231)*(1+INDEX('Lease Cycles'!$GQ$21:$GW$21,1,DL231))^INT(INT((DL$6-INDEX('Lease Cycles'!$GJ$21:$GP$21,1,DL231))/12)/INDEX('Lease Cycles'!$GX$21:$HD$21,1,DL231))/12,0)))</f>
        <v>0</v>
      </c>
      <c r="DM234" s="28">
        <f>IF(DM231=0,IF('Lease Cycles'!$F$21&gt;0,'Lease Cycles'!$C$21*'Lease Cycles'!$E$21/12,0),IF(DM233=1,IF('Lease Cycles'!$AT$21&gt;=9999,'Lease Cycles'!$C$21*INDEX('Lease Cycles'!$CB$21:$CH$21,1,DM231)*(1+INDEX('Lease Cycles'!$CI$21:$CO$21,1,DM231))^INT(INT(DM232/12)/INDEX('Lease Cycles'!$CP$21:$CV$21,1,DM231))/12,IF(DM231=1,IF(DM232&gt;=INDEX('Lease Cycles'!$DK$21:$DQ$21,1,DM231),IF(DM$6&gt;='Lease Cycles'!$AZ$21,'Lease Cycles'!$C$21*'Lease Cycles'!$BA$21/12,IF(DM$6&gt;='Lease Cycles'!$AX$21,'Lease Cycles'!$C$21*'Lease Cycles'!$AY$21/12,IF(DM$6&gt;='Lease Cycles'!$AV$21,'Lease Cycles'!$C$21*'Lease Cycles'!$AW$21/12,IF(DM$6&gt;='Lease Cycles'!$AT$21,'Lease Cycles'!$C$21*'Lease Cycles'!$AU$21/12,'Lease Cycles'!$C$21*INDEX('Lease Cycles'!$CB$21:$CH$21,1,DM231)*(1+INDEX('Lease Cycles'!$CI$21:$CO$21,1,DM231))^INT(INT(DM232/12)/INDEX('Lease Cycles'!$CP$21:$CV$21,1,DM231))/12)))),'Lease Cycles'!$C$21*INDEX('Lease Cycles'!$CB$21:$CH$21,1,DM231)*(1+INDEX('Lease Cycles'!$CI$21:$CO$21,1,DM231))^INT(INT(DM232/12)/INDEX('Lease Cycles'!$CP$21:$CV$21,1,DM231))/12),IF(INDEX('Lease Cycles'!$EF$21:$EL$21,1,DM231)=1,IF(AND('Lease Cycles'!$AZ$21&gt;=INDEX('Lease Cycles'!$BG$21:$BM$21,1,DM231),'Lease Cycles'!$AZ$21&lt;=DM$6),'Lease Cycles'!$C$21*'Lease Cycles'!$BA$21/12,IF(AND('Lease Cycles'!$AX$21&gt;=INDEX('Lease Cycles'!$BG$21:$BM$21,1,DM231),'Lease Cycles'!$AX$21&lt;=DM$6),'Lease Cycles'!$C$21*'Lease Cycles'!$AY$21/12,IF(AND('Lease Cycles'!$AV$21&gt;=INDEX('Lease Cycles'!$BG$21:$BM$21,1,DM231),'Lease Cycles'!$AV$21&lt;=DM$6),'Lease Cycles'!$C$21*'Lease Cycles'!$AW$21/12,IF(AND('Lease Cycles'!$AT$21&gt;=INDEX('Lease Cycles'!$BG$21:$BM$21,1,DM231),'Lease Cycles'!$AT$21&lt;=DM$6),'Lease Cycles'!$C$21*'Lease Cycles'!$AU$21/12,'Lease Cycles'!$C$21*INDEX('Lease Cycles'!$CB$21:$CH$21,1,DM231)*(1+INDEX('Lease Cycles'!$CI$21:$CO$21,1,DM231))^INT(INT(DM232/12)/INDEX('Lease Cycles'!$CP$21:$CV$21,1,DM231))/12)))),'Lease Cycles'!$C$21*INDEX('Lease Cycles'!$CB$21:$CH$21,1,DM231)*(1+INDEX('Lease Cycles'!$CI$21:$CO$21,1,DM231))^INT(INT(DM232/12)/INDEX('Lease Cycles'!$CP$21:$CV$21,1,DM231))/12))),IF('Lease Cycles'!$N$21=1,'Lease Cycles'!$C$21*'Lease Cycles'!$E$21*INDEX('Lease Cycles'!$HE$21:$HK$21,1,DM231)*(1+INDEX('Lease Cycles'!$GQ$21:$GW$21,1,DM231))^INT(INT((DM$6-INDEX('Lease Cycles'!$GJ$21:$GP$21,1,DM231))/12)/INDEX('Lease Cycles'!$GX$21:$HD$21,1,DM231))/12,0)))</f>
        <v>0</v>
      </c>
      <c r="DN234" s="28">
        <f>IF(DN231=0,IF('Lease Cycles'!$F$21&gt;0,'Lease Cycles'!$C$21*'Lease Cycles'!$E$21/12,0),IF(DN233=1,IF('Lease Cycles'!$AT$21&gt;=9999,'Lease Cycles'!$C$21*INDEX('Lease Cycles'!$CB$21:$CH$21,1,DN231)*(1+INDEX('Lease Cycles'!$CI$21:$CO$21,1,DN231))^INT(INT(DN232/12)/INDEX('Lease Cycles'!$CP$21:$CV$21,1,DN231))/12,IF(DN231=1,IF(DN232&gt;=INDEX('Lease Cycles'!$DK$21:$DQ$21,1,DN231),IF(DN$6&gt;='Lease Cycles'!$AZ$21,'Lease Cycles'!$C$21*'Lease Cycles'!$BA$21/12,IF(DN$6&gt;='Lease Cycles'!$AX$21,'Lease Cycles'!$C$21*'Lease Cycles'!$AY$21/12,IF(DN$6&gt;='Lease Cycles'!$AV$21,'Lease Cycles'!$C$21*'Lease Cycles'!$AW$21/12,IF(DN$6&gt;='Lease Cycles'!$AT$21,'Lease Cycles'!$C$21*'Lease Cycles'!$AU$21/12,'Lease Cycles'!$C$21*INDEX('Lease Cycles'!$CB$21:$CH$21,1,DN231)*(1+INDEX('Lease Cycles'!$CI$21:$CO$21,1,DN231))^INT(INT(DN232/12)/INDEX('Lease Cycles'!$CP$21:$CV$21,1,DN231))/12)))),'Lease Cycles'!$C$21*INDEX('Lease Cycles'!$CB$21:$CH$21,1,DN231)*(1+INDEX('Lease Cycles'!$CI$21:$CO$21,1,DN231))^INT(INT(DN232/12)/INDEX('Lease Cycles'!$CP$21:$CV$21,1,DN231))/12),IF(INDEX('Lease Cycles'!$EF$21:$EL$21,1,DN231)=1,IF(AND('Lease Cycles'!$AZ$21&gt;=INDEX('Lease Cycles'!$BG$21:$BM$21,1,DN231),'Lease Cycles'!$AZ$21&lt;=DN$6),'Lease Cycles'!$C$21*'Lease Cycles'!$BA$21/12,IF(AND('Lease Cycles'!$AX$21&gt;=INDEX('Lease Cycles'!$BG$21:$BM$21,1,DN231),'Lease Cycles'!$AX$21&lt;=DN$6),'Lease Cycles'!$C$21*'Lease Cycles'!$AY$21/12,IF(AND('Lease Cycles'!$AV$21&gt;=INDEX('Lease Cycles'!$BG$21:$BM$21,1,DN231),'Lease Cycles'!$AV$21&lt;=DN$6),'Lease Cycles'!$C$21*'Lease Cycles'!$AW$21/12,IF(AND('Lease Cycles'!$AT$21&gt;=INDEX('Lease Cycles'!$BG$21:$BM$21,1,DN231),'Lease Cycles'!$AT$21&lt;=DN$6),'Lease Cycles'!$C$21*'Lease Cycles'!$AU$21/12,'Lease Cycles'!$C$21*INDEX('Lease Cycles'!$CB$21:$CH$21,1,DN231)*(1+INDEX('Lease Cycles'!$CI$21:$CO$21,1,DN231))^INT(INT(DN232/12)/INDEX('Lease Cycles'!$CP$21:$CV$21,1,DN231))/12)))),'Lease Cycles'!$C$21*INDEX('Lease Cycles'!$CB$21:$CH$21,1,DN231)*(1+INDEX('Lease Cycles'!$CI$21:$CO$21,1,DN231))^INT(INT(DN232/12)/INDEX('Lease Cycles'!$CP$21:$CV$21,1,DN231))/12))),IF('Lease Cycles'!$N$21=1,'Lease Cycles'!$C$21*'Lease Cycles'!$E$21*INDEX('Lease Cycles'!$HE$21:$HK$21,1,DN231)*(1+INDEX('Lease Cycles'!$GQ$21:$GW$21,1,DN231))^INT(INT((DN$6-INDEX('Lease Cycles'!$GJ$21:$GP$21,1,DN231))/12)/INDEX('Lease Cycles'!$GX$21:$HD$21,1,DN231))/12,0)))</f>
        <v>0</v>
      </c>
      <c r="DO234" s="28">
        <f>IF(DO231=0,IF('Lease Cycles'!$F$21&gt;0,'Lease Cycles'!$C$21*'Lease Cycles'!$E$21/12,0),IF(DO233=1,IF('Lease Cycles'!$AT$21&gt;=9999,'Lease Cycles'!$C$21*INDEX('Lease Cycles'!$CB$21:$CH$21,1,DO231)*(1+INDEX('Lease Cycles'!$CI$21:$CO$21,1,DO231))^INT(INT(DO232/12)/INDEX('Lease Cycles'!$CP$21:$CV$21,1,DO231))/12,IF(DO231=1,IF(DO232&gt;=INDEX('Lease Cycles'!$DK$21:$DQ$21,1,DO231),IF(DO$6&gt;='Lease Cycles'!$AZ$21,'Lease Cycles'!$C$21*'Lease Cycles'!$BA$21/12,IF(DO$6&gt;='Lease Cycles'!$AX$21,'Lease Cycles'!$C$21*'Lease Cycles'!$AY$21/12,IF(DO$6&gt;='Lease Cycles'!$AV$21,'Lease Cycles'!$C$21*'Lease Cycles'!$AW$21/12,IF(DO$6&gt;='Lease Cycles'!$AT$21,'Lease Cycles'!$C$21*'Lease Cycles'!$AU$21/12,'Lease Cycles'!$C$21*INDEX('Lease Cycles'!$CB$21:$CH$21,1,DO231)*(1+INDEX('Lease Cycles'!$CI$21:$CO$21,1,DO231))^INT(INT(DO232/12)/INDEX('Lease Cycles'!$CP$21:$CV$21,1,DO231))/12)))),'Lease Cycles'!$C$21*INDEX('Lease Cycles'!$CB$21:$CH$21,1,DO231)*(1+INDEX('Lease Cycles'!$CI$21:$CO$21,1,DO231))^INT(INT(DO232/12)/INDEX('Lease Cycles'!$CP$21:$CV$21,1,DO231))/12),IF(INDEX('Lease Cycles'!$EF$21:$EL$21,1,DO231)=1,IF(AND('Lease Cycles'!$AZ$21&gt;=INDEX('Lease Cycles'!$BG$21:$BM$21,1,DO231),'Lease Cycles'!$AZ$21&lt;=DO$6),'Lease Cycles'!$C$21*'Lease Cycles'!$BA$21/12,IF(AND('Lease Cycles'!$AX$21&gt;=INDEX('Lease Cycles'!$BG$21:$BM$21,1,DO231),'Lease Cycles'!$AX$21&lt;=DO$6),'Lease Cycles'!$C$21*'Lease Cycles'!$AY$21/12,IF(AND('Lease Cycles'!$AV$21&gt;=INDEX('Lease Cycles'!$BG$21:$BM$21,1,DO231),'Lease Cycles'!$AV$21&lt;=DO$6),'Lease Cycles'!$C$21*'Lease Cycles'!$AW$21/12,IF(AND('Lease Cycles'!$AT$21&gt;=INDEX('Lease Cycles'!$BG$21:$BM$21,1,DO231),'Lease Cycles'!$AT$21&lt;=DO$6),'Lease Cycles'!$C$21*'Lease Cycles'!$AU$21/12,'Lease Cycles'!$C$21*INDEX('Lease Cycles'!$CB$21:$CH$21,1,DO231)*(1+INDEX('Lease Cycles'!$CI$21:$CO$21,1,DO231))^INT(INT(DO232/12)/INDEX('Lease Cycles'!$CP$21:$CV$21,1,DO231))/12)))),'Lease Cycles'!$C$21*INDEX('Lease Cycles'!$CB$21:$CH$21,1,DO231)*(1+INDEX('Lease Cycles'!$CI$21:$CO$21,1,DO231))^INT(INT(DO232/12)/INDEX('Lease Cycles'!$CP$21:$CV$21,1,DO231))/12))),IF('Lease Cycles'!$N$21=1,'Lease Cycles'!$C$21*'Lease Cycles'!$E$21*INDEX('Lease Cycles'!$HE$21:$HK$21,1,DO231)*(1+INDEX('Lease Cycles'!$GQ$21:$GW$21,1,DO231))^INT(INT((DO$6-INDEX('Lease Cycles'!$GJ$21:$GP$21,1,DO231))/12)/INDEX('Lease Cycles'!$GX$21:$HD$21,1,DO231))/12,0)))</f>
        <v>0</v>
      </c>
      <c r="DP234" s="28">
        <f>IF(DP231=0,IF('Lease Cycles'!$F$21&gt;0,'Lease Cycles'!$C$21*'Lease Cycles'!$E$21/12,0),IF(DP233=1,IF('Lease Cycles'!$AT$21&gt;=9999,'Lease Cycles'!$C$21*INDEX('Lease Cycles'!$CB$21:$CH$21,1,DP231)*(1+INDEX('Lease Cycles'!$CI$21:$CO$21,1,DP231))^INT(INT(DP232/12)/INDEX('Lease Cycles'!$CP$21:$CV$21,1,DP231))/12,IF(DP231=1,IF(DP232&gt;=INDEX('Lease Cycles'!$DK$21:$DQ$21,1,DP231),IF(DP$6&gt;='Lease Cycles'!$AZ$21,'Lease Cycles'!$C$21*'Lease Cycles'!$BA$21/12,IF(DP$6&gt;='Lease Cycles'!$AX$21,'Lease Cycles'!$C$21*'Lease Cycles'!$AY$21/12,IF(DP$6&gt;='Lease Cycles'!$AV$21,'Lease Cycles'!$C$21*'Lease Cycles'!$AW$21/12,IF(DP$6&gt;='Lease Cycles'!$AT$21,'Lease Cycles'!$C$21*'Lease Cycles'!$AU$21/12,'Lease Cycles'!$C$21*INDEX('Lease Cycles'!$CB$21:$CH$21,1,DP231)*(1+INDEX('Lease Cycles'!$CI$21:$CO$21,1,DP231))^INT(INT(DP232/12)/INDEX('Lease Cycles'!$CP$21:$CV$21,1,DP231))/12)))),'Lease Cycles'!$C$21*INDEX('Lease Cycles'!$CB$21:$CH$21,1,DP231)*(1+INDEX('Lease Cycles'!$CI$21:$CO$21,1,DP231))^INT(INT(DP232/12)/INDEX('Lease Cycles'!$CP$21:$CV$21,1,DP231))/12),IF(INDEX('Lease Cycles'!$EF$21:$EL$21,1,DP231)=1,IF(AND('Lease Cycles'!$AZ$21&gt;=INDEX('Lease Cycles'!$BG$21:$BM$21,1,DP231),'Lease Cycles'!$AZ$21&lt;=DP$6),'Lease Cycles'!$C$21*'Lease Cycles'!$BA$21/12,IF(AND('Lease Cycles'!$AX$21&gt;=INDEX('Lease Cycles'!$BG$21:$BM$21,1,DP231),'Lease Cycles'!$AX$21&lt;=DP$6),'Lease Cycles'!$C$21*'Lease Cycles'!$AY$21/12,IF(AND('Lease Cycles'!$AV$21&gt;=INDEX('Lease Cycles'!$BG$21:$BM$21,1,DP231),'Lease Cycles'!$AV$21&lt;=DP$6),'Lease Cycles'!$C$21*'Lease Cycles'!$AW$21/12,IF(AND('Lease Cycles'!$AT$21&gt;=INDEX('Lease Cycles'!$BG$21:$BM$21,1,DP231),'Lease Cycles'!$AT$21&lt;=DP$6),'Lease Cycles'!$C$21*'Lease Cycles'!$AU$21/12,'Lease Cycles'!$C$21*INDEX('Lease Cycles'!$CB$21:$CH$21,1,DP231)*(1+INDEX('Lease Cycles'!$CI$21:$CO$21,1,DP231))^INT(INT(DP232/12)/INDEX('Lease Cycles'!$CP$21:$CV$21,1,DP231))/12)))),'Lease Cycles'!$C$21*INDEX('Lease Cycles'!$CB$21:$CH$21,1,DP231)*(1+INDEX('Lease Cycles'!$CI$21:$CO$21,1,DP231))^INT(INT(DP232/12)/INDEX('Lease Cycles'!$CP$21:$CV$21,1,DP231))/12))),IF('Lease Cycles'!$N$21=1,'Lease Cycles'!$C$21*'Lease Cycles'!$E$21*INDEX('Lease Cycles'!$HE$21:$HK$21,1,DP231)*(1+INDEX('Lease Cycles'!$GQ$21:$GW$21,1,DP231))^INT(INT((DP$6-INDEX('Lease Cycles'!$GJ$21:$GP$21,1,DP231))/12)/INDEX('Lease Cycles'!$GX$21:$HD$21,1,DP231))/12,0)))</f>
        <v>0</v>
      </c>
      <c r="DQ234" s="28">
        <f>IF(DQ231=0,IF('Lease Cycles'!$F$21&gt;0,'Lease Cycles'!$C$21*'Lease Cycles'!$E$21/12,0),IF(DQ233=1,IF('Lease Cycles'!$AT$21&gt;=9999,'Lease Cycles'!$C$21*INDEX('Lease Cycles'!$CB$21:$CH$21,1,DQ231)*(1+INDEX('Lease Cycles'!$CI$21:$CO$21,1,DQ231))^INT(INT(DQ232/12)/INDEX('Lease Cycles'!$CP$21:$CV$21,1,DQ231))/12,IF(DQ231=1,IF(DQ232&gt;=INDEX('Lease Cycles'!$DK$21:$DQ$21,1,DQ231),IF(DQ$6&gt;='Lease Cycles'!$AZ$21,'Lease Cycles'!$C$21*'Lease Cycles'!$BA$21/12,IF(DQ$6&gt;='Lease Cycles'!$AX$21,'Lease Cycles'!$C$21*'Lease Cycles'!$AY$21/12,IF(DQ$6&gt;='Lease Cycles'!$AV$21,'Lease Cycles'!$C$21*'Lease Cycles'!$AW$21/12,IF(DQ$6&gt;='Lease Cycles'!$AT$21,'Lease Cycles'!$C$21*'Lease Cycles'!$AU$21/12,'Lease Cycles'!$C$21*INDEX('Lease Cycles'!$CB$21:$CH$21,1,DQ231)*(1+INDEX('Lease Cycles'!$CI$21:$CO$21,1,DQ231))^INT(INT(DQ232/12)/INDEX('Lease Cycles'!$CP$21:$CV$21,1,DQ231))/12)))),'Lease Cycles'!$C$21*INDEX('Lease Cycles'!$CB$21:$CH$21,1,DQ231)*(1+INDEX('Lease Cycles'!$CI$21:$CO$21,1,DQ231))^INT(INT(DQ232/12)/INDEX('Lease Cycles'!$CP$21:$CV$21,1,DQ231))/12),IF(INDEX('Lease Cycles'!$EF$21:$EL$21,1,DQ231)=1,IF(AND('Lease Cycles'!$AZ$21&gt;=INDEX('Lease Cycles'!$BG$21:$BM$21,1,DQ231),'Lease Cycles'!$AZ$21&lt;=DQ$6),'Lease Cycles'!$C$21*'Lease Cycles'!$BA$21/12,IF(AND('Lease Cycles'!$AX$21&gt;=INDEX('Lease Cycles'!$BG$21:$BM$21,1,DQ231),'Lease Cycles'!$AX$21&lt;=DQ$6),'Lease Cycles'!$C$21*'Lease Cycles'!$AY$21/12,IF(AND('Lease Cycles'!$AV$21&gt;=INDEX('Lease Cycles'!$BG$21:$BM$21,1,DQ231),'Lease Cycles'!$AV$21&lt;=DQ$6),'Lease Cycles'!$C$21*'Lease Cycles'!$AW$21/12,IF(AND('Lease Cycles'!$AT$21&gt;=INDEX('Lease Cycles'!$BG$21:$BM$21,1,DQ231),'Lease Cycles'!$AT$21&lt;=DQ$6),'Lease Cycles'!$C$21*'Lease Cycles'!$AU$21/12,'Lease Cycles'!$C$21*INDEX('Lease Cycles'!$CB$21:$CH$21,1,DQ231)*(1+INDEX('Lease Cycles'!$CI$21:$CO$21,1,DQ231))^INT(INT(DQ232/12)/INDEX('Lease Cycles'!$CP$21:$CV$21,1,DQ231))/12)))),'Lease Cycles'!$C$21*INDEX('Lease Cycles'!$CB$21:$CH$21,1,DQ231)*(1+INDEX('Lease Cycles'!$CI$21:$CO$21,1,DQ231))^INT(INT(DQ232/12)/INDEX('Lease Cycles'!$CP$21:$CV$21,1,DQ231))/12))),IF('Lease Cycles'!$N$21=1,'Lease Cycles'!$C$21*'Lease Cycles'!$E$21*INDEX('Lease Cycles'!$HE$21:$HK$21,1,DQ231)*(1+INDEX('Lease Cycles'!$GQ$21:$GW$21,1,DQ231))^INT(INT((DQ$6-INDEX('Lease Cycles'!$GJ$21:$GP$21,1,DQ231))/12)/INDEX('Lease Cycles'!$GX$21:$HD$21,1,DQ231))/12,0)))</f>
        <v>0</v>
      </c>
      <c r="DR234" s="28">
        <f>IF(DR231=0,IF('Lease Cycles'!$F$21&gt;0,'Lease Cycles'!$C$21*'Lease Cycles'!$E$21/12,0),IF(DR233=1,IF('Lease Cycles'!$AT$21&gt;=9999,'Lease Cycles'!$C$21*INDEX('Lease Cycles'!$CB$21:$CH$21,1,DR231)*(1+INDEX('Lease Cycles'!$CI$21:$CO$21,1,DR231))^INT(INT(DR232/12)/INDEX('Lease Cycles'!$CP$21:$CV$21,1,DR231))/12,IF(DR231=1,IF(DR232&gt;=INDEX('Lease Cycles'!$DK$21:$DQ$21,1,DR231),IF(DR$6&gt;='Lease Cycles'!$AZ$21,'Lease Cycles'!$C$21*'Lease Cycles'!$BA$21/12,IF(DR$6&gt;='Lease Cycles'!$AX$21,'Lease Cycles'!$C$21*'Lease Cycles'!$AY$21/12,IF(DR$6&gt;='Lease Cycles'!$AV$21,'Lease Cycles'!$C$21*'Lease Cycles'!$AW$21/12,IF(DR$6&gt;='Lease Cycles'!$AT$21,'Lease Cycles'!$C$21*'Lease Cycles'!$AU$21/12,'Lease Cycles'!$C$21*INDEX('Lease Cycles'!$CB$21:$CH$21,1,DR231)*(1+INDEX('Lease Cycles'!$CI$21:$CO$21,1,DR231))^INT(INT(DR232/12)/INDEX('Lease Cycles'!$CP$21:$CV$21,1,DR231))/12)))),'Lease Cycles'!$C$21*INDEX('Lease Cycles'!$CB$21:$CH$21,1,DR231)*(1+INDEX('Lease Cycles'!$CI$21:$CO$21,1,DR231))^INT(INT(DR232/12)/INDEX('Lease Cycles'!$CP$21:$CV$21,1,DR231))/12),IF(INDEX('Lease Cycles'!$EF$21:$EL$21,1,DR231)=1,IF(AND('Lease Cycles'!$AZ$21&gt;=INDEX('Lease Cycles'!$BG$21:$BM$21,1,DR231),'Lease Cycles'!$AZ$21&lt;=DR$6),'Lease Cycles'!$C$21*'Lease Cycles'!$BA$21/12,IF(AND('Lease Cycles'!$AX$21&gt;=INDEX('Lease Cycles'!$BG$21:$BM$21,1,DR231),'Lease Cycles'!$AX$21&lt;=DR$6),'Lease Cycles'!$C$21*'Lease Cycles'!$AY$21/12,IF(AND('Lease Cycles'!$AV$21&gt;=INDEX('Lease Cycles'!$BG$21:$BM$21,1,DR231),'Lease Cycles'!$AV$21&lt;=DR$6),'Lease Cycles'!$C$21*'Lease Cycles'!$AW$21/12,IF(AND('Lease Cycles'!$AT$21&gt;=INDEX('Lease Cycles'!$BG$21:$BM$21,1,DR231),'Lease Cycles'!$AT$21&lt;=DR$6),'Lease Cycles'!$C$21*'Lease Cycles'!$AU$21/12,'Lease Cycles'!$C$21*INDEX('Lease Cycles'!$CB$21:$CH$21,1,DR231)*(1+INDEX('Lease Cycles'!$CI$21:$CO$21,1,DR231))^INT(INT(DR232/12)/INDEX('Lease Cycles'!$CP$21:$CV$21,1,DR231))/12)))),'Lease Cycles'!$C$21*INDEX('Lease Cycles'!$CB$21:$CH$21,1,DR231)*(1+INDEX('Lease Cycles'!$CI$21:$CO$21,1,DR231))^INT(INT(DR232/12)/INDEX('Lease Cycles'!$CP$21:$CV$21,1,DR231))/12))),IF('Lease Cycles'!$N$21=1,'Lease Cycles'!$C$21*'Lease Cycles'!$E$21*INDEX('Lease Cycles'!$HE$21:$HK$21,1,DR231)*(1+INDEX('Lease Cycles'!$GQ$21:$GW$21,1,DR231))^INT(INT((DR$6-INDEX('Lease Cycles'!$GJ$21:$GP$21,1,DR231))/12)/INDEX('Lease Cycles'!$GX$21:$HD$21,1,DR231))/12,0)))</f>
        <v>0</v>
      </c>
      <c r="DS234" s="28">
        <f>IF(DS231=0,IF('Lease Cycles'!$F$21&gt;0,'Lease Cycles'!$C$21*'Lease Cycles'!$E$21/12,0),IF(DS233=1,IF('Lease Cycles'!$AT$21&gt;=9999,'Lease Cycles'!$C$21*INDEX('Lease Cycles'!$CB$21:$CH$21,1,DS231)*(1+INDEX('Lease Cycles'!$CI$21:$CO$21,1,DS231))^INT(INT(DS232/12)/INDEX('Lease Cycles'!$CP$21:$CV$21,1,DS231))/12,IF(DS231=1,IF(DS232&gt;=INDEX('Lease Cycles'!$DK$21:$DQ$21,1,DS231),IF(DS$6&gt;='Lease Cycles'!$AZ$21,'Lease Cycles'!$C$21*'Lease Cycles'!$BA$21/12,IF(DS$6&gt;='Lease Cycles'!$AX$21,'Lease Cycles'!$C$21*'Lease Cycles'!$AY$21/12,IF(DS$6&gt;='Lease Cycles'!$AV$21,'Lease Cycles'!$C$21*'Lease Cycles'!$AW$21/12,IF(DS$6&gt;='Lease Cycles'!$AT$21,'Lease Cycles'!$C$21*'Lease Cycles'!$AU$21/12,'Lease Cycles'!$C$21*INDEX('Lease Cycles'!$CB$21:$CH$21,1,DS231)*(1+INDEX('Lease Cycles'!$CI$21:$CO$21,1,DS231))^INT(INT(DS232/12)/INDEX('Lease Cycles'!$CP$21:$CV$21,1,DS231))/12)))),'Lease Cycles'!$C$21*INDEX('Lease Cycles'!$CB$21:$CH$21,1,DS231)*(1+INDEX('Lease Cycles'!$CI$21:$CO$21,1,DS231))^INT(INT(DS232/12)/INDEX('Lease Cycles'!$CP$21:$CV$21,1,DS231))/12),IF(INDEX('Lease Cycles'!$EF$21:$EL$21,1,DS231)=1,IF(AND('Lease Cycles'!$AZ$21&gt;=INDEX('Lease Cycles'!$BG$21:$BM$21,1,DS231),'Lease Cycles'!$AZ$21&lt;=DS$6),'Lease Cycles'!$C$21*'Lease Cycles'!$BA$21/12,IF(AND('Lease Cycles'!$AX$21&gt;=INDEX('Lease Cycles'!$BG$21:$BM$21,1,DS231),'Lease Cycles'!$AX$21&lt;=DS$6),'Lease Cycles'!$C$21*'Lease Cycles'!$AY$21/12,IF(AND('Lease Cycles'!$AV$21&gt;=INDEX('Lease Cycles'!$BG$21:$BM$21,1,DS231),'Lease Cycles'!$AV$21&lt;=DS$6),'Lease Cycles'!$C$21*'Lease Cycles'!$AW$21/12,IF(AND('Lease Cycles'!$AT$21&gt;=INDEX('Lease Cycles'!$BG$21:$BM$21,1,DS231),'Lease Cycles'!$AT$21&lt;=DS$6),'Lease Cycles'!$C$21*'Lease Cycles'!$AU$21/12,'Lease Cycles'!$C$21*INDEX('Lease Cycles'!$CB$21:$CH$21,1,DS231)*(1+INDEX('Lease Cycles'!$CI$21:$CO$21,1,DS231))^INT(INT(DS232/12)/INDEX('Lease Cycles'!$CP$21:$CV$21,1,DS231))/12)))),'Lease Cycles'!$C$21*INDEX('Lease Cycles'!$CB$21:$CH$21,1,DS231)*(1+INDEX('Lease Cycles'!$CI$21:$CO$21,1,DS231))^INT(INT(DS232/12)/INDEX('Lease Cycles'!$CP$21:$CV$21,1,DS231))/12))),IF('Lease Cycles'!$N$21=1,'Lease Cycles'!$C$21*'Lease Cycles'!$E$21*INDEX('Lease Cycles'!$HE$21:$HK$21,1,DS231)*(1+INDEX('Lease Cycles'!$GQ$21:$GW$21,1,DS231))^INT(INT((DS$6-INDEX('Lease Cycles'!$GJ$21:$GP$21,1,DS231))/12)/INDEX('Lease Cycles'!$GX$21:$HD$21,1,DS231))/12,0)))</f>
        <v>0</v>
      </c>
      <c r="DT234" s="28">
        <f>IF(DT231=0,IF('Lease Cycles'!$F$21&gt;0,'Lease Cycles'!$C$21*'Lease Cycles'!$E$21/12,0),IF(DT233=1,IF('Lease Cycles'!$AT$21&gt;=9999,'Lease Cycles'!$C$21*INDEX('Lease Cycles'!$CB$21:$CH$21,1,DT231)*(1+INDEX('Lease Cycles'!$CI$21:$CO$21,1,DT231))^INT(INT(DT232/12)/INDEX('Lease Cycles'!$CP$21:$CV$21,1,DT231))/12,IF(DT231=1,IF(DT232&gt;=INDEX('Lease Cycles'!$DK$21:$DQ$21,1,DT231),IF(DT$6&gt;='Lease Cycles'!$AZ$21,'Lease Cycles'!$C$21*'Lease Cycles'!$BA$21/12,IF(DT$6&gt;='Lease Cycles'!$AX$21,'Lease Cycles'!$C$21*'Lease Cycles'!$AY$21/12,IF(DT$6&gt;='Lease Cycles'!$AV$21,'Lease Cycles'!$C$21*'Lease Cycles'!$AW$21/12,IF(DT$6&gt;='Lease Cycles'!$AT$21,'Lease Cycles'!$C$21*'Lease Cycles'!$AU$21/12,'Lease Cycles'!$C$21*INDEX('Lease Cycles'!$CB$21:$CH$21,1,DT231)*(1+INDEX('Lease Cycles'!$CI$21:$CO$21,1,DT231))^INT(INT(DT232/12)/INDEX('Lease Cycles'!$CP$21:$CV$21,1,DT231))/12)))),'Lease Cycles'!$C$21*INDEX('Lease Cycles'!$CB$21:$CH$21,1,DT231)*(1+INDEX('Lease Cycles'!$CI$21:$CO$21,1,DT231))^INT(INT(DT232/12)/INDEX('Lease Cycles'!$CP$21:$CV$21,1,DT231))/12),IF(INDEX('Lease Cycles'!$EF$21:$EL$21,1,DT231)=1,IF(AND('Lease Cycles'!$AZ$21&gt;=INDEX('Lease Cycles'!$BG$21:$BM$21,1,DT231),'Lease Cycles'!$AZ$21&lt;=DT$6),'Lease Cycles'!$C$21*'Lease Cycles'!$BA$21/12,IF(AND('Lease Cycles'!$AX$21&gt;=INDEX('Lease Cycles'!$BG$21:$BM$21,1,DT231),'Lease Cycles'!$AX$21&lt;=DT$6),'Lease Cycles'!$C$21*'Lease Cycles'!$AY$21/12,IF(AND('Lease Cycles'!$AV$21&gt;=INDEX('Lease Cycles'!$BG$21:$BM$21,1,DT231),'Lease Cycles'!$AV$21&lt;=DT$6),'Lease Cycles'!$C$21*'Lease Cycles'!$AW$21/12,IF(AND('Lease Cycles'!$AT$21&gt;=INDEX('Lease Cycles'!$BG$21:$BM$21,1,DT231),'Lease Cycles'!$AT$21&lt;=DT$6),'Lease Cycles'!$C$21*'Lease Cycles'!$AU$21/12,'Lease Cycles'!$C$21*INDEX('Lease Cycles'!$CB$21:$CH$21,1,DT231)*(1+INDEX('Lease Cycles'!$CI$21:$CO$21,1,DT231))^INT(INT(DT232/12)/INDEX('Lease Cycles'!$CP$21:$CV$21,1,DT231))/12)))),'Lease Cycles'!$C$21*INDEX('Lease Cycles'!$CB$21:$CH$21,1,DT231)*(1+INDEX('Lease Cycles'!$CI$21:$CO$21,1,DT231))^INT(INT(DT232/12)/INDEX('Lease Cycles'!$CP$21:$CV$21,1,DT231))/12))),IF('Lease Cycles'!$N$21=1,'Lease Cycles'!$C$21*'Lease Cycles'!$E$21*INDEX('Lease Cycles'!$HE$21:$HK$21,1,DT231)*(1+INDEX('Lease Cycles'!$GQ$21:$GW$21,1,DT231))^INT(INT((DT$6-INDEX('Lease Cycles'!$GJ$21:$GP$21,1,DT231))/12)/INDEX('Lease Cycles'!$GX$21:$HD$21,1,DT231))/12,0)))</f>
        <v>0</v>
      </c>
      <c r="DU234" s="28">
        <f>IF(DU231=0,IF('Lease Cycles'!$F$21&gt;0,'Lease Cycles'!$C$21*'Lease Cycles'!$E$21/12,0),IF(DU233=1,IF('Lease Cycles'!$AT$21&gt;=9999,'Lease Cycles'!$C$21*INDEX('Lease Cycles'!$CB$21:$CH$21,1,DU231)*(1+INDEX('Lease Cycles'!$CI$21:$CO$21,1,DU231))^INT(INT(DU232/12)/INDEX('Lease Cycles'!$CP$21:$CV$21,1,DU231))/12,IF(DU231=1,IF(DU232&gt;=INDEX('Lease Cycles'!$DK$21:$DQ$21,1,DU231),IF(DU$6&gt;='Lease Cycles'!$AZ$21,'Lease Cycles'!$C$21*'Lease Cycles'!$BA$21/12,IF(DU$6&gt;='Lease Cycles'!$AX$21,'Lease Cycles'!$C$21*'Lease Cycles'!$AY$21/12,IF(DU$6&gt;='Lease Cycles'!$AV$21,'Lease Cycles'!$C$21*'Lease Cycles'!$AW$21/12,IF(DU$6&gt;='Lease Cycles'!$AT$21,'Lease Cycles'!$C$21*'Lease Cycles'!$AU$21/12,'Lease Cycles'!$C$21*INDEX('Lease Cycles'!$CB$21:$CH$21,1,DU231)*(1+INDEX('Lease Cycles'!$CI$21:$CO$21,1,DU231))^INT(INT(DU232/12)/INDEX('Lease Cycles'!$CP$21:$CV$21,1,DU231))/12)))),'Lease Cycles'!$C$21*INDEX('Lease Cycles'!$CB$21:$CH$21,1,DU231)*(1+INDEX('Lease Cycles'!$CI$21:$CO$21,1,DU231))^INT(INT(DU232/12)/INDEX('Lease Cycles'!$CP$21:$CV$21,1,DU231))/12),IF(INDEX('Lease Cycles'!$EF$21:$EL$21,1,DU231)=1,IF(AND('Lease Cycles'!$AZ$21&gt;=INDEX('Lease Cycles'!$BG$21:$BM$21,1,DU231),'Lease Cycles'!$AZ$21&lt;=DU$6),'Lease Cycles'!$C$21*'Lease Cycles'!$BA$21/12,IF(AND('Lease Cycles'!$AX$21&gt;=INDEX('Lease Cycles'!$BG$21:$BM$21,1,DU231),'Lease Cycles'!$AX$21&lt;=DU$6),'Lease Cycles'!$C$21*'Lease Cycles'!$AY$21/12,IF(AND('Lease Cycles'!$AV$21&gt;=INDEX('Lease Cycles'!$BG$21:$BM$21,1,DU231),'Lease Cycles'!$AV$21&lt;=DU$6),'Lease Cycles'!$C$21*'Lease Cycles'!$AW$21/12,IF(AND('Lease Cycles'!$AT$21&gt;=INDEX('Lease Cycles'!$BG$21:$BM$21,1,DU231),'Lease Cycles'!$AT$21&lt;=DU$6),'Lease Cycles'!$C$21*'Lease Cycles'!$AU$21/12,'Lease Cycles'!$C$21*INDEX('Lease Cycles'!$CB$21:$CH$21,1,DU231)*(1+INDEX('Lease Cycles'!$CI$21:$CO$21,1,DU231))^INT(INT(DU232/12)/INDEX('Lease Cycles'!$CP$21:$CV$21,1,DU231))/12)))),'Lease Cycles'!$C$21*INDEX('Lease Cycles'!$CB$21:$CH$21,1,DU231)*(1+INDEX('Lease Cycles'!$CI$21:$CO$21,1,DU231))^INT(INT(DU232/12)/INDEX('Lease Cycles'!$CP$21:$CV$21,1,DU231))/12))),IF('Lease Cycles'!$N$21=1,'Lease Cycles'!$C$21*'Lease Cycles'!$E$21*INDEX('Lease Cycles'!$HE$21:$HK$21,1,DU231)*(1+INDEX('Lease Cycles'!$GQ$21:$GW$21,1,DU231))^INT(INT((DU$6-INDEX('Lease Cycles'!$GJ$21:$GP$21,1,DU231))/12)/INDEX('Lease Cycles'!$GX$21:$HD$21,1,DU231))/12,0)))</f>
        <v>0</v>
      </c>
      <c r="DV234" s="28">
        <f>IF(DV231=0,IF('Lease Cycles'!$F$21&gt;0,'Lease Cycles'!$C$21*'Lease Cycles'!$E$21/12,0),IF(DV233=1,IF('Lease Cycles'!$AT$21&gt;=9999,'Lease Cycles'!$C$21*INDEX('Lease Cycles'!$CB$21:$CH$21,1,DV231)*(1+INDEX('Lease Cycles'!$CI$21:$CO$21,1,DV231))^INT(INT(DV232/12)/INDEX('Lease Cycles'!$CP$21:$CV$21,1,DV231))/12,IF(DV231=1,IF(DV232&gt;=INDEX('Lease Cycles'!$DK$21:$DQ$21,1,DV231),IF(DV$6&gt;='Lease Cycles'!$AZ$21,'Lease Cycles'!$C$21*'Lease Cycles'!$BA$21/12,IF(DV$6&gt;='Lease Cycles'!$AX$21,'Lease Cycles'!$C$21*'Lease Cycles'!$AY$21/12,IF(DV$6&gt;='Lease Cycles'!$AV$21,'Lease Cycles'!$C$21*'Lease Cycles'!$AW$21/12,IF(DV$6&gt;='Lease Cycles'!$AT$21,'Lease Cycles'!$C$21*'Lease Cycles'!$AU$21/12,'Lease Cycles'!$C$21*INDEX('Lease Cycles'!$CB$21:$CH$21,1,DV231)*(1+INDEX('Lease Cycles'!$CI$21:$CO$21,1,DV231))^INT(INT(DV232/12)/INDEX('Lease Cycles'!$CP$21:$CV$21,1,DV231))/12)))),'Lease Cycles'!$C$21*INDEX('Lease Cycles'!$CB$21:$CH$21,1,DV231)*(1+INDEX('Lease Cycles'!$CI$21:$CO$21,1,DV231))^INT(INT(DV232/12)/INDEX('Lease Cycles'!$CP$21:$CV$21,1,DV231))/12),IF(INDEX('Lease Cycles'!$EF$21:$EL$21,1,DV231)=1,IF(AND('Lease Cycles'!$AZ$21&gt;=INDEX('Lease Cycles'!$BG$21:$BM$21,1,DV231),'Lease Cycles'!$AZ$21&lt;=DV$6),'Lease Cycles'!$C$21*'Lease Cycles'!$BA$21/12,IF(AND('Lease Cycles'!$AX$21&gt;=INDEX('Lease Cycles'!$BG$21:$BM$21,1,DV231),'Lease Cycles'!$AX$21&lt;=DV$6),'Lease Cycles'!$C$21*'Lease Cycles'!$AY$21/12,IF(AND('Lease Cycles'!$AV$21&gt;=INDEX('Lease Cycles'!$BG$21:$BM$21,1,DV231),'Lease Cycles'!$AV$21&lt;=DV$6),'Lease Cycles'!$C$21*'Lease Cycles'!$AW$21/12,IF(AND('Lease Cycles'!$AT$21&gt;=INDEX('Lease Cycles'!$BG$21:$BM$21,1,DV231),'Lease Cycles'!$AT$21&lt;=DV$6),'Lease Cycles'!$C$21*'Lease Cycles'!$AU$21/12,'Lease Cycles'!$C$21*INDEX('Lease Cycles'!$CB$21:$CH$21,1,DV231)*(1+INDEX('Lease Cycles'!$CI$21:$CO$21,1,DV231))^INT(INT(DV232/12)/INDEX('Lease Cycles'!$CP$21:$CV$21,1,DV231))/12)))),'Lease Cycles'!$C$21*INDEX('Lease Cycles'!$CB$21:$CH$21,1,DV231)*(1+INDEX('Lease Cycles'!$CI$21:$CO$21,1,DV231))^INT(INT(DV232/12)/INDEX('Lease Cycles'!$CP$21:$CV$21,1,DV231))/12))),IF('Lease Cycles'!$N$21=1,'Lease Cycles'!$C$21*'Lease Cycles'!$E$21*INDEX('Lease Cycles'!$HE$21:$HK$21,1,DV231)*(1+INDEX('Lease Cycles'!$GQ$21:$GW$21,1,DV231))^INT(INT((DV$6-INDEX('Lease Cycles'!$GJ$21:$GP$21,1,DV231))/12)/INDEX('Lease Cycles'!$GX$21:$HD$21,1,DV231))/12,0)))</f>
        <v>0</v>
      </c>
      <c r="DW234" s="28">
        <f>IF(DW231=0,IF('Lease Cycles'!$F$21&gt;0,'Lease Cycles'!$C$21*'Lease Cycles'!$E$21/12,0),IF(DW233=1,IF('Lease Cycles'!$AT$21&gt;=9999,'Lease Cycles'!$C$21*INDEX('Lease Cycles'!$CB$21:$CH$21,1,DW231)*(1+INDEX('Lease Cycles'!$CI$21:$CO$21,1,DW231))^INT(INT(DW232/12)/INDEX('Lease Cycles'!$CP$21:$CV$21,1,DW231))/12,IF(DW231=1,IF(DW232&gt;=INDEX('Lease Cycles'!$DK$21:$DQ$21,1,DW231),IF(DW$6&gt;='Lease Cycles'!$AZ$21,'Lease Cycles'!$C$21*'Lease Cycles'!$BA$21/12,IF(DW$6&gt;='Lease Cycles'!$AX$21,'Lease Cycles'!$C$21*'Lease Cycles'!$AY$21/12,IF(DW$6&gt;='Lease Cycles'!$AV$21,'Lease Cycles'!$C$21*'Lease Cycles'!$AW$21/12,IF(DW$6&gt;='Lease Cycles'!$AT$21,'Lease Cycles'!$C$21*'Lease Cycles'!$AU$21/12,'Lease Cycles'!$C$21*INDEX('Lease Cycles'!$CB$21:$CH$21,1,DW231)*(1+INDEX('Lease Cycles'!$CI$21:$CO$21,1,DW231))^INT(INT(DW232/12)/INDEX('Lease Cycles'!$CP$21:$CV$21,1,DW231))/12)))),'Lease Cycles'!$C$21*INDEX('Lease Cycles'!$CB$21:$CH$21,1,DW231)*(1+INDEX('Lease Cycles'!$CI$21:$CO$21,1,DW231))^INT(INT(DW232/12)/INDEX('Lease Cycles'!$CP$21:$CV$21,1,DW231))/12),IF(INDEX('Lease Cycles'!$EF$21:$EL$21,1,DW231)=1,IF(AND('Lease Cycles'!$AZ$21&gt;=INDEX('Lease Cycles'!$BG$21:$BM$21,1,DW231),'Lease Cycles'!$AZ$21&lt;=DW$6),'Lease Cycles'!$C$21*'Lease Cycles'!$BA$21/12,IF(AND('Lease Cycles'!$AX$21&gt;=INDEX('Lease Cycles'!$BG$21:$BM$21,1,DW231),'Lease Cycles'!$AX$21&lt;=DW$6),'Lease Cycles'!$C$21*'Lease Cycles'!$AY$21/12,IF(AND('Lease Cycles'!$AV$21&gt;=INDEX('Lease Cycles'!$BG$21:$BM$21,1,DW231),'Lease Cycles'!$AV$21&lt;=DW$6),'Lease Cycles'!$C$21*'Lease Cycles'!$AW$21/12,IF(AND('Lease Cycles'!$AT$21&gt;=INDEX('Lease Cycles'!$BG$21:$BM$21,1,DW231),'Lease Cycles'!$AT$21&lt;=DW$6),'Lease Cycles'!$C$21*'Lease Cycles'!$AU$21/12,'Lease Cycles'!$C$21*INDEX('Lease Cycles'!$CB$21:$CH$21,1,DW231)*(1+INDEX('Lease Cycles'!$CI$21:$CO$21,1,DW231))^INT(INT(DW232/12)/INDEX('Lease Cycles'!$CP$21:$CV$21,1,DW231))/12)))),'Lease Cycles'!$C$21*INDEX('Lease Cycles'!$CB$21:$CH$21,1,DW231)*(1+INDEX('Lease Cycles'!$CI$21:$CO$21,1,DW231))^INT(INT(DW232/12)/INDEX('Lease Cycles'!$CP$21:$CV$21,1,DW231))/12))),IF('Lease Cycles'!$N$21=1,'Lease Cycles'!$C$21*'Lease Cycles'!$E$21*INDEX('Lease Cycles'!$HE$21:$HK$21,1,DW231)*(1+INDEX('Lease Cycles'!$GQ$21:$GW$21,1,DW231))^INT(INT((DW$6-INDEX('Lease Cycles'!$GJ$21:$GP$21,1,DW231))/12)/INDEX('Lease Cycles'!$GX$21:$HD$21,1,DW231))/12,0)))</f>
        <v>0</v>
      </c>
      <c r="DX234" s="28">
        <f>IF(DX231=0,IF('Lease Cycles'!$F$21&gt;0,'Lease Cycles'!$C$21*'Lease Cycles'!$E$21/12,0),IF(DX233=1,IF('Lease Cycles'!$AT$21&gt;=9999,'Lease Cycles'!$C$21*INDEX('Lease Cycles'!$CB$21:$CH$21,1,DX231)*(1+INDEX('Lease Cycles'!$CI$21:$CO$21,1,DX231))^INT(INT(DX232/12)/INDEX('Lease Cycles'!$CP$21:$CV$21,1,DX231))/12,IF(DX231=1,IF(DX232&gt;=INDEX('Lease Cycles'!$DK$21:$DQ$21,1,DX231),IF(DX$6&gt;='Lease Cycles'!$AZ$21,'Lease Cycles'!$C$21*'Lease Cycles'!$BA$21/12,IF(DX$6&gt;='Lease Cycles'!$AX$21,'Lease Cycles'!$C$21*'Lease Cycles'!$AY$21/12,IF(DX$6&gt;='Lease Cycles'!$AV$21,'Lease Cycles'!$C$21*'Lease Cycles'!$AW$21/12,IF(DX$6&gt;='Lease Cycles'!$AT$21,'Lease Cycles'!$C$21*'Lease Cycles'!$AU$21/12,'Lease Cycles'!$C$21*INDEX('Lease Cycles'!$CB$21:$CH$21,1,DX231)*(1+INDEX('Lease Cycles'!$CI$21:$CO$21,1,DX231))^INT(INT(DX232/12)/INDEX('Lease Cycles'!$CP$21:$CV$21,1,DX231))/12)))),'Lease Cycles'!$C$21*INDEX('Lease Cycles'!$CB$21:$CH$21,1,DX231)*(1+INDEX('Lease Cycles'!$CI$21:$CO$21,1,DX231))^INT(INT(DX232/12)/INDEX('Lease Cycles'!$CP$21:$CV$21,1,DX231))/12),IF(INDEX('Lease Cycles'!$EF$21:$EL$21,1,DX231)=1,IF(AND('Lease Cycles'!$AZ$21&gt;=INDEX('Lease Cycles'!$BG$21:$BM$21,1,DX231),'Lease Cycles'!$AZ$21&lt;=DX$6),'Lease Cycles'!$C$21*'Lease Cycles'!$BA$21/12,IF(AND('Lease Cycles'!$AX$21&gt;=INDEX('Lease Cycles'!$BG$21:$BM$21,1,DX231),'Lease Cycles'!$AX$21&lt;=DX$6),'Lease Cycles'!$C$21*'Lease Cycles'!$AY$21/12,IF(AND('Lease Cycles'!$AV$21&gt;=INDEX('Lease Cycles'!$BG$21:$BM$21,1,DX231),'Lease Cycles'!$AV$21&lt;=DX$6),'Lease Cycles'!$C$21*'Lease Cycles'!$AW$21/12,IF(AND('Lease Cycles'!$AT$21&gt;=INDEX('Lease Cycles'!$BG$21:$BM$21,1,DX231),'Lease Cycles'!$AT$21&lt;=DX$6),'Lease Cycles'!$C$21*'Lease Cycles'!$AU$21/12,'Lease Cycles'!$C$21*INDEX('Lease Cycles'!$CB$21:$CH$21,1,DX231)*(1+INDEX('Lease Cycles'!$CI$21:$CO$21,1,DX231))^INT(INT(DX232/12)/INDEX('Lease Cycles'!$CP$21:$CV$21,1,DX231))/12)))),'Lease Cycles'!$C$21*INDEX('Lease Cycles'!$CB$21:$CH$21,1,DX231)*(1+INDEX('Lease Cycles'!$CI$21:$CO$21,1,DX231))^INT(INT(DX232/12)/INDEX('Lease Cycles'!$CP$21:$CV$21,1,DX231))/12))),IF('Lease Cycles'!$N$21=1,'Lease Cycles'!$C$21*'Lease Cycles'!$E$21*INDEX('Lease Cycles'!$HE$21:$HK$21,1,DX231)*(1+INDEX('Lease Cycles'!$GQ$21:$GW$21,1,DX231))^INT(INT((DX$6-INDEX('Lease Cycles'!$GJ$21:$GP$21,1,DX231))/12)/INDEX('Lease Cycles'!$GX$21:$HD$21,1,DX231))/12,0)))</f>
        <v>0</v>
      </c>
      <c r="DY234" s="28">
        <f>IF(DY231=0,IF('Lease Cycles'!$F$21&gt;0,'Lease Cycles'!$C$21*'Lease Cycles'!$E$21/12,0),IF(DY233=1,IF('Lease Cycles'!$AT$21&gt;=9999,'Lease Cycles'!$C$21*INDEX('Lease Cycles'!$CB$21:$CH$21,1,DY231)*(1+INDEX('Lease Cycles'!$CI$21:$CO$21,1,DY231))^INT(INT(DY232/12)/INDEX('Lease Cycles'!$CP$21:$CV$21,1,DY231))/12,IF(DY231=1,IF(DY232&gt;=INDEX('Lease Cycles'!$DK$21:$DQ$21,1,DY231),IF(DY$6&gt;='Lease Cycles'!$AZ$21,'Lease Cycles'!$C$21*'Lease Cycles'!$BA$21/12,IF(DY$6&gt;='Lease Cycles'!$AX$21,'Lease Cycles'!$C$21*'Lease Cycles'!$AY$21/12,IF(DY$6&gt;='Lease Cycles'!$AV$21,'Lease Cycles'!$C$21*'Lease Cycles'!$AW$21/12,IF(DY$6&gt;='Lease Cycles'!$AT$21,'Lease Cycles'!$C$21*'Lease Cycles'!$AU$21/12,'Lease Cycles'!$C$21*INDEX('Lease Cycles'!$CB$21:$CH$21,1,DY231)*(1+INDEX('Lease Cycles'!$CI$21:$CO$21,1,DY231))^INT(INT(DY232/12)/INDEX('Lease Cycles'!$CP$21:$CV$21,1,DY231))/12)))),'Lease Cycles'!$C$21*INDEX('Lease Cycles'!$CB$21:$CH$21,1,DY231)*(1+INDEX('Lease Cycles'!$CI$21:$CO$21,1,DY231))^INT(INT(DY232/12)/INDEX('Lease Cycles'!$CP$21:$CV$21,1,DY231))/12),IF(INDEX('Lease Cycles'!$EF$21:$EL$21,1,DY231)=1,IF(AND('Lease Cycles'!$AZ$21&gt;=INDEX('Lease Cycles'!$BG$21:$BM$21,1,DY231),'Lease Cycles'!$AZ$21&lt;=DY$6),'Lease Cycles'!$C$21*'Lease Cycles'!$BA$21/12,IF(AND('Lease Cycles'!$AX$21&gt;=INDEX('Lease Cycles'!$BG$21:$BM$21,1,DY231),'Lease Cycles'!$AX$21&lt;=DY$6),'Lease Cycles'!$C$21*'Lease Cycles'!$AY$21/12,IF(AND('Lease Cycles'!$AV$21&gt;=INDEX('Lease Cycles'!$BG$21:$BM$21,1,DY231),'Lease Cycles'!$AV$21&lt;=DY$6),'Lease Cycles'!$C$21*'Lease Cycles'!$AW$21/12,IF(AND('Lease Cycles'!$AT$21&gt;=INDEX('Lease Cycles'!$BG$21:$BM$21,1,DY231),'Lease Cycles'!$AT$21&lt;=DY$6),'Lease Cycles'!$C$21*'Lease Cycles'!$AU$21/12,'Lease Cycles'!$C$21*INDEX('Lease Cycles'!$CB$21:$CH$21,1,DY231)*(1+INDEX('Lease Cycles'!$CI$21:$CO$21,1,DY231))^INT(INT(DY232/12)/INDEX('Lease Cycles'!$CP$21:$CV$21,1,DY231))/12)))),'Lease Cycles'!$C$21*INDEX('Lease Cycles'!$CB$21:$CH$21,1,DY231)*(1+INDEX('Lease Cycles'!$CI$21:$CO$21,1,DY231))^INT(INT(DY232/12)/INDEX('Lease Cycles'!$CP$21:$CV$21,1,DY231))/12))),IF('Lease Cycles'!$N$21=1,'Lease Cycles'!$C$21*'Lease Cycles'!$E$21*INDEX('Lease Cycles'!$HE$21:$HK$21,1,DY231)*(1+INDEX('Lease Cycles'!$GQ$21:$GW$21,1,DY231))^INT(INT((DY$6-INDEX('Lease Cycles'!$GJ$21:$GP$21,1,DY231))/12)/INDEX('Lease Cycles'!$GX$21:$HD$21,1,DY231))/12,0)))</f>
        <v>0</v>
      </c>
      <c r="DZ234" s="28">
        <f>IF(DZ231=0,IF('Lease Cycles'!$F$21&gt;0,'Lease Cycles'!$C$21*'Lease Cycles'!$E$21/12,0),IF(DZ233=1,IF('Lease Cycles'!$AT$21&gt;=9999,'Lease Cycles'!$C$21*INDEX('Lease Cycles'!$CB$21:$CH$21,1,DZ231)*(1+INDEX('Lease Cycles'!$CI$21:$CO$21,1,DZ231))^INT(INT(DZ232/12)/INDEX('Lease Cycles'!$CP$21:$CV$21,1,DZ231))/12,IF(DZ231=1,IF(DZ232&gt;=INDEX('Lease Cycles'!$DK$21:$DQ$21,1,DZ231),IF(DZ$6&gt;='Lease Cycles'!$AZ$21,'Lease Cycles'!$C$21*'Lease Cycles'!$BA$21/12,IF(DZ$6&gt;='Lease Cycles'!$AX$21,'Lease Cycles'!$C$21*'Lease Cycles'!$AY$21/12,IF(DZ$6&gt;='Lease Cycles'!$AV$21,'Lease Cycles'!$C$21*'Lease Cycles'!$AW$21/12,IF(DZ$6&gt;='Lease Cycles'!$AT$21,'Lease Cycles'!$C$21*'Lease Cycles'!$AU$21/12,'Lease Cycles'!$C$21*INDEX('Lease Cycles'!$CB$21:$CH$21,1,DZ231)*(1+INDEX('Lease Cycles'!$CI$21:$CO$21,1,DZ231))^INT(INT(DZ232/12)/INDEX('Lease Cycles'!$CP$21:$CV$21,1,DZ231))/12)))),'Lease Cycles'!$C$21*INDEX('Lease Cycles'!$CB$21:$CH$21,1,DZ231)*(1+INDEX('Lease Cycles'!$CI$21:$CO$21,1,DZ231))^INT(INT(DZ232/12)/INDEX('Lease Cycles'!$CP$21:$CV$21,1,DZ231))/12),IF(INDEX('Lease Cycles'!$EF$21:$EL$21,1,DZ231)=1,IF(AND('Lease Cycles'!$AZ$21&gt;=INDEX('Lease Cycles'!$BG$21:$BM$21,1,DZ231),'Lease Cycles'!$AZ$21&lt;=DZ$6),'Lease Cycles'!$C$21*'Lease Cycles'!$BA$21/12,IF(AND('Lease Cycles'!$AX$21&gt;=INDEX('Lease Cycles'!$BG$21:$BM$21,1,DZ231),'Lease Cycles'!$AX$21&lt;=DZ$6),'Lease Cycles'!$C$21*'Lease Cycles'!$AY$21/12,IF(AND('Lease Cycles'!$AV$21&gt;=INDEX('Lease Cycles'!$BG$21:$BM$21,1,DZ231),'Lease Cycles'!$AV$21&lt;=DZ$6),'Lease Cycles'!$C$21*'Lease Cycles'!$AW$21/12,IF(AND('Lease Cycles'!$AT$21&gt;=INDEX('Lease Cycles'!$BG$21:$BM$21,1,DZ231),'Lease Cycles'!$AT$21&lt;=DZ$6),'Lease Cycles'!$C$21*'Lease Cycles'!$AU$21/12,'Lease Cycles'!$C$21*INDEX('Lease Cycles'!$CB$21:$CH$21,1,DZ231)*(1+INDEX('Lease Cycles'!$CI$21:$CO$21,1,DZ231))^INT(INT(DZ232/12)/INDEX('Lease Cycles'!$CP$21:$CV$21,1,DZ231))/12)))),'Lease Cycles'!$C$21*INDEX('Lease Cycles'!$CB$21:$CH$21,1,DZ231)*(1+INDEX('Lease Cycles'!$CI$21:$CO$21,1,DZ231))^INT(INT(DZ232/12)/INDEX('Lease Cycles'!$CP$21:$CV$21,1,DZ231))/12))),IF('Lease Cycles'!$N$21=1,'Lease Cycles'!$C$21*'Lease Cycles'!$E$21*INDEX('Lease Cycles'!$HE$21:$HK$21,1,DZ231)*(1+INDEX('Lease Cycles'!$GQ$21:$GW$21,1,DZ231))^INT(INT((DZ$6-INDEX('Lease Cycles'!$GJ$21:$GP$21,1,DZ231))/12)/INDEX('Lease Cycles'!$GX$21:$HD$21,1,DZ231))/12,0)))</f>
        <v>0</v>
      </c>
      <c r="EA234" s="28">
        <f>IF(EA231=0,IF('Lease Cycles'!$F$21&gt;0,'Lease Cycles'!$C$21*'Lease Cycles'!$E$21/12,0),IF(EA233=1,IF('Lease Cycles'!$AT$21&gt;=9999,'Lease Cycles'!$C$21*INDEX('Lease Cycles'!$CB$21:$CH$21,1,EA231)*(1+INDEX('Lease Cycles'!$CI$21:$CO$21,1,EA231))^INT(INT(EA232/12)/INDEX('Lease Cycles'!$CP$21:$CV$21,1,EA231))/12,IF(EA231=1,IF(EA232&gt;=INDEX('Lease Cycles'!$DK$21:$DQ$21,1,EA231),IF(EA$6&gt;='Lease Cycles'!$AZ$21,'Lease Cycles'!$C$21*'Lease Cycles'!$BA$21/12,IF(EA$6&gt;='Lease Cycles'!$AX$21,'Lease Cycles'!$C$21*'Lease Cycles'!$AY$21/12,IF(EA$6&gt;='Lease Cycles'!$AV$21,'Lease Cycles'!$C$21*'Lease Cycles'!$AW$21/12,IF(EA$6&gt;='Lease Cycles'!$AT$21,'Lease Cycles'!$C$21*'Lease Cycles'!$AU$21/12,'Lease Cycles'!$C$21*INDEX('Lease Cycles'!$CB$21:$CH$21,1,EA231)*(1+INDEX('Lease Cycles'!$CI$21:$CO$21,1,EA231))^INT(INT(EA232/12)/INDEX('Lease Cycles'!$CP$21:$CV$21,1,EA231))/12)))),'Lease Cycles'!$C$21*INDEX('Lease Cycles'!$CB$21:$CH$21,1,EA231)*(1+INDEX('Lease Cycles'!$CI$21:$CO$21,1,EA231))^INT(INT(EA232/12)/INDEX('Lease Cycles'!$CP$21:$CV$21,1,EA231))/12),IF(INDEX('Lease Cycles'!$EF$21:$EL$21,1,EA231)=1,IF(AND('Lease Cycles'!$AZ$21&gt;=INDEX('Lease Cycles'!$BG$21:$BM$21,1,EA231),'Lease Cycles'!$AZ$21&lt;=EA$6),'Lease Cycles'!$C$21*'Lease Cycles'!$BA$21/12,IF(AND('Lease Cycles'!$AX$21&gt;=INDEX('Lease Cycles'!$BG$21:$BM$21,1,EA231),'Lease Cycles'!$AX$21&lt;=EA$6),'Lease Cycles'!$C$21*'Lease Cycles'!$AY$21/12,IF(AND('Lease Cycles'!$AV$21&gt;=INDEX('Lease Cycles'!$BG$21:$BM$21,1,EA231),'Lease Cycles'!$AV$21&lt;=EA$6),'Lease Cycles'!$C$21*'Lease Cycles'!$AW$21/12,IF(AND('Lease Cycles'!$AT$21&gt;=INDEX('Lease Cycles'!$BG$21:$BM$21,1,EA231),'Lease Cycles'!$AT$21&lt;=EA$6),'Lease Cycles'!$C$21*'Lease Cycles'!$AU$21/12,'Lease Cycles'!$C$21*INDEX('Lease Cycles'!$CB$21:$CH$21,1,EA231)*(1+INDEX('Lease Cycles'!$CI$21:$CO$21,1,EA231))^INT(INT(EA232/12)/INDEX('Lease Cycles'!$CP$21:$CV$21,1,EA231))/12)))),'Lease Cycles'!$C$21*INDEX('Lease Cycles'!$CB$21:$CH$21,1,EA231)*(1+INDEX('Lease Cycles'!$CI$21:$CO$21,1,EA231))^INT(INT(EA232/12)/INDEX('Lease Cycles'!$CP$21:$CV$21,1,EA231))/12))),IF('Lease Cycles'!$N$21=1,'Lease Cycles'!$C$21*'Lease Cycles'!$E$21*INDEX('Lease Cycles'!$HE$21:$HK$21,1,EA231)*(1+INDEX('Lease Cycles'!$GQ$21:$GW$21,1,EA231))^INT(INT((EA$6-INDEX('Lease Cycles'!$GJ$21:$GP$21,1,EA231))/12)/INDEX('Lease Cycles'!$GX$21:$HD$21,1,EA231))/12,0)))</f>
        <v>0</v>
      </c>
      <c r="EB234" s="28">
        <f>IF(EB231=0,IF('Lease Cycles'!$F$21&gt;0,'Lease Cycles'!$C$21*'Lease Cycles'!$E$21/12,0),IF(EB233=1,IF('Lease Cycles'!$AT$21&gt;=9999,'Lease Cycles'!$C$21*INDEX('Lease Cycles'!$CB$21:$CH$21,1,EB231)*(1+INDEX('Lease Cycles'!$CI$21:$CO$21,1,EB231))^INT(INT(EB232/12)/INDEX('Lease Cycles'!$CP$21:$CV$21,1,EB231))/12,IF(EB231=1,IF(EB232&gt;=INDEX('Lease Cycles'!$DK$21:$DQ$21,1,EB231),IF(EB$6&gt;='Lease Cycles'!$AZ$21,'Lease Cycles'!$C$21*'Lease Cycles'!$BA$21/12,IF(EB$6&gt;='Lease Cycles'!$AX$21,'Lease Cycles'!$C$21*'Lease Cycles'!$AY$21/12,IF(EB$6&gt;='Lease Cycles'!$AV$21,'Lease Cycles'!$C$21*'Lease Cycles'!$AW$21/12,IF(EB$6&gt;='Lease Cycles'!$AT$21,'Lease Cycles'!$C$21*'Lease Cycles'!$AU$21/12,'Lease Cycles'!$C$21*INDEX('Lease Cycles'!$CB$21:$CH$21,1,EB231)*(1+INDEX('Lease Cycles'!$CI$21:$CO$21,1,EB231))^INT(INT(EB232/12)/INDEX('Lease Cycles'!$CP$21:$CV$21,1,EB231))/12)))),'Lease Cycles'!$C$21*INDEX('Lease Cycles'!$CB$21:$CH$21,1,EB231)*(1+INDEX('Lease Cycles'!$CI$21:$CO$21,1,EB231))^INT(INT(EB232/12)/INDEX('Lease Cycles'!$CP$21:$CV$21,1,EB231))/12),IF(INDEX('Lease Cycles'!$EF$21:$EL$21,1,EB231)=1,IF(AND('Lease Cycles'!$AZ$21&gt;=INDEX('Lease Cycles'!$BG$21:$BM$21,1,EB231),'Lease Cycles'!$AZ$21&lt;=EB$6),'Lease Cycles'!$C$21*'Lease Cycles'!$BA$21/12,IF(AND('Lease Cycles'!$AX$21&gt;=INDEX('Lease Cycles'!$BG$21:$BM$21,1,EB231),'Lease Cycles'!$AX$21&lt;=EB$6),'Lease Cycles'!$C$21*'Lease Cycles'!$AY$21/12,IF(AND('Lease Cycles'!$AV$21&gt;=INDEX('Lease Cycles'!$BG$21:$BM$21,1,EB231),'Lease Cycles'!$AV$21&lt;=EB$6),'Lease Cycles'!$C$21*'Lease Cycles'!$AW$21/12,IF(AND('Lease Cycles'!$AT$21&gt;=INDEX('Lease Cycles'!$BG$21:$BM$21,1,EB231),'Lease Cycles'!$AT$21&lt;=EB$6),'Lease Cycles'!$C$21*'Lease Cycles'!$AU$21/12,'Lease Cycles'!$C$21*INDEX('Lease Cycles'!$CB$21:$CH$21,1,EB231)*(1+INDEX('Lease Cycles'!$CI$21:$CO$21,1,EB231))^INT(INT(EB232/12)/INDEX('Lease Cycles'!$CP$21:$CV$21,1,EB231))/12)))),'Lease Cycles'!$C$21*INDEX('Lease Cycles'!$CB$21:$CH$21,1,EB231)*(1+INDEX('Lease Cycles'!$CI$21:$CO$21,1,EB231))^INT(INT(EB232/12)/INDEX('Lease Cycles'!$CP$21:$CV$21,1,EB231))/12))),IF('Lease Cycles'!$N$21=1,'Lease Cycles'!$C$21*'Lease Cycles'!$E$21*INDEX('Lease Cycles'!$HE$21:$HK$21,1,EB231)*(1+INDEX('Lease Cycles'!$GQ$21:$GW$21,1,EB231))^INT(INT((EB$6-INDEX('Lease Cycles'!$GJ$21:$GP$21,1,EB231))/12)/INDEX('Lease Cycles'!$GX$21:$HD$21,1,EB231))/12,0)))</f>
        <v>0</v>
      </c>
      <c r="EC234" s="28">
        <f>IF(EC231=0,IF('Lease Cycles'!$F$21&gt;0,'Lease Cycles'!$C$21*'Lease Cycles'!$E$21/12,0),IF(EC233=1,IF('Lease Cycles'!$AT$21&gt;=9999,'Lease Cycles'!$C$21*INDEX('Lease Cycles'!$CB$21:$CH$21,1,EC231)*(1+INDEX('Lease Cycles'!$CI$21:$CO$21,1,EC231))^INT(INT(EC232/12)/INDEX('Lease Cycles'!$CP$21:$CV$21,1,EC231))/12,IF(EC231=1,IF(EC232&gt;=INDEX('Lease Cycles'!$DK$21:$DQ$21,1,EC231),IF(EC$6&gt;='Lease Cycles'!$AZ$21,'Lease Cycles'!$C$21*'Lease Cycles'!$BA$21/12,IF(EC$6&gt;='Lease Cycles'!$AX$21,'Lease Cycles'!$C$21*'Lease Cycles'!$AY$21/12,IF(EC$6&gt;='Lease Cycles'!$AV$21,'Lease Cycles'!$C$21*'Lease Cycles'!$AW$21/12,IF(EC$6&gt;='Lease Cycles'!$AT$21,'Lease Cycles'!$C$21*'Lease Cycles'!$AU$21/12,'Lease Cycles'!$C$21*INDEX('Lease Cycles'!$CB$21:$CH$21,1,EC231)*(1+INDEX('Lease Cycles'!$CI$21:$CO$21,1,EC231))^INT(INT(EC232/12)/INDEX('Lease Cycles'!$CP$21:$CV$21,1,EC231))/12)))),'Lease Cycles'!$C$21*INDEX('Lease Cycles'!$CB$21:$CH$21,1,EC231)*(1+INDEX('Lease Cycles'!$CI$21:$CO$21,1,EC231))^INT(INT(EC232/12)/INDEX('Lease Cycles'!$CP$21:$CV$21,1,EC231))/12),IF(INDEX('Lease Cycles'!$EF$21:$EL$21,1,EC231)=1,IF(AND('Lease Cycles'!$AZ$21&gt;=INDEX('Lease Cycles'!$BG$21:$BM$21,1,EC231),'Lease Cycles'!$AZ$21&lt;=EC$6),'Lease Cycles'!$C$21*'Lease Cycles'!$BA$21/12,IF(AND('Lease Cycles'!$AX$21&gt;=INDEX('Lease Cycles'!$BG$21:$BM$21,1,EC231),'Lease Cycles'!$AX$21&lt;=EC$6),'Lease Cycles'!$C$21*'Lease Cycles'!$AY$21/12,IF(AND('Lease Cycles'!$AV$21&gt;=INDEX('Lease Cycles'!$BG$21:$BM$21,1,EC231),'Lease Cycles'!$AV$21&lt;=EC$6),'Lease Cycles'!$C$21*'Lease Cycles'!$AW$21/12,IF(AND('Lease Cycles'!$AT$21&gt;=INDEX('Lease Cycles'!$BG$21:$BM$21,1,EC231),'Lease Cycles'!$AT$21&lt;=EC$6),'Lease Cycles'!$C$21*'Lease Cycles'!$AU$21/12,'Lease Cycles'!$C$21*INDEX('Lease Cycles'!$CB$21:$CH$21,1,EC231)*(1+INDEX('Lease Cycles'!$CI$21:$CO$21,1,EC231))^INT(INT(EC232/12)/INDEX('Lease Cycles'!$CP$21:$CV$21,1,EC231))/12)))),'Lease Cycles'!$C$21*INDEX('Lease Cycles'!$CB$21:$CH$21,1,EC231)*(1+INDEX('Lease Cycles'!$CI$21:$CO$21,1,EC231))^INT(INT(EC232/12)/INDEX('Lease Cycles'!$CP$21:$CV$21,1,EC231))/12))),IF('Lease Cycles'!$N$21=1,'Lease Cycles'!$C$21*'Lease Cycles'!$E$21*INDEX('Lease Cycles'!$HE$21:$HK$21,1,EC231)*(1+INDEX('Lease Cycles'!$GQ$21:$GW$21,1,EC231))^INT(INT((EC$6-INDEX('Lease Cycles'!$GJ$21:$GP$21,1,EC231))/12)/INDEX('Lease Cycles'!$GX$21:$HD$21,1,EC231))/12,0)))</f>
        <v>0</v>
      </c>
      <c r="ED234" s="28">
        <f>IF(ED231=0,IF('Lease Cycles'!$F$21&gt;0,'Lease Cycles'!$C$21*'Lease Cycles'!$E$21/12,0),IF(ED233=1,IF('Lease Cycles'!$AT$21&gt;=9999,'Lease Cycles'!$C$21*INDEX('Lease Cycles'!$CB$21:$CH$21,1,ED231)*(1+INDEX('Lease Cycles'!$CI$21:$CO$21,1,ED231))^INT(INT(ED232/12)/INDEX('Lease Cycles'!$CP$21:$CV$21,1,ED231))/12,IF(ED231=1,IF(ED232&gt;=INDEX('Lease Cycles'!$DK$21:$DQ$21,1,ED231),IF(ED$6&gt;='Lease Cycles'!$AZ$21,'Lease Cycles'!$C$21*'Lease Cycles'!$BA$21/12,IF(ED$6&gt;='Lease Cycles'!$AX$21,'Lease Cycles'!$C$21*'Lease Cycles'!$AY$21/12,IF(ED$6&gt;='Lease Cycles'!$AV$21,'Lease Cycles'!$C$21*'Lease Cycles'!$AW$21/12,IF(ED$6&gt;='Lease Cycles'!$AT$21,'Lease Cycles'!$C$21*'Lease Cycles'!$AU$21/12,'Lease Cycles'!$C$21*INDEX('Lease Cycles'!$CB$21:$CH$21,1,ED231)*(1+INDEX('Lease Cycles'!$CI$21:$CO$21,1,ED231))^INT(INT(ED232/12)/INDEX('Lease Cycles'!$CP$21:$CV$21,1,ED231))/12)))),'Lease Cycles'!$C$21*INDEX('Lease Cycles'!$CB$21:$CH$21,1,ED231)*(1+INDEX('Lease Cycles'!$CI$21:$CO$21,1,ED231))^INT(INT(ED232/12)/INDEX('Lease Cycles'!$CP$21:$CV$21,1,ED231))/12),IF(INDEX('Lease Cycles'!$EF$21:$EL$21,1,ED231)=1,IF(AND('Lease Cycles'!$AZ$21&gt;=INDEX('Lease Cycles'!$BG$21:$BM$21,1,ED231),'Lease Cycles'!$AZ$21&lt;=ED$6),'Lease Cycles'!$C$21*'Lease Cycles'!$BA$21/12,IF(AND('Lease Cycles'!$AX$21&gt;=INDEX('Lease Cycles'!$BG$21:$BM$21,1,ED231),'Lease Cycles'!$AX$21&lt;=ED$6),'Lease Cycles'!$C$21*'Lease Cycles'!$AY$21/12,IF(AND('Lease Cycles'!$AV$21&gt;=INDEX('Lease Cycles'!$BG$21:$BM$21,1,ED231),'Lease Cycles'!$AV$21&lt;=ED$6),'Lease Cycles'!$C$21*'Lease Cycles'!$AW$21/12,IF(AND('Lease Cycles'!$AT$21&gt;=INDEX('Lease Cycles'!$BG$21:$BM$21,1,ED231),'Lease Cycles'!$AT$21&lt;=ED$6),'Lease Cycles'!$C$21*'Lease Cycles'!$AU$21/12,'Lease Cycles'!$C$21*INDEX('Lease Cycles'!$CB$21:$CH$21,1,ED231)*(1+INDEX('Lease Cycles'!$CI$21:$CO$21,1,ED231))^INT(INT(ED232/12)/INDEX('Lease Cycles'!$CP$21:$CV$21,1,ED231))/12)))),'Lease Cycles'!$C$21*INDEX('Lease Cycles'!$CB$21:$CH$21,1,ED231)*(1+INDEX('Lease Cycles'!$CI$21:$CO$21,1,ED231))^INT(INT(ED232/12)/INDEX('Lease Cycles'!$CP$21:$CV$21,1,ED231))/12))),IF('Lease Cycles'!$N$21=1,'Lease Cycles'!$C$21*'Lease Cycles'!$E$21*INDEX('Lease Cycles'!$HE$21:$HK$21,1,ED231)*(1+INDEX('Lease Cycles'!$GQ$21:$GW$21,1,ED231))^INT(INT((ED$6-INDEX('Lease Cycles'!$GJ$21:$GP$21,1,ED231))/12)/INDEX('Lease Cycles'!$GX$21:$HD$21,1,ED231))/12,0)))</f>
        <v>0</v>
      </c>
      <c r="EE234" s="28">
        <f>IF(EE231=0,IF('Lease Cycles'!$F$21&gt;0,'Lease Cycles'!$C$21*'Lease Cycles'!$E$21/12,0),IF(EE233=1,IF('Lease Cycles'!$AT$21&gt;=9999,'Lease Cycles'!$C$21*INDEX('Lease Cycles'!$CB$21:$CH$21,1,EE231)*(1+INDEX('Lease Cycles'!$CI$21:$CO$21,1,EE231))^INT(INT(EE232/12)/INDEX('Lease Cycles'!$CP$21:$CV$21,1,EE231))/12,IF(EE231=1,IF(EE232&gt;=INDEX('Lease Cycles'!$DK$21:$DQ$21,1,EE231),IF(EE$6&gt;='Lease Cycles'!$AZ$21,'Lease Cycles'!$C$21*'Lease Cycles'!$BA$21/12,IF(EE$6&gt;='Lease Cycles'!$AX$21,'Lease Cycles'!$C$21*'Lease Cycles'!$AY$21/12,IF(EE$6&gt;='Lease Cycles'!$AV$21,'Lease Cycles'!$C$21*'Lease Cycles'!$AW$21/12,IF(EE$6&gt;='Lease Cycles'!$AT$21,'Lease Cycles'!$C$21*'Lease Cycles'!$AU$21/12,'Lease Cycles'!$C$21*INDEX('Lease Cycles'!$CB$21:$CH$21,1,EE231)*(1+INDEX('Lease Cycles'!$CI$21:$CO$21,1,EE231))^INT(INT(EE232/12)/INDEX('Lease Cycles'!$CP$21:$CV$21,1,EE231))/12)))),'Lease Cycles'!$C$21*INDEX('Lease Cycles'!$CB$21:$CH$21,1,EE231)*(1+INDEX('Lease Cycles'!$CI$21:$CO$21,1,EE231))^INT(INT(EE232/12)/INDEX('Lease Cycles'!$CP$21:$CV$21,1,EE231))/12),IF(INDEX('Lease Cycles'!$EF$21:$EL$21,1,EE231)=1,IF(AND('Lease Cycles'!$AZ$21&gt;=INDEX('Lease Cycles'!$BG$21:$BM$21,1,EE231),'Lease Cycles'!$AZ$21&lt;=EE$6),'Lease Cycles'!$C$21*'Lease Cycles'!$BA$21/12,IF(AND('Lease Cycles'!$AX$21&gt;=INDEX('Lease Cycles'!$BG$21:$BM$21,1,EE231),'Lease Cycles'!$AX$21&lt;=EE$6),'Lease Cycles'!$C$21*'Lease Cycles'!$AY$21/12,IF(AND('Lease Cycles'!$AV$21&gt;=INDEX('Lease Cycles'!$BG$21:$BM$21,1,EE231),'Lease Cycles'!$AV$21&lt;=EE$6),'Lease Cycles'!$C$21*'Lease Cycles'!$AW$21/12,IF(AND('Lease Cycles'!$AT$21&gt;=INDEX('Lease Cycles'!$BG$21:$BM$21,1,EE231),'Lease Cycles'!$AT$21&lt;=EE$6),'Lease Cycles'!$C$21*'Lease Cycles'!$AU$21/12,'Lease Cycles'!$C$21*INDEX('Lease Cycles'!$CB$21:$CH$21,1,EE231)*(1+INDEX('Lease Cycles'!$CI$21:$CO$21,1,EE231))^INT(INT(EE232/12)/INDEX('Lease Cycles'!$CP$21:$CV$21,1,EE231))/12)))),'Lease Cycles'!$C$21*INDEX('Lease Cycles'!$CB$21:$CH$21,1,EE231)*(1+INDEX('Lease Cycles'!$CI$21:$CO$21,1,EE231))^INT(INT(EE232/12)/INDEX('Lease Cycles'!$CP$21:$CV$21,1,EE231))/12))),IF('Lease Cycles'!$N$21=1,'Lease Cycles'!$C$21*'Lease Cycles'!$E$21*INDEX('Lease Cycles'!$HE$21:$HK$21,1,EE231)*(1+INDEX('Lease Cycles'!$GQ$21:$GW$21,1,EE231))^INT(INT((EE$6-INDEX('Lease Cycles'!$GJ$21:$GP$21,1,EE231))/12)/INDEX('Lease Cycles'!$GX$21:$HD$21,1,EE231))/12,0)))</f>
        <v>0</v>
      </c>
      <c r="EF234" s="28">
        <f>IF(EF231=0,IF('Lease Cycles'!$F$21&gt;0,'Lease Cycles'!$C$21*'Lease Cycles'!$E$21/12,0),IF(EF233=1,IF('Lease Cycles'!$AT$21&gt;=9999,'Lease Cycles'!$C$21*INDEX('Lease Cycles'!$CB$21:$CH$21,1,EF231)*(1+INDEX('Lease Cycles'!$CI$21:$CO$21,1,EF231))^INT(INT(EF232/12)/INDEX('Lease Cycles'!$CP$21:$CV$21,1,EF231))/12,IF(EF231=1,IF(EF232&gt;=INDEX('Lease Cycles'!$DK$21:$DQ$21,1,EF231),IF(EF$6&gt;='Lease Cycles'!$AZ$21,'Lease Cycles'!$C$21*'Lease Cycles'!$BA$21/12,IF(EF$6&gt;='Lease Cycles'!$AX$21,'Lease Cycles'!$C$21*'Lease Cycles'!$AY$21/12,IF(EF$6&gt;='Lease Cycles'!$AV$21,'Lease Cycles'!$C$21*'Lease Cycles'!$AW$21/12,IF(EF$6&gt;='Lease Cycles'!$AT$21,'Lease Cycles'!$C$21*'Lease Cycles'!$AU$21/12,'Lease Cycles'!$C$21*INDEX('Lease Cycles'!$CB$21:$CH$21,1,EF231)*(1+INDEX('Lease Cycles'!$CI$21:$CO$21,1,EF231))^INT(INT(EF232/12)/INDEX('Lease Cycles'!$CP$21:$CV$21,1,EF231))/12)))),'Lease Cycles'!$C$21*INDEX('Lease Cycles'!$CB$21:$CH$21,1,EF231)*(1+INDEX('Lease Cycles'!$CI$21:$CO$21,1,EF231))^INT(INT(EF232/12)/INDEX('Lease Cycles'!$CP$21:$CV$21,1,EF231))/12),IF(INDEX('Lease Cycles'!$EF$21:$EL$21,1,EF231)=1,IF(AND('Lease Cycles'!$AZ$21&gt;=INDEX('Lease Cycles'!$BG$21:$BM$21,1,EF231),'Lease Cycles'!$AZ$21&lt;=EF$6),'Lease Cycles'!$C$21*'Lease Cycles'!$BA$21/12,IF(AND('Lease Cycles'!$AX$21&gt;=INDEX('Lease Cycles'!$BG$21:$BM$21,1,EF231),'Lease Cycles'!$AX$21&lt;=EF$6),'Lease Cycles'!$C$21*'Lease Cycles'!$AY$21/12,IF(AND('Lease Cycles'!$AV$21&gt;=INDEX('Lease Cycles'!$BG$21:$BM$21,1,EF231),'Lease Cycles'!$AV$21&lt;=EF$6),'Lease Cycles'!$C$21*'Lease Cycles'!$AW$21/12,IF(AND('Lease Cycles'!$AT$21&gt;=INDEX('Lease Cycles'!$BG$21:$BM$21,1,EF231),'Lease Cycles'!$AT$21&lt;=EF$6),'Lease Cycles'!$C$21*'Lease Cycles'!$AU$21/12,'Lease Cycles'!$C$21*INDEX('Lease Cycles'!$CB$21:$CH$21,1,EF231)*(1+INDEX('Lease Cycles'!$CI$21:$CO$21,1,EF231))^INT(INT(EF232/12)/INDEX('Lease Cycles'!$CP$21:$CV$21,1,EF231))/12)))),'Lease Cycles'!$C$21*INDEX('Lease Cycles'!$CB$21:$CH$21,1,EF231)*(1+INDEX('Lease Cycles'!$CI$21:$CO$21,1,EF231))^INT(INT(EF232/12)/INDEX('Lease Cycles'!$CP$21:$CV$21,1,EF231))/12))),IF('Lease Cycles'!$N$21=1,'Lease Cycles'!$C$21*'Lease Cycles'!$E$21*INDEX('Lease Cycles'!$HE$21:$HK$21,1,EF231)*(1+INDEX('Lease Cycles'!$GQ$21:$GW$21,1,EF231))^INT(INT((EF$6-INDEX('Lease Cycles'!$GJ$21:$GP$21,1,EF231))/12)/INDEX('Lease Cycles'!$GX$21:$HD$21,1,EF231))/12,0)))</f>
        <v>0</v>
      </c>
      <c r="EG234" s="28">
        <f>IF(EG231=0,IF('Lease Cycles'!$F$21&gt;0,'Lease Cycles'!$C$21*'Lease Cycles'!$E$21/12,0),IF(EG233=1,IF('Lease Cycles'!$AT$21&gt;=9999,'Lease Cycles'!$C$21*INDEX('Lease Cycles'!$CB$21:$CH$21,1,EG231)*(1+INDEX('Lease Cycles'!$CI$21:$CO$21,1,EG231))^INT(INT(EG232/12)/INDEX('Lease Cycles'!$CP$21:$CV$21,1,EG231))/12,IF(EG231=1,IF(EG232&gt;=INDEX('Lease Cycles'!$DK$21:$DQ$21,1,EG231),IF(EG$6&gt;='Lease Cycles'!$AZ$21,'Lease Cycles'!$C$21*'Lease Cycles'!$BA$21/12,IF(EG$6&gt;='Lease Cycles'!$AX$21,'Lease Cycles'!$C$21*'Lease Cycles'!$AY$21/12,IF(EG$6&gt;='Lease Cycles'!$AV$21,'Lease Cycles'!$C$21*'Lease Cycles'!$AW$21/12,IF(EG$6&gt;='Lease Cycles'!$AT$21,'Lease Cycles'!$C$21*'Lease Cycles'!$AU$21/12,'Lease Cycles'!$C$21*INDEX('Lease Cycles'!$CB$21:$CH$21,1,EG231)*(1+INDEX('Lease Cycles'!$CI$21:$CO$21,1,EG231))^INT(INT(EG232/12)/INDEX('Lease Cycles'!$CP$21:$CV$21,1,EG231))/12)))),'Lease Cycles'!$C$21*INDEX('Lease Cycles'!$CB$21:$CH$21,1,EG231)*(1+INDEX('Lease Cycles'!$CI$21:$CO$21,1,EG231))^INT(INT(EG232/12)/INDEX('Lease Cycles'!$CP$21:$CV$21,1,EG231))/12),IF(INDEX('Lease Cycles'!$EF$21:$EL$21,1,EG231)=1,IF(AND('Lease Cycles'!$AZ$21&gt;=INDEX('Lease Cycles'!$BG$21:$BM$21,1,EG231),'Lease Cycles'!$AZ$21&lt;=EG$6),'Lease Cycles'!$C$21*'Lease Cycles'!$BA$21/12,IF(AND('Lease Cycles'!$AX$21&gt;=INDEX('Lease Cycles'!$BG$21:$BM$21,1,EG231),'Lease Cycles'!$AX$21&lt;=EG$6),'Lease Cycles'!$C$21*'Lease Cycles'!$AY$21/12,IF(AND('Lease Cycles'!$AV$21&gt;=INDEX('Lease Cycles'!$BG$21:$BM$21,1,EG231),'Lease Cycles'!$AV$21&lt;=EG$6),'Lease Cycles'!$C$21*'Lease Cycles'!$AW$21/12,IF(AND('Lease Cycles'!$AT$21&gt;=INDEX('Lease Cycles'!$BG$21:$BM$21,1,EG231),'Lease Cycles'!$AT$21&lt;=EG$6),'Lease Cycles'!$C$21*'Lease Cycles'!$AU$21/12,'Lease Cycles'!$C$21*INDEX('Lease Cycles'!$CB$21:$CH$21,1,EG231)*(1+INDEX('Lease Cycles'!$CI$21:$CO$21,1,EG231))^INT(INT(EG232/12)/INDEX('Lease Cycles'!$CP$21:$CV$21,1,EG231))/12)))),'Lease Cycles'!$C$21*INDEX('Lease Cycles'!$CB$21:$CH$21,1,EG231)*(1+INDEX('Lease Cycles'!$CI$21:$CO$21,1,EG231))^INT(INT(EG232/12)/INDEX('Lease Cycles'!$CP$21:$CV$21,1,EG231))/12))),IF('Lease Cycles'!$N$21=1,'Lease Cycles'!$C$21*'Lease Cycles'!$E$21*INDEX('Lease Cycles'!$HE$21:$HK$21,1,EG231)*(1+INDEX('Lease Cycles'!$GQ$21:$GW$21,1,EG231))^INT(INT((EG$6-INDEX('Lease Cycles'!$GJ$21:$GP$21,1,EG231))/12)/INDEX('Lease Cycles'!$GX$21:$HD$21,1,EG231))/12,0)))</f>
        <v>0</v>
      </c>
      <c r="EH234" s="28">
        <f>IF(EH231=0,IF('Lease Cycles'!$F$21&gt;0,'Lease Cycles'!$C$21*'Lease Cycles'!$E$21/12,0),IF(EH233=1,IF('Lease Cycles'!$AT$21&gt;=9999,'Lease Cycles'!$C$21*INDEX('Lease Cycles'!$CB$21:$CH$21,1,EH231)*(1+INDEX('Lease Cycles'!$CI$21:$CO$21,1,EH231))^INT(INT(EH232/12)/INDEX('Lease Cycles'!$CP$21:$CV$21,1,EH231))/12,IF(EH231=1,IF(EH232&gt;=INDEX('Lease Cycles'!$DK$21:$DQ$21,1,EH231),IF(EH$6&gt;='Lease Cycles'!$AZ$21,'Lease Cycles'!$C$21*'Lease Cycles'!$BA$21/12,IF(EH$6&gt;='Lease Cycles'!$AX$21,'Lease Cycles'!$C$21*'Lease Cycles'!$AY$21/12,IF(EH$6&gt;='Lease Cycles'!$AV$21,'Lease Cycles'!$C$21*'Lease Cycles'!$AW$21/12,IF(EH$6&gt;='Lease Cycles'!$AT$21,'Lease Cycles'!$C$21*'Lease Cycles'!$AU$21/12,'Lease Cycles'!$C$21*INDEX('Lease Cycles'!$CB$21:$CH$21,1,EH231)*(1+INDEX('Lease Cycles'!$CI$21:$CO$21,1,EH231))^INT(INT(EH232/12)/INDEX('Lease Cycles'!$CP$21:$CV$21,1,EH231))/12)))),'Lease Cycles'!$C$21*INDEX('Lease Cycles'!$CB$21:$CH$21,1,EH231)*(1+INDEX('Lease Cycles'!$CI$21:$CO$21,1,EH231))^INT(INT(EH232/12)/INDEX('Lease Cycles'!$CP$21:$CV$21,1,EH231))/12),IF(INDEX('Lease Cycles'!$EF$21:$EL$21,1,EH231)=1,IF(AND('Lease Cycles'!$AZ$21&gt;=INDEX('Lease Cycles'!$BG$21:$BM$21,1,EH231),'Lease Cycles'!$AZ$21&lt;=EH$6),'Lease Cycles'!$C$21*'Lease Cycles'!$BA$21/12,IF(AND('Lease Cycles'!$AX$21&gt;=INDEX('Lease Cycles'!$BG$21:$BM$21,1,EH231),'Lease Cycles'!$AX$21&lt;=EH$6),'Lease Cycles'!$C$21*'Lease Cycles'!$AY$21/12,IF(AND('Lease Cycles'!$AV$21&gt;=INDEX('Lease Cycles'!$BG$21:$BM$21,1,EH231),'Lease Cycles'!$AV$21&lt;=EH$6),'Lease Cycles'!$C$21*'Lease Cycles'!$AW$21/12,IF(AND('Lease Cycles'!$AT$21&gt;=INDEX('Lease Cycles'!$BG$21:$BM$21,1,EH231),'Lease Cycles'!$AT$21&lt;=EH$6),'Lease Cycles'!$C$21*'Lease Cycles'!$AU$21/12,'Lease Cycles'!$C$21*INDEX('Lease Cycles'!$CB$21:$CH$21,1,EH231)*(1+INDEX('Lease Cycles'!$CI$21:$CO$21,1,EH231))^INT(INT(EH232/12)/INDEX('Lease Cycles'!$CP$21:$CV$21,1,EH231))/12)))),'Lease Cycles'!$C$21*INDEX('Lease Cycles'!$CB$21:$CH$21,1,EH231)*(1+INDEX('Lease Cycles'!$CI$21:$CO$21,1,EH231))^INT(INT(EH232/12)/INDEX('Lease Cycles'!$CP$21:$CV$21,1,EH231))/12))),IF('Lease Cycles'!$N$21=1,'Lease Cycles'!$C$21*'Lease Cycles'!$E$21*INDEX('Lease Cycles'!$HE$21:$HK$21,1,EH231)*(1+INDEX('Lease Cycles'!$GQ$21:$GW$21,1,EH231))^INT(INT((EH$6-INDEX('Lease Cycles'!$GJ$21:$GP$21,1,EH231))/12)/INDEX('Lease Cycles'!$GX$21:$HD$21,1,EH231))/12,0)))</f>
        <v>0</v>
      </c>
      <c r="EI234" s="28">
        <f>IF(EI231=0,IF('Lease Cycles'!$F$21&gt;0,'Lease Cycles'!$C$21*'Lease Cycles'!$E$21/12,0),IF(EI233=1,IF('Lease Cycles'!$AT$21&gt;=9999,'Lease Cycles'!$C$21*INDEX('Lease Cycles'!$CB$21:$CH$21,1,EI231)*(1+INDEX('Lease Cycles'!$CI$21:$CO$21,1,EI231))^INT(INT(EI232/12)/INDEX('Lease Cycles'!$CP$21:$CV$21,1,EI231))/12,IF(EI231=1,IF(EI232&gt;=INDEX('Lease Cycles'!$DK$21:$DQ$21,1,EI231),IF(EI$6&gt;='Lease Cycles'!$AZ$21,'Lease Cycles'!$C$21*'Lease Cycles'!$BA$21/12,IF(EI$6&gt;='Lease Cycles'!$AX$21,'Lease Cycles'!$C$21*'Lease Cycles'!$AY$21/12,IF(EI$6&gt;='Lease Cycles'!$AV$21,'Lease Cycles'!$C$21*'Lease Cycles'!$AW$21/12,IF(EI$6&gt;='Lease Cycles'!$AT$21,'Lease Cycles'!$C$21*'Lease Cycles'!$AU$21/12,'Lease Cycles'!$C$21*INDEX('Lease Cycles'!$CB$21:$CH$21,1,EI231)*(1+INDEX('Lease Cycles'!$CI$21:$CO$21,1,EI231))^INT(INT(EI232/12)/INDEX('Lease Cycles'!$CP$21:$CV$21,1,EI231))/12)))),'Lease Cycles'!$C$21*INDEX('Lease Cycles'!$CB$21:$CH$21,1,EI231)*(1+INDEX('Lease Cycles'!$CI$21:$CO$21,1,EI231))^INT(INT(EI232/12)/INDEX('Lease Cycles'!$CP$21:$CV$21,1,EI231))/12),IF(INDEX('Lease Cycles'!$EF$21:$EL$21,1,EI231)=1,IF(AND('Lease Cycles'!$AZ$21&gt;=INDEX('Lease Cycles'!$BG$21:$BM$21,1,EI231),'Lease Cycles'!$AZ$21&lt;=EI$6),'Lease Cycles'!$C$21*'Lease Cycles'!$BA$21/12,IF(AND('Lease Cycles'!$AX$21&gt;=INDEX('Lease Cycles'!$BG$21:$BM$21,1,EI231),'Lease Cycles'!$AX$21&lt;=EI$6),'Lease Cycles'!$C$21*'Lease Cycles'!$AY$21/12,IF(AND('Lease Cycles'!$AV$21&gt;=INDEX('Lease Cycles'!$BG$21:$BM$21,1,EI231),'Lease Cycles'!$AV$21&lt;=EI$6),'Lease Cycles'!$C$21*'Lease Cycles'!$AW$21/12,IF(AND('Lease Cycles'!$AT$21&gt;=INDEX('Lease Cycles'!$BG$21:$BM$21,1,EI231),'Lease Cycles'!$AT$21&lt;=EI$6),'Lease Cycles'!$C$21*'Lease Cycles'!$AU$21/12,'Lease Cycles'!$C$21*INDEX('Lease Cycles'!$CB$21:$CH$21,1,EI231)*(1+INDEX('Lease Cycles'!$CI$21:$CO$21,1,EI231))^INT(INT(EI232/12)/INDEX('Lease Cycles'!$CP$21:$CV$21,1,EI231))/12)))),'Lease Cycles'!$C$21*INDEX('Lease Cycles'!$CB$21:$CH$21,1,EI231)*(1+INDEX('Lease Cycles'!$CI$21:$CO$21,1,EI231))^INT(INT(EI232/12)/INDEX('Lease Cycles'!$CP$21:$CV$21,1,EI231))/12))),IF('Lease Cycles'!$N$21=1,'Lease Cycles'!$C$21*'Lease Cycles'!$E$21*INDEX('Lease Cycles'!$HE$21:$HK$21,1,EI231)*(1+INDEX('Lease Cycles'!$GQ$21:$GW$21,1,EI231))^INT(INT((EI$6-INDEX('Lease Cycles'!$GJ$21:$GP$21,1,EI231))/12)/INDEX('Lease Cycles'!$GX$21:$HD$21,1,EI231))/12,0)))</f>
        <v>0</v>
      </c>
      <c r="EJ234" s="28">
        <f>IF(EJ231=0,IF('Lease Cycles'!$F$21&gt;0,'Lease Cycles'!$C$21*'Lease Cycles'!$E$21/12,0),IF(EJ233=1,IF('Lease Cycles'!$AT$21&gt;=9999,'Lease Cycles'!$C$21*INDEX('Lease Cycles'!$CB$21:$CH$21,1,EJ231)*(1+INDEX('Lease Cycles'!$CI$21:$CO$21,1,EJ231))^INT(INT(EJ232/12)/INDEX('Lease Cycles'!$CP$21:$CV$21,1,EJ231))/12,IF(EJ231=1,IF(EJ232&gt;=INDEX('Lease Cycles'!$DK$21:$DQ$21,1,EJ231),IF(EJ$6&gt;='Lease Cycles'!$AZ$21,'Lease Cycles'!$C$21*'Lease Cycles'!$BA$21/12,IF(EJ$6&gt;='Lease Cycles'!$AX$21,'Lease Cycles'!$C$21*'Lease Cycles'!$AY$21/12,IF(EJ$6&gt;='Lease Cycles'!$AV$21,'Lease Cycles'!$C$21*'Lease Cycles'!$AW$21/12,IF(EJ$6&gt;='Lease Cycles'!$AT$21,'Lease Cycles'!$C$21*'Lease Cycles'!$AU$21/12,'Lease Cycles'!$C$21*INDEX('Lease Cycles'!$CB$21:$CH$21,1,EJ231)*(1+INDEX('Lease Cycles'!$CI$21:$CO$21,1,EJ231))^INT(INT(EJ232/12)/INDEX('Lease Cycles'!$CP$21:$CV$21,1,EJ231))/12)))),'Lease Cycles'!$C$21*INDEX('Lease Cycles'!$CB$21:$CH$21,1,EJ231)*(1+INDEX('Lease Cycles'!$CI$21:$CO$21,1,EJ231))^INT(INT(EJ232/12)/INDEX('Lease Cycles'!$CP$21:$CV$21,1,EJ231))/12),IF(INDEX('Lease Cycles'!$EF$21:$EL$21,1,EJ231)=1,IF(AND('Lease Cycles'!$AZ$21&gt;=INDEX('Lease Cycles'!$BG$21:$BM$21,1,EJ231),'Lease Cycles'!$AZ$21&lt;=EJ$6),'Lease Cycles'!$C$21*'Lease Cycles'!$BA$21/12,IF(AND('Lease Cycles'!$AX$21&gt;=INDEX('Lease Cycles'!$BG$21:$BM$21,1,EJ231),'Lease Cycles'!$AX$21&lt;=EJ$6),'Lease Cycles'!$C$21*'Lease Cycles'!$AY$21/12,IF(AND('Lease Cycles'!$AV$21&gt;=INDEX('Lease Cycles'!$BG$21:$BM$21,1,EJ231),'Lease Cycles'!$AV$21&lt;=EJ$6),'Lease Cycles'!$C$21*'Lease Cycles'!$AW$21/12,IF(AND('Lease Cycles'!$AT$21&gt;=INDEX('Lease Cycles'!$BG$21:$BM$21,1,EJ231),'Lease Cycles'!$AT$21&lt;=EJ$6),'Lease Cycles'!$C$21*'Lease Cycles'!$AU$21/12,'Lease Cycles'!$C$21*INDEX('Lease Cycles'!$CB$21:$CH$21,1,EJ231)*(1+INDEX('Lease Cycles'!$CI$21:$CO$21,1,EJ231))^INT(INT(EJ232/12)/INDEX('Lease Cycles'!$CP$21:$CV$21,1,EJ231))/12)))),'Lease Cycles'!$C$21*INDEX('Lease Cycles'!$CB$21:$CH$21,1,EJ231)*(1+INDEX('Lease Cycles'!$CI$21:$CO$21,1,EJ231))^INT(INT(EJ232/12)/INDEX('Lease Cycles'!$CP$21:$CV$21,1,EJ231))/12))),IF('Lease Cycles'!$N$21=1,'Lease Cycles'!$C$21*'Lease Cycles'!$E$21*INDEX('Lease Cycles'!$HE$21:$HK$21,1,EJ231)*(1+INDEX('Lease Cycles'!$GQ$21:$GW$21,1,EJ231))^INT(INT((EJ$6-INDEX('Lease Cycles'!$GJ$21:$GP$21,1,EJ231))/12)/INDEX('Lease Cycles'!$GX$21:$HD$21,1,EJ231))/12,0)))</f>
        <v>0</v>
      </c>
      <c r="EK234" s="28">
        <f>IF(EK231=0,IF('Lease Cycles'!$F$21&gt;0,'Lease Cycles'!$C$21*'Lease Cycles'!$E$21/12,0),IF(EK233=1,IF('Lease Cycles'!$AT$21&gt;=9999,'Lease Cycles'!$C$21*INDEX('Lease Cycles'!$CB$21:$CH$21,1,EK231)*(1+INDEX('Lease Cycles'!$CI$21:$CO$21,1,EK231))^INT(INT(EK232/12)/INDEX('Lease Cycles'!$CP$21:$CV$21,1,EK231))/12,IF(EK231=1,IF(EK232&gt;=INDEX('Lease Cycles'!$DK$21:$DQ$21,1,EK231),IF(EK$6&gt;='Lease Cycles'!$AZ$21,'Lease Cycles'!$C$21*'Lease Cycles'!$BA$21/12,IF(EK$6&gt;='Lease Cycles'!$AX$21,'Lease Cycles'!$C$21*'Lease Cycles'!$AY$21/12,IF(EK$6&gt;='Lease Cycles'!$AV$21,'Lease Cycles'!$C$21*'Lease Cycles'!$AW$21/12,IF(EK$6&gt;='Lease Cycles'!$AT$21,'Lease Cycles'!$C$21*'Lease Cycles'!$AU$21/12,'Lease Cycles'!$C$21*INDEX('Lease Cycles'!$CB$21:$CH$21,1,EK231)*(1+INDEX('Lease Cycles'!$CI$21:$CO$21,1,EK231))^INT(INT(EK232/12)/INDEX('Lease Cycles'!$CP$21:$CV$21,1,EK231))/12)))),'Lease Cycles'!$C$21*INDEX('Lease Cycles'!$CB$21:$CH$21,1,EK231)*(1+INDEX('Lease Cycles'!$CI$21:$CO$21,1,EK231))^INT(INT(EK232/12)/INDEX('Lease Cycles'!$CP$21:$CV$21,1,EK231))/12),IF(INDEX('Lease Cycles'!$EF$21:$EL$21,1,EK231)=1,IF(AND('Lease Cycles'!$AZ$21&gt;=INDEX('Lease Cycles'!$BG$21:$BM$21,1,EK231),'Lease Cycles'!$AZ$21&lt;=EK$6),'Lease Cycles'!$C$21*'Lease Cycles'!$BA$21/12,IF(AND('Lease Cycles'!$AX$21&gt;=INDEX('Lease Cycles'!$BG$21:$BM$21,1,EK231),'Lease Cycles'!$AX$21&lt;=EK$6),'Lease Cycles'!$C$21*'Lease Cycles'!$AY$21/12,IF(AND('Lease Cycles'!$AV$21&gt;=INDEX('Lease Cycles'!$BG$21:$BM$21,1,EK231),'Lease Cycles'!$AV$21&lt;=EK$6),'Lease Cycles'!$C$21*'Lease Cycles'!$AW$21/12,IF(AND('Lease Cycles'!$AT$21&gt;=INDEX('Lease Cycles'!$BG$21:$BM$21,1,EK231),'Lease Cycles'!$AT$21&lt;=EK$6),'Lease Cycles'!$C$21*'Lease Cycles'!$AU$21/12,'Lease Cycles'!$C$21*INDEX('Lease Cycles'!$CB$21:$CH$21,1,EK231)*(1+INDEX('Lease Cycles'!$CI$21:$CO$21,1,EK231))^INT(INT(EK232/12)/INDEX('Lease Cycles'!$CP$21:$CV$21,1,EK231))/12)))),'Lease Cycles'!$C$21*INDEX('Lease Cycles'!$CB$21:$CH$21,1,EK231)*(1+INDEX('Lease Cycles'!$CI$21:$CO$21,1,EK231))^INT(INT(EK232/12)/INDEX('Lease Cycles'!$CP$21:$CV$21,1,EK231))/12))),IF('Lease Cycles'!$N$21=1,'Lease Cycles'!$C$21*'Lease Cycles'!$E$21*INDEX('Lease Cycles'!$HE$21:$HK$21,1,EK231)*(1+INDEX('Lease Cycles'!$GQ$21:$GW$21,1,EK231))^INT(INT((EK$6-INDEX('Lease Cycles'!$GJ$21:$GP$21,1,EK231))/12)/INDEX('Lease Cycles'!$GX$21:$HD$21,1,EK231))/12,0)))</f>
        <v>0</v>
      </c>
      <c r="EL234" s="28">
        <f>IF(EL231=0,IF('Lease Cycles'!$F$21&gt;0,'Lease Cycles'!$C$21*'Lease Cycles'!$E$21/12,0),IF(EL233=1,IF('Lease Cycles'!$AT$21&gt;=9999,'Lease Cycles'!$C$21*INDEX('Lease Cycles'!$CB$21:$CH$21,1,EL231)*(1+INDEX('Lease Cycles'!$CI$21:$CO$21,1,EL231))^INT(INT(EL232/12)/INDEX('Lease Cycles'!$CP$21:$CV$21,1,EL231))/12,IF(EL231=1,IF(EL232&gt;=INDEX('Lease Cycles'!$DK$21:$DQ$21,1,EL231),IF(EL$6&gt;='Lease Cycles'!$AZ$21,'Lease Cycles'!$C$21*'Lease Cycles'!$BA$21/12,IF(EL$6&gt;='Lease Cycles'!$AX$21,'Lease Cycles'!$C$21*'Lease Cycles'!$AY$21/12,IF(EL$6&gt;='Lease Cycles'!$AV$21,'Lease Cycles'!$C$21*'Lease Cycles'!$AW$21/12,IF(EL$6&gt;='Lease Cycles'!$AT$21,'Lease Cycles'!$C$21*'Lease Cycles'!$AU$21/12,'Lease Cycles'!$C$21*INDEX('Lease Cycles'!$CB$21:$CH$21,1,EL231)*(1+INDEX('Lease Cycles'!$CI$21:$CO$21,1,EL231))^INT(INT(EL232/12)/INDEX('Lease Cycles'!$CP$21:$CV$21,1,EL231))/12)))),'Lease Cycles'!$C$21*INDEX('Lease Cycles'!$CB$21:$CH$21,1,EL231)*(1+INDEX('Lease Cycles'!$CI$21:$CO$21,1,EL231))^INT(INT(EL232/12)/INDEX('Lease Cycles'!$CP$21:$CV$21,1,EL231))/12),IF(INDEX('Lease Cycles'!$EF$21:$EL$21,1,EL231)=1,IF(AND('Lease Cycles'!$AZ$21&gt;=INDEX('Lease Cycles'!$BG$21:$BM$21,1,EL231),'Lease Cycles'!$AZ$21&lt;=EL$6),'Lease Cycles'!$C$21*'Lease Cycles'!$BA$21/12,IF(AND('Lease Cycles'!$AX$21&gt;=INDEX('Lease Cycles'!$BG$21:$BM$21,1,EL231),'Lease Cycles'!$AX$21&lt;=EL$6),'Lease Cycles'!$C$21*'Lease Cycles'!$AY$21/12,IF(AND('Lease Cycles'!$AV$21&gt;=INDEX('Lease Cycles'!$BG$21:$BM$21,1,EL231),'Lease Cycles'!$AV$21&lt;=EL$6),'Lease Cycles'!$C$21*'Lease Cycles'!$AW$21/12,IF(AND('Lease Cycles'!$AT$21&gt;=INDEX('Lease Cycles'!$BG$21:$BM$21,1,EL231),'Lease Cycles'!$AT$21&lt;=EL$6),'Lease Cycles'!$C$21*'Lease Cycles'!$AU$21/12,'Lease Cycles'!$C$21*INDEX('Lease Cycles'!$CB$21:$CH$21,1,EL231)*(1+INDEX('Lease Cycles'!$CI$21:$CO$21,1,EL231))^INT(INT(EL232/12)/INDEX('Lease Cycles'!$CP$21:$CV$21,1,EL231))/12)))),'Lease Cycles'!$C$21*INDEX('Lease Cycles'!$CB$21:$CH$21,1,EL231)*(1+INDEX('Lease Cycles'!$CI$21:$CO$21,1,EL231))^INT(INT(EL232/12)/INDEX('Lease Cycles'!$CP$21:$CV$21,1,EL231))/12))),IF('Lease Cycles'!$N$21=1,'Lease Cycles'!$C$21*'Lease Cycles'!$E$21*INDEX('Lease Cycles'!$HE$21:$HK$21,1,EL231)*(1+INDEX('Lease Cycles'!$GQ$21:$GW$21,1,EL231))^INT(INT((EL$6-INDEX('Lease Cycles'!$GJ$21:$GP$21,1,EL231))/12)/INDEX('Lease Cycles'!$GX$21:$HD$21,1,EL231))/12,0)))</f>
        <v>0</v>
      </c>
      <c r="EM234" s="28">
        <f>IF(EM231=0,IF('Lease Cycles'!$F$21&gt;0,'Lease Cycles'!$C$21*'Lease Cycles'!$E$21/12,0),IF(EM233=1,IF('Lease Cycles'!$AT$21&gt;=9999,'Lease Cycles'!$C$21*INDEX('Lease Cycles'!$CB$21:$CH$21,1,EM231)*(1+INDEX('Lease Cycles'!$CI$21:$CO$21,1,EM231))^INT(INT(EM232/12)/INDEX('Lease Cycles'!$CP$21:$CV$21,1,EM231))/12,IF(EM231=1,IF(EM232&gt;=INDEX('Lease Cycles'!$DK$21:$DQ$21,1,EM231),IF(EM$6&gt;='Lease Cycles'!$AZ$21,'Lease Cycles'!$C$21*'Lease Cycles'!$BA$21/12,IF(EM$6&gt;='Lease Cycles'!$AX$21,'Lease Cycles'!$C$21*'Lease Cycles'!$AY$21/12,IF(EM$6&gt;='Lease Cycles'!$AV$21,'Lease Cycles'!$C$21*'Lease Cycles'!$AW$21/12,IF(EM$6&gt;='Lease Cycles'!$AT$21,'Lease Cycles'!$C$21*'Lease Cycles'!$AU$21/12,'Lease Cycles'!$C$21*INDEX('Lease Cycles'!$CB$21:$CH$21,1,EM231)*(1+INDEX('Lease Cycles'!$CI$21:$CO$21,1,EM231))^INT(INT(EM232/12)/INDEX('Lease Cycles'!$CP$21:$CV$21,1,EM231))/12)))),'Lease Cycles'!$C$21*INDEX('Lease Cycles'!$CB$21:$CH$21,1,EM231)*(1+INDEX('Lease Cycles'!$CI$21:$CO$21,1,EM231))^INT(INT(EM232/12)/INDEX('Lease Cycles'!$CP$21:$CV$21,1,EM231))/12),IF(INDEX('Lease Cycles'!$EF$21:$EL$21,1,EM231)=1,IF(AND('Lease Cycles'!$AZ$21&gt;=INDEX('Lease Cycles'!$BG$21:$BM$21,1,EM231),'Lease Cycles'!$AZ$21&lt;=EM$6),'Lease Cycles'!$C$21*'Lease Cycles'!$BA$21/12,IF(AND('Lease Cycles'!$AX$21&gt;=INDEX('Lease Cycles'!$BG$21:$BM$21,1,EM231),'Lease Cycles'!$AX$21&lt;=EM$6),'Lease Cycles'!$C$21*'Lease Cycles'!$AY$21/12,IF(AND('Lease Cycles'!$AV$21&gt;=INDEX('Lease Cycles'!$BG$21:$BM$21,1,EM231),'Lease Cycles'!$AV$21&lt;=EM$6),'Lease Cycles'!$C$21*'Lease Cycles'!$AW$21/12,IF(AND('Lease Cycles'!$AT$21&gt;=INDEX('Lease Cycles'!$BG$21:$BM$21,1,EM231),'Lease Cycles'!$AT$21&lt;=EM$6),'Lease Cycles'!$C$21*'Lease Cycles'!$AU$21/12,'Lease Cycles'!$C$21*INDEX('Lease Cycles'!$CB$21:$CH$21,1,EM231)*(1+INDEX('Lease Cycles'!$CI$21:$CO$21,1,EM231))^INT(INT(EM232/12)/INDEX('Lease Cycles'!$CP$21:$CV$21,1,EM231))/12)))),'Lease Cycles'!$C$21*INDEX('Lease Cycles'!$CB$21:$CH$21,1,EM231)*(1+INDEX('Lease Cycles'!$CI$21:$CO$21,1,EM231))^INT(INT(EM232/12)/INDEX('Lease Cycles'!$CP$21:$CV$21,1,EM231))/12))),IF('Lease Cycles'!$N$21=1,'Lease Cycles'!$C$21*'Lease Cycles'!$E$21*INDEX('Lease Cycles'!$HE$21:$HK$21,1,EM231)*(1+INDEX('Lease Cycles'!$GQ$21:$GW$21,1,EM231))^INT(INT((EM$6-INDEX('Lease Cycles'!$GJ$21:$GP$21,1,EM231))/12)/INDEX('Lease Cycles'!$GX$21:$HD$21,1,EM231))/12,0)))</f>
        <v>0</v>
      </c>
      <c r="EN234" s="28">
        <f>IF(EN231=0,IF('Lease Cycles'!$F$21&gt;0,'Lease Cycles'!$C$21*'Lease Cycles'!$E$21/12,0),IF(EN233=1,IF('Lease Cycles'!$AT$21&gt;=9999,'Lease Cycles'!$C$21*INDEX('Lease Cycles'!$CB$21:$CH$21,1,EN231)*(1+INDEX('Lease Cycles'!$CI$21:$CO$21,1,EN231))^INT(INT(EN232/12)/INDEX('Lease Cycles'!$CP$21:$CV$21,1,EN231))/12,IF(EN231=1,IF(EN232&gt;=INDEX('Lease Cycles'!$DK$21:$DQ$21,1,EN231),IF(EN$6&gt;='Lease Cycles'!$AZ$21,'Lease Cycles'!$C$21*'Lease Cycles'!$BA$21/12,IF(EN$6&gt;='Lease Cycles'!$AX$21,'Lease Cycles'!$C$21*'Lease Cycles'!$AY$21/12,IF(EN$6&gt;='Lease Cycles'!$AV$21,'Lease Cycles'!$C$21*'Lease Cycles'!$AW$21/12,IF(EN$6&gt;='Lease Cycles'!$AT$21,'Lease Cycles'!$C$21*'Lease Cycles'!$AU$21/12,'Lease Cycles'!$C$21*INDEX('Lease Cycles'!$CB$21:$CH$21,1,EN231)*(1+INDEX('Lease Cycles'!$CI$21:$CO$21,1,EN231))^INT(INT(EN232/12)/INDEX('Lease Cycles'!$CP$21:$CV$21,1,EN231))/12)))),'Lease Cycles'!$C$21*INDEX('Lease Cycles'!$CB$21:$CH$21,1,EN231)*(1+INDEX('Lease Cycles'!$CI$21:$CO$21,1,EN231))^INT(INT(EN232/12)/INDEX('Lease Cycles'!$CP$21:$CV$21,1,EN231))/12),IF(INDEX('Lease Cycles'!$EF$21:$EL$21,1,EN231)=1,IF(AND('Lease Cycles'!$AZ$21&gt;=INDEX('Lease Cycles'!$BG$21:$BM$21,1,EN231),'Lease Cycles'!$AZ$21&lt;=EN$6),'Lease Cycles'!$C$21*'Lease Cycles'!$BA$21/12,IF(AND('Lease Cycles'!$AX$21&gt;=INDEX('Lease Cycles'!$BG$21:$BM$21,1,EN231),'Lease Cycles'!$AX$21&lt;=EN$6),'Lease Cycles'!$C$21*'Lease Cycles'!$AY$21/12,IF(AND('Lease Cycles'!$AV$21&gt;=INDEX('Lease Cycles'!$BG$21:$BM$21,1,EN231),'Lease Cycles'!$AV$21&lt;=EN$6),'Lease Cycles'!$C$21*'Lease Cycles'!$AW$21/12,IF(AND('Lease Cycles'!$AT$21&gt;=INDEX('Lease Cycles'!$BG$21:$BM$21,1,EN231),'Lease Cycles'!$AT$21&lt;=EN$6),'Lease Cycles'!$C$21*'Lease Cycles'!$AU$21/12,'Lease Cycles'!$C$21*INDEX('Lease Cycles'!$CB$21:$CH$21,1,EN231)*(1+INDEX('Lease Cycles'!$CI$21:$CO$21,1,EN231))^INT(INT(EN232/12)/INDEX('Lease Cycles'!$CP$21:$CV$21,1,EN231))/12)))),'Lease Cycles'!$C$21*INDEX('Lease Cycles'!$CB$21:$CH$21,1,EN231)*(1+INDEX('Lease Cycles'!$CI$21:$CO$21,1,EN231))^INT(INT(EN232/12)/INDEX('Lease Cycles'!$CP$21:$CV$21,1,EN231))/12))),IF('Lease Cycles'!$N$21=1,'Lease Cycles'!$C$21*'Lease Cycles'!$E$21*INDEX('Lease Cycles'!$HE$21:$HK$21,1,EN231)*(1+INDEX('Lease Cycles'!$GQ$21:$GW$21,1,EN231))^INT(INT((EN$6-INDEX('Lease Cycles'!$GJ$21:$GP$21,1,EN231))/12)/INDEX('Lease Cycles'!$GX$21:$HD$21,1,EN231))/12,0)))</f>
        <v>0</v>
      </c>
      <c r="EO234" s="28">
        <f>IF(EO231=0,IF('Lease Cycles'!$F$21&gt;0,'Lease Cycles'!$C$21*'Lease Cycles'!$E$21/12,0),IF(EO233=1,IF('Lease Cycles'!$AT$21&gt;=9999,'Lease Cycles'!$C$21*INDEX('Lease Cycles'!$CB$21:$CH$21,1,EO231)*(1+INDEX('Lease Cycles'!$CI$21:$CO$21,1,EO231))^INT(INT(EO232/12)/INDEX('Lease Cycles'!$CP$21:$CV$21,1,EO231))/12,IF(EO231=1,IF(EO232&gt;=INDEX('Lease Cycles'!$DK$21:$DQ$21,1,EO231),IF(EO$6&gt;='Lease Cycles'!$AZ$21,'Lease Cycles'!$C$21*'Lease Cycles'!$BA$21/12,IF(EO$6&gt;='Lease Cycles'!$AX$21,'Lease Cycles'!$C$21*'Lease Cycles'!$AY$21/12,IF(EO$6&gt;='Lease Cycles'!$AV$21,'Lease Cycles'!$C$21*'Lease Cycles'!$AW$21/12,IF(EO$6&gt;='Lease Cycles'!$AT$21,'Lease Cycles'!$C$21*'Lease Cycles'!$AU$21/12,'Lease Cycles'!$C$21*INDEX('Lease Cycles'!$CB$21:$CH$21,1,EO231)*(1+INDEX('Lease Cycles'!$CI$21:$CO$21,1,EO231))^INT(INT(EO232/12)/INDEX('Lease Cycles'!$CP$21:$CV$21,1,EO231))/12)))),'Lease Cycles'!$C$21*INDEX('Lease Cycles'!$CB$21:$CH$21,1,EO231)*(1+INDEX('Lease Cycles'!$CI$21:$CO$21,1,EO231))^INT(INT(EO232/12)/INDEX('Lease Cycles'!$CP$21:$CV$21,1,EO231))/12),IF(INDEX('Lease Cycles'!$EF$21:$EL$21,1,EO231)=1,IF(AND('Lease Cycles'!$AZ$21&gt;=INDEX('Lease Cycles'!$BG$21:$BM$21,1,EO231),'Lease Cycles'!$AZ$21&lt;=EO$6),'Lease Cycles'!$C$21*'Lease Cycles'!$BA$21/12,IF(AND('Lease Cycles'!$AX$21&gt;=INDEX('Lease Cycles'!$BG$21:$BM$21,1,EO231),'Lease Cycles'!$AX$21&lt;=EO$6),'Lease Cycles'!$C$21*'Lease Cycles'!$AY$21/12,IF(AND('Lease Cycles'!$AV$21&gt;=INDEX('Lease Cycles'!$BG$21:$BM$21,1,EO231),'Lease Cycles'!$AV$21&lt;=EO$6),'Lease Cycles'!$C$21*'Lease Cycles'!$AW$21/12,IF(AND('Lease Cycles'!$AT$21&gt;=INDEX('Lease Cycles'!$BG$21:$BM$21,1,EO231),'Lease Cycles'!$AT$21&lt;=EO$6),'Lease Cycles'!$C$21*'Lease Cycles'!$AU$21/12,'Lease Cycles'!$C$21*INDEX('Lease Cycles'!$CB$21:$CH$21,1,EO231)*(1+INDEX('Lease Cycles'!$CI$21:$CO$21,1,EO231))^INT(INT(EO232/12)/INDEX('Lease Cycles'!$CP$21:$CV$21,1,EO231))/12)))),'Lease Cycles'!$C$21*INDEX('Lease Cycles'!$CB$21:$CH$21,1,EO231)*(1+INDEX('Lease Cycles'!$CI$21:$CO$21,1,EO231))^INT(INT(EO232/12)/INDEX('Lease Cycles'!$CP$21:$CV$21,1,EO231))/12))),IF('Lease Cycles'!$N$21=1,'Lease Cycles'!$C$21*'Lease Cycles'!$E$21*INDEX('Lease Cycles'!$HE$21:$HK$21,1,EO231)*(1+INDEX('Lease Cycles'!$GQ$21:$GW$21,1,EO231))^INT(INT((EO$6-INDEX('Lease Cycles'!$GJ$21:$GP$21,1,EO231))/12)/INDEX('Lease Cycles'!$GX$21:$HD$21,1,EO231))/12,0)))</f>
        <v>0</v>
      </c>
      <c r="EP234" s="28">
        <f>IF(EP231=0,IF('Lease Cycles'!$F$21&gt;0,'Lease Cycles'!$C$21*'Lease Cycles'!$E$21/12,0),IF(EP233=1,IF('Lease Cycles'!$AT$21&gt;=9999,'Lease Cycles'!$C$21*INDEX('Lease Cycles'!$CB$21:$CH$21,1,EP231)*(1+INDEX('Lease Cycles'!$CI$21:$CO$21,1,EP231))^INT(INT(EP232/12)/INDEX('Lease Cycles'!$CP$21:$CV$21,1,EP231))/12,IF(EP231=1,IF(EP232&gt;=INDEX('Lease Cycles'!$DK$21:$DQ$21,1,EP231),IF(EP$6&gt;='Lease Cycles'!$AZ$21,'Lease Cycles'!$C$21*'Lease Cycles'!$BA$21/12,IF(EP$6&gt;='Lease Cycles'!$AX$21,'Lease Cycles'!$C$21*'Lease Cycles'!$AY$21/12,IF(EP$6&gt;='Lease Cycles'!$AV$21,'Lease Cycles'!$C$21*'Lease Cycles'!$AW$21/12,IF(EP$6&gt;='Lease Cycles'!$AT$21,'Lease Cycles'!$C$21*'Lease Cycles'!$AU$21/12,'Lease Cycles'!$C$21*INDEX('Lease Cycles'!$CB$21:$CH$21,1,EP231)*(1+INDEX('Lease Cycles'!$CI$21:$CO$21,1,EP231))^INT(INT(EP232/12)/INDEX('Lease Cycles'!$CP$21:$CV$21,1,EP231))/12)))),'Lease Cycles'!$C$21*INDEX('Lease Cycles'!$CB$21:$CH$21,1,EP231)*(1+INDEX('Lease Cycles'!$CI$21:$CO$21,1,EP231))^INT(INT(EP232/12)/INDEX('Lease Cycles'!$CP$21:$CV$21,1,EP231))/12),IF(INDEX('Lease Cycles'!$EF$21:$EL$21,1,EP231)=1,IF(AND('Lease Cycles'!$AZ$21&gt;=INDEX('Lease Cycles'!$BG$21:$BM$21,1,EP231),'Lease Cycles'!$AZ$21&lt;=EP$6),'Lease Cycles'!$C$21*'Lease Cycles'!$BA$21/12,IF(AND('Lease Cycles'!$AX$21&gt;=INDEX('Lease Cycles'!$BG$21:$BM$21,1,EP231),'Lease Cycles'!$AX$21&lt;=EP$6),'Lease Cycles'!$C$21*'Lease Cycles'!$AY$21/12,IF(AND('Lease Cycles'!$AV$21&gt;=INDEX('Lease Cycles'!$BG$21:$BM$21,1,EP231),'Lease Cycles'!$AV$21&lt;=EP$6),'Lease Cycles'!$C$21*'Lease Cycles'!$AW$21/12,IF(AND('Lease Cycles'!$AT$21&gt;=INDEX('Lease Cycles'!$BG$21:$BM$21,1,EP231),'Lease Cycles'!$AT$21&lt;=EP$6),'Lease Cycles'!$C$21*'Lease Cycles'!$AU$21/12,'Lease Cycles'!$C$21*INDEX('Lease Cycles'!$CB$21:$CH$21,1,EP231)*(1+INDEX('Lease Cycles'!$CI$21:$CO$21,1,EP231))^INT(INT(EP232/12)/INDEX('Lease Cycles'!$CP$21:$CV$21,1,EP231))/12)))),'Lease Cycles'!$C$21*INDEX('Lease Cycles'!$CB$21:$CH$21,1,EP231)*(1+INDEX('Lease Cycles'!$CI$21:$CO$21,1,EP231))^INT(INT(EP232/12)/INDEX('Lease Cycles'!$CP$21:$CV$21,1,EP231))/12))),IF('Lease Cycles'!$N$21=1,'Lease Cycles'!$C$21*'Lease Cycles'!$E$21*INDEX('Lease Cycles'!$HE$21:$HK$21,1,EP231)*(1+INDEX('Lease Cycles'!$GQ$21:$GW$21,1,EP231))^INT(INT((EP$6-INDEX('Lease Cycles'!$GJ$21:$GP$21,1,EP231))/12)/INDEX('Lease Cycles'!$GX$21:$HD$21,1,EP231))/12,0)))</f>
        <v>0</v>
      </c>
      <c r="EQ234" s="28">
        <f>IF(EQ231=0,IF('Lease Cycles'!$F$21&gt;0,'Lease Cycles'!$C$21*'Lease Cycles'!$E$21/12,0),IF(EQ233=1,IF('Lease Cycles'!$AT$21&gt;=9999,'Lease Cycles'!$C$21*INDEX('Lease Cycles'!$CB$21:$CH$21,1,EQ231)*(1+INDEX('Lease Cycles'!$CI$21:$CO$21,1,EQ231))^INT(INT(EQ232/12)/INDEX('Lease Cycles'!$CP$21:$CV$21,1,EQ231))/12,IF(EQ231=1,IF(EQ232&gt;=INDEX('Lease Cycles'!$DK$21:$DQ$21,1,EQ231),IF(EQ$6&gt;='Lease Cycles'!$AZ$21,'Lease Cycles'!$C$21*'Lease Cycles'!$BA$21/12,IF(EQ$6&gt;='Lease Cycles'!$AX$21,'Lease Cycles'!$C$21*'Lease Cycles'!$AY$21/12,IF(EQ$6&gt;='Lease Cycles'!$AV$21,'Lease Cycles'!$C$21*'Lease Cycles'!$AW$21/12,IF(EQ$6&gt;='Lease Cycles'!$AT$21,'Lease Cycles'!$C$21*'Lease Cycles'!$AU$21/12,'Lease Cycles'!$C$21*INDEX('Lease Cycles'!$CB$21:$CH$21,1,EQ231)*(1+INDEX('Lease Cycles'!$CI$21:$CO$21,1,EQ231))^INT(INT(EQ232/12)/INDEX('Lease Cycles'!$CP$21:$CV$21,1,EQ231))/12)))),'Lease Cycles'!$C$21*INDEX('Lease Cycles'!$CB$21:$CH$21,1,EQ231)*(1+INDEX('Lease Cycles'!$CI$21:$CO$21,1,EQ231))^INT(INT(EQ232/12)/INDEX('Lease Cycles'!$CP$21:$CV$21,1,EQ231))/12),IF(INDEX('Lease Cycles'!$EF$21:$EL$21,1,EQ231)=1,IF(AND('Lease Cycles'!$AZ$21&gt;=INDEX('Lease Cycles'!$BG$21:$BM$21,1,EQ231),'Lease Cycles'!$AZ$21&lt;=EQ$6),'Lease Cycles'!$C$21*'Lease Cycles'!$BA$21/12,IF(AND('Lease Cycles'!$AX$21&gt;=INDEX('Lease Cycles'!$BG$21:$BM$21,1,EQ231),'Lease Cycles'!$AX$21&lt;=EQ$6),'Lease Cycles'!$C$21*'Lease Cycles'!$AY$21/12,IF(AND('Lease Cycles'!$AV$21&gt;=INDEX('Lease Cycles'!$BG$21:$BM$21,1,EQ231),'Lease Cycles'!$AV$21&lt;=EQ$6),'Lease Cycles'!$C$21*'Lease Cycles'!$AW$21/12,IF(AND('Lease Cycles'!$AT$21&gt;=INDEX('Lease Cycles'!$BG$21:$BM$21,1,EQ231),'Lease Cycles'!$AT$21&lt;=EQ$6),'Lease Cycles'!$C$21*'Lease Cycles'!$AU$21/12,'Lease Cycles'!$C$21*INDEX('Lease Cycles'!$CB$21:$CH$21,1,EQ231)*(1+INDEX('Lease Cycles'!$CI$21:$CO$21,1,EQ231))^INT(INT(EQ232/12)/INDEX('Lease Cycles'!$CP$21:$CV$21,1,EQ231))/12)))),'Lease Cycles'!$C$21*INDEX('Lease Cycles'!$CB$21:$CH$21,1,EQ231)*(1+INDEX('Lease Cycles'!$CI$21:$CO$21,1,EQ231))^INT(INT(EQ232/12)/INDEX('Lease Cycles'!$CP$21:$CV$21,1,EQ231))/12))),IF('Lease Cycles'!$N$21=1,'Lease Cycles'!$C$21*'Lease Cycles'!$E$21*INDEX('Lease Cycles'!$HE$21:$HK$21,1,EQ231)*(1+INDEX('Lease Cycles'!$GQ$21:$GW$21,1,EQ231))^INT(INT((EQ$6-INDEX('Lease Cycles'!$GJ$21:$GP$21,1,EQ231))/12)/INDEX('Lease Cycles'!$GX$21:$HD$21,1,EQ231))/12,0)))</f>
        <v>0</v>
      </c>
      <c r="ER234" s="28">
        <f>IF(ER231=0,IF('Lease Cycles'!$F$21&gt;0,'Lease Cycles'!$C$21*'Lease Cycles'!$E$21/12,0),IF(ER233=1,IF('Lease Cycles'!$AT$21&gt;=9999,'Lease Cycles'!$C$21*INDEX('Lease Cycles'!$CB$21:$CH$21,1,ER231)*(1+INDEX('Lease Cycles'!$CI$21:$CO$21,1,ER231))^INT(INT(ER232/12)/INDEX('Lease Cycles'!$CP$21:$CV$21,1,ER231))/12,IF(ER231=1,IF(ER232&gt;=INDEX('Lease Cycles'!$DK$21:$DQ$21,1,ER231),IF(ER$6&gt;='Lease Cycles'!$AZ$21,'Lease Cycles'!$C$21*'Lease Cycles'!$BA$21/12,IF(ER$6&gt;='Lease Cycles'!$AX$21,'Lease Cycles'!$C$21*'Lease Cycles'!$AY$21/12,IF(ER$6&gt;='Lease Cycles'!$AV$21,'Lease Cycles'!$C$21*'Lease Cycles'!$AW$21/12,IF(ER$6&gt;='Lease Cycles'!$AT$21,'Lease Cycles'!$C$21*'Lease Cycles'!$AU$21/12,'Lease Cycles'!$C$21*INDEX('Lease Cycles'!$CB$21:$CH$21,1,ER231)*(1+INDEX('Lease Cycles'!$CI$21:$CO$21,1,ER231))^INT(INT(ER232/12)/INDEX('Lease Cycles'!$CP$21:$CV$21,1,ER231))/12)))),'Lease Cycles'!$C$21*INDEX('Lease Cycles'!$CB$21:$CH$21,1,ER231)*(1+INDEX('Lease Cycles'!$CI$21:$CO$21,1,ER231))^INT(INT(ER232/12)/INDEX('Lease Cycles'!$CP$21:$CV$21,1,ER231))/12),IF(INDEX('Lease Cycles'!$EF$21:$EL$21,1,ER231)=1,IF(AND('Lease Cycles'!$AZ$21&gt;=INDEX('Lease Cycles'!$BG$21:$BM$21,1,ER231),'Lease Cycles'!$AZ$21&lt;=ER$6),'Lease Cycles'!$C$21*'Lease Cycles'!$BA$21/12,IF(AND('Lease Cycles'!$AX$21&gt;=INDEX('Lease Cycles'!$BG$21:$BM$21,1,ER231),'Lease Cycles'!$AX$21&lt;=ER$6),'Lease Cycles'!$C$21*'Lease Cycles'!$AY$21/12,IF(AND('Lease Cycles'!$AV$21&gt;=INDEX('Lease Cycles'!$BG$21:$BM$21,1,ER231),'Lease Cycles'!$AV$21&lt;=ER$6),'Lease Cycles'!$C$21*'Lease Cycles'!$AW$21/12,IF(AND('Lease Cycles'!$AT$21&gt;=INDEX('Lease Cycles'!$BG$21:$BM$21,1,ER231),'Lease Cycles'!$AT$21&lt;=ER$6),'Lease Cycles'!$C$21*'Lease Cycles'!$AU$21/12,'Lease Cycles'!$C$21*INDEX('Lease Cycles'!$CB$21:$CH$21,1,ER231)*(1+INDEX('Lease Cycles'!$CI$21:$CO$21,1,ER231))^INT(INT(ER232/12)/INDEX('Lease Cycles'!$CP$21:$CV$21,1,ER231))/12)))),'Lease Cycles'!$C$21*INDEX('Lease Cycles'!$CB$21:$CH$21,1,ER231)*(1+INDEX('Lease Cycles'!$CI$21:$CO$21,1,ER231))^INT(INT(ER232/12)/INDEX('Lease Cycles'!$CP$21:$CV$21,1,ER231))/12))),IF('Lease Cycles'!$N$21=1,'Lease Cycles'!$C$21*'Lease Cycles'!$E$21*INDEX('Lease Cycles'!$HE$21:$HK$21,1,ER231)*(1+INDEX('Lease Cycles'!$GQ$21:$GW$21,1,ER231))^INT(INT((ER$6-INDEX('Lease Cycles'!$GJ$21:$GP$21,1,ER231))/12)/INDEX('Lease Cycles'!$GX$21:$HD$21,1,ER231))/12,0)))</f>
        <v>0</v>
      </c>
      <c r="ES234" s="28">
        <f>IF(ES231=0,IF('Lease Cycles'!$F$21&gt;0,'Lease Cycles'!$C$21*'Lease Cycles'!$E$21/12,0),IF(ES233=1,IF('Lease Cycles'!$AT$21&gt;=9999,'Lease Cycles'!$C$21*INDEX('Lease Cycles'!$CB$21:$CH$21,1,ES231)*(1+INDEX('Lease Cycles'!$CI$21:$CO$21,1,ES231))^INT(INT(ES232/12)/INDEX('Lease Cycles'!$CP$21:$CV$21,1,ES231))/12,IF(ES231=1,IF(ES232&gt;=INDEX('Lease Cycles'!$DK$21:$DQ$21,1,ES231),IF(ES$6&gt;='Lease Cycles'!$AZ$21,'Lease Cycles'!$C$21*'Lease Cycles'!$BA$21/12,IF(ES$6&gt;='Lease Cycles'!$AX$21,'Lease Cycles'!$C$21*'Lease Cycles'!$AY$21/12,IF(ES$6&gt;='Lease Cycles'!$AV$21,'Lease Cycles'!$C$21*'Lease Cycles'!$AW$21/12,IF(ES$6&gt;='Lease Cycles'!$AT$21,'Lease Cycles'!$C$21*'Lease Cycles'!$AU$21/12,'Lease Cycles'!$C$21*INDEX('Lease Cycles'!$CB$21:$CH$21,1,ES231)*(1+INDEX('Lease Cycles'!$CI$21:$CO$21,1,ES231))^INT(INT(ES232/12)/INDEX('Lease Cycles'!$CP$21:$CV$21,1,ES231))/12)))),'Lease Cycles'!$C$21*INDEX('Lease Cycles'!$CB$21:$CH$21,1,ES231)*(1+INDEX('Lease Cycles'!$CI$21:$CO$21,1,ES231))^INT(INT(ES232/12)/INDEX('Lease Cycles'!$CP$21:$CV$21,1,ES231))/12),IF(INDEX('Lease Cycles'!$EF$21:$EL$21,1,ES231)=1,IF(AND('Lease Cycles'!$AZ$21&gt;=INDEX('Lease Cycles'!$BG$21:$BM$21,1,ES231),'Lease Cycles'!$AZ$21&lt;=ES$6),'Lease Cycles'!$C$21*'Lease Cycles'!$BA$21/12,IF(AND('Lease Cycles'!$AX$21&gt;=INDEX('Lease Cycles'!$BG$21:$BM$21,1,ES231),'Lease Cycles'!$AX$21&lt;=ES$6),'Lease Cycles'!$C$21*'Lease Cycles'!$AY$21/12,IF(AND('Lease Cycles'!$AV$21&gt;=INDEX('Lease Cycles'!$BG$21:$BM$21,1,ES231),'Lease Cycles'!$AV$21&lt;=ES$6),'Lease Cycles'!$C$21*'Lease Cycles'!$AW$21/12,IF(AND('Lease Cycles'!$AT$21&gt;=INDEX('Lease Cycles'!$BG$21:$BM$21,1,ES231),'Lease Cycles'!$AT$21&lt;=ES$6),'Lease Cycles'!$C$21*'Lease Cycles'!$AU$21/12,'Lease Cycles'!$C$21*INDEX('Lease Cycles'!$CB$21:$CH$21,1,ES231)*(1+INDEX('Lease Cycles'!$CI$21:$CO$21,1,ES231))^INT(INT(ES232/12)/INDEX('Lease Cycles'!$CP$21:$CV$21,1,ES231))/12)))),'Lease Cycles'!$C$21*INDEX('Lease Cycles'!$CB$21:$CH$21,1,ES231)*(1+INDEX('Lease Cycles'!$CI$21:$CO$21,1,ES231))^INT(INT(ES232/12)/INDEX('Lease Cycles'!$CP$21:$CV$21,1,ES231))/12))),IF('Lease Cycles'!$N$21=1,'Lease Cycles'!$C$21*'Lease Cycles'!$E$21*INDEX('Lease Cycles'!$HE$21:$HK$21,1,ES231)*(1+INDEX('Lease Cycles'!$GQ$21:$GW$21,1,ES231))^INT(INT((ES$6-INDEX('Lease Cycles'!$GJ$21:$GP$21,1,ES231))/12)/INDEX('Lease Cycles'!$GX$21:$HD$21,1,ES231))/12,0)))</f>
        <v>0</v>
      </c>
      <c r="ET234" s="28">
        <f>IF(ET231=0,IF('Lease Cycles'!$F$21&gt;0,'Lease Cycles'!$C$21*'Lease Cycles'!$E$21/12,0),IF(ET233=1,IF('Lease Cycles'!$AT$21&gt;=9999,'Lease Cycles'!$C$21*INDEX('Lease Cycles'!$CB$21:$CH$21,1,ET231)*(1+INDEX('Lease Cycles'!$CI$21:$CO$21,1,ET231))^INT(INT(ET232/12)/INDEX('Lease Cycles'!$CP$21:$CV$21,1,ET231))/12,IF(ET231=1,IF(ET232&gt;=INDEX('Lease Cycles'!$DK$21:$DQ$21,1,ET231),IF(ET$6&gt;='Lease Cycles'!$AZ$21,'Lease Cycles'!$C$21*'Lease Cycles'!$BA$21/12,IF(ET$6&gt;='Lease Cycles'!$AX$21,'Lease Cycles'!$C$21*'Lease Cycles'!$AY$21/12,IF(ET$6&gt;='Lease Cycles'!$AV$21,'Lease Cycles'!$C$21*'Lease Cycles'!$AW$21/12,IF(ET$6&gt;='Lease Cycles'!$AT$21,'Lease Cycles'!$C$21*'Lease Cycles'!$AU$21/12,'Lease Cycles'!$C$21*INDEX('Lease Cycles'!$CB$21:$CH$21,1,ET231)*(1+INDEX('Lease Cycles'!$CI$21:$CO$21,1,ET231))^INT(INT(ET232/12)/INDEX('Lease Cycles'!$CP$21:$CV$21,1,ET231))/12)))),'Lease Cycles'!$C$21*INDEX('Lease Cycles'!$CB$21:$CH$21,1,ET231)*(1+INDEX('Lease Cycles'!$CI$21:$CO$21,1,ET231))^INT(INT(ET232/12)/INDEX('Lease Cycles'!$CP$21:$CV$21,1,ET231))/12),IF(INDEX('Lease Cycles'!$EF$21:$EL$21,1,ET231)=1,IF(AND('Lease Cycles'!$AZ$21&gt;=INDEX('Lease Cycles'!$BG$21:$BM$21,1,ET231),'Lease Cycles'!$AZ$21&lt;=ET$6),'Lease Cycles'!$C$21*'Lease Cycles'!$BA$21/12,IF(AND('Lease Cycles'!$AX$21&gt;=INDEX('Lease Cycles'!$BG$21:$BM$21,1,ET231),'Lease Cycles'!$AX$21&lt;=ET$6),'Lease Cycles'!$C$21*'Lease Cycles'!$AY$21/12,IF(AND('Lease Cycles'!$AV$21&gt;=INDEX('Lease Cycles'!$BG$21:$BM$21,1,ET231),'Lease Cycles'!$AV$21&lt;=ET$6),'Lease Cycles'!$C$21*'Lease Cycles'!$AW$21/12,IF(AND('Lease Cycles'!$AT$21&gt;=INDEX('Lease Cycles'!$BG$21:$BM$21,1,ET231),'Lease Cycles'!$AT$21&lt;=ET$6),'Lease Cycles'!$C$21*'Lease Cycles'!$AU$21/12,'Lease Cycles'!$C$21*INDEX('Lease Cycles'!$CB$21:$CH$21,1,ET231)*(1+INDEX('Lease Cycles'!$CI$21:$CO$21,1,ET231))^INT(INT(ET232/12)/INDEX('Lease Cycles'!$CP$21:$CV$21,1,ET231))/12)))),'Lease Cycles'!$C$21*INDEX('Lease Cycles'!$CB$21:$CH$21,1,ET231)*(1+INDEX('Lease Cycles'!$CI$21:$CO$21,1,ET231))^INT(INT(ET232/12)/INDEX('Lease Cycles'!$CP$21:$CV$21,1,ET231))/12))),IF('Lease Cycles'!$N$21=1,'Lease Cycles'!$C$21*'Lease Cycles'!$E$21*INDEX('Lease Cycles'!$HE$21:$HK$21,1,ET231)*(1+INDEX('Lease Cycles'!$GQ$21:$GW$21,1,ET231))^INT(INT((ET$6-INDEX('Lease Cycles'!$GJ$21:$GP$21,1,ET231))/12)/INDEX('Lease Cycles'!$GX$21:$HD$21,1,ET231))/12,0)))</f>
        <v>0</v>
      </c>
    </row>
    <row r="235">
      <c r="A235" s="103">
        <v>14</v>
      </c>
      <c r="B235" s="23" t="str">
        <f>IF('Lease Cycles'!$B$21="","(empty slot)",'Lease Cycles'!$B$21)</f>
        <v>(empty slot)</v>
      </c>
      <c r="C235" s="23" t="s">
        <v>679</v>
      </c>
      <c r="D235" s="104" t="s">
        <v>680</v>
      </c>
      <c r="E235" s="25">
        <f>'Lease Cycles'!$AL$21</f>
        <v>0</v>
      </c>
      <c r="S235" s="28">
        <f>IF(S233=1,IF(INDEX('Lease Cycles'!$EF$21:$EL$21,1,S231)=1,'Lease Cycles'!$C$21*INDEX('Lease Cycles'!$ET$21:$EZ$21,1,S231)*(1+'Lease Cycles'!$V$21)^INT(INT(S232/12)/'Lease Cycles'!$W$21)/12,0),0)</f>
        <v>0</v>
      </c>
      <c r="T235" s="28">
        <f>IF(T233=1,IF(INDEX('Lease Cycles'!$EF$21:$EL$21,1,T231)=1,'Lease Cycles'!$C$21*INDEX('Lease Cycles'!$ET$21:$EZ$21,1,T231)*(1+'Lease Cycles'!$V$21)^INT(INT(T232/12)/'Lease Cycles'!$W$21)/12,0),0)</f>
        <v>0</v>
      </c>
      <c r="U235" s="28">
        <f>IF(U233=1,IF(INDEX('Lease Cycles'!$EF$21:$EL$21,1,U231)=1,'Lease Cycles'!$C$21*INDEX('Lease Cycles'!$ET$21:$EZ$21,1,U231)*(1+'Lease Cycles'!$V$21)^INT(INT(U232/12)/'Lease Cycles'!$W$21)/12,0),0)</f>
        <v>0</v>
      </c>
      <c r="V235" s="28">
        <f>IF(V233=1,IF(INDEX('Lease Cycles'!$EF$21:$EL$21,1,V231)=1,'Lease Cycles'!$C$21*INDEX('Lease Cycles'!$ET$21:$EZ$21,1,V231)*(1+'Lease Cycles'!$V$21)^INT(INT(V232/12)/'Lease Cycles'!$W$21)/12,0),0)</f>
        <v>0</v>
      </c>
      <c r="W235" s="28">
        <f>IF(W233=1,IF(INDEX('Lease Cycles'!$EF$21:$EL$21,1,W231)=1,'Lease Cycles'!$C$21*INDEX('Lease Cycles'!$ET$21:$EZ$21,1,W231)*(1+'Lease Cycles'!$V$21)^INT(INT(W232/12)/'Lease Cycles'!$W$21)/12,0),0)</f>
        <v>0</v>
      </c>
      <c r="X235" s="28">
        <f>IF(X233=1,IF(INDEX('Lease Cycles'!$EF$21:$EL$21,1,X231)=1,'Lease Cycles'!$C$21*INDEX('Lease Cycles'!$ET$21:$EZ$21,1,X231)*(1+'Lease Cycles'!$V$21)^INT(INT(X232/12)/'Lease Cycles'!$W$21)/12,0),0)</f>
        <v>0</v>
      </c>
      <c r="Y235" s="28">
        <f>IF(Y233=1,IF(INDEX('Lease Cycles'!$EF$21:$EL$21,1,Y231)=1,'Lease Cycles'!$C$21*INDEX('Lease Cycles'!$ET$21:$EZ$21,1,Y231)*(1+'Lease Cycles'!$V$21)^INT(INT(Y232/12)/'Lease Cycles'!$W$21)/12,0),0)</f>
        <v>0</v>
      </c>
      <c r="Z235" s="28">
        <f>IF(Z233=1,IF(INDEX('Lease Cycles'!$EF$21:$EL$21,1,Z231)=1,'Lease Cycles'!$C$21*INDEX('Lease Cycles'!$ET$21:$EZ$21,1,Z231)*(1+'Lease Cycles'!$V$21)^INT(INT(Z232/12)/'Lease Cycles'!$W$21)/12,0),0)</f>
        <v>0</v>
      </c>
      <c r="AA235" s="28">
        <f>IF(AA233=1,IF(INDEX('Lease Cycles'!$EF$21:$EL$21,1,AA231)=1,'Lease Cycles'!$C$21*INDEX('Lease Cycles'!$ET$21:$EZ$21,1,AA231)*(1+'Lease Cycles'!$V$21)^INT(INT(AA232/12)/'Lease Cycles'!$W$21)/12,0),0)</f>
        <v>0</v>
      </c>
      <c r="AB235" s="28">
        <f>IF(AB233=1,IF(INDEX('Lease Cycles'!$EF$21:$EL$21,1,AB231)=1,'Lease Cycles'!$C$21*INDEX('Lease Cycles'!$ET$21:$EZ$21,1,AB231)*(1+'Lease Cycles'!$V$21)^INT(INT(AB232/12)/'Lease Cycles'!$W$21)/12,0),0)</f>
        <v>0</v>
      </c>
      <c r="AC235" s="28">
        <f>IF(AC233=1,IF(INDEX('Lease Cycles'!$EF$21:$EL$21,1,AC231)=1,'Lease Cycles'!$C$21*INDEX('Lease Cycles'!$ET$21:$EZ$21,1,AC231)*(1+'Lease Cycles'!$V$21)^INT(INT(AC232/12)/'Lease Cycles'!$W$21)/12,0),0)</f>
        <v>0</v>
      </c>
      <c r="AD235" s="28">
        <f>IF(AD233=1,IF(INDEX('Lease Cycles'!$EF$21:$EL$21,1,AD231)=1,'Lease Cycles'!$C$21*INDEX('Lease Cycles'!$ET$21:$EZ$21,1,AD231)*(1+'Lease Cycles'!$V$21)^INT(INT(AD232/12)/'Lease Cycles'!$W$21)/12,0),0)</f>
        <v>0</v>
      </c>
      <c r="AE235" s="28">
        <f>IF(AE233=1,IF(INDEX('Lease Cycles'!$EF$21:$EL$21,1,AE231)=1,'Lease Cycles'!$C$21*INDEX('Lease Cycles'!$ET$21:$EZ$21,1,AE231)*(1+'Lease Cycles'!$V$21)^INT(INT(AE232/12)/'Lease Cycles'!$W$21)/12,0),0)</f>
        <v>0</v>
      </c>
      <c r="AF235" s="28">
        <f>IF(AF233=1,IF(INDEX('Lease Cycles'!$EF$21:$EL$21,1,AF231)=1,'Lease Cycles'!$C$21*INDEX('Lease Cycles'!$ET$21:$EZ$21,1,AF231)*(1+'Lease Cycles'!$V$21)^INT(INT(AF232/12)/'Lease Cycles'!$W$21)/12,0),0)</f>
        <v>0</v>
      </c>
      <c r="AG235" s="28">
        <f>IF(AG233=1,IF(INDEX('Lease Cycles'!$EF$21:$EL$21,1,AG231)=1,'Lease Cycles'!$C$21*INDEX('Lease Cycles'!$ET$21:$EZ$21,1,AG231)*(1+'Lease Cycles'!$V$21)^INT(INT(AG232/12)/'Lease Cycles'!$W$21)/12,0),0)</f>
        <v>0</v>
      </c>
      <c r="AH235" s="28">
        <f>IF(AH233=1,IF(INDEX('Lease Cycles'!$EF$21:$EL$21,1,AH231)=1,'Lease Cycles'!$C$21*INDEX('Lease Cycles'!$ET$21:$EZ$21,1,AH231)*(1+'Lease Cycles'!$V$21)^INT(INT(AH232/12)/'Lease Cycles'!$W$21)/12,0),0)</f>
        <v>0</v>
      </c>
      <c r="AI235" s="28">
        <f>IF(AI233=1,IF(INDEX('Lease Cycles'!$EF$21:$EL$21,1,AI231)=1,'Lease Cycles'!$C$21*INDEX('Lease Cycles'!$ET$21:$EZ$21,1,AI231)*(1+'Lease Cycles'!$V$21)^INT(INT(AI232/12)/'Lease Cycles'!$W$21)/12,0),0)</f>
        <v>0</v>
      </c>
      <c r="AJ235" s="28">
        <f>IF(AJ233=1,IF(INDEX('Lease Cycles'!$EF$21:$EL$21,1,AJ231)=1,'Lease Cycles'!$C$21*INDEX('Lease Cycles'!$ET$21:$EZ$21,1,AJ231)*(1+'Lease Cycles'!$V$21)^INT(INT(AJ232/12)/'Lease Cycles'!$W$21)/12,0),0)</f>
        <v>0</v>
      </c>
      <c r="AK235" s="28">
        <f>IF(AK233=1,IF(INDEX('Lease Cycles'!$EF$21:$EL$21,1,AK231)=1,'Lease Cycles'!$C$21*INDEX('Lease Cycles'!$ET$21:$EZ$21,1,AK231)*(1+'Lease Cycles'!$V$21)^INT(INT(AK232/12)/'Lease Cycles'!$W$21)/12,0),0)</f>
        <v>0</v>
      </c>
      <c r="AL235" s="28">
        <f>IF(AL233=1,IF(INDEX('Lease Cycles'!$EF$21:$EL$21,1,AL231)=1,'Lease Cycles'!$C$21*INDEX('Lease Cycles'!$ET$21:$EZ$21,1,AL231)*(1+'Lease Cycles'!$V$21)^INT(INT(AL232/12)/'Lease Cycles'!$W$21)/12,0),0)</f>
        <v>0</v>
      </c>
      <c r="AM235" s="28">
        <f>IF(AM233=1,IF(INDEX('Lease Cycles'!$EF$21:$EL$21,1,AM231)=1,'Lease Cycles'!$C$21*INDEX('Lease Cycles'!$ET$21:$EZ$21,1,AM231)*(1+'Lease Cycles'!$V$21)^INT(INT(AM232/12)/'Lease Cycles'!$W$21)/12,0),0)</f>
        <v>0</v>
      </c>
      <c r="AN235" s="28">
        <f>IF(AN233=1,IF(INDEX('Lease Cycles'!$EF$21:$EL$21,1,AN231)=1,'Lease Cycles'!$C$21*INDEX('Lease Cycles'!$ET$21:$EZ$21,1,AN231)*(1+'Lease Cycles'!$V$21)^INT(INT(AN232/12)/'Lease Cycles'!$W$21)/12,0),0)</f>
        <v>0</v>
      </c>
      <c r="AO235" s="28">
        <f>IF(AO233=1,IF(INDEX('Lease Cycles'!$EF$21:$EL$21,1,AO231)=1,'Lease Cycles'!$C$21*INDEX('Lease Cycles'!$ET$21:$EZ$21,1,AO231)*(1+'Lease Cycles'!$V$21)^INT(INT(AO232/12)/'Lease Cycles'!$W$21)/12,0),0)</f>
        <v>0</v>
      </c>
      <c r="AP235" s="28">
        <f>IF(AP233=1,IF(INDEX('Lease Cycles'!$EF$21:$EL$21,1,AP231)=1,'Lease Cycles'!$C$21*INDEX('Lease Cycles'!$ET$21:$EZ$21,1,AP231)*(1+'Lease Cycles'!$V$21)^INT(INT(AP232/12)/'Lease Cycles'!$W$21)/12,0),0)</f>
        <v>0</v>
      </c>
      <c r="AQ235" s="28">
        <f>IF(AQ233=1,IF(INDEX('Lease Cycles'!$EF$21:$EL$21,1,AQ231)=1,'Lease Cycles'!$C$21*INDEX('Lease Cycles'!$ET$21:$EZ$21,1,AQ231)*(1+'Lease Cycles'!$V$21)^INT(INT(AQ232/12)/'Lease Cycles'!$W$21)/12,0),0)</f>
        <v>0</v>
      </c>
      <c r="AR235" s="28">
        <f>IF(AR233=1,IF(INDEX('Lease Cycles'!$EF$21:$EL$21,1,AR231)=1,'Lease Cycles'!$C$21*INDEX('Lease Cycles'!$ET$21:$EZ$21,1,AR231)*(1+'Lease Cycles'!$V$21)^INT(INT(AR232/12)/'Lease Cycles'!$W$21)/12,0),0)</f>
        <v>0</v>
      </c>
      <c r="AS235" s="28">
        <f>IF(AS233=1,IF(INDEX('Lease Cycles'!$EF$21:$EL$21,1,AS231)=1,'Lease Cycles'!$C$21*INDEX('Lease Cycles'!$ET$21:$EZ$21,1,AS231)*(1+'Lease Cycles'!$V$21)^INT(INT(AS232/12)/'Lease Cycles'!$W$21)/12,0),0)</f>
        <v>0</v>
      </c>
      <c r="AT235" s="28">
        <f>IF(AT233=1,IF(INDEX('Lease Cycles'!$EF$21:$EL$21,1,AT231)=1,'Lease Cycles'!$C$21*INDEX('Lease Cycles'!$ET$21:$EZ$21,1,AT231)*(1+'Lease Cycles'!$V$21)^INT(INT(AT232/12)/'Lease Cycles'!$W$21)/12,0),0)</f>
        <v>0</v>
      </c>
      <c r="AU235" s="28">
        <f>IF(AU233=1,IF(INDEX('Lease Cycles'!$EF$21:$EL$21,1,AU231)=1,'Lease Cycles'!$C$21*INDEX('Lease Cycles'!$ET$21:$EZ$21,1,AU231)*(1+'Lease Cycles'!$V$21)^INT(INT(AU232/12)/'Lease Cycles'!$W$21)/12,0),0)</f>
        <v>0</v>
      </c>
      <c r="AV235" s="28">
        <f>IF(AV233=1,IF(INDEX('Lease Cycles'!$EF$21:$EL$21,1,AV231)=1,'Lease Cycles'!$C$21*INDEX('Lease Cycles'!$ET$21:$EZ$21,1,AV231)*(1+'Lease Cycles'!$V$21)^INT(INT(AV232/12)/'Lease Cycles'!$W$21)/12,0),0)</f>
        <v>0</v>
      </c>
      <c r="AW235" s="28">
        <f>IF(AW233=1,IF(INDEX('Lease Cycles'!$EF$21:$EL$21,1,AW231)=1,'Lease Cycles'!$C$21*INDEX('Lease Cycles'!$ET$21:$EZ$21,1,AW231)*(1+'Lease Cycles'!$V$21)^INT(INT(AW232/12)/'Lease Cycles'!$W$21)/12,0),0)</f>
        <v>0</v>
      </c>
      <c r="AX235" s="28">
        <f>IF(AX233=1,IF(INDEX('Lease Cycles'!$EF$21:$EL$21,1,AX231)=1,'Lease Cycles'!$C$21*INDEX('Lease Cycles'!$ET$21:$EZ$21,1,AX231)*(1+'Lease Cycles'!$V$21)^INT(INT(AX232/12)/'Lease Cycles'!$W$21)/12,0),0)</f>
        <v>0</v>
      </c>
      <c r="AY235" s="28">
        <f>IF(AY233=1,IF(INDEX('Lease Cycles'!$EF$21:$EL$21,1,AY231)=1,'Lease Cycles'!$C$21*INDEX('Lease Cycles'!$ET$21:$EZ$21,1,AY231)*(1+'Lease Cycles'!$V$21)^INT(INT(AY232/12)/'Lease Cycles'!$W$21)/12,0),0)</f>
        <v>0</v>
      </c>
      <c r="AZ235" s="28">
        <f>IF(AZ233=1,IF(INDEX('Lease Cycles'!$EF$21:$EL$21,1,AZ231)=1,'Lease Cycles'!$C$21*INDEX('Lease Cycles'!$ET$21:$EZ$21,1,AZ231)*(1+'Lease Cycles'!$V$21)^INT(INT(AZ232/12)/'Lease Cycles'!$W$21)/12,0),0)</f>
        <v>0</v>
      </c>
      <c r="BA235" s="28">
        <f>IF(BA233=1,IF(INDEX('Lease Cycles'!$EF$21:$EL$21,1,BA231)=1,'Lease Cycles'!$C$21*INDEX('Lease Cycles'!$ET$21:$EZ$21,1,BA231)*(1+'Lease Cycles'!$V$21)^INT(INT(BA232/12)/'Lease Cycles'!$W$21)/12,0),0)</f>
        <v>0</v>
      </c>
      <c r="BB235" s="28">
        <f>IF(BB233=1,IF(INDEX('Lease Cycles'!$EF$21:$EL$21,1,BB231)=1,'Lease Cycles'!$C$21*INDEX('Lease Cycles'!$ET$21:$EZ$21,1,BB231)*(1+'Lease Cycles'!$V$21)^INT(INT(BB232/12)/'Lease Cycles'!$W$21)/12,0),0)</f>
        <v>0</v>
      </c>
      <c r="BC235" s="28">
        <f>IF(BC233=1,IF(INDEX('Lease Cycles'!$EF$21:$EL$21,1,BC231)=1,'Lease Cycles'!$C$21*INDEX('Lease Cycles'!$ET$21:$EZ$21,1,BC231)*(1+'Lease Cycles'!$V$21)^INT(INT(BC232/12)/'Lease Cycles'!$W$21)/12,0),0)</f>
        <v>0</v>
      </c>
      <c r="BD235" s="28">
        <f>IF(BD233=1,IF(INDEX('Lease Cycles'!$EF$21:$EL$21,1,BD231)=1,'Lease Cycles'!$C$21*INDEX('Lease Cycles'!$ET$21:$EZ$21,1,BD231)*(1+'Lease Cycles'!$V$21)^INT(INT(BD232/12)/'Lease Cycles'!$W$21)/12,0),0)</f>
        <v>0</v>
      </c>
      <c r="BE235" s="28">
        <f>IF(BE233=1,IF(INDEX('Lease Cycles'!$EF$21:$EL$21,1,BE231)=1,'Lease Cycles'!$C$21*INDEX('Lease Cycles'!$ET$21:$EZ$21,1,BE231)*(1+'Lease Cycles'!$V$21)^INT(INT(BE232/12)/'Lease Cycles'!$W$21)/12,0),0)</f>
        <v>0</v>
      </c>
      <c r="BF235" s="28">
        <f>IF(BF233=1,IF(INDEX('Lease Cycles'!$EF$21:$EL$21,1,BF231)=1,'Lease Cycles'!$C$21*INDEX('Lease Cycles'!$ET$21:$EZ$21,1,BF231)*(1+'Lease Cycles'!$V$21)^INT(INT(BF232/12)/'Lease Cycles'!$W$21)/12,0),0)</f>
        <v>0</v>
      </c>
      <c r="BG235" s="28">
        <f>IF(BG233=1,IF(INDEX('Lease Cycles'!$EF$21:$EL$21,1,BG231)=1,'Lease Cycles'!$C$21*INDEX('Lease Cycles'!$ET$21:$EZ$21,1,BG231)*(1+'Lease Cycles'!$V$21)^INT(INT(BG232/12)/'Lease Cycles'!$W$21)/12,0),0)</f>
        <v>0</v>
      </c>
      <c r="BH235" s="28">
        <f>IF(BH233=1,IF(INDEX('Lease Cycles'!$EF$21:$EL$21,1,BH231)=1,'Lease Cycles'!$C$21*INDEX('Lease Cycles'!$ET$21:$EZ$21,1,BH231)*(1+'Lease Cycles'!$V$21)^INT(INT(BH232/12)/'Lease Cycles'!$W$21)/12,0),0)</f>
        <v>0</v>
      </c>
      <c r="BI235" s="28">
        <f>IF(BI233=1,IF(INDEX('Lease Cycles'!$EF$21:$EL$21,1,BI231)=1,'Lease Cycles'!$C$21*INDEX('Lease Cycles'!$ET$21:$EZ$21,1,BI231)*(1+'Lease Cycles'!$V$21)^INT(INT(BI232/12)/'Lease Cycles'!$W$21)/12,0),0)</f>
        <v>0</v>
      </c>
      <c r="BJ235" s="28">
        <f>IF(BJ233=1,IF(INDEX('Lease Cycles'!$EF$21:$EL$21,1,BJ231)=1,'Lease Cycles'!$C$21*INDEX('Lease Cycles'!$ET$21:$EZ$21,1,BJ231)*(1+'Lease Cycles'!$V$21)^INT(INT(BJ232/12)/'Lease Cycles'!$W$21)/12,0),0)</f>
        <v>0</v>
      </c>
      <c r="BK235" s="28">
        <f>IF(BK233=1,IF(INDEX('Lease Cycles'!$EF$21:$EL$21,1,BK231)=1,'Lease Cycles'!$C$21*INDEX('Lease Cycles'!$ET$21:$EZ$21,1,BK231)*(1+'Lease Cycles'!$V$21)^INT(INT(BK232/12)/'Lease Cycles'!$W$21)/12,0),0)</f>
        <v>0</v>
      </c>
      <c r="BL235" s="28">
        <f>IF(BL233=1,IF(INDEX('Lease Cycles'!$EF$21:$EL$21,1,BL231)=1,'Lease Cycles'!$C$21*INDEX('Lease Cycles'!$ET$21:$EZ$21,1,BL231)*(1+'Lease Cycles'!$V$21)^INT(INT(BL232/12)/'Lease Cycles'!$W$21)/12,0),0)</f>
        <v>0</v>
      </c>
      <c r="BM235" s="28">
        <f>IF(BM233=1,IF(INDEX('Lease Cycles'!$EF$21:$EL$21,1,BM231)=1,'Lease Cycles'!$C$21*INDEX('Lease Cycles'!$ET$21:$EZ$21,1,BM231)*(1+'Lease Cycles'!$V$21)^INT(INT(BM232/12)/'Lease Cycles'!$W$21)/12,0),0)</f>
        <v>0</v>
      </c>
      <c r="BN235" s="28">
        <f>IF(BN233=1,IF(INDEX('Lease Cycles'!$EF$21:$EL$21,1,BN231)=1,'Lease Cycles'!$C$21*INDEX('Lease Cycles'!$ET$21:$EZ$21,1,BN231)*(1+'Lease Cycles'!$V$21)^INT(INT(BN232/12)/'Lease Cycles'!$W$21)/12,0),0)</f>
        <v>0</v>
      </c>
      <c r="BO235" s="28">
        <f>IF(BO233=1,IF(INDEX('Lease Cycles'!$EF$21:$EL$21,1,BO231)=1,'Lease Cycles'!$C$21*INDEX('Lease Cycles'!$ET$21:$EZ$21,1,BO231)*(1+'Lease Cycles'!$V$21)^INT(INT(BO232/12)/'Lease Cycles'!$W$21)/12,0),0)</f>
        <v>0</v>
      </c>
      <c r="BP235" s="28">
        <f>IF(BP233=1,IF(INDEX('Lease Cycles'!$EF$21:$EL$21,1,BP231)=1,'Lease Cycles'!$C$21*INDEX('Lease Cycles'!$ET$21:$EZ$21,1,BP231)*(1+'Lease Cycles'!$V$21)^INT(INT(BP232/12)/'Lease Cycles'!$W$21)/12,0),0)</f>
        <v>0</v>
      </c>
      <c r="BQ235" s="28">
        <f>IF(BQ233=1,IF(INDEX('Lease Cycles'!$EF$21:$EL$21,1,BQ231)=1,'Lease Cycles'!$C$21*INDEX('Lease Cycles'!$ET$21:$EZ$21,1,BQ231)*(1+'Lease Cycles'!$V$21)^INT(INT(BQ232/12)/'Lease Cycles'!$W$21)/12,0),0)</f>
        <v>0</v>
      </c>
      <c r="BR235" s="28">
        <f>IF(BR233=1,IF(INDEX('Lease Cycles'!$EF$21:$EL$21,1,BR231)=1,'Lease Cycles'!$C$21*INDEX('Lease Cycles'!$ET$21:$EZ$21,1,BR231)*(1+'Lease Cycles'!$V$21)^INT(INT(BR232/12)/'Lease Cycles'!$W$21)/12,0),0)</f>
        <v>0</v>
      </c>
      <c r="BS235" s="28">
        <f>IF(BS233=1,IF(INDEX('Lease Cycles'!$EF$21:$EL$21,1,BS231)=1,'Lease Cycles'!$C$21*INDEX('Lease Cycles'!$ET$21:$EZ$21,1,BS231)*(1+'Lease Cycles'!$V$21)^INT(INT(BS232/12)/'Lease Cycles'!$W$21)/12,0),0)</f>
        <v>0</v>
      </c>
      <c r="BT235" s="28">
        <f>IF(BT233=1,IF(INDEX('Lease Cycles'!$EF$21:$EL$21,1,BT231)=1,'Lease Cycles'!$C$21*INDEX('Lease Cycles'!$ET$21:$EZ$21,1,BT231)*(1+'Lease Cycles'!$V$21)^INT(INT(BT232/12)/'Lease Cycles'!$W$21)/12,0),0)</f>
        <v>0</v>
      </c>
      <c r="BU235" s="28">
        <f>IF(BU233=1,IF(INDEX('Lease Cycles'!$EF$21:$EL$21,1,BU231)=1,'Lease Cycles'!$C$21*INDEX('Lease Cycles'!$ET$21:$EZ$21,1,BU231)*(1+'Lease Cycles'!$V$21)^INT(INT(BU232/12)/'Lease Cycles'!$W$21)/12,0),0)</f>
        <v>0</v>
      </c>
      <c r="BV235" s="28">
        <f>IF(BV233=1,IF(INDEX('Lease Cycles'!$EF$21:$EL$21,1,BV231)=1,'Lease Cycles'!$C$21*INDEX('Lease Cycles'!$ET$21:$EZ$21,1,BV231)*(1+'Lease Cycles'!$V$21)^INT(INT(BV232/12)/'Lease Cycles'!$W$21)/12,0),0)</f>
        <v>0</v>
      </c>
      <c r="BW235" s="28">
        <f>IF(BW233=1,IF(INDEX('Lease Cycles'!$EF$21:$EL$21,1,BW231)=1,'Lease Cycles'!$C$21*INDEX('Lease Cycles'!$ET$21:$EZ$21,1,BW231)*(1+'Lease Cycles'!$V$21)^INT(INT(BW232/12)/'Lease Cycles'!$W$21)/12,0),0)</f>
        <v>0</v>
      </c>
      <c r="BX235" s="28">
        <f>IF(BX233=1,IF(INDEX('Lease Cycles'!$EF$21:$EL$21,1,BX231)=1,'Lease Cycles'!$C$21*INDEX('Lease Cycles'!$ET$21:$EZ$21,1,BX231)*(1+'Lease Cycles'!$V$21)^INT(INT(BX232/12)/'Lease Cycles'!$W$21)/12,0),0)</f>
        <v>0</v>
      </c>
      <c r="BY235" s="28">
        <f>IF(BY233=1,IF(INDEX('Lease Cycles'!$EF$21:$EL$21,1,BY231)=1,'Lease Cycles'!$C$21*INDEX('Lease Cycles'!$ET$21:$EZ$21,1,BY231)*(1+'Lease Cycles'!$V$21)^INT(INT(BY232/12)/'Lease Cycles'!$W$21)/12,0),0)</f>
        <v>0</v>
      </c>
      <c r="BZ235" s="28">
        <f>IF(BZ233=1,IF(INDEX('Lease Cycles'!$EF$21:$EL$21,1,BZ231)=1,'Lease Cycles'!$C$21*INDEX('Lease Cycles'!$ET$21:$EZ$21,1,BZ231)*(1+'Lease Cycles'!$V$21)^INT(INT(BZ232/12)/'Lease Cycles'!$W$21)/12,0),0)</f>
        <v>0</v>
      </c>
      <c r="CA235" s="28">
        <f>IF(CA233=1,IF(INDEX('Lease Cycles'!$EF$21:$EL$21,1,CA231)=1,'Lease Cycles'!$C$21*INDEX('Lease Cycles'!$ET$21:$EZ$21,1,CA231)*(1+'Lease Cycles'!$V$21)^INT(INT(CA232/12)/'Lease Cycles'!$W$21)/12,0),0)</f>
        <v>0</v>
      </c>
      <c r="CB235" s="28">
        <f>IF(CB233=1,IF(INDEX('Lease Cycles'!$EF$21:$EL$21,1,CB231)=1,'Lease Cycles'!$C$21*INDEX('Lease Cycles'!$ET$21:$EZ$21,1,CB231)*(1+'Lease Cycles'!$V$21)^INT(INT(CB232/12)/'Lease Cycles'!$W$21)/12,0),0)</f>
        <v>0</v>
      </c>
      <c r="CC235" s="28">
        <f>IF(CC233=1,IF(INDEX('Lease Cycles'!$EF$21:$EL$21,1,CC231)=1,'Lease Cycles'!$C$21*INDEX('Lease Cycles'!$ET$21:$EZ$21,1,CC231)*(1+'Lease Cycles'!$V$21)^INT(INT(CC232/12)/'Lease Cycles'!$W$21)/12,0),0)</f>
        <v>0</v>
      </c>
      <c r="CD235" s="28">
        <f>IF(CD233=1,IF(INDEX('Lease Cycles'!$EF$21:$EL$21,1,CD231)=1,'Lease Cycles'!$C$21*INDEX('Lease Cycles'!$ET$21:$EZ$21,1,CD231)*(1+'Lease Cycles'!$V$21)^INT(INT(CD232/12)/'Lease Cycles'!$W$21)/12,0),0)</f>
        <v>0</v>
      </c>
      <c r="CE235" s="28">
        <f>IF(CE233=1,IF(INDEX('Lease Cycles'!$EF$21:$EL$21,1,CE231)=1,'Lease Cycles'!$C$21*INDEX('Lease Cycles'!$ET$21:$EZ$21,1,CE231)*(1+'Lease Cycles'!$V$21)^INT(INT(CE232/12)/'Lease Cycles'!$W$21)/12,0),0)</f>
        <v>0</v>
      </c>
      <c r="CF235" s="28">
        <f>IF(CF233=1,IF(INDEX('Lease Cycles'!$EF$21:$EL$21,1,CF231)=1,'Lease Cycles'!$C$21*INDEX('Lease Cycles'!$ET$21:$EZ$21,1,CF231)*(1+'Lease Cycles'!$V$21)^INT(INT(CF232/12)/'Lease Cycles'!$W$21)/12,0),0)</f>
        <v>0</v>
      </c>
      <c r="CG235" s="28">
        <f>IF(CG233=1,IF(INDEX('Lease Cycles'!$EF$21:$EL$21,1,CG231)=1,'Lease Cycles'!$C$21*INDEX('Lease Cycles'!$ET$21:$EZ$21,1,CG231)*(1+'Lease Cycles'!$V$21)^INT(INT(CG232/12)/'Lease Cycles'!$W$21)/12,0),0)</f>
        <v>0</v>
      </c>
      <c r="CH235" s="28">
        <f>IF(CH233=1,IF(INDEX('Lease Cycles'!$EF$21:$EL$21,1,CH231)=1,'Lease Cycles'!$C$21*INDEX('Lease Cycles'!$ET$21:$EZ$21,1,CH231)*(1+'Lease Cycles'!$V$21)^INT(INT(CH232/12)/'Lease Cycles'!$W$21)/12,0),0)</f>
        <v>0</v>
      </c>
      <c r="CI235" s="28">
        <f>IF(CI233=1,IF(INDEX('Lease Cycles'!$EF$21:$EL$21,1,CI231)=1,'Lease Cycles'!$C$21*INDEX('Lease Cycles'!$ET$21:$EZ$21,1,CI231)*(1+'Lease Cycles'!$V$21)^INT(INT(CI232/12)/'Lease Cycles'!$W$21)/12,0),0)</f>
        <v>0</v>
      </c>
      <c r="CJ235" s="28">
        <f>IF(CJ233=1,IF(INDEX('Lease Cycles'!$EF$21:$EL$21,1,CJ231)=1,'Lease Cycles'!$C$21*INDEX('Lease Cycles'!$ET$21:$EZ$21,1,CJ231)*(1+'Lease Cycles'!$V$21)^INT(INT(CJ232/12)/'Lease Cycles'!$W$21)/12,0),0)</f>
        <v>0</v>
      </c>
      <c r="CK235" s="28">
        <f>IF(CK233=1,IF(INDEX('Lease Cycles'!$EF$21:$EL$21,1,CK231)=1,'Lease Cycles'!$C$21*INDEX('Lease Cycles'!$ET$21:$EZ$21,1,CK231)*(1+'Lease Cycles'!$V$21)^INT(INT(CK232/12)/'Lease Cycles'!$W$21)/12,0),0)</f>
        <v>0</v>
      </c>
      <c r="CL235" s="28">
        <f>IF(CL233=1,IF(INDEX('Lease Cycles'!$EF$21:$EL$21,1,CL231)=1,'Lease Cycles'!$C$21*INDEX('Lease Cycles'!$ET$21:$EZ$21,1,CL231)*(1+'Lease Cycles'!$V$21)^INT(INT(CL232/12)/'Lease Cycles'!$W$21)/12,0),0)</f>
        <v>0</v>
      </c>
      <c r="CM235" s="28">
        <f>IF(CM233=1,IF(INDEX('Lease Cycles'!$EF$21:$EL$21,1,CM231)=1,'Lease Cycles'!$C$21*INDEX('Lease Cycles'!$ET$21:$EZ$21,1,CM231)*(1+'Lease Cycles'!$V$21)^INT(INT(CM232/12)/'Lease Cycles'!$W$21)/12,0),0)</f>
        <v>0</v>
      </c>
      <c r="CN235" s="28">
        <f>IF(CN233=1,IF(INDEX('Lease Cycles'!$EF$21:$EL$21,1,CN231)=1,'Lease Cycles'!$C$21*INDEX('Lease Cycles'!$ET$21:$EZ$21,1,CN231)*(1+'Lease Cycles'!$V$21)^INT(INT(CN232/12)/'Lease Cycles'!$W$21)/12,0),0)</f>
        <v>0</v>
      </c>
      <c r="CO235" s="28">
        <f>IF(CO233=1,IF(INDEX('Lease Cycles'!$EF$21:$EL$21,1,CO231)=1,'Lease Cycles'!$C$21*INDEX('Lease Cycles'!$ET$21:$EZ$21,1,CO231)*(1+'Lease Cycles'!$V$21)^INT(INT(CO232/12)/'Lease Cycles'!$W$21)/12,0),0)</f>
        <v>0</v>
      </c>
      <c r="CP235" s="28">
        <f>IF(CP233=1,IF(INDEX('Lease Cycles'!$EF$21:$EL$21,1,CP231)=1,'Lease Cycles'!$C$21*INDEX('Lease Cycles'!$ET$21:$EZ$21,1,CP231)*(1+'Lease Cycles'!$V$21)^INT(INT(CP232/12)/'Lease Cycles'!$W$21)/12,0),0)</f>
        <v>0</v>
      </c>
      <c r="CQ235" s="28">
        <f>IF(CQ233=1,IF(INDEX('Lease Cycles'!$EF$21:$EL$21,1,CQ231)=1,'Lease Cycles'!$C$21*INDEX('Lease Cycles'!$ET$21:$EZ$21,1,CQ231)*(1+'Lease Cycles'!$V$21)^INT(INT(CQ232/12)/'Lease Cycles'!$W$21)/12,0),0)</f>
        <v>0</v>
      </c>
      <c r="CR235" s="28">
        <f>IF(CR233=1,IF(INDEX('Lease Cycles'!$EF$21:$EL$21,1,CR231)=1,'Lease Cycles'!$C$21*INDEX('Lease Cycles'!$ET$21:$EZ$21,1,CR231)*(1+'Lease Cycles'!$V$21)^INT(INT(CR232/12)/'Lease Cycles'!$W$21)/12,0),0)</f>
        <v>0</v>
      </c>
      <c r="CS235" s="28">
        <f>IF(CS233=1,IF(INDEX('Lease Cycles'!$EF$21:$EL$21,1,CS231)=1,'Lease Cycles'!$C$21*INDEX('Lease Cycles'!$ET$21:$EZ$21,1,CS231)*(1+'Lease Cycles'!$V$21)^INT(INT(CS232/12)/'Lease Cycles'!$W$21)/12,0),0)</f>
        <v>0</v>
      </c>
      <c r="CT235" s="28">
        <f>IF(CT233=1,IF(INDEX('Lease Cycles'!$EF$21:$EL$21,1,CT231)=1,'Lease Cycles'!$C$21*INDEX('Lease Cycles'!$ET$21:$EZ$21,1,CT231)*(1+'Lease Cycles'!$V$21)^INT(INT(CT232/12)/'Lease Cycles'!$W$21)/12,0),0)</f>
        <v>0</v>
      </c>
      <c r="CU235" s="28">
        <f>IF(CU233=1,IF(INDEX('Lease Cycles'!$EF$21:$EL$21,1,CU231)=1,'Lease Cycles'!$C$21*INDEX('Lease Cycles'!$ET$21:$EZ$21,1,CU231)*(1+'Lease Cycles'!$V$21)^INT(INT(CU232/12)/'Lease Cycles'!$W$21)/12,0),0)</f>
        <v>0</v>
      </c>
      <c r="CV235" s="28">
        <f>IF(CV233=1,IF(INDEX('Lease Cycles'!$EF$21:$EL$21,1,CV231)=1,'Lease Cycles'!$C$21*INDEX('Lease Cycles'!$ET$21:$EZ$21,1,CV231)*(1+'Lease Cycles'!$V$21)^INT(INT(CV232/12)/'Lease Cycles'!$W$21)/12,0),0)</f>
        <v>0</v>
      </c>
      <c r="CW235" s="28">
        <f>IF(CW233=1,IF(INDEX('Lease Cycles'!$EF$21:$EL$21,1,CW231)=1,'Lease Cycles'!$C$21*INDEX('Lease Cycles'!$ET$21:$EZ$21,1,CW231)*(1+'Lease Cycles'!$V$21)^INT(INT(CW232/12)/'Lease Cycles'!$W$21)/12,0),0)</f>
        <v>0</v>
      </c>
      <c r="CX235" s="28">
        <f>IF(CX233=1,IF(INDEX('Lease Cycles'!$EF$21:$EL$21,1,CX231)=1,'Lease Cycles'!$C$21*INDEX('Lease Cycles'!$ET$21:$EZ$21,1,CX231)*(1+'Lease Cycles'!$V$21)^INT(INT(CX232/12)/'Lease Cycles'!$W$21)/12,0),0)</f>
        <v>0</v>
      </c>
      <c r="CY235" s="28">
        <f>IF(CY233=1,IF(INDEX('Lease Cycles'!$EF$21:$EL$21,1,CY231)=1,'Lease Cycles'!$C$21*INDEX('Lease Cycles'!$ET$21:$EZ$21,1,CY231)*(1+'Lease Cycles'!$V$21)^INT(INT(CY232/12)/'Lease Cycles'!$W$21)/12,0),0)</f>
        <v>0</v>
      </c>
      <c r="CZ235" s="28">
        <f>IF(CZ233=1,IF(INDEX('Lease Cycles'!$EF$21:$EL$21,1,CZ231)=1,'Lease Cycles'!$C$21*INDEX('Lease Cycles'!$ET$21:$EZ$21,1,CZ231)*(1+'Lease Cycles'!$V$21)^INT(INT(CZ232/12)/'Lease Cycles'!$W$21)/12,0),0)</f>
        <v>0</v>
      </c>
      <c r="DA235" s="28">
        <f>IF(DA233=1,IF(INDEX('Lease Cycles'!$EF$21:$EL$21,1,DA231)=1,'Lease Cycles'!$C$21*INDEX('Lease Cycles'!$ET$21:$EZ$21,1,DA231)*(1+'Lease Cycles'!$V$21)^INT(INT(DA232/12)/'Lease Cycles'!$W$21)/12,0),0)</f>
        <v>0</v>
      </c>
      <c r="DB235" s="28">
        <f>IF(DB233=1,IF(INDEX('Lease Cycles'!$EF$21:$EL$21,1,DB231)=1,'Lease Cycles'!$C$21*INDEX('Lease Cycles'!$ET$21:$EZ$21,1,DB231)*(1+'Lease Cycles'!$V$21)^INT(INT(DB232/12)/'Lease Cycles'!$W$21)/12,0),0)</f>
        <v>0</v>
      </c>
      <c r="DC235" s="28">
        <f>IF(DC233=1,IF(INDEX('Lease Cycles'!$EF$21:$EL$21,1,DC231)=1,'Lease Cycles'!$C$21*INDEX('Lease Cycles'!$ET$21:$EZ$21,1,DC231)*(1+'Lease Cycles'!$V$21)^INT(INT(DC232/12)/'Lease Cycles'!$W$21)/12,0),0)</f>
        <v>0</v>
      </c>
      <c r="DD235" s="28">
        <f>IF(DD233=1,IF(INDEX('Lease Cycles'!$EF$21:$EL$21,1,DD231)=1,'Lease Cycles'!$C$21*INDEX('Lease Cycles'!$ET$21:$EZ$21,1,DD231)*(1+'Lease Cycles'!$V$21)^INT(INT(DD232/12)/'Lease Cycles'!$W$21)/12,0),0)</f>
        <v>0</v>
      </c>
      <c r="DE235" s="28">
        <f>IF(DE233=1,IF(INDEX('Lease Cycles'!$EF$21:$EL$21,1,DE231)=1,'Lease Cycles'!$C$21*INDEX('Lease Cycles'!$ET$21:$EZ$21,1,DE231)*(1+'Lease Cycles'!$V$21)^INT(INT(DE232/12)/'Lease Cycles'!$W$21)/12,0),0)</f>
        <v>0</v>
      </c>
      <c r="DF235" s="28">
        <f>IF(DF233=1,IF(INDEX('Lease Cycles'!$EF$21:$EL$21,1,DF231)=1,'Lease Cycles'!$C$21*INDEX('Lease Cycles'!$ET$21:$EZ$21,1,DF231)*(1+'Lease Cycles'!$V$21)^INT(INT(DF232/12)/'Lease Cycles'!$W$21)/12,0),0)</f>
        <v>0</v>
      </c>
      <c r="DG235" s="28">
        <f>IF(DG233=1,IF(INDEX('Lease Cycles'!$EF$21:$EL$21,1,DG231)=1,'Lease Cycles'!$C$21*INDEX('Lease Cycles'!$ET$21:$EZ$21,1,DG231)*(1+'Lease Cycles'!$V$21)^INT(INT(DG232/12)/'Lease Cycles'!$W$21)/12,0),0)</f>
        <v>0</v>
      </c>
      <c r="DH235" s="28">
        <f>IF(DH233=1,IF(INDEX('Lease Cycles'!$EF$21:$EL$21,1,DH231)=1,'Lease Cycles'!$C$21*INDEX('Lease Cycles'!$ET$21:$EZ$21,1,DH231)*(1+'Lease Cycles'!$V$21)^INT(INT(DH232/12)/'Lease Cycles'!$W$21)/12,0),0)</f>
        <v>0</v>
      </c>
      <c r="DI235" s="28">
        <f>IF(DI233=1,IF(INDEX('Lease Cycles'!$EF$21:$EL$21,1,DI231)=1,'Lease Cycles'!$C$21*INDEX('Lease Cycles'!$ET$21:$EZ$21,1,DI231)*(1+'Lease Cycles'!$V$21)^INT(INT(DI232/12)/'Lease Cycles'!$W$21)/12,0),0)</f>
        <v>0</v>
      </c>
      <c r="DJ235" s="28">
        <f>IF(DJ233=1,IF(INDEX('Lease Cycles'!$EF$21:$EL$21,1,DJ231)=1,'Lease Cycles'!$C$21*INDEX('Lease Cycles'!$ET$21:$EZ$21,1,DJ231)*(1+'Lease Cycles'!$V$21)^INT(INT(DJ232/12)/'Lease Cycles'!$W$21)/12,0),0)</f>
        <v>0</v>
      </c>
      <c r="DK235" s="28">
        <f>IF(DK233=1,IF(INDEX('Lease Cycles'!$EF$21:$EL$21,1,DK231)=1,'Lease Cycles'!$C$21*INDEX('Lease Cycles'!$ET$21:$EZ$21,1,DK231)*(1+'Lease Cycles'!$V$21)^INT(INT(DK232/12)/'Lease Cycles'!$W$21)/12,0),0)</f>
        <v>0</v>
      </c>
      <c r="DL235" s="28">
        <f>IF(DL233=1,IF(INDEX('Lease Cycles'!$EF$21:$EL$21,1,DL231)=1,'Lease Cycles'!$C$21*INDEX('Lease Cycles'!$ET$21:$EZ$21,1,DL231)*(1+'Lease Cycles'!$V$21)^INT(INT(DL232/12)/'Lease Cycles'!$W$21)/12,0),0)</f>
        <v>0</v>
      </c>
      <c r="DM235" s="28">
        <f>IF(DM233=1,IF(INDEX('Lease Cycles'!$EF$21:$EL$21,1,DM231)=1,'Lease Cycles'!$C$21*INDEX('Lease Cycles'!$ET$21:$EZ$21,1,DM231)*(1+'Lease Cycles'!$V$21)^INT(INT(DM232/12)/'Lease Cycles'!$W$21)/12,0),0)</f>
        <v>0</v>
      </c>
      <c r="DN235" s="28">
        <f>IF(DN233=1,IF(INDEX('Lease Cycles'!$EF$21:$EL$21,1,DN231)=1,'Lease Cycles'!$C$21*INDEX('Lease Cycles'!$ET$21:$EZ$21,1,DN231)*(1+'Lease Cycles'!$V$21)^INT(INT(DN232/12)/'Lease Cycles'!$W$21)/12,0),0)</f>
        <v>0</v>
      </c>
      <c r="DO235" s="28">
        <f>IF(DO233=1,IF(INDEX('Lease Cycles'!$EF$21:$EL$21,1,DO231)=1,'Lease Cycles'!$C$21*INDEX('Lease Cycles'!$ET$21:$EZ$21,1,DO231)*(1+'Lease Cycles'!$V$21)^INT(INT(DO232/12)/'Lease Cycles'!$W$21)/12,0),0)</f>
        <v>0</v>
      </c>
      <c r="DP235" s="28">
        <f>IF(DP233=1,IF(INDEX('Lease Cycles'!$EF$21:$EL$21,1,DP231)=1,'Lease Cycles'!$C$21*INDEX('Lease Cycles'!$ET$21:$EZ$21,1,DP231)*(1+'Lease Cycles'!$V$21)^INT(INT(DP232/12)/'Lease Cycles'!$W$21)/12,0),0)</f>
        <v>0</v>
      </c>
      <c r="DQ235" s="28">
        <f>IF(DQ233=1,IF(INDEX('Lease Cycles'!$EF$21:$EL$21,1,DQ231)=1,'Lease Cycles'!$C$21*INDEX('Lease Cycles'!$ET$21:$EZ$21,1,DQ231)*(1+'Lease Cycles'!$V$21)^INT(INT(DQ232/12)/'Lease Cycles'!$W$21)/12,0),0)</f>
        <v>0</v>
      </c>
      <c r="DR235" s="28">
        <f>IF(DR233=1,IF(INDEX('Lease Cycles'!$EF$21:$EL$21,1,DR231)=1,'Lease Cycles'!$C$21*INDEX('Lease Cycles'!$ET$21:$EZ$21,1,DR231)*(1+'Lease Cycles'!$V$21)^INT(INT(DR232/12)/'Lease Cycles'!$W$21)/12,0),0)</f>
        <v>0</v>
      </c>
      <c r="DS235" s="28">
        <f>IF(DS233=1,IF(INDEX('Lease Cycles'!$EF$21:$EL$21,1,DS231)=1,'Lease Cycles'!$C$21*INDEX('Lease Cycles'!$ET$21:$EZ$21,1,DS231)*(1+'Lease Cycles'!$V$21)^INT(INT(DS232/12)/'Lease Cycles'!$W$21)/12,0),0)</f>
        <v>0</v>
      </c>
      <c r="DT235" s="28">
        <f>IF(DT233=1,IF(INDEX('Lease Cycles'!$EF$21:$EL$21,1,DT231)=1,'Lease Cycles'!$C$21*INDEX('Lease Cycles'!$ET$21:$EZ$21,1,DT231)*(1+'Lease Cycles'!$V$21)^INT(INT(DT232/12)/'Lease Cycles'!$W$21)/12,0),0)</f>
        <v>0</v>
      </c>
      <c r="DU235" s="28">
        <f>IF(DU233=1,IF(INDEX('Lease Cycles'!$EF$21:$EL$21,1,DU231)=1,'Lease Cycles'!$C$21*INDEX('Lease Cycles'!$ET$21:$EZ$21,1,DU231)*(1+'Lease Cycles'!$V$21)^INT(INT(DU232/12)/'Lease Cycles'!$W$21)/12,0),0)</f>
        <v>0</v>
      </c>
      <c r="DV235" s="28">
        <f>IF(DV233=1,IF(INDEX('Lease Cycles'!$EF$21:$EL$21,1,DV231)=1,'Lease Cycles'!$C$21*INDEX('Lease Cycles'!$ET$21:$EZ$21,1,DV231)*(1+'Lease Cycles'!$V$21)^INT(INT(DV232/12)/'Lease Cycles'!$W$21)/12,0),0)</f>
        <v>0</v>
      </c>
      <c r="DW235" s="28">
        <f>IF(DW233=1,IF(INDEX('Lease Cycles'!$EF$21:$EL$21,1,DW231)=1,'Lease Cycles'!$C$21*INDEX('Lease Cycles'!$ET$21:$EZ$21,1,DW231)*(1+'Lease Cycles'!$V$21)^INT(INT(DW232/12)/'Lease Cycles'!$W$21)/12,0),0)</f>
        <v>0</v>
      </c>
      <c r="DX235" s="28">
        <f>IF(DX233=1,IF(INDEX('Lease Cycles'!$EF$21:$EL$21,1,DX231)=1,'Lease Cycles'!$C$21*INDEX('Lease Cycles'!$ET$21:$EZ$21,1,DX231)*(1+'Lease Cycles'!$V$21)^INT(INT(DX232/12)/'Lease Cycles'!$W$21)/12,0),0)</f>
        <v>0</v>
      </c>
      <c r="DY235" s="28">
        <f>IF(DY233=1,IF(INDEX('Lease Cycles'!$EF$21:$EL$21,1,DY231)=1,'Lease Cycles'!$C$21*INDEX('Lease Cycles'!$ET$21:$EZ$21,1,DY231)*(1+'Lease Cycles'!$V$21)^INT(INT(DY232/12)/'Lease Cycles'!$W$21)/12,0),0)</f>
        <v>0</v>
      </c>
      <c r="DZ235" s="28">
        <f>IF(DZ233=1,IF(INDEX('Lease Cycles'!$EF$21:$EL$21,1,DZ231)=1,'Lease Cycles'!$C$21*INDEX('Lease Cycles'!$ET$21:$EZ$21,1,DZ231)*(1+'Lease Cycles'!$V$21)^INT(INT(DZ232/12)/'Lease Cycles'!$W$21)/12,0),0)</f>
        <v>0</v>
      </c>
      <c r="EA235" s="28">
        <f>IF(EA233=1,IF(INDEX('Lease Cycles'!$EF$21:$EL$21,1,EA231)=1,'Lease Cycles'!$C$21*INDEX('Lease Cycles'!$ET$21:$EZ$21,1,EA231)*(1+'Lease Cycles'!$V$21)^INT(INT(EA232/12)/'Lease Cycles'!$W$21)/12,0),0)</f>
        <v>0</v>
      </c>
      <c r="EB235" s="28">
        <f>IF(EB233=1,IF(INDEX('Lease Cycles'!$EF$21:$EL$21,1,EB231)=1,'Lease Cycles'!$C$21*INDEX('Lease Cycles'!$ET$21:$EZ$21,1,EB231)*(1+'Lease Cycles'!$V$21)^INT(INT(EB232/12)/'Lease Cycles'!$W$21)/12,0),0)</f>
        <v>0</v>
      </c>
      <c r="EC235" s="28">
        <f>IF(EC233=1,IF(INDEX('Lease Cycles'!$EF$21:$EL$21,1,EC231)=1,'Lease Cycles'!$C$21*INDEX('Lease Cycles'!$ET$21:$EZ$21,1,EC231)*(1+'Lease Cycles'!$V$21)^INT(INT(EC232/12)/'Lease Cycles'!$W$21)/12,0),0)</f>
        <v>0</v>
      </c>
      <c r="ED235" s="28">
        <f>IF(ED233=1,IF(INDEX('Lease Cycles'!$EF$21:$EL$21,1,ED231)=1,'Lease Cycles'!$C$21*INDEX('Lease Cycles'!$ET$21:$EZ$21,1,ED231)*(1+'Lease Cycles'!$V$21)^INT(INT(ED232/12)/'Lease Cycles'!$W$21)/12,0),0)</f>
        <v>0</v>
      </c>
      <c r="EE235" s="28">
        <f>IF(EE233=1,IF(INDEX('Lease Cycles'!$EF$21:$EL$21,1,EE231)=1,'Lease Cycles'!$C$21*INDEX('Lease Cycles'!$ET$21:$EZ$21,1,EE231)*(1+'Lease Cycles'!$V$21)^INT(INT(EE232/12)/'Lease Cycles'!$W$21)/12,0),0)</f>
        <v>0</v>
      </c>
      <c r="EF235" s="28">
        <f>IF(EF233=1,IF(INDEX('Lease Cycles'!$EF$21:$EL$21,1,EF231)=1,'Lease Cycles'!$C$21*INDEX('Lease Cycles'!$ET$21:$EZ$21,1,EF231)*(1+'Lease Cycles'!$V$21)^INT(INT(EF232/12)/'Lease Cycles'!$W$21)/12,0),0)</f>
        <v>0</v>
      </c>
      <c r="EG235" s="28">
        <f>IF(EG233=1,IF(INDEX('Lease Cycles'!$EF$21:$EL$21,1,EG231)=1,'Lease Cycles'!$C$21*INDEX('Lease Cycles'!$ET$21:$EZ$21,1,EG231)*(1+'Lease Cycles'!$V$21)^INT(INT(EG232/12)/'Lease Cycles'!$W$21)/12,0),0)</f>
        <v>0</v>
      </c>
      <c r="EH235" s="28">
        <f>IF(EH233=1,IF(INDEX('Lease Cycles'!$EF$21:$EL$21,1,EH231)=1,'Lease Cycles'!$C$21*INDEX('Lease Cycles'!$ET$21:$EZ$21,1,EH231)*(1+'Lease Cycles'!$V$21)^INT(INT(EH232/12)/'Lease Cycles'!$W$21)/12,0),0)</f>
        <v>0</v>
      </c>
      <c r="EI235" s="28">
        <f>IF(EI233=1,IF(INDEX('Lease Cycles'!$EF$21:$EL$21,1,EI231)=1,'Lease Cycles'!$C$21*INDEX('Lease Cycles'!$ET$21:$EZ$21,1,EI231)*(1+'Lease Cycles'!$V$21)^INT(INT(EI232/12)/'Lease Cycles'!$W$21)/12,0),0)</f>
        <v>0</v>
      </c>
      <c r="EJ235" s="28">
        <f>IF(EJ233=1,IF(INDEX('Lease Cycles'!$EF$21:$EL$21,1,EJ231)=1,'Lease Cycles'!$C$21*INDEX('Lease Cycles'!$ET$21:$EZ$21,1,EJ231)*(1+'Lease Cycles'!$V$21)^INT(INT(EJ232/12)/'Lease Cycles'!$W$21)/12,0),0)</f>
        <v>0</v>
      </c>
      <c r="EK235" s="28">
        <f>IF(EK233=1,IF(INDEX('Lease Cycles'!$EF$21:$EL$21,1,EK231)=1,'Lease Cycles'!$C$21*INDEX('Lease Cycles'!$ET$21:$EZ$21,1,EK231)*(1+'Lease Cycles'!$V$21)^INT(INT(EK232/12)/'Lease Cycles'!$W$21)/12,0),0)</f>
        <v>0</v>
      </c>
      <c r="EL235" s="28">
        <f>IF(EL233=1,IF(INDEX('Lease Cycles'!$EF$21:$EL$21,1,EL231)=1,'Lease Cycles'!$C$21*INDEX('Lease Cycles'!$ET$21:$EZ$21,1,EL231)*(1+'Lease Cycles'!$V$21)^INT(INT(EL232/12)/'Lease Cycles'!$W$21)/12,0),0)</f>
        <v>0</v>
      </c>
      <c r="EM235" s="28">
        <f>IF(EM233=1,IF(INDEX('Lease Cycles'!$EF$21:$EL$21,1,EM231)=1,'Lease Cycles'!$C$21*INDEX('Lease Cycles'!$ET$21:$EZ$21,1,EM231)*(1+'Lease Cycles'!$V$21)^INT(INT(EM232/12)/'Lease Cycles'!$W$21)/12,0),0)</f>
        <v>0</v>
      </c>
      <c r="EN235" s="28">
        <f>IF(EN233=1,IF(INDEX('Lease Cycles'!$EF$21:$EL$21,1,EN231)=1,'Lease Cycles'!$C$21*INDEX('Lease Cycles'!$ET$21:$EZ$21,1,EN231)*(1+'Lease Cycles'!$V$21)^INT(INT(EN232/12)/'Lease Cycles'!$W$21)/12,0),0)</f>
        <v>0</v>
      </c>
      <c r="EO235" s="28">
        <f>IF(EO233=1,IF(INDEX('Lease Cycles'!$EF$21:$EL$21,1,EO231)=1,'Lease Cycles'!$C$21*INDEX('Lease Cycles'!$ET$21:$EZ$21,1,EO231)*(1+'Lease Cycles'!$V$21)^INT(INT(EO232/12)/'Lease Cycles'!$W$21)/12,0),0)</f>
        <v>0</v>
      </c>
      <c r="EP235" s="28">
        <f>IF(EP233=1,IF(INDEX('Lease Cycles'!$EF$21:$EL$21,1,EP231)=1,'Lease Cycles'!$C$21*INDEX('Lease Cycles'!$ET$21:$EZ$21,1,EP231)*(1+'Lease Cycles'!$V$21)^INT(INT(EP232/12)/'Lease Cycles'!$W$21)/12,0),0)</f>
        <v>0</v>
      </c>
      <c r="EQ235" s="28">
        <f>IF(EQ233=1,IF(INDEX('Lease Cycles'!$EF$21:$EL$21,1,EQ231)=1,'Lease Cycles'!$C$21*INDEX('Lease Cycles'!$ET$21:$EZ$21,1,EQ231)*(1+'Lease Cycles'!$V$21)^INT(INT(EQ232/12)/'Lease Cycles'!$W$21)/12,0),0)</f>
        <v>0</v>
      </c>
      <c r="ER235" s="28">
        <f>IF(ER233=1,IF(INDEX('Lease Cycles'!$EF$21:$EL$21,1,ER231)=1,'Lease Cycles'!$C$21*INDEX('Lease Cycles'!$ET$21:$EZ$21,1,ER231)*(1+'Lease Cycles'!$V$21)^INT(INT(ER232/12)/'Lease Cycles'!$W$21)/12,0),0)</f>
        <v>0</v>
      </c>
      <c r="ES235" s="28">
        <f>IF(ES233=1,IF(INDEX('Lease Cycles'!$EF$21:$EL$21,1,ES231)=1,'Lease Cycles'!$C$21*INDEX('Lease Cycles'!$ET$21:$EZ$21,1,ES231)*(1+'Lease Cycles'!$V$21)^INT(INT(ES232/12)/'Lease Cycles'!$W$21)/12,0),0)</f>
        <v>0</v>
      </c>
      <c r="ET235" s="28">
        <f>IF(ET233=1,IF(INDEX('Lease Cycles'!$EF$21:$EL$21,1,ET231)=1,'Lease Cycles'!$C$21*INDEX('Lease Cycles'!$ET$21:$EZ$21,1,ET231)*(1+'Lease Cycles'!$V$21)^INT(INT(ET232/12)/'Lease Cycles'!$W$21)/12,0),0)</f>
        <v>0</v>
      </c>
    </row>
    <row r="236">
      <c r="A236" s="103">
        <v>14</v>
      </c>
      <c r="B236" s="23" t="str">
        <f>IF('Lease Cycles'!$B$21="","(empty slot)",'Lease Cycles'!$B$21)</f>
        <v>(empty slot)</v>
      </c>
      <c r="C236" s="23" t="s">
        <v>681</v>
      </c>
      <c r="D236" s="104" t="s">
        <v>490</v>
      </c>
      <c r="E236" s="25">
        <f>'Lease Cycles'!$AL$21</f>
        <v>0</v>
      </c>
      <c r="G236" s="28">
        <f>SUM(S236:AD236)</f>
        <v>0</v>
      </c>
      <c r="H236" s="28">
        <f>SUM(AE236:AP236)</f>
        <v>0</v>
      </c>
      <c r="I236" s="28">
        <f>SUM(AQ236:BB236)</f>
        <v>0</v>
      </c>
      <c r="J236" s="28">
        <f>SUM(BC236:BN236)</f>
        <v>0</v>
      </c>
      <c r="K236" s="28">
        <f>SUM(BO236:BZ236)</f>
        <v>0</v>
      </c>
      <c r="L236" s="28">
        <f>SUM(CA236:CL236)</f>
        <v>0</v>
      </c>
      <c r="M236" s="28">
        <f>SUM(CM236:CX236)</f>
        <v>0</v>
      </c>
      <c r="N236" s="28">
        <f>SUM(CY236:DJ236)</f>
        <v>0</v>
      </c>
      <c r="O236" s="28">
        <f>SUM(DK236:DV236)</f>
        <v>0</v>
      </c>
      <c r="P236" s="28">
        <f>SUM(DW236:EH236)</f>
        <v>0</v>
      </c>
      <c r="Q236" s="28">
        <f>SUM(EI236:ET236)</f>
        <v>0</v>
      </c>
      <c r="S236" s="28">
        <f>IF(S233=1,IF(INDEX('Lease Cycles'!$EF$21:$EL$21,1,S231)=1,S234*INDEX('Lease Cycles'!$EM$21:$ES$21,1,S231)+S235*(1-INDEX('Lease Cycles'!$EM$21:$ES$21,1,S231)),S234),S234)</f>
        <v>0</v>
      </c>
      <c r="T236" s="28">
        <f>IF(T233=1,IF(INDEX('Lease Cycles'!$EF$21:$EL$21,1,T231)=1,T234*INDEX('Lease Cycles'!$EM$21:$ES$21,1,T231)+T235*(1-INDEX('Lease Cycles'!$EM$21:$ES$21,1,T231)),T234),T234)</f>
        <v>0</v>
      </c>
      <c r="U236" s="28">
        <f>IF(U233=1,IF(INDEX('Lease Cycles'!$EF$21:$EL$21,1,U231)=1,U234*INDEX('Lease Cycles'!$EM$21:$ES$21,1,U231)+U235*(1-INDEX('Lease Cycles'!$EM$21:$ES$21,1,U231)),U234),U234)</f>
        <v>0</v>
      </c>
      <c r="V236" s="28">
        <f>IF(V233=1,IF(INDEX('Lease Cycles'!$EF$21:$EL$21,1,V231)=1,V234*INDEX('Lease Cycles'!$EM$21:$ES$21,1,V231)+V235*(1-INDEX('Lease Cycles'!$EM$21:$ES$21,1,V231)),V234),V234)</f>
        <v>0</v>
      </c>
      <c r="W236" s="28">
        <f>IF(W233=1,IF(INDEX('Lease Cycles'!$EF$21:$EL$21,1,W231)=1,W234*INDEX('Lease Cycles'!$EM$21:$ES$21,1,W231)+W235*(1-INDEX('Lease Cycles'!$EM$21:$ES$21,1,W231)),W234),W234)</f>
        <v>0</v>
      </c>
      <c r="X236" s="28">
        <f>IF(X233=1,IF(INDEX('Lease Cycles'!$EF$21:$EL$21,1,X231)=1,X234*INDEX('Lease Cycles'!$EM$21:$ES$21,1,X231)+X235*(1-INDEX('Lease Cycles'!$EM$21:$ES$21,1,X231)),X234),X234)</f>
        <v>0</v>
      </c>
      <c r="Y236" s="28">
        <f>IF(Y233=1,IF(INDEX('Lease Cycles'!$EF$21:$EL$21,1,Y231)=1,Y234*INDEX('Lease Cycles'!$EM$21:$ES$21,1,Y231)+Y235*(1-INDEX('Lease Cycles'!$EM$21:$ES$21,1,Y231)),Y234),Y234)</f>
        <v>0</v>
      </c>
      <c r="Z236" s="28">
        <f>IF(Z233=1,IF(INDEX('Lease Cycles'!$EF$21:$EL$21,1,Z231)=1,Z234*INDEX('Lease Cycles'!$EM$21:$ES$21,1,Z231)+Z235*(1-INDEX('Lease Cycles'!$EM$21:$ES$21,1,Z231)),Z234),Z234)</f>
        <v>0</v>
      </c>
      <c r="AA236" s="28">
        <f>IF(AA233=1,IF(INDEX('Lease Cycles'!$EF$21:$EL$21,1,AA231)=1,AA234*INDEX('Lease Cycles'!$EM$21:$ES$21,1,AA231)+AA235*(1-INDEX('Lease Cycles'!$EM$21:$ES$21,1,AA231)),AA234),AA234)</f>
        <v>0</v>
      </c>
      <c r="AB236" s="28">
        <f>IF(AB233=1,IF(INDEX('Lease Cycles'!$EF$21:$EL$21,1,AB231)=1,AB234*INDEX('Lease Cycles'!$EM$21:$ES$21,1,AB231)+AB235*(1-INDEX('Lease Cycles'!$EM$21:$ES$21,1,AB231)),AB234),AB234)</f>
        <v>0</v>
      </c>
      <c r="AC236" s="28">
        <f>IF(AC233=1,IF(INDEX('Lease Cycles'!$EF$21:$EL$21,1,AC231)=1,AC234*INDEX('Lease Cycles'!$EM$21:$ES$21,1,AC231)+AC235*(1-INDEX('Lease Cycles'!$EM$21:$ES$21,1,AC231)),AC234),AC234)</f>
        <v>0</v>
      </c>
      <c r="AD236" s="28">
        <f>IF(AD233=1,IF(INDEX('Lease Cycles'!$EF$21:$EL$21,1,AD231)=1,AD234*INDEX('Lease Cycles'!$EM$21:$ES$21,1,AD231)+AD235*(1-INDEX('Lease Cycles'!$EM$21:$ES$21,1,AD231)),AD234),AD234)</f>
        <v>0</v>
      </c>
      <c r="AE236" s="28">
        <f>IF(AE233=1,IF(INDEX('Lease Cycles'!$EF$21:$EL$21,1,AE231)=1,AE234*INDEX('Lease Cycles'!$EM$21:$ES$21,1,AE231)+AE235*(1-INDEX('Lease Cycles'!$EM$21:$ES$21,1,AE231)),AE234),AE234)</f>
        <v>0</v>
      </c>
      <c r="AF236" s="28">
        <f>IF(AF233=1,IF(INDEX('Lease Cycles'!$EF$21:$EL$21,1,AF231)=1,AF234*INDEX('Lease Cycles'!$EM$21:$ES$21,1,AF231)+AF235*(1-INDEX('Lease Cycles'!$EM$21:$ES$21,1,AF231)),AF234),AF234)</f>
        <v>0</v>
      </c>
      <c r="AG236" s="28">
        <f>IF(AG233=1,IF(INDEX('Lease Cycles'!$EF$21:$EL$21,1,AG231)=1,AG234*INDEX('Lease Cycles'!$EM$21:$ES$21,1,AG231)+AG235*(1-INDEX('Lease Cycles'!$EM$21:$ES$21,1,AG231)),AG234),AG234)</f>
        <v>0</v>
      </c>
      <c r="AH236" s="28">
        <f>IF(AH233=1,IF(INDEX('Lease Cycles'!$EF$21:$EL$21,1,AH231)=1,AH234*INDEX('Lease Cycles'!$EM$21:$ES$21,1,AH231)+AH235*(1-INDEX('Lease Cycles'!$EM$21:$ES$21,1,AH231)),AH234),AH234)</f>
        <v>0</v>
      </c>
      <c r="AI236" s="28">
        <f>IF(AI233=1,IF(INDEX('Lease Cycles'!$EF$21:$EL$21,1,AI231)=1,AI234*INDEX('Lease Cycles'!$EM$21:$ES$21,1,AI231)+AI235*(1-INDEX('Lease Cycles'!$EM$21:$ES$21,1,AI231)),AI234),AI234)</f>
        <v>0</v>
      </c>
      <c r="AJ236" s="28">
        <f>IF(AJ233=1,IF(INDEX('Lease Cycles'!$EF$21:$EL$21,1,AJ231)=1,AJ234*INDEX('Lease Cycles'!$EM$21:$ES$21,1,AJ231)+AJ235*(1-INDEX('Lease Cycles'!$EM$21:$ES$21,1,AJ231)),AJ234),AJ234)</f>
        <v>0</v>
      </c>
      <c r="AK236" s="28">
        <f>IF(AK233=1,IF(INDEX('Lease Cycles'!$EF$21:$EL$21,1,AK231)=1,AK234*INDEX('Lease Cycles'!$EM$21:$ES$21,1,AK231)+AK235*(1-INDEX('Lease Cycles'!$EM$21:$ES$21,1,AK231)),AK234),AK234)</f>
        <v>0</v>
      </c>
      <c r="AL236" s="28">
        <f>IF(AL233=1,IF(INDEX('Lease Cycles'!$EF$21:$EL$21,1,AL231)=1,AL234*INDEX('Lease Cycles'!$EM$21:$ES$21,1,AL231)+AL235*(1-INDEX('Lease Cycles'!$EM$21:$ES$21,1,AL231)),AL234),AL234)</f>
        <v>0</v>
      </c>
      <c r="AM236" s="28">
        <f>IF(AM233=1,IF(INDEX('Lease Cycles'!$EF$21:$EL$21,1,AM231)=1,AM234*INDEX('Lease Cycles'!$EM$21:$ES$21,1,AM231)+AM235*(1-INDEX('Lease Cycles'!$EM$21:$ES$21,1,AM231)),AM234),AM234)</f>
        <v>0</v>
      </c>
      <c r="AN236" s="28">
        <f>IF(AN233=1,IF(INDEX('Lease Cycles'!$EF$21:$EL$21,1,AN231)=1,AN234*INDEX('Lease Cycles'!$EM$21:$ES$21,1,AN231)+AN235*(1-INDEX('Lease Cycles'!$EM$21:$ES$21,1,AN231)),AN234),AN234)</f>
        <v>0</v>
      </c>
      <c r="AO236" s="28">
        <f>IF(AO233=1,IF(INDEX('Lease Cycles'!$EF$21:$EL$21,1,AO231)=1,AO234*INDEX('Lease Cycles'!$EM$21:$ES$21,1,AO231)+AO235*(1-INDEX('Lease Cycles'!$EM$21:$ES$21,1,AO231)),AO234),AO234)</f>
        <v>0</v>
      </c>
      <c r="AP236" s="28">
        <f>IF(AP233=1,IF(INDEX('Lease Cycles'!$EF$21:$EL$21,1,AP231)=1,AP234*INDEX('Lease Cycles'!$EM$21:$ES$21,1,AP231)+AP235*(1-INDEX('Lease Cycles'!$EM$21:$ES$21,1,AP231)),AP234),AP234)</f>
        <v>0</v>
      </c>
      <c r="AQ236" s="28">
        <f>IF(AQ233=1,IF(INDEX('Lease Cycles'!$EF$21:$EL$21,1,AQ231)=1,AQ234*INDEX('Lease Cycles'!$EM$21:$ES$21,1,AQ231)+AQ235*(1-INDEX('Lease Cycles'!$EM$21:$ES$21,1,AQ231)),AQ234),AQ234)</f>
        <v>0</v>
      </c>
      <c r="AR236" s="28">
        <f>IF(AR233=1,IF(INDEX('Lease Cycles'!$EF$21:$EL$21,1,AR231)=1,AR234*INDEX('Lease Cycles'!$EM$21:$ES$21,1,AR231)+AR235*(1-INDEX('Lease Cycles'!$EM$21:$ES$21,1,AR231)),AR234),AR234)</f>
        <v>0</v>
      </c>
      <c r="AS236" s="28">
        <f>IF(AS233=1,IF(INDEX('Lease Cycles'!$EF$21:$EL$21,1,AS231)=1,AS234*INDEX('Lease Cycles'!$EM$21:$ES$21,1,AS231)+AS235*(1-INDEX('Lease Cycles'!$EM$21:$ES$21,1,AS231)),AS234),AS234)</f>
        <v>0</v>
      </c>
      <c r="AT236" s="28">
        <f>IF(AT233=1,IF(INDEX('Lease Cycles'!$EF$21:$EL$21,1,AT231)=1,AT234*INDEX('Lease Cycles'!$EM$21:$ES$21,1,AT231)+AT235*(1-INDEX('Lease Cycles'!$EM$21:$ES$21,1,AT231)),AT234),AT234)</f>
        <v>0</v>
      </c>
      <c r="AU236" s="28">
        <f>IF(AU233=1,IF(INDEX('Lease Cycles'!$EF$21:$EL$21,1,AU231)=1,AU234*INDEX('Lease Cycles'!$EM$21:$ES$21,1,AU231)+AU235*(1-INDEX('Lease Cycles'!$EM$21:$ES$21,1,AU231)),AU234),AU234)</f>
        <v>0</v>
      </c>
      <c r="AV236" s="28">
        <f>IF(AV233=1,IF(INDEX('Lease Cycles'!$EF$21:$EL$21,1,AV231)=1,AV234*INDEX('Lease Cycles'!$EM$21:$ES$21,1,AV231)+AV235*(1-INDEX('Lease Cycles'!$EM$21:$ES$21,1,AV231)),AV234),AV234)</f>
        <v>0</v>
      </c>
      <c r="AW236" s="28">
        <f>IF(AW233=1,IF(INDEX('Lease Cycles'!$EF$21:$EL$21,1,AW231)=1,AW234*INDEX('Lease Cycles'!$EM$21:$ES$21,1,AW231)+AW235*(1-INDEX('Lease Cycles'!$EM$21:$ES$21,1,AW231)),AW234),AW234)</f>
        <v>0</v>
      </c>
      <c r="AX236" s="28">
        <f>IF(AX233=1,IF(INDEX('Lease Cycles'!$EF$21:$EL$21,1,AX231)=1,AX234*INDEX('Lease Cycles'!$EM$21:$ES$21,1,AX231)+AX235*(1-INDEX('Lease Cycles'!$EM$21:$ES$21,1,AX231)),AX234),AX234)</f>
        <v>0</v>
      </c>
      <c r="AY236" s="28">
        <f>IF(AY233=1,IF(INDEX('Lease Cycles'!$EF$21:$EL$21,1,AY231)=1,AY234*INDEX('Lease Cycles'!$EM$21:$ES$21,1,AY231)+AY235*(1-INDEX('Lease Cycles'!$EM$21:$ES$21,1,AY231)),AY234),AY234)</f>
        <v>0</v>
      </c>
      <c r="AZ236" s="28">
        <f>IF(AZ233=1,IF(INDEX('Lease Cycles'!$EF$21:$EL$21,1,AZ231)=1,AZ234*INDEX('Lease Cycles'!$EM$21:$ES$21,1,AZ231)+AZ235*(1-INDEX('Lease Cycles'!$EM$21:$ES$21,1,AZ231)),AZ234),AZ234)</f>
        <v>0</v>
      </c>
      <c r="BA236" s="28">
        <f>IF(BA233=1,IF(INDEX('Lease Cycles'!$EF$21:$EL$21,1,BA231)=1,BA234*INDEX('Lease Cycles'!$EM$21:$ES$21,1,BA231)+BA235*(1-INDEX('Lease Cycles'!$EM$21:$ES$21,1,BA231)),BA234),BA234)</f>
        <v>0</v>
      </c>
      <c r="BB236" s="28">
        <f>IF(BB233=1,IF(INDEX('Lease Cycles'!$EF$21:$EL$21,1,BB231)=1,BB234*INDEX('Lease Cycles'!$EM$21:$ES$21,1,BB231)+BB235*(1-INDEX('Lease Cycles'!$EM$21:$ES$21,1,BB231)),BB234),BB234)</f>
        <v>0</v>
      </c>
      <c r="BC236" s="28">
        <f>IF(BC233=1,IF(INDEX('Lease Cycles'!$EF$21:$EL$21,1,BC231)=1,BC234*INDEX('Lease Cycles'!$EM$21:$ES$21,1,BC231)+BC235*(1-INDEX('Lease Cycles'!$EM$21:$ES$21,1,BC231)),BC234),BC234)</f>
        <v>0</v>
      </c>
      <c r="BD236" s="28">
        <f>IF(BD233=1,IF(INDEX('Lease Cycles'!$EF$21:$EL$21,1,BD231)=1,BD234*INDEX('Lease Cycles'!$EM$21:$ES$21,1,BD231)+BD235*(1-INDEX('Lease Cycles'!$EM$21:$ES$21,1,BD231)),BD234),BD234)</f>
        <v>0</v>
      </c>
      <c r="BE236" s="28">
        <f>IF(BE233=1,IF(INDEX('Lease Cycles'!$EF$21:$EL$21,1,BE231)=1,BE234*INDEX('Lease Cycles'!$EM$21:$ES$21,1,BE231)+BE235*(1-INDEX('Lease Cycles'!$EM$21:$ES$21,1,BE231)),BE234),BE234)</f>
        <v>0</v>
      </c>
      <c r="BF236" s="28">
        <f>IF(BF233=1,IF(INDEX('Lease Cycles'!$EF$21:$EL$21,1,BF231)=1,BF234*INDEX('Lease Cycles'!$EM$21:$ES$21,1,BF231)+BF235*(1-INDEX('Lease Cycles'!$EM$21:$ES$21,1,BF231)),BF234),BF234)</f>
        <v>0</v>
      </c>
      <c r="BG236" s="28">
        <f>IF(BG233=1,IF(INDEX('Lease Cycles'!$EF$21:$EL$21,1,BG231)=1,BG234*INDEX('Lease Cycles'!$EM$21:$ES$21,1,BG231)+BG235*(1-INDEX('Lease Cycles'!$EM$21:$ES$21,1,BG231)),BG234),BG234)</f>
        <v>0</v>
      </c>
      <c r="BH236" s="28">
        <f>IF(BH233=1,IF(INDEX('Lease Cycles'!$EF$21:$EL$21,1,BH231)=1,BH234*INDEX('Lease Cycles'!$EM$21:$ES$21,1,BH231)+BH235*(1-INDEX('Lease Cycles'!$EM$21:$ES$21,1,BH231)),BH234),BH234)</f>
        <v>0</v>
      </c>
      <c r="BI236" s="28">
        <f>IF(BI233=1,IF(INDEX('Lease Cycles'!$EF$21:$EL$21,1,BI231)=1,BI234*INDEX('Lease Cycles'!$EM$21:$ES$21,1,BI231)+BI235*(1-INDEX('Lease Cycles'!$EM$21:$ES$21,1,BI231)),BI234),BI234)</f>
        <v>0</v>
      </c>
      <c r="BJ236" s="28">
        <f>IF(BJ233=1,IF(INDEX('Lease Cycles'!$EF$21:$EL$21,1,BJ231)=1,BJ234*INDEX('Lease Cycles'!$EM$21:$ES$21,1,BJ231)+BJ235*(1-INDEX('Lease Cycles'!$EM$21:$ES$21,1,BJ231)),BJ234),BJ234)</f>
        <v>0</v>
      </c>
      <c r="BK236" s="28">
        <f>IF(BK233=1,IF(INDEX('Lease Cycles'!$EF$21:$EL$21,1,BK231)=1,BK234*INDEX('Lease Cycles'!$EM$21:$ES$21,1,BK231)+BK235*(1-INDEX('Lease Cycles'!$EM$21:$ES$21,1,BK231)),BK234),BK234)</f>
        <v>0</v>
      </c>
      <c r="BL236" s="28">
        <f>IF(BL233=1,IF(INDEX('Lease Cycles'!$EF$21:$EL$21,1,BL231)=1,BL234*INDEX('Lease Cycles'!$EM$21:$ES$21,1,BL231)+BL235*(1-INDEX('Lease Cycles'!$EM$21:$ES$21,1,BL231)),BL234),BL234)</f>
        <v>0</v>
      </c>
      <c r="BM236" s="28">
        <f>IF(BM233=1,IF(INDEX('Lease Cycles'!$EF$21:$EL$21,1,BM231)=1,BM234*INDEX('Lease Cycles'!$EM$21:$ES$21,1,BM231)+BM235*(1-INDEX('Lease Cycles'!$EM$21:$ES$21,1,BM231)),BM234),BM234)</f>
        <v>0</v>
      </c>
      <c r="BN236" s="28">
        <f>IF(BN233=1,IF(INDEX('Lease Cycles'!$EF$21:$EL$21,1,BN231)=1,BN234*INDEX('Lease Cycles'!$EM$21:$ES$21,1,BN231)+BN235*(1-INDEX('Lease Cycles'!$EM$21:$ES$21,1,BN231)),BN234),BN234)</f>
        <v>0</v>
      </c>
      <c r="BO236" s="28">
        <f>IF(BO233=1,IF(INDEX('Lease Cycles'!$EF$21:$EL$21,1,BO231)=1,BO234*INDEX('Lease Cycles'!$EM$21:$ES$21,1,BO231)+BO235*(1-INDEX('Lease Cycles'!$EM$21:$ES$21,1,BO231)),BO234),BO234)</f>
        <v>0</v>
      </c>
      <c r="BP236" s="28">
        <f>IF(BP233=1,IF(INDEX('Lease Cycles'!$EF$21:$EL$21,1,BP231)=1,BP234*INDEX('Lease Cycles'!$EM$21:$ES$21,1,BP231)+BP235*(1-INDEX('Lease Cycles'!$EM$21:$ES$21,1,BP231)),BP234),BP234)</f>
        <v>0</v>
      </c>
      <c r="BQ236" s="28">
        <f>IF(BQ233=1,IF(INDEX('Lease Cycles'!$EF$21:$EL$21,1,BQ231)=1,BQ234*INDEX('Lease Cycles'!$EM$21:$ES$21,1,BQ231)+BQ235*(1-INDEX('Lease Cycles'!$EM$21:$ES$21,1,BQ231)),BQ234),BQ234)</f>
        <v>0</v>
      </c>
      <c r="BR236" s="28">
        <f>IF(BR233=1,IF(INDEX('Lease Cycles'!$EF$21:$EL$21,1,BR231)=1,BR234*INDEX('Lease Cycles'!$EM$21:$ES$21,1,BR231)+BR235*(1-INDEX('Lease Cycles'!$EM$21:$ES$21,1,BR231)),BR234),BR234)</f>
        <v>0</v>
      </c>
      <c r="BS236" s="28">
        <f>IF(BS233=1,IF(INDEX('Lease Cycles'!$EF$21:$EL$21,1,BS231)=1,BS234*INDEX('Lease Cycles'!$EM$21:$ES$21,1,BS231)+BS235*(1-INDEX('Lease Cycles'!$EM$21:$ES$21,1,BS231)),BS234),BS234)</f>
        <v>0</v>
      </c>
      <c r="BT236" s="28">
        <f>IF(BT233=1,IF(INDEX('Lease Cycles'!$EF$21:$EL$21,1,BT231)=1,BT234*INDEX('Lease Cycles'!$EM$21:$ES$21,1,BT231)+BT235*(1-INDEX('Lease Cycles'!$EM$21:$ES$21,1,BT231)),BT234),BT234)</f>
        <v>0</v>
      </c>
      <c r="BU236" s="28">
        <f>IF(BU233=1,IF(INDEX('Lease Cycles'!$EF$21:$EL$21,1,BU231)=1,BU234*INDEX('Lease Cycles'!$EM$21:$ES$21,1,BU231)+BU235*(1-INDEX('Lease Cycles'!$EM$21:$ES$21,1,BU231)),BU234),BU234)</f>
        <v>0</v>
      </c>
      <c r="BV236" s="28">
        <f>IF(BV233=1,IF(INDEX('Lease Cycles'!$EF$21:$EL$21,1,BV231)=1,BV234*INDEX('Lease Cycles'!$EM$21:$ES$21,1,BV231)+BV235*(1-INDEX('Lease Cycles'!$EM$21:$ES$21,1,BV231)),BV234),BV234)</f>
        <v>0</v>
      </c>
      <c r="BW236" s="28">
        <f>IF(BW233=1,IF(INDEX('Lease Cycles'!$EF$21:$EL$21,1,BW231)=1,BW234*INDEX('Lease Cycles'!$EM$21:$ES$21,1,BW231)+BW235*(1-INDEX('Lease Cycles'!$EM$21:$ES$21,1,BW231)),BW234),BW234)</f>
        <v>0</v>
      </c>
      <c r="BX236" s="28">
        <f>IF(BX233=1,IF(INDEX('Lease Cycles'!$EF$21:$EL$21,1,BX231)=1,BX234*INDEX('Lease Cycles'!$EM$21:$ES$21,1,BX231)+BX235*(1-INDEX('Lease Cycles'!$EM$21:$ES$21,1,BX231)),BX234),BX234)</f>
        <v>0</v>
      </c>
      <c r="BY236" s="28">
        <f>IF(BY233=1,IF(INDEX('Lease Cycles'!$EF$21:$EL$21,1,BY231)=1,BY234*INDEX('Lease Cycles'!$EM$21:$ES$21,1,BY231)+BY235*(1-INDEX('Lease Cycles'!$EM$21:$ES$21,1,BY231)),BY234),BY234)</f>
        <v>0</v>
      </c>
      <c r="BZ236" s="28">
        <f>IF(BZ233=1,IF(INDEX('Lease Cycles'!$EF$21:$EL$21,1,BZ231)=1,BZ234*INDEX('Lease Cycles'!$EM$21:$ES$21,1,BZ231)+BZ235*(1-INDEX('Lease Cycles'!$EM$21:$ES$21,1,BZ231)),BZ234),BZ234)</f>
        <v>0</v>
      </c>
      <c r="CA236" s="28">
        <f>IF(CA233=1,IF(INDEX('Lease Cycles'!$EF$21:$EL$21,1,CA231)=1,CA234*INDEX('Lease Cycles'!$EM$21:$ES$21,1,CA231)+CA235*(1-INDEX('Lease Cycles'!$EM$21:$ES$21,1,CA231)),CA234),CA234)</f>
        <v>0</v>
      </c>
      <c r="CB236" s="28">
        <f>IF(CB233=1,IF(INDEX('Lease Cycles'!$EF$21:$EL$21,1,CB231)=1,CB234*INDEX('Lease Cycles'!$EM$21:$ES$21,1,CB231)+CB235*(1-INDEX('Lease Cycles'!$EM$21:$ES$21,1,CB231)),CB234),CB234)</f>
        <v>0</v>
      </c>
      <c r="CC236" s="28">
        <f>IF(CC233=1,IF(INDEX('Lease Cycles'!$EF$21:$EL$21,1,CC231)=1,CC234*INDEX('Lease Cycles'!$EM$21:$ES$21,1,CC231)+CC235*(1-INDEX('Lease Cycles'!$EM$21:$ES$21,1,CC231)),CC234),CC234)</f>
        <v>0</v>
      </c>
      <c r="CD236" s="28">
        <f>IF(CD233=1,IF(INDEX('Lease Cycles'!$EF$21:$EL$21,1,CD231)=1,CD234*INDEX('Lease Cycles'!$EM$21:$ES$21,1,CD231)+CD235*(1-INDEX('Lease Cycles'!$EM$21:$ES$21,1,CD231)),CD234),CD234)</f>
        <v>0</v>
      </c>
      <c r="CE236" s="28">
        <f>IF(CE233=1,IF(INDEX('Lease Cycles'!$EF$21:$EL$21,1,CE231)=1,CE234*INDEX('Lease Cycles'!$EM$21:$ES$21,1,CE231)+CE235*(1-INDEX('Lease Cycles'!$EM$21:$ES$21,1,CE231)),CE234),CE234)</f>
        <v>0</v>
      </c>
      <c r="CF236" s="28">
        <f>IF(CF233=1,IF(INDEX('Lease Cycles'!$EF$21:$EL$21,1,CF231)=1,CF234*INDEX('Lease Cycles'!$EM$21:$ES$21,1,CF231)+CF235*(1-INDEX('Lease Cycles'!$EM$21:$ES$21,1,CF231)),CF234),CF234)</f>
        <v>0</v>
      </c>
      <c r="CG236" s="28">
        <f>IF(CG233=1,IF(INDEX('Lease Cycles'!$EF$21:$EL$21,1,CG231)=1,CG234*INDEX('Lease Cycles'!$EM$21:$ES$21,1,CG231)+CG235*(1-INDEX('Lease Cycles'!$EM$21:$ES$21,1,CG231)),CG234),CG234)</f>
        <v>0</v>
      </c>
      <c r="CH236" s="28">
        <f>IF(CH233=1,IF(INDEX('Lease Cycles'!$EF$21:$EL$21,1,CH231)=1,CH234*INDEX('Lease Cycles'!$EM$21:$ES$21,1,CH231)+CH235*(1-INDEX('Lease Cycles'!$EM$21:$ES$21,1,CH231)),CH234),CH234)</f>
        <v>0</v>
      </c>
      <c r="CI236" s="28">
        <f>IF(CI233=1,IF(INDEX('Lease Cycles'!$EF$21:$EL$21,1,CI231)=1,CI234*INDEX('Lease Cycles'!$EM$21:$ES$21,1,CI231)+CI235*(1-INDEX('Lease Cycles'!$EM$21:$ES$21,1,CI231)),CI234),CI234)</f>
        <v>0</v>
      </c>
      <c r="CJ236" s="28">
        <f>IF(CJ233=1,IF(INDEX('Lease Cycles'!$EF$21:$EL$21,1,CJ231)=1,CJ234*INDEX('Lease Cycles'!$EM$21:$ES$21,1,CJ231)+CJ235*(1-INDEX('Lease Cycles'!$EM$21:$ES$21,1,CJ231)),CJ234),CJ234)</f>
        <v>0</v>
      </c>
      <c r="CK236" s="28">
        <f>IF(CK233=1,IF(INDEX('Lease Cycles'!$EF$21:$EL$21,1,CK231)=1,CK234*INDEX('Lease Cycles'!$EM$21:$ES$21,1,CK231)+CK235*(1-INDEX('Lease Cycles'!$EM$21:$ES$21,1,CK231)),CK234),CK234)</f>
        <v>0</v>
      </c>
      <c r="CL236" s="28">
        <f>IF(CL233=1,IF(INDEX('Lease Cycles'!$EF$21:$EL$21,1,CL231)=1,CL234*INDEX('Lease Cycles'!$EM$21:$ES$21,1,CL231)+CL235*(1-INDEX('Lease Cycles'!$EM$21:$ES$21,1,CL231)),CL234),CL234)</f>
        <v>0</v>
      </c>
      <c r="CM236" s="28">
        <f>IF(CM233=1,IF(INDEX('Lease Cycles'!$EF$21:$EL$21,1,CM231)=1,CM234*INDEX('Lease Cycles'!$EM$21:$ES$21,1,CM231)+CM235*(1-INDEX('Lease Cycles'!$EM$21:$ES$21,1,CM231)),CM234),CM234)</f>
        <v>0</v>
      </c>
      <c r="CN236" s="28">
        <f>IF(CN233=1,IF(INDEX('Lease Cycles'!$EF$21:$EL$21,1,CN231)=1,CN234*INDEX('Lease Cycles'!$EM$21:$ES$21,1,CN231)+CN235*(1-INDEX('Lease Cycles'!$EM$21:$ES$21,1,CN231)),CN234),CN234)</f>
        <v>0</v>
      </c>
      <c r="CO236" s="28">
        <f>IF(CO233=1,IF(INDEX('Lease Cycles'!$EF$21:$EL$21,1,CO231)=1,CO234*INDEX('Lease Cycles'!$EM$21:$ES$21,1,CO231)+CO235*(1-INDEX('Lease Cycles'!$EM$21:$ES$21,1,CO231)),CO234),CO234)</f>
        <v>0</v>
      </c>
      <c r="CP236" s="28">
        <f>IF(CP233=1,IF(INDEX('Lease Cycles'!$EF$21:$EL$21,1,CP231)=1,CP234*INDEX('Lease Cycles'!$EM$21:$ES$21,1,CP231)+CP235*(1-INDEX('Lease Cycles'!$EM$21:$ES$21,1,CP231)),CP234),CP234)</f>
        <v>0</v>
      </c>
      <c r="CQ236" s="28">
        <f>IF(CQ233=1,IF(INDEX('Lease Cycles'!$EF$21:$EL$21,1,CQ231)=1,CQ234*INDEX('Lease Cycles'!$EM$21:$ES$21,1,CQ231)+CQ235*(1-INDEX('Lease Cycles'!$EM$21:$ES$21,1,CQ231)),CQ234),CQ234)</f>
        <v>0</v>
      </c>
      <c r="CR236" s="28">
        <f>IF(CR233=1,IF(INDEX('Lease Cycles'!$EF$21:$EL$21,1,CR231)=1,CR234*INDEX('Lease Cycles'!$EM$21:$ES$21,1,CR231)+CR235*(1-INDEX('Lease Cycles'!$EM$21:$ES$21,1,CR231)),CR234),CR234)</f>
        <v>0</v>
      </c>
      <c r="CS236" s="28">
        <f>IF(CS233=1,IF(INDEX('Lease Cycles'!$EF$21:$EL$21,1,CS231)=1,CS234*INDEX('Lease Cycles'!$EM$21:$ES$21,1,CS231)+CS235*(1-INDEX('Lease Cycles'!$EM$21:$ES$21,1,CS231)),CS234),CS234)</f>
        <v>0</v>
      </c>
      <c r="CT236" s="28">
        <f>IF(CT233=1,IF(INDEX('Lease Cycles'!$EF$21:$EL$21,1,CT231)=1,CT234*INDEX('Lease Cycles'!$EM$21:$ES$21,1,CT231)+CT235*(1-INDEX('Lease Cycles'!$EM$21:$ES$21,1,CT231)),CT234),CT234)</f>
        <v>0</v>
      </c>
      <c r="CU236" s="28">
        <f>IF(CU233=1,IF(INDEX('Lease Cycles'!$EF$21:$EL$21,1,CU231)=1,CU234*INDEX('Lease Cycles'!$EM$21:$ES$21,1,CU231)+CU235*(1-INDEX('Lease Cycles'!$EM$21:$ES$21,1,CU231)),CU234),CU234)</f>
        <v>0</v>
      </c>
      <c r="CV236" s="28">
        <f>IF(CV233=1,IF(INDEX('Lease Cycles'!$EF$21:$EL$21,1,CV231)=1,CV234*INDEX('Lease Cycles'!$EM$21:$ES$21,1,CV231)+CV235*(1-INDEX('Lease Cycles'!$EM$21:$ES$21,1,CV231)),CV234),CV234)</f>
        <v>0</v>
      </c>
      <c r="CW236" s="28">
        <f>IF(CW233=1,IF(INDEX('Lease Cycles'!$EF$21:$EL$21,1,CW231)=1,CW234*INDEX('Lease Cycles'!$EM$21:$ES$21,1,CW231)+CW235*(1-INDEX('Lease Cycles'!$EM$21:$ES$21,1,CW231)),CW234),CW234)</f>
        <v>0</v>
      </c>
      <c r="CX236" s="28">
        <f>IF(CX233=1,IF(INDEX('Lease Cycles'!$EF$21:$EL$21,1,CX231)=1,CX234*INDEX('Lease Cycles'!$EM$21:$ES$21,1,CX231)+CX235*(1-INDEX('Lease Cycles'!$EM$21:$ES$21,1,CX231)),CX234),CX234)</f>
        <v>0</v>
      </c>
      <c r="CY236" s="28">
        <f>IF(CY233=1,IF(INDEX('Lease Cycles'!$EF$21:$EL$21,1,CY231)=1,CY234*INDEX('Lease Cycles'!$EM$21:$ES$21,1,CY231)+CY235*(1-INDEX('Lease Cycles'!$EM$21:$ES$21,1,CY231)),CY234),CY234)</f>
        <v>0</v>
      </c>
      <c r="CZ236" s="28">
        <f>IF(CZ233=1,IF(INDEX('Lease Cycles'!$EF$21:$EL$21,1,CZ231)=1,CZ234*INDEX('Lease Cycles'!$EM$21:$ES$21,1,CZ231)+CZ235*(1-INDEX('Lease Cycles'!$EM$21:$ES$21,1,CZ231)),CZ234),CZ234)</f>
        <v>0</v>
      </c>
      <c r="DA236" s="28">
        <f>IF(DA233=1,IF(INDEX('Lease Cycles'!$EF$21:$EL$21,1,DA231)=1,DA234*INDEX('Lease Cycles'!$EM$21:$ES$21,1,DA231)+DA235*(1-INDEX('Lease Cycles'!$EM$21:$ES$21,1,DA231)),DA234),DA234)</f>
        <v>0</v>
      </c>
      <c r="DB236" s="28">
        <f>IF(DB233=1,IF(INDEX('Lease Cycles'!$EF$21:$EL$21,1,DB231)=1,DB234*INDEX('Lease Cycles'!$EM$21:$ES$21,1,DB231)+DB235*(1-INDEX('Lease Cycles'!$EM$21:$ES$21,1,DB231)),DB234),DB234)</f>
        <v>0</v>
      </c>
      <c r="DC236" s="28">
        <f>IF(DC233=1,IF(INDEX('Lease Cycles'!$EF$21:$EL$21,1,DC231)=1,DC234*INDEX('Lease Cycles'!$EM$21:$ES$21,1,DC231)+DC235*(1-INDEX('Lease Cycles'!$EM$21:$ES$21,1,DC231)),DC234),DC234)</f>
        <v>0</v>
      </c>
      <c r="DD236" s="28">
        <f>IF(DD233=1,IF(INDEX('Lease Cycles'!$EF$21:$EL$21,1,DD231)=1,DD234*INDEX('Lease Cycles'!$EM$21:$ES$21,1,DD231)+DD235*(1-INDEX('Lease Cycles'!$EM$21:$ES$21,1,DD231)),DD234),DD234)</f>
        <v>0</v>
      </c>
      <c r="DE236" s="28">
        <f>IF(DE233=1,IF(INDEX('Lease Cycles'!$EF$21:$EL$21,1,DE231)=1,DE234*INDEX('Lease Cycles'!$EM$21:$ES$21,1,DE231)+DE235*(1-INDEX('Lease Cycles'!$EM$21:$ES$21,1,DE231)),DE234),DE234)</f>
        <v>0</v>
      </c>
      <c r="DF236" s="28">
        <f>IF(DF233=1,IF(INDEX('Lease Cycles'!$EF$21:$EL$21,1,DF231)=1,DF234*INDEX('Lease Cycles'!$EM$21:$ES$21,1,DF231)+DF235*(1-INDEX('Lease Cycles'!$EM$21:$ES$21,1,DF231)),DF234),DF234)</f>
        <v>0</v>
      </c>
      <c r="DG236" s="28">
        <f>IF(DG233=1,IF(INDEX('Lease Cycles'!$EF$21:$EL$21,1,DG231)=1,DG234*INDEX('Lease Cycles'!$EM$21:$ES$21,1,DG231)+DG235*(1-INDEX('Lease Cycles'!$EM$21:$ES$21,1,DG231)),DG234),DG234)</f>
        <v>0</v>
      </c>
      <c r="DH236" s="28">
        <f>IF(DH233=1,IF(INDEX('Lease Cycles'!$EF$21:$EL$21,1,DH231)=1,DH234*INDEX('Lease Cycles'!$EM$21:$ES$21,1,DH231)+DH235*(1-INDEX('Lease Cycles'!$EM$21:$ES$21,1,DH231)),DH234),DH234)</f>
        <v>0</v>
      </c>
      <c r="DI236" s="28">
        <f>IF(DI233=1,IF(INDEX('Lease Cycles'!$EF$21:$EL$21,1,DI231)=1,DI234*INDEX('Lease Cycles'!$EM$21:$ES$21,1,DI231)+DI235*(1-INDEX('Lease Cycles'!$EM$21:$ES$21,1,DI231)),DI234),DI234)</f>
        <v>0</v>
      </c>
      <c r="DJ236" s="28">
        <f>IF(DJ233=1,IF(INDEX('Lease Cycles'!$EF$21:$EL$21,1,DJ231)=1,DJ234*INDEX('Lease Cycles'!$EM$21:$ES$21,1,DJ231)+DJ235*(1-INDEX('Lease Cycles'!$EM$21:$ES$21,1,DJ231)),DJ234),DJ234)</f>
        <v>0</v>
      </c>
      <c r="DK236" s="28">
        <f>IF(DK233=1,IF(INDEX('Lease Cycles'!$EF$21:$EL$21,1,DK231)=1,DK234*INDEX('Lease Cycles'!$EM$21:$ES$21,1,DK231)+DK235*(1-INDEX('Lease Cycles'!$EM$21:$ES$21,1,DK231)),DK234),DK234)</f>
        <v>0</v>
      </c>
      <c r="DL236" s="28">
        <f>IF(DL233=1,IF(INDEX('Lease Cycles'!$EF$21:$EL$21,1,DL231)=1,DL234*INDEX('Lease Cycles'!$EM$21:$ES$21,1,DL231)+DL235*(1-INDEX('Lease Cycles'!$EM$21:$ES$21,1,DL231)),DL234),DL234)</f>
        <v>0</v>
      </c>
      <c r="DM236" s="28">
        <f>IF(DM233=1,IF(INDEX('Lease Cycles'!$EF$21:$EL$21,1,DM231)=1,DM234*INDEX('Lease Cycles'!$EM$21:$ES$21,1,DM231)+DM235*(1-INDEX('Lease Cycles'!$EM$21:$ES$21,1,DM231)),DM234),DM234)</f>
        <v>0</v>
      </c>
      <c r="DN236" s="28">
        <f>IF(DN233=1,IF(INDEX('Lease Cycles'!$EF$21:$EL$21,1,DN231)=1,DN234*INDEX('Lease Cycles'!$EM$21:$ES$21,1,DN231)+DN235*(1-INDEX('Lease Cycles'!$EM$21:$ES$21,1,DN231)),DN234),DN234)</f>
        <v>0</v>
      </c>
      <c r="DO236" s="28">
        <f>IF(DO233=1,IF(INDEX('Lease Cycles'!$EF$21:$EL$21,1,DO231)=1,DO234*INDEX('Lease Cycles'!$EM$21:$ES$21,1,DO231)+DO235*(1-INDEX('Lease Cycles'!$EM$21:$ES$21,1,DO231)),DO234),DO234)</f>
        <v>0</v>
      </c>
      <c r="DP236" s="28">
        <f>IF(DP233=1,IF(INDEX('Lease Cycles'!$EF$21:$EL$21,1,DP231)=1,DP234*INDEX('Lease Cycles'!$EM$21:$ES$21,1,DP231)+DP235*(1-INDEX('Lease Cycles'!$EM$21:$ES$21,1,DP231)),DP234),DP234)</f>
        <v>0</v>
      </c>
      <c r="DQ236" s="28">
        <f>IF(DQ233=1,IF(INDEX('Lease Cycles'!$EF$21:$EL$21,1,DQ231)=1,DQ234*INDEX('Lease Cycles'!$EM$21:$ES$21,1,DQ231)+DQ235*(1-INDEX('Lease Cycles'!$EM$21:$ES$21,1,DQ231)),DQ234),DQ234)</f>
        <v>0</v>
      </c>
      <c r="DR236" s="28">
        <f>IF(DR233=1,IF(INDEX('Lease Cycles'!$EF$21:$EL$21,1,DR231)=1,DR234*INDEX('Lease Cycles'!$EM$21:$ES$21,1,DR231)+DR235*(1-INDEX('Lease Cycles'!$EM$21:$ES$21,1,DR231)),DR234),DR234)</f>
        <v>0</v>
      </c>
      <c r="DS236" s="28">
        <f>IF(DS233=1,IF(INDEX('Lease Cycles'!$EF$21:$EL$21,1,DS231)=1,DS234*INDEX('Lease Cycles'!$EM$21:$ES$21,1,DS231)+DS235*(1-INDEX('Lease Cycles'!$EM$21:$ES$21,1,DS231)),DS234),DS234)</f>
        <v>0</v>
      </c>
      <c r="DT236" s="28">
        <f>IF(DT233=1,IF(INDEX('Lease Cycles'!$EF$21:$EL$21,1,DT231)=1,DT234*INDEX('Lease Cycles'!$EM$21:$ES$21,1,DT231)+DT235*(1-INDEX('Lease Cycles'!$EM$21:$ES$21,1,DT231)),DT234),DT234)</f>
        <v>0</v>
      </c>
      <c r="DU236" s="28">
        <f>IF(DU233=1,IF(INDEX('Lease Cycles'!$EF$21:$EL$21,1,DU231)=1,DU234*INDEX('Lease Cycles'!$EM$21:$ES$21,1,DU231)+DU235*(1-INDEX('Lease Cycles'!$EM$21:$ES$21,1,DU231)),DU234),DU234)</f>
        <v>0</v>
      </c>
      <c r="DV236" s="28">
        <f>IF(DV233=1,IF(INDEX('Lease Cycles'!$EF$21:$EL$21,1,DV231)=1,DV234*INDEX('Lease Cycles'!$EM$21:$ES$21,1,DV231)+DV235*(1-INDEX('Lease Cycles'!$EM$21:$ES$21,1,DV231)),DV234),DV234)</f>
        <v>0</v>
      </c>
      <c r="DW236" s="28">
        <f>IF(DW233=1,IF(INDEX('Lease Cycles'!$EF$21:$EL$21,1,DW231)=1,DW234*INDEX('Lease Cycles'!$EM$21:$ES$21,1,DW231)+DW235*(1-INDEX('Lease Cycles'!$EM$21:$ES$21,1,DW231)),DW234),DW234)</f>
        <v>0</v>
      </c>
      <c r="DX236" s="28">
        <f>IF(DX233=1,IF(INDEX('Lease Cycles'!$EF$21:$EL$21,1,DX231)=1,DX234*INDEX('Lease Cycles'!$EM$21:$ES$21,1,DX231)+DX235*(1-INDEX('Lease Cycles'!$EM$21:$ES$21,1,DX231)),DX234),DX234)</f>
        <v>0</v>
      </c>
      <c r="DY236" s="28">
        <f>IF(DY233=1,IF(INDEX('Lease Cycles'!$EF$21:$EL$21,1,DY231)=1,DY234*INDEX('Lease Cycles'!$EM$21:$ES$21,1,DY231)+DY235*(1-INDEX('Lease Cycles'!$EM$21:$ES$21,1,DY231)),DY234),DY234)</f>
        <v>0</v>
      </c>
      <c r="DZ236" s="28">
        <f>IF(DZ233=1,IF(INDEX('Lease Cycles'!$EF$21:$EL$21,1,DZ231)=1,DZ234*INDEX('Lease Cycles'!$EM$21:$ES$21,1,DZ231)+DZ235*(1-INDEX('Lease Cycles'!$EM$21:$ES$21,1,DZ231)),DZ234),DZ234)</f>
        <v>0</v>
      </c>
      <c r="EA236" s="28">
        <f>IF(EA233=1,IF(INDEX('Lease Cycles'!$EF$21:$EL$21,1,EA231)=1,EA234*INDEX('Lease Cycles'!$EM$21:$ES$21,1,EA231)+EA235*(1-INDEX('Lease Cycles'!$EM$21:$ES$21,1,EA231)),EA234),EA234)</f>
        <v>0</v>
      </c>
      <c r="EB236" s="28">
        <f>IF(EB233=1,IF(INDEX('Lease Cycles'!$EF$21:$EL$21,1,EB231)=1,EB234*INDEX('Lease Cycles'!$EM$21:$ES$21,1,EB231)+EB235*(1-INDEX('Lease Cycles'!$EM$21:$ES$21,1,EB231)),EB234),EB234)</f>
        <v>0</v>
      </c>
      <c r="EC236" s="28">
        <f>IF(EC233=1,IF(INDEX('Lease Cycles'!$EF$21:$EL$21,1,EC231)=1,EC234*INDEX('Lease Cycles'!$EM$21:$ES$21,1,EC231)+EC235*(1-INDEX('Lease Cycles'!$EM$21:$ES$21,1,EC231)),EC234),EC234)</f>
        <v>0</v>
      </c>
      <c r="ED236" s="28">
        <f>IF(ED233=1,IF(INDEX('Lease Cycles'!$EF$21:$EL$21,1,ED231)=1,ED234*INDEX('Lease Cycles'!$EM$21:$ES$21,1,ED231)+ED235*(1-INDEX('Lease Cycles'!$EM$21:$ES$21,1,ED231)),ED234),ED234)</f>
        <v>0</v>
      </c>
      <c r="EE236" s="28">
        <f>IF(EE233=1,IF(INDEX('Lease Cycles'!$EF$21:$EL$21,1,EE231)=1,EE234*INDEX('Lease Cycles'!$EM$21:$ES$21,1,EE231)+EE235*(1-INDEX('Lease Cycles'!$EM$21:$ES$21,1,EE231)),EE234),EE234)</f>
        <v>0</v>
      </c>
      <c r="EF236" s="28">
        <f>IF(EF233=1,IF(INDEX('Lease Cycles'!$EF$21:$EL$21,1,EF231)=1,EF234*INDEX('Lease Cycles'!$EM$21:$ES$21,1,EF231)+EF235*(1-INDEX('Lease Cycles'!$EM$21:$ES$21,1,EF231)),EF234),EF234)</f>
        <v>0</v>
      </c>
      <c r="EG236" s="28">
        <f>IF(EG233=1,IF(INDEX('Lease Cycles'!$EF$21:$EL$21,1,EG231)=1,EG234*INDEX('Lease Cycles'!$EM$21:$ES$21,1,EG231)+EG235*(1-INDEX('Lease Cycles'!$EM$21:$ES$21,1,EG231)),EG234),EG234)</f>
        <v>0</v>
      </c>
      <c r="EH236" s="28">
        <f>IF(EH233=1,IF(INDEX('Lease Cycles'!$EF$21:$EL$21,1,EH231)=1,EH234*INDEX('Lease Cycles'!$EM$21:$ES$21,1,EH231)+EH235*(1-INDEX('Lease Cycles'!$EM$21:$ES$21,1,EH231)),EH234),EH234)</f>
        <v>0</v>
      </c>
      <c r="EI236" s="28">
        <f>IF(EI233=1,IF(INDEX('Lease Cycles'!$EF$21:$EL$21,1,EI231)=1,EI234*INDEX('Lease Cycles'!$EM$21:$ES$21,1,EI231)+EI235*(1-INDEX('Lease Cycles'!$EM$21:$ES$21,1,EI231)),EI234),EI234)</f>
        <v>0</v>
      </c>
      <c r="EJ236" s="28">
        <f>IF(EJ233=1,IF(INDEX('Lease Cycles'!$EF$21:$EL$21,1,EJ231)=1,EJ234*INDEX('Lease Cycles'!$EM$21:$ES$21,1,EJ231)+EJ235*(1-INDEX('Lease Cycles'!$EM$21:$ES$21,1,EJ231)),EJ234),EJ234)</f>
        <v>0</v>
      </c>
      <c r="EK236" s="28">
        <f>IF(EK233=1,IF(INDEX('Lease Cycles'!$EF$21:$EL$21,1,EK231)=1,EK234*INDEX('Lease Cycles'!$EM$21:$ES$21,1,EK231)+EK235*(1-INDEX('Lease Cycles'!$EM$21:$ES$21,1,EK231)),EK234),EK234)</f>
        <v>0</v>
      </c>
      <c r="EL236" s="28">
        <f>IF(EL233=1,IF(INDEX('Lease Cycles'!$EF$21:$EL$21,1,EL231)=1,EL234*INDEX('Lease Cycles'!$EM$21:$ES$21,1,EL231)+EL235*(1-INDEX('Lease Cycles'!$EM$21:$ES$21,1,EL231)),EL234),EL234)</f>
        <v>0</v>
      </c>
      <c r="EM236" s="28">
        <f>IF(EM233=1,IF(INDEX('Lease Cycles'!$EF$21:$EL$21,1,EM231)=1,EM234*INDEX('Lease Cycles'!$EM$21:$ES$21,1,EM231)+EM235*(1-INDEX('Lease Cycles'!$EM$21:$ES$21,1,EM231)),EM234),EM234)</f>
        <v>0</v>
      </c>
      <c r="EN236" s="28">
        <f>IF(EN233=1,IF(INDEX('Lease Cycles'!$EF$21:$EL$21,1,EN231)=1,EN234*INDEX('Lease Cycles'!$EM$21:$ES$21,1,EN231)+EN235*(1-INDEX('Lease Cycles'!$EM$21:$ES$21,1,EN231)),EN234),EN234)</f>
        <v>0</v>
      </c>
      <c r="EO236" s="28">
        <f>IF(EO233=1,IF(INDEX('Lease Cycles'!$EF$21:$EL$21,1,EO231)=1,EO234*INDEX('Lease Cycles'!$EM$21:$ES$21,1,EO231)+EO235*(1-INDEX('Lease Cycles'!$EM$21:$ES$21,1,EO231)),EO234),EO234)</f>
        <v>0</v>
      </c>
      <c r="EP236" s="28">
        <f>IF(EP233=1,IF(INDEX('Lease Cycles'!$EF$21:$EL$21,1,EP231)=1,EP234*INDEX('Lease Cycles'!$EM$21:$ES$21,1,EP231)+EP235*(1-INDEX('Lease Cycles'!$EM$21:$ES$21,1,EP231)),EP234),EP234)</f>
        <v>0</v>
      </c>
      <c r="EQ236" s="28">
        <f>IF(EQ233=1,IF(INDEX('Lease Cycles'!$EF$21:$EL$21,1,EQ231)=1,EQ234*INDEX('Lease Cycles'!$EM$21:$ES$21,1,EQ231)+EQ235*(1-INDEX('Lease Cycles'!$EM$21:$ES$21,1,EQ231)),EQ234),EQ234)</f>
        <v>0</v>
      </c>
      <c r="ER236" s="28">
        <f>IF(ER233=1,IF(INDEX('Lease Cycles'!$EF$21:$EL$21,1,ER231)=1,ER234*INDEX('Lease Cycles'!$EM$21:$ES$21,1,ER231)+ER235*(1-INDEX('Lease Cycles'!$EM$21:$ES$21,1,ER231)),ER234),ER234)</f>
        <v>0</v>
      </c>
      <c r="ES236" s="28">
        <f>IF(ES233=1,IF(INDEX('Lease Cycles'!$EF$21:$EL$21,1,ES231)=1,ES234*INDEX('Lease Cycles'!$EM$21:$ES$21,1,ES231)+ES235*(1-INDEX('Lease Cycles'!$EM$21:$ES$21,1,ES231)),ES234),ES234)</f>
        <v>0</v>
      </c>
      <c r="ET236" s="28">
        <f>IF(ET233=1,IF(INDEX('Lease Cycles'!$EF$21:$EL$21,1,ET231)=1,ET234*INDEX('Lease Cycles'!$EM$21:$ES$21,1,ET231)+ET235*(1-INDEX('Lease Cycles'!$EM$21:$ES$21,1,ET231)),ET234),ET234)</f>
        <v>0</v>
      </c>
    </row>
    <row r="237">
      <c r="A237" s="103">
        <v>14</v>
      </c>
      <c r="B237" s="23" t="str">
        <f>IF('Lease Cycles'!$B$21="","(empty slot)",'Lease Cycles'!$B$21)</f>
        <v>(empty slot)</v>
      </c>
      <c r="C237" s="23" t="s">
        <v>682</v>
      </c>
      <c r="D237" s="104" t="s">
        <v>495</v>
      </c>
      <c r="E237" s="25">
        <f>'Lease Cycles'!$AL$21</f>
        <v>0</v>
      </c>
      <c r="G237" s="28">
        <f>SUM(S237:AD237)</f>
        <v>0</v>
      </c>
      <c r="H237" s="28">
        <f>SUM(AE237:AP237)</f>
        <v>0</v>
      </c>
      <c r="I237" s="28">
        <f>SUM(AQ237:BB237)</f>
        <v>0</v>
      </c>
      <c r="J237" s="28">
        <f>SUM(BC237:BN237)</f>
        <v>0</v>
      </c>
      <c r="K237" s="28">
        <f>SUM(BO237:BZ237)</f>
        <v>0</v>
      </c>
      <c r="L237" s="28">
        <f>SUM(CA237:CL237)</f>
        <v>0</v>
      </c>
      <c r="M237" s="28">
        <f>SUM(CM237:CX237)</f>
        <v>0</v>
      </c>
      <c r="N237" s="28">
        <f>SUM(CY237:DJ237)</f>
        <v>0</v>
      </c>
      <c r="O237" s="28">
        <f>SUM(DK237:DV237)</f>
        <v>0</v>
      </c>
      <c r="P237" s="28">
        <f>SUM(DW237:EH237)</f>
        <v>0</v>
      </c>
      <c r="Q237" s="28">
        <f>SUM(EI237:ET237)</f>
        <v>0</v>
      </c>
      <c r="S237" s="28">
        <f>IF(S233=1,IF(INDEX('Lease Cycles'!$EF$21:$EL$21,1,S231)=1,S234*INDEX('Lease Cycles'!$EM$21:$ES$21,1,S231)+S235*IF(S232&lt;INDEX('Lease Cycles'!$FA$21:$FG$21,1,S231),0,1-INDEX('Lease Cycles'!$EM$21:$ES$21,1,S231)),S234*IF(S232&lt;INDEX('Lease Cycles'!$DK$21:$DQ$21,1,S231),0,IF(S232=INDEX('Lease Cycles'!$DK$21:$DQ$21,1,S231),1-INDEX('Lease Cycles'!$DR$21:$DX$21,1,S231),1))),0)</f>
        <v>0</v>
      </c>
      <c r="T237" s="28">
        <f>IF(T233=1,IF(INDEX('Lease Cycles'!$EF$21:$EL$21,1,T231)=1,T234*INDEX('Lease Cycles'!$EM$21:$ES$21,1,T231)+T235*IF(T232&lt;INDEX('Lease Cycles'!$FA$21:$FG$21,1,T231),0,1-INDEX('Lease Cycles'!$EM$21:$ES$21,1,T231)),T234*IF(T232&lt;INDEX('Lease Cycles'!$DK$21:$DQ$21,1,T231),0,IF(T232=INDEX('Lease Cycles'!$DK$21:$DQ$21,1,T231),1-INDEX('Lease Cycles'!$DR$21:$DX$21,1,T231),1))),0)</f>
        <v>0</v>
      </c>
      <c r="U237" s="28">
        <f>IF(U233=1,IF(INDEX('Lease Cycles'!$EF$21:$EL$21,1,U231)=1,U234*INDEX('Lease Cycles'!$EM$21:$ES$21,1,U231)+U235*IF(U232&lt;INDEX('Lease Cycles'!$FA$21:$FG$21,1,U231),0,1-INDEX('Lease Cycles'!$EM$21:$ES$21,1,U231)),U234*IF(U232&lt;INDEX('Lease Cycles'!$DK$21:$DQ$21,1,U231),0,IF(U232=INDEX('Lease Cycles'!$DK$21:$DQ$21,1,U231),1-INDEX('Lease Cycles'!$DR$21:$DX$21,1,U231),1))),0)</f>
        <v>0</v>
      </c>
      <c r="V237" s="28">
        <f>IF(V233=1,IF(INDEX('Lease Cycles'!$EF$21:$EL$21,1,V231)=1,V234*INDEX('Lease Cycles'!$EM$21:$ES$21,1,V231)+V235*IF(V232&lt;INDEX('Lease Cycles'!$FA$21:$FG$21,1,V231),0,1-INDEX('Lease Cycles'!$EM$21:$ES$21,1,V231)),V234*IF(V232&lt;INDEX('Lease Cycles'!$DK$21:$DQ$21,1,V231),0,IF(V232=INDEX('Lease Cycles'!$DK$21:$DQ$21,1,V231),1-INDEX('Lease Cycles'!$DR$21:$DX$21,1,V231),1))),0)</f>
        <v>0</v>
      </c>
      <c r="W237" s="28">
        <f>IF(W233=1,IF(INDEX('Lease Cycles'!$EF$21:$EL$21,1,W231)=1,W234*INDEX('Lease Cycles'!$EM$21:$ES$21,1,W231)+W235*IF(W232&lt;INDEX('Lease Cycles'!$FA$21:$FG$21,1,W231),0,1-INDEX('Lease Cycles'!$EM$21:$ES$21,1,W231)),W234*IF(W232&lt;INDEX('Lease Cycles'!$DK$21:$DQ$21,1,W231),0,IF(W232=INDEX('Lease Cycles'!$DK$21:$DQ$21,1,W231),1-INDEX('Lease Cycles'!$DR$21:$DX$21,1,W231),1))),0)</f>
        <v>0</v>
      </c>
      <c r="X237" s="28">
        <f>IF(X233=1,IF(INDEX('Lease Cycles'!$EF$21:$EL$21,1,X231)=1,X234*INDEX('Lease Cycles'!$EM$21:$ES$21,1,X231)+X235*IF(X232&lt;INDEX('Lease Cycles'!$FA$21:$FG$21,1,X231),0,1-INDEX('Lease Cycles'!$EM$21:$ES$21,1,X231)),X234*IF(X232&lt;INDEX('Lease Cycles'!$DK$21:$DQ$21,1,X231),0,IF(X232=INDEX('Lease Cycles'!$DK$21:$DQ$21,1,X231),1-INDEX('Lease Cycles'!$DR$21:$DX$21,1,X231),1))),0)</f>
        <v>0</v>
      </c>
      <c r="Y237" s="28">
        <f>IF(Y233=1,IF(INDEX('Lease Cycles'!$EF$21:$EL$21,1,Y231)=1,Y234*INDEX('Lease Cycles'!$EM$21:$ES$21,1,Y231)+Y235*IF(Y232&lt;INDEX('Lease Cycles'!$FA$21:$FG$21,1,Y231),0,1-INDEX('Lease Cycles'!$EM$21:$ES$21,1,Y231)),Y234*IF(Y232&lt;INDEX('Lease Cycles'!$DK$21:$DQ$21,1,Y231),0,IF(Y232=INDEX('Lease Cycles'!$DK$21:$DQ$21,1,Y231),1-INDEX('Lease Cycles'!$DR$21:$DX$21,1,Y231),1))),0)</f>
        <v>0</v>
      </c>
      <c r="Z237" s="28">
        <f>IF(Z233=1,IF(INDEX('Lease Cycles'!$EF$21:$EL$21,1,Z231)=1,Z234*INDEX('Lease Cycles'!$EM$21:$ES$21,1,Z231)+Z235*IF(Z232&lt;INDEX('Lease Cycles'!$FA$21:$FG$21,1,Z231),0,1-INDEX('Lease Cycles'!$EM$21:$ES$21,1,Z231)),Z234*IF(Z232&lt;INDEX('Lease Cycles'!$DK$21:$DQ$21,1,Z231),0,IF(Z232=INDEX('Lease Cycles'!$DK$21:$DQ$21,1,Z231),1-INDEX('Lease Cycles'!$DR$21:$DX$21,1,Z231),1))),0)</f>
        <v>0</v>
      </c>
      <c r="AA237" s="28">
        <f>IF(AA233=1,IF(INDEX('Lease Cycles'!$EF$21:$EL$21,1,AA231)=1,AA234*INDEX('Lease Cycles'!$EM$21:$ES$21,1,AA231)+AA235*IF(AA232&lt;INDEX('Lease Cycles'!$FA$21:$FG$21,1,AA231),0,1-INDEX('Lease Cycles'!$EM$21:$ES$21,1,AA231)),AA234*IF(AA232&lt;INDEX('Lease Cycles'!$DK$21:$DQ$21,1,AA231),0,IF(AA232=INDEX('Lease Cycles'!$DK$21:$DQ$21,1,AA231),1-INDEX('Lease Cycles'!$DR$21:$DX$21,1,AA231),1))),0)</f>
        <v>0</v>
      </c>
      <c r="AB237" s="28">
        <f>IF(AB233=1,IF(INDEX('Lease Cycles'!$EF$21:$EL$21,1,AB231)=1,AB234*INDEX('Lease Cycles'!$EM$21:$ES$21,1,AB231)+AB235*IF(AB232&lt;INDEX('Lease Cycles'!$FA$21:$FG$21,1,AB231),0,1-INDEX('Lease Cycles'!$EM$21:$ES$21,1,AB231)),AB234*IF(AB232&lt;INDEX('Lease Cycles'!$DK$21:$DQ$21,1,AB231),0,IF(AB232=INDEX('Lease Cycles'!$DK$21:$DQ$21,1,AB231),1-INDEX('Lease Cycles'!$DR$21:$DX$21,1,AB231),1))),0)</f>
        <v>0</v>
      </c>
      <c r="AC237" s="28">
        <f>IF(AC233=1,IF(INDEX('Lease Cycles'!$EF$21:$EL$21,1,AC231)=1,AC234*INDEX('Lease Cycles'!$EM$21:$ES$21,1,AC231)+AC235*IF(AC232&lt;INDEX('Lease Cycles'!$FA$21:$FG$21,1,AC231),0,1-INDEX('Lease Cycles'!$EM$21:$ES$21,1,AC231)),AC234*IF(AC232&lt;INDEX('Lease Cycles'!$DK$21:$DQ$21,1,AC231),0,IF(AC232=INDEX('Lease Cycles'!$DK$21:$DQ$21,1,AC231),1-INDEX('Lease Cycles'!$DR$21:$DX$21,1,AC231),1))),0)</f>
        <v>0</v>
      </c>
      <c r="AD237" s="28">
        <f>IF(AD233=1,IF(INDEX('Lease Cycles'!$EF$21:$EL$21,1,AD231)=1,AD234*INDEX('Lease Cycles'!$EM$21:$ES$21,1,AD231)+AD235*IF(AD232&lt;INDEX('Lease Cycles'!$FA$21:$FG$21,1,AD231),0,1-INDEX('Lease Cycles'!$EM$21:$ES$21,1,AD231)),AD234*IF(AD232&lt;INDEX('Lease Cycles'!$DK$21:$DQ$21,1,AD231),0,IF(AD232=INDEX('Lease Cycles'!$DK$21:$DQ$21,1,AD231),1-INDEX('Lease Cycles'!$DR$21:$DX$21,1,AD231),1))),0)</f>
        <v>0</v>
      </c>
      <c r="AE237" s="28">
        <f>IF(AE233=1,IF(INDEX('Lease Cycles'!$EF$21:$EL$21,1,AE231)=1,AE234*INDEX('Lease Cycles'!$EM$21:$ES$21,1,AE231)+AE235*IF(AE232&lt;INDEX('Lease Cycles'!$FA$21:$FG$21,1,AE231),0,1-INDEX('Lease Cycles'!$EM$21:$ES$21,1,AE231)),AE234*IF(AE232&lt;INDEX('Lease Cycles'!$DK$21:$DQ$21,1,AE231),0,IF(AE232=INDEX('Lease Cycles'!$DK$21:$DQ$21,1,AE231),1-INDEX('Lease Cycles'!$DR$21:$DX$21,1,AE231),1))),0)</f>
        <v>0</v>
      </c>
      <c r="AF237" s="28">
        <f>IF(AF233=1,IF(INDEX('Lease Cycles'!$EF$21:$EL$21,1,AF231)=1,AF234*INDEX('Lease Cycles'!$EM$21:$ES$21,1,AF231)+AF235*IF(AF232&lt;INDEX('Lease Cycles'!$FA$21:$FG$21,1,AF231),0,1-INDEX('Lease Cycles'!$EM$21:$ES$21,1,AF231)),AF234*IF(AF232&lt;INDEX('Lease Cycles'!$DK$21:$DQ$21,1,AF231),0,IF(AF232=INDEX('Lease Cycles'!$DK$21:$DQ$21,1,AF231),1-INDEX('Lease Cycles'!$DR$21:$DX$21,1,AF231),1))),0)</f>
        <v>0</v>
      </c>
      <c r="AG237" s="28">
        <f>IF(AG233=1,IF(INDEX('Lease Cycles'!$EF$21:$EL$21,1,AG231)=1,AG234*INDEX('Lease Cycles'!$EM$21:$ES$21,1,AG231)+AG235*IF(AG232&lt;INDEX('Lease Cycles'!$FA$21:$FG$21,1,AG231),0,1-INDEX('Lease Cycles'!$EM$21:$ES$21,1,AG231)),AG234*IF(AG232&lt;INDEX('Lease Cycles'!$DK$21:$DQ$21,1,AG231),0,IF(AG232=INDEX('Lease Cycles'!$DK$21:$DQ$21,1,AG231),1-INDEX('Lease Cycles'!$DR$21:$DX$21,1,AG231),1))),0)</f>
        <v>0</v>
      </c>
      <c r="AH237" s="28">
        <f>IF(AH233=1,IF(INDEX('Lease Cycles'!$EF$21:$EL$21,1,AH231)=1,AH234*INDEX('Lease Cycles'!$EM$21:$ES$21,1,AH231)+AH235*IF(AH232&lt;INDEX('Lease Cycles'!$FA$21:$FG$21,1,AH231),0,1-INDEX('Lease Cycles'!$EM$21:$ES$21,1,AH231)),AH234*IF(AH232&lt;INDEX('Lease Cycles'!$DK$21:$DQ$21,1,AH231),0,IF(AH232=INDEX('Lease Cycles'!$DK$21:$DQ$21,1,AH231),1-INDEX('Lease Cycles'!$DR$21:$DX$21,1,AH231),1))),0)</f>
        <v>0</v>
      </c>
      <c r="AI237" s="28">
        <f>IF(AI233=1,IF(INDEX('Lease Cycles'!$EF$21:$EL$21,1,AI231)=1,AI234*INDEX('Lease Cycles'!$EM$21:$ES$21,1,AI231)+AI235*IF(AI232&lt;INDEX('Lease Cycles'!$FA$21:$FG$21,1,AI231),0,1-INDEX('Lease Cycles'!$EM$21:$ES$21,1,AI231)),AI234*IF(AI232&lt;INDEX('Lease Cycles'!$DK$21:$DQ$21,1,AI231),0,IF(AI232=INDEX('Lease Cycles'!$DK$21:$DQ$21,1,AI231),1-INDEX('Lease Cycles'!$DR$21:$DX$21,1,AI231),1))),0)</f>
        <v>0</v>
      </c>
      <c r="AJ237" s="28">
        <f>IF(AJ233=1,IF(INDEX('Lease Cycles'!$EF$21:$EL$21,1,AJ231)=1,AJ234*INDEX('Lease Cycles'!$EM$21:$ES$21,1,AJ231)+AJ235*IF(AJ232&lt;INDEX('Lease Cycles'!$FA$21:$FG$21,1,AJ231),0,1-INDEX('Lease Cycles'!$EM$21:$ES$21,1,AJ231)),AJ234*IF(AJ232&lt;INDEX('Lease Cycles'!$DK$21:$DQ$21,1,AJ231),0,IF(AJ232=INDEX('Lease Cycles'!$DK$21:$DQ$21,1,AJ231),1-INDEX('Lease Cycles'!$DR$21:$DX$21,1,AJ231),1))),0)</f>
        <v>0</v>
      </c>
      <c r="AK237" s="28">
        <f>IF(AK233=1,IF(INDEX('Lease Cycles'!$EF$21:$EL$21,1,AK231)=1,AK234*INDEX('Lease Cycles'!$EM$21:$ES$21,1,AK231)+AK235*IF(AK232&lt;INDEX('Lease Cycles'!$FA$21:$FG$21,1,AK231),0,1-INDEX('Lease Cycles'!$EM$21:$ES$21,1,AK231)),AK234*IF(AK232&lt;INDEX('Lease Cycles'!$DK$21:$DQ$21,1,AK231),0,IF(AK232=INDEX('Lease Cycles'!$DK$21:$DQ$21,1,AK231),1-INDEX('Lease Cycles'!$DR$21:$DX$21,1,AK231),1))),0)</f>
        <v>0</v>
      </c>
      <c r="AL237" s="28">
        <f>IF(AL233=1,IF(INDEX('Lease Cycles'!$EF$21:$EL$21,1,AL231)=1,AL234*INDEX('Lease Cycles'!$EM$21:$ES$21,1,AL231)+AL235*IF(AL232&lt;INDEX('Lease Cycles'!$FA$21:$FG$21,1,AL231),0,1-INDEX('Lease Cycles'!$EM$21:$ES$21,1,AL231)),AL234*IF(AL232&lt;INDEX('Lease Cycles'!$DK$21:$DQ$21,1,AL231),0,IF(AL232=INDEX('Lease Cycles'!$DK$21:$DQ$21,1,AL231),1-INDEX('Lease Cycles'!$DR$21:$DX$21,1,AL231),1))),0)</f>
        <v>0</v>
      </c>
      <c r="AM237" s="28">
        <f>IF(AM233=1,IF(INDEX('Lease Cycles'!$EF$21:$EL$21,1,AM231)=1,AM234*INDEX('Lease Cycles'!$EM$21:$ES$21,1,AM231)+AM235*IF(AM232&lt;INDEX('Lease Cycles'!$FA$21:$FG$21,1,AM231),0,1-INDEX('Lease Cycles'!$EM$21:$ES$21,1,AM231)),AM234*IF(AM232&lt;INDEX('Lease Cycles'!$DK$21:$DQ$21,1,AM231),0,IF(AM232=INDEX('Lease Cycles'!$DK$21:$DQ$21,1,AM231),1-INDEX('Lease Cycles'!$DR$21:$DX$21,1,AM231),1))),0)</f>
        <v>0</v>
      </c>
      <c r="AN237" s="28">
        <f>IF(AN233=1,IF(INDEX('Lease Cycles'!$EF$21:$EL$21,1,AN231)=1,AN234*INDEX('Lease Cycles'!$EM$21:$ES$21,1,AN231)+AN235*IF(AN232&lt;INDEX('Lease Cycles'!$FA$21:$FG$21,1,AN231),0,1-INDEX('Lease Cycles'!$EM$21:$ES$21,1,AN231)),AN234*IF(AN232&lt;INDEX('Lease Cycles'!$DK$21:$DQ$21,1,AN231),0,IF(AN232=INDEX('Lease Cycles'!$DK$21:$DQ$21,1,AN231),1-INDEX('Lease Cycles'!$DR$21:$DX$21,1,AN231),1))),0)</f>
        <v>0</v>
      </c>
      <c r="AO237" s="28">
        <f>IF(AO233=1,IF(INDEX('Lease Cycles'!$EF$21:$EL$21,1,AO231)=1,AO234*INDEX('Lease Cycles'!$EM$21:$ES$21,1,AO231)+AO235*IF(AO232&lt;INDEX('Lease Cycles'!$FA$21:$FG$21,1,AO231),0,1-INDEX('Lease Cycles'!$EM$21:$ES$21,1,AO231)),AO234*IF(AO232&lt;INDEX('Lease Cycles'!$DK$21:$DQ$21,1,AO231),0,IF(AO232=INDEX('Lease Cycles'!$DK$21:$DQ$21,1,AO231),1-INDEX('Lease Cycles'!$DR$21:$DX$21,1,AO231),1))),0)</f>
        <v>0</v>
      </c>
      <c r="AP237" s="28">
        <f>IF(AP233=1,IF(INDEX('Lease Cycles'!$EF$21:$EL$21,1,AP231)=1,AP234*INDEX('Lease Cycles'!$EM$21:$ES$21,1,AP231)+AP235*IF(AP232&lt;INDEX('Lease Cycles'!$FA$21:$FG$21,1,AP231),0,1-INDEX('Lease Cycles'!$EM$21:$ES$21,1,AP231)),AP234*IF(AP232&lt;INDEX('Lease Cycles'!$DK$21:$DQ$21,1,AP231),0,IF(AP232=INDEX('Lease Cycles'!$DK$21:$DQ$21,1,AP231),1-INDEX('Lease Cycles'!$DR$21:$DX$21,1,AP231),1))),0)</f>
        <v>0</v>
      </c>
      <c r="AQ237" s="28">
        <f>IF(AQ233=1,IF(INDEX('Lease Cycles'!$EF$21:$EL$21,1,AQ231)=1,AQ234*INDEX('Lease Cycles'!$EM$21:$ES$21,1,AQ231)+AQ235*IF(AQ232&lt;INDEX('Lease Cycles'!$FA$21:$FG$21,1,AQ231),0,1-INDEX('Lease Cycles'!$EM$21:$ES$21,1,AQ231)),AQ234*IF(AQ232&lt;INDEX('Lease Cycles'!$DK$21:$DQ$21,1,AQ231),0,IF(AQ232=INDEX('Lease Cycles'!$DK$21:$DQ$21,1,AQ231),1-INDEX('Lease Cycles'!$DR$21:$DX$21,1,AQ231),1))),0)</f>
        <v>0</v>
      </c>
      <c r="AR237" s="28">
        <f>IF(AR233=1,IF(INDEX('Lease Cycles'!$EF$21:$EL$21,1,AR231)=1,AR234*INDEX('Lease Cycles'!$EM$21:$ES$21,1,AR231)+AR235*IF(AR232&lt;INDEX('Lease Cycles'!$FA$21:$FG$21,1,AR231),0,1-INDEX('Lease Cycles'!$EM$21:$ES$21,1,AR231)),AR234*IF(AR232&lt;INDEX('Lease Cycles'!$DK$21:$DQ$21,1,AR231),0,IF(AR232=INDEX('Lease Cycles'!$DK$21:$DQ$21,1,AR231),1-INDEX('Lease Cycles'!$DR$21:$DX$21,1,AR231),1))),0)</f>
        <v>0</v>
      </c>
      <c r="AS237" s="28">
        <f>IF(AS233=1,IF(INDEX('Lease Cycles'!$EF$21:$EL$21,1,AS231)=1,AS234*INDEX('Lease Cycles'!$EM$21:$ES$21,1,AS231)+AS235*IF(AS232&lt;INDEX('Lease Cycles'!$FA$21:$FG$21,1,AS231),0,1-INDEX('Lease Cycles'!$EM$21:$ES$21,1,AS231)),AS234*IF(AS232&lt;INDEX('Lease Cycles'!$DK$21:$DQ$21,1,AS231),0,IF(AS232=INDEX('Lease Cycles'!$DK$21:$DQ$21,1,AS231),1-INDEX('Lease Cycles'!$DR$21:$DX$21,1,AS231),1))),0)</f>
        <v>0</v>
      </c>
      <c r="AT237" s="28">
        <f>IF(AT233=1,IF(INDEX('Lease Cycles'!$EF$21:$EL$21,1,AT231)=1,AT234*INDEX('Lease Cycles'!$EM$21:$ES$21,1,AT231)+AT235*IF(AT232&lt;INDEX('Lease Cycles'!$FA$21:$FG$21,1,AT231),0,1-INDEX('Lease Cycles'!$EM$21:$ES$21,1,AT231)),AT234*IF(AT232&lt;INDEX('Lease Cycles'!$DK$21:$DQ$21,1,AT231),0,IF(AT232=INDEX('Lease Cycles'!$DK$21:$DQ$21,1,AT231),1-INDEX('Lease Cycles'!$DR$21:$DX$21,1,AT231),1))),0)</f>
        <v>0</v>
      </c>
      <c r="AU237" s="28">
        <f>IF(AU233=1,IF(INDEX('Lease Cycles'!$EF$21:$EL$21,1,AU231)=1,AU234*INDEX('Lease Cycles'!$EM$21:$ES$21,1,AU231)+AU235*IF(AU232&lt;INDEX('Lease Cycles'!$FA$21:$FG$21,1,AU231),0,1-INDEX('Lease Cycles'!$EM$21:$ES$21,1,AU231)),AU234*IF(AU232&lt;INDEX('Lease Cycles'!$DK$21:$DQ$21,1,AU231),0,IF(AU232=INDEX('Lease Cycles'!$DK$21:$DQ$21,1,AU231),1-INDEX('Lease Cycles'!$DR$21:$DX$21,1,AU231),1))),0)</f>
        <v>0</v>
      </c>
      <c r="AV237" s="28">
        <f>IF(AV233=1,IF(INDEX('Lease Cycles'!$EF$21:$EL$21,1,AV231)=1,AV234*INDEX('Lease Cycles'!$EM$21:$ES$21,1,AV231)+AV235*IF(AV232&lt;INDEX('Lease Cycles'!$FA$21:$FG$21,1,AV231),0,1-INDEX('Lease Cycles'!$EM$21:$ES$21,1,AV231)),AV234*IF(AV232&lt;INDEX('Lease Cycles'!$DK$21:$DQ$21,1,AV231),0,IF(AV232=INDEX('Lease Cycles'!$DK$21:$DQ$21,1,AV231),1-INDEX('Lease Cycles'!$DR$21:$DX$21,1,AV231),1))),0)</f>
        <v>0</v>
      </c>
      <c r="AW237" s="28">
        <f>IF(AW233=1,IF(INDEX('Lease Cycles'!$EF$21:$EL$21,1,AW231)=1,AW234*INDEX('Lease Cycles'!$EM$21:$ES$21,1,AW231)+AW235*IF(AW232&lt;INDEX('Lease Cycles'!$FA$21:$FG$21,1,AW231),0,1-INDEX('Lease Cycles'!$EM$21:$ES$21,1,AW231)),AW234*IF(AW232&lt;INDEX('Lease Cycles'!$DK$21:$DQ$21,1,AW231),0,IF(AW232=INDEX('Lease Cycles'!$DK$21:$DQ$21,1,AW231),1-INDEX('Lease Cycles'!$DR$21:$DX$21,1,AW231),1))),0)</f>
        <v>0</v>
      </c>
      <c r="AX237" s="28">
        <f>IF(AX233=1,IF(INDEX('Lease Cycles'!$EF$21:$EL$21,1,AX231)=1,AX234*INDEX('Lease Cycles'!$EM$21:$ES$21,1,AX231)+AX235*IF(AX232&lt;INDEX('Lease Cycles'!$FA$21:$FG$21,1,AX231),0,1-INDEX('Lease Cycles'!$EM$21:$ES$21,1,AX231)),AX234*IF(AX232&lt;INDEX('Lease Cycles'!$DK$21:$DQ$21,1,AX231),0,IF(AX232=INDEX('Lease Cycles'!$DK$21:$DQ$21,1,AX231),1-INDEX('Lease Cycles'!$DR$21:$DX$21,1,AX231),1))),0)</f>
        <v>0</v>
      </c>
      <c r="AY237" s="28">
        <f>IF(AY233=1,IF(INDEX('Lease Cycles'!$EF$21:$EL$21,1,AY231)=1,AY234*INDEX('Lease Cycles'!$EM$21:$ES$21,1,AY231)+AY235*IF(AY232&lt;INDEX('Lease Cycles'!$FA$21:$FG$21,1,AY231),0,1-INDEX('Lease Cycles'!$EM$21:$ES$21,1,AY231)),AY234*IF(AY232&lt;INDEX('Lease Cycles'!$DK$21:$DQ$21,1,AY231),0,IF(AY232=INDEX('Lease Cycles'!$DK$21:$DQ$21,1,AY231),1-INDEX('Lease Cycles'!$DR$21:$DX$21,1,AY231),1))),0)</f>
        <v>0</v>
      </c>
      <c r="AZ237" s="28">
        <f>IF(AZ233=1,IF(INDEX('Lease Cycles'!$EF$21:$EL$21,1,AZ231)=1,AZ234*INDEX('Lease Cycles'!$EM$21:$ES$21,1,AZ231)+AZ235*IF(AZ232&lt;INDEX('Lease Cycles'!$FA$21:$FG$21,1,AZ231),0,1-INDEX('Lease Cycles'!$EM$21:$ES$21,1,AZ231)),AZ234*IF(AZ232&lt;INDEX('Lease Cycles'!$DK$21:$DQ$21,1,AZ231),0,IF(AZ232=INDEX('Lease Cycles'!$DK$21:$DQ$21,1,AZ231),1-INDEX('Lease Cycles'!$DR$21:$DX$21,1,AZ231),1))),0)</f>
        <v>0</v>
      </c>
      <c r="BA237" s="28">
        <f>IF(BA233=1,IF(INDEX('Lease Cycles'!$EF$21:$EL$21,1,BA231)=1,BA234*INDEX('Lease Cycles'!$EM$21:$ES$21,1,BA231)+BA235*IF(BA232&lt;INDEX('Lease Cycles'!$FA$21:$FG$21,1,BA231),0,1-INDEX('Lease Cycles'!$EM$21:$ES$21,1,BA231)),BA234*IF(BA232&lt;INDEX('Lease Cycles'!$DK$21:$DQ$21,1,BA231),0,IF(BA232=INDEX('Lease Cycles'!$DK$21:$DQ$21,1,BA231),1-INDEX('Lease Cycles'!$DR$21:$DX$21,1,BA231),1))),0)</f>
        <v>0</v>
      </c>
      <c r="BB237" s="28">
        <f>IF(BB233=1,IF(INDEX('Lease Cycles'!$EF$21:$EL$21,1,BB231)=1,BB234*INDEX('Lease Cycles'!$EM$21:$ES$21,1,BB231)+BB235*IF(BB232&lt;INDEX('Lease Cycles'!$FA$21:$FG$21,1,BB231),0,1-INDEX('Lease Cycles'!$EM$21:$ES$21,1,BB231)),BB234*IF(BB232&lt;INDEX('Lease Cycles'!$DK$21:$DQ$21,1,BB231),0,IF(BB232=INDEX('Lease Cycles'!$DK$21:$DQ$21,1,BB231),1-INDEX('Lease Cycles'!$DR$21:$DX$21,1,BB231),1))),0)</f>
        <v>0</v>
      </c>
      <c r="BC237" s="28">
        <f>IF(BC233=1,IF(INDEX('Lease Cycles'!$EF$21:$EL$21,1,BC231)=1,BC234*INDEX('Lease Cycles'!$EM$21:$ES$21,1,BC231)+BC235*IF(BC232&lt;INDEX('Lease Cycles'!$FA$21:$FG$21,1,BC231),0,1-INDEX('Lease Cycles'!$EM$21:$ES$21,1,BC231)),BC234*IF(BC232&lt;INDEX('Lease Cycles'!$DK$21:$DQ$21,1,BC231),0,IF(BC232=INDEX('Lease Cycles'!$DK$21:$DQ$21,1,BC231),1-INDEX('Lease Cycles'!$DR$21:$DX$21,1,BC231),1))),0)</f>
        <v>0</v>
      </c>
      <c r="BD237" s="28">
        <f>IF(BD233=1,IF(INDEX('Lease Cycles'!$EF$21:$EL$21,1,BD231)=1,BD234*INDEX('Lease Cycles'!$EM$21:$ES$21,1,BD231)+BD235*IF(BD232&lt;INDEX('Lease Cycles'!$FA$21:$FG$21,1,BD231),0,1-INDEX('Lease Cycles'!$EM$21:$ES$21,1,BD231)),BD234*IF(BD232&lt;INDEX('Lease Cycles'!$DK$21:$DQ$21,1,BD231),0,IF(BD232=INDEX('Lease Cycles'!$DK$21:$DQ$21,1,BD231),1-INDEX('Lease Cycles'!$DR$21:$DX$21,1,BD231),1))),0)</f>
        <v>0</v>
      </c>
      <c r="BE237" s="28">
        <f>IF(BE233=1,IF(INDEX('Lease Cycles'!$EF$21:$EL$21,1,BE231)=1,BE234*INDEX('Lease Cycles'!$EM$21:$ES$21,1,BE231)+BE235*IF(BE232&lt;INDEX('Lease Cycles'!$FA$21:$FG$21,1,BE231),0,1-INDEX('Lease Cycles'!$EM$21:$ES$21,1,BE231)),BE234*IF(BE232&lt;INDEX('Lease Cycles'!$DK$21:$DQ$21,1,BE231),0,IF(BE232=INDEX('Lease Cycles'!$DK$21:$DQ$21,1,BE231),1-INDEX('Lease Cycles'!$DR$21:$DX$21,1,BE231),1))),0)</f>
        <v>0</v>
      </c>
      <c r="BF237" s="28">
        <f>IF(BF233=1,IF(INDEX('Lease Cycles'!$EF$21:$EL$21,1,BF231)=1,BF234*INDEX('Lease Cycles'!$EM$21:$ES$21,1,BF231)+BF235*IF(BF232&lt;INDEX('Lease Cycles'!$FA$21:$FG$21,1,BF231),0,1-INDEX('Lease Cycles'!$EM$21:$ES$21,1,BF231)),BF234*IF(BF232&lt;INDEX('Lease Cycles'!$DK$21:$DQ$21,1,BF231),0,IF(BF232=INDEX('Lease Cycles'!$DK$21:$DQ$21,1,BF231),1-INDEX('Lease Cycles'!$DR$21:$DX$21,1,BF231),1))),0)</f>
        <v>0</v>
      </c>
      <c r="BG237" s="28">
        <f>IF(BG233=1,IF(INDEX('Lease Cycles'!$EF$21:$EL$21,1,BG231)=1,BG234*INDEX('Lease Cycles'!$EM$21:$ES$21,1,BG231)+BG235*IF(BG232&lt;INDEX('Lease Cycles'!$FA$21:$FG$21,1,BG231),0,1-INDEX('Lease Cycles'!$EM$21:$ES$21,1,BG231)),BG234*IF(BG232&lt;INDEX('Lease Cycles'!$DK$21:$DQ$21,1,BG231),0,IF(BG232=INDEX('Lease Cycles'!$DK$21:$DQ$21,1,BG231),1-INDEX('Lease Cycles'!$DR$21:$DX$21,1,BG231),1))),0)</f>
        <v>0</v>
      </c>
      <c r="BH237" s="28">
        <f>IF(BH233=1,IF(INDEX('Lease Cycles'!$EF$21:$EL$21,1,BH231)=1,BH234*INDEX('Lease Cycles'!$EM$21:$ES$21,1,BH231)+BH235*IF(BH232&lt;INDEX('Lease Cycles'!$FA$21:$FG$21,1,BH231),0,1-INDEX('Lease Cycles'!$EM$21:$ES$21,1,BH231)),BH234*IF(BH232&lt;INDEX('Lease Cycles'!$DK$21:$DQ$21,1,BH231),0,IF(BH232=INDEX('Lease Cycles'!$DK$21:$DQ$21,1,BH231),1-INDEX('Lease Cycles'!$DR$21:$DX$21,1,BH231),1))),0)</f>
        <v>0</v>
      </c>
      <c r="BI237" s="28">
        <f>IF(BI233=1,IF(INDEX('Lease Cycles'!$EF$21:$EL$21,1,BI231)=1,BI234*INDEX('Lease Cycles'!$EM$21:$ES$21,1,BI231)+BI235*IF(BI232&lt;INDEX('Lease Cycles'!$FA$21:$FG$21,1,BI231),0,1-INDEX('Lease Cycles'!$EM$21:$ES$21,1,BI231)),BI234*IF(BI232&lt;INDEX('Lease Cycles'!$DK$21:$DQ$21,1,BI231),0,IF(BI232=INDEX('Lease Cycles'!$DK$21:$DQ$21,1,BI231),1-INDEX('Lease Cycles'!$DR$21:$DX$21,1,BI231),1))),0)</f>
        <v>0</v>
      </c>
      <c r="BJ237" s="28">
        <f>IF(BJ233=1,IF(INDEX('Lease Cycles'!$EF$21:$EL$21,1,BJ231)=1,BJ234*INDEX('Lease Cycles'!$EM$21:$ES$21,1,BJ231)+BJ235*IF(BJ232&lt;INDEX('Lease Cycles'!$FA$21:$FG$21,1,BJ231),0,1-INDEX('Lease Cycles'!$EM$21:$ES$21,1,BJ231)),BJ234*IF(BJ232&lt;INDEX('Lease Cycles'!$DK$21:$DQ$21,1,BJ231),0,IF(BJ232=INDEX('Lease Cycles'!$DK$21:$DQ$21,1,BJ231),1-INDEX('Lease Cycles'!$DR$21:$DX$21,1,BJ231),1))),0)</f>
        <v>0</v>
      </c>
      <c r="BK237" s="28">
        <f>IF(BK233=1,IF(INDEX('Lease Cycles'!$EF$21:$EL$21,1,BK231)=1,BK234*INDEX('Lease Cycles'!$EM$21:$ES$21,1,BK231)+BK235*IF(BK232&lt;INDEX('Lease Cycles'!$FA$21:$FG$21,1,BK231),0,1-INDEX('Lease Cycles'!$EM$21:$ES$21,1,BK231)),BK234*IF(BK232&lt;INDEX('Lease Cycles'!$DK$21:$DQ$21,1,BK231),0,IF(BK232=INDEX('Lease Cycles'!$DK$21:$DQ$21,1,BK231),1-INDEX('Lease Cycles'!$DR$21:$DX$21,1,BK231),1))),0)</f>
        <v>0</v>
      </c>
      <c r="BL237" s="28">
        <f>IF(BL233=1,IF(INDEX('Lease Cycles'!$EF$21:$EL$21,1,BL231)=1,BL234*INDEX('Lease Cycles'!$EM$21:$ES$21,1,BL231)+BL235*IF(BL232&lt;INDEX('Lease Cycles'!$FA$21:$FG$21,1,BL231),0,1-INDEX('Lease Cycles'!$EM$21:$ES$21,1,BL231)),BL234*IF(BL232&lt;INDEX('Lease Cycles'!$DK$21:$DQ$21,1,BL231),0,IF(BL232=INDEX('Lease Cycles'!$DK$21:$DQ$21,1,BL231),1-INDEX('Lease Cycles'!$DR$21:$DX$21,1,BL231),1))),0)</f>
        <v>0</v>
      </c>
      <c r="BM237" s="28">
        <f>IF(BM233=1,IF(INDEX('Lease Cycles'!$EF$21:$EL$21,1,BM231)=1,BM234*INDEX('Lease Cycles'!$EM$21:$ES$21,1,BM231)+BM235*IF(BM232&lt;INDEX('Lease Cycles'!$FA$21:$FG$21,1,BM231),0,1-INDEX('Lease Cycles'!$EM$21:$ES$21,1,BM231)),BM234*IF(BM232&lt;INDEX('Lease Cycles'!$DK$21:$DQ$21,1,BM231),0,IF(BM232=INDEX('Lease Cycles'!$DK$21:$DQ$21,1,BM231),1-INDEX('Lease Cycles'!$DR$21:$DX$21,1,BM231),1))),0)</f>
        <v>0</v>
      </c>
      <c r="BN237" s="28">
        <f>IF(BN233=1,IF(INDEX('Lease Cycles'!$EF$21:$EL$21,1,BN231)=1,BN234*INDEX('Lease Cycles'!$EM$21:$ES$21,1,BN231)+BN235*IF(BN232&lt;INDEX('Lease Cycles'!$FA$21:$FG$21,1,BN231),0,1-INDEX('Lease Cycles'!$EM$21:$ES$21,1,BN231)),BN234*IF(BN232&lt;INDEX('Lease Cycles'!$DK$21:$DQ$21,1,BN231),0,IF(BN232=INDEX('Lease Cycles'!$DK$21:$DQ$21,1,BN231),1-INDEX('Lease Cycles'!$DR$21:$DX$21,1,BN231),1))),0)</f>
        <v>0</v>
      </c>
      <c r="BO237" s="28">
        <f>IF(BO233=1,IF(INDEX('Lease Cycles'!$EF$21:$EL$21,1,BO231)=1,BO234*INDEX('Lease Cycles'!$EM$21:$ES$21,1,BO231)+BO235*IF(BO232&lt;INDEX('Lease Cycles'!$FA$21:$FG$21,1,BO231),0,1-INDEX('Lease Cycles'!$EM$21:$ES$21,1,BO231)),BO234*IF(BO232&lt;INDEX('Lease Cycles'!$DK$21:$DQ$21,1,BO231),0,IF(BO232=INDEX('Lease Cycles'!$DK$21:$DQ$21,1,BO231),1-INDEX('Lease Cycles'!$DR$21:$DX$21,1,BO231),1))),0)</f>
        <v>0</v>
      </c>
      <c r="BP237" s="28">
        <f>IF(BP233=1,IF(INDEX('Lease Cycles'!$EF$21:$EL$21,1,BP231)=1,BP234*INDEX('Lease Cycles'!$EM$21:$ES$21,1,BP231)+BP235*IF(BP232&lt;INDEX('Lease Cycles'!$FA$21:$FG$21,1,BP231),0,1-INDEX('Lease Cycles'!$EM$21:$ES$21,1,BP231)),BP234*IF(BP232&lt;INDEX('Lease Cycles'!$DK$21:$DQ$21,1,BP231),0,IF(BP232=INDEX('Lease Cycles'!$DK$21:$DQ$21,1,BP231),1-INDEX('Lease Cycles'!$DR$21:$DX$21,1,BP231),1))),0)</f>
        <v>0</v>
      </c>
      <c r="BQ237" s="28">
        <f>IF(BQ233=1,IF(INDEX('Lease Cycles'!$EF$21:$EL$21,1,BQ231)=1,BQ234*INDEX('Lease Cycles'!$EM$21:$ES$21,1,BQ231)+BQ235*IF(BQ232&lt;INDEX('Lease Cycles'!$FA$21:$FG$21,1,BQ231),0,1-INDEX('Lease Cycles'!$EM$21:$ES$21,1,BQ231)),BQ234*IF(BQ232&lt;INDEX('Lease Cycles'!$DK$21:$DQ$21,1,BQ231),0,IF(BQ232=INDEX('Lease Cycles'!$DK$21:$DQ$21,1,BQ231),1-INDEX('Lease Cycles'!$DR$21:$DX$21,1,BQ231),1))),0)</f>
        <v>0</v>
      </c>
      <c r="BR237" s="28">
        <f>IF(BR233=1,IF(INDEX('Lease Cycles'!$EF$21:$EL$21,1,BR231)=1,BR234*INDEX('Lease Cycles'!$EM$21:$ES$21,1,BR231)+BR235*IF(BR232&lt;INDEX('Lease Cycles'!$FA$21:$FG$21,1,BR231),0,1-INDEX('Lease Cycles'!$EM$21:$ES$21,1,BR231)),BR234*IF(BR232&lt;INDEX('Lease Cycles'!$DK$21:$DQ$21,1,BR231),0,IF(BR232=INDEX('Lease Cycles'!$DK$21:$DQ$21,1,BR231),1-INDEX('Lease Cycles'!$DR$21:$DX$21,1,BR231),1))),0)</f>
        <v>0</v>
      </c>
      <c r="BS237" s="28">
        <f>IF(BS233=1,IF(INDEX('Lease Cycles'!$EF$21:$EL$21,1,BS231)=1,BS234*INDEX('Lease Cycles'!$EM$21:$ES$21,1,BS231)+BS235*IF(BS232&lt;INDEX('Lease Cycles'!$FA$21:$FG$21,1,BS231),0,1-INDEX('Lease Cycles'!$EM$21:$ES$21,1,BS231)),BS234*IF(BS232&lt;INDEX('Lease Cycles'!$DK$21:$DQ$21,1,BS231),0,IF(BS232=INDEX('Lease Cycles'!$DK$21:$DQ$21,1,BS231),1-INDEX('Lease Cycles'!$DR$21:$DX$21,1,BS231),1))),0)</f>
        <v>0</v>
      </c>
      <c r="BT237" s="28">
        <f>IF(BT233=1,IF(INDEX('Lease Cycles'!$EF$21:$EL$21,1,BT231)=1,BT234*INDEX('Lease Cycles'!$EM$21:$ES$21,1,BT231)+BT235*IF(BT232&lt;INDEX('Lease Cycles'!$FA$21:$FG$21,1,BT231),0,1-INDEX('Lease Cycles'!$EM$21:$ES$21,1,BT231)),BT234*IF(BT232&lt;INDEX('Lease Cycles'!$DK$21:$DQ$21,1,BT231),0,IF(BT232=INDEX('Lease Cycles'!$DK$21:$DQ$21,1,BT231),1-INDEX('Lease Cycles'!$DR$21:$DX$21,1,BT231),1))),0)</f>
        <v>0</v>
      </c>
      <c r="BU237" s="28">
        <f>IF(BU233=1,IF(INDEX('Lease Cycles'!$EF$21:$EL$21,1,BU231)=1,BU234*INDEX('Lease Cycles'!$EM$21:$ES$21,1,BU231)+BU235*IF(BU232&lt;INDEX('Lease Cycles'!$FA$21:$FG$21,1,BU231),0,1-INDEX('Lease Cycles'!$EM$21:$ES$21,1,BU231)),BU234*IF(BU232&lt;INDEX('Lease Cycles'!$DK$21:$DQ$21,1,BU231),0,IF(BU232=INDEX('Lease Cycles'!$DK$21:$DQ$21,1,BU231),1-INDEX('Lease Cycles'!$DR$21:$DX$21,1,BU231),1))),0)</f>
        <v>0</v>
      </c>
      <c r="BV237" s="28">
        <f>IF(BV233=1,IF(INDEX('Lease Cycles'!$EF$21:$EL$21,1,BV231)=1,BV234*INDEX('Lease Cycles'!$EM$21:$ES$21,1,BV231)+BV235*IF(BV232&lt;INDEX('Lease Cycles'!$FA$21:$FG$21,1,BV231),0,1-INDEX('Lease Cycles'!$EM$21:$ES$21,1,BV231)),BV234*IF(BV232&lt;INDEX('Lease Cycles'!$DK$21:$DQ$21,1,BV231),0,IF(BV232=INDEX('Lease Cycles'!$DK$21:$DQ$21,1,BV231),1-INDEX('Lease Cycles'!$DR$21:$DX$21,1,BV231),1))),0)</f>
        <v>0</v>
      </c>
      <c r="BW237" s="28">
        <f>IF(BW233=1,IF(INDEX('Lease Cycles'!$EF$21:$EL$21,1,BW231)=1,BW234*INDEX('Lease Cycles'!$EM$21:$ES$21,1,BW231)+BW235*IF(BW232&lt;INDEX('Lease Cycles'!$FA$21:$FG$21,1,BW231),0,1-INDEX('Lease Cycles'!$EM$21:$ES$21,1,BW231)),BW234*IF(BW232&lt;INDEX('Lease Cycles'!$DK$21:$DQ$21,1,BW231),0,IF(BW232=INDEX('Lease Cycles'!$DK$21:$DQ$21,1,BW231),1-INDEX('Lease Cycles'!$DR$21:$DX$21,1,BW231),1))),0)</f>
        <v>0</v>
      </c>
      <c r="BX237" s="28">
        <f>IF(BX233=1,IF(INDEX('Lease Cycles'!$EF$21:$EL$21,1,BX231)=1,BX234*INDEX('Lease Cycles'!$EM$21:$ES$21,1,BX231)+BX235*IF(BX232&lt;INDEX('Lease Cycles'!$FA$21:$FG$21,1,BX231),0,1-INDEX('Lease Cycles'!$EM$21:$ES$21,1,BX231)),BX234*IF(BX232&lt;INDEX('Lease Cycles'!$DK$21:$DQ$21,1,BX231),0,IF(BX232=INDEX('Lease Cycles'!$DK$21:$DQ$21,1,BX231),1-INDEX('Lease Cycles'!$DR$21:$DX$21,1,BX231),1))),0)</f>
        <v>0</v>
      </c>
      <c r="BY237" s="28">
        <f>IF(BY233=1,IF(INDEX('Lease Cycles'!$EF$21:$EL$21,1,BY231)=1,BY234*INDEX('Lease Cycles'!$EM$21:$ES$21,1,BY231)+BY235*IF(BY232&lt;INDEX('Lease Cycles'!$FA$21:$FG$21,1,BY231),0,1-INDEX('Lease Cycles'!$EM$21:$ES$21,1,BY231)),BY234*IF(BY232&lt;INDEX('Lease Cycles'!$DK$21:$DQ$21,1,BY231),0,IF(BY232=INDEX('Lease Cycles'!$DK$21:$DQ$21,1,BY231),1-INDEX('Lease Cycles'!$DR$21:$DX$21,1,BY231),1))),0)</f>
        <v>0</v>
      </c>
      <c r="BZ237" s="28">
        <f>IF(BZ233=1,IF(INDEX('Lease Cycles'!$EF$21:$EL$21,1,BZ231)=1,BZ234*INDEX('Lease Cycles'!$EM$21:$ES$21,1,BZ231)+BZ235*IF(BZ232&lt;INDEX('Lease Cycles'!$FA$21:$FG$21,1,BZ231),0,1-INDEX('Lease Cycles'!$EM$21:$ES$21,1,BZ231)),BZ234*IF(BZ232&lt;INDEX('Lease Cycles'!$DK$21:$DQ$21,1,BZ231),0,IF(BZ232=INDEX('Lease Cycles'!$DK$21:$DQ$21,1,BZ231),1-INDEX('Lease Cycles'!$DR$21:$DX$21,1,BZ231),1))),0)</f>
        <v>0</v>
      </c>
      <c r="CA237" s="28">
        <f>IF(CA233=1,IF(INDEX('Lease Cycles'!$EF$21:$EL$21,1,CA231)=1,CA234*INDEX('Lease Cycles'!$EM$21:$ES$21,1,CA231)+CA235*IF(CA232&lt;INDEX('Lease Cycles'!$FA$21:$FG$21,1,CA231),0,1-INDEX('Lease Cycles'!$EM$21:$ES$21,1,CA231)),CA234*IF(CA232&lt;INDEX('Lease Cycles'!$DK$21:$DQ$21,1,CA231),0,IF(CA232=INDEX('Lease Cycles'!$DK$21:$DQ$21,1,CA231),1-INDEX('Lease Cycles'!$DR$21:$DX$21,1,CA231),1))),0)</f>
        <v>0</v>
      </c>
      <c r="CB237" s="28">
        <f>IF(CB233=1,IF(INDEX('Lease Cycles'!$EF$21:$EL$21,1,CB231)=1,CB234*INDEX('Lease Cycles'!$EM$21:$ES$21,1,CB231)+CB235*IF(CB232&lt;INDEX('Lease Cycles'!$FA$21:$FG$21,1,CB231),0,1-INDEX('Lease Cycles'!$EM$21:$ES$21,1,CB231)),CB234*IF(CB232&lt;INDEX('Lease Cycles'!$DK$21:$DQ$21,1,CB231),0,IF(CB232=INDEX('Lease Cycles'!$DK$21:$DQ$21,1,CB231),1-INDEX('Lease Cycles'!$DR$21:$DX$21,1,CB231),1))),0)</f>
        <v>0</v>
      </c>
      <c r="CC237" s="28">
        <f>IF(CC233=1,IF(INDEX('Lease Cycles'!$EF$21:$EL$21,1,CC231)=1,CC234*INDEX('Lease Cycles'!$EM$21:$ES$21,1,CC231)+CC235*IF(CC232&lt;INDEX('Lease Cycles'!$FA$21:$FG$21,1,CC231),0,1-INDEX('Lease Cycles'!$EM$21:$ES$21,1,CC231)),CC234*IF(CC232&lt;INDEX('Lease Cycles'!$DK$21:$DQ$21,1,CC231),0,IF(CC232=INDEX('Lease Cycles'!$DK$21:$DQ$21,1,CC231),1-INDEX('Lease Cycles'!$DR$21:$DX$21,1,CC231),1))),0)</f>
        <v>0</v>
      </c>
      <c r="CD237" s="28">
        <f>IF(CD233=1,IF(INDEX('Lease Cycles'!$EF$21:$EL$21,1,CD231)=1,CD234*INDEX('Lease Cycles'!$EM$21:$ES$21,1,CD231)+CD235*IF(CD232&lt;INDEX('Lease Cycles'!$FA$21:$FG$21,1,CD231),0,1-INDEX('Lease Cycles'!$EM$21:$ES$21,1,CD231)),CD234*IF(CD232&lt;INDEX('Lease Cycles'!$DK$21:$DQ$21,1,CD231),0,IF(CD232=INDEX('Lease Cycles'!$DK$21:$DQ$21,1,CD231),1-INDEX('Lease Cycles'!$DR$21:$DX$21,1,CD231),1))),0)</f>
        <v>0</v>
      </c>
      <c r="CE237" s="28">
        <f>IF(CE233=1,IF(INDEX('Lease Cycles'!$EF$21:$EL$21,1,CE231)=1,CE234*INDEX('Lease Cycles'!$EM$21:$ES$21,1,CE231)+CE235*IF(CE232&lt;INDEX('Lease Cycles'!$FA$21:$FG$21,1,CE231),0,1-INDEX('Lease Cycles'!$EM$21:$ES$21,1,CE231)),CE234*IF(CE232&lt;INDEX('Lease Cycles'!$DK$21:$DQ$21,1,CE231),0,IF(CE232=INDEX('Lease Cycles'!$DK$21:$DQ$21,1,CE231),1-INDEX('Lease Cycles'!$DR$21:$DX$21,1,CE231),1))),0)</f>
        <v>0</v>
      </c>
      <c r="CF237" s="28">
        <f>IF(CF233=1,IF(INDEX('Lease Cycles'!$EF$21:$EL$21,1,CF231)=1,CF234*INDEX('Lease Cycles'!$EM$21:$ES$21,1,CF231)+CF235*IF(CF232&lt;INDEX('Lease Cycles'!$FA$21:$FG$21,1,CF231),0,1-INDEX('Lease Cycles'!$EM$21:$ES$21,1,CF231)),CF234*IF(CF232&lt;INDEX('Lease Cycles'!$DK$21:$DQ$21,1,CF231),0,IF(CF232=INDEX('Lease Cycles'!$DK$21:$DQ$21,1,CF231),1-INDEX('Lease Cycles'!$DR$21:$DX$21,1,CF231),1))),0)</f>
        <v>0</v>
      </c>
      <c r="CG237" s="28">
        <f>IF(CG233=1,IF(INDEX('Lease Cycles'!$EF$21:$EL$21,1,CG231)=1,CG234*INDEX('Lease Cycles'!$EM$21:$ES$21,1,CG231)+CG235*IF(CG232&lt;INDEX('Lease Cycles'!$FA$21:$FG$21,1,CG231),0,1-INDEX('Lease Cycles'!$EM$21:$ES$21,1,CG231)),CG234*IF(CG232&lt;INDEX('Lease Cycles'!$DK$21:$DQ$21,1,CG231),0,IF(CG232=INDEX('Lease Cycles'!$DK$21:$DQ$21,1,CG231),1-INDEX('Lease Cycles'!$DR$21:$DX$21,1,CG231),1))),0)</f>
        <v>0</v>
      </c>
      <c r="CH237" s="28">
        <f>IF(CH233=1,IF(INDEX('Lease Cycles'!$EF$21:$EL$21,1,CH231)=1,CH234*INDEX('Lease Cycles'!$EM$21:$ES$21,1,CH231)+CH235*IF(CH232&lt;INDEX('Lease Cycles'!$FA$21:$FG$21,1,CH231),0,1-INDEX('Lease Cycles'!$EM$21:$ES$21,1,CH231)),CH234*IF(CH232&lt;INDEX('Lease Cycles'!$DK$21:$DQ$21,1,CH231),0,IF(CH232=INDEX('Lease Cycles'!$DK$21:$DQ$21,1,CH231),1-INDEX('Lease Cycles'!$DR$21:$DX$21,1,CH231),1))),0)</f>
        <v>0</v>
      </c>
      <c r="CI237" s="28">
        <f>IF(CI233=1,IF(INDEX('Lease Cycles'!$EF$21:$EL$21,1,CI231)=1,CI234*INDEX('Lease Cycles'!$EM$21:$ES$21,1,CI231)+CI235*IF(CI232&lt;INDEX('Lease Cycles'!$FA$21:$FG$21,1,CI231),0,1-INDEX('Lease Cycles'!$EM$21:$ES$21,1,CI231)),CI234*IF(CI232&lt;INDEX('Lease Cycles'!$DK$21:$DQ$21,1,CI231),0,IF(CI232=INDEX('Lease Cycles'!$DK$21:$DQ$21,1,CI231),1-INDEX('Lease Cycles'!$DR$21:$DX$21,1,CI231),1))),0)</f>
        <v>0</v>
      </c>
      <c r="CJ237" s="28">
        <f>IF(CJ233=1,IF(INDEX('Lease Cycles'!$EF$21:$EL$21,1,CJ231)=1,CJ234*INDEX('Lease Cycles'!$EM$21:$ES$21,1,CJ231)+CJ235*IF(CJ232&lt;INDEX('Lease Cycles'!$FA$21:$FG$21,1,CJ231),0,1-INDEX('Lease Cycles'!$EM$21:$ES$21,1,CJ231)),CJ234*IF(CJ232&lt;INDEX('Lease Cycles'!$DK$21:$DQ$21,1,CJ231),0,IF(CJ232=INDEX('Lease Cycles'!$DK$21:$DQ$21,1,CJ231),1-INDEX('Lease Cycles'!$DR$21:$DX$21,1,CJ231),1))),0)</f>
        <v>0</v>
      </c>
      <c r="CK237" s="28">
        <f>IF(CK233=1,IF(INDEX('Lease Cycles'!$EF$21:$EL$21,1,CK231)=1,CK234*INDEX('Lease Cycles'!$EM$21:$ES$21,1,CK231)+CK235*IF(CK232&lt;INDEX('Lease Cycles'!$FA$21:$FG$21,1,CK231),0,1-INDEX('Lease Cycles'!$EM$21:$ES$21,1,CK231)),CK234*IF(CK232&lt;INDEX('Lease Cycles'!$DK$21:$DQ$21,1,CK231),0,IF(CK232=INDEX('Lease Cycles'!$DK$21:$DQ$21,1,CK231),1-INDEX('Lease Cycles'!$DR$21:$DX$21,1,CK231),1))),0)</f>
        <v>0</v>
      </c>
      <c r="CL237" s="28">
        <f>IF(CL233=1,IF(INDEX('Lease Cycles'!$EF$21:$EL$21,1,CL231)=1,CL234*INDEX('Lease Cycles'!$EM$21:$ES$21,1,CL231)+CL235*IF(CL232&lt;INDEX('Lease Cycles'!$FA$21:$FG$21,1,CL231),0,1-INDEX('Lease Cycles'!$EM$21:$ES$21,1,CL231)),CL234*IF(CL232&lt;INDEX('Lease Cycles'!$DK$21:$DQ$21,1,CL231),0,IF(CL232=INDEX('Lease Cycles'!$DK$21:$DQ$21,1,CL231),1-INDEX('Lease Cycles'!$DR$21:$DX$21,1,CL231),1))),0)</f>
        <v>0</v>
      </c>
      <c r="CM237" s="28">
        <f>IF(CM233=1,IF(INDEX('Lease Cycles'!$EF$21:$EL$21,1,CM231)=1,CM234*INDEX('Lease Cycles'!$EM$21:$ES$21,1,CM231)+CM235*IF(CM232&lt;INDEX('Lease Cycles'!$FA$21:$FG$21,1,CM231),0,1-INDEX('Lease Cycles'!$EM$21:$ES$21,1,CM231)),CM234*IF(CM232&lt;INDEX('Lease Cycles'!$DK$21:$DQ$21,1,CM231),0,IF(CM232=INDEX('Lease Cycles'!$DK$21:$DQ$21,1,CM231),1-INDEX('Lease Cycles'!$DR$21:$DX$21,1,CM231),1))),0)</f>
        <v>0</v>
      </c>
      <c r="CN237" s="28">
        <f>IF(CN233=1,IF(INDEX('Lease Cycles'!$EF$21:$EL$21,1,CN231)=1,CN234*INDEX('Lease Cycles'!$EM$21:$ES$21,1,CN231)+CN235*IF(CN232&lt;INDEX('Lease Cycles'!$FA$21:$FG$21,1,CN231),0,1-INDEX('Lease Cycles'!$EM$21:$ES$21,1,CN231)),CN234*IF(CN232&lt;INDEX('Lease Cycles'!$DK$21:$DQ$21,1,CN231),0,IF(CN232=INDEX('Lease Cycles'!$DK$21:$DQ$21,1,CN231),1-INDEX('Lease Cycles'!$DR$21:$DX$21,1,CN231),1))),0)</f>
        <v>0</v>
      </c>
      <c r="CO237" s="28">
        <f>IF(CO233=1,IF(INDEX('Lease Cycles'!$EF$21:$EL$21,1,CO231)=1,CO234*INDEX('Lease Cycles'!$EM$21:$ES$21,1,CO231)+CO235*IF(CO232&lt;INDEX('Lease Cycles'!$FA$21:$FG$21,1,CO231),0,1-INDEX('Lease Cycles'!$EM$21:$ES$21,1,CO231)),CO234*IF(CO232&lt;INDEX('Lease Cycles'!$DK$21:$DQ$21,1,CO231),0,IF(CO232=INDEX('Lease Cycles'!$DK$21:$DQ$21,1,CO231),1-INDEX('Lease Cycles'!$DR$21:$DX$21,1,CO231),1))),0)</f>
        <v>0</v>
      </c>
      <c r="CP237" s="28">
        <f>IF(CP233=1,IF(INDEX('Lease Cycles'!$EF$21:$EL$21,1,CP231)=1,CP234*INDEX('Lease Cycles'!$EM$21:$ES$21,1,CP231)+CP235*IF(CP232&lt;INDEX('Lease Cycles'!$FA$21:$FG$21,1,CP231),0,1-INDEX('Lease Cycles'!$EM$21:$ES$21,1,CP231)),CP234*IF(CP232&lt;INDEX('Lease Cycles'!$DK$21:$DQ$21,1,CP231),0,IF(CP232=INDEX('Lease Cycles'!$DK$21:$DQ$21,1,CP231),1-INDEX('Lease Cycles'!$DR$21:$DX$21,1,CP231),1))),0)</f>
        <v>0</v>
      </c>
      <c r="CQ237" s="28">
        <f>IF(CQ233=1,IF(INDEX('Lease Cycles'!$EF$21:$EL$21,1,CQ231)=1,CQ234*INDEX('Lease Cycles'!$EM$21:$ES$21,1,CQ231)+CQ235*IF(CQ232&lt;INDEX('Lease Cycles'!$FA$21:$FG$21,1,CQ231),0,1-INDEX('Lease Cycles'!$EM$21:$ES$21,1,CQ231)),CQ234*IF(CQ232&lt;INDEX('Lease Cycles'!$DK$21:$DQ$21,1,CQ231),0,IF(CQ232=INDEX('Lease Cycles'!$DK$21:$DQ$21,1,CQ231),1-INDEX('Lease Cycles'!$DR$21:$DX$21,1,CQ231),1))),0)</f>
        <v>0</v>
      </c>
      <c r="CR237" s="28">
        <f>IF(CR233=1,IF(INDEX('Lease Cycles'!$EF$21:$EL$21,1,CR231)=1,CR234*INDEX('Lease Cycles'!$EM$21:$ES$21,1,CR231)+CR235*IF(CR232&lt;INDEX('Lease Cycles'!$FA$21:$FG$21,1,CR231),0,1-INDEX('Lease Cycles'!$EM$21:$ES$21,1,CR231)),CR234*IF(CR232&lt;INDEX('Lease Cycles'!$DK$21:$DQ$21,1,CR231),0,IF(CR232=INDEX('Lease Cycles'!$DK$21:$DQ$21,1,CR231),1-INDEX('Lease Cycles'!$DR$21:$DX$21,1,CR231),1))),0)</f>
        <v>0</v>
      </c>
      <c r="CS237" s="28">
        <f>IF(CS233=1,IF(INDEX('Lease Cycles'!$EF$21:$EL$21,1,CS231)=1,CS234*INDEX('Lease Cycles'!$EM$21:$ES$21,1,CS231)+CS235*IF(CS232&lt;INDEX('Lease Cycles'!$FA$21:$FG$21,1,CS231),0,1-INDEX('Lease Cycles'!$EM$21:$ES$21,1,CS231)),CS234*IF(CS232&lt;INDEX('Lease Cycles'!$DK$21:$DQ$21,1,CS231),0,IF(CS232=INDEX('Lease Cycles'!$DK$21:$DQ$21,1,CS231),1-INDEX('Lease Cycles'!$DR$21:$DX$21,1,CS231),1))),0)</f>
        <v>0</v>
      </c>
      <c r="CT237" s="28">
        <f>IF(CT233=1,IF(INDEX('Lease Cycles'!$EF$21:$EL$21,1,CT231)=1,CT234*INDEX('Lease Cycles'!$EM$21:$ES$21,1,CT231)+CT235*IF(CT232&lt;INDEX('Lease Cycles'!$FA$21:$FG$21,1,CT231),0,1-INDEX('Lease Cycles'!$EM$21:$ES$21,1,CT231)),CT234*IF(CT232&lt;INDEX('Lease Cycles'!$DK$21:$DQ$21,1,CT231),0,IF(CT232=INDEX('Lease Cycles'!$DK$21:$DQ$21,1,CT231),1-INDEX('Lease Cycles'!$DR$21:$DX$21,1,CT231),1))),0)</f>
        <v>0</v>
      </c>
      <c r="CU237" s="28">
        <f>IF(CU233=1,IF(INDEX('Lease Cycles'!$EF$21:$EL$21,1,CU231)=1,CU234*INDEX('Lease Cycles'!$EM$21:$ES$21,1,CU231)+CU235*IF(CU232&lt;INDEX('Lease Cycles'!$FA$21:$FG$21,1,CU231),0,1-INDEX('Lease Cycles'!$EM$21:$ES$21,1,CU231)),CU234*IF(CU232&lt;INDEX('Lease Cycles'!$DK$21:$DQ$21,1,CU231),0,IF(CU232=INDEX('Lease Cycles'!$DK$21:$DQ$21,1,CU231),1-INDEX('Lease Cycles'!$DR$21:$DX$21,1,CU231),1))),0)</f>
        <v>0</v>
      </c>
      <c r="CV237" s="28">
        <f>IF(CV233=1,IF(INDEX('Lease Cycles'!$EF$21:$EL$21,1,CV231)=1,CV234*INDEX('Lease Cycles'!$EM$21:$ES$21,1,CV231)+CV235*IF(CV232&lt;INDEX('Lease Cycles'!$FA$21:$FG$21,1,CV231),0,1-INDEX('Lease Cycles'!$EM$21:$ES$21,1,CV231)),CV234*IF(CV232&lt;INDEX('Lease Cycles'!$DK$21:$DQ$21,1,CV231),0,IF(CV232=INDEX('Lease Cycles'!$DK$21:$DQ$21,1,CV231),1-INDEX('Lease Cycles'!$DR$21:$DX$21,1,CV231),1))),0)</f>
        <v>0</v>
      </c>
      <c r="CW237" s="28">
        <f>IF(CW233=1,IF(INDEX('Lease Cycles'!$EF$21:$EL$21,1,CW231)=1,CW234*INDEX('Lease Cycles'!$EM$21:$ES$21,1,CW231)+CW235*IF(CW232&lt;INDEX('Lease Cycles'!$FA$21:$FG$21,1,CW231),0,1-INDEX('Lease Cycles'!$EM$21:$ES$21,1,CW231)),CW234*IF(CW232&lt;INDEX('Lease Cycles'!$DK$21:$DQ$21,1,CW231),0,IF(CW232=INDEX('Lease Cycles'!$DK$21:$DQ$21,1,CW231),1-INDEX('Lease Cycles'!$DR$21:$DX$21,1,CW231),1))),0)</f>
        <v>0</v>
      </c>
      <c r="CX237" s="28">
        <f>IF(CX233=1,IF(INDEX('Lease Cycles'!$EF$21:$EL$21,1,CX231)=1,CX234*INDEX('Lease Cycles'!$EM$21:$ES$21,1,CX231)+CX235*IF(CX232&lt;INDEX('Lease Cycles'!$FA$21:$FG$21,1,CX231),0,1-INDEX('Lease Cycles'!$EM$21:$ES$21,1,CX231)),CX234*IF(CX232&lt;INDEX('Lease Cycles'!$DK$21:$DQ$21,1,CX231),0,IF(CX232=INDEX('Lease Cycles'!$DK$21:$DQ$21,1,CX231),1-INDEX('Lease Cycles'!$DR$21:$DX$21,1,CX231),1))),0)</f>
        <v>0</v>
      </c>
      <c r="CY237" s="28">
        <f>IF(CY233=1,IF(INDEX('Lease Cycles'!$EF$21:$EL$21,1,CY231)=1,CY234*INDEX('Lease Cycles'!$EM$21:$ES$21,1,CY231)+CY235*IF(CY232&lt;INDEX('Lease Cycles'!$FA$21:$FG$21,1,CY231),0,1-INDEX('Lease Cycles'!$EM$21:$ES$21,1,CY231)),CY234*IF(CY232&lt;INDEX('Lease Cycles'!$DK$21:$DQ$21,1,CY231),0,IF(CY232=INDEX('Lease Cycles'!$DK$21:$DQ$21,1,CY231),1-INDEX('Lease Cycles'!$DR$21:$DX$21,1,CY231),1))),0)</f>
        <v>0</v>
      </c>
      <c r="CZ237" s="28">
        <f>IF(CZ233=1,IF(INDEX('Lease Cycles'!$EF$21:$EL$21,1,CZ231)=1,CZ234*INDEX('Lease Cycles'!$EM$21:$ES$21,1,CZ231)+CZ235*IF(CZ232&lt;INDEX('Lease Cycles'!$FA$21:$FG$21,1,CZ231),0,1-INDEX('Lease Cycles'!$EM$21:$ES$21,1,CZ231)),CZ234*IF(CZ232&lt;INDEX('Lease Cycles'!$DK$21:$DQ$21,1,CZ231),0,IF(CZ232=INDEX('Lease Cycles'!$DK$21:$DQ$21,1,CZ231),1-INDEX('Lease Cycles'!$DR$21:$DX$21,1,CZ231),1))),0)</f>
        <v>0</v>
      </c>
      <c r="DA237" s="28">
        <f>IF(DA233=1,IF(INDEX('Lease Cycles'!$EF$21:$EL$21,1,DA231)=1,DA234*INDEX('Lease Cycles'!$EM$21:$ES$21,1,DA231)+DA235*IF(DA232&lt;INDEX('Lease Cycles'!$FA$21:$FG$21,1,DA231),0,1-INDEX('Lease Cycles'!$EM$21:$ES$21,1,DA231)),DA234*IF(DA232&lt;INDEX('Lease Cycles'!$DK$21:$DQ$21,1,DA231),0,IF(DA232=INDEX('Lease Cycles'!$DK$21:$DQ$21,1,DA231),1-INDEX('Lease Cycles'!$DR$21:$DX$21,1,DA231),1))),0)</f>
        <v>0</v>
      </c>
      <c r="DB237" s="28">
        <f>IF(DB233=1,IF(INDEX('Lease Cycles'!$EF$21:$EL$21,1,DB231)=1,DB234*INDEX('Lease Cycles'!$EM$21:$ES$21,1,DB231)+DB235*IF(DB232&lt;INDEX('Lease Cycles'!$FA$21:$FG$21,1,DB231),0,1-INDEX('Lease Cycles'!$EM$21:$ES$21,1,DB231)),DB234*IF(DB232&lt;INDEX('Lease Cycles'!$DK$21:$DQ$21,1,DB231),0,IF(DB232=INDEX('Lease Cycles'!$DK$21:$DQ$21,1,DB231),1-INDEX('Lease Cycles'!$DR$21:$DX$21,1,DB231),1))),0)</f>
        <v>0</v>
      </c>
      <c r="DC237" s="28">
        <f>IF(DC233=1,IF(INDEX('Lease Cycles'!$EF$21:$EL$21,1,DC231)=1,DC234*INDEX('Lease Cycles'!$EM$21:$ES$21,1,DC231)+DC235*IF(DC232&lt;INDEX('Lease Cycles'!$FA$21:$FG$21,1,DC231),0,1-INDEX('Lease Cycles'!$EM$21:$ES$21,1,DC231)),DC234*IF(DC232&lt;INDEX('Lease Cycles'!$DK$21:$DQ$21,1,DC231),0,IF(DC232=INDEX('Lease Cycles'!$DK$21:$DQ$21,1,DC231),1-INDEX('Lease Cycles'!$DR$21:$DX$21,1,DC231),1))),0)</f>
        <v>0</v>
      </c>
      <c r="DD237" s="28">
        <f>IF(DD233=1,IF(INDEX('Lease Cycles'!$EF$21:$EL$21,1,DD231)=1,DD234*INDEX('Lease Cycles'!$EM$21:$ES$21,1,DD231)+DD235*IF(DD232&lt;INDEX('Lease Cycles'!$FA$21:$FG$21,1,DD231),0,1-INDEX('Lease Cycles'!$EM$21:$ES$21,1,DD231)),DD234*IF(DD232&lt;INDEX('Lease Cycles'!$DK$21:$DQ$21,1,DD231),0,IF(DD232=INDEX('Lease Cycles'!$DK$21:$DQ$21,1,DD231),1-INDEX('Lease Cycles'!$DR$21:$DX$21,1,DD231),1))),0)</f>
        <v>0</v>
      </c>
      <c r="DE237" s="28">
        <f>IF(DE233=1,IF(INDEX('Lease Cycles'!$EF$21:$EL$21,1,DE231)=1,DE234*INDEX('Lease Cycles'!$EM$21:$ES$21,1,DE231)+DE235*IF(DE232&lt;INDEX('Lease Cycles'!$FA$21:$FG$21,1,DE231),0,1-INDEX('Lease Cycles'!$EM$21:$ES$21,1,DE231)),DE234*IF(DE232&lt;INDEX('Lease Cycles'!$DK$21:$DQ$21,1,DE231),0,IF(DE232=INDEX('Lease Cycles'!$DK$21:$DQ$21,1,DE231),1-INDEX('Lease Cycles'!$DR$21:$DX$21,1,DE231),1))),0)</f>
        <v>0</v>
      </c>
      <c r="DF237" s="28">
        <f>IF(DF233=1,IF(INDEX('Lease Cycles'!$EF$21:$EL$21,1,DF231)=1,DF234*INDEX('Lease Cycles'!$EM$21:$ES$21,1,DF231)+DF235*IF(DF232&lt;INDEX('Lease Cycles'!$FA$21:$FG$21,1,DF231),0,1-INDEX('Lease Cycles'!$EM$21:$ES$21,1,DF231)),DF234*IF(DF232&lt;INDEX('Lease Cycles'!$DK$21:$DQ$21,1,DF231),0,IF(DF232=INDEX('Lease Cycles'!$DK$21:$DQ$21,1,DF231),1-INDEX('Lease Cycles'!$DR$21:$DX$21,1,DF231),1))),0)</f>
        <v>0</v>
      </c>
      <c r="DG237" s="28">
        <f>IF(DG233=1,IF(INDEX('Lease Cycles'!$EF$21:$EL$21,1,DG231)=1,DG234*INDEX('Lease Cycles'!$EM$21:$ES$21,1,DG231)+DG235*IF(DG232&lt;INDEX('Lease Cycles'!$FA$21:$FG$21,1,DG231),0,1-INDEX('Lease Cycles'!$EM$21:$ES$21,1,DG231)),DG234*IF(DG232&lt;INDEX('Lease Cycles'!$DK$21:$DQ$21,1,DG231),0,IF(DG232=INDEX('Lease Cycles'!$DK$21:$DQ$21,1,DG231),1-INDEX('Lease Cycles'!$DR$21:$DX$21,1,DG231),1))),0)</f>
        <v>0</v>
      </c>
      <c r="DH237" s="28">
        <f>IF(DH233=1,IF(INDEX('Lease Cycles'!$EF$21:$EL$21,1,DH231)=1,DH234*INDEX('Lease Cycles'!$EM$21:$ES$21,1,DH231)+DH235*IF(DH232&lt;INDEX('Lease Cycles'!$FA$21:$FG$21,1,DH231),0,1-INDEX('Lease Cycles'!$EM$21:$ES$21,1,DH231)),DH234*IF(DH232&lt;INDEX('Lease Cycles'!$DK$21:$DQ$21,1,DH231),0,IF(DH232=INDEX('Lease Cycles'!$DK$21:$DQ$21,1,DH231),1-INDEX('Lease Cycles'!$DR$21:$DX$21,1,DH231),1))),0)</f>
        <v>0</v>
      </c>
      <c r="DI237" s="28">
        <f>IF(DI233=1,IF(INDEX('Lease Cycles'!$EF$21:$EL$21,1,DI231)=1,DI234*INDEX('Lease Cycles'!$EM$21:$ES$21,1,DI231)+DI235*IF(DI232&lt;INDEX('Lease Cycles'!$FA$21:$FG$21,1,DI231),0,1-INDEX('Lease Cycles'!$EM$21:$ES$21,1,DI231)),DI234*IF(DI232&lt;INDEX('Lease Cycles'!$DK$21:$DQ$21,1,DI231),0,IF(DI232=INDEX('Lease Cycles'!$DK$21:$DQ$21,1,DI231),1-INDEX('Lease Cycles'!$DR$21:$DX$21,1,DI231),1))),0)</f>
        <v>0</v>
      </c>
      <c r="DJ237" s="28">
        <f>IF(DJ233=1,IF(INDEX('Lease Cycles'!$EF$21:$EL$21,1,DJ231)=1,DJ234*INDEX('Lease Cycles'!$EM$21:$ES$21,1,DJ231)+DJ235*IF(DJ232&lt;INDEX('Lease Cycles'!$FA$21:$FG$21,1,DJ231),0,1-INDEX('Lease Cycles'!$EM$21:$ES$21,1,DJ231)),DJ234*IF(DJ232&lt;INDEX('Lease Cycles'!$DK$21:$DQ$21,1,DJ231),0,IF(DJ232=INDEX('Lease Cycles'!$DK$21:$DQ$21,1,DJ231),1-INDEX('Lease Cycles'!$DR$21:$DX$21,1,DJ231),1))),0)</f>
        <v>0</v>
      </c>
      <c r="DK237" s="28">
        <f>IF(DK233=1,IF(INDEX('Lease Cycles'!$EF$21:$EL$21,1,DK231)=1,DK234*INDEX('Lease Cycles'!$EM$21:$ES$21,1,DK231)+DK235*IF(DK232&lt;INDEX('Lease Cycles'!$FA$21:$FG$21,1,DK231),0,1-INDEX('Lease Cycles'!$EM$21:$ES$21,1,DK231)),DK234*IF(DK232&lt;INDEX('Lease Cycles'!$DK$21:$DQ$21,1,DK231),0,IF(DK232=INDEX('Lease Cycles'!$DK$21:$DQ$21,1,DK231),1-INDEX('Lease Cycles'!$DR$21:$DX$21,1,DK231),1))),0)</f>
        <v>0</v>
      </c>
      <c r="DL237" s="28">
        <f>IF(DL233=1,IF(INDEX('Lease Cycles'!$EF$21:$EL$21,1,DL231)=1,DL234*INDEX('Lease Cycles'!$EM$21:$ES$21,1,DL231)+DL235*IF(DL232&lt;INDEX('Lease Cycles'!$FA$21:$FG$21,1,DL231),0,1-INDEX('Lease Cycles'!$EM$21:$ES$21,1,DL231)),DL234*IF(DL232&lt;INDEX('Lease Cycles'!$DK$21:$DQ$21,1,DL231),0,IF(DL232=INDEX('Lease Cycles'!$DK$21:$DQ$21,1,DL231),1-INDEX('Lease Cycles'!$DR$21:$DX$21,1,DL231),1))),0)</f>
        <v>0</v>
      </c>
      <c r="DM237" s="28">
        <f>IF(DM233=1,IF(INDEX('Lease Cycles'!$EF$21:$EL$21,1,DM231)=1,DM234*INDEX('Lease Cycles'!$EM$21:$ES$21,1,DM231)+DM235*IF(DM232&lt;INDEX('Lease Cycles'!$FA$21:$FG$21,1,DM231),0,1-INDEX('Lease Cycles'!$EM$21:$ES$21,1,DM231)),DM234*IF(DM232&lt;INDEX('Lease Cycles'!$DK$21:$DQ$21,1,DM231),0,IF(DM232=INDEX('Lease Cycles'!$DK$21:$DQ$21,1,DM231),1-INDEX('Lease Cycles'!$DR$21:$DX$21,1,DM231),1))),0)</f>
        <v>0</v>
      </c>
      <c r="DN237" s="28">
        <f>IF(DN233=1,IF(INDEX('Lease Cycles'!$EF$21:$EL$21,1,DN231)=1,DN234*INDEX('Lease Cycles'!$EM$21:$ES$21,1,DN231)+DN235*IF(DN232&lt;INDEX('Lease Cycles'!$FA$21:$FG$21,1,DN231),0,1-INDEX('Lease Cycles'!$EM$21:$ES$21,1,DN231)),DN234*IF(DN232&lt;INDEX('Lease Cycles'!$DK$21:$DQ$21,1,DN231),0,IF(DN232=INDEX('Lease Cycles'!$DK$21:$DQ$21,1,DN231),1-INDEX('Lease Cycles'!$DR$21:$DX$21,1,DN231),1))),0)</f>
        <v>0</v>
      </c>
      <c r="DO237" s="28">
        <f>IF(DO233=1,IF(INDEX('Lease Cycles'!$EF$21:$EL$21,1,DO231)=1,DO234*INDEX('Lease Cycles'!$EM$21:$ES$21,1,DO231)+DO235*IF(DO232&lt;INDEX('Lease Cycles'!$FA$21:$FG$21,1,DO231),0,1-INDEX('Lease Cycles'!$EM$21:$ES$21,1,DO231)),DO234*IF(DO232&lt;INDEX('Lease Cycles'!$DK$21:$DQ$21,1,DO231),0,IF(DO232=INDEX('Lease Cycles'!$DK$21:$DQ$21,1,DO231),1-INDEX('Lease Cycles'!$DR$21:$DX$21,1,DO231),1))),0)</f>
        <v>0</v>
      </c>
      <c r="DP237" s="28">
        <f>IF(DP233=1,IF(INDEX('Lease Cycles'!$EF$21:$EL$21,1,DP231)=1,DP234*INDEX('Lease Cycles'!$EM$21:$ES$21,1,DP231)+DP235*IF(DP232&lt;INDEX('Lease Cycles'!$FA$21:$FG$21,1,DP231),0,1-INDEX('Lease Cycles'!$EM$21:$ES$21,1,DP231)),DP234*IF(DP232&lt;INDEX('Lease Cycles'!$DK$21:$DQ$21,1,DP231),0,IF(DP232=INDEX('Lease Cycles'!$DK$21:$DQ$21,1,DP231),1-INDEX('Lease Cycles'!$DR$21:$DX$21,1,DP231),1))),0)</f>
        <v>0</v>
      </c>
      <c r="DQ237" s="28">
        <f>IF(DQ233=1,IF(INDEX('Lease Cycles'!$EF$21:$EL$21,1,DQ231)=1,DQ234*INDEX('Lease Cycles'!$EM$21:$ES$21,1,DQ231)+DQ235*IF(DQ232&lt;INDEX('Lease Cycles'!$FA$21:$FG$21,1,DQ231),0,1-INDEX('Lease Cycles'!$EM$21:$ES$21,1,DQ231)),DQ234*IF(DQ232&lt;INDEX('Lease Cycles'!$DK$21:$DQ$21,1,DQ231),0,IF(DQ232=INDEX('Lease Cycles'!$DK$21:$DQ$21,1,DQ231),1-INDEX('Lease Cycles'!$DR$21:$DX$21,1,DQ231),1))),0)</f>
        <v>0</v>
      </c>
      <c r="DR237" s="28">
        <f>IF(DR233=1,IF(INDEX('Lease Cycles'!$EF$21:$EL$21,1,DR231)=1,DR234*INDEX('Lease Cycles'!$EM$21:$ES$21,1,DR231)+DR235*IF(DR232&lt;INDEX('Lease Cycles'!$FA$21:$FG$21,1,DR231),0,1-INDEX('Lease Cycles'!$EM$21:$ES$21,1,DR231)),DR234*IF(DR232&lt;INDEX('Lease Cycles'!$DK$21:$DQ$21,1,DR231),0,IF(DR232=INDEX('Lease Cycles'!$DK$21:$DQ$21,1,DR231),1-INDEX('Lease Cycles'!$DR$21:$DX$21,1,DR231),1))),0)</f>
        <v>0</v>
      </c>
      <c r="DS237" s="28">
        <f>IF(DS233=1,IF(INDEX('Lease Cycles'!$EF$21:$EL$21,1,DS231)=1,DS234*INDEX('Lease Cycles'!$EM$21:$ES$21,1,DS231)+DS235*IF(DS232&lt;INDEX('Lease Cycles'!$FA$21:$FG$21,1,DS231),0,1-INDEX('Lease Cycles'!$EM$21:$ES$21,1,DS231)),DS234*IF(DS232&lt;INDEX('Lease Cycles'!$DK$21:$DQ$21,1,DS231),0,IF(DS232=INDEX('Lease Cycles'!$DK$21:$DQ$21,1,DS231),1-INDEX('Lease Cycles'!$DR$21:$DX$21,1,DS231),1))),0)</f>
        <v>0</v>
      </c>
      <c r="DT237" s="28">
        <f>IF(DT233=1,IF(INDEX('Lease Cycles'!$EF$21:$EL$21,1,DT231)=1,DT234*INDEX('Lease Cycles'!$EM$21:$ES$21,1,DT231)+DT235*IF(DT232&lt;INDEX('Lease Cycles'!$FA$21:$FG$21,1,DT231),0,1-INDEX('Lease Cycles'!$EM$21:$ES$21,1,DT231)),DT234*IF(DT232&lt;INDEX('Lease Cycles'!$DK$21:$DQ$21,1,DT231),0,IF(DT232=INDEX('Lease Cycles'!$DK$21:$DQ$21,1,DT231),1-INDEX('Lease Cycles'!$DR$21:$DX$21,1,DT231),1))),0)</f>
        <v>0</v>
      </c>
      <c r="DU237" s="28">
        <f>IF(DU233=1,IF(INDEX('Lease Cycles'!$EF$21:$EL$21,1,DU231)=1,DU234*INDEX('Lease Cycles'!$EM$21:$ES$21,1,DU231)+DU235*IF(DU232&lt;INDEX('Lease Cycles'!$FA$21:$FG$21,1,DU231),0,1-INDEX('Lease Cycles'!$EM$21:$ES$21,1,DU231)),DU234*IF(DU232&lt;INDEX('Lease Cycles'!$DK$21:$DQ$21,1,DU231),0,IF(DU232=INDEX('Lease Cycles'!$DK$21:$DQ$21,1,DU231),1-INDEX('Lease Cycles'!$DR$21:$DX$21,1,DU231),1))),0)</f>
        <v>0</v>
      </c>
      <c r="DV237" s="28">
        <f>IF(DV233=1,IF(INDEX('Lease Cycles'!$EF$21:$EL$21,1,DV231)=1,DV234*INDEX('Lease Cycles'!$EM$21:$ES$21,1,DV231)+DV235*IF(DV232&lt;INDEX('Lease Cycles'!$FA$21:$FG$21,1,DV231),0,1-INDEX('Lease Cycles'!$EM$21:$ES$21,1,DV231)),DV234*IF(DV232&lt;INDEX('Lease Cycles'!$DK$21:$DQ$21,1,DV231),0,IF(DV232=INDEX('Lease Cycles'!$DK$21:$DQ$21,1,DV231),1-INDEX('Lease Cycles'!$DR$21:$DX$21,1,DV231),1))),0)</f>
        <v>0</v>
      </c>
      <c r="DW237" s="28">
        <f>IF(DW233=1,IF(INDEX('Lease Cycles'!$EF$21:$EL$21,1,DW231)=1,DW234*INDEX('Lease Cycles'!$EM$21:$ES$21,1,DW231)+DW235*IF(DW232&lt;INDEX('Lease Cycles'!$FA$21:$FG$21,1,DW231),0,1-INDEX('Lease Cycles'!$EM$21:$ES$21,1,DW231)),DW234*IF(DW232&lt;INDEX('Lease Cycles'!$DK$21:$DQ$21,1,DW231),0,IF(DW232=INDEX('Lease Cycles'!$DK$21:$DQ$21,1,DW231),1-INDEX('Lease Cycles'!$DR$21:$DX$21,1,DW231),1))),0)</f>
        <v>0</v>
      </c>
      <c r="DX237" s="28">
        <f>IF(DX233=1,IF(INDEX('Lease Cycles'!$EF$21:$EL$21,1,DX231)=1,DX234*INDEX('Lease Cycles'!$EM$21:$ES$21,1,DX231)+DX235*IF(DX232&lt;INDEX('Lease Cycles'!$FA$21:$FG$21,1,DX231),0,1-INDEX('Lease Cycles'!$EM$21:$ES$21,1,DX231)),DX234*IF(DX232&lt;INDEX('Lease Cycles'!$DK$21:$DQ$21,1,DX231),0,IF(DX232=INDEX('Lease Cycles'!$DK$21:$DQ$21,1,DX231),1-INDEX('Lease Cycles'!$DR$21:$DX$21,1,DX231),1))),0)</f>
        <v>0</v>
      </c>
      <c r="DY237" s="28">
        <f>IF(DY233=1,IF(INDEX('Lease Cycles'!$EF$21:$EL$21,1,DY231)=1,DY234*INDEX('Lease Cycles'!$EM$21:$ES$21,1,DY231)+DY235*IF(DY232&lt;INDEX('Lease Cycles'!$FA$21:$FG$21,1,DY231),0,1-INDEX('Lease Cycles'!$EM$21:$ES$21,1,DY231)),DY234*IF(DY232&lt;INDEX('Lease Cycles'!$DK$21:$DQ$21,1,DY231),0,IF(DY232=INDEX('Lease Cycles'!$DK$21:$DQ$21,1,DY231),1-INDEX('Lease Cycles'!$DR$21:$DX$21,1,DY231),1))),0)</f>
        <v>0</v>
      </c>
      <c r="DZ237" s="28">
        <f>IF(DZ233=1,IF(INDEX('Lease Cycles'!$EF$21:$EL$21,1,DZ231)=1,DZ234*INDEX('Lease Cycles'!$EM$21:$ES$21,1,DZ231)+DZ235*IF(DZ232&lt;INDEX('Lease Cycles'!$FA$21:$FG$21,1,DZ231),0,1-INDEX('Lease Cycles'!$EM$21:$ES$21,1,DZ231)),DZ234*IF(DZ232&lt;INDEX('Lease Cycles'!$DK$21:$DQ$21,1,DZ231),0,IF(DZ232=INDEX('Lease Cycles'!$DK$21:$DQ$21,1,DZ231),1-INDEX('Lease Cycles'!$DR$21:$DX$21,1,DZ231),1))),0)</f>
        <v>0</v>
      </c>
      <c r="EA237" s="28">
        <f>IF(EA233=1,IF(INDEX('Lease Cycles'!$EF$21:$EL$21,1,EA231)=1,EA234*INDEX('Lease Cycles'!$EM$21:$ES$21,1,EA231)+EA235*IF(EA232&lt;INDEX('Lease Cycles'!$FA$21:$FG$21,1,EA231),0,1-INDEX('Lease Cycles'!$EM$21:$ES$21,1,EA231)),EA234*IF(EA232&lt;INDEX('Lease Cycles'!$DK$21:$DQ$21,1,EA231),0,IF(EA232=INDEX('Lease Cycles'!$DK$21:$DQ$21,1,EA231),1-INDEX('Lease Cycles'!$DR$21:$DX$21,1,EA231),1))),0)</f>
        <v>0</v>
      </c>
      <c r="EB237" s="28">
        <f>IF(EB233=1,IF(INDEX('Lease Cycles'!$EF$21:$EL$21,1,EB231)=1,EB234*INDEX('Lease Cycles'!$EM$21:$ES$21,1,EB231)+EB235*IF(EB232&lt;INDEX('Lease Cycles'!$FA$21:$FG$21,1,EB231),0,1-INDEX('Lease Cycles'!$EM$21:$ES$21,1,EB231)),EB234*IF(EB232&lt;INDEX('Lease Cycles'!$DK$21:$DQ$21,1,EB231),0,IF(EB232=INDEX('Lease Cycles'!$DK$21:$DQ$21,1,EB231),1-INDEX('Lease Cycles'!$DR$21:$DX$21,1,EB231),1))),0)</f>
        <v>0</v>
      </c>
      <c r="EC237" s="28">
        <f>IF(EC233=1,IF(INDEX('Lease Cycles'!$EF$21:$EL$21,1,EC231)=1,EC234*INDEX('Lease Cycles'!$EM$21:$ES$21,1,EC231)+EC235*IF(EC232&lt;INDEX('Lease Cycles'!$FA$21:$FG$21,1,EC231),0,1-INDEX('Lease Cycles'!$EM$21:$ES$21,1,EC231)),EC234*IF(EC232&lt;INDEX('Lease Cycles'!$DK$21:$DQ$21,1,EC231),0,IF(EC232=INDEX('Lease Cycles'!$DK$21:$DQ$21,1,EC231),1-INDEX('Lease Cycles'!$DR$21:$DX$21,1,EC231),1))),0)</f>
        <v>0</v>
      </c>
      <c r="ED237" s="28">
        <f>IF(ED233=1,IF(INDEX('Lease Cycles'!$EF$21:$EL$21,1,ED231)=1,ED234*INDEX('Lease Cycles'!$EM$21:$ES$21,1,ED231)+ED235*IF(ED232&lt;INDEX('Lease Cycles'!$FA$21:$FG$21,1,ED231),0,1-INDEX('Lease Cycles'!$EM$21:$ES$21,1,ED231)),ED234*IF(ED232&lt;INDEX('Lease Cycles'!$DK$21:$DQ$21,1,ED231),0,IF(ED232=INDEX('Lease Cycles'!$DK$21:$DQ$21,1,ED231),1-INDEX('Lease Cycles'!$DR$21:$DX$21,1,ED231),1))),0)</f>
        <v>0</v>
      </c>
      <c r="EE237" s="28">
        <f>IF(EE233=1,IF(INDEX('Lease Cycles'!$EF$21:$EL$21,1,EE231)=1,EE234*INDEX('Lease Cycles'!$EM$21:$ES$21,1,EE231)+EE235*IF(EE232&lt;INDEX('Lease Cycles'!$FA$21:$FG$21,1,EE231),0,1-INDEX('Lease Cycles'!$EM$21:$ES$21,1,EE231)),EE234*IF(EE232&lt;INDEX('Lease Cycles'!$DK$21:$DQ$21,1,EE231),0,IF(EE232=INDEX('Lease Cycles'!$DK$21:$DQ$21,1,EE231),1-INDEX('Lease Cycles'!$DR$21:$DX$21,1,EE231),1))),0)</f>
        <v>0</v>
      </c>
      <c r="EF237" s="28">
        <f>IF(EF233=1,IF(INDEX('Lease Cycles'!$EF$21:$EL$21,1,EF231)=1,EF234*INDEX('Lease Cycles'!$EM$21:$ES$21,1,EF231)+EF235*IF(EF232&lt;INDEX('Lease Cycles'!$FA$21:$FG$21,1,EF231),0,1-INDEX('Lease Cycles'!$EM$21:$ES$21,1,EF231)),EF234*IF(EF232&lt;INDEX('Lease Cycles'!$DK$21:$DQ$21,1,EF231),0,IF(EF232=INDEX('Lease Cycles'!$DK$21:$DQ$21,1,EF231),1-INDEX('Lease Cycles'!$DR$21:$DX$21,1,EF231),1))),0)</f>
        <v>0</v>
      </c>
      <c r="EG237" s="28">
        <f>IF(EG233=1,IF(INDEX('Lease Cycles'!$EF$21:$EL$21,1,EG231)=1,EG234*INDEX('Lease Cycles'!$EM$21:$ES$21,1,EG231)+EG235*IF(EG232&lt;INDEX('Lease Cycles'!$FA$21:$FG$21,1,EG231),0,1-INDEX('Lease Cycles'!$EM$21:$ES$21,1,EG231)),EG234*IF(EG232&lt;INDEX('Lease Cycles'!$DK$21:$DQ$21,1,EG231),0,IF(EG232=INDEX('Lease Cycles'!$DK$21:$DQ$21,1,EG231),1-INDEX('Lease Cycles'!$DR$21:$DX$21,1,EG231),1))),0)</f>
        <v>0</v>
      </c>
      <c r="EH237" s="28">
        <f>IF(EH233=1,IF(INDEX('Lease Cycles'!$EF$21:$EL$21,1,EH231)=1,EH234*INDEX('Lease Cycles'!$EM$21:$ES$21,1,EH231)+EH235*IF(EH232&lt;INDEX('Lease Cycles'!$FA$21:$FG$21,1,EH231),0,1-INDEX('Lease Cycles'!$EM$21:$ES$21,1,EH231)),EH234*IF(EH232&lt;INDEX('Lease Cycles'!$DK$21:$DQ$21,1,EH231),0,IF(EH232=INDEX('Lease Cycles'!$DK$21:$DQ$21,1,EH231),1-INDEX('Lease Cycles'!$DR$21:$DX$21,1,EH231),1))),0)</f>
        <v>0</v>
      </c>
      <c r="EI237" s="28">
        <f>IF(EI233=1,IF(INDEX('Lease Cycles'!$EF$21:$EL$21,1,EI231)=1,EI234*INDEX('Lease Cycles'!$EM$21:$ES$21,1,EI231)+EI235*IF(EI232&lt;INDEX('Lease Cycles'!$FA$21:$FG$21,1,EI231),0,1-INDEX('Lease Cycles'!$EM$21:$ES$21,1,EI231)),EI234*IF(EI232&lt;INDEX('Lease Cycles'!$DK$21:$DQ$21,1,EI231),0,IF(EI232=INDEX('Lease Cycles'!$DK$21:$DQ$21,1,EI231),1-INDEX('Lease Cycles'!$DR$21:$DX$21,1,EI231),1))),0)</f>
        <v>0</v>
      </c>
      <c r="EJ237" s="28">
        <f>IF(EJ233=1,IF(INDEX('Lease Cycles'!$EF$21:$EL$21,1,EJ231)=1,EJ234*INDEX('Lease Cycles'!$EM$21:$ES$21,1,EJ231)+EJ235*IF(EJ232&lt;INDEX('Lease Cycles'!$FA$21:$FG$21,1,EJ231),0,1-INDEX('Lease Cycles'!$EM$21:$ES$21,1,EJ231)),EJ234*IF(EJ232&lt;INDEX('Lease Cycles'!$DK$21:$DQ$21,1,EJ231),0,IF(EJ232=INDEX('Lease Cycles'!$DK$21:$DQ$21,1,EJ231),1-INDEX('Lease Cycles'!$DR$21:$DX$21,1,EJ231),1))),0)</f>
        <v>0</v>
      </c>
      <c r="EK237" s="28">
        <f>IF(EK233=1,IF(INDEX('Lease Cycles'!$EF$21:$EL$21,1,EK231)=1,EK234*INDEX('Lease Cycles'!$EM$21:$ES$21,1,EK231)+EK235*IF(EK232&lt;INDEX('Lease Cycles'!$FA$21:$FG$21,1,EK231),0,1-INDEX('Lease Cycles'!$EM$21:$ES$21,1,EK231)),EK234*IF(EK232&lt;INDEX('Lease Cycles'!$DK$21:$DQ$21,1,EK231),0,IF(EK232=INDEX('Lease Cycles'!$DK$21:$DQ$21,1,EK231),1-INDEX('Lease Cycles'!$DR$21:$DX$21,1,EK231),1))),0)</f>
        <v>0</v>
      </c>
      <c r="EL237" s="28">
        <f>IF(EL233=1,IF(INDEX('Lease Cycles'!$EF$21:$EL$21,1,EL231)=1,EL234*INDEX('Lease Cycles'!$EM$21:$ES$21,1,EL231)+EL235*IF(EL232&lt;INDEX('Lease Cycles'!$FA$21:$FG$21,1,EL231),0,1-INDEX('Lease Cycles'!$EM$21:$ES$21,1,EL231)),EL234*IF(EL232&lt;INDEX('Lease Cycles'!$DK$21:$DQ$21,1,EL231),0,IF(EL232=INDEX('Lease Cycles'!$DK$21:$DQ$21,1,EL231),1-INDEX('Lease Cycles'!$DR$21:$DX$21,1,EL231),1))),0)</f>
        <v>0</v>
      </c>
      <c r="EM237" s="28">
        <f>IF(EM233=1,IF(INDEX('Lease Cycles'!$EF$21:$EL$21,1,EM231)=1,EM234*INDEX('Lease Cycles'!$EM$21:$ES$21,1,EM231)+EM235*IF(EM232&lt;INDEX('Lease Cycles'!$FA$21:$FG$21,1,EM231),0,1-INDEX('Lease Cycles'!$EM$21:$ES$21,1,EM231)),EM234*IF(EM232&lt;INDEX('Lease Cycles'!$DK$21:$DQ$21,1,EM231),0,IF(EM232=INDEX('Lease Cycles'!$DK$21:$DQ$21,1,EM231),1-INDEX('Lease Cycles'!$DR$21:$DX$21,1,EM231),1))),0)</f>
        <v>0</v>
      </c>
      <c r="EN237" s="28">
        <f>IF(EN233=1,IF(INDEX('Lease Cycles'!$EF$21:$EL$21,1,EN231)=1,EN234*INDEX('Lease Cycles'!$EM$21:$ES$21,1,EN231)+EN235*IF(EN232&lt;INDEX('Lease Cycles'!$FA$21:$FG$21,1,EN231),0,1-INDEX('Lease Cycles'!$EM$21:$ES$21,1,EN231)),EN234*IF(EN232&lt;INDEX('Lease Cycles'!$DK$21:$DQ$21,1,EN231),0,IF(EN232=INDEX('Lease Cycles'!$DK$21:$DQ$21,1,EN231),1-INDEX('Lease Cycles'!$DR$21:$DX$21,1,EN231),1))),0)</f>
        <v>0</v>
      </c>
      <c r="EO237" s="28">
        <f>IF(EO233=1,IF(INDEX('Lease Cycles'!$EF$21:$EL$21,1,EO231)=1,EO234*INDEX('Lease Cycles'!$EM$21:$ES$21,1,EO231)+EO235*IF(EO232&lt;INDEX('Lease Cycles'!$FA$21:$FG$21,1,EO231),0,1-INDEX('Lease Cycles'!$EM$21:$ES$21,1,EO231)),EO234*IF(EO232&lt;INDEX('Lease Cycles'!$DK$21:$DQ$21,1,EO231),0,IF(EO232=INDEX('Lease Cycles'!$DK$21:$DQ$21,1,EO231),1-INDEX('Lease Cycles'!$DR$21:$DX$21,1,EO231),1))),0)</f>
        <v>0</v>
      </c>
      <c r="EP237" s="28">
        <f>IF(EP233=1,IF(INDEX('Lease Cycles'!$EF$21:$EL$21,1,EP231)=1,EP234*INDEX('Lease Cycles'!$EM$21:$ES$21,1,EP231)+EP235*IF(EP232&lt;INDEX('Lease Cycles'!$FA$21:$FG$21,1,EP231),0,1-INDEX('Lease Cycles'!$EM$21:$ES$21,1,EP231)),EP234*IF(EP232&lt;INDEX('Lease Cycles'!$DK$21:$DQ$21,1,EP231),0,IF(EP232=INDEX('Lease Cycles'!$DK$21:$DQ$21,1,EP231),1-INDEX('Lease Cycles'!$DR$21:$DX$21,1,EP231),1))),0)</f>
        <v>0</v>
      </c>
      <c r="EQ237" s="28">
        <f>IF(EQ233=1,IF(INDEX('Lease Cycles'!$EF$21:$EL$21,1,EQ231)=1,EQ234*INDEX('Lease Cycles'!$EM$21:$ES$21,1,EQ231)+EQ235*IF(EQ232&lt;INDEX('Lease Cycles'!$FA$21:$FG$21,1,EQ231),0,1-INDEX('Lease Cycles'!$EM$21:$ES$21,1,EQ231)),EQ234*IF(EQ232&lt;INDEX('Lease Cycles'!$DK$21:$DQ$21,1,EQ231),0,IF(EQ232=INDEX('Lease Cycles'!$DK$21:$DQ$21,1,EQ231),1-INDEX('Lease Cycles'!$DR$21:$DX$21,1,EQ231),1))),0)</f>
        <v>0</v>
      </c>
      <c r="ER237" s="28">
        <f>IF(ER233=1,IF(INDEX('Lease Cycles'!$EF$21:$EL$21,1,ER231)=1,ER234*INDEX('Lease Cycles'!$EM$21:$ES$21,1,ER231)+ER235*IF(ER232&lt;INDEX('Lease Cycles'!$FA$21:$FG$21,1,ER231),0,1-INDEX('Lease Cycles'!$EM$21:$ES$21,1,ER231)),ER234*IF(ER232&lt;INDEX('Lease Cycles'!$DK$21:$DQ$21,1,ER231),0,IF(ER232=INDEX('Lease Cycles'!$DK$21:$DQ$21,1,ER231),1-INDEX('Lease Cycles'!$DR$21:$DX$21,1,ER231),1))),0)</f>
        <v>0</v>
      </c>
      <c r="ES237" s="28">
        <f>IF(ES233=1,IF(INDEX('Lease Cycles'!$EF$21:$EL$21,1,ES231)=1,ES234*INDEX('Lease Cycles'!$EM$21:$ES$21,1,ES231)+ES235*IF(ES232&lt;INDEX('Lease Cycles'!$FA$21:$FG$21,1,ES231),0,1-INDEX('Lease Cycles'!$EM$21:$ES$21,1,ES231)),ES234*IF(ES232&lt;INDEX('Lease Cycles'!$DK$21:$DQ$21,1,ES231),0,IF(ES232=INDEX('Lease Cycles'!$DK$21:$DQ$21,1,ES231),1-INDEX('Lease Cycles'!$DR$21:$DX$21,1,ES231),1))),0)</f>
        <v>0</v>
      </c>
      <c r="ET237" s="28">
        <f>IF(ET233=1,IF(INDEX('Lease Cycles'!$EF$21:$EL$21,1,ET231)=1,ET234*INDEX('Lease Cycles'!$EM$21:$ES$21,1,ET231)+ET235*IF(ET232&lt;INDEX('Lease Cycles'!$FA$21:$FG$21,1,ET231),0,1-INDEX('Lease Cycles'!$EM$21:$ES$21,1,ET231)),ET234*IF(ET232&lt;INDEX('Lease Cycles'!$DK$21:$DQ$21,1,ET231),0,IF(ET232=INDEX('Lease Cycles'!$DK$21:$DQ$21,1,ET231),1-INDEX('Lease Cycles'!$DR$21:$DX$21,1,ET231),1))),0)</f>
        <v>0</v>
      </c>
    </row>
    <row r="238">
      <c r="A238" s="103">
        <v>14</v>
      </c>
      <c r="B238" s="23" t="str">
        <f>IF('Lease Cycles'!$B$21="","(empty slot)",'Lease Cycles'!$B$21)</f>
        <v>(empty slot)</v>
      </c>
      <c r="C238" s="23" t="s">
        <v>493</v>
      </c>
      <c r="D238" s="104" t="s">
        <v>494</v>
      </c>
      <c r="E238" s="25">
        <f>'Lease Cycles'!$AL$21</f>
        <v>0</v>
      </c>
      <c r="G238" s="28">
        <f>SUM(S238:AD238)</f>
        <v>0</v>
      </c>
      <c r="H238" s="28">
        <f>SUM(AE238:AP238)</f>
        <v>0</v>
      </c>
      <c r="I238" s="28">
        <f>SUM(AQ238:BB238)</f>
        <v>0</v>
      </c>
      <c r="J238" s="28">
        <f>SUM(BC238:BN238)</f>
        <v>0</v>
      </c>
      <c r="K238" s="28">
        <f>SUM(BO238:BZ238)</f>
        <v>0</v>
      </c>
      <c r="L238" s="28">
        <f>SUM(CA238:CL238)</f>
        <v>0</v>
      </c>
      <c r="M238" s="28">
        <f>SUM(CM238:CX238)</f>
        <v>0</v>
      </c>
      <c r="N238" s="28">
        <f>SUM(CY238:DJ238)</f>
        <v>0</v>
      </c>
      <c r="O238" s="28">
        <f>SUM(DK238:DV238)</f>
        <v>0</v>
      </c>
      <c r="P238" s="28">
        <f>SUM(DW238:EH238)</f>
        <v>0</v>
      </c>
      <c r="Q238" s="28">
        <f>SUM(EI238:ET238)</f>
        <v>0</v>
      </c>
      <c r="S238" s="28">
        <f>IF(S233=1,IF(INDEX('Lease Cycles'!$EF$21:$EL$21,1,S231)=1,0,S234*(1-IF(S232&lt;INDEX('Lease Cycles'!$DK$21:$DQ$21,1,S231),0,IF(S232=INDEX('Lease Cycles'!$DK$21:$DQ$21,1,S231),1-INDEX('Lease Cycles'!$DR$21:$DX$21,1,S231),1))-IF(S232=0,INDEX('Lease Cycles'!$DD$21:$DJ$21,1,S231),0))),0)</f>
        <v>0</v>
      </c>
      <c r="T238" s="28">
        <f>IF(T233=1,IF(INDEX('Lease Cycles'!$EF$21:$EL$21,1,T231)=1,0,T234*(1-IF(T232&lt;INDEX('Lease Cycles'!$DK$21:$DQ$21,1,T231),0,IF(T232=INDEX('Lease Cycles'!$DK$21:$DQ$21,1,T231),1-INDEX('Lease Cycles'!$DR$21:$DX$21,1,T231),1))-IF(T232=0,INDEX('Lease Cycles'!$DD$21:$DJ$21,1,T231),0))),0)</f>
        <v>0</v>
      </c>
      <c r="U238" s="28">
        <f>IF(U233=1,IF(INDEX('Lease Cycles'!$EF$21:$EL$21,1,U231)=1,0,U234*(1-IF(U232&lt;INDEX('Lease Cycles'!$DK$21:$DQ$21,1,U231),0,IF(U232=INDEX('Lease Cycles'!$DK$21:$DQ$21,1,U231),1-INDEX('Lease Cycles'!$DR$21:$DX$21,1,U231),1))-IF(U232=0,INDEX('Lease Cycles'!$DD$21:$DJ$21,1,U231),0))),0)</f>
        <v>0</v>
      </c>
      <c r="V238" s="28">
        <f>IF(V233=1,IF(INDEX('Lease Cycles'!$EF$21:$EL$21,1,V231)=1,0,V234*(1-IF(V232&lt;INDEX('Lease Cycles'!$DK$21:$DQ$21,1,V231),0,IF(V232=INDEX('Lease Cycles'!$DK$21:$DQ$21,1,V231),1-INDEX('Lease Cycles'!$DR$21:$DX$21,1,V231),1))-IF(V232=0,INDEX('Lease Cycles'!$DD$21:$DJ$21,1,V231),0))),0)</f>
        <v>0</v>
      </c>
      <c r="W238" s="28">
        <f>IF(W233=1,IF(INDEX('Lease Cycles'!$EF$21:$EL$21,1,W231)=1,0,W234*(1-IF(W232&lt;INDEX('Lease Cycles'!$DK$21:$DQ$21,1,W231),0,IF(W232=INDEX('Lease Cycles'!$DK$21:$DQ$21,1,W231),1-INDEX('Lease Cycles'!$DR$21:$DX$21,1,W231),1))-IF(W232=0,INDEX('Lease Cycles'!$DD$21:$DJ$21,1,W231),0))),0)</f>
        <v>0</v>
      </c>
      <c r="X238" s="28">
        <f>IF(X233=1,IF(INDEX('Lease Cycles'!$EF$21:$EL$21,1,X231)=1,0,X234*(1-IF(X232&lt;INDEX('Lease Cycles'!$DK$21:$DQ$21,1,X231),0,IF(X232=INDEX('Lease Cycles'!$DK$21:$DQ$21,1,X231),1-INDEX('Lease Cycles'!$DR$21:$DX$21,1,X231),1))-IF(X232=0,INDEX('Lease Cycles'!$DD$21:$DJ$21,1,X231),0))),0)</f>
        <v>0</v>
      </c>
      <c r="Y238" s="28">
        <f>IF(Y233=1,IF(INDEX('Lease Cycles'!$EF$21:$EL$21,1,Y231)=1,0,Y234*(1-IF(Y232&lt;INDEX('Lease Cycles'!$DK$21:$DQ$21,1,Y231),0,IF(Y232=INDEX('Lease Cycles'!$DK$21:$DQ$21,1,Y231),1-INDEX('Lease Cycles'!$DR$21:$DX$21,1,Y231),1))-IF(Y232=0,INDEX('Lease Cycles'!$DD$21:$DJ$21,1,Y231),0))),0)</f>
        <v>0</v>
      </c>
      <c r="Z238" s="28">
        <f>IF(Z233=1,IF(INDEX('Lease Cycles'!$EF$21:$EL$21,1,Z231)=1,0,Z234*(1-IF(Z232&lt;INDEX('Lease Cycles'!$DK$21:$DQ$21,1,Z231),0,IF(Z232=INDEX('Lease Cycles'!$DK$21:$DQ$21,1,Z231),1-INDEX('Lease Cycles'!$DR$21:$DX$21,1,Z231),1))-IF(Z232=0,INDEX('Lease Cycles'!$DD$21:$DJ$21,1,Z231),0))),0)</f>
        <v>0</v>
      </c>
      <c r="AA238" s="28">
        <f>IF(AA233=1,IF(INDEX('Lease Cycles'!$EF$21:$EL$21,1,AA231)=1,0,AA234*(1-IF(AA232&lt;INDEX('Lease Cycles'!$DK$21:$DQ$21,1,AA231),0,IF(AA232=INDEX('Lease Cycles'!$DK$21:$DQ$21,1,AA231),1-INDEX('Lease Cycles'!$DR$21:$DX$21,1,AA231),1))-IF(AA232=0,INDEX('Lease Cycles'!$DD$21:$DJ$21,1,AA231),0))),0)</f>
        <v>0</v>
      </c>
      <c r="AB238" s="28">
        <f>IF(AB233=1,IF(INDEX('Lease Cycles'!$EF$21:$EL$21,1,AB231)=1,0,AB234*(1-IF(AB232&lt;INDEX('Lease Cycles'!$DK$21:$DQ$21,1,AB231),0,IF(AB232=INDEX('Lease Cycles'!$DK$21:$DQ$21,1,AB231),1-INDEX('Lease Cycles'!$DR$21:$DX$21,1,AB231),1))-IF(AB232=0,INDEX('Lease Cycles'!$DD$21:$DJ$21,1,AB231),0))),0)</f>
        <v>0</v>
      </c>
      <c r="AC238" s="28">
        <f>IF(AC233=1,IF(INDEX('Lease Cycles'!$EF$21:$EL$21,1,AC231)=1,0,AC234*(1-IF(AC232&lt;INDEX('Lease Cycles'!$DK$21:$DQ$21,1,AC231),0,IF(AC232=INDEX('Lease Cycles'!$DK$21:$DQ$21,1,AC231),1-INDEX('Lease Cycles'!$DR$21:$DX$21,1,AC231),1))-IF(AC232=0,INDEX('Lease Cycles'!$DD$21:$DJ$21,1,AC231),0))),0)</f>
        <v>0</v>
      </c>
      <c r="AD238" s="28">
        <f>IF(AD233=1,IF(INDEX('Lease Cycles'!$EF$21:$EL$21,1,AD231)=1,0,AD234*(1-IF(AD232&lt;INDEX('Lease Cycles'!$DK$21:$DQ$21,1,AD231),0,IF(AD232=INDEX('Lease Cycles'!$DK$21:$DQ$21,1,AD231),1-INDEX('Lease Cycles'!$DR$21:$DX$21,1,AD231),1))-IF(AD232=0,INDEX('Lease Cycles'!$DD$21:$DJ$21,1,AD231),0))),0)</f>
        <v>0</v>
      </c>
      <c r="AE238" s="28">
        <f>IF(AE233=1,IF(INDEX('Lease Cycles'!$EF$21:$EL$21,1,AE231)=1,0,AE234*(1-IF(AE232&lt;INDEX('Lease Cycles'!$DK$21:$DQ$21,1,AE231),0,IF(AE232=INDEX('Lease Cycles'!$DK$21:$DQ$21,1,AE231),1-INDEX('Lease Cycles'!$DR$21:$DX$21,1,AE231),1))-IF(AE232=0,INDEX('Lease Cycles'!$DD$21:$DJ$21,1,AE231),0))),0)</f>
        <v>0</v>
      </c>
      <c r="AF238" s="28">
        <f>IF(AF233=1,IF(INDEX('Lease Cycles'!$EF$21:$EL$21,1,AF231)=1,0,AF234*(1-IF(AF232&lt;INDEX('Lease Cycles'!$DK$21:$DQ$21,1,AF231),0,IF(AF232=INDEX('Lease Cycles'!$DK$21:$DQ$21,1,AF231),1-INDEX('Lease Cycles'!$DR$21:$DX$21,1,AF231),1))-IF(AF232=0,INDEX('Lease Cycles'!$DD$21:$DJ$21,1,AF231),0))),0)</f>
        <v>0</v>
      </c>
      <c r="AG238" s="28">
        <f>IF(AG233=1,IF(INDEX('Lease Cycles'!$EF$21:$EL$21,1,AG231)=1,0,AG234*(1-IF(AG232&lt;INDEX('Lease Cycles'!$DK$21:$DQ$21,1,AG231),0,IF(AG232=INDEX('Lease Cycles'!$DK$21:$DQ$21,1,AG231),1-INDEX('Lease Cycles'!$DR$21:$DX$21,1,AG231),1))-IF(AG232=0,INDEX('Lease Cycles'!$DD$21:$DJ$21,1,AG231),0))),0)</f>
        <v>0</v>
      </c>
      <c r="AH238" s="28">
        <f>IF(AH233=1,IF(INDEX('Lease Cycles'!$EF$21:$EL$21,1,AH231)=1,0,AH234*(1-IF(AH232&lt;INDEX('Lease Cycles'!$DK$21:$DQ$21,1,AH231),0,IF(AH232=INDEX('Lease Cycles'!$DK$21:$DQ$21,1,AH231),1-INDEX('Lease Cycles'!$DR$21:$DX$21,1,AH231),1))-IF(AH232=0,INDEX('Lease Cycles'!$DD$21:$DJ$21,1,AH231),0))),0)</f>
        <v>0</v>
      </c>
      <c r="AI238" s="28">
        <f>IF(AI233=1,IF(INDEX('Lease Cycles'!$EF$21:$EL$21,1,AI231)=1,0,AI234*(1-IF(AI232&lt;INDEX('Lease Cycles'!$DK$21:$DQ$21,1,AI231),0,IF(AI232=INDEX('Lease Cycles'!$DK$21:$DQ$21,1,AI231),1-INDEX('Lease Cycles'!$DR$21:$DX$21,1,AI231),1))-IF(AI232=0,INDEX('Lease Cycles'!$DD$21:$DJ$21,1,AI231),0))),0)</f>
        <v>0</v>
      </c>
      <c r="AJ238" s="28">
        <f>IF(AJ233=1,IF(INDEX('Lease Cycles'!$EF$21:$EL$21,1,AJ231)=1,0,AJ234*(1-IF(AJ232&lt;INDEX('Lease Cycles'!$DK$21:$DQ$21,1,AJ231),0,IF(AJ232=INDEX('Lease Cycles'!$DK$21:$DQ$21,1,AJ231),1-INDEX('Lease Cycles'!$DR$21:$DX$21,1,AJ231),1))-IF(AJ232=0,INDEX('Lease Cycles'!$DD$21:$DJ$21,1,AJ231),0))),0)</f>
        <v>0</v>
      </c>
      <c r="AK238" s="28">
        <f>IF(AK233=1,IF(INDEX('Lease Cycles'!$EF$21:$EL$21,1,AK231)=1,0,AK234*(1-IF(AK232&lt;INDEX('Lease Cycles'!$DK$21:$DQ$21,1,AK231),0,IF(AK232=INDEX('Lease Cycles'!$DK$21:$DQ$21,1,AK231),1-INDEX('Lease Cycles'!$DR$21:$DX$21,1,AK231),1))-IF(AK232=0,INDEX('Lease Cycles'!$DD$21:$DJ$21,1,AK231),0))),0)</f>
        <v>0</v>
      </c>
      <c r="AL238" s="28">
        <f>IF(AL233=1,IF(INDEX('Lease Cycles'!$EF$21:$EL$21,1,AL231)=1,0,AL234*(1-IF(AL232&lt;INDEX('Lease Cycles'!$DK$21:$DQ$21,1,AL231),0,IF(AL232=INDEX('Lease Cycles'!$DK$21:$DQ$21,1,AL231),1-INDEX('Lease Cycles'!$DR$21:$DX$21,1,AL231),1))-IF(AL232=0,INDEX('Lease Cycles'!$DD$21:$DJ$21,1,AL231),0))),0)</f>
        <v>0</v>
      </c>
      <c r="AM238" s="28">
        <f>IF(AM233=1,IF(INDEX('Lease Cycles'!$EF$21:$EL$21,1,AM231)=1,0,AM234*(1-IF(AM232&lt;INDEX('Lease Cycles'!$DK$21:$DQ$21,1,AM231),0,IF(AM232=INDEX('Lease Cycles'!$DK$21:$DQ$21,1,AM231),1-INDEX('Lease Cycles'!$DR$21:$DX$21,1,AM231),1))-IF(AM232=0,INDEX('Lease Cycles'!$DD$21:$DJ$21,1,AM231),0))),0)</f>
        <v>0</v>
      </c>
      <c r="AN238" s="28">
        <f>IF(AN233=1,IF(INDEX('Lease Cycles'!$EF$21:$EL$21,1,AN231)=1,0,AN234*(1-IF(AN232&lt;INDEX('Lease Cycles'!$DK$21:$DQ$21,1,AN231),0,IF(AN232=INDEX('Lease Cycles'!$DK$21:$DQ$21,1,AN231),1-INDEX('Lease Cycles'!$DR$21:$DX$21,1,AN231),1))-IF(AN232=0,INDEX('Lease Cycles'!$DD$21:$DJ$21,1,AN231),0))),0)</f>
        <v>0</v>
      </c>
      <c r="AO238" s="28">
        <f>IF(AO233=1,IF(INDEX('Lease Cycles'!$EF$21:$EL$21,1,AO231)=1,0,AO234*(1-IF(AO232&lt;INDEX('Lease Cycles'!$DK$21:$DQ$21,1,AO231),0,IF(AO232=INDEX('Lease Cycles'!$DK$21:$DQ$21,1,AO231),1-INDEX('Lease Cycles'!$DR$21:$DX$21,1,AO231),1))-IF(AO232=0,INDEX('Lease Cycles'!$DD$21:$DJ$21,1,AO231),0))),0)</f>
        <v>0</v>
      </c>
      <c r="AP238" s="28">
        <f>IF(AP233=1,IF(INDEX('Lease Cycles'!$EF$21:$EL$21,1,AP231)=1,0,AP234*(1-IF(AP232&lt;INDEX('Lease Cycles'!$DK$21:$DQ$21,1,AP231),0,IF(AP232=INDEX('Lease Cycles'!$DK$21:$DQ$21,1,AP231),1-INDEX('Lease Cycles'!$DR$21:$DX$21,1,AP231),1))-IF(AP232=0,INDEX('Lease Cycles'!$DD$21:$DJ$21,1,AP231),0))),0)</f>
        <v>0</v>
      </c>
      <c r="AQ238" s="28">
        <f>IF(AQ233=1,IF(INDEX('Lease Cycles'!$EF$21:$EL$21,1,AQ231)=1,0,AQ234*(1-IF(AQ232&lt;INDEX('Lease Cycles'!$DK$21:$DQ$21,1,AQ231),0,IF(AQ232=INDEX('Lease Cycles'!$DK$21:$DQ$21,1,AQ231),1-INDEX('Lease Cycles'!$DR$21:$DX$21,1,AQ231),1))-IF(AQ232=0,INDEX('Lease Cycles'!$DD$21:$DJ$21,1,AQ231),0))),0)</f>
        <v>0</v>
      </c>
      <c r="AR238" s="28">
        <f>IF(AR233=1,IF(INDEX('Lease Cycles'!$EF$21:$EL$21,1,AR231)=1,0,AR234*(1-IF(AR232&lt;INDEX('Lease Cycles'!$DK$21:$DQ$21,1,AR231),0,IF(AR232=INDEX('Lease Cycles'!$DK$21:$DQ$21,1,AR231),1-INDEX('Lease Cycles'!$DR$21:$DX$21,1,AR231),1))-IF(AR232=0,INDEX('Lease Cycles'!$DD$21:$DJ$21,1,AR231),0))),0)</f>
        <v>0</v>
      </c>
      <c r="AS238" s="28">
        <f>IF(AS233=1,IF(INDEX('Lease Cycles'!$EF$21:$EL$21,1,AS231)=1,0,AS234*(1-IF(AS232&lt;INDEX('Lease Cycles'!$DK$21:$DQ$21,1,AS231),0,IF(AS232=INDEX('Lease Cycles'!$DK$21:$DQ$21,1,AS231),1-INDEX('Lease Cycles'!$DR$21:$DX$21,1,AS231),1))-IF(AS232=0,INDEX('Lease Cycles'!$DD$21:$DJ$21,1,AS231),0))),0)</f>
        <v>0</v>
      </c>
      <c r="AT238" s="28">
        <f>IF(AT233=1,IF(INDEX('Lease Cycles'!$EF$21:$EL$21,1,AT231)=1,0,AT234*(1-IF(AT232&lt;INDEX('Lease Cycles'!$DK$21:$DQ$21,1,AT231),0,IF(AT232=INDEX('Lease Cycles'!$DK$21:$DQ$21,1,AT231),1-INDEX('Lease Cycles'!$DR$21:$DX$21,1,AT231),1))-IF(AT232=0,INDEX('Lease Cycles'!$DD$21:$DJ$21,1,AT231),0))),0)</f>
        <v>0</v>
      </c>
      <c r="AU238" s="28">
        <f>IF(AU233=1,IF(INDEX('Lease Cycles'!$EF$21:$EL$21,1,AU231)=1,0,AU234*(1-IF(AU232&lt;INDEX('Lease Cycles'!$DK$21:$DQ$21,1,AU231),0,IF(AU232=INDEX('Lease Cycles'!$DK$21:$DQ$21,1,AU231),1-INDEX('Lease Cycles'!$DR$21:$DX$21,1,AU231),1))-IF(AU232=0,INDEX('Lease Cycles'!$DD$21:$DJ$21,1,AU231),0))),0)</f>
        <v>0</v>
      </c>
      <c r="AV238" s="28">
        <f>IF(AV233=1,IF(INDEX('Lease Cycles'!$EF$21:$EL$21,1,AV231)=1,0,AV234*(1-IF(AV232&lt;INDEX('Lease Cycles'!$DK$21:$DQ$21,1,AV231),0,IF(AV232=INDEX('Lease Cycles'!$DK$21:$DQ$21,1,AV231),1-INDEX('Lease Cycles'!$DR$21:$DX$21,1,AV231),1))-IF(AV232=0,INDEX('Lease Cycles'!$DD$21:$DJ$21,1,AV231),0))),0)</f>
        <v>0</v>
      </c>
      <c r="AW238" s="28">
        <f>IF(AW233=1,IF(INDEX('Lease Cycles'!$EF$21:$EL$21,1,AW231)=1,0,AW234*(1-IF(AW232&lt;INDEX('Lease Cycles'!$DK$21:$DQ$21,1,AW231),0,IF(AW232=INDEX('Lease Cycles'!$DK$21:$DQ$21,1,AW231),1-INDEX('Lease Cycles'!$DR$21:$DX$21,1,AW231),1))-IF(AW232=0,INDEX('Lease Cycles'!$DD$21:$DJ$21,1,AW231),0))),0)</f>
        <v>0</v>
      </c>
      <c r="AX238" s="28">
        <f>IF(AX233=1,IF(INDEX('Lease Cycles'!$EF$21:$EL$21,1,AX231)=1,0,AX234*(1-IF(AX232&lt;INDEX('Lease Cycles'!$DK$21:$DQ$21,1,AX231),0,IF(AX232=INDEX('Lease Cycles'!$DK$21:$DQ$21,1,AX231),1-INDEX('Lease Cycles'!$DR$21:$DX$21,1,AX231),1))-IF(AX232=0,INDEX('Lease Cycles'!$DD$21:$DJ$21,1,AX231),0))),0)</f>
        <v>0</v>
      </c>
      <c r="AY238" s="28">
        <f>IF(AY233=1,IF(INDEX('Lease Cycles'!$EF$21:$EL$21,1,AY231)=1,0,AY234*(1-IF(AY232&lt;INDEX('Lease Cycles'!$DK$21:$DQ$21,1,AY231),0,IF(AY232=INDEX('Lease Cycles'!$DK$21:$DQ$21,1,AY231),1-INDEX('Lease Cycles'!$DR$21:$DX$21,1,AY231),1))-IF(AY232=0,INDEX('Lease Cycles'!$DD$21:$DJ$21,1,AY231),0))),0)</f>
        <v>0</v>
      </c>
      <c r="AZ238" s="28">
        <f>IF(AZ233=1,IF(INDEX('Lease Cycles'!$EF$21:$EL$21,1,AZ231)=1,0,AZ234*(1-IF(AZ232&lt;INDEX('Lease Cycles'!$DK$21:$DQ$21,1,AZ231),0,IF(AZ232=INDEX('Lease Cycles'!$DK$21:$DQ$21,1,AZ231),1-INDEX('Lease Cycles'!$DR$21:$DX$21,1,AZ231),1))-IF(AZ232=0,INDEX('Lease Cycles'!$DD$21:$DJ$21,1,AZ231),0))),0)</f>
        <v>0</v>
      </c>
      <c r="BA238" s="28">
        <f>IF(BA233=1,IF(INDEX('Lease Cycles'!$EF$21:$EL$21,1,BA231)=1,0,BA234*(1-IF(BA232&lt;INDEX('Lease Cycles'!$DK$21:$DQ$21,1,BA231),0,IF(BA232=INDEX('Lease Cycles'!$DK$21:$DQ$21,1,BA231),1-INDEX('Lease Cycles'!$DR$21:$DX$21,1,BA231),1))-IF(BA232=0,INDEX('Lease Cycles'!$DD$21:$DJ$21,1,BA231),0))),0)</f>
        <v>0</v>
      </c>
      <c r="BB238" s="28">
        <f>IF(BB233=1,IF(INDEX('Lease Cycles'!$EF$21:$EL$21,1,BB231)=1,0,BB234*(1-IF(BB232&lt;INDEX('Lease Cycles'!$DK$21:$DQ$21,1,BB231),0,IF(BB232=INDEX('Lease Cycles'!$DK$21:$DQ$21,1,BB231),1-INDEX('Lease Cycles'!$DR$21:$DX$21,1,BB231),1))-IF(BB232=0,INDEX('Lease Cycles'!$DD$21:$DJ$21,1,BB231),0))),0)</f>
        <v>0</v>
      </c>
      <c r="BC238" s="28">
        <f>IF(BC233=1,IF(INDEX('Lease Cycles'!$EF$21:$EL$21,1,BC231)=1,0,BC234*(1-IF(BC232&lt;INDEX('Lease Cycles'!$DK$21:$DQ$21,1,BC231),0,IF(BC232=INDEX('Lease Cycles'!$DK$21:$DQ$21,1,BC231),1-INDEX('Lease Cycles'!$DR$21:$DX$21,1,BC231),1))-IF(BC232=0,INDEX('Lease Cycles'!$DD$21:$DJ$21,1,BC231),0))),0)</f>
        <v>0</v>
      </c>
      <c r="BD238" s="28">
        <f>IF(BD233=1,IF(INDEX('Lease Cycles'!$EF$21:$EL$21,1,BD231)=1,0,BD234*(1-IF(BD232&lt;INDEX('Lease Cycles'!$DK$21:$DQ$21,1,BD231),0,IF(BD232=INDEX('Lease Cycles'!$DK$21:$DQ$21,1,BD231),1-INDEX('Lease Cycles'!$DR$21:$DX$21,1,BD231),1))-IF(BD232=0,INDEX('Lease Cycles'!$DD$21:$DJ$21,1,BD231),0))),0)</f>
        <v>0</v>
      </c>
      <c r="BE238" s="28">
        <f>IF(BE233=1,IF(INDEX('Lease Cycles'!$EF$21:$EL$21,1,BE231)=1,0,BE234*(1-IF(BE232&lt;INDEX('Lease Cycles'!$DK$21:$DQ$21,1,BE231),0,IF(BE232=INDEX('Lease Cycles'!$DK$21:$DQ$21,1,BE231),1-INDEX('Lease Cycles'!$DR$21:$DX$21,1,BE231),1))-IF(BE232=0,INDEX('Lease Cycles'!$DD$21:$DJ$21,1,BE231),0))),0)</f>
        <v>0</v>
      </c>
      <c r="BF238" s="28">
        <f>IF(BF233=1,IF(INDEX('Lease Cycles'!$EF$21:$EL$21,1,BF231)=1,0,BF234*(1-IF(BF232&lt;INDEX('Lease Cycles'!$DK$21:$DQ$21,1,BF231),0,IF(BF232=INDEX('Lease Cycles'!$DK$21:$DQ$21,1,BF231),1-INDEX('Lease Cycles'!$DR$21:$DX$21,1,BF231),1))-IF(BF232=0,INDEX('Lease Cycles'!$DD$21:$DJ$21,1,BF231),0))),0)</f>
        <v>0</v>
      </c>
      <c r="BG238" s="28">
        <f>IF(BG233=1,IF(INDEX('Lease Cycles'!$EF$21:$EL$21,1,BG231)=1,0,BG234*(1-IF(BG232&lt;INDEX('Lease Cycles'!$DK$21:$DQ$21,1,BG231),0,IF(BG232=INDEX('Lease Cycles'!$DK$21:$DQ$21,1,BG231),1-INDEX('Lease Cycles'!$DR$21:$DX$21,1,BG231),1))-IF(BG232=0,INDEX('Lease Cycles'!$DD$21:$DJ$21,1,BG231),0))),0)</f>
        <v>0</v>
      </c>
      <c r="BH238" s="28">
        <f>IF(BH233=1,IF(INDEX('Lease Cycles'!$EF$21:$EL$21,1,BH231)=1,0,BH234*(1-IF(BH232&lt;INDEX('Lease Cycles'!$DK$21:$DQ$21,1,BH231),0,IF(BH232=INDEX('Lease Cycles'!$DK$21:$DQ$21,1,BH231),1-INDEX('Lease Cycles'!$DR$21:$DX$21,1,BH231),1))-IF(BH232=0,INDEX('Lease Cycles'!$DD$21:$DJ$21,1,BH231),0))),0)</f>
        <v>0</v>
      </c>
      <c r="BI238" s="28">
        <f>IF(BI233=1,IF(INDEX('Lease Cycles'!$EF$21:$EL$21,1,BI231)=1,0,BI234*(1-IF(BI232&lt;INDEX('Lease Cycles'!$DK$21:$DQ$21,1,BI231),0,IF(BI232=INDEX('Lease Cycles'!$DK$21:$DQ$21,1,BI231),1-INDEX('Lease Cycles'!$DR$21:$DX$21,1,BI231),1))-IF(BI232=0,INDEX('Lease Cycles'!$DD$21:$DJ$21,1,BI231),0))),0)</f>
        <v>0</v>
      </c>
      <c r="BJ238" s="28">
        <f>IF(BJ233=1,IF(INDEX('Lease Cycles'!$EF$21:$EL$21,1,BJ231)=1,0,BJ234*(1-IF(BJ232&lt;INDEX('Lease Cycles'!$DK$21:$DQ$21,1,BJ231),0,IF(BJ232=INDEX('Lease Cycles'!$DK$21:$DQ$21,1,BJ231),1-INDEX('Lease Cycles'!$DR$21:$DX$21,1,BJ231),1))-IF(BJ232=0,INDEX('Lease Cycles'!$DD$21:$DJ$21,1,BJ231),0))),0)</f>
        <v>0</v>
      </c>
      <c r="BK238" s="28">
        <f>IF(BK233=1,IF(INDEX('Lease Cycles'!$EF$21:$EL$21,1,BK231)=1,0,BK234*(1-IF(BK232&lt;INDEX('Lease Cycles'!$DK$21:$DQ$21,1,BK231),0,IF(BK232=INDEX('Lease Cycles'!$DK$21:$DQ$21,1,BK231),1-INDEX('Lease Cycles'!$DR$21:$DX$21,1,BK231),1))-IF(BK232=0,INDEX('Lease Cycles'!$DD$21:$DJ$21,1,BK231),0))),0)</f>
        <v>0</v>
      </c>
      <c r="BL238" s="28">
        <f>IF(BL233=1,IF(INDEX('Lease Cycles'!$EF$21:$EL$21,1,BL231)=1,0,BL234*(1-IF(BL232&lt;INDEX('Lease Cycles'!$DK$21:$DQ$21,1,BL231),0,IF(BL232=INDEX('Lease Cycles'!$DK$21:$DQ$21,1,BL231),1-INDEX('Lease Cycles'!$DR$21:$DX$21,1,BL231),1))-IF(BL232=0,INDEX('Lease Cycles'!$DD$21:$DJ$21,1,BL231),0))),0)</f>
        <v>0</v>
      </c>
      <c r="BM238" s="28">
        <f>IF(BM233=1,IF(INDEX('Lease Cycles'!$EF$21:$EL$21,1,BM231)=1,0,BM234*(1-IF(BM232&lt;INDEX('Lease Cycles'!$DK$21:$DQ$21,1,BM231),0,IF(BM232=INDEX('Lease Cycles'!$DK$21:$DQ$21,1,BM231),1-INDEX('Lease Cycles'!$DR$21:$DX$21,1,BM231),1))-IF(BM232=0,INDEX('Lease Cycles'!$DD$21:$DJ$21,1,BM231),0))),0)</f>
        <v>0</v>
      </c>
      <c r="BN238" s="28">
        <f>IF(BN233=1,IF(INDEX('Lease Cycles'!$EF$21:$EL$21,1,BN231)=1,0,BN234*(1-IF(BN232&lt;INDEX('Lease Cycles'!$DK$21:$DQ$21,1,BN231),0,IF(BN232=INDEX('Lease Cycles'!$DK$21:$DQ$21,1,BN231),1-INDEX('Lease Cycles'!$DR$21:$DX$21,1,BN231),1))-IF(BN232=0,INDEX('Lease Cycles'!$DD$21:$DJ$21,1,BN231),0))),0)</f>
        <v>0</v>
      </c>
      <c r="BO238" s="28">
        <f>IF(BO233=1,IF(INDEX('Lease Cycles'!$EF$21:$EL$21,1,BO231)=1,0,BO234*(1-IF(BO232&lt;INDEX('Lease Cycles'!$DK$21:$DQ$21,1,BO231),0,IF(BO232=INDEX('Lease Cycles'!$DK$21:$DQ$21,1,BO231),1-INDEX('Lease Cycles'!$DR$21:$DX$21,1,BO231),1))-IF(BO232=0,INDEX('Lease Cycles'!$DD$21:$DJ$21,1,BO231),0))),0)</f>
        <v>0</v>
      </c>
      <c r="BP238" s="28">
        <f>IF(BP233=1,IF(INDEX('Lease Cycles'!$EF$21:$EL$21,1,BP231)=1,0,BP234*(1-IF(BP232&lt;INDEX('Lease Cycles'!$DK$21:$DQ$21,1,BP231),0,IF(BP232=INDEX('Lease Cycles'!$DK$21:$DQ$21,1,BP231),1-INDEX('Lease Cycles'!$DR$21:$DX$21,1,BP231),1))-IF(BP232=0,INDEX('Lease Cycles'!$DD$21:$DJ$21,1,BP231),0))),0)</f>
        <v>0</v>
      </c>
      <c r="BQ238" s="28">
        <f>IF(BQ233=1,IF(INDEX('Lease Cycles'!$EF$21:$EL$21,1,BQ231)=1,0,BQ234*(1-IF(BQ232&lt;INDEX('Lease Cycles'!$DK$21:$DQ$21,1,BQ231),0,IF(BQ232=INDEX('Lease Cycles'!$DK$21:$DQ$21,1,BQ231),1-INDEX('Lease Cycles'!$DR$21:$DX$21,1,BQ231),1))-IF(BQ232=0,INDEX('Lease Cycles'!$DD$21:$DJ$21,1,BQ231),0))),0)</f>
        <v>0</v>
      </c>
      <c r="BR238" s="28">
        <f>IF(BR233=1,IF(INDEX('Lease Cycles'!$EF$21:$EL$21,1,BR231)=1,0,BR234*(1-IF(BR232&lt;INDEX('Lease Cycles'!$DK$21:$DQ$21,1,BR231),0,IF(BR232=INDEX('Lease Cycles'!$DK$21:$DQ$21,1,BR231),1-INDEX('Lease Cycles'!$DR$21:$DX$21,1,BR231),1))-IF(BR232=0,INDEX('Lease Cycles'!$DD$21:$DJ$21,1,BR231),0))),0)</f>
        <v>0</v>
      </c>
      <c r="BS238" s="28">
        <f>IF(BS233=1,IF(INDEX('Lease Cycles'!$EF$21:$EL$21,1,BS231)=1,0,BS234*(1-IF(BS232&lt;INDEX('Lease Cycles'!$DK$21:$DQ$21,1,BS231),0,IF(BS232=INDEX('Lease Cycles'!$DK$21:$DQ$21,1,BS231),1-INDEX('Lease Cycles'!$DR$21:$DX$21,1,BS231),1))-IF(BS232=0,INDEX('Lease Cycles'!$DD$21:$DJ$21,1,BS231),0))),0)</f>
        <v>0</v>
      </c>
      <c r="BT238" s="28">
        <f>IF(BT233=1,IF(INDEX('Lease Cycles'!$EF$21:$EL$21,1,BT231)=1,0,BT234*(1-IF(BT232&lt;INDEX('Lease Cycles'!$DK$21:$DQ$21,1,BT231),0,IF(BT232=INDEX('Lease Cycles'!$DK$21:$DQ$21,1,BT231),1-INDEX('Lease Cycles'!$DR$21:$DX$21,1,BT231),1))-IF(BT232=0,INDEX('Lease Cycles'!$DD$21:$DJ$21,1,BT231),0))),0)</f>
        <v>0</v>
      </c>
      <c r="BU238" s="28">
        <f>IF(BU233=1,IF(INDEX('Lease Cycles'!$EF$21:$EL$21,1,BU231)=1,0,BU234*(1-IF(BU232&lt;INDEX('Lease Cycles'!$DK$21:$DQ$21,1,BU231),0,IF(BU232=INDEX('Lease Cycles'!$DK$21:$DQ$21,1,BU231),1-INDEX('Lease Cycles'!$DR$21:$DX$21,1,BU231),1))-IF(BU232=0,INDEX('Lease Cycles'!$DD$21:$DJ$21,1,BU231),0))),0)</f>
        <v>0</v>
      </c>
      <c r="BV238" s="28">
        <f>IF(BV233=1,IF(INDEX('Lease Cycles'!$EF$21:$EL$21,1,BV231)=1,0,BV234*(1-IF(BV232&lt;INDEX('Lease Cycles'!$DK$21:$DQ$21,1,BV231),0,IF(BV232=INDEX('Lease Cycles'!$DK$21:$DQ$21,1,BV231),1-INDEX('Lease Cycles'!$DR$21:$DX$21,1,BV231),1))-IF(BV232=0,INDEX('Lease Cycles'!$DD$21:$DJ$21,1,BV231),0))),0)</f>
        <v>0</v>
      </c>
      <c r="BW238" s="28">
        <f>IF(BW233=1,IF(INDEX('Lease Cycles'!$EF$21:$EL$21,1,BW231)=1,0,BW234*(1-IF(BW232&lt;INDEX('Lease Cycles'!$DK$21:$DQ$21,1,BW231),0,IF(BW232=INDEX('Lease Cycles'!$DK$21:$DQ$21,1,BW231),1-INDEX('Lease Cycles'!$DR$21:$DX$21,1,BW231),1))-IF(BW232=0,INDEX('Lease Cycles'!$DD$21:$DJ$21,1,BW231),0))),0)</f>
        <v>0</v>
      </c>
      <c r="BX238" s="28">
        <f>IF(BX233=1,IF(INDEX('Lease Cycles'!$EF$21:$EL$21,1,BX231)=1,0,BX234*(1-IF(BX232&lt;INDEX('Lease Cycles'!$DK$21:$DQ$21,1,BX231),0,IF(BX232=INDEX('Lease Cycles'!$DK$21:$DQ$21,1,BX231),1-INDEX('Lease Cycles'!$DR$21:$DX$21,1,BX231),1))-IF(BX232=0,INDEX('Lease Cycles'!$DD$21:$DJ$21,1,BX231),0))),0)</f>
        <v>0</v>
      </c>
      <c r="BY238" s="28">
        <f>IF(BY233=1,IF(INDEX('Lease Cycles'!$EF$21:$EL$21,1,BY231)=1,0,BY234*(1-IF(BY232&lt;INDEX('Lease Cycles'!$DK$21:$DQ$21,1,BY231),0,IF(BY232=INDEX('Lease Cycles'!$DK$21:$DQ$21,1,BY231),1-INDEX('Lease Cycles'!$DR$21:$DX$21,1,BY231),1))-IF(BY232=0,INDEX('Lease Cycles'!$DD$21:$DJ$21,1,BY231),0))),0)</f>
        <v>0</v>
      </c>
      <c r="BZ238" s="28">
        <f>IF(BZ233=1,IF(INDEX('Lease Cycles'!$EF$21:$EL$21,1,BZ231)=1,0,BZ234*(1-IF(BZ232&lt;INDEX('Lease Cycles'!$DK$21:$DQ$21,1,BZ231),0,IF(BZ232=INDEX('Lease Cycles'!$DK$21:$DQ$21,1,BZ231),1-INDEX('Lease Cycles'!$DR$21:$DX$21,1,BZ231),1))-IF(BZ232=0,INDEX('Lease Cycles'!$DD$21:$DJ$21,1,BZ231),0))),0)</f>
        <v>0</v>
      </c>
      <c r="CA238" s="28">
        <f>IF(CA233=1,IF(INDEX('Lease Cycles'!$EF$21:$EL$21,1,CA231)=1,0,CA234*(1-IF(CA232&lt;INDEX('Lease Cycles'!$DK$21:$DQ$21,1,CA231),0,IF(CA232=INDEX('Lease Cycles'!$DK$21:$DQ$21,1,CA231),1-INDEX('Lease Cycles'!$DR$21:$DX$21,1,CA231),1))-IF(CA232=0,INDEX('Lease Cycles'!$DD$21:$DJ$21,1,CA231),0))),0)</f>
        <v>0</v>
      </c>
      <c r="CB238" s="28">
        <f>IF(CB233=1,IF(INDEX('Lease Cycles'!$EF$21:$EL$21,1,CB231)=1,0,CB234*(1-IF(CB232&lt;INDEX('Lease Cycles'!$DK$21:$DQ$21,1,CB231),0,IF(CB232=INDEX('Lease Cycles'!$DK$21:$DQ$21,1,CB231),1-INDEX('Lease Cycles'!$DR$21:$DX$21,1,CB231),1))-IF(CB232=0,INDEX('Lease Cycles'!$DD$21:$DJ$21,1,CB231),0))),0)</f>
        <v>0</v>
      </c>
      <c r="CC238" s="28">
        <f>IF(CC233=1,IF(INDEX('Lease Cycles'!$EF$21:$EL$21,1,CC231)=1,0,CC234*(1-IF(CC232&lt;INDEX('Lease Cycles'!$DK$21:$DQ$21,1,CC231),0,IF(CC232=INDEX('Lease Cycles'!$DK$21:$DQ$21,1,CC231),1-INDEX('Lease Cycles'!$DR$21:$DX$21,1,CC231),1))-IF(CC232=0,INDEX('Lease Cycles'!$DD$21:$DJ$21,1,CC231),0))),0)</f>
        <v>0</v>
      </c>
      <c r="CD238" s="28">
        <f>IF(CD233=1,IF(INDEX('Lease Cycles'!$EF$21:$EL$21,1,CD231)=1,0,CD234*(1-IF(CD232&lt;INDEX('Lease Cycles'!$DK$21:$DQ$21,1,CD231),0,IF(CD232=INDEX('Lease Cycles'!$DK$21:$DQ$21,1,CD231),1-INDEX('Lease Cycles'!$DR$21:$DX$21,1,CD231),1))-IF(CD232=0,INDEX('Lease Cycles'!$DD$21:$DJ$21,1,CD231),0))),0)</f>
        <v>0</v>
      </c>
      <c r="CE238" s="28">
        <f>IF(CE233=1,IF(INDEX('Lease Cycles'!$EF$21:$EL$21,1,CE231)=1,0,CE234*(1-IF(CE232&lt;INDEX('Lease Cycles'!$DK$21:$DQ$21,1,CE231),0,IF(CE232=INDEX('Lease Cycles'!$DK$21:$DQ$21,1,CE231),1-INDEX('Lease Cycles'!$DR$21:$DX$21,1,CE231),1))-IF(CE232=0,INDEX('Lease Cycles'!$DD$21:$DJ$21,1,CE231),0))),0)</f>
        <v>0</v>
      </c>
      <c r="CF238" s="28">
        <f>IF(CF233=1,IF(INDEX('Lease Cycles'!$EF$21:$EL$21,1,CF231)=1,0,CF234*(1-IF(CF232&lt;INDEX('Lease Cycles'!$DK$21:$DQ$21,1,CF231),0,IF(CF232=INDEX('Lease Cycles'!$DK$21:$DQ$21,1,CF231),1-INDEX('Lease Cycles'!$DR$21:$DX$21,1,CF231),1))-IF(CF232=0,INDEX('Lease Cycles'!$DD$21:$DJ$21,1,CF231),0))),0)</f>
        <v>0</v>
      </c>
      <c r="CG238" s="28">
        <f>IF(CG233=1,IF(INDEX('Lease Cycles'!$EF$21:$EL$21,1,CG231)=1,0,CG234*(1-IF(CG232&lt;INDEX('Lease Cycles'!$DK$21:$DQ$21,1,CG231),0,IF(CG232=INDEX('Lease Cycles'!$DK$21:$DQ$21,1,CG231),1-INDEX('Lease Cycles'!$DR$21:$DX$21,1,CG231),1))-IF(CG232=0,INDEX('Lease Cycles'!$DD$21:$DJ$21,1,CG231),0))),0)</f>
        <v>0</v>
      </c>
      <c r="CH238" s="28">
        <f>IF(CH233=1,IF(INDEX('Lease Cycles'!$EF$21:$EL$21,1,CH231)=1,0,CH234*(1-IF(CH232&lt;INDEX('Lease Cycles'!$DK$21:$DQ$21,1,CH231),0,IF(CH232=INDEX('Lease Cycles'!$DK$21:$DQ$21,1,CH231),1-INDEX('Lease Cycles'!$DR$21:$DX$21,1,CH231),1))-IF(CH232=0,INDEX('Lease Cycles'!$DD$21:$DJ$21,1,CH231),0))),0)</f>
        <v>0</v>
      </c>
      <c r="CI238" s="28">
        <f>IF(CI233=1,IF(INDEX('Lease Cycles'!$EF$21:$EL$21,1,CI231)=1,0,CI234*(1-IF(CI232&lt;INDEX('Lease Cycles'!$DK$21:$DQ$21,1,CI231),0,IF(CI232=INDEX('Lease Cycles'!$DK$21:$DQ$21,1,CI231),1-INDEX('Lease Cycles'!$DR$21:$DX$21,1,CI231),1))-IF(CI232=0,INDEX('Lease Cycles'!$DD$21:$DJ$21,1,CI231),0))),0)</f>
        <v>0</v>
      </c>
      <c r="CJ238" s="28">
        <f>IF(CJ233=1,IF(INDEX('Lease Cycles'!$EF$21:$EL$21,1,CJ231)=1,0,CJ234*(1-IF(CJ232&lt;INDEX('Lease Cycles'!$DK$21:$DQ$21,1,CJ231),0,IF(CJ232=INDEX('Lease Cycles'!$DK$21:$DQ$21,1,CJ231),1-INDEX('Lease Cycles'!$DR$21:$DX$21,1,CJ231),1))-IF(CJ232=0,INDEX('Lease Cycles'!$DD$21:$DJ$21,1,CJ231),0))),0)</f>
        <v>0</v>
      </c>
      <c r="CK238" s="28">
        <f>IF(CK233=1,IF(INDEX('Lease Cycles'!$EF$21:$EL$21,1,CK231)=1,0,CK234*(1-IF(CK232&lt;INDEX('Lease Cycles'!$DK$21:$DQ$21,1,CK231),0,IF(CK232=INDEX('Lease Cycles'!$DK$21:$DQ$21,1,CK231),1-INDEX('Lease Cycles'!$DR$21:$DX$21,1,CK231),1))-IF(CK232=0,INDEX('Lease Cycles'!$DD$21:$DJ$21,1,CK231),0))),0)</f>
        <v>0</v>
      </c>
      <c r="CL238" s="28">
        <f>IF(CL233=1,IF(INDEX('Lease Cycles'!$EF$21:$EL$21,1,CL231)=1,0,CL234*(1-IF(CL232&lt;INDEX('Lease Cycles'!$DK$21:$DQ$21,1,CL231),0,IF(CL232=INDEX('Lease Cycles'!$DK$21:$DQ$21,1,CL231),1-INDEX('Lease Cycles'!$DR$21:$DX$21,1,CL231),1))-IF(CL232=0,INDEX('Lease Cycles'!$DD$21:$DJ$21,1,CL231),0))),0)</f>
        <v>0</v>
      </c>
      <c r="CM238" s="28">
        <f>IF(CM233=1,IF(INDEX('Lease Cycles'!$EF$21:$EL$21,1,CM231)=1,0,CM234*(1-IF(CM232&lt;INDEX('Lease Cycles'!$DK$21:$DQ$21,1,CM231),0,IF(CM232=INDEX('Lease Cycles'!$DK$21:$DQ$21,1,CM231),1-INDEX('Lease Cycles'!$DR$21:$DX$21,1,CM231),1))-IF(CM232=0,INDEX('Lease Cycles'!$DD$21:$DJ$21,1,CM231),0))),0)</f>
        <v>0</v>
      </c>
      <c r="CN238" s="28">
        <f>IF(CN233=1,IF(INDEX('Lease Cycles'!$EF$21:$EL$21,1,CN231)=1,0,CN234*(1-IF(CN232&lt;INDEX('Lease Cycles'!$DK$21:$DQ$21,1,CN231),0,IF(CN232=INDEX('Lease Cycles'!$DK$21:$DQ$21,1,CN231),1-INDEX('Lease Cycles'!$DR$21:$DX$21,1,CN231),1))-IF(CN232=0,INDEX('Lease Cycles'!$DD$21:$DJ$21,1,CN231),0))),0)</f>
        <v>0</v>
      </c>
      <c r="CO238" s="28">
        <f>IF(CO233=1,IF(INDEX('Lease Cycles'!$EF$21:$EL$21,1,CO231)=1,0,CO234*(1-IF(CO232&lt;INDEX('Lease Cycles'!$DK$21:$DQ$21,1,CO231),0,IF(CO232=INDEX('Lease Cycles'!$DK$21:$DQ$21,1,CO231),1-INDEX('Lease Cycles'!$DR$21:$DX$21,1,CO231),1))-IF(CO232=0,INDEX('Lease Cycles'!$DD$21:$DJ$21,1,CO231),0))),0)</f>
        <v>0</v>
      </c>
      <c r="CP238" s="28">
        <f>IF(CP233=1,IF(INDEX('Lease Cycles'!$EF$21:$EL$21,1,CP231)=1,0,CP234*(1-IF(CP232&lt;INDEX('Lease Cycles'!$DK$21:$DQ$21,1,CP231),0,IF(CP232=INDEX('Lease Cycles'!$DK$21:$DQ$21,1,CP231),1-INDEX('Lease Cycles'!$DR$21:$DX$21,1,CP231),1))-IF(CP232=0,INDEX('Lease Cycles'!$DD$21:$DJ$21,1,CP231),0))),0)</f>
        <v>0</v>
      </c>
      <c r="CQ238" s="28">
        <f>IF(CQ233=1,IF(INDEX('Lease Cycles'!$EF$21:$EL$21,1,CQ231)=1,0,CQ234*(1-IF(CQ232&lt;INDEX('Lease Cycles'!$DK$21:$DQ$21,1,CQ231),0,IF(CQ232=INDEX('Lease Cycles'!$DK$21:$DQ$21,1,CQ231),1-INDEX('Lease Cycles'!$DR$21:$DX$21,1,CQ231),1))-IF(CQ232=0,INDEX('Lease Cycles'!$DD$21:$DJ$21,1,CQ231),0))),0)</f>
        <v>0</v>
      </c>
      <c r="CR238" s="28">
        <f>IF(CR233=1,IF(INDEX('Lease Cycles'!$EF$21:$EL$21,1,CR231)=1,0,CR234*(1-IF(CR232&lt;INDEX('Lease Cycles'!$DK$21:$DQ$21,1,CR231),0,IF(CR232=INDEX('Lease Cycles'!$DK$21:$DQ$21,1,CR231),1-INDEX('Lease Cycles'!$DR$21:$DX$21,1,CR231),1))-IF(CR232=0,INDEX('Lease Cycles'!$DD$21:$DJ$21,1,CR231),0))),0)</f>
        <v>0</v>
      </c>
      <c r="CS238" s="28">
        <f>IF(CS233=1,IF(INDEX('Lease Cycles'!$EF$21:$EL$21,1,CS231)=1,0,CS234*(1-IF(CS232&lt;INDEX('Lease Cycles'!$DK$21:$DQ$21,1,CS231),0,IF(CS232=INDEX('Lease Cycles'!$DK$21:$DQ$21,1,CS231),1-INDEX('Lease Cycles'!$DR$21:$DX$21,1,CS231),1))-IF(CS232=0,INDEX('Lease Cycles'!$DD$21:$DJ$21,1,CS231),0))),0)</f>
        <v>0</v>
      </c>
      <c r="CT238" s="28">
        <f>IF(CT233=1,IF(INDEX('Lease Cycles'!$EF$21:$EL$21,1,CT231)=1,0,CT234*(1-IF(CT232&lt;INDEX('Lease Cycles'!$DK$21:$DQ$21,1,CT231),0,IF(CT232=INDEX('Lease Cycles'!$DK$21:$DQ$21,1,CT231),1-INDEX('Lease Cycles'!$DR$21:$DX$21,1,CT231),1))-IF(CT232=0,INDEX('Lease Cycles'!$DD$21:$DJ$21,1,CT231),0))),0)</f>
        <v>0</v>
      </c>
      <c r="CU238" s="28">
        <f>IF(CU233=1,IF(INDEX('Lease Cycles'!$EF$21:$EL$21,1,CU231)=1,0,CU234*(1-IF(CU232&lt;INDEX('Lease Cycles'!$DK$21:$DQ$21,1,CU231),0,IF(CU232=INDEX('Lease Cycles'!$DK$21:$DQ$21,1,CU231),1-INDEX('Lease Cycles'!$DR$21:$DX$21,1,CU231),1))-IF(CU232=0,INDEX('Lease Cycles'!$DD$21:$DJ$21,1,CU231),0))),0)</f>
        <v>0</v>
      </c>
      <c r="CV238" s="28">
        <f>IF(CV233=1,IF(INDEX('Lease Cycles'!$EF$21:$EL$21,1,CV231)=1,0,CV234*(1-IF(CV232&lt;INDEX('Lease Cycles'!$DK$21:$DQ$21,1,CV231),0,IF(CV232=INDEX('Lease Cycles'!$DK$21:$DQ$21,1,CV231),1-INDEX('Lease Cycles'!$DR$21:$DX$21,1,CV231),1))-IF(CV232=0,INDEX('Lease Cycles'!$DD$21:$DJ$21,1,CV231),0))),0)</f>
        <v>0</v>
      </c>
      <c r="CW238" s="28">
        <f>IF(CW233=1,IF(INDEX('Lease Cycles'!$EF$21:$EL$21,1,CW231)=1,0,CW234*(1-IF(CW232&lt;INDEX('Lease Cycles'!$DK$21:$DQ$21,1,CW231),0,IF(CW232=INDEX('Lease Cycles'!$DK$21:$DQ$21,1,CW231),1-INDEX('Lease Cycles'!$DR$21:$DX$21,1,CW231),1))-IF(CW232=0,INDEX('Lease Cycles'!$DD$21:$DJ$21,1,CW231),0))),0)</f>
        <v>0</v>
      </c>
      <c r="CX238" s="28">
        <f>IF(CX233=1,IF(INDEX('Lease Cycles'!$EF$21:$EL$21,1,CX231)=1,0,CX234*(1-IF(CX232&lt;INDEX('Lease Cycles'!$DK$21:$DQ$21,1,CX231),0,IF(CX232=INDEX('Lease Cycles'!$DK$21:$DQ$21,1,CX231),1-INDEX('Lease Cycles'!$DR$21:$DX$21,1,CX231),1))-IF(CX232=0,INDEX('Lease Cycles'!$DD$21:$DJ$21,1,CX231),0))),0)</f>
        <v>0</v>
      </c>
      <c r="CY238" s="28">
        <f>IF(CY233=1,IF(INDEX('Lease Cycles'!$EF$21:$EL$21,1,CY231)=1,0,CY234*(1-IF(CY232&lt;INDEX('Lease Cycles'!$DK$21:$DQ$21,1,CY231),0,IF(CY232=INDEX('Lease Cycles'!$DK$21:$DQ$21,1,CY231),1-INDEX('Lease Cycles'!$DR$21:$DX$21,1,CY231),1))-IF(CY232=0,INDEX('Lease Cycles'!$DD$21:$DJ$21,1,CY231),0))),0)</f>
        <v>0</v>
      </c>
      <c r="CZ238" s="28">
        <f>IF(CZ233=1,IF(INDEX('Lease Cycles'!$EF$21:$EL$21,1,CZ231)=1,0,CZ234*(1-IF(CZ232&lt;INDEX('Lease Cycles'!$DK$21:$DQ$21,1,CZ231),0,IF(CZ232=INDEX('Lease Cycles'!$DK$21:$DQ$21,1,CZ231),1-INDEX('Lease Cycles'!$DR$21:$DX$21,1,CZ231),1))-IF(CZ232=0,INDEX('Lease Cycles'!$DD$21:$DJ$21,1,CZ231),0))),0)</f>
        <v>0</v>
      </c>
      <c r="DA238" s="28">
        <f>IF(DA233=1,IF(INDEX('Lease Cycles'!$EF$21:$EL$21,1,DA231)=1,0,DA234*(1-IF(DA232&lt;INDEX('Lease Cycles'!$DK$21:$DQ$21,1,DA231),0,IF(DA232=INDEX('Lease Cycles'!$DK$21:$DQ$21,1,DA231),1-INDEX('Lease Cycles'!$DR$21:$DX$21,1,DA231),1))-IF(DA232=0,INDEX('Lease Cycles'!$DD$21:$DJ$21,1,DA231),0))),0)</f>
        <v>0</v>
      </c>
      <c r="DB238" s="28">
        <f>IF(DB233=1,IF(INDEX('Lease Cycles'!$EF$21:$EL$21,1,DB231)=1,0,DB234*(1-IF(DB232&lt;INDEX('Lease Cycles'!$DK$21:$DQ$21,1,DB231),0,IF(DB232=INDEX('Lease Cycles'!$DK$21:$DQ$21,1,DB231),1-INDEX('Lease Cycles'!$DR$21:$DX$21,1,DB231),1))-IF(DB232=0,INDEX('Lease Cycles'!$DD$21:$DJ$21,1,DB231),0))),0)</f>
        <v>0</v>
      </c>
      <c r="DC238" s="28">
        <f>IF(DC233=1,IF(INDEX('Lease Cycles'!$EF$21:$EL$21,1,DC231)=1,0,DC234*(1-IF(DC232&lt;INDEX('Lease Cycles'!$DK$21:$DQ$21,1,DC231),0,IF(DC232=INDEX('Lease Cycles'!$DK$21:$DQ$21,1,DC231),1-INDEX('Lease Cycles'!$DR$21:$DX$21,1,DC231),1))-IF(DC232=0,INDEX('Lease Cycles'!$DD$21:$DJ$21,1,DC231),0))),0)</f>
        <v>0</v>
      </c>
      <c r="DD238" s="28">
        <f>IF(DD233=1,IF(INDEX('Lease Cycles'!$EF$21:$EL$21,1,DD231)=1,0,DD234*(1-IF(DD232&lt;INDEX('Lease Cycles'!$DK$21:$DQ$21,1,DD231),0,IF(DD232=INDEX('Lease Cycles'!$DK$21:$DQ$21,1,DD231),1-INDEX('Lease Cycles'!$DR$21:$DX$21,1,DD231),1))-IF(DD232=0,INDEX('Lease Cycles'!$DD$21:$DJ$21,1,DD231),0))),0)</f>
        <v>0</v>
      </c>
      <c r="DE238" s="28">
        <f>IF(DE233=1,IF(INDEX('Lease Cycles'!$EF$21:$EL$21,1,DE231)=1,0,DE234*(1-IF(DE232&lt;INDEX('Lease Cycles'!$DK$21:$DQ$21,1,DE231),0,IF(DE232=INDEX('Lease Cycles'!$DK$21:$DQ$21,1,DE231),1-INDEX('Lease Cycles'!$DR$21:$DX$21,1,DE231),1))-IF(DE232=0,INDEX('Lease Cycles'!$DD$21:$DJ$21,1,DE231),0))),0)</f>
        <v>0</v>
      </c>
      <c r="DF238" s="28">
        <f>IF(DF233=1,IF(INDEX('Lease Cycles'!$EF$21:$EL$21,1,DF231)=1,0,DF234*(1-IF(DF232&lt;INDEX('Lease Cycles'!$DK$21:$DQ$21,1,DF231),0,IF(DF232=INDEX('Lease Cycles'!$DK$21:$DQ$21,1,DF231),1-INDEX('Lease Cycles'!$DR$21:$DX$21,1,DF231),1))-IF(DF232=0,INDEX('Lease Cycles'!$DD$21:$DJ$21,1,DF231),0))),0)</f>
        <v>0</v>
      </c>
      <c r="DG238" s="28">
        <f>IF(DG233=1,IF(INDEX('Lease Cycles'!$EF$21:$EL$21,1,DG231)=1,0,DG234*(1-IF(DG232&lt;INDEX('Lease Cycles'!$DK$21:$DQ$21,1,DG231),0,IF(DG232=INDEX('Lease Cycles'!$DK$21:$DQ$21,1,DG231),1-INDEX('Lease Cycles'!$DR$21:$DX$21,1,DG231),1))-IF(DG232=0,INDEX('Lease Cycles'!$DD$21:$DJ$21,1,DG231),0))),0)</f>
        <v>0</v>
      </c>
      <c r="DH238" s="28">
        <f>IF(DH233=1,IF(INDEX('Lease Cycles'!$EF$21:$EL$21,1,DH231)=1,0,DH234*(1-IF(DH232&lt;INDEX('Lease Cycles'!$DK$21:$DQ$21,1,DH231),0,IF(DH232=INDEX('Lease Cycles'!$DK$21:$DQ$21,1,DH231),1-INDEX('Lease Cycles'!$DR$21:$DX$21,1,DH231),1))-IF(DH232=0,INDEX('Lease Cycles'!$DD$21:$DJ$21,1,DH231),0))),0)</f>
        <v>0</v>
      </c>
      <c r="DI238" s="28">
        <f>IF(DI233=1,IF(INDEX('Lease Cycles'!$EF$21:$EL$21,1,DI231)=1,0,DI234*(1-IF(DI232&lt;INDEX('Lease Cycles'!$DK$21:$DQ$21,1,DI231),0,IF(DI232=INDEX('Lease Cycles'!$DK$21:$DQ$21,1,DI231),1-INDEX('Lease Cycles'!$DR$21:$DX$21,1,DI231),1))-IF(DI232=0,INDEX('Lease Cycles'!$DD$21:$DJ$21,1,DI231),0))),0)</f>
        <v>0</v>
      </c>
      <c r="DJ238" s="28">
        <f>IF(DJ233=1,IF(INDEX('Lease Cycles'!$EF$21:$EL$21,1,DJ231)=1,0,DJ234*(1-IF(DJ232&lt;INDEX('Lease Cycles'!$DK$21:$DQ$21,1,DJ231),0,IF(DJ232=INDEX('Lease Cycles'!$DK$21:$DQ$21,1,DJ231),1-INDEX('Lease Cycles'!$DR$21:$DX$21,1,DJ231),1))-IF(DJ232=0,INDEX('Lease Cycles'!$DD$21:$DJ$21,1,DJ231),0))),0)</f>
        <v>0</v>
      </c>
      <c r="DK238" s="28">
        <f>IF(DK233=1,IF(INDEX('Lease Cycles'!$EF$21:$EL$21,1,DK231)=1,0,DK234*(1-IF(DK232&lt;INDEX('Lease Cycles'!$DK$21:$DQ$21,1,DK231),0,IF(DK232=INDEX('Lease Cycles'!$DK$21:$DQ$21,1,DK231),1-INDEX('Lease Cycles'!$DR$21:$DX$21,1,DK231),1))-IF(DK232=0,INDEX('Lease Cycles'!$DD$21:$DJ$21,1,DK231),0))),0)</f>
        <v>0</v>
      </c>
      <c r="DL238" s="28">
        <f>IF(DL233=1,IF(INDEX('Lease Cycles'!$EF$21:$EL$21,1,DL231)=1,0,DL234*(1-IF(DL232&lt;INDEX('Lease Cycles'!$DK$21:$DQ$21,1,DL231),0,IF(DL232=INDEX('Lease Cycles'!$DK$21:$DQ$21,1,DL231),1-INDEX('Lease Cycles'!$DR$21:$DX$21,1,DL231),1))-IF(DL232=0,INDEX('Lease Cycles'!$DD$21:$DJ$21,1,DL231),0))),0)</f>
        <v>0</v>
      </c>
      <c r="DM238" s="28">
        <f>IF(DM233=1,IF(INDEX('Lease Cycles'!$EF$21:$EL$21,1,DM231)=1,0,DM234*(1-IF(DM232&lt;INDEX('Lease Cycles'!$DK$21:$DQ$21,1,DM231),0,IF(DM232=INDEX('Lease Cycles'!$DK$21:$DQ$21,1,DM231),1-INDEX('Lease Cycles'!$DR$21:$DX$21,1,DM231),1))-IF(DM232=0,INDEX('Lease Cycles'!$DD$21:$DJ$21,1,DM231),0))),0)</f>
        <v>0</v>
      </c>
      <c r="DN238" s="28">
        <f>IF(DN233=1,IF(INDEX('Lease Cycles'!$EF$21:$EL$21,1,DN231)=1,0,DN234*(1-IF(DN232&lt;INDEX('Lease Cycles'!$DK$21:$DQ$21,1,DN231),0,IF(DN232=INDEX('Lease Cycles'!$DK$21:$DQ$21,1,DN231),1-INDEX('Lease Cycles'!$DR$21:$DX$21,1,DN231),1))-IF(DN232=0,INDEX('Lease Cycles'!$DD$21:$DJ$21,1,DN231),0))),0)</f>
        <v>0</v>
      </c>
      <c r="DO238" s="28">
        <f>IF(DO233=1,IF(INDEX('Lease Cycles'!$EF$21:$EL$21,1,DO231)=1,0,DO234*(1-IF(DO232&lt;INDEX('Lease Cycles'!$DK$21:$DQ$21,1,DO231),0,IF(DO232=INDEX('Lease Cycles'!$DK$21:$DQ$21,1,DO231),1-INDEX('Lease Cycles'!$DR$21:$DX$21,1,DO231),1))-IF(DO232=0,INDEX('Lease Cycles'!$DD$21:$DJ$21,1,DO231),0))),0)</f>
        <v>0</v>
      </c>
      <c r="DP238" s="28">
        <f>IF(DP233=1,IF(INDEX('Lease Cycles'!$EF$21:$EL$21,1,DP231)=1,0,DP234*(1-IF(DP232&lt;INDEX('Lease Cycles'!$DK$21:$DQ$21,1,DP231),0,IF(DP232=INDEX('Lease Cycles'!$DK$21:$DQ$21,1,DP231),1-INDEX('Lease Cycles'!$DR$21:$DX$21,1,DP231),1))-IF(DP232=0,INDEX('Lease Cycles'!$DD$21:$DJ$21,1,DP231),0))),0)</f>
        <v>0</v>
      </c>
      <c r="DQ238" s="28">
        <f>IF(DQ233=1,IF(INDEX('Lease Cycles'!$EF$21:$EL$21,1,DQ231)=1,0,DQ234*(1-IF(DQ232&lt;INDEX('Lease Cycles'!$DK$21:$DQ$21,1,DQ231),0,IF(DQ232=INDEX('Lease Cycles'!$DK$21:$DQ$21,1,DQ231),1-INDEX('Lease Cycles'!$DR$21:$DX$21,1,DQ231),1))-IF(DQ232=0,INDEX('Lease Cycles'!$DD$21:$DJ$21,1,DQ231),0))),0)</f>
        <v>0</v>
      </c>
      <c r="DR238" s="28">
        <f>IF(DR233=1,IF(INDEX('Lease Cycles'!$EF$21:$EL$21,1,DR231)=1,0,DR234*(1-IF(DR232&lt;INDEX('Lease Cycles'!$DK$21:$DQ$21,1,DR231),0,IF(DR232=INDEX('Lease Cycles'!$DK$21:$DQ$21,1,DR231),1-INDEX('Lease Cycles'!$DR$21:$DX$21,1,DR231),1))-IF(DR232=0,INDEX('Lease Cycles'!$DD$21:$DJ$21,1,DR231),0))),0)</f>
        <v>0</v>
      </c>
      <c r="DS238" s="28">
        <f>IF(DS233=1,IF(INDEX('Lease Cycles'!$EF$21:$EL$21,1,DS231)=1,0,DS234*(1-IF(DS232&lt;INDEX('Lease Cycles'!$DK$21:$DQ$21,1,DS231),0,IF(DS232=INDEX('Lease Cycles'!$DK$21:$DQ$21,1,DS231),1-INDEX('Lease Cycles'!$DR$21:$DX$21,1,DS231),1))-IF(DS232=0,INDEX('Lease Cycles'!$DD$21:$DJ$21,1,DS231),0))),0)</f>
        <v>0</v>
      </c>
      <c r="DT238" s="28">
        <f>IF(DT233=1,IF(INDEX('Lease Cycles'!$EF$21:$EL$21,1,DT231)=1,0,DT234*(1-IF(DT232&lt;INDEX('Lease Cycles'!$DK$21:$DQ$21,1,DT231),0,IF(DT232=INDEX('Lease Cycles'!$DK$21:$DQ$21,1,DT231),1-INDEX('Lease Cycles'!$DR$21:$DX$21,1,DT231),1))-IF(DT232=0,INDEX('Lease Cycles'!$DD$21:$DJ$21,1,DT231),0))),0)</f>
        <v>0</v>
      </c>
      <c r="DU238" s="28">
        <f>IF(DU233=1,IF(INDEX('Lease Cycles'!$EF$21:$EL$21,1,DU231)=1,0,DU234*(1-IF(DU232&lt;INDEX('Lease Cycles'!$DK$21:$DQ$21,1,DU231),0,IF(DU232=INDEX('Lease Cycles'!$DK$21:$DQ$21,1,DU231),1-INDEX('Lease Cycles'!$DR$21:$DX$21,1,DU231),1))-IF(DU232=0,INDEX('Lease Cycles'!$DD$21:$DJ$21,1,DU231),0))),0)</f>
        <v>0</v>
      </c>
      <c r="DV238" s="28">
        <f>IF(DV233=1,IF(INDEX('Lease Cycles'!$EF$21:$EL$21,1,DV231)=1,0,DV234*(1-IF(DV232&lt;INDEX('Lease Cycles'!$DK$21:$DQ$21,1,DV231),0,IF(DV232=INDEX('Lease Cycles'!$DK$21:$DQ$21,1,DV231),1-INDEX('Lease Cycles'!$DR$21:$DX$21,1,DV231),1))-IF(DV232=0,INDEX('Lease Cycles'!$DD$21:$DJ$21,1,DV231),0))),0)</f>
        <v>0</v>
      </c>
      <c r="DW238" s="28">
        <f>IF(DW233=1,IF(INDEX('Lease Cycles'!$EF$21:$EL$21,1,DW231)=1,0,DW234*(1-IF(DW232&lt;INDEX('Lease Cycles'!$DK$21:$DQ$21,1,DW231),0,IF(DW232=INDEX('Lease Cycles'!$DK$21:$DQ$21,1,DW231),1-INDEX('Lease Cycles'!$DR$21:$DX$21,1,DW231),1))-IF(DW232=0,INDEX('Lease Cycles'!$DD$21:$DJ$21,1,DW231),0))),0)</f>
        <v>0</v>
      </c>
      <c r="DX238" s="28">
        <f>IF(DX233=1,IF(INDEX('Lease Cycles'!$EF$21:$EL$21,1,DX231)=1,0,DX234*(1-IF(DX232&lt;INDEX('Lease Cycles'!$DK$21:$DQ$21,1,DX231),0,IF(DX232=INDEX('Lease Cycles'!$DK$21:$DQ$21,1,DX231),1-INDEX('Lease Cycles'!$DR$21:$DX$21,1,DX231),1))-IF(DX232=0,INDEX('Lease Cycles'!$DD$21:$DJ$21,1,DX231),0))),0)</f>
        <v>0</v>
      </c>
      <c r="DY238" s="28">
        <f>IF(DY233=1,IF(INDEX('Lease Cycles'!$EF$21:$EL$21,1,DY231)=1,0,DY234*(1-IF(DY232&lt;INDEX('Lease Cycles'!$DK$21:$DQ$21,1,DY231),0,IF(DY232=INDEX('Lease Cycles'!$DK$21:$DQ$21,1,DY231),1-INDEX('Lease Cycles'!$DR$21:$DX$21,1,DY231),1))-IF(DY232=0,INDEX('Lease Cycles'!$DD$21:$DJ$21,1,DY231),0))),0)</f>
        <v>0</v>
      </c>
      <c r="DZ238" s="28">
        <f>IF(DZ233=1,IF(INDEX('Lease Cycles'!$EF$21:$EL$21,1,DZ231)=1,0,DZ234*(1-IF(DZ232&lt;INDEX('Lease Cycles'!$DK$21:$DQ$21,1,DZ231),0,IF(DZ232=INDEX('Lease Cycles'!$DK$21:$DQ$21,1,DZ231),1-INDEX('Lease Cycles'!$DR$21:$DX$21,1,DZ231),1))-IF(DZ232=0,INDEX('Lease Cycles'!$DD$21:$DJ$21,1,DZ231),0))),0)</f>
        <v>0</v>
      </c>
      <c r="EA238" s="28">
        <f>IF(EA233=1,IF(INDEX('Lease Cycles'!$EF$21:$EL$21,1,EA231)=1,0,EA234*(1-IF(EA232&lt;INDEX('Lease Cycles'!$DK$21:$DQ$21,1,EA231),0,IF(EA232=INDEX('Lease Cycles'!$DK$21:$DQ$21,1,EA231),1-INDEX('Lease Cycles'!$DR$21:$DX$21,1,EA231),1))-IF(EA232=0,INDEX('Lease Cycles'!$DD$21:$DJ$21,1,EA231),0))),0)</f>
        <v>0</v>
      </c>
      <c r="EB238" s="28">
        <f>IF(EB233=1,IF(INDEX('Lease Cycles'!$EF$21:$EL$21,1,EB231)=1,0,EB234*(1-IF(EB232&lt;INDEX('Lease Cycles'!$DK$21:$DQ$21,1,EB231),0,IF(EB232=INDEX('Lease Cycles'!$DK$21:$DQ$21,1,EB231),1-INDEX('Lease Cycles'!$DR$21:$DX$21,1,EB231),1))-IF(EB232=0,INDEX('Lease Cycles'!$DD$21:$DJ$21,1,EB231),0))),0)</f>
        <v>0</v>
      </c>
      <c r="EC238" s="28">
        <f>IF(EC233=1,IF(INDEX('Lease Cycles'!$EF$21:$EL$21,1,EC231)=1,0,EC234*(1-IF(EC232&lt;INDEX('Lease Cycles'!$DK$21:$DQ$21,1,EC231),0,IF(EC232=INDEX('Lease Cycles'!$DK$21:$DQ$21,1,EC231),1-INDEX('Lease Cycles'!$DR$21:$DX$21,1,EC231),1))-IF(EC232=0,INDEX('Lease Cycles'!$DD$21:$DJ$21,1,EC231),0))),0)</f>
        <v>0</v>
      </c>
      <c r="ED238" s="28">
        <f>IF(ED233=1,IF(INDEX('Lease Cycles'!$EF$21:$EL$21,1,ED231)=1,0,ED234*(1-IF(ED232&lt;INDEX('Lease Cycles'!$DK$21:$DQ$21,1,ED231),0,IF(ED232=INDEX('Lease Cycles'!$DK$21:$DQ$21,1,ED231),1-INDEX('Lease Cycles'!$DR$21:$DX$21,1,ED231),1))-IF(ED232=0,INDEX('Lease Cycles'!$DD$21:$DJ$21,1,ED231),0))),0)</f>
        <v>0</v>
      </c>
      <c r="EE238" s="28">
        <f>IF(EE233=1,IF(INDEX('Lease Cycles'!$EF$21:$EL$21,1,EE231)=1,0,EE234*(1-IF(EE232&lt;INDEX('Lease Cycles'!$DK$21:$DQ$21,1,EE231),0,IF(EE232=INDEX('Lease Cycles'!$DK$21:$DQ$21,1,EE231),1-INDEX('Lease Cycles'!$DR$21:$DX$21,1,EE231),1))-IF(EE232=0,INDEX('Lease Cycles'!$DD$21:$DJ$21,1,EE231),0))),0)</f>
        <v>0</v>
      </c>
      <c r="EF238" s="28">
        <f>IF(EF233=1,IF(INDEX('Lease Cycles'!$EF$21:$EL$21,1,EF231)=1,0,EF234*(1-IF(EF232&lt;INDEX('Lease Cycles'!$DK$21:$DQ$21,1,EF231),0,IF(EF232=INDEX('Lease Cycles'!$DK$21:$DQ$21,1,EF231),1-INDEX('Lease Cycles'!$DR$21:$DX$21,1,EF231),1))-IF(EF232=0,INDEX('Lease Cycles'!$DD$21:$DJ$21,1,EF231),0))),0)</f>
        <v>0</v>
      </c>
      <c r="EG238" s="28">
        <f>IF(EG233=1,IF(INDEX('Lease Cycles'!$EF$21:$EL$21,1,EG231)=1,0,EG234*(1-IF(EG232&lt;INDEX('Lease Cycles'!$DK$21:$DQ$21,1,EG231),0,IF(EG232=INDEX('Lease Cycles'!$DK$21:$DQ$21,1,EG231),1-INDEX('Lease Cycles'!$DR$21:$DX$21,1,EG231),1))-IF(EG232=0,INDEX('Lease Cycles'!$DD$21:$DJ$21,1,EG231),0))),0)</f>
        <v>0</v>
      </c>
      <c r="EH238" s="28">
        <f>IF(EH233=1,IF(INDEX('Lease Cycles'!$EF$21:$EL$21,1,EH231)=1,0,EH234*(1-IF(EH232&lt;INDEX('Lease Cycles'!$DK$21:$DQ$21,1,EH231),0,IF(EH232=INDEX('Lease Cycles'!$DK$21:$DQ$21,1,EH231),1-INDEX('Lease Cycles'!$DR$21:$DX$21,1,EH231),1))-IF(EH232=0,INDEX('Lease Cycles'!$DD$21:$DJ$21,1,EH231),0))),0)</f>
        <v>0</v>
      </c>
      <c r="EI238" s="28">
        <f>IF(EI233=1,IF(INDEX('Lease Cycles'!$EF$21:$EL$21,1,EI231)=1,0,EI234*(1-IF(EI232&lt;INDEX('Lease Cycles'!$DK$21:$DQ$21,1,EI231),0,IF(EI232=INDEX('Lease Cycles'!$DK$21:$DQ$21,1,EI231),1-INDEX('Lease Cycles'!$DR$21:$DX$21,1,EI231),1))-IF(EI232=0,INDEX('Lease Cycles'!$DD$21:$DJ$21,1,EI231),0))),0)</f>
        <v>0</v>
      </c>
      <c r="EJ238" s="28">
        <f>IF(EJ233=1,IF(INDEX('Lease Cycles'!$EF$21:$EL$21,1,EJ231)=1,0,EJ234*(1-IF(EJ232&lt;INDEX('Lease Cycles'!$DK$21:$DQ$21,1,EJ231),0,IF(EJ232=INDEX('Lease Cycles'!$DK$21:$DQ$21,1,EJ231),1-INDEX('Lease Cycles'!$DR$21:$DX$21,1,EJ231),1))-IF(EJ232=0,INDEX('Lease Cycles'!$DD$21:$DJ$21,1,EJ231),0))),0)</f>
        <v>0</v>
      </c>
      <c r="EK238" s="28">
        <f>IF(EK233=1,IF(INDEX('Lease Cycles'!$EF$21:$EL$21,1,EK231)=1,0,EK234*(1-IF(EK232&lt;INDEX('Lease Cycles'!$DK$21:$DQ$21,1,EK231),0,IF(EK232=INDEX('Lease Cycles'!$DK$21:$DQ$21,1,EK231),1-INDEX('Lease Cycles'!$DR$21:$DX$21,1,EK231),1))-IF(EK232=0,INDEX('Lease Cycles'!$DD$21:$DJ$21,1,EK231),0))),0)</f>
        <v>0</v>
      </c>
      <c r="EL238" s="28">
        <f>IF(EL233=1,IF(INDEX('Lease Cycles'!$EF$21:$EL$21,1,EL231)=1,0,EL234*(1-IF(EL232&lt;INDEX('Lease Cycles'!$DK$21:$DQ$21,1,EL231),0,IF(EL232=INDEX('Lease Cycles'!$DK$21:$DQ$21,1,EL231),1-INDEX('Lease Cycles'!$DR$21:$DX$21,1,EL231),1))-IF(EL232=0,INDEX('Lease Cycles'!$DD$21:$DJ$21,1,EL231),0))),0)</f>
        <v>0</v>
      </c>
      <c r="EM238" s="28">
        <f>IF(EM233=1,IF(INDEX('Lease Cycles'!$EF$21:$EL$21,1,EM231)=1,0,EM234*(1-IF(EM232&lt;INDEX('Lease Cycles'!$DK$21:$DQ$21,1,EM231),0,IF(EM232=INDEX('Lease Cycles'!$DK$21:$DQ$21,1,EM231),1-INDEX('Lease Cycles'!$DR$21:$DX$21,1,EM231),1))-IF(EM232=0,INDEX('Lease Cycles'!$DD$21:$DJ$21,1,EM231),0))),0)</f>
        <v>0</v>
      </c>
      <c r="EN238" s="28">
        <f>IF(EN233=1,IF(INDEX('Lease Cycles'!$EF$21:$EL$21,1,EN231)=1,0,EN234*(1-IF(EN232&lt;INDEX('Lease Cycles'!$DK$21:$DQ$21,1,EN231),0,IF(EN232=INDEX('Lease Cycles'!$DK$21:$DQ$21,1,EN231),1-INDEX('Lease Cycles'!$DR$21:$DX$21,1,EN231),1))-IF(EN232=0,INDEX('Lease Cycles'!$DD$21:$DJ$21,1,EN231),0))),0)</f>
        <v>0</v>
      </c>
      <c r="EO238" s="28">
        <f>IF(EO233=1,IF(INDEX('Lease Cycles'!$EF$21:$EL$21,1,EO231)=1,0,EO234*(1-IF(EO232&lt;INDEX('Lease Cycles'!$DK$21:$DQ$21,1,EO231),0,IF(EO232=INDEX('Lease Cycles'!$DK$21:$DQ$21,1,EO231),1-INDEX('Lease Cycles'!$DR$21:$DX$21,1,EO231),1))-IF(EO232=0,INDEX('Lease Cycles'!$DD$21:$DJ$21,1,EO231),0))),0)</f>
        <v>0</v>
      </c>
      <c r="EP238" s="28">
        <f>IF(EP233=1,IF(INDEX('Lease Cycles'!$EF$21:$EL$21,1,EP231)=1,0,EP234*(1-IF(EP232&lt;INDEX('Lease Cycles'!$DK$21:$DQ$21,1,EP231),0,IF(EP232=INDEX('Lease Cycles'!$DK$21:$DQ$21,1,EP231),1-INDEX('Lease Cycles'!$DR$21:$DX$21,1,EP231),1))-IF(EP232=0,INDEX('Lease Cycles'!$DD$21:$DJ$21,1,EP231),0))),0)</f>
        <v>0</v>
      </c>
      <c r="EQ238" s="28">
        <f>IF(EQ233=1,IF(INDEX('Lease Cycles'!$EF$21:$EL$21,1,EQ231)=1,0,EQ234*(1-IF(EQ232&lt;INDEX('Lease Cycles'!$DK$21:$DQ$21,1,EQ231),0,IF(EQ232=INDEX('Lease Cycles'!$DK$21:$DQ$21,1,EQ231),1-INDEX('Lease Cycles'!$DR$21:$DX$21,1,EQ231),1))-IF(EQ232=0,INDEX('Lease Cycles'!$DD$21:$DJ$21,1,EQ231),0))),0)</f>
        <v>0</v>
      </c>
      <c r="ER238" s="28">
        <f>IF(ER233=1,IF(INDEX('Lease Cycles'!$EF$21:$EL$21,1,ER231)=1,0,ER234*(1-IF(ER232&lt;INDEX('Lease Cycles'!$DK$21:$DQ$21,1,ER231),0,IF(ER232=INDEX('Lease Cycles'!$DK$21:$DQ$21,1,ER231),1-INDEX('Lease Cycles'!$DR$21:$DX$21,1,ER231),1))-IF(ER232=0,INDEX('Lease Cycles'!$DD$21:$DJ$21,1,ER231),0))),0)</f>
        <v>0</v>
      </c>
      <c r="ES238" s="28">
        <f>IF(ES233=1,IF(INDEX('Lease Cycles'!$EF$21:$EL$21,1,ES231)=1,0,ES234*(1-IF(ES232&lt;INDEX('Lease Cycles'!$DK$21:$DQ$21,1,ES231),0,IF(ES232=INDEX('Lease Cycles'!$DK$21:$DQ$21,1,ES231),1-INDEX('Lease Cycles'!$DR$21:$DX$21,1,ES231),1))-IF(ES232=0,INDEX('Lease Cycles'!$DD$21:$DJ$21,1,ES231),0))),0)</f>
        <v>0</v>
      </c>
      <c r="ET238" s="28">
        <f>IF(ET233=1,IF(INDEX('Lease Cycles'!$EF$21:$EL$21,1,ET231)=1,0,ET234*(1-IF(ET232&lt;INDEX('Lease Cycles'!$DK$21:$DQ$21,1,ET231),0,IF(ET232=INDEX('Lease Cycles'!$DK$21:$DQ$21,1,ET231),1-INDEX('Lease Cycles'!$DR$21:$DX$21,1,ET231),1))-IF(ET232=0,INDEX('Lease Cycles'!$DD$21:$DJ$21,1,ET231),0))),0)</f>
        <v>0</v>
      </c>
    </row>
    <row r="239">
      <c r="A239" s="103">
        <v>14</v>
      </c>
      <c r="B239" s="23" t="str">
        <f>IF('Lease Cycles'!$B$21="","(empty slot)",'Lease Cycles'!$B$21)</f>
        <v>(empty slot)</v>
      </c>
      <c r="C239" s="23" t="s">
        <v>683</v>
      </c>
      <c r="D239" s="104" t="s">
        <v>684</v>
      </c>
      <c r="E239" s="25">
        <f>'Lease Cycles'!$AL$21</f>
        <v>0</v>
      </c>
      <c r="G239" s="24">
        <f>SUM(S239:AD239)</f>
        <v>0</v>
      </c>
      <c r="H239" s="24">
        <f>SUM(AE239:AP239)</f>
        <v>0</v>
      </c>
      <c r="I239" s="24">
        <f>SUM(AQ239:BB239)</f>
        <v>0</v>
      </c>
      <c r="J239" s="24">
        <f>SUM(BC239:BN239)</f>
        <v>0</v>
      </c>
      <c r="K239" s="24">
        <f>SUM(BO239:BZ239)</f>
        <v>0</v>
      </c>
      <c r="L239" s="24">
        <f>SUM(CA239:CL239)</f>
        <v>0</v>
      </c>
      <c r="M239" s="24">
        <f>SUM(CM239:CX239)</f>
        <v>0</v>
      </c>
      <c r="N239" s="24">
        <f>SUM(CY239:DJ239)</f>
        <v>0</v>
      </c>
      <c r="O239" s="24">
        <f>SUM(DK239:DV239)</f>
        <v>0</v>
      </c>
      <c r="P239" s="24">
        <f>SUM(DW239:EH239)</f>
        <v>0</v>
      </c>
      <c r="Q239" s="24">
        <f>SUM(EI239:ET239)</f>
        <v>0</v>
      </c>
      <c r="S239" s="24">
        <f>IF(S233=1,'Lease Cycles'!$D$21*IF(INDEX('Lease Cycles'!$EF$21:$EL$21,1,S231)=1,(1-'Lease Cycles'!$AJ$21)*INDEX('Lease Cycles'!$EM$21:$ES$21,1,S231)+(1-'Lease Cycles'!$BE$21)*IF(S232&lt;INDEX('Lease Cycles'!$FA$21:$FG$21,1,S231),0,1-INDEX('Lease Cycles'!$EM$21:$ES$21,1,S231)),IF(OR(INDEX('Lease Cycles'!$DY$21:$EE$21,1,S231)=1,S232&gt;0),1,1-INDEX('Lease Cycles'!$DD$21:$DJ$21,1,S231))*((1-'Lease Cycles'!$AJ$21)*INDEX('Lease Cycles'!$FO$21:$FU$21,1,S231)+(1-'Lease Cycles'!$BE$21)*(1-INDEX('Lease Cycles'!$FO$21:$FU$21,1,S231)))),0)</f>
        <v>0</v>
      </c>
      <c r="T239" s="24">
        <f>IF(T233=1,'Lease Cycles'!$D$21*IF(INDEX('Lease Cycles'!$EF$21:$EL$21,1,T231)=1,(1-'Lease Cycles'!$AJ$21)*INDEX('Lease Cycles'!$EM$21:$ES$21,1,T231)+(1-'Lease Cycles'!$BE$21)*IF(T232&lt;INDEX('Lease Cycles'!$FA$21:$FG$21,1,T231),0,1-INDEX('Lease Cycles'!$EM$21:$ES$21,1,T231)),IF(OR(INDEX('Lease Cycles'!$DY$21:$EE$21,1,T231)=1,T232&gt;0),1,1-INDEX('Lease Cycles'!$DD$21:$DJ$21,1,T231))*((1-'Lease Cycles'!$AJ$21)*INDEX('Lease Cycles'!$FO$21:$FU$21,1,T231)+(1-'Lease Cycles'!$BE$21)*(1-INDEX('Lease Cycles'!$FO$21:$FU$21,1,T231)))),0)</f>
        <v>0</v>
      </c>
      <c r="U239" s="24">
        <f>IF(U233=1,'Lease Cycles'!$D$21*IF(INDEX('Lease Cycles'!$EF$21:$EL$21,1,U231)=1,(1-'Lease Cycles'!$AJ$21)*INDEX('Lease Cycles'!$EM$21:$ES$21,1,U231)+(1-'Lease Cycles'!$BE$21)*IF(U232&lt;INDEX('Lease Cycles'!$FA$21:$FG$21,1,U231),0,1-INDEX('Lease Cycles'!$EM$21:$ES$21,1,U231)),IF(OR(INDEX('Lease Cycles'!$DY$21:$EE$21,1,U231)=1,U232&gt;0),1,1-INDEX('Lease Cycles'!$DD$21:$DJ$21,1,U231))*((1-'Lease Cycles'!$AJ$21)*INDEX('Lease Cycles'!$FO$21:$FU$21,1,U231)+(1-'Lease Cycles'!$BE$21)*(1-INDEX('Lease Cycles'!$FO$21:$FU$21,1,U231)))),0)</f>
        <v>0</v>
      </c>
      <c r="V239" s="24">
        <f>IF(V233=1,'Lease Cycles'!$D$21*IF(INDEX('Lease Cycles'!$EF$21:$EL$21,1,V231)=1,(1-'Lease Cycles'!$AJ$21)*INDEX('Lease Cycles'!$EM$21:$ES$21,1,V231)+(1-'Lease Cycles'!$BE$21)*IF(V232&lt;INDEX('Lease Cycles'!$FA$21:$FG$21,1,V231),0,1-INDEX('Lease Cycles'!$EM$21:$ES$21,1,V231)),IF(OR(INDEX('Lease Cycles'!$DY$21:$EE$21,1,V231)=1,V232&gt;0),1,1-INDEX('Lease Cycles'!$DD$21:$DJ$21,1,V231))*((1-'Lease Cycles'!$AJ$21)*INDEX('Lease Cycles'!$FO$21:$FU$21,1,V231)+(1-'Lease Cycles'!$BE$21)*(1-INDEX('Lease Cycles'!$FO$21:$FU$21,1,V231)))),0)</f>
        <v>0</v>
      </c>
      <c r="W239" s="24">
        <f>IF(W233=1,'Lease Cycles'!$D$21*IF(INDEX('Lease Cycles'!$EF$21:$EL$21,1,W231)=1,(1-'Lease Cycles'!$AJ$21)*INDEX('Lease Cycles'!$EM$21:$ES$21,1,W231)+(1-'Lease Cycles'!$BE$21)*IF(W232&lt;INDEX('Lease Cycles'!$FA$21:$FG$21,1,W231),0,1-INDEX('Lease Cycles'!$EM$21:$ES$21,1,W231)),IF(OR(INDEX('Lease Cycles'!$DY$21:$EE$21,1,W231)=1,W232&gt;0),1,1-INDEX('Lease Cycles'!$DD$21:$DJ$21,1,W231))*((1-'Lease Cycles'!$AJ$21)*INDEX('Lease Cycles'!$FO$21:$FU$21,1,W231)+(1-'Lease Cycles'!$BE$21)*(1-INDEX('Lease Cycles'!$FO$21:$FU$21,1,W231)))),0)</f>
        <v>0</v>
      </c>
      <c r="X239" s="24">
        <f>IF(X233=1,'Lease Cycles'!$D$21*IF(INDEX('Lease Cycles'!$EF$21:$EL$21,1,X231)=1,(1-'Lease Cycles'!$AJ$21)*INDEX('Lease Cycles'!$EM$21:$ES$21,1,X231)+(1-'Lease Cycles'!$BE$21)*IF(X232&lt;INDEX('Lease Cycles'!$FA$21:$FG$21,1,X231),0,1-INDEX('Lease Cycles'!$EM$21:$ES$21,1,X231)),IF(OR(INDEX('Lease Cycles'!$DY$21:$EE$21,1,X231)=1,X232&gt;0),1,1-INDEX('Lease Cycles'!$DD$21:$DJ$21,1,X231))*((1-'Lease Cycles'!$AJ$21)*INDEX('Lease Cycles'!$FO$21:$FU$21,1,X231)+(1-'Lease Cycles'!$BE$21)*(1-INDEX('Lease Cycles'!$FO$21:$FU$21,1,X231)))),0)</f>
        <v>0</v>
      </c>
      <c r="Y239" s="24">
        <f>IF(Y233=1,'Lease Cycles'!$D$21*IF(INDEX('Lease Cycles'!$EF$21:$EL$21,1,Y231)=1,(1-'Lease Cycles'!$AJ$21)*INDEX('Lease Cycles'!$EM$21:$ES$21,1,Y231)+(1-'Lease Cycles'!$BE$21)*IF(Y232&lt;INDEX('Lease Cycles'!$FA$21:$FG$21,1,Y231),0,1-INDEX('Lease Cycles'!$EM$21:$ES$21,1,Y231)),IF(OR(INDEX('Lease Cycles'!$DY$21:$EE$21,1,Y231)=1,Y232&gt;0),1,1-INDEX('Lease Cycles'!$DD$21:$DJ$21,1,Y231))*((1-'Lease Cycles'!$AJ$21)*INDEX('Lease Cycles'!$FO$21:$FU$21,1,Y231)+(1-'Lease Cycles'!$BE$21)*(1-INDEX('Lease Cycles'!$FO$21:$FU$21,1,Y231)))),0)</f>
        <v>0</v>
      </c>
      <c r="Z239" s="24">
        <f>IF(Z233=1,'Lease Cycles'!$D$21*IF(INDEX('Lease Cycles'!$EF$21:$EL$21,1,Z231)=1,(1-'Lease Cycles'!$AJ$21)*INDEX('Lease Cycles'!$EM$21:$ES$21,1,Z231)+(1-'Lease Cycles'!$BE$21)*IF(Z232&lt;INDEX('Lease Cycles'!$FA$21:$FG$21,1,Z231),0,1-INDEX('Lease Cycles'!$EM$21:$ES$21,1,Z231)),IF(OR(INDEX('Lease Cycles'!$DY$21:$EE$21,1,Z231)=1,Z232&gt;0),1,1-INDEX('Lease Cycles'!$DD$21:$DJ$21,1,Z231))*((1-'Lease Cycles'!$AJ$21)*INDEX('Lease Cycles'!$FO$21:$FU$21,1,Z231)+(1-'Lease Cycles'!$BE$21)*(1-INDEX('Lease Cycles'!$FO$21:$FU$21,1,Z231)))),0)</f>
        <v>0</v>
      </c>
      <c r="AA239" s="24">
        <f>IF(AA233=1,'Lease Cycles'!$D$21*IF(INDEX('Lease Cycles'!$EF$21:$EL$21,1,AA231)=1,(1-'Lease Cycles'!$AJ$21)*INDEX('Lease Cycles'!$EM$21:$ES$21,1,AA231)+(1-'Lease Cycles'!$BE$21)*IF(AA232&lt;INDEX('Lease Cycles'!$FA$21:$FG$21,1,AA231),0,1-INDEX('Lease Cycles'!$EM$21:$ES$21,1,AA231)),IF(OR(INDEX('Lease Cycles'!$DY$21:$EE$21,1,AA231)=1,AA232&gt;0),1,1-INDEX('Lease Cycles'!$DD$21:$DJ$21,1,AA231))*((1-'Lease Cycles'!$AJ$21)*INDEX('Lease Cycles'!$FO$21:$FU$21,1,AA231)+(1-'Lease Cycles'!$BE$21)*(1-INDEX('Lease Cycles'!$FO$21:$FU$21,1,AA231)))),0)</f>
        <v>0</v>
      </c>
      <c r="AB239" s="24">
        <f>IF(AB233=1,'Lease Cycles'!$D$21*IF(INDEX('Lease Cycles'!$EF$21:$EL$21,1,AB231)=1,(1-'Lease Cycles'!$AJ$21)*INDEX('Lease Cycles'!$EM$21:$ES$21,1,AB231)+(1-'Lease Cycles'!$BE$21)*IF(AB232&lt;INDEX('Lease Cycles'!$FA$21:$FG$21,1,AB231),0,1-INDEX('Lease Cycles'!$EM$21:$ES$21,1,AB231)),IF(OR(INDEX('Lease Cycles'!$DY$21:$EE$21,1,AB231)=1,AB232&gt;0),1,1-INDEX('Lease Cycles'!$DD$21:$DJ$21,1,AB231))*((1-'Lease Cycles'!$AJ$21)*INDEX('Lease Cycles'!$FO$21:$FU$21,1,AB231)+(1-'Lease Cycles'!$BE$21)*(1-INDEX('Lease Cycles'!$FO$21:$FU$21,1,AB231)))),0)</f>
        <v>0</v>
      </c>
      <c r="AC239" s="24">
        <f>IF(AC233=1,'Lease Cycles'!$D$21*IF(INDEX('Lease Cycles'!$EF$21:$EL$21,1,AC231)=1,(1-'Lease Cycles'!$AJ$21)*INDEX('Lease Cycles'!$EM$21:$ES$21,1,AC231)+(1-'Lease Cycles'!$BE$21)*IF(AC232&lt;INDEX('Lease Cycles'!$FA$21:$FG$21,1,AC231),0,1-INDEX('Lease Cycles'!$EM$21:$ES$21,1,AC231)),IF(OR(INDEX('Lease Cycles'!$DY$21:$EE$21,1,AC231)=1,AC232&gt;0),1,1-INDEX('Lease Cycles'!$DD$21:$DJ$21,1,AC231))*((1-'Lease Cycles'!$AJ$21)*INDEX('Lease Cycles'!$FO$21:$FU$21,1,AC231)+(1-'Lease Cycles'!$BE$21)*(1-INDEX('Lease Cycles'!$FO$21:$FU$21,1,AC231)))),0)</f>
        <v>0</v>
      </c>
      <c r="AD239" s="24">
        <f>IF(AD233=1,'Lease Cycles'!$D$21*IF(INDEX('Lease Cycles'!$EF$21:$EL$21,1,AD231)=1,(1-'Lease Cycles'!$AJ$21)*INDEX('Lease Cycles'!$EM$21:$ES$21,1,AD231)+(1-'Lease Cycles'!$BE$21)*IF(AD232&lt;INDEX('Lease Cycles'!$FA$21:$FG$21,1,AD231),0,1-INDEX('Lease Cycles'!$EM$21:$ES$21,1,AD231)),IF(OR(INDEX('Lease Cycles'!$DY$21:$EE$21,1,AD231)=1,AD232&gt;0),1,1-INDEX('Lease Cycles'!$DD$21:$DJ$21,1,AD231))*((1-'Lease Cycles'!$AJ$21)*INDEX('Lease Cycles'!$FO$21:$FU$21,1,AD231)+(1-'Lease Cycles'!$BE$21)*(1-INDEX('Lease Cycles'!$FO$21:$FU$21,1,AD231)))),0)</f>
        <v>0</v>
      </c>
      <c r="AE239" s="24">
        <f>IF(AE233=1,'Lease Cycles'!$D$21*IF(INDEX('Lease Cycles'!$EF$21:$EL$21,1,AE231)=1,(1-'Lease Cycles'!$AJ$21)*INDEX('Lease Cycles'!$EM$21:$ES$21,1,AE231)+(1-'Lease Cycles'!$BE$21)*IF(AE232&lt;INDEX('Lease Cycles'!$FA$21:$FG$21,1,AE231),0,1-INDEX('Lease Cycles'!$EM$21:$ES$21,1,AE231)),IF(OR(INDEX('Lease Cycles'!$DY$21:$EE$21,1,AE231)=1,AE232&gt;0),1,1-INDEX('Lease Cycles'!$DD$21:$DJ$21,1,AE231))*((1-'Lease Cycles'!$AJ$21)*INDEX('Lease Cycles'!$FO$21:$FU$21,1,AE231)+(1-'Lease Cycles'!$BE$21)*(1-INDEX('Lease Cycles'!$FO$21:$FU$21,1,AE231)))),0)</f>
        <v>0</v>
      </c>
      <c r="AF239" s="24">
        <f>IF(AF233=1,'Lease Cycles'!$D$21*IF(INDEX('Lease Cycles'!$EF$21:$EL$21,1,AF231)=1,(1-'Lease Cycles'!$AJ$21)*INDEX('Lease Cycles'!$EM$21:$ES$21,1,AF231)+(1-'Lease Cycles'!$BE$21)*IF(AF232&lt;INDEX('Lease Cycles'!$FA$21:$FG$21,1,AF231),0,1-INDEX('Lease Cycles'!$EM$21:$ES$21,1,AF231)),IF(OR(INDEX('Lease Cycles'!$DY$21:$EE$21,1,AF231)=1,AF232&gt;0),1,1-INDEX('Lease Cycles'!$DD$21:$DJ$21,1,AF231))*((1-'Lease Cycles'!$AJ$21)*INDEX('Lease Cycles'!$FO$21:$FU$21,1,AF231)+(1-'Lease Cycles'!$BE$21)*(1-INDEX('Lease Cycles'!$FO$21:$FU$21,1,AF231)))),0)</f>
        <v>0</v>
      </c>
      <c r="AG239" s="24">
        <f>IF(AG233=1,'Lease Cycles'!$D$21*IF(INDEX('Lease Cycles'!$EF$21:$EL$21,1,AG231)=1,(1-'Lease Cycles'!$AJ$21)*INDEX('Lease Cycles'!$EM$21:$ES$21,1,AG231)+(1-'Lease Cycles'!$BE$21)*IF(AG232&lt;INDEX('Lease Cycles'!$FA$21:$FG$21,1,AG231),0,1-INDEX('Lease Cycles'!$EM$21:$ES$21,1,AG231)),IF(OR(INDEX('Lease Cycles'!$DY$21:$EE$21,1,AG231)=1,AG232&gt;0),1,1-INDEX('Lease Cycles'!$DD$21:$DJ$21,1,AG231))*((1-'Lease Cycles'!$AJ$21)*INDEX('Lease Cycles'!$FO$21:$FU$21,1,AG231)+(1-'Lease Cycles'!$BE$21)*(1-INDEX('Lease Cycles'!$FO$21:$FU$21,1,AG231)))),0)</f>
        <v>0</v>
      </c>
      <c r="AH239" s="24">
        <f>IF(AH233=1,'Lease Cycles'!$D$21*IF(INDEX('Lease Cycles'!$EF$21:$EL$21,1,AH231)=1,(1-'Lease Cycles'!$AJ$21)*INDEX('Lease Cycles'!$EM$21:$ES$21,1,AH231)+(1-'Lease Cycles'!$BE$21)*IF(AH232&lt;INDEX('Lease Cycles'!$FA$21:$FG$21,1,AH231),0,1-INDEX('Lease Cycles'!$EM$21:$ES$21,1,AH231)),IF(OR(INDEX('Lease Cycles'!$DY$21:$EE$21,1,AH231)=1,AH232&gt;0),1,1-INDEX('Lease Cycles'!$DD$21:$DJ$21,1,AH231))*((1-'Lease Cycles'!$AJ$21)*INDEX('Lease Cycles'!$FO$21:$FU$21,1,AH231)+(1-'Lease Cycles'!$BE$21)*(1-INDEX('Lease Cycles'!$FO$21:$FU$21,1,AH231)))),0)</f>
        <v>0</v>
      </c>
      <c r="AI239" s="24">
        <f>IF(AI233=1,'Lease Cycles'!$D$21*IF(INDEX('Lease Cycles'!$EF$21:$EL$21,1,AI231)=1,(1-'Lease Cycles'!$AJ$21)*INDEX('Lease Cycles'!$EM$21:$ES$21,1,AI231)+(1-'Lease Cycles'!$BE$21)*IF(AI232&lt;INDEX('Lease Cycles'!$FA$21:$FG$21,1,AI231),0,1-INDEX('Lease Cycles'!$EM$21:$ES$21,1,AI231)),IF(OR(INDEX('Lease Cycles'!$DY$21:$EE$21,1,AI231)=1,AI232&gt;0),1,1-INDEX('Lease Cycles'!$DD$21:$DJ$21,1,AI231))*((1-'Lease Cycles'!$AJ$21)*INDEX('Lease Cycles'!$FO$21:$FU$21,1,AI231)+(1-'Lease Cycles'!$BE$21)*(1-INDEX('Lease Cycles'!$FO$21:$FU$21,1,AI231)))),0)</f>
        <v>0</v>
      </c>
      <c r="AJ239" s="24">
        <f>IF(AJ233=1,'Lease Cycles'!$D$21*IF(INDEX('Lease Cycles'!$EF$21:$EL$21,1,AJ231)=1,(1-'Lease Cycles'!$AJ$21)*INDEX('Lease Cycles'!$EM$21:$ES$21,1,AJ231)+(1-'Lease Cycles'!$BE$21)*IF(AJ232&lt;INDEX('Lease Cycles'!$FA$21:$FG$21,1,AJ231),0,1-INDEX('Lease Cycles'!$EM$21:$ES$21,1,AJ231)),IF(OR(INDEX('Lease Cycles'!$DY$21:$EE$21,1,AJ231)=1,AJ232&gt;0),1,1-INDEX('Lease Cycles'!$DD$21:$DJ$21,1,AJ231))*((1-'Lease Cycles'!$AJ$21)*INDEX('Lease Cycles'!$FO$21:$FU$21,1,AJ231)+(1-'Lease Cycles'!$BE$21)*(1-INDEX('Lease Cycles'!$FO$21:$FU$21,1,AJ231)))),0)</f>
        <v>0</v>
      </c>
      <c r="AK239" s="24">
        <f>IF(AK233=1,'Lease Cycles'!$D$21*IF(INDEX('Lease Cycles'!$EF$21:$EL$21,1,AK231)=1,(1-'Lease Cycles'!$AJ$21)*INDEX('Lease Cycles'!$EM$21:$ES$21,1,AK231)+(1-'Lease Cycles'!$BE$21)*IF(AK232&lt;INDEX('Lease Cycles'!$FA$21:$FG$21,1,AK231),0,1-INDEX('Lease Cycles'!$EM$21:$ES$21,1,AK231)),IF(OR(INDEX('Lease Cycles'!$DY$21:$EE$21,1,AK231)=1,AK232&gt;0),1,1-INDEX('Lease Cycles'!$DD$21:$DJ$21,1,AK231))*((1-'Lease Cycles'!$AJ$21)*INDEX('Lease Cycles'!$FO$21:$FU$21,1,AK231)+(1-'Lease Cycles'!$BE$21)*(1-INDEX('Lease Cycles'!$FO$21:$FU$21,1,AK231)))),0)</f>
        <v>0</v>
      </c>
      <c r="AL239" s="24">
        <f>IF(AL233=1,'Lease Cycles'!$D$21*IF(INDEX('Lease Cycles'!$EF$21:$EL$21,1,AL231)=1,(1-'Lease Cycles'!$AJ$21)*INDEX('Lease Cycles'!$EM$21:$ES$21,1,AL231)+(1-'Lease Cycles'!$BE$21)*IF(AL232&lt;INDEX('Lease Cycles'!$FA$21:$FG$21,1,AL231),0,1-INDEX('Lease Cycles'!$EM$21:$ES$21,1,AL231)),IF(OR(INDEX('Lease Cycles'!$DY$21:$EE$21,1,AL231)=1,AL232&gt;0),1,1-INDEX('Lease Cycles'!$DD$21:$DJ$21,1,AL231))*((1-'Lease Cycles'!$AJ$21)*INDEX('Lease Cycles'!$FO$21:$FU$21,1,AL231)+(1-'Lease Cycles'!$BE$21)*(1-INDEX('Lease Cycles'!$FO$21:$FU$21,1,AL231)))),0)</f>
        <v>0</v>
      </c>
      <c r="AM239" s="24">
        <f>IF(AM233=1,'Lease Cycles'!$D$21*IF(INDEX('Lease Cycles'!$EF$21:$EL$21,1,AM231)=1,(1-'Lease Cycles'!$AJ$21)*INDEX('Lease Cycles'!$EM$21:$ES$21,1,AM231)+(1-'Lease Cycles'!$BE$21)*IF(AM232&lt;INDEX('Lease Cycles'!$FA$21:$FG$21,1,AM231),0,1-INDEX('Lease Cycles'!$EM$21:$ES$21,1,AM231)),IF(OR(INDEX('Lease Cycles'!$DY$21:$EE$21,1,AM231)=1,AM232&gt;0),1,1-INDEX('Lease Cycles'!$DD$21:$DJ$21,1,AM231))*((1-'Lease Cycles'!$AJ$21)*INDEX('Lease Cycles'!$FO$21:$FU$21,1,AM231)+(1-'Lease Cycles'!$BE$21)*(1-INDEX('Lease Cycles'!$FO$21:$FU$21,1,AM231)))),0)</f>
        <v>0</v>
      </c>
      <c r="AN239" s="24">
        <f>IF(AN233=1,'Lease Cycles'!$D$21*IF(INDEX('Lease Cycles'!$EF$21:$EL$21,1,AN231)=1,(1-'Lease Cycles'!$AJ$21)*INDEX('Lease Cycles'!$EM$21:$ES$21,1,AN231)+(1-'Lease Cycles'!$BE$21)*IF(AN232&lt;INDEX('Lease Cycles'!$FA$21:$FG$21,1,AN231),0,1-INDEX('Lease Cycles'!$EM$21:$ES$21,1,AN231)),IF(OR(INDEX('Lease Cycles'!$DY$21:$EE$21,1,AN231)=1,AN232&gt;0),1,1-INDEX('Lease Cycles'!$DD$21:$DJ$21,1,AN231))*((1-'Lease Cycles'!$AJ$21)*INDEX('Lease Cycles'!$FO$21:$FU$21,1,AN231)+(1-'Lease Cycles'!$BE$21)*(1-INDEX('Lease Cycles'!$FO$21:$FU$21,1,AN231)))),0)</f>
        <v>0</v>
      </c>
      <c r="AO239" s="24">
        <f>IF(AO233=1,'Lease Cycles'!$D$21*IF(INDEX('Lease Cycles'!$EF$21:$EL$21,1,AO231)=1,(1-'Lease Cycles'!$AJ$21)*INDEX('Lease Cycles'!$EM$21:$ES$21,1,AO231)+(1-'Lease Cycles'!$BE$21)*IF(AO232&lt;INDEX('Lease Cycles'!$FA$21:$FG$21,1,AO231),0,1-INDEX('Lease Cycles'!$EM$21:$ES$21,1,AO231)),IF(OR(INDEX('Lease Cycles'!$DY$21:$EE$21,1,AO231)=1,AO232&gt;0),1,1-INDEX('Lease Cycles'!$DD$21:$DJ$21,1,AO231))*((1-'Lease Cycles'!$AJ$21)*INDEX('Lease Cycles'!$FO$21:$FU$21,1,AO231)+(1-'Lease Cycles'!$BE$21)*(1-INDEX('Lease Cycles'!$FO$21:$FU$21,1,AO231)))),0)</f>
        <v>0</v>
      </c>
      <c r="AP239" s="24">
        <f>IF(AP233=1,'Lease Cycles'!$D$21*IF(INDEX('Lease Cycles'!$EF$21:$EL$21,1,AP231)=1,(1-'Lease Cycles'!$AJ$21)*INDEX('Lease Cycles'!$EM$21:$ES$21,1,AP231)+(1-'Lease Cycles'!$BE$21)*IF(AP232&lt;INDEX('Lease Cycles'!$FA$21:$FG$21,1,AP231),0,1-INDEX('Lease Cycles'!$EM$21:$ES$21,1,AP231)),IF(OR(INDEX('Lease Cycles'!$DY$21:$EE$21,1,AP231)=1,AP232&gt;0),1,1-INDEX('Lease Cycles'!$DD$21:$DJ$21,1,AP231))*((1-'Lease Cycles'!$AJ$21)*INDEX('Lease Cycles'!$FO$21:$FU$21,1,AP231)+(1-'Lease Cycles'!$BE$21)*(1-INDEX('Lease Cycles'!$FO$21:$FU$21,1,AP231)))),0)</f>
        <v>0</v>
      </c>
      <c r="AQ239" s="24">
        <f>IF(AQ233=1,'Lease Cycles'!$D$21*IF(INDEX('Lease Cycles'!$EF$21:$EL$21,1,AQ231)=1,(1-'Lease Cycles'!$AJ$21)*INDEX('Lease Cycles'!$EM$21:$ES$21,1,AQ231)+(1-'Lease Cycles'!$BE$21)*IF(AQ232&lt;INDEX('Lease Cycles'!$FA$21:$FG$21,1,AQ231),0,1-INDEX('Lease Cycles'!$EM$21:$ES$21,1,AQ231)),IF(OR(INDEX('Lease Cycles'!$DY$21:$EE$21,1,AQ231)=1,AQ232&gt;0),1,1-INDEX('Lease Cycles'!$DD$21:$DJ$21,1,AQ231))*((1-'Lease Cycles'!$AJ$21)*INDEX('Lease Cycles'!$FO$21:$FU$21,1,AQ231)+(1-'Lease Cycles'!$BE$21)*(1-INDEX('Lease Cycles'!$FO$21:$FU$21,1,AQ231)))),0)</f>
        <v>0</v>
      </c>
      <c r="AR239" s="24">
        <f>IF(AR233=1,'Lease Cycles'!$D$21*IF(INDEX('Lease Cycles'!$EF$21:$EL$21,1,AR231)=1,(1-'Lease Cycles'!$AJ$21)*INDEX('Lease Cycles'!$EM$21:$ES$21,1,AR231)+(1-'Lease Cycles'!$BE$21)*IF(AR232&lt;INDEX('Lease Cycles'!$FA$21:$FG$21,1,AR231),0,1-INDEX('Lease Cycles'!$EM$21:$ES$21,1,AR231)),IF(OR(INDEX('Lease Cycles'!$DY$21:$EE$21,1,AR231)=1,AR232&gt;0),1,1-INDEX('Lease Cycles'!$DD$21:$DJ$21,1,AR231))*((1-'Lease Cycles'!$AJ$21)*INDEX('Lease Cycles'!$FO$21:$FU$21,1,AR231)+(1-'Lease Cycles'!$BE$21)*(1-INDEX('Lease Cycles'!$FO$21:$FU$21,1,AR231)))),0)</f>
        <v>0</v>
      </c>
      <c r="AS239" s="24">
        <f>IF(AS233=1,'Lease Cycles'!$D$21*IF(INDEX('Lease Cycles'!$EF$21:$EL$21,1,AS231)=1,(1-'Lease Cycles'!$AJ$21)*INDEX('Lease Cycles'!$EM$21:$ES$21,1,AS231)+(1-'Lease Cycles'!$BE$21)*IF(AS232&lt;INDEX('Lease Cycles'!$FA$21:$FG$21,1,AS231),0,1-INDEX('Lease Cycles'!$EM$21:$ES$21,1,AS231)),IF(OR(INDEX('Lease Cycles'!$DY$21:$EE$21,1,AS231)=1,AS232&gt;0),1,1-INDEX('Lease Cycles'!$DD$21:$DJ$21,1,AS231))*((1-'Lease Cycles'!$AJ$21)*INDEX('Lease Cycles'!$FO$21:$FU$21,1,AS231)+(1-'Lease Cycles'!$BE$21)*(1-INDEX('Lease Cycles'!$FO$21:$FU$21,1,AS231)))),0)</f>
        <v>0</v>
      </c>
      <c r="AT239" s="24">
        <f>IF(AT233=1,'Lease Cycles'!$D$21*IF(INDEX('Lease Cycles'!$EF$21:$EL$21,1,AT231)=1,(1-'Lease Cycles'!$AJ$21)*INDEX('Lease Cycles'!$EM$21:$ES$21,1,AT231)+(1-'Lease Cycles'!$BE$21)*IF(AT232&lt;INDEX('Lease Cycles'!$FA$21:$FG$21,1,AT231),0,1-INDEX('Lease Cycles'!$EM$21:$ES$21,1,AT231)),IF(OR(INDEX('Lease Cycles'!$DY$21:$EE$21,1,AT231)=1,AT232&gt;0),1,1-INDEX('Lease Cycles'!$DD$21:$DJ$21,1,AT231))*((1-'Lease Cycles'!$AJ$21)*INDEX('Lease Cycles'!$FO$21:$FU$21,1,AT231)+(1-'Lease Cycles'!$BE$21)*(1-INDEX('Lease Cycles'!$FO$21:$FU$21,1,AT231)))),0)</f>
        <v>0</v>
      </c>
      <c r="AU239" s="24">
        <f>IF(AU233=1,'Lease Cycles'!$D$21*IF(INDEX('Lease Cycles'!$EF$21:$EL$21,1,AU231)=1,(1-'Lease Cycles'!$AJ$21)*INDEX('Lease Cycles'!$EM$21:$ES$21,1,AU231)+(1-'Lease Cycles'!$BE$21)*IF(AU232&lt;INDEX('Lease Cycles'!$FA$21:$FG$21,1,AU231),0,1-INDEX('Lease Cycles'!$EM$21:$ES$21,1,AU231)),IF(OR(INDEX('Lease Cycles'!$DY$21:$EE$21,1,AU231)=1,AU232&gt;0),1,1-INDEX('Lease Cycles'!$DD$21:$DJ$21,1,AU231))*((1-'Lease Cycles'!$AJ$21)*INDEX('Lease Cycles'!$FO$21:$FU$21,1,AU231)+(1-'Lease Cycles'!$BE$21)*(1-INDEX('Lease Cycles'!$FO$21:$FU$21,1,AU231)))),0)</f>
        <v>0</v>
      </c>
      <c r="AV239" s="24">
        <f>IF(AV233=1,'Lease Cycles'!$D$21*IF(INDEX('Lease Cycles'!$EF$21:$EL$21,1,AV231)=1,(1-'Lease Cycles'!$AJ$21)*INDEX('Lease Cycles'!$EM$21:$ES$21,1,AV231)+(1-'Lease Cycles'!$BE$21)*IF(AV232&lt;INDEX('Lease Cycles'!$FA$21:$FG$21,1,AV231),0,1-INDEX('Lease Cycles'!$EM$21:$ES$21,1,AV231)),IF(OR(INDEX('Lease Cycles'!$DY$21:$EE$21,1,AV231)=1,AV232&gt;0),1,1-INDEX('Lease Cycles'!$DD$21:$DJ$21,1,AV231))*((1-'Lease Cycles'!$AJ$21)*INDEX('Lease Cycles'!$FO$21:$FU$21,1,AV231)+(1-'Lease Cycles'!$BE$21)*(1-INDEX('Lease Cycles'!$FO$21:$FU$21,1,AV231)))),0)</f>
        <v>0</v>
      </c>
      <c r="AW239" s="24">
        <f>IF(AW233=1,'Lease Cycles'!$D$21*IF(INDEX('Lease Cycles'!$EF$21:$EL$21,1,AW231)=1,(1-'Lease Cycles'!$AJ$21)*INDEX('Lease Cycles'!$EM$21:$ES$21,1,AW231)+(1-'Lease Cycles'!$BE$21)*IF(AW232&lt;INDEX('Lease Cycles'!$FA$21:$FG$21,1,AW231),0,1-INDEX('Lease Cycles'!$EM$21:$ES$21,1,AW231)),IF(OR(INDEX('Lease Cycles'!$DY$21:$EE$21,1,AW231)=1,AW232&gt;0),1,1-INDEX('Lease Cycles'!$DD$21:$DJ$21,1,AW231))*((1-'Lease Cycles'!$AJ$21)*INDEX('Lease Cycles'!$FO$21:$FU$21,1,AW231)+(1-'Lease Cycles'!$BE$21)*(1-INDEX('Lease Cycles'!$FO$21:$FU$21,1,AW231)))),0)</f>
        <v>0</v>
      </c>
      <c r="AX239" s="24">
        <f>IF(AX233=1,'Lease Cycles'!$D$21*IF(INDEX('Lease Cycles'!$EF$21:$EL$21,1,AX231)=1,(1-'Lease Cycles'!$AJ$21)*INDEX('Lease Cycles'!$EM$21:$ES$21,1,AX231)+(1-'Lease Cycles'!$BE$21)*IF(AX232&lt;INDEX('Lease Cycles'!$FA$21:$FG$21,1,AX231),0,1-INDEX('Lease Cycles'!$EM$21:$ES$21,1,AX231)),IF(OR(INDEX('Lease Cycles'!$DY$21:$EE$21,1,AX231)=1,AX232&gt;0),1,1-INDEX('Lease Cycles'!$DD$21:$DJ$21,1,AX231))*((1-'Lease Cycles'!$AJ$21)*INDEX('Lease Cycles'!$FO$21:$FU$21,1,AX231)+(1-'Lease Cycles'!$BE$21)*(1-INDEX('Lease Cycles'!$FO$21:$FU$21,1,AX231)))),0)</f>
        <v>0</v>
      </c>
      <c r="AY239" s="24">
        <f>IF(AY233=1,'Lease Cycles'!$D$21*IF(INDEX('Lease Cycles'!$EF$21:$EL$21,1,AY231)=1,(1-'Lease Cycles'!$AJ$21)*INDEX('Lease Cycles'!$EM$21:$ES$21,1,AY231)+(1-'Lease Cycles'!$BE$21)*IF(AY232&lt;INDEX('Lease Cycles'!$FA$21:$FG$21,1,AY231),0,1-INDEX('Lease Cycles'!$EM$21:$ES$21,1,AY231)),IF(OR(INDEX('Lease Cycles'!$DY$21:$EE$21,1,AY231)=1,AY232&gt;0),1,1-INDEX('Lease Cycles'!$DD$21:$DJ$21,1,AY231))*((1-'Lease Cycles'!$AJ$21)*INDEX('Lease Cycles'!$FO$21:$FU$21,1,AY231)+(1-'Lease Cycles'!$BE$21)*(1-INDEX('Lease Cycles'!$FO$21:$FU$21,1,AY231)))),0)</f>
        <v>0</v>
      </c>
      <c r="AZ239" s="24">
        <f>IF(AZ233=1,'Lease Cycles'!$D$21*IF(INDEX('Lease Cycles'!$EF$21:$EL$21,1,AZ231)=1,(1-'Lease Cycles'!$AJ$21)*INDEX('Lease Cycles'!$EM$21:$ES$21,1,AZ231)+(1-'Lease Cycles'!$BE$21)*IF(AZ232&lt;INDEX('Lease Cycles'!$FA$21:$FG$21,1,AZ231),0,1-INDEX('Lease Cycles'!$EM$21:$ES$21,1,AZ231)),IF(OR(INDEX('Lease Cycles'!$DY$21:$EE$21,1,AZ231)=1,AZ232&gt;0),1,1-INDEX('Lease Cycles'!$DD$21:$DJ$21,1,AZ231))*((1-'Lease Cycles'!$AJ$21)*INDEX('Lease Cycles'!$FO$21:$FU$21,1,AZ231)+(1-'Lease Cycles'!$BE$21)*(1-INDEX('Lease Cycles'!$FO$21:$FU$21,1,AZ231)))),0)</f>
        <v>0</v>
      </c>
      <c r="BA239" s="24">
        <f>IF(BA233=1,'Lease Cycles'!$D$21*IF(INDEX('Lease Cycles'!$EF$21:$EL$21,1,BA231)=1,(1-'Lease Cycles'!$AJ$21)*INDEX('Lease Cycles'!$EM$21:$ES$21,1,BA231)+(1-'Lease Cycles'!$BE$21)*IF(BA232&lt;INDEX('Lease Cycles'!$FA$21:$FG$21,1,BA231),0,1-INDEX('Lease Cycles'!$EM$21:$ES$21,1,BA231)),IF(OR(INDEX('Lease Cycles'!$DY$21:$EE$21,1,BA231)=1,BA232&gt;0),1,1-INDEX('Lease Cycles'!$DD$21:$DJ$21,1,BA231))*((1-'Lease Cycles'!$AJ$21)*INDEX('Lease Cycles'!$FO$21:$FU$21,1,BA231)+(1-'Lease Cycles'!$BE$21)*(1-INDEX('Lease Cycles'!$FO$21:$FU$21,1,BA231)))),0)</f>
        <v>0</v>
      </c>
      <c r="BB239" s="24">
        <f>IF(BB233=1,'Lease Cycles'!$D$21*IF(INDEX('Lease Cycles'!$EF$21:$EL$21,1,BB231)=1,(1-'Lease Cycles'!$AJ$21)*INDEX('Lease Cycles'!$EM$21:$ES$21,1,BB231)+(1-'Lease Cycles'!$BE$21)*IF(BB232&lt;INDEX('Lease Cycles'!$FA$21:$FG$21,1,BB231),0,1-INDEX('Lease Cycles'!$EM$21:$ES$21,1,BB231)),IF(OR(INDEX('Lease Cycles'!$DY$21:$EE$21,1,BB231)=1,BB232&gt;0),1,1-INDEX('Lease Cycles'!$DD$21:$DJ$21,1,BB231))*((1-'Lease Cycles'!$AJ$21)*INDEX('Lease Cycles'!$FO$21:$FU$21,1,BB231)+(1-'Lease Cycles'!$BE$21)*(1-INDEX('Lease Cycles'!$FO$21:$FU$21,1,BB231)))),0)</f>
        <v>0</v>
      </c>
      <c r="BC239" s="24">
        <f>IF(BC233=1,'Lease Cycles'!$D$21*IF(INDEX('Lease Cycles'!$EF$21:$EL$21,1,BC231)=1,(1-'Lease Cycles'!$AJ$21)*INDEX('Lease Cycles'!$EM$21:$ES$21,1,BC231)+(1-'Lease Cycles'!$BE$21)*IF(BC232&lt;INDEX('Lease Cycles'!$FA$21:$FG$21,1,BC231),0,1-INDEX('Lease Cycles'!$EM$21:$ES$21,1,BC231)),IF(OR(INDEX('Lease Cycles'!$DY$21:$EE$21,1,BC231)=1,BC232&gt;0),1,1-INDEX('Lease Cycles'!$DD$21:$DJ$21,1,BC231))*((1-'Lease Cycles'!$AJ$21)*INDEX('Lease Cycles'!$FO$21:$FU$21,1,BC231)+(1-'Lease Cycles'!$BE$21)*(1-INDEX('Lease Cycles'!$FO$21:$FU$21,1,BC231)))),0)</f>
        <v>0</v>
      </c>
      <c r="BD239" s="24">
        <f>IF(BD233=1,'Lease Cycles'!$D$21*IF(INDEX('Lease Cycles'!$EF$21:$EL$21,1,BD231)=1,(1-'Lease Cycles'!$AJ$21)*INDEX('Lease Cycles'!$EM$21:$ES$21,1,BD231)+(1-'Lease Cycles'!$BE$21)*IF(BD232&lt;INDEX('Lease Cycles'!$FA$21:$FG$21,1,BD231),0,1-INDEX('Lease Cycles'!$EM$21:$ES$21,1,BD231)),IF(OR(INDEX('Lease Cycles'!$DY$21:$EE$21,1,BD231)=1,BD232&gt;0),1,1-INDEX('Lease Cycles'!$DD$21:$DJ$21,1,BD231))*((1-'Lease Cycles'!$AJ$21)*INDEX('Lease Cycles'!$FO$21:$FU$21,1,BD231)+(1-'Lease Cycles'!$BE$21)*(1-INDEX('Lease Cycles'!$FO$21:$FU$21,1,BD231)))),0)</f>
        <v>0</v>
      </c>
      <c r="BE239" s="24">
        <f>IF(BE233=1,'Lease Cycles'!$D$21*IF(INDEX('Lease Cycles'!$EF$21:$EL$21,1,BE231)=1,(1-'Lease Cycles'!$AJ$21)*INDEX('Lease Cycles'!$EM$21:$ES$21,1,BE231)+(1-'Lease Cycles'!$BE$21)*IF(BE232&lt;INDEX('Lease Cycles'!$FA$21:$FG$21,1,BE231),0,1-INDEX('Lease Cycles'!$EM$21:$ES$21,1,BE231)),IF(OR(INDEX('Lease Cycles'!$DY$21:$EE$21,1,BE231)=1,BE232&gt;0),1,1-INDEX('Lease Cycles'!$DD$21:$DJ$21,1,BE231))*((1-'Lease Cycles'!$AJ$21)*INDEX('Lease Cycles'!$FO$21:$FU$21,1,BE231)+(1-'Lease Cycles'!$BE$21)*(1-INDEX('Lease Cycles'!$FO$21:$FU$21,1,BE231)))),0)</f>
        <v>0</v>
      </c>
      <c r="BF239" s="24">
        <f>IF(BF233=1,'Lease Cycles'!$D$21*IF(INDEX('Lease Cycles'!$EF$21:$EL$21,1,BF231)=1,(1-'Lease Cycles'!$AJ$21)*INDEX('Lease Cycles'!$EM$21:$ES$21,1,BF231)+(1-'Lease Cycles'!$BE$21)*IF(BF232&lt;INDEX('Lease Cycles'!$FA$21:$FG$21,1,BF231),0,1-INDEX('Lease Cycles'!$EM$21:$ES$21,1,BF231)),IF(OR(INDEX('Lease Cycles'!$DY$21:$EE$21,1,BF231)=1,BF232&gt;0),1,1-INDEX('Lease Cycles'!$DD$21:$DJ$21,1,BF231))*((1-'Lease Cycles'!$AJ$21)*INDEX('Lease Cycles'!$FO$21:$FU$21,1,BF231)+(1-'Lease Cycles'!$BE$21)*(1-INDEX('Lease Cycles'!$FO$21:$FU$21,1,BF231)))),0)</f>
        <v>0</v>
      </c>
      <c r="BG239" s="24">
        <f>IF(BG233=1,'Lease Cycles'!$D$21*IF(INDEX('Lease Cycles'!$EF$21:$EL$21,1,BG231)=1,(1-'Lease Cycles'!$AJ$21)*INDEX('Lease Cycles'!$EM$21:$ES$21,1,BG231)+(1-'Lease Cycles'!$BE$21)*IF(BG232&lt;INDEX('Lease Cycles'!$FA$21:$FG$21,1,BG231),0,1-INDEX('Lease Cycles'!$EM$21:$ES$21,1,BG231)),IF(OR(INDEX('Lease Cycles'!$DY$21:$EE$21,1,BG231)=1,BG232&gt;0),1,1-INDEX('Lease Cycles'!$DD$21:$DJ$21,1,BG231))*((1-'Lease Cycles'!$AJ$21)*INDEX('Lease Cycles'!$FO$21:$FU$21,1,BG231)+(1-'Lease Cycles'!$BE$21)*(1-INDEX('Lease Cycles'!$FO$21:$FU$21,1,BG231)))),0)</f>
        <v>0</v>
      </c>
      <c r="BH239" s="24">
        <f>IF(BH233=1,'Lease Cycles'!$D$21*IF(INDEX('Lease Cycles'!$EF$21:$EL$21,1,BH231)=1,(1-'Lease Cycles'!$AJ$21)*INDEX('Lease Cycles'!$EM$21:$ES$21,1,BH231)+(1-'Lease Cycles'!$BE$21)*IF(BH232&lt;INDEX('Lease Cycles'!$FA$21:$FG$21,1,BH231),0,1-INDEX('Lease Cycles'!$EM$21:$ES$21,1,BH231)),IF(OR(INDEX('Lease Cycles'!$DY$21:$EE$21,1,BH231)=1,BH232&gt;0),1,1-INDEX('Lease Cycles'!$DD$21:$DJ$21,1,BH231))*((1-'Lease Cycles'!$AJ$21)*INDEX('Lease Cycles'!$FO$21:$FU$21,1,BH231)+(1-'Lease Cycles'!$BE$21)*(1-INDEX('Lease Cycles'!$FO$21:$FU$21,1,BH231)))),0)</f>
        <v>0</v>
      </c>
      <c r="BI239" s="24">
        <f>IF(BI233=1,'Lease Cycles'!$D$21*IF(INDEX('Lease Cycles'!$EF$21:$EL$21,1,BI231)=1,(1-'Lease Cycles'!$AJ$21)*INDEX('Lease Cycles'!$EM$21:$ES$21,1,BI231)+(1-'Lease Cycles'!$BE$21)*IF(BI232&lt;INDEX('Lease Cycles'!$FA$21:$FG$21,1,BI231),0,1-INDEX('Lease Cycles'!$EM$21:$ES$21,1,BI231)),IF(OR(INDEX('Lease Cycles'!$DY$21:$EE$21,1,BI231)=1,BI232&gt;0),1,1-INDEX('Lease Cycles'!$DD$21:$DJ$21,1,BI231))*((1-'Lease Cycles'!$AJ$21)*INDEX('Lease Cycles'!$FO$21:$FU$21,1,BI231)+(1-'Lease Cycles'!$BE$21)*(1-INDEX('Lease Cycles'!$FO$21:$FU$21,1,BI231)))),0)</f>
        <v>0</v>
      </c>
      <c r="BJ239" s="24">
        <f>IF(BJ233=1,'Lease Cycles'!$D$21*IF(INDEX('Lease Cycles'!$EF$21:$EL$21,1,BJ231)=1,(1-'Lease Cycles'!$AJ$21)*INDEX('Lease Cycles'!$EM$21:$ES$21,1,BJ231)+(1-'Lease Cycles'!$BE$21)*IF(BJ232&lt;INDEX('Lease Cycles'!$FA$21:$FG$21,1,BJ231),0,1-INDEX('Lease Cycles'!$EM$21:$ES$21,1,BJ231)),IF(OR(INDEX('Lease Cycles'!$DY$21:$EE$21,1,BJ231)=1,BJ232&gt;0),1,1-INDEX('Lease Cycles'!$DD$21:$DJ$21,1,BJ231))*((1-'Lease Cycles'!$AJ$21)*INDEX('Lease Cycles'!$FO$21:$FU$21,1,BJ231)+(1-'Lease Cycles'!$BE$21)*(1-INDEX('Lease Cycles'!$FO$21:$FU$21,1,BJ231)))),0)</f>
        <v>0</v>
      </c>
      <c r="BK239" s="24">
        <f>IF(BK233=1,'Lease Cycles'!$D$21*IF(INDEX('Lease Cycles'!$EF$21:$EL$21,1,BK231)=1,(1-'Lease Cycles'!$AJ$21)*INDEX('Lease Cycles'!$EM$21:$ES$21,1,BK231)+(1-'Lease Cycles'!$BE$21)*IF(BK232&lt;INDEX('Lease Cycles'!$FA$21:$FG$21,1,BK231),0,1-INDEX('Lease Cycles'!$EM$21:$ES$21,1,BK231)),IF(OR(INDEX('Lease Cycles'!$DY$21:$EE$21,1,BK231)=1,BK232&gt;0),1,1-INDEX('Lease Cycles'!$DD$21:$DJ$21,1,BK231))*((1-'Lease Cycles'!$AJ$21)*INDEX('Lease Cycles'!$FO$21:$FU$21,1,BK231)+(1-'Lease Cycles'!$BE$21)*(1-INDEX('Lease Cycles'!$FO$21:$FU$21,1,BK231)))),0)</f>
        <v>0</v>
      </c>
      <c r="BL239" s="24">
        <f>IF(BL233=1,'Lease Cycles'!$D$21*IF(INDEX('Lease Cycles'!$EF$21:$EL$21,1,BL231)=1,(1-'Lease Cycles'!$AJ$21)*INDEX('Lease Cycles'!$EM$21:$ES$21,1,BL231)+(1-'Lease Cycles'!$BE$21)*IF(BL232&lt;INDEX('Lease Cycles'!$FA$21:$FG$21,1,BL231),0,1-INDEX('Lease Cycles'!$EM$21:$ES$21,1,BL231)),IF(OR(INDEX('Lease Cycles'!$DY$21:$EE$21,1,BL231)=1,BL232&gt;0),1,1-INDEX('Lease Cycles'!$DD$21:$DJ$21,1,BL231))*((1-'Lease Cycles'!$AJ$21)*INDEX('Lease Cycles'!$FO$21:$FU$21,1,BL231)+(1-'Lease Cycles'!$BE$21)*(1-INDEX('Lease Cycles'!$FO$21:$FU$21,1,BL231)))),0)</f>
        <v>0</v>
      </c>
      <c r="BM239" s="24">
        <f>IF(BM233=1,'Lease Cycles'!$D$21*IF(INDEX('Lease Cycles'!$EF$21:$EL$21,1,BM231)=1,(1-'Lease Cycles'!$AJ$21)*INDEX('Lease Cycles'!$EM$21:$ES$21,1,BM231)+(1-'Lease Cycles'!$BE$21)*IF(BM232&lt;INDEX('Lease Cycles'!$FA$21:$FG$21,1,BM231),0,1-INDEX('Lease Cycles'!$EM$21:$ES$21,1,BM231)),IF(OR(INDEX('Lease Cycles'!$DY$21:$EE$21,1,BM231)=1,BM232&gt;0),1,1-INDEX('Lease Cycles'!$DD$21:$DJ$21,1,BM231))*((1-'Lease Cycles'!$AJ$21)*INDEX('Lease Cycles'!$FO$21:$FU$21,1,BM231)+(1-'Lease Cycles'!$BE$21)*(1-INDEX('Lease Cycles'!$FO$21:$FU$21,1,BM231)))),0)</f>
        <v>0</v>
      </c>
      <c r="BN239" s="24">
        <f>IF(BN233=1,'Lease Cycles'!$D$21*IF(INDEX('Lease Cycles'!$EF$21:$EL$21,1,BN231)=1,(1-'Lease Cycles'!$AJ$21)*INDEX('Lease Cycles'!$EM$21:$ES$21,1,BN231)+(1-'Lease Cycles'!$BE$21)*IF(BN232&lt;INDEX('Lease Cycles'!$FA$21:$FG$21,1,BN231),0,1-INDEX('Lease Cycles'!$EM$21:$ES$21,1,BN231)),IF(OR(INDEX('Lease Cycles'!$DY$21:$EE$21,1,BN231)=1,BN232&gt;0),1,1-INDEX('Lease Cycles'!$DD$21:$DJ$21,1,BN231))*((1-'Lease Cycles'!$AJ$21)*INDEX('Lease Cycles'!$FO$21:$FU$21,1,BN231)+(1-'Lease Cycles'!$BE$21)*(1-INDEX('Lease Cycles'!$FO$21:$FU$21,1,BN231)))),0)</f>
        <v>0</v>
      </c>
      <c r="BO239" s="24">
        <f>IF(BO233=1,'Lease Cycles'!$D$21*IF(INDEX('Lease Cycles'!$EF$21:$EL$21,1,BO231)=1,(1-'Lease Cycles'!$AJ$21)*INDEX('Lease Cycles'!$EM$21:$ES$21,1,BO231)+(1-'Lease Cycles'!$BE$21)*IF(BO232&lt;INDEX('Lease Cycles'!$FA$21:$FG$21,1,BO231),0,1-INDEX('Lease Cycles'!$EM$21:$ES$21,1,BO231)),IF(OR(INDEX('Lease Cycles'!$DY$21:$EE$21,1,BO231)=1,BO232&gt;0),1,1-INDEX('Lease Cycles'!$DD$21:$DJ$21,1,BO231))*((1-'Lease Cycles'!$AJ$21)*INDEX('Lease Cycles'!$FO$21:$FU$21,1,BO231)+(1-'Lease Cycles'!$BE$21)*(1-INDEX('Lease Cycles'!$FO$21:$FU$21,1,BO231)))),0)</f>
        <v>0</v>
      </c>
      <c r="BP239" s="24">
        <f>IF(BP233=1,'Lease Cycles'!$D$21*IF(INDEX('Lease Cycles'!$EF$21:$EL$21,1,BP231)=1,(1-'Lease Cycles'!$AJ$21)*INDEX('Lease Cycles'!$EM$21:$ES$21,1,BP231)+(1-'Lease Cycles'!$BE$21)*IF(BP232&lt;INDEX('Lease Cycles'!$FA$21:$FG$21,1,BP231),0,1-INDEX('Lease Cycles'!$EM$21:$ES$21,1,BP231)),IF(OR(INDEX('Lease Cycles'!$DY$21:$EE$21,1,BP231)=1,BP232&gt;0),1,1-INDEX('Lease Cycles'!$DD$21:$DJ$21,1,BP231))*((1-'Lease Cycles'!$AJ$21)*INDEX('Lease Cycles'!$FO$21:$FU$21,1,BP231)+(1-'Lease Cycles'!$BE$21)*(1-INDEX('Lease Cycles'!$FO$21:$FU$21,1,BP231)))),0)</f>
        <v>0</v>
      </c>
      <c r="BQ239" s="24">
        <f>IF(BQ233=1,'Lease Cycles'!$D$21*IF(INDEX('Lease Cycles'!$EF$21:$EL$21,1,BQ231)=1,(1-'Lease Cycles'!$AJ$21)*INDEX('Lease Cycles'!$EM$21:$ES$21,1,BQ231)+(1-'Lease Cycles'!$BE$21)*IF(BQ232&lt;INDEX('Lease Cycles'!$FA$21:$FG$21,1,BQ231),0,1-INDEX('Lease Cycles'!$EM$21:$ES$21,1,BQ231)),IF(OR(INDEX('Lease Cycles'!$DY$21:$EE$21,1,BQ231)=1,BQ232&gt;0),1,1-INDEX('Lease Cycles'!$DD$21:$DJ$21,1,BQ231))*((1-'Lease Cycles'!$AJ$21)*INDEX('Lease Cycles'!$FO$21:$FU$21,1,BQ231)+(1-'Lease Cycles'!$BE$21)*(1-INDEX('Lease Cycles'!$FO$21:$FU$21,1,BQ231)))),0)</f>
        <v>0</v>
      </c>
      <c r="BR239" s="24">
        <f>IF(BR233=1,'Lease Cycles'!$D$21*IF(INDEX('Lease Cycles'!$EF$21:$EL$21,1,BR231)=1,(1-'Lease Cycles'!$AJ$21)*INDEX('Lease Cycles'!$EM$21:$ES$21,1,BR231)+(1-'Lease Cycles'!$BE$21)*IF(BR232&lt;INDEX('Lease Cycles'!$FA$21:$FG$21,1,BR231),0,1-INDEX('Lease Cycles'!$EM$21:$ES$21,1,BR231)),IF(OR(INDEX('Lease Cycles'!$DY$21:$EE$21,1,BR231)=1,BR232&gt;0),1,1-INDEX('Lease Cycles'!$DD$21:$DJ$21,1,BR231))*((1-'Lease Cycles'!$AJ$21)*INDEX('Lease Cycles'!$FO$21:$FU$21,1,BR231)+(1-'Lease Cycles'!$BE$21)*(1-INDEX('Lease Cycles'!$FO$21:$FU$21,1,BR231)))),0)</f>
        <v>0</v>
      </c>
      <c r="BS239" s="24">
        <f>IF(BS233=1,'Lease Cycles'!$D$21*IF(INDEX('Lease Cycles'!$EF$21:$EL$21,1,BS231)=1,(1-'Lease Cycles'!$AJ$21)*INDEX('Lease Cycles'!$EM$21:$ES$21,1,BS231)+(1-'Lease Cycles'!$BE$21)*IF(BS232&lt;INDEX('Lease Cycles'!$FA$21:$FG$21,1,BS231),0,1-INDEX('Lease Cycles'!$EM$21:$ES$21,1,BS231)),IF(OR(INDEX('Lease Cycles'!$DY$21:$EE$21,1,BS231)=1,BS232&gt;0),1,1-INDEX('Lease Cycles'!$DD$21:$DJ$21,1,BS231))*((1-'Lease Cycles'!$AJ$21)*INDEX('Lease Cycles'!$FO$21:$FU$21,1,BS231)+(1-'Lease Cycles'!$BE$21)*(1-INDEX('Lease Cycles'!$FO$21:$FU$21,1,BS231)))),0)</f>
        <v>0</v>
      </c>
      <c r="BT239" s="24">
        <f>IF(BT233=1,'Lease Cycles'!$D$21*IF(INDEX('Lease Cycles'!$EF$21:$EL$21,1,BT231)=1,(1-'Lease Cycles'!$AJ$21)*INDEX('Lease Cycles'!$EM$21:$ES$21,1,BT231)+(1-'Lease Cycles'!$BE$21)*IF(BT232&lt;INDEX('Lease Cycles'!$FA$21:$FG$21,1,BT231),0,1-INDEX('Lease Cycles'!$EM$21:$ES$21,1,BT231)),IF(OR(INDEX('Lease Cycles'!$DY$21:$EE$21,1,BT231)=1,BT232&gt;0),1,1-INDEX('Lease Cycles'!$DD$21:$DJ$21,1,BT231))*((1-'Lease Cycles'!$AJ$21)*INDEX('Lease Cycles'!$FO$21:$FU$21,1,BT231)+(1-'Lease Cycles'!$BE$21)*(1-INDEX('Lease Cycles'!$FO$21:$FU$21,1,BT231)))),0)</f>
        <v>0</v>
      </c>
      <c r="BU239" s="24">
        <f>IF(BU233=1,'Lease Cycles'!$D$21*IF(INDEX('Lease Cycles'!$EF$21:$EL$21,1,BU231)=1,(1-'Lease Cycles'!$AJ$21)*INDEX('Lease Cycles'!$EM$21:$ES$21,1,BU231)+(1-'Lease Cycles'!$BE$21)*IF(BU232&lt;INDEX('Lease Cycles'!$FA$21:$FG$21,1,BU231),0,1-INDEX('Lease Cycles'!$EM$21:$ES$21,1,BU231)),IF(OR(INDEX('Lease Cycles'!$DY$21:$EE$21,1,BU231)=1,BU232&gt;0),1,1-INDEX('Lease Cycles'!$DD$21:$DJ$21,1,BU231))*((1-'Lease Cycles'!$AJ$21)*INDEX('Lease Cycles'!$FO$21:$FU$21,1,BU231)+(1-'Lease Cycles'!$BE$21)*(1-INDEX('Lease Cycles'!$FO$21:$FU$21,1,BU231)))),0)</f>
        <v>0</v>
      </c>
      <c r="BV239" s="24">
        <f>IF(BV233=1,'Lease Cycles'!$D$21*IF(INDEX('Lease Cycles'!$EF$21:$EL$21,1,BV231)=1,(1-'Lease Cycles'!$AJ$21)*INDEX('Lease Cycles'!$EM$21:$ES$21,1,BV231)+(1-'Lease Cycles'!$BE$21)*IF(BV232&lt;INDEX('Lease Cycles'!$FA$21:$FG$21,1,BV231),0,1-INDEX('Lease Cycles'!$EM$21:$ES$21,1,BV231)),IF(OR(INDEX('Lease Cycles'!$DY$21:$EE$21,1,BV231)=1,BV232&gt;0),1,1-INDEX('Lease Cycles'!$DD$21:$DJ$21,1,BV231))*((1-'Lease Cycles'!$AJ$21)*INDEX('Lease Cycles'!$FO$21:$FU$21,1,BV231)+(1-'Lease Cycles'!$BE$21)*(1-INDEX('Lease Cycles'!$FO$21:$FU$21,1,BV231)))),0)</f>
        <v>0</v>
      </c>
      <c r="BW239" s="24">
        <f>IF(BW233=1,'Lease Cycles'!$D$21*IF(INDEX('Lease Cycles'!$EF$21:$EL$21,1,BW231)=1,(1-'Lease Cycles'!$AJ$21)*INDEX('Lease Cycles'!$EM$21:$ES$21,1,BW231)+(1-'Lease Cycles'!$BE$21)*IF(BW232&lt;INDEX('Lease Cycles'!$FA$21:$FG$21,1,BW231),0,1-INDEX('Lease Cycles'!$EM$21:$ES$21,1,BW231)),IF(OR(INDEX('Lease Cycles'!$DY$21:$EE$21,1,BW231)=1,BW232&gt;0),1,1-INDEX('Lease Cycles'!$DD$21:$DJ$21,1,BW231))*((1-'Lease Cycles'!$AJ$21)*INDEX('Lease Cycles'!$FO$21:$FU$21,1,BW231)+(1-'Lease Cycles'!$BE$21)*(1-INDEX('Lease Cycles'!$FO$21:$FU$21,1,BW231)))),0)</f>
        <v>0</v>
      </c>
      <c r="BX239" s="24">
        <f>IF(BX233=1,'Lease Cycles'!$D$21*IF(INDEX('Lease Cycles'!$EF$21:$EL$21,1,BX231)=1,(1-'Lease Cycles'!$AJ$21)*INDEX('Lease Cycles'!$EM$21:$ES$21,1,BX231)+(1-'Lease Cycles'!$BE$21)*IF(BX232&lt;INDEX('Lease Cycles'!$FA$21:$FG$21,1,BX231),0,1-INDEX('Lease Cycles'!$EM$21:$ES$21,1,BX231)),IF(OR(INDEX('Lease Cycles'!$DY$21:$EE$21,1,BX231)=1,BX232&gt;0),1,1-INDEX('Lease Cycles'!$DD$21:$DJ$21,1,BX231))*((1-'Lease Cycles'!$AJ$21)*INDEX('Lease Cycles'!$FO$21:$FU$21,1,BX231)+(1-'Lease Cycles'!$BE$21)*(1-INDEX('Lease Cycles'!$FO$21:$FU$21,1,BX231)))),0)</f>
        <v>0</v>
      </c>
      <c r="BY239" s="24">
        <f>IF(BY233=1,'Lease Cycles'!$D$21*IF(INDEX('Lease Cycles'!$EF$21:$EL$21,1,BY231)=1,(1-'Lease Cycles'!$AJ$21)*INDEX('Lease Cycles'!$EM$21:$ES$21,1,BY231)+(1-'Lease Cycles'!$BE$21)*IF(BY232&lt;INDEX('Lease Cycles'!$FA$21:$FG$21,1,BY231),0,1-INDEX('Lease Cycles'!$EM$21:$ES$21,1,BY231)),IF(OR(INDEX('Lease Cycles'!$DY$21:$EE$21,1,BY231)=1,BY232&gt;0),1,1-INDEX('Lease Cycles'!$DD$21:$DJ$21,1,BY231))*((1-'Lease Cycles'!$AJ$21)*INDEX('Lease Cycles'!$FO$21:$FU$21,1,BY231)+(1-'Lease Cycles'!$BE$21)*(1-INDEX('Lease Cycles'!$FO$21:$FU$21,1,BY231)))),0)</f>
        <v>0</v>
      </c>
      <c r="BZ239" s="24">
        <f>IF(BZ233=1,'Lease Cycles'!$D$21*IF(INDEX('Lease Cycles'!$EF$21:$EL$21,1,BZ231)=1,(1-'Lease Cycles'!$AJ$21)*INDEX('Lease Cycles'!$EM$21:$ES$21,1,BZ231)+(1-'Lease Cycles'!$BE$21)*IF(BZ232&lt;INDEX('Lease Cycles'!$FA$21:$FG$21,1,BZ231),0,1-INDEX('Lease Cycles'!$EM$21:$ES$21,1,BZ231)),IF(OR(INDEX('Lease Cycles'!$DY$21:$EE$21,1,BZ231)=1,BZ232&gt;0),1,1-INDEX('Lease Cycles'!$DD$21:$DJ$21,1,BZ231))*((1-'Lease Cycles'!$AJ$21)*INDEX('Lease Cycles'!$FO$21:$FU$21,1,BZ231)+(1-'Lease Cycles'!$BE$21)*(1-INDEX('Lease Cycles'!$FO$21:$FU$21,1,BZ231)))),0)</f>
        <v>0</v>
      </c>
      <c r="CA239" s="24">
        <f>IF(CA233=1,'Lease Cycles'!$D$21*IF(INDEX('Lease Cycles'!$EF$21:$EL$21,1,CA231)=1,(1-'Lease Cycles'!$AJ$21)*INDEX('Lease Cycles'!$EM$21:$ES$21,1,CA231)+(1-'Lease Cycles'!$BE$21)*IF(CA232&lt;INDEX('Lease Cycles'!$FA$21:$FG$21,1,CA231),0,1-INDEX('Lease Cycles'!$EM$21:$ES$21,1,CA231)),IF(OR(INDEX('Lease Cycles'!$DY$21:$EE$21,1,CA231)=1,CA232&gt;0),1,1-INDEX('Lease Cycles'!$DD$21:$DJ$21,1,CA231))*((1-'Lease Cycles'!$AJ$21)*INDEX('Lease Cycles'!$FO$21:$FU$21,1,CA231)+(1-'Lease Cycles'!$BE$21)*(1-INDEX('Lease Cycles'!$FO$21:$FU$21,1,CA231)))),0)</f>
        <v>0</v>
      </c>
      <c r="CB239" s="24">
        <f>IF(CB233=1,'Lease Cycles'!$D$21*IF(INDEX('Lease Cycles'!$EF$21:$EL$21,1,CB231)=1,(1-'Lease Cycles'!$AJ$21)*INDEX('Lease Cycles'!$EM$21:$ES$21,1,CB231)+(1-'Lease Cycles'!$BE$21)*IF(CB232&lt;INDEX('Lease Cycles'!$FA$21:$FG$21,1,CB231),0,1-INDEX('Lease Cycles'!$EM$21:$ES$21,1,CB231)),IF(OR(INDEX('Lease Cycles'!$DY$21:$EE$21,1,CB231)=1,CB232&gt;0),1,1-INDEX('Lease Cycles'!$DD$21:$DJ$21,1,CB231))*((1-'Lease Cycles'!$AJ$21)*INDEX('Lease Cycles'!$FO$21:$FU$21,1,CB231)+(1-'Lease Cycles'!$BE$21)*(1-INDEX('Lease Cycles'!$FO$21:$FU$21,1,CB231)))),0)</f>
        <v>0</v>
      </c>
      <c r="CC239" s="24">
        <f>IF(CC233=1,'Lease Cycles'!$D$21*IF(INDEX('Lease Cycles'!$EF$21:$EL$21,1,CC231)=1,(1-'Lease Cycles'!$AJ$21)*INDEX('Lease Cycles'!$EM$21:$ES$21,1,CC231)+(1-'Lease Cycles'!$BE$21)*IF(CC232&lt;INDEX('Lease Cycles'!$FA$21:$FG$21,1,CC231),0,1-INDEX('Lease Cycles'!$EM$21:$ES$21,1,CC231)),IF(OR(INDEX('Lease Cycles'!$DY$21:$EE$21,1,CC231)=1,CC232&gt;0),1,1-INDEX('Lease Cycles'!$DD$21:$DJ$21,1,CC231))*((1-'Lease Cycles'!$AJ$21)*INDEX('Lease Cycles'!$FO$21:$FU$21,1,CC231)+(1-'Lease Cycles'!$BE$21)*(1-INDEX('Lease Cycles'!$FO$21:$FU$21,1,CC231)))),0)</f>
        <v>0</v>
      </c>
      <c r="CD239" s="24">
        <f>IF(CD233=1,'Lease Cycles'!$D$21*IF(INDEX('Lease Cycles'!$EF$21:$EL$21,1,CD231)=1,(1-'Lease Cycles'!$AJ$21)*INDEX('Lease Cycles'!$EM$21:$ES$21,1,CD231)+(1-'Lease Cycles'!$BE$21)*IF(CD232&lt;INDEX('Lease Cycles'!$FA$21:$FG$21,1,CD231),0,1-INDEX('Lease Cycles'!$EM$21:$ES$21,1,CD231)),IF(OR(INDEX('Lease Cycles'!$DY$21:$EE$21,1,CD231)=1,CD232&gt;0),1,1-INDEX('Lease Cycles'!$DD$21:$DJ$21,1,CD231))*((1-'Lease Cycles'!$AJ$21)*INDEX('Lease Cycles'!$FO$21:$FU$21,1,CD231)+(1-'Lease Cycles'!$BE$21)*(1-INDEX('Lease Cycles'!$FO$21:$FU$21,1,CD231)))),0)</f>
        <v>0</v>
      </c>
      <c r="CE239" s="24">
        <f>IF(CE233=1,'Lease Cycles'!$D$21*IF(INDEX('Lease Cycles'!$EF$21:$EL$21,1,CE231)=1,(1-'Lease Cycles'!$AJ$21)*INDEX('Lease Cycles'!$EM$21:$ES$21,1,CE231)+(1-'Lease Cycles'!$BE$21)*IF(CE232&lt;INDEX('Lease Cycles'!$FA$21:$FG$21,1,CE231),0,1-INDEX('Lease Cycles'!$EM$21:$ES$21,1,CE231)),IF(OR(INDEX('Lease Cycles'!$DY$21:$EE$21,1,CE231)=1,CE232&gt;0),1,1-INDEX('Lease Cycles'!$DD$21:$DJ$21,1,CE231))*((1-'Lease Cycles'!$AJ$21)*INDEX('Lease Cycles'!$FO$21:$FU$21,1,CE231)+(1-'Lease Cycles'!$BE$21)*(1-INDEX('Lease Cycles'!$FO$21:$FU$21,1,CE231)))),0)</f>
        <v>0</v>
      </c>
      <c r="CF239" s="24">
        <f>IF(CF233=1,'Lease Cycles'!$D$21*IF(INDEX('Lease Cycles'!$EF$21:$EL$21,1,CF231)=1,(1-'Lease Cycles'!$AJ$21)*INDEX('Lease Cycles'!$EM$21:$ES$21,1,CF231)+(1-'Lease Cycles'!$BE$21)*IF(CF232&lt;INDEX('Lease Cycles'!$FA$21:$FG$21,1,CF231),0,1-INDEX('Lease Cycles'!$EM$21:$ES$21,1,CF231)),IF(OR(INDEX('Lease Cycles'!$DY$21:$EE$21,1,CF231)=1,CF232&gt;0),1,1-INDEX('Lease Cycles'!$DD$21:$DJ$21,1,CF231))*((1-'Lease Cycles'!$AJ$21)*INDEX('Lease Cycles'!$FO$21:$FU$21,1,CF231)+(1-'Lease Cycles'!$BE$21)*(1-INDEX('Lease Cycles'!$FO$21:$FU$21,1,CF231)))),0)</f>
        <v>0</v>
      </c>
      <c r="CG239" s="24">
        <f>IF(CG233=1,'Lease Cycles'!$D$21*IF(INDEX('Lease Cycles'!$EF$21:$EL$21,1,CG231)=1,(1-'Lease Cycles'!$AJ$21)*INDEX('Lease Cycles'!$EM$21:$ES$21,1,CG231)+(1-'Lease Cycles'!$BE$21)*IF(CG232&lt;INDEX('Lease Cycles'!$FA$21:$FG$21,1,CG231),0,1-INDEX('Lease Cycles'!$EM$21:$ES$21,1,CG231)),IF(OR(INDEX('Lease Cycles'!$DY$21:$EE$21,1,CG231)=1,CG232&gt;0),1,1-INDEX('Lease Cycles'!$DD$21:$DJ$21,1,CG231))*((1-'Lease Cycles'!$AJ$21)*INDEX('Lease Cycles'!$FO$21:$FU$21,1,CG231)+(1-'Lease Cycles'!$BE$21)*(1-INDEX('Lease Cycles'!$FO$21:$FU$21,1,CG231)))),0)</f>
        <v>0</v>
      </c>
      <c r="CH239" s="24">
        <f>IF(CH233=1,'Lease Cycles'!$D$21*IF(INDEX('Lease Cycles'!$EF$21:$EL$21,1,CH231)=1,(1-'Lease Cycles'!$AJ$21)*INDEX('Lease Cycles'!$EM$21:$ES$21,1,CH231)+(1-'Lease Cycles'!$BE$21)*IF(CH232&lt;INDEX('Lease Cycles'!$FA$21:$FG$21,1,CH231),0,1-INDEX('Lease Cycles'!$EM$21:$ES$21,1,CH231)),IF(OR(INDEX('Lease Cycles'!$DY$21:$EE$21,1,CH231)=1,CH232&gt;0),1,1-INDEX('Lease Cycles'!$DD$21:$DJ$21,1,CH231))*((1-'Lease Cycles'!$AJ$21)*INDEX('Lease Cycles'!$FO$21:$FU$21,1,CH231)+(1-'Lease Cycles'!$BE$21)*(1-INDEX('Lease Cycles'!$FO$21:$FU$21,1,CH231)))),0)</f>
        <v>0</v>
      </c>
      <c r="CI239" s="24">
        <f>IF(CI233=1,'Lease Cycles'!$D$21*IF(INDEX('Lease Cycles'!$EF$21:$EL$21,1,CI231)=1,(1-'Lease Cycles'!$AJ$21)*INDEX('Lease Cycles'!$EM$21:$ES$21,1,CI231)+(1-'Lease Cycles'!$BE$21)*IF(CI232&lt;INDEX('Lease Cycles'!$FA$21:$FG$21,1,CI231),0,1-INDEX('Lease Cycles'!$EM$21:$ES$21,1,CI231)),IF(OR(INDEX('Lease Cycles'!$DY$21:$EE$21,1,CI231)=1,CI232&gt;0),1,1-INDEX('Lease Cycles'!$DD$21:$DJ$21,1,CI231))*((1-'Lease Cycles'!$AJ$21)*INDEX('Lease Cycles'!$FO$21:$FU$21,1,CI231)+(1-'Lease Cycles'!$BE$21)*(1-INDEX('Lease Cycles'!$FO$21:$FU$21,1,CI231)))),0)</f>
        <v>0</v>
      </c>
      <c r="CJ239" s="24">
        <f>IF(CJ233=1,'Lease Cycles'!$D$21*IF(INDEX('Lease Cycles'!$EF$21:$EL$21,1,CJ231)=1,(1-'Lease Cycles'!$AJ$21)*INDEX('Lease Cycles'!$EM$21:$ES$21,1,CJ231)+(1-'Lease Cycles'!$BE$21)*IF(CJ232&lt;INDEX('Lease Cycles'!$FA$21:$FG$21,1,CJ231),0,1-INDEX('Lease Cycles'!$EM$21:$ES$21,1,CJ231)),IF(OR(INDEX('Lease Cycles'!$DY$21:$EE$21,1,CJ231)=1,CJ232&gt;0),1,1-INDEX('Lease Cycles'!$DD$21:$DJ$21,1,CJ231))*((1-'Lease Cycles'!$AJ$21)*INDEX('Lease Cycles'!$FO$21:$FU$21,1,CJ231)+(1-'Lease Cycles'!$BE$21)*(1-INDEX('Lease Cycles'!$FO$21:$FU$21,1,CJ231)))),0)</f>
        <v>0</v>
      </c>
      <c r="CK239" s="24">
        <f>IF(CK233=1,'Lease Cycles'!$D$21*IF(INDEX('Lease Cycles'!$EF$21:$EL$21,1,CK231)=1,(1-'Lease Cycles'!$AJ$21)*INDEX('Lease Cycles'!$EM$21:$ES$21,1,CK231)+(1-'Lease Cycles'!$BE$21)*IF(CK232&lt;INDEX('Lease Cycles'!$FA$21:$FG$21,1,CK231),0,1-INDEX('Lease Cycles'!$EM$21:$ES$21,1,CK231)),IF(OR(INDEX('Lease Cycles'!$DY$21:$EE$21,1,CK231)=1,CK232&gt;0),1,1-INDEX('Lease Cycles'!$DD$21:$DJ$21,1,CK231))*((1-'Lease Cycles'!$AJ$21)*INDEX('Lease Cycles'!$FO$21:$FU$21,1,CK231)+(1-'Lease Cycles'!$BE$21)*(1-INDEX('Lease Cycles'!$FO$21:$FU$21,1,CK231)))),0)</f>
        <v>0</v>
      </c>
      <c r="CL239" s="24">
        <f>IF(CL233=1,'Lease Cycles'!$D$21*IF(INDEX('Lease Cycles'!$EF$21:$EL$21,1,CL231)=1,(1-'Lease Cycles'!$AJ$21)*INDEX('Lease Cycles'!$EM$21:$ES$21,1,CL231)+(1-'Lease Cycles'!$BE$21)*IF(CL232&lt;INDEX('Lease Cycles'!$FA$21:$FG$21,1,CL231),0,1-INDEX('Lease Cycles'!$EM$21:$ES$21,1,CL231)),IF(OR(INDEX('Lease Cycles'!$DY$21:$EE$21,1,CL231)=1,CL232&gt;0),1,1-INDEX('Lease Cycles'!$DD$21:$DJ$21,1,CL231))*((1-'Lease Cycles'!$AJ$21)*INDEX('Lease Cycles'!$FO$21:$FU$21,1,CL231)+(1-'Lease Cycles'!$BE$21)*(1-INDEX('Lease Cycles'!$FO$21:$FU$21,1,CL231)))),0)</f>
        <v>0</v>
      </c>
      <c r="CM239" s="24">
        <f>IF(CM233=1,'Lease Cycles'!$D$21*IF(INDEX('Lease Cycles'!$EF$21:$EL$21,1,CM231)=1,(1-'Lease Cycles'!$AJ$21)*INDEX('Lease Cycles'!$EM$21:$ES$21,1,CM231)+(1-'Lease Cycles'!$BE$21)*IF(CM232&lt;INDEX('Lease Cycles'!$FA$21:$FG$21,1,CM231),0,1-INDEX('Lease Cycles'!$EM$21:$ES$21,1,CM231)),IF(OR(INDEX('Lease Cycles'!$DY$21:$EE$21,1,CM231)=1,CM232&gt;0),1,1-INDEX('Lease Cycles'!$DD$21:$DJ$21,1,CM231))*((1-'Lease Cycles'!$AJ$21)*INDEX('Lease Cycles'!$FO$21:$FU$21,1,CM231)+(1-'Lease Cycles'!$BE$21)*(1-INDEX('Lease Cycles'!$FO$21:$FU$21,1,CM231)))),0)</f>
        <v>0</v>
      </c>
      <c r="CN239" s="24">
        <f>IF(CN233=1,'Lease Cycles'!$D$21*IF(INDEX('Lease Cycles'!$EF$21:$EL$21,1,CN231)=1,(1-'Lease Cycles'!$AJ$21)*INDEX('Lease Cycles'!$EM$21:$ES$21,1,CN231)+(1-'Lease Cycles'!$BE$21)*IF(CN232&lt;INDEX('Lease Cycles'!$FA$21:$FG$21,1,CN231),0,1-INDEX('Lease Cycles'!$EM$21:$ES$21,1,CN231)),IF(OR(INDEX('Lease Cycles'!$DY$21:$EE$21,1,CN231)=1,CN232&gt;0),1,1-INDEX('Lease Cycles'!$DD$21:$DJ$21,1,CN231))*((1-'Lease Cycles'!$AJ$21)*INDEX('Lease Cycles'!$FO$21:$FU$21,1,CN231)+(1-'Lease Cycles'!$BE$21)*(1-INDEX('Lease Cycles'!$FO$21:$FU$21,1,CN231)))),0)</f>
        <v>0</v>
      </c>
      <c r="CO239" s="24">
        <f>IF(CO233=1,'Lease Cycles'!$D$21*IF(INDEX('Lease Cycles'!$EF$21:$EL$21,1,CO231)=1,(1-'Lease Cycles'!$AJ$21)*INDEX('Lease Cycles'!$EM$21:$ES$21,1,CO231)+(1-'Lease Cycles'!$BE$21)*IF(CO232&lt;INDEX('Lease Cycles'!$FA$21:$FG$21,1,CO231),0,1-INDEX('Lease Cycles'!$EM$21:$ES$21,1,CO231)),IF(OR(INDEX('Lease Cycles'!$DY$21:$EE$21,1,CO231)=1,CO232&gt;0),1,1-INDEX('Lease Cycles'!$DD$21:$DJ$21,1,CO231))*((1-'Lease Cycles'!$AJ$21)*INDEX('Lease Cycles'!$FO$21:$FU$21,1,CO231)+(1-'Lease Cycles'!$BE$21)*(1-INDEX('Lease Cycles'!$FO$21:$FU$21,1,CO231)))),0)</f>
        <v>0</v>
      </c>
      <c r="CP239" s="24">
        <f>IF(CP233=1,'Lease Cycles'!$D$21*IF(INDEX('Lease Cycles'!$EF$21:$EL$21,1,CP231)=1,(1-'Lease Cycles'!$AJ$21)*INDEX('Lease Cycles'!$EM$21:$ES$21,1,CP231)+(1-'Lease Cycles'!$BE$21)*IF(CP232&lt;INDEX('Lease Cycles'!$FA$21:$FG$21,1,CP231),0,1-INDEX('Lease Cycles'!$EM$21:$ES$21,1,CP231)),IF(OR(INDEX('Lease Cycles'!$DY$21:$EE$21,1,CP231)=1,CP232&gt;0),1,1-INDEX('Lease Cycles'!$DD$21:$DJ$21,1,CP231))*((1-'Lease Cycles'!$AJ$21)*INDEX('Lease Cycles'!$FO$21:$FU$21,1,CP231)+(1-'Lease Cycles'!$BE$21)*(1-INDEX('Lease Cycles'!$FO$21:$FU$21,1,CP231)))),0)</f>
        <v>0</v>
      </c>
      <c r="CQ239" s="24">
        <f>IF(CQ233=1,'Lease Cycles'!$D$21*IF(INDEX('Lease Cycles'!$EF$21:$EL$21,1,CQ231)=1,(1-'Lease Cycles'!$AJ$21)*INDEX('Lease Cycles'!$EM$21:$ES$21,1,CQ231)+(1-'Lease Cycles'!$BE$21)*IF(CQ232&lt;INDEX('Lease Cycles'!$FA$21:$FG$21,1,CQ231),0,1-INDEX('Lease Cycles'!$EM$21:$ES$21,1,CQ231)),IF(OR(INDEX('Lease Cycles'!$DY$21:$EE$21,1,CQ231)=1,CQ232&gt;0),1,1-INDEX('Lease Cycles'!$DD$21:$DJ$21,1,CQ231))*((1-'Lease Cycles'!$AJ$21)*INDEX('Lease Cycles'!$FO$21:$FU$21,1,CQ231)+(1-'Lease Cycles'!$BE$21)*(1-INDEX('Lease Cycles'!$FO$21:$FU$21,1,CQ231)))),0)</f>
        <v>0</v>
      </c>
      <c r="CR239" s="24">
        <f>IF(CR233=1,'Lease Cycles'!$D$21*IF(INDEX('Lease Cycles'!$EF$21:$EL$21,1,CR231)=1,(1-'Lease Cycles'!$AJ$21)*INDEX('Lease Cycles'!$EM$21:$ES$21,1,CR231)+(1-'Lease Cycles'!$BE$21)*IF(CR232&lt;INDEX('Lease Cycles'!$FA$21:$FG$21,1,CR231),0,1-INDEX('Lease Cycles'!$EM$21:$ES$21,1,CR231)),IF(OR(INDEX('Lease Cycles'!$DY$21:$EE$21,1,CR231)=1,CR232&gt;0),1,1-INDEX('Lease Cycles'!$DD$21:$DJ$21,1,CR231))*((1-'Lease Cycles'!$AJ$21)*INDEX('Lease Cycles'!$FO$21:$FU$21,1,CR231)+(1-'Lease Cycles'!$BE$21)*(1-INDEX('Lease Cycles'!$FO$21:$FU$21,1,CR231)))),0)</f>
        <v>0</v>
      </c>
      <c r="CS239" s="24">
        <f>IF(CS233=1,'Lease Cycles'!$D$21*IF(INDEX('Lease Cycles'!$EF$21:$EL$21,1,CS231)=1,(1-'Lease Cycles'!$AJ$21)*INDEX('Lease Cycles'!$EM$21:$ES$21,1,CS231)+(1-'Lease Cycles'!$BE$21)*IF(CS232&lt;INDEX('Lease Cycles'!$FA$21:$FG$21,1,CS231),0,1-INDEX('Lease Cycles'!$EM$21:$ES$21,1,CS231)),IF(OR(INDEX('Lease Cycles'!$DY$21:$EE$21,1,CS231)=1,CS232&gt;0),1,1-INDEX('Lease Cycles'!$DD$21:$DJ$21,1,CS231))*((1-'Lease Cycles'!$AJ$21)*INDEX('Lease Cycles'!$FO$21:$FU$21,1,CS231)+(1-'Lease Cycles'!$BE$21)*(1-INDEX('Lease Cycles'!$FO$21:$FU$21,1,CS231)))),0)</f>
        <v>0</v>
      </c>
      <c r="CT239" s="24">
        <f>IF(CT233=1,'Lease Cycles'!$D$21*IF(INDEX('Lease Cycles'!$EF$21:$EL$21,1,CT231)=1,(1-'Lease Cycles'!$AJ$21)*INDEX('Lease Cycles'!$EM$21:$ES$21,1,CT231)+(1-'Lease Cycles'!$BE$21)*IF(CT232&lt;INDEX('Lease Cycles'!$FA$21:$FG$21,1,CT231),0,1-INDEX('Lease Cycles'!$EM$21:$ES$21,1,CT231)),IF(OR(INDEX('Lease Cycles'!$DY$21:$EE$21,1,CT231)=1,CT232&gt;0),1,1-INDEX('Lease Cycles'!$DD$21:$DJ$21,1,CT231))*((1-'Lease Cycles'!$AJ$21)*INDEX('Lease Cycles'!$FO$21:$FU$21,1,CT231)+(1-'Lease Cycles'!$BE$21)*(1-INDEX('Lease Cycles'!$FO$21:$FU$21,1,CT231)))),0)</f>
        <v>0</v>
      </c>
      <c r="CU239" s="24">
        <f>IF(CU233=1,'Lease Cycles'!$D$21*IF(INDEX('Lease Cycles'!$EF$21:$EL$21,1,CU231)=1,(1-'Lease Cycles'!$AJ$21)*INDEX('Lease Cycles'!$EM$21:$ES$21,1,CU231)+(1-'Lease Cycles'!$BE$21)*IF(CU232&lt;INDEX('Lease Cycles'!$FA$21:$FG$21,1,CU231),0,1-INDEX('Lease Cycles'!$EM$21:$ES$21,1,CU231)),IF(OR(INDEX('Lease Cycles'!$DY$21:$EE$21,1,CU231)=1,CU232&gt;0),1,1-INDEX('Lease Cycles'!$DD$21:$DJ$21,1,CU231))*((1-'Lease Cycles'!$AJ$21)*INDEX('Lease Cycles'!$FO$21:$FU$21,1,CU231)+(1-'Lease Cycles'!$BE$21)*(1-INDEX('Lease Cycles'!$FO$21:$FU$21,1,CU231)))),0)</f>
        <v>0</v>
      </c>
      <c r="CV239" s="24">
        <f>IF(CV233=1,'Lease Cycles'!$D$21*IF(INDEX('Lease Cycles'!$EF$21:$EL$21,1,CV231)=1,(1-'Lease Cycles'!$AJ$21)*INDEX('Lease Cycles'!$EM$21:$ES$21,1,CV231)+(1-'Lease Cycles'!$BE$21)*IF(CV232&lt;INDEX('Lease Cycles'!$FA$21:$FG$21,1,CV231),0,1-INDEX('Lease Cycles'!$EM$21:$ES$21,1,CV231)),IF(OR(INDEX('Lease Cycles'!$DY$21:$EE$21,1,CV231)=1,CV232&gt;0),1,1-INDEX('Lease Cycles'!$DD$21:$DJ$21,1,CV231))*((1-'Lease Cycles'!$AJ$21)*INDEX('Lease Cycles'!$FO$21:$FU$21,1,CV231)+(1-'Lease Cycles'!$BE$21)*(1-INDEX('Lease Cycles'!$FO$21:$FU$21,1,CV231)))),0)</f>
        <v>0</v>
      </c>
      <c r="CW239" s="24">
        <f>IF(CW233=1,'Lease Cycles'!$D$21*IF(INDEX('Lease Cycles'!$EF$21:$EL$21,1,CW231)=1,(1-'Lease Cycles'!$AJ$21)*INDEX('Lease Cycles'!$EM$21:$ES$21,1,CW231)+(1-'Lease Cycles'!$BE$21)*IF(CW232&lt;INDEX('Lease Cycles'!$FA$21:$FG$21,1,CW231),0,1-INDEX('Lease Cycles'!$EM$21:$ES$21,1,CW231)),IF(OR(INDEX('Lease Cycles'!$DY$21:$EE$21,1,CW231)=1,CW232&gt;0),1,1-INDEX('Lease Cycles'!$DD$21:$DJ$21,1,CW231))*((1-'Lease Cycles'!$AJ$21)*INDEX('Lease Cycles'!$FO$21:$FU$21,1,CW231)+(1-'Lease Cycles'!$BE$21)*(1-INDEX('Lease Cycles'!$FO$21:$FU$21,1,CW231)))),0)</f>
        <v>0</v>
      </c>
      <c r="CX239" s="24">
        <f>IF(CX233=1,'Lease Cycles'!$D$21*IF(INDEX('Lease Cycles'!$EF$21:$EL$21,1,CX231)=1,(1-'Lease Cycles'!$AJ$21)*INDEX('Lease Cycles'!$EM$21:$ES$21,1,CX231)+(1-'Lease Cycles'!$BE$21)*IF(CX232&lt;INDEX('Lease Cycles'!$FA$21:$FG$21,1,CX231),0,1-INDEX('Lease Cycles'!$EM$21:$ES$21,1,CX231)),IF(OR(INDEX('Lease Cycles'!$DY$21:$EE$21,1,CX231)=1,CX232&gt;0),1,1-INDEX('Lease Cycles'!$DD$21:$DJ$21,1,CX231))*((1-'Lease Cycles'!$AJ$21)*INDEX('Lease Cycles'!$FO$21:$FU$21,1,CX231)+(1-'Lease Cycles'!$BE$21)*(1-INDEX('Lease Cycles'!$FO$21:$FU$21,1,CX231)))),0)</f>
        <v>0</v>
      </c>
      <c r="CY239" s="24">
        <f>IF(CY233=1,'Lease Cycles'!$D$21*IF(INDEX('Lease Cycles'!$EF$21:$EL$21,1,CY231)=1,(1-'Lease Cycles'!$AJ$21)*INDEX('Lease Cycles'!$EM$21:$ES$21,1,CY231)+(1-'Lease Cycles'!$BE$21)*IF(CY232&lt;INDEX('Lease Cycles'!$FA$21:$FG$21,1,CY231),0,1-INDEX('Lease Cycles'!$EM$21:$ES$21,1,CY231)),IF(OR(INDEX('Lease Cycles'!$DY$21:$EE$21,1,CY231)=1,CY232&gt;0),1,1-INDEX('Lease Cycles'!$DD$21:$DJ$21,1,CY231))*((1-'Lease Cycles'!$AJ$21)*INDEX('Lease Cycles'!$FO$21:$FU$21,1,CY231)+(1-'Lease Cycles'!$BE$21)*(1-INDEX('Lease Cycles'!$FO$21:$FU$21,1,CY231)))),0)</f>
        <v>0</v>
      </c>
      <c r="CZ239" s="24">
        <f>IF(CZ233=1,'Lease Cycles'!$D$21*IF(INDEX('Lease Cycles'!$EF$21:$EL$21,1,CZ231)=1,(1-'Lease Cycles'!$AJ$21)*INDEX('Lease Cycles'!$EM$21:$ES$21,1,CZ231)+(1-'Lease Cycles'!$BE$21)*IF(CZ232&lt;INDEX('Lease Cycles'!$FA$21:$FG$21,1,CZ231),0,1-INDEX('Lease Cycles'!$EM$21:$ES$21,1,CZ231)),IF(OR(INDEX('Lease Cycles'!$DY$21:$EE$21,1,CZ231)=1,CZ232&gt;0),1,1-INDEX('Lease Cycles'!$DD$21:$DJ$21,1,CZ231))*((1-'Lease Cycles'!$AJ$21)*INDEX('Lease Cycles'!$FO$21:$FU$21,1,CZ231)+(1-'Lease Cycles'!$BE$21)*(1-INDEX('Lease Cycles'!$FO$21:$FU$21,1,CZ231)))),0)</f>
        <v>0</v>
      </c>
      <c r="DA239" s="24">
        <f>IF(DA233=1,'Lease Cycles'!$D$21*IF(INDEX('Lease Cycles'!$EF$21:$EL$21,1,DA231)=1,(1-'Lease Cycles'!$AJ$21)*INDEX('Lease Cycles'!$EM$21:$ES$21,1,DA231)+(1-'Lease Cycles'!$BE$21)*IF(DA232&lt;INDEX('Lease Cycles'!$FA$21:$FG$21,1,DA231),0,1-INDEX('Lease Cycles'!$EM$21:$ES$21,1,DA231)),IF(OR(INDEX('Lease Cycles'!$DY$21:$EE$21,1,DA231)=1,DA232&gt;0),1,1-INDEX('Lease Cycles'!$DD$21:$DJ$21,1,DA231))*((1-'Lease Cycles'!$AJ$21)*INDEX('Lease Cycles'!$FO$21:$FU$21,1,DA231)+(1-'Lease Cycles'!$BE$21)*(1-INDEX('Lease Cycles'!$FO$21:$FU$21,1,DA231)))),0)</f>
        <v>0</v>
      </c>
      <c r="DB239" s="24">
        <f>IF(DB233=1,'Lease Cycles'!$D$21*IF(INDEX('Lease Cycles'!$EF$21:$EL$21,1,DB231)=1,(1-'Lease Cycles'!$AJ$21)*INDEX('Lease Cycles'!$EM$21:$ES$21,1,DB231)+(1-'Lease Cycles'!$BE$21)*IF(DB232&lt;INDEX('Lease Cycles'!$FA$21:$FG$21,1,DB231),0,1-INDEX('Lease Cycles'!$EM$21:$ES$21,1,DB231)),IF(OR(INDEX('Lease Cycles'!$DY$21:$EE$21,1,DB231)=1,DB232&gt;0),1,1-INDEX('Lease Cycles'!$DD$21:$DJ$21,1,DB231))*((1-'Lease Cycles'!$AJ$21)*INDEX('Lease Cycles'!$FO$21:$FU$21,1,DB231)+(1-'Lease Cycles'!$BE$21)*(1-INDEX('Lease Cycles'!$FO$21:$FU$21,1,DB231)))),0)</f>
        <v>0</v>
      </c>
      <c r="DC239" s="24">
        <f>IF(DC233=1,'Lease Cycles'!$D$21*IF(INDEX('Lease Cycles'!$EF$21:$EL$21,1,DC231)=1,(1-'Lease Cycles'!$AJ$21)*INDEX('Lease Cycles'!$EM$21:$ES$21,1,DC231)+(1-'Lease Cycles'!$BE$21)*IF(DC232&lt;INDEX('Lease Cycles'!$FA$21:$FG$21,1,DC231),0,1-INDEX('Lease Cycles'!$EM$21:$ES$21,1,DC231)),IF(OR(INDEX('Lease Cycles'!$DY$21:$EE$21,1,DC231)=1,DC232&gt;0),1,1-INDEX('Lease Cycles'!$DD$21:$DJ$21,1,DC231))*((1-'Lease Cycles'!$AJ$21)*INDEX('Lease Cycles'!$FO$21:$FU$21,1,DC231)+(1-'Lease Cycles'!$BE$21)*(1-INDEX('Lease Cycles'!$FO$21:$FU$21,1,DC231)))),0)</f>
        <v>0</v>
      </c>
      <c r="DD239" s="24">
        <f>IF(DD233=1,'Lease Cycles'!$D$21*IF(INDEX('Lease Cycles'!$EF$21:$EL$21,1,DD231)=1,(1-'Lease Cycles'!$AJ$21)*INDEX('Lease Cycles'!$EM$21:$ES$21,1,DD231)+(1-'Lease Cycles'!$BE$21)*IF(DD232&lt;INDEX('Lease Cycles'!$FA$21:$FG$21,1,DD231),0,1-INDEX('Lease Cycles'!$EM$21:$ES$21,1,DD231)),IF(OR(INDEX('Lease Cycles'!$DY$21:$EE$21,1,DD231)=1,DD232&gt;0),1,1-INDEX('Lease Cycles'!$DD$21:$DJ$21,1,DD231))*((1-'Lease Cycles'!$AJ$21)*INDEX('Lease Cycles'!$FO$21:$FU$21,1,DD231)+(1-'Lease Cycles'!$BE$21)*(1-INDEX('Lease Cycles'!$FO$21:$FU$21,1,DD231)))),0)</f>
        <v>0</v>
      </c>
      <c r="DE239" s="24">
        <f>IF(DE233=1,'Lease Cycles'!$D$21*IF(INDEX('Lease Cycles'!$EF$21:$EL$21,1,DE231)=1,(1-'Lease Cycles'!$AJ$21)*INDEX('Lease Cycles'!$EM$21:$ES$21,1,DE231)+(1-'Lease Cycles'!$BE$21)*IF(DE232&lt;INDEX('Lease Cycles'!$FA$21:$FG$21,1,DE231),0,1-INDEX('Lease Cycles'!$EM$21:$ES$21,1,DE231)),IF(OR(INDEX('Lease Cycles'!$DY$21:$EE$21,1,DE231)=1,DE232&gt;0),1,1-INDEX('Lease Cycles'!$DD$21:$DJ$21,1,DE231))*((1-'Lease Cycles'!$AJ$21)*INDEX('Lease Cycles'!$FO$21:$FU$21,1,DE231)+(1-'Lease Cycles'!$BE$21)*(1-INDEX('Lease Cycles'!$FO$21:$FU$21,1,DE231)))),0)</f>
        <v>0</v>
      </c>
      <c r="DF239" s="24">
        <f>IF(DF233=1,'Lease Cycles'!$D$21*IF(INDEX('Lease Cycles'!$EF$21:$EL$21,1,DF231)=1,(1-'Lease Cycles'!$AJ$21)*INDEX('Lease Cycles'!$EM$21:$ES$21,1,DF231)+(1-'Lease Cycles'!$BE$21)*IF(DF232&lt;INDEX('Lease Cycles'!$FA$21:$FG$21,1,DF231),0,1-INDEX('Lease Cycles'!$EM$21:$ES$21,1,DF231)),IF(OR(INDEX('Lease Cycles'!$DY$21:$EE$21,1,DF231)=1,DF232&gt;0),1,1-INDEX('Lease Cycles'!$DD$21:$DJ$21,1,DF231))*((1-'Lease Cycles'!$AJ$21)*INDEX('Lease Cycles'!$FO$21:$FU$21,1,DF231)+(1-'Lease Cycles'!$BE$21)*(1-INDEX('Lease Cycles'!$FO$21:$FU$21,1,DF231)))),0)</f>
        <v>0</v>
      </c>
      <c r="DG239" s="24">
        <f>IF(DG233=1,'Lease Cycles'!$D$21*IF(INDEX('Lease Cycles'!$EF$21:$EL$21,1,DG231)=1,(1-'Lease Cycles'!$AJ$21)*INDEX('Lease Cycles'!$EM$21:$ES$21,1,DG231)+(1-'Lease Cycles'!$BE$21)*IF(DG232&lt;INDEX('Lease Cycles'!$FA$21:$FG$21,1,DG231),0,1-INDEX('Lease Cycles'!$EM$21:$ES$21,1,DG231)),IF(OR(INDEX('Lease Cycles'!$DY$21:$EE$21,1,DG231)=1,DG232&gt;0),1,1-INDEX('Lease Cycles'!$DD$21:$DJ$21,1,DG231))*((1-'Lease Cycles'!$AJ$21)*INDEX('Lease Cycles'!$FO$21:$FU$21,1,DG231)+(1-'Lease Cycles'!$BE$21)*(1-INDEX('Lease Cycles'!$FO$21:$FU$21,1,DG231)))),0)</f>
        <v>0</v>
      </c>
      <c r="DH239" s="24">
        <f>IF(DH233=1,'Lease Cycles'!$D$21*IF(INDEX('Lease Cycles'!$EF$21:$EL$21,1,DH231)=1,(1-'Lease Cycles'!$AJ$21)*INDEX('Lease Cycles'!$EM$21:$ES$21,1,DH231)+(1-'Lease Cycles'!$BE$21)*IF(DH232&lt;INDEX('Lease Cycles'!$FA$21:$FG$21,1,DH231),0,1-INDEX('Lease Cycles'!$EM$21:$ES$21,1,DH231)),IF(OR(INDEX('Lease Cycles'!$DY$21:$EE$21,1,DH231)=1,DH232&gt;0),1,1-INDEX('Lease Cycles'!$DD$21:$DJ$21,1,DH231))*((1-'Lease Cycles'!$AJ$21)*INDEX('Lease Cycles'!$FO$21:$FU$21,1,DH231)+(1-'Lease Cycles'!$BE$21)*(1-INDEX('Lease Cycles'!$FO$21:$FU$21,1,DH231)))),0)</f>
        <v>0</v>
      </c>
      <c r="DI239" s="24">
        <f>IF(DI233=1,'Lease Cycles'!$D$21*IF(INDEX('Lease Cycles'!$EF$21:$EL$21,1,DI231)=1,(1-'Lease Cycles'!$AJ$21)*INDEX('Lease Cycles'!$EM$21:$ES$21,1,DI231)+(1-'Lease Cycles'!$BE$21)*IF(DI232&lt;INDEX('Lease Cycles'!$FA$21:$FG$21,1,DI231),0,1-INDEX('Lease Cycles'!$EM$21:$ES$21,1,DI231)),IF(OR(INDEX('Lease Cycles'!$DY$21:$EE$21,1,DI231)=1,DI232&gt;0),1,1-INDEX('Lease Cycles'!$DD$21:$DJ$21,1,DI231))*((1-'Lease Cycles'!$AJ$21)*INDEX('Lease Cycles'!$FO$21:$FU$21,1,DI231)+(1-'Lease Cycles'!$BE$21)*(1-INDEX('Lease Cycles'!$FO$21:$FU$21,1,DI231)))),0)</f>
        <v>0</v>
      </c>
      <c r="DJ239" s="24">
        <f>IF(DJ233=1,'Lease Cycles'!$D$21*IF(INDEX('Lease Cycles'!$EF$21:$EL$21,1,DJ231)=1,(1-'Lease Cycles'!$AJ$21)*INDEX('Lease Cycles'!$EM$21:$ES$21,1,DJ231)+(1-'Lease Cycles'!$BE$21)*IF(DJ232&lt;INDEX('Lease Cycles'!$FA$21:$FG$21,1,DJ231),0,1-INDEX('Lease Cycles'!$EM$21:$ES$21,1,DJ231)),IF(OR(INDEX('Lease Cycles'!$DY$21:$EE$21,1,DJ231)=1,DJ232&gt;0),1,1-INDEX('Lease Cycles'!$DD$21:$DJ$21,1,DJ231))*((1-'Lease Cycles'!$AJ$21)*INDEX('Lease Cycles'!$FO$21:$FU$21,1,DJ231)+(1-'Lease Cycles'!$BE$21)*(1-INDEX('Lease Cycles'!$FO$21:$FU$21,1,DJ231)))),0)</f>
        <v>0</v>
      </c>
      <c r="DK239" s="24">
        <f>IF(DK233=1,'Lease Cycles'!$D$21*IF(INDEX('Lease Cycles'!$EF$21:$EL$21,1,DK231)=1,(1-'Lease Cycles'!$AJ$21)*INDEX('Lease Cycles'!$EM$21:$ES$21,1,DK231)+(1-'Lease Cycles'!$BE$21)*IF(DK232&lt;INDEX('Lease Cycles'!$FA$21:$FG$21,1,DK231),0,1-INDEX('Lease Cycles'!$EM$21:$ES$21,1,DK231)),IF(OR(INDEX('Lease Cycles'!$DY$21:$EE$21,1,DK231)=1,DK232&gt;0),1,1-INDEX('Lease Cycles'!$DD$21:$DJ$21,1,DK231))*((1-'Lease Cycles'!$AJ$21)*INDEX('Lease Cycles'!$FO$21:$FU$21,1,DK231)+(1-'Lease Cycles'!$BE$21)*(1-INDEX('Lease Cycles'!$FO$21:$FU$21,1,DK231)))),0)</f>
        <v>0</v>
      </c>
      <c r="DL239" s="24">
        <f>IF(DL233=1,'Lease Cycles'!$D$21*IF(INDEX('Lease Cycles'!$EF$21:$EL$21,1,DL231)=1,(1-'Lease Cycles'!$AJ$21)*INDEX('Lease Cycles'!$EM$21:$ES$21,1,DL231)+(1-'Lease Cycles'!$BE$21)*IF(DL232&lt;INDEX('Lease Cycles'!$FA$21:$FG$21,1,DL231),0,1-INDEX('Lease Cycles'!$EM$21:$ES$21,1,DL231)),IF(OR(INDEX('Lease Cycles'!$DY$21:$EE$21,1,DL231)=1,DL232&gt;0),1,1-INDEX('Lease Cycles'!$DD$21:$DJ$21,1,DL231))*((1-'Lease Cycles'!$AJ$21)*INDEX('Lease Cycles'!$FO$21:$FU$21,1,DL231)+(1-'Lease Cycles'!$BE$21)*(1-INDEX('Lease Cycles'!$FO$21:$FU$21,1,DL231)))),0)</f>
        <v>0</v>
      </c>
      <c r="DM239" s="24">
        <f>IF(DM233=1,'Lease Cycles'!$D$21*IF(INDEX('Lease Cycles'!$EF$21:$EL$21,1,DM231)=1,(1-'Lease Cycles'!$AJ$21)*INDEX('Lease Cycles'!$EM$21:$ES$21,1,DM231)+(1-'Lease Cycles'!$BE$21)*IF(DM232&lt;INDEX('Lease Cycles'!$FA$21:$FG$21,1,DM231),0,1-INDEX('Lease Cycles'!$EM$21:$ES$21,1,DM231)),IF(OR(INDEX('Lease Cycles'!$DY$21:$EE$21,1,DM231)=1,DM232&gt;0),1,1-INDEX('Lease Cycles'!$DD$21:$DJ$21,1,DM231))*((1-'Lease Cycles'!$AJ$21)*INDEX('Lease Cycles'!$FO$21:$FU$21,1,DM231)+(1-'Lease Cycles'!$BE$21)*(1-INDEX('Lease Cycles'!$FO$21:$FU$21,1,DM231)))),0)</f>
        <v>0</v>
      </c>
      <c r="DN239" s="24">
        <f>IF(DN233=1,'Lease Cycles'!$D$21*IF(INDEX('Lease Cycles'!$EF$21:$EL$21,1,DN231)=1,(1-'Lease Cycles'!$AJ$21)*INDEX('Lease Cycles'!$EM$21:$ES$21,1,DN231)+(1-'Lease Cycles'!$BE$21)*IF(DN232&lt;INDEX('Lease Cycles'!$FA$21:$FG$21,1,DN231),0,1-INDEX('Lease Cycles'!$EM$21:$ES$21,1,DN231)),IF(OR(INDEX('Lease Cycles'!$DY$21:$EE$21,1,DN231)=1,DN232&gt;0),1,1-INDEX('Lease Cycles'!$DD$21:$DJ$21,1,DN231))*((1-'Lease Cycles'!$AJ$21)*INDEX('Lease Cycles'!$FO$21:$FU$21,1,DN231)+(1-'Lease Cycles'!$BE$21)*(1-INDEX('Lease Cycles'!$FO$21:$FU$21,1,DN231)))),0)</f>
        <v>0</v>
      </c>
      <c r="DO239" s="24">
        <f>IF(DO233=1,'Lease Cycles'!$D$21*IF(INDEX('Lease Cycles'!$EF$21:$EL$21,1,DO231)=1,(1-'Lease Cycles'!$AJ$21)*INDEX('Lease Cycles'!$EM$21:$ES$21,1,DO231)+(1-'Lease Cycles'!$BE$21)*IF(DO232&lt;INDEX('Lease Cycles'!$FA$21:$FG$21,1,DO231),0,1-INDEX('Lease Cycles'!$EM$21:$ES$21,1,DO231)),IF(OR(INDEX('Lease Cycles'!$DY$21:$EE$21,1,DO231)=1,DO232&gt;0),1,1-INDEX('Lease Cycles'!$DD$21:$DJ$21,1,DO231))*((1-'Lease Cycles'!$AJ$21)*INDEX('Lease Cycles'!$FO$21:$FU$21,1,DO231)+(1-'Lease Cycles'!$BE$21)*(1-INDEX('Lease Cycles'!$FO$21:$FU$21,1,DO231)))),0)</f>
        <v>0</v>
      </c>
      <c r="DP239" s="24">
        <f>IF(DP233=1,'Lease Cycles'!$D$21*IF(INDEX('Lease Cycles'!$EF$21:$EL$21,1,DP231)=1,(1-'Lease Cycles'!$AJ$21)*INDEX('Lease Cycles'!$EM$21:$ES$21,1,DP231)+(1-'Lease Cycles'!$BE$21)*IF(DP232&lt;INDEX('Lease Cycles'!$FA$21:$FG$21,1,DP231),0,1-INDEX('Lease Cycles'!$EM$21:$ES$21,1,DP231)),IF(OR(INDEX('Lease Cycles'!$DY$21:$EE$21,1,DP231)=1,DP232&gt;0),1,1-INDEX('Lease Cycles'!$DD$21:$DJ$21,1,DP231))*((1-'Lease Cycles'!$AJ$21)*INDEX('Lease Cycles'!$FO$21:$FU$21,1,DP231)+(1-'Lease Cycles'!$BE$21)*(1-INDEX('Lease Cycles'!$FO$21:$FU$21,1,DP231)))),0)</f>
        <v>0</v>
      </c>
      <c r="DQ239" s="24">
        <f>IF(DQ233=1,'Lease Cycles'!$D$21*IF(INDEX('Lease Cycles'!$EF$21:$EL$21,1,DQ231)=1,(1-'Lease Cycles'!$AJ$21)*INDEX('Lease Cycles'!$EM$21:$ES$21,1,DQ231)+(1-'Lease Cycles'!$BE$21)*IF(DQ232&lt;INDEX('Lease Cycles'!$FA$21:$FG$21,1,DQ231),0,1-INDEX('Lease Cycles'!$EM$21:$ES$21,1,DQ231)),IF(OR(INDEX('Lease Cycles'!$DY$21:$EE$21,1,DQ231)=1,DQ232&gt;0),1,1-INDEX('Lease Cycles'!$DD$21:$DJ$21,1,DQ231))*((1-'Lease Cycles'!$AJ$21)*INDEX('Lease Cycles'!$FO$21:$FU$21,1,DQ231)+(1-'Lease Cycles'!$BE$21)*(1-INDEX('Lease Cycles'!$FO$21:$FU$21,1,DQ231)))),0)</f>
        <v>0</v>
      </c>
      <c r="DR239" s="24">
        <f>IF(DR233=1,'Lease Cycles'!$D$21*IF(INDEX('Lease Cycles'!$EF$21:$EL$21,1,DR231)=1,(1-'Lease Cycles'!$AJ$21)*INDEX('Lease Cycles'!$EM$21:$ES$21,1,DR231)+(1-'Lease Cycles'!$BE$21)*IF(DR232&lt;INDEX('Lease Cycles'!$FA$21:$FG$21,1,DR231),0,1-INDEX('Lease Cycles'!$EM$21:$ES$21,1,DR231)),IF(OR(INDEX('Lease Cycles'!$DY$21:$EE$21,1,DR231)=1,DR232&gt;0),1,1-INDEX('Lease Cycles'!$DD$21:$DJ$21,1,DR231))*((1-'Lease Cycles'!$AJ$21)*INDEX('Lease Cycles'!$FO$21:$FU$21,1,DR231)+(1-'Lease Cycles'!$BE$21)*(1-INDEX('Lease Cycles'!$FO$21:$FU$21,1,DR231)))),0)</f>
        <v>0</v>
      </c>
      <c r="DS239" s="24">
        <f>IF(DS233=1,'Lease Cycles'!$D$21*IF(INDEX('Lease Cycles'!$EF$21:$EL$21,1,DS231)=1,(1-'Lease Cycles'!$AJ$21)*INDEX('Lease Cycles'!$EM$21:$ES$21,1,DS231)+(1-'Lease Cycles'!$BE$21)*IF(DS232&lt;INDEX('Lease Cycles'!$FA$21:$FG$21,1,DS231),0,1-INDEX('Lease Cycles'!$EM$21:$ES$21,1,DS231)),IF(OR(INDEX('Lease Cycles'!$DY$21:$EE$21,1,DS231)=1,DS232&gt;0),1,1-INDEX('Lease Cycles'!$DD$21:$DJ$21,1,DS231))*((1-'Lease Cycles'!$AJ$21)*INDEX('Lease Cycles'!$FO$21:$FU$21,1,DS231)+(1-'Lease Cycles'!$BE$21)*(1-INDEX('Lease Cycles'!$FO$21:$FU$21,1,DS231)))),0)</f>
        <v>0</v>
      </c>
      <c r="DT239" s="24">
        <f>IF(DT233=1,'Lease Cycles'!$D$21*IF(INDEX('Lease Cycles'!$EF$21:$EL$21,1,DT231)=1,(1-'Lease Cycles'!$AJ$21)*INDEX('Lease Cycles'!$EM$21:$ES$21,1,DT231)+(1-'Lease Cycles'!$BE$21)*IF(DT232&lt;INDEX('Lease Cycles'!$FA$21:$FG$21,1,DT231),0,1-INDEX('Lease Cycles'!$EM$21:$ES$21,1,DT231)),IF(OR(INDEX('Lease Cycles'!$DY$21:$EE$21,1,DT231)=1,DT232&gt;0),1,1-INDEX('Lease Cycles'!$DD$21:$DJ$21,1,DT231))*((1-'Lease Cycles'!$AJ$21)*INDEX('Lease Cycles'!$FO$21:$FU$21,1,DT231)+(1-'Lease Cycles'!$BE$21)*(1-INDEX('Lease Cycles'!$FO$21:$FU$21,1,DT231)))),0)</f>
        <v>0</v>
      </c>
      <c r="DU239" s="24">
        <f>IF(DU233=1,'Lease Cycles'!$D$21*IF(INDEX('Lease Cycles'!$EF$21:$EL$21,1,DU231)=1,(1-'Lease Cycles'!$AJ$21)*INDEX('Lease Cycles'!$EM$21:$ES$21,1,DU231)+(1-'Lease Cycles'!$BE$21)*IF(DU232&lt;INDEX('Lease Cycles'!$FA$21:$FG$21,1,DU231),0,1-INDEX('Lease Cycles'!$EM$21:$ES$21,1,DU231)),IF(OR(INDEX('Lease Cycles'!$DY$21:$EE$21,1,DU231)=1,DU232&gt;0),1,1-INDEX('Lease Cycles'!$DD$21:$DJ$21,1,DU231))*((1-'Lease Cycles'!$AJ$21)*INDEX('Lease Cycles'!$FO$21:$FU$21,1,DU231)+(1-'Lease Cycles'!$BE$21)*(1-INDEX('Lease Cycles'!$FO$21:$FU$21,1,DU231)))),0)</f>
        <v>0</v>
      </c>
      <c r="DV239" s="24">
        <f>IF(DV233=1,'Lease Cycles'!$D$21*IF(INDEX('Lease Cycles'!$EF$21:$EL$21,1,DV231)=1,(1-'Lease Cycles'!$AJ$21)*INDEX('Lease Cycles'!$EM$21:$ES$21,1,DV231)+(1-'Lease Cycles'!$BE$21)*IF(DV232&lt;INDEX('Lease Cycles'!$FA$21:$FG$21,1,DV231),0,1-INDEX('Lease Cycles'!$EM$21:$ES$21,1,DV231)),IF(OR(INDEX('Lease Cycles'!$DY$21:$EE$21,1,DV231)=1,DV232&gt;0),1,1-INDEX('Lease Cycles'!$DD$21:$DJ$21,1,DV231))*((1-'Lease Cycles'!$AJ$21)*INDEX('Lease Cycles'!$FO$21:$FU$21,1,DV231)+(1-'Lease Cycles'!$BE$21)*(1-INDEX('Lease Cycles'!$FO$21:$FU$21,1,DV231)))),0)</f>
        <v>0</v>
      </c>
      <c r="DW239" s="24">
        <f>IF(DW233=1,'Lease Cycles'!$D$21*IF(INDEX('Lease Cycles'!$EF$21:$EL$21,1,DW231)=1,(1-'Lease Cycles'!$AJ$21)*INDEX('Lease Cycles'!$EM$21:$ES$21,1,DW231)+(1-'Lease Cycles'!$BE$21)*IF(DW232&lt;INDEX('Lease Cycles'!$FA$21:$FG$21,1,DW231),0,1-INDEX('Lease Cycles'!$EM$21:$ES$21,1,DW231)),IF(OR(INDEX('Lease Cycles'!$DY$21:$EE$21,1,DW231)=1,DW232&gt;0),1,1-INDEX('Lease Cycles'!$DD$21:$DJ$21,1,DW231))*((1-'Lease Cycles'!$AJ$21)*INDEX('Lease Cycles'!$FO$21:$FU$21,1,DW231)+(1-'Lease Cycles'!$BE$21)*(1-INDEX('Lease Cycles'!$FO$21:$FU$21,1,DW231)))),0)</f>
        <v>0</v>
      </c>
      <c r="DX239" s="24">
        <f>IF(DX233=1,'Lease Cycles'!$D$21*IF(INDEX('Lease Cycles'!$EF$21:$EL$21,1,DX231)=1,(1-'Lease Cycles'!$AJ$21)*INDEX('Lease Cycles'!$EM$21:$ES$21,1,DX231)+(1-'Lease Cycles'!$BE$21)*IF(DX232&lt;INDEX('Lease Cycles'!$FA$21:$FG$21,1,DX231),0,1-INDEX('Lease Cycles'!$EM$21:$ES$21,1,DX231)),IF(OR(INDEX('Lease Cycles'!$DY$21:$EE$21,1,DX231)=1,DX232&gt;0),1,1-INDEX('Lease Cycles'!$DD$21:$DJ$21,1,DX231))*((1-'Lease Cycles'!$AJ$21)*INDEX('Lease Cycles'!$FO$21:$FU$21,1,DX231)+(1-'Lease Cycles'!$BE$21)*(1-INDEX('Lease Cycles'!$FO$21:$FU$21,1,DX231)))),0)</f>
        <v>0</v>
      </c>
      <c r="DY239" s="24">
        <f>IF(DY233=1,'Lease Cycles'!$D$21*IF(INDEX('Lease Cycles'!$EF$21:$EL$21,1,DY231)=1,(1-'Lease Cycles'!$AJ$21)*INDEX('Lease Cycles'!$EM$21:$ES$21,1,DY231)+(1-'Lease Cycles'!$BE$21)*IF(DY232&lt;INDEX('Lease Cycles'!$FA$21:$FG$21,1,DY231),0,1-INDEX('Lease Cycles'!$EM$21:$ES$21,1,DY231)),IF(OR(INDEX('Lease Cycles'!$DY$21:$EE$21,1,DY231)=1,DY232&gt;0),1,1-INDEX('Lease Cycles'!$DD$21:$DJ$21,1,DY231))*((1-'Lease Cycles'!$AJ$21)*INDEX('Lease Cycles'!$FO$21:$FU$21,1,DY231)+(1-'Lease Cycles'!$BE$21)*(1-INDEX('Lease Cycles'!$FO$21:$FU$21,1,DY231)))),0)</f>
        <v>0</v>
      </c>
      <c r="DZ239" s="24">
        <f>IF(DZ233=1,'Lease Cycles'!$D$21*IF(INDEX('Lease Cycles'!$EF$21:$EL$21,1,DZ231)=1,(1-'Lease Cycles'!$AJ$21)*INDEX('Lease Cycles'!$EM$21:$ES$21,1,DZ231)+(1-'Lease Cycles'!$BE$21)*IF(DZ232&lt;INDEX('Lease Cycles'!$FA$21:$FG$21,1,DZ231),0,1-INDEX('Lease Cycles'!$EM$21:$ES$21,1,DZ231)),IF(OR(INDEX('Lease Cycles'!$DY$21:$EE$21,1,DZ231)=1,DZ232&gt;0),1,1-INDEX('Lease Cycles'!$DD$21:$DJ$21,1,DZ231))*((1-'Lease Cycles'!$AJ$21)*INDEX('Lease Cycles'!$FO$21:$FU$21,1,DZ231)+(1-'Lease Cycles'!$BE$21)*(1-INDEX('Lease Cycles'!$FO$21:$FU$21,1,DZ231)))),0)</f>
        <v>0</v>
      </c>
      <c r="EA239" s="24">
        <f>IF(EA233=1,'Lease Cycles'!$D$21*IF(INDEX('Lease Cycles'!$EF$21:$EL$21,1,EA231)=1,(1-'Lease Cycles'!$AJ$21)*INDEX('Lease Cycles'!$EM$21:$ES$21,1,EA231)+(1-'Lease Cycles'!$BE$21)*IF(EA232&lt;INDEX('Lease Cycles'!$FA$21:$FG$21,1,EA231),0,1-INDEX('Lease Cycles'!$EM$21:$ES$21,1,EA231)),IF(OR(INDEX('Lease Cycles'!$DY$21:$EE$21,1,EA231)=1,EA232&gt;0),1,1-INDEX('Lease Cycles'!$DD$21:$DJ$21,1,EA231))*((1-'Lease Cycles'!$AJ$21)*INDEX('Lease Cycles'!$FO$21:$FU$21,1,EA231)+(1-'Lease Cycles'!$BE$21)*(1-INDEX('Lease Cycles'!$FO$21:$FU$21,1,EA231)))),0)</f>
        <v>0</v>
      </c>
      <c r="EB239" s="24">
        <f>IF(EB233=1,'Lease Cycles'!$D$21*IF(INDEX('Lease Cycles'!$EF$21:$EL$21,1,EB231)=1,(1-'Lease Cycles'!$AJ$21)*INDEX('Lease Cycles'!$EM$21:$ES$21,1,EB231)+(1-'Lease Cycles'!$BE$21)*IF(EB232&lt;INDEX('Lease Cycles'!$FA$21:$FG$21,1,EB231),0,1-INDEX('Lease Cycles'!$EM$21:$ES$21,1,EB231)),IF(OR(INDEX('Lease Cycles'!$DY$21:$EE$21,1,EB231)=1,EB232&gt;0),1,1-INDEX('Lease Cycles'!$DD$21:$DJ$21,1,EB231))*((1-'Lease Cycles'!$AJ$21)*INDEX('Lease Cycles'!$FO$21:$FU$21,1,EB231)+(1-'Lease Cycles'!$BE$21)*(1-INDEX('Lease Cycles'!$FO$21:$FU$21,1,EB231)))),0)</f>
        <v>0</v>
      </c>
      <c r="EC239" s="24">
        <f>IF(EC233=1,'Lease Cycles'!$D$21*IF(INDEX('Lease Cycles'!$EF$21:$EL$21,1,EC231)=1,(1-'Lease Cycles'!$AJ$21)*INDEX('Lease Cycles'!$EM$21:$ES$21,1,EC231)+(1-'Lease Cycles'!$BE$21)*IF(EC232&lt;INDEX('Lease Cycles'!$FA$21:$FG$21,1,EC231),0,1-INDEX('Lease Cycles'!$EM$21:$ES$21,1,EC231)),IF(OR(INDEX('Lease Cycles'!$DY$21:$EE$21,1,EC231)=1,EC232&gt;0),1,1-INDEX('Lease Cycles'!$DD$21:$DJ$21,1,EC231))*((1-'Lease Cycles'!$AJ$21)*INDEX('Lease Cycles'!$FO$21:$FU$21,1,EC231)+(1-'Lease Cycles'!$BE$21)*(1-INDEX('Lease Cycles'!$FO$21:$FU$21,1,EC231)))),0)</f>
        <v>0</v>
      </c>
      <c r="ED239" s="24">
        <f>IF(ED233=1,'Lease Cycles'!$D$21*IF(INDEX('Lease Cycles'!$EF$21:$EL$21,1,ED231)=1,(1-'Lease Cycles'!$AJ$21)*INDEX('Lease Cycles'!$EM$21:$ES$21,1,ED231)+(1-'Lease Cycles'!$BE$21)*IF(ED232&lt;INDEX('Lease Cycles'!$FA$21:$FG$21,1,ED231),0,1-INDEX('Lease Cycles'!$EM$21:$ES$21,1,ED231)),IF(OR(INDEX('Lease Cycles'!$DY$21:$EE$21,1,ED231)=1,ED232&gt;0),1,1-INDEX('Lease Cycles'!$DD$21:$DJ$21,1,ED231))*((1-'Lease Cycles'!$AJ$21)*INDEX('Lease Cycles'!$FO$21:$FU$21,1,ED231)+(1-'Lease Cycles'!$BE$21)*(1-INDEX('Lease Cycles'!$FO$21:$FU$21,1,ED231)))),0)</f>
        <v>0</v>
      </c>
      <c r="EE239" s="24">
        <f>IF(EE233=1,'Lease Cycles'!$D$21*IF(INDEX('Lease Cycles'!$EF$21:$EL$21,1,EE231)=1,(1-'Lease Cycles'!$AJ$21)*INDEX('Lease Cycles'!$EM$21:$ES$21,1,EE231)+(1-'Lease Cycles'!$BE$21)*IF(EE232&lt;INDEX('Lease Cycles'!$FA$21:$FG$21,1,EE231),0,1-INDEX('Lease Cycles'!$EM$21:$ES$21,1,EE231)),IF(OR(INDEX('Lease Cycles'!$DY$21:$EE$21,1,EE231)=1,EE232&gt;0),1,1-INDEX('Lease Cycles'!$DD$21:$DJ$21,1,EE231))*((1-'Lease Cycles'!$AJ$21)*INDEX('Lease Cycles'!$FO$21:$FU$21,1,EE231)+(1-'Lease Cycles'!$BE$21)*(1-INDEX('Lease Cycles'!$FO$21:$FU$21,1,EE231)))),0)</f>
        <v>0</v>
      </c>
      <c r="EF239" s="24">
        <f>IF(EF233=1,'Lease Cycles'!$D$21*IF(INDEX('Lease Cycles'!$EF$21:$EL$21,1,EF231)=1,(1-'Lease Cycles'!$AJ$21)*INDEX('Lease Cycles'!$EM$21:$ES$21,1,EF231)+(1-'Lease Cycles'!$BE$21)*IF(EF232&lt;INDEX('Lease Cycles'!$FA$21:$FG$21,1,EF231),0,1-INDEX('Lease Cycles'!$EM$21:$ES$21,1,EF231)),IF(OR(INDEX('Lease Cycles'!$DY$21:$EE$21,1,EF231)=1,EF232&gt;0),1,1-INDEX('Lease Cycles'!$DD$21:$DJ$21,1,EF231))*((1-'Lease Cycles'!$AJ$21)*INDEX('Lease Cycles'!$FO$21:$FU$21,1,EF231)+(1-'Lease Cycles'!$BE$21)*(1-INDEX('Lease Cycles'!$FO$21:$FU$21,1,EF231)))),0)</f>
        <v>0</v>
      </c>
      <c r="EG239" s="24">
        <f>IF(EG233=1,'Lease Cycles'!$D$21*IF(INDEX('Lease Cycles'!$EF$21:$EL$21,1,EG231)=1,(1-'Lease Cycles'!$AJ$21)*INDEX('Lease Cycles'!$EM$21:$ES$21,1,EG231)+(1-'Lease Cycles'!$BE$21)*IF(EG232&lt;INDEX('Lease Cycles'!$FA$21:$FG$21,1,EG231),0,1-INDEX('Lease Cycles'!$EM$21:$ES$21,1,EG231)),IF(OR(INDEX('Lease Cycles'!$DY$21:$EE$21,1,EG231)=1,EG232&gt;0),1,1-INDEX('Lease Cycles'!$DD$21:$DJ$21,1,EG231))*((1-'Lease Cycles'!$AJ$21)*INDEX('Lease Cycles'!$FO$21:$FU$21,1,EG231)+(1-'Lease Cycles'!$BE$21)*(1-INDEX('Lease Cycles'!$FO$21:$FU$21,1,EG231)))),0)</f>
        <v>0</v>
      </c>
      <c r="EH239" s="24">
        <f>IF(EH233=1,'Lease Cycles'!$D$21*IF(INDEX('Lease Cycles'!$EF$21:$EL$21,1,EH231)=1,(1-'Lease Cycles'!$AJ$21)*INDEX('Lease Cycles'!$EM$21:$ES$21,1,EH231)+(1-'Lease Cycles'!$BE$21)*IF(EH232&lt;INDEX('Lease Cycles'!$FA$21:$FG$21,1,EH231),0,1-INDEX('Lease Cycles'!$EM$21:$ES$21,1,EH231)),IF(OR(INDEX('Lease Cycles'!$DY$21:$EE$21,1,EH231)=1,EH232&gt;0),1,1-INDEX('Lease Cycles'!$DD$21:$DJ$21,1,EH231))*((1-'Lease Cycles'!$AJ$21)*INDEX('Lease Cycles'!$FO$21:$FU$21,1,EH231)+(1-'Lease Cycles'!$BE$21)*(1-INDEX('Lease Cycles'!$FO$21:$FU$21,1,EH231)))),0)</f>
        <v>0</v>
      </c>
      <c r="EI239" s="24">
        <f>IF(EI233=1,'Lease Cycles'!$D$21*IF(INDEX('Lease Cycles'!$EF$21:$EL$21,1,EI231)=1,(1-'Lease Cycles'!$AJ$21)*INDEX('Lease Cycles'!$EM$21:$ES$21,1,EI231)+(1-'Lease Cycles'!$BE$21)*IF(EI232&lt;INDEX('Lease Cycles'!$FA$21:$FG$21,1,EI231),0,1-INDEX('Lease Cycles'!$EM$21:$ES$21,1,EI231)),IF(OR(INDEX('Lease Cycles'!$DY$21:$EE$21,1,EI231)=1,EI232&gt;0),1,1-INDEX('Lease Cycles'!$DD$21:$DJ$21,1,EI231))*((1-'Lease Cycles'!$AJ$21)*INDEX('Lease Cycles'!$FO$21:$FU$21,1,EI231)+(1-'Lease Cycles'!$BE$21)*(1-INDEX('Lease Cycles'!$FO$21:$FU$21,1,EI231)))),0)</f>
        <v>0</v>
      </c>
      <c r="EJ239" s="24">
        <f>IF(EJ233=1,'Lease Cycles'!$D$21*IF(INDEX('Lease Cycles'!$EF$21:$EL$21,1,EJ231)=1,(1-'Lease Cycles'!$AJ$21)*INDEX('Lease Cycles'!$EM$21:$ES$21,1,EJ231)+(1-'Lease Cycles'!$BE$21)*IF(EJ232&lt;INDEX('Lease Cycles'!$FA$21:$FG$21,1,EJ231),0,1-INDEX('Lease Cycles'!$EM$21:$ES$21,1,EJ231)),IF(OR(INDEX('Lease Cycles'!$DY$21:$EE$21,1,EJ231)=1,EJ232&gt;0),1,1-INDEX('Lease Cycles'!$DD$21:$DJ$21,1,EJ231))*((1-'Lease Cycles'!$AJ$21)*INDEX('Lease Cycles'!$FO$21:$FU$21,1,EJ231)+(1-'Lease Cycles'!$BE$21)*(1-INDEX('Lease Cycles'!$FO$21:$FU$21,1,EJ231)))),0)</f>
        <v>0</v>
      </c>
      <c r="EK239" s="24">
        <f>IF(EK233=1,'Lease Cycles'!$D$21*IF(INDEX('Lease Cycles'!$EF$21:$EL$21,1,EK231)=1,(1-'Lease Cycles'!$AJ$21)*INDEX('Lease Cycles'!$EM$21:$ES$21,1,EK231)+(1-'Lease Cycles'!$BE$21)*IF(EK232&lt;INDEX('Lease Cycles'!$FA$21:$FG$21,1,EK231),0,1-INDEX('Lease Cycles'!$EM$21:$ES$21,1,EK231)),IF(OR(INDEX('Lease Cycles'!$DY$21:$EE$21,1,EK231)=1,EK232&gt;0),1,1-INDEX('Lease Cycles'!$DD$21:$DJ$21,1,EK231))*((1-'Lease Cycles'!$AJ$21)*INDEX('Lease Cycles'!$FO$21:$FU$21,1,EK231)+(1-'Lease Cycles'!$BE$21)*(1-INDEX('Lease Cycles'!$FO$21:$FU$21,1,EK231)))),0)</f>
        <v>0</v>
      </c>
      <c r="EL239" s="24">
        <f>IF(EL233=1,'Lease Cycles'!$D$21*IF(INDEX('Lease Cycles'!$EF$21:$EL$21,1,EL231)=1,(1-'Lease Cycles'!$AJ$21)*INDEX('Lease Cycles'!$EM$21:$ES$21,1,EL231)+(1-'Lease Cycles'!$BE$21)*IF(EL232&lt;INDEX('Lease Cycles'!$FA$21:$FG$21,1,EL231),0,1-INDEX('Lease Cycles'!$EM$21:$ES$21,1,EL231)),IF(OR(INDEX('Lease Cycles'!$DY$21:$EE$21,1,EL231)=1,EL232&gt;0),1,1-INDEX('Lease Cycles'!$DD$21:$DJ$21,1,EL231))*((1-'Lease Cycles'!$AJ$21)*INDEX('Lease Cycles'!$FO$21:$FU$21,1,EL231)+(1-'Lease Cycles'!$BE$21)*(1-INDEX('Lease Cycles'!$FO$21:$FU$21,1,EL231)))),0)</f>
        <v>0</v>
      </c>
      <c r="EM239" s="24">
        <f>IF(EM233=1,'Lease Cycles'!$D$21*IF(INDEX('Lease Cycles'!$EF$21:$EL$21,1,EM231)=1,(1-'Lease Cycles'!$AJ$21)*INDEX('Lease Cycles'!$EM$21:$ES$21,1,EM231)+(1-'Lease Cycles'!$BE$21)*IF(EM232&lt;INDEX('Lease Cycles'!$FA$21:$FG$21,1,EM231),0,1-INDEX('Lease Cycles'!$EM$21:$ES$21,1,EM231)),IF(OR(INDEX('Lease Cycles'!$DY$21:$EE$21,1,EM231)=1,EM232&gt;0),1,1-INDEX('Lease Cycles'!$DD$21:$DJ$21,1,EM231))*((1-'Lease Cycles'!$AJ$21)*INDEX('Lease Cycles'!$FO$21:$FU$21,1,EM231)+(1-'Lease Cycles'!$BE$21)*(1-INDEX('Lease Cycles'!$FO$21:$FU$21,1,EM231)))),0)</f>
        <v>0</v>
      </c>
      <c r="EN239" s="24">
        <f>IF(EN233=1,'Lease Cycles'!$D$21*IF(INDEX('Lease Cycles'!$EF$21:$EL$21,1,EN231)=1,(1-'Lease Cycles'!$AJ$21)*INDEX('Lease Cycles'!$EM$21:$ES$21,1,EN231)+(1-'Lease Cycles'!$BE$21)*IF(EN232&lt;INDEX('Lease Cycles'!$FA$21:$FG$21,1,EN231),0,1-INDEX('Lease Cycles'!$EM$21:$ES$21,1,EN231)),IF(OR(INDEX('Lease Cycles'!$DY$21:$EE$21,1,EN231)=1,EN232&gt;0),1,1-INDEX('Lease Cycles'!$DD$21:$DJ$21,1,EN231))*((1-'Lease Cycles'!$AJ$21)*INDEX('Lease Cycles'!$FO$21:$FU$21,1,EN231)+(1-'Lease Cycles'!$BE$21)*(1-INDEX('Lease Cycles'!$FO$21:$FU$21,1,EN231)))),0)</f>
        <v>0</v>
      </c>
      <c r="EO239" s="24">
        <f>IF(EO233=1,'Lease Cycles'!$D$21*IF(INDEX('Lease Cycles'!$EF$21:$EL$21,1,EO231)=1,(1-'Lease Cycles'!$AJ$21)*INDEX('Lease Cycles'!$EM$21:$ES$21,1,EO231)+(1-'Lease Cycles'!$BE$21)*IF(EO232&lt;INDEX('Lease Cycles'!$FA$21:$FG$21,1,EO231),0,1-INDEX('Lease Cycles'!$EM$21:$ES$21,1,EO231)),IF(OR(INDEX('Lease Cycles'!$DY$21:$EE$21,1,EO231)=1,EO232&gt;0),1,1-INDEX('Lease Cycles'!$DD$21:$DJ$21,1,EO231))*((1-'Lease Cycles'!$AJ$21)*INDEX('Lease Cycles'!$FO$21:$FU$21,1,EO231)+(1-'Lease Cycles'!$BE$21)*(1-INDEX('Lease Cycles'!$FO$21:$FU$21,1,EO231)))),0)</f>
        <v>0</v>
      </c>
      <c r="EP239" s="24">
        <f>IF(EP233=1,'Lease Cycles'!$D$21*IF(INDEX('Lease Cycles'!$EF$21:$EL$21,1,EP231)=1,(1-'Lease Cycles'!$AJ$21)*INDEX('Lease Cycles'!$EM$21:$ES$21,1,EP231)+(1-'Lease Cycles'!$BE$21)*IF(EP232&lt;INDEX('Lease Cycles'!$FA$21:$FG$21,1,EP231),0,1-INDEX('Lease Cycles'!$EM$21:$ES$21,1,EP231)),IF(OR(INDEX('Lease Cycles'!$DY$21:$EE$21,1,EP231)=1,EP232&gt;0),1,1-INDEX('Lease Cycles'!$DD$21:$DJ$21,1,EP231))*((1-'Lease Cycles'!$AJ$21)*INDEX('Lease Cycles'!$FO$21:$FU$21,1,EP231)+(1-'Lease Cycles'!$BE$21)*(1-INDEX('Lease Cycles'!$FO$21:$FU$21,1,EP231)))),0)</f>
        <v>0</v>
      </c>
      <c r="EQ239" s="24">
        <f>IF(EQ233=1,'Lease Cycles'!$D$21*IF(INDEX('Lease Cycles'!$EF$21:$EL$21,1,EQ231)=1,(1-'Lease Cycles'!$AJ$21)*INDEX('Lease Cycles'!$EM$21:$ES$21,1,EQ231)+(1-'Lease Cycles'!$BE$21)*IF(EQ232&lt;INDEX('Lease Cycles'!$FA$21:$FG$21,1,EQ231),0,1-INDEX('Lease Cycles'!$EM$21:$ES$21,1,EQ231)),IF(OR(INDEX('Lease Cycles'!$DY$21:$EE$21,1,EQ231)=1,EQ232&gt;0),1,1-INDEX('Lease Cycles'!$DD$21:$DJ$21,1,EQ231))*((1-'Lease Cycles'!$AJ$21)*INDEX('Lease Cycles'!$FO$21:$FU$21,1,EQ231)+(1-'Lease Cycles'!$BE$21)*(1-INDEX('Lease Cycles'!$FO$21:$FU$21,1,EQ231)))),0)</f>
        <v>0</v>
      </c>
      <c r="ER239" s="24">
        <f>IF(ER233=1,'Lease Cycles'!$D$21*IF(INDEX('Lease Cycles'!$EF$21:$EL$21,1,ER231)=1,(1-'Lease Cycles'!$AJ$21)*INDEX('Lease Cycles'!$EM$21:$ES$21,1,ER231)+(1-'Lease Cycles'!$BE$21)*IF(ER232&lt;INDEX('Lease Cycles'!$FA$21:$FG$21,1,ER231),0,1-INDEX('Lease Cycles'!$EM$21:$ES$21,1,ER231)),IF(OR(INDEX('Lease Cycles'!$DY$21:$EE$21,1,ER231)=1,ER232&gt;0),1,1-INDEX('Lease Cycles'!$DD$21:$DJ$21,1,ER231))*((1-'Lease Cycles'!$AJ$21)*INDEX('Lease Cycles'!$FO$21:$FU$21,1,ER231)+(1-'Lease Cycles'!$BE$21)*(1-INDEX('Lease Cycles'!$FO$21:$FU$21,1,ER231)))),0)</f>
        <v>0</v>
      </c>
      <c r="ES239" s="24">
        <f>IF(ES233=1,'Lease Cycles'!$D$21*IF(INDEX('Lease Cycles'!$EF$21:$EL$21,1,ES231)=1,(1-'Lease Cycles'!$AJ$21)*INDEX('Lease Cycles'!$EM$21:$ES$21,1,ES231)+(1-'Lease Cycles'!$BE$21)*IF(ES232&lt;INDEX('Lease Cycles'!$FA$21:$FG$21,1,ES231),0,1-INDEX('Lease Cycles'!$EM$21:$ES$21,1,ES231)),IF(OR(INDEX('Lease Cycles'!$DY$21:$EE$21,1,ES231)=1,ES232&gt;0),1,1-INDEX('Lease Cycles'!$DD$21:$DJ$21,1,ES231))*((1-'Lease Cycles'!$AJ$21)*INDEX('Lease Cycles'!$FO$21:$FU$21,1,ES231)+(1-'Lease Cycles'!$BE$21)*(1-INDEX('Lease Cycles'!$FO$21:$FU$21,1,ES231)))),0)</f>
        <v>0</v>
      </c>
      <c r="ET239" s="24">
        <f>IF(ET233=1,'Lease Cycles'!$D$21*IF(INDEX('Lease Cycles'!$EF$21:$EL$21,1,ET231)=1,(1-'Lease Cycles'!$AJ$21)*INDEX('Lease Cycles'!$EM$21:$ES$21,1,ET231)+(1-'Lease Cycles'!$BE$21)*IF(ET232&lt;INDEX('Lease Cycles'!$FA$21:$FG$21,1,ET231),0,1-INDEX('Lease Cycles'!$EM$21:$ES$21,1,ET231)),IF(OR(INDEX('Lease Cycles'!$DY$21:$EE$21,1,ET231)=1,ET232&gt;0),1,1-INDEX('Lease Cycles'!$DD$21:$DJ$21,1,ET231))*((1-'Lease Cycles'!$AJ$21)*INDEX('Lease Cycles'!$FO$21:$FU$21,1,ET231)+(1-'Lease Cycles'!$BE$21)*(1-INDEX('Lease Cycles'!$FO$21:$FU$21,1,ET231)))),0)</f>
        <v>0</v>
      </c>
    </row>
    <row r="240">
      <c r="A240" s="103">
        <v>14</v>
      </c>
      <c r="B240" s="23" t="str">
        <f>IF('Lease Cycles'!$B$21="","(empty slot)",'Lease Cycles'!$B$21)</f>
        <v>(empty slot)</v>
      </c>
      <c r="C240" s="23" t="s">
        <v>685</v>
      </c>
      <c r="D240" s="104" t="s">
        <v>686</v>
      </c>
      <c r="E240" s="25">
        <f>'Lease Cycles'!$AL$21</f>
        <v>0</v>
      </c>
      <c r="G240" s="24">
        <f>SUM(S240:AD240)</f>
        <v>0</v>
      </c>
      <c r="H240" s="24">
        <f>SUM(AE240:AP240)</f>
        <v>0</v>
      </c>
      <c r="I240" s="24">
        <f>SUM(AQ240:BB240)</f>
        <v>0</v>
      </c>
      <c r="J240" s="24">
        <f>SUM(BC240:BN240)</f>
        <v>0</v>
      </c>
      <c r="K240" s="24">
        <f>SUM(BO240:BZ240)</f>
        <v>0</v>
      </c>
      <c r="L240" s="24">
        <f>SUM(CA240:CL240)</f>
        <v>0</v>
      </c>
      <c r="M240" s="24">
        <f>SUM(CM240:CX240)</f>
        <v>0</v>
      </c>
      <c r="N240" s="24">
        <f>SUM(CY240:DJ240)</f>
        <v>0</v>
      </c>
      <c r="O240" s="24">
        <f>SUM(DK240:DV240)</f>
        <v>0</v>
      </c>
      <c r="P240" s="24">
        <f>SUM(DW240:EH240)</f>
        <v>0</v>
      </c>
      <c r="Q240" s="24">
        <f>SUM(EI240:ET240)</f>
        <v>0</v>
      </c>
      <c r="S240" s="24">
        <f>IF(S233=1,IF('Lease Cycles'!$AJ$21=1,0,'Lease Cycles'!$D$21*INDEX('Lease Cycles'!$FH$21:$FN$21,1,S231)*IF(INDEX('Lease Cycles'!$EF$21:$EL$21,1,S231)=1,1,IF(OR(INDEX('Lease Cycles'!$DY$21:$EE$21,1,S231)=1,S232&gt;0),1,1-INDEX('Lease Cycles'!$DD$21:$DJ$21,1,S231)))),0)</f>
        <v>0</v>
      </c>
      <c r="T240" s="24">
        <f>IF(T233=1,IF('Lease Cycles'!$AJ$21=1,0,'Lease Cycles'!$D$21*INDEX('Lease Cycles'!$FH$21:$FN$21,1,T231)*IF(INDEX('Lease Cycles'!$EF$21:$EL$21,1,T231)=1,1,IF(OR(INDEX('Lease Cycles'!$DY$21:$EE$21,1,T231)=1,T232&gt;0),1,1-INDEX('Lease Cycles'!$DD$21:$DJ$21,1,T231)))),0)</f>
        <v>0</v>
      </c>
      <c r="U240" s="24">
        <f>IF(U233=1,IF('Lease Cycles'!$AJ$21=1,0,'Lease Cycles'!$D$21*INDEX('Lease Cycles'!$FH$21:$FN$21,1,U231)*IF(INDEX('Lease Cycles'!$EF$21:$EL$21,1,U231)=1,1,IF(OR(INDEX('Lease Cycles'!$DY$21:$EE$21,1,U231)=1,U232&gt;0),1,1-INDEX('Lease Cycles'!$DD$21:$DJ$21,1,U231)))),0)</f>
        <v>0</v>
      </c>
      <c r="V240" s="24">
        <f>IF(V233=1,IF('Lease Cycles'!$AJ$21=1,0,'Lease Cycles'!$D$21*INDEX('Lease Cycles'!$FH$21:$FN$21,1,V231)*IF(INDEX('Lease Cycles'!$EF$21:$EL$21,1,V231)=1,1,IF(OR(INDEX('Lease Cycles'!$DY$21:$EE$21,1,V231)=1,V232&gt;0),1,1-INDEX('Lease Cycles'!$DD$21:$DJ$21,1,V231)))),0)</f>
        <v>0</v>
      </c>
      <c r="W240" s="24">
        <f>IF(W233=1,IF('Lease Cycles'!$AJ$21=1,0,'Lease Cycles'!$D$21*INDEX('Lease Cycles'!$FH$21:$FN$21,1,W231)*IF(INDEX('Lease Cycles'!$EF$21:$EL$21,1,W231)=1,1,IF(OR(INDEX('Lease Cycles'!$DY$21:$EE$21,1,W231)=1,W232&gt;0),1,1-INDEX('Lease Cycles'!$DD$21:$DJ$21,1,W231)))),0)</f>
        <v>0</v>
      </c>
      <c r="X240" s="24">
        <f>IF(X233=1,IF('Lease Cycles'!$AJ$21=1,0,'Lease Cycles'!$D$21*INDEX('Lease Cycles'!$FH$21:$FN$21,1,X231)*IF(INDEX('Lease Cycles'!$EF$21:$EL$21,1,X231)=1,1,IF(OR(INDEX('Lease Cycles'!$DY$21:$EE$21,1,X231)=1,X232&gt;0),1,1-INDEX('Lease Cycles'!$DD$21:$DJ$21,1,X231)))),0)</f>
        <v>0</v>
      </c>
      <c r="Y240" s="24">
        <f>IF(Y233=1,IF('Lease Cycles'!$AJ$21=1,0,'Lease Cycles'!$D$21*INDEX('Lease Cycles'!$FH$21:$FN$21,1,Y231)*IF(INDEX('Lease Cycles'!$EF$21:$EL$21,1,Y231)=1,1,IF(OR(INDEX('Lease Cycles'!$DY$21:$EE$21,1,Y231)=1,Y232&gt;0),1,1-INDEX('Lease Cycles'!$DD$21:$DJ$21,1,Y231)))),0)</f>
        <v>0</v>
      </c>
      <c r="Z240" s="24">
        <f>IF(Z233=1,IF('Lease Cycles'!$AJ$21=1,0,'Lease Cycles'!$D$21*INDEX('Lease Cycles'!$FH$21:$FN$21,1,Z231)*IF(INDEX('Lease Cycles'!$EF$21:$EL$21,1,Z231)=1,1,IF(OR(INDEX('Lease Cycles'!$DY$21:$EE$21,1,Z231)=1,Z232&gt;0),1,1-INDEX('Lease Cycles'!$DD$21:$DJ$21,1,Z231)))),0)</f>
        <v>0</v>
      </c>
      <c r="AA240" s="24">
        <f>IF(AA233=1,IF('Lease Cycles'!$AJ$21=1,0,'Lease Cycles'!$D$21*INDEX('Lease Cycles'!$FH$21:$FN$21,1,AA231)*IF(INDEX('Lease Cycles'!$EF$21:$EL$21,1,AA231)=1,1,IF(OR(INDEX('Lease Cycles'!$DY$21:$EE$21,1,AA231)=1,AA232&gt;0),1,1-INDEX('Lease Cycles'!$DD$21:$DJ$21,1,AA231)))),0)</f>
        <v>0</v>
      </c>
      <c r="AB240" s="24">
        <f>IF(AB233=1,IF('Lease Cycles'!$AJ$21=1,0,'Lease Cycles'!$D$21*INDEX('Lease Cycles'!$FH$21:$FN$21,1,AB231)*IF(INDEX('Lease Cycles'!$EF$21:$EL$21,1,AB231)=1,1,IF(OR(INDEX('Lease Cycles'!$DY$21:$EE$21,1,AB231)=1,AB232&gt;0),1,1-INDEX('Lease Cycles'!$DD$21:$DJ$21,1,AB231)))),0)</f>
        <v>0</v>
      </c>
      <c r="AC240" s="24">
        <f>IF(AC233=1,IF('Lease Cycles'!$AJ$21=1,0,'Lease Cycles'!$D$21*INDEX('Lease Cycles'!$FH$21:$FN$21,1,AC231)*IF(INDEX('Lease Cycles'!$EF$21:$EL$21,1,AC231)=1,1,IF(OR(INDEX('Lease Cycles'!$DY$21:$EE$21,1,AC231)=1,AC232&gt;0),1,1-INDEX('Lease Cycles'!$DD$21:$DJ$21,1,AC231)))),0)</f>
        <v>0</v>
      </c>
      <c r="AD240" s="24">
        <f>IF(AD233=1,IF('Lease Cycles'!$AJ$21=1,0,'Lease Cycles'!$D$21*INDEX('Lease Cycles'!$FH$21:$FN$21,1,AD231)*IF(INDEX('Lease Cycles'!$EF$21:$EL$21,1,AD231)=1,1,IF(OR(INDEX('Lease Cycles'!$DY$21:$EE$21,1,AD231)=1,AD232&gt;0),1,1-INDEX('Lease Cycles'!$DD$21:$DJ$21,1,AD231)))),0)</f>
        <v>0</v>
      </c>
      <c r="AE240" s="24">
        <f>IF(AE233=1,IF('Lease Cycles'!$AJ$21=1,0,'Lease Cycles'!$D$21*INDEX('Lease Cycles'!$FH$21:$FN$21,1,AE231)*IF(INDEX('Lease Cycles'!$EF$21:$EL$21,1,AE231)=1,1,IF(OR(INDEX('Lease Cycles'!$DY$21:$EE$21,1,AE231)=1,AE232&gt;0),1,1-INDEX('Lease Cycles'!$DD$21:$DJ$21,1,AE231)))),0)</f>
        <v>0</v>
      </c>
      <c r="AF240" s="24">
        <f>IF(AF233=1,IF('Lease Cycles'!$AJ$21=1,0,'Lease Cycles'!$D$21*INDEX('Lease Cycles'!$FH$21:$FN$21,1,AF231)*IF(INDEX('Lease Cycles'!$EF$21:$EL$21,1,AF231)=1,1,IF(OR(INDEX('Lease Cycles'!$DY$21:$EE$21,1,AF231)=1,AF232&gt;0),1,1-INDEX('Lease Cycles'!$DD$21:$DJ$21,1,AF231)))),0)</f>
        <v>0</v>
      </c>
      <c r="AG240" s="24">
        <f>IF(AG233=1,IF('Lease Cycles'!$AJ$21=1,0,'Lease Cycles'!$D$21*INDEX('Lease Cycles'!$FH$21:$FN$21,1,AG231)*IF(INDEX('Lease Cycles'!$EF$21:$EL$21,1,AG231)=1,1,IF(OR(INDEX('Lease Cycles'!$DY$21:$EE$21,1,AG231)=1,AG232&gt;0),1,1-INDEX('Lease Cycles'!$DD$21:$DJ$21,1,AG231)))),0)</f>
        <v>0</v>
      </c>
      <c r="AH240" s="24">
        <f>IF(AH233=1,IF('Lease Cycles'!$AJ$21=1,0,'Lease Cycles'!$D$21*INDEX('Lease Cycles'!$FH$21:$FN$21,1,AH231)*IF(INDEX('Lease Cycles'!$EF$21:$EL$21,1,AH231)=1,1,IF(OR(INDEX('Lease Cycles'!$DY$21:$EE$21,1,AH231)=1,AH232&gt;0),1,1-INDEX('Lease Cycles'!$DD$21:$DJ$21,1,AH231)))),0)</f>
        <v>0</v>
      </c>
      <c r="AI240" s="24">
        <f>IF(AI233=1,IF('Lease Cycles'!$AJ$21=1,0,'Lease Cycles'!$D$21*INDEX('Lease Cycles'!$FH$21:$FN$21,1,AI231)*IF(INDEX('Lease Cycles'!$EF$21:$EL$21,1,AI231)=1,1,IF(OR(INDEX('Lease Cycles'!$DY$21:$EE$21,1,AI231)=1,AI232&gt;0),1,1-INDEX('Lease Cycles'!$DD$21:$DJ$21,1,AI231)))),0)</f>
        <v>0</v>
      </c>
      <c r="AJ240" s="24">
        <f>IF(AJ233=1,IF('Lease Cycles'!$AJ$21=1,0,'Lease Cycles'!$D$21*INDEX('Lease Cycles'!$FH$21:$FN$21,1,AJ231)*IF(INDEX('Lease Cycles'!$EF$21:$EL$21,1,AJ231)=1,1,IF(OR(INDEX('Lease Cycles'!$DY$21:$EE$21,1,AJ231)=1,AJ232&gt;0),1,1-INDEX('Lease Cycles'!$DD$21:$DJ$21,1,AJ231)))),0)</f>
        <v>0</v>
      </c>
      <c r="AK240" s="24">
        <f>IF(AK233=1,IF('Lease Cycles'!$AJ$21=1,0,'Lease Cycles'!$D$21*INDEX('Lease Cycles'!$FH$21:$FN$21,1,AK231)*IF(INDEX('Lease Cycles'!$EF$21:$EL$21,1,AK231)=1,1,IF(OR(INDEX('Lease Cycles'!$DY$21:$EE$21,1,AK231)=1,AK232&gt;0),1,1-INDEX('Lease Cycles'!$DD$21:$DJ$21,1,AK231)))),0)</f>
        <v>0</v>
      </c>
      <c r="AL240" s="24">
        <f>IF(AL233=1,IF('Lease Cycles'!$AJ$21=1,0,'Lease Cycles'!$D$21*INDEX('Lease Cycles'!$FH$21:$FN$21,1,AL231)*IF(INDEX('Lease Cycles'!$EF$21:$EL$21,1,AL231)=1,1,IF(OR(INDEX('Lease Cycles'!$DY$21:$EE$21,1,AL231)=1,AL232&gt;0),1,1-INDEX('Lease Cycles'!$DD$21:$DJ$21,1,AL231)))),0)</f>
        <v>0</v>
      </c>
      <c r="AM240" s="24">
        <f>IF(AM233=1,IF('Lease Cycles'!$AJ$21=1,0,'Lease Cycles'!$D$21*INDEX('Lease Cycles'!$FH$21:$FN$21,1,AM231)*IF(INDEX('Lease Cycles'!$EF$21:$EL$21,1,AM231)=1,1,IF(OR(INDEX('Lease Cycles'!$DY$21:$EE$21,1,AM231)=1,AM232&gt;0),1,1-INDEX('Lease Cycles'!$DD$21:$DJ$21,1,AM231)))),0)</f>
        <v>0</v>
      </c>
      <c r="AN240" s="24">
        <f>IF(AN233=1,IF('Lease Cycles'!$AJ$21=1,0,'Lease Cycles'!$D$21*INDEX('Lease Cycles'!$FH$21:$FN$21,1,AN231)*IF(INDEX('Lease Cycles'!$EF$21:$EL$21,1,AN231)=1,1,IF(OR(INDEX('Lease Cycles'!$DY$21:$EE$21,1,AN231)=1,AN232&gt;0),1,1-INDEX('Lease Cycles'!$DD$21:$DJ$21,1,AN231)))),0)</f>
        <v>0</v>
      </c>
      <c r="AO240" s="24">
        <f>IF(AO233=1,IF('Lease Cycles'!$AJ$21=1,0,'Lease Cycles'!$D$21*INDEX('Lease Cycles'!$FH$21:$FN$21,1,AO231)*IF(INDEX('Lease Cycles'!$EF$21:$EL$21,1,AO231)=1,1,IF(OR(INDEX('Lease Cycles'!$DY$21:$EE$21,1,AO231)=1,AO232&gt;0),1,1-INDEX('Lease Cycles'!$DD$21:$DJ$21,1,AO231)))),0)</f>
        <v>0</v>
      </c>
      <c r="AP240" s="24">
        <f>IF(AP233=1,IF('Lease Cycles'!$AJ$21=1,0,'Lease Cycles'!$D$21*INDEX('Lease Cycles'!$FH$21:$FN$21,1,AP231)*IF(INDEX('Lease Cycles'!$EF$21:$EL$21,1,AP231)=1,1,IF(OR(INDEX('Lease Cycles'!$DY$21:$EE$21,1,AP231)=1,AP232&gt;0),1,1-INDEX('Lease Cycles'!$DD$21:$DJ$21,1,AP231)))),0)</f>
        <v>0</v>
      </c>
      <c r="AQ240" s="24">
        <f>IF(AQ233=1,IF('Lease Cycles'!$AJ$21=1,0,'Lease Cycles'!$D$21*INDEX('Lease Cycles'!$FH$21:$FN$21,1,AQ231)*IF(INDEX('Lease Cycles'!$EF$21:$EL$21,1,AQ231)=1,1,IF(OR(INDEX('Lease Cycles'!$DY$21:$EE$21,1,AQ231)=1,AQ232&gt;0),1,1-INDEX('Lease Cycles'!$DD$21:$DJ$21,1,AQ231)))),0)</f>
        <v>0</v>
      </c>
      <c r="AR240" s="24">
        <f>IF(AR233=1,IF('Lease Cycles'!$AJ$21=1,0,'Lease Cycles'!$D$21*INDEX('Lease Cycles'!$FH$21:$FN$21,1,AR231)*IF(INDEX('Lease Cycles'!$EF$21:$EL$21,1,AR231)=1,1,IF(OR(INDEX('Lease Cycles'!$DY$21:$EE$21,1,AR231)=1,AR232&gt;0),1,1-INDEX('Lease Cycles'!$DD$21:$DJ$21,1,AR231)))),0)</f>
        <v>0</v>
      </c>
      <c r="AS240" s="24">
        <f>IF(AS233=1,IF('Lease Cycles'!$AJ$21=1,0,'Lease Cycles'!$D$21*INDEX('Lease Cycles'!$FH$21:$FN$21,1,AS231)*IF(INDEX('Lease Cycles'!$EF$21:$EL$21,1,AS231)=1,1,IF(OR(INDEX('Lease Cycles'!$DY$21:$EE$21,1,AS231)=1,AS232&gt;0),1,1-INDEX('Lease Cycles'!$DD$21:$DJ$21,1,AS231)))),0)</f>
        <v>0</v>
      </c>
      <c r="AT240" s="24">
        <f>IF(AT233=1,IF('Lease Cycles'!$AJ$21=1,0,'Lease Cycles'!$D$21*INDEX('Lease Cycles'!$FH$21:$FN$21,1,AT231)*IF(INDEX('Lease Cycles'!$EF$21:$EL$21,1,AT231)=1,1,IF(OR(INDEX('Lease Cycles'!$DY$21:$EE$21,1,AT231)=1,AT232&gt;0),1,1-INDEX('Lease Cycles'!$DD$21:$DJ$21,1,AT231)))),0)</f>
        <v>0</v>
      </c>
      <c r="AU240" s="24">
        <f>IF(AU233=1,IF('Lease Cycles'!$AJ$21=1,0,'Lease Cycles'!$D$21*INDEX('Lease Cycles'!$FH$21:$FN$21,1,AU231)*IF(INDEX('Lease Cycles'!$EF$21:$EL$21,1,AU231)=1,1,IF(OR(INDEX('Lease Cycles'!$DY$21:$EE$21,1,AU231)=1,AU232&gt;0),1,1-INDEX('Lease Cycles'!$DD$21:$DJ$21,1,AU231)))),0)</f>
        <v>0</v>
      </c>
      <c r="AV240" s="24">
        <f>IF(AV233=1,IF('Lease Cycles'!$AJ$21=1,0,'Lease Cycles'!$D$21*INDEX('Lease Cycles'!$FH$21:$FN$21,1,AV231)*IF(INDEX('Lease Cycles'!$EF$21:$EL$21,1,AV231)=1,1,IF(OR(INDEX('Lease Cycles'!$DY$21:$EE$21,1,AV231)=1,AV232&gt;0),1,1-INDEX('Lease Cycles'!$DD$21:$DJ$21,1,AV231)))),0)</f>
        <v>0</v>
      </c>
      <c r="AW240" s="24">
        <f>IF(AW233=1,IF('Lease Cycles'!$AJ$21=1,0,'Lease Cycles'!$D$21*INDEX('Lease Cycles'!$FH$21:$FN$21,1,AW231)*IF(INDEX('Lease Cycles'!$EF$21:$EL$21,1,AW231)=1,1,IF(OR(INDEX('Lease Cycles'!$DY$21:$EE$21,1,AW231)=1,AW232&gt;0),1,1-INDEX('Lease Cycles'!$DD$21:$DJ$21,1,AW231)))),0)</f>
        <v>0</v>
      </c>
      <c r="AX240" s="24">
        <f>IF(AX233=1,IF('Lease Cycles'!$AJ$21=1,0,'Lease Cycles'!$D$21*INDEX('Lease Cycles'!$FH$21:$FN$21,1,AX231)*IF(INDEX('Lease Cycles'!$EF$21:$EL$21,1,AX231)=1,1,IF(OR(INDEX('Lease Cycles'!$DY$21:$EE$21,1,AX231)=1,AX232&gt;0),1,1-INDEX('Lease Cycles'!$DD$21:$DJ$21,1,AX231)))),0)</f>
        <v>0</v>
      </c>
      <c r="AY240" s="24">
        <f>IF(AY233=1,IF('Lease Cycles'!$AJ$21=1,0,'Lease Cycles'!$D$21*INDEX('Lease Cycles'!$FH$21:$FN$21,1,AY231)*IF(INDEX('Lease Cycles'!$EF$21:$EL$21,1,AY231)=1,1,IF(OR(INDEX('Lease Cycles'!$DY$21:$EE$21,1,AY231)=1,AY232&gt;0),1,1-INDEX('Lease Cycles'!$DD$21:$DJ$21,1,AY231)))),0)</f>
        <v>0</v>
      </c>
      <c r="AZ240" s="24">
        <f>IF(AZ233=1,IF('Lease Cycles'!$AJ$21=1,0,'Lease Cycles'!$D$21*INDEX('Lease Cycles'!$FH$21:$FN$21,1,AZ231)*IF(INDEX('Lease Cycles'!$EF$21:$EL$21,1,AZ231)=1,1,IF(OR(INDEX('Lease Cycles'!$DY$21:$EE$21,1,AZ231)=1,AZ232&gt;0),1,1-INDEX('Lease Cycles'!$DD$21:$DJ$21,1,AZ231)))),0)</f>
        <v>0</v>
      </c>
      <c r="BA240" s="24">
        <f>IF(BA233=1,IF('Lease Cycles'!$AJ$21=1,0,'Lease Cycles'!$D$21*INDEX('Lease Cycles'!$FH$21:$FN$21,1,BA231)*IF(INDEX('Lease Cycles'!$EF$21:$EL$21,1,BA231)=1,1,IF(OR(INDEX('Lease Cycles'!$DY$21:$EE$21,1,BA231)=1,BA232&gt;0),1,1-INDEX('Lease Cycles'!$DD$21:$DJ$21,1,BA231)))),0)</f>
        <v>0</v>
      </c>
      <c r="BB240" s="24">
        <f>IF(BB233=1,IF('Lease Cycles'!$AJ$21=1,0,'Lease Cycles'!$D$21*INDEX('Lease Cycles'!$FH$21:$FN$21,1,BB231)*IF(INDEX('Lease Cycles'!$EF$21:$EL$21,1,BB231)=1,1,IF(OR(INDEX('Lease Cycles'!$DY$21:$EE$21,1,BB231)=1,BB232&gt;0),1,1-INDEX('Lease Cycles'!$DD$21:$DJ$21,1,BB231)))),0)</f>
        <v>0</v>
      </c>
      <c r="BC240" s="24">
        <f>IF(BC233=1,IF('Lease Cycles'!$AJ$21=1,0,'Lease Cycles'!$D$21*INDEX('Lease Cycles'!$FH$21:$FN$21,1,BC231)*IF(INDEX('Lease Cycles'!$EF$21:$EL$21,1,BC231)=1,1,IF(OR(INDEX('Lease Cycles'!$DY$21:$EE$21,1,BC231)=1,BC232&gt;0),1,1-INDEX('Lease Cycles'!$DD$21:$DJ$21,1,BC231)))),0)</f>
        <v>0</v>
      </c>
      <c r="BD240" s="24">
        <f>IF(BD233=1,IF('Lease Cycles'!$AJ$21=1,0,'Lease Cycles'!$D$21*INDEX('Lease Cycles'!$FH$21:$FN$21,1,BD231)*IF(INDEX('Lease Cycles'!$EF$21:$EL$21,1,BD231)=1,1,IF(OR(INDEX('Lease Cycles'!$DY$21:$EE$21,1,BD231)=1,BD232&gt;0),1,1-INDEX('Lease Cycles'!$DD$21:$DJ$21,1,BD231)))),0)</f>
        <v>0</v>
      </c>
      <c r="BE240" s="24">
        <f>IF(BE233=1,IF('Lease Cycles'!$AJ$21=1,0,'Lease Cycles'!$D$21*INDEX('Lease Cycles'!$FH$21:$FN$21,1,BE231)*IF(INDEX('Lease Cycles'!$EF$21:$EL$21,1,BE231)=1,1,IF(OR(INDEX('Lease Cycles'!$DY$21:$EE$21,1,BE231)=1,BE232&gt;0),1,1-INDEX('Lease Cycles'!$DD$21:$DJ$21,1,BE231)))),0)</f>
        <v>0</v>
      </c>
      <c r="BF240" s="24">
        <f>IF(BF233=1,IF('Lease Cycles'!$AJ$21=1,0,'Lease Cycles'!$D$21*INDEX('Lease Cycles'!$FH$21:$FN$21,1,BF231)*IF(INDEX('Lease Cycles'!$EF$21:$EL$21,1,BF231)=1,1,IF(OR(INDEX('Lease Cycles'!$DY$21:$EE$21,1,BF231)=1,BF232&gt;0),1,1-INDEX('Lease Cycles'!$DD$21:$DJ$21,1,BF231)))),0)</f>
        <v>0</v>
      </c>
      <c r="BG240" s="24">
        <f>IF(BG233=1,IF('Lease Cycles'!$AJ$21=1,0,'Lease Cycles'!$D$21*INDEX('Lease Cycles'!$FH$21:$FN$21,1,BG231)*IF(INDEX('Lease Cycles'!$EF$21:$EL$21,1,BG231)=1,1,IF(OR(INDEX('Lease Cycles'!$DY$21:$EE$21,1,BG231)=1,BG232&gt;0),1,1-INDEX('Lease Cycles'!$DD$21:$DJ$21,1,BG231)))),0)</f>
        <v>0</v>
      </c>
      <c r="BH240" s="24">
        <f>IF(BH233=1,IF('Lease Cycles'!$AJ$21=1,0,'Lease Cycles'!$D$21*INDEX('Lease Cycles'!$FH$21:$FN$21,1,BH231)*IF(INDEX('Lease Cycles'!$EF$21:$EL$21,1,BH231)=1,1,IF(OR(INDEX('Lease Cycles'!$DY$21:$EE$21,1,BH231)=1,BH232&gt;0),1,1-INDEX('Lease Cycles'!$DD$21:$DJ$21,1,BH231)))),0)</f>
        <v>0</v>
      </c>
      <c r="BI240" s="24">
        <f>IF(BI233=1,IF('Lease Cycles'!$AJ$21=1,0,'Lease Cycles'!$D$21*INDEX('Lease Cycles'!$FH$21:$FN$21,1,BI231)*IF(INDEX('Lease Cycles'!$EF$21:$EL$21,1,BI231)=1,1,IF(OR(INDEX('Lease Cycles'!$DY$21:$EE$21,1,BI231)=1,BI232&gt;0),1,1-INDEX('Lease Cycles'!$DD$21:$DJ$21,1,BI231)))),0)</f>
        <v>0</v>
      </c>
      <c r="BJ240" s="24">
        <f>IF(BJ233=1,IF('Lease Cycles'!$AJ$21=1,0,'Lease Cycles'!$D$21*INDEX('Lease Cycles'!$FH$21:$FN$21,1,BJ231)*IF(INDEX('Lease Cycles'!$EF$21:$EL$21,1,BJ231)=1,1,IF(OR(INDEX('Lease Cycles'!$DY$21:$EE$21,1,BJ231)=1,BJ232&gt;0),1,1-INDEX('Lease Cycles'!$DD$21:$DJ$21,1,BJ231)))),0)</f>
        <v>0</v>
      </c>
      <c r="BK240" s="24">
        <f>IF(BK233=1,IF('Lease Cycles'!$AJ$21=1,0,'Lease Cycles'!$D$21*INDEX('Lease Cycles'!$FH$21:$FN$21,1,BK231)*IF(INDEX('Lease Cycles'!$EF$21:$EL$21,1,BK231)=1,1,IF(OR(INDEX('Lease Cycles'!$DY$21:$EE$21,1,BK231)=1,BK232&gt;0),1,1-INDEX('Lease Cycles'!$DD$21:$DJ$21,1,BK231)))),0)</f>
        <v>0</v>
      </c>
      <c r="BL240" s="24">
        <f>IF(BL233=1,IF('Lease Cycles'!$AJ$21=1,0,'Lease Cycles'!$D$21*INDEX('Lease Cycles'!$FH$21:$FN$21,1,BL231)*IF(INDEX('Lease Cycles'!$EF$21:$EL$21,1,BL231)=1,1,IF(OR(INDEX('Lease Cycles'!$DY$21:$EE$21,1,BL231)=1,BL232&gt;0),1,1-INDEX('Lease Cycles'!$DD$21:$DJ$21,1,BL231)))),0)</f>
        <v>0</v>
      </c>
      <c r="BM240" s="24">
        <f>IF(BM233=1,IF('Lease Cycles'!$AJ$21=1,0,'Lease Cycles'!$D$21*INDEX('Lease Cycles'!$FH$21:$FN$21,1,BM231)*IF(INDEX('Lease Cycles'!$EF$21:$EL$21,1,BM231)=1,1,IF(OR(INDEX('Lease Cycles'!$DY$21:$EE$21,1,BM231)=1,BM232&gt;0),1,1-INDEX('Lease Cycles'!$DD$21:$DJ$21,1,BM231)))),0)</f>
        <v>0</v>
      </c>
      <c r="BN240" s="24">
        <f>IF(BN233=1,IF('Lease Cycles'!$AJ$21=1,0,'Lease Cycles'!$D$21*INDEX('Lease Cycles'!$FH$21:$FN$21,1,BN231)*IF(INDEX('Lease Cycles'!$EF$21:$EL$21,1,BN231)=1,1,IF(OR(INDEX('Lease Cycles'!$DY$21:$EE$21,1,BN231)=1,BN232&gt;0),1,1-INDEX('Lease Cycles'!$DD$21:$DJ$21,1,BN231)))),0)</f>
        <v>0</v>
      </c>
      <c r="BO240" s="24">
        <f>IF(BO233=1,IF('Lease Cycles'!$AJ$21=1,0,'Lease Cycles'!$D$21*INDEX('Lease Cycles'!$FH$21:$FN$21,1,BO231)*IF(INDEX('Lease Cycles'!$EF$21:$EL$21,1,BO231)=1,1,IF(OR(INDEX('Lease Cycles'!$DY$21:$EE$21,1,BO231)=1,BO232&gt;0),1,1-INDEX('Lease Cycles'!$DD$21:$DJ$21,1,BO231)))),0)</f>
        <v>0</v>
      </c>
      <c r="BP240" s="24">
        <f>IF(BP233=1,IF('Lease Cycles'!$AJ$21=1,0,'Lease Cycles'!$D$21*INDEX('Lease Cycles'!$FH$21:$FN$21,1,BP231)*IF(INDEX('Lease Cycles'!$EF$21:$EL$21,1,BP231)=1,1,IF(OR(INDEX('Lease Cycles'!$DY$21:$EE$21,1,BP231)=1,BP232&gt;0),1,1-INDEX('Lease Cycles'!$DD$21:$DJ$21,1,BP231)))),0)</f>
        <v>0</v>
      </c>
      <c r="BQ240" s="24">
        <f>IF(BQ233=1,IF('Lease Cycles'!$AJ$21=1,0,'Lease Cycles'!$D$21*INDEX('Lease Cycles'!$FH$21:$FN$21,1,BQ231)*IF(INDEX('Lease Cycles'!$EF$21:$EL$21,1,BQ231)=1,1,IF(OR(INDEX('Lease Cycles'!$DY$21:$EE$21,1,BQ231)=1,BQ232&gt;0),1,1-INDEX('Lease Cycles'!$DD$21:$DJ$21,1,BQ231)))),0)</f>
        <v>0</v>
      </c>
      <c r="BR240" s="24">
        <f>IF(BR233=1,IF('Lease Cycles'!$AJ$21=1,0,'Lease Cycles'!$D$21*INDEX('Lease Cycles'!$FH$21:$FN$21,1,BR231)*IF(INDEX('Lease Cycles'!$EF$21:$EL$21,1,BR231)=1,1,IF(OR(INDEX('Lease Cycles'!$DY$21:$EE$21,1,BR231)=1,BR232&gt;0),1,1-INDEX('Lease Cycles'!$DD$21:$DJ$21,1,BR231)))),0)</f>
        <v>0</v>
      </c>
      <c r="BS240" s="24">
        <f>IF(BS233=1,IF('Lease Cycles'!$AJ$21=1,0,'Lease Cycles'!$D$21*INDEX('Lease Cycles'!$FH$21:$FN$21,1,BS231)*IF(INDEX('Lease Cycles'!$EF$21:$EL$21,1,BS231)=1,1,IF(OR(INDEX('Lease Cycles'!$DY$21:$EE$21,1,BS231)=1,BS232&gt;0),1,1-INDEX('Lease Cycles'!$DD$21:$DJ$21,1,BS231)))),0)</f>
        <v>0</v>
      </c>
      <c r="BT240" s="24">
        <f>IF(BT233=1,IF('Lease Cycles'!$AJ$21=1,0,'Lease Cycles'!$D$21*INDEX('Lease Cycles'!$FH$21:$FN$21,1,BT231)*IF(INDEX('Lease Cycles'!$EF$21:$EL$21,1,BT231)=1,1,IF(OR(INDEX('Lease Cycles'!$DY$21:$EE$21,1,BT231)=1,BT232&gt;0),1,1-INDEX('Lease Cycles'!$DD$21:$DJ$21,1,BT231)))),0)</f>
        <v>0</v>
      </c>
      <c r="BU240" s="24">
        <f>IF(BU233=1,IF('Lease Cycles'!$AJ$21=1,0,'Lease Cycles'!$D$21*INDEX('Lease Cycles'!$FH$21:$FN$21,1,BU231)*IF(INDEX('Lease Cycles'!$EF$21:$EL$21,1,BU231)=1,1,IF(OR(INDEX('Lease Cycles'!$DY$21:$EE$21,1,BU231)=1,BU232&gt;0),1,1-INDEX('Lease Cycles'!$DD$21:$DJ$21,1,BU231)))),0)</f>
        <v>0</v>
      </c>
      <c r="BV240" s="24">
        <f>IF(BV233=1,IF('Lease Cycles'!$AJ$21=1,0,'Lease Cycles'!$D$21*INDEX('Lease Cycles'!$FH$21:$FN$21,1,BV231)*IF(INDEX('Lease Cycles'!$EF$21:$EL$21,1,BV231)=1,1,IF(OR(INDEX('Lease Cycles'!$DY$21:$EE$21,1,BV231)=1,BV232&gt;0),1,1-INDEX('Lease Cycles'!$DD$21:$DJ$21,1,BV231)))),0)</f>
        <v>0</v>
      </c>
      <c r="BW240" s="24">
        <f>IF(BW233=1,IF('Lease Cycles'!$AJ$21=1,0,'Lease Cycles'!$D$21*INDEX('Lease Cycles'!$FH$21:$FN$21,1,BW231)*IF(INDEX('Lease Cycles'!$EF$21:$EL$21,1,BW231)=1,1,IF(OR(INDEX('Lease Cycles'!$DY$21:$EE$21,1,BW231)=1,BW232&gt;0),1,1-INDEX('Lease Cycles'!$DD$21:$DJ$21,1,BW231)))),0)</f>
        <v>0</v>
      </c>
      <c r="BX240" s="24">
        <f>IF(BX233=1,IF('Lease Cycles'!$AJ$21=1,0,'Lease Cycles'!$D$21*INDEX('Lease Cycles'!$FH$21:$FN$21,1,BX231)*IF(INDEX('Lease Cycles'!$EF$21:$EL$21,1,BX231)=1,1,IF(OR(INDEX('Lease Cycles'!$DY$21:$EE$21,1,BX231)=1,BX232&gt;0),1,1-INDEX('Lease Cycles'!$DD$21:$DJ$21,1,BX231)))),0)</f>
        <v>0</v>
      </c>
      <c r="BY240" s="24">
        <f>IF(BY233=1,IF('Lease Cycles'!$AJ$21=1,0,'Lease Cycles'!$D$21*INDEX('Lease Cycles'!$FH$21:$FN$21,1,BY231)*IF(INDEX('Lease Cycles'!$EF$21:$EL$21,1,BY231)=1,1,IF(OR(INDEX('Lease Cycles'!$DY$21:$EE$21,1,BY231)=1,BY232&gt;0),1,1-INDEX('Lease Cycles'!$DD$21:$DJ$21,1,BY231)))),0)</f>
        <v>0</v>
      </c>
      <c r="BZ240" s="24">
        <f>IF(BZ233=1,IF('Lease Cycles'!$AJ$21=1,0,'Lease Cycles'!$D$21*INDEX('Lease Cycles'!$FH$21:$FN$21,1,BZ231)*IF(INDEX('Lease Cycles'!$EF$21:$EL$21,1,BZ231)=1,1,IF(OR(INDEX('Lease Cycles'!$DY$21:$EE$21,1,BZ231)=1,BZ232&gt;0),1,1-INDEX('Lease Cycles'!$DD$21:$DJ$21,1,BZ231)))),0)</f>
        <v>0</v>
      </c>
      <c r="CA240" s="24">
        <f>IF(CA233=1,IF('Lease Cycles'!$AJ$21=1,0,'Lease Cycles'!$D$21*INDEX('Lease Cycles'!$FH$21:$FN$21,1,CA231)*IF(INDEX('Lease Cycles'!$EF$21:$EL$21,1,CA231)=1,1,IF(OR(INDEX('Lease Cycles'!$DY$21:$EE$21,1,CA231)=1,CA232&gt;0),1,1-INDEX('Lease Cycles'!$DD$21:$DJ$21,1,CA231)))),0)</f>
        <v>0</v>
      </c>
      <c r="CB240" s="24">
        <f>IF(CB233=1,IF('Lease Cycles'!$AJ$21=1,0,'Lease Cycles'!$D$21*INDEX('Lease Cycles'!$FH$21:$FN$21,1,CB231)*IF(INDEX('Lease Cycles'!$EF$21:$EL$21,1,CB231)=1,1,IF(OR(INDEX('Lease Cycles'!$DY$21:$EE$21,1,CB231)=1,CB232&gt;0),1,1-INDEX('Lease Cycles'!$DD$21:$DJ$21,1,CB231)))),0)</f>
        <v>0</v>
      </c>
      <c r="CC240" s="24">
        <f>IF(CC233=1,IF('Lease Cycles'!$AJ$21=1,0,'Lease Cycles'!$D$21*INDEX('Lease Cycles'!$FH$21:$FN$21,1,CC231)*IF(INDEX('Lease Cycles'!$EF$21:$EL$21,1,CC231)=1,1,IF(OR(INDEX('Lease Cycles'!$DY$21:$EE$21,1,CC231)=1,CC232&gt;0),1,1-INDEX('Lease Cycles'!$DD$21:$DJ$21,1,CC231)))),0)</f>
        <v>0</v>
      </c>
      <c r="CD240" s="24">
        <f>IF(CD233=1,IF('Lease Cycles'!$AJ$21=1,0,'Lease Cycles'!$D$21*INDEX('Lease Cycles'!$FH$21:$FN$21,1,CD231)*IF(INDEX('Lease Cycles'!$EF$21:$EL$21,1,CD231)=1,1,IF(OR(INDEX('Lease Cycles'!$DY$21:$EE$21,1,CD231)=1,CD232&gt;0),1,1-INDEX('Lease Cycles'!$DD$21:$DJ$21,1,CD231)))),0)</f>
        <v>0</v>
      </c>
      <c r="CE240" s="24">
        <f>IF(CE233=1,IF('Lease Cycles'!$AJ$21=1,0,'Lease Cycles'!$D$21*INDEX('Lease Cycles'!$FH$21:$FN$21,1,CE231)*IF(INDEX('Lease Cycles'!$EF$21:$EL$21,1,CE231)=1,1,IF(OR(INDEX('Lease Cycles'!$DY$21:$EE$21,1,CE231)=1,CE232&gt;0),1,1-INDEX('Lease Cycles'!$DD$21:$DJ$21,1,CE231)))),0)</f>
        <v>0</v>
      </c>
      <c r="CF240" s="24">
        <f>IF(CF233=1,IF('Lease Cycles'!$AJ$21=1,0,'Lease Cycles'!$D$21*INDEX('Lease Cycles'!$FH$21:$FN$21,1,CF231)*IF(INDEX('Lease Cycles'!$EF$21:$EL$21,1,CF231)=1,1,IF(OR(INDEX('Lease Cycles'!$DY$21:$EE$21,1,CF231)=1,CF232&gt;0),1,1-INDEX('Lease Cycles'!$DD$21:$DJ$21,1,CF231)))),0)</f>
        <v>0</v>
      </c>
      <c r="CG240" s="24">
        <f>IF(CG233=1,IF('Lease Cycles'!$AJ$21=1,0,'Lease Cycles'!$D$21*INDEX('Lease Cycles'!$FH$21:$FN$21,1,CG231)*IF(INDEX('Lease Cycles'!$EF$21:$EL$21,1,CG231)=1,1,IF(OR(INDEX('Lease Cycles'!$DY$21:$EE$21,1,CG231)=1,CG232&gt;0),1,1-INDEX('Lease Cycles'!$DD$21:$DJ$21,1,CG231)))),0)</f>
        <v>0</v>
      </c>
      <c r="CH240" s="24">
        <f>IF(CH233=1,IF('Lease Cycles'!$AJ$21=1,0,'Lease Cycles'!$D$21*INDEX('Lease Cycles'!$FH$21:$FN$21,1,CH231)*IF(INDEX('Lease Cycles'!$EF$21:$EL$21,1,CH231)=1,1,IF(OR(INDEX('Lease Cycles'!$DY$21:$EE$21,1,CH231)=1,CH232&gt;0),1,1-INDEX('Lease Cycles'!$DD$21:$DJ$21,1,CH231)))),0)</f>
        <v>0</v>
      </c>
      <c r="CI240" s="24">
        <f>IF(CI233=1,IF('Lease Cycles'!$AJ$21=1,0,'Lease Cycles'!$D$21*INDEX('Lease Cycles'!$FH$21:$FN$21,1,CI231)*IF(INDEX('Lease Cycles'!$EF$21:$EL$21,1,CI231)=1,1,IF(OR(INDEX('Lease Cycles'!$DY$21:$EE$21,1,CI231)=1,CI232&gt;0),1,1-INDEX('Lease Cycles'!$DD$21:$DJ$21,1,CI231)))),0)</f>
        <v>0</v>
      </c>
      <c r="CJ240" s="24">
        <f>IF(CJ233=1,IF('Lease Cycles'!$AJ$21=1,0,'Lease Cycles'!$D$21*INDEX('Lease Cycles'!$FH$21:$FN$21,1,CJ231)*IF(INDEX('Lease Cycles'!$EF$21:$EL$21,1,CJ231)=1,1,IF(OR(INDEX('Lease Cycles'!$DY$21:$EE$21,1,CJ231)=1,CJ232&gt;0),1,1-INDEX('Lease Cycles'!$DD$21:$DJ$21,1,CJ231)))),0)</f>
        <v>0</v>
      </c>
      <c r="CK240" s="24">
        <f>IF(CK233=1,IF('Lease Cycles'!$AJ$21=1,0,'Lease Cycles'!$D$21*INDEX('Lease Cycles'!$FH$21:$FN$21,1,CK231)*IF(INDEX('Lease Cycles'!$EF$21:$EL$21,1,CK231)=1,1,IF(OR(INDEX('Lease Cycles'!$DY$21:$EE$21,1,CK231)=1,CK232&gt;0),1,1-INDEX('Lease Cycles'!$DD$21:$DJ$21,1,CK231)))),0)</f>
        <v>0</v>
      </c>
      <c r="CL240" s="24">
        <f>IF(CL233=1,IF('Lease Cycles'!$AJ$21=1,0,'Lease Cycles'!$D$21*INDEX('Lease Cycles'!$FH$21:$FN$21,1,CL231)*IF(INDEX('Lease Cycles'!$EF$21:$EL$21,1,CL231)=1,1,IF(OR(INDEX('Lease Cycles'!$DY$21:$EE$21,1,CL231)=1,CL232&gt;0),1,1-INDEX('Lease Cycles'!$DD$21:$DJ$21,1,CL231)))),0)</f>
        <v>0</v>
      </c>
      <c r="CM240" s="24">
        <f>IF(CM233=1,IF('Lease Cycles'!$AJ$21=1,0,'Lease Cycles'!$D$21*INDEX('Lease Cycles'!$FH$21:$FN$21,1,CM231)*IF(INDEX('Lease Cycles'!$EF$21:$EL$21,1,CM231)=1,1,IF(OR(INDEX('Lease Cycles'!$DY$21:$EE$21,1,CM231)=1,CM232&gt;0),1,1-INDEX('Lease Cycles'!$DD$21:$DJ$21,1,CM231)))),0)</f>
        <v>0</v>
      </c>
      <c r="CN240" s="24">
        <f>IF(CN233=1,IF('Lease Cycles'!$AJ$21=1,0,'Lease Cycles'!$D$21*INDEX('Lease Cycles'!$FH$21:$FN$21,1,CN231)*IF(INDEX('Lease Cycles'!$EF$21:$EL$21,1,CN231)=1,1,IF(OR(INDEX('Lease Cycles'!$DY$21:$EE$21,1,CN231)=1,CN232&gt;0),1,1-INDEX('Lease Cycles'!$DD$21:$DJ$21,1,CN231)))),0)</f>
        <v>0</v>
      </c>
      <c r="CO240" s="24">
        <f>IF(CO233=1,IF('Lease Cycles'!$AJ$21=1,0,'Lease Cycles'!$D$21*INDEX('Lease Cycles'!$FH$21:$FN$21,1,CO231)*IF(INDEX('Lease Cycles'!$EF$21:$EL$21,1,CO231)=1,1,IF(OR(INDEX('Lease Cycles'!$DY$21:$EE$21,1,CO231)=1,CO232&gt;0),1,1-INDEX('Lease Cycles'!$DD$21:$DJ$21,1,CO231)))),0)</f>
        <v>0</v>
      </c>
      <c r="CP240" s="24">
        <f>IF(CP233=1,IF('Lease Cycles'!$AJ$21=1,0,'Lease Cycles'!$D$21*INDEX('Lease Cycles'!$FH$21:$FN$21,1,CP231)*IF(INDEX('Lease Cycles'!$EF$21:$EL$21,1,CP231)=1,1,IF(OR(INDEX('Lease Cycles'!$DY$21:$EE$21,1,CP231)=1,CP232&gt;0),1,1-INDEX('Lease Cycles'!$DD$21:$DJ$21,1,CP231)))),0)</f>
        <v>0</v>
      </c>
      <c r="CQ240" s="24">
        <f>IF(CQ233=1,IF('Lease Cycles'!$AJ$21=1,0,'Lease Cycles'!$D$21*INDEX('Lease Cycles'!$FH$21:$FN$21,1,CQ231)*IF(INDEX('Lease Cycles'!$EF$21:$EL$21,1,CQ231)=1,1,IF(OR(INDEX('Lease Cycles'!$DY$21:$EE$21,1,CQ231)=1,CQ232&gt;0),1,1-INDEX('Lease Cycles'!$DD$21:$DJ$21,1,CQ231)))),0)</f>
        <v>0</v>
      </c>
      <c r="CR240" s="24">
        <f>IF(CR233=1,IF('Lease Cycles'!$AJ$21=1,0,'Lease Cycles'!$D$21*INDEX('Lease Cycles'!$FH$21:$FN$21,1,CR231)*IF(INDEX('Lease Cycles'!$EF$21:$EL$21,1,CR231)=1,1,IF(OR(INDEX('Lease Cycles'!$DY$21:$EE$21,1,CR231)=1,CR232&gt;0),1,1-INDEX('Lease Cycles'!$DD$21:$DJ$21,1,CR231)))),0)</f>
        <v>0</v>
      </c>
      <c r="CS240" s="24">
        <f>IF(CS233=1,IF('Lease Cycles'!$AJ$21=1,0,'Lease Cycles'!$D$21*INDEX('Lease Cycles'!$FH$21:$FN$21,1,CS231)*IF(INDEX('Lease Cycles'!$EF$21:$EL$21,1,CS231)=1,1,IF(OR(INDEX('Lease Cycles'!$DY$21:$EE$21,1,CS231)=1,CS232&gt;0),1,1-INDEX('Lease Cycles'!$DD$21:$DJ$21,1,CS231)))),0)</f>
        <v>0</v>
      </c>
      <c r="CT240" s="24">
        <f>IF(CT233=1,IF('Lease Cycles'!$AJ$21=1,0,'Lease Cycles'!$D$21*INDEX('Lease Cycles'!$FH$21:$FN$21,1,CT231)*IF(INDEX('Lease Cycles'!$EF$21:$EL$21,1,CT231)=1,1,IF(OR(INDEX('Lease Cycles'!$DY$21:$EE$21,1,CT231)=1,CT232&gt;0),1,1-INDEX('Lease Cycles'!$DD$21:$DJ$21,1,CT231)))),0)</f>
        <v>0</v>
      </c>
      <c r="CU240" s="24">
        <f>IF(CU233=1,IF('Lease Cycles'!$AJ$21=1,0,'Lease Cycles'!$D$21*INDEX('Lease Cycles'!$FH$21:$FN$21,1,CU231)*IF(INDEX('Lease Cycles'!$EF$21:$EL$21,1,CU231)=1,1,IF(OR(INDEX('Lease Cycles'!$DY$21:$EE$21,1,CU231)=1,CU232&gt;0),1,1-INDEX('Lease Cycles'!$DD$21:$DJ$21,1,CU231)))),0)</f>
        <v>0</v>
      </c>
      <c r="CV240" s="24">
        <f>IF(CV233=1,IF('Lease Cycles'!$AJ$21=1,0,'Lease Cycles'!$D$21*INDEX('Lease Cycles'!$FH$21:$FN$21,1,CV231)*IF(INDEX('Lease Cycles'!$EF$21:$EL$21,1,CV231)=1,1,IF(OR(INDEX('Lease Cycles'!$DY$21:$EE$21,1,CV231)=1,CV232&gt;0),1,1-INDEX('Lease Cycles'!$DD$21:$DJ$21,1,CV231)))),0)</f>
        <v>0</v>
      </c>
      <c r="CW240" s="24">
        <f>IF(CW233=1,IF('Lease Cycles'!$AJ$21=1,0,'Lease Cycles'!$D$21*INDEX('Lease Cycles'!$FH$21:$FN$21,1,CW231)*IF(INDEX('Lease Cycles'!$EF$21:$EL$21,1,CW231)=1,1,IF(OR(INDEX('Lease Cycles'!$DY$21:$EE$21,1,CW231)=1,CW232&gt;0),1,1-INDEX('Lease Cycles'!$DD$21:$DJ$21,1,CW231)))),0)</f>
        <v>0</v>
      </c>
      <c r="CX240" s="24">
        <f>IF(CX233=1,IF('Lease Cycles'!$AJ$21=1,0,'Lease Cycles'!$D$21*INDEX('Lease Cycles'!$FH$21:$FN$21,1,CX231)*IF(INDEX('Lease Cycles'!$EF$21:$EL$21,1,CX231)=1,1,IF(OR(INDEX('Lease Cycles'!$DY$21:$EE$21,1,CX231)=1,CX232&gt;0),1,1-INDEX('Lease Cycles'!$DD$21:$DJ$21,1,CX231)))),0)</f>
        <v>0</v>
      </c>
      <c r="CY240" s="24">
        <f>IF(CY233=1,IF('Lease Cycles'!$AJ$21=1,0,'Lease Cycles'!$D$21*INDEX('Lease Cycles'!$FH$21:$FN$21,1,CY231)*IF(INDEX('Lease Cycles'!$EF$21:$EL$21,1,CY231)=1,1,IF(OR(INDEX('Lease Cycles'!$DY$21:$EE$21,1,CY231)=1,CY232&gt;0),1,1-INDEX('Lease Cycles'!$DD$21:$DJ$21,1,CY231)))),0)</f>
        <v>0</v>
      </c>
      <c r="CZ240" s="24">
        <f>IF(CZ233=1,IF('Lease Cycles'!$AJ$21=1,0,'Lease Cycles'!$D$21*INDEX('Lease Cycles'!$FH$21:$FN$21,1,CZ231)*IF(INDEX('Lease Cycles'!$EF$21:$EL$21,1,CZ231)=1,1,IF(OR(INDEX('Lease Cycles'!$DY$21:$EE$21,1,CZ231)=1,CZ232&gt;0),1,1-INDEX('Lease Cycles'!$DD$21:$DJ$21,1,CZ231)))),0)</f>
        <v>0</v>
      </c>
      <c r="DA240" s="24">
        <f>IF(DA233=1,IF('Lease Cycles'!$AJ$21=1,0,'Lease Cycles'!$D$21*INDEX('Lease Cycles'!$FH$21:$FN$21,1,DA231)*IF(INDEX('Lease Cycles'!$EF$21:$EL$21,1,DA231)=1,1,IF(OR(INDEX('Lease Cycles'!$DY$21:$EE$21,1,DA231)=1,DA232&gt;0),1,1-INDEX('Lease Cycles'!$DD$21:$DJ$21,1,DA231)))),0)</f>
        <v>0</v>
      </c>
      <c r="DB240" s="24">
        <f>IF(DB233=1,IF('Lease Cycles'!$AJ$21=1,0,'Lease Cycles'!$D$21*INDEX('Lease Cycles'!$FH$21:$FN$21,1,DB231)*IF(INDEX('Lease Cycles'!$EF$21:$EL$21,1,DB231)=1,1,IF(OR(INDEX('Lease Cycles'!$DY$21:$EE$21,1,DB231)=1,DB232&gt;0),1,1-INDEX('Lease Cycles'!$DD$21:$DJ$21,1,DB231)))),0)</f>
        <v>0</v>
      </c>
      <c r="DC240" s="24">
        <f>IF(DC233=1,IF('Lease Cycles'!$AJ$21=1,0,'Lease Cycles'!$D$21*INDEX('Lease Cycles'!$FH$21:$FN$21,1,DC231)*IF(INDEX('Lease Cycles'!$EF$21:$EL$21,1,DC231)=1,1,IF(OR(INDEX('Lease Cycles'!$DY$21:$EE$21,1,DC231)=1,DC232&gt;0),1,1-INDEX('Lease Cycles'!$DD$21:$DJ$21,1,DC231)))),0)</f>
        <v>0</v>
      </c>
      <c r="DD240" s="24">
        <f>IF(DD233=1,IF('Lease Cycles'!$AJ$21=1,0,'Lease Cycles'!$D$21*INDEX('Lease Cycles'!$FH$21:$FN$21,1,DD231)*IF(INDEX('Lease Cycles'!$EF$21:$EL$21,1,DD231)=1,1,IF(OR(INDEX('Lease Cycles'!$DY$21:$EE$21,1,DD231)=1,DD232&gt;0),1,1-INDEX('Lease Cycles'!$DD$21:$DJ$21,1,DD231)))),0)</f>
        <v>0</v>
      </c>
      <c r="DE240" s="24">
        <f>IF(DE233=1,IF('Lease Cycles'!$AJ$21=1,0,'Lease Cycles'!$D$21*INDEX('Lease Cycles'!$FH$21:$FN$21,1,DE231)*IF(INDEX('Lease Cycles'!$EF$21:$EL$21,1,DE231)=1,1,IF(OR(INDEX('Lease Cycles'!$DY$21:$EE$21,1,DE231)=1,DE232&gt;0),1,1-INDEX('Lease Cycles'!$DD$21:$DJ$21,1,DE231)))),0)</f>
        <v>0</v>
      </c>
      <c r="DF240" s="24">
        <f>IF(DF233=1,IF('Lease Cycles'!$AJ$21=1,0,'Lease Cycles'!$D$21*INDEX('Lease Cycles'!$FH$21:$FN$21,1,DF231)*IF(INDEX('Lease Cycles'!$EF$21:$EL$21,1,DF231)=1,1,IF(OR(INDEX('Lease Cycles'!$DY$21:$EE$21,1,DF231)=1,DF232&gt;0),1,1-INDEX('Lease Cycles'!$DD$21:$DJ$21,1,DF231)))),0)</f>
        <v>0</v>
      </c>
      <c r="DG240" s="24">
        <f>IF(DG233=1,IF('Lease Cycles'!$AJ$21=1,0,'Lease Cycles'!$D$21*INDEX('Lease Cycles'!$FH$21:$FN$21,1,DG231)*IF(INDEX('Lease Cycles'!$EF$21:$EL$21,1,DG231)=1,1,IF(OR(INDEX('Lease Cycles'!$DY$21:$EE$21,1,DG231)=1,DG232&gt;0),1,1-INDEX('Lease Cycles'!$DD$21:$DJ$21,1,DG231)))),0)</f>
        <v>0</v>
      </c>
      <c r="DH240" s="24">
        <f>IF(DH233=1,IF('Lease Cycles'!$AJ$21=1,0,'Lease Cycles'!$D$21*INDEX('Lease Cycles'!$FH$21:$FN$21,1,DH231)*IF(INDEX('Lease Cycles'!$EF$21:$EL$21,1,DH231)=1,1,IF(OR(INDEX('Lease Cycles'!$DY$21:$EE$21,1,DH231)=1,DH232&gt;0),1,1-INDEX('Lease Cycles'!$DD$21:$DJ$21,1,DH231)))),0)</f>
        <v>0</v>
      </c>
      <c r="DI240" s="24">
        <f>IF(DI233=1,IF('Lease Cycles'!$AJ$21=1,0,'Lease Cycles'!$D$21*INDEX('Lease Cycles'!$FH$21:$FN$21,1,DI231)*IF(INDEX('Lease Cycles'!$EF$21:$EL$21,1,DI231)=1,1,IF(OR(INDEX('Lease Cycles'!$DY$21:$EE$21,1,DI231)=1,DI232&gt;0),1,1-INDEX('Lease Cycles'!$DD$21:$DJ$21,1,DI231)))),0)</f>
        <v>0</v>
      </c>
      <c r="DJ240" s="24">
        <f>IF(DJ233=1,IF('Lease Cycles'!$AJ$21=1,0,'Lease Cycles'!$D$21*INDEX('Lease Cycles'!$FH$21:$FN$21,1,DJ231)*IF(INDEX('Lease Cycles'!$EF$21:$EL$21,1,DJ231)=1,1,IF(OR(INDEX('Lease Cycles'!$DY$21:$EE$21,1,DJ231)=1,DJ232&gt;0),1,1-INDEX('Lease Cycles'!$DD$21:$DJ$21,1,DJ231)))),0)</f>
        <v>0</v>
      </c>
      <c r="DK240" s="24">
        <f>IF(DK233=1,IF('Lease Cycles'!$AJ$21=1,0,'Lease Cycles'!$D$21*INDEX('Lease Cycles'!$FH$21:$FN$21,1,DK231)*IF(INDEX('Lease Cycles'!$EF$21:$EL$21,1,DK231)=1,1,IF(OR(INDEX('Lease Cycles'!$DY$21:$EE$21,1,DK231)=1,DK232&gt;0),1,1-INDEX('Lease Cycles'!$DD$21:$DJ$21,1,DK231)))),0)</f>
        <v>0</v>
      </c>
      <c r="DL240" s="24">
        <f>IF(DL233=1,IF('Lease Cycles'!$AJ$21=1,0,'Lease Cycles'!$D$21*INDEX('Lease Cycles'!$FH$21:$FN$21,1,DL231)*IF(INDEX('Lease Cycles'!$EF$21:$EL$21,1,DL231)=1,1,IF(OR(INDEX('Lease Cycles'!$DY$21:$EE$21,1,DL231)=1,DL232&gt;0),1,1-INDEX('Lease Cycles'!$DD$21:$DJ$21,1,DL231)))),0)</f>
        <v>0</v>
      </c>
      <c r="DM240" s="24">
        <f>IF(DM233=1,IF('Lease Cycles'!$AJ$21=1,0,'Lease Cycles'!$D$21*INDEX('Lease Cycles'!$FH$21:$FN$21,1,DM231)*IF(INDEX('Lease Cycles'!$EF$21:$EL$21,1,DM231)=1,1,IF(OR(INDEX('Lease Cycles'!$DY$21:$EE$21,1,DM231)=1,DM232&gt;0),1,1-INDEX('Lease Cycles'!$DD$21:$DJ$21,1,DM231)))),0)</f>
        <v>0</v>
      </c>
      <c r="DN240" s="24">
        <f>IF(DN233=1,IF('Lease Cycles'!$AJ$21=1,0,'Lease Cycles'!$D$21*INDEX('Lease Cycles'!$FH$21:$FN$21,1,DN231)*IF(INDEX('Lease Cycles'!$EF$21:$EL$21,1,DN231)=1,1,IF(OR(INDEX('Lease Cycles'!$DY$21:$EE$21,1,DN231)=1,DN232&gt;0),1,1-INDEX('Lease Cycles'!$DD$21:$DJ$21,1,DN231)))),0)</f>
        <v>0</v>
      </c>
      <c r="DO240" s="24">
        <f>IF(DO233=1,IF('Lease Cycles'!$AJ$21=1,0,'Lease Cycles'!$D$21*INDEX('Lease Cycles'!$FH$21:$FN$21,1,DO231)*IF(INDEX('Lease Cycles'!$EF$21:$EL$21,1,DO231)=1,1,IF(OR(INDEX('Lease Cycles'!$DY$21:$EE$21,1,DO231)=1,DO232&gt;0),1,1-INDEX('Lease Cycles'!$DD$21:$DJ$21,1,DO231)))),0)</f>
        <v>0</v>
      </c>
      <c r="DP240" s="24">
        <f>IF(DP233=1,IF('Lease Cycles'!$AJ$21=1,0,'Lease Cycles'!$D$21*INDEX('Lease Cycles'!$FH$21:$FN$21,1,DP231)*IF(INDEX('Lease Cycles'!$EF$21:$EL$21,1,DP231)=1,1,IF(OR(INDEX('Lease Cycles'!$DY$21:$EE$21,1,DP231)=1,DP232&gt;0),1,1-INDEX('Lease Cycles'!$DD$21:$DJ$21,1,DP231)))),0)</f>
        <v>0</v>
      </c>
      <c r="DQ240" s="24">
        <f>IF(DQ233=1,IF('Lease Cycles'!$AJ$21=1,0,'Lease Cycles'!$D$21*INDEX('Lease Cycles'!$FH$21:$FN$21,1,DQ231)*IF(INDEX('Lease Cycles'!$EF$21:$EL$21,1,DQ231)=1,1,IF(OR(INDEX('Lease Cycles'!$DY$21:$EE$21,1,DQ231)=1,DQ232&gt;0),1,1-INDEX('Lease Cycles'!$DD$21:$DJ$21,1,DQ231)))),0)</f>
        <v>0</v>
      </c>
      <c r="DR240" s="24">
        <f>IF(DR233=1,IF('Lease Cycles'!$AJ$21=1,0,'Lease Cycles'!$D$21*INDEX('Lease Cycles'!$FH$21:$FN$21,1,DR231)*IF(INDEX('Lease Cycles'!$EF$21:$EL$21,1,DR231)=1,1,IF(OR(INDEX('Lease Cycles'!$DY$21:$EE$21,1,DR231)=1,DR232&gt;0),1,1-INDEX('Lease Cycles'!$DD$21:$DJ$21,1,DR231)))),0)</f>
        <v>0</v>
      </c>
      <c r="DS240" s="24">
        <f>IF(DS233=1,IF('Lease Cycles'!$AJ$21=1,0,'Lease Cycles'!$D$21*INDEX('Lease Cycles'!$FH$21:$FN$21,1,DS231)*IF(INDEX('Lease Cycles'!$EF$21:$EL$21,1,DS231)=1,1,IF(OR(INDEX('Lease Cycles'!$DY$21:$EE$21,1,DS231)=1,DS232&gt;0),1,1-INDEX('Lease Cycles'!$DD$21:$DJ$21,1,DS231)))),0)</f>
        <v>0</v>
      </c>
      <c r="DT240" s="24">
        <f>IF(DT233=1,IF('Lease Cycles'!$AJ$21=1,0,'Lease Cycles'!$D$21*INDEX('Lease Cycles'!$FH$21:$FN$21,1,DT231)*IF(INDEX('Lease Cycles'!$EF$21:$EL$21,1,DT231)=1,1,IF(OR(INDEX('Lease Cycles'!$DY$21:$EE$21,1,DT231)=1,DT232&gt;0),1,1-INDEX('Lease Cycles'!$DD$21:$DJ$21,1,DT231)))),0)</f>
        <v>0</v>
      </c>
      <c r="DU240" s="24">
        <f>IF(DU233=1,IF('Lease Cycles'!$AJ$21=1,0,'Lease Cycles'!$D$21*INDEX('Lease Cycles'!$FH$21:$FN$21,1,DU231)*IF(INDEX('Lease Cycles'!$EF$21:$EL$21,1,DU231)=1,1,IF(OR(INDEX('Lease Cycles'!$DY$21:$EE$21,1,DU231)=1,DU232&gt;0),1,1-INDEX('Lease Cycles'!$DD$21:$DJ$21,1,DU231)))),0)</f>
        <v>0</v>
      </c>
      <c r="DV240" s="24">
        <f>IF(DV233=1,IF('Lease Cycles'!$AJ$21=1,0,'Lease Cycles'!$D$21*INDEX('Lease Cycles'!$FH$21:$FN$21,1,DV231)*IF(INDEX('Lease Cycles'!$EF$21:$EL$21,1,DV231)=1,1,IF(OR(INDEX('Lease Cycles'!$DY$21:$EE$21,1,DV231)=1,DV232&gt;0),1,1-INDEX('Lease Cycles'!$DD$21:$DJ$21,1,DV231)))),0)</f>
        <v>0</v>
      </c>
      <c r="DW240" s="24">
        <f>IF(DW233=1,IF('Lease Cycles'!$AJ$21=1,0,'Lease Cycles'!$D$21*INDEX('Lease Cycles'!$FH$21:$FN$21,1,DW231)*IF(INDEX('Lease Cycles'!$EF$21:$EL$21,1,DW231)=1,1,IF(OR(INDEX('Lease Cycles'!$DY$21:$EE$21,1,DW231)=1,DW232&gt;0),1,1-INDEX('Lease Cycles'!$DD$21:$DJ$21,1,DW231)))),0)</f>
        <v>0</v>
      </c>
      <c r="DX240" s="24">
        <f>IF(DX233=1,IF('Lease Cycles'!$AJ$21=1,0,'Lease Cycles'!$D$21*INDEX('Lease Cycles'!$FH$21:$FN$21,1,DX231)*IF(INDEX('Lease Cycles'!$EF$21:$EL$21,1,DX231)=1,1,IF(OR(INDEX('Lease Cycles'!$DY$21:$EE$21,1,DX231)=1,DX232&gt;0),1,1-INDEX('Lease Cycles'!$DD$21:$DJ$21,1,DX231)))),0)</f>
        <v>0</v>
      </c>
      <c r="DY240" s="24">
        <f>IF(DY233=1,IF('Lease Cycles'!$AJ$21=1,0,'Lease Cycles'!$D$21*INDEX('Lease Cycles'!$FH$21:$FN$21,1,DY231)*IF(INDEX('Lease Cycles'!$EF$21:$EL$21,1,DY231)=1,1,IF(OR(INDEX('Lease Cycles'!$DY$21:$EE$21,1,DY231)=1,DY232&gt;0),1,1-INDEX('Lease Cycles'!$DD$21:$DJ$21,1,DY231)))),0)</f>
        <v>0</v>
      </c>
      <c r="DZ240" s="24">
        <f>IF(DZ233=1,IF('Lease Cycles'!$AJ$21=1,0,'Lease Cycles'!$D$21*INDEX('Lease Cycles'!$FH$21:$FN$21,1,DZ231)*IF(INDEX('Lease Cycles'!$EF$21:$EL$21,1,DZ231)=1,1,IF(OR(INDEX('Lease Cycles'!$DY$21:$EE$21,1,DZ231)=1,DZ232&gt;0),1,1-INDEX('Lease Cycles'!$DD$21:$DJ$21,1,DZ231)))),0)</f>
        <v>0</v>
      </c>
      <c r="EA240" s="24">
        <f>IF(EA233=1,IF('Lease Cycles'!$AJ$21=1,0,'Lease Cycles'!$D$21*INDEX('Lease Cycles'!$FH$21:$FN$21,1,EA231)*IF(INDEX('Lease Cycles'!$EF$21:$EL$21,1,EA231)=1,1,IF(OR(INDEX('Lease Cycles'!$DY$21:$EE$21,1,EA231)=1,EA232&gt;0),1,1-INDEX('Lease Cycles'!$DD$21:$DJ$21,1,EA231)))),0)</f>
        <v>0</v>
      </c>
      <c r="EB240" s="24">
        <f>IF(EB233=1,IF('Lease Cycles'!$AJ$21=1,0,'Lease Cycles'!$D$21*INDEX('Lease Cycles'!$FH$21:$FN$21,1,EB231)*IF(INDEX('Lease Cycles'!$EF$21:$EL$21,1,EB231)=1,1,IF(OR(INDEX('Lease Cycles'!$DY$21:$EE$21,1,EB231)=1,EB232&gt;0),1,1-INDEX('Lease Cycles'!$DD$21:$DJ$21,1,EB231)))),0)</f>
        <v>0</v>
      </c>
      <c r="EC240" s="24">
        <f>IF(EC233=1,IF('Lease Cycles'!$AJ$21=1,0,'Lease Cycles'!$D$21*INDEX('Lease Cycles'!$FH$21:$FN$21,1,EC231)*IF(INDEX('Lease Cycles'!$EF$21:$EL$21,1,EC231)=1,1,IF(OR(INDEX('Lease Cycles'!$DY$21:$EE$21,1,EC231)=1,EC232&gt;0),1,1-INDEX('Lease Cycles'!$DD$21:$DJ$21,1,EC231)))),0)</f>
        <v>0</v>
      </c>
      <c r="ED240" s="24">
        <f>IF(ED233=1,IF('Lease Cycles'!$AJ$21=1,0,'Lease Cycles'!$D$21*INDEX('Lease Cycles'!$FH$21:$FN$21,1,ED231)*IF(INDEX('Lease Cycles'!$EF$21:$EL$21,1,ED231)=1,1,IF(OR(INDEX('Lease Cycles'!$DY$21:$EE$21,1,ED231)=1,ED232&gt;0),1,1-INDEX('Lease Cycles'!$DD$21:$DJ$21,1,ED231)))),0)</f>
        <v>0</v>
      </c>
      <c r="EE240" s="24">
        <f>IF(EE233=1,IF('Lease Cycles'!$AJ$21=1,0,'Lease Cycles'!$D$21*INDEX('Lease Cycles'!$FH$21:$FN$21,1,EE231)*IF(INDEX('Lease Cycles'!$EF$21:$EL$21,1,EE231)=1,1,IF(OR(INDEX('Lease Cycles'!$DY$21:$EE$21,1,EE231)=1,EE232&gt;0),1,1-INDEX('Lease Cycles'!$DD$21:$DJ$21,1,EE231)))),0)</f>
        <v>0</v>
      </c>
      <c r="EF240" s="24">
        <f>IF(EF233=1,IF('Lease Cycles'!$AJ$21=1,0,'Lease Cycles'!$D$21*INDEX('Lease Cycles'!$FH$21:$FN$21,1,EF231)*IF(INDEX('Lease Cycles'!$EF$21:$EL$21,1,EF231)=1,1,IF(OR(INDEX('Lease Cycles'!$DY$21:$EE$21,1,EF231)=1,EF232&gt;0),1,1-INDEX('Lease Cycles'!$DD$21:$DJ$21,1,EF231)))),0)</f>
        <v>0</v>
      </c>
      <c r="EG240" s="24">
        <f>IF(EG233=1,IF('Lease Cycles'!$AJ$21=1,0,'Lease Cycles'!$D$21*INDEX('Lease Cycles'!$FH$21:$FN$21,1,EG231)*IF(INDEX('Lease Cycles'!$EF$21:$EL$21,1,EG231)=1,1,IF(OR(INDEX('Lease Cycles'!$DY$21:$EE$21,1,EG231)=1,EG232&gt;0),1,1-INDEX('Lease Cycles'!$DD$21:$DJ$21,1,EG231)))),0)</f>
        <v>0</v>
      </c>
      <c r="EH240" s="24">
        <f>IF(EH233=1,IF('Lease Cycles'!$AJ$21=1,0,'Lease Cycles'!$D$21*INDEX('Lease Cycles'!$FH$21:$FN$21,1,EH231)*IF(INDEX('Lease Cycles'!$EF$21:$EL$21,1,EH231)=1,1,IF(OR(INDEX('Lease Cycles'!$DY$21:$EE$21,1,EH231)=1,EH232&gt;0),1,1-INDEX('Lease Cycles'!$DD$21:$DJ$21,1,EH231)))),0)</f>
        <v>0</v>
      </c>
      <c r="EI240" s="24">
        <f>IF(EI233=1,IF('Lease Cycles'!$AJ$21=1,0,'Lease Cycles'!$D$21*INDEX('Lease Cycles'!$FH$21:$FN$21,1,EI231)*IF(INDEX('Lease Cycles'!$EF$21:$EL$21,1,EI231)=1,1,IF(OR(INDEX('Lease Cycles'!$DY$21:$EE$21,1,EI231)=1,EI232&gt;0),1,1-INDEX('Lease Cycles'!$DD$21:$DJ$21,1,EI231)))),0)</f>
        <v>0</v>
      </c>
      <c r="EJ240" s="24">
        <f>IF(EJ233=1,IF('Lease Cycles'!$AJ$21=1,0,'Lease Cycles'!$D$21*INDEX('Lease Cycles'!$FH$21:$FN$21,1,EJ231)*IF(INDEX('Lease Cycles'!$EF$21:$EL$21,1,EJ231)=1,1,IF(OR(INDEX('Lease Cycles'!$DY$21:$EE$21,1,EJ231)=1,EJ232&gt;0),1,1-INDEX('Lease Cycles'!$DD$21:$DJ$21,1,EJ231)))),0)</f>
        <v>0</v>
      </c>
      <c r="EK240" s="24">
        <f>IF(EK233=1,IF('Lease Cycles'!$AJ$21=1,0,'Lease Cycles'!$D$21*INDEX('Lease Cycles'!$FH$21:$FN$21,1,EK231)*IF(INDEX('Lease Cycles'!$EF$21:$EL$21,1,EK231)=1,1,IF(OR(INDEX('Lease Cycles'!$DY$21:$EE$21,1,EK231)=1,EK232&gt;0),1,1-INDEX('Lease Cycles'!$DD$21:$DJ$21,1,EK231)))),0)</f>
        <v>0</v>
      </c>
      <c r="EL240" s="24">
        <f>IF(EL233=1,IF('Lease Cycles'!$AJ$21=1,0,'Lease Cycles'!$D$21*INDEX('Lease Cycles'!$FH$21:$FN$21,1,EL231)*IF(INDEX('Lease Cycles'!$EF$21:$EL$21,1,EL231)=1,1,IF(OR(INDEX('Lease Cycles'!$DY$21:$EE$21,1,EL231)=1,EL232&gt;0),1,1-INDEX('Lease Cycles'!$DD$21:$DJ$21,1,EL231)))),0)</f>
        <v>0</v>
      </c>
      <c r="EM240" s="24">
        <f>IF(EM233=1,IF('Lease Cycles'!$AJ$21=1,0,'Lease Cycles'!$D$21*INDEX('Lease Cycles'!$FH$21:$FN$21,1,EM231)*IF(INDEX('Lease Cycles'!$EF$21:$EL$21,1,EM231)=1,1,IF(OR(INDEX('Lease Cycles'!$DY$21:$EE$21,1,EM231)=1,EM232&gt;0),1,1-INDEX('Lease Cycles'!$DD$21:$DJ$21,1,EM231)))),0)</f>
        <v>0</v>
      </c>
      <c r="EN240" s="24">
        <f>IF(EN233=1,IF('Lease Cycles'!$AJ$21=1,0,'Lease Cycles'!$D$21*INDEX('Lease Cycles'!$FH$21:$FN$21,1,EN231)*IF(INDEX('Lease Cycles'!$EF$21:$EL$21,1,EN231)=1,1,IF(OR(INDEX('Lease Cycles'!$DY$21:$EE$21,1,EN231)=1,EN232&gt;0),1,1-INDEX('Lease Cycles'!$DD$21:$DJ$21,1,EN231)))),0)</f>
        <v>0</v>
      </c>
      <c r="EO240" s="24">
        <f>IF(EO233=1,IF('Lease Cycles'!$AJ$21=1,0,'Lease Cycles'!$D$21*INDEX('Lease Cycles'!$FH$21:$FN$21,1,EO231)*IF(INDEX('Lease Cycles'!$EF$21:$EL$21,1,EO231)=1,1,IF(OR(INDEX('Lease Cycles'!$DY$21:$EE$21,1,EO231)=1,EO232&gt;0),1,1-INDEX('Lease Cycles'!$DD$21:$DJ$21,1,EO231)))),0)</f>
        <v>0</v>
      </c>
      <c r="EP240" s="24">
        <f>IF(EP233=1,IF('Lease Cycles'!$AJ$21=1,0,'Lease Cycles'!$D$21*INDEX('Lease Cycles'!$FH$21:$FN$21,1,EP231)*IF(INDEX('Lease Cycles'!$EF$21:$EL$21,1,EP231)=1,1,IF(OR(INDEX('Lease Cycles'!$DY$21:$EE$21,1,EP231)=1,EP232&gt;0),1,1-INDEX('Lease Cycles'!$DD$21:$DJ$21,1,EP231)))),0)</f>
        <v>0</v>
      </c>
      <c r="EQ240" s="24">
        <f>IF(EQ233=1,IF('Lease Cycles'!$AJ$21=1,0,'Lease Cycles'!$D$21*INDEX('Lease Cycles'!$FH$21:$FN$21,1,EQ231)*IF(INDEX('Lease Cycles'!$EF$21:$EL$21,1,EQ231)=1,1,IF(OR(INDEX('Lease Cycles'!$DY$21:$EE$21,1,EQ231)=1,EQ232&gt;0),1,1-INDEX('Lease Cycles'!$DD$21:$DJ$21,1,EQ231)))),0)</f>
        <v>0</v>
      </c>
      <c r="ER240" s="24">
        <f>IF(ER233=1,IF('Lease Cycles'!$AJ$21=1,0,'Lease Cycles'!$D$21*INDEX('Lease Cycles'!$FH$21:$FN$21,1,ER231)*IF(INDEX('Lease Cycles'!$EF$21:$EL$21,1,ER231)=1,1,IF(OR(INDEX('Lease Cycles'!$DY$21:$EE$21,1,ER231)=1,ER232&gt;0),1,1-INDEX('Lease Cycles'!$DD$21:$DJ$21,1,ER231)))),0)</f>
        <v>0</v>
      </c>
      <c r="ES240" s="24">
        <f>IF(ES233=1,IF('Lease Cycles'!$AJ$21=1,0,'Lease Cycles'!$D$21*INDEX('Lease Cycles'!$FH$21:$FN$21,1,ES231)*IF(INDEX('Lease Cycles'!$EF$21:$EL$21,1,ES231)=1,1,IF(OR(INDEX('Lease Cycles'!$DY$21:$EE$21,1,ES231)=1,ES232&gt;0),1,1-INDEX('Lease Cycles'!$DD$21:$DJ$21,1,ES231)))),0)</f>
        <v>0</v>
      </c>
      <c r="ET240" s="24">
        <f>IF(ET233=1,IF('Lease Cycles'!$AJ$21=1,0,'Lease Cycles'!$D$21*INDEX('Lease Cycles'!$FH$21:$FN$21,1,ET231)*IF(INDEX('Lease Cycles'!$EF$21:$EL$21,1,ET231)=1,1,IF(OR(INDEX('Lease Cycles'!$DY$21:$EE$21,1,ET231)=1,ET232&gt;0),1,1-INDEX('Lease Cycles'!$DD$21:$DJ$21,1,ET231)))),0)</f>
        <v>0</v>
      </c>
    </row>
    <row r="241">
      <c r="A241" s="103">
        <v>14</v>
      </c>
      <c r="B241" s="23" t="str">
        <f>IF('Lease Cycles'!$B$21="","(empty slot)",'Lease Cycles'!$B$21)</f>
        <v>(empty slot)</v>
      </c>
      <c r="C241" s="23" t="s">
        <v>687</v>
      </c>
      <c r="D241" s="104" t="s">
        <v>688</v>
      </c>
      <c r="E241" s="25">
        <f>'Lease Cycles'!$AL$21</f>
        <v>0</v>
      </c>
      <c r="G241" s="24">
        <f>SUM(S241:AD241)</f>
        <v>0</v>
      </c>
      <c r="H241" s="24">
        <f>SUM(AE241:AP241)</f>
        <v>0</v>
      </c>
      <c r="I241" s="24">
        <f>SUM(AQ241:BB241)</f>
        <v>0</v>
      </c>
      <c r="J241" s="24">
        <f>SUM(BC241:BN241)</f>
        <v>0</v>
      </c>
      <c r="K241" s="24">
        <f>SUM(BO241:BZ241)</f>
        <v>0</v>
      </c>
      <c r="L241" s="24">
        <f>SUM(CA241:CL241)</f>
        <v>0</v>
      </c>
      <c r="M241" s="24">
        <f>SUM(CM241:CX241)</f>
        <v>0</v>
      </c>
      <c r="N241" s="24">
        <f>SUM(CY241:DJ241)</f>
        <v>0</v>
      </c>
      <c r="O241" s="24">
        <f>SUM(DK241:DV241)</f>
        <v>0</v>
      </c>
      <c r="P241" s="24">
        <f>SUM(DW241:EH241)</f>
        <v>0</v>
      </c>
      <c r="Q241" s="24">
        <f>SUM(EI241:ET241)</f>
        <v>0</v>
      </c>
      <c r="S241" s="24">
        <f>IF(S233=1,'Lease Cycles'!$D$21*IF(INDEX('Lease Cycles'!$EF$21:$EL$21,1,S231)=1,'Lease Cycles'!$AJ$21*INDEX('Lease Cycles'!$FO$21:$FU$21,1,S231)*INDEX('Lease Cycles'!$EM$21:$ES$21,1,S231)+'Lease Cycles'!$BE$21*IF(S232&lt;INDEX('Lease Cycles'!$FA$21:$FG$21,1,S231),0,1-INDEX('Lease Cycles'!$EM$21:$ES$21,1,S231)),IF(OR(INDEX('Lease Cycles'!$DY$21:$EE$21,1,S231)=1,S232&gt;0),1,1-INDEX('Lease Cycles'!$DD$21:$DJ$21,1,S231))*('Lease Cycles'!$AJ$21*INDEX('Lease Cycles'!$FO$21:$FU$21,1,S231)+'Lease Cycles'!$BE$21*(1-INDEX('Lease Cycles'!$FO$21:$FU$21,1,S231)))),0)</f>
        <v>0</v>
      </c>
      <c r="T241" s="24">
        <f>IF(T233=1,'Lease Cycles'!$D$21*IF(INDEX('Lease Cycles'!$EF$21:$EL$21,1,T231)=1,'Lease Cycles'!$AJ$21*INDEX('Lease Cycles'!$FO$21:$FU$21,1,T231)*INDEX('Lease Cycles'!$EM$21:$ES$21,1,T231)+'Lease Cycles'!$BE$21*IF(T232&lt;INDEX('Lease Cycles'!$FA$21:$FG$21,1,T231),0,1-INDEX('Lease Cycles'!$EM$21:$ES$21,1,T231)),IF(OR(INDEX('Lease Cycles'!$DY$21:$EE$21,1,T231)=1,T232&gt;0),1,1-INDEX('Lease Cycles'!$DD$21:$DJ$21,1,T231))*('Lease Cycles'!$AJ$21*INDEX('Lease Cycles'!$FO$21:$FU$21,1,T231)+'Lease Cycles'!$BE$21*(1-INDEX('Lease Cycles'!$FO$21:$FU$21,1,T231)))),0)</f>
        <v>0</v>
      </c>
      <c r="U241" s="24">
        <f>IF(U233=1,'Lease Cycles'!$D$21*IF(INDEX('Lease Cycles'!$EF$21:$EL$21,1,U231)=1,'Lease Cycles'!$AJ$21*INDEX('Lease Cycles'!$FO$21:$FU$21,1,U231)*INDEX('Lease Cycles'!$EM$21:$ES$21,1,U231)+'Lease Cycles'!$BE$21*IF(U232&lt;INDEX('Lease Cycles'!$FA$21:$FG$21,1,U231),0,1-INDEX('Lease Cycles'!$EM$21:$ES$21,1,U231)),IF(OR(INDEX('Lease Cycles'!$DY$21:$EE$21,1,U231)=1,U232&gt;0),1,1-INDEX('Lease Cycles'!$DD$21:$DJ$21,1,U231))*('Lease Cycles'!$AJ$21*INDEX('Lease Cycles'!$FO$21:$FU$21,1,U231)+'Lease Cycles'!$BE$21*(1-INDEX('Lease Cycles'!$FO$21:$FU$21,1,U231)))),0)</f>
        <v>0</v>
      </c>
      <c r="V241" s="24">
        <f>IF(V233=1,'Lease Cycles'!$D$21*IF(INDEX('Lease Cycles'!$EF$21:$EL$21,1,V231)=1,'Lease Cycles'!$AJ$21*INDEX('Lease Cycles'!$FO$21:$FU$21,1,V231)*INDEX('Lease Cycles'!$EM$21:$ES$21,1,V231)+'Lease Cycles'!$BE$21*IF(V232&lt;INDEX('Lease Cycles'!$FA$21:$FG$21,1,V231),0,1-INDEX('Lease Cycles'!$EM$21:$ES$21,1,V231)),IF(OR(INDEX('Lease Cycles'!$DY$21:$EE$21,1,V231)=1,V232&gt;0),1,1-INDEX('Lease Cycles'!$DD$21:$DJ$21,1,V231))*('Lease Cycles'!$AJ$21*INDEX('Lease Cycles'!$FO$21:$FU$21,1,V231)+'Lease Cycles'!$BE$21*(1-INDEX('Lease Cycles'!$FO$21:$FU$21,1,V231)))),0)</f>
        <v>0</v>
      </c>
      <c r="W241" s="24">
        <f>IF(W233=1,'Lease Cycles'!$D$21*IF(INDEX('Lease Cycles'!$EF$21:$EL$21,1,W231)=1,'Lease Cycles'!$AJ$21*INDEX('Lease Cycles'!$FO$21:$FU$21,1,W231)*INDEX('Lease Cycles'!$EM$21:$ES$21,1,W231)+'Lease Cycles'!$BE$21*IF(W232&lt;INDEX('Lease Cycles'!$FA$21:$FG$21,1,W231),0,1-INDEX('Lease Cycles'!$EM$21:$ES$21,1,W231)),IF(OR(INDEX('Lease Cycles'!$DY$21:$EE$21,1,W231)=1,W232&gt;0),1,1-INDEX('Lease Cycles'!$DD$21:$DJ$21,1,W231))*('Lease Cycles'!$AJ$21*INDEX('Lease Cycles'!$FO$21:$FU$21,1,W231)+'Lease Cycles'!$BE$21*(1-INDEX('Lease Cycles'!$FO$21:$FU$21,1,W231)))),0)</f>
        <v>0</v>
      </c>
      <c r="X241" s="24">
        <f>IF(X233=1,'Lease Cycles'!$D$21*IF(INDEX('Lease Cycles'!$EF$21:$EL$21,1,X231)=1,'Lease Cycles'!$AJ$21*INDEX('Lease Cycles'!$FO$21:$FU$21,1,X231)*INDEX('Lease Cycles'!$EM$21:$ES$21,1,X231)+'Lease Cycles'!$BE$21*IF(X232&lt;INDEX('Lease Cycles'!$FA$21:$FG$21,1,X231),0,1-INDEX('Lease Cycles'!$EM$21:$ES$21,1,X231)),IF(OR(INDEX('Lease Cycles'!$DY$21:$EE$21,1,X231)=1,X232&gt;0),1,1-INDEX('Lease Cycles'!$DD$21:$DJ$21,1,X231))*('Lease Cycles'!$AJ$21*INDEX('Lease Cycles'!$FO$21:$FU$21,1,X231)+'Lease Cycles'!$BE$21*(1-INDEX('Lease Cycles'!$FO$21:$FU$21,1,X231)))),0)</f>
        <v>0</v>
      </c>
      <c r="Y241" s="24">
        <f>IF(Y233=1,'Lease Cycles'!$D$21*IF(INDEX('Lease Cycles'!$EF$21:$EL$21,1,Y231)=1,'Lease Cycles'!$AJ$21*INDEX('Lease Cycles'!$FO$21:$FU$21,1,Y231)*INDEX('Lease Cycles'!$EM$21:$ES$21,1,Y231)+'Lease Cycles'!$BE$21*IF(Y232&lt;INDEX('Lease Cycles'!$FA$21:$FG$21,1,Y231),0,1-INDEX('Lease Cycles'!$EM$21:$ES$21,1,Y231)),IF(OR(INDEX('Lease Cycles'!$DY$21:$EE$21,1,Y231)=1,Y232&gt;0),1,1-INDEX('Lease Cycles'!$DD$21:$DJ$21,1,Y231))*('Lease Cycles'!$AJ$21*INDEX('Lease Cycles'!$FO$21:$FU$21,1,Y231)+'Lease Cycles'!$BE$21*(1-INDEX('Lease Cycles'!$FO$21:$FU$21,1,Y231)))),0)</f>
        <v>0</v>
      </c>
      <c r="Z241" s="24">
        <f>IF(Z233=1,'Lease Cycles'!$D$21*IF(INDEX('Lease Cycles'!$EF$21:$EL$21,1,Z231)=1,'Lease Cycles'!$AJ$21*INDEX('Lease Cycles'!$FO$21:$FU$21,1,Z231)*INDEX('Lease Cycles'!$EM$21:$ES$21,1,Z231)+'Lease Cycles'!$BE$21*IF(Z232&lt;INDEX('Lease Cycles'!$FA$21:$FG$21,1,Z231),0,1-INDEX('Lease Cycles'!$EM$21:$ES$21,1,Z231)),IF(OR(INDEX('Lease Cycles'!$DY$21:$EE$21,1,Z231)=1,Z232&gt;0),1,1-INDEX('Lease Cycles'!$DD$21:$DJ$21,1,Z231))*('Lease Cycles'!$AJ$21*INDEX('Lease Cycles'!$FO$21:$FU$21,1,Z231)+'Lease Cycles'!$BE$21*(1-INDEX('Lease Cycles'!$FO$21:$FU$21,1,Z231)))),0)</f>
        <v>0</v>
      </c>
      <c r="AA241" s="24">
        <f>IF(AA233=1,'Lease Cycles'!$D$21*IF(INDEX('Lease Cycles'!$EF$21:$EL$21,1,AA231)=1,'Lease Cycles'!$AJ$21*INDEX('Lease Cycles'!$FO$21:$FU$21,1,AA231)*INDEX('Lease Cycles'!$EM$21:$ES$21,1,AA231)+'Lease Cycles'!$BE$21*IF(AA232&lt;INDEX('Lease Cycles'!$FA$21:$FG$21,1,AA231),0,1-INDEX('Lease Cycles'!$EM$21:$ES$21,1,AA231)),IF(OR(INDEX('Lease Cycles'!$DY$21:$EE$21,1,AA231)=1,AA232&gt;0),1,1-INDEX('Lease Cycles'!$DD$21:$DJ$21,1,AA231))*('Lease Cycles'!$AJ$21*INDEX('Lease Cycles'!$FO$21:$FU$21,1,AA231)+'Lease Cycles'!$BE$21*(1-INDEX('Lease Cycles'!$FO$21:$FU$21,1,AA231)))),0)</f>
        <v>0</v>
      </c>
      <c r="AB241" s="24">
        <f>IF(AB233=1,'Lease Cycles'!$D$21*IF(INDEX('Lease Cycles'!$EF$21:$EL$21,1,AB231)=1,'Lease Cycles'!$AJ$21*INDEX('Lease Cycles'!$FO$21:$FU$21,1,AB231)*INDEX('Lease Cycles'!$EM$21:$ES$21,1,AB231)+'Lease Cycles'!$BE$21*IF(AB232&lt;INDEX('Lease Cycles'!$FA$21:$FG$21,1,AB231),0,1-INDEX('Lease Cycles'!$EM$21:$ES$21,1,AB231)),IF(OR(INDEX('Lease Cycles'!$DY$21:$EE$21,1,AB231)=1,AB232&gt;0),1,1-INDEX('Lease Cycles'!$DD$21:$DJ$21,1,AB231))*('Lease Cycles'!$AJ$21*INDEX('Lease Cycles'!$FO$21:$FU$21,1,AB231)+'Lease Cycles'!$BE$21*(1-INDEX('Lease Cycles'!$FO$21:$FU$21,1,AB231)))),0)</f>
        <v>0</v>
      </c>
      <c r="AC241" s="24">
        <f>IF(AC233=1,'Lease Cycles'!$D$21*IF(INDEX('Lease Cycles'!$EF$21:$EL$21,1,AC231)=1,'Lease Cycles'!$AJ$21*INDEX('Lease Cycles'!$FO$21:$FU$21,1,AC231)*INDEX('Lease Cycles'!$EM$21:$ES$21,1,AC231)+'Lease Cycles'!$BE$21*IF(AC232&lt;INDEX('Lease Cycles'!$FA$21:$FG$21,1,AC231),0,1-INDEX('Lease Cycles'!$EM$21:$ES$21,1,AC231)),IF(OR(INDEX('Lease Cycles'!$DY$21:$EE$21,1,AC231)=1,AC232&gt;0),1,1-INDEX('Lease Cycles'!$DD$21:$DJ$21,1,AC231))*('Lease Cycles'!$AJ$21*INDEX('Lease Cycles'!$FO$21:$FU$21,1,AC231)+'Lease Cycles'!$BE$21*(1-INDEX('Lease Cycles'!$FO$21:$FU$21,1,AC231)))),0)</f>
        <v>0</v>
      </c>
      <c r="AD241" s="24">
        <f>IF(AD233=1,'Lease Cycles'!$D$21*IF(INDEX('Lease Cycles'!$EF$21:$EL$21,1,AD231)=1,'Lease Cycles'!$AJ$21*INDEX('Lease Cycles'!$FO$21:$FU$21,1,AD231)*INDEX('Lease Cycles'!$EM$21:$ES$21,1,AD231)+'Lease Cycles'!$BE$21*IF(AD232&lt;INDEX('Lease Cycles'!$FA$21:$FG$21,1,AD231),0,1-INDEX('Lease Cycles'!$EM$21:$ES$21,1,AD231)),IF(OR(INDEX('Lease Cycles'!$DY$21:$EE$21,1,AD231)=1,AD232&gt;0),1,1-INDEX('Lease Cycles'!$DD$21:$DJ$21,1,AD231))*('Lease Cycles'!$AJ$21*INDEX('Lease Cycles'!$FO$21:$FU$21,1,AD231)+'Lease Cycles'!$BE$21*(1-INDEX('Lease Cycles'!$FO$21:$FU$21,1,AD231)))),0)</f>
        <v>0</v>
      </c>
      <c r="AE241" s="24">
        <f>IF(AE233=1,'Lease Cycles'!$D$21*IF(INDEX('Lease Cycles'!$EF$21:$EL$21,1,AE231)=1,'Lease Cycles'!$AJ$21*INDEX('Lease Cycles'!$FO$21:$FU$21,1,AE231)*INDEX('Lease Cycles'!$EM$21:$ES$21,1,AE231)+'Lease Cycles'!$BE$21*IF(AE232&lt;INDEX('Lease Cycles'!$FA$21:$FG$21,1,AE231),0,1-INDEX('Lease Cycles'!$EM$21:$ES$21,1,AE231)),IF(OR(INDEX('Lease Cycles'!$DY$21:$EE$21,1,AE231)=1,AE232&gt;0),1,1-INDEX('Lease Cycles'!$DD$21:$DJ$21,1,AE231))*('Lease Cycles'!$AJ$21*INDEX('Lease Cycles'!$FO$21:$FU$21,1,AE231)+'Lease Cycles'!$BE$21*(1-INDEX('Lease Cycles'!$FO$21:$FU$21,1,AE231)))),0)</f>
        <v>0</v>
      </c>
      <c r="AF241" s="24">
        <f>IF(AF233=1,'Lease Cycles'!$D$21*IF(INDEX('Lease Cycles'!$EF$21:$EL$21,1,AF231)=1,'Lease Cycles'!$AJ$21*INDEX('Lease Cycles'!$FO$21:$FU$21,1,AF231)*INDEX('Lease Cycles'!$EM$21:$ES$21,1,AF231)+'Lease Cycles'!$BE$21*IF(AF232&lt;INDEX('Lease Cycles'!$FA$21:$FG$21,1,AF231),0,1-INDEX('Lease Cycles'!$EM$21:$ES$21,1,AF231)),IF(OR(INDEX('Lease Cycles'!$DY$21:$EE$21,1,AF231)=1,AF232&gt;0),1,1-INDEX('Lease Cycles'!$DD$21:$DJ$21,1,AF231))*('Lease Cycles'!$AJ$21*INDEX('Lease Cycles'!$FO$21:$FU$21,1,AF231)+'Lease Cycles'!$BE$21*(1-INDEX('Lease Cycles'!$FO$21:$FU$21,1,AF231)))),0)</f>
        <v>0</v>
      </c>
      <c r="AG241" s="24">
        <f>IF(AG233=1,'Lease Cycles'!$D$21*IF(INDEX('Lease Cycles'!$EF$21:$EL$21,1,AG231)=1,'Lease Cycles'!$AJ$21*INDEX('Lease Cycles'!$FO$21:$FU$21,1,AG231)*INDEX('Lease Cycles'!$EM$21:$ES$21,1,AG231)+'Lease Cycles'!$BE$21*IF(AG232&lt;INDEX('Lease Cycles'!$FA$21:$FG$21,1,AG231),0,1-INDEX('Lease Cycles'!$EM$21:$ES$21,1,AG231)),IF(OR(INDEX('Lease Cycles'!$DY$21:$EE$21,1,AG231)=1,AG232&gt;0),1,1-INDEX('Lease Cycles'!$DD$21:$DJ$21,1,AG231))*('Lease Cycles'!$AJ$21*INDEX('Lease Cycles'!$FO$21:$FU$21,1,AG231)+'Lease Cycles'!$BE$21*(1-INDEX('Lease Cycles'!$FO$21:$FU$21,1,AG231)))),0)</f>
        <v>0</v>
      </c>
      <c r="AH241" s="24">
        <f>IF(AH233=1,'Lease Cycles'!$D$21*IF(INDEX('Lease Cycles'!$EF$21:$EL$21,1,AH231)=1,'Lease Cycles'!$AJ$21*INDEX('Lease Cycles'!$FO$21:$FU$21,1,AH231)*INDEX('Lease Cycles'!$EM$21:$ES$21,1,AH231)+'Lease Cycles'!$BE$21*IF(AH232&lt;INDEX('Lease Cycles'!$FA$21:$FG$21,1,AH231),0,1-INDEX('Lease Cycles'!$EM$21:$ES$21,1,AH231)),IF(OR(INDEX('Lease Cycles'!$DY$21:$EE$21,1,AH231)=1,AH232&gt;0),1,1-INDEX('Lease Cycles'!$DD$21:$DJ$21,1,AH231))*('Lease Cycles'!$AJ$21*INDEX('Lease Cycles'!$FO$21:$FU$21,1,AH231)+'Lease Cycles'!$BE$21*(1-INDEX('Lease Cycles'!$FO$21:$FU$21,1,AH231)))),0)</f>
        <v>0</v>
      </c>
      <c r="AI241" s="24">
        <f>IF(AI233=1,'Lease Cycles'!$D$21*IF(INDEX('Lease Cycles'!$EF$21:$EL$21,1,AI231)=1,'Lease Cycles'!$AJ$21*INDEX('Lease Cycles'!$FO$21:$FU$21,1,AI231)*INDEX('Lease Cycles'!$EM$21:$ES$21,1,AI231)+'Lease Cycles'!$BE$21*IF(AI232&lt;INDEX('Lease Cycles'!$FA$21:$FG$21,1,AI231),0,1-INDEX('Lease Cycles'!$EM$21:$ES$21,1,AI231)),IF(OR(INDEX('Lease Cycles'!$DY$21:$EE$21,1,AI231)=1,AI232&gt;0),1,1-INDEX('Lease Cycles'!$DD$21:$DJ$21,1,AI231))*('Lease Cycles'!$AJ$21*INDEX('Lease Cycles'!$FO$21:$FU$21,1,AI231)+'Lease Cycles'!$BE$21*(1-INDEX('Lease Cycles'!$FO$21:$FU$21,1,AI231)))),0)</f>
        <v>0</v>
      </c>
      <c r="AJ241" s="24">
        <f>IF(AJ233=1,'Lease Cycles'!$D$21*IF(INDEX('Lease Cycles'!$EF$21:$EL$21,1,AJ231)=1,'Lease Cycles'!$AJ$21*INDEX('Lease Cycles'!$FO$21:$FU$21,1,AJ231)*INDEX('Lease Cycles'!$EM$21:$ES$21,1,AJ231)+'Lease Cycles'!$BE$21*IF(AJ232&lt;INDEX('Lease Cycles'!$FA$21:$FG$21,1,AJ231),0,1-INDEX('Lease Cycles'!$EM$21:$ES$21,1,AJ231)),IF(OR(INDEX('Lease Cycles'!$DY$21:$EE$21,1,AJ231)=1,AJ232&gt;0),1,1-INDEX('Lease Cycles'!$DD$21:$DJ$21,1,AJ231))*('Lease Cycles'!$AJ$21*INDEX('Lease Cycles'!$FO$21:$FU$21,1,AJ231)+'Lease Cycles'!$BE$21*(1-INDEX('Lease Cycles'!$FO$21:$FU$21,1,AJ231)))),0)</f>
        <v>0</v>
      </c>
      <c r="AK241" s="24">
        <f>IF(AK233=1,'Lease Cycles'!$D$21*IF(INDEX('Lease Cycles'!$EF$21:$EL$21,1,AK231)=1,'Lease Cycles'!$AJ$21*INDEX('Lease Cycles'!$FO$21:$FU$21,1,AK231)*INDEX('Lease Cycles'!$EM$21:$ES$21,1,AK231)+'Lease Cycles'!$BE$21*IF(AK232&lt;INDEX('Lease Cycles'!$FA$21:$FG$21,1,AK231),0,1-INDEX('Lease Cycles'!$EM$21:$ES$21,1,AK231)),IF(OR(INDEX('Lease Cycles'!$DY$21:$EE$21,1,AK231)=1,AK232&gt;0),1,1-INDEX('Lease Cycles'!$DD$21:$DJ$21,1,AK231))*('Lease Cycles'!$AJ$21*INDEX('Lease Cycles'!$FO$21:$FU$21,1,AK231)+'Lease Cycles'!$BE$21*(1-INDEX('Lease Cycles'!$FO$21:$FU$21,1,AK231)))),0)</f>
        <v>0</v>
      </c>
      <c r="AL241" s="24">
        <f>IF(AL233=1,'Lease Cycles'!$D$21*IF(INDEX('Lease Cycles'!$EF$21:$EL$21,1,AL231)=1,'Lease Cycles'!$AJ$21*INDEX('Lease Cycles'!$FO$21:$FU$21,1,AL231)*INDEX('Lease Cycles'!$EM$21:$ES$21,1,AL231)+'Lease Cycles'!$BE$21*IF(AL232&lt;INDEX('Lease Cycles'!$FA$21:$FG$21,1,AL231),0,1-INDEX('Lease Cycles'!$EM$21:$ES$21,1,AL231)),IF(OR(INDEX('Lease Cycles'!$DY$21:$EE$21,1,AL231)=1,AL232&gt;0),1,1-INDEX('Lease Cycles'!$DD$21:$DJ$21,1,AL231))*('Lease Cycles'!$AJ$21*INDEX('Lease Cycles'!$FO$21:$FU$21,1,AL231)+'Lease Cycles'!$BE$21*(1-INDEX('Lease Cycles'!$FO$21:$FU$21,1,AL231)))),0)</f>
        <v>0</v>
      </c>
      <c r="AM241" s="24">
        <f>IF(AM233=1,'Lease Cycles'!$D$21*IF(INDEX('Lease Cycles'!$EF$21:$EL$21,1,AM231)=1,'Lease Cycles'!$AJ$21*INDEX('Lease Cycles'!$FO$21:$FU$21,1,AM231)*INDEX('Lease Cycles'!$EM$21:$ES$21,1,AM231)+'Lease Cycles'!$BE$21*IF(AM232&lt;INDEX('Lease Cycles'!$FA$21:$FG$21,1,AM231),0,1-INDEX('Lease Cycles'!$EM$21:$ES$21,1,AM231)),IF(OR(INDEX('Lease Cycles'!$DY$21:$EE$21,1,AM231)=1,AM232&gt;0),1,1-INDEX('Lease Cycles'!$DD$21:$DJ$21,1,AM231))*('Lease Cycles'!$AJ$21*INDEX('Lease Cycles'!$FO$21:$FU$21,1,AM231)+'Lease Cycles'!$BE$21*(1-INDEX('Lease Cycles'!$FO$21:$FU$21,1,AM231)))),0)</f>
        <v>0</v>
      </c>
      <c r="AN241" s="24">
        <f>IF(AN233=1,'Lease Cycles'!$D$21*IF(INDEX('Lease Cycles'!$EF$21:$EL$21,1,AN231)=1,'Lease Cycles'!$AJ$21*INDEX('Lease Cycles'!$FO$21:$FU$21,1,AN231)*INDEX('Lease Cycles'!$EM$21:$ES$21,1,AN231)+'Lease Cycles'!$BE$21*IF(AN232&lt;INDEX('Lease Cycles'!$FA$21:$FG$21,1,AN231),0,1-INDEX('Lease Cycles'!$EM$21:$ES$21,1,AN231)),IF(OR(INDEX('Lease Cycles'!$DY$21:$EE$21,1,AN231)=1,AN232&gt;0),1,1-INDEX('Lease Cycles'!$DD$21:$DJ$21,1,AN231))*('Lease Cycles'!$AJ$21*INDEX('Lease Cycles'!$FO$21:$FU$21,1,AN231)+'Lease Cycles'!$BE$21*(1-INDEX('Lease Cycles'!$FO$21:$FU$21,1,AN231)))),0)</f>
        <v>0</v>
      </c>
      <c r="AO241" s="24">
        <f>IF(AO233=1,'Lease Cycles'!$D$21*IF(INDEX('Lease Cycles'!$EF$21:$EL$21,1,AO231)=1,'Lease Cycles'!$AJ$21*INDEX('Lease Cycles'!$FO$21:$FU$21,1,AO231)*INDEX('Lease Cycles'!$EM$21:$ES$21,1,AO231)+'Lease Cycles'!$BE$21*IF(AO232&lt;INDEX('Lease Cycles'!$FA$21:$FG$21,1,AO231),0,1-INDEX('Lease Cycles'!$EM$21:$ES$21,1,AO231)),IF(OR(INDEX('Lease Cycles'!$DY$21:$EE$21,1,AO231)=1,AO232&gt;0),1,1-INDEX('Lease Cycles'!$DD$21:$DJ$21,1,AO231))*('Lease Cycles'!$AJ$21*INDEX('Lease Cycles'!$FO$21:$FU$21,1,AO231)+'Lease Cycles'!$BE$21*(1-INDEX('Lease Cycles'!$FO$21:$FU$21,1,AO231)))),0)</f>
        <v>0</v>
      </c>
      <c r="AP241" s="24">
        <f>IF(AP233=1,'Lease Cycles'!$D$21*IF(INDEX('Lease Cycles'!$EF$21:$EL$21,1,AP231)=1,'Lease Cycles'!$AJ$21*INDEX('Lease Cycles'!$FO$21:$FU$21,1,AP231)*INDEX('Lease Cycles'!$EM$21:$ES$21,1,AP231)+'Lease Cycles'!$BE$21*IF(AP232&lt;INDEX('Lease Cycles'!$FA$21:$FG$21,1,AP231),0,1-INDEX('Lease Cycles'!$EM$21:$ES$21,1,AP231)),IF(OR(INDEX('Lease Cycles'!$DY$21:$EE$21,1,AP231)=1,AP232&gt;0),1,1-INDEX('Lease Cycles'!$DD$21:$DJ$21,1,AP231))*('Lease Cycles'!$AJ$21*INDEX('Lease Cycles'!$FO$21:$FU$21,1,AP231)+'Lease Cycles'!$BE$21*(1-INDEX('Lease Cycles'!$FO$21:$FU$21,1,AP231)))),0)</f>
        <v>0</v>
      </c>
      <c r="AQ241" s="24">
        <f>IF(AQ233=1,'Lease Cycles'!$D$21*IF(INDEX('Lease Cycles'!$EF$21:$EL$21,1,AQ231)=1,'Lease Cycles'!$AJ$21*INDEX('Lease Cycles'!$FO$21:$FU$21,1,AQ231)*INDEX('Lease Cycles'!$EM$21:$ES$21,1,AQ231)+'Lease Cycles'!$BE$21*IF(AQ232&lt;INDEX('Lease Cycles'!$FA$21:$FG$21,1,AQ231),0,1-INDEX('Lease Cycles'!$EM$21:$ES$21,1,AQ231)),IF(OR(INDEX('Lease Cycles'!$DY$21:$EE$21,1,AQ231)=1,AQ232&gt;0),1,1-INDEX('Lease Cycles'!$DD$21:$DJ$21,1,AQ231))*('Lease Cycles'!$AJ$21*INDEX('Lease Cycles'!$FO$21:$FU$21,1,AQ231)+'Lease Cycles'!$BE$21*(1-INDEX('Lease Cycles'!$FO$21:$FU$21,1,AQ231)))),0)</f>
        <v>0</v>
      </c>
      <c r="AR241" s="24">
        <f>IF(AR233=1,'Lease Cycles'!$D$21*IF(INDEX('Lease Cycles'!$EF$21:$EL$21,1,AR231)=1,'Lease Cycles'!$AJ$21*INDEX('Lease Cycles'!$FO$21:$FU$21,1,AR231)*INDEX('Lease Cycles'!$EM$21:$ES$21,1,AR231)+'Lease Cycles'!$BE$21*IF(AR232&lt;INDEX('Lease Cycles'!$FA$21:$FG$21,1,AR231),0,1-INDEX('Lease Cycles'!$EM$21:$ES$21,1,AR231)),IF(OR(INDEX('Lease Cycles'!$DY$21:$EE$21,1,AR231)=1,AR232&gt;0),1,1-INDEX('Lease Cycles'!$DD$21:$DJ$21,1,AR231))*('Lease Cycles'!$AJ$21*INDEX('Lease Cycles'!$FO$21:$FU$21,1,AR231)+'Lease Cycles'!$BE$21*(1-INDEX('Lease Cycles'!$FO$21:$FU$21,1,AR231)))),0)</f>
        <v>0</v>
      </c>
      <c r="AS241" s="24">
        <f>IF(AS233=1,'Lease Cycles'!$D$21*IF(INDEX('Lease Cycles'!$EF$21:$EL$21,1,AS231)=1,'Lease Cycles'!$AJ$21*INDEX('Lease Cycles'!$FO$21:$FU$21,1,AS231)*INDEX('Lease Cycles'!$EM$21:$ES$21,1,AS231)+'Lease Cycles'!$BE$21*IF(AS232&lt;INDEX('Lease Cycles'!$FA$21:$FG$21,1,AS231),0,1-INDEX('Lease Cycles'!$EM$21:$ES$21,1,AS231)),IF(OR(INDEX('Lease Cycles'!$DY$21:$EE$21,1,AS231)=1,AS232&gt;0),1,1-INDEX('Lease Cycles'!$DD$21:$DJ$21,1,AS231))*('Lease Cycles'!$AJ$21*INDEX('Lease Cycles'!$FO$21:$FU$21,1,AS231)+'Lease Cycles'!$BE$21*(1-INDEX('Lease Cycles'!$FO$21:$FU$21,1,AS231)))),0)</f>
        <v>0</v>
      </c>
      <c r="AT241" s="24">
        <f>IF(AT233=1,'Lease Cycles'!$D$21*IF(INDEX('Lease Cycles'!$EF$21:$EL$21,1,AT231)=1,'Lease Cycles'!$AJ$21*INDEX('Lease Cycles'!$FO$21:$FU$21,1,AT231)*INDEX('Lease Cycles'!$EM$21:$ES$21,1,AT231)+'Lease Cycles'!$BE$21*IF(AT232&lt;INDEX('Lease Cycles'!$FA$21:$FG$21,1,AT231),0,1-INDEX('Lease Cycles'!$EM$21:$ES$21,1,AT231)),IF(OR(INDEX('Lease Cycles'!$DY$21:$EE$21,1,AT231)=1,AT232&gt;0),1,1-INDEX('Lease Cycles'!$DD$21:$DJ$21,1,AT231))*('Lease Cycles'!$AJ$21*INDEX('Lease Cycles'!$FO$21:$FU$21,1,AT231)+'Lease Cycles'!$BE$21*(1-INDEX('Lease Cycles'!$FO$21:$FU$21,1,AT231)))),0)</f>
        <v>0</v>
      </c>
      <c r="AU241" s="24">
        <f>IF(AU233=1,'Lease Cycles'!$D$21*IF(INDEX('Lease Cycles'!$EF$21:$EL$21,1,AU231)=1,'Lease Cycles'!$AJ$21*INDEX('Lease Cycles'!$FO$21:$FU$21,1,AU231)*INDEX('Lease Cycles'!$EM$21:$ES$21,1,AU231)+'Lease Cycles'!$BE$21*IF(AU232&lt;INDEX('Lease Cycles'!$FA$21:$FG$21,1,AU231),0,1-INDEX('Lease Cycles'!$EM$21:$ES$21,1,AU231)),IF(OR(INDEX('Lease Cycles'!$DY$21:$EE$21,1,AU231)=1,AU232&gt;0),1,1-INDEX('Lease Cycles'!$DD$21:$DJ$21,1,AU231))*('Lease Cycles'!$AJ$21*INDEX('Lease Cycles'!$FO$21:$FU$21,1,AU231)+'Lease Cycles'!$BE$21*(1-INDEX('Lease Cycles'!$FO$21:$FU$21,1,AU231)))),0)</f>
        <v>0</v>
      </c>
      <c r="AV241" s="24">
        <f>IF(AV233=1,'Lease Cycles'!$D$21*IF(INDEX('Lease Cycles'!$EF$21:$EL$21,1,AV231)=1,'Lease Cycles'!$AJ$21*INDEX('Lease Cycles'!$FO$21:$FU$21,1,AV231)*INDEX('Lease Cycles'!$EM$21:$ES$21,1,AV231)+'Lease Cycles'!$BE$21*IF(AV232&lt;INDEX('Lease Cycles'!$FA$21:$FG$21,1,AV231),0,1-INDEX('Lease Cycles'!$EM$21:$ES$21,1,AV231)),IF(OR(INDEX('Lease Cycles'!$DY$21:$EE$21,1,AV231)=1,AV232&gt;0),1,1-INDEX('Lease Cycles'!$DD$21:$DJ$21,1,AV231))*('Lease Cycles'!$AJ$21*INDEX('Lease Cycles'!$FO$21:$FU$21,1,AV231)+'Lease Cycles'!$BE$21*(1-INDEX('Lease Cycles'!$FO$21:$FU$21,1,AV231)))),0)</f>
        <v>0</v>
      </c>
      <c r="AW241" s="24">
        <f>IF(AW233=1,'Lease Cycles'!$D$21*IF(INDEX('Lease Cycles'!$EF$21:$EL$21,1,AW231)=1,'Lease Cycles'!$AJ$21*INDEX('Lease Cycles'!$FO$21:$FU$21,1,AW231)*INDEX('Lease Cycles'!$EM$21:$ES$21,1,AW231)+'Lease Cycles'!$BE$21*IF(AW232&lt;INDEX('Lease Cycles'!$FA$21:$FG$21,1,AW231),0,1-INDEX('Lease Cycles'!$EM$21:$ES$21,1,AW231)),IF(OR(INDEX('Lease Cycles'!$DY$21:$EE$21,1,AW231)=1,AW232&gt;0),1,1-INDEX('Lease Cycles'!$DD$21:$DJ$21,1,AW231))*('Lease Cycles'!$AJ$21*INDEX('Lease Cycles'!$FO$21:$FU$21,1,AW231)+'Lease Cycles'!$BE$21*(1-INDEX('Lease Cycles'!$FO$21:$FU$21,1,AW231)))),0)</f>
        <v>0</v>
      </c>
      <c r="AX241" s="24">
        <f>IF(AX233=1,'Lease Cycles'!$D$21*IF(INDEX('Lease Cycles'!$EF$21:$EL$21,1,AX231)=1,'Lease Cycles'!$AJ$21*INDEX('Lease Cycles'!$FO$21:$FU$21,1,AX231)*INDEX('Lease Cycles'!$EM$21:$ES$21,1,AX231)+'Lease Cycles'!$BE$21*IF(AX232&lt;INDEX('Lease Cycles'!$FA$21:$FG$21,1,AX231),0,1-INDEX('Lease Cycles'!$EM$21:$ES$21,1,AX231)),IF(OR(INDEX('Lease Cycles'!$DY$21:$EE$21,1,AX231)=1,AX232&gt;0),1,1-INDEX('Lease Cycles'!$DD$21:$DJ$21,1,AX231))*('Lease Cycles'!$AJ$21*INDEX('Lease Cycles'!$FO$21:$FU$21,1,AX231)+'Lease Cycles'!$BE$21*(1-INDEX('Lease Cycles'!$FO$21:$FU$21,1,AX231)))),0)</f>
        <v>0</v>
      </c>
      <c r="AY241" s="24">
        <f>IF(AY233=1,'Lease Cycles'!$D$21*IF(INDEX('Lease Cycles'!$EF$21:$EL$21,1,AY231)=1,'Lease Cycles'!$AJ$21*INDEX('Lease Cycles'!$FO$21:$FU$21,1,AY231)*INDEX('Lease Cycles'!$EM$21:$ES$21,1,AY231)+'Lease Cycles'!$BE$21*IF(AY232&lt;INDEX('Lease Cycles'!$FA$21:$FG$21,1,AY231),0,1-INDEX('Lease Cycles'!$EM$21:$ES$21,1,AY231)),IF(OR(INDEX('Lease Cycles'!$DY$21:$EE$21,1,AY231)=1,AY232&gt;0),1,1-INDEX('Lease Cycles'!$DD$21:$DJ$21,1,AY231))*('Lease Cycles'!$AJ$21*INDEX('Lease Cycles'!$FO$21:$FU$21,1,AY231)+'Lease Cycles'!$BE$21*(1-INDEX('Lease Cycles'!$FO$21:$FU$21,1,AY231)))),0)</f>
        <v>0</v>
      </c>
      <c r="AZ241" s="24">
        <f>IF(AZ233=1,'Lease Cycles'!$D$21*IF(INDEX('Lease Cycles'!$EF$21:$EL$21,1,AZ231)=1,'Lease Cycles'!$AJ$21*INDEX('Lease Cycles'!$FO$21:$FU$21,1,AZ231)*INDEX('Lease Cycles'!$EM$21:$ES$21,1,AZ231)+'Lease Cycles'!$BE$21*IF(AZ232&lt;INDEX('Lease Cycles'!$FA$21:$FG$21,1,AZ231),0,1-INDEX('Lease Cycles'!$EM$21:$ES$21,1,AZ231)),IF(OR(INDEX('Lease Cycles'!$DY$21:$EE$21,1,AZ231)=1,AZ232&gt;0),1,1-INDEX('Lease Cycles'!$DD$21:$DJ$21,1,AZ231))*('Lease Cycles'!$AJ$21*INDEX('Lease Cycles'!$FO$21:$FU$21,1,AZ231)+'Lease Cycles'!$BE$21*(1-INDEX('Lease Cycles'!$FO$21:$FU$21,1,AZ231)))),0)</f>
        <v>0</v>
      </c>
      <c r="BA241" s="24">
        <f>IF(BA233=1,'Lease Cycles'!$D$21*IF(INDEX('Lease Cycles'!$EF$21:$EL$21,1,BA231)=1,'Lease Cycles'!$AJ$21*INDEX('Lease Cycles'!$FO$21:$FU$21,1,BA231)*INDEX('Lease Cycles'!$EM$21:$ES$21,1,BA231)+'Lease Cycles'!$BE$21*IF(BA232&lt;INDEX('Lease Cycles'!$FA$21:$FG$21,1,BA231),0,1-INDEX('Lease Cycles'!$EM$21:$ES$21,1,BA231)),IF(OR(INDEX('Lease Cycles'!$DY$21:$EE$21,1,BA231)=1,BA232&gt;0),1,1-INDEX('Lease Cycles'!$DD$21:$DJ$21,1,BA231))*('Lease Cycles'!$AJ$21*INDEX('Lease Cycles'!$FO$21:$FU$21,1,BA231)+'Lease Cycles'!$BE$21*(1-INDEX('Lease Cycles'!$FO$21:$FU$21,1,BA231)))),0)</f>
        <v>0</v>
      </c>
      <c r="BB241" s="24">
        <f>IF(BB233=1,'Lease Cycles'!$D$21*IF(INDEX('Lease Cycles'!$EF$21:$EL$21,1,BB231)=1,'Lease Cycles'!$AJ$21*INDEX('Lease Cycles'!$FO$21:$FU$21,1,BB231)*INDEX('Lease Cycles'!$EM$21:$ES$21,1,BB231)+'Lease Cycles'!$BE$21*IF(BB232&lt;INDEX('Lease Cycles'!$FA$21:$FG$21,1,BB231),0,1-INDEX('Lease Cycles'!$EM$21:$ES$21,1,BB231)),IF(OR(INDEX('Lease Cycles'!$DY$21:$EE$21,1,BB231)=1,BB232&gt;0),1,1-INDEX('Lease Cycles'!$DD$21:$DJ$21,1,BB231))*('Lease Cycles'!$AJ$21*INDEX('Lease Cycles'!$FO$21:$FU$21,1,BB231)+'Lease Cycles'!$BE$21*(1-INDEX('Lease Cycles'!$FO$21:$FU$21,1,BB231)))),0)</f>
        <v>0</v>
      </c>
      <c r="BC241" s="24">
        <f>IF(BC233=1,'Lease Cycles'!$D$21*IF(INDEX('Lease Cycles'!$EF$21:$EL$21,1,BC231)=1,'Lease Cycles'!$AJ$21*INDEX('Lease Cycles'!$FO$21:$FU$21,1,BC231)*INDEX('Lease Cycles'!$EM$21:$ES$21,1,BC231)+'Lease Cycles'!$BE$21*IF(BC232&lt;INDEX('Lease Cycles'!$FA$21:$FG$21,1,BC231),0,1-INDEX('Lease Cycles'!$EM$21:$ES$21,1,BC231)),IF(OR(INDEX('Lease Cycles'!$DY$21:$EE$21,1,BC231)=1,BC232&gt;0),1,1-INDEX('Lease Cycles'!$DD$21:$DJ$21,1,BC231))*('Lease Cycles'!$AJ$21*INDEX('Lease Cycles'!$FO$21:$FU$21,1,BC231)+'Lease Cycles'!$BE$21*(1-INDEX('Lease Cycles'!$FO$21:$FU$21,1,BC231)))),0)</f>
        <v>0</v>
      </c>
      <c r="BD241" s="24">
        <f>IF(BD233=1,'Lease Cycles'!$D$21*IF(INDEX('Lease Cycles'!$EF$21:$EL$21,1,BD231)=1,'Lease Cycles'!$AJ$21*INDEX('Lease Cycles'!$FO$21:$FU$21,1,BD231)*INDEX('Lease Cycles'!$EM$21:$ES$21,1,BD231)+'Lease Cycles'!$BE$21*IF(BD232&lt;INDEX('Lease Cycles'!$FA$21:$FG$21,1,BD231),0,1-INDEX('Lease Cycles'!$EM$21:$ES$21,1,BD231)),IF(OR(INDEX('Lease Cycles'!$DY$21:$EE$21,1,BD231)=1,BD232&gt;0),1,1-INDEX('Lease Cycles'!$DD$21:$DJ$21,1,BD231))*('Lease Cycles'!$AJ$21*INDEX('Lease Cycles'!$FO$21:$FU$21,1,BD231)+'Lease Cycles'!$BE$21*(1-INDEX('Lease Cycles'!$FO$21:$FU$21,1,BD231)))),0)</f>
        <v>0</v>
      </c>
      <c r="BE241" s="24">
        <f>IF(BE233=1,'Lease Cycles'!$D$21*IF(INDEX('Lease Cycles'!$EF$21:$EL$21,1,BE231)=1,'Lease Cycles'!$AJ$21*INDEX('Lease Cycles'!$FO$21:$FU$21,1,BE231)*INDEX('Lease Cycles'!$EM$21:$ES$21,1,BE231)+'Lease Cycles'!$BE$21*IF(BE232&lt;INDEX('Lease Cycles'!$FA$21:$FG$21,1,BE231),0,1-INDEX('Lease Cycles'!$EM$21:$ES$21,1,BE231)),IF(OR(INDEX('Lease Cycles'!$DY$21:$EE$21,1,BE231)=1,BE232&gt;0),1,1-INDEX('Lease Cycles'!$DD$21:$DJ$21,1,BE231))*('Lease Cycles'!$AJ$21*INDEX('Lease Cycles'!$FO$21:$FU$21,1,BE231)+'Lease Cycles'!$BE$21*(1-INDEX('Lease Cycles'!$FO$21:$FU$21,1,BE231)))),0)</f>
        <v>0</v>
      </c>
      <c r="BF241" s="24">
        <f>IF(BF233=1,'Lease Cycles'!$D$21*IF(INDEX('Lease Cycles'!$EF$21:$EL$21,1,BF231)=1,'Lease Cycles'!$AJ$21*INDEX('Lease Cycles'!$FO$21:$FU$21,1,BF231)*INDEX('Lease Cycles'!$EM$21:$ES$21,1,BF231)+'Lease Cycles'!$BE$21*IF(BF232&lt;INDEX('Lease Cycles'!$FA$21:$FG$21,1,BF231),0,1-INDEX('Lease Cycles'!$EM$21:$ES$21,1,BF231)),IF(OR(INDEX('Lease Cycles'!$DY$21:$EE$21,1,BF231)=1,BF232&gt;0),1,1-INDEX('Lease Cycles'!$DD$21:$DJ$21,1,BF231))*('Lease Cycles'!$AJ$21*INDEX('Lease Cycles'!$FO$21:$FU$21,1,BF231)+'Lease Cycles'!$BE$21*(1-INDEX('Lease Cycles'!$FO$21:$FU$21,1,BF231)))),0)</f>
        <v>0</v>
      </c>
      <c r="BG241" s="24">
        <f>IF(BG233=1,'Lease Cycles'!$D$21*IF(INDEX('Lease Cycles'!$EF$21:$EL$21,1,BG231)=1,'Lease Cycles'!$AJ$21*INDEX('Lease Cycles'!$FO$21:$FU$21,1,BG231)*INDEX('Lease Cycles'!$EM$21:$ES$21,1,BG231)+'Lease Cycles'!$BE$21*IF(BG232&lt;INDEX('Lease Cycles'!$FA$21:$FG$21,1,BG231),0,1-INDEX('Lease Cycles'!$EM$21:$ES$21,1,BG231)),IF(OR(INDEX('Lease Cycles'!$DY$21:$EE$21,1,BG231)=1,BG232&gt;0),1,1-INDEX('Lease Cycles'!$DD$21:$DJ$21,1,BG231))*('Lease Cycles'!$AJ$21*INDEX('Lease Cycles'!$FO$21:$FU$21,1,BG231)+'Lease Cycles'!$BE$21*(1-INDEX('Lease Cycles'!$FO$21:$FU$21,1,BG231)))),0)</f>
        <v>0</v>
      </c>
      <c r="BH241" s="24">
        <f>IF(BH233=1,'Lease Cycles'!$D$21*IF(INDEX('Lease Cycles'!$EF$21:$EL$21,1,BH231)=1,'Lease Cycles'!$AJ$21*INDEX('Lease Cycles'!$FO$21:$FU$21,1,BH231)*INDEX('Lease Cycles'!$EM$21:$ES$21,1,BH231)+'Lease Cycles'!$BE$21*IF(BH232&lt;INDEX('Lease Cycles'!$FA$21:$FG$21,1,BH231),0,1-INDEX('Lease Cycles'!$EM$21:$ES$21,1,BH231)),IF(OR(INDEX('Lease Cycles'!$DY$21:$EE$21,1,BH231)=1,BH232&gt;0),1,1-INDEX('Lease Cycles'!$DD$21:$DJ$21,1,BH231))*('Lease Cycles'!$AJ$21*INDEX('Lease Cycles'!$FO$21:$FU$21,1,BH231)+'Lease Cycles'!$BE$21*(1-INDEX('Lease Cycles'!$FO$21:$FU$21,1,BH231)))),0)</f>
        <v>0</v>
      </c>
      <c r="BI241" s="24">
        <f>IF(BI233=1,'Lease Cycles'!$D$21*IF(INDEX('Lease Cycles'!$EF$21:$EL$21,1,BI231)=1,'Lease Cycles'!$AJ$21*INDEX('Lease Cycles'!$FO$21:$FU$21,1,BI231)*INDEX('Lease Cycles'!$EM$21:$ES$21,1,BI231)+'Lease Cycles'!$BE$21*IF(BI232&lt;INDEX('Lease Cycles'!$FA$21:$FG$21,1,BI231),0,1-INDEX('Lease Cycles'!$EM$21:$ES$21,1,BI231)),IF(OR(INDEX('Lease Cycles'!$DY$21:$EE$21,1,BI231)=1,BI232&gt;0),1,1-INDEX('Lease Cycles'!$DD$21:$DJ$21,1,BI231))*('Lease Cycles'!$AJ$21*INDEX('Lease Cycles'!$FO$21:$FU$21,1,BI231)+'Lease Cycles'!$BE$21*(1-INDEX('Lease Cycles'!$FO$21:$FU$21,1,BI231)))),0)</f>
        <v>0</v>
      </c>
      <c r="BJ241" s="24">
        <f>IF(BJ233=1,'Lease Cycles'!$D$21*IF(INDEX('Lease Cycles'!$EF$21:$EL$21,1,BJ231)=1,'Lease Cycles'!$AJ$21*INDEX('Lease Cycles'!$FO$21:$FU$21,1,BJ231)*INDEX('Lease Cycles'!$EM$21:$ES$21,1,BJ231)+'Lease Cycles'!$BE$21*IF(BJ232&lt;INDEX('Lease Cycles'!$FA$21:$FG$21,1,BJ231),0,1-INDEX('Lease Cycles'!$EM$21:$ES$21,1,BJ231)),IF(OR(INDEX('Lease Cycles'!$DY$21:$EE$21,1,BJ231)=1,BJ232&gt;0),1,1-INDEX('Lease Cycles'!$DD$21:$DJ$21,1,BJ231))*('Lease Cycles'!$AJ$21*INDEX('Lease Cycles'!$FO$21:$FU$21,1,BJ231)+'Lease Cycles'!$BE$21*(1-INDEX('Lease Cycles'!$FO$21:$FU$21,1,BJ231)))),0)</f>
        <v>0</v>
      </c>
      <c r="BK241" s="24">
        <f>IF(BK233=1,'Lease Cycles'!$D$21*IF(INDEX('Lease Cycles'!$EF$21:$EL$21,1,BK231)=1,'Lease Cycles'!$AJ$21*INDEX('Lease Cycles'!$FO$21:$FU$21,1,BK231)*INDEX('Lease Cycles'!$EM$21:$ES$21,1,BK231)+'Lease Cycles'!$BE$21*IF(BK232&lt;INDEX('Lease Cycles'!$FA$21:$FG$21,1,BK231),0,1-INDEX('Lease Cycles'!$EM$21:$ES$21,1,BK231)),IF(OR(INDEX('Lease Cycles'!$DY$21:$EE$21,1,BK231)=1,BK232&gt;0),1,1-INDEX('Lease Cycles'!$DD$21:$DJ$21,1,BK231))*('Lease Cycles'!$AJ$21*INDEX('Lease Cycles'!$FO$21:$FU$21,1,BK231)+'Lease Cycles'!$BE$21*(1-INDEX('Lease Cycles'!$FO$21:$FU$21,1,BK231)))),0)</f>
        <v>0</v>
      </c>
      <c r="BL241" s="24">
        <f>IF(BL233=1,'Lease Cycles'!$D$21*IF(INDEX('Lease Cycles'!$EF$21:$EL$21,1,BL231)=1,'Lease Cycles'!$AJ$21*INDEX('Lease Cycles'!$FO$21:$FU$21,1,BL231)*INDEX('Lease Cycles'!$EM$21:$ES$21,1,BL231)+'Lease Cycles'!$BE$21*IF(BL232&lt;INDEX('Lease Cycles'!$FA$21:$FG$21,1,BL231),0,1-INDEX('Lease Cycles'!$EM$21:$ES$21,1,BL231)),IF(OR(INDEX('Lease Cycles'!$DY$21:$EE$21,1,BL231)=1,BL232&gt;0),1,1-INDEX('Lease Cycles'!$DD$21:$DJ$21,1,BL231))*('Lease Cycles'!$AJ$21*INDEX('Lease Cycles'!$FO$21:$FU$21,1,BL231)+'Lease Cycles'!$BE$21*(1-INDEX('Lease Cycles'!$FO$21:$FU$21,1,BL231)))),0)</f>
        <v>0</v>
      </c>
      <c r="BM241" s="24">
        <f>IF(BM233=1,'Lease Cycles'!$D$21*IF(INDEX('Lease Cycles'!$EF$21:$EL$21,1,BM231)=1,'Lease Cycles'!$AJ$21*INDEX('Lease Cycles'!$FO$21:$FU$21,1,BM231)*INDEX('Lease Cycles'!$EM$21:$ES$21,1,BM231)+'Lease Cycles'!$BE$21*IF(BM232&lt;INDEX('Lease Cycles'!$FA$21:$FG$21,1,BM231),0,1-INDEX('Lease Cycles'!$EM$21:$ES$21,1,BM231)),IF(OR(INDEX('Lease Cycles'!$DY$21:$EE$21,1,BM231)=1,BM232&gt;0),1,1-INDEX('Lease Cycles'!$DD$21:$DJ$21,1,BM231))*('Lease Cycles'!$AJ$21*INDEX('Lease Cycles'!$FO$21:$FU$21,1,BM231)+'Lease Cycles'!$BE$21*(1-INDEX('Lease Cycles'!$FO$21:$FU$21,1,BM231)))),0)</f>
        <v>0</v>
      </c>
      <c r="BN241" s="24">
        <f>IF(BN233=1,'Lease Cycles'!$D$21*IF(INDEX('Lease Cycles'!$EF$21:$EL$21,1,BN231)=1,'Lease Cycles'!$AJ$21*INDEX('Lease Cycles'!$FO$21:$FU$21,1,BN231)*INDEX('Lease Cycles'!$EM$21:$ES$21,1,BN231)+'Lease Cycles'!$BE$21*IF(BN232&lt;INDEX('Lease Cycles'!$FA$21:$FG$21,1,BN231),0,1-INDEX('Lease Cycles'!$EM$21:$ES$21,1,BN231)),IF(OR(INDEX('Lease Cycles'!$DY$21:$EE$21,1,BN231)=1,BN232&gt;0),1,1-INDEX('Lease Cycles'!$DD$21:$DJ$21,1,BN231))*('Lease Cycles'!$AJ$21*INDEX('Lease Cycles'!$FO$21:$FU$21,1,BN231)+'Lease Cycles'!$BE$21*(1-INDEX('Lease Cycles'!$FO$21:$FU$21,1,BN231)))),0)</f>
        <v>0</v>
      </c>
      <c r="BO241" s="24">
        <f>IF(BO233=1,'Lease Cycles'!$D$21*IF(INDEX('Lease Cycles'!$EF$21:$EL$21,1,BO231)=1,'Lease Cycles'!$AJ$21*INDEX('Lease Cycles'!$FO$21:$FU$21,1,BO231)*INDEX('Lease Cycles'!$EM$21:$ES$21,1,BO231)+'Lease Cycles'!$BE$21*IF(BO232&lt;INDEX('Lease Cycles'!$FA$21:$FG$21,1,BO231),0,1-INDEX('Lease Cycles'!$EM$21:$ES$21,1,BO231)),IF(OR(INDEX('Lease Cycles'!$DY$21:$EE$21,1,BO231)=1,BO232&gt;0),1,1-INDEX('Lease Cycles'!$DD$21:$DJ$21,1,BO231))*('Lease Cycles'!$AJ$21*INDEX('Lease Cycles'!$FO$21:$FU$21,1,BO231)+'Lease Cycles'!$BE$21*(1-INDEX('Lease Cycles'!$FO$21:$FU$21,1,BO231)))),0)</f>
        <v>0</v>
      </c>
      <c r="BP241" s="24">
        <f>IF(BP233=1,'Lease Cycles'!$D$21*IF(INDEX('Lease Cycles'!$EF$21:$EL$21,1,BP231)=1,'Lease Cycles'!$AJ$21*INDEX('Lease Cycles'!$FO$21:$FU$21,1,BP231)*INDEX('Lease Cycles'!$EM$21:$ES$21,1,BP231)+'Lease Cycles'!$BE$21*IF(BP232&lt;INDEX('Lease Cycles'!$FA$21:$FG$21,1,BP231),0,1-INDEX('Lease Cycles'!$EM$21:$ES$21,1,BP231)),IF(OR(INDEX('Lease Cycles'!$DY$21:$EE$21,1,BP231)=1,BP232&gt;0),1,1-INDEX('Lease Cycles'!$DD$21:$DJ$21,1,BP231))*('Lease Cycles'!$AJ$21*INDEX('Lease Cycles'!$FO$21:$FU$21,1,BP231)+'Lease Cycles'!$BE$21*(1-INDEX('Lease Cycles'!$FO$21:$FU$21,1,BP231)))),0)</f>
        <v>0</v>
      </c>
      <c r="BQ241" s="24">
        <f>IF(BQ233=1,'Lease Cycles'!$D$21*IF(INDEX('Lease Cycles'!$EF$21:$EL$21,1,BQ231)=1,'Lease Cycles'!$AJ$21*INDEX('Lease Cycles'!$FO$21:$FU$21,1,BQ231)*INDEX('Lease Cycles'!$EM$21:$ES$21,1,BQ231)+'Lease Cycles'!$BE$21*IF(BQ232&lt;INDEX('Lease Cycles'!$FA$21:$FG$21,1,BQ231),0,1-INDEX('Lease Cycles'!$EM$21:$ES$21,1,BQ231)),IF(OR(INDEX('Lease Cycles'!$DY$21:$EE$21,1,BQ231)=1,BQ232&gt;0),1,1-INDEX('Lease Cycles'!$DD$21:$DJ$21,1,BQ231))*('Lease Cycles'!$AJ$21*INDEX('Lease Cycles'!$FO$21:$FU$21,1,BQ231)+'Lease Cycles'!$BE$21*(1-INDEX('Lease Cycles'!$FO$21:$FU$21,1,BQ231)))),0)</f>
        <v>0</v>
      </c>
      <c r="BR241" s="24">
        <f>IF(BR233=1,'Lease Cycles'!$D$21*IF(INDEX('Lease Cycles'!$EF$21:$EL$21,1,BR231)=1,'Lease Cycles'!$AJ$21*INDEX('Lease Cycles'!$FO$21:$FU$21,1,BR231)*INDEX('Lease Cycles'!$EM$21:$ES$21,1,BR231)+'Lease Cycles'!$BE$21*IF(BR232&lt;INDEX('Lease Cycles'!$FA$21:$FG$21,1,BR231),0,1-INDEX('Lease Cycles'!$EM$21:$ES$21,1,BR231)),IF(OR(INDEX('Lease Cycles'!$DY$21:$EE$21,1,BR231)=1,BR232&gt;0),1,1-INDEX('Lease Cycles'!$DD$21:$DJ$21,1,BR231))*('Lease Cycles'!$AJ$21*INDEX('Lease Cycles'!$FO$21:$FU$21,1,BR231)+'Lease Cycles'!$BE$21*(1-INDEX('Lease Cycles'!$FO$21:$FU$21,1,BR231)))),0)</f>
        <v>0</v>
      </c>
      <c r="BS241" s="24">
        <f>IF(BS233=1,'Lease Cycles'!$D$21*IF(INDEX('Lease Cycles'!$EF$21:$EL$21,1,BS231)=1,'Lease Cycles'!$AJ$21*INDEX('Lease Cycles'!$FO$21:$FU$21,1,BS231)*INDEX('Lease Cycles'!$EM$21:$ES$21,1,BS231)+'Lease Cycles'!$BE$21*IF(BS232&lt;INDEX('Lease Cycles'!$FA$21:$FG$21,1,BS231),0,1-INDEX('Lease Cycles'!$EM$21:$ES$21,1,BS231)),IF(OR(INDEX('Lease Cycles'!$DY$21:$EE$21,1,BS231)=1,BS232&gt;0),1,1-INDEX('Lease Cycles'!$DD$21:$DJ$21,1,BS231))*('Lease Cycles'!$AJ$21*INDEX('Lease Cycles'!$FO$21:$FU$21,1,BS231)+'Lease Cycles'!$BE$21*(1-INDEX('Lease Cycles'!$FO$21:$FU$21,1,BS231)))),0)</f>
        <v>0</v>
      </c>
      <c r="BT241" s="24">
        <f>IF(BT233=1,'Lease Cycles'!$D$21*IF(INDEX('Lease Cycles'!$EF$21:$EL$21,1,BT231)=1,'Lease Cycles'!$AJ$21*INDEX('Lease Cycles'!$FO$21:$FU$21,1,BT231)*INDEX('Lease Cycles'!$EM$21:$ES$21,1,BT231)+'Lease Cycles'!$BE$21*IF(BT232&lt;INDEX('Lease Cycles'!$FA$21:$FG$21,1,BT231),0,1-INDEX('Lease Cycles'!$EM$21:$ES$21,1,BT231)),IF(OR(INDEX('Lease Cycles'!$DY$21:$EE$21,1,BT231)=1,BT232&gt;0),1,1-INDEX('Lease Cycles'!$DD$21:$DJ$21,1,BT231))*('Lease Cycles'!$AJ$21*INDEX('Lease Cycles'!$FO$21:$FU$21,1,BT231)+'Lease Cycles'!$BE$21*(1-INDEX('Lease Cycles'!$FO$21:$FU$21,1,BT231)))),0)</f>
        <v>0</v>
      </c>
      <c r="BU241" s="24">
        <f>IF(BU233=1,'Lease Cycles'!$D$21*IF(INDEX('Lease Cycles'!$EF$21:$EL$21,1,BU231)=1,'Lease Cycles'!$AJ$21*INDEX('Lease Cycles'!$FO$21:$FU$21,1,BU231)*INDEX('Lease Cycles'!$EM$21:$ES$21,1,BU231)+'Lease Cycles'!$BE$21*IF(BU232&lt;INDEX('Lease Cycles'!$FA$21:$FG$21,1,BU231),0,1-INDEX('Lease Cycles'!$EM$21:$ES$21,1,BU231)),IF(OR(INDEX('Lease Cycles'!$DY$21:$EE$21,1,BU231)=1,BU232&gt;0),1,1-INDEX('Lease Cycles'!$DD$21:$DJ$21,1,BU231))*('Lease Cycles'!$AJ$21*INDEX('Lease Cycles'!$FO$21:$FU$21,1,BU231)+'Lease Cycles'!$BE$21*(1-INDEX('Lease Cycles'!$FO$21:$FU$21,1,BU231)))),0)</f>
        <v>0</v>
      </c>
      <c r="BV241" s="24">
        <f>IF(BV233=1,'Lease Cycles'!$D$21*IF(INDEX('Lease Cycles'!$EF$21:$EL$21,1,BV231)=1,'Lease Cycles'!$AJ$21*INDEX('Lease Cycles'!$FO$21:$FU$21,1,BV231)*INDEX('Lease Cycles'!$EM$21:$ES$21,1,BV231)+'Lease Cycles'!$BE$21*IF(BV232&lt;INDEX('Lease Cycles'!$FA$21:$FG$21,1,BV231),0,1-INDEX('Lease Cycles'!$EM$21:$ES$21,1,BV231)),IF(OR(INDEX('Lease Cycles'!$DY$21:$EE$21,1,BV231)=1,BV232&gt;0),1,1-INDEX('Lease Cycles'!$DD$21:$DJ$21,1,BV231))*('Lease Cycles'!$AJ$21*INDEX('Lease Cycles'!$FO$21:$FU$21,1,BV231)+'Lease Cycles'!$BE$21*(1-INDEX('Lease Cycles'!$FO$21:$FU$21,1,BV231)))),0)</f>
        <v>0</v>
      </c>
      <c r="BW241" s="24">
        <f>IF(BW233=1,'Lease Cycles'!$D$21*IF(INDEX('Lease Cycles'!$EF$21:$EL$21,1,BW231)=1,'Lease Cycles'!$AJ$21*INDEX('Lease Cycles'!$FO$21:$FU$21,1,BW231)*INDEX('Lease Cycles'!$EM$21:$ES$21,1,BW231)+'Lease Cycles'!$BE$21*IF(BW232&lt;INDEX('Lease Cycles'!$FA$21:$FG$21,1,BW231),0,1-INDEX('Lease Cycles'!$EM$21:$ES$21,1,BW231)),IF(OR(INDEX('Lease Cycles'!$DY$21:$EE$21,1,BW231)=1,BW232&gt;0),1,1-INDEX('Lease Cycles'!$DD$21:$DJ$21,1,BW231))*('Lease Cycles'!$AJ$21*INDEX('Lease Cycles'!$FO$21:$FU$21,1,BW231)+'Lease Cycles'!$BE$21*(1-INDEX('Lease Cycles'!$FO$21:$FU$21,1,BW231)))),0)</f>
        <v>0</v>
      </c>
      <c r="BX241" s="24">
        <f>IF(BX233=1,'Lease Cycles'!$D$21*IF(INDEX('Lease Cycles'!$EF$21:$EL$21,1,BX231)=1,'Lease Cycles'!$AJ$21*INDEX('Lease Cycles'!$FO$21:$FU$21,1,BX231)*INDEX('Lease Cycles'!$EM$21:$ES$21,1,BX231)+'Lease Cycles'!$BE$21*IF(BX232&lt;INDEX('Lease Cycles'!$FA$21:$FG$21,1,BX231),0,1-INDEX('Lease Cycles'!$EM$21:$ES$21,1,BX231)),IF(OR(INDEX('Lease Cycles'!$DY$21:$EE$21,1,BX231)=1,BX232&gt;0),1,1-INDEX('Lease Cycles'!$DD$21:$DJ$21,1,BX231))*('Lease Cycles'!$AJ$21*INDEX('Lease Cycles'!$FO$21:$FU$21,1,BX231)+'Lease Cycles'!$BE$21*(1-INDEX('Lease Cycles'!$FO$21:$FU$21,1,BX231)))),0)</f>
        <v>0</v>
      </c>
      <c r="BY241" s="24">
        <f>IF(BY233=1,'Lease Cycles'!$D$21*IF(INDEX('Lease Cycles'!$EF$21:$EL$21,1,BY231)=1,'Lease Cycles'!$AJ$21*INDEX('Lease Cycles'!$FO$21:$FU$21,1,BY231)*INDEX('Lease Cycles'!$EM$21:$ES$21,1,BY231)+'Lease Cycles'!$BE$21*IF(BY232&lt;INDEX('Lease Cycles'!$FA$21:$FG$21,1,BY231),0,1-INDEX('Lease Cycles'!$EM$21:$ES$21,1,BY231)),IF(OR(INDEX('Lease Cycles'!$DY$21:$EE$21,1,BY231)=1,BY232&gt;0),1,1-INDEX('Lease Cycles'!$DD$21:$DJ$21,1,BY231))*('Lease Cycles'!$AJ$21*INDEX('Lease Cycles'!$FO$21:$FU$21,1,BY231)+'Lease Cycles'!$BE$21*(1-INDEX('Lease Cycles'!$FO$21:$FU$21,1,BY231)))),0)</f>
        <v>0</v>
      </c>
      <c r="BZ241" s="24">
        <f>IF(BZ233=1,'Lease Cycles'!$D$21*IF(INDEX('Lease Cycles'!$EF$21:$EL$21,1,BZ231)=1,'Lease Cycles'!$AJ$21*INDEX('Lease Cycles'!$FO$21:$FU$21,1,BZ231)*INDEX('Lease Cycles'!$EM$21:$ES$21,1,BZ231)+'Lease Cycles'!$BE$21*IF(BZ232&lt;INDEX('Lease Cycles'!$FA$21:$FG$21,1,BZ231),0,1-INDEX('Lease Cycles'!$EM$21:$ES$21,1,BZ231)),IF(OR(INDEX('Lease Cycles'!$DY$21:$EE$21,1,BZ231)=1,BZ232&gt;0),1,1-INDEX('Lease Cycles'!$DD$21:$DJ$21,1,BZ231))*('Lease Cycles'!$AJ$21*INDEX('Lease Cycles'!$FO$21:$FU$21,1,BZ231)+'Lease Cycles'!$BE$21*(1-INDEX('Lease Cycles'!$FO$21:$FU$21,1,BZ231)))),0)</f>
        <v>0</v>
      </c>
      <c r="CA241" s="24">
        <f>IF(CA233=1,'Lease Cycles'!$D$21*IF(INDEX('Lease Cycles'!$EF$21:$EL$21,1,CA231)=1,'Lease Cycles'!$AJ$21*INDEX('Lease Cycles'!$FO$21:$FU$21,1,CA231)*INDEX('Lease Cycles'!$EM$21:$ES$21,1,CA231)+'Lease Cycles'!$BE$21*IF(CA232&lt;INDEX('Lease Cycles'!$FA$21:$FG$21,1,CA231),0,1-INDEX('Lease Cycles'!$EM$21:$ES$21,1,CA231)),IF(OR(INDEX('Lease Cycles'!$DY$21:$EE$21,1,CA231)=1,CA232&gt;0),1,1-INDEX('Lease Cycles'!$DD$21:$DJ$21,1,CA231))*('Lease Cycles'!$AJ$21*INDEX('Lease Cycles'!$FO$21:$FU$21,1,CA231)+'Lease Cycles'!$BE$21*(1-INDEX('Lease Cycles'!$FO$21:$FU$21,1,CA231)))),0)</f>
        <v>0</v>
      </c>
      <c r="CB241" s="24">
        <f>IF(CB233=1,'Lease Cycles'!$D$21*IF(INDEX('Lease Cycles'!$EF$21:$EL$21,1,CB231)=1,'Lease Cycles'!$AJ$21*INDEX('Lease Cycles'!$FO$21:$FU$21,1,CB231)*INDEX('Lease Cycles'!$EM$21:$ES$21,1,CB231)+'Lease Cycles'!$BE$21*IF(CB232&lt;INDEX('Lease Cycles'!$FA$21:$FG$21,1,CB231),0,1-INDEX('Lease Cycles'!$EM$21:$ES$21,1,CB231)),IF(OR(INDEX('Lease Cycles'!$DY$21:$EE$21,1,CB231)=1,CB232&gt;0),1,1-INDEX('Lease Cycles'!$DD$21:$DJ$21,1,CB231))*('Lease Cycles'!$AJ$21*INDEX('Lease Cycles'!$FO$21:$FU$21,1,CB231)+'Lease Cycles'!$BE$21*(1-INDEX('Lease Cycles'!$FO$21:$FU$21,1,CB231)))),0)</f>
        <v>0</v>
      </c>
      <c r="CC241" s="24">
        <f>IF(CC233=1,'Lease Cycles'!$D$21*IF(INDEX('Lease Cycles'!$EF$21:$EL$21,1,CC231)=1,'Lease Cycles'!$AJ$21*INDEX('Lease Cycles'!$FO$21:$FU$21,1,CC231)*INDEX('Lease Cycles'!$EM$21:$ES$21,1,CC231)+'Lease Cycles'!$BE$21*IF(CC232&lt;INDEX('Lease Cycles'!$FA$21:$FG$21,1,CC231),0,1-INDEX('Lease Cycles'!$EM$21:$ES$21,1,CC231)),IF(OR(INDEX('Lease Cycles'!$DY$21:$EE$21,1,CC231)=1,CC232&gt;0),1,1-INDEX('Lease Cycles'!$DD$21:$DJ$21,1,CC231))*('Lease Cycles'!$AJ$21*INDEX('Lease Cycles'!$FO$21:$FU$21,1,CC231)+'Lease Cycles'!$BE$21*(1-INDEX('Lease Cycles'!$FO$21:$FU$21,1,CC231)))),0)</f>
        <v>0</v>
      </c>
      <c r="CD241" s="24">
        <f>IF(CD233=1,'Lease Cycles'!$D$21*IF(INDEX('Lease Cycles'!$EF$21:$EL$21,1,CD231)=1,'Lease Cycles'!$AJ$21*INDEX('Lease Cycles'!$FO$21:$FU$21,1,CD231)*INDEX('Lease Cycles'!$EM$21:$ES$21,1,CD231)+'Lease Cycles'!$BE$21*IF(CD232&lt;INDEX('Lease Cycles'!$FA$21:$FG$21,1,CD231),0,1-INDEX('Lease Cycles'!$EM$21:$ES$21,1,CD231)),IF(OR(INDEX('Lease Cycles'!$DY$21:$EE$21,1,CD231)=1,CD232&gt;0),1,1-INDEX('Lease Cycles'!$DD$21:$DJ$21,1,CD231))*('Lease Cycles'!$AJ$21*INDEX('Lease Cycles'!$FO$21:$FU$21,1,CD231)+'Lease Cycles'!$BE$21*(1-INDEX('Lease Cycles'!$FO$21:$FU$21,1,CD231)))),0)</f>
        <v>0</v>
      </c>
      <c r="CE241" s="24">
        <f>IF(CE233=1,'Lease Cycles'!$D$21*IF(INDEX('Lease Cycles'!$EF$21:$EL$21,1,CE231)=1,'Lease Cycles'!$AJ$21*INDEX('Lease Cycles'!$FO$21:$FU$21,1,CE231)*INDEX('Lease Cycles'!$EM$21:$ES$21,1,CE231)+'Lease Cycles'!$BE$21*IF(CE232&lt;INDEX('Lease Cycles'!$FA$21:$FG$21,1,CE231),0,1-INDEX('Lease Cycles'!$EM$21:$ES$21,1,CE231)),IF(OR(INDEX('Lease Cycles'!$DY$21:$EE$21,1,CE231)=1,CE232&gt;0),1,1-INDEX('Lease Cycles'!$DD$21:$DJ$21,1,CE231))*('Lease Cycles'!$AJ$21*INDEX('Lease Cycles'!$FO$21:$FU$21,1,CE231)+'Lease Cycles'!$BE$21*(1-INDEX('Lease Cycles'!$FO$21:$FU$21,1,CE231)))),0)</f>
        <v>0</v>
      </c>
      <c r="CF241" s="24">
        <f>IF(CF233=1,'Lease Cycles'!$D$21*IF(INDEX('Lease Cycles'!$EF$21:$EL$21,1,CF231)=1,'Lease Cycles'!$AJ$21*INDEX('Lease Cycles'!$FO$21:$FU$21,1,CF231)*INDEX('Lease Cycles'!$EM$21:$ES$21,1,CF231)+'Lease Cycles'!$BE$21*IF(CF232&lt;INDEX('Lease Cycles'!$FA$21:$FG$21,1,CF231),0,1-INDEX('Lease Cycles'!$EM$21:$ES$21,1,CF231)),IF(OR(INDEX('Lease Cycles'!$DY$21:$EE$21,1,CF231)=1,CF232&gt;0),1,1-INDEX('Lease Cycles'!$DD$21:$DJ$21,1,CF231))*('Lease Cycles'!$AJ$21*INDEX('Lease Cycles'!$FO$21:$FU$21,1,CF231)+'Lease Cycles'!$BE$21*(1-INDEX('Lease Cycles'!$FO$21:$FU$21,1,CF231)))),0)</f>
        <v>0</v>
      </c>
      <c r="CG241" s="24">
        <f>IF(CG233=1,'Lease Cycles'!$D$21*IF(INDEX('Lease Cycles'!$EF$21:$EL$21,1,CG231)=1,'Lease Cycles'!$AJ$21*INDEX('Lease Cycles'!$FO$21:$FU$21,1,CG231)*INDEX('Lease Cycles'!$EM$21:$ES$21,1,CG231)+'Lease Cycles'!$BE$21*IF(CG232&lt;INDEX('Lease Cycles'!$FA$21:$FG$21,1,CG231),0,1-INDEX('Lease Cycles'!$EM$21:$ES$21,1,CG231)),IF(OR(INDEX('Lease Cycles'!$DY$21:$EE$21,1,CG231)=1,CG232&gt;0),1,1-INDEX('Lease Cycles'!$DD$21:$DJ$21,1,CG231))*('Lease Cycles'!$AJ$21*INDEX('Lease Cycles'!$FO$21:$FU$21,1,CG231)+'Lease Cycles'!$BE$21*(1-INDEX('Lease Cycles'!$FO$21:$FU$21,1,CG231)))),0)</f>
        <v>0</v>
      </c>
      <c r="CH241" s="24">
        <f>IF(CH233=1,'Lease Cycles'!$D$21*IF(INDEX('Lease Cycles'!$EF$21:$EL$21,1,CH231)=1,'Lease Cycles'!$AJ$21*INDEX('Lease Cycles'!$FO$21:$FU$21,1,CH231)*INDEX('Lease Cycles'!$EM$21:$ES$21,1,CH231)+'Lease Cycles'!$BE$21*IF(CH232&lt;INDEX('Lease Cycles'!$FA$21:$FG$21,1,CH231),0,1-INDEX('Lease Cycles'!$EM$21:$ES$21,1,CH231)),IF(OR(INDEX('Lease Cycles'!$DY$21:$EE$21,1,CH231)=1,CH232&gt;0),1,1-INDEX('Lease Cycles'!$DD$21:$DJ$21,1,CH231))*('Lease Cycles'!$AJ$21*INDEX('Lease Cycles'!$FO$21:$FU$21,1,CH231)+'Lease Cycles'!$BE$21*(1-INDEX('Lease Cycles'!$FO$21:$FU$21,1,CH231)))),0)</f>
        <v>0</v>
      </c>
      <c r="CI241" s="24">
        <f>IF(CI233=1,'Lease Cycles'!$D$21*IF(INDEX('Lease Cycles'!$EF$21:$EL$21,1,CI231)=1,'Lease Cycles'!$AJ$21*INDEX('Lease Cycles'!$FO$21:$FU$21,1,CI231)*INDEX('Lease Cycles'!$EM$21:$ES$21,1,CI231)+'Lease Cycles'!$BE$21*IF(CI232&lt;INDEX('Lease Cycles'!$FA$21:$FG$21,1,CI231),0,1-INDEX('Lease Cycles'!$EM$21:$ES$21,1,CI231)),IF(OR(INDEX('Lease Cycles'!$DY$21:$EE$21,1,CI231)=1,CI232&gt;0),1,1-INDEX('Lease Cycles'!$DD$21:$DJ$21,1,CI231))*('Lease Cycles'!$AJ$21*INDEX('Lease Cycles'!$FO$21:$FU$21,1,CI231)+'Lease Cycles'!$BE$21*(1-INDEX('Lease Cycles'!$FO$21:$FU$21,1,CI231)))),0)</f>
        <v>0</v>
      </c>
      <c r="CJ241" s="24">
        <f>IF(CJ233=1,'Lease Cycles'!$D$21*IF(INDEX('Lease Cycles'!$EF$21:$EL$21,1,CJ231)=1,'Lease Cycles'!$AJ$21*INDEX('Lease Cycles'!$FO$21:$FU$21,1,CJ231)*INDEX('Lease Cycles'!$EM$21:$ES$21,1,CJ231)+'Lease Cycles'!$BE$21*IF(CJ232&lt;INDEX('Lease Cycles'!$FA$21:$FG$21,1,CJ231),0,1-INDEX('Lease Cycles'!$EM$21:$ES$21,1,CJ231)),IF(OR(INDEX('Lease Cycles'!$DY$21:$EE$21,1,CJ231)=1,CJ232&gt;0),1,1-INDEX('Lease Cycles'!$DD$21:$DJ$21,1,CJ231))*('Lease Cycles'!$AJ$21*INDEX('Lease Cycles'!$FO$21:$FU$21,1,CJ231)+'Lease Cycles'!$BE$21*(1-INDEX('Lease Cycles'!$FO$21:$FU$21,1,CJ231)))),0)</f>
        <v>0</v>
      </c>
      <c r="CK241" s="24">
        <f>IF(CK233=1,'Lease Cycles'!$D$21*IF(INDEX('Lease Cycles'!$EF$21:$EL$21,1,CK231)=1,'Lease Cycles'!$AJ$21*INDEX('Lease Cycles'!$FO$21:$FU$21,1,CK231)*INDEX('Lease Cycles'!$EM$21:$ES$21,1,CK231)+'Lease Cycles'!$BE$21*IF(CK232&lt;INDEX('Lease Cycles'!$FA$21:$FG$21,1,CK231),0,1-INDEX('Lease Cycles'!$EM$21:$ES$21,1,CK231)),IF(OR(INDEX('Lease Cycles'!$DY$21:$EE$21,1,CK231)=1,CK232&gt;0),1,1-INDEX('Lease Cycles'!$DD$21:$DJ$21,1,CK231))*('Lease Cycles'!$AJ$21*INDEX('Lease Cycles'!$FO$21:$FU$21,1,CK231)+'Lease Cycles'!$BE$21*(1-INDEX('Lease Cycles'!$FO$21:$FU$21,1,CK231)))),0)</f>
        <v>0</v>
      </c>
      <c r="CL241" s="24">
        <f>IF(CL233=1,'Lease Cycles'!$D$21*IF(INDEX('Lease Cycles'!$EF$21:$EL$21,1,CL231)=1,'Lease Cycles'!$AJ$21*INDEX('Lease Cycles'!$FO$21:$FU$21,1,CL231)*INDEX('Lease Cycles'!$EM$21:$ES$21,1,CL231)+'Lease Cycles'!$BE$21*IF(CL232&lt;INDEX('Lease Cycles'!$FA$21:$FG$21,1,CL231),0,1-INDEX('Lease Cycles'!$EM$21:$ES$21,1,CL231)),IF(OR(INDEX('Lease Cycles'!$DY$21:$EE$21,1,CL231)=1,CL232&gt;0),1,1-INDEX('Lease Cycles'!$DD$21:$DJ$21,1,CL231))*('Lease Cycles'!$AJ$21*INDEX('Lease Cycles'!$FO$21:$FU$21,1,CL231)+'Lease Cycles'!$BE$21*(1-INDEX('Lease Cycles'!$FO$21:$FU$21,1,CL231)))),0)</f>
        <v>0</v>
      </c>
      <c r="CM241" s="24">
        <f>IF(CM233=1,'Lease Cycles'!$D$21*IF(INDEX('Lease Cycles'!$EF$21:$EL$21,1,CM231)=1,'Lease Cycles'!$AJ$21*INDEX('Lease Cycles'!$FO$21:$FU$21,1,CM231)*INDEX('Lease Cycles'!$EM$21:$ES$21,1,CM231)+'Lease Cycles'!$BE$21*IF(CM232&lt;INDEX('Lease Cycles'!$FA$21:$FG$21,1,CM231),0,1-INDEX('Lease Cycles'!$EM$21:$ES$21,1,CM231)),IF(OR(INDEX('Lease Cycles'!$DY$21:$EE$21,1,CM231)=1,CM232&gt;0),1,1-INDEX('Lease Cycles'!$DD$21:$DJ$21,1,CM231))*('Lease Cycles'!$AJ$21*INDEX('Lease Cycles'!$FO$21:$FU$21,1,CM231)+'Lease Cycles'!$BE$21*(1-INDEX('Lease Cycles'!$FO$21:$FU$21,1,CM231)))),0)</f>
        <v>0</v>
      </c>
      <c r="CN241" s="24">
        <f>IF(CN233=1,'Lease Cycles'!$D$21*IF(INDEX('Lease Cycles'!$EF$21:$EL$21,1,CN231)=1,'Lease Cycles'!$AJ$21*INDEX('Lease Cycles'!$FO$21:$FU$21,1,CN231)*INDEX('Lease Cycles'!$EM$21:$ES$21,1,CN231)+'Lease Cycles'!$BE$21*IF(CN232&lt;INDEX('Lease Cycles'!$FA$21:$FG$21,1,CN231),0,1-INDEX('Lease Cycles'!$EM$21:$ES$21,1,CN231)),IF(OR(INDEX('Lease Cycles'!$DY$21:$EE$21,1,CN231)=1,CN232&gt;0),1,1-INDEX('Lease Cycles'!$DD$21:$DJ$21,1,CN231))*('Lease Cycles'!$AJ$21*INDEX('Lease Cycles'!$FO$21:$FU$21,1,CN231)+'Lease Cycles'!$BE$21*(1-INDEX('Lease Cycles'!$FO$21:$FU$21,1,CN231)))),0)</f>
        <v>0</v>
      </c>
      <c r="CO241" s="24">
        <f>IF(CO233=1,'Lease Cycles'!$D$21*IF(INDEX('Lease Cycles'!$EF$21:$EL$21,1,CO231)=1,'Lease Cycles'!$AJ$21*INDEX('Lease Cycles'!$FO$21:$FU$21,1,CO231)*INDEX('Lease Cycles'!$EM$21:$ES$21,1,CO231)+'Lease Cycles'!$BE$21*IF(CO232&lt;INDEX('Lease Cycles'!$FA$21:$FG$21,1,CO231),0,1-INDEX('Lease Cycles'!$EM$21:$ES$21,1,CO231)),IF(OR(INDEX('Lease Cycles'!$DY$21:$EE$21,1,CO231)=1,CO232&gt;0),1,1-INDEX('Lease Cycles'!$DD$21:$DJ$21,1,CO231))*('Lease Cycles'!$AJ$21*INDEX('Lease Cycles'!$FO$21:$FU$21,1,CO231)+'Lease Cycles'!$BE$21*(1-INDEX('Lease Cycles'!$FO$21:$FU$21,1,CO231)))),0)</f>
        <v>0</v>
      </c>
      <c r="CP241" s="24">
        <f>IF(CP233=1,'Lease Cycles'!$D$21*IF(INDEX('Lease Cycles'!$EF$21:$EL$21,1,CP231)=1,'Lease Cycles'!$AJ$21*INDEX('Lease Cycles'!$FO$21:$FU$21,1,CP231)*INDEX('Lease Cycles'!$EM$21:$ES$21,1,CP231)+'Lease Cycles'!$BE$21*IF(CP232&lt;INDEX('Lease Cycles'!$FA$21:$FG$21,1,CP231),0,1-INDEX('Lease Cycles'!$EM$21:$ES$21,1,CP231)),IF(OR(INDEX('Lease Cycles'!$DY$21:$EE$21,1,CP231)=1,CP232&gt;0),1,1-INDEX('Lease Cycles'!$DD$21:$DJ$21,1,CP231))*('Lease Cycles'!$AJ$21*INDEX('Lease Cycles'!$FO$21:$FU$21,1,CP231)+'Lease Cycles'!$BE$21*(1-INDEX('Lease Cycles'!$FO$21:$FU$21,1,CP231)))),0)</f>
        <v>0</v>
      </c>
      <c r="CQ241" s="24">
        <f>IF(CQ233=1,'Lease Cycles'!$D$21*IF(INDEX('Lease Cycles'!$EF$21:$EL$21,1,CQ231)=1,'Lease Cycles'!$AJ$21*INDEX('Lease Cycles'!$FO$21:$FU$21,1,CQ231)*INDEX('Lease Cycles'!$EM$21:$ES$21,1,CQ231)+'Lease Cycles'!$BE$21*IF(CQ232&lt;INDEX('Lease Cycles'!$FA$21:$FG$21,1,CQ231),0,1-INDEX('Lease Cycles'!$EM$21:$ES$21,1,CQ231)),IF(OR(INDEX('Lease Cycles'!$DY$21:$EE$21,1,CQ231)=1,CQ232&gt;0),1,1-INDEX('Lease Cycles'!$DD$21:$DJ$21,1,CQ231))*('Lease Cycles'!$AJ$21*INDEX('Lease Cycles'!$FO$21:$FU$21,1,CQ231)+'Lease Cycles'!$BE$21*(1-INDEX('Lease Cycles'!$FO$21:$FU$21,1,CQ231)))),0)</f>
        <v>0</v>
      </c>
      <c r="CR241" s="24">
        <f>IF(CR233=1,'Lease Cycles'!$D$21*IF(INDEX('Lease Cycles'!$EF$21:$EL$21,1,CR231)=1,'Lease Cycles'!$AJ$21*INDEX('Lease Cycles'!$FO$21:$FU$21,1,CR231)*INDEX('Lease Cycles'!$EM$21:$ES$21,1,CR231)+'Lease Cycles'!$BE$21*IF(CR232&lt;INDEX('Lease Cycles'!$FA$21:$FG$21,1,CR231),0,1-INDEX('Lease Cycles'!$EM$21:$ES$21,1,CR231)),IF(OR(INDEX('Lease Cycles'!$DY$21:$EE$21,1,CR231)=1,CR232&gt;0),1,1-INDEX('Lease Cycles'!$DD$21:$DJ$21,1,CR231))*('Lease Cycles'!$AJ$21*INDEX('Lease Cycles'!$FO$21:$FU$21,1,CR231)+'Lease Cycles'!$BE$21*(1-INDEX('Lease Cycles'!$FO$21:$FU$21,1,CR231)))),0)</f>
        <v>0</v>
      </c>
      <c r="CS241" s="24">
        <f>IF(CS233=1,'Lease Cycles'!$D$21*IF(INDEX('Lease Cycles'!$EF$21:$EL$21,1,CS231)=1,'Lease Cycles'!$AJ$21*INDEX('Lease Cycles'!$FO$21:$FU$21,1,CS231)*INDEX('Lease Cycles'!$EM$21:$ES$21,1,CS231)+'Lease Cycles'!$BE$21*IF(CS232&lt;INDEX('Lease Cycles'!$FA$21:$FG$21,1,CS231),0,1-INDEX('Lease Cycles'!$EM$21:$ES$21,1,CS231)),IF(OR(INDEX('Lease Cycles'!$DY$21:$EE$21,1,CS231)=1,CS232&gt;0),1,1-INDEX('Lease Cycles'!$DD$21:$DJ$21,1,CS231))*('Lease Cycles'!$AJ$21*INDEX('Lease Cycles'!$FO$21:$FU$21,1,CS231)+'Lease Cycles'!$BE$21*(1-INDEX('Lease Cycles'!$FO$21:$FU$21,1,CS231)))),0)</f>
        <v>0</v>
      </c>
      <c r="CT241" s="24">
        <f>IF(CT233=1,'Lease Cycles'!$D$21*IF(INDEX('Lease Cycles'!$EF$21:$EL$21,1,CT231)=1,'Lease Cycles'!$AJ$21*INDEX('Lease Cycles'!$FO$21:$FU$21,1,CT231)*INDEX('Lease Cycles'!$EM$21:$ES$21,1,CT231)+'Lease Cycles'!$BE$21*IF(CT232&lt;INDEX('Lease Cycles'!$FA$21:$FG$21,1,CT231),0,1-INDEX('Lease Cycles'!$EM$21:$ES$21,1,CT231)),IF(OR(INDEX('Lease Cycles'!$DY$21:$EE$21,1,CT231)=1,CT232&gt;0),1,1-INDEX('Lease Cycles'!$DD$21:$DJ$21,1,CT231))*('Lease Cycles'!$AJ$21*INDEX('Lease Cycles'!$FO$21:$FU$21,1,CT231)+'Lease Cycles'!$BE$21*(1-INDEX('Lease Cycles'!$FO$21:$FU$21,1,CT231)))),0)</f>
        <v>0</v>
      </c>
      <c r="CU241" s="24">
        <f>IF(CU233=1,'Lease Cycles'!$D$21*IF(INDEX('Lease Cycles'!$EF$21:$EL$21,1,CU231)=1,'Lease Cycles'!$AJ$21*INDEX('Lease Cycles'!$FO$21:$FU$21,1,CU231)*INDEX('Lease Cycles'!$EM$21:$ES$21,1,CU231)+'Lease Cycles'!$BE$21*IF(CU232&lt;INDEX('Lease Cycles'!$FA$21:$FG$21,1,CU231),0,1-INDEX('Lease Cycles'!$EM$21:$ES$21,1,CU231)),IF(OR(INDEX('Lease Cycles'!$DY$21:$EE$21,1,CU231)=1,CU232&gt;0),1,1-INDEX('Lease Cycles'!$DD$21:$DJ$21,1,CU231))*('Lease Cycles'!$AJ$21*INDEX('Lease Cycles'!$FO$21:$FU$21,1,CU231)+'Lease Cycles'!$BE$21*(1-INDEX('Lease Cycles'!$FO$21:$FU$21,1,CU231)))),0)</f>
        <v>0</v>
      </c>
      <c r="CV241" s="24">
        <f>IF(CV233=1,'Lease Cycles'!$D$21*IF(INDEX('Lease Cycles'!$EF$21:$EL$21,1,CV231)=1,'Lease Cycles'!$AJ$21*INDEX('Lease Cycles'!$FO$21:$FU$21,1,CV231)*INDEX('Lease Cycles'!$EM$21:$ES$21,1,CV231)+'Lease Cycles'!$BE$21*IF(CV232&lt;INDEX('Lease Cycles'!$FA$21:$FG$21,1,CV231),0,1-INDEX('Lease Cycles'!$EM$21:$ES$21,1,CV231)),IF(OR(INDEX('Lease Cycles'!$DY$21:$EE$21,1,CV231)=1,CV232&gt;0),1,1-INDEX('Lease Cycles'!$DD$21:$DJ$21,1,CV231))*('Lease Cycles'!$AJ$21*INDEX('Lease Cycles'!$FO$21:$FU$21,1,CV231)+'Lease Cycles'!$BE$21*(1-INDEX('Lease Cycles'!$FO$21:$FU$21,1,CV231)))),0)</f>
        <v>0</v>
      </c>
      <c r="CW241" s="24">
        <f>IF(CW233=1,'Lease Cycles'!$D$21*IF(INDEX('Lease Cycles'!$EF$21:$EL$21,1,CW231)=1,'Lease Cycles'!$AJ$21*INDEX('Lease Cycles'!$FO$21:$FU$21,1,CW231)*INDEX('Lease Cycles'!$EM$21:$ES$21,1,CW231)+'Lease Cycles'!$BE$21*IF(CW232&lt;INDEX('Lease Cycles'!$FA$21:$FG$21,1,CW231),0,1-INDEX('Lease Cycles'!$EM$21:$ES$21,1,CW231)),IF(OR(INDEX('Lease Cycles'!$DY$21:$EE$21,1,CW231)=1,CW232&gt;0),1,1-INDEX('Lease Cycles'!$DD$21:$DJ$21,1,CW231))*('Lease Cycles'!$AJ$21*INDEX('Lease Cycles'!$FO$21:$FU$21,1,CW231)+'Lease Cycles'!$BE$21*(1-INDEX('Lease Cycles'!$FO$21:$FU$21,1,CW231)))),0)</f>
        <v>0</v>
      </c>
      <c r="CX241" s="24">
        <f>IF(CX233=1,'Lease Cycles'!$D$21*IF(INDEX('Lease Cycles'!$EF$21:$EL$21,1,CX231)=1,'Lease Cycles'!$AJ$21*INDEX('Lease Cycles'!$FO$21:$FU$21,1,CX231)*INDEX('Lease Cycles'!$EM$21:$ES$21,1,CX231)+'Lease Cycles'!$BE$21*IF(CX232&lt;INDEX('Lease Cycles'!$FA$21:$FG$21,1,CX231),0,1-INDEX('Lease Cycles'!$EM$21:$ES$21,1,CX231)),IF(OR(INDEX('Lease Cycles'!$DY$21:$EE$21,1,CX231)=1,CX232&gt;0),1,1-INDEX('Lease Cycles'!$DD$21:$DJ$21,1,CX231))*('Lease Cycles'!$AJ$21*INDEX('Lease Cycles'!$FO$21:$FU$21,1,CX231)+'Lease Cycles'!$BE$21*(1-INDEX('Lease Cycles'!$FO$21:$FU$21,1,CX231)))),0)</f>
        <v>0</v>
      </c>
      <c r="CY241" s="24">
        <f>IF(CY233=1,'Lease Cycles'!$D$21*IF(INDEX('Lease Cycles'!$EF$21:$EL$21,1,CY231)=1,'Lease Cycles'!$AJ$21*INDEX('Lease Cycles'!$FO$21:$FU$21,1,CY231)*INDEX('Lease Cycles'!$EM$21:$ES$21,1,CY231)+'Lease Cycles'!$BE$21*IF(CY232&lt;INDEX('Lease Cycles'!$FA$21:$FG$21,1,CY231),0,1-INDEX('Lease Cycles'!$EM$21:$ES$21,1,CY231)),IF(OR(INDEX('Lease Cycles'!$DY$21:$EE$21,1,CY231)=1,CY232&gt;0),1,1-INDEX('Lease Cycles'!$DD$21:$DJ$21,1,CY231))*('Lease Cycles'!$AJ$21*INDEX('Lease Cycles'!$FO$21:$FU$21,1,CY231)+'Lease Cycles'!$BE$21*(1-INDEX('Lease Cycles'!$FO$21:$FU$21,1,CY231)))),0)</f>
        <v>0</v>
      </c>
      <c r="CZ241" s="24">
        <f>IF(CZ233=1,'Lease Cycles'!$D$21*IF(INDEX('Lease Cycles'!$EF$21:$EL$21,1,CZ231)=1,'Lease Cycles'!$AJ$21*INDEX('Lease Cycles'!$FO$21:$FU$21,1,CZ231)*INDEX('Lease Cycles'!$EM$21:$ES$21,1,CZ231)+'Lease Cycles'!$BE$21*IF(CZ232&lt;INDEX('Lease Cycles'!$FA$21:$FG$21,1,CZ231),0,1-INDEX('Lease Cycles'!$EM$21:$ES$21,1,CZ231)),IF(OR(INDEX('Lease Cycles'!$DY$21:$EE$21,1,CZ231)=1,CZ232&gt;0),1,1-INDEX('Lease Cycles'!$DD$21:$DJ$21,1,CZ231))*('Lease Cycles'!$AJ$21*INDEX('Lease Cycles'!$FO$21:$FU$21,1,CZ231)+'Lease Cycles'!$BE$21*(1-INDEX('Lease Cycles'!$FO$21:$FU$21,1,CZ231)))),0)</f>
        <v>0</v>
      </c>
      <c r="DA241" s="24">
        <f>IF(DA233=1,'Lease Cycles'!$D$21*IF(INDEX('Lease Cycles'!$EF$21:$EL$21,1,DA231)=1,'Lease Cycles'!$AJ$21*INDEX('Lease Cycles'!$FO$21:$FU$21,1,DA231)*INDEX('Lease Cycles'!$EM$21:$ES$21,1,DA231)+'Lease Cycles'!$BE$21*IF(DA232&lt;INDEX('Lease Cycles'!$FA$21:$FG$21,1,DA231),0,1-INDEX('Lease Cycles'!$EM$21:$ES$21,1,DA231)),IF(OR(INDEX('Lease Cycles'!$DY$21:$EE$21,1,DA231)=1,DA232&gt;0),1,1-INDEX('Lease Cycles'!$DD$21:$DJ$21,1,DA231))*('Lease Cycles'!$AJ$21*INDEX('Lease Cycles'!$FO$21:$FU$21,1,DA231)+'Lease Cycles'!$BE$21*(1-INDEX('Lease Cycles'!$FO$21:$FU$21,1,DA231)))),0)</f>
        <v>0</v>
      </c>
      <c r="DB241" s="24">
        <f>IF(DB233=1,'Lease Cycles'!$D$21*IF(INDEX('Lease Cycles'!$EF$21:$EL$21,1,DB231)=1,'Lease Cycles'!$AJ$21*INDEX('Lease Cycles'!$FO$21:$FU$21,1,DB231)*INDEX('Lease Cycles'!$EM$21:$ES$21,1,DB231)+'Lease Cycles'!$BE$21*IF(DB232&lt;INDEX('Lease Cycles'!$FA$21:$FG$21,1,DB231),0,1-INDEX('Lease Cycles'!$EM$21:$ES$21,1,DB231)),IF(OR(INDEX('Lease Cycles'!$DY$21:$EE$21,1,DB231)=1,DB232&gt;0),1,1-INDEX('Lease Cycles'!$DD$21:$DJ$21,1,DB231))*('Lease Cycles'!$AJ$21*INDEX('Lease Cycles'!$FO$21:$FU$21,1,DB231)+'Lease Cycles'!$BE$21*(1-INDEX('Lease Cycles'!$FO$21:$FU$21,1,DB231)))),0)</f>
        <v>0</v>
      </c>
      <c r="DC241" s="24">
        <f>IF(DC233=1,'Lease Cycles'!$D$21*IF(INDEX('Lease Cycles'!$EF$21:$EL$21,1,DC231)=1,'Lease Cycles'!$AJ$21*INDEX('Lease Cycles'!$FO$21:$FU$21,1,DC231)*INDEX('Lease Cycles'!$EM$21:$ES$21,1,DC231)+'Lease Cycles'!$BE$21*IF(DC232&lt;INDEX('Lease Cycles'!$FA$21:$FG$21,1,DC231),0,1-INDEX('Lease Cycles'!$EM$21:$ES$21,1,DC231)),IF(OR(INDEX('Lease Cycles'!$DY$21:$EE$21,1,DC231)=1,DC232&gt;0),1,1-INDEX('Lease Cycles'!$DD$21:$DJ$21,1,DC231))*('Lease Cycles'!$AJ$21*INDEX('Lease Cycles'!$FO$21:$FU$21,1,DC231)+'Lease Cycles'!$BE$21*(1-INDEX('Lease Cycles'!$FO$21:$FU$21,1,DC231)))),0)</f>
        <v>0</v>
      </c>
      <c r="DD241" s="24">
        <f>IF(DD233=1,'Lease Cycles'!$D$21*IF(INDEX('Lease Cycles'!$EF$21:$EL$21,1,DD231)=1,'Lease Cycles'!$AJ$21*INDEX('Lease Cycles'!$FO$21:$FU$21,1,DD231)*INDEX('Lease Cycles'!$EM$21:$ES$21,1,DD231)+'Lease Cycles'!$BE$21*IF(DD232&lt;INDEX('Lease Cycles'!$FA$21:$FG$21,1,DD231),0,1-INDEX('Lease Cycles'!$EM$21:$ES$21,1,DD231)),IF(OR(INDEX('Lease Cycles'!$DY$21:$EE$21,1,DD231)=1,DD232&gt;0),1,1-INDEX('Lease Cycles'!$DD$21:$DJ$21,1,DD231))*('Lease Cycles'!$AJ$21*INDEX('Lease Cycles'!$FO$21:$FU$21,1,DD231)+'Lease Cycles'!$BE$21*(1-INDEX('Lease Cycles'!$FO$21:$FU$21,1,DD231)))),0)</f>
        <v>0</v>
      </c>
      <c r="DE241" s="24">
        <f>IF(DE233=1,'Lease Cycles'!$D$21*IF(INDEX('Lease Cycles'!$EF$21:$EL$21,1,DE231)=1,'Lease Cycles'!$AJ$21*INDEX('Lease Cycles'!$FO$21:$FU$21,1,DE231)*INDEX('Lease Cycles'!$EM$21:$ES$21,1,DE231)+'Lease Cycles'!$BE$21*IF(DE232&lt;INDEX('Lease Cycles'!$FA$21:$FG$21,1,DE231),0,1-INDEX('Lease Cycles'!$EM$21:$ES$21,1,DE231)),IF(OR(INDEX('Lease Cycles'!$DY$21:$EE$21,1,DE231)=1,DE232&gt;0),1,1-INDEX('Lease Cycles'!$DD$21:$DJ$21,1,DE231))*('Lease Cycles'!$AJ$21*INDEX('Lease Cycles'!$FO$21:$FU$21,1,DE231)+'Lease Cycles'!$BE$21*(1-INDEX('Lease Cycles'!$FO$21:$FU$21,1,DE231)))),0)</f>
        <v>0</v>
      </c>
      <c r="DF241" s="24">
        <f>IF(DF233=1,'Lease Cycles'!$D$21*IF(INDEX('Lease Cycles'!$EF$21:$EL$21,1,DF231)=1,'Lease Cycles'!$AJ$21*INDEX('Lease Cycles'!$FO$21:$FU$21,1,DF231)*INDEX('Lease Cycles'!$EM$21:$ES$21,1,DF231)+'Lease Cycles'!$BE$21*IF(DF232&lt;INDEX('Lease Cycles'!$FA$21:$FG$21,1,DF231),0,1-INDEX('Lease Cycles'!$EM$21:$ES$21,1,DF231)),IF(OR(INDEX('Lease Cycles'!$DY$21:$EE$21,1,DF231)=1,DF232&gt;0),1,1-INDEX('Lease Cycles'!$DD$21:$DJ$21,1,DF231))*('Lease Cycles'!$AJ$21*INDEX('Lease Cycles'!$FO$21:$FU$21,1,DF231)+'Lease Cycles'!$BE$21*(1-INDEX('Lease Cycles'!$FO$21:$FU$21,1,DF231)))),0)</f>
        <v>0</v>
      </c>
      <c r="DG241" s="24">
        <f>IF(DG233=1,'Lease Cycles'!$D$21*IF(INDEX('Lease Cycles'!$EF$21:$EL$21,1,DG231)=1,'Lease Cycles'!$AJ$21*INDEX('Lease Cycles'!$FO$21:$FU$21,1,DG231)*INDEX('Lease Cycles'!$EM$21:$ES$21,1,DG231)+'Lease Cycles'!$BE$21*IF(DG232&lt;INDEX('Lease Cycles'!$FA$21:$FG$21,1,DG231),0,1-INDEX('Lease Cycles'!$EM$21:$ES$21,1,DG231)),IF(OR(INDEX('Lease Cycles'!$DY$21:$EE$21,1,DG231)=1,DG232&gt;0),1,1-INDEX('Lease Cycles'!$DD$21:$DJ$21,1,DG231))*('Lease Cycles'!$AJ$21*INDEX('Lease Cycles'!$FO$21:$FU$21,1,DG231)+'Lease Cycles'!$BE$21*(1-INDEX('Lease Cycles'!$FO$21:$FU$21,1,DG231)))),0)</f>
        <v>0</v>
      </c>
      <c r="DH241" s="24">
        <f>IF(DH233=1,'Lease Cycles'!$D$21*IF(INDEX('Lease Cycles'!$EF$21:$EL$21,1,DH231)=1,'Lease Cycles'!$AJ$21*INDEX('Lease Cycles'!$FO$21:$FU$21,1,DH231)*INDEX('Lease Cycles'!$EM$21:$ES$21,1,DH231)+'Lease Cycles'!$BE$21*IF(DH232&lt;INDEX('Lease Cycles'!$FA$21:$FG$21,1,DH231),0,1-INDEX('Lease Cycles'!$EM$21:$ES$21,1,DH231)),IF(OR(INDEX('Lease Cycles'!$DY$21:$EE$21,1,DH231)=1,DH232&gt;0),1,1-INDEX('Lease Cycles'!$DD$21:$DJ$21,1,DH231))*('Lease Cycles'!$AJ$21*INDEX('Lease Cycles'!$FO$21:$FU$21,1,DH231)+'Lease Cycles'!$BE$21*(1-INDEX('Lease Cycles'!$FO$21:$FU$21,1,DH231)))),0)</f>
        <v>0</v>
      </c>
      <c r="DI241" s="24">
        <f>IF(DI233=1,'Lease Cycles'!$D$21*IF(INDEX('Lease Cycles'!$EF$21:$EL$21,1,DI231)=1,'Lease Cycles'!$AJ$21*INDEX('Lease Cycles'!$FO$21:$FU$21,1,DI231)*INDEX('Lease Cycles'!$EM$21:$ES$21,1,DI231)+'Lease Cycles'!$BE$21*IF(DI232&lt;INDEX('Lease Cycles'!$FA$21:$FG$21,1,DI231),0,1-INDEX('Lease Cycles'!$EM$21:$ES$21,1,DI231)),IF(OR(INDEX('Lease Cycles'!$DY$21:$EE$21,1,DI231)=1,DI232&gt;0),1,1-INDEX('Lease Cycles'!$DD$21:$DJ$21,1,DI231))*('Lease Cycles'!$AJ$21*INDEX('Lease Cycles'!$FO$21:$FU$21,1,DI231)+'Lease Cycles'!$BE$21*(1-INDEX('Lease Cycles'!$FO$21:$FU$21,1,DI231)))),0)</f>
        <v>0</v>
      </c>
      <c r="DJ241" s="24">
        <f>IF(DJ233=1,'Lease Cycles'!$D$21*IF(INDEX('Lease Cycles'!$EF$21:$EL$21,1,DJ231)=1,'Lease Cycles'!$AJ$21*INDEX('Lease Cycles'!$FO$21:$FU$21,1,DJ231)*INDEX('Lease Cycles'!$EM$21:$ES$21,1,DJ231)+'Lease Cycles'!$BE$21*IF(DJ232&lt;INDEX('Lease Cycles'!$FA$21:$FG$21,1,DJ231),0,1-INDEX('Lease Cycles'!$EM$21:$ES$21,1,DJ231)),IF(OR(INDEX('Lease Cycles'!$DY$21:$EE$21,1,DJ231)=1,DJ232&gt;0),1,1-INDEX('Lease Cycles'!$DD$21:$DJ$21,1,DJ231))*('Lease Cycles'!$AJ$21*INDEX('Lease Cycles'!$FO$21:$FU$21,1,DJ231)+'Lease Cycles'!$BE$21*(1-INDEX('Lease Cycles'!$FO$21:$FU$21,1,DJ231)))),0)</f>
        <v>0</v>
      </c>
      <c r="DK241" s="24">
        <f>IF(DK233=1,'Lease Cycles'!$D$21*IF(INDEX('Lease Cycles'!$EF$21:$EL$21,1,DK231)=1,'Lease Cycles'!$AJ$21*INDEX('Lease Cycles'!$FO$21:$FU$21,1,DK231)*INDEX('Lease Cycles'!$EM$21:$ES$21,1,DK231)+'Lease Cycles'!$BE$21*IF(DK232&lt;INDEX('Lease Cycles'!$FA$21:$FG$21,1,DK231),0,1-INDEX('Lease Cycles'!$EM$21:$ES$21,1,DK231)),IF(OR(INDEX('Lease Cycles'!$DY$21:$EE$21,1,DK231)=1,DK232&gt;0),1,1-INDEX('Lease Cycles'!$DD$21:$DJ$21,1,DK231))*('Lease Cycles'!$AJ$21*INDEX('Lease Cycles'!$FO$21:$FU$21,1,DK231)+'Lease Cycles'!$BE$21*(1-INDEX('Lease Cycles'!$FO$21:$FU$21,1,DK231)))),0)</f>
        <v>0</v>
      </c>
      <c r="DL241" s="24">
        <f>IF(DL233=1,'Lease Cycles'!$D$21*IF(INDEX('Lease Cycles'!$EF$21:$EL$21,1,DL231)=1,'Lease Cycles'!$AJ$21*INDEX('Lease Cycles'!$FO$21:$FU$21,1,DL231)*INDEX('Lease Cycles'!$EM$21:$ES$21,1,DL231)+'Lease Cycles'!$BE$21*IF(DL232&lt;INDEX('Lease Cycles'!$FA$21:$FG$21,1,DL231),0,1-INDEX('Lease Cycles'!$EM$21:$ES$21,1,DL231)),IF(OR(INDEX('Lease Cycles'!$DY$21:$EE$21,1,DL231)=1,DL232&gt;0),1,1-INDEX('Lease Cycles'!$DD$21:$DJ$21,1,DL231))*('Lease Cycles'!$AJ$21*INDEX('Lease Cycles'!$FO$21:$FU$21,1,DL231)+'Lease Cycles'!$BE$21*(1-INDEX('Lease Cycles'!$FO$21:$FU$21,1,DL231)))),0)</f>
        <v>0</v>
      </c>
      <c r="DM241" s="24">
        <f>IF(DM233=1,'Lease Cycles'!$D$21*IF(INDEX('Lease Cycles'!$EF$21:$EL$21,1,DM231)=1,'Lease Cycles'!$AJ$21*INDEX('Lease Cycles'!$FO$21:$FU$21,1,DM231)*INDEX('Lease Cycles'!$EM$21:$ES$21,1,DM231)+'Lease Cycles'!$BE$21*IF(DM232&lt;INDEX('Lease Cycles'!$FA$21:$FG$21,1,DM231),0,1-INDEX('Lease Cycles'!$EM$21:$ES$21,1,DM231)),IF(OR(INDEX('Lease Cycles'!$DY$21:$EE$21,1,DM231)=1,DM232&gt;0),1,1-INDEX('Lease Cycles'!$DD$21:$DJ$21,1,DM231))*('Lease Cycles'!$AJ$21*INDEX('Lease Cycles'!$FO$21:$FU$21,1,DM231)+'Lease Cycles'!$BE$21*(1-INDEX('Lease Cycles'!$FO$21:$FU$21,1,DM231)))),0)</f>
        <v>0</v>
      </c>
      <c r="DN241" s="24">
        <f>IF(DN233=1,'Lease Cycles'!$D$21*IF(INDEX('Lease Cycles'!$EF$21:$EL$21,1,DN231)=1,'Lease Cycles'!$AJ$21*INDEX('Lease Cycles'!$FO$21:$FU$21,1,DN231)*INDEX('Lease Cycles'!$EM$21:$ES$21,1,DN231)+'Lease Cycles'!$BE$21*IF(DN232&lt;INDEX('Lease Cycles'!$FA$21:$FG$21,1,DN231),0,1-INDEX('Lease Cycles'!$EM$21:$ES$21,1,DN231)),IF(OR(INDEX('Lease Cycles'!$DY$21:$EE$21,1,DN231)=1,DN232&gt;0),1,1-INDEX('Lease Cycles'!$DD$21:$DJ$21,1,DN231))*('Lease Cycles'!$AJ$21*INDEX('Lease Cycles'!$FO$21:$FU$21,1,DN231)+'Lease Cycles'!$BE$21*(1-INDEX('Lease Cycles'!$FO$21:$FU$21,1,DN231)))),0)</f>
        <v>0</v>
      </c>
      <c r="DO241" s="24">
        <f>IF(DO233=1,'Lease Cycles'!$D$21*IF(INDEX('Lease Cycles'!$EF$21:$EL$21,1,DO231)=1,'Lease Cycles'!$AJ$21*INDEX('Lease Cycles'!$FO$21:$FU$21,1,DO231)*INDEX('Lease Cycles'!$EM$21:$ES$21,1,DO231)+'Lease Cycles'!$BE$21*IF(DO232&lt;INDEX('Lease Cycles'!$FA$21:$FG$21,1,DO231),0,1-INDEX('Lease Cycles'!$EM$21:$ES$21,1,DO231)),IF(OR(INDEX('Lease Cycles'!$DY$21:$EE$21,1,DO231)=1,DO232&gt;0),1,1-INDEX('Lease Cycles'!$DD$21:$DJ$21,1,DO231))*('Lease Cycles'!$AJ$21*INDEX('Lease Cycles'!$FO$21:$FU$21,1,DO231)+'Lease Cycles'!$BE$21*(1-INDEX('Lease Cycles'!$FO$21:$FU$21,1,DO231)))),0)</f>
        <v>0</v>
      </c>
      <c r="DP241" s="24">
        <f>IF(DP233=1,'Lease Cycles'!$D$21*IF(INDEX('Lease Cycles'!$EF$21:$EL$21,1,DP231)=1,'Lease Cycles'!$AJ$21*INDEX('Lease Cycles'!$FO$21:$FU$21,1,DP231)*INDEX('Lease Cycles'!$EM$21:$ES$21,1,DP231)+'Lease Cycles'!$BE$21*IF(DP232&lt;INDEX('Lease Cycles'!$FA$21:$FG$21,1,DP231),0,1-INDEX('Lease Cycles'!$EM$21:$ES$21,1,DP231)),IF(OR(INDEX('Lease Cycles'!$DY$21:$EE$21,1,DP231)=1,DP232&gt;0),1,1-INDEX('Lease Cycles'!$DD$21:$DJ$21,1,DP231))*('Lease Cycles'!$AJ$21*INDEX('Lease Cycles'!$FO$21:$FU$21,1,DP231)+'Lease Cycles'!$BE$21*(1-INDEX('Lease Cycles'!$FO$21:$FU$21,1,DP231)))),0)</f>
        <v>0</v>
      </c>
      <c r="DQ241" s="24">
        <f>IF(DQ233=1,'Lease Cycles'!$D$21*IF(INDEX('Lease Cycles'!$EF$21:$EL$21,1,DQ231)=1,'Lease Cycles'!$AJ$21*INDEX('Lease Cycles'!$FO$21:$FU$21,1,DQ231)*INDEX('Lease Cycles'!$EM$21:$ES$21,1,DQ231)+'Lease Cycles'!$BE$21*IF(DQ232&lt;INDEX('Lease Cycles'!$FA$21:$FG$21,1,DQ231),0,1-INDEX('Lease Cycles'!$EM$21:$ES$21,1,DQ231)),IF(OR(INDEX('Lease Cycles'!$DY$21:$EE$21,1,DQ231)=1,DQ232&gt;0),1,1-INDEX('Lease Cycles'!$DD$21:$DJ$21,1,DQ231))*('Lease Cycles'!$AJ$21*INDEX('Lease Cycles'!$FO$21:$FU$21,1,DQ231)+'Lease Cycles'!$BE$21*(1-INDEX('Lease Cycles'!$FO$21:$FU$21,1,DQ231)))),0)</f>
        <v>0</v>
      </c>
      <c r="DR241" s="24">
        <f>IF(DR233=1,'Lease Cycles'!$D$21*IF(INDEX('Lease Cycles'!$EF$21:$EL$21,1,DR231)=1,'Lease Cycles'!$AJ$21*INDEX('Lease Cycles'!$FO$21:$FU$21,1,DR231)*INDEX('Lease Cycles'!$EM$21:$ES$21,1,DR231)+'Lease Cycles'!$BE$21*IF(DR232&lt;INDEX('Lease Cycles'!$FA$21:$FG$21,1,DR231),0,1-INDEX('Lease Cycles'!$EM$21:$ES$21,1,DR231)),IF(OR(INDEX('Lease Cycles'!$DY$21:$EE$21,1,DR231)=1,DR232&gt;0),1,1-INDEX('Lease Cycles'!$DD$21:$DJ$21,1,DR231))*('Lease Cycles'!$AJ$21*INDEX('Lease Cycles'!$FO$21:$FU$21,1,DR231)+'Lease Cycles'!$BE$21*(1-INDEX('Lease Cycles'!$FO$21:$FU$21,1,DR231)))),0)</f>
        <v>0</v>
      </c>
      <c r="DS241" s="24">
        <f>IF(DS233=1,'Lease Cycles'!$D$21*IF(INDEX('Lease Cycles'!$EF$21:$EL$21,1,DS231)=1,'Lease Cycles'!$AJ$21*INDEX('Lease Cycles'!$FO$21:$FU$21,1,DS231)*INDEX('Lease Cycles'!$EM$21:$ES$21,1,DS231)+'Lease Cycles'!$BE$21*IF(DS232&lt;INDEX('Lease Cycles'!$FA$21:$FG$21,1,DS231),0,1-INDEX('Lease Cycles'!$EM$21:$ES$21,1,DS231)),IF(OR(INDEX('Lease Cycles'!$DY$21:$EE$21,1,DS231)=1,DS232&gt;0),1,1-INDEX('Lease Cycles'!$DD$21:$DJ$21,1,DS231))*('Lease Cycles'!$AJ$21*INDEX('Lease Cycles'!$FO$21:$FU$21,1,DS231)+'Lease Cycles'!$BE$21*(1-INDEX('Lease Cycles'!$FO$21:$FU$21,1,DS231)))),0)</f>
        <v>0</v>
      </c>
      <c r="DT241" s="24">
        <f>IF(DT233=1,'Lease Cycles'!$D$21*IF(INDEX('Lease Cycles'!$EF$21:$EL$21,1,DT231)=1,'Lease Cycles'!$AJ$21*INDEX('Lease Cycles'!$FO$21:$FU$21,1,DT231)*INDEX('Lease Cycles'!$EM$21:$ES$21,1,DT231)+'Lease Cycles'!$BE$21*IF(DT232&lt;INDEX('Lease Cycles'!$FA$21:$FG$21,1,DT231),0,1-INDEX('Lease Cycles'!$EM$21:$ES$21,1,DT231)),IF(OR(INDEX('Lease Cycles'!$DY$21:$EE$21,1,DT231)=1,DT232&gt;0),1,1-INDEX('Lease Cycles'!$DD$21:$DJ$21,1,DT231))*('Lease Cycles'!$AJ$21*INDEX('Lease Cycles'!$FO$21:$FU$21,1,DT231)+'Lease Cycles'!$BE$21*(1-INDEX('Lease Cycles'!$FO$21:$FU$21,1,DT231)))),0)</f>
        <v>0</v>
      </c>
      <c r="DU241" s="24">
        <f>IF(DU233=1,'Lease Cycles'!$D$21*IF(INDEX('Lease Cycles'!$EF$21:$EL$21,1,DU231)=1,'Lease Cycles'!$AJ$21*INDEX('Lease Cycles'!$FO$21:$FU$21,1,DU231)*INDEX('Lease Cycles'!$EM$21:$ES$21,1,DU231)+'Lease Cycles'!$BE$21*IF(DU232&lt;INDEX('Lease Cycles'!$FA$21:$FG$21,1,DU231),0,1-INDEX('Lease Cycles'!$EM$21:$ES$21,1,DU231)),IF(OR(INDEX('Lease Cycles'!$DY$21:$EE$21,1,DU231)=1,DU232&gt;0),1,1-INDEX('Lease Cycles'!$DD$21:$DJ$21,1,DU231))*('Lease Cycles'!$AJ$21*INDEX('Lease Cycles'!$FO$21:$FU$21,1,DU231)+'Lease Cycles'!$BE$21*(1-INDEX('Lease Cycles'!$FO$21:$FU$21,1,DU231)))),0)</f>
        <v>0</v>
      </c>
      <c r="DV241" s="24">
        <f>IF(DV233=1,'Lease Cycles'!$D$21*IF(INDEX('Lease Cycles'!$EF$21:$EL$21,1,DV231)=1,'Lease Cycles'!$AJ$21*INDEX('Lease Cycles'!$FO$21:$FU$21,1,DV231)*INDEX('Lease Cycles'!$EM$21:$ES$21,1,DV231)+'Lease Cycles'!$BE$21*IF(DV232&lt;INDEX('Lease Cycles'!$FA$21:$FG$21,1,DV231),0,1-INDEX('Lease Cycles'!$EM$21:$ES$21,1,DV231)),IF(OR(INDEX('Lease Cycles'!$DY$21:$EE$21,1,DV231)=1,DV232&gt;0),1,1-INDEX('Lease Cycles'!$DD$21:$DJ$21,1,DV231))*('Lease Cycles'!$AJ$21*INDEX('Lease Cycles'!$FO$21:$FU$21,1,DV231)+'Lease Cycles'!$BE$21*(1-INDEX('Lease Cycles'!$FO$21:$FU$21,1,DV231)))),0)</f>
        <v>0</v>
      </c>
      <c r="DW241" s="24">
        <f>IF(DW233=1,'Lease Cycles'!$D$21*IF(INDEX('Lease Cycles'!$EF$21:$EL$21,1,DW231)=1,'Lease Cycles'!$AJ$21*INDEX('Lease Cycles'!$FO$21:$FU$21,1,DW231)*INDEX('Lease Cycles'!$EM$21:$ES$21,1,DW231)+'Lease Cycles'!$BE$21*IF(DW232&lt;INDEX('Lease Cycles'!$FA$21:$FG$21,1,DW231),0,1-INDEX('Lease Cycles'!$EM$21:$ES$21,1,DW231)),IF(OR(INDEX('Lease Cycles'!$DY$21:$EE$21,1,DW231)=1,DW232&gt;0),1,1-INDEX('Lease Cycles'!$DD$21:$DJ$21,1,DW231))*('Lease Cycles'!$AJ$21*INDEX('Lease Cycles'!$FO$21:$FU$21,1,DW231)+'Lease Cycles'!$BE$21*(1-INDEX('Lease Cycles'!$FO$21:$FU$21,1,DW231)))),0)</f>
        <v>0</v>
      </c>
      <c r="DX241" s="24">
        <f>IF(DX233=1,'Lease Cycles'!$D$21*IF(INDEX('Lease Cycles'!$EF$21:$EL$21,1,DX231)=1,'Lease Cycles'!$AJ$21*INDEX('Lease Cycles'!$FO$21:$FU$21,1,DX231)*INDEX('Lease Cycles'!$EM$21:$ES$21,1,DX231)+'Lease Cycles'!$BE$21*IF(DX232&lt;INDEX('Lease Cycles'!$FA$21:$FG$21,1,DX231),0,1-INDEX('Lease Cycles'!$EM$21:$ES$21,1,DX231)),IF(OR(INDEX('Lease Cycles'!$DY$21:$EE$21,1,DX231)=1,DX232&gt;0),1,1-INDEX('Lease Cycles'!$DD$21:$DJ$21,1,DX231))*('Lease Cycles'!$AJ$21*INDEX('Lease Cycles'!$FO$21:$FU$21,1,DX231)+'Lease Cycles'!$BE$21*(1-INDEX('Lease Cycles'!$FO$21:$FU$21,1,DX231)))),0)</f>
        <v>0</v>
      </c>
      <c r="DY241" s="24">
        <f>IF(DY233=1,'Lease Cycles'!$D$21*IF(INDEX('Lease Cycles'!$EF$21:$EL$21,1,DY231)=1,'Lease Cycles'!$AJ$21*INDEX('Lease Cycles'!$FO$21:$FU$21,1,DY231)*INDEX('Lease Cycles'!$EM$21:$ES$21,1,DY231)+'Lease Cycles'!$BE$21*IF(DY232&lt;INDEX('Lease Cycles'!$FA$21:$FG$21,1,DY231),0,1-INDEX('Lease Cycles'!$EM$21:$ES$21,1,DY231)),IF(OR(INDEX('Lease Cycles'!$DY$21:$EE$21,1,DY231)=1,DY232&gt;0),1,1-INDEX('Lease Cycles'!$DD$21:$DJ$21,1,DY231))*('Lease Cycles'!$AJ$21*INDEX('Lease Cycles'!$FO$21:$FU$21,1,DY231)+'Lease Cycles'!$BE$21*(1-INDEX('Lease Cycles'!$FO$21:$FU$21,1,DY231)))),0)</f>
        <v>0</v>
      </c>
      <c r="DZ241" s="24">
        <f>IF(DZ233=1,'Lease Cycles'!$D$21*IF(INDEX('Lease Cycles'!$EF$21:$EL$21,1,DZ231)=1,'Lease Cycles'!$AJ$21*INDEX('Lease Cycles'!$FO$21:$FU$21,1,DZ231)*INDEX('Lease Cycles'!$EM$21:$ES$21,1,DZ231)+'Lease Cycles'!$BE$21*IF(DZ232&lt;INDEX('Lease Cycles'!$FA$21:$FG$21,1,DZ231),0,1-INDEX('Lease Cycles'!$EM$21:$ES$21,1,DZ231)),IF(OR(INDEX('Lease Cycles'!$DY$21:$EE$21,1,DZ231)=1,DZ232&gt;0),1,1-INDEX('Lease Cycles'!$DD$21:$DJ$21,1,DZ231))*('Lease Cycles'!$AJ$21*INDEX('Lease Cycles'!$FO$21:$FU$21,1,DZ231)+'Lease Cycles'!$BE$21*(1-INDEX('Lease Cycles'!$FO$21:$FU$21,1,DZ231)))),0)</f>
        <v>0</v>
      </c>
      <c r="EA241" s="24">
        <f>IF(EA233=1,'Lease Cycles'!$D$21*IF(INDEX('Lease Cycles'!$EF$21:$EL$21,1,EA231)=1,'Lease Cycles'!$AJ$21*INDEX('Lease Cycles'!$FO$21:$FU$21,1,EA231)*INDEX('Lease Cycles'!$EM$21:$ES$21,1,EA231)+'Lease Cycles'!$BE$21*IF(EA232&lt;INDEX('Lease Cycles'!$FA$21:$FG$21,1,EA231),0,1-INDEX('Lease Cycles'!$EM$21:$ES$21,1,EA231)),IF(OR(INDEX('Lease Cycles'!$DY$21:$EE$21,1,EA231)=1,EA232&gt;0),1,1-INDEX('Lease Cycles'!$DD$21:$DJ$21,1,EA231))*('Lease Cycles'!$AJ$21*INDEX('Lease Cycles'!$FO$21:$FU$21,1,EA231)+'Lease Cycles'!$BE$21*(1-INDEX('Lease Cycles'!$FO$21:$FU$21,1,EA231)))),0)</f>
        <v>0</v>
      </c>
      <c r="EB241" s="24">
        <f>IF(EB233=1,'Lease Cycles'!$D$21*IF(INDEX('Lease Cycles'!$EF$21:$EL$21,1,EB231)=1,'Lease Cycles'!$AJ$21*INDEX('Lease Cycles'!$FO$21:$FU$21,1,EB231)*INDEX('Lease Cycles'!$EM$21:$ES$21,1,EB231)+'Lease Cycles'!$BE$21*IF(EB232&lt;INDEX('Lease Cycles'!$FA$21:$FG$21,1,EB231),0,1-INDEX('Lease Cycles'!$EM$21:$ES$21,1,EB231)),IF(OR(INDEX('Lease Cycles'!$DY$21:$EE$21,1,EB231)=1,EB232&gt;0),1,1-INDEX('Lease Cycles'!$DD$21:$DJ$21,1,EB231))*('Lease Cycles'!$AJ$21*INDEX('Lease Cycles'!$FO$21:$FU$21,1,EB231)+'Lease Cycles'!$BE$21*(1-INDEX('Lease Cycles'!$FO$21:$FU$21,1,EB231)))),0)</f>
        <v>0</v>
      </c>
      <c r="EC241" s="24">
        <f>IF(EC233=1,'Lease Cycles'!$D$21*IF(INDEX('Lease Cycles'!$EF$21:$EL$21,1,EC231)=1,'Lease Cycles'!$AJ$21*INDEX('Lease Cycles'!$FO$21:$FU$21,1,EC231)*INDEX('Lease Cycles'!$EM$21:$ES$21,1,EC231)+'Lease Cycles'!$BE$21*IF(EC232&lt;INDEX('Lease Cycles'!$FA$21:$FG$21,1,EC231),0,1-INDEX('Lease Cycles'!$EM$21:$ES$21,1,EC231)),IF(OR(INDEX('Lease Cycles'!$DY$21:$EE$21,1,EC231)=1,EC232&gt;0),1,1-INDEX('Lease Cycles'!$DD$21:$DJ$21,1,EC231))*('Lease Cycles'!$AJ$21*INDEX('Lease Cycles'!$FO$21:$FU$21,1,EC231)+'Lease Cycles'!$BE$21*(1-INDEX('Lease Cycles'!$FO$21:$FU$21,1,EC231)))),0)</f>
        <v>0</v>
      </c>
      <c r="ED241" s="24">
        <f>IF(ED233=1,'Lease Cycles'!$D$21*IF(INDEX('Lease Cycles'!$EF$21:$EL$21,1,ED231)=1,'Lease Cycles'!$AJ$21*INDEX('Lease Cycles'!$FO$21:$FU$21,1,ED231)*INDEX('Lease Cycles'!$EM$21:$ES$21,1,ED231)+'Lease Cycles'!$BE$21*IF(ED232&lt;INDEX('Lease Cycles'!$FA$21:$FG$21,1,ED231),0,1-INDEX('Lease Cycles'!$EM$21:$ES$21,1,ED231)),IF(OR(INDEX('Lease Cycles'!$DY$21:$EE$21,1,ED231)=1,ED232&gt;0),1,1-INDEX('Lease Cycles'!$DD$21:$DJ$21,1,ED231))*('Lease Cycles'!$AJ$21*INDEX('Lease Cycles'!$FO$21:$FU$21,1,ED231)+'Lease Cycles'!$BE$21*(1-INDEX('Lease Cycles'!$FO$21:$FU$21,1,ED231)))),0)</f>
        <v>0</v>
      </c>
      <c r="EE241" s="24">
        <f>IF(EE233=1,'Lease Cycles'!$D$21*IF(INDEX('Lease Cycles'!$EF$21:$EL$21,1,EE231)=1,'Lease Cycles'!$AJ$21*INDEX('Lease Cycles'!$FO$21:$FU$21,1,EE231)*INDEX('Lease Cycles'!$EM$21:$ES$21,1,EE231)+'Lease Cycles'!$BE$21*IF(EE232&lt;INDEX('Lease Cycles'!$FA$21:$FG$21,1,EE231),0,1-INDEX('Lease Cycles'!$EM$21:$ES$21,1,EE231)),IF(OR(INDEX('Lease Cycles'!$DY$21:$EE$21,1,EE231)=1,EE232&gt;0),1,1-INDEX('Lease Cycles'!$DD$21:$DJ$21,1,EE231))*('Lease Cycles'!$AJ$21*INDEX('Lease Cycles'!$FO$21:$FU$21,1,EE231)+'Lease Cycles'!$BE$21*(1-INDEX('Lease Cycles'!$FO$21:$FU$21,1,EE231)))),0)</f>
        <v>0</v>
      </c>
      <c r="EF241" s="24">
        <f>IF(EF233=1,'Lease Cycles'!$D$21*IF(INDEX('Lease Cycles'!$EF$21:$EL$21,1,EF231)=1,'Lease Cycles'!$AJ$21*INDEX('Lease Cycles'!$FO$21:$FU$21,1,EF231)*INDEX('Lease Cycles'!$EM$21:$ES$21,1,EF231)+'Lease Cycles'!$BE$21*IF(EF232&lt;INDEX('Lease Cycles'!$FA$21:$FG$21,1,EF231),0,1-INDEX('Lease Cycles'!$EM$21:$ES$21,1,EF231)),IF(OR(INDEX('Lease Cycles'!$DY$21:$EE$21,1,EF231)=1,EF232&gt;0),1,1-INDEX('Lease Cycles'!$DD$21:$DJ$21,1,EF231))*('Lease Cycles'!$AJ$21*INDEX('Lease Cycles'!$FO$21:$FU$21,1,EF231)+'Lease Cycles'!$BE$21*(1-INDEX('Lease Cycles'!$FO$21:$FU$21,1,EF231)))),0)</f>
        <v>0</v>
      </c>
      <c r="EG241" s="24">
        <f>IF(EG233=1,'Lease Cycles'!$D$21*IF(INDEX('Lease Cycles'!$EF$21:$EL$21,1,EG231)=1,'Lease Cycles'!$AJ$21*INDEX('Lease Cycles'!$FO$21:$FU$21,1,EG231)*INDEX('Lease Cycles'!$EM$21:$ES$21,1,EG231)+'Lease Cycles'!$BE$21*IF(EG232&lt;INDEX('Lease Cycles'!$FA$21:$FG$21,1,EG231),0,1-INDEX('Lease Cycles'!$EM$21:$ES$21,1,EG231)),IF(OR(INDEX('Lease Cycles'!$DY$21:$EE$21,1,EG231)=1,EG232&gt;0),1,1-INDEX('Lease Cycles'!$DD$21:$DJ$21,1,EG231))*('Lease Cycles'!$AJ$21*INDEX('Lease Cycles'!$FO$21:$FU$21,1,EG231)+'Lease Cycles'!$BE$21*(1-INDEX('Lease Cycles'!$FO$21:$FU$21,1,EG231)))),0)</f>
        <v>0</v>
      </c>
      <c r="EH241" s="24">
        <f>IF(EH233=1,'Lease Cycles'!$D$21*IF(INDEX('Lease Cycles'!$EF$21:$EL$21,1,EH231)=1,'Lease Cycles'!$AJ$21*INDEX('Lease Cycles'!$FO$21:$FU$21,1,EH231)*INDEX('Lease Cycles'!$EM$21:$ES$21,1,EH231)+'Lease Cycles'!$BE$21*IF(EH232&lt;INDEX('Lease Cycles'!$FA$21:$FG$21,1,EH231),0,1-INDEX('Lease Cycles'!$EM$21:$ES$21,1,EH231)),IF(OR(INDEX('Lease Cycles'!$DY$21:$EE$21,1,EH231)=1,EH232&gt;0),1,1-INDEX('Lease Cycles'!$DD$21:$DJ$21,1,EH231))*('Lease Cycles'!$AJ$21*INDEX('Lease Cycles'!$FO$21:$FU$21,1,EH231)+'Lease Cycles'!$BE$21*(1-INDEX('Lease Cycles'!$FO$21:$FU$21,1,EH231)))),0)</f>
        <v>0</v>
      </c>
      <c r="EI241" s="24">
        <f>IF(EI233=1,'Lease Cycles'!$D$21*IF(INDEX('Lease Cycles'!$EF$21:$EL$21,1,EI231)=1,'Lease Cycles'!$AJ$21*INDEX('Lease Cycles'!$FO$21:$FU$21,1,EI231)*INDEX('Lease Cycles'!$EM$21:$ES$21,1,EI231)+'Lease Cycles'!$BE$21*IF(EI232&lt;INDEX('Lease Cycles'!$FA$21:$FG$21,1,EI231),0,1-INDEX('Lease Cycles'!$EM$21:$ES$21,1,EI231)),IF(OR(INDEX('Lease Cycles'!$DY$21:$EE$21,1,EI231)=1,EI232&gt;0),1,1-INDEX('Lease Cycles'!$DD$21:$DJ$21,1,EI231))*('Lease Cycles'!$AJ$21*INDEX('Lease Cycles'!$FO$21:$FU$21,1,EI231)+'Lease Cycles'!$BE$21*(1-INDEX('Lease Cycles'!$FO$21:$FU$21,1,EI231)))),0)</f>
        <v>0</v>
      </c>
      <c r="EJ241" s="24">
        <f>IF(EJ233=1,'Lease Cycles'!$D$21*IF(INDEX('Lease Cycles'!$EF$21:$EL$21,1,EJ231)=1,'Lease Cycles'!$AJ$21*INDEX('Lease Cycles'!$FO$21:$FU$21,1,EJ231)*INDEX('Lease Cycles'!$EM$21:$ES$21,1,EJ231)+'Lease Cycles'!$BE$21*IF(EJ232&lt;INDEX('Lease Cycles'!$FA$21:$FG$21,1,EJ231),0,1-INDEX('Lease Cycles'!$EM$21:$ES$21,1,EJ231)),IF(OR(INDEX('Lease Cycles'!$DY$21:$EE$21,1,EJ231)=1,EJ232&gt;0),1,1-INDEX('Lease Cycles'!$DD$21:$DJ$21,1,EJ231))*('Lease Cycles'!$AJ$21*INDEX('Lease Cycles'!$FO$21:$FU$21,1,EJ231)+'Lease Cycles'!$BE$21*(1-INDEX('Lease Cycles'!$FO$21:$FU$21,1,EJ231)))),0)</f>
        <v>0</v>
      </c>
      <c r="EK241" s="24">
        <f>IF(EK233=1,'Lease Cycles'!$D$21*IF(INDEX('Lease Cycles'!$EF$21:$EL$21,1,EK231)=1,'Lease Cycles'!$AJ$21*INDEX('Lease Cycles'!$FO$21:$FU$21,1,EK231)*INDEX('Lease Cycles'!$EM$21:$ES$21,1,EK231)+'Lease Cycles'!$BE$21*IF(EK232&lt;INDEX('Lease Cycles'!$FA$21:$FG$21,1,EK231),0,1-INDEX('Lease Cycles'!$EM$21:$ES$21,1,EK231)),IF(OR(INDEX('Lease Cycles'!$DY$21:$EE$21,1,EK231)=1,EK232&gt;0),1,1-INDEX('Lease Cycles'!$DD$21:$DJ$21,1,EK231))*('Lease Cycles'!$AJ$21*INDEX('Lease Cycles'!$FO$21:$FU$21,1,EK231)+'Lease Cycles'!$BE$21*(1-INDEX('Lease Cycles'!$FO$21:$FU$21,1,EK231)))),0)</f>
        <v>0</v>
      </c>
      <c r="EL241" s="24">
        <f>IF(EL233=1,'Lease Cycles'!$D$21*IF(INDEX('Lease Cycles'!$EF$21:$EL$21,1,EL231)=1,'Lease Cycles'!$AJ$21*INDEX('Lease Cycles'!$FO$21:$FU$21,1,EL231)*INDEX('Lease Cycles'!$EM$21:$ES$21,1,EL231)+'Lease Cycles'!$BE$21*IF(EL232&lt;INDEX('Lease Cycles'!$FA$21:$FG$21,1,EL231),0,1-INDEX('Lease Cycles'!$EM$21:$ES$21,1,EL231)),IF(OR(INDEX('Lease Cycles'!$DY$21:$EE$21,1,EL231)=1,EL232&gt;0),1,1-INDEX('Lease Cycles'!$DD$21:$DJ$21,1,EL231))*('Lease Cycles'!$AJ$21*INDEX('Lease Cycles'!$FO$21:$FU$21,1,EL231)+'Lease Cycles'!$BE$21*(1-INDEX('Lease Cycles'!$FO$21:$FU$21,1,EL231)))),0)</f>
        <v>0</v>
      </c>
      <c r="EM241" s="24">
        <f>IF(EM233=1,'Lease Cycles'!$D$21*IF(INDEX('Lease Cycles'!$EF$21:$EL$21,1,EM231)=1,'Lease Cycles'!$AJ$21*INDEX('Lease Cycles'!$FO$21:$FU$21,1,EM231)*INDEX('Lease Cycles'!$EM$21:$ES$21,1,EM231)+'Lease Cycles'!$BE$21*IF(EM232&lt;INDEX('Lease Cycles'!$FA$21:$FG$21,1,EM231),0,1-INDEX('Lease Cycles'!$EM$21:$ES$21,1,EM231)),IF(OR(INDEX('Lease Cycles'!$DY$21:$EE$21,1,EM231)=1,EM232&gt;0),1,1-INDEX('Lease Cycles'!$DD$21:$DJ$21,1,EM231))*('Lease Cycles'!$AJ$21*INDEX('Lease Cycles'!$FO$21:$FU$21,1,EM231)+'Lease Cycles'!$BE$21*(1-INDEX('Lease Cycles'!$FO$21:$FU$21,1,EM231)))),0)</f>
        <v>0</v>
      </c>
      <c r="EN241" s="24">
        <f>IF(EN233=1,'Lease Cycles'!$D$21*IF(INDEX('Lease Cycles'!$EF$21:$EL$21,1,EN231)=1,'Lease Cycles'!$AJ$21*INDEX('Lease Cycles'!$FO$21:$FU$21,1,EN231)*INDEX('Lease Cycles'!$EM$21:$ES$21,1,EN231)+'Lease Cycles'!$BE$21*IF(EN232&lt;INDEX('Lease Cycles'!$FA$21:$FG$21,1,EN231),0,1-INDEX('Lease Cycles'!$EM$21:$ES$21,1,EN231)),IF(OR(INDEX('Lease Cycles'!$DY$21:$EE$21,1,EN231)=1,EN232&gt;0),1,1-INDEX('Lease Cycles'!$DD$21:$DJ$21,1,EN231))*('Lease Cycles'!$AJ$21*INDEX('Lease Cycles'!$FO$21:$FU$21,1,EN231)+'Lease Cycles'!$BE$21*(1-INDEX('Lease Cycles'!$FO$21:$FU$21,1,EN231)))),0)</f>
        <v>0</v>
      </c>
      <c r="EO241" s="24">
        <f>IF(EO233=1,'Lease Cycles'!$D$21*IF(INDEX('Lease Cycles'!$EF$21:$EL$21,1,EO231)=1,'Lease Cycles'!$AJ$21*INDEX('Lease Cycles'!$FO$21:$FU$21,1,EO231)*INDEX('Lease Cycles'!$EM$21:$ES$21,1,EO231)+'Lease Cycles'!$BE$21*IF(EO232&lt;INDEX('Lease Cycles'!$FA$21:$FG$21,1,EO231),0,1-INDEX('Lease Cycles'!$EM$21:$ES$21,1,EO231)),IF(OR(INDEX('Lease Cycles'!$DY$21:$EE$21,1,EO231)=1,EO232&gt;0),1,1-INDEX('Lease Cycles'!$DD$21:$DJ$21,1,EO231))*('Lease Cycles'!$AJ$21*INDEX('Lease Cycles'!$FO$21:$FU$21,1,EO231)+'Lease Cycles'!$BE$21*(1-INDEX('Lease Cycles'!$FO$21:$FU$21,1,EO231)))),0)</f>
        <v>0</v>
      </c>
      <c r="EP241" s="24">
        <f>IF(EP233=1,'Lease Cycles'!$D$21*IF(INDEX('Lease Cycles'!$EF$21:$EL$21,1,EP231)=1,'Lease Cycles'!$AJ$21*INDEX('Lease Cycles'!$FO$21:$FU$21,1,EP231)*INDEX('Lease Cycles'!$EM$21:$ES$21,1,EP231)+'Lease Cycles'!$BE$21*IF(EP232&lt;INDEX('Lease Cycles'!$FA$21:$FG$21,1,EP231),0,1-INDEX('Lease Cycles'!$EM$21:$ES$21,1,EP231)),IF(OR(INDEX('Lease Cycles'!$DY$21:$EE$21,1,EP231)=1,EP232&gt;0),1,1-INDEX('Lease Cycles'!$DD$21:$DJ$21,1,EP231))*('Lease Cycles'!$AJ$21*INDEX('Lease Cycles'!$FO$21:$FU$21,1,EP231)+'Lease Cycles'!$BE$21*(1-INDEX('Lease Cycles'!$FO$21:$FU$21,1,EP231)))),0)</f>
        <v>0</v>
      </c>
      <c r="EQ241" s="24">
        <f>IF(EQ233=1,'Lease Cycles'!$D$21*IF(INDEX('Lease Cycles'!$EF$21:$EL$21,1,EQ231)=1,'Lease Cycles'!$AJ$21*INDEX('Lease Cycles'!$FO$21:$FU$21,1,EQ231)*INDEX('Lease Cycles'!$EM$21:$ES$21,1,EQ231)+'Lease Cycles'!$BE$21*IF(EQ232&lt;INDEX('Lease Cycles'!$FA$21:$FG$21,1,EQ231),0,1-INDEX('Lease Cycles'!$EM$21:$ES$21,1,EQ231)),IF(OR(INDEX('Lease Cycles'!$DY$21:$EE$21,1,EQ231)=1,EQ232&gt;0),1,1-INDEX('Lease Cycles'!$DD$21:$DJ$21,1,EQ231))*('Lease Cycles'!$AJ$21*INDEX('Lease Cycles'!$FO$21:$FU$21,1,EQ231)+'Lease Cycles'!$BE$21*(1-INDEX('Lease Cycles'!$FO$21:$FU$21,1,EQ231)))),0)</f>
        <v>0</v>
      </c>
      <c r="ER241" s="24">
        <f>IF(ER233=1,'Lease Cycles'!$D$21*IF(INDEX('Lease Cycles'!$EF$21:$EL$21,1,ER231)=1,'Lease Cycles'!$AJ$21*INDEX('Lease Cycles'!$FO$21:$FU$21,1,ER231)*INDEX('Lease Cycles'!$EM$21:$ES$21,1,ER231)+'Lease Cycles'!$BE$21*IF(ER232&lt;INDEX('Lease Cycles'!$FA$21:$FG$21,1,ER231),0,1-INDEX('Lease Cycles'!$EM$21:$ES$21,1,ER231)),IF(OR(INDEX('Lease Cycles'!$DY$21:$EE$21,1,ER231)=1,ER232&gt;0),1,1-INDEX('Lease Cycles'!$DD$21:$DJ$21,1,ER231))*('Lease Cycles'!$AJ$21*INDEX('Lease Cycles'!$FO$21:$FU$21,1,ER231)+'Lease Cycles'!$BE$21*(1-INDEX('Lease Cycles'!$FO$21:$FU$21,1,ER231)))),0)</f>
        <v>0</v>
      </c>
      <c r="ES241" s="24">
        <f>IF(ES233=1,'Lease Cycles'!$D$21*IF(INDEX('Lease Cycles'!$EF$21:$EL$21,1,ES231)=1,'Lease Cycles'!$AJ$21*INDEX('Lease Cycles'!$FO$21:$FU$21,1,ES231)*INDEX('Lease Cycles'!$EM$21:$ES$21,1,ES231)+'Lease Cycles'!$BE$21*IF(ES232&lt;INDEX('Lease Cycles'!$FA$21:$FG$21,1,ES231),0,1-INDEX('Lease Cycles'!$EM$21:$ES$21,1,ES231)),IF(OR(INDEX('Lease Cycles'!$DY$21:$EE$21,1,ES231)=1,ES232&gt;0),1,1-INDEX('Lease Cycles'!$DD$21:$DJ$21,1,ES231))*('Lease Cycles'!$AJ$21*INDEX('Lease Cycles'!$FO$21:$FU$21,1,ES231)+'Lease Cycles'!$BE$21*(1-INDEX('Lease Cycles'!$FO$21:$FU$21,1,ES231)))),0)</f>
        <v>0</v>
      </c>
      <c r="ET241" s="24">
        <f>IF(ET233=1,'Lease Cycles'!$D$21*IF(INDEX('Lease Cycles'!$EF$21:$EL$21,1,ET231)=1,'Lease Cycles'!$AJ$21*INDEX('Lease Cycles'!$FO$21:$FU$21,1,ET231)*INDEX('Lease Cycles'!$EM$21:$ES$21,1,ET231)+'Lease Cycles'!$BE$21*IF(ET232&lt;INDEX('Lease Cycles'!$FA$21:$FG$21,1,ET231),0,1-INDEX('Lease Cycles'!$EM$21:$ES$21,1,ET231)),IF(OR(INDEX('Lease Cycles'!$DY$21:$EE$21,1,ET231)=1,ET232&gt;0),1,1-INDEX('Lease Cycles'!$DD$21:$DJ$21,1,ET231))*('Lease Cycles'!$AJ$21*INDEX('Lease Cycles'!$FO$21:$FU$21,1,ET231)+'Lease Cycles'!$BE$21*(1-INDEX('Lease Cycles'!$FO$21:$FU$21,1,ET231)))),0)</f>
        <v>0</v>
      </c>
    </row>
    <row r="242">
      <c r="A242" s="103">
        <v>14</v>
      </c>
      <c r="B242" s="23" t="str">
        <f>IF('Lease Cycles'!$B$21="","(empty slot)",'Lease Cycles'!$B$21)</f>
        <v>(empty slot)</v>
      </c>
      <c r="C242" s="23" t="s">
        <v>689</v>
      </c>
      <c r="D242" s="104" t="s">
        <v>690</v>
      </c>
      <c r="E242" s="25">
        <f>'Lease Cycles'!$AL$21</f>
        <v>0</v>
      </c>
      <c r="G242" s="28">
        <f>SUM(S242:AD242)</f>
        <v>0</v>
      </c>
      <c r="H242" s="28">
        <f>SUM(AE242:AP242)</f>
        <v>0</v>
      </c>
      <c r="I242" s="28">
        <f>SUM(AQ242:BB242)</f>
        <v>0</v>
      </c>
      <c r="J242" s="28">
        <f>SUM(BC242:BN242)</f>
        <v>0</v>
      </c>
      <c r="K242" s="28">
        <f>SUM(BO242:BZ242)</f>
        <v>0</v>
      </c>
      <c r="L242" s="28">
        <f>SUM(CA242:CL242)</f>
        <v>0</v>
      </c>
      <c r="M242" s="28">
        <f>SUM(CM242:CX242)</f>
        <v>0</v>
      </c>
      <c r="N242" s="28">
        <f>SUM(CY242:DJ242)</f>
        <v>0</v>
      </c>
      <c r="O242" s="28">
        <f>SUM(DK242:DV242)</f>
        <v>0</v>
      </c>
      <c r="P242" s="28">
        <f>SUM(DW242:EH242)</f>
        <v>0</v>
      </c>
      <c r="Q242" s="28">
        <f>SUM(EI242:ET242)</f>
        <v>0</v>
      </c>
      <c r="S242" s="28">
        <f>IF(S241=0,0,S241*MAX(0,(INDEX(c_CAMy,1,S$7)-INDEX(c_CAMy,1,INDEX('Lease Cycles'!$GC$21:$GI$21,1,S231)+1))*(1+'Lease Cycles'!$AK$21)+(INDEX(c_TAXy,1,S$7)-INDEX(c_TAXy,1,INDEX('Lease Cycles'!$GC$21:$GI$21,1,S231)+1))+(INDEX(c_INSy,1,S$7)-INDEX(c_INSy,1,INDEX('Lease Cycles'!$GC$21:$GI$21,1,S231)+1)))/12)</f>
        <v>0</v>
      </c>
      <c r="T242" s="28">
        <f>IF(T241=0,0,T241*MAX(0,(INDEX(c_CAMy,1,T$7)-INDEX(c_CAMy,1,INDEX('Lease Cycles'!$GC$21:$GI$21,1,T231)+1))*(1+'Lease Cycles'!$AK$21)+(INDEX(c_TAXy,1,T$7)-INDEX(c_TAXy,1,INDEX('Lease Cycles'!$GC$21:$GI$21,1,T231)+1))+(INDEX(c_INSy,1,T$7)-INDEX(c_INSy,1,INDEX('Lease Cycles'!$GC$21:$GI$21,1,T231)+1)))/12)</f>
        <v>0</v>
      </c>
      <c r="U242" s="28">
        <f>IF(U241=0,0,U241*MAX(0,(INDEX(c_CAMy,1,U$7)-INDEX(c_CAMy,1,INDEX('Lease Cycles'!$GC$21:$GI$21,1,U231)+1))*(1+'Lease Cycles'!$AK$21)+(INDEX(c_TAXy,1,U$7)-INDEX(c_TAXy,1,INDEX('Lease Cycles'!$GC$21:$GI$21,1,U231)+1))+(INDEX(c_INSy,1,U$7)-INDEX(c_INSy,1,INDEX('Lease Cycles'!$GC$21:$GI$21,1,U231)+1)))/12)</f>
        <v>0</v>
      </c>
      <c r="V242" s="28">
        <f>IF(V241=0,0,V241*MAX(0,(INDEX(c_CAMy,1,V$7)-INDEX(c_CAMy,1,INDEX('Lease Cycles'!$GC$21:$GI$21,1,V231)+1))*(1+'Lease Cycles'!$AK$21)+(INDEX(c_TAXy,1,V$7)-INDEX(c_TAXy,1,INDEX('Lease Cycles'!$GC$21:$GI$21,1,V231)+1))+(INDEX(c_INSy,1,V$7)-INDEX(c_INSy,1,INDEX('Lease Cycles'!$GC$21:$GI$21,1,V231)+1)))/12)</f>
        <v>0</v>
      </c>
      <c r="W242" s="28">
        <f>IF(W241=0,0,W241*MAX(0,(INDEX(c_CAMy,1,W$7)-INDEX(c_CAMy,1,INDEX('Lease Cycles'!$GC$21:$GI$21,1,W231)+1))*(1+'Lease Cycles'!$AK$21)+(INDEX(c_TAXy,1,W$7)-INDEX(c_TAXy,1,INDEX('Lease Cycles'!$GC$21:$GI$21,1,W231)+1))+(INDEX(c_INSy,1,W$7)-INDEX(c_INSy,1,INDEX('Lease Cycles'!$GC$21:$GI$21,1,W231)+1)))/12)</f>
        <v>0</v>
      </c>
      <c r="X242" s="28">
        <f>IF(X241=0,0,X241*MAX(0,(INDEX(c_CAMy,1,X$7)-INDEX(c_CAMy,1,INDEX('Lease Cycles'!$GC$21:$GI$21,1,X231)+1))*(1+'Lease Cycles'!$AK$21)+(INDEX(c_TAXy,1,X$7)-INDEX(c_TAXy,1,INDEX('Lease Cycles'!$GC$21:$GI$21,1,X231)+1))+(INDEX(c_INSy,1,X$7)-INDEX(c_INSy,1,INDEX('Lease Cycles'!$GC$21:$GI$21,1,X231)+1)))/12)</f>
        <v>0</v>
      </c>
      <c r="Y242" s="28">
        <f>IF(Y241=0,0,Y241*MAX(0,(INDEX(c_CAMy,1,Y$7)-INDEX(c_CAMy,1,INDEX('Lease Cycles'!$GC$21:$GI$21,1,Y231)+1))*(1+'Lease Cycles'!$AK$21)+(INDEX(c_TAXy,1,Y$7)-INDEX(c_TAXy,1,INDEX('Lease Cycles'!$GC$21:$GI$21,1,Y231)+1))+(INDEX(c_INSy,1,Y$7)-INDEX(c_INSy,1,INDEX('Lease Cycles'!$GC$21:$GI$21,1,Y231)+1)))/12)</f>
        <v>0</v>
      </c>
      <c r="Z242" s="28">
        <f>IF(Z241=0,0,Z241*MAX(0,(INDEX(c_CAMy,1,Z$7)-INDEX(c_CAMy,1,INDEX('Lease Cycles'!$GC$21:$GI$21,1,Z231)+1))*(1+'Lease Cycles'!$AK$21)+(INDEX(c_TAXy,1,Z$7)-INDEX(c_TAXy,1,INDEX('Lease Cycles'!$GC$21:$GI$21,1,Z231)+1))+(INDEX(c_INSy,1,Z$7)-INDEX(c_INSy,1,INDEX('Lease Cycles'!$GC$21:$GI$21,1,Z231)+1)))/12)</f>
        <v>0</v>
      </c>
      <c r="AA242" s="28">
        <f>IF(AA241=0,0,AA241*MAX(0,(INDEX(c_CAMy,1,AA$7)-INDEX(c_CAMy,1,INDEX('Lease Cycles'!$GC$21:$GI$21,1,AA231)+1))*(1+'Lease Cycles'!$AK$21)+(INDEX(c_TAXy,1,AA$7)-INDEX(c_TAXy,1,INDEX('Lease Cycles'!$GC$21:$GI$21,1,AA231)+1))+(INDEX(c_INSy,1,AA$7)-INDEX(c_INSy,1,INDEX('Lease Cycles'!$GC$21:$GI$21,1,AA231)+1)))/12)</f>
        <v>0</v>
      </c>
      <c r="AB242" s="28">
        <f>IF(AB241=0,0,AB241*MAX(0,(INDEX(c_CAMy,1,AB$7)-INDEX(c_CAMy,1,INDEX('Lease Cycles'!$GC$21:$GI$21,1,AB231)+1))*(1+'Lease Cycles'!$AK$21)+(INDEX(c_TAXy,1,AB$7)-INDEX(c_TAXy,1,INDEX('Lease Cycles'!$GC$21:$GI$21,1,AB231)+1))+(INDEX(c_INSy,1,AB$7)-INDEX(c_INSy,1,INDEX('Lease Cycles'!$GC$21:$GI$21,1,AB231)+1)))/12)</f>
        <v>0</v>
      </c>
      <c r="AC242" s="28">
        <f>IF(AC241=0,0,AC241*MAX(0,(INDEX(c_CAMy,1,AC$7)-INDEX(c_CAMy,1,INDEX('Lease Cycles'!$GC$21:$GI$21,1,AC231)+1))*(1+'Lease Cycles'!$AK$21)+(INDEX(c_TAXy,1,AC$7)-INDEX(c_TAXy,1,INDEX('Lease Cycles'!$GC$21:$GI$21,1,AC231)+1))+(INDEX(c_INSy,1,AC$7)-INDEX(c_INSy,1,INDEX('Lease Cycles'!$GC$21:$GI$21,1,AC231)+1)))/12)</f>
        <v>0</v>
      </c>
      <c r="AD242" s="28">
        <f>IF(AD241=0,0,AD241*MAX(0,(INDEX(c_CAMy,1,AD$7)-INDEX(c_CAMy,1,INDEX('Lease Cycles'!$GC$21:$GI$21,1,AD231)+1))*(1+'Lease Cycles'!$AK$21)+(INDEX(c_TAXy,1,AD$7)-INDEX(c_TAXy,1,INDEX('Lease Cycles'!$GC$21:$GI$21,1,AD231)+1))+(INDEX(c_INSy,1,AD$7)-INDEX(c_INSy,1,INDEX('Lease Cycles'!$GC$21:$GI$21,1,AD231)+1)))/12)</f>
        <v>0</v>
      </c>
      <c r="AE242" s="28">
        <f>IF(AE241=0,0,AE241*MAX(0,(INDEX(c_CAMy,1,AE$7)-INDEX(c_CAMy,1,INDEX('Lease Cycles'!$GC$21:$GI$21,1,AE231)+1))*(1+'Lease Cycles'!$AK$21)+(INDEX(c_TAXy,1,AE$7)-INDEX(c_TAXy,1,INDEX('Lease Cycles'!$GC$21:$GI$21,1,AE231)+1))+(INDEX(c_INSy,1,AE$7)-INDEX(c_INSy,1,INDEX('Lease Cycles'!$GC$21:$GI$21,1,AE231)+1)))/12)</f>
        <v>0</v>
      </c>
      <c r="AF242" s="28">
        <f>IF(AF241=0,0,AF241*MAX(0,(INDEX(c_CAMy,1,AF$7)-INDEX(c_CAMy,1,INDEX('Lease Cycles'!$GC$21:$GI$21,1,AF231)+1))*(1+'Lease Cycles'!$AK$21)+(INDEX(c_TAXy,1,AF$7)-INDEX(c_TAXy,1,INDEX('Lease Cycles'!$GC$21:$GI$21,1,AF231)+1))+(INDEX(c_INSy,1,AF$7)-INDEX(c_INSy,1,INDEX('Lease Cycles'!$GC$21:$GI$21,1,AF231)+1)))/12)</f>
        <v>0</v>
      </c>
      <c r="AG242" s="28">
        <f>IF(AG241=0,0,AG241*MAX(0,(INDEX(c_CAMy,1,AG$7)-INDEX(c_CAMy,1,INDEX('Lease Cycles'!$GC$21:$GI$21,1,AG231)+1))*(1+'Lease Cycles'!$AK$21)+(INDEX(c_TAXy,1,AG$7)-INDEX(c_TAXy,1,INDEX('Lease Cycles'!$GC$21:$GI$21,1,AG231)+1))+(INDEX(c_INSy,1,AG$7)-INDEX(c_INSy,1,INDEX('Lease Cycles'!$GC$21:$GI$21,1,AG231)+1)))/12)</f>
        <v>0</v>
      </c>
      <c r="AH242" s="28">
        <f>IF(AH241=0,0,AH241*MAX(0,(INDEX(c_CAMy,1,AH$7)-INDEX(c_CAMy,1,INDEX('Lease Cycles'!$GC$21:$GI$21,1,AH231)+1))*(1+'Lease Cycles'!$AK$21)+(INDEX(c_TAXy,1,AH$7)-INDEX(c_TAXy,1,INDEX('Lease Cycles'!$GC$21:$GI$21,1,AH231)+1))+(INDEX(c_INSy,1,AH$7)-INDEX(c_INSy,1,INDEX('Lease Cycles'!$GC$21:$GI$21,1,AH231)+1)))/12)</f>
        <v>0</v>
      </c>
      <c r="AI242" s="28">
        <f>IF(AI241=0,0,AI241*MAX(0,(INDEX(c_CAMy,1,AI$7)-INDEX(c_CAMy,1,INDEX('Lease Cycles'!$GC$21:$GI$21,1,AI231)+1))*(1+'Lease Cycles'!$AK$21)+(INDEX(c_TAXy,1,AI$7)-INDEX(c_TAXy,1,INDEX('Lease Cycles'!$GC$21:$GI$21,1,AI231)+1))+(INDEX(c_INSy,1,AI$7)-INDEX(c_INSy,1,INDEX('Lease Cycles'!$GC$21:$GI$21,1,AI231)+1)))/12)</f>
        <v>0</v>
      </c>
      <c r="AJ242" s="28">
        <f>IF(AJ241=0,0,AJ241*MAX(0,(INDEX(c_CAMy,1,AJ$7)-INDEX(c_CAMy,1,INDEX('Lease Cycles'!$GC$21:$GI$21,1,AJ231)+1))*(1+'Lease Cycles'!$AK$21)+(INDEX(c_TAXy,1,AJ$7)-INDEX(c_TAXy,1,INDEX('Lease Cycles'!$GC$21:$GI$21,1,AJ231)+1))+(INDEX(c_INSy,1,AJ$7)-INDEX(c_INSy,1,INDEX('Lease Cycles'!$GC$21:$GI$21,1,AJ231)+1)))/12)</f>
        <v>0</v>
      </c>
      <c r="AK242" s="28">
        <f>IF(AK241=0,0,AK241*MAX(0,(INDEX(c_CAMy,1,AK$7)-INDEX(c_CAMy,1,INDEX('Lease Cycles'!$GC$21:$GI$21,1,AK231)+1))*(1+'Lease Cycles'!$AK$21)+(INDEX(c_TAXy,1,AK$7)-INDEX(c_TAXy,1,INDEX('Lease Cycles'!$GC$21:$GI$21,1,AK231)+1))+(INDEX(c_INSy,1,AK$7)-INDEX(c_INSy,1,INDEX('Lease Cycles'!$GC$21:$GI$21,1,AK231)+1)))/12)</f>
        <v>0</v>
      </c>
      <c r="AL242" s="28">
        <f>IF(AL241=0,0,AL241*MAX(0,(INDEX(c_CAMy,1,AL$7)-INDEX(c_CAMy,1,INDEX('Lease Cycles'!$GC$21:$GI$21,1,AL231)+1))*(1+'Lease Cycles'!$AK$21)+(INDEX(c_TAXy,1,AL$7)-INDEX(c_TAXy,1,INDEX('Lease Cycles'!$GC$21:$GI$21,1,AL231)+1))+(INDEX(c_INSy,1,AL$7)-INDEX(c_INSy,1,INDEX('Lease Cycles'!$GC$21:$GI$21,1,AL231)+1)))/12)</f>
        <v>0</v>
      </c>
      <c r="AM242" s="28">
        <f>IF(AM241=0,0,AM241*MAX(0,(INDEX(c_CAMy,1,AM$7)-INDEX(c_CAMy,1,INDEX('Lease Cycles'!$GC$21:$GI$21,1,AM231)+1))*(1+'Lease Cycles'!$AK$21)+(INDEX(c_TAXy,1,AM$7)-INDEX(c_TAXy,1,INDEX('Lease Cycles'!$GC$21:$GI$21,1,AM231)+1))+(INDEX(c_INSy,1,AM$7)-INDEX(c_INSy,1,INDEX('Lease Cycles'!$GC$21:$GI$21,1,AM231)+1)))/12)</f>
        <v>0</v>
      </c>
      <c r="AN242" s="28">
        <f>IF(AN241=0,0,AN241*MAX(0,(INDEX(c_CAMy,1,AN$7)-INDEX(c_CAMy,1,INDEX('Lease Cycles'!$GC$21:$GI$21,1,AN231)+1))*(1+'Lease Cycles'!$AK$21)+(INDEX(c_TAXy,1,AN$7)-INDEX(c_TAXy,1,INDEX('Lease Cycles'!$GC$21:$GI$21,1,AN231)+1))+(INDEX(c_INSy,1,AN$7)-INDEX(c_INSy,1,INDEX('Lease Cycles'!$GC$21:$GI$21,1,AN231)+1)))/12)</f>
        <v>0</v>
      </c>
      <c r="AO242" s="28">
        <f>IF(AO241=0,0,AO241*MAX(0,(INDEX(c_CAMy,1,AO$7)-INDEX(c_CAMy,1,INDEX('Lease Cycles'!$GC$21:$GI$21,1,AO231)+1))*(1+'Lease Cycles'!$AK$21)+(INDEX(c_TAXy,1,AO$7)-INDEX(c_TAXy,1,INDEX('Lease Cycles'!$GC$21:$GI$21,1,AO231)+1))+(INDEX(c_INSy,1,AO$7)-INDEX(c_INSy,1,INDEX('Lease Cycles'!$GC$21:$GI$21,1,AO231)+1)))/12)</f>
        <v>0</v>
      </c>
      <c r="AP242" s="28">
        <f>IF(AP241=0,0,AP241*MAX(0,(INDEX(c_CAMy,1,AP$7)-INDEX(c_CAMy,1,INDEX('Lease Cycles'!$GC$21:$GI$21,1,AP231)+1))*(1+'Lease Cycles'!$AK$21)+(INDEX(c_TAXy,1,AP$7)-INDEX(c_TAXy,1,INDEX('Lease Cycles'!$GC$21:$GI$21,1,AP231)+1))+(INDEX(c_INSy,1,AP$7)-INDEX(c_INSy,1,INDEX('Lease Cycles'!$GC$21:$GI$21,1,AP231)+1)))/12)</f>
        <v>0</v>
      </c>
      <c r="AQ242" s="28">
        <f>IF(AQ241=0,0,AQ241*MAX(0,(INDEX(c_CAMy,1,AQ$7)-INDEX(c_CAMy,1,INDEX('Lease Cycles'!$GC$21:$GI$21,1,AQ231)+1))*(1+'Lease Cycles'!$AK$21)+(INDEX(c_TAXy,1,AQ$7)-INDEX(c_TAXy,1,INDEX('Lease Cycles'!$GC$21:$GI$21,1,AQ231)+1))+(INDEX(c_INSy,1,AQ$7)-INDEX(c_INSy,1,INDEX('Lease Cycles'!$GC$21:$GI$21,1,AQ231)+1)))/12)</f>
        <v>0</v>
      </c>
      <c r="AR242" s="28">
        <f>IF(AR241=0,0,AR241*MAX(0,(INDEX(c_CAMy,1,AR$7)-INDEX(c_CAMy,1,INDEX('Lease Cycles'!$GC$21:$GI$21,1,AR231)+1))*(1+'Lease Cycles'!$AK$21)+(INDEX(c_TAXy,1,AR$7)-INDEX(c_TAXy,1,INDEX('Lease Cycles'!$GC$21:$GI$21,1,AR231)+1))+(INDEX(c_INSy,1,AR$7)-INDEX(c_INSy,1,INDEX('Lease Cycles'!$GC$21:$GI$21,1,AR231)+1)))/12)</f>
        <v>0</v>
      </c>
      <c r="AS242" s="28">
        <f>IF(AS241=0,0,AS241*MAX(0,(INDEX(c_CAMy,1,AS$7)-INDEX(c_CAMy,1,INDEX('Lease Cycles'!$GC$21:$GI$21,1,AS231)+1))*(1+'Lease Cycles'!$AK$21)+(INDEX(c_TAXy,1,AS$7)-INDEX(c_TAXy,1,INDEX('Lease Cycles'!$GC$21:$GI$21,1,AS231)+1))+(INDEX(c_INSy,1,AS$7)-INDEX(c_INSy,1,INDEX('Lease Cycles'!$GC$21:$GI$21,1,AS231)+1)))/12)</f>
        <v>0</v>
      </c>
      <c r="AT242" s="28">
        <f>IF(AT241=0,0,AT241*MAX(0,(INDEX(c_CAMy,1,AT$7)-INDEX(c_CAMy,1,INDEX('Lease Cycles'!$GC$21:$GI$21,1,AT231)+1))*(1+'Lease Cycles'!$AK$21)+(INDEX(c_TAXy,1,AT$7)-INDEX(c_TAXy,1,INDEX('Lease Cycles'!$GC$21:$GI$21,1,AT231)+1))+(INDEX(c_INSy,1,AT$7)-INDEX(c_INSy,1,INDEX('Lease Cycles'!$GC$21:$GI$21,1,AT231)+1)))/12)</f>
        <v>0</v>
      </c>
      <c r="AU242" s="28">
        <f>IF(AU241=0,0,AU241*MAX(0,(INDEX(c_CAMy,1,AU$7)-INDEX(c_CAMy,1,INDEX('Lease Cycles'!$GC$21:$GI$21,1,AU231)+1))*(1+'Lease Cycles'!$AK$21)+(INDEX(c_TAXy,1,AU$7)-INDEX(c_TAXy,1,INDEX('Lease Cycles'!$GC$21:$GI$21,1,AU231)+1))+(INDEX(c_INSy,1,AU$7)-INDEX(c_INSy,1,INDEX('Lease Cycles'!$GC$21:$GI$21,1,AU231)+1)))/12)</f>
        <v>0</v>
      </c>
      <c r="AV242" s="28">
        <f>IF(AV241=0,0,AV241*MAX(0,(INDEX(c_CAMy,1,AV$7)-INDEX(c_CAMy,1,INDEX('Lease Cycles'!$GC$21:$GI$21,1,AV231)+1))*(1+'Lease Cycles'!$AK$21)+(INDEX(c_TAXy,1,AV$7)-INDEX(c_TAXy,1,INDEX('Lease Cycles'!$GC$21:$GI$21,1,AV231)+1))+(INDEX(c_INSy,1,AV$7)-INDEX(c_INSy,1,INDEX('Lease Cycles'!$GC$21:$GI$21,1,AV231)+1)))/12)</f>
        <v>0</v>
      </c>
      <c r="AW242" s="28">
        <f>IF(AW241=0,0,AW241*MAX(0,(INDEX(c_CAMy,1,AW$7)-INDEX(c_CAMy,1,INDEX('Lease Cycles'!$GC$21:$GI$21,1,AW231)+1))*(1+'Lease Cycles'!$AK$21)+(INDEX(c_TAXy,1,AW$7)-INDEX(c_TAXy,1,INDEX('Lease Cycles'!$GC$21:$GI$21,1,AW231)+1))+(INDEX(c_INSy,1,AW$7)-INDEX(c_INSy,1,INDEX('Lease Cycles'!$GC$21:$GI$21,1,AW231)+1)))/12)</f>
        <v>0</v>
      </c>
      <c r="AX242" s="28">
        <f>IF(AX241=0,0,AX241*MAX(0,(INDEX(c_CAMy,1,AX$7)-INDEX(c_CAMy,1,INDEX('Lease Cycles'!$GC$21:$GI$21,1,AX231)+1))*(1+'Lease Cycles'!$AK$21)+(INDEX(c_TAXy,1,AX$7)-INDEX(c_TAXy,1,INDEX('Lease Cycles'!$GC$21:$GI$21,1,AX231)+1))+(INDEX(c_INSy,1,AX$7)-INDEX(c_INSy,1,INDEX('Lease Cycles'!$GC$21:$GI$21,1,AX231)+1)))/12)</f>
        <v>0</v>
      </c>
      <c r="AY242" s="28">
        <f>IF(AY241=0,0,AY241*MAX(0,(INDEX(c_CAMy,1,AY$7)-INDEX(c_CAMy,1,INDEX('Lease Cycles'!$GC$21:$GI$21,1,AY231)+1))*(1+'Lease Cycles'!$AK$21)+(INDEX(c_TAXy,1,AY$7)-INDEX(c_TAXy,1,INDEX('Lease Cycles'!$GC$21:$GI$21,1,AY231)+1))+(INDEX(c_INSy,1,AY$7)-INDEX(c_INSy,1,INDEX('Lease Cycles'!$GC$21:$GI$21,1,AY231)+1)))/12)</f>
        <v>0</v>
      </c>
      <c r="AZ242" s="28">
        <f>IF(AZ241=0,0,AZ241*MAX(0,(INDEX(c_CAMy,1,AZ$7)-INDEX(c_CAMy,1,INDEX('Lease Cycles'!$GC$21:$GI$21,1,AZ231)+1))*(1+'Lease Cycles'!$AK$21)+(INDEX(c_TAXy,1,AZ$7)-INDEX(c_TAXy,1,INDEX('Lease Cycles'!$GC$21:$GI$21,1,AZ231)+1))+(INDEX(c_INSy,1,AZ$7)-INDEX(c_INSy,1,INDEX('Lease Cycles'!$GC$21:$GI$21,1,AZ231)+1)))/12)</f>
        <v>0</v>
      </c>
      <c r="BA242" s="28">
        <f>IF(BA241=0,0,BA241*MAX(0,(INDEX(c_CAMy,1,BA$7)-INDEX(c_CAMy,1,INDEX('Lease Cycles'!$GC$21:$GI$21,1,BA231)+1))*(1+'Lease Cycles'!$AK$21)+(INDEX(c_TAXy,1,BA$7)-INDEX(c_TAXy,1,INDEX('Lease Cycles'!$GC$21:$GI$21,1,BA231)+1))+(INDEX(c_INSy,1,BA$7)-INDEX(c_INSy,1,INDEX('Lease Cycles'!$GC$21:$GI$21,1,BA231)+1)))/12)</f>
        <v>0</v>
      </c>
      <c r="BB242" s="28">
        <f>IF(BB241=0,0,BB241*MAX(0,(INDEX(c_CAMy,1,BB$7)-INDEX(c_CAMy,1,INDEX('Lease Cycles'!$GC$21:$GI$21,1,BB231)+1))*(1+'Lease Cycles'!$AK$21)+(INDEX(c_TAXy,1,BB$7)-INDEX(c_TAXy,1,INDEX('Lease Cycles'!$GC$21:$GI$21,1,BB231)+1))+(INDEX(c_INSy,1,BB$7)-INDEX(c_INSy,1,INDEX('Lease Cycles'!$GC$21:$GI$21,1,BB231)+1)))/12)</f>
        <v>0</v>
      </c>
      <c r="BC242" s="28">
        <f>IF(BC241=0,0,BC241*MAX(0,(INDEX(c_CAMy,1,BC$7)-INDEX(c_CAMy,1,INDEX('Lease Cycles'!$GC$21:$GI$21,1,BC231)+1))*(1+'Lease Cycles'!$AK$21)+(INDEX(c_TAXy,1,BC$7)-INDEX(c_TAXy,1,INDEX('Lease Cycles'!$GC$21:$GI$21,1,BC231)+1))+(INDEX(c_INSy,1,BC$7)-INDEX(c_INSy,1,INDEX('Lease Cycles'!$GC$21:$GI$21,1,BC231)+1)))/12)</f>
        <v>0</v>
      </c>
      <c r="BD242" s="28">
        <f>IF(BD241=0,0,BD241*MAX(0,(INDEX(c_CAMy,1,BD$7)-INDEX(c_CAMy,1,INDEX('Lease Cycles'!$GC$21:$GI$21,1,BD231)+1))*(1+'Lease Cycles'!$AK$21)+(INDEX(c_TAXy,1,BD$7)-INDEX(c_TAXy,1,INDEX('Lease Cycles'!$GC$21:$GI$21,1,BD231)+1))+(INDEX(c_INSy,1,BD$7)-INDEX(c_INSy,1,INDEX('Lease Cycles'!$GC$21:$GI$21,1,BD231)+1)))/12)</f>
        <v>0</v>
      </c>
      <c r="BE242" s="28">
        <f>IF(BE241=0,0,BE241*MAX(0,(INDEX(c_CAMy,1,BE$7)-INDEX(c_CAMy,1,INDEX('Lease Cycles'!$GC$21:$GI$21,1,BE231)+1))*(1+'Lease Cycles'!$AK$21)+(INDEX(c_TAXy,1,BE$7)-INDEX(c_TAXy,1,INDEX('Lease Cycles'!$GC$21:$GI$21,1,BE231)+1))+(INDEX(c_INSy,1,BE$7)-INDEX(c_INSy,1,INDEX('Lease Cycles'!$GC$21:$GI$21,1,BE231)+1)))/12)</f>
        <v>0</v>
      </c>
      <c r="BF242" s="28">
        <f>IF(BF241=0,0,BF241*MAX(0,(INDEX(c_CAMy,1,BF$7)-INDEX(c_CAMy,1,INDEX('Lease Cycles'!$GC$21:$GI$21,1,BF231)+1))*(1+'Lease Cycles'!$AK$21)+(INDEX(c_TAXy,1,BF$7)-INDEX(c_TAXy,1,INDEX('Lease Cycles'!$GC$21:$GI$21,1,BF231)+1))+(INDEX(c_INSy,1,BF$7)-INDEX(c_INSy,1,INDEX('Lease Cycles'!$GC$21:$GI$21,1,BF231)+1)))/12)</f>
        <v>0</v>
      </c>
      <c r="BG242" s="28">
        <f>IF(BG241=0,0,BG241*MAX(0,(INDEX(c_CAMy,1,BG$7)-INDEX(c_CAMy,1,INDEX('Lease Cycles'!$GC$21:$GI$21,1,BG231)+1))*(1+'Lease Cycles'!$AK$21)+(INDEX(c_TAXy,1,BG$7)-INDEX(c_TAXy,1,INDEX('Lease Cycles'!$GC$21:$GI$21,1,BG231)+1))+(INDEX(c_INSy,1,BG$7)-INDEX(c_INSy,1,INDEX('Lease Cycles'!$GC$21:$GI$21,1,BG231)+1)))/12)</f>
        <v>0</v>
      </c>
      <c r="BH242" s="28">
        <f>IF(BH241=0,0,BH241*MAX(0,(INDEX(c_CAMy,1,BH$7)-INDEX(c_CAMy,1,INDEX('Lease Cycles'!$GC$21:$GI$21,1,BH231)+1))*(1+'Lease Cycles'!$AK$21)+(INDEX(c_TAXy,1,BH$7)-INDEX(c_TAXy,1,INDEX('Lease Cycles'!$GC$21:$GI$21,1,BH231)+1))+(INDEX(c_INSy,1,BH$7)-INDEX(c_INSy,1,INDEX('Lease Cycles'!$GC$21:$GI$21,1,BH231)+1)))/12)</f>
        <v>0</v>
      </c>
      <c r="BI242" s="28">
        <f>IF(BI241=0,0,BI241*MAX(0,(INDEX(c_CAMy,1,BI$7)-INDEX(c_CAMy,1,INDEX('Lease Cycles'!$GC$21:$GI$21,1,BI231)+1))*(1+'Lease Cycles'!$AK$21)+(INDEX(c_TAXy,1,BI$7)-INDEX(c_TAXy,1,INDEX('Lease Cycles'!$GC$21:$GI$21,1,BI231)+1))+(INDEX(c_INSy,1,BI$7)-INDEX(c_INSy,1,INDEX('Lease Cycles'!$GC$21:$GI$21,1,BI231)+1)))/12)</f>
        <v>0</v>
      </c>
      <c r="BJ242" s="28">
        <f>IF(BJ241=0,0,BJ241*MAX(0,(INDEX(c_CAMy,1,BJ$7)-INDEX(c_CAMy,1,INDEX('Lease Cycles'!$GC$21:$GI$21,1,BJ231)+1))*(1+'Lease Cycles'!$AK$21)+(INDEX(c_TAXy,1,BJ$7)-INDEX(c_TAXy,1,INDEX('Lease Cycles'!$GC$21:$GI$21,1,BJ231)+1))+(INDEX(c_INSy,1,BJ$7)-INDEX(c_INSy,1,INDEX('Lease Cycles'!$GC$21:$GI$21,1,BJ231)+1)))/12)</f>
        <v>0</v>
      </c>
      <c r="BK242" s="28">
        <f>IF(BK241=0,0,BK241*MAX(0,(INDEX(c_CAMy,1,BK$7)-INDEX(c_CAMy,1,INDEX('Lease Cycles'!$GC$21:$GI$21,1,BK231)+1))*(1+'Lease Cycles'!$AK$21)+(INDEX(c_TAXy,1,BK$7)-INDEX(c_TAXy,1,INDEX('Lease Cycles'!$GC$21:$GI$21,1,BK231)+1))+(INDEX(c_INSy,1,BK$7)-INDEX(c_INSy,1,INDEX('Lease Cycles'!$GC$21:$GI$21,1,BK231)+1)))/12)</f>
        <v>0</v>
      </c>
      <c r="BL242" s="28">
        <f>IF(BL241=0,0,BL241*MAX(0,(INDEX(c_CAMy,1,BL$7)-INDEX(c_CAMy,1,INDEX('Lease Cycles'!$GC$21:$GI$21,1,BL231)+1))*(1+'Lease Cycles'!$AK$21)+(INDEX(c_TAXy,1,BL$7)-INDEX(c_TAXy,1,INDEX('Lease Cycles'!$GC$21:$GI$21,1,BL231)+1))+(INDEX(c_INSy,1,BL$7)-INDEX(c_INSy,1,INDEX('Lease Cycles'!$GC$21:$GI$21,1,BL231)+1)))/12)</f>
        <v>0</v>
      </c>
      <c r="BM242" s="28">
        <f>IF(BM241=0,0,BM241*MAX(0,(INDEX(c_CAMy,1,BM$7)-INDEX(c_CAMy,1,INDEX('Lease Cycles'!$GC$21:$GI$21,1,BM231)+1))*(1+'Lease Cycles'!$AK$21)+(INDEX(c_TAXy,1,BM$7)-INDEX(c_TAXy,1,INDEX('Lease Cycles'!$GC$21:$GI$21,1,BM231)+1))+(INDEX(c_INSy,1,BM$7)-INDEX(c_INSy,1,INDEX('Lease Cycles'!$GC$21:$GI$21,1,BM231)+1)))/12)</f>
        <v>0</v>
      </c>
      <c r="BN242" s="28">
        <f>IF(BN241=0,0,BN241*MAX(0,(INDEX(c_CAMy,1,BN$7)-INDEX(c_CAMy,1,INDEX('Lease Cycles'!$GC$21:$GI$21,1,BN231)+1))*(1+'Lease Cycles'!$AK$21)+(INDEX(c_TAXy,1,BN$7)-INDEX(c_TAXy,1,INDEX('Lease Cycles'!$GC$21:$GI$21,1,BN231)+1))+(INDEX(c_INSy,1,BN$7)-INDEX(c_INSy,1,INDEX('Lease Cycles'!$GC$21:$GI$21,1,BN231)+1)))/12)</f>
        <v>0</v>
      </c>
      <c r="BO242" s="28">
        <f>IF(BO241=0,0,BO241*MAX(0,(INDEX(c_CAMy,1,BO$7)-INDEX(c_CAMy,1,INDEX('Lease Cycles'!$GC$21:$GI$21,1,BO231)+1))*(1+'Lease Cycles'!$AK$21)+(INDEX(c_TAXy,1,BO$7)-INDEX(c_TAXy,1,INDEX('Lease Cycles'!$GC$21:$GI$21,1,BO231)+1))+(INDEX(c_INSy,1,BO$7)-INDEX(c_INSy,1,INDEX('Lease Cycles'!$GC$21:$GI$21,1,BO231)+1)))/12)</f>
        <v>0</v>
      </c>
      <c r="BP242" s="28">
        <f>IF(BP241=0,0,BP241*MAX(0,(INDEX(c_CAMy,1,BP$7)-INDEX(c_CAMy,1,INDEX('Lease Cycles'!$GC$21:$GI$21,1,BP231)+1))*(1+'Lease Cycles'!$AK$21)+(INDEX(c_TAXy,1,BP$7)-INDEX(c_TAXy,1,INDEX('Lease Cycles'!$GC$21:$GI$21,1,BP231)+1))+(INDEX(c_INSy,1,BP$7)-INDEX(c_INSy,1,INDEX('Lease Cycles'!$GC$21:$GI$21,1,BP231)+1)))/12)</f>
        <v>0</v>
      </c>
      <c r="BQ242" s="28">
        <f>IF(BQ241=0,0,BQ241*MAX(0,(INDEX(c_CAMy,1,BQ$7)-INDEX(c_CAMy,1,INDEX('Lease Cycles'!$GC$21:$GI$21,1,BQ231)+1))*(1+'Lease Cycles'!$AK$21)+(INDEX(c_TAXy,1,BQ$7)-INDEX(c_TAXy,1,INDEX('Lease Cycles'!$GC$21:$GI$21,1,BQ231)+1))+(INDEX(c_INSy,1,BQ$7)-INDEX(c_INSy,1,INDEX('Lease Cycles'!$GC$21:$GI$21,1,BQ231)+1)))/12)</f>
        <v>0</v>
      </c>
      <c r="BR242" s="28">
        <f>IF(BR241=0,0,BR241*MAX(0,(INDEX(c_CAMy,1,BR$7)-INDEX(c_CAMy,1,INDEX('Lease Cycles'!$GC$21:$GI$21,1,BR231)+1))*(1+'Lease Cycles'!$AK$21)+(INDEX(c_TAXy,1,BR$7)-INDEX(c_TAXy,1,INDEX('Lease Cycles'!$GC$21:$GI$21,1,BR231)+1))+(INDEX(c_INSy,1,BR$7)-INDEX(c_INSy,1,INDEX('Lease Cycles'!$GC$21:$GI$21,1,BR231)+1)))/12)</f>
        <v>0</v>
      </c>
      <c r="BS242" s="28">
        <f>IF(BS241=0,0,BS241*MAX(0,(INDEX(c_CAMy,1,BS$7)-INDEX(c_CAMy,1,INDEX('Lease Cycles'!$GC$21:$GI$21,1,BS231)+1))*(1+'Lease Cycles'!$AK$21)+(INDEX(c_TAXy,1,BS$7)-INDEX(c_TAXy,1,INDEX('Lease Cycles'!$GC$21:$GI$21,1,BS231)+1))+(INDEX(c_INSy,1,BS$7)-INDEX(c_INSy,1,INDEX('Lease Cycles'!$GC$21:$GI$21,1,BS231)+1)))/12)</f>
        <v>0</v>
      </c>
      <c r="BT242" s="28">
        <f>IF(BT241=0,0,BT241*MAX(0,(INDEX(c_CAMy,1,BT$7)-INDEX(c_CAMy,1,INDEX('Lease Cycles'!$GC$21:$GI$21,1,BT231)+1))*(1+'Lease Cycles'!$AK$21)+(INDEX(c_TAXy,1,BT$7)-INDEX(c_TAXy,1,INDEX('Lease Cycles'!$GC$21:$GI$21,1,BT231)+1))+(INDEX(c_INSy,1,BT$7)-INDEX(c_INSy,1,INDEX('Lease Cycles'!$GC$21:$GI$21,1,BT231)+1)))/12)</f>
        <v>0</v>
      </c>
      <c r="BU242" s="28">
        <f>IF(BU241=0,0,BU241*MAX(0,(INDEX(c_CAMy,1,BU$7)-INDEX(c_CAMy,1,INDEX('Lease Cycles'!$GC$21:$GI$21,1,BU231)+1))*(1+'Lease Cycles'!$AK$21)+(INDEX(c_TAXy,1,BU$7)-INDEX(c_TAXy,1,INDEX('Lease Cycles'!$GC$21:$GI$21,1,BU231)+1))+(INDEX(c_INSy,1,BU$7)-INDEX(c_INSy,1,INDEX('Lease Cycles'!$GC$21:$GI$21,1,BU231)+1)))/12)</f>
        <v>0</v>
      </c>
      <c r="BV242" s="28">
        <f>IF(BV241=0,0,BV241*MAX(0,(INDEX(c_CAMy,1,BV$7)-INDEX(c_CAMy,1,INDEX('Lease Cycles'!$GC$21:$GI$21,1,BV231)+1))*(1+'Lease Cycles'!$AK$21)+(INDEX(c_TAXy,1,BV$7)-INDEX(c_TAXy,1,INDEX('Lease Cycles'!$GC$21:$GI$21,1,BV231)+1))+(INDEX(c_INSy,1,BV$7)-INDEX(c_INSy,1,INDEX('Lease Cycles'!$GC$21:$GI$21,1,BV231)+1)))/12)</f>
        <v>0</v>
      </c>
      <c r="BW242" s="28">
        <f>IF(BW241=0,0,BW241*MAX(0,(INDEX(c_CAMy,1,BW$7)-INDEX(c_CAMy,1,INDEX('Lease Cycles'!$GC$21:$GI$21,1,BW231)+1))*(1+'Lease Cycles'!$AK$21)+(INDEX(c_TAXy,1,BW$7)-INDEX(c_TAXy,1,INDEX('Lease Cycles'!$GC$21:$GI$21,1,BW231)+1))+(INDEX(c_INSy,1,BW$7)-INDEX(c_INSy,1,INDEX('Lease Cycles'!$GC$21:$GI$21,1,BW231)+1)))/12)</f>
        <v>0</v>
      </c>
      <c r="BX242" s="28">
        <f>IF(BX241=0,0,BX241*MAX(0,(INDEX(c_CAMy,1,BX$7)-INDEX(c_CAMy,1,INDEX('Lease Cycles'!$GC$21:$GI$21,1,BX231)+1))*(1+'Lease Cycles'!$AK$21)+(INDEX(c_TAXy,1,BX$7)-INDEX(c_TAXy,1,INDEX('Lease Cycles'!$GC$21:$GI$21,1,BX231)+1))+(INDEX(c_INSy,1,BX$7)-INDEX(c_INSy,1,INDEX('Lease Cycles'!$GC$21:$GI$21,1,BX231)+1)))/12)</f>
        <v>0</v>
      </c>
      <c r="BY242" s="28">
        <f>IF(BY241=0,0,BY241*MAX(0,(INDEX(c_CAMy,1,BY$7)-INDEX(c_CAMy,1,INDEX('Lease Cycles'!$GC$21:$GI$21,1,BY231)+1))*(1+'Lease Cycles'!$AK$21)+(INDEX(c_TAXy,1,BY$7)-INDEX(c_TAXy,1,INDEX('Lease Cycles'!$GC$21:$GI$21,1,BY231)+1))+(INDEX(c_INSy,1,BY$7)-INDEX(c_INSy,1,INDEX('Lease Cycles'!$GC$21:$GI$21,1,BY231)+1)))/12)</f>
        <v>0</v>
      </c>
      <c r="BZ242" s="28">
        <f>IF(BZ241=0,0,BZ241*MAX(0,(INDEX(c_CAMy,1,BZ$7)-INDEX(c_CAMy,1,INDEX('Lease Cycles'!$GC$21:$GI$21,1,BZ231)+1))*(1+'Lease Cycles'!$AK$21)+(INDEX(c_TAXy,1,BZ$7)-INDEX(c_TAXy,1,INDEX('Lease Cycles'!$GC$21:$GI$21,1,BZ231)+1))+(INDEX(c_INSy,1,BZ$7)-INDEX(c_INSy,1,INDEX('Lease Cycles'!$GC$21:$GI$21,1,BZ231)+1)))/12)</f>
        <v>0</v>
      </c>
      <c r="CA242" s="28">
        <f>IF(CA241=0,0,CA241*MAX(0,(INDEX(c_CAMy,1,CA$7)-INDEX(c_CAMy,1,INDEX('Lease Cycles'!$GC$21:$GI$21,1,CA231)+1))*(1+'Lease Cycles'!$AK$21)+(INDEX(c_TAXy,1,CA$7)-INDEX(c_TAXy,1,INDEX('Lease Cycles'!$GC$21:$GI$21,1,CA231)+1))+(INDEX(c_INSy,1,CA$7)-INDEX(c_INSy,1,INDEX('Lease Cycles'!$GC$21:$GI$21,1,CA231)+1)))/12)</f>
        <v>0</v>
      </c>
      <c r="CB242" s="28">
        <f>IF(CB241=0,0,CB241*MAX(0,(INDEX(c_CAMy,1,CB$7)-INDEX(c_CAMy,1,INDEX('Lease Cycles'!$GC$21:$GI$21,1,CB231)+1))*(1+'Lease Cycles'!$AK$21)+(INDEX(c_TAXy,1,CB$7)-INDEX(c_TAXy,1,INDEX('Lease Cycles'!$GC$21:$GI$21,1,CB231)+1))+(INDEX(c_INSy,1,CB$7)-INDEX(c_INSy,1,INDEX('Lease Cycles'!$GC$21:$GI$21,1,CB231)+1)))/12)</f>
        <v>0</v>
      </c>
      <c r="CC242" s="28">
        <f>IF(CC241=0,0,CC241*MAX(0,(INDEX(c_CAMy,1,CC$7)-INDEX(c_CAMy,1,INDEX('Lease Cycles'!$GC$21:$GI$21,1,CC231)+1))*(1+'Lease Cycles'!$AK$21)+(INDEX(c_TAXy,1,CC$7)-INDEX(c_TAXy,1,INDEX('Lease Cycles'!$GC$21:$GI$21,1,CC231)+1))+(INDEX(c_INSy,1,CC$7)-INDEX(c_INSy,1,INDEX('Lease Cycles'!$GC$21:$GI$21,1,CC231)+1)))/12)</f>
        <v>0</v>
      </c>
      <c r="CD242" s="28">
        <f>IF(CD241=0,0,CD241*MAX(0,(INDEX(c_CAMy,1,CD$7)-INDEX(c_CAMy,1,INDEX('Lease Cycles'!$GC$21:$GI$21,1,CD231)+1))*(1+'Lease Cycles'!$AK$21)+(INDEX(c_TAXy,1,CD$7)-INDEX(c_TAXy,1,INDEX('Lease Cycles'!$GC$21:$GI$21,1,CD231)+1))+(INDEX(c_INSy,1,CD$7)-INDEX(c_INSy,1,INDEX('Lease Cycles'!$GC$21:$GI$21,1,CD231)+1)))/12)</f>
        <v>0</v>
      </c>
      <c r="CE242" s="28">
        <f>IF(CE241=0,0,CE241*MAX(0,(INDEX(c_CAMy,1,CE$7)-INDEX(c_CAMy,1,INDEX('Lease Cycles'!$GC$21:$GI$21,1,CE231)+1))*(1+'Lease Cycles'!$AK$21)+(INDEX(c_TAXy,1,CE$7)-INDEX(c_TAXy,1,INDEX('Lease Cycles'!$GC$21:$GI$21,1,CE231)+1))+(INDEX(c_INSy,1,CE$7)-INDEX(c_INSy,1,INDEX('Lease Cycles'!$GC$21:$GI$21,1,CE231)+1)))/12)</f>
        <v>0</v>
      </c>
      <c r="CF242" s="28">
        <f>IF(CF241=0,0,CF241*MAX(0,(INDEX(c_CAMy,1,CF$7)-INDEX(c_CAMy,1,INDEX('Lease Cycles'!$GC$21:$GI$21,1,CF231)+1))*(1+'Lease Cycles'!$AK$21)+(INDEX(c_TAXy,1,CF$7)-INDEX(c_TAXy,1,INDEX('Lease Cycles'!$GC$21:$GI$21,1,CF231)+1))+(INDEX(c_INSy,1,CF$7)-INDEX(c_INSy,1,INDEX('Lease Cycles'!$GC$21:$GI$21,1,CF231)+1)))/12)</f>
        <v>0</v>
      </c>
      <c r="CG242" s="28">
        <f>IF(CG241=0,0,CG241*MAX(0,(INDEX(c_CAMy,1,CG$7)-INDEX(c_CAMy,1,INDEX('Lease Cycles'!$GC$21:$GI$21,1,CG231)+1))*(1+'Lease Cycles'!$AK$21)+(INDEX(c_TAXy,1,CG$7)-INDEX(c_TAXy,1,INDEX('Lease Cycles'!$GC$21:$GI$21,1,CG231)+1))+(INDEX(c_INSy,1,CG$7)-INDEX(c_INSy,1,INDEX('Lease Cycles'!$GC$21:$GI$21,1,CG231)+1)))/12)</f>
        <v>0</v>
      </c>
      <c r="CH242" s="28">
        <f>IF(CH241=0,0,CH241*MAX(0,(INDEX(c_CAMy,1,CH$7)-INDEX(c_CAMy,1,INDEX('Lease Cycles'!$GC$21:$GI$21,1,CH231)+1))*(1+'Lease Cycles'!$AK$21)+(INDEX(c_TAXy,1,CH$7)-INDEX(c_TAXy,1,INDEX('Lease Cycles'!$GC$21:$GI$21,1,CH231)+1))+(INDEX(c_INSy,1,CH$7)-INDEX(c_INSy,1,INDEX('Lease Cycles'!$GC$21:$GI$21,1,CH231)+1)))/12)</f>
        <v>0</v>
      </c>
      <c r="CI242" s="28">
        <f>IF(CI241=0,0,CI241*MAX(0,(INDEX(c_CAMy,1,CI$7)-INDEX(c_CAMy,1,INDEX('Lease Cycles'!$GC$21:$GI$21,1,CI231)+1))*(1+'Lease Cycles'!$AK$21)+(INDEX(c_TAXy,1,CI$7)-INDEX(c_TAXy,1,INDEX('Lease Cycles'!$GC$21:$GI$21,1,CI231)+1))+(INDEX(c_INSy,1,CI$7)-INDEX(c_INSy,1,INDEX('Lease Cycles'!$GC$21:$GI$21,1,CI231)+1)))/12)</f>
        <v>0</v>
      </c>
      <c r="CJ242" s="28">
        <f>IF(CJ241=0,0,CJ241*MAX(0,(INDEX(c_CAMy,1,CJ$7)-INDEX(c_CAMy,1,INDEX('Lease Cycles'!$GC$21:$GI$21,1,CJ231)+1))*(1+'Lease Cycles'!$AK$21)+(INDEX(c_TAXy,1,CJ$7)-INDEX(c_TAXy,1,INDEX('Lease Cycles'!$GC$21:$GI$21,1,CJ231)+1))+(INDEX(c_INSy,1,CJ$7)-INDEX(c_INSy,1,INDEX('Lease Cycles'!$GC$21:$GI$21,1,CJ231)+1)))/12)</f>
        <v>0</v>
      </c>
      <c r="CK242" s="28">
        <f>IF(CK241=0,0,CK241*MAX(0,(INDEX(c_CAMy,1,CK$7)-INDEX(c_CAMy,1,INDEX('Lease Cycles'!$GC$21:$GI$21,1,CK231)+1))*(1+'Lease Cycles'!$AK$21)+(INDEX(c_TAXy,1,CK$7)-INDEX(c_TAXy,1,INDEX('Lease Cycles'!$GC$21:$GI$21,1,CK231)+1))+(INDEX(c_INSy,1,CK$7)-INDEX(c_INSy,1,INDEX('Lease Cycles'!$GC$21:$GI$21,1,CK231)+1)))/12)</f>
        <v>0</v>
      </c>
      <c r="CL242" s="28">
        <f>IF(CL241=0,0,CL241*MAX(0,(INDEX(c_CAMy,1,CL$7)-INDEX(c_CAMy,1,INDEX('Lease Cycles'!$GC$21:$GI$21,1,CL231)+1))*(1+'Lease Cycles'!$AK$21)+(INDEX(c_TAXy,1,CL$7)-INDEX(c_TAXy,1,INDEX('Lease Cycles'!$GC$21:$GI$21,1,CL231)+1))+(INDEX(c_INSy,1,CL$7)-INDEX(c_INSy,1,INDEX('Lease Cycles'!$GC$21:$GI$21,1,CL231)+1)))/12)</f>
        <v>0</v>
      </c>
      <c r="CM242" s="28">
        <f>IF(CM241=0,0,CM241*MAX(0,(INDEX(c_CAMy,1,CM$7)-INDEX(c_CAMy,1,INDEX('Lease Cycles'!$GC$21:$GI$21,1,CM231)+1))*(1+'Lease Cycles'!$AK$21)+(INDEX(c_TAXy,1,CM$7)-INDEX(c_TAXy,1,INDEX('Lease Cycles'!$GC$21:$GI$21,1,CM231)+1))+(INDEX(c_INSy,1,CM$7)-INDEX(c_INSy,1,INDEX('Lease Cycles'!$GC$21:$GI$21,1,CM231)+1)))/12)</f>
        <v>0</v>
      </c>
      <c r="CN242" s="28">
        <f>IF(CN241=0,0,CN241*MAX(0,(INDEX(c_CAMy,1,CN$7)-INDEX(c_CAMy,1,INDEX('Lease Cycles'!$GC$21:$GI$21,1,CN231)+1))*(1+'Lease Cycles'!$AK$21)+(INDEX(c_TAXy,1,CN$7)-INDEX(c_TAXy,1,INDEX('Lease Cycles'!$GC$21:$GI$21,1,CN231)+1))+(INDEX(c_INSy,1,CN$7)-INDEX(c_INSy,1,INDEX('Lease Cycles'!$GC$21:$GI$21,1,CN231)+1)))/12)</f>
        <v>0</v>
      </c>
      <c r="CO242" s="28">
        <f>IF(CO241=0,0,CO241*MAX(0,(INDEX(c_CAMy,1,CO$7)-INDEX(c_CAMy,1,INDEX('Lease Cycles'!$GC$21:$GI$21,1,CO231)+1))*(1+'Lease Cycles'!$AK$21)+(INDEX(c_TAXy,1,CO$7)-INDEX(c_TAXy,1,INDEX('Lease Cycles'!$GC$21:$GI$21,1,CO231)+1))+(INDEX(c_INSy,1,CO$7)-INDEX(c_INSy,1,INDEX('Lease Cycles'!$GC$21:$GI$21,1,CO231)+1)))/12)</f>
        <v>0</v>
      </c>
      <c r="CP242" s="28">
        <f>IF(CP241=0,0,CP241*MAX(0,(INDEX(c_CAMy,1,CP$7)-INDEX(c_CAMy,1,INDEX('Lease Cycles'!$GC$21:$GI$21,1,CP231)+1))*(1+'Lease Cycles'!$AK$21)+(INDEX(c_TAXy,1,CP$7)-INDEX(c_TAXy,1,INDEX('Lease Cycles'!$GC$21:$GI$21,1,CP231)+1))+(INDEX(c_INSy,1,CP$7)-INDEX(c_INSy,1,INDEX('Lease Cycles'!$GC$21:$GI$21,1,CP231)+1)))/12)</f>
        <v>0</v>
      </c>
      <c r="CQ242" s="28">
        <f>IF(CQ241=0,0,CQ241*MAX(0,(INDEX(c_CAMy,1,CQ$7)-INDEX(c_CAMy,1,INDEX('Lease Cycles'!$GC$21:$GI$21,1,CQ231)+1))*(1+'Lease Cycles'!$AK$21)+(INDEX(c_TAXy,1,CQ$7)-INDEX(c_TAXy,1,INDEX('Lease Cycles'!$GC$21:$GI$21,1,CQ231)+1))+(INDEX(c_INSy,1,CQ$7)-INDEX(c_INSy,1,INDEX('Lease Cycles'!$GC$21:$GI$21,1,CQ231)+1)))/12)</f>
        <v>0</v>
      </c>
      <c r="CR242" s="28">
        <f>IF(CR241=0,0,CR241*MAX(0,(INDEX(c_CAMy,1,CR$7)-INDEX(c_CAMy,1,INDEX('Lease Cycles'!$GC$21:$GI$21,1,CR231)+1))*(1+'Lease Cycles'!$AK$21)+(INDEX(c_TAXy,1,CR$7)-INDEX(c_TAXy,1,INDEX('Lease Cycles'!$GC$21:$GI$21,1,CR231)+1))+(INDEX(c_INSy,1,CR$7)-INDEX(c_INSy,1,INDEX('Lease Cycles'!$GC$21:$GI$21,1,CR231)+1)))/12)</f>
        <v>0</v>
      </c>
      <c r="CS242" s="28">
        <f>IF(CS241=0,0,CS241*MAX(0,(INDEX(c_CAMy,1,CS$7)-INDEX(c_CAMy,1,INDEX('Lease Cycles'!$GC$21:$GI$21,1,CS231)+1))*(1+'Lease Cycles'!$AK$21)+(INDEX(c_TAXy,1,CS$7)-INDEX(c_TAXy,1,INDEX('Lease Cycles'!$GC$21:$GI$21,1,CS231)+1))+(INDEX(c_INSy,1,CS$7)-INDEX(c_INSy,1,INDEX('Lease Cycles'!$GC$21:$GI$21,1,CS231)+1)))/12)</f>
        <v>0</v>
      </c>
      <c r="CT242" s="28">
        <f>IF(CT241=0,0,CT241*MAX(0,(INDEX(c_CAMy,1,CT$7)-INDEX(c_CAMy,1,INDEX('Lease Cycles'!$GC$21:$GI$21,1,CT231)+1))*(1+'Lease Cycles'!$AK$21)+(INDEX(c_TAXy,1,CT$7)-INDEX(c_TAXy,1,INDEX('Lease Cycles'!$GC$21:$GI$21,1,CT231)+1))+(INDEX(c_INSy,1,CT$7)-INDEX(c_INSy,1,INDEX('Lease Cycles'!$GC$21:$GI$21,1,CT231)+1)))/12)</f>
        <v>0</v>
      </c>
      <c r="CU242" s="28">
        <f>IF(CU241=0,0,CU241*MAX(0,(INDEX(c_CAMy,1,CU$7)-INDEX(c_CAMy,1,INDEX('Lease Cycles'!$GC$21:$GI$21,1,CU231)+1))*(1+'Lease Cycles'!$AK$21)+(INDEX(c_TAXy,1,CU$7)-INDEX(c_TAXy,1,INDEX('Lease Cycles'!$GC$21:$GI$21,1,CU231)+1))+(INDEX(c_INSy,1,CU$7)-INDEX(c_INSy,1,INDEX('Lease Cycles'!$GC$21:$GI$21,1,CU231)+1)))/12)</f>
        <v>0</v>
      </c>
      <c r="CV242" s="28">
        <f>IF(CV241=0,0,CV241*MAX(0,(INDEX(c_CAMy,1,CV$7)-INDEX(c_CAMy,1,INDEX('Lease Cycles'!$GC$21:$GI$21,1,CV231)+1))*(1+'Lease Cycles'!$AK$21)+(INDEX(c_TAXy,1,CV$7)-INDEX(c_TAXy,1,INDEX('Lease Cycles'!$GC$21:$GI$21,1,CV231)+1))+(INDEX(c_INSy,1,CV$7)-INDEX(c_INSy,1,INDEX('Lease Cycles'!$GC$21:$GI$21,1,CV231)+1)))/12)</f>
        <v>0</v>
      </c>
      <c r="CW242" s="28">
        <f>IF(CW241=0,0,CW241*MAX(0,(INDEX(c_CAMy,1,CW$7)-INDEX(c_CAMy,1,INDEX('Lease Cycles'!$GC$21:$GI$21,1,CW231)+1))*(1+'Lease Cycles'!$AK$21)+(INDEX(c_TAXy,1,CW$7)-INDEX(c_TAXy,1,INDEX('Lease Cycles'!$GC$21:$GI$21,1,CW231)+1))+(INDEX(c_INSy,1,CW$7)-INDEX(c_INSy,1,INDEX('Lease Cycles'!$GC$21:$GI$21,1,CW231)+1)))/12)</f>
        <v>0</v>
      </c>
      <c r="CX242" s="28">
        <f>IF(CX241=0,0,CX241*MAX(0,(INDEX(c_CAMy,1,CX$7)-INDEX(c_CAMy,1,INDEX('Lease Cycles'!$GC$21:$GI$21,1,CX231)+1))*(1+'Lease Cycles'!$AK$21)+(INDEX(c_TAXy,1,CX$7)-INDEX(c_TAXy,1,INDEX('Lease Cycles'!$GC$21:$GI$21,1,CX231)+1))+(INDEX(c_INSy,1,CX$7)-INDEX(c_INSy,1,INDEX('Lease Cycles'!$GC$21:$GI$21,1,CX231)+1)))/12)</f>
        <v>0</v>
      </c>
      <c r="CY242" s="28">
        <f>IF(CY241=0,0,CY241*MAX(0,(INDEX(c_CAMy,1,CY$7)-INDEX(c_CAMy,1,INDEX('Lease Cycles'!$GC$21:$GI$21,1,CY231)+1))*(1+'Lease Cycles'!$AK$21)+(INDEX(c_TAXy,1,CY$7)-INDEX(c_TAXy,1,INDEX('Lease Cycles'!$GC$21:$GI$21,1,CY231)+1))+(INDEX(c_INSy,1,CY$7)-INDEX(c_INSy,1,INDEX('Lease Cycles'!$GC$21:$GI$21,1,CY231)+1)))/12)</f>
        <v>0</v>
      </c>
      <c r="CZ242" s="28">
        <f>IF(CZ241=0,0,CZ241*MAX(0,(INDEX(c_CAMy,1,CZ$7)-INDEX(c_CAMy,1,INDEX('Lease Cycles'!$GC$21:$GI$21,1,CZ231)+1))*(1+'Lease Cycles'!$AK$21)+(INDEX(c_TAXy,1,CZ$7)-INDEX(c_TAXy,1,INDEX('Lease Cycles'!$GC$21:$GI$21,1,CZ231)+1))+(INDEX(c_INSy,1,CZ$7)-INDEX(c_INSy,1,INDEX('Lease Cycles'!$GC$21:$GI$21,1,CZ231)+1)))/12)</f>
        <v>0</v>
      </c>
      <c r="DA242" s="28">
        <f>IF(DA241=0,0,DA241*MAX(0,(INDEX(c_CAMy,1,DA$7)-INDEX(c_CAMy,1,INDEX('Lease Cycles'!$GC$21:$GI$21,1,DA231)+1))*(1+'Lease Cycles'!$AK$21)+(INDEX(c_TAXy,1,DA$7)-INDEX(c_TAXy,1,INDEX('Lease Cycles'!$GC$21:$GI$21,1,DA231)+1))+(INDEX(c_INSy,1,DA$7)-INDEX(c_INSy,1,INDEX('Lease Cycles'!$GC$21:$GI$21,1,DA231)+1)))/12)</f>
        <v>0</v>
      </c>
      <c r="DB242" s="28">
        <f>IF(DB241=0,0,DB241*MAX(0,(INDEX(c_CAMy,1,DB$7)-INDEX(c_CAMy,1,INDEX('Lease Cycles'!$GC$21:$GI$21,1,DB231)+1))*(1+'Lease Cycles'!$AK$21)+(INDEX(c_TAXy,1,DB$7)-INDEX(c_TAXy,1,INDEX('Lease Cycles'!$GC$21:$GI$21,1,DB231)+1))+(INDEX(c_INSy,1,DB$7)-INDEX(c_INSy,1,INDEX('Lease Cycles'!$GC$21:$GI$21,1,DB231)+1)))/12)</f>
        <v>0</v>
      </c>
      <c r="DC242" s="28">
        <f>IF(DC241=0,0,DC241*MAX(0,(INDEX(c_CAMy,1,DC$7)-INDEX(c_CAMy,1,INDEX('Lease Cycles'!$GC$21:$GI$21,1,DC231)+1))*(1+'Lease Cycles'!$AK$21)+(INDEX(c_TAXy,1,DC$7)-INDEX(c_TAXy,1,INDEX('Lease Cycles'!$GC$21:$GI$21,1,DC231)+1))+(INDEX(c_INSy,1,DC$7)-INDEX(c_INSy,1,INDEX('Lease Cycles'!$GC$21:$GI$21,1,DC231)+1)))/12)</f>
        <v>0</v>
      </c>
      <c r="DD242" s="28">
        <f>IF(DD241=0,0,DD241*MAX(0,(INDEX(c_CAMy,1,DD$7)-INDEX(c_CAMy,1,INDEX('Lease Cycles'!$GC$21:$GI$21,1,DD231)+1))*(1+'Lease Cycles'!$AK$21)+(INDEX(c_TAXy,1,DD$7)-INDEX(c_TAXy,1,INDEX('Lease Cycles'!$GC$21:$GI$21,1,DD231)+1))+(INDEX(c_INSy,1,DD$7)-INDEX(c_INSy,1,INDEX('Lease Cycles'!$GC$21:$GI$21,1,DD231)+1)))/12)</f>
        <v>0</v>
      </c>
      <c r="DE242" s="28">
        <f>IF(DE241=0,0,DE241*MAX(0,(INDEX(c_CAMy,1,DE$7)-INDEX(c_CAMy,1,INDEX('Lease Cycles'!$GC$21:$GI$21,1,DE231)+1))*(1+'Lease Cycles'!$AK$21)+(INDEX(c_TAXy,1,DE$7)-INDEX(c_TAXy,1,INDEX('Lease Cycles'!$GC$21:$GI$21,1,DE231)+1))+(INDEX(c_INSy,1,DE$7)-INDEX(c_INSy,1,INDEX('Lease Cycles'!$GC$21:$GI$21,1,DE231)+1)))/12)</f>
        <v>0</v>
      </c>
      <c r="DF242" s="28">
        <f>IF(DF241=0,0,DF241*MAX(0,(INDEX(c_CAMy,1,DF$7)-INDEX(c_CAMy,1,INDEX('Lease Cycles'!$GC$21:$GI$21,1,DF231)+1))*(1+'Lease Cycles'!$AK$21)+(INDEX(c_TAXy,1,DF$7)-INDEX(c_TAXy,1,INDEX('Lease Cycles'!$GC$21:$GI$21,1,DF231)+1))+(INDEX(c_INSy,1,DF$7)-INDEX(c_INSy,1,INDEX('Lease Cycles'!$GC$21:$GI$21,1,DF231)+1)))/12)</f>
        <v>0</v>
      </c>
      <c r="DG242" s="28">
        <f>IF(DG241=0,0,DG241*MAX(0,(INDEX(c_CAMy,1,DG$7)-INDEX(c_CAMy,1,INDEX('Lease Cycles'!$GC$21:$GI$21,1,DG231)+1))*(1+'Lease Cycles'!$AK$21)+(INDEX(c_TAXy,1,DG$7)-INDEX(c_TAXy,1,INDEX('Lease Cycles'!$GC$21:$GI$21,1,DG231)+1))+(INDEX(c_INSy,1,DG$7)-INDEX(c_INSy,1,INDEX('Lease Cycles'!$GC$21:$GI$21,1,DG231)+1)))/12)</f>
        <v>0</v>
      </c>
      <c r="DH242" s="28">
        <f>IF(DH241=0,0,DH241*MAX(0,(INDEX(c_CAMy,1,DH$7)-INDEX(c_CAMy,1,INDEX('Lease Cycles'!$GC$21:$GI$21,1,DH231)+1))*(1+'Lease Cycles'!$AK$21)+(INDEX(c_TAXy,1,DH$7)-INDEX(c_TAXy,1,INDEX('Lease Cycles'!$GC$21:$GI$21,1,DH231)+1))+(INDEX(c_INSy,1,DH$7)-INDEX(c_INSy,1,INDEX('Lease Cycles'!$GC$21:$GI$21,1,DH231)+1)))/12)</f>
        <v>0</v>
      </c>
      <c r="DI242" s="28">
        <f>IF(DI241=0,0,DI241*MAX(0,(INDEX(c_CAMy,1,DI$7)-INDEX(c_CAMy,1,INDEX('Lease Cycles'!$GC$21:$GI$21,1,DI231)+1))*(1+'Lease Cycles'!$AK$21)+(INDEX(c_TAXy,1,DI$7)-INDEX(c_TAXy,1,INDEX('Lease Cycles'!$GC$21:$GI$21,1,DI231)+1))+(INDEX(c_INSy,1,DI$7)-INDEX(c_INSy,1,INDEX('Lease Cycles'!$GC$21:$GI$21,1,DI231)+1)))/12)</f>
        <v>0</v>
      </c>
      <c r="DJ242" s="28">
        <f>IF(DJ241=0,0,DJ241*MAX(0,(INDEX(c_CAMy,1,DJ$7)-INDEX(c_CAMy,1,INDEX('Lease Cycles'!$GC$21:$GI$21,1,DJ231)+1))*(1+'Lease Cycles'!$AK$21)+(INDEX(c_TAXy,1,DJ$7)-INDEX(c_TAXy,1,INDEX('Lease Cycles'!$GC$21:$GI$21,1,DJ231)+1))+(INDEX(c_INSy,1,DJ$7)-INDEX(c_INSy,1,INDEX('Lease Cycles'!$GC$21:$GI$21,1,DJ231)+1)))/12)</f>
        <v>0</v>
      </c>
      <c r="DK242" s="28">
        <f>IF(DK241=0,0,DK241*MAX(0,(INDEX(c_CAMy,1,DK$7)-INDEX(c_CAMy,1,INDEX('Lease Cycles'!$GC$21:$GI$21,1,DK231)+1))*(1+'Lease Cycles'!$AK$21)+(INDEX(c_TAXy,1,DK$7)-INDEX(c_TAXy,1,INDEX('Lease Cycles'!$GC$21:$GI$21,1,DK231)+1))+(INDEX(c_INSy,1,DK$7)-INDEX(c_INSy,1,INDEX('Lease Cycles'!$GC$21:$GI$21,1,DK231)+1)))/12)</f>
        <v>0</v>
      </c>
      <c r="DL242" s="28">
        <f>IF(DL241=0,0,DL241*MAX(0,(INDEX(c_CAMy,1,DL$7)-INDEX(c_CAMy,1,INDEX('Lease Cycles'!$GC$21:$GI$21,1,DL231)+1))*(1+'Lease Cycles'!$AK$21)+(INDEX(c_TAXy,1,DL$7)-INDEX(c_TAXy,1,INDEX('Lease Cycles'!$GC$21:$GI$21,1,DL231)+1))+(INDEX(c_INSy,1,DL$7)-INDEX(c_INSy,1,INDEX('Lease Cycles'!$GC$21:$GI$21,1,DL231)+1)))/12)</f>
        <v>0</v>
      </c>
      <c r="DM242" s="28">
        <f>IF(DM241=0,0,DM241*MAX(0,(INDEX(c_CAMy,1,DM$7)-INDEX(c_CAMy,1,INDEX('Lease Cycles'!$GC$21:$GI$21,1,DM231)+1))*(1+'Lease Cycles'!$AK$21)+(INDEX(c_TAXy,1,DM$7)-INDEX(c_TAXy,1,INDEX('Lease Cycles'!$GC$21:$GI$21,1,DM231)+1))+(INDEX(c_INSy,1,DM$7)-INDEX(c_INSy,1,INDEX('Lease Cycles'!$GC$21:$GI$21,1,DM231)+1)))/12)</f>
        <v>0</v>
      </c>
      <c r="DN242" s="28">
        <f>IF(DN241=0,0,DN241*MAX(0,(INDEX(c_CAMy,1,DN$7)-INDEX(c_CAMy,1,INDEX('Lease Cycles'!$GC$21:$GI$21,1,DN231)+1))*(1+'Lease Cycles'!$AK$21)+(INDEX(c_TAXy,1,DN$7)-INDEX(c_TAXy,1,INDEX('Lease Cycles'!$GC$21:$GI$21,1,DN231)+1))+(INDEX(c_INSy,1,DN$7)-INDEX(c_INSy,1,INDEX('Lease Cycles'!$GC$21:$GI$21,1,DN231)+1)))/12)</f>
        <v>0</v>
      </c>
      <c r="DO242" s="28">
        <f>IF(DO241=0,0,DO241*MAX(0,(INDEX(c_CAMy,1,DO$7)-INDEX(c_CAMy,1,INDEX('Lease Cycles'!$GC$21:$GI$21,1,DO231)+1))*(1+'Lease Cycles'!$AK$21)+(INDEX(c_TAXy,1,DO$7)-INDEX(c_TAXy,1,INDEX('Lease Cycles'!$GC$21:$GI$21,1,DO231)+1))+(INDEX(c_INSy,1,DO$7)-INDEX(c_INSy,1,INDEX('Lease Cycles'!$GC$21:$GI$21,1,DO231)+1)))/12)</f>
        <v>0</v>
      </c>
      <c r="DP242" s="28">
        <f>IF(DP241=0,0,DP241*MAX(0,(INDEX(c_CAMy,1,DP$7)-INDEX(c_CAMy,1,INDEX('Lease Cycles'!$GC$21:$GI$21,1,DP231)+1))*(1+'Lease Cycles'!$AK$21)+(INDEX(c_TAXy,1,DP$7)-INDEX(c_TAXy,1,INDEX('Lease Cycles'!$GC$21:$GI$21,1,DP231)+1))+(INDEX(c_INSy,1,DP$7)-INDEX(c_INSy,1,INDEX('Lease Cycles'!$GC$21:$GI$21,1,DP231)+1)))/12)</f>
        <v>0</v>
      </c>
      <c r="DQ242" s="28">
        <f>IF(DQ241=0,0,DQ241*MAX(0,(INDEX(c_CAMy,1,DQ$7)-INDEX(c_CAMy,1,INDEX('Lease Cycles'!$GC$21:$GI$21,1,DQ231)+1))*(1+'Lease Cycles'!$AK$21)+(INDEX(c_TAXy,1,DQ$7)-INDEX(c_TAXy,1,INDEX('Lease Cycles'!$GC$21:$GI$21,1,DQ231)+1))+(INDEX(c_INSy,1,DQ$7)-INDEX(c_INSy,1,INDEX('Lease Cycles'!$GC$21:$GI$21,1,DQ231)+1)))/12)</f>
        <v>0</v>
      </c>
      <c r="DR242" s="28">
        <f>IF(DR241=0,0,DR241*MAX(0,(INDEX(c_CAMy,1,DR$7)-INDEX(c_CAMy,1,INDEX('Lease Cycles'!$GC$21:$GI$21,1,DR231)+1))*(1+'Lease Cycles'!$AK$21)+(INDEX(c_TAXy,1,DR$7)-INDEX(c_TAXy,1,INDEX('Lease Cycles'!$GC$21:$GI$21,1,DR231)+1))+(INDEX(c_INSy,1,DR$7)-INDEX(c_INSy,1,INDEX('Lease Cycles'!$GC$21:$GI$21,1,DR231)+1)))/12)</f>
        <v>0</v>
      </c>
      <c r="DS242" s="28">
        <f>IF(DS241=0,0,DS241*MAX(0,(INDEX(c_CAMy,1,DS$7)-INDEX(c_CAMy,1,INDEX('Lease Cycles'!$GC$21:$GI$21,1,DS231)+1))*(1+'Lease Cycles'!$AK$21)+(INDEX(c_TAXy,1,DS$7)-INDEX(c_TAXy,1,INDEX('Lease Cycles'!$GC$21:$GI$21,1,DS231)+1))+(INDEX(c_INSy,1,DS$7)-INDEX(c_INSy,1,INDEX('Lease Cycles'!$GC$21:$GI$21,1,DS231)+1)))/12)</f>
        <v>0</v>
      </c>
      <c r="DT242" s="28">
        <f>IF(DT241=0,0,DT241*MAX(0,(INDEX(c_CAMy,1,DT$7)-INDEX(c_CAMy,1,INDEX('Lease Cycles'!$GC$21:$GI$21,1,DT231)+1))*(1+'Lease Cycles'!$AK$21)+(INDEX(c_TAXy,1,DT$7)-INDEX(c_TAXy,1,INDEX('Lease Cycles'!$GC$21:$GI$21,1,DT231)+1))+(INDEX(c_INSy,1,DT$7)-INDEX(c_INSy,1,INDEX('Lease Cycles'!$GC$21:$GI$21,1,DT231)+1)))/12)</f>
        <v>0</v>
      </c>
      <c r="DU242" s="28">
        <f>IF(DU241=0,0,DU241*MAX(0,(INDEX(c_CAMy,1,DU$7)-INDEX(c_CAMy,1,INDEX('Lease Cycles'!$GC$21:$GI$21,1,DU231)+1))*(1+'Lease Cycles'!$AK$21)+(INDEX(c_TAXy,1,DU$7)-INDEX(c_TAXy,1,INDEX('Lease Cycles'!$GC$21:$GI$21,1,DU231)+1))+(INDEX(c_INSy,1,DU$7)-INDEX(c_INSy,1,INDEX('Lease Cycles'!$GC$21:$GI$21,1,DU231)+1)))/12)</f>
        <v>0</v>
      </c>
      <c r="DV242" s="28">
        <f>IF(DV241=0,0,DV241*MAX(0,(INDEX(c_CAMy,1,DV$7)-INDEX(c_CAMy,1,INDEX('Lease Cycles'!$GC$21:$GI$21,1,DV231)+1))*(1+'Lease Cycles'!$AK$21)+(INDEX(c_TAXy,1,DV$7)-INDEX(c_TAXy,1,INDEX('Lease Cycles'!$GC$21:$GI$21,1,DV231)+1))+(INDEX(c_INSy,1,DV$7)-INDEX(c_INSy,1,INDEX('Lease Cycles'!$GC$21:$GI$21,1,DV231)+1)))/12)</f>
        <v>0</v>
      </c>
      <c r="DW242" s="28">
        <f>IF(DW241=0,0,DW241*MAX(0,(INDEX(c_CAMy,1,DW$7)-INDEX(c_CAMy,1,INDEX('Lease Cycles'!$GC$21:$GI$21,1,DW231)+1))*(1+'Lease Cycles'!$AK$21)+(INDEX(c_TAXy,1,DW$7)-INDEX(c_TAXy,1,INDEX('Lease Cycles'!$GC$21:$GI$21,1,DW231)+1))+(INDEX(c_INSy,1,DW$7)-INDEX(c_INSy,1,INDEX('Lease Cycles'!$GC$21:$GI$21,1,DW231)+1)))/12)</f>
        <v>0</v>
      </c>
      <c r="DX242" s="28">
        <f>IF(DX241=0,0,DX241*MAX(0,(INDEX(c_CAMy,1,DX$7)-INDEX(c_CAMy,1,INDEX('Lease Cycles'!$GC$21:$GI$21,1,DX231)+1))*(1+'Lease Cycles'!$AK$21)+(INDEX(c_TAXy,1,DX$7)-INDEX(c_TAXy,1,INDEX('Lease Cycles'!$GC$21:$GI$21,1,DX231)+1))+(INDEX(c_INSy,1,DX$7)-INDEX(c_INSy,1,INDEX('Lease Cycles'!$GC$21:$GI$21,1,DX231)+1)))/12)</f>
        <v>0</v>
      </c>
      <c r="DY242" s="28">
        <f>IF(DY241=0,0,DY241*MAX(0,(INDEX(c_CAMy,1,DY$7)-INDEX(c_CAMy,1,INDEX('Lease Cycles'!$GC$21:$GI$21,1,DY231)+1))*(1+'Lease Cycles'!$AK$21)+(INDEX(c_TAXy,1,DY$7)-INDEX(c_TAXy,1,INDEX('Lease Cycles'!$GC$21:$GI$21,1,DY231)+1))+(INDEX(c_INSy,1,DY$7)-INDEX(c_INSy,1,INDEX('Lease Cycles'!$GC$21:$GI$21,1,DY231)+1)))/12)</f>
        <v>0</v>
      </c>
      <c r="DZ242" s="28">
        <f>IF(DZ241=0,0,DZ241*MAX(0,(INDEX(c_CAMy,1,DZ$7)-INDEX(c_CAMy,1,INDEX('Lease Cycles'!$GC$21:$GI$21,1,DZ231)+1))*(1+'Lease Cycles'!$AK$21)+(INDEX(c_TAXy,1,DZ$7)-INDEX(c_TAXy,1,INDEX('Lease Cycles'!$GC$21:$GI$21,1,DZ231)+1))+(INDEX(c_INSy,1,DZ$7)-INDEX(c_INSy,1,INDEX('Lease Cycles'!$GC$21:$GI$21,1,DZ231)+1)))/12)</f>
        <v>0</v>
      </c>
      <c r="EA242" s="28">
        <f>IF(EA241=0,0,EA241*MAX(0,(INDEX(c_CAMy,1,EA$7)-INDEX(c_CAMy,1,INDEX('Lease Cycles'!$GC$21:$GI$21,1,EA231)+1))*(1+'Lease Cycles'!$AK$21)+(INDEX(c_TAXy,1,EA$7)-INDEX(c_TAXy,1,INDEX('Lease Cycles'!$GC$21:$GI$21,1,EA231)+1))+(INDEX(c_INSy,1,EA$7)-INDEX(c_INSy,1,INDEX('Lease Cycles'!$GC$21:$GI$21,1,EA231)+1)))/12)</f>
        <v>0</v>
      </c>
      <c r="EB242" s="28">
        <f>IF(EB241=0,0,EB241*MAX(0,(INDEX(c_CAMy,1,EB$7)-INDEX(c_CAMy,1,INDEX('Lease Cycles'!$GC$21:$GI$21,1,EB231)+1))*(1+'Lease Cycles'!$AK$21)+(INDEX(c_TAXy,1,EB$7)-INDEX(c_TAXy,1,INDEX('Lease Cycles'!$GC$21:$GI$21,1,EB231)+1))+(INDEX(c_INSy,1,EB$7)-INDEX(c_INSy,1,INDEX('Lease Cycles'!$GC$21:$GI$21,1,EB231)+1)))/12)</f>
        <v>0</v>
      </c>
      <c r="EC242" s="28">
        <f>IF(EC241=0,0,EC241*MAX(0,(INDEX(c_CAMy,1,EC$7)-INDEX(c_CAMy,1,INDEX('Lease Cycles'!$GC$21:$GI$21,1,EC231)+1))*(1+'Lease Cycles'!$AK$21)+(INDEX(c_TAXy,1,EC$7)-INDEX(c_TAXy,1,INDEX('Lease Cycles'!$GC$21:$GI$21,1,EC231)+1))+(INDEX(c_INSy,1,EC$7)-INDEX(c_INSy,1,INDEX('Lease Cycles'!$GC$21:$GI$21,1,EC231)+1)))/12)</f>
        <v>0</v>
      </c>
      <c r="ED242" s="28">
        <f>IF(ED241=0,0,ED241*MAX(0,(INDEX(c_CAMy,1,ED$7)-INDEX(c_CAMy,1,INDEX('Lease Cycles'!$GC$21:$GI$21,1,ED231)+1))*(1+'Lease Cycles'!$AK$21)+(INDEX(c_TAXy,1,ED$7)-INDEX(c_TAXy,1,INDEX('Lease Cycles'!$GC$21:$GI$21,1,ED231)+1))+(INDEX(c_INSy,1,ED$7)-INDEX(c_INSy,1,INDEX('Lease Cycles'!$GC$21:$GI$21,1,ED231)+1)))/12)</f>
        <v>0</v>
      </c>
      <c r="EE242" s="28">
        <f>IF(EE241=0,0,EE241*MAX(0,(INDEX(c_CAMy,1,EE$7)-INDEX(c_CAMy,1,INDEX('Lease Cycles'!$GC$21:$GI$21,1,EE231)+1))*(1+'Lease Cycles'!$AK$21)+(INDEX(c_TAXy,1,EE$7)-INDEX(c_TAXy,1,INDEX('Lease Cycles'!$GC$21:$GI$21,1,EE231)+1))+(INDEX(c_INSy,1,EE$7)-INDEX(c_INSy,1,INDEX('Lease Cycles'!$GC$21:$GI$21,1,EE231)+1)))/12)</f>
        <v>0</v>
      </c>
      <c r="EF242" s="28">
        <f>IF(EF241=0,0,EF241*MAX(0,(INDEX(c_CAMy,1,EF$7)-INDEX(c_CAMy,1,INDEX('Lease Cycles'!$GC$21:$GI$21,1,EF231)+1))*(1+'Lease Cycles'!$AK$21)+(INDEX(c_TAXy,1,EF$7)-INDEX(c_TAXy,1,INDEX('Lease Cycles'!$GC$21:$GI$21,1,EF231)+1))+(INDEX(c_INSy,1,EF$7)-INDEX(c_INSy,1,INDEX('Lease Cycles'!$GC$21:$GI$21,1,EF231)+1)))/12)</f>
        <v>0</v>
      </c>
      <c r="EG242" s="28">
        <f>IF(EG241=0,0,EG241*MAX(0,(INDEX(c_CAMy,1,EG$7)-INDEX(c_CAMy,1,INDEX('Lease Cycles'!$GC$21:$GI$21,1,EG231)+1))*(1+'Lease Cycles'!$AK$21)+(INDEX(c_TAXy,1,EG$7)-INDEX(c_TAXy,1,INDEX('Lease Cycles'!$GC$21:$GI$21,1,EG231)+1))+(INDEX(c_INSy,1,EG$7)-INDEX(c_INSy,1,INDEX('Lease Cycles'!$GC$21:$GI$21,1,EG231)+1)))/12)</f>
        <v>0</v>
      </c>
      <c r="EH242" s="28">
        <f>IF(EH241=0,0,EH241*MAX(0,(INDEX(c_CAMy,1,EH$7)-INDEX(c_CAMy,1,INDEX('Lease Cycles'!$GC$21:$GI$21,1,EH231)+1))*(1+'Lease Cycles'!$AK$21)+(INDEX(c_TAXy,1,EH$7)-INDEX(c_TAXy,1,INDEX('Lease Cycles'!$GC$21:$GI$21,1,EH231)+1))+(INDEX(c_INSy,1,EH$7)-INDEX(c_INSy,1,INDEX('Lease Cycles'!$GC$21:$GI$21,1,EH231)+1)))/12)</f>
        <v>0</v>
      </c>
      <c r="EI242" s="28">
        <f>IF(EI241=0,0,EI241*MAX(0,(INDEX(c_CAMy,1,EI$7)-INDEX(c_CAMy,1,INDEX('Lease Cycles'!$GC$21:$GI$21,1,EI231)+1))*(1+'Lease Cycles'!$AK$21)+(INDEX(c_TAXy,1,EI$7)-INDEX(c_TAXy,1,INDEX('Lease Cycles'!$GC$21:$GI$21,1,EI231)+1))+(INDEX(c_INSy,1,EI$7)-INDEX(c_INSy,1,INDEX('Lease Cycles'!$GC$21:$GI$21,1,EI231)+1)))/12)</f>
        <v>0</v>
      </c>
      <c r="EJ242" s="28">
        <f>IF(EJ241=0,0,EJ241*MAX(0,(INDEX(c_CAMy,1,EJ$7)-INDEX(c_CAMy,1,INDEX('Lease Cycles'!$GC$21:$GI$21,1,EJ231)+1))*(1+'Lease Cycles'!$AK$21)+(INDEX(c_TAXy,1,EJ$7)-INDEX(c_TAXy,1,INDEX('Lease Cycles'!$GC$21:$GI$21,1,EJ231)+1))+(INDEX(c_INSy,1,EJ$7)-INDEX(c_INSy,1,INDEX('Lease Cycles'!$GC$21:$GI$21,1,EJ231)+1)))/12)</f>
        <v>0</v>
      </c>
      <c r="EK242" s="28">
        <f>IF(EK241=0,0,EK241*MAX(0,(INDEX(c_CAMy,1,EK$7)-INDEX(c_CAMy,1,INDEX('Lease Cycles'!$GC$21:$GI$21,1,EK231)+1))*(1+'Lease Cycles'!$AK$21)+(INDEX(c_TAXy,1,EK$7)-INDEX(c_TAXy,1,INDEX('Lease Cycles'!$GC$21:$GI$21,1,EK231)+1))+(INDEX(c_INSy,1,EK$7)-INDEX(c_INSy,1,INDEX('Lease Cycles'!$GC$21:$GI$21,1,EK231)+1)))/12)</f>
        <v>0</v>
      </c>
      <c r="EL242" s="28">
        <f>IF(EL241=0,0,EL241*MAX(0,(INDEX(c_CAMy,1,EL$7)-INDEX(c_CAMy,1,INDEX('Lease Cycles'!$GC$21:$GI$21,1,EL231)+1))*(1+'Lease Cycles'!$AK$21)+(INDEX(c_TAXy,1,EL$7)-INDEX(c_TAXy,1,INDEX('Lease Cycles'!$GC$21:$GI$21,1,EL231)+1))+(INDEX(c_INSy,1,EL$7)-INDEX(c_INSy,1,INDEX('Lease Cycles'!$GC$21:$GI$21,1,EL231)+1)))/12)</f>
        <v>0</v>
      </c>
      <c r="EM242" s="28">
        <f>IF(EM241=0,0,EM241*MAX(0,(INDEX(c_CAMy,1,EM$7)-INDEX(c_CAMy,1,INDEX('Lease Cycles'!$GC$21:$GI$21,1,EM231)+1))*(1+'Lease Cycles'!$AK$21)+(INDEX(c_TAXy,1,EM$7)-INDEX(c_TAXy,1,INDEX('Lease Cycles'!$GC$21:$GI$21,1,EM231)+1))+(INDEX(c_INSy,1,EM$7)-INDEX(c_INSy,1,INDEX('Lease Cycles'!$GC$21:$GI$21,1,EM231)+1)))/12)</f>
        <v>0</v>
      </c>
      <c r="EN242" s="28">
        <f>IF(EN241=0,0,EN241*MAX(0,(INDEX(c_CAMy,1,EN$7)-INDEX(c_CAMy,1,INDEX('Lease Cycles'!$GC$21:$GI$21,1,EN231)+1))*(1+'Lease Cycles'!$AK$21)+(INDEX(c_TAXy,1,EN$7)-INDEX(c_TAXy,1,INDEX('Lease Cycles'!$GC$21:$GI$21,1,EN231)+1))+(INDEX(c_INSy,1,EN$7)-INDEX(c_INSy,1,INDEX('Lease Cycles'!$GC$21:$GI$21,1,EN231)+1)))/12)</f>
        <v>0</v>
      </c>
      <c r="EO242" s="28">
        <f>IF(EO241=0,0,EO241*MAX(0,(INDEX(c_CAMy,1,EO$7)-INDEX(c_CAMy,1,INDEX('Lease Cycles'!$GC$21:$GI$21,1,EO231)+1))*(1+'Lease Cycles'!$AK$21)+(INDEX(c_TAXy,1,EO$7)-INDEX(c_TAXy,1,INDEX('Lease Cycles'!$GC$21:$GI$21,1,EO231)+1))+(INDEX(c_INSy,1,EO$7)-INDEX(c_INSy,1,INDEX('Lease Cycles'!$GC$21:$GI$21,1,EO231)+1)))/12)</f>
        <v>0</v>
      </c>
      <c r="EP242" s="28">
        <f>IF(EP241=0,0,EP241*MAX(0,(INDEX(c_CAMy,1,EP$7)-INDEX(c_CAMy,1,INDEX('Lease Cycles'!$GC$21:$GI$21,1,EP231)+1))*(1+'Lease Cycles'!$AK$21)+(INDEX(c_TAXy,1,EP$7)-INDEX(c_TAXy,1,INDEX('Lease Cycles'!$GC$21:$GI$21,1,EP231)+1))+(INDEX(c_INSy,1,EP$7)-INDEX(c_INSy,1,INDEX('Lease Cycles'!$GC$21:$GI$21,1,EP231)+1)))/12)</f>
        <v>0</v>
      </c>
      <c r="EQ242" s="28">
        <f>IF(EQ241=0,0,EQ241*MAX(0,(INDEX(c_CAMy,1,EQ$7)-INDEX(c_CAMy,1,INDEX('Lease Cycles'!$GC$21:$GI$21,1,EQ231)+1))*(1+'Lease Cycles'!$AK$21)+(INDEX(c_TAXy,1,EQ$7)-INDEX(c_TAXy,1,INDEX('Lease Cycles'!$GC$21:$GI$21,1,EQ231)+1))+(INDEX(c_INSy,1,EQ$7)-INDEX(c_INSy,1,INDEX('Lease Cycles'!$GC$21:$GI$21,1,EQ231)+1)))/12)</f>
        <v>0</v>
      </c>
      <c r="ER242" s="28">
        <f>IF(ER241=0,0,ER241*MAX(0,(INDEX(c_CAMy,1,ER$7)-INDEX(c_CAMy,1,INDEX('Lease Cycles'!$GC$21:$GI$21,1,ER231)+1))*(1+'Lease Cycles'!$AK$21)+(INDEX(c_TAXy,1,ER$7)-INDEX(c_TAXy,1,INDEX('Lease Cycles'!$GC$21:$GI$21,1,ER231)+1))+(INDEX(c_INSy,1,ER$7)-INDEX(c_INSy,1,INDEX('Lease Cycles'!$GC$21:$GI$21,1,ER231)+1)))/12)</f>
        <v>0</v>
      </c>
      <c r="ES242" s="28">
        <f>IF(ES241=0,0,ES241*MAX(0,(INDEX(c_CAMy,1,ES$7)-INDEX(c_CAMy,1,INDEX('Lease Cycles'!$GC$21:$GI$21,1,ES231)+1))*(1+'Lease Cycles'!$AK$21)+(INDEX(c_TAXy,1,ES$7)-INDEX(c_TAXy,1,INDEX('Lease Cycles'!$GC$21:$GI$21,1,ES231)+1))+(INDEX(c_INSy,1,ES$7)-INDEX(c_INSy,1,INDEX('Lease Cycles'!$GC$21:$GI$21,1,ES231)+1)))/12)</f>
        <v>0</v>
      </c>
      <c r="ET242" s="28">
        <f>IF(ET241=0,0,ET241*MAX(0,(INDEX(c_CAMy,1,ET$7)-INDEX(c_CAMy,1,INDEX('Lease Cycles'!$GC$21:$GI$21,1,ET231)+1))*(1+'Lease Cycles'!$AK$21)+(INDEX(c_TAXy,1,ET$7)-INDEX(c_TAXy,1,INDEX('Lease Cycles'!$GC$21:$GI$21,1,ET231)+1))+(INDEX(c_INSy,1,ET$7)-INDEX(c_INSy,1,INDEX('Lease Cycles'!$GC$21:$GI$21,1,ET231)+1)))/12)</f>
        <v>0</v>
      </c>
    </row>
    <row r="243">
      <c r="A243" s="103">
        <v>14</v>
      </c>
      <c r="B243" s="23" t="str">
        <f>IF('Lease Cycles'!$B$21="","(empty slot)",'Lease Cycles'!$B$21)</f>
        <v>(empty slot)</v>
      </c>
      <c r="C243" s="23" t="s">
        <v>530</v>
      </c>
      <c r="D243" s="104" t="s">
        <v>531</v>
      </c>
      <c r="E243" s="25">
        <f>'Lease Cycles'!$AL$21</f>
        <v>0</v>
      </c>
      <c r="G243" s="28">
        <f>SUM(S243:AD243)</f>
        <v>0</v>
      </c>
      <c r="H243" s="28">
        <f>SUM(AE243:AP243)</f>
        <v>0</v>
      </c>
      <c r="I243" s="28">
        <f>SUM(AQ243:BB243)</f>
        <v>0</v>
      </c>
      <c r="J243" s="28">
        <f>SUM(BC243:BN243)</f>
        <v>0</v>
      </c>
      <c r="K243" s="28">
        <f>SUM(BO243:BZ243)</f>
        <v>0</v>
      </c>
      <c r="L243" s="28">
        <f>SUM(CA243:CL243)</f>
        <v>0</v>
      </c>
      <c r="M243" s="28">
        <f>SUM(CM243:CX243)</f>
        <v>0</v>
      </c>
      <c r="N243" s="28">
        <f>SUM(CY243:DJ243)</f>
        <v>0</v>
      </c>
      <c r="O243" s="28">
        <f>SUM(DK243:DV243)</f>
        <v>0</v>
      </c>
      <c r="P243" s="28">
        <f>SUM(DW243:EH243)</f>
        <v>0</v>
      </c>
      <c r="Q243" s="28">
        <f>SUM(EI243:ET243)</f>
        <v>0</v>
      </c>
      <c r="S243" s="28">
        <f>SUMIF('Lease Cycles'!$HL$21:$HR$21,S$6,'Lease Cycles'!$HS$21:$HY$21)</f>
        <v>0</v>
      </c>
      <c r="T243" s="28">
        <f>SUMIF('Lease Cycles'!$HL$21:$HR$21,T$6,'Lease Cycles'!$HS$21:$HY$21)</f>
        <v>0</v>
      </c>
      <c r="U243" s="28">
        <f>SUMIF('Lease Cycles'!$HL$21:$HR$21,U$6,'Lease Cycles'!$HS$21:$HY$21)</f>
        <v>0</v>
      </c>
      <c r="V243" s="28">
        <f>SUMIF('Lease Cycles'!$HL$21:$HR$21,V$6,'Lease Cycles'!$HS$21:$HY$21)</f>
        <v>0</v>
      </c>
      <c r="W243" s="28">
        <f>SUMIF('Lease Cycles'!$HL$21:$HR$21,W$6,'Lease Cycles'!$HS$21:$HY$21)</f>
        <v>0</v>
      </c>
      <c r="X243" s="28">
        <f>SUMIF('Lease Cycles'!$HL$21:$HR$21,X$6,'Lease Cycles'!$HS$21:$HY$21)</f>
        <v>0</v>
      </c>
      <c r="Y243" s="28">
        <f>SUMIF('Lease Cycles'!$HL$21:$HR$21,Y$6,'Lease Cycles'!$HS$21:$HY$21)</f>
        <v>0</v>
      </c>
      <c r="Z243" s="28">
        <f>SUMIF('Lease Cycles'!$HL$21:$HR$21,Z$6,'Lease Cycles'!$HS$21:$HY$21)</f>
        <v>0</v>
      </c>
      <c r="AA243" s="28">
        <f>SUMIF('Lease Cycles'!$HL$21:$HR$21,AA$6,'Lease Cycles'!$HS$21:$HY$21)</f>
        <v>0</v>
      </c>
      <c r="AB243" s="28">
        <f>SUMIF('Lease Cycles'!$HL$21:$HR$21,AB$6,'Lease Cycles'!$HS$21:$HY$21)</f>
        <v>0</v>
      </c>
      <c r="AC243" s="28">
        <f>SUMIF('Lease Cycles'!$HL$21:$HR$21,AC$6,'Lease Cycles'!$HS$21:$HY$21)</f>
        <v>0</v>
      </c>
      <c r="AD243" s="28">
        <f>SUMIF('Lease Cycles'!$HL$21:$HR$21,AD$6,'Lease Cycles'!$HS$21:$HY$21)</f>
        <v>0</v>
      </c>
      <c r="AE243" s="28">
        <f>SUMIF('Lease Cycles'!$HL$21:$HR$21,AE$6,'Lease Cycles'!$HS$21:$HY$21)</f>
        <v>0</v>
      </c>
      <c r="AF243" s="28">
        <f>SUMIF('Lease Cycles'!$HL$21:$HR$21,AF$6,'Lease Cycles'!$HS$21:$HY$21)</f>
        <v>0</v>
      </c>
      <c r="AG243" s="28">
        <f>SUMIF('Lease Cycles'!$HL$21:$HR$21,AG$6,'Lease Cycles'!$HS$21:$HY$21)</f>
        <v>0</v>
      </c>
      <c r="AH243" s="28">
        <f>SUMIF('Lease Cycles'!$HL$21:$HR$21,AH$6,'Lease Cycles'!$HS$21:$HY$21)</f>
        <v>0</v>
      </c>
      <c r="AI243" s="28">
        <f>SUMIF('Lease Cycles'!$HL$21:$HR$21,AI$6,'Lease Cycles'!$HS$21:$HY$21)</f>
        <v>0</v>
      </c>
      <c r="AJ243" s="28">
        <f>SUMIF('Lease Cycles'!$HL$21:$HR$21,AJ$6,'Lease Cycles'!$HS$21:$HY$21)</f>
        <v>0</v>
      </c>
      <c r="AK243" s="28">
        <f>SUMIF('Lease Cycles'!$HL$21:$HR$21,AK$6,'Lease Cycles'!$HS$21:$HY$21)</f>
        <v>0</v>
      </c>
      <c r="AL243" s="28">
        <f>SUMIF('Lease Cycles'!$HL$21:$HR$21,AL$6,'Lease Cycles'!$HS$21:$HY$21)</f>
        <v>0</v>
      </c>
      <c r="AM243" s="28">
        <f>SUMIF('Lease Cycles'!$HL$21:$HR$21,AM$6,'Lease Cycles'!$HS$21:$HY$21)</f>
        <v>0</v>
      </c>
      <c r="AN243" s="28">
        <f>SUMIF('Lease Cycles'!$HL$21:$HR$21,AN$6,'Lease Cycles'!$HS$21:$HY$21)</f>
        <v>0</v>
      </c>
      <c r="AO243" s="28">
        <f>SUMIF('Lease Cycles'!$HL$21:$HR$21,AO$6,'Lease Cycles'!$HS$21:$HY$21)</f>
        <v>0</v>
      </c>
      <c r="AP243" s="28">
        <f>SUMIF('Lease Cycles'!$HL$21:$HR$21,AP$6,'Lease Cycles'!$HS$21:$HY$21)</f>
        <v>0</v>
      </c>
      <c r="AQ243" s="28">
        <f>SUMIF('Lease Cycles'!$HL$21:$HR$21,AQ$6,'Lease Cycles'!$HS$21:$HY$21)</f>
        <v>0</v>
      </c>
      <c r="AR243" s="28">
        <f>SUMIF('Lease Cycles'!$HL$21:$HR$21,AR$6,'Lease Cycles'!$HS$21:$HY$21)</f>
        <v>0</v>
      </c>
      <c r="AS243" s="28">
        <f>SUMIF('Lease Cycles'!$HL$21:$HR$21,AS$6,'Lease Cycles'!$HS$21:$HY$21)</f>
        <v>0</v>
      </c>
      <c r="AT243" s="28">
        <f>SUMIF('Lease Cycles'!$HL$21:$HR$21,AT$6,'Lease Cycles'!$HS$21:$HY$21)</f>
        <v>0</v>
      </c>
      <c r="AU243" s="28">
        <f>SUMIF('Lease Cycles'!$HL$21:$HR$21,AU$6,'Lease Cycles'!$HS$21:$HY$21)</f>
        <v>0</v>
      </c>
      <c r="AV243" s="28">
        <f>SUMIF('Lease Cycles'!$HL$21:$HR$21,AV$6,'Lease Cycles'!$HS$21:$HY$21)</f>
        <v>0</v>
      </c>
      <c r="AW243" s="28">
        <f>SUMIF('Lease Cycles'!$HL$21:$HR$21,AW$6,'Lease Cycles'!$HS$21:$HY$21)</f>
        <v>0</v>
      </c>
      <c r="AX243" s="28">
        <f>SUMIF('Lease Cycles'!$HL$21:$HR$21,AX$6,'Lease Cycles'!$HS$21:$HY$21)</f>
        <v>0</v>
      </c>
      <c r="AY243" s="28">
        <f>SUMIF('Lease Cycles'!$HL$21:$HR$21,AY$6,'Lease Cycles'!$HS$21:$HY$21)</f>
        <v>0</v>
      </c>
      <c r="AZ243" s="28">
        <f>SUMIF('Lease Cycles'!$HL$21:$HR$21,AZ$6,'Lease Cycles'!$HS$21:$HY$21)</f>
        <v>0</v>
      </c>
      <c r="BA243" s="28">
        <f>SUMIF('Lease Cycles'!$HL$21:$HR$21,BA$6,'Lease Cycles'!$HS$21:$HY$21)</f>
        <v>0</v>
      </c>
      <c r="BB243" s="28">
        <f>SUMIF('Lease Cycles'!$HL$21:$HR$21,BB$6,'Lease Cycles'!$HS$21:$HY$21)</f>
        <v>0</v>
      </c>
      <c r="BC243" s="28">
        <f>SUMIF('Lease Cycles'!$HL$21:$HR$21,BC$6,'Lease Cycles'!$HS$21:$HY$21)</f>
        <v>0</v>
      </c>
      <c r="BD243" s="28">
        <f>SUMIF('Lease Cycles'!$HL$21:$HR$21,BD$6,'Lease Cycles'!$HS$21:$HY$21)</f>
        <v>0</v>
      </c>
      <c r="BE243" s="28">
        <f>SUMIF('Lease Cycles'!$HL$21:$HR$21,BE$6,'Lease Cycles'!$HS$21:$HY$21)</f>
        <v>0</v>
      </c>
      <c r="BF243" s="28">
        <f>SUMIF('Lease Cycles'!$HL$21:$HR$21,BF$6,'Lease Cycles'!$HS$21:$HY$21)</f>
        <v>0</v>
      </c>
      <c r="BG243" s="28">
        <f>SUMIF('Lease Cycles'!$HL$21:$HR$21,BG$6,'Lease Cycles'!$HS$21:$HY$21)</f>
        <v>0</v>
      </c>
      <c r="BH243" s="28">
        <f>SUMIF('Lease Cycles'!$HL$21:$HR$21,BH$6,'Lease Cycles'!$HS$21:$HY$21)</f>
        <v>0</v>
      </c>
      <c r="BI243" s="28">
        <f>SUMIF('Lease Cycles'!$HL$21:$HR$21,BI$6,'Lease Cycles'!$HS$21:$HY$21)</f>
        <v>0</v>
      </c>
      <c r="BJ243" s="28">
        <f>SUMIF('Lease Cycles'!$HL$21:$HR$21,BJ$6,'Lease Cycles'!$HS$21:$HY$21)</f>
        <v>0</v>
      </c>
      <c r="BK243" s="28">
        <f>SUMIF('Lease Cycles'!$HL$21:$HR$21,BK$6,'Lease Cycles'!$HS$21:$HY$21)</f>
        <v>0</v>
      </c>
      <c r="BL243" s="28">
        <f>SUMIF('Lease Cycles'!$HL$21:$HR$21,BL$6,'Lease Cycles'!$HS$21:$HY$21)</f>
        <v>0</v>
      </c>
      <c r="BM243" s="28">
        <f>SUMIF('Lease Cycles'!$HL$21:$HR$21,BM$6,'Lease Cycles'!$HS$21:$HY$21)</f>
        <v>0</v>
      </c>
      <c r="BN243" s="28">
        <f>SUMIF('Lease Cycles'!$HL$21:$HR$21,BN$6,'Lease Cycles'!$HS$21:$HY$21)</f>
        <v>0</v>
      </c>
      <c r="BO243" s="28">
        <f>SUMIF('Lease Cycles'!$HL$21:$HR$21,BO$6,'Lease Cycles'!$HS$21:$HY$21)</f>
        <v>0</v>
      </c>
      <c r="BP243" s="28">
        <f>SUMIF('Lease Cycles'!$HL$21:$HR$21,BP$6,'Lease Cycles'!$HS$21:$HY$21)</f>
        <v>0</v>
      </c>
      <c r="BQ243" s="28">
        <f>SUMIF('Lease Cycles'!$HL$21:$HR$21,BQ$6,'Lease Cycles'!$HS$21:$HY$21)</f>
        <v>0</v>
      </c>
      <c r="BR243" s="28">
        <f>SUMIF('Lease Cycles'!$HL$21:$HR$21,BR$6,'Lease Cycles'!$HS$21:$HY$21)</f>
        <v>0</v>
      </c>
      <c r="BS243" s="28">
        <f>SUMIF('Lease Cycles'!$HL$21:$HR$21,BS$6,'Lease Cycles'!$HS$21:$HY$21)</f>
        <v>0</v>
      </c>
      <c r="BT243" s="28">
        <f>SUMIF('Lease Cycles'!$HL$21:$HR$21,BT$6,'Lease Cycles'!$HS$21:$HY$21)</f>
        <v>0</v>
      </c>
      <c r="BU243" s="28">
        <f>SUMIF('Lease Cycles'!$HL$21:$HR$21,BU$6,'Lease Cycles'!$HS$21:$HY$21)</f>
        <v>0</v>
      </c>
      <c r="BV243" s="28">
        <f>SUMIF('Lease Cycles'!$HL$21:$HR$21,BV$6,'Lease Cycles'!$HS$21:$HY$21)</f>
        <v>0</v>
      </c>
      <c r="BW243" s="28">
        <f>SUMIF('Lease Cycles'!$HL$21:$HR$21,BW$6,'Lease Cycles'!$HS$21:$HY$21)</f>
        <v>0</v>
      </c>
      <c r="BX243" s="28">
        <f>SUMIF('Lease Cycles'!$HL$21:$HR$21,BX$6,'Lease Cycles'!$HS$21:$HY$21)</f>
        <v>0</v>
      </c>
      <c r="BY243" s="28">
        <f>SUMIF('Lease Cycles'!$HL$21:$HR$21,BY$6,'Lease Cycles'!$HS$21:$HY$21)</f>
        <v>0</v>
      </c>
      <c r="BZ243" s="28">
        <f>SUMIF('Lease Cycles'!$HL$21:$HR$21,BZ$6,'Lease Cycles'!$HS$21:$HY$21)</f>
        <v>0</v>
      </c>
      <c r="CA243" s="28">
        <f>SUMIF('Lease Cycles'!$HL$21:$HR$21,CA$6,'Lease Cycles'!$HS$21:$HY$21)</f>
        <v>0</v>
      </c>
      <c r="CB243" s="28">
        <f>SUMIF('Lease Cycles'!$HL$21:$HR$21,CB$6,'Lease Cycles'!$HS$21:$HY$21)</f>
        <v>0</v>
      </c>
      <c r="CC243" s="28">
        <f>SUMIF('Lease Cycles'!$HL$21:$HR$21,CC$6,'Lease Cycles'!$HS$21:$HY$21)</f>
        <v>0</v>
      </c>
      <c r="CD243" s="28">
        <f>SUMIF('Lease Cycles'!$HL$21:$HR$21,CD$6,'Lease Cycles'!$HS$21:$HY$21)</f>
        <v>0</v>
      </c>
      <c r="CE243" s="28">
        <f>SUMIF('Lease Cycles'!$HL$21:$HR$21,CE$6,'Lease Cycles'!$HS$21:$HY$21)</f>
        <v>0</v>
      </c>
      <c r="CF243" s="28">
        <f>SUMIF('Lease Cycles'!$HL$21:$HR$21,CF$6,'Lease Cycles'!$HS$21:$HY$21)</f>
        <v>0</v>
      </c>
      <c r="CG243" s="28">
        <f>SUMIF('Lease Cycles'!$HL$21:$HR$21,CG$6,'Lease Cycles'!$HS$21:$HY$21)</f>
        <v>0</v>
      </c>
      <c r="CH243" s="28">
        <f>SUMIF('Lease Cycles'!$HL$21:$HR$21,CH$6,'Lease Cycles'!$HS$21:$HY$21)</f>
        <v>0</v>
      </c>
      <c r="CI243" s="28">
        <f>SUMIF('Lease Cycles'!$HL$21:$HR$21,CI$6,'Lease Cycles'!$HS$21:$HY$21)</f>
        <v>0</v>
      </c>
      <c r="CJ243" s="28">
        <f>SUMIF('Lease Cycles'!$HL$21:$HR$21,CJ$6,'Lease Cycles'!$HS$21:$HY$21)</f>
        <v>0</v>
      </c>
      <c r="CK243" s="28">
        <f>SUMIF('Lease Cycles'!$HL$21:$HR$21,CK$6,'Lease Cycles'!$HS$21:$HY$21)</f>
        <v>0</v>
      </c>
      <c r="CL243" s="28">
        <f>SUMIF('Lease Cycles'!$HL$21:$HR$21,CL$6,'Lease Cycles'!$HS$21:$HY$21)</f>
        <v>0</v>
      </c>
      <c r="CM243" s="28">
        <f>SUMIF('Lease Cycles'!$HL$21:$HR$21,CM$6,'Lease Cycles'!$HS$21:$HY$21)</f>
        <v>0</v>
      </c>
      <c r="CN243" s="28">
        <f>SUMIF('Lease Cycles'!$HL$21:$HR$21,CN$6,'Lease Cycles'!$HS$21:$HY$21)</f>
        <v>0</v>
      </c>
      <c r="CO243" s="28">
        <f>SUMIF('Lease Cycles'!$HL$21:$HR$21,CO$6,'Lease Cycles'!$HS$21:$HY$21)</f>
        <v>0</v>
      </c>
      <c r="CP243" s="28">
        <f>SUMIF('Lease Cycles'!$HL$21:$HR$21,CP$6,'Lease Cycles'!$HS$21:$HY$21)</f>
        <v>0</v>
      </c>
      <c r="CQ243" s="28">
        <f>SUMIF('Lease Cycles'!$HL$21:$HR$21,CQ$6,'Lease Cycles'!$HS$21:$HY$21)</f>
        <v>0</v>
      </c>
      <c r="CR243" s="28">
        <f>SUMIF('Lease Cycles'!$HL$21:$HR$21,CR$6,'Lease Cycles'!$HS$21:$HY$21)</f>
        <v>0</v>
      </c>
      <c r="CS243" s="28">
        <f>SUMIF('Lease Cycles'!$HL$21:$HR$21,CS$6,'Lease Cycles'!$HS$21:$HY$21)</f>
        <v>0</v>
      </c>
      <c r="CT243" s="28">
        <f>SUMIF('Lease Cycles'!$HL$21:$HR$21,CT$6,'Lease Cycles'!$HS$21:$HY$21)</f>
        <v>0</v>
      </c>
      <c r="CU243" s="28">
        <f>SUMIF('Lease Cycles'!$HL$21:$HR$21,CU$6,'Lease Cycles'!$HS$21:$HY$21)</f>
        <v>0</v>
      </c>
      <c r="CV243" s="28">
        <f>SUMIF('Lease Cycles'!$HL$21:$HR$21,CV$6,'Lease Cycles'!$HS$21:$HY$21)</f>
        <v>0</v>
      </c>
      <c r="CW243" s="28">
        <f>SUMIF('Lease Cycles'!$HL$21:$HR$21,CW$6,'Lease Cycles'!$HS$21:$HY$21)</f>
        <v>0</v>
      </c>
      <c r="CX243" s="28">
        <f>SUMIF('Lease Cycles'!$HL$21:$HR$21,CX$6,'Lease Cycles'!$HS$21:$HY$21)</f>
        <v>0</v>
      </c>
      <c r="CY243" s="28">
        <f>SUMIF('Lease Cycles'!$HL$21:$HR$21,CY$6,'Lease Cycles'!$HS$21:$HY$21)</f>
        <v>0</v>
      </c>
      <c r="CZ243" s="28">
        <f>SUMIF('Lease Cycles'!$HL$21:$HR$21,CZ$6,'Lease Cycles'!$HS$21:$HY$21)</f>
        <v>0</v>
      </c>
      <c r="DA243" s="28">
        <f>SUMIF('Lease Cycles'!$HL$21:$HR$21,DA$6,'Lease Cycles'!$HS$21:$HY$21)</f>
        <v>0</v>
      </c>
      <c r="DB243" s="28">
        <f>SUMIF('Lease Cycles'!$HL$21:$HR$21,DB$6,'Lease Cycles'!$HS$21:$HY$21)</f>
        <v>0</v>
      </c>
      <c r="DC243" s="28">
        <f>SUMIF('Lease Cycles'!$HL$21:$HR$21,DC$6,'Lease Cycles'!$HS$21:$HY$21)</f>
        <v>0</v>
      </c>
      <c r="DD243" s="28">
        <f>SUMIF('Lease Cycles'!$HL$21:$HR$21,DD$6,'Lease Cycles'!$HS$21:$HY$21)</f>
        <v>0</v>
      </c>
      <c r="DE243" s="28">
        <f>SUMIF('Lease Cycles'!$HL$21:$HR$21,DE$6,'Lease Cycles'!$HS$21:$HY$21)</f>
        <v>0</v>
      </c>
      <c r="DF243" s="28">
        <f>SUMIF('Lease Cycles'!$HL$21:$HR$21,DF$6,'Lease Cycles'!$HS$21:$HY$21)</f>
        <v>0</v>
      </c>
      <c r="DG243" s="28">
        <f>SUMIF('Lease Cycles'!$HL$21:$HR$21,DG$6,'Lease Cycles'!$HS$21:$HY$21)</f>
        <v>0</v>
      </c>
      <c r="DH243" s="28">
        <f>SUMIF('Lease Cycles'!$HL$21:$HR$21,DH$6,'Lease Cycles'!$HS$21:$HY$21)</f>
        <v>0</v>
      </c>
      <c r="DI243" s="28">
        <f>SUMIF('Lease Cycles'!$HL$21:$HR$21,DI$6,'Lease Cycles'!$HS$21:$HY$21)</f>
        <v>0</v>
      </c>
      <c r="DJ243" s="28">
        <f>SUMIF('Lease Cycles'!$HL$21:$HR$21,DJ$6,'Lease Cycles'!$HS$21:$HY$21)</f>
        <v>0</v>
      </c>
      <c r="DK243" s="28">
        <f>SUMIF('Lease Cycles'!$HL$21:$HR$21,DK$6,'Lease Cycles'!$HS$21:$HY$21)</f>
        <v>0</v>
      </c>
      <c r="DL243" s="28">
        <f>SUMIF('Lease Cycles'!$HL$21:$HR$21,DL$6,'Lease Cycles'!$HS$21:$HY$21)</f>
        <v>0</v>
      </c>
      <c r="DM243" s="28">
        <f>SUMIF('Lease Cycles'!$HL$21:$HR$21,DM$6,'Lease Cycles'!$HS$21:$HY$21)</f>
        <v>0</v>
      </c>
      <c r="DN243" s="28">
        <f>SUMIF('Lease Cycles'!$HL$21:$HR$21,DN$6,'Lease Cycles'!$HS$21:$HY$21)</f>
        <v>0</v>
      </c>
      <c r="DO243" s="28">
        <f>SUMIF('Lease Cycles'!$HL$21:$HR$21,DO$6,'Lease Cycles'!$HS$21:$HY$21)</f>
        <v>0</v>
      </c>
      <c r="DP243" s="28">
        <f>SUMIF('Lease Cycles'!$HL$21:$HR$21,DP$6,'Lease Cycles'!$HS$21:$HY$21)</f>
        <v>0</v>
      </c>
      <c r="DQ243" s="28">
        <f>SUMIF('Lease Cycles'!$HL$21:$HR$21,DQ$6,'Lease Cycles'!$HS$21:$HY$21)</f>
        <v>0</v>
      </c>
      <c r="DR243" s="28">
        <f>SUMIF('Lease Cycles'!$HL$21:$HR$21,DR$6,'Lease Cycles'!$HS$21:$HY$21)</f>
        <v>0</v>
      </c>
      <c r="DS243" s="28">
        <f>SUMIF('Lease Cycles'!$HL$21:$HR$21,DS$6,'Lease Cycles'!$HS$21:$HY$21)</f>
        <v>0</v>
      </c>
      <c r="DT243" s="28">
        <f>SUMIF('Lease Cycles'!$HL$21:$HR$21,DT$6,'Lease Cycles'!$HS$21:$HY$21)</f>
        <v>0</v>
      </c>
      <c r="DU243" s="28">
        <f>SUMIF('Lease Cycles'!$HL$21:$HR$21,DU$6,'Lease Cycles'!$HS$21:$HY$21)</f>
        <v>0</v>
      </c>
      <c r="DV243" s="28">
        <f>SUMIF('Lease Cycles'!$HL$21:$HR$21,DV$6,'Lease Cycles'!$HS$21:$HY$21)</f>
        <v>0</v>
      </c>
      <c r="DW243" s="28">
        <f>SUMIF('Lease Cycles'!$HL$21:$HR$21,DW$6,'Lease Cycles'!$HS$21:$HY$21)</f>
        <v>0</v>
      </c>
      <c r="DX243" s="28">
        <f>SUMIF('Lease Cycles'!$HL$21:$HR$21,DX$6,'Lease Cycles'!$HS$21:$HY$21)</f>
        <v>0</v>
      </c>
      <c r="DY243" s="28">
        <f>SUMIF('Lease Cycles'!$HL$21:$HR$21,DY$6,'Lease Cycles'!$HS$21:$HY$21)</f>
        <v>0</v>
      </c>
      <c r="DZ243" s="28">
        <f>SUMIF('Lease Cycles'!$HL$21:$HR$21,DZ$6,'Lease Cycles'!$HS$21:$HY$21)</f>
        <v>0</v>
      </c>
      <c r="EA243" s="28">
        <f>SUMIF('Lease Cycles'!$HL$21:$HR$21,EA$6,'Lease Cycles'!$HS$21:$HY$21)</f>
        <v>0</v>
      </c>
      <c r="EB243" s="28">
        <f>SUMIF('Lease Cycles'!$HL$21:$HR$21,EB$6,'Lease Cycles'!$HS$21:$HY$21)</f>
        <v>0</v>
      </c>
      <c r="EC243" s="28">
        <f>SUMIF('Lease Cycles'!$HL$21:$HR$21,EC$6,'Lease Cycles'!$HS$21:$HY$21)</f>
        <v>0</v>
      </c>
      <c r="ED243" s="28">
        <f>SUMIF('Lease Cycles'!$HL$21:$HR$21,ED$6,'Lease Cycles'!$HS$21:$HY$21)</f>
        <v>0</v>
      </c>
      <c r="EE243" s="28">
        <f>SUMIF('Lease Cycles'!$HL$21:$HR$21,EE$6,'Lease Cycles'!$HS$21:$HY$21)</f>
        <v>0</v>
      </c>
      <c r="EF243" s="28">
        <f>SUMIF('Lease Cycles'!$HL$21:$HR$21,EF$6,'Lease Cycles'!$HS$21:$HY$21)</f>
        <v>0</v>
      </c>
      <c r="EG243" s="28">
        <f>SUMIF('Lease Cycles'!$HL$21:$HR$21,EG$6,'Lease Cycles'!$HS$21:$HY$21)</f>
        <v>0</v>
      </c>
      <c r="EH243" s="28">
        <f>SUMIF('Lease Cycles'!$HL$21:$HR$21,EH$6,'Lease Cycles'!$HS$21:$HY$21)</f>
        <v>0</v>
      </c>
      <c r="EI243" s="28">
        <f>SUMIF('Lease Cycles'!$HL$21:$HR$21,EI$6,'Lease Cycles'!$HS$21:$HY$21)</f>
        <v>0</v>
      </c>
      <c r="EJ243" s="28">
        <f>SUMIF('Lease Cycles'!$HL$21:$HR$21,EJ$6,'Lease Cycles'!$HS$21:$HY$21)</f>
        <v>0</v>
      </c>
      <c r="EK243" s="28">
        <f>SUMIF('Lease Cycles'!$HL$21:$HR$21,EK$6,'Lease Cycles'!$HS$21:$HY$21)</f>
        <v>0</v>
      </c>
      <c r="EL243" s="28">
        <f>SUMIF('Lease Cycles'!$HL$21:$HR$21,EL$6,'Lease Cycles'!$HS$21:$HY$21)</f>
        <v>0</v>
      </c>
      <c r="EM243" s="28">
        <f>SUMIF('Lease Cycles'!$HL$21:$HR$21,EM$6,'Lease Cycles'!$HS$21:$HY$21)</f>
        <v>0</v>
      </c>
      <c r="EN243" s="28">
        <f>SUMIF('Lease Cycles'!$HL$21:$HR$21,EN$6,'Lease Cycles'!$HS$21:$HY$21)</f>
        <v>0</v>
      </c>
      <c r="EO243" s="28">
        <f>SUMIF('Lease Cycles'!$HL$21:$HR$21,EO$6,'Lease Cycles'!$HS$21:$HY$21)</f>
        <v>0</v>
      </c>
      <c r="EP243" s="28">
        <f>SUMIF('Lease Cycles'!$HL$21:$HR$21,EP$6,'Lease Cycles'!$HS$21:$HY$21)</f>
        <v>0</v>
      </c>
      <c r="EQ243" s="28">
        <f>SUMIF('Lease Cycles'!$HL$21:$HR$21,EQ$6,'Lease Cycles'!$HS$21:$HY$21)</f>
        <v>0</v>
      </c>
      <c r="ER243" s="28">
        <f>SUMIF('Lease Cycles'!$HL$21:$HR$21,ER$6,'Lease Cycles'!$HS$21:$HY$21)</f>
        <v>0</v>
      </c>
      <c r="ES243" s="28">
        <f>SUMIF('Lease Cycles'!$HL$21:$HR$21,ES$6,'Lease Cycles'!$HS$21:$HY$21)</f>
        <v>0</v>
      </c>
      <c r="ET243" s="28">
        <f>SUMIF('Lease Cycles'!$HL$21:$HR$21,ET$6,'Lease Cycles'!$HS$21:$HY$21)</f>
        <v>0</v>
      </c>
    </row>
    <row r="244">
      <c r="A244" s="103">
        <v>14</v>
      </c>
      <c r="B244" s="23" t="str">
        <f>IF('Lease Cycles'!$B$21="","(empty slot)",'Lease Cycles'!$B$21)</f>
        <v>(empty slot)</v>
      </c>
      <c r="C244" s="23" t="s">
        <v>532</v>
      </c>
      <c r="D244" s="104" t="s">
        <v>533</v>
      </c>
      <c r="E244" s="25">
        <f>'Lease Cycles'!$AL$21</f>
        <v>0</v>
      </c>
      <c r="G244" s="28">
        <f>SUM(S244:AD244)</f>
        <v>0</v>
      </c>
      <c r="H244" s="28">
        <f>SUM(AE244:AP244)</f>
        <v>0</v>
      </c>
      <c r="I244" s="28">
        <f>SUM(AQ244:BB244)</f>
        <v>0</v>
      </c>
      <c r="J244" s="28">
        <f>SUM(BC244:BN244)</f>
        <v>0</v>
      </c>
      <c r="K244" s="28">
        <f>SUM(BO244:BZ244)</f>
        <v>0</v>
      </c>
      <c r="L244" s="28">
        <f>SUM(CA244:CL244)</f>
        <v>0</v>
      </c>
      <c r="M244" s="28">
        <f>SUM(CM244:CX244)</f>
        <v>0</v>
      </c>
      <c r="N244" s="28">
        <f>SUM(CY244:DJ244)</f>
        <v>0</v>
      </c>
      <c r="O244" s="28">
        <f>SUM(DK244:DV244)</f>
        <v>0</v>
      </c>
      <c r="P244" s="28">
        <f>SUM(DW244:EH244)</f>
        <v>0</v>
      </c>
      <c r="Q244" s="28">
        <f>SUM(EI244:ET244)</f>
        <v>0</v>
      </c>
      <c r="S244" s="28">
        <f>SUMIF('Lease Cycles'!$HL$21:$HR$21,S$6,'Lease Cycles'!$HZ$21:$IF$21)</f>
        <v>0</v>
      </c>
      <c r="T244" s="28">
        <f>SUMIF('Lease Cycles'!$HL$21:$HR$21,T$6,'Lease Cycles'!$HZ$21:$IF$21)</f>
        <v>0</v>
      </c>
      <c r="U244" s="28">
        <f>SUMIF('Lease Cycles'!$HL$21:$HR$21,U$6,'Lease Cycles'!$HZ$21:$IF$21)</f>
        <v>0</v>
      </c>
      <c r="V244" s="28">
        <f>SUMIF('Lease Cycles'!$HL$21:$HR$21,V$6,'Lease Cycles'!$HZ$21:$IF$21)</f>
        <v>0</v>
      </c>
      <c r="W244" s="28">
        <f>SUMIF('Lease Cycles'!$HL$21:$HR$21,W$6,'Lease Cycles'!$HZ$21:$IF$21)</f>
        <v>0</v>
      </c>
      <c r="X244" s="28">
        <f>SUMIF('Lease Cycles'!$HL$21:$HR$21,X$6,'Lease Cycles'!$HZ$21:$IF$21)</f>
        <v>0</v>
      </c>
      <c r="Y244" s="28">
        <f>SUMIF('Lease Cycles'!$HL$21:$HR$21,Y$6,'Lease Cycles'!$HZ$21:$IF$21)</f>
        <v>0</v>
      </c>
      <c r="Z244" s="28">
        <f>SUMIF('Lease Cycles'!$HL$21:$HR$21,Z$6,'Lease Cycles'!$HZ$21:$IF$21)</f>
        <v>0</v>
      </c>
      <c r="AA244" s="28">
        <f>SUMIF('Lease Cycles'!$HL$21:$HR$21,AA$6,'Lease Cycles'!$HZ$21:$IF$21)</f>
        <v>0</v>
      </c>
      <c r="AB244" s="28">
        <f>SUMIF('Lease Cycles'!$HL$21:$HR$21,AB$6,'Lease Cycles'!$HZ$21:$IF$21)</f>
        <v>0</v>
      </c>
      <c r="AC244" s="28">
        <f>SUMIF('Lease Cycles'!$HL$21:$HR$21,AC$6,'Lease Cycles'!$HZ$21:$IF$21)</f>
        <v>0</v>
      </c>
      <c r="AD244" s="28">
        <f>SUMIF('Lease Cycles'!$HL$21:$HR$21,AD$6,'Lease Cycles'!$HZ$21:$IF$21)</f>
        <v>0</v>
      </c>
      <c r="AE244" s="28">
        <f>SUMIF('Lease Cycles'!$HL$21:$HR$21,AE$6,'Lease Cycles'!$HZ$21:$IF$21)</f>
        <v>0</v>
      </c>
      <c r="AF244" s="28">
        <f>SUMIF('Lease Cycles'!$HL$21:$HR$21,AF$6,'Lease Cycles'!$HZ$21:$IF$21)</f>
        <v>0</v>
      </c>
      <c r="AG244" s="28">
        <f>SUMIF('Lease Cycles'!$HL$21:$HR$21,AG$6,'Lease Cycles'!$HZ$21:$IF$21)</f>
        <v>0</v>
      </c>
      <c r="AH244" s="28">
        <f>SUMIF('Lease Cycles'!$HL$21:$HR$21,AH$6,'Lease Cycles'!$HZ$21:$IF$21)</f>
        <v>0</v>
      </c>
      <c r="AI244" s="28">
        <f>SUMIF('Lease Cycles'!$HL$21:$HR$21,AI$6,'Lease Cycles'!$HZ$21:$IF$21)</f>
        <v>0</v>
      </c>
      <c r="AJ244" s="28">
        <f>SUMIF('Lease Cycles'!$HL$21:$HR$21,AJ$6,'Lease Cycles'!$HZ$21:$IF$21)</f>
        <v>0</v>
      </c>
      <c r="AK244" s="28">
        <f>SUMIF('Lease Cycles'!$HL$21:$HR$21,AK$6,'Lease Cycles'!$HZ$21:$IF$21)</f>
        <v>0</v>
      </c>
      <c r="AL244" s="28">
        <f>SUMIF('Lease Cycles'!$HL$21:$HR$21,AL$6,'Lease Cycles'!$HZ$21:$IF$21)</f>
        <v>0</v>
      </c>
      <c r="AM244" s="28">
        <f>SUMIF('Lease Cycles'!$HL$21:$HR$21,AM$6,'Lease Cycles'!$HZ$21:$IF$21)</f>
        <v>0</v>
      </c>
      <c r="AN244" s="28">
        <f>SUMIF('Lease Cycles'!$HL$21:$HR$21,AN$6,'Lease Cycles'!$HZ$21:$IF$21)</f>
        <v>0</v>
      </c>
      <c r="AO244" s="28">
        <f>SUMIF('Lease Cycles'!$HL$21:$HR$21,AO$6,'Lease Cycles'!$HZ$21:$IF$21)</f>
        <v>0</v>
      </c>
      <c r="AP244" s="28">
        <f>SUMIF('Lease Cycles'!$HL$21:$HR$21,AP$6,'Lease Cycles'!$HZ$21:$IF$21)</f>
        <v>0</v>
      </c>
      <c r="AQ244" s="28">
        <f>SUMIF('Lease Cycles'!$HL$21:$HR$21,AQ$6,'Lease Cycles'!$HZ$21:$IF$21)</f>
        <v>0</v>
      </c>
      <c r="AR244" s="28">
        <f>SUMIF('Lease Cycles'!$HL$21:$HR$21,AR$6,'Lease Cycles'!$HZ$21:$IF$21)</f>
        <v>0</v>
      </c>
      <c r="AS244" s="28">
        <f>SUMIF('Lease Cycles'!$HL$21:$HR$21,AS$6,'Lease Cycles'!$HZ$21:$IF$21)</f>
        <v>0</v>
      </c>
      <c r="AT244" s="28">
        <f>SUMIF('Lease Cycles'!$HL$21:$HR$21,AT$6,'Lease Cycles'!$HZ$21:$IF$21)</f>
        <v>0</v>
      </c>
      <c r="AU244" s="28">
        <f>SUMIF('Lease Cycles'!$HL$21:$HR$21,AU$6,'Lease Cycles'!$HZ$21:$IF$21)</f>
        <v>0</v>
      </c>
      <c r="AV244" s="28">
        <f>SUMIF('Lease Cycles'!$HL$21:$HR$21,AV$6,'Lease Cycles'!$HZ$21:$IF$21)</f>
        <v>0</v>
      </c>
      <c r="AW244" s="28">
        <f>SUMIF('Lease Cycles'!$HL$21:$HR$21,AW$6,'Lease Cycles'!$HZ$21:$IF$21)</f>
        <v>0</v>
      </c>
      <c r="AX244" s="28">
        <f>SUMIF('Lease Cycles'!$HL$21:$HR$21,AX$6,'Lease Cycles'!$HZ$21:$IF$21)</f>
        <v>0</v>
      </c>
      <c r="AY244" s="28">
        <f>SUMIF('Lease Cycles'!$HL$21:$HR$21,AY$6,'Lease Cycles'!$HZ$21:$IF$21)</f>
        <v>0</v>
      </c>
      <c r="AZ244" s="28">
        <f>SUMIF('Lease Cycles'!$HL$21:$HR$21,AZ$6,'Lease Cycles'!$HZ$21:$IF$21)</f>
        <v>0</v>
      </c>
      <c r="BA244" s="28">
        <f>SUMIF('Lease Cycles'!$HL$21:$HR$21,BA$6,'Lease Cycles'!$HZ$21:$IF$21)</f>
        <v>0</v>
      </c>
      <c r="BB244" s="28">
        <f>SUMIF('Lease Cycles'!$HL$21:$HR$21,BB$6,'Lease Cycles'!$HZ$21:$IF$21)</f>
        <v>0</v>
      </c>
      <c r="BC244" s="28">
        <f>SUMIF('Lease Cycles'!$HL$21:$HR$21,BC$6,'Lease Cycles'!$HZ$21:$IF$21)</f>
        <v>0</v>
      </c>
      <c r="BD244" s="28">
        <f>SUMIF('Lease Cycles'!$HL$21:$HR$21,BD$6,'Lease Cycles'!$HZ$21:$IF$21)</f>
        <v>0</v>
      </c>
      <c r="BE244" s="28">
        <f>SUMIF('Lease Cycles'!$HL$21:$HR$21,BE$6,'Lease Cycles'!$HZ$21:$IF$21)</f>
        <v>0</v>
      </c>
      <c r="BF244" s="28">
        <f>SUMIF('Lease Cycles'!$HL$21:$HR$21,BF$6,'Lease Cycles'!$HZ$21:$IF$21)</f>
        <v>0</v>
      </c>
      <c r="BG244" s="28">
        <f>SUMIF('Lease Cycles'!$HL$21:$HR$21,BG$6,'Lease Cycles'!$HZ$21:$IF$21)</f>
        <v>0</v>
      </c>
      <c r="BH244" s="28">
        <f>SUMIF('Lease Cycles'!$HL$21:$HR$21,BH$6,'Lease Cycles'!$HZ$21:$IF$21)</f>
        <v>0</v>
      </c>
      <c r="BI244" s="28">
        <f>SUMIF('Lease Cycles'!$HL$21:$HR$21,BI$6,'Lease Cycles'!$HZ$21:$IF$21)</f>
        <v>0</v>
      </c>
      <c r="BJ244" s="28">
        <f>SUMIF('Lease Cycles'!$HL$21:$HR$21,BJ$6,'Lease Cycles'!$HZ$21:$IF$21)</f>
        <v>0</v>
      </c>
      <c r="BK244" s="28">
        <f>SUMIF('Lease Cycles'!$HL$21:$HR$21,BK$6,'Lease Cycles'!$HZ$21:$IF$21)</f>
        <v>0</v>
      </c>
      <c r="BL244" s="28">
        <f>SUMIF('Lease Cycles'!$HL$21:$HR$21,BL$6,'Lease Cycles'!$HZ$21:$IF$21)</f>
        <v>0</v>
      </c>
      <c r="BM244" s="28">
        <f>SUMIF('Lease Cycles'!$HL$21:$HR$21,BM$6,'Lease Cycles'!$HZ$21:$IF$21)</f>
        <v>0</v>
      </c>
      <c r="BN244" s="28">
        <f>SUMIF('Lease Cycles'!$HL$21:$HR$21,BN$6,'Lease Cycles'!$HZ$21:$IF$21)</f>
        <v>0</v>
      </c>
      <c r="BO244" s="28">
        <f>SUMIF('Lease Cycles'!$HL$21:$HR$21,BO$6,'Lease Cycles'!$HZ$21:$IF$21)</f>
        <v>0</v>
      </c>
      <c r="BP244" s="28">
        <f>SUMIF('Lease Cycles'!$HL$21:$HR$21,BP$6,'Lease Cycles'!$HZ$21:$IF$21)</f>
        <v>0</v>
      </c>
      <c r="BQ244" s="28">
        <f>SUMIF('Lease Cycles'!$HL$21:$HR$21,BQ$6,'Lease Cycles'!$HZ$21:$IF$21)</f>
        <v>0</v>
      </c>
      <c r="BR244" s="28">
        <f>SUMIF('Lease Cycles'!$HL$21:$HR$21,BR$6,'Lease Cycles'!$HZ$21:$IF$21)</f>
        <v>0</v>
      </c>
      <c r="BS244" s="28">
        <f>SUMIF('Lease Cycles'!$HL$21:$HR$21,BS$6,'Lease Cycles'!$HZ$21:$IF$21)</f>
        <v>0</v>
      </c>
      <c r="BT244" s="28">
        <f>SUMIF('Lease Cycles'!$HL$21:$HR$21,BT$6,'Lease Cycles'!$HZ$21:$IF$21)</f>
        <v>0</v>
      </c>
      <c r="BU244" s="28">
        <f>SUMIF('Lease Cycles'!$HL$21:$HR$21,BU$6,'Lease Cycles'!$HZ$21:$IF$21)</f>
        <v>0</v>
      </c>
      <c r="BV244" s="28">
        <f>SUMIF('Lease Cycles'!$HL$21:$HR$21,BV$6,'Lease Cycles'!$HZ$21:$IF$21)</f>
        <v>0</v>
      </c>
      <c r="BW244" s="28">
        <f>SUMIF('Lease Cycles'!$HL$21:$HR$21,BW$6,'Lease Cycles'!$HZ$21:$IF$21)</f>
        <v>0</v>
      </c>
      <c r="BX244" s="28">
        <f>SUMIF('Lease Cycles'!$HL$21:$HR$21,BX$6,'Lease Cycles'!$HZ$21:$IF$21)</f>
        <v>0</v>
      </c>
      <c r="BY244" s="28">
        <f>SUMIF('Lease Cycles'!$HL$21:$HR$21,BY$6,'Lease Cycles'!$HZ$21:$IF$21)</f>
        <v>0</v>
      </c>
      <c r="BZ244" s="28">
        <f>SUMIF('Lease Cycles'!$HL$21:$HR$21,BZ$6,'Lease Cycles'!$HZ$21:$IF$21)</f>
        <v>0</v>
      </c>
      <c r="CA244" s="28">
        <f>SUMIF('Lease Cycles'!$HL$21:$HR$21,CA$6,'Lease Cycles'!$HZ$21:$IF$21)</f>
        <v>0</v>
      </c>
      <c r="CB244" s="28">
        <f>SUMIF('Lease Cycles'!$HL$21:$HR$21,CB$6,'Lease Cycles'!$HZ$21:$IF$21)</f>
        <v>0</v>
      </c>
      <c r="CC244" s="28">
        <f>SUMIF('Lease Cycles'!$HL$21:$HR$21,CC$6,'Lease Cycles'!$HZ$21:$IF$21)</f>
        <v>0</v>
      </c>
      <c r="CD244" s="28">
        <f>SUMIF('Lease Cycles'!$HL$21:$HR$21,CD$6,'Lease Cycles'!$HZ$21:$IF$21)</f>
        <v>0</v>
      </c>
      <c r="CE244" s="28">
        <f>SUMIF('Lease Cycles'!$HL$21:$HR$21,CE$6,'Lease Cycles'!$HZ$21:$IF$21)</f>
        <v>0</v>
      </c>
      <c r="CF244" s="28">
        <f>SUMIF('Lease Cycles'!$HL$21:$HR$21,CF$6,'Lease Cycles'!$HZ$21:$IF$21)</f>
        <v>0</v>
      </c>
      <c r="CG244" s="28">
        <f>SUMIF('Lease Cycles'!$HL$21:$HR$21,CG$6,'Lease Cycles'!$HZ$21:$IF$21)</f>
        <v>0</v>
      </c>
      <c r="CH244" s="28">
        <f>SUMIF('Lease Cycles'!$HL$21:$HR$21,CH$6,'Lease Cycles'!$HZ$21:$IF$21)</f>
        <v>0</v>
      </c>
      <c r="CI244" s="28">
        <f>SUMIF('Lease Cycles'!$HL$21:$HR$21,CI$6,'Lease Cycles'!$HZ$21:$IF$21)</f>
        <v>0</v>
      </c>
      <c r="CJ244" s="28">
        <f>SUMIF('Lease Cycles'!$HL$21:$HR$21,CJ$6,'Lease Cycles'!$HZ$21:$IF$21)</f>
        <v>0</v>
      </c>
      <c r="CK244" s="28">
        <f>SUMIF('Lease Cycles'!$HL$21:$HR$21,CK$6,'Lease Cycles'!$HZ$21:$IF$21)</f>
        <v>0</v>
      </c>
      <c r="CL244" s="28">
        <f>SUMIF('Lease Cycles'!$HL$21:$HR$21,CL$6,'Lease Cycles'!$HZ$21:$IF$21)</f>
        <v>0</v>
      </c>
      <c r="CM244" s="28">
        <f>SUMIF('Lease Cycles'!$HL$21:$HR$21,CM$6,'Lease Cycles'!$HZ$21:$IF$21)</f>
        <v>0</v>
      </c>
      <c r="CN244" s="28">
        <f>SUMIF('Lease Cycles'!$HL$21:$HR$21,CN$6,'Lease Cycles'!$HZ$21:$IF$21)</f>
        <v>0</v>
      </c>
      <c r="CO244" s="28">
        <f>SUMIF('Lease Cycles'!$HL$21:$HR$21,CO$6,'Lease Cycles'!$HZ$21:$IF$21)</f>
        <v>0</v>
      </c>
      <c r="CP244" s="28">
        <f>SUMIF('Lease Cycles'!$HL$21:$HR$21,CP$6,'Lease Cycles'!$HZ$21:$IF$21)</f>
        <v>0</v>
      </c>
      <c r="CQ244" s="28">
        <f>SUMIF('Lease Cycles'!$HL$21:$HR$21,CQ$6,'Lease Cycles'!$HZ$21:$IF$21)</f>
        <v>0</v>
      </c>
      <c r="CR244" s="28">
        <f>SUMIF('Lease Cycles'!$HL$21:$HR$21,CR$6,'Lease Cycles'!$HZ$21:$IF$21)</f>
        <v>0</v>
      </c>
      <c r="CS244" s="28">
        <f>SUMIF('Lease Cycles'!$HL$21:$HR$21,CS$6,'Lease Cycles'!$HZ$21:$IF$21)</f>
        <v>0</v>
      </c>
      <c r="CT244" s="28">
        <f>SUMIF('Lease Cycles'!$HL$21:$HR$21,CT$6,'Lease Cycles'!$HZ$21:$IF$21)</f>
        <v>0</v>
      </c>
      <c r="CU244" s="28">
        <f>SUMIF('Lease Cycles'!$HL$21:$HR$21,CU$6,'Lease Cycles'!$HZ$21:$IF$21)</f>
        <v>0</v>
      </c>
      <c r="CV244" s="28">
        <f>SUMIF('Lease Cycles'!$HL$21:$HR$21,CV$6,'Lease Cycles'!$HZ$21:$IF$21)</f>
        <v>0</v>
      </c>
      <c r="CW244" s="28">
        <f>SUMIF('Lease Cycles'!$HL$21:$HR$21,CW$6,'Lease Cycles'!$HZ$21:$IF$21)</f>
        <v>0</v>
      </c>
      <c r="CX244" s="28">
        <f>SUMIF('Lease Cycles'!$HL$21:$HR$21,CX$6,'Lease Cycles'!$HZ$21:$IF$21)</f>
        <v>0</v>
      </c>
      <c r="CY244" s="28">
        <f>SUMIF('Lease Cycles'!$HL$21:$HR$21,CY$6,'Lease Cycles'!$HZ$21:$IF$21)</f>
        <v>0</v>
      </c>
      <c r="CZ244" s="28">
        <f>SUMIF('Lease Cycles'!$HL$21:$HR$21,CZ$6,'Lease Cycles'!$HZ$21:$IF$21)</f>
        <v>0</v>
      </c>
      <c r="DA244" s="28">
        <f>SUMIF('Lease Cycles'!$HL$21:$HR$21,DA$6,'Lease Cycles'!$HZ$21:$IF$21)</f>
        <v>0</v>
      </c>
      <c r="DB244" s="28">
        <f>SUMIF('Lease Cycles'!$HL$21:$HR$21,DB$6,'Lease Cycles'!$HZ$21:$IF$21)</f>
        <v>0</v>
      </c>
      <c r="DC244" s="28">
        <f>SUMIF('Lease Cycles'!$HL$21:$HR$21,DC$6,'Lease Cycles'!$HZ$21:$IF$21)</f>
        <v>0</v>
      </c>
      <c r="DD244" s="28">
        <f>SUMIF('Lease Cycles'!$HL$21:$HR$21,DD$6,'Lease Cycles'!$HZ$21:$IF$21)</f>
        <v>0</v>
      </c>
      <c r="DE244" s="28">
        <f>SUMIF('Lease Cycles'!$HL$21:$HR$21,DE$6,'Lease Cycles'!$HZ$21:$IF$21)</f>
        <v>0</v>
      </c>
      <c r="DF244" s="28">
        <f>SUMIF('Lease Cycles'!$HL$21:$HR$21,DF$6,'Lease Cycles'!$HZ$21:$IF$21)</f>
        <v>0</v>
      </c>
      <c r="DG244" s="28">
        <f>SUMIF('Lease Cycles'!$HL$21:$HR$21,DG$6,'Lease Cycles'!$HZ$21:$IF$21)</f>
        <v>0</v>
      </c>
      <c r="DH244" s="28">
        <f>SUMIF('Lease Cycles'!$HL$21:$HR$21,DH$6,'Lease Cycles'!$HZ$21:$IF$21)</f>
        <v>0</v>
      </c>
      <c r="DI244" s="28">
        <f>SUMIF('Lease Cycles'!$HL$21:$HR$21,DI$6,'Lease Cycles'!$HZ$21:$IF$21)</f>
        <v>0</v>
      </c>
      <c r="DJ244" s="28">
        <f>SUMIF('Lease Cycles'!$HL$21:$HR$21,DJ$6,'Lease Cycles'!$HZ$21:$IF$21)</f>
        <v>0</v>
      </c>
      <c r="DK244" s="28">
        <f>SUMIF('Lease Cycles'!$HL$21:$HR$21,DK$6,'Lease Cycles'!$HZ$21:$IF$21)</f>
        <v>0</v>
      </c>
      <c r="DL244" s="28">
        <f>SUMIF('Lease Cycles'!$HL$21:$HR$21,DL$6,'Lease Cycles'!$HZ$21:$IF$21)</f>
        <v>0</v>
      </c>
      <c r="DM244" s="28">
        <f>SUMIF('Lease Cycles'!$HL$21:$HR$21,DM$6,'Lease Cycles'!$HZ$21:$IF$21)</f>
        <v>0</v>
      </c>
      <c r="DN244" s="28">
        <f>SUMIF('Lease Cycles'!$HL$21:$HR$21,DN$6,'Lease Cycles'!$HZ$21:$IF$21)</f>
        <v>0</v>
      </c>
      <c r="DO244" s="28">
        <f>SUMIF('Lease Cycles'!$HL$21:$HR$21,DO$6,'Lease Cycles'!$HZ$21:$IF$21)</f>
        <v>0</v>
      </c>
      <c r="DP244" s="28">
        <f>SUMIF('Lease Cycles'!$HL$21:$HR$21,DP$6,'Lease Cycles'!$HZ$21:$IF$21)</f>
        <v>0</v>
      </c>
      <c r="DQ244" s="28">
        <f>SUMIF('Lease Cycles'!$HL$21:$HR$21,DQ$6,'Lease Cycles'!$HZ$21:$IF$21)</f>
        <v>0</v>
      </c>
      <c r="DR244" s="28">
        <f>SUMIF('Lease Cycles'!$HL$21:$HR$21,DR$6,'Lease Cycles'!$HZ$21:$IF$21)</f>
        <v>0</v>
      </c>
      <c r="DS244" s="28">
        <f>SUMIF('Lease Cycles'!$HL$21:$HR$21,DS$6,'Lease Cycles'!$HZ$21:$IF$21)</f>
        <v>0</v>
      </c>
      <c r="DT244" s="28">
        <f>SUMIF('Lease Cycles'!$HL$21:$HR$21,DT$6,'Lease Cycles'!$HZ$21:$IF$21)</f>
        <v>0</v>
      </c>
      <c r="DU244" s="28">
        <f>SUMIF('Lease Cycles'!$HL$21:$HR$21,DU$6,'Lease Cycles'!$HZ$21:$IF$21)</f>
        <v>0</v>
      </c>
      <c r="DV244" s="28">
        <f>SUMIF('Lease Cycles'!$HL$21:$HR$21,DV$6,'Lease Cycles'!$HZ$21:$IF$21)</f>
        <v>0</v>
      </c>
      <c r="DW244" s="28">
        <f>SUMIF('Lease Cycles'!$HL$21:$HR$21,DW$6,'Lease Cycles'!$HZ$21:$IF$21)</f>
        <v>0</v>
      </c>
      <c r="DX244" s="28">
        <f>SUMIF('Lease Cycles'!$HL$21:$HR$21,DX$6,'Lease Cycles'!$HZ$21:$IF$21)</f>
        <v>0</v>
      </c>
      <c r="DY244" s="28">
        <f>SUMIF('Lease Cycles'!$HL$21:$HR$21,DY$6,'Lease Cycles'!$HZ$21:$IF$21)</f>
        <v>0</v>
      </c>
      <c r="DZ244" s="28">
        <f>SUMIF('Lease Cycles'!$HL$21:$HR$21,DZ$6,'Lease Cycles'!$HZ$21:$IF$21)</f>
        <v>0</v>
      </c>
      <c r="EA244" s="28">
        <f>SUMIF('Lease Cycles'!$HL$21:$HR$21,EA$6,'Lease Cycles'!$HZ$21:$IF$21)</f>
        <v>0</v>
      </c>
      <c r="EB244" s="28">
        <f>SUMIF('Lease Cycles'!$HL$21:$HR$21,EB$6,'Lease Cycles'!$HZ$21:$IF$21)</f>
        <v>0</v>
      </c>
      <c r="EC244" s="28">
        <f>SUMIF('Lease Cycles'!$HL$21:$HR$21,EC$6,'Lease Cycles'!$HZ$21:$IF$21)</f>
        <v>0</v>
      </c>
      <c r="ED244" s="28">
        <f>SUMIF('Lease Cycles'!$HL$21:$HR$21,ED$6,'Lease Cycles'!$HZ$21:$IF$21)</f>
        <v>0</v>
      </c>
      <c r="EE244" s="28">
        <f>SUMIF('Lease Cycles'!$HL$21:$HR$21,EE$6,'Lease Cycles'!$HZ$21:$IF$21)</f>
        <v>0</v>
      </c>
      <c r="EF244" s="28">
        <f>SUMIF('Lease Cycles'!$HL$21:$HR$21,EF$6,'Lease Cycles'!$HZ$21:$IF$21)</f>
        <v>0</v>
      </c>
      <c r="EG244" s="28">
        <f>SUMIF('Lease Cycles'!$HL$21:$HR$21,EG$6,'Lease Cycles'!$HZ$21:$IF$21)</f>
        <v>0</v>
      </c>
      <c r="EH244" s="28">
        <f>SUMIF('Lease Cycles'!$HL$21:$HR$21,EH$6,'Lease Cycles'!$HZ$21:$IF$21)</f>
        <v>0</v>
      </c>
      <c r="EI244" s="28">
        <f>SUMIF('Lease Cycles'!$HL$21:$HR$21,EI$6,'Lease Cycles'!$HZ$21:$IF$21)</f>
        <v>0</v>
      </c>
      <c r="EJ244" s="28">
        <f>SUMIF('Lease Cycles'!$HL$21:$HR$21,EJ$6,'Lease Cycles'!$HZ$21:$IF$21)</f>
        <v>0</v>
      </c>
      <c r="EK244" s="28">
        <f>SUMIF('Lease Cycles'!$HL$21:$HR$21,EK$6,'Lease Cycles'!$HZ$21:$IF$21)</f>
        <v>0</v>
      </c>
      <c r="EL244" s="28">
        <f>SUMIF('Lease Cycles'!$HL$21:$HR$21,EL$6,'Lease Cycles'!$HZ$21:$IF$21)</f>
        <v>0</v>
      </c>
      <c r="EM244" s="28">
        <f>SUMIF('Lease Cycles'!$HL$21:$HR$21,EM$6,'Lease Cycles'!$HZ$21:$IF$21)</f>
        <v>0</v>
      </c>
      <c r="EN244" s="28">
        <f>SUMIF('Lease Cycles'!$HL$21:$HR$21,EN$6,'Lease Cycles'!$HZ$21:$IF$21)</f>
        <v>0</v>
      </c>
      <c r="EO244" s="28">
        <f>SUMIF('Lease Cycles'!$HL$21:$HR$21,EO$6,'Lease Cycles'!$HZ$21:$IF$21)</f>
        <v>0</v>
      </c>
      <c r="EP244" s="28">
        <f>SUMIF('Lease Cycles'!$HL$21:$HR$21,EP$6,'Lease Cycles'!$HZ$21:$IF$21)</f>
        <v>0</v>
      </c>
      <c r="EQ244" s="28">
        <f>SUMIF('Lease Cycles'!$HL$21:$HR$21,EQ$6,'Lease Cycles'!$HZ$21:$IF$21)</f>
        <v>0</v>
      </c>
      <c r="ER244" s="28">
        <f>SUMIF('Lease Cycles'!$HL$21:$HR$21,ER$6,'Lease Cycles'!$HZ$21:$IF$21)</f>
        <v>0</v>
      </c>
      <c r="ES244" s="28">
        <f>SUMIF('Lease Cycles'!$HL$21:$HR$21,ES$6,'Lease Cycles'!$HZ$21:$IF$21)</f>
        <v>0</v>
      </c>
      <c r="ET244" s="28">
        <f>SUMIF('Lease Cycles'!$HL$21:$HR$21,ET$6,'Lease Cycles'!$HZ$21:$IF$21)</f>
        <v>0</v>
      </c>
    </row>
    <row r="245">
      <c r="A245" s="103">
        <v>14</v>
      </c>
      <c r="B245" s="23" t="str">
        <f>IF('Lease Cycles'!$B$21="","(empty slot)",'Lease Cycles'!$B$21)</f>
        <v>(empty slot)</v>
      </c>
      <c r="C245" s="23" t="s">
        <v>691</v>
      </c>
      <c r="D245" s="104" t="s">
        <v>692</v>
      </c>
      <c r="E245" s="25">
        <f>'Lease Cycles'!$AL$21</f>
        <v>0</v>
      </c>
      <c r="G245" s="28">
        <f>SUM(S245:AD245)</f>
        <v>0</v>
      </c>
      <c r="H245" s="28">
        <f>SUM(AE245:AP245)</f>
        <v>0</v>
      </c>
      <c r="I245" s="28">
        <f>SUM(AQ245:BB245)</f>
        <v>0</v>
      </c>
      <c r="J245" s="28">
        <f>SUM(BC245:BN245)</f>
        <v>0</v>
      </c>
      <c r="K245" s="28">
        <f>SUM(BO245:BZ245)</f>
        <v>0</v>
      </c>
      <c r="L245" s="28">
        <f>SUM(CA245:CL245)</f>
        <v>0</v>
      </c>
      <c r="M245" s="28">
        <f>SUM(CM245:CX245)</f>
        <v>0</v>
      </c>
      <c r="N245" s="28">
        <f>SUM(CY245:DJ245)</f>
        <v>0</v>
      </c>
      <c r="O245" s="28">
        <f>SUM(DK245:DV245)</f>
        <v>0</v>
      </c>
      <c r="P245" s="28">
        <f>SUM(DW245:EH245)</f>
        <v>0</v>
      </c>
      <c r="Q245" s="28">
        <f>SUM(EI245:ET245)</f>
        <v>0</v>
      </c>
      <c r="S245" s="28">
        <f>IF(S$6='Lease Cycles'!$HL$21,'Lease Cycles'!$HS$21+'Lease Cycles'!$HZ$21,0)</f>
        <v>0</v>
      </c>
      <c r="T245" s="28">
        <f>IF(T$6='Lease Cycles'!$HL$21,'Lease Cycles'!$HS$21+'Lease Cycles'!$HZ$21,0)</f>
        <v>0</v>
      </c>
      <c r="U245" s="28">
        <f>IF(U$6='Lease Cycles'!$HL$21,'Lease Cycles'!$HS$21+'Lease Cycles'!$HZ$21,0)</f>
        <v>0</v>
      </c>
      <c r="V245" s="28">
        <f>IF(V$6='Lease Cycles'!$HL$21,'Lease Cycles'!$HS$21+'Lease Cycles'!$HZ$21,0)</f>
        <v>0</v>
      </c>
      <c r="W245" s="28">
        <f>IF(W$6='Lease Cycles'!$HL$21,'Lease Cycles'!$HS$21+'Lease Cycles'!$HZ$21,0)</f>
        <v>0</v>
      </c>
      <c r="X245" s="28">
        <f>IF(X$6='Lease Cycles'!$HL$21,'Lease Cycles'!$HS$21+'Lease Cycles'!$HZ$21,0)</f>
        <v>0</v>
      </c>
      <c r="Y245" s="28">
        <f>IF(Y$6='Lease Cycles'!$HL$21,'Lease Cycles'!$HS$21+'Lease Cycles'!$HZ$21,0)</f>
        <v>0</v>
      </c>
      <c r="Z245" s="28">
        <f>IF(Z$6='Lease Cycles'!$HL$21,'Lease Cycles'!$HS$21+'Lease Cycles'!$HZ$21,0)</f>
        <v>0</v>
      </c>
      <c r="AA245" s="28">
        <f>IF(AA$6='Lease Cycles'!$HL$21,'Lease Cycles'!$HS$21+'Lease Cycles'!$HZ$21,0)</f>
        <v>0</v>
      </c>
      <c r="AB245" s="28">
        <f>IF(AB$6='Lease Cycles'!$HL$21,'Lease Cycles'!$HS$21+'Lease Cycles'!$HZ$21,0)</f>
        <v>0</v>
      </c>
      <c r="AC245" s="28">
        <f>IF(AC$6='Lease Cycles'!$HL$21,'Lease Cycles'!$HS$21+'Lease Cycles'!$HZ$21,0)</f>
        <v>0</v>
      </c>
      <c r="AD245" s="28">
        <f>IF(AD$6='Lease Cycles'!$HL$21,'Lease Cycles'!$HS$21+'Lease Cycles'!$HZ$21,0)</f>
        <v>0</v>
      </c>
      <c r="AE245" s="28">
        <f>IF(AE$6='Lease Cycles'!$HL$21,'Lease Cycles'!$HS$21+'Lease Cycles'!$HZ$21,0)</f>
        <v>0</v>
      </c>
      <c r="AF245" s="28">
        <f>IF(AF$6='Lease Cycles'!$HL$21,'Lease Cycles'!$HS$21+'Lease Cycles'!$HZ$21,0)</f>
        <v>0</v>
      </c>
      <c r="AG245" s="28">
        <f>IF(AG$6='Lease Cycles'!$HL$21,'Lease Cycles'!$HS$21+'Lease Cycles'!$HZ$21,0)</f>
        <v>0</v>
      </c>
      <c r="AH245" s="28">
        <f>IF(AH$6='Lease Cycles'!$HL$21,'Lease Cycles'!$HS$21+'Lease Cycles'!$HZ$21,0)</f>
        <v>0</v>
      </c>
      <c r="AI245" s="28">
        <f>IF(AI$6='Lease Cycles'!$HL$21,'Lease Cycles'!$HS$21+'Lease Cycles'!$HZ$21,0)</f>
        <v>0</v>
      </c>
      <c r="AJ245" s="28">
        <f>IF(AJ$6='Lease Cycles'!$HL$21,'Lease Cycles'!$HS$21+'Lease Cycles'!$HZ$21,0)</f>
        <v>0</v>
      </c>
      <c r="AK245" s="28">
        <f>IF(AK$6='Lease Cycles'!$HL$21,'Lease Cycles'!$HS$21+'Lease Cycles'!$HZ$21,0)</f>
        <v>0</v>
      </c>
      <c r="AL245" s="28">
        <f>IF(AL$6='Lease Cycles'!$HL$21,'Lease Cycles'!$HS$21+'Lease Cycles'!$HZ$21,0)</f>
        <v>0</v>
      </c>
      <c r="AM245" s="28">
        <f>IF(AM$6='Lease Cycles'!$HL$21,'Lease Cycles'!$HS$21+'Lease Cycles'!$HZ$21,0)</f>
        <v>0</v>
      </c>
      <c r="AN245" s="28">
        <f>IF(AN$6='Lease Cycles'!$HL$21,'Lease Cycles'!$HS$21+'Lease Cycles'!$HZ$21,0)</f>
        <v>0</v>
      </c>
      <c r="AO245" s="28">
        <f>IF(AO$6='Lease Cycles'!$HL$21,'Lease Cycles'!$HS$21+'Lease Cycles'!$HZ$21,0)</f>
        <v>0</v>
      </c>
      <c r="AP245" s="28">
        <f>IF(AP$6='Lease Cycles'!$HL$21,'Lease Cycles'!$HS$21+'Lease Cycles'!$HZ$21,0)</f>
        <v>0</v>
      </c>
      <c r="AQ245" s="28">
        <f>IF(AQ$6='Lease Cycles'!$HL$21,'Lease Cycles'!$HS$21+'Lease Cycles'!$HZ$21,0)</f>
        <v>0</v>
      </c>
      <c r="AR245" s="28">
        <f>IF(AR$6='Lease Cycles'!$HL$21,'Lease Cycles'!$HS$21+'Lease Cycles'!$HZ$21,0)</f>
        <v>0</v>
      </c>
      <c r="AS245" s="28">
        <f>IF(AS$6='Lease Cycles'!$HL$21,'Lease Cycles'!$HS$21+'Lease Cycles'!$HZ$21,0)</f>
        <v>0</v>
      </c>
      <c r="AT245" s="28">
        <f>IF(AT$6='Lease Cycles'!$HL$21,'Lease Cycles'!$HS$21+'Lease Cycles'!$HZ$21,0)</f>
        <v>0</v>
      </c>
      <c r="AU245" s="28">
        <f>IF(AU$6='Lease Cycles'!$HL$21,'Lease Cycles'!$HS$21+'Lease Cycles'!$HZ$21,0)</f>
        <v>0</v>
      </c>
      <c r="AV245" s="28">
        <f>IF(AV$6='Lease Cycles'!$HL$21,'Lease Cycles'!$HS$21+'Lease Cycles'!$HZ$21,0)</f>
        <v>0</v>
      </c>
      <c r="AW245" s="28">
        <f>IF(AW$6='Lease Cycles'!$HL$21,'Lease Cycles'!$HS$21+'Lease Cycles'!$HZ$21,0)</f>
        <v>0</v>
      </c>
      <c r="AX245" s="28">
        <f>IF(AX$6='Lease Cycles'!$HL$21,'Lease Cycles'!$HS$21+'Lease Cycles'!$HZ$21,0)</f>
        <v>0</v>
      </c>
      <c r="AY245" s="28">
        <f>IF(AY$6='Lease Cycles'!$HL$21,'Lease Cycles'!$HS$21+'Lease Cycles'!$HZ$21,0)</f>
        <v>0</v>
      </c>
      <c r="AZ245" s="28">
        <f>IF(AZ$6='Lease Cycles'!$HL$21,'Lease Cycles'!$HS$21+'Lease Cycles'!$HZ$21,0)</f>
        <v>0</v>
      </c>
      <c r="BA245" s="28">
        <f>IF(BA$6='Lease Cycles'!$HL$21,'Lease Cycles'!$HS$21+'Lease Cycles'!$HZ$21,0)</f>
        <v>0</v>
      </c>
      <c r="BB245" s="28">
        <f>IF(BB$6='Lease Cycles'!$HL$21,'Lease Cycles'!$HS$21+'Lease Cycles'!$HZ$21,0)</f>
        <v>0</v>
      </c>
      <c r="BC245" s="28">
        <f>IF(BC$6='Lease Cycles'!$HL$21,'Lease Cycles'!$HS$21+'Lease Cycles'!$HZ$21,0)</f>
        <v>0</v>
      </c>
      <c r="BD245" s="28">
        <f>IF(BD$6='Lease Cycles'!$HL$21,'Lease Cycles'!$HS$21+'Lease Cycles'!$HZ$21,0)</f>
        <v>0</v>
      </c>
      <c r="BE245" s="28">
        <f>IF(BE$6='Lease Cycles'!$HL$21,'Lease Cycles'!$HS$21+'Lease Cycles'!$HZ$21,0)</f>
        <v>0</v>
      </c>
      <c r="BF245" s="28">
        <f>IF(BF$6='Lease Cycles'!$HL$21,'Lease Cycles'!$HS$21+'Lease Cycles'!$HZ$21,0)</f>
        <v>0</v>
      </c>
      <c r="BG245" s="28">
        <f>IF(BG$6='Lease Cycles'!$HL$21,'Lease Cycles'!$HS$21+'Lease Cycles'!$HZ$21,0)</f>
        <v>0</v>
      </c>
      <c r="BH245" s="28">
        <f>IF(BH$6='Lease Cycles'!$HL$21,'Lease Cycles'!$HS$21+'Lease Cycles'!$HZ$21,0)</f>
        <v>0</v>
      </c>
      <c r="BI245" s="28">
        <f>IF(BI$6='Lease Cycles'!$HL$21,'Lease Cycles'!$HS$21+'Lease Cycles'!$HZ$21,0)</f>
        <v>0</v>
      </c>
      <c r="BJ245" s="28">
        <f>IF(BJ$6='Lease Cycles'!$HL$21,'Lease Cycles'!$HS$21+'Lease Cycles'!$HZ$21,0)</f>
        <v>0</v>
      </c>
      <c r="BK245" s="28">
        <f>IF(BK$6='Lease Cycles'!$HL$21,'Lease Cycles'!$HS$21+'Lease Cycles'!$HZ$21,0)</f>
        <v>0</v>
      </c>
      <c r="BL245" s="28">
        <f>IF(BL$6='Lease Cycles'!$HL$21,'Lease Cycles'!$HS$21+'Lease Cycles'!$HZ$21,0)</f>
        <v>0</v>
      </c>
      <c r="BM245" s="28">
        <f>IF(BM$6='Lease Cycles'!$HL$21,'Lease Cycles'!$HS$21+'Lease Cycles'!$HZ$21,0)</f>
        <v>0</v>
      </c>
      <c r="BN245" s="28">
        <f>IF(BN$6='Lease Cycles'!$HL$21,'Lease Cycles'!$HS$21+'Lease Cycles'!$HZ$21,0)</f>
        <v>0</v>
      </c>
      <c r="BO245" s="28">
        <f>IF(BO$6='Lease Cycles'!$HL$21,'Lease Cycles'!$HS$21+'Lease Cycles'!$HZ$21,0)</f>
        <v>0</v>
      </c>
      <c r="BP245" s="28">
        <f>IF(BP$6='Lease Cycles'!$HL$21,'Lease Cycles'!$HS$21+'Lease Cycles'!$HZ$21,0)</f>
        <v>0</v>
      </c>
      <c r="BQ245" s="28">
        <f>IF(BQ$6='Lease Cycles'!$HL$21,'Lease Cycles'!$HS$21+'Lease Cycles'!$HZ$21,0)</f>
        <v>0</v>
      </c>
      <c r="BR245" s="28">
        <f>IF(BR$6='Lease Cycles'!$HL$21,'Lease Cycles'!$HS$21+'Lease Cycles'!$HZ$21,0)</f>
        <v>0</v>
      </c>
      <c r="BS245" s="28">
        <f>IF(BS$6='Lease Cycles'!$HL$21,'Lease Cycles'!$HS$21+'Lease Cycles'!$HZ$21,0)</f>
        <v>0</v>
      </c>
      <c r="BT245" s="28">
        <f>IF(BT$6='Lease Cycles'!$HL$21,'Lease Cycles'!$HS$21+'Lease Cycles'!$HZ$21,0)</f>
        <v>0</v>
      </c>
      <c r="BU245" s="28">
        <f>IF(BU$6='Lease Cycles'!$HL$21,'Lease Cycles'!$HS$21+'Lease Cycles'!$HZ$21,0)</f>
        <v>0</v>
      </c>
      <c r="BV245" s="28">
        <f>IF(BV$6='Lease Cycles'!$HL$21,'Lease Cycles'!$HS$21+'Lease Cycles'!$HZ$21,0)</f>
        <v>0</v>
      </c>
      <c r="BW245" s="28">
        <f>IF(BW$6='Lease Cycles'!$HL$21,'Lease Cycles'!$HS$21+'Lease Cycles'!$HZ$21,0)</f>
        <v>0</v>
      </c>
      <c r="BX245" s="28">
        <f>IF(BX$6='Lease Cycles'!$HL$21,'Lease Cycles'!$HS$21+'Lease Cycles'!$HZ$21,0)</f>
        <v>0</v>
      </c>
      <c r="BY245" s="28">
        <f>IF(BY$6='Lease Cycles'!$HL$21,'Lease Cycles'!$HS$21+'Lease Cycles'!$HZ$21,0)</f>
        <v>0</v>
      </c>
      <c r="BZ245" s="28">
        <f>IF(BZ$6='Lease Cycles'!$HL$21,'Lease Cycles'!$HS$21+'Lease Cycles'!$HZ$21,0)</f>
        <v>0</v>
      </c>
      <c r="CA245" s="28">
        <f>IF(CA$6='Lease Cycles'!$HL$21,'Lease Cycles'!$HS$21+'Lease Cycles'!$HZ$21,0)</f>
        <v>0</v>
      </c>
      <c r="CB245" s="28">
        <f>IF(CB$6='Lease Cycles'!$HL$21,'Lease Cycles'!$HS$21+'Lease Cycles'!$HZ$21,0)</f>
        <v>0</v>
      </c>
      <c r="CC245" s="28">
        <f>IF(CC$6='Lease Cycles'!$HL$21,'Lease Cycles'!$HS$21+'Lease Cycles'!$HZ$21,0)</f>
        <v>0</v>
      </c>
      <c r="CD245" s="28">
        <f>IF(CD$6='Lease Cycles'!$HL$21,'Lease Cycles'!$HS$21+'Lease Cycles'!$HZ$21,0)</f>
        <v>0</v>
      </c>
      <c r="CE245" s="28">
        <f>IF(CE$6='Lease Cycles'!$HL$21,'Lease Cycles'!$HS$21+'Lease Cycles'!$HZ$21,0)</f>
        <v>0</v>
      </c>
      <c r="CF245" s="28">
        <f>IF(CF$6='Lease Cycles'!$HL$21,'Lease Cycles'!$HS$21+'Lease Cycles'!$HZ$21,0)</f>
        <v>0</v>
      </c>
      <c r="CG245" s="28">
        <f>IF(CG$6='Lease Cycles'!$HL$21,'Lease Cycles'!$HS$21+'Lease Cycles'!$HZ$21,0)</f>
        <v>0</v>
      </c>
      <c r="CH245" s="28">
        <f>IF(CH$6='Lease Cycles'!$HL$21,'Lease Cycles'!$HS$21+'Lease Cycles'!$HZ$21,0)</f>
        <v>0</v>
      </c>
      <c r="CI245" s="28">
        <f>IF(CI$6='Lease Cycles'!$HL$21,'Lease Cycles'!$HS$21+'Lease Cycles'!$HZ$21,0)</f>
        <v>0</v>
      </c>
      <c r="CJ245" s="28">
        <f>IF(CJ$6='Lease Cycles'!$HL$21,'Lease Cycles'!$HS$21+'Lease Cycles'!$HZ$21,0)</f>
        <v>0</v>
      </c>
      <c r="CK245" s="28">
        <f>IF(CK$6='Lease Cycles'!$HL$21,'Lease Cycles'!$HS$21+'Lease Cycles'!$HZ$21,0)</f>
        <v>0</v>
      </c>
      <c r="CL245" s="28">
        <f>IF(CL$6='Lease Cycles'!$HL$21,'Lease Cycles'!$HS$21+'Lease Cycles'!$HZ$21,0)</f>
        <v>0</v>
      </c>
      <c r="CM245" s="28">
        <f>IF(CM$6='Lease Cycles'!$HL$21,'Lease Cycles'!$HS$21+'Lease Cycles'!$HZ$21,0)</f>
        <v>0</v>
      </c>
      <c r="CN245" s="28">
        <f>IF(CN$6='Lease Cycles'!$HL$21,'Lease Cycles'!$HS$21+'Lease Cycles'!$HZ$21,0)</f>
        <v>0</v>
      </c>
      <c r="CO245" s="28">
        <f>IF(CO$6='Lease Cycles'!$HL$21,'Lease Cycles'!$HS$21+'Lease Cycles'!$HZ$21,0)</f>
        <v>0</v>
      </c>
      <c r="CP245" s="28">
        <f>IF(CP$6='Lease Cycles'!$HL$21,'Lease Cycles'!$HS$21+'Lease Cycles'!$HZ$21,0)</f>
        <v>0</v>
      </c>
      <c r="CQ245" s="28">
        <f>IF(CQ$6='Lease Cycles'!$HL$21,'Lease Cycles'!$HS$21+'Lease Cycles'!$HZ$21,0)</f>
        <v>0</v>
      </c>
      <c r="CR245" s="28">
        <f>IF(CR$6='Lease Cycles'!$HL$21,'Lease Cycles'!$HS$21+'Lease Cycles'!$HZ$21,0)</f>
        <v>0</v>
      </c>
      <c r="CS245" s="28">
        <f>IF(CS$6='Lease Cycles'!$HL$21,'Lease Cycles'!$HS$21+'Lease Cycles'!$HZ$21,0)</f>
        <v>0</v>
      </c>
      <c r="CT245" s="28">
        <f>IF(CT$6='Lease Cycles'!$HL$21,'Lease Cycles'!$HS$21+'Lease Cycles'!$HZ$21,0)</f>
        <v>0</v>
      </c>
      <c r="CU245" s="28">
        <f>IF(CU$6='Lease Cycles'!$HL$21,'Lease Cycles'!$HS$21+'Lease Cycles'!$HZ$21,0)</f>
        <v>0</v>
      </c>
      <c r="CV245" s="28">
        <f>IF(CV$6='Lease Cycles'!$HL$21,'Lease Cycles'!$HS$21+'Lease Cycles'!$HZ$21,0)</f>
        <v>0</v>
      </c>
      <c r="CW245" s="28">
        <f>IF(CW$6='Lease Cycles'!$HL$21,'Lease Cycles'!$HS$21+'Lease Cycles'!$HZ$21,0)</f>
        <v>0</v>
      </c>
      <c r="CX245" s="28">
        <f>IF(CX$6='Lease Cycles'!$HL$21,'Lease Cycles'!$HS$21+'Lease Cycles'!$HZ$21,0)</f>
        <v>0</v>
      </c>
      <c r="CY245" s="28">
        <f>IF(CY$6='Lease Cycles'!$HL$21,'Lease Cycles'!$HS$21+'Lease Cycles'!$HZ$21,0)</f>
        <v>0</v>
      </c>
      <c r="CZ245" s="28">
        <f>IF(CZ$6='Lease Cycles'!$HL$21,'Lease Cycles'!$HS$21+'Lease Cycles'!$HZ$21,0)</f>
        <v>0</v>
      </c>
      <c r="DA245" s="28">
        <f>IF(DA$6='Lease Cycles'!$HL$21,'Lease Cycles'!$HS$21+'Lease Cycles'!$HZ$21,0)</f>
        <v>0</v>
      </c>
      <c r="DB245" s="28">
        <f>IF(DB$6='Lease Cycles'!$HL$21,'Lease Cycles'!$HS$21+'Lease Cycles'!$HZ$21,0)</f>
        <v>0</v>
      </c>
      <c r="DC245" s="28">
        <f>IF(DC$6='Lease Cycles'!$HL$21,'Lease Cycles'!$HS$21+'Lease Cycles'!$HZ$21,0)</f>
        <v>0</v>
      </c>
      <c r="DD245" s="28">
        <f>IF(DD$6='Lease Cycles'!$HL$21,'Lease Cycles'!$HS$21+'Lease Cycles'!$HZ$21,0)</f>
        <v>0</v>
      </c>
      <c r="DE245" s="28">
        <f>IF(DE$6='Lease Cycles'!$HL$21,'Lease Cycles'!$HS$21+'Lease Cycles'!$HZ$21,0)</f>
        <v>0</v>
      </c>
      <c r="DF245" s="28">
        <f>IF(DF$6='Lease Cycles'!$HL$21,'Lease Cycles'!$HS$21+'Lease Cycles'!$HZ$21,0)</f>
        <v>0</v>
      </c>
      <c r="DG245" s="28">
        <f>IF(DG$6='Lease Cycles'!$HL$21,'Lease Cycles'!$HS$21+'Lease Cycles'!$HZ$21,0)</f>
        <v>0</v>
      </c>
      <c r="DH245" s="28">
        <f>IF(DH$6='Lease Cycles'!$HL$21,'Lease Cycles'!$HS$21+'Lease Cycles'!$HZ$21,0)</f>
        <v>0</v>
      </c>
      <c r="DI245" s="28">
        <f>IF(DI$6='Lease Cycles'!$HL$21,'Lease Cycles'!$HS$21+'Lease Cycles'!$HZ$21,0)</f>
        <v>0</v>
      </c>
      <c r="DJ245" s="28">
        <f>IF(DJ$6='Lease Cycles'!$HL$21,'Lease Cycles'!$HS$21+'Lease Cycles'!$HZ$21,0)</f>
        <v>0</v>
      </c>
      <c r="DK245" s="28">
        <f>IF(DK$6='Lease Cycles'!$HL$21,'Lease Cycles'!$HS$21+'Lease Cycles'!$HZ$21,0)</f>
        <v>0</v>
      </c>
      <c r="DL245" s="28">
        <f>IF(DL$6='Lease Cycles'!$HL$21,'Lease Cycles'!$HS$21+'Lease Cycles'!$HZ$21,0)</f>
        <v>0</v>
      </c>
      <c r="DM245" s="28">
        <f>IF(DM$6='Lease Cycles'!$HL$21,'Lease Cycles'!$HS$21+'Lease Cycles'!$HZ$21,0)</f>
        <v>0</v>
      </c>
      <c r="DN245" s="28">
        <f>IF(DN$6='Lease Cycles'!$HL$21,'Lease Cycles'!$HS$21+'Lease Cycles'!$HZ$21,0)</f>
        <v>0</v>
      </c>
      <c r="DO245" s="28">
        <f>IF(DO$6='Lease Cycles'!$HL$21,'Lease Cycles'!$HS$21+'Lease Cycles'!$HZ$21,0)</f>
        <v>0</v>
      </c>
      <c r="DP245" s="28">
        <f>IF(DP$6='Lease Cycles'!$HL$21,'Lease Cycles'!$HS$21+'Lease Cycles'!$HZ$21,0)</f>
        <v>0</v>
      </c>
      <c r="DQ245" s="28">
        <f>IF(DQ$6='Lease Cycles'!$HL$21,'Lease Cycles'!$HS$21+'Lease Cycles'!$HZ$21,0)</f>
        <v>0</v>
      </c>
      <c r="DR245" s="28">
        <f>IF(DR$6='Lease Cycles'!$HL$21,'Lease Cycles'!$HS$21+'Lease Cycles'!$HZ$21,0)</f>
        <v>0</v>
      </c>
      <c r="DS245" s="28">
        <f>IF(DS$6='Lease Cycles'!$HL$21,'Lease Cycles'!$HS$21+'Lease Cycles'!$HZ$21,0)</f>
        <v>0</v>
      </c>
      <c r="DT245" s="28">
        <f>IF(DT$6='Lease Cycles'!$HL$21,'Lease Cycles'!$HS$21+'Lease Cycles'!$HZ$21,0)</f>
        <v>0</v>
      </c>
      <c r="DU245" s="28">
        <f>IF(DU$6='Lease Cycles'!$HL$21,'Lease Cycles'!$HS$21+'Lease Cycles'!$HZ$21,0)</f>
        <v>0</v>
      </c>
      <c r="DV245" s="28">
        <f>IF(DV$6='Lease Cycles'!$HL$21,'Lease Cycles'!$HS$21+'Lease Cycles'!$HZ$21,0)</f>
        <v>0</v>
      </c>
      <c r="DW245" s="28">
        <f>IF(DW$6='Lease Cycles'!$HL$21,'Lease Cycles'!$HS$21+'Lease Cycles'!$HZ$21,0)</f>
        <v>0</v>
      </c>
      <c r="DX245" s="28">
        <f>IF(DX$6='Lease Cycles'!$HL$21,'Lease Cycles'!$HS$21+'Lease Cycles'!$HZ$21,0)</f>
        <v>0</v>
      </c>
      <c r="DY245" s="28">
        <f>IF(DY$6='Lease Cycles'!$HL$21,'Lease Cycles'!$HS$21+'Lease Cycles'!$HZ$21,0)</f>
        <v>0</v>
      </c>
      <c r="DZ245" s="28">
        <f>IF(DZ$6='Lease Cycles'!$HL$21,'Lease Cycles'!$HS$21+'Lease Cycles'!$HZ$21,0)</f>
        <v>0</v>
      </c>
      <c r="EA245" s="28">
        <f>IF(EA$6='Lease Cycles'!$HL$21,'Lease Cycles'!$HS$21+'Lease Cycles'!$HZ$21,0)</f>
        <v>0</v>
      </c>
      <c r="EB245" s="28">
        <f>IF(EB$6='Lease Cycles'!$HL$21,'Lease Cycles'!$HS$21+'Lease Cycles'!$HZ$21,0)</f>
        <v>0</v>
      </c>
      <c r="EC245" s="28">
        <f>IF(EC$6='Lease Cycles'!$HL$21,'Lease Cycles'!$HS$21+'Lease Cycles'!$HZ$21,0)</f>
        <v>0</v>
      </c>
      <c r="ED245" s="28">
        <f>IF(ED$6='Lease Cycles'!$HL$21,'Lease Cycles'!$HS$21+'Lease Cycles'!$HZ$21,0)</f>
        <v>0</v>
      </c>
      <c r="EE245" s="28">
        <f>IF(EE$6='Lease Cycles'!$HL$21,'Lease Cycles'!$HS$21+'Lease Cycles'!$HZ$21,0)</f>
        <v>0</v>
      </c>
      <c r="EF245" s="28">
        <f>IF(EF$6='Lease Cycles'!$HL$21,'Lease Cycles'!$HS$21+'Lease Cycles'!$HZ$21,0)</f>
        <v>0</v>
      </c>
      <c r="EG245" s="28">
        <f>IF(EG$6='Lease Cycles'!$HL$21,'Lease Cycles'!$HS$21+'Lease Cycles'!$HZ$21,0)</f>
        <v>0</v>
      </c>
      <c r="EH245" s="28">
        <f>IF(EH$6='Lease Cycles'!$HL$21,'Lease Cycles'!$HS$21+'Lease Cycles'!$HZ$21,0)</f>
        <v>0</v>
      </c>
      <c r="EI245" s="28">
        <f>IF(EI$6='Lease Cycles'!$HL$21,'Lease Cycles'!$HS$21+'Lease Cycles'!$HZ$21,0)</f>
        <v>0</v>
      </c>
      <c r="EJ245" s="28">
        <f>IF(EJ$6='Lease Cycles'!$HL$21,'Lease Cycles'!$HS$21+'Lease Cycles'!$HZ$21,0)</f>
        <v>0</v>
      </c>
      <c r="EK245" s="28">
        <f>IF(EK$6='Lease Cycles'!$HL$21,'Lease Cycles'!$HS$21+'Lease Cycles'!$HZ$21,0)</f>
        <v>0</v>
      </c>
      <c r="EL245" s="28">
        <f>IF(EL$6='Lease Cycles'!$HL$21,'Lease Cycles'!$HS$21+'Lease Cycles'!$HZ$21,0)</f>
        <v>0</v>
      </c>
      <c r="EM245" s="28">
        <f>IF(EM$6='Lease Cycles'!$HL$21,'Lease Cycles'!$HS$21+'Lease Cycles'!$HZ$21,0)</f>
        <v>0</v>
      </c>
      <c r="EN245" s="28">
        <f>IF(EN$6='Lease Cycles'!$HL$21,'Lease Cycles'!$HS$21+'Lease Cycles'!$HZ$21,0)</f>
        <v>0</v>
      </c>
      <c r="EO245" s="28">
        <f>IF(EO$6='Lease Cycles'!$HL$21,'Lease Cycles'!$HS$21+'Lease Cycles'!$HZ$21,0)</f>
        <v>0</v>
      </c>
      <c r="EP245" s="28">
        <f>IF(EP$6='Lease Cycles'!$HL$21,'Lease Cycles'!$HS$21+'Lease Cycles'!$HZ$21,0)</f>
        <v>0</v>
      </c>
      <c r="EQ245" s="28">
        <f>IF(EQ$6='Lease Cycles'!$HL$21,'Lease Cycles'!$HS$21+'Lease Cycles'!$HZ$21,0)</f>
        <v>0</v>
      </c>
      <c r="ER245" s="28">
        <f>IF(ER$6='Lease Cycles'!$HL$21,'Lease Cycles'!$HS$21+'Lease Cycles'!$HZ$21,0)</f>
        <v>0</v>
      </c>
      <c r="ES245" s="28">
        <f>IF(ES$6='Lease Cycles'!$HL$21,'Lease Cycles'!$HS$21+'Lease Cycles'!$HZ$21,0)</f>
        <v>0</v>
      </c>
      <c r="ET245" s="28">
        <f>IF(ET$6='Lease Cycles'!$HL$21,'Lease Cycles'!$HS$21+'Lease Cycles'!$HZ$21,0)</f>
        <v>0</v>
      </c>
    </row>
    <row r="246">
      <c r="A246" s="103">
        <v>14</v>
      </c>
      <c r="B246" s="23" t="str">
        <f>IF('Lease Cycles'!$B$21="","(empty slot)",'Lease Cycles'!$B$21)</f>
        <v>(empty slot)</v>
      </c>
      <c r="C246" s="23" t="s">
        <v>499</v>
      </c>
      <c r="D246" s="104" t="s">
        <v>500</v>
      </c>
      <c r="E246" s="25">
        <f>'Lease Cycles'!$AL$21</f>
        <v>0</v>
      </c>
      <c r="G246" s="28">
        <f>MAX(0,'Lease Cycles'!$AN$21*'Lease Cycles'!$C$21*'Lease Cycles'!$AM$21*(1+a_SalesGrowth)^(G$6-1)-G236)</f>
        <v>0</v>
      </c>
      <c r="H246" s="28">
        <f>MAX(0,'Lease Cycles'!$AN$21*'Lease Cycles'!$C$21*'Lease Cycles'!$AM$21*(1+a_SalesGrowth)^(H$6-1)-H236)</f>
        <v>0</v>
      </c>
      <c r="I246" s="28">
        <f>MAX(0,'Lease Cycles'!$AN$21*'Lease Cycles'!$C$21*'Lease Cycles'!$AM$21*(1+a_SalesGrowth)^(I$6-1)-I236)</f>
        <v>0</v>
      </c>
      <c r="J246" s="28">
        <f>MAX(0,'Lease Cycles'!$AN$21*'Lease Cycles'!$C$21*'Lease Cycles'!$AM$21*(1+a_SalesGrowth)^(J$6-1)-J236)</f>
        <v>0</v>
      </c>
      <c r="K246" s="28">
        <f>MAX(0,'Lease Cycles'!$AN$21*'Lease Cycles'!$C$21*'Lease Cycles'!$AM$21*(1+a_SalesGrowth)^(K$6-1)-K236)</f>
        <v>0</v>
      </c>
      <c r="L246" s="28">
        <f>MAX(0,'Lease Cycles'!$AN$21*'Lease Cycles'!$C$21*'Lease Cycles'!$AM$21*(1+a_SalesGrowth)^(L$6-1)-L236)</f>
        <v>0</v>
      </c>
      <c r="M246" s="28">
        <f>MAX(0,'Lease Cycles'!$AN$21*'Lease Cycles'!$C$21*'Lease Cycles'!$AM$21*(1+a_SalesGrowth)^(M$6-1)-M236)</f>
        <v>0</v>
      </c>
      <c r="N246" s="28">
        <f>MAX(0,'Lease Cycles'!$AN$21*'Lease Cycles'!$C$21*'Lease Cycles'!$AM$21*(1+a_SalesGrowth)^(N$6-1)-N236)</f>
        <v>0</v>
      </c>
      <c r="O246" s="28">
        <f>MAX(0,'Lease Cycles'!$AN$21*'Lease Cycles'!$C$21*'Lease Cycles'!$AM$21*(1+a_SalesGrowth)^(O$6-1)-O236)</f>
        <v>0</v>
      </c>
      <c r="P246" s="28">
        <f>MAX(0,'Lease Cycles'!$AN$21*'Lease Cycles'!$C$21*'Lease Cycles'!$AM$21*(1+a_SalesGrowth)^(P$6-1)-P236)</f>
        <v>0</v>
      </c>
      <c r="Q246" s="28">
        <f>MAX(0,'Lease Cycles'!$AN$21*'Lease Cycles'!$C$21*'Lease Cycles'!$AM$21*(1+a_SalesGrowth)^(Q$6-1)-Q236)</f>
        <v>0</v>
      </c>
    </row>
    <row r="248">
      <c r="A248" s="103">
        <v>15</v>
      </c>
      <c r="B248" s="23" t="str">
        <f>IF('Lease Cycles'!$B$22="","(empty slot)",'Lease Cycles'!$B$22)</f>
        <v>(empty slot)</v>
      </c>
      <c r="C248" s="23" t="s">
        <v>671</v>
      </c>
      <c r="D248" s="104" t="s">
        <v>672</v>
      </c>
      <c r="E248" s="25">
        <f>'Lease Cycles'!$AL$22</f>
        <v>0</v>
      </c>
      <c r="S248" s="25">
        <f>IF('Lease Cycles'!$C$22&gt;0,COUNTIF('Lease Cycles'!$BG$22:$BM$22,"&lt;="&amp;S$6),0)</f>
        <v>0</v>
      </c>
      <c r="T248" s="25">
        <f>IF('Lease Cycles'!$C$22&gt;0,COUNTIF('Lease Cycles'!$BG$22:$BM$22,"&lt;="&amp;T$6),0)</f>
        <v>0</v>
      </c>
      <c r="U248" s="25">
        <f>IF('Lease Cycles'!$C$22&gt;0,COUNTIF('Lease Cycles'!$BG$22:$BM$22,"&lt;="&amp;U$6),0)</f>
        <v>0</v>
      </c>
      <c r="V248" s="25">
        <f>IF('Lease Cycles'!$C$22&gt;0,COUNTIF('Lease Cycles'!$BG$22:$BM$22,"&lt;="&amp;V$6),0)</f>
        <v>0</v>
      </c>
      <c r="W248" s="25">
        <f>IF('Lease Cycles'!$C$22&gt;0,COUNTIF('Lease Cycles'!$BG$22:$BM$22,"&lt;="&amp;W$6),0)</f>
        <v>0</v>
      </c>
      <c r="X248" s="25">
        <f>IF('Lease Cycles'!$C$22&gt;0,COUNTIF('Lease Cycles'!$BG$22:$BM$22,"&lt;="&amp;X$6),0)</f>
        <v>0</v>
      </c>
      <c r="Y248" s="25">
        <f>IF('Lease Cycles'!$C$22&gt;0,COUNTIF('Lease Cycles'!$BG$22:$BM$22,"&lt;="&amp;Y$6),0)</f>
        <v>0</v>
      </c>
      <c r="Z248" s="25">
        <f>IF('Lease Cycles'!$C$22&gt;0,COUNTIF('Lease Cycles'!$BG$22:$BM$22,"&lt;="&amp;Z$6),0)</f>
        <v>0</v>
      </c>
      <c r="AA248" s="25">
        <f>IF('Lease Cycles'!$C$22&gt;0,COUNTIF('Lease Cycles'!$BG$22:$BM$22,"&lt;="&amp;AA$6),0)</f>
        <v>0</v>
      </c>
      <c r="AB248" s="25">
        <f>IF('Lease Cycles'!$C$22&gt;0,COUNTIF('Lease Cycles'!$BG$22:$BM$22,"&lt;="&amp;AB$6),0)</f>
        <v>0</v>
      </c>
      <c r="AC248" s="25">
        <f>IF('Lease Cycles'!$C$22&gt;0,COUNTIF('Lease Cycles'!$BG$22:$BM$22,"&lt;="&amp;AC$6),0)</f>
        <v>0</v>
      </c>
      <c r="AD248" s="25">
        <f>IF('Lease Cycles'!$C$22&gt;0,COUNTIF('Lease Cycles'!$BG$22:$BM$22,"&lt;="&amp;AD$6),0)</f>
        <v>0</v>
      </c>
      <c r="AE248" s="25">
        <f>IF('Lease Cycles'!$C$22&gt;0,COUNTIF('Lease Cycles'!$BG$22:$BM$22,"&lt;="&amp;AE$6),0)</f>
        <v>0</v>
      </c>
      <c r="AF248" s="25">
        <f>IF('Lease Cycles'!$C$22&gt;0,COUNTIF('Lease Cycles'!$BG$22:$BM$22,"&lt;="&amp;AF$6),0)</f>
        <v>0</v>
      </c>
      <c r="AG248" s="25">
        <f>IF('Lease Cycles'!$C$22&gt;0,COUNTIF('Lease Cycles'!$BG$22:$BM$22,"&lt;="&amp;AG$6),0)</f>
        <v>0</v>
      </c>
      <c r="AH248" s="25">
        <f>IF('Lease Cycles'!$C$22&gt;0,COUNTIF('Lease Cycles'!$BG$22:$BM$22,"&lt;="&amp;AH$6),0)</f>
        <v>0</v>
      </c>
      <c r="AI248" s="25">
        <f>IF('Lease Cycles'!$C$22&gt;0,COUNTIF('Lease Cycles'!$BG$22:$BM$22,"&lt;="&amp;AI$6),0)</f>
        <v>0</v>
      </c>
      <c r="AJ248" s="25">
        <f>IF('Lease Cycles'!$C$22&gt;0,COUNTIF('Lease Cycles'!$BG$22:$BM$22,"&lt;="&amp;AJ$6),0)</f>
        <v>0</v>
      </c>
      <c r="AK248" s="25">
        <f>IF('Lease Cycles'!$C$22&gt;0,COUNTIF('Lease Cycles'!$BG$22:$BM$22,"&lt;="&amp;AK$6),0)</f>
        <v>0</v>
      </c>
      <c r="AL248" s="25">
        <f>IF('Lease Cycles'!$C$22&gt;0,COUNTIF('Lease Cycles'!$BG$22:$BM$22,"&lt;="&amp;AL$6),0)</f>
        <v>0</v>
      </c>
      <c r="AM248" s="25">
        <f>IF('Lease Cycles'!$C$22&gt;0,COUNTIF('Lease Cycles'!$BG$22:$BM$22,"&lt;="&amp;AM$6),0)</f>
        <v>0</v>
      </c>
      <c r="AN248" s="25">
        <f>IF('Lease Cycles'!$C$22&gt;0,COUNTIF('Lease Cycles'!$BG$22:$BM$22,"&lt;="&amp;AN$6),0)</f>
        <v>0</v>
      </c>
      <c r="AO248" s="25">
        <f>IF('Lease Cycles'!$C$22&gt;0,COUNTIF('Lease Cycles'!$BG$22:$BM$22,"&lt;="&amp;AO$6),0)</f>
        <v>0</v>
      </c>
      <c r="AP248" s="25">
        <f>IF('Lease Cycles'!$C$22&gt;0,COUNTIF('Lease Cycles'!$BG$22:$BM$22,"&lt;="&amp;AP$6),0)</f>
        <v>0</v>
      </c>
      <c r="AQ248" s="25">
        <f>IF('Lease Cycles'!$C$22&gt;0,COUNTIF('Lease Cycles'!$BG$22:$BM$22,"&lt;="&amp;AQ$6),0)</f>
        <v>0</v>
      </c>
      <c r="AR248" s="25">
        <f>IF('Lease Cycles'!$C$22&gt;0,COUNTIF('Lease Cycles'!$BG$22:$BM$22,"&lt;="&amp;AR$6),0)</f>
        <v>0</v>
      </c>
      <c r="AS248" s="25">
        <f>IF('Lease Cycles'!$C$22&gt;0,COUNTIF('Lease Cycles'!$BG$22:$BM$22,"&lt;="&amp;AS$6),0)</f>
        <v>0</v>
      </c>
      <c r="AT248" s="25">
        <f>IF('Lease Cycles'!$C$22&gt;0,COUNTIF('Lease Cycles'!$BG$22:$BM$22,"&lt;="&amp;AT$6),0)</f>
        <v>0</v>
      </c>
      <c r="AU248" s="25">
        <f>IF('Lease Cycles'!$C$22&gt;0,COUNTIF('Lease Cycles'!$BG$22:$BM$22,"&lt;="&amp;AU$6),0)</f>
        <v>0</v>
      </c>
      <c r="AV248" s="25">
        <f>IF('Lease Cycles'!$C$22&gt;0,COUNTIF('Lease Cycles'!$BG$22:$BM$22,"&lt;="&amp;AV$6),0)</f>
        <v>0</v>
      </c>
      <c r="AW248" s="25">
        <f>IF('Lease Cycles'!$C$22&gt;0,COUNTIF('Lease Cycles'!$BG$22:$BM$22,"&lt;="&amp;AW$6),0)</f>
        <v>0</v>
      </c>
      <c r="AX248" s="25">
        <f>IF('Lease Cycles'!$C$22&gt;0,COUNTIF('Lease Cycles'!$BG$22:$BM$22,"&lt;="&amp;AX$6),0)</f>
        <v>0</v>
      </c>
      <c r="AY248" s="25">
        <f>IF('Lease Cycles'!$C$22&gt;0,COUNTIF('Lease Cycles'!$BG$22:$BM$22,"&lt;="&amp;AY$6),0)</f>
        <v>0</v>
      </c>
      <c r="AZ248" s="25">
        <f>IF('Lease Cycles'!$C$22&gt;0,COUNTIF('Lease Cycles'!$BG$22:$BM$22,"&lt;="&amp;AZ$6),0)</f>
        <v>0</v>
      </c>
      <c r="BA248" s="25">
        <f>IF('Lease Cycles'!$C$22&gt;0,COUNTIF('Lease Cycles'!$BG$22:$BM$22,"&lt;="&amp;BA$6),0)</f>
        <v>0</v>
      </c>
      <c r="BB248" s="25">
        <f>IF('Lease Cycles'!$C$22&gt;0,COUNTIF('Lease Cycles'!$BG$22:$BM$22,"&lt;="&amp;BB$6),0)</f>
        <v>0</v>
      </c>
      <c r="BC248" s="25">
        <f>IF('Lease Cycles'!$C$22&gt;0,COUNTIF('Lease Cycles'!$BG$22:$BM$22,"&lt;="&amp;BC$6),0)</f>
        <v>0</v>
      </c>
      <c r="BD248" s="25">
        <f>IF('Lease Cycles'!$C$22&gt;0,COUNTIF('Lease Cycles'!$BG$22:$BM$22,"&lt;="&amp;BD$6),0)</f>
        <v>0</v>
      </c>
      <c r="BE248" s="25">
        <f>IF('Lease Cycles'!$C$22&gt;0,COUNTIF('Lease Cycles'!$BG$22:$BM$22,"&lt;="&amp;BE$6),0)</f>
        <v>0</v>
      </c>
      <c r="BF248" s="25">
        <f>IF('Lease Cycles'!$C$22&gt;0,COUNTIF('Lease Cycles'!$BG$22:$BM$22,"&lt;="&amp;BF$6),0)</f>
        <v>0</v>
      </c>
      <c r="BG248" s="25">
        <f>IF('Lease Cycles'!$C$22&gt;0,COUNTIF('Lease Cycles'!$BG$22:$BM$22,"&lt;="&amp;BG$6),0)</f>
        <v>0</v>
      </c>
      <c r="BH248" s="25">
        <f>IF('Lease Cycles'!$C$22&gt;0,COUNTIF('Lease Cycles'!$BG$22:$BM$22,"&lt;="&amp;BH$6),0)</f>
        <v>0</v>
      </c>
      <c r="BI248" s="25">
        <f>IF('Lease Cycles'!$C$22&gt;0,COUNTIF('Lease Cycles'!$BG$22:$BM$22,"&lt;="&amp;BI$6),0)</f>
        <v>0</v>
      </c>
      <c r="BJ248" s="25">
        <f>IF('Lease Cycles'!$C$22&gt;0,COUNTIF('Lease Cycles'!$BG$22:$BM$22,"&lt;="&amp;BJ$6),0)</f>
        <v>0</v>
      </c>
      <c r="BK248" s="25">
        <f>IF('Lease Cycles'!$C$22&gt;0,COUNTIF('Lease Cycles'!$BG$22:$BM$22,"&lt;="&amp;BK$6),0)</f>
        <v>0</v>
      </c>
      <c r="BL248" s="25">
        <f>IF('Lease Cycles'!$C$22&gt;0,COUNTIF('Lease Cycles'!$BG$22:$BM$22,"&lt;="&amp;BL$6),0)</f>
        <v>0</v>
      </c>
      <c r="BM248" s="25">
        <f>IF('Lease Cycles'!$C$22&gt;0,COUNTIF('Lease Cycles'!$BG$22:$BM$22,"&lt;="&amp;BM$6),0)</f>
        <v>0</v>
      </c>
      <c r="BN248" s="25">
        <f>IF('Lease Cycles'!$C$22&gt;0,COUNTIF('Lease Cycles'!$BG$22:$BM$22,"&lt;="&amp;BN$6),0)</f>
        <v>0</v>
      </c>
      <c r="BO248" s="25">
        <f>IF('Lease Cycles'!$C$22&gt;0,COUNTIF('Lease Cycles'!$BG$22:$BM$22,"&lt;="&amp;BO$6),0)</f>
        <v>0</v>
      </c>
      <c r="BP248" s="25">
        <f>IF('Lease Cycles'!$C$22&gt;0,COUNTIF('Lease Cycles'!$BG$22:$BM$22,"&lt;="&amp;BP$6),0)</f>
        <v>0</v>
      </c>
      <c r="BQ248" s="25">
        <f>IF('Lease Cycles'!$C$22&gt;0,COUNTIF('Lease Cycles'!$BG$22:$BM$22,"&lt;="&amp;BQ$6),0)</f>
        <v>0</v>
      </c>
      <c r="BR248" s="25">
        <f>IF('Lease Cycles'!$C$22&gt;0,COUNTIF('Lease Cycles'!$BG$22:$BM$22,"&lt;="&amp;BR$6),0)</f>
        <v>0</v>
      </c>
      <c r="BS248" s="25">
        <f>IF('Lease Cycles'!$C$22&gt;0,COUNTIF('Lease Cycles'!$BG$22:$BM$22,"&lt;="&amp;BS$6),0)</f>
        <v>0</v>
      </c>
      <c r="BT248" s="25">
        <f>IF('Lease Cycles'!$C$22&gt;0,COUNTIF('Lease Cycles'!$BG$22:$BM$22,"&lt;="&amp;BT$6),0)</f>
        <v>0</v>
      </c>
      <c r="BU248" s="25">
        <f>IF('Lease Cycles'!$C$22&gt;0,COUNTIF('Lease Cycles'!$BG$22:$BM$22,"&lt;="&amp;BU$6),0)</f>
        <v>0</v>
      </c>
      <c r="BV248" s="25">
        <f>IF('Lease Cycles'!$C$22&gt;0,COUNTIF('Lease Cycles'!$BG$22:$BM$22,"&lt;="&amp;BV$6),0)</f>
        <v>0</v>
      </c>
      <c r="BW248" s="25">
        <f>IF('Lease Cycles'!$C$22&gt;0,COUNTIF('Lease Cycles'!$BG$22:$BM$22,"&lt;="&amp;BW$6),0)</f>
        <v>0</v>
      </c>
      <c r="BX248" s="25">
        <f>IF('Lease Cycles'!$C$22&gt;0,COUNTIF('Lease Cycles'!$BG$22:$BM$22,"&lt;="&amp;BX$6),0)</f>
        <v>0</v>
      </c>
      <c r="BY248" s="25">
        <f>IF('Lease Cycles'!$C$22&gt;0,COUNTIF('Lease Cycles'!$BG$22:$BM$22,"&lt;="&amp;BY$6),0)</f>
        <v>0</v>
      </c>
      <c r="BZ248" s="25">
        <f>IF('Lease Cycles'!$C$22&gt;0,COUNTIF('Lease Cycles'!$BG$22:$BM$22,"&lt;="&amp;BZ$6),0)</f>
        <v>0</v>
      </c>
      <c r="CA248" s="25">
        <f>IF('Lease Cycles'!$C$22&gt;0,COUNTIF('Lease Cycles'!$BG$22:$BM$22,"&lt;="&amp;CA$6),0)</f>
        <v>0</v>
      </c>
      <c r="CB248" s="25">
        <f>IF('Lease Cycles'!$C$22&gt;0,COUNTIF('Lease Cycles'!$BG$22:$BM$22,"&lt;="&amp;CB$6),0)</f>
        <v>0</v>
      </c>
      <c r="CC248" s="25">
        <f>IF('Lease Cycles'!$C$22&gt;0,COUNTIF('Lease Cycles'!$BG$22:$BM$22,"&lt;="&amp;CC$6),0)</f>
        <v>0</v>
      </c>
      <c r="CD248" s="25">
        <f>IF('Lease Cycles'!$C$22&gt;0,COUNTIF('Lease Cycles'!$BG$22:$BM$22,"&lt;="&amp;CD$6),0)</f>
        <v>0</v>
      </c>
      <c r="CE248" s="25">
        <f>IF('Lease Cycles'!$C$22&gt;0,COUNTIF('Lease Cycles'!$BG$22:$BM$22,"&lt;="&amp;CE$6),0)</f>
        <v>0</v>
      </c>
      <c r="CF248" s="25">
        <f>IF('Lease Cycles'!$C$22&gt;0,COUNTIF('Lease Cycles'!$BG$22:$BM$22,"&lt;="&amp;CF$6),0)</f>
        <v>0</v>
      </c>
      <c r="CG248" s="25">
        <f>IF('Lease Cycles'!$C$22&gt;0,COUNTIF('Lease Cycles'!$BG$22:$BM$22,"&lt;="&amp;CG$6),0)</f>
        <v>0</v>
      </c>
      <c r="CH248" s="25">
        <f>IF('Lease Cycles'!$C$22&gt;0,COUNTIF('Lease Cycles'!$BG$22:$BM$22,"&lt;="&amp;CH$6),0)</f>
        <v>0</v>
      </c>
      <c r="CI248" s="25">
        <f>IF('Lease Cycles'!$C$22&gt;0,COUNTIF('Lease Cycles'!$BG$22:$BM$22,"&lt;="&amp;CI$6),0)</f>
        <v>0</v>
      </c>
      <c r="CJ248" s="25">
        <f>IF('Lease Cycles'!$C$22&gt;0,COUNTIF('Lease Cycles'!$BG$22:$BM$22,"&lt;="&amp;CJ$6),0)</f>
        <v>0</v>
      </c>
      <c r="CK248" s="25">
        <f>IF('Lease Cycles'!$C$22&gt;0,COUNTIF('Lease Cycles'!$BG$22:$BM$22,"&lt;="&amp;CK$6),0)</f>
        <v>0</v>
      </c>
      <c r="CL248" s="25">
        <f>IF('Lease Cycles'!$C$22&gt;0,COUNTIF('Lease Cycles'!$BG$22:$BM$22,"&lt;="&amp;CL$6),0)</f>
        <v>0</v>
      </c>
      <c r="CM248" s="25">
        <f>IF('Lease Cycles'!$C$22&gt;0,COUNTIF('Lease Cycles'!$BG$22:$BM$22,"&lt;="&amp;CM$6),0)</f>
        <v>0</v>
      </c>
      <c r="CN248" s="25">
        <f>IF('Lease Cycles'!$C$22&gt;0,COUNTIF('Lease Cycles'!$BG$22:$BM$22,"&lt;="&amp;CN$6),0)</f>
        <v>0</v>
      </c>
      <c r="CO248" s="25">
        <f>IF('Lease Cycles'!$C$22&gt;0,COUNTIF('Lease Cycles'!$BG$22:$BM$22,"&lt;="&amp;CO$6),0)</f>
        <v>0</v>
      </c>
      <c r="CP248" s="25">
        <f>IF('Lease Cycles'!$C$22&gt;0,COUNTIF('Lease Cycles'!$BG$22:$BM$22,"&lt;="&amp;CP$6),0)</f>
        <v>0</v>
      </c>
      <c r="CQ248" s="25">
        <f>IF('Lease Cycles'!$C$22&gt;0,COUNTIF('Lease Cycles'!$BG$22:$BM$22,"&lt;="&amp;CQ$6),0)</f>
        <v>0</v>
      </c>
      <c r="CR248" s="25">
        <f>IF('Lease Cycles'!$C$22&gt;0,COUNTIF('Lease Cycles'!$BG$22:$BM$22,"&lt;="&amp;CR$6),0)</f>
        <v>0</v>
      </c>
      <c r="CS248" s="25">
        <f>IF('Lease Cycles'!$C$22&gt;0,COUNTIF('Lease Cycles'!$BG$22:$BM$22,"&lt;="&amp;CS$6),0)</f>
        <v>0</v>
      </c>
      <c r="CT248" s="25">
        <f>IF('Lease Cycles'!$C$22&gt;0,COUNTIF('Lease Cycles'!$BG$22:$BM$22,"&lt;="&amp;CT$6),0)</f>
        <v>0</v>
      </c>
      <c r="CU248" s="25">
        <f>IF('Lease Cycles'!$C$22&gt;0,COUNTIF('Lease Cycles'!$BG$22:$BM$22,"&lt;="&amp;CU$6),0)</f>
        <v>0</v>
      </c>
      <c r="CV248" s="25">
        <f>IF('Lease Cycles'!$C$22&gt;0,COUNTIF('Lease Cycles'!$BG$22:$BM$22,"&lt;="&amp;CV$6),0)</f>
        <v>0</v>
      </c>
      <c r="CW248" s="25">
        <f>IF('Lease Cycles'!$C$22&gt;0,COUNTIF('Lease Cycles'!$BG$22:$BM$22,"&lt;="&amp;CW$6),0)</f>
        <v>0</v>
      </c>
      <c r="CX248" s="25">
        <f>IF('Lease Cycles'!$C$22&gt;0,COUNTIF('Lease Cycles'!$BG$22:$BM$22,"&lt;="&amp;CX$6),0)</f>
        <v>0</v>
      </c>
      <c r="CY248" s="25">
        <f>IF('Lease Cycles'!$C$22&gt;0,COUNTIF('Lease Cycles'!$BG$22:$BM$22,"&lt;="&amp;CY$6),0)</f>
        <v>0</v>
      </c>
      <c r="CZ248" s="25">
        <f>IF('Lease Cycles'!$C$22&gt;0,COUNTIF('Lease Cycles'!$BG$22:$BM$22,"&lt;="&amp;CZ$6),0)</f>
        <v>0</v>
      </c>
      <c r="DA248" s="25">
        <f>IF('Lease Cycles'!$C$22&gt;0,COUNTIF('Lease Cycles'!$BG$22:$BM$22,"&lt;="&amp;DA$6),0)</f>
        <v>0</v>
      </c>
      <c r="DB248" s="25">
        <f>IF('Lease Cycles'!$C$22&gt;0,COUNTIF('Lease Cycles'!$BG$22:$BM$22,"&lt;="&amp;DB$6),0)</f>
        <v>0</v>
      </c>
      <c r="DC248" s="25">
        <f>IF('Lease Cycles'!$C$22&gt;0,COUNTIF('Lease Cycles'!$BG$22:$BM$22,"&lt;="&amp;DC$6),0)</f>
        <v>0</v>
      </c>
      <c r="DD248" s="25">
        <f>IF('Lease Cycles'!$C$22&gt;0,COUNTIF('Lease Cycles'!$BG$22:$BM$22,"&lt;="&amp;DD$6),0)</f>
        <v>0</v>
      </c>
      <c r="DE248" s="25">
        <f>IF('Lease Cycles'!$C$22&gt;0,COUNTIF('Lease Cycles'!$BG$22:$BM$22,"&lt;="&amp;DE$6),0)</f>
        <v>0</v>
      </c>
      <c r="DF248" s="25">
        <f>IF('Lease Cycles'!$C$22&gt;0,COUNTIF('Lease Cycles'!$BG$22:$BM$22,"&lt;="&amp;DF$6),0)</f>
        <v>0</v>
      </c>
      <c r="DG248" s="25">
        <f>IF('Lease Cycles'!$C$22&gt;0,COUNTIF('Lease Cycles'!$BG$22:$BM$22,"&lt;="&amp;DG$6),0)</f>
        <v>0</v>
      </c>
      <c r="DH248" s="25">
        <f>IF('Lease Cycles'!$C$22&gt;0,COUNTIF('Lease Cycles'!$BG$22:$BM$22,"&lt;="&amp;DH$6),0)</f>
        <v>0</v>
      </c>
      <c r="DI248" s="25">
        <f>IF('Lease Cycles'!$C$22&gt;0,COUNTIF('Lease Cycles'!$BG$22:$BM$22,"&lt;="&amp;DI$6),0)</f>
        <v>0</v>
      </c>
      <c r="DJ248" s="25">
        <f>IF('Lease Cycles'!$C$22&gt;0,COUNTIF('Lease Cycles'!$BG$22:$BM$22,"&lt;="&amp;DJ$6),0)</f>
        <v>0</v>
      </c>
      <c r="DK248" s="25">
        <f>IF('Lease Cycles'!$C$22&gt;0,COUNTIF('Lease Cycles'!$BG$22:$BM$22,"&lt;="&amp;DK$6),0)</f>
        <v>0</v>
      </c>
      <c r="DL248" s="25">
        <f>IF('Lease Cycles'!$C$22&gt;0,COUNTIF('Lease Cycles'!$BG$22:$BM$22,"&lt;="&amp;DL$6),0)</f>
        <v>0</v>
      </c>
      <c r="DM248" s="25">
        <f>IF('Lease Cycles'!$C$22&gt;0,COUNTIF('Lease Cycles'!$BG$22:$BM$22,"&lt;="&amp;DM$6),0)</f>
        <v>0</v>
      </c>
      <c r="DN248" s="25">
        <f>IF('Lease Cycles'!$C$22&gt;0,COUNTIF('Lease Cycles'!$BG$22:$BM$22,"&lt;="&amp;DN$6),0)</f>
        <v>0</v>
      </c>
      <c r="DO248" s="25">
        <f>IF('Lease Cycles'!$C$22&gt;0,COUNTIF('Lease Cycles'!$BG$22:$BM$22,"&lt;="&amp;DO$6),0)</f>
        <v>0</v>
      </c>
      <c r="DP248" s="25">
        <f>IF('Lease Cycles'!$C$22&gt;0,COUNTIF('Lease Cycles'!$BG$22:$BM$22,"&lt;="&amp;DP$6),0)</f>
        <v>0</v>
      </c>
      <c r="DQ248" s="25">
        <f>IF('Lease Cycles'!$C$22&gt;0,COUNTIF('Lease Cycles'!$BG$22:$BM$22,"&lt;="&amp;DQ$6),0)</f>
        <v>0</v>
      </c>
      <c r="DR248" s="25">
        <f>IF('Lease Cycles'!$C$22&gt;0,COUNTIF('Lease Cycles'!$BG$22:$BM$22,"&lt;="&amp;DR$6),0)</f>
        <v>0</v>
      </c>
      <c r="DS248" s="25">
        <f>IF('Lease Cycles'!$C$22&gt;0,COUNTIF('Lease Cycles'!$BG$22:$BM$22,"&lt;="&amp;DS$6),0)</f>
        <v>0</v>
      </c>
      <c r="DT248" s="25">
        <f>IF('Lease Cycles'!$C$22&gt;0,COUNTIF('Lease Cycles'!$BG$22:$BM$22,"&lt;="&amp;DT$6),0)</f>
        <v>0</v>
      </c>
      <c r="DU248" s="25">
        <f>IF('Lease Cycles'!$C$22&gt;0,COUNTIF('Lease Cycles'!$BG$22:$BM$22,"&lt;="&amp;DU$6),0)</f>
        <v>0</v>
      </c>
      <c r="DV248" s="25">
        <f>IF('Lease Cycles'!$C$22&gt;0,COUNTIF('Lease Cycles'!$BG$22:$BM$22,"&lt;="&amp;DV$6),0)</f>
        <v>0</v>
      </c>
      <c r="DW248" s="25">
        <f>IF('Lease Cycles'!$C$22&gt;0,COUNTIF('Lease Cycles'!$BG$22:$BM$22,"&lt;="&amp;DW$6),0)</f>
        <v>0</v>
      </c>
      <c r="DX248" s="25">
        <f>IF('Lease Cycles'!$C$22&gt;0,COUNTIF('Lease Cycles'!$BG$22:$BM$22,"&lt;="&amp;DX$6),0)</f>
        <v>0</v>
      </c>
      <c r="DY248" s="25">
        <f>IF('Lease Cycles'!$C$22&gt;0,COUNTIF('Lease Cycles'!$BG$22:$BM$22,"&lt;="&amp;DY$6),0)</f>
        <v>0</v>
      </c>
      <c r="DZ248" s="25">
        <f>IF('Lease Cycles'!$C$22&gt;0,COUNTIF('Lease Cycles'!$BG$22:$BM$22,"&lt;="&amp;DZ$6),0)</f>
        <v>0</v>
      </c>
      <c r="EA248" s="25">
        <f>IF('Lease Cycles'!$C$22&gt;0,COUNTIF('Lease Cycles'!$BG$22:$BM$22,"&lt;="&amp;EA$6),0)</f>
        <v>0</v>
      </c>
      <c r="EB248" s="25">
        <f>IF('Lease Cycles'!$C$22&gt;0,COUNTIF('Lease Cycles'!$BG$22:$BM$22,"&lt;="&amp;EB$6),0)</f>
        <v>0</v>
      </c>
      <c r="EC248" s="25">
        <f>IF('Lease Cycles'!$C$22&gt;0,COUNTIF('Lease Cycles'!$BG$22:$BM$22,"&lt;="&amp;EC$6),0)</f>
        <v>0</v>
      </c>
      <c r="ED248" s="25">
        <f>IF('Lease Cycles'!$C$22&gt;0,COUNTIF('Lease Cycles'!$BG$22:$BM$22,"&lt;="&amp;ED$6),0)</f>
        <v>0</v>
      </c>
      <c r="EE248" s="25">
        <f>IF('Lease Cycles'!$C$22&gt;0,COUNTIF('Lease Cycles'!$BG$22:$BM$22,"&lt;="&amp;EE$6),0)</f>
        <v>0</v>
      </c>
      <c r="EF248" s="25">
        <f>IF('Lease Cycles'!$C$22&gt;0,COUNTIF('Lease Cycles'!$BG$22:$BM$22,"&lt;="&amp;EF$6),0)</f>
        <v>0</v>
      </c>
      <c r="EG248" s="25">
        <f>IF('Lease Cycles'!$C$22&gt;0,COUNTIF('Lease Cycles'!$BG$22:$BM$22,"&lt;="&amp;EG$6),0)</f>
        <v>0</v>
      </c>
      <c r="EH248" s="25">
        <f>IF('Lease Cycles'!$C$22&gt;0,COUNTIF('Lease Cycles'!$BG$22:$BM$22,"&lt;="&amp;EH$6),0)</f>
        <v>0</v>
      </c>
      <c r="EI248" s="25">
        <f>IF('Lease Cycles'!$C$22&gt;0,COUNTIF('Lease Cycles'!$BG$22:$BM$22,"&lt;="&amp;EI$6),0)</f>
        <v>0</v>
      </c>
      <c r="EJ248" s="25">
        <f>IF('Lease Cycles'!$C$22&gt;0,COUNTIF('Lease Cycles'!$BG$22:$BM$22,"&lt;="&amp;EJ$6),0)</f>
        <v>0</v>
      </c>
      <c r="EK248" s="25">
        <f>IF('Lease Cycles'!$C$22&gt;0,COUNTIF('Lease Cycles'!$BG$22:$BM$22,"&lt;="&amp;EK$6),0)</f>
        <v>0</v>
      </c>
      <c r="EL248" s="25">
        <f>IF('Lease Cycles'!$C$22&gt;0,COUNTIF('Lease Cycles'!$BG$22:$BM$22,"&lt;="&amp;EL$6),0)</f>
        <v>0</v>
      </c>
      <c r="EM248" s="25">
        <f>IF('Lease Cycles'!$C$22&gt;0,COUNTIF('Lease Cycles'!$BG$22:$BM$22,"&lt;="&amp;EM$6),0)</f>
        <v>0</v>
      </c>
      <c r="EN248" s="25">
        <f>IF('Lease Cycles'!$C$22&gt;0,COUNTIF('Lease Cycles'!$BG$22:$BM$22,"&lt;="&amp;EN$6),0)</f>
        <v>0</v>
      </c>
      <c r="EO248" s="25">
        <f>IF('Lease Cycles'!$C$22&gt;0,COUNTIF('Lease Cycles'!$BG$22:$BM$22,"&lt;="&amp;EO$6),0)</f>
        <v>0</v>
      </c>
      <c r="EP248" s="25">
        <f>IF('Lease Cycles'!$C$22&gt;0,COUNTIF('Lease Cycles'!$BG$22:$BM$22,"&lt;="&amp;EP$6),0)</f>
        <v>0</v>
      </c>
      <c r="EQ248" s="25">
        <f>IF('Lease Cycles'!$C$22&gt;0,COUNTIF('Lease Cycles'!$BG$22:$BM$22,"&lt;="&amp;EQ$6),0)</f>
        <v>0</v>
      </c>
      <c r="ER248" s="25">
        <f>IF('Lease Cycles'!$C$22&gt;0,COUNTIF('Lease Cycles'!$BG$22:$BM$22,"&lt;="&amp;ER$6),0)</f>
        <v>0</v>
      </c>
      <c r="ES248" s="25">
        <f>IF('Lease Cycles'!$C$22&gt;0,COUNTIF('Lease Cycles'!$BG$22:$BM$22,"&lt;="&amp;ES$6),0)</f>
        <v>0</v>
      </c>
      <c r="ET248" s="25">
        <f>IF('Lease Cycles'!$C$22&gt;0,COUNTIF('Lease Cycles'!$BG$22:$BM$22,"&lt;="&amp;ET$6),0)</f>
        <v>0</v>
      </c>
    </row>
    <row r="249">
      <c r="A249" s="103">
        <v>15</v>
      </c>
      <c r="B249" s="23" t="str">
        <f>IF('Lease Cycles'!$B$22="","(empty slot)",'Lease Cycles'!$B$22)</f>
        <v>(empty slot)</v>
      </c>
      <c r="C249" s="23" t="s">
        <v>673</v>
      </c>
      <c r="D249" s="104" t="s">
        <v>674</v>
      </c>
      <c r="E249" s="25">
        <f>'Lease Cycles'!$AL$22</f>
        <v>0</v>
      </c>
      <c r="S249" s="25">
        <f>IF(S248=0,-1,S$6-INDEX('Lease Cycles'!$BG$22:$BM$22,1,S248))</f>
        <v>-1</v>
      </c>
      <c r="T249" s="25">
        <f>IF(T248=0,-1,T$6-INDEX('Lease Cycles'!$BG$22:$BM$22,1,T248))</f>
        <v>-1</v>
      </c>
      <c r="U249" s="25">
        <f>IF(U248=0,-1,U$6-INDEX('Lease Cycles'!$BG$22:$BM$22,1,U248))</f>
        <v>-1</v>
      </c>
      <c r="V249" s="25">
        <f>IF(V248=0,-1,V$6-INDEX('Lease Cycles'!$BG$22:$BM$22,1,V248))</f>
        <v>-1</v>
      </c>
      <c r="W249" s="25">
        <f>IF(W248=0,-1,W$6-INDEX('Lease Cycles'!$BG$22:$BM$22,1,W248))</f>
        <v>-1</v>
      </c>
      <c r="X249" s="25">
        <f>IF(X248=0,-1,X$6-INDEX('Lease Cycles'!$BG$22:$BM$22,1,X248))</f>
        <v>-1</v>
      </c>
      <c r="Y249" s="25">
        <f>IF(Y248=0,-1,Y$6-INDEX('Lease Cycles'!$BG$22:$BM$22,1,Y248))</f>
        <v>-1</v>
      </c>
      <c r="Z249" s="25">
        <f>IF(Z248=0,-1,Z$6-INDEX('Lease Cycles'!$BG$22:$BM$22,1,Z248))</f>
        <v>-1</v>
      </c>
      <c r="AA249" s="25">
        <f>IF(AA248=0,-1,AA$6-INDEX('Lease Cycles'!$BG$22:$BM$22,1,AA248))</f>
        <v>-1</v>
      </c>
      <c r="AB249" s="25">
        <f>IF(AB248=0,-1,AB$6-INDEX('Lease Cycles'!$BG$22:$BM$22,1,AB248))</f>
        <v>-1</v>
      </c>
      <c r="AC249" s="25">
        <f>IF(AC248=0,-1,AC$6-INDEX('Lease Cycles'!$BG$22:$BM$22,1,AC248))</f>
        <v>-1</v>
      </c>
      <c r="AD249" s="25">
        <f>IF(AD248=0,-1,AD$6-INDEX('Lease Cycles'!$BG$22:$BM$22,1,AD248))</f>
        <v>-1</v>
      </c>
      <c r="AE249" s="25">
        <f>IF(AE248=0,-1,AE$6-INDEX('Lease Cycles'!$BG$22:$BM$22,1,AE248))</f>
        <v>-1</v>
      </c>
      <c r="AF249" s="25">
        <f>IF(AF248=0,-1,AF$6-INDEX('Lease Cycles'!$BG$22:$BM$22,1,AF248))</f>
        <v>-1</v>
      </c>
      <c r="AG249" s="25">
        <f>IF(AG248=0,-1,AG$6-INDEX('Lease Cycles'!$BG$22:$BM$22,1,AG248))</f>
        <v>-1</v>
      </c>
      <c r="AH249" s="25">
        <f>IF(AH248=0,-1,AH$6-INDEX('Lease Cycles'!$BG$22:$BM$22,1,AH248))</f>
        <v>-1</v>
      </c>
      <c r="AI249" s="25">
        <f>IF(AI248=0,-1,AI$6-INDEX('Lease Cycles'!$BG$22:$BM$22,1,AI248))</f>
        <v>-1</v>
      </c>
      <c r="AJ249" s="25">
        <f>IF(AJ248=0,-1,AJ$6-INDEX('Lease Cycles'!$BG$22:$BM$22,1,AJ248))</f>
        <v>-1</v>
      </c>
      <c r="AK249" s="25">
        <f>IF(AK248=0,-1,AK$6-INDEX('Lease Cycles'!$BG$22:$BM$22,1,AK248))</f>
        <v>-1</v>
      </c>
      <c r="AL249" s="25">
        <f>IF(AL248=0,-1,AL$6-INDEX('Lease Cycles'!$BG$22:$BM$22,1,AL248))</f>
        <v>-1</v>
      </c>
      <c r="AM249" s="25">
        <f>IF(AM248=0,-1,AM$6-INDEX('Lease Cycles'!$BG$22:$BM$22,1,AM248))</f>
        <v>-1</v>
      </c>
      <c r="AN249" s="25">
        <f>IF(AN248=0,-1,AN$6-INDEX('Lease Cycles'!$BG$22:$BM$22,1,AN248))</f>
        <v>-1</v>
      </c>
      <c r="AO249" s="25">
        <f>IF(AO248=0,-1,AO$6-INDEX('Lease Cycles'!$BG$22:$BM$22,1,AO248))</f>
        <v>-1</v>
      </c>
      <c r="AP249" s="25">
        <f>IF(AP248=0,-1,AP$6-INDEX('Lease Cycles'!$BG$22:$BM$22,1,AP248))</f>
        <v>-1</v>
      </c>
      <c r="AQ249" s="25">
        <f>IF(AQ248=0,-1,AQ$6-INDEX('Lease Cycles'!$BG$22:$BM$22,1,AQ248))</f>
        <v>-1</v>
      </c>
      <c r="AR249" s="25">
        <f>IF(AR248=0,-1,AR$6-INDEX('Lease Cycles'!$BG$22:$BM$22,1,AR248))</f>
        <v>-1</v>
      </c>
      <c r="AS249" s="25">
        <f>IF(AS248=0,-1,AS$6-INDEX('Lease Cycles'!$BG$22:$BM$22,1,AS248))</f>
        <v>-1</v>
      </c>
      <c r="AT249" s="25">
        <f>IF(AT248=0,-1,AT$6-INDEX('Lease Cycles'!$BG$22:$BM$22,1,AT248))</f>
        <v>-1</v>
      </c>
      <c r="AU249" s="25">
        <f>IF(AU248=0,-1,AU$6-INDEX('Lease Cycles'!$BG$22:$BM$22,1,AU248))</f>
        <v>-1</v>
      </c>
      <c r="AV249" s="25">
        <f>IF(AV248=0,-1,AV$6-INDEX('Lease Cycles'!$BG$22:$BM$22,1,AV248))</f>
        <v>-1</v>
      </c>
      <c r="AW249" s="25">
        <f>IF(AW248=0,-1,AW$6-INDEX('Lease Cycles'!$BG$22:$BM$22,1,AW248))</f>
        <v>-1</v>
      </c>
      <c r="AX249" s="25">
        <f>IF(AX248=0,-1,AX$6-INDEX('Lease Cycles'!$BG$22:$BM$22,1,AX248))</f>
        <v>-1</v>
      </c>
      <c r="AY249" s="25">
        <f>IF(AY248=0,-1,AY$6-INDEX('Lease Cycles'!$BG$22:$BM$22,1,AY248))</f>
        <v>-1</v>
      </c>
      <c r="AZ249" s="25">
        <f>IF(AZ248=0,-1,AZ$6-INDEX('Lease Cycles'!$BG$22:$BM$22,1,AZ248))</f>
        <v>-1</v>
      </c>
      <c r="BA249" s="25">
        <f>IF(BA248=0,-1,BA$6-INDEX('Lease Cycles'!$BG$22:$BM$22,1,BA248))</f>
        <v>-1</v>
      </c>
      <c r="BB249" s="25">
        <f>IF(BB248=0,-1,BB$6-INDEX('Lease Cycles'!$BG$22:$BM$22,1,BB248))</f>
        <v>-1</v>
      </c>
      <c r="BC249" s="25">
        <f>IF(BC248=0,-1,BC$6-INDEX('Lease Cycles'!$BG$22:$BM$22,1,BC248))</f>
        <v>-1</v>
      </c>
      <c r="BD249" s="25">
        <f>IF(BD248=0,-1,BD$6-INDEX('Lease Cycles'!$BG$22:$BM$22,1,BD248))</f>
        <v>-1</v>
      </c>
      <c r="BE249" s="25">
        <f>IF(BE248=0,-1,BE$6-INDEX('Lease Cycles'!$BG$22:$BM$22,1,BE248))</f>
        <v>-1</v>
      </c>
      <c r="BF249" s="25">
        <f>IF(BF248=0,-1,BF$6-INDEX('Lease Cycles'!$BG$22:$BM$22,1,BF248))</f>
        <v>-1</v>
      </c>
      <c r="BG249" s="25">
        <f>IF(BG248=0,-1,BG$6-INDEX('Lease Cycles'!$BG$22:$BM$22,1,BG248))</f>
        <v>-1</v>
      </c>
      <c r="BH249" s="25">
        <f>IF(BH248=0,-1,BH$6-INDEX('Lease Cycles'!$BG$22:$BM$22,1,BH248))</f>
        <v>-1</v>
      </c>
      <c r="BI249" s="25">
        <f>IF(BI248=0,-1,BI$6-INDEX('Lease Cycles'!$BG$22:$BM$22,1,BI248))</f>
        <v>-1</v>
      </c>
      <c r="BJ249" s="25">
        <f>IF(BJ248=0,-1,BJ$6-INDEX('Lease Cycles'!$BG$22:$BM$22,1,BJ248))</f>
        <v>-1</v>
      </c>
      <c r="BK249" s="25">
        <f>IF(BK248=0,-1,BK$6-INDEX('Lease Cycles'!$BG$22:$BM$22,1,BK248))</f>
        <v>-1</v>
      </c>
      <c r="BL249" s="25">
        <f>IF(BL248=0,-1,BL$6-INDEX('Lease Cycles'!$BG$22:$BM$22,1,BL248))</f>
        <v>-1</v>
      </c>
      <c r="BM249" s="25">
        <f>IF(BM248=0,-1,BM$6-INDEX('Lease Cycles'!$BG$22:$BM$22,1,BM248))</f>
        <v>-1</v>
      </c>
      <c r="BN249" s="25">
        <f>IF(BN248=0,-1,BN$6-INDEX('Lease Cycles'!$BG$22:$BM$22,1,BN248))</f>
        <v>-1</v>
      </c>
      <c r="BO249" s="25">
        <f>IF(BO248=0,-1,BO$6-INDEX('Lease Cycles'!$BG$22:$BM$22,1,BO248))</f>
        <v>-1</v>
      </c>
      <c r="BP249" s="25">
        <f>IF(BP248=0,-1,BP$6-INDEX('Lease Cycles'!$BG$22:$BM$22,1,BP248))</f>
        <v>-1</v>
      </c>
      <c r="BQ249" s="25">
        <f>IF(BQ248=0,-1,BQ$6-INDEX('Lease Cycles'!$BG$22:$BM$22,1,BQ248))</f>
        <v>-1</v>
      </c>
      <c r="BR249" s="25">
        <f>IF(BR248=0,-1,BR$6-INDEX('Lease Cycles'!$BG$22:$BM$22,1,BR248))</f>
        <v>-1</v>
      </c>
      <c r="BS249" s="25">
        <f>IF(BS248=0,-1,BS$6-INDEX('Lease Cycles'!$BG$22:$BM$22,1,BS248))</f>
        <v>-1</v>
      </c>
      <c r="BT249" s="25">
        <f>IF(BT248=0,-1,BT$6-INDEX('Lease Cycles'!$BG$22:$BM$22,1,BT248))</f>
        <v>-1</v>
      </c>
      <c r="BU249" s="25">
        <f>IF(BU248=0,-1,BU$6-INDEX('Lease Cycles'!$BG$22:$BM$22,1,BU248))</f>
        <v>-1</v>
      </c>
      <c r="BV249" s="25">
        <f>IF(BV248=0,-1,BV$6-INDEX('Lease Cycles'!$BG$22:$BM$22,1,BV248))</f>
        <v>-1</v>
      </c>
      <c r="BW249" s="25">
        <f>IF(BW248=0,-1,BW$6-INDEX('Lease Cycles'!$BG$22:$BM$22,1,BW248))</f>
        <v>-1</v>
      </c>
      <c r="BX249" s="25">
        <f>IF(BX248=0,-1,BX$6-INDEX('Lease Cycles'!$BG$22:$BM$22,1,BX248))</f>
        <v>-1</v>
      </c>
      <c r="BY249" s="25">
        <f>IF(BY248=0,-1,BY$6-INDEX('Lease Cycles'!$BG$22:$BM$22,1,BY248))</f>
        <v>-1</v>
      </c>
      <c r="BZ249" s="25">
        <f>IF(BZ248=0,-1,BZ$6-INDEX('Lease Cycles'!$BG$22:$BM$22,1,BZ248))</f>
        <v>-1</v>
      </c>
      <c r="CA249" s="25">
        <f>IF(CA248=0,-1,CA$6-INDEX('Lease Cycles'!$BG$22:$BM$22,1,CA248))</f>
        <v>-1</v>
      </c>
      <c r="CB249" s="25">
        <f>IF(CB248=0,-1,CB$6-INDEX('Lease Cycles'!$BG$22:$BM$22,1,CB248))</f>
        <v>-1</v>
      </c>
      <c r="CC249" s="25">
        <f>IF(CC248=0,-1,CC$6-INDEX('Lease Cycles'!$BG$22:$BM$22,1,CC248))</f>
        <v>-1</v>
      </c>
      <c r="CD249" s="25">
        <f>IF(CD248=0,-1,CD$6-INDEX('Lease Cycles'!$BG$22:$BM$22,1,CD248))</f>
        <v>-1</v>
      </c>
      <c r="CE249" s="25">
        <f>IF(CE248=0,-1,CE$6-INDEX('Lease Cycles'!$BG$22:$BM$22,1,CE248))</f>
        <v>-1</v>
      </c>
      <c r="CF249" s="25">
        <f>IF(CF248=0,-1,CF$6-INDEX('Lease Cycles'!$BG$22:$BM$22,1,CF248))</f>
        <v>-1</v>
      </c>
      <c r="CG249" s="25">
        <f>IF(CG248=0,-1,CG$6-INDEX('Lease Cycles'!$BG$22:$BM$22,1,CG248))</f>
        <v>-1</v>
      </c>
      <c r="CH249" s="25">
        <f>IF(CH248=0,-1,CH$6-INDEX('Lease Cycles'!$BG$22:$BM$22,1,CH248))</f>
        <v>-1</v>
      </c>
      <c r="CI249" s="25">
        <f>IF(CI248=0,-1,CI$6-INDEX('Lease Cycles'!$BG$22:$BM$22,1,CI248))</f>
        <v>-1</v>
      </c>
      <c r="CJ249" s="25">
        <f>IF(CJ248=0,-1,CJ$6-INDEX('Lease Cycles'!$BG$22:$BM$22,1,CJ248))</f>
        <v>-1</v>
      </c>
      <c r="CK249" s="25">
        <f>IF(CK248=0,-1,CK$6-INDEX('Lease Cycles'!$BG$22:$BM$22,1,CK248))</f>
        <v>-1</v>
      </c>
      <c r="CL249" s="25">
        <f>IF(CL248=0,-1,CL$6-INDEX('Lease Cycles'!$BG$22:$BM$22,1,CL248))</f>
        <v>-1</v>
      </c>
      <c r="CM249" s="25">
        <f>IF(CM248=0,-1,CM$6-INDEX('Lease Cycles'!$BG$22:$BM$22,1,CM248))</f>
        <v>-1</v>
      </c>
      <c r="CN249" s="25">
        <f>IF(CN248=0,-1,CN$6-INDEX('Lease Cycles'!$BG$22:$BM$22,1,CN248))</f>
        <v>-1</v>
      </c>
      <c r="CO249" s="25">
        <f>IF(CO248=0,-1,CO$6-INDEX('Lease Cycles'!$BG$22:$BM$22,1,CO248))</f>
        <v>-1</v>
      </c>
      <c r="CP249" s="25">
        <f>IF(CP248=0,-1,CP$6-INDEX('Lease Cycles'!$BG$22:$BM$22,1,CP248))</f>
        <v>-1</v>
      </c>
      <c r="CQ249" s="25">
        <f>IF(CQ248=0,-1,CQ$6-INDEX('Lease Cycles'!$BG$22:$BM$22,1,CQ248))</f>
        <v>-1</v>
      </c>
      <c r="CR249" s="25">
        <f>IF(CR248=0,-1,CR$6-INDEX('Lease Cycles'!$BG$22:$BM$22,1,CR248))</f>
        <v>-1</v>
      </c>
      <c r="CS249" s="25">
        <f>IF(CS248=0,-1,CS$6-INDEX('Lease Cycles'!$BG$22:$BM$22,1,CS248))</f>
        <v>-1</v>
      </c>
      <c r="CT249" s="25">
        <f>IF(CT248=0,-1,CT$6-INDEX('Lease Cycles'!$BG$22:$BM$22,1,CT248))</f>
        <v>-1</v>
      </c>
      <c r="CU249" s="25">
        <f>IF(CU248=0,-1,CU$6-INDEX('Lease Cycles'!$BG$22:$BM$22,1,CU248))</f>
        <v>-1</v>
      </c>
      <c r="CV249" s="25">
        <f>IF(CV248=0,-1,CV$6-INDEX('Lease Cycles'!$BG$22:$BM$22,1,CV248))</f>
        <v>-1</v>
      </c>
      <c r="CW249" s="25">
        <f>IF(CW248=0,-1,CW$6-INDEX('Lease Cycles'!$BG$22:$BM$22,1,CW248))</f>
        <v>-1</v>
      </c>
      <c r="CX249" s="25">
        <f>IF(CX248=0,-1,CX$6-INDEX('Lease Cycles'!$BG$22:$BM$22,1,CX248))</f>
        <v>-1</v>
      </c>
      <c r="CY249" s="25">
        <f>IF(CY248=0,-1,CY$6-INDEX('Lease Cycles'!$BG$22:$BM$22,1,CY248))</f>
        <v>-1</v>
      </c>
      <c r="CZ249" s="25">
        <f>IF(CZ248=0,-1,CZ$6-INDEX('Lease Cycles'!$BG$22:$BM$22,1,CZ248))</f>
        <v>-1</v>
      </c>
      <c r="DA249" s="25">
        <f>IF(DA248=0,-1,DA$6-INDEX('Lease Cycles'!$BG$22:$BM$22,1,DA248))</f>
        <v>-1</v>
      </c>
      <c r="DB249" s="25">
        <f>IF(DB248=0,-1,DB$6-INDEX('Lease Cycles'!$BG$22:$BM$22,1,DB248))</f>
        <v>-1</v>
      </c>
      <c r="DC249" s="25">
        <f>IF(DC248=0,-1,DC$6-INDEX('Lease Cycles'!$BG$22:$BM$22,1,DC248))</f>
        <v>-1</v>
      </c>
      <c r="DD249" s="25">
        <f>IF(DD248=0,-1,DD$6-INDEX('Lease Cycles'!$BG$22:$BM$22,1,DD248))</f>
        <v>-1</v>
      </c>
      <c r="DE249" s="25">
        <f>IF(DE248=0,-1,DE$6-INDEX('Lease Cycles'!$BG$22:$BM$22,1,DE248))</f>
        <v>-1</v>
      </c>
      <c r="DF249" s="25">
        <f>IF(DF248=0,-1,DF$6-INDEX('Lease Cycles'!$BG$22:$BM$22,1,DF248))</f>
        <v>-1</v>
      </c>
      <c r="DG249" s="25">
        <f>IF(DG248=0,-1,DG$6-INDEX('Lease Cycles'!$BG$22:$BM$22,1,DG248))</f>
        <v>-1</v>
      </c>
      <c r="DH249" s="25">
        <f>IF(DH248=0,-1,DH$6-INDEX('Lease Cycles'!$BG$22:$BM$22,1,DH248))</f>
        <v>-1</v>
      </c>
      <c r="DI249" s="25">
        <f>IF(DI248=0,-1,DI$6-INDEX('Lease Cycles'!$BG$22:$BM$22,1,DI248))</f>
        <v>-1</v>
      </c>
      <c r="DJ249" s="25">
        <f>IF(DJ248=0,-1,DJ$6-INDEX('Lease Cycles'!$BG$22:$BM$22,1,DJ248))</f>
        <v>-1</v>
      </c>
      <c r="DK249" s="25">
        <f>IF(DK248=0,-1,DK$6-INDEX('Lease Cycles'!$BG$22:$BM$22,1,DK248))</f>
        <v>-1</v>
      </c>
      <c r="DL249" s="25">
        <f>IF(DL248=0,-1,DL$6-INDEX('Lease Cycles'!$BG$22:$BM$22,1,DL248))</f>
        <v>-1</v>
      </c>
      <c r="DM249" s="25">
        <f>IF(DM248=0,-1,DM$6-INDEX('Lease Cycles'!$BG$22:$BM$22,1,DM248))</f>
        <v>-1</v>
      </c>
      <c r="DN249" s="25">
        <f>IF(DN248=0,-1,DN$6-INDEX('Lease Cycles'!$BG$22:$BM$22,1,DN248))</f>
        <v>-1</v>
      </c>
      <c r="DO249" s="25">
        <f>IF(DO248=0,-1,DO$6-INDEX('Lease Cycles'!$BG$22:$BM$22,1,DO248))</f>
        <v>-1</v>
      </c>
      <c r="DP249" s="25">
        <f>IF(DP248=0,-1,DP$6-INDEX('Lease Cycles'!$BG$22:$BM$22,1,DP248))</f>
        <v>-1</v>
      </c>
      <c r="DQ249" s="25">
        <f>IF(DQ248=0,-1,DQ$6-INDEX('Lease Cycles'!$BG$22:$BM$22,1,DQ248))</f>
        <v>-1</v>
      </c>
      <c r="DR249" s="25">
        <f>IF(DR248=0,-1,DR$6-INDEX('Lease Cycles'!$BG$22:$BM$22,1,DR248))</f>
        <v>-1</v>
      </c>
      <c r="DS249" s="25">
        <f>IF(DS248=0,-1,DS$6-INDEX('Lease Cycles'!$BG$22:$BM$22,1,DS248))</f>
        <v>-1</v>
      </c>
      <c r="DT249" s="25">
        <f>IF(DT248=0,-1,DT$6-INDEX('Lease Cycles'!$BG$22:$BM$22,1,DT248))</f>
        <v>-1</v>
      </c>
      <c r="DU249" s="25">
        <f>IF(DU248=0,-1,DU$6-INDEX('Lease Cycles'!$BG$22:$BM$22,1,DU248))</f>
        <v>-1</v>
      </c>
      <c r="DV249" s="25">
        <f>IF(DV248=0,-1,DV$6-INDEX('Lease Cycles'!$BG$22:$BM$22,1,DV248))</f>
        <v>-1</v>
      </c>
      <c r="DW249" s="25">
        <f>IF(DW248=0,-1,DW$6-INDEX('Lease Cycles'!$BG$22:$BM$22,1,DW248))</f>
        <v>-1</v>
      </c>
      <c r="DX249" s="25">
        <f>IF(DX248=0,-1,DX$6-INDEX('Lease Cycles'!$BG$22:$BM$22,1,DX248))</f>
        <v>-1</v>
      </c>
      <c r="DY249" s="25">
        <f>IF(DY248=0,-1,DY$6-INDEX('Lease Cycles'!$BG$22:$BM$22,1,DY248))</f>
        <v>-1</v>
      </c>
      <c r="DZ249" s="25">
        <f>IF(DZ248=0,-1,DZ$6-INDEX('Lease Cycles'!$BG$22:$BM$22,1,DZ248))</f>
        <v>-1</v>
      </c>
      <c r="EA249" s="25">
        <f>IF(EA248=0,-1,EA$6-INDEX('Lease Cycles'!$BG$22:$BM$22,1,EA248))</f>
        <v>-1</v>
      </c>
      <c r="EB249" s="25">
        <f>IF(EB248=0,-1,EB$6-INDEX('Lease Cycles'!$BG$22:$BM$22,1,EB248))</f>
        <v>-1</v>
      </c>
      <c r="EC249" s="25">
        <f>IF(EC248=0,-1,EC$6-INDEX('Lease Cycles'!$BG$22:$BM$22,1,EC248))</f>
        <v>-1</v>
      </c>
      <c r="ED249" s="25">
        <f>IF(ED248=0,-1,ED$6-INDEX('Lease Cycles'!$BG$22:$BM$22,1,ED248))</f>
        <v>-1</v>
      </c>
      <c r="EE249" s="25">
        <f>IF(EE248=0,-1,EE$6-INDEX('Lease Cycles'!$BG$22:$BM$22,1,EE248))</f>
        <v>-1</v>
      </c>
      <c r="EF249" s="25">
        <f>IF(EF248=0,-1,EF$6-INDEX('Lease Cycles'!$BG$22:$BM$22,1,EF248))</f>
        <v>-1</v>
      </c>
      <c r="EG249" s="25">
        <f>IF(EG248=0,-1,EG$6-INDEX('Lease Cycles'!$BG$22:$BM$22,1,EG248))</f>
        <v>-1</v>
      </c>
      <c r="EH249" s="25">
        <f>IF(EH248=0,-1,EH$6-INDEX('Lease Cycles'!$BG$22:$BM$22,1,EH248))</f>
        <v>-1</v>
      </c>
      <c r="EI249" s="25">
        <f>IF(EI248=0,-1,EI$6-INDEX('Lease Cycles'!$BG$22:$BM$22,1,EI248))</f>
        <v>-1</v>
      </c>
      <c r="EJ249" s="25">
        <f>IF(EJ248=0,-1,EJ$6-INDEX('Lease Cycles'!$BG$22:$BM$22,1,EJ248))</f>
        <v>-1</v>
      </c>
      <c r="EK249" s="25">
        <f>IF(EK248=0,-1,EK$6-INDEX('Lease Cycles'!$BG$22:$BM$22,1,EK248))</f>
        <v>-1</v>
      </c>
      <c r="EL249" s="25">
        <f>IF(EL248=0,-1,EL$6-INDEX('Lease Cycles'!$BG$22:$BM$22,1,EL248))</f>
        <v>-1</v>
      </c>
      <c r="EM249" s="25">
        <f>IF(EM248=0,-1,EM$6-INDEX('Lease Cycles'!$BG$22:$BM$22,1,EM248))</f>
        <v>-1</v>
      </c>
      <c r="EN249" s="25">
        <f>IF(EN248=0,-1,EN$6-INDEX('Lease Cycles'!$BG$22:$BM$22,1,EN248))</f>
        <v>-1</v>
      </c>
      <c r="EO249" s="25">
        <f>IF(EO248=0,-1,EO$6-INDEX('Lease Cycles'!$BG$22:$BM$22,1,EO248))</f>
        <v>-1</v>
      </c>
      <c r="EP249" s="25">
        <f>IF(EP248=0,-1,EP$6-INDEX('Lease Cycles'!$BG$22:$BM$22,1,EP248))</f>
        <v>-1</v>
      </c>
      <c r="EQ249" s="25">
        <f>IF(EQ248=0,-1,EQ$6-INDEX('Lease Cycles'!$BG$22:$BM$22,1,EQ248))</f>
        <v>-1</v>
      </c>
      <c r="ER249" s="25">
        <f>IF(ER248=0,-1,ER$6-INDEX('Lease Cycles'!$BG$22:$BM$22,1,ER248))</f>
        <v>-1</v>
      </c>
      <c r="ES249" s="25">
        <f>IF(ES248=0,-1,ES$6-INDEX('Lease Cycles'!$BG$22:$BM$22,1,ES248))</f>
        <v>-1</v>
      </c>
      <c r="ET249" s="25">
        <f>IF(ET248=0,-1,ET$6-INDEX('Lease Cycles'!$BG$22:$BM$22,1,ET248))</f>
        <v>-1</v>
      </c>
    </row>
    <row r="250">
      <c r="A250" s="103">
        <v>15</v>
      </c>
      <c r="B250" s="23" t="str">
        <f>IF('Lease Cycles'!$B$22="","(empty slot)",'Lease Cycles'!$B$22)</f>
        <v>(empty slot)</v>
      </c>
      <c r="C250" s="23" t="s">
        <v>675</v>
      </c>
      <c r="D250" s="104" t="s">
        <v>676</v>
      </c>
      <c r="E250" s="25">
        <f>'Lease Cycles'!$AL$22</f>
        <v>0</v>
      </c>
      <c r="S250" s="25">
        <f>IF(S248=0,0,IF(S249&lt;INDEX('Lease Cycles'!$BN$22:$BT$22,1,S248),1,0))</f>
        <v>0</v>
      </c>
      <c r="T250" s="25">
        <f>IF(T248=0,0,IF(T249&lt;INDEX('Lease Cycles'!$BN$22:$BT$22,1,T248),1,0))</f>
        <v>0</v>
      </c>
      <c r="U250" s="25">
        <f>IF(U248=0,0,IF(U249&lt;INDEX('Lease Cycles'!$BN$22:$BT$22,1,U248),1,0))</f>
        <v>0</v>
      </c>
      <c r="V250" s="25">
        <f>IF(V248=0,0,IF(V249&lt;INDEX('Lease Cycles'!$BN$22:$BT$22,1,V248),1,0))</f>
        <v>0</v>
      </c>
      <c r="W250" s="25">
        <f>IF(W248=0,0,IF(W249&lt;INDEX('Lease Cycles'!$BN$22:$BT$22,1,W248),1,0))</f>
        <v>0</v>
      </c>
      <c r="X250" s="25">
        <f>IF(X248=0,0,IF(X249&lt;INDEX('Lease Cycles'!$BN$22:$BT$22,1,X248),1,0))</f>
        <v>0</v>
      </c>
      <c r="Y250" s="25">
        <f>IF(Y248=0,0,IF(Y249&lt;INDEX('Lease Cycles'!$BN$22:$BT$22,1,Y248),1,0))</f>
        <v>0</v>
      </c>
      <c r="Z250" s="25">
        <f>IF(Z248=0,0,IF(Z249&lt;INDEX('Lease Cycles'!$BN$22:$BT$22,1,Z248),1,0))</f>
        <v>0</v>
      </c>
      <c r="AA250" s="25">
        <f>IF(AA248=0,0,IF(AA249&lt;INDEX('Lease Cycles'!$BN$22:$BT$22,1,AA248),1,0))</f>
        <v>0</v>
      </c>
      <c r="AB250" s="25">
        <f>IF(AB248=0,0,IF(AB249&lt;INDEX('Lease Cycles'!$BN$22:$BT$22,1,AB248),1,0))</f>
        <v>0</v>
      </c>
      <c r="AC250" s="25">
        <f>IF(AC248=0,0,IF(AC249&lt;INDEX('Lease Cycles'!$BN$22:$BT$22,1,AC248),1,0))</f>
        <v>0</v>
      </c>
      <c r="AD250" s="25">
        <f>IF(AD248=0,0,IF(AD249&lt;INDEX('Lease Cycles'!$BN$22:$BT$22,1,AD248),1,0))</f>
        <v>0</v>
      </c>
      <c r="AE250" s="25">
        <f>IF(AE248=0,0,IF(AE249&lt;INDEX('Lease Cycles'!$BN$22:$BT$22,1,AE248),1,0))</f>
        <v>0</v>
      </c>
      <c r="AF250" s="25">
        <f>IF(AF248=0,0,IF(AF249&lt;INDEX('Lease Cycles'!$BN$22:$BT$22,1,AF248),1,0))</f>
        <v>0</v>
      </c>
      <c r="AG250" s="25">
        <f>IF(AG248=0,0,IF(AG249&lt;INDEX('Lease Cycles'!$BN$22:$BT$22,1,AG248),1,0))</f>
        <v>0</v>
      </c>
      <c r="AH250" s="25">
        <f>IF(AH248=0,0,IF(AH249&lt;INDEX('Lease Cycles'!$BN$22:$BT$22,1,AH248),1,0))</f>
        <v>0</v>
      </c>
      <c r="AI250" s="25">
        <f>IF(AI248=0,0,IF(AI249&lt;INDEX('Lease Cycles'!$BN$22:$BT$22,1,AI248),1,0))</f>
        <v>0</v>
      </c>
      <c r="AJ250" s="25">
        <f>IF(AJ248=0,0,IF(AJ249&lt;INDEX('Lease Cycles'!$BN$22:$BT$22,1,AJ248),1,0))</f>
        <v>0</v>
      </c>
      <c r="AK250" s="25">
        <f>IF(AK248=0,0,IF(AK249&lt;INDEX('Lease Cycles'!$BN$22:$BT$22,1,AK248),1,0))</f>
        <v>0</v>
      </c>
      <c r="AL250" s="25">
        <f>IF(AL248=0,0,IF(AL249&lt;INDEX('Lease Cycles'!$BN$22:$BT$22,1,AL248),1,0))</f>
        <v>0</v>
      </c>
      <c r="AM250" s="25">
        <f>IF(AM248=0,0,IF(AM249&lt;INDEX('Lease Cycles'!$BN$22:$BT$22,1,AM248),1,0))</f>
        <v>0</v>
      </c>
      <c r="AN250" s="25">
        <f>IF(AN248=0,0,IF(AN249&lt;INDEX('Lease Cycles'!$BN$22:$BT$22,1,AN248),1,0))</f>
        <v>0</v>
      </c>
      <c r="AO250" s="25">
        <f>IF(AO248=0,0,IF(AO249&lt;INDEX('Lease Cycles'!$BN$22:$BT$22,1,AO248),1,0))</f>
        <v>0</v>
      </c>
      <c r="AP250" s="25">
        <f>IF(AP248=0,0,IF(AP249&lt;INDEX('Lease Cycles'!$BN$22:$BT$22,1,AP248),1,0))</f>
        <v>0</v>
      </c>
      <c r="AQ250" s="25">
        <f>IF(AQ248=0,0,IF(AQ249&lt;INDEX('Lease Cycles'!$BN$22:$BT$22,1,AQ248),1,0))</f>
        <v>0</v>
      </c>
      <c r="AR250" s="25">
        <f>IF(AR248=0,0,IF(AR249&lt;INDEX('Lease Cycles'!$BN$22:$BT$22,1,AR248),1,0))</f>
        <v>0</v>
      </c>
      <c r="AS250" s="25">
        <f>IF(AS248=0,0,IF(AS249&lt;INDEX('Lease Cycles'!$BN$22:$BT$22,1,AS248),1,0))</f>
        <v>0</v>
      </c>
      <c r="AT250" s="25">
        <f>IF(AT248=0,0,IF(AT249&lt;INDEX('Lease Cycles'!$BN$22:$BT$22,1,AT248),1,0))</f>
        <v>0</v>
      </c>
      <c r="AU250" s="25">
        <f>IF(AU248=0,0,IF(AU249&lt;INDEX('Lease Cycles'!$BN$22:$BT$22,1,AU248),1,0))</f>
        <v>0</v>
      </c>
      <c r="AV250" s="25">
        <f>IF(AV248=0,0,IF(AV249&lt;INDEX('Lease Cycles'!$BN$22:$BT$22,1,AV248),1,0))</f>
        <v>0</v>
      </c>
      <c r="AW250" s="25">
        <f>IF(AW248=0,0,IF(AW249&lt;INDEX('Lease Cycles'!$BN$22:$BT$22,1,AW248),1,0))</f>
        <v>0</v>
      </c>
      <c r="AX250" s="25">
        <f>IF(AX248=0,0,IF(AX249&lt;INDEX('Lease Cycles'!$BN$22:$BT$22,1,AX248),1,0))</f>
        <v>0</v>
      </c>
      <c r="AY250" s="25">
        <f>IF(AY248=0,0,IF(AY249&lt;INDEX('Lease Cycles'!$BN$22:$BT$22,1,AY248),1,0))</f>
        <v>0</v>
      </c>
      <c r="AZ250" s="25">
        <f>IF(AZ248=0,0,IF(AZ249&lt;INDEX('Lease Cycles'!$BN$22:$BT$22,1,AZ248),1,0))</f>
        <v>0</v>
      </c>
      <c r="BA250" s="25">
        <f>IF(BA248=0,0,IF(BA249&lt;INDEX('Lease Cycles'!$BN$22:$BT$22,1,BA248),1,0))</f>
        <v>0</v>
      </c>
      <c r="BB250" s="25">
        <f>IF(BB248=0,0,IF(BB249&lt;INDEX('Lease Cycles'!$BN$22:$BT$22,1,BB248),1,0))</f>
        <v>0</v>
      </c>
      <c r="BC250" s="25">
        <f>IF(BC248=0,0,IF(BC249&lt;INDEX('Lease Cycles'!$BN$22:$BT$22,1,BC248),1,0))</f>
        <v>0</v>
      </c>
      <c r="BD250" s="25">
        <f>IF(BD248=0,0,IF(BD249&lt;INDEX('Lease Cycles'!$BN$22:$BT$22,1,BD248),1,0))</f>
        <v>0</v>
      </c>
      <c r="BE250" s="25">
        <f>IF(BE248=0,0,IF(BE249&lt;INDEX('Lease Cycles'!$BN$22:$BT$22,1,BE248),1,0))</f>
        <v>0</v>
      </c>
      <c r="BF250" s="25">
        <f>IF(BF248=0,0,IF(BF249&lt;INDEX('Lease Cycles'!$BN$22:$BT$22,1,BF248),1,0))</f>
        <v>0</v>
      </c>
      <c r="BG250" s="25">
        <f>IF(BG248=0,0,IF(BG249&lt;INDEX('Lease Cycles'!$BN$22:$BT$22,1,BG248),1,0))</f>
        <v>0</v>
      </c>
      <c r="BH250" s="25">
        <f>IF(BH248=0,0,IF(BH249&lt;INDEX('Lease Cycles'!$BN$22:$BT$22,1,BH248),1,0))</f>
        <v>0</v>
      </c>
      <c r="BI250" s="25">
        <f>IF(BI248=0,0,IF(BI249&lt;INDEX('Lease Cycles'!$BN$22:$BT$22,1,BI248),1,0))</f>
        <v>0</v>
      </c>
      <c r="BJ250" s="25">
        <f>IF(BJ248=0,0,IF(BJ249&lt;INDEX('Lease Cycles'!$BN$22:$BT$22,1,BJ248),1,0))</f>
        <v>0</v>
      </c>
      <c r="BK250" s="25">
        <f>IF(BK248=0,0,IF(BK249&lt;INDEX('Lease Cycles'!$BN$22:$BT$22,1,BK248),1,0))</f>
        <v>0</v>
      </c>
      <c r="BL250" s="25">
        <f>IF(BL248=0,0,IF(BL249&lt;INDEX('Lease Cycles'!$BN$22:$BT$22,1,BL248),1,0))</f>
        <v>0</v>
      </c>
      <c r="BM250" s="25">
        <f>IF(BM248=0,0,IF(BM249&lt;INDEX('Lease Cycles'!$BN$22:$BT$22,1,BM248),1,0))</f>
        <v>0</v>
      </c>
      <c r="BN250" s="25">
        <f>IF(BN248=0,0,IF(BN249&lt;INDEX('Lease Cycles'!$BN$22:$BT$22,1,BN248),1,0))</f>
        <v>0</v>
      </c>
      <c r="BO250" s="25">
        <f>IF(BO248=0,0,IF(BO249&lt;INDEX('Lease Cycles'!$BN$22:$BT$22,1,BO248),1,0))</f>
        <v>0</v>
      </c>
      <c r="BP250" s="25">
        <f>IF(BP248=0,0,IF(BP249&lt;INDEX('Lease Cycles'!$BN$22:$BT$22,1,BP248),1,0))</f>
        <v>0</v>
      </c>
      <c r="BQ250" s="25">
        <f>IF(BQ248=0,0,IF(BQ249&lt;INDEX('Lease Cycles'!$BN$22:$BT$22,1,BQ248),1,0))</f>
        <v>0</v>
      </c>
      <c r="BR250" s="25">
        <f>IF(BR248=0,0,IF(BR249&lt;INDEX('Lease Cycles'!$BN$22:$BT$22,1,BR248),1,0))</f>
        <v>0</v>
      </c>
      <c r="BS250" s="25">
        <f>IF(BS248=0,0,IF(BS249&lt;INDEX('Lease Cycles'!$BN$22:$BT$22,1,BS248),1,0))</f>
        <v>0</v>
      </c>
      <c r="BT250" s="25">
        <f>IF(BT248=0,0,IF(BT249&lt;INDEX('Lease Cycles'!$BN$22:$BT$22,1,BT248),1,0))</f>
        <v>0</v>
      </c>
      <c r="BU250" s="25">
        <f>IF(BU248=0,0,IF(BU249&lt;INDEX('Lease Cycles'!$BN$22:$BT$22,1,BU248),1,0))</f>
        <v>0</v>
      </c>
      <c r="BV250" s="25">
        <f>IF(BV248=0,0,IF(BV249&lt;INDEX('Lease Cycles'!$BN$22:$BT$22,1,BV248),1,0))</f>
        <v>0</v>
      </c>
      <c r="BW250" s="25">
        <f>IF(BW248=0,0,IF(BW249&lt;INDEX('Lease Cycles'!$BN$22:$BT$22,1,BW248),1,0))</f>
        <v>0</v>
      </c>
      <c r="BX250" s="25">
        <f>IF(BX248=0,0,IF(BX249&lt;INDEX('Lease Cycles'!$BN$22:$BT$22,1,BX248),1,0))</f>
        <v>0</v>
      </c>
      <c r="BY250" s="25">
        <f>IF(BY248=0,0,IF(BY249&lt;INDEX('Lease Cycles'!$BN$22:$BT$22,1,BY248),1,0))</f>
        <v>0</v>
      </c>
      <c r="BZ250" s="25">
        <f>IF(BZ248=0,0,IF(BZ249&lt;INDEX('Lease Cycles'!$BN$22:$BT$22,1,BZ248),1,0))</f>
        <v>0</v>
      </c>
      <c r="CA250" s="25">
        <f>IF(CA248=0,0,IF(CA249&lt;INDEX('Lease Cycles'!$BN$22:$BT$22,1,CA248),1,0))</f>
        <v>0</v>
      </c>
      <c r="CB250" s="25">
        <f>IF(CB248=0,0,IF(CB249&lt;INDEX('Lease Cycles'!$BN$22:$BT$22,1,CB248),1,0))</f>
        <v>0</v>
      </c>
      <c r="CC250" s="25">
        <f>IF(CC248=0,0,IF(CC249&lt;INDEX('Lease Cycles'!$BN$22:$BT$22,1,CC248),1,0))</f>
        <v>0</v>
      </c>
      <c r="CD250" s="25">
        <f>IF(CD248=0,0,IF(CD249&lt;INDEX('Lease Cycles'!$BN$22:$BT$22,1,CD248),1,0))</f>
        <v>0</v>
      </c>
      <c r="CE250" s="25">
        <f>IF(CE248=0,0,IF(CE249&lt;INDEX('Lease Cycles'!$BN$22:$BT$22,1,CE248),1,0))</f>
        <v>0</v>
      </c>
      <c r="CF250" s="25">
        <f>IF(CF248=0,0,IF(CF249&lt;INDEX('Lease Cycles'!$BN$22:$BT$22,1,CF248),1,0))</f>
        <v>0</v>
      </c>
      <c r="CG250" s="25">
        <f>IF(CG248=0,0,IF(CG249&lt;INDEX('Lease Cycles'!$BN$22:$BT$22,1,CG248),1,0))</f>
        <v>0</v>
      </c>
      <c r="CH250" s="25">
        <f>IF(CH248=0,0,IF(CH249&lt;INDEX('Lease Cycles'!$BN$22:$BT$22,1,CH248),1,0))</f>
        <v>0</v>
      </c>
      <c r="CI250" s="25">
        <f>IF(CI248=0,0,IF(CI249&lt;INDEX('Lease Cycles'!$BN$22:$BT$22,1,CI248),1,0))</f>
        <v>0</v>
      </c>
      <c r="CJ250" s="25">
        <f>IF(CJ248=0,0,IF(CJ249&lt;INDEX('Lease Cycles'!$BN$22:$BT$22,1,CJ248),1,0))</f>
        <v>0</v>
      </c>
      <c r="CK250" s="25">
        <f>IF(CK248=0,0,IF(CK249&lt;INDEX('Lease Cycles'!$BN$22:$BT$22,1,CK248),1,0))</f>
        <v>0</v>
      </c>
      <c r="CL250" s="25">
        <f>IF(CL248=0,0,IF(CL249&lt;INDEX('Lease Cycles'!$BN$22:$BT$22,1,CL248),1,0))</f>
        <v>0</v>
      </c>
      <c r="CM250" s="25">
        <f>IF(CM248=0,0,IF(CM249&lt;INDEX('Lease Cycles'!$BN$22:$BT$22,1,CM248),1,0))</f>
        <v>0</v>
      </c>
      <c r="CN250" s="25">
        <f>IF(CN248=0,0,IF(CN249&lt;INDEX('Lease Cycles'!$BN$22:$BT$22,1,CN248),1,0))</f>
        <v>0</v>
      </c>
      <c r="CO250" s="25">
        <f>IF(CO248=0,0,IF(CO249&lt;INDEX('Lease Cycles'!$BN$22:$BT$22,1,CO248),1,0))</f>
        <v>0</v>
      </c>
      <c r="CP250" s="25">
        <f>IF(CP248=0,0,IF(CP249&lt;INDEX('Lease Cycles'!$BN$22:$BT$22,1,CP248),1,0))</f>
        <v>0</v>
      </c>
      <c r="CQ250" s="25">
        <f>IF(CQ248=0,0,IF(CQ249&lt;INDEX('Lease Cycles'!$BN$22:$BT$22,1,CQ248),1,0))</f>
        <v>0</v>
      </c>
      <c r="CR250" s="25">
        <f>IF(CR248=0,0,IF(CR249&lt;INDEX('Lease Cycles'!$BN$22:$BT$22,1,CR248),1,0))</f>
        <v>0</v>
      </c>
      <c r="CS250" s="25">
        <f>IF(CS248=0,0,IF(CS249&lt;INDEX('Lease Cycles'!$BN$22:$BT$22,1,CS248),1,0))</f>
        <v>0</v>
      </c>
      <c r="CT250" s="25">
        <f>IF(CT248=0,0,IF(CT249&lt;INDEX('Lease Cycles'!$BN$22:$BT$22,1,CT248),1,0))</f>
        <v>0</v>
      </c>
      <c r="CU250" s="25">
        <f>IF(CU248=0,0,IF(CU249&lt;INDEX('Lease Cycles'!$BN$22:$BT$22,1,CU248),1,0))</f>
        <v>0</v>
      </c>
      <c r="CV250" s="25">
        <f>IF(CV248=0,0,IF(CV249&lt;INDEX('Lease Cycles'!$BN$22:$BT$22,1,CV248),1,0))</f>
        <v>0</v>
      </c>
      <c r="CW250" s="25">
        <f>IF(CW248=0,0,IF(CW249&lt;INDEX('Lease Cycles'!$BN$22:$BT$22,1,CW248),1,0))</f>
        <v>0</v>
      </c>
      <c r="CX250" s="25">
        <f>IF(CX248=0,0,IF(CX249&lt;INDEX('Lease Cycles'!$BN$22:$BT$22,1,CX248),1,0))</f>
        <v>0</v>
      </c>
      <c r="CY250" s="25">
        <f>IF(CY248=0,0,IF(CY249&lt;INDEX('Lease Cycles'!$BN$22:$BT$22,1,CY248),1,0))</f>
        <v>0</v>
      </c>
      <c r="CZ250" s="25">
        <f>IF(CZ248=0,0,IF(CZ249&lt;INDEX('Lease Cycles'!$BN$22:$BT$22,1,CZ248),1,0))</f>
        <v>0</v>
      </c>
      <c r="DA250" s="25">
        <f>IF(DA248=0,0,IF(DA249&lt;INDEX('Lease Cycles'!$BN$22:$BT$22,1,DA248),1,0))</f>
        <v>0</v>
      </c>
      <c r="DB250" s="25">
        <f>IF(DB248=0,0,IF(DB249&lt;INDEX('Lease Cycles'!$BN$22:$BT$22,1,DB248),1,0))</f>
        <v>0</v>
      </c>
      <c r="DC250" s="25">
        <f>IF(DC248=0,0,IF(DC249&lt;INDEX('Lease Cycles'!$BN$22:$BT$22,1,DC248),1,0))</f>
        <v>0</v>
      </c>
      <c r="DD250" s="25">
        <f>IF(DD248=0,0,IF(DD249&lt;INDEX('Lease Cycles'!$BN$22:$BT$22,1,DD248),1,0))</f>
        <v>0</v>
      </c>
      <c r="DE250" s="25">
        <f>IF(DE248=0,0,IF(DE249&lt;INDEX('Lease Cycles'!$BN$22:$BT$22,1,DE248),1,0))</f>
        <v>0</v>
      </c>
      <c r="DF250" s="25">
        <f>IF(DF248=0,0,IF(DF249&lt;INDEX('Lease Cycles'!$BN$22:$BT$22,1,DF248),1,0))</f>
        <v>0</v>
      </c>
      <c r="DG250" s="25">
        <f>IF(DG248=0,0,IF(DG249&lt;INDEX('Lease Cycles'!$BN$22:$BT$22,1,DG248),1,0))</f>
        <v>0</v>
      </c>
      <c r="DH250" s="25">
        <f>IF(DH248=0,0,IF(DH249&lt;INDEX('Lease Cycles'!$BN$22:$BT$22,1,DH248),1,0))</f>
        <v>0</v>
      </c>
      <c r="DI250" s="25">
        <f>IF(DI248=0,0,IF(DI249&lt;INDEX('Lease Cycles'!$BN$22:$BT$22,1,DI248),1,0))</f>
        <v>0</v>
      </c>
      <c r="DJ250" s="25">
        <f>IF(DJ248=0,0,IF(DJ249&lt;INDEX('Lease Cycles'!$BN$22:$BT$22,1,DJ248),1,0))</f>
        <v>0</v>
      </c>
      <c r="DK250" s="25">
        <f>IF(DK248=0,0,IF(DK249&lt;INDEX('Lease Cycles'!$BN$22:$BT$22,1,DK248),1,0))</f>
        <v>0</v>
      </c>
      <c r="DL250" s="25">
        <f>IF(DL248=0,0,IF(DL249&lt;INDEX('Lease Cycles'!$BN$22:$BT$22,1,DL248),1,0))</f>
        <v>0</v>
      </c>
      <c r="DM250" s="25">
        <f>IF(DM248=0,0,IF(DM249&lt;INDEX('Lease Cycles'!$BN$22:$BT$22,1,DM248),1,0))</f>
        <v>0</v>
      </c>
      <c r="DN250" s="25">
        <f>IF(DN248=0,0,IF(DN249&lt;INDEX('Lease Cycles'!$BN$22:$BT$22,1,DN248),1,0))</f>
        <v>0</v>
      </c>
      <c r="DO250" s="25">
        <f>IF(DO248=0,0,IF(DO249&lt;INDEX('Lease Cycles'!$BN$22:$BT$22,1,DO248),1,0))</f>
        <v>0</v>
      </c>
      <c r="DP250" s="25">
        <f>IF(DP248=0,0,IF(DP249&lt;INDEX('Lease Cycles'!$BN$22:$BT$22,1,DP248),1,0))</f>
        <v>0</v>
      </c>
      <c r="DQ250" s="25">
        <f>IF(DQ248=0,0,IF(DQ249&lt;INDEX('Lease Cycles'!$BN$22:$BT$22,1,DQ248),1,0))</f>
        <v>0</v>
      </c>
      <c r="DR250" s="25">
        <f>IF(DR248=0,0,IF(DR249&lt;INDEX('Lease Cycles'!$BN$22:$BT$22,1,DR248),1,0))</f>
        <v>0</v>
      </c>
      <c r="DS250" s="25">
        <f>IF(DS248=0,0,IF(DS249&lt;INDEX('Lease Cycles'!$BN$22:$BT$22,1,DS248),1,0))</f>
        <v>0</v>
      </c>
      <c r="DT250" s="25">
        <f>IF(DT248=0,0,IF(DT249&lt;INDEX('Lease Cycles'!$BN$22:$BT$22,1,DT248),1,0))</f>
        <v>0</v>
      </c>
      <c r="DU250" s="25">
        <f>IF(DU248=0,0,IF(DU249&lt;INDEX('Lease Cycles'!$BN$22:$BT$22,1,DU248),1,0))</f>
        <v>0</v>
      </c>
      <c r="DV250" s="25">
        <f>IF(DV248=0,0,IF(DV249&lt;INDEX('Lease Cycles'!$BN$22:$BT$22,1,DV248),1,0))</f>
        <v>0</v>
      </c>
      <c r="DW250" s="25">
        <f>IF(DW248=0,0,IF(DW249&lt;INDEX('Lease Cycles'!$BN$22:$BT$22,1,DW248),1,0))</f>
        <v>0</v>
      </c>
      <c r="DX250" s="25">
        <f>IF(DX248=0,0,IF(DX249&lt;INDEX('Lease Cycles'!$BN$22:$BT$22,1,DX248),1,0))</f>
        <v>0</v>
      </c>
      <c r="DY250" s="25">
        <f>IF(DY248=0,0,IF(DY249&lt;INDEX('Lease Cycles'!$BN$22:$BT$22,1,DY248),1,0))</f>
        <v>0</v>
      </c>
      <c r="DZ250" s="25">
        <f>IF(DZ248=0,0,IF(DZ249&lt;INDEX('Lease Cycles'!$BN$22:$BT$22,1,DZ248),1,0))</f>
        <v>0</v>
      </c>
      <c r="EA250" s="25">
        <f>IF(EA248=0,0,IF(EA249&lt;INDEX('Lease Cycles'!$BN$22:$BT$22,1,EA248),1,0))</f>
        <v>0</v>
      </c>
      <c r="EB250" s="25">
        <f>IF(EB248=0,0,IF(EB249&lt;INDEX('Lease Cycles'!$BN$22:$BT$22,1,EB248),1,0))</f>
        <v>0</v>
      </c>
      <c r="EC250" s="25">
        <f>IF(EC248=0,0,IF(EC249&lt;INDEX('Lease Cycles'!$BN$22:$BT$22,1,EC248),1,0))</f>
        <v>0</v>
      </c>
      <c r="ED250" s="25">
        <f>IF(ED248=0,0,IF(ED249&lt;INDEX('Lease Cycles'!$BN$22:$BT$22,1,ED248),1,0))</f>
        <v>0</v>
      </c>
      <c r="EE250" s="25">
        <f>IF(EE248=0,0,IF(EE249&lt;INDEX('Lease Cycles'!$BN$22:$BT$22,1,EE248),1,0))</f>
        <v>0</v>
      </c>
      <c r="EF250" s="25">
        <f>IF(EF248=0,0,IF(EF249&lt;INDEX('Lease Cycles'!$BN$22:$BT$22,1,EF248),1,0))</f>
        <v>0</v>
      </c>
      <c r="EG250" s="25">
        <f>IF(EG248=0,0,IF(EG249&lt;INDEX('Lease Cycles'!$BN$22:$BT$22,1,EG248),1,0))</f>
        <v>0</v>
      </c>
      <c r="EH250" s="25">
        <f>IF(EH248=0,0,IF(EH249&lt;INDEX('Lease Cycles'!$BN$22:$BT$22,1,EH248),1,0))</f>
        <v>0</v>
      </c>
      <c r="EI250" s="25">
        <f>IF(EI248=0,0,IF(EI249&lt;INDEX('Lease Cycles'!$BN$22:$BT$22,1,EI248),1,0))</f>
        <v>0</v>
      </c>
      <c r="EJ250" s="25">
        <f>IF(EJ248=0,0,IF(EJ249&lt;INDEX('Lease Cycles'!$BN$22:$BT$22,1,EJ248),1,0))</f>
        <v>0</v>
      </c>
      <c r="EK250" s="25">
        <f>IF(EK248=0,0,IF(EK249&lt;INDEX('Lease Cycles'!$BN$22:$BT$22,1,EK248),1,0))</f>
        <v>0</v>
      </c>
      <c r="EL250" s="25">
        <f>IF(EL248=0,0,IF(EL249&lt;INDEX('Lease Cycles'!$BN$22:$BT$22,1,EL248),1,0))</f>
        <v>0</v>
      </c>
      <c r="EM250" s="25">
        <f>IF(EM248=0,0,IF(EM249&lt;INDEX('Lease Cycles'!$BN$22:$BT$22,1,EM248),1,0))</f>
        <v>0</v>
      </c>
      <c r="EN250" s="25">
        <f>IF(EN248=0,0,IF(EN249&lt;INDEX('Lease Cycles'!$BN$22:$BT$22,1,EN248),1,0))</f>
        <v>0</v>
      </c>
      <c r="EO250" s="25">
        <f>IF(EO248=0,0,IF(EO249&lt;INDEX('Lease Cycles'!$BN$22:$BT$22,1,EO248),1,0))</f>
        <v>0</v>
      </c>
      <c r="EP250" s="25">
        <f>IF(EP248=0,0,IF(EP249&lt;INDEX('Lease Cycles'!$BN$22:$BT$22,1,EP248),1,0))</f>
        <v>0</v>
      </c>
      <c r="EQ250" s="25">
        <f>IF(EQ248=0,0,IF(EQ249&lt;INDEX('Lease Cycles'!$BN$22:$BT$22,1,EQ248),1,0))</f>
        <v>0</v>
      </c>
      <c r="ER250" s="25">
        <f>IF(ER248=0,0,IF(ER249&lt;INDEX('Lease Cycles'!$BN$22:$BT$22,1,ER248),1,0))</f>
        <v>0</v>
      </c>
      <c r="ES250" s="25">
        <f>IF(ES248=0,0,IF(ES249&lt;INDEX('Lease Cycles'!$BN$22:$BT$22,1,ES248),1,0))</f>
        <v>0</v>
      </c>
      <c r="ET250" s="25">
        <f>IF(ET248=0,0,IF(ET249&lt;INDEX('Lease Cycles'!$BN$22:$BT$22,1,ET248),1,0))</f>
        <v>0</v>
      </c>
    </row>
    <row r="251">
      <c r="A251" s="103">
        <v>15</v>
      </c>
      <c r="B251" s="23" t="str">
        <f>IF('Lease Cycles'!$B$22="","(empty slot)",'Lease Cycles'!$B$22)</f>
        <v>(empty slot)</v>
      </c>
      <c r="C251" s="23" t="s">
        <v>677</v>
      </c>
      <c r="D251" s="104" t="s">
        <v>678</v>
      </c>
      <c r="E251" s="25">
        <f>'Lease Cycles'!$AL$22</f>
        <v>0</v>
      </c>
      <c r="S251" s="28">
        <f>IF(S248=0,IF('Lease Cycles'!$F$22&gt;0,'Lease Cycles'!$C$22*'Lease Cycles'!$E$22/12,0),IF(S250=1,IF('Lease Cycles'!$AT$22&gt;=9999,'Lease Cycles'!$C$22*INDEX('Lease Cycles'!$CB$22:$CH$22,1,S248)*(1+INDEX('Lease Cycles'!$CI$22:$CO$22,1,S248))^INT(INT(S249/12)/INDEX('Lease Cycles'!$CP$22:$CV$22,1,S248))/12,IF(S248=1,IF(S249&gt;=INDEX('Lease Cycles'!$DK$22:$DQ$22,1,S248),IF(S$6&gt;='Lease Cycles'!$AZ$22,'Lease Cycles'!$C$22*'Lease Cycles'!$BA$22/12,IF(S$6&gt;='Lease Cycles'!$AX$22,'Lease Cycles'!$C$22*'Lease Cycles'!$AY$22/12,IF(S$6&gt;='Lease Cycles'!$AV$22,'Lease Cycles'!$C$22*'Lease Cycles'!$AW$22/12,IF(S$6&gt;='Lease Cycles'!$AT$22,'Lease Cycles'!$C$22*'Lease Cycles'!$AU$22/12,'Lease Cycles'!$C$22*INDEX('Lease Cycles'!$CB$22:$CH$22,1,S248)*(1+INDEX('Lease Cycles'!$CI$22:$CO$22,1,S248))^INT(INT(S249/12)/INDEX('Lease Cycles'!$CP$22:$CV$22,1,S248))/12)))),'Lease Cycles'!$C$22*INDEX('Lease Cycles'!$CB$22:$CH$22,1,S248)*(1+INDEX('Lease Cycles'!$CI$22:$CO$22,1,S248))^INT(INT(S249/12)/INDEX('Lease Cycles'!$CP$22:$CV$22,1,S248))/12),IF(INDEX('Lease Cycles'!$EF$22:$EL$22,1,S248)=1,IF(AND('Lease Cycles'!$AZ$22&gt;=INDEX('Lease Cycles'!$BG$22:$BM$22,1,S248),'Lease Cycles'!$AZ$22&lt;=S$6),'Lease Cycles'!$C$22*'Lease Cycles'!$BA$22/12,IF(AND('Lease Cycles'!$AX$22&gt;=INDEX('Lease Cycles'!$BG$22:$BM$22,1,S248),'Lease Cycles'!$AX$22&lt;=S$6),'Lease Cycles'!$C$22*'Lease Cycles'!$AY$22/12,IF(AND('Lease Cycles'!$AV$22&gt;=INDEX('Lease Cycles'!$BG$22:$BM$22,1,S248),'Lease Cycles'!$AV$22&lt;=S$6),'Lease Cycles'!$C$22*'Lease Cycles'!$AW$22/12,IF(AND('Lease Cycles'!$AT$22&gt;=INDEX('Lease Cycles'!$BG$22:$BM$22,1,S248),'Lease Cycles'!$AT$22&lt;=S$6),'Lease Cycles'!$C$22*'Lease Cycles'!$AU$22/12,'Lease Cycles'!$C$22*INDEX('Lease Cycles'!$CB$22:$CH$22,1,S248)*(1+INDEX('Lease Cycles'!$CI$22:$CO$22,1,S248))^INT(INT(S249/12)/INDEX('Lease Cycles'!$CP$22:$CV$22,1,S248))/12)))),'Lease Cycles'!$C$22*INDEX('Lease Cycles'!$CB$22:$CH$22,1,S248)*(1+INDEX('Lease Cycles'!$CI$22:$CO$22,1,S248))^INT(INT(S249/12)/INDEX('Lease Cycles'!$CP$22:$CV$22,1,S248))/12))),IF('Lease Cycles'!$N$22=1,'Lease Cycles'!$C$22*'Lease Cycles'!$E$22*INDEX('Lease Cycles'!$HE$22:$HK$22,1,S248)*(1+INDEX('Lease Cycles'!$GQ$22:$GW$22,1,S248))^INT(INT((S$6-INDEX('Lease Cycles'!$GJ$22:$GP$22,1,S248))/12)/INDEX('Lease Cycles'!$GX$22:$HD$22,1,S248))/12,0)))</f>
        <v>0</v>
      </c>
      <c r="T251" s="28">
        <f>IF(T248=0,IF('Lease Cycles'!$F$22&gt;0,'Lease Cycles'!$C$22*'Lease Cycles'!$E$22/12,0),IF(T250=1,IF('Lease Cycles'!$AT$22&gt;=9999,'Lease Cycles'!$C$22*INDEX('Lease Cycles'!$CB$22:$CH$22,1,T248)*(1+INDEX('Lease Cycles'!$CI$22:$CO$22,1,T248))^INT(INT(T249/12)/INDEX('Lease Cycles'!$CP$22:$CV$22,1,T248))/12,IF(T248=1,IF(T249&gt;=INDEX('Lease Cycles'!$DK$22:$DQ$22,1,T248),IF(T$6&gt;='Lease Cycles'!$AZ$22,'Lease Cycles'!$C$22*'Lease Cycles'!$BA$22/12,IF(T$6&gt;='Lease Cycles'!$AX$22,'Lease Cycles'!$C$22*'Lease Cycles'!$AY$22/12,IF(T$6&gt;='Lease Cycles'!$AV$22,'Lease Cycles'!$C$22*'Lease Cycles'!$AW$22/12,IF(T$6&gt;='Lease Cycles'!$AT$22,'Lease Cycles'!$C$22*'Lease Cycles'!$AU$22/12,'Lease Cycles'!$C$22*INDEX('Lease Cycles'!$CB$22:$CH$22,1,T248)*(1+INDEX('Lease Cycles'!$CI$22:$CO$22,1,T248))^INT(INT(T249/12)/INDEX('Lease Cycles'!$CP$22:$CV$22,1,T248))/12)))),'Lease Cycles'!$C$22*INDEX('Lease Cycles'!$CB$22:$CH$22,1,T248)*(1+INDEX('Lease Cycles'!$CI$22:$CO$22,1,T248))^INT(INT(T249/12)/INDEX('Lease Cycles'!$CP$22:$CV$22,1,T248))/12),IF(INDEX('Lease Cycles'!$EF$22:$EL$22,1,T248)=1,IF(AND('Lease Cycles'!$AZ$22&gt;=INDEX('Lease Cycles'!$BG$22:$BM$22,1,T248),'Lease Cycles'!$AZ$22&lt;=T$6),'Lease Cycles'!$C$22*'Lease Cycles'!$BA$22/12,IF(AND('Lease Cycles'!$AX$22&gt;=INDEX('Lease Cycles'!$BG$22:$BM$22,1,T248),'Lease Cycles'!$AX$22&lt;=T$6),'Lease Cycles'!$C$22*'Lease Cycles'!$AY$22/12,IF(AND('Lease Cycles'!$AV$22&gt;=INDEX('Lease Cycles'!$BG$22:$BM$22,1,T248),'Lease Cycles'!$AV$22&lt;=T$6),'Lease Cycles'!$C$22*'Lease Cycles'!$AW$22/12,IF(AND('Lease Cycles'!$AT$22&gt;=INDEX('Lease Cycles'!$BG$22:$BM$22,1,T248),'Lease Cycles'!$AT$22&lt;=T$6),'Lease Cycles'!$C$22*'Lease Cycles'!$AU$22/12,'Lease Cycles'!$C$22*INDEX('Lease Cycles'!$CB$22:$CH$22,1,T248)*(1+INDEX('Lease Cycles'!$CI$22:$CO$22,1,T248))^INT(INT(T249/12)/INDEX('Lease Cycles'!$CP$22:$CV$22,1,T248))/12)))),'Lease Cycles'!$C$22*INDEX('Lease Cycles'!$CB$22:$CH$22,1,T248)*(1+INDEX('Lease Cycles'!$CI$22:$CO$22,1,T248))^INT(INT(T249/12)/INDEX('Lease Cycles'!$CP$22:$CV$22,1,T248))/12))),IF('Lease Cycles'!$N$22=1,'Lease Cycles'!$C$22*'Lease Cycles'!$E$22*INDEX('Lease Cycles'!$HE$22:$HK$22,1,T248)*(1+INDEX('Lease Cycles'!$GQ$22:$GW$22,1,T248))^INT(INT((T$6-INDEX('Lease Cycles'!$GJ$22:$GP$22,1,T248))/12)/INDEX('Lease Cycles'!$GX$22:$HD$22,1,T248))/12,0)))</f>
        <v>0</v>
      </c>
      <c r="U251" s="28">
        <f>IF(U248=0,IF('Lease Cycles'!$F$22&gt;0,'Lease Cycles'!$C$22*'Lease Cycles'!$E$22/12,0),IF(U250=1,IF('Lease Cycles'!$AT$22&gt;=9999,'Lease Cycles'!$C$22*INDEX('Lease Cycles'!$CB$22:$CH$22,1,U248)*(1+INDEX('Lease Cycles'!$CI$22:$CO$22,1,U248))^INT(INT(U249/12)/INDEX('Lease Cycles'!$CP$22:$CV$22,1,U248))/12,IF(U248=1,IF(U249&gt;=INDEX('Lease Cycles'!$DK$22:$DQ$22,1,U248),IF(U$6&gt;='Lease Cycles'!$AZ$22,'Lease Cycles'!$C$22*'Lease Cycles'!$BA$22/12,IF(U$6&gt;='Lease Cycles'!$AX$22,'Lease Cycles'!$C$22*'Lease Cycles'!$AY$22/12,IF(U$6&gt;='Lease Cycles'!$AV$22,'Lease Cycles'!$C$22*'Lease Cycles'!$AW$22/12,IF(U$6&gt;='Lease Cycles'!$AT$22,'Lease Cycles'!$C$22*'Lease Cycles'!$AU$22/12,'Lease Cycles'!$C$22*INDEX('Lease Cycles'!$CB$22:$CH$22,1,U248)*(1+INDEX('Lease Cycles'!$CI$22:$CO$22,1,U248))^INT(INT(U249/12)/INDEX('Lease Cycles'!$CP$22:$CV$22,1,U248))/12)))),'Lease Cycles'!$C$22*INDEX('Lease Cycles'!$CB$22:$CH$22,1,U248)*(1+INDEX('Lease Cycles'!$CI$22:$CO$22,1,U248))^INT(INT(U249/12)/INDEX('Lease Cycles'!$CP$22:$CV$22,1,U248))/12),IF(INDEX('Lease Cycles'!$EF$22:$EL$22,1,U248)=1,IF(AND('Lease Cycles'!$AZ$22&gt;=INDEX('Lease Cycles'!$BG$22:$BM$22,1,U248),'Lease Cycles'!$AZ$22&lt;=U$6),'Lease Cycles'!$C$22*'Lease Cycles'!$BA$22/12,IF(AND('Lease Cycles'!$AX$22&gt;=INDEX('Lease Cycles'!$BG$22:$BM$22,1,U248),'Lease Cycles'!$AX$22&lt;=U$6),'Lease Cycles'!$C$22*'Lease Cycles'!$AY$22/12,IF(AND('Lease Cycles'!$AV$22&gt;=INDEX('Lease Cycles'!$BG$22:$BM$22,1,U248),'Lease Cycles'!$AV$22&lt;=U$6),'Lease Cycles'!$C$22*'Lease Cycles'!$AW$22/12,IF(AND('Lease Cycles'!$AT$22&gt;=INDEX('Lease Cycles'!$BG$22:$BM$22,1,U248),'Lease Cycles'!$AT$22&lt;=U$6),'Lease Cycles'!$C$22*'Lease Cycles'!$AU$22/12,'Lease Cycles'!$C$22*INDEX('Lease Cycles'!$CB$22:$CH$22,1,U248)*(1+INDEX('Lease Cycles'!$CI$22:$CO$22,1,U248))^INT(INT(U249/12)/INDEX('Lease Cycles'!$CP$22:$CV$22,1,U248))/12)))),'Lease Cycles'!$C$22*INDEX('Lease Cycles'!$CB$22:$CH$22,1,U248)*(1+INDEX('Lease Cycles'!$CI$22:$CO$22,1,U248))^INT(INT(U249/12)/INDEX('Lease Cycles'!$CP$22:$CV$22,1,U248))/12))),IF('Lease Cycles'!$N$22=1,'Lease Cycles'!$C$22*'Lease Cycles'!$E$22*INDEX('Lease Cycles'!$HE$22:$HK$22,1,U248)*(1+INDEX('Lease Cycles'!$GQ$22:$GW$22,1,U248))^INT(INT((U$6-INDEX('Lease Cycles'!$GJ$22:$GP$22,1,U248))/12)/INDEX('Lease Cycles'!$GX$22:$HD$22,1,U248))/12,0)))</f>
        <v>0</v>
      </c>
      <c r="V251" s="28">
        <f>IF(V248=0,IF('Lease Cycles'!$F$22&gt;0,'Lease Cycles'!$C$22*'Lease Cycles'!$E$22/12,0),IF(V250=1,IF('Lease Cycles'!$AT$22&gt;=9999,'Lease Cycles'!$C$22*INDEX('Lease Cycles'!$CB$22:$CH$22,1,V248)*(1+INDEX('Lease Cycles'!$CI$22:$CO$22,1,V248))^INT(INT(V249/12)/INDEX('Lease Cycles'!$CP$22:$CV$22,1,V248))/12,IF(V248=1,IF(V249&gt;=INDEX('Lease Cycles'!$DK$22:$DQ$22,1,V248),IF(V$6&gt;='Lease Cycles'!$AZ$22,'Lease Cycles'!$C$22*'Lease Cycles'!$BA$22/12,IF(V$6&gt;='Lease Cycles'!$AX$22,'Lease Cycles'!$C$22*'Lease Cycles'!$AY$22/12,IF(V$6&gt;='Lease Cycles'!$AV$22,'Lease Cycles'!$C$22*'Lease Cycles'!$AW$22/12,IF(V$6&gt;='Lease Cycles'!$AT$22,'Lease Cycles'!$C$22*'Lease Cycles'!$AU$22/12,'Lease Cycles'!$C$22*INDEX('Lease Cycles'!$CB$22:$CH$22,1,V248)*(1+INDEX('Lease Cycles'!$CI$22:$CO$22,1,V248))^INT(INT(V249/12)/INDEX('Lease Cycles'!$CP$22:$CV$22,1,V248))/12)))),'Lease Cycles'!$C$22*INDEX('Lease Cycles'!$CB$22:$CH$22,1,V248)*(1+INDEX('Lease Cycles'!$CI$22:$CO$22,1,V248))^INT(INT(V249/12)/INDEX('Lease Cycles'!$CP$22:$CV$22,1,V248))/12),IF(INDEX('Lease Cycles'!$EF$22:$EL$22,1,V248)=1,IF(AND('Lease Cycles'!$AZ$22&gt;=INDEX('Lease Cycles'!$BG$22:$BM$22,1,V248),'Lease Cycles'!$AZ$22&lt;=V$6),'Lease Cycles'!$C$22*'Lease Cycles'!$BA$22/12,IF(AND('Lease Cycles'!$AX$22&gt;=INDEX('Lease Cycles'!$BG$22:$BM$22,1,V248),'Lease Cycles'!$AX$22&lt;=V$6),'Lease Cycles'!$C$22*'Lease Cycles'!$AY$22/12,IF(AND('Lease Cycles'!$AV$22&gt;=INDEX('Lease Cycles'!$BG$22:$BM$22,1,V248),'Lease Cycles'!$AV$22&lt;=V$6),'Lease Cycles'!$C$22*'Lease Cycles'!$AW$22/12,IF(AND('Lease Cycles'!$AT$22&gt;=INDEX('Lease Cycles'!$BG$22:$BM$22,1,V248),'Lease Cycles'!$AT$22&lt;=V$6),'Lease Cycles'!$C$22*'Lease Cycles'!$AU$22/12,'Lease Cycles'!$C$22*INDEX('Lease Cycles'!$CB$22:$CH$22,1,V248)*(1+INDEX('Lease Cycles'!$CI$22:$CO$22,1,V248))^INT(INT(V249/12)/INDEX('Lease Cycles'!$CP$22:$CV$22,1,V248))/12)))),'Lease Cycles'!$C$22*INDEX('Lease Cycles'!$CB$22:$CH$22,1,V248)*(1+INDEX('Lease Cycles'!$CI$22:$CO$22,1,V248))^INT(INT(V249/12)/INDEX('Lease Cycles'!$CP$22:$CV$22,1,V248))/12))),IF('Lease Cycles'!$N$22=1,'Lease Cycles'!$C$22*'Lease Cycles'!$E$22*INDEX('Lease Cycles'!$HE$22:$HK$22,1,V248)*(1+INDEX('Lease Cycles'!$GQ$22:$GW$22,1,V248))^INT(INT((V$6-INDEX('Lease Cycles'!$GJ$22:$GP$22,1,V248))/12)/INDEX('Lease Cycles'!$GX$22:$HD$22,1,V248))/12,0)))</f>
        <v>0</v>
      </c>
      <c r="W251" s="28">
        <f>IF(W248=0,IF('Lease Cycles'!$F$22&gt;0,'Lease Cycles'!$C$22*'Lease Cycles'!$E$22/12,0),IF(W250=1,IF('Lease Cycles'!$AT$22&gt;=9999,'Lease Cycles'!$C$22*INDEX('Lease Cycles'!$CB$22:$CH$22,1,W248)*(1+INDEX('Lease Cycles'!$CI$22:$CO$22,1,W248))^INT(INT(W249/12)/INDEX('Lease Cycles'!$CP$22:$CV$22,1,W248))/12,IF(W248=1,IF(W249&gt;=INDEX('Lease Cycles'!$DK$22:$DQ$22,1,W248),IF(W$6&gt;='Lease Cycles'!$AZ$22,'Lease Cycles'!$C$22*'Lease Cycles'!$BA$22/12,IF(W$6&gt;='Lease Cycles'!$AX$22,'Lease Cycles'!$C$22*'Lease Cycles'!$AY$22/12,IF(W$6&gt;='Lease Cycles'!$AV$22,'Lease Cycles'!$C$22*'Lease Cycles'!$AW$22/12,IF(W$6&gt;='Lease Cycles'!$AT$22,'Lease Cycles'!$C$22*'Lease Cycles'!$AU$22/12,'Lease Cycles'!$C$22*INDEX('Lease Cycles'!$CB$22:$CH$22,1,W248)*(1+INDEX('Lease Cycles'!$CI$22:$CO$22,1,W248))^INT(INT(W249/12)/INDEX('Lease Cycles'!$CP$22:$CV$22,1,W248))/12)))),'Lease Cycles'!$C$22*INDEX('Lease Cycles'!$CB$22:$CH$22,1,W248)*(1+INDEX('Lease Cycles'!$CI$22:$CO$22,1,W248))^INT(INT(W249/12)/INDEX('Lease Cycles'!$CP$22:$CV$22,1,W248))/12),IF(INDEX('Lease Cycles'!$EF$22:$EL$22,1,W248)=1,IF(AND('Lease Cycles'!$AZ$22&gt;=INDEX('Lease Cycles'!$BG$22:$BM$22,1,W248),'Lease Cycles'!$AZ$22&lt;=W$6),'Lease Cycles'!$C$22*'Lease Cycles'!$BA$22/12,IF(AND('Lease Cycles'!$AX$22&gt;=INDEX('Lease Cycles'!$BG$22:$BM$22,1,W248),'Lease Cycles'!$AX$22&lt;=W$6),'Lease Cycles'!$C$22*'Lease Cycles'!$AY$22/12,IF(AND('Lease Cycles'!$AV$22&gt;=INDEX('Lease Cycles'!$BG$22:$BM$22,1,W248),'Lease Cycles'!$AV$22&lt;=W$6),'Lease Cycles'!$C$22*'Lease Cycles'!$AW$22/12,IF(AND('Lease Cycles'!$AT$22&gt;=INDEX('Lease Cycles'!$BG$22:$BM$22,1,W248),'Lease Cycles'!$AT$22&lt;=W$6),'Lease Cycles'!$C$22*'Lease Cycles'!$AU$22/12,'Lease Cycles'!$C$22*INDEX('Lease Cycles'!$CB$22:$CH$22,1,W248)*(1+INDEX('Lease Cycles'!$CI$22:$CO$22,1,W248))^INT(INT(W249/12)/INDEX('Lease Cycles'!$CP$22:$CV$22,1,W248))/12)))),'Lease Cycles'!$C$22*INDEX('Lease Cycles'!$CB$22:$CH$22,1,W248)*(1+INDEX('Lease Cycles'!$CI$22:$CO$22,1,W248))^INT(INT(W249/12)/INDEX('Lease Cycles'!$CP$22:$CV$22,1,W248))/12))),IF('Lease Cycles'!$N$22=1,'Lease Cycles'!$C$22*'Lease Cycles'!$E$22*INDEX('Lease Cycles'!$HE$22:$HK$22,1,W248)*(1+INDEX('Lease Cycles'!$GQ$22:$GW$22,1,W248))^INT(INT((W$6-INDEX('Lease Cycles'!$GJ$22:$GP$22,1,W248))/12)/INDEX('Lease Cycles'!$GX$22:$HD$22,1,W248))/12,0)))</f>
        <v>0</v>
      </c>
      <c r="X251" s="28">
        <f>IF(X248=0,IF('Lease Cycles'!$F$22&gt;0,'Lease Cycles'!$C$22*'Lease Cycles'!$E$22/12,0),IF(X250=1,IF('Lease Cycles'!$AT$22&gt;=9999,'Lease Cycles'!$C$22*INDEX('Lease Cycles'!$CB$22:$CH$22,1,X248)*(1+INDEX('Lease Cycles'!$CI$22:$CO$22,1,X248))^INT(INT(X249/12)/INDEX('Lease Cycles'!$CP$22:$CV$22,1,X248))/12,IF(X248=1,IF(X249&gt;=INDEX('Lease Cycles'!$DK$22:$DQ$22,1,X248),IF(X$6&gt;='Lease Cycles'!$AZ$22,'Lease Cycles'!$C$22*'Lease Cycles'!$BA$22/12,IF(X$6&gt;='Lease Cycles'!$AX$22,'Lease Cycles'!$C$22*'Lease Cycles'!$AY$22/12,IF(X$6&gt;='Lease Cycles'!$AV$22,'Lease Cycles'!$C$22*'Lease Cycles'!$AW$22/12,IF(X$6&gt;='Lease Cycles'!$AT$22,'Lease Cycles'!$C$22*'Lease Cycles'!$AU$22/12,'Lease Cycles'!$C$22*INDEX('Lease Cycles'!$CB$22:$CH$22,1,X248)*(1+INDEX('Lease Cycles'!$CI$22:$CO$22,1,X248))^INT(INT(X249/12)/INDEX('Lease Cycles'!$CP$22:$CV$22,1,X248))/12)))),'Lease Cycles'!$C$22*INDEX('Lease Cycles'!$CB$22:$CH$22,1,X248)*(1+INDEX('Lease Cycles'!$CI$22:$CO$22,1,X248))^INT(INT(X249/12)/INDEX('Lease Cycles'!$CP$22:$CV$22,1,X248))/12),IF(INDEX('Lease Cycles'!$EF$22:$EL$22,1,X248)=1,IF(AND('Lease Cycles'!$AZ$22&gt;=INDEX('Lease Cycles'!$BG$22:$BM$22,1,X248),'Lease Cycles'!$AZ$22&lt;=X$6),'Lease Cycles'!$C$22*'Lease Cycles'!$BA$22/12,IF(AND('Lease Cycles'!$AX$22&gt;=INDEX('Lease Cycles'!$BG$22:$BM$22,1,X248),'Lease Cycles'!$AX$22&lt;=X$6),'Lease Cycles'!$C$22*'Lease Cycles'!$AY$22/12,IF(AND('Lease Cycles'!$AV$22&gt;=INDEX('Lease Cycles'!$BG$22:$BM$22,1,X248),'Lease Cycles'!$AV$22&lt;=X$6),'Lease Cycles'!$C$22*'Lease Cycles'!$AW$22/12,IF(AND('Lease Cycles'!$AT$22&gt;=INDEX('Lease Cycles'!$BG$22:$BM$22,1,X248),'Lease Cycles'!$AT$22&lt;=X$6),'Lease Cycles'!$C$22*'Lease Cycles'!$AU$22/12,'Lease Cycles'!$C$22*INDEX('Lease Cycles'!$CB$22:$CH$22,1,X248)*(1+INDEX('Lease Cycles'!$CI$22:$CO$22,1,X248))^INT(INT(X249/12)/INDEX('Lease Cycles'!$CP$22:$CV$22,1,X248))/12)))),'Lease Cycles'!$C$22*INDEX('Lease Cycles'!$CB$22:$CH$22,1,X248)*(1+INDEX('Lease Cycles'!$CI$22:$CO$22,1,X248))^INT(INT(X249/12)/INDEX('Lease Cycles'!$CP$22:$CV$22,1,X248))/12))),IF('Lease Cycles'!$N$22=1,'Lease Cycles'!$C$22*'Lease Cycles'!$E$22*INDEX('Lease Cycles'!$HE$22:$HK$22,1,X248)*(1+INDEX('Lease Cycles'!$GQ$22:$GW$22,1,X248))^INT(INT((X$6-INDEX('Lease Cycles'!$GJ$22:$GP$22,1,X248))/12)/INDEX('Lease Cycles'!$GX$22:$HD$22,1,X248))/12,0)))</f>
        <v>0</v>
      </c>
      <c r="Y251" s="28">
        <f>IF(Y248=0,IF('Lease Cycles'!$F$22&gt;0,'Lease Cycles'!$C$22*'Lease Cycles'!$E$22/12,0),IF(Y250=1,IF('Lease Cycles'!$AT$22&gt;=9999,'Lease Cycles'!$C$22*INDEX('Lease Cycles'!$CB$22:$CH$22,1,Y248)*(1+INDEX('Lease Cycles'!$CI$22:$CO$22,1,Y248))^INT(INT(Y249/12)/INDEX('Lease Cycles'!$CP$22:$CV$22,1,Y248))/12,IF(Y248=1,IF(Y249&gt;=INDEX('Lease Cycles'!$DK$22:$DQ$22,1,Y248),IF(Y$6&gt;='Lease Cycles'!$AZ$22,'Lease Cycles'!$C$22*'Lease Cycles'!$BA$22/12,IF(Y$6&gt;='Lease Cycles'!$AX$22,'Lease Cycles'!$C$22*'Lease Cycles'!$AY$22/12,IF(Y$6&gt;='Lease Cycles'!$AV$22,'Lease Cycles'!$C$22*'Lease Cycles'!$AW$22/12,IF(Y$6&gt;='Lease Cycles'!$AT$22,'Lease Cycles'!$C$22*'Lease Cycles'!$AU$22/12,'Lease Cycles'!$C$22*INDEX('Lease Cycles'!$CB$22:$CH$22,1,Y248)*(1+INDEX('Lease Cycles'!$CI$22:$CO$22,1,Y248))^INT(INT(Y249/12)/INDEX('Lease Cycles'!$CP$22:$CV$22,1,Y248))/12)))),'Lease Cycles'!$C$22*INDEX('Lease Cycles'!$CB$22:$CH$22,1,Y248)*(1+INDEX('Lease Cycles'!$CI$22:$CO$22,1,Y248))^INT(INT(Y249/12)/INDEX('Lease Cycles'!$CP$22:$CV$22,1,Y248))/12),IF(INDEX('Lease Cycles'!$EF$22:$EL$22,1,Y248)=1,IF(AND('Lease Cycles'!$AZ$22&gt;=INDEX('Lease Cycles'!$BG$22:$BM$22,1,Y248),'Lease Cycles'!$AZ$22&lt;=Y$6),'Lease Cycles'!$C$22*'Lease Cycles'!$BA$22/12,IF(AND('Lease Cycles'!$AX$22&gt;=INDEX('Lease Cycles'!$BG$22:$BM$22,1,Y248),'Lease Cycles'!$AX$22&lt;=Y$6),'Lease Cycles'!$C$22*'Lease Cycles'!$AY$22/12,IF(AND('Lease Cycles'!$AV$22&gt;=INDEX('Lease Cycles'!$BG$22:$BM$22,1,Y248),'Lease Cycles'!$AV$22&lt;=Y$6),'Lease Cycles'!$C$22*'Lease Cycles'!$AW$22/12,IF(AND('Lease Cycles'!$AT$22&gt;=INDEX('Lease Cycles'!$BG$22:$BM$22,1,Y248),'Lease Cycles'!$AT$22&lt;=Y$6),'Lease Cycles'!$C$22*'Lease Cycles'!$AU$22/12,'Lease Cycles'!$C$22*INDEX('Lease Cycles'!$CB$22:$CH$22,1,Y248)*(1+INDEX('Lease Cycles'!$CI$22:$CO$22,1,Y248))^INT(INT(Y249/12)/INDEX('Lease Cycles'!$CP$22:$CV$22,1,Y248))/12)))),'Lease Cycles'!$C$22*INDEX('Lease Cycles'!$CB$22:$CH$22,1,Y248)*(1+INDEX('Lease Cycles'!$CI$22:$CO$22,1,Y248))^INT(INT(Y249/12)/INDEX('Lease Cycles'!$CP$22:$CV$22,1,Y248))/12))),IF('Lease Cycles'!$N$22=1,'Lease Cycles'!$C$22*'Lease Cycles'!$E$22*INDEX('Lease Cycles'!$HE$22:$HK$22,1,Y248)*(1+INDEX('Lease Cycles'!$GQ$22:$GW$22,1,Y248))^INT(INT((Y$6-INDEX('Lease Cycles'!$GJ$22:$GP$22,1,Y248))/12)/INDEX('Lease Cycles'!$GX$22:$HD$22,1,Y248))/12,0)))</f>
        <v>0</v>
      </c>
      <c r="Z251" s="28">
        <f>IF(Z248=0,IF('Lease Cycles'!$F$22&gt;0,'Lease Cycles'!$C$22*'Lease Cycles'!$E$22/12,0),IF(Z250=1,IF('Lease Cycles'!$AT$22&gt;=9999,'Lease Cycles'!$C$22*INDEX('Lease Cycles'!$CB$22:$CH$22,1,Z248)*(1+INDEX('Lease Cycles'!$CI$22:$CO$22,1,Z248))^INT(INT(Z249/12)/INDEX('Lease Cycles'!$CP$22:$CV$22,1,Z248))/12,IF(Z248=1,IF(Z249&gt;=INDEX('Lease Cycles'!$DK$22:$DQ$22,1,Z248),IF(Z$6&gt;='Lease Cycles'!$AZ$22,'Lease Cycles'!$C$22*'Lease Cycles'!$BA$22/12,IF(Z$6&gt;='Lease Cycles'!$AX$22,'Lease Cycles'!$C$22*'Lease Cycles'!$AY$22/12,IF(Z$6&gt;='Lease Cycles'!$AV$22,'Lease Cycles'!$C$22*'Lease Cycles'!$AW$22/12,IF(Z$6&gt;='Lease Cycles'!$AT$22,'Lease Cycles'!$C$22*'Lease Cycles'!$AU$22/12,'Lease Cycles'!$C$22*INDEX('Lease Cycles'!$CB$22:$CH$22,1,Z248)*(1+INDEX('Lease Cycles'!$CI$22:$CO$22,1,Z248))^INT(INT(Z249/12)/INDEX('Lease Cycles'!$CP$22:$CV$22,1,Z248))/12)))),'Lease Cycles'!$C$22*INDEX('Lease Cycles'!$CB$22:$CH$22,1,Z248)*(1+INDEX('Lease Cycles'!$CI$22:$CO$22,1,Z248))^INT(INT(Z249/12)/INDEX('Lease Cycles'!$CP$22:$CV$22,1,Z248))/12),IF(INDEX('Lease Cycles'!$EF$22:$EL$22,1,Z248)=1,IF(AND('Lease Cycles'!$AZ$22&gt;=INDEX('Lease Cycles'!$BG$22:$BM$22,1,Z248),'Lease Cycles'!$AZ$22&lt;=Z$6),'Lease Cycles'!$C$22*'Lease Cycles'!$BA$22/12,IF(AND('Lease Cycles'!$AX$22&gt;=INDEX('Lease Cycles'!$BG$22:$BM$22,1,Z248),'Lease Cycles'!$AX$22&lt;=Z$6),'Lease Cycles'!$C$22*'Lease Cycles'!$AY$22/12,IF(AND('Lease Cycles'!$AV$22&gt;=INDEX('Lease Cycles'!$BG$22:$BM$22,1,Z248),'Lease Cycles'!$AV$22&lt;=Z$6),'Lease Cycles'!$C$22*'Lease Cycles'!$AW$22/12,IF(AND('Lease Cycles'!$AT$22&gt;=INDEX('Lease Cycles'!$BG$22:$BM$22,1,Z248),'Lease Cycles'!$AT$22&lt;=Z$6),'Lease Cycles'!$C$22*'Lease Cycles'!$AU$22/12,'Lease Cycles'!$C$22*INDEX('Lease Cycles'!$CB$22:$CH$22,1,Z248)*(1+INDEX('Lease Cycles'!$CI$22:$CO$22,1,Z248))^INT(INT(Z249/12)/INDEX('Lease Cycles'!$CP$22:$CV$22,1,Z248))/12)))),'Lease Cycles'!$C$22*INDEX('Lease Cycles'!$CB$22:$CH$22,1,Z248)*(1+INDEX('Lease Cycles'!$CI$22:$CO$22,1,Z248))^INT(INT(Z249/12)/INDEX('Lease Cycles'!$CP$22:$CV$22,1,Z248))/12))),IF('Lease Cycles'!$N$22=1,'Lease Cycles'!$C$22*'Lease Cycles'!$E$22*INDEX('Lease Cycles'!$HE$22:$HK$22,1,Z248)*(1+INDEX('Lease Cycles'!$GQ$22:$GW$22,1,Z248))^INT(INT((Z$6-INDEX('Lease Cycles'!$GJ$22:$GP$22,1,Z248))/12)/INDEX('Lease Cycles'!$GX$22:$HD$22,1,Z248))/12,0)))</f>
        <v>0</v>
      </c>
      <c r="AA251" s="28">
        <f>IF(AA248=0,IF('Lease Cycles'!$F$22&gt;0,'Lease Cycles'!$C$22*'Lease Cycles'!$E$22/12,0),IF(AA250=1,IF('Lease Cycles'!$AT$22&gt;=9999,'Lease Cycles'!$C$22*INDEX('Lease Cycles'!$CB$22:$CH$22,1,AA248)*(1+INDEX('Lease Cycles'!$CI$22:$CO$22,1,AA248))^INT(INT(AA249/12)/INDEX('Lease Cycles'!$CP$22:$CV$22,1,AA248))/12,IF(AA248=1,IF(AA249&gt;=INDEX('Lease Cycles'!$DK$22:$DQ$22,1,AA248),IF(AA$6&gt;='Lease Cycles'!$AZ$22,'Lease Cycles'!$C$22*'Lease Cycles'!$BA$22/12,IF(AA$6&gt;='Lease Cycles'!$AX$22,'Lease Cycles'!$C$22*'Lease Cycles'!$AY$22/12,IF(AA$6&gt;='Lease Cycles'!$AV$22,'Lease Cycles'!$C$22*'Lease Cycles'!$AW$22/12,IF(AA$6&gt;='Lease Cycles'!$AT$22,'Lease Cycles'!$C$22*'Lease Cycles'!$AU$22/12,'Lease Cycles'!$C$22*INDEX('Lease Cycles'!$CB$22:$CH$22,1,AA248)*(1+INDEX('Lease Cycles'!$CI$22:$CO$22,1,AA248))^INT(INT(AA249/12)/INDEX('Lease Cycles'!$CP$22:$CV$22,1,AA248))/12)))),'Lease Cycles'!$C$22*INDEX('Lease Cycles'!$CB$22:$CH$22,1,AA248)*(1+INDEX('Lease Cycles'!$CI$22:$CO$22,1,AA248))^INT(INT(AA249/12)/INDEX('Lease Cycles'!$CP$22:$CV$22,1,AA248))/12),IF(INDEX('Lease Cycles'!$EF$22:$EL$22,1,AA248)=1,IF(AND('Lease Cycles'!$AZ$22&gt;=INDEX('Lease Cycles'!$BG$22:$BM$22,1,AA248),'Lease Cycles'!$AZ$22&lt;=AA$6),'Lease Cycles'!$C$22*'Lease Cycles'!$BA$22/12,IF(AND('Lease Cycles'!$AX$22&gt;=INDEX('Lease Cycles'!$BG$22:$BM$22,1,AA248),'Lease Cycles'!$AX$22&lt;=AA$6),'Lease Cycles'!$C$22*'Lease Cycles'!$AY$22/12,IF(AND('Lease Cycles'!$AV$22&gt;=INDEX('Lease Cycles'!$BG$22:$BM$22,1,AA248),'Lease Cycles'!$AV$22&lt;=AA$6),'Lease Cycles'!$C$22*'Lease Cycles'!$AW$22/12,IF(AND('Lease Cycles'!$AT$22&gt;=INDEX('Lease Cycles'!$BG$22:$BM$22,1,AA248),'Lease Cycles'!$AT$22&lt;=AA$6),'Lease Cycles'!$C$22*'Lease Cycles'!$AU$22/12,'Lease Cycles'!$C$22*INDEX('Lease Cycles'!$CB$22:$CH$22,1,AA248)*(1+INDEX('Lease Cycles'!$CI$22:$CO$22,1,AA248))^INT(INT(AA249/12)/INDEX('Lease Cycles'!$CP$22:$CV$22,1,AA248))/12)))),'Lease Cycles'!$C$22*INDEX('Lease Cycles'!$CB$22:$CH$22,1,AA248)*(1+INDEX('Lease Cycles'!$CI$22:$CO$22,1,AA248))^INT(INT(AA249/12)/INDEX('Lease Cycles'!$CP$22:$CV$22,1,AA248))/12))),IF('Lease Cycles'!$N$22=1,'Lease Cycles'!$C$22*'Lease Cycles'!$E$22*INDEX('Lease Cycles'!$HE$22:$HK$22,1,AA248)*(1+INDEX('Lease Cycles'!$GQ$22:$GW$22,1,AA248))^INT(INT((AA$6-INDEX('Lease Cycles'!$GJ$22:$GP$22,1,AA248))/12)/INDEX('Lease Cycles'!$GX$22:$HD$22,1,AA248))/12,0)))</f>
        <v>0</v>
      </c>
      <c r="AB251" s="28">
        <f>IF(AB248=0,IF('Lease Cycles'!$F$22&gt;0,'Lease Cycles'!$C$22*'Lease Cycles'!$E$22/12,0),IF(AB250=1,IF('Lease Cycles'!$AT$22&gt;=9999,'Lease Cycles'!$C$22*INDEX('Lease Cycles'!$CB$22:$CH$22,1,AB248)*(1+INDEX('Lease Cycles'!$CI$22:$CO$22,1,AB248))^INT(INT(AB249/12)/INDEX('Lease Cycles'!$CP$22:$CV$22,1,AB248))/12,IF(AB248=1,IF(AB249&gt;=INDEX('Lease Cycles'!$DK$22:$DQ$22,1,AB248),IF(AB$6&gt;='Lease Cycles'!$AZ$22,'Lease Cycles'!$C$22*'Lease Cycles'!$BA$22/12,IF(AB$6&gt;='Lease Cycles'!$AX$22,'Lease Cycles'!$C$22*'Lease Cycles'!$AY$22/12,IF(AB$6&gt;='Lease Cycles'!$AV$22,'Lease Cycles'!$C$22*'Lease Cycles'!$AW$22/12,IF(AB$6&gt;='Lease Cycles'!$AT$22,'Lease Cycles'!$C$22*'Lease Cycles'!$AU$22/12,'Lease Cycles'!$C$22*INDEX('Lease Cycles'!$CB$22:$CH$22,1,AB248)*(1+INDEX('Lease Cycles'!$CI$22:$CO$22,1,AB248))^INT(INT(AB249/12)/INDEX('Lease Cycles'!$CP$22:$CV$22,1,AB248))/12)))),'Lease Cycles'!$C$22*INDEX('Lease Cycles'!$CB$22:$CH$22,1,AB248)*(1+INDEX('Lease Cycles'!$CI$22:$CO$22,1,AB248))^INT(INT(AB249/12)/INDEX('Lease Cycles'!$CP$22:$CV$22,1,AB248))/12),IF(INDEX('Lease Cycles'!$EF$22:$EL$22,1,AB248)=1,IF(AND('Lease Cycles'!$AZ$22&gt;=INDEX('Lease Cycles'!$BG$22:$BM$22,1,AB248),'Lease Cycles'!$AZ$22&lt;=AB$6),'Lease Cycles'!$C$22*'Lease Cycles'!$BA$22/12,IF(AND('Lease Cycles'!$AX$22&gt;=INDEX('Lease Cycles'!$BG$22:$BM$22,1,AB248),'Lease Cycles'!$AX$22&lt;=AB$6),'Lease Cycles'!$C$22*'Lease Cycles'!$AY$22/12,IF(AND('Lease Cycles'!$AV$22&gt;=INDEX('Lease Cycles'!$BG$22:$BM$22,1,AB248),'Lease Cycles'!$AV$22&lt;=AB$6),'Lease Cycles'!$C$22*'Lease Cycles'!$AW$22/12,IF(AND('Lease Cycles'!$AT$22&gt;=INDEX('Lease Cycles'!$BG$22:$BM$22,1,AB248),'Lease Cycles'!$AT$22&lt;=AB$6),'Lease Cycles'!$C$22*'Lease Cycles'!$AU$22/12,'Lease Cycles'!$C$22*INDEX('Lease Cycles'!$CB$22:$CH$22,1,AB248)*(1+INDEX('Lease Cycles'!$CI$22:$CO$22,1,AB248))^INT(INT(AB249/12)/INDEX('Lease Cycles'!$CP$22:$CV$22,1,AB248))/12)))),'Lease Cycles'!$C$22*INDEX('Lease Cycles'!$CB$22:$CH$22,1,AB248)*(1+INDEX('Lease Cycles'!$CI$22:$CO$22,1,AB248))^INT(INT(AB249/12)/INDEX('Lease Cycles'!$CP$22:$CV$22,1,AB248))/12))),IF('Lease Cycles'!$N$22=1,'Lease Cycles'!$C$22*'Lease Cycles'!$E$22*INDEX('Lease Cycles'!$HE$22:$HK$22,1,AB248)*(1+INDEX('Lease Cycles'!$GQ$22:$GW$22,1,AB248))^INT(INT((AB$6-INDEX('Lease Cycles'!$GJ$22:$GP$22,1,AB248))/12)/INDEX('Lease Cycles'!$GX$22:$HD$22,1,AB248))/12,0)))</f>
        <v>0</v>
      </c>
      <c r="AC251" s="28">
        <f>IF(AC248=0,IF('Lease Cycles'!$F$22&gt;0,'Lease Cycles'!$C$22*'Lease Cycles'!$E$22/12,0),IF(AC250=1,IF('Lease Cycles'!$AT$22&gt;=9999,'Lease Cycles'!$C$22*INDEX('Lease Cycles'!$CB$22:$CH$22,1,AC248)*(1+INDEX('Lease Cycles'!$CI$22:$CO$22,1,AC248))^INT(INT(AC249/12)/INDEX('Lease Cycles'!$CP$22:$CV$22,1,AC248))/12,IF(AC248=1,IF(AC249&gt;=INDEX('Lease Cycles'!$DK$22:$DQ$22,1,AC248),IF(AC$6&gt;='Lease Cycles'!$AZ$22,'Lease Cycles'!$C$22*'Lease Cycles'!$BA$22/12,IF(AC$6&gt;='Lease Cycles'!$AX$22,'Lease Cycles'!$C$22*'Lease Cycles'!$AY$22/12,IF(AC$6&gt;='Lease Cycles'!$AV$22,'Lease Cycles'!$C$22*'Lease Cycles'!$AW$22/12,IF(AC$6&gt;='Lease Cycles'!$AT$22,'Lease Cycles'!$C$22*'Lease Cycles'!$AU$22/12,'Lease Cycles'!$C$22*INDEX('Lease Cycles'!$CB$22:$CH$22,1,AC248)*(1+INDEX('Lease Cycles'!$CI$22:$CO$22,1,AC248))^INT(INT(AC249/12)/INDEX('Lease Cycles'!$CP$22:$CV$22,1,AC248))/12)))),'Lease Cycles'!$C$22*INDEX('Lease Cycles'!$CB$22:$CH$22,1,AC248)*(1+INDEX('Lease Cycles'!$CI$22:$CO$22,1,AC248))^INT(INT(AC249/12)/INDEX('Lease Cycles'!$CP$22:$CV$22,1,AC248))/12),IF(INDEX('Lease Cycles'!$EF$22:$EL$22,1,AC248)=1,IF(AND('Lease Cycles'!$AZ$22&gt;=INDEX('Lease Cycles'!$BG$22:$BM$22,1,AC248),'Lease Cycles'!$AZ$22&lt;=AC$6),'Lease Cycles'!$C$22*'Lease Cycles'!$BA$22/12,IF(AND('Lease Cycles'!$AX$22&gt;=INDEX('Lease Cycles'!$BG$22:$BM$22,1,AC248),'Lease Cycles'!$AX$22&lt;=AC$6),'Lease Cycles'!$C$22*'Lease Cycles'!$AY$22/12,IF(AND('Lease Cycles'!$AV$22&gt;=INDEX('Lease Cycles'!$BG$22:$BM$22,1,AC248),'Lease Cycles'!$AV$22&lt;=AC$6),'Lease Cycles'!$C$22*'Lease Cycles'!$AW$22/12,IF(AND('Lease Cycles'!$AT$22&gt;=INDEX('Lease Cycles'!$BG$22:$BM$22,1,AC248),'Lease Cycles'!$AT$22&lt;=AC$6),'Lease Cycles'!$C$22*'Lease Cycles'!$AU$22/12,'Lease Cycles'!$C$22*INDEX('Lease Cycles'!$CB$22:$CH$22,1,AC248)*(1+INDEX('Lease Cycles'!$CI$22:$CO$22,1,AC248))^INT(INT(AC249/12)/INDEX('Lease Cycles'!$CP$22:$CV$22,1,AC248))/12)))),'Lease Cycles'!$C$22*INDEX('Lease Cycles'!$CB$22:$CH$22,1,AC248)*(1+INDEX('Lease Cycles'!$CI$22:$CO$22,1,AC248))^INT(INT(AC249/12)/INDEX('Lease Cycles'!$CP$22:$CV$22,1,AC248))/12))),IF('Lease Cycles'!$N$22=1,'Lease Cycles'!$C$22*'Lease Cycles'!$E$22*INDEX('Lease Cycles'!$HE$22:$HK$22,1,AC248)*(1+INDEX('Lease Cycles'!$GQ$22:$GW$22,1,AC248))^INT(INT((AC$6-INDEX('Lease Cycles'!$GJ$22:$GP$22,1,AC248))/12)/INDEX('Lease Cycles'!$GX$22:$HD$22,1,AC248))/12,0)))</f>
        <v>0</v>
      </c>
      <c r="AD251" s="28">
        <f>IF(AD248=0,IF('Lease Cycles'!$F$22&gt;0,'Lease Cycles'!$C$22*'Lease Cycles'!$E$22/12,0),IF(AD250=1,IF('Lease Cycles'!$AT$22&gt;=9999,'Lease Cycles'!$C$22*INDEX('Lease Cycles'!$CB$22:$CH$22,1,AD248)*(1+INDEX('Lease Cycles'!$CI$22:$CO$22,1,AD248))^INT(INT(AD249/12)/INDEX('Lease Cycles'!$CP$22:$CV$22,1,AD248))/12,IF(AD248=1,IF(AD249&gt;=INDEX('Lease Cycles'!$DK$22:$DQ$22,1,AD248),IF(AD$6&gt;='Lease Cycles'!$AZ$22,'Lease Cycles'!$C$22*'Lease Cycles'!$BA$22/12,IF(AD$6&gt;='Lease Cycles'!$AX$22,'Lease Cycles'!$C$22*'Lease Cycles'!$AY$22/12,IF(AD$6&gt;='Lease Cycles'!$AV$22,'Lease Cycles'!$C$22*'Lease Cycles'!$AW$22/12,IF(AD$6&gt;='Lease Cycles'!$AT$22,'Lease Cycles'!$C$22*'Lease Cycles'!$AU$22/12,'Lease Cycles'!$C$22*INDEX('Lease Cycles'!$CB$22:$CH$22,1,AD248)*(1+INDEX('Lease Cycles'!$CI$22:$CO$22,1,AD248))^INT(INT(AD249/12)/INDEX('Lease Cycles'!$CP$22:$CV$22,1,AD248))/12)))),'Lease Cycles'!$C$22*INDEX('Lease Cycles'!$CB$22:$CH$22,1,AD248)*(1+INDEX('Lease Cycles'!$CI$22:$CO$22,1,AD248))^INT(INT(AD249/12)/INDEX('Lease Cycles'!$CP$22:$CV$22,1,AD248))/12),IF(INDEX('Lease Cycles'!$EF$22:$EL$22,1,AD248)=1,IF(AND('Lease Cycles'!$AZ$22&gt;=INDEX('Lease Cycles'!$BG$22:$BM$22,1,AD248),'Lease Cycles'!$AZ$22&lt;=AD$6),'Lease Cycles'!$C$22*'Lease Cycles'!$BA$22/12,IF(AND('Lease Cycles'!$AX$22&gt;=INDEX('Lease Cycles'!$BG$22:$BM$22,1,AD248),'Lease Cycles'!$AX$22&lt;=AD$6),'Lease Cycles'!$C$22*'Lease Cycles'!$AY$22/12,IF(AND('Lease Cycles'!$AV$22&gt;=INDEX('Lease Cycles'!$BG$22:$BM$22,1,AD248),'Lease Cycles'!$AV$22&lt;=AD$6),'Lease Cycles'!$C$22*'Lease Cycles'!$AW$22/12,IF(AND('Lease Cycles'!$AT$22&gt;=INDEX('Lease Cycles'!$BG$22:$BM$22,1,AD248),'Lease Cycles'!$AT$22&lt;=AD$6),'Lease Cycles'!$C$22*'Lease Cycles'!$AU$22/12,'Lease Cycles'!$C$22*INDEX('Lease Cycles'!$CB$22:$CH$22,1,AD248)*(1+INDEX('Lease Cycles'!$CI$22:$CO$22,1,AD248))^INT(INT(AD249/12)/INDEX('Lease Cycles'!$CP$22:$CV$22,1,AD248))/12)))),'Lease Cycles'!$C$22*INDEX('Lease Cycles'!$CB$22:$CH$22,1,AD248)*(1+INDEX('Lease Cycles'!$CI$22:$CO$22,1,AD248))^INT(INT(AD249/12)/INDEX('Lease Cycles'!$CP$22:$CV$22,1,AD248))/12))),IF('Lease Cycles'!$N$22=1,'Lease Cycles'!$C$22*'Lease Cycles'!$E$22*INDEX('Lease Cycles'!$HE$22:$HK$22,1,AD248)*(1+INDEX('Lease Cycles'!$GQ$22:$GW$22,1,AD248))^INT(INT((AD$6-INDEX('Lease Cycles'!$GJ$22:$GP$22,1,AD248))/12)/INDEX('Lease Cycles'!$GX$22:$HD$22,1,AD248))/12,0)))</f>
        <v>0</v>
      </c>
      <c r="AE251" s="28">
        <f>IF(AE248=0,IF('Lease Cycles'!$F$22&gt;0,'Lease Cycles'!$C$22*'Lease Cycles'!$E$22/12,0),IF(AE250=1,IF('Lease Cycles'!$AT$22&gt;=9999,'Lease Cycles'!$C$22*INDEX('Lease Cycles'!$CB$22:$CH$22,1,AE248)*(1+INDEX('Lease Cycles'!$CI$22:$CO$22,1,AE248))^INT(INT(AE249/12)/INDEX('Lease Cycles'!$CP$22:$CV$22,1,AE248))/12,IF(AE248=1,IF(AE249&gt;=INDEX('Lease Cycles'!$DK$22:$DQ$22,1,AE248),IF(AE$6&gt;='Lease Cycles'!$AZ$22,'Lease Cycles'!$C$22*'Lease Cycles'!$BA$22/12,IF(AE$6&gt;='Lease Cycles'!$AX$22,'Lease Cycles'!$C$22*'Lease Cycles'!$AY$22/12,IF(AE$6&gt;='Lease Cycles'!$AV$22,'Lease Cycles'!$C$22*'Lease Cycles'!$AW$22/12,IF(AE$6&gt;='Lease Cycles'!$AT$22,'Lease Cycles'!$C$22*'Lease Cycles'!$AU$22/12,'Lease Cycles'!$C$22*INDEX('Lease Cycles'!$CB$22:$CH$22,1,AE248)*(1+INDEX('Lease Cycles'!$CI$22:$CO$22,1,AE248))^INT(INT(AE249/12)/INDEX('Lease Cycles'!$CP$22:$CV$22,1,AE248))/12)))),'Lease Cycles'!$C$22*INDEX('Lease Cycles'!$CB$22:$CH$22,1,AE248)*(1+INDEX('Lease Cycles'!$CI$22:$CO$22,1,AE248))^INT(INT(AE249/12)/INDEX('Lease Cycles'!$CP$22:$CV$22,1,AE248))/12),IF(INDEX('Lease Cycles'!$EF$22:$EL$22,1,AE248)=1,IF(AND('Lease Cycles'!$AZ$22&gt;=INDEX('Lease Cycles'!$BG$22:$BM$22,1,AE248),'Lease Cycles'!$AZ$22&lt;=AE$6),'Lease Cycles'!$C$22*'Lease Cycles'!$BA$22/12,IF(AND('Lease Cycles'!$AX$22&gt;=INDEX('Lease Cycles'!$BG$22:$BM$22,1,AE248),'Lease Cycles'!$AX$22&lt;=AE$6),'Lease Cycles'!$C$22*'Lease Cycles'!$AY$22/12,IF(AND('Lease Cycles'!$AV$22&gt;=INDEX('Lease Cycles'!$BG$22:$BM$22,1,AE248),'Lease Cycles'!$AV$22&lt;=AE$6),'Lease Cycles'!$C$22*'Lease Cycles'!$AW$22/12,IF(AND('Lease Cycles'!$AT$22&gt;=INDEX('Lease Cycles'!$BG$22:$BM$22,1,AE248),'Lease Cycles'!$AT$22&lt;=AE$6),'Lease Cycles'!$C$22*'Lease Cycles'!$AU$22/12,'Lease Cycles'!$C$22*INDEX('Lease Cycles'!$CB$22:$CH$22,1,AE248)*(1+INDEX('Lease Cycles'!$CI$22:$CO$22,1,AE248))^INT(INT(AE249/12)/INDEX('Lease Cycles'!$CP$22:$CV$22,1,AE248))/12)))),'Lease Cycles'!$C$22*INDEX('Lease Cycles'!$CB$22:$CH$22,1,AE248)*(1+INDEX('Lease Cycles'!$CI$22:$CO$22,1,AE248))^INT(INT(AE249/12)/INDEX('Lease Cycles'!$CP$22:$CV$22,1,AE248))/12))),IF('Lease Cycles'!$N$22=1,'Lease Cycles'!$C$22*'Lease Cycles'!$E$22*INDEX('Lease Cycles'!$HE$22:$HK$22,1,AE248)*(1+INDEX('Lease Cycles'!$GQ$22:$GW$22,1,AE248))^INT(INT((AE$6-INDEX('Lease Cycles'!$GJ$22:$GP$22,1,AE248))/12)/INDEX('Lease Cycles'!$GX$22:$HD$22,1,AE248))/12,0)))</f>
        <v>0</v>
      </c>
      <c r="AF251" s="28">
        <f>IF(AF248=0,IF('Lease Cycles'!$F$22&gt;0,'Lease Cycles'!$C$22*'Lease Cycles'!$E$22/12,0),IF(AF250=1,IF('Lease Cycles'!$AT$22&gt;=9999,'Lease Cycles'!$C$22*INDEX('Lease Cycles'!$CB$22:$CH$22,1,AF248)*(1+INDEX('Lease Cycles'!$CI$22:$CO$22,1,AF248))^INT(INT(AF249/12)/INDEX('Lease Cycles'!$CP$22:$CV$22,1,AF248))/12,IF(AF248=1,IF(AF249&gt;=INDEX('Lease Cycles'!$DK$22:$DQ$22,1,AF248),IF(AF$6&gt;='Lease Cycles'!$AZ$22,'Lease Cycles'!$C$22*'Lease Cycles'!$BA$22/12,IF(AF$6&gt;='Lease Cycles'!$AX$22,'Lease Cycles'!$C$22*'Lease Cycles'!$AY$22/12,IF(AF$6&gt;='Lease Cycles'!$AV$22,'Lease Cycles'!$C$22*'Lease Cycles'!$AW$22/12,IF(AF$6&gt;='Lease Cycles'!$AT$22,'Lease Cycles'!$C$22*'Lease Cycles'!$AU$22/12,'Lease Cycles'!$C$22*INDEX('Lease Cycles'!$CB$22:$CH$22,1,AF248)*(1+INDEX('Lease Cycles'!$CI$22:$CO$22,1,AF248))^INT(INT(AF249/12)/INDEX('Lease Cycles'!$CP$22:$CV$22,1,AF248))/12)))),'Lease Cycles'!$C$22*INDEX('Lease Cycles'!$CB$22:$CH$22,1,AF248)*(1+INDEX('Lease Cycles'!$CI$22:$CO$22,1,AF248))^INT(INT(AF249/12)/INDEX('Lease Cycles'!$CP$22:$CV$22,1,AF248))/12),IF(INDEX('Lease Cycles'!$EF$22:$EL$22,1,AF248)=1,IF(AND('Lease Cycles'!$AZ$22&gt;=INDEX('Lease Cycles'!$BG$22:$BM$22,1,AF248),'Lease Cycles'!$AZ$22&lt;=AF$6),'Lease Cycles'!$C$22*'Lease Cycles'!$BA$22/12,IF(AND('Lease Cycles'!$AX$22&gt;=INDEX('Lease Cycles'!$BG$22:$BM$22,1,AF248),'Lease Cycles'!$AX$22&lt;=AF$6),'Lease Cycles'!$C$22*'Lease Cycles'!$AY$22/12,IF(AND('Lease Cycles'!$AV$22&gt;=INDEX('Lease Cycles'!$BG$22:$BM$22,1,AF248),'Lease Cycles'!$AV$22&lt;=AF$6),'Lease Cycles'!$C$22*'Lease Cycles'!$AW$22/12,IF(AND('Lease Cycles'!$AT$22&gt;=INDEX('Lease Cycles'!$BG$22:$BM$22,1,AF248),'Lease Cycles'!$AT$22&lt;=AF$6),'Lease Cycles'!$C$22*'Lease Cycles'!$AU$22/12,'Lease Cycles'!$C$22*INDEX('Lease Cycles'!$CB$22:$CH$22,1,AF248)*(1+INDEX('Lease Cycles'!$CI$22:$CO$22,1,AF248))^INT(INT(AF249/12)/INDEX('Lease Cycles'!$CP$22:$CV$22,1,AF248))/12)))),'Lease Cycles'!$C$22*INDEX('Lease Cycles'!$CB$22:$CH$22,1,AF248)*(1+INDEX('Lease Cycles'!$CI$22:$CO$22,1,AF248))^INT(INT(AF249/12)/INDEX('Lease Cycles'!$CP$22:$CV$22,1,AF248))/12))),IF('Lease Cycles'!$N$22=1,'Lease Cycles'!$C$22*'Lease Cycles'!$E$22*INDEX('Lease Cycles'!$HE$22:$HK$22,1,AF248)*(1+INDEX('Lease Cycles'!$GQ$22:$GW$22,1,AF248))^INT(INT((AF$6-INDEX('Lease Cycles'!$GJ$22:$GP$22,1,AF248))/12)/INDEX('Lease Cycles'!$GX$22:$HD$22,1,AF248))/12,0)))</f>
        <v>0</v>
      </c>
      <c r="AG251" s="28">
        <f>IF(AG248=0,IF('Lease Cycles'!$F$22&gt;0,'Lease Cycles'!$C$22*'Lease Cycles'!$E$22/12,0),IF(AG250=1,IF('Lease Cycles'!$AT$22&gt;=9999,'Lease Cycles'!$C$22*INDEX('Lease Cycles'!$CB$22:$CH$22,1,AG248)*(1+INDEX('Lease Cycles'!$CI$22:$CO$22,1,AG248))^INT(INT(AG249/12)/INDEX('Lease Cycles'!$CP$22:$CV$22,1,AG248))/12,IF(AG248=1,IF(AG249&gt;=INDEX('Lease Cycles'!$DK$22:$DQ$22,1,AG248),IF(AG$6&gt;='Lease Cycles'!$AZ$22,'Lease Cycles'!$C$22*'Lease Cycles'!$BA$22/12,IF(AG$6&gt;='Lease Cycles'!$AX$22,'Lease Cycles'!$C$22*'Lease Cycles'!$AY$22/12,IF(AG$6&gt;='Lease Cycles'!$AV$22,'Lease Cycles'!$C$22*'Lease Cycles'!$AW$22/12,IF(AG$6&gt;='Lease Cycles'!$AT$22,'Lease Cycles'!$C$22*'Lease Cycles'!$AU$22/12,'Lease Cycles'!$C$22*INDEX('Lease Cycles'!$CB$22:$CH$22,1,AG248)*(1+INDEX('Lease Cycles'!$CI$22:$CO$22,1,AG248))^INT(INT(AG249/12)/INDEX('Lease Cycles'!$CP$22:$CV$22,1,AG248))/12)))),'Lease Cycles'!$C$22*INDEX('Lease Cycles'!$CB$22:$CH$22,1,AG248)*(1+INDEX('Lease Cycles'!$CI$22:$CO$22,1,AG248))^INT(INT(AG249/12)/INDEX('Lease Cycles'!$CP$22:$CV$22,1,AG248))/12),IF(INDEX('Lease Cycles'!$EF$22:$EL$22,1,AG248)=1,IF(AND('Lease Cycles'!$AZ$22&gt;=INDEX('Lease Cycles'!$BG$22:$BM$22,1,AG248),'Lease Cycles'!$AZ$22&lt;=AG$6),'Lease Cycles'!$C$22*'Lease Cycles'!$BA$22/12,IF(AND('Lease Cycles'!$AX$22&gt;=INDEX('Lease Cycles'!$BG$22:$BM$22,1,AG248),'Lease Cycles'!$AX$22&lt;=AG$6),'Lease Cycles'!$C$22*'Lease Cycles'!$AY$22/12,IF(AND('Lease Cycles'!$AV$22&gt;=INDEX('Lease Cycles'!$BG$22:$BM$22,1,AG248),'Lease Cycles'!$AV$22&lt;=AG$6),'Lease Cycles'!$C$22*'Lease Cycles'!$AW$22/12,IF(AND('Lease Cycles'!$AT$22&gt;=INDEX('Lease Cycles'!$BG$22:$BM$22,1,AG248),'Lease Cycles'!$AT$22&lt;=AG$6),'Lease Cycles'!$C$22*'Lease Cycles'!$AU$22/12,'Lease Cycles'!$C$22*INDEX('Lease Cycles'!$CB$22:$CH$22,1,AG248)*(1+INDEX('Lease Cycles'!$CI$22:$CO$22,1,AG248))^INT(INT(AG249/12)/INDEX('Lease Cycles'!$CP$22:$CV$22,1,AG248))/12)))),'Lease Cycles'!$C$22*INDEX('Lease Cycles'!$CB$22:$CH$22,1,AG248)*(1+INDEX('Lease Cycles'!$CI$22:$CO$22,1,AG248))^INT(INT(AG249/12)/INDEX('Lease Cycles'!$CP$22:$CV$22,1,AG248))/12))),IF('Lease Cycles'!$N$22=1,'Lease Cycles'!$C$22*'Lease Cycles'!$E$22*INDEX('Lease Cycles'!$HE$22:$HK$22,1,AG248)*(1+INDEX('Lease Cycles'!$GQ$22:$GW$22,1,AG248))^INT(INT((AG$6-INDEX('Lease Cycles'!$GJ$22:$GP$22,1,AG248))/12)/INDEX('Lease Cycles'!$GX$22:$HD$22,1,AG248))/12,0)))</f>
        <v>0</v>
      </c>
      <c r="AH251" s="28">
        <f>IF(AH248=0,IF('Lease Cycles'!$F$22&gt;0,'Lease Cycles'!$C$22*'Lease Cycles'!$E$22/12,0),IF(AH250=1,IF('Lease Cycles'!$AT$22&gt;=9999,'Lease Cycles'!$C$22*INDEX('Lease Cycles'!$CB$22:$CH$22,1,AH248)*(1+INDEX('Lease Cycles'!$CI$22:$CO$22,1,AH248))^INT(INT(AH249/12)/INDEX('Lease Cycles'!$CP$22:$CV$22,1,AH248))/12,IF(AH248=1,IF(AH249&gt;=INDEX('Lease Cycles'!$DK$22:$DQ$22,1,AH248),IF(AH$6&gt;='Lease Cycles'!$AZ$22,'Lease Cycles'!$C$22*'Lease Cycles'!$BA$22/12,IF(AH$6&gt;='Lease Cycles'!$AX$22,'Lease Cycles'!$C$22*'Lease Cycles'!$AY$22/12,IF(AH$6&gt;='Lease Cycles'!$AV$22,'Lease Cycles'!$C$22*'Lease Cycles'!$AW$22/12,IF(AH$6&gt;='Lease Cycles'!$AT$22,'Lease Cycles'!$C$22*'Lease Cycles'!$AU$22/12,'Lease Cycles'!$C$22*INDEX('Lease Cycles'!$CB$22:$CH$22,1,AH248)*(1+INDEX('Lease Cycles'!$CI$22:$CO$22,1,AH248))^INT(INT(AH249/12)/INDEX('Lease Cycles'!$CP$22:$CV$22,1,AH248))/12)))),'Lease Cycles'!$C$22*INDEX('Lease Cycles'!$CB$22:$CH$22,1,AH248)*(1+INDEX('Lease Cycles'!$CI$22:$CO$22,1,AH248))^INT(INT(AH249/12)/INDEX('Lease Cycles'!$CP$22:$CV$22,1,AH248))/12),IF(INDEX('Lease Cycles'!$EF$22:$EL$22,1,AH248)=1,IF(AND('Lease Cycles'!$AZ$22&gt;=INDEX('Lease Cycles'!$BG$22:$BM$22,1,AH248),'Lease Cycles'!$AZ$22&lt;=AH$6),'Lease Cycles'!$C$22*'Lease Cycles'!$BA$22/12,IF(AND('Lease Cycles'!$AX$22&gt;=INDEX('Lease Cycles'!$BG$22:$BM$22,1,AH248),'Lease Cycles'!$AX$22&lt;=AH$6),'Lease Cycles'!$C$22*'Lease Cycles'!$AY$22/12,IF(AND('Lease Cycles'!$AV$22&gt;=INDEX('Lease Cycles'!$BG$22:$BM$22,1,AH248),'Lease Cycles'!$AV$22&lt;=AH$6),'Lease Cycles'!$C$22*'Lease Cycles'!$AW$22/12,IF(AND('Lease Cycles'!$AT$22&gt;=INDEX('Lease Cycles'!$BG$22:$BM$22,1,AH248),'Lease Cycles'!$AT$22&lt;=AH$6),'Lease Cycles'!$C$22*'Lease Cycles'!$AU$22/12,'Lease Cycles'!$C$22*INDEX('Lease Cycles'!$CB$22:$CH$22,1,AH248)*(1+INDEX('Lease Cycles'!$CI$22:$CO$22,1,AH248))^INT(INT(AH249/12)/INDEX('Lease Cycles'!$CP$22:$CV$22,1,AH248))/12)))),'Lease Cycles'!$C$22*INDEX('Lease Cycles'!$CB$22:$CH$22,1,AH248)*(1+INDEX('Lease Cycles'!$CI$22:$CO$22,1,AH248))^INT(INT(AH249/12)/INDEX('Lease Cycles'!$CP$22:$CV$22,1,AH248))/12))),IF('Lease Cycles'!$N$22=1,'Lease Cycles'!$C$22*'Lease Cycles'!$E$22*INDEX('Lease Cycles'!$HE$22:$HK$22,1,AH248)*(1+INDEX('Lease Cycles'!$GQ$22:$GW$22,1,AH248))^INT(INT((AH$6-INDEX('Lease Cycles'!$GJ$22:$GP$22,1,AH248))/12)/INDEX('Lease Cycles'!$GX$22:$HD$22,1,AH248))/12,0)))</f>
        <v>0</v>
      </c>
      <c r="AI251" s="28">
        <f>IF(AI248=0,IF('Lease Cycles'!$F$22&gt;0,'Lease Cycles'!$C$22*'Lease Cycles'!$E$22/12,0),IF(AI250=1,IF('Lease Cycles'!$AT$22&gt;=9999,'Lease Cycles'!$C$22*INDEX('Lease Cycles'!$CB$22:$CH$22,1,AI248)*(1+INDEX('Lease Cycles'!$CI$22:$CO$22,1,AI248))^INT(INT(AI249/12)/INDEX('Lease Cycles'!$CP$22:$CV$22,1,AI248))/12,IF(AI248=1,IF(AI249&gt;=INDEX('Lease Cycles'!$DK$22:$DQ$22,1,AI248),IF(AI$6&gt;='Lease Cycles'!$AZ$22,'Lease Cycles'!$C$22*'Lease Cycles'!$BA$22/12,IF(AI$6&gt;='Lease Cycles'!$AX$22,'Lease Cycles'!$C$22*'Lease Cycles'!$AY$22/12,IF(AI$6&gt;='Lease Cycles'!$AV$22,'Lease Cycles'!$C$22*'Lease Cycles'!$AW$22/12,IF(AI$6&gt;='Lease Cycles'!$AT$22,'Lease Cycles'!$C$22*'Lease Cycles'!$AU$22/12,'Lease Cycles'!$C$22*INDEX('Lease Cycles'!$CB$22:$CH$22,1,AI248)*(1+INDEX('Lease Cycles'!$CI$22:$CO$22,1,AI248))^INT(INT(AI249/12)/INDEX('Lease Cycles'!$CP$22:$CV$22,1,AI248))/12)))),'Lease Cycles'!$C$22*INDEX('Lease Cycles'!$CB$22:$CH$22,1,AI248)*(1+INDEX('Lease Cycles'!$CI$22:$CO$22,1,AI248))^INT(INT(AI249/12)/INDEX('Lease Cycles'!$CP$22:$CV$22,1,AI248))/12),IF(INDEX('Lease Cycles'!$EF$22:$EL$22,1,AI248)=1,IF(AND('Lease Cycles'!$AZ$22&gt;=INDEX('Lease Cycles'!$BG$22:$BM$22,1,AI248),'Lease Cycles'!$AZ$22&lt;=AI$6),'Lease Cycles'!$C$22*'Lease Cycles'!$BA$22/12,IF(AND('Lease Cycles'!$AX$22&gt;=INDEX('Lease Cycles'!$BG$22:$BM$22,1,AI248),'Lease Cycles'!$AX$22&lt;=AI$6),'Lease Cycles'!$C$22*'Lease Cycles'!$AY$22/12,IF(AND('Lease Cycles'!$AV$22&gt;=INDEX('Lease Cycles'!$BG$22:$BM$22,1,AI248),'Lease Cycles'!$AV$22&lt;=AI$6),'Lease Cycles'!$C$22*'Lease Cycles'!$AW$22/12,IF(AND('Lease Cycles'!$AT$22&gt;=INDEX('Lease Cycles'!$BG$22:$BM$22,1,AI248),'Lease Cycles'!$AT$22&lt;=AI$6),'Lease Cycles'!$C$22*'Lease Cycles'!$AU$22/12,'Lease Cycles'!$C$22*INDEX('Lease Cycles'!$CB$22:$CH$22,1,AI248)*(1+INDEX('Lease Cycles'!$CI$22:$CO$22,1,AI248))^INT(INT(AI249/12)/INDEX('Lease Cycles'!$CP$22:$CV$22,1,AI248))/12)))),'Lease Cycles'!$C$22*INDEX('Lease Cycles'!$CB$22:$CH$22,1,AI248)*(1+INDEX('Lease Cycles'!$CI$22:$CO$22,1,AI248))^INT(INT(AI249/12)/INDEX('Lease Cycles'!$CP$22:$CV$22,1,AI248))/12))),IF('Lease Cycles'!$N$22=1,'Lease Cycles'!$C$22*'Lease Cycles'!$E$22*INDEX('Lease Cycles'!$HE$22:$HK$22,1,AI248)*(1+INDEX('Lease Cycles'!$GQ$22:$GW$22,1,AI248))^INT(INT((AI$6-INDEX('Lease Cycles'!$GJ$22:$GP$22,1,AI248))/12)/INDEX('Lease Cycles'!$GX$22:$HD$22,1,AI248))/12,0)))</f>
        <v>0</v>
      </c>
      <c r="AJ251" s="28">
        <f>IF(AJ248=0,IF('Lease Cycles'!$F$22&gt;0,'Lease Cycles'!$C$22*'Lease Cycles'!$E$22/12,0),IF(AJ250=1,IF('Lease Cycles'!$AT$22&gt;=9999,'Lease Cycles'!$C$22*INDEX('Lease Cycles'!$CB$22:$CH$22,1,AJ248)*(1+INDEX('Lease Cycles'!$CI$22:$CO$22,1,AJ248))^INT(INT(AJ249/12)/INDEX('Lease Cycles'!$CP$22:$CV$22,1,AJ248))/12,IF(AJ248=1,IF(AJ249&gt;=INDEX('Lease Cycles'!$DK$22:$DQ$22,1,AJ248),IF(AJ$6&gt;='Lease Cycles'!$AZ$22,'Lease Cycles'!$C$22*'Lease Cycles'!$BA$22/12,IF(AJ$6&gt;='Lease Cycles'!$AX$22,'Lease Cycles'!$C$22*'Lease Cycles'!$AY$22/12,IF(AJ$6&gt;='Lease Cycles'!$AV$22,'Lease Cycles'!$C$22*'Lease Cycles'!$AW$22/12,IF(AJ$6&gt;='Lease Cycles'!$AT$22,'Lease Cycles'!$C$22*'Lease Cycles'!$AU$22/12,'Lease Cycles'!$C$22*INDEX('Lease Cycles'!$CB$22:$CH$22,1,AJ248)*(1+INDEX('Lease Cycles'!$CI$22:$CO$22,1,AJ248))^INT(INT(AJ249/12)/INDEX('Lease Cycles'!$CP$22:$CV$22,1,AJ248))/12)))),'Lease Cycles'!$C$22*INDEX('Lease Cycles'!$CB$22:$CH$22,1,AJ248)*(1+INDEX('Lease Cycles'!$CI$22:$CO$22,1,AJ248))^INT(INT(AJ249/12)/INDEX('Lease Cycles'!$CP$22:$CV$22,1,AJ248))/12),IF(INDEX('Lease Cycles'!$EF$22:$EL$22,1,AJ248)=1,IF(AND('Lease Cycles'!$AZ$22&gt;=INDEX('Lease Cycles'!$BG$22:$BM$22,1,AJ248),'Lease Cycles'!$AZ$22&lt;=AJ$6),'Lease Cycles'!$C$22*'Lease Cycles'!$BA$22/12,IF(AND('Lease Cycles'!$AX$22&gt;=INDEX('Lease Cycles'!$BG$22:$BM$22,1,AJ248),'Lease Cycles'!$AX$22&lt;=AJ$6),'Lease Cycles'!$C$22*'Lease Cycles'!$AY$22/12,IF(AND('Lease Cycles'!$AV$22&gt;=INDEX('Lease Cycles'!$BG$22:$BM$22,1,AJ248),'Lease Cycles'!$AV$22&lt;=AJ$6),'Lease Cycles'!$C$22*'Lease Cycles'!$AW$22/12,IF(AND('Lease Cycles'!$AT$22&gt;=INDEX('Lease Cycles'!$BG$22:$BM$22,1,AJ248),'Lease Cycles'!$AT$22&lt;=AJ$6),'Lease Cycles'!$C$22*'Lease Cycles'!$AU$22/12,'Lease Cycles'!$C$22*INDEX('Lease Cycles'!$CB$22:$CH$22,1,AJ248)*(1+INDEX('Lease Cycles'!$CI$22:$CO$22,1,AJ248))^INT(INT(AJ249/12)/INDEX('Lease Cycles'!$CP$22:$CV$22,1,AJ248))/12)))),'Lease Cycles'!$C$22*INDEX('Lease Cycles'!$CB$22:$CH$22,1,AJ248)*(1+INDEX('Lease Cycles'!$CI$22:$CO$22,1,AJ248))^INT(INT(AJ249/12)/INDEX('Lease Cycles'!$CP$22:$CV$22,1,AJ248))/12))),IF('Lease Cycles'!$N$22=1,'Lease Cycles'!$C$22*'Lease Cycles'!$E$22*INDEX('Lease Cycles'!$HE$22:$HK$22,1,AJ248)*(1+INDEX('Lease Cycles'!$GQ$22:$GW$22,1,AJ248))^INT(INT((AJ$6-INDEX('Lease Cycles'!$GJ$22:$GP$22,1,AJ248))/12)/INDEX('Lease Cycles'!$GX$22:$HD$22,1,AJ248))/12,0)))</f>
        <v>0</v>
      </c>
      <c r="AK251" s="28">
        <f>IF(AK248=0,IF('Lease Cycles'!$F$22&gt;0,'Lease Cycles'!$C$22*'Lease Cycles'!$E$22/12,0),IF(AK250=1,IF('Lease Cycles'!$AT$22&gt;=9999,'Lease Cycles'!$C$22*INDEX('Lease Cycles'!$CB$22:$CH$22,1,AK248)*(1+INDEX('Lease Cycles'!$CI$22:$CO$22,1,AK248))^INT(INT(AK249/12)/INDEX('Lease Cycles'!$CP$22:$CV$22,1,AK248))/12,IF(AK248=1,IF(AK249&gt;=INDEX('Lease Cycles'!$DK$22:$DQ$22,1,AK248),IF(AK$6&gt;='Lease Cycles'!$AZ$22,'Lease Cycles'!$C$22*'Lease Cycles'!$BA$22/12,IF(AK$6&gt;='Lease Cycles'!$AX$22,'Lease Cycles'!$C$22*'Lease Cycles'!$AY$22/12,IF(AK$6&gt;='Lease Cycles'!$AV$22,'Lease Cycles'!$C$22*'Lease Cycles'!$AW$22/12,IF(AK$6&gt;='Lease Cycles'!$AT$22,'Lease Cycles'!$C$22*'Lease Cycles'!$AU$22/12,'Lease Cycles'!$C$22*INDEX('Lease Cycles'!$CB$22:$CH$22,1,AK248)*(1+INDEX('Lease Cycles'!$CI$22:$CO$22,1,AK248))^INT(INT(AK249/12)/INDEX('Lease Cycles'!$CP$22:$CV$22,1,AK248))/12)))),'Lease Cycles'!$C$22*INDEX('Lease Cycles'!$CB$22:$CH$22,1,AK248)*(1+INDEX('Lease Cycles'!$CI$22:$CO$22,1,AK248))^INT(INT(AK249/12)/INDEX('Lease Cycles'!$CP$22:$CV$22,1,AK248))/12),IF(INDEX('Lease Cycles'!$EF$22:$EL$22,1,AK248)=1,IF(AND('Lease Cycles'!$AZ$22&gt;=INDEX('Lease Cycles'!$BG$22:$BM$22,1,AK248),'Lease Cycles'!$AZ$22&lt;=AK$6),'Lease Cycles'!$C$22*'Lease Cycles'!$BA$22/12,IF(AND('Lease Cycles'!$AX$22&gt;=INDEX('Lease Cycles'!$BG$22:$BM$22,1,AK248),'Lease Cycles'!$AX$22&lt;=AK$6),'Lease Cycles'!$C$22*'Lease Cycles'!$AY$22/12,IF(AND('Lease Cycles'!$AV$22&gt;=INDEX('Lease Cycles'!$BG$22:$BM$22,1,AK248),'Lease Cycles'!$AV$22&lt;=AK$6),'Lease Cycles'!$C$22*'Lease Cycles'!$AW$22/12,IF(AND('Lease Cycles'!$AT$22&gt;=INDEX('Lease Cycles'!$BG$22:$BM$22,1,AK248),'Lease Cycles'!$AT$22&lt;=AK$6),'Lease Cycles'!$C$22*'Lease Cycles'!$AU$22/12,'Lease Cycles'!$C$22*INDEX('Lease Cycles'!$CB$22:$CH$22,1,AK248)*(1+INDEX('Lease Cycles'!$CI$22:$CO$22,1,AK248))^INT(INT(AK249/12)/INDEX('Lease Cycles'!$CP$22:$CV$22,1,AK248))/12)))),'Lease Cycles'!$C$22*INDEX('Lease Cycles'!$CB$22:$CH$22,1,AK248)*(1+INDEX('Lease Cycles'!$CI$22:$CO$22,1,AK248))^INT(INT(AK249/12)/INDEX('Lease Cycles'!$CP$22:$CV$22,1,AK248))/12))),IF('Lease Cycles'!$N$22=1,'Lease Cycles'!$C$22*'Lease Cycles'!$E$22*INDEX('Lease Cycles'!$HE$22:$HK$22,1,AK248)*(1+INDEX('Lease Cycles'!$GQ$22:$GW$22,1,AK248))^INT(INT((AK$6-INDEX('Lease Cycles'!$GJ$22:$GP$22,1,AK248))/12)/INDEX('Lease Cycles'!$GX$22:$HD$22,1,AK248))/12,0)))</f>
        <v>0</v>
      </c>
      <c r="AL251" s="28">
        <f>IF(AL248=0,IF('Lease Cycles'!$F$22&gt;0,'Lease Cycles'!$C$22*'Lease Cycles'!$E$22/12,0),IF(AL250=1,IF('Lease Cycles'!$AT$22&gt;=9999,'Lease Cycles'!$C$22*INDEX('Lease Cycles'!$CB$22:$CH$22,1,AL248)*(1+INDEX('Lease Cycles'!$CI$22:$CO$22,1,AL248))^INT(INT(AL249/12)/INDEX('Lease Cycles'!$CP$22:$CV$22,1,AL248))/12,IF(AL248=1,IF(AL249&gt;=INDEX('Lease Cycles'!$DK$22:$DQ$22,1,AL248),IF(AL$6&gt;='Lease Cycles'!$AZ$22,'Lease Cycles'!$C$22*'Lease Cycles'!$BA$22/12,IF(AL$6&gt;='Lease Cycles'!$AX$22,'Lease Cycles'!$C$22*'Lease Cycles'!$AY$22/12,IF(AL$6&gt;='Lease Cycles'!$AV$22,'Lease Cycles'!$C$22*'Lease Cycles'!$AW$22/12,IF(AL$6&gt;='Lease Cycles'!$AT$22,'Lease Cycles'!$C$22*'Lease Cycles'!$AU$22/12,'Lease Cycles'!$C$22*INDEX('Lease Cycles'!$CB$22:$CH$22,1,AL248)*(1+INDEX('Lease Cycles'!$CI$22:$CO$22,1,AL248))^INT(INT(AL249/12)/INDEX('Lease Cycles'!$CP$22:$CV$22,1,AL248))/12)))),'Lease Cycles'!$C$22*INDEX('Lease Cycles'!$CB$22:$CH$22,1,AL248)*(1+INDEX('Lease Cycles'!$CI$22:$CO$22,1,AL248))^INT(INT(AL249/12)/INDEX('Lease Cycles'!$CP$22:$CV$22,1,AL248))/12),IF(INDEX('Lease Cycles'!$EF$22:$EL$22,1,AL248)=1,IF(AND('Lease Cycles'!$AZ$22&gt;=INDEX('Lease Cycles'!$BG$22:$BM$22,1,AL248),'Lease Cycles'!$AZ$22&lt;=AL$6),'Lease Cycles'!$C$22*'Lease Cycles'!$BA$22/12,IF(AND('Lease Cycles'!$AX$22&gt;=INDEX('Lease Cycles'!$BG$22:$BM$22,1,AL248),'Lease Cycles'!$AX$22&lt;=AL$6),'Lease Cycles'!$C$22*'Lease Cycles'!$AY$22/12,IF(AND('Lease Cycles'!$AV$22&gt;=INDEX('Lease Cycles'!$BG$22:$BM$22,1,AL248),'Lease Cycles'!$AV$22&lt;=AL$6),'Lease Cycles'!$C$22*'Lease Cycles'!$AW$22/12,IF(AND('Lease Cycles'!$AT$22&gt;=INDEX('Lease Cycles'!$BG$22:$BM$22,1,AL248),'Lease Cycles'!$AT$22&lt;=AL$6),'Lease Cycles'!$C$22*'Lease Cycles'!$AU$22/12,'Lease Cycles'!$C$22*INDEX('Lease Cycles'!$CB$22:$CH$22,1,AL248)*(1+INDEX('Lease Cycles'!$CI$22:$CO$22,1,AL248))^INT(INT(AL249/12)/INDEX('Lease Cycles'!$CP$22:$CV$22,1,AL248))/12)))),'Lease Cycles'!$C$22*INDEX('Lease Cycles'!$CB$22:$CH$22,1,AL248)*(1+INDEX('Lease Cycles'!$CI$22:$CO$22,1,AL248))^INT(INT(AL249/12)/INDEX('Lease Cycles'!$CP$22:$CV$22,1,AL248))/12))),IF('Lease Cycles'!$N$22=1,'Lease Cycles'!$C$22*'Lease Cycles'!$E$22*INDEX('Lease Cycles'!$HE$22:$HK$22,1,AL248)*(1+INDEX('Lease Cycles'!$GQ$22:$GW$22,1,AL248))^INT(INT((AL$6-INDEX('Lease Cycles'!$GJ$22:$GP$22,1,AL248))/12)/INDEX('Lease Cycles'!$GX$22:$HD$22,1,AL248))/12,0)))</f>
        <v>0</v>
      </c>
      <c r="AM251" s="28">
        <f>IF(AM248=0,IF('Lease Cycles'!$F$22&gt;0,'Lease Cycles'!$C$22*'Lease Cycles'!$E$22/12,0),IF(AM250=1,IF('Lease Cycles'!$AT$22&gt;=9999,'Lease Cycles'!$C$22*INDEX('Lease Cycles'!$CB$22:$CH$22,1,AM248)*(1+INDEX('Lease Cycles'!$CI$22:$CO$22,1,AM248))^INT(INT(AM249/12)/INDEX('Lease Cycles'!$CP$22:$CV$22,1,AM248))/12,IF(AM248=1,IF(AM249&gt;=INDEX('Lease Cycles'!$DK$22:$DQ$22,1,AM248),IF(AM$6&gt;='Lease Cycles'!$AZ$22,'Lease Cycles'!$C$22*'Lease Cycles'!$BA$22/12,IF(AM$6&gt;='Lease Cycles'!$AX$22,'Lease Cycles'!$C$22*'Lease Cycles'!$AY$22/12,IF(AM$6&gt;='Lease Cycles'!$AV$22,'Lease Cycles'!$C$22*'Lease Cycles'!$AW$22/12,IF(AM$6&gt;='Lease Cycles'!$AT$22,'Lease Cycles'!$C$22*'Lease Cycles'!$AU$22/12,'Lease Cycles'!$C$22*INDEX('Lease Cycles'!$CB$22:$CH$22,1,AM248)*(1+INDEX('Lease Cycles'!$CI$22:$CO$22,1,AM248))^INT(INT(AM249/12)/INDEX('Lease Cycles'!$CP$22:$CV$22,1,AM248))/12)))),'Lease Cycles'!$C$22*INDEX('Lease Cycles'!$CB$22:$CH$22,1,AM248)*(1+INDEX('Lease Cycles'!$CI$22:$CO$22,1,AM248))^INT(INT(AM249/12)/INDEX('Lease Cycles'!$CP$22:$CV$22,1,AM248))/12),IF(INDEX('Lease Cycles'!$EF$22:$EL$22,1,AM248)=1,IF(AND('Lease Cycles'!$AZ$22&gt;=INDEX('Lease Cycles'!$BG$22:$BM$22,1,AM248),'Lease Cycles'!$AZ$22&lt;=AM$6),'Lease Cycles'!$C$22*'Lease Cycles'!$BA$22/12,IF(AND('Lease Cycles'!$AX$22&gt;=INDEX('Lease Cycles'!$BG$22:$BM$22,1,AM248),'Lease Cycles'!$AX$22&lt;=AM$6),'Lease Cycles'!$C$22*'Lease Cycles'!$AY$22/12,IF(AND('Lease Cycles'!$AV$22&gt;=INDEX('Lease Cycles'!$BG$22:$BM$22,1,AM248),'Lease Cycles'!$AV$22&lt;=AM$6),'Lease Cycles'!$C$22*'Lease Cycles'!$AW$22/12,IF(AND('Lease Cycles'!$AT$22&gt;=INDEX('Lease Cycles'!$BG$22:$BM$22,1,AM248),'Lease Cycles'!$AT$22&lt;=AM$6),'Lease Cycles'!$C$22*'Lease Cycles'!$AU$22/12,'Lease Cycles'!$C$22*INDEX('Lease Cycles'!$CB$22:$CH$22,1,AM248)*(1+INDEX('Lease Cycles'!$CI$22:$CO$22,1,AM248))^INT(INT(AM249/12)/INDEX('Lease Cycles'!$CP$22:$CV$22,1,AM248))/12)))),'Lease Cycles'!$C$22*INDEX('Lease Cycles'!$CB$22:$CH$22,1,AM248)*(1+INDEX('Lease Cycles'!$CI$22:$CO$22,1,AM248))^INT(INT(AM249/12)/INDEX('Lease Cycles'!$CP$22:$CV$22,1,AM248))/12))),IF('Lease Cycles'!$N$22=1,'Lease Cycles'!$C$22*'Lease Cycles'!$E$22*INDEX('Lease Cycles'!$HE$22:$HK$22,1,AM248)*(1+INDEX('Lease Cycles'!$GQ$22:$GW$22,1,AM248))^INT(INT((AM$6-INDEX('Lease Cycles'!$GJ$22:$GP$22,1,AM248))/12)/INDEX('Lease Cycles'!$GX$22:$HD$22,1,AM248))/12,0)))</f>
        <v>0</v>
      </c>
      <c r="AN251" s="28">
        <f>IF(AN248=0,IF('Lease Cycles'!$F$22&gt;0,'Lease Cycles'!$C$22*'Lease Cycles'!$E$22/12,0),IF(AN250=1,IF('Lease Cycles'!$AT$22&gt;=9999,'Lease Cycles'!$C$22*INDEX('Lease Cycles'!$CB$22:$CH$22,1,AN248)*(1+INDEX('Lease Cycles'!$CI$22:$CO$22,1,AN248))^INT(INT(AN249/12)/INDEX('Lease Cycles'!$CP$22:$CV$22,1,AN248))/12,IF(AN248=1,IF(AN249&gt;=INDEX('Lease Cycles'!$DK$22:$DQ$22,1,AN248),IF(AN$6&gt;='Lease Cycles'!$AZ$22,'Lease Cycles'!$C$22*'Lease Cycles'!$BA$22/12,IF(AN$6&gt;='Lease Cycles'!$AX$22,'Lease Cycles'!$C$22*'Lease Cycles'!$AY$22/12,IF(AN$6&gt;='Lease Cycles'!$AV$22,'Lease Cycles'!$C$22*'Lease Cycles'!$AW$22/12,IF(AN$6&gt;='Lease Cycles'!$AT$22,'Lease Cycles'!$C$22*'Lease Cycles'!$AU$22/12,'Lease Cycles'!$C$22*INDEX('Lease Cycles'!$CB$22:$CH$22,1,AN248)*(1+INDEX('Lease Cycles'!$CI$22:$CO$22,1,AN248))^INT(INT(AN249/12)/INDEX('Lease Cycles'!$CP$22:$CV$22,1,AN248))/12)))),'Lease Cycles'!$C$22*INDEX('Lease Cycles'!$CB$22:$CH$22,1,AN248)*(1+INDEX('Lease Cycles'!$CI$22:$CO$22,1,AN248))^INT(INT(AN249/12)/INDEX('Lease Cycles'!$CP$22:$CV$22,1,AN248))/12),IF(INDEX('Lease Cycles'!$EF$22:$EL$22,1,AN248)=1,IF(AND('Lease Cycles'!$AZ$22&gt;=INDEX('Lease Cycles'!$BG$22:$BM$22,1,AN248),'Lease Cycles'!$AZ$22&lt;=AN$6),'Lease Cycles'!$C$22*'Lease Cycles'!$BA$22/12,IF(AND('Lease Cycles'!$AX$22&gt;=INDEX('Lease Cycles'!$BG$22:$BM$22,1,AN248),'Lease Cycles'!$AX$22&lt;=AN$6),'Lease Cycles'!$C$22*'Lease Cycles'!$AY$22/12,IF(AND('Lease Cycles'!$AV$22&gt;=INDEX('Lease Cycles'!$BG$22:$BM$22,1,AN248),'Lease Cycles'!$AV$22&lt;=AN$6),'Lease Cycles'!$C$22*'Lease Cycles'!$AW$22/12,IF(AND('Lease Cycles'!$AT$22&gt;=INDEX('Lease Cycles'!$BG$22:$BM$22,1,AN248),'Lease Cycles'!$AT$22&lt;=AN$6),'Lease Cycles'!$C$22*'Lease Cycles'!$AU$22/12,'Lease Cycles'!$C$22*INDEX('Lease Cycles'!$CB$22:$CH$22,1,AN248)*(1+INDEX('Lease Cycles'!$CI$22:$CO$22,1,AN248))^INT(INT(AN249/12)/INDEX('Lease Cycles'!$CP$22:$CV$22,1,AN248))/12)))),'Lease Cycles'!$C$22*INDEX('Lease Cycles'!$CB$22:$CH$22,1,AN248)*(1+INDEX('Lease Cycles'!$CI$22:$CO$22,1,AN248))^INT(INT(AN249/12)/INDEX('Lease Cycles'!$CP$22:$CV$22,1,AN248))/12))),IF('Lease Cycles'!$N$22=1,'Lease Cycles'!$C$22*'Lease Cycles'!$E$22*INDEX('Lease Cycles'!$HE$22:$HK$22,1,AN248)*(1+INDEX('Lease Cycles'!$GQ$22:$GW$22,1,AN248))^INT(INT((AN$6-INDEX('Lease Cycles'!$GJ$22:$GP$22,1,AN248))/12)/INDEX('Lease Cycles'!$GX$22:$HD$22,1,AN248))/12,0)))</f>
        <v>0</v>
      </c>
      <c r="AO251" s="28">
        <f>IF(AO248=0,IF('Lease Cycles'!$F$22&gt;0,'Lease Cycles'!$C$22*'Lease Cycles'!$E$22/12,0),IF(AO250=1,IF('Lease Cycles'!$AT$22&gt;=9999,'Lease Cycles'!$C$22*INDEX('Lease Cycles'!$CB$22:$CH$22,1,AO248)*(1+INDEX('Lease Cycles'!$CI$22:$CO$22,1,AO248))^INT(INT(AO249/12)/INDEX('Lease Cycles'!$CP$22:$CV$22,1,AO248))/12,IF(AO248=1,IF(AO249&gt;=INDEX('Lease Cycles'!$DK$22:$DQ$22,1,AO248),IF(AO$6&gt;='Lease Cycles'!$AZ$22,'Lease Cycles'!$C$22*'Lease Cycles'!$BA$22/12,IF(AO$6&gt;='Lease Cycles'!$AX$22,'Lease Cycles'!$C$22*'Lease Cycles'!$AY$22/12,IF(AO$6&gt;='Lease Cycles'!$AV$22,'Lease Cycles'!$C$22*'Lease Cycles'!$AW$22/12,IF(AO$6&gt;='Lease Cycles'!$AT$22,'Lease Cycles'!$C$22*'Lease Cycles'!$AU$22/12,'Lease Cycles'!$C$22*INDEX('Lease Cycles'!$CB$22:$CH$22,1,AO248)*(1+INDEX('Lease Cycles'!$CI$22:$CO$22,1,AO248))^INT(INT(AO249/12)/INDEX('Lease Cycles'!$CP$22:$CV$22,1,AO248))/12)))),'Lease Cycles'!$C$22*INDEX('Lease Cycles'!$CB$22:$CH$22,1,AO248)*(1+INDEX('Lease Cycles'!$CI$22:$CO$22,1,AO248))^INT(INT(AO249/12)/INDEX('Lease Cycles'!$CP$22:$CV$22,1,AO248))/12),IF(INDEX('Lease Cycles'!$EF$22:$EL$22,1,AO248)=1,IF(AND('Lease Cycles'!$AZ$22&gt;=INDEX('Lease Cycles'!$BG$22:$BM$22,1,AO248),'Lease Cycles'!$AZ$22&lt;=AO$6),'Lease Cycles'!$C$22*'Lease Cycles'!$BA$22/12,IF(AND('Lease Cycles'!$AX$22&gt;=INDEX('Lease Cycles'!$BG$22:$BM$22,1,AO248),'Lease Cycles'!$AX$22&lt;=AO$6),'Lease Cycles'!$C$22*'Lease Cycles'!$AY$22/12,IF(AND('Lease Cycles'!$AV$22&gt;=INDEX('Lease Cycles'!$BG$22:$BM$22,1,AO248),'Lease Cycles'!$AV$22&lt;=AO$6),'Lease Cycles'!$C$22*'Lease Cycles'!$AW$22/12,IF(AND('Lease Cycles'!$AT$22&gt;=INDEX('Lease Cycles'!$BG$22:$BM$22,1,AO248),'Lease Cycles'!$AT$22&lt;=AO$6),'Lease Cycles'!$C$22*'Lease Cycles'!$AU$22/12,'Lease Cycles'!$C$22*INDEX('Lease Cycles'!$CB$22:$CH$22,1,AO248)*(1+INDEX('Lease Cycles'!$CI$22:$CO$22,1,AO248))^INT(INT(AO249/12)/INDEX('Lease Cycles'!$CP$22:$CV$22,1,AO248))/12)))),'Lease Cycles'!$C$22*INDEX('Lease Cycles'!$CB$22:$CH$22,1,AO248)*(1+INDEX('Lease Cycles'!$CI$22:$CO$22,1,AO248))^INT(INT(AO249/12)/INDEX('Lease Cycles'!$CP$22:$CV$22,1,AO248))/12))),IF('Lease Cycles'!$N$22=1,'Lease Cycles'!$C$22*'Lease Cycles'!$E$22*INDEX('Lease Cycles'!$HE$22:$HK$22,1,AO248)*(1+INDEX('Lease Cycles'!$GQ$22:$GW$22,1,AO248))^INT(INT((AO$6-INDEX('Lease Cycles'!$GJ$22:$GP$22,1,AO248))/12)/INDEX('Lease Cycles'!$GX$22:$HD$22,1,AO248))/12,0)))</f>
        <v>0</v>
      </c>
      <c r="AP251" s="28">
        <f>IF(AP248=0,IF('Lease Cycles'!$F$22&gt;0,'Lease Cycles'!$C$22*'Lease Cycles'!$E$22/12,0),IF(AP250=1,IF('Lease Cycles'!$AT$22&gt;=9999,'Lease Cycles'!$C$22*INDEX('Lease Cycles'!$CB$22:$CH$22,1,AP248)*(1+INDEX('Lease Cycles'!$CI$22:$CO$22,1,AP248))^INT(INT(AP249/12)/INDEX('Lease Cycles'!$CP$22:$CV$22,1,AP248))/12,IF(AP248=1,IF(AP249&gt;=INDEX('Lease Cycles'!$DK$22:$DQ$22,1,AP248),IF(AP$6&gt;='Lease Cycles'!$AZ$22,'Lease Cycles'!$C$22*'Lease Cycles'!$BA$22/12,IF(AP$6&gt;='Lease Cycles'!$AX$22,'Lease Cycles'!$C$22*'Lease Cycles'!$AY$22/12,IF(AP$6&gt;='Lease Cycles'!$AV$22,'Lease Cycles'!$C$22*'Lease Cycles'!$AW$22/12,IF(AP$6&gt;='Lease Cycles'!$AT$22,'Lease Cycles'!$C$22*'Lease Cycles'!$AU$22/12,'Lease Cycles'!$C$22*INDEX('Lease Cycles'!$CB$22:$CH$22,1,AP248)*(1+INDEX('Lease Cycles'!$CI$22:$CO$22,1,AP248))^INT(INT(AP249/12)/INDEX('Lease Cycles'!$CP$22:$CV$22,1,AP248))/12)))),'Lease Cycles'!$C$22*INDEX('Lease Cycles'!$CB$22:$CH$22,1,AP248)*(1+INDEX('Lease Cycles'!$CI$22:$CO$22,1,AP248))^INT(INT(AP249/12)/INDEX('Lease Cycles'!$CP$22:$CV$22,1,AP248))/12),IF(INDEX('Lease Cycles'!$EF$22:$EL$22,1,AP248)=1,IF(AND('Lease Cycles'!$AZ$22&gt;=INDEX('Lease Cycles'!$BG$22:$BM$22,1,AP248),'Lease Cycles'!$AZ$22&lt;=AP$6),'Lease Cycles'!$C$22*'Lease Cycles'!$BA$22/12,IF(AND('Lease Cycles'!$AX$22&gt;=INDEX('Lease Cycles'!$BG$22:$BM$22,1,AP248),'Lease Cycles'!$AX$22&lt;=AP$6),'Lease Cycles'!$C$22*'Lease Cycles'!$AY$22/12,IF(AND('Lease Cycles'!$AV$22&gt;=INDEX('Lease Cycles'!$BG$22:$BM$22,1,AP248),'Lease Cycles'!$AV$22&lt;=AP$6),'Lease Cycles'!$C$22*'Lease Cycles'!$AW$22/12,IF(AND('Lease Cycles'!$AT$22&gt;=INDEX('Lease Cycles'!$BG$22:$BM$22,1,AP248),'Lease Cycles'!$AT$22&lt;=AP$6),'Lease Cycles'!$C$22*'Lease Cycles'!$AU$22/12,'Lease Cycles'!$C$22*INDEX('Lease Cycles'!$CB$22:$CH$22,1,AP248)*(1+INDEX('Lease Cycles'!$CI$22:$CO$22,1,AP248))^INT(INT(AP249/12)/INDEX('Lease Cycles'!$CP$22:$CV$22,1,AP248))/12)))),'Lease Cycles'!$C$22*INDEX('Lease Cycles'!$CB$22:$CH$22,1,AP248)*(1+INDEX('Lease Cycles'!$CI$22:$CO$22,1,AP248))^INT(INT(AP249/12)/INDEX('Lease Cycles'!$CP$22:$CV$22,1,AP248))/12))),IF('Lease Cycles'!$N$22=1,'Lease Cycles'!$C$22*'Lease Cycles'!$E$22*INDEX('Lease Cycles'!$HE$22:$HK$22,1,AP248)*(1+INDEX('Lease Cycles'!$GQ$22:$GW$22,1,AP248))^INT(INT((AP$6-INDEX('Lease Cycles'!$GJ$22:$GP$22,1,AP248))/12)/INDEX('Lease Cycles'!$GX$22:$HD$22,1,AP248))/12,0)))</f>
        <v>0</v>
      </c>
      <c r="AQ251" s="28">
        <f>IF(AQ248=0,IF('Lease Cycles'!$F$22&gt;0,'Lease Cycles'!$C$22*'Lease Cycles'!$E$22/12,0),IF(AQ250=1,IF('Lease Cycles'!$AT$22&gt;=9999,'Lease Cycles'!$C$22*INDEX('Lease Cycles'!$CB$22:$CH$22,1,AQ248)*(1+INDEX('Lease Cycles'!$CI$22:$CO$22,1,AQ248))^INT(INT(AQ249/12)/INDEX('Lease Cycles'!$CP$22:$CV$22,1,AQ248))/12,IF(AQ248=1,IF(AQ249&gt;=INDEX('Lease Cycles'!$DK$22:$DQ$22,1,AQ248),IF(AQ$6&gt;='Lease Cycles'!$AZ$22,'Lease Cycles'!$C$22*'Lease Cycles'!$BA$22/12,IF(AQ$6&gt;='Lease Cycles'!$AX$22,'Lease Cycles'!$C$22*'Lease Cycles'!$AY$22/12,IF(AQ$6&gt;='Lease Cycles'!$AV$22,'Lease Cycles'!$C$22*'Lease Cycles'!$AW$22/12,IF(AQ$6&gt;='Lease Cycles'!$AT$22,'Lease Cycles'!$C$22*'Lease Cycles'!$AU$22/12,'Lease Cycles'!$C$22*INDEX('Lease Cycles'!$CB$22:$CH$22,1,AQ248)*(1+INDEX('Lease Cycles'!$CI$22:$CO$22,1,AQ248))^INT(INT(AQ249/12)/INDEX('Lease Cycles'!$CP$22:$CV$22,1,AQ248))/12)))),'Lease Cycles'!$C$22*INDEX('Lease Cycles'!$CB$22:$CH$22,1,AQ248)*(1+INDEX('Lease Cycles'!$CI$22:$CO$22,1,AQ248))^INT(INT(AQ249/12)/INDEX('Lease Cycles'!$CP$22:$CV$22,1,AQ248))/12),IF(INDEX('Lease Cycles'!$EF$22:$EL$22,1,AQ248)=1,IF(AND('Lease Cycles'!$AZ$22&gt;=INDEX('Lease Cycles'!$BG$22:$BM$22,1,AQ248),'Lease Cycles'!$AZ$22&lt;=AQ$6),'Lease Cycles'!$C$22*'Lease Cycles'!$BA$22/12,IF(AND('Lease Cycles'!$AX$22&gt;=INDEX('Lease Cycles'!$BG$22:$BM$22,1,AQ248),'Lease Cycles'!$AX$22&lt;=AQ$6),'Lease Cycles'!$C$22*'Lease Cycles'!$AY$22/12,IF(AND('Lease Cycles'!$AV$22&gt;=INDEX('Lease Cycles'!$BG$22:$BM$22,1,AQ248),'Lease Cycles'!$AV$22&lt;=AQ$6),'Lease Cycles'!$C$22*'Lease Cycles'!$AW$22/12,IF(AND('Lease Cycles'!$AT$22&gt;=INDEX('Lease Cycles'!$BG$22:$BM$22,1,AQ248),'Lease Cycles'!$AT$22&lt;=AQ$6),'Lease Cycles'!$C$22*'Lease Cycles'!$AU$22/12,'Lease Cycles'!$C$22*INDEX('Lease Cycles'!$CB$22:$CH$22,1,AQ248)*(1+INDEX('Lease Cycles'!$CI$22:$CO$22,1,AQ248))^INT(INT(AQ249/12)/INDEX('Lease Cycles'!$CP$22:$CV$22,1,AQ248))/12)))),'Lease Cycles'!$C$22*INDEX('Lease Cycles'!$CB$22:$CH$22,1,AQ248)*(1+INDEX('Lease Cycles'!$CI$22:$CO$22,1,AQ248))^INT(INT(AQ249/12)/INDEX('Lease Cycles'!$CP$22:$CV$22,1,AQ248))/12))),IF('Lease Cycles'!$N$22=1,'Lease Cycles'!$C$22*'Lease Cycles'!$E$22*INDEX('Lease Cycles'!$HE$22:$HK$22,1,AQ248)*(1+INDEX('Lease Cycles'!$GQ$22:$GW$22,1,AQ248))^INT(INT((AQ$6-INDEX('Lease Cycles'!$GJ$22:$GP$22,1,AQ248))/12)/INDEX('Lease Cycles'!$GX$22:$HD$22,1,AQ248))/12,0)))</f>
        <v>0</v>
      </c>
      <c r="AR251" s="28">
        <f>IF(AR248=0,IF('Lease Cycles'!$F$22&gt;0,'Lease Cycles'!$C$22*'Lease Cycles'!$E$22/12,0),IF(AR250=1,IF('Lease Cycles'!$AT$22&gt;=9999,'Lease Cycles'!$C$22*INDEX('Lease Cycles'!$CB$22:$CH$22,1,AR248)*(1+INDEX('Lease Cycles'!$CI$22:$CO$22,1,AR248))^INT(INT(AR249/12)/INDEX('Lease Cycles'!$CP$22:$CV$22,1,AR248))/12,IF(AR248=1,IF(AR249&gt;=INDEX('Lease Cycles'!$DK$22:$DQ$22,1,AR248),IF(AR$6&gt;='Lease Cycles'!$AZ$22,'Lease Cycles'!$C$22*'Lease Cycles'!$BA$22/12,IF(AR$6&gt;='Lease Cycles'!$AX$22,'Lease Cycles'!$C$22*'Lease Cycles'!$AY$22/12,IF(AR$6&gt;='Lease Cycles'!$AV$22,'Lease Cycles'!$C$22*'Lease Cycles'!$AW$22/12,IF(AR$6&gt;='Lease Cycles'!$AT$22,'Lease Cycles'!$C$22*'Lease Cycles'!$AU$22/12,'Lease Cycles'!$C$22*INDEX('Lease Cycles'!$CB$22:$CH$22,1,AR248)*(1+INDEX('Lease Cycles'!$CI$22:$CO$22,1,AR248))^INT(INT(AR249/12)/INDEX('Lease Cycles'!$CP$22:$CV$22,1,AR248))/12)))),'Lease Cycles'!$C$22*INDEX('Lease Cycles'!$CB$22:$CH$22,1,AR248)*(1+INDEX('Lease Cycles'!$CI$22:$CO$22,1,AR248))^INT(INT(AR249/12)/INDEX('Lease Cycles'!$CP$22:$CV$22,1,AR248))/12),IF(INDEX('Lease Cycles'!$EF$22:$EL$22,1,AR248)=1,IF(AND('Lease Cycles'!$AZ$22&gt;=INDEX('Lease Cycles'!$BG$22:$BM$22,1,AR248),'Lease Cycles'!$AZ$22&lt;=AR$6),'Lease Cycles'!$C$22*'Lease Cycles'!$BA$22/12,IF(AND('Lease Cycles'!$AX$22&gt;=INDEX('Lease Cycles'!$BG$22:$BM$22,1,AR248),'Lease Cycles'!$AX$22&lt;=AR$6),'Lease Cycles'!$C$22*'Lease Cycles'!$AY$22/12,IF(AND('Lease Cycles'!$AV$22&gt;=INDEX('Lease Cycles'!$BG$22:$BM$22,1,AR248),'Lease Cycles'!$AV$22&lt;=AR$6),'Lease Cycles'!$C$22*'Lease Cycles'!$AW$22/12,IF(AND('Lease Cycles'!$AT$22&gt;=INDEX('Lease Cycles'!$BG$22:$BM$22,1,AR248),'Lease Cycles'!$AT$22&lt;=AR$6),'Lease Cycles'!$C$22*'Lease Cycles'!$AU$22/12,'Lease Cycles'!$C$22*INDEX('Lease Cycles'!$CB$22:$CH$22,1,AR248)*(1+INDEX('Lease Cycles'!$CI$22:$CO$22,1,AR248))^INT(INT(AR249/12)/INDEX('Lease Cycles'!$CP$22:$CV$22,1,AR248))/12)))),'Lease Cycles'!$C$22*INDEX('Lease Cycles'!$CB$22:$CH$22,1,AR248)*(1+INDEX('Lease Cycles'!$CI$22:$CO$22,1,AR248))^INT(INT(AR249/12)/INDEX('Lease Cycles'!$CP$22:$CV$22,1,AR248))/12))),IF('Lease Cycles'!$N$22=1,'Lease Cycles'!$C$22*'Lease Cycles'!$E$22*INDEX('Lease Cycles'!$HE$22:$HK$22,1,AR248)*(1+INDEX('Lease Cycles'!$GQ$22:$GW$22,1,AR248))^INT(INT((AR$6-INDEX('Lease Cycles'!$GJ$22:$GP$22,1,AR248))/12)/INDEX('Lease Cycles'!$GX$22:$HD$22,1,AR248))/12,0)))</f>
        <v>0</v>
      </c>
      <c r="AS251" s="28">
        <f>IF(AS248=0,IF('Lease Cycles'!$F$22&gt;0,'Lease Cycles'!$C$22*'Lease Cycles'!$E$22/12,0),IF(AS250=1,IF('Lease Cycles'!$AT$22&gt;=9999,'Lease Cycles'!$C$22*INDEX('Lease Cycles'!$CB$22:$CH$22,1,AS248)*(1+INDEX('Lease Cycles'!$CI$22:$CO$22,1,AS248))^INT(INT(AS249/12)/INDEX('Lease Cycles'!$CP$22:$CV$22,1,AS248))/12,IF(AS248=1,IF(AS249&gt;=INDEX('Lease Cycles'!$DK$22:$DQ$22,1,AS248),IF(AS$6&gt;='Lease Cycles'!$AZ$22,'Lease Cycles'!$C$22*'Lease Cycles'!$BA$22/12,IF(AS$6&gt;='Lease Cycles'!$AX$22,'Lease Cycles'!$C$22*'Lease Cycles'!$AY$22/12,IF(AS$6&gt;='Lease Cycles'!$AV$22,'Lease Cycles'!$C$22*'Lease Cycles'!$AW$22/12,IF(AS$6&gt;='Lease Cycles'!$AT$22,'Lease Cycles'!$C$22*'Lease Cycles'!$AU$22/12,'Lease Cycles'!$C$22*INDEX('Lease Cycles'!$CB$22:$CH$22,1,AS248)*(1+INDEX('Lease Cycles'!$CI$22:$CO$22,1,AS248))^INT(INT(AS249/12)/INDEX('Lease Cycles'!$CP$22:$CV$22,1,AS248))/12)))),'Lease Cycles'!$C$22*INDEX('Lease Cycles'!$CB$22:$CH$22,1,AS248)*(1+INDEX('Lease Cycles'!$CI$22:$CO$22,1,AS248))^INT(INT(AS249/12)/INDEX('Lease Cycles'!$CP$22:$CV$22,1,AS248))/12),IF(INDEX('Lease Cycles'!$EF$22:$EL$22,1,AS248)=1,IF(AND('Lease Cycles'!$AZ$22&gt;=INDEX('Lease Cycles'!$BG$22:$BM$22,1,AS248),'Lease Cycles'!$AZ$22&lt;=AS$6),'Lease Cycles'!$C$22*'Lease Cycles'!$BA$22/12,IF(AND('Lease Cycles'!$AX$22&gt;=INDEX('Lease Cycles'!$BG$22:$BM$22,1,AS248),'Lease Cycles'!$AX$22&lt;=AS$6),'Lease Cycles'!$C$22*'Lease Cycles'!$AY$22/12,IF(AND('Lease Cycles'!$AV$22&gt;=INDEX('Lease Cycles'!$BG$22:$BM$22,1,AS248),'Lease Cycles'!$AV$22&lt;=AS$6),'Lease Cycles'!$C$22*'Lease Cycles'!$AW$22/12,IF(AND('Lease Cycles'!$AT$22&gt;=INDEX('Lease Cycles'!$BG$22:$BM$22,1,AS248),'Lease Cycles'!$AT$22&lt;=AS$6),'Lease Cycles'!$C$22*'Lease Cycles'!$AU$22/12,'Lease Cycles'!$C$22*INDEX('Lease Cycles'!$CB$22:$CH$22,1,AS248)*(1+INDEX('Lease Cycles'!$CI$22:$CO$22,1,AS248))^INT(INT(AS249/12)/INDEX('Lease Cycles'!$CP$22:$CV$22,1,AS248))/12)))),'Lease Cycles'!$C$22*INDEX('Lease Cycles'!$CB$22:$CH$22,1,AS248)*(1+INDEX('Lease Cycles'!$CI$22:$CO$22,1,AS248))^INT(INT(AS249/12)/INDEX('Lease Cycles'!$CP$22:$CV$22,1,AS248))/12))),IF('Lease Cycles'!$N$22=1,'Lease Cycles'!$C$22*'Lease Cycles'!$E$22*INDEX('Lease Cycles'!$HE$22:$HK$22,1,AS248)*(1+INDEX('Lease Cycles'!$GQ$22:$GW$22,1,AS248))^INT(INT((AS$6-INDEX('Lease Cycles'!$GJ$22:$GP$22,1,AS248))/12)/INDEX('Lease Cycles'!$GX$22:$HD$22,1,AS248))/12,0)))</f>
        <v>0</v>
      </c>
      <c r="AT251" s="28">
        <f>IF(AT248=0,IF('Lease Cycles'!$F$22&gt;0,'Lease Cycles'!$C$22*'Lease Cycles'!$E$22/12,0),IF(AT250=1,IF('Lease Cycles'!$AT$22&gt;=9999,'Lease Cycles'!$C$22*INDEX('Lease Cycles'!$CB$22:$CH$22,1,AT248)*(1+INDEX('Lease Cycles'!$CI$22:$CO$22,1,AT248))^INT(INT(AT249/12)/INDEX('Lease Cycles'!$CP$22:$CV$22,1,AT248))/12,IF(AT248=1,IF(AT249&gt;=INDEX('Lease Cycles'!$DK$22:$DQ$22,1,AT248),IF(AT$6&gt;='Lease Cycles'!$AZ$22,'Lease Cycles'!$C$22*'Lease Cycles'!$BA$22/12,IF(AT$6&gt;='Lease Cycles'!$AX$22,'Lease Cycles'!$C$22*'Lease Cycles'!$AY$22/12,IF(AT$6&gt;='Lease Cycles'!$AV$22,'Lease Cycles'!$C$22*'Lease Cycles'!$AW$22/12,IF(AT$6&gt;='Lease Cycles'!$AT$22,'Lease Cycles'!$C$22*'Lease Cycles'!$AU$22/12,'Lease Cycles'!$C$22*INDEX('Lease Cycles'!$CB$22:$CH$22,1,AT248)*(1+INDEX('Lease Cycles'!$CI$22:$CO$22,1,AT248))^INT(INT(AT249/12)/INDEX('Lease Cycles'!$CP$22:$CV$22,1,AT248))/12)))),'Lease Cycles'!$C$22*INDEX('Lease Cycles'!$CB$22:$CH$22,1,AT248)*(1+INDEX('Lease Cycles'!$CI$22:$CO$22,1,AT248))^INT(INT(AT249/12)/INDEX('Lease Cycles'!$CP$22:$CV$22,1,AT248))/12),IF(INDEX('Lease Cycles'!$EF$22:$EL$22,1,AT248)=1,IF(AND('Lease Cycles'!$AZ$22&gt;=INDEX('Lease Cycles'!$BG$22:$BM$22,1,AT248),'Lease Cycles'!$AZ$22&lt;=AT$6),'Lease Cycles'!$C$22*'Lease Cycles'!$BA$22/12,IF(AND('Lease Cycles'!$AX$22&gt;=INDEX('Lease Cycles'!$BG$22:$BM$22,1,AT248),'Lease Cycles'!$AX$22&lt;=AT$6),'Lease Cycles'!$C$22*'Lease Cycles'!$AY$22/12,IF(AND('Lease Cycles'!$AV$22&gt;=INDEX('Lease Cycles'!$BG$22:$BM$22,1,AT248),'Lease Cycles'!$AV$22&lt;=AT$6),'Lease Cycles'!$C$22*'Lease Cycles'!$AW$22/12,IF(AND('Lease Cycles'!$AT$22&gt;=INDEX('Lease Cycles'!$BG$22:$BM$22,1,AT248),'Lease Cycles'!$AT$22&lt;=AT$6),'Lease Cycles'!$C$22*'Lease Cycles'!$AU$22/12,'Lease Cycles'!$C$22*INDEX('Lease Cycles'!$CB$22:$CH$22,1,AT248)*(1+INDEX('Lease Cycles'!$CI$22:$CO$22,1,AT248))^INT(INT(AT249/12)/INDEX('Lease Cycles'!$CP$22:$CV$22,1,AT248))/12)))),'Lease Cycles'!$C$22*INDEX('Lease Cycles'!$CB$22:$CH$22,1,AT248)*(1+INDEX('Lease Cycles'!$CI$22:$CO$22,1,AT248))^INT(INT(AT249/12)/INDEX('Lease Cycles'!$CP$22:$CV$22,1,AT248))/12))),IF('Lease Cycles'!$N$22=1,'Lease Cycles'!$C$22*'Lease Cycles'!$E$22*INDEX('Lease Cycles'!$HE$22:$HK$22,1,AT248)*(1+INDEX('Lease Cycles'!$GQ$22:$GW$22,1,AT248))^INT(INT((AT$6-INDEX('Lease Cycles'!$GJ$22:$GP$22,1,AT248))/12)/INDEX('Lease Cycles'!$GX$22:$HD$22,1,AT248))/12,0)))</f>
        <v>0</v>
      </c>
      <c r="AU251" s="28">
        <f>IF(AU248=0,IF('Lease Cycles'!$F$22&gt;0,'Lease Cycles'!$C$22*'Lease Cycles'!$E$22/12,0),IF(AU250=1,IF('Lease Cycles'!$AT$22&gt;=9999,'Lease Cycles'!$C$22*INDEX('Lease Cycles'!$CB$22:$CH$22,1,AU248)*(1+INDEX('Lease Cycles'!$CI$22:$CO$22,1,AU248))^INT(INT(AU249/12)/INDEX('Lease Cycles'!$CP$22:$CV$22,1,AU248))/12,IF(AU248=1,IF(AU249&gt;=INDEX('Lease Cycles'!$DK$22:$DQ$22,1,AU248),IF(AU$6&gt;='Lease Cycles'!$AZ$22,'Lease Cycles'!$C$22*'Lease Cycles'!$BA$22/12,IF(AU$6&gt;='Lease Cycles'!$AX$22,'Lease Cycles'!$C$22*'Lease Cycles'!$AY$22/12,IF(AU$6&gt;='Lease Cycles'!$AV$22,'Lease Cycles'!$C$22*'Lease Cycles'!$AW$22/12,IF(AU$6&gt;='Lease Cycles'!$AT$22,'Lease Cycles'!$C$22*'Lease Cycles'!$AU$22/12,'Lease Cycles'!$C$22*INDEX('Lease Cycles'!$CB$22:$CH$22,1,AU248)*(1+INDEX('Lease Cycles'!$CI$22:$CO$22,1,AU248))^INT(INT(AU249/12)/INDEX('Lease Cycles'!$CP$22:$CV$22,1,AU248))/12)))),'Lease Cycles'!$C$22*INDEX('Lease Cycles'!$CB$22:$CH$22,1,AU248)*(1+INDEX('Lease Cycles'!$CI$22:$CO$22,1,AU248))^INT(INT(AU249/12)/INDEX('Lease Cycles'!$CP$22:$CV$22,1,AU248))/12),IF(INDEX('Lease Cycles'!$EF$22:$EL$22,1,AU248)=1,IF(AND('Lease Cycles'!$AZ$22&gt;=INDEX('Lease Cycles'!$BG$22:$BM$22,1,AU248),'Lease Cycles'!$AZ$22&lt;=AU$6),'Lease Cycles'!$C$22*'Lease Cycles'!$BA$22/12,IF(AND('Lease Cycles'!$AX$22&gt;=INDEX('Lease Cycles'!$BG$22:$BM$22,1,AU248),'Lease Cycles'!$AX$22&lt;=AU$6),'Lease Cycles'!$C$22*'Lease Cycles'!$AY$22/12,IF(AND('Lease Cycles'!$AV$22&gt;=INDEX('Lease Cycles'!$BG$22:$BM$22,1,AU248),'Lease Cycles'!$AV$22&lt;=AU$6),'Lease Cycles'!$C$22*'Lease Cycles'!$AW$22/12,IF(AND('Lease Cycles'!$AT$22&gt;=INDEX('Lease Cycles'!$BG$22:$BM$22,1,AU248),'Lease Cycles'!$AT$22&lt;=AU$6),'Lease Cycles'!$C$22*'Lease Cycles'!$AU$22/12,'Lease Cycles'!$C$22*INDEX('Lease Cycles'!$CB$22:$CH$22,1,AU248)*(1+INDEX('Lease Cycles'!$CI$22:$CO$22,1,AU248))^INT(INT(AU249/12)/INDEX('Lease Cycles'!$CP$22:$CV$22,1,AU248))/12)))),'Lease Cycles'!$C$22*INDEX('Lease Cycles'!$CB$22:$CH$22,1,AU248)*(1+INDEX('Lease Cycles'!$CI$22:$CO$22,1,AU248))^INT(INT(AU249/12)/INDEX('Lease Cycles'!$CP$22:$CV$22,1,AU248))/12))),IF('Lease Cycles'!$N$22=1,'Lease Cycles'!$C$22*'Lease Cycles'!$E$22*INDEX('Lease Cycles'!$HE$22:$HK$22,1,AU248)*(1+INDEX('Lease Cycles'!$GQ$22:$GW$22,1,AU248))^INT(INT((AU$6-INDEX('Lease Cycles'!$GJ$22:$GP$22,1,AU248))/12)/INDEX('Lease Cycles'!$GX$22:$HD$22,1,AU248))/12,0)))</f>
        <v>0</v>
      </c>
      <c r="AV251" s="28">
        <f>IF(AV248=0,IF('Lease Cycles'!$F$22&gt;0,'Lease Cycles'!$C$22*'Lease Cycles'!$E$22/12,0),IF(AV250=1,IF('Lease Cycles'!$AT$22&gt;=9999,'Lease Cycles'!$C$22*INDEX('Lease Cycles'!$CB$22:$CH$22,1,AV248)*(1+INDEX('Lease Cycles'!$CI$22:$CO$22,1,AV248))^INT(INT(AV249/12)/INDEX('Lease Cycles'!$CP$22:$CV$22,1,AV248))/12,IF(AV248=1,IF(AV249&gt;=INDEX('Lease Cycles'!$DK$22:$DQ$22,1,AV248),IF(AV$6&gt;='Lease Cycles'!$AZ$22,'Lease Cycles'!$C$22*'Lease Cycles'!$BA$22/12,IF(AV$6&gt;='Lease Cycles'!$AX$22,'Lease Cycles'!$C$22*'Lease Cycles'!$AY$22/12,IF(AV$6&gt;='Lease Cycles'!$AV$22,'Lease Cycles'!$C$22*'Lease Cycles'!$AW$22/12,IF(AV$6&gt;='Lease Cycles'!$AT$22,'Lease Cycles'!$C$22*'Lease Cycles'!$AU$22/12,'Lease Cycles'!$C$22*INDEX('Lease Cycles'!$CB$22:$CH$22,1,AV248)*(1+INDEX('Lease Cycles'!$CI$22:$CO$22,1,AV248))^INT(INT(AV249/12)/INDEX('Lease Cycles'!$CP$22:$CV$22,1,AV248))/12)))),'Lease Cycles'!$C$22*INDEX('Lease Cycles'!$CB$22:$CH$22,1,AV248)*(1+INDEX('Lease Cycles'!$CI$22:$CO$22,1,AV248))^INT(INT(AV249/12)/INDEX('Lease Cycles'!$CP$22:$CV$22,1,AV248))/12),IF(INDEX('Lease Cycles'!$EF$22:$EL$22,1,AV248)=1,IF(AND('Lease Cycles'!$AZ$22&gt;=INDEX('Lease Cycles'!$BG$22:$BM$22,1,AV248),'Lease Cycles'!$AZ$22&lt;=AV$6),'Lease Cycles'!$C$22*'Lease Cycles'!$BA$22/12,IF(AND('Lease Cycles'!$AX$22&gt;=INDEX('Lease Cycles'!$BG$22:$BM$22,1,AV248),'Lease Cycles'!$AX$22&lt;=AV$6),'Lease Cycles'!$C$22*'Lease Cycles'!$AY$22/12,IF(AND('Lease Cycles'!$AV$22&gt;=INDEX('Lease Cycles'!$BG$22:$BM$22,1,AV248),'Lease Cycles'!$AV$22&lt;=AV$6),'Lease Cycles'!$C$22*'Lease Cycles'!$AW$22/12,IF(AND('Lease Cycles'!$AT$22&gt;=INDEX('Lease Cycles'!$BG$22:$BM$22,1,AV248),'Lease Cycles'!$AT$22&lt;=AV$6),'Lease Cycles'!$C$22*'Lease Cycles'!$AU$22/12,'Lease Cycles'!$C$22*INDEX('Lease Cycles'!$CB$22:$CH$22,1,AV248)*(1+INDEX('Lease Cycles'!$CI$22:$CO$22,1,AV248))^INT(INT(AV249/12)/INDEX('Lease Cycles'!$CP$22:$CV$22,1,AV248))/12)))),'Lease Cycles'!$C$22*INDEX('Lease Cycles'!$CB$22:$CH$22,1,AV248)*(1+INDEX('Lease Cycles'!$CI$22:$CO$22,1,AV248))^INT(INT(AV249/12)/INDEX('Lease Cycles'!$CP$22:$CV$22,1,AV248))/12))),IF('Lease Cycles'!$N$22=1,'Lease Cycles'!$C$22*'Lease Cycles'!$E$22*INDEX('Lease Cycles'!$HE$22:$HK$22,1,AV248)*(1+INDEX('Lease Cycles'!$GQ$22:$GW$22,1,AV248))^INT(INT((AV$6-INDEX('Lease Cycles'!$GJ$22:$GP$22,1,AV248))/12)/INDEX('Lease Cycles'!$GX$22:$HD$22,1,AV248))/12,0)))</f>
        <v>0</v>
      </c>
      <c r="AW251" s="28">
        <f>IF(AW248=0,IF('Lease Cycles'!$F$22&gt;0,'Lease Cycles'!$C$22*'Lease Cycles'!$E$22/12,0),IF(AW250=1,IF('Lease Cycles'!$AT$22&gt;=9999,'Lease Cycles'!$C$22*INDEX('Lease Cycles'!$CB$22:$CH$22,1,AW248)*(1+INDEX('Lease Cycles'!$CI$22:$CO$22,1,AW248))^INT(INT(AW249/12)/INDEX('Lease Cycles'!$CP$22:$CV$22,1,AW248))/12,IF(AW248=1,IF(AW249&gt;=INDEX('Lease Cycles'!$DK$22:$DQ$22,1,AW248),IF(AW$6&gt;='Lease Cycles'!$AZ$22,'Lease Cycles'!$C$22*'Lease Cycles'!$BA$22/12,IF(AW$6&gt;='Lease Cycles'!$AX$22,'Lease Cycles'!$C$22*'Lease Cycles'!$AY$22/12,IF(AW$6&gt;='Lease Cycles'!$AV$22,'Lease Cycles'!$C$22*'Lease Cycles'!$AW$22/12,IF(AW$6&gt;='Lease Cycles'!$AT$22,'Lease Cycles'!$C$22*'Lease Cycles'!$AU$22/12,'Lease Cycles'!$C$22*INDEX('Lease Cycles'!$CB$22:$CH$22,1,AW248)*(1+INDEX('Lease Cycles'!$CI$22:$CO$22,1,AW248))^INT(INT(AW249/12)/INDEX('Lease Cycles'!$CP$22:$CV$22,1,AW248))/12)))),'Lease Cycles'!$C$22*INDEX('Lease Cycles'!$CB$22:$CH$22,1,AW248)*(1+INDEX('Lease Cycles'!$CI$22:$CO$22,1,AW248))^INT(INT(AW249/12)/INDEX('Lease Cycles'!$CP$22:$CV$22,1,AW248))/12),IF(INDEX('Lease Cycles'!$EF$22:$EL$22,1,AW248)=1,IF(AND('Lease Cycles'!$AZ$22&gt;=INDEX('Lease Cycles'!$BG$22:$BM$22,1,AW248),'Lease Cycles'!$AZ$22&lt;=AW$6),'Lease Cycles'!$C$22*'Lease Cycles'!$BA$22/12,IF(AND('Lease Cycles'!$AX$22&gt;=INDEX('Lease Cycles'!$BG$22:$BM$22,1,AW248),'Lease Cycles'!$AX$22&lt;=AW$6),'Lease Cycles'!$C$22*'Lease Cycles'!$AY$22/12,IF(AND('Lease Cycles'!$AV$22&gt;=INDEX('Lease Cycles'!$BG$22:$BM$22,1,AW248),'Lease Cycles'!$AV$22&lt;=AW$6),'Lease Cycles'!$C$22*'Lease Cycles'!$AW$22/12,IF(AND('Lease Cycles'!$AT$22&gt;=INDEX('Lease Cycles'!$BG$22:$BM$22,1,AW248),'Lease Cycles'!$AT$22&lt;=AW$6),'Lease Cycles'!$C$22*'Lease Cycles'!$AU$22/12,'Lease Cycles'!$C$22*INDEX('Lease Cycles'!$CB$22:$CH$22,1,AW248)*(1+INDEX('Lease Cycles'!$CI$22:$CO$22,1,AW248))^INT(INT(AW249/12)/INDEX('Lease Cycles'!$CP$22:$CV$22,1,AW248))/12)))),'Lease Cycles'!$C$22*INDEX('Lease Cycles'!$CB$22:$CH$22,1,AW248)*(1+INDEX('Lease Cycles'!$CI$22:$CO$22,1,AW248))^INT(INT(AW249/12)/INDEX('Lease Cycles'!$CP$22:$CV$22,1,AW248))/12))),IF('Lease Cycles'!$N$22=1,'Lease Cycles'!$C$22*'Lease Cycles'!$E$22*INDEX('Lease Cycles'!$HE$22:$HK$22,1,AW248)*(1+INDEX('Lease Cycles'!$GQ$22:$GW$22,1,AW248))^INT(INT((AW$6-INDEX('Lease Cycles'!$GJ$22:$GP$22,1,AW248))/12)/INDEX('Lease Cycles'!$GX$22:$HD$22,1,AW248))/12,0)))</f>
        <v>0</v>
      </c>
      <c r="AX251" s="28">
        <f>IF(AX248=0,IF('Lease Cycles'!$F$22&gt;0,'Lease Cycles'!$C$22*'Lease Cycles'!$E$22/12,0),IF(AX250=1,IF('Lease Cycles'!$AT$22&gt;=9999,'Lease Cycles'!$C$22*INDEX('Lease Cycles'!$CB$22:$CH$22,1,AX248)*(1+INDEX('Lease Cycles'!$CI$22:$CO$22,1,AX248))^INT(INT(AX249/12)/INDEX('Lease Cycles'!$CP$22:$CV$22,1,AX248))/12,IF(AX248=1,IF(AX249&gt;=INDEX('Lease Cycles'!$DK$22:$DQ$22,1,AX248),IF(AX$6&gt;='Lease Cycles'!$AZ$22,'Lease Cycles'!$C$22*'Lease Cycles'!$BA$22/12,IF(AX$6&gt;='Lease Cycles'!$AX$22,'Lease Cycles'!$C$22*'Lease Cycles'!$AY$22/12,IF(AX$6&gt;='Lease Cycles'!$AV$22,'Lease Cycles'!$C$22*'Lease Cycles'!$AW$22/12,IF(AX$6&gt;='Lease Cycles'!$AT$22,'Lease Cycles'!$C$22*'Lease Cycles'!$AU$22/12,'Lease Cycles'!$C$22*INDEX('Lease Cycles'!$CB$22:$CH$22,1,AX248)*(1+INDEX('Lease Cycles'!$CI$22:$CO$22,1,AX248))^INT(INT(AX249/12)/INDEX('Lease Cycles'!$CP$22:$CV$22,1,AX248))/12)))),'Lease Cycles'!$C$22*INDEX('Lease Cycles'!$CB$22:$CH$22,1,AX248)*(1+INDEX('Lease Cycles'!$CI$22:$CO$22,1,AX248))^INT(INT(AX249/12)/INDEX('Lease Cycles'!$CP$22:$CV$22,1,AX248))/12),IF(INDEX('Lease Cycles'!$EF$22:$EL$22,1,AX248)=1,IF(AND('Lease Cycles'!$AZ$22&gt;=INDEX('Lease Cycles'!$BG$22:$BM$22,1,AX248),'Lease Cycles'!$AZ$22&lt;=AX$6),'Lease Cycles'!$C$22*'Lease Cycles'!$BA$22/12,IF(AND('Lease Cycles'!$AX$22&gt;=INDEX('Lease Cycles'!$BG$22:$BM$22,1,AX248),'Lease Cycles'!$AX$22&lt;=AX$6),'Lease Cycles'!$C$22*'Lease Cycles'!$AY$22/12,IF(AND('Lease Cycles'!$AV$22&gt;=INDEX('Lease Cycles'!$BG$22:$BM$22,1,AX248),'Lease Cycles'!$AV$22&lt;=AX$6),'Lease Cycles'!$C$22*'Lease Cycles'!$AW$22/12,IF(AND('Lease Cycles'!$AT$22&gt;=INDEX('Lease Cycles'!$BG$22:$BM$22,1,AX248),'Lease Cycles'!$AT$22&lt;=AX$6),'Lease Cycles'!$C$22*'Lease Cycles'!$AU$22/12,'Lease Cycles'!$C$22*INDEX('Lease Cycles'!$CB$22:$CH$22,1,AX248)*(1+INDEX('Lease Cycles'!$CI$22:$CO$22,1,AX248))^INT(INT(AX249/12)/INDEX('Lease Cycles'!$CP$22:$CV$22,1,AX248))/12)))),'Lease Cycles'!$C$22*INDEX('Lease Cycles'!$CB$22:$CH$22,1,AX248)*(1+INDEX('Lease Cycles'!$CI$22:$CO$22,1,AX248))^INT(INT(AX249/12)/INDEX('Lease Cycles'!$CP$22:$CV$22,1,AX248))/12))),IF('Lease Cycles'!$N$22=1,'Lease Cycles'!$C$22*'Lease Cycles'!$E$22*INDEX('Lease Cycles'!$HE$22:$HK$22,1,AX248)*(1+INDEX('Lease Cycles'!$GQ$22:$GW$22,1,AX248))^INT(INT((AX$6-INDEX('Lease Cycles'!$GJ$22:$GP$22,1,AX248))/12)/INDEX('Lease Cycles'!$GX$22:$HD$22,1,AX248))/12,0)))</f>
        <v>0</v>
      </c>
      <c r="AY251" s="28">
        <f>IF(AY248=0,IF('Lease Cycles'!$F$22&gt;0,'Lease Cycles'!$C$22*'Lease Cycles'!$E$22/12,0),IF(AY250=1,IF('Lease Cycles'!$AT$22&gt;=9999,'Lease Cycles'!$C$22*INDEX('Lease Cycles'!$CB$22:$CH$22,1,AY248)*(1+INDEX('Lease Cycles'!$CI$22:$CO$22,1,AY248))^INT(INT(AY249/12)/INDEX('Lease Cycles'!$CP$22:$CV$22,1,AY248))/12,IF(AY248=1,IF(AY249&gt;=INDEX('Lease Cycles'!$DK$22:$DQ$22,1,AY248),IF(AY$6&gt;='Lease Cycles'!$AZ$22,'Lease Cycles'!$C$22*'Lease Cycles'!$BA$22/12,IF(AY$6&gt;='Lease Cycles'!$AX$22,'Lease Cycles'!$C$22*'Lease Cycles'!$AY$22/12,IF(AY$6&gt;='Lease Cycles'!$AV$22,'Lease Cycles'!$C$22*'Lease Cycles'!$AW$22/12,IF(AY$6&gt;='Lease Cycles'!$AT$22,'Lease Cycles'!$C$22*'Lease Cycles'!$AU$22/12,'Lease Cycles'!$C$22*INDEX('Lease Cycles'!$CB$22:$CH$22,1,AY248)*(1+INDEX('Lease Cycles'!$CI$22:$CO$22,1,AY248))^INT(INT(AY249/12)/INDEX('Lease Cycles'!$CP$22:$CV$22,1,AY248))/12)))),'Lease Cycles'!$C$22*INDEX('Lease Cycles'!$CB$22:$CH$22,1,AY248)*(1+INDEX('Lease Cycles'!$CI$22:$CO$22,1,AY248))^INT(INT(AY249/12)/INDEX('Lease Cycles'!$CP$22:$CV$22,1,AY248))/12),IF(INDEX('Lease Cycles'!$EF$22:$EL$22,1,AY248)=1,IF(AND('Lease Cycles'!$AZ$22&gt;=INDEX('Lease Cycles'!$BG$22:$BM$22,1,AY248),'Lease Cycles'!$AZ$22&lt;=AY$6),'Lease Cycles'!$C$22*'Lease Cycles'!$BA$22/12,IF(AND('Lease Cycles'!$AX$22&gt;=INDEX('Lease Cycles'!$BG$22:$BM$22,1,AY248),'Lease Cycles'!$AX$22&lt;=AY$6),'Lease Cycles'!$C$22*'Lease Cycles'!$AY$22/12,IF(AND('Lease Cycles'!$AV$22&gt;=INDEX('Lease Cycles'!$BG$22:$BM$22,1,AY248),'Lease Cycles'!$AV$22&lt;=AY$6),'Lease Cycles'!$C$22*'Lease Cycles'!$AW$22/12,IF(AND('Lease Cycles'!$AT$22&gt;=INDEX('Lease Cycles'!$BG$22:$BM$22,1,AY248),'Lease Cycles'!$AT$22&lt;=AY$6),'Lease Cycles'!$C$22*'Lease Cycles'!$AU$22/12,'Lease Cycles'!$C$22*INDEX('Lease Cycles'!$CB$22:$CH$22,1,AY248)*(1+INDEX('Lease Cycles'!$CI$22:$CO$22,1,AY248))^INT(INT(AY249/12)/INDEX('Lease Cycles'!$CP$22:$CV$22,1,AY248))/12)))),'Lease Cycles'!$C$22*INDEX('Lease Cycles'!$CB$22:$CH$22,1,AY248)*(1+INDEX('Lease Cycles'!$CI$22:$CO$22,1,AY248))^INT(INT(AY249/12)/INDEX('Lease Cycles'!$CP$22:$CV$22,1,AY248))/12))),IF('Lease Cycles'!$N$22=1,'Lease Cycles'!$C$22*'Lease Cycles'!$E$22*INDEX('Lease Cycles'!$HE$22:$HK$22,1,AY248)*(1+INDEX('Lease Cycles'!$GQ$22:$GW$22,1,AY248))^INT(INT((AY$6-INDEX('Lease Cycles'!$GJ$22:$GP$22,1,AY248))/12)/INDEX('Lease Cycles'!$GX$22:$HD$22,1,AY248))/12,0)))</f>
        <v>0</v>
      </c>
      <c r="AZ251" s="28">
        <f>IF(AZ248=0,IF('Lease Cycles'!$F$22&gt;0,'Lease Cycles'!$C$22*'Lease Cycles'!$E$22/12,0),IF(AZ250=1,IF('Lease Cycles'!$AT$22&gt;=9999,'Lease Cycles'!$C$22*INDEX('Lease Cycles'!$CB$22:$CH$22,1,AZ248)*(1+INDEX('Lease Cycles'!$CI$22:$CO$22,1,AZ248))^INT(INT(AZ249/12)/INDEX('Lease Cycles'!$CP$22:$CV$22,1,AZ248))/12,IF(AZ248=1,IF(AZ249&gt;=INDEX('Lease Cycles'!$DK$22:$DQ$22,1,AZ248),IF(AZ$6&gt;='Lease Cycles'!$AZ$22,'Lease Cycles'!$C$22*'Lease Cycles'!$BA$22/12,IF(AZ$6&gt;='Lease Cycles'!$AX$22,'Lease Cycles'!$C$22*'Lease Cycles'!$AY$22/12,IF(AZ$6&gt;='Lease Cycles'!$AV$22,'Lease Cycles'!$C$22*'Lease Cycles'!$AW$22/12,IF(AZ$6&gt;='Lease Cycles'!$AT$22,'Lease Cycles'!$C$22*'Lease Cycles'!$AU$22/12,'Lease Cycles'!$C$22*INDEX('Lease Cycles'!$CB$22:$CH$22,1,AZ248)*(1+INDEX('Lease Cycles'!$CI$22:$CO$22,1,AZ248))^INT(INT(AZ249/12)/INDEX('Lease Cycles'!$CP$22:$CV$22,1,AZ248))/12)))),'Lease Cycles'!$C$22*INDEX('Lease Cycles'!$CB$22:$CH$22,1,AZ248)*(1+INDEX('Lease Cycles'!$CI$22:$CO$22,1,AZ248))^INT(INT(AZ249/12)/INDEX('Lease Cycles'!$CP$22:$CV$22,1,AZ248))/12),IF(INDEX('Lease Cycles'!$EF$22:$EL$22,1,AZ248)=1,IF(AND('Lease Cycles'!$AZ$22&gt;=INDEX('Lease Cycles'!$BG$22:$BM$22,1,AZ248),'Lease Cycles'!$AZ$22&lt;=AZ$6),'Lease Cycles'!$C$22*'Lease Cycles'!$BA$22/12,IF(AND('Lease Cycles'!$AX$22&gt;=INDEX('Lease Cycles'!$BG$22:$BM$22,1,AZ248),'Lease Cycles'!$AX$22&lt;=AZ$6),'Lease Cycles'!$C$22*'Lease Cycles'!$AY$22/12,IF(AND('Lease Cycles'!$AV$22&gt;=INDEX('Lease Cycles'!$BG$22:$BM$22,1,AZ248),'Lease Cycles'!$AV$22&lt;=AZ$6),'Lease Cycles'!$C$22*'Lease Cycles'!$AW$22/12,IF(AND('Lease Cycles'!$AT$22&gt;=INDEX('Lease Cycles'!$BG$22:$BM$22,1,AZ248),'Lease Cycles'!$AT$22&lt;=AZ$6),'Lease Cycles'!$C$22*'Lease Cycles'!$AU$22/12,'Lease Cycles'!$C$22*INDEX('Lease Cycles'!$CB$22:$CH$22,1,AZ248)*(1+INDEX('Lease Cycles'!$CI$22:$CO$22,1,AZ248))^INT(INT(AZ249/12)/INDEX('Lease Cycles'!$CP$22:$CV$22,1,AZ248))/12)))),'Lease Cycles'!$C$22*INDEX('Lease Cycles'!$CB$22:$CH$22,1,AZ248)*(1+INDEX('Lease Cycles'!$CI$22:$CO$22,1,AZ248))^INT(INT(AZ249/12)/INDEX('Lease Cycles'!$CP$22:$CV$22,1,AZ248))/12))),IF('Lease Cycles'!$N$22=1,'Lease Cycles'!$C$22*'Lease Cycles'!$E$22*INDEX('Lease Cycles'!$HE$22:$HK$22,1,AZ248)*(1+INDEX('Lease Cycles'!$GQ$22:$GW$22,1,AZ248))^INT(INT((AZ$6-INDEX('Lease Cycles'!$GJ$22:$GP$22,1,AZ248))/12)/INDEX('Lease Cycles'!$GX$22:$HD$22,1,AZ248))/12,0)))</f>
        <v>0</v>
      </c>
      <c r="BA251" s="28">
        <f>IF(BA248=0,IF('Lease Cycles'!$F$22&gt;0,'Lease Cycles'!$C$22*'Lease Cycles'!$E$22/12,0),IF(BA250=1,IF('Lease Cycles'!$AT$22&gt;=9999,'Lease Cycles'!$C$22*INDEX('Lease Cycles'!$CB$22:$CH$22,1,BA248)*(1+INDEX('Lease Cycles'!$CI$22:$CO$22,1,BA248))^INT(INT(BA249/12)/INDEX('Lease Cycles'!$CP$22:$CV$22,1,BA248))/12,IF(BA248=1,IF(BA249&gt;=INDEX('Lease Cycles'!$DK$22:$DQ$22,1,BA248),IF(BA$6&gt;='Lease Cycles'!$AZ$22,'Lease Cycles'!$C$22*'Lease Cycles'!$BA$22/12,IF(BA$6&gt;='Lease Cycles'!$AX$22,'Lease Cycles'!$C$22*'Lease Cycles'!$AY$22/12,IF(BA$6&gt;='Lease Cycles'!$AV$22,'Lease Cycles'!$C$22*'Lease Cycles'!$AW$22/12,IF(BA$6&gt;='Lease Cycles'!$AT$22,'Lease Cycles'!$C$22*'Lease Cycles'!$AU$22/12,'Lease Cycles'!$C$22*INDEX('Lease Cycles'!$CB$22:$CH$22,1,BA248)*(1+INDEX('Lease Cycles'!$CI$22:$CO$22,1,BA248))^INT(INT(BA249/12)/INDEX('Lease Cycles'!$CP$22:$CV$22,1,BA248))/12)))),'Lease Cycles'!$C$22*INDEX('Lease Cycles'!$CB$22:$CH$22,1,BA248)*(1+INDEX('Lease Cycles'!$CI$22:$CO$22,1,BA248))^INT(INT(BA249/12)/INDEX('Lease Cycles'!$CP$22:$CV$22,1,BA248))/12),IF(INDEX('Lease Cycles'!$EF$22:$EL$22,1,BA248)=1,IF(AND('Lease Cycles'!$AZ$22&gt;=INDEX('Lease Cycles'!$BG$22:$BM$22,1,BA248),'Lease Cycles'!$AZ$22&lt;=BA$6),'Lease Cycles'!$C$22*'Lease Cycles'!$BA$22/12,IF(AND('Lease Cycles'!$AX$22&gt;=INDEX('Lease Cycles'!$BG$22:$BM$22,1,BA248),'Lease Cycles'!$AX$22&lt;=BA$6),'Lease Cycles'!$C$22*'Lease Cycles'!$AY$22/12,IF(AND('Lease Cycles'!$AV$22&gt;=INDEX('Lease Cycles'!$BG$22:$BM$22,1,BA248),'Lease Cycles'!$AV$22&lt;=BA$6),'Lease Cycles'!$C$22*'Lease Cycles'!$AW$22/12,IF(AND('Lease Cycles'!$AT$22&gt;=INDEX('Lease Cycles'!$BG$22:$BM$22,1,BA248),'Lease Cycles'!$AT$22&lt;=BA$6),'Lease Cycles'!$C$22*'Lease Cycles'!$AU$22/12,'Lease Cycles'!$C$22*INDEX('Lease Cycles'!$CB$22:$CH$22,1,BA248)*(1+INDEX('Lease Cycles'!$CI$22:$CO$22,1,BA248))^INT(INT(BA249/12)/INDEX('Lease Cycles'!$CP$22:$CV$22,1,BA248))/12)))),'Lease Cycles'!$C$22*INDEX('Lease Cycles'!$CB$22:$CH$22,1,BA248)*(1+INDEX('Lease Cycles'!$CI$22:$CO$22,1,BA248))^INT(INT(BA249/12)/INDEX('Lease Cycles'!$CP$22:$CV$22,1,BA248))/12))),IF('Lease Cycles'!$N$22=1,'Lease Cycles'!$C$22*'Lease Cycles'!$E$22*INDEX('Lease Cycles'!$HE$22:$HK$22,1,BA248)*(1+INDEX('Lease Cycles'!$GQ$22:$GW$22,1,BA248))^INT(INT((BA$6-INDEX('Lease Cycles'!$GJ$22:$GP$22,1,BA248))/12)/INDEX('Lease Cycles'!$GX$22:$HD$22,1,BA248))/12,0)))</f>
        <v>0</v>
      </c>
      <c r="BB251" s="28">
        <f>IF(BB248=0,IF('Lease Cycles'!$F$22&gt;0,'Lease Cycles'!$C$22*'Lease Cycles'!$E$22/12,0),IF(BB250=1,IF('Lease Cycles'!$AT$22&gt;=9999,'Lease Cycles'!$C$22*INDEX('Lease Cycles'!$CB$22:$CH$22,1,BB248)*(1+INDEX('Lease Cycles'!$CI$22:$CO$22,1,BB248))^INT(INT(BB249/12)/INDEX('Lease Cycles'!$CP$22:$CV$22,1,BB248))/12,IF(BB248=1,IF(BB249&gt;=INDEX('Lease Cycles'!$DK$22:$DQ$22,1,BB248),IF(BB$6&gt;='Lease Cycles'!$AZ$22,'Lease Cycles'!$C$22*'Lease Cycles'!$BA$22/12,IF(BB$6&gt;='Lease Cycles'!$AX$22,'Lease Cycles'!$C$22*'Lease Cycles'!$AY$22/12,IF(BB$6&gt;='Lease Cycles'!$AV$22,'Lease Cycles'!$C$22*'Lease Cycles'!$AW$22/12,IF(BB$6&gt;='Lease Cycles'!$AT$22,'Lease Cycles'!$C$22*'Lease Cycles'!$AU$22/12,'Lease Cycles'!$C$22*INDEX('Lease Cycles'!$CB$22:$CH$22,1,BB248)*(1+INDEX('Lease Cycles'!$CI$22:$CO$22,1,BB248))^INT(INT(BB249/12)/INDEX('Lease Cycles'!$CP$22:$CV$22,1,BB248))/12)))),'Lease Cycles'!$C$22*INDEX('Lease Cycles'!$CB$22:$CH$22,1,BB248)*(1+INDEX('Lease Cycles'!$CI$22:$CO$22,1,BB248))^INT(INT(BB249/12)/INDEX('Lease Cycles'!$CP$22:$CV$22,1,BB248))/12),IF(INDEX('Lease Cycles'!$EF$22:$EL$22,1,BB248)=1,IF(AND('Lease Cycles'!$AZ$22&gt;=INDEX('Lease Cycles'!$BG$22:$BM$22,1,BB248),'Lease Cycles'!$AZ$22&lt;=BB$6),'Lease Cycles'!$C$22*'Lease Cycles'!$BA$22/12,IF(AND('Lease Cycles'!$AX$22&gt;=INDEX('Lease Cycles'!$BG$22:$BM$22,1,BB248),'Lease Cycles'!$AX$22&lt;=BB$6),'Lease Cycles'!$C$22*'Lease Cycles'!$AY$22/12,IF(AND('Lease Cycles'!$AV$22&gt;=INDEX('Lease Cycles'!$BG$22:$BM$22,1,BB248),'Lease Cycles'!$AV$22&lt;=BB$6),'Lease Cycles'!$C$22*'Lease Cycles'!$AW$22/12,IF(AND('Lease Cycles'!$AT$22&gt;=INDEX('Lease Cycles'!$BG$22:$BM$22,1,BB248),'Lease Cycles'!$AT$22&lt;=BB$6),'Lease Cycles'!$C$22*'Lease Cycles'!$AU$22/12,'Lease Cycles'!$C$22*INDEX('Lease Cycles'!$CB$22:$CH$22,1,BB248)*(1+INDEX('Lease Cycles'!$CI$22:$CO$22,1,BB248))^INT(INT(BB249/12)/INDEX('Lease Cycles'!$CP$22:$CV$22,1,BB248))/12)))),'Lease Cycles'!$C$22*INDEX('Lease Cycles'!$CB$22:$CH$22,1,BB248)*(1+INDEX('Lease Cycles'!$CI$22:$CO$22,1,BB248))^INT(INT(BB249/12)/INDEX('Lease Cycles'!$CP$22:$CV$22,1,BB248))/12))),IF('Lease Cycles'!$N$22=1,'Lease Cycles'!$C$22*'Lease Cycles'!$E$22*INDEX('Lease Cycles'!$HE$22:$HK$22,1,BB248)*(1+INDEX('Lease Cycles'!$GQ$22:$GW$22,1,BB248))^INT(INT((BB$6-INDEX('Lease Cycles'!$GJ$22:$GP$22,1,BB248))/12)/INDEX('Lease Cycles'!$GX$22:$HD$22,1,BB248))/12,0)))</f>
        <v>0</v>
      </c>
      <c r="BC251" s="28">
        <f>IF(BC248=0,IF('Lease Cycles'!$F$22&gt;0,'Lease Cycles'!$C$22*'Lease Cycles'!$E$22/12,0),IF(BC250=1,IF('Lease Cycles'!$AT$22&gt;=9999,'Lease Cycles'!$C$22*INDEX('Lease Cycles'!$CB$22:$CH$22,1,BC248)*(1+INDEX('Lease Cycles'!$CI$22:$CO$22,1,BC248))^INT(INT(BC249/12)/INDEX('Lease Cycles'!$CP$22:$CV$22,1,BC248))/12,IF(BC248=1,IF(BC249&gt;=INDEX('Lease Cycles'!$DK$22:$DQ$22,1,BC248),IF(BC$6&gt;='Lease Cycles'!$AZ$22,'Lease Cycles'!$C$22*'Lease Cycles'!$BA$22/12,IF(BC$6&gt;='Lease Cycles'!$AX$22,'Lease Cycles'!$C$22*'Lease Cycles'!$AY$22/12,IF(BC$6&gt;='Lease Cycles'!$AV$22,'Lease Cycles'!$C$22*'Lease Cycles'!$AW$22/12,IF(BC$6&gt;='Lease Cycles'!$AT$22,'Lease Cycles'!$C$22*'Lease Cycles'!$AU$22/12,'Lease Cycles'!$C$22*INDEX('Lease Cycles'!$CB$22:$CH$22,1,BC248)*(1+INDEX('Lease Cycles'!$CI$22:$CO$22,1,BC248))^INT(INT(BC249/12)/INDEX('Lease Cycles'!$CP$22:$CV$22,1,BC248))/12)))),'Lease Cycles'!$C$22*INDEX('Lease Cycles'!$CB$22:$CH$22,1,BC248)*(1+INDEX('Lease Cycles'!$CI$22:$CO$22,1,BC248))^INT(INT(BC249/12)/INDEX('Lease Cycles'!$CP$22:$CV$22,1,BC248))/12),IF(INDEX('Lease Cycles'!$EF$22:$EL$22,1,BC248)=1,IF(AND('Lease Cycles'!$AZ$22&gt;=INDEX('Lease Cycles'!$BG$22:$BM$22,1,BC248),'Lease Cycles'!$AZ$22&lt;=BC$6),'Lease Cycles'!$C$22*'Lease Cycles'!$BA$22/12,IF(AND('Lease Cycles'!$AX$22&gt;=INDEX('Lease Cycles'!$BG$22:$BM$22,1,BC248),'Lease Cycles'!$AX$22&lt;=BC$6),'Lease Cycles'!$C$22*'Lease Cycles'!$AY$22/12,IF(AND('Lease Cycles'!$AV$22&gt;=INDEX('Lease Cycles'!$BG$22:$BM$22,1,BC248),'Lease Cycles'!$AV$22&lt;=BC$6),'Lease Cycles'!$C$22*'Lease Cycles'!$AW$22/12,IF(AND('Lease Cycles'!$AT$22&gt;=INDEX('Lease Cycles'!$BG$22:$BM$22,1,BC248),'Lease Cycles'!$AT$22&lt;=BC$6),'Lease Cycles'!$C$22*'Lease Cycles'!$AU$22/12,'Lease Cycles'!$C$22*INDEX('Lease Cycles'!$CB$22:$CH$22,1,BC248)*(1+INDEX('Lease Cycles'!$CI$22:$CO$22,1,BC248))^INT(INT(BC249/12)/INDEX('Lease Cycles'!$CP$22:$CV$22,1,BC248))/12)))),'Lease Cycles'!$C$22*INDEX('Lease Cycles'!$CB$22:$CH$22,1,BC248)*(1+INDEX('Lease Cycles'!$CI$22:$CO$22,1,BC248))^INT(INT(BC249/12)/INDEX('Lease Cycles'!$CP$22:$CV$22,1,BC248))/12))),IF('Lease Cycles'!$N$22=1,'Lease Cycles'!$C$22*'Lease Cycles'!$E$22*INDEX('Lease Cycles'!$HE$22:$HK$22,1,BC248)*(1+INDEX('Lease Cycles'!$GQ$22:$GW$22,1,BC248))^INT(INT((BC$6-INDEX('Lease Cycles'!$GJ$22:$GP$22,1,BC248))/12)/INDEX('Lease Cycles'!$GX$22:$HD$22,1,BC248))/12,0)))</f>
        <v>0</v>
      </c>
      <c r="BD251" s="28">
        <f>IF(BD248=0,IF('Lease Cycles'!$F$22&gt;0,'Lease Cycles'!$C$22*'Lease Cycles'!$E$22/12,0),IF(BD250=1,IF('Lease Cycles'!$AT$22&gt;=9999,'Lease Cycles'!$C$22*INDEX('Lease Cycles'!$CB$22:$CH$22,1,BD248)*(1+INDEX('Lease Cycles'!$CI$22:$CO$22,1,BD248))^INT(INT(BD249/12)/INDEX('Lease Cycles'!$CP$22:$CV$22,1,BD248))/12,IF(BD248=1,IF(BD249&gt;=INDEX('Lease Cycles'!$DK$22:$DQ$22,1,BD248),IF(BD$6&gt;='Lease Cycles'!$AZ$22,'Lease Cycles'!$C$22*'Lease Cycles'!$BA$22/12,IF(BD$6&gt;='Lease Cycles'!$AX$22,'Lease Cycles'!$C$22*'Lease Cycles'!$AY$22/12,IF(BD$6&gt;='Lease Cycles'!$AV$22,'Lease Cycles'!$C$22*'Lease Cycles'!$AW$22/12,IF(BD$6&gt;='Lease Cycles'!$AT$22,'Lease Cycles'!$C$22*'Lease Cycles'!$AU$22/12,'Lease Cycles'!$C$22*INDEX('Lease Cycles'!$CB$22:$CH$22,1,BD248)*(1+INDEX('Lease Cycles'!$CI$22:$CO$22,1,BD248))^INT(INT(BD249/12)/INDEX('Lease Cycles'!$CP$22:$CV$22,1,BD248))/12)))),'Lease Cycles'!$C$22*INDEX('Lease Cycles'!$CB$22:$CH$22,1,BD248)*(1+INDEX('Lease Cycles'!$CI$22:$CO$22,1,BD248))^INT(INT(BD249/12)/INDEX('Lease Cycles'!$CP$22:$CV$22,1,BD248))/12),IF(INDEX('Lease Cycles'!$EF$22:$EL$22,1,BD248)=1,IF(AND('Lease Cycles'!$AZ$22&gt;=INDEX('Lease Cycles'!$BG$22:$BM$22,1,BD248),'Lease Cycles'!$AZ$22&lt;=BD$6),'Lease Cycles'!$C$22*'Lease Cycles'!$BA$22/12,IF(AND('Lease Cycles'!$AX$22&gt;=INDEX('Lease Cycles'!$BG$22:$BM$22,1,BD248),'Lease Cycles'!$AX$22&lt;=BD$6),'Lease Cycles'!$C$22*'Lease Cycles'!$AY$22/12,IF(AND('Lease Cycles'!$AV$22&gt;=INDEX('Lease Cycles'!$BG$22:$BM$22,1,BD248),'Lease Cycles'!$AV$22&lt;=BD$6),'Lease Cycles'!$C$22*'Lease Cycles'!$AW$22/12,IF(AND('Lease Cycles'!$AT$22&gt;=INDEX('Lease Cycles'!$BG$22:$BM$22,1,BD248),'Lease Cycles'!$AT$22&lt;=BD$6),'Lease Cycles'!$C$22*'Lease Cycles'!$AU$22/12,'Lease Cycles'!$C$22*INDEX('Lease Cycles'!$CB$22:$CH$22,1,BD248)*(1+INDEX('Lease Cycles'!$CI$22:$CO$22,1,BD248))^INT(INT(BD249/12)/INDEX('Lease Cycles'!$CP$22:$CV$22,1,BD248))/12)))),'Lease Cycles'!$C$22*INDEX('Lease Cycles'!$CB$22:$CH$22,1,BD248)*(1+INDEX('Lease Cycles'!$CI$22:$CO$22,1,BD248))^INT(INT(BD249/12)/INDEX('Lease Cycles'!$CP$22:$CV$22,1,BD248))/12))),IF('Lease Cycles'!$N$22=1,'Lease Cycles'!$C$22*'Lease Cycles'!$E$22*INDEX('Lease Cycles'!$HE$22:$HK$22,1,BD248)*(1+INDEX('Lease Cycles'!$GQ$22:$GW$22,1,BD248))^INT(INT((BD$6-INDEX('Lease Cycles'!$GJ$22:$GP$22,1,BD248))/12)/INDEX('Lease Cycles'!$GX$22:$HD$22,1,BD248))/12,0)))</f>
        <v>0</v>
      </c>
      <c r="BE251" s="28">
        <f>IF(BE248=0,IF('Lease Cycles'!$F$22&gt;0,'Lease Cycles'!$C$22*'Lease Cycles'!$E$22/12,0),IF(BE250=1,IF('Lease Cycles'!$AT$22&gt;=9999,'Lease Cycles'!$C$22*INDEX('Lease Cycles'!$CB$22:$CH$22,1,BE248)*(1+INDEX('Lease Cycles'!$CI$22:$CO$22,1,BE248))^INT(INT(BE249/12)/INDEX('Lease Cycles'!$CP$22:$CV$22,1,BE248))/12,IF(BE248=1,IF(BE249&gt;=INDEX('Lease Cycles'!$DK$22:$DQ$22,1,BE248),IF(BE$6&gt;='Lease Cycles'!$AZ$22,'Lease Cycles'!$C$22*'Lease Cycles'!$BA$22/12,IF(BE$6&gt;='Lease Cycles'!$AX$22,'Lease Cycles'!$C$22*'Lease Cycles'!$AY$22/12,IF(BE$6&gt;='Lease Cycles'!$AV$22,'Lease Cycles'!$C$22*'Lease Cycles'!$AW$22/12,IF(BE$6&gt;='Lease Cycles'!$AT$22,'Lease Cycles'!$C$22*'Lease Cycles'!$AU$22/12,'Lease Cycles'!$C$22*INDEX('Lease Cycles'!$CB$22:$CH$22,1,BE248)*(1+INDEX('Lease Cycles'!$CI$22:$CO$22,1,BE248))^INT(INT(BE249/12)/INDEX('Lease Cycles'!$CP$22:$CV$22,1,BE248))/12)))),'Lease Cycles'!$C$22*INDEX('Lease Cycles'!$CB$22:$CH$22,1,BE248)*(1+INDEX('Lease Cycles'!$CI$22:$CO$22,1,BE248))^INT(INT(BE249/12)/INDEX('Lease Cycles'!$CP$22:$CV$22,1,BE248))/12),IF(INDEX('Lease Cycles'!$EF$22:$EL$22,1,BE248)=1,IF(AND('Lease Cycles'!$AZ$22&gt;=INDEX('Lease Cycles'!$BG$22:$BM$22,1,BE248),'Lease Cycles'!$AZ$22&lt;=BE$6),'Lease Cycles'!$C$22*'Lease Cycles'!$BA$22/12,IF(AND('Lease Cycles'!$AX$22&gt;=INDEX('Lease Cycles'!$BG$22:$BM$22,1,BE248),'Lease Cycles'!$AX$22&lt;=BE$6),'Lease Cycles'!$C$22*'Lease Cycles'!$AY$22/12,IF(AND('Lease Cycles'!$AV$22&gt;=INDEX('Lease Cycles'!$BG$22:$BM$22,1,BE248),'Lease Cycles'!$AV$22&lt;=BE$6),'Lease Cycles'!$C$22*'Lease Cycles'!$AW$22/12,IF(AND('Lease Cycles'!$AT$22&gt;=INDEX('Lease Cycles'!$BG$22:$BM$22,1,BE248),'Lease Cycles'!$AT$22&lt;=BE$6),'Lease Cycles'!$C$22*'Lease Cycles'!$AU$22/12,'Lease Cycles'!$C$22*INDEX('Lease Cycles'!$CB$22:$CH$22,1,BE248)*(1+INDEX('Lease Cycles'!$CI$22:$CO$22,1,BE248))^INT(INT(BE249/12)/INDEX('Lease Cycles'!$CP$22:$CV$22,1,BE248))/12)))),'Lease Cycles'!$C$22*INDEX('Lease Cycles'!$CB$22:$CH$22,1,BE248)*(1+INDEX('Lease Cycles'!$CI$22:$CO$22,1,BE248))^INT(INT(BE249/12)/INDEX('Lease Cycles'!$CP$22:$CV$22,1,BE248))/12))),IF('Lease Cycles'!$N$22=1,'Lease Cycles'!$C$22*'Lease Cycles'!$E$22*INDEX('Lease Cycles'!$HE$22:$HK$22,1,BE248)*(1+INDEX('Lease Cycles'!$GQ$22:$GW$22,1,BE248))^INT(INT((BE$6-INDEX('Lease Cycles'!$GJ$22:$GP$22,1,BE248))/12)/INDEX('Lease Cycles'!$GX$22:$HD$22,1,BE248))/12,0)))</f>
        <v>0</v>
      </c>
      <c r="BF251" s="28">
        <f>IF(BF248=0,IF('Lease Cycles'!$F$22&gt;0,'Lease Cycles'!$C$22*'Lease Cycles'!$E$22/12,0),IF(BF250=1,IF('Lease Cycles'!$AT$22&gt;=9999,'Lease Cycles'!$C$22*INDEX('Lease Cycles'!$CB$22:$CH$22,1,BF248)*(1+INDEX('Lease Cycles'!$CI$22:$CO$22,1,BF248))^INT(INT(BF249/12)/INDEX('Lease Cycles'!$CP$22:$CV$22,1,BF248))/12,IF(BF248=1,IF(BF249&gt;=INDEX('Lease Cycles'!$DK$22:$DQ$22,1,BF248),IF(BF$6&gt;='Lease Cycles'!$AZ$22,'Lease Cycles'!$C$22*'Lease Cycles'!$BA$22/12,IF(BF$6&gt;='Lease Cycles'!$AX$22,'Lease Cycles'!$C$22*'Lease Cycles'!$AY$22/12,IF(BF$6&gt;='Lease Cycles'!$AV$22,'Lease Cycles'!$C$22*'Lease Cycles'!$AW$22/12,IF(BF$6&gt;='Lease Cycles'!$AT$22,'Lease Cycles'!$C$22*'Lease Cycles'!$AU$22/12,'Lease Cycles'!$C$22*INDEX('Lease Cycles'!$CB$22:$CH$22,1,BF248)*(1+INDEX('Lease Cycles'!$CI$22:$CO$22,1,BF248))^INT(INT(BF249/12)/INDEX('Lease Cycles'!$CP$22:$CV$22,1,BF248))/12)))),'Lease Cycles'!$C$22*INDEX('Lease Cycles'!$CB$22:$CH$22,1,BF248)*(1+INDEX('Lease Cycles'!$CI$22:$CO$22,1,BF248))^INT(INT(BF249/12)/INDEX('Lease Cycles'!$CP$22:$CV$22,1,BF248))/12),IF(INDEX('Lease Cycles'!$EF$22:$EL$22,1,BF248)=1,IF(AND('Lease Cycles'!$AZ$22&gt;=INDEX('Lease Cycles'!$BG$22:$BM$22,1,BF248),'Lease Cycles'!$AZ$22&lt;=BF$6),'Lease Cycles'!$C$22*'Lease Cycles'!$BA$22/12,IF(AND('Lease Cycles'!$AX$22&gt;=INDEX('Lease Cycles'!$BG$22:$BM$22,1,BF248),'Lease Cycles'!$AX$22&lt;=BF$6),'Lease Cycles'!$C$22*'Lease Cycles'!$AY$22/12,IF(AND('Lease Cycles'!$AV$22&gt;=INDEX('Lease Cycles'!$BG$22:$BM$22,1,BF248),'Lease Cycles'!$AV$22&lt;=BF$6),'Lease Cycles'!$C$22*'Lease Cycles'!$AW$22/12,IF(AND('Lease Cycles'!$AT$22&gt;=INDEX('Lease Cycles'!$BG$22:$BM$22,1,BF248),'Lease Cycles'!$AT$22&lt;=BF$6),'Lease Cycles'!$C$22*'Lease Cycles'!$AU$22/12,'Lease Cycles'!$C$22*INDEX('Lease Cycles'!$CB$22:$CH$22,1,BF248)*(1+INDEX('Lease Cycles'!$CI$22:$CO$22,1,BF248))^INT(INT(BF249/12)/INDEX('Lease Cycles'!$CP$22:$CV$22,1,BF248))/12)))),'Lease Cycles'!$C$22*INDEX('Lease Cycles'!$CB$22:$CH$22,1,BF248)*(1+INDEX('Lease Cycles'!$CI$22:$CO$22,1,BF248))^INT(INT(BF249/12)/INDEX('Lease Cycles'!$CP$22:$CV$22,1,BF248))/12))),IF('Lease Cycles'!$N$22=1,'Lease Cycles'!$C$22*'Lease Cycles'!$E$22*INDEX('Lease Cycles'!$HE$22:$HK$22,1,BF248)*(1+INDEX('Lease Cycles'!$GQ$22:$GW$22,1,BF248))^INT(INT((BF$6-INDEX('Lease Cycles'!$GJ$22:$GP$22,1,BF248))/12)/INDEX('Lease Cycles'!$GX$22:$HD$22,1,BF248))/12,0)))</f>
        <v>0</v>
      </c>
      <c r="BG251" s="28">
        <f>IF(BG248=0,IF('Lease Cycles'!$F$22&gt;0,'Lease Cycles'!$C$22*'Lease Cycles'!$E$22/12,0),IF(BG250=1,IF('Lease Cycles'!$AT$22&gt;=9999,'Lease Cycles'!$C$22*INDEX('Lease Cycles'!$CB$22:$CH$22,1,BG248)*(1+INDEX('Lease Cycles'!$CI$22:$CO$22,1,BG248))^INT(INT(BG249/12)/INDEX('Lease Cycles'!$CP$22:$CV$22,1,BG248))/12,IF(BG248=1,IF(BG249&gt;=INDEX('Lease Cycles'!$DK$22:$DQ$22,1,BG248),IF(BG$6&gt;='Lease Cycles'!$AZ$22,'Lease Cycles'!$C$22*'Lease Cycles'!$BA$22/12,IF(BG$6&gt;='Lease Cycles'!$AX$22,'Lease Cycles'!$C$22*'Lease Cycles'!$AY$22/12,IF(BG$6&gt;='Lease Cycles'!$AV$22,'Lease Cycles'!$C$22*'Lease Cycles'!$AW$22/12,IF(BG$6&gt;='Lease Cycles'!$AT$22,'Lease Cycles'!$C$22*'Lease Cycles'!$AU$22/12,'Lease Cycles'!$C$22*INDEX('Lease Cycles'!$CB$22:$CH$22,1,BG248)*(1+INDEX('Lease Cycles'!$CI$22:$CO$22,1,BG248))^INT(INT(BG249/12)/INDEX('Lease Cycles'!$CP$22:$CV$22,1,BG248))/12)))),'Lease Cycles'!$C$22*INDEX('Lease Cycles'!$CB$22:$CH$22,1,BG248)*(1+INDEX('Lease Cycles'!$CI$22:$CO$22,1,BG248))^INT(INT(BG249/12)/INDEX('Lease Cycles'!$CP$22:$CV$22,1,BG248))/12),IF(INDEX('Lease Cycles'!$EF$22:$EL$22,1,BG248)=1,IF(AND('Lease Cycles'!$AZ$22&gt;=INDEX('Lease Cycles'!$BG$22:$BM$22,1,BG248),'Lease Cycles'!$AZ$22&lt;=BG$6),'Lease Cycles'!$C$22*'Lease Cycles'!$BA$22/12,IF(AND('Lease Cycles'!$AX$22&gt;=INDEX('Lease Cycles'!$BG$22:$BM$22,1,BG248),'Lease Cycles'!$AX$22&lt;=BG$6),'Lease Cycles'!$C$22*'Lease Cycles'!$AY$22/12,IF(AND('Lease Cycles'!$AV$22&gt;=INDEX('Lease Cycles'!$BG$22:$BM$22,1,BG248),'Lease Cycles'!$AV$22&lt;=BG$6),'Lease Cycles'!$C$22*'Lease Cycles'!$AW$22/12,IF(AND('Lease Cycles'!$AT$22&gt;=INDEX('Lease Cycles'!$BG$22:$BM$22,1,BG248),'Lease Cycles'!$AT$22&lt;=BG$6),'Lease Cycles'!$C$22*'Lease Cycles'!$AU$22/12,'Lease Cycles'!$C$22*INDEX('Lease Cycles'!$CB$22:$CH$22,1,BG248)*(1+INDEX('Lease Cycles'!$CI$22:$CO$22,1,BG248))^INT(INT(BG249/12)/INDEX('Lease Cycles'!$CP$22:$CV$22,1,BG248))/12)))),'Lease Cycles'!$C$22*INDEX('Lease Cycles'!$CB$22:$CH$22,1,BG248)*(1+INDEX('Lease Cycles'!$CI$22:$CO$22,1,BG248))^INT(INT(BG249/12)/INDEX('Lease Cycles'!$CP$22:$CV$22,1,BG248))/12))),IF('Lease Cycles'!$N$22=1,'Lease Cycles'!$C$22*'Lease Cycles'!$E$22*INDEX('Lease Cycles'!$HE$22:$HK$22,1,BG248)*(1+INDEX('Lease Cycles'!$GQ$22:$GW$22,1,BG248))^INT(INT((BG$6-INDEX('Lease Cycles'!$GJ$22:$GP$22,1,BG248))/12)/INDEX('Lease Cycles'!$GX$22:$HD$22,1,BG248))/12,0)))</f>
        <v>0</v>
      </c>
      <c r="BH251" s="28">
        <f>IF(BH248=0,IF('Lease Cycles'!$F$22&gt;0,'Lease Cycles'!$C$22*'Lease Cycles'!$E$22/12,0),IF(BH250=1,IF('Lease Cycles'!$AT$22&gt;=9999,'Lease Cycles'!$C$22*INDEX('Lease Cycles'!$CB$22:$CH$22,1,BH248)*(1+INDEX('Lease Cycles'!$CI$22:$CO$22,1,BH248))^INT(INT(BH249/12)/INDEX('Lease Cycles'!$CP$22:$CV$22,1,BH248))/12,IF(BH248=1,IF(BH249&gt;=INDEX('Lease Cycles'!$DK$22:$DQ$22,1,BH248),IF(BH$6&gt;='Lease Cycles'!$AZ$22,'Lease Cycles'!$C$22*'Lease Cycles'!$BA$22/12,IF(BH$6&gt;='Lease Cycles'!$AX$22,'Lease Cycles'!$C$22*'Lease Cycles'!$AY$22/12,IF(BH$6&gt;='Lease Cycles'!$AV$22,'Lease Cycles'!$C$22*'Lease Cycles'!$AW$22/12,IF(BH$6&gt;='Lease Cycles'!$AT$22,'Lease Cycles'!$C$22*'Lease Cycles'!$AU$22/12,'Lease Cycles'!$C$22*INDEX('Lease Cycles'!$CB$22:$CH$22,1,BH248)*(1+INDEX('Lease Cycles'!$CI$22:$CO$22,1,BH248))^INT(INT(BH249/12)/INDEX('Lease Cycles'!$CP$22:$CV$22,1,BH248))/12)))),'Lease Cycles'!$C$22*INDEX('Lease Cycles'!$CB$22:$CH$22,1,BH248)*(1+INDEX('Lease Cycles'!$CI$22:$CO$22,1,BH248))^INT(INT(BH249/12)/INDEX('Lease Cycles'!$CP$22:$CV$22,1,BH248))/12),IF(INDEX('Lease Cycles'!$EF$22:$EL$22,1,BH248)=1,IF(AND('Lease Cycles'!$AZ$22&gt;=INDEX('Lease Cycles'!$BG$22:$BM$22,1,BH248),'Lease Cycles'!$AZ$22&lt;=BH$6),'Lease Cycles'!$C$22*'Lease Cycles'!$BA$22/12,IF(AND('Lease Cycles'!$AX$22&gt;=INDEX('Lease Cycles'!$BG$22:$BM$22,1,BH248),'Lease Cycles'!$AX$22&lt;=BH$6),'Lease Cycles'!$C$22*'Lease Cycles'!$AY$22/12,IF(AND('Lease Cycles'!$AV$22&gt;=INDEX('Lease Cycles'!$BG$22:$BM$22,1,BH248),'Lease Cycles'!$AV$22&lt;=BH$6),'Lease Cycles'!$C$22*'Lease Cycles'!$AW$22/12,IF(AND('Lease Cycles'!$AT$22&gt;=INDEX('Lease Cycles'!$BG$22:$BM$22,1,BH248),'Lease Cycles'!$AT$22&lt;=BH$6),'Lease Cycles'!$C$22*'Lease Cycles'!$AU$22/12,'Lease Cycles'!$C$22*INDEX('Lease Cycles'!$CB$22:$CH$22,1,BH248)*(1+INDEX('Lease Cycles'!$CI$22:$CO$22,1,BH248))^INT(INT(BH249/12)/INDEX('Lease Cycles'!$CP$22:$CV$22,1,BH248))/12)))),'Lease Cycles'!$C$22*INDEX('Lease Cycles'!$CB$22:$CH$22,1,BH248)*(1+INDEX('Lease Cycles'!$CI$22:$CO$22,1,BH248))^INT(INT(BH249/12)/INDEX('Lease Cycles'!$CP$22:$CV$22,1,BH248))/12))),IF('Lease Cycles'!$N$22=1,'Lease Cycles'!$C$22*'Lease Cycles'!$E$22*INDEX('Lease Cycles'!$HE$22:$HK$22,1,BH248)*(1+INDEX('Lease Cycles'!$GQ$22:$GW$22,1,BH248))^INT(INT((BH$6-INDEX('Lease Cycles'!$GJ$22:$GP$22,1,BH248))/12)/INDEX('Lease Cycles'!$GX$22:$HD$22,1,BH248))/12,0)))</f>
        <v>0</v>
      </c>
      <c r="BI251" s="28">
        <f>IF(BI248=0,IF('Lease Cycles'!$F$22&gt;0,'Lease Cycles'!$C$22*'Lease Cycles'!$E$22/12,0),IF(BI250=1,IF('Lease Cycles'!$AT$22&gt;=9999,'Lease Cycles'!$C$22*INDEX('Lease Cycles'!$CB$22:$CH$22,1,BI248)*(1+INDEX('Lease Cycles'!$CI$22:$CO$22,1,BI248))^INT(INT(BI249/12)/INDEX('Lease Cycles'!$CP$22:$CV$22,1,BI248))/12,IF(BI248=1,IF(BI249&gt;=INDEX('Lease Cycles'!$DK$22:$DQ$22,1,BI248),IF(BI$6&gt;='Lease Cycles'!$AZ$22,'Lease Cycles'!$C$22*'Lease Cycles'!$BA$22/12,IF(BI$6&gt;='Lease Cycles'!$AX$22,'Lease Cycles'!$C$22*'Lease Cycles'!$AY$22/12,IF(BI$6&gt;='Lease Cycles'!$AV$22,'Lease Cycles'!$C$22*'Lease Cycles'!$AW$22/12,IF(BI$6&gt;='Lease Cycles'!$AT$22,'Lease Cycles'!$C$22*'Lease Cycles'!$AU$22/12,'Lease Cycles'!$C$22*INDEX('Lease Cycles'!$CB$22:$CH$22,1,BI248)*(1+INDEX('Lease Cycles'!$CI$22:$CO$22,1,BI248))^INT(INT(BI249/12)/INDEX('Lease Cycles'!$CP$22:$CV$22,1,BI248))/12)))),'Lease Cycles'!$C$22*INDEX('Lease Cycles'!$CB$22:$CH$22,1,BI248)*(1+INDEX('Lease Cycles'!$CI$22:$CO$22,1,BI248))^INT(INT(BI249/12)/INDEX('Lease Cycles'!$CP$22:$CV$22,1,BI248))/12),IF(INDEX('Lease Cycles'!$EF$22:$EL$22,1,BI248)=1,IF(AND('Lease Cycles'!$AZ$22&gt;=INDEX('Lease Cycles'!$BG$22:$BM$22,1,BI248),'Lease Cycles'!$AZ$22&lt;=BI$6),'Lease Cycles'!$C$22*'Lease Cycles'!$BA$22/12,IF(AND('Lease Cycles'!$AX$22&gt;=INDEX('Lease Cycles'!$BG$22:$BM$22,1,BI248),'Lease Cycles'!$AX$22&lt;=BI$6),'Lease Cycles'!$C$22*'Lease Cycles'!$AY$22/12,IF(AND('Lease Cycles'!$AV$22&gt;=INDEX('Lease Cycles'!$BG$22:$BM$22,1,BI248),'Lease Cycles'!$AV$22&lt;=BI$6),'Lease Cycles'!$C$22*'Lease Cycles'!$AW$22/12,IF(AND('Lease Cycles'!$AT$22&gt;=INDEX('Lease Cycles'!$BG$22:$BM$22,1,BI248),'Lease Cycles'!$AT$22&lt;=BI$6),'Lease Cycles'!$C$22*'Lease Cycles'!$AU$22/12,'Lease Cycles'!$C$22*INDEX('Lease Cycles'!$CB$22:$CH$22,1,BI248)*(1+INDEX('Lease Cycles'!$CI$22:$CO$22,1,BI248))^INT(INT(BI249/12)/INDEX('Lease Cycles'!$CP$22:$CV$22,1,BI248))/12)))),'Lease Cycles'!$C$22*INDEX('Lease Cycles'!$CB$22:$CH$22,1,BI248)*(1+INDEX('Lease Cycles'!$CI$22:$CO$22,1,BI248))^INT(INT(BI249/12)/INDEX('Lease Cycles'!$CP$22:$CV$22,1,BI248))/12))),IF('Lease Cycles'!$N$22=1,'Lease Cycles'!$C$22*'Lease Cycles'!$E$22*INDEX('Lease Cycles'!$HE$22:$HK$22,1,BI248)*(1+INDEX('Lease Cycles'!$GQ$22:$GW$22,1,BI248))^INT(INT((BI$6-INDEX('Lease Cycles'!$GJ$22:$GP$22,1,BI248))/12)/INDEX('Lease Cycles'!$GX$22:$HD$22,1,BI248))/12,0)))</f>
        <v>0</v>
      </c>
      <c r="BJ251" s="28">
        <f>IF(BJ248=0,IF('Lease Cycles'!$F$22&gt;0,'Lease Cycles'!$C$22*'Lease Cycles'!$E$22/12,0),IF(BJ250=1,IF('Lease Cycles'!$AT$22&gt;=9999,'Lease Cycles'!$C$22*INDEX('Lease Cycles'!$CB$22:$CH$22,1,BJ248)*(1+INDEX('Lease Cycles'!$CI$22:$CO$22,1,BJ248))^INT(INT(BJ249/12)/INDEX('Lease Cycles'!$CP$22:$CV$22,1,BJ248))/12,IF(BJ248=1,IF(BJ249&gt;=INDEX('Lease Cycles'!$DK$22:$DQ$22,1,BJ248),IF(BJ$6&gt;='Lease Cycles'!$AZ$22,'Lease Cycles'!$C$22*'Lease Cycles'!$BA$22/12,IF(BJ$6&gt;='Lease Cycles'!$AX$22,'Lease Cycles'!$C$22*'Lease Cycles'!$AY$22/12,IF(BJ$6&gt;='Lease Cycles'!$AV$22,'Lease Cycles'!$C$22*'Lease Cycles'!$AW$22/12,IF(BJ$6&gt;='Lease Cycles'!$AT$22,'Lease Cycles'!$C$22*'Lease Cycles'!$AU$22/12,'Lease Cycles'!$C$22*INDEX('Lease Cycles'!$CB$22:$CH$22,1,BJ248)*(1+INDEX('Lease Cycles'!$CI$22:$CO$22,1,BJ248))^INT(INT(BJ249/12)/INDEX('Lease Cycles'!$CP$22:$CV$22,1,BJ248))/12)))),'Lease Cycles'!$C$22*INDEX('Lease Cycles'!$CB$22:$CH$22,1,BJ248)*(1+INDEX('Lease Cycles'!$CI$22:$CO$22,1,BJ248))^INT(INT(BJ249/12)/INDEX('Lease Cycles'!$CP$22:$CV$22,1,BJ248))/12),IF(INDEX('Lease Cycles'!$EF$22:$EL$22,1,BJ248)=1,IF(AND('Lease Cycles'!$AZ$22&gt;=INDEX('Lease Cycles'!$BG$22:$BM$22,1,BJ248),'Lease Cycles'!$AZ$22&lt;=BJ$6),'Lease Cycles'!$C$22*'Lease Cycles'!$BA$22/12,IF(AND('Lease Cycles'!$AX$22&gt;=INDEX('Lease Cycles'!$BG$22:$BM$22,1,BJ248),'Lease Cycles'!$AX$22&lt;=BJ$6),'Lease Cycles'!$C$22*'Lease Cycles'!$AY$22/12,IF(AND('Lease Cycles'!$AV$22&gt;=INDEX('Lease Cycles'!$BG$22:$BM$22,1,BJ248),'Lease Cycles'!$AV$22&lt;=BJ$6),'Lease Cycles'!$C$22*'Lease Cycles'!$AW$22/12,IF(AND('Lease Cycles'!$AT$22&gt;=INDEX('Lease Cycles'!$BG$22:$BM$22,1,BJ248),'Lease Cycles'!$AT$22&lt;=BJ$6),'Lease Cycles'!$C$22*'Lease Cycles'!$AU$22/12,'Lease Cycles'!$C$22*INDEX('Lease Cycles'!$CB$22:$CH$22,1,BJ248)*(1+INDEX('Lease Cycles'!$CI$22:$CO$22,1,BJ248))^INT(INT(BJ249/12)/INDEX('Lease Cycles'!$CP$22:$CV$22,1,BJ248))/12)))),'Lease Cycles'!$C$22*INDEX('Lease Cycles'!$CB$22:$CH$22,1,BJ248)*(1+INDEX('Lease Cycles'!$CI$22:$CO$22,1,BJ248))^INT(INT(BJ249/12)/INDEX('Lease Cycles'!$CP$22:$CV$22,1,BJ248))/12))),IF('Lease Cycles'!$N$22=1,'Lease Cycles'!$C$22*'Lease Cycles'!$E$22*INDEX('Lease Cycles'!$HE$22:$HK$22,1,BJ248)*(1+INDEX('Lease Cycles'!$GQ$22:$GW$22,1,BJ248))^INT(INT((BJ$6-INDEX('Lease Cycles'!$GJ$22:$GP$22,1,BJ248))/12)/INDEX('Lease Cycles'!$GX$22:$HD$22,1,BJ248))/12,0)))</f>
        <v>0</v>
      </c>
      <c r="BK251" s="28">
        <f>IF(BK248=0,IF('Lease Cycles'!$F$22&gt;0,'Lease Cycles'!$C$22*'Lease Cycles'!$E$22/12,0),IF(BK250=1,IF('Lease Cycles'!$AT$22&gt;=9999,'Lease Cycles'!$C$22*INDEX('Lease Cycles'!$CB$22:$CH$22,1,BK248)*(1+INDEX('Lease Cycles'!$CI$22:$CO$22,1,BK248))^INT(INT(BK249/12)/INDEX('Lease Cycles'!$CP$22:$CV$22,1,BK248))/12,IF(BK248=1,IF(BK249&gt;=INDEX('Lease Cycles'!$DK$22:$DQ$22,1,BK248),IF(BK$6&gt;='Lease Cycles'!$AZ$22,'Lease Cycles'!$C$22*'Lease Cycles'!$BA$22/12,IF(BK$6&gt;='Lease Cycles'!$AX$22,'Lease Cycles'!$C$22*'Lease Cycles'!$AY$22/12,IF(BK$6&gt;='Lease Cycles'!$AV$22,'Lease Cycles'!$C$22*'Lease Cycles'!$AW$22/12,IF(BK$6&gt;='Lease Cycles'!$AT$22,'Lease Cycles'!$C$22*'Lease Cycles'!$AU$22/12,'Lease Cycles'!$C$22*INDEX('Lease Cycles'!$CB$22:$CH$22,1,BK248)*(1+INDEX('Lease Cycles'!$CI$22:$CO$22,1,BK248))^INT(INT(BK249/12)/INDEX('Lease Cycles'!$CP$22:$CV$22,1,BK248))/12)))),'Lease Cycles'!$C$22*INDEX('Lease Cycles'!$CB$22:$CH$22,1,BK248)*(1+INDEX('Lease Cycles'!$CI$22:$CO$22,1,BK248))^INT(INT(BK249/12)/INDEX('Lease Cycles'!$CP$22:$CV$22,1,BK248))/12),IF(INDEX('Lease Cycles'!$EF$22:$EL$22,1,BK248)=1,IF(AND('Lease Cycles'!$AZ$22&gt;=INDEX('Lease Cycles'!$BG$22:$BM$22,1,BK248),'Lease Cycles'!$AZ$22&lt;=BK$6),'Lease Cycles'!$C$22*'Lease Cycles'!$BA$22/12,IF(AND('Lease Cycles'!$AX$22&gt;=INDEX('Lease Cycles'!$BG$22:$BM$22,1,BK248),'Lease Cycles'!$AX$22&lt;=BK$6),'Lease Cycles'!$C$22*'Lease Cycles'!$AY$22/12,IF(AND('Lease Cycles'!$AV$22&gt;=INDEX('Lease Cycles'!$BG$22:$BM$22,1,BK248),'Lease Cycles'!$AV$22&lt;=BK$6),'Lease Cycles'!$C$22*'Lease Cycles'!$AW$22/12,IF(AND('Lease Cycles'!$AT$22&gt;=INDEX('Lease Cycles'!$BG$22:$BM$22,1,BK248),'Lease Cycles'!$AT$22&lt;=BK$6),'Lease Cycles'!$C$22*'Lease Cycles'!$AU$22/12,'Lease Cycles'!$C$22*INDEX('Lease Cycles'!$CB$22:$CH$22,1,BK248)*(1+INDEX('Lease Cycles'!$CI$22:$CO$22,1,BK248))^INT(INT(BK249/12)/INDEX('Lease Cycles'!$CP$22:$CV$22,1,BK248))/12)))),'Lease Cycles'!$C$22*INDEX('Lease Cycles'!$CB$22:$CH$22,1,BK248)*(1+INDEX('Lease Cycles'!$CI$22:$CO$22,1,BK248))^INT(INT(BK249/12)/INDEX('Lease Cycles'!$CP$22:$CV$22,1,BK248))/12))),IF('Lease Cycles'!$N$22=1,'Lease Cycles'!$C$22*'Lease Cycles'!$E$22*INDEX('Lease Cycles'!$HE$22:$HK$22,1,BK248)*(1+INDEX('Lease Cycles'!$GQ$22:$GW$22,1,BK248))^INT(INT((BK$6-INDEX('Lease Cycles'!$GJ$22:$GP$22,1,BK248))/12)/INDEX('Lease Cycles'!$GX$22:$HD$22,1,BK248))/12,0)))</f>
        <v>0</v>
      </c>
      <c r="BL251" s="28">
        <f>IF(BL248=0,IF('Lease Cycles'!$F$22&gt;0,'Lease Cycles'!$C$22*'Lease Cycles'!$E$22/12,0),IF(BL250=1,IF('Lease Cycles'!$AT$22&gt;=9999,'Lease Cycles'!$C$22*INDEX('Lease Cycles'!$CB$22:$CH$22,1,BL248)*(1+INDEX('Lease Cycles'!$CI$22:$CO$22,1,BL248))^INT(INT(BL249/12)/INDEX('Lease Cycles'!$CP$22:$CV$22,1,BL248))/12,IF(BL248=1,IF(BL249&gt;=INDEX('Lease Cycles'!$DK$22:$DQ$22,1,BL248),IF(BL$6&gt;='Lease Cycles'!$AZ$22,'Lease Cycles'!$C$22*'Lease Cycles'!$BA$22/12,IF(BL$6&gt;='Lease Cycles'!$AX$22,'Lease Cycles'!$C$22*'Lease Cycles'!$AY$22/12,IF(BL$6&gt;='Lease Cycles'!$AV$22,'Lease Cycles'!$C$22*'Lease Cycles'!$AW$22/12,IF(BL$6&gt;='Lease Cycles'!$AT$22,'Lease Cycles'!$C$22*'Lease Cycles'!$AU$22/12,'Lease Cycles'!$C$22*INDEX('Lease Cycles'!$CB$22:$CH$22,1,BL248)*(1+INDEX('Lease Cycles'!$CI$22:$CO$22,1,BL248))^INT(INT(BL249/12)/INDEX('Lease Cycles'!$CP$22:$CV$22,1,BL248))/12)))),'Lease Cycles'!$C$22*INDEX('Lease Cycles'!$CB$22:$CH$22,1,BL248)*(1+INDEX('Lease Cycles'!$CI$22:$CO$22,1,BL248))^INT(INT(BL249/12)/INDEX('Lease Cycles'!$CP$22:$CV$22,1,BL248))/12),IF(INDEX('Lease Cycles'!$EF$22:$EL$22,1,BL248)=1,IF(AND('Lease Cycles'!$AZ$22&gt;=INDEX('Lease Cycles'!$BG$22:$BM$22,1,BL248),'Lease Cycles'!$AZ$22&lt;=BL$6),'Lease Cycles'!$C$22*'Lease Cycles'!$BA$22/12,IF(AND('Lease Cycles'!$AX$22&gt;=INDEX('Lease Cycles'!$BG$22:$BM$22,1,BL248),'Lease Cycles'!$AX$22&lt;=BL$6),'Lease Cycles'!$C$22*'Lease Cycles'!$AY$22/12,IF(AND('Lease Cycles'!$AV$22&gt;=INDEX('Lease Cycles'!$BG$22:$BM$22,1,BL248),'Lease Cycles'!$AV$22&lt;=BL$6),'Lease Cycles'!$C$22*'Lease Cycles'!$AW$22/12,IF(AND('Lease Cycles'!$AT$22&gt;=INDEX('Lease Cycles'!$BG$22:$BM$22,1,BL248),'Lease Cycles'!$AT$22&lt;=BL$6),'Lease Cycles'!$C$22*'Lease Cycles'!$AU$22/12,'Lease Cycles'!$C$22*INDEX('Lease Cycles'!$CB$22:$CH$22,1,BL248)*(1+INDEX('Lease Cycles'!$CI$22:$CO$22,1,BL248))^INT(INT(BL249/12)/INDEX('Lease Cycles'!$CP$22:$CV$22,1,BL248))/12)))),'Lease Cycles'!$C$22*INDEX('Lease Cycles'!$CB$22:$CH$22,1,BL248)*(1+INDEX('Lease Cycles'!$CI$22:$CO$22,1,BL248))^INT(INT(BL249/12)/INDEX('Lease Cycles'!$CP$22:$CV$22,1,BL248))/12))),IF('Lease Cycles'!$N$22=1,'Lease Cycles'!$C$22*'Lease Cycles'!$E$22*INDEX('Lease Cycles'!$HE$22:$HK$22,1,BL248)*(1+INDEX('Lease Cycles'!$GQ$22:$GW$22,1,BL248))^INT(INT((BL$6-INDEX('Lease Cycles'!$GJ$22:$GP$22,1,BL248))/12)/INDEX('Lease Cycles'!$GX$22:$HD$22,1,BL248))/12,0)))</f>
        <v>0</v>
      </c>
      <c r="BM251" s="28">
        <f>IF(BM248=0,IF('Lease Cycles'!$F$22&gt;0,'Lease Cycles'!$C$22*'Lease Cycles'!$E$22/12,0),IF(BM250=1,IF('Lease Cycles'!$AT$22&gt;=9999,'Lease Cycles'!$C$22*INDEX('Lease Cycles'!$CB$22:$CH$22,1,BM248)*(1+INDEX('Lease Cycles'!$CI$22:$CO$22,1,BM248))^INT(INT(BM249/12)/INDEX('Lease Cycles'!$CP$22:$CV$22,1,BM248))/12,IF(BM248=1,IF(BM249&gt;=INDEX('Lease Cycles'!$DK$22:$DQ$22,1,BM248),IF(BM$6&gt;='Lease Cycles'!$AZ$22,'Lease Cycles'!$C$22*'Lease Cycles'!$BA$22/12,IF(BM$6&gt;='Lease Cycles'!$AX$22,'Lease Cycles'!$C$22*'Lease Cycles'!$AY$22/12,IF(BM$6&gt;='Lease Cycles'!$AV$22,'Lease Cycles'!$C$22*'Lease Cycles'!$AW$22/12,IF(BM$6&gt;='Lease Cycles'!$AT$22,'Lease Cycles'!$C$22*'Lease Cycles'!$AU$22/12,'Lease Cycles'!$C$22*INDEX('Lease Cycles'!$CB$22:$CH$22,1,BM248)*(1+INDEX('Lease Cycles'!$CI$22:$CO$22,1,BM248))^INT(INT(BM249/12)/INDEX('Lease Cycles'!$CP$22:$CV$22,1,BM248))/12)))),'Lease Cycles'!$C$22*INDEX('Lease Cycles'!$CB$22:$CH$22,1,BM248)*(1+INDEX('Lease Cycles'!$CI$22:$CO$22,1,BM248))^INT(INT(BM249/12)/INDEX('Lease Cycles'!$CP$22:$CV$22,1,BM248))/12),IF(INDEX('Lease Cycles'!$EF$22:$EL$22,1,BM248)=1,IF(AND('Lease Cycles'!$AZ$22&gt;=INDEX('Lease Cycles'!$BG$22:$BM$22,1,BM248),'Lease Cycles'!$AZ$22&lt;=BM$6),'Lease Cycles'!$C$22*'Lease Cycles'!$BA$22/12,IF(AND('Lease Cycles'!$AX$22&gt;=INDEX('Lease Cycles'!$BG$22:$BM$22,1,BM248),'Lease Cycles'!$AX$22&lt;=BM$6),'Lease Cycles'!$C$22*'Lease Cycles'!$AY$22/12,IF(AND('Lease Cycles'!$AV$22&gt;=INDEX('Lease Cycles'!$BG$22:$BM$22,1,BM248),'Lease Cycles'!$AV$22&lt;=BM$6),'Lease Cycles'!$C$22*'Lease Cycles'!$AW$22/12,IF(AND('Lease Cycles'!$AT$22&gt;=INDEX('Lease Cycles'!$BG$22:$BM$22,1,BM248),'Lease Cycles'!$AT$22&lt;=BM$6),'Lease Cycles'!$C$22*'Lease Cycles'!$AU$22/12,'Lease Cycles'!$C$22*INDEX('Lease Cycles'!$CB$22:$CH$22,1,BM248)*(1+INDEX('Lease Cycles'!$CI$22:$CO$22,1,BM248))^INT(INT(BM249/12)/INDEX('Lease Cycles'!$CP$22:$CV$22,1,BM248))/12)))),'Lease Cycles'!$C$22*INDEX('Lease Cycles'!$CB$22:$CH$22,1,BM248)*(1+INDEX('Lease Cycles'!$CI$22:$CO$22,1,BM248))^INT(INT(BM249/12)/INDEX('Lease Cycles'!$CP$22:$CV$22,1,BM248))/12))),IF('Lease Cycles'!$N$22=1,'Lease Cycles'!$C$22*'Lease Cycles'!$E$22*INDEX('Lease Cycles'!$HE$22:$HK$22,1,BM248)*(1+INDEX('Lease Cycles'!$GQ$22:$GW$22,1,BM248))^INT(INT((BM$6-INDEX('Lease Cycles'!$GJ$22:$GP$22,1,BM248))/12)/INDEX('Lease Cycles'!$GX$22:$HD$22,1,BM248))/12,0)))</f>
        <v>0</v>
      </c>
      <c r="BN251" s="28">
        <f>IF(BN248=0,IF('Lease Cycles'!$F$22&gt;0,'Lease Cycles'!$C$22*'Lease Cycles'!$E$22/12,0),IF(BN250=1,IF('Lease Cycles'!$AT$22&gt;=9999,'Lease Cycles'!$C$22*INDEX('Lease Cycles'!$CB$22:$CH$22,1,BN248)*(1+INDEX('Lease Cycles'!$CI$22:$CO$22,1,BN248))^INT(INT(BN249/12)/INDEX('Lease Cycles'!$CP$22:$CV$22,1,BN248))/12,IF(BN248=1,IF(BN249&gt;=INDEX('Lease Cycles'!$DK$22:$DQ$22,1,BN248),IF(BN$6&gt;='Lease Cycles'!$AZ$22,'Lease Cycles'!$C$22*'Lease Cycles'!$BA$22/12,IF(BN$6&gt;='Lease Cycles'!$AX$22,'Lease Cycles'!$C$22*'Lease Cycles'!$AY$22/12,IF(BN$6&gt;='Lease Cycles'!$AV$22,'Lease Cycles'!$C$22*'Lease Cycles'!$AW$22/12,IF(BN$6&gt;='Lease Cycles'!$AT$22,'Lease Cycles'!$C$22*'Lease Cycles'!$AU$22/12,'Lease Cycles'!$C$22*INDEX('Lease Cycles'!$CB$22:$CH$22,1,BN248)*(1+INDEX('Lease Cycles'!$CI$22:$CO$22,1,BN248))^INT(INT(BN249/12)/INDEX('Lease Cycles'!$CP$22:$CV$22,1,BN248))/12)))),'Lease Cycles'!$C$22*INDEX('Lease Cycles'!$CB$22:$CH$22,1,BN248)*(1+INDEX('Lease Cycles'!$CI$22:$CO$22,1,BN248))^INT(INT(BN249/12)/INDEX('Lease Cycles'!$CP$22:$CV$22,1,BN248))/12),IF(INDEX('Lease Cycles'!$EF$22:$EL$22,1,BN248)=1,IF(AND('Lease Cycles'!$AZ$22&gt;=INDEX('Lease Cycles'!$BG$22:$BM$22,1,BN248),'Lease Cycles'!$AZ$22&lt;=BN$6),'Lease Cycles'!$C$22*'Lease Cycles'!$BA$22/12,IF(AND('Lease Cycles'!$AX$22&gt;=INDEX('Lease Cycles'!$BG$22:$BM$22,1,BN248),'Lease Cycles'!$AX$22&lt;=BN$6),'Lease Cycles'!$C$22*'Lease Cycles'!$AY$22/12,IF(AND('Lease Cycles'!$AV$22&gt;=INDEX('Lease Cycles'!$BG$22:$BM$22,1,BN248),'Lease Cycles'!$AV$22&lt;=BN$6),'Lease Cycles'!$C$22*'Lease Cycles'!$AW$22/12,IF(AND('Lease Cycles'!$AT$22&gt;=INDEX('Lease Cycles'!$BG$22:$BM$22,1,BN248),'Lease Cycles'!$AT$22&lt;=BN$6),'Lease Cycles'!$C$22*'Lease Cycles'!$AU$22/12,'Lease Cycles'!$C$22*INDEX('Lease Cycles'!$CB$22:$CH$22,1,BN248)*(1+INDEX('Lease Cycles'!$CI$22:$CO$22,1,BN248))^INT(INT(BN249/12)/INDEX('Lease Cycles'!$CP$22:$CV$22,1,BN248))/12)))),'Lease Cycles'!$C$22*INDEX('Lease Cycles'!$CB$22:$CH$22,1,BN248)*(1+INDEX('Lease Cycles'!$CI$22:$CO$22,1,BN248))^INT(INT(BN249/12)/INDEX('Lease Cycles'!$CP$22:$CV$22,1,BN248))/12))),IF('Lease Cycles'!$N$22=1,'Lease Cycles'!$C$22*'Lease Cycles'!$E$22*INDEX('Lease Cycles'!$HE$22:$HK$22,1,BN248)*(1+INDEX('Lease Cycles'!$GQ$22:$GW$22,1,BN248))^INT(INT((BN$6-INDEX('Lease Cycles'!$GJ$22:$GP$22,1,BN248))/12)/INDEX('Lease Cycles'!$GX$22:$HD$22,1,BN248))/12,0)))</f>
        <v>0</v>
      </c>
      <c r="BO251" s="28">
        <f>IF(BO248=0,IF('Lease Cycles'!$F$22&gt;0,'Lease Cycles'!$C$22*'Lease Cycles'!$E$22/12,0),IF(BO250=1,IF('Lease Cycles'!$AT$22&gt;=9999,'Lease Cycles'!$C$22*INDEX('Lease Cycles'!$CB$22:$CH$22,1,BO248)*(1+INDEX('Lease Cycles'!$CI$22:$CO$22,1,BO248))^INT(INT(BO249/12)/INDEX('Lease Cycles'!$CP$22:$CV$22,1,BO248))/12,IF(BO248=1,IF(BO249&gt;=INDEX('Lease Cycles'!$DK$22:$DQ$22,1,BO248),IF(BO$6&gt;='Lease Cycles'!$AZ$22,'Lease Cycles'!$C$22*'Lease Cycles'!$BA$22/12,IF(BO$6&gt;='Lease Cycles'!$AX$22,'Lease Cycles'!$C$22*'Lease Cycles'!$AY$22/12,IF(BO$6&gt;='Lease Cycles'!$AV$22,'Lease Cycles'!$C$22*'Lease Cycles'!$AW$22/12,IF(BO$6&gt;='Lease Cycles'!$AT$22,'Lease Cycles'!$C$22*'Lease Cycles'!$AU$22/12,'Lease Cycles'!$C$22*INDEX('Lease Cycles'!$CB$22:$CH$22,1,BO248)*(1+INDEX('Lease Cycles'!$CI$22:$CO$22,1,BO248))^INT(INT(BO249/12)/INDEX('Lease Cycles'!$CP$22:$CV$22,1,BO248))/12)))),'Lease Cycles'!$C$22*INDEX('Lease Cycles'!$CB$22:$CH$22,1,BO248)*(1+INDEX('Lease Cycles'!$CI$22:$CO$22,1,BO248))^INT(INT(BO249/12)/INDEX('Lease Cycles'!$CP$22:$CV$22,1,BO248))/12),IF(INDEX('Lease Cycles'!$EF$22:$EL$22,1,BO248)=1,IF(AND('Lease Cycles'!$AZ$22&gt;=INDEX('Lease Cycles'!$BG$22:$BM$22,1,BO248),'Lease Cycles'!$AZ$22&lt;=BO$6),'Lease Cycles'!$C$22*'Lease Cycles'!$BA$22/12,IF(AND('Lease Cycles'!$AX$22&gt;=INDEX('Lease Cycles'!$BG$22:$BM$22,1,BO248),'Lease Cycles'!$AX$22&lt;=BO$6),'Lease Cycles'!$C$22*'Lease Cycles'!$AY$22/12,IF(AND('Lease Cycles'!$AV$22&gt;=INDEX('Lease Cycles'!$BG$22:$BM$22,1,BO248),'Lease Cycles'!$AV$22&lt;=BO$6),'Lease Cycles'!$C$22*'Lease Cycles'!$AW$22/12,IF(AND('Lease Cycles'!$AT$22&gt;=INDEX('Lease Cycles'!$BG$22:$BM$22,1,BO248),'Lease Cycles'!$AT$22&lt;=BO$6),'Lease Cycles'!$C$22*'Lease Cycles'!$AU$22/12,'Lease Cycles'!$C$22*INDEX('Lease Cycles'!$CB$22:$CH$22,1,BO248)*(1+INDEX('Lease Cycles'!$CI$22:$CO$22,1,BO248))^INT(INT(BO249/12)/INDEX('Lease Cycles'!$CP$22:$CV$22,1,BO248))/12)))),'Lease Cycles'!$C$22*INDEX('Lease Cycles'!$CB$22:$CH$22,1,BO248)*(1+INDEX('Lease Cycles'!$CI$22:$CO$22,1,BO248))^INT(INT(BO249/12)/INDEX('Lease Cycles'!$CP$22:$CV$22,1,BO248))/12))),IF('Lease Cycles'!$N$22=1,'Lease Cycles'!$C$22*'Lease Cycles'!$E$22*INDEX('Lease Cycles'!$HE$22:$HK$22,1,BO248)*(1+INDEX('Lease Cycles'!$GQ$22:$GW$22,1,BO248))^INT(INT((BO$6-INDEX('Lease Cycles'!$GJ$22:$GP$22,1,BO248))/12)/INDEX('Lease Cycles'!$GX$22:$HD$22,1,BO248))/12,0)))</f>
        <v>0</v>
      </c>
      <c r="BP251" s="28">
        <f>IF(BP248=0,IF('Lease Cycles'!$F$22&gt;0,'Lease Cycles'!$C$22*'Lease Cycles'!$E$22/12,0),IF(BP250=1,IF('Lease Cycles'!$AT$22&gt;=9999,'Lease Cycles'!$C$22*INDEX('Lease Cycles'!$CB$22:$CH$22,1,BP248)*(1+INDEX('Lease Cycles'!$CI$22:$CO$22,1,BP248))^INT(INT(BP249/12)/INDEX('Lease Cycles'!$CP$22:$CV$22,1,BP248))/12,IF(BP248=1,IF(BP249&gt;=INDEX('Lease Cycles'!$DK$22:$DQ$22,1,BP248),IF(BP$6&gt;='Lease Cycles'!$AZ$22,'Lease Cycles'!$C$22*'Lease Cycles'!$BA$22/12,IF(BP$6&gt;='Lease Cycles'!$AX$22,'Lease Cycles'!$C$22*'Lease Cycles'!$AY$22/12,IF(BP$6&gt;='Lease Cycles'!$AV$22,'Lease Cycles'!$C$22*'Lease Cycles'!$AW$22/12,IF(BP$6&gt;='Lease Cycles'!$AT$22,'Lease Cycles'!$C$22*'Lease Cycles'!$AU$22/12,'Lease Cycles'!$C$22*INDEX('Lease Cycles'!$CB$22:$CH$22,1,BP248)*(1+INDEX('Lease Cycles'!$CI$22:$CO$22,1,BP248))^INT(INT(BP249/12)/INDEX('Lease Cycles'!$CP$22:$CV$22,1,BP248))/12)))),'Lease Cycles'!$C$22*INDEX('Lease Cycles'!$CB$22:$CH$22,1,BP248)*(1+INDEX('Lease Cycles'!$CI$22:$CO$22,1,BP248))^INT(INT(BP249/12)/INDEX('Lease Cycles'!$CP$22:$CV$22,1,BP248))/12),IF(INDEX('Lease Cycles'!$EF$22:$EL$22,1,BP248)=1,IF(AND('Lease Cycles'!$AZ$22&gt;=INDEX('Lease Cycles'!$BG$22:$BM$22,1,BP248),'Lease Cycles'!$AZ$22&lt;=BP$6),'Lease Cycles'!$C$22*'Lease Cycles'!$BA$22/12,IF(AND('Lease Cycles'!$AX$22&gt;=INDEX('Lease Cycles'!$BG$22:$BM$22,1,BP248),'Lease Cycles'!$AX$22&lt;=BP$6),'Lease Cycles'!$C$22*'Lease Cycles'!$AY$22/12,IF(AND('Lease Cycles'!$AV$22&gt;=INDEX('Lease Cycles'!$BG$22:$BM$22,1,BP248),'Lease Cycles'!$AV$22&lt;=BP$6),'Lease Cycles'!$C$22*'Lease Cycles'!$AW$22/12,IF(AND('Lease Cycles'!$AT$22&gt;=INDEX('Lease Cycles'!$BG$22:$BM$22,1,BP248),'Lease Cycles'!$AT$22&lt;=BP$6),'Lease Cycles'!$C$22*'Lease Cycles'!$AU$22/12,'Lease Cycles'!$C$22*INDEX('Lease Cycles'!$CB$22:$CH$22,1,BP248)*(1+INDEX('Lease Cycles'!$CI$22:$CO$22,1,BP248))^INT(INT(BP249/12)/INDEX('Lease Cycles'!$CP$22:$CV$22,1,BP248))/12)))),'Lease Cycles'!$C$22*INDEX('Lease Cycles'!$CB$22:$CH$22,1,BP248)*(1+INDEX('Lease Cycles'!$CI$22:$CO$22,1,BP248))^INT(INT(BP249/12)/INDEX('Lease Cycles'!$CP$22:$CV$22,1,BP248))/12))),IF('Lease Cycles'!$N$22=1,'Lease Cycles'!$C$22*'Lease Cycles'!$E$22*INDEX('Lease Cycles'!$HE$22:$HK$22,1,BP248)*(1+INDEX('Lease Cycles'!$GQ$22:$GW$22,1,BP248))^INT(INT((BP$6-INDEX('Lease Cycles'!$GJ$22:$GP$22,1,BP248))/12)/INDEX('Lease Cycles'!$GX$22:$HD$22,1,BP248))/12,0)))</f>
        <v>0</v>
      </c>
      <c r="BQ251" s="28">
        <f>IF(BQ248=0,IF('Lease Cycles'!$F$22&gt;0,'Lease Cycles'!$C$22*'Lease Cycles'!$E$22/12,0),IF(BQ250=1,IF('Lease Cycles'!$AT$22&gt;=9999,'Lease Cycles'!$C$22*INDEX('Lease Cycles'!$CB$22:$CH$22,1,BQ248)*(1+INDEX('Lease Cycles'!$CI$22:$CO$22,1,BQ248))^INT(INT(BQ249/12)/INDEX('Lease Cycles'!$CP$22:$CV$22,1,BQ248))/12,IF(BQ248=1,IF(BQ249&gt;=INDEX('Lease Cycles'!$DK$22:$DQ$22,1,BQ248),IF(BQ$6&gt;='Lease Cycles'!$AZ$22,'Lease Cycles'!$C$22*'Lease Cycles'!$BA$22/12,IF(BQ$6&gt;='Lease Cycles'!$AX$22,'Lease Cycles'!$C$22*'Lease Cycles'!$AY$22/12,IF(BQ$6&gt;='Lease Cycles'!$AV$22,'Lease Cycles'!$C$22*'Lease Cycles'!$AW$22/12,IF(BQ$6&gt;='Lease Cycles'!$AT$22,'Lease Cycles'!$C$22*'Lease Cycles'!$AU$22/12,'Lease Cycles'!$C$22*INDEX('Lease Cycles'!$CB$22:$CH$22,1,BQ248)*(1+INDEX('Lease Cycles'!$CI$22:$CO$22,1,BQ248))^INT(INT(BQ249/12)/INDEX('Lease Cycles'!$CP$22:$CV$22,1,BQ248))/12)))),'Lease Cycles'!$C$22*INDEX('Lease Cycles'!$CB$22:$CH$22,1,BQ248)*(1+INDEX('Lease Cycles'!$CI$22:$CO$22,1,BQ248))^INT(INT(BQ249/12)/INDEX('Lease Cycles'!$CP$22:$CV$22,1,BQ248))/12),IF(INDEX('Lease Cycles'!$EF$22:$EL$22,1,BQ248)=1,IF(AND('Lease Cycles'!$AZ$22&gt;=INDEX('Lease Cycles'!$BG$22:$BM$22,1,BQ248),'Lease Cycles'!$AZ$22&lt;=BQ$6),'Lease Cycles'!$C$22*'Lease Cycles'!$BA$22/12,IF(AND('Lease Cycles'!$AX$22&gt;=INDEX('Lease Cycles'!$BG$22:$BM$22,1,BQ248),'Lease Cycles'!$AX$22&lt;=BQ$6),'Lease Cycles'!$C$22*'Lease Cycles'!$AY$22/12,IF(AND('Lease Cycles'!$AV$22&gt;=INDEX('Lease Cycles'!$BG$22:$BM$22,1,BQ248),'Lease Cycles'!$AV$22&lt;=BQ$6),'Lease Cycles'!$C$22*'Lease Cycles'!$AW$22/12,IF(AND('Lease Cycles'!$AT$22&gt;=INDEX('Lease Cycles'!$BG$22:$BM$22,1,BQ248),'Lease Cycles'!$AT$22&lt;=BQ$6),'Lease Cycles'!$C$22*'Lease Cycles'!$AU$22/12,'Lease Cycles'!$C$22*INDEX('Lease Cycles'!$CB$22:$CH$22,1,BQ248)*(1+INDEX('Lease Cycles'!$CI$22:$CO$22,1,BQ248))^INT(INT(BQ249/12)/INDEX('Lease Cycles'!$CP$22:$CV$22,1,BQ248))/12)))),'Lease Cycles'!$C$22*INDEX('Lease Cycles'!$CB$22:$CH$22,1,BQ248)*(1+INDEX('Lease Cycles'!$CI$22:$CO$22,1,BQ248))^INT(INT(BQ249/12)/INDEX('Lease Cycles'!$CP$22:$CV$22,1,BQ248))/12))),IF('Lease Cycles'!$N$22=1,'Lease Cycles'!$C$22*'Lease Cycles'!$E$22*INDEX('Lease Cycles'!$HE$22:$HK$22,1,BQ248)*(1+INDEX('Lease Cycles'!$GQ$22:$GW$22,1,BQ248))^INT(INT((BQ$6-INDEX('Lease Cycles'!$GJ$22:$GP$22,1,BQ248))/12)/INDEX('Lease Cycles'!$GX$22:$HD$22,1,BQ248))/12,0)))</f>
        <v>0</v>
      </c>
      <c r="BR251" s="28">
        <f>IF(BR248=0,IF('Lease Cycles'!$F$22&gt;0,'Lease Cycles'!$C$22*'Lease Cycles'!$E$22/12,0),IF(BR250=1,IF('Lease Cycles'!$AT$22&gt;=9999,'Lease Cycles'!$C$22*INDEX('Lease Cycles'!$CB$22:$CH$22,1,BR248)*(1+INDEX('Lease Cycles'!$CI$22:$CO$22,1,BR248))^INT(INT(BR249/12)/INDEX('Lease Cycles'!$CP$22:$CV$22,1,BR248))/12,IF(BR248=1,IF(BR249&gt;=INDEX('Lease Cycles'!$DK$22:$DQ$22,1,BR248),IF(BR$6&gt;='Lease Cycles'!$AZ$22,'Lease Cycles'!$C$22*'Lease Cycles'!$BA$22/12,IF(BR$6&gt;='Lease Cycles'!$AX$22,'Lease Cycles'!$C$22*'Lease Cycles'!$AY$22/12,IF(BR$6&gt;='Lease Cycles'!$AV$22,'Lease Cycles'!$C$22*'Lease Cycles'!$AW$22/12,IF(BR$6&gt;='Lease Cycles'!$AT$22,'Lease Cycles'!$C$22*'Lease Cycles'!$AU$22/12,'Lease Cycles'!$C$22*INDEX('Lease Cycles'!$CB$22:$CH$22,1,BR248)*(1+INDEX('Lease Cycles'!$CI$22:$CO$22,1,BR248))^INT(INT(BR249/12)/INDEX('Lease Cycles'!$CP$22:$CV$22,1,BR248))/12)))),'Lease Cycles'!$C$22*INDEX('Lease Cycles'!$CB$22:$CH$22,1,BR248)*(1+INDEX('Lease Cycles'!$CI$22:$CO$22,1,BR248))^INT(INT(BR249/12)/INDEX('Lease Cycles'!$CP$22:$CV$22,1,BR248))/12),IF(INDEX('Lease Cycles'!$EF$22:$EL$22,1,BR248)=1,IF(AND('Lease Cycles'!$AZ$22&gt;=INDEX('Lease Cycles'!$BG$22:$BM$22,1,BR248),'Lease Cycles'!$AZ$22&lt;=BR$6),'Lease Cycles'!$C$22*'Lease Cycles'!$BA$22/12,IF(AND('Lease Cycles'!$AX$22&gt;=INDEX('Lease Cycles'!$BG$22:$BM$22,1,BR248),'Lease Cycles'!$AX$22&lt;=BR$6),'Lease Cycles'!$C$22*'Lease Cycles'!$AY$22/12,IF(AND('Lease Cycles'!$AV$22&gt;=INDEX('Lease Cycles'!$BG$22:$BM$22,1,BR248),'Lease Cycles'!$AV$22&lt;=BR$6),'Lease Cycles'!$C$22*'Lease Cycles'!$AW$22/12,IF(AND('Lease Cycles'!$AT$22&gt;=INDEX('Lease Cycles'!$BG$22:$BM$22,1,BR248),'Lease Cycles'!$AT$22&lt;=BR$6),'Lease Cycles'!$C$22*'Lease Cycles'!$AU$22/12,'Lease Cycles'!$C$22*INDEX('Lease Cycles'!$CB$22:$CH$22,1,BR248)*(1+INDEX('Lease Cycles'!$CI$22:$CO$22,1,BR248))^INT(INT(BR249/12)/INDEX('Lease Cycles'!$CP$22:$CV$22,1,BR248))/12)))),'Lease Cycles'!$C$22*INDEX('Lease Cycles'!$CB$22:$CH$22,1,BR248)*(1+INDEX('Lease Cycles'!$CI$22:$CO$22,1,BR248))^INT(INT(BR249/12)/INDEX('Lease Cycles'!$CP$22:$CV$22,1,BR248))/12))),IF('Lease Cycles'!$N$22=1,'Lease Cycles'!$C$22*'Lease Cycles'!$E$22*INDEX('Lease Cycles'!$HE$22:$HK$22,1,BR248)*(1+INDEX('Lease Cycles'!$GQ$22:$GW$22,1,BR248))^INT(INT((BR$6-INDEX('Lease Cycles'!$GJ$22:$GP$22,1,BR248))/12)/INDEX('Lease Cycles'!$GX$22:$HD$22,1,BR248))/12,0)))</f>
        <v>0</v>
      </c>
      <c r="BS251" s="28">
        <f>IF(BS248=0,IF('Lease Cycles'!$F$22&gt;0,'Lease Cycles'!$C$22*'Lease Cycles'!$E$22/12,0),IF(BS250=1,IF('Lease Cycles'!$AT$22&gt;=9999,'Lease Cycles'!$C$22*INDEX('Lease Cycles'!$CB$22:$CH$22,1,BS248)*(1+INDEX('Lease Cycles'!$CI$22:$CO$22,1,BS248))^INT(INT(BS249/12)/INDEX('Lease Cycles'!$CP$22:$CV$22,1,BS248))/12,IF(BS248=1,IF(BS249&gt;=INDEX('Lease Cycles'!$DK$22:$DQ$22,1,BS248),IF(BS$6&gt;='Lease Cycles'!$AZ$22,'Lease Cycles'!$C$22*'Lease Cycles'!$BA$22/12,IF(BS$6&gt;='Lease Cycles'!$AX$22,'Lease Cycles'!$C$22*'Lease Cycles'!$AY$22/12,IF(BS$6&gt;='Lease Cycles'!$AV$22,'Lease Cycles'!$C$22*'Lease Cycles'!$AW$22/12,IF(BS$6&gt;='Lease Cycles'!$AT$22,'Lease Cycles'!$C$22*'Lease Cycles'!$AU$22/12,'Lease Cycles'!$C$22*INDEX('Lease Cycles'!$CB$22:$CH$22,1,BS248)*(1+INDEX('Lease Cycles'!$CI$22:$CO$22,1,BS248))^INT(INT(BS249/12)/INDEX('Lease Cycles'!$CP$22:$CV$22,1,BS248))/12)))),'Lease Cycles'!$C$22*INDEX('Lease Cycles'!$CB$22:$CH$22,1,BS248)*(1+INDEX('Lease Cycles'!$CI$22:$CO$22,1,BS248))^INT(INT(BS249/12)/INDEX('Lease Cycles'!$CP$22:$CV$22,1,BS248))/12),IF(INDEX('Lease Cycles'!$EF$22:$EL$22,1,BS248)=1,IF(AND('Lease Cycles'!$AZ$22&gt;=INDEX('Lease Cycles'!$BG$22:$BM$22,1,BS248),'Lease Cycles'!$AZ$22&lt;=BS$6),'Lease Cycles'!$C$22*'Lease Cycles'!$BA$22/12,IF(AND('Lease Cycles'!$AX$22&gt;=INDEX('Lease Cycles'!$BG$22:$BM$22,1,BS248),'Lease Cycles'!$AX$22&lt;=BS$6),'Lease Cycles'!$C$22*'Lease Cycles'!$AY$22/12,IF(AND('Lease Cycles'!$AV$22&gt;=INDEX('Lease Cycles'!$BG$22:$BM$22,1,BS248),'Lease Cycles'!$AV$22&lt;=BS$6),'Lease Cycles'!$C$22*'Lease Cycles'!$AW$22/12,IF(AND('Lease Cycles'!$AT$22&gt;=INDEX('Lease Cycles'!$BG$22:$BM$22,1,BS248),'Lease Cycles'!$AT$22&lt;=BS$6),'Lease Cycles'!$C$22*'Lease Cycles'!$AU$22/12,'Lease Cycles'!$C$22*INDEX('Lease Cycles'!$CB$22:$CH$22,1,BS248)*(1+INDEX('Lease Cycles'!$CI$22:$CO$22,1,BS248))^INT(INT(BS249/12)/INDEX('Lease Cycles'!$CP$22:$CV$22,1,BS248))/12)))),'Lease Cycles'!$C$22*INDEX('Lease Cycles'!$CB$22:$CH$22,1,BS248)*(1+INDEX('Lease Cycles'!$CI$22:$CO$22,1,BS248))^INT(INT(BS249/12)/INDEX('Lease Cycles'!$CP$22:$CV$22,1,BS248))/12))),IF('Lease Cycles'!$N$22=1,'Lease Cycles'!$C$22*'Lease Cycles'!$E$22*INDEX('Lease Cycles'!$HE$22:$HK$22,1,BS248)*(1+INDEX('Lease Cycles'!$GQ$22:$GW$22,1,BS248))^INT(INT((BS$6-INDEX('Lease Cycles'!$GJ$22:$GP$22,1,BS248))/12)/INDEX('Lease Cycles'!$GX$22:$HD$22,1,BS248))/12,0)))</f>
        <v>0</v>
      </c>
      <c r="BT251" s="28">
        <f>IF(BT248=0,IF('Lease Cycles'!$F$22&gt;0,'Lease Cycles'!$C$22*'Lease Cycles'!$E$22/12,0),IF(BT250=1,IF('Lease Cycles'!$AT$22&gt;=9999,'Lease Cycles'!$C$22*INDEX('Lease Cycles'!$CB$22:$CH$22,1,BT248)*(1+INDEX('Lease Cycles'!$CI$22:$CO$22,1,BT248))^INT(INT(BT249/12)/INDEX('Lease Cycles'!$CP$22:$CV$22,1,BT248))/12,IF(BT248=1,IF(BT249&gt;=INDEX('Lease Cycles'!$DK$22:$DQ$22,1,BT248),IF(BT$6&gt;='Lease Cycles'!$AZ$22,'Lease Cycles'!$C$22*'Lease Cycles'!$BA$22/12,IF(BT$6&gt;='Lease Cycles'!$AX$22,'Lease Cycles'!$C$22*'Lease Cycles'!$AY$22/12,IF(BT$6&gt;='Lease Cycles'!$AV$22,'Lease Cycles'!$C$22*'Lease Cycles'!$AW$22/12,IF(BT$6&gt;='Lease Cycles'!$AT$22,'Lease Cycles'!$C$22*'Lease Cycles'!$AU$22/12,'Lease Cycles'!$C$22*INDEX('Lease Cycles'!$CB$22:$CH$22,1,BT248)*(1+INDEX('Lease Cycles'!$CI$22:$CO$22,1,BT248))^INT(INT(BT249/12)/INDEX('Lease Cycles'!$CP$22:$CV$22,1,BT248))/12)))),'Lease Cycles'!$C$22*INDEX('Lease Cycles'!$CB$22:$CH$22,1,BT248)*(1+INDEX('Lease Cycles'!$CI$22:$CO$22,1,BT248))^INT(INT(BT249/12)/INDEX('Lease Cycles'!$CP$22:$CV$22,1,BT248))/12),IF(INDEX('Lease Cycles'!$EF$22:$EL$22,1,BT248)=1,IF(AND('Lease Cycles'!$AZ$22&gt;=INDEX('Lease Cycles'!$BG$22:$BM$22,1,BT248),'Lease Cycles'!$AZ$22&lt;=BT$6),'Lease Cycles'!$C$22*'Lease Cycles'!$BA$22/12,IF(AND('Lease Cycles'!$AX$22&gt;=INDEX('Lease Cycles'!$BG$22:$BM$22,1,BT248),'Lease Cycles'!$AX$22&lt;=BT$6),'Lease Cycles'!$C$22*'Lease Cycles'!$AY$22/12,IF(AND('Lease Cycles'!$AV$22&gt;=INDEX('Lease Cycles'!$BG$22:$BM$22,1,BT248),'Lease Cycles'!$AV$22&lt;=BT$6),'Lease Cycles'!$C$22*'Lease Cycles'!$AW$22/12,IF(AND('Lease Cycles'!$AT$22&gt;=INDEX('Lease Cycles'!$BG$22:$BM$22,1,BT248),'Lease Cycles'!$AT$22&lt;=BT$6),'Lease Cycles'!$C$22*'Lease Cycles'!$AU$22/12,'Lease Cycles'!$C$22*INDEX('Lease Cycles'!$CB$22:$CH$22,1,BT248)*(1+INDEX('Lease Cycles'!$CI$22:$CO$22,1,BT248))^INT(INT(BT249/12)/INDEX('Lease Cycles'!$CP$22:$CV$22,1,BT248))/12)))),'Lease Cycles'!$C$22*INDEX('Lease Cycles'!$CB$22:$CH$22,1,BT248)*(1+INDEX('Lease Cycles'!$CI$22:$CO$22,1,BT248))^INT(INT(BT249/12)/INDEX('Lease Cycles'!$CP$22:$CV$22,1,BT248))/12))),IF('Lease Cycles'!$N$22=1,'Lease Cycles'!$C$22*'Lease Cycles'!$E$22*INDEX('Lease Cycles'!$HE$22:$HK$22,1,BT248)*(1+INDEX('Lease Cycles'!$GQ$22:$GW$22,1,BT248))^INT(INT((BT$6-INDEX('Lease Cycles'!$GJ$22:$GP$22,1,BT248))/12)/INDEX('Lease Cycles'!$GX$22:$HD$22,1,BT248))/12,0)))</f>
        <v>0</v>
      </c>
      <c r="BU251" s="28">
        <f>IF(BU248=0,IF('Lease Cycles'!$F$22&gt;0,'Lease Cycles'!$C$22*'Lease Cycles'!$E$22/12,0),IF(BU250=1,IF('Lease Cycles'!$AT$22&gt;=9999,'Lease Cycles'!$C$22*INDEX('Lease Cycles'!$CB$22:$CH$22,1,BU248)*(1+INDEX('Lease Cycles'!$CI$22:$CO$22,1,BU248))^INT(INT(BU249/12)/INDEX('Lease Cycles'!$CP$22:$CV$22,1,BU248))/12,IF(BU248=1,IF(BU249&gt;=INDEX('Lease Cycles'!$DK$22:$DQ$22,1,BU248),IF(BU$6&gt;='Lease Cycles'!$AZ$22,'Lease Cycles'!$C$22*'Lease Cycles'!$BA$22/12,IF(BU$6&gt;='Lease Cycles'!$AX$22,'Lease Cycles'!$C$22*'Lease Cycles'!$AY$22/12,IF(BU$6&gt;='Lease Cycles'!$AV$22,'Lease Cycles'!$C$22*'Lease Cycles'!$AW$22/12,IF(BU$6&gt;='Lease Cycles'!$AT$22,'Lease Cycles'!$C$22*'Lease Cycles'!$AU$22/12,'Lease Cycles'!$C$22*INDEX('Lease Cycles'!$CB$22:$CH$22,1,BU248)*(1+INDEX('Lease Cycles'!$CI$22:$CO$22,1,BU248))^INT(INT(BU249/12)/INDEX('Lease Cycles'!$CP$22:$CV$22,1,BU248))/12)))),'Lease Cycles'!$C$22*INDEX('Lease Cycles'!$CB$22:$CH$22,1,BU248)*(1+INDEX('Lease Cycles'!$CI$22:$CO$22,1,BU248))^INT(INT(BU249/12)/INDEX('Lease Cycles'!$CP$22:$CV$22,1,BU248))/12),IF(INDEX('Lease Cycles'!$EF$22:$EL$22,1,BU248)=1,IF(AND('Lease Cycles'!$AZ$22&gt;=INDEX('Lease Cycles'!$BG$22:$BM$22,1,BU248),'Lease Cycles'!$AZ$22&lt;=BU$6),'Lease Cycles'!$C$22*'Lease Cycles'!$BA$22/12,IF(AND('Lease Cycles'!$AX$22&gt;=INDEX('Lease Cycles'!$BG$22:$BM$22,1,BU248),'Lease Cycles'!$AX$22&lt;=BU$6),'Lease Cycles'!$C$22*'Lease Cycles'!$AY$22/12,IF(AND('Lease Cycles'!$AV$22&gt;=INDEX('Lease Cycles'!$BG$22:$BM$22,1,BU248),'Lease Cycles'!$AV$22&lt;=BU$6),'Lease Cycles'!$C$22*'Lease Cycles'!$AW$22/12,IF(AND('Lease Cycles'!$AT$22&gt;=INDEX('Lease Cycles'!$BG$22:$BM$22,1,BU248),'Lease Cycles'!$AT$22&lt;=BU$6),'Lease Cycles'!$C$22*'Lease Cycles'!$AU$22/12,'Lease Cycles'!$C$22*INDEX('Lease Cycles'!$CB$22:$CH$22,1,BU248)*(1+INDEX('Lease Cycles'!$CI$22:$CO$22,1,BU248))^INT(INT(BU249/12)/INDEX('Lease Cycles'!$CP$22:$CV$22,1,BU248))/12)))),'Lease Cycles'!$C$22*INDEX('Lease Cycles'!$CB$22:$CH$22,1,BU248)*(1+INDEX('Lease Cycles'!$CI$22:$CO$22,1,BU248))^INT(INT(BU249/12)/INDEX('Lease Cycles'!$CP$22:$CV$22,1,BU248))/12))),IF('Lease Cycles'!$N$22=1,'Lease Cycles'!$C$22*'Lease Cycles'!$E$22*INDEX('Lease Cycles'!$HE$22:$HK$22,1,BU248)*(1+INDEX('Lease Cycles'!$GQ$22:$GW$22,1,BU248))^INT(INT((BU$6-INDEX('Lease Cycles'!$GJ$22:$GP$22,1,BU248))/12)/INDEX('Lease Cycles'!$GX$22:$HD$22,1,BU248))/12,0)))</f>
        <v>0</v>
      </c>
      <c r="BV251" s="28">
        <f>IF(BV248=0,IF('Lease Cycles'!$F$22&gt;0,'Lease Cycles'!$C$22*'Lease Cycles'!$E$22/12,0),IF(BV250=1,IF('Lease Cycles'!$AT$22&gt;=9999,'Lease Cycles'!$C$22*INDEX('Lease Cycles'!$CB$22:$CH$22,1,BV248)*(1+INDEX('Lease Cycles'!$CI$22:$CO$22,1,BV248))^INT(INT(BV249/12)/INDEX('Lease Cycles'!$CP$22:$CV$22,1,BV248))/12,IF(BV248=1,IF(BV249&gt;=INDEX('Lease Cycles'!$DK$22:$DQ$22,1,BV248),IF(BV$6&gt;='Lease Cycles'!$AZ$22,'Lease Cycles'!$C$22*'Lease Cycles'!$BA$22/12,IF(BV$6&gt;='Lease Cycles'!$AX$22,'Lease Cycles'!$C$22*'Lease Cycles'!$AY$22/12,IF(BV$6&gt;='Lease Cycles'!$AV$22,'Lease Cycles'!$C$22*'Lease Cycles'!$AW$22/12,IF(BV$6&gt;='Lease Cycles'!$AT$22,'Lease Cycles'!$C$22*'Lease Cycles'!$AU$22/12,'Lease Cycles'!$C$22*INDEX('Lease Cycles'!$CB$22:$CH$22,1,BV248)*(1+INDEX('Lease Cycles'!$CI$22:$CO$22,1,BV248))^INT(INT(BV249/12)/INDEX('Lease Cycles'!$CP$22:$CV$22,1,BV248))/12)))),'Lease Cycles'!$C$22*INDEX('Lease Cycles'!$CB$22:$CH$22,1,BV248)*(1+INDEX('Lease Cycles'!$CI$22:$CO$22,1,BV248))^INT(INT(BV249/12)/INDEX('Lease Cycles'!$CP$22:$CV$22,1,BV248))/12),IF(INDEX('Lease Cycles'!$EF$22:$EL$22,1,BV248)=1,IF(AND('Lease Cycles'!$AZ$22&gt;=INDEX('Lease Cycles'!$BG$22:$BM$22,1,BV248),'Lease Cycles'!$AZ$22&lt;=BV$6),'Lease Cycles'!$C$22*'Lease Cycles'!$BA$22/12,IF(AND('Lease Cycles'!$AX$22&gt;=INDEX('Lease Cycles'!$BG$22:$BM$22,1,BV248),'Lease Cycles'!$AX$22&lt;=BV$6),'Lease Cycles'!$C$22*'Lease Cycles'!$AY$22/12,IF(AND('Lease Cycles'!$AV$22&gt;=INDEX('Lease Cycles'!$BG$22:$BM$22,1,BV248),'Lease Cycles'!$AV$22&lt;=BV$6),'Lease Cycles'!$C$22*'Lease Cycles'!$AW$22/12,IF(AND('Lease Cycles'!$AT$22&gt;=INDEX('Lease Cycles'!$BG$22:$BM$22,1,BV248),'Lease Cycles'!$AT$22&lt;=BV$6),'Lease Cycles'!$C$22*'Lease Cycles'!$AU$22/12,'Lease Cycles'!$C$22*INDEX('Lease Cycles'!$CB$22:$CH$22,1,BV248)*(1+INDEX('Lease Cycles'!$CI$22:$CO$22,1,BV248))^INT(INT(BV249/12)/INDEX('Lease Cycles'!$CP$22:$CV$22,1,BV248))/12)))),'Lease Cycles'!$C$22*INDEX('Lease Cycles'!$CB$22:$CH$22,1,BV248)*(1+INDEX('Lease Cycles'!$CI$22:$CO$22,1,BV248))^INT(INT(BV249/12)/INDEX('Lease Cycles'!$CP$22:$CV$22,1,BV248))/12))),IF('Lease Cycles'!$N$22=1,'Lease Cycles'!$C$22*'Lease Cycles'!$E$22*INDEX('Lease Cycles'!$HE$22:$HK$22,1,BV248)*(1+INDEX('Lease Cycles'!$GQ$22:$GW$22,1,BV248))^INT(INT((BV$6-INDEX('Lease Cycles'!$GJ$22:$GP$22,1,BV248))/12)/INDEX('Lease Cycles'!$GX$22:$HD$22,1,BV248))/12,0)))</f>
        <v>0</v>
      </c>
      <c r="BW251" s="28">
        <f>IF(BW248=0,IF('Lease Cycles'!$F$22&gt;0,'Lease Cycles'!$C$22*'Lease Cycles'!$E$22/12,0),IF(BW250=1,IF('Lease Cycles'!$AT$22&gt;=9999,'Lease Cycles'!$C$22*INDEX('Lease Cycles'!$CB$22:$CH$22,1,BW248)*(1+INDEX('Lease Cycles'!$CI$22:$CO$22,1,BW248))^INT(INT(BW249/12)/INDEX('Lease Cycles'!$CP$22:$CV$22,1,BW248))/12,IF(BW248=1,IF(BW249&gt;=INDEX('Lease Cycles'!$DK$22:$DQ$22,1,BW248),IF(BW$6&gt;='Lease Cycles'!$AZ$22,'Lease Cycles'!$C$22*'Lease Cycles'!$BA$22/12,IF(BW$6&gt;='Lease Cycles'!$AX$22,'Lease Cycles'!$C$22*'Lease Cycles'!$AY$22/12,IF(BW$6&gt;='Lease Cycles'!$AV$22,'Lease Cycles'!$C$22*'Lease Cycles'!$AW$22/12,IF(BW$6&gt;='Lease Cycles'!$AT$22,'Lease Cycles'!$C$22*'Lease Cycles'!$AU$22/12,'Lease Cycles'!$C$22*INDEX('Lease Cycles'!$CB$22:$CH$22,1,BW248)*(1+INDEX('Lease Cycles'!$CI$22:$CO$22,1,BW248))^INT(INT(BW249/12)/INDEX('Lease Cycles'!$CP$22:$CV$22,1,BW248))/12)))),'Lease Cycles'!$C$22*INDEX('Lease Cycles'!$CB$22:$CH$22,1,BW248)*(1+INDEX('Lease Cycles'!$CI$22:$CO$22,1,BW248))^INT(INT(BW249/12)/INDEX('Lease Cycles'!$CP$22:$CV$22,1,BW248))/12),IF(INDEX('Lease Cycles'!$EF$22:$EL$22,1,BW248)=1,IF(AND('Lease Cycles'!$AZ$22&gt;=INDEX('Lease Cycles'!$BG$22:$BM$22,1,BW248),'Lease Cycles'!$AZ$22&lt;=BW$6),'Lease Cycles'!$C$22*'Lease Cycles'!$BA$22/12,IF(AND('Lease Cycles'!$AX$22&gt;=INDEX('Lease Cycles'!$BG$22:$BM$22,1,BW248),'Lease Cycles'!$AX$22&lt;=BW$6),'Lease Cycles'!$C$22*'Lease Cycles'!$AY$22/12,IF(AND('Lease Cycles'!$AV$22&gt;=INDEX('Lease Cycles'!$BG$22:$BM$22,1,BW248),'Lease Cycles'!$AV$22&lt;=BW$6),'Lease Cycles'!$C$22*'Lease Cycles'!$AW$22/12,IF(AND('Lease Cycles'!$AT$22&gt;=INDEX('Lease Cycles'!$BG$22:$BM$22,1,BW248),'Lease Cycles'!$AT$22&lt;=BW$6),'Lease Cycles'!$C$22*'Lease Cycles'!$AU$22/12,'Lease Cycles'!$C$22*INDEX('Lease Cycles'!$CB$22:$CH$22,1,BW248)*(1+INDEX('Lease Cycles'!$CI$22:$CO$22,1,BW248))^INT(INT(BW249/12)/INDEX('Lease Cycles'!$CP$22:$CV$22,1,BW248))/12)))),'Lease Cycles'!$C$22*INDEX('Lease Cycles'!$CB$22:$CH$22,1,BW248)*(1+INDEX('Lease Cycles'!$CI$22:$CO$22,1,BW248))^INT(INT(BW249/12)/INDEX('Lease Cycles'!$CP$22:$CV$22,1,BW248))/12))),IF('Lease Cycles'!$N$22=1,'Lease Cycles'!$C$22*'Lease Cycles'!$E$22*INDEX('Lease Cycles'!$HE$22:$HK$22,1,BW248)*(1+INDEX('Lease Cycles'!$GQ$22:$GW$22,1,BW248))^INT(INT((BW$6-INDEX('Lease Cycles'!$GJ$22:$GP$22,1,BW248))/12)/INDEX('Lease Cycles'!$GX$22:$HD$22,1,BW248))/12,0)))</f>
        <v>0</v>
      </c>
      <c r="BX251" s="28">
        <f>IF(BX248=0,IF('Lease Cycles'!$F$22&gt;0,'Lease Cycles'!$C$22*'Lease Cycles'!$E$22/12,0),IF(BX250=1,IF('Lease Cycles'!$AT$22&gt;=9999,'Lease Cycles'!$C$22*INDEX('Lease Cycles'!$CB$22:$CH$22,1,BX248)*(1+INDEX('Lease Cycles'!$CI$22:$CO$22,1,BX248))^INT(INT(BX249/12)/INDEX('Lease Cycles'!$CP$22:$CV$22,1,BX248))/12,IF(BX248=1,IF(BX249&gt;=INDEX('Lease Cycles'!$DK$22:$DQ$22,1,BX248),IF(BX$6&gt;='Lease Cycles'!$AZ$22,'Lease Cycles'!$C$22*'Lease Cycles'!$BA$22/12,IF(BX$6&gt;='Lease Cycles'!$AX$22,'Lease Cycles'!$C$22*'Lease Cycles'!$AY$22/12,IF(BX$6&gt;='Lease Cycles'!$AV$22,'Lease Cycles'!$C$22*'Lease Cycles'!$AW$22/12,IF(BX$6&gt;='Lease Cycles'!$AT$22,'Lease Cycles'!$C$22*'Lease Cycles'!$AU$22/12,'Lease Cycles'!$C$22*INDEX('Lease Cycles'!$CB$22:$CH$22,1,BX248)*(1+INDEX('Lease Cycles'!$CI$22:$CO$22,1,BX248))^INT(INT(BX249/12)/INDEX('Lease Cycles'!$CP$22:$CV$22,1,BX248))/12)))),'Lease Cycles'!$C$22*INDEX('Lease Cycles'!$CB$22:$CH$22,1,BX248)*(1+INDEX('Lease Cycles'!$CI$22:$CO$22,1,BX248))^INT(INT(BX249/12)/INDEX('Lease Cycles'!$CP$22:$CV$22,1,BX248))/12),IF(INDEX('Lease Cycles'!$EF$22:$EL$22,1,BX248)=1,IF(AND('Lease Cycles'!$AZ$22&gt;=INDEX('Lease Cycles'!$BG$22:$BM$22,1,BX248),'Lease Cycles'!$AZ$22&lt;=BX$6),'Lease Cycles'!$C$22*'Lease Cycles'!$BA$22/12,IF(AND('Lease Cycles'!$AX$22&gt;=INDEX('Lease Cycles'!$BG$22:$BM$22,1,BX248),'Lease Cycles'!$AX$22&lt;=BX$6),'Lease Cycles'!$C$22*'Lease Cycles'!$AY$22/12,IF(AND('Lease Cycles'!$AV$22&gt;=INDEX('Lease Cycles'!$BG$22:$BM$22,1,BX248),'Lease Cycles'!$AV$22&lt;=BX$6),'Lease Cycles'!$C$22*'Lease Cycles'!$AW$22/12,IF(AND('Lease Cycles'!$AT$22&gt;=INDEX('Lease Cycles'!$BG$22:$BM$22,1,BX248),'Lease Cycles'!$AT$22&lt;=BX$6),'Lease Cycles'!$C$22*'Lease Cycles'!$AU$22/12,'Lease Cycles'!$C$22*INDEX('Lease Cycles'!$CB$22:$CH$22,1,BX248)*(1+INDEX('Lease Cycles'!$CI$22:$CO$22,1,BX248))^INT(INT(BX249/12)/INDEX('Lease Cycles'!$CP$22:$CV$22,1,BX248))/12)))),'Lease Cycles'!$C$22*INDEX('Lease Cycles'!$CB$22:$CH$22,1,BX248)*(1+INDEX('Lease Cycles'!$CI$22:$CO$22,1,BX248))^INT(INT(BX249/12)/INDEX('Lease Cycles'!$CP$22:$CV$22,1,BX248))/12))),IF('Lease Cycles'!$N$22=1,'Lease Cycles'!$C$22*'Lease Cycles'!$E$22*INDEX('Lease Cycles'!$HE$22:$HK$22,1,BX248)*(1+INDEX('Lease Cycles'!$GQ$22:$GW$22,1,BX248))^INT(INT((BX$6-INDEX('Lease Cycles'!$GJ$22:$GP$22,1,BX248))/12)/INDEX('Lease Cycles'!$GX$22:$HD$22,1,BX248))/12,0)))</f>
        <v>0</v>
      </c>
      <c r="BY251" s="28">
        <f>IF(BY248=0,IF('Lease Cycles'!$F$22&gt;0,'Lease Cycles'!$C$22*'Lease Cycles'!$E$22/12,0),IF(BY250=1,IF('Lease Cycles'!$AT$22&gt;=9999,'Lease Cycles'!$C$22*INDEX('Lease Cycles'!$CB$22:$CH$22,1,BY248)*(1+INDEX('Lease Cycles'!$CI$22:$CO$22,1,BY248))^INT(INT(BY249/12)/INDEX('Lease Cycles'!$CP$22:$CV$22,1,BY248))/12,IF(BY248=1,IF(BY249&gt;=INDEX('Lease Cycles'!$DK$22:$DQ$22,1,BY248),IF(BY$6&gt;='Lease Cycles'!$AZ$22,'Lease Cycles'!$C$22*'Lease Cycles'!$BA$22/12,IF(BY$6&gt;='Lease Cycles'!$AX$22,'Lease Cycles'!$C$22*'Lease Cycles'!$AY$22/12,IF(BY$6&gt;='Lease Cycles'!$AV$22,'Lease Cycles'!$C$22*'Lease Cycles'!$AW$22/12,IF(BY$6&gt;='Lease Cycles'!$AT$22,'Lease Cycles'!$C$22*'Lease Cycles'!$AU$22/12,'Lease Cycles'!$C$22*INDEX('Lease Cycles'!$CB$22:$CH$22,1,BY248)*(1+INDEX('Lease Cycles'!$CI$22:$CO$22,1,BY248))^INT(INT(BY249/12)/INDEX('Lease Cycles'!$CP$22:$CV$22,1,BY248))/12)))),'Lease Cycles'!$C$22*INDEX('Lease Cycles'!$CB$22:$CH$22,1,BY248)*(1+INDEX('Lease Cycles'!$CI$22:$CO$22,1,BY248))^INT(INT(BY249/12)/INDEX('Lease Cycles'!$CP$22:$CV$22,1,BY248))/12),IF(INDEX('Lease Cycles'!$EF$22:$EL$22,1,BY248)=1,IF(AND('Lease Cycles'!$AZ$22&gt;=INDEX('Lease Cycles'!$BG$22:$BM$22,1,BY248),'Lease Cycles'!$AZ$22&lt;=BY$6),'Lease Cycles'!$C$22*'Lease Cycles'!$BA$22/12,IF(AND('Lease Cycles'!$AX$22&gt;=INDEX('Lease Cycles'!$BG$22:$BM$22,1,BY248),'Lease Cycles'!$AX$22&lt;=BY$6),'Lease Cycles'!$C$22*'Lease Cycles'!$AY$22/12,IF(AND('Lease Cycles'!$AV$22&gt;=INDEX('Lease Cycles'!$BG$22:$BM$22,1,BY248),'Lease Cycles'!$AV$22&lt;=BY$6),'Lease Cycles'!$C$22*'Lease Cycles'!$AW$22/12,IF(AND('Lease Cycles'!$AT$22&gt;=INDEX('Lease Cycles'!$BG$22:$BM$22,1,BY248),'Lease Cycles'!$AT$22&lt;=BY$6),'Lease Cycles'!$C$22*'Lease Cycles'!$AU$22/12,'Lease Cycles'!$C$22*INDEX('Lease Cycles'!$CB$22:$CH$22,1,BY248)*(1+INDEX('Lease Cycles'!$CI$22:$CO$22,1,BY248))^INT(INT(BY249/12)/INDEX('Lease Cycles'!$CP$22:$CV$22,1,BY248))/12)))),'Lease Cycles'!$C$22*INDEX('Lease Cycles'!$CB$22:$CH$22,1,BY248)*(1+INDEX('Lease Cycles'!$CI$22:$CO$22,1,BY248))^INT(INT(BY249/12)/INDEX('Lease Cycles'!$CP$22:$CV$22,1,BY248))/12))),IF('Lease Cycles'!$N$22=1,'Lease Cycles'!$C$22*'Lease Cycles'!$E$22*INDEX('Lease Cycles'!$HE$22:$HK$22,1,BY248)*(1+INDEX('Lease Cycles'!$GQ$22:$GW$22,1,BY248))^INT(INT((BY$6-INDEX('Lease Cycles'!$GJ$22:$GP$22,1,BY248))/12)/INDEX('Lease Cycles'!$GX$22:$HD$22,1,BY248))/12,0)))</f>
        <v>0</v>
      </c>
      <c r="BZ251" s="28">
        <f>IF(BZ248=0,IF('Lease Cycles'!$F$22&gt;0,'Lease Cycles'!$C$22*'Lease Cycles'!$E$22/12,0),IF(BZ250=1,IF('Lease Cycles'!$AT$22&gt;=9999,'Lease Cycles'!$C$22*INDEX('Lease Cycles'!$CB$22:$CH$22,1,BZ248)*(1+INDEX('Lease Cycles'!$CI$22:$CO$22,1,BZ248))^INT(INT(BZ249/12)/INDEX('Lease Cycles'!$CP$22:$CV$22,1,BZ248))/12,IF(BZ248=1,IF(BZ249&gt;=INDEX('Lease Cycles'!$DK$22:$DQ$22,1,BZ248),IF(BZ$6&gt;='Lease Cycles'!$AZ$22,'Lease Cycles'!$C$22*'Lease Cycles'!$BA$22/12,IF(BZ$6&gt;='Lease Cycles'!$AX$22,'Lease Cycles'!$C$22*'Lease Cycles'!$AY$22/12,IF(BZ$6&gt;='Lease Cycles'!$AV$22,'Lease Cycles'!$C$22*'Lease Cycles'!$AW$22/12,IF(BZ$6&gt;='Lease Cycles'!$AT$22,'Lease Cycles'!$C$22*'Lease Cycles'!$AU$22/12,'Lease Cycles'!$C$22*INDEX('Lease Cycles'!$CB$22:$CH$22,1,BZ248)*(1+INDEX('Lease Cycles'!$CI$22:$CO$22,1,BZ248))^INT(INT(BZ249/12)/INDEX('Lease Cycles'!$CP$22:$CV$22,1,BZ248))/12)))),'Lease Cycles'!$C$22*INDEX('Lease Cycles'!$CB$22:$CH$22,1,BZ248)*(1+INDEX('Lease Cycles'!$CI$22:$CO$22,1,BZ248))^INT(INT(BZ249/12)/INDEX('Lease Cycles'!$CP$22:$CV$22,1,BZ248))/12),IF(INDEX('Lease Cycles'!$EF$22:$EL$22,1,BZ248)=1,IF(AND('Lease Cycles'!$AZ$22&gt;=INDEX('Lease Cycles'!$BG$22:$BM$22,1,BZ248),'Lease Cycles'!$AZ$22&lt;=BZ$6),'Lease Cycles'!$C$22*'Lease Cycles'!$BA$22/12,IF(AND('Lease Cycles'!$AX$22&gt;=INDEX('Lease Cycles'!$BG$22:$BM$22,1,BZ248),'Lease Cycles'!$AX$22&lt;=BZ$6),'Lease Cycles'!$C$22*'Lease Cycles'!$AY$22/12,IF(AND('Lease Cycles'!$AV$22&gt;=INDEX('Lease Cycles'!$BG$22:$BM$22,1,BZ248),'Lease Cycles'!$AV$22&lt;=BZ$6),'Lease Cycles'!$C$22*'Lease Cycles'!$AW$22/12,IF(AND('Lease Cycles'!$AT$22&gt;=INDEX('Lease Cycles'!$BG$22:$BM$22,1,BZ248),'Lease Cycles'!$AT$22&lt;=BZ$6),'Lease Cycles'!$C$22*'Lease Cycles'!$AU$22/12,'Lease Cycles'!$C$22*INDEX('Lease Cycles'!$CB$22:$CH$22,1,BZ248)*(1+INDEX('Lease Cycles'!$CI$22:$CO$22,1,BZ248))^INT(INT(BZ249/12)/INDEX('Lease Cycles'!$CP$22:$CV$22,1,BZ248))/12)))),'Lease Cycles'!$C$22*INDEX('Lease Cycles'!$CB$22:$CH$22,1,BZ248)*(1+INDEX('Lease Cycles'!$CI$22:$CO$22,1,BZ248))^INT(INT(BZ249/12)/INDEX('Lease Cycles'!$CP$22:$CV$22,1,BZ248))/12))),IF('Lease Cycles'!$N$22=1,'Lease Cycles'!$C$22*'Lease Cycles'!$E$22*INDEX('Lease Cycles'!$HE$22:$HK$22,1,BZ248)*(1+INDEX('Lease Cycles'!$GQ$22:$GW$22,1,BZ248))^INT(INT((BZ$6-INDEX('Lease Cycles'!$GJ$22:$GP$22,1,BZ248))/12)/INDEX('Lease Cycles'!$GX$22:$HD$22,1,BZ248))/12,0)))</f>
        <v>0</v>
      </c>
      <c r="CA251" s="28">
        <f>IF(CA248=0,IF('Lease Cycles'!$F$22&gt;0,'Lease Cycles'!$C$22*'Lease Cycles'!$E$22/12,0),IF(CA250=1,IF('Lease Cycles'!$AT$22&gt;=9999,'Lease Cycles'!$C$22*INDEX('Lease Cycles'!$CB$22:$CH$22,1,CA248)*(1+INDEX('Lease Cycles'!$CI$22:$CO$22,1,CA248))^INT(INT(CA249/12)/INDEX('Lease Cycles'!$CP$22:$CV$22,1,CA248))/12,IF(CA248=1,IF(CA249&gt;=INDEX('Lease Cycles'!$DK$22:$DQ$22,1,CA248),IF(CA$6&gt;='Lease Cycles'!$AZ$22,'Lease Cycles'!$C$22*'Lease Cycles'!$BA$22/12,IF(CA$6&gt;='Lease Cycles'!$AX$22,'Lease Cycles'!$C$22*'Lease Cycles'!$AY$22/12,IF(CA$6&gt;='Lease Cycles'!$AV$22,'Lease Cycles'!$C$22*'Lease Cycles'!$AW$22/12,IF(CA$6&gt;='Lease Cycles'!$AT$22,'Lease Cycles'!$C$22*'Lease Cycles'!$AU$22/12,'Lease Cycles'!$C$22*INDEX('Lease Cycles'!$CB$22:$CH$22,1,CA248)*(1+INDEX('Lease Cycles'!$CI$22:$CO$22,1,CA248))^INT(INT(CA249/12)/INDEX('Lease Cycles'!$CP$22:$CV$22,1,CA248))/12)))),'Lease Cycles'!$C$22*INDEX('Lease Cycles'!$CB$22:$CH$22,1,CA248)*(1+INDEX('Lease Cycles'!$CI$22:$CO$22,1,CA248))^INT(INT(CA249/12)/INDEX('Lease Cycles'!$CP$22:$CV$22,1,CA248))/12),IF(INDEX('Lease Cycles'!$EF$22:$EL$22,1,CA248)=1,IF(AND('Lease Cycles'!$AZ$22&gt;=INDEX('Lease Cycles'!$BG$22:$BM$22,1,CA248),'Lease Cycles'!$AZ$22&lt;=CA$6),'Lease Cycles'!$C$22*'Lease Cycles'!$BA$22/12,IF(AND('Lease Cycles'!$AX$22&gt;=INDEX('Lease Cycles'!$BG$22:$BM$22,1,CA248),'Lease Cycles'!$AX$22&lt;=CA$6),'Lease Cycles'!$C$22*'Lease Cycles'!$AY$22/12,IF(AND('Lease Cycles'!$AV$22&gt;=INDEX('Lease Cycles'!$BG$22:$BM$22,1,CA248),'Lease Cycles'!$AV$22&lt;=CA$6),'Lease Cycles'!$C$22*'Lease Cycles'!$AW$22/12,IF(AND('Lease Cycles'!$AT$22&gt;=INDEX('Lease Cycles'!$BG$22:$BM$22,1,CA248),'Lease Cycles'!$AT$22&lt;=CA$6),'Lease Cycles'!$C$22*'Lease Cycles'!$AU$22/12,'Lease Cycles'!$C$22*INDEX('Lease Cycles'!$CB$22:$CH$22,1,CA248)*(1+INDEX('Lease Cycles'!$CI$22:$CO$22,1,CA248))^INT(INT(CA249/12)/INDEX('Lease Cycles'!$CP$22:$CV$22,1,CA248))/12)))),'Lease Cycles'!$C$22*INDEX('Lease Cycles'!$CB$22:$CH$22,1,CA248)*(1+INDEX('Lease Cycles'!$CI$22:$CO$22,1,CA248))^INT(INT(CA249/12)/INDEX('Lease Cycles'!$CP$22:$CV$22,1,CA248))/12))),IF('Lease Cycles'!$N$22=1,'Lease Cycles'!$C$22*'Lease Cycles'!$E$22*INDEX('Lease Cycles'!$HE$22:$HK$22,1,CA248)*(1+INDEX('Lease Cycles'!$GQ$22:$GW$22,1,CA248))^INT(INT((CA$6-INDEX('Lease Cycles'!$GJ$22:$GP$22,1,CA248))/12)/INDEX('Lease Cycles'!$GX$22:$HD$22,1,CA248))/12,0)))</f>
        <v>0</v>
      </c>
      <c r="CB251" s="28">
        <f>IF(CB248=0,IF('Lease Cycles'!$F$22&gt;0,'Lease Cycles'!$C$22*'Lease Cycles'!$E$22/12,0),IF(CB250=1,IF('Lease Cycles'!$AT$22&gt;=9999,'Lease Cycles'!$C$22*INDEX('Lease Cycles'!$CB$22:$CH$22,1,CB248)*(1+INDEX('Lease Cycles'!$CI$22:$CO$22,1,CB248))^INT(INT(CB249/12)/INDEX('Lease Cycles'!$CP$22:$CV$22,1,CB248))/12,IF(CB248=1,IF(CB249&gt;=INDEX('Lease Cycles'!$DK$22:$DQ$22,1,CB248),IF(CB$6&gt;='Lease Cycles'!$AZ$22,'Lease Cycles'!$C$22*'Lease Cycles'!$BA$22/12,IF(CB$6&gt;='Lease Cycles'!$AX$22,'Lease Cycles'!$C$22*'Lease Cycles'!$AY$22/12,IF(CB$6&gt;='Lease Cycles'!$AV$22,'Lease Cycles'!$C$22*'Lease Cycles'!$AW$22/12,IF(CB$6&gt;='Lease Cycles'!$AT$22,'Lease Cycles'!$C$22*'Lease Cycles'!$AU$22/12,'Lease Cycles'!$C$22*INDEX('Lease Cycles'!$CB$22:$CH$22,1,CB248)*(1+INDEX('Lease Cycles'!$CI$22:$CO$22,1,CB248))^INT(INT(CB249/12)/INDEX('Lease Cycles'!$CP$22:$CV$22,1,CB248))/12)))),'Lease Cycles'!$C$22*INDEX('Lease Cycles'!$CB$22:$CH$22,1,CB248)*(1+INDEX('Lease Cycles'!$CI$22:$CO$22,1,CB248))^INT(INT(CB249/12)/INDEX('Lease Cycles'!$CP$22:$CV$22,1,CB248))/12),IF(INDEX('Lease Cycles'!$EF$22:$EL$22,1,CB248)=1,IF(AND('Lease Cycles'!$AZ$22&gt;=INDEX('Lease Cycles'!$BG$22:$BM$22,1,CB248),'Lease Cycles'!$AZ$22&lt;=CB$6),'Lease Cycles'!$C$22*'Lease Cycles'!$BA$22/12,IF(AND('Lease Cycles'!$AX$22&gt;=INDEX('Lease Cycles'!$BG$22:$BM$22,1,CB248),'Lease Cycles'!$AX$22&lt;=CB$6),'Lease Cycles'!$C$22*'Lease Cycles'!$AY$22/12,IF(AND('Lease Cycles'!$AV$22&gt;=INDEX('Lease Cycles'!$BG$22:$BM$22,1,CB248),'Lease Cycles'!$AV$22&lt;=CB$6),'Lease Cycles'!$C$22*'Lease Cycles'!$AW$22/12,IF(AND('Lease Cycles'!$AT$22&gt;=INDEX('Lease Cycles'!$BG$22:$BM$22,1,CB248),'Lease Cycles'!$AT$22&lt;=CB$6),'Lease Cycles'!$C$22*'Lease Cycles'!$AU$22/12,'Lease Cycles'!$C$22*INDEX('Lease Cycles'!$CB$22:$CH$22,1,CB248)*(1+INDEX('Lease Cycles'!$CI$22:$CO$22,1,CB248))^INT(INT(CB249/12)/INDEX('Lease Cycles'!$CP$22:$CV$22,1,CB248))/12)))),'Lease Cycles'!$C$22*INDEX('Lease Cycles'!$CB$22:$CH$22,1,CB248)*(1+INDEX('Lease Cycles'!$CI$22:$CO$22,1,CB248))^INT(INT(CB249/12)/INDEX('Lease Cycles'!$CP$22:$CV$22,1,CB248))/12))),IF('Lease Cycles'!$N$22=1,'Lease Cycles'!$C$22*'Lease Cycles'!$E$22*INDEX('Lease Cycles'!$HE$22:$HK$22,1,CB248)*(1+INDEX('Lease Cycles'!$GQ$22:$GW$22,1,CB248))^INT(INT((CB$6-INDEX('Lease Cycles'!$GJ$22:$GP$22,1,CB248))/12)/INDEX('Lease Cycles'!$GX$22:$HD$22,1,CB248))/12,0)))</f>
        <v>0</v>
      </c>
      <c r="CC251" s="28">
        <f>IF(CC248=0,IF('Lease Cycles'!$F$22&gt;0,'Lease Cycles'!$C$22*'Lease Cycles'!$E$22/12,0),IF(CC250=1,IF('Lease Cycles'!$AT$22&gt;=9999,'Lease Cycles'!$C$22*INDEX('Lease Cycles'!$CB$22:$CH$22,1,CC248)*(1+INDEX('Lease Cycles'!$CI$22:$CO$22,1,CC248))^INT(INT(CC249/12)/INDEX('Lease Cycles'!$CP$22:$CV$22,1,CC248))/12,IF(CC248=1,IF(CC249&gt;=INDEX('Lease Cycles'!$DK$22:$DQ$22,1,CC248),IF(CC$6&gt;='Lease Cycles'!$AZ$22,'Lease Cycles'!$C$22*'Lease Cycles'!$BA$22/12,IF(CC$6&gt;='Lease Cycles'!$AX$22,'Lease Cycles'!$C$22*'Lease Cycles'!$AY$22/12,IF(CC$6&gt;='Lease Cycles'!$AV$22,'Lease Cycles'!$C$22*'Lease Cycles'!$AW$22/12,IF(CC$6&gt;='Lease Cycles'!$AT$22,'Lease Cycles'!$C$22*'Lease Cycles'!$AU$22/12,'Lease Cycles'!$C$22*INDEX('Lease Cycles'!$CB$22:$CH$22,1,CC248)*(1+INDEX('Lease Cycles'!$CI$22:$CO$22,1,CC248))^INT(INT(CC249/12)/INDEX('Lease Cycles'!$CP$22:$CV$22,1,CC248))/12)))),'Lease Cycles'!$C$22*INDEX('Lease Cycles'!$CB$22:$CH$22,1,CC248)*(1+INDEX('Lease Cycles'!$CI$22:$CO$22,1,CC248))^INT(INT(CC249/12)/INDEX('Lease Cycles'!$CP$22:$CV$22,1,CC248))/12),IF(INDEX('Lease Cycles'!$EF$22:$EL$22,1,CC248)=1,IF(AND('Lease Cycles'!$AZ$22&gt;=INDEX('Lease Cycles'!$BG$22:$BM$22,1,CC248),'Lease Cycles'!$AZ$22&lt;=CC$6),'Lease Cycles'!$C$22*'Lease Cycles'!$BA$22/12,IF(AND('Lease Cycles'!$AX$22&gt;=INDEX('Lease Cycles'!$BG$22:$BM$22,1,CC248),'Lease Cycles'!$AX$22&lt;=CC$6),'Lease Cycles'!$C$22*'Lease Cycles'!$AY$22/12,IF(AND('Lease Cycles'!$AV$22&gt;=INDEX('Lease Cycles'!$BG$22:$BM$22,1,CC248),'Lease Cycles'!$AV$22&lt;=CC$6),'Lease Cycles'!$C$22*'Lease Cycles'!$AW$22/12,IF(AND('Lease Cycles'!$AT$22&gt;=INDEX('Lease Cycles'!$BG$22:$BM$22,1,CC248),'Lease Cycles'!$AT$22&lt;=CC$6),'Lease Cycles'!$C$22*'Lease Cycles'!$AU$22/12,'Lease Cycles'!$C$22*INDEX('Lease Cycles'!$CB$22:$CH$22,1,CC248)*(1+INDEX('Lease Cycles'!$CI$22:$CO$22,1,CC248))^INT(INT(CC249/12)/INDEX('Lease Cycles'!$CP$22:$CV$22,1,CC248))/12)))),'Lease Cycles'!$C$22*INDEX('Lease Cycles'!$CB$22:$CH$22,1,CC248)*(1+INDEX('Lease Cycles'!$CI$22:$CO$22,1,CC248))^INT(INT(CC249/12)/INDEX('Lease Cycles'!$CP$22:$CV$22,1,CC248))/12))),IF('Lease Cycles'!$N$22=1,'Lease Cycles'!$C$22*'Lease Cycles'!$E$22*INDEX('Lease Cycles'!$HE$22:$HK$22,1,CC248)*(1+INDEX('Lease Cycles'!$GQ$22:$GW$22,1,CC248))^INT(INT((CC$6-INDEX('Lease Cycles'!$GJ$22:$GP$22,1,CC248))/12)/INDEX('Lease Cycles'!$GX$22:$HD$22,1,CC248))/12,0)))</f>
        <v>0</v>
      </c>
      <c r="CD251" s="28">
        <f>IF(CD248=0,IF('Lease Cycles'!$F$22&gt;0,'Lease Cycles'!$C$22*'Lease Cycles'!$E$22/12,0),IF(CD250=1,IF('Lease Cycles'!$AT$22&gt;=9999,'Lease Cycles'!$C$22*INDEX('Lease Cycles'!$CB$22:$CH$22,1,CD248)*(1+INDEX('Lease Cycles'!$CI$22:$CO$22,1,CD248))^INT(INT(CD249/12)/INDEX('Lease Cycles'!$CP$22:$CV$22,1,CD248))/12,IF(CD248=1,IF(CD249&gt;=INDEX('Lease Cycles'!$DK$22:$DQ$22,1,CD248),IF(CD$6&gt;='Lease Cycles'!$AZ$22,'Lease Cycles'!$C$22*'Lease Cycles'!$BA$22/12,IF(CD$6&gt;='Lease Cycles'!$AX$22,'Lease Cycles'!$C$22*'Lease Cycles'!$AY$22/12,IF(CD$6&gt;='Lease Cycles'!$AV$22,'Lease Cycles'!$C$22*'Lease Cycles'!$AW$22/12,IF(CD$6&gt;='Lease Cycles'!$AT$22,'Lease Cycles'!$C$22*'Lease Cycles'!$AU$22/12,'Lease Cycles'!$C$22*INDEX('Lease Cycles'!$CB$22:$CH$22,1,CD248)*(1+INDEX('Lease Cycles'!$CI$22:$CO$22,1,CD248))^INT(INT(CD249/12)/INDEX('Lease Cycles'!$CP$22:$CV$22,1,CD248))/12)))),'Lease Cycles'!$C$22*INDEX('Lease Cycles'!$CB$22:$CH$22,1,CD248)*(1+INDEX('Lease Cycles'!$CI$22:$CO$22,1,CD248))^INT(INT(CD249/12)/INDEX('Lease Cycles'!$CP$22:$CV$22,1,CD248))/12),IF(INDEX('Lease Cycles'!$EF$22:$EL$22,1,CD248)=1,IF(AND('Lease Cycles'!$AZ$22&gt;=INDEX('Lease Cycles'!$BG$22:$BM$22,1,CD248),'Lease Cycles'!$AZ$22&lt;=CD$6),'Lease Cycles'!$C$22*'Lease Cycles'!$BA$22/12,IF(AND('Lease Cycles'!$AX$22&gt;=INDEX('Lease Cycles'!$BG$22:$BM$22,1,CD248),'Lease Cycles'!$AX$22&lt;=CD$6),'Lease Cycles'!$C$22*'Lease Cycles'!$AY$22/12,IF(AND('Lease Cycles'!$AV$22&gt;=INDEX('Lease Cycles'!$BG$22:$BM$22,1,CD248),'Lease Cycles'!$AV$22&lt;=CD$6),'Lease Cycles'!$C$22*'Lease Cycles'!$AW$22/12,IF(AND('Lease Cycles'!$AT$22&gt;=INDEX('Lease Cycles'!$BG$22:$BM$22,1,CD248),'Lease Cycles'!$AT$22&lt;=CD$6),'Lease Cycles'!$C$22*'Lease Cycles'!$AU$22/12,'Lease Cycles'!$C$22*INDEX('Lease Cycles'!$CB$22:$CH$22,1,CD248)*(1+INDEX('Lease Cycles'!$CI$22:$CO$22,1,CD248))^INT(INT(CD249/12)/INDEX('Lease Cycles'!$CP$22:$CV$22,1,CD248))/12)))),'Lease Cycles'!$C$22*INDEX('Lease Cycles'!$CB$22:$CH$22,1,CD248)*(1+INDEX('Lease Cycles'!$CI$22:$CO$22,1,CD248))^INT(INT(CD249/12)/INDEX('Lease Cycles'!$CP$22:$CV$22,1,CD248))/12))),IF('Lease Cycles'!$N$22=1,'Lease Cycles'!$C$22*'Lease Cycles'!$E$22*INDEX('Lease Cycles'!$HE$22:$HK$22,1,CD248)*(1+INDEX('Lease Cycles'!$GQ$22:$GW$22,1,CD248))^INT(INT((CD$6-INDEX('Lease Cycles'!$GJ$22:$GP$22,1,CD248))/12)/INDEX('Lease Cycles'!$GX$22:$HD$22,1,CD248))/12,0)))</f>
        <v>0</v>
      </c>
      <c r="CE251" s="28">
        <f>IF(CE248=0,IF('Lease Cycles'!$F$22&gt;0,'Lease Cycles'!$C$22*'Lease Cycles'!$E$22/12,0),IF(CE250=1,IF('Lease Cycles'!$AT$22&gt;=9999,'Lease Cycles'!$C$22*INDEX('Lease Cycles'!$CB$22:$CH$22,1,CE248)*(1+INDEX('Lease Cycles'!$CI$22:$CO$22,1,CE248))^INT(INT(CE249/12)/INDEX('Lease Cycles'!$CP$22:$CV$22,1,CE248))/12,IF(CE248=1,IF(CE249&gt;=INDEX('Lease Cycles'!$DK$22:$DQ$22,1,CE248),IF(CE$6&gt;='Lease Cycles'!$AZ$22,'Lease Cycles'!$C$22*'Lease Cycles'!$BA$22/12,IF(CE$6&gt;='Lease Cycles'!$AX$22,'Lease Cycles'!$C$22*'Lease Cycles'!$AY$22/12,IF(CE$6&gt;='Lease Cycles'!$AV$22,'Lease Cycles'!$C$22*'Lease Cycles'!$AW$22/12,IF(CE$6&gt;='Lease Cycles'!$AT$22,'Lease Cycles'!$C$22*'Lease Cycles'!$AU$22/12,'Lease Cycles'!$C$22*INDEX('Lease Cycles'!$CB$22:$CH$22,1,CE248)*(1+INDEX('Lease Cycles'!$CI$22:$CO$22,1,CE248))^INT(INT(CE249/12)/INDEX('Lease Cycles'!$CP$22:$CV$22,1,CE248))/12)))),'Lease Cycles'!$C$22*INDEX('Lease Cycles'!$CB$22:$CH$22,1,CE248)*(1+INDEX('Lease Cycles'!$CI$22:$CO$22,1,CE248))^INT(INT(CE249/12)/INDEX('Lease Cycles'!$CP$22:$CV$22,1,CE248))/12),IF(INDEX('Lease Cycles'!$EF$22:$EL$22,1,CE248)=1,IF(AND('Lease Cycles'!$AZ$22&gt;=INDEX('Lease Cycles'!$BG$22:$BM$22,1,CE248),'Lease Cycles'!$AZ$22&lt;=CE$6),'Lease Cycles'!$C$22*'Lease Cycles'!$BA$22/12,IF(AND('Lease Cycles'!$AX$22&gt;=INDEX('Lease Cycles'!$BG$22:$BM$22,1,CE248),'Lease Cycles'!$AX$22&lt;=CE$6),'Lease Cycles'!$C$22*'Lease Cycles'!$AY$22/12,IF(AND('Lease Cycles'!$AV$22&gt;=INDEX('Lease Cycles'!$BG$22:$BM$22,1,CE248),'Lease Cycles'!$AV$22&lt;=CE$6),'Lease Cycles'!$C$22*'Lease Cycles'!$AW$22/12,IF(AND('Lease Cycles'!$AT$22&gt;=INDEX('Lease Cycles'!$BG$22:$BM$22,1,CE248),'Lease Cycles'!$AT$22&lt;=CE$6),'Lease Cycles'!$C$22*'Lease Cycles'!$AU$22/12,'Lease Cycles'!$C$22*INDEX('Lease Cycles'!$CB$22:$CH$22,1,CE248)*(1+INDEX('Lease Cycles'!$CI$22:$CO$22,1,CE248))^INT(INT(CE249/12)/INDEX('Lease Cycles'!$CP$22:$CV$22,1,CE248))/12)))),'Lease Cycles'!$C$22*INDEX('Lease Cycles'!$CB$22:$CH$22,1,CE248)*(1+INDEX('Lease Cycles'!$CI$22:$CO$22,1,CE248))^INT(INT(CE249/12)/INDEX('Lease Cycles'!$CP$22:$CV$22,1,CE248))/12))),IF('Lease Cycles'!$N$22=1,'Lease Cycles'!$C$22*'Lease Cycles'!$E$22*INDEX('Lease Cycles'!$HE$22:$HK$22,1,CE248)*(1+INDEX('Lease Cycles'!$GQ$22:$GW$22,1,CE248))^INT(INT((CE$6-INDEX('Lease Cycles'!$GJ$22:$GP$22,1,CE248))/12)/INDEX('Lease Cycles'!$GX$22:$HD$22,1,CE248))/12,0)))</f>
        <v>0</v>
      </c>
      <c r="CF251" s="28">
        <f>IF(CF248=0,IF('Lease Cycles'!$F$22&gt;0,'Lease Cycles'!$C$22*'Lease Cycles'!$E$22/12,0),IF(CF250=1,IF('Lease Cycles'!$AT$22&gt;=9999,'Lease Cycles'!$C$22*INDEX('Lease Cycles'!$CB$22:$CH$22,1,CF248)*(1+INDEX('Lease Cycles'!$CI$22:$CO$22,1,CF248))^INT(INT(CF249/12)/INDEX('Lease Cycles'!$CP$22:$CV$22,1,CF248))/12,IF(CF248=1,IF(CF249&gt;=INDEX('Lease Cycles'!$DK$22:$DQ$22,1,CF248),IF(CF$6&gt;='Lease Cycles'!$AZ$22,'Lease Cycles'!$C$22*'Lease Cycles'!$BA$22/12,IF(CF$6&gt;='Lease Cycles'!$AX$22,'Lease Cycles'!$C$22*'Lease Cycles'!$AY$22/12,IF(CF$6&gt;='Lease Cycles'!$AV$22,'Lease Cycles'!$C$22*'Lease Cycles'!$AW$22/12,IF(CF$6&gt;='Lease Cycles'!$AT$22,'Lease Cycles'!$C$22*'Lease Cycles'!$AU$22/12,'Lease Cycles'!$C$22*INDEX('Lease Cycles'!$CB$22:$CH$22,1,CF248)*(1+INDEX('Lease Cycles'!$CI$22:$CO$22,1,CF248))^INT(INT(CF249/12)/INDEX('Lease Cycles'!$CP$22:$CV$22,1,CF248))/12)))),'Lease Cycles'!$C$22*INDEX('Lease Cycles'!$CB$22:$CH$22,1,CF248)*(1+INDEX('Lease Cycles'!$CI$22:$CO$22,1,CF248))^INT(INT(CF249/12)/INDEX('Lease Cycles'!$CP$22:$CV$22,1,CF248))/12),IF(INDEX('Lease Cycles'!$EF$22:$EL$22,1,CF248)=1,IF(AND('Lease Cycles'!$AZ$22&gt;=INDEX('Lease Cycles'!$BG$22:$BM$22,1,CF248),'Lease Cycles'!$AZ$22&lt;=CF$6),'Lease Cycles'!$C$22*'Lease Cycles'!$BA$22/12,IF(AND('Lease Cycles'!$AX$22&gt;=INDEX('Lease Cycles'!$BG$22:$BM$22,1,CF248),'Lease Cycles'!$AX$22&lt;=CF$6),'Lease Cycles'!$C$22*'Lease Cycles'!$AY$22/12,IF(AND('Lease Cycles'!$AV$22&gt;=INDEX('Lease Cycles'!$BG$22:$BM$22,1,CF248),'Lease Cycles'!$AV$22&lt;=CF$6),'Lease Cycles'!$C$22*'Lease Cycles'!$AW$22/12,IF(AND('Lease Cycles'!$AT$22&gt;=INDEX('Lease Cycles'!$BG$22:$BM$22,1,CF248),'Lease Cycles'!$AT$22&lt;=CF$6),'Lease Cycles'!$C$22*'Lease Cycles'!$AU$22/12,'Lease Cycles'!$C$22*INDEX('Lease Cycles'!$CB$22:$CH$22,1,CF248)*(1+INDEX('Lease Cycles'!$CI$22:$CO$22,1,CF248))^INT(INT(CF249/12)/INDEX('Lease Cycles'!$CP$22:$CV$22,1,CF248))/12)))),'Lease Cycles'!$C$22*INDEX('Lease Cycles'!$CB$22:$CH$22,1,CF248)*(1+INDEX('Lease Cycles'!$CI$22:$CO$22,1,CF248))^INT(INT(CF249/12)/INDEX('Lease Cycles'!$CP$22:$CV$22,1,CF248))/12))),IF('Lease Cycles'!$N$22=1,'Lease Cycles'!$C$22*'Lease Cycles'!$E$22*INDEX('Lease Cycles'!$HE$22:$HK$22,1,CF248)*(1+INDEX('Lease Cycles'!$GQ$22:$GW$22,1,CF248))^INT(INT((CF$6-INDEX('Lease Cycles'!$GJ$22:$GP$22,1,CF248))/12)/INDEX('Lease Cycles'!$GX$22:$HD$22,1,CF248))/12,0)))</f>
        <v>0</v>
      </c>
      <c r="CG251" s="28">
        <f>IF(CG248=0,IF('Lease Cycles'!$F$22&gt;0,'Lease Cycles'!$C$22*'Lease Cycles'!$E$22/12,0),IF(CG250=1,IF('Lease Cycles'!$AT$22&gt;=9999,'Lease Cycles'!$C$22*INDEX('Lease Cycles'!$CB$22:$CH$22,1,CG248)*(1+INDEX('Lease Cycles'!$CI$22:$CO$22,1,CG248))^INT(INT(CG249/12)/INDEX('Lease Cycles'!$CP$22:$CV$22,1,CG248))/12,IF(CG248=1,IF(CG249&gt;=INDEX('Lease Cycles'!$DK$22:$DQ$22,1,CG248),IF(CG$6&gt;='Lease Cycles'!$AZ$22,'Lease Cycles'!$C$22*'Lease Cycles'!$BA$22/12,IF(CG$6&gt;='Lease Cycles'!$AX$22,'Lease Cycles'!$C$22*'Lease Cycles'!$AY$22/12,IF(CG$6&gt;='Lease Cycles'!$AV$22,'Lease Cycles'!$C$22*'Lease Cycles'!$AW$22/12,IF(CG$6&gt;='Lease Cycles'!$AT$22,'Lease Cycles'!$C$22*'Lease Cycles'!$AU$22/12,'Lease Cycles'!$C$22*INDEX('Lease Cycles'!$CB$22:$CH$22,1,CG248)*(1+INDEX('Lease Cycles'!$CI$22:$CO$22,1,CG248))^INT(INT(CG249/12)/INDEX('Lease Cycles'!$CP$22:$CV$22,1,CG248))/12)))),'Lease Cycles'!$C$22*INDEX('Lease Cycles'!$CB$22:$CH$22,1,CG248)*(1+INDEX('Lease Cycles'!$CI$22:$CO$22,1,CG248))^INT(INT(CG249/12)/INDEX('Lease Cycles'!$CP$22:$CV$22,1,CG248))/12),IF(INDEX('Lease Cycles'!$EF$22:$EL$22,1,CG248)=1,IF(AND('Lease Cycles'!$AZ$22&gt;=INDEX('Lease Cycles'!$BG$22:$BM$22,1,CG248),'Lease Cycles'!$AZ$22&lt;=CG$6),'Lease Cycles'!$C$22*'Lease Cycles'!$BA$22/12,IF(AND('Lease Cycles'!$AX$22&gt;=INDEX('Lease Cycles'!$BG$22:$BM$22,1,CG248),'Lease Cycles'!$AX$22&lt;=CG$6),'Lease Cycles'!$C$22*'Lease Cycles'!$AY$22/12,IF(AND('Lease Cycles'!$AV$22&gt;=INDEX('Lease Cycles'!$BG$22:$BM$22,1,CG248),'Lease Cycles'!$AV$22&lt;=CG$6),'Lease Cycles'!$C$22*'Lease Cycles'!$AW$22/12,IF(AND('Lease Cycles'!$AT$22&gt;=INDEX('Lease Cycles'!$BG$22:$BM$22,1,CG248),'Lease Cycles'!$AT$22&lt;=CG$6),'Lease Cycles'!$C$22*'Lease Cycles'!$AU$22/12,'Lease Cycles'!$C$22*INDEX('Lease Cycles'!$CB$22:$CH$22,1,CG248)*(1+INDEX('Lease Cycles'!$CI$22:$CO$22,1,CG248))^INT(INT(CG249/12)/INDEX('Lease Cycles'!$CP$22:$CV$22,1,CG248))/12)))),'Lease Cycles'!$C$22*INDEX('Lease Cycles'!$CB$22:$CH$22,1,CG248)*(1+INDEX('Lease Cycles'!$CI$22:$CO$22,1,CG248))^INT(INT(CG249/12)/INDEX('Lease Cycles'!$CP$22:$CV$22,1,CG248))/12))),IF('Lease Cycles'!$N$22=1,'Lease Cycles'!$C$22*'Lease Cycles'!$E$22*INDEX('Lease Cycles'!$HE$22:$HK$22,1,CG248)*(1+INDEX('Lease Cycles'!$GQ$22:$GW$22,1,CG248))^INT(INT((CG$6-INDEX('Lease Cycles'!$GJ$22:$GP$22,1,CG248))/12)/INDEX('Lease Cycles'!$GX$22:$HD$22,1,CG248))/12,0)))</f>
        <v>0</v>
      </c>
      <c r="CH251" s="28">
        <f>IF(CH248=0,IF('Lease Cycles'!$F$22&gt;0,'Lease Cycles'!$C$22*'Lease Cycles'!$E$22/12,0),IF(CH250=1,IF('Lease Cycles'!$AT$22&gt;=9999,'Lease Cycles'!$C$22*INDEX('Lease Cycles'!$CB$22:$CH$22,1,CH248)*(1+INDEX('Lease Cycles'!$CI$22:$CO$22,1,CH248))^INT(INT(CH249/12)/INDEX('Lease Cycles'!$CP$22:$CV$22,1,CH248))/12,IF(CH248=1,IF(CH249&gt;=INDEX('Lease Cycles'!$DK$22:$DQ$22,1,CH248),IF(CH$6&gt;='Lease Cycles'!$AZ$22,'Lease Cycles'!$C$22*'Lease Cycles'!$BA$22/12,IF(CH$6&gt;='Lease Cycles'!$AX$22,'Lease Cycles'!$C$22*'Lease Cycles'!$AY$22/12,IF(CH$6&gt;='Lease Cycles'!$AV$22,'Lease Cycles'!$C$22*'Lease Cycles'!$AW$22/12,IF(CH$6&gt;='Lease Cycles'!$AT$22,'Lease Cycles'!$C$22*'Lease Cycles'!$AU$22/12,'Lease Cycles'!$C$22*INDEX('Lease Cycles'!$CB$22:$CH$22,1,CH248)*(1+INDEX('Lease Cycles'!$CI$22:$CO$22,1,CH248))^INT(INT(CH249/12)/INDEX('Lease Cycles'!$CP$22:$CV$22,1,CH248))/12)))),'Lease Cycles'!$C$22*INDEX('Lease Cycles'!$CB$22:$CH$22,1,CH248)*(1+INDEX('Lease Cycles'!$CI$22:$CO$22,1,CH248))^INT(INT(CH249/12)/INDEX('Lease Cycles'!$CP$22:$CV$22,1,CH248))/12),IF(INDEX('Lease Cycles'!$EF$22:$EL$22,1,CH248)=1,IF(AND('Lease Cycles'!$AZ$22&gt;=INDEX('Lease Cycles'!$BG$22:$BM$22,1,CH248),'Lease Cycles'!$AZ$22&lt;=CH$6),'Lease Cycles'!$C$22*'Lease Cycles'!$BA$22/12,IF(AND('Lease Cycles'!$AX$22&gt;=INDEX('Lease Cycles'!$BG$22:$BM$22,1,CH248),'Lease Cycles'!$AX$22&lt;=CH$6),'Lease Cycles'!$C$22*'Lease Cycles'!$AY$22/12,IF(AND('Lease Cycles'!$AV$22&gt;=INDEX('Lease Cycles'!$BG$22:$BM$22,1,CH248),'Lease Cycles'!$AV$22&lt;=CH$6),'Lease Cycles'!$C$22*'Lease Cycles'!$AW$22/12,IF(AND('Lease Cycles'!$AT$22&gt;=INDEX('Lease Cycles'!$BG$22:$BM$22,1,CH248),'Lease Cycles'!$AT$22&lt;=CH$6),'Lease Cycles'!$C$22*'Lease Cycles'!$AU$22/12,'Lease Cycles'!$C$22*INDEX('Lease Cycles'!$CB$22:$CH$22,1,CH248)*(1+INDEX('Lease Cycles'!$CI$22:$CO$22,1,CH248))^INT(INT(CH249/12)/INDEX('Lease Cycles'!$CP$22:$CV$22,1,CH248))/12)))),'Lease Cycles'!$C$22*INDEX('Lease Cycles'!$CB$22:$CH$22,1,CH248)*(1+INDEX('Lease Cycles'!$CI$22:$CO$22,1,CH248))^INT(INT(CH249/12)/INDEX('Lease Cycles'!$CP$22:$CV$22,1,CH248))/12))),IF('Lease Cycles'!$N$22=1,'Lease Cycles'!$C$22*'Lease Cycles'!$E$22*INDEX('Lease Cycles'!$HE$22:$HK$22,1,CH248)*(1+INDEX('Lease Cycles'!$GQ$22:$GW$22,1,CH248))^INT(INT((CH$6-INDEX('Lease Cycles'!$GJ$22:$GP$22,1,CH248))/12)/INDEX('Lease Cycles'!$GX$22:$HD$22,1,CH248))/12,0)))</f>
        <v>0</v>
      </c>
      <c r="CI251" s="28">
        <f>IF(CI248=0,IF('Lease Cycles'!$F$22&gt;0,'Lease Cycles'!$C$22*'Lease Cycles'!$E$22/12,0),IF(CI250=1,IF('Lease Cycles'!$AT$22&gt;=9999,'Lease Cycles'!$C$22*INDEX('Lease Cycles'!$CB$22:$CH$22,1,CI248)*(1+INDEX('Lease Cycles'!$CI$22:$CO$22,1,CI248))^INT(INT(CI249/12)/INDEX('Lease Cycles'!$CP$22:$CV$22,1,CI248))/12,IF(CI248=1,IF(CI249&gt;=INDEX('Lease Cycles'!$DK$22:$DQ$22,1,CI248),IF(CI$6&gt;='Lease Cycles'!$AZ$22,'Lease Cycles'!$C$22*'Lease Cycles'!$BA$22/12,IF(CI$6&gt;='Lease Cycles'!$AX$22,'Lease Cycles'!$C$22*'Lease Cycles'!$AY$22/12,IF(CI$6&gt;='Lease Cycles'!$AV$22,'Lease Cycles'!$C$22*'Lease Cycles'!$AW$22/12,IF(CI$6&gt;='Lease Cycles'!$AT$22,'Lease Cycles'!$C$22*'Lease Cycles'!$AU$22/12,'Lease Cycles'!$C$22*INDEX('Lease Cycles'!$CB$22:$CH$22,1,CI248)*(1+INDEX('Lease Cycles'!$CI$22:$CO$22,1,CI248))^INT(INT(CI249/12)/INDEX('Lease Cycles'!$CP$22:$CV$22,1,CI248))/12)))),'Lease Cycles'!$C$22*INDEX('Lease Cycles'!$CB$22:$CH$22,1,CI248)*(1+INDEX('Lease Cycles'!$CI$22:$CO$22,1,CI248))^INT(INT(CI249/12)/INDEX('Lease Cycles'!$CP$22:$CV$22,1,CI248))/12),IF(INDEX('Lease Cycles'!$EF$22:$EL$22,1,CI248)=1,IF(AND('Lease Cycles'!$AZ$22&gt;=INDEX('Lease Cycles'!$BG$22:$BM$22,1,CI248),'Lease Cycles'!$AZ$22&lt;=CI$6),'Lease Cycles'!$C$22*'Lease Cycles'!$BA$22/12,IF(AND('Lease Cycles'!$AX$22&gt;=INDEX('Lease Cycles'!$BG$22:$BM$22,1,CI248),'Lease Cycles'!$AX$22&lt;=CI$6),'Lease Cycles'!$C$22*'Lease Cycles'!$AY$22/12,IF(AND('Lease Cycles'!$AV$22&gt;=INDEX('Lease Cycles'!$BG$22:$BM$22,1,CI248),'Lease Cycles'!$AV$22&lt;=CI$6),'Lease Cycles'!$C$22*'Lease Cycles'!$AW$22/12,IF(AND('Lease Cycles'!$AT$22&gt;=INDEX('Lease Cycles'!$BG$22:$BM$22,1,CI248),'Lease Cycles'!$AT$22&lt;=CI$6),'Lease Cycles'!$C$22*'Lease Cycles'!$AU$22/12,'Lease Cycles'!$C$22*INDEX('Lease Cycles'!$CB$22:$CH$22,1,CI248)*(1+INDEX('Lease Cycles'!$CI$22:$CO$22,1,CI248))^INT(INT(CI249/12)/INDEX('Lease Cycles'!$CP$22:$CV$22,1,CI248))/12)))),'Lease Cycles'!$C$22*INDEX('Lease Cycles'!$CB$22:$CH$22,1,CI248)*(1+INDEX('Lease Cycles'!$CI$22:$CO$22,1,CI248))^INT(INT(CI249/12)/INDEX('Lease Cycles'!$CP$22:$CV$22,1,CI248))/12))),IF('Lease Cycles'!$N$22=1,'Lease Cycles'!$C$22*'Lease Cycles'!$E$22*INDEX('Lease Cycles'!$HE$22:$HK$22,1,CI248)*(1+INDEX('Lease Cycles'!$GQ$22:$GW$22,1,CI248))^INT(INT((CI$6-INDEX('Lease Cycles'!$GJ$22:$GP$22,1,CI248))/12)/INDEX('Lease Cycles'!$GX$22:$HD$22,1,CI248))/12,0)))</f>
        <v>0</v>
      </c>
      <c r="CJ251" s="28">
        <f>IF(CJ248=0,IF('Lease Cycles'!$F$22&gt;0,'Lease Cycles'!$C$22*'Lease Cycles'!$E$22/12,0),IF(CJ250=1,IF('Lease Cycles'!$AT$22&gt;=9999,'Lease Cycles'!$C$22*INDEX('Lease Cycles'!$CB$22:$CH$22,1,CJ248)*(1+INDEX('Lease Cycles'!$CI$22:$CO$22,1,CJ248))^INT(INT(CJ249/12)/INDEX('Lease Cycles'!$CP$22:$CV$22,1,CJ248))/12,IF(CJ248=1,IF(CJ249&gt;=INDEX('Lease Cycles'!$DK$22:$DQ$22,1,CJ248),IF(CJ$6&gt;='Lease Cycles'!$AZ$22,'Lease Cycles'!$C$22*'Lease Cycles'!$BA$22/12,IF(CJ$6&gt;='Lease Cycles'!$AX$22,'Lease Cycles'!$C$22*'Lease Cycles'!$AY$22/12,IF(CJ$6&gt;='Lease Cycles'!$AV$22,'Lease Cycles'!$C$22*'Lease Cycles'!$AW$22/12,IF(CJ$6&gt;='Lease Cycles'!$AT$22,'Lease Cycles'!$C$22*'Lease Cycles'!$AU$22/12,'Lease Cycles'!$C$22*INDEX('Lease Cycles'!$CB$22:$CH$22,1,CJ248)*(1+INDEX('Lease Cycles'!$CI$22:$CO$22,1,CJ248))^INT(INT(CJ249/12)/INDEX('Lease Cycles'!$CP$22:$CV$22,1,CJ248))/12)))),'Lease Cycles'!$C$22*INDEX('Lease Cycles'!$CB$22:$CH$22,1,CJ248)*(1+INDEX('Lease Cycles'!$CI$22:$CO$22,1,CJ248))^INT(INT(CJ249/12)/INDEX('Lease Cycles'!$CP$22:$CV$22,1,CJ248))/12),IF(INDEX('Lease Cycles'!$EF$22:$EL$22,1,CJ248)=1,IF(AND('Lease Cycles'!$AZ$22&gt;=INDEX('Lease Cycles'!$BG$22:$BM$22,1,CJ248),'Lease Cycles'!$AZ$22&lt;=CJ$6),'Lease Cycles'!$C$22*'Lease Cycles'!$BA$22/12,IF(AND('Lease Cycles'!$AX$22&gt;=INDEX('Lease Cycles'!$BG$22:$BM$22,1,CJ248),'Lease Cycles'!$AX$22&lt;=CJ$6),'Lease Cycles'!$C$22*'Lease Cycles'!$AY$22/12,IF(AND('Lease Cycles'!$AV$22&gt;=INDEX('Lease Cycles'!$BG$22:$BM$22,1,CJ248),'Lease Cycles'!$AV$22&lt;=CJ$6),'Lease Cycles'!$C$22*'Lease Cycles'!$AW$22/12,IF(AND('Lease Cycles'!$AT$22&gt;=INDEX('Lease Cycles'!$BG$22:$BM$22,1,CJ248),'Lease Cycles'!$AT$22&lt;=CJ$6),'Lease Cycles'!$C$22*'Lease Cycles'!$AU$22/12,'Lease Cycles'!$C$22*INDEX('Lease Cycles'!$CB$22:$CH$22,1,CJ248)*(1+INDEX('Lease Cycles'!$CI$22:$CO$22,1,CJ248))^INT(INT(CJ249/12)/INDEX('Lease Cycles'!$CP$22:$CV$22,1,CJ248))/12)))),'Lease Cycles'!$C$22*INDEX('Lease Cycles'!$CB$22:$CH$22,1,CJ248)*(1+INDEX('Lease Cycles'!$CI$22:$CO$22,1,CJ248))^INT(INT(CJ249/12)/INDEX('Lease Cycles'!$CP$22:$CV$22,1,CJ248))/12))),IF('Lease Cycles'!$N$22=1,'Lease Cycles'!$C$22*'Lease Cycles'!$E$22*INDEX('Lease Cycles'!$HE$22:$HK$22,1,CJ248)*(1+INDEX('Lease Cycles'!$GQ$22:$GW$22,1,CJ248))^INT(INT((CJ$6-INDEX('Lease Cycles'!$GJ$22:$GP$22,1,CJ248))/12)/INDEX('Lease Cycles'!$GX$22:$HD$22,1,CJ248))/12,0)))</f>
        <v>0</v>
      </c>
      <c r="CK251" s="28">
        <f>IF(CK248=0,IF('Lease Cycles'!$F$22&gt;0,'Lease Cycles'!$C$22*'Lease Cycles'!$E$22/12,0),IF(CK250=1,IF('Lease Cycles'!$AT$22&gt;=9999,'Lease Cycles'!$C$22*INDEX('Lease Cycles'!$CB$22:$CH$22,1,CK248)*(1+INDEX('Lease Cycles'!$CI$22:$CO$22,1,CK248))^INT(INT(CK249/12)/INDEX('Lease Cycles'!$CP$22:$CV$22,1,CK248))/12,IF(CK248=1,IF(CK249&gt;=INDEX('Lease Cycles'!$DK$22:$DQ$22,1,CK248),IF(CK$6&gt;='Lease Cycles'!$AZ$22,'Lease Cycles'!$C$22*'Lease Cycles'!$BA$22/12,IF(CK$6&gt;='Lease Cycles'!$AX$22,'Lease Cycles'!$C$22*'Lease Cycles'!$AY$22/12,IF(CK$6&gt;='Lease Cycles'!$AV$22,'Lease Cycles'!$C$22*'Lease Cycles'!$AW$22/12,IF(CK$6&gt;='Lease Cycles'!$AT$22,'Lease Cycles'!$C$22*'Lease Cycles'!$AU$22/12,'Lease Cycles'!$C$22*INDEX('Lease Cycles'!$CB$22:$CH$22,1,CK248)*(1+INDEX('Lease Cycles'!$CI$22:$CO$22,1,CK248))^INT(INT(CK249/12)/INDEX('Lease Cycles'!$CP$22:$CV$22,1,CK248))/12)))),'Lease Cycles'!$C$22*INDEX('Lease Cycles'!$CB$22:$CH$22,1,CK248)*(1+INDEX('Lease Cycles'!$CI$22:$CO$22,1,CK248))^INT(INT(CK249/12)/INDEX('Lease Cycles'!$CP$22:$CV$22,1,CK248))/12),IF(INDEX('Lease Cycles'!$EF$22:$EL$22,1,CK248)=1,IF(AND('Lease Cycles'!$AZ$22&gt;=INDEX('Lease Cycles'!$BG$22:$BM$22,1,CK248),'Lease Cycles'!$AZ$22&lt;=CK$6),'Lease Cycles'!$C$22*'Lease Cycles'!$BA$22/12,IF(AND('Lease Cycles'!$AX$22&gt;=INDEX('Lease Cycles'!$BG$22:$BM$22,1,CK248),'Lease Cycles'!$AX$22&lt;=CK$6),'Lease Cycles'!$C$22*'Lease Cycles'!$AY$22/12,IF(AND('Lease Cycles'!$AV$22&gt;=INDEX('Lease Cycles'!$BG$22:$BM$22,1,CK248),'Lease Cycles'!$AV$22&lt;=CK$6),'Lease Cycles'!$C$22*'Lease Cycles'!$AW$22/12,IF(AND('Lease Cycles'!$AT$22&gt;=INDEX('Lease Cycles'!$BG$22:$BM$22,1,CK248),'Lease Cycles'!$AT$22&lt;=CK$6),'Lease Cycles'!$C$22*'Lease Cycles'!$AU$22/12,'Lease Cycles'!$C$22*INDEX('Lease Cycles'!$CB$22:$CH$22,1,CK248)*(1+INDEX('Lease Cycles'!$CI$22:$CO$22,1,CK248))^INT(INT(CK249/12)/INDEX('Lease Cycles'!$CP$22:$CV$22,1,CK248))/12)))),'Lease Cycles'!$C$22*INDEX('Lease Cycles'!$CB$22:$CH$22,1,CK248)*(1+INDEX('Lease Cycles'!$CI$22:$CO$22,1,CK248))^INT(INT(CK249/12)/INDEX('Lease Cycles'!$CP$22:$CV$22,1,CK248))/12))),IF('Lease Cycles'!$N$22=1,'Lease Cycles'!$C$22*'Lease Cycles'!$E$22*INDEX('Lease Cycles'!$HE$22:$HK$22,1,CK248)*(1+INDEX('Lease Cycles'!$GQ$22:$GW$22,1,CK248))^INT(INT((CK$6-INDEX('Lease Cycles'!$GJ$22:$GP$22,1,CK248))/12)/INDEX('Lease Cycles'!$GX$22:$HD$22,1,CK248))/12,0)))</f>
        <v>0</v>
      </c>
      <c r="CL251" s="28">
        <f>IF(CL248=0,IF('Lease Cycles'!$F$22&gt;0,'Lease Cycles'!$C$22*'Lease Cycles'!$E$22/12,0),IF(CL250=1,IF('Lease Cycles'!$AT$22&gt;=9999,'Lease Cycles'!$C$22*INDEX('Lease Cycles'!$CB$22:$CH$22,1,CL248)*(1+INDEX('Lease Cycles'!$CI$22:$CO$22,1,CL248))^INT(INT(CL249/12)/INDEX('Lease Cycles'!$CP$22:$CV$22,1,CL248))/12,IF(CL248=1,IF(CL249&gt;=INDEX('Lease Cycles'!$DK$22:$DQ$22,1,CL248),IF(CL$6&gt;='Lease Cycles'!$AZ$22,'Lease Cycles'!$C$22*'Lease Cycles'!$BA$22/12,IF(CL$6&gt;='Lease Cycles'!$AX$22,'Lease Cycles'!$C$22*'Lease Cycles'!$AY$22/12,IF(CL$6&gt;='Lease Cycles'!$AV$22,'Lease Cycles'!$C$22*'Lease Cycles'!$AW$22/12,IF(CL$6&gt;='Lease Cycles'!$AT$22,'Lease Cycles'!$C$22*'Lease Cycles'!$AU$22/12,'Lease Cycles'!$C$22*INDEX('Lease Cycles'!$CB$22:$CH$22,1,CL248)*(1+INDEX('Lease Cycles'!$CI$22:$CO$22,1,CL248))^INT(INT(CL249/12)/INDEX('Lease Cycles'!$CP$22:$CV$22,1,CL248))/12)))),'Lease Cycles'!$C$22*INDEX('Lease Cycles'!$CB$22:$CH$22,1,CL248)*(1+INDEX('Lease Cycles'!$CI$22:$CO$22,1,CL248))^INT(INT(CL249/12)/INDEX('Lease Cycles'!$CP$22:$CV$22,1,CL248))/12),IF(INDEX('Lease Cycles'!$EF$22:$EL$22,1,CL248)=1,IF(AND('Lease Cycles'!$AZ$22&gt;=INDEX('Lease Cycles'!$BG$22:$BM$22,1,CL248),'Lease Cycles'!$AZ$22&lt;=CL$6),'Lease Cycles'!$C$22*'Lease Cycles'!$BA$22/12,IF(AND('Lease Cycles'!$AX$22&gt;=INDEX('Lease Cycles'!$BG$22:$BM$22,1,CL248),'Lease Cycles'!$AX$22&lt;=CL$6),'Lease Cycles'!$C$22*'Lease Cycles'!$AY$22/12,IF(AND('Lease Cycles'!$AV$22&gt;=INDEX('Lease Cycles'!$BG$22:$BM$22,1,CL248),'Lease Cycles'!$AV$22&lt;=CL$6),'Lease Cycles'!$C$22*'Lease Cycles'!$AW$22/12,IF(AND('Lease Cycles'!$AT$22&gt;=INDEX('Lease Cycles'!$BG$22:$BM$22,1,CL248),'Lease Cycles'!$AT$22&lt;=CL$6),'Lease Cycles'!$C$22*'Lease Cycles'!$AU$22/12,'Lease Cycles'!$C$22*INDEX('Lease Cycles'!$CB$22:$CH$22,1,CL248)*(1+INDEX('Lease Cycles'!$CI$22:$CO$22,1,CL248))^INT(INT(CL249/12)/INDEX('Lease Cycles'!$CP$22:$CV$22,1,CL248))/12)))),'Lease Cycles'!$C$22*INDEX('Lease Cycles'!$CB$22:$CH$22,1,CL248)*(1+INDEX('Lease Cycles'!$CI$22:$CO$22,1,CL248))^INT(INT(CL249/12)/INDEX('Lease Cycles'!$CP$22:$CV$22,1,CL248))/12))),IF('Lease Cycles'!$N$22=1,'Lease Cycles'!$C$22*'Lease Cycles'!$E$22*INDEX('Lease Cycles'!$HE$22:$HK$22,1,CL248)*(1+INDEX('Lease Cycles'!$GQ$22:$GW$22,1,CL248))^INT(INT((CL$6-INDEX('Lease Cycles'!$GJ$22:$GP$22,1,CL248))/12)/INDEX('Lease Cycles'!$GX$22:$HD$22,1,CL248))/12,0)))</f>
        <v>0</v>
      </c>
      <c r="CM251" s="28">
        <f>IF(CM248=0,IF('Lease Cycles'!$F$22&gt;0,'Lease Cycles'!$C$22*'Lease Cycles'!$E$22/12,0),IF(CM250=1,IF('Lease Cycles'!$AT$22&gt;=9999,'Lease Cycles'!$C$22*INDEX('Lease Cycles'!$CB$22:$CH$22,1,CM248)*(1+INDEX('Lease Cycles'!$CI$22:$CO$22,1,CM248))^INT(INT(CM249/12)/INDEX('Lease Cycles'!$CP$22:$CV$22,1,CM248))/12,IF(CM248=1,IF(CM249&gt;=INDEX('Lease Cycles'!$DK$22:$DQ$22,1,CM248),IF(CM$6&gt;='Lease Cycles'!$AZ$22,'Lease Cycles'!$C$22*'Lease Cycles'!$BA$22/12,IF(CM$6&gt;='Lease Cycles'!$AX$22,'Lease Cycles'!$C$22*'Lease Cycles'!$AY$22/12,IF(CM$6&gt;='Lease Cycles'!$AV$22,'Lease Cycles'!$C$22*'Lease Cycles'!$AW$22/12,IF(CM$6&gt;='Lease Cycles'!$AT$22,'Lease Cycles'!$C$22*'Lease Cycles'!$AU$22/12,'Lease Cycles'!$C$22*INDEX('Lease Cycles'!$CB$22:$CH$22,1,CM248)*(1+INDEX('Lease Cycles'!$CI$22:$CO$22,1,CM248))^INT(INT(CM249/12)/INDEX('Lease Cycles'!$CP$22:$CV$22,1,CM248))/12)))),'Lease Cycles'!$C$22*INDEX('Lease Cycles'!$CB$22:$CH$22,1,CM248)*(1+INDEX('Lease Cycles'!$CI$22:$CO$22,1,CM248))^INT(INT(CM249/12)/INDEX('Lease Cycles'!$CP$22:$CV$22,1,CM248))/12),IF(INDEX('Lease Cycles'!$EF$22:$EL$22,1,CM248)=1,IF(AND('Lease Cycles'!$AZ$22&gt;=INDEX('Lease Cycles'!$BG$22:$BM$22,1,CM248),'Lease Cycles'!$AZ$22&lt;=CM$6),'Lease Cycles'!$C$22*'Lease Cycles'!$BA$22/12,IF(AND('Lease Cycles'!$AX$22&gt;=INDEX('Lease Cycles'!$BG$22:$BM$22,1,CM248),'Lease Cycles'!$AX$22&lt;=CM$6),'Lease Cycles'!$C$22*'Lease Cycles'!$AY$22/12,IF(AND('Lease Cycles'!$AV$22&gt;=INDEX('Lease Cycles'!$BG$22:$BM$22,1,CM248),'Lease Cycles'!$AV$22&lt;=CM$6),'Lease Cycles'!$C$22*'Lease Cycles'!$AW$22/12,IF(AND('Lease Cycles'!$AT$22&gt;=INDEX('Lease Cycles'!$BG$22:$BM$22,1,CM248),'Lease Cycles'!$AT$22&lt;=CM$6),'Lease Cycles'!$C$22*'Lease Cycles'!$AU$22/12,'Lease Cycles'!$C$22*INDEX('Lease Cycles'!$CB$22:$CH$22,1,CM248)*(1+INDEX('Lease Cycles'!$CI$22:$CO$22,1,CM248))^INT(INT(CM249/12)/INDEX('Lease Cycles'!$CP$22:$CV$22,1,CM248))/12)))),'Lease Cycles'!$C$22*INDEX('Lease Cycles'!$CB$22:$CH$22,1,CM248)*(1+INDEX('Lease Cycles'!$CI$22:$CO$22,1,CM248))^INT(INT(CM249/12)/INDEX('Lease Cycles'!$CP$22:$CV$22,1,CM248))/12))),IF('Lease Cycles'!$N$22=1,'Lease Cycles'!$C$22*'Lease Cycles'!$E$22*INDEX('Lease Cycles'!$HE$22:$HK$22,1,CM248)*(1+INDEX('Lease Cycles'!$GQ$22:$GW$22,1,CM248))^INT(INT((CM$6-INDEX('Lease Cycles'!$GJ$22:$GP$22,1,CM248))/12)/INDEX('Lease Cycles'!$GX$22:$HD$22,1,CM248))/12,0)))</f>
        <v>0</v>
      </c>
      <c r="CN251" s="28">
        <f>IF(CN248=0,IF('Lease Cycles'!$F$22&gt;0,'Lease Cycles'!$C$22*'Lease Cycles'!$E$22/12,0),IF(CN250=1,IF('Lease Cycles'!$AT$22&gt;=9999,'Lease Cycles'!$C$22*INDEX('Lease Cycles'!$CB$22:$CH$22,1,CN248)*(1+INDEX('Lease Cycles'!$CI$22:$CO$22,1,CN248))^INT(INT(CN249/12)/INDEX('Lease Cycles'!$CP$22:$CV$22,1,CN248))/12,IF(CN248=1,IF(CN249&gt;=INDEX('Lease Cycles'!$DK$22:$DQ$22,1,CN248),IF(CN$6&gt;='Lease Cycles'!$AZ$22,'Lease Cycles'!$C$22*'Lease Cycles'!$BA$22/12,IF(CN$6&gt;='Lease Cycles'!$AX$22,'Lease Cycles'!$C$22*'Lease Cycles'!$AY$22/12,IF(CN$6&gt;='Lease Cycles'!$AV$22,'Lease Cycles'!$C$22*'Lease Cycles'!$AW$22/12,IF(CN$6&gt;='Lease Cycles'!$AT$22,'Lease Cycles'!$C$22*'Lease Cycles'!$AU$22/12,'Lease Cycles'!$C$22*INDEX('Lease Cycles'!$CB$22:$CH$22,1,CN248)*(1+INDEX('Lease Cycles'!$CI$22:$CO$22,1,CN248))^INT(INT(CN249/12)/INDEX('Lease Cycles'!$CP$22:$CV$22,1,CN248))/12)))),'Lease Cycles'!$C$22*INDEX('Lease Cycles'!$CB$22:$CH$22,1,CN248)*(1+INDEX('Lease Cycles'!$CI$22:$CO$22,1,CN248))^INT(INT(CN249/12)/INDEX('Lease Cycles'!$CP$22:$CV$22,1,CN248))/12),IF(INDEX('Lease Cycles'!$EF$22:$EL$22,1,CN248)=1,IF(AND('Lease Cycles'!$AZ$22&gt;=INDEX('Lease Cycles'!$BG$22:$BM$22,1,CN248),'Lease Cycles'!$AZ$22&lt;=CN$6),'Lease Cycles'!$C$22*'Lease Cycles'!$BA$22/12,IF(AND('Lease Cycles'!$AX$22&gt;=INDEX('Lease Cycles'!$BG$22:$BM$22,1,CN248),'Lease Cycles'!$AX$22&lt;=CN$6),'Lease Cycles'!$C$22*'Lease Cycles'!$AY$22/12,IF(AND('Lease Cycles'!$AV$22&gt;=INDEX('Lease Cycles'!$BG$22:$BM$22,1,CN248),'Lease Cycles'!$AV$22&lt;=CN$6),'Lease Cycles'!$C$22*'Lease Cycles'!$AW$22/12,IF(AND('Lease Cycles'!$AT$22&gt;=INDEX('Lease Cycles'!$BG$22:$BM$22,1,CN248),'Lease Cycles'!$AT$22&lt;=CN$6),'Lease Cycles'!$C$22*'Lease Cycles'!$AU$22/12,'Lease Cycles'!$C$22*INDEX('Lease Cycles'!$CB$22:$CH$22,1,CN248)*(1+INDEX('Lease Cycles'!$CI$22:$CO$22,1,CN248))^INT(INT(CN249/12)/INDEX('Lease Cycles'!$CP$22:$CV$22,1,CN248))/12)))),'Lease Cycles'!$C$22*INDEX('Lease Cycles'!$CB$22:$CH$22,1,CN248)*(1+INDEX('Lease Cycles'!$CI$22:$CO$22,1,CN248))^INT(INT(CN249/12)/INDEX('Lease Cycles'!$CP$22:$CV$22,1,CN248))/12))),IF('Lease Cycles'!$N$22=1,'Lease Cycles'!$C$22*'Lease Cycles'!$E$22*INDEX('Lease Cycles'!$HE$22:$HK$22,1,CN248)*(1+INDEX('Lease Cycles'!$GQ$22:$GW$22,1,CN248))^INT(INT((CN$6-INDEX('Lease Cycles'!$GJ$22:$GP$22,1,CN248))/12)/INDEX('Lease Cycles'!$GX$22:$HD$22,1,CN248))/12,0)))</f>
        <v>0</v>
      </c>
      <c r="CO251" s="28">
        <f>IF(CO248=0,IF('Lease Cycles'!$F$22&gt;0,'Lease Cycles'!$C$22*'Lease Cycles'!$E$22/12,0),IF(CO250=1,IF('Lease Cycles'!$AT$22&gt;=9999,'Lease Cycles'!$C$22*INDEX('Lease Cycles'!$CB$22:$CH$22,1,CO248)*(1+INDEX('Lease Cycles'!$CI$22:$CO$22,1,CO248))^INT(INT(CO249/12)/INDEX('Lease Cycles'!$CP$22:$CV$22,1,CO248))/12,IF(CO248=1,IF(CO249&gt;=INDEX('Lease Cycles'!$DK$22:$DQ$22,1,CO248),IF(CO$6&gt;='Lease Cycles'!$AZ$22,'Lease Cycles'!$C$22*'Lease Cycles'!$BA$22/12,IF(CO$6&gt;='Lease Cycles'!$AX$22,'Lease Cycles'!$C$22*'Lease Cycles'!$AY$22/12,IF(CO$6&gt;='Lease Cycles'!$AV$22,'Lease Cycles'!$C$22*'Lease Cycles'!$AW$22/12,IF(CO$6&gt;='Lease Cycles'!$AT$22,'Lease Cycles'!$C$22*'Lease Cycles'!$AU$22/12,'Lease Cycles'!$C$22*INDEX('Lease Cycles'!$CB$22:$CH$22,1,CO248)*(1+INDEX('Lease Cycles'!$CI$22:$CO$22,1,CO248))^INT(INT(CO249/12)/INDEX('Lease Cycles'!$CP$22:$CV$22,1,CO248))/12)))),'Lease Cycles'!$C$22*INDEX('Lease Cycles'!$CB$22:$CH$22,1,CO248)*(1+INDEX('Lease Cycles'!$CI$22:$CO$22,1,CO248))^INT(INT(CO249/12)/INDEX('Lease Cycles'!$CP$22:$CV$22,1,CO248))/12),IF(INDEX('Lease Cycles'!$EF$22:$EL$22,1,CO248)=1,IF(AND('Lease Cycles'!$AZ$22&gt;=INDEX('Lease Cycles'!$BG$22:$BM$22,1,CO248),'Lease Cycles'!$AZ$22&lt;=CO$6),'Lease Cycles'!$C$22*'Lease Cycles'!$BA$22/12,IF(AND('Lease Cycles'!$AX$22&gt;=INDEX('Lease Cycles'!$BG$22:$BM$22,1,CO248),'Lease Cycles'!$AX$22&lt;=CO$6),'Lease Cycles'!$C$22*'Lease Cycles'!$AY$22/12,IF(AND('Lease Cycles'!$AV$22&gt;=INDEX('Lease Cycles'!$BG$22:$BM$22,1,CO248),'Lease Cycles'!$AV$22&lt;=CO$6),'Lease Cycles'!$C$22*'Lease Cycles'!$AW$22/12,IF(AND('Lease Cycles'!$AT$22&gt;=INDEX('Lease Cycles'!$BG$22:$BM$22,1,CO248),'Lease Cycles'!$AT$22&lt;=CO$6),'Lease Cycles'!$C$22*'Lease Cycles'!$AU$22/12,'Lease Cycles'!$C$22*INDEX('Lease Cycles'!$CB$22:$CH$22,1,CO248)*(1+INDEX('Lease Cycles'!$CI$22:$CO$22,1,CO248))^INT(INT(CO249/12)/INDEX('Lease Cycles'!$CP$22:$CV$22,1,CO248))/12)))),'Lease Cycles'!$C$22*INDEX('Lease Cycles'!$CB$22:$CH$22,1,CO248)*(1+INDEX('Lease Cycles'!$CI$22:$CO$22,1,CO248))^INT(INT(CO249/12)/INDEX('Lease Cycles'!$CP$22:$CV$22,1,CO248))/12))),IF('Lease Cycles'!$N$22=1,'Lease Cycles'!$C$22*'Lease Cycles'!$E$22*INDEX('Lease Cycles'!$HE$22:$HK$22,1,CO248)*(1+INDEX('Lease Cycles'!$GQ$22:$GW$22,1,CO248))^INT(INT((CO$6-INDEX('Lease Cycles'!$GJ$22:$GP$22,1,CO248))/12)/INDEX('Lease Cycles'!$GX$22:$HD$22,1,CO248))/12,0)))</f>
        <v>0</v>
      </c>
      <c r="CP251" s="28">
        <f>IF(CP248=0,IF('Lease Cycles'!$F$22&gt;0,'Lease Cycles'!$C$22*'Lease Cycles'!$E$22/12,0),IF(CP250=1,IF('Lease Cycles'!$AT$22&gt;=9999,'Lease Cycles'!$C$22*INDEX('Lease Cycles'!$CB$22:$CH$22,1,CP248)*(1+INDEX('Lease Cycles'!$CI$22:$CO$22,1,CP248))^INT(INT(CP249/12)/INDEX('Lease Cycles'!$CP$22:$CV$22,1,CP248))/12,IF(CP248=1,IF(CP249&gt;=INDEX('Lease Cycles'!$DK$22:$DQ$22,1,CP248),IF(CP$6&gt;='Lease Cycles'!$AZ$22,'Lease Cycles'!$C$22*'Lease Cycles'!$BA$22/12,IF(CP$6&gt;='Lease Cycles'!$AX$22,'Lease Cycles'!$C$22*'Lease Cycles'!$AY$22/12,IF(CP$6&gt;='Lease Cycles'!$AV$22,'Lease Cycles'!$C$22*'Lease Cycles'!$AW$22/12,IF(CP$6&gt;='Lease Cycles'!$AT$22,'Lease Cycles'!$C$22*'Lease Cycles'!$AU$22/12,'Lease Cycles'!$C$22*INDEX('Lease Cycles'!$CB$22:$CH$22,1,CP248)*(1+INDEX('Lease Cycles'!$CI$22:$CO$22,1,CP248))^INT(INT(CP249/12)/INDEX('Lease Cycles'!$CP$22:$CV$22,1,CP248))/12)))),'Lease Cycles'!$C$22*INDEX('Lease Cycles'!$CB$22:$CH$22,1,CP248)*(1+INDEX('Lease Cycles'!$CI$22:$CO$22,1,CP248))^INT(INT(CP249/12)/INDEX('Lease Cycles'!$CP$22:$CV$22,1,CP248))/12),IF(INDEX('Lease Cycles'!$EF$22:$EL$22,1,CP248)=1,IF(AND('Lease Cycles'!$AZ$22&gt;=INDEX('Lease Cycles'!$BG$22:$BM$22,1,CP248),'Lease Cycles'!$AZ$22&lt;=CP$6),'Lease Cycles'!$C$22*'Lease Cycles'!$BA$22/12,IF(AND('Lease Cycles'!$AX$22&gt;=INDEX('Lease Cycles'!$BG$22:$BM$22,1,CP248),'Lease Cycles'!$AX$22&lt;=CP$6),'Lease Cycles'!$C$22*'Lease Cycles'!$AY$22/12,IF(AND('Lease Cycles'!$AV$22&gt;=INDEX('Lease Cycles'!$BG$22:$BM$22,1,CP248),'Lease Cycles'!$AV$22&lt;=CP$6),'Lease Cycles'!$C$22*'Lease Cycles'!$AW$22/12,IF(AND('Lease Cycles'!$AT$22&gt;=INDEX('Lease Cycles'!$BG$22:$BM$22,1,CP248),'Lease Cycles'!$AT$22&lt;=CP$6),'Lease Cycles'!$C$22*'Lease Cycles'!$AU$22/12,'Lease Cycles'!$C$22*INDEX('Lease Cycles'!$CB$22:$CH$22,1,CP248)*(1+INDEX('Lease Cycles'!$CI$22:$CO$22,1,CP248))^INT(INT(CP249/12)/INDEX('Lease Cycles'!$CP$22:$CV$22,1,CP248))/12)))),'Lease Cycles'!$C$22*INDEX('Lease Cycles'!$CB$22:$CH$22,1,CP248)*(1+INDEX('Lease Cycles'!$CI$22:$CO$22,1,CP248))^INT(INT(CP249/12)/INDEX('Lease Cycles'!$CP$22:$CV$22,1,CP248))/12))),IF('Lease Cycles'!$N$22=1,'Lease Cycles'!$C$22*'Lease Cycles'!$E$22*INDEX('Lease Cycles'!$HE$22:$HK$22,1,CP248)*(1+INDEX('Lease Cycles'!$GQ$22:$GW$22,1,CP248))^INT(INT((CP$6-INDEX('Lease Cycles'!$GJ$22:$GP$22,1,CP248))/12)/INDEX('Lease Cycles'!$GX$22:$HD$22,1,CP248))/12,0)))</f>
        <v>0</v>
      </c>
      <c r="CQ251" s="28">
        <f>IF(CQ248=0,IF('Lease Cycles'!$F$22&gt;0,'Lease Cycles'!$C$22*'Lease Cycles'!$E$22/12,0),IF(CQ250=1,IF('Lease Cycles'!$AT$22&gt;=9999,'Lease Cycles'!$C$22*INDEX('Lease Cycles'!$CB$22:$CH$22,1,CQ248)*(1+INDEX('Lease Cycles'!$CI$22:$CO$22,1,CQ248))^INT(INT(CQ249/12)/INDEX('Lease Cycles'!$CP$22:$CV$22,1,CQ248))/12,IF(CQ248=1,IF(CQ249&gt;=INDEX('Lease Cycles'!$DK$22:$DQ$22,1,CQ248),IF(CQ$6&gt;='Lease Cycles'!$AZ$22,'Lease Cycles'!$C$22*'Lease Cycles'!$BA$22/12,IF(CQ$6&gt;='Lease Cycles'!$AX$22,'Lease Cycles'!$C$22*'Lease Cycles'!$AY$22/12,IF(CQ$6&gt;='Lease Cycles'!$AV$22,'Lease Cycles'!$C$22*'Lease Cycles'!$AW$22/12,IF(CQ$6&gt;='Lease Cycles'!$AT$22,'Lease Cycles'!$C$22*'Lease Cycles'!$AU$22/12,'Lease Cycles'!$C$22*INDEX('Lease Cycles'!$CB$22:$CH$22,1,CQ248)*(1+INDEX('Lease Cycles'!$CI$22:$CO$22,1,CQ248))^INT(INT(CQ249/12)/INDEX('Lease Cycles'!$CP$22:$CV$22,1,CQ248))/12)))),'Lease Cycles'!$C$22*INDEX('Lease Cycles'!$CB$22:$CH$22,1,CQ248)*(1+INDEX('Lease Cycles'!$CI$22:$CO$22,1,CQ248))^INT(INT(CQ249/12)/INDEX('Lease Cycles'!$CP$22:$CV$22,1,CQ248))/12),IF(INDEX('Lease Cycles'!$EF$22:$EL$22,1,CQ248)=1,IF(AND('Lease Cycles'!$AZ$22&gt;=INDEX('Lease Cycles'!$BG$22:$BM$22,1,CQ248),'Lease Cycles'!$AZ$22&lt;=CQ$6),'Lease Cycles'!$C$22*'Lease Cycles'!$BA$22/12,IF(AND('Lease Cycles'!$AX$22&gt;=INDEX('Lease Cycles'!$BG$22:$BM$22,1,CQ248),'Lease Cycles'!$AX$22&lt;=CQ$6),'Lease Cycles'!$C$22*'Lease Cycles'!$AY$22/12,IF(AND('Lease Cycles'!$AV$22&gt;=INDEX('Lease Cycles'!$BG$22:$BM$22,1,CQ248),'Lease Cycles'!$AV$22&lt;=CQ$6),'Lease Cycles'!$C$22*'Lease Cycles'!$AW$22/12,IF(AND('Lease Cycles'!$AT$22&gt;=INDEX('Lease Cycles'!$BG$22:$BM$22,1,CQ248),'Lease Cycles'!$AT$22&lt;=CQ$6),'Lease Cycles'!$C$22*'Lease Cycles'!$AU$22/12,'Lease Cycles'!$C$22*INDEX('Lease Cycles'!$CB$22:$CH$22,1,CQ248)*(1+INDEX('Lease Cycles'!$CI$22:$CO$22,1,CQ248))^INT(INT(CQ249/12)/INDEX('Lease Cycles'!$CP$22:$CV$22,1,CQ248))/12)))),'Lease Cycles'!$C$22*INDEX('Lease Cycles'!$CB$22:$CH$22,1,CQ248)*(1+INDEX('Lease Cycles'!$CI$22:$CO$22,1,CQ248))^INT(INT(CQ249/12)/INDEX('Lease Cycles'!$CP$22:$CV$22,1,CQ248))/12))),IF('Lease Cycles'!$N$22=1,'Lease Cycles'!$C$22*'Lease Cycles'!$E$22*INDEX('Lease Cycles'!$HE$22:$HK$22,1,CQ248)*(1+INDEX('Lease Cycles'!$GQ$22:$GW$22,1,CQ248))^INT(INT((CQ$6-INDEX('Lease Cycles'!$GJ$22:$GP$22,1,CQ248))/12)/INDEX('Lease Cycles'!$GX$22:$HD$22,1,CQ248))/12,0)))</f>
        <v>0</v>
      </c>
      <c r="CR251" s="28">
        <f>IF(CR248=0,IF('Lease Cycles'!$F$22&gt;0,'Lease Cycles'!$C$22*'Lease Cycles'!$E$22/12,0),IF(CR250=1,IF('Lease Cycles'!$AT$22&gt;=9999,'Lease Cycles'!$C$22*INDEX('Lease Cycles'!$CB$22:$CH$22,1,CR248)*(1+INDEX('Lease Cycles'!$CI$22:$CO$22,1,CR248))^INT(INT(CR249/12)/INDEX('Lease Cycles'!$CP$22:$CV$22,1,CR248))/12,IF(CR248=1,IF(CR249&gt;=INDEX('Lease Cycles'!$DK$22:$DQ$22,1,CR248),IF(CR$6&gt;='Lease Cycles'!$AZ$22,'Lease Cycles'!$C$22*'Lease Cycles'!$BA$22/12,IF(CR$6&gt;='Lease Cycles'!$AX$22,'Lease Cycles'!$C$22*'Lease Cycles'!$AY$22/12,IF(CR$6&gt;='Lease Cycles'!$AV$22,'Lease Cycles'!$C$22*'Lease Cycles'!$AW$22/12,IF(CR$6&gt;='Lease Cycles'!$AT$22,'Lease Cycles'!$C$22*'Lease Cycles'!$AU$22/12,'Lease Cycles'!$C$22*INDEX('Lease Cycles'!$CB$22:$CH$22,1,CR248)*(1+INDEX('Lease Cycles'!$CI$22:$CO$22,1,CR248))^INT(INT(CR249/12)/INDEX('Lease Cycles'!$CP$22:$CV$22,1,CR248))/12)))),'Lease Cycles'!$C$22*INDEX('Lease Cycles'!$CB$22:$CH$22,1,CR248)*(1+INDEX('Lease Cycles'!$CI$22:$CO$22,1,CR248))^INT(INT(CR249/12)/INDEX('Lease Cycles'!$CP$22:$CV$22,1,CR248))/12),IF(INDEX('Lease Cycles'!$EF$22:$EL$22,1,CR248)=1,IF(AND('Lease Cycles'!$AZ$22&gt;=INDEX('Lease Cycles'!$BG$22:$BM$22,1,CR248),'Lease Cycles'!$AZ$22&lt;=CR$6),'Lease Cycles'!$C$22*'Lease Cycles'!$BA$22/12,IF(AND('Lease Cycles'!$AX$22&gt;=INDEX('Lease Cycles'!$BG$22:$BM$22,1,CR248),'Lease Cycles'!$AX$22&lt;=CR$6),'Lease Cycles'!$C$22*'Lease Cycles'!$AY$22/12,IF(AND('Lease Cycles'!$AV$22&gt;=INDEX('Lease Cycles'!$BG$22:$BM$22,1,CR248),'Lease Cycles'!$AV$22&lt;=CR$6),'Lease Cycles'!$C$22*'Lease Cycles'!$AW$22/12,IF(AND('Lease Cycles'!$AT$22&gt;=INDEX('Lease Cycles'!$BG$22:$BM$22,1,CR248),'Lease Cycles'!$AT$22&lt;=CR$6),'Lease Cycles'!$C$22*'Lease Cycles'!$AU$22/12,'Lease Cycles'!$C$22*INDEX('Lease Cycles'!$CB$22:$CH$22,1,CR248)*(1+INDEX('Lease Cycles'!$CI$22:$CO$22,1,CR248))^INT(INT(CR249/12)/INDEX('Lease Cycles'!$CP$22:$CV$22,1,CR248))/12)))),'Lease Cycles'!$C$22*INDEX('Lease Cycles'!$CB$22:$CH$22,1,CR248)*(1+INDEX('Lease Cycles'!$CI$22:$CO$22,1,CR248))^INT(INT(CR249/12)/INDEX('Lease Cycles'!$CP$22:$CV$22,1,CR248))/12))),IF('Lease Cycles'!$N$22=1,'Lease Cycles'!$C$22*'Lease Cycles'!$E$22*INDEX('Lease Cycles'!$HE$22:$HK$22,1,CR248)*(1+INDEX('Lease Cycles'!$GQ$22:$GW$22,1,CR248))^INT(INT((CR$6-INDEX('Lease Cycles'!$GJ$22:$GP$22,1,CR248))/12)/INDEX('Lease Cycles'!$GX$22:$HD$22,1,CR248))/12,0)))</f>
        <v>0</v>
      </c>
      <c r="CS251" s="28">
        <f>IF(CS248=0,IF('Lease Cycles'!$F$22&gt;0,'Lease Cycles'!$C$22*'Lease Cycles'!$E$22/12,0),IF(CS250=1,IF('Lease Cycles'!$AT$22&gt;=9999,'Lease Cycles'!$C$22*INDEX('Lease Cycles'!$CB$22:$CH$22,1,CS248)*(1+INDEX('Lease Cycles'!$CI$22:$CO$22,1,CS248))^INT(INT(CS249/12)/INDEX('Lease Cycles'!$CP$22:$CV$22,1,CS248))/12,IF(CS248=1,IF(CS249&gt;=INDEX('Lease Cycles'!$DK$22:$DQ$22,1,CS248),IF(CS$6&gt;='Lease Cycles'!$AZ$22,'Lease Cycles'!$C$22*'Lease Cycles'!$BA$22/12,IF(CS$6&gt;='Lease Cycles'!$AX$22,'Lease Cycles'!$C$22*'Lease Cycles'!$AY$22/12,IF(CS$6&gt;='Lease Cycles'!$AV$22,'Lease Cycles'!$C$22*'Lease Cycles'!$AW$22/12,IF(CS$6&gt;='Lease Cycles'!$AT$22,'Lease Cycles'!$C$22*'Lease Cycles'!$AU$22/12,'Lease Cycles'!$C$22*INDEX('Lease Cycles'!$CB$22:$CH$22,1,CS248)*(1+INDEX('Lease Cycles'!$CI$22:$CO$22,1,CS248))^INT(INT(CS249/12)/INDEX('Lease Cycles'!$CP$22:$CV$22,1,CS248))/12)))),'Lease Cycles'!$C$22*INDEX('Lease Cycles'!$CB$22:$CH$22,1,CS248)*(1+INDEX('Lease Cycles'!$CI$22:$CO$22,1,CS248))^INT(INT(CS249/12)/INDEX('Lease Cycles'!$CP$22:$CV$22,1,CS248))/12),IF(INDEX('Lease Cycles'!$EF$22:$EL$22,1,CS248)=1,IF(AND('Lease Cycles'!$AZ$22&gt;=INDEX('Lease Cycles'!$BG$22:$BM$22,1,CS248),'Lease Cycles'!$AZ$22&lt;=CS$6),'Lease Cycles'!$C$22*'Lease Cycles'!$BA$22/12,IF(AND('Lease Cycles'!$AX$22&gt;=INDEX('Lease Cycles'!$BG$22:$BM$22,1,CS248),'Lease Cycles'!$AX$22&lt;=CS$6),'Lease Cycles'!$C$22*'Lease Cycles'!$AY$22/12,IF(AND('Lease Cycles'!$AV$22&gt;=INDEX('Lease Cycles'!$BG$22:$BM$22,1,CS248),'Lease Cycles'!$AV$22&lt;=CS$6),'Lease Cycles'!$C$22*'Lease Cycles'!$AW$22/12,IF(AND('Lease Cycles'!$AT$22&gt;=INDEX('Lease Cycles'!$BG$22:$BM$22,1,CS248),'Lease Cycles'!$AT$22&lt;=CS$6),'Lease Cycles'!$C$22*'Lease Cycles'!$AU$22/12,'Lease Cycles'!$C$22*INDEX('Lease Cycles'!$CB$22:$CH$22,1,CS248)*(1+INDEX('Lease Cycles'!$CI$22:$CO$22,1,CS248))^INT(INT(CS249/12)/INDEX('Lease Cycles'!$CP$22:$CV$22,1,CS248))/12)))),'Lease Cycles'!$C$22*INDEX('Lease Cycles'!$CB$22:$CH$22,1,CS248)*(1+INDEX('Lease Cycles'!$CI$22:$CO$22,1,CS248))^INT(INT(CS249/12)/INDEX('Lease Cycles'!$CP$22:$CV$22,1,CS248))/12))),IF('Lease Cycles'!$N$22=1,'Lease Cycles'!$C$22*'Lease Cycles'!$E$22*INDEX('Lease Cycles'!$HE$22:$HK$22,1,CS248)*(1+INDEX('Lease Cycles'!$GQ$22:$GW$22,1,CS248))^INT(INT((CS$6-INDEX('Lease Cycles'!$GJ$22:$GP$22,1,CS248))/12)/INDEX('Lease Cycles'!$GX$22:$HD$22,1,CS248))/12,0)))</f>
        <v>0</v>
      </c>
      <c r="CT251" s="28">
        <f>IF(CT248=0,IF('Lease Cycles'!$F$22&gt;0,'Lease Cycles'!$C$22*'Lease Cycles'!$E$22/12,0),IF(CT250=1,IF('Lease Cycles'!$AT$22&gt;=9999,'Lease Cycles'!$C$22*INDEX('Lease Cycles'!$CB$22:$CH$22,1,CT248)*(1+INDEX('Lease Cycles'!$CI$22:$CO$22,1,CT248))^INT(INT(CT249/12)/INDEX('Lease Cycles'!$CP$22:$CV$22,1,CT248))/12,IF(CT248=1,IF(CT249&gt;=INDEX('Lease Cycles'!$DK$22:$DQ$22,1,CT248),IF(CT$6&gt;='Lease Cycles'!$AZ$22,'Lease Cycles'!$C$22*'Lease Cycles'!$BA$22/12,IF(CT$6&gt;='Lease Cycles'!$AX$22,'Lease Cycles'!$C$22*'Lease Cycles'!$AY$22/12,IF(CT$6&gt;='Lease Cycles'!$AV$22,'Lease Cycles'!$C$22*'Lease Cycles'!$AW$22/12,IF(CT$6&gt;='Lease Cycles'!$AT$22,'Lease Cycles'!$C$22*'Lease Cycles'!$AU$22/12,'Lease Cycles'!$C$22*INDEX('Lease Cycles'!$CB$22:$CH$22,1,CT248)*(1+INDEX('Lease Cycles'!$CI$22:$CO$22,1,CT248))^INT(INT(CT249/12)/INDEX('Lease Cycles'!$CP$22:$CV$22,1,CT248))/12)))),'Lease Cycles'!$C$22*INDEX('Lease Cycles'!$CB$22:$CH$22,1,CT248)*(1+INDEX('Lease Cycles'!$CI$22:$CO$22,1,CT248))^INT(INT(CT249/12)/INDEX('Lease Cycles'!$CP$22:$CV$22,1,CT248))/12),IF(INDEX('Lease Cycles'!$EF$22:$EL$22,1,CT248)=1,IF(AND('Lease Cycles'!$AZ$22&gt;=INDEX('Lease Cycles'!$BG$22:$BM$22,1,CT248),'Lease Cycles'!$AZ$22&lt;=CT$6),'Lease Cycles'!$C$22*'Lease Cycles'!$BA$22/12,IF(AND('Lease Cycles'!$AX$22&gt;=INDEX('Lease Cycles'!$BG$22:$BM$22,1,CT248),'Lease Cycles'!$AX$22&lt;=CT$6),'Lease Cycles'!$C$22*'Lease Cycles'!$AY$22/12,IF(AND('Lease Cycles'!$AV$22&gt;=INDEX('Lease Cycles'!$BG$22:$BM$22,1,CT248),'Lease Cycles'!$AV$22&lt;=CT$6),'Lease Cycles'!$C$22*'Lease Cycles'!$AW$22/12,IF(AND('Lease Cycles'!$AT$22&gt;=INDEX('Lease Cycles'!$BG$22:$BM$22,1,CT248),'Lease Cycles'!$AT$22&lt;=CT$6),'Lease Cycles'!$C$22*'Lease Cycles'!$AU$22/12,'Lease Cycles'!$C$22*INDEX('Lease Cycles'!$CB$22:$CH$22,1,CT248)*(1+INDEX('Lease Cycles'!$CI$22:$CO$22,1,CT248))^INT(INT(CT249/12)/INDEX('Lease Cycles'!$CP$22:$CV$22,1,CT248))/12)))),'Lease Cycles'!$C$22*INDEX('Lease Cycles'!$CB$22:$CH$22,1,CT248)*(1+INDEX('Lease Cycles'!$CI$22:$CO$22,1,CT248))^INT(INT(CT249/12)/INDEX('Lease Cycles'!$CP$22:$CV$22,1,CT248))/12))),IF('Lease Cycles'!$N$22=1,'Lease Cycles'!$C$22*'Lease Cycles'!$E$22*INDEX('Lease Cycles'!$HE$22:$HK$22,1,CT248)*(1+INDEX('Lease Cycles'!$GQ$22:$GW$22,1,CT248))^INT(INT((CT$6-INDEX('Lease Cycles'!$GJ$22:$GP$22,1,CT248))/12)/INDEX('Lease Cycles'!$GX$22:$HD$22,1,CT248))/12,0)))</f>
        <v>0</v>
      </c>
      <c r="CU251" s="28">
        <f>IF(CU248=0,IF('Lease Cycles'!$F$22&gt;0,'Lease Cycles'!$C$22*'Lease Cycles'!$E$22/12,0),IF(CU250=1,IF('Lease Cycles'!$AT$22&gt;=9999,'Lease Cycles'!$C$22*INDEX('Lease Cycles'!$CB$22:$CH$22,1,CU248)*(1+INDEX('Lease Cycles'!$CI$22:$CO$22,1,CU248))^INT(INT(CU249/12)/INDEX('Lease Cycles'!$CP$22:$CV$22,1,CU248))/12,IF(CU248=1,IF(CU249&gt;=INDEX('Lease Cycles'!$DK$22:$DQ$22,1,CU248),IF(CU$6&gt;='Lease Cycles'!$AZ$22,'Lease Cycles'!$C$22*'Lease Cycles'!$BA$22/12,IF(CU$6&gt;='Lease Cycles'!$AX$22,'Lease Cycles'!$C$22*'Lease Cycles'!$AY$22/12,IF(CU$6&gt;='Lease Cycles'!$AV$22,'Lease Cycles'!$C$22*'Lease Cycles'!$AW$22/12,IF(CU$6&gt;='Lease Cycles'!$AT$22,'Lease Cycles'!$C$22*'Lease Cycles'!$AU$22/12,'Lease Cycles'!$C$22*INDEX('Lease Cycles'!$CB$22:$CH$22,1,CU248)*(1+INDEX('Lease Cycles'!$CI$22:$CO$22,1,CU248))^INT(INT(CU249/12)/INDEX('Lease Cycles'!$CP$22:$CV$22,1,CU248))/12)))),'Lease Cycles'!$C$22*INDEX('Lease Cycles'!$CB$22:$CH$22,1,CU248)*(1+INDEX('Lease Cycles'!$CI$22:$CO$22,1,CU248))^INT(INT(CU249/12)/INDEX('Lease Cycles'!$CP$22:$CV$22,1,CU248))/12),IF(INDEX('Lease Cycles'!$EF$22:$EL$22,1,CU248)=1,IF(AND('Lease Cycles'!$AZ$22&gt;=INDEX('Lease Cycles'!$BG$22:$BM$22,1,CU248),'Lease Cycles'!$AZ$22&lt;=CU$6),'Lease Cycles'!$C$22*'Lease Cycles'!$BA$22/12,IF(AND('Lease Cycles'!$AX$22&gt;=INDEX('Lease Cycles'!$BG$22:$BM$22,1,CU248),'Lease Cycles'!$AX$22&lt;=CU$6),'Lease Cycles'!$C$22*'Lease Cycles'!$AY$22/12,IF(AND('Lease Cycles'!$AV$22&gt;=INDEX('Lease Cycles'!$BG$22:$BM$22,1,CU248),'Lease Cycles'!$AV$22&lt;=CU$6),'Lease Cycles'!$C$22*'Lease Cycles'!$AW$22/12,IF(AND('Lease Cycles'!$AT$22&gt;=INDEX('Lease Cycles'!$BG$22:$BM$22,1,CU248),'Lease Cycles'!$AT$22&lt;=CU$6),'Lease Cycles'!$C$22*'Lease Cycles'!$AU$22/12,'Lease Cycles'!$C$22*INDEX('Lease Cycles'!$CB$22:$CH$22,1,CU248)*(1+INDEX('Lease Cycles'!$CI$22:$CO$22,1,CU248))^INT(INT(CU249/12)/INDEX('Lease Cycles'!$CP$22:$CV$22,1,CU248))/12)))),'Lease Cycles'!$C$22*INDEX('Lease Cycles'!$CB$22:$CH$22,1,CU248)*(1+INDEX('Lease Cycles'!$CI$22:$CO$22,1,CU248))^INT(INT(CU249/12)/INDEX('Lease Cycles'!$CP$22:$CV$22,1,CU248))/12))),IF('Lease Cycles'!$N$22=1,'Lease Cycles'!$C$22*'Lease Cycles'!$E$22*INDEX('Lease Cycles'!$HE$22:$HK$22,1,CU248)*(1+INDEX('Lease Cycles'!$GQ$22:$GW$22,1,CU248))^INT(INT((CU$6-INDEX('Lease Cycles'!$GJ$22:$GP$22,1,CU248))/12)/INDEX('Lease Cycles'!$GX$22:$HD$22,1,CU248))/12,0)))</f>
        <v>0</v>
      </c>
      <c r="CV251" s="28">
        <f>IF(CV248=0,IF('Lease Cycles'!$F$22&gt;0,'Lease Cycles'!$C$22*'Lease Cycles'!$E$22/12,0),IF(CV250=1,IF('Lease Cycles'!$AT$22&gt;=9999,'Lease Cycles'!$C$22*INDEX('Lease Cycles'!$CB$22:$CH$22,1,CV248)*(1+INDEX('Lease Cycles'!$CI$22:$CO$22,1,CV248))^INT(INT(CV249/12)/INDEX('Lease Cycles'!$CP$22:$CV$22,1,CV248))/12,IF(CV248=1,IF(CV249&gt;=INDEX('Lease Cycles'!$DK$22:$DQ$22,1,CV248),IF(CV$6&gt;='Lease Cycles'!$AZ$22,'Lease Cycles'!$C$22*'Lease Cycles'!$BA$22/12,IF(CV$6&gt;='Lease Cycles'!$AX$22,'Lease Cycles'!$C$22*'Lease Cycles'!$AY$22/12,IF(CV$6&gt;='Lease Cycles'!$AV$22,'Lease Cycles'!$C$22*'Lease Cycles'!$AW$22/12,IF(CV$6&gt;='Lease Cycles'!$AT$22,'Lease Cycles'!$C$22*'Lease Cycles'!$AU$22/12,'Lease Cycles'!$C$22*INDEX('Lease Cycles'!$CB$22:$CH$22,1,CV248)*(1+INDEX('Lease Cycles'!$CI$22:$CO$22,1,CV248))^INT(INT(CV249/12)/INDEX('Lease Cycles'!$CP$22:$CV$22,1,CV248))/12)))),'Lease Cycles'!$C$22*INDEX('Lease Cycles'!$CB$22:$CH$22,1,CV248)*(1+INDEX('Lease Cycles'!$CI$22:$CO$22,1,CV248))^INT(INT(CV249/12)/INDEX('Lease Cycles'!$CP$22:$CV$22,1,CV248))/12),IF(INDEX('Lease Cycles'!$EF$22:$EL$22,1,CV248)=1,IF(AND('Lease Cycles'!$AZ$22&gt;=INDEX('Lease Cycles'!$BG$22:$BM$22,1,CV248),'Lease Cycles'!$AZ$22&lt;=CV$6),'Lease Cycles'!$C$22*'Lease Cycles'!$BA$22/12,IF(AND('Lease Cycles'!$AX$22&gt;=INDEX('Lease Cycles'!$BG$22:$BM$22,1,CV248),'Lease Cycles'!$AX$22&lt;=CV$6),'Lease Cycles'!$C$22*'Lease Cycles'!$AY$22/12,IF(AND('Lease Cycles'!$AV$22&gt;=INDEX('Lease Cycles'!$BG$22:$BM$22,1,CV248),'Lease Cycles'!$AV$22&lt;=CV$6),'Lease Cycles'!$C$22*'Lease Cycles'!$AW$22/12,IF(AND('Lease Cycles'!$AT$22&gt;=INDEX('Lease Cycles'!$BG$22:$BM$22,1,CV248),'Lease Cycles'!$AT$22&lt;=CV$6),'Lease Cycles'!$C$22*'Lease Cycles'!$AU$22/12,'Lease Cycles'!$C$22*INDEX('Lease Cycles'!$CB$22:$CH$22,1,CV248)*(1+INDEX('Lease Cycles'!$CI$22:$CO$22,1,CV248))^INT(INT(CV249/12)/INDEX('Lease Cycles'!$CP$22:$CV$22,1,CV248))/12)))),'Lease Cycles'!$C$22*INDEX('Lease Cycles'!$CB$22:$CH$22,1,CV248)*(1+INDEX('Lease Cycles'!$CI$22:$CO$22,1,CV248))^INT(INT(CV249/12)/INDEX('Lease Cycles'!$CP$22:$CV$22,1,CV248))/12))),IF('Lease Cycles'!$N$22=1,'Lease Cycles'!$C$22*'Lease Cycles'!$E$22*INDEX('Lease Cycles'!$HE$22:$HK$22,1,CV248)*(1+INDEX('Lease Cycles'!$GQ$22:$GW$22,1,CV248))^INT(INT((CV$6-INDEX('Lease Cycles'!$GJ$22:$GP$22,1,CV248))/12)/INDEX('Lease Cycles'!$GX$22:$HD$22,1,CV248))/12,0)))</f>
        <v>0</v>
      </c>
      <c r="CW251" s="28">
        <f>IF(CW248=0,IF('Lease Cycles'!$F$22&gt;0,'Lease Cycles'!$C$22*'Lease Cycles'!$E$22/12,0),IF(CW250=1,IF('Lease Cycles'!$AT$22&gt;=9999,'Lease Cycles'!$C$22*INDEX('Lease Cycles'!$CB$22:$CH$22,1,CW248)*(1+INDEX('Lease Cycles'!$CI$22:$CO$22,1,CW248))^INT(INT(CW249/12)/INDEX('Lease Cycles'!$CP$22:$CV$22,1,CW248))/12,IF(CW248=1,IF(CW249&gt;=INDEX('Lease Cycles'!$DK$22:$DQ$22,1,CW248),IF(CW$6&gt;='Lease Cycles'!$AZ$22,'Lease Cycles'!$C$22*'Lease Cycles'!$BA$22/12,IF(CW$6&gt;='Lease Cycles'!$AX$22,'Lease Cycles'!$C$22*'Lease Cycles'!$AY$22/12,IF(CW$6&gt;='Lease Cycles'!$AV$22,'Lease Cycles'!$C$22*'Lease Cycles'!$AW$22/12,IF(CW$6&gt;='Lease Cycles'!$AT$22,'Lease Cycles'!$C$22*'Lease Cycles'!$AU$22/12,'Lease Cycles'!$C$22*INDEX('Lease Cycles'!$CB$22:$CH$22,1,CW248)*(1+INDEX('Lease Cycles'!$CI$22:$CO$22,1,CW248))^INT(INT(CW249/12)/INDEX('Lease Cycles'!$CP$22:$CV$22,1,CW248))/12)))),'Lease Cycles'!$C$22*INDEX('Lease Cycles'!$CB$22:$CH$22,1,CW248)*(1+INDEX('Lease Cycles'!$CI$22:$CO$22,1,CW248))^INT(INT(CW249/12)/INDEX('Lease Cycles'!$CP$22:$CV$22,1,CW248))/12),IF(INDEX('Lease Cycles'!$EF$22:$EL$22,1,CW248)=1,IF(AND('Lease Cycles'!$AZ$22&gt;=INDEX('Lease Cycles'!$BG$22:$BM$22,1,CW248),'Lease Cycles'!$AZ$22&lt;=CW$6),'Lease Cycles'!$C$22*'Lease Cycles'!$BA$22/12,IF(AND('Lease Cycles'!$AX$22&gt;=INDEX('Lease Cycles'!$BG$22:$BM$22,1,CW248),'Lease Cycles'!$AX$22&lt;=CW$6),'Lease Cycles'!$C$22*'Lease Cycles'!$AY$22/12,IF(AND('Lease Cycles'!$AV$22&gt;=INDEX('Lease Cycles'!$BG$22:$BM$22,1,CW248),'Lease Cycles'!$AV$22&lt;=CW$6),'Lease Cycles'!$C$22*'Lease Cycles'!$AW$22/12,IF(AND('Lease Cycles'!$AT$22&gt;=INDEX('Lease Cycles'!$BG$22:$BM$22,1,CW248),'Lease Cycles'!$AT$22&lt;=CW$6),'Lease Cycles'!$C$22*'Lease Cycles'!$AU$22/12,'Lease Cycles'!$C$22*INDEX('Lease Cycles'!$CB$22:$CH$22,1,CW248)*(1+INDEX('Lease Cycles'!$CI$22:$CO$22,1,CW248))^INT(INT(CW249/12)/INDEX('Lease Cycles'!$CP$22:$CV$22,1,CW248))/12)))),'Lease Cycles'!$C$22*INDEX('Lease Cycles'!$CB$22:$CH$22,1,CW248)*(1+INDEX('Lease Cycles'!$CI$22:$CO$22,1,CW248))^INT(INT(CW249/12)/INDEX('Lease Cycles'!$CP$22:$CV$22,1,CW248))/12))),IF('Lease Cycles'!$N$22=1,'Lease Cycles'!$C$22*'Lease Cycles'!$E$22*INDEX('Lease Cycles'!$HE$22:$HK$22,1,CW248)*(1+INDEX('Lease Cycles'!$GQ$22:$GW$22,1,CW248))^INT(INT((CW$6-INDEX('Lease Cycles'!$GJ$22:$GP$22,1,CW248))/12)/INDEX('Lease Cycles'!$GX$22:$HD$22,1,CW248))/12,0)))</f>
        <v>0</v>
      </c>
      <c r="CX251" s="28">
        <f>IF(CX248=0,IF('Lease Cycles'!$F$22&gt;0,'Lease Cycles'!$C$22*'Lease Cycles'!$E$22/12,0),IF(CX250=1,IF('Lease Cycles'!$AT$22&gt;=9999,'Lease Cycles'!$C$22*INDEX('Lease Cycles'!$CB$22:$CH$22,1,CX248)*(1+INDEX('Lease Cycles'!$CI$22:$CO$22,1,CX248))^INT(INT(CX249/12)/INDEX('Lease Cycles'!$CP$22:$CV$22,1,CX248))/12,IF(CX248=1,IF(CX249&gt;=INDEX('Lease Cycles'!$DK$22:$DQ$22,1,CX248),IF(CX$6&gt;='Lease Cycles'!$AZ$22,'Lease Cycles'!$C$22*'Lease Cycles'!$BA$22/12,IF(CX$6&gt;='Lease Cycles'!$AX$22,'Lease Cycles'!$C$22*'Lease Cycles'!$AY$22/12,IF(CX$6&gt;='Lease Cycles'!$AV$22,'Lease Cycles'!$C$22*'Lease Cycles'!$AW$22/12,IF(CX$6&gt;='Lease Cycles'!$AT$22,'Lease Cycles'!$C$22*'Lease Cycles'!$AU$22/12,'Lease Cycles'!$C$22*INDEX('Lease Cycles'!$CB$22:$CH$22,1,CX248)*(1+INDEX('Lease Cycles'!$CI$22:$CO$22,1,CX248))^INT(INT(CX249/12)/INDEX('Lease Cycles'!$CP$22:$CV$22,1,CX248))/12)))),'Lease Cycles'!$C$22*INDEX('Lease Cycles'!$CB$22:$CH$22,1,CX248)*(1+INDEX('Lease Cycles'!$CI$22:$CO$22,1,CX248))^INT(INT(CX249/12)/INDEX('Lease Cycles'!$CP$22:$CV$22,1,CX248))/12),IF(INDEX('Lease Cycles'!$EF$22:$EL$22,1,CX248)=1,IF(AND('Lease Cycles'!$AZ$22&gt;=INDEX('Lease Cycles'!$BG$22:$BM$22,1,CX248),'Lease Cycles'!$AZ$22&lt;=CX$6),'Lease Cycles'!$C$22*'Lease Cycles'!$BA$22/12,IF(AND('Lease Cycles'!$AX$22&gt;=INDEX('Lease Cycles'!$BG$22:$BM$22,1,CX248),'Lease Cycles'!$AX$22&lt;=CX$6),'Lease Cycles'!$C$22*'Lease Cycles'!$AY$22/12,IF(AND('Lease Cycles'!$AV$22&gt;=INDEX('Lease Cycles'!$BG$22:$BM$22,1,CX248),'Lease Cycles'!$AV$22&lt;=CX$6),'Lease Cycles'!$C$22*'Lease Cycles'!$AW$22/12,IF(AND('Lease Cycles'!$AT$22&gt;=INDEX('Lease Cycles'!$BG$22:$BM$22,1,CX248),'Lease Cycles'!$AT$22&lt;=CX$6),'Lease Cycles'!$C$22*'Lease Cycles'!$AU$22/12,'Lease Cycles'!$C$22*INDEX('Lease Cycles'!$CB$22:$CH$22,1,CX248)*(1+INDEX('Lease Cycles'!$CI$22:$CO$22,1,CX248))^INT(INT(CX249/12)/INDEX('Lease Cycles'!$CP$22:$CV$22,1,CX248))/12)))),'Lease Cycles'!$C$22*INDEX('Lease Cycles'!$CB$22:$CH$22,1,CX248)*(1+INDEX('Lease Cycles'!$CI$22:$CO$22,1,CX248))^INT(INT(CX249/12)/INDEX('Lease Cycles'!$CP$22:$CV$22,1,CX248))/12))),IF('Lease Cycles'!$N$22=1,'Lease Cycles'!$C$22*'Lease Cycles'!$E$22*INDEX('Lease Cycles'!$HE$22:$HK$22,1,CX248)*(1+INDEX('Lease Cycles'!$GQ$22:$GW$22,1,CX248))^INT(INT((CX$6-INDEX('Lease Cycles'!$GJ$22:$GP$22,1,CX248))/12)/INDEX('Lease Cycles'!$GX$22:$HD$22,1,CX248))/12,0)))</f>
        <v>0</v>
      </c>
      <c r="CY251" s="28">
        <f>IF(CY248=0,IF('Lease Cycles'!$F$22&gt;0,'Lease Cycles'!$C$22*'Lease Cycles'!$E$22/12,0),IF(CY250=1,IF('Lease Cycles'!$AT$22&gt;=9999,'Lease Cycles'!$C$22*INDEX('Lease Cycles'!$CB$22:$CH$22,1,CY248)*(1+INDEX('Lease Cycles'!$CI$22:$CO$22,1,CY248))^INT(INT(CY249/12)/INDEX('Lease Cycles'!$CP$22:$CV$22,1,CY248))/12,IF(CY248=1,IF(CY249&gt;=INDEX('Lease Cycles'!$DK$22:$DQ$22,1,CY248),IF(CY$6&gt;='Lease Cycles'!$AZ$22,'Lease Cycles'!$C$22*'Lease Cycles'!$BA$22/12,IF(CY$6&gt;='Lease Cycles'!$AX$22,'Lease Cycles'!$C$22*'Lease Cycles'!$AY$22/12,IF(CY$6&gt;='Lease Cycles'!$AV$22,'Lease Cycles'!$C$22*'Lease Cycles'!$AW$22/12,IF(CY$6&gt;='Lease Cycles'!$AT$22,'Lease Cycles'!$C$22*'Lease Cycles'!$AU$22/12,'Lease Cycles'!$C$22*INDEX('Lease Cycles'!$CB$22:$CH$22,1,CY248)*(1+INDEX('Lease Cycles'!$CI$22:$CO$22,1,CY248))^INT(INT(CY249/12)/INDEX('Lease Cycles'!$CP$22:$CV$22,1,CY248))/12)))),'Lease Cycles'!$C$22*INDEX('Lease Cycles'!$CB$22:$CH$22,1,CY248)*(1+INDEX('Lease Cycles'!$CI$22:$CO$22,1,CY248))^INT(INT(CY249/12)/INDEX('Lease Cycles'!$CP$22:$CV$22,1,CY248))/12),IF(INDEX('Lease Cycles'!$EF$22:$EL$22,1,CY248)=1,IF(AND('Lease Cycles'!$AZ$22&gt;=INDEX('Lease Cycles'!$BG$22:$BM$22,1,CY248),'Lease Cycles'!$AZ$22&lt;=CY$6),'Lease Cycles'!$C$22*'Lease Cycles'!$BA$22/12,IF(AND('Lease Cycles'!$AX$22&gt;=INDEX('Lease Cycles'!$BG$22:$BM$22,1,CY248),'Lease Cycles'!$AX$22&lt;=CY$6),'Lease Cycles'!$C$22*'Lease Cycles'!$AY$22/12,IF(AND('Lease Cycles'!$AV$22&gt;=INDEX('Lease Cycles'!$BG$22:$BM$22,1,CY248),'Lease Cycles'!$AV$22&lt;=CY$6),'Lease Cycles'!$C$22*'Lease Cycles'!$AW$22/12,IF(AND('Lease Cycles'!$AT$22&gt;=INDEX('Lease Cycles'!$BG$22:$BM$22,1,CY248),'Lease Cycles'!$AT$22&lt;=CY$6),'Lease Cycles'!$C$22*'Lease Cycles'!$AU$22/12,'Lease Cycles'!$C$22*INDEX('Lease Cycles'!$CB$22:$CH$22,1,CY248)*(1+INDEX('Lease Cycles'!$CI$22:$CO$22,1,CY248))^INT(INT(CY249/12)/INDEX('Lease Cycles'!$CP$22:$CV$22,1,CY248))/12)))),'Lease Cycles'!$C$22*INDEX('Lease Cycles'!$CB$22:$CH$22,1,CY248)*(1+INDEX('Lease Cycles'!$CI$22:$CO$22,1,CY248))^INT(INT(CY249/12)/INDEX('Lease Cycles'!$CP$22:$CV$22,1,CY248))/12))),IF('Lease Cycles'!$N$22=1,'Lease Cycles'!$C$22*'Lease Cycles'!$E$22*INDEX('Lease Cycles'!$HE$22:$HK$22,1,CY248)*(1+INDEX('Lease Cycles'!$GQ$22:$GW$22,1,CY248))^INT(INT((CY$6-INDEX('Lease Cycles'!$GJ$22:$GP$22,1,CY248))/12)/INDEX('Lease Cycles'!$GX$22:$HD$22,1,CY248))/12,0)))</f>
        <v>0</v>
      </c>
      <c r="CZ251" s="28">
        <f>IF(CZ248=0,IF('Lease Cycles'!$F$22&gt;0,'Lease Cycles'!$C$22*'Lease Cycles'!$E$22/12,0),IF(CZ250=1,IF('Lease Cycles'!$AT$22&gt;=9999,'Lease Cycles'!$C$22*INDEX('Lease Cycles'!$CB$22:$CH$22,1,CZ248)*(1+INDEX('Lease Cycles'!$CI$22:$CO$22,1,CZ248))^INT(INT(CZ249/12)/INDEX('Lease Cycles'!$CP$22:$CV$22,1,CZ248))/12,IF(CZ248=1,IF(CZ249&gt;=INDEX('Lease Cycles'!$DK$22:$DQ$22,1,CZ248),IF(CZ$6&gt;='Lease Cycles'!$AZ$22,'Lease Cycles'!$C$22*'Lease Cycles'!$BA$22/12,IF(CZ$6&gt;='Lease Cycles'!$AX$22,'Lease Cycles'!$C$22*'Lease Cycles'!$AY$22/12,IF(CZ$6&gt;='Lease Cycles'!$AV$22,'Lease Cycles'!$C$22*'Lease Cycles'!$AW$22/12,IF(CZ$6&gt;='Lease Cycles'!$AT$22,'Lease Cycles'!$C$22*'Lease Cycles'!$AU$22/12,'Lease Cycles'!$C$22*INDEX('Lease Cycles'!$CB$22:$CH$22,1,CZ248)*(1+INDEX('Lease Cycles'!$CI$22:$CO$22,1,CZ248))^INT(INT(CZ249/12)/INDEX('Lease Cycles'!$CP$22:$CV$22,1,CZ248))/12)))),'Lease Cycles'!$C$22*INDEX('Lease Cycles'!$CB$22:$CH$22,1,CZ248)*(1+INDEX('Lease Cycles'!$CI$22:$CO$22,1,CZ248))^INT(INT(CZ249/12)/INDEX('Lease Cycles'!$CP$22:$CV$22,1,CZ248))/12),IF(INDEX('Lease Cycles'!$EF$22:$EL$22,1,CZ248)=1,IF(AND('Lease Cycles'!$AZ$22&gt;=INDEX('Lease Cycles'!$BG$22:$BM$22,1,CZ248),'Lease Cycles'!$AZ$22&lt;=CZ$6),'Lease Cycles'!$C$22*'Lease Cycles'!$BA$22/12,IF(AND('Lease Cycles'!$AX$22&gt;=INDEX('Lease Cycles'!$BG$22:$BM$22,1,CZ248),'Lease Cycles'!$AX$22&lt;=CZ$6),'Lease Cycles'!$C$22*'Lease Cycles'!$AY$22/12,IF(AND('Lease Cycles'!$AV$22&gt;=INDEX('Lease Cycles'!$BG$22:$BM$22,1,CZ248),'Lease Cycles'!$AV$22&lt;=CZ$6),'Lease Cycles'!$C$22*'Lease Cycles'!$AW$22/12,IF(AND('Lease Cycles'!$AT$22&gt;=INDEX('Lease Cycles'!$BG$22:$BM$22,1,CZ248),'Lease Cycles'!$AT$22&lt;=CZ$6),'Lease Cycles'!$C$22*'Lease Cycles'!$AU$22/12,'Lease Cycles'!$C$22*INDEX('Lease Cycles'!$CB$22:$CH$22,1,CZ248)*(1+INDEX('Lease Cycles'!$CI$22:$CO$22,1,CZ248))^INT(INT(CZ249/12)/INDEX('Lease Cycles'!$CP$22:$CV$22,1,CZ248))/12)))),'Lease Cycles'!$C$22*INDEX('Lease Cycles'!$CB$22:$CH$22,1,CZ248)*(1+INDEX('Lease Cycles'!$CI$22:$CO$22,1,CZ248))^INT(INT(CZ249/12)/INDEX('Lease Cycles'!$CP$22:$CV$22,1,CZ248))/12))),IF('Lease Cycles'!$N$22=1,'Lease Cycles'!$C$22*'Lease Cycles'!$E$22*INDEX('Lease Cycles'!$HE$22:$HK$22,1,CZ248)*(1+INDEX('Lease Cycles'!$GQ$22:$GW$22,1,CZ248))^INT(INT((CZ$6-INDEX('Lease Cycles'!$GJ$22:$GP$22,1,CZ248))/12)/INDEX('Lease Cycles'!$GX$22:$HD$22,1,CZ248))/12,0)))</f>
        <v>0</v>
      </c>
      <c r="DA251" s="28">
        <f>IF(DA248=0,IF('Lease Cycles'!$F$22&gt;0,'Lease Cycles'!$C$22*'Lease Cycles'!$E$22/12,0),IF(DA250=1,IF('Lease Cycles'!$AT$22&gt;=9999,'Lease Cycles'!$C$22*INDEX('Lease Cycles'!$CB$22:$CH$22,1,DA248)*(1+INDEX('Lease Cycles'!$CI$22:$CO$22,1,DA248))^INT(INT(DA249/12)/INDEX('Lease Cycles'!$CP$22:$CV$22,1,DA248))/12,IF(DA248=1,IF(DA249&gt;=INDEX('Lease Cycles'!$DK$22:$DQ$22,1,DA248),IF(DA$6&gt;='Lease Cycles'!$AZ$22,'Lease Cycles'!$C$22*'Lease Cycles'!$BA$22/12,IF(DA$6&gt;='Lease Cycles'!$AX$22,'Lease Cycles'!$C$22*'Lease Cycles'!$AY$22/12,IF(DA$6&gt;='Lease Cycles'!$AV$22,'Lease Cycles'!$C$22*'Lease Cycles'!$AW$22/12,IF(DA$6&gt;='Lease Cycles'!$AT$22,'Lease Cycles'!$C$22*'Lease Cycles'!$AU$22/12,'Lease Cycles'!$C$22*INDEX('Lease Cycles'!$CB$22:$CH$22,1,DA248)*(1+INDEX('Lease Cycles'!$CI$22:$CO$22,1,DA248))^INT(INT(DA249/12)/INDEX('Lease Cycles'!$CP$22:$CV$22,1,DA248))/12)))),'Lease Cycles'!$C$22*INDEX('Lease Cycles'!$CB$22:$CH$22,1,DA248)*(1+INDEX('Lease Cycles'!$CI$22:$CO$22,1,DA248))^INT(INT(DA249/12)/INDEX('Lease Cycles'!$CP$22:$CV$22,1,DA248))/12),IF(INDEX('Lease Cycles'!$EF$22:$EL$22,1,DA248)=1,IF(AND('Lease Cycles'!$AZ$22&gt;=INDEX('Lease Cycles'!$BG$22:$BM$22,1,DA248),'Lease Cycles'!$AZ$22&lt;=DA$6),'Lease Cycles'!$C$22*'Lease Cycles'!$BA$22/12,IF(AND('Lease Cycles'!$AX$22&gt;=INDEX('Lease Cycles'!$BG$22:$BM$22,1,DA248),'Lease Cycles'!$AX$22&lt;=DA$6),'Lease Cycles'!$C$22*'Lease Cycles'!$AY$22/12,IF(AND('Lease Cycles'!$AV$22&gt;=INDEX('Lease Cycles'!$BG$22:$BM$22,1,DA248),'Lease Cycles'!$AV$22&lt;=DA$6),'Lease Cycles'!$C$22*'Lease Cycles'!$AW$22/12,IF(AND('Lease Cycles'!$AT$22&gt;=INDEX('Lease Cycles'!$BG$22:$BM$22,1,DA248),'Lease Cycles'!$AT$22&lt;=DA$6),'Lease Cycles'!$C$22*'Lease Cycles'!$AU$22/12,'Lease Cycles'!$C$22*INDEX('Lease Cycles'!$CB$22:$CH$22,1,DA248)*(1+INDEX('Lease Cycles'!$CI$22:$CO$22,1,DA248))^INT(INT(DA249/12)/INDEX('Lease Cycles'!$CP$22:$CV$22,1,DA248))/12)))),'Lease Cycles'!$C$22*INDEX('Lease Cycles'!$CB$22:$CH$22,1,DA248)*(1+INDEX('Lease Cycles'!$CI$22:$CO$22,1,DA248))^INT(INT(DA249/12)/INDEX('Lease Cycles'!$CP$22:$CV$22,1,DA248))/12))),IF('Lease Cycles'!$N$22=1,'Lease Cycles'!$C$22*'Lease Cycles'!$E$22*INDEX('Lease Cycles'!$HE$22:$HK$22,1,DA248)*(1+INDEX('Lease Cycles'!$GQ$22:$GW$22,1,DA248))^INT(INT((DA$6-INDEX('Lease Cycles'!$GJ$22:$GP$22,1,DA248))/12)/INDEX('Lease Cycles'!$GX$22:$HD$22,1,DA248))/12,0)))</f>
        <v>0</v>
      </c>
      <c r="DB251" s="28">
        <f>IF(DB248=0,IF('Lease Cycles'!$F$22&gt;0,'Lease Cycles'!$C$22*'Lease Cycles'!$E$22/12,0),IF(DB250=1,IF('Lease Cycles'!$AT$22&gt;=9999,'Lease Cycles'!$C$22*INDEX('Lease Cycles'!$CB$22:$CH$22,1,DB248)*(1+INDEX('Lease Cycles'!$CI$22:$CO$22,1,DB248))^INT(INT(DB249/12)/INDEX('Lease Cycles'!$CP$22:$CV$22,1,DB248))/12,IF(DB248=1,IF(DB249&gt;=INDEX('Lease Cycles'!$DK$22:$DQ$22,1,DB248),IF(DB$6&gt;='Lease Cycles'!$AZ$22,'Lease Cycles'!$C$22*'Lease Cycles'!$BA$22/12,IF(DB$6&gt;='Lease Cycles'!$AX$22,'Lease Cycles'!$C$22*'Lease Cycles'!$AY$22/12,IF(DB$6&gt;='Lease Cycles'!$AV$22,'Lease Cycles'!$C$22*'Lease Cycles'!$AW$22/12,IF(DB$6&gt;='Lease Cycles'!$AT$22,'Lease Cycles'!$C$22*'Lease Cycles'!$AU$22/12,'Lease Cycles'!$C$22*INDEX('Lease Cycles'!$CB$22:$CH$22,1,DB248)*(1+INDEX('Lease Cycles'!$CI$22:$CO$22,1,DB248))^INT(INT(DB249/12)/INDEX('Lease Cycles'!$CP$22:$CV$22,1,DB248))/12)))),'Lease Cycles'!$C$22*INDEX('Lease Cycles'!$CB$22:$CH$22,1,DB248)*(1+INDEX('Lease Cycles'!$CI$22:$CO$22,1,DB248))^INT(INT(DB249/12)/INDEX('Lease Cycles'!$CP$22:$CV$22,1,DB248))/12),IF(INDEX('Lease Cycles'!$EF$22:$EL$22,1,DB248)=1,IF(AND('Lease Cycles'!$AZ$22&gt;=INDEX('Lease Cycles'!$BG$22:$BM$22,1,DB248),'Lease Cycles'!$AZ$22&lt;=DB$6),'Lease Cycles'!$C$22*'Lease Cycles'!$BA$22/12,IF(AND('Lease Cycles'!$AX$22&gt;=INDEX('Lease Cycles'!$BG$22:$BM$22,1,DB248),'Lease Cycles'!$AX$22&lt;=DB$6),'Lease Cycles'!$C$22*'Lease Cycles'!$AY$22/12,IF(AND('Lease Cycles'!$AV$22&gt;=INDEX('Lease Cycles'!$BG$22:$BM$22,1,DB248),'Lease Cycles'!$AV$22&lt;=DB$6),'Lease Cycles'!$C$22*'Lease Cycles'!$AW$22/12,IF(AND('Lease Cycles'!$AT$22&gt;=INDEX('Lease Cycles'!$BG$22:$BM$22,1,DB248),'Lease Cycles'!$AT$22&lt;=DB$6),'Lease Cycles'!$C$22*'Lease Cycles'!$AU$22/12,'Lease Cycles'!$C$22*INDEX('Lease Cycles'!$CB$22:$CH$22,1,DB248)*(1+INDEX('Lease Cycles'!$CI$22:$CO$22,1,DB248))^INT(INT(DB249/12)/INDEX('Lease Cycles'!$CP$22:$CV$22,1,DB248))/12)))),'Lease Cycles'!$C$22*INDEX('Lease Cycles'!$CB$22:$CH$22,1,DB248)*(1+INDEX('Lease Cycles'!$CI$22:$CO$22,1,DB248))^INT(INT(DB249/12)/INDEX('Lease Cycles'!$CP$22:$CV$22,1,DB248))/12))),IF('Lease Cycles'!$N$22=1,'Lease Cycles'!$C$22*'Lease Cycles'!$E$22*INDEX('Lease Cycles'!$HE$22:$HK$22,1,DB248)*(1+INDEX('Lease Cycles'!$GQ$22:$GW$22,1,DB248))^INT(INT((DB$6-INDEX('Lease Cycles'!$GJ$22:$GP$22,1,DB248))/12)/INDEX('Lease Cycles'!$GX$22:$HD$22,1,DB248))/12,0)))</f>
        <v>0</v>
      </c>
      <c r="DC251" s="28">
        <f>IF(DC248=0,IF('Lease Cycles'!$F$22&gt;0,'Lease Cycles'!$C$22*'Lease Cycles'!$E$22/12,0),IF(DC250=1,IF('Lease Cycles'!$AT$22&gt;=9999,'Lease Cycles'!$C$22*INDEX('Lease Cycles'!$CB$22:$CH$22,1,DC248)*(1+INDEX('Lease Cycles'!$CI$22:$CO$22,1,DC248))^INT(INT(DC249/12)/INDEX('Lease Cycles'!$CP$22:$CV$22,1,DC248))/12,IF(DC248=1,IF(DC249&gt;=INDEX('Lease Cycles'!$DK$22:$DQ$22,1,DC248),IF(DC$6&gt;='Lease Cycles'!$AZ$22,'Lease Cycles'!$C$22*'Lease Cycles'!$BA$22/12,IF(DC$6&gt;='Lease Cycles'!$AX$22,'Lease Cycles'!$C$22*'Lease Cycles'!$AY$22/12,IF(DC$6&gt;='Lease Cycles'!$AV$22,'Lease Cycles'!$C$22*'Lease Cycles'!$AW$22/12,IF(DC$6&gt;='Lease Cycles'!$AT$22,'Lease Cycles'!$C$22*'Lease Cycles'!$AU$22/12,'Lease Cycles'!$C$22*INDEX('Lease Cycles'!$CB$22:$CH$22,1,DC248)*(1+INDEX('Lease Cycles'!$CI$22:$CO$22,1,DC248))^INT(INT(DC249/12)/INDEX('Lease Cycles'!$CP$22:$CV$22,1,DC248))/12)))),'Lease Cycles'!$C$22*INDEX('Lease Cycles'!$CB$22:$CH$22,1,DC248)*(1+INDEX('Lease Cycles'!$CI$22:$CO$22,1,DC248))^INT(INT(DC249/12)/INDEX('Lease Cycles'!$CP$22:$CV$22,1,DC248))/12),IF(INDEX('Lease Cycles'!$EF$22:$EL$22,1,DC248)=1,IF(AND('Lease Cycles'!$AZ$22&gt;=INDEX('Lease Cycles'!$BG$22:$BM$22,1,DC248),'Lease Cycles'!$AZ$22&lt;=DC$6),'Lease Cycles'!$C$22*'Lease Cycles'!$BA$22/12,IF(AND('Lease Cycles'!$AX$22&gt;=INDEX('Lease Cycles'!$BG$22:$BM$22,1,DC248),'Lease Cycles'!$AX$22&lt;=DC$6),'Lease Cycles'!$C$22*'Lease Cycles'!$AY$22/12,IF(AND('Lease Cycles'!$AV$22&gt;=INDEX('Lease Cycles'!$BG$22:$BM$22,1,DC248),'Lease Cycles'!$AV$22&lt;=DC$6),'Lease Cycles'!$C$22*'Lease Cycles'!$AW$22/12,IF(AND('Lease Cycles'!$AT$22&gt;=INDEX('Lease Cycles'!$BG$22:$BM$22,1,DC248),'Lease Cycles'!$AT$22&lt;=DC$6),'Lease Cycles'!$C$22*'Lease Cycles'!$AU$22/12,'Lease Cycles'!$C$22*INDEX('Lease Cycles'!$CB$22:$CH$22,1,DC248)*(1+INDEX('Lease Cycles'!$CI$22:$CO$22,1,DC248))^INT(INT(DC249/12)/INDEX('Lease Cycles'!$CP$22:$CV$22,1,DC248))/12)))),'Lease Cycles'!$C$22*INDEX('Lease Cycles'!$CB$22:$CH$22,1,DC248)*(1+INDEX('Lease Cycles'!$CI$22:$CO$22,1,DC248))^INT(INT(DC249/12)/INDEX('Lease Cycles'!$CP$22:$CV$22,1,DC248))/12))),IF('Lease Cycles'!$N$22=1,'Lease Cycles'!$C$22*'Lease Cycles'!$E$22*INDEX('Lease Cycles'!$HE$22:$HK$22,1,DC248)*(1+INDEX('Lease Cycles'!$GQ$22:$GW$22,1,DC248))^INT(INT((DC$6-INDEX('Lease Cycles'!$GJ$22:$GP$22,1,DC248))/12)/INDEX('Lease Cycles'!$GX$22:$HD$22,1,DC248))/12,0)))</f>
        <v>0</v>
      </c>
      <c r="DD251" s="28">
        <f>IF(DD248=0,IF('Lease Cycles'!$F$22&gt;0,'Lease Cycles'!$C$22*'Lease Cycles'!$E$22/12,0),IF(DD250=1,IF('Lease Cycles'!$AT$22&gt;=9999,'Lease Cycles'!$C$22*INDEX('Lease Cycles'!$CB$22:$CH$22,1,DD248)*(1+INDEX('Lease Cycles'!$CI$22:$CO$22,1,DD248))^INT(INT(DD249/12)/INDEX('Lease Cycles'!$CP$22:$CV$22,1,DD248))/12,IF(DD248=1,IF(DD249&gt;=INDEX('Lease Cycles'!$DK$22:$DQ$22,1,DD248),IF(DD$6&gt;='Lease Cycles'!$AZ$22,'Lease Cycles'!$C$22*'Lease Cycles'!$BA$22/12,IF(DD$6&gt;='Lease Cycles'!$AX$22,'Lease Cycles'!$C$22*'Lease Cycles'!$AY$22/12,IF(DD$6&gt;='Lease Cycles'!$AV$22,'Lease Cycles'!$C$22*'Lease Cycles'!$AW$22/12,IF(DD$6&gt;='Lease Cycles'!$AT$22,'Lease Cycles'!$C$22*'Lease Cycles'!$AU$22/12,'Lease Cycles'!$C$22*INDEX('Lease Cycles'!$CB$22:$CH$22,1,DD248)*(1+INDEX('Lease Cycles'!$CI$22:$CO$22,1,DD248))^INT(INT(DD249/12)/INDEX('Lease Cycles'!$CP$22:$CV$22,1,DD248))/12)))),'Lease Cycles'!$C$22*INDEX('Lease Cycles'!$CB$22:$CH$22,1,DD248)*(1+INDEX('Lease Cycles'!$CI$22:$CO$22,1,DD248))^INT(INT(DD249/12)/INDEX('Lease Cycles'!$CP$22:$CV$22,1,DD248))/12),IF(INDEX('Lease Cycles'!$EF$22:$EL$22,1,DD248)=1,IF(AND('Lease Cycles'!$AZ$22&gt;=INDEX('Lease Cycles'!$BG$22:$BM$22,1,DD248),'Lease Cycles'!$AZ$22&lt;=DD$6),'Lease Cycles'!$C$22*'Lease Cycles'!$BA$22/12,IF(AND('Lease Cycles'!$AX$22&gt;=INDEX('Lease Cycles'!$BG$22:$BM$22,1,DD248),'Lease Cycles'!$AX$22&lt;=DD$6),'Lease Cycles'!$C$22*'Lease Cycles'!$AY$22/12,IF(AND('Lease Cycles'!$AV$22&gt;=INDEX('Lease Cycles'!$BG$22:$BM$22,1,DD248),'Lease Cycles'!$AV$22&lt;=DD$6),'Lease Cycles'!$C$22*'Lease Cycles'!$AW$22/12,IF(AND('Lease Cycles'!$AT$22&gt;=INDEX('Lease Cycles'!$BG$22:$BM$22,1,DD248),'Lease Cycles'!$AT$22&lt;=DD$6),'Lease Cycles'!$C$22*'Lease Cycles'!$AU$22/12,'Lease Cycles'!$C$22*INDEX('Lease Cycles'!$CB$22:$CH$22,1,DD248)*(1+INDEX('Lease Cycles'!$CI$22:$CO$22,1,DD248))^INT(INT(DD249/12)/INDEX('Lease Cycles'!$CP$22:$CV$22,1,DD248))/12)))),'Lease Cycles'!$C$22*INDEX('Lease Cycles'!$CB$22:$CH$22,1,DD248)*(1+INDEX('Lease Cycles'!$CI$22:$CO$22,1,DD248))^INT(INT(DD249/12)/INDEX('Lease Cycles'!$CP$22:$CV$22,1,DD248))/12))),IF('Lease Cycles'!$N$22=1,'Lease Cycles'!$C$22*'Lease Cycles'!$E$22*INDEX('Lease Cycles'!$HE$22:$HK$22,1,DD248)*(1+INDEX('Lease Cycles'!$GQ$22:$GW$22,1,DD248))^INT(INT((DD$6-INDEX('Lease Cycles'!$GJ$22:$GP$22,1,DD248))/12)/INDEX('Lease Cycles'!$GX$22:$HD$22,1,DD248))/12,0)))</f>
        <v>0</v>
      </c>
      <c r="DE251" s="28">
        <f>IF(DE248=0,IF('Lease Cycles'!$F$22&gt;0,'Lease Cycles'!$C$22*'Lease Cycles'!$E$22/12,0),IF(DE250=1,IF('Lease Cycles'!$AT$22&gt;=9999,'Lease Cycles'!$C$22*INDEX('Lease Cycles'!$CB$22:$CH$22,1,DE248)*(1+INDEX('Lease Cycles'!$CI$22:$CO$22,1,DE248))^INT(INT(DE249/12)/INDEX('Lease Cycles'!$CP$22:$CV$22,1,DE248))/12,IF(DE248=1,IF(DE249&gt;=INDEX('Lease Cycles'!$DK$22:$DQ$22,1,DE248),IF(DE$6&gt;='Lease Cycles'!$AZ$22,'Lease Cycles'!$C$22*'Lease Cycles'!$BA$22/12,IF(DE$6&gt;='Lease Cycles'!$AX$22,'Lease Cycles'!$C$22*'Lease Cycles'!$AY$22/12,IF(DE$6&gt;='Lease Cycles'!$AV$22,'Lease Cycles'!$C$22*'Lease Cycles'!$AW$22/12,IF(DE$6&gt;='Lease Cycles'!$AT$22,'Lease Cycles'!$C$22*'Lease Cycles'!$AU$22/12,'Lease Cycles'!$C$22*INDEX('Lease Cycles'!$CB$22:$CH$22,1,DE248)*(1+INDEX('Lease Cycles'!$CI$22:$CO$22,1,DE248))^INT(INT(DE249/12)/INDEX('Lease Cycles'!$CP$22:$CV$22,1,DE248))/12)))),'Lease Cycles'!$C$22*INDEX('Lease Cycles'!$CB$22:$CH$22,1,DE248)*(1+INDEX('Lease Cycles'!$CI$22:$CO$22,1,DE248))^INT(INT(DE249/12)/INDEX('Lease Cycles'!$CP$22:$CV$22,1,DE248))/12),IF(INDEX('Lease Cycles'!$EF$22:$EL$22,1,DE248)=1,IF(AND('Lease Cycles'!$AZ$22&gt;=INDEX('Lease Cycles'!$BG$22:$BM$22,1,DE248),'Lease Cycles'!$AZ$22&lt;=DE$6),'Lease Cycles'!$C$22*'Lease Cycles'!$BA$22/12,IF(AND('Lease Cycles'!$AX$22&gt;=INDEX('Lease Cycles'!$BG$22:$BM$22,1,DE248),'Lease Cycles'!$AX$22&lt;=DE$6),'Lease Cycles'!$C$22*'Lease Cycles'!$AY$22/12,IF(AND('Lease Cycles'!$AV$22&gt;=INDEX('Lease Cycles'!$BG$22:$BM$22,1,DE248),'Lease Cycles'!$AV$22&lt;=DE$6),'Lease Cycles'!$C$22*'Lease Cycles'!$AW$22/12,IF(AND('Lease Cycles'!$AT$22&gt;=INDEX('Lease Cycles'!$BG$22:$BM$22,1,DE248),'Lease Cycles'!$AT$22&lt;=DE$6),'Lease Cycles'!$C$22*'Lease Cycles'!$AU$22/12,'Lease Cycles'!$C$22*INDEX('Lease Cycles'!$CB$22:$CH$22,1,DE248)*(1+INDEX('Lease Cycles'!$CI$22:$CO$22,1,DE248))^INT(INT(DE249/12)/INDEX('Lease Cycles'!$CP$22:$CV$22,1,DE248))/12)))),'Lease Cycles'!$C$22*INDEX('Lease Cycles'!$CB$22:$CH$22,1,DE248)*(1+INDEX('Lease Cycles'!$CI$22:$CO$22,1,DE248))^INT(INT(DE249/12)/INDEX('Lease Cycles'!$CP$22:$CV$22,1,DE248))/12))),IF('Lease Cycles'!$N$22=1,'Lease Cycles'!$C$22*'Lease Cycles'!$E$22*INDEX('Lease Cycles'!$HE$22:$HK$22,1,DE248)*(1+INDEX('Lease Cycles'!$GQ$22:$GW$22,1,DE248))^INT(INT((DE$6-INDEX('Lease Cycles'!$GJ$22:$GP$22,1,DE248))/12)/INDEX('Lease Cycles'!$GX$22:$HD$22,1,DE248))/12,0)))</f>
        <v>0</v>
      </c>
      <c r="DF251" s="28">
        <f>IF(DF248=0,IF('Lease Cycles'!$F$22&gt;0,'Lease Cycles'!$C$22*'Lease Cycles'!$E$22/12,0),IF(DF250=1,IF('Lease Cycles'!$AT$22&gt;=9999,'Lease Cycles'!$C$22*INDEX('Lease Cycles'!$CB$22:$CH$22,1,DF248)*(1+INDEX('Lease Cycles'!$CI$22:$CO$22,1,DF248))^INT(INT(DF249/12)/INDEX('Lease Cycles'!$CP$22:$CV$22,1,DF248))/12,IF(DF248=1,IF(DF249&gt;=INDEX('Lease Cycles'!$DK$22:$DQ$22,1,DF248),IF(DF$6&gt;='Lease Cycles'!$AZ$22,'Lease Cycles'!$C$22*'Lease Cycles'!$BA$22/12,IF(DF$6&gt;='Lease Cycles'!$AX$22,'Lease Cycles'!$C$22*'Lease Cycles'!$AY$22/12,IF(DF$6&gt;='Lease Cycles'!$AV$22,'Lease Cycles'!$C$22*'Lease Cycles'!$AW$22/12,IF(DF$6&gt;='Lease Cycles'!$AT$22,'Lease Cycles'!$C$22*'Lease Cycles'!$AU$22/12,'Lease Cycles'!$C$22*INDEX('Lease Cycles'!$CB$22:$CH$22,1,DF248)*(1+INDEX('Lease Cycles'!$CI$22:$CO$22,1,DF248))^INT(INT(DF249/12)/INDEX('Lease Cycles'!$CP$22:$CV$22,1,DF248))/12)))),'Lease Cycles'!$C$22*INDEX('Lease Cycles'!$CB$22:$CH$22,1,DF248)*(1+INDEX('Lease Cycles'!$CI$22:$CO$22,1,DF248))^INT(INT(DF249/12)/INDEX('Lease Cycles'!$CP$22:$CV$22,1,DF248))/12),IF(INDEX('Lease Cycles'!$EF$22:$EL$22,1,DF248)=1,IF(AND('Lease Cycles'!$AZ$22&gt;=INDEX('Lease Cycles'!$BG$22:$BM$22,1,DF248),'Lease Cycles'!$AZ$22&lt;=DF$6),'Lease Cycles'!$C$22*'Lease Cycles'!$BA$22/12,IF(AND('Lease Cycles'!$AX$22&gt;=INDEX('Lease Cycles'!$BG$22:$BM$22,1,DF248),'Lease Cycles'!$AX$22&lt;=DF$6),'Lease Cycles'!$C$22*'Lease Cycles'!$AY$22/12,IF(AND('Lease Cycles'!$AV$22&gt;=INDEX('Lease Cycles'!$BG$22:$BM$22,1,DF248),'Lease Cycles'!$AV$22&lt;=DF$6),'Lease Cycles'!$C$22*'Lease Cycles'!$AW$22/12,IF(AND('Lease Cycles'!$AT$22&gt;=INDEX('Lease Cycles'!$BG$22:$BM$22,1,DF248),'Lease Cycles'!$AT$22&lt;=DF$6),'Lease Cycles'!$C$22*'Lease Cycles'!$AU$22/12,'Lease Cycles'!$C$22*INDEX('Lease Cycles'!$CB$22:$CH$22,1,DF248)*(1+INDEX('Lease Cycles'!$CI$22:$CO$22,1,DF248))^INT(INT(DF249/12)/INDEX('Lease Cycles'!$CP$22:$CV$22,1,DF248))/12)))),'Lease Cycles'!$C$22*INDEX('Lease Cycles'!$CB$22:$CH$22,1,DF248)*(1+INDEX('Lease Cycles'!$CI$22:$CO$22,1,DF248))^INT(INT(DF249/12)/INDEX('Lease Cycles'!$CP$22:$CV$22,1,DF248))/12))),IF('Lease Cycles'!$N$22=1,'Lease Cycles'!$C$22*'Lease Cycles'!$E$22*INDEX('Lease Cycles'!$HE$22:$HK$22,1,DF248)*(1+INDEX('Lease Cycles'!$GQ$22:$GW$22,1,DF248))^INT(INT((DF$6-INDEX('Lease Cycles'!$GJ$22:$GP$22,1,DF248))/12)/INDEX('Lease Cycles'!$GX$22:$HD$22,1,DF248))/12,0)))</f>
        <v>0</v>
      </c>
      <c r="DG251" s="28">
        <f>IF(DG248=0,IF('Lease Cycles'!$F$22&gt;0,'Lease Cycles'!$C$22*'Lease Cycles'!$E$22/12,0),IF(DG250=1,IF('Lease Cycles'!$AT$22&gt;=9999,'Lease Cycles'!$C$22*INDEX('Lease Cycles'!$CB$22:$CH$22,1,DG248)*(1+INDEX('Lease Cycles'!$CI$22:$CO$22,1,DG248))^INT(INT(DG249/12)/INDEX('Lease Cycles'!$CP$22:$CV$22,1,DG248))/12,IF(DG248=1,IF(DG249&gt;=INDEX('Lease Cycles'!$DK$22:$DQ$22,1,DG248),IF(DG$6&gt;='Lease Cycles'!$AZ$22,'Lease Cycles'!$C$22*'Lease Cycles'!$BA$22/12,IF(DG$6&gt;='Lease Cycles'!$AX$22,'Lease Cycles'!$C$22*'Lease Cycles'!$AY$22/12,IF(DG$6&gt;='Lease Cycles'!$AV$22,'Lease Cycles'!$C$22*'Lease Cycles'!$AW$22/12,IF(DG$6&gt;='Lease Cycles'!$AT$22,'Lease Cycles'!$C$22*'Lease Cycles'!$AU$22/12,'Lease Cycles'!$C$22*INDEX('Lease Cycles'!$CB$22:$CH$22,1,DG248)*(1+INDEX('Lease Cycles'!$CI$22:$CO$22,1,DG248))^INT(INT(DG249/12)/INDEX('Lease Cycles'!$CP$22:$CV$22,1,DG248))/12)))),'Lease Cycles'!$C$22*INDEX('Lease Cycles'!$CB$22:$CH$22,1,DG248)*(1+INDEX('Lease Cycles'!$CI$22:$CO$22,1,DG248))^INT(INT(DG249/12)/INDEX('Lease Cycles'!$CP$22:$CV$22,1,DG248))/12),IF(INDEX('Lease Cycles'!$EF$22:$EL$22,1,DG248)=1,IF(AND('Lease Cycles'!$AZ$22&gt;=INDEX('Lease Cycles'!$BG$22:$BM$22,1,DG248),'Lease Cycles'!$AZ$22&lt;=DG$6),'Lease Cycles'!$C$22*'Lease Cycles'!$BA$22/12,IF(AND('Lease Cycles'!$AX$22&gt;=INDEX('Lease Cycles'!$BG$22:$BM$22,1,DG248),'Lease Cycles'!$AX$22&lt;=DG$6),'Lease Cycles'!$C$22*'Lease Cycles'!$AY$22/12,IF(AND('Lease Cycles'!$AV$22&gt;=INDEX('Lease Cycles'!$BG$22:$BM$22,1,DG248),'Lease Cycles'!$AV$22&lt;=DG$6),'Lease Cycles'!$C$22*'Lease Cycles'!$AW$22/12,IF(AND('Lease Cycles'!$AT$22&gt;=INDEX('Lease Cycles'!$BG$22:$BM$22,1,DG248),'Lease Cycles'!$AT$22&lt;=DG$6),'Lease Cycles'!$C$22*'Lease Cycles'!$AU$22/12,'Lease Cycles'!$C$22*INDEX('Lease Cycles'!$CB$22:$CH$22,1,DG248)*(1+INDEX('Lease Cycles'!$CI$22:$CO$22,1,DG248))^INT(INT(DG249/12)/INDEX('Lease Cycles'!$CP$22:$CV$22,1,DG248))/12)))),'Lease Cycles'!$C$22*INDEX('Lease Cycles'!$CB$22:$CH$22,1,DG248)*(1+INDEX('Lease Cycles'!$CI$22:$CO$22,1,DG248))^INT(INT(DG249/12)/INDEX('Lease Cycles'!$CP$22:$CV$22,1,DG248))/12))),IF('Lease Cycles'!$N$22=1,'Lease Cycles'!$C$22*'Lease Cycles'!$E$22*INDEX('Lease Cycles'!$HE$22:$HK$22,1,DG248)*(1+INDEX('Lease Cycles'!$GQ$22:$GW$22,1,DG248))^INT(INT((DG$6-INDEX('Lease Cycles'!$GJ$22:$GP$22,1,DG248))/12)/INDEX('Lease Cycles'!$GX$22:$HD$22,1,DG248))/12,0)))</f>
        <v>0</v>
      </c>
      <c r="DH251" s="28">
        <f>IF(DH248=0,IF('Lease Cycles'!$F$22&gt;0,'Lease Cycles'!$C$22*'Lease Cycles'!$E$22/12,0),IF(DH250=1,IF('Lease Cycles'!$AT$22&gt;=9999,'Lease Cycles'!$C$22*INDEX('Lease Cycles'!$CB$22:$CH$22,1,DH248)*(1+INDEX('Lease Cycles'!$CI$22:$CO$22,1,DH248))^INT(INT(DH249/12)/INDEX('Lease Cycles'!$CP$22:$CV$22,1,DH248))/12,IF(DH248=1,IF(DH249&gt;=INDEX('Lease Cycles'!$DK$22:$DQ$22,1,DH248),IF(DH$6&gt;='Lease Cycles'!$AZ$22,'Lease Cycles'!$C$22*'Lease Cycles'!$BA$22/12,IF(DH$6&gt;='Lease Cycles'!$AX$22,'Lease Cycles'!$C$22*'Lease Cycles'!$AY$22/12,IF(DH$6&gt;='Lease Cycles'!$AV$22,'Lease Cycles'!$C$22*'Lease Cycles'!$AW$22/12,IF(DH$6&gt;='Lease Cycles'!$AT$22,'Lease Cycles'!$C$22*'Lease Cycles'!$AU$22/12,'Lease Cycles'!$C$22*INDEX('Lease Cycles'!$CB$22:$CH$22,1,DH248)*(1+INDEX('Lease Cycles'!$CI$22:$CO$22,1,DH248))^INT(INT(DH249/12)/INDEX('Lease Cycles'!$CP$22:$CV$22,1,DH248))/12)))),'Lease Cycles'!$C$22*INDEX('Lease Cycles'!$CB$22:$CH$22,1,DH248)*(1+INDEX('Lease Cycles'!$CI$22:$CO$22,1,DH248))^INT(INT(DH249/12)/INDEX('Lease Cycles'!$CP$22:$CV$22,1,DH248))/12),IF(INDEX('Lease Cycles'!$EF$22:$EL$22,1,DH248)=1,IF(AND('Lease Cycles'!$AZ$22&gt;=INDEX('Lease Cycles'!$BG$22:$BM$22,1,DH248),'Lease Cycles'!$AZ$22&lt;=DH$6),'Lease Cycles'!$C$22*'Lease Cycles'!$BA$22/12,IF(AND('Lease Cycles'!$AX$22&gt;=INDEX('Lease Cycles'!$BG$22:$BM$22,1,DH248),'Lease Cycles'!$AX$22&lt;=DH$6),'Lease Cycles'!$C$22*'Lease Cycles'!$AY$22/12,IF(AND('Lease Cycles'!$AV$22&gt;=INDEX('Lease Cycles'!$BG$22:$BM$22,1,DH248),'Lease Cycles'!$AV$22&lt;=DH$6),'Lease Cycles'!$C$22*'Lease Cycles'!$AW$22/12,IF(AND('Lease Cycles'!$AT$22&gt;=INDEX('Lease Cycles'!$BG$22:$BM$22,1,DH248),'Lease Cycles'!$AT$22&lt;=DH$6),'Lease Cycles'!$C$22*'Lease Cycles'!$AU$22/12,'Lease Cycles'!$C$22*INDEX('Lease Cycles'!$CB$22:$CH$22,1,DH248)*(1+INDEX('Lease Cycles'!$CI$22:$CO$22,1,DH248))^INT(INT(DH249/12)/INDEX('Lease Cycles'!$CP$22:$CV$22,1,DH248))/12)))),'Lease Cycles'!$C$22*INDEX('Lease Cycles'!$CB$22:$CH$22,1,DH248)*(1+INDEX('Lease Cycles'!$CI$22:$CO$22,1,DH248))^INT(INT(DH249/12)/INDEX('Lease Cycles'!$CP$22:$CV$22,1,DH248))/12))),IF('Lease Cycles'!$N$22=1,'Lease Cycles'!$C$22*'Lease Cycles'!$E$22*INDEX('Lease Cycles'!$HE$22:$HK$22,1,DH248)*(1+INDEX('Lease Cycles'!$GQ$22:$GW$22,1,DH248))^INT(INT((DH$6-INDEX('Lease Cycles'!$GJ$22:$GP$22,1,DH248))/12)/INDEX('Lease Cycles'!$GX$22:$HD$22,1,DH248))/12,0)))</f>
        <v>0</v>
      </c>
      <c r="DI251" s="28">
        <f>IF(DI248=0,IF('Lease Cycles'!$F$22&gt;0,'Lease Cycles'!$C$22*'Lease Cycles'!$E$22/12,0),IF(DI250=1,IF('Lease Cycles'!$AT$22&gt;=9999,'Lease Cycles'!$C$22*INDEX('Lease Cycles'!$CB$22:$CH$22,1,DI248)*(1+INDEX('Lease Cycles'!$CI$22:$CO$22,1,DI248))^INT(INT(DI249/12)/INDEX('Lease Cycles'!$CP$22:$CV$22,1,DI248))/12,IF(DI248=1,IF(DI249&gt;=INDEX('Lease Cycles'!$DK$22:$DQ$22,1,DI248),IF(DI$6&gt;='Lease Cycles'!$AZ$22,'Lease Cycles'!$C$22*'Lease Cycles'!$BA$22/12,IF(DI$6&gt;='Lease Cycles'!$AX$22,'Lease Cycles'!$C$22*'Lease Cycles'!$AY$22/12,IF(DI$6&gt;='Lease Cycles'!$AV$22,'Lease Cycles'!$C$22*'Lease Cycles'!$AW$22/12,IF(DI$6&gt;='Lease Cycles'!$AT$22,'Lease Cycles'!$C$22*'Lease Cycles'!$AU$22/12,'Lease Cycles'!$C$22*INDEX('Lease Cycles'!$CB$22:$CH$22,1,DI248)*(1+INDEX('Lease Cycles'!$CI$22:$CO$22,1,DI248))^INT(INT(DI249/12)/INDEX('Lease Cycles'!$CP$22:$CV$22,1,DI248))/12)))),'Lease Cycles'!$C$22*INDEX('Lease Cycles'!$CB$22:$CH$22,1,DI248)*(1+INDEX('Lease Cycles'!$CI$22:$CO$22,1,DI248))^INT(INT(DI249/12)/INDEX('Lease Cycles'!$CP$22:$CV$22,1,DI248))/12),IF(INDEX('Lease Cycles'!$EF$22:$EL$22,1,DI248)=1,IF(AND('Lease Cycles'!$AZ$22&gt;=INDEX('Lease Cycles'!$BG$22:$BM$22,1,DI248),'Lease Cycles'!$AZ$22&lt;=DI$6),'Lease Cycles'!$C$22*'Lease Cycles'!$BA$22/12,IF(AND('Lease Cycles'!$AX$22&gt;=INDEX('Lease Cycles'!$BG$22:$BM$22,1,DI248),'Lease Cycles'!$AX$22&lt;=DI$6),'Lease Cycles'!$C$22*'Lease Cycles'!$AY$22/12,IF(AND('Lease Cycles'!$AV$22&gt;=INDEX('Lease Cycles'!$BG$22:$BM$22,1,DI248),'Lease Cycles'!$AV$22&lt;=DI$6),'Lease Cycles'!$C$22*'Lease Cycles'!$AW$22/12,IF(AND('Lease Cycles'!$AT$22&gt;=INDEX('Lease Cycles'!$BG$22:$BM$22,1,DI248),'Lease Cycles'!$AT$22&lt;=DI$6),'Lease Cycles'!$C$22*'Lease Cycles'!$AU$22/12,'Lease Cycles'!$C$22*INDEX('Lease Cycles'!$CB$22:$CH$22,1,DI248)*(1+INDEX('Lease Cycles'!$CI$22:$CO$22,1,DI248))^INT(INT(DI249/12)/INDEX('Lease Cycles'!$CP$22:$CV$22,1,DI248))/12)))),'Lease Cycles'!$C$22*INDEX('Lease Cycles'!$CB$22:$CH$22,1,DI248)*(1+INDEX('Lease Cycles'!$CI$22:$CO$22,1,DI248))^INT(INT(DI249/12)/INDEX('Lease Cycles'!$CP$22:$CV$22,1,DI248))/12))),IF('Lease Cycles'!$N$22=1,'Lease Cycles'!$C$22*'Lease Cycles'!$E$22*INDEX('Lease Cycles'!$HE$22:$HK$22,1,DI248)*(1+INDEX('Lease Cycles'!$GQ$22:$GW$22,1,DI248))^INT(INT((DI$6-INDEX('Lease Cycles'!$GJ$22:$GP$22,1,DI248))/12)/INDEX('Lease Cycles'!$GX$22:$HD$22,1,DI248))/12,0)))</f>
        <v>0</v>
      </c>
      <c r="DJ251" s="28">
        <f>IF(DJ248=0,IF('Lease Cycles'!$F$22&gt;0,'Lease Cycles'!$C$22*'Lease Cycles'!$E$22/12,0),IF(DJ250=1,IF('Lease Cycles'!$AT$22&gt;=9999,'Lease Cycles'!$C$22*INDEX('Lease Cycles'!$CB$22:$CH$22,1,DJ248)*(1+INDEX('Lease Cycles'!$CI$22:$CO$22,1,DJ248))^INT(INT(DJ249/12)/INDEX('Lease Cycles'!$CP$22:$CV$22,1,DJ248))/12,IF(DJ248=1,IF(DJ249&gt;=INDEX('Lease Cycles'!$DK$22:$DQ$22,1,DJ248),IF(DJ$6&gt;='Lease Cycles'!$AZ$22,'Lease Cycles'!$C$22*'Lease Cycles'!$BA$22/12,IF(DJ$6&gt;='Lease Cycles'!$AX$22,'Lease Cycles'!$C$22*'Lease Cycles'!$AY$22/12,IF(DJ$6&gt;='Lease Cycles'!$AV$22,'Lease Cycles'!$C$22*'Lease Cycles'!$AW$22/12,IF(DJ$6&gt;='Lease Cycles'!$AT$22,'Lease Cycles'!$C$22*'Lease Cycles'!$AU$22/12,'Lease Cycles'!$C$22*INDEX('Lease Cycles'!$CB$22:$CH$22,1,DJ248)*(1+INDEX('Lease Cycles'!$CI$22:$CO$22,1,DJ248))^INT(INT(DJ249/12)/INDEX('Lease Cycles'!$CP$22:$CV$22,1,DJ248))/12)))),'Lease Cycles'!$C$22*INDEX('Lease Cycles'!$CB$22:$CH$22,1,DJ248)*(1+INDEX('Lease Cycles'!$CI$22:$CO$22,1,DJ248))^INT(INT(DJ249/12)/INDEX('Lease Cycles'!$CP$22:$CV$22,1,DJ248))/12),IF(INDEX('Lease Cycles'!$EF$22:$EL$22,1,DJ248)=1,IF(AND('Lease Cycles'!$AZ$22&gt;=INDEX('Lease Cycles'!$BG$22:$BM$22,1,DJ248),'Lease Cycles'!$AZ$22&lt;=DJ$6),'Lease Cycles'!$C$22*'Lease Cycles'!$BA$22/12,IF(AND('Lease Cycles'!$AX$22&gt;=INDEX('Lease Cycles'!$BG$22:$BM$22,1,DJ248),'Lease Cycles'!$AX$22&lt;=DJ$6),'Lease Cycles'!$C$22*'Lease Cycles'!$AY$22/12,IF(AND('Lease Cycles'!$AV$22&gt;=INDEX('Lease Cycles'!$BG$22:$BM$22,1,DJ248),'Lease Cycles'!$AV$22&lt;=DJ$6),'Lease Cycles'!$C$22*'Lease Cycles'!$AW$22/12,IF(AND('Lease Cycles'!$AT$22&gt;=INDEX('Lease Cycles'!$BG$22:$BM$22,1,DJ248),'Lease Cycles'!$AT$22&lt;=DJ$6),'Lease Cycles'!$C$22*'Lease Cycles'!$AU$22/12,'Lease Cycles'!$C$22*INDEX('Lease Cycles'!$CB$22:$CH$22,1,DJ248)*(1+INDEX('Lease Cycles'!$CI$22:$CO$22,1,DJ248))^INT(INT(DJ249/12)/INDEX('Lease Cycles'!$CP$22:$CV$22,1,DJ248))/12)))),'Lease Cycles'!$C$22*INDEX('Lease Cycles'!$CB$22:$CH$22,1,DJ248)*(1+INDEX('Lease Cycles'!$CI$22:$CO$22,1,DJ248))^INT(INT(DJ249/12)/INDEX('Lease Cycles'!$CP$22:$CV$22,1,DJ248))/12))),IF('Lease Cycles'!$N$22=1,'Lease Cycles'!$C$22*'Lease Cycles'!$E$22*INDEX('Lease Cycles'!$HE$22:$HK$22,1,DJ248)*(1+INDEX('Lease Cycles'!$GQ$22:$GW$22,1,DJ248))^INT(INT((DJ$6-INDEX('Lease Cycles'!$GJ$22:$GP$22,1,DJ248))/12)/INDEX('Lease Cycles'!$GX$22:$HD$22,1,DJ248))/12,0)))</f>
        <v>0</v>
      </c>
      <c r="DK251" s="28">
        <f>IF(DK248=0,IF('Lease Cycles'!$F$22&gt;0,'Lease Cycles'!$C$22*'Lease Cycles'!$E$22/12,0),IF(DK250=1,IF('Lease Cycles'!$AT$22&gt;=9999,'Lease Cycles'!$C$22*INDEX('Lease Cycles'!$CB$22:$CH$22,1,DK248)*(1+INDEX('Lease Cycles'!$CI$22:$CO$22,1,DK248))^INT(INT(DK249/12)/INDEX('Lease Cycles'!$CP$22:$CV$22,1,DK248))/12,IF(DK248=1,IF(DK249&gt;=INDEX('Lease Cycles'!$DK$22:$DQ$22,1,DK248),IF(DK$6&gt;='Lease Cycles'!$AZ$22,'Lease Cycles'!$C$22*'Lease Cycles'!$BA$22/12,IF(DK$6&gt;='Lease Cycles'!$AX$22,'Lease Cycles'!$C$22*'Lease Cycles'!$AY$22/12,IF(DK$6&gt;='Lease Cycles'!$AV$22,'Lease Cycles'!$C$22*'Lease Cycles'!$AW$22/12,IF(DK$6&gt;='Lease Cycles'!$AT$22,'Lease Cycles'!$C$22*'Lease Cycles'!$AU$22/12,'Lease Cycles'!$C$22*INDEX('Lease Cycles'!$CB$22:$CH$22,1,DK248)*(1+INDEX('Lease Cycles'!$CI$22:$CO$22,1,DK248))^INT(INT(DK249/12)/INDEX('Lease Cycles'!$CP$22:$CV$22,1,DK248))/12)))),'Lease Cycles'!$C$22*INDEX('Lease Cycles'!$CB$22:$CH$22,1,DK248)*(1+INDEX('Lease Cycles'!$CI$22:$CO$22,1,DK248))^INT(INT(DK249/12)/INDEX('Lease Cycles'!$CP$22:$CV$22,1,DK248))/12),IF(INDEX('Lease Cycles'!$EF$22:$EL$22,1,DK248)=1,IF(AND('Lease Cycles'!$AZ$22&gt;=INDEX('Lease Cycles'!$BG$22:$BM$22,1,DK248),'Lease Cycles'!$AZ$22&lt;=DK$6),'Lease Cycles'!$C$22*'Lease Cycles'!$BA$22/12,IF(AND('Lease Cycles'!$AX$22&gt;=INDEX('Lease Cycles'!$BG$22:$BM$22,1,DK248),'Lease Cycles'!$AX$22&lt;=DK$6),'Lease Cycles'!$C$22*'Lease Cycles'!$AY$22/12,IF(AND('Lease Cycles'!$AV$22&gt;=INDEX('Lease Cycles'!$BG$22:$BM$22,1,DK248),'Lease Cycles'!$AV$22&lt;=DK$6),'Lease Cycles'!$C$22*'Lease Cycles'!$AW$22/12,IF(AND('Lease Cycles'!$AT$22&gt;=INDEX('Lease Cycles'!$BG$22:$BM$22,1,DK248),'Lease Cycles'!$AT$22&lt;=DK$6),'Lease Cycles'!$C$22*'Lease Cycles'!$AU$22/12,'Lease Cycles'!$C$22*INDEX('Lease Cycles'!$CB$22:$CH$22,1,DK248)*(1+INDEX('Lease Cycles'!$CI$22:$CO$22,1,DK248))^INT(INT(DK249/12)/INDEX('Lease Cycles'!$CP$22:$CV$22,1,DK248))/12)))),'Lease Cycles'!$C$22*INDEX('Lease Cycles'!$CB$22:$CH$22,1,DK248)*(1+INDEX('Lease Cycles'!$CI$22:$CO$22,1,DK248))^INT(INT(DK249/12)/INDEX('Lease Cycles'!$CP$22:$CV$22,1,DK248))/12))),IF('Lease Cycles'!$N$22=1,'Lease Cycles'!$C$22*'Lease Cycles'!$E$22*INDEX('Lease Cycles'!$HE$22:$HK$22,1,DK248)*(1+INDEX('Lease Cycles'!$GQ$22:$GW$22,1,DK248))^INT(INT((DK$6-INDEX('Lease Cycles'!$GJ$22:$GP$22,1,DK248))/12)/INDEX('Lease Cycles'!$GX$22:$HD$22,1,DK248))/12,0)))</f>
        <v>0</v>
      </c>
      <c r="DL251" s="28">
        <f>IF(DL248=0,IF('Lease Cycles'!$F$22&gt;0,'Lease Cycles'!$C$22*'Lease Cycles'!$E$22/12,0),IF(DL250=1,IF('Lease Cycles'!$AT$22&gt;=9999,'Lease Cycles'!$C$22*INDEX('Lease Cycles'!$CB$22:$CH$22,1,DL248)*(1+INDEX('Lease Cycles'!$CI$22:$CO$22,1,DL248))^INT(INT(DL249/12)/INDEX('Lease Cycles'!$CP$22:$CV$22,1,DL248))/12,IF(DL248=1,IF(DL249&gt;=INDEX('Lease Cycles'!$DK$22:$DQ$22,1,DL248),IF(DL$6&gt;='Lease Cycles'!$AZ$22,'Lease Cycles'!$C$22*'Lease Cycles'!$BA$22/12,IF(DL$6&gt;='Lease Cycles'!$AX$22,'Lease Cycles'!$C$22*'Lease Cycles'!$AY$22/12,IF(DL$6&gt;='Lease Cycles'!$AV$22,'Lease Cycles'!$C$22*'Lease Cycles'!$AW$22/12,IF(DL$6&gt;='Lease Cycles'!$AT$22,'Lease Cycles'!$C$22*'Lease Cycles'!$AU$22/12,'Lease Cycles'!$C$22*INDEX('Lease Cycles'!$CB$22:$CH$22,1,DL248)*(1+INDEX('Lease Cycles'!$CI$22:$CO$22,1,DL248))^INT(INT(DL249/12)/INDEX('Lease Cycles'!$CP$22:$CV$22,1,DL248))/12)))),'Lease Cycles'!$C$22*INDEX('Lease Cycles'!$CB$22:$CH$22,1,DL248)*(1+INDEX('Lease Cycles'!$CI$22:$CO$22,1,DL248))^INT(INT(DL249/12)/INDEX('Lease Cycles'!$CP$22:$CV$22,1,DL248))/12),IF(INDEX('Lease Cycles'!$EF$22:$EL$22,1,DL248)=1,IF(AND('Lease Cycles'!$AZ$22&gt;=INDEX('Lease Cycles'!$BG$22:$BM$22,1,DL248),'Lease Cycles'!$AZ$22&lt;=DL$6),'Lease Cycles'!$C$22*'Lease Cycles'!$BA$22/12,IF(AND('Lease Cycles'!$AX$22&gt;=INDEX('Lease Cycles'!$BG$22:$BM$22,1,DL248),'Lease Cycles'!$AX$22&lt;=DL$6),'Lease Cycles'!$C$22*'Lease Cycles'!$AY$22/12,IF(AND('Lease Cycles'!$AV$22&gt;=INDEX('Lease Cycles'!$BG$22:$BM$22,1,DL248),'Lease Cycles'!$AV$22&lt;=DL$6),'Lease Cycles'!$C$22*'Lease Cycles'!$AW$22/12,IF(AND('Lease Cycles'!$AT$22&gt;=INDEX('Lease Cycles'!$BG$22:$BM$22,1,DL248),'Lease Cycles'!$AT$22&lt;=DL$6),'Lease Cycles'!$C$22*'Lease Cycles'!$AU$22/12,'Lease Cycles'!$C$22*INDEX('Lease Cycles'!$CB$22:$CH$22,1,DL248)*(1+INDEX('Lease Cycles'!$CI$22:$CO$22,1,DL248))^INT(INT(DL249/12)/INDEX('Lease Cycles'!$CP$22:$CV$22,1,DL248))/12)))),'Lease Cycles'!$C$22*INDEX('Lease Cycles'!$CB$22:$CH$22,1,DL248)*(1+INDEX('Lease Cycles'!$CI$22:$CO$22,1,DL248))^INT(INT(DL249/12)/INDEX('Lease Cycles'!$CP$22:$CV$22,1,DL248))/12))),IF('Lease Cycles'!$N$22=1,'Lease Cycles'!$C$22*'Lease Cycles'!$E$22*INDEX('Lease Cycles'!$HE$22:$HK$22,1,DL248)*(1+INDEX('Lease Cycles'!$GQ$22:$GW$22,1,DL248))^INT(INT((DL$6-INDEX('Lease Cycles'!$GJ$22:$GP$22,1,DL248))/12)/INDEX('Lease Cycles'!$GX$22:$HD$22,1,DL248))/12,0)))</f>
        <v>0</v>
      </c>
      <c r="DM251" s="28">
        <f>IF(DM248=0,IF('Lease Cycles'!$F$22&gt;0,'Lease Cycles'!$C$22*'Lease Cycles'!$E$22/12,0),IF(DM250=1,IF('Lease Cycles'!$AT$22&gt;=9999,'Lease Cycles'!$C$22*INDEX('Lease Cycles'!$CB$22:$CH$22,1,DM248)*(1+INDEX('Lease Cycles'!$CI$22:$CO$22,1,DM248))^INT(INT(DM249/12)/INDEX('Lease Cycles'!$CP$22:$CV$22,1,DM248))/12,IF(DM248=1,IF(DM249&gt;=INDEX('Lease Cycles'!$DK$22:$DQ$22,1,DM248),IF(DM$6&gt;='Lease Cycles'!$AZ$22,'Lease Cycles'!$C$22*'Lease Cycles'!$BA$22/12,IF(DM$6&gt;='Lease Cycles'!$AX$22,'Lease Cycles'!$C$22*'Lease Cycles'!$AY$22/12,IF(DM$6&gt;='Lease Cycles'!$AV$22,'Lease Cycles'!$C$22*'Lease Cycles'!$AW$22/12,IF(DM$6&gt;='Lease Cycles'!$AT$22,'Lease Cycles'!$C$22*'Lease Cycles'!$AU$22/12,'Lease Cycles'!$C$22*INDEX('Lease Cycles'!$CB$22:$CH$22,1,DM248)*(1+INDEX('Lease Cycles'!$CI$22:$CO$22,1,DM248))^INT(INT(DM249/12)/INDEX('Lease Cycles'!$CP$22:$CV$22,1,DM248))/12)))),'Lease Cycles'!$C$22*INDEX('Lease Cycles'!$CB$22:$CH$22,1,DM248)*(1+INDEX('Lease Cycles'!$CI$22:$CO$22,1,DM248))^INT(INT(DM249/12)/INDEX('Lease Cycles'!$CP$22:$CV$22,1,DM248))/12),IF(INDEX('Lease Cycles'!$EF$22:$EL$22,1,DM248)=1,IF(AND('Lease Cycles'!$AZ$22&gt;=INDEX('Lease Cycles'!$BG$22:$BM$22,1,DM248),'Lease Cycles'!$AZ$22&lt;=DM$6),'Lease Cycles'!$C$22*'Lease Cycles'!$BA$22/12,IF(AND('Lease Cycles'!$AX$22&gt;=INDEX('Lease Cycles'!$BG$22:$BM$22,1,DM248),'Lease Cycles'!$AX$22&lt;=DM$6),'Lease Cycles'!$C$22*'Lease Cycles'!$AY$22/12,IF(AND('Lease Cycles'!$AV$22&gt;=INDEX('Lease Cycles'!$BG$22:$BM$22,1,DM248),'Lease Cycles'!$AV$22&lt;=DM$6),'Lease Cycles'!$C$22*'Lease Cycles'!$AW$22/12,IF(AND('Lease Cycles'!$AT$22&gt;=INDEX('Lease Cycles'!$BG$22:$BM$22,1,DM248),'Lease Cycles'!$AT$22&lt;=DM$6),'Lease Cycles'!$C$22*'Lease Cycles'!$AU$22/12,'Lease Cycles'!$C$22*INDEX('Lease Cycles'!$CB$22:$CH$22,1,DM248)*(1+INDEX('Lease Cycles'!$CI$22:$CO$22,1,DM248))^INT(INT(DM249/12)/INDEX('Lease Cycles'!$CP$22:$CV$22,1,DM248))/12)))),'Lease Cycles'!$C$22*INDEX('Lease Cycles'!$CB$22:$CH$22,1,DM248)*(1+INDEX('Lease Cycles'!$CI$22:$CO$22,1,DM248))^INT(INT(DM249/12)/INDEX('Lease Cycles'!$CP$22:$CV$22,1,DM248))/12))),IF('Lease Cycles'!$N$22=1,'Lease Cycles'!$C$22*'Lease Cycles'!$E$22*INDEX('Lease Cycles'!$HE$22:$HK$22,1,DM248)*(1+INDEX('Lease Cycles'!$GQ$22:$GW$22,1,DM248))^INT(INT((DM$6-INDEX('Lease Cycles'!$GJ$22:$GP$22,1,DM248))/12)/INDEX('Lease Cycles'!$GX$22:$HD$22,1,DM248))/12,0)))</f>
        <v>0</v>
      </c>
      <c r="DN251" s="28">
        <f>IF(DN248=0,IF('Lease Cycles'!$F$22&gt;0,'Lease Cycles'!$C$22*'Lease Cycles'!$E$22/12,0),IF(DN250=1,IF('Lease Cycles'!$AT$22&gt;=9999,'Lease Cycles'!$C$22*INDEX('Lease Cycles'!$CB$22:$CH$22,1,DN248)*(1+INDEX('Lease Cycles'!$CI$22:$CO$22,1,DN248))^INT(INT(DN249/12)/INDEX('Lease Cycles'!$CP$22:$CV$22,1,DN248))/12,IF(DN248=1,IF(DN249&gt;=INDEX('Lease Cycles'!$DK$22:$DQ$22,1,DN248),IF(DN$6&gt;='Lease Cycles'!$AZ$22,'Lease Cycles'!$C$22*'Lease Cycles'!$BA$22/12,IF(DN$6&gt;='Lease Cycles'!$AX$22,'Lease Cycles'!$C$22*'Lease Cycles'!$AY$22/12,IF(DN$6&gt;='Lease Cycles'!$AV$22,'Lease Cycles'!$C$22*'Lease Cycles'!$AW$22/12,IF(DN$6&gt;='Lease Cycles'!$AT$22,'Lease Cycles'!$C$22*'Lease Cycles'!$AU$22/12,'Lease Cycles'!$C$22*INDEX('Lease Cycles'!$CB$22:$CH$22,1,DN248)*(1+INDEX('Lease Cycles'!$CI$22:$CO$22,1,DN248))^INT(INT(DN249/12)/INDEX('Lease Cycles'!$CP$22:$CV$22,1,DN248))/12)))),'Lease Cycles'!$C$22*INDEX('Lease Cycles'!$CB$22:$CH$22,1,DN248)*(1+INDEX('Lease Cycles'!$CI$22:$CO$22,1,DN248))^INT(INT(DN249/12)/INDEX('Lease Cycles'!$CP$22:$CV$22,1,DN248))/12),IF(INDEX('Lease Cycles'!$EF$22:$EL$22,1,DN248)=1,IF(AND('Lease Cycles'!$AZ$22&gt;=INDEX('Lease Cycles'!$BG$22:$BM$22,1,DN248),'Lease Cycles'!$AZ$22&lt;=DN$6),'Lease Cycles'!$C$22*'Lease Cycles'!$BA$22/12,IF(AND('Lease Cycles'!$AX$22&gt;=INDEX('Lease Cycles'!$BG$22:$BM$22,1,DN248),'Lease Cycles'!$AX$22&lt;=DN$6),'Lease Cycles'!$C$22*'Lease Cycles'!$AY$22/12,IF(AND('Lease Cycles'!$AV$22&gt;=INDEX('Lease Cycles'!$BG$22:$BM$22,1,DN248),'Lease Cycles'!$AV$22&lt;=DN$6),'Lease Cycles'!$C$22*'Lease Cycles'!$AW$22/12,IF(AND('Lease Cycles'!$AT$22&gt;=INDEX('Lease Cycles'!$BG$22:$BM$22,1,DN248),'Lease Cycles'!$AT$22&lt;=DN$6),'Lease Cycles'!$C$22*'Lease Cycles'!$AU$22/12,'Lease Cycles'!$C$22*INDEX('Lease Cycles'!$CB$22:$CH$22,1,DN248)*(1+INDEX('Lease Cycles'!$CI$22:$CO$22,1,DN248))^INT(INT(DN249/12)/INDEX('Lease Cycles'!$CP$22:$CV$22,1,DN248))/12)))),'Lease Cycles'!$C$22*INDEX('Lease Cycles'!$CB$22:$CH$22,1,DN248)*(1+INDEX('Lease Cycles'!$CI$22:$CO$22,1,DN248))^INT(INT(DN249/12)/INDEX('Lease Cycles'!$CP$22:$CV$22,1,DN248))/12))),IF('Lease Cycles'!$N$22=1,'Lease Cycles'!$C$22*'Lease Cycles'!$E$22*INDEX('Lease Cycles'!$HE$22:$HK$22,1,DN248)*(1+INDEX('Lease Cycles'!$GQ$22:$GW$22,1,DN248))^INT(INT((DN$6-INDEX('Lease Cycles'!$GJ$22:$GP$22,1,DN248))/12)/INDEX('Lease Cycles'!$GX$22:$HD$22,1,DN248))/12,0)))</f>
        <v>0</v>
      </c>
      <c r="DO251" s="28">
        <f>IF(DO248=0,IF('Lease Cycles'!$F$22&gt;0,'Lease Cycles'!$C$22*'Lease Cycles'!$E$22/12,0),IF(DO250=1,IF('Lease Cycles'!$AT$22&gt;=9999,'Lease Cycles'!$C$22*INDEX('Lease Cycles'!$CB$22:$CH$22,1,DO248)*(1+INDEX('Lease Cycles'!$CI$22:$CO$22,1,DO248))^INT(INT(DO249/12)/INDEX('Lease Cycles'!$CP$22:$CV$22,1,DO248))/12,IF(DO248=1,IF(DO249&gt;=INDEX('Lease Cycles'!$DK$22:$DQ$22,1,DO248),IF(DO$6&gt;='Lease Cycles'!$AZ$22,'Lease Cycles'!$C$22*'Lease Cycles'!$BA$22/12,IF(DO$6&gt;='Lease Cycles'!$AX$22,'Lease Cycles'!$C$22*'Lease Cycles'!$AY$22/12,IF(DO$6&gt;='Lease Cycles'!$AV$22,'Lease Cycles'!$C$22*'Lease Cycles'!$AW$22/12,IF(DO$6&gt;='Lease Cycles'!$AT$22,'Lease Cycles'!$C$22*'Lease Cycles'!$AU$22/12,'Lease Cycles'!$C$22*INDEX('Lease Cycles'!$CB$22:$CH$22,1,DO248)*(1+INDEX('Lease Cycles'!$CI$22:$CO$22,1,DO248))^INT(INT(DO249/12)/INDEX('Lease Cycles'!$CP$22:$CV$22,1,DO248))/12)))),'Lease Cycles'!$C$22*INDEX('Lease Cycles'!$CB$22:$CH$22,1,DO248)*(1+INDEX('Lease Cycles'!$CI$22:$CO$22,1,DO248))^INT(INT(DO249/12)/INDEX('Lease Cycles'!$CP$22:$CV$22,1,DO248))/12),IF(INDEX('Lease Cycles'!$EF$22:$EL$22,1,DO248)=1,IF(AND('Lease Cycles'!$AZ$22&gt;=INDEX('Lease Cycles'!$BG$22:$BM$22,1,DO248),'Lease Cycles'!$AZ$22&lt;=DO$6),'Lease Cycles'!$C$22*'Lease Cycles'!$BA$22/12,IF(AND('Lease Cycles'!$AX$22&gt;=INDEX('Lease Cycles'!$BG$22:$BM$22,1,DO248),'Lease Cycles'!$AX$22&lt;=DO$6),'Lease Cycles'!$C$22*'Lease Cycles'!$AY$22/12,IF(AND('Lease Cycles'!$AV$22&gt;=INDEX('Lease Cycles'!$BG$22:$BM$22,1,DO248),'Lease Cycles'!$AV$22&lt;=DO$6),'Lease Cycles'!$C$22*'Lease Cycles'!$AW$22/12,IF(AND('Lease Cycles'!$AT$22&gt;=INDEX('Lease Cycles'!$BG$22:$BM$22,1,DO248),'Lease Cycles'!$AT$22&lt;=DO$6),'Lease Cycles'!$C$22*'Lease Cycles'!$AU$22/12,'Lease Cycles'!$C$22*INDEX('Lease Cycles'!$CB$22:$CH$22,1,DO248)*(1+INDEX('Lease Cycles'!$CI$22:$CO$22,1,DO248))^INT(INT(DO249/12)/INDEX('Lease Cycles'!$CP$22:$CV$22,1,DO248))/12)))),'Lease Cycles'!$C$22*INDEX('Lease Cycles'!$CB$22:$CH$22,1,DO248)*(1+INDEX('Lease Cycles'!$CI$22:$CO$22,1,DO248))^INT(INT(DO249/12)/INDEX('Lease Cycles'!$CP$22:$CV$22,1,DO248))/12))),IF('Lease Cycles'!$N$22=1,'Lease Cycles'!$C$22*'Lease Cycles'!$E$22*INDEX('Lease Cycles'!$HE$22:$HK$22,1,DO248)*(1+INDEX('Lease Cycles'!$GQ$22:$GW$22,1,DO248))^INT(INT((DO$6-INDEX('Lease Cycles'!$GJ$22:$GP$22,1,DO248))/12)/INDEX('Lease Cycles'!$GX$22:$HD$22,1,DO248))/12,0)))</f>
        <v>0</v>
      </c>
      <c r="DP251" s="28">
        <f>IF(DP248=0,IF('Lease Cycles'!$F$22&gt;0,'Lease Cycles'!$C$22*'Lease Cycles'!$E$22/12,0),IF(DP250=1,IF('Lease Cycles'!$AT$22&gt;=9999,'Lease Cycles'!$C$22*INDEX('Lease Cycles'!$CB$22:$CH$22,1,DP248)*(1+INDEX('Lease Cycles'!$CI$22:$CO$22,1,DP248))^INT(INT(DP249/12)/INDEX('Lease Cycles'!$CP$22:$CV$22,1,DP248))/12,IF(DP248=1,IF(DP249&gt;=INDEX('Lease Cycles'!$DK$22:$DQ$22,1,DP248),IF(DP$6&gt;='Lease Cycles'!$AZ$22,'Lease Cycles'!$C$22*'Lease Cycles'!$BA$22/12,IF(DP$6&gt;='Lease Cycles'!$AX$22,'Lease Cycles'!$C$22*'Lease Cycles'!$AY$22/12,IF(DP$6&gt;='Lease Cycles'!$AV$22,'Lease Cycles'!$C$22*'Lease Cycles'!$AW$22/12,IF(DP$6&gt;='Lease Cycles'!$AT$22,'Lease Cycles'!$C$22*'Lease Cycles'!$AU$22/12,'Lease Cycles'!$C$22*INDEX('Lease Cycles'!$CB$22:$CH$22,1,DP248)*(1+INDEX('Lease Cycles'!$CI$22:$CO$22,1,DP248))^INT(INT(DP249/12)/INDEX('Lease Cycles'!$CP$22:$CV$22,1,DP248))/12)))),'Lease Cycles'!$C$22*INDEX('Lease Cycles'!$CB$22:$CH$22,1,DP248)*(1+INDEX('Lease Cycles'!$CI$22:$CO$22,1,DP248))^INT(INT(DP249/12)/INDEX('Lease Cycles'!$CP$22:$CV$22,1,DP248))/12),IF(INDEX('Lease Cycles'!$EF$22:$EL$22,1,DP248)=1,IF(AND('Lease Cycles'!$AZ$22&gt;=INDEX('Lease Cycles'!$BG$22:$BM$22,1,DP248),'Lease Cycles'!$AZ$22&lt;=DP$6),'Lease Cycles'!$C$22*'Lease Cycles'!$BA$22/12,IF(AND('Lease Cycles'!$AX$22&gt;=INDEX('Lease Cycles'!$BG$22:$BM$22,1,DP248),'Lease Cycles'!$AX$22&lt;=DP$6),'Lease Cycles'!$C$22*'Lease Cycles'!$AY$22/12,IF(AND('Lease Cycles'!$AV$22&gt;=INDEX('Lease Cycles'!$BG$22:$BM$22,1,DP248),'Lease Cycles'!$AV$22&lt;=DP$6),'Lease Cycles'!$C$22*'Lease Cycles'!$AW$22/12,IF(AND('Lease Cycles'!$AT$22&gt;=INDEX('Lease Cycles'!$BG$22:$BM$22,1,DP248),'Lease Cycles'!$AT$22&lt;=DP$6),'Lease Cycles'!$C$22*'Lease Cycles'!$AU$22/12,'Lease Cycles'!$C$22*INDEX('Lease Cycles'!$CB$22:$CH$22,1,DP248)*(1+INDEX('Lease Cycles'!$CI$22:$CO$22,1,DP248))^INT(INT(DP249/12)/INDEX('Lease Cycles'!$CP$22:$CV$22,1,DP248))/12)))),'Lease Cycles'!$C$22*INDEX('Lease Cycles'!$CB$22:$CH$22,1,DP248)*(1+INDEX('Lease Cycles'!$CI$22:$CO$22,1,DP248))^INT(INT(DP249/12)/INDEX('Lease Cycles'!$CP$22:$CV$22,1,DP248))/12))),IF('Lease Cycles'!$N$22=1,'Lease Cycles'!$C$22*'Lease Cycles'!$E$22*INDEX('Lease Cycles'!$HE$22:$HK$22,1,DP248)*(1+INDEX('Lease Cycles'!$GQ$22:$GW$22,1,DP248))^INT(INT((DP$6-INDEX('Lease Cycles'!$GJ$22:$GP$22,1,DP248))/12)/INDEX('Lease Cycles'!$GX$22:$HD$22,1,DP248))/12,0)))</f>
        <v>0</v>
      </c>
      <c r="DQ251" s="28">
        <f>IF(DQ248=0,IF('Lease Cycles'!$F$22&gt;0,'Lease Cycles'!$C$22*'Lease Cycles'!$E$22/12,0),IF(DQ250=1,IF('Lease Cycles'!$AT$22&gt;=9999,'Lease Cycles'!$C$22*INDEX('Lease Cycles'!$CB$22:$CH$22,1,DQ248)*(1+INDEX('Lease Cycles'!$CI$22:$CO$22,1,DQ248))^INT(INT(DQ249/12)/INDEX('Lease Cycles'!$CP$22:$CV$22,1,DQ248))/12,IF(DQ248=1,IF(DQ249&gt;=INDEX('Lease Cycles'!$DK$22:$DQ$22,1,DQ248),IF(DQ$6&gt;='Lease Cycles'!$AZ$22,'Lease Cycles'!$C$22*'Lease Cycles'!$BA$22/12,IF(DQ$6&gt;='Lease Cycles'!$AX$22,'Lease Cycles'!$C$22*'Lease Cycles'!$AY$22/12,IF(DQ$6&gt;='Lease Cycles'!$AV$22,'Lease Cycles'!$C$22*'Lease Cycles'!$AW$22/12,IF(DQ$6&gt;='Lease Cycles'!$AT$22,'Lease Cycles'!$C$22*'Lease Cycles'!$AU$22/12,'Lease Cycles'!$C$22*INDEX('Lease Cycles'!$CB$22:$CH$22,1,DQ248)*(1+INDEX('Lease Cycles'!$CI$22:$CO$22,1,DQ248))^INT(INT(DQ249/12)/INDEX('Lease Cycles'!$CP$22:$CV$22,1,DQ248))/12)))),'Lease Cycles'!$C$22*INDEX('Lease Cycles'!$CB$22:$CH$22,1,DQ248)*(1+INDEX('Lease Cycles'!$CI$22:$CO$22,1,DQ248))^INT(INT(DQ249/12)/INDEX('Lease Cycles'!$CP$22:$CV$22,1,DQ248))/12),IF(INDEX('Lease Cycles'!$EF$22:$EL$22,1,DQ248)=1,IF(AND('Lease Cycles'!$AZ$22&gt;=INDEX('Lease Cycles'!$BG$22:$BM$22,1,DQ248),'Lease Cycles'!$AZ$22&lt;=DQ$6),'Lease Cycles'!$C$22*'Lease Cycles'!$BA$22/12,IF(AND('Lease Cycles'!$AX$22&gt;=INDEX('Lease Cycles'!$BG$22:$BM$22,1,DQ248),'Lease Cycles'!$AX$22&lt;=DQ$6),'Lease Cycles'!$C$22*'Lease Cycles'!$AY$22/12,IF(AND('Lease Cycles'!$AV$22&gt;=INDEX('Lease Cycles'!$BG$22:$BM$22,1,DQ248),'Lease Cycles'!$AV$22&lt;=DQ$6),'Lease Cycles'!$C$22*'Lease Cycles'!$AW$22/12,IF(AND('Lease Cycles'!$AT$22&gt;=INDEX('Lease Cycles'!$BG$22:$BM$22,1,DQ248),'Lease Cycles'!$AT$22&lt;=DQ$6),'Lease Cycles'!$C$22*'Lease Cycles'!$AU$22/12,'Lease Cycles'!$C$22*INDEX('Lease Cycles'!$CB$22:$CH$22,1,DQ248)*(1+INDEX('Lease Cycles'!$CI$22:$CO$22,1,DQ248))^INT(INT(DQ249/12)/INDEX('Lease Cycles'!$CP$22:$CV$22,1,DQ248))/12)))),'Lease Cycles'!$C$22*INDEX('Lease Cycles'!$CB$22:$CH$22,1,DQ248)*(1+INDEX('Lease Cycles'!$CI$22:$CO$22,1,DQ248))^INT(INT(DQ249/12)/INDEX('Lease Cycles'!$CP$22:$CV$22,1,DQ248))/12))),IF('Lease Cycles'!$N$22=1,'Lease Cycles'!$C$22*'Lease Cycles'!$E$22*INDEX('Lease Cycles'!$HE$22:$HK$22,1,DQ248)*(1+INDEX('Lease Cycles'!$GQ$22:$GW$22,1,DQ248))^INT(INT((DQ$6-INDEX('Lease Cycles'!$GJ$22:$GP$22,1,DQ248))/12)/INDEX('Lease Cycles'!$GX$22:$HD$22,1,DQ248))/12,0)))</f>
        <v>0</v>
      </c>
      <c r="DR251" s="28">
        <f>IF(DR248=0,IF('Lease Cycles'!$F$22&gt;0,'Lease Cycles'!$C$22*'Lease Cycles'!$E$22/12,0),IF(DR250=1,IF('Lease Cycles'!$AT$22&gt;=9999,'Lease Cycles'!$C$22*INDEX('Lease Cycles'!$CB$22:$CH$22,1,DR248)*(1+INDEX('Lease Cycles'!$CI$22:$CO$22,1,DR248))^INT(INT(DR249/12)/INDEX('Lease Cycles'!$CP$22:$CV$22,1,DR248))/12,IF(DR248=1,IF(DR249&gt;=INDEX('Lease Cycles'!$DK$22:$DQ$22,1,DR248),IF(DR$6&gt;='Lease Cycles'!$AZ$22,'Lease Cycles'!$C$22*'Lease Cycles'!$BA$22/12,IF(DR$6&gt;='Lease Cycles'!$AX$22,'Lease Cycles'!$C$22*'Lease Cycles'!$AY$22/12,IF(DR$6&gt;='Lease Cycles'!$AV$22,'Lease Cycles'!$C$22*'Lease Cycles'!$AW$22/12,IF(DR$6&gt;='Lease Cycles'!$AT$22,'Lease Cycles'!$C$22*'Lease Cycles'!$AU$22/12,'Lease Cycles'!$C$22*INDEX('Lease Cycles'!$CB$22:$CH$22,1,DR248)*(1+INDEX('Lease Cycles'!$CI$22:$CO$22,1,DR248))^INT(INT(DR249/12)/INDEX('Lease Cycles'!$CP$22:$CV$22,1,DR248))/12)))),'Lease Cycles'!$C$22*INDEX('Lease Cycles'!$CB$22:$CH$22,1,DR248)*(1+INDEX('Lease Cycles'!$CI$22:$CO$22,1,DR248))^INT(INT(DR249/12)/INDEX('Lease Cycles'!$CP$22:$CV$22,1,DR248))/12),IF(INDEX('Lease Cycles'!$EF$22:$EL$22,1,DR248)=1,IF(AND('Lease Cycles'!$AZ$22&gt;=INDEX('Lease Cycles'!$BG$22:$BM$22,1,DR248),'Lease Cycles'!$AZ$22&lt;=DR$6),'Lease Cycles'!$C$22*'Lease Cycles'!$BA$22/12,IF(AND('Lease Cycles'!$AX$22&gt;=INDEX('Lease Cycles'!$BG$22:$BM$22,1,DR248),'Lease Cycles'!$AX$22&lt;=DR$6),'Lease Cycles'!$C$22*'Lease Cycles'!$AY$22/12,IF(AND('Lease Cycles'!$AV$22&gt;=INDEX('Lease Cycles'!$BG$22:$BM$22,1,DR248),'Lease Cycles'!$AV$22&lt;=DR$6),'Lease Cycles'!$C$22*'Lease Cycles'!$AW$22/12,IF(AND('Lease Cycles'!$AT$22&gt;=INDEX('Lease Cycles'!$BG$22:$BM$22,1,DR248),'Lease Cycles'!$AT$22&lt;=DR$6),'Lease Cycles'!$C$22*'Lease Cycles'!$AU$22/12,'Lease Cycles'!$C$22*INDEX('Lease Cycles'!$CB$22:$CH$22,1,DR248)*(1+INDEX('Lease Cycles'!$CI$22:$CO$22,1,DR248))^INT(INT(DR249/12)/INDEX('Lease Cycles'!$CP$22:$CV$22,1,DR248))/12)))),'Lease Cycles'!$C$22*INDEX('Lease Cycles'!$CB$22:$CH$22,1,DR248)*(1+INDEX('Lease Cycles'!$CI$22:$CO$22,1,DR248))^INT(INT(DR249/12)/INDEX('Lease Cycles'!$CP$22:$CV$22,1,DR248))/12))),IF('Lease Cycles'!$N$22=1,'Lease Cycles'!$C$22*'Lease Cycles'!$E$22*INDEX('Lease Cycles'!$HE$22:$HK$22,1,DR248)*(1+INDEX('Lease Cycles'!$GQ$22:$GW$22,1,DR248))^INT(INT((DR$6-INDEX('Lease Cycles'!$GJ$22:$GP$22,1,DR248))/12)/INDEX('Lease Cycles'!$GX$22:$HD$22,1,DR248))/12,0)))</f>
        <v>0</v>
      </c>
      <c r="DS251" s="28">
        <f>IF(DS248=0,IF('Lease Cycles'!$F$22&gt;0,'Lease Cycles'!$C$22*'Lease Cycles'!$E$22/12,0),IF(DS250=1,IF('Lease Cycles'!$AT$22&gt;=9999,'Lease Cycles'!$C$22*INDEX('Lease Cycles'!$CB$22:$CH$22,1,DS248)*(1+INDEX('Lease Cycles'!$CI$22:$CO$22,1,DS248))^INT(INT(DS249/12)/INDEX('Lease Cycles'!$CP$22:$CV$22,1,DS248))/12,IF(DS248=1,IF(DS249&gt;=INDEX('Lease Cycles'!$DK$22:$DQ$22,1,DS248),IF(DS$6&gt;='Lease Cycles'!$AZ$22,'Lease Cycles'!$C$22*'Lease Cycles'!$BA$22/12,IF(DS$6&gt;='Lease Cycles'!$AX$22,'Lease Cycles'!$C$22*'Lease Cycles'!$AY$22/12,IF(DS$6&gt;='Lease Cycles'!$AV$22,'Lease Cycles'!$C$22*'Lease Cycles'!$AW$22/12,IF(DS$6&gt;='Lease Cycles'!$AT$22,'Lease Cycles'!$C$22*'Lease Cycles'!$AU$22/12,'Lease Cycles'!$C$22*INDEX('Lease Cycles'!$CB$22:$CH$22,1,DS248)*(1+INDEX('Lease Cycles'!$CI$22:$CO$22,1,DS248))^INT(INT(DS249/12)/INDEX('Lease Cycles'!$CP$22:$CV$22,1,DS248))/12)))),'Lease Cycles'!$C$22*INDEX('Lease Cycles'!$CB$22:$CH$22,1,DS248)*(1+INDEX('Lease Cycles'!$CI$22:$CO$22,1,DS248))^INT(INT(DS249/12)/INDEX('Lease Cycles'!$CP$22:$CV$22,1,DS248))/12),IF(INDEX('Lease Cycles'!$EF$22:$EL$22,1,DS248)=1,IF(AND('Lease Cycles'!$AZ$22&gt;=INDEX('Lease Cycles'!$BG$22:$BM$22,1,DS248),'Lease Cycles'!$AZ$22&lt;=DS$6),'Lease Cycles'!$C$22*'Lease Cycles'!$BA$22/12,IF(AND('Lease Cycles'!$AX$22&gt;=INDEX('Lease Cycles'!$BG$22:$BM$22,1,DS248),'Lease Cycles'!$AX$22&lt;=DS$6),'Lease Cycles'!$C$22*'Lease Cycles'!$AY$22/12,IF(AND('Lease Cycles'!$AV$22&gt;=INDEX('Lease Cycles'!$BG$22:$BM$22,1,DS248),'Lease Cycles'!$AV$22&lt;=DS$6),'Lease Cycles'!$C$22*'Lease Cycles'!$AW$22/12,IF(AND('Lease Cycles'!$AT$22&gt;=INDEX('Lease Cycles'!$BG$22:$BM$22,1,DS248),'Lease Cycles'!$AT$22&lt;=DS$6),'Lease Cycles'!$C$22*'Lease Cycles'!$AU$22/12,'Lease Cycles'!$C$22*INDEX('Lease Cycles'!$CB$22:$CH$22,1,DS248)*(1+INDEX('Lease Cycles'!$CI$22:$CO$22,1,DS248))^INT(INT(DS249/12)/INDEX('Lease Cycles'!$CP$22:$CV$22,1,DS248))/12)))),'Lease Cycles'!$C$22*INDEX('Lease Cycles'!$CB$22:$CH$22,1,DS248)*(1+INDEX('Lease Cycles'!$CI$22:$CO$22,1,DS248))^INT(INT(DS249/12)/INDEX('Lease Cycles'!$CP$22:$CV$22,1,DS248))/12))),IF('Lease Cycles'!$N$22=1,'Lease Cycles'!$C$22*'Lease Cycles'!$E$22*INDEX('Lease Cycles'!$HE$22:$HK$22,1,DS248)*(1+INDEX('Lease Cycles'!$GQ$22:$GW$22,1,DS248))^INT(INT((DS$6-INDEX('Lease Cycles'!$GJ$22:$GP$22,1,DS248))/12)/INDEX('Lease Cycles'!$GX$22:$HD$22,1,DS248))/12,0)))</f>
        <v>0</v>
      </c>
      <c r="DT251" s="28">
        <f>IF(DT248=0,IF('Lease Cycles'!$F$22&gt;0,'Lease Cycles'!$C$22*'Lease Cycles'!$E$22/12,0),IF(DT250=1,IF('Lease Cycles'!$AT$22&gt;=9999,'Lease Cycles'!$C$22*INDEX('Lease Cycles'!$CB$22:$CH$22,1,DT248)*(1+INDEX('Lease Cycles'!$CI$22:$CO$22,1,DT248))^INT(INT(DT249/12)/INDEX('Lease Cycles'!$CP$22:$CV$22,1,DT248))/12,IF(DT248=1,IF(DT249&gt;=INDEX('Lease Cycles'!$DK$22:$DQ$22,1,DT248),IF(DT$6&gt;='Lease Cycles'!$AZ$22,'Lease Cycles'!$C$22*'Lease Cycles'!$BA$22/12,IF(DT$6&gt;='Lease Cycles'!$AX$22,'Lease Cycles'!$C$22*'Lease Cycles'!$AY$22/12,IF(DT$6&gt;='Lease Cycles'!$AV$22,'Lease Cycles'!$C$22*'Lease Cycles'!$AW$22/12,IF(DT$6&gt;='Lease Cycles'!$AT$22,'Lease Cycles'!$C$22*'Lease Cycles'!$AU$22/12,'Lease Cycles'!$C$22*INDEX('Lease Cycles'!$CB$22:$CH$22,1,DT248)*(1+INDEX('Lease Cycles'!$CI$22:$CO$22,1,DT248))^INT(INT(DT249/12)/INDEX('Lease Cycles'!$CP$22:$CV$22,1,DT248))/12)))),'Lease Cycles'!$C$22*INDEX('Lease Cycles'!$CB$22:$CH$22,1,DT248)*(1+INDEX('Lease Cycles'!$CI$22:$CO$22,1,DT248))^INT(INT(DT249/12)/INDEX('Lease Cycles'!$CP$22:$CV$22,1,DT248))/12),IF(INDEX('Lease Cycles'!$EF$22:$EL$22,1,DT248)=1,IF(AND('Lease Cycles'!$AZ$22&gt;=INDEX('Lease Cycles'!$BG$22:$BM$22,1,DT248),'Lease Cycles'!$AZ$22&lt;=DT$6),'Lease Cycles'!$C$22*'Lease Cycles'!$BA$22/12,IF(AND('Lease Cycles'!$AX$22&gt;=INDEX('Lease Cycles'!$BG$22:$BM$22,1,DT248),'Lease Cycles'!$AX$22&lt;=DT$6),'Lease Cycles'!$C$22*'Lease Cycles'!$AY$22/12,IF(AND('Lease Cycles'!$AV$22&gt;=INDEX('Lease Cycles'!$BG$22:$BM$22,1,DT248),'Lease Cycles'!$AV$22&lt;=DT$6),'Lease Cycles'!$C$22*'Lease Cycles'!$AW$22/12,IF(AND('Lease Cycles'!$AT$22&gt;=INDEX('Lease Cycles'!$BG$22:$BM$22,1,DT248),'Lease Cycles'!$AT$22&lt;=DT$6),'Lease Cycles'!$C$22*'Lease Cycles'!$AU$22/12,'Lease Cycles'!$C$22*INDEX('Lease Cycles'!$CB$22:$CH$22,1,DT248)*(1+INDEX('Lease Cycles'!$CI$22:$CO$22,1,DT248))^INT(INT(DT249/12)/INDEX('Lease Cycles'!$CP$22:$CV$22,1,DT248))/12)))),'Lease Cycles'!$C$22*INDEX('Lease Cycles'!$CB$22:$CH$22,1,DT248)*(1+INDEX('Lease Cycles'!$CI$22:$CO$22,1,DT248))^INT(INT(DT249/12)/INDEX('Lease Cycles'!$CP$22:$CV$22,1,DT248))/12))),IF('Lease Cycles'!$N$22=1,'Lease Cycles'!$C$22*'Lease Cycles'!$E$22*INDEX('Lease Cycles'!$HE$22:$HK$22,1,DT248)*(1+INDEX('Lease Cycles'!$GQ$22:$GW$22,1,DT248))^INT(INT((DT$6-INDEX('Lease Cycles'!$GJ$22:$GP$22,1,DT248))/12)/INDEX('Lease Cycles'!$GX$22:$HD$22,1,DT248))/12,0)))</f>
        <v>0</v>
      </c>
      <c r="DU251" s="28">
        <f>IF(DU248=0,IF('Lease Cycles'!$F$22&gt;0,'Lease Cycles'!$C$22*'Lease Cycles'!$E$22/12,0),IF(DU250=1,IF('Lease Cycles'!$AT$22&gt;=9999,'Lease Cycles'!$C$22*INDEX('Lease Cycles'!$CB$22:$CH$22,1,DU248)*(1+INDEX('Lease Cycles'!$CI$22:$CO$22,1,DU248))^INT(INT(DU249/12)/INDEX('Lease Cycles'!$CP$22:$CV$22,1,DU248))/12,IF(DU248=1,IF(DU249&gt;=INDEX('Lease Cycles'!$DK$22:$DQ$22,1,DU248),IF(DU$6&gt;='Lease Cycles'!$AZ$22,'Lease Cycles'!$C$22*'Lease Cycles'!$BA$22/12,IF(DU$6&gt;='Lease Cycles'!$AX$22,'Lease Cycles'!$C$22*'Lease Cycles'!$AY$22/12,IF(DU$6&gt;='Lease Cycles'!$AV$22,'Lease Cycles'!$C$22*'Lease Cycles'!$AW$22/12,IF(DU$6&gt;='Lease Cycles'!$AT$22,'Lease Cycles'!$C$22*'Lease Cycles'!$AU$22/12,'Lease Cycles'!$C$22*INDEX('Lease Cycles'!$CB$22:$CH$22,1,DU248)*(1+INDEX('Lease Cycles'!$CI$22:$CO$22,1,DU248))^INT(INT(DU249/12)/INDEX('Lease Cycles'!$CP$22:$CV$22,1,DU248))/12)))),'Lease Cycles'!$C$22*INDEX('Lease Cycles'!$CB$22:$CH$22,1,DU248)*(1+INDEX('Lease Cycles'!$CI$22:$CO$22,1,DU248))^INT(INT(DU249/12)/INDEX('Lease Cycles'!$CP$22:$CV$22,1,DU248))/12),IF(INDEX('Lease Cycles'!$EF$22:$EL$22,1,DU248)=1,IF(AND('Lease Cycles'!$AZ$22&gt;=INDEX('Lease Cycles'!$BG$22:$BM$22,1,DU248),'Lease Cycles'!$AZ$22&lt;=DU$6),'Lease Cycles'!$C$22*'Lease Cycles'!$BA$22/12,IF(AND('Lease Cycles'!$AX$22&gt;=INDEX('Lease Cycles'!$BG$22:$BM$22,1,DU248),'Lease Cycles'!$AX$22&lt;=DU$6),'Lease Cycles'!$C$22*'Lease Cycles'!$AY$22/12,IF(AND('Lease Cycles'!$AV$22&gt;=INDEX('Lease Cycles'!$BG$22:$BM$22,1,DU248),'Lease Cycles'!$AV$22&lt;=DU$6),'Lease Cycles'!$C$22*'Lease Cycles'!$AW$22/12,IF(AND('Lease Cycles'!$AT$22&gt;=INDEX('Lease Cycles'!$BG$22:$BM$22,1,DU248),'Lease Cycles'!$AT$22&lt;=DU$6),'Lease Cycles'!$C$22*'Lease Cycles'!$AU$22/12,'Lease Cycles'!$C$22*INDEX('Lease Cycles'!$CB$22:$CH$22,1,DU248)*(1+INDEX('Lease Cycles'!$CI$22:$CO$22,1,DU248))^INT(INT(DU249/12)/INDEX('Lease Cycles'!$CP$22:$CV$22,1,DU248))/12)))),'Lease Cycles'!$C$22*INDEX('Lease Cycles'!$CB$22:$CH$22,1,DU248)*(1+INDEX('Lease Cycles'!$CI$22:$CO$22,1,DU248))^INT(INT(DU249/12)/INDEX('Lease Cycles'!$CP$22:$CV$22,1,DU248))/12))),IF('Lease Cycles'!$N$22=1,'Lease Cycles'!$C$22*'Lease Cycles'!$E$22*INDEX('Lease Cycles'!$HE$22:$HK$22,1,DU248)*(1+INDEX('Lease Cycles'!$GQ$22:$GW$22,1,DU248))^INT(INT((DU$6-INDEX('Lease Cycles'!$GJ$22:$GP$22,1,DU248))/12)/INDEX('Lease Cycles'!$GX$22:$HD$22,1,DU248))/12,0)))</f>
        <v>0</v>
      </c>
      <c r="DV251" s="28">
        <f>IF(DV248=0,IF('Lease Cycles'!$F$22&gt;0,'Lease Cycles'!$C$22*'Lease Cycles'!$E$22/12,0),IF(DV250=1,IF('Lease Cycles'!$AT$22&gt;=9999,'Lease Cycles'!$C$22*INDEX('Lease Cycles'!$CB$22:$CH$22,1,DV248)*(1+INDEX('Lease Cycles'!$CI$22:$CO$22,1,DV248))^INT(INT(DV249/12)/INDEX('Lease Cycles'!$CP$22:$CV$22,1,DV248))/12,IF(DV248=1,IF(DV249&gt;=INDEX('Lease Cycles'!$DK$22:$DQ$22,1,DV248),IF(DV$6&gt;='Lease Cycles'!$AZ$22,'Lease Cycles'!$C$22*'Lease Cycles'!$BA$22/12,IF(DV$6&gt;='Lease Cycles'!$AX$22,'Lease Cycles'!$C$22*'Lease Cycles'!$AY$22/12,IF(DV$6&gt;='Lease Cycles'!$AV$22,'Lease Cycles'!$C$22*'Lease Cycles'!$AW$22/12,IF(DV$6&gt;='Lease Cycles'!$AT$22,'Lease Cycles'!$C$22*'Lease Cycles'!$AU$22/12,'Lease Cycles'!$C$22*INDEX('Lease Cycles'!$CB$22:$CH$22,1,DV248)*(1+INDEX('Lease Cycles'!$CI$22:$CO$22,1,DV248))^INT(INT(DV249/12)/INDEX('Lease Cycles'!$CP$22:$CV$22,1,DV248))/12)))),'Lease Cycles'!$C$22*INDEX('Lease Cycles'!$CB$22:$CH$22,1,DV248)*(1+INDEX('Lease Cycles'!$CI$22:$CO$22,1,DV248))^INT(INT(DV249/12)/INDEX('Lease Cycles'!$CP$22:$CV$22,1,DV248))/12),IF(INDEX('Lease Cycles'!$EF$22:$EL$22,1,DV248)=1,IF(AND('Lease Cycles'!$AZ$22&gt;=INDEX('Lease Cycles'!$BG$22:$BM$22,1,DV248),'Lease Cycles'!$AZ$22&lt;=DV$6),'Lease Cycles'!$C$22*'Lease Cycles'!$BA$22/12,IF(AND('Lease Cycles'!$AX$22&gt;=INDEX('Lease Cycles'!$BG$22:$BM$22,1,DV248),'Lease Cycles'!$AX$22&lt;=DV$6),'Lease Cycles'!$C$22*'Lease Cycles'!$AY$22/12,IF(AND('Lease Cycles'!$AV$22&gt;=INDEX('Lease Cycles'!$BG$22:$BM$22,1,DV248),'Lease Cycles'!$AV$22&lt;=DV$6),'Lease Cycles'!$C$22*'Lease Cycles'!$AW$22/12,IF(AND('Lease Cycles'!$AT$22&gt;=INDEX('Lease Cycles'!$BG$22:$BM$22,1,DV248),'Lease Cycles'!$AT$22&lt;=DV$6),'Lease Cycles'!$C$22*'Lease Cycles'!$AU$22/12,'Lease Cycles'!$C$22*INDEX('Lease Cycles'!$CB$22:$CH$22,1,DV248)*(1+INDEX('Lease Cycles'!$CI$22:$CO$22,1,DV248))^INT(INT(DV249/12)/INDEX('Lease Cycles'!$CP$22:$CV$22,1,DV248))/12)))),'Lease Cycles'!$C$22*INDEX('Lease Cycles'!$CB$22:$CH$22,1,DV248)*(1+INDEX('Lease Cycles'!$CI$22:$CO$22,1,DV248))^INT(INT(DV249/12)/INDEX('Lease Cycles'!$CP$22:$CV$22,1,DV248))/12))),IF('Lease Cycles'!$N$22=1,'Lease Cycles'!$C$22*'Lease Cycles'!$E$22*INDEX('Lease Cycles'!$HE$22:$HK$22,1,DV248)*(1+INDEX('Lease Cycles'!$GQ$22:$GW$22,1,DV248))^INT(INT((DV$6-INDEX('Lease Cycles'!$GJ$22:$GP$22,1,DV248))/12)/INDEX('Lease Cycles'!$GX$22:$HD$22,1,DV248))/12,0)))</f>
        <v>0</v>
      </c>
      <c r="DW251" s="28">
        <f>IF(DW248=0,IF('Lease Cycles'!$F$22&gt;0,'Lease Cycles'!$C$22*'Lease Cycles'!$E$22/12,0),IF(DW250=1,IF('Lease Cycles'!$AT$22&gt;=9999,'Lease Cycles'!$C$22*INDEX('Lease Cycles'!$CB$22:$CH$22,1,DW248)*(1+INDEX('Lease Cycles'!$CI$22:$CO$22,1,DW248))^INT(INT(DW249/12)/INDEX('Lease Cycles'!$CP$22:$CV$22,1,DW248))/12,IF(DW248=1,IF(DW249&gt;=INDEX('Lease Cycles'!$DK$22:$DQ$22,1,DW248),IF(DW$6&gt;='Lease Cycles'!$AZ$22,'Lease Cycles'!$C$22*'Lease Cycles'!$BA$22/12,IF(DW$6&gt;='Lease Cycles'!$AX$22,'Lease Cycles'!$C$22*'Lease Cycles'!$AY$22/12,IF(DW$6&gt;='Lease Cycles'!$AV$22,'Lease Cycles'!$C$22*'Lease Cycles'!$AW$22/12,IF(DW$6&gt;='Lease Cycles'!$AT$22,'Lease Cycles'!$C$22*'Lease Cycles'!$AU$22/12,'Lease Cycles'!$C$22*INDEX('Lease Cycles'!$CB$22:$CH$22,1,DW248)*(1+INDEX('Lease Cycles'!$CI$22:$CO$22,1,DW248))^INT(INT(DW249/12)/INDEX('Lease Cycles'!$CP$22:$CV$22,1,DW248))/12)))),'Lease Cycles'!$C$22*INDEX('Lease Cycles'!$CB$22:$CH$22,1,DW248)*(1+INDEX('Lease Cycles'!$CI$22:$CO$22,1,DW248))^INT(INT(DW249/12)/INDEX('Lease Cycles'!$CP$22:$CV$22,1,DW248))/12),IF(INDEX('Lease Cycles'!$EF$22:$EL$22,1,DW248)=1,IF(AND('Lease Cycles'!$AZ$22&gt;=INDEX('Lease Cycles'!$BG$22:$BM$22,1,DW248),'Lease Cycles'!$AZ$22&lt;=DW$6),'Lease Cycles'!$C$22*'Lease Cycles'!$BA$22/12,IF(AND('Lease Cycles'!$AX$22&gt;=INDEX('Lease Cycles'!$BG$22:$BM$22,1,DW248),'Lease Cycles'!$AX$22&lt;=DW$6),'Lease Cycles'!$C$22*'Lease Cycles'!$AY$22/12,IF(AND('Lease Cycles'!$AV$22&gt;=INDEX('Lease Cycles'!$BG$22:$BM$22,1,DW248),'Lease Cycles'!$AV$22&lt;=DW$6),'Lease Cycles'!$C$22*'Lease Cycles'!$AW$22/12,IF(AND('Lease Cycles'!$AT$22&gt;=INDEX('Lease Cycles'!$BG$22:$BM$22,1,DW248),'Lease Cycles'!$AT$22&lt;=DW$6),'Lease Cycles'!$C$22*'Lease Cycles'!$AU$22/12,'Lease Cycles'!$C$22*INDEX('Lease Cycles'!$CB$22:$CH$22,1,DW248)*(1+INDEX('Lease Cycles'!$CI$22:$CO$22,1,DW248))^INT(INT(DW249/12)/INDEX('Lease Cycles'!$CP$22:$CV$22,1,DW248))/12)))),'Lease Cycles'!$C$22*INDEX('Lease Cycles'!$CB$22:$CH$22,1,DW248)*(1+INDEX('Lease Cycles'!$CI$22:$CO$22,1,DW248))^INT(INT(DW249/12)/INDEX('Lease Cycles'!$CP$22:$CV$22,1,DW248))/12))),IF('Lease Cycles'!$N$22=1,'Lease Cycles'!$C$22*'Lease Cycles'!$E$22*INDEX('Lease Cycles'!$HE$22:$HK$22,1,DW248)*(1+INDEX('Lease Cycles'!$GQ$22:$GW$22,1,DW248))^INT(INT((DW$6-INDEX('Lease Cycles'!$GJ$22:$GP$22,1,DW248))/12)/INDEX('Lease Cycles'!$GX$22:$HD$22,1,DW248))/12,0)))</f>
        <v>0</v>
      </c>
      <c r="DX251" s="28">
        <f>IF(DX248=0,IF('Lease Cycles'!$F$22&gt;0,'Lease Cycles'!$C$22*'Lease Cycles'!$E$22/12,0),IF(DX250=1,IF('Lease Cycles'!$AT$22&gt;=9999,'Lease Cycles'!$C$22*INDEX('Lease Cycles'!$CB$22:$CH$22,1,DX248)*(1+INDEX('Lease Cycles'!$CI$22:$CO$22,1,DX248))^INT(INT(DX249/12)/INDEX('Lease Cycles'!$CP$22:$CV$22,1,DX248))/12,IF(DX248=1,IF(DX249&gt;=INDEX('Lease Cycles'!$DK$22:$DQ$22,1,DX248),IF(DX$6&gt;='Lease Cycles'!$AZ$22,'Lease Cycles'!$C$22*'Lease Cycles'!$BA$22/12,IF(DX$6&gt;='Lease Cycles'!$AX$22,'Lease Cycles'!$C$22*'Lease Cycles'!$AY$22/12,IF(DX$6&gt;='Lease Cycles'!$AV$22,'Lease Cycles'!$C$22*'Lease Cycles'!$AW$22/12,IF(DX$6&gt;='Lease Cycles'!$AT$22,'Lease Cycles'!$C$22*'Lease Cycles'!$AU$22/12,'Lease Cycles'!$C$22*INDEX('Lease Cycles'!$CB$22:$CH$22,1,DX248)*(1+INDEX('Lease Cycles'!$CI$22:$CO$22,1,DX248))^INT(INT(DX249/12)/INDEX('Lease Cycles'!$CP$22:$CV$22,1,DX248))/12)))),'Lease Cycles'!$C$22*INDEX('Lease Cycles'!$CB$22:$CH$22,1,DX248)*(1+INDEX('Lease Cycles'!$CI$22:$CO$22,1,DX248))^INT(INT(DX249/12)/INDEX('Lease Cycles'!$CP$22:$CV$22,1,DX248))/12),IF(INDEX('Lease Cycles'!$EF$22:$EL$22,1,DX248)=1,IF(AND('Lease Cycles'!$AZ$22&gt;=INDEX('Lease Cycles'!$BG$22:$BM$22,1,DX248),'Lease Cycles'!$AZ$22&lt;=DX$6),'Lease Cycles'!$C$22*'Lease Cycles'!$BA$22/12,IF(AND('Lease Cycles'!$AX$22&gt;=INDEX('Lease Cycles'!$BG$22:$BM$22,1,DX248),'Lease Cycles'!$AX$22&lt;=DX$6),'Lease Cycles'!$C$22*'Lease Cycles'!$AY$22/12,IF(AND('Lease Cycles'!$AV$22&gt;=INDEX('Lease Cycles'!$BG$22:$BM$22,1,DX248),'Lease Cycles'!$AV$22&lt;=DX$6),'Lease Cycles'!$C$22*'Lease Cycles'!$AW$22/12,IF(AND('Lease Cycles'!$AT$22&gt;=INDEX('Lease Cycles'!$BG$22:$BM$22,1,DX248),'Lease Cycles'!$AT$22&lt;=DX$6),'Lease Cycles'!$C$22*'Lease Cycles'!$AU$22/12,'Lease Cycles'!$C$22*INDEX('Lease Cycles'!$CB$22:$CH$22,1,DX248)*(1+INDEX('Lease Cycles'!$CI$22:$CO$22,1,DX248))^INT(INT(DX249/12)/INDEX('Lease Cycles'!$CP$22:$CV$22,1,DX248))/12)))),'Lease Cycles'!$C$22*INDEX('Lease Cycles'!$CB$22:$CH$22,1,DX248)*(1+INDEX('Lease Cycles'!$CI$22:$CO$22,1,DX248))^INT(INT(DX249/12)/INDEX('Lease Cycles'!$CP$22:$CV$22,1,DX248))/12))),IF('Lease Cycles'!$N$22=1,'Lease Cycles'!$C$22*'Lease Cycles'!$E$22*INDEX('Lease Cycles'!$HE$22:$HK$22,1,DX248)*(1+INDEX('Lease Cycles'!$GQ$22:$GW$22,1,DX248))^INT(INT((DX$6-INDEX('Lease Cycles'!$GJ$22:$GP$22,1,DX248))/12)/INDEX('Lease Cycles'!$GX$22:$HD$22,1,DX248))/12,0)))</f>
        <v>0</v>
      </c>
      <c r="DY251" s="28">
        <f>IF(DY248=0,IF('Lease Cycles'!$F$22&gt;0,'Lease Cycles'!$C$22*'Lease Cycles'!$E$22/12,0),IF(DY250=1,IF('Lease Cycles'!$AT$22&gt;=9999,'Lease Cycles'!$C$22*INDEX('Lease Cycles'!$CB$22:$CH$22,1,DY248)*(1+INDEX('Lease Cycles'!$CI$22:$CO$22,1,DY248))^INT(INT(DY249/12)/INDEX('Lease Cycles'!$CP$22:$CV$22,1,DY248))/12,IF(DY248=1,IF(DY249&gt;=INDEX('Lease Cycles'!$DK$22:$DQ$22,1,DY248),IF(DY$6&gt;='Lease Cycles'!$AZ$22,'Lease Cycles'!$C$22*'Lease Cycles'!$BA$22/12,IF(DY$6&gt;='Lease Cycles'!$AX$22,'Lease Cycles'!$C$22*'Lease Cycles'!$AY$22/12,IF(DY$6&gt;='Lease Cycles'!$AV$22,'Lease Cycles'!$C$22*'Lease Cycles'!$AW$22/12,IF(DY$6&gt;='Lease Cycles'!$AT$22,'Lease Cycles'!$C$22*'Lease Cycles'!$AU$22/12,'Lease Cycles'!$C$22*INDEX('Lease Cycles'!$CB$22:$CH$22,1,DY248)*(1+INDEX('Lease Cycles'!$CI$22:$CO$22,1,DY248))^INT(INT(DY249/12)/INDEX('Lease Cycles'!$CP$22:$CV$22,1,DY248))/12)))),'Lease Cycles'!$C$22*INDEX('Lease Cycles'!$CB$22:$CH$22,1,DY248)*(1+INDEX('Lease Cycles'!$CI$22:$CO$22,1,DY248))^INT(INT(DY249/12)/INDEX('Lease Cycles'!$CP$22:$CV$22,1,DY248))/12),IF(INDEX('Lease Cycles'!$EF$22:$EL$22,1,DY248)=1,IF(AND('Lease Cycles'!$AZ$22&gt;=INDEX('Lease Cycles'!$BG$22:$BM$22,1,DY248),'Lease Cycles'!$AZ$22&lt;=DY$6),'Lease Cycles'!$C$22*'Lease Cycles'!$BA$22/12,IF(AND('Lease Cycles'!$AX$22&gt;=INDEX('Lease Cycles'!$BG$22:$BM$22,1,DY248),'Lease Cycles'!$AX$22&lt;=DY$6),'Lease Cycles'!$C$22*'Lease Cycles'!$AY$22/12,IF(AND('Lease Cycles'!$AV$22&gt;=INDEX('Lease Cycles'!$BG$22:$BM$22,1,DY248),'Lease Cycles'!$AV$22&lt;=DY$6),'Lease Cycles'!$C$22*'Lease Cycles'!$AW$22/12,IF(AND('Lease Cycles'!$AT$22&gt;=INDEX('Lease Cycles'!$BG$22:$BM$22,1,DY248),'Lease Cycles'!$AT$22&lt;=DY$6),'Lease Cycles'!$C$22*'Lease Cycles'!$AU$22/12,'Lease Cycles'!$C$22*INDEX('Lease Cycles'!$CB$22:$CH$22,1,DY248)*(1+INDEX('Lease Cycles'!$CI$22:$CO$22,1,DY248))^INT(INT(DY249/12)/INDEX('Lease Cycles'!$CP$22:$CV$22,1,DY248))/12)))),'Lease Cycles'!$C$22*INDEX('Lease Cycles'!$CB$22:$CH$22,1,DY248)*(1+INDEX('Lease Cycles'!$CI$22:$CO$22,1,DY248))^INT(INT(DY249/12)/INDEX('Lease Cycles'!$CP$22:$CV$22,1,DY248))/12))),IF('Lease Cycles'!$N$22=1,'Lease Cycles'!$C$22*'Lease Cycles'!$E$22*INDEX('Lease Cycles'!$HE$22:$HK$22,1,DY248)*(1+INDEX('Lease Cycles'!$GQ$22:$GW$22,1,DY248))^INT(INT((DY$6-INDEX('Lease Cycles'!$GJ$22:$GP$22,1,DY248))/12)/INDEX('Lease Cycles'!$GX$22:$HD$22,1,DY248))/12,0)))</f>
        <v>0</v>
      </c>
      <c r="DZ251" s="28">
        <f>IF(DZ248=0,IF('Lease Cycles'!$F$22&gt;0,'Lease Cycles'!$C$22*'Lease Cycles'!$E$22/12,0),IF(DZ250=1,IF('Lease Cycles'!$AT$22&gt;=9999,'Lease Cycles'!$C$22*INDEX('Lease Cycles'!$CB$22:$CH$22,1,DZ248)*(1+INDEX('Lease Cycles'!$CI$22:$CO$22,1,DZ248))^INT(INT(DZ249/12)/INDEX('Lease Cycles'!$CP$22:$CV$22,1,DZ248))/12,IF(DZ248=1,IF(DZ249&gt;=INDEX('Lease Cycles'!$DK$22:$DQ$22,1,DZ248),IF(DZ$6&gt;='Lease Cycles'!$AZ$22,'Lease Cycles'!$C$22*'Lease Cycles'!$BA$22/12,IF(DZ$6&gt;='Lease Cycles'!$AX$22,'Lease Cycles'!$C$22*'Lease Cycles'!$AY$22/12,IF(DZ$6&gt;='Lease Cycles'!$AV$22,'Lease Cycles'!$C$22*'Lease Cycles'!$AW$22/12,IF(DZ$6&gt;='Lease Cycles'!$AT$22,'Lease Cycles'!$C$22*'Lease Cycles'!$AU$22/12,'Lease Cycles'!$C$22*INDEX('Lease Cycles'!$CB$22:$CH$22,1,DZ248)*(1+INDEX('Lease Cycles'!$CI$22:$CO$22,1,DZ248))^INT(INT(DZ249/12)/INDEX('Lease Cycles'!$CP$22:$CV$22,1,DZ248))/12)))),'Lease Cycles'!$C$22*INDEX('Lease Cycles'!$CB$22:$CH$22,1,DZ248)*(1+INDEX('Lease Cycles'!$CI$22:$CO$22,1,DZ248))^INT(INT(DZ249/12)/INDEX('Lease Cycles'!$CP$22:$CV$22,1,DZ248))/12),IF(INDEX('Lease Cycles'!$EF$22:$EL$22,1,DZ248)=1,IF(AND('Lease Cycles'!$AZ$22&gt;=INDEX('Lease Cycles'!$BG$22:$BM$22,1,DZ248),'Lease Cycles'!$AZ$22&lt;=DZ$6),'Lease Cycles'!$C$22*'Lease Cycles'!$BA$22/12,IF(AND('Lease Cycles'!$AX$22&gt;=INDEX('Lease Cycles'!$BG$22:$BM$22,1,DZ248),'Lease Cycles'!$AX$22&lt;=DZ$6),'Lease Cycles'!$C$22*'Lease Cycles'!$AY$22/12,IF(AND('Lease Cycles'!$AV$22&gt;=INDEX('Lease Cycles'!$BG$22:$BM$22,1,DZ248),'Lease Cycles'!$AV$22&lt;=DZ$6),'Lease Cycles'!$C$22*'Lease Cycles'!$AW$22/12,IF(AND('Lease Cycles'!$AT$22&gt;=INDEX('Lease Cycles'!$BG$22:$BM$22,1,DZ248),'Lease Cycles'!$AT$22&lt;=DZ$6),'Lease Cycles'!$C$22*'Lease Cycles'!$AU$22/12,'Lease Cycles'!$C$22*INDEX('Lease Cycles'!$CB$22:$CH$22,1,DZ248)*(1+INDEX('Lease Cycles'!$CI$22:$CO$22,1,DZ248))^INT(INT(DZ249/12)/INDEX('Lease Cycles'!$CP$22:$CV$22,1,DZ248))/12)))),'Lease Cycles'!$C$22*INDEX('Lease Cycles'!$CB$22:$CH$22,1,DZ248)*(1+INDEX('Lease Cycles'!$CI$22:$CO$22,1,DZ248))^INT(INT(DZ249/12)/INDEX('Lease Cycles'!$CP$22:$CV$22,1,DZ248))/12))),IF('Lease Cycles'!$N$22=1,'Lease Cycles'!$C$22*'Lease Cycles'!$E$22*INDEX('Lease Cycles'!$HE$22:$HK$22,1,DZ248)*(1+INDEX('Lease Cycles'!$GQ$22:$GW$22,1,DZ248))^INT(INT((DZ$6-INDEX('Lease Cycles'!$GJ$22:$GP$22,1,DZ248))/12)/INDEX('Lease Cycles'!$GX$22:$HD$22,1,DZ248))/12,0)))</f>
        <v>0</v>
      </c>
      <c r="EA251" s="28">
        <f>IF(EA248=0,IF('Lease Cycles'!$F$22&gt;0,'Lease Cycles'!$C$22*'Lease Cycles'!$E$22/12,0),IF(EA250=1,IF('Lease Cycles'!$AT$22&gt;=9999,'Lease Cycles'!$C$22*INDEX('Lease Cycles'!$CB$22:$CH$22,1,EA248)*(1+INDEX('Lease Cycles'!$CI$22:$CO$22,1,EA248))^INT(INT(EA249/12)/INDEX('Lease Cycles'!$CP$22:$CV$22,1,EA248))/12,IF(EA248=1,IF(EA249&gt;=INDEX('Lease Cycles'!$DK$22:$DQ$22,1,EA248),IF(EA$6&gt;='Lease Cycles'!$AZ$22,'Lease Cycles'!$C$22*'Lease Cycles'!$BA$22/12,IF(EA$6&gt;='Lease Cycles'!$AX$22,'Lease Cycles'!$C$22*'Lease Cycles'!$AY$22/12,IF(EA$6&gt;='Lease Cycles'!$AV$22,'Lease Cycles'!$C$22*'Lease Cycles'!$AW$22/12,IF(EA$6&gt;='Lease Cycles'!$AT$22,'Lease Cycles'!$C$22*'Lease Cycles'!$AU$22/12,'Lease Cycles'!$C$22*INDEX('Lease Cycles'!$CB$22:$CH$22,1,EA248)*(1+INDEX('Lease Cycles'!$CI$22:$CO$22,1,EA248))^INT(INT(EA249/12)/INDEX('Lease Cycles'!$CP$22:$CV$22,1,EA248))/12)))),'Lease Cycles'!$C$22*INDEX('Lease Cycles'!$CB$22:$CH$22,1,EA248)*(1+INDEX('Lease Cycles'!$CI$22:$CO$22,1,EA248))^INT(INT(EA249/12)/INDEX('Lease Cycles'!$CP$22:$CV$22,1,EA248))/12),IF(INDEX('Lease Cycles'!$EF$22:$EL$22,1,EA248)=1,IF(AND('Lease Cycles'!$AZ$22&gt;=INDEX('Lease Cycles'!$BG$22:$BM$22,1,EA248),'Lease Cycles'!$AZ$22&lt;=EA$6),'Lease Cycles'!$C$22*'Lease Cycles'!$BA$22/12,IF(AND('Lease Cycles'!$AX$22&gt;=INDEX('Lease Cycles'!$BG$22:$BM$22,1,EA248),'Lease Cycles'!$AX$22&lt;=EA$6),'Lease Cycles'!$C$22*'Lease Cycles'!$AY$22/12,IF(AND('Lease Cycles'!$AV$22&gt;=INDEX('Lease Cycles'!$BG$22:$BM$22,1,EA248),'Lease Cycles'!$AV$22&lt;=EA$6),'Lease Cycles'!$C$22*'Lease Cycles'!$AW$22/12,IF(AND('Lease Cycles'!$AT$22&gt;=INDEX('Lease Cycles'!$BG$22:$BM$22,1,EA248),'Lease Cycles'!$AT$22&lt;=EA$6),'Lease Cycles'!$C$22*'Lease Cycles'!$AU$22/12,'Lease Cycles'!$C$22*INDEX('Lease Cycles'!$CB$22:$CH$22,1,EA248)*(1+INDEX('Lease Cycles'!$CI$22:$CO$22,1,EA248))^INT(INT(EA249/12)/INDEX('Lease Cycles'!$CP$22:$CV$22,1,EA248))/12)))),'Lease Cycles'!$C$22*INDEX('Lease Cycles'!$CB$22:$CH$22,1,EA248)*(1+INDEX('Lease Cycles'!$CI$22:$CO$22,1,EA248))^INT(INT(EA249/12)/INDEX('Lease Cycles'!$CP$22:$CV$22,1,EA248))/12))),IF('Lease Cycles'!$N$22=1,'Lease Cycles'!$C$22*'Lease Cycles'!$E$22*INDEX('Lease Cycles'!$HE$22:$HK$22,1,EA248)*(1+INDEX('Lease Cycles'!$GQ$22:$GW$22,1,EA248))^INT(INT((EA$6-INDEX('Lease Cycles'!$GJ$22:$GP$22,1,EA248))/12)/INDEX('Lease Cycles'!$GX$22:$HD$22,1,EA248))/12,0)))</f>
        <v>0</v>
      </c>
      <c r="EB251" s="28">
        <f>IF(EB248=0,IF('Lease Cycles'!$F$22&gt;0,'Lease Cycles'!$C$22*'Lease Cycles'!$E$22/12,0),IF(EB250=1,IF('Lease Cycles'!$AT$22&gt;=9999,'Lease Cycles'!$C$22*INDEX('Lease Cycles'!$CB$22:$CH$22,1,EB248)*(1+INDEX('Lease Cycles'!$CI$22:$CO$22,1,EB248))^INT(INT(EB249/12)/INDEX('Lease Cycles'!$CP$22:$CV$22,1,EB248))/12,IF(EB248=1,IF(EB249&gt;=INDEX('Lease Cycles'!$DK$22:$DQ$22,1,EB248),IF(EB$6&gt;='Lease Cycles'!$AZ$22,'Lease Cycles'!$C$22*'Lease Cycles'!$BA$22/12,IF(EB$6&gt;='Lease Cycles'!$AX$22,'Lease Cycles'!$C$22*'Lease Cycles'!$AY$22/12,IF(EB$6&gt;='Lease Cycles'!$AV$22,'Lease Cycles'!$C$22*'Lease Cycles'!$AW$22/12,IF(EB$6&gt;='Lease Cycles'!$AT$22,'Lease Cycles'!$C$22*'Lease Cycles'!$AU$22/12,'Lease Cycles'!$C$22*INDEX('Lease Cycles'!$CB$22:$CH$22,1,EB248)*(1+INDEX('Lease Cycles'!$CI$22:$CO$22,1,EB248))^INT(INT(EB249/12)/INDEX('Lease Cycles'!$CP$22:$CV$22,1,EB248))/12)))),'Lease Cycles'!$C$22*INDEX('Lease Cycles'!$CB$22:$CH$22,1,EB248)*(1+INDEX('Lease Cycles'!$CI$22:$CO$22,1,EB248))^INT(INT(EB249/12)/INDEX('Lease Cycles'!$CP$22:$CV$22,1,EB248))/12),IF(INDEX('Lease Cycles'!$EF$22:$EL$22,1,EB248)=1,IF(AND('Lease Cycles'!$AZ$22&gt;=INDEX('Lease Cycles'!$BG$22:$BM$22,1,EB248),'Lease Cycles'!$AZ$22&lt;=EB$6),'Lease Cycles'!$C$22*'Lease Cycles'!$BA$22/12,IF(AND('Lease Cycles'!$AX$22&gt;=INDEX('Lease Cycles'!$BG$22:$BM$22,1,EB248),'Lease Cycles'!$AX$22&lt;=EB$6),'Lease Cycles'!$C$22*'Lease Cycles'!$AY$22/12,IF(AND('Lease Cycles'!$AV$22&gt;=INDEX('Lease Cycles'!$BG$22:$BM$22,1,EB248),'Lease Cycles'!$AV$22&lt;=EB$6),'Lease Cycles'!$C$22*'Lease Cycles'!$AW$22/12,IF(AND('Lease Cycles'!$AT$22&gt;=INDEX('Lease Cycles'!$BG$22:$BM$22,1,EB248),'Lease Cycles'!$AT$22&lt;=EB$6),'Lease Cycles'!$C$22*'Lease Cycles'!$AU$22/12,'Lease Cycles'!$C$22*INDEX('Lease Cycles'!$CB$22:$CH$22,1,EB248)*(1+INDEX('Lease Cycles'!$CI$22:$CO$22,1,EB248))^INT(INT(EB249/12)/INDEX('Lease Cycles'!$CP$22:$CV$22,1,EB248))/12)))),'Lease Cycles'!$C$22*INDEX('Lease Cycles'!$CB$22:$CH$22,1,EB248)*(1+INDEX('Lease Cycles'!$CI$22:$CO$22,1,EB248))^INT(INT(EB249/12)/INDEX('Lease Cycles'!$CP$22:$CV$22,1,EB248))/12))),IF('Lease Cycles'!$N$22=1,'Lease Cycles'!$C$22*'Lease Cycles'!$E$22*INDEX('Lease Cycles'!$HE$22:$HK$22,1,EB248)*(1+INDEX('Lease Cycles'!$GQ$22:$GW$22,1,EB248))^INT(INT((EB$6-INDEX('Lease Cycles'!$GJ$22:$GP$22,1,EB248))/12)/INDEX('Lease Cycles'!$GX$22:$HD$22,1,EB248))/12,0)))</f>
        <v>0</v>
      </c>
      <c r="EC251" s="28">
        <f>IF(EC248=0,IF('Lease Cycles'!$F$22&gt;0,'Lease Cycles'!$C$22*'Lease Cycles'!$E$22/12,0),IF(EC250=1,IF('Lease Cycles'!$AT$22&gt;=9999,'Lease Cycles'!$C$22*INDEX('Lease Cycles'!$CB$22:$CH$22,1,EC248)*(1+INDEX('Lease Cycles'!$CI$22:$CO$22,1,EC248))^INT(INT(EC249/12)/INDEX('Lease Cycles'!$CP$22:$CV$22,1,EC248))/12,IF(EC248=1,IF(EC249&gt;=INDEX('Lease Cycles'!$DK$22:$DQ$22,1,EC248),IF(EC$6&gt;='Lease Cycles'!$AZ$22,'Lease Cycles'!$C$22*'Lease Cycles'!$BA$22/12,IF(EC$6&gt;='Lease Cycles'!$AX$22,'Lease Cycles'!$C$22*'Lease Cycles'!$AY$22/12,IF(EC$6&gt;='Lease Cycles'!$AV$22,'Lease Cycles'!$C$22*'Lease Cycles'!$AW$22/12,IF(EC$6&gt;='Lease Cycles'!$AT$22,'Lease Cycles'!$C$22*'Lease Cycles'!$AU$22/12,'Lease Cycles'!$C$22*INDEX('Lease Cycles'!$CB$22:$CH$22,1,EC248)*(1+INDEX('Lease Cycles'!$CI$22:$CO$22,1,EC248))^INT(INT(EC249/12)/INDEX('Lease Cycles'!$CP$22:$CV$22,1,EC248))/12)))),'Lease Cycles'!$C$22*INDEX('Lease Cycles'!$CB$22:$CH$22,1,EC248)*(1+INDEX('Lease Cycles'!$CI$22:$CO$22,1,EC248))^INT(INT(EC249/12)/INDEX('Lease Cycles'!$CP$22:$CV$22,1,EC248))/12),IF(INDEX('Lease Cycles'!$EF$22:$EL$22,1,EC248)=1,IF(AND('Lease Cycles'!$AZ$22&gt;=INDEX('Lease Cycles'!$BG$22:$BM$22,1,EC248),'Lease Cycles'!$AZ$22&lt;=EC$6),'Lease Cycles'!$C$22*'Lease Cycles'!$BA$22/12,IF(AND('Lease Cycles'!$AX$22&gt;=INDEX('Lease Cycles'!$BG$22:$BM$22,1,EC248),'Lease Cycles'!$AX$22&lt;=EC$6),'Lease Cycles'!$C$22*'Lease Cycles'!$AY$22/12,IF(AND('Lease Cycles'!$AV$22&gt;=INDEX('Lease Cycles'!$BG$22:$BM$22,1,EC248),'Lease Cycles'!$AV$22&lt;=EC$6),'Lease Cycles'!$C$22*'Lease Cycles'!$AW$22/12,IF(AND('Lease Cycles'!$AT$22&gt;=INDEX('Lease Cycles'!$BG$22:$BM$22,1,EC248),'Lease Cycles'!$AT$22&lt;=EC$6),'Lease Cycles'!$C$22*'Lease Cycles'!$AU$22/12,'Lease Cycles'!$C$22*INDEX('Lease Cycles'!$CB$22:$CH$22,1,EC248)*(1+INDEX('Lease Cycles'!$CI$22:$CO$22,1,EC248))^INT(INT(EC249/12)/INDEX('Lease Cycles'!$CP$22:$CV$22,1,EC248))/12)))),'Lease Cycles'!$C$22*INDEX('Lease Cycles'!$CB$22:$CH$22,1,EC248)*(1+INDEX('Lease Cycles'!$CI$22:$CO$22,1,EC248))^INT(INT(EC249/12)/INDEX('Lease Cycles'!$CP$22:$CV$22,1,EC248))/12))),IF('Lease Cycles'!$N$22=1,'Lease Cycles'!$C$22*'Lease Cycles'!$E$22*INDEX('Lease Cycles'!$HE$22:$HK$22,1,EC248)*(1+INDEX('Lease Cycles'!$GQ$22:$GW$22,1,EC248))^INT(INT((EC$6-INDEX('Lease Cycles'!$GJ$22:$GP$22,1,EC248))/12)/INDEX('Lease Cycles'!$GX$22:$HD$22,1,EC248))/12,0)))</f>
        <v>0</v>
      </c>
      <c r="ED251" s="28">
        <f>IF(ED248=0,IF('Lease Cycles'!$F$22&gt;0,'Lease Cycles'!$C$22*'Lease Cycles'!$E$22/12,0),IF(ED250=1,IF('Lease Cycles'!$AT$22&gt;=9999,'Lease Cycles'!$C$22*INDEX('Lease Cycles'!$CB$22:$CH$22,1,ED248)*(1+INDEX('Lease Cycles'!$CI$22:$CO$22,1,ED248))^INT(INT(ED249/12)/INDEX('Lease Cycles'!$CP$22:$CV$22,1,ED248))/12,IF(ED248=1,IF(ED249&gt;=INDEX('Lease Cycles'!$DK$22:$DQ$22,1,ED248),IF(ED$6&gt;='Lease Cycles'!$AZ$22,'Lease Cycles'!$C$22*'Lease Cycles'!$BA$22/12,IF(ED$6&gt;='Lease Cycles'!$AX$22,'Lease Cycles'!$C$22*'Lease Cycles'!$AY$22/12,IF(ED$6&gt;='Lease Cycles'!$AV$22,'Lease Cycles'!$C$22*'Lease Cycles'!$AW$22/12,IF(ED$6&gt;='Lease Cycles'!$AT$22,'Lease Cycles'!$C$22*'Lease Cycles'!$AU$22/12,'Lease Cycles'!$C$22*INDEX('Lease Cycles'!$CB$22:$CH$22,1,ED248)*(1+INDEX('Lease Cycles'!$CI$22:$CO$22,1,ED248))^INT(INT(ED249/12)/INDEX('Lease Cycles'!$CP$22:$CV$22,1,ED248))/12)))),'Lease Cycles'!$C$22*INDEX('Lease Cycles'!$CB$22:$CH$22,1,ED248)*(1+INDEX('Lease Cycles'!$CI$22:$CO$22,1,ED248))^INT(INT(ED249/12)/INDEX('Lease Cycles'!$CP$22:$CV$22,1,ED248))/12),IF(INDEX('Lease Cycles'!$EF$22:$EL$22,1,ED248)=1,IF(AND('Lease Cycles'!$AZ$22&gt;=INDEX('Lease Cycles'!$BG$22:$BM$22,1,ED248),'Lease Cycles'!$AZ$22&lt;=ED$6),'Lease Cycles'!$C$22*'Lease Cycles'!$BA$22/12,IF(AND('Lease Cycles'!$AX$22&gt;=INDEX('Lease Cycles'!$BG$22:$BM$22,1,ED248),'Lease Cycles'!$AX$22&lt;=ED$6),'Lease Cycles'!$C$22*'Lease Cycles'!$AY$22/12,IF(AND('Lease Cycles'!$AV$22&gt;=INDEX('Lease Cycles'!$BG$22:$BM$22,1,ED248),'Lease Cycles'!$AV$22&lt;=ED$6),'Lease Cycles'!$C$22*'Lease Cycles'!$AW$22/12,IF(AND('Lease Cycles'!$AT$22&gt;=INDEX('Lease Cycles'!$BG$22:$BM$22,1,ED248),'Lease Cycles'!$AT$22&lt;=ED$6),'Lease Cycles'!$C$22*'Lease Cycles'!$AU$22/12,'Lease Cycles'!$C$22*INDEX('Lease Cycles'!$CB$22:$CH$22,1,ED248)*(1+INDEX('Lease Cycles'!$CI$22:$CO$22,1,ED248))^INT(INT(ED249/12)/INDEX('Lease Cycles'!$CP$22:$CV$22,1,ED248))/12)))),'Lease Cycles'!$C$22*INDEX('Lease Cycles'!$CB$22:$CH$22,1,ED248)*(1+INDEX('Lease Cycles'!$CI$22:$CO$22,1,ED248))^INT(INT(ED249/12)/INDEX('Lease Cycles'!$CP$22:$CV$22,1,ED248))/12))),IF('Lease Cycles'!$N$22=1,'Lease Cycles'!$C$22*'Lease Cycles'!$E$22*INDEX('Lease Cycles'!$HE$22:$HK$22,1,ED248)*(1+INDEX('Lease Cycles'!$GQ$22:$GW$22,1,ED248))^INT(INT((ED$6-INDEX('Lease Cycles'!$GJ$22:$GP$22,1,ED248))/12)/INDEX('Lease Cycles'!$GX$22:$HD$22,1,ED248))/12,0)))</f>
        <v>0</v>
      </c>
      <c r="EE251" s="28">
        <f>IF(EE248=0,IF('Lease Cycles'!$F$22&gt;0,'Lease Cycles'!$C$22*'Lease Cycles'!$E$22/12,0),IF(EE250=1,IF('Lease Cycles'!$AT$22&gt;=9999,'Lease Cycles'!$C$22*INDEX('Lease Cycles'!$CB$22:$CH$22,1,EE248)*(1+INDEX('Lease Cycles'!$CI$22:$CO$22,1,EE248))^INT(INT(EE249/12)/INDEX('Lease Cycles'!$CP$22:$CV$22,1,EE248))/12,IF(EE248=1,IF(EE249&gt;=INDEX('Lease Cycles'!$DK$22:$DQ$22,1,EE248),IF(EE$6&gt;='Lease Cycles'!$AZ$22,'Lease Cycles'!$C$22*'Lease Cycles'!$BA$22/12,IF(EE$6&gt;='Lease Cycles'!$AX$22,'Lease Cycles'!$C$22*'Lease Cycles'!$AY$22/12,IF(EE$6&gt;='Lease Cycles'!$AV$22,'Lease Cycles'!$C$22*'Lease Cycles'!$AW$22/12,IF(EE$6&gt;='Lease Cycles'!$AT$22,'Lease Cycles'!$C$22*'Lease Cycles'!$AU$22/12,'Lease Cycles'!$C$22*INDEX('Lease Cycles'!$CB$22:$CH$22,1,EE248)*(1+INDEX('Lease Cycles'!$CI$22:$CO$22,1,EE248))^INT(INT(EE249/12)/INDEX('Lease Cycles'!$CP$22:$CV$22,1,EE248))/12)))),'Lease Cycles'!$C$22*INDEX('Lease Cycles'!$CB$22:$CH$22,1,EE248)*(1+INDEX('Lease Cycles'!$CI$22:$CO$22,1,EE248))^INT(INT(EE249/12)/INDEX('Lease Cycles'!$CP$22:$CV$22,1,EE248))/12),IF(INDEX('Lease Cycles'!$EF$22:$EL$22,1,EE248)=1,IF(AND('Lease Cycles'!$AZ$22&gt;=INDEX('Lease Cycles'!$BG$22:$BM$22,1,EE248),'Lease Cycles'!$AZ$22&lt;=EE$6),'Lease Cycles'!$C$22*'Lease Cycles'!$BA$22/12,IF(AND('Lease Cycles'!$AX$22&gt;=INDEX('Lease Cycles'!$BG$22:$BM$22,1,EE248),'Lease Cycles'!$AX$22&lt;=EE$6),'Lease Cycles'!$C$22*'Lease Cycles'!$AY$22/12,IF(AND('Lease Cycles'!$AV$22&gt;=INDEX('Lease Cycles'!$BG$22:$BM$22,1,EE248),'Lease Cycles'!$AV$22&lt;=EE$6),'Lease Cycles'!$C$22*'Lease Cycles'!$AW$22/12,IF(AND('Lease Cycles'!$AT$22&gt;=INDEX('Lease Cycles'!$BG$22:$BM$22,1,EE248),'Lease Cycles'!$AT$22&lt;=EE$6),'Lease Cycles'!$C$22*'Lease Cycles'!$AU$22/12,'Lease Cycles'!$C$22*INDEX('Lease Cycles'!$CB$22:$CH$22,1,EE248)*(1+INDEX('Lease Cycles'!$CI$22:$CO$22,1,EE248))^INT(INT(EE249/12)/INDEX('Lease Cycles'!$CP$22:$CV$22,1,EE248))/12)))),'Lease Cycles'!$C$22*INDEX('Lease Cycles'!$CB$22:$CH$22,1,EE248)*(1+INDEX('Lease Cycles'!$CI$22:$CO$22,1,EE248))^INT(INT(EE249/12)/INDEX('Lease Cycles'!$CP$22:$CV$22,1,EE248))/12))),IF('Lease Cycles'!$N$22=1,'Lease Cycles'!$C$22*'Lease Cycles'!$E$22*INDEX('Lease Cycles'!$HE$22:$HK$22,1,EE248)*(1+INDEX('Lease Cycles'!$GQ$22:$GW$22,1,EE248))^INT(INT((EE$6-INDEX('Lease Cycles'!$GJ$22:$GP$22,1,EE248))/12)/INDEX('Lease Cycles'!$GX$22:$HD$22,1,EE248))/12,0)))</f>
        <v>0</v>
      </c>
      <c r="EF251" s="28">
        <f>IF(EF248=0,IF('Lease Cycles'!$F$22&gt;0,'Lease Cycles'!$C$22*'Lease Cycles'!$E$22/12,0),IF(EF250=1,IF('Lease Cycles'!$AT$22&gt;=9999,'Lease Cycles'!$C$22*INDEX('Lease Cycles'!$CB$22:$CH$22,1,EF248)*(1+INDEX('Lease Cycles'!$CI$22:$CO$22,1,EF248))^INT(INT(EF249/12)/INDEX('Lease Cycles'!$CP$22:$CV$22,1,EF248))/12,IF(EF248=1,IF(EF249&gt;=INDEX('Lease Cycles'!$DK$22:$DQ$22,1,EF248),IF(EF$6&gt;='Lease Cycles'!$AZ$22,'Lease Cycles'!$C$22*'Lease Cycles'!$BA$22/12,IF(EF$6&gt;='Lease Cycles'!$AX$22,'Lease Cycles'!$C$22*'Lease Cycles'!$AY$22/12,IF(EF$6&gt;='Lease Cycles'!$AV$22,'Lease Cycles'!$C$22*'Lease Cycles'!$AW$22/12,IF(EF$6&gt;='Lease Cycles'!$AT$22,'Lease Cycles'!$C$22*'Lease Cycles'!$AU$22/12,'Lease Cycles'!$C$22*INDEX('Lease Cycles'!$CB$22:$CH$22,1,EF248)*(1+INDEX('Lease Cycles'!$CI$22:$CO$22,1,EF248))^INT(INT(EF249/12)/INDEX('Lease Cycles'!$CP$22:$CV$22,1,EF248))/12)))),'Lease Cycles'!$C$22*INDEX('Lease Cycles'!$CB$22:$CH$22,1,EF248)*(1+INDEX('Lease Cycles'!$CI$22:$CO$22,1,EF248))^INT(INT(EF249/12)/INDEX('Lease Cycles'!$CP$22:$CV$22,1,EF248))/12),IF(INDEX('Lease Cycles'!$EF$22:$EL$22,1,EF248)=1,IF(AND('Lease Cycles'!$AZ$22&gt;=INDEX('Lease Cycles'!$BG$22:$BM$22,1,EF248),'Lease Cycles'!$AZ$22&lt;=EF$6),'Lease Cycles'!$C$22*'Lease Cycles'!$BA$22/12,IF(AND('Lease Cycles'!$AX$22&gt;=INDEX('Lease Cycles'!$BG$22:$BM$22,1,EF248),'Lease Cycles'!$AX$22&lt;=EF$6),'Lease Cycles'!$C$22*'Lease Cycles'!$AY$22/12,IF(AND('Lease Cycles'!$AV$22&gt;=INDEX('Lease Cycles'!$BG$22:$BM$22,1,EF248),'Lease Cycles'!$AV$22&lt;=EF$6),'Lease Cycles'!$C$22*'Lease Cycles'!$AW$22/12,IF(AND('Lease Cycles'!$AT$22&gt;=INDEX('Lease Cycles'!$BG$22:$BM$22,1,EF248),'Lease Cycles'!$AT$22&lt;=EF$6),'Lease Cycles'!$C$22*'Lease Cycles'!$AU$22/12,'Lease Cycles'!$C$22*INDEX('Lease Cycles'!$CB$22:$CH$22,1,EF248)*(1+INDEX('Lease Cycles'!$CI$22:$CO$22,1,EF248))^INT(INT(EF249/12)/INDEX('Lease Cycles'!$CP$22:$CV$22,1,EF248))/12)))),'Lease Cycles'!$C$22*INDEX('Lease Cycles'!$CB$22:$CH$22,1,EF248)*(1+INDEX('Lease Cycles'!$CI$22:$CO$22,1,EF248))^INT(INT(EF249/12)/INDEX('Lease Cycles'!$CP$22:$CV$22,1,EF248))/12))),IF('Lease Cycles'!$N$22=1,'Lease Cycles'!$C$22*'Lease Cycles'!$E$22*INDEX('Lease Cycles'!$HE$22:$HK$22,1,EF248)*(1+INDEX('Lease Cycles'!$GQ$22:$GW$22,1,EF248))^INT(INT((EF$6-INDEX('Lease Cycles'!$GJ$22:$GP$22,1,EF248))/12)/INDEX('Lease Cycles'!$GX$22:$HD$22,1,EF248))/12,0)))</f>
        <v>0</v>
      </c>
      <c r="EG251" s="28">
        <f>IF(EG248=0,IF('Lease Cycles'!$F$22&gt;0,'Lease Cycles'!$C$22*'Lease Cycles'!$E$22/12,0),IF(EG250=1,IF('Lease Cycles'!$AT$22&gt;=9999,'Lease Cycles'!$C$22*INDEX('Lease Cycles'!$CB$22:$CH$22,1,EG248)*(1+INDEX('Lease Cycles'!$CI$22:$CO$22,1,EG248))^INT(INT(EG249/12)/INDEX('Lease Cycles'!$CP$22:$CV$22,1,EG248))/12,IF(EG248=1,IF(EG249&gt;=INDEX('Lease Cycles'!$DK$22:$DQ$22,1,EG248),IF(EG$6&gt;='Lease Cycles'!$AZ$22,'Lease Cycles'!$C$22*'Lease Cycles'!$BA$22/12,IF(EG$6&gt;='Lease Cycles'!$AX$22,'Lease Cycles'!$C$22*'Lease Cycles'!$AY$22/12,IF(EG$6&gt;='Lease Cycles'!$AV$22,'Lease Cycles'!$C$22*'Lease Cycles'!$AW$22/12,IF(EG$6&gt;='Lease Cycles'!$AT$22,'Lease Cycles'!$C$22*'Lease Cycles'!$AU$22/12,'Lease Cycles'!$C$22*INDEX('Lease Cycles'!$CB$22:$CH$22,1,EG248)*(1+INDEX('Lease Cycles'!$CI$22:$CO$22,1,EG248))^INT(INT(EG249/12)/INDEX('Lease Cycles'!$CP$22:$CV$22,1,EG248))/12)))),'Lease Cycles'!$C$22*INDEX('Lease Cycles'!$CB$22:$CH$22,1,EG248)*(1+INDEX('Lease Cycles'!$CI$22:$CO$22,1,EG248))^INT(INT(EG249/12)/INDEX('Lease Cycles'!$CP$22:$CV$22,1,EG248))/12),IF(INDEX('Lease Cycles'!$EF$22:$EL$22,1,EG248)=1,IF(AND('Lease Cycles'!$AZ$22&gt;=INDEX('Lease Cycles'!$BG$22:$BM$22,1,EG248),'Lease Cycles'!$AZ$22&lt;=EG$6),'Lease Cycles'!$C$22*'Lease Cycles'!$BA$22/12,IF(AND('Lease Cycles'!$AX$22&gt;=INDEX('Lease Cycles'!$BG$22:$BM$22,1,EG248),'Lease Cycles'!$AX$22&lt;=EG$6),'Lease Cycles'!$C$22*'Lease Cycles'!$AY$22/12,IF(AND('Lease Cycles'!$AV$22&gt;=INDEX('Lease Cycles'!$BG$22:$BM$22,1,EG248),'Lease Cycles'!$AV$22&lt;=EG$6),'Lease Cycles'!$C$22*'Lease Cycles'!$AW$22/12,IF(AND('Lease Cycles'!$AT$22&gt;=INDEX('Lease Cycles'!$BG$22:$BM$22,1,EG248),'Lease Cycles'!$AT$22&lt;=EG$6),'Lease Cycles'!$C$22*'Lease Cycles'!$AU$22/12,'Lease Cycles'!$C$22*INDEX('Lease Cycles'!$CB$22:$CH$22,1,EG248)*(1+INDEX('Lease Cycles'!$CI$22:$CO$22,1,EG248))^INT(INT(EG249/12)/INDEX('Lease Cycles'!$CP$22:$CV$22,1,EG248))/12)))),'Lease Cycles'!$C$22*INDEX('Lease Cycles'!$CB$22:$CH$22,1,EG248)*(1+INDEX('Lease Cycles'!$CI$22:$CO$22,1,EG248))^INT(INT(EG249/12)/INDEX('Lease Cycles'!$CP$22:$CV$22,1,EG248))/12))),IF('Lease Cycles'!$N$22=1,'Lease Cycles'!$C$22*'Lease Cycles'!$E$22*INDEX('Lease Cycles'!$HE$22:$HK$22,1,EG248)*(1+INDEX('Lease Cycles'!$GQ$22:$GW$22,1,EG248))^INT(INT((EG$6-INDEX('Lease Cycles'!$GJ$22:$GP$22,1,EG248))/12)/INDEX('Lease Cycles'!$GX$22:$HD$22,1,EG248))/12,0)))</f>
        <v>0</v>
      </c>
      <c r="EH251" s="28">
        <f>IF(EH248=0,IF('Lease Cycles'!$F$22&gt;0,'Lease Cycles'!$C$22*'Lease Cycles'!$E$22/12,0),IF(EH250=1,IF('Lease Cycles'!$AT$22&gt;=9999,'Lease Cycles'!$C$22*INDEX('Lease Cycles'!$CB$22:$CH$22,1,EH248)*(1+INDEX('Lease Cycles'!$CI$22:$CO$22,1,EH248))^INT(INT(EH249/12)/INDEX('Lease Cycles'!$CP$22:$CV$22,1,EH248))/12,IF(EH248=1,IF(EH249&gt;=INDEX('Lease Cycles'!$DK$22:$DQ$22,1,EH248),IF(EH$6&gt;='Lease Cycles'!$AZ$22,'Lease Cycles'!$C$22*'Lease Cycles'!$BA$22/12,IF(EH$6&gt;='Lease Cycles'!$AX$22,'Lease Cycles'!$C$22*'Lease Cycles'!$AY$22/12,IF(EH$6&gt;='Lease Cycles'!$AV$22,'Lease Cycles'!$C$22*'Lease Cycles'!$AW$22/12,IF(EH$6&gt;='Lease Cycles'!$AT$22,'Lease Cycles'!$C$22*'Lease Cycles'!$AU$22/12,'Lease Cycles'!$C$22*INDEX('Lease Cycles'!$CB$22:$CH$22,1,EH248)*(1+INDEX('Lease Cycles'!$CI$22:$CO$22,1,EH248))^INT(INT(EH249/12)/INDEX('Lease Cycles'!$CP$22:$CV$22,1,EH248))/12)))),'Lease Cycles'!$C$22*INDEX('Lease Cycles'!$CB$22:$CH$22,1,EH248)*(1+INDEX('Lease Cycles'!$CI$22:$CO$22,1,EH248))^INT(INT(EH249/12)/INDEX('Lease Cycles'!$CP$22:$CV$22,1,EH248))/12),IF(INDEX('Lease Cycles'!$EF$22:$EL$22,1,EH248)=1,IF(AND('Lease Cycles'!$AZ$22&gt;=INDEX('Lease Cycles'!$BG$22:$BM$22,1,EH248),'Lease Cycles'!$AZ$22&lt;=EH$6),'Lease Cycles'!$C$22*'Lease Cycles'!$BA$22/12,IF(AND('Lease Cycles'!$AX$22&gt;=INDEX('Lease Cycles'!$BG$22:$BM$22,1,EH248),'Lease Cycles'!$AX$22&lt;=EH$6),'Lease Cycles'!$C$22*'Lease Cycles'!$AY$22/12,IF(AND('Lease Cycles'!$AV$22&gt;=INDEX('Lease Cycles'!$BG$22:$BM$22,1,EH248),'Lease Cycles'!$AV$22&lt;=EH$6),'Lease Cycles'!$C$22*'Lease Cycles'!$AW$22/12,IF(AND('Lease Cycles'!$AT$22&gt;=INDEX('Lease Cycles'!$BG$22:$BM$22,1,EH248),'Lease Cycles'!$AT$22&lt;=EH$6),'Lease Cycles'!$C$22*'Lease Cycles'!$AU$22/12,'Lease Cycles'!$C$22*INDEX('Lease Cycles'!$CB$22:$CH$22,1,EH248)*(1+INDEX('Lease Cycles'!$CI$22:$CO$22,1,EH248))^INT(INT(EH249/12)/INDEX('Lease Cycles'!$CP$22:$CV$22,1,EH248))/12)))),'Lease Cycles'!$C$22*INDEX('Lease Cycles'!$CB$22:$CH$22,1,EH248)*(1+INDEX('Lease Cycles'!$CI$22:$CO$22,1,EH248))^INT(INT(EH249/12)/INDEX('Lease Cycles'!$CP$22:$CV$22,1,EH248))/12))),IF('Lease Cycles'!$N$22=1,'Lease Cycles'!$C$22*'Lease Cycles'!$E$22*INDEX('Lease Cycles'!$HE$22:$HK$22,1,EH248)*(1+INDEX('Lease Cycles'!$GQ$22:$GW$22,1,EH248))^INT(INT((EH$6-INDEX('Lease Cycles'!$GJ$22:$GP$22,1,EH248))/12)/INDEX('Lease Cycles'!$GX$22:$HD$22,1,EH248))/12,0)))</f>
        <v>0</v>
      </c>
      <c r="EI251" s="28">
        <f>IF(EI248=0,IF('Lease Cycles'!$F$22&gt;0,'Lease Cycles'!$C$22*'Lease Cycles'!$E$22/12,0),IF(EI250=1,IF('Lease Cycles'!$AT$22&gt;=9999,'Lease Cycles'!$C$22*INDEX('Lease Cycles'!$CB$22:$CH$22,1,EI248)*(1+INDEX('Lease Cycles'!$CI$22:$CO$22,1,EI248))^INT(INT(EI249/12)/INDEX('Lease Cycles'!$CP$22:$CV$22,1,EI248))/12,IF(EI248=1,IF(EI249&gt;=INDEX('Lease Cycles'!$DK$22:$DQ$22,1,EI248),IF(EI$6&gt;='Lease Cycles'!$AZ$22,'Lease Cycles'!$C$22*'Lease Cycles'!$BA$22/12,IF(EI$6&gt;='Lease Cycles'!$AX$22,'Lease Cycles'!$C$22*'Lease Cycles'!$AY$22/12,IF(EI$6&gt;='Lease Cycles'!$AV$22,'Lease Cycles'!$C$22*'Lease Cycles'!$AW$22/12,IF(EI$6&gt;='Lease Cycles'!$AT$22,'Lease Cycles'!$C$22*'Lease Cycles'!$AU$22/12,'Lease Cycles'!$C$22*INDEX('Lease Cycles'!$CB$22:$CH$22,1,EI248)*(1+INDEX('Lease Cycles'!$CI$22:$CO$22,1,EI248))^INT(INT(EI249/12)/INDEX('Lease Cycles'!$CP$22:$CV$22,1,EI248))/12)))),'Lease Cycles'!$C$22*INDEX('Lease Cycles'!$CB$22:$CH$22,1,EI248)*(1+INDEX('Lease Cycles'!$CI$22:$CO$22,1,EI248))^INT(INT(EI249/12)/INDEX('Lease Cycles'!$CP$22:$CV$22,1,EI248))/12),IF(INDEX('Lease Cycles'!$EF$22:$EL$22,1,EI248)=1,IF(AND('Lease Cycles'!$AZ$22&gt;=INDEX('Lease Cycles'!$BG$22:$BM$22,1,EI248),'Lease Cycles'!$AZ$22&lt;=EI$6),'Lease Cycles'!$C$22*'Lease Cycles'!$BA$22/12,IF(AND('Lease Cycles'!$AX$22&gt;=INDEX('Lease Cycles'!$BG$22:$BM$22,1,EI248),'Lease Cycles'!$AX$22&lt;=EI$6),'Lease Cycles'!$C$22*'Lease Cycles'!$AY$22/12,IF(AND('Lease Cycles'!$AV$22&gt;=INDEX('Lease Cycles'!$BG$22:$BM$22,1,EI248),'Lease Cycles'!$AV$22&lt;=EI$6),'Lease Cycles'!$C$22*'Lease Cycles'!$AW$22/12,IF(AND('Lease Cycles'!$AT$22&gt;=INDEX('Lease Cycles'!$BG$22:$BM$22,1,EI248),'Lease Cycles'!$AT$22&lt;=EI$6),'Lease Cycles'!$C$22*'Lease Cycles'!$AU$22/12,'Lease Cycles'!$C$22*INDEX('Lease Cycles'!$CB$22:$CH$22,1,EI248)*(1+INDEX('Lease Cycles'!$CI$22:$CO$22,1,EI248))^INT(INT(EI249/12)/INDEX('Lease Cycles'!$CP$22:$CV$22,1,EI248))/12)))),'Lease Cycles'!$C$22*INDEX('Lease Cycles'!$CB$22:$CH$22,1,EI248)*(1+INDEX('Lease Cycles'!$CI$22:$CO$22,1,EI248))^INT(INT(EI249/12)/INDEX('Lease Cycles'!$CP$22:$CV$22,1,EI248))/12))),IF('Lease Cycles'!$N$22=1,'Lease Cycles'!$C$22*'Lease Cycles'!$E$22*INDEX('Lease Cycles'!$HE$22:$HK$22,1,EI248)*(1+INDEX('Lease Cycles'!$GQ$22:$GW$22,1,EI248))^INT(INT((EI$6-INDEX('Lease Cycles'!$GJ$22:$GP$22,1,EI248))/12)/INDEX('Lease Cycles'!$GX$22:$HD$22,1,EI248))/12,0)))</f>
        <v>0</v>
      </c>
      <c r="EJ251" s="28">
        <f>IF(EJ248=0,IF('Lease Cycles'!$F$22&gt;0,'Lease Cycles'!$C$22*'Lease Cycles'!$E$22/12,0),IF(EJ250=1,IF('Lease Cycles'!$AT$22&gt;=9999,'Lease Cycles'!$C$22*INDEX('Lease Cycles'!$CB$22:$CH$22,1,EJ248)*(1+INDEX('Lease Cycles'!$CI$22:$CO$22,1,EJ248))^INT(INT(EJ249/12)/INDEX('Lease Cycles'!$CP$22:$CV$22,1,EJ248))/12,IF(EJ248=1,IF(EJ249&gt;=INDEX('Lease Cycles'!$DK$22:$DQ$22,1,EJ248),IF(EJ$6&gt;='Lease Cycles'!$AZ$22,'Lease Cycles'!$C$22*'Lease Cycles'!$BA$22/12,IF(EJ$6&gt;='Lease Cycles'!$AX$22,'Lease Cycles'!$C$22*'Lease Cycles'!$AY$22/12,IF(EJ$6&gt;='Lease Cycles'!$AV$22,'Lease Cycles'!$C$22*'Lease Cycles'!$AW$22/12,IF(EJ$6&gt;='Lease Cycles'!$AT$22,'Lease Cycles'!$C$22*'Lease Cycles'!$AU$22/12,'Lease Cycles'!$C$22*INDEX('Lease Cycles'!$CB$22:$CH$22,1,EJ248)*(1+INDEX('Lease Cycles'!$CI$22:$CO$22,1,EJ248))^INT(INT(EJ249/12)/INDEX('Lease Cycles'!$CP$22:$CV$22,1,EJ248))/12)))),'Lease Cycles'!$C$22*INDEX('Lease Cycles'!$CB$22:$CH$22,1,EJ248)*(1+INDEX('Lease Cycles'!$CI$22:$CO$22,1,EJ248))^INT(INT(EJ249/12)/INDEX('Lease Cycles'!$CP$22:$CV$22,1,EJ248))/12),IF(INDEX('Lease Cycles'!$EF$22:$EL$22,1,EJ248)=1,IF(AND('Lease Cycles'!$AZ$22&gt;=INDEX('Lease Cycles'!$BG$22:$BM$22,1,EJ248),'Lease Cycles'!$AZ$22&lt;=EJ$6),'Lease Cycles'!$C$22*'Lease Cycles'!$BA$22/12,IF(AND('Lease Cycles'!$AX$22&gt;=INDEX('Lease Cycles'!$BG$22:$BM$22,1,EJ248),'Lease Cycles'!$AX$22&lt;=EJ$6),'Lease Cycles'!$C$22*'Lease Cycles'!$AY$22/12,IF(AND('Lease Cycles'!$AV$22&gt;=INDEX('Lease Cycles'!$BG$22:$BM$22,1,EJ248),'Lease Cycles'!$AV$22&lt;=EJ$6),'Lease Cycles'!$C$22*'Lease Cycles'!$AW$22/12,IF(AND('Lease Cycles'!$AT$22&gt;=INDEX('Lease Cycles'!$BG$22:$BM$22,1,EJ248),'Lease Cycles'!$AT$22&lt;=EJ$6),'Lease Cycles'!$C$22*'Lease Cycles'!$AU$22/12,'Lease Cycles'!$C$22*INDEX('Lease Cycles'!$CB$22:$CH$22,1,EJ248)*(1+INDEX('Lease Cycles'!$CI$22:$CO$22,1,EJ248))^INT(INT(EJ249/12)/INDEX('Lease Cycles'!$CP$22:$CV$22,1,EJ248))/12)))),'Lease Cycles'!$C$22*INDEX('Lease Cycles'!$CB$22:$CH$22,1,EJ248)*(1+INDEX('Lease Cycles'!$CI$22:$CO$22,1,EJ248))^INT(INT(EJ249/12)/INDEX('Lease Cycles'!$CP$22:$CV$22,1,EJ248))/12))),IF('Lease Cycles'!$N$22=1,'Lease Cycles'!$C$22*'Lease Cycles'!$E$22*INDEX('Lease Cycles'!$HE$22:$HK$22,1,EJ248)*(1+INDEX('Lease Cycles'!$GQ$22:$GW$22,1,EJ248))^INT(INT((EJ$6-INDEX('Lease Cycles'!$GJ$22:$GP$22,1,EJ248))/12)/INDEX('Lease Cycles'!$GX$22:$HD$22,1,EJ248))/12,0)))</f>
        <v>0</v>
      </c>
      <c r="EK251" s="28">
        <f>IF(EK248=0,IF('Lease Cycles'!$F$22&gt;0,'Lease Cycles'!$C$22*'Lease Cycles'!$E$22/12,0),IF(EK250=1,IF('Lease Cycles'!$AT$22&gt;=9999,'Lease Cycles'!$C$22*INDEX('Lease Cycles'!$CB$22:$CH$22,1,EK248)*(1+INDEX('Lease Cycles'!$CI$22:$CO$22,1,EK248))^INT(INT(EK249/12)/INDEX('Lease Cycles'!$CP$22:$CV$22,1,EK248))/12,IF(EK248=1,IF(EK249&gt;=INDEX('Lease Cycles'!$DK$22:$DQ$22,1,EK248),IF(EK$6&gt;='Lease Cycles'!$AZ$22,'Lease Cycles'!$C$22*'Lease Cycles'!$BA$22/12,IF(EK$6&gt;='Lease Cycles'!$AX$22,'Lease Cycles'!$C$22*'Lease Cycles'!$AY$22/12,IF(EK$6&gt;='Lease Cycles'!$AV$22,'Lease Cycles'!$C$22*'Lease Cycles'!$AW$22/12,IF(EK$6&gt;='Lease Cycles'!$AT$22,'Lease Cycles'!$C$22*'Lease Cycles'!$AU$22/12,'Lease Cycles'!$C$22*INDEX('Lease Cycles'!$CB$22:$CH$22,1,EK248)*(1+INDEX('Lease Cycles'!$CI$22:$CO$22,1,EK248))^INT(INT(EK249/12)/INDEX('Lease Cycles'!$CP$22:$CV$22,1,EK248))/12)))),'Lease Cycles'!$C$22*INDEX('Lease Cycles'!$CB$22:$CH$22,1,EK248)*(1+INDEX('Lease Cycles'!$CI$22:$CO$22,1,EK248))^INT(INT(EK249/12)/INDEX('Lease Cycles'!$CP$22:$CV$22,1,EK248))/12),IF(INDEX('Lease Cycles'!$EF$22:$EL$22,1,EK248)=1,IF(AND('Lease Cycles'!$AZ$22&gt;=INDEX('Lease Cycles'!$BG$22:$BM$22,1,EK248),'Lease Cycles'!$AZ$22&lt;=EK$6),'Lease Cycles'!$C$22*'Lease Cycles'!$BA$22/12,IF(AND('Lease Cycles'!$AX$22&gt;=INDEX('Lease Cycles'!$BG$22:$BM$22,1,EK248),'Lease Cycles'!$AX$22&lt;=EK$6),'Lease Cycles'!$C$22*'Lease Cycles'!$AY$22/12,IF(AND('Lease Cycles'!$AV$22&gt;=INDEX('Lease Cycles'!$BG$22:$BM$22,1,EK248),'Lease Cycles'!$AV$22&lt;=EK$6),'Lease Cycles'!$C$22*'Lease Cycles'!$AW$22/12,IF(AND('Lease Cycles'!$AT$22&gt;=INDEX('Lease Cycles'!$BG$22:$BM$22,1,EK248),'Lease Cycles'!$AT$22&lt;=EK$6),'Lease Cycles'!$C$22*'Lease Cycles'!$AU$22/12,'Lease Cycles'!$C$22*INDEX('Lease Cycles'!$CB$22:$CH$22,1,EK248)*(1+INDEX('Lease Cycles'!$CI$22:$CO$22,1,EK248))^INT(INT(EK249/12)/INDEX('Lease Cycles'!$CP$22:$CV$22,1,EK248))/12)))),'Lease Cycles'!$C$22*INDEX('Lease Cycles'!$CB$22:$CH$22,1,EK248)*(1+INDEX('Lease Cycles'!$CI$22:$CO$22,1,EK248))^INT(INT(EK249/12)/INDEX('Lease Cycles'!$CP$22:$CV$22,1,EK248))/12))),IF('Lease Cycles'!$N$22=1,'Lease Cycles'!$C$22*'Lease Cycles'!$E$22*INDEX('Lease Cycles'!$HE$22:$HK$22,1,EK248)*(1+INDEX('Lease Cycles'!$GQ$22:$GW$22,1,EK248))^INT(INT((EK$6-INDEX('Lease Cycles'!$GJ$22:$GP$22,1,EK248))/12)/INDEX('Lease Cycles'!$GX$22:$HD$22,1,EK248))/12,0)))</f>
        <v>0</v>
      </c>
      <c r="EL251" s="28">
        <f>IF(EL248=0,IF('Lease Cycles'!$F$22&gt;0,'Lease Cycles'!$C$22*'Lease Cycles'!$E$22/12,0),IF(EL250=1,IF('Lease Cycles'!$AT$22&gt;=9999,'Lease Cycles'!$C$22*INDEX('Lease Cycles'!$CB$22:$CH$22,1,EL248)*(1+INDEX('Lease Cycles'!$CI$22:$CO$22,1,EL248))^INT(INT(EL249/12)/INDEX('Lease Cycles'!$CP$22:$CV$22,1,EL248))/12,IF(EL248=1,IF(EL249&gt;=INDEX('Lease Cycles'!$DK$22:$DQ$22,1,EL248),IF(EL$6&gt;='Lease Cycles'!$AZ$22,'Lease Cycles'!$C$22*'Lease Cycles'!$BA$22/12,IF(EL$6&gt;='Lease Cycles'!$AX$22,'Lease Cycles'!$C$22*'Lease Cycles'!$AY$22/12,IF(EL$6&gt;='Lease Cycles'!$AV$22,'Lease Cycles'!$C$22*'Lease Cycles'!$AW$22/12,IF(EL$6&gt;='Lease Cycles'!$AT$22,'Lease Cycles'!$C$22*'Lease Cycles'!$AU$22/12,'Lease Cycles'!$C$22*INDEX('Lease Cycles'!$CB$22:$CH$22,1,EL248)*(1+INDEX('Lease Cycles'!$CI$22:$CO$22,1,EL248))^INT(INT(EL249/12)/INDEX('Lease Cycles'!$CP$22:$CV$22,1,EL248))/12)))),'Lease Cycles'!$C$22*INDEX('Lease Cycles'!$CB$22:$CH$22,1,EL248)*(1+INDEX('Lease Cycles'!$CI$22:$CO$22,1,EL248))^INT(INT(EL249/12)/INDEX('Lease Cycles'!$CP$22:$CV$22,1,EL248))/12),IF(INDEX('Lease Cycles'!$EF$22:$EL$22,1,EL248)=1,IF(AND('Lease Cycles'!$AZ$22&gt;=INDEX('Lease Cycles'!$BG$22:$BM$22,1,EL248),'Lease Cycles'!$AZ$22&lt;=EL$6),'Lease Cycles'!$C$22*'Lease Cycles'!$BA$22/12,IF(AND('Lease Cycles'!$AX$22&gt;=INDEX('Lease Cycles'!$BG$22:$BM$22,1,EL248),'Lease Cycles'!$AX$22&lt;=EL$6),'Lease Cycles'!$C$22*'Lease Cycles'!$AY$22/12,IF(AND('Lease Cycles'!$AV$22&gt;=INDEX('Lease Cycles'!$BG$22:$BM$22,1,EL248),'Lease Cycles'!$AV$22&lt;=EL$6),'Lease Cycles'!$C$22*'Lease Cycles'!$AW$22/12,IF(AND('Lease Cycles'!$AT$22&gt;=INDEX('Lease Cycles'!$BG$22:$BM$22,1,EL248),'Lease Cycles'!$AT$22&lt;=EL$6),'Lease Cycles'!$C$22*'Lease Cycles'!$AU$22/12,'Lease Cycles'!$C$22*INDEX('Lease Cycles'!$CB$22:$CH$22,1,EL248)*(1+INDEX('Lease Cycles'!$CI$22:$CO$22,1,EL248))^INT(INT(EL249/12)/INDEX('Lease Cycles'!$CP$22:$CV$22,1,EL248))/12)))),'Lease Cycles'!$C$22*INDEX('Lease Cycles'!$CB$22:$CH$22,1,EL248)*(1+INDEX('Lease Cycles'!$CI$22:$CO$22,1,EL248))^INT(INT(EL249/12)/INDEX('Lease Cycles'!$CP$22:$CV$22,1,EL248))/12))),IF('Lease Cycles'!$N$22=1,'Lease Cycles'!$C$22*'Lease Cycles'!$E$22*INDEX('Lease Cycles'!$HE$22:$HK$22,1,EL248)*(1+INDEX('Lease Cycles'!$GQ$22:$GW$22,1,EL248))^INT(INT((EL$6-INDEX('Lease Cycles'!$GJ$22:$GP$22,1,EL248))/12)/INDEX('Lease Cycles'!$GX$22:$HD$22,1,EL248))/12,0)))</f>
        <v>0</v>
      </c>
      <c r="EM251" s="28">
        <f>IF(EM248=0,IF('Lease Cycles'!$F$22&gt;0,'Lease Cycles'!$C$22*'Lease Cycles'!$E$22/12,0),IF(EM250=1,IF('Lease Cycles'!$AT$22&gt;=9999,'Lease Cycles'!$C$22*INDEX('Lease Cycles'!$CB$22:$CH$22,1,EM248)*(1+INDEX('Lease Cycles'!$CI$22:$CO$22,1,EM248))^INT(INT(EM249/12)/INDEX('Lease Cycles'!$CP$22:$CV$22,1,EM248))/12,IF(EM248=1,IF(EM249&gt;=INDEX('Lease Cycles'!$DK$22:$DQ$22,1,EM248),IF(EM$6&gt;='Lease Cycles'!$AZ$22,'Lease Cycles'!$C$22*'Lease Cycles'!$BA$22/12,IF(EM$6&gt;='Lease Cycles'!$AX$22,'Lease Cycles'!$C$22*'Lease Cycles'!$AY$22/12,IF(EM$6&gt;='Lease Cycles'!$AV$22,'Lease Cycles'!$C$22*'Lease Cycles'!$AW$22/12,IF(EM$6&gt;='Lease Cycles'!$AT$22,'Lease Cycles'!$C$22*'Lease Cycles'!$AU$22/12,'Lease Cycles'!$C$22*INDEX('Lease Cycles'!$CB$22:$CH$22,1,EM248)*(1+INDEX('Lease Cycles'!$CI$22:$CO$22,1,EM248))^INT(INT(EM249/12)/INDEX('Lease Cycles'!$CP$22:$CV$22,1,EM248))/12)))),'Lease Cycles'!$C$22*INDEX('Lease Cycles'!$CB$22:$CH$22,1,EM248)*(1+INDEX('Lease Cycles'!$CI$22:$CO$22,1,EM248))^INT(INT(EM249/12)/INDEX('Lease Cycles'!$CP$22:$CV$22,1,EM248))/12),IF(INDEX('Lease Cycles'!$EF$22:$EL$22,1,EM248)=1,IF(AND('Lease Cycles'!$AZ$22&gt;=INDEX('Lease Cycles'!$BG$22:$BM$22,1,EM248),'Lease Cycles'!$AZ$22&lt;=EM$6),'Lease Cycles'!$C$22*'Lease Cycles'!$BA$22/12,IF(AND('Lease Cycles'!$AX$22&gt;=INDEX('Lease Cycles'!$BG$22:$BM$22,1,EM248),'Lease Cycles'!$AX$22&lt;=EM$6),'Lease Cycles'!$C$22*'Lease Cycles'!$AY$22/12,IF(AND('Lease Cycles'!$AV$22&gt;=INDEX('Lease Cycles'!$BG$22:$BM$22,1,EM248),'Lease Cycles'!$AV$22&lt;=EM$6),'Lease Cycles'!$C$22*'Lease Cycles'!$AW$22/12,IF(AND('Lease Cycles'!$AT$22&gt;=INDEX('Lease Cycles'!$BG$22:$BM$22,1,EM248),'Lease Cycles'!$AT$22&lt;=EM$6),'Lease Cycles'!$C$22*'Lease Cycles'!$AU$22/12,'Lease Cycles'!$C$22*INDEX('Lease Cycles'!$CB$22:$CH$22,1,EM248)*(1+INDEX('Lease Cycles'!$CI$22:$CO$22,1,EM248))^INT(INT(EM249/12)/INDEX('Lease Cycles'!$CP$22:$CV$22,1,EM248))/12)))),'Lease Cycles'!$C$22*INDEX('Lease Cycles'!$CB$22:$CH$22,1,EM248)*(1+INDEX('Lease Cycles'!$CI$22:$CO$22,1,EM248))^INT(INT(EM249/12)/INDEX('Lease Cycles'!$CP$22:$CV$22,1,EM248))/12))),IF('Lease Cycles'!$N$22=1,'Lease Cycles'!$C$22*'Lease Cycles'!$E$22*INDEX('Lease Cycles'!$HE$22:$HK$22,1,EM248)*(1+INDEX('Lease Cycles'!$GQ$22:$GW$22,1,EM248))^INT(INT((EM$6-INDEX('Lease Cycles'!$GJ$22:$GP$22,1,EM248))/12)/INDEX('Lease Cycles'!$GX$22:$HD$22,1,EM248))/12,0)))</f>
        <v>0</v>
      </c>
      <c r="EN251" s="28">
        <f>IF(EN248=0,IF('Lease Cycles'!$F$22&gt;0,'Lease Cycles'!$C$22*'Lease Cycles'!$E$22/12,0),IF(EN250=1,IF('Lease Cycles'!$AT$22&gt;=9999,'Lease Cycles'!$C$22*INDEX('Lease Cycles'!$CB$22:$CH$22,1,EN248)*(1+INDEX('Lease Cycles'!$CI$22:$CO$22,1,EN248))^INT(INT(EN249/12)/INDEX('Lease Cycles'!$CP$22:$CV$22,1,EN248))/12,IF(EN248=1,IF(EN249&gt;=INDEX('Lease Cycles'!$DK$22:$DQ$22,1,EN248),IF(EN$6&gt;='Lease Cycles'!$AZ$22,'Lease Cycles'!$C$22*'Lease Cycles'!$BA$22/12,IF(EN$6&gt;='Lease Cycles'!$AX$22,'Lease Cycles'!$C$22*'Lease Cycles'!$AY$22/12,IF(EN$6&gt;='Lease Cycles'!$AV$22,'Lease Cycles'!$C$22*'Lease Cycles'!$AW$22/12,IF(EN$6&gt;='Lease Cycles'!$AT$22,'Lease Cycles'!$C$22*'Lease Cycles'!$AU$22/12,'Lease Cycles'!$C$22*INDEX('Lease Cycles'!$CB$22:$CH$22,1,EN248)*(1+INDEX('Lease Cycles'!$CI$22:$CO$22,1,EN248))^INT(INT(EN249/12)/INDEX('Lease Cycles'!$CP$22:$CV$22,1,EN248))/12)))),'Lease Cycles'!$C$22*INDEX('Lease Cycles'!$CB$22:$CH$22,1,EN248)*(1+INDEX('Lease Cycles'!$CI$22:$CO$22,1,EN248))^INT(INT(EN249/12)/INDEX('Lease Cycles'!$CP$22:$CV$22,1,EN248))/12),IF(INDEX('Lease Cycles'!$EF$22:$EL$22,1,EN248)=1,IF(AND('Lease Cycles'!$AZ$22&gt;=INDEX('Lease Cycles'!$BG$22:$BM$22,1,EN248),'Lease Cycles'!$AZ$22&lt;=EN$6),'Lease Cycles'!$C$22*'Lease Cycles'!$BA$22/12,IF(AND('Lease Cycles'!$AX$22&gt;=INDEX('Lease Cycles'!$BG$22:$BM$22,1,EN248),'Lease Cycles'!$AX$22&lt;=EN$6),'Lease Cycles'!$C$22*'Lease Cycles'!$AY$22/12,IF(AND('Lease Cycles'!$AV$22&gt;=INDEX('Lease Cycles'!$BG$22:$BM$22,1,EN248),'Lease Cycles'!$AV$22&lt;=EN$6),'Lease Cycles'!$C$22*'Lease Cycles'!$AW$22/12,IF(AND('Lease Cycles'!$AT$22&gt;=INDEX('Lease Cycles'!$BG$22:$BM$22,1,EN248),'Lease Cycles'!$AT$22&lt;=EN$6),'Lease Cycles'!$C$22*'Lease Cycles'!$AU$22/12,'Lease Cycles'!$C$22*INDEX('Lease Cycles'!$CB$22:$CH$22,1,EN248)*(1+INDEX('Lease Cycles'!$CI$22:$CO$22,1,EN248))^INT(INT(EN249/12)/INDEX('Lease Cycles'!$CP$22:$CV$22,1,EN248))/12)))),'Lease Cycles'!$C$22*INDEX('Lease Cycles'!$CB$22:$CH$22,1,EN248)*(1+INDEX('Lease Cycles'!$CI$22:$CO$22,1,EN248))^INT(INT(EN249/12)/INDEX('Lease Cycles'!$CP$22:$CV$22,1,EN248))/12))),IF('Lease Cycles'!$N$22=1,'Lease Cycles'!$C$22*'Lease Cycles'!$E$22*INDEX('Lease Cycles'!$HE$22:$HK$22,1,EN248)*(1+INDEX('Lease Cycles'!$GQ$22:$GW$22,1,EN248))^INT(INT((EN$6-INDEX('Lease Cycles'!$GJ$22:$GP$22,1,EN248))/12)/INDEX('Lease Cycles'!$GX$22:$HD$22,1,EN248))/12,0)))</f>
        <v>0</v>
      </c>
      <c r="EO251" s="28">
        <f>IF(EO248=0,IF('Lease Cycles'!$F$22&gt;0,'Lease Cycles'!$C$22*'Lease Cycles'!$E$22/12,0),IF(EO250=1,IF('Lease Cycles'!$AT$22&gt;=9999,'Lease Cycles'!$C$22*INDEX('Lease Cycles'!$CB$22:$CH$22,1,EO248)*(1+INDEX('Lease Cycles'!$CI$22:$CO$22,1,EO248))^INT(INT(EO249/12)/INDEX('Lease Cycles'!$CP$22:$CV$22,1,EO248))/12,IF(EO248=1,IF(EO249&gt;=INDEX('Lease Cycles'!$DK$22:$DQ$22,1,EO248),IF(EO$6&gt;='Lease Cycles'!$AZ$22,'Lease Cycles'!$C$22*'Lease Cycles'!$BA$22/12,IF(EO$6&gt;='Lease Cycles'!$AX$22,'Lease Cycles'!$C$22*'Lease Cycles'!$AY$22/12,IF(EO$6&gt;='Lease Cycles'!$AV$22,'Lease Cycles'!$C$22*'Lease Cycles'!$AW$22/12,IF(EO$6&gt;='Lease Cycles'!$AT$22,'Lease Cycles'!$C$22*'Lease Cycles'!$AU$22/12,'Lease Cycles'!$C$22*INDEX('Lease Cycles'!$CB$22:$CH$22,1,EO248)*(1+INDEX('Lease Cycles'!$CI$22:$CO$22,1,EO248))^INT(INT(EO249/12)/INDEX('Lease Cycles'!$CP$22:$CV$22,1,EO248))/12)))),'Lease Cycles'!$C$22*INDEX('Lease Cycles'!$CB$22:$CH$22,1,EO248)*(1+INDEX('Lease Cycles'!$CI$22:$CO$22,1,EO248))^INT(INT(EO249/12)/INDEX('Lease Cycles'!$CP$22:$CV$22,1,EO248))/12),IF(INDEX('Lease Cycles'!$EF$22:$EL$22,1,EO248)=1,IF(AND('Lease Cycles'!$AZ$22&gt;=INDEX('Lease Cycles'!$BG$22:$BM$22,1,EO248),'Lease Cycles'!$AZ$22&lt;=EO$6),'Lease Cycles'!$C$22*'Lease Cycles'!$BA$22/12,IF(AND('Lease Cycles'!$AX$22&gt;=INDEX('Lease Cycles'!$BG$22:$BM$22,1,EO248),'Lease Cycles'!$AX$22&lt;=EO$6),'Lease Cycles'!$C$22*'Lease Cycles'!$AY$22/12,IF(AND('Lease Cycles'!$AV$22&gt;=INDEX('Lease Cycles'!$BG$22:$BM$22,1,EO248),'Lease Cycles'!$AV$22&lt;=EO$6),'Lease Cycles'!$C$22*'Lease Cycles'!$AW$22/12,IF(AND('Lease Cycles'!$AT$22&gt;=INDEX('Lease Cycles'!$BG$22:$BM$22,1,EO248),'Lease Cycles'!$AT$22&lt;=EO$6),'Lease Cycles'!$C$22*'Lease Cycles'!$AU$22/12,'Lease Cycles'!$C$22*INDEX('Lease Cycles'!$CB$22:$CH$22,1,EO248)*(1+INDEX('Lease Cycles'!$CI$22:$CO$22,1,EO248))^INT(INT(EO249/12)/INDEX('Lease Cycles'!$CP$22:$CV$22,1,EO248))/12)))),'Lease Cycles'!$C$22*INDEX('Lease Cycles'!$CB$22:$CH$22,1,EO248)*(1+INDEX('Lease Cycles'!$CI$22:$CO$22,1,EO248))^INT(INT(EO249/12)/INDEX('Lease Cycles'!$CP$22:$CV$22,1,EO248))/12))),IF('Lease Cycles'!$N$22=1,'Lease Cycles'!$C$22*'Lease Cycles'!$E$22*INDEX('Lease Cycles'!$HE$22:$HK$22,1,EO248)*(1+INDEX('Lease Cycles'!$GQ$22:$GW$22,1,EO248))^INT(INT((EO$6-INDEX('Lease Cycles'!$GJ$22:$GP$22,1,EO248))/12)/INDEX('Lease Cycles'!$GX$22:$HD$22,1,EO248))/12,0)))</f>
        <v>0</v>
      </c>
      <c r="EP251" s="28">
        <f>IF(EP248=0,IF('Lease Cycles'!$F$22&gt;0,'Lease Cycles'!$C$22*'Lease Cycles'!$E$22/12,0),IF(EP250=1,IF('Lease Cycles'!$AT$22&gt;=9999,'Lease Cycles'!$C$22*INDEX('Lease Cycles'!$CB$22:$CH$22,1,EP248)*(1+INDEX('Lease Cycles'!$CI$22:$CO$22,1,EP248))^INT(INT(EP249/12)/INDEX('Lease Cycles'!$CP$22:$CV$22,1,EP248))/12,IF(EP248=1,IF(EP249&gt;=INDEX('Lease Cycles'!$DK$22:$DQ$22,1,EP248),IF(EP$6&gt;='Lease Cycles'!$AZ$22,'Lease Cycles'!$C$22*'Lease Cycles'!$BA$22/12,IF(EP$6&gt;='Lease Cycles'!$AX$22,'Lease Cycles'!$C$22*'Lease Cycles'!$AY$22/12,IF(EP$6&gt;='Lease Cycles'!$AV$22,'Lease Cycles'!$C$22*'Lease Cycles'!$AW$22/12,IF(EP$6&gt;='Lease Cycles'!$AT$22,'Lease Cycles'!$C$22*'Lease Cycles'!$AU$22/12,'Lease Cycles'!$C$22*INDEX('Lease Cycles'!$CB$22:$CH$22,1,EP248)*(1+INDEX('Lease Cycles'!$CI$22:$CO$22,1,EP248))^INT(INT(EP249/12)/INDEX('Lease Cycles'!$CP$22:$CV$22,1,EP248))/12)))),'Lease Cycles'!$C$22*INDEX('Lease Cycles'!$CB$22:$CH$22,1,EP248)*(1+INDEX('Lease Cycles'!$CI$22:$CO$22,1,EP248))^INT(INT(EP249/12)/INDEX('Lease Cycles'!$CP$22:$CV$22,1,EP248))/12),IF(INDEX('Lease Cycles'!$EF$22:$EL$22,1,EP248)=1,IF(AND('Lease Cycles'!$AZ$22&gt;=INDEX('Lease Cycles'!$BG$22:$BM$22,1,EP248),'Lease Cycles'!$AZ$22&lt;=EP$6),'Lease Cycles'!$C$22*'Lease Cycles'!$BA$22/12,IF(AND('Lease Cycles'!$AX$22&gt;=INDEX('Lease Cycles'!$BG$22:$BM$22,1,EP248),'Lease Cycles'!$AX$22&lt;=EP$6),'Lease Cycles'!$C$22*'Lease Cycles'!$AY$22/12,IF(AND('Lease Cycles'!$AV$22&gt;=INDEX('Lease Cycles'!$BG$22:$BM$22,1,EP248),'Lease Cycles'!$AV$22&lt;=EP$6),'Lease Cycles'!$C$22*'Lease Cycles'!$AW$22/12,IF(AND('Lease Cycles'!$AT$22&gt;=INDEX('Lease Cycles'!$BG$22:$BM$22,1,EP248),'Lease Cycles'!$AT$22&lt;=EP$6),'Lease Cycles'!$C$22*'Lease Cycles'!$AU$22/12,'Lease Cycles'!$C$22*INDEX('Lease Cycles'!$CB$22:$CH$22,1,EP248)*(1+INDEX('Lease Cycles'!$CI$22:$CO$22,1,EP248))^INT(INT(EP249/12)/INDEX('Lease Cycles'!$CP$22:$CV$22,1,EP248))/12)))),'Lease Cycles'!$C$22*INDEX('Lease Cycles'!$CB$22:$CH$22,1,EP248)*(1+INDEX('Lease Cycles'!$CI$22:$CO$22,1,EP248))^INT(INT(EP249/12)/INDEX('Lease Cycles'!$CP$22:$CV$22,1,EP248))/12))),IF('Lease Cycles'!$N$22=1,'Lease Cycles'!$C$22*'Lease Cycles'!$E$22*INDEX('Lease Cycles'!$HE$22:$HK$22,1,EP248)*(1+INDEX('Lease Cycles'!$GQ$22:$GW$22,1,EP248))^INT(INT((EP$6-INDEX('Lease Cycles'!$GJ$22:$GP$22,1,EP248))/12)/INDEX('Lease Cycles'!$GX$22:$HD$22,1,EP248))/12,0)))</f>
        <v>0</v>
      </c>
      <c r="EQ251" s="28">
        <f>IF(EQ248=0,IF('Lease Cycles'!$F$22&gt;0,'Lease Cycles'!$C$22*'Lease Cycles'!$E$22/12,0),IF(EQ250=1,IF('Lease Cycles'!$AT$22&gt;=9999,'Lease Cycles'!$C$22*INDEX('Lease Cycles'!$CB$22:$CH$22,1,EQ248)*(1+INDEX('Lease Cycles'!$CI$22:$CO$22,1,EQ248))^INT(INT(EQ249/12)/INDEX('Lease Cycles'!$CP$22:$CV$22,1,EQ248))/12,IF(EQ248=1,IF(EQ249&gt;=INDEX('Lease Cycles'!$DK$22:$DQ$22,1,EQ248),IF(EQ$6&gt;='Lease Cycles'!$AZ$22,'Lease Cycles'!$C$22*'Lease Cycles'!$BA$22/12,IF(EQ$6&gt;='Lease Cycles'!$AX$22,'Lease Cycles'!$C$22*'Lease Cycles'!$AY$22/12,IF(EQ$6&gt;='Lease Cycles'!$AV$22,'Lease Cycles'!$C$22*'Lease Cycles'!$AW$22/12,IF(EQ$6&gt;='Lease Cycles'!$AT$22,'Lease Cycles'!$C$22*'Lease Cycles'!$AU$22/12,'Lease Cycles'!$C$22*INDEX('Lease Cycles'!$CB$22:$CH$22,1,EQ248)*(1+INDEX('Lease Cycles'!$CI$22:$CO$22,1,EQ248))^INT(INT(EQ249/12)/INDEX('Lease Cycles'!$CP$22:$CV$22,1,EQ248))/12)))),'Lease Cycles'!$C$22*INDEX('Lease Cycles'!$CB$22:$CH$22,1,EQ248)*(1+INDEX('Lease Cycles'!$CI$22:$CO$22,1,EQ248))^INT(INT(EQ249/12)/INDEX('Lease Cycles'!$CP$22:$CV$22,1,EQ248))/12),IF(INDEX('Lease Cycles'!$EF$22:$EL$22,1,EQ248)=1,IF(AND('Lease Cycles'!$AZ$22&gt;=INDEX('Lease Cycles'!$BG$22:$BM$22,1,EQ248),'Lease Cycles'!$AZ$22&lt;=EQ$6),'Lease Cycles'!$C$22*'Lease Cycles'!$BA$22/12,IF(AND('Lease Cycles'!$AX$22&gt;=INDEX('Lease Cycles'!$BG$22:$BM$22,1,EQ248),'Lease Cycles'!$AX$22&lt;=EQ$6),'Lease Cycles'!$C$22*'Lease Cycles'!$AY$22/12,IF(AND('Lease Cycles'!$AV$22&gt;=INDEX('Lease Cycles'!$BG$22:$BM$22,1,EQ248),'Lease Cycles'!$AV$22&lt;=EQ$6),'Lease Cycles'!$C$22*'Lease Cycles'!$AW$22/12,IF(AND('Lease Cycles'!$AT$22&gt;=INDEX('Lease Cycles'!$BG$22:$BM$22,1,EQ248),'Lease Cycles'!$AT$22&lt;=EQ$6),'Lease Cycles'!$C$22*'Lease Cycles'!$AU$22/12,'Lease Cycles'!$C$22*INDEX('Lease Cycles'!$CB$22:$CH$22,1,EQ248)*(1+INDEX('Lease Cycles'!$CI$22:$CO$22,1,EQ248))^INT(INT(EQ249/12)/INDEX('Lease Cycles'!$CP$22:$CV$22,1,EQ248))/12)))),'Lease Cycles'!$C$22*INDEX('Lease Cycles'!$CB$22:$CH$22,1,EQ248)*(1+INDEX('Lease Cycles'!$CI$22:$CO$22,1,EQ248))^INT(INT(EQ249/12)/INDEX('Lease Cycles'!$CP$22:$CV$22,1,EQ248))/12))),IF('Lease Cycles'!$N$22=1,'Lease Cycles'!$C$22*'Lease Cycles'!$E$22*INDEX('Lease Cycles'!$HE$22:$HK$22,1,EQ248)*(1+INDEX('Lease Cycles'!$GQ$22:$GW$22,1,EQ248))^INT(INT((EQ$6-INDEX('Lease Cycles'!$GJ$22:$GP$22,1,EQ248))/12)/INDEX('Lease Cycles'!$GX$22:$HD$22,1,EQ248))/12,0)))</f>
        <v>0</v>
      </c>
      <c r="ER251" s="28">
        <f>IF(ER248=0,IF('Lease Cycles'!$F$22&gt;0,'Lease Cycles'!$C$22*'Lease Cycles'!$E$22/12,0),IF(ER250=1,IF('Lease Cycles'!$AT$22&gt;=9999,'Lease Cycles'!$C$22*INDEX('Lease Cycles'!$CB$22:$CH$22,1,ER248)*(1+INDEX('Lease Cycles'!$CI$22:$CO$22,1,ER248))^INT(INT(ER249/12)/INDEX('Lease Cycles'!$CP$22:$CV$22,1,ER248))/12,IF(ER248=1,IF(ER249&gt;=INDEX('Lease Cycles'!$DK$22:$DQ$22,1,ER248),IF(ER$6&gt;='Lease Cycles'!$AZ$22,'Lease Cycles'!$C$22*'Lease Cycles'!$BA$22/12,IF(ER$6&gt;='Lease Cycles'!$AX$22,'Lease Cycles'!$C$22*'Lease Cycles'!$AY$22/12,IF(ER$6&gt;='Lease Cycles'!$AV$22,'Lease Cycles'!$C$22*'Lease Cycles'!$AW$22/12,IF(ER$6&gt;='Lease Cycles'!$AT$22,'Lease Cycles'!$C$22*'Lease Cycles'!$AU$22/12,'Lease Cycles'!$C$22*INDEX('Lease Cycles'!$CB$22:$CH$22,1,ER248)*(1+INDEX('Lease Cycles'!$CI$22:$CO$22,1,ER248))^INT(INT(ER249/12)/INDEX('Lease Cycles'!$CP$22:$CV$22,1,ER248))/12)))),'Lease Cycles'!$C$22*INDEX('Lease Cycles'!$CB$22:$CH$22,1,ER248)*(1+INDEX('Lease Cycles'!$CI$22:$CO$22,1,ER248))^INT(INT(ER249/12)/INDEX('Lease Cycles'!$CP$22:$CV$22,1,ER248))/12),IF(INDEX('Lease Cycles'!$EF$22:$EL$22,1,ER248)=1,IF(AND('Lease Cycles'!$AZ$22&gt;=INDEX('Lease Cycles'!$BG$22:$BM$22,1,ER248),'Lease Cycles'!$AZ$22&lt;=ER$6),'Lease Cycles'!$C$22*'Lease Cycles'!$BA$22/12,IF(AND('Lease Cycles'!$AX$22&gt;=INDEX('Lease Cycles'!$BG$22:$BM$22,1,ER248),'Lease Cycles'!$AX$22&lt;=ER$6),'Lease Cycles'!$C$22*'Lease Cycles'!$AY$22/12,IF(AND('Lease Cycles'!$AV$22&gt;=INDEX('Lease Cycles'!$BG$22:$BM$22,1,ER248),'Lease Cycles'!$AV$22&lt;=ER$6),'Lease Cycles'!$C$22*'Lease Cycles'!$AW$22/12,IF(AND('Lease Cycles'!$AT$22&gt;=INDEX('Lease Cycles'!$BG$22:$BM$22,1,ER248),'Lease Cycles'!$AT$22&lt;=ER$6),'Lease Cycles'!$C$22*'Lease Cycles'!$AU$22/12,'Lease Cycles'!$C$22*INDEX('Lease Cycles'!$CB$22:$CH$22,1,ER248)*(1+INDEX('Lease Cycles'!$CI$22:$CO$22,1,ER248))^INT(INT(ER249/12)/INDEX('Lease Cycles'!$CP$22:$CV$22,1,ER248))/12)))),'Lease Cycles'!$C$22*INDEX('Lease Cycles'!$CB$22:$CH$22,1,ER248)*(1+INDEX('Lease Cycles'!$CI$22:$CO$22,1,ER248))^INT(INT(ER249/12)/INDEX('Lease Cycles'!$CP$22:$CV$22,1,ER248))/12))),IF('Lease Cycles'!$N$22=1,'Lease Cycles'!$C$22*'Lease Cycles'!$E$22*INDEX('Lease Cycles'!$HE$22:$HK$22,1,ER248)*(1+INDEX('Lease Cycles'!$GQ$22:$GW$22,1,ER248))^INT(INT((ER$6-INDEX('Lease Cycles'!$GJ$22:$GP$22,1,ER248))/12)/INDEX('Lease Cycles'!$GX$22:$HD$22,1,ER248))/12,0)))</f>
        <v>0</v>
      </c>
      <c r="ES251" s="28">
        <f>IF(ES248=0,IF('Lease Cycles'!$F$22&gt;0,'Lease Cycles'!$C$22*'Lease Cycles'!$E$22/12,0),IF(ES250=1,IF('Lease Cycles'!$AT$22&gt;=9999,'Lease Cycles'!$C$22*INDEX('Lease Cycles'!$CB$22:$CH$22,1,ES248)*(1+INDEX('Lease Cycles'!$CI$22:$CO$22,1,ES248))^INT(INT(ES249/12)/INDEX('Lease Cycles'!$CP$22:$CV$22,1,ES248))/12,IF(ES248=1,IF(ES249&gt;=INDEX('Lease Cycles'!$DK$22:$DQ$22,1,ES248),IF(ES$6&gt;='Lease Cycles'!$AZ$22,'Lease Cycles'!$C$22*'Lease Cycles'!$BA$22/12,IF(ES$6&gt;='Lease Cycles'!$AX$22,'Lease Cycles'!$C$22*'Lease Cycles'!$AY$22/12,IF(ES$6&gt;='Lease Cycles'!$AV$22,'Lease Cycles'!$C$22*'Lease Cycles'!$AW$22/12,IF(ES$6&gt;='Lease Cycles'!$AT$22,'Lease Cycles'!$C$22*'Lease Cycles'!$AU$22/12,'Lease Cycles'!$C$22*INDEX('Lease Cycles'!$CB$22:$CH$22,1,ES248)*(1+INDEX('Lease Cycles'!$CI$22:$CO$22,1,ES248))^INT(INT(ES249/12)/INDEX('Lease Cycles'!$CP$22:$CV$22,1,ES248))/12)))),'Lease Cycles'!$C$22*INDEX('Lease Cycles'!$CB$22:$CH$22,1,ES248)*(1+INDEX('Lease Cycles'!$CI$22:$CO$22,1,ES248))^INT(INT(ES249/12)/INDEX('Lease Cycles'!$CP$22:$CV$22,1,ES248))/12),IF(INDEX('Lease Cycles'!$EF$22:$EL$22,1,ES248)=1,IF(AND('Lease Cycles'!$AZ$22&gt;=INDEX('Lease Cycles'!$BG$22:$BM$22,1,ES248),'Lease Cycles'!$AZ$22&lt;=ES$6),'Lease Cycles'!$C$22*'Lease Cycles'!$BA$22/12,IF(AND('Lease Cycles'!$AX$22&gt;=INDEX('Lease Cycles'!$BG$22:$BM$22,1,ES248),'Lease Cycles'!$AX$22&lt;=ES$6),'Lease Cycles'!$C$22*'Lease Cycles'!$AY$22/12,IF(AND('Lease Cycles'!$AV$22&gt;=INDEX('Lease Cycles'!$BG$22:$BM$22,1,ES248),'Lease Cycles'!$AV$22&lt;=ES$6),'Lease Cycles'!$C$22*'Lease Cycles'!$AW$22/12,IF(AND('Lease Cycles'!$AT$22&gt;=INDEX('Lease Cycles'!$BG$22:$BM$22,1,ES248),'Lease Cycles'!$AT$22&lt;=ES$6),'Lease Cycles'!$C$22*'Lease Cycles'!$AU$22/12,'Lease Cycles'!$C$22*INDEX('Lease Cycles'!$CB$22:$CH$22,1,ES248)*(1+INDEX('Lease Cycles'!$CI$22:$CO$22,1,ES248))^INT(INT(ES249/12)/INDEX('Lease Cycles'!$CP$22:$CV$22,1,ES248))/12)))),'Lease Cycles'!$C$22*INDEX('Lease Cycles'!$CB$22:$CH$22,1,ES248)*(1+INDEX('Lease Cycles'!$CI$22:$CO$22,1,ES248))^INT(INT(ES249/12)/INDEX('Lease Cycles'!$CP$22:$CV$22,1,ES248))/12))),IF('Lease Cycles'!$N$22=1,'Lease Cycles'!$C$22*'Lease Cycles'!$E$22*INDEX('Lease Cycles'!$HE$22:$HK$22,1,ES248)*(1+INDEX('Lease Cycles'!$GQ$22:$GW$22,1,ES248))^INT(INT((ES$6-INDEX('Lease Cycles'!$GJ$22:$GP$22,1,ES248))/12)/INDEX('Lease Cycles'!$GX$22:$HD$22,1,ES248))/12,0)))</f>
        <v>0</v>
      </c>
      <c r="ET251" s="28">
        <f>IF(ET248=0,IF('Lease Cycles'!$F$22&gt;0,'Lease Cycles'!$C$22*'Lease Cycles'!$E$22/12,0),IF(ET250=1,IF('Lease Cycles'!$AT$22&gt;=9999,'Lease Cycles'!$C$22*INDEX('Lease Cycles'!$CB$22:$CH$22,1,ET248)*(1+INDEX('Lease Cycles'!$CI$22:$CO$22,1,ET248))^INT(INT(ET249/12)/INDEX('Lease Cycles'!$CP$22:$CV$22,1,ET248))/12,IF(ET248=1,IF(ET249&gt;=INDEX('Lease Cycles'!$DK$22:$DQ$22,1,ET248),IF(ET$6&gt;='Lease Cycles'!$AZ$22,'Lease Cycles'!$C$22*'Lease Cycles'!$BA$22/12,IF(ET$6&gt;='Lease Cycles'!$AX$22,'Lease Cycles'!$C$22*'Lease Cycles'!$AY$22/12,IF(ET$6&gt;='Lease Cycles'!$AV$22,'Lease Cycles'!$C$22*'Lease Cycles'!$AW$22/12,IF(ET$6&gt;='Lease Cycles'!$AT$22,'Lease Cycles'!$C$22*'Lease Cycles'!$AU$22/12,'Lease Cycles'!$C$22*INDEX('Lease Cycles'!$CB$22:$CH$22,1,ET248)*(1+INDEX('Lease Cycles'!$CI$22:$CO$22,1,ET248))^INT(INT(ET249/12)/INDEX('Lease Cycles'!$CP$22:$CV$22,1,ET248))/12)))),'Lease Cycles'!$C$22*INDEX('Lease Cycles'!$CB$22:$CH$22,1,ET248)*(1+INDEX('Lease Cycles'!$CI$22:$CO$22,1,ET248))^INT(INT(ET249/12)/INDEX('Lease Cycles'!$CP$22:$CV$22,1,ET248))/12),IF(INDEX('Lease Cycles'!$EF$22:$EL$22,1,ET248)=1,IF(AND('Lease Cycles'!$AZ$22&gt;=INDEX('Lease Cycles'!$BG$22:$BM$22,1,ET248),'Lease Cycles'!$AZ$22&lt;=ET$6),'Lease Cycles'!$C$22*'Lease Cycles'!$BA$22/12,IF(AND('Lease Cycles'!$AX$22&gt;=INDEX('Lease Cycles'!$BG$22:$BM$22,1,ET248),'Lease Cycles'!$AX$22&lt;=ET$6),'Lease Cycles'!$C$22*'Lease Cycles'!$AY$22/12,IF(AND('Lease Cycles'!$AV$22&gt;=INDEX('Lease Cycles'!$BG$22:$BM$22,1,ET248),'Lease Cycles'!$AV$22&lt;=ET$6),'Lease Cycles'!$C$22*'Lease Cycles'!$AW$22/12,IF(AND('Lease Cycles'!$AT$22&gt;=INDEX('Lease Cycles'!$BG$22:$BM$22,1,ET248),'Lease Cycles'!$AT$22&lt;=ET$6),'Lease Cycles'!$C$22*'Lease Cycles'!$AU$22/12,'Lease Cycles'!$C$22*INDEX('Lease Cycles'!$CB$22:$CH$22,1,ET248)*(1+INDEX('Lease Cycles'!$CI$22:$CO$22,1,ET248))^INT(INT(ET249/12)/INDEX('Lease Cycles'!$CP$22:$CV$22,1,ET248))/12)))),'Lease Cycles'!$C$22*INDEX('Lease Cycles'!$CB$22:$CH$22,1,ET248)*(1+INDEX('Lease Cycles'!$CI$22:$CO$22,1,ET248))^INT(INT(ET249/12)/INDEX('Lease Cycles'!$CP$22:$CV$22,1,ET248))/12))),IF('Lease Cycles'!$N$22=1,'Lease Cycles'!$C$22*'Lease Cycles'!$E$22*INDEX('Lease Cycles'!$HE$22:$HK$22,1,ET248)*(1+INDEX('Lease Cycles'!$GQ$22:$GW$22,1,ET248))^INT(INT((ET$6-INDEX('Lease Cycles'!$GJ$22:$GP$22,1,ET248))/12)/INDEX('Lease Cycles'!$GX$22:$HD$22,1,ET248))/12,0)))</f>
        <v>0</v>
      </c>
    </row>
    <row r="252">
      <c r="A252" s="103">
        <v>15</v>
      </c>
      <c r="B252" s="23" t="str">
        <f>IF('Lease Cycles'!$B$22="","(empty slot)",'Lease Cycles'!$B$22)</f>
        <v>(empty slot)</v>
      </c>
      <c r="C252" s="23" t="s">
        <v>679</v>
      </c>
      <c r="D252" s="104" t="s">
        <v>680</v>
      </c>
      <c r="E252" s="25">
        <f>'Lease Cycles'!$AL$22</f>
        <v>0</v>
      </c>
      <c r="S252" s="28">
        <f>IF(S250=1,IF(INDEX('Lease Cycles'!$EF$22:$EL$22,1,S248)=1,'Lease Cycles'!$C$22*INDEX('Lease Cycles'!$ET$22:$EZ$22,1,S248)*(1+'Lease Cycles'!$V$22)^INT(INT(S249/12)/'Lease Cycles'!$W$22)/12,0),0)</f>
        <v>0</v>
      </c>
      <c r="T252" s="28">
        <f>IF(T250=1,IF(INDEX('Lease Cycles'!$EF$22:$EL$22,1,T248)=1,'Lease Cycles'!$C$22*INDEX('Lease Cycles'!$ET$22:$EZ$22,1,T248)*(1+'Lease Cycles'!$V$22)^INT(INT(T249/12)/'Lease Cycles'!$W$22)/12,0),0)</f>
        <v>0</v>
      </c>
      <c r="U252" s="28">
        <f>IF(U250=1,IF(INDEX('Lease Cycles'!$EF$22:$EL$22,1,U248)=1,'Lease Cycles'!$C$22*INDEX('Lease Cycles'!$ET$22:$EZ$22,1,U248)*(1+'Lease Cycles'!$V$22)^INT(INT(U249/12)/'Lease Cycles'!$W$22)/12,0),0)</f>
        <v>0</v>
      </c>
      <c r="V252" s="28">
        <f>IF(V250=1,IF(INDEX('Lease Cycles'!$EF$22:$EL$22,1,V248)=1,'Lease Cycles'!$C$22*INDEX('Lease Cycles'!$ET$22:$EZ$22,1,V248)*(1+'Lease Cycles'!$V$22)^INT(INT(V249/12)/'Lease Cycles'!$W$22)/12,0),0)</f>
        <v>0</v>
      </c>
      <c r="W252" s="28">
        <f>IF(W250=1,IF(INDEX('Lease Cycles'!$EF$22:$EL$22,1,W248)=1,'Lease Cycles'!$C$22*INDEX('Lease Cycles'!$ET$22:$EZ$22,1,W248)*(1+'Lease Cycles'!$V$22)^INT(INT(W249/12)/'Lease Cycles'!$W$22)/12,0),0)</f>
        <v>0</v>
      </c>
      <c r="X252" s="28">
        <f>IF(X250=1,IF(INDEX('Lease Cycles'!$EF$22:$EL$22,1,X248)=1,'Lease Cycles'!$C$22*INDEX('Lease Cycles'!$ET$22:$EZ$22,1,X248)*(1+'Lease Cycles'!$V$22)^INT(INT(X249/12)/'Lease Cycles'!$W$22)/12,0),0)</f>
        <v>0</v>
      </c>
      <c r="Y252" s="28">
        <f>IF(Y250=1,IF(INDEX('Lease Cycles'!$EF$22:$EL$22,1,Y248)=1,'Lease Cycles'!$C$22*INDEX('Lease Cycles'!$ET$22:$EZ$22,1,Y248)*(1+'Lease Cycles'!$V$22)^INT(INT(Y249/12)/'Lease Cycles'!$W$22)/12,0),0)</f>
        <v>0</v>
      </c>
      <c r="Z252" s="28">
        <f>IF(Z250=1,IF(INDEX('Lease Cycles'!$EF$22:$EL$22,1,Z248)=1,'Lease Cycles'!$C$22*INDEX('Lease Cycles'!$ET$22:$EZ$22,1,Z248)*(1+'Lease Cycles'!$V$22)^INT(INT(Z249/12)/'Lease Cycles'!$W$22)/12,0),0)</f>
        <v>0</v>
      </c>
      <c r="AA252" s="28">
        <f>IF(AA250=1,IF(INDEX('Lease Cycles'!$EF$22:$EL$22,1,AA248)=1,'Lease Cycles'!$C$22*INDEX('Lease Cycles'!$ET$22:$EZ$22,1,AA248)*(1+'Lease Cycles'!$V$22)^INT(INT(AA249/12)/'Lease Cycles'!$W$22)/12,0),0)</f>
        <v>0</v>
      </c>
      <c r="AB252" s="28">
        <f>IF(AB250=1,IF(INDEX('Lease Cycles'!$EF$22:$EL$22,1,AB248)=1,'Lease Cycles'!$C$22*INDEX('Lease Cycles'!$ET$22:$EZ$22,1,AB248)*(1+'Lease Cycles'!$V$22)^INT(INT(AB249/12)/'Lease Cycles'!$W$22)/12,0),0)</f>
        <v>0</v>
      </c>
      <c r="AC252" s="28">
        <f>IF(AC250=1,IF(INDEX('Lease Cycles'!$EF$22:$EL$22,1,AC248)=1,'Lease Cycles'!$C$22*INDEX('Lease Cycles'!$ET$22:$EZ$22,1,AC248)*(1+'Lease Cycles'!$V$22)^INT(INT(AC249/12)/'Lease Cycles'!$W$22)/12,0),0)</f>
        <v>0</v>
      </c>
      <c r="AD252" s="28">
        <f>IF(AD250=1,IF(INDEX('Lease Cycles'!$EF$22:$EL$22,1,AD248)=1,'Lease Cycles'!$C$22*INDEX('Lease Cycles'!$ET$22:$EZ$22,1,AD248)*(1+'Lease Cycles'!$V$22)^INT(INT(AD249/12)/'Lease Cycles'!$W$22)/12,0),0)</f>
        <v>0</v>
      </c>
      <c r="AE252" s="28">
        <f>IF(AE250=1,IF(INDEX('Lease Cycles'!$EF$22:$EL$22,1,AE248)=1,'Lease Cycles'!$C$22*INDEX('Lease Cycles'!$ET$22:$EZ$22,1,AE248)*(1+'Lease Cycles'!$V$22)^INT(INT(AE249/12)/'Lease Cycles'!$W$22)/12,0),0)</f>
        <v>0</v>
      </c>
      <c r="AF252" s="28">
        <f>IF(AF250=1,IF(INDEX('Lease Cycles'!$EF$22:$EL$22,1,AF248)=1,'Lease Cycles'!$C$22*INDEX('Lease Cycles'!$ET$22:$EZ$22,1,AF248)*(1+'Lease Cycles'!$V$22)^INT(INT(AF249/12)/'Lease Cycles'!$W$22)/12,0),0)</f>
        <v>0</v>
      </c>
      <c r="AG252" s="28">
        <f>IF(AG250=1,IF(INDEX('Lease Cycles'!$EF$22:$EL$22,1,AG248)=1,'Lease Cycles'!$C$22*INDEX('Lease Cycles'!$ET$22:$EZ$22,1,AG248)*(1+'Lease Cycles'!$V$22)^INT(INT(AG249/12)/'Lease Cycles'!$W$22)/12,0),0)</f>
        <v>0</v>
      </c>
      <c r="AH252" s="28">
        <f>IF(AH250=1,IF(INDEX('Lease Cycles'!$EF$22:$EL$22,1,AH248)=1,'Lease Cycles'!$C$22*INDEX('Lease Cycles'!$ET$22:$EZ$22,1,AH248)*(1+'Lease Cycles'!$V$22)^INT(INT(AH249/12)/'Lease Cycles'!$W$22)/12,0),0)</f>
        <v>0</v>
      </c>
      <c r="AI252" s="28">
        <f>IF(AI250=1,IF(INDEX('Lease Cycles'!$EF$22:$EL$22,1,AI248)=1,'Lease Cycles'!$C$22*INDEX('Lease Cycles'!$ET$22:$EZ$22,1,AI248)*(1+'Lease Cycles'!$V$22)^INT(INT(AI249/12)/'Lease Cycles'!$W$22)/12,0),0)</f>
        <v>0</v>
      </c>
      <c r="AJ252" s="28">
        <f>IF(AJ250=1,IF(INDEX('Lease Cycles'!$EF$22:$EL$22,1,AJ248)=1,'Lease Cycles'!$C$22*INDEX('Lease Cycles'!$ET$22:$EZ$22,1,AJ248)*(1+'Lease Cycles'!$V$22)^INT(INT(AJ249/12)/'Lease Cycles'!$W$22)/12,0),0)</f>
        <v>0</v>
      </c>
      <c r="AK252" s="28">
        <f>IF(AK250=1,IF(INDEX('Lease Cycles'!$EF$22:$EL$22,1,AK248)=1,'Lease Cycles'!$C$22*INDEX('Lease Cycles'!$ET$22:$EZ$22,1,AK248)*(1+'Lease Cycles'!$V$22)^INT(INT(AK249/12)/'Lease Cycles'!$W$22)/12,0),0)</f>
        <v>0</v>
      </c>
      <c r="AL252" s="28">
        <f>IF(AL250=1,IF(INDEX('Lease Cycles'!$EF$22:$EL$22,1,AL248)=1,'Lease Cycles'!$C$22*INDEX('Lease Cycles'!$ET$22:$EZ$22,1,AL248)*(1+'Lease Cycles'!$V$22)^INT(INT(AL249/12)/'Lease Cycles'!$W$22)/12,0),0)</f>
        <v>0</v>
      </c>
      <c r="AM252" s="28">
        <f>IF(AM250=1,IF(INDEX('Lease Cycles'!$EF$22:$EL$22,1,AM248)=1,'Lease Cycles'!$C$22*INDEX('Lease Cycles'!$ET$22:$EZ$22,1,AM248)*(1+'Lease Cycles'!$V$22)^INT(INT(AM249/12)/'Lease Cycles'!$W$22)/12,0),0)</f>
        <v>0</v>
      </c>
      <c r="AN252" s="28">
        <f>IF(AN250=1,IF(INDEX('Lease Cycles'!$EF$22:$EL$22,1,AN248)=1,'Lease Cycles'!$C$22*INDEX('Lease Cycles'!$ET$22:$EZ$22,1,AN248)*(1+'Lease Cycles'!$V$22)^INT(INT(AN249/12)/'Lease Cycles'!$W$22)/12,0),0)</f>
        <v>0</v>
      </c>
      <c r="AO252" s="28">
        <f>IF(AO250=1,IF(INDEX('Lease Cycles'!$EF$22:$EL$22,1,AO248)=1,'Lease Cycles'!$C$22*INDEX('Lease Cycles'!$ET$22:$EZ$22,1,AO248)*(1+'Lease Cycles'!$V$22)^INT(INT(AO249/12)/'Lease Cycles'!$W$22)/12,0),0)</f>
        <v>0</v>
      </c>
      <c r="AP252" s="28">
        <f>IF(AP250=1,IF(INDEX('Lease Cycles'!$EF$22:$EL$22,1,AP248)=1,'Lease Cycles'!$C$22*INDEX('Lease Cycles'!$ET$22:$EZ$22,1,AP248)*(1+'Lease Cycles'!$V$22)^INT(INT(AP249/12)/'Lease Cycles'!$W$22)/12,0),0)</f>
        <v>0</v>
      </c>
      <c r="AQ252" s="28">
        <f>IF(AQ250=1,IF(INDEX('Lease Cycles'!$EF$22:$EL$22,1,AQ248)=1,'Lease Cycles'!$C$22*INDEX('Lease Cycles'!$ET$22:$EZ$22,1,AQ248)*(1+'Lease Cycles'!$V$22)^INT(INT(AQ249/12)/'Lease Cycles'!$W$22)/12,0),0)</f>
        <v>0</v>
      </c>
      <c r="AR252" s="28">
        <f>IF(AR250=1,IF(INDEX('Lease Cycles'!$EF$22:$EL$22,1,AR248)=1,'Lease Cycles'!$C$22*INDEX('Lease Cycles'!$ET$22:$EZ$22,1,AR248)*(1+'Lease Cycles'!$V$22)^INT(INT(AR249/12)/'Lease Cycles'!$W$22)/12,0),0)</f>
        <v>0</v>
      </c>
      <c r="AS252" s="28">
        <f>IF(AS250=1,IF(INDEX('Lease Cycles'!$EF$22:$EL$22,1,AS248)=1,'Lease Cycles'!$C$22*INDEX('Lease Cycles'!$ET$22:$EZ$22,1,AS248)*(1+'Lease Cycles'!$V$22)^INT(INT(AS249/12)/'Lease Cycles'!$W$22)/12,0),0)</f>
        <v>0</v>
      </c>
      <c r="AT252" s="28">
        <f>IF(AT250=1,IF(INDEX('Lease Cycles'!$EF$22:$EL$22,1,AT248)=1,'Lease Cycles'!$C$22*INDEX('Lease Cycles'!$ET$22:$EZ$22,1,AT248)*(1+'Lease Cycles'!$V$22)^INT(INT(AT249/12)/'Lease Cycles'!$W$22)/12,0),0)</f>
        <v>0</v>
      </c>
      <c r="AU252" s="28">
        <f>IF(AU250=1,IF(INDEX('Lease Cycles'!$EF$22:$EL$22,1,AU248)=1,'Lease Cycles'!$C$22*INDEX('Lease Cycles'!$ET$22:$EZ$22,1,AU248)*(1+'Lease Cycles'!$V$22)^INT(INT(AU249/12)/'Lease Cycles'!$W$22)/12,0),0)</f>
        <v>0</v>
      </c>
      <c r="AV252" s="28">
        <f>IF(AV250=1,IF(INDEX('Lease Cycles'!$EF$22:$EL$22,1,AV248)=1,'Lease Cycles'!$C$22*INDEX('Lease Cycles'!$ET$22:$EZ$22,1,AV248)*(1+'Lease Cycles'!$V$22)^INT(INT(AV249/12)/'Lease Cycles'!$W$22)/12,0),0)</f>
        <v>0</v>
      </c>
      <c r="AW252" s="28">
        <f>IF(AW250=1,IF(INDEX('Lease Cycles'!$EF$22:$EL$22,1,AW248)=1,'Lease Cycles'!$C$22*INDEX('Lease Cycles'!$ET$22:$EZ$22,1,AW248)*(1+'Lease Cycles'!$V$22)^INT(INT(AW249/12)/'Lease Cycles'!$W$22)/12,0),0)</f>
        <v>0</v>
      </c>
      <c r="AX252" s="28">
        <f>IF(AX250=1,IF(INDEX('Lease Cycles'!$EF$22:$EL$22,1,AX248)=1,'Lease Cycles'!$C$22*INDEX('Lease Cycles'!$ET$22:$EZ$22,1,AX248)*(1+'Lease Cycles'!$V$22)^INT(INT(AX249/12)/'Lease Cycles'!$W$22)/12,0),0)</f>
        <v>0</v>
      </c>
      <c r="AY252" s="28">
        <f>IF(AY250=1,IF(INDEX('Lease Cycles'!$EF$22:$EL$22,1,AY248)=1,'Lease Cycles'!$C$22*INDEX('Lease Cycles'!$ET$22:$EZ$22,1,AY248)*(1+'Lease Cycles'!$V$22)^INT(INT(AY249/12)/'Lease Cycles'!$W$22)/12,0),0)</f>
        <v>0</v>
      </c>
      <c r="AZ252" s="28">
        <f>IF(AZ250=1,IF(INDEX('Lease Cycles'!$EF$22:$EL$22,1,AZ248)=1,'Lease Cycles'!$C$22*INDEX('Lease Cycles'!$ET$22:$EZ$22,1,AZ248)*(1+'Lease Cycles'!$V$22)^INT(INT(AZ249/12)/'Lease Cycles'!$W$22)/12,0),0)</f>
        <v>0</v>
      </c>
      <c r="BA252" s="28">
        <f>IF(BA250=1,IF(INDEX('Lease Cycles'!$EF$22:$EL$22,1,BA248)=1,'Lease Cycles'!$C$22*INDEX('Lease Cycles'!$ET$22:$EZ$22,1,BA248)*(1+'Lease Cycles'!$V$22)^INT(INT(BA249/12)/'Lease Cycles'!$W$22)/12,0),0)</f>
        <v>0</v>
      </c>
      <c r="BB252" s="28">
        <f>IF(BB250=1,IF(INDEX('Lease Cycles'!$EF$22:$EL$22,1,BB248)=1,'Lease Cycles'!$C$22*INDEX('Lease Cycles'!$ET$22:$EZ$22,1,BB248)*(1+'Lease Cycles'!$V$22)^INT(INT(BB249/12)/'Lease Cycles'!$W$22)/12,0),0)</f>
        <v>0</v>
      </c>
      <c r="BC252" s="28">
        <f>IF(BC250=1,IF(INDEX('Lease Cycles'!$EF$22:$EL$22,1,BC248)=1,'Lease Cycles'!$C$22*INDEX('Lease Cycles'!$ET$22:$EZ$22,1,BC248)*(1+'Lease Cycles'!$V$22)^INT(INT(BC249/12)/'Lease Cycles'!$W$22)/12,0),0)</f>
        <v>0</v>
      </c>
      <c r="BD252" s="28">
        <f>IF(BD250=1,IF(INDEX('Lease Cycles'!$EF$22:$EL$22,1,BD248)=1,'Lease Cycles'!$C$22*INDEX('Lease Cycles'!$ET$22:$EZ$22,1,BD248)*(1+'Lease Cycles'!$V$22)^INT(INT(BD249/12)/'Lease Cycles'!$W$22)/12,0),0)</f>
        <v>0</v>
      </c>
      <c r="BE252" s="28">
        <f>IF(BE250=1,IF(INDEX('Lease Cycles'!$EF$22:$EL$22,1,BE248)=1,'Lease Cycles'!$C$22*INDEX('Lease Cycles'!$ET$22:$EZ$22,1,BE248)*(1+'Lease Cycles'!$V$22)^INT(INT(BE249/12)/'Lease Cycles'!$W$22)/12,0),0)</f>
        <v>0</v>
      </c>
      <c r="BF252" s="28">
        <f>IF(BF250=1,IF(INDEX('Lease Cycles'!$EF$22:$EL$22,1,BF248)=1,'Lease Cycles'!$C$22*INDEX('Lease Cycles'!$ET$22:$EZ$22,1,BF248)*(1+'Lease Cycles'!$V$22)^INT(INT(BF249/12)/'Lease Cycles'!$W$22)/12,0),0)</f>
        <v>0</v>
      </c>
      <c r="BG252" s="28">
        <f>IF(BG250=1,IF(INDEX('Lease Cycles'!$EF$22:$EL$22,1,BG248)=1,'Lease Cycles'!$C$22*INDEX('Lease Cycles'!$ET$22:$EZ$22,1,BG248)*(1+'Lease Cycles'!$V$22)^INT(INT(BG249/12)/'Lease Cycles'!$W$22)/12,0),0)</f>
        <v>0</v>
      </c>
      <c r="BH252" s="28">
        <f>IF(BH250=1,IF(INDEX('Lease Cycles'!$EF$22:$EL$22,1,BH248)=1,'Lease Cycles'!$C$22*INDEX('Lease Cycles'!$ET$22:$EZ$22,1,BH248)*(1+'Lease Cycles'!$V$22)^INT(INT(BH249/12)/'Lease Cycles'!$W$22)/12,0),0)</f>
        <v>0</v>
      </c>
      <c r="BI252" s="28">
        <f>IF(BI250=1,IF(INDEX('Lease Cycles'!$EF$22:$EL$22,1,BI248)=1,'Lease Cycles'!$C$22*INDEX('Lease Cycles'!$ET$22:$EZ$22,1,BI248)*(1+'Lease Cycles'!$V$22)^INT(INT(BI249/12)/'Lease Cycles'!$W$22)/12,0),0)</f>
        <v>0</v>
      </c>
      <c r="BJ252" s="28">
        <f>IF(BJ250=1,IF(INDEX('Lease Cycles'!$EF$22:$EL$22,1,BJ248)=1,'Lease Cycles'!$C$22*INDEX('Lease Cycles'!$ET$22:$EZ$22,1,BJ248)*(1+'Lease Cycles'!$V$22)^INT(INT(BJ249/12)/'Lease Cycles'!$W$22)/12,0),0)</f>
        <v>0</v>
      </c>
      <c r="BK252" s="28">
        <f>IF(BK250=1,IF(INDEX('Lease Cycles'!$EF$22:$EL$22,1,BK248)=1,'Lease Cycles'!$C$22*INDEX('Lease Cycles'!$ET$22:$EZ$22,1,BK248)*(1+'Lease Cycles'!$V$22)^INT(INT(BK249/12)/'Lease Cycles'!$W$22)/12,0),0)</f>
        <v>0</v>
      </c>
      <c r="BL252" s="28">
        <f>IF(BL250=1,IF(INDEX('Lease Cycles'!$EF$22:$EL$22,1,BL248)=1,'Lease Cycles'!$C$22*INDEX('Lease Cycles'!$ET$22:$EZ$22,1,BL248)*(1+'Lease Cycles'!$V$22)^INT(INT(BL249/12)/'Lease Cycles'!$W$22)/12,0),0)</f>
        <v>0</v>
      </c>
      <c r="BM252" s="28">
        <f>IF(BM250=1,IF(INDEX('Lease Cycles'!$EF$22:$EL$22,1,BM248)=1,'Lease Cycles'!$C$22*INDEX('Lease Cycles'!$ET$22:$EZ$22,1,BM248)*(1+'Lease Cycles'!$V$22)^INT(INT(BM249/12)/'Lease Cycles'!$W$22)/12,0),0)</f>
        <v>0</v>
      </c>
      <c r="BN252" s="28">
        <f>IF(BN250=1,IF(INDEX('Lease Cycles'!$EF$22:$EL$22,1,BN248)=1,'Lease Cycles'!$C$22*INDEX('Lease Cycles'!$ET$22:$EZ$22,1,BN248)*(1+'Lease Cycles'!$V$22)^INT(INT(BN249/12)/'Lease Cycles'!$W$22)/12,0),0)</f>
        <v>0</v>
      </c>
      <c r="BO252" s="28">
        <f>IF(BO250=1,IF(INDEX('Lease Cycles'!$EF$22:$EL$22,1,BO248)=1,'Lease Cycles'!$C$22*INDEX('Lease Cycles'!$ET$22:$EZ$22,1,BO248)*(1+'Lease Cycles'!$V$22)^INT(INT(BO249/12)/'Lease Cycles'!$W$22)/12,0),0)</f>
        <v>0</v>
      </c>
      <c r="BP252" s="28">
        <f>IF(BP250=1,IF(INDEX('Lease Cycles'!$EF$22:$EL$22,1,BP248)=1,'Lease Cycles'!$C$22*INDEX('Lease Cycles'!$ET$22:$EZ$22,1,BP248)*(1+'Lease Cycles'!$V$22)^INT(INT(BP249/12)/'Lease Cycles'!$W$22)/12,0),0)</f>
        <v>0</v>
      </c>
      <c r="BQ252" s="28">
        <f>IF(BQ250=1,IF(INDEX('Lease Cycles'!$EF$22:$EL$22,1,BQ248)=1,'Lease Cycles'!$C$22*INDEX('Lease Cycles'!$ET$22:$EZ$22,1,BQ248)*(1+'Lease Cycles'!$V$22)^INT(INT(BQ249/12)/'Lease Cycles'!$W$22)/12,0),0)</f>
        <v>0</v>
      </c>
      <c r="BR252" s="28">
        <f>IF(BR250=1,IF(INDEX('Lease Cycles'!$EF$22:$EL$22,1,BR248)=1,'Lease Cycles'!$C$22*INDEX('Lease Cycles'!$ET$22:$EZ$22,1,BR248)*(1+'Lease Cycles'!$V$22)^INT(INT(BR249/12)/'Lease Cycles'!$W$22)/12,0),0)</f>
        <v>0</v>
      </c>
      <c r="BS252" s="28">
        <f>IF(BS250=1,IF(INDEX('Lease Cycles'!$EF$22:$EL$22,1,BS248)=1,'Lease Cycles'!$C$22*INDEX('Lease Cycles'!$ET$22:$EZ$22,1,BS248)*(1+'Lease Cycles'!$V$22)^INT(INT(BS249/12)/'Lease Cycles'!$W$22)/12,0),0)</f>
        <v>0</v>
      </c>
      <c r="BT252" s="28">
        <f>IF(BT250=1,IF(INDEX('Lease Cycles'!$EF$22:$EL$22,1,BT248)=1,'Lease Cycles'!$C$22*INDEX('Lease Cycles'!$ET$22:$EZ$22,1,BT248)*(1+'Lease Cycles'!$V$22)^INT(INT(BT249/12)/'Lease Cycles'!$W$22)/12,0),0)</f>
        <v>0</v>
      </c>
      <c r="BU252" s="28">
        <f>IF(BU250=1,IF(INDEX('Lease Cycles'!$EF$22:$EL$22,1,BU248)=1,'Lease Cycles'!$C$22*INDEX('Lease Cycles'!$ET$22:$EZ$22,1,BU248)*(1+'Lease Cycles'!$V$22)^INT(INT(BU249/12)/'Lease Cycles'!$W$22)/12,0),0)</f>
        <v>0</v>
      </c>
      <c r="BV252" s="28">
        <f>IF(BV250=1,IF(INDEX('Lease Cycles'!$EF$22:$EL$22,1,BV248)=1,'Lease Cycles'!$C$22*INDEX('Lease Cycles'!$ET$22:$EZ$22,1,BV248)*(1+'Lease Cycles'!$V$22)^INT(INT(BV249/12)/'Lease Cycles'!$W$22)/12,0),0)</f>
        <v>0</v>
      </c>
      <c r="BW252" s="28">
        <f>IF(BW250=1,IF(INDEX('Lease Cycles'!$EF$22:$EL$22,1,BW248)=1,'Lease Cycles'!$C$22*INDEX('Lease Cycles'!$ET$22:$EZ$22,1,BW248)*(1+'Lease Cycles'!$V$22)^INT(INT(BW249/12)/'Lease Cycles'!$W$22)/12,0),0)</f>
        <v>0</v>
      </c>
      <c r="BX252" s="28">
        <f>IF(BX250=1,IF(INDEX('Lease Cycles'!$EF$22:$EL$22,1,BX248)=1,'Lease Cycles'!$C$22*INDEX('Lease Cycles'!$ET$22:$EZ$22,1,BX248)*(1+'Lease Cycles'!$V$22)^INT(INT(BX249/12)/'Lease Cycles'!$W$22)/12,0),0)</f>
        <v>0</v>
      </c>
      <c r="BY252" s="28">
        <f>IF(BY250=1,IF(INDEX('Lease Cycles'!$EF$22:$EL$22,1,BY248)=1,'Lease Cycles'!$C$22*INDEX('Lease Cycles'!$ET$22:$EZ$22,1,BY248)*(1+'Lease Cycles'!$V$22)^INT(INT(BY249/12)/'Lease Cycles'!$W$22)/12,0),0)</f>
        <v>0</v>
      </c>
      <c r="BZ252" s="28">
        <f>IF(BZ250=1,IF(INDEX('Lease Cycles'!$EF$22:$EL$22,1,BZ248)=1,'Lease Cycles'!$C$22*INDEX('Lease Cycles'!$ET$22:$EZ$22,1,BZ248)*(1+'Lease Cycles'!$V$22)^INT(INT(BZ249/12)/'Lease Cycles'!$W$22)/12,0),0)</f>
        <v>0</v>
      </c>
      <c r="CA252" s="28">
        <f>IF(CA250=1,IF(INDEX('Lease Cycles'!$EF$22:$EL$22,1,CA248)=1,'Lease Cycles'!$C$22*INDEX('Lease Cycles'!$ET$22:$EZ$22,1,CA248)*(1+'Lease Cycles'!$V$22)^INT(INT(CA249/12)/'Lease Cycles'!$W$22)/12,0),0)</f>
        <v>0</v>
      </c>
      <c r="CB252" s="28">
        <f>IF(CB250=1,IF(INDEX('Lease Cycles'!$EF$22:$EL$22,1,CB248)=1,'Lease Cycles'!$C$22*INDEX('Lease Cycles'!$ET$22:$EZ$22,1,CB248)*(1+'Lease Cycles'!$V$22)^INT(INT(CB249/12)/'Lease Cycles'!$W$22)/12,0),0)</f>
        <v>0</v>
      </c>
      <c r="CC252" s="28">
        <f>IF(CC250=1,IF(INDEX('Lease Cycles'!$EF$22:$EL$22,1,CC248)=1,'Lease Cycles'!$C$22*INDEX('Lease Cycles'!$ET$22:$EZ$22,1,CC248)*(1+'Lease Cycles'!$V$22)^INT(INT(CC249/12)/'Lease Cycles'!$W$22)/12,0),0)</f>
        <v>0</v>
      </c>
      <c r="CD252" s="28">
        <f>IF(CD250=1,IF(INDEX('Lease Cycles'!$EF$22:$EL$22,1,CD248)=1,'Lease Cycles'!$C$22*INDEX('Lease Cycles'!$ET$22:$EZ$22,1,CD248)*(1+'Lease Cycles'!$V$22)^INT(INT(CD249/12)/'Lease Cycles'!$W$22)/12,0),0)</f>
        <v>0</v>
      </c>
      <c r="CE252" s="28">
        <f>IF(CE250=1,IF(INDEX('Lease Cycles'!$EF$22:$EL$22,1,CE248)=1,'Lease Cycles'!$C$22*INDEX('Lease Cycles'!$ET$22:$EZ$22,1,CE248)*(1+'Lease Cycles'!$V$22)^INT(INT(CE249/12)/'Lease Cycles'!$W$22)/12,0),0)</f>
        <v>0</v>
      </c>
      <c r="CF252" s="28">
        <f>IF(CF250=1,IF(INDEX('Lease Cycles'!$EF$22:$EL$22,1,CF248)=1,'Lease Cycles'!$C$22*INDEX('Lease Cycles'!$ET$22:$EZ$22,1,CF248)*(1+'Lease Cycles'!$V$22)^INT(INT(CF249/12)/'Lease Cycles'!$W$22)/12,0),0)</f>
        <v>0</v>
      </c>
      <c r="CG252" s="28">
        <f>IF(CG250=1,IF(INDEX('Lease Cycles'!$EF$22:$EL$22,1,CG248)=1,'Lease Cycles'!$C$22*INDEX('Lease Cycles'!$ET$22:$EZ$22,1,CG248)*(1+'Lease Cycles'!$V$22)^INT(INT(CG249/12)/'Lease Cycles'!$W$22)/12,0),0)</f>
        <v>0</v>
      </c>
      <c r="CH252" s="28">
        <f>IF(CH250=1,IF(INDEX('Lease Cycles'!$EF$22:$EL$22,1,CH248)=1,'Lease Cycles'!$C$22*INDEX('Lease Cycles'!$ET$22:$EZ$22,1,CH248)*(1+'Lease Cycles'!$V$22)^INT(INT(CH249/12)/'Lease Cycles'!$W$22)/12,0),0)</f>
        <v>0</v>
      </c>
      <c r="CI252" s="28">
        <f>IF(CI250=1,IF(INDEX('Lease Cycles'!$EF$22:$EL$22,1,CI248)=1,'Lease Cycles'!$C$22*INDEX('Lease Cycles'!$ET$22:$EZ$22,1,CI248)*(1+'Lease Cycles'!$V$22)^INT(INT(CI249/12)/'Lease Cycles'!$W$22)/12,0),0)</f>
        <v>0</v>
      </c>
      <c r="CJ252" s="28">
        <f>IF(CJ250=1,IF(INDEX('Lease Cycles'!$EF$22:$EL$22,1,CJ248)=1,'Lease Cycles'!$C$22*INDEX('Lease Cycles'!$ET$22:$EZ$22,1,CJ248)*(1+'Lease Cycles'!$V$22)^INT(INT(CJ249/12)/'Lease Cycles'!$W$22)/12,0),0)</f>
        <v>0</v>
      </c>
      <c r="CK252" s="28">
        <f>IF(CK250=1,IF(INDEX('Lease Cycles'!$EF$22:$EL$22,1,CK248)=1,'Lease Cycles'!$C$22*INDEX('Lease Cycles'!$ET$22:$EZ$22,1,CK248)*(1+'Lease Cycles'!$V$22)^INT(INT(CK249/12)/'Lease Cycles'!$W$22)/12,0),0)</f>
        <v>0</v>
      </c>
      <c r="CL252" s="28">
        <f>IF(CL250=1,IF(INDEX('Lease Cycles'!$EF$22:$EL$22,1,CL248)=1,'Lease Cycles'!$C$22*INDEX('Lease Cycles'!$ET$22:$EZ$22,1,CL248)*(1+'Lease Cycles'!$V$22)^INT(INT(CL249/12)/'Lease Cycles'!$W$22)/12,0),0)</f>
        <v>0</v>
      </c>
      <c r="CM252" s="28">
        <f>IF(CM250=1,IF(INDEX('Lease Cycles'!$EF$22:$EL$22,1,CM248)=1,'Lease Cycles'!$C$22*INDEX('Lease Cycles'!$ET$22:$EZ$22,1,CM248)*(1+'Lease Cycles'!$V$22)^INT(INT(CM249/12)/'Lease Cycles'!$W$22)/12,0),0)</f>
        <v>0</v>
      </c>
      <c r="CN252" s="28">
        <f>IF(CN250=1,IF(INDEX('Lease Cycles'!$EF$22:$EL$22,1,CN248)=1,'Lease Cycles'!$C$22*INDEX('Lease Cycles'!$ET$22:$EZ$22,1,CN248)*(1+'Lease Cycles'!$V$22)^INT(INT(CN249/12)/'Lease Cycles'!$W$22)/12,0),0)</f>
        <v>0</v>
      </c>
      <c r="CO252" s="28">
        <f>IF(CO250=1,IF(INDEX('Lease Cycles'!$EF$22:$EL$22,1,CO248)=1,'Lease Cycles'!$C$22*INDEX('Lease Cycles'!$ET$22:$EZ$22,1,CO248)*(1+'Lease Cycles'!$V$22)^INT(INT(CO249/12)/'Lease Cycles'!$W$22)/12,0),0)</f>
        <v>0</v>
      </c>
      <c r="CP252" s="28">
        <f>IF(CP250=1,IF(INDEX('Lease Cycles'!$EF$22:$EL$22,1,CP248)=1,'Lease Cycles'!$C$22*INDEX('Lease Cycles'!$ET$22:$EZ$22,1,CP248)*(1+'Lease Cycles'!$V$22)^INT(INT(CP249/12)/'Lease Cycles'!$W$22)/12,0),0)</f>
        <v>0</v>
      </c>
      <c r="CQ252" s="28">
        <f>IF(CQ250=1,IF(INDEX('Lease Cycles'!$EF$22:$EL$22,1,CQ248)=1,'Lease Cycles'!$C$22*INDEX('Lease Cycles'!$ET$22:$EZ$22,1,CQ248)*(1+'Lease Cycles'!$V$22)^INT(INT(CQ249/12)/'Lease Cycles'!$W$22)/12,0),0)</f>
        <v>0</v>
      </c>
      <c r="CR252" s="28">
        <f>IF(CR250=1,IF(INDEX('Lease Cycles'!$EF$22:$EL$22,1,CR248)=1,'Lease Cycles'!$C$22*INDEX('Lease Cycles'!$ET$22:$EZ$22,1,CR248)*(1+'Lease Cycles'!$V$22)^INT(INT(CR249/12)/'Lease Cycles'!$W$22)/12,0),0)</f>
        <v>0</v>
      </c>
      <c r="CS252" s="28">
        <f>IF(CS250=1,IF(INDEX('Lease Cycles'!$EF$22:$EL$22,1,CS248)=1,'Lease Cycles'!$C$22*INDEX('Lease Cycles'!$ET$22:$EZ$22,1,CS248)*(1+'Lease Cycles'!$V$22)^INT(INT(CS249/12)/'Lease Cycles'!$W$22)/12,0),0)</f>
        <v>0</v>
      </c>
      <c r="CT252" s="28">
        <f>IF(CT250=1,IF(INDEX('Lease Cycles'!$EF$22:$EL$22,1,CT248)=1,'Lease Cycles'!$C$22*INDEX('Lease Cycles'!$ET$22:$EZ$22,1,CT248)*(1+'Lease Cycles'!$V$22)^INT(INT(CT249/12)/'Lease Cycles'!$W$22)/12,0),0)</f>
        <v>0</v>
      </c>
      <c r="CU252" s="28">
        <f>IF(CU250=1,IF(INDEX('Lease Cycles'!$EF$22:$EL$22,1,CU248)=1,'Lease Cycles'!$C$22*INDEX('Lease Cycles'!$ET$22:$EZ$22,1,CU248)*(1+'Lease Cycles'!$V$22)^INT(INT(CU249/12)/'Lease Cycles'!$W$22)/12,0),0)</f>
        <v>0</v>
      </c>
      <c r="CV252" s="28">
        <f>IF(CV250=1,IF(INDEX('Lease Cycles'!$EF$22:$EL$22,1,CV248)=1,'Lease Cycles'!$C$22*INDEX('Lease Cycles'!$ET$22:$EZ$22,1,CV248)*(1+'Lease Cycles'!$V$22)^INT(INT(CV249/12)/'Lease Cycles'!$W$22)/12,0),0)</f>
        <v>0</v>
      </c>
      <c r="CW252" s="28">
        <f>IF(CW250=1,IF(INDEX('Lease Cycles'!$EF$22:$EL$22,1,CW248)=1,'Lease Cycles'!$C$22*INDEX('Lease Cycles'!$ET$22:$EZ$22,1,CW248)*(1+'Lease Cycles'!$V$22)^INT(INT(CW249/12)/'Lease Cycles'!$W$22)/12,0),0)</f>
        <v>0</v>
      </c>
      <c r="CX252" s="28">
        <f>IF(CX250=1,IF(INDEX('Lease Cycles'!$EF$22:$EL$22,1,CX248)=1,'Lease Cycles'!$C$22*INDEX('Lease Cycles'!$ET$22:$EZ$22,1,CX248)*(1+'Lease Cycles'!$V$22)^INT(INT(CX249/12)/'Lease Cycles'!$W$22)/12,0),0)</f>
        <v>0</v>
      </c>
      <c r="CY252" s="28">
        <f>IF(CY250=1,IF(INDEX('Lease Cycles'!$EF$22:$EL$22,1,CY248)=1,'Lease Cycles'!$C$22*INDEX('Lease Cycles'!$ET$22:$EZ$22,1,CY248)*(1+'Lease Cycles'!$V$22)^INT(INT(CY249/12)/'Lease Cycles'!$W$22)/12,0),0)</f>
        <v>0</v>
      </c>
      <c r="CZ252" s="28">
        <f>IF(CZ250=1,IF(INDEX('Lease Cycles'!$EF$22:$EL$22,1,CZ248)=1,'Lease Cycles'!$C$22*INDEX('Lease Cycles'!$ET$22:$EZ$22,1,CZ248)*(1+'Lease Cycles'!$V$22)^INT(INT(CZ249/12)/'Lease Cycles'!$W$22)/12,0),0)</f>
        <v>0</v>
      </c>
      <c r="DA252" s="28">
        <f>IF(DA250=1,IF(INDEX('Lease Cycles'!$EF$22:$EL$22,1,DA248)=1,'Lease Cycles'!$C$22*INDEX('Lease Cycles'!$ET$22:$EZ$22,1,DA248)*(1+'Lease Cycles'!$V$22)^INT(INT(DA249/12)/'Lease Cycles'!$W$22)/12,0),0)</f>
        <v>0</v>
      </c>
      <c r="DB252" s="28">
        <f>IF(DB250=1,IF(INDEX('Lease Cycles'!$EF$22:$EL$22,1,DB248)=1,'Lease Cycles'!$C$22*INDEX('Lease Cycles'!$ET$22:$EZ$22,1,DB248)*(1+'Lease Cycles'!$V$22)^INT(INT(DB249/12)/'Lease Cycles'!$W$22)/12,0),0)</f>
        <v>0</v>
      </c>
      <c r="DC252" s="28">
        <f>IF(DC250=1,IF(INDEX('Lease Cycles'!$EF$22:$EL$22,1,DC248)=1,'Lease Cycles'!$C$22*INDEX('Lease Cycles'!$ET$22:$EZ$22,1,DC248)*(1+'Lease Cycles'!$V$22)^INT(INT(DC249/12)/'Lease Cycles'!$W$22)/12,0),0)</f>
        <v>0</v>
      </c>
      <c r="DD252" s="28">
        <f>IF(DD250=1,IF(INDEX('Lease Cycles'!$EF$22:$EL$22,1,DD248)=1,'Lease Cycles'!$C$22*INDEX('Lease Cycles'!$ET$22:$EZ$22,1,DD248)*(1+'Lease Cycles'!$V$22)^INT(INT(DD249/12)/'Lease Cycles'!$W$22)/12,0),0)</f>
        <v>0</v>
      </c>
      <c r="DE252" s="28">
        <f>IF(DE250=1,IF(INDEX('Lease Cycles'!$EF$22:$EL$22,1,DE248)=1,'Lease Cycles'!$C$22*INDEX('Lease Cycles'!$ET$22:$EZ$22,1,DE248)*(1+'Lease Cycles'!$V$22)^INT(INT(DE249/12)/'Lease Cycles'!$W$22)/12,0),0)</f>
        <v>0</v>
      </c>
      <c r="DF252" s="28">
        <f>IF(DF250=1,IF(INDEX('Lease Cycles'!$EF$22:$EL$22,1,DF248)=1,'Lease Cycles'!$C$22*INDEX('Lease Cycles'!$ET$22:$EZ$22,1,DF248)*(1+'Lease Cycles'!$V$22)^INT(INT(DF249/12)/'Lease Cycles'!$W$22)/12,0),0)</f>
        <v>0</v>
      </c>
      <c r="DG252" s="28">
        <f>IF(DG250=1,IF(INDEX('Lease Cycles'!$EF$22:$EL$22,1,DG248)=1,'Lease Cycles'!$C$22*INDEX('Lease Cycles'!$ET$22:$EZ$22,1,DG248)*(1+'Lease Cycles'!$V$22)^INT(INT(DG249/12)/'Lease Cycles'!$W$22)/12,0),0)</f>
        <v>0</v>
      </c>
      <c r="DH252" s="28">
        <f>IF(DH250=1,IF(INDEX('Lease Cycles'!$EF$22:$EL$22,1,DH248)=1,'Lease Cycles'!$C$22*INDEX('Lease Cycles'!$ET$22:$EZ$22,1,DH248)*(1+'Lease Cycles'!$V$22)^INT(INT(DH249/12)/'Lease Cycles'!$W$22)/12,0),0)</f>
        <v>0</v>
      </c>
      <c r="DI252" s="28">
        <f>IF(DI250=1,IF(INDEX('Lease Cycles'!$EF$22:$EL$22,1,DI248)=1,'Lease Cycles'!$C$22*INDEX('Lease Cycles'!$ET$22:$EZ$22,1,DI248)*(1+'Lease Cycles'!$V$22)^INT(INT(DI249/12)/'Lease Cycles'!$W$22)/12,0),0)</f>
        <v>0</v>
      </c>
      <c r="DJ252" s="28">
        <f>IF(DJ250=1,IF(INDEX('Lease Cycles'!$EF$22:$EL$22,1,DJ248)=1,'Lease Cycles'!$C$22*INDEX('Lease Cycles'!$ET$22:$EZ$22,1,DJ248)*(1+'Lease Cycles'!$V$22)^INT(INT(DJ249/12)/'Lease Cycles'!$W$22)/12,0),0)</f>
        <v>0</v>
      </c>
      <c r="DK252" s="28">
        <f>IF(DK250=1,IF(INDEX('Lease Cycles'!$EF$22:$EL$22,1,DK248)=1,'Lease Cycles'!$C$22*INDEX('Lease Cycles'!$ET$22:$EZ$22,1,DK248)*(1+'Lease Cycles'!$V$22)^INT(INT(DK249/12)/'Lease Cycles'!$W$22)/12,0),0)</f>
        <v>0</v>
      </c>
      <c r="DL252" s="28">
        <f>IF(DL250=1,IF(INDEX('Lease Cycles'!$EF$22:$EL$22,1,DL248)=1,'Lease Cycles'!$C$22*INDEX('Lease Cycles'!$ET$22:$EZ$22,1,DL248)*(1+'Lease Cycles'!$V$22)^INT(INT(DL249/12)/'Lease Cycles'!$W$22)/12,0),0)</f>
        <v>0</v>
      </c>
      <c r="DM252" s="28">
        <f>IF(DM250=1,IF(INDEX('Lease Cycles'!$EF$22:$EL$22,1,DM248)=1,'Lease Cycles'!$C$22*INDEX('Lease Cycles'!$ET$22:$EZ$22,1,DM248)*(1+'Lease Cycles'!$V$22)^INT(INT(DM249/12)/'Lease Cycles'!$W$22)/12,0),0)</f>
        <v>0</v>
      </c>
      <c r="DN252" s="28">
        <f>IF(DN250=1,IF(INDEX('Lease Cycles'!$EF$22:$EL$22,1,DN248)=1,'Lease Cycles'!$C$22*INDEX('Lease Cycles'!$ET$22:$EZ$22,1,DN248)*(1+'Lease Cycles'!$V$22)^INT(INT(DN249/12)/'Lease Cycles'!$W$22)/12,0),0)</f>
        <v>0</v>
      </c>
      <c r="DO252" s="28">
        <f>IF(DO250=1,IF(INDEX('Lease Cycles'!$EF$22:$EL$22,1,DO248)=1,'Lease Cycles'!$C$22*INDEX('Lease Cycles'!$ET$22:$EZ$22,1,DO248)*(1+'Lease Cycles'!$V$22)^INT(INT(DO249/12)/'Lease Cycles'!$W$22)/12,0),0)</f>
        <v>0</v>
      </c>
      <c r="DP252" s="28">
        <f>IF(DP250=1,IF(INDEX('Lease Cycles'!$EF$22:$EL$22,1,DP248)=1,'Lease Cycles'!$C$22*INDEX('Lease Cycles'!$ET$22:$EZ$22,1,DP248)*(1+'Lease Cycles'!$V$22)^INT(INT(DP249/12)/'Lease Cycles'!$W$22)/12,0),0)</f>
        <v>0</v>
      </c>
      <c r="DQ252" s="28">
        <f>IF(DQ250=1,IF(INDEX('Lease Cycles'!$EF$22:$EL$22,1,DQ248)=1,'Lease Cycles'!$C$22*INDEX('Lease Cycles'!$ET$22:$EZ$22,1,DQ248)*(1+'Lease Cycles'!$V$22)^INT(INT(DQ249/12)/'Lease Cycles'!$W$22)/12,0),0)</f>
        <v>0</v>
      </c>
      <c r="DR252" s="28">
        <f>IF(DR250=1,IF(INDEX('Lease Cycles'!$EF$22:$EL$22,1,DR248)=1,'Lease Cycles'!$C$22*INDEX('Lease Cycles'!$ET$22:$EZ$22,1,DR248)*(1+'Lease Cycles'!$V$22)^INT(INT(DR249/12)/'Lease Cycles'!$W$22)/12,0),0)</f>
        <v>0</v>
      </c>
      <c r="DS252" s="28">
        <f>IF(DS250=1,IF(INDEX('Lease Cycles'!$EF$22:$EL$22,1,DS248)=1,'Lease Cycles'!$C$22*INDEX('Lease Cycles'!$ET$22:$EZ$22,1,DS248)*(1+'Lease Cycles'!$V$22)^INT(INT(DS249/12)/'Lease Cycles'!$W$22)/12,0),0)</f>
        <v>0</v>
      </c>
      <c r="DT252" s="28">
        <f>IF(DT250=1,IF(INDEX('Lease Cycles'!$EF$22:$EL$22,1,DT248)=1,'Lease Cycles'!$C$22*INDEX('Lease Cycles'!$ET$22:$EZ$22,1,DT248)*(1+'Lease Cycles'!$V$22)^INT(INT(DT249/12)/'Lease Cycles'!$W$22)/12,0),0)</f>
        <v>0</v>
      </c>
      <c r="DU252" s="28">
        <f>IF(DU250=1,IF(INDEX('Lease Cycles'!$EF$22:$EL$22,1,DU248)=1,'Lease Cycles'!$C$22*INDEX('Lease Cycles'!$ET$22:$EZ$22,1,DU248)*(1+'Lease Cycles'!$V$22)^INT(INT(DU249/12)/'Lease Cycles'!$W$22)/12,0),0)</f>
        <v>0</v>
      </c>
      <c r="DV252" s="28">
        <f>IF(DV250=1,IF(INDEX('Lease Cycles'!$EF$22:$EL$22,1,DV248)=1,'Lease Cycles'!$C$22*INDEX('Lease Cycles'!$ET$22:$EZ$22,1,DV248)*(1+'Lease Cycles'!$V$22)^INT(INT(DV249/12)/'Lease Cycles'!$W$22)/12,0),0)</f>
        <v>0</v>
      </c>
      <c r="DW252" s="28">
        <f>IF(DW250=1,IF(INDEX('Lease Cycles'!$EF$22:$EL$22,1,DW248)=1,'Lease Cycles'!$C$22*INDEX('Lease Cycles'!$ET$22:$EZ$22,1,DW248)*(1+'Lease Cycles'!$V$22)^INT(INT(DW249/12)/'Lease Cycles'!$W$22)/12,0),0)</f>
        <v>0</v>
      </c>
      <c r="DX252" s="28">
        <f>IF(DX250=1,IF(INDEX('Lease Cycles'!$EF$22:$EL$22,1,DX248)=1,'Lease Cycles'!$C$22*INDEX('Lease Cycles'!$ET$22:$EZ$22,1,DX248)*(1+'Lease Cycles'!$V$22)^INT(INT(DX249/12)/'Lease Cycles'!$W$22)/12,0),0)</f>
        <v>0</v>
      </c>
      <c r="DY252" s="28">
        <f>IF(DY250=1,IF(INDEX('Lease Cycles'!$EF$22:$EL$22,1,DY248)=1,'Lease Cycles'!$C$22*INDEX('Lease Cycles'!$ET$22:$EZ$22,1,DY248)*(1+'Lease Cycles'!$V$22)^INT(INT(DY249/12)/'Lease Cycles'!$W$22)/12,0),0)</f>
        <v>0</v>
      </c>
      <c r="DZ252" s="28">
        <f>IF(DZ250=1,IF(INDEX('Lease Cycles'!$EF$22:$EL$22,1,DZ248)=1,'Lease Cycles'!$C$22*INDEX('Lease Cycles'!$ET$22:$EZ$22,1,DZ248)*(1+'Lease Cycles'!$V$22)^INT(INT(DZ249/12)/'Lease Cycles'!$W$22)/12,0),0)</f>
        <v>0</v>
      </c>
      <c r="EA252" s="28">
        <f>IF(EA250=1,IF(INDEX('Lease Cycles'!$EF$22:$EL$22,1,EA248)=1,'Lease Cycles'!$C$22*INDEX('Lease Cycles'!$ET$22:$EZ$22,1,EA248)*(1+'Lease Cycles'!$V$22)^INT(INT(EA249/12)/'Lease Cycles'!$W$22)/12,0),0)</f>
        <v>0</v>
      </c>
      <c r="EB252" s="28">
        <f>IF(EB250=1,IF(INDEX('Lease Cycles'!$EF$22:$EL$22,1,EB248)=1,'Lease Cycles'!$C$22*INDEX('Lease Cycles'!$ET$22:$EZ$22,1,EB248)*(1+'Lease Cycles'!$V$22)^INT(INT(EB249/12)/'Lease Cycles'!$W$22)/12,0),0)</f>
        <v>0</v>
      </c>
      <c r="EC252" s="28">
        <f>IF(EC250=1,IF(INDEX('Lease Cycles'!$EF$22:$EL$22,1,EC248)=1,'Lease Cycles'!$C$22*INDEX('Lease Cycles'!$ET$22:$EZ$22,1,EC248)*(1+'Lease Cycles'!$V$22)^INT(INT(EC249/12)/'Lease Cycles'!$W$22)/12,0),0)</f>
        <v>0</v>
      </c>
      <c r="ED252" s="28">
        <f>IF(ED250=1,IF(INDEX('Lease Cycles'!$EF$22:$EL$22,1,ED248)=1,'Lease Cycles'!$C$22*INDEX('Lease Cycles'!$ET$22:$EZ$22,1,ED248)*(1+'Lease Cycles'!$V$22)^INT(INT(ED249/12)/'Lease Cycles'!$W$22)/12,0),0)</f>
        <v>0</v>
      </c>
      <c r="EE252" s="28">
        <f>IF(EE250=1,IF(INDEX('Lease Cycles'!$EF$22:$EL$22,1,EE248)=1,'Lease Cycles'!$C$22*INDEX('Lease Cycles'!$ET$22:$EZ$22,1,EE248)*(1+'Lease Cycles'!$V$22)^INT(INT(EE249/12)/'Lease Cycles'!$W$22)/12,0),0)</f>
        <v>0</v>
      </c>
      <c r="EF252" s="28">
        <f>IF(EF250=1,IF(INDEX('Lease Cycles'!$EF$22:$EL$22,1,EF248)=1,'Lease Cycles'!$C$22*INDEX('Lease Cycles'!$ET$22:$EZ$22,1,EF248)*(1+'Lease Cycles'!$V$22)^INT(INT(EF249/12)/'Lease Cycles'!$W$22)/12,0),0)</f>
        <v>0</v>
      </c>
      <c r="EG252" s="28">
        <f>IF(EG250=1,IF(INDEX('Lease Cycles'!$EF$22:$EL$22,1,EG248)=1,'Lease Cycles'!$C$22*INDEX('Lease Cycles'!$ET$22:$EZ$22,1,EG248)*(1+'Lease Cycles'!$V$22)^INT(INT(EG249/12)/'Lease Cycles'!$W$22)/12,0),0)</f>
        <v>0</v>
      </c>
      <c r="EH252" s="28">
        <f>IF(EH250=1,IF(INDEX('Lease Cycles'!$EF$22:$EL$22,1,EH248)=1,'Lease Cycles'!$C$22*INDEX('Lease Cycles'!$ET$22:$EZ$22,1,EH248)*(1+'Lease Cycles'!$V$22)^INT(INT(EH249/12)/'Lease Cycles'!$W$22)/12,0),0)</f>
        <v>0</v>
      </c>
      <c r="EI252" s="28">
        <f>IF(EI250=1,IF(INDEX('Lease Cycles'!$EF$22:$EL$22,1,EI248)=1,'Lease Cycles'!$C$22*INDEX('Lease Cycles'!$ET$22:$EZ$22,1,EI248)*(1+'Lease Cycles'!$V$22)^INT(INT(EI249/12)/'Lease Cycles'!$W$22)/12,0),0)</f>
        <v>0</v>
      </c>
      <c r="EJ252" s="28">
        <f>IF(EJ250=1,IF(INDEX('Lease Cycles'!$EF$22:$EL$22,1,EJ248)=1,'Lease Cycles'!$C$22*INDEX('Lease Cycles'!$ET$22:$EZ$22,1,EJ248)*(1+'Lease Cycles'!$V$22)^INT(INT(EJ249/12)/'Lease Cycles'!$W$22)/12,0),0)</f>
        <v>0</v>
      </c>
      <c r="EK252" s="28">
        <f>IF(EK250=1,IF(INDEX('Lease Cycles'!$EF$22:$EL$22,1,EK248)=1,'Lease Cycles'!$C$22*INDEX('Lease Cycles'!$ET$22:$EZ$22,1,EK248)*(1+'Lease Cycles'!$V$22)^INT(INT(EK249/12)/'Lease Cycles'!$W$22)/12,0),0)</f>
        <v>0</v>
      </c>
      <c r="EL252" s="28">
        <f>IF(EL250=1,IF(INDEX('Lease Cycles'!$EF$22:$EL$22,1,EL248)=1,'Lease Cycles'!$C$22*INDEX('Lease Cycles'!$ET$22:$EZ$22,1,EL248)*(1+'Lease Cycles'!$V$22)^INT(INT(EL249/12)/'Lease Cycles'!$W$22)/12,0),0)</f>
        <v>0</v>
      </c>
      <c r="EM252" s="28">
        <f>IF(EM250=1,IF(INDEX('Lease Cycles'!$EF$22:$EL$22,1,EM248)=1,'Lease Cycles'!$C$22*INDEX('Lease Cycles'!$ET$22:$EZ$22,1,EM248)*(1+'Lease Cycles'!$V$22)^INT(INT(EM249/12)/'Lease Cycles'!$W$22)/12,0),0)</f>
        <v>0</v>
      </c>
      <c r="EN252" s="28">
        <f>IF(EN250=1,IF(INDEX('Lease Cycles'!$EF$22:$EL$22,1,EN248)=1,'Lease Cycles'!$C$22*INDEX('Lease Cycles'!$ET$22:$EZ$22,1,EN248)*(1+'Lease Cycles'!$V$22)^INT(INT(EN249/12)/'Lease Cycles'!$W$22)/12,0),0)</f>
        <v>0</v>
      </c>
      <c r="EO252" s="28">
        <f>IF(EO250=1,IF(INDEX('Lease Cycles'!$EF$22:$EL$22,1,EO248)=1,'Lease Cycles'!$C$22*INDEX('Lease Cycles'!$ET$22:$EZ$22,1,EO248)*(1+'Lease Cycles'!$V$22)^INT(INT(EO249/12)/'Lease Cycles'!$W$22)/12,0),0)</f>
        <v>0</v>
      </c>
      <c r="EP252" s="28">
        <f>IF(EP250=1,IF(INDEX('Lease Cycles'!$EF$22:$EL$22,1,EP248)=1,'Lease Cycles'!$C$22*INDEX('Lease Cycles'!$ET$22:$EZ$22,1,EP248)*(1+'Lease Cycles'!$V$22)^INT(INT(EP249/12)/'Lease Cycles'!$W$22)/12,0),0)</f>
        <v>0</v>
      </c>
      <c r="EQ252" s="28">
        <f>IF(EQ250=1,IF(INDEX('Lease Cycles'!$EF$22:$EL$22,1,EQ248)=1,'Lease Cycles'!$C$22*INDEX('Lease Cycles'!$ET$22:$EZ$22,1,EQ248)*(1+'Lease Cycles'!$V$22)^INT(INT(EQ249/12)/'Lease Cycles'!$W$22)/12,0),0)</f>
        <v>0</v>
      </c>
      <c r="ER252" s="28">
        <f>IF(ER250=1,IF(INDEX('Lease Cycles'!$EF$22:$EL$22,1,ER248)=1,'Lease Cycles'!$C$22*INDEX('Lease Cycles'!$ET$22:$EZ$22,1,ER248)*(1+'Lease Cycles'!$V$22)^INT(INT(ER249/12)/'Lease Cycles'!$W$22)/12,0),0)</f>
        <v>0</v>
      </c>
      <c r="ES252" s="28">
        <f>IF(ES250=1,IF(INDEX('Lease Cycles'!$EF$22:$EL$22,1,ES248)=1,'Lease Cycles'!$C$22*INDEX('Lease Cycles'!$ET$22:$EZ$22,1,ES248)*(1+'Lease Cycles'!$V$22)^INT(INT(ES249/12)/'Lease Cycles'!$W$22)/12,0),0)</f>
        <v>0</v>
      </c>
      <c r="ET252" s="28">
        <f>IF(ET250=1,IF(INDEX('Lease Cycles'!$EF$22:$EL$22,1,ET248)=1,'Lease Cycles'!$C$22*INDEX('Lease Cycles'!$ET$22:$EZ$22,1,ET248)*(1+'Lease Cycles'!$V$22)^INT(INT(ET249/12)/'Lease Cycles'!$W$22)/12,0),0)</f>
        <v>0</v>
      </c>
    </row>
    <row r="253">
      <c r="A253" s="103">
        <v>15</v>
      </c>
      <c r="B253" s="23" t="str">
        <f>IF('Lease Cycles'!$B$22="","(empty slot)",'Lease Cycles'!$B$22)</f>
        <v>(empty slot)</v>
      </c>
      <c r="C253" s="23" t="s">
        <v>681</v>
      </c>
      <c r="D253" s="104" t="s">
        <v>490</v>
      </c>
      <c r="E253" s="25">
        <f>'Lease Cycles'!$AL$22</f>
        <v>0</v>
      </c>
      <c r="G253" s="28">
        <f>SUM(S253:AD253)</f>
        <v>0</v>
      </c>
      <c r="H253" s="28">
        <f>SUM(AE253:AP253)</f>
        <v>0</v>
      </c>
      <c r="I253" s="28">
        <f>SUM(AQ253:BB253)</f>
        <v>0</v>
      </c>
      <c r="J253" s="28">
        <f>SUM(BC253:BN253)</f>
        <v>0</v>
      </c>
      <c r="K253" s="28">
        <f>SUM(BO253:BZ253)</f>
        <v>0</v>
      </c>
      <c r="L253" s="28">
        <f>SUM(CA253:CL253)</f>
        <v>0</v>
      </c>
      <c r="M253" s="28">
        <f>SUM(CM253:CX253)</f>
        <v>0</v>
      </c>
      <c r="N253" s="28">
        <f>SUM(CY253:DJ253)</f>
        <v>0</v>
      </c>
      <c r="O253" s="28">
        <f>SUM(DK253:DV253)</f>
        <v>0</v>
      </c>
      <c r="P253" s="28">
        <f>SUM(DW253:EH253)</f>
        <v>0</v>
      </c>
      <c r="Q253" s="28">
        <f>SUM(EI253:ET253)</f>
        <v>0</v>
      </c>
      <c r="S253" s="28">
        <f>IF(S250=1,IF(INDEX('Lease Cycles'!$EF$22:$EL$22,1,S248)=1,S251*INDEX('Lease Cycles'!$EM$22:$ES$22,1,S248)+S252*(1-INDEX('Lease Cycles'!$EM$22:$ES$22,1,S248)),S251),S251)</f>
        <v>0</v>
      </c>
      <c r="T253" s="28">
        <f>IF(T250=1,IF(INDEX('Lease Cycles'!$EF$22:$EL$22,1,T248)=1,T251*INDEX('Lease Cycles'!$EM$22:$ES$22,1,T248)+T252*(1-INDEX('Lease Cycles'!$EM$22:$ES$22,1,T248)),T251),T251)</f>
        <v>0</v>
      </c>
      <c r="U253" s="28">
        <f>IF(U250=1,IF(INDEX('Lease Cycles'!$EF$22:$EL$22,1,U248)=1,U251*INDEX('Lease Cycles'!$EM$22:$ES$22,1,U248)+U252*(1-INDEX('Lease Cycles'!$EM$22:$ES$22,1,U248)),U251),U251)</f>
        <v>0</v>
      </c>
      <c r="V253" s="28">
        <f>IF(V250=1,IF(INDEX('Lease Cycles'!$EF$22:$EL$22,1,V248)=1,V251*INDEX('Lease Cycles'!$EM$22:$ES$22,1,V248)+V252*(1-INDEX('Lease Cycles'!$EM$22:$ES$22,1,V248)),V251),V251)</f>
        <v>0</v>
      </c>
      <c r="W253" s="28">
        <f>IF(W250=1,IF(INDEX('Lease Cycles'!$EF$22:$EL$22,1,W248)=1,W251*INDEX('Lease Cycles'!$EM$22:$ES$22,1,W248)+W252*(1-INDEX('Lease Cycles'!$EM$22:$ES$22,1,W248)),W251),W251)</f>
        <v>0</v>
      </c>
      <c r="X253" s="28">
        <f>IF(X250=1,IF(INDEX('Lease Cycles'!$EF$22:$EL$22,1,X248)=1,X251*INDEX('Lease Cycles'!$EM$22:$ES$22,1,X248)+X252*(1-INDEX('Lease Cycles'!$EM$22:$ES$22,1,X248)),X251),X251)</f>
        <v>0</v>
      </c>
      <c r="Y253" s="28">
        <f>IF(Y250=1,IF(INDEX('Lease Cycles'!$EF$22:$EL$22,1,Y248)=1,Y251*INDEX('Lease Cycles'!$EM$22:$ES$22,1,Y248)+Y252*(1-INDEX('Lease Cycles'!$EM$22:$ES$22,1,Y248)),Y251),Y251)</f>
        <v>0</v>
      </c>
      <c r="Z253" s="28">
        <f>IF(Z250=1,IF(INDEX('Lease Cycles'!$EF$22:$EL$22,1,Z248)=1,Z251*INDEX('Lease Cycles'!$EM$22:$ES$22,1,Z248)+Z252*(1-INDEX('Lease Cycles'!$EM$22:$ES$22,1,Z248)),Z251),Z251)</f>
        <v>0</v>
      </c>
      <c r="AA253" s="28">
        <f>IF(AA250=1,IF(INDEX('Lease Cycles'!$EF$22:$EL$22,1,AA248)=1,AA251*INDEX('Lease Cycles'!$EM$22:$ES$22,1,AA248)+AA252*(1-INDEX('Lease Cycles'!$EM$22:$ES$22,1,AA248)),AA251),AA251)</f>
        <v>0</v>
      </c>
      <c r="AB253" s="28">
        <f>IF(AB250=1,IF(INDEX('Lease Cycles'!$EF$22:$EL$22,1,AB248)=1,AB251*INDEX('Lease Cycles'!$EM$22:$ES$22,1,AB248)+AB252*(1-INDEX('Lease Cycles'!$EM$22:$ES$22,1,AB248)),AB251),AB251)</f>
        <v>0</v>
      </c>
      <c r="AC253" s="28">
        <f>IF(AC250=1,IF(INDEX('Lease Cycles'!$EF$22:$EL$22,1,AC248)=1,AC251*INDEX('Lease Cycles'!$EM$22:$ES$22,1,AC248)+AC252*(1-INDEX('Lease Cycles'!$EM$22:$ES$22,1,AC248)),AC251),AC251)</f>
        <v>0</v>
      </c>
      <c r="AD253" s="28">
        <f>IF(AD250=1,IF(INDEX('Lease Cycles'!$EF$22:$EL$22,1,AD248)=1,AD251*INDEX('Lease Cycles'!$EM$22:$ES$22,1,AD248)+AD252*(1-INDEX('Lease Cycles'!$EM$22:$ES$22,1,AD248)),AD251),AD251)</f>
        <v>0</v>
      </c>
      <c r="AE253" s="28">
        <f>IF(AE250=1,IF(INDEX('Lease Cycles'!$EF$22:$EL$22,1,AE248)=1,AE251*INDEX('Lease Cycles'!$EM$22:$ES$22,1,AE248)+AE252*(1-INDEX('Lease Cycles'!$EM$22:$ES$22,1,AE248)),AE251),AE251)</f>
        <v>0</v>
      </c>
      <c r="AF253" s="28">
        <f>IF(AF250=1,IF(INDEX('Lease Cycles'!$EF$22:$EL$22,1,AF248)=1,AF251*INDEX('Lease Cycles'!$EM$22:$ES$22,1,AF248)+AF252*(1-INDEX('Lease Cycles'!$EM$22:$ES$22,1,AF248)),AF251),AF251)</f>
        <v>0</v>
      </c>
      <c r="AG253" s="28">
        <f>IF(AG250=1,IF(INDEX('Lease Cycles'!$EF$22:$EL$22,1,AG248)=1,AG251*INDEX('Lease Cycles'!$EM$22:$ES$22,1,AG248)+AG252*(1-INDEX('Lease Cycles'!$EM$22:$ES$22,1,AG248)),AG251),AG251)</f>
        <v>0</v>
      </c>
      <c r="AH253" s="28">
        <f>IF(AH250=1,IF(INDEX('Lease Cycles'!$EF$22:$EL$22,1,AH248)=1,AH251*INDEX('Lease Cycles'!$EM$22:$ES$22,1,AH248)+AH252*(1-INDEX('Lease Cycles'!$EM$22:$ES$22,1,AH248)),AH251),AH251)</f>
        <v>0</v>
      </c>
      <c r="AI253" s="28">
        <f>IF(AI250=1,IF(INDEX('Lease Cycles'!$EF$22:$EL$22,1,AI248)=1,AI251*INDEX('Lease Cycles'!$EM$22:$ES$22,1,AI248)+AI252*(1-INDEX('Lease Cycles'!$EM$22:$ES$22,1,AI248)),AI251),AI251)</f>
        <v>0</v>
      </c>
      <c r="AJ253" s="28">
        <f>IF(AJ250=1,IF(INDEX('Lease Cycles'!$EF$22:$EL$22,1,AJ248)=1,AJ251*INDEX('Lease Cycles'!$EM$22:$ES$22,1,AJ248)+AJ252*(1-INDEX('Lease Cycles'!$EM$22:$ES$22,1,AJ248)),AJ251),AJ251)</f>
        <v>0</v>
      </c>
      <c r="AK253" s="28">
        <f>IF(AK250=1,IF(INDEX('Lease Cycles'!$EF$22:$EL$22,1,AK248)=1,AK251*INDEX('Lease Cycles'!$EM$22:$ES$22,1,AK248)+AK252*(1-INDEX('Lease Cycles'!$EM$22:$ES$22,1,AK248)),AK251),AK251)</f>
        <v>0</v>
      </c>
      <c r="AL253" s="28">
        <f>IF(AL250=1,IF(INDEX('Lease Cycles'!$EF$22:$EL$22,1,AL248)=1,AL251*INDEX('Lease Cycles'!$EM$22:$ES$22,1,AL248)+AL252*(1-INDEX('Lease Cycles'!$EM$22:$ES$22,1,AL248)),AL251),AL251)</f>
        <v>0</v>
      </c>
      <c r="AM253" s="28">
        <f>IF(AM250=1,IF(INDEX('Lease Cycles'!$EF$22:$EL$22,1,AM248)=1,AM251*INDEX('Lease Cycles'!$EM$22:$ES$22,1,AM248)+AM252*(1-INDEX('Lease Cycles'!$EM$22:$ES$22,1,AM248)),AM251),AM251)</f>
        <v>0</v>
      </c>
      <c r="AN253" s="28">
        <f>IF(AN250=1,IF(INDEX('Lease Cycles'!$EF$22:$EL$22,1,AN248)=1,AN251*INDEX('Lease Cycles'!$EM$22:$ES$22,1,AN248)+AN252*(1-INDEX('Lease Cycles'!$EM$22:$ES$22,1,AN248)),AN251),AN251)</f>
        <v>0</v>
      </c>
      <c r="AO253" s="28">
        <f>IF(AO250=1,IF(INDEX('Lease Cycles'!$EF$22:$EL$22,1,AO248)=1,AO251*INDEX('Lease Cycles'!$EM$22:$ES$22,1,AO248)+AO252*(1-INDEX('Lease Cycles'!$EM$22:$ES$22,1,AO248)),AO251),AO251)</f>
        <v>0</v>
      </c>
      <c r="AP253" s="28">
        <f>IF(AP250=1,IF(INDEX('Lease Cycles'!$EF$22:$EL$22,1,AP248)=1,AP251*INDEX('Lease Cycles'!$EM$22:$ES$22,1,AP248)+AP252*(1-INDEX('Lease Cycles'!$EM$22:$ES$22,1,AP248)),AP251),AP251)</f>
        <v>0</v>
      </c>
      <c r="AQ253" s="28">
        <f>IF(AQ250=1,IF(INDEX('Lease Cycles'!$EF$22:$EL$22,1,AQ248)=1,AQ251*INDEX('Lease Cycles'!$EM$22:$ES$22,1,AQ248)+AQ252*(1-INDEX('Lease Cycles'!$EM$22:$ES$22,1,AQ248)),AQ251),AQ251)</f>
        <v>0</v>
      </c>
      <c r="AR253" s="28">
        <f>IF(AR250=1,IF(INDEX('Lease Cycles'!$EF$22:$EL$22,1,AR248)=1,AR251*INDEX('Lease Cycles'!$EM$22:$ES$22,1,AR248)+AR252*(1-INDEX('Lease Cycles'!$EM$22:$ES$22,1,AR248)),AR251),AR251)</f>
        <v>0</v>
      </c>
      <c r="AS253" s="28">
        <f>IF(AS250=1,IF(INDEX('Lease Cycles'!$EF$22:$EL$22,1,AS248)=1,AS251*INDEX('Lease Cycles'!$EM$22:$ES$22,1,AS248)+AS252*(1-INDEX('Lease Cycles'!$EM$22:$ES$22,1,AS248)),AS251),AS251)</f>
        <v>0</v>
      </c>
      <c r="AT253" s="28">
        <f>IF(AT250=1,IF(INDEX('Lease Cycles'!$EF$22:$EL$22,1,AT248)=1,AT251*INDEX('Lease Cycles'!$EM$22:$ES$22,1,AT248)+AT252*(1-INDEX('Lease Cycles'!$EM$22:$ES$22,1,AT248)),AT251),AT251)</f>
        <v>0</v>
      </c>
      <c r="AU253" s="28">
        <f>IF(AU250=1,IF(INDEX('Lease Cycles'!$EF$22:$EL$22,1,AU248)=1,AU251*INDEX('Lease Cycles'!$EM$22:$ES$22,1,AU248)+AU252*(1-INDEX('Lease Cycles'!$EM$22:$ES$22,1,AU248)),AU251),AU251)</f>
        <v>0</v>
      </c>
      <c r="AV253" s="28">
        <f>IF(AV250=1,IF(INDEX('Lease Cycles'!$EF$22:$EL$22,1,AV248)=1,AV251*INDEX('Lease Cycles'!$EM$22:$ES$22,1,AV248)+AV252*(1-INDEX('Lease Cycles'!$EM$22:$ES$22,1,AV248)),AV251),AV251)</f>
        <v>0</v>
      </c>
      <c r="AW253" s="28">
        <f>IF(AW250=1,IF(INDEX('Lease Cycles'!$EF$22:$EL$22,1,AW248)=1,AW251*INDEX('Lease Cycles'!$EM$22:$ES$22,1,AW248)+AW252*(1-INDEX('Lease Cycles'!$EM$22:$ES$22,1,AW248)),AW251),AW251)</f>
        <v>0</v>
      </c>
      <c r="AX253" s="28">
        <f>IF(AX250=1,IF(INDEX('Lease Cycles'!$EF$22:$EL$22,1,AX248)=1,AX251*INDEX('Lease Cycles'!$EM$22:$ES$22,1,AX248)+AX252*(1-INDEX('Lease Cycles'!$EM$22:$ES$22,1,AX248)),AX251),AX251)</f>
        <v>0</v>
      </c>
      <c r="AY253" s="28">
        <f>IF(AY250=1,IF(INDEX('Lease Cycles'!$EF$22:$EL$22,1,AY248)=1,AY251*INDEX('Lease Cycles'!$EM$22:$ES$22,1,AY248)+AY252*(1-INDEX('Lease Cycles'!$EM$22:$ES$22,1,AY248)),AY251),AY251)</f>
        <v>0</v>
      </c>
      <c r="AZ253" s="28">
        <f>IF(AZ250=1,IF(INDEX('Lease Cycles'!$EF$22:$EL$22,1,AZ248)=1,AZ251*INDEX('Lease Cycles'!$EM$22:$ES$22,1,AZ248)+AZ252*(1-INDEX('Lease Cycles'!$EM$22:$ES$22,1,AZ248)),AZ251),AZ251)</f>
        <v>0</v>
      </c>
      <c r="BA253" s="28">
        <f>IF(BA250=1,IF(INDEX('Lease Cycles'!$EF$22:$EL$22,1,BA248)=1,BA251*INDEX('Lease Cycles'!$EM$22:$ES$22,1,BA248)+BA252*(1-INDEX('Lease Cycles'!$EM$22:$ES$22,1,BA248)),BA251),BA251)</f>
        <v>0</v>
      </c>
      <c r="BB253" s="28">
        <f>IF(BB250=1,IF(INDEX('Lease Cycles'!$EF$22:$EL$22,1,BB248)=1,BB251*INDEX('Lease Cycles'!$EM$22:$ES$22,1,BB248)+BB252*(1-INDEX('Lease Cycles'!$EM$22:$ES$22,1,BB248)),BB251),BB251)</f>
        <v>0</v>
      </c>
      <c r="BC253" s="28">
        <f>IF(BC250=1,IF(INDEX('Lease Cycles'!$EF$22:$EL$22,1,BC248)=1,BC251*INDEX('Lease Cycles'!$EM$22:$ES$22,1,BC248)+BC252*(1-INDEX('Lease Cycles'!$EM$22:$ES$22,1,BC248)),BC251),BC251)</f>
        <v>0</v>
      </c>
      <c r="BD253" s="28">
        <f>IF(BD250=1,IF(INDEX('Lease Cycles'!$EF$22:$EL$22,1,BD248)=1,BD251*INDEX('Lease Cycles'!$EM$22:$ES$22,1,BD248)+BD252*(1-INDEX('Lease Cycles'!$EM$22:$ES$22,1,BD248)),BD251),BD251)</f>
        <v>0</v>
      </c>
      <c r="BE253" s="28">
        <f>IF(BE250=1,IF(INDEX('Lease Cycles'!$EF$22:$EL$22,1,BE248)=1,BE251*INDEX('Lease Cycles'!$EM$22:$ES$22,1,BE248)+BE252*(1-INDEX('Lease Cycles'!$EM$22:$ES$22,1,BE248)),BE251),BE251)</f>
        <v>0</v>
      </c>
      <c r="BF253" s="28">
        <f>IF(BF250=1,IF(INDEX('Lease Cycles'!$EF$22:$EL$22,1,BF248)=1,BF251*INDEX('Lease Cycles'!$EM$22:$ES$22,1,BF248)+BF252*(1-INDEX('Lease Cycles'!$EM$22:$ES$22,1,BF248)),BF251),BF251)</f>
        <v>0</v>
      </c>
      <c r="BG253" s="28">
        <f>IF(BG250=1,IF(INDEX('Lease Cycles'!$EF$22:$EL$22,1,BG248)=1,BG251*INDEX('Lease Cycles'!$EM$22:$ES$22,1,BG248)+BG252*(1-INDEX('Lease Cycles'!$EM$22:$ES$22,1,BG248)),BG251),BG251)</f>
        <v>0</v>
      </c>
      <c r="BH253" s="28">
        <f>IF(BH250=1,IF(INDEX('Lease Cycles'!$EF$22:$EL$22,1,BH248)=1,BH251*INDEX('Lease Cycles'!$EM$22:$ES$22,1,BH248)+BH252*(1-INDEX('Lease Cycles'!$EM$22:$ES$22,1,BH248)),BH251),BH251)</f>
        <v>0</v>
      </c>
      <c r="BI253" s="28">
        <f>IF(BI250=1,IF(INDEX('Lease Cycles'!$EF$22:$EL$22,1,BI248)=1,BI251*INDEX('Lease Cycles'!$EM$22:$ES$22,1,BI248)+BI252*(1-INDEX('Lease Cycles'!$EM$22:$ES$22,1,BI248)),BI251),BI251)</f>
        <v>0</v>
      </c>
      <c r="BJ253" s="28">
        <f>IF(BJ250=1,IF(INDEX('Lease Cycles'!$EF$22:$EL$22,1,BJ248)=1,BJ251*INDEX('Lease Cycles'!$EM$22:$ES$22,1,BJ248)+BJ252*(1-INDEX('Lease Cycles'!$EM$22:$ES$22,1,BJ248)),BJ251),BJ251)</f>
        <v>0</v>
      </c>
      <c r="BK253" s="28">
        <f>IF(BK250=1,IF(INDEX('Lease Cycles'!$EF$22:$EL$22,1,BK248)=1,BK251*INDEX('Lease Cycles'!$EM$22:$ES$22,1,BK248)+BK252*(1-INDEX('Lease Cycles'!$EM$22:$ES$22,1,BK248)),BK251),BK251)</f>
        <v>0</v>
      </c>
      <c r="BL253" s="28">
        <f>IF(BL250=1,IF(INDEX('Lease Cycles'!$EF$22:$EL$22,1,BL248)=1,BL251*INDEX('Lease Cycles'!$EM$22:$ES$22,1,BL248)+BL252*(1-INDEX('Lease Cycles'!$EM$22:$ES$22,1,BL248)),BL251),BL251)</f>
        <v>0</v>
      </c>
      <c r="BM253" s="28">
        <f>IF(BM250=1,IF(INDEX('Lease Cycles'!$EF$22:$EL$22,1,BM248)=1,BM251*INDEX('Lease Cycles'!$EM$22:$ES$22,1,BM248)+BM252*(1-INDEX('Lease Cycles'!$EM$22:$ES$22,1,BM248)),BM251),BM251)</f>
        <v>0</v>
      </c>
      <c r="BN253" s="28">
        <f>IF(BN250=1,IF(INDEX('Lease Cycles'!$EF$22:$EL$22,1,BN248)=1,BN251*INDEX('Lease Cycles'!$EM$22:$ES$22,1,BN248)+BN252*(1-INDEX('Lease Cycles'!$EM$22:$ES$22,1,BN248)),BN251),BN251)</f>
        <v>0</v>
      </c>
      <c r="BO253" s="28">
        <f>IF(BO250=1,IF(INDEX('Lease Cycles'!$EF$22:$EL$22,1,BO248)=1,BO251*INDEX('Lease Cycles'!$EM$22:$ES$22,1,BO248)+BO252*(1-INDEX('Lease Cycles'!$EM$22:$ES$22,1,BO248)),BO251),BO251)</f>
        <v>0</v>
      </c>
      <c r="BP253" s="28">
        <f>IF(BP250=1,IF(INDEX('Lease Cycles'!$EF$22:$EL$22,1,BP248)=1,BP251*INDEX('Lease Cycles'!$EM$22:$ES$22,1,BP248)+BP252*(1-INDEX('Lease Cycles'!$EM$22:$ES$22,1,BP248)),BP251),BP251)</f>
        <v>0</v>
      </c>
      <c r="BQ253" s="28">
        <f>IF(BQ250=1,IF(INDEX('Lease Cycles'!$EF$22:$EL$22,1,BQ248)=1,BQ251*INDEX('Lease Cycles'!$EM$22:$ES$22,1,BQ248)+BQ252*(1-INDEX('Lease Cycles'!$EM$22:$ES$22,1,BQ248)),BQ251),BQ251)</f>
        <v>0</v>
      </c>
      <c r="BR253" s="28">
        <f>IF(BR250=1,IF(INDEX('Lease Cycles'!$EF$22:$EL$22,1,BR248)=1,BR251*INDEX('Lease Cycles'!$EM$22:$ES$22,1,BR248)+BR252*(1-INDEX('Lease Cycles'!$EM$22:$ES$22,1,BR248)),BR251),BR251)</f>
        <v>0</v>
      </c>
      <c r="BS253" s="28">
        <f>IF(BS250=1,IF(INDEX('Lease Cycles'!$EF$22:$EL$22,1,BS248)=1,BS251*INDEX('Lease Cycles'!$EM$22:$ES$22,1,BS248)+BS252*(1-INDEX('Lease Cycles'!$EM$22:$ES$22,1,BS248)),BS251),BS251)</f>
        <v>0</v>
      </c>
      <c r="BT253" s="28">
        <f>IF(BT250=1,IF(INDEX('Lease Cycles'!$EF$22:$EL$22,1,BT248)=1,BT251*INDEX('Lease Cycles'!$EM$22:$ES$22,1,BT248)+BT252*(1-INDEX('Lease Cycles'!$EM$22:$ES$22,1,BT248)),BT251),BT251)</f>
        <v>0</v>
      </c>
      <c r="BU253" s="28">
        <f>IF(BU250=1,IF(INDEX('Lease Cycles'!$EF$22:$EL$22,1,BU248)=1,BU251*INDEX('Lease Cycles'!$EM$22:$ES$22,1,BU248)+BU252*(1-INDEX('Lease Cycles'!$EM$22:$ES$22,1,BU248)),BU251),BU251)</f>
        <v>0</v>
      </c>
      <c r="BV253" s="28">
        <f>IF(BV250=1,IF(INDEX('Lease Cycles'!$EF$22:$EL$22,1,BV248)=1,BV251*INDEX('Lease Cycles'!$EM$22:$ES$22,1,BV248)+BV252*(1-INDEX('Lease Cycles'!$EM$22:$ES$22,1,BV248)),BV251),BV251)</f>
        <v>0</v>
      </c>
      <c r="BW253" s="28">
        <f>IF(BW250=1,IF(INDEX('Lease Cycles'!$EF$22:$EL$22,1,BW248)=1,BW251*INDEX('Lease Cycles'!$EM$22:$ES$22,1,BW248)+BW252*(1-INDEX('Lease Cycles'!$EM$22:$ES$22,1,BW248)),BW251),BW251)</f>
        <v>0</v>
      </c>
      <c r="BX253" s="28">
        <f>IF(BX250=1,IF(INDEX('Lease Cycles'!$EF$22:$EL$22,1,BX248)=1,BX251*INDEX('Lease Cycles'!$EM$22:$ES$22,1,BX248)+BX252*(1-INDEX('Lease Cycles'!$EM$22:$ES$22,1,BX248)),BX251),BX251)</f>
        <v>0</v>
      </c>
      <c r="BY253" s="28">
        <f>IF(BY250=1,IF(INDEX('Lease Cycles'!$EF$22:$EL$22,1,BY248)=1,BY251*INDEX('Lease Cycles'!$EM$22:$ES$22,1,BY248)+BY252*(1-INDEX('Lease Cycles'!$EM$22:$ES$22,1,BY248)),BY251),BY251)</f>
        <v>0</v>
      </c>
      <c r="BZ253" s="28">
        <f>IF(BZ250=1,IF(INDEX('Lease Cycles'!$EF$22:$EL$22,1,BZ248)=1,BZ251*INDEX('Lease Cycles'!$EM$22:$ES$22,1,BZ248)+BZ252*(1-INDEX('Lease Cycles'!$EM$22:$ES$22,1,BZ248)),BZ251),BZ251)</f>
        <v>0</v>
      </c>
      <c r="CA253" s="28">
        <f>IF(CA250=1,IF(INDEX('Lease Cycles'!$EF$22:$EL$22,1,CA248)=1,CA251*INDEX('Lease Cycles'!$EM$22:$ES$22,1,CA248)+CA252*(1-INDEX('Lease Cycles'!$EM$22:$ES$22,1,CA248)),CA251),CA251)</f>
        <v>0</v>
      </c>
      <c r="CB253" s="28">
        <f>IF(CB250=1,IF(INDEX('Lease Cycles'!$EF$22:$EL$22,1,CB248)=1,CB251*INDEX('Lease Cycles'!$EM$22:$ES$22,1,CB248)+CB252*(1-INDEX('Lease Cycles'!$EM$22:$ES$22,1,CB248)),CB251),CB251)</f>
        <v>0</v>
      </c>
      <c r="CC253" s="28">
        <f>IF(CC250=1,IF(INDEX('Lease Cycles'!$EF$22:$EL$22,1,CC248)=1,CC251*INDEX('Lease Cycles'!$EM$22:$ES$22,1,CC248)+CC252*(1-INDEX('Lease Cycles'!$EM$22:$ES$22,1,CC248)),CC251),CC251)</f>
        <v>0</v>
      </c>
      <c r="CD253" s="28">
        <f>IF(CD250=1,IF(INDEX('Lease Cycles'!$EF$22:$EL$22,1,CD248)=1,CD251*INDEX('Lease Cycles'!$EM$22:$ES$22,1,CD248)+CD252*(1-INDEX('Lease Cycles'!$EM$22:$ES$22,1,CD248)),CD251),CD251)</f>
        <v>0</v>
      </c>
      <c r="CE253" s="28">
        <f>IF(CE250=1,IF(INDEX('Lease Cycles'!$EF$22:$EL$22,1,CE248)=1,CE251*INDEX('Lease Cycles'!$EM$22:$ES$22,1,CE248)+CE252*(1-INDEX('Lease Cycles'!$EM$22:$ES$22,1,CE248)),CE251),CE251)</f>
        <v>0</v>
      </c>
      <c r="CF253" s="28">
        <f>IF(CF250=1,IF(INDEX('Lease Cycles'!$EF$22:$EL$22,1,CF248)=1,CF251*INDEX('Lease Cycles'!$EM$22:$ES$22,1,CF248)+CF252*(1-INDEX('Lease Cycles'!$EM$22:$ES$22,1,CF248)),CF251),CF251)</f>
        <v>0</v>
      </c>
      <c r="CG253" s="28">
        <f>IF(CG250=1,IF(INDEX('Lease Cycles'!$EF$22:$EL$22,1,CG248)=1,CG251*INDEX('Lease Cycles'!$EM$22:$ES$22,1,CG248)+CG252*(1-INDEX('Lease Cycles'!$EM$22:$ES$22,1,CG248)),CG251),CG251)</f>
        <v>0</v>
      </c>
      <c r="CH253" s="28">
        <f>IF(CH250=1,IF(INDEX('Lease Cycles'!$EF$22:$EL$22,1,CH248)=1,CH251*INDEX('Lease Cycles'!$EM$22:$ES$22,1,CH248)+CH252*(1-INDEX('Lease Cycles'!$EM$22:$ES$22,1,CH248)),CH251),CH251)</f>
        <v>0</v>
      </c>
      <c r="CI253" s="28">
        <f>IF(CI250=1,IF(INDEX('Lease Cycles'!$EF$22:$EL$22,1,CI248)=1,CI251*INDEX('Lease Cycles'!$EM$22:$ES$22,1,CI248)+CI252*(1-INDEX('Lease Cycles'!$EM$22:$ES$22,1,CI248)),CI251),CI251)</f>
        <v>0</v>
      </c>
      <c r="CJ253" s="28">
        <f>IF(CJ250=1,IF(INDEX('Lease Cycles'!$EF$22:$EL$22,1,CJ248)=1,CJ251*INDEX('Lease Cycles'!$EM$22:$ES$22,1,CJ248)+CJ252*(1-INDEX('Lease Cycles'!$EM$22:$ES$22,1,CJ248)),CJ251),CJ251)</f>
        <v>0</v>
      </c>
      <c r="CK253" s="28">
        <f>IF(CK250=1,IF(INDEX('Lease Cycles'!$EF$22:$EL$22,1,CK248)=1,CK251*INDEX('Lease Cycles'!$EM$22:$ES$22,1,CK248)+CK252*(1-INDEX('Lease Cycles'!$EM$22:$ES$22,1,CK248)),CK251),CK251)</f>
        <v>0</v>
      </c>
      <c r="CL253" s="28">
        <f>IF(CL250=1,IF(INDEX('Lease Cycles'!$EF$22:$EL$22,1,CL248)=1,CL251*INDEX('Lease Cycles'!$EM$22:$ES$22,1,CL248)+CL252*(1-INDEX('Lease Cycles'!$EM$22:$ES$22,1,CL248)),CL251),CL251)</f>
        <v>0</v>
      </c>
      <c r="CM253" s="28">
        <f>IF(CM250=1,IF(INDEX('Lease Cycles'!$EF$22:$EL$22,1,CM248)=1,CM251*INDEX('Lease Cycles'!$EM$22:$ES$22,1,CM248)+CM252*(1-INDEX('Lease Cycles'!$EM$22:$ES$22,1,CM248)),CM251),CM251)</f>
        <v>0</v>
      </c>
      <c r="CN253" s="28">
        <f>IF(CN250=1,IF(INDEX('Lease Cycles'!$EF$22:$EL$22,1,CN248)=1,CN251*INDEX('Lease Cycles'!$EM$22:$ES$22,1,CN248)+CN252*(1-INDEX('Lease Cycles'!$EM$22:$ES$22,1,CN248)),CN251),CN251)</f>
        <v>0</v>
      </c>
      <c r="CO253" s="28">
        <f>IF(CO250=1,IF(INDEX('Lease Cycles'!$EF$22:$EL$22,1,CO248)=1,CO251*INDEX('Lease Cycles'!$EM$22:$ES$22,1,CO248)+CO252*(1-INDEX('Lease Cycles'!$EM$22:$ES$22,1,CO248)),CO251),CO251)</f>
        <v>0</v>
      </c>
      <c r="CP253" s="28">
        <f>IF(CP250=1,IF(INDEX('Lease Cycles'!$EF$22:$EL$22,1,CP248)=1,CP251*INDEX('Lease Cycles'!$EM$22:$ES$22,1,CP248)+CP252*(1-INDEX('Lease Cycles'!$EM$22:$ES$22,1,CP248)),CP251),CP251)</f>
        <v>0</v>
      </c>
      <c r="CQ253" s="28">
        <f>IF(CQ250=1,IF(INDEX('Lease Cycles'!$EF$22:$EL$22,1,CQ248)=1,CQ251*INDEX('Lease Cycles'!$EM$22:$ES$22,1,CQ248)+CQ252*(1-INDEX('Lease Cycles'!$EM$22:$ES$22,1,CQ248)),CQ251),CQ251)</f>
        <v>0</v>
      </c>
      <c r="CR253" s="28">
        <f>IF(CR250=1,IF(INDEX('Lease Cycles'!$EF$22:$EL$22,1,CR248)=1,CR251*INDEX('Lease Cycles'!$EM$22:$ES$22,1,CR248)+CR252*(1-INDEX('Lease Cycles'!$EM$22:$ES$22,1,CR248)),CR251),CR251)</f>
        <v>0</v>
      </c>
      <c r="CS253" s="28">
        <f>IF(CS250=1,IF(INDEX('Lease Cycles'!$EF$22:$EL$22,1,CS248)=1,CS251*INDEX('Lease Cycles'!$EM$22:$ES$22,1,CS248)+CS252*(1-INDEX('Lease Cycles'!$EM$22:$ES$22,1,CS248)),CS251),CS251)</f>
        <v>0</v>
      </c>
      <c r="CT253" s="28">
        <f>IF(CT250=1,IF(INDEX('Lease Cycles'!$EF$22:$EL$22,1,CT248)=1,CT251*INDEX('Lease Cycles'!$EM$22:$ES$22,1,CT248)+CT252*(1-INDEX('Lease Cycles'!$EM$22:$ES$22,1,CT248)),CT251),CT251)</f>
        <v>0</v>
      </c>
      <c r="CU253" s="28">
        <f>IF(CU250=1,IF(INDEX('Lease Cycles'!$EF$22:$EL$22,1,CU248)=1,CU251*INDEX('Lease Cycles'!$EM$22:$ES$22,1,CU248)+CU252*(1-INDEX('Lease Cycles'!$EM$22:$ES$22,1,CU248)),CU251),CU251)</f>
        <v>0</v>
      </c>
      <c r="CV253" s="28">
        <f>IF(CV250=1,IF(INDEX('Lease Cycles'!$EF$22:$EL$22,1,CV248)=1,CV251*INDEX('Lease Cycles'!$EM$22:$ES$22,1,CV248)+CV252*(1-INDEX('Lease Cycles'!$EM$22:$ES$22,1,CV248)),CV251),CV251)</f>
        <v>0</v>
      </c>
      <c r="CW253" s="28">
        <f>IF(CW250=1,IF(INDEX('Lease Cycles'!$EF$22:$EL$22,1,CW248)=1,CW251*INDEX('Lease Cycles'!$EM$22:$ES$22,1,CW248)+CW252*(1-INDEX('Lease Cycles'!$EM$22:$ES$22,1,CW248)),CW251),CW251)</f>
        <v>0</v>
      </c>
      <c r="CX253" s="28">
        <f>IF(CX250=1,IF(INDEX('Lease Cycles'!$EF$22:$EL$22,1,CX248)=1,CX251*INDEX('Lease Cycles'!$EM$22:$ES$22,1,CX248)+CX252*(1-INDEX('Lease Cycles'!$EM$22:$ES$22,1,CX248)),CX251),CX251)</f>
        <v>0</v>
      </c>
      <c r="CY253" s="28">
        <f>IF(CY250=1,IF(INDEX('Lease Cycles'!$EF$22:$EL$22,1,CY248)=1,CY251*INDEX('Lease Cycles'!$EM$22:$ES$22,1,CY248)+CY252*(1-INDEX('Lease Cycles'!$EM$22:$ES$22,1,CY248)),CY251),CY251)</f>
        <v>0</v>
      </c>
      <c r="CZ253" s="28">
        <f>IF(CZ250=1,IF(INDEX('Lease Cycles'!$EF$22:$EL$22,1,CZ248)=1,CZ251*INDEX('Lease Cycles'!$EM$22:$ES$22,1,CZ248)+CZ252*(1-INDEX('Lease Cycles'!$EM$22:$ES$22,1,CZ248)),CZ251),CZ251)</f>
        <v>0</v>
      </c>
      <c r="DA253" s="28">
        <f>IF(DA250=1,IF(INDEX('Lease Cycles'!$EF$22:$EL$22,1,DA248)=1,DA251*INDEX('Lease Cycles'!$EM$22:$ES$22,1,DA248)+DA252*(1-INDEX('Lease Cycles'!$EM$22:$ES$22,1,DA248)),DA251),DA251)</f>
        <v>0</v>
      </c>
      <c r="DB253" s="28">
        <f>IF(DB250=1,IF(INDEX('Lease Cycles'!$EF$22:$EL$22,1,DB248)=1,DB251*INDEX('Lease Cycles'!$EM$22:$ES$22,1,DB248)+DB252*(1-INDEX('Lease Cycles'!$EM$22:$ES$22,1,DB248)),DB251),DB251)</f>
        <v>0</v>
      </c>
      <c r="DC253" s="28">
        <f>IF(DC250=1,IF(INDEX('Lease Cycles'!$EF$22:$EL$22,1,DC248)=1,DC251*INDEX('Lease Cycles'!$EM$22:$ES$22,1,DC248)+DC252*(1-INDEX('Lease Cycles'!$EM$22:$ES$22,1,DC248)),DC251),DC251)</f>
        <v>0</v>
      </c>
      <c r="DD253" s="28">
        <f>IF(DD250=1,IF(INDEX('Lease Cycles'!$EF$22:$EL$22,1,DD248)=1,DD251*INDEX('Lease Cycles'!$EM$22:$ES$22,1,DD248)+DD252*(1-INDEX('Lease Cycles'!$EM$22:$ES$22,1,DD248)),DD251),DD251)</f>
        <v>0</v>
      </c>
      <c r="DE253" s="28">
        <f>IF(DE250=1,IF(INDEX('Lease Cycles'!$EF$22:$EL$22,1,DE248)=1,DE251*INDEX('Lease Cycles'!$EM$22:$ES$22,1,DE248)+DE252*(1-INDEX('Lease Cycles'!$EM$22:$ES$22,1,DE248)),DE251),DE251)</f>
        <v>0</v>
      </c>
      <c r="DF253" s="28">
        <f>IF(DF250=1,IF(INDEX('Lease Cycles'!$EF$22:$EL$22,1,DF248)=1,DF251*INDEX('Lease Cycles'!$EM$22:$ES$22,1,DF248)+DF252*(1-INDEX('Lease Cycles'!$EM$22:$ES$22,1,DF248)),DF251),DF251)</f>
        <v>0</v>
      </c>
      <c r="DG253" s="28">
        <f>IF(DG250=1,IF(INDEX('Lease Cycles'!$EF$22:$EL$22,1,DG248)=1,DG251*INDEX('Lease Cycles'!$EM$22:$ES$22,1,DG248)+DG252*(1-INDEX('Lease Cycles'!$EM$22:$ES$22,1,DG248)),DG251),DG251)</f>
        <v>0</v>
      </c>
      <c r="DH253" s="28">
        <f>IF(DH250=1,IF(INDEX('Lease Cycles'!$EF$22:$EL$22,1,DH248)=1,DH251*INDEX('Lease Cycles'!$EM$22:$ES$22,1,DH248)+DH252*(1-INDEX('Lease Cycles'!$EM$22:$ES$22,1,DH248)),DH251),DH251)</f>
        <v>0</v>
      </c>
      <c r="DI253" s="28">
        <f>IF(DI250=1,IF(INDEX('Lease Cycles'!$EF$22:$EL$22,1,DI248)=1,DI251*INDEX('Lease Cycles'!$EM$22:$ES$22,1,DI248)+DI252*(1-INDEX('Lease Cycles'!$EM$22:$ES$22,1,DI248)),DI251),DI251)</f>
        <v>0</v>
      </c>
      <c r="DJ253" s="28">
        <f>IF(DJ250=1,IF(INDEX('Lease Cycles'!$EF$22:$EL$22,1,DJ248)=1,DJ251*INDEX('Lease Cycles'!$EM$22:$ES$22,1,DJ248)+DJ252*(1-INDEX('Lease Cycles'!$EM$22:$ES$22,1,DJ248)),DJ251),DJ251)</f>
        <v>0</v>
      </c>
      <c r="DK253" s="28">
        <f>IF(DK250=1,IF(INDEX('Lease Cycles'!$EF$22:$EL$22,1,DK248)=1,DK251*INDEX('Lease Cycles'!$EM$22:$ES$22,1,DK248)+DK252*(1-INDEX('Lease Cycles'!$EM$22:$ES$22,1,DK248)),DK251),DK251)</f>
        <v>0</v>
      </c>
      <c r="DL253" s="28">
        <f>IF(DL250=1,IF(INDEX('Lease Cycles'!$EF$22:$EL$22,1,DL248)=1,DL251*INDEX('Lease Cycles'!$EM$22:$ES$22,1,DL248)+DL252*(1-INDEX('Lease Cycles'!$EM$22:$ES$22,1,DL248)),DL251),DL251)</f>
        <v>0</v>
      </c>
      <c r="DM253" s="28">
        <f>IF(DM250=1,IF(INDEX('Lease Cycles'!$EF$22:$EL$22,1,DM248)=1,DM251*INDEX('Lease Cycles'!$EM$22:$ES$22,1,DM248)+DM252*(1-INDEX('Lease Cycles'!$EM$22:$ES$22,1,DM248)),DM251),DM251)</f>
        <v>0</v>
      </c>
      <c r="DN253" s="28">
        <f>IF(DN250=1,IF(INDEX('Lease Cycles'!$EF$22:$EL$22,1,DN248)=1,DN251*INDEX('Lease Cycles'!$EM$22:$ES$22,1,DN248)+DN252*(1-INDEX('Lease Cycles'!$EM$22:$ES$22,1,DN248)),DN251),DN251)</f>
        <v>0</v>
      </c>
      <c r="DO253" s="28">
        <f>IF(DO250=1,IF(INDEX('Lease Cycles'!$EF$22:$EL$22,1,DO248)=1,DO251*INDEX('Lease Cycles'!$EM$22:$ES$22,1,DO248)+DO252*(1-INDEX('Lease Cycles'!$EM$22:$ES$22,1,DO248)),DO251),DO251)</f>
        <v>0</v>
      </c>
      <c r="DP253" s="28">
        <f>IF(DP250=1,IF(INDEX('Lease Cycles'!$EF$22:$EL$22,1,DP248)=1,DP251*INDEX('Lease Cycles'!$EM$22:$ES$22,1,DP248)+DP252*(1-INDEX('Lease Cycles'!$EM$22:$ES$22,1,DP248)),DP251),DP251)</f>
        <v>0</v>
      </c>
      <c r="DQ253" s="28">
        <f>IF(DQ250=1,IF(INDEX('Lease Cycles'!$EF$22:$EL$22,1,DQ248)=1,DQ251*INDEX('Lease Cycles'!$EM$22:$ES$22,1,DQ248)+DQ252*(1-INDEX('Lease Cycles'!$EM$22:$ES$22,1,DQ248)),DQ251),DQ251)</f>
        <v>0</v>
      </c>
      <c r="DR253" s="28">
        <f>IF(DR250=1,IF(INDEX('Lease Cycles'!$EF$22:$EL$22,1,DR248)=1,DR251*INDEX('Lease Cycles'!$EM$22:$ES$22,1,DR248)+DR252*(1-INDEX('Lease Cycles'!$EM$22:$ES$22,1,DR248)),DR251),DR251)</f>
        <v>0</v>
      </c>
      <c r="DS253" s="28">
        <f>IF(DS250=1,IF(INDEX('Lease Cycles'!$EF$22:$EL$22,1,DS248)=1,DS251*INDEX('Lease Cycles'!$EM$22:$ES$22,1,DS248)+DS252*(1-INDEX('Lease Cycles'!$EM$22:$ES$22,1,DS248)),DS251),DS251)</f>
        <v>0</v>
      </c>
      <c r="DT253" s="28">
        <f>IF(DT250=1,IF(INDEX('Lease Cycles'!$EF$22:$EL$22,1,DT248)=1,DT251*INDEX('Lease Cycles'!$EM$22:$ES$22,1,DT248)+DT252*(1-INDEX('Lease Cycles'!$EM$22:$ES$22,1,DT248)),DT251),DT251)</f>
        <v>0</v>
      </c>
      <c r="DU253" s="28">
        <f>IF(DU250=1,IF(INDEX('Lease Cycles'!$EF$22:$EL$22,1,DU248)=1,DU251*INDEX('Lease Cycles'!$EM$22:$ES$22,1,DU248)+DU252*(1-INDEX('Lease Cycles'!$EM$22:$ES$22,1,DU248)),DU251),DU251)</f>
        <v>0</v>
      </c>
      <c r="DV253" s="28">
        <f>IF(DV250=1,IF(INDEX('Lease Cycles'!$EF$22:$EL$22,1,DV248)=1,DV251*INDEX('Lease Cycles'!$EM$22:$ES$22,1,DV248)+DV252*(1-INDEX('Lease Cycles'!$EM$22:$ES$22,1,DV248)),DV251),DV251)</f>
        <v>0</v>
      </c>
      <c r="DW253" s="28">
        <f>IF(DW250=1,IF(INDEX('Lease Cycles'!$EF$22:$EL$22,1,DW248)=1,DW251*INDEX('Lease Cycles'!$EM$22:$ES$22,1,DW248)+DW252*(1-INDEX('Lease Cycles'!$EM$22:$ES$22,1,DW248)),DW251),DW251)</f>
        <v>0</v>
      </c>
      <c r="DX253" s="28">
        <f>IF(DX250=1,IF(INDEX('Lease Cycles'!$EF$22:$EL$22,1,DX248)=1,DX251*INDEX('Lease Cycles'!$EM$22:$ES$22,1,DX248)+DX252*(1-INDEX('Lease Cycles'!$EM$22:$ES$22,1,DX248)),DX251),DX251)</f>
        <v>0</v>
      </c>
      <c r="DY253" s="28">
        <f>IF(DY250=1,IF(INDEX('Lease Cycles'!$EF$22:$EL$22,1,DY248)=1,DY251*INDEX('Lease Cycles'!$EM$22:$ES$22,1,DY248)+DY252*(1-INDEX('Lease Cycles'!$EM$22:$ES$22,1,DY248)),DY251),DY251)</f>
        <v>0</v>
      </c>
      <c r="DZ253" s="28">
        <f>IF(DZ250=1,IF(INDEX('Lease Cycles'!$EF$22:$EL$22,1,DZ248)=1,DZ251*INDEX('Lease Cycles'!$EM$22:$ES$22,1,DZ248)+DZ252*(1-INDEX('Lease Cycles'!$EM$22:$ES$22,1,DZ248)),DZ251),DZ251)</f>
        <v>0</v>
      </c>
      <c r="EA253" s="28">
        <f>IF(EA250=1,IF(INDEX('Lease Cycles'!$EF$22:$EL$22,1,EA248)=1,EA251*INDEX('Lease Cycles'!$EM$22:$ES$22,1,EA248)+EA252*(1-INDEX('Lease Cycles'!$EM$22:$ES$22,1,EA248)),EA251),EA251)</f>
        <v>0</v>
      </c>
      <c r="EB253" s="28">
        <f>IF(EB250=1,IF(INDEX('Lease Cycles'!$EF$22:$EL$22,1,EB248)=1,EB251*INDEX('Lease Cycles'!$EM$22:$ES$22,1,EB248)+EB252*(1-INDEX('Lease Cycles'!$EM$22:$ES$22,1,EB248)),EB251),EB251)</f>
        <v>0</v>
      </c>
      <c r="EC253" s="28">
        <f>IF(EC250=1,IF(INDEX('Lease Cycles'!$EF$22:$EL$22,1,EC248)=1,EC251*INDEX('Lease Cycles'!$EM$22:$ES$22,1,EC248)+EC252*(1-INDEX('Lease Cycles'!$EM$22:$ES$22,1,EC248)),EC251),EC251)</f>
        <v>0</v>
      </c>
      <c r="ED253" s="28">
        <f>IF(ED250=1,IF(INDEX('Lease Cycles'!$EF$22:$EL$22,1,ED248)=1,ED251*INDEX('Lease Cycles'!$EM$22:$ES$22,1,ED248)+ED252*(1-INDEX('Lease Cycles'!$EM$22:$ES$22,1,ED248)),ED251),ED251)</f>
        <v>0</v>
      </c>
      <c r="EE253" s="28">
        <f>IF(EE250=1,IF(INDEX('Lease Cycles'!$EF$22:$EL$22,1,EE248)=1,EE251*INDEX('Lease Cycles'!$EM$22:$ES$22,1,EE248)+EE252*(1-INDEX('Lease Cycles'!$EM$22:$ES$22,1,EE248)),EE251),EE251)</f>
        <v>0</v>
      </c>
      <c r="EF253" s="28">
        <f>IF(EF250=1,IF(INDEX('Lease Cycles'!$EF$22:$EL$22,1,EF248)=1,EF251*INDEX('Lease Cycles'!$EM$22:$ES$22,1,EF248)+EF252*(1-INDEX('Lease Cycles'!$EM$22:$ES$22,1,EF248)),EF251),EF251)</f>
        <v>0</v>
      </c>
      <c r="EG253" s="28">
        <f>IF(EG250=1,IF(INDEX('Lease Cycles'!$EF$22:$EL$22,1,EG248)=1,EG251*INDEX('Lease Cycles'!$EM$22:$ES$22,1,EG248)+EG252*(1-INDEX('Lease Cycles'!$EM$22:$ES$22,1,EG248)),EG251),EG251)</f>
        <v>0</v>
      </c>
      <c r="EH253" s="28">
        <f>IF(EH250=1,IF(INDEX('Lease Cycles'!$EF$22:$EL$22,1,EH248)=1,EH251*INDEX('Lease Cycles'!$EM$22:$ES$22,1,EH248)+EH252*(1-INDEX('Lease Cycles'!$EM$22:$ES$22,1,EH248)),EH251),EH251)</f>
        <v>0</v>
      </c>
      <c r="EI253" s="28">
        <f>IF(EI250=1,IF(INDEX('Lease Cycles'!$EF$22:$EL$22,1,EI248)=1,EI251*INDEX('Lease Cycles'!$EM$22:$ES$22,1,EI248)+EI252*(1-INDEX('Lease Cycles'!$EM$22:$ES$22,1,EI248)),EI251),EI251)</f>
        <v>0</v>
      </c>
      <c r="EJ253" s="28">
        <f>IF(EJ250=1,IF(INDEX('Lease Cycles'!$EF$22:$EL$22,1,EJ248)=1,EJ251*INDEX('Lease Cycles'!$EM$22:$ES$22,1,EJ248)+EJ252*(1-INDEX('Lease Cycles'!$EM$22:$ES$22,1,EJ248)),EJ251),EJ251)</f>
        <v>0</v>
      </c>
      <c r="EK253" s="28">
        <f>IF(EK250=1,IF(INDEX('Lease Cycles'!$EF$22:$EL$22,1,EK248)=1,EK251*INDEX('Lease Cycles'!$EM$22:$ES$22,1,EK248)+EK252*(1-INDEX('Lease Cycles'!$EM$22:$ES$22,1,EK248)),EK251),EK251)</f>
        <v>0</v>
      </c>
      <c r="EL253" s="28">
        <f>IF(EL250=1,IF(INDEX('Lease Cycles'!$EF$22:$EL$22,1,EL248)=1,EL251*INDEX('Lease Cycles'!$EM$22:$ES$22,1,EL248)+EL252*(1-INDEX('Lease Cycles'!$EM$22:$ES$22,1,EL248)),EL251),EL251)</f>
        <v>0</v>
      </c>
      <c r="EM253" s="28">
        <f>IF(EM250=1,IF(INDEX('Lease Cycles'!$EF$22:$EL$22,1,EM248)=1,EM251*INDEX('Lease Cycles'!$EM$22:$ES$22,1,EM248)+EM252*(1-INDEX('Lease Cycles'!$EM$22:$ES$22,1,EM248)),EM251),EM251)</f>
        <v>0</v>
      </c>
      <c r="EN253" s="28">
        <f>IF(EN250=1,IF(INDEX('Lease Cycles'!$EF$22:$EL$22,1,EN248)=1,EN251*INDEX('Lease Cycles'!$EM$22:$ES$22,1,EN248)+EN252*(1-INDEX('Lease Cycles'!$EM$22:$ES$22,1,EN248)),EN251),EN251)</f>
        <v>0</v>
      </c>
      <c r="EO253" s="28">
        <f>IF(EO250=1,IF(INDEX('Lease Cycles'!$EF$22:$EL$22,1,EO248)=1,EO251*INDEX('Lease Cycles'!$EM$22:$ES$22,1,EO248)+EO252*(1-INDEX('Lease Cycles'!$EM$22:$ES$22,1,EO248)),EO251),EO251)</f>
        <v>0</v>
      </c>
      <c r="EP253" s="28">
        <f>IF(EP250=1,IF(INDEX('Lease Cycles'!$EF$22:$EL$22,1,EP248)=1,EP251*INDEX('Lease Cycles'!$EM$22:$ES$22,1,EP248)+EP252*(1-INDEX('Lease Cycles'!$EM$22:$ES$22,1,EP248)),EP251),EP251)</f>
        <v>0</v>
      </c>
      <c r="EQ253" s="28">
        <f>IF(EQ250=1,IF(INDEX('Lease Cycles'!$EF$22:$EL$22,1,EQ248)=1,EQ251*INDEX('Lease Cycles'!$EM$22:$ES$22,1,EQ248)+EQ252*(1-INDEX('Lease Cycles'!$EM$22:$ES$22,1,EQ248)),EQ251),EQ251)</f>
        <v>0</v>
      </c>
      <c r="ER253" s="28">
        <f>IF(ER250=1,IF(INDEX('Lease Cycles'!$EF$22:$EL$22,1,ER248)=1,ER251*INDEX('Lease Cycles'!$EM$22:$ES$22,1,ER248)+ER252*(1-INDEX('Lease Cycles'!$EM$22:$ES$22,1,ER248)),ER251),ER251)</f>
        <v>0</v>
      </c>
      <c r="ES253" s="28">
        <f>IF(ES250=1,IF(INDEX('Lease Cycles'!$EF$22:$EL$22,1,ES248)=1,ES251*INDEX('Lease Cycles'!$EM$22:$ES$22,1,ES248)+ES252*(1-INDEX('Lease Cycles'!$EM$22:$ES$22,1,ES248)),ES251),ES251)</f>
        <v>0</v>
      </c>
      <c r="ET253" s="28">
        <f>IF(ET250=1,IF(INDEX('Lease Cycles'!$EF$22:$EL$22,1,ET248)=1,ET251*INDEX('Lease Cycles'!$EM$22:$ES$22,1,ET248)+ET252*(1-INDEX('Lease Cycles'!$EM$22:$ES$22,1,ET248)),ET251),ET251)</f>
        <v>0</v>
      </c>
    </row>
    <row r="254">
      <c r="A254" s="103">
        <v>15</v>
      </c>
      <c r="B254" s="23" t="str">
        <f>IF('Lease Cycles'!$B$22="","(empty slot)",'Lease Cycles'!$B$22)</f>
        <v>(empty slot)</v>
      </c>
      <c r="C254" s="23" t="s">
        <v>682</v>
      </c>
      <c r="D254" s="104" t="s">
        <v>495</v>
      </c>
      <c r="E254" s="25">
        <f>'Lease Cycles'!$AL$22</f>
        <v>0</v>
      </c>
      <c r="G254" s="28">
        <f>SUM(S254:AD254)</f>
        <v>0</v>
      </c>
      <c r="H254" s="28">
        <f>SUM(AE254:AP254)</f>
        <v>0</v>
      </c>
      <c r="I254" s="28">
        <f>SUM(AQ254:BB254)</f>
        <v>0</v>
      </c>
      <c r="J254" s="28">
        <f>SUM(BC254:BN254)</f>
        <v>0</v>
      </c>
      <c r="K254" s="28">
        <f>SUM(BO254:BZ254)</f>
        <v>0</v>
      </c>
      <c r="L254" s="28">
        <f>SUM(CA254:CL254)</f>
        <v>0</v>
      </c>
      <c r="M254" s="28">
        <f>SUM(CM254:CX254)</f>
        <v>0</v>
      </c>
      <c r="N254" s="28">
        <f>SUM(CY254:DJ254)</f>
        <v>0</v>
      </c>
      <c r="O254" s="28">
        <f>SUM(DK254:DV254)</f>
        <v>0</v>
      </c>
      <c r="P254" s="28">
        <f>SUM(DW254:EH254)</f>
        <v>0</v>
      </c>
      <c r="Q254" s="28">
        <f>SUM(EI254:ET254)</f>
        <v>0</v>
      </c>
      <c r="S254" s="28">
        <f>IF(S250=1,IF(INDEX('Lease Cycles'!$EF$22:$EL$22,1,S248)=1,S251*INDEX('Lease Cycles'!$EM$22:$ES$22,1,S248)+S252*IF(S249&lt;INDEX('Lease Cycles'!$FA$22:$FG$22,1,S248),0,1-INDEX('Lease Cycles'!$EM$22:$ES$22,1,S248)),S251*IF(S249&lt;INDEX('Lease Cycles'!$DK$22:$DQ$22,1,S248),0,IF(S249=INDEX('Lease Cycles'!$DK$22:$DQ$22,1,S248),1-INDEX('Lease Cycles'!$DR$22:$DX$22,1,S248),1))),0)</f>
        <v>0</v>
      </c>
      <c r="T254" s="28">
        <f>IF(T250=1,IF(INDEX('Lease Cycles'!$EF$22:$EL$22,1,T248)=1,T251*INDEX('Lease Cycles'!$EM$22:$ES$22,1,T248)+T252*IF(T249&lt;INDEX('Lease Cycles'!$FA$22:$FG$22,1,T248),0,1-INDEX('Lease Cycles'!$EM$22:$ES$22,1,T248)),T251*IF(T249&lt;INDEX('Lease Cycles'!$DK$22:$DQ$22,1,T248),0,IF(T249=INDEX('Lease Cycles'!$DK$22:$DQ$22,1,T248),1-INDEX('Lease Cycles'!$DR$22:$DX$22,1,T248),1))),0)</f>
        <v>0</v>
      </c>
      <c r="U254" s="28">
        <f>IF(U250=1,IF(INDEX('Lease Cycles'!$EF$22:$EL$22,1,U248)=1,U251*INDEX('Lease Cycles'!$EM$22:$ES$22,1,U248)+U252*IF(U249&lt;INDEX('Lease Cycles'!$FA$22:$FG$22,1,U248),0,1-INDEX('Lease Cycles'!$EM$22:$ES$22,1,U248)),U251*IF(U249&lt;INDEX('Lease Cycles'!$DK$22:$DQ$22,1,U248),0,IF(U249=INDEX('Lease Cycles'!$DK$22:$DQ$22,1,U248),1-INDEX('Lease Cycles'!$DR$22:$DX$22,1,U248),1))),0)</f>
        <v>0</v>
      </c>
      <c r="V254" s="28">
        <f>IF(V250=1,IF(INDEX('Lease Cycles'!$EF$22:$EL$22,1,V248)=1,V251*INDEX('Lease Cycles'!$EM$22:$ES$22,1,V248)+V252*IF(V249&lt;INDEX('Lease Cycles'!$FA$22:$FG$22,1,V248),0,1-INDEX('Lease Cycles'!$EM$22:$ES$22,1,V248)),V251*IF(V249&lt;INDEX('Lease Cycles'!$DK$22:$DQ$22,1,V248),0,IF(V249=INDEX('Lease Cycles'!$DK$22:$DQ$22,1,V248),1-INDEX('Lease Cycles'!$DR$22:$DX$22,1,V248),1))),0)</f>
        <v>0</v>
      </c>
      <c r="W254" s="28">
        <f>IF(W250=1,IF(INDEX('Lease Cycles'!$EF$22:$EL$22,1,W248)=1,W251*INDEX('Lease Cycles'!$EM$22:$ES$22,1,W248)+W252*IF(W249&lt;INDEX('Lease Cycles'!$FA$22:$FG$22,1,W248),0,1-INDEX('Lease Cycles'!$EM$22:$ES$22,1,W248)),W251*IF(W249&lt;INDEX('Lease Cycles'!$DK$22:$DQ$22,1,W248),0,IF(W249=INDEX('Lease Cycles'!$DK$22:$DQ$22,1,W248),1-INDEX('Lease Cycles'!$DR$22:$DX$22,1,W248),1))),0)</f>
        <v>0</v>
      </c>
      <c r="X254" s="28">
        <f>IF(X250=1,IF(INDEX('Lease Cycles'!$EF$22:$EL$22,1,X248)=1,X251*INDEX('Lease Cycles'!$EM$22:$ES$22,1,X248)+X252*IF(X249&lt;INDEX('Lease Cycles'!$FA$22:$FG$22,1,X248),0,1-INDEX('Lease Cycles'!$EM$22:$ES$22,1,X248)),X251*IF(X249&lt;INDEX('Lease Cycles'!$DK$22:$DQ$22,1,X248),0,IF(X249=INDEX('Lease Cycles'!$DK$22:$DQ$22,1,X248),1-INDEX('Lease Cycles'!$DR$22:$DX$22,1,X248),1))),0)</f>
        <v>0</v>
      </c>
      <c r="Y254" s="28">
        <f>IF(Y250=1,IF(INDEX('Lease Cycles'!$EF$22:$EL$22,1,Y248)=1,Y251*INDEX('Lease Cycles'!$EM$22:$ES$22,1,Y248)+Y252*IF(Y249&lt;INDEX('Lease Cycles'!$FA$22:$FG$22,1,Y248),0,1-INDEX('Lease Cycles'!$EM$22:$ES$22,1,Y248)),Y251*IF(Y249&lt;INDEX('Lease Cycles'!$DK$22:$DQ$22,1,Y248),0,IF(Y249=INDEX('Lease Cycles'!$DK$22:$DQ$22,1,Y248),1-INDEX('Lease Cycles'!$DR$22:$DX$22,1,Y248),1))),0)</f>
        <v>0</v>
      </c>
      <c r="Z254" s="28">
        <f>IF(Z250=1,IF(INDEX('Lease Cycles'!$EF$22:$EL$22,1,Z248)=1,Z251*INDEX('Lease Cycles'!$EM$22:$ES$22,1,Z248)+Z252*IF(Z249&lt;INDEX('Lease Cycles'!$FA$22:$FG$22,1,Z248),0,1-INDEX('Lease Cycles'!$EM$22:$ES$22,1,Z248)),Z251*IF(Z249&lt;INDEX('Lease Cycles'!$DK$22:$DQ$22,1,Z248),0,IF(Z249=INDEX('Lease Cycles'!$DK$22:$DQ$22,1,Z248),1-INDEX('Lease Cycles'!$DR$22:$DX$22,1,Z248),1))),0)</f>
        <v>0</v>
      </c>
      <c r="AA254" s="28">
        <f>IF(AA250=1,IF(INDEX('Lease Cycles'!$EF$22:$EL$22,1,AA248)=1,AA251*INDEX('Lease Cycles'!$EM$22:$ES$22,1,AA248)+AA252*IF(AA249&lt;INDEX('Lease Cycles'!$FA$22:$FG$22,1,AA248),0,1-INDEX('Lease Cycles'!$EM$22:$ES$22,1,AA248)),AA251*IF(AA249&lt;INDEX('Lease Cycles'!$DK$22:$DQ$22,1,AA248),0,IF(AA249=INDEX('Lease Cycles'!$DK$22:$DQ$22,1,AA248),1-INDEX('Lease Cycles'!$DR$22:$DX$22,1,AA248),1))),0)</f>
        <v>0</v>
      </c>
      <c r="AB254" s="28">
        <f>IF(AB250=1,IF(INDEX('Lease Cycles'!$EF$22:$EL$22,1,AB248)=1,AB251*INDEX('Lease Cycles'!$EM$22:$ES$22,1,AB248)+AB252*IF(AB249&lt;INDEX('Lease Cycles'!$FA$22:$FG$22,1,AB248),0,1-INDEX('Lease Cycles'!$EM$22:$ES$22,1,AB248)),AB251*IF(AB249&lt;INDEX('Lease Cycles'!$DK$22:$DQ$22,1,AB248),0,IF(AB249=INDEX('Lease Cycles'!$DK$22:$DQ$22,1,AB248),1-INDEX('Lease Cycles'!$DR$22:$DX$22,1,AB248),1))),0)</f>
        <v>0</v>
      </c>
      <c r="AC254" s="28">
        <f>IF(AC250=1,IF(INDEX('Lease Cycles'!$EF$22:$EL$22,1,AC248)=1,AC251*INDEX('Lease Cycles'!$EM$22:$ES$22,1,AC248)+AC252*IF(AC249&lt;INDEX('Lease Cycles'!$FA$22:$FG$22,1,AC248),0,1-INDEX('Lease Cycles'!$EM$22:$ES$22,1,AC248)),AC251*IF(AC249&lt;INDEX('Lease Cycles'!$DK$22:$DQ$22,1,AC248),0,IF(AC249=INDEX('Lease Cycles'!$DK$22:$DQ$22,1,AC248),1-INDEX('Lease Cycles'!$DR$22:$DX$22,1,AC248),1))),0)</f>
        <v>0</v>
      </c>
      <c r="AD254" s="28">
        <f>IF(AD250=1,IF(INDEX('Lease Cycles'!$EF$22:$EL$22,1,AD248)=1,AD251*INDEX('Lease Cycles'!$EM$22:$ES$22,1,AD248)+AD252*IF(AD249&lt;INDEX('Lease Cycles'!$FA$22:$FG$22,1,AD248),0,1-INDEX('Lease Cycles'!$EM$22:$ES$22,1,AD248)),AD251*IF(AD249&lt;INDEX('Lease Cycles'!$DK$22:$DQ$22,1,AD248),0,IF(AD249=INDEX('Lease Cycles'!$DK$22:$DQ$22,1,AD248),1-INDEX('Lease Cycles'!$DR$22:$DX$22,1,AD248),1))),0)</f>
        <v>0</v>
      </c>
      <c r="AE254" s="28">
        <f>IF(AE250=1,IF(INDEX('Lease Cycles'!$EF$22:$EL$22,1,AE248)=1,AE251*INDEX('Lease Cycles'!$EM$22:$ES$22,1,AE248)+AE252*IF(AE249&lt;INDEX('Lease Cycles'!$FA$22:$FG$22,1,AE248),0,1-INDEX('Lease Cycles'!$EM$22:$ES$22,1,AE248)),AE251*IF(AE249&lt;INDEX('Lease Cycles'!$DK$22:$DQ$22,1,AE248),0,IF(AE249=INDEX('Lease Cycles'!$DK$22:$DQ$22,1,AE248),1-INDEX('Lease Cycles'!$DR$22:$DX$22,1,AE248),1))),0)</f>
        <v>0</v>
      </c>
      <c r="AF254" s="28">
        <f>IF(AF250=1,IF(INDEX('Lease Cycles'!$EF$22:$EL$22,1,AF248)=1,AF251*INDEX('Lease Cycles'!$EM$22:$ES$22,1,AF248)+AF252*IF(AF249&lt;INDEX('Lease Cycles'!$FA$22:$FG$22,1,AF248),0,1-INDEX('Lease Cycles'!$EM$22:$ES$22,1,AF248)),AF251*IF(AF249&lt;INDEX('Lease Cycles'!$DK$22:$DQ$22,1,AF248),0,IF(AF249=INDEX('Lease Cycles'!$DK$22:$DQ$22,1,AF248),1-INDEX('Lease Cycles'!$DR$22:$DX$22,1,AF248),1))),0)</f>
        <v>0</v>
      </c>
      <c r="AG254" s="28">
        <f>IF(AG250=1,IF(INDEX('Lease Cycles'!$EF$22:$EL$22,1,AG248)=1,AG251*INDEX('Lease Cycles'!$EM$22:$ES$22,1,AG248)+AG252*IF(AG249&lt;INDEX('Lease Cycles'!$FA$22:$FG$22,1,AG248),0,1-INDEX('Lease Cycles'!$EM$22:$ES$22,1,AG248)),AG251*IF(AG249&lt;INDEX('Lease Cycles'!$DK$22:$DQ$22,1,AG248),0,IF(AG249=INDEX('Lease Cycles'!$DK$22:$DQ$22,1,AG248),1-INDEX('Lease Cycles'!$DR$22:$DX$22,1,AG248),1))),0)</f>
        <v>0</v>
      </c>
      <c r="AH254" s="28">
        <f>IF(AH250=1,IF(INDEX('Lease Cycles'!$EF$22:$EL$22,1,AH248)=1,AH251*INDEX('Lease Cycles'!$EM$22:$ES$22,1,AH248)+AH252*IF(AH249&lt;INDEX('Lease Cycles'!$FA$22:$FG$22,1,AH248),0,1-INDEX('Lease Cycles'!$EM$22:$ES$22,1,AH248)),AH251*IF(AH249&lt;INDEX('Lease Cycles'!$DK$22:$DQ$22,1,AH248),0,IF(AH249=INDEX('Lease Cycles'!$DK$22:$DQ$22,1,AH248),1-INDEX('Lease Cycles'!$DR$22:$DX$22,1,AH248),1))),0)</f>
        <v>0</v>
      </c>
      <c r="AI254" s="28">
        <f>IF(AI250=1,IF(INDEX('Lease Cycles'!$EF$22:$EL$22,1,AI248)=1,AI251*INDEX('Lease Cycles'!$EM$22:$ES$22,1,AI248)+AI252*IF(AI249&lt;INDEX('Lease Cycles'!$FA$22:$FG$22,1,AI248),0,1-INDEX('Lease Cycles'!$EM$22:$ES$22,1,AI248)),AI251*IF(AI249&lt;INDEX('Lease Cycles'!$DK$22:$DQ$22,1,AI248),0,IF(AI249=INDEX('Lease Cycles'!$DK$22:$DQ$22,1,AI248),1-INDEX('Lease Cycles'!$DR$22:$DX$22,1,AI248),1))),0)</f>
        <v>0</v>
      </c>
      <c r="AJ254" s="28">
        <f>IF(AJ250=1,IF(INDEX('Lease Cycles'!$EF$22:$EL$22,1,AJ248)=1,AJ251*INDEX('Lease Cycles'!$EM$22:$ES$22,1,AJ248)+AJ252*IF(AJ249&lt;INDEX('Lease Cycles'!$FA$22:$FG$22,1,AJ248),0,1-INDEX('Lease Cycles'!$EM$22:$ES$22,1,AJ248)),AJ251*IF(AJ249&lt;INDEX('Lease Cycles'!$DK$22:$DQ$22,1,AJ248),0,IF(AJ249=INDEX('Lease Cycles'!$DK$22:$DQ$22,1,AJ248),1-INDEX('Lease Cycles'!$DR$22:$DX$22,1,AJ248),1))),0)</f>
        <v>0</v>
      </c>
      <c r="AK254" s="28">
        <f>IF(AK250=1,IF(INDEX('Lease Cycles'!$EF$22:$EL$22,1,AK248)=1,AK251*INDEX('Lease Cycles'!$EM$22:$ES$22,1,AK248)+AK252*IF(AK249&lt;INDEX('Lease Cycles'!$FA$22:$FG$22,1,AK248),0,1-INDEX('Lease Cycles'!$EM$22:$ES$22,1,AK248)),AK251*IF(AK249&lt;INDEX('Lease Cycles'!$DK$22:$DQ$22,1,AK248),0,IF(AK249=INDEX('Lease Cycles'!$DK$22:$DQ$22,1,AK248),1-INDEX('Lease Cycles'!$DR$22:$DX$22,1,AK248),1))),0)</f>
        <v>0</v>
      </c>
      <c r="AL254" s="28">
        <f>IF(AL250=1,IF(INDEX('Lease Cycles'!$EF$22:$EL$22,1,AL248)=1,AL251*INDEX('Lease Cycles'!$EM$22:$ES$22,1,AL248)+AL252*IF(AL249&lt;INDEX('Lease Cycles'!$FA$22:$FG$22,1,AL248),0,1-INDEX('Lease Cycles'!$EM$22:$ES$22,1,AL248)),AL251*IF(AL249&lt;INDEX('Lease Cycles'!$DK$22:$DQ$22,1,AL248),0,IF(AL249=INDEX('Lease Cycles'!$DK$22:$DQ$22,1,AL248),1-INDEX('Lease Cycles'!$DR$22:$DX$22,1,AL248),1))),0)</f>
        <v>0</v>
      </c>
      <c r="AM254" s="28">
        <f>IF(AM250=1,IF(INDEX('Lease Cycles'!$EF$22:$EL$22,1,AM248)=1,AM251*INDEX('Lease Cycles'!$EM$22:$ES$22,1,AM248)+AM252*IF(AM249&lt;INDEX('Lease Cycles'!$FA$22:$FG$22,1,AM248),0,1-INDEX('Lease Cycles'!$EM$22:$ES$22,1,AM248)),AM251*IF(AM249&lt;INDEX('Lease Cycles'!$DK$22:$DQ$22,1,AM248),0,IF(AM249=INDEX('Lease Cycles'!$DK$22:$DQ$22,1,AM248),1-INDEX('Lease Cycles'!$DR$22:$DX$22,1,AM248),1))),0)</f>
        <v>0</v>
      </c>
      <c r="AN254" s="28">
        <f>IF(AN250=1,IF(INDEX('Lease Cycles'!$EF$22:$EL$22,1,AN248)=1,AN251*INDEX('Lease Cycles'!$EM$22:$ES$22,1,AN248)+AN252*IF(AN249&lt;INDEX('Lease Cycles'!$FA$22:$FG$22,1,AN248),0,1-INDEX('Lease Cycles'!$EM$22:$ES$22,1,AN248)),AN251*IF(AN249&lt;INDEX('Lease Cycles'!$DK$22:$DQ$22,1,AN248),0,IF(AN249=INDEX('Lease Cycles'!$DK$22:$DQ$22,1,AN248),1-INDEX('Lease Cycles'!$DR$22:$DX$22,1,AN248),1))),0)</f>
        <v>0</v>
      </c>
      <c r="AO254" s="28">
        <f>IF(AO250=1,IF(INDEX('Lease Cycles'!$EF$22:$EL$22,1,AO248)=1,AO251*INDEX('Lease Cycles'!$EM$22:$ES$22,1,AO248)+AO252*IF(AO249&lt;INDEX('Lease Cycles'!$FA$22:$FG$22,1,AO248),0,1-INDEX('Lease Cycles'!$EM$22:$ES$22,1,AO248)),AO251*IF(AO249&lt;INDEX('Lease Cycles'!$DK$22:$DQ$22,1,AO248),0,IF(AO249=INDEX('Lease Cycles'!$DK$22:$DQ$22,1,AO248),1-INDEX('Lease Cycles'!$DR$22:$DX$22,1,AO248),1))),0)</f>
        <v>0</v>
      </c>
      <c r="AP254" s="28">
        <f>IF(AP250=1,IF(INDEX('Lease Cycles'!$EF$22:$EL$22,1,AP248)=1,AP251*INDEX('Lease Cycles'!$EM$22:$ES$22,1,AP248)+AP252*IF(AP249&lt;INDEX('Lease Cycles'!$FA$22:$FG$22,1,AP248),0,1-INDEX('Lease Cycles'!$EM$22:$ES$22,1,AP248)),AP251*IF(AP249&lt;INDEX('Lease Cycles'!$DK$22:$DQ$22,1,AP248),0,IF(AP249=INDEX('Lease Cycles'!$DK$22:$DQ$22,1,AP248),1-INDEX('Lease Cycles'!$DR$22:$DX$22,1,AP248),1))),0)</f>
        <v>0</v>
      </c>
      <c r="AQ254" s="28">
        <f>IF(AQ250=1,IF(INDEX('Lease Cycles'!$EF$22:$EL$22,1,AQ248)=1,AQ251*INDEX('Lease Cycles'!$EM$22:$ES$22,1,AQ248)+AQ252*IF(AQ249&lt;INDEX('Lease Cycles'!$FA$22:$FG$22,1,AQ248),0,1-INDEX('Lease Cycles'!$EM$22:$ES$22,1,AQ248)),AQ251*IF(AQ249&lt;INDEX('Lease Cycles'!$DK$22:$DQ$22,1,AQ248),0,IF(AQ249=INDEX('Lease Cycles'!$DK$22:$DQ$22,1,AQ248),1-INDEX('Lease Cycles'!$DR$22:$DX$22,1,AQ248),1))),0)</f>
        <v>0</v>
      </c>
      <c r="AR254" s="28">
        <f>IF(AR250=1,IF(INDEX('Lease Cycles'!$EF$22:$EL$22,1,AR248)=1,AR251*INDEX('Lease Cycles'!$EM$22:$ES$22,1,AR248)+AR252*IF(AR249&lt;INDEX('Lease Cycles'!$FA$22:$FG$22,1,AR248),0,1-INDEX('Lease Cycles'!$EM$22:$ES$22,1,AR248)),AR251*IF(AR249&lt;INDEX('Lease Cycles'!$DK$22:$DQ$22,1,AR248),0,IF(AR249=INDEX('Lease Cycles'!$DK$22:$DQ$22,1,AR248),1-INDEX('Lease Cycles'!$DR$22:$DX$22,1,AR248),1))),0)</f>
        <v>0</v>
      </c>
      <c r="AS254" s="28">
        <f>IF(AS250=1,IF(INDEX('Lease Cycles'!$EF$22:$EL$22,1,AS248)=1,AS251*INDEX('Lease Cycles'!$EM$22:$ES$22,1,AS248)+AS252*IF(AS249&lt;INDEX('Lease Cycles'!$FA$22:$FG$22,1,AS248),0,1-INDEX('Lease Cycles'!$EM$22:$ES$22,1,AS248)),AS251*IF(AS249&lt;INDEX('Lease Cycles'!$DK$22:$DQ$22,1,AS248),0,IF(AS249=INDEX('Lease Cycles'!$DK$22:$DQ$22,1,AS248),1-INDEX('Lease Cycles'!$DR$22:$DX$22,1,AS248),1))),0)</f>
        <v>0</v>
      </c>
      <c r="AT254" s="28">
        <f>IF(AT250=1,IF(INDEX('Lease Cycles'!$EF$22:$EL$22,1,AT248)=1,AT251*INDEX('Lease Cycles'!$EM$22:$ES$22,1,AT248)+AT252*IF(AT249&lt;INDEX('Lease Cycles'!$FA$22:$FG$22,1,AT248),0,1-INDEX('Lease Cycles'!$EM$22:$ES$22,1,AT248)),AT251*IF(AT249&lt;INDEX('Lease Cycles'!$DK$22:$DQ$22,1,AT248),0,IF(AT249=INDEX('Lease Cycles'!$DK$22:$DQ$22,1,AT248),1-INDEX('Lease Cycles'!$DR$22:$DX$22,1,AT248),1))),0)</f>
        <v>0</v>
      </c>
      <c r="AU254" s="28">
        <f>IF(AU250=1,IF(INDEX('Lease Cycles'!$EF$22:$EL$22,1,AU248)=1,AU251*INDEX('Lease Cycles'!$EM$22:$ES$22,1,AU248)+AU252*IF(AU249&lt;INDEX('Lease Cycles'!$FA$22:$FG$22,1,AU248),0,1-INDEX('Lease Cycles'!$EM$22:$ES$22,1,AU248)),AU251*IF(AU249&lt;INDEX('Lease Cycles'!$DK$22:$DQ$22,1,AU248),0,IF(AU249=INDEX('Lease Cycles'!$DK$22:$DQ$22,1,AU248),1-INDEX('Lease Cycles'!$DR$22:$DX$22,1,AU248),1))),0)</f>
        <v>0</v>
      </c>
      <c r="AV254" s="28">
        <f>IF(AV250=1,IF(INDEX('Lease Cycles'!$EF$22:$EL$22,1,AV248)=1,AV251*INDEX('Lease Cycles'!$EM$22:$ES$22,1,AV248)+AV252*IF(AV249&lt;INDEX('Lease Cycles'!$FA$22:$FG$22,1,AV248),0,1-INDEX('Lease Cycles'!$EM$22:$ES$22,1,AV248)),AV251*IF(AV249&lt;INDEX('Lease Cycles'!$DK$22:$DQ$22,1,AV248),0,IF(AV249=INDEX('Lease Cycles'!$DK$22:$DQ$22,1,AV248),1-INDEX('Lease Cycles'!$DR$22:$DX$22,1,AV248),1))),0)</f>
        <v>0</v>
      </c>
      <c r="AW254" s="28">
        <f>IF(AW250=1,IF(INDEX('Lease Cycles'!$EF$22:$EL$22,1,AW248)=1,AW251*INDEX('Lease Cycles'!$EM$22:$ES$22,1,AW248)+AW252*IF(AW249&lt;INDEX('Lease Cycles'!$FA$22:$FG$22,1,AW248),0,1-INDEX('Lease Cycles'!$EM$22:$ES$22,1,AW248)),AW251*IF(AW249&lt;INDEX('Lease Cycles'!$DK$22:$DQ$22,1,AW248),0,IF(AW249=INDEX('Lease Cycles'!$DK$22:$DQ$22,1,AW248),1-INDEX('Lease Cycles'!$DR$22:$DX$22,1,AW248),1))),0)</f>
        <v>0</v>
      </c>
      <c r="AX254" s="28">
        <f>IF(AX250=1,IF(INDEX('Lease Cycles'!$EF$22:$EL$22,1,AX248)=1,AX251*INDEX('Lease Cycles'!$EM$22:$ES$22,1,AX248)+AX252*IF(AX249&lt;INDEX('Lease Cycles'!$FA$22:$FG$22,1,AX248),0,1-INDEX('Lease Cycles'!$EM$22:$ES$22,1,AX248)),AX251*IF(AX249&lt;INDEX('Lease Cycles'!$DK$22:$DQ$22,1,AX248),0,IF(AX249=INDEX('Lease Cycles'!$DK$22:$DQ$22,1,AX248),1-INDEX('Lease Cycles'!$DR$22:$DX$22,1,AX248),1))),0)</f>
        <v>0</v>
      </c>
      <c r="AY254" s="28">
        <f>IF(AY250=1,IF(INDEX('Lease Cycles'!$EF$22:$EL$22,1,AY248)=1,AY251*INDEX('Lease Cycles'!$EM$22:$ES$22,1,AY248)+AY252*IF(AY249&lt;INDEX('Lease Cycles'!$FA$22:$FG$22,1,AY248),0,1-INDEX('Lease Cycles'!$EM$22:$ES$22,1,AY248)),AY251*IF(AY249&lt;INDEX('Lease Cycles'!$DK$22:$DQ$22,1,AY248),0,IF(AY249=INDEX('Lease Cycles'!$DK$22:$DQ$22,1,AY248),1-INDEX('Lease Cycles'!$DR$22:$DX$22,1,AY248),1))),0)</f>
        <v>0</v>
      </c>
      <c r="AZ254" s="28">
        <f>IF(AZ250=1,IF(INDEX('Lease Cycles'!$EF$22:$EL$22,1,AZ248)=1,AZ251*INDEX('Lease Cycles'!$EM$22:$ES$22,1,AZ248)+AZ252*IF(AZ249&lt;INDEX('Lease Cycles'!$FA$22:$FG$22,1,AZ248),0,1-INDEX('Lease Cycles'!$EM$22:$ES$22,1,AZ248)),AZ251*IF(AZ249&lt;INDEX('Lease Cycles'!$DK$22:$DQ$22,1,AZ248),0,IF(AZ249=INDEX('Lease Cycles'!$DK$22:$DQ$22,1,AZ248),1-INDEX('Lease Cycles'!$DR$22:$DX$22,1,AZ248),1))),0)</f>
        <v>0</v>
      </c>
      <c r="BA254" s="28">
        <f>IF(BA250=1,IF(INDEX('Lease Cycles'!$EF$22:$EL$22,1,BA248)=1,BA251*INDEX('Lease Cycles'!$EM$22:$ES$22,1,BA248)+BA252*IF(BA249&lt;INDEX('Lease Cycles'!$FA$22:$FG$22,1,BA248),0,1-INDEX('Lease Cycles'!$EM$22:$ES$22,1,BA248)),BA251*IF(BA249&lt;INDEX('Lease Cycles'!$DK$22:$DQ$22,1,BA248),0,IF(BA249=INDEX('Lease Cycles'!$DK$22:$DQ$22,1,BA248),1-INDEX('Lease Cycles'!$DR$22:$DX$22,1,BA248),1))),0)</f>
        <v>0</v>
      </c>
      <c r="BB254" s="28">
        <f>IF(BB250=1,IF(INDEX('Lease Cycles'!$EF$22:$EL$22,1,BB248)=1,BB251*INDEX('Lease Cycles'!$EM$22:$ES$22,1,BB248)+BB252*IF(BB249&lt;INDEX('Lease Cycles'!$FA$22:$FG$22,1,BB248),0,1-INDEX('Lease Cycles'!$EM$22:$ES$22,1,BB248)),BB251*IF(BB249&lt;INDEX('Lease Cycles'!$DK$22:$DQ$22,1,BB248),0,IF(BB249=INDEX('Lease Cycles'!$DK$22:$DQ$22,1,BB248),1-INDEX('Lease Cycles'!$DR$22:$DX$22,1,BB248),1))),0)</f>
        <v>0</v>
      </c>
      <c r="BC254" s="28">
        <f>IF(BC250=1,IF(INDEX('Lease Cycles'!$EF$22:$EL$22,1,BC248)=1,BC251*INDEX('Lease Cycles'!$EM$22:$ES$22,1,BC248)+BC252*IF(BC249&lt;INDEX('Lease Cycles'!$FA$22:$FG$22,1,BC248),0,1-INDEX('Lease Cycles'!$EM$22:$ES$22,1,BC248)),BC251*IF(BC249&lt;INDEX('Lease Cycles'!$DK$22:$DQ$22,1,BC248),0,IF(BC249=INDEX('Lease Cycles'!$DK$22:$DQ$22,1,BC248),1-INDEX('Lease Cycles'!$DR$22:$DX$22,1,BC248),1))),0)</f>
        <v>0</v>
      </c>
      <c r="BD254" s="28">
        <f>IF(BD250=1,IF(INDEX('Lease Cycles'!$EF$22:$EL$22,1,BD248)=1,BD251*INDEX('Lease Cycles'!$EM$22:$ES$22,1,BD248)+BD252*IF(BD249&lt;INDEX('Lease Cycles'!$FA$22:$FG$22,1,BD248),0,1-INDEX('Lease Cycles'!$EM$22:$ES$22,1,BD248)),BD251*IF(BD249&lt;INDEX('Lease Cycles'!$DK$22:$DQ$22,1,BD248),0,IF(BD249=INDEX('Lease Cycles'!$DK$22:$DQ$22,1,BD248),1-INDEX('Lease Cycles'!$DR$22:$DX$22,1,BD248),1))),0)</f>
        <v>0</v>
      </c>
      <c r="BE254" s="28">
        <f>IF(BE250=1,IF(INDEX('Lease Cycles'!$EF$22:$EL$22,1,BE248)=1,BE251*INDEX('Lease Cycles'!$EM$22:$ES$22,1,BE248)+BE252*IF(BE249&lt;INDEX('Lease Cycles'!$FA$22:$FG$22,1,BE248),0,1-INDEX('Lease Cycles'!$EM$22:$ES$22,1,BE248)),BE251*IF(BE249&lt;INDEX('Lease Cycles'!$DK$22:$DQ$22,1,BE248),0,IF(BE249=INDEX('Lease Cycles'!$DK$22:$DQ$22,1,BE248),1-INDEX('Lease Cycles'!$DR$22:$DX$22,1,BE248),1))),0)</f>
        <v>0</v>
      </c>
      <c r="BF254" s="28">
        <f>IF(BF250=1,IF(INDEX('Lease Cycles'!$EF$22:$EL$22,1,BF248)=1,BF251*INDEX('Lease Cycles'!$EM$22:$ES$22,1,BF248)+BF252*IF(BF249&lt;INDEX('Lease Cycles'!$FA$22:$FG$22,1,BF248),0,1-INDEX('Lease Cycles'!$EM$22:$ES$22,1,BF248)),BF251*IF(BF249&lt;INDEX('Lease Cycles'!$DK$22:$DQ$22,1,BF248),0,IF(BF249=INDEX('Lease Cycles'!$DK$22:$DQ$22,1,BF248),1-INDEX('Lease Cycles'!$DR$22:$DX$22,1,BF248),1))),0)</f>
        <v>0</v>
      </c>
      <c r="BG254" s="28">
        <f>IF(BG250=1,IF(INDEX('Lease Cycles'!$EF$22:$EL$22,1,BG248)=1,BG251*INDEX('Lease Cycles'!$EM$22:$ES$22,1,BG248)+BG252*IF(BG249&lt;INDEX('Lease Cycles'!$FA$22:$FG$22,1,BG248),0,1-INDEX('Lease Cycles'!$EM$22:$ES$22,1,BG248)),BG251*IF(BG249&lt;INDEX('Lease Cycles'!$DK$22:$DQ$22,1,BG248),0,IF(BG249=INDEX('Lease Cycles'!$DK$22:$DQ$22,1,BG248),1-INDEX('Lease Cycles'!$DR$22:$DX$22,1,BG248),1))),0)</f>
        <v>0</v>
      </c>
      <c r="BH254" s="28">
        <f>IF(BH250=1,IF(INDEX('Lease Cycles'!$EF$22:$EL$22,1,BH248)=1,BH251*INDEX('Lease Cycles'!$EM$22:$ES$22,1,BH248)+BH252*IF(BH249&lt;INDEX('Lease Cycles'!$FA$22:$FG$22,1,BH248),0,1-INDEX('Lease Cycles'!$EM$22:$ES$22,1,BH248)),BH251*IF(BH249&lt;INDEX('Lease Cycles'!$DK$22:$DQ$22,1,BH248),0,IF(BH249=INDEX('Lease Cycles'!$DK$22:$DQ$22,1,BH248),1-INDEX('Lease Cycles'!$DR$22:$DX$22,1,BH248),1))),0)</f>
        <v>0</v>
      </c>
      <c r="BI254" s="28">
        <f>IF(BI250=1,IF(INDEX('Lease Cycles'!$EF$22:$EL$22,1,BI248)=1,BI251*INDEX('Lease Cycles'!$EM$22:$ES$22,1,BI248)+BI252*IF(BI249&lt;INDEX('Lease Cycles'!$FA$22:$FG$22,1,BI248),0,1-INDEX('Lease Cycles'!$EM$22:$ES$22,1,BI248)),BI251*IF(BI249&lt;INDEX('Lease Cycles'!$DK$22:$DQ$22,1,BI248),0,IF(BI249=INDEX('Lease Cycles'!$DK$22:$DQ$22,1,BI248),1-INDEX('Lease Cycles'!$DR$22:$DX$22,1,BI248),1))),0)</f>
        <v>0</v>
      </c>
      <c r="BJ254" s="28">
        <f>IF(BJ250=1,IF(INDEX('Lease Cycles'!$EF$22:$EL$22,1,BJ248)=1,BJ251*INDEX('Lease Cycles'!$EM$22:$ES$22,1,BJ248)+BJ252*IF(BJ249&lt;INDEX('Lease Cycles'!$FA$22:$FG$22,1,BJ248),0,1-INDEX('Lease Cycles'!$EM$22:$ES$22,1,BJ248)),BJ251*IF(BJ249&lt;INDEX('Lease Cycles'!$DK$22:$DQ$22,1,BJ248),0,IF(BJ249=INDEX('Lease Cycles'!$DK$22:$DQ$22,1,BJ248),1-INDEX('Lease Cycles'!$DR$22:$DX$22,1,BJ248),1))),0)</f>
        <v>0</v>
      </c>
      <c r="BK254" s="28">
        <f>IF(BK250=1,IF(INDEX('Lease Cycles'!$EF$22:$EL$22,1,BK248)=1,BK251*INDEX('Lease Cycles'!$EM$22:$ES$22,1,BK248)+BK252*IF(BK249&lt;INDEX('Lease Cycles'!$FA$22:$FG$22,1,BK248),0,1-INDEX('Lease Cycles'!$EM$22:$ES$22,1,BK248)),BK251*IF(BK249&lt;INDEX('Lease Cycles'!$DK$22:$DQ$22,1,BK248),0,IF(BK249=INDEX('Lease Cycles'!$DK$22:$DQ$22,1,BK248),1-INDEX('Lease Cycles'!$DR$22:$DX$22,1,BK248),1))),0)</f>
        <v>0</v>
      </c>
      <c r="BL254" s="28">
        <f>IF(BL250=1,IF(INDEX('Lease Cycles'!$EF$22:$EL$22,1,BL248)=1,BL251*INDEX('Lease Cycles'!$EM$22:$ES$22,1,BL248)+BL252*IF(BL249&lt;INDEX('Lease Cycles'!$FA$22:$FG$22,1,BL248),0,1-INDEX('Lease Cycles'!$EM$22:$ES$22,1,BL248)),BL251*IF(BL249&lt;INDEX('Lease Cycles'!$DK$22:$DQ$22,1,BL248),0,IF(BL249=INDEX('Lease Cycles'!$DK$22:$DQ$22,1,BL248),1-INDEX('Lease Cycles'!$DR$22:$DX$22,1,BL248),1))),0)</f>
        <v>0</v>
      </c>
      <c r="BM254" s="28">
        <f>IF(BM250=1,IF(INDEX('Lease Cycles'!$EF$22:$EL$22,1,BM248)=1,BM251*INDEX('Lease Cycles'!$EM$22:$ES$22,1,BM248)+BM252*IF(BM249&lt;INDEX('Lease Cycles'!$FA$22:$FG$22,1,BM248),0,1-INDEX('Lease Cycles'!$EM$22:$ES$22,1,BM248)),BM251*IF(BM249&lt;INDEX('Lease Cycles'!$DK$22:$DQ$22,1,BM248),0,IF(BM249=INDEX('Lease Cycles'!$DK$22:$DQ$22,1,BM248),1-INDEX('Lease Cycles'!$DR$22:$DX$22,1,BM248),1))),0)</f>
        <v>0</v>
      </c>
      <c r="BN254" s="28">
        <f>IF(BN250=1,IF(INDEX('Lease Cycles'!$EF$22:$EL$22,1,BN248)=1,BN251*INDEX('Lease Cycles'!$EM$22:$ES$22,1,BN248)+BN252*IF(BN249&lt;INDEX('Lease Cycles'!$FA$22:$FG$22,1,BN248),0,1-INDEX('Lease Cycles'!$EM$22:$ES$22,1,BN248)),BN251*IF(BN249&lt;INDEX('Lease Cycles'!$DK$22:$DQ$22,1,BN248),0,IF(BN249=INDEX('Lease Cycles'!$DK$22:$DQ$22,1,BN248),1-INDEX('Lease Cycles'!$DR$22:$DX$22,1,BN248),1))),0)</f>
        <v>0</v>
      </c>
      <c r="BO254" s="28">
        <f>IF(BO250=1,IF(INDEX('Lease Cycles'!$EF$22:$EL$22,1,BO248)=1,BO251*INDEX('Lease Cycles'!$EM$22:$ES$22,1,BO248)+BO252*IF(BO249&lt;INDEX('Lease Cycles'!$FA$22:$FG$22,1,BO248),0,1-INDEX('Lease Cycles'!$EM$22:$ES$22,1,BO248)),BO251*IF(BO249&lt;INDEX('Lease Cycles'!$DK$22:$DQ$22,1,BO248),0,IF(BO249=INDEX('Lease Cycles'!$DK$22:$DQ$22,1,BO248),1-INDEX('Lease Cycles'!$DR$22:$DX$22,1,BO248),1))),0)</f>
        <v>0</v>
      </c>
      <c r="BP254" s="28">
        <f>IF(BP250=1,IF(INDEX('Lease Cycles'!$EF$22:$EL$22,1,BP248)=1,BP251*INDEX('Lease Cycles'!$EM$22:$ES$22,1,BP248)+BP252*IF(BP249&lt;INDEX('Lease Cycles'!$FA$22:$FG$22,1,BP248),0,1-INDEX('Lease Cycles'!$EM$22:$ES$22,1,BP248)),BP251*IF(BP249&lt;INDEX('Lease Cycles'!$DK$22:$DQ$22,1,BP248),0,IF(BP249=INDEX('Lease Cycles'!$DK$22:$DQ$22,1,BP248),1-INDEX('Lease Cycles'!$DR$22:$DX$22,1,BP248),1))),0)</f>
        <v>0</v>
      </c>
      <c r="BQ254" s="28">
        <f>IF(BQ250=1,IF(INDEX('Lease Cycles'!$EF$22:$EL$22,1,BQ248)=1,BQ251*INDEX('Lease Cycles'!$EM$22:$ES$22,1,BQ248)+BQ252*IF(BQ249&lt;INDEX('Lease Cycles'!$FA$22:$FG$22,1,BQ248),0,1-INDEX('Lease Cycles'!$EM$22:$ES$22,1,BQ248)),BQ251*IF(BQ249&lt;INDEX('Lease Cycles'!$DK$22:$DQ$22,1,BQ248),0,IF(BQ249=INDEX('Lease Cycles'!$DK$22:$DQ$22,1,BQ248),1-INDEX('Lease Cycles'!$DR$22:$DX$22,1,BQ248),1))),0)</f>
        <v>0</v>
      </c>
      <c r="BR254" s="28">
        <f>IF(BR250=1,IF(INDEX('Lease Cycles'!$EF$22:$EL$22,1,BR248)=1,BR251*INDEX('Lease Cycles'!$EM$22:$ES$22,1,BR248)+BR252*IF(BR249&lt;INDEX('Lease Cycles'!$FA$22:$FG$22,1,BR248),0,1-INDEX('Lease Cycles'!$EM$22:$ES$22,1,BR248)),BR251*IF(BR249&lt;INDEX('Lease Cycles'!$DK$22:$DQ$22,1,BR248),0,IF(BR249=INDEX('Lease Cycles'!$DK$22:$DQ$22,1,BR248),1-INDEX('Lease Cycles'!$DR$22:$DX$22,1,BR248),1))),0)</f>
        <v>0</v>
      </c>
      <c r="BS254" s="28">
        <f>IF(BS250=1,IF(INDEX('Lease Cycles'!$EF$22:$EL$22,1,BS248)=1,BS251*INDEX('Lease Cycles'!$EM$22:$ES$22,1,BS248)+BS252*IF(BS249&lt;INDEX('Lease Cycles'!$FA$22:$FG$22,1,BS248),0,1-INDEX('Lease Cycles'!$EM$22:$ES$22,1,BS248)),BS251*IF(BS249&lt;INDEX('Lease Cycles'!$DK$22:$DQ$22,1,BS248),0,IF(BS249=INDEX('Lease Cycles'!$DK$22:$DQ$22,1,BS248),1-INDEX('Lease Cycles'!$DR$22:$DX$22,1,BS248),1))),0)</f>
        <v>0</v>
      </c>
      <c r="BT254" s="28">
        <f>IF(BT250=1,IF(INDEX('Lease Cycles'!$EF$22:$EL$22,1,BT248)=1,BT251*INDEX('Lease Cycles'!$EM$22:$ES$22,1,BT248)+BT252*IF(BT249&lt;INDEX('Lease Cycles'!$FA$22:$FG$22,1,BT248),0,1-INDEX('Lease Cycles'!$EM$22:$ES$22,1,BT248)),BT251*IF(BT249&lt;INDEX('Lease Cycles'!$DK$22:$DQ$22,1,BT248),0,IF(BT249=INDEX('Lease Cycles'!$DK$22:$DQ$22,1,BT248),1-INDEX('Lease Cycles'!$DR$22:$DX$22,1,BT248),1))),0)</f>
        <v>0</v>
      </c>
      <c r="BU254" s="28">
        <f>IF(BU250=1,IF(INDEX('Lease Cycles'!$EF$22:$EL$22,1,BU248)=1,BU251*INDEX('Lease Cycles'!$EM$22:$ES$22,1,BU248)+BU252*IF(BU249&lt;INDEX('Lease Cycles'!$FA$22:$FG$22,1,BU248),0,1-INDEX('Lease Cycles'!$EM$22:$ES$22,1,BU248)),BU251*IF(BU249&lt;INDEX('Lease Cycles'!$DK$22:$DQ$22,1,BU248),0,IF(BU249=INDEX('Lease Cycles'!$DK$22:$DQ$22,1,BU248),1-INDEX('Lease Cycles'!$DR$22:$DX$22,1,BU248),1))),0)</f>
        <v>0</v>
      </c>
      <c r="BV254" s="28">
        <f>IF(BV250=1,IF(INDEX('Lease Cycles'!$EF$22:$EL$22,1,BV248)=1,BV251*INDEX('Lease Cycles'!$EM$22:$ES$22,1,BV248)+BV252*IF(BV249&lt;INDEX('Lease Cycles'!$FA$22:$FG$22,1,BV248),0,1-INDEX('Lease Cycles'!$EM$22:$ES$22,1,BV248)),BV251*IF(BV249&lt;INDEX('Lease Cycles'!$DK$22:$DQ$22,1,BV248),0,IF(BV249=INDEX('Lease Cycles'!$DK$22:$DQ$22,1,BV248),1-INDEX('Lease Cycles'!$DR$22:$DX$22,1,BV248),1))),0)</f>
        <v>0</v>
      </c>
      <c r="BW254" s="28">
        <f>IF(BW250=1,IF(INDEX('Lease Cycles'!$EF$22:$EL$22,1,BW248)=1,BW251*INDEX('Lease Cycles'!$EM$22:$ES$22,1,BW248)+BW252*IF(BW249&lt;INDEX('Lease Cycles'!$FA$22:$FG$22,1,BW248),0,1-INDEX('Lease Cycles'!$EM$22:$ES$22,1,BW248)),BW251*IF(BW249&lt;INDEX('Lease Cycles'!$DK$22:$DQ$22,1,BW248),0,IF(BW249=INDEX('Lease Cycles'!$DK$22:$DQ$22,1,BW248),1-INDEX('Lease Cycles'!$DR$22:$DX$22,1,BW248),1))),0)</f>
        <v>0</v>
      </c>
      <c r="BX254" s="28">
        <f>IF(BX250=1,IF(INDEX('Lease Cycles'!$EF$22:$EL$22,1,BX248)=1,BX251*INDEX('Lease Cycles'!$EM$22:$ES$22,1,BX248)+BX252*IF(BX249&lt;INDEX('Lease Cycles'!$FA$22:$FG$22,1,BX248),0,1-INDEX('Lease Cycles'!$EM$22:$ES$22,1,BX248)),BX251*IF(BX249&lt;INDEX('Lease Cycles'!$DK$22:$DQ$22,1,BX248),0,IF(BX249=INDEX('Lease Cycles'!$DK$22:$DQ$22,1,BX248),1-INDEX('Lease Cycles'!$DR$22:$DX$22,1,BX248),1))),0)</f>
        <v>0</v>
      </c>
      <c r="BY254" s="28">
        <f>IF(BY250=1,IF(INDEX('Lease Cycles'!$EF$22:$EL$22,1,BY248)=1,BY251*INDEX('Lease Cycles'!$EM$22:$ES$22,1,BY248)+BY252*IF(BY249&lt;INDEX('Lease Cycles'!$FA$22:$FG$22,1,BY248),0,1-INDEX('Lease Cycles'!$EM$22:$ES$22,1,BY248)),BY251*IF(BY249&lt;INDEX('Lease Cycles'!$DK$22:$DQ$22,1,BY248),0,IF(BY249=INDEX('Lease Cycles'!$DK$22:$DQ$22,1,BY248),1-INDEX('Lease Cycles'!$DR$22:$DX$22,1,BY248),1))),0)</f>
        <v>0</v>
      </c>
      <c r="BZ254" s="28">
        <f>IF(BZ250=1,IF(INDEX('Lease Cycles'!$EF$22:$EL$22,1,BZ248)=1,BZ251*INDEX('Lease Cycles'!$EM$22:$ES$22,1,BZ248)+BZ252*IF(BZ249&lt;INDEX('Lease Cycles'!$FA$22:$FG$22,1,BZ248),0,1-INDEX('Lease Cycles'!$EM$22:$ES$22,1,BZ248)),BZ251*IF(BZ249&lt;INDEX('Lease Cycles'!$DK$22:$DQ$22,1,BZ248),0,IF(BZ249=INDEX('Lease Cycles'!$DK$22:$DQ$22,1,BZ248),1-INDEX('Lease Cycles'!$DR$22:$DX$22,1,BZ248),1))),0)</f>
        <v>0</v>
      </c>
      <c r="CA254" s="28">
        <f>IF(CA250=1,IF(INDEX('Lease Cycles'!$EF$22:$EL$22,1,CA248)=1,CA251*INDEX('Lease Cycles'!$EM$22:$ES$22,1,CA248)+CA252*IF(CA249&lt;INDEX('Lease Cycles'!$FA$22:$FG$22,1,CA248),0,1-INDEX('Lease Cycles'!$EM$22:$ES$22,1,CA248)),CA251*IF(CA249&lt;INDEX('Lease Cycles'!$DK$22:$DQ$22,1,CA248),0,IF(CA249=INDEX('Lease Cycles'!$DK$22:$DQ$22,1,CA248),1-INDEX('Lease Cycles'!$DR$22:$DX$22,1,CA248),1))),0)</f>
        <v>0</v>
      </c>
      <c r="CB254" s="28">
        <f>IF(CB250=1,IF(INDEX('Lease Cycles'!$EF$22:$EL$22,1,CB248)=1,CB251*INDEX('Lease Cycles'!$EM$22:$ES$22,1,CB248)+CB252*IF(CB249&lt;INDEX('Lease Cycles'!$FA$22:$FG$22,1,CB248),0,1-INDEX('Lease Cycles'!$EM$22:$ES$22,1,CB248)),CB251*IF(CB249&lt;INDEX('Lease Cycles'!$DK$22:$DQ$22,1,CB248),0,IF(CB249=INDEX('Lease Cycles'!$DK$22:$DQ$22,1,CB248),1-INDEX('Lease Cycles'!$DR$22:$DX$22,1,CB248),1))),0)</f>
        <v>0</v>
      </c>
      <c r="CC254" s="28">
        <f>IF(CC250=1,IF(INDEX('Lease Cycles'!$EF$22:$EL$22,1,CC248)=1,CC251*INDEX('Lease Cycles'!$EM$22:$ES$22,1,CC248)+CC252*IF(CC249&lt;INDEX('Lease Cycles'!$FA$22:$FG$22,1,CC248),0,1-INDEX('Lease Cycles'!$EM$22:$ES$22,1,CC248)),CC251*IF(CC249&lt;INDEX('Lease Cycles'!$DK$22:$DQ$22,1,CC248),0,IF(CC249=INDEX('Lease Cycles'!$DK$22:$DQ$22,1,CC248),1-INDEX('Lease Cycles'!$DR$22:$DX$22,1,CC248),1))),0)</f>
        <v>0</v>
      </c>
      <c r="CD254" s="28">
        <f>IF(CD250=1,IF(INDEX('Lease Cycles'!$EF$22:$EL$22,1,CD248)=1,CD251*INDEX('Lease Cycles'!$EM$22:$ES$22,1,CD248)+CD252*IF(CD249&lt;INDEX('Lease Cycles'!$FA$22:$FG$22,1,CD248),0,1-INDEX('Lease Cycles'!$EM$22:$ES$22,1,CD248)),CD251*IF(CD249&lt;INDEX('Lease Cycles'!$DK$22:$DQ$22,1,CD248),0,IF(CD249=INDEX('Lease Cycles'!$DK$22:$DQ$22,1,CD248),1-INDEX('Lease Cycles'!$DR$22:$DX$22,1,CD248),1))),0)</f>
        <v>0</v>
      </c>
      <c r="CE254" s="28">
        <f>IF(CE250=1,IF(INDEX('Lease Cycles'!$EF$22:$EL$22,1,CE248)=1,CE251*INDEX('Lease Cycles'!$EM$22:$ES$22,1,CE248)+CE252*IF(CE249&lt;INDEX('Lease Cycles'!$FA$22:$FG$22,1,CE248),0,1-INDEX('Lease Cycles'!$EM$22:$ES$22,1,CE248)),CE251*IF(CE249&lt;INDEX('Lease Cycles'!$DK$22:$DQ$22,1,CE248),0,IF(CE249=INDEX('Lease Cycles'!$DK$22:$DQ$22,1,CE248),1-INDEX('Lease Cycles'!$DR$22:$DX$22,1,CE248),1))),0)</f>
        <v>0</v>
      </c>
      <c r="CF254" s="28">
        <f>IF(CF250=1,IF(INDEX('Lease Cycles'!$EF$22:$EL$22,1,CF248)=1,CF251*INDEX('Lease Cycles'!$EM$22:$ES$22,1,CF248)+CF252*IF(CF249&lt;INDEX('Lease Cycles'!$FA$22:$FG$22,1,CF248),0,1-INDEX('Lease Cycles'!$EM$22:$ES$22,1,CF248)),CF251*IF(CF249&lt;INDEX('Lease Cycles'!$DK$22:$DQ$22,1,CF248),0,IF(CF249=INDEX('Lease Cycles'!$DK$22:$DQ$22,1,CF248),1-INDEX('Lease Cycles'!$DR$22:$DX$22,1,CF248),1))),0)</f>
        <v>0</v>
      </c>
      <c r="CG254" s="28">
        <f>IF(CG250=1,IF(INDEX('Lease Cycles'!$EF$22:$EL$22,1,CG248)=1,CG251*INDEX('Lease Cycles'!$EM$22:$ES$22,1,CG248)+CG252*IF(CG249&lt;INDEX('Lease Cycles'!$FA$22:$FG$22,1,CG248),0,1-INDEX('Lease Cycles'!$EM$22:$ES$22,1,CG248)),CG251*IF(CG249&lt;INDEX('Lease Cycles'!$DK$22:$DQ$22,1,CG248),0,IF(CG249=INDEX('Lease Cycles'!$DK$22:$DQ$22,1,CG248),1-INDEX('Lease Cycles'!$DR$22:$DX$22,1,CG248),1))),0)</f>
        <v>0</v>
      </c>
      <c r="CH254" s="28">
        <f>IF(CH250=1,IF(INDEX('Lease Cycles'!$EF$22:$EL$22,1,CH248)=1,CH251*INDEX('Lease Cycles'!$EM$22:$ES$22,1,CH248)+CH252*IF(CH249&lt;INDEX('Lease Cycles'!$FA$22:$FG$22,1,CH248),0,1-INDEX('Lease Cycles'!$EM$22:$ES$22,1,CH248)),CH251*IF(CH249&lt;INDEX('Lease Cycles'!$DK$22:$DQ$22,1,CH248),0,IF(CH249=INDEX('Lease Cycles'!$DK$22:$DQ$22,1,CH248),1-INDEX('Lease Cycles'!$DR$22:$DX$22,1,CH248),1))),0)</f>
        <v>0</v>
      </c>
      <c r="CI254" s="28">
        <f>IF(CI250=1,IF(INDEX('Lease Cycles'!$EF$22:$EL$22,1,CI248)=1,CI251*INDEX('Lease Cycles'!$EM$22:$ES$22,1,CI248)+CI252*IF(CI249&lt;INDEX('Lease Cycles'!$FA$22:$FG$22,1,CI248),0,1-INDEX('Lease Cycles'!$EM$22:$ES$22,1,CI248)),CI251*IF(CI249&lt;INDEX('Lease Cycles'!$DK$22:$DQ$22,1,CI248),0,IF(CI249=INDEX('Lease Cycles'!$DK$22:$DQ$22,1,CI248),1-INDEX('Lease Cycles'!$DR$22:$DX$22,1,CI248),1))),0)</f>
        <v>0</v>
      </c>
      <c r="CJ254" s="28">
        <f>IF(CJ250=1,IF(INDEX('Lease Cycles'!$EF$22:$EL$22,1,CJ248)=1,CJ251*INDEX('Lease Cycles'!$EM$22:$ES$22,1,CJ248)+CJ252*IF(CJ249&lt;INDEX('Lease Cycles'!$FA$22:$FG$22,1,CJ248),0,1-INDEX('Lease Cycles'!$EM$22:$ES$22,1,CJ248)),CJ251*IF(CJ249&lt;INDEX('Lease Cycles'!$DK$22:$DQ$22,1,CJ248),0,IF(CJ249=INDEX('Lease Cycles'!$DK$22:$DQ$22,1,CJ248),1-INDEX('Lease Cycles'!$DR$22:$DX$22,1,CJ248),1))),0)</f>
        <v>0</v>
      </c>
      <c r="CK254" s="28">
        <f>IF(CK250=1,IF(INDEX('Lease Cycles'!$EF$22:$EL$22,1,CK248)=1,CK251*INDEX('Lease Cycles'!$EM$22:$ES$22,1,CK248)+CK252*IF(CK249&lt;INDEX('Lease Cycles'!$FA$22:$FG$22,1,CK248),0,1-INDEX('Lease Cycles'!$EM$22:$ES$22,1,CK248)),CK251*IF(CK249&lt;INDEX('Lease Cycles'!$DK$22:$DQ$22,1,CK248),0,IF(CK249=INDEX('Lease Cycles'!$DK$22:$DQ$22,1,CK248),1-INDEX('Lease Cycles'!$DR$22:$DX$22,1,CK248),1))),0)</f>
        <v>0</v>
      </c>
      <c r="CL254" s="28">
        <f>IF(CL250=1,IF(INDEX('Lease Cycles'!$EF$22:$EL$22,1,CL248)=1,CL251*INDEX('Lease Cycles'!$EM$22:$ES$22,1,CL248)+CL252*IF(CL249&lt;INDEX('Lease Cycles'!$FA$22:$FG$22,1,CL248),0,1-INDEX('Lease Cycles'!$EM$22:$ES$22,1,CL248)),CL251*IF(CL249&lt;INDEX('Lease Cycles'!$DK$22:$DQ$22,1,CL248),0,IF(CL249=INDEX('Lease Cycles'!$DK$22:$DQ$22,1,CL248),1-INDEX('Lease Cycles'!$DR$22:$DX$22,1,CL248),1))),0)</f>
        <v>0</v>
      </c>
      <c r="CM254" s="28">
        <f>IF(CM250=1,IF(INDEX('Lease Cycles'!$EF$22:$EL$22,1,CM248)=1,CM251*INDEX('Lease Cycles'!$EM$22:$ES$22,1,CM248)+CM252*IF(CM249&lt;INDEX('Lease Cycles'!$FA$22:$FG$22,1,CM248),0,1-INDEX('Lease Cycles'!$EM$22:$ES$22,1,CM248)),CM251*IF(CM249&lt;INDEX('Lease Cycles'!$DK$22:$DQ$22,1,CM248),0,IF(CM249=INDEX('Lease Cycles'!$DK$22:$DQ$22,1,CM248),1-INDEX('Lease Cycles'!$DR$22:$DX$22,1,CM248),1))),0)</f>
        <v>0</v>
      </c>
      <c r="CN254" s="28">
        <f>IF(CN250=1,IF(INDEX('Lease Cycles'!$EF$22:$EL$22,1,CN248)=1,CN251*INDEX('Lease Cycles'!$EM$22:$ES$22,1,CN248)+CN252*IF(CN249&lt;INDEX('Lease Cycles'!$FA$22:$FG$22,1,CN248),0,1-INDEX('Lease Cycles'!$EM$22:$ES$22,1,CN248)),CN251*IF(CN249&lt;INDEX('Lease Cycles'!$DK$22:$DQ$22,1,CN248),0,IF(CN249=INDEX('Lease Cycles'!$DK$22:$DQ$22,1,CN248),1-INDEX('Lease Cycles'!$DR$22:$DX$22,1,CN248),1))),0)</f>
        <v>0</v>
      </c>
      <c r="CO254" s="28">
        <f>IF(CO250=1,IF(INDEX('Lease Cycles'!$EF$22:$EL$22,1,CO248)=1,CO251*INDEX('Lease Cycles'!$EM$22:$ES$22,1,CO248)+CO252*IF(CO249&lt;INDEX('Lease Cycles'!$FA$22:$FG$22,1,CO248),0,1-INDEX('Lease Cycles'!$EM$22:$ES$22,1,CO248)),CO251*IF(CO249&lt;INDEX('Lease Cycles'!$DK$22:$DQ$22,1,CO248),0,IF(CO249=INDEX('Lease Cycles'!$DK$22:$DQ$22,1,CO248),1-INDEX('Lease Cycles'!$DR$22:$DX$22,1,CO248),1))),0)</f>
        <v>0</v>
      </c>
      <c r="CP254" s="28">
        <f>IF(CP250=1,IF(INDEX('Lease Cycles'!$EF$22:$EL$22,1,CP248)=1,CP251*INDEX('Lease Cycles'!$EM$22:$ES$22,1,CP248)+CP252*IF(CP249&lt;INDEX('Lease Cycles'!$FA$22:$FG$22,1,CP248),0,1-INDEX('Lease Cycles'!$EM$22:$ES$22,1,CP248)),CP251*IF(CP249&lt;INDEX('Lease Cycles'!$DK$22:$DQ$22,1,CP248),0,IF(CP249=INDEX('Lease Cycles'!$DK$22:$DQ$22,1,CP248),1-INDEX('Lease Cycles'!$DR$22:$DX$22,1,CP248),1))),0)</f>
        <v>0</v>
      </c>
      <c r="CQ254" s="28">
        <f>IF(CQ250=1,IF(INDEX('Lease Cycles'!$EF$22:$EL$22,1,CQ248)=1,CQ251*INDEX('Lease Cycles'!$EM$22:$ES$22,1,CQ248)+CQ252*IF(CQ249&lt;INDEX('Lease Cycles'!$FA$22:$FG$22,1,CQ248),0,1-INDEX('Lease Cycles'!$EM$22:$ES$22,1,CQ248)),CQ251*IF(CQ249&lt;INDEX('Lease Cycles'!$DK$22:$DQ$22,1,CQ248),0,IF(CQ249=INDEX('Lease Cycles'!$DK$22:$DQ$22,1,CQ248),1-INDEX('Lease Cycles'!$DR$22:$DX$22,1,CQ248),1))),0)</f>
        <v>0</v>
      </c>
      <c r="CR254" s="28">
        <f>IF(CR250=1,IF(INDEX('Lease Cycles'!$EF$22:$EL$22,1,CR248)=1,CR251*INDEX('Lease Cycles'!$EM$22:$ES$22,1,CR248)+CR252*IF(CR249&lt;INDEX('Lease Cycles'!$FA$22:$FG$22,1,CR248),0,1-INDEX('Lease Cycles'!$EM$22:$ES$22,1,CR248)),CR251*IF(CR249&lt;INDEX('Lease Cycles'!$DK$22:$DQ$22,1,CR248),0,IF(CR249=INDEX('Lease Cycles'!$DK$22:$DQ$22,1,CR248),1-INDEX('Lease Cycles'!$DR$22:$DX$22,1,CR248),1))),0)</f>
        <v>0</v>
      </c>
      <c r="CS254" s="28">
        <f>IF(CS250=1,IF(INDEX('Lease Cycles'!$EF$22:$EL$22,1,CS248)=1,CS251*INDEX('Lease Cycles'!$EM$22:$ES$22,1,CS248)+CS252*IF(CS249&lt;INDEX('Lease Cycles'!$FA$22:$FG$22,1,CS248),0,1-INDEX('Lease Cycles'!$EM$22:$ES$22,1,CS248)),CS251*IF(CS249&lt;INDEX('Lease Cycles'!$DK$22:$DQ$22,1,CS248),0,IF(CS249=INDEX('Lease Cycles'!$DK$22:$DQ$22,1,CS248),1-INDEX('Lease Cycles'!$DR$22:$DX$22,1,CS248),1))),0)</f>
        <v>0</v>
      </c>
      <c r="CT254" s="28">
        <f>IF(CT250=1,IF(INDEX('Lease Cycles'!$EF$22:$EL$22,1,CT248)=1,CT251*INDEX('Lease Cycles'!$EM$22:$ES$22,1,CT248)+CT252*IF(CT249&lt;INDEX('Lease Cycles'!$FA$22:$FG$22,1,CT248),0,1-INDEX('Lease Cycles'!$EM$22:$ES$22,1,CT248)),CT251*IF(CT249&lt;INDEX('Lease Cycles'!$DK$22:$DQ$22,1,CT248),0,IF(CT249=INDEX('Lease Cycles'!$DK$22:$DQ$22,1,CT248),1-INDEX('Lease Cycles'!$DR$22:$DX$22,1,CT248),1))),0)</f>
        <v>0</v>
      </c>
      <c r="CU254" s="28">
        <f>IF(CU250=1,IF(INDEX('Lease Cycles'!$EF$22:$EL$22,1,CU248)=1,CU251*INDEX('Lease Cycles'!$EM$22:$ES$22,1,CU248)+CU252*IF(CU249&lt;INDEX('Lease Cycles'!$FA$22:$FG$22,1,CU248),0,1-INDEX('Lease Cycles'!$EM$22:$ES$22,1,CU248)),CU251*IF(CU249&lt;INDEX('Lease Cycles'!$DK$22:$DQ$22,1,CU248),0,IF(CU249=INDEX('Lease Cycles'!$DK$22:$DQ$22,1,CU248),1-INDEX('Lease Cycles'!$DR$22:$DX$22,1,CU248),1))),0)</f>
        <v>0</v>
      </c>
      <c r="CV254" s="28">
        <f>IF(CV250=1,IF(INDEX('Lease Cycles'!$EF$22:$EL$22,1,CV248)=1,CV251*INDEX('Lease Cycles'!$EM$22:$ES$22,1,CV248)+CV252*IF(CV249&lt;INDEX('Lease Cycles'!$FA$22:$FG$22,1,CV248),0,1-INDEX('Lease Cycles'!$EM$22:$ES$22,1,CV248)),CV251*IF(CV249&lt;INDEX('Lease Cycles'!$DK$22:$DQ$22,1,CV248),0,IF(CV249=INDEX('Lease Cycles'!$DK$22:$DQ$22,1,CV248),1-INDEX('Lease Cycles'!$DR$22:$DX$22,1,CV248),1))),0)</f>
        <v>0</v>
      </c>
      <c r="CW254" s="28">
        <f>IF(CW250=1,IF(INDEX('Lease Cycles'!$EF$22:$EL$22,1,CW248)=1,CW251*INDEX('Lease Cycles'!$EM$22:$ES$22,1,CW248)+CW252*IF(CW249&lt;INDEX('Lease Cycles'!$FA$22:$FG$22,1,CW248),0,1-INDEX('Lease Cycles'!$EM$22:$ES$22,1,CW248)),CW251*IF(CW249&lt;INDEX('Lease Cycles'!$DK$22:$DQ$22,1,CW248),0,IF(CW249=INDEX('Lease Cycles'!$DK$22:$DQ$22,1,CW248),1-INDEX('Lease Cycles'!$DR$22:$DX$22,1,CW248),1))),0)</f>
        <v>0</v>
      </c>
      <c r="CX254" s="28">
        <f>IF(CX250=1,IF(INDEX('Lease Cycles'!$EF$22:$EL$22,1,CX248)=1,CX251*INDEX('Lease Cycles'!$EM$22:$ES$22,1,CX248)+CX252*IF(CX249&lt;INDEX('Lease Cycles'!$FA$22:$FG$22,1,CX248),0,1-INDEX('Lease Cycles'!$EM$22:$ES$22,1,CX248)),CX251*IF(CX249&lt;INDEX('Lease Cycles'!$DK$22:$DQ$22,1,CX248),0,IF(CX249=INDEX('Lease Cycles'!$DK$22:$DQ$22,1,CX248),1-INDEX('Lease Cycles'!$DR$22:$DX$22,1,CX248),1))),0)</f>
        <v>0</v>
      </c>
      <c r="CY254" s="28">
        <f>IF(CY250=1,IF(INDEX('Lease Cycles'!$EF$22:$EL$22,1,CY248)=1,CY251*INDEX('Lease Cycles'!$EM$22:$ES$22,1,CY248)+CY252*IF(CY249&lt;INDEX('Lease Cycles'!$FA$22:$FG$22,1,CY248),0,1-INDEX('Lease Cycles'!$EM$22:$ES$22,1,CY248)),CY251*IF(CY249&lt;INDEX('Lease Cycles'!$DK$22:$DQ$22,1,CY248),0,IF(CY249=INDEX('Lease Cycles'!$DK$22:$DQ$22,1,CY248),1-INDEX('Lease Cycles'!$DR$22:$DX$22,1,CY248),1))),0)</f>
        <v>0</v>
      </c>
      <c r="CZ254" s="28">
        <f>IF(CZ250=1,IF(INDEX('Lease Cycles'!$EF$22:$EL$22,1,CZ248)=1,CZ251*INDEX('Lease Cycles'!$EM$22:$ES$22,1,CZ248)+CZ252*IF(CZ249&lt;INDEX('Lease Cycles'!$FA$22:$FG$22,1,CZ248),0,1-INDEX('Lease Cycles'!$EM$22:$ES$22,1,CZ248)),CZ251*IF(CZ249&lt;INDEX('Lease Cycles'!$DK$22:$DQ$22,1,CZ248),0,IF(CZ249=INDEX('Lease Cycles'!$DK$22:$DQ$22,1,CZ248),1-INDEX('Lease Cycles'!$DR$22:$DX$22,1,CZ248),1))),0)</f>
        <v>0</v>
      </c>
      <c r="DA254" s="28">
        <f>IF(DA250=1,IF(INDEX('Lease Cycles'!$EF$22:$EL$22,1,DA248)=1,DA251*INDEX('Lease Cycles'!$EM$22:$ES$22,1,DA248)+DA252*IF(DA249&lt;INDEX('Lease Cycles'!$FA$22:$FG$22,1,DA248),0,1-INDEX('Lease Cycles'!$EM$22:$ES$22,1,DA248)),DA251*IF(DA249&lt;INDEX('Lease Cycles'!$DK$22:$DQ$22,1,DA248),0,IF(DA249=INDEX('Lease Cycles'!$DK$22:$DQ$22,1,DA248),1-INDEX('Lease Cycles'!$DR$22:$DX$22,1,DA248),1))),0)</f>
        <v>0</v>
      </c>
      <c r="DB254" s="28">
        <f>IF(DB250=1,IF(INDEX('Lease Cycles'!$EF$22:$EL$22,1,DB248)=1,DB251*INDEX('Lease Cycles'!$EM$22:$ES$22,1,DB248)+DB252*IF(DB249&lt;INDEX('Lease Cycles'!$FA$22:$FG$22,1,DB248),0,1-INDEX('Lease Cycles'!$EM$22:$ES$22,1,DB248)),DB251*IF(DB249&lt;INDEX('Lease Cycles'!$DK$22:$DQ$22,1,DB248),0,IF(DB249=INDEX('Lease Cycles'!$DK$22:$DQ$22,1,DB248),1-INDEX('Lease Cycles'!$DR$22:$DX$22,1,DB248),1))),0)</f>
        <v>0</v>
      </c>
      <c r="DC254" s="28">
        <f>IF(DC250=1,IF(INDEX('Lease Cycles'!$EF$22:$EL$22,1,DC248)=1,DC251*INDEX('Lease Cycles'!$EM$22:$ES$22,1,DC248)+DC252*IF(DC249&lt;INDEX('Lease Cycles'!$FA$22:$FG$22,1,DC248),0,1-INDEX('Lease Cycles'!$EM$22:$ES$22,1,DC248)),DC251*IF(DC249&lt;INDEX('Lease Cycles'!$DK$22:$DQ$22,1,DC248),0,IF(DC249=INDEX('Lease Cycles'!$DK$22:$DQ$22,1,DC248),1-INDEX('Lease Cycles'!$DR$22:$DX$22,1,DC248),1))),0)</f>
        <v>0</v>
      </c>
      <c r="DD254" s="28">
        <f>IF(DD250=1,IF(INDEX('Lease Cycles'!$EF$22:$EL$22,1,DD248)=1,DD251*INDEX('Lease Cycles'!$EM$22:$ES$22,1,DD248)+DD252*IF(DD249&lt;INDEX('Lease Cycles'!$FA$22:$FG$22,1,DD248),0,1-INDEX('Lease Cycles'!$EM$22:$ES$22,1,DD248)),DD251*IF(DD249&lt;INDEX('Lease Cycles'!$DK$22:$DQ$22,1,DD248),0,IF(DD249=INDEX('Lease Cycles'!$DK$22:$DQ$22,1,DD248),1-INDEX('Lease Cycles'!$DR$22:$DX$22,1,DD248),1))),0)</f>
        <v>0</v>
      </c>
      <c r="DE254" s="28">
        <f>IF(DE250=1,IF(INDEX('Lease Cycles'!$EF$22:$EL$22,1,DE248)=1,DE251*INDEX('Lease Cycles'!$EM$22:$ES$22,1,DE248)+DE252*IF(DE249&lt;INDEX('Lease Cycles'!$FA$22:$FG$22,1,DE248),0,1-INDEX('Lease Cycles'!$EM$22:$ES$22,1,DE248)),DE251*IF(DE249&lt;INDEX('Lease Cycles'!$DK$22:$DQ$22,1,DE248),0,IF(DE249=INDEX('Lease Cycles'!$DK$22:$DQ$22,1,DE248),1-INDEX('Lease Cycles'!$DR$22:$DX$22,1,DE248),1))),0)</f>
        <v>0</v>
      </c>
      <c r="DF254" s="28">
        <f>IF(DF250=1,IF(INDEX('Lease Cycles'!$EF$22:$EL$22,1,DF248)=1,DF251*INDEX('Lease Cycles'!$EM$22:$ES$22,1,DF248)+DF252*IF(DF249&lt;INDEX('Lease Cycles'!$FA$22:$FG$22,1,DF248),0,1-INDEX('Lease Cycles'!$EM$22:$ES$22,1,DF248)),DF251*IF(DF249&lt;INDEX('Lease Cycles'!$DK$22:$DQ$22,1,DF248),0,IF(DF249=INDEX('Lease Cycles'!$DK$22:$DQ$22,1,DF248),1-INDEX('Lease Cycles'!$DR$22:$DX$22,1,DF248),1))),0)</f>
        <v>0</v>
      </c>
      <c r="DG254" s="28">
        <f>IF(DG250=1,IF(INDEX('Lease Cycles'!$EF$22:$EL$22,1,DG248)=1,DG251*INDEX('Lease Cycles'!$EM$22:$ES$22,1,DG248)+DG252*IF(DG249&lt;INDEX('Lease Cycles'!$FA$22:$FG$22,1,DG248),0,1-INDEX('Lease Cycles'!$EM$22:$ES$22,1,DG248)),DG251*IF(DG249&lt;INDEX('Lease Cycles'!$DK$22:$DQ$22,1,DG248),0,IF(DG249=INDEX('Lease Cycles'!$DK$22:$DQ$22,1,DG248),1-INDEX('Lease Cycles'!$DR$22:$DX$22,1,DG248),1))),0)</f>
        <v>0</v>
      </c>
      <c r="DH254" s="28">
        <f>IF(DH250=1,IF(INDEX('Lease Cycles'!$EF$22:$EL$22,1,DH248)=1,DH251*INDEX('Lease Cycles'!$EM$22:$ES$22,1,DH248)+DH252*IF(DH249&lt;INDEX('Lease Cycles'!$FA$22:$FG$22,1,DH248),0,1-INDEX('Lease Cycles'!$EM$22:$ES$22,1,DH248)),DH251*IF(DH249&lt;INDEX('Lease Cycles'!$DK$22:$DQ$22,1,DH248),0,IF(DH249=INDEX('Lease Cycles'!$DK$22:$DQ$22,1,DH248),1-INDEX('Lease Cycles'!$DR$22:$DX$22,1,DH248),1))),0)</f>
        <v>0</v>
      </c>
      <c r="DI254" s="28">
        <f>IF(DI250=1,IF(INDEX('Lease Cycles'!$EF$22:$EL$22,1,DI248)=1,DI251*INDEX('Lease Cycles'!$EM$22:$ES$22,1,DI248)+DI252*IF(DI249&lt;INDEX('Lease Cycles'!$FA$22:$FG$22,1,DI248),0,1-INDEX('Lease Cycles'!$EM$22:$ES$22,1,DI248)),DI251*IF(DI249&lt;INDEX('Lease Cycles'!$DK$22:$DQ$22,1,DI248),0,IF(DI249=INDEX('Lease Cycles'!$DK$22:$DQ$22,1,DI248),1-INDEX('Lease Cycles'!$DR$22:$DX$22,1,DI248),1))),0)</f>
        <v>0</v>
      </c>
      <c r="DJ254" s="28">
        <f>IF(DJ250=1,IF(INDEX('Lease Cycles'!$EF$22:$EL$22,1,DJ248)=1,DJ251*INDEX('Lease Cycles'!$EM$22:$ES$22,1,DJ248)+DJ252*IF(DJ249&lt;INDEX('Lease Cycles'!$FA$22:$FG$22,1,DJ248),0,1-INDEX('Lease Cycles'!$EM$22:$ES$22,1,DJ248)),DJ251*IF(DJ249&lt;INDEX('Lease Cycles'!$DK$22:$DQ$22,1,DJ248),0,IF(DJ249=INDEX('Lease Cycles'!$DK$22:$DQ$22,1,DJ248),1-INDEX('Lease Cycles'!$DR$22:$DX$22,1,DJ248),1))),0)</f>
        <v>0</v>
      </c>
      <c r="DK254" s="28">
        <f>IF(DK250=1,IF(INDEX('Lease Cycles'!$EF$22:$EL$22,1,DK248)=1,DK251*INDEX('Lease Cycles'!$EM$22:$ES$22,1,DK248)+DK252*IF(DK249&lt;INDEX('Lease Cycles'!$FA$22:$FG$22,1,DK248),0,1-INDEX('Lease Cycles'!$EM$22:$ES$22,1,DK248)),DK251*IF(DK249&lt;INDEX('Lease Cycles'!$DK$22:$DQ$22,1,DK248),0,IF(DK249=INDEX('Lease Cycles'!$DK$22:$DQ$22,1,DK248),1-INDEX('Lease Cycles'!$DR$22:$DX$22,1,DK248),1))),0)</f>
        <v>0</v>
      </c>
      <c r="DL254" s="28">
        <f>IF(DL250=1,IF(INDEX('Lease Cycles'!$EF$22:$EL$22,1,DL248)=1,DL251*INDEX('Lease Cycles'!$EM$22:$ES$22,1,DL248)+DL252*IF(DL249&lt;INDEX('Lease Cycles'!$FA$22:$FG$22,1,DL248),0,1-INDEX('Lease Cycles'!$EM$22:$ES$22,1,DL248)),DL251*IF(DL249&lt;INDEX('Lease Cycles'!$DK$22:$DQ$22,1,DL248),0,IF(DL249=INDEX('Lease Cycles'!$DK$22:$DQ$22,1,DL248),1-INDEX('Lease Cycles'!$DR$22:$DX$22,1,DL248),1))),0)</f>
        <v>0</v>
      </c>
      <c r="DM254" s="28">
        <f>IF(DM250=1,IF(INDEX('Lease Cycles'!$EF$22:$EL$22,1,DM248)=1,DM251*INDEX('Lease Cycles'!$EM$22:$ES$22,1,DM248)+DM252*IF(DM249&lt;INDEX('Lease Cycles'!$FA$22:$FG$22,1,DM248),0,1-INDEX('Lease Cycles'!$EM$22:$ES$22,1,DM248)),DM251*IF(DM249&lt;INDEX('Lease Cycles'!$DK$22:$DQ$22,1,DM248),0,IF(DM249=INDEX('Lease Cycles'!$DK$22:$DQ$22,1,DM248),1-INDEX('Lease Cycles'!$DR$22:$DX$22,1,DM248),1))),0)</f>
        <v>0</v>
      </c>
      <c r="DN254" s="28">
        <f>IF(DN250=1,IF(INDEX('Lease Cycles'!$EF$22:$EL$22,1,DN248)=1,DN251*INDEX('Lease Cycles'!$EM$22:$ES$22,1,DN248)+DN252*IF(DN249&lt;INDEX('Lease Cycles'!$FA$22:$FG$22,1,DN248),0,1-INDEX('Lease Cycles'!$EM$22:$ES$22,1,DN248)),DN251*IF(DN249&lt;INDEX('Lease Cycles'!$DK$22:$DQ$22,1,DN248),0,IF(DN249=INDEX('Lease Cycles'!$DK$22:$DQ$22,1,DN248),1-INDEX('Lease Cycles'!$DR$22:$DX$22,1,DN248),1))),0)</f>
        <v>0</v>
      </c>
      <c r="DO254" s="28">
        <f>IF(DO250=1,IF(INDEX('Lease Cycles'!$EF$22:$EL$22,1,DO248)=1,DO251*INDEX('Lease Cycles'!$EM$22:$ES$22,1,DO248)+DO252*IF(DO249&lt;INDEX('Lease Cycles'!$FA$22:$FG$22,1,DO248),0,1-INDEX('Lease Cycles'!$EM$22:$ES$22,1,DO248)),DO251*IF(DO249&lt;INDEX('Lease Cycles'!$DK$22:$DQ$22,1,DO248),0,IF(DO249=INDEX('Lease Cycles'!$DK$22:$DQ$22,1,DO248),1-INDEX('Lease Cycles'!$DR$22:$DX$22,1,DO248),1))),0)</f>
        <v>0</v>
      </c>
      <c r="DP254" s="28">
        <f>IF(DP250=1,IF(INDEX('Lease Cycles'!$EF$22:$EL$22,1,DP248)=1,DP251*INDEX('Lease Cycles'!$EM$22:$ES$22,1,DP248)+DP252*IF(DP249&lt;INDEX('Lease Cycles'!$FA$22:$FG$22,1,DP248),0,1-INDEX('Lease Cycles'!$EM$22:$ES$22,1,DP248)),DP251*IF(DP249&lt;INDEX('Lease Cycles'!$DK$22:$DQ$22,1,DP248),0,IF(DP249=INDEX('Lease Cycles'!$DK$22:$DQ$22,1,DP248),1-INDEX('Lease Cycles'!$DR$22:$DX$22,1,DP248),1))),0)</f>
        <v>0</v>
      </c>
      <c r="DQ254" s="28">
        <f>IF(DQ250=1,IF(INDEX('Lease Cycles'!$EF$22:$EL$22,1,DQ248)=1,DQ251*INDEX('Lease Cycles'!$EM$22:$ES$22,1,DQ248)+DQ252*IF(DQ249&lt;INDEX('Lease Cycles'!$FA$22:$FG$22,1,DQ248),0,1-INDEX('Lease Cycles'!$EM$22:$ES$22,1,DQ248)),DQ251*IF(DQ249&lt;INDEX('Lease Cycles'!$DK$22:$DQ$22,1,DQ248),0,IF(DQ249=INDEX('Lease Cycles'!$DK$22:$DQ$22,1,DQ248),1-INDEX('Lease Cycles'!$DR$22:$DX$22,1,DQ248),1))),0)</f>
        <v>0</v>
      </c>
      <c r="DR254" s="28">
        <f>IF(DR250=1,IF(INDEX('Lease Cycles'!$EF$22:$EL$22,1,DR248)=1,DR251*INDEX('Lease Cycles'!$EM$22:$ES$22,1,DR248)+DR252*IF(DR249&lt;INDEX('Lease Cycles'!$FA$22:$FG$22,1,DR248),0,1-INDEX('Lease Cycles'!$EM$22:$ES$22,1,DR248)),DR251*IF(DR249&lt;INDEX('Lease Cycles'!$DK$22:$DQ$22,1,DR248),0,IF(DR249=INDEX('Lease Cycles'!$DK$22:$DQ$22,1,DR248),1-INDEX('Lease Cycles'!$DR$22:$DX$22,1,DR248),1))),0)</f>
        <v>0</v>
      </c>
      <c r="DS254" s="28">
        <f>IF(DS250=1,IF(INDEX('Lease Cycles'!$EF$22:$EL$22,1,DS248)=1,DS251*INDEX('Lease Cycles'!$EM$22:$ES$22,1,DS248)+DS252*IF(DS249&lt;INDEX('Lease Cycles'!$FA$22:$FG$22,1,DS248),0,1-INDEX('Lease Cycles'!$EM$22:$ES$22,1,DS248)),DS251*IF(DS249&lt;INDEX('Lease Cycles'!$DK$22:$DQ$22,1,DS248),0,IF(DS249=INDEX('Lease Cycles'!$DK$22:$DQ$22,1,DS248),1-INDEX('Lease Cycles'!$DR$22:$DX$22,1,DS248),1))),0)</f>
        <v>0</v>
      </c>
      <c r="DT254" s="28">
        <f>IF(DT250=1,IF(INDEX('Lease Cycles'!$EF$22:$EL$22,1,DT248)=1,DT251*INDEX('Lease Cycles'!$EM$22:$ES$22,1,DT248)+DT252*IF(DT249&lt;INDEX('Lease Cycles'!$FA$22:$FG$22,1,DT248),0,1-INDEX('Lease Cycles'!$EM$22:$ES$22,1,DT248)),DT251*IF(DT249&lt;INDEX('Lease Cycles'!$DK$22:$DQ$22,1,DT248),0,IF(DT249=INDEX('Lease Cycles'!$DK$22:$DQ$22,1,DT248),1-INDEX('Lease Cycles'!$DR$22:$DX$22,1,DT248),1))),0)</f>
        <v>0</v>
      </c>
      <c r="DU254" s="28">
        <f>IF(DU250=1,IF(INDEX('Lease Cycles'!$EF$22:$EL$22,1,DU248)=1,DU251*INDEX('Lease Cycles'!$EM$22:$ES$22,1,DU248)+DU252*IF(DU249&lt;INDEX('Lease Cycles'!$FA$22:$FG$22,1,DU248),0,1-INDEX('Lease Cycles'!$EM$22:$ES$22,1,DU248)),DU251*IF(DU249&lt;INDEX('Lease Cycles'!$DK$22:$DQ$22,1,DU248),0,IF(DU249=INDEX('Lease Cycles'!$DK$22:$DQ$22,1,DU248),1-INDEX('Lease Cycles'!$DR$22:$DX$22,1,DU248),1))),0)</f>
        <v>0</v>
      </c>
      <c r="DV254" s="28">
        <f>IF(DV250=1,IF(INDEX('Lease Cycles'!$EF$22:$EL$22,1,DV248)=1,DV251*INDEX('Lease Cycles'!$EM$22:$ES$22,1,DV248)+DV252*IF(DV249&lt;INDEX('Lease Cycles'!$FA$22:$FG$22,1,DV248),0,1-INDEX('Lease Cycles'!$EM$22:$ES$22,1,DV248)),DV251*IF(DV249&lt;INDEX('Lease Cycles'!$DK$22:$DQ$22,1,DV248),0,IF(DV249=INDEX('Lease Cycles'!$DK$22:$DQ$22,1,DV248),1-INDEX('Lease Cycles'!$DR$22:$DX$22,1,DV248),1))),0)</f>
        <v>0</v>
      </c>
      <c r="DW254" s="28">
        <f>IF(DW250=1,IF(INDEX('Lease Cycles'!$EF$22:$EL$22,1,DW248)=1,DW251*INDEX('Lease Cycles'!$EM$22:$ES$22,1,DW248)+DW252*IF(DW249&lt;INDEX('Lease Cycles'!$FA$22:$FG$22,1,DW248),0,1-INDEX('Lease Cycles'!$EM$22:$ES$22,1,DW248)),DW251*IF(DW249&lt;INDEX('Lease Cycles'!$DK$22:$DQ$22,1,DW248),0,IF(DW249=INDEX('Lease Cycles'!$DK$22:$DQ$22,1,DW248),1-INDEX('Lease Cycles'!$DR$22:$DX$22,1,DW248),1))),0)</f>
        <v>0</v>
      </c>
      <c r="DX254" s="28">
        <f>IF(DX250=1,IF(INDEX('Lease Cycles'!$EF$22:$EL$22,1,DX248)=1,DX251*INDEX('Lease Cycles'!$EM$22:$ES$22,1,DX248)+DX252*IF(DX249&lt;INDEX('Lease Cycles'!$FA$22:$FG$22,1,DX248),0,1-INDEX('Lease Cycles'!$EM$22:$ES$22,1,DX248)),DX251*IF(DX249&lt;INDEX('Lease Cycles'!$DK$22:$DQ$22,1,DX248),0,IF(DX249=INDEX('Lease Cycles'!$DK$22:$DQ$22,1,DX248),1-INDEX('Lease Cycles'!$DR$22:$DX$22,1,DX248),1))),0)</f>
        <v>0</v>
      </c>
      <c r="DY254" s="28">
        <f>IF(DY250=1,IF(INDEX('Lease Cycles'!$EF$22:$EL$22,1,DY248)=1,DY251*INDEX('Lease Cycles'!$EM$22:$ES$22,1,DY248)+DY252*IF(DY249&lt;INDEX('Lease Cycles'!$FA$22:$FG$22,1,DY248),0,1-INDEX('Lease Cycles'!$EM$22:$ES$22,1,DY248)),DY251*IF(DY249&lt;INDEX('Lease Cycles'!$DK$22:$DQ$22,1,DY248),0,IF(DY249=INDEX('Lease Cycles'!$DK$22:$DQ$22,1,DY248),1-INDEX('Lease Cycles'!$DR$22:$DX$22,1,DY248),1))),0)</f>
        <v>0</v>
      </c>
      <c r="DZ254" s="28">
        <f>IF(DZ250=1,IF(INDEX('Lease Cycles'!$EF$22:$EL$22,1,DZ248)=1,DZ251*INDEX('Lease Cycles'!$EM$22:$ES$22,1,DZ248)+DZ252*IF(DZ249&lt;INDEX('Lease Cycles'!$FA$22:$FG$22,1,DZ248),0,1-INDEX('Lease Cycles'!$EM$22:$ES$22,1,DZ248)),DZ251*IF(DZ249&lt;INDEX('Lease Cycles'!$DK$22:$DQ$22,1,DZ248),0,IF(DZ249=INDEX('Lease Cycles'!$DK$22:$DQ$22,1,DZ248),1-INDEX('Lease Cycles'!$DR$22:$DX$22,1,DZ248),1))),0)</f>
        <v>0</v>
      </c>
      <c r="EA254" s="28">
        <f>IF(EA250=1,IF(INDEX('Lease Cycles'!$EF$22:$EL$22,1,EA248)=1,EA251*INDEX('Lease Cycles'!$EM$22:$ES$22,1,EA248)+EA252*IF(EA249&lt;INDEX('Lease Cycles'!$FA$22:$FG$22,1,EA248),0,1-INDEX('Lease Cycles'!$EM$22:$ES$22,1,EA248)),EA251*IF(EA249&lt;INDEX('Lease Cycles'!$DK$22:$DQ$22,1,EA248),0,IF(EA249=INDEX('Lease Cycles'!$DK$22:$DQ$22,1,EA248),1-INDEX('Lease Cycles'!$DR$22:$DX$22,1,EA248),1))),0)</f>
        <v>0</v>
      </c>
      <c r="EB254" s="28">
        <f>IF(EB250=1,IF(INDEX('Lease Cycles'!$EF$22:$EL$22,1,EB248)=1,EB251*INDEX('Lease Cycles'!$EM$22:$ES$22,1,EB248)+EB252*IF(EB249&lt;INDEX('Lease Cycles'!$FA$22:$FG$22,1,EB248),0,1-INDEX('Lease Cycles'!$EM$22:$ES$22,1,EB248)),EB251*IF(EB249&lt;INDEX('Lease Cycles'!$DK$22:$DQ$22,1,EB248),0,IF(EB249=INDEX('Lease Cycles'!$DK$22:$DQ$22,1,EB248),1-INDEX('Lease Cycles'!$DR$22:$DX$22,1,EB248),1))),0)</f>
        <v>0</v>
      </c>
      <c r="EC254" s="28">
        <f>IF(EC250=1,IF(INDEX('Lease Cycles'!$EF$22:$EL$22,1,EC248)=1,EC251*INDEX('Lease Cycles'!$EM$22:$ES$22,1,EC248)+EC252*IF(EC249&lt;INDEX('Lease Cycles'!$FA$22:$FG$22,1,EC248),0,1-INDEX('Lease Cycles'!$EM$22:$ES$22,1,EC248)),EC251*IF(EC249&lt;INDEX('Lease Cycles'!$DK$22:$DQ$22,1,EC248),0,IF(EC249=INDEX('Lease Cycles'!$DK$22:$DQ$22,1,EC248),1-INDEX('Lease Cycles'!$DR$22:$DX$22,1,EC248),1))),0)</f>
        <v>0</v>
      </c>
      <c r="ED254" s="28">
        <f>IF(ED250=1,IF(INDEX('Lease Cycles'!$EF$22:$EL$22,1,ED248)=1,ED251*INDEX('Lease Cycles'!$EM$22:$ES$22,1,ED248)+ED252*IF(ED249&lt;INDEX('Lease Cycles'!$FA$22:$FG$22,1,ED248),0,1-INDEX('Lease Cycles'!$EM$22:$ES$22,1,ED248)),ED251*IF(ED249&lt;INDEX('Lease Cycles'!$DK$22:$DQ$22,1,ED248),0,IF(ED249=INDEX('Lease Cycles'!$DK$22:$DQ$22,1,ED248),1-INDEX('Lease Cycles'!$DR$22:$DX$22,1,ED248),1))),0)</f>
        <v>0</v>
      </c>
      <c r="EE254" s="28">
        <f>IF(EE250=1,IF(INDEX('Lease Cycles'!$EF$22:$EL$22,1,EE248)=1,EE251*INDEX('Lease Cycles'!$EM$22:$ES$22,1,EE248)+EE252*IF(EE249&lt;INDEX('Lease Cycles'!$FA$22:$FG$22,1,EE248),0,1-INDEX('Lease Cycles'!$EM$22:$ES$22,1,EE248)),EE251*IF(EE249&lt;INDEX('Lease Cycles'!$DK$22:$DQ$22,1,EE248),0,IF(EE249=INDEX('Lease Cycles'!$DK$22:$DQ$22,1,EE248),1-INDEX('Lease Cycles'!$DR$22:$DX$22,1,EE248),1))),0)</f>
        <v>0</v>
      </c>
      <c r="EF254" s="28">
        <f>IF(EF250=1,IF(INDEX('Lease Cycles'!$EF$22:$EL$22,1,EF248)=1,EF251*INDEX('Lease Cycles'!$EM$22:$ES$22,1,EF248)+EF252*IF(EF249&lt;INDEX('Lease Cycles'!$FA$22:$FG$22,1,EF248),0,1-INDEX('Lease Cycles'!$EM$22:$ES$22,1,EF248)),EF251*IF(EF249&lt;INDEX('Lease Cycles'!$DK$22:$DQ$22,1,EF248),0,IF(EF249=INDEX('Lease Cycles'!$DK$22:$DQ$22,1,EF248),1-INDEX('Lease Cycles'!$DR$22:$DX$22,1,EF248),1))),0)</f>
        <v>0</v>
      </c>
      <c r="EG254" s="28">
        <f>IF(EG250=1,IF(INDEX('Lease Cycles'!$EF$22:$EL$22,1,EG248)=1,EG251*INDEX('Lease Cycles'!$EM$22:$ES$22,1,EG248)+EG252*IF(EG249&lt;INDEX('Lease Cycles'!$FA$22:$FG$22,1,EG248),0,1-INDEX('Lease Cycles'!$EM$22:$ES$22,1,EG248)),EG251*IF(EG249&lt;INDEX('Lease Cycles'!$DK$22:$DQ$22,1,EG248),0,IF(EG249=INDEX('Lease Cycles'!$DK$22:$DQ$22,1,EG248),1-INDEX('Lease Cycles'!$DR$22:$DX$22,1,EG248),1))),0)</f>
        <v>0</v>
      </c>
      <c r="EH254" s="28">
        <f>IF(EH250=1,IF(INDEX('Lease Cycles'!$EF$22:$EL$22,1,EH248)=1,EH251*INDEX('Lease Cycles'!$EM$22:$ES$22,1,EH248)+EH252*IF(EH249&lt;INDEX('Lease Cycles'!$FA$22:$FG$22,1,EH248),0,1-INDEX('Lease Cycles'!$EM$22:$ES$22,1,EH248)),EH251*IF(EH249&lt;INDEX('Lease Cycles'!$DK$22:$DQ$22,1,EH248),0,IF(EH249=INDEX('Lease Cycles'!$DK$22:$DQ$22,1,EH248),1-INDEX('Lease Cycles'!$DR$22:$DX$22,1,EH248),1))),0)</f>
        <v>0</v>
      </c>
      <c r="EI254" s="28">
        <f>IF(EI250=1,IF(INDEX('Lease Cycles'!$EF$22:$EL$22,1,EI248)=1,EI251*INDEX('Lease Cycles'!$EM$22:$ES$22,1,EI248)+EI252*IF(EI249&lt;INDEX('Lease Cycles'!$FA$22:$FG$22,1,EI248),0,1-INDEX('Lease Cycles'!$EM$22:$ES$22,1,EI248)),EI251*IF(EI249&lt;INDEX('Lease Cycles'!$DK$22:$DQ$22,1,EI248),0,IF(EI249=INDEX('Lease Cycles'!$DK$22:$DQ$22,1,EI248),1-INDEX('Lease Cycles'!$DR$22:$DX$22,1,EI248),1))),0)</f>
        <v>0</v>
      </c>
      <c r="EJ254" s="28">
        <f>IF(EJ250=1,IF(INDEX('Lease Cycles'!$EF$22:$EL$22,1,EJ248)=1,EJ251*INDEX('Lease Cycles'!$EM$22:$ES$22,1,EJ248)+EJ252*IF(EJ249&lt;INDEX('Lease Cycles'!$FA$22:$FG$22,1,EJ248),0,1-INDEX('Lease Cycles'!$EM$22:$ES$22,1,EJ248)),EJ251*IF(EJ249&lt;INDEX('Lease Cycles'!$DK$22:$DQ$22,1,EJ248),0,IF(EJ249=INDEX('Lease Cycles'!$DK$22:$DQ$22,1,EJ248),1-INDEX('Lease Cycles'!$DR$22:$DX$22,1,EJ248),1))),0)</f>
        <v>0</v>
      </c>
      <c r="EK254" s="28">
        <f>IF(EK250=1,IF(INDEX('Lease Cycles'!$EF$22:$EL$22,1,EK248)=1,EK251*INDEX('Lease Cycles'!$EM$22:$ES$22,1,EK248)+EK252*IF(EK249&lt;INDEX('Lease Cycles'!$FA$22:$FG$22,1,EK248),0,1-INDEX('Lease Cycles'!$EM$22:$ES$22,1,EK248)),EK251*IF(EK249&lt;INDEX('Lease Cycles'!$DK$22:$DQ$22,1,EK248),0,IF(EK249=INDEX('Lease Cycles'!$DK$22:$DQ$22,1,EK248),1-INDEX('Lease Cycles'!$DR$22:$DX$22,1,EK248),1))),0)</f>
        <v>0</v>
      </c>
      <c r="EL254" s="28">
        <f>IF(EL250=1,IF(INDEX('Lease Cycles'!$EF$22:$EL$22,1,EL248)=1,EL251*INDEX('Lease Cycles'!$EM$22:$ES$22,1,EL248)+EL252*IF(EL249&lt;INDEX('Lease Cycles'!$FA$22:$FG$22,1,EL248),0,1-INDEX('Lease Cycles'!$EM$22:$ES$22,1,EL248)),EL251*IF(EL249&lt;INDEX('Lease Cycles'!$DK$22:$DQ$22,1,EL248),0,IF(EL249=INDEX('Lease Cycles'!$DK$22:$DQ$22,1,EL248),1-INDEX('Lease Cycles'!$DR$22:$DX$22,1,EL248),1))),0)</f>
        <v>0</v>
      </c>
      <c r="EM254" s="28">
        <f>IF(EM250=1,IF(INDEX('Lease Cycles'!$EF$22:$EL$22,1,EM248)=1,EM251*INDEX('Lease Cycles'!$EM$22:$ES$22,1,EM248)+EM252*IF(EM249&lt;INDEX('Lease Cycles'!$FA$22:$FG$22,1,EM248),0,1-INDEX('Lease Cycles'!$EM$22:$ES$22,1,EM248)),EM251*IF(EM249&lt;INDEX('Lease Cycles'!$DK$22:$DQ$22,1,EM248),0,IF(EM249=INDEX('Lease Cycles'!$DK$22:$DQ$22,1,EM248),1-INDEX('Lease Cycles'!$DR$22:$DX$22,1,EM248),1))),0)</f>
        <v>0</v>
      </c>
      <c r="EN254" s="28">
        <f>IF(EN250=1,IF(INDEX('Lease Cycles'!$EF$22:$EL$22,1,EN248)=1,EN251*INDEX('Lease Cycles'!$EM$22:$ES$22,1,EN248)+EN252*IF(EN249&lt;INDEX('Lease Cycles'!$FA$22:$FG$22,1,EN248),0,1-INDEX('Lease Cycles'!$EM$22:$ES$22,1,EN248)),EN251*IF(EN249&lt;INDEX('Lease Cycles'!$DK$22:$DQ$22,1,EN248),0,IF(EN249=INDEX('Lease Cycles'!$DK$22:$DQ$22,1,EN248),1-INDEX('Lease Cycles'!$DR$22:$DX$22,1,EN248),1))),0)</f>
        <v>0</v>
      </c>
      <c r="EO254" s="28">
        <f>IF(EO250=1,IF(INDEX('Lease Cycles'!$EF$22:$EL$22,1,EO248)=1,EO251*INDEX('Lease Cycles'!$EM$22:$ES$22,1,EO248)+EO252*IF(EO249&lt;INDEX('Lease Cycles'!$FA$22:$FG$22,1,EO248),0,1-INDEX('Lease Cycles'!$EM$22:$ES$22,1,EO248)),EO251*IF(EO249&lt;INDEX('Lease Cycles'!$DK$22:$DQ$22,1,EO248),0,IF(EO249=INDEX('Lease Cycles'!$DK$22:$DQ$22,1,EO248),1-INDEX('Lease Cycles'!$DR$22:$DX$22,1,EO248),1))),0)</f>
        <v>0</v>
      </c>
      <c r="EP254" s="28">
        <f>IF(EP250=1,IF(INDEX('Lease Cycles'!$EF$22:$EL$22,1,EP248)=1,EP251*INDEX('Lease Cycles'!$EM$22:$ES$22,1,EP248)+EP252*IF(EP249&lt;INDEX('Lease Cycles'!$FA$22:$FG$22,1,EP248),0,1-INDEX('Lease Cycles'!$EM$22:$ES$22,1,EP248)),EP251*IF(EP249&lt;INDEX('Lease Cycles'!$DK$22:$DQ$22,1,EP248),0,IF(EP249=INDEX('Lease Cycles'!$DK$22:$DQ$22,1,EP248),1-INDEX('Lease Cycles'!$DR$22:$DX$22,1,EP248),1))),0)</f>
        <v>0</v>
      </c>
      <c r="EQ254" s="28">
        <f>IF(EQ250=1,IF(INDEX('Lease Cycles'!$EF$22:$EL$22,1,EQ248)=1,EQ251*INDEX('Lease Cycles'!$EM$22:$ES$22,1,EQ248)+EQ252*IF(EQ249&lt;INDEX('Lease Cycles'!$FA$22:$FG$22,1,EQ248),0,1-INDEX('Lease Cycles'!$EM$22:$ES$22,1,EQ248)),EQ251*IF(EQ249&lt;INDEX('Lease Cycles'!$DK$22:$DQ$22,1,EQ248),0,IF(EQ249=INDEX('Lease Cycles'!$DK$22:$DQ$22,1,EQ248),1-INDEX('Lease Cycles'!$DR$22:$DX$22,1,EQ248),1))),0)</f>
        <v>0</v>
      </c>
      <c r="ER254" s="28">
        <f>IF(ER250=1,IF(INDEX('Lease Cycles'!$EF$22:$EL$22,1,ER248)=1,ER251*INDEX('Lease Cycles'!$EM$22:$ES$22,1,ER248)+ER252*IF(ER249&lt;INDEX('Lease Cycles'!$FA$22:$FG$22,1,ER248),0,1-INDEX('Lease Cycles'!$EM$22:$ES$22,1,ER248)),ER251*IF(ER249&lt;INDEX('Lease Cycles'!$DK$22:$DQ$22,1,ER248),0,IF(ER249=INDEX('Lease Cycles'!$DK$22:$DQ$22,1,ER248),1-INDEX('Lease Cycles'!$DR$22:$DX$22,1,ER248),1))),0)</f>
        <v>0</v>
      </c>
      <c r="ES254" s="28">
        <f>IF(ES250=1,IF(INDEX('Lease Cycles'!$EF$22:$EL$22,1,ES248)=1,ES251*INDEX('Lease Cycles'!$EM$22:$ES$22,1,ES248)+ES252*IF(ES249&lt;INDEX('Lease Cycles'!$FA$22:$FG$22,1,ES248),0,1-INDEX('Lease Cycles'!$EM$22:$ES$22,1,ES248)),ES251*IF(ES249&lt;INDEX('Lease Cycles'!$DK$22:$DQ$22,1,ES248),0,IF(ES249=INDEX('Lease Cycles'!$DK$22:$DQ$22,1,ES248),1-INDEX('Lease Cycles'!$DR$22:$DX$22,1,ES248),1))),0)</f>
        <v>0</v>
      </c>
      <c r="ET254" s="28">
        <f>IF(ET250=1,IF(INDEX('Lease Cycles'!$EF$22:$EL$22,1,ET248)=1,ET251*INDEX('Lease Cycles'!$EM$22:$ES$22,1,ET248)+ET252*IF(ET249&lt;INDEX('Lease Cycles'!$FA$22:$FG$22,1,ET248),0,1-INDEX('Lease Cycles'!$EM$22:$ES$22,1,ET248)),ET251*IF(ET249&lt;INDEX('Lease Cycles'!$DK$22:$DQ$22,1,ET248),0,IF(ET249=INDEX('Lease Cycles'!$DK$22:$DQ$22,1,ET248),1-INDEX('Lease Cycles'!$DR$22:$DX$22,1,ET248),1))),0)</f>
        <v>0</v>
      </c>
    </row>
    <row r="255">
      <c r="A255" s="103">
        <v>15</v>
      </c>
      <c r="B255" s="23" t="str">
        <f>IF('Lease Cycles'!$B$22="","(empty slot)",'Lease Cycles'!$B$22)</f>
        <v>(empty slot)</v>
      </c>
      <c r="C255" s="23" t="s">
        <v>493</v>
      </c>
      <c r="D255" s="104" t="s">
        <v>494</v>
      </c>
      <c r="E255" s="25">
        <f>'Lease Cycles'!$AL$22</f>
        <v>0</v>
      </c>
      <c r="G255" s="28">
        <f>SUM(S255:AD255)</f>
        <v>0</v>
      </c>
      <c r="H255" s="28">
        <f>SUM(AE255:AP255)</f>
        <v>0</v>
      </c>
      <c r="I255" s="28">
        <f>SUM(AQ255:BB255)</f>
        <v>0</v>
      </c>
      <c r="J255" s="28">
        <f>SUM(BC255:BN255)</f>
        <v>0</v>
      </c>
      <c r="K255" s="28">
        <f>SUM(BO255:BZ255)</f>
        <v>0</v>
      </c>
      <c r="L255" s="28">
        <f>SUM(CA255:CL255)</f>
        <v>0</v>
      </c>
      <c r="M255" s="28">
        <f>SUM(CM255:CX255)</f>
        <v>0</v>
      </c>
      <c r="N255" s="28">
        <f>SUM(CY255:DJ255)</f>
        <v>0</v>
      </c>
      <c r="O255" s="28">
        <f>SUM(DK255:DV255)</f>
        <v>0</v>
      </c>
      <c r="P255" s="28">
        <f>SUM(DW255:EH255)</f>
        <v>0</v>
      </c>
      <c r="Q255" s="28">
        <f>SUM(EI255:ET255)</f>
        <v>0</v>
      </c>
      <c r="S255" s="28">
        <f>IF(S250=1,IF(INDEX('Lease Cycles'!$EF$22:$EL$22,1,S248)=1,0,S251*(1-IF(S249&lt;INDEX('Lease Cycles'!$DK$22:$DQ$22,1,S248),0,IF(S249=INDEX('Lease Cycles'!$DK$22:$DQ$22,1,S248),1-INDEX('Lease Cycles'!$DR$22:$DX$22,1,S248),1))-IF(S249=0,INDEX('Lease Cycles'!$DD$22:$DJ$22,1,S248),0))),0)</f>
        <v>0</v>
      </c>
      <c r="T255" s="28">
        <f>IF(T250=1,IF(INDEX('Lease Cycles'!$EF$22:$EL$22,1,T248)=1,0,T251*(1-IF(T249&lt;INDEX('Lease Cycles'!$DK$22:$DQ$22,1,T248),0,IF(T249=INDEX('Lease Cycles'!$DK$22:$DQ$22,1,T248),1-INDEX('Lease Cycles'!$DR$22:$DX$22,1,T248),1))-IF(T249=0,INDEX('Lease Cycles'!$DD$22:$DJ$22,1,T248),0))),0)</f>
        <v>0</v>
      </c>
      <c r="U255" s="28">
        <f>IF(U250=1,IF(INDEX('Lease Cycles'!$EF$22:$EL$22,1,U248)=1,0,U251*(1-IF(U249&lt;INDEX('Lease Cycles'!$DK$22:$DQ$22,1,U248),0,IF(U249=INDEX('Lease Cycles'!$DK$22:$DQ$22,1,U248),1-INDEX('Lease Cycles'!$DR$22:$DX$22,1,U248),1))-IF(U249=0,INDEX('Lease Cycles'!$DD$22:$DJ$22,1,U248),0))),0)</f>
        <v>0</v>
      </c>
      <c r="V255" s="28">
        <f>IF(V250=1,IF(INDEX('Lease Cycles'!$EF$22:$EL$22,1,V248)=1,0,V251*(1-IF(V249&lt;INDEX('Lease Cycles'!$DK$22:$DQ$22,1,V248),0,IF(V249=INDEX('Lease Cycles'!$DK$22:$DQ$22,1,V248),1-INDEX('Lease Cycles'!$DR$22:$DX$22,1,V248),1))-IF(V249=0,INDEX('Lease Cycles'!$DD$22:$DJ$22,1,V248),0))),0)</f>
        <v>0</v>
      </c>
      <c r="W255" s="28">
        <f>IF(W250=1,IF(INDEX('Lease Cycles'!$EF$22:$EL$22,1,W248)=1,0,W251*(1-IF(W249&lt;INDEX('Lease Cycles'!$DK$22:$DQ$22,1,W248),0,IF(W249=INDEX('Lease Cycles'!$DK$22:$DQ$22,1,W248),1-INDEX('Lease Cycles'!$DR$22:$DX$22,1,W248),1))-IF(W249=0,INDEX('Lease Cycles'!$DD$22:$DJ$22,1,W248),0))),0)</f>
        <v>0</v>
      </c>
      <c r="X255" s="28">
        <f>IF(X250=1,IF(INDEX('Lease Cycles'!$EF$22:$EL$22,1,X248)=1,0,X251*(1-IF(X249&lt;INDEX('Lease Cycles'!$DK$22:$DQ$22,1,X248),0,IF(X249=INDEX('Lease Cycles'!$DK$22:$DQ$22,1,X248),1-INDEX('Lease Cycles'!$DR$22:$DX$22,1,X248),1))-IF(X249=0,INDEX('Lease Cycles'!$DD$22:$DJ$22,1,X248),0))),0)</f>
        <v>0</v>
      </c>
      <c r="Y255" s="28">
        <f>IF(Y250=1,IF(INDEX('Lease Cycles'!$EF$22:$EL$22,1,Y248)=1,0,Y251*(1-IF(Y249&lt;INDEX('Lease Cycles'!$DK$22:$DQ$22,1,Y248),0,IF(Y249=INDEX('Lease Cycles'!$DK$22:$DQ$22,1,Y248),1-INDEX('Lease Cycles'!$DR$22:$DX$22,1,Y248),1))-IF(Y249=0,INDEX('Lease Cycles'!$DD$22:$DJ$22,1,Y248),0))),0)</f>
        <v>0</v>
      </c>
      <c r="Z255" s="28">
        <f>IF(Z250=1,IF(INDEX('Lease Cycles'!$EF$22:$EL$22,1,Z248)=1,0,Z251*(1-IF(Z249&lt;INDEX('Lease Cycles'!$DK$22:$DQ$22,1,Z248),0,IF(Z249=INDEX('Lease Cycles'!$DK$22:$DQ$22,1,Z248),1-INDEX('Lease Cycles'!$DR$22:$DX$22,1,Z248),1))-IF(Z249=0,INDEX('Lease Cycles'!$DD$22:$DJ$22,1,Z248),0))),0)</f>
        <v>0</v>
      </c>
      <c r="AA255" s="28">
        <f>IF(AA250=1,IF(INDEX('Lease Cycles'!$EF$22:$EL$22,1,AA248)=1,0,AA251*(1-IF(AA249&lt;INDEX('Lease Cycles'!$DK$22:$DQ$22,1,AA248),0,IF(AA249=INDEX('Lease Cycles'!$DK$22:$DQ$22,1,AA248),1-INDEX('Lease Cycles'!$DR$22:$DX$22,1,AA248),1))-IF(AA249=0,INDEX('Lease Cycles'!$DD$22:$DJ$22,1,AA248),0))),0)</f>
        <v>0</v>
      </c>
      <c r="AB255" s="28">
        <f>IF(AB250=1,IF(INDEX('Lease Cycles'!$EF$22:$EL$22,1,AB248)=1,0,AB251*(1-IF(AB249&lt;INDEX('Lease Cycles'!$DK$22:$DQ$22,1,AB248),0,IF(AB249=INDEX('Lease Cycles'!$DK$22:$DQ$22,1,AB248),1-INDEX('Lease Cycles'!$DR$22:$DX$22,1,AB248),1))-IF(AB249=0,INDEX('Lease Cycles'!$DD$22:$DJ$22,1,AB248),0))),0)</f>
        <v>0</v>
      </c>
      <c r="AC255" s="28">
        <f>IF(AC250=1,IF(INDEX('Lease Cycles'!$EF$22:$EL$22,1,AC248)=1,0,AC251*(1-IF(AC249&lt;INDEX('Lease Cycles'!$DK$22:$DQ$22,1,AC248),0,IF(AC249=INDEX('Lease Cycles'!$DK$22:$DQ$22,1,AC248),1-INDEX('Lease Cycles'!$DR$22:$DX$22,1,AC248),1))-IF(AC249=0,INDEX('Lease Cycles'!$DD$22:$DJ$22,1,AC248),0))),0)</f>
        <v>0</v>
      </c>
      <c r="AD255" s="28">
        <f>IF(AD250=1,IF(INDEX('Lease Cycles'!$EF$22:$EL$22,1,AD248)=1,0,AD251*(1-IF(AD249&lt;INDEX('Lease Cycles'!$DK$22:$DQ$22,1,AD248),0,IF(AD249=INDEX('Lease Cycles'!$DK$22:$DQ$22,1,AD248),1-INDEX('Lease Cycles'!$DR$22:$DX$22,1,AD248),1))-IF(AD249=0,INDEX('Lease Cycles'!$DD$22:$DJ$22,1,AD248),0))),0)</f>
        <v>0</v>
      </c>
      <c r="AE255" s="28">
        <f>IF(AE250=1,IF(INDEX('Lease Cycles'!$EF$22:$EL$22,1,AE248)=1,0,AE251*(1-IF(AE249&lt;INDEX('Lease Cycles'!$DK$22:$DQ$22,1,AE248),0,IF(AE249=INDEX('Lease Cycles'!$DK$22:$DQ$22,1,AE248),1-INDEX('Lease Cycles'!$DR$22:$DX$22,1,AE248),1))-IF(AE249=0,INDEX('Lease Cycles'!$DD$22:$DJ$22,1,AE248),0))),0)</f>
        <v>0</v>
      </c>
      <c r="AF255" s="28">
        <f>IF(AF250=1,IF(INDEX('Lease Cycles'!$EF$22:$EL$22,1,AF248)=1,0,AF251*(1-IF(AF249&lt;INDEX('Lease Cycles'!$DK$22:$DQ$22,1,AF248),0,IF(AF249=INDEX('Lease Cycles'!$DK$22:$DQ$22,1,AF248),1-INDEX('Lease Cycles'!$DR$22:$DX$22,1,AF248),1))-IF(AF249=0,INDEX('Lease Cycles'!$DD$22:$DJ$22,1,AF248),0))),0)</f>
        <v>0</v>
      </c>
      <c r="AG255" s="28">
        <f>IF(AG250=1,IF(INDEX('Lease Cycles'!$EF$22:$EL$22,1,AG248)=1,0,AG251*(1-IF(AG249&lt;INDEX('Lease Cycles'!$DK$22:$DQ$22,1,AG248),0,IF(AG249=INDEX('Lease Cycles'!$DK$22:$DQ$22,1,AG248),1-INDEX('Lease Cycles'!$DR$22:$DX$22,1,AG248),1))-IF(AG249=0,INDEX('Lease Cycles'!$DD$22:$DJ$22,1,AG248),0))),0)</f>
        <v>0</v>
      </c>
      <c r="AH255" s="28">
        <f>IF(AH250=1,IF(INDEX('Lease Cycles'!$EF$22:$EL$22,1,AH248)=1,0,AH251*(1-IF(AH249&lt;INDEX('Lease Cycles'!$DK$22:$DQ$22,1,AH248),0,IF(AH249=INDEX('Lease Cycles'!$DK$22:$DQ$22,1,AH248),1-INDEX('Lease Cycles'!$DR$22:$DX$22,1,AH248),1))-IF(AH249=0,INDEX('Lease Cycles'!$DD$22:$DJ$22,1,AH248),0))),0)</f>
        <v>0</v>
      </c>
      <c r="AI255" s="28">
        <f>IF(AI250=1,IF(INDEX('Lease Cycles'!$EF$22:$EL$22,1,AI248)=1,0,AI251*(1-IF(AI249&lt;INDEX('Lease Cycles'!$DK$22:$DQ$22,1,AI248),0,IF(AI249=INDEX('Lease Cycles'!$DK$22:$DQ$22,1,AI248),1-INDEX('Lease Cycles'!$DR$22:$DX$22,1,AI248),1))-IF(AI249=0,INDEX('Lease Cycles'!$DD$22:$DJ$22,1,AI248),0))),0)</f>
        <v>0</v>
      </c>
      <c r="AJ255" s="28">
        <f>IF(AJ250=1,IF(INDEX('Lease Cycles'!$EF$22:$EL$22,1,AJ248)=1,0,AJ251*(1-IF(AJ249&lt;INDEX('Lease Cycles'!$DK$22:$DQ$22,1,AJ248),0,IF(AJ249=INDEX('Lease Cycles'!$DK$22:$DQ$22,1,AJ248),1-INDEX('Lease Cycles'!$DR$22:$DX$22,1,AJ248),1))-IF(AJ249=0,INDEX('Lease Cycles'!$DD$22:$DJ$22,1,AJ248),0))),0)</f>
        <v>0</v>
      </c>
      <c r="AK255" s="28">
        <f>IF(AK250=1,IF(INDEX('Lease Cycles'!$EF$22:$EL$22,1,AK248)=1,0,AK251*(1-IF(AK249&lt;INDEX('Lease Cycles'!$DK$22:$DQ$22,1,AK248),0,IF(AK249=INDEX('Lease Cycles'!$DK$22:$DQ$22,1,AK248),1-INDEX('Lease Cycles'!$DR$22:$DX$22,1,AK248),1))-IF(AK249=0,INDEX('Lease Cycles'!$DD$22:$DJ$22,1,AK248),0))),0)</f>
        <v>0</v>
      </c>
      <c r="AL255" s="28">
        <f>IF(AL250=1,IF(INDEX('Lease Cycles'!$EF$22:$EL$22,1,AL248)=1,0,AL251*(1-IF(AL249&lt;INDEX('Lease Cycles'!$DK$22:$DQ$22,1,AL248),0,IF(AL249=INDEX('Lease Cycles'!$DK$22:$DQ$22,1,AL248),1-INDEX('Lease Cycles'!$DR$22:$DX$22,1,AL248),1))-IF(AL249=0,INDEX('Lease Cycles'!$DD$22:$DJ$22,1,AL248),0))),0)</f>
        <v>0</v>
      </c>
      <c r="AM255" s="28">
        <f>IF(AM250=1,IF(INDEX('Lease Cycles'!$EF$22:$EL$22,1,AM248)=1,0,AM251*(1-IF(AM249&lt;INDEX('Lease Cycles'!$DK$22:$DQ$22,1,AM248),0,IF(AM249=INDEX('Lease Cycles'!$DK$22:$DQ$22,1,AM248),1-INDEX('Lease Cycles'!$DR$22:$DX$22,1,AM248),1))-IF(AM249=0,INDEX('Lease Cycles'!$DD$22:$DJ$22,1,AM248),0))),0)</f>
        <v>0</v>
      </c>
      <c r="AN255" s="28">
        <f>IF(AN250=1,IF(INDEX('Lease Cycles'!$EF$22:$EL$22,1,AN248)=1,0,AN251*(1-IF(AN249&lt;INDEX('Lease Cycles'!$DK$22:$DQ$22,1,AN248),0,IF(AN249=INDEX('Lease Cycles'!$DK$22:$DQ$22,1,AN248),1-INDEX('Lease Cycles'!$DR$22:$DX$22,1,AN248),1))-IF(AN249=0,INDEX('Lease Cycles'!$DD$22:$DJ$22,1,AN248),0))),0)</f>
        <v>0</v>
      </c>
      <c r="AO255" s="28">
        <f>IF(AO250=1,IF(INDEX('Lease Cycles'!$EF$22:$EL$22,1,AO248)=1,0,AO251*(1-IF(AO249&lt;INDEX('Lease Cycles'!$DK$22:$DQ$22,1,AO248),0,IF(AO249=INDEX('Lease Cycles'!$DK$22:$DQ$22,1,AO248),1-INDEX('Lease Cycles'!$DR$22:$DX$22,1,AO248),1))-IF(AO249=0,INDEX('Lease Cycles'!$DD$22:$DJ$22,1,AO248),0))),0)</f>
        <v>0</v>
      </c>
      <c r="AP255" s="28">
        <f>IF(AP250=1,IF(INDEX('Lease Cycles'!$EF$22:$EL$22,1,AP248)=1,0,AP251*(1-IF(AP249&lt;INDEX('Lease Cycles'!$DK$22:$DQ$22,1,AP248),0,IF(AP249=INDEX('Lease Cycles'!$DK$22:$DQ$22,1,AP248),1-INDEX('Lease Cycles'!$DR$22:$DX$22,1,AP248),1))-IF(AP249=0,INDEX('Lease Cycles'!$DD$22:$DJ$22,1,AP248),0))),0)</f>
        <v>0</v>
      </c>
      <c r="AQ255" s="28">
        <f>IF(AQ250=1,IF(INDEX('Lease Cycles'!$EF$22:$EL$22,1,AQ248)=1,0,AQ251*(1-IF(AQ249&lt;INDEX('Lease Cycles'!$DK$22:$DQ$22,1,AQ248),0,IF(AQ249=INDEX('Lease Cycles'!$DK$22:$DQ$22,1,AQ248),1-INDEX('Lease Cycles'!$DR$22:$DX$22,1,AQ248),1))-IF(AQ249=0,INDEX('Lease Cycles'!$DD$22:$DJ$22,1,AQ248),0))),0)</f>
        <v>0</v>
      </c>
      <c r="AR255" s="28">
        <f>IF(AR250=1,IF(INDEX('Lease Cycles'!$EF$22:$EL$22,1,AR248)=1,0,AR251*(1-IF(AR249&lt;INDEX('Lease Cycles'!$DK$22:$DQ$22,1,AR248),0,IF(AR249=INDEX('Lease Cycles'!$DK$22:$DQ$22,1,AR248),1-INDEX('Lease Cycles'!$DR$22:$DX$22,1,AR248),1))-IF(AR249=0,INDEX('Lease Cycles'!$DD$22:$DJ$22,1,AR248),0))),0)</f>
        <v>0</v>
      </c>
      <c r="AS255" s="28">
        <f>IF(AS250=1,IF(INDEX('Lease Cycles'!$EF$22:$EL$22,1,AS248)=1,0,AS251*(1-IF(AS249&lt;INDEX('Lease Cycles'!$DK$22:$DQ$22,1,AS248),0,IF(AS249=INDEX('Lease Cycles'!$DK$22:$DQ$22,1,AS248),1-INDEX('Lease Cycles'!$DR$22:$DX$22,1,AS248),1))-IF(AS249=0,INDEX('Lease Cycles'!$DD$22:$DJ$22,1,AS248),0))),0)</f>
        <v>0</v>
      </c>
      <c r="AT255" s="28">
        <f>IF(AT250=1,IF(INDEX('Lease Cycles'!$EF$22:$EL$22,1,AT248)=1,0,AT251*(1-IF(AT249&lt;INDEX('Lease Cycles'!$DK$22:$DQ$22,1,AT248),0,IF(AT249=INDEX('Lease Cycles'!$DK$22:$DQ$22,1,AT248),1-INDEX('Lease Cycles'!$DR$22:$DX$22,1,AT248),1))-IF(AT249=0,INDEX('Lease Cycles'!$DD$22:$DJ$22,1,AT248),0))),0)</f>
        <v>0</v>
      </c>
      <c r="AU255" s="28">
        <f>IF(AU250=1,IF(INDEX('Lease Cycles'!$EF$22:$EL$22,1,AU248)=1,0,AU251*(1-IF(AU249&lt;INDEX('Lease Cycles'!$DK$22:$DQ$22,1,AU248),0,IF(AU249=INDEX('Lease Cycles'!$DK$22:$DQ$22,1,AU248),1-INDEX('Lease Cycles'!$DR$22:$DX$22,1,AU248),1))-IF(AU249=0,INDEX('Lease Cycles'!$DD$22:$DJ$22,1,AU248),0))),0)</f>
        <v>0</v>
      </c>
      <c r="AV255" s="28">
        <f>IF(AV250=1,IF(INDEX('Lease Cycles'!$EF$22:$EL$22,1,AV248)=1,0,AV251*(1-IF(AV249&lt;INDEX('Lease Cycles'!$DK$22:$DQ$22,1,AV248),0,IF(AV249=INDEX('Lease Cycles'!$DK$22:$DQ$22,1,AV248),1-INDEX('Lease Cycles'!$DR$22:$DX$22,1,AV248),1))-IF(AV249=0,INDEX('Lease Cycles'!$DD$22:$DJ$22,1,AV248),0))),0)</f>
        <v>0</v>
      </c>
      <c r="AW255" s="28">
        <f>IF(AW250=1,IF(INDEX('Lease Cycles'!$EF$22:$EL$22,1,AW248)=1,0,AW251*(1-IF(AW249&lt;INDEX('Lease Cycles'!$DK$22:$DQ$22,1,AW248),0,IF(AW249=INDEX('Lease Cycles'!$DK$22:$DQ$22,1,AW248),1-INDEX('Lease Cycles'!$DR$22:$DX$22,1,AW248),1))-IF(AW249=0,INDEX('Lease Cycles'!$DD$22:$DJ$22,1,AW248),0))),0)</f>
        <v>0</v>
      </c>
      <c r="AX255" s="28">
        <f>IF(AX250=1,IF(INDEX('Lease Cycles'!$EF$22:$EL$22,1,AX248)=1,0,AX251*(1-IF(AX249&lt;INDEX('Lease Cycles'!$DK$22:$DQ$22,1,AX248),0,IF(AX249=INDEX('Lease Cycles'!$DK$22:$DQ$22,1,AX248),1-INDEX('Lease Cycles'!$DR$22:$DX$22,1,AX248),1))-IF(AX249=0,INDEX('Lease Cycles'!$DD$22:$DJ$22,1,AX248),0))),0)</f>
        <v>0</v>
      </c>
      <c r="AY255" s="28">
        <f>IF(AY250=1,IF(INDEX('Lease Cycles'!$EF$22:$EL$22,1,AY248)=1,0,AY251*(1-IF(AY249&lt;INDEX('Lease Cycles'!$DK$22:$DQ$22,1,AY248),0,IF(AY249=INDEX('Lease Cycles'!$DK$22:$DQ$22,1,AY248),1-INDEX('Lease Cycles'!$DR$22:$DX$22,1,AY248),1))-IF(AY249=0,INDEX('Lease Cycles'!$DD$22:$DJ$22,1,AY248),0))),0)</f>
        <v>0</v>
      </c>
      <c r="AZ255" s="28">
        <f>IF(AZ250=1,IF(INDEX('Lease Cycles'!$EF$22:$EL$22,1,AZ248)=1,0,AZ251*(1-IF(AZ249&lt;INDEX('Lease Cycles'!$DK$22:$DQ$22,1,AZ248),0,IF(AZ249=INDEX('Lease Cycles'!$DK$22:$DQ$22,1,AZ248),1-INDEX('Lease Cycles'!$DR$22:$DX$22,1,AZ248),1))-IF(AZ249=0,INDEX('Lease Cycles'!$DD$22:$DJ$22,1,AZ248),0))),0)</f>
        <v>0</v>
      </c>
      <c r="BA255" s="28">
        <f>IF(BA250=1,IF(INDEX('Lease Cycles'!$EF$22:$EL$22,1,BA248)=1,0,BA251*(1-IF(BA249&lt;INDEX('Lease Cycles'!$DK$22:$DQ$22,1,BA248),0,IF(BA249=INDEX('Lease Cycles'!$DK$22:$DQ$22,1,BA248),1-INDEX('Lease Cycles'!$DR$22:$DX$22,1,BA248),1))-IF(BA249=0,INDEX('Lease Cycles'!$DD$22:$DJ$22,1,BA248),0))),0)</f>
        <v>0</v>
      </c>
      <c r="BB255" s="28">
        <f>IF(BB250=1,IF(INDEX('Lease Cycles'!$EF$22:$EL$22,1,BB248)=1,0,BB251*(1-IF(BB249&lt;INDEX('Lease Cycles'!$DK$22:$DQ$22,1,BB248),0,IF(BB249=INDEX('Lease Cycles'!$DK$22:$DQ$22,1,BB248),1-INDEX('Lease Cycles'!$DR$22:$DX$22,1,BB248),1))-IF(BB249=0,INDEX('Lease Cycles'!$DD$22:$DJ$22,1,BB248),0))),0)</f>
        <v>0</v>
      </c>
      <c r="BC255" s="28">
        <f>IF(BC250=1,IF(INDEX('Lease Cycles'!$EF$22:$EL$22,1,BC248)=1,0,BC251*(1-IF(BC249&lt;INDEX('Lease Cycles'!$DK$22:$DQ$22,1,BC248),0,IF(BC249=INDEX('Lease Cycles'!$DK$22:$DQ$22,1,BC248),1-INDEX('Lease Cycles'!$DR$22:$DX$22,1,BC248),1))-IF(BC249=0,INDEX('Lease Cycles'!$DD$22:$DJ$22,1,BC248),0))),0)</f>
        <v>0</v>
      </c>
      <c r="BD255" s="28">
        <f>IF(BD250=1,IF(INDEX('Lease Cycles'!$EF$22:$EL$22,1,BD248)=1,0,BD251*(1-IF(BD249&lt;INDEX('Lease Cycles'!$DK$22:$DQ$22,1,BD248),0,IF(BD249=INDEX('Lease Cycles'!$DK$22:$DQ$22,1,BD248),1-INDEX('Lease Cycles'!$DR$22:$DX$22,1,BD248),1))-IF(BD249=0,INDEX('Lease Cycles'!$DD$22:$DJ$22,1,BD248),0))),0)</f>
        <v>0</v>
      </c>
      <c r="BE255" s="28">
        <f>IF(BE250=1,IF(INDEX('Lease Cycles'!$EF$22:$EL$22,1,BE248)=1,0,BE251*(1-IF(BE249&lt;INDEX('Lease Cycles'!$DK$22:$DQ$22,1,BE248),0,IF(BE249=INDEX('Lease Cycles'!$DK$22:$DQ$22,1,BE248),1-INDEX('Lease Cycles'!$DR$22:$DX$22,1,BE248),1))-IF(BE249=0,INDEX('Lease Cycles'!$DD$22:$DJ$22,1,BE248),0))),0)</f>
        <v>0</v>
      </c>
      <c r="BF255" s="28">
        <f>IF(BF250=1,IF(INDEX('Lease Cycles'!$EF$22:$EL$22,1,BF248)=1,0,BF251*(1-IF(BF249&lt;INDEX('Lease Cycles'!$DK$22:$DQ$22,1,BF248),0,IF(BF249=INDEX('Lease Cycles'!$DK$22:$DQ$22,1,BF248),1-INDEX('Lease Cycles'!$DR$22:$DX$22,1,BF248),1))-IF(BF249=0,INDEX('Lease Cycles'!$DD$22:$DJ$22,1,BF248),0))),0)</f>
        <v>0</v>
      </c>
      <c r="BG255" s="28">
        <f>IF(BG250=1,IF(INDEX('Lease Cycles'!$EF$22:$EL$22,1,BG248)=1,0,BG251*(1-IF(BG249&lt;INDEX('Lease Cycles'!$DK$22:$DQ$22,1,BG248),0,IF(BG249=INDEX('Lease Cycles'!$DK$22:$DQ$22,1,BG248),1-INDEX('Lease Cycles'!$DR$22:$DX$22,1,BG248),1))-IF(BG249=0,INDEX('Lease Cycles'!$DD$22:$DJ$22,1,BG248),0))),0)</f>
        <v>0</v>
      </c>
      <c r="BH255" s="28">
        <f>IF(BH250=1,IF(INDEX('Lease Cycles'!$EF$22:$EL$22,1,BH248)=1,0,BH251*(1-IF(BH249&lt;INDEX('Lease Cycles'!$DK$22:$DQ$22,1,BH248),0,IF(BH249=INDEX('Lease Cycles'!$DK$22:$DQ$22,1,BH248),1-INDEX('Lease Cycles'!$DR$22:$DX$22,1,BH248),1))-IF(BH249=0,INDEX('Lease Cycles'!$DD$22:$DJ$22,1,BH248),0))),0)</f>
        <v>0</v>
      </c>
      <c r="BI255" s="28">
        <f>IF(BI250=1,IF(INDEX('Lease Cycles'!$EF$22:$EL$22,1,BI248)=1,0,BI251*(1-IF(BI249&lt;INDEX('Lease Cycles'!$DK$22:$DQ$22,1,BI248),0,IF(BI249=INDEX('Lease Cycles'!$DK$22:$DQ$22,1,BI248),1-INDEX('Lease Cycles'!$DR$22:$DX$22,1,BI248),1))-IF(BI249=0,INDEX('Lease Cycles'!$DD$22:$DJ$22,1,BI248),0))),0)</f>
        <v>0</v>
      </c>
      <c r="BJ255" s="28">
        <f>IF(BJ250=1,IF(INDEX('Lease Cycles'!$EF$22:$EL$22,1,BJ248)=1,0,BJ251*(1-IF(BJ249&lt;INDEX('Lease Cycles'!$DK$22:$DQ$22,1,BJ248),0,IF(BJ249=INDEX('Lease Cycles'!$DK$22:$DQ$22,1,BJ248),1-INDEX('Lease Cycles'!$DR$22:$DX$22,1,BJ248),1))-IF(BJ249=0,INDEX('Lease Cycles'!$DD$22:$DJ$22,1,BJ248),0))),0)</f>
        <v>0</v>
      </c>
      <c r="BK255" s="28">
        <f>IF(BK250=1,IF(INDEX('Lease Cycles'!$EF$22:$EL$22,1,BK248)=1,0,BK251*(1-IF(BK249&lt;INDEX('Lease Cycles'!$DK$22:$DQ$22,1,BK248),0,IF(BK249=INDEX('Lease Cycles'!$DK$22:$DQ$22,1,BK248),1-INDEX('Lease Cycles'!$DR$22:$DX$22,1,BK248),1))-IF(BK249=0,INDEX('Lease Cycles'!$DD$22:$DJ$22,1,BK248),0))),0)</f>
        <v>0</v>
      </c>
      <c r="BL255" s="28">
        <f>IF(BL250=1,IF(INDEX('Lease Cycles'!$EF$22:$EL$22,1,BL248)=1,0,BL251*(1-IF(BL249&lt;INDEX('Lease Cycles'!$DK$22:$DQ$22,1,BL248),0,IF(BL249=INDEX('Lease Cycles'!$DK$22:$DQ$22,1,BL248),1-INDEX('Lease Cycles'!$DR$22:$DX$22,1,BL248),1))-IF(BL249=0,INDEX('Lease Cycles'!$DD$22:$DJ$22,1,BL248),0))),0)</f>
        <v>0</v>
      </c>
      <c r="BM255" s="28">
        <f>IF(BM250=1,IF(INDEX('Lease Cycles'!$EF$22:$EL$22,1,BM248)=1,0,BM251*(1-IF(BM249&lt;INDEX('Lease Cycles'!$DK$22:$DQ$22,1,BM248),0,IF(BM249=INDEX('Lease Cycles'!$DK$22:$DQ$22,1,BM248),1-INDEX('Lease Cycles'!$DR$22:$DX$22,1,BM248),1))-IF(BM249=0,INDEX('Lease Cycles'!$DD$22:$DJ$22,1,BM248),0))),0)</f>
        <v>0</v>
      </c>
      <c r="BN255" s="28">
        <f>IF(BN250=1,IF(INDEX('Lease Cycles'!$EF$22:$EL$22,1,BN248)=1,0,BN251*(1-IF(BN249&lt;INDEX('Lease Cycles'!$DK$22:$DQ$22,1,BN248),0,IF(BN249=INDEX('Lease Cycles'!$DK$22:$DQ$22,1,BN248),1-INDEX('Lease Cycles'!$DR$22:$DX$22,1,BN248),1))-IF(BN249=0,INDEX('Lease Cycles'!$DD$22:$DJ$22,1,BN248),0))),0)</f>
        <v>0</v>
      </c>
      <c r="BO255" s="28">
        <f>IF(BO250=1,IF(INDEX('Lease Cycles'!$EF$22:$EL$22,1,BO248)=1,0,BO251*(1-IF(BO249&lt;INDEX('Lease Cycles'!$DK$22:$DQ$22,1,BO248),0,IF(BO249=INDEX('Lease Cycles'!$DK$22:$DQ$22,1,BO248),1-INDEX('Lease Cycles'!$DR$22:$DX$22,1,BO248),1))-IF(BO249=0,INDEX('Lease Cycles'!$DD$22:$DJ$22,1,BO248),0))),0)</f>
        <v>0</v>
      </c>
      <c r="BP255" s="28">
        <f>IF(BP250=1,IF(INDEX('Lease Cycles'!$EF$22:$EL$22,1,BP248)=1,0,BP251*(1-IF(BP249&lt;INDEX('Lease Cycles'!$DK$22:$DQ$22,1,BP248),0,IF(BP249=INDEX('Lease Cycles'!$DK$22:$DQ$22,1,BP248),1-INDEX('Lease Cycles'!$DR$22:$DX$22,1,BP248),1))-IF(BP249=0,INDEX('Lease Cycles'!$DD$22:$DJ$22,1,BP248),0))),0)</f>
        <v>0</v>
      </c>
      <c r="BQ255" s="28">
        <f>IF(BQ250=1,IF(INDEX('Lease Cycles'!$EF$22:$EL$22,1,BQ248)=1,0,BQ251*(1-IF(BQ249&lt;INDEX('Lease Cycles'!$DK$22:$DQ$22,1,BQ248),0,IF(BQ249=INDEX('Lease Cycles'!$DK$22:$DQ$22,1,BQ248),1-INDEX('Lease Cycles'!$DR$22:$DX$22,1,BQ248),1))-IF(BQ249=0,INDEX('Lease Cycles'!$DD$22:$DJ$22,1,BQ248),0))),0)</f>
        <v>0</v>
      </c>
      <c r="BR255" s="28">
        <f>IF(BR250=1,IF(INDEX('Lease Cycles'!$EF$22:$EL$22,1,BR248)=1,0,BR251*(1-IF(BR249&lt;INDEX('Lease Cycles'!$DK$22:$DQ$22,1,BR248),0,IF(BR249=INDEX('Lease Cycles'!$DK$22:$DQ$22,1,BR248),1-INDEX('Lease Cycles'!$DR$22:$DX$22,1,BR248),1))-IF(BR249=0,INDEX('Lease Cycles'!$DD$22:$DJ$22,1,BR248),0))),0)</f>
        <v>0</v>
      </c>
      <c r="BS255" s="28">
        <f>IF(BS250=1,IF(INDEX('Lease Cycles'!$EF$22:$EL$22,1,BS248)=1,0,BS251*(1-IF(BS249&lt;INDEX('Lease Cycles'!$DK$22:$DQ$22,1,BS248),0,IF(BS249=INDEX('Lease Cycles'!$DK$22:$DQ$22,1,BS248),1-INDEX('Lease Cycles'!$DR$22:$DX$22,1,BS248),1))-IF(BS249=0,INDEX('Lease Cycles'!$DD$22:$DJ$22,1,BS248),0))),0)</f>
        <v>0</v>
      </c>
      <c r="BT255" s="28">
        <f>IF(BT250=1,IF(INDEX('Lease Cycles'!$EF$22:$EL$22,1,BT248)=1,0,BT251*(1-IF(BT249&lt;INDEX('Lease Cycles'!$DK$22:$DQ$22,1,BT248),0,IF(BT249=INDEX('Lease Cycles'!$DK$22:$DQ$22,1,BT248),1-INDEX('Lease Cycles'!$DR$22:$DX$22,1,BT248),1))-IF(BT249=0,INDEX('Lease Cycles'!$DD$22:$DJ$22,1,BT248),0))),0)</f>
        <v>0</v>
      </c>
      <c r="BU255" s="28">
        <f>IF(BU250=1,IF(INDEX('Lease Cycles'!$EF$22:$EL$22,1,BU248)=1,0,BU251*(1-IF(BU249&lt;INDEX('Lease Cycles'!$DK$22:$DQ$22,1,BU248),0,IF(BU249=INDEX('Lease Cycles'!$DK$22:$DQ$22,1,BU248),1-INDEX('Lease Cycles'!$DR$22:$DX$22,1,BU248),1))-IF(BU249=0,INDEX('Lease Cycles'!$DD$22:$DJ$22,1,BU248),0))),0)</f>
        <v>0</v>
      </c>
      <c r="BV255" s="28">
        <f>IF(BV250=1,IF(INDEX('Lease Cycles'!$EF$22:$EL$22,1,BV248)=1,0,BV251*(1-IF(BV249&lt;INDEX('Lease Cycles'!$DK$22:$DQ$22,1,BV248),0,IF(BV249=INDEX('Lease Cycles'!$DK$22:$DQ$22,1,BV248),1-INDEX('Lease Cycles'!$DR$22:$DX$22,1,BV248),1))-IF(BV249=0,INDEX('Lease Cycles'!$DD$22:$DJ$22,1,BV248),0))),0)</f>
        <v>0</v>
      </c>
      <c r="BW255" s="28">
        <f>IF(BW250=1,IF(INDEX('Lease Cycles'!$EF$22:$EL$22,1,BW248)=1,0,BW251*(1-IF(BW249&lt;INDEX('Lease Cycles'!$DK$22:$DQ$22,1,BW248),0,IF(BW249=INDEX('Lease Cycles'!$DK$22:$DQ$22,1,BW248),1-INDEX('Lease Cycles'!$DR$22:$DX$22,1,BW248),1))-IF(BW249=0,INDEX('Lease Cycles'!$DD$22:$DJ$22,1,BW248),0))),0)</f>
        <v>0</v>
      </c>
      <c r="BX255" s="28">
        <f>IF(BX250=1,IF(INDEX('Lease Cycles'!$EF$22:$EL$22,1,BX248)=1,0,BX251*(1-IF(BX249&lt;INDEX('Lease Cycles'!$DK$22:$DQ$22,1,BX248),0,IF(BX249=INDEX('Lease Cycles'!$DK$22:$DQ$22,1,BX248),1-INDEX('Lease Cycles'!$DR$22:$DX$22,1,BX248),1))-IF(BX249=0,INDEX('Lease Cycles'!$DD$22:$DJ$22,1,BX248),0))),0)</f>
        <v>0</v>
      </c>
      <c r="BY255" s="28">
        <f>IF(BY250=1,IF(INDEX('Lease Cycles'!$EF$22:$EL$22,1,BY248)=1,0,BY251*(1-IF(BY249&lt;INDEX('Lease Cycles'!$DK$22:$DQ$22,1,BY248),0,IF(BY249=INDEX('Lease Cycles'!$DK$22:$DQ$22,1,BY248),1-INDEX('Lease Cycles'!$DR$22:$DX$22,1,BY248),1))-IF(BY249=0,INDEX('Lease Cycles'!$DD$22:$DJ$22,1,BY248),0))),0)</f>
        <v>0</v>
      </c>
      <c r="BZ255" s="28">
        <f>IF(BZ250=1,IF(INDEX('Lease Cycles'!$EF$22:$EL$22,1,BZ248)=1,0,BZ251*(1-IF(BZ249&lt;INDEX('Lease Cycles'!$DK$22:$DQ$22,1,BZ248),0,IF(BZ249=INDEX('Lease Cycles'!$DK$22:$DQ$22,1,BZ248),1-INDEX('Lease Cycles'!$DR$22:$DX$22,1,BZ248),1))-IF(BZ249=0,INDEX('Lease Cycles'!$DD$22:$DJ$22,1,BZ248),0))),0)</f>
        <v>0</v>
      </c>
      <c r="CA255" s="28">
        <f>IF(CA250=1,IF(INDEX('Lease Cycles'!$EF$22:$EL$22,1,CA248)=1,0,CA251*(1-IF(CA249&lt;INDEX('Lease Cycles'!$DK$22:$DQ$22,1,CA248),0,IF(CA249=INDEX('Lease Cycles'!$DK$22:$DQ$22,1,CA248),1-INDEX('Lease Cycles'!$DR$22:$DX$22,1,CA248),1))-IF(CA249=0,INDEX('Lease Cycles'!$DD$22:$DJ$22,1,CA248),0))),0)</f>
        <v>0</v>
      </c>
      <c r="CB255" s="28">
        <f>IF(CB250=1,IF(INDEX('Lease Cycles'!$EF$22:$EL$22,1,CB248)=1,0,CB251*(1-IF(CB249&lt;INDEX('Lease Cycles'!$DK$22:$DQ$22,1,CB248),0,IF(CB249=INDEX('Lease Cycles'!$DK$22:$DQ$22,1,CB248),1-INDEX('Lease Cycles'!$DR$22:$DX$22,1,CB248),1))-IF(CB249=0,INDEX('Lease Cycles'!$DD$22:$DJ$22,1,CB248),0))),0)</f>
        <v>0</v>
      </c>
      <c r="CC255" s="28">
        <f>IF(CC250=1,IF(INDEX('Lease Cycles'!$EF$22:$EL$22,1,CC248)=1,0,CC251*(1-IF(CC249&lt;INDEX('Lease Cycles'!$DK$22:$DQ$22,1,CC248),0,IF(CC249=INDEX('Lease Cycles'!$DK$22:$DQ$22,1,CC248),1-INDEX('Lease Cycles'!$DR$22:$DX$22,1,CC248),1))-IF(CC249=0,INDEX('Lease Cycles'!$DD$22:$DJ$22,1,CC248),0))),0)</f>
        <v>0</v>
      </c>
      <c r="CD255" s="28">
        <f>IF(CD250=1,IF(INDEX('Lease Cycles'!$EF$22:$EL$22,1,CD248)=1,0,CD251*(1-IF(CD249&lt;INDEX('Lease Cycles'!$DK$22:$DQ$22,1,CD248),0,IF(CD249=INDEX('Lease Cycles'!$DK$22:$DQ$22,1,CD248),1-INDEX('Lease Cycles'!$DR$22:$DX$22,1,CD248),1))-IF(CD249=0,INDEX('Lease Cycles'!$DD$22:$DJ$22,1,CD248),0))),0)</f>
        <v>0</v>
      </c>
      <c r="CE255" s="28">
        <f>IF(CE250=1,IF(INDEX('Lease Cycles'!$EF$22:$EL$22,1,CE248)=1,0,CE251*(1-IF(CE249&lt;INDEX('Lease Cycles'!$DK$22:$DQ$22,1,CE248),0,IF(CE249=INDEX('Lease Cycles'!$DK$22:$DQ$22,1,CE248),1-INDEX('Lease Cycles'!$DR$22:$DX$22,1,CE248),1))-IF(CE249=0,INDEX('Lease Cycles'!$DD$22:$DJ$22,1,CE248),0))),0)</f>
        <v>0</v>
      </c>
      <c r="CF255" s="28">
        <f>IF(CF250=1,IF(INDEX('Lease Cycles'!$EF$22:$EL$22,1,CF248)=1,0,CF251*(1-IF(CF249&lt;INDEX('Lease Cycles'!$DK$22:$DQ$22,1,CF248),0,IF(CF249=INDEX('Lease Cycles'!$DK$22:$DQ$22,1,CF248),1-INDEX('Lease Cycles'!$DR$22:$DX$22,1,CF248),1))-IF(CF249=0,INDEX('Lease Cycles'!$DD$22:$DJ$22,1,CF248),0))),0)</f>
        <v>0</v>
      </c>
      <c r="CG255" s="28">
        <f>IF(CG250=1,IF(INDEX('Lease Cycles'!$EF$22:$EL$22,1,CG248)=1,0,CG251*(1-IF(CG249&lt;INDEX('Lease Cycles'!$DK$22:$DQ$22,1,CG248),0,IF(CG249=INDEX('Lease Cycles'!$DK$22:$DQ$22,1,CG248),1-INDEX('Lease Cycles'!$DR$22:$DX$22,1,CG248),1))-IF(CG249=0,INDEX('Lease Cycles'!$DD$22:$DJ$22,1,CG248),0))),0)</f>
        <v>0</v>
      </c>
      <c r="CH255" s="28">
        <f>IF(CH250=1,IF(INDEX('Lease Cycles'!$EF$22:$EL$22,1,CH248)=1,0,CH251*(1-IF(CH249&lt;INDEX('Lease Cycles'!$DK$22:$DQ$22,1,CH248),0,IF(CH249=INDEX('Lease Cycles'!$DK$22:$DQ$22,1,CH248),1-INDEX('Lease Cycles'!$DR$22:$DX$22,1,CH248),1))-IF(CH249=0,INDEX('Lease Cycles'!$DD$22:$DJ$22,1,CH248),0))),0)</f>
        <v>0</v>
      </c>
      <c r="CI255" s="28">
        <f>IF(CI250=1,IF(INDEX('Lease Cycles'!$EF$22:$EL$22,1,CI248)=1,0,CI251*(1-IF(CI249&lt;INDEX('Lease Cycles'!$DK$22:$DQ$22,1,CI248),0,IF(CI249=INDEX('Lease Cycles'!$DK$22:$DQ$22,1,CI248),1-INDEX('Lease Cycles'!$DR$22:$DX$22,1,CI248),1))-IF(CI249=0,INDEX('Lease Cycles'!$DD$22:$DJ$22,1,CI248),0))),0)</f>
        <v>0</v>
      </c>
      <c r="CJ255" s="28">
        <f>IF(CJ250=1,IF(INDEX('Lease Cycles'!$EF$22:$EL$22,1,CJ248)=1,0,CJ251*(1-IF(CJ249&lt;INDEX('Lease Cycles'!$DK$22:$DQ$22,1,CJ248),0,IF(CJ249=INDEX('Lease Cycles'!$DK$22:$DQ$22,1,CJ248),1-INDEX('Lease Cycles'!$DR$22:$DX$22,1,CJ248),1))-IF(CJ249=0,INDEX('Lease Cycles'!$DD$22:$DJ$22,1,CJ248),0))),0)</f>
        <v>0</v>
      </c>
      <c r="CK255" s="28">
        <f>IF(CK250=1,IF(INDEX('Lease Cycles'!$EF$22:$EL$22,1,CK248)=1,0,CK251*(1-IF(CK249&lt;INDEX('Lease Cycles'!$DK$22:$DQ$22,1,CK248),0,IF(CK249=INDEX('Lease Cycles'!$DK$22:$DQ$22,1,CK248),1-INDEX('Lease Cycles'!$DR$22:$DX$22,1,CK248),1))-IF(CK249=0,INDEX('Lease Cycles'!$DD$22:$DJ$22,1,CK248),0))),0)</f>
        <v>0</v>
      </c>
      <c r="CL255" s="28">
        <f>IF(CL250=1,IF(INDEX('Lease Cycles'!$EF$22:$EL$22,1,CL248)=1,0,CL251*(1-IF(CL249&lt;INDEX('Lease Cycles'!$DK$22:$DQ$22,1,CL248),0,IF(CL249=INDEX('Lease Cycles'!$DK$22:$DQ$22,1,CL248),1-INDEX('Lease Cycles'!$DR$22:$DX$22,1,CL248),1))-IF(CL249=0,INDEX('Lease Cycles'!$DD$22:$DJ$22,1,CL248),0))),0)</f>
        <v>0</v>
      </c>
      <c r="CM255" s="28">
        <f>IF(CM250=1,IF(INDEX('Lease Cycles'!$EF$22:$EL$22,1,CM248)=1,0,CM251*(1-IF(CM249&lt;INDEX('Lease Cycles'!$DK$22:$DQ$22,1,CM248),0,IF(CM249=INDEX('Lease Cycles'!$DK$22:$DQ$22,1,CM248),1-INDEX('Lease Cycles'!$DR$22:$DX$22,1,CM248),1))-IF(CM249=0,INDEX('Lease Cycles'!$DD$22:$DJ$22,1,CM248),0))),0)</f>
        <v>0</v>
      </c>
      <c r="CN255" s="28">
        <f>IF(CN250=1,IF(INDEX('Lease Cycles'!$EF$22:$EL$22,1,CN248)=1,0,CN251*(1-IF(CN249&lt;INDEX('Lease Cycles'!$DK$22:$DQ$22,1,CN248),0,IF(CN249=INDEX('Lease Cycles'!$DK$22:$DQ$22,1,CN248),1-INDEX('Lease Cycles'!$DR$22:$DX$22,1,CN248),1))-IF(CN249=0,INDEX('Lease Cycles'!$DD$22:$DJ$22,1,CN248),0))),0)</f>
        <v>0</v>
      </c>
      <c r="CO255" s="28">
        <f>IF(CO250=1,IF(INDEX('Lease Cycles'!$EF$22:$EL$22,1,CO248)=1,0,CO251*(1-IF(CO249&lt;INDEX('Lease Cycles'!$DK$22:$DQ$22,1,CO248),0,IF(CO249=INDEX('Lease Cycles'!$DK$22:$DQ$22,1,CO248),1-INDEX('Lease Cycles'!$DR$22:$DX$22,1,CO248),1))-IF(CO249=0,INDEX('Lease Cycles'!$DD$22:$DJ$22,1,CO248),0))),0)</f>
        <v>0</v>
      </c>
      <c r="CP255" s="28">
        <f>IF(CP250=1,IF(INDEX('Lease Cycles'!$EF$22:$EL$22,1,CP248)=1,0,CP251*(1-IF(CP249&lt;INDEX('Lease Cycles'!$DK$22:$DQ$22,1,CP248),0,IF(CP249=INDEX('Lease Cycles'!$DK$22:$DQ$22,1,CP248),1-INDEX('Lease Cycles'!$DR$22:$DX$22,1,CP248),1))-IF(CP249=0,INDEX('Lease Cycles'!$DD$22:$DJ$22,1,CP248),0))),0)</f>
        <v>0</v>
      </c>
      <c r="CQ255" s="28">
        <f>IF(CQ250=1,IF(INDEX('Lease Cycles'!$EF$22:$EL$22,1,CQ248)=1,0,CQ251*(1-IF(CQ249&lt;INDEX('Lease Cycles'!$DK$22:$DQ$22,1,CQ248),0,IF(CQ249=INDEX('Lease Cycles'!$DK$22:$DQ$22,1,CQ248),1-INDEX('Lease Cycles'!$DR$22:$DX$22,1,CQ248),1))-IF(CQ249=0,INDEX('Lease Cycles'!$DD$22:$DJ$22,1,CQ248),0))),0)</f>
        <v>0</v>
      </c>
      <c r="CR255" s="28">
        <f>IF(CR250=1,IF(INDEX('Lease Cycles'!$EF$22:$EL$22,1,CR248)=1,0,CR251*(1-IF(CR249&lt;INDEX('Lease Cycles'!$DK$22:$DQ$22,1,CR248),0,IF(CR249=INDEX('Lease Cycles'!$DK$22:$DQ$22,1,CR248),1-INDEX('Lease Cycles'!$DR$22:$DX$22,1,CR248),1))-IF(CR249=0,INDEX('Lease Cycles'!$DD$22:$DJ$22,1,CR248),0))),0)</f>
        <v>0</v>
      </c>
      <c r="CS255" s="28">
        <f>IF(CS250=1,IF(INDEX('Lease Cycles'!$EF$22:$EL$22,1,CS248)=1,0,CS251*(1-IF(CS249&lt;INDEX('Lease Cycles'!$DK$22:$DQ$22,1,CS248),0,IF(CS249=INDEX('Lease Cycles'!$DK$22:$DQ$22,1,CS248),1-INDEX('Lease Cycles'!$DR$22:$DX$22,1,CS248),1))-IF(CS249=0,INDEX('Lease Cycles'!$DD$22:$DJ$22,1,CS248),0))),0)</f>
        <v>0</v>
      </c>
      <c r="CT255" s="28">
        <f>IF(CT250=1,IF(INDEX('Lease Cycles'!$EF$22:$EL$22,1,CT248)=1,0,CT251*(1-IF(CT249&lt;INDEX('Lease Cycles'!$DK$22:$DQ$22,1,CT248),0,IF(CT249=INDEX('Lease Cycles'!$DK$22:$DQ$22,1,CT248),1-INDEX('Lease Cycles'!$DR$22:$DX$22,1,CT248),1))-IF(CT249=0,INDEX('Lease Cycles'!$DD$22:$DJ$22,1,CT248),0))),0)</f>
        <v>0</v>
      </c>
      <c r="CU255" s="28">
        <f>IF(CU250=1,IF(INDEX('Lease Cycles'!$EF$22:$EL$22,1,CU248)=1,0,CU251*(1-IF(CU249&lt;INDEX('Lease Cycles'!$DK$22:$DQ$22,1,CU248),0,IF(CU249=INDEX('Lease Cycles'!$DK$22:$DQ$22,1,CU248),1-INDEX('Lease Cycles'!$DR$22:$DX$22,1,CU248),1))-IF(CU249=0,INDEX('Lease Cycles'!$DD$22:$DJ$22,1,CU248),0))),0)</f>
        <v>0</v>
      </c>
      <c r="CV255" s="28">
        <f>IF(CV250=1,IF(INDEX('Lease Cycles'!$EF$22:$EL$22,1,CV248)=1,0,CV251*(1-IF(CV249&lt;INDEX('Lease Cycles'!$DK$22:$DQ$22,1,CV248),0,IF(CV249=INDEX('Lease Cycles'!$DK$22:$DQ$22,1,CV248),1-INDEX('Lease Cycles'!$DR$22:$DX$22,1,CV248),1))-IF(CV249=0,INDEX('Lease Cycles'!$DD$22:$DJ$22,1,CV248),0))),0)</f>
        <v>0</v>
      </c>
      <c r="CW255" s="28">
        <f>IF(CW250=1,IF(INDEX('Lease Cycles'!$EF$22:$EL$22,1,CW248)=1,0,CW251*(1-IF(CW249&lt;INDEX('Lease Cycles'!$DK$22:$DQ$22,1,CW248),0,IF(CW249=INDEX('Lease Cycles'!$DK$22:$DQ$22,1,CW248),1-INDEX('Lease Cycles'!$DR$22:$DX$22,1,CW248),1))-IF(CW249=0,INDEX('Lease Cycles'!$DD$22:$DJ$22,1,CW248),0))),0)</f>
        <v>0</v>
      </c>
      <c r="CX255" s="28">
        <f>IF(CX250=1,IF(INDEX('Lease Cycles'!$EF$22:$EL$22,1,CX248)=1,0,CX251*(1-IF(CX249&lt;INDEX('Lease Cycles'!$DK$22:$DQ$22,1,CX248),0,IF(CX249=INDEX('Lease Cycles'!$DK$22:$DQ$22,1,CX248),1-INDEX('Lease Cycles'!$DR$22:$DX$22,1,CX248),1))-IF(CX249=0,INDEX('Lease Cycles'!$DD$22:$DJ$22,1,CX248),0))),0)</f>
        <v>0</v>
      </c>
      <c r="CY255" s="28">
        <f>IF(CY250=1,IF(INDEX('Lease Cycles'!$EF$22:$EL$22,1,CY248)=1,0,CY251*(1-IF(CY249&lt;INDEX('Lease Cycles'!$DK$22:$DQ$22,1,CY248),0,IF(CY249=INDEX('Lease Cycles'!$DK$22:$DQ$22,1,CY248),1-INDEX('Lease Cycles'!$DR$22:$DX$22,1,CY248),1))-IF(CY249=0,INDEX('Lease Cycles'!$DD$22:$DJ$22,1,CY248),0))),0)</f>
        <v>0</v>
      </c>
      <c r="CZ255" s="28">
        <f>IF(CZ250=1,IF(INDEX('Lease Cycles'!$EF$22:$EL$22,1,CZ248)=1,0,CZ251*(1-IF(CZ249&lt;INDEX('Lease Cycles'!$DK$22:$DQ$22,1,CZ248),0,IF(CZ249=INDEX('Lease Cycles'!$DK$22:$DQ$22,1,CZ248),1-INDEX('Lease Cycles'!$DR$22:$DX$22,1,CZ248),1))-IF(CZ249=0,INDEX('Lease Cycles'!$DD$22:$DJ$22,1,CZ248),0))),0)</f>
        <v>0</v>
      </c>
      <c r="DA255" s="28">
        <f>IF(DA250=1,IF(INDEX('Lease Cycles'!$EF$22:$EL$22,1,DA248)=1,0,DA251*(1-IF(DA249&lt;INDEX('Lease Cycles'!$DK$22:$DQ$22,1,DA248),0,IF(DA249=INDEX('Lease Cycles'!$DK$22:$DQ$22,1,DA248),1-INDEX('Lease Cycles'!$DR$22:$DX$22,1,DA248),1))-IF(DA249=0,INDEX('Lease Cycles'!$DD$22:$DJ$22,1,DA248),0))),0)</f>
        <v>0</v>
      </c>
      <c r="DB255" s="28">
        <f>IF(DB250=1,IF(INDEX('Lease Cycles'!$EF$22:$EL$22,1,DB248)=1,0,DB251*(1-IF(DB249&lt;INDEX('Lease Cycles'!$DK$22:$DQ$22,1,DB248),0,IF(DB249=INDEX('Lease Cycles'!$DK$22:$DQ$22,1,DB248),1-INDEX('Lease Cycles'!$DR$22:$DX$22,1,DB248),1))-IF(DB249=0,INDEX('Lease Cycles'!$DD$22:$DJ$22,1,DB248),0))),0)</f>
        <v>0</v>
      </c>
      <c r="DC255" s="28">
        <f>IF(DC250=1,IF(INDEX('Lease Cycles'!$EF$22:$EL$22,1,DC248)=1,0,DC251*(1-IF(DC249&lt;INDEX('Lease Cycles'!$DK$22:$DQ$22,1,DC248),0,IF(DC249=INDEX('Lease Cycles'!$DK$22:$DQ$22,1,DC248),1-INDEX('Lease Cycles'!$DR$22:$DX$22,1,DC248),1))-IF(DC249=0,INDEX('Lease Cycles'!$DD$22:$DJ$22,1,DC248),0))),0)</f>
        <v>0</v>
      </c>
      <c r="DD255" s="28">
        <f>IF(DD250=1,IF(INDEX('Lease Cycles'!$EF$22:$EL$22,1,DD248)=1,0,DD251*(1-IF(DD249&lt;INDEX('Lease Cycles'!$DK$22:$DQ$22,1,DD248),0,IF(DD249=INDEX('Lease Cycles'!$DK$22:$DQ$22,1,DD248),1-INDEX('Lease Cycles'!$DR$22:$DX$22,1,DD248),1))-IF(DD249=0,INDEX('Lease Cycles'!$DD$22:$DJ$22,1,DD248),0))),0)</f>
        <v>0</v>
      </c>
      <c r="DE255" s="28">
        <f>IF(DE250=1,IF(INDEX('Lease Cycles'!$EF$22:$EL$22,1,DE248)=1,0,DE251*(1-IF(DE249&lt;INDEX('Lease Cycles'!$DK$22:$DQ$22,1,DE248),0,IF(DE249=INDEX('Lease Cycles'!$DK$22:$DQ$22,1,DE248),1-INDEX('Lease Cycles'!$DR$22:$DX$22,1,DE248),1))-IF(DE249=0,INDEX('Lease Cycles'!$DD$22:$DJ$22,1,DE248),0))),0)</f>
        <v>0</v>
      </c>
      <c r="DF255" s="28">
        <f>IF(DF250=1,IF(INDEX('Lease Cycles'!$EF$22:$EL$22,1,DF248)=1,0,DF251*(1-IF(DF249&lt;INDEX('Lease Cycles'!$DK$22:$DQ$22,1,DF248),0,IF(DF249=INDEX('Lease Cycles'!$DK$22:$DQ$22,1,DF248),1-INDEX('Lease Cycles'!$DR$22:$DX$22,1,DF248),1))-IF(DF249=0,INDEX('Lease Cycles'!$DD$22:$DJ$22,1,DF248),0))),0)</f>
        <v>0</v>
      </c>
      <c r="DG255" s="28">
        <f>IF(DG250=1,IF(INDEX('Lease Cycles'!$EF$22:$EL$22,1,DG248)=1,0,DG251*(1-IF(DG249&lt;INDEX('Lease Cycles'!$DK$22:$DQ$22,1,DG248),0,IF(DG249=INDEX('Lease Cycles'!$DK$22:$DQ$22,1,DG248),1-INDEX('Lease Cycles'!$DR$22:$DX$22,1,DG248),1))-IF(DG249=0,INDEX('Lease Cycles'!$DD$22:$DJ$22,1,DG248),0))),0)</f>
        <v>0</v>
      </c>
      <c r="DH255" s="28">
        <f>IF(DH250=1,IF(INDEX('Lease Cycles'!$EF$22:$EL$22,1,DH248)=1,0,DH251*(1-IF(DH249&lt;INDEX('Lease Cycles'!$DK$22:$DQ$22,1,DH248),0,IF(DH249=INDEX('Lease Cycles'!$DK$22:$DQ$22,1,DH248),1-INDEX('Lease Cycles'!$DR$22:$DX$22,1,DH248),1))-IF(DH249=0,INDEX('Lease Cycles'!$DD$22:$DJ$22,1,DH248),0))),0)</f>
        <v>0</v>
      </c>
      <c r="DI255" s="28">
        <f>IF(DI250=1,IF(INDEX('Lease Cycles'!$EF$22:$EL$22,1,DI248)=1,0,DI251*(1-IF(DI249&lt;INDEX('Lease Cycles'!$DK$22:$DQ$22,1,DI248),0,IF(DI249=INDEX('Lease Cycles'!$DK$22:$DQ$22,1,DI248),1-INDEX('Lease Cycles'!$DR$22:$DX$22,1,DI248),1))-IF(DI249=0,INDEX('Lease Cycles'!$DD$22:$DJ$22,1,DI248),0))),0)</f>
        <v>0</v>
      </c>
      <c r="DJ255" s="28">
        <f>IF(DJ250=1,IF(INDEX('Lease Cycles'!$EF$22:$EL$22,1,DJ248)=1,0,DJ251*(1-IF(DJ249&lt;INDEX('Lease Cycles'!$DK$22:$DQ$22,1,DJ248),0,IF(DJ249=INDEX('Lease Cycles'!$DK$22:$DQ$22,1,DJ248),1-INDEX('Lease Cycles'!$DR$22:$DX$22,1,DJ248),1))-IF(DJ249=0,INDEX('Lease Cycles'!$DD$22:$DJ$22,1,DJ248),0))),0)</f>
        <v>0</v>
      </c>
      <c r="DK255" s="28">
        <f>IF(DK250=1,IF(INDEX('Lease Cycles'!$EF$22:$EL$22,1,DK248)=1,0,DK251*(1-IF(DK249&lt;INDEX('Lease Cycles'!$DK$22:$DQ$22,1,DK248),0,IF(DK249=INDEX('Lease Cycles'!$DK$22:$DQ$22,1,DK248),1-INDEX('Lease Cycles'!$DR$22:$DX$22,1,DK248),1))-IF(DK249=0,INDEX('Lease Cycles'!$DD$22:$DJ$22,1,DK248),0))),0)</f>
        <v>0</v>
      </c>
      <c r="DL255" s="28">
        <f>IF(DL250=1,IF(INDEX('Lease Cycles'!$EF$22:$EL$22,1,DL248)=1,0,DL251*(1-IF(DL249&lt;INDEX('Lease Cycles'!$DK$22:$DQ$22,1,DL248),0,IF(DL249=INDEX('Lease Cycles'!$DK$22:$DQ$22,1,DL248),1-INDEX('Lease Cycles'!$DR$22:$DX$22,1,DL248),1))-IF(DL249=0,INDEX('Lease Cycles'!$DD$22:$DJ$22,1,DL248),0))),0)</f>
        <v>0</v>
      </c>
      <c r="DM255" s="28">
        <f>IF(DM250=1,IF(INDEX('Lease Cycles'!$EF$22:$EL$22,1,DM248)=1,0,DM251*(1-IF(DM249&lt;INDEX('Lease Cycles'!$DK$22:$DQ$22,1,DM248),0,IF(DM249=INDEX('Lease Cycles'!$DK$22:$DQ$22,1,DM248),1-INDEX('Lease Cycles'!$DR$22:$DX$22,1,DM248),1))-IF(DM249=0,INDEX('Lease Cycles'!$DD$22:$DJ$22,1,DM248),0))),0)</f>
        <v>0</v>
      </c>
      <c r="DN255" s="28">
        <f>IF(DN250=1,IF(INDEX('Lease Cycles'!$EF$22:$EL$22,1,DN248)=1,0,DN251*(1-IF(DN249&lt;INDEX('Lease Cycles'!$DK$22:$DQ$22,1,DN248),0,IF(DN249=INDEX('Lease Cycles'!$DK$22:$DQ$22,1,DN248),1-INDEX('Lease Cycles'!$DR$22:$DX$22,1,DN248),1))-IF(DN249=0,INDEX('Lease Cycles'!$DD$22:$DJ$22,1,DN248),0))),0)</f>
        <v>0</v>
      </c>
      <c r="DO255" s="28">
        <f>IF(DO250=1,IF(INDEX('Lease Cycles'!$EF$22:$EL$22,1,DO248)=1,0,DO251*(1-IF(DO249&lt;INDEX('Lease Cycles'!$DK$22:$DQ$22,1,DO248),0,IF(DO249=INDEX('Lease Cycles'!$DK$22:$DQ$22,1,DO248),1-INDEX('Lease Cycles'!$DR$22:$DX$22,1,DO248),1))-IF(DO249=0,INDEX('Lease Cycles'!$DD$22:$DJ$22,1,DO248),0))),0)</f>
        <v>0</v>
      </c>
      <c r="DP255" s="28">
        <f>IF(DP250=1,IF(INDEX('Lease Cycles'!$EF$22:$EL$22,1,DP248)=1,0,DP251*(1-IF(DP249&lt;INDEX('Lease Cycles'!$DK$22:$DQ$22,1,DP248),0,IF(DP249=INDEX('Lease Cycles'!$DK$22:$DQ$22,1,DP248),1-INDEX('Lease Cycles'!$DR$22:$DX$22,1,DP248),1))-IF(DP249=0,INDEX('Lease Cycles'!$DD$22:$DJ$22,1,DP248),0))),0)</f>
        <v>0</v>
      </c>
      <c r="DQ255" s="28">
        <f>IF(DQ250=1,IF(INDEX('Lease Cycles'!$EF$22:$EL$22,1,DQ248)=1,0,DQ251*(1-IF(DQ249&lt;INDEX('Lease Cycles'!$DK$22:$DQ$22,1,DQ248),0,IF(DQ249=INDEX('Lease Cycles'!$DK$22:$DQ$22,1,DQ248),1-INDEX('Lease Cycles'!$DR$22:$DX$22,1,DQ248),1))-IF(DQ249=0,INDEX('Lease Cycles'!$DD$22:$DJ$22,1,DQ248),0))),0)</f>
        <v>0</v>
      </c>
      <c r="DR255" s="28">
        <f>IF(DR250=1,IF(INDEX('Lease Cycles'!$EF$22:$EL$22,1,DR248)=1,0,DR251*(1-IF(DR249&lt;INDEX('Lease Cycles'!$DK$22:$DQ$22,1,DR248),0,IF(DR249=INDEX('Lease Cycles'!$DK$22:$DQ$22,1,DR248),1-INDEX('Lease Cycles'!$DR$22:$DX$22,1,DR248),1))-IF(DR249=0,INDEX('Lease Cycles'!$DD$22:$DJ$22,1,DR248),0))),0)</f>
        <v>0</v>
      </c>
      <c r="DS255" s="28">
        <f>IF(DS250=1,IF(INDEX('Lease Cycles'!$EF$22:$EL$22,1,DS248)=1,0,DS251*(1-IF(DS249&lt;INDEX('Lease Cycles'!$DK$22:$DQ$22,1,DS248),0,IF(DS249=INDEX('Lease Cycles'!$DK$22:$DQ$22,1,DS248),1-INDEX('Lease Cycles'!$DR$22:$DX$22,1,DS248),1))-IF(DS249=0,INDEX('Lease Cycles'!$DD$22:$DJ$22,1,DS248),0))),0)</f>
        <v>0</v>
      </c>
      <c r="DT255" s="28">
        <f>IF(DT250=1,IF(INDEX('Lease Cycles'!$EF$22:$EL$22,1,DT248)=1,0,DT251*(1-IF(DT249&lt;INDEX('Lease Cycles'!$DK$22:$DQ$22,1,DT248),0,IF(DT249=INDEX('Lease Cycles'!$DK$22:$DQ$22,1,DT248),1-INDEX('Lease Cycles'!$DR$22:$DX$22,1,DT248),1))-IF(DT249=0,INDEX('Lease Cycles'!$DD$22:$DJ$22,1,DT248),0))),0)</f>
        <v>0</v>
      </c>
      <c r="DU255" s="28">
        <f>IF(DU250=1,IF(INDEX('Lease Cycles'!$EF$22:$EL$22,1,DU248)=1,0,DU251*(1-IF(DU249&lt;INDEX('Lease Cycles'!$DK$22:$DQ$22,1,DU248),0,IF(DU249=INDEX('Lease Cycles'!$DK$22:$DQ$22,1,DU248),1-INDEX('Lease Cycles'!$DR$22:$DX$22,1,DU248),1))-IF(DU249=0,INDEX('Lease Cycles'!$DD$22:$DJ$22,1,DU248),0))),0)</f>
        <v>0</v>
      </c>
      <c r="DV255" s="28">
        <f>IF(DV250=1,IF(INDEX('Lease Cycles'!$EF$22:$EL$22,1,DV248)=1,0,DV251*(1-IF(DV249&lt;INDEX('Lease Cycles'!$DK$22:$DQ$22,1,DV248),0,IF(DV249=INDEX('Lease Cycles'!$DK$22:$DQ$22,1,DV248),1-INDEX('Lease Cycles'!$DR$22:$DX$22,1,DV248),1))-IF(DV249=0,INDEX('Lease Cycles'!$DD$22:$DJ$22,1,DV248),0))),0)</f>
        <v>0</v>
      </c>
      <c r="DW255" s="28">
        <f>IF(DW250=1,IF(INDEX('Lease Cycles'!$EF$22:$EL$22,1,DW248)=1,0,DW251*(1-IF(DW249&lt;INDEX('Lease Cycles'!$DK$22:$DQ$22,1,DW248),0,IF(DW249=INDEX('Lease Cycles'!$DK$22:$DQ$22,1,DW248),1-INDEX('Lease Cycles'!$DR$22:$DX$22,1,DW248),1))-IF(DW249=0,INDEX('Lease Cycles'!$DD$22:$DJ$22,1,DW248),0))),0)</f>
        <v>0</v>
      </c>
      <c r="DX255" s="28">
        <f>IF(DX250=1,IF(INDEX('Lease Cycles'!$EF$22:$EL$22,1,DX248)=1,0,DX251*(1-IF(DX249&lt;INDEX('Lease Cycles'!$DK$22:$DQ$22,1,DX248),0,IF(DX249=INDEX('Lease Cycles'!$DK$22:$DQ$22,1,DX248),1-INDEX('Lease Cycles'!$DR$22:$DX$22,1,DX248),1))-IF(DX249=0,INDEX('Lease Cycles'!$DD$22:$DJ$22,1,DX248),0))),0)</f>
        <v>0</v>
      </c>
      <c r="DY255" s="28">
        <f>IF(DY250=1,IF(INDEX('Lease Cycles'!$EF$22:$EL$22,1,DY248)=1,0,DY251*(1-IF(DY249&lt;INDEX('Lease Cycles'!$DK$22:$DQ$22,1,DY248),0,IF(DY249=INDEX('Lease Cycles'!$DK$22:$DQ$22,1,DY248),1-INDEX('Lease Cycles'!$DR$22:$DX$22,1,DY248),1))-IF(DY249=0,INDEX('Lease Cycles'!$DD$22:$DJ$22,1,DY248),0))),0)</f>
        <v>0</v>
      </c>
      <c r="DZ255" s="28">
        <f>IF(DZ250=1,IF(INDEX('Lease Cycles'!$EF$22:$EL$22,1,DZ248)=1,0,DZ251*(1-IF(DZ249&lt;INDEX('Lease Cycles'!$DK$22:$DQ$22,1,DZ248),0,IF(DZ249=INDEX('Lease Cycles'!$DK$22:$DQ$22,1,DZ248),1-INDEX('Lease Cycles'!$DR$22:$DX$22,1,DZ248),1))-IF(DZ249=0,INDEX('Lease Cycles'!$DD$22:$DJ$22,1,DZ248),0))),0)</f>
        <v>0</v>
      </c>
      <c r="EA255" s="28">
        <f>IF(EA250=1,IF(INDEX('Lease Cycles'!$EF$22:$EL$22,1,EA248)=1,0,EA251*(1-IF(EA249&lt;INDEX('Lease Cycles'!$DK$22:$DQ$22,1,EA248),0,IF(EA249=INDEX('Lease Cycles'!$DK$22:$DQ$22,1,EA248),1-INDEX('Lease Cycles'!$DR$22:$DX$22,1,EA248),1))-IF(EA249=0,INDEX('Lease Cycles'!$DD$22:$DJ$22,1,EA248),0))),0)</f>
        <v>0</v>
      </c>
      <c r="EB255" s="28">
        <f>IF(EB250=1,IF(INDEX('Lease Cycles'!$EF$22:$EL$22,1,EB248)=1,0,EB251*(1-IF(EB249&lt;INDEX('Lease Cycles'!$DK$22:$DQ$22,1,EB248),0,IF(EB249=INDEX('Lease Cycles'!$DK$22:$DQ$22,1,EB248),1-INDEX('Lease Cycles'!$DR$22:$DX$22,1,EB248),1))-IF(EB249=0,INDEX('Lease Cycles'!$DD$22:$DJ$22,1,EB248),0))),0)</f>
        <v>0</v>
      </c>
      <c r="EC255" s="28">
        <f>IF(EC250=1,IF(INDEX('Lease Cycles'!$EF$22:$EL$22,1,EC248)=1,0,EC251*(1-IF(EC249&lt;INDEX('Lease Cycles'!$DK$22:$DQ$22,1,EC248),0,IF(EC249=INDEX('Lease Cycles'!$DK$22:$DQ$22,1,EC248),1-INDEX('Lease Cycles'!$DR$22:$DX$22,1,EC248),1))-IF(EC249=0,INDEX('Lease Cycles'!$DD$22:$DJ$22,1,EC248),0))),0)</f>
        <v>0</v>
      </c>
      <c r="ED255" s="28">
        <f>IF(ED250=1,IF(INDEX('Lease Cycles'!$EF$22:$EL$22,1,ED248)=1,0,ED251*(1-IF(ED249&lt;INDEX('Lease Cycles'!$DK$22:$DQ$22,1,ED248),0,IF(ED249=INDEX('Lease Cycles'!$DK$22:$DQ$22,1,ED248),1-INDEX('Lease Cycles'!$DR$22:$DX$22,1,ED248),1))-IF(ED249=0,INDEX('Lease Cycles'!$DD$22:$DJ$22,1,ED248),0))),0)</f>
        <v>0</v>
      </c>
      <c r="EE255" s="28">
        <f>IF(EE250=1,IF(INDEX('Lease Cycles'!$EF$22:$EL$22,1,EE248)=1,0,EE251*(1-IF(EE249&lt;INDEX('Lease Cycles'!$DK$22:$DQ$22,1,EE248),0,IF(EE249=INDEX('Lease Cycles'!$DK$22:$DQ$22,1,EE248),1-INDEX('Lease Cycles'!$DR$22:$DX$22,1,EE248),1))-IF(EE249=0,INDEX('Lease Cycles'!$DD$22:$DJ$22,1,EE248),0))),0)</f>
        <v>0</v>
      </c>
      <c r="EF255" s="28">
        <f>IF(EF250=1,IF(INDEX('Lease Cycles'!$EF$22:$EL$22,1,EF248)=1,0,EF251*(1-IF(EF249&lt;INDEX('Lease Cycles'!$DK$22:$DQ$22,1,EF248),0,IF(EF249=INDEX('Lease Cycles'!$DK$22:$DQ$22,1,EF248),1-INDEX('Lease Cycles'!$DR$22:$DX$22,1,EF248),1))-IF(EF249=0,INDEX('Lease Cycles'!$DD$22:$DJ$22,1,EF248),0))),0)</f>
        <v>0</v>
      </c>
      <c r="EG255" s="28">
        <f>IF(EG250=1,IF(INDEX('Lease Cycles'!$EF$22:$EL$22,1,EG248)=1,0,EG251*(1-IF(EG249&lt;INDEX('Lease Cycles'!$DK$22:$DQ$22,1,EG248),0,IF(EG249=INDEX('Lease Cycles'!$DK$22:$DQ$22,1,EG248),1-INDEX('Lease Cycles'!$DR$22:$DX$22,1,EG248),1))-IF(EG249=0,INDEX('Lease Cycles'!$DD$22:$DJ$22,1,EG248),0))),0)</f>
        <v>0</v>
      </c>
      <c r="EH255" s="28">
        <f>IF(EH250=1,IF(INDEX('Lease Cycles'!$EF$22:$EL$22,1,EH248)=1,0,EH251*(1-IF(EH249&lt;INDEX('Lease Cycles'!$DK$22:$DQ$22,1,EH248),0,IF(EH249=INDEX('Lease Cycles'!$DK$22:$DQ$22,1,EH248),1-INDEX('Lease Cycles'!$DR$22:$DX$22,1,EH248),1))-IF(EH249=0,INDEX('Lease Cycles'!$DD$22:$DJ$22,1,EH248),0))),0)</f>
        <v>0</v>
      </c>
      <c r="EI255" s="28">
        <f>IF(EI250=1,IF(INDEX('Lease Cycles'!$EF$22:$EL$22,1,EI248)=1,0,EI251*(1-IF(EI249&lt;INDEX('Lease Cycles'!$DK$22:$DQ$22,1,EI248),0,IF(EI249=INDEX('Lease Cycles'!$DK$22:$DQ$22,1,EI248),1-INDEX('Lease Cycles'!$DR$22:$DX$22,1,EI248),1))-IF(EI249=0,INDEX('Lease Cycles'!$DD$22:$DJ$22,1,EI248),0))),0)</f>
        <v>0</v>
      </c>
      <c r="EJ255" s="28">
        <f>IF(EJ250=1,IF(INDEX('Lease Cycles'!$EF$22:$EL$22,1,EJ248)=1,0,EJ251*(1-IF(EJ249&lt;INDEX('Lease Cycles'!$DK$22:$DQ$22,1,EJ248),0,IF(EJ249=INDEX('Lease Cycles'!$DK$22:$DQ$22,1,EJ248),1-INDEX('Lease Cycles'!$DR$22:$DX$22,1,EJ248),1))-IF(EJ249=0,INDEX('Lease Cycles'!$DD$22:$DJ$22,1,EJ248),0))),0)</f>
        <v>0</v>
      </c>
      <c r="EK255" s="28">
        <f>IF(EK250=1,IF(INDEX('Lease Cycles'!$EF$22:$EL$22,1,EK248)=1,0,EK251*(1-IF(EK249&lt;INDEX('Lease Cycles'!$DK$22:$DQ$22,1,EK248),0,IF(EK249=INDEX('Lease Cycles'!$DK$22:$DQ$22,1,EK248),1-INDEX('Lease Cycles'!$DR$22:$DX$22,1,EK248),1))-IF(EK249=0,INDEX('Lease Cycles'!$DD$22:$DJ$22,1,EK248),0))),0)</f>
        <v>0</v>
      </c>
      <c r="EL255" s="28">
        <f>IF(EL250=1,IF(INDEX('Lease Cycles'!$EF$22:$EL$22,1,EL248)=1,0,EL251*(1-IF(EL249&lt;INDEX('Lease Cycles'!$DK$22:$DQ$22,1,EL248),0,IF(EL249=INDEX('Lease Cycles'!$DK$22:$DQ$22,1,EL248),1-INDEX('Lease Cycles'!$DR$22:$DX$22,1,EL248),1))-IF(EL249=0,INDEX('Lease Cycles'!$DD$22:$DJ$22,1,EL248),0))),0)</f>
        <v>0</v>
      </c>
      <c r="EM255" s="28">
        <f>IF(EM250=1,IF(INDEX('Lease Cycles'!$EF$22:$EL$22,1,EM248)=1,0,EM251*(1-IF(EM249&lt;INDEX('Lease Cycles'!$DK$22:$DQ$22,1,EM248),0,IF(EM249=INDEX('Lease Cycles'!$DK$22:$DQ$22,1,EM248),1-INDEX('Lease Cycles'!$DR$22:$DX$22,1,EM248),1))-IF(EM249=0,INDEX('Lease Cycles'!$DD$22:$DJ$22,1,EM248),0))),0)</f>
        <v>0</v>
      </c>
      <c r="EN255" s="28">
        <f>IF(EN250=1,IF(INDEX('Lease Cycles'!$EF$22:$EL$22,1,EN248)=1,0,EN251*(1-IF(EN249&lt;INDEX('Lease Cycles'!$DK$22:$DQ$22,1,EN248),0,IF(EN249=INDEX('Lease Cycles'!$DK$22:$DQ$22,1,EN248),1-INDEX('Lease Cycles'!$DR$22:$DX$22,1,EN248),1))-IF(EN249=0,INDEX('Lease Cycles'!$DD$22:$DJ$22,1,EN248),0))),0)</f>
        <v>0</v>
      </c>
      <c r="EO255" s="28">
        <f>IF(EO250=1,IF(INDEX('Lease Cycles'!$EF$22:$EL$22,1,EO248)=1,0,EO251*(1-IF(EO249&lt;INDEX('Lease Cycles'!$DK$22:$DQ$22,1,EO248),0,IF(EO249=INDEX('Lease Cycles'!$DK$22:$DQ$22,1,EO248),1-INDEX('Lease Cycles'!$DR$22:$DX$22,1,EO248),1))-IF(EO249=0,INDEX('Lease Cycles'!$DD$22:$DJ$22,1,EO248),0))),0)</f>
        <v>0</v>
      </c>
      <c r="EP255" s="28">
        <f>IF(EP250=1,IF(INDEX('Lease Cycles'!$EF$22:$EL$22,1,EP248)=1,0,EP251*(1-IF(EP249&lt;INDEX('Lease Cycles'!$DK$22:$DQ$22,1,EP248),0,IF(EP249=INDEX('Lease Cycles'!$DK$22:$DQ$22,1,EP248),1-INDEX('Lease Cycles'!$DR$22:$DX$22,1,EP248),1))-IF(EP249=0,INDEX('Lease Cycles'!$DD$22:$DJ$22,1,EP248),0))),0)</f>
        <v>0</v>
      </c>
      <c r="EQ255" s="28">
        <f>IF(EQ250=1,IF(INDEX('Lease Cycles'!$EF$22:$EL$22,1,EQ248)=1,0,EQ251*(1-IF(EQ249&lt;INDEX('Lease Cycles'!$DK$22:$DQ$22,1,EQ248),0,IF(EQ249=INDEX('Lease Cycles'!$DK$22:$DQ$22,1,EQ248),1-INDEX('Lease Cycles'!$DR$22:$DX$22,1,EQ248),1))-IF(EQ249=0,INDEX('Lease Cycles'!$DD$22:$DJ$22,1,EQ248),0))),0)</f>
        <v>0</v>
      </c>
      <c r="ER255" s="28">
        <f>IF(ER250=1,IF(INDEX('Lease Cycles'!$EF$22:$EL$22,1,ER248)=1,0,ER251*(1-IF(ER249&lt;INDEX('Lease Cycles'!$DK$22:$DQ$22,1,ER248),0,IF(ER249=INDEX('Lease Cycles'!$DK$22:$DQ$22,1,ER248),1-INDEX('Lease Cycles'!$DR$22:$DX$22,1,ER248),1))-IF(ER249=0,INDEX('Lease Cycles'!$DD$22:$DJ$22,1,ER248),0))),0)</f>
        <v>0</v>
      </c>
      <c r="ES255" s="28">
        <f>IF(ES250=1,IF(INDEX('Lease Cycles'!$EF$22:$EL$22,1,ES248)=1,0,ES251*(1-IF(ES249&lt;INDEX('Lease Cycles'!$DK$22:$DQ$22,1,ES248),0,IF(ES249=INDEX('Lease Cycles'!$DK$22:$DQ$22,1,ES248),1-INDEX('Lease Cycles'!$DR$22:$DX$22,1,ES248),1))-IF(ES249=0,INDEX('Lease Cycles'!$DD$22:$DJ$22,1,ES248),0))),0)</f>
        <v>0</v>
      </c>
      <c r="ET255" s="28">
        <f>IF(ET250=1,IF(INDEX('Lease Cycles'!$EF$22:$EL$22,1,ET248)=1,0,ET251*(1-IF(ET249&lt;INDEX('Lease Cycles'!$DK$22:$DQ$22,1,ET248),0,IF(ET249=INDEX('Lease Cycles'!$DK$22:$DQ$22,1,ET248),1-INDEX('Lease Cycles'!$DR$22:$DX$22,1,ET248),1))-IF(ET249=0,INDEX('Lease Cycles'!$DD$22:$DJ$22,1,ET248),0))),0)</f>
        <v>0</v>
      </c>
    </row>
    <row r="256">
      <c r="A256" s="103">
        <v>15</v>
      </c>
      <c r="B256" s="23" t="str">
        <f>IF('Lease Cycles'!$B$22="","(empty slot)",'Lease Cycles'!$B$22)</f>
        <v>(empty slot)</v>
      </c>
      <c r="C256" s="23" t="s">
        <v>683</v>
      </c>
      <c r="D256" s="104" t="s">
        <v>684</v>
      </c>
      <c r="E256" s="25">
        <f>'Lease Cycles'!$AL$22</f>
        <v>0</v>
      </c>
      <c r="G256" s="24">
        <f>SUM(S256:AD256)</f>
        <v>0</v>
      </c>
      <c r="H256" s="24">
        <f>SUM(AE256:AP256)</f>
        <v>0</v>
      </c>
      <c r="I256" s="24">
        <f>SUM(AQ256:BB256)</f>
        <v>0</v>
      </c>
      <c r="J256" s="24">
        <f>SUM(BC256:BN256)</f>
        <v>0</v>
      </c>
      <c r="K256" s="24">
        <f>SUM(BO256:BZ256)</f>
        <v>0</v>
      </c>
      <c r="L256" s="24">
        <f>SUM(CA256:CL256)</f>
        <v>0</v>
      </c>
      <c r="M256" s="24">
        <f>SUM(CM256:CX256)</f>
        <v>0</v>
      </c>
      <c r="N256" s="24">
        <f>SUM(CY256:DJ256)</f>
        <v>0</v>
      </c>
      <c r="O256" s="24">
        <f>SUM(DK256:DV256)</f>
        <v>0</v>
      </c>
      <c r="P256" s="24">
        <f>SUM(DW256:EH256)</f>
        <v>0</v>
      </c>
      <c r="Q256" s="24">
        <f>SUM(EI256:ET256)</f>
        <v>0</v>
      </c>
      <c r="S256" s="24">
        <f>IF(S250=1,'Lease Cycles'!$D$22*IF(INDEX('Lease Cycles'!$EF$22:$EL$22,1,S248)=1,(1-'Lease Cycles'!$AJ$22)*INDEX('Lease Cycles'!$EM$22:$ES$22,1,S248)+(1-'Lease Cycles'!$BE$22)*IF(S249&lt;INDEX('Lease Cycles'!$FA$22:$FG$22,1,S248),0,1-INDEX('Lease Cycles'!$EM$22:$ES$22,1,S248)),IF(OR(INDEX('Lease Cycles'!$DY$22:$EE$22,1,S248)=1,S249&gt;0),1,1-INDEX('Lease Cycles'!$DD$22:$DJ$22,1,S248))*((1-'Lease Cycles'!$AJ$22)*INDEX('Lease Cycles'!$FO$22:$FU$22,1,S248)+(1-'Lease Cycles'!$BE$22)*(1-INDEX('Lease Cycles'!$FO$22:$FU$22,1,S248)))),0)</f>
        <v>0</v>
      </c>
      <c r="T256" s="24">
        <f>IF(T250=1,'Lease Cycles'!$D$22*IF(INDEX('Lease Cycles'!$EF$22:$EL$22,1,T248)=1,(1-'Lease Cycles'!$AJ$22)*INDEX('Lease Cycles'!$EM$22:$ES$22,1,T248)+(1-'Lease Cycles'!$BE$22)*IF(T249&lt;INDEX('Lease Cycles'!$FA$22:$FG$22,1,T248),0,1-INDEX('Lease Cycles'!$EM$22:$ES$22,1,T248)),IF(OR(INDEX('Lease Cycles'!$DY$22:$EE$22,1,T248)=1,T249&gt;0),1,1-INDEX('Lease Cycles'!$DD$22:$DJ$22,1,T248))*((1-'Lease Cycles'!$AJ$22)*INDEX('Lease Cycles'!$FO$22:$FU$22,1,T248)+(1-'Lease Cycles'!$BE$22)*(1-INDEX('Lease Cycles'!$FO$22:$FU$22,1,T248)))),0)</f>
        <v>0</v>
      </c>
      <c r="U256" s="24">
        <f>IF(U250=1,'Lease Cycles'!$D$22*IF(INDEX('Lease Cycles'!$EF$22:$EL$22,1,U248)=1,(1-'Lease Cycles'!$AJ$22)*INDEX('Lease Cycles'!$EM$22:$ES$22,1,U248)+(1-'Lease Cycles'!$BE$22)*IF(U249&lt;INDEX('Lease Cycles'!$FA$22:$FG$22,1,U248),0,1-INDEX('Lease Cycles'!$EM$22:$ES$22,1,U248)),IF(OR(INDEX('Lease Cycles'!$DY$22:$EE$22,1,U248)=1,U249&gt;0),1,1-INDEX('Lease Cycles'!$DD$22:$DJ$22,1,U248))*((1-'Lease Cycles'!$AJ$22)*INDEX('Lease Cycles'!$FO$22:$FU$22,1,U248)+(1-'Lease Cycles'!$BE$22)*(1-INDEX('Lease Cycles'!$FO$22:$FU$22,1,U248)))),0)</f>
        <v>0</v>
      </c>
      <c r="V256" s="24">
        <f>IF(V250=1,'Lease Cycles'!$D$22*IF(INDEX('Lease Cycles'!$EF$22:$EL$22,1,V248)=1,(1-'Lease Cycles'!$AJ$22)*INDEX('Lease Cycles'!$EM$22:$ES$22,1,V248)+(1-'Lease Cycles'!$BE$22)*IF(V249&lt;INDEX('Lease Cycles'!$FA$22:$FG$22,1,V248),0,1-INDEX('Lease Cycles'!$EM$22:$ES$22,1,V248)),IF(OR(INDEX('Lease Cycles'!$DY$22:$EE$22,1,V248)=1,V249&gt;0),1,1-INDEX('Lease Cycles'!$DD$22:$DJ$22,1,V248))*((1-'Lease Cycles'!$AJ$22)*INDEX('Lease Cycles'!$FO$22:$FU$22,1,V248)+(1-'Lease Cycles'!$BE$22)*(1-INDEX('Lease Cycles'!$FO$22:$FU$22,1,V248)))),0)</f>
        <v>0</v>
      </c>
      <c r="W256" s="24">
        <f>IF(W250=1,'Lease Cycles'!$D$22*IF(INDEX('Lease Cycles'!$EF$22:$EL$22,1,W248)=1,(1-'Lease Cycles'!$AJ$22)*INDEX('Lease Cycles'!$EM$22:$ES$22,1,W248)+(1-'Lease Cycles'!$BE$22)*IF(W249&lt;INDEX('Lease Cycles'!$FA$22:$FG$22,1,W248),0,1-INDEX('Lease Cycles'!$EM$22:$ES$22,1,W248)),IF(OR(INDEX('Lease Cycles'!$DY$22:$EE$22,1,W248)=1,W249&gt;0),1,1-INDEX('Lease Cycles'!$DD$22:$DJ$22,1,W248))*((1-'Lease Cycles'!$AJ$22)*INDEX('Lease Cycles'!$FO$22:$FU$22,1,W248)+(1-'Lease Cycles'!$BE$22)*(1-INDEX('Lease Cycles'!$FO$22:$FU$22,1,W248)))),0)</f>
        <v>0</v>
      </c>
      <c r="X256" s="24">
        <f>IF(X250=1,'Lease Cycles'!$D$22*IF(INDEX('Lease Cycles'!$EF$22:$EL$22,1,X248)=1,(1-'Lease Cycles'!$AJ$22)*INDEX('Lease Cycles'!$EM$22:$ES$22,1,X248)+(1-'Lease Cycles'!$BE$22)*IF(X249&lt;INDEX('Lease Cycles'!$FA$22:$FG$22,1,X248),0,1-INDEX('Lease Cycles'!$EM$22:$ES$22,1,X248)),IF(OR(INDEX('Lease Cycles'!$DY$22:$EE$22,1,X248)=1,X249&gt;0),1,1-INDEX('Lease Cycles'!$DD$22:$DJ$22,1,X248))*((1-'Lease Cycles'!$AJ$22)*INDEX('Lease Cycles'!$FO$22:$FU$22,1,X248)+(1-'Lease Cycles'!$BE$22)*(1-INDEX('Lease Cycles'!$FO$22:$FU$22,1,X248)))),0)</f>
        <v>0</v>
      </c>
      <c r="Y256" s="24">
        <f>IF(Y250=1,'Lease Cycles'!$D$22*IF(INDEX('Lease Cycles'!$EF$22:$EL$22,1,Y248)=1,(1-'Lease Cycles'!$AJ$22)*INDEX('Lease Cycles'!$EM$22:$ES$22,1,Y248)+(1-'Lease Cycles'!$BE$22)*IF(Y249&lt;INDEX('Lease Cycles'!$FA$22:$FG$22,1,Y248),0,1-INDEX('Lease Cycles'!$EM$22:$ES$22,1,Y248)),IF(OR(INDEX('Lease Cycles'!$DY$22:$EE$22,1,Y248)=1,Y249&gt;0),1,1-INDEX('Lease Cycles'!$DD$22:$DJ$22,1,Y248))*((1-'Lease Cycles'!$AJ$22)*INDEX('Lease Cycles'!$FO$22:$FU$22,1,Y248)+(1-'Lease Cycles'!$BE$22)*(1-INDEX('Lease Cycles'!$FO$22:$FU$22,1,Y248)))),0)</f>
        <v>0</v>
      </c>
      <c r="Z256" s="24">
        <f>IF(Z250=1,'Lease Cycles'!$D$22*IF(INDEX('Lease Cycles'!$EF$22:$EL$22,1,Z248)=1,(1-'Lease Cycles'!$AJ$22)*INDEX('Lease Cycles'!$EM$22:$ES$22,1,Z248)+(1-'Lease Cycles'!$BE$22)*IF(Z249&lt;INDEX('Lease Cycles'!$FA$22:$FG$22,1,Z248),0,1-INDEX('Lease Cycles'!$EM$22:$ES$22,1,Z248)),IF(OR(INDEX('Lease Cycles'!$DY$22:$EE$22,1,Z248)=1,Z249&gt;0),1,1-INDEX('Lease Cycles'!$DD$22:$DJ$22,1,Z248))*((1-'Lease Cycles'!$AJ$22)*INDEX('Lease Cycles'!$FO$22:$FU$22,1,Z248)+(1-'Lease Cycles'!$BE$22)*(1-INDEX('Lease Cycles'!$FO$22:$FU$22,1,Z248)))),0)</f>
        <v>0</v>
      </c>
      <c r="AA256" s="24">
        <f>IF(AA250=1,'Lease Cycles'!$D$22*IF(INDEX('Lease Cycles'!$EF$22:$EL$22,1,AA248)=1,(1-'Lease Cycles'!$AJ$22)*INDEX('Lease Cycles'!$EM$22:$ES$22,1,AA248)+(1-'Lease Cycles'!$BE$22)*IF(AA249&lt;INDEX('Lease Cycles'!$FA$22:$FG$22,1,AA248),0,1-INDEX('Lease Cycles'!$EM$22:$ES$22,1,AA248)),IF(OR(INDEX('Lease Cycles'!$DY$22:$EE$22,1,AA248)=1,AA249&gt;0),1,1-INDEX('Lease Cycles'!$DD$22:$DJ$22,1,AA248))*((1-'Lease Cycles'!$AJ$22)*INDEX('Lease Cycles'!$FO$22:$FU$22,1,AA248)+(1-'Lease Cycles'!$BE$22)*(1-INDEX('Lease Cycles'!$FO$22:$FU$22,1,AA248)))),0)</f>
        <v>0</v>
      </c>
      <c r="AB256" s="24">
        <f>IF(AB250=1,'Lease Cycles'!$D$22*IF(INDEX('Lease Cycles'!$EF$22:$EL$22,1,AB248)=1,(1-'Lease Cycles'!$AJ$22)*INDEX('Lease Cycles'!$EM$22:$ES$22,1,AB248)+(1-'Lease Cycles'!$BE$22)*IF(AB249&lt;INDEX('Lease Cycles'!$FA$22:$FG$22,1,AB248),0,1-INDEX('Lease Cycles'!$EM$22:$ES$22,1,AB248)),IF(OR(INDEX('Lease Cycles'!$DY$22:$EE$22,1,AB248)=1,AB249&gt;0),1,1-INDEX('Lease Cycles'!$DD$22:$DJ$22,1,AB248))*((1-'Lease Cycles'!$AJ$22)*INDEX('Lease Cycles'!$FO$22:$FU$22,1,AB248)+(1-'Lease Cycles'!$BE$22)*(1-INDEX('Lease Cycles'!$FO$22:$FU$22,1,AB248)))),0)</f>
        <v>0</v>
      </c>
      <c r="AC256" s="24">
        <f>IF(AC250=1,'Lease Cycles'!$D$22*IF(INDEX('Lease Cycles'!$EF$22:$EL$22,1,AC248)=1,(1-'Lease Cycles'!$AJ$22)*INDEX('Lease Cycles'!$EM$22:$ES$22,1,AC248)+(1-'Lease Cycles'!$BE$22)*IF(AC249&lt;INDEX('Lease Cycles'!$FA$22:$FG$22,1,AC248),0,1-INDEX('Lease Cycles'!$EM$22:$ES$22,1,AC248)),IF(OR(INDEX('Lease Cycles'!$DY$22:$EE$22,1,AC248)=1,AC249&gt;0),1,1-INDEX('Lease Cycles'!$DD$22:$DJ$22,1,AC248))*((1-'Lease Cycles'!$AJ$22)*INDEX('Lease Cycles'!$FO$22:$FU$22,1,AC248)+(1-'Lease Cycles'!$BE$22)*(1-INDEX('Lease Cycles'!$FO$22:$FU$22,1,AC248)))),0)</f>
        <v>0</v>
      </c>
      <c r="AD256" s="24">
        <f>IF(AD250=1,'Lease Cycles'!$D$22*IF(INDEX('Lease Cycles'!$EF$22:$EL$22,1,AD248)=1,(1-'Lease Cycles'!$AJ$22)*INDEX('Lease Cycles'!$EM$22:$ES$22,1,AD248)+(1-'Lease Cycles'!$BE$22)*IF(AD249&lt;INDEX('Lease Cycles'!$FA$22:$FG$22,1,AD248),0,1-INDEX('Lease Cycles'!$EM$22:$ES$22,1,AD248)),IF(OR(INDEX('Lease Cycles'!$DY$22:$EE$22,1,AD248)=1,AD249&gt;0),1,1-INDEX('Lease Cycles'!$DD$22:$DJ$22,1,AD248))*((1-'Lease Cycles'!$AJ$22)*INDEX('Lease Cycles'!$FO$22:$FU$22,1,AD248)+(1-'Lease Cycles'!$BE$22)*(1-INDEX('Lease Cycles'!$FO$22:$FU$22,1,AD248)))),0)</f>
        <v>0</v>
      </c>
      <c r="AE256" s="24">
        <f>IF(AE250=1,'Lease Cycles'!$D$22*IF(INDEX('Lease Cycles'!$EF$22:$EL$22,1,AE248)=1,(1-'Lease Cycles'!$AJ$22)*INDEX('Lease Cycles'!$EM$22:$ES$22,1,AE248)+(1-'Lease Cycles'!$BE$22)*IF(AE249&lt;INDEX('Lease Cycles'!$FA$22:$FG$22,1,AE248),0,1-INDEX('Lease Cycles'!$EM$22:$ES$22,1,AE248)),IF(OR(INDEX('Lease Cycles'!$DY$22:$EE$22,1,AE248)=1,AE249&gt;0),1,1-INDEX('Lease Cycles'!$DD$22:$DJ$22,1,AE248))*((1-'Lease Cycles'!$AJ$22)*INDEX('Lease Cycles'!$FO$22:$FU$22,1,AE248)+(1-'Lease Cycles'!$BE$22)*(1-INDEX('Lease Cycles'!$FO$22:$FU$22,1,AE248)))),0)</f>
        <v>0</v>
      </c>
      <c r="AF256" s="24">
        <f>IF(AF250=1,'Lease Cycles'!$D$22*IF(INDEX('Lease Cycles'!$EF$22:$EL$22,1,AF248)=1,(1-'Lease Cycles'!$AJ$22)*INDEX('Lease Cycles'!$EM$22:$ES$22,1,AF248)+(1-'Lease Cycles'!$BE$22)*IF(AF249&lt;INDEX('Lease Cycles'!$FA$22:$FG$22,1,AF248),0,1-INDEX('Lease Cycles'!$EM$22:$ES$22,1,AF248)),IF(OR(INDEX('Lease Cycles'!$DY$22:$EE$22,1,AF248)=1,AF249&gt;0),1,1-INDEX('Lease Cycles'!$DD$22:$DJ$22,1,AF248))*((1-'Lease Cycles'!$AJ$22)*INDEX('Lease Cycles'!$FO$22:$FU$22,1,AF248)+(1-'Lease Cycles'!$BE$22)*(1-INDEX('Lease Cycles'!$FO$22:$FU$22,1,AF248)))),0)</f>
        <v>0</v>
      </c>
      <c r="AG256" s="24">
        <f>IF(AG250=1,'Lease Cycles'!$D$22*IF(INDEX('Lease Cycles'!$EF$22:$EL$22,1,AG248)=1,(1-'Lease Cycles'!$AJ$22)*INDEX('Lease Cycles'!$EM$22:$ES$22,1,AG248)+(1-'Lease Cycles'!$BE$22)*IF(AG249&lt;INDEX('Lease Cycles'!$FA$22:$FG$22,1,AG248),0,1-INDEX('Lease Cycles'!$EM$22:$ES$22,1,AG248)),IF(OR(INDEX('Lease Cycles'!$DY$22:$EE$22,1,AG248)=1,AG249&gt;0),1,1-INDEX('Lease Cycles'!$DD$22:$DJ$22,1,AG248))*((1-'Lease Cycles'!$AJ$22)*INDEX('Lease Cycles'!$FO$22:$FU$22,1,AG248)+(1-'Lease Cycles'!$BE$22)*(1-INDEX('Lease Cycles'!$FO$22:$FU$22,1,AG248)))),0)</f>
        <v>0</v>
      </c>
      <c r="AH256" s="24">
        <f>IF(AH250=1,'Lease Cycles'!$D$22*IF(INDEX('Lease Cycles'!$EF$22:$EL$22,1,AH248)=1,(1-'Lease Cycles'!$AJ$22)*INDEX('Lease Cycles'!$EM$22:$ES$22,1,AH248)+(1-'Lease Cycles'!$BE$22)*IF(AH249&lt;INDEX('Lease Cycles'!$FA$22:$FG$22,1,AH248),0,1-INDEX('Lease Cycles'!$EM$22:$ES$22,1,AH248)),IF(OR(INDEX('Lease Cycles'!$DY$22:$EE$22,1,AH248)=1,AH249&gt;0),1,1-INDEX('Lease Cycles'!$DD$22:$DJ$22,1,AH248))*((1-'Lease Cycles'!$AJ$22)*INDEX('Lease Cycles'!$FO$22:$FU$22,1,AH248)+(1-'Lease Cycles'!$BE$22)*(1-INDEX('Lease Cycles'!$FO$22:$FU$22,1,AH248)))),0)</f>
        <v>0</v>
      </c>
      <c r="AI256" s="24">
        <f>IF(AI250=1,'Lease Cycles'!$D$22*IF(INDEX('Lease Cycles'!$EF$22:$EL$22,1,AI248)=1,(1-'Lease Cycles'!$AJ$22)*INDEX('Lease Cycles'!$EM$22:$ES$22,1,AI248)+(1-'Lease Cycles'!$BE$22)*IF(AI249&lt;INDEX('Lease Cycles'!$FA$22:$FG$22,1,AI248),0,1-INDEX('Lease Cycles'!$EM$22:$ES$22,1,AI248)),IF(OR(INDEX('Lease Cycles'!$DY$22:$EE$22,1,AI248)=1,AI249&gt;0),1,1-INDEX('Lease Cycles'!$DD$22:$DJ$22,1,AI248))*((1-'Lease Cycles'!$AJ$22)*INDEX('Lease Cycles'!$FO$22:$FU$22,1,AI248)+(1-'Lease Cycles'!$BE$22)*(1-INDEX('Lease Cycles'!$FO$22:$FU$22,1,AI248)))),0)</f>
        <v>0</v>
      </c>
      <c r="AJ256" s="24">
        <f>IF(AJ250=1,'Lease Cycles'!$D$22*IF(INDEX('Lease Cycles'!$EF$22:$EL$22,1,AJ248)=1,(1-'Lease Cycles'!$AJ$22)*INDEX('Lease Cycles'!$EM$22:$ES$22,1,AJ248)+(1-'Lease Cycles'!$BE$22)*IF(AJ249&lt;INDEX('Lease Cycles'!$FA$22:$FG$22,1,AJ248),0,1-INDEX('Lease Cycles'!$EM$22:$ES$22,1,AJ248)),IF(OR(INDEX('Lease Cycles'!$DY$22:$EE$22,1,AJ248)=1,AJ249&gt;0),1,1-INDEX('Lease Cycles'!$DD$22:$DJ$22,1,AJ248))*((1-'Lease Cycles'!$AJ$22)*INDEX('Lease Cycles'!$FO$22:$FU$22,1,AJ248)+(1-'Lease Cycles'!$BE$22)*(1-INDEX('Lease Cycles'!$FO$22:$FU$22,1,AJ248)))),0)</f>
        <v>0</v>
      </c>
      <c r="AK256" s="24">
        <f>IF(AK250=1,'Lease Cycles'!$D$22*IF(INDEX('Lease Cycles'!$EF$22:$EL$22,1,AK248)=1,(1-'Lease Cycles'!$AJ$22)*INDEX('Lease Cycles'!$EM$22:$ES$22,1,AK248)+(1-'Lease Cycles'!$BE$22)*IF(AK249&lt;INDEX('Lease Cycles'!$FA$22:$FG$22,1,AK248),0,1-INDEX('Lease Cycles'!$EM$22:$ES$22,1,AK248)),IF(OR(INDEX('Lease Cycles'!$DY$22:$EE$22,1,AK248)=1,AK249&gt;0),1,1-INDEX('Lease Cycles'!$DD$22:$DJ$22,1,AK248))*((1-'Lease Cycles'!$AJ$22)*INDEX('Lease Cycles'!$FO$22:$FU$22,1,AK248)+(1-'Lease Cycles'!$BE$22)*(1-INDEX('Lease Cycles'!$FO$22:$FU$22,1,AK248)))),0)</f>
        <v>0</v>
      </c>
      <c r="AL256" s="24">
        <f>IF(AL250=1,'Lease Cycles'!$D$22*IF(INDEX('Lease Cycles'!$EF$22:$EL$22,1,AL248)=1,(1-'Lease Cycles'!$AJ$22)*INDEX('Lease Cycles'!$EM$22:$ES$22,1,AL248)+(1-'Lease Cycles'!$BE$22)*IF(AL249&lt;INDEX('Lease Cycles'!$FA$22:$FG$22,1,AL248),0,1-INDEX('Lease Cycles'!$EM$22:$ES$22,1,AL248)),IF(OR(INDEX('Lease Cycles'!$DY$22:$EE$22,1,AL248)=1,AL249&gt;0),1,1-INDEX('Lease Cycles'!$DD$22:$DJ$22,1,AL248))*((1-'Lease Cycles'!$AJ$22)*INDEX('Lease Cycles'!$FO$22:$FU$22,1,AL248)+(1-'Lease Cycles'!$BE$22)*(1-INDEX('Lease Cycles'!$FO$22:$FU$22,1,AL248)))),0)</f>
        <v>0</v>
      </c>
      <c r="AM256" s="24">
        <f>IF(AM250=1,'Lease Cycles'!$D$22*IF(INDEX('Lease Cycles'!$EF$22:$EL$22,1,AM248)=1,(1-'Lease Cycles'!$AJ$22)*INDEX('Lease Cycles'!$EM$22:$ES$22,1,AM248)+(1-'Lease Cycles'!$BE$22)*IF(AM249&lt;INDEX('Lease Cycles'!$FA$22:$FG$22,1,AM248),0,1-INDEX('Lease Cycles'!$EM$22:$ES$22,1,AM248)),IF(OR(INDEX('Lease Cycles'!$DY$22:$EE$22,1,AM248)=1,AM249&gt;0),1,1-INDEX('Lease Cycles'!$DD$22:$DJ$22,1,AM248))*((1-'Lease Cycles'!$AJ$22)*INDEX('Lease Cycles'!$FO$22:$FU$22,1,AM248)+(1-'Lease Cycles'!$BE$22)*(1-INDEX('Lease Cycles'!$FO$22:$FU$22,1,AM248)))),0)</f>
        <v>0</v>
      </c>
      <c r="AN256" s="24">
        <f>IF(AN250=1,'Lease Cycles'!$D$22*IF(INDEX('Lease Cycles'!$EF$22:$EL$22,1,AN248)=1,(1-'Lease Cycles'!$AJ$22)*INDEX('Lease Cycles'!$EM$22:$ES$22,1,AN248)+(1-'Lease Cycles'!$BE$22)*IF(AN249&lt;INDEX('Lease Cycles'!$FA$22:$FG$22,1,AN248),0,1-INDEX('Lease Cycles'!$EM$22:$ES$22,1,AN248)),IF(OR(INDEX('Lease Cycles'!$DY$22:$EE$22,1,AN248)=1,AN249&gt;0),1,1-INDEX('Lease Cycles'!$DD$22:$DJ$22,1,AN248))*((1-'Lease Cycles'!$AJ$22)*INDEX('Lease Cycles'!$FO$22:$FU$22,1,AN248)+(1-'Lease Cycles'!$BE$22)*(1-INDEX('Lease Cycles'!$FO$22:$FU$22,1,AN248)))),0)</f>
        <v>0</v>
      </c>
      <c r="AO256" s="24">
        <f>IF(AO250=1,'Lease Cycles'!$D$22*IF(INDEX('Lease Cycles'!$EF$22:$EL$22,1,AO248)=1,(1-'Lease Cycles'!$AJ$22)*INDEX('Lease Cycles'!$EM$22:$ES$22,1,AO248)+(1-'Lease Cycles'!$BE$22)*IF(AO249&lt;INDEX('Lease Cycles'!$FA$22:$FG$22,1,AO248),0,1-INDEX('Lease Cycles'!$EM$22:$ES$22,1,AO248)),IF(OR(INDEX('Lease Cycles'!$DY$22:$EE$22,1,AO248)=1,AO249&gt;0),1,1-INDEX('Lease Cycles'!$DD$22:$DJ$22,1,AO248))*((1-'Lease Cycles'!$AJ$22)*INDEX('Lease Cycles'!$FO$22:$FU$22,1,AO248)+(1-'Lease Cycles'!$BE$22)*(1-INDEX('Lease Cycles'!$FO$22:$FU$22,1,AO248)))),0)</f>
        <v>0</v>
      </c>
      <c r="AP256" s="24">
        <f>IF(AP250=1,'Lease Cycles'!$D$22*IF(INDEX('Lease Cycles'!$EF$22:$EL$22,1,AP248)=1,(1-'Lease Cycles'!$AJ$22)*INDEX('Lease Cycles'!$EM$22:$ES$22,1,AP248)+(1-'Lease Cycles'!$BE$22)*IF(AP249&lt;INDEX('Lease Cycles'!$FA$22:$FG$22,1,AP248),0,1-INDEX('Lease Cycles'!$EM$22:$ES$22,1,AP248)),IF(OR(INDEX('Lease Cycles'!$DY$22:$EE$22,1,AP248)=1,AP249&gt;0),1,1-INDEX('Lease Cycles'!$DD$22:$DJ$22,1,AP248))*((1-'Lease Cycles'!$AJ$22)*INDEX('Lease Cycles'!$FO$22:$FU$22,1,AP248)+(1-'Lease Cycles'!$BE$22)*(1-INDEX('Lease Cycles'!$FO$22:$FU$22,1,AP248)))),0)</f>
        <v>0</v>
      </c>
      <c r="AQ256" s="24">
        <f>IF(AQ250=1,'Lease Cycles'!$D$22*IF(INDEX('Lease Cycles'!$EF$22:$EL$22,1,AQ248)=1,(1-'Lease Cycles'!$AJ$22)*INDEX('Lease Cycles'!$EM$22:$ES$22,1,AQ248)+(1-'Lease Cycles'!$BE$22)*IF(AQ249&lt;INDEX('Lease Cycles'!$FA$22:$FG$22,1,AQ248),0,1-INDEX('Lease Cycles'!$EM$22:$ES$22,1,AQ248)),IF(OR(INDEX('Lease Cycles'!$DY$22:$EE$22,1,AQ248)=1,AQ249&gt;0),1,1-INDEX('Lease Cycles'!$DD$22:$DJ$22,1,AQ248))*((1-'Lease Cycles'!$AJ$22)*INDEX('Lease Cycles'!$FO$22:$FU$22,1,AQ248)+(1-'Lease Cycles'!$BE$22)*(1-INDEX('Lease Cycles'!$FO$22:$FU$22,1,AQ248)))),0)</f>
        <v>0</v>
      </c>
      <c r="AR256" s="24">
        <f>IF(AR250=1,'Lease Cycles'!$D$22*IF(INDEX('Lease Cycles'!$EF$22:$EL$22,1,AR248)=1,(1-'Lease Cycles'!$AJ$22)*INDEX('Lease Cycles'!$EM$22:$ES$22,1,AR248)+(1-'Lease Cycles'!$BE$22)*IF(AR249&lt;INDEX('Lease Cycles'!$FA$22:$FG$22,1,AR248),0,1-INDEX('Lease Cycles'!$EM$22:$ES$22,1,AR248)),IF(OR(INDEX('Lease Cycles'!$DY$22:$EE$22,1,AR248)=1,AR249&gt;0),1,1-INDEX('Lease Cycles'!$DD$22:$DJ$22,1,AR248))*((1-'Lease Cycles'!$AJ$22)*INDEX('Lease Cycles'!$FO$22:$FU$22,1,AR248)+(1-'Lease Cycles'!$BE$22)*(1-INDEX('Lease Cycles'!$FO$22:$FU$22,1,AR248)))),0)</f>
        <v>0</v>
      </c>
      <c r="AS256" s="24">
        <f>IF(AS250=1,'Lease Cycles'!$D$22*IF(INDEX('Lease Cycles'!$EF$22:$EL$22,1,AS248)=1,(1-'Lease Cycles'!$AJ$22)*INDEX('Lease Cycles'!$EM$22:$ES$22,1,AS248)+(1-'Lease Cycles'!$BE$22)*IF(AS249&lt;INDEX('Lease Cycles'!$FA$22:$FG$22,1,AS248),0,1-INDEX('Lease Cycles'!$EM$22:$ES$22,1,AS248)),IF(OR(INDEX('Lease Cycles'!$DY$22:$EE$22,1,AS248)=1,AS249&gt;0),1,1-INDEX('Lease Cycles'!$DD$22:$DJ$22,1,AS248))*((1-'Lease Cycles'!$AJ$22)*INDEX('Lease Cycles'!$FO$22:$FU$22,1,AS248)+(1-'Lease Cycles'!$BE$22)*(1-INDEX('Lease Cycles'!$FO$22:$FU$22,1,AS248)))),0)</f>
        <v>0</v>
      </c>
      <c r="AT256" s="24">
        <f>IF(AT250=1,'Lease Cycles'!$D$22*IF(INDEX('Lease Cycles'!$EF$22:$EL$22,1,AT248)=1,(1-'Lease Cycles'!$AJ$22)*INDEX('Lease Cycles'!$EM$22:$ES$22,1,AT248)+(1-'Lease Cycles'!$BE$22)*IF(AT249&lt;INDEX('Lease Cycles'!$FA$22:$FG$22,1,AT248),0,1-INDEX('Lease Cycles'!$EM$22:$ES$22,1,AT248)),IF(OR(INDEX('Lease Cycles'!$DY$22:$EE$22,1,AT248)=1,AT249&gt;0),1,1-INDEX('Lease Cycles'!$DD$22:$DJ$22,1,AT248))*((1-'Lease Cycles'!$AJ$22)*INDEX('Lease Cycles'!$FO$22:$FU$22,1,AT248)+(1-'Lease Cycles'!$BE$22)*(1-INDEX('Lease Cycles'!$FO$22:$FU$22,1,AT248)))),0)</f>
        <v>0</v>
      </c>
      <c r="AU256" s="24">
        <f>IF(AU250=1,'Lease Cycles'!$D$22*IF(INDEX('Lease Cycles'!$EF$22:$EL$22,1,AU248)=1,(1-'Lease Cycles'!$AJ$22)*INDEX('Lease Cycles'!$EM$22:$ES$22,1,AU248)+(1-'Lease Cycles'!$BE$22)*IF(AU249&lt;INDEX('Lease Cycles'!$FA$22:$FG$22,1,AU248),0,1-INDEX('Lease Cycles'!$EM$22:$ES$22,1,AU248)),IF(OR(INDEX('Lease Cycles'!$DY$22:$EE$22,1,AU248)=1,AU249&gt;0),1,1-INDEX('Lease Cycles'!$DD$22:$DJ$22,1,AU248))*((1-'Lease Cycles'!$AJ$22)*INDEX('Lease Cycles'!$FO$22:$FU$22,1,AU248)+(1-'Lease Cycles'!$BE$22)*(1-INDEX('Lease Cycles'!$FO$22:$FU$22,1,AU248)))),0)</f>
        <v>0</v>
      </c>
      <c r="AV256" s="24">
        <f>IF(AV250=1,'Lease Cycles'!$D$22*IF(INDEX('Lease Cycles'!$EF$22:$EL$22,1,AV248)=1,(1-'Lease Cycles'!$AJ$22)*INDEX('Lease Cycles'!$EM$22:$ES$22,1,AV248)+(1-'Lease Cycles'!$BE$22)*IF(AV249&lt;INDEX('Lease Cycles'!$FA$22:$FG$22,1,AV248),0,1-INDEX('Lease Cycles'!$EM$22:$ES$22,1,AV248)),IF(OR(INDEX('Lease Cycles'!$DY$22:$EE$22,1,AV248)=1,AV249&gt;0),1,1-INDEX('Lease Cycles'!$DD$22:$DJ$22,1,AV248))*((1-'Lease Cycles'!$AJ$22)*INDEX('Lease Cycles'!$FO$22:$FU$22,1,AV248)+(1-'Lease Cycles'!$BE$22)*(1-INDEX('Lease Cycles'!$FO$22:$FU$22,1,AV248)))),0)</f>
        <v>0</v>
      </c>
      <c r="AW256" s="24">
        <f>IF(AW250=1,'Lease Cycles'!$D$22*IF(INDEX('Lease Cycles'!$EF$22:$EL$22,1,AW248)=1,(1-'Lease Cycles'!$AJ$22)*INDEX('Lease Cycles'!$EM$22:$ES$22,1,AW248)+(1-'Lease Cycles'!$BE$22)*IF(AW249&lt;INDEX('Lease Cycles'!$FA$22:$FG$22,1,AW248),0,1-INDEX('Lease Cycles'!$EM$22:$ES$22,1,AW248)),IF(OR(INDEX('Lease Cycles'!$DY$22:$EE$22,1,AW248)=1,AW249&gt;0),1,1-INDEX('Lease Cycles'!$DD$22:$DJ$22,1,AW248))*((1-'Lease Cycles'!$AJ$22)*INDEX('Lease Cycles'!$FO$22:$FU$22,1,AW248)+(1-'Lease Cycles'!$BE$22)*(1-INDEX('Lease Cycles'!$FO$22:$FU$22,1,AW248)))),0)</f>
        <v>0</v>
      </c>
      <c r="AX256" s="24">
        <f>IF(AX250=1,'Lease Cycles'!$D$22*IF(INDEX('Lease Cycles'!$EF$22:$EL$22,1,AX248)=1,(1-'Lease Cycles'!$AJ$22)*INDEX('Lease Cycles'!$EM$22:$ES$22,1,AX248)+(1-'Lease Cycles'!$BE$22)*IF(AX249&lt;INDEX('Lease Cycles'!$FA$22:$FG$22,1,AX248),0,1-INDEX('Lease Cycles'!$EM$22:$ES$22,1,AX248)),IF(OR(INDEX('Lease Cycles'!$DY$22:$EE$22,1,AX248)=1,AX249&gt;0),1,1-INDEX('Lease Cycles'!$DD$22:$DJ$22,1,AX248))*((1-'Lease Cycles'!$AJ$22)*INDEX('Lease Cycles'!$FO$22:$FU$22,1,AX248)+(1-'Lease Cycles'!$BE$22)*(1-INDEX('Lease Cycles'!$FO$22:$FU$22,1,AX248)))),0)</f>
        <v>0</v>
      </c>
      <c r="AY256" s="24">
        <f>IF(AY250=1,'Lease Cycles'!$D$22*IF(INDEX('Lease Cycles'!$EF$22:$EL$22,1,AY248)=1,(1-'Lease Cycles'!$AJ$22)*INDEX('Lease Cycles'!$EM$22:$ES$22,1,AY248)+(1-'Lease Cycles'!$BE$22)*IF(AY249&lt;INDEX('Lease Cycles'!$FA$22:$FG$22,1,AY248),0,1-INDEX('Lease Cycles'!$EM$22:$ES$22,1,AY248)),IF(OR(INDEX('Lease Cycles'!$DY$22:$EE$22,1,AY248)=1,AY249&gt;0),1,1-INDEX('Lease Cycles'!$DD$22:$DJ$22,1,AY248))*((1-'Lease Cycles'!$AJ$22)*INDEX('Lease Cycles'!$FO$22:$FU$22,1,AY248)+(1-'Lease Cycles'!$BE$22)*(1-INDEX('Lease Cycles'!$FO$22:$FU$22,1,AY248)))),0)</f>
        <v>0</v>
      </c>
      <c r="AZ256" s="24">
        <f>IF(AZ250=1,'Lease Cycles'!$D$22*IF(INDEX('Lease Cycles'!$EF$22:$EL$22,1,AZ248)=1,(1-'Lease Cycles'!$AJ$22)*INDEX('Lease Cycles'!$EM$22:$ES$22,1,AZ248)+(1-'Lease Cycles'!$BE$22)*IF(AZ249&lt;INDEX('Lease Cycles'!$FA$22:$FG$22,1,AZ248),0,1-INDEX('Lease Cycles'!$EM$22:$ES$22,1,AZ248)),IF(OR(INDEX('Lease Cycles'!$DY$22:$EE$22,1,AZ248)=1,AZ249&gt;0),1,1-INDEX('Lease Cycles'!$DD$22:$DJ$22,1,AZ248))*((1-'Lease Cycles'!$AJ$22)*INDEX('Lease Cycles'!$FO$22:$FU$22,1,AZ248)+(1-'Lease Cycles'!$BE$22)*(1-INDEX('Lease Cycles'!$FO$22:$FU$22,1,AZ248)))),0)</f>
        <v>0</v>
      </c>
      <c r="BA256" s="24">
        <f>IF(BA250=1,'Lease Cycles'!$D$22*IF(INDEX('Lease Cycles'!$EF$22:$EL$22,1,BA248)=1,(1-'Lease Cycles'!$AJ$22)*INDEX('Lease Cycles'!$EM$22:$ES$22,1,BA248)+(1-'Lease Cycles'!$BE$22)*IF(BA249&lt;INDEX('Lease Cycles'!$FA$22:$FG$22,1,BA248),0,1-INDEX('Lease Cycles'!$EM$22:$ES$22,1,BA248)),IF(OR(INDEX('Lease Cycles'!$DY$22:$EE$22,1,BA248)=1,BA249&gt;0),1,1-INDEX('Lease Cycles'!$DD$22:$DJ$22,1,BA248))*((1-'Lease Cycles'!$AJ$22)*INDEX('Lease Cycles'!$FO$22:$FU$22,1,BA248)+(1-'Lease Cycles'!$BE$22)*(1-INDEX('Lease Cycles'!$FO$22:$FU$22,1,BA248)))),0)</f>
        <v>0</v>
      </c>
      <c r="BB256" s="24">
        <f>IF(BB250=1,'Lease Cycles'!$D$22*IF(INDEX('Lease Cycles'!$EF$22:$EL$22,1,BB248)=1,(1-'Lease Cycles'!$AJ$22)*INDEX('Lease Cycles'!$EM$22:$ES$22,1,BB248)+(1-'Lease Cycles'!$BE$22)*IF(BB249&lt;INDEX('Lease Cycles'!$FA$22:$FG$22,1,BB248),0,1-INDEX('Lease Cycles'!$EM$22:$ES$22,1,BB248)),IF(OR(INDEX('Lease Cycles'!$DY$22:$EE$22,1,BB248)=1,BB249&gt;0),1,1-INDEX('Lease Cycles'!$DD$22:$DJ$22,1,BB248))*((1-'Lease Cycles'!$AJ$22)*INDEX('Lease Cycles'!$FO$22:$FU$22,1,BB248)+(1-'Lease Cycles'!$BE$22)*(1-INDEX('Lease Cycles'!$FO$22:$FU$22,1,BB248)))),0)</f>
        <v>0</v>
      </c>
      <c r="BC256" s="24">
        <f>IF(BC250=1,'Lease Cycles'!$D$22*IF(INDEX('Lease Cycles'!$EF$22:$EL$22,1,BC248)=1,(1-'Lease Cycles'!$AJ$22)*INDEX('Lease Cycles'!$EM$22:$ES$22,1,BC248)+(1-'Lease Cycles'!$BE$22)*IF(BC249&lt;INDEX('Lease Cycles'!$FA$22:$FG$22,1,BC248),0,1-INDEX('Lease Cycles'!$EM$22:$ES$22,1,BC248)),IF(OR(INDEX('Lease Cycles'!$DY$22:$EE$22,1,BC248)=1,BC249&gt;0),1,1-INDEX('Lease Cycles'!$DD$22:$DJ$22,1,BC248))*((1-'Lease Cycles'!$AJ$22)*INDEX('Lease Cycles'!$FO$22:$FU$22,1,BC248)+(1-'Lease Cycles'!$BE$22)*(1-INDEX('Lease Cycles'!$FO$22:$FU$22,1,BC248)))),0)</f>
        <v>0</v>
      </c>
      <c r="BD256" s="24">
        <f>IF(BD250=1,'Lease Cycles'!$D$22*IF(INDEX('Lease Cycles'!$EF$22:$EL$22,1,BD248)=1,(1-'Lease Cycles'!$AJ$22)*INDEX('Lease Cycles'!$EM$22:$ES$22,1,BD248)+(1-'Lease Cycles'!$BE$22)*IF(BD249&lt;INDEX('Lease Cycles'!$FA$22:$FG$22,1,BD248),0,1-INDEX('Lease Cycles'!$EM$22:$ES$22,1,BD248)),IF(OR(INDEX('Lease Cycles'!$DY$22:$EE$22,1,BD248)=1,BD249&gt;0),1,1-INDEX('Lease Cycles'!$DD$22:$DJ$22,1,BD248))*((1-'Lease Cycles'!$AJ$22)*INDEX('Lease Cycles'!$FO$22:$FU$22,1,BD248)+(1-'Lease Cycles'!$BE$22)*(1-INDEX('Lease Cycles'!$FO$22:$FU$22,1,BD248)))),0)</f>
        <v>0</v>
      </c>
      <c r="BE256" s="24">
        <f>IF(BE250=1,'Lease Cycles'!$D$22*IF(INDEX('Lease Cycles'!$EF$22:$EL$22,1,BE248)=1,(1-'Lease Cycles'!$AJ$22)*INDEX('Lease Cycles'!$EM$22:$ES$22,1,BE248)+(1-'Lease Cycles'!$BE$22)*IF(BE249&lt;INDEX('Lease Cycles'!$FA$22:$FG$22,1,BE248),0,1-INDEX('Lease Cycles'!$EM$22:$ES$22,1,BE248)),IF(OR(INDEX('Lease Cycles'!$DY$22:$EE$22,1,BE248)=1,BE249&gt;0),1,1-INDEX('Lease Cycles'!$DD$22:$DJ$22,1,BE248))*((1-'Lease Cycles'!$AJ$22)*INDEX('Lease Cycles'!$FO$22:$FU$22,1,BE248)+(1-'Lease Cycles'!$BE$22)*(1-INDEX('Lease Cycles'!$FO$22:$FU$22,1,BE248)))),0)</f>
        <v>0</v>
      </c>
      <c r="BF256" s="24">
        <f>IF(BF250=1,'Lease Cycles'!$D$22*IF(INDEX('Lease Cycles'!$EF$22:$EL$22,1,BF248)=1,(1-'Lease Cycles'!$AJ$22)*INDEX('Lease Cycles'!$EM$22:$ES$22,1,BF248)+(1-'Lease Cycles'!$BE$22)*IF(BF249&lt;INDEX('Lease Cycles'!$FA$22:$FG$22,1,BF248),0,1-INDEX('Lease Cycles'!$EM$22:$ES$22,1,BF248)),IF(OR(INDEX('Lease Cycles'!$DY$22:$EE$22,1,BF248)=1,BF249&gt;0),1,1-INDEX('Lease Cycles'!$DD$22:$DJ$22,1,BF248))*((1-'Lease Cycles'!$AJ$22)*INDEX('Lease Cycles'!$FO$22:$FU$22,1,BF248)+(1-'Lease Cycles'!$BE$22)*(1-INDEX('Lease Cycles'!$FO$22:$FU$22,1,BF248)))),0)</f>
        <v>0</v>
      </c>
      <c r="BG256" s="24">
        <f>IF(BG250=1,'Lease Cycles'!$D$22*IF(INDEX('Lease Cycles'!$EF$22:$EL$22,1,BG248)=1,(1-'Lease Cycles'!$AJ$22)*INDEX('Lease Cycles'!$EM$22:$ES$22,1,BG248)+(1-'Lease Cycles'!$BE$22)*IF(BG249&lt;INDEX('Lease Cycles'!$FA$22:$FG$22,1,BG248),0,1-INDEX('Lease Cycles'!$EM$22:$ES$22,1,BG248)),IF(OR(INDEX('Lease Cycles'!$DY$22:$EE$22,1,BG248)=1,BG249&gt;0),1,1-INDEX('Lease Cycles'!$DD$22:$DJ$22,1,BG248))*((1-'Lease Cycles'!$AJ$22)*INDEX('Lease Cycles'!$FO$22:$FU$22,1,BG248)+(1-'Lease Cycles'!$BE$22)*(1-INDEX('Lease Cycles'!$FO$22:$FU$22,1,BG248)))),0)</f>
        <v>0</v>
      </c>
      <c r="BH256" s="24">
        <f>IF(BH250=1,'Lease Cycles'!$D$22*IF(INDEX('Lease Cycles'!$EF$22:$EL$22,1,BH248)=1,(1-'Lease Cycles'!$AJ$22)*INDEX('Lease Cycles'!$EM$22:$ES$22,1,BH248)+(1-'Lease Cycles'!$BE$22)*IF(BH249&lt;INDEX('Lease Cycles'!$FA$22:$FG$22,1,BH248),0,1-INDEX('Lease Cycles'!$EM$22:$ES$22,1,BH248)),IF(OR(INDEX('Lease Cycles'!$DY$22:$EE$22,1,BH248)=1,BH249&gt;0),1,1-INDEX('Lease Cycles'!$DD$22:$DJ$22,1,BH248))*((1-'Lease Cycles'!$AJ$22)*INDEX('Lease Cycles'!$FO$22:$FU$22,1,BH248)+(1-'Lease Cycles'!$BE$22)*(1-INDEX('Lease Cycles'!$FO$22:$FU$22,1,BH248)))),0)</f>
        <v>0</v>
      </c>
      <c r="BI256" s="24">
        <f>IF(BI250=1,'Lease Cycles'!$D$22*IF(INDEX('Lease Cycles'!$EF$22:$EL$22,1,BI248)=1,(1-'Lease Cycles'!$AJ$22)*INDEX('Lease Cycles'!$EM$22:$ES$22,1,BI248)+(1-'Lease Cycles'!$BE$22)*IF(BI249&lt;INDEX('Lease Cycles'!$FA$22:$FG$22,1,BI248),0,1-INDEX('Lease Cycles'!$EM$22:$ES$22,1,BI248)),IF(OR(INDEX('Lease Cycles'!$DY$22:$EE$22,1,BI248)=1,BI249&gt;0),1,1-INDEX('Lease Cycles'!$DD$22:$DJ$22,1,BI248))*((1-'Lease Cycles'!$AJ$22)*INDEX('Lease Cycles'!$FO$22:$FU$22,1,BI248)+(1-'Lease Cycles'!$BE$22)*(1-INDEX('Lease Cycles'!$FO$22:$FU$22,1,BI248)))),0)</f>
        <v>0</v>
      </c>
      <c r="BJ256" s="24">
        <f>IF(BJ250=1,'Lease Cycles'!$D$22*IF(INDEX('Lease Cycles'!$EF$22:$EL$22,1,BJ248)=1,(1-'Lease Cycles'!$AJ$22)*INDEX('Lease Cycles'!$EM$22:$ES$22,1,BJ248)+(1-'Lease Cycles'!$BE$22)*IF(BJ249&lt;INDEX('Lease Cycles'!$FA$22:$FG$22,1,BJ248),0,1-INDEX('Lease Cycles'!$EM$22:$ES$22,1,BJ248)),IF(OR(INDEX('Lease Cycles'!$DY$22:$EE$22,1,BJ248)=1,BJ249&gt;0),1,1-INDEX('Lease Cycles'!$DD$22:$DJ$22,1,BJ248))*((1-'Lease Cycles'!$AJ$22)*INDEX('Lease Cycles'!$FO$22:$FU$22,1,BJ248)+(1-'Lease Cycles'!$BE$22)*(1-INDEX('Lease Cycles'!$FO$22:$FU$22,1,BJ248)))),0)</f>
        <v>0</v>
      </c>
      <c r="BK256" s="24">
        <f>IF(BK250=1,'Lease Cycles'!$D$22*IF(INDEX('Lease Cycles'!$EF$22:$EL$22,1,BK248)=1,(1-'Lease Cycles'!$AJ$22)*INDEX('Lease Cycles'!$EM$22:$ES$22,1,BK248)+(1-'Lease Cycles'!$BE$22)*IF(BK249&lt;INDEX('Lease Cycles'!$FA$22:$FG$22,1,BK248),0,1-INDEX('Lease Cycles'!$EM$22:$ES$22,1,BK248)),IF(OR(INDEX('Lease Cycles'!$DY$22:$EE$22,1,BK248)=1,BK249&gt;0),1,1-INDEX('Lease Cycles'!$DD$22:$DJ$22,1,BK248))*((1-'Lease Cycles'!$AJ$22)*INDEX('Lease Cycles'!$FO$22:$FU$22,1,BK248)+(1-'Lease Cycles'!$BE$22)*(1-INDEX('Lease Cycles'!$FO$22:$FU$22,1,BK248)))),0)</f>
        <v>0</v>
      </c>
      <c r="BL256" s="24">
        <f>IF(BL250=1,'Lease Cycles'!$D$22*IF(INDEX('Lease Cycles'!$EF$22:$EL$22,1,BL248)=1,(1-'Lease Cycles'!$AJ$22)*INDEX('Lease Cycles'!$EM$22:$ES$22,1,BL248)+(1-'Lease Cycles'!$BE$22)*IF(BL249&lt;INDEX('Lease Cycles'!$FA$22:$FG$22,1,BL248),0,1-INDEX('Lease Cycles'!$EM$22:$ES$22,1,BL248)),IF(OR(INDEX('Lease Cycles'!$DY$22:$EE$22,1,BL248)=1,BL249&gt;0),1,1-INDEX('Lease Cycles'!$DD$22:$DJ$22,1,BL248))*((1-'Lease Cycles'!$AJ$22)*INDEX('Lease Cycles'!$FO$22:$FU$22,1,BL248)+(1-'Lease Cycles'!$BE$22)*(1-INDEX('Lease Cycles'!$FO$22:$FU$22,1,BL248)))),0)</f>
        <v>0</v>
      </c>
      <c r="BM256" s="24">
        <f>IF(BM250=1,'Lease Cycles'!$D$22*IF(INDEX('Lease Cycles'!$EF$22:$EL$22,1,BM248)=1,(1-'Lease Cycles'!$AJ$22)*INDEX('Lease Cycles'!$EM$22:$ES$22,1,BM248)+(1-'Lease Cycles'!$BE$22)*IF(BM249&lt;INDEX('Lease Cycles'!$FA$22:$FG$22,1,BM248),0,1-INDEX('Lease Cycles'!$EM$22:$ES$22,1,BM248)),IF(OR(INDEX('Lease Cycles'!$DY$22:$EE$22,1,BM248)=1,BM249&gt;0),1,1-INDEX('Lease Cycles'!$DD$22:$DJ$22,1,BM248))*((1-'Lease Cycles'!$AJ$22)*INDEX('Lease Cycles'!$FO$22:$FU$22,1,BM248)+(1-'Lease Cycles'!$BE$22)*(1-INDEX('Lease Cycles'!$FO$22:$FU$22,1,BM248)))),0)</f>
        <v>0</v>
      </c>
      <c r="BN256" s="24">
        <f>IF(BN250=1,'Lease Cycles'!$D$22*IF(INDEX('Lease Cycles'!$EF$22:$EL$22,1,BN248)=1,(1-'Lease Cycles'!$AJ$22)*INDEX('Lease Cycles'!$EM$22:$ES$22,1,BN248)+(1-'Lease Cycles'!$BE$22)*IF(BN249&lt;INDEX('Lease Cycles'!$FA$22:$FG$22,1,BN248),0,1-INDEX('Lease Cycles'!$EM$22:$ES$22,1,BN248)),IF(OR(INDEX('Lease Cycles'!$DY$22:$EE$22,1,BN248)=1,BN249&gt;0),1,1-INDEX('Lease Cycles'!$DD$22:$DJ$22,1,BN248))*((1-'Lease Cycles'!$AJ$22)*INDEX('Lease Cycles'!$FO$22:$FU$22,1,BN248)+(1-'Lease Cycles'!$BE$22)*(1-INDEX('Lease Cycles'!$FO$22:$FU$22,1,BN248)))),0)</f>
        <v>0</v>
      </c>
      <c r="BO256" s="24">
        <f>IF(BO250=1,'Lease Cycles'!$D$22*IF(INDEX('Lease Cycles'!$EF$22:$EL$22,1,BO248)=1,(1-'Lease Cycles'!$AJ$22)*INDEX('Lease Cycles'!$EM$22:$ES$22,1,BO248)+(1-'Lease Cycles'!$BE$22)*IF(BO249&lt;INDEX('Lease Cycles'!$FA$22:$FG$22,1,BO248),0,1-INDEX('Lease Cycles'!$EM$22:$ES$22,1,BO248)),IF(OR(INDEX('Lease Cycles'!$DY$22:$EE$22,1,BO248)=1,BO249&gt;0),1,1-INDEX('Lease Cycles'!$DD$22:$DJ$22,1,BO248))*((1-'Lease Cycles'!$AJ$22)*INDEX('Lease Cycles'!$FO$22:$FU$22,1,BO248)+(1-'Lease Cycles'!$BE$22)*(1-INDEX('Lease Cycles'!$FO$22:$FU$22,1,BO248)))),0)</f>
        <v>0</v>
      </c>
      <c r="BP256" s="24">
        <f>IF(BP250=1,'Lease Cycles'!$D$22*IF(INDEX('Lease Cycles'!$EF$22:$EL$22,1,BP248)=1,(1-'Lease Cycles'!$AJ$22)*INDEX('Lease Cycles'!$EM$22:$ES$22,1,BP248)+(1-'Lease Cycles'!$BE$22)*IF(BP249&lt;INDEX('Lease Cycles'!$FA$22:$FG$22,1,BP248),0,1-INDEX('Lease Cycles'!$EM$22:$ES$22,1,BP248)),IF(OR(INDEX('Lease Cycles'!$DY$22:$EE$22,1,BP248)=1,BP249&gt;0),1,1-INDEX('Lease Cycles'!$DD$22:$DJ$22,1,BP248))*((1-'Lease Cycles'!$AJ$22)*INDEX('Lease Cycles'!$FO$22:$FU$22,1,BP248)+(1-'Lease Cycles'!$BE$22)*(1-INDEX('Lease Cycles'!$FO$22:$FU$22,1,BP248)))),0)</f>
        <v>0</v>
      </c>
      <c r="BQ256" s="24">
        <f>IF(BQ250=1,'Lease Cycles'!$D$22*IF(INDEX('Lease Cycles'!$EF$22:$EL$22,1,BQ248)=1,(1-'Lease Cycles'!$AJ$22)*INDEX('Lease Cycles'!$EM$22:$ES$22,1,BQ248)+(1-'Lease Cycles'!$BE$22)*IF(BQ249&lt;INDEX('Lease Cycles'!$FA$22:$FG$22,1,BQ248),0,1-INDEX('Lease Cycles'!$EM$22:$ES$22,1,BQ248)),IF(OR(INDEX('Lease Cycles'!$DY$22:$EE$22,1,BQ248)=1,BQ249&gt;0),1,1-INDEX('Lease Cycles'!$DD$22:$DJ$22,1,BQ248))*((1-'Lease Cycles'!$AJ$22)*INDEX('Lease Cycles'!$FO$22:$FU$22,1,BQ248)+(1-'Lease Cycles'!$BE$22)*(1-INDEX('Lease Cycles'!$FO$22:$FU$22,1,BQ248)))),0)</f>
        <v>0</v>
      </c>
      <c r="BR256" s="24">
        <f>IF(BR250=1,'Lease Cycles'!$D$22*IF(INDEX('Lease Cycles'!$EF$22:$EL$22,1,BR248)=1,(1-'Lease Cycles'!$AJ$22)*INDEX('Lease Cycles'!$EM$22:$ES$22,1,BR248)+(1-'Lease Cycles'!$BE$22)*IF(BR249&lt;INDEX('Lease Cycles'!$FA$22:$FG$22,1,BR248),0,1-INDEX('Lease Cycles'!$EM$22:$ES$22,1,BR248)),IF(OR(INDEX('Lease Cycles'!$DY$22:$EE$22,1,BR248)=1,BR249&gt;0),1,1-INDEX('Lease Cycles'!$DD$22:$DJ$22,1,BR248))*((1-'Lease Cycles'!$AJ$22)*INDEX('Lease Cycles'!$FO$22:$FU$22,1,BR248)+(1-'Lease Cycles'!$BE$22)*(1-INDEX('Lease Cycles'!$FO$22:$FU$22,1,BR248)))),0)</f>
        <v>0</v>
      </c>
      <c r="BS256" s="24">
        <f>IF(BS250=1,'Lease Cycles'!$D$22*IF(INDEX('Lease Cycles'!$EF$22:$EL$22,1,BS248)=1,(1-'Lease Cycles'!$AJ$22)*INDEX('Lease Cycles'!$EM$22:$ES$22,1,BS248)+(1-'Lease Cycles'!$BE$22)*IF(BS249&lt;INDEX('Lease Cycles'!$FA$22:$FG$22,1,BS248),0,1-INDEX('Lease Cycles'!$EM$22:$ES$22,1,BS248)),IF(OR(INDEX('Lease Cycles'!$DY$22:$EE$22,1,BS248)=1,BS249&gt;0),1,1-INDEX('Lease Cycles'!$DD$22:$DJ$22,1,BS248))*((1-'Lease Cycles'!$AJ$22)*INDEX('Lease Cycles'!$FO$22:$FU$22,1,BS248)+(1-'Lease Cycles'!$BE$22)*(1-INDEX('Lease Cycles'!$FO$22:$FU$22,1,BS248)))),0)</f>
        <v>0</v>
      </c>
      <c r="BT256" s="24">
        <f>IF(BT250=1,'Lease Cycles'!$D$22*IF(INDEX('Lease Cycles'!$EF$22:$EL$22,1,BT248)=1,(1-'Lease Cycles'!$AJ$22)*INDEX('Lease Cycles'!$EM$22:$ES$22,1,BT248)+(1-'Lease Cycles'!$BE$22)*IF(BT249&lt;INDEX('Lease Cycles'!$FA$22:$FG$22,1,BT248),0,1-INDEX('Lease Cycles'!$EM$22:$ES$22,1,BT248)),IF(OR(INDEX('Lease Cycles'!$DY$22:$EE$22,1,BT248)=1,BT249&gt;0),1,1-INDEX('Lease Cycles'!$DD$22:$DJ$22,1,BT248))*((1-'Lease Cycles'!$AJ$22)*INDEX('Lease Cycles'!$FO$22:$FU$22,1,BT248)+(1-'Lease Cycles'!$BE$22)*(1-INDEX('Lease Cycles'!$FO$22:$FU$22,1,BT248)))),0)</f>
        <v>0</v>
      </c>
      <c r="BU256" s="24">
        <f>IF(BU250=1,'Lease Cycles'!$D$22*IF(INDEX('Lease Cycles'!$EF$22:$EL$22,1,BU248)=1,(1-'Lease Cycles'!$AJ$22)*INDEX('Lease Cycles'!$EM$22:$ES$22,1,BU248)+(1-'Lease Cycles'!$BE$22)*IF(BU249&lt;INDEX('Lease Cycles'!$FA$22:$FG$22,1,BU248),0,1-INDEX('Lease Cycles'!$EM$22:$ES$22,1,BU248)),IF(OR(INDEX('Lease Cycles'!$DY$22:$EE$22,1,BU248)=1,BU249&gt;0),1,1-INDEX('Lease Cycles'!$DD$22:$DJ$22,1,BU248))*((1-'Lease Cycles'!$AJ$22)*INDEX('Lease Cycles'!$FO$22:$FU$22,1,BU248)+(1-'Lease Cycles'!$BE$22)*(1-INDEX('Lease Cycles'!$FO$22:$FU$22,1,BU248)))),0)</f>
        <v>0</v>
      </c>
      <c r="BV256" s="24">
        <f>IF(BV250=1,'Lease Cycles'!$D$22*IF(INDEX('Lease Cycles'!$EF$22:$EL$22,1,BV248)=1,(1-'Lease Cycles'!$AJ$22)*INDEX('Lease Cycles'!$EM$22:$ES$22,1,BV248)+(1-'Lease Cycles'!$BE$22)*IF(BV249&lt;INDEX('Lease Cycles'!$FA$22:$FG$22,1,BV248),0,1-INDEX('Lease Cycles'!$EM$22:$ES$22,1,BV248)),IF(OR(INDEX('Lease Cycles'!$DY$22:$EE$22,1,BV248)=1,BV249&gt;0),1,1-INDEX('Lease Cycles'!$DD$22:$DJ$22,1,BV248))*((1-'Lease Cycles'!$AJ$22)*INDEX('Lease Cycles'!$FO$22:$FU$22,1,BV248)+(1-'Lease Cycles'!$BE$22)*(1-INDEX('Lease Cycles'!$FO$22:$FU$22,1,BV248)))),0)</f>
        <v>0</v>
      </c>
      <c r="BW256" s="24">
        <f>IF(BW250=1,'Lease Cycles'!$D$22*IF(INDEX('Lease Cycles'!$EF$22:$EL$22,1,BW248)=1,(1-'Lease Cycles'!$AJ$22)*INDEX('Lease Cycles'!$EM$22:$ES$22,1,BW248)+(1-'Lease Cycles'!$BE$22)*IF(BW249&lt;INDEX('Lease Cycles'!$FA$22:$FG$22,1,BW248),0,1-INDEX('Lease Cycles'!$EM$22:$ES$22,1,BW248)),IF(OR(INDEX('Lease Cycles'!$DY$22:$EE$22,1,BW248)=1,BW249&gt;0),1,1-INDEX('Lease Cycles'!$DD$22:$DJ$22,1,BW248))*((1-'Lease Cycles'!$AJ$22)*INDEX('Lease Cycles'!$FO$22:$FU$22,1,BW248)+(1-'Lease Cycles'!$BE$22)*(1-INDEX('Lease Cycles'!$FO$22:$FU$22,1,BW248)))),0)</f>
        <v>0</v>
      </c>
      <c r="BX256" s="24">
        <f>IF(BX250=1,'Lease Cycles'!$D$22*IF(INDEX('Lease Cycles'!$EF$22:$EL$22,1,BX248)=1,(1-'Lease Cycles'!$AJ$22)*INDEX('Lease Cycles'!$EM$22:$ES$22,1,BX248)+(1-'Lease Cycles'!$BE$22)*IF(BX249&lt;INDEX('Lease Cycles'!$FA$22:$FG$22,1,BX248),0,1-INDEX('Lease Cycles'!$EM$22:$ES$22,1,BX248)),IF(OR(INDEX('Lease Cycles'!$DY$22:$EE$22,1,BX248)=1,BX249&gt;0),1,1-INDEX('Lease Cycles'!$DD$22:$DJ$22,1,BX248))*((1-'Lease Cycles'!$AJ$22)*INDEX('Lease Cycles'!$FO$22:$FU$22,1,BX248)+(1-'Lease Cycles'!$BE$22)*(1-INDEX('Lease Cycles'!$FO$22:$FU$22,1,BX248)))),0)</f>
        <v>0</v>
      </c>
      <c r="BY256" s="24">
        <f>IF(BY250=1,'Lease Cycles'!$D$22*IF(INDEX('Lease Cycles'!$EF$22:$EL$22,1,BY248)=1,(1-'Lease Cycles'!$AJ$22)*INDEX('Lease Cycles'!$EM$22:$ES$22,1,BY248)+(1-'Lease Cycles'!$BE$22)*IF(BY249&lt;INDEX('Lease Cycles'!$FA$22:$FG$22,1,BY248),0,1-INDEX('Lease Cycles'!$EM$22:$ES$22,1,BY248)),IF(OR(INDEX('Lease Cycles'!$DY$22:$EE$22,1,BY248)=1,BY249&gt;0),1,1-INDEX('Lease Cycles'!$DD$22:$DJ$22,1,BY248))*((1-'Lease Cycles'!$AJ$22)*INDEX('Lease Cycles'!$FO$22:$FU$22,1,BY248)+(1-'Lease Cycles'!$BE$22)*(1-INDEX('Lease Cycles'!$FO$22:$FU$22,1,BY248)))),0)</f>
        <v>0</v>
      </c>
      <c r="BZ256" s="24">
        <f>IF(BZ250=1,'Lease Cycles'!$D$22*IF(INDEX('Lease Cycles'!$EF$22:$EL$22,1,BZ248)=1,(1-'Lease Cycles'!$AJ$22)*INDEX('Lease Cycles'!$EM$22:$ES$22,1,BZ248)+(1-'Lease Cycles'!$BE$22)*IF(BZ249&lt;INDEX('Lease Cycles'!$FA$22:$FG$22,1,BZ248),0,1-INDEX('Lease Cycles'!$EM$22:$ES$22,1,BZ248)),IF(OR(INDEX('Lease Cycles'!$DY$22:$EE$22,1,BZ248)=1,BZ249&gt;0),1,1-INDEX('Lease Cycles'!$DD$22:$DJ$22,1,BZ248))*((1-'Lease Cycles'!$AJ$22)*INDEX('Lease Cycles'!$FO$22:$FU$22,1,BZ248)+(1-'Lease Cycles'!$BE$22)*(1-INDEX('Lease Cycles'!$FO$22:$FU$22,1,BZ248)))),0)</f>
        <v>0</v>
      </c>
      <c r="CA256" s="24">
        <f>IF(CA250=1,'Lease Cycles'!$D$22*IF(INDEX('Lease Cycles'!$EF$22:$EL$22,1,CA248)=1,(1-'Lease Cycles'!$AJ$22)*INDEX('Lease Cycles'!$EM$22:$ES$22,1,CA248)+(1-'Lease Cycles'!$BE$22)*IF(CA249&lt;INDEX('Lease Cycles'!$FA$22:$FG$22,1,CA248),0,1-INDEX('Lease Cycles'!$EM$22:$ES$22,1,CA248)),IF(OR(INDEX('Lease Cycles'!$DY$22:$EE$22,1,CA248)=1,CA249&gt;0),1,1-INDEX('Lease Cycles'!$DD$22:$DJ$22,1,CA248))*((1-'Lease Cycles'!$AJ$22)*INDEX('Lease Cycles'!$FO$22:$FU$22,1,CA248)+(1-'Lease Cycles'!$BE$22)*(1-INDEX('Lease Cycles'!$FO$22:$FU$22,1,CA248)))),0)</f>
        <v>0</v>
      </c>
      <c r="CB256" s="24">
        <f>IF(CB250=1,'Lease Cycles'!$D$22*IF(INDEX('Lease Cycles'!$EF$22:$EL$22,1,CB248)=1,(1-'Lease Cycles'!$AJ$22)*INDEX('Lease Cycles'!$EM$22:$ES$22,1,CB248)+(1-'Lease Cycles'!$BE$22)*IF(CB249&lt;INDEX('Lease Cycles'!$FA$22:$FG$22,1,CB248),0,1-INDEX('Lease Cycles'!$EM$22:$ES$22,1,CB248)),IF(OR(INDEX('Lease Cycles'!$DY$22:$EE$22,1,CB248)=1,CB249&gt;0),1,1-INDEX('Lease Cycles'!$DD$22:$DJ$22,1,CB248))*((1-'Lease Cycles'!$AJ$22)*INDEX('Lease Cycles'!$FO$22:$FU$22,1,CB248)+(1-'Lease Cycles'!$BE$22)*(1-INDEX('Lease Cycles'!$FO$22:$FU$22,1,CB248)))),0)</f>
        <v>0</v>
      </c>
      <c r="CC256" s="24">
        <f>IF(CC250=1,'Lease Cycles'!$D$22*IF(INDEX('Lease Cycles'!$EF$22:$EL$22,1,CC248)=1,(1-'Lease Cycles'!$AJ$22)*INDEX('Lease Cycles'!$EM$22:$ES$22,1,CC248)+(1-'Lease Cycles'!$BE$22)*IF(CC249&lt;INDEX('Lease Cycles'!$FA$22:$FG$22,1,CC248),0,1-INDEX('Lease Cycles'!$EM$22:$ES$22,1,CC248)),IF(OR(INDEX('Lease Cycles'!$DY$22:$EE$22,1,CC248)=1,CC249&gt;0),1,1-INDEX('Lease Cycles'!$DD$22:$DJ$22,1,CC248))*((1-'Lease Cycles'!$AJ$22)*INDEX('Lease Cycles'!$FO$22:$FU$22,1,CC248)+(1-'Lease Cycles'!$BE$22)*(1-INDEX('Lease Cycles'!$FO$22:$FU$22,1,CC248)))),0)</f>
        <v>0</v>
      </c>
      <c r="CD256" s="24">
        <f>IF(CD250=1,'Lease Cycles'!$D$22*IF(INDEX('Lease Cycles'!$EF$22:$EL$22,1,CD248)=1,(1-'Lease Cycles'!$AJ$22)*INDEX('Lease Cycles'!$EM$22:$ES$22,1,CD248)+(1-'Lease Cycles'!$BE$22)*IF(CD249&lt;INDEX('Lease Cycles'!$FA$22:$FG$22,1,CD248),0,1-INDEX('Lease Cycles'!$EM$22:$ES$22,1,CD248)),IF(OR(INDEX('Lease Cycles'!$DY$22:$EE$22,1,CD248)=1,CD249&gt;0),1,1-INDEX('Lease Cycles'!$DD$22:$DJ$22,1,CD248))*((1-'Lease Cycles'!$AJ$22)*INDEX('Lease Cycles'!$FO$22:$FU$22,1,CD248)+(1-'Lease Cycles'!$BE$22)*(1-INDEX('Lease Cycles'!$FO$22:$FU$22,1,CD248)))),0)</f>
        <v>0</v>
      </c>
      <c r="CE256" s="24">
        <f>IF(CE250=1,'Lease Cycles'!$D$22*IF(INDEX('Lease Cycles'!$EF$22:$EL$22,1,CE248)=1,(1-'Lease Cycles'!$AJ$22)*INDEX('Lease Cycles'!$EM$22:$ES$22,1,CE248)+(1-'Lease Cycles'!$BE$22)*IF(CE249&lt;INDEX('Lease Cycles'!$FA$22:$FG$22,1,CE248),0,1-INDEX('Lease Cycles'!$EM$22:$ES$22,1,CE248)),IF(OR(INDEX('Lease Cycles'!$DY$22:$EE$22,1,CE248)=1,CE249&gt;0),1,1-INDEX('Lease Cycles'!$DD$22:$DJ$22,1,CE248))*((1-'Lease Cycles'!$AJ$22)*INDEX('Lease Cycles'!$FO$22:$FU$22,1,CE248)+(1-'Lease Cycles'!$BE$22)*(1-INDEX('Lease Cycles'!$FO$22:$FU$22,1,CE248)))),0)</f>
        <v>0</v>
      </c>
      <c r="CF256" s="24">
        <f>IF(CF250=1,'Lease Cycles'!$D$22*IF(INDEX('Lease Cycles'!$EF$22:$EL$22,1,CF248)=1,(1-'Lease Cycles'!$AJ$22)*INDEX('Lease Cycles'!$EM$22:$ES$22,1,CF248)+(1-'Lease Cycles'!$BE$22)*IF(CF249&lt;INDEX('Lease Cycles'!$FA$22:$FG$22,1,CF248),0,1-INDEX('Lease Cycles'!$EM$22:$ES$22,1,CF248)),IF(OR(INDEX('Lease Cycles'!$DY$22:$EE$22,1,CF248)=1,CF249&gt;0),1,1-INDEX('Lease Cycles'!$DD$22:$DJ$22,1,CF248))*((1-'Lease Cycles'!$AJ$22)*INDEX('Lease Cycles'!$FO$22:$FU$22,1,CF248)+(1-'Lease Cycles'!$BE$22)*(1-INDEX('Lease Cycles'!$FO$22:$FU$22,1,CF248)))),0)</f>
        <v>0</v>
      </c>
      <c r="CG256" s="24">
        <f>IF(CG250=1,'Lease Cycles'!$D$22*IF(INDEX('Lease Cycles'!$EF$22:$EL$22,1,CG248)=1,(1-'Lease Cycles'!$AJ$22)*INDEX('Lease Cycles'!$EM$22:$ES$22,1,CG248)+(1-'Lease Cycles'!$BE$22)*IF(CG249&lt;INDEX('Lease Cycles'!$FA$22:$FG$22,1,CG248),0,1-INDEX('Lease Cycles'!$EM$22:$ES$22,1,CG248)),IF(OR(INDEX('Lease Cycles'!$DY$22:$EE$22,1,CG248)=1,CG249&gt;0),1,1-INDEX('Lease Cycles'!$DD$22:$DJ$22,1,CG248))*((1-'Lease Cycles'!$AJ$22)*INDEX('Lease Cycles'!$FO$22:$FU$22,1,CG248)+(1-'Lease Cycles'!$BE$22)*(1-INDEX('Lease Cycles'!$FO$22:$FU$22,1,CG248)))),0)</f>
        <v>0</v>
      </c>
      <c r="CH256" s="24">
        <f>IF(CH250=1,'Lease Cycles'!$D$22*IF(INDEX('Lease Cycles'!$EF$22:$EL$22,1,CH248)=1,(1-'Lease Cycles'!$AJ$22)*INDEX('Lease Cycles'!$EM$22:$ES$22,1,CH248)+(1-'Lease Cycles'!$BE$22)*IF(CH249&lt;INDEX('Lease Cycles'!$FA$22:$FG$22,1,CH248),0,1-INDEX('Lease Cycles'!$EM$22:$ES$22,1,CH248)),IF(OR(INDEX('Lease Cycles'!$DY$22:$EE$22,1,CH248)=1,CH249&gt;0),1,1-INDEX('Lease Cycles'!$DD$22:$DJ$22,1,CH248))*((1-'Lease Cycles'!$AJ$22)*INDEX('Lease Cycles'!$FO$22:$FU$22,1,CH248)+(1-'Lease Cycles'!$BE$22)*(1-INDEX('Lease Cycles'!$FO$22:$FU$22,1,CH248)))),0)</f>
        <v>0</v>
      </c>
      <c r="CI256" s="24">
        <f>IF(CI250=1,'Lease Cycles'!$D$22*IF(INDEX('Lease Cycles'!$EF$22:$EL$22,1,CI248)=1,(1-'Lease Cycles'!$AJ$22)*INDEX('Lease Cycles'!$EM$22:$ES$22,1,CI248)+(1-'Lease Cycles'!$BE$22)*IF(CI249&lt;INDEX('Lease Cycles'!$FA$22:$FG$22,1,CI248),0,1-INDEX('Lease Cycles'!$EM$22:$ES$22,1,CI248)),IF(OR(INDEX('Lease Cycles'!$DY$22:$EE$22,1,CI248)=1,CI249&gt;0),1,1-INDEX('Lease Cycles'!$DD$22:$DJ$22,1,CI248))*((1-'Lease Cycles'!$AJ$22)*INDEX('Lease Cycles'!$FO$22:$FU$22,1,CI248)+(1-'Lease Cycles'!$BE$22)*(1-INDEX('Lease Cycles'!$FO$22:$FU$22,1,CI248)))),0)</f>
        <v>0</v>
      </c>
      <c r="CJ256" s="24">
        <f>IF(CJ250=1,'Lease Cycles'!$D$22*IF(INDEX('Lease Cycles'!$EF$22:$EL$22,1,CJ248)=1,(1-'Lease Cycles'!$AJ$22)*INDEX('Lease Cycles'!$EM$22:$ES$22,1,CJ248)+(1-'Lease Cycles'!$BE$22)*IF(CJ249&lt;INDEX('Lease Cycles'!$FA$22:$FG$22,1,CJ248),0,1-INDEX('Lease Cycles'!$EM$22:$ES$22,1,CJ248)),IF(OR(INDEX('Lease Cycles'!$DY$22:$EE$22,1,CJ248)=1,CJ249&gt;0),1,1-INDEX('Lease Cycles'!$DD$22:$DJ$22,1,CJ248))*((1-'Lease Cycles'!$AJ$22)*INDEX('Lease Cycles'!$FO$22:$FU$22,1,CJ248)+(1-'Lease Cycles'!$BE$22)*(1-INDEX('Lease Cycles'!$FO$22:$FU$22,1,CJ248)))),0)</f>
        <v>0</v>
      </c>
      <c r="CK256" s="24">
        <f>IF(CK250=1,'Lease Cycles'!$D$22*IF(INDEX('Lease Cycles'!$EF$22:$EL$22,1,CK248)=1,(1-'Lease Cycles'!$AJ$22)*INDEX('Lease Cycles'!$EM$22:$ES$22,1,CK248)+(1-'Lease Cycles'!$BE$22)*IF(CK249&lt;INDEX('Lease Cycles'!$FA$22:$FG$22,1,CK248),0,1-INDEX('Lease Cycles'!$EM$22:$ES$22,1,CK248)),IF(OR(INDEX('Lease Cycles'!$DY$22:$EE$22,1,CK248)=1,CK249&gt;0),1,1-INDEX('Lease Cycles'!$DD$22:$DJ$22,1,CK248))*((1-'Lease Cycles'!$AJ$22)*INDEX('Lease Cycles'!$FO$22:$FU$22,1,CK248)+(1-'Lease Cycles'!$BE$22)*(1-INDEX('Lease Cycles'!$FO$22:$FU$22,1,CK248)))),0)</f>
        <v>0</v>
      </c>
      <c r="CL256" s="24">
        <f>IF(CL250=1,'Lease Cycles'!$D$22*IF(INDEX('Lease Cycles'!$EF$22:$EL$22,1,CL248)=1,(1-'Lease Cycles'!$AJ$22)*INDEX('Lease Cycles'!$EM$22:$ES$22,1,CL248)+(1-'Lease Cycles'!$BE$22)*IF(CL249&lt;INDEX('Lease Cycles'!$FA$22:$FG$22,1,CL248),0,1-INDEX('Lease Cycles'!$EM$22:$ES$22,1,CL248)),IF(OR(INDEX('Lease Cycles'!$DY$22:$EE$22,1,CL248)=1,CL249&gt;0),1,1-INDEX('Lease Cycles'!$DD$22:$DJ$22,1,CL248))*((1-'Lease Cycles'!$AJ$22)*INDEX('Lease Cycles'!$FO$22:$FU$22,1,CL248)+(1-'Lease Cycles'!$BE$22)*(1-INDEX('Lease Cycles'!$FO$22:$FU$22,1,CL248)))),0)</f>
        <v>0</v>
      </c>
      <c r="CM256" s="24">
        <f>IF(CM250=1,'Lease Cycles'!$D$22*IF(INDEX('Lease Cycles'!$EF$22:$EL$22,1,CM248)=1,(1-'Lease Cycles'!$AJ$22)*INDEX('Lease Cycles'!$EM$22:$ES$22,1,CM248)+(1-'Lease Cycles'!$BE$22)*IF(CM249&lt;INDEX('Lease Cycles'!$FA$22:$FG$22,1,CM248),0,1-INDEX('Lease Cycles'!$EM$22:$ES$22,1,CM248)),IF(OR(INDEX('Lease Cycles'!$DY$22:$EE$22,1,CM248)=1,CM249&gt;0),1,1-INDEX('Lease Cycles'!$DD$22:$DJ$22,1,CM248))*((1-'Lease Cycles'!$AJ$22)*INDEX('Lease Cycles'!$FO$22:$FU$22,1,CM248)+(1-'Lease Cycles'!$BE$22)*(1-INDEX('Lease Cycles'!$FO$22:$FU$22,1,CM248)))),0)</f>
        <v>0</v>
      </c>
      <c r="CN256" s="24">
        <f>IF(CN250=1,'Lease Cycles'!$D$22*IF(INDEX('Lease Cycles'!$EF$22:$EL$22,1,CN248)=1,(1-'Lease Cycles'!$AJ$22)*INDEX('Lease Cycles'!$EM$22:$ES$22,1,CN248)+(1-'Lease Cycles'!$BE$22)*IF(CN249&lt;INDEX('Lease Cycles'!$FA$22:$FG$22,1,CN248),0,1-INDEX('Lease Cycles'!$EM$22:$ES$22,1,CN248)),IF(OR(INDEX('Lease Cycles'!$DY$22:$EE$22,1,CN248)=1,CN249&gt;0),1,1-INDEX('Lease Cycles'!$DD$22:$DJ$22,1,CN248))*((1-'Lease Cycles'!$AJ$22)*INDEX('Lease Cycles'!$FO$22:$FU$22,1,CN248)+(1-'Lease Cycles'!$BE$22)*(1-INDEX('Lease Cycles'!$FO$22:$FU$22,1,CN248)))),0)</f>
        <v>0</v>
      </c>
      <c r="CO256" s="24">
        <f>IF(CO250=1,'Lease Cycles'!$D$22*IF(INDEX('Lease Cycles'!$EF$22:$EL$22,1,CO248)=1,(1-'Lease Cycles'!$AJ$22)*INDEX('Lease Cycles'!$EM$22:$ES$22,1,CO248)+(1-'Lease Cycles'!$BE$22)*IF(CO249&lt;INDEX('Lease Cycles'!$FA$22:$FG$22,1,CO248),0,1-INDEX('Lease Cycles'!$EM$22:$ES$22,1,CO248)),IF(OR(INDEX('Lease Cycles'!$DY$22:$EE$22,1,CO248)=1,CO249&gt;0),1,1-INDEX('Lease Cycles'!$DD$22:$DJ$22,1,CO248))*((1-'Lease Cycles'!$AJ$22)*INDEX('Lease Cycles'!$FO$22:$FU$22,1,CO248)+(1-'Lease Cycles'!$BE$22)*(1-INDEX('Lease Cycles'!$FO$22:$FU$22,1,CO248)))),0)</f>
        <v>0</v>
      </c>
      <c r="CP256" s="24">
        <f>IF(CP250=1,'Lease Cycles'!$D$22*IF(INDEX('Lease Cycles'!$EF$22:$EL$22,1,CP248)=1,(1-'Lease Cycles'!$AJ$22)*INDEX('Lease Cycles'!$EM$22:$ES$22,1,CP248)+(1-'Lease Cycles'!$BE$22)*IF(CP249&lt;INDEX('Lease Cycles'!$FA$22:$FG$22,1,CP248),0,1-INDEX('Lease Cycles'!$EM$22:$ES$22,1,CP248)),IF(OR(INDEX('Lease Cycles'!$DY$22:$EE$22,1,CP248)=1,CP249&gt;0),1,1-INDEX('Lease Cycles'!$DD$22:$DJ$22,1,CP248))*((1-'Lease Cycles'!$AJ$22)*INDEX('Lease Cycles'!$FO$22:$FU$22,1,CP248)+(1-'Lease Cycles'!$BE$22)*(1-INDEX('Lease Cycles'!$FO$22:$FU$22,1,CP248)))),0)</f>
        <v>0</v>
      </c>
      <c r="CQ256" s="24">
        <f>IF(CQ250=1,'Lease Cycles'!$D$22*IF(INDEX('Lease Cycles'!$EF$22:$EL$22,1,CQ248)=1,(1-'Lease Cycles'!$AJ$22)*INDEX('Lease Cycles'!$EM$22:$ES$22,1,CQ248)+(1-'Lease Cycles'!$BE$22)*IF(CQ249&lt;INDEX('Lease Cycles'!$FA$22:$FG$22,1,CQ248),0,1-INDEX('Lease Cycles'!$EM$22:$ES$22,1,CQ248)),IF(OR(INDEX('Lease Cycles'!$DY$22:$EE$22,1,CQ248)=1,CQ249&gt;0),1,1-INDEX('Lease Cycles'!$DD$22:$DJ$22,1,CQ248))*((1-'Lease Cycles'!$AJ$22)*INDEX('Lease Cycles'!$FO$22:$FU$22,1,CQ248)+(1-'Lease Cycles'!$BE$22)*(1-INDEX('Lease Cycles'!$FO$22:$FU$22,1,CQ248)))),0)</f>
        <v>0</v>
      </c>
      <c r="CR256" s="24">
        <f>IF(CR250=1,'Lease Cycles'!$D$22*IF(INDEX('Lease Cycles'!$EF$22:$EL$22,1,CR248)=1,(1-'Lease Cycles'!$AJ$22)*INDEX('Lease Cycles'!$EM$22:$ES$22,1,CR248)+(1-'Lease Cycles'!$BE$22)*IF(CR249&lt;INDEX('Lease Cycles'!$FA$22:$FG$22,1,CR248),0,1-INDEX('Lease Cycles'!$EM$22:$ES$22,1,CR248)),IF(OR(INDEX('Lease Cycles'!$DY$22:$EE$22,1,CR248)=1,CR249&gt;0),1,1-INDEX('Lease Cycles'!$DD$22:$DJ$22,1,CR248))*((1-'Lease Cycles'!$AJ$22)*INDEX('Lease Cycles'!$FO$22:$FU$22,1,CR248)+(1-'Lease Cycles'!$BE$22)*(1-INDEX('Lease Cycles'!$FO$22:$FU$22,1,CR248)))),0)</f>
        <v>0</v>
      </c>
      <c r="CS256" s="24">
        <f>IF(CS250=1,'Lease Cycles'!$D$22*IF(INDEX('Lease Cycles'!$EF$22:$EL$22,1,CS248)=1,(1-'Lease Cycles'!$AJ$22)*INDEX('Lease Cycles'!$EM$22:$ES$22,1,CS248)+(1-'Lease Cycles'!$BE$22)*IF(CS249&lt;INDEX('Lease Cycles'!$FA$22:$FG$22,1,CS248),0,1-INDEX('Lease Cycles'!$EM$22:$ES$22,1,CS248)),IF(OR(INDEX('Lease Cycles'!$DY$22:$EE$22,1,CS248)=1,CS249&gt;0),1,1-INDEX('Lease Cycles'!$DD$22:$DJ$22,1,CS248))*((1-'Lease Cycles'!$AJ$22)*INDEX('Lease Cycles'!$FO$22:$FU$22,1,CS248)+(1-'Lease Cycles'!$BE$22)*(1-INDEX('Lease Cycles'!$FO$22:$FU$22,1,CS248)))),0)</f>
        <v>0</v>
      </c>
      <c r="CT256" s="24">
        <f>IF(CT250=1,'Lease Cycles'!$D$22*IF(INDEX('Lease Cycles'!$EF$22:$EL$22,1,CT248)=1,(1-'Lease Cycles'!$AJ$22)*INDEX('Lease Cycles'!$EM$22:$ES$22,1,CT248)+(1-'Lease Cycles'!$BE$22)*IF(CT249&lt;INDEX('Lease Cycles'!$FA$22:$FG$22,1,CT248),0,1-INDEX('Lease Cycles'!$EM$22:$ES$22,1,CT248)),IF(OR(INDEX('Lease Cycles'!$DY$22:$EE$22,1,CT248)=1,CT249&gt;0),1,1-INDEX('Lease Cycles'!$DD$22:$DJ$22,1,CT248))*((1-'Lease Cycles'!$AJ$22)*INDEX('Lease Cycles'!$FO$22:$FU$22,1,CT248)+(1-'Lease Cycles'!$BE$22)*(1-INDEX('Lease Cycles'!$FO$22:$FU$22,1,CT248)))),0)</f>
        <v>0</v>
      </c>
      <c r="CU256" s="24">
        <f>IF(CU250=1,'Lease Cycles'!$D$22*IF(INDEX('Lease Cycles'!$EF$22:$EL$22,1,CU248)=1,(1-'Lease Cycles'!$AJ$22)*INDEX('Lease Cycles'!$EM$22:$ES$22,1,CU248)+(1-'Lease Cycles'!$BE$22)*IF(CU249&lt;INDEX('Lease Cycles'!$FA$22:$FG$22,1,CU248),0,1-INDEX('Lease Cycles'!$EM$22:$ES$22,1,CU248)),IF(OR(INDEX('Lease Cycles'!$DY$22:$EE$22,1,CU248)=1,CU249&gt;0),1,1-INDEX('Lease Cycles'!$DD$22:$DJ$22,1,CU248))*((1-'Lease Cycles'!$AJ$22)*INDEX('Lease Cycles'!$FO$22:$FU$22,1,CU248)+(1-'Lease Cycles'!$BE$22)*(1-INDEX('Lease Cycles'!$FO$22:$FU$22,1,CU248)))),0)</f>
        <v>0</v>
      </c>
      <c r="CV256" s="24">
        <f>IF(CV250=1,'Lease Cycles'!$D$22*IF(INDEX('Lease Cycles'!$EF$22:$EL$22,1,CV248)=1,(1-'Lease Cycles'!$AJ$22)*INDEX('Lease Cycles'!$EM$22:$ES$22,1,CV248)+(1-'Lease Cycles'!$BE$22)*IF(CV249&lt;INDEX('Lease Cycles'!$FA$22:$FG$22,1,CV248),0,1-INDEX('Lease Cycles'!$EM$22:$ES$22,1,CV248)),IF(OR(INDEX('Lease Cycles'!$DY$22:$EE$22,1,CV248)=1,CV249&gt;0),1,1-INDEX('Lease Cycles'!$DD$22:$DJ$22,1,CV248))*((1-'Lease Cycles'!$AJ$22)*INDEX('Lease Cycles'!$FO$22:$FU$22,1,CV248)+(1-'Lease Cycles'!$BE$22)*(1-INDEX('Lease Cycles'!$FO$22:$FU$22,1,CV248)))),0)</f>
        <v>0</v>
      </c>
      <c r="CW256" s="24">
        <f>IF(CW250=1,'Lease Cycles'!$D$22*IF(INDEX('Lease Cycles'!$EF$22:$EL$22,1,CW248)=1,(1-'Lease Cycles'!$AJ$22)*INDEX('Lease Cycles'!$EM$22:$ES$22,1,CW248)+(1-'Lease Cycles'!$BE$22)*IF(CW249&lt;INDEX('Lease Cycles'!$FA$22:$FG$22,1,CW248),0,1-INDEX('Lease Cycles'!$EM$22:$ES$22,1,CW248)),IF(OR(INDEX('Lease Cycles'!$DY$22:$EE$22,1,CW248)=1,CW249&gt;0),1,1-INDEX('Lease Cycles'!$DD$22:$DJ$22,1,CW248))*((1-'Lease Cycles'!$AJ$22)*INDEX('Lease Cycles'!$FO$22:$FU$22,1,CW248)+(1-'Lease Cycles'!$BE$22)*(1-INDEX('Lease Cycles'!$FO$22:$FU$22,1,CW248)))),0)</f>
        <v>0</v>
      </c>
      <c r="CX256" s="24">
        <f>IF(CX250=1,'Lease Cycles'!$D$22*IF(INDEX('Lease Cycles'!$EF$22:$EL$22,1,CX248)=1,(1-'Lease Cycles'!$AJ$22)*INDEX('Lease Cycles'!$EM$22:$ES$22,1,CX248)+(1-'Lease Cycles'!$BE$22)*IF(CX249&lt;INDEX('Lease Cycles'!$FA$22:$FG$22,1,CX248),0,1-INDEX('Lease Cycles'!$EM$22:$ES$22,1,CX248)),IF(OR(INDEX('Lease Cycles'!$DY$22:$EE$22,1,CX248)=1,CX249&gt;0),1,1-INDEX('Lease Cycles'!$DD$22:$DJ$22,1,CX248))*((1-'Lease Cycles'!$AJ$22)*INDEX('Lease Cycles'!$FO$22:$FU$22,1,CX248)+(1-'Lease Cycles'!$BE$22)*(1-INDEX('Lease Cycles'!$FO$22:$FU$22,1,CX248)))),0)</f>
        <v>0</v>
      </c>
      <c r="CY256" s="24">
        <f>IF(CY250=1,'Lease Cycles'!$D$22*IF(INDEX('Lease Cycles'!$EF$22:$EL$22,1,CY248)=1,(1-'Lease Cycles'!$AJ$22)*INDEX('Lease Cycles'!$EM$22:$ES$22,1,CY248)+(1-'Lease Cycles'!$BE$22)*IF(CY249&lt;INDEX('Lease Cycles'!$FA$22:$FG$22,1,CY248),0,1-INDEX('Lease Cycles'!$EM$22:$ES$22,1,CY248)),IF(OR(INDEX('Lease Cycles'!$DY$22:$EE$22,1,CY248)=1,CY249&gt;0),1,1-INDEX('Lease Cycles'!$DD$22:$DJ$22,1,CY248))*((1-'Lease Cycles'!$AJ$22)*INDEX('Lease Cycles'!$FO$22:$FU$22,1,CY248)+(1-'Lease Cycles'!$BE$22)*(1-INDEX('Lease Cycles'!$FO$22:$FU$22,1,CY248)))),0)</f>
        <v>0</v>
      </c>
      <c r="CZ256" s="24">
        <f>IF(CZ250=1,'Lease Cycles'!$D$22*IF(INDEX('Lease Cycles'!$EF$22:$EL$22,1,CZ248)=1,(1-'Lease Cycles'!$AJ$22)*INDEX('Lease Cycles'!$EM$22:$ES$22,1,CZ248)+(1-'Lease Cycles'!$BE$22)*IF(CZ249&lt;INDEX('Lease Cycles'!$FA$22:$FG$22,1,CZ248),0,1-INDEX('Lease Cycles'!$EM$22:$ES$22,1,CZ248)),IF(OR(INDEX('Lease Cycles'!$DY$22:$EE$22,1,CZ248)=1,CZ249&gt;0),1,1-INDEX('Lease Cycles'!$DD$22:$DJ$22,1,CZ248))*((1-'Lease Cycles'!$AJ$22)*INDEX('Lease Cycles'!$FO$22:$FU$22,1,CZ248)+(1-'Lease Cycles'!$BE$22)*(1-INDEX('Lease Cycles'!$FO$22:$FU$22,1,CZ248)))),0)</f>
        <v>0</v>
      </c>
      <c r="DA256" s="24">
        <f>IF(DA250=1,'Lease Cycles'!$D$22*IF(INDEX('Lease Cycles'!$EF$22:$EL$22,1,DA248)=1,(1-'Lease Cycles'!$AJ$22)*INDEX('Lease Cycles'!$EM$22:$ES$22,1,DA248)+(1-'Lease Cycles'!$BE$22)*IF(DA249&lt;INDEX('Lease Cycles'!$FA$22:$FG$22,1,DA248),0,1-INDEX('Lease Cycles'!$EM$22:$ES$22,1,DA248)),IF(OR(INDEX('Lease Cycles'!$DY$22:$EE$22,1,DA248)=1,DA249&gt;0),1,1-INDEX('Lease Cycles'!$DD$22:$DJ$22,1,DA248))*((1-'Lease Cycles'!$AJ$22)*INDEX('Lease Cycles'!$FO$22:$FU$22,1,DA248)+(1-'Lease Cycles'!$BE$22)*(1-INDEX('Lease Cycles'!$FO$22:$FU$22,1,DA248)))),0)</f>
        <v>0</v>
      </c>
      <c r="DB256" s="24">
        <f>IF(DB250=1,'Lease Cycles'!$D$22*IF(INDEX('Lease Cycles'!$EF$22:$EL$22,1,DB248)=1,(1-'Lease Cycles'!$AJ$22)*INDEX('Lease Cycles'!$EM$22:$ES$22,1,DB248)+(1-'Lease Cycles'!$BE$22)*IF(DB249&lt;INDEX('Lease Cycles'!$FA$22:$FG$22,1,DB248),0,1-INDEX('Lease Cycles'!$EM$22:$ES$22,1,DB248)),IF(OR(INDEX('Lease Cycles'!$DY$22:$EE$22,1,DB248)=1,DB249&gt;0),1,1-INDEX('Lease Cycles'!$DD$22:$DJ$22,1,DB248))*((1-'Lease Cycles'!$AJ$22)*INDEX('Lease Cycles'!$FO$22:$FU$22,1,DB248)+(1-'Lease Cycles'!$BE$22)*(1-INDEX('Lease Cycles'!$FO$22:$FU$22,1,DB248)))),0)</f>
        <v>0</v>
      </c>
      <c r="DC256" s="24">
        <f>IF(DC250=1,'Lease Cycles'!$D$22*IF(INDEX('Lease Cycles'!$EF$22:$EL$22,1,DC248)=1,(1-'Lease Cycles'!$AJ$22)*INDEX('Lease Cycles'!$EM$22:$ES$22,1,DC248)+(1-'Lease Cycles'!$BE$22)*IF(DC249&lt;INDEX('Lease Cycles'!$FA$22:$FG$22,1,DC248),0,1-INDEX('Lease Cycles'!$EM$22:$ES$22,1,DC248)),IF(OR(INDEX('Lease Cycles'!$DY$22:$EE$22,1,DC248)=1,DC249&gt;0),1,1-INDEX('Lease Cycles'!$DD$22:$DJ$22,1,DC248))*((1-'Lease Cycles'!$AJ$22)*INDEX('Lease Cycles'!$FO$22:$FU$22,1,DC248)+(1-'Lease Cycles'!$BE$22)*(1-INDEX('Lease Cycles'!$FO$22:$FU$22,1,DC248)))),0)</f>
        <v>0</v>
      </c>
      <c r="DD256" s="24">
        <f>IF(DD250=1,'Lease Cycles'!$D$22*IF(INDEX('Lease Cycles'!$EF$22:$EL$22,1,DD248)=1,(1-'Lease Cycles'!$AJ$22)*INDEX('Lease Cycles'!$EM$22:$ES$22,1,DD248)+(1-'Lease Cycles'!$BE$22)*IF(DD249&lt;INDEX('Lease Cycles'!$FA$22:$FG$22,1,DD248),0,1-INDEX('Lease Cycles'!$EM$22:$ES$22,1,DD248)),IF(OR(INDEX('Lease Cycles'!$DY$22:$EE$22,1,DD248)=1,DD249&gt;0),1,1-INDEX('Lease Cycles'!$DD$22:$DJ$22,1,DD248))*((1-'Lease Cycles'!$AJ$22)*INDEX('Lease Cycles'!$FO$22:$FU$22,1,DD248)+(1-'Lease Cycles'!$BE$22)*(1-INDEX('Lease Cycles'!$FO$22:$FU$22,1,DD248)))),0)</f>
        <v>0</v>
      </c>
      <c r="DE256" s="24">
        <f>IF(DE250=1,'Lease Cycles'!$D$22*IF(INDEX('Lease Cycles'!$EF$22:$EL$22,1,DE248)=1,(1-'Lease Cycles'!$AJ$22)*INDEX('Lease Cycles'!$EM$22:$ES$22,1,DE248)+(1-'Lease Cycles'!$BE$22)*IF(DE249&lt;INDEX('Lease Cycles'!$FA$22:$FG$22,1,DE248),0,1-INDEX('Lease Cycles'!$EM$22:$ES$22,1,DE248)),IF(OR(INDEX('Lease Cycles'!$DY$22:$EE$22,1,DE248)=1,DE249&gt;0),1,1-INDEX('Lease Cycles'!$DD$22:$DJ$22,1,DE248))*((1-'Lease Cycles'!$AJ$22)*INDEX('Lease Cycles'!$FO$22:$FU$22,1,DE248)+(1-'Lease Cycles'!$BE$22)*(1-INDEX('Lease Cycles'!$FO$22:$FU$22,1,DE248)))),0)</f>
        <v>0</v>
      </c>
      <c r="DF256" s="24">
        <f>IF(DF250=1,'Lease Cycles'!$D$22*IF(INDEX('Lease Cycles'!$EF$22:$EL$22,1,DF248)=1,(1-'Lease Cycles'!$AJ$22)*INDEX('Lease Cycles'!$EM$22:$ES$22,1,DF248)+(1-'Lease Cycles'!$BE$22)*IF(DF249&lt;INDEX('Lease Cycles'!$FA$22:$FG$22,1,DF248),0,1-INDEX('Lease Cycles'!$EM$22:$ES$22,1,DF248)),IF(OR(INDEX('Lease Cycles'!$DY$22:$EE$22,1,DF248)=1,DF249&gt;0),1,1-INDEX('Lease Cycles'!$DD$22:$DJ$22,1,DF248))*((1-'Lease Cycles'!$AJ$22)*INDEX('Lease Cycles'!$FO$22:$FU$22,1,DF248)+(1-'Lease Cycles'!$BE$22)*(1-INDEX('Lease Cycles'!$FO$22:$FU$22,1,DF248)))),0)</f>
        <v>0</v>
      </c>
      <c r="DG256" s="24">
        <f>IF(DG250=1,'Lease Cycles'!$D$22*IF(INDEX('Lease Cycles'!$EF$22:$EL$22,1,DG248)=1,(1-'Lease Cycles'!$AJ$22)*INDEX('Lease Cycles'!$EM$22:$ES$22,1,DG248)+(1-'Lease Cycles'!$BE$22)*IF(DG249&lt;INDEX('Lease Cycles'!$FA$22:$FG$22,1,DG248),0,1-INDEX('Lease Cycles'!$EM$22:$ES$22,1,DG248)),IF(OR(INDEX('Lease Cycles'!$DY$22:$EE$22,1,DG248)=1,DG249&gt;0),1,1-INDEX('Lease Cycles'!$DD$22:$DJ$22,1,DG248))*((1-'Lease Cycles'!$AJ$22)*INDEX('Lease Cycles'!$FO$22:$FU$22,1,DG248)+(1-'Lease Cycles'!$BE$22)*(1-INDEX('Lease Cycles'!$FO$22:$FU$22,1,DG248)))),0)</f>
        <v>0</v>
      </c>
      <c r="DH256" s="24">
        <f>IF(DH250=1,'Lease Cycles'!$D$22*IF(INDEX('Lease Cycles'!$EF$22:$EL$22,1,DH248)=1,(1-'Lease Cycles'!$AJ$22)*INDEX('Lease Cycles'!$EM$22:$ES$22,1,DH248)+(1-'Lease Cycles'!$BE$22)*IF(DH249&lt;INDEX('Lease Cycles'!$FA$22:$FG$22,1,DH248),0,1-INDEX('Lease Cycles'!$EM$22:$ES$22,1,DH248)),IF(OR(INDEX('Lease Cycles'!$DY$22:$EE$22,1,DH248)=1,DH249&gt;0),1,1-INDEX('Lease Cycles'!$DD$22:$DJ$22,1,DH248))*((1-'Lease Cycles'!$AJ$22)*INDEX('Lease Cycles'!$FO$22:$FU$22,1,DH248)+(1-'Lease Cycles'!$BE$22)*(1-INDEX('Lease Cycles'!$FO$22:$FU$22,1,DH248)))),0)</f>
        <v>0</v>
      </c>
      <c r="DI256" s="24">
        <f>IF(DI250=1,'Lease Cycles'!$D$22*IF(INDEX('Lease Cycles'!$EF$22:$EL$22,1,DI248)=1,(1-'Lease Cycles'!$AJ$22)*INDEX('Lease Cycles'!$EM$22:$ES$22,1,DI248)+(1-'Lease Cycles'!$BE$22)*IF(DI249&lt;INDEX('Lease Cycles'!$FA$22:$FG$22,1,DI248),0,1-INDEX('Lease Cycles'!$EM$22:$ES$22,1,DI248)),IF(OR(INDEX('Lease Cycles'!$DY$22:$EE$22,1,DI248)=1,DI249&gt;0),1,1-INDEX('Lease Cycles'!$DD$22:$DJ$22,1,DI248))*((1-'Lease Cycles'!$AJ$22)*INDEX('Lease Cycles'!$FO$22:$FU$22,1,DI248)+(1-'Lease Cycles'!$BE$22)*(1-INDEX('Lease Cycles'!$FO$22:$FU$22,1,DI248)))),0)</f>
        <v>0</v>
      </c>
      <c r="DJ256" s="24">
        <f>IF(DJ250=1,'Lease Cycles'!$D$22*IF(INDEX('Lease Cycles'!$EF$22:$EL$22,1,DJ248)=1,(1-'Lease Cycles'!$AJ$22)*INDEX('Lease Cycles'!$EM$22:$ES$22,1,DJ248)+(1-'Lease Cycles'!$BE$22)*IF(DJ249&lt;INDEX('Lease Cycles'!$FA$22:$FG$22,1,DJ248),0,1-INDEX('Lease Cycles'!$EM$22:$ES$22,1,DJ248)),IF(OR(INDEX('Lease Cycles'!$DY$22:$EE$22,1,DJ248)=1,DJ249&gt;0),1,1-INDEX('Lease Cycles'!$DD$22:$DJ$22,1,DJ248))*((1-'Lease Cycles'!$AJ$22)*INDEX('Lease Cycles'!$FO$22:$FU$22,1,DJ248)+(1-'Lease Cycles'!$BE$22)*(1-INDEX('Lease Cycles'!$FO$22:$FU$22,1,DJ248)))),0)</f>
        <v>0</v>
      </c>
      <c r="DK256" s="24">
        <f>IF(DK250=1,'Lease Cycles'!$D$22*IF(INDEX('Lease Cycles'!$EF$22:$EL$22,1,DK248)=1,(1-'Lease Cycles'!$AJ$22)*INDEX('Lease Cycles'!$EM$22:$ES$22,1,DK248)+(1-'Lease Cycles'!$BE$22)*IF(DK249&lt;INDEX('Lease Cycles'!$FA$22:$FG$22,1,DK248),0,1-INDEX('Lease Cycles'!$EM$22:$ES$22,1,DK248)),IF(OR(INDEX('Lease Cycles'!$DY$22:$EE$22,1,DK248)=1,DK249&gt;0),1,1-INDEX('Lease Cycles'!$DD$22:$DJ$22,1,DK248))*((1-'Lease Cycles'!$AJ$22)*INDEX('Lease Cycles'!$FO$22:$FU$22,1,DK248)+(1-'Lease Cycles'!$BE$22)*(1-INDEX('Lease Cycles'!$FO$22:$FU$22,1,DK248)))),0)</f>
        <v>0</v>
      </c>
      <c r="DL256" s="24">
        <f>IF(DL250=1,'Lease Cycles'!$D$22*IF(INDEX('Lease Cycles'!$EF$22:$EL$22,1,DL248)=1,(1-'Lease Cycles'!$AJ$22)*INDEX('Lease Cycles'!$EM$22:$ES$22,1,DL248)+(1-'Lease Cycles'!$BE$22)*IF(DL249&lt;INDEX('Lease Cycles'!$FA$22:$FG$22,1,DL248),0,1-INDEX('Lease Cycles'!$EM$22:$ES$22,1,DL248)),IF(OR(INDEX('Lease Cycles'!$DY$22:$EE$22,1,DL248)=1,DL249&gt;0),1,1-INDEX('Lease Cycles'!$DD$22:$DJ$22,1,DL248))*((1-'Lease Cycles'!$AJ$22)*INDEX('Lease Cycles'!$FO$22:$FU$22,1,DL248)+(1-'Lease Cycles'!$BE$22)*(1-INDEX('Lease Cycles'!$FO$22:$FU$22,1,DL248)))),0)</f>
        <v>0</v>
      </c>
      <c r="DM256" s="24">
        <f>IF(DM250=1,'Lease Cycles'!$D$22*IF(INDEX('Lease Cycles'!$EF$22:$EL$22,1,DM248)=1,(1-'Lease Cycles'!$AJ$22)*INDEX('Lease Cycles'!$EM$22:$ES$22,1,DM248)+(1-'Lease Cycles'!$BE$22)*IF(DM249&lt;INDEX('Lease Cycles'!$FA$22:$FG$22,1,DM248),0,1-INDEX('Lease Cycles'!$EM$22:$ES$22,1,DM248)),IF(OR(INDEX('Lease Cycles'!$DY$22:$EE$22,1,DM248)=1,DM249&gt;0),1,1-INDEX('Lease Cycles'!$DD$22:$DJ$22,1,DM248))*((1-'Lease Cycles'!$AJ$22)*INDEX('Lease Cycles'!$FO$22:$FU$22,1,DM248)+(1-'Lease Cycles'!$BE$22)*(1-INDEX('Lease Cycles'!$FO$22:$FU$22,1,DM248)))),0)</f>
        <v>0</v>
      </c>
      <c r="DN256" s="24">
        <f>IF(DN250=1,'Lease Cycles'!$D$22*IF(INDEX('Lease Cycles'!$EF$22:$EL$22,1,DN248)=1,(1-'Lease Cycles'!$AJ$22)*INDEX('Lease Cycles'!$EM$22:$ES$22,1,DN248)+(1-'Lease Cycles'!$BE$22)*IF(DN249&lt;INDEX('Lease Cycles'!$FA$22:$FG$22,1,DN248),0,1-INDEX('Lease Cycles'!$EM$22:$ES$22,1,DN248)),IF(OR(INDEX('Lease Cycles'!$DY$22:$EE$22,1,DN248)=1,DN249&gt;0),1,1-INDEX('Lease Cycles'!$DD$22:$DJ$22,1,DN248))*((1-'Lease Cycles'!$AJ$22)*INDEX('Lease Cycles'!$FO$22:$FU$22,1,DN248)+(1-'Lease Cycles'!$BE$22)*(1-INDEX('Lease Cycles'!$FO$22:$FU$22,1,DN248)))),0)</f>
        <v>0</v>
      </c>
      <c r="DO256" s="24">
        <f>IF(DO250=1,'Lease Cycles'!$D$22*IF(INDEX('Lease Cycles'!$EF$22:$EL$22,1,DO248)=1,(1-'Lease Cycles'!$AJ$22)*INDEX('Lease Cycles'!$EM$22:$ES$22,1,DO248)+(1-'Lease Cycles'!$BE$22)*IF(DO249&lt;INDEX('Lease Cycles'!$FA$22:$FG$22,1,DO248),0,1-INDEX('Lease Cycles'!$EM$22:$ES$22,1,DO248)),IF(OR(INDEX('Lease Cycles'!$DY$22:$EE$22,1,DO248)=1,DO249&gt;0),1,1-INDEX('Lease Cycles'!$DD$22:$DJ$22,1,DO248))*((1-'Lease Cycles'!$AJ$22)*INDEX('Lease Cycles'!$FO$22:$FU$22,1,DO248)+(1-'Lease Cycles'!$BE$22)*(1-INDEX('Lease Cycles'!$FO$22:$FU$22,1,DO248)))),0)</f>
        <v>0</v>
      </c>
      <c r="DP256" s="24">
        <f>IF(DP250=1,'Lease Cycles'!$D$22*IF(INDEX('Lease Cycles'!$EF$22:$EL$22,1,DP248)=1,(1-'Lease Cycles'!$AJ$22)*INDEX('Lease Cycles'!$EM$22:$ES$22,1,DP248)+(1-'Lease Cycles'!$BE$22)*IF(DP249&lt;INDEX('Lease Cycles'!$FA$22:$FG$22,1,DP248),0,1-INDEX('Lease Cycles'!$EM$22:$ES$22,1,DP248)),IF(OR(INDEX('Lease Cycles'!$DY$22:$EE$22,1,DP248)=1,DP249&gt;0),1,1-INDEX('Lease Cycles'!$DD$22:$DJ$22,1,DP248))*((1-'Lease Cycles'!$AJ$22)*INDEX('Lease Cycles'!$FO$22:$FU$22,1,DP248)+(1-'Lease Cycles'!$BE$22)*(1-INDEX('Lease Cycles'!$FO$22:$FU$22,1,DP248)))),0)</f>
        <v>0</v>
      </c>
      <c r="DQ256" s="24">
        <f>IF(DQ250=1,'Lease Cycles'!$D$22*IF(INDEX('Lease Cycles'!$EF$22:$EL$22,1,DQ248)=1,(1-'Lease Cycles'!$AJ$22)*INDEX('Lease Cycles'!$EM$22:$ES$22,1,DQ248)+(1-'Lease Cycles'!$BE$22)*IF(DQ249&lt;INDEX('Lease Cycles'!$FA$22:$FG$22,1,DQ248),0,1-INDEX('Lease Cycles'!$EM$22:$ES$22,1,DQ248)),IF(OR(INDEX('Lease Cycles'!$DY$22:$EE$22,1,DQ248)=1,DQ249&gt;0),1,1-INDEX('Lease Cycles'!$DD$22:$DJ$22,1,DQ248))*((1-'Lease Cycles'!$AJ$22)*INDEX('Lease Cycles'!$FO$22:$FU$22,1,DQ248)+(1-'Lease Cycles'!$BE$22)*(1-INDEX('Lease Cycles'!$FO$22:$FU$22,1,DQ248)))),0)</f>
        <v>0</v>
      </c>
      <c r="DR256" s="24">
        <f>IF(DR250=1,'Lease Cycles'!$D$22*IF(INDEX('Lease Cycles'!$EF$22:$EL$22,1,DR248)=1,(1-'Lease Cycles'!$AJ$22)*INDEX('Lease Cycles'!$EM$22:$ES$22,1,DR248)+(1-'Lease Cycles'!$BE$22)*IF(DR249&lt;INDEX('Lease Cycles'!$FA$22:$FG$22,1,DR248),0,1-INDEX('Lease Cycles'!$EM$22:$ES$22,1,DR248)),IF(OR(INDEX('Lease Cycles'!$DY$22:$EE$22,1,DR248)=1,DR249&gt;0),1,1-INDEX('Lease Cycles'!$DD$22:$DJ$22,1,DR248))*((1-'Lease Cycles'!$AJ$22)*INDEX('Lease Cycles'!$FO$22:$FU$22,1,DR248)+(1-'Lease Cycles'!$BE$22)*(1-INDEX('Lease Cycles'!$FO$22:$FU$22,1,DR248)))),0)</f>
        <v>0</v>
      </c>
      <c r="DS256" s="24">
        <f>IF(DS250=1,'Lease Cycles'!$D$22*IF(INDEX('Lease Cycles'!$EF$22:$EL$22,1,DS248)=1,(1-'Lease Cycles'!$AJ$22)*INDEX('Lease Cycles'!$EM$22:$ES$22,1,DS248)+(1-'Lease Cycles'!$BE$22)*IF(DS249&lt;INDEX('Lease Cycles'!$FA$22:$FG$22,1,DS248),0,1-INDEX('Lease Cycles'!$EM$22:$ES$22,1,DS248)),IF(OR(INDEX('Lease Cycles'!$DY$22:$EE$22,1,DS248)=1,DS249&gt;0),1,1-INDEX('Lease Cycles'!$DD$22:$DJ$22,1,DS248))*((1-'Lease Cycles'!$AJ$22)*INDEX('Lease Cycles'!$FO$22:$FU$22,1,DS248)+(1-'Lease Cycles'!$BE$22)*(1-INDEX('Lease Cycles'!$FO$22:$FU$22,1,DS248)))),0)</f>
        <v>0</v>
      </c>
      <c r="DT256" s="24">
        <f>IF(DT250=1,'Lease Cycles'!$D$22*IF(INDEX('Lease Cycles'!$EF$22:$EL$22,1,DT248)=1,(1-'Lease Cycles'!$AJ$22)*INDEX('Lease Cycles'!$EM$22:$ES$22,1,DT248)+(1-'Lease Cycles'!$BE$22)*IF(DT249&lt;INDEX('Lease Cycles'!$FA$22:$FG$22,1,DT248),0,1-INDEX('Lease Cycles'!$EM$22:$ES$22,1,DT248)),IF(OR(INDEX('Lease Cycles'!$DY$22:$EE$22,1,DT248)=1,DT249&gt;0),1,1-INDEX('Lease Cycles'!$DD$22:$DJ$22,1,DT248))*((1-'Lease Cycles'!$AJ$22)*INDEX('Lease Cycles'!$FO$22:$FU$22,1,DT248)+(1-'Lease Cycles'!$BE$22)*(1-INDEX('Lease Cycles'!$FO$22:$FU$22,1,DT248)))),0)</f>
        <v>0</v>
      </c>
      <c r="DU256" s="24">
        <f>IF(DU250=1,'Lease Cycles'!$D$22*IF(INDEX('Lease Cycles'!$EF$22:$EL$22,1,DU248)=1,(1-'Lease Cycles'!$AJ$22)*INDEX('Lease Cycles'!$EM$22:$ES$22,1,DU248)+(1-'Lease Cycles'!$BE$22)*IF(DU249&lt;INDEX('Lease Cycles'!$FA$22:$FG$22,1,DU248),0,1-INDEX('Lease Cycles'!$EM$22:$ES$22,1,DU248)),IF(OR(INDEX('Lease Cycles'!$DY$22:$EE$22,1,DU248)=1,DU249&gt;0),1,1-INDEX('Lease Cycles'!$DD$22:$DJ$22,1,DU248))*((1-'Lease Cycles'!$AJ$22)*INDEX('Lease Cycles'!$FO$22:$FU$22,1,DU248)+(1-'Lease Cycles'!$BE$22)*(1-INDEX('Lease Cycles'!$FO$22:$FU$22,1,DU248)))),0)</f>
        <v>0</v>
      </c>
      <c r="DV256" s="24">
        <f>IF(DV250=1,'Lease Cycles'!$D$22*IF(INDEX('Lease Cycles'!$EF$22:$EL$22,1,DV248)=1,(1-'Lease Cycles'!$AJ$22)*INDEX('Lease Cycles'!$EM$22:$ES$22,1,DV248)+(1-'Lease Cycles'!$BE$22)*IF(DV249&lt;INDEX('Lease Cycles'!$FA$22:$FG$22,1,DV248),0,1-INDEX('Lease Cycles'!$EM$22:$ES$22,1,DV248)),IF(OR(INDEX('Lease Cycles'!$DY$22:$EE$22,1,DV248)=1,DV249&gt;0),1,1-INDEX('Lease Cycles'!$DD$22:$DJ$22,1,DV248))*((1-'Lease Cycles'!$AJ$22)*INDEX('Lease Cycles'!$FO$22:$FU$22,1,DV248)+(1-'Lease Cycles'!$BE$22)*(1-INDEX('Lease Cycles'!$FO$22:$FU$22,1,DV248)))),0)</f>
        <v>0</v>
      </c>
      <c r="DW256" s="24">
        <f>IF(DW250=1,'Lease Cycles'!$D$22*IF(INDEX('Lease Cycles'!$EF$22:$EL$22,1,DW248)=1,(1-'Lease Cycles'!$AJ$22)*INDEX('Lease Cycles'!$EM$22:$ES$22,1,DW248)+(1-'Lease Cycles'!$BE$22)*IF(DW249&lt;INDEX('Lease Cycles'!$FA$22:$FG$22,1,DW248),0,1-INDEX('Lease Cycles'!$EM$22:$ES$22,1,DW248)),IF(OR(INDEX('Lease Cycles'!$DY$22:$EE$22,1,DW248)=1,DW249&gt;0),1,1-INDEX('Lease Cycles'!$DD$22:$DJ$22,1,DW248))*((1-'Lease Cycles'!$AJ$22)*INDEX('Lease Cycles'!$FO$22:$FU$22,1,DW248)+(1-'Lease Cycles'!$BE$22)*(1-INDEX('Lease Cycles'!$FO$22:$FU$22,1,DW248)))),0)</f>
        <v>0</v>
      </c>
      <c r="DX256" s="24">
        <f>IF(DX250=1,'Lease Cycles'!$D$22*IF(INDEX('Lease Cycles'!$EF$22:$EL$22,1,DX248)=1,(1-'Lease Cycles'!$AJ$22)*INDEX('Lease Cycles'!$EM$22:$ES$22,1,DX248)+(1-'Lease Cycles'!$BE$22)*IF(DX249&lt;INDEX('Lease Cycles'!$FA$22:$FG$22,1,DX248),0,1-INDEX('Lease Cycles'!$EM$22:$ES$22,1,DX248)),IF(OR(INDEX('Lease Cycles'!$DY$22:$EE$22,1,DX248)=1,DX249&gt;0),1,1-INDEX('Lease Cycles'!$DD$22:$DJ$22,1,DX248))*((1-'Lease Cycles'!$AJ$22)*INDEX('Lease Cycles'!$FO$22:$FU$22,1,DX248)+(1-'Lease Cycles'!$BE$22)*(1-INDEX('Lease Cycles'!$FO$22:$FU$22,1,DX248)))),0)</f>
        <v>0</v>
      </c>
      <c r="DY256" s="24">
        <f>IF(DY250=1,'Lease Cycles'!$D$22*IF(INDEX('Lease Cycles'!$EF$22:$EL$22,1,DY248)=1,(1-'Lease Cycles'!$AJ$22)*INDEX('Lease Cycles'!$EM$22:$ES$22,1,DY248)+(1-'Lease Cycles'!$BE$22)*IF(DY249&lt;INDEX('Lease Cycles'!$FA$22:$FG$22,1,DY248),0,1-INDEX('Lease Cycles'!$EM$22:$ES$22,1,DY248)),IF(OR(INDEX('Lease Cycles'!$DY$22:$EE$22,1,DY248)=1,DY249&gt;0),1,1-INDEX('Lease Cycles'!$DD$22:$DJ$22,1,DY248))*((1-'Lease Cycles'!$AJ$22)*INDEX('Lease Cycles'!$FO$22:$FU$22,1,DY248)+(1-'Lease Cycles'!$BE$22)*(1-INDEX('Lease Cycles'!$FO$22:$FU$22,1,DY248)))),0)</f>
        <v>0</v>
      </c>
      <c r="DZ256" s="24">
        <f>IF(DZ250=1,'Lease Cycles'!$D$22*IF(INDEX('Lease Cycles'!$EF$22:$EL$22,1,DZ248)=1,(1-'Lease Cycles'!$AJ$22)*INDEX('Lease Cycles'!$EM$22:$ES$22,1,DZ248)+(1-'Lease Cycles'!$BE$22)*IF(DZ249&lt;INDEX('Lease Cycles'!$FA$22:$FG$22,1,DZ248),0,1-INDEX('Lease Cycles'!$EM$22:$ES$22,1,DZ248)),IF(OR(INDEX('Lease Cycles'!$DY$22:$EE$22,1,DZ248)=1,DZ249&gt;0),1,1-INDEX('Lease Cycles'!$DD$22:$DJ$22,1,DZ248))*((1-'Lease Cycles'!$AJ$22)*INDEX('Lease Cycles'!$FO$22:$FU$22,1,DZ248)+(1-'Lease Cycles'!$BE$22)*(1-INDEX('Lease Cycles'!$FO$22:$FU$22,1,DZ248)))),0)</f>
        <v>0</v>
      </c>
      <c r="EA256" s="24">
        <f>IF(EA250=1,'Lease Cycles'!$D$22*IF(INDEX('Lease Cycles'!$EF$22:$EL$22,1,EA248)=1,(1-'Lease Cycles'!$AJ$22)*INDEX('Lease Cycles'!$EM$22:$ES$22,1,EA248)+(1-'Lease Cycles'!$BE$22)*IF(EA249&lt;INDEX('Lease Cycles'!$FA$22:$FG$22,1,EA248),0,1-INDEX('Lease Cycles'!$EM$22:$ES$22,1,EA248)),IF(OR(INDEX('Lease Cycles'!$DY$22:$EE$22,1,EA248)=1,EA249&gt;0),1,1-INDEX('Lease Cycles'!$DD$22:$DJ$22,1,EA248))*((1-'Lease Cycles'!$AJ$22)*INDEX('Lease Cycles'!$FO$22:$FU$22,1,EA248)+(1-'Lease Cycles'!$BE$22)*(1-INDEX('Lease Cycles'!$FO$22:$FU$22,1,EA248)))),0)</f>
        <v>0</v>
      </c>
      <c r="EB256" s="24">
        <f>IF(EB250=1,'Lease Cycles'!$D$22*IF(INDEX('Lease Cycles'!$EF$22:$EL$22,1,EB248)=1,(1-'Lease Cycles'!$AJ$22)*INDEX('Lease Cycles'!$EM$22:$ES$22,1,EB248)+(1-'Lease Cycles'!$BE$22)*IF(EB249&lt;INDEX('Lease Cycles'!$FA$22:$FG$22,1,EB248),0,1-INDEX('Lease Cycles'!$EM$22:$ES$22,1,EB248)),IF(OR(INDEX('Lease Cycles'!$DY$22:$EE$22,1,EB248)=1,EB249&gt;0),1,1-INDEX('Lease Cycles'!$DD$22:$DJ$22,1,EB248))*((1-'Lease Cycles'!$AJ$22)*INDEX('Lease Cycles'!$FO$22:$FU$22,1,EB248)+(1-'Lease Cycles'!$BE$22)*(1-INDEX('Lease Cycles'!$FO$22:$FU$22,1,EB248)))),0)</f>
        <v>0</v>
      </c>
      <c r="EC256" s="24">
        <f>IF(EC250=1,'Lease Cycles'!$D$22*IF(INDEX('Lease Cycles'!$EF$22:$EL$22,1,EC248)=1,(1-'Lease Cycles'!$AJ$22)*INDEX('Lease Cycles'!$EM$22:$ES$22,1,EC248)+(1-'Lease Cycles'!$BE$22)*IF(EC249&lt;INDEX('Lease Cycles'!$FA$22:$FG$22,1,EC248),0,1-INDEX('Lease Cycles'!$EM$22:$ES$22,1,EC248)),IF(OR(INDEX('Lease Cycles'!$DY$22:$EE$22,1,EC248)=1,EC249&gt;0),1,1-INDEX('Lease Cycles'!$DD$22:$DJ$22,1,EC248))*((1-'Lease Cycles'!$AJ$22)*INDEX('Lease Cycles'!$FO$22:$FU$22,1,EC248)+(1-'Lease Cycles'!$BE$22)*(1-INDEX('Lease Cycles'!$FO$22:$FU$22,1,EC248)))),0)</f>
        <v>0</v>
      </c>
      <c r="ED256" s="24">
        <f>IF(ED250=1,'Lease Cycles'!$D$22*IF(INDEX('Lease Cycles'!$EF$22:$EL$22,1,ED248)=1,(1-'Lease Cycles'!$AJ$22)*INDEX('Lease Cycles'!$EM$22:$ES$22,1,ED248)+(1-'Lease Cycles'!$BE$22)*IF(ED249&lt;INDEX('Lease Cycles'!$FA$22:$FG$22,1,ED248),0,1-INDEX('Lease Cycles'!$EM$22:$ES$22,1,ED248)),IF(OR(INDEX('Lease Cycles'!$DY$22:$EE$22,1,ED248)=1,ED249&gt;0),1,1-INDEX('Lease Cycles'!$DD$22:$DJ$22,1,ED248))*((1-'Lease Cycles'!$AJ$22)*INDEX('Lease Cycles'!$FO$22:$FU$22,1,ED248)+(1-'Lease Cycles'!$BE$22)*(1-INDEX('Lease Cycles'!$FO$22:$FU$22,1,ED248)))),0)</f>
        <v>0</v>
      </c>
      <c r="EE256" s="24">
        <f>IF(EE250=1,'Lease Cycles'!$D$22*IF(INDEX('Lease Cycles'!$EF$22:$EL$22,1,EE248)=1,(1-'Lease Cycles'!$AJ$22)*INDEX('Lease Cycles'!$EM$22:$ES$22,1,EE248)+(1-'Lease Cycles'!$BE$22)*IF(EE249&lt;INDEX('Lease Cycles'!$FA$22:$FG$22,1,EE248),0,1-INDEX('Lease Cycles'!$EM$22:$ES$22,1,EE248)),IF(OR(INDEX('Lease Cycles'!$DY$22:$EE$22,1,EE248)=1,EE249&gt;0),1,1-INDEX('Lease Cycles'!$DD$22:$DJ$22,1,EE248))*((1-'Lease Cycles'!$AJ$22)*INDEX('Lease Cycles'!$FO$22:$FU$22,1,EE248)+(1-'Lease Cycles'!$BE$22)*(1-INDEX('Lease Cycles'!$FO$22:$FU$22,1,EE248)))),0)</f>
        <v>0</v>
      </c>
      <c r="EF256" s="24">
        <f>IF(EF250=1,'Lease Cycles'!$D$22*IF(INDEX('Lease Cycles'!$EF$22:$EL$22,1,EF248)=1,(1-'Lease Cycles'!$AJ$22)*INDEX('Lease Cycles'!$EM$22:$ES$22,1,EF248)+(1-'Lease Cycles'!$BE$22)*IF(EF249&lt;INDEX('Lease Cycles'!$FA$22:$FG$22,1,EF248),0,1-INDEX('Lease Cycles'!$EM$22:$ES$22,1,EF248)),IF(OR(INDEX('Lease Cycles'!$DY$22:$EE$22,1,EF248)=1,EF249&gt;0),1,1-INDEX('Lease Cycles'!$DD$22:$DJ$22,1,EF248))*((1-'Lease Cycles'!$AJ$22)*INDEX('Lease Cycles'!$FO$22:$FU$22,1,EF248)+(1-'Lease Cycles'!$BE$22)*(1-INDEX('Lease Cycles'!$FO$22:$FU$22,1,EF248)))),0)</f>
        <v>0</v>
      </c>
      <c r="EG256" s="24">
        <f>IF(EG250=1,'Lease Cycles'!$D$22*IF(INDEX('Lease Cycles'!$EF$22:$EL$22,1,EG248)=1,(1-'Lease Cycles'!$AJ$22)*INDEX('Lease Cycles'!$EM$22:$ES$22,1,EG248)+(1-'Lease Cycles'!$BE$22)*IF(EG249&lt;INDEX('Lease Cycles'!$FA$22:$FG$22,1,EG248),0,1-INDEX('Lease Cycles'!$EM$22:$ES$22,1,EG248)),IF(OR(INDEX('Lease Cycles'!$DY$22:$EE$22,1,EG248)=1,EG249&gt;0),1,1-INDEX('Lease Cycles'!$DD$22:$DJ$22,1,EG248))*((1-'Lease Cycles'!$AJ$22)*INDEX('Lease Cycles'!$FO$22:$FU$22,1,EG248)+(1-'Lease Cycles'!$BE$22)*(1-INDEX('Lease Cycles'!$FO$22:$FU$22,1,EG248)))),0)</f>
        <v>0</v>
      </c>
      <c r="EH256" s="24">
        <f>IF(EH250=1,'Lease Cycles'!$D$22*IF(INDEX('Lease Cycles'!$EF$22:$EL$22,1,EH248)=1,(1-'Lease Cycles'!$AJ$22)*INDEX('Lease Cycles'!$EM$22:$ES$22,1,EH248)+(1-'Lease Cycles'!$BE$22)*IF(EH249&lt;INDEX('Lease Cycles'!$FA$22:$FG$22,1,EH248),0,1-INDEX('Lease Cycles'!$EM$22:$ES$22,1,EH248)),IF(OR(INDEX('Lease Cycles'!$DY$22:$EE$22,1,EH248)=1,EH249&gt;0),1,1-INDEX('Lease Cycles'!$DD$22:$DJ$22,1,EH248))*((1-'Lease Cycles'!$AJ$22)*INDEX('Lease Cycles'!$FO$22:$FU$22,1,EH248)+(1-'Lease Cycles'!$BE$22)*(1-INDEX('Lease Cycles'!$FO$22:$FU$22,1,EH248)))),0)</f>
        <v>0</v>
      </c>
      <c r="EI256" s="24">
        <f>IF(EI250=1,'Lease Cycles'!$D$22*IF(INDEX('Lease Cycles'!$EF$22:$EL$22,1,EI248)=1,(1-'Lease Cycles'!$AJ$22)*INDEX('Lease Cycles'!$EM$22:$ES$22,1,EI248)+(1-'Lease Cycles'!$BE$22)*IF(EI249&lt;INDEX('Lease Cycles'!$FA$22:$FG$22,1,EI248),0,1-INDEX('Lease Cycles'!$EM$22:$ES$22,1,EI248)),IF(OR(INDEX('Lease Cycles'!$DY$22:$EE$22,1,EI248)=1,EI249&gt;0),1,1-INDEX('Lease Cycles'!$DD$22:$DJ$22,1,EI248))*((1-'Lease Cycles'!$AJ$22)*INDEX('Lease Cycles'!$FO$22:$FU$22,1,EI248)+(1-'Lease Cycles'!$BE$22)*(1-INDEX('Lease Cycles'!$FO$22:$FU$22,1,EI248)))),0)</f>
        <v>0</v>
      </c>
      <c r="EJ256" s="24">
        <f>IF(EJ250=1,'Lease Cycles'!$D$22*IF(INDEX('Lease Cycles'!$EF$22:$EL$22,1,EJ248)=1,(1-'Lease Cycles'!$AJ$22)*INDEX('Lease Cycles'!$EM$22:$ES$22,1,EJ248)+(1-'Lease Cycles'!$BE$22)*IF(EJ249&lt;INDEX('Lease Cycles'!$FA$22:$FG$22,1,EJ248),0,1-INDEX('Lease Cycles'!$EM$22:$ES$22,1,EJ248)),IF(OR(INDEX('Lease Cycles'!$DY$22:$EE$22,1,EJ248)=1,EJ249&gt;0),1,1-INDEX('Lease Cycles'!$DD$22:$DJ$22,1,EJ248))*((1-'Lease Cycles'!$AJ$22)*INDEX('Lease Cycles'!$FO$22:$FU$22,1,EJ248)+(1-'Lease Cycles'!$BE$22)*(1-INDEX('Lease Cycles'!$FO$22:$FU$22,1,EJ248)))),0)</f>
        <v>0</v>
      </c>
      <c r="EK256" s="24">
        <f>IF(EK250=1,'Lease Cycles'!$D$22*IF(INDEX('Lease Cycles'!$EF$22:$EL$22,1,EK248)=1,(1-'Lease Cycles'!$AJ$22)*INDEX('Lease Cycles'!$EM$22:$ES$22,1,EK248)+(1-'Lease Cycles'!$BE$22)*IF(EK249&lt;INDEX('Lease Cycles'!$FA$22:$FG$22,1,EK248),0,1-INDEX('Lease Cycles'!$EM$22:$ES$22,1,EK248)),IF(OR(INDEX('Lease Cycles'!$DY$22:$EE$22,1,EK248)=1,EK249&gt;0),1,1-INDEX('Lease Cycles'!$DD$22:$DJ$22,1,EK248))*((1-'Lease Cycles'!$AJ$22)*INDEX('Lease Cycles'!$FO$22:$FU$22,1,EK248)+(1-'Lease Cycles'!$BE$22)*(1-INDEX('Lease Cycles'!$FO$22:$FU$22,1,EK248)))),0)</f>
        <v>0</v>
      </c>
      <c r="EL256" s="24">
        <f>IF(EL250=1,'Lease Cycles'!$D$22*IF(INDEX('Lease Cycles'!$EF$22:$EL$22,1,EL248)=1,(1-'Lease Cycles'!$AJ$22)*INDEX('Lease Cycles'!$EM$22:$ES$22,1,EL248)+(1-'Lease Cycles'!$BE$22)*IF(EL249&lt;INDEX('Lease Cycles'!$FA$22:$FG$22,1,EL248),0,1-INDEX('Lease Cycles'!$EM$22:$ES$22,1,EL248)),IF(OR(INDEX('Lease Cycles'!$DY$22:$EE$22,1,EL248)=1,EL249&gt;0),1,1-INDEX('Lease Cycles'!$DD$22:$DJ$22,1,EL248))*((1-'Lease Cycles'!$AJ$22)*INDEX('Lease Cycles'!$FO$22:$FU$22,1,EL248)+(1-'Lease Cycles'!$BE$22)*(1-INDEX('Lease Cycles'!$FO$22:$FU$22,1,EL248)))),0)</f>
        <v>0</v>
      </c>
      <c r="EM256" s="24">
        <f>IF(EM250=1,'Lease Cycles'!$D$22*IF(INDEX('Lease Cycles'!$EF$22:$EL$22,1,EM248)=1,(1-'Lease Cycles'!$AJ$22)*INDEX('Lease Cycles'!$EM$22:$ES$22,1,EM248)+(1-'Lease Cycles'!$BE$22)*IF(EM249&lt;INDEX('Lease Cycles'!$FA$22:$FG$22,1,EM248),0,1-INDEX('Lease Cycles'!$EM$22:$ES$22,1,EM248)),IF(OR(INDEX('Lease Cycles'!$DY$22:$EE$22,1,EM248)=1,EM249&gt;0),1,1-INDEX('Lease Cycles'!$DD$22:$DJ$22,1,EM248))*((1-'Lease Cycles'!$AJ$22)*INDEX('Lease Cycles'!$FO$22:$FU$22,1,EM248)+(1-'Lease Cycles'!$BE$22)*(1-INDEX('Lease Cycles'!$FO$22:$FU$22,1,EM248)))),0)</f>
        <v>0</v>
      </c>
      <c r="EN256" s="24">
        <f>IF(EN250=1,'Lease Cycles'!$D$22*IF(INDEX('Lease Cycles'!$EF$22:$EL$22,1,EN248)=1,(1-'Lease Cycles'!$AJ$22)*INDEX('Lease Cycles'!$EM$22:$ES$22,1,EN248)+(1-'Lease Cycles'!$BE$22)*IF(EN249&lt;INDEX('Lease Cycles'!$FA$22:$FG$22,1,EN248),0,1-INDEX('Lease Cycles'!$EM$22:$ES$22,1,EN248)),IF(OR(INDEX('Lease Cycles'!$DY$22:$EE$22,1,EN248)=1,EN249&gt;0),1,1-INDEX('Lease Cycles'!$DD$22:$DJ$22,1,EN248))*((1-'Lease Cycles'!$AJ$22)*INDEX('Lease Cycles'!$FO$22:$FU$22,1,EN248)+(1-'Lease Cycles'!$BE$22)*(1-INDEX('Lease Cycles'!$FO$22:$FU$22,1,EN248)))),0)</f>
        <v>0</v>
      </c>
      <c r="EO256" s="24">
        <f>IF(EO250=1,'Lease Cycles'!$D$22*IF(INDEX('Lease Cycles'!$EF$22:$EL$22,1,EO248)=1,(1-'Lease Cycles'!$AJ$22)*INDEX('Lease Cycles'!$EM$22:$ES$22,1,EO248)+(1-'Lease Cycles'!$BE$22)*IF(EO249&lt;INDEX('Lease Cycles'!$FA$22:$FG$22,1,EO248),0,1-INDEX('Lease Cycles'!$EM$22:$ES$22,1,EO248)),IF(OR(INDEX('Lease Cycles'!$DY$22:$EE$22,1,EO248)=1,EO249&gt;0),1,1-INDEX('Lease Cycles'!$DD$22:$DJ$22,1,EO248))*((1-'Lease Cycles'!$AJ$22)*INDEX('Lease Cycles'!$FO$22:$FU$22,1,EO248)+(1-'Lease Cycles'!$BE$22)*(1-INDEX('Lease Cycles'!$FO$22:$FU$22,1,EO248)))),0)</f>
        <v>0</v>
      </c>
      <c r="EP256" s="24">
        <f>IF(EP250=1,'Lease Cycles'!$D$22*IF(INDEX('Lease Cycles'!$EF$22:$EL$22,1,EP248)=1,(1-'Lease Cycles'!$AJ$22)*INDEX('Lease Cycles'!$EM$22:$ES$22,1,EP248)+(1-'Lease Cycles'!$BE$22)*IF(EP249&lt;INDEX('Lease Cycles'!$FA$22:$FG$22,1,EP248),0,1-INDEX('Lease Cycles'!$EM$22:$ES$22,1,EP248)),IF(OR(INDEX('Lease Cycles'!$DY$22:$EE$22,1,EP248)=1,EP249&gt;0),1,1-INDEX('Lease Cycles'!$DD$22:$DJ$22,1,EP248))*((1-'Lease Cycles'!$AJ$22)*INDEX('Lease Cycles'!$FO$22:$FU$22,1,EP248)+(1-'Lease Cycles'!$BE$22)*(1-INDEX('Lease Cycles'!$FO$22:$FU$22,1,EP248)))),0)</f>
        <v>0</v>
      </c>
      <c r="EQ256" s="24">
        <f>IF(EQ250=1,'Lease Cycles'!$D$22*IF(INDEX('Lease Cycles'!$EF$22:$EL$22,1,EQ248)=1,(1-'Lease Cycles'!$AJ$22)*INDEX('Lease Cycles'!$EM$22:$ES$22,1,EQ248)+(1-'Lease Cycles'!$BE$22)*IF(EQ249&lt;INDEX('Lease Cycles'!$FA$22:$FG$22,1,EQ248),0,1-INDEX('Lease Cycles'!$EM$22:$ES$22,1,EQ248)),IF(OR(INDEX('Lease Cycles'!$DY$22:$EE$22,1,EQ248)=1,EQ249&gt;0),1,1-INDEX('Lease Cycles'!$DD$22:$DJ$22,1,EQ248))*((1-'Lease Cycles'!$AJ$22)*INDEX('Lease Cycles'!$FO$22:$FU$22,1,EQ248)+(1-'Lease Cycles'!$BE$22)*(1-INDEX('Lease Cycles'!$FO$22:$FU$22,1,EQ248)))),0)</f>
        <v>0</v>
      </c>
      <c r="ER256" s="24">
        <f>IF(ER250=1,'Lease Cycles'!$D$22*IF(INDEX('Lease Cycles'!$EF$22:$EL$22,1,ER248)=1,(1-'Lease Cycles'!$AJ$22)*INDEX('Lease Cycles'!$EM$22:$ES$22,1,ER248)+(1-'Lease Cycles'!$BE$22)*IF(ER249&lt;INDEX('Lease Cycles'!$FA$22:$FG$22,1,ER248),0,1-INDEX('Lease Cycles'!$EM$22:$ES$22,1,ER248)),IF(OR(INDEX('Lease Cycles'!$DY$22:$EE$22,1,ER248)=1,ER249&gt;0),1,1-INDEX('Lease Cycles'!$DD$22:$DJ$22,1,ER248))*((1-'Lease Cycles'!$AJ$22)*INDEX('Lease Cycles'!$FO$22:$FU$22,1,ER248)+(1-'Lease Cycles'!$BE$22)*(1-INDEX('Lease Cycles'!$FO$22:$FU$22,1,ER248)))),0)</f>
        <v>0</v>
      </c>
      <c r="ES256" s="24">
        <f>IF(ES250=1,'Lease Cycles'!$D$22*IF(INDEX('Lease Cycles'!$EF$22:$EL$22,1,ES248)=1,(1-'Lease Cycles'!$AJ$22)*INDEX('Lease Cycles'!$EM$22:$ES$22,1,ES248)+(1-'Lease Cycles'!$BE$22)*IF(ES249&lt;INDEX('Lease Cycles'!$FA$22:$FG$22,1,ES248),0,1-INDEX('Lease Cycles'!$EM$22:$ES$22,1,ES248)),IF(OR(INDEX('Lease Cycles'!$DY$22:$EE$22,1,ES248)=1,ES249&gt;0),1,1-INDEX('Lease Cycles'!$DD$22:$DJ$22,1,ES248))*((1-'Lease Cycles'!$AJ$22)*INDEX('Lease Cycles'!$FO$22:$FU$22,1,ES248)+(1-'Lease Cycles'!$BE$22)*(1-INDEX('Lease Cycles'!$FO$22:$FU$22,1,ES248)))),0)</f>
        <v>0</v>
      </c>
      <c r="ET256" s="24">
        <f>IF(ET250=1,'Lease Cycles'!$D$22*IF(INDEX('Lease Cycles'!$EF$22:$EL$22,1,ET248)=1,(1-'Lease Cycles'!$AJ$22)*INDEX('Lease Cycles'!$EM$22:$ES$22,1,ET248)+(1-'Lease Cycles'!$BE$22)*IF(ET249&lt;INDEX('Lease Cycles'!$FA$22:$FG$22,1,ET248),0,1-INDEX('Lease Cycles'!$EM$22:$ES$22,1,ET248)),IF(OR(INDEX('Lease Cycles'!$DY$22:$EE$22,1,ET248)=1,ET249&gt;0),1,1-INDEX('Lease Cycles'!$DD$22:$DJ$22,1,ET248))*((1-'Lease Cycles'!$AJ$22)*INDEX('Lease Cycles'!$FO$22:$FU$22,1,ET248)+(1-'Lease Cycles'!$BE$22)*(1-INDEX('Lease Cycles'!$FO$22:$FU$22,1,ET248)))),0)</f>
        <v>0</v>
      </c>
    </row>
    <row r="257">
      <c r="A257" s="103">
        <v>15</v>
      </c>
      <c r="B257" s="23" t="str">
        <f>IF('Lease Cycles'!$B$22="","(empty slot)",'Lease Cycles'!$B$22)</f>
        <v>(empty slot)</v>
      </c>
      <c r="C257" s="23" t="s">
        <v>685</v>
      </c>
      <c r="D257" s="104" t="s">
        <v>686</v>
      </c>
      <c r="E257" s="25">
        <f>'Lease Cycles'!$AL$22</f>
        <v>0</v>
      </c>
      <c r="G257" s="24">
        <f>SUM(S257:AD257)</f>
        <v>0</v>
      </c>
      <c r="H257" s="24">
        <f>SUM(AE257:AP257)</f>
        <v>0</v>
      </c>
      <c r="I257" s="24">
        <f>SUM(AQ257:BB257)</f>
        <v>0</v>
      </c>
      <c r="J257" s="24">
        <f>SUM(BC257:BN257)</f>
        <v>0</v>
      </c>
      <c r="K257" s="24">
        <f>SUM(BO257:BZ257)</f>
        <v>0</v>
      </c>
      <c r="L257" s="24">
        <f>SUM(CA257:CL257)</f>
        <v>0</v>
      </c>
      <c r="M257" s="24">
        <f>SUM(CM257:CX257)</f>
        <v>0</v>
      </c>
      <c r="N257" s="24">
        <f>SUM(CY257:DJ257)</f>
        <v>0</v>
      </c>
      <c r="O257" s="24">
        <f>SUM(DK257:DV257)</f>
        <v>0</v>
      </c>
      <c r="P257" s="24">
        <f>SUM(DW257:EH257)</f>
        <v>0</v>
      </c>
      <c r="Q257" s="24">
        <f>SUM(EI257:ET257)</f>
        <v>0</v>
      </c>
      <c r="S257" s="24">
        <f>IF(S250=1,IF('Lease Cycles'!$AJ$22=1,0,'Lease Cycles'!$D$22*INDEX('Lease Cycles'!$FH$22:$FN$22,1,S248)*IF(INDEX('Lease Cycles'!$EF$22:$EL$22,1,S248)=1,1,IF(OR(INDEX('Lease Cycles'!$DY$22:$EE$22,1,S248)=1,S249&gt;0),1,1-INDEX('Lease Cycles'!$DD$22:$DJ$22,1,S248)))),0)</f>
        <v>0</v>
      </c>
      <c r="T257" s="24">
        <f>IF(T250=1,IF('Lease Cycles'!$AJ$22=1,0,'Lease Cycles'!$D$22*INDEX('Lease Cycles'!$FH$22:$FN$22,1,T248)*IF(INDEX('Lease Cycles'!$EF$22:$EL$22,1,T248)=1,1,IF(OR(INDEX('Lease Cycles'!$DY$22:$EE$22,1,T248)=1,T249&gt;0),1,1-INDEX('Lease Cycles'!$DD$22:$DJ$22,1,T248)))),0)</f>
        <v>0</v>
      </c>
      <c r="U257" s="24">
        <f>IF(U250=1,IF('Lease Cycles'!$AJ$22=1,0,'Lease Cycles'!$D$22*INDEX('Lease Cycles'!$FH$22:$FN$22,1,U248)*IF(INDEX('Lease Cycles'!$EF$22:$EL$22,1,U248)=1,1,IF(OR(INDEX('Lease Cycles'!$DY$22:$EE$22,1,U248)=1,U249&gt;0),1,1-INDEX('Lease Cycles'!$DD$22:$DJ$22,1,U248)))),0)</f>
        <v>0</v>
      </c>
      <c r="V257" s="24">
        <f>IF(V250=1,IF('Lease Cycles'!$AJ$22=1,0,'Lease Cycles'!$D$22*INDEX('Lease Cycles'!$FH$22:$FN$22,1,V248)*IF(INDEX('Lease Cycles'!$EF$22:$EL$22,1,V248)=1,1,IF(OR(INDEX('Lease Cycles'!$DY$22:$EE$22,1,V248)=1,V249&gt;0),1,1-INDEX('Lease Cycles'!$DD$22:$DJ$22,1,V248)))),0)</f>
        <v>0</v>
      </c>
      <c r="W257" s="24">
        <f>IF(W250=1,IF('Lease Cycles'!$AJ$22=1,0,'Lease Cycles'!$D$22*INDEX('Lease Cycles'!$FH$22:$FN$22,1,W248)*IF(INDEX('Lease Cycles'!$EF$22:$EL$22,1,W248)=1,1,IF(OR(INDEX('Lease Cycles'!$DY$22:$EE$22,1,W248)=1,W249&gt;0),1,1-INDEX('Lease Cycles'!$DD$22:$DJ$22,1,W248)))),0)</f>
        <v>0</v>
      </c>
      <c r="X257" s="24">
        <f>IF(X250=1,IF('Lease Cycles'!$AJ$22=1,0,'Lease Cycles'!$D$22*INDEX('Lease Cycles'!$FH$22:$FN$22,1,X248)*IF(INDEX('Lease Cycles'!$EF$22:$EL$22,1,X248)=1,1,IF(OR(INDEX('Lease Cycles'!$DY$22:$EE$22,1,X248)=1,X249&gt;0),1,1-INDEX('Lease Cycles'!$DD$22:$DJ$22,1,X248)))),0)</f>
        <v>0</v>
      </c>
      <c r="Y257" s="24">
        <f>IF(Y250=1,IF('Lease Cycles'!$AJ$22=1,0,'Lease Cycles'!$D$22*INDEX('Lease Cycles'!$FH$22:$FN$22,1,Y248)*IF(INDEX('Lease Cycles'!$EF$22:$EL$22,1,Y248)=1,1,IF(OR(INDEX('Lease Cycles'!$DY$22:$EE$22,1,Y248)=1,Y249&gt;0),1,1-INDEX('Lease Cycles'!$DD$22:$DJ$22,1,Y248)))),0)</f>
        <v>0</v>
      </c>
      <c r="Z257" s="24">
        <f>IF(Z250=1,IF('Lease Cycles'!$AJ$22=1,0,'Lease Cycles'!$D$22*INDEX('Lease Cycles'!$FH$22:$FN$22,1,Z248)*IF(INDEX('Lease Cycles'!$EF$22:$EL$22,1,Z248)=1,1,IF(OR(INDEX('Lease Cycles'!$DY$22:$EE$22,1,Z248)=1,Z249&gt;0),1,1-INDEX('Lease Cycles'!$DD$22:$DJ$22,1,Z248)))),0)</f>
        <v>0</v>
      </c>
      <c r="AA257" s="24">
        <f>IF(AA250=1,IF('Lease Cycles'!$AJ$22=1,0,'Lease Cycles'!$D$22*INDEX('Lease Cycles'!$FH$22:$FN$22,1,AA248)*IF(INDEX('Lease Cycles'!$EF$22:$EL$22,1,AA248)=1,1,IF(OR(INDEX('Lease Cycles'!$DY$22:$EE$22,1,AA248)=1,AA249&gt;0),1,1-INDEX('Lease Cycles'!$DD$22:$DJ$22,1,AA248)))),0)</f>
        <v>0</v>
      </c>
      <c r="AB257" s="24">
        <f>IF(AB250=1,IF('Lease Cycles'!$AJ$22=1,0,'Lease Cycles'!$D$22*INDEX('Lease Cycles'!$FH$22:$FN$22,1,AB248)*IF(INDEX('Lease Cycles'!$EF$22:$EL$22,1,AB248)=1,1,IF(OR(INDEX('Lease Cycles'!$DY$22:$EE$22,1,AB248)=1,AB249&gt;0),1,1-INDEX('Lease Cycles'!$DD$22:$DJ$22,1,AB248)))),0)</f>
        <v>0</v>
      </c>
      <c r="AC257" s="24">
        <f>IF(AC250=1,IF('Lease Cycles'!$AJ$22=1,0,'Lease Cycles'!$D$22*INDEX('Lease Cycles'!$FH$22:$FN$22,1,AC248)*IF(INDEX('Lease Cycles'!$EF$22:$EL$22,1,AC248)=1,1,IF(OR(INDEX('Lease Cycles'!$DY$22:$EE$22,1,AC248)=1,AC249&gt;0),1,1-INDEX('Lease Cycles'!$DD$22:$DJ$22,1,AC248)))),0)</f>
        <v>0</v>
      </c>
      <c r="AD257" s="24">
        <f>IF(AD250=1,IF('Lease Cycles'!$AJ$22=1,0,'Lease Cycles'!$D$22*INDEX('Lease Cycles'!$FH$22:$FN$22,1,AD248)*IF(INDEX('Lease Cycles'!$EF$22:$EL$22,1,AD248)=1,1,IF(OR(INDEX('Lease Cycles'!$DY$22:$EE$22,1,AD248)=1,AD249&gt;0),1,1-INDEX('Lease Cycles'!$DD$22:$DJ$22,1,AD248)))),0)</f>
        <v>0</v>
      </c>
      <c r="AE257" s="24">
        <f>IF(AE250=1,IF('Lease Cycles'!$AJ$22=1,0,'Lease Cycles'!$D$22*INDEX('Lease Cycles'!$FH$22:$FN$22,1,AE248)*IF(INDEX('Lease Cycles'!$EF$22:$EL$22,1,AE248)=1,1,IF(OR(INDEX('Lease Cycles'!$DY$22:$EE$22,1,AE248)=1,AE249&gt;0),1,1-INDEX('Lease Cycles'!$DD$22:$DJ$22,1,AE248)))),0)</f>
        <v>0</v>
      </c>
      <c r="AF257" s="24">
        <f>IF(AF250=1,IF('Lease Cycles'!$AJ$22=1,0,'Lease Cycles'!$D$22*INDEX('Lease Cycles'!$FH$22:$FN$22,1,AF248)*IF(INDEX('Lease Cycles'!$EF$22:$EL$22,1,AF248)=1,1,IF(OR(INDEX('Lease Cycles'!$DY$22:$EE$22,1,AF248)=1,AF249&gt;0),1,1-INDEX('Lease Cycles'!$DD$22:$DJ$22,1,AF248)))),0)</f>
        <v>0</v>
      </c>
      <c r="AG257" s="24">
        <f>IF(AG250=1,IF('Lease Cycles'!$AJ$22=1,0,'Lease Cycles'!$D$22*INDEX('Lease Cycles'!$FH$22:$FN$22,1,AG248)*IF(INDEX('Lease Cycles'!$EF$22:$EL$22,1,AG248)=1,1,IF(OR(INDEX('Lease Cycles'!$DY$22:$EE$22,1,AG248)=1,AG249&gt;0),1,1-INDEX('Lease Cycles'!$DD$22:$DJ$22,1,AG248)))),0)</f>
        <v>0</v>
      </c>
      <c r="AH257" s="24">
        <f>IF(AH250=1,IF('Lease Cycles'!$AJ$22=1,0,'Lease Cycles'!$D$22*INDEX('Lease Cycles'!$FH$22:$FN$22,1,AH248)*IF(INDEX('Lease Cycles'!$EF$22:$EL$22,1,AH248)=1,1,IF(OR(INDEX('Lease Cycles'!$DY$22:$EE$22,1,AH248)=1,AH249&gt;0),1,1-INDEX('Lease Cycles'!$DD$22:$DJ$22,1,AH248)))),0)</f>
        <v>0</v>
      </c>
      <c r="AI257" s="24">
        <f>IF(AI250=1,IF('Lease Cycles'!$AJ$22=1,0,'Lease Cycles'!$D$22*INDEX('Lease Cycles'!$FH$22:$FN$22,1,AI248)*IF(INDEX('Lease Cycles'!$EF$22:$EL$22,1,AI248)=1,1,IF(OR(INDEX('Lease Cycles'!$DY$22:$EE$22,1,AI248)=1,AI249&gt;0),1,1-INDEX('Lease Cycles'!$DD$22:$DJ$22,1,AI248)))),0)</f>
        <v>0</v>
      </c>
      <c r="AJ257" s="24">
        <f>IF(AJ250=1,IF('Lease Cycles'!$AJ$22=1,0,'Lease Cycles'!$D$22*INDEX('Lease Cycles'!$FH$22:$FN$22,1,AJ248)*IF(INDEX('Lease Cycles'!$EF$22:$EL$22,1,AJ248)=1,1,IF(OR(INDEX('Lease Cycles'!$DY$22:$EE$22,1,AJ248)=1,AJ249&gt;0),1,1-INDEX('Lease Cycles'!$DD$22:$DJ$22,1,AJ248)))),0)</f>
        <v>0</v>
      </c>
      <c r="AK257" s="24">
        <f>IF(AK250=1,IF('Lease Cycles'!$AJ$22=1,0,'Lease Cycles'!$D$22*INDEX('Lease Cycles'!$FH$22:$FN$22,1,AK248)*IF(INDEX('Lease Cycles'!$EF$22:$EL$22,1,AK248)=1,1,IF(OR(INDEX('Lease Cycles'!$DY$22:$EE$22,1,AK248)=1,AK249&gt;0),1,1-INDEX('Lease Cycles'!$DD$22:$DJ$22,1,AK248)))),0)</f>
        <v>0</v>
      </c>
      <c r="AL257" s="24">
        <f>IF(AL250=1,IF('Lease Cycles'!$AJ$22=1,0,'Lease Cycles'!$D$22*INDEX('Lease Cycles'!$FH$22:$FN$22,1,AL248)*IF(INDEX('Lease Cycles'!$EF$22:$EL$22,1,AL248)=1,1,IF(OR(INDEX('Lease Cycles'!$DY$22:$EE$22,1,AL248)=1,AL249&gt;0),1,1-INDEX('Lease Cycles'!$DD$22:$DJ$22,1,AL248)))),0)</f>
        <v>0</v>
      </c>
      <c r="AM257" s="24">
        <f>IF(AM250=1,IF('Lease Cycles'!$AJ$22=1,0,'Lease Cycles'!$D$22*INDEX('Lease Cycles'!$FH$22:$FN$22,1,AM248)*IF(INDEX('Lease Cycles'!$EF$22:$EL$22,1,AM248)=1,1,IF(OR(INDEX('Lease Cycles'!$DY$22:$EE$22,1,AM248)=1,AM249&gt;0),1,1-INDEX('Lease Cycles'!$DD$22:$DJ$22,1,AM248)))),0)</f>
        <v>0</v>
      </c>
      <c r="AN257" s="24">
        <f>IF(AN250=1,IF('Lease Cycles'!$AJ$22=1,0,'Lease Cycles'!$D$22*INDEX('Lease Cycles'!$FH$22:$FN$22,1,AN248)*IF(INDEX('Lease Cycles'!$EF$22:$EL$22,1,AN248)=1,1,IF(OR(INDEX('Lease Cycles'!$DY$22:$EE$22,1,AN248)=1,AN249&gt;0),1,1-INDEX('Lease Cycles'!$DD$22:$DJ$22,1,AN248)))),0)</f>
        <v>0</v>
      </c>
      <c r="AO257" s="24">
        <f>IF(AO250=1,IF('Lease Cycles'!$AJ$22=1,0,'Lease Cycles'!$D$22*INDEX('Lease Cycles'!$FH$22:$FN$22,1,AO248)*IF(INDEX('Lease Cycles'!$EF$22:$EL$22,1,AO248)=1,1,IF(OR(INDEX('Lease Cycles'!$DY$22:$EE$22,1,AO248)=1,AO249&gt;0),1,1-INDEX('Lease Cycles'!$DD$22:$DJ$22,1,AO248)))),0)</f>
        <v>0</v>
      </c>
      <c r="AP257" s="24">
        <f>IF(AP250=1,IF('Lease Cycles'!$AJ$22=1,0,'Lease Cycles'!$D$22*INDEX('Lease Cycles'!$FH$22:$FN$22,1,AP248)*IF(INDEX('Lease Cycles'!$EF$22:$EL$22,1,AP248)=1,1,IF(OR(INDEX('Lease Cycles'!$DY$22:$EE$22,1,AP248)=1,AP249&gt;0),1,1-INDEX('Lease Cycles'!$DD$22:$DJ$22,1,AP248)))),0)</f>
        <v>0</v>
      </c>
      <c r="AQ257" s="24">
        <f>IF(AQ250=1,IF('Lease Cycles'!$AJ$22=1,0,'Lease Cycles'!$D$22*INDEX('Lease Cycles'!$FH$22:$FN$22,1,AQ248)*IF(INDEX('Lease Cycles'!$EF$22:$EL$22,1,AQ248)=1,1,IF(OR(INDEX('Lease Cycles'!$DY$22:$EE$22,1,AQ248)=1,AQ249&gt;0),1,1-INDEX('Lease Cycles'!$DD$22:$DJ$22,1,AQ248)))),0)</f>
        <v>0</v>
      </c>
      <c r="AR257" s="24">
        <f>IF(AR250=1,IF('Lease Cycles'!$AJ$22=1,0,'Lease Cycles'!$D$22*INDEX('Lease Cycles'!$FH$22:$FN$22,1,AR248)*IF(INDEX('Lease Cycles'!$EF$22:$EL$22,1,AR248)=1,1,IF(OR(INDEX('Lease Cycles'!$DY$22:$EE$22,1,AR248)=1,AR249&gt;0),1,1-INDEX('Lease Cycles'!$DD$22:$DJ$22,1,AR248)))),0)</f>
        <v>0</v>
      </c>
      <c r="AS257" s="24">
        <f>IF(AS250=1,IF('Lease Cycles'!$AJ$22=1,0,'Lease Cycles'!$D$22*INDEX('Lease Cycles'!$FH$22:$FN$22,1,AS248)*IF(INDEX('Lease Cycles'!$EF$22:$EL$22,1,AS248)=1,1,IF(OR(INDEX('Lease Cycles'!$DY$22:$EE$22,1,AS248)=1,AS249&gt;0),1,1-INDEX('Lease Cycles'!$DD$22:$DJ$22,1,AS248)))),0)</f>
        <v>0</v>
      </c>
      <c r="AT257" s="24">
        <f>IF(AT250=1,IF('Lease Cycles'!$AJ$22=1,0,'Lease Cycles'!$D$22*INDEX('Lease Cycles'!$FH$22:$FN$22,1,AT248)*IF(INDEX('Lease Cycles'!$EF$22:$EL$22,1,AT248)=1,1,IF(OR(INDEX('Lease Cycles'!$DY$22:$EE$22,1,AT248)=1,AT249&gt;0),1,1-INDEX('Lease Cycles'!$DD$22:$DJ$22,1,AT248)))),0)</f>
        <v>0</v>
      </c>
      <c r="AU257" s="24">
        <f>IF(AU250=1,IF('Lease Cycles'!$AJ$22=1,0,'Lease Cycles'!$D$22*INDEX('Lease Cycles'!$FH$22:$FN$22,1,AU248)*IF(INDEX('Lease Cycles'!$EF$22:$EL$22,1,AU248)=1,1,IF(OR(INDEX('Lease Cycles'!$DY$22:$EE$22,1,AU248)=1,AU249&gt;0),1,1-INDEX('Lease Cycles'!$DD$22:$DJ$22,1,AU248)))),0)</f>
        <v>0</v>
      </c>
      <c r="AV257" s="24">
        <f>IF(AV250=1,IF('Lease Cycles'!$AJ$22=1,0,'Lease Cycles'!$D$22*INDEX('Lease Cycles'!$FH$22:$FN$22,1,AV248)*IF(INDEX('Lease Cycles'!$EF$22:$EL$22,1,AV248)=1,1,IF(OR(INDEX('Lease Cycles'!$DY$22:$EE$22,1,AV248)=1,AV249&gt;0),1,1-INDEX('Lease Cycles'!$DD$22:$DJ$22,1,AV248)))),0)</f>
        <v>0</v>
      </c>
      <c r="AW257" s="24">
        <f>IF(AW250=1,IF('Lease Cycles'!$AJ$22=1,0,'Lease Cycles'!$D$22*INDEX('Lease Cycles'!$FH$22:$FN$22,1,AW248)*IF(INDEX('Lease Cycles'!$EF$22:$EL$22,1,AW248)=1,1,IF(OR(INDEX('Lease Cycles'!$DY$22:$EE$22,1,AW248)=1,AW249&gt;0),1,1-INDEX('Lease Cycles'!$DD$22:$DJ$22,1,AW248)))),0)</f>
        <v>0</v>
      </c>
      <c r="AX257" s="24">
        <f>IF(AX250=1,IF('Lease Cycles'!$AJ$22=1,0,'Lease Cycles'!$D$22*INDEX('Lease Cycles'!$FH$22:$FN$22,1,AX248)*IF(INDEX('Lease Cycles'!$EF$22:$EL$22,1,AX248)=1,1,IF(OR(INDEX('Lease Cycles'!$DY$22:$EE$22,1,AX248)=1,AX249&gt;0),1,1-INDEX('Lease Cycles'!$DD$22:$DJ$22,1,AX248)))),0)</f>
        <v>0</v>
      </c>
      <c r="AY257" s="24">
        <f>IF(AY250=1,IF('Lease Cycles'!$AJ$22=1,0,'Lease Cycles'!$D$22*INDEX('Lease Cycles'!$FH$22:$FN$22,1,AY248)*IF(INDEX('Lease Cycles'!$EF$22:$EL$22,1,AY248)=1,1,IF(OR(INDEX('Lease Cycles'!$DY$22:$EE$22,1,AY248)=1,AY249&gt;0),1,1-INDEX('Lease Cycles'!$DD$22:$DJ$22,1,AY248)))),0)</f>
        <v>0</v>
      </c>
      <c r="AZ257" s="24">
        <f>IF(AZ250=1,IF('Lease Cycles'!$AJ$22=1,0,'Lease Cycles'!$D$22*INDEX('Lease Cycles'!$FH$22:$FN$22,1,AZ248)*IF(INDEX('Lease Cycles'!$EF$22:$EL$22,1,AZ248)=1,1,IF(OR(INDEX('Lease Cycles'!$DY$22:$EE$22,1,AZ248)=1,AZ249&gt;0),1,1-INDEX('Lease Cycles'!$DD$22:$DJ$22,1,AZ248)))),0)</f>
        <v>0</v>
      </c>
      <c r="BA257" s="24">
        <f>IF(BA250=1,IF('Lease Cycles'!$AJ$22=1,0,'Lease Cycles'!$D$22*INDEX('Lease Cycles'!$FH$22:$FN$22,1,BA248)*IF(INDEX('Lease Cycles'!$EF$22:$EL$22,1,BA248)=1,1,IF(OR(INDEX('Lease Cycles'!$DY$22:$EE$22,1,BA248)=1,BA249&gt;0),1,1-INDEX('Lease Cycles'!$DD$22:$DJ$22,1,BA248)))),0)</f>
        <v>0</v>
      </c>
      <c r="BB257" s="24">
        <f>IF(BB250=1,IF('Lease Cycles'!$AJ$22=1,0,'Lease Cycles'!$D$22*INDEX('Lease Cycles'!$FH$22:$FN$22,1,BB248)*IF(INDEX('Lease Cycles'!$EF$22:$EL$22,1,BB248)=1,1,IF(OR(INDEX('Lease Cycles'!$DY$22:$EE$22,1,BB248)=1,BB249&gt;0),1,1-INDEX('Lease Cycles'!$DD$22:$DJ$22,1,BB248)))),0)</f>
        <v>0</v>
      </c>
      <c r="BC257" s="24">
        <f>IF(BC250=1,IF('Lease Cycles'!$AJ$22=1,0,'Lease Cycles'!$D$22*INDEX('Lease Cycles'!$FH$22:$FN$22,1,BC248)*IF(INDEX('Lease Cycles'!$EF$22:$EL$22,1,BC248)=1,1,IF(OR(INDEX('Lease Cycles'!$DY$22:$EE$22,1,BC248)=1,BC249&gt;0),1,1-INDEX('Lease Cycles'!$DD$22:$DJ$22,1,BC248)))),0)</f>
        <v>0</v>
      </c>
      <c r="BD257" s="24">
        <f>IF(BD250=1,IF('Lease Cycles'!$AJ$22=1,0,'Lease Cycles'!$D$22*INDEX('Lease Cycles'!$FH$22:$FN$22,1,BD248)*IF(INDEX('Lease Cycles'!$EF$22:$EL$22,1,BD248)=1,1,IF(OR(INDEX('Lease Cycles'!$DY$22:$EE$22,1,BD248)=1,BD249&gt;0),1,1-INDEX('Lease Cycles'!$DD$22:$DJ$22,1,BD248)))),0)</f>
        <v>0</v>
      </c>
      <c r="BE257" s="24">
        <f>IF(BE250=1,IF('Lease Cycles'!$AJ$22=1,0,'Lease Cycles'!$D$22*INDEX('Lease Cycles'!$FH$22:$FN$22,1,BE248)*IF(INDEX('Lease Cycles'!$EF$22:$EL$22,1,BE248)=1,1,IF(OR(INDEX('Lease Cycles'!$DY$22:$EE$22,1,BE248)=1,BE249&gt;0),1,1-INDEX('Lease Cycles'!$DD$22:$DJ$22,1,BE248)))),0)</f>
        <v>0</v>
      </c>
      <c r="BF257" s="24">
        <f>IF(BF250=1,IF('Lease Cycles'!$AJ$22=1,0,'Lease Cycles'!$D$22*INDEX('Lease Cycles'!$FH$22:$FN$22,1,BF248)*IF(INDEX('Lease Cycles'!$EF$22:$EL$22,1,BF248)=1,1,IF(OR(INDEX('Lease Cycles'!$DY$22:$EE$22,1,BF248)=1,BF249&gt;0),1,1-INDEX('Lease Cycles'!$DD$22:$DJ$22,1,BF248)))),0)</f>
        <v>0</v>
      </c>
      <c r="BG257" s="24">
        <f>IF(BG250=1,IF('Lease Cycles'!$AJ$22=1,0,'Lease Cycles'!$D$22*INDEX('Lease Cycles'!$FH$22:$FN$22,1,BG248)*IF(INDEX('Lease Cycles'!$EF$22:$EL$22,1,BG248)=1,1,IF(OR(INDEX('Lease Cycles'!$DY$22:$EE$22,1,BG248)=1,BG249&gt;0),1,1-INDEX('Lease Cycles'!$DD$22:$DJ$22,1,BG248)))),0)</f>
        <v>0</v>
      </c>
      <c r="BH257" s="24">
        <f>IF(BH250=1,IF('Lease Cycles'!$AJ$22=1,0,'Lease Cycles'!$D$22*INDEX('Lease Cycles'!$FH$22:$FN$22,1,BH248)*IF(INDEX('Lease Cycles'!$EF$22:$EL$22,1,BH248)=1,1,IF(OR(INDEX('Lease Cycles'!$DY$22:$EE$22,1,BH248)=1,BH249&gt;0),1,1-INDEX('Lease Cycles'!$DD$22:$DJ$22,1,BH248)))),0)</f>
        <v>0</v>
      </c>
      <c r="BI257" s="24">
        <f>IF(BI250=1,IF('Lease Cycles'!$AJ$22=1,0,'Lease Cycles'!$D$22*INDEX('Lease Cycles'!$FH$22:$FN$22,1,BI248)*IF(INDEX('Lease Cycles'!$EF$22:$EL$22,1,BI248)=1,1,IF(OR(INDEX('Lease Cycles'!$DY$22:$EE$22,1,BI248)=1,BI249&gt;0),1,1-INDEX('Lease Cycles'!$DD$22:$DJ$22,1,BI248)))),0)</f>
        <v>0</v>
      </c>
      <c r="BJ257" s="24">
        <f>IF(BJ250=1,IF('Lease Cycles'!$AJ$22=1,0,'Lease Cycles'!$D$22*INDEX('Lease Cycles'!$FH$22:$FN$22,1,BJ248)*IF(INDEX('Lease Cycles'!$EF$22:$EL$22,1,BJ248)=1,1,IF(OR(INDEX('Lease Cycles'!$DY$22:$EE$22,1,BJ248)=1,BJ249&gt;0),1,1-INDEX('Lease Cycles'!$DD$22:$DJ$22,1,BJ248)))),0)</f>
        <v>0</v>
      </c>
      <c r="BK257" s="24">
        <f>IF(BK250=1,IF('Lease Cycles'!$AJ$22=1,0,'Lease Cycles'!$D$22*INDEX('Lease Cycles'!$FH$22:$FN$22,1,BK248)*IF(INDEX('Lease Cycles'!$EF$22:$EL$22,1,BK248)=1,1,IF(OR(INDEX('Lease Cycles'!$DY$22:$EE$22,1,BK248)=1,BK249&gt;0),1,1-INDEX('Lease Cycles'!$DD$22:$DJ$22,1,BK248)))),0)</f>
        <v>0</v>
      </c>
      <c r="BL257" s="24">
        <f>IF(BL250=1,IF('Lease Cycles'!$AJ$22=1,0,'Lease Cycles'!$D$22*INDEX('Lease Cycles'!$FH$22:$FN$22,1,BL248)*IF(INDEX('Lease Cycles'!$EF$22:$EL$22,1,BL248)=1,1,IF(OR(INDEX('Lease Cycles'!$DY$22:$EE$22,1,BL248)=1,BL249&gt;0),1,1-INDEX('Lease Cycles'!$DD$22:$DJ$22,1,BL248)))),0)</f>
        <v>0</v>
      </c>
      <c r="BM257" s="24">
        <f>IF(BM250=1,IF('Lease Cycles'!$AJ$22=1,0,'Lease Cycles'!$D$22*INDEX('Lease Cycles'!$FH$22:$FN$22,1,BM248)*IF(INDEX('Lease Cycles'!$EF$22:$EL$22,1,BM248)=1,1,IF(OR(INDEX('Lease Cycles'!$DY$22:$EE$22,1,BM248)=1,BM249&gt;0),1,1-INDEX('Lease Cycles'!$DD$22:$DJ$22,1,BM248)))),0)</f>
        <v>0</v>
      </c>
      <c r="BN257" s="24">
        <f>IF(BN250=1,IF('Lease Cycles'!$AJ$22=1,0,'Lease Cycles'!$D$22*INDEX('Lease Cycles'!$FH$22:$FN$22,1,BN248)*IF(INDEX('Lease Cycles'!$EF$22:$EL$22,1,BN248)=1,1,IF(OR(INDEX('Lease Cycles'!$DY$22:$EE$22,1,BN248)=1,BN249&gt;0),1,1-INDEX('Lease Cycles'!$DD$22:$DJ$22,1,BN248)))),0)</f>
        <v>0</v>
      </c>
      <c r="BO257" s="24">
        <f>IF(BO250=1,IF('Lease Cycles'!$AJ$22=1,0,'Lease Cycles'!$D$22*INDEX('Lease Cycles'!$FH$22:$FN$22,1,BO248)*IF(INDEX('Lease Cycles'!$EF$22:$EL$22,1,BO248)=1,1,IF(OR(INDEX('Lease Cycles'!$DY$22:$EE$22,1,BO248)=1,BO249&gt;0),1,1-INDEX('Lease Cycles'!$DD$22:$DJ$22,1,BO248)))),0)</f>
        <v>0</v>
      </c>
      <c r="BP257" s="24">
        <f>IF(BP250=1,IF('Lease Cycles'!$AJ$22=1,0,'Lease Cycles'!$D$22*INDEX('Lease Cycles'!$FH$22:$FN$22,1,BP248)*IF(INDEX('Lease Cycles'!$EF$22:$EL$22,1,BP248)=1,1,IF(OR(INDEX('Lease Cycles'!$DY$22:$EE$22,1,BP248)=1,BP249&gt;0),1,1-INDEX('Lease Cycles'!$DD$22:$DJ$22,1,BP248)))),0)</f>
        <v>0</v>
      </c>
      <c r="BQ257" s="24">
        <f>IF(BQ250=1,IF('Lease Cycles'!$AJ$22=1,0,'Lease Cycles'!$D$22*INDEX('Lease Cycles'!$FH$22:$FN$22,1,BQ248)*IF(INDEX('Lease Cycles'!$EF$22:$EL$22,1,BQ248)=1,1,IF(OR(INDEX('Lease Cycles'!$DY$22:$EE$22,1,BQ248)=1,BQ249&gt;0),1,1-INDEX('Lease Cycles'!$DD$22:$DJ$22,1,BQ248)))),0)</f>
        <v>0</v>
      </c>
      <c r="BR257" s="24">
        <f>IF(BR250=1,IF('Lease Cycles'!$AJ$22=1,0,'Lease Cycles'!$D$22*INDEX('Lease Cycles'!$FH$22:$FN$22,1,BR248)*IF(INDEX('Lease Cycles'!$EF$22:$EL$22,1,BR248)=1,1,IF(OR(INDEX('Lease Cycles'!$DY$22:$EE$22,1,BR248)=1,BR249&gt;0),1,1-INDEX('Lease Cycles'!$DD$22:$DJ$22,1,BR248)))),0)</f>
        <v>0</v>
      </c>
      <c r="BS257" s="24">
        <f>IF(BS250=1,IF('Lease Cycles'!$AJ$22=1,0,'Lease Cycles'!$D$22*INDEX('Lease Cycles'!$FH$22:$FN$22,1,BS248)*IF(INDEX('Lease Cycles'!$EF$22:$EL$22,1,BS248)=1,1,IF(OR(INDEX('Lease Cycles'!$DY$22:$EE$22,1,BS248)=1,BS249&gt;0),1,1-INDEX('Lease Cycles'!$DD$22:$DJ$22,1,BS248)))),0)</f>
        <v>0</v>
      </c>
      <c r="BT257" s="24">
        <f>IF(BT250=1,IF('Lease Cycles'!$AJ$22=1,0,'Lease Cycles'!$D$22*INDEX('Lease Cycles'!$FH$22:$FN$22,1,BT248)*IF(INDEX('Lease Cycles'!$EF$22:$EL$22,1,BT248)=1,1,IF(OR(INDEX('Lease Cycles'!$DY$22:$EE$22,1,BT248)=1,BT249&gt;0),1,1-INDEX('Lease Cycles'!$DD$22:$DJ$22,1,BT248)))),0)</f>
        <v>0</v>
      </c>
      <c r="BU257" s="24">
        <f>IF(BU250=1,IF('Lease Cycles'!$AJ$22=1,0,'Lease Cycles'!$D$22*INDEX('Lease Cycles'!$FH$22:$FN$22,1,BU248)*IF(INDEX('Lease Cycles'!$EF$22:$EL$22,1,BU248)=1,1,IF(OR(INDEX('Lease Cycles'!$DY$22:$EE$22,1,BU248)=1,BU249&gt;0),1,1-INDEX('Lease Cycles'!$DD$22:$DJ$22,1,BU248)))),0)</f>
        <v>0</v>
      </c>
      <c r="BV257" s="24">
        <f>IF(BV250=1,IF('Lease Cycles'!$AJ$22=1,0,'Lease Cycles'!$D$22*INDEX('Lease Cycles'!$FH$22:$FN$22,1,BV248)*IF(INDEX('Lease Cycles'!$EF$22:$EL$22,1,BV248)=1,1,IF(OR(INDEX('Lease Cycles'!$DY$22:$EE$22,1,BV248)=1,BV249&gt;0),1,1-INDEX('Lease Cycles'!$DD$22:$DJ$22,1,BV248)))),0)</f>
        <v>0</v>
      </c>
      <c r="BW257" s="24">
        <f>IF(BW250=1,IF('Lease Cycles'!$AJ$22=1,0,'Lease Cycles'!$D$22*INDEX('Lease Cycles'!$FH$22:$FN$22,1,BW248)*IF(INDEX('Lease Cycles'!$EF$22:$EL$22,1,BW248)=1,1,IF(OR(INDEX('Lease Cycles'!$DY$22:$EE$22,1,BW248)=1,BW249&gt;0),1,1-INDEX('Lease Cycles'!$DD$22:$DJ$22,1,BW248)))),0)</f>
        <v>0</v>
      </c>
      <c r="BX257" s="24">
        <f>IF(BX250=1,IF('Lease Cycles'!$AJ$22=1,0,'Lease Cycles'!$D$22*INDEX('Lease Cycles'!$FH$22:$FN$22,1,BX248)*IF(INDEX('Lease Cycles'!$EF$22:$EL$22,1,BX248)=1,1,IF(OR(INDEX('Lease Cycles'!$DY$22:$EE$22,1,BX248)=1,BX249&gt;0),1,1-INDEX('Lease Cycles'!$DD$22:$DJ$22,1,BX248)))),0)</f>
        <v>0</v>
      </c>
      <c r="BY257" s="24">
        <f>IF(BY250=1,IF('Lease Cycles'!$AJ$22=1,0,'Lease Cycles'!$D$22*INDEX('Lease Cycles'!$FH$22:$FN$22,1,BY248)*IF(INDEX('Lease Cycles'!$EF$22:$EL$22,1,BY248)=1,1,IF(OR(INDEX('Lease Cycles'!$DY$22:$EE$22,1,BY248)=1,BY249&gt;0),1,1-INDEX('Lease Cycles'!$DD$22:$DJ$22,1,BY248)))),0)</f>
        <v>0</v>
      </c>
      <c r="BZ257" s="24">
        <f>IF(BZ250=1,IF('Lease Cycles'!$AJ$22=1,0,'Lease Cycles'!$D$22*INDEX('Lease Cycles'!$FH$22:$FN$22,1,BZ248)*IF(INDEX('Lease Cycles'!$EF$22:$EL$22,1,BZ248)=1,1,IF(OR(INDEX('Lease Cycles'!$DY$22:$EE$22,1,BZ248)=1,BZ249&gt;0),1,1-INDEX('Lease Cycles'!$DD$22:$DJ$22,1,BZ248)))),0)</f>
        <v>0</v>
      </c>
      <c r="CA257" s="24">
        <f>IF(CA250=1,IF('Lease Cycles'!$AJ$22=1,0,'Lease Cycles'!$D$22*INDEX('Lease Cycles'!$FH$22:$FN$22,1,CA248)*IF(INDEX('Lease Cycles'!$EF$22:$EL$22,1,CA248)=1,1,IF(OR(INDEX('Lease Cycles'!$DY$22:$EE$22,1,CA248)=1,CA249&gt;0),1,1-INDEX('Lease Cycles'!$DD$22:$DJ$22,1,CA248)))),0)</f>
        <v>0</v>
      </c>
      <c r="CB257" s="24">
        <f>IF(CB250=1,IF('Lease Cycles'!$AJ$22=1,0,'Lease Cycles'!$D$22*INDEX('Lease Cycles'!$FH$22:$FN$22,1,CB248)*IF(INDEX('Lease Cycles'!$EF$22:$EL$22,1,CB248)=1,1,IF(OR(INDEX('Lease Cycles'!$DY$22:$EE$22,1,CB248)=1,CB249&gt;0),1,1-INDEX('Lease Cycles'!$DD$22:$DJ$22,1,CB248)))),0)</f>
        <v>0</v>
      </c>
      <c r="CC257" s="24">
        <f>IF(CC250=1,IF('Lease Cycles'!$AJ$22=1,0,'Lease Cycles'!$D$22*INDEX('Lease Cycles'!$FH$22:$FN$22,1,CC248)*IF(INDEX('Lease Cycles'!$EF$22:$EL$22,1,CC248)=1,1,IF(OR(INDEX('Lease Cycles'!$DY$22:$EE$22,1,CC248)=1,CC249&gt;0),1,1-INDEX('Lease Cycles'!$DD$22:$DJ$22,1,CC248)))),0)</f>
        <v>0</v>
      </c>
      <c r="CD257" s="24">
        <f>IF(CD250=1,IF('Lease Cycles'!$AJ$22=1,0,'Lease Cycles'!$D$22*INDEX('Lease Cycles'!$FH$22:$FN$22,1,CD248)*IF(INDEX('Lease Cycles'!$EF$22:$EL$22,1,CD248)=1,1,IF(OR(INDEX('Lease Cycles'!$DY$22:$EE$22,1,CD248)=1,CD249&gt;0),1,1-INDEX('Lease Cycles'!$DD$22:$DJ$22,1,CD248)))),0)</f>
        <v>0</v>
      </c>
      <c r="CE257" s="24">
        <f>IF(CE250=1,IF('Lease Cycles'!$AJ$22=1,0,'Lease Cycles'!$D$22*INDEX('Lease Cycles'!$FH$22:$FN$22,1,CE248)*IF(INDEX('Lease Cycles'!$EF$22:$EL$22,1,CE248)=1,1,IF(OR(INDEX('Lease Cycles'!$DY$22:$EE$22,1,CE248)=1,CE249&gt;0),1,1-INDEX('Lease Cycles'!$DD$22:$DJ$22,1,CE248)))),0)</f>
        <v>0</v>
      </c>
      <c r="CF257" s="24">
        <f>IF(CF250=1,IF('Lease Cycles'!$AJ$22=1,0,'Lease Cycles'!$D$22*INDEX('Lease Cycles'!$FH$22:$FN$22,1,CF248)*IF(INDEX('Lease Cycles'!$EF$22:$EL$22,1,CF248)=1,1,IF(OR(INDEX('Lease Cycles'!$DY$22:$EE$22,1,CF248)=1,CF249&gt;0),1,1-INDEX('Lease Cycles'!$DD$22:$DJ$22,1,CF248)))),0)</f>
        <v>0</v>
      </c>
      <c r="CG257" s="24">
        <f>IF(CG250=1,IF('Lease Cycles'!$AJ$22=1,0,'Lease Cycles'!$D$22*INDEX('Lease Cycles'!$FH$22:$FN$22,1,CG248)*IF(INDEX('Lease Cycles'!$EF$22:$EL$22,1,CG248)=1,1,IF(OR(INDEX('Lease Cycles'!$DY$22:$EE$22,1,CG248)=1,CG249&gt;0),1,1-INDEX('Lease Cycles'!$DD$22:$DJ$22,1,CG248)))),0)</f>
        <v>0</v>
      </c>
      <c r="CH257" s="24">
        <f>IF(CH250=1,IF('Lease Cycles'!$AJ$22=1,0,'Lease Cycles'!$D$22*INDEX('Lease Cycles'!$FH$22:$FN$22,1,CH248)*IF(INDEX('Lease Cycles'!$EF$22:$EL$22,1,CH248)=1,1,IF(OR(INDEX('Lease Cycles'!$DY$22:$EE$22,1,CH248)=1,CH249&gt;0),1,1-INDEX('Lease Cycles'!$DD$22:$DJ$22,1,CH248)))),0)</f>
        <v>0</v>
      </c>
      <c r="CI257" s="24">
        <f>IF(CI250=1,IF('Lease Cycles'!$AJ$22=1,0,'Lease Cycles'!$D$22*INDEX('Lease Cycles'!$FH$22:$FN$22,1,CI248)*IF(INDEX('Lease Cycles'!$EF$22:$EL$22,1,CI248)=1,1,IF(OR(INDEX('Lease Cycles'!$DY$22:$EE$22,1,CI248)=1,CI249&gt;0),1,1-INDEX('Lease Cycles'!$DD$22:$DJ$22,1,CI248)))),0)</f>
        <v>0</v>
      </c>
      <c r="CJ257" s="24">
        <f>IF(CJ250=1,IF('Lease Cycles'!$AJ$22=1,0,'Lease Cycles'!$D$22*INDEX('Lease Cycles'!$FH$22:$FN$22,1,CJ248)*IF(INDEX('Lease Cycles'!$EF$22:$EL$22,1,CJ248)=1,1,IF(OR(INDEX('Lease Cycles'!$DY$22:$EE$22,1,CJ248)=1,CJ249&gt;0),1,1-INDEX('Lease Cycles'!$DD$22:$DJ$22,1,CJ248)))),0)</f>
        <v>0</v>
      </c>
      <c r="CK257" s="24">
        <f>IF(CK250=1,IF('Lease Cycles'!$AJ$22=1,0,'Lease Cycles'!$D$22*INDEX('Lease Cycles'!$FH$22:$FN$22,1,CK248)*IF(INDEX('Lease Cycles'!$EF$22:$EL$22,1,CK248)=1,1,IF(OR(INDEX('Lease Cycles'!$DY$22:$EE$22,1,CK248)=1,CK249&gt;0),1,1-INDEX('Lease Cycles'!$DD$22:$DJ$22,1,CK248)))),0)</f>
        <v>0</v>
      </c>
      <c r="CL257" s="24">
        <f>IF(CL250=1,IF('Lease Cycles'!$AJ$22=1,0,'Lease Cycles'!$D$22*INDEX('Lease Cycles'!$FH$22:$FN$22,1,CL248)*IF(INDEX('Lease Cycles'!$EF$22:$EL$22,1,CL248)=1,1,IF(OR(INDEX('Lease Cycles'!$DY$22:$EE$22,1,CL248)=1,CL249&gt;0),1,1-INDEX('Lease Cycles'!$DD$22:$DJ$22,1,CL248)))),0)</f>
        <v>0</v>
      </c>
      <c r="CM257" s="24">
        <f>IF(CM250=1,IF('Lease Cycles'!$AJ$22=1,0,'Lease Cycles'!$D$22*INDEX('Lease Cycles'!$FH$22:$FN$22,1,CM248)*IF(INDEX('Lease Cycles'!$EF$22:$EL$22,1,CM248)=1,1,IF(OR(INDEX('Lease Cycles'!$DY$22:$EE$22,1,CM248)=1,CM249&gt;0),1,1-INDEX('Lease Cycles'!$DD$22:$DJ$22,1,CM248)))),0)</f>
        <v>0</v>
      </c>
      <c r="CN257" s="24">
        <f>IF(CN250=1,IF('Lease Cycles'!$AJ$22=1,0,'Lease Cycles'!$D$22*INDEX('Lease Cycles'!$FH$22:$FN$22,1,CN248)*IF(INDEX('Lease Cycles'!$EF$22:$EL$22,1,CN248)=1,1,IF(OR(INDEX('Lease Cycles'!$DY$22:$EE$22,1,CN248)=1,CN249&gt;0),1,1-INDEX('Lease Cycles'!$DD$22:$DJ$22,1,CN248)))),0)</f>
        <v>0</v>
      </c>
      <c r="CO257" s="24">
        <f>IF(CO250=1,IF('Lease Cycles'!$AJ$22=1,0,'Lease Cycles'!$D$22*INDEX('Lease Cycles'!$FH$22:$FN$22,1,CO248)*IF(INDEX('Lease Cycles'!$EF$22:$EL$22,1,CO248)=1,1,IF(OR(INDEX('Lease Cycles'!$DY$22:$EE$22,1,CO248)=1,CO249&gt;0),1,1-INDEX('Lease Cycles'!$DD$22:$DJ$22,1,CO248)))),0)</f>
        <v>0</v>
      </c>
      <c r="CP257" s="24">
        <f>IF(CP250=1,IF('Lease Cycles'!$AJ$22=1,0,'Lease Cycles'!$D$22*INDEX('Lease Cycles'!$FH$22:$FN$22,1,CP248)*IF(INDEX('Lease Cycles'!$EF$22:$EL$22,1,CP248)=1,1,IF(OR(INDEX('Lease Cycles'!$DY$22:$EE$22,1,CP248)=1,CP249&gt;0),1,1-INDEX('Lease Cycles'!$DD$22:$DJ$22,1,CP248)))),0)</f>
        <v>0</v>
      </c>
      <c r="CQ257" s="24">
        <f>IF(CQ250=1,IF('Lease Cycles'!$AJ$22=1,0,'Lease Cycles'!$D$22*INDEX('Lease Cycles'!$FH$22:$FN$22,1,CQ248)*IF(INDEX('Lease Cycles'!$EF$22:$EL$22,1,CQ248)=1,1,IF(OR(INDEX('Lease Cycles'!$DY$22:$EE$22,1,CQ248)=1,CQ249&gt;0),1,1-INDEX('Lease Cycles'!$DD$22:$DJ$22,1,CQ248)))),0)</f>
        <v>0</v>
      </c>
      <c r="CR257" s="24">
        <f>IF(CR250=1,IF('Lease Cycles'!$AJ$22=1,0,'Lease Cycles'!$D$22*INDEX('Lease Cycles'!$FH$22:$FN$22,1,CR248)*IF(INDEX('Lease Cycles'!$EF$22:$EL$22,1,CR248)=1,1,IF(OR(INDEX('Lease Cycles'!$DY$22:$EE$22,1,CR248)=1,CR249&gt;0),1,1-INDEX('Lease Cycles'!$DD$22:$DJ$22,1,CR248)))),0)</f>
        <v>0</v>
      </c>
      <c r="CS257" s="24">
        <f>IF(CS250=1,IF('Lease Cycles'!$AJ$22=1,0,'Lease Cycles'!$D$22*INDEX('Lease Cycles'!$FH$22:$FN$22,1,CS248)*IF(INDEX('Lease Cycles'!$EF$22:$EL$22,1,CS248)=1,1,IF(OR(INDEX('Lease Cycles'!$DY$22:$EE$22,1,CS248)=1,CS249&gt;0),1,1-INDEX('Lease Cycles'!$DD$22:$DJ$22,1,CS248)))),0)</f>
        <v>0</v>
      </c>
      <c r="CT257" s="24">
        <f>IF(CT250=1,IF('Lease Cycles'!$AJ$22=1,0,'Lease Cycles'!$D$22*INDEX('Lease Cycles'!$FH$22:$FN$22,1,CT248)*IF(INDEX('Lease Cycles'!$EF$22:$EL$22,1,CT248)=1,1,IF(OR(INDEX('Lease Cycles'!$DY$22:$EE$22,1,CT248)=1,CT249&gt;0),1,1-INDEX('Lease Cycles'!$DD$22:$DJ$22,1,CT248)))),0)</f>
        <v>0</v>
      </c>
      <c r="CU257" s="24">
        <f>IF(CU250=1,IF('Lease Cycles'!$AJ$22=1,0,'Lease Cycles'!$D$22*INDEX('Lease Cycles'!$FH$22:$FN$22,1,CU248)*IF(INDEX('Lease Cycles'!$EF$22:$EL$22,1,CU248)=1,1,IF(OR(INDEX('Lease Cycles'!$DY$22:$EE$22,1,CU248)=1,CU249&gt;0),1,1-INDEX('Lease Cycles'!$DD$22:$DJ$22,1,CU248)))),0)</f>
        <v>0</v>
      </c>
      <c r="CV257" s="24">
        <f>IF(CV250=1,IF('Lease Cycles'!$AJ$22=1,0,'Lease Cycles'!$D$22*INDEX('Lease Cycles'!$FH$22:$FN$22,1,CV248)*IF(INDEX('Lease Cycles'!$EF$22:$EL$22,1,CV248)=1,1,IF(OR(INDEX('Lease Cycles'!$DY$22:$EE$22,1,CV248)=1,CV249&gt;0),1,1-INDEX('Lease Cycles'!$DD$22:$DJ$22,1,CV248)))),0)</f>
        <v>0</v>
      </c>
      <c r="CW257" s="24">
        <f>IF(CW250=1,IF('Lease Cycles'!$AJ$22=1,0,'Lease Cycles'!$D$22*INDEX('Lease Cycles'!$FH$22:$FN$22,1,CW248)*IF(INDEX('Lease Cycles'!$EF$22:$EL$22,1,CW248)=1,1,IF(OR(INDEX('Lease Cycles'!$DY$22:$EE$22,1,CW248)=1,CW249&gt;0),1,1-INDEX('Lease Cycles'!$DD$22:$DJ$22,1,CW248)))),0)</f>
        <v>0</v>
      </c>
      <c r="CX257" s="24">
        <f>IF(CX250=1,IF('Lease Cycles'!$AJ$22=1,0,'Lease Cycles'!$D$22*INDEX('Lease Cycles'!$FH$22:$FN$22,1,CX248)*IF(INDEX('Lease Cycles'!$EF$22:$EL$22,1,CX248)=1,1,IF(OR(INDEX('Lease Cycles'!$DY$22:$EE$22,1,CX248)=1,CX249&gt;0),1,1-INDEX('Lease Cycles'!$DD$22:$DJ$22,1,CX248)))),0)</f>
        <v>0</v>
      </c>
      <c r="CY257" s="24">
        <f>IF(CY250=1,IF('Lease Cycles'!$AJ$22=1,0,'Lease Cycles'!$D$22*INDEX('Lease Cycles'!$FH$22:$FN$22,1,CY248)*IF(INDEX('Lease Cycles'!$EF$22:$EL$22,1,CY248)=1,1,IF(OR(INDEX('Lease Cycles'!$DY$22:$EE$22,1,CY248)=1,CY249&gt;0),1,1-INDEX('Lease Cycles'!$DD$22:$DJ$22,1,CY248)))),0)</f>
        <v>0</v>
      </c>
      <c r="CZ257" s="24">
        <f>IF(CZ250=1,IF('Lease Cycles'!$AJ$22=1,0,'Lease Cycles'!$D$22*INDEX('Lease Cycles'!$FH$22:$FN$22,1,CZ248)*IF(INDEX('Lease Cycles'!$EF$22:$EL$22,1,CZ248)=1,1,IF(OR(INDEX('Lease Cycles'!$DY$22:$EE$22,1,CZ248)=1,CZ249&gt;0),1,1-INDEX('Lease Cycles'!$DD$22:$DJ$22,1,CZ248)))),0)</f>
        <v>0</v>
      </c>
      <c r="DA257" s="24">
        <f>IF(DA250=1,IF('Lease Cycles'!$AJ$22=1,0,'Lease Cycles'!$D$22*INDEX('Lease Cycles'!$FH$22:$FN$22,1,DA248)*IF(INDEX('Lease Cycles'!$EF$22:$EL$22,1,DA248)=1,1,IF(OR(INDEX('Lease Cycles'!$DY$22:$EE$22,1,DA248)=1,DA249&gt;0),1,1-INDEX('Lease Cycles'!$DD$22:$DJ$22,1,DA248)))),0)</f>
        <v>0</v>
      </c>
      <c r="DB257" s="24">
        <f>IF(DB250=1,IF('Lease Cycles'!$AJ$22=1,0,'Lease Cycles'!$D$22*INDEX('Lease Cycles'!$FH$22:$FN$22,1,DB248)*IF(INDEX('Lease Cycles'!$EF$22:$EL$22,1,DB248)=1,1,IF(OR(INDEX('Lease Cycles'!$DY$22:$EE$22,1,DB248)=1,DB249&gt;0),1,1-INDEX('Lease Cycles'!$DD$22:$DJ$22,1,DB248)))),0)</f>
        <v>0</v>
      </c>
      <c r="DC257" s="24">
        <f>IF(DC250=1,IF('Lease Cycles'!$AJ$22=1,0,'Lease Cycles'!$D$22*INDEX('Lease Cycles'!$FH$22:$FN$22,1,DC248)*IF(INDEX('Lease Cycles'!$EF$22:$EL$22,1,DC248)=1,1,IF(OR(INDEX('Lease Cycles'!$DY$22:$EE$22,1,DC248)=1,DC249&gt;0),1,1-INDEX('Lease Cycles'!$DD$22:$DJ$22,1,DC248)))),0)</f>
        <v>0</v>
      </c>
      <c r="DD257" s="24">
        <f>IF(DD250=1,IF('Lease Cycles'!$AJ$22=1,0,'Lease Cycles'!$D$22*INDEX('Lease Cycles'!$FH$22:$FN$22,1,DD248)*IF(INDEX('Lease Cycles'!$EF$22:$EL$22,1,DD248)=1,1,IF(OR(INDEX('Lease Cycles'!$DY$22:$EE$22,1,DD248)=1,DD249&gt;0),1,1-INDEX('Lease Cycles'!$DD$22:$DJ$22,1,DD248)))),0)</f>
        <v>0</v>
      </c>
      <c r="DE257" s="24">
        <f>IF(DE250=1,IF('Lease Cycles'!$AJ$22=1,0,'Lease Cycles'!$D$22*INDEX('Lease Cycles'!$FH$22:$FN$22,1,DE248)*IF(INDEX('Lease Cycles'!$EF$22:$EL$22,1,DE248)=1,1,IF(OR(INDEX('Lease Cycles'!$DY$22:$EE$22,1,DE248)=1,DE249&gt;0),1,1-INDEX('Lease Cycles'!$DD$22:$DJ$22,1,DE248)))),0)</f>
        <v>0</v>
      </c>
      <c r="DF257" s="24">
        <f>IF(DF250=1,IF('Lease Cycles'!$AJ$22=1,0,'Lease Cycles'!$D$22*INDEX('Lease Cycles'!$FH$22:$FN$22,1,DF248)*IF(INDEX('Lease Cycles'!$EF$22:$EL$22,1,DF248)=1,1,IF(OR(INDEX('Lease Cycles'!$DY$22:$EE$22,1,DF248)=1,DF249&gt;0),1,1-INDEX('Lease Cycles'!$DD$22:$DJ$22,1,DF248)))),0)</f>
        <v>0</v>
      </c>
      <c r="DG257" s="24">
        <f>IF(DG250=1,IF('Lease Cycles'!$AJ$22=1,0,'Lease Cycles'!$D$22*INDEX('Lease Cycles'!$FH$22:$FN$22,1,DG248)*IF(INDEX('Lease Cycles'!$EF$22:$EL$22,1,DG248)=1,1,IF(OR(INDEX('Lease Cycles'!$DY$22:$EE$22,1,DG248)=1,DG249&gt;0),1,1-INDEX('Lease Cycles'!$DD$22:$DJ$22,1,DG248)))),0)</f>
        <v>0</v>
      </c>
      <c r="DH257" s="24">
        <f>IF(DH250=1,IF('Lease Cycles'!$AJ$22=1,0,'Lease Cycles'!$D$22*INDEX('Lease Cycles'!$FH$22:$FN$22,1,DH248)*IF(INDEX('Lease Cycles'!$EF$22:$EL$22,1,DH248)=1,1,IF(OR(INDEX('Lease Cycles'!$DY$22:$EE$22,1,DH248)=1,DH249&gt;0),1,1-INDEX('Lease Cycles'!$DD$22:$DJ$22,1,DH248)))),0)</f>
        <v>0</v>
      </c>
      <c r="DI257" s="24">
        <f>IF(DI250=1,IF('Lease Cycles'!$AJ$22=1,0,'Lease Cycles'!$D$22*INDEX('Lease Cycles'!$FH$22:$FN$22,1,DI248)*IF(INDEX('Lease Cycles'!$EF$22:$EL$22,1,DI248)=1,1,IF(OR(INDEX('Lease Cycles'!$DY$22:$EE$22,1,DI248)=1,DI249&gt;0),1,1-INDEX('Lease Cycles'!$DD$22:$DJ$22,1,DI248)))),0)</f>
        <v>0</v>
      </c>
      <c r="DJ257" s="24">
        <f>IF(DJ250=1,IF('Lease Cycles'!$AJ$22=1,0,'Lease Cycles'!$D$22*INDEX('Lease Cycles'!$FH$22:$FN$22,1,DJ248)*IF(INDEX('Lease Cycles'!$EF$22:$EL$22,1,DJ248)=1,1,IF(OR(INDEX('Lease Cycles'!$DY$22:$EE$22,1,DJ248)=1,DJ249&gt;0),1,1-INDEX('Lease Cycles'!$DD$22:$DJ$22,1,DJ248)))),0)</f>
        <v>0</v>
      </c>
      <c r="DK257" s="24">
        <f>IF(DK250=1,IF('Lease Cycles'!$AJ$22=1,0,'Lease Cycles'!$D$22*INDEX('Lease Cycles'!$FH$22:$FN$22,1,DK248)*IF(INDEX('Lease Cycles'!$EF$22:$EL$22,1,DK248)=1,1,IF(OR(INDEX('Lease Cycles'!$DY$22:$EE$22,1,DK248)=1,DK249&gt;0),1,1-INDEX('Lease Cycles'!$DD$22:$DJ$22,1,DK248)))),0)</f>
        <v>0</v>
      </c>
      <c r="DL257" s="24">
        <f>IF(DL250=1,IF('Lease Cycles'!$AJ$22=1,0,'Lease Cycles'!$D$22*INDEX('Lease Cycles'!$FH$22:$FN$22,1,DL248)*IF(INDEX('Lease Cycles'!$EF$22:$EL$22,1,DL248)=1,1,IF(OR(INDEX('Lease Cycles'!$DY$22:$EE$22,1,DL248)=1,DL249&gt;0),1,1-INDEX('Lease Cycles'!$DD$22:$DJ$22,1,DL248)))),0)</f>
        <v>0</v>
      </c>
      <c r="DM257" s="24">
        <f>IF(DM250=1,IF('Lease Cycles'!$AJ$22=1,0,'Lease Cycles'!$D$22*INDEX('Lease Cycles'!$FH$22:$FN$22,1,DM248)*IF(INDEX('Lease Cycles'!$EF$22:$EL$22,1,DM248)=1,1,IF(OR(INDEX('Lease Cycles'!$DY$22:$EE$22,1,DM248)=1,DM249&gt;0),1,1-INDEX('Lease Cycles'!$DD$22:$DJ$22,1,DM248)))),0)</f>
        <v>0</v>
      </c>
      <c r="DN257" s="24">
        <f>IF(DN250=1,IF('Lease Cycles'!$AJ$22=1,0,'Lease Cycles'!$D$22*INDEX('Lease Cycles'!$FH$22:$FN$22,1,DN248)*IF(INDEX('Lease Cycles'!$EF$22:$EL$22,1,DN248)=1,1,IF(OR(INDEX('Lease Cycles'!$DY$22:$EE$22,1,DN248)=1,DN249&gt;0),1,1-INDEX('Lease Cycles'!$DD$22:$DJ$22,1,DN248)))),0)</f>
        <v>0</v>
      </c>
      <c r="DO257" s="24">
        <f>IF(DO250=1,IF('Lease Cycles'!$AJ$22=1,0,'Lease Cycles'!$D$22*INDEX('Lease Cycles'!$FH$22:$FN$22,1,DO248)*IF(INDEX('Lease Cycles'!$EF$22:$EL$22,1,DO248)=1,1,IF(OR(INDEX('Lease Cycles'!$DY$22:$EE$22,1,DO248)=1,DO249&gt;0),1,1-INDEX('Lease Cycles'!$DD$22:$DJ$22,1,DO248)))),0)</f>
        <v>0</v>
      </c>
      <c r="DP257" s="24">
        <f>IF(DP250=1,IF('Lease Cycles'!$AJ$22=1,0,'Lease Cycles'!$D$22*INDEX('Lease Cycles'!$FH$22:$FN$22,1,DP248)*IF(INDEX('Lease Cycles'!$EF$22:$EL$22,1,DP248)=1,1,IF(OR(INDEX('Lease Cycles'!$DY$22:$EE$22,1,DP248)=1,DP249&gt;0),1,1-INDEX('Lease Cycles'!$DD$22:$DJ$22,1,DP248)))),0)</f>
        <v>0</v>
      </c>
      <c r="DQ257" s="24">
        <f>IF(DQ250=1,IF('Lease Cycles'!$AJ$22=1,0,'Lease Cycles'!$D$22*INDEX('Lease Cycles'!$FH$22:$FN$22,1,DQ248)*IF(INDEX('Lease Cycles'!$EF$22:$EL$22,1,DQ248)=1,1,IF(OR(INDEX('Lease Cycles'!$DY$22:$EE$22,1,DQ248)=1,DQ249&gt;0),1,1-INDEX('Lease Cycles'!$DD$22:$DJ$22,1,DQ248)))),0)</f>
        <v>0</v>
      </c>
      <c r="DR257" s="24">
        <f>IF(DR250=1,IF('Lease Cycles'!$AJ$22=1,0,'Lease Cycles'!$D$22*INDEX('Lease Cycles'!$FH$22:$FN$22,1,DR248)*IF(INDEX('Lease Cycles'!$EF$22:$EL$22,1,DR248)=1,1,IF(OR(INDEX('Lease Cycles'!$DY$22:$EE$22,1,DR248)=1,DR249&gt;0),1,1-INDEX('Lease Cycles'!$DD$22:$DJ$22,1,DR248)))),0)</f>
        <v>0</v>
      </c>
      <c r="DS257" s="24">
        <f>IF(DS250=1,IF('Lease Cycles'!$AJ$22=1,0,'Lease Cycles'!$D$22*INDEX('Lease Cycles'!$FH$22:$FN$22,1,DS248)*IF(INDEX('Lease Cycles'!$EF$22:$EL$22,1,DS248)=1,1,IF(OR(INDEX('Lease Cycles'!$DY$22:$EE$22,1,DS248)=1,DS249&gt;0),1,1-INDEX('Lease Cycles'!$DD$22:$DJ$22,1,DS248)))),0)</f>
        <v>0</v>
      </c>
      <c r="DT257" s="24">
        <f>IF(DT250=1,IF('Lease Cycles'!$AJ$22=1,0,'Lease Cycles'!$D$22*INDEX('Lease Cycles'!$FH$22:$FN$22,1,DT248)*IF(INDEX('Lease Cycles'!$EF$22:$EL$22,1,DT248)=1,1,IF(OR(INDEX('Lease Cycles'!$DY$22:$EE$22,1,DT248)=1,DT249&gt;0),1,1-INDEX('Lease Cycles'!$DD$22:$DJ$22,1,DT248)))),0)</f>
        <v>0</v>
      </c>
      <c r="DU257" s="24">
        <f>IF(DU250=1,IF('Lease Cycles'!$AJ$22=1,0,'Lease Cycles'!$D$22*INDEX('Lease Cycles'!$FH$22:$FN$22,1,DU248)*IF(INDEX('Lease Cycles'!$EF$22:$EL$22,1,DU248)=1,1,IF(OR(INDEX('Lease Cycles'!$DY$22:$EE$22,1,DU248)=1,DU249&gt;0),1,1-INDEX('Lease Cycles'!$DD$22:$DJ$22,1,DU248)))),0)</f>
        <v>0</v>
      </c>
      <c r="DV257" s="24">
        <f>IF(DV250=1,IF('Lease Cycles'!$AJ$22=1,0,'Lease Cycles'!$D$22*INDEX('Lease Cycles'!$FH$22:$FN$22,1,DV248)*IF(INDEX('Lease Cycles'!$EF$22:$EL$22,1,DV248)=1,1,IF(OR(INDEX('Lease Cycles'!$DY$22:$EE$22,1,DV248)=1,DV249&gt;0),1,1-INDEX('Lease Cycles'!$DD$22:$DJ$22,1,DV248)))),0)</f>
        <v>0</v>
      </c>
      <c r="DW257" s="24">
        <f>IF(DW250=1,IF('Lease Cycles'!$AJ$22=1,0,'Lease Cycles'!$D$22*INDEX('Lease Cycles'!$FH$22:$FN$22,1,DW248)*IF(INDEX('Lease Cycles'!$EF$22:$EL$22,1,DW248)=1,1,IF(OR(INDEX('Lease Cycles'!$DY$22:$EE$22,1,DW248)=1,DW249&gt;0),1,1-INDEX('Lease Cycles'!$DD$22:$DJ$22,1,DW248)))),0)</f>
        <v>0</v>
      </c>
      <c r="DX257" s="24">
        <f>IF(DX250=1,IF('Lease Cycles'!$AJ$22=1,0,'Lease Cycles'!$D$22*INDEX('Lease Cycles'!$FH$22:$FN$22,1,DX248)*IF(INDEX('Lease Cycles'!$EF$22:$EL$22,1,DX248)=1,1,IF(OR(INDEX('Lease Cycles'!$DY$22:$EE$22,1,DX248)=1,DX249&gt;0),1,1-INDEX('Lease Cycles'!$DD$22:$DJ$22,1,DX248)))),0)</f>
        <v>0</v>
      </c>
      <c r="DY257" s="24">
        <f>IF(DY250=1,IF('Lease Cycles'!$AJ$22=1,0,'Lease Cycles'!$D$22*INDEX('Lease Cycles'!$FH$22:$FN$22,1,DY248)*IF(INDEX('Lease Cycles'!$EF$22:$EL$22,1,DY248)=1,1,IF(OR(INDEX('Lease Cycles'!$DY$22:$EE$22,1,DY248)=1,DY249&gt;0),1,1-INDEX('Lease Cycles'!$DD$22:$DJ$22,1,DY248)))),0)</f>
        <v>0</v>
      </c>
      <c r="DZ257" s="24">
        <f>IF(DZ250=1,IF('Lease Cycles'!$AJ$22=1,0,'Lease Cycles'!$D$22*INDEX('Lease Cycles'!$FH$22:$FN$22,1,DZ248)*IF(INDEX('Lease Cycles'!$EF$22:$EL$22,1,DZ248)=1,1,IF(OR(INDEX('Lease Cycles'!$DY$22:$EE$22,1,DZ248)=1,DZ249&gt;0),1,1-INDEX('Lease Cycles'!$DD$22:$DJ$22,1,DZ248)))),0)</f>
        <v>0</v>
      </c>
      <c r="EA257" s="24">
        <f>IF(EA250=1,IF('Lease Cycles'!$AJ$22=1,0,'Lease Cycles'!$D$22*INDEX('Lease Cycles'!$FH$22:$FN$22,1,EA248)*IF(INDEX('Lease Cycles'!$EF$22:$EL$22,1,EA248)=1,1,IF(OR(INDEX('Lease Cycles'!$DY$22:$EE$22,1,EA248)=1,EA249&gt;0),1,1-INDEX('Lease Cycles'!$DD$22:$DJ$22,1,EA248)))),0)</f>
        <v>0</v>
      </c>
      <c r="EB257" s="24">
        <f>IF(EB250=1,IF('Lease Cycles'!$AJ$22=1,0,'Lease Cycles'!$D$22*INDEX('Lease Cycles'!$FH$22:$FN$22,1,EB248)*IF(INDEX('Lease Cycles'!$EF$22:$EL$22,1,EB248)=1,1,IF(OR(INDEX('Lease Cycles'!$DY$22:$EE$22,1,EB248)=1,EB249&gt;0),1,1-INDEX('Lease Cycles'!$DD$22:$DJ$22,1,EB248)))),0)</f>
        <v>0</v>
      </c>
      <c r="EC257" s="24">
        <f>IF(EC250=1,IF('Lease Cycles'!$AJ$22=1,0,'Lease Cycles'!$D$22*INDEX('Lease Cycles'!$FH$22:$FN$22,1,EC248)*IF(INDEX('Lease Cycles'!$EF$22:$EL$22,1,EC248)=1,1,IF(OR(INDEX('Lease Cycles'!$DY$22:$EE$22,1,EC248)=1,EC249&gt;0),1,1-INDEX('Lease Cycles'!$DD$22:$DJ$22,1,EC248)))),0)</f>
        <v>0</v>
      </c>
      <c r="ED257" s="24">
        <f>IF(ED250=1,IF('Lease Cycles'!$AJ$22=1,0,'Lease Cycles'!$D$22*INDEX('Lease Cycles'!$FH$22:$FN$22,1,ED248)*IF(INDEX('Lease Cycles'!$EF$22:$EL$22,1,ED248)=1,1,IF(OR(INDEX('Lease Cycles'!$DY$22:$EE$22,1,ED248)=1,ED249&gt;0),1,1-INDEX('Lease Cycles'!$DD$22:$DJ$22,1,ED248)))),0)</f>
        <v>0</v>
      </c>
      <c r="EE257" s="24">
        <f>IF(EE250=1,IF('Lease Cycles'!$AJ$22=1,0,'Lease Cycles'!$D$22*INDEX('Lease Cycles'!$FH$22:$FN$22,1,EE248)*IF(INDEX('Lease Cycles'!$EF$22:$EL$22,1,EE248)=1,1,IF(OR(INDEX('Lease Cycles'!$DY$22:$EE$22,1,EE248)=1,EE249&gt;0),1,1-INDEX('Lease Cycles'!$DD$22:$DJ$22,1,EE248)))),0)</f>
        <v>0</v>
      </c>
      <c r="EF257" s="24">
        <f>IF(EF250=1,IF('Lease Cycles'!$AJ$22=1,0,'Lease Cycles'!$D$22*INDEX('Lease Cycles'!$FH$22:$FN$22,1,EF248)*IF(INDEX('Lease Cycles'!$EF$22:$EL$22,1,EF248)=1,1,IF(OR(INDEX('Lease Cycles'!$DY$22:$EE$22,1,EF248)=1,EF249&gt;0),1,1-INDEX('Lease Cycles'!$DD$22:$DJ$22,1,EF248)))),0)</f>
        <v>0</v>
      </c>
      <c r="EG257" s="24">
        <f>IF(EG250=1,IF('Lease Cycles'!$AJ$22=1,0,'Lease Cycles'!$D$22*INDEX('Lease Cycles'!$FH$22:$FN$22,1,EG248)*IF(INDEX('Lease Cycles'!$EF$22:$EL$22,1,EG248)=1,1,IF(OR(INDEX('Lease Cycles'!$DY$22:$EE$22,1,EG248)=1,EG249&gt;0),1,1-INDEX('Lease Cycles'!$DD$22:$DJ$22,1,EG248)))),0)</f>
        <v>0</v>
      </c>
      <c r="EH257" s="24">
        <f>IF(EH250=1,IF('Lease Cycles'!$AJ$22=1,0,'Lease Cycles'!$D$22*INDEX('Lease Cycles'!$FH$22:$FN$22,1,EH248)*IF(INDEX('Lease Cycles'!$EF$22:$EL$22,1,EH248)=1,1,IF(OR(INDEX('Lease Cycles'!$DY$22:$EE$22,1,EH248)=1,EH249&gt;0),1,1-INDEX('Lease Cycles'!$DD$22:$DJ$22,1,EH248)))),0)</f>
        <v>0</v>
      </c>
      <c r="EI257" s="24">
        <f>IF(EI250=1,IF('Lease Cycles'!$AJ$22=1,0,'Lease Cycles'!$D$22*INDEX('Lease Cycles'!$FH$22:$FN$22,1,EI248)*IF(INDEX('Lease Cycles'!$EF$22:$EL$22,1,EI248)=1,1,IF(OR(INDEX('Lease Cycles'!$DY$22:$EE$22,1,EI248)=1,EI249&gt;0),1,1-INDEX('Lease Cycles'!$DD$22:$DJ$22,1,EI248)))),0)</f>
        <v>0</v>
      </c>
      <c r="EJ257" s="24">
        <f>IF(EJ250=1,IF('Lease Cycles'!$AJ$22=1,0,'Lease Cycles'!$D$22*INDEX('Lease Cycles'!$FH$22:$FN$22,1,EJ248)*IF(INDEX('Lease Cycles'!$EF$22:$EL$22,1,EJ248)=1,1,IF(OR(INDEX('Lease Cycles'!$DY$22:$EE$22,1,EJ248)=1,EJ249&gt;0),1,1-INDEX('Lease Cycles'!$DD$22:$DJ$22,1,EJ248)))),0)</f>
        <v>0</v>
      </c>
      <c r="EK257" s="24">
        <f>IF(EK250=1,IF('Lease Cycles'!$AJ$22=1,0,'Lease Cycles'!$D$22*INDEX('Lease Cycles'!$FH$22:$FN$22,1,EK248)*IF(INDEX('Lease Cycles'!$EF$22:$EL$22,1,EK248)=1,1,IF(OR(INDEX('Lease Cycles'!$DY$22:$EE$22,1,EK248)=1,EK249&gt;0),1,1-INDEX('Lease Cycles'!$DD$22:$DJ$22,1,EK248)))),0)</f>
        <v>0</v>
      </c>
      <c r="EL257" s="24">
        <f>IF(EL250=1,IF('Lease Cycles'!$AJ$22=1,0,'Lease Cycles'!$D$22*INDEX('Lease Cycles'!$FH$22:$FN$22,1,EL248)*IF(INDEX('Lease Cycles'!$EF$22:$EL$22,1,EL248)=1,1,IF(OR(INDEX('Lease Cycles'!$DY$22:$EE$22,1,EL248)=1,EL249&gt;0),1,1-INDEX('Lease Cycles'!$DD$22:$DJ$22,1,EL248)))),0)</f>
        <v>0</v>
      </c>
      <c r="EM257" s="24">
        <f>IF(EM250=1,IF('Lease Cycles'!$AJ$22=1,0,'Lease Cycles'!$D$22*INDEX('Lease Cycles'!$FH$22:$FN$22,1,EM248)*IF(INDEX('Lease Cycles'!$EF$22:$EL$22,1,EM248)=1,1,IF(OR(INDEX('Lease Cycles'!$DY$22:$EE$22,1,EM248)=1,EM249&gt;0),1,1-INDEX('Lease Cycles'!$DD$22:$DJ$22,1,EM248)))),0)</f>
        <v>0</v>
      </c>
      <c r="EN257" s="24">
        <f>IF(EN250=1,IF('Lease Cycles'!$AJ$22=1,0,'Lease Cycles'!$D$22*INDEX('Lease Cycles'!$FH$22:$FN$22,1,EN248)*IF(INDEX('Lease Cycles'!$EF$22:$EL$22,1,EN248)=1,1,IF(OR(INDEX('Lease Cycles'!$DY$22:$EE$22,1,EN248)=1,EN249&gt;0),1,1-INDEX('Lease Cycles'!$DD$22:$DJ$22,1,EN248)))),0)</f>
        <v>0</v>
      </c>
      <c r="EO257" s="24">
        <f>IF(EO250=1,IF('Lease Cycles'!$AJ$22=1,0,'Lease Cycles'!$D$22*INDEX('Lease Cycles'!$FH$22:$FN$22,1,EO248)*IF(INDEX('Lease Cycles'!$EF$22:$EL$22,1,EO248)=1,1,IF(OR(INDEX('Lease Cycles'!$DY$22:$EE$22,1,EO248)=1,EO249&gt;0),1,1-INDEX('Lease Cycles'!$DD$22:$DJ$22,1,EO248)))),0)</f>
        <v>0</v>
      </c>
      <c r="EP257" s="24">
        <f>IF(EP250=1,IF('Lease Cycles'!$AJ$22=1,0,'Lease Cycles'!$D$22*INDEX('Lease Cycles'!$FH$22:$FN$22,1,EP248)*IF(INDEX('Lease Cycles'!$EF$22:$EL$22,1,EP248)=1,1,IF(OR(INDEX('Lease Cycles'!$DY$22:$EE$22,1,EP248)=1,EP249&gt;0),1,1-INDEX('Lease Cycles'!$DD$22:$DJ$22,1,EP248)))),0)</f>
        <v>0</v>
      </c>
      <c r="EQ257" s="24">
        <f>IF(EQ250=1,IF('Lease Cycles'!$AJ$22=1,0,'Lease Cycles'!$D$22*INDEX('Lease Cycles'!$FH$22:$FN$22,1,EQ248)*IF(INDEX('Lease Cycles'!$EF$22:$EL$22,1,EQ248)=1,1,IF(OR(INDEX('Lease Cycles'!$DY$22:$EE$22,1,EQ248)=1,EQ249&gt;0),1,1-INDEX('Lease Cycles'!$DD$22:$DJ$22,1,EQ248)))),0)</f>
        <v>0</v>
      </c>
      <c r="ER257" s="24">
        <f>IF(ER250=1,IF('Lease Cycles'!$AJ$22=1,0,'Lease Cycles'!$D$22*INDEX('Lease Cycles'!$FH$22:$FN$22,1,ER248)*IF(INDEX('Lease Cycles'!$EF$22:$EL$22,1,ER248)=1,1,IF(OR(INDEX('Lease Cycles'!$DY$22:$EE$22,1,ER248)=1,ER249&gt;0),1,1-INDEX('Lease Cycles'!$DD$22:$DJ$22,1,ER248)))),0)</f>
        <v>0</v>
      </c>
      <c r="ES257" s="24">
        <f>IF(ES250=1,IF('Lease Cycles'!$AJ$22=1,0,'Lease Cycles'!$D$22*INDEX('Lease Cycles'!$FH$22:$FN$22,1,ES248)*IF(INDEX('Lease Cycles'!$EF$22:$EL$22,1,ES248)=1,1,IF(OR(INDEX('Lease Cycles'!$DY$22:$EE$22,1,ES248)=1,ES249&gt;0),1,1-INDEX('Lease Cycles'!$DD$22:$DJ$22,1,ES248)))),0)</f>
        <v>0</v>
      </c>
      <c r="ET257" s="24">
        <f>IF(ET250=1,IF('Lease Cycles'!$AJ$22=1,0,'Lease Cycles'!$D$22*INDEX('Lease Cycles'!$FH$22:$FN$22,1,ET248)*IF(INDEX('Lease Cycles'!$EF$22:$EL$22,1,ET248)=1,1,IF(OR(INDEX('Lease Cycles'!$DY$22:$EE$22,1,ET248)=1,ET249&gt;0),1,1-INDEX('Lease Cycles'!$DD$22:$DJ$22,1,ET248)))),0)</f>
        <v>0</v>
      </c>
    </row>
    <row r="258">
      <c r="A258" s="103">
        <v>15</v>
      </c>
      <c r="B258" s="23" t="str">
        <f>IF('Lease Cycles'!$B$22="","(empty slot)",'Lease Cycles'!$B$22)</f>
        <v>(empty slot)</v>
      </c>
      <c r="C258" s="23" t="s">
        <v>687</v>
      </c>
      <c r="D258" s="104" t="s">
        <v>688</v>
      </c>
      <c r="E258" s="25">
        <f>'Lease Cycles'!$AL$22</f>
        <v>0</v>
      </c>
      <c r="G258" s="24">
        <f>SUM(S258:AD258)</f>
        <v>0</v>
      </c>
      <c r="H258" s="24">
        <f>SUM(AE258:AP258)</f>
        <v>0</v>
      </c>
      <c r="I258" s="24">
        <f>SUM(AQ258:BB258)</f>
        <v>0</v>
      </c>
      <c r="J258" s="24">
        <f>SUM(BC258:BN258)</f>
        <v>0</v>
      </c>
      <c r="K258" s="24">
        <f>SUM(BO258:BZ258)</f>
        <v>0</v>
      </c>
      <c r="L258" s="24">
        <f>SUM(CA258:CL258)</f>
        <v>0</v>
      </c>
      <c r="M258" s="24">
        <f>SUM(CM258:CX258)</f>
        <v>0</v>
      </c>
      <c r="N258" s="24">
        <f>SUM(CY258:DJ258)</f>
        <v>0</v>
      </c>
      <c r="O258" s="24">
        <f>SUM(DK258:DV258)</f>
        <v>0</v>
      </c>
      <c r="P258" s="24">
        <f>SUM(DW258:EH258)</f>
        <v>0</v>
      </c>
      <c r="Q258" s="24">
        <f>SUM(EI258:ET258)</f>
        <v>0</v>
      </c>
      <c r="S258" s="24">
        <f>IF(S250=1,'Lease Cycles'!$D$22*IF(INDEX('Lease Cycles'!$EF$22:$EL$22,1,S248)=1,'Lease Cycles'!$AJ$22*INDEX('Lease Cycles'!$FO$22:$FU$22,1,S248)*INDEX('Lease Cycles'!$EM$22:$ES$22,1,S248)+'Lease Cycles'!$BE$22*IF(S249&lt;INDEX('Lease Cycles'!$FA$22:$FG$22,1,S248),0,1-INDEX('Lease Cycles'!$EM$22:$ES$22,1,S248)),IF(OR(INDEX('Lease Cycles'!$DY$22:$EE$22,1,S248)=1,S249&gt;0),1,1-INDEX('Lease Cycles'!$DD$22:$DJ$22,1,S248))*('Lease Cycles'!$AJ$22*INDEX('Lease Cycles'!$FO$22:$FU$22,1,S248)+'Lease Cycles'!$BE$22*(1-INDEX('Lease Cycles'!$FO$22:$FU$22,1,S248)))),0)</f>
        <v>0</v>
      </c>
      <c r="T258" s="24">
        <f>IF(T250=1,'Lease Cycles'!$D$22*IF(INDEX('Lease Cycles'!$EF$22:$EL$22,1,T248)=1,'Lease Cycles'!$AJ$22*INDEX('Lease Cycles'!$FO$22:$FU$22,1,T248)*INDEX('Lease Cycles'!$EM$22:$ES$22,1,T248)+'Lease Cycles'!$BE$22*IF(T249&lt;INDEX('Lease Cycles'!$FA$22:$FG$22,1,T248),0,1-INDEX('Lease Cycles'!$EM$22:$ES$22,1,T248)),IF(OR(INDEX('Lease Cycles'!$DY$22:$EE$22,1,T248)=1,T249&gt;0),1,1-INDEX('Lease Cycles'!$DD$22:$DJ$22,1,T248))*('Lease Cycles'!$AJ$22*INDEX('Lease Cycles'!$FO$22:$FU$22,1,T248)+'Lease Cycles'!$BE$22*(1-INDEX('Lease Cycles'!$FO$22:$FU$22,1,T248)))),0)</f>
        <v>0</v>
      </c>
      <c r="U258" s="24">
        <f>IF(U250=1,'Lease Cycles'!$D$22*IF(INDEX('Lease Cycles'!$EF$22:$EL$22,1,U248)=1,'Lease Cycles'!$AJ$22*INDEX('Lease Cycles'!$FO$22:$FU$22,1,U248)*INDEX('Lease Cycles'!$EM$22:$ES$22,1,U248)+'Lease Cycles'!$BE$22*IF(U249&lt;INDEX('Lease Cycles'!$FA$22:$FG$22,1,U248),0,1-INDEX('Lease Cycles'!$EM$22:$ES$22,1,U248)),IF(OR(INDEX('Lease Cycles'!$DY$22:$EE$22,1,U248)=1,U249&gt;0),1,1-INDEX('Lease Cycles'!$DD$22:$DJ$22,1,U248))*('Lease Cycles'!$AJ$22*INDEX('Lease Cycles'!$FO$22:$FU$22,1,U248)+'Lease Cycles'!$BE$22*(1-INDEX('Lease Cycles'!$FO$22:$FU$22,1,U248)))),0)</f>
        <v>0</v>
      </c>
      <c r="V258" s="24">
        <f>IF(V250=1,'Lease Cycles'!$D$22*IF(INDEX('Lease Cycles'!$EF$22:$EL$22,1,V248)=1,'Lease Cycles'!$AJ$22*INDEX('Lease Cycles'!$FO$22:$FU$22,1,V248)*INDEX('Lease Cycles'!$EM$22:$ES$22,1,V248)+'Lease Cycles'!$BE$22*IF(V249&lt;INDEX('Lease Cycles'!$FA$22:$FG$22,1,V248),0,1-INDEX('Lease Cycles'!$EM$22:$ES$22,1,V248)),IF(OR(INDEX('Lease Cycles'!$DY$22:$EE$22,1,V248)=1,V249&gt;0),1,1-INDEX('Lease Cycles'!$DD$22:$DJ$22,1,V248))*('Lease Cycles'!$AJ$22*INDEX('Lease Cycles'!$FO$22:$FU$22,1,V248)+'Lease Cycles'!$BE$22*(1-INDEX('Lease Cycles'!$FO$22:$FU$22,1,V248)))),0)</f>
        <v>0</v>
      </c>
      <c r="W258" s="24">
        <f>IF(W250=1,'Lease Cycles'!$D$22*IF(INDEX('Lease Cycles'!$EF$22:$EL$22,1,W248)=1,'Lease Cycles'!$AJ$22*INDEX('Lease Cycles'!$FO$22:$FU$22,1,W248)*INDEX('Lease Cycles'!$EM$22:$ES$22,1,W248)+'Lease Cycles'!$BE$22*IF(W249&lt;INDEX('Lease Cycles'!$FA$22:$FG$22,1,W248),0,1-INDEX('Lease Cycles'!$EM$22:$ES$22,1,W248)),IF(OR(INDEX('Lease Cycles'!$DY$22:$EE$22,1,W248)=1,W249&gt;0),1,1-INDEX('Lease Cycles'!$DD$22:$DJ$22,1,W248))*('Lease Cycles'!$AJ$22*INDEX('Lease Cycles'!$FO$22:$FU$22,1,W248)+'Lease Cycles'!$BE$22*(1-INDEX('Lease Cycles'!$FO$22:$FU$22,1,W248)))),0)</f>
        <v>0</v>
      </c>
      <c r="X258" s="24">
        <f>IF(X250=1,'Lease Cycles'!$D$22*IF(INDEX('Lease Cycles'!$EF$22:$EL$22,1,X248)=1,'Lease Cycles'!$AJ$22*INDEX('Lease Cycles'!$FO$22:$FU$22,1,X248)*INDEX('Lease Cycles'!$EM$22:$ES$22,1,X248)+'Lease Cycles'!$BE$22*IF(X249&lt;INDEX('Lease Cycles'!$FA$22:$FG$22,1,X248),0,1-INDEX('Lease Cycles'!$EM$22:$ES$22,1,X248)),IF(OR(INDEX('Lease Cycles'!$DY$22:$EE$22,1,X248)=1,X249&gt;0),1,1-INDEX('Lease Cycles'!$DD$22:$DJ$22,1,X248))*('Lease Cycles'!$AJ$22*INDEX('Lease Cycles'!$FO$22:$FU$22,1,X248)+'Lease Cycles'!$BE$22*(1-INDEX('Lease Cycles'!$FO$22:$FU$22,1,X248)))),0)</f>
        <v>0</v>
      </c>
      <c r="Y258" s="24">
        <f>IF(Y250=1,'Lease Cycles'!$D$22*IF(INDEX('Lease Cycles'!$EF$22:$EL$22,1,Y248)=1,'Lease Cycles'!$AJ$22*INDEX('Lease Cycles'!$FO$22:$FU$22,1,Y248)*INDEX('Lease Cycles'!$EM$22:$ES$22,1,Y248)+'Lease Cycles'!$BE$22*IF(Y249&lt;INDEX('Lease Cycles'!$FA$22:$FG$22,1,Y248),0,1-INDEX('Lease Cycles'!$EM$22:$ES$22,1,Y248)),IF(OR(INDEX('Lease Cycles'!$DY$22:$EE$22,1,Y248)=1,Y249&gt;0),1,1-INDEX('Lease Cycles'!$DD$22:$DJ$22,1,Y248))*('Lease Cycles'!$AJ$22*INDEX('Lease Cycles'!$FO$22:$FU$22,1,Y248)+'Lease Cycles'!$BE$22*(1-INDEX('Lease Cycles'!$FO$22:$FU$22,1,Y248)))),0)</f>
        <v>0</v>
      </c>
      <c r="Z258" s="24">
        <f>IF(Z250=1,'Lease Cycles'!$D$22*IF(INDEX('Lease Cycles'!$EF$22:$EL$22,1,Z248)=1,'Lease Cycles'!$AJ$22*INDEX('Lease Cycles'!$FO$22:$FU$22,1,Z248)*INDEX('Lease Cycles'!$EM$22:$ES$22,1,Z248)+'Lease Cycles'!$BE$22*IF(Z249&lt;INDEX('Lease Cycles'!$FA$22:$FG$22,1,Z248),0,1-INDEX('Lease Cycles'!$EM$22:$ES$22,1,Z248)),IF(OR(INDEX('Lease Cycles'!$DY$22:$EE$22,1,Z248)=1,Z249&gt;0),1,1-INDEX('Lease Cycles'!$DD$22:$DJ$22,1,Z248))*('Lease Cycles'!$AJ$22*INDEX('Lease Cycles'!$FO$22:$FU$22,1,Z248)+'Lease Cycles'!$BE$22*(1-INDEX('Lease Cycles'!$FO$22:$FU$22,1,Z248)))),0)</f>
        <v>0</v>
      </c>
      <c r="AA258" s="24">
        <f>IF(AA250=1,'Lease Cycles'!$D$22*IF(INDEX('Lease Cycles'!$EF$22:$EL$22,1,AA248)=1,'Lease Cycles'!$AJ$22*INDEX('Lease Cycles'!$FO$22:$FU$22,1,AA248)*INDEX('Lease Cycles'!$EM$22:$ES$22,1,AA248)+'Lease Cycles'!$BE$22*IF(AA249&lt;INDEX('Lease Cycles'!$FA$22:$FG$22,1,AA248),0,1-INDEX('Lease Cycles'!$EM$22:$ES$22,1,AA248)),IF(OR(INDEX('Lease Cycles'!$DY$22:$EE$22,1,AA248)=1,AA249&gt;0),1,1-INDEX('Lease Cycles'!$DD$22:$DJ$22,1,AA248))*('Lease Cycles'!$AJ$22*INDEX('Lease Cycles'!$FO$22:$FU$22,1,AA248)+'Lease Cycles'!$BE$22*(1-INDEX('Lease Cycles'!$FO$22:$FU$22,1,AA248)))),0)</f>
        <v>0</v>
      </c>
      <c r="AB258" s="24">
        <f>IF(AB250=1,'Lease Cycles'!$D$22*IF(INDEX('Lease Cycles'!$EF$22:$EL$22,1,AB248)=1,'Lease Cycles'!$AJ$22*INDEX('Lease Cycles'!$FO$22:$FU$22,1,AB248)*INDEX('Lease Cycles'!$EM$22:$ES$22,1,AB248)+'Lease Cycles'!$BE$22*IF(AB249&lt;INDEX('Lease Cycles'!$FA$22:$FG$22,1,AB248),0,1-INDEX('Lease Cycles'!$EM$22:$ES$22,1,AB248)),IF(OR(INDEX('Lease Cycles'!$DY$22:$EE$22,1,AB248)=1,AB249&gt;0),1,1-INDEX('Lease Cycles'!$DD$22:$DJ$22,1,AB248))*('Lease Cycles'!$AJ$22*INDEX('Lease Cycles'!$FO$22:$FU$22,1,AB248)+'Lease Cycles'!$BE$22*(1-INDEX('Lease Cycles'!$FO$22:$FU$22,1,AB248)))),0)</f>
        <v>0</v>
      </c>
      <c r="AC258" s="24">
        <f>IF(AC250=1,'Lease Cycles'!$D$22*IF(INDEX('Lease Cycles'!$EF$22:$EL$22,1,AC248)=1,'Lease Cycles'!$AJ$22*INDEX('Lease Cycles'!$FO$22:$FU$22,1,AC248)*INDEX('Lease Cycles'!$EM$22:$ES$22,1,AC248)+'Lease Cycles'!$BE$22*IF(AC249&lt;INDEX('Lease Cycles'!$FA$22:$FG$22,1,AC248),0,1-INDEX('Lease Cycles'!$EM$22:$ES$22,1,AC248)),IF(OR(INDEX('Lease Cycles'!$DY$22:$EE$22,1,AC248)=1,AC249&gt;0),1,1-INDEX('Lease Cycles'!$DD$22:$DJ$22,1,AC248))*('Lease Cycles'!$AJ$22*INDEX('Lease Cycles'!$FO$22:$FU$22,1,AC248)+'Lease Cycles'!$BE$22*(1-INDEX('Lease Cycles'!$FO$22:$FU$22,1,AC248)))),0)</f>
        <v>0</v>
      </c>
      <c r="AD258" s="24">
        <f>IF(AD250=1,'Lease Cycles'!$D$22*IF(INDEX('Lease Cycles'!$EF$22:$EL$22,1,AD248)=1,'Lease Cycles'!$AJ$22*INDEX('Lease Cycles'!$FO$22:$FU$22,1,AD248)*INDEX('Lease Cycles'!$EM$22:$ES$22,1,AD248)+'Lease Cycles'!$BE$22*IF(AD249&lt;INDEX('Lease Cycles'!$FA$22:$FG$22,1,AD248),0,1-INDEX('Lease Cycles'!$EM$22:$ES$22,1,AD248)),IF(OR(INDEX('Lease Cycles'!$DY$22:$EE$22,1,AD248)=1,AD249&gt;0),1,1-INDEX('Lease Cycles'!$DD$22:$DJ$22,1,AD248))*('Lease Cycles'!$AJ$22*INDEX('Lease Cycles'!$FO$22:$FU$22,1,AD248)+'Lease Cycles'!$BE$22*(1-INDEX('Lease Cycles'!$FO$22:$FU$22,1,AD248)))),0)</f>
        <v>0</v>
      </c>
      <c r="AE258" s="24">
        <f>IF(AE250=1,'Lease Cycles'!$D$22*IF(INDEX('Lease Cycles'!$EF$22:$EL$22,1,AE248)=1,'Lease Cycles'!$AJ$22*INDEX('Lease Cycles'!$FO$22:$FU$22,1,AE248)*INDEX('Lease Cycles'!$EM$22:$ES$22,1,AE248)+'Lease Cycles'!$BE$22*IF(AE249&lt;INDEX('Lease Cycles'!$FA$22:$FG$22,1,AE248),0,1-INDEX('Lease Cycles'!$EM$22:$ES$22,1,AE248)),IF(OR(INDEX('Lease Cycles'!$DY$22:$EE$22,1,AE248)=1,AE249&gt;0),1,1-INDEX('Lease Cycles'!$DD$22:$DJ$22,1,AE248))*('Lease Cycles'!$AJ$22*INDEX('Lease Cycles'!$FO$22:$FU$22,1,AE248)+'Lease Cycles'!$BE$22*(1-INDEX('Lease Cycles'!$FO$22:$FU$22,1,AE248)))),0)</f>
        <v>0</v>
      </c>
      <c r="AF258" s="24">
        <f>IF(AF250=1,'Lease Cycles'!$D$22*IF(INDEX('Lease Cycles'!$EF$22:$EL$22,1,AF248)=1,'Lease Cycles'!$AJ$22*INDEX('Lease Cycles'!$FO$22:$FU$22,1,AF248)*INDEX('Lease Cycles'!$EM$22:$ES$22,1,AF248)+'Lease Cycles'!$BE$22*IF(AF249&lt;INDEX('Lease Cycles'!$FA$22:$FG$22,1,AF248),0,1-INDEX('Lease Cycles'!$EM$22:$ES$22,1,AF248)),IF(OR(INDEX('Lease Cycles'!$DY$22:$EE$22,1,AF248)=1,AF249&gt;0),1,1-INDEX('Lease Cycles'!$DD$22:$DJ$22,1,AF248))*('Lease Cycles'!$AJ$22*INDEX('Lease Cycles'!$FO$22:$FU$22,1,AF248)+'Lease Cycles'!$BE$22*(1-INDEX('Lease Cycles'!$FO$22:$FU$22,1,AF248)))),0)</f>
        <v>0</v>
      </c>
      <c r="AG258" s="24">
        <f>IF(AG250=1,'Lease Cycles'!$D$22*IF(INDEX('Lease Cycles'!$EF$22:$EL$22,1,AG248)=1,'Lease Cycles'!$AJ$22*INDEX('Lease Cycles'!$FO$22:$FU$22,1,AG248)*INDEX('Lease Cycles'!$EM$22:$ES$22,1,AG248)+'Lease Cycles'!$BE$22*IF(AG249&lt;INDEX('Lease Cycles'!$FA$22:$FG$22,1,AG248),0,1-INDEX('Lease Cycles'!$EM$22:$ES$22,1,AG248)),IF(OR(INDEX('Lease Cycles'!$DY$22:$EE$22,1,AG248)=1,AG249&gt;0),1,1-INDEX('Lease Cycles'!$DD$22:$DJ$22,1,AG248))*('Lease Cycles'!$AJ$22*INDEX('Lease Cycles'!$FO$22:$FU$22,1,AG248)+'Lease Cycles'!$BE$22*(1-INDEX('Lease Cycles'!$FO$22:$FU$22,1,AG248)))),0)</f>
        <v>0</v>
      </c>
      <c r="AH258" s="24">
        <f>IF(AH250=1,'Lease Cycles'!$D$22*IF(INDEX('Lease Cycles'!$EF$22:$EL$22,1,AH248)=1,'Lease Cycles'!$AJ$22*INDEX('Lease Cycles'!$FO$22:$FU$22,1,AH248)*INDEX('Lease Cycles'!$EM$22:$ES$22,1,AH248)+'Lease Cycles'!$BE$22*IF(AH249&lt;INDEX('Lease Cycles'!$FA$22:$FG$22,1,AH248),0,1-INDEX('Lease Cycles'!$EM$22:$ES$22,1,AH248)),IF(OR(INDEX('Lease Cycles'!$DY$22:$EE$22,1,AH248)=1,AH249&gt;0),1,1-INDEX('Lease Cycles'!$DD$22:$DJ$22,1,AH248))*('Lease Cycles'!$AJ$22*INDEX('Lease Cycles'!$FO$22:$FU$22,1,AH248)+'Lease Cycles'!$BE$22*(1-INDEX('Lease Cycles'!$FO$22:$FU$22,1,AH248)))),0)</f>
        <v>0</v>
      </c>
      <c r="AI258" s="24">
        <f>IF(AI250=1,'Lease Cycles'!$D$22*IF(INDEX('Lease Cycles'!$EF$22:$EL$22,1,AI248)=1,'Lease Cycles'!$AJ$22*INDEX('Lease Cycles'!$FO$22:$FU$22,1,AI248)*INDEX('Lease Cycles'!$EM$22:$ES$22,1,AI248)+'Lease Cycles'!$BE$22*IF(AI249&lt;INDEX('Lease Cycles'!$FA$22:$FG$22,1,AI248),0,1-INDEX('Lease Cycles'!$EM$22:$ES$22,1,AI248)),IF(OR(INDEX('Lease Cycles'!$DY$22:$EE$22,1,AI248)=1,AI249&gt;0),1,1-INDEX('Lease Cycles'!$DD$22:$DJ$22,1,AI248))*('Lease Cycles'!$AJ$22*INDEX('Lease Cycles'!$FO$22:$FU$22,1,AI248)+'Lease Cycles'!$BE$22*(1-INDEX('Lease Cycles'!$FO$22:$FU$22,1,AI248)))),0)</f>
        <v>0</v>
      </c>
      <c r="AJ258" s="24">
        <f>IF(AJ250=1,'Lease Cycles'!$D$22*IF(INDEX('Lease Cycles'!$EF$22:$EL$22,1,AJ248)=1,'Lease Cycles'!$AJ$22*INDEX('Lease Cycles'!$FO$22:$FU$22,1,AJ248)*INDEX('Lease Cycles'!$EM$22:$ES$22,1,AJ248)+'Lease Cycles'!$BE$22*IF(AJ249&lt;INDEX('Lease Cycles'!$FA$22:$FG$22,1,AJ248),0,1-INDEX('Lease Cycles'!$EM$22:$ES$22,1,AJ248)),IF(OR(INDEX('Lease Cycles'!$DY$22:$EE$22,1,AJ248)=1,AJ249&gt;0),1,1-INDEX('Lease Cycles'!$DD$22:$DJ$22,1,AJ248))*('Lease Cycles'!$AJ$22*INDEX('Lease Cycles'!$FO$22:$FU$22,1,AJ248)+'Lease Cycles'!$BE$22*(1-INDEX('Lease Cycles'!$FO$22:$FU$22,1,AJ248)))),0)</f>
        <v>0</v>
      </c>
      <c r="AK258" s="24">
        <f>IF(AK250=1,'Lease Cycles'!$D$22*IF(INDEX('Lease Cycles'!$EF$22:$EL$22,1,AK248)=1,'Lease Cycles'!$AJ$22*INDEX('Lease Cycles'!$FO$22:$FU$22,1,AK248)*INDEX('Lease Cycles'!$EM$22:$ES$22,1,AK248)+'Lease Cycles'!$BE$22*IF(AK249&lt;INDEX('Lease Cycles'!$FA$22:$FG$22,1,AK248),0,1-INDEX('Lease Cycles'!$EM$22:$ES$22,1,AK248)),IF(OR(INDEX('Lease Cycles'!$DY$22:$EE$22,1,AK248)=1,AK249&gt;0),1,1-INDEX('Lease Cycles'!$DD$22:$DJ$22,1,AK248))*('Lease Cycles'!$AJ$22*INDEX('Lease Cycles'!$FO$22:$FU$22,1,AK248)+'Lease Cycles'!$BE$22*(1-INDEX('Lease Cycles'!$FO$22:$FU$22,1,AK248)))),0)</f>
        <v>0</v>
      </c>
      <c r="AL258" s="24">
        <f>IF(AL250=1,'Lease Cycles'!$D$22*IF(INDEX('Lease Cycles'!$EF$22:$EL$22,1,AL248)=1,'Lease Cycles'!$AJ$22*INDEX('Lease Cycles'!$FO$22:$FU$22,1,AL248)*INDEX('Lease Cycles'!$EM$22:$ES$22,1,AL248)+'Lease Cycles'!$BE$22*IF(AL249&lt;INDEX('Lease Cycles'!$FA$22:$FG$22,1,AL248),0,1-INDEX('Lease Cycles'!$EM$22:$ES$22,1,AL248)),IF(OR(INDEX('Lease Cycles'!$DY$22:$EE$22,1,AL248)=1,AL249&gt;0),1,1-INDEX('Lease Cycles'!$DD$22:$DJ$22,1,AL248))*('Lease Cycles'!$AJ$22*INDEX('Lease Cycles'!$FO$22:$FU$22,1,AL248)+'Lease Cycles'!$BE$22*(1-INDEX('Lease Cycles'!$FO$22:$FU$22,1,AL248)))),0)</f>
        <v>0</v>
      </c>
      <c r="AM258" s="24">
        <f>IF(AM250=1,'Lease Cycles'!$D$22*IF(INDEX('Lease Cycles'!$EF$22:$EL$22,1,AM248)=1,'Lease Cycles'!$AJ$22*INDEX('Lease Cycles'!$FO$22:$FU$22,1,AM248)*INDEX('Lease Cycles'!$EM$22:$ES$22,1,AM248)+'Lease Cycles'!$BE$22*IF(AM249&lt;INDEX('Lease Cycles'!$FA$22:$FG$22,1,AM248),0,1-INDEX('Lease Cycles'!$EM$22:$ES$22,1,AM248)),IF(OR(INDEX('Lease Cycles'!$DY$22:$EE$22,1,AM248)=1,AM249&gt;0),1,1-INDEX('Lease Cycles'!$DD$22:$DJ$22,1,AM248))*('Lease Cycles'!$AJ$22*INDEX('Lease Cycles'!$FO$22:$FU$22,1,AM248)+'Lease Cycles'!$BE$22*(1-INDEX('Lease Cycles'!$FO$22:$FU$22,1,AM248)))),0)</f>
        <v>0</v>
      </c>
      <c r="AN258" s="24">
        <f>IF(AN250=1,'Lease Cycles'!$D$22*IF(INDEX('Lease Cycles'!$EF$22:$EL$22,1,AN248)=1,'Lease Cycles'!$AJ$22*INDEX('Lease Cycles'!$FO$22:$FU$22,1,AN248)*INDEX('Lease Cycles'!$EM$22:$ES$22,1,AN248)+'Lease Cycles'!$BE$22*IF(AN249&lt;INDEX('Lease Cycles'!$FA$22:$FG$22,1,AN248),0,1-INDEX('Lease Cycles'!$EM$22:$ES$22,1,AN248)),IF(OR(INDEX('Lease Cycles'!$DY$22:$EE$22,1,AN248)=1,AN249&gt;0),1,1-INDEX('Lease Cycles'!$DD$22:$DJ$22,1,AN248))*('Lease Cycles'!$AJ$22*INDEX('Lease Cycles'!$FO$22:$FU$22,1,AN248)+'Lease Cycles'!$BE$22*(1-INDEX('Lease Cycles'!$FO$22:$FU$22,1,AN248)))),0)</f>
        <v>0</v>
      </c>
      <c r="AO258" s="24">
        <f>IF(AO250=1,'Lease Cycles'!$D$22*IF(INDEX('Lease Cycles'!$EF$22:$EL$22,1,AO248)=1,'Lease Cycles'!$AJ$22*INDEX('Lease Cycles'!$FO$22:$FU$22,1,AO248)*INDEX('Lease Cycles'!$EM$22:$ES$22,1,AO248)+'Lease Cycles'!$BE$22*IF(AO249&lt;INDEX('Lease Cycles'!$FA$22:$FG$22,1,AO248),0,1-INDEX('Lease Cycles'!$EM$22:$ES$22,1,AO248)),IF(OR(INDEX('Lease Cycles'!$DY$22:$EE$22,1,AO248)=1,AO249&gt;0),1,1-INDEX('Lease Cycles'!$DD$22:$DJ$22,1,AO248))*('Lease Cycles'!$AJ$22*INDEX('Lease Cycles'!$FO$22:$FU$22,1,AO248)+'Lease Cycles'!$BE$22*(1-INDEX('Lease Cycles'!$FO$22:$FU$22,1,AO248)))),0)</f>
        <v>0</v>
      </c>
      <c r="AP258" s="24">
        <f>IF(AP250=1,'Lease Cycles'!$D$22*IF(INDEX('Lease Cycles'!$EF$22:$EL$22,1,AP248)=1,'Lease Cycles'!$AJ$22*INDEX('Lease Cycles'!$FO$22:$FU$22,1,AP248)*INDEX('Lease Cycles'!$EM$22:$ES$22,1,AP248)+'Lease Cycles'!$BE$22*IF(AP249&lt;INDEX('Lease Cycles'!$FA$22:$FG$22,1,AP248),0,1-INDEX('Lease Cycles'!$EM$22:$ES$22,1,AP248)),IF(OR(INDEX('Lease Cycles'!$DY$22:$EE$22,1,AP248)=1,AP249&gt;0),1,1-INDEX('Lease Cycles'!$DD$22:$DJ$22,1,AP248))*('Lease Cycles'!$AJ$22*INDEX('Lease Cycles'!$FO$22:$FU$22,1,AP248)+'Lease Cycles'!$BE$22*(1-INDEX('Lease Cycles'!$FO$22:$FU$22,1,AP248)))),0)</f>
        <v>0</v>
      </c>
      <c r="AQ258" s="24">
        <f>IF(AQ250=1,'Lease Cycles'!$D$22*IF(INDEX('Lease Cycles'!$EF$22:$EL$22,1,AQ248)=1,'Lease Cycles'!$AJ$22*INDEX('Lease Cycles'!$FO$22:$FU$22,1,AQ248)*INDEX('Lease Cycles'!$EM$22:$ES$22,1,AQ248)+'Lease Cycles'!$BE$22*IF(AQ249&lt;INDEX('Lease Cycles'!$FA$22:$FG$22,1,AQ248),0,1-INDEX('Lease Cycles'!$EM$22:$ES$22,1,AQ248)),IF(OR(INDEX('Lease Cycles'!$DY$22:$EE$22,1,AQ248)=1,AQ249&gt;0),1,1-INDEX('Lease Cycles'!$DD$22:$DJ$22,1,AQ248))*('Lease Cycles'!$AJ$22*INDEX('Lease Cycles'!$FO$22:$FU$22,1,AQ248)+'Lease Cycles'!$BE$22*(1-INDEX('Lease Cycles'!$FO$22:$FU$22,1,AQ248)))),0)</f>
        <v>0</v>
      </c>
      <c r="AR258" s="24">
        <f>IF(AR250=1,'Lease Cycles'!$D$22*IF(INDEX('Lease Cycles'!$EF$22:$EL$22,1,AR248)=1,'Lease Cycles'!$AJ$22*INDEX('Lease Cycles'!$FO$22:$FU$22,1,AR248)*INDEX('Lease Cycles'!$EM$22:$ES$22,1,AR248)+'Lease Cycles'!$BE$22*IF(AR249&lt;INDEX('Lease Cycles'!$FA$22:$FG$22,1,AR248),0,1-INDEX('Lease Cycles'!$EM$22:$ES$22,1,AR248)),IF(OR(INDEX('Lease Cycles'!$DY$22:$EE$22,1,AR248)=1,AR249&gt;0),1,1-INDEX('Lease Cycles'!$DD$22:$DJ$22,1,AR248))*('Lease Cycles'!$AJ$22*INDEX('Lease Cycles'!$FO$22:$FU$22,1,AR248)+'Lease Cycles'!$BE$22*(1-INDEX('Lease Cycles'!$FO$22:$FU$22,1,AR248)))),0)</f>
        <v>0</v>
      </c>
      <c r="AS258" s="24">
        <f>IF(AS250=1,'Lease Cycles'!$D$22*IF(INDEX('Lease Cycles'!$EF$22:$EL$22,1,AS248)=1,'Lease Cycles'!$AJ$22*INDEX('Lease Cycles'!$FO$22:$FU$22,1,AS248)*INDEX('Lease Cycles'!$EM$22:$ES$22,1,AS248)+'Lease Cycles'!$BE$22*IF(AS249&lt;INDEX('Lease Cycles'!$FA$22:$FG$22,1,AS248),0,1-INDEX('Lease Cycles'!$EM$22:$ES$22,1,AS248)),IF(OR(INDEX('Lease Cycles'!$DY$22:$EE$22,1,AS248)=1,AS249&gt;0),1,1-INDEX('Lease Cycles'!$DD$22:$DJ$22,1,AS248))*('Lease Cycles'!$AJ$22*INDEX('Lease Cycles'!$FO$22:$FU$22,1,AS248)+'Lease Cycles'!$BE$22*(1-INDEX('Lease Cycles'!$FO$22:$FU$22,1,AS248)))),0)</f>
        <v>0</v>
      </c>
      <c r="AT258" s="24">
        <f>IF(AT250=1,'Lease Cycles'!$D$22*IF(INDEX('Lease Cycles'!$EF$22:$EL$22,1,AT248)=1,'Lease Cycles'!$AJ$22*INDEX('Lease Cycles'!$FO$22:$FU$22,1,AT248)*INDEX('Lease Cycles'!$EM$22:$ES$22,1,AT248)+'Lease Cycles'!$BE$22*IF(AT249&lt;INDEX('Lease Cycles'!$FA$22:$FG$22,1,AT248),0,1-INDEX('Lease Cycles'!$EM$22:$ES$22,1,AT248)),IF(OR(INDEX('Lease Cycles'!$DY$22:$EE$22,1,AT248)=1,AT249&gt;0),1,1-INDEX('Lease Cycles'!$DD$22:$DJ$22,1,AT248))*('Lease Cycles'!$AJ$22*INDEX('Lease Cycles'!$FO$22:$FU$22,1,AT248)+'Lease Cycles'!$BE$22*(1-INDEX('Lease Cycles'!$FO$22:$FU$22,1,AT248)))),0)</f>
        <v>0</v>
      </c>
      <c r="AU258" s="24">
        <f>IF(AU250=1,'Lease Cycles'!$D$22*IF(INDEX('Lease Cycles'!$EF$22:$EL$22,1,AU248)=1,'Lease Cycles'!$AJ$22*INDEX('Lease Cycles'!$FO$22:$FU$22,1,AU248)*INDEX('Lease Cycles'!$EM$22:$ES$22,1,AU248)+'Lease Cycles'!$BE$22*IF(AU249&lt;INDEX('Lease Cycles'!$FA$22:$FG$22,1,AU248),0,1-INDEX('Lease Cycles'!$EM$22:$ES$22,1,AU248)),IF(OR(INDEX('Lease Cycles'!$DY$22:$EE$22,1,AU248)=1,AU249&gt;0),1,1-INDEX('Lease Cycles'!$DD$22:$DJ$22,1,AU248))*('Lease Cycles'!$AJ$22*INDEX('Lease Cycles'!$FO$22:$FU$22,1,AU248)+'Lease Cycles'!$BE$22*(1-INDEX('Lease Cycles'!$FO$22:$FU$22,1,AU248)))),0)</f>
        <v>0</v>
      </c>
      <c r="AV258" s="24">
        <f>IF(AV250=1,'Lease Cycles'!$D$22*IF(INDEX('Lease Cycles'!$EF$22:$EL$22,1,AV248)=1,'Lease Cycles'!$AJ$22*INDEX('Lease Cycles'!$FO$22:$FU$22,1,AV248)*INDEX('Lease Cycles'!$EM$22:$ES$22,1,AV248)+'Lease Cycles'!$BE$22*IF(AV249&lt;INDEX('Lease Cycles'!$FA$22:$FG$22,1,AV248),0,1-INDEX('Lease Cycles'!$EM$22:$ES$22,1,AV248)),IF(OR(INDEX('Lease Cycles'!$DY$22:$EE$22,1,AV248)=1,AV249&gt;0),1,1-INDEX('Lease Cycles'!$DD$22:$DJ$22,1,AV248))*('Lease Cycles'!$AJ$22*INDEX('Lease Cycles'!$FO$22:$FU$22,1,AV248)+'Lease Cycles'!$BE$22*(1-INDEX('Lease Cycles'!$FO$22:$FU$22,1,AV248)))),0)</f>
        <v>0</v>
      </c>
      <c r="AW258" s="24">
        <f>IF(AW250=1,'Lease Cycles'!$D$22*IF(INDEX('Lease Cycles'!$EF$22:$EL$22,1,AW248)=1,'Lease Cycles'!$AJ$22*INDEX('Lease Cycles'!$FO$22:$FU$22,1,AW248)*INDEX('Lease Cycles'!$EM$22:$ES$22,1,AW248)+'Lease Cycles'!$BE$22*IF(AW249&lt;INDEX('Lease Cycles'!$FA$22:$FG$22,1,AW248),0,1-INDEX('Lease Cycles'!$EM$22:$ES$22,1,AW248)),IF(OR(INDEX('Lease Cycles'!$DY$22:$EE$22,1,AW248)=1,AW249&gt;0),1,1-INDEX('Lease Cycles'!$DD$22:$DJ$22,1,AW248))*('Lease Cycles'!$AJ$22*INDEX('Lease Cycles'!$FO$22:$FU$22,1,AW248)+'Lease Cycles'!$BE$22*(1-INDEX('Lease Cycles'!$FO$22:$FU$22,1,AW248)))),0)</f>
        <v>0</v>
      </c>
      <c r="AX258" s="24">
        <f>IF(AX250=1,'Lease Cycles'!$D$22*IF(INDEX('Lease Cycles'!$EF$22:$EL$22,1,AX248)=1,'Lease Cycles'!$AJ$22*INDEX('Lease Cycles'!$FO$22:$FU$22,1,AX248)*INDEX('Lease Cycles'!$EM$22:$ES$22,1,AX248)+'Lease Cycles'!$BE$22*IF(AX249&lt;INDEX('Lease Cycles'!$FA$22:$FG$22,1,AX248),0,1-INDEX('Lease Cycles'!$EM$22:$ES$22,1,AX248)),IF(OR(INDEX('Lease Cycles'!$DY$22:$EE$22,1,AX248)=1,AX249&gt;0),1,1-INDEX('Lease Cycles'!$DD$22:$DJ$22,1,AX248))*('Lease Cycles'!$AJ$22*INDEX('Lease Cycles'!$FO$22:$FU$22,1,AX248)+'Lease Cycles'!$BE$22*(1-INDEX('Lease Cycles'!$FO$22:$FU$22,1,AX248)))),0)</f>
        <v>0</v>
      </c>
      <c r="AY258" s="24">
        <f>IF(AY250=1,'Lease Cycles'!$D$22*IF(INDEX('Lease Cycles'!$EF$22:$EL$22,1,AY248)=1,'Lease Cycles'!$AJ$22*INDEX('Lease Cycles'!$FO$22:$FU$22,1,AY248)*INDEX('Lease Cycles'!$EM$22:$ES$22,1,AY248)+'Lease Cycles'!$BE$22*IF(AY249&lt;INDEX('Lease Cycles'!$FA$22:$FG$22,1,AY248),0,1-INDEX('Lease Cycles'!$EM$22:$ES$22,1,AY248)),IF(OR(INDEX('Lease Cycles'!$DY$22:$EE$22,1,AY248)=1,AY249&gt;0),1,1-INDEX('Lease Cycles'!$DD$22:$DJ$22,1,AY248))*('Lease Cycles'!$AJ$22*INDEX('Lease Cycles'!$FO$22:$FU$22,1,AY248)+'Lease Cycles'!$BE$22*(1-INDEX('Lease Cycles'!$FO$22:$FU$22,1,AY248)))),0)</f>
        <v>0</v>
      </c>
      <c r="AZ258" s="24">
        <f>IF(AZ250=1,'Lease Cycles'!$D$22*IF(INDEX('Lease Cycles'!$EF$22:$EL$22,1,AZ248)=1,'Lease Cycles'!$AJ$22*INDEX('Lease Cycles'!$FO$22:$FU$22,1,AZ248)*INDEX('Lease Cycles'!$EM$22:$ES$22,1,AZ248)+'Lease Cycles'!$BE$22*IF(AZ249&lt;INDEX('Lease Cycles'!$FA$22:$FG$22,1,AZ248),0,1-INDEX('Lease Cycles'!$EM$22:$ES$22,1,AZ248)),IF(OR(INDEX('Lease Cycles'!$DY$22:$EE$22,1,AZ248)=1,AZ249&gt;0),1,1-INDEX('Lease Cycles'!$DD$22:$DJ$22,1,AZ248))*('Lease Cycles'!$AJ$22*INDEX('Lease Cycles'!$FO$22:$FU$22,1,AZ248)+'Lease Cycles'!$BE$22*(1-INDEX('Lease Cycles'!$FO$22:$FU$22,1,AZ248)))),0)</f>
        <v>0</v>
      </c>
      <c r="BA258" s="24">
        <f>IF(BA250=1,'Lease Cycles'!$D$22*IF(INDEX('Lease Cycles'!$EF$22:$EL$22,1,BA248)=1,'Lease Cycles'!$AJ$22*INDEX('Lease Cycles'!$FO$22:$FU$22,1,BA248)*INDEX('Lease Cycles'!$EM$22:$ES$22,1,BA248)+'Lease Cycles'!$BE$22*IF(BA249&lt;INDEX('Lease Cycles'!$FA$22:$FG$22,1,BA248),0,1-INDEX('Lease Cycles'!$EM$22:$ES$22,1,BA248)),IF(OR(INDEX('Lease Cycles'!$DY$22:$EE$22,1,BA248)=1,BA249&gt;0),1,1-INDEX('Lease Cycles'!$DD$22:$DJ$22,1,BA248))*('Lease Cycles'!$AJ$22*INDEX('Lease Cycles'!$FO$22:$FU$22,1,BA248)+'Lease Cycles'!$BE$22*(1-INDEX('Lease Cycles'!$FO$22:$FU$22,1,BA248)))),0)</f>
        <v>0</v>
      </c>
      <c r="BB258" s="24">
        <f>IF(BB250=1,'Lease Cycles'!$D$22*IF(INDEX('Lease Cycles'!$EF$22:$EL$22,1,BB248)=1,'Lease Cycles'!$AJ$22*INDEX('Lease Cycles'!$FO$22:$FU$22,1,BB248)*INDEX('Lease Cycles'!$EM$22:$ES$22,1,BB248)+'Lease Cycles'!$BE$22*IF(BB249&lt;INDEX('Lease Cycles'!$FA$22:$FG$22,1,BB248),0,1-INDEX('Lease Cycles'!$EM$22:$ES$22,1,BB248)),IF(OR(INDEX('Lease Cycles'!$DY$22:$EE$22,1,BB248)=1,BB249&gt;0),1,1-INDEX('Lease Cycles'!$DD$22:$DJ$22,1,BB248))*('Lease Cycles'!$AJ$22*INDEX('Lease Cycles'!$FO$22:$FU$22,1,BB248)+'Lease Cycles'!$BE$22*(1-INDEX('Lease Cycles'!$FO$22:$FU$22,1,BB248)))),0)</f>
        <v>0</v>
      </c>
      <c r="BC258" s="24">
        <f>IF(BC250=1,'Lease Cycles'!$D$22*IF(INDEX('Lease Cycles'!$EF$22:$EL$22,1,BC248)=1,'Lease Cycles'!$AJ$22*INDEX('Lease Cycles'!$FO$22:$FU$22,1,BC248)*INDEX('Lease Cycles'!$EM$22:$ES$22,1,BC248)+'Lease Cycles'!$BE$22*IF(BC249&lt;INDEX('Lease Cycles'!$FA$22:$FG$22,1,BC248),0,1-INDEX('Lease Cycles'!$EM$22:$ES$22,1,BC248)),IF(OR(INDEX('Lease Cycles'!$DY$22:$EE$22,1,BC248)=1,BC249&gt;0),1,1-INDEX('Lease Cycles'!$DD$22:$DJ$22,1,BC248))*('Lease Cycles'!$AJ$22*INDEX('Lease Cycles'!$FO$22:$FU$22,1,BC248)+'Lease Cycles'!$BE$22*(1-INDEX('Lease Cycles'!$FO$22:$FU$22,1,BC248)))),0)</f>
        <v>0</v>
      </c>
      <c r="BD258" s="24">
        <f>IF(BD250=1,'Lease Cycles'!$D$22*IF(INDEX('Lease Cycles'!$EF$22:$EL$22,1,BD248)=1,'Lease Cycles'!$AJ$22*INDEX('Lease Cycles'!$FO$22:$FU$22,1,BD248)*INDEX('Lease Cycles'!$EM$22:$ES$22,1,BD248)+'Lease Cycles'!$BE$22*IF(BD249&lt;INDEX('Lease Cycles'!$FA$22:$FG$22,1,BD248),0,1-INDEX('Lease Cycles'!$EM$22:$ES$22,1,BD248)),IF(OR(INDEX('Lease Cycles'!$DY$22:$EE$22,1,BD248)=1,BD249&gt;0),1,1-INDEX('Lease Cycles'!$DD$22:$DJ$22,1,BD248))*('Lease Cycles'!$AJ$22*INDEX('Lease Cycles'!$FO$22:$FU$22,1,BD248)+'Lease Cycles'!$BE$22*(1-INDEX('Lease Cycles'!$FO$22:$FU$22,1,BD248)))),0)</f>
        <v>0</v>
      </c>
      <c r="BE258" s="24">
        <f>IF(BE250=1,'Lease Cycles'!$D$22*IF(INDEX('Lease Cycles'!$EF$22:$EL$22,1,BE248)=1,'Lease Cycles'!$AJ$22*INDEX('Lease Cycles'!$FO$22:$FU$22,1,BE248)*INDEX('Lease Cycles'!$EM$22:$ES$22,1,BE248)+'Lease Cycles'!$BE$22*IF(BE249&lt;INDEX('Lease Cycles'!$FA$22:$FG$22,1,BE248),0,1-INDEX('Lease Cycles'!$EM$22:$ES$22,1,BE248)),IF(OR(INDEX('Lease Cycles'!$DY$22:$EE$22,1,BE248)=1,BE249&gt;0),1,1-INDEX('Lease Cycles'!$DD$22:$DJ$22,1,BE248))*('Lease Cycles'!$AJ$22*INDEX('Lease Cycles'!$FO$22:$FU$22,1,BE248)+'Lease Cycles'!$BE$22*(1-INDEX('Lease Cycles'!$FO$22:$FU$22,1,BE248)))),0)</f>
        <v>0</v>
      </c>
      <c r="BF258" s="24">
        <f>IF(BF250=1,'Lease Cycles'!$D$22*IF(INDEX('Lease Cycles'!$EF$22:$EL$22,1,BF248)=1,'Lease Cycles'!$AJ$22*INDEX('Lease Cycles'!$FO$22:$FU$22,1,BF248)*INDEX('Lease Cycles'!$EM$22:$ES$22,1,BF248)+'Lease Cycles'!$BE$22*IF(BF249&lt;INDEX('Lease Cycles'!$FA$22:$FG$22,1,BF248),0,1-INDEX('Lease Cycles'!$EM$22:$ES$22,1,BF248)),IF(OR(INDEX('Lease Cycles'!$DY$22:$EE$22,1,BF248)=1,BF249&gt;0),1,1-INDEX('Lease Cycles'!$DD$22:$DJ$22,1,BF248))*('Lease Cycles'!$AJ$22*INDEX('Lease Cycles'!$FO$22:$FU$22,1,BF248)+'Lease Cycles'!$BE$22*(1-INDEX('Lease Cycles'!$FO$22:$FU$22,1,BF248)))),0)</f>
        <v>0</v>
      </c>
      <c r="BG258" s="24">
        <f>IF(BG250=1,'Lease Cycles'!$D$22*IF(INDEX('Lease Cycles'!$EF$22:$EL$22,1,BG248)=1,'Lease Cycles'!$AJ$22*INDEX('Lease Cycles'!$FO$22:$FU$22,1,BG248)*INDEX('Lease Cycles'!$EM$22:$ES$22,1,BG248)+'Lease Cycles'!$BE$22*IF(BG249&lt;INDEX('Lease Cycles'!$FA$22:$FG$22,1,BG248),0,1-INDEX('Lease Cycles'!$EM$22:$ES$22,1,BG248)),IF(OR(INDEX('Lease Cycles'!$DY$22:$EE$22,1,BG248)=1,BG249&gt;0),1,1-INDEX('Lease Cycles'!$DD$22:$DJ$22,1,BG248))*('Lease Cycles'!$AJ$22*INDEX('Lease Cycles'!$FO$22:$FU$22,1,BG248)+'Lease Cycles'!$BE$22*(1-INDEX('Lease Cycles'!$FO$22:$FU$22,1,BG248)))),0)</f>
        <v>0</v>
      </c>
      <c r="BH258" s="24">
        <f>IF(BH250=1,'Lease Cycles'!$D$22*IF(INDEX('Lease Cycles'!$EF$22:$EL$22,1,BH248)=1,'Lease Cycles'!$AJ$22*INDEX('Lease Cycles'!$FO$22:$FU$22,1,BH248)*INDEX('Lease Cycles'!$EM$22:$ES$22,1,BH248)+'Lease Cycles'!$BE$22*IF(BH249&lt;INDEX('Lease Cycles'!$FA$22:$FG$22,1,BH248),0,1-INDEX('Lease Cycles'!$EM$22:$ES$22,1,BH248)),IF(OR(INDEX('Lease Cycles'!$DY$22:$EE$22,1,BH248)=1,BH249&gt;0),1,1-INDEX('Lease Cycles'!$DD$22:$DJ$22,1,BH248))*('Lease Cycles'!$AJ$22*INDEX('Lease Cycles'!$FO$22:$FU$22,1,BH248)+'Lease Cycles'!$BE$22*(1-INDEX('Lease Cycles'!$FO$22:$FU$22,1,BH248)))),0)</f>
        <v>0</v>
      </c>
      <c r="BI258" s="24">
        <f>IF(BI250=1,'Lease Cycles'!$D$22*IF(INDEX('Lease Cycles'!$EF$22:$EL$22,1,BI248)=1,'Lease Cycles'!$AJ$22*INDEX('Lease Cycles'!$FO$22:$FU$22,1,BI248)*INDEX('Lease Cycles'!$EM$22:$ES$22,1,BI248)+'Lease Cycles'!$BE$22*IF(BI249&lt;INDEX('Lease Cycles'!$FA$22:$FG$22,1,BI248),0,1-INDEX('Lease Cycles'!$EM$22:$ES$22,1,BI248)),IF(OR(INDEX('Lease Cycles'!$DY$22:$EE$22,1,BI248)=1,BI249&gt;0),1,1-INDEX('Lease Cycles'!$DD$22:$DJ$22,1,BI248))*('Lease Cycles'!$AJ$22*INDEX('Lease Cycles'!$FO$22:$FU$22,1,BI248)+'Lease Cycles'!$BE$22*(1-INDEX('Lease Cycles'!$FO$22:$FU$22,1,BI248)))),0)</f>
        <v>0</v>
      </c>
      <c r="BJ258" s="24">
        <f>IF(BJ250=1,'Lease Cycles'!$D$22*IF(INDEX('Lease Cycles'!$EF$22:$EL$22,1,BJ248)=1,'Lease Cycles'!$AJ$22*INDEX('Lease Cycles'!$FO$22:$FU$22,1,BJ248)*INDEX('Lease Cycles'!$EM$22:$ES$22,1,BJ248)+'Lease Cycles'!$BE$22*IF(BJ249&lt;INDEX('Lease Cycles'!$FA$22:$FG$22,1,BJ248),0,1-INDEX('Lease Cycles'!$EM$22:$ES$22,1,BJ248)),IF(OR(INDEX('Lease Cycles'!$DY$22:$EE$22,1,BJ248)=1,BJ249&gt;0),1,1-INDEX('Lease Cycles'!$DD$22:$DJ$22,1,BJ248))*('Lease Cycles'!$AJ$22*INDEX('Lease Cycles'!$FO$22:$FU$22,1,BJ248)+'Lease Cycles'!$BE$22*(1-INDEX('Lease Cycles'!$FO$22:$FU$22,1,BJ248)))),0)</f>
        <v>0</v>
      </c>
      <c r="BK258" s="24">
        <f>IF(BK250=1,'Lease Cycles'!$D$22*IF(INDEX('Lease Cycles'!$EF$22:$EL$22,1,BK248)=1,'Lease Cycles'!$AJ$22*INDEX('Lease Cycles'!$FO$22:$FU$22,1,BK248)*INDEX('Lease Cycles'!$EM$22:$ES$22,1,BK248)+'Lease Cycles'!$BE$22*IF(BK249&lt;INDEX('Lease Cycles'!$FA$22:$FG$22,1,BK248),0,1-INDEX('Lease Cycles'!$EM$22:$ES$22,1,BK248)),IF(OR(INDEX('Lease Cycles'!$DY$22:$EE$22,1,BK248)=1,BK249&gt;0),1,1-INDEX('Lease Cycles'!$DD$22:$DJ$22,1,BK248))*('Lease Cycles'!$AJ$22*INDEX('Lease Cycles'!$FO$22:$FU$22,1,BK248)+'Lease Cycles'!$BE$22*(1-INDEX('Lease Cycles'!$FO$22:$FU$22,1,BK248)))),0)</f>
        <v>0</v>
      </c>
      <c r="BL258" s="24">
        <f>IF(BL250=1,'Lease Cycles'!$D$22*IF(INDEX('Lease Cycles'!$EF$22:$EL$22,1,BL248)=1,'Lease Cycles'!$AJ$22*INDEX('Lease Cycles'!$FO$22:$FU$22,1,BL248)*INDEX('Lease Cycles'!$EM$22:$ES$22,1,BL248)+'Lease Cycles'!$BE$22*IF(BL249&lt;INDEX('Lease Cycles'!$FA$22:$FG$22,1,BL248),0,1-INDEX('Lease Cycles'!$EM$22:$ES$22,1,BL248)),IF(OR(INDEX('Lease Cycles'!$DY$22:$EE$22,1,BL248)=1,BL249&gt;0),1,1-INDEX('Lease Cycles'!$DD$22:$DJ$22,1,BL248))*('Lease Cycles'!$AJ$22*INDEX('Lease Cycles'!$FO$22:$FU$22,1,BL248)+'Lease Cycles'!$BE$22*(1-INDEX('Lease Cycles'!$FO$22:$FU$22,1,BL248)))),0)</f>
        <v>0</v>
      </c>
      <c r="BM258" s="24">
        <f>IF(BM250=1,'Lease Cycles'!$D$22*IF(INDEX('Lease Cycles'!$EF$22:$EL$22,1,BM248)=1,'Lease Cycles'!$AJ$22*INDEX('Lease Cycles'!$FO$22:$FU$22,1,BM248)*INDEX('Lease Cycles'!$EM$22:$ES$22,1,BM248)+'Lease Cycles'!$BE$22*IF(BM249&lt;INDEX('Lease Cycles'!$FA$22:$FG$22,1,BM248),0,1-INDEX('Lease Cycles'!$EM$22:$ES$22,1,BM248)),IF(OR(INDEX('Lease Cycles'!$DY$22:$EE$22,1,BM248)=1,BM249&gt;0),1,1-INDEX('Lease Cycles'!$DD$22:$DJ$22,1,BM248))*('Lease Cycles'!$AJ$22*INDEX('Lease Cycles'!$FO$22:$FU$22,1,BM248)+'Lease Cycles'!$BE$22*(1-INDEX('Lease Cycles'!$FO$22:$FU$22,1,BM248)))),0)</f>
        <v>0</v>
      </c>
      <c r="BN258" s="24">
        <f>IF(BN250=1,'Lease Cycles'!$D$22*IF(INDEX('Lease Cycles'!$EF$22:$EL$22,1,BN248)=1,'Lease Cycles'!$AJ$22*INDEX('Lease Cycles'!$FO$22:$FU$22,1,BN248)*INDEX('Lease Cycles'!$EM$22:$ES$22,1,BN248)+'Lease Cycles'!$BE$22*IF(BN249&lt;INDEX('Lease Cycles'!$FA$22:$FG$22,1,BN248),0,1-INDEX('Lease Cycles'!$EM$22:$ES$22,1,BN248)),IF(OR(INDEX('Lease Cycles'!$DY$22:$EE$22,1,BN248)=1,BN249&gt;0),1,1-INDEX('Lease Cycles'!$DD$22:$DJ$22,1,BN248))*('Lease Cycles'!$AJ$22*INDEX('Lease Cycles'!$FO$22:$FU$22,1,BN248)+'Lease Cycles'!$BE$22*(1-INDEX('Lease Cycles'!$FO$22:$FU$22,1,BN248)))),0)</f>
        <v>0</v>
      </c>
      <c r="BO258" s="24">
        <f>IF(BO250=1,'Lease Cycles'!$D$22*IF(INDEX('Lease Cycles'!$EF$22:$EL$22,1,BO248)=1,'Lease Cycles'!$AJ$22*INDEX('Lease Cycles'!$FO$22:$FU$22,1,BO248)*INDEX('Lease Cycles'!$EM$22:$ES$22,1,BO248)+'Lease Cycles'!$BE$22*IF(BO249&lt;INDEX('Lease Cycles'!$FA$22:$FG$22,1,BO248),0,1-INDEX('Lease Cycles'!$EM$22:$ES$22,1,BO248)),IF(OR(INDEX('Lease Cycles'!$DY$22:$EE$22,1,BO248)=1,BO249&gt;0),1,1-INDEX('Lease Cycles'!$DD$22:$DJ$22,1,BO248))*('Lease Cycles'!$AJ$22*INDEX('Lease Cycles'!$FO$22:$FU$22,1,BO248)+'Lease Cycles'!$BE$22*(1-INDEX('Lease Cycles'!$FO$22:$FU$22,1,BO248)))),0)</f>
        <v>0</v>
      </c>
      <c r="BP258" s="24">
        <f>IF(BP250=1,'Lease Cycles'!$D$22*IF(INDEX('Lease Cycles'!$EF$22:$EL$22,1,BP248)=1,'Lease Cycles'!$AJ$22*INDEX('Lease Cycles'!$FO$22:$FU$22,1,BP248)*INDEX('Lease Cycles'!$EM$22:$ES$22,1,BP248)+'Lease Cycles'!$BE$22*IF(BP249&lt;INDEX('Lease Cycles'!$FA$22:$FG$22,1,BP248),0,1-INDEX('Lease Cycles'!$EM$22:$ES$22,1,BP248)),IF(OR(INDEX('Lease Cycles'!$DY$22:$EE$22,1,BP248)=1,BP249&gt;0),1,1-INDEX('Lease Cycles'!$DD$22:$DJ$22,1,BP248))*('Lease Cycles'!$AJ$22*INDEX('Lease Cycles'!$FO$22:$FU$22,1,BP248)+'Lease Cycles'!$BE$22*(1-INDEX('Lease Cycles'!$FO$22:$FU$22,1,BP248)))),0)</f>
        <v>0</v>
      </c>
      <c r="BQ258" s="24">
        <f>IF(BQ250=1,'Lease Cycles'!$D$22*IF(INDEX('Lease Cycles'!$EF$22:$EL$22,1,BQ248)=1,'Lease Cycles'!$AJ$22*INDEX('Lease Cycles'!$FO$22:$FU$22,1,BQ248)*INDEX('Lease Cycles'!$EM$22:$ES$22,1,BQ248)+'Lease Cycles'!$BE$22*IF(BQ249&lt;INDEX('Lease Cycles'!$FA$22:$FG$22,1,BQ248),0,1-INDEX('Lease Cycles'!$EM$22:$ES$22,1,BQ248)),IF(OR(INDEX('Lease Cycles'!$DY$22:$EE$22,1,BQ248)=1,BQ249&gt;0),1,1-INDEX('Lease Cycles'!$DD$22:$DJ$22,1,BQ248))*('Lease Cycles'!$AJ$22*INDEX('Lease Cycles'!$FO$22:$FU$22,1,BQ248)+'Lease Cycles'!$BE$22*(1-INDEX('Lease Cycles'!$FO$22:$FU$22,1,BQ248)))),0)</f>
        <v>0</v>
      </c>
      <c r="BR258" s="24">
        <f>IF(BR250=1,'Lease Cycles'!$D$22*IF(INDEX('Lease Cycles'!$EF$22:$EL$22,1,BR248)=1,'Lease Cycles'!$AJ$22*INDEX('Lease Cycles'!$FO$22:$FU$22,1,BR248)*INDEX('Lease Cycles'!$EM$22:$ES$22,1,BR248)+'Lease Cycles'!$BE$22*IF(BR249&lt;INDEX('Lease Cycles'!$FA$22:$FG$22,1,BR248),0,1-INDEX('Lease Cycles'!$EM$22:$ES$22,1,BR248)),IF(OR(INDEX('Lease Cycles'!$DY$22:$EE$22,1,BR248)=1,BR249&gt;0),1,1-INDEX('Lease Cycles'!$DD$22:$DJ$22,1,BR248))*('Lease Cycles'!$AJ$22*INDEX('Lease Cycles'!$FO$22:$FU$22,1,BR248)+'Lease Cycles'!$BE$22*(1-INDEX('Lease Cycles'!$FO$22:$FU$22,1,BR248)))),0)</f>
        <v>0</v>
      </c>
      <c r="BS258" s="24">
        <f>IF(BS250=1,'Lease Cycles'!$D$22*IF(INDEX('Lease Cycles'!$EF$22:$EL$22,1,BS248)=1,'Lease Cycles'!$AJ$22*INDEX('Lease Cycles'!$FO$22:$FU$22,1,BS248)*INDEX('Lease Cycles'!$EM$22:$ES$22,1,BS248)+'Lease Cycles'!$BE$22*IF(BS249&lt;INDEX('Lease Cycles'!$FA$22:$FG$22,1,BS248),0,1-INDEX('Lease Cycles'!$EM$22:$ES$22,1,BS248)),IF(OR(INDEX('Lease Cycles'!$DY$22:$EE$22,1,BS248)=1,BS249&gt;0),1,1-INDEX('Lease Cycles'!$DD$22:$DJ$22,1,BS248))*('Lease Cycles'!$AJ$22*INDEX('Lease Cycles'!$FO$22:$FU$22,1,BS248)+'Lease Cycles'!$BE$22*(1-INDEX('Lease Cycles'!$FO$22:$FU$22,1,BS248)))),0)</f>
        <v>0</v>
      </c>
      <c r="BT258" s="24">
        <f>IF(BT250=1,'Lease Cycles'!$D$22*IF(INDEX('Lease Cycles'!$EF$22:$EL$22,1,BT248)=1,'Lease Cycles'!$AJ$22*INDEX('Lease Cycles'!$FO$22:$FU$22,1,BT248)*INDEX('Lease Cycles'!$EM$22:$ES$22,1,BT248)+'Lease Cycles'!$BE$22*IF(BT249&lt;INDEX('Lease Cycles'!$FA$22:$FG$22,1,BT248),0,1-INDEX('Lease Cycles'!$EM$22:$ES$22,1,BT248)),IF(OR(INDEX('Lease Cycles'!$DY$22:$EE$22,1,BT248)=1,BT249&gt;0),1,1-INDEX('Lease Cycles'!$DD$22:$DJ$22,1,BT248))*('Lease Cycles'!$AJ$22*INDEX('Lease Cycles'!$FO$22:$FU$22,1,BT248)+'Lease Cycles'!$BE$22*(1-INDEX('Lease Cycles'!$FO$22:$FU$22,1,BT248)))),0)</f>
        <v>0</v>
      </c>
      <c r="BU258" s="24">
        <f>IF(BU250=1,'Lease Cycles'!$D$22*IF(INDEX('Lease Cycles'!$EF$22:$EL$22,1,BU248)=1,'Lease Cycles'!$AJ$22*INDEX('Lease Cycles'!$FO$22:$FU$22,1,BU248)*INDEX('Lease Cycles'!$EM$22:$ES$22,1,BU248)+'Lease Cycles'!$BE$22*IF(BU249&lt;INDEX('Lease Cycles'!$FA$22:$FG$22,1,BU248),0,1-INDEX('Lease Cycles'!$EM$22:$ES$22,1,BU248)),IF(OR(INDEX('Lease Cycles'!$DY$22:$EE$22,1,BU248)=1,BU249&gt;0),1,1-INDEX('Lease Cycles'!$DD$22:$DJ$22,1,BU248))*('Lease Cycles'!$AJ$22*INDEX('Lease Cycles'!$FO$22:$FU$22,1,BU248)+'Lease Cycles'!$BE$22*(1-INDEX('Lease Cycles'!$FO$22:$FU$22,1,BU248)))),0)</f>
        <v>0</v>
      </c>
      <c r="BV258" s="24">
        <f>IF(BV250=1,'Lease Cycles'!$D$22*IF(INDEX('Lease Cycles'!$EF$22:$EL$22,1,BV248)=1,'Lease Cycles'!$AJ$22*INDEX('Lease Cycles'!$FO$22:$FU$22,1,BV248)*INDEX('Lease Cycles'!$EM$22:$ES$22,1,BV248)+'Lease Cycles'!$BE$22*IF(BV249&lt;INDEX('Lease Cycles'!$FA$22:$FG$22,1,BV248),0,1-INDEX('Lease Cycles'!$EM$22:$ES$22,1,BV248)),IF(OR(INDEX('Lease Cycles'!$DY$22:$EE$22,1,BV248)=1,BV249&gt;0),1,1-INDEX('Lease Cycles'!$DD$22:$DJ$22,1,BV248))*('Lease Cycles'!$AJ$22*INDEX('Lease Cycles'!$FO$22:$FU$22,1,BV248)+'Lease Cycles'!$BE$22*(1-INDEX('Lease Cycles'!$FO$22:$FU$22,1,BV248)))),0)</f>
        <v>0</v>
      </c>
      <c r="BW258" s="24">
        <f>IF(BW250=1,'Lease Cycles'!$D$22*IF(INDEX('Lease Cycles'!$EF$22:$EL$22,1,BW248)=1,'Lease Cycles'!$AJ$22*INDEX('Lease Cycles'!$FO$22:$FU$22,1,BW248)*INDEX('Lease Cycles'!$EM$22:$ES$22,1,BW248)+'Lease Cycles'!$BE$22*IF(BW249&lt;INDEX('Lease Cycles'!$FA$22:$FG$22,1,BW248),0,1-INDEX('Lease Cycles'!$EM$22:$ES$22,1,BW248)),IF(OR(INDEX('Lease Cycles'!$DY$22:$EE$22,1,BW248)=1,BW249&gt;0),1,1-INDEX('Lease Cycles'!$DD$22:$DJ$22,1,BW248))*('Lease Cycles'!$AJ$22*INDEX('Lease Cycles'!$FO$22:$FU$22,1,BW248)+'Lease Cycles'!$BE$22*(1-INDEX('Lease Cycles'!$FO$22:$FU$22,1,BW248)))),0)</f>
        <v>0</v>
      </c>
      <c r="BX258" s="24">
        <f>IF(BX250=1,'Lease Cycles'!$D$22*IF(INDEX('Lease Cycles'!$EF$22:$EL$22,1,BX248)=1,'Lease Cycles'!$AJ$22*INDEX('Lease Cycles'!$FO$22:$FU$22,1,BX248)*INDEX('Lease Cycles'!$EM$22:$ES$22,1,BX248)+'Lease Cycles'!$BE$22*IF(BX249&lt;INDEX('Lease Cycles'!$FA$22:$FG$22,1,BX248),0,1-INDEX('Lease Cycles'!$EM$22:$ES$22,1,BX248)),IF(OR(INDEX('Lease Cycles'!$DY$22:$EE$22,1,BX248)=1,BX249&gt;0),1,1-INDEX('Lease Cycles'!$DD$22:$DJ$22,1,BX248))*('Lease Cycles'!$AJ$22*INDEX('Lease Cycles'!$FO$22:$FU$22,1,BX248)+'Lease Cycles'!$BE$22*(1-INDEX('Lease Cycles'!$FO$22:$FU$22,1,BX248)))),0)</f>
        <v>0</v>
      </c>
      <c r="BY258" s="24">
        <f>IF(BY250=1,'Lease Cycles'!$D$22*IF(INDEX('Lease Cycles'!$EF$22:$EL$22,1,BY248)=1,'Lease Cycles'!$AJ$22*INDEX('Lease Cycles'!$FO$22:$FU$22,1,BY248)*INDEX('Lease Cycles'!$EM$22:$ES$22,1,BY248)+'Lease Cycles'!$BE$22*IF(BY249&lt;INDEX('Lease Cycles'!$FA$22:$FG$22,1,BY248),0,1-INDEX('Lease Cycles'!$EM$22:$ES$22,1,BY248)),IF(OR(INDEX('Lease Cycles'!$DY$22:$EE$22,1,BY248)=1,BY249&gt;0),1,1-INDEX('Lease Cycles'!$DD$22:$DJ$22,1,BY248))*('Lease Cycles'!$AJ$22*INDEX('Lease Cycles'!$FO$22:$FU$22,1,BY248)+'Lease Cycles'!$BE$22*(1-INDEX('Lease Cycles'!$FO$22:$FU$22,1,BY248)))),0)</f>
        <v>0</v>
      </c>
      <c r="BZ258" s="24">
        <f>IF(BZ250=1,'Lease Cycles'!$D$22*IF(INDEX('Lease Cycles'!$EF$22:$EL$22,1,BZ248)=1,'Lease Cycles'!$AJ$22*INDEX('Lease Cycles'!$FO$22:$FU$22,1,BZ248)*INDEX('Lease Cycles'!$EM$22:$ES$22,1,BZ248)+'Lease Cycles'!$BE$22*IF(BZ249&lt;INDEX('Lease Cycles'!$FA$22:$FG$22,1,BZ248),0,1-INDEX('Lease Cycles'!$EM$22:$ES$22,1,BZ248)),IF(OR(INDEX('Lease Cycles'!$DY$22:$EE$22,1,BZ248)=1,BZ249&gt;0),1,1-INDEX('Lease Cycles'!$DD$22:$DJ$22,1,BZ248))*('Lease Cycles'!$AJ$22*INDEX('Lease Cycles'!$FO$22:$FU$22,1,BZ248)+'Lease Cycles'!$BE$22*(1-INDEX('Lease Cycles'!$FO$22:$FU$22,1,BZ248)))),0)</f>
        <v>0</v>
      </c>
      <c r="CA258" s="24">
        <f>IF(CA250=1,'Lease Cycles'!$D$22*IF(INDEX('Lease Cycles'!$EF$22:$EL$22,1,CA248)=1,'Lease Cycles'!$AJ$22*INDEX('Lease Cycles'!$FO$22:$FU$22,1,CA248)*INDEX('Lease Cycles'!$EM$22:$ES$22,1,CA248)+'Lease Cycles'!$BE$22*IF(CA249&lt;INDEX('Lease Cycles'!$FA$22:$FG$22,1,CA248),0,1-INDEX('Lease Cycles'!$EM$22:$ES$22,1,CA248)),IF(OR(INDEX('Lease Cycles'!$DY$22:$EE$22,1,CA248)=1,CA249&gt;0),1,1-INDEX('Lease Cycles'!$DD$22:$DJ$22,1,CA248))*('Lease Cycles'!$AJ$22*INDEX('Lease Cycles'!$FO$22:$FU$22,1,CA248)+'Lease Cycles'!$BE$22*(1-INDEX('Lease Cycles'!$FO$22:$FU$22,1,CA248)))),0)</f>
        <v>0</v>
      </c>
      <c r="CB258" s="24">
        <f>IF(CB250=1,'Lease Cycles'!$D$22*IF(INDEX('Lease Cycles'!$EF$22:$EL$22,1,CB248)=1,'Lease Cycles'!$AJ$22*INDEX('Lease Cycles'!$FO$22:$FU$22,1,CB248)*INDEX('Lease Cycles'!$EM$22:$ES$22,1,CB248)+'Lease Cycles'!$BE$22*IF(CB249&lt;INDEX('Lease Cycles'!$FA$22:$FG$22,1,CB248),0,1-INDEX('Lease Cycles'!$EM$22:$ES$22,1,CB248)),IF(OR(INDEX('Lease Cycles'!$DY$22:$EE$22,1,CB248)=1,CB249&gt;0),1,1-INDEX('Lease Cycles'!$DD$22:$DJ$22,1,CB248))*('Lease Cycles'!$AJ$22*INDEX('Lease Cycles'!$FO$22:$FU$22,1,CB248)+'Lease Cycles'!$BE$22*(1-INDEX('Lease Cycles'!$FO$22:$FU$22,1,CB248)))),0)</f>
        <v>0</v>
      </c>
      <c r="CC258" s="24">
        <f>IF(CC250=1,'Lease Cycles'!$D$22*IF(INDEX('Lease Cycles'!$EF$22:$EL$22,1,CC248)=1,'Lease Cycles'!$AJ$22*INDEX('Lease Cycles'!$FO$22:$FU$22,1,CC248)*INDEX('Lease Cycles'!$EM$22:$ES$22,1,CC248)+'Lease Cycles'!$BE$22*IF(CC249&lt;INDEX('Lease Cycles'!$FA$22:$FG$22,1,CC248),0,1-INDEX('Lease Cycles'!$EM$22:$ES$22,1,CC248)),IF(OR(INDEX('Lease Cycles'!$DY$22:$EE$22,1,CC248)=1,CC249&gt;0),1,1-INDEX('Lease Cycles'!$DD$22:$DJ$22,1,CC248))*('Lease Cycles'!$AJ$22*INDEX('Lease Cycles'!$FO$22:$FU$22,1,CC248)+'Lease Cycles'!$BE$22*(1-INDEX('Lease Cycles'!$FO$22:$FU$22,1,CC248)))),0)</f>
        <v>0</v>
      </c>
      <c r="CD258" s="24">
        <f>IF(CD250=1,'Lease Cycles'!$D$22*IF(INDEX('Lease Cycles'!$EF$22:$EL$22,1,CD248)=1,'Lease Cycles'!$AJ$22*INDEX('Lease Cycles'!$FO$22:$FU$22,1,CD248)*INDEX('Lease Cycles'!$EM$22:$ES$22,1,CD248)+'Lease Cycles'!$BE$22*IF(CD249&lt;INDEX('Lease Cycles'!$FA$22:$FG$22,1,CD248),0,1-INDEX('Lease Cycles'!$EM$22:$ES$22,1,CD248)),IF(OR(INDEX('Lease Cycles'!$DY$22:$EE$22,1,CD248)=1,CD249&gt;0),1,1-INDEX('Lease Cycles'!$DD$22:$DJ$22,1,CD248))*('Lease Cycles'!$AJ$22*INDEX('Lease Cycles'!$FO$22:$FU$22,1,CD248)+'Lease Cycles'!$BE$22*(1-INDEX('Lease Cycles'!$FO$22:$FU$22,1,CD248)))),0)</f>
        <v>0</v>
      </c>
      <c r="CE258" s="24">
        <f>IF(CE250=1,'Lease Cycles'!$D$22*IF(INDEX('Lease Cycles'!$EF$22:$EL$22,1,CE248)=1,'Lease Cycles'!$AJ$22*INDEX('Lease Cycles'!$FO$22:$FU$22,1,CE248)*INDEX('Lease Cycles'!$EM$22:$ES$22,1,CE248)+'Lease Cycles'!$BE$22*IF(CE249&lt;INDEX('Lease Cycles'!$FA$22:$FG$22,1,CE248),0,1-INDEX('Lease Cycles'!$EM$22:$ES$22,1,CE248)),IF(OR(INDEX('Lease Cycles'!$DY$22:$EE$22,1,CE248)=1,CE249&gt;0),1,1-INDEX('Lease Cycles'!$DD$22:$DJ$22,1,CE248))*('Lease Cycles'!$AJ$22*INDEX('Lease Cycles'!$FO$22:$FU$22,1,CE248)+'Lease Cycles'!$BE$22*(1-INDEX('Lease Cycles'!$FO$22:$FU$22,1,CE248)))),0)</f>
        <v>0</v>
      </c>
      <c r="CF258" s="24">
        <f>IF(CF250=1,'Lease Cycles'!$D$22*IF(INDEX('Lease Cycles'!$EF$22:$EL$22,1,CF248)=1,'Lease Cycles'!$AJ$22*INDEX('Lease Cycles'!$FO$22:$FU$22,1,CF248)*INDEX('Lease Cycles'!$EM$22:$ES$22,1,CF248)+'Lease Cycles'!$BE$22*IF(CF249&lt;INDEX('Lease Cycles'!$FA$22:$FG$22,1,CF248),0,1-INDEX('Lease Cycles'!$EM$22:$ES$22,1,CF248)),IF(OR(INDEX('Lease Cycles'!$DY$22:$EE$22,1,CF248)=1,CF249&gt;0),1,1-INDEX('Lease Cycles'!$DD$22:$DJ$22,1,CF248))*('Lease Cycles'!$AJ$22*INDEX('Lease Cycles'!$FO$22:$FU$22,1,CF248)+'Lease Cycles'!$BE$22*(1-INDEX('Lease Cycles'!$FO$22:$FU$22,1,CF248)))),0)</f>
        <v>0</v>
      </c>
      <c r="CG258" s="24">
        <f>IF(CG250=1,'Lease Cycles'!$D$22*IF(INDEX('Lease Cycles'!$EF$22:$EL$22,1,CG248)=1,'Lease Cycles'!$AJ$22*INDEX('Lease Cycles'!$FO$22:$FU$22,1,CG248)*INDEX('Lease Cycles'!$EM$22:$ES$22,1,CG248)+'Lease Cycles'!$BE$22*IF(CG249&lt;INDEX('Lease Cycles'!$FA$22:$FG$22,1,CG248),0,1-INDEX('Lease Cycles'!$EM$22:$ES$22,1,CG248)),IF(OR(INDEX('Lease Cycles'!$DY$22:$EE$22,1,CG248)=1,CG249&gt;0),1,1-INDEX('Lease Cycles'!$DD$22:$DJ$22,1,CG248))*('Lease Cycles'!$AJ$22*INDEX('Lease Cycles'!$FO$22:$FU$22,1,CG248)+'Lease Cycles'!$BE$22*(1-INDEX('Lease Cycles'!$FO$22:$FU$22,1,CG248)))),0)</f>
        <v>0</v>
      </c>
      <c r="CH258" s="24">
        <f>IF(CH250=1,'Lease Cycles'!$D$22*IF(INDEX('Lease Cycles'!$EF$22:$EL$22,1,CH248)=1,'Lease Cycles'!$AJ$22*INDEX('Lease Cycles'!$FO$22:$FU$22,1,CH248)*INDEX('Lease Cycles'!$EM$22:$ES$22,1,CH248)+'Lease Cycles'!$BE$22*IF(CH249&lt;INDEX('Lease Cycles'!$FA$22:$FG$22,1,CH248),0,1-INDEX('Lease Cycles'!$EM$22:$ES$22,1,CH248)),IF(OR(INDEX('Lease Cycles'!$DY$22:$EE$22,1,CH248)=1,CH249&gt;0),1,1-INDEX('Lease Cycles'!$DD$22:$DJ$22,1,CH248))*('Lease Cycles'!$AJ$22*INDEX('Lease Cycles'!$FO$22:$FU$22,1,CH248)+'Lease Cycles'!$BE$22*(1-INDEX('Lease Cycles'!$FO$22:$FU$22,1,CH248)))),0)</f>
        <v>0</v>
      </c>
      <c r="CI258" s="24">
        <f>IF(CI250=1,'Lease Cycles'!$D$22*IF(INDEX('Lease Cycles'!$EF$22:$EL$22,1,CI248)=1,'Lease Cycles'!$AJ$22*INDEX('Lease Cycles'!$FO$22:$FU$22,1,CI248)*INDEX('Lease Cycles'!$EM$22:$ES$22,1,CI248)+'Lease Cycles'!$BE$22*IF(CI249&lt;INDEX('Lease Cycles'!$FA$22:$FG$22,1,CI248),0,1-INDEX('Lease Cycles'!$EM$22:$ES$22,1,CI248)),IF(OR(INDEX('Lease Cycles'!$DY$22:$EE$22,1,CI248)=1,CI249&gt;0),1,1-INDEX('Lease Cycles'!$DD$22:$DJ$22,1,CI248))*('Lease Cycles'!$AJ$22*INDEX('Lease Cycles'!$FO$22:$FU$22,1,CI248)+'Lease Cycles'!$BE$22*(1-INDEX('Lease Cycles'!$FO$22:$FU$22,1,CI248)))),0)</f>
        <v>0</v>
      </c>
      <c r="CJ258" s="24">
        <f>IF(CJ250=1,'Lease Cycles'!$D$22*IF(INDEX('Lease Cycles'!$EF$22:$EL$22,1,CJ248)=1,'Lease Cycles'!$AJ$22*INDEX('Lease Cycles'!$FO$22:$FU$22,1,CJ248)*INDEX('Lease Cycles'!$EM$22:$ES$22,1,CJ248)+'Lease Cycles'!$BE$22*IF(CJ249&lt;INDEX('Lease Cycles'!$FA$22:$FG$22,1,CJ248),0,1-INDEX('Lease Cycles'!$EM$22:$ES$22,1,CJ248)),IF(OR(INDEX('Lease Cycles'!$DY$22:$EE$22,1,CJ248)=1,CJ249&gt;0),1,1-INDEX('Lease Cycles'!$DD$22:$DJ$22,1,CJ248))*('Lease Cycles'!$AJ$22*INDEX('Lease Cycles'!$FO$22:$FU$22,1,CJ248)+'Lease Cycles'!$BE$22*(1-INDEX('Lease Cycles'!$FO$22:$FU$22,1,CJ248)))),0)</f>
        <v>0</v>
      </c>
      <c r="CK258" s="24">
        <f>IF(CK250=1,'Lease Cycles'!$D$22*IF(INDEX('Lease Cycles'!$EF$22:$EL$22,1,CK248)=1,'Lease Cycles'!$AJ$22*INDEX('Lease Cycles'!$FO$22:$FU$22,1,CK248)*INDEX('Lease Cycles'!$EM$22:$ES$22,1,CK248)+'Lease Cycles'!$BE$22*IF(CK249&lt;INDEX('Lease Cycles'!$FA$22:$FG$22,1,CK248),0,1-INDEX('Lease Cycles'!$EM$22:$ES$22,1,CK248)),IF(OR(INDEX('Lease Cycles'!$DY$22:$EE$22,1,CK248)=1,CK249&gt;0),1,1-INDEX('Lease Cycles'!$DD$22:$DJ$22,1,CK248))*('Lease Cycles'!$AJ$22*INDEX('Lease Cycles'!$FO$22:$FU$22,1,CK248)+'Lease Cycles'!$BE$22*(1-INDEX('Lease Cycles'!$FO$22:$FU$22,1,CK248)))),0)</f>
        <v>0</v>
      </c>
      <c r="CL258" s="24">
        <f>IF(CL250=1,'Lease Cycles'!$D$22*IF(INDEX('Lease Cycles'!$EF$22:$EL$22,1,CL248)=1,'Lease Cycles'!$AJ$22*INDEX('Lease Cycles'!$FO$22:$FU$22,1,CL248)*INDEX('Lease Cycles'!$EM$22:$ES$22,1,CL248)+'Lease Cycles'!$BE$22*IF(CL249&lt;INDEX('Lease Cycles'!$FA$22:$FG$22,1,CL248),0,1-INDEX('Lease Cycles'!$EM$22:$ES$22,1,CL248)),IF(OR(INDEX('Lease Cycles'!$DY$22:$EE$22,1,CL248)=1,CL249&gt;0),1,1-INDEX('Lease Cycles'!$DD$22:$DJ$22,1,CL248))*('Lease Cycles'!$AJ$22*INDEX('Lease Cycles'!$FO$22:$FU$22,1,CL248)+'Lease Cycles'!$BE$22*(1-INDEX('Lease Cycles'!$FO$22:$FU$22,1,CL248)))),0)</f>
        <v>0</v>
      </c>
      <c r="CM258" s="24">
        <f>IF(CM250=1,'Lease Cycles'!$D$22*IF(INDEX('Lease Cycles'!$EF$22:$EL$22,1,CM248)=1,'Lease Cycles'!$AJ$22*INDEX('Lease Cycles'!$FO$22:$FU$22,1,CM248)*INDEX('Lease Cycles'!$EM$22:$ES$22,1,CM248)+'Lease Cycles'!$BE$22*IF(CM249&lt;INDEX('Lease Cycles'!$FA$22:$FG$22,1,CM248),0,1-INDEX('Lease Cycles'!$EM$22:$ES$22,1,CM248)),IF(OR(INDEX('Lease Cycles'!$DY$22:$EE$22,1,CM248)=1,CM249&gt;0),1,1-INDEX('Lease Cycles'!$DD$22:$DJ$22,1,CM248))*('Lease Cycles'!$AJ$22*INDEX('Lease Cycles'!$FO$22:$FU$22,1,CM248)+'Lease Cycles'!$BE$22*(1-INDEX('Lease Cycles'!$FO$22:$FU$22,1,CM248)))),0)</f>
        <v>0</v>
      </c>
      <c r="CN258" s="24">
        <f>IF(CN250=1,'Lease Cycles'!$D$22*IF(INDEX('Lease Cycles'!$EF$22:$EL$22,1,CN248)=1,'Lease Cycles'!$AJ$22*INDEX('Lease Cycles'!$FO$22:$FU$22,1,CN248)*INDEX('Lease Cycles'!$EM$22:$ES$22,1,CN248)+'Lease Cycles'!$BE$22*IF(CN249&lt;INDEX('Lease Cycles'!$FA$22:$FG$22,1,CN248),0,1-INDEX('Lease Cycles'!$EM$22:$ES$22,1,CN248)),IF(OR(INDEX('Lease Cycles'!$DY$22:$EE$22,1,CN248)=1,CN249&gt;0),1,1-INDEX('Lease Cycles'!$DD$22:$DJ$22,1,CN248))*('Lease Cycles'!$AJ$22*INDEX('Lease Cycles'!$FO$22:$FU$22,1,CN248)+'Lease Cycles'!$BE$22*(1-INDEX('Lease Cycles'!$FO$22:$FU$22,1,CN248)))),0)</f>
        <v>0</v>
      </c>
      <c r="CO258" s="24">
        <f>IF(CO250=1,'Lease Cycles'!$D$22*IF(INDEX('Lease Cycles'!$EF$22:$EL$22,1,CO248)=1,'Lease Cycles'!$AJ$22*INDEX('Lease Cycles'!$FO$22:$FU$22,1,CO248)*INDEX('Lease Cycles'!$EM$22:$ES$22,1,CO248)+'Lease Cycles'!$BE$22*IF(CO249&lt;INDEX('Lease Cycles'!$FA$22:$FG$22,1,CO248),0,1-INDEX('Lease Cycles'!$EM$22:$ES$22,1,CO248)),IF(OR(INDEX('Lease Cycles'!$DY$22:$EE$22,1,CO248)=1,CO249&gt;0),1,1-INDEX('Lease Cycles'!$DD$22:$DJ$22,1,CO248))*('Lease Cycles'!$AJ$22*INDEX('Lease Cycles'!$FO$22:$FU$22,1,CO248)+'Lease Cycles'!$BE$22*(1-INDEX('Lease Cycles'!$FO$22:$FU$22,1,CO248)))),0)</f>
        <v>0</v>
      </c>
      <c r="CP258" s="24">
        <f>IF(CP250=1,'Lease Cycles'!$D$22*IF(INDEX('Lease Cycles'!$EF$22:$EL$22,1,CP248)=1,'Lease Cycles'!$AJ$22*INDEX('Lease Cycles'!$FO$22:$FU$22,1,CP248)*INDEX('Lease Cycles'!$EM$22:$ES$22,1,CP248)+'Lease Cycles'!$BE$22*IF(CP249&lt;INDEX('Lease Cycles'!$FA$22:$FG$22,1,CP248),0,1-INDEX('Lease Cycles'!$EM$22:$ES$22,1,CP248)),IF(OR(INDEX('Lease Cycles'!$DY$22:$EE$22,1,CP248)=1,CP249&gt;0),1,1-INDEX('Lease Cycles'!$DD$22:$DJ$22,1,CP248))*('Lease Cycles'!$AJ$22*INDEX('Lease Cycles'!$FO$22:$FU$22,1,CP248)+'Lease Cycles'!$BE$22*(1-INDEX('Lease Cycles'!$FO$22:$FU$22,1,CP248)))),0)</f>
        <v>0</v>
      </c>
      <c r="CQ258" s="24">
        <f>IF(CQ250=1,'Lease Cycles'!$D$22*IF(INDEX('Lease Cycles'!$EF$22:$EL$22,1,CQ248)=1,'Lease Cycles'!$AJ$22*INDEX('Lease Cycles'!$FO$22:$FU$22,1,CQ248)*INDEX('Lease Cycles'!$EM$22:$ES$22,1,CQ248)+'Lease Cycles'!$BE$22*IF(CQ249&lt;INDEX('Lease Cycles'!$FA$22:$FG$22,1,CQ248),0,1-INDEX('Lease Cycles'!$EM$22:$ES$22,1,CQ248)),IF(OR(INDEX('Lease Cycles'!$DY$22:$EE$22,1,CQ248)=1,CQ249&gt;0),1,1-INDEX('Lease Cycles'!$DD$22:$DJ$22,1,CQ248))*('Lease Cycles'!$AJ$22*INDEX('Lease Cycles'!$FO$22:$FU$22,1,CQ248)+'Lease Cycles'!$BE$22*(1-INDEX('Lease Cycles'!$FO$22:$FU$22,1,CQ248)))),0)</f>
        <v>0</v>
      </c>
      <c r="CR258" s="24">
        <f>IF(CR250=1,'Lease Cycles'!$D$22*IF(INDEX('Lease Cycles'!$EF$22:$EL$22,1,CR248)=1,'Lease Cycles'!$AJ$22*INDEX('Lease Cycles'!$FO$22:$FU$22,1,CR248)*INDEX('Lease Cycles'!$EM$22:$ES$22,1,CR248)+'Lease Cycles'!$BE$22*IF(CR249&lt;INDEX('Lease Cycles'!$FA$22:$FG$22,1,CR248),0,1-INDEX('Lease Cycles'!$EM$22:$ES$22,1,CR248)),IF(OR(INDEX('Lease Cycles'!$DY$22:$EE$22,1,CR248)=1,CR249&gt;0),1,1-INDEX('Lease Cycles'!$DD$22:$DJ$22,1,CR248))*('Lease Cycles'!$AJ$22*INDEX('Lease Cycles'!$FO$22:$FU$22,1,CR248)+'Lease Cycles'!$BE$22*(1-INDEX('Lease Cycles'!$FO$22:$FU$22,1,CR248)))),0)</f>
        <v>0</v>
      </c>
      <c r="CS258" s="24">
        <f>IF(CS250=1,'Lease Cycles'!$D$22*IF(INDEX('Lease Cycles'!$EF$22:$EL$22,1,CS248)=1,'Lease Cycles'!$AJ$22*INDEX('Lease Cycles'!$FO$22:$FU$22,1,CS248)*INDEX('Lease Cycles'!$EM$22:$ES$22,1,CS248)+'Lease Cycles'!$BE$22*IF(CS249&lt;INDEX('Lease Cycles'!$FA$22:$FG$22,1,CS248),0,1-INDEX('Lease Cycles'!$EM$22:$ES$22,1,CS248)),IF(OR(INDEX('Lease Cycles'!$DY$22:$EE$22,1,CS248)=1,CS249&gt;0),1,1-INDEX('Lease Cycles'!$DD$22:$DJ$22,1,CS248))*('Lease Cycles'!$AJ$22*INDEX('Lease Cycles'!$FO$22:$FU$22,1,CS248)+'Lease Cycles'!$BE$22*(1-INDEX('Lease Cycles'!$FO$22:$FU$22,1,CS248)))),0)</f>
        <v>0</v>
      </c>
      <c r="CT258" s="24">
        <f>IF(CT250=1,'Lease Cycles'!$D$22*IF(INDEX('Lease Cycles'!$EF$22:$EL$22,1,CT248)=1,'Lease Cycles'!$AJ$22*INDEX('Lease Cycles'!$FO$22:$FU$22,1,CT248)*INDEX('Lease Cycles'!$EM$22:$ES$22,1,CT248)+'Lease Cycles'!$BE$22*IF(CT249&lt;INDEX('Lease Cycles'!$FA$22:$FG$22,1,CT248),0,1-INDEX('Lease Cycles'!$EM$22:$ES$22,1,CT248)),IF(OR(INDEX('Lease Cycles'!$DY$22:$EE$22,1,CT248)=1,CT249&gt;0),1,1-INDEX('Lease Cycles'!$DD$22:$DJ$22,1,CT248))*('Lease Cycles'!$AJ$22*INDEX('Lease Cycles'!$FO$22:$FU$22,1,CT248)+'Lease Cycles'!$BE$22*(1-INDEX('Lease Cycles'!$FO$22:$FU$22,1,CT248)))),0)</f>
        <v>0</v>
      </c>
      <c r="CU258" s="24">
        <f>IF(CU250=1,'Lease Cycles'!$D$22*IF(INDEX('Lease Cycles'!$EF$22:$EL$22,1,CU248)=1,'Lease Cycles'!$AJ$22*INDEX('Lease Cycles'!$FO$22:$FU$22,1,CU248)*INDEX('Lease Cycles'!$EM$22:$ES$22,1,CU248)+'Lease Cycles'!$BE$22*IF(CU249&lt;INDEX('Lease Cycles'!$FA$22:$FG$22,1,CU248),0,1-INDEX('Lease Cycles'!$EM$22:$ES$22,1,CU248)),IF(OR(INDEX('Lease Cycles'!$DY$22:$EE$22,1,CU248)=1,CU249&gt;0),1,1-INDEX('Lease Cycles'!$DD$22:$DJ$22,1,CU248))*('Lease Cycles'!$AJ$22*INDEX('Lease Cycles'!$FO$22:$FU$22,1,CU248)+'Lease Cycles'!$BE$22*(1-INDEX('Lease Cycles'!$FO$22:$FU$22,1,CU248)))),0)</f>
        <v>0</v>
      </c>
      <c r="CV258" s="24">
        <f>IF(CV250=1,'Lease Cycles'!$D$22*IF(INDEX('Lease Cycles'!$EF$22:$EL$22,1,CV248)=1,'Lease Cycles'!$AJ$22*INDEX('Lease Cycles'!$FO$22:$FU$22,1,CV248)*INDEX('Lease Cycles'!$EM$22:$ES$22,1,CV248)+'Lease Cycles'!$BE$22*IF(CV249&lt;INDEX('Lease Cycles'!$FA$22:$FG$22,1,CV248),0,1-INDEX('Lease Cycles'!$EM$22:$ES$22,1,CV248)),IF(OR(INDEX('Lease Cycles'!$DY$22:$EE$22,1,CV248)=1,CV249&gt;0),1,1-INDEX('Lease Cycles'!$DD$22:$DJ$22,1,CV248))*('Lease Cycles'!$AJ$22*INDEX('Lease Cycles'!$FO$22:$FU$22,1,CV248)+'Lease Cycles'!$BE$22*(1-INDEX('Lease Cycles'!$FO$22:$FU$22,1,CV248)))),0)</f>
        <v>0</v>
      </c>
      <c r="CW258" s="24">
        <f>IF(CW250=1,'Lease Cycles'!$D$22*IF(INDEX('Lease Cycles'!$EF$22:$EL$22,1,CW248)=1,'Lease Cycles'!$AJ$22*INDEX('Lease Cycles'!$FO$22:$FU$22,1,CW248)*INDEX('Lease Cycles'!$EM$22:$ES$22,1,CW248)+'Lease Cycles'!$BE$22*IF(CW249&lt;INDEX('Lease Cycles'!$FA$22:$FG$22,1,CW248),0,1-INDEX('Lease Cycles'!$EM$22:$ES$22,1,CW248)),IF(OR(INDEX('Lease Cycles'!$DY$22:$EE$22,1,CW248)=1,CW249&gt;0),1,1-INDEX('Lease Cycles'!$DD$22:$DJ$22,1,CW248))*('Lease Cycles'!$AJ$22*INDEX('Lease Cycles'!$FO$22:$FU$22,1,CW248)+'Lease Cycles'!$BE$22*(1-INDEX('Lease Cycles'!$FO$22:$FU$22,1,CW248)))),0)</f>
        <v>0</v>
      </c>
      <c r="CX258" s="24">
        <f>IF(CX250=1,'Lease Cycles'!$D$22*IF(INDEX('Lease Cycles'!$EF$22:$EL$22,1,CX248)=1,'Lease Cycles'!$AJ$22*INDEX('Lease Cycles'!$FO$22:$FU$22,1,CX248)*INDEX('Lease Cycles'!$EM$22:$ES$22,1,CX248)+'Lease Cycles'!$BE$22*IF(CX249&lt;INDEX('Lease Cycles'!$FA$22:$FG$22,1,CX248),0,1-INDEX('Lease Cycles'!$EM$22:$ES$22,1,CX248)),IF(OR(INDEX('Lease Cycles'!$DY$22:$EE$22,1,CX248)=1,CX249&gt;0),1,1-INDEX('Lease Cycles'!$DD$22:$DJ$22,1,CX248))*('Lease Cycles'!$AJ$22*INDEX('Lease Cycles'!$FO$22:$FU$22,1,CX248)+'Lease Cycles'!$BE$22*(1-INDEX('Lease Cycles'!$FO$22:$FU$22,1,CX248)))),0)</f>
        <v>0</v>
      </c>
      <c r="CY258" s="24">
        <f>IF(CY250=1,'Lease Cycles'!$D$22*IF(INDEX('Lease Cycles'!$EF$22:$EL$22,1,CY248)=1,'Lease Cycles'!$AJ$22*INDEX('Lease Cycles'!$FO$22:$FU$22,1,CY248)*INDEX('Lease Cycles'!$EM$22:$ES$22,1,CY248)+'Lease Cycles'!$BE$22*IF(CY249&lt;INDEX('Lease Cycles'!$FA$22:$FG$22,1,CY248),0,1-INDEX('Lease Cycles'!$EM$22:$ES$22,1,CY248)),IF(OR(INDEX('Lease Cycles'!$DY$22:$EE$22,1,CY248)=1,CY249&gt;0),1,1-INDEX('Lease Cycles'!$DD$22:$DJ$22,1,CY248))*('Lease Cycles'!$AJ$22*INDEX('Lease Cycles'!$FO$22:$FU$22,1,CY248)+'Lease Cycles'!$BE$22*(1-INDEX('Lease Cycles'!$FO$22:$FU$22,1,CY248)))),0)</f>
        <v>0</v>
      </c>
      <c r="CZ258" s="24">
        <f>IF(CZ250=1,'Lease Cycles'!$D$22*IF(INDEX('Lease Cycles'!$EF$22:$EL$22,1,CZ248)=1,'Lease Cycles'!$AJ$22*INDEX('Lease Cycles'!$FO$22:$FU$22,1,CZ248)*INDEX('Lease Cycles'!$EM$22:$ES$22,1,CZ248)+'Lease Cycles'!$BE$22*IF(CZ249&lt;INDEX('Lease Cycles'!$FA$22:$FG$22,1,CZ248),0,1-INDEX('Lease Cycles'!$EM$22:$ES$22,1,CZ248)),IF(OR(INDEX('Lease Cycles'!$DY$22:$EE$22,1,CZ248)=1,CZ249&gt;0),1,1-INDEX('Lease Cycles'!$DD$22:$DJ$22,1,CZ248))*('Lease Cycles'!$AJ$22*INDEX('Lease Cycles'!$FO$22:$FU$22,1,CZ248)+'Lease Cycles'!$BE$22*(1-INDEX('Lease Cycles'!$FO$22:$FU$22,1,CZ248)))),0)</f>
        <v>0</v>
      </c>
      <c r="DA258" s="24">
        <f>IF(DA250=1,'Lease Cycles'!$D$22*IF(INDEX('Lease Cycles'!$EF$22:$EL$22,1,DA248)=1,'Lease Cycles'!$AJ$22*INDEX('Lease Cycles'!$FO$22:$FU$22,1,DA248)*INDEX('Lease Cycles'!$EM$22:$ES$22,1,DA248)+'Lease Cycles'!$BE$22*IF(DA249&lt;INDEX('Lease Cycles'!$FA$22:$FG$22,1,DA248),0,1-INDEX('Lease Cycles'!$EM$22:$ES$22,1,DA248)),IF(OR(INDEX('Lease Cycles'!$DY$22:$EE$22,1,DA248)=1,DA249&gt;0),1,1-INDEX('Lease Cycles'!$DD$22:$DJ$22,1,DA248))*('Lease Cycles'!$AJ$22*INDEX('Lease Cycles'!$FO$22:$FU$22,1,DA248)+'Lease Cycles'!$BE$22*(1-INDEX('Lease Cycles'!$FO$22:$FU$22,1,DA248)))),0)</f>
        <v>0</v>
      </c>
      <c r="DB258" s="24">
        <f>IF(DB250=1,'Lease Cycles'!$D$22*IF(INDEX('Lease Cycles'!$EF$22:$EL$22,1,DB248)=1,'Lease Cycles'!$AJ$22*INDEX('Lease Cycles'!$FO$22:$FU$22,1,DB248)*INDEX('Lease Cycles'!$EM$22:$ES$22,1,DB248)+'Lease Cycles'!$BE$22*IF(DB249&lt;INDEX('Lease Cycles'!$FA$22:$FG$22,1,DB248),0,1-INDEX('Lease Cycles'!$EM$22:$ES$22,1,DB248)),IF(OR(INDEX('Lease Cycles'!$DY$22:$EE$22,1,DB248)=1,DB249&gt;0),1,1-INDEX('Lease Cycles'!$DD$22:$DJ$22,1,DB248))*('Lease Cycles'!$AJ$22*INDEX('Lease Cycles'!$FO$22:$FU$22,1,DB248)+'Lease Cycles'!$BE$22*(1-INDEX('Lease Cycles'!$FO$22:$FU$22,1,DB248)))),0)</f>
        <v>0</v>
      </c>
      <c r="DC258" s="24">
        <f>IF(DC250=1,'Lease Cycles'!$D$22*IF(INDEX('Lease Cycles'!$EF$22:$EL$22,1,DC248)=1,'Lease Cycles'!$AJ$22*INDEX('Lease Cycles'!$FO$22:$FU$22,1,DC248)*INDEX('Lease Cycles'!$EM$22:$ES$22,1,DC248)+'Lease Cycles'!$BE$22*IF(DC249&lt;INDEX('Lease Cycles'!$FA$22:$FG$22,1,DC248),0,1-INDEX('Lease Cycles'!$EM$22:$ES$22,1,DC248)),IF(OR(INDEX('Lease Cycles'!$DY$22:$EE$22,1,DC248)=1,DC249&gt;0),1,1-INDEX('Lease Cycles'!$DD$22:$DJ$22,1,DC248))*('Lease Cycles'!$AJ$22*INDEX('Lease Cycles'!$FO$22:$FU$22,1,DC248)+'Lease Cycles'!$BE$22*(1-INDEX('Lease Cycles'!$FO$22:$FU$22,1,DC248)))),0)</f>
        <v>0</v>
      </c>
      <c r="DD258" s="24">
        <f>IF(DD250=1,'Lease Cycles'!$D$22*IF(INDEX('Lease Cycles'!$EF$22:$EL$22,1,DD248)=1,'Lease Cycles'!$AJ$22*INDEX('Lease Cycles'!$FO$22:$FU$22,1,DD248)*INDEX('Lease Cycles'!$EM$22:$ES$22,1,DD248)+'Lease Cycles'!$BE$22*IF(DD249&lt;INDEX('Lease Cycles'!$FA$22:$FG$22,1,DD248),0,1-INDEX('Lease Cycles'!$EM$22:$ES$22,1,DD248)),IF(OR(INDEX('Lease Cycles'!$DY$22:$EE$22,1,DD248)=1,DD249&gt;0),1,1-INDEX('Lease Cycles'!$DD$22:$DJ$22,1,DD248))*('Lease Cycles'!$AJ$22*INDEX('Lease Cycles'!$FO$22:$FU$22,1,DD248)+'Lease Cycles'!$BE$22*(1-INDEX('Lease Cycles'!$FO$22:$FU$22,1,DD248)))),0)</f>
        <v>0</v>
      </c>
      <c r="DE258" s="24">
        <f>IF(DE250=1,'Lease Cycles'!$D$22*IF(INDEX('Lease Cycles'!$EF$22:$EL$22,1,DE248)=1,'Lease Cycles'!$AJ$22*INDEX('Lease Cycles'!$FO$22:$FU$22,1,DE248)*INDEX('Lease Cycles'!$EM$22:$ES$22,1,DE248)+'Lease Cycles'!$BE$22*IF(DE249&lt;INDEX('Lease Cycles'!$FA$22:$FG$22,1,DE248),0,1-INDEX('Lease Cycles'!$EM$22:$ES$22,1,DE248)),IF(OR(INDEX('Lease Cycles'!$DY$22:$EE$22,1,DE248)=1,DE249&gt;0),1,1-INDEX('Lease Cycles'!$DD$22:$DJ$22,1,DE248))*('Lease Cycles'!$AJ$22*INDEX('Lease Cycles'!$FO$22:$FU$22,1,DE248)+'Lease Cycles'!$BE$22*(1-INDEX('Lease Cycles'!$FO$22:$FU$22,1,DE248)))),0)</f>
        <v>0</v>
      </c>
      <c r="DF258" s="24">
        <f>IF(DF250=1,'Lease Cycles'!$D$22*IF(INDEX('Lease Cycles'!$EF$22:$EL$22,1,DF248)=1,'Lease Cycles'!$AJ$22*INDEX('Lease Cycles'!$FO$22:$FU$22,1,DF248)*INDEX('Lease Cycles'!$EM$22:$ES$22,1,DF248)+'Lease Cycles'!$BE$22*IF(DF249&lt;INDEX('Lease Cycles'!$FA$22:$FG$22,1,DF248),0,1-INDEX('Lease Cycles'!$EM$22:$ES$22,1,DF248)),IF(OR(INDEX('Lease Cycles'!$DY$22:$EE$22,1,DF248)=1,DF249&gt;0),1,1-INDEX('Lease Cycles'!$DD$22:$DJ$22,1,DF248))*('Lease Cycles'!$AJ$22*INDEX('Lease Cycles'!$FO$22:$FU$22,1,DF248)+'Lease Cycles'!$BE$22*(1-INDEX('Lease Cycles'!$FO$22:$FU$22,1,DF248)))),0)</f>
        <v>0</v>
      </c>
      <c r="DG258" s="24">
        <f>IF(DG250=1,'Lease Cycles'!$D$22*IF(INDEX('Lease Cycles'!$EF$22:$EL$22,1,DG248)=1,'Lease Cycles'!$AJ$22*INDEX('Lease Cycles'!$FO$22:$FU$22,1,DG248)*INDEX('Lease Cycles'!$EM$22:$ES$22,1,DG248)+'Lease Cycles'!$BE$22*IF(DG249&lt;INDEX('Lease Cycles'!$FA$22:$FG$22,1,DG248),0,1-INDEX('Lease Cycles'!$EM$22:$ES$22,1,DG248)),IF(OR(INDEX('Lease Cycles'!$DY$22:$EE$22,1,DG248)=1,DG249&gt;0),1,1-INDEX('Lease Cycles'!$DD$22:$DJ$22,1,DG248))*('Lease Cycles'!$AJ$22*INDEX('Lease Cycles'!$FO$22:$FU$22,1,DG248)+'Lease Cycles'!$BE$22*(1-INDEX('Lease Cycles'!$FO$22:$FU$22,1,DG248)))),0)</f>
        <v>0</v>
      </c>
      <c r="DH258" s="24">
        <f>IF(DH250=1,'Lease Cycles'!$D$22*IF(INDEX('Lease Cycles'!$EF$22:$EL$22,1,DH248)=1,'Lease Cycles'!$AJ$22*INDEX('Lease Cycles'!$FO$22:$FU$22,1,DH248)*INDEX('Lease Cycles'!$EM$22:$ES$22,1,DH248)+'Lease Cycles'!$BE$22*IF(DH249&lt;INDEX('Lease Cycles'!$FA$22:$FG$22,1,DH248),0,1-INDEX('Lease Cycles'!$EM$22:$ES$22,1,DH248)),IF(OR(INDEX('Lease Cycles'!$DY$22:$EE$22,1,DH248)=1,DH249&gt;0),1,1-INDEX('Lease Cycles'!$DD$22:$DJ$22,1,DH248))*('Lease Cycles'!$AJ$22*INDEX('Lease Cycles'!$FO$22:$FU$22,1,DH248)+'Lease Cycles'!$BE$22*(1-INDEX('Lease Cycles'!$FO$22:$FU$22,1,DH248)))),0)</f>
        <v>0</v>
      </c>
      <c r="DI258" s="24">
        <f>IF(DI250=1,'Lease Cycles'!$D$22*IF(INDEX('Lease Cycles'!$EF$22:$EL$22,1,DI248)=1,'Lease Cycles'!$AJ$22*INDEX('Lease Cycles'!$FO$22:$FU$22,1,DI248)*INDEX('Lease Cycles'!$EM$22:$ES$22,1,DI248)+'Lease Cycles'!$BE$22*IF(DI249&lt;INDEX('Lease Cycles'!$FA$22:$FG$22,1,DI248),0,1-INDEX('Lease Cycles'!$EM$22:$ES$22,1,DI248)),IF(OR(INDEX('Lease Cycles'!$DY$22:$EE$22,1,DI248)=1,DI249&gt;0),1,1-INDEX('Lease Cycles'!$DD$22:$DJ$22,1,DI248))*('Lease Cycles'!$AJ$22*INDEX('Lease Cycles'!$FO$22:$FU$22,1,DI248)+'Lease Cycles'!$BE$22*(1-INDEX('Lease Cycles'!$FO$22:$FU$22,1,DI248)))),0)</f>
        <v>0</v>
      </c>
      <c r="DJ258" s="24">
        <f>IF(DJ250=1,'Lease Cycles'!$D$22*IF(INDEX('Lease Cycles'!$EF$22:$EL$22,1,DJ248)=1,'Lease Cycles'!$AJ$22*INDEX('Lease Cycles'!$FO$22:$FU$22,1,DJ248)*INDEX('Lease Cycles'!$EM$22:$ES$22,1,DJ248)+'Lease Cycles'!$BE$22*IF(DJ249&lt;INDEX('Lease Cycles'!$FA$22:$FG$22,1,DJ248),0,1-INDEX('Lease Cycles'!$EM$22:$ES$22,1,DJ248)),IF(OR(INDEX('Lease Cycles'!$DY$22:$EE$22,1,DJ248)=1,DJ249&gt;0),1,1-INDEX('Lease Cycles'!$DD$22:$DJ$22,1,DJ248))*('Lease Cycles'!$AJ$22*INDEX('Lease Cycles'!$FO$22:$FU$22,1,DJ248)+'Lease Cycles'!$BE$22*(1-INDEX('Lease Cycles'!$FO$22:$FU$22,1,DJ248)))),0)</f>
        <v>0</v>
      </c>
      <c r="DK258" s="24">
        <f>IF(DK250=1,'Lease Cycles'!$D$22*IF(INDEX('Lease Cycles'!$EF$22:$EL$22,1,DK248)=1,'Lease Cycles'!$AJ$22*INDEX('Lease Cycles'!$FO$22:$FU$22,1,DK248)*INDEX('Lease Cycles'!$EM$22:$ES$22,1,DK248)+'Lease Cycles'!$BE$22*IF(DK249&lt;INDEX('Lease Cycles'!$FA$22:$FG$22,1,DK248),0,1-INDEX('Lease Cycles'!$EM$22:$ES$22,1,DK248)),IF(OR(INDEX('Lease Cycles'!$DY$22:$EE$22,1,DK248)=1,DK249&gt;0),1,1-INDEX('Lease Cycles'!$DD$22:$DJ$22,1,DK248))*('Lease Cycles'!$AJ$22*INDEX('Lease Cycles'!$FO$22:$FU$22,1,DK248)+'Lease Cycles'!$BE$22*(1-INDEX('Lease Cycles'!$FO$22:$FU$22,1,DK248)))),0)</f>
        <v>0</v>
      </c>
      <c r="DL258" s="24">
        <f>IF(DL250=1,'Lease Cycles'!$D$22*IF(INDEX('Lease Cycles'!$EF$22:$EL$22,1,DL248)=1,'Lease Cycles'!$AJ$22*INDEX('Lease Cycles'!$FO$22:$FU$22,1,DL248)*INDEX('Lease Cycles'!$EM$22:$ES$22,1,DL248)+'Lease Cycles'!$BE$22*IF(DL249&lt;INDEX('Lease Cycles'!$FA$22:$FG$22,1,DL248),0,1-INDEX('Lease Cycles'!$EM$22:$ES$22,1,DL248)),IF(OR(INDEX('Lease Cycles'!$DY$22:$EE$22,1,DL248)=1,DL249&gt;0),1,1-INDEX('Lease Cycles'!$DD$22:$DJ$22,1,DL248))*('Lease Cycles'!$AJ$22*INDEX('Lease Cycles'!$FO$22:$FU$22,1,DL248)+'Lease Cycles'!$BE$22*(1-INDEX('Lease Cycles'!$FO$22:$FU$22,1,DL248)))),0)</f>
        <v>0</v>
      </c>
      <c r="DM258" s="24">
        <f>IF(DM250=1,'Lease Cycles'!$D$22*IF(INDEX('Lease Cycles'!$EF$22:$EL$22,1,DM248)=1,'Lease Cycles'!$AJ$22*INDEX('Lease Cycles'!$FO$22:$FU$22,1,DM248)*INDEX('Lease Cycles'!$EM$22:$ES$22,1,DM248)+'Lease Cycles'!$BE$22*IF(DM249&lt;INDEX('Lease Cycles'!$FA$22:$FG$22,1,DM248),0,1-INDEX('Lease Cycles'!$EM$22:$ES$22,1,DM248)),IF(OR(INDEX('Lease Cycles'!$DY$22:$EE$22,1,DM248)=1,DM249&gt;0),1,1-INDEX('Lease Cycles'!$DD$22:$DJ$22,1,DM248))*('Lease Cycles'!$AJ$22*INDEX('Lease Cycles'!$FO$22:$FU$22,1,DM248)+'Lease Cycles'!$BE$22*(1-INDEX('Lease Cycles'!$FO$22:$FU$22,1,DM248)))),0)</f>
        <v>0</v>
      </c>
      <c r="DN258" s="24">
        <f>IF(DN250=1,'Lease Cycles'!$D$22*IF(INDEX('Lease Cycles'!$EF$22:$EL$22,1,DN248)=1,'Lease Cycles'!$AJ$22*INDEX('Lease Cycles'!$FO$22:$FU$22,1,DN248)*INDEX('Lease Cycles'!$EM$22:$ES$22,1,DN248)+'Lease Cycles'!$BE$22*IF(DN249&lt;INDEX('Lease Cycles'!$FA$22:$FG$22,1,DN248),0,1-INDEX('Lease Cycles'!$EM$22:$ES$22,1,DN248)),IF(OR(INDEX('Lease Cycles'!$DY$22:$EE$22,1,DN248)=1,DN249&gt;0),1,1-INDEX('Lease Cycles'!$DD$22:$DJ$22,1,DN248))*('Lease Cycles'!$AJ$22*INDEX('Lease Cycles'!$FO$22:$FU$22,1,DN248)+'Lease Cycles'!$BE$22*(1-INDEX('Lease Cycles'!$FO$22:$FU$22,1,DN248)))),0)</f>
        <v>0</v>
      </c>
      <c r="DO258" s="24">
        <f>IF(DO250=1,'Lease Cycles'!$D$22*IF(INDEX('Lease Cycles'!$EF$22:$EL$22,1,DO248)=1,'Lease Cycles'!$AJ$22*INDEX('Lease Cycles'!$FO$22:$FU$22,1,DO248)*INDEX('Lease Cycles'!$EM$22:$ES$22,1,DO248)+'Lease Cycles'!$BE$22*IF(DO249&lt;INDEX('Lease Cycles'!$FA$22:$FG$22,1,DO248),0,1-INDEX('Lease Cycles'!$EM$22:$ES$22,1,DO248)),IF(OR(INDEX('Lease Cycles'!$DY$22:$EE$22,1,DO248)=1,DO249&gt;0),1,1-INDEX('Lease Cycles'!$DD$22:$DJ$22,1,DO248))*('Lease Cycles'!$AJ$22*INDEX('Lease Cycles'!$FO$22:$FU$22,1,DO248)+'Lease Cycles'!$BE$22*(1-INDEX('Lease Cycles'!$FO$22:$FU$22,1,DO248)))),0)</f>
        <v>0</v>
      </c>
      <c r="DP258" s="24">
        <f>IF(DP250=1,'Lease Cycles'!$D$22*IF(INDEX('Lease Cycles'!$EF$22:$EL$22,1,DP248)=1,'Lease Cycles'!$AJ$22*INDEX('Lease Cycles'!$FO$22:$FU$22,1,DP248)*INDEX('Lease Cycles'!$EM$22:$ES$22,1,DP248)+'Lease Cycles'!$BE$22*IF(DP249&lt;INDEX('Lease Cycles'!$FA$22:$FG$22,1,DP248),0,1-INDEX('Lease Cycles'!$EM$22:$ES$22,1,DP248)),IF(OR(INDEX('Lease Cycles'!$DY$22:$EE$22,1,DP248)=1,DP249&gt;0),1,1-INDEX('Lease Cycles'!$DD$22:$DJ$22,1,DP248))*('Lease Cycles'!$AJ$22*INDEX('Lease Cycles'!$FO$22:$FU$22,1,DP248)+'Lease Cycles'!$BE$22*(1-INDEX('Lease Cycles'!$FO$22:$FU$22,1,DP248)))),0)</f>
        <v>0</v>
      </c>
      <c r="DQ258" s="24">
        <f>IF(DQ250=1,'Lease Cycles'!$D$22*IF(INDEX('Lease Cycles'!$EF$22:$EL$22,1,DQ248)=1,'Lease Cycles'!$AJ$22*INDEX('Lease Cycles'!$FO$22:$FU$22,1,DQ248)*INDEX('Lease Cycles'!$EM$22:$ES$22,1,DQ248)+'Lease Cycles'!$BE$22*IF(DQ249&lt;INDEX('Lease Cycles'!$FA$22:$FG$22,1,DQ248),0,1-INDEX('Lease Cycles'!$EM$22:$ES$22,1,DQ248)),IF(OR(INDEX('Lease Cycles'!$DY$22:$EE$22,1,DQ248)=1,DQ249&gt;0),1,1-INDEX('Lease Cycles'!$DD$22:$DJ$22,1,DQ248))*('Lease Cycles'!$AJ$22*INDEX('Lease Cycles'!$FO$22:$FU$22,1,DQ248)+'Lease Cycles'!$BE$22*(1-INDEX('Lease Cycles'!$FO$22:$FU$22,1,DQ248)))),0)</f>
        <v>0</v>
      </c>
      <c r="DR258" s="24">
        <f>IF(DR250=1,'Lease Cycles'!$D$22*IF(INDEX('Lease Cycles'!$EF$22:$EL$22,1,DR248)=1,'Lease Cycles'!$AJ$22*INDEX('Lease Cycles'!$FO$22:$FU$22,1,DR248)*INDEX('Lease Cycles'!$EM$22:$ES$22,1,DR248)+'Lease Cycles'!$BE$22*IF(DR249&lt;INDEX('Lease Cycles'!$FA$22:$FG$22,1,DR248),0,1-INDEX('Lease Cycles'!$EM$22:$ES$22,1,DR248)),IF(OR(INDEX('Lease Cycles'!$DY$22:$EE$22,1,DR248)=1,DR249&gt;0),1,1-INDEX('Lease Cycles'!$DD$22:$DJ$22,1,DR248))*('Lease Cycles'!$AJ$22*INDEX('Lease Cycles'!$FO$22:$FU$22,1,DR248)+'Lease Cycles'!$BE$22*(1-INDEX('Lease Cycles'!$FO$22:$FU$22,1,DR248)))),0)</f>
        <v>0</v>
      </c>
      <c r="DS258" s="24">
        <f>IF(DS250=1,'Lease Cycles'!$D$22*IF(INDEX('Lease Cycles'!$EF$22:$EL$22,1,DS248)=1,'Lease Cycles'!$AJ$22*INDEX('Lease Cycles'!$FO$22:$FU$22,1,DS248)*INDEX('Lease Cycles'!$EM$22:$ES$22,1,DS248)+'Lease Cycles'!$BE$22*IF(DS249&lt;INDEX('Lease Cycles'!$FA$22:$FG$22,1,DS248),0,1-INDEX('Lease Cycles'!$EM$22:$ES$22,1,DS248)),IF(OR(INDEX('Lease Cycles'!$DY$22:$EE$22,1,DS248)=1,DS249&gt;0),1,1-INDEX('Lease Cycles'!$DD$22:$DJ$22,1,DS248))*('Lease Cycles'!$AJ$22*INDEX('Lease Cycles'!$FO$22:$FU$22,1,DS248)+'Lease Cycles'!$BE$22*(1-INDEX('Lease Cycles'!$FO$22:$FU$22,1,DS248)))),0)</f>
        <v>0</v>
      </c>
      <c r="DT258" s="24">
        <f>IF(DT250=1,'Lease Cycles'!$D$22*IF(INDEX('Lease Cycles'!$EF$22:$EL$22,1,DT248)=1,'Lease Cycles'!$AJ$22*INDEX('Lease Cycles'!$FO$22:$FU$22,1,DT248)*INDEX('Lease Cycles'!$EM$22:$ES$22,1,DT248)+'Lease Cycles'!$BE$22*IF(DT249&lt;INDEX('Lease Cycles'!$FA$22:$FG$22,1,DT248),0,1-INDEX('Lease Cycles'!$EM$22:$ES$22,1,DT248)),IF(OR(INDEX('Lease Cycles'!$DY$22:$EE$22,1,DT248)=1,DT249&gt;0),1,1-INDEX('Lease Cycles'!$DD$22:$DJ$22,1,DT248))*('Lease Cycles'!$AJ$22*INDEX('Lease Cycles'!$FO$22:$FU$22,1,DT248)+'Lease Cycles'!$BE$22*(1-INDEX('Lease Cycles'!$FO$22:$FU$22,1,DT248)))),0)</f>
        <v>0</v>
      </c>
      <c r="DU258" s="24">
        <f>IF(DU250=1,'Lease Cycles'!$D$22*IF(INDEX('Lease Cycles'!$EF$22:$EL$22,1,DU248)=1,'Lease Cycles'!$AJ$22*INDEX('Lease Cycles'!$FO$22:$FU$22,1,DU248)*INDEX('Lease Cycles'!$EM$22:$ES$22,1,DU248)+'Lease Cycles'!$BE$22*IF(DU249&lt;INDEX('Lease Cycles'!$FA$22:$FG$22,1,DU248),0,1-INDEX('Lease Cycles'!$EM$22:$ES$22,1,DU248)),IF(OR(INDEX('Lease Cycles'!$DY$22:$EE$22,1,DU248)=1,DU249&gt;0),1,1-INDEX('Lease Cycles'!$DD$22:$DJ$22,1,DU248))*('Lease Cycles'!$AJ$22*INDEX('Lease Cycles'!$FO$22:$FU$22,1,DU248)+'Lease Cycles'!$BE$22*(1-INDEX('Lease Cycles'!$FO$22:$FU$22,1,DU248)))),0)</f>
        <v>0</v>
      </c>
      <c r="DV258" s="24">
        <f>IF(DV250=1,'Lease Cycles'!$D$22*IF(INDEX('Lease Cycles'!$EF$22:$EL$22,1,DV248)=1,'Lease Cycles'!$AJ$22*INDEX('Lease Cycles'!$FO$22:$FU$22,1,DV248)*INDEX('Lease Cycles'!$EM$22:$ES$22,1,DV248)+'Lease Cycles'!$BE$22*IF(DV249&lt;INDEX('Lease Cycles'!$FA$22:$FG$22,1,DV248),0,1-INDEX('Lease Cycles'!$EM$22:$ES$22,1,DV248)),IF(OR(INDEX('Lease Cycles'!$DY$22:$EE$22,1,DV248)=1,DV249&gt;0),1,1-INDEX('Lease Cycles'!$DD$22:$DJ$22,1,DV248))*('Lease Cycles'!$AJ$22*INDEX('Lease Cycles'!$FO$22:$FU$22,1,DV248)+'Lease Cycles'!$BE$22*(1-INDEX('Lease Cycles'!$FO$22:$FU$22,1,DV248)))),0)</f>
        <v>0</v>
      </c>
      <c r="DW258" s="24">
        <f>IF(DW250=1,'Lease Cycles'!$D$22*IF(INDEX('Lease Cycles'!$EF$22:$EL$22,1,DW248)=1,'Lease Cycles'!$AJ$22*INDEX('Lease Cycles'!$FO$22:$FU$22,1,DW248)*INDEX('Lease Cycles'!$EM$22:$ES$22,1,DW248)+'Lease Cycles'!$BE$22*IF(DW249&lt;INDEX('Lease Cycles'!$FA$22:$FG$22,1,DW248),0,1-INDEX('Lease Cycles'!$EM$22:$ES$22,1,DW248)),IF(OR(INDEX('Lease Cycles'!$DY$22:$EE$22,1,DW248)=1,DW249&gt;0),1,1-INDEX('Lease Cycles'!$DD$22:$DJ$22,1,DW248))*('Lease Cycles'!$AJ$22*INDEX('Lease Cycles'!$FO$22:$FU$22,1,DW248)+'Lease Cycles'!$BE$22*(1-INDEX('Lease Cycles'!$FO$22:$FU$22,1,DW248)))),0)</f>
        <v>0</v>
      </c>
      <c r="DX258" s="24">
        <f>IF(DX250=1,'Lease Cycles'!$D$22*IF(INDEX('Lease Cycles'!$EF$22:$EL$22,1,DX248)=1,'Lease Cycles'!$AJ$22*INDEX('Lease Cycles'!$FO$22:$FU$22,1,DX248)*INDEX('Lease Cycles'!$EM$22:$ES$22,1,DX248)+'Lease Cycles'!$BE$22*IF(DX249&lt;INDEX('Lease Cycles'!$FA$22:$FG$22,1,DX248),0,1-INDEX('Lease Cycles'!$EM$22:$ES$22,1,DX248)),IF(OR(INDEX('Lease Cycles'!$DY$22:$EE$22,1,DX248)=1,DX249&gt;0),1,1-INDEX('Lease Cycles'!$DD$22:$DJ$22,1,DX248))*('Lease Cycles'!$AJ$22*INDEX('Lease Cycles'!$FO$22:$FU$22,1,DX248)+'Lease Cycles'!$BE$22*(1-INDEX('Lease Cycles'!$FO$22:$FU$22,1,DX248)))),0)</f>
        <v>0</v>
      </c>
      <c r="DY258" s="24">
        <f>IF(DY250=1,'Lease Cycles'!$D$22*IF(INDEX('Lease Cycles'!$EF$22:$EL$22,1,DY248)=1,'Lease Cycles'!$AJ$22*INDEX('Lease Cycles'!$FO$22:$FU$22,1,DY248)*INDEX('Lease Cycles'!$EM$22:$ES$22,1,DY248)+'Lease Cycles'!$BE$22*IF(DY249&lt;INDEX('Lease Cycles'!$FA$22:$FG$22,1,DY248),0,1-INDEX('Lease Cycles'!$EM$22:$ES$22,1,DY248)),IF(OR(INDEX('Lease Cycles'!$DY$22:$EE$22,1,DY248)=1,DY249&gt;0),1,1-INDEX('Lease Cycles'!$DD$22:$DJ$22,1,DY248))*('Lease Cycles'!$AJ$22*INDEX('Lease Cycles'!$FO$22:$FU$22,1,DY248)+'Lease Cycles'!$BE$22*(1-INDEX('Lease Cycles'!$FO$22:$FU$22,1,DY248)))),0)</f>
        <v>0</v>
      </c>
      <c r="DZ258" s="24">
        <f>IF(DZ250=1,'Lease Cycles'!$D$22*IF(INDEX('Lease Cycles'!$EF$22:$EL$22,1,DZ248)=1,'Lease Cycles'!$AJ$22*INDEX('Lease Cycles'!$FO$22:$FU$22,1,DZ248)*INDEX('Lease Cycles'!$EM$22:$ES$22,1,DZ248)+'Lease Cycles'!$BE$22*IF(DZ249&lt;INDEX('Lease Cycles'!$FA$22:$FG$22,1,DZ248),0,1-INDEX('Lease Cycles'!$EM$22:$ES$22,1,DZ248)),IF(OR(INDEX('Lease Cycles'!$DY$22:$EE$22,1,DZ248)=1,DZ249&gt;0),1,1-INDEX('Lease Cycles'!$DD$22:$DJ$22,1,DZ248))*('Lease Cycles'!$AJ$22*INDEX('Lease Cycles'!$FO$22:$FU$22,1,DZ248)+'Lease Cycles'!$BE$22*(1-INDEX('Lease Cycles'!$FO$22:$FU$22,1,DZ248)))),0)</f>
        <v>0</v>
      </c>
      <c r="EA258" s="24">
        <f>IF(EA250=1,'Lease Cycles'!$D$22*IF(INDEX('Lease Cycles'!$EF$22:$EL$22,1,EA248)=1,'Lease Cycles'!$AJ$22*INDEX('Lease Cycles'!$FO$22:$FU$22,1,EA248)*INDEX('Lease Cycles'!$EM$22:$ES$22,1,EA248)+'Lease Cycles'!$BE$22*IF(EA249&lt;INDEX('Lease Cycles'!$FA$22:$FG$22,1,EA248),0,1-INDEX('Lease Cycles'!$EM$22:$ES$22,1,EA248)),IF(OR(INDEX('Lease Cycles'!$DY$22:$EE$22,1,EA248)=1,EA249&gt;0),1,1-INDEX('Lease Cycles'!$DD$22:$DJ$22,1,EA248))*('Lease Cycles'!$AJ$22*INDEX('Lease Cycles'!$FO$22:$FU$22,1,EA248)+'Lease Cycles'!$BE$22*(1-INDEX('Lease Cycles'!$FO$22:$FU$22,1,EA248)))),0)</f>
        <v>0</v>
      </c>
      <c r="EB258" s="24">
        <f>IF(EB250=1,'Lease Cycles'!$D$22*IF(INDEX('Lease Cycles'!$EF$22:$EL$22,1,EB248)=1,'Lease Cycles'!$AJ$22*INDEX('Lease Cycles'!$FO$22:$FU$22,1,EB248)*INDEX('Lease Cycles'!$EM$22:$ES$22,1,EB248)+'Lease Cycles'!$BE$22*IF(EB249&lt;INDEX('Lease Cycles'!$FA$22:$FG$22,1,EB248),0,1-INDEX('Lease Cycles'!$EM$22:$ES$22,1,EB248)),IF(OR(INDEX('Lease Cycles'!$DY$22:$EE$22,1,EB248)=1,EB249&gt;0),1,1-INDEX('Lease Cycles'!$DD$22:$DJ$22,1,EB248))*('Lease Cycles'!$AJ$22*INDEX('Lease Cycles'!$FO$22:$FU$22,1,EB248)+'Lease Cycles'!$BE$22*(1-INDEX('Lease Cycles'!$FO$22:$FU$22,1,EB248)))),0)</f>
        <v>0</v>
      </c>
      <c r="EC258" s="24">
        <f>IF(EC250=1,'Lease Cycles'!$D$22*IF(INDEX('Lease Cycles'!$EF$22:$EL$22,1,EC248)=1,'Lease Cycles'!$AJ$22*INDEX('Lease Cycles'!$FO$22:$FU$22,1,EC248)*INDEX('Lease Cycles'!$EM$22:$ES$22,1,EC248)+'Lease Cycles'!$BE$22*IF(EC249&lt;INDEX('Lease Cycles'!$FA$22:$FG$22,1,EC248),0,1-INDEX('Lease Cycles'!$EM$22:$ES$22,1,EC248)),IF(OR(INDEX('Lease Cycles'!$DY$22:$EE$22,1,EC248)=1,EC249&gt;0),1,1-INDEX('Lease Cycles'!$DD$22:$DJ$22,1,EC248))*('Lease Cycles'!$AJ$22*INDEX('Lease Cycles'!$FO$22:$FU$22,1,EC248)+'Lease Cycles'!$BE$22*(1-INDEX('Lease Cycles'!$FO$22:$FU$22,1,EC248)))),0)</f>
        <v>0</v>
      </c>
      <c r="ED258" s="24">
        <f>IF(ED250=1,'Lease Cycles'!$D$22*IF(INDEX('Lease Cycles'!$EF$22:$EL$22,1,ED248)=1,'Lease Cycles'!$AJ$22*INDEX('Lease Cycles'!$FO$22:$FU$22,1,ED248)*INDEX('Lease Cycles'!$EM$22:$ES$22,1,ED248)+'Lease Cycles'!$BE$22*IF(ED249&lt;INDEX('Lease Cycles'!$FA$22:$FG$22,1,ED248),0,1-INDEX('Lease Cycles'!$EM$22:$ES$22,1,ED248)),IF(OR(INDEX('Lease Cycles'!$DY$22:$EE$22,1,ED248)=1,ED249&gt;0),1,1-INDEX('Lease Cycles'!$DD$22:$DJ$22,1,ED248))*('Lease Cycles'!$AJ$22*INDEX('Lease Cycles'!$FO$22:$FU$22,1,ED248)+'Lease Cycles'!$BE$22*(1-INDEX('Lease Cycles'!$FO$22:$FU$22,1,ED248)))),0)</f>
        <v>0</v>
      </c>
      <c r="EE258" s="24">
        <f>IF(EE250=1,'Lease Cycles'!$D$22*IF(INDEX('Lease Cycles'!$EF$22:$EL$22,1,EE248)=1,'Lease Cycles'!$AJ$22*INDEX('Lease Cycles'!$FO$22:$FU$22,1,EE248)*INDEX('Lease Cycles'!$EM$22:$ES$22,1,EE248)+'Lease Cycles'!$BE$22*IF(EE249&lt;INDEX('Lease Cycles'!$FA$22:$FG$22,1,EE248),0,1-INDEX('Lease Cycles'!$EM$22:$ES$22,1,EE248)),IF(OR(INDEX('Lease Cycles'!$DY$22:$EE$22,1,EE248)=1,EE249&gt;0),1,1-INDEX('Lease Cycles'!$DD$22:$DJ$22,1,EE248))*('Lease Cycles'!$AJ$22*INDEX('Lease Cycles'!$FO$22:$FU$22,1,EE248)+'Lease Cycles'!$BE$22*(1-INDEX('Lease Cycles'!$FO$22:$FU$22,1,EE248)))),0)</f>
        <v>0</v>
      </c>
      <c r="EF258" s="24">
        <f>IF(EF250=1,'Lease Cycles'!$D$22*IF(INDEX('Lease Cycles'!$EF$22:$EL$22,1,EF248)=1,'Lease Cycles'!$AJ$22*INDEX('Lease Cycles'!$FO$22:$FU$22,1,EF248)*INDEX('Lease Cycles'!$EM$22:$ES$22,1,EF248)+'Lease Cycles'!$BE$22*IF(EF249&lt;INDEX('Lease Cycles'!$FA$22:$FG$22,1,EF248),0,1-INDEX('Lease Cycles'!$EM$22:$ES$22,1,EF248)),IF(OR(INDEX('Lease Cycles'!$DY$22:$EE$22,1,EF248)=1,EF249&gt;0),1,1-INDEX('Lease Cycles'!$DD$22:$DJ$22,1,EF248))*('Lease Cycles'!$AJ$22*INDEX('Lease Cycles'!$FO$22:$FU$22,1,EF248)+'Lease Cycles'!$BE$22*(1-INDEX('Lease Cycles'!$FO$22:$FU$22,1,EF248)))),0)</f>
        <v>0</v>
      </c>
      <c r="EG258" s="24">
        <f>IF(EG250=1,'Lease Cycles'!$D$22*IF(INDEX('Lease Cycles'!$EF$22:$EL$22,1,EG248)=1,'Lease Cycles'!$AJ$22*INDEX('Lease Cycles'!$FO$22:$FU$22,1,EG248)*INDEX('Lease Cycles'!$EM$22:$ES$22,1,EG248)+'Lease Cycles'!$BE$22*IF(EG249&lt;INDEX('Lease Cycles'!$FA$22:$FG$22,1,EG248),0,1-INDEX('Lease Cycles'!$EM$22:$ES$22,1,EG248)),IF(OR(INDEX('Lease Cycles'!$DY$22:$EE$22,1,EG248)=1,EG249&gt;0),1,1-INDEX('Lease Cycles'!$DD$22:$DJ$22,1,EG248))*('Lease Cycles'!$AJ$22*INDEX('Lease Cycles'!$FO$22:$FU$22,1,EG248)+'Lease Cycles'!$BE$22*(1-INDEX('Lease Cycles'!$FO$22:$FU$22,1,EG248)))),0)</f>
        <v>0</v>
      </c>
      <c r="EH258" s="24">
        <f>IF(EH250=1,'Lease Cycles'!$D$22*IF(INDEX('Lease Cycles'!$EF$22:$EL$22,1,EH248)=1,'Lease Cycles'!$AJ$22*INDEX('Lease Cycles'!$FO$22:$FU$22,1,EH248)*INDEX('Lease Cycles'!$EM$22:$ES$22,1,EH248)+'Lease Cycles'!$BE$22*IF(EH249&lt;INDEX('Lease Cycles'!$FA$22:$FG$22,1,EH248),0,1-INDEX('Lease Cycles'!$EM$22:$ES$22,1,EH248)),IF(OR(INDEX('Lease Cycles'!$DY$22:$EE$22,1,EH248)=1,EH249&gt;0),1,1-INDEX('Lease Cycles'!$DD$22:$DJ$22,1,EH248))*('Lease Cycles'!$AJ$22*INDEX('Lease Cycles'!$FO$22:$FU$22,1,EH248)+'Lease Cycles'!$BE$22*(1-INDEX('Lease Cycles'!$FO$22:$FU$22,1,EH248)))),0)</f>
        <v>0</v>
      </c>
      <c r="EI258" s="24">
        <f>IF(EI250=1,'Lease Cycles'!$D$22*IF(INDEX('Lease Cycles'!$EF$22:$EL$22,1,EI248)=1,'Lease Cycles'!$AJ$22*INDEX('Lease Cycles'!$FO$22:$FU$22,1,EI248)*INDEX('Lease Cycles'!$EM$22:$ES$22,1,EI248)+'Lease Cycles'!$BE$22*IF(EI249&lt;INDEX('Lease Cycles'!$FA$22:$FG$22,1,EI248),0,1-INDEX('Lease Cycles'!$EM$22:$ES$22,1,EI248)),IF(OR(INDEX('Lease Cycles'!$DY$22:$EE$22,1,EI248)=1,EI249&gt;0),1,1-INDEX('Lease Cycles'!$DD$22:$DJ$22,1,EI248))*('Lease Cycles'!$AJ$22*INDEX('Lease Cycles'!$FO$22:$FU$22,1,EI248)+'Lease Cycles'!$BE$22*(1-INDEX('Lease Cycles'!$FO$22:$FU$22,1,EI248)))),0)</f>
        <v>0</v>
      </c>
      <c r="EJ258" s="24">
        <f>IF(EJ250=1,'Lease Cycles'!$D$22*IF(INDEX('Lease Cycles'!$EF$22:$EL$22,1,EJ248)=1,'Lease Cycles'!$AJ$22*INDEX('Lease Cycles'!$FO$22:$FU$22,1,EJ248)*INDEX('Lease Cycles'!$EM$22:$ES$22,1,EJ248)+'Lease Cycles'!$BE$22*IF(EJ249&lt;INDEX('Lease Cycles'!$FA$22:$FG$22,1,EJ248),0,1-INDEX('Lease Cycles'!$EM$22:$ES$22,1,EJ248)),IF(OR(INDEX('Lease Cycles'!$DY$22:$EE$22,1,EJ248)=1,EJ249&gt;0),1,1-INDEX('Lease Cycles'!$DD$22:$DJ$22,1,EJ248))*('Lease Cycles'!$AJ$22*INDEX('Lease Cycles'!$FO$22:$FU$22,1,EJ248)+'Lease Cycles'!$BE$22*(1-INDEX('Lease Cycles'!$FO$22:$FU$22,1,EJ248)))),0)</f>
        <v>0</v>
      </c>
      <c r="EK258" s="24">
        <f>IF(EK250=1,'Lease Cycles'!$D$22*IF(INDEX('Lease Cycles'!$EF$22:$EL$22,1,EK248)=1,'Lease Cycles'!$AJ$22*INDEX('Lease Cycles'!$FO$22:$FU$22,1,EK248)*INDEX('Lease Cycles'!$EM$22:$ES$22,1,EK248)+'Lease Cycles'!$BE$22*IF(EK249&lt;INDEX('Lease Cycles'!$FA$22:$FG$22,1,EK248),0,1-INDEX('Lease Cycles'!$EM$22:$ES$22,1,EK248)),IF(OR(INDEX('Lease Cycles'!$DY$22:$EE$22,1,EK248)=1,EK249&gt;0),1,1-INDEX('Lease Cycles'!$DD$22:$DJ$22,1,EK248))*('Lease Cycles'!$AJ$22*INDEX('Lease Cycles'!$FO$22:$FU$22,1,EK248)+'Lease Cycles'!$BE$22*(1-INDEX('Lease Cycles'!$FO$22:$FU$22,1,EK248)))),0)</f>
        <v>0</v>
      </c>
      <c r="EL258" s="24">
        <f>IF(EL250=1,'Lease Cycles'!$D$22*IF(INDEX('Lease Cycles'!$EF$22:$EL$22,1,EL248)=1,'Lease Cycles'!$AJ$22*INDEX('Lease Cycles'!$FO$22:$FU$22,1,EL248)*INDEX('Lease Cycles'!$EM$22:$ES$22,1,EL248)+'Lease Cycles'!$BE$22*IF(EL249&lt;INDEX('Lease Cycles'!$FA$22:$FG$22,1,EL248),0,1-INDEX('Lease Cycles'!$EM$22:$ES$22,1,EL248)),IF(OR(INDEX('Lease Cycles'!$DY$22:$EE$22,1,EL248)=1,EL249&gt;0),1,1-INDEX('Lease Cycles'!$DD$22:$DJ$22,1,EL248))*('Lease Cycles'!$AJ$22*INDEX('Lease Cycles'!$FO$22:$FU$22,1,EL248)+'Lease Cycles'!$BE$22*(1-INDEX('Lease Cycles'!$FO$22:$FU$22,1,EL248)))),0)</f>
        <v>0</v>
      </c>
      <c r="EM258" s="24">
        <f>IF(EM250=1,'Lease Cycles'!$D$22*IF(INDEX('Lease Cycles'!$EF$22:$EL$22,1,EM248)=1,'Lease Cycles'!$AJ$22*INDEX('Lease Cycles'!$FO$22:$FU$22,1,EM248)*INDEX('Lease Cycles'!$EM$22:$ES$22,1,EM248)+'Lease Cycles'!$BE$22*IF(EM249&lt;INDEX('Lease Cycles'!$FA$22:$FG$22,1,EM248),0,1-INDEX('Lease Cycles'!$EM$22:$ES$22,1,EM248)),IF(OR(INDEX('Lease Cycles'!$DY$22:$EE$22,1,EM248)=1,EM249&gt;0),1,1-INDEX('Lease Cycles'!$DD$22:$DJ$22,1,EM248))*('Lease Cycles'!$AJ$22*INDEX('Lease Cycles'!$FO$22:$FU$22,1,EM248)+'Lease Cycles'!$BE$22*(1-INDEX('Lease Cycles'!$FO$22:$FU$22,1,EM248)))),0)</f>
        <v>0</v>
      </c>
      <c r="EN258" s="24">
        <f>IF(EN250=1,'Lease Cycles'!$D$22*IF(INDEX('Lease Cycles'!$EF$22:$EL$22,1,EN248)=1,'Lease Cycles'!$AJ$22*INDEX('Lease Cycles'!$FO$22:$FU$22,1,EN248)*INDEX('Lease Cycles'!$EM$22:$ES$22,1,EN248)+'Lease Cycles'!$BE$22*IF(EN249&lt;INDEX('Lease Cycles'!$FA$22:$FG$22,1,EN248),0,1-INDEX('Lease Cycles'!$EM$22:$ES$22,1,EN248)),IF(OR(INDEX('Lease Cycles'!$DY$22:$EE$22,1,EN248)=1,EN249&gt;0),1,1-INDEX('Lease Cycles'!$DD$22:$DJ$22,1,EN248))*('Lease Cycles'!$AJ$22*INDEX('Lease Cycles'!$FO$22:$FU$22,1,EN248)+'Lease Cycles'!$BE$22*(1-INDEX('Lease Cycles'!$FO$22:$FU$22,1,EN248)))),0)</f>
        <v>0</v>
      </c>
      <c r="EO258" s="24">
        <f>IF(EO250=1,'Lease Cycles'!$D$22*IF(INDEX('Lease Cycles'!$EF$22:$EL$22,1,EO248)=1,'Lease Cycles'!$AJ$22*INDEX('Lease Cycles'!$FO$22:$FU$22,1,EO248)*INDEX('Lease Cycles'!$EM$22:$ES$22,1,EO248)+'Lease Cycles'!$BE$22*IF(EO249&lt;INDEX('Lease Cycles'!$FA$22:$FG$22,1,EO248),0,1-INDEX('Lease Cycles'!$EM$22:$ES$22,1,EO248)),IF(OR(INDEX('Lease Cycles'!$DY$22:$EE$22,1,EO248)=1,EO249&gt;0),1,1-INDEX('Lease Cycles'!$DD$22:$DJ$22,1,EO248))*('Lease Cycles'!$AJ$22*INDEX('Lease Cycles'!$FO$22:$FU$22,1,EO248)+'Lease Cycles'!$BE$22*(1-INDEX('Lease Cycles'!$FO$22:$FU$22,1,EO248)))),0)</f>
        <v>0</v>
      </c>
      <c r="EP258" s="24">
        <f>IF(EP250=1,'Lease Cycles'!$D$22*IF(INDEX('Lease Cycles'!$EF$22:$EL$22,1,EP248)=1,'Lease Cycles'!$AJ$22*INDEX('Lease Cycles'!$FO$22:$FU$22,1,EP248)*INDEX('Lease Cycles'!$EM$22:$ES$22,1,EP248)+'Lease Cycles'!$BE$22*IF(EP249&lt;INDEX('Lease Cycles'!$FA$22:$FG$22,1,EP248),0,1-INDEX('Lease Cycles'!$EM$22:$ES$22,1,EP248)),IF(OR(INDEX('Lease Cycles'!$DY$22:$EE$22,1,EP248)=1,EP249&gt;0),1,1-INDEX('Lease Cycles'!$DD$22:$DJ$22,1,EP248))*('Lease Cycles'!$AJ$22*INDEX('Lease Cycles'!$FO$22:$FU$22,1,EP248)+'Lease Cycles'!$BE$22*(1-INDEX('Lease Cycles'!$FO$22:$FU$22,1,EP248)))),0)</f>
        <v>0</v>
      </c>
      <c r="EQ258" s="24">
        <f>IF(EQ250=1,'Lease Cycles'!$D$22*IF(INDEX('Lease Cycles'!$EF$22:$EL$22,1,EQ248)=1,'Lease Cycles'!$AJ$22*INDEX('Lease Cycles'!$FO$22:$FU$22,1,EQ248)*INDEX('Lease Cycles'!$EM$22:$ES$22,1,EQ248)+'Lease Cycles'!$BE$22*IF(EQ249&lt;INDEX('Lease Cycles'!$FA$22:$FG$22,1,EQ248),0,1-INDEX('Lease Cycles'!$EM$22:$ES$22,1,EQ248)),IF(OR(INDEX('Lease Cycles'!$DY$22:$EE$22,1,EQ248)=1,EQ249&gt;0),1,1-INDEX('Lease Cycles'!$DD$22:$DJ$22,1,EQ248))*('Lease Cycles'!$AJ$22*INDEX('Lease Cycles'!$FO$22:$FU$22,1,EQ248)+'Lease Cycles'!$BE$22*(1-INDEX('Lease Cycles'!$FO$22:$FU$22,1,EQ248)))),0)</f>
        <v>0</v>
      </c>
      <c r="ER258" s="24">
        <f>IF(ER250=1,'Lease Cycles'!$D$22*IF(INDEX('Lease Cycles'!$EF$22:$EL$22,1,ER248)=1,'Lease Cycles'!$AJ$22*INDEX('Lease Cycles'!$FO$22:$FU$22,1,ER248)*INDEX('Lease Cycles'!$EM$22:$ES$22,1,ER248)+'Lease Cycles'!$BE$22*IF(ER249&lt;INDEX('Lease Cycles'!$FA$22:$FG$22,1,ER248),0,1-INDEX('Lease Cycles'!$EM$22:$ES$22,1,ER248)),IF(OR(INDEX('Lease Cycles'!$DY$22:$EE$22,1,ER248)=1,ER249&gt;0),1,1-INDEX('Lease Cycles'!$DD$22:$DJ$22,1,ER248))*('Lease Cycles'!$AJ$22*INDEX('Lease Cycles'!$FO$22:$FU$22,1,ER248)+'Lease Cycles'!$BE$22*(1-INDEX('Lease Cycles'!$FO$22:$FU$22,1,ER248)))),0)</f>
        <v>0</v>
      </c>
      <c r="ES258" s="24">
        <f>IF(ES250=1,'Lease Cycles'!$D$22*IF(INDEX('Lease Cycles'!$EF$22:$EL$22,1,ES248)=1,'Lease Cycles'!$AJ$22*INDEX('Lease Cycles'!$FO$22:$FU$22,1,ES248)*INDEX('Lease Cycles'!$EM$22:$ES$22,1,ES248)+'Lease Cycles'!$BE$22*IF(ES249&lt;INDEX('Lease Cycles'!$FA$22:$FG$22,1,ES248),0,1-INDEX('Lease Cycles'!$EM$22:$ES$22,1,ES248)),IF(OR(INDEX('Lease Cycles'!$DY$22:$EE$22,1,ES248)=1,ES249&gt;0),1,1-INDEX('Lease Cycles'!$DD$22:$DJ$22,1,ES248))*('Lease Cycles'!$AJ$22*INDEX('Lease Cycles'!$FO$22:$FU$22,1,ES248)+'Lease Cycles'!$BE$22*(1-INDEX('Lease Cycles'!$FO$22:$FU$22,1,ES248)))),0)</f>
        <v>0</v>
      </c>
      <c r="ET258" s="24">
        <f>IF(ET250=1,'Lease Cycles'!$D$22*IF(INDEX('Lease Cycles'!$EF$22:$EL$22,1,ET248)=1,'Lease Cycles'!$AJ$22*INDEX('Lease Cycles'!$FO$22:$FU$22,1,ET248)*INDEX('Lease Cycles'!$EM$22:$ES$22,1,ET248)+'Lease Cycles'!$BE$22*IF(ET249&lt;INDEX('Lease Cycles'!$FA$22:$FG$22,1,ET248),0,1-INDEX('Lease Cycles'!$EM$22:$ES$22,1,ET248)),IF(OR(INDEX('Lease Cycles'!$DY$22:$EE$22,1,ET248)=1,ET249&gt;0),1,1-INDEX('Lease Cycles'!$DD$22:$DJ$22,1,ET248))*('Lease Cycles'!$AJ$22*INDEX('Lease Cycles'!$FO$22:$FU$22,1,ET248)+'Lease Cycles'!$BE$22*(1-INDEX('Lease Cycles'!$FO$22:$FU$22,1,ET248)))),0)</f>
        <v>0</v>
      </c>
    </row>
    <row r="259">
      <c r="A259" s="103">
        <v>15</v>
      </c>
      <c r="B259" s="23" t="str">
        <f>IF('Lease Cycles'!$B$22="","(empty slot)",'Lease Cycles'!$B$22)</f>
        <v>(empty slot)</v>
      </c>
      <c r="C259" s="23" t="s">
        <v>689</v>
      </c>
      <c r="D259" s="104" t="s">
        <v>690</v>
      </c>
      <c r="E259" s="25">
        <f>'Lease Cycles'!$AL$22</f>
        <v>0</v>
      </c>
      <c r="G259" s="28">
        <f>SUM(S259:AD259)</f>
        <v>0</v>
      </c>
      <c r="H259" s="28">
        <f>SUM(AE259:AP259)</f>
        <v>0</v>
      </c>
      <c r="I259" s="28">
        <f>SUM(AQ259:BB259)</f>
        <v>0</v>
      </c>
      <c r="J259" s="28">
        <f>SUM(BC259:BN259)</f>
        <v>0</v>
      </c>
      <c r="K259" s="28">
        <f>SUM(BO259:BZ259)</f>
        <v>0</v>
      </c>
      <c r="L259" s="28">
        <f>SUM(CA259:CL259)</f>
        <v>0</v>
      </c>
      <c r="M259" s="28">
        <f>SUM(CM259:CX259)</f>
        <v>0</v>
      </c>
      <c r="N259" s="28">
        <f>SUM(CY259:DJ259)</f>
        <v>0</v>
      </c>
      <c r="O259" s="28">
        <f>SUM(DK259:DV259)</f>
        <v>0</v>
      </c>
      <c r="P259" s="28">
        <f>SUM(DW259:EH259)</f>
        <v>0</v>
      </c>
      <c r="Q259" s="28">
        <f>SUM(EI259:ET259)</f>
        <v>0</v>
      </c>
      <c r="S259" s="28">
        <f>IF(S258=0,0,S258*MAX(0,(INDEX(c_CAMy,1,S$7)-INDEX(c_CAMy,1,INDEX('Lease Cycles'!$GC$22:$GI$22,1,S248)+1))*(1+'Lease Cycles'!$AK$22)+(INDEX(c_TAXy,1,S$7)-INDEX(c_TAXy,1,INDEX('Lease Cycles'!$GC$22:$GI$22,1,S248)+1))+(INDEX(c_INSy,1,S$7)-INDEX(c_INSy,1,INDEX('Lease Cycles'!$GC$22:$GI$22,1,S248)+1)))/12)</f>
        <v>0</v>
      </c>
      <c r="T259" s="28">
        <f>IF(T258=0,0,T258*MAX(0,(INDEX(c_CAMy,1,T$7)-INDEX(c_CAMy,1,INDEX('Lease Cycles'!$GC$22:$GI$22,1,T248)+1))*(1+'Lease Cycles'!$AK$22)+(INDEX(c_TAXy,1,T$7)-INDEX(c_TAXy,1,INDEX('Lease Cycles'!$GC$22:$GI$22,1,T248)+1))+(INDEX(c_INSy,1,T$7)-INDEX(c_INSy,1,INDEX('Lease Cycles'!$GC$22:$GI$22,1,T248)+1)))/12)</f>
        <v>0</v>
      </c>
      <c r="U259" s="28">
        <f>IF(U258=0,0,U258*MAX(0,(INDEX(c_CAMy,1,U$7)-INDEX(c_CAMy,1,INDEX('Lease Cycles'!$GC$22:$GI$22,1,U248)+1))*(1+'Lease Cycles'!$AK$22)+(INDEX(c_TAXy,1,U$7)-INDEX(c_TAXy,1,INDEX('Lease Cycles'!$GC$22:$GI$22,1,U248)+1))+(INDEX(c_INSy,1,U$7)-INDEX(c_INSy,1,INDEX('Lease Cycles'!$GC$22:$GI$22,1,U248)+1)))/12)</f>
        <v>0</v>
      </c>
      <c r="V259" s="28">
        <f>IF(V258=0,0,V258*MAX(0,(INDEX(c_CAMy,1,V$7)-INDEX(c_CAMy,1,INDEX('Lease Cycles'!$GC$22:$GI$22,1,V248)+1))*(1+'Lease Cycles'!$AK$22)+(INDEX(c_TAXy,1,V$7)-INDEX(c_TAXy,1,INDEX('Lease Cycles'!$GC$22:$GI$22,1,V248)+1))+(INDEX(c_INSy,1,V$7)-INDEX(c_INSy,1,INDEX('Lease Cycles'!$GC$22:$GI$22,1,V248)+1)))/12)</f>
        <v>0</v>
      </c>
      <c r="W259" s="28">
        <f>IF(W258=0,0,W258*MAX(0,(INDEX(c_CAMy,1,W$7)-INDEX(c_CAMy,1,INDEX('Lease Cycles'!$GC$22:$GI$22,1,W248)+1))*(1+'Lease Cycles'!$AK$22)+(INDEX(c_TAXy,1,W$7)-INDEX(c_TAXy,1,INDEX('Lease Cycles'!$GC$22:$GI$22,1,W248)+1))+(INDEX(c_INSy,1,W$7)-INDEX(c_INSy,1,INDEX('Lease Cycles'!$GC$22:$GI$22,1,W248)+1)))/12)</f>
        <v>0</v>
      </c>
      <c r="X259" s="28">
        <f>IF(X258=0,0,X258*MAX(0,(INDEX(c_CAMy,1,X$7)-INDEX(c_CAMy,1,INDEX('Lease Cycles'!$GC$22:$GI$22,1,X248)+1))*(1+'Lease Cycles'!$AK$22)+(INDEX(c_TAXy,1,X$7)-INDEX(c_TAXy,1,INDEX('Lease Cycles'!$GC$22:$GI$22,1,X248)+1))+(INDEX(c_INSy,1,X$7)-INDEX(c_INSy,1,INDEX('Lease Cycles'!$GC$22:$GI$22,1,X248)+1)))/12)</f>
        <v>0</v>
      </c>
      <c r="Y259" s="28">
        <f>IF(Y258=0,0,Y258*MAX(0,(INDEX(c_CAMy,1,Y$7)-INDEX(c_CAMy,1,INDEX('Lease Cycles'!$GC$22:$GI$22,1,Y248)+1))*(1+'Lease Cycles'!$AK$22)+(INDEX(c_TAXy,1,Y$7)-INDEX(c_TAXy,1,INDEX('Lease Cycles'!$GC$22:$GI$22,1,Y248)+1))+(INDEX(c_INSy,1,Y$7)-INDEX(c_INSy,1,INDEX('Lease Cycles'!$GC$22:$GI$22,1,Y248)+1)))/12)</f>
        <v>0</v>
      </c>
      <c r="Z259" s="28">
        <f>IF(Z258=0,0,Z258*MAX(0,(INDEX(c_CAMy,1,Z$7)-INDEX(c_CAMy,1,INDEX('Lease Cycles'!$GC$22:$GI$22,1,Z248)+1))*(1+'Lease Cycles'!$AK$22)+(INDEX(c_TAXy,1,Z$7)-INDEX(c_TAXy,1,INDEX('Lease Cycles'!$GC$22:$GI$22,1,Z248)+1))+(INDEX(c_INSy,1,Z$7)-INDEX(c_INSy,1,INDEX('Lease Cycles'!$GC$22:$GI$22,1,Z248)+1)))/12)</f>
        <v>0</v>
      </c>
      <c r="AA259" s="28">
        <f>IF(AA258=0,0,AA258*MAX(0,(INDEX(c_CAMy,1,AA$7)-INDEX(c_CAMy,1,INDEX('Lease Cycles'!$GC$22:$GI$22,1,AA248)+1))*(1+'Lease Cycles'!$AK$22)+(INDEX(c_TAXy,1,AA$7)-INDEX(c_TAXy,1,INDEX('Lease Cycles'!$GC$22:$GI$22,1,AA248)+1))+(INDEX(c_INSy,1,AA$7)-INDEX(c_INSy,1,INDEX('Lease Cycles'!$GC$22:$GI$22,1,AA248)+1)))/12)</f>
        <v>0</v>
      </c>
      <c r="AB259" s="28">
        <f>IF(AB258=0,0,AB258*MAX(0,(INDEX(c_CAMy,1,AB$7)-INDEX(c_CAMy,1,INDEX('Lease Cycles'!$GC$22:$GI$22,1,AB248)+1))*(1+'Lease Cycles'!$AK$22)+(INDEX(c_TAXy,1,AB$7)-INDEX(c_TAXy,1,INDEX('Lease Cycles'!$GC$22:$GI$22,1,AB248)+1))+(INDEX(c_INSy,1,AB$7)-INDEX(c_INSy,1,INDEX('Lease Cycles'!$GC$22:$GI$22,1,AB248)+1)))/12)</f>
        <v>0</v>
      </c>
      <c r="AC259" s="28">
        <f>IF(AC258=0,0,AC258*MAX(0,(INDEX(c_CAMy,1,AC$7)-INDEX(c_CAMy,1,INDEX('Lease Cycles'!$GC$22:$GI$22,1,AC248)+1))*(1+'Lease Cycles'!$AK$22)+(INDEX(c_TAXy,1,AC$7)-INDEX(c_TAXy,1,INDEX('Lease Cycles'!$GC$22:$GI$22,1,AC248)+1))+(INDEX(c_INSy,1,AC$7)-INDEX(c_INSy,1,INDEX('Lease Cycles'!$GC$22:$GI$22,1,AC248)+1)))/12)</f>
        <v>0</v>
      </c>
      <c r="AD259" s="28">
        <f>IF(AD258=0,0,AD258*MAX(0,(INDEX(c_CAMy,1,AD$7)-INDEX(c_CAMy,1,INDEX('Lease Cycles'!$GC$22:$GI$22,1,AD248)+1))*(1+'Lease Cycles'!$AK$22)+(INDEX(c_TAXy,1,AD$7)-INDEX(c_TAXy,1,INDEX('Lease Cycles'!$GC$22:$GI$22,1,AD248)+1))+(INDEX(c_INSy,1,AD$7)-INDEX(c_INSy,1,INDEX('Lease Cycles'!$GC$22:$GI$22,1,AD248)+1)))/12)</f>
        <v>0</v>
      </c>
      <c r="AE259" s="28">
        <f>IF(AE258=0,0,AE258*MAX(0,(INDEX(c_CAMy,1,AE$7)-INDEX(c_CAMy,1,INDEX('Lease Cycles'!$GC$22:$GI$22,1,AE248)+1))*(1+'Lease Cycles'!$AK$22)+(INDEX(c_TAXy,1,AE$7)-INDEX(c_TAXy,1,INDEX('Lease Cycles'!$GC$22:$GI$22,1,AE248)+1))+(INDEX(c_INSy,1,AE$7)-INDEX(c_INSy,1,INDEX('Lease Cycles'!$GC$22:$GI$22,1,AE248)+1)))/12)</f>
        <v>0</v>
      </c>
      <c r="AF259" s="28">
        <f>IF(AF258=0,0,AF258*MAX(0,(INDEX(c_CAMy,1,AF$7)-INDEX(c_CAMy,1,INDEX('Lease Cycles'!$GC$22:$GI$22,1,AF248)+1))*(1+'Lease Cycles'!$AK$22)+(INDEX(c_TAXy,1,AF$7)-INDEX(c_TAXy,1,INDEX('Lease Cycles'!$GC$22:$GI$22,1,AF248)+1))+(INDEX(c_INSy,1,AF$7)-INDEX(c_INSy,1,INDEX('Lease Cycles'!$GC$22:$GI$22,1,AF248)+1)))/12)</f>
        <v>0</v>
      </c>
      <c r="AG259" s="28">
        <f>IF(AG258=0,0,AG258*MAX(0,(INDEX(c_CAMy,1,AG$7)-INDEX(c_CAMy,1,INDEX('Lease Cycles'!$GC$22:$GI$22,1,AG248)+1))*(1+'Lease Cycles'!$AK$22)+(INDEX(c_TAXy,1,AG$7)-INDEX(c_TAXy,1,INDEX('Lease Cycles'!$GC$22:$GI$22,1,AG248)+1))+(INDEX(c_INSy,1,AG$7)-INDEX(c_INSy,1,INDEX('Lease Cycles'!$GC$22:$GI$22,1,AG248)+1)))/12)</f>
        <v>0</v>
      </c>
      <c r="AH259" s="28">
        <f>IF(AH258=0,0,AH258*MAX(0,(INDEX(c_CAMy,1,AH$7)-INDEX(c_CAMy,1,INDEX('Lease Cycles'!$GC$22:$GI$22,1,AH248)+1))*(1+'Lease Cycles'!$AK$22)+(INDEX(c_TAXy,1,AH$7)-INDEX(c_TAXy,1,INDEX('Lease Cycles'!$GC$22:$GI$22,1,AH248)+1))+(INDEX(c_INSy,1,AH$7)-INDEX(c_INSy,1,INDEX('Lease Cycles'!$GC$22:$GI$22,1,AH248)+1)))/12)</f>
        <v>0</v>
      </c>
      <c r="AI259" s="28">
        <f>IF(AI258=0,0,AI258*MAX(0,(INDEX(c_CAMy,1,AI$7)-INDEX(c_CAMy,1,INDEX('Lease Cycles'!$GC$22:$GI$22,1,AI248)+1))*(1+'Lease Cycles'!$AK$22)+(INDEX(c_TAXy,1,AI$7)-INDEX(c_TAXy,1,INDEX('Lease Cycles'!$GC$22:$GI$22,1,AI248)+1))+(INDEX(c_INSy,1,AI$7)-INDEX(c_INSy,1,INDEX('Lease Cycles'!$GC$22:$GI$22,1,AI248)+1)))/12)</f>
        <v>0</v>
      </c>
      <c r="AJ259" s="28">
        <f>IF(AJ258=0,0,AJ258*MAX(0,(INDEX(c_CAMy,1,AJ$7)-INDEX(c_CAMy,1,INDEX('Lease Cycles'!$GC$22:$GI$22,1,AJ248)+1))*(1+'Lease Cycles'!$AK$22)+(INDEX(c_TAXy,1,AJ$7)-INDEX(c_TAXy,1,INDEX('Lease Cycles'!$GC$22:$GI$22,1,AJ248)+1))+(INDEX(c_INSy,1,AJ$7)-INDEX(c_INSy,1,INDEX('Lease Cycles'!$GC$22:$GI$22,1,AJ248)+1)))/12)</f>
        <v>0</v>
      </c>
      <c r="AK259" s="28">
        <f>IF(AK258=0,0,AK258*MAX(0,(INDEX(c_CAMy,1,AK$7)-INDEX(c_CAMy,1,INDEX('Lease Cycles'!$GC$22:$GI$22,1,AK248)+1))*(1+'Lease Cycles'!$AK$22)+(INDEX(c_TAXy,1,AK$7)-INDEX(c_TAXy,1,INDEX('Lease Cycles'!$GC$22:$GI$22,1,AK248)+1))+(INDEX(c_INSy,1,AK$7)-INDEX(c_INSy,1,INDEX('Lease Cycles'!$GC$22:$GI$22,1,AK248)+1)))/12)</f>
        <v>0</v>
      </c>
      <c r="AL259" s="28">
        <f>IF(AL258=0,0,AL258*MAX(0,(INDEX(c_CAMy,1,AL$7)-INDEX(c_CAMy,1,INDEX('Lease Cycles'!$GC$22:$GI$22,1,AL248)+1))*(1+'Lease Cycles'!$AK$22)+(INDEX(c_TAXy,1,AL$7)-INDEX(c_TAXy,1,INDEX('Lease Cycles'!$GC$22:$GI$22,1,AL248)+1))+(INDEX(c_INSy,1,AL$7)-INDEX(c_INSy,1,INDEX('Lease Cycles'!$GC$22:$GI$22,1,AL248)+1)))/12)</f>
        <v>0</v>
      </c>
      <c r="AM259" s="28">
        <f>IF(AM258=0,0,AM258*MAX(0,(INDEX(c_CAMy,1,AM$7)-INDEX(c_CAMy,1,INDEX('Lease Cycles'!$GC$22:$GI$22,1,AM248)+1))*(1+'Lease Cycles'!$AK$22)+(INDEX(c_TAXy,1,AM$7)-INDEX(c_TAXy,1,INDEX('Lease Cycles'!$GC$22:$GI$22,1,AM248)+1))+(INDEX(c_INSy,1,AM$7)-INDEX(c_INSy,1,INDEX('Lease Cycles'!$GC$22:$GI$22,1,AM248)+1)))/12)</f>
        <v>0</v>
      </c>
      <c r="AN259" s="28">
        <f>IF(AN258=0,0,AN258*MAX(0,(INDEX(c_CAMy,1,AN$7)-INDEX(c_CAMy,1,INDEX('Lease Cycles'!$GC$22:$GI$22,1,AN248)+1))*(1+'Lease Cycles'!$AK$22)+(INDEX(c_TAXy,1,AN$7)-INDEX(c_TAXy,1,INDEX('Lease Cycles'!$GC$22:$GI$22,1,AN248)+1))+(INDEX(c_INSy,1,AN$7)-INDEX(c_INSy,1,INDEX('Lease Cycles'!$GC$22:$GI$22,1,AN248)+1)))/12)</f>
        <v>0</v>
      </c>
      <c r="AO259" s="28">
        <f>IF(AO258=0,0,AO258*MAX(0,(INDEX(c_CAMy,1,AO$7)-INDEX(c_CAMy,1,INDEX('Lease Cycles'!$GC$22:$GI$22,1,AO248)+1))*(1+'Lease Cycles'!$AK$22)+(INDEX(c_TAXy,1,AO$7)-INDEX(c_TAXy,1,INDEX('Lease Cycles'!$GC$22:$GI$22,1,AO248)+1))+(INDEX(c_INSy,1,AO$7)-INDEX(c_INSy,1,INDEX('Lease Cycles'!$GC$22:$GI$22,1,AO248)+1)))/12)</f>
        <v>0</v>
      </c>
      <c r="AP259" s="28">
        <f>IF(AP258=0,0,AP258*MAX(0,(INDEX(c_CAMy,1,AP$7)-INDEX(c_CAMy,1,INDEX('Lease Cycles'!$GC$22:$GI$22,1,AP248)+1))*(1+'Lease Cycles'!$AK$22)+(INDEX(c_TAXy,1,AP$7)-INDEX(c_TAXy,1,INDEX('Lease Cycles'!$GC$22:$GI$22,1,AP248)+1))+(INDEX(c_INSy,1,AP$7)-INDEX(c_INSy,1,INDEX('Lease Cycles'!$GC$22:$GI$22,1,AP248)+1)))/12)</f>
        <v>0</v>
      </c>
      <c r="AQ259" s="28">
        <f>IF(AQ258=0,0,AQ258*MAX(0,(INDEX(c_CAMy,1,AQ$7)-INDEX(c_CAMy,1,INDEX('Lease Cycles'!$GC$22:$GI$22,1,AQ248)+1))*(1+'Lease Cycles'!$AK$22)+(INDEX(c_TAXy,1,AQ$7)-INDEX(c_TAXy,1,INDEX('Lease Cycles'!$GC$22:$GI$22,1,AQ248)+1))+(INDEX(c_INSy,1,AQ$7)-INDEX(c_INSy,1,INDEX('Lease Cycles'!$GC$22:$GI$22,1,AQ248)+1)))/12)</f>
        <v>0</v>
      </c>
      <c r="AR259" s="28">
        <f>IF(AR258=0,0,AR258*MAX(0,(INDEX(c_CAMy,1,AR$7)-INDEX(c_CAMy,1,INDEX('Lease Cycles'!$GC$22:$GI$22,1,AR248)+1))*(1+'Lease Cycles'!$AK$22)+(INDEX(c_TAXy,1,AR$7)-INDEX(c_TAXy,1,INDEX('Lease Cycles'!$GC$22:$GI$22,1,AR248)+1))+(INDEX(c_INSy,1,AR$7)-INDEX(c_INSy,1,INDEX('Lease Cycles'!$GC$22:$GI$22,1,AR248)+1)))/12)</f>
        <v>0</v>
      </c>
      <c r="AS259" s="28">
        <f>IF(AS258=0,0,AS258*MAX(0,(INDEX(c_CAMy,1,AS$7)-INDEX(c_CAMy,1,INDEX('Lease Cycles'!$GC$22:$GI$22,1,AS248)+1))*(1+'Lease Cycles'!$AK$22)+(INDEX(c_TAXy,1,AS$7)-INDEX(c_TAXy,1,INDEX('Lease Cycles'!$GC$22:$GI$22,1,AS248)+1))+(INDEX(c_INSy,1,AS$7)-INDEX(c_INSy,1,INDEX('Lease Cycles'!$GC$22:$GI$22,1,AS248)+1)))/12)</f>
        <v>0</v>
      </c>
      <c r="AT259" s="28">
        <f>IF(AT258=0,0,AT258*MAX(0,(INDEX(c_CAMy,1,AT$7)-INDEX(c_CAMy,1,INDEX('Lease Cycles'!$GC$22:$GI$22,1,AT248)+1))*(1+'Lease Cycles'!$AK$22)+(INDEX(c_TAXy,1,AT$7)-INDEX(c_TAXy,1,INDEX('Lease Cycles'!$GC$22:$GI$22,1,AT248)+1))+(INDEX(c_INSy,1,AT$7)-INDEX(c_INSy,1,INDEX('Lease Cycles'!$GC$22:$GI$22,1,AT248)+1)))/12)</f>
        <v>0</v>
      </c>
      <c r="AU259" s="28">
        <f>IF(AU258=0,0,AU258*MAX(0,(INDEX(c_CAMy,1,AU$7)-INDEX(c_CAMy,1,INDEX('Lease Cycles'!$GC$22:$GI$22,1,AU248)+1))*(1+'Lease Cycles'!$AK$22)+(INDEX(c_TAXy,1,AU$7)-INDEX(c_TAXy,1,INDEX('Lease Cycles'!$GC$22:$GI$22,1,AU248)+1))+(INDEX(c_INSy,1,AU$7)-INDEX(c_INSy,1,INDEX('Lease Cycles'!$GC$22:$GI$22,1,AU248)+1)))/12)</f>
        <v>0</v>
      </c>
      <c r="AV259" s="28">
        <f>IF(AV258=0,0,AV258*MAX(0,(INDEX(c_CAMy,1,AV$7)-INDEX(c_CAMy,1,INDEX('Lease Cycles'!$GC$22:$GI$22,1,AV248)+1))*(1+'Lease Cycles'!$AK$22)+(INDEX(c_TAXy,1,AV$7)-INDEX(c_TAXy,1,INDEX('Lease Cycles'!$GC$22:$GI$22,1,AV248)+1))+(INDEX(c_INSy,1,AV$7)-INDEX(c_INSy,1,INDEX('Lease Cycles'!$GC$22:$GI$22,1,AV248)+1)))/12)</f>
        <v>0</v>
      </c>
      <c r="AW259" s="28">
        <f>IF(AW258=0,0,AW258*MAX(0,(INDEX(c_CAMy,1,AW$7)-INDEX(c_CAMy,1,INDEX('Lease Cycles'!$GC$22:$GI$22,1,AW248)+1))*(1+'Lease Cycles'!$AK$22)+(INDEX(c_TAXy,1,AW$7)-INDEX(c_TAXy,1,INDEX('Lease Cycles'!$GC$22:$GI$22,1,AW248)+1))+(INDEX(c_INSy,1,AW$7)-INDEX(c_INSy,1,INDEX('Lease Cycles'!$GC$22:$GI$22,1,AW248)+1)))/12)</f>
        <v>0</v>
      </c>
      <c r="AX259" s="28">
        <f>IF(AX258=0,0,AX258*MAX(0,(INDEX(c_CAMy,1,AX$7)-INDEX(c_CAMy,1,INDEX('Lease Cycles'!$GC$22:$GI$22,1,AX248)+1))*(1+'Lease Cycles'!$AK$22)+(INDEX(c_TAXy,1,AX$7)-INDEX(c_TAXy,1,INDEX('Lease Cycles'!$GC$22:$GI$22,1,AX248)+1))+(INDEX(c_INSy,1,AX$7)-INDEX(c_INSy,1,INDEX('Lease Cycles'!$GC$22:$GI$22,1,AX248)+1)))/12)</f>
        <v>0</v>
      </c>
      <c r="AY259" s="28">
        <f>IF(AY258=0,0,AY258*MAX(0,(INDEX(c_CAMy,1,AY$7)-INDEX(c_CAMy,1,INDEX('Lease Cycles'!$GC$22:$GI$22,1,AY248)+1))*(1+'Lease Cycles'!$AK$22)+(INDEX(c_TAXy,1,AY$7)-INDEX(c_TAXy,1,INDEX('Lease Cycles'!$GC$22:$GI$22,1,AY248)+1))+(INDEX(c_INSy,1,AY$7)-INDEX(c_INSy,1,INDEX('Lease Cycles'!$GC$22:$GI$22,1,AY248)+1)))/12)</f>
        <v>0</v>
      </c>
      <c r="AZ259" s="28">
        <f>IF(AZ258=0,0,AZ258*MAX(0,(INDEX(c_CAMy,1,AZ$7)-INDEX(c_CAMy,1,INDEX('Lease Cycles'!$GC$22:$GI$22,1,AZ248)+1))*(1+'Lease Cycles'!$AK$22)+(INDEX(c_TAXy,1,AZ$7)-INDEX(c_TAXy,1,INDEX('Lease Cycles'!$GC$22:$GI$22,1,AZ248)+1))+(INDEX(c_INSy,1,AZ$7)-INDEX(c_INSy,1,INDEX('Lease Cycles'!$GC$22:$GI$22,1,AZ248)+1)))/12)</f>
        <v>0</v>
      </c>
      <c r="BA259" s="28">
        <f>IF(BA258=0,0,BA258*MAX(0,(INDEX(c_CAMy,1,BA$7)-INDEX(c_CAMy,1,INDEX('Lease Cycles'!$GC$22:$GI$22,1,BA248)+1))*(1+'Lease Cycles'!$AK$22)+(INDEX(c_TAXy,1,BA$7)-INDEX(c_TAXy,1,INDEX('Lease Cycles'!$GC$22:$GI$22,1,BA248)+1))+(INDEX(c_INSy,1,BA$7)-INDEX(c_INSy,1,INDEX('Lease Cycles'!$GC$22:$GI$22,1,BA248)+1)))/12)</f>
        <v>0</v>
      </c>
      <c r="BB259" s="28">
        <f>IF(BB258=0,0,BB258*MAX(0,(INDEX(c_CAMy,1,BB$7)-INDEX(c_CAMy,1,INDEX('Lease Cycles'!$GC$22:$GI$22,1,BB248)+1))*(1+'Lease Cycles'!$AK$22)+(INDEX(c_TAXy,1,BB$7)-INDEX(c_TAXy,1,INDEX('Lease Cycles'!$GC$22:$GI$22,1,BB248)+1))+(INDEX(c_INSy,1,BB$7)-INDEX(c_INSy,1,INDEX('Lease Cycles'!$GC$22:$GI$22,1,BB248)+1)))/12)</f>
        <v>0</v>
      </c>
      <c r="BC259" s="28">
        <f>IF(BC258=0,0,BC258*MAX(0,(INDEX(c_CAMy,1,BC$7)-INDEX(c_CAMy,1,INDEX('Lease Cycles'!$GC$22:$GI$22,1,BC248)+1))*(1+'Lease Cycles'!$AK$22)+(INDEX(c_TAXy,1,BC$7)-INDEX(c_TAXy,1,INDEX('Lease Cycles'!$GC$22:$GI$22,1,BC248)+1))+(INDEX(c_INSy,1,BC$7)-INDEX(c_INSy,1,INDEX('Lease Cycles'!$GC$22:$GI$22,1,BC248)+1)))/12)</f>
        <v>0</v>
      </c>
      <c r="BD259" s="28">
        <f>IF(BD258=0,0,BD258*MAX(0,(INDEX(c_CAMy,1,BD$7)-INDEX(c_CAMy,1,INDEX('Lease Cycles'!$GC$22:$GI$22,1,BD248)+1))*(1+'Lease Cycles'!$AK$22)+(INDEX(c_TAXy,1,BD$7)-INDEX(c_TAXy,1,INDEX('Lease Cycles'!$GC$22:$GI$22,1,BD248)+1))+(INDEX(c_INSy,1,BD$7)-INDEX(c_INSy,1,INDEX('Lease Cycles'!$GC$22:$GI$22,1,BD248)+1)))/12)</f>
        <v>0</v>
      </c>
      <c r="BE259" s="28">
        <f>IF(BE258=0,0,BE258*MAX(0,(INDEX(c_CAMy,1,BE$7)-INDEX(c_CAMy,1,INDEX('Lease Cycles'!$GC$22:$GI$22,1,BE248)+1))*(1+'Lease Cycles'!$AK$22)+(INDEX(c_TAXy,1,BE$7)-INDEX(c_TAXy,1,INDEX('Lease Cycles'!$GC$22:$GI$22,1,BE248)+1))+(INDEX(c_INSy,1,BE$7)-INDEX(c_INSy,1,INDEX('Lease Cycles'!$GC$22:$GI$22,1,BE248)+1)))/12)</f>
        <v>0</v>
      </c>
      <c r="BF259" s="28">
        <f>IF(BF258=0,0,BF258*MAX(0,(INDEX(c_CAMy,1,BF$7)-INDEX(c_CAMy,1,INDEX('Lease Cycles'!$GC$22:$GI$22,1,BF248)+1))*(1+'Lease Cycles'!$AK$22)+(INDEX(c_TAXy,1,BF$7)-INDEX(c_TAXy,1,INDEX('Lease Cycles'!$GC$22:$GI$22,1,BF248)+1))+(INDEX(c_INSy,1,BF$7)-INDEX(c_INSy,1,INDEX('Lease Cycles'!$GC$22:$GI$22,1,BF248)+1)))/12)</f>
        <v>0</v>
      </c>
      <c r="BG259" s="28">
        <f>IF(BG258=0,0,BG258*MAX(0,(INDEX(c_CAMy,1,BG$7)-INDEX(c_CAMy,1,INDEX('Lease Cycles'!$GC$22:$GI$22,1,BG248)+1))*(1+'Lease Cycles'!$AK$22)+(INDEX(c_TAXy,1,BG$7)-INDEX(c_TAXy,1,INDEX('Lease Cycles'!$GC$22:$GI$22,1,BG248)+1))+(INDEX(c_INSy,1,BG$7)-INDEX(c_INSy,1,INDEX('Lease Cycles'!$GC$22:$GI$22,1,BG248)+1)))/12)</f>
        <v>0</v>
      </c>
      <c r="BH259" s="28">
        <f>IF(BH258=0,0,BH258*MAX(0,(INDEX(c_CAMy,1,BH$7)-INDEX(c_CAMy,1,INDEX('Lease Cycles'!$GC$22:$GI$22,1,BH248)+1))*(1+'Lease Cycles'!$AK$22)+(INDEX(c_TAXy,1,BH$7)-INDEX(c_TAXy,1,INDEX('Lease Cycles'!$GC$22:$GI$22,1,BH248)+1))+(INDEX(c_INSy,1,BH$7)-INDEX(c_INSy,1,INDEX('Lease Cycles'!$GC$22:$GI$22,1,BH248)+1)))/12)</f>
        <v>0</v>
      </c>
      <c r="BI259" s="28">
        <f>IF(BI258=0,0,BI258*MAX(0,(INDEX(c_CAMy,1,BI$7)-INDEX(c_CAMy,1,INDEX('Lease Cycles'!$GC$22:$GI$22,1,BI248)+1))*(1+'Lease Cycles'!$AK$22)+(INDEX(c_TAXy,1,BI$7)-INDEX(c_TAXy,1,INDEX('Lease Cycles'!$GC$22:$GI$22,1,BI248)+1))+(INDEX(c_INSy,1,BI$7)-INDEX(c_INSy,1,INDEX('Lease Cycles'!$GC$22:$GI$22,1,BI248)+1)))/12)</f>
        <v>0</v>
      </c>
      <c r="BJ259" s="28">
        <f>IF(BJ258=0,0,BJ258*MAX(0,(INDEX(c_CAMy,1,BJ$7)-INDEX(c_CAMy,1,INDEX('Lease Cycles'!$GC$22:$GI$22,1,BJ248)+1))*(1+'Lease Cycles'!$AK$22)+(INDEX(c_TAXy,1,BJ$7)-INDEX(c_TAXy,1,INDEX('Lease Cycles'!$GC$22:$GI$22,1,BJ248)+1))+(INDEX(c_INSy,1,BJ$7)-INDEX(c_INSy,1,INDEX('Lease Cycles'!$GC$22:$GI$22,1,BJ248)+1)))/12)</f>
        <v>0</v>
      </c>
      <c r="BK259" s="28">
        <f>IF(BK258=0,0,BK258*MAX(0,(INDEX(c_CAMy,1,BK$7)-INDEX(c_CAMy,1,INDEX('Lease Cycles'!$GC$22:$GI$22,1,BK248)+1))*(1+'Lease Cycles'!$AK$22)+(INDEX(c_TAXy,1,BK$7)-INDEX(c_TAXy,1,INDEX('Lease Cycles'!$GC$22:$GI$22,1,BK248)+1))+(INDEX(c_INSy,1,BK$7)-INDEX(c_INSy,1,INDEX('Lease Cycles'!$GC$22:$GI$22,1,BK248)+1)))/12)</f>
        <v>0</v>
      </c>
      <c r="BL259" s="28">
        <f>IF(BL258=0,0,BL258*MAX(0,(INDEX(c_CAMy,1,BL$7)-INDEX(c_CAMy,1,INDEX('Lease Cycles'!$GC$22:$GI$22,1,BL248)+1))*(1+'Lease Cycles'!$AK$22)+(INDEX(c_TAXy,1,BL$7)-INDEX(c_TAXy,1,INDEX('Lease Cycles'!$GC$22:$GI$22,1,BL248)+1))+(INDEX(c_INSy,1,BL$7)-INDEX(c_INSy,1,INDEX('Lease Cycles'!$GC$22:$GI$22,1,BL248)+1)))/12)</f>
        <v>0</v>
      </c>
      <c r="BM259" s="28">
        <f>IF(BM258=0,0,BM258*MAX(0,(INDEX(c_CAMy,1,BM$7)-INDEX(c_CAMy,1,INDEX('Lease Cycles'!$GC$22:$GI$22,1,BM248)+1))*(1+'Lease Cycles'!$AK$22)+(INDEX(c_TAXy,1,BM$7)-INDEX(c_TAXy,1,INDEX('Lease Cycles'!$GC$22:$GI$22,1,BM248)+1))+(INDEX(c_INSy,1,BM$7)-INDEX(c_INSy,1,INDEX('Lease Cycles'!$GC$22:$GI$22,1,BM248)+1)))/12)</f>
        <v>0</v>
      </c>
      <c r="BN259" s="28">
        <f>IF(BN258=0,0,BN258*MAX(0,(INDEX(c_CAMy,1,BN$7)-INDEX(c_CAMy,1,INDEX('Lease Cycles'!$GC$22:$GI$22,1,BN248)+1))*(1+'Lease Cycles'!$AK$22)+(INDEX(c_TAXy,1,BN$7)-INDEX(c_TAXy,1,INDEX('Lease Cycles'!$GC$22:$GI$22,1,BN248)+1))+(INDEX(c_INSy,1,BN$7)-INDEX(c_INSy,1,INDEX('Lease Cycles'!$GC$22:$GI$22,1,BN248)+1)))/12)</f>
        <v>0</v>
      </c>
      <c r="BO259" s="28">
        <f>IF(BO258=0,0,BO258*MAX(0,(INDEX(c_CAMy,1,BO$7)-INDEX(c_CAMy,1,INDEX('Lease Cycles'!$GC$22:$GI$22,1,BO248)+1))*(1+'Lease Cycles'!$AK$22)+(INDEX(c_TAXy,1,BO$7)-INDEX(c_TAXy,1,INDEX('Lease Cycles'!$GC$22:$GI$22,1,BO248)+1))+(INDEX(c_INSy,1,BO$7)-INDEX(c_INSy,1,INDEX('Lease Cycles'!$GC$22:$GI$22,1,BO248)+1)))/12)</f>
        <v>0</v>
      </c>
      <c r="BP259" s="28">
        <f>IF(BP258=0,0,BP258*MAX(0,(INDEX(c_CAMy,1,BP$7)-INDEX(c_CAMy,1,INDEX('Lease Cycles'!$GC$22:$GI$22,1,BP248)+1))*(1+'Lease Cycles'!$AK$22)+(INDEX(c_TAXy,1,BP$7)-INDEX(c_TAXy,1,INDEX('Lease Cycles'!$GC$22:$GI$22,1,BP248)+1))+(INDEX(c_INSy,1,BP$7)-INDEX(c_INSy,1,INDEX('Lease Cycles'!$GC$22:$GI$22,1,BP248)+1)))/12)</f>
        <v>0</v>
      </c>
      <c r="BQ259" s="28">
        <f>IF(BQ258=0,0,BQ258*MAX(0,(INDEX(c_CAMy,1,BQ$7)-INDEX(c_CAMy,1,INDEX('Lease Cycles'!$GC$22:$GI$22,1,BQ248)+1))*(1+'Lease Cycles'!$AK$22)+(INDEX(c_TAXy,1,BQ$7)-INDEX(c_TAXy,1,INDEX('Lease Cycles'!$GC$22:$GI$22,1,BQ248)+1))+(INDEX(c_INSy,1,BQ$7)-INDEX(c_INSy,1,INDEX('Lease Cycles'!$GC$22:$GI$22,1,BQ248)+1)))/12)</f>
        <v>0</v>
      </c>
      <c r="BR259" s="28">
        <f>IF(BR258=0,0,BR258*MAX(0,(INDEX(c_CAMy,1,BR$7)-INDEX(c_CAMy,1,INDEX('Lease Cycles'!$GC$22:$GI$22,1,BR248)+1))*(1+'Lease Cycles'!$AK$22)+(INDEX(c_TAXy,1,BR$7)-INDEX(c_TAXy,1,INDEX('Lease Cycles'!$GC$22:$GI$22,1,BR248)+1))+(INDEX(c_INSy,1,BR$7)-INDEX(c_INSy,1,INDEX('Lease Cycles'!$GC$22:$GI$22,1,BR248)+1)))/12)</f>
        <v>0</v>
      </c>
      <c r="BS259" s="28">
        <f>IF(BS258=0,0,BS258*MAX(0,(INDEX(c_CAMy,1,BS$7)-INDEX(c_CAMy,1,INDEX('Lease Cycles'!$GC$22:$GI$22,1,BS248)+1))*(1+'Lease Cycles'!$AK$22)+(INDEX(c_TAXy,1,BS$7)-INDEX(c_TAXy,1,INDEX('Lease Cycles'!$GC$22:$GI$22,1,BS248)+1))+(INDEX(c_INSy,1,BS$7)-INDEX(c_INSy,1,INDEX('Lease Cycles'!$GC$22:$GI$22,1,BS248)+1)))/12)</f>
        <v>0</v>
      </c>
      <c r="BT259" s="28">
        <f>IF(BT258=0,0,BT258*MAX(0,(INDEX(c_CAMy,1,BT$7)-INDEX(c_CAMy,1,INDEX('Lease Cycles'!$GC$22:$GI$22,1,BT248)+1))*(1+'Lease Cycles'!$AK$22)+(INDEX(c_TAXy,1,BT$7)-INDEX(c_TAXy,1,INDEX('Lease Cycles'!$GC$22:$GI$22,1,BT248)+1))+(INDEX(c_INSy,1,BT$7)-INDEX(c_INSy,1,INDEX('Lease Cycles'!$GC$22:$GI$22,1,BT248)+1)))/12)</f>
        <v>0</v>
      </c>
      <c r="BU259" s="28">
        <f>IF(BU258=0,0,BU258*MAX(0,(INDEX(c_CAMy,1,BU$7)-INDEX(c_CAMy,1,INDEX('Lease Cycles'!$GC$22:$GI$22,1,BU248)+1))*(1+'Lease Cycles'!$AK$22)+(INDEX(c_TAXy,1,BU$7)-INDEX(c_TAXy,1,INDEX('Lease Cycles'!$GC$22:$GI$22,1,BU248)+1))+(INDEX(c_INSy,1,BU$7)-INDEX(c_INSy,1,INDEX('Lease Cycles'!$GC$22:$GI$22,1,BU248)+1)))/12)</f>
        <v>0</v>
      </c>
      <c r="BV259" s="28">
        <f>IF(BV258=0,0,BV258*MAX(0,(INDEX(c_CAMy,1,BV$7)-INDEX(c_CAMy,1,INDEX('Lease Cycles'!$GC$22:$GI$22,1,BV248)+1))*(1+'Lease Cycles'!$AK$22)+(INDEX(c_TAXy,1,BV$7)-INDEX(c_TAXy,1,INDEX('Lease Cycles'!$GC$22:$GI$22,1,BV248)+1))+(INDEX(c_INSy,1,BV$7)-INDEX(c_INSy,1,INDEX('Lease Cycles'!$GC$22:$GI$22,1,BV248)+1)))/12)</f>
        <v>0</v>
      </c>
      <c r="BW259" s="28">
        <f>IF(BW258=0,0,BW258*MAX(0,(INDEX(c_CAMy,1,BW$7)-INDEX(c_CAMy,1,INDEX('Lease Cycles'!$GC$22:$GI$22,1,BW248)+1))*(1+'Lease Cycles'!$AK$22)+(INDEX(c_TAXy,1,BW$7)-INDEX(c_TAXy,1,INDEX('Lease Cycles'!$GC$22:$GI$22,1,BW248)+1))+(INDEX(c_INSy,1,BW$7)-INDEX(c_INSy,1,INDEX('Lease Cycles'!$GC$22:$GI$22,1,BW248)+1)))/12)</f>
        <v>0</v>
      </c>
      <c r="BX259" s="28">
        <f>IF(BX258=0,0,BX258*MAX(0,(INDEX(c_CAMy,1,BX$7)-INDEX(c_CAMy,1,INDEX('Lease Cycles'!$GC$22:$GI$22,1,BX248)+1))*(1+'Lease Cycles'!$AK$22)+(INDEX(c_TAXy,1,BX$7)-INDEX(c_TAXy,1,INDEX('Lease Cycles'!$GC$22:$GI$22,1,BX248)+1))+(INDEX(c_INSy,1,BX$7)-INDEX(c_INSy,1,INDEX('Lease Cycles'!$GC$22:$GI$22,1,BX248)+1)))/12)</f>
        <v>0</v>
      </c>
      <c r="BY259" s="28">
        <f>IF(BY258=0,0,BY258*MAX(0,(INDEX(c_CAMy,1,BY$7)-INDEX(c_CAMy,1,INDEX('Lease Cycles'!$GC$22:$GI$22,1,BY248)+1))*(1+'Lease Cycles'!$AK$22)+(INDEX(c_TAXy,1,BY$7)-INDEX(c_TAXy,1,INDEX('Lease Cycles'!$GC$22:$GI$22,1,BY248)+1))+(INDEX(c_INSy,1,BY$7)-INDEX(c_INSy,1,INDEX('Lease Cycles'!$GC$22:$GI$22,1,BY248)+1)))/12)</f>
        <v>0</v>
      </c>
      <c r="BZ259" s="28">
        <f>IF(BZ258=0,0,BZ258*MAX(0,(INDEX(c_CAMy,1,BZ$7)-INDEX(c_CAMy,1,INDEX('Lease Cycles'!$GC$22:$GI$22,1,BZ248)+1))*(1+'Lease Cycles'!$AK$22)+(INDEX(c_TAXy,1,BZ$7)-INDEX(c_TAXy,1,INDEX('Lease Cycles'!$GC$22:$GI$22,1,BZ248)+1))+(INDEX(c_INSy,1,BZ$7)-INDEX(c_INSy,1,INDEX('Lease Cycles'!$GC$22:$GI$22,1,BZ248)+1)))/12)</f>
        <v>0</v>
      </c>
      <c r="CA259" s="28">
        <f>IF(CA258=0,0,CA258*MAX(0,(INDEX(c_CAMy,1,CA$7)-INDEX(c_CAMy,1,INDEX('Lease Cycles'!$GC$22:$GI$22,1,CA248)+1))*(1+'Lease Cycles'!$AK$22)+(INDEX(c_TAXy,1,CA$7)-INDEX(c_TAXy,1,INDEX('Lease Cycles'!$GC$22:$GI$22,1,CA248)+1))+(INDEX(c_INSy,1,CA$7)-INDEX(c_INSy,1,INDEX('Lease Cycles'!$GC$22:$GI$22,1,CA248)+1)))/12)</f>
        <v>0</v>
      </c>
      <c r="CB259" s="28">
        <f>IF(CB258=0,0,CB258*MAX(0,(INDEX(c_CAMy,1,CB$7)-INDEX(c_CAMy,1,INDEX('Lease Cycles'!$GC$22:$GI$22,1,CB248)+1))*(1+'Lease Cycles'!$AK$22)+(INDEX(c_TAXy,1,CB$7)-INDEX(c_TAXy,1,INDEX('Lease Cycles'!$GC$22:$GI$22,1,CB248)+1))+(INDEX(c_INSy,1,CB$7)-INDEX(c_INSy,1,INDEX('Lease Cycles'!$GC$22:$GI$22,1,CB248)+1)))/12)</f>
        <v>0</v>
      </c>
      <c r="CC259" s="28">
        <f>IF(CC258=0,0,CC258*MAX(0,(INDEX(c_CAMy,1,CC$7)-INDEX(c_CAMy,1,INDEX('Lease Cycles'!$GC$22:$GI$22,1,CC248)+1))*(1+'Lease Cycles'!$AK$22)+(INDEX(c_TAXy,1,CC$7)-INDEX(c_TAXy,1,INDEX('Lease Cycles'!$GC$22:$GI$22,1,CC248)+1))+(INDEX(c_INSy,1,CC$7)-INDEX(c_INSy,1,INDEX('Lease Cycles'!$GC$22:$GI$22,1,CC248)+1)))/12)</f>
        <v>0</v>
      </c>
      <c r="CD259" s="28">
        <f>IF(CD258=0,0,CD258*MAX(0,(INDEX(c_CAMy,1,CD$7)-INDEX(c_CAMy,1,INDEX('Lease Cycles'!$GC$22:$GI$22,1,CD248)+1))*(1+'Lease Cycles'!$AK$22)+(INDEX(c_TAXy,1,CD$7)-INDEX(c_TAXy,1,INDEX('Lease Cycles'!$GC$22:$GI$22,1,CD248)+1))+(INDEX(c_INSy,1,CD$7)-INDEX(c_INSy,1,INDEX('Lease Cycles'!$GC$22:$GI$22,1,CD248)+1)))/12)</f>
        <v>0</v>
      </c>
      <c r="CE259" s="28">
        <f>IF(CE258=0,0,CE258*MAX(0,(INDEX(c_CAMy,1,CE$7)-INDEX(c_CAMy,1,INDEX('Lease Cycles'!$GC$22:$GI$22,1,CE248)+1))*(1+'Lease Cycles'!$AK$22)+(INDEX(c_TAXy,1,CE$7)-INDEX(c_TAXy,1,INDEX('Lease Cycles'!$GC$22:$GI$22,1,CE248)+1))+(INDEX(c_INSy,1,CE$7)-INDEX(c_INSy,1,INDEX('Lease Cycles'!$GC$22:$GI$22,1,CE248)+1)))/12)</f>
        <v>0</v>
      </c>
      <c r="CF259" s="28">
        <f>IF(CF258=0,0,CF258*MAX(0,(INDEX(c_CAMy,1,CF$7)-INDEX(c_CAMy,1,INDEX('Lease Cycles'!$GC$22:$GI$22,1,CF248)+1))*(1+'Lease Cycles'!$AK$22)+(INDEX(c_TAXy,1,CF$7)-INDEX(c_TAXy,1,INDEX('Lease Cycles'!$GC$22:$GI$22,1,CF248)+1))+(INDEX(c_INSy,1,CF$7)-INDEX(c_INSy,1,INDEX('Lease Cycles'!$GC$22:$GI$22,1,CF248)+1)))/12)</f>
        <v>0</v>
      </c>
      <c r="CG259" s="28">
        <f>IF(CG258=0,0,CG258*MAX(0,(INDEX(c_CAMy,1,CG$7)-INDEX(c_CAMy,1,INDEX('Lease Cycles'!$GC$22:$GI$22,1,CG248)+1))*(1+'Lease Cycles'!$AK$22)+(INDEX(c_TAXy,1,CG$7)-INDEX(c_TAXy,1,INDEX('Lease Cycles'!$GC$22:$GI$22,1,CG248)+1))+(INDEX(c_INSy,1,CG$7)-INDEX(c_INSy,1,INDEX('Lease Cycles'!$GC$22:$GI$22,1,CG248)+1)))/12)</f>
        <v>0</v>
      </c>
      <c r="CH259" s="28">
        <f>IF(CH258=0,0,CH258*MAX(0,(INDEX(c_CAMy,1,CH$7)-INDEX(c_CAMy,1,INDEX('Lease Cycles'!$GC$22:$GI$22,1,CH248)+1))*(1+'Lease Cycles'!$AK$22)+(INDEX(c_TAXy,1,CH$7)-INDEX(c_TAXy,1,INDEX('Lease Cycles'!$GC$22:$GI$22,1,CH248)+1))+(INDEX(c_INSy,1,CH$7)-INDEX(c_INSy,1,INDEX('Lease Cycles'!$GC$22:$GI$22,1,CH248)+1)))/12)</f>
        <v>0</v>
      </c>
      <c r="CI259" s="28">
        <f>IF(CI258=0,0,CI258*MAX(0,(INDEX(c_CAMy,1,CI$7)-INDEX(c_CAMy,1,INDEX('Lease Cycles'!$GC$22:$GI$22,1,CI248)+1))*(1+'Lease Cycles'!$AK$22)+(INDEX(c_TAXy,1,CI$7)-INDEX(c_TAXy,1,INDEX('Lease Cycles'!$GC$22:$GI$22,1,CI248)+1))+(INDEX(c_INSy,1,CI$7)-INDEX(c_INSy,1,INDEX('Lease Cycles'!$GC$22:$GI$22,1,CI248)+1)))/12)</f>
        <v>0</v>
      </c>
      <c r="CJ259" s="28">
        <f>IF(CJ258=0,0,CJ258*MAX(0,(INDEX(c_CAMy,1,CJ$7)-INDEX(c_CAMy,1,INDEX('Lease Cycles'!$GC$22:$GI$22,1,CJ248)+1))*(1+'Lease Cycles'!$AK$22)+(INDEX(c_TAXy,1,CJ$7)-INDEX(c_TAXy,1,INDEX('Lease Cycles'!$GC$22:$GI$22,1,CJ248)+1))+(INDEX(c_INSy,1,CJ$7)-INDEX(c_INSy,1,INDEX('Lease Cycles'!$GC$22:$GI$22,1,CJ248)+1)))/12)</f>
        <v>0</v>
      </c>
      <c r="CK259" s="28">
        <f>IF(CK258=0,0,CK258*MAX(0,(INDEX(c_CAMy,1,CK$7)-INDEX(c_CAMy,1,INDEX('Lease Cycles'!$GC$22:$GI$22,1,CK248)+1))*(1+'Lease Cycles'!$AK$22)+(INDEX(c_TAXy,1,CK$7)-INDEX(c_TAXy,1,INDEX('Lease Cycles'!$GC$22:$GI$22,1,CK248)+1))+(INDEX(c_INSy,1,CK$7)-INDEX(c_INSy,1,INDEX('Lease Cycles'!$GC$22:$GI$22,1,CK248)+1)))/12)</f>
        <v>0</v>
      </c>
      <c r="CL259" s="28">
        <f>IF(CL258=0,0,CL258*MAX(0,(INDEX(c_CAMy,1,CL$7)-INDEX(c_CAMy,1,INDEX('Lease Cycles'!$GC$22:$GI$22,1,CL248)+1))*(1+'Lease Cycles'!$AK$22)+(INDEX(c_TAXy,1,CL$7)-INDEX(c_TAXy,1,INDEX('Lease Cycles'!$GC$22:$GI$22,1,CL248)+1))+(INDEX(c_INSy,1,CL$7)-INDEX(c_INSy,1,INDEX('Lease Cycles'!$GC$22:$GI$22,1,CL248)+1)))/12)</f>
        <v>0</v>
      </c>
      <c r="CM259" s="28">
        <f>IF(CM258=0,0,CM258*MAX(0,(INDEX(c_CAMy,1,CM$7)-INDEX(c_CAMy,1,INDEX('Lease Cycles'!$GC$22:$GI$22,1,CM248)+1))*(1+'Lease Cycles'!$AK$22)+(INDEX(c_TAXy,1,CM$7)-INDEX(c_TAXy,1,INDEX('Lease Cycles'!$GC$22:$GI$22,1,CM248)+1))+(INDEX(c_INSy,1,CM$7)-INDEX(c_INSy,1,INDEX('Lease Cycles'!$GC$22:$GI$22,1,CM248)+1)))/12)</f>
        <v>0</v>
      </c>
      <c r="CN259" s="28">
        <f>IF(CN258=0,0,CN258*MAX(0,(INDEX(c_CAMy,1,CN$7)-INDEX(c_CAMy,1,INDEX('Lease Cycles'!$GC$22:$GI$22,1,CN248)+1))*(1+'Lease Cycles'!$AK$22)+(INDEX(c_TAXy,1,CN$7)-INDEX(c_TAXy,1,INDEX('Lease Cycles'!$GC$22:$GI$22,1,CN248)+1))+(INDEX(c_INSy,1,CN$7)-INDEX(c_INSy,1,INDEX('Lease Cycles'!$GC$22:$GI$22,1,CN248)+1)))/12)</f>
        <v>0</v>
      </c>
      <c r="CO259" s="28">
        <f>IF(CO258=0,0,CO258*MAX(0,(INDEX(c_CAMy,1,CO$7)-INDEX(c_CAMy,1,INDEX('Lease Cycles'!$GC$22:$GI$22,1,CO248)+1))*(1+'Lease Cycles'!$AK$22)+(INDEX(c_TAXy,1,CO$7)-INDEX(c_TAXy,1,INDEX('Lease Cycles'!$GC$22:$GI$22,1,CO248)+1))+(INDEX(c_INSy,1,CO$7)-INDEX(c_INSy,1,INDEX('Lease Cycles'!$GC$22:$GI$22,1,CO248)+1)))/12)</f>
        <v>0</v>
      </c>
      <c r="CP259" s="28">
        <f>IF(CP258=0,0,CP258*MAX(0,(INDEX(c_CAMy,1,CP$7)-INDEX(c_CAMy,1,INDEX('Lease Cycles'!$GC$22:$GI$22,1,CP248)+1))*(1+'Lease Cycles'!$AK$22)+(INDEX(c_TAXy,1,CP$7)-INDEX(c_TAXy,1,INDEX('Lease Cycles'!$GC$22:$GI$22,1,CP248)+1))+(INDEX(c_INSy,1,CP$7)-INDEX(c_INSy,1,INDEX('Lease Cycles'!$GC$22:$GI$22,1,CP248)+1)))/12)</f>
        <v>0</v>
      </c>
      <c r="CQ259" s="28">
        <f>IF(CQ258=0,0,CQ258*MAX(0,(INDEX(c_CAMy,1,CQ$7)-INDEX(c_CAMy,1,INDEX('Lease Cycles'!$GC$22:$GI$22,1,CQ248)+1))*(1+'Lease Cycles'!$AK$22)+(INDEX(c_TAXy,1,CQ$7)-INDEX(c_TAXy,1,INDEX('Lease Cycles'!$GC$22:$GI$22,1,CQ248)+1))+(INDEX(c_INSy,1,CQ$7)-INDEX(c_INSy,1,INDEX('Lease Cycles'!$GC$22:$GI$22,1,CQ248)+1)))/12)</f>
        <v>0</v>
      </c>
      <c r="CR259" s="28">
        <f>IF(CR258=0,0,CR258*MAX(0,(INDEX(c_CAMy,1,CR$7)-INDEX(c_CAMy,1,INDEX('Lease Cycles'!$GC$22:$GI$22,1,CR248)+1))*(1+'Lease Cycles'!$AK$22)+(INDEX(c_TAXy,1,CR$7)-INDEX(c_TAXy,1,INDEX('Lease Cycles'!$GC$22:$GI$22,1,CR248)+1))+(INDEX(c_INSy,1,CR$7)-INDEX(c_INSy,1,INDEX('Lease Cycles'!$GC$22:$GI$22,1,CR248)+1)))/12)</f>
        <v>0</v>
      </c>
      <c r="CS259" s="28">
        <f>IF(CS258=0,0,CS258*MAX(0,(INDEX(c_CAMy,1,CS$7)-INDEX(c_CAMy,1,INDEX('Lease Cycles'!$GC$22:$GI$22,1,CS248)+1))*(1+'Lease Cycles'!$AK$22)+(INDEX(c_TAXy,1,CS$7)-INDEX(c_TAXy,1,INDEX('Lease Cycles'!$GC$22:$GI$22,1,CS248)+1))+(INDEX(c_INSy,1,CS$7)-INDEX(c_INSy,1,INDEX('Lease Cycles'!$GC$22:$GI$22,1,CS248)+1)))/12)</f>
        <v>0</v>
      </c>
      <c r="CT259" s="28">
        <f>IF(CT258=0,0,CT258*MAX(0,(INDEX(c_CAMy,1,CT$7)-INDEX(c_CAMy,1,INDEX('Lease Cycles'!$GC$22:$GI$22,1,CT248)+1))*(1+'Lease Cycles'!$AK$22)+(INDEX(c_TAXy,1,CT$7)-INDEX(c_TAXy,1,INDEX('Lease Cycles'!$GC$22:$GI$22,1,CT248)+1))+(INDEX(c_INSy,1,CT$7)-INDEX(c_INSy,1,INDEX('Lease Cycles'!$GC$22:$GI$22,1,CT248)+1)))/12)</f>
        <v>0</v>
      </c>
      <c r="CU259" s="28">
        <f>IF(CU258=0,0,CU258*MAX(0,(INDEX(c_CAMy,1,CU$7)-INDEX(c_CAMy,1,INDEX('Lease Cycles'!$GC$22:$GI$22,1,CU248)+1))*(1+'Lease Cycles'!$AK$22)+(INDEX(c_TAXy,1,CU$7)-INDEX(c_TAXy,1,INDEX('Lease Cycles'!$GC$22:$GI$22,1,CU248)+1))+(INDEX(c_INSy,1,CU$7)-INDEX(c_INSy,1,INDEX('Lease Cycles'!$GC$22:$GI$22,1,CU248)+1)))/12)</f>
        <v>0</v>
      </c>
      <c r="CV259" s="28">
        <f>IF(CV258=0,0,CV258*MAX(0,(INDEX(c_CAMy,1,CV$7)-INDEX(c_CAMy,1,INDEX('Lease Cycles'!$GC$22:$GI$22,1,CV248)+1))*(1+'Lease Cycles'!$AK$22)+(INDEX(c_TAXy,1,CV$7)-INDEX(c_TAXy,1,INDEX('Lease Cycles'!$GC$22:$GI$22,1,CV248)+1))+(INDEX(c_INSy,1,CV$7)-INDEX(c_INSy,1,INDEX('Lease Cycles'!$GC$22:$GI$22,1,CV248)+1)))/12)</f>
        <v>0</v>
      </c>
      <c r="CW259" s="28">
        <f>IF(CW258=0,0,CW258*MAX(0,(INDEX(c_CAMy,1,CW$7)-INDEX(c_CAMy,1,INDEX('Lease Cycles'!$GC$22:$GI$22,1,CW248)+1))*(1+'Lease Cycles'!$AK$22)+(INDEX(c_TAXy,1,CW$7)-INDEX(c_TAXy,1,INDEX('Lease Cycles'!$GC$22:$GI$22,1,CW248)+1))+(INDEX(c_INSy,1,CW$7)-INDEX(c_INSy,1,INDEX('Lease Cycles'!$GC$22:$GI$22,1,CW248)+1)))/12)</f>
        <v>0</v>
      </c>
      <c r="CX259" s="28">
        <f>IF(CX258=0,0,CX258*MAX(0,(INDEX(c_CAMy,1,CX$7)-INDEX(c_CAMy,1,INDEX('Lease Cycles'!$GC$22:$GI$22,1,CX248)+1))*(1+'Lease Cycles'!$AK$22)+(INDEX(c_TAXy,1,CX$7)-INDEX(c_TAXy,1,INDEX('Lease Cycles'!$GC$22:$GI$22,1,CX248)+1))+(INDEX(c_INSy,1,CX$7)-INDEX(c_INSy,1,INDEX('Lease Cycles'!$GC$22:$GI$22,1,CX248)+1)))/12)</f>
        <v>0</v>
      </c>
      <c r="CY259" s="28">
        <f>IF(CY258=0,0,CY258*MAX(0,(INDEX(c_CAMy,1,CY$7)-INDEX(c_CAMy,1,INDEX('Lease Cycles'!$GC$22:$GI$22,1,CY248)+1))*(1+'Lease Cycles'!$AK$22)+(INDEX(c_TAXy,1,CY$7)-INDEX(c_TAXy,1,INDEX('Lease Cycles'!$GC$22:$GI$22,1,CY248)+1))+(INDEX(c_INSy,1,CY$7)-INDEX(c_INSy,1,INDEX('Lease Cycles'!$GC$22:$GI$22,1,CY248)+1)))/12)</f>
        <v>0</v>
      </c>
      <c r="CZ259" s="28">
        <f>IF(CZ258=0,0,CZ258*MAX(0,(INDEX(c_CAMy,1,CZ$7)-INDEX(c_CAMy,1,INDEX('Lease Cycles'!$GC$22:$GI$22,1,CZ248)+1))*(1+'Lease Cycles'!$AK$22)+(INDEX(c_TAXy,1,CZ$7)-INDEX(c_TAXy,1,INDEX('Lease Cycles'!$GC$22:$GI$22,1,CZ248)+1))+(INDEX(c_INSy,1,CZ$7)-INDEX(c_INSy,1,INDEX('Lease Cycles'!$GC$22:$GI$22,1,CZ248)+1)))/12)</f>
        <v>0</v>
      </c>
      <c r="DA259" s="28">
        <f>IF(DA258=0,0,DA258*MAX(0,(INDEX(c_CAMy,1,DA$7)-INDEX(c_CAMy,1,INDEX('Lease Cycles'!$GC$22:$GI$22,1,DA248)+1))*(1+'Lease Cycles'!$AK$22)+(INDEX(c_TAXy,1,DA$7)-INDEX(c_TAXy,1,INDEX('Lease Cycles'!$GC$22:$GI$22,1,DA248)+1))+(INDEX(c_INSy,1,DA$7)-INDEX(c_INSy,1,INDEX('Lease Cycles'!$GC$22:$GI$22,1,DA248)+1)))/12)</f>
        <v>0</v>
      </c>
      <c r="DB259" s="28">
        <f>IF(DB258=0,0,DB258*MAX(0,(INDEX(c_CAMy,1,DB$7)-INDEX(c_CAMy,1,INDEX('Lease Cycles'!$GC$22:$GI$22,1,DB248)+1))*(1+'Lease Cycles'!$AK$22)+(INDEX(c_TAXy,1,DB$7)-INDEX(c_TAXy,1,INDEX('Lease Cycles'!$GC$22:$GI$22,1,DB248)+1))+(INDEX(c_INSy,1,DB$7)-INDEX(c_INSy,1,INDEX('Lease Cycles'!$GC$22:$GI$22,1,DB248)+1)))/12)</f>
        <v>0</v>
      </c>
      <c r="DC259" s="28">
        <f>IF(DC258=0,0,DC258*MAX(0,(INDEX(c_CAMy,1,DC$7)-INDEX(c_CAMy,1,INDEX('Lease Cycles'!$GC$22:$GI$22,1,DC248)+1))*(1+'Lease Cycles'!$AK$22)+(INDEX(c_TAXy,1,DC$7)-INDEX(c_TAXy,1,INDEX('Lease Cycles'!$GC$22:$GI$22,1,DC248)+1))+(INDEX(c_INSy,1,DC$7)-INDEX(c_INSy,1,INDEX('Lease Cycles'!$GC$22:$GI$22,1,DC248)+1)))/12)</f>
        <v>0</v>
      </c>
      <c r="DD259" s="28">
        <f>IF(DD258=0,0,DD258*MAX(0,(INDEX(c_CAMy,1,DD$7)-INDEX(c_CAMy,1,INDEX('Lease Cycles'!$GC$22:$GI$22,1,DD248)+1))*(1+'Lease Cycles'!$AK$22)+(INDEX(c_TAXy,1,DD$7)-INDEX(c_TAXy,1,INDEX('Lease Cycles'!$GC$22:$GI$22,1,DD248)+1))+(INDEX(c_INSy,1,DD$7)-INDEX(c_INSy,1,INDEX('Lease Cycles'!$GC$22:$GI$22,1,DD248)+1)))/12)</f>
        <v>0</v>
      </c>
      <c r="DE259" s="28">
        <f>IF(DE258=0,0,DE258*MAX(0,(INDEX(c_CAMy,1,DE$7)-INDEX(c_CAMy,1,INDEX('Lease Cycles'!$GC$22:$GI$22,1,DE248)+1))*(1+'Lease Cycles'!$AK$22)+(INDEX(c_TAXy,1,DE$7)-INDEX(c_TAXy,1,INDEX('Lease Cycles'!$GC$22:$GI$22,1,DE248)+1))+(INDEX(c_INSy,1,DE$7)-INDEX(c_INSy,1,INDEX('Lease Cycles'!$GC$22:$GI$22,1,DE248)+1)))/12)</f>
        <v>0</v>
      </c>
      <c r="DF259" s="28">
        <f>IF(DF258=0,0,DF258*MAX(0,(INDEX(c_CAMy,1,DF$7)-INDEX(c_CAMy,1,INDEX('Lease Cycles'!$GC$22:$GI$22,1,DF248)+1))*(1+'Lease Cycles'!$AK$22)+(INDEX(c_TAXy,1,DF$7)-INDEX(c_TAXy,1,INDEX('Lease Cycles'!$GC$22:$GI$22,1,DF248)+1))+(INDEX(c_INSy,1,DF$7)-INDEX(c_INSy,1,INDEX('Lease Cycles'!$GC$22:$GI$22,1,DF248)+1)))/12)</f>
        <v>0</v>
      </c>
      <c r="DG259" s="28">
        <f>IF(DG258=0,0,DG258*MAX(0,(INDEX(c_CAMy,1,DG$7)-INDEX(c_CAMy,1,INDEX('Lease Cycles'!$GC$22:$GI$22,1,DG248)+1))*(1+'Lease Cycles'!$AK$22)+(INDEX(c_TAXy,1,DG$7)-INDEX(c_TAXy,1,INDEX('Lease Cycles'!$GC$22:$GI$22,1,DG248)+1))+(INDEX(c_INSy,1,DG$7)-INDEX(c_INSy,1,INDEX('Lease Cycles'!$GC$22:$GI$22,1,DG248)+1)))/12)</f>
        <v>0</v>
      </c>
      <c r="DH259" s="28">
        <f>IF(DH258=0,0,DH258*MAX(0,(INDEX(c_CAMy,1,DH$7)-INDEX(c_CAMy,1,INDEX('Lease Cycles'!$GC$22:$GI$22,1,DH248)+1))*(1+'Lease Cycles'!$AK$22)+(INDEX(c_TAXy,1,DH$7)-INDEX(c_TAXy,1,INDEX('Lease Cycles'!$GC$22:$GI$22,1,DH248)+1))+(INDEX(c_INSy,1,DH$7)-INDEX(c_INSy,1,INDEX('Lease Cycles'!$GC$22:$GI$22,1,DH248)+1)))/12)</f>
        <v>0</v>
      </c>
      <c r="DI259" s="28">
        <f>IF(DI258=0,0,DI258*MAX(0,(INDEX(c_CAMy,1,DI$7)-INDEX(c_CAMy,1,INDEX('Lease Cycles'!$GC$22:$GI$22,1,DI248)+1))*(1+'Lease Cycles'!$AK$22)+(INDEX(c_TAXy,1,DI$7)-INDEX(c_TAXy,1,INDEX('Lease Cycles'!$GC$22:$GI$22,1,DI248)+1))+(INDEX(c_INSy,1,DI$7)-INDEX(c_INSy,1,INDEX('Lease Cycles'!$GC$22:$GI$22,1,DI248)+1)))/12)</f>
        <v>0</v>
      </c>
      <c r="DJ259" s="28">
        <f>IF(DJ258=0,0,DJ258*MAX(0,(INDEX(c_CAMy,1,DJ$7)-INDEX(c_CAMy,1,INDEX('Lease Cycles'!$GC$22:$GI$22,1,DJ248)+1))*(1+'Lease Cycles'!$AK$22)+(INDEX(c_TAXy,1,DJ$7)-INDEX(c_TAXy,1,INDEX('Lease Cycles'!$GC$22:$GI$22,1,DJ248)+1))+(INDEX(c_INSy,1,DJ$7)-INDEX(c_INSy,1,INDEX('Lease Cycles'!$GC$22:$GI$22,1,DJ248)+1)))/12)</f>
        <v>0</v>
      </c>
      <c r="DK259" s="28">
        <f>IF(DK258=0,0,DK258*MAX(0,(INDEX(c_CAMy,1,DK$7)-INDEX(c_CAMy,1,INDEX('Lease Cycles'!$GC$22:$GI$22,1,DK248)+1))*(1+'Lease Cycles'!$AK$22)+(INDEX(c_TAXy,1,DK$7)-INDEX(c_TAXy,1,INDEX('Lease Cycles'!$GC$22:$GI$22,1,DK248)+1))+(INDEX(c_INSy,1,DK$7)-INDEX(c_INSy,1,INDEX('Lease Cycles'!$GC$22:$GI$22,1,DK248)+1)))/12)</f>
        <v>0</v>
      </c>
      <c r="DL259" s="28">
        <f>IF(DL258=0,0,DL258*MAX(0,(INDEX(c_CAMy,1,DL$7)-INDEX(c_CAMy,1,INDEX('Lease Cycles'!$GC$22:$GI$22,1,DL248)+1))*(1+'Lease Cycles'!$AK$22)+(INDEX(c_TAXy,1,DL$7)-INDEX(c_TAXy,1,INDEX('Lease Cycles'!$GC$22:$GI$22,1,DL248)+1))+(INDEX(c_INSy,1,DL$7)-INDEX(c_INSy,1,INDEX('Lease Cycles'!$GC$22:$GI$22,1,DL248)+1)))/12)</f>
        <v>0</v>
      </c>
      <c r="DM259" s="28">
        <f>IF(DM258=0,0,DM258*MAX(0,(INDEX(c_CAMy,1,DM$7)-INDEX(c_CAMy,1,INDEX('Lease Cycles'!$GC$22:$GI$22,1,DM248)+1))*(1+'Lease Cycles'!$AK$22)+(INDEX(c_TAXy,1,DM$7)-INDEX(c_TAXy,1,INDEX('Lease Cycles'!$GC$22:$GI$22,1,DM248)+1))+(INDEX(c_INSy,1,DM$7)-INDEX(c_INSy,1,INDEX('Lease Cycles'!$GC$22:$GI$22,1,DM248)+1)))/12)</f>
        <v>0</v>
      </c>
      <c r="DN259" s="28">
        <f>IF(DN258=0,0,DN258*MAX(0,(INDEX(c_CAMy,1,DN$7)-INDEX(c_CAMy,1,INDEX('Lease Cycles'!$GC$22:$GI$22,1,DN248)+1))*(1+'Lease Cycles'!$AK$22)+(INDEX(c_TAXy,1,DN$7)-INDEX(c_TAXy,1,INDEX('Lease Cycles'!$GC$22:$GI$22,1,DN248)+1))+(INDEX(c_INSy,1,DN$7)-INDEX(c_INSy,1,INDEX('Lease Cycles'!$GC$22:$GI$22,1,DN248)+1)))/12)</f>
        <v>0</v>
      </c>
      <c r="DO259" s="28">
        <f>IF(DO258=0,0,DO258*MAX(0,(INDEX(c_CAMy,1,DO$7)-INDEX(c_CAMy,1,INDEX('Lease Cycles'!$GC$22:$GI$22,1,DO248)+1))*(1+'Lease Cycles'!$AK$22)+(INDEX(c_TAXy,1,DO$7)-INDEX(c_TAXy,1,INDEX('Lease Cycles'!$GC$22:$GI$22,1,DO248)+1))+(INDEX(c_INSy,1,DO$7)-INDEX(c_INSy,1,INDEX('Lease Cycles'!$GC$22:$GI$22,1,DO248)+1)))/12)</f>
        <v>0</v>
      </c>
      <c r="DP259" s="28">
        <f>IF(DP258=0,0,DP258*MAX(0,(INDEX(c_CAMy,1,DP$7)-INDEX(c_CAMy,1,INDEX('Lease Cycles'!$GC$22:$GI$22,1,DP248)+1))*(1+'Lease Cycles'!$AK$22)+(INDEX(c_TAXy,1,DP$7)-INDEX(c_TAXy,1,INDEX('Lease Cycles'!$GC$22:$GI$22,1,DP248)+1))+(INDEX(c_INSy,1,DP$7)-INDEX(c_INSy,1,INDEX('Lease Cycles'!$GC$22:$GI$22,1,DP248)+1)))/12)</f>
        <v>0</v>
      </c>
      <c r="DQ259" s="28">
        <f>IF(DQ258=0,0,DQ258*MAX(0,(INDEX(c_CAMy,1,DQ$7)-INDEX(c_CAMy,1,INDEX('Lease Cycles'!$GC$22:$GI$22,1,DQ248)+1))*(1+'Lease Cycles'!$AK$22)+(INDEX(c_TAXy,1,DQ$7)-INDEX(c_TAXy,1,INDEX('Lease Cycles'!$GC$22:$GI$22,1,DQ248)+1))+(INDEX(c_INSy,1,DQ$7)-INDEX(c_INSy,1,INDEX('Lease Cycles'!$GC$22:$GI$22,1,DQ248)+1)))/12)</f>
        <v>0</v>
      </c>
      <c r="DR259" s="28">
        <f>IF(DR258=0,0,DR258*MAX(0,(INDEX(c_CAMy,1,DR$7)-INDEX(c_CAMy,1,INDEX('Lease Cycles'!$GC$22:$GI$22,1,DR248)+1))*(1+'Lease Cycles'!$AK$22)+(INDEX(c_TAXy,1,DR$7)-INDEX(c_TAXy,1,INDEX('Lease Cycles'!$GC$22:$GI$22,1,DR248)+1))+(INDEX(c_INSy,1,DR$7)-INDEX(c_INSy,1,INDEX('Lease Cycles'!$GC$22:$GI$22,1,DR248)+1)))/12)</f>
        <v>0</v>
      </c>
      <c r="DS259" s="28">
        <f>IF(DS258=0,0,DS258*MAX(0,(INDEX(c_CAMy,1,DS$7)-INDEX(c_CAMy,1,INDEX('Lease Cycles'!$GC$22:$GI$22,1,DS248)+1))*(1+'Lease Cycles'!$AK$22)+(INDEX(c_TAXy,1,DS$7)-INDEX(c_TAXy,1,INDEX('Lease Cycles'!$GC$22:$GI$22,1,DS248)+1))+(INDEX(c_INSy,1,DS$7)-INDEX(c_INSy,1,INDEX('Lease Cycles'!$GC$22:$GI$22,1,DS248)+1)))/12)</f>
        <v>0</v>
      </c>
      <c r="DT259" s="28">
        <f>IF(DT258=0,0,DT258*MAX(0,(INDEX(c_CAMy,1,DT$7)-INDEX(c_CAMy,1,INDEX('Lease Cycles'!$GC$22:$GI$22,1,DT248)+1))*(1+'Lease Cycles'!$AK$22)+(INDEX(c_TAXy,1,DT$7)-INDEX(c_TAXy,1,INDEX('Lease Cycles'!$GC$22:$GI$22,1,DT248)+1))+(INDEX(c_INSy,1,DT$7)-INDEX(c_INSy,1,INDEX('Lease Cycles'!$GC$22:$GI$22,1,DT248)+1)))/12)</f>
        <v>0</v>
      </c>
      <c r="DU259" s="28">
        <f>IF(DU258=0,0,DU258*MAX(0,(INDEX(c_CAMy,1,DU$7)-INDEX(c_CAMy,1,INDEX('Lease Cycles'!$GC$22:$GI$22,1,DU248)+1))*(1+'Lease Cycles'!$AK$22)+(INDEX(c_TAXy,1,DU$7)-INDEX(c_TAXy,1,INDEX('Lease Cycles'!$GC$22:$GI$22,1,DU248)+1))+(INDEX(c_INSy,1,DU$7)-INDEX(c_INSy,1,INDEX('Lease Cycles'!$GC$22:$GI$22,1,DU248)+1)))/12)</f>
        <v>0</v>
      </c>
      <c r="DV259" s="28">
        <f>IF(DV258=0,0,DV258*MAX(0,(INDEX(c_CAMy,1,DV$7)-INDEX(c_CAMy,1,INDEX('Lease Cycles'!$GC$22:$GI$22,1,DV248)+1))*(1+'Lease Cycles'!$AK$22)+(INDEX(c_TAXy,1,DV$7)-INDEX(c_TAXy,1,INDEX('Lease Cycles'!$GC$22:$GI$22,1,DV248)+1))+(INDEX(c_INSy,1,DV$7)-INDEX(c_INSy,1,INDEX('Lease Cycles'!$GC$22:$GI$22,1,DV248)+1)))/12)</f>
        <v>0</v>
      </c>
      <c r="DW259" s="28">
        <f>IF(DW258=0,0,DW258*MAX(0,(INDEX(c_CAMy,1,DW$7)-INDEX(c_CAMy,1,INDEX('Lease Cycles'!$GC$22:$GI$22,1,DW248)+1))*(1+'Lease Cycles'!$AK$22)+(INDEX(c_TAXy,1,DW$7)-INDEX(c_TAXy,1,INDEX('Lease Cycles'!$GC$22:$GI$22,1,DW248)+1))+(INDEX(c_INSy,1,DW$7)-INDEX(c_INSy,1,INDEX('Lease Cycles'!$GC$22:$GI$22,1,DW248)+1)))/12)</f>
        <v>0</v>
      </c>
      <c r="DX259" s="28">
        <f>IF(DX258=0,0,DX258*MAX(0,(INDEX(c_CAMy,1,DX$7)-INDEX(c_CAMy,1,INDEX('Lease Cycles'!$GC$22:$GI$22,1,DX248)+1))*(1+'Lease Cycles'!$AK$22)+(INDEX(c_TAXy,1,DX$7)-INDEX(c_TAXy,1,INDEX('Lease Cycles'!$GC$22:$GI$22,1,DX248)+1))+(INDEX(c_INSy,1,DX$7)-INDEX(c_INSy,1,INDEX('Lease Cycles'!$GC$22:$GI$22,1,DX248)+1)))/12)</f>
        <v>0</v>
      </c>
      <c r="DY259" s="28">
        <f>IF(DY258=0,0,DY258*MAX(0,(INDEX(c_CAMy,1,DY$7)-INDEX(c_CAMy,1,INDEX('Lease Cycles'!$GC$22:$GI$22,1,DY248)+1))*(1+'Lease Cycles'!$AK$22)+(INDEX(c_TAXy,1,DY$7)-INDEX(c_TAXy,1,INDEX('Lease Cycles'!$GC$22:$GI$22,1,DY248)+1))+(INDEX(c_INSy,1,DY$7)-INDEX(c_INSy,1,INDEX('Lease Cycles'!$GC$22:$GI$22,1,DY248)+1)))/12)</f>
        <v>0</v>
      </c>
      <c r="DZ259" s="28">
        <f>IF(DZ258=0,0,DZ258*MAX(0,(INDEX(c_CAMy,1,DZ$7)-INDEX(c_CAMy,1,INDEX('Lease Cycles'!$GC$22:$GI$22,1,DZ248)+1))*(1+'Lease Cycles'!$AK$22)+(INDEX(c_TAXy,1,DZ$7)-INDEX(c_TAXy,1,INDEX('Lease Cycles'!$GC$22:$GI$22,1,DZ248)+1))+(INDEX(c_INSy,1,DZ$7)-INDEX(c_INSy,1,INDEX('Lease Cycles'!$GC$22:$GI$22,1,DZ248)+1)))/12)</f>
        <v>0</v>
      </c>
      <c r="EA259" s="28">
        <f>IF(EA258=0,0,EA258*MAX(0,(INDEX(c_CAMy,1,EA$7)-INDEX(c_CAMy,1,INDEX('Lease Cycles'!$GC$22:$GI$22,1,EA248)+1))*(1+'Lease Cycles'!$AK$22)+(INDEX(c_TAXy,1,EA$7)-INDEX(c_TAXy,1,INDEX('Lease Cycles'!$GC$22:$GI$22,1,EA248)+1))+(INDEX(c_INSy,1,EA$7)-INDEX(c_INSy,1,INDEX('Lease Cycles'!$GC$22:$GI$22,1,EA248)+1)))/12)</f>
        <v>0</v>
      </c>
      <c r="EB259" s="28">
        <f>IF(EB258=0,0,EB258*MAX(0,(INDEX(c_CAMy,1,EB$7)-INDEX(c_CAMy,1,INDEX('Lease Cycles'!$GC$22:$GI$22,1,EB248)+1))*(1+'Lease Cycles'!$AK$22)+(INDEX(c_TAXy,1,EB$7)-INDEX(c_TAXy,1,INDEX('Lease Cycles'!$GC$22:$GI$22,1,EB248)+1))+(INDEX(c_INSy,1,EB$7)-INDEX(c_INSy,1,INDEX('Lease Cycles'!$GC$22:$GI$22,1,EB248)+1)))/12)</f>
        <v>0</v>
      </c>
      <c r="EC259" s="28">
        <f>IF(EC258=0,0,EC258*MAX(0,(INDEX(c_CAMy,1,EC$7)-INDEX(c_CAMy,1,INDEX('Lease Cycles'!$GC$22:$GI$22,1,EC248)+1))*(1+'Lease Cycles'!$AK$22)+(INDEX(c_TAXy,1,EC$7)-INDEX(c_TAXy,1,INDEX('Lease Cycles'!$GC$22:$GI$22,1,EC248)+1))+(INDEX(c_INSy,1,EC$7)-INDEX(c_INSy,1,INDEX('Lease Cycles'!$GC$22:$GI$22,1,EC248)+1)))/12)</f>
        <v>0</v>
      </c>
      <c r="ED259" s="28">
        <f>IF(ED258=0,0,ED258*MAX(0,(INDEX(c_CAMy,1,ED$7)-INDEX(c_CAMy,1,INDEX('Lease Cycles'!$GC$22:$GI$22,1,ED248)+1))*(1+'Lease Cycles'!$AK$22)+(INDEX(c_TAXy,1,ED$7)-INDEX(c_TAXy,1,INDEX('Lease Cycles'!$GC$22:$GI$22,1,ED248)+1))+(INDEX(c_INSy,1,ED$7)-INDEX(c_INSy,1,INDEX('Lease Cycles'!$GC$22:$GI$22,1,ED248)+1)))/12)</f>
        <v>0</v>
      </c>
      <c r="EE259" s="28">
        <f>IF(EE258=0,0,EE258*MAX(0,(INDEX(c_CAMy,1,EE$7)-INDEX(c_CAMy,1,INDEX('Lease Cycles'!$GC$22:$GI$22,1,EE248)+1))*(1+'Lease Cycles'!$AK$22)+(INDEX(c_TAXy,1,EE$7)-INDEX(c_TAXy,1,INDEX('Lease Cycles'!$GC$22:$GI$22,1,EE248)+1))+(INDEX(c_INSy,1,EE$7)-INDEX(c_INSy,1,INDEX('Lease Cycles'!$GC$22:$GI$22,1,EE248)+1)))/12)</f>
        <v>0</v>
      </c>
      <c r="EF259" s="28">
        <f>IF(EF258=0,0,EF258*MAX(0,(INDEX(c_CAMy,1,EF$7)-INDEX(c_CAMy,1,INDEX('Lease Cycles'!$GC$22:$GI$22,1,EF248)+1))*(1+'Lease Cycles'!$AK$22)+(INDEX(c_TAXy,1,EF$7)-INDEX(c_TAXy,1,INDEX('Lease Cycles'!$GC$22:$GI$22,1,EF248)+1))+(INDEX(c_INSy,1,EF$7)-INDEX(c_INSy,1,INDEX('Lease Cycles'!$GC$22:$GI$22,1,EF248)+1)))/12)</f>
        <v>0</v>
      </c>
      <c r="EG259" s="28">
        <f>IF(EG258=0,0,EG258*MAX(0,(INDEX(c_CAMy,1,EG$7)-INDEX(c_CAMy,1,INDEX('Lease Cycles'!$GC$22:$GI$22,1,EG248)+1))*(1+'Lease Cycles'!$AK$22)+(INDEX(c_TAXy,1,EG$7)-INDEX(c_TAXy,1,INDEX('Lease Cycles'!$GC$22:$GI$22,1,EG248)+1))+(INDEX(c_INSy,1,EG$7)-INDEX(c_INSy,1,INDEX('Lease Cycles'!$GC$22:$GI$22,1,EG248)+1)))/12)</f>
        <v>0</v>
      </c>
      <c r="EH259" s="28">
        <f>IF(EH258=0,0,EH258*MAX(0,(INDEX(c_CAMy,1,EH$7)-INDEX(c_CAMy,1,INDEX('Lease Cycles'!$GC$22:$GI$22,1,EH248)+1))*(1+'Lease Cycles'!$AK$22)+(INDEX(c_TAXy,1,EH$7)-INDEX(c_TAXy,1,INDEX('Lease Cycles'!$GC$22:$GI$22,1,EH248)+1))+(INDEX(c_INSy,1,EH$7)-INDEX(c_INSy,1,INDEX('Lease Cycles'!$GC$22:$GI$22,1,EH248)+1)))/12)</f>
        <v>0</v>
      </c>
      <c r="EI259" s="28">
        <f>IF(EI258=0,0,EI258*MAX(0,(INDEX(c_CAMy,1,EI$7)-INDEX(c_CAMy,1,INDEX('Lease Cycles'!$GC$22:$GI$22,1,EI248)+1))*(1+'Lease Cycles'!$AK$22)+(INDEX(c_TAXy,1,EI$7)-INDEX(c_TAXy,1,INDEX('Lease Cycles'!$GC$22:$GI$22,1,EI248)+1))+(INDEX(c_INSy,1,EI$7)-INDEX(c_INSy,1,INDEX('Lease Cycles'!$GC$22:$GI$22,1,EI248)+1)))/12)</f>
        <v>0</v>
      </c>
      <c r="EJ259" s="28">
        <f>IF(EJ258=0,0,EJ258*MAX(0,(INDEX(c_CAMy,1,EJ$7)-INDEX(c_CAMy,1,INDEX('Lease Cycles'!$GC$22:$GI$22,1,EJ248)+1))*(1+'Lease Cycles'!$AK$22)+(INDEX(c_TAXy,1,EJ$7)-INDEX(c_TAXy,1,INDEX('Lease Cycles'!$GC$22:$GI$22,1,EJ248)+1))+(INDEX(c_INSy,1,EJ$7)-INDEX(c_INSy,1,INDEX('Lease Cycles'!$GC$22:$GI$22,1,EJ248)+1)))/12)</f>
        <v>0</v>
      </c>
      <c r="EK259" s="28">
        <f>IF(EK258=0,0,EK258*MAX(0,(INDEX(c_CAMy,1,EK$7)-INDEX(c_CAMy,1,INDEX('Lease Cycles'!$GC$22:$GI$22,1,EK248)+1))*(1+'Lease Cycles'!$AK$22)+(INDEX(c_TAXy,1,EK$7)-INDEX(c_TAXy,1,INDEX('Lease Cycles'!$GC$22:$GI$22,1,EK248)+1))+(INDEX(c_INSy,1,EK$7)-INDEX(c_INSy,1,INDEX('Lease Cycles'!$GC$22:$GI$22,1,EK248)+1)))/12)</f>
        <v>0</v>
      </c>
      <c r="EL259" s="28">
        <f>IF(EL258=0,0,EL258*MAX(0,(INDEX(c_CAMy,1,EL$7)-INDEX(c_CAMy,1,INDEX('Lease Cycles'!$GC$22:$GI$22,1,EL248)+1))*(1+'Lease Cycles'!$AK$22)+(INDEX(c_TAXy,1,EL$7)-INDEX(c_TAXy,1,INDEX('Lease Cycles'!$GC$22:$GI$22,1,EL248)+1))+(INDEX(c_INSy,1,EL$7)-INDEX(c_INSy,1,INDEX('Lease Cycles'!$GC$22:$GI$22,1,EL248)+1)))/12)</f>
        <v>0</v>
      </c>
      <c r="EM259" s="28">
        <f>IF(EM258=0,0,EM258*MAX(0,(INDEX(c_CAMy,1,EM$7)-INDEX(c_CAMy,1,INDEX('Lease Cycles'!$GC$22:$GI$22,1,EM248)+1))*(1+'Lease Cycles'!$AK$22)+(INDEX(c_TAXy,1,EM$7)-INDEX(c_TAXy,1,INDEX('Lease Cycles'!$GC$22:$GI$22,1,EM248)+1))+(INDEX(c_INSy,1,EM$7)-INDEX(c_INSy,1,INDEX('Lease Cycles'!$GC$22:$GI$22,1,EM248)+1)))/12)</f>
        <v>0</v>
      </c>
      <c r="EN259" s="28">
        <f>IF(EN258=0,0,EN258*MAX(0,(INDEX(c_CAMy,1,EN$7)-INDEX(c_CAMy,1,INDEX('Lease Cycles'!$GC$22:$GI$22,1,EN248)+1))*(1+'Lease Cycles'!$AK$22)+(INDEX(c_TAXy,1,EN$7)-INDEX(c_TAXy,1,INDEX('Lease Cycles'!$GC$22:$GI$22,1,EN248)+1))+(INDEX(c_INSy,1,EN$7)-INDEX(c_INSy,1,INDEX('Lease Cycles'!$GC$22:$GI$22,1,EN248)+1)))/12)</f>
        <v>0</v>
      </c>
      <c r="EO259" s="28">
        <f>IF(EO258=0,0,EO258*MAX(0,(INDEX(c_CAMy,1,EO$7)-INDEX(c_CAMy,1,INDEX('Lease Cycles'!$GC$22:$GI$22,1,EO248)+1))*(1+'Lease Cycles'!$AK$22)+(INDEX(c_TAXy,1,EO$7)-INDEX(c_TAXy,1,INDEX('Lease Cycles'!$GC$22:$GI$22,1,EO248)+1))+(INDEX(c_INSy,1,EO$7)-INDEX(c_INSy,1,INDEX('Lease Cycles'!$GC$22:$GI$22,1,EO248)+1)))/12)</f>
        <v>0</v>
      </c>
      <c r="EP259" s="28">
        <f>IF(EP258=0,0,EP258*MAX(0,(INDEX(c_CAMy,1,EP$7)-INDEX(c_CAMy,1,INDEX('Lease Cycles'!$GC$22:$GI$22,1,EP248)+1))*(1+'Lease Cycles'!$AK$22)+(INDEX(c_TAXy,1,EP$7)-INDEX(c_TAXy,1,INDEX('Lease Cycles'!$GC$22:$GI$22,1,EP248)+1))+(INDEX(c_INSy,1,EP$7)-INDEX(c_INSy,1,INDEX('Lease Cycles'!$GC$22:$GI$22,1,EP248)+1)))/12)</f>
        <v>0</v>
      </c>
      <c r="EQ259" s="28">
        <f>IF(EQ258=0,0,EQ258*MAX(0,(INDEX(c_CAMy,1,EQ$7)-INDEX(c_CAMy,1,INDEX('Lease Cycles'!$GC$22:$GI$22,1,EQ248)+1))*(1+'Lease Cycles'!$AK$22)+(INDEX(c_TAXy,1,EQ$7)-INDEX(c_TAXy,1,INDEX('Lease Cycles'!$GC$22:$GI$22,1,EQ248)+1))+(INDEX(c_INSy,1,EQ$7)-INDEX(c_INSy,1,INDEX('Lease Cycles'!$GC$22:$GI$22,1,EQ248)+1)))/12)</f>
        <v>0</v>
      </c>
      <c r="ER259" s="28">
        <f>IF(ER258=0,0,ER258*MAX(0,(INDEX(c_CAMy,1,ER$7)-INDEX(c_CAMy,1,INDEX('Lease Cycles'!$GC$22:$GI$22,1,ER248)+1))*(1+'Lease Cycles'!$AK$22)+(INDEX(c_TAXy,1,ER$7)-INDEX(c_TAXy,1,INDEX('Lease Cycles'!$GC$22:$GI$22,1,ER248)+1))+(INDEX(c_INSy,1,ER$7)-INDEX(c_INSy,1,INDEX('Lease Cycles'!$GC$22:$GI$22,1,ER248)+1)))/12)</f>
        <v>0</v>
      </c>
      <c r="ES259" s="28">
        <f>IF(ES258=0,0,ES258*MAX(0,(INDEX(c_CAMy,1,ES$7)-INDEX(c_CAMy,1,INDEX('Lease Cycles'!$GC$22:$GI$22,1,ES248)+1))*(1+'Lease Cycles'!$AK$22)+(INDEX(c_TAXy,1,ES$7)-INDEX(c_TAXy,1,INDEX('Lease Cycles'!$GC$22:$GI$22,1,ES248)+1))+(INDEX(c_INSy,1,ES$7)-INDEX(c_INSy,1,INDEX('Lease Cycles'!$GC$22:$GI$22,1,ES248)+1)))/12)</f>
        <v>0</v>
      </c>
      <c r="ET259" s="28">
        <f>IF(ET258=0,0,ET258*MAX(0,(INDEX(c_CAMy,1,ET$7)-INDEX(c_CAMy,1,INDEX('Lease Cycles'!$GC$22:$GI$22,1,ET248)+1))*(1+'Lease Cycles'!$AK$22)+(INDEX(c_TAXy,1,ET$7)-INDEX(c_TAXy,1,INDEX('Lease Cycles'!$GC$22:$GI$22,1,ET248)+1))+(INDEX(c_INSy,1,ET$7)-INDEX(c_INSy,1,INDEX('Lease Cycles'!$GC$22:$GI$22,1,ET248)+1)))/12)</f>
        <v>0</v>
      </c>
    </row>
    <row r="260">
      <c r="A260" s="103">
        <v>15</v>
      </c>
      <c r="B260" s="23" t="str">
        <f>IF('Lease Cycles'!$B$22="","(empty slot)",'Lease Cycles'!$B$22)</f>
        <v>(empty slot)</v>
      </c>
      <c r="C260" s="23" t="s">
        <v>530</v>
      </c>
      <c r="D260" s="104" t="s">
        <v>531</v>
      </c>
      <c r="E260" s="25">
        <f>'Lease Cycles'!$AL$22</f>
        <v>0</v>
      </c>
      <c r="G260" s="28">
        <f>SUM(S260:AD260)</f>
        <v>0</v>
      </c>
      <c r="H260" s="28">
        <f>SUM(AE260:AP260)</f>
        <v>0</v>
      </c>
      <c r="I260" s="28">
        <f>SUM(AQ260:BB260)</f>
        <v>0</v>
      </c>
      <c r="J260" s="28">
        <f>SUM(BC260:BN260)</f>
        <v>0</v>
      </c>
      <c r="K260" s="28">
        <f>SUM(BO260:BZ260)</f>
        <v>0</v>
      </c>
      <c r="L260" s="28">
        <f>SUM(CA260:CL260)</f>
        <v>0</v>
      </c>
      <c r="M260" s="28">
        <f>SUM(CM260:CX260)</f>
        <v>0</v>
      </c>
      <c r="N260" s="28">
        <f>SUM(CY260:DJ260)</f>
        <v>0</v>
      </c>
      <c r="O260" s="28">
        <f>SUM(DK260:DV260)</f>
        <v>0</v>
      </c>
      <c r="P260" s="28">
        <f>SUM(DW260:EH260)</f>
        <v>0</v>
      </c>
      <c r="Q260" s="28">
        <f>SUM(EI260:ET260)</f>
        <v>0</v>
      </c>
      <c r="S260" s="28">
        <f>SUMIF('Lease Cycles'!$HL$22:$HR$22,S$6,'Lease Cycles'!$HS$22:$HY$22)</f>
        <v>0</v>
      </c>
      <c r="T260" s="28">
        <f>SUMIF('Lease Cycles'!$HL$22:$HR$22,T$6,'Lease Cycles'!$HS$22:$HY$22)</f>
        <v>0</v>
      </c>
      <c r="U260" s="28">
        <f>SUMIF('Lease Cycles'!$HL$22:$HR$22,U$6,'Lease Cycles'!$HS$22:$HY$22)</f>
        <v>0</v>
      </c>
      <c r="V260" s="28">
        <f>SUMIF('Lease Cycles'!$HL$22:$HR$22,V$6,'Lease Cycles'!$HS$22:$HY$22)</f>
        <v>0</v>
      </c>
      <c r="W260" s="28">
        <f>SUMIF('Lease Cycles'!$HL$22:$HR$22,W$6,'Lease Cycles'!$HS$22:$HY$22)</f>
        <v>0</v>
      </c>
      <c r="X260" s="28">
        <f>SUMIF('Lease Cycles'!$HL$22:$HR$22,X$6,'Lease Cycles'!$HS$22:$HY$22)</f>
        <v>0</v>
      </c>
      <c r="Y260" s="28">
        <f>SUMIF('Lease Cycles'!$HL$22:$HR$22,Y$6,'Lease Cycles'!$HS$22:$HY$22)</f>
        <v>0</v>
      </c>
      <c r="Z260" s="28">
        <f>SUMIF('Lease Cycles'!$HL$22:$HR$22,Z$6,'Lease Cycles'!$HS$22:$HY$22)</f>
        <v>0</v>
      </c>
      <c r="AA260" s="28">
        <f>SUMIF('Lease Cycles'!$HL$22:$HR$22,AA$6,'Lease Cycles'!$HS$22:$HY$22)</f>
        <v>0</v>
      </c>
      <c r="AB260" s="28">
        <f>SUMIF('Lease Cycles'!$HL$22:$HR$22,AB$6,'Lease Cycles'!$HS$22:$HY$22)</f>
        <v>0</v>
      </c>
      <c r="AC260" s="28">
        <f>SUMIF('Lease Cycles'!$HL$22:$HR$22,AC$6,'Lease Cycles'!$HS$22:$HY$22)</f>
        <v>0</v>
      </c>
      <c r="AD260" s="28">
        <f>SUMIF('Lease Cycles'!$HL$22:$HR$22,AD$6,'Lease Cycles'!$HS$22:$HY$22)</f>
        <v>0</v>
      </c>
      <c r="AE260" s="28">
        <f>SUMIF('Lease Cycles'!$HL$22:$HR$22,AE$6,'Lease Cycles'!$HS$22:$HY$22)</f>
        <v>0</v>
      </c>
      <c r="AF260" s="28">
        <f>SUMIF('Lease Cycles'!$HL$22:$HR$22,AF$6,'Lease Cycles'!$HS$22:$HY$22)</f>
        <v>0</v>
      </c>
      <c r="AG260" s="28">
        <f>SUMIF('Lease Cycles'!$HL$22:$HR$22,AG$6,'Lease Cycles'!$HS$22:$HY$22)</f>
        <v>0</v>
      </c>
      <c r="AH260" s="28">
        <f>SUMIF('Lease Cycles'!$HL$22:$HR$22,AH$6,'Lease Cycles'!$HS$22:$HY$22)</f>
        <v>0</v>
      </c>
      <c r="AI260" s="28">
        <f>SUMIF('Lease Cycles'!$HL$22:$HR$22,AI$6,'Lease Cycles'!$HS$22:$HY$22)</f>
        <v>0</v>
      </c>
      <c r="AJ260" s="28">
        <f>SUMIF('Lease Cycles'!$HL$22:$HR$22,AJ$6,'Lease Cycles'!$HS$22:$HY$22)</f>
        <v>0</v>
      </c>
      <c r="AK260" s="28">
        <f>SUMIF('Lease Cycles'!$HL$22:$HR$22,AK$6,'Lease Cycles'!$HS$22:$HY$22)</f>
        <v>0</v>
      </c>
      <c r="AL260" s="28">
        <f>SUMIF('Lease Cycles'!$HL$22:$HR$22,AL$6,'Lease Cycles'!$HS$22:$HY$22)</f>
        <v>0</v>
      </c>
      <c r="AM260" s="28">
        <f>SUMIF('Lease Cycles'!$HL$22:$HR$22,AM$6,'Lease Cycles'!$HS$22:$HY$22)</f>
        <v>0</v>
      </c>
      <c r="AN260" s="28">
        <f>SUMIF('Lease Cycles'!$HL$22:$HR$22,AN$6,'Lease Cycles'!$HS$22:$HY$22)</f>
        <v>0</v>
      </c>
      <c r="AO260" s="28">
        <f>SUMIF('Lease Cycles'!$HL$22:$HR$22,AO$6,'Lease Cycles'!$HS$22:$HY$22)</f>
        <v>0</v>
      </c>
      <c r="AP260" s="28">
        <f>SUMIF('Lease Cycles'!$HL$22:$HR$22,AP$6,'Lease Cycles'!$HS$22:$HY$22)</f>
        <v>0</v>
      </c>
      <c r="AQ260" s="28">
        <f>SUMIF('Lease Cycles'!$HL$22:$HR$22,AQ$6,'Lease Cycles'!$HS$22:$HY$22)</f>
        <v>0</v>
      </c>
      <c r="AR260" s="28">
        <f>SUMIF('Lease Cycles'!$HL$22:$HR$22,AR$6,'Lease Cycles'!$HS$22:$HY$22)</f>
        <v>0</v>
      </c>
      <c r="AS260" s="28">
        <f>SUMIF('Lease Cycles'!$HL$22:$HR$22,AS$6,'Lease Cycles'!$HS$22:$HY$22)</f>
        <v>0</v>
      </c>
      <c r="AT260" s="28">
        <f>SUMIF('Lease Cycles'!$HL$22:$HR$22,AT$6,'Lease Cycles'!$HS$22:$HY$22)</f>
        <v>0</v>
      </c>
      <c r="AU260" s="28">
        <f>SUMIF('Lease Cycles'!$HL$22:$HR$22,AU$6,'Lease Cycles'!$HS$22:$HY$22)</f>
        <v>0</v>
      </c>
      <c r="AV260" s="28">
        <f>SUMIF('Lease Cycles'!$HL$22:$HR$22,AV$6,'Lease Cycles'!$HS$22:$HY$22)</f>
        <v>0</v>
      </c>
      <c r="AW260" s="28">
        <f>SUMIF('Lease Cycles'!$HL$22:$HR$22,AW$6,'Lease Cycles'!$HS$22:$HY$22)</f>
        <v>0</v>
      </c>
      <c r="AX260" s="28">
        <f>SUMIF('Lease Cycles'!$HL$22:$HR$22,AX$6,'Lease Cycles'!$HS$22:$HY$22)</f>
        <v>0</v>
      </c>
      <c r="AY260" s="28">
        <f>SUMIF('Lease Cycles'!$HL$22:$HR$22,AY$6,'Lease Cycles'!$HS$22:$HY$22)</f>
        <v>0</v>
      </c>
      <c r="AZ260" s="28">
        <f>SUMIF('Lease Cycles'!$HL$22:$HR$22,AZ$6,'Lease Cycles'!$HS$22:$HY$22)</f>
        <v>0</v>
      </c>
      <c r="BA260" s="28">
        <f>SUMIF('Lease Cycles'!$HL$22:$HR$22,BA$6,'Lease Cycles'!$HS$22:$HY$22)</f>
        <v>0</v>
      </c>
      <c r="BB260" s="28">
        <f>SUMIF('Lease Cycles'!$HL$22:$HR$22,BB$6,'Lease Cycles'!$HS$22:$HY$22)</f>
        <v>0</v>
      </c>
      <c r="BC260" s="28">
        <f>SUMIF('Lease Cycles'!$HL$22:$HR$22,BC$6,'Lease Cycles'!$HS$22:$HY$22)</f>
        <v>0</v>
      </c>
      <c r="BD260" s="28">
        <f>SUMIF('Lease Cycles'!$HL$22:$HR$22,BD$6,'Lease Cycles'!$HS$22:$HY$22)</f>
        <v>0</v>
      </c>
      <c r="BE260" s="28">
        <f>SUMIF('Lease Cycles'!$HL$22:$HR$22,BE$6,'Lease Cycles'!$HS$22:$HY$22)</f>
        <v>0</v>
      </c>
      <c r="BF260" s="28">
        <f>SUMIF('Lease Cycles'!$HL$22:$HR$22,BF$6,'Lease Cycles'!$HS$22:$HY$22)</f>
        <v>0</v>
      </c>
      <c r="BG260" s="28">
        <f>SUMIF('Lease Cycles'!$HL$22:$HR$22,BG$6,'Lease Cycles'!$HS$22:$HY$22)</f>
        <v>0</v>
      </c>
      <c r="BH260" s="28">
        <f>SUMIF('Lease Cycles'!$HL$22:$HR$22,BH$6,'Lease Cycles'!$HS$22:$HY$22)</f>
        <v>0</v>
      </c>
      <c r="BI260" s="28">
        <f>SUMIF('Lease Cycles'!$HL$22:$HR$22,BI$6,'Lease Cycles'!$HS$22:$HY$22)</f>
        <v>0</v>
      </c>
      <c r="BJ260" s="28">
        <f>SUMIF('Lease Cycles'!$HL$22:$HR$22,BJ$6,'Lease Cycles'!$HS$22:$HY$22)</f>
        <v>0</v>
      </c>
      <c r="BK260" s="28">
        <f>SUMIF('Lease Cycles'!$HL$22:$HR$22,BK$6,'Lease Cycles'!$HS$22:$HY$22)</f>
        <v>0</v>
      </c>
      <c r="BL260" s="28">
        <f>SUMIF('Lease Cycles'!$HL$22:$HR$22,BL$6,'Lease Cycles'!$HS$22:$HY$22)</f>
        <v>0</v>
      </c>
      <c r="BM260" s="28">
        <f>SUMIF('Lease Cycles'!$HL$22:$HR$22,BM$6,'Lease Cycles'!$HS$22:$HY$22)</f>
        <v>0</v>
      </c>
      <c r="BN260" s="28">
        <f>SUMIF('Lease Cycles'!$HL$22:$HR$22,BN$6,'Lease Cycles'!$HS$22:$HY$22)</f>
        <v>0</v>
      </c>
      <c r="BO260" s="28">
        <f>SUMIF('Lease Cycles'!$HL$22:$HR$22,BO$6,'Lease Cycles'!$HS$22:$HY$22)</f>
        <v>0</v>
      </c>
      <c r="BP260" s="28">
        <f>SUMIF('Lease Cycles'!$HL$22:$HR$22,BP$6,'Lease Cycles'!$HS$22:$HY$22)</f>
        <v>0</v>
      </c>
      <c r="BQ260" s="28">
        <f>SUMIF('Lease Cycles'!$HL$22:$HR$22,BQ$6,'Lease Cycles'!$HS$22:$HY$22)</f>
        <v>0</v>
      </c>
      <c r="BR260" s="28">
        <f>SUMIF('Lease Cycles'!$HL$22:$HR$22,BR$6,'Lease Cycles'!$HS$22:$HY$22)</f>
        <v>0</v>
      </c>
      <c r="BS260" s="28">
        <f>SUMIF('Lease Cycles'!$HL$22:$HR$22,BS$6,'Lease Cycles'!$HS$22:$HY$22)</f>
        <v>0</v>
      </c>
      <c r="BT260" s="28">
        <f>SUMIF('Lease Cycles'!$HL$22:$HR$22,BT$6,'Lease Cycles'!$HS$22:$HY$22)</f>
        <v>0</v>
      </c>
      <c r="BU260" s="28">
        <f>SUMIF('Lease Cycles'!$HL$22:$HR$22,BU$6,'Lease Cycles'!$HS$22:$HY$22)</f>
        <v>0</v>
      </c>
      <c r="BV260" s="28">
        <f>SUMIF('Lease Cycles'!$HL$22:$HR$22,BV$6,'Lease Cycles'!$HS$22:$HY$22)</f>
        <v>0</v>
      </c>
      <c r="BW260" s="28">
        <f>SUMIF('Lease Cycles'!$HL$22:$HR$22,BW$6,'Lease Cycles'!$HS$22:$HY$22)</f>
        <v>0</v>
      </c>
      <c r="BX260" s="28">
        <f>SUMIF('Lease Cycles'!$HL$22:$HR$22,BX$6,'Lease Cycles'!$HS$22:$HY$22)</f>
        <v>0</v>
      </c>
      <c r="BY260" s="28">
        <f>SUMIF('Lease Cycles'!$HL$22:$HR$22,BY$6,'Lease Cycles'!$HS$22:$HY$22)</f>
        <v>0</v>
      </c>
      <c r="BZ260" s="28">
        <f>SUMIF('Lease Cycles'!$HL$22:$HR$22,BZ$6,'Lease Cycles'!$HS$22:$HY$22)</f>
        <v>0</v>
      </c>
      <c r="CA260" s="28">
        <f>SUMIF('Lease Cycles'!$HL$22:$HR$22,CA$6,'Lease Cycles'!$HS$22:$HY$22)</f>
        <v>0</v>
      </c>
      <c r="CB260" s="28">
        <f>SUMIF('Lease Cycles'!$HL$22:$HR$22,CB$6,'Lease Cycles'!$HS$22:$HY$22)</f>
        <v>0</v>
      </c>
      <c r="CC260" s="28">
        <f>SUMIF('Lease Cycles'!$HL$22:$HR$22,CC$6,'Lease Cycles'!$HS$22:$HY$22)</f>
        <v>0</v>
      </c>
      <c r="CD260" s="28">
        <f>SUMIF('Lease Cycles'!$HL$22:$HR$22,CD$6,'Lease Cycles'!$HS$22:$HY$22)</f>
        <v>0</v>
      </c>
      <c r="CE260" s="28">
        <f>SUMIF('Lease Cycles'!$HL$22:$HR$22,CE$6,'Lease Cycles'!$HS$22:$HY$22)</f>
        <v>0</v>
      </c>
      <c r="CF260" s="28">
        <f>SUMIF('Lease Cycles'!$HL$22:$HR$22,CF$6,'Lease Cycles'!$HS$22:$HY$22)</f>
        <v>0</v>
      </c>
      <c r="CG260" s="28">
        <f>SUMIF('Lease Cycles'!$HL$22:$HR$22,CG$6,'Lease Cycles'!$HS$22:$HY$22)</f>
        <v>0</v>
      </c>
      <c r="CH260" s="28">
        <f>SUMIF('Lease Cycles'!$HL$22:$HR$22,CH$6,'Lease Cycles'!$HS$22:$HY$22)</f>
        <v>0</v>
      </c>
      <c r="CI260" s="28">
        <f>SUMIF('Lease Cycles'!$HL$22:$HR$22,CI$6,'Lease Cycles'!$HS$22:$HY$22)</f>
        <v>0</v>
      </c>
      <c r="CJ260" s="28">
        <f>SUMIF('Lease Cycles'!$HL$22:$HR$22,CJ$6,'Lease Cycles'!$HS$22:$HY$22)</f>
        <v>0</v>
      </c>
      <c r="CK260" s="28">
        <f>SUMIF('Lease Cycles'!$HL$22:$HR$22,CK$6,'Lease Cycles'!$HS$22:$HY$22)</f>
        <v>0</v>
      </c>
      <c r="CL260" s="28">
        <f>SUMIF('Lease Cycles'!$HL$22:$HR$22,CL$6,'Lease Cycles'!$HS$22:$HY$22)</f>
        <v>0</v>
      </c>
      <c r="CM260" s="28">
        <f>SUMIF('Lease Cycles'!$HL$22:$HR$22,CM$6,'Lease Cycles'!$HS$22:$HY$22)</f>
        <v>0</v>
      </c>
      <c r="CN260" s="28">
        <f>SUMIF('Lease Cycles'!$HL$22:$HR$22,CN$6,'Lease Cycles'!$HS$22:$HY$22)</f>
        <v>0</v>
      </c>
      <c r="CO260" s="28">
        <f>SUMIF('Lease Cycles'!$HL$22:$HR$22,CO$6,'Lease Cycles'!$HS$22:$HY$22)</f>
        <v>0</v>
      </c>
      <c r="CP260" s="28">
        <f>SUMIF('Lease Cycles'!$HL$22:$HR$22,CP$6,'Lease Cycles'!$HS$22:$HY$22)</f>
        <v>0</v>
      </c>
      <c r="CQ260" s="28">
        <f>SUMIF('Lease Cycles'!$HL$22:$HR$22,CQ$6,'Lease Cycles'!$HS$22:$HY$22)</f>
        <v>0</v>
      </c>
      <c r="CR260" s="28">
        <f>SUMIF('Lease Cycles'!$HL$22:$HR$22,CR$6,'Lease Cycles'!$HS$22:$HY$22)</f>
        <v>0</v>
      </c>
      <c r="CS260" s="28">
        <f>SUMIF('Lease Cycles'!$HL$22:$HR$22,CS$6,'Lease Cycles'!$HS$22:$HY$22)</f>
        <v>0</v>
      </c>
      <c r="CT260" s="28">
        <f>SUMIF('Lease Cycles'!$HL$22:$HR$22,CT$6,'Lease Cycles'!$HS$22:$HY$22)</f>
        <v>0</v>
      </c>
      <c r="CU260" s="28">
        <f>SUMIF('Lease Cycles'!$HL$22:$HR$22,CU$6,'Lease Cycles'!$HS$22:$HY$22)</f>
        <v>0</v>
      </c>
      <c r="CV260" s="28">
        <f>SUMIF('Lease Cycles'!$HL$22:$HR$22,CV$6,'Lease Cycles'!$HS$22:$HY$22)</f>
        <v>0</v>
      </c>
      <c r="CW260" s="28">
        <f>SUMIF('Lease Cycles'!$HL$22:$HR$22,CW$6,'Lease Cycles'!$HS$22:$HY$22)</f>
        <v>0</v>
      </c>
      <c r="CX260" s="28">
        <f>SUMIF('Lease Cycles'!$HL$22:$HR$22,CX$6,'Lease Cycles'!$HS$22:$HY$22)</f>
        <v>0</v>
      </c>
      <c r="CY260" s="28">
        <f>SUMIF('Lease Cycles'!$HL$22:$HR$22,CY$6,'Lease Cycles'!$HS$22:$HY$22)</f>
        <v>0</v>
      </c>
      <c r="CZ260" s="28">
        <f>SUMIF('Lease Cycles'!$HL$22:$HR$22,CZ$6,'Lease Cycles'!$HS$22:$HY$22)</f>
        <v>0</v>
      </c>
      <c r="DA260" s="28">
        <f>SUMIF('Lease Cycles'!$HL$22:$HR$22,DA$6,'Lease Cycles'!$HS$22:$HY$22)</f>
        <v>0</v>
      </c>
      <c r="DB260" s="28">
        <f>SUMIF('Lease Cycles'!$HL$22:$HR$22,DB$6,'Lease Cycles'!$HS$22:$HY$22)</f>
        <v>0</v>
      </c>
      <c r="DC260" s="28">
        <f>SUMIF('Lease Cycles'!$HL$22:$HR$22,DC$6,'Lease Cycles'!$HS$22:$HY$22)</f>
        <v>0</v>
      </c>
      <c r="DD260" s="28">
        <f>SUMIF('Lease Cycles'!$HL$22:$HR$22,DD$6,'Lease Cycles'!$HS$22:$HY$22)</f>
        <v>0</v>
      </c>
      <c r="DE260" s="28">
        <f>SUMIF('Lease Cycles'!$HL$22:$HR$22,DE$6,'Lease Cycles'!$HS$22:$HY$22)</f>
        <v>0</v>
      </c>
      <c r="DF260" s="28">
        <f>SUMIF('Lease Cycles'!$HL$22:$HR$22,DF$6,'Lease Cycles'!$HS$22:$HY$22)</f>
        <v>0</v>
      </c>
      <c r="DG260" s="28">
        <f>SUMIF('Lease Cycles'!$HL$22:$HR$22,DG$6,'Lease Cycles'!$HS$22:$HY$22)</f>
        <v>0</v>
      </c>
      <c r="DH260" s="28">
        <f>SUMIF('Lease Cycles'!$HL$22:$HR$22,DH$6,'Lease Cycles'!$HS$22:$HY$22)</f>
        <v>0</v>
      </c>
      <c r="DI260" s="28">
        <f>SUMIF('Lease Cycles'!$HL$22:$HR$22,DI$6,'Lease Cycles'!$HS$22:$HY$22)</f>
        <v>0</v>
      </c>
      <c r="DJ260" s="28">
        <f>SUMIF('Lease Cycles'!$HL$22:$HR$22,DJ$6,'Lease Cycles'!$HS$22:$HY$22)</f>
        <v>0</v>
      </c>
      <c r="DK260" s="28">
        <f>SUMIF('Lease Cycles'!$HL$22:$HR$22,DK$6,'Lease Cycles'!$HS$22:$HY$22)</f>
        <v>0</v>
      </c>
      <c r="DL260" s="28">
        <f>SUMIF('Lease Cycles'!$HL$22:$HR$22,DL$6,'Lease Cycles'!$HS$22:$HY$22)</f>
        <v>0</v>
      </c>
      <c r="DM260" s="28">
        <f>SUMIF('Lease Cycles'!$HL$22:$HR$22,DM$6,'Lease Cycles'!$HS$22:$HY$22)</f>
        <v>0</v>
      </c>
      <c r="DN260" s="28">
        <f>SUMIF('Lease Cycles'!$HL$22:$HR$22,DN$6,'Lease Cycles'!$HS$22:$HY$22)</f>
        <v>0</v>
      </c>
      <c r="DO260" s="28">
        <f>SUMIF('Lease Cycles'!$HL$22:$HR$22,DO$6,'Lease Cycles'!$HS$22:$HY$22)</f>
        <v>0</v>
      </c>
      <c r="DP260" s="28">
        <f>SUMIF('Lease Cycles'!$HL$22:$HR$22,DP$6,'Lease Cycles'!$HS$22:$HY$22)</f>
        <v>0</v>
      </c>
      <c r="DQ260" s="28">
        <f>SUMIF('Lease Cycles'!$HL$22:$HR$22,DQ$6,'Lease Cycles'!$HS$22:$HY$22)</f>
        <v>0</v>
      </c>
      <c r="DR260" s="28">
        <f>SUMIF('Lease Cycles'!$HL$22:$HR$22,DR$6,'Lease Cycles'!$HS$22:$HY$22)</f>
        <v>0</v>
      </c>
      <c r="DS260" s="28">
        <f>SUMIF('Lease Cycles'!$HL$22:$HR$22,DS$6,'Lease Cycles'!$HS$22:$HY$22)</f>
        <v>0</v>
      </c>
      <c r="DT260" s="28">
        <f>SUMIF('Lease Cycles'!$HL$22:$HR$22,DT$6,'Lease Cycles'!$HS$22:$HY$22)</f>
        <v>0</v>
      </c>
      <c r="DU260" s="28">
        <f>SUMIF('Lease Cycles'!$HL$22:$HR$22,DU$6,'Lease Cycles'!$HS$22:$HY$22)</f>
        <v>0</v>
      </c>
      <c r="DV260" s="28">
        <f>SUMIF('Lease Cycles'!$HL$22:$HR$22,DV$6,'Lease Cycles'!$HS$22:$HY$22)</f>
        <v>0</v>
      </c>
      <c r="DW260" s="28">
        <f>SUMIF('Lease Cycles'!$HL$22:$HR$22,DW$6,'Lease Cycles'!$HS$22:$HY$22)</f>
        <v>0</v>
      </c>
      <c r="DX260" s="28">
        <f>SUMIF('Lease Cycles'!$HL$22:$HR$22,DX$6,'Lease Cycles'!$HS$22:$HY$22)</f>
        <v>0</v>
      </c>
      <c r="DY260" s="28">
        <f>SUMIF('Lease Cycles'!$HL$22:$HR$22,DY$6,'Lease Cycles'!$HS$22:$HY$22)</f>
        <v>0</v>
      </c>
      <c r="DZ260" s="28">
        <f>SUMIF('Lease Cycles'!$HL$22:$HR$22,DZ$6,'Lease Cycles'!$HS$22:$HY$22)</f>
        <v>0</v>
      </c>
      <c r="EA260" s="28">
        <f>SUMIF('Lease Cycles'!$HL$22:$HR$22,EA$6,'Lease Cycles'!$HS$22:$HY$22)</f>
        <v>0</v>
      </c>
      <c r="EB260" s="28">
        <f>SUMIF('Lease Cycles'!$HL$22:$HR$22,EB$6,'Lease Cycles'!$HS$22:$HY$22)</f>
        <v>0</v>
      </c>
      <c r="EC260" s="28">
        <f>SUMIF('Lease Cycles'!$HL$22:$HR$22,EC$6,'Lease Cycles'!$HS$22:$HY$22)</f>
        <v>0</v>
      </c>
      <c r="ED260" s="28">
        <f>SUMIF('Lease Cycles'!$HL$22:$HR$22,ED$6,'Lease Cycles'!$HS$22:$HY$22)</f>
        <v>0</v>
      </c>
      <c r="EE260" s="28">
        <f>SUMIF('Lease Cycles'!$HL$22:$HR$22,EE$6,'Lease Cycles'!$HS$22:$HY$22)</f>
        <v>0</v>
      </c>
      <c r="EF260" s="28">
        <f>SUMIF('Lease Cycles'!$HL$22:$HR$22,EF$6,'Lease Cycles'!$HS$22:$HY$22)</f>
        <v>0</v>
      </c>
      <c r="EG260" s="28">
        <f>SUMIF('Lease Cycles'!$HL$22:$HR$22,EG$6,'Lease Cycles'!$HS$22:$HY$22)</f>
        <v>0</v>
      </c>
      <c r="EH260" s="28">
        <f>SUMIF('Lease Cycles'!$HL$22:$HR$22,EH$6,'Lease Cycles'!$HS$22:$HY$22)</f>
        <v>0</v>
      </c>
      <c r="EI260" s="28">
        <f>SUMIF('Lease Cycles'!$HL$22:$HR$22,EI$6,'Lease Cycles'!$HS$22:$HY$22)</f>
        <v>0</v>
      </c>
      <c r="EJ260" s="28">
        <f>SUMIF('Lease Cycles'!$HL$22:$HR$22,EJ$6,'Lease Cycles'!$HS$22:$HY$22)</f>
        <v>0</v>
      </c>
      <c r="EK260" s="28">
        <f>SUMIF('Lease Cycles'!$HL$22:$HR$22,EK$6,'Lease Cycles'!$HS$22:$HY$22)</f>
        <v>0</v>
      </c>
      <c r="EL260" s="28">
        <f>SUMIF('Lease Cycles'!$HL$22:$HR$22,EL$6,'Lease Cycles'!$HS$22:$HY$22)</f>
        <v>0</v>
      </c>
      <c r="EM260" s="28">
        <f>SUMIF('Lease Cycles'!$HL$22:$HR$22,EM$6,'Lease Cycles'!$HS$22:$HY$22)</f>
        <v>0</v>
      </c>
      <c r="EN260" s="28">
        <f>SUMIF('Lease Cycles'!$HL$22:$HR$22,EN$6,'Lease Cycles'!$HS$22:$HY$22)</f>
        <v>0</v>
      </c>
      <c r="EO260" s="28">
        <f>SUMIF('Lease Cycles'!$HL$22:$HR$22,EO$6,'Lease Cycles'!$HS$22:$HY$22)</f>
        <v>0</v>
      </c>
      <c r="EP260" s="28">
        <f>SUMIF('Lease Cycles'!$HL$22:$HR$22,EP$6,'Lease Cycles'!$HS$22:$HY$22)</f>
        <v>0</v>
      </c>
      <c r="EQ260" s="28">
        <f>SUMIF('Lease Cycles'!$HL$22:$HR$22,EQ$6,'Lease Cycles'!$HS$22:$HY$22)</f>
        <v>0</v>
      </c>
      <c r="ER260" s="28">
        <f>SUMIF('Lease Cycles'!$HL$22:$HR$22,ER$6,'Lease Cycles'!$HS$22:$HY$22)</f>
        <v>0</v>
      </c>
      <c r="ES260" s="28">
        <f>SUMIF('Lease Cycles'!$HL$22:$HR$22,ES$6,'Lease Cycles'!$HS$22:$HY$22)</f>
        <v>0</v>
      </c>
      <c r="ET260" s="28">
        <f>SUMIF('Lease Cycles'!$HL$22:$HR$22,ET$6,'Lease Cycles'!$HS$22:$HY$22)</f>
        <v>0</v>
      </c>
    </row>
    <row r="261">
      <c r="A261" s="103">
        <v>15</v>
      </c>
      <c r="B261" s="23" t="str">
        <f>IF('Lease Cycles'!$B$22="","(empty slot)",'Lease Cycles'!$B$22)</f>
        <v>(empty slot)</v>
      </c>
      <c r="C261" s="23" t="s">
        <v>532</v>
      </c>
      <c r="D261" s="104" t="s">
        <v>533</v>
      </c>
      <c r="E261" s="25">
        <f>'Lease Cycles'!$AL$22</f>
        <v>0</v>
      </c>
      <c r="G261" s="28">
        <f>SUM(S261:AD261)</f>
        <v>0</v>
      </c>
      <c r="H261" s="28">
        <f>SUM(AE261:AP261)</f>
        <v>0</v>
      </c>
      <c r="I261" s="28">
        <f>SUM(AQ261:BB261)</f>
        <v>0</v>
      </c>
      <c r="J261" s="28">
        <f>SUM(BC261:BN261)</f>
        <v>0</v>
      </c>
      <c r="K261" s="28">
        <f>SUM(BO261:BZ261)</f>
        <v>0</v>
      </c>
      <c r="L261" s="28">
        <f>SUM(CA261:CL261)</f>
        <v>0</v>
      </c>
      <c r="M261" s="28">
        <f>SUM(CM261:CX261)</f>
        <v>0</v>
      </c>
      <c r="N261" s="28">
        <f>SUM(CY261:DJ261)</f>
        <v>0</v>
      </c>
      <c r="O261" s="28">
        <f>SUM(DK261:DV261)</f>
        <v>0</v>
      </c>
      <c r="P261" s="28">
        <f>SUM(DW261:EH261)</f>
        <v>0</v>
      </c>
      <c r="Q261" s="28">
        <f>SUM(EI261:ET261)</f>
        <v>0</v>
      </c>
      <c r="S261" s="28">
        <f>SUMIF('Lease Cycles'!$HL$22:$HR$22,S$6,'Lease Cycles'!$HZ$22:$IF$22)</f>
        <v>0</v>
      </c>
      <c r="T261" s="28">
        <f>SUMIF('Lease Cycles'!$HL$22:$HR$22,T$6,'Lease Cycles'!$HZ$22:$IF$22)</f>
        <v>0</v>
      </c>
      <c r="U261" s="28">
        <f>SUMIF('Lease Cycles'!$HL$22:$HR$22,U$6,'Lease Cycles'!$HZ$22:$IF$22)</f>
        <v>0</v>
      </c>
      <c r="V261" s="28">
        <f>SUMIF('Lease Cycles'!$HL$22:$HR$22,V$6,'Lease Cycles'!$HZ$22:$IF$22)</f>
        <v>0</v>
      </c>
      <c r="W261" s="28">
        <f>SUMIF('Lease Cycles'!$HL$22:$HR$22,W$6,'Lease Cycles'!$HZ$22:$IF$22)</f>
        <v>0</v>
      </c>
      <c r="X261" s="28">
        <f>SUMIF('Lease Cycles'!$HL$22:$HR$22,X$6,'Lease Cycles'!$HZ$22:$IF$22)</f>
        <v>0</v>
      </c>
      <c r="Y261" s="28">
        <f>SUMIF('Lease Cycles'!$HL$22:$HR$22,Y$6,'Lease Cycles'!$HZ$22:$IF$22)</f>
        <v>0</v>
      </c>
      <c r="Z261" s="28">
        <f>SUMIF('Lease Cycles'!$HL$22:$HR$22,Z$6,'Lease Cycles'!$HZ$22:$IF$22)</f>
        <v>0</v>
      </c>
      <c r="AA261" s="28">
        <f>SUMIF('Lease Cycles'!$HL$22:$HR$22,AA$6,'Lease Cycles'!$HZ$22:$IF$22)</f>
        <v>0</v>
      </c>
      <c r="AB261" s="28">
        <f>SUMIF('Lease Cycles'!$HL$22:$HR$22,AB$6,'Lease Cycles'!$HZ$22:$IF$22)</f>
        <v>0</v>
      </c>
      <c r="AC261" s="28">
        <f>SUMIF('Lease Cycles'!$HL$22:$HR$22,AC$6,'Lease Cycles'!$HZ$22:$IF$22)</f>
        <v>0</v>
      </c>
      <c r="AD261" s="28">
        <f>SUMIF('Lease Cycles'!$HL$22:$HR$22,AD$6,'Lease Cycles'!$HZ$22:$IF$22)</f>
        <v>0</v>
      </c>
      <c r="AE261" s="28">
        <f>SUMIF('Lease Cycles'!$HL$22:$HR$22,AE$6,'Lease Cycles'!$HZ$22:$IF$22)</f>
        <v>0</v>
      </c>
      <c r="AF261" s="28">
        <f>SUMIF('Lease Cycles'!$HL$22:$HR$22,AF$6,'Lease Cycles'!$HZ$22:$IF$22)</f>
        <v>0</v>
      </c>
      <c r="AG261" s="28">
        <f>SUMIF('Lease Cycles'!$HL$22:$HR$22,AG$6,'Lease Cycles'!$HZ$22:$IF$22)</f>
        <v>0</v>
      </c>
      <c r="AH261" s="28">
        <f>SUMIF('Lease Cycles'!$HL$22:$HR$22,AH$6,'Lease Cycles'!$HZ$22:$IF$22)</f>
        <v>0</v>
      </c>
      <c r="AI261" s="28">
        <f>SUMIF('Lease Cycles'!$HL$22:$HR$22,AI$6,'Lease Cycles'!$HZ$22:$IF$22)</f>
        <v>0</v>
      </c>
      <c r="AJ261" s="28">
        <f>SUMIF('Lease Cycles'!$HL$22:$HR$22,AJ$6,'Lease Cycles'!$HZ$22:$IF$22)</f>
        <v>0</v>
      </c>
      <c r="AK261" s="28">
        <f>SUMIF('Lease Cycles'!$HL$22:$HR$22,AK$6,'Lease Cycles'!$HZ$22:$IF$22)</f>
        <v>0</v>
      </c>
      <c r="AL261" s="28">
        <f>SUMIF('Lease Cycles'!$HL$22:$HR$22,AL$6,'Lease Cycles'!$HZ$22:$IF$22)</f>
        <v>0</v>
      </c>
      <c r="AM261" s="28">
        <f>SUMIF('Lease Cycles'!$HL$22:$HR$22,AM$6,'Lease Cycles'!$HZ$22:$IF$22)</f>
        <v>0</v>
      </c>
      <c r="AN261" s="28">
        <f>SUMIF('Lease Cycles'!$HL$22:$HR$22,AN$6,'Lease Cycles'!$HZ$22:$IF$22)</f>
        <v>0</v>
      </c>
      <c r="AO261" s="28">
        <f>SUMIF('Lease Cycles'!$HL$22:$HR$22,AO$6,'Lease Cycles'!$HZ$22:$IF$22)</f>
        <v>0</v>
      </c>
      <c r="AP261" s="28">
        <f>SUMIF('Lease Cycles'!$HL$22:$HR$22,AP$6,'Lease Cycles'!$HZ$22:$IF$22)</f>
        <v>0</v>
      </c>
      <c r="AQ261" s="28">
        <f>SUMIF('Lease Cycles'!$HL$22:$HR$22,AQ$6,'Lease Cycles'!$HZ$22:$IF$22)</f>
        <v>0</v>
      </c>
      <c r="AR261" s="28">
        <f>SUMIF('Lease Cycles'!$HL$22:$HR$22,AR$6,'Lease Cycles'!$HZ$22:$IF$22)</f>
        <v>0</v>
      </c>
      <c r="AS261" s="28">
        <f>SUMIF('Lease Cycles'!$HL$22:$HR$22,AS$6,'Lease Cycles'!$HZ$22:$IF$22)</f>
        <v>0</v>
      </c>
      <c r="AT261" s="28">
        <f>SUMIF('Lease Cycles'!$HL$22:$HR$22,AT$6,'Lease Cycles'!$HZ$22:$IF$22)</f>
        <v>0</v>
      </c>
      <c r="AU261" s="28">
        <f>SUMIF('Lease Cycles'!$HL$22:$HR$22,AU$6,'Lease Cycles'!$HZ$22:$IF$22)</f>
        <v>0</v>
      </c>
      <c r="AV261" s="28">
        <f>SUMIF('Lease Cycles'!$HL$22:$HR$22,AV$6,'Lease Cycles'!$HZ$22:$IF$22)</f>
        <v>0</v>
      </c>
      <c r="AW261" s="28">
        <f>SUMIF('Lease Cycles'!$HL$22:$HR$22,AW$6,'Lease Cycles'!$HZ$22:$IF$22)</f>
        <v>0</v>
      </c>
      <c r="AX261" s="28">
        <f>SUMIF('Lease Cycles'!$HL$22:$HR$22,AX$6,'Lease Cycles'!$HZ$22:$IF$22)</f>
        <v>0</v>
      </c>
      <c r="AY261" s="28">
        <f>SUMIF('Lease Cycles'!$HL$22:$HR$22,AY$6,'Lease Cycles'!$HZ$22:$IF$22)</f>
        <v>0</v>
      </c>
      <c r="AZ261" s="28">
        <f>SUMIF('Lease Cycles'!$HL$22:$HR$22,AZ$6,'Lease Cycles'!$HZ$22:$IF$22)</f>
        <v>0</v>
      </c>
      <c r="BA261" s="28">
        <f>SUMIF('Lease Cycles'!$HL$22:$HR$22,BA$6,'Lease Cycles'!$HZ$22:$IF$22)</f>
        <v>0</v>
      </c>
      <c r="BB261" s="28">
        <f>SUMIF('Lease Cycles'!$HL$22:$HR$22,BB$6,'Lease Cycles'!$HZ$22:$IF$22)</f>
        <v>0</v>
      </c>
      <c r="BC261" s="28">
        <f>SUMIF('Lease Cycles'!$HL$22:$HR$22,BC$6,'Lease Cycles'!$HZ$22:$IF$22)</f>
        <v>0</v>
      </c>
      <c r="BD261" s="28">
        <f>SUMIF('Lease Cycles'!$HL$22:$HR$22,BD$6,'Lease Cycles'!$HZ$22:$IF$22)</f>
        <v>0</v>
      </c>
      <c r="BE261" s="28">
        <f>SUMIF('Lease Cycles'!$HL$22:$HR$22,BE$6,'Lease Cycles'!$HZ$22:$IF$22)</f>
        <v>0</v>
      </c>
      <c r="BF261" s="28">
        <f>SUMIF('Lease Cycles'!$HL$22:$HR$22,BF$6,'Lease Cycles'!$HZ$22:$IF$22)</f>
        <v>0</v>
      </c>
      <c r="BG261" s="28">
        <f>SUMIF('Lease Cycles'!$HL$22:$HR$22,BG$6,'Lease Cycles'!$HZ$22:$IF$22)</f>
        <v>0</v>
      </c>
      <c r="BH261" s="28">
        <f>SUMIF('Lease Cycles'!$HL$22:$HR$22,BH$6,'Lease Cycles'!$HZ$22:$IF$22)</f>
        <v>0</v>
      </c>
      <c r="BI261" s="28">
        <f>SUMIF('Lease Cycles'!$HL$22:$HR$22,BI$6,'Lease Cycles'!$HZ$22:$IF$22)</f>
        <v>0</v>
      </c>
      <c r="BJ261" s="28">
        <f>SUMIF('Lease Cycles'!$HL$22:$HR$22,BJ$6,'Lease Cycles'!$HZ$22:$IF$22)</f>
        <v>0</v>
      </c>
      <c r="BK261" s="28">
        <f>SUMIF('Lease Cycles'!$HL$22:$HR$22,BK$6,'Lease Cycles'!$HZ$22:$IF$22)</f>
        <v>0</v>
      </c>
      <c r="BL261" s="28">
        <f>SUMIF('Lease Cycles'!$HL$22:$HR$22,BL$6,'Lease Cycles'!$HZ$22:$IF$22)</f>
        <v>0</v>
      </c>
      <c r="BM261" s="28">
        <f>SUMIF('Lease Cycles'!$HL$22:$HR$22,BM$6,'Lease Cycles'!$HZ$22:$IF$22)</f>
        <v>0</v>
      </c>
      <c r="BN261" s="28">
        <f>SUMIF('Lease Cycles'!$HL$22:$HR$22,BN$6,'Lease Cycles'!$HZ$22:$IF$22)</f>
        <v>0</v>
      </c>
      <c r="BO261" s="28">
        <f>SUMIF('Lease Cycles'!$HL$22:$HR$22,BO$6,'Lease Cycles'!$HZ$22:$IF$22)</f>
        <v>0</v>
      </c>
      <c r="BP261" s="28">
        <f>SUMIF('Lease Cycles'!$HL$22:$HR$22,BP$6,'Lease Cycles'!$HZ$22:$IF$22)</f>
        <v>0</v>
      </c>
      <c r="BQ261" s="28">
        <f>SUMIF('Lease Cycles'!$HL$22:$HR$22,BQ$6,'Lease Cycles'!$HZ$22:$IF$22)</f>
        <v>0</v>
      </c>
      <c r="BR261" s="28">
        <f>SUMIF('Lease Cycles'!$HL$22:$HR$22,BR$6,'Lease Cycles'!$HZ$22:$IF$22)</f>
        <v>0</v>
      </c>
      <c r="BS261" s="28">
        <f>SUMIF('Lease Cycles'!$HL$22:$HR$22,BS$6,'Lease Cycles'!$HZ$22:$IF$22)</f>
        <v>0</v>
      </c>
      <c r="BT261" s="28">
        <f>SUMIF('Lease Cycles'!$HL$22:$HR$22,BT$6,'Lease Cycles'!$HZ$22:$IF$22)</f>
        <v>0</v>
      </c>
      <c r="BU261" s="28">
        <f>SUMIF('Lease Cycles'!$HL$22:$HR$22,BU$6,'Lease Cycles'!$HZ$22:$IF$22)</f>
        <v>0</v>
      </c>
      <c r="BV261" s="28">
        <f>SUMIF('Lease Cycles'!$HL$22:$HR$22,BV$6,'Lease Cycles'!$HZ$22:$IF$22)</f>
        <v>0</v>
      </c>
      <c r="BW261" s="28">
        <f>SUMIF('Lease Cycles'!$HL$22:$HR$22,BW$6,'Lease Cycles'!$HZ$22:$IF$22)</f>
        <v>0</v>
      </c>
      <c r="BX261" s="28">
        <f>SUMIF('Lease Cycles'!$HL$22:$HR$22,BX$6,'Lease Cycles'!$HZ$22:$IF$22)</f>
        <v>0</v>
      </c>
      <c r="BY261" s="28">
        <f>SUMIF('Lease Cycles'!$HL$22:$HR$22,BY$6,'Lease Cycles'!$HZ$22:$IF$22)</f>
        <v>0</v>
      </c>
      <c r="BZ261" s="28">
        <f>SUMIF('Lease Cycles'!$HL$22:$HR$22,BZ$6,'Lease Cycles'!$HZ$22:$IF$22)</f>
        <v>0</v>
      </c>
      <c r="CA261" s="28">
        <f>SUMIF('Lease Cycles'!$HL$22:$HR$22,CA$6,'Lease Cycles'!$HZ$22:$IF$22)</f>
        <v>0</v>
      </c>
      <c r="CB261" s="28">
        <f>SUMIF('Lease Cycles'!$HL$22:$HR$22,CB$6,'Lease Cycles'!$HZ$22:$IF$22)</f>
        <v>0</v>
      </c>
      <c r="CC261" s="28">
        <f>SUMIF('Lease Cycles'!$HL$22:$HR$22,CC$6,'Lease Cycles'!$HZ$22:$IF$22)</f>
        <v>0</v>
      </c>
      <c r="CD261" s="28">
        <f>SUMIF('Lease Cycles'!$HL$22:$HR$22,CD$6,'Lease Cycles'!$HZ$22:$IF$22)</f>
        <v>0</v>
      </c>
      <c r="CE261" s="28">
        <f>SUMIF('Lease Cycles'!$HL$22:$HR$22,CE$6,'Lease Cycles'!$HZ$22:$IF$22)</f>
        <v>0</v>
      </c>
      <c r="CF261" s="28">
        <f>SUMIF('Lease Cycles'!$HL$22:$HR$22,CF$6,'Lease Cycles'!$HZ$22:$IF$22)</f>
        <v>0</v>
      </c>
      <c r="CG261" s="28">
        <f>SUMIF('Lease Cycles'!$HL$22:$HR$22,CG$6,'Lease Cycles'!$HZ$22:$IF$22)</f>
        <v>0</v>
      </c>
      <c r="CH261" s="28">
        <f>SUMIF('Lease Cycles'!$HL$22:$HR$22,CH$6,'Lease Cycles'!$HZ$22:$IF$22)</f>
        <v>0</v>
      </c>
      <c r="CI261" s="28">
        <f>SUMIF('Lease Cycles'!$HL$22:$HR$22,CI$6,'Lease Cycles'!$HZ$22:$IF$22)</f>
        <v>0</v>
      </c>
      <c r="CJ261" s="28">
        <f>SUMIF('Lease Cycles'!$HL$22:$HR$22,CJ$6,'Lease Cycles'!$HZ$22:$IF$22)</f>
        <v>0</v>
      </c>
      <c r="CK261" s="28">
        <f>SUMIF('Lease Cycles'!$HL$22:$HR$22,CK$6,'Lease Cycles'!$HZ$22:$IF$22)</f>
        <v>0</v>
      </c>
      <c r="CL261" s="28">
        <f>SUMIF('Lease Cycles'!$HL$22:$HR$22,CL$6,'Lease Cycles'!$HZ$22:$IF$22)</f>
        <v>0</v>
      </c>
      <c r="CM261" s="28">
        <f>SUMIF('Lease Cycles'!$HL$22:$HR$22,CM$6,'Lease Cycles'!$HZ$22:$IF$22)</f>
        <v>0</v>
      </c>
      <c r="CN261" s="28">
        <f>SUMIF('Lease Cycles'!$HL$22:$HR$22,CN$6,'Lease Cycles'!$HZ$22:$IF$22)</f>
        <v>0</v>
      </c>
      <c r="CO261" s="28">
        <f>SUMIF('Lease Cycles'!$HL$22:$HR$22,CO$6,'Lease Cycles'!$HZ$22:$IF$22)</f>
        <v>0</v>
      </c>
      <c r="CP261" s="28">
        <f>SUMIF('Lease Cycles'!$HL$22:$HR$22,CP$6,'Lease Cycles'!$HZ$22:$IF$22)</f>
        <v>0</v>
      </c>
      <c r="CQ261" s="28">
        <f>SUMIF('Lease Cycles'!$HL$22:$HR$22,CQ$6,'Lease Cycles'!$HZ$22:$IF$22)</f>
        <v>0</v>
      </c>
      <c r="CR261" s="28">
        <f>SUMIF('Lease Cycles'!$HL$22:$HR$22,CR$6,'Lease Cycles'!$HZ$22:$IF$22)</f>
        <v>0</v>
      </c>
      <c r="CS261" s="28">
        <f>SUMIF('Lease Cycles'!$HL$22:$HR$22,CS$6,'Lease Cycles'!$HZ$22:$IF$22)</f>
        <v>0</v>
      </c>
      <c r="CT261" s="28">
        <f>SUMIF('Lease Cycles'!$HL$22:$HR$22,CT$6,'Lease Cycles'!$HZ$22:$IF$22)</f>
        <v>0</v>
      </c>
      <c r="CU261" s="28">
        <f>SUMIF('Lease Cycles'!$HL$22:$HR$22,CU$6,'Lease Cycles'!$HZ$22:$IF$22)</f>
        <v>0</v>
      </c>
      <c r="CV261" s="28">
        <f>SUMIF('Lease Cycles'!$HL$22:$HR$22,CV$6,'Lease Cycles'!$HZ$22:$IF$22)</f>
        <v>0</v>
      </c>
      <c r="CW261" s="28">
        <f>SUMIF('Lease Cycles'!$HL$22:$HR$22,CW$6,'Lease Cycles'!$HZ$22:$IF$22)</f>
        <v>0</v>
      </c>
      <c r="CX261" s="28">
        <f>SUMIF('Lease Cycles'!$HL$22:$HR$22,CX$6,'Lease Cycles'!$HZ$22:$IF$22)</f>
        <v>0</v>
      </c>
      <c r="CY261" s="28">
        <f>SUMIF('Lease Cycles'!$HL$22:$HR$22,CY$6,'Lease Cycles'!$HZ$22:$IF$22)</f>
        <v>0</v>
      </c>
      <c r="CZ261" s="28">
        <f>SUMIF('Lease Cycles'!$HL$22:$HR$22,CZ$6,'Lease Cycles'!$HZ$22:$IF$22)</f>
        <v>0</v>
      </c>
      <c r="DA261" s="28">
        <f>SUMIF('Lease Cycles'!$HL$22:$HR$22,DA$6,'Lease Cycles'!$HZ$22:$IF$22)</f>
        <v>0</v>
      </c>
      <c r="DB261" s="28">
        <f>SUMIF('Lease Cycles'!$HL$22:$HR$22,DB$6,'Lease Cycles'!$HZ$22:$IF$22)</f>
        <v>0</v>
      </c>
      <c r="DC261" s="28">
        <f>SUMIF('Lease Cycles'!$HL$22:$HR$22,DC$6,'Lease Cycles'!$HZ$22:$IF$22)</f>
        <v>0</v>
      </c>
      <c r="DD261" s="28">
        <f>SUMIF('Lease Cycles'!$HL$22:$HR$22,DD$6,'Lease Cycles'!$HZ$22:$IF$22)</f>
        <v>0</v>
      </c>
      <c r="DE261" s="28">
        <f>SUMIF('Lease Cycles'!$HL$22:$HR$22,DE$6,'Lease Cycles'!$HZ$22:$IF$22)</f>
        <v>0</v>
      </c>
      <c r="DF261" s="28">
        <f>SUMIF('Lease Cycles'!$HL$22:$HR$22,DF$6,'Lease Cycles'!$HZ$22:$IF$22)</f>
        <v>0</v>
      </c>
      <c r="DG261" s="28">
        <f>SUMIF('Lease Cycles'!$HL$22:$HR$22,DG$6,'Lease Cycles'!$HZ$22:$IF$22)</f>
        <v>0</v>
      </c>
      <c r="DH261" s="28">
        <f>SUMIF('Lease Cycles'!$HL$22:$HR$22,DH$6,'Lease Cycles'!$HZ$22:$IF$22)</f>
        <v>0</v>
      </c>
      <c r="DI261" s="28">
        <f>SUMIF('Lease Cycles'!$HL$22:$HR$22,DI$6,'Lease Cycles'!$HZ$22:$IF$22)</f>
        <v>0</v>
      </c>
      <c r="DJ261" s="28">
        <f>SUMIF('Lease Cycles'!$HL$22:$HR$22,DJ$6,'Lease Cycles'!$HZ$22:$IF$22)</f>
        <v>0</v>
      </c>
      <c r="DK261" s="28">
        <f>SUMIF('Lease Cycles'!$HL$22:$HR$22,DK$6,'Lease Cycles'!$HZ$22:$IF$22)</f>
        <v>0</v>
      </c>
      <c r="DL261" s="28">
        <f>SUMIF('Lease Cycles'!$HL$22:$HR$22,DL$6,'Lease Cycles'!$HZ$22:$IF$22)</f>
        <v>0</v>
      </c>
      <c r="DM261" s="28">
        <f>SUMIF('Lease Cycles'!$HL$22:$HR$22,DM$6,'Lease Cycles'!$HZ$22:$IF$22)</f>
        <v>0</v>
      </c>
      <c r="DN261" s="28">
        <f>SUMIF('Lease Cycles'!$HL$22:$HR$22,DN$6,'Lease Cycles'!$HZ$22:$IF$22)</f>
        <v>0</v>
      </c>
      <c r="DO261" s="28">
        <f>SUMIF('Lease Cycles'!$HL$22:$HR$22,DO$6,'Lease Cycles'!$HZ$22:$IF$22)</f>
        <v>0</v>
      </c>
      <c r="DP261" s="28">
        <f>SUMIF('Lease Cycles'!$HL$22:$HR$22,DP$6,'Lease Cycles'!$HZ$22:$IF$22)</f>
        <v>0</v>
      </c>
      <c r="DQ261" s="28">
        <f>SUMIF('Lease Cycles'!$HL$22:$HR$22,DQ$6,'Lease Cycles'!$HZ$22:$IF$22)</f>
        <v>0</v>
      </c>
      <c r="DR261" s="28">
        <f>SUMIF('Lease Cycles'!$HL$22:$HR$22,DR$6,'Lease Cycles'!$HZ$22:$IF$22)</f>
        <v>0</v>
      </c>
      <c r="DS261" s="28">
        <f>SUMIF('Lease Cycles'!$HL$22:$HR$22,DS$6,'Lease Cycles'!$HZ$22:$IF$22)</f>
        <v>0</v>
      </c>
      <c r="DT261" s="28">
        <f>SUMIF('Lease Cycles'!$HL$22:$HR$22,DT$6,'Lease Cycles'!$HZ$22:$IF$22)</f>
        <v>0</v>
      </c>
      <c r="DU261" s="28">
        <f>SUMIF('Lease Cycles'!$HL$22:$HR$22,DU$6,'Lease Cycles'!$HZ$22:$IF$22)</f>
        <v>0</v>
      </c>
      <c r="DV261" s="28">
        <f>SUMIF('Lease Cycles'!$HL$22:$HR$22,DV$6,'Lease Cycles'!$HZ$22:$IF$22)</f>
        <v>0</v>
      </c>
      <c r="DW261" s="28">
        <f>SUMIF('Lease Cycles'!$HL$22:$HR$22,DW$6,'Lease Cycles'!$HZ$22:$IF$22)</f>
        <v>0</v>
      </c>
      <c r="DX261" s="28">
        <f>SUMIF('Lease Cycles'!$HL$22:$HR$22,DX$6,'Lease Cycles'!$HZ$22:$IF$22)</f>
        <v>0</v>
      </c>
      <c r="DY261" s="28">
        <f>SUMIF('Lease Cycles'!$HL$22:$HR$22,DY$6,'Lease Cycles'!$HZ$22:$IF$22)</f>
        <v>0</v>
      </c>
      <c r="DZ261" s="28">
        <f>SUMIF('Lease Cycles'!$HL$22:$HR$22,DZ$6,'Lease Cycles'!$HZ$22:$IF$22)</f>
        <v>0</v>
      </c>
      <c r="EA261" s="28">
        <f>SUMIF('Lease Cycles'!$HL$22:$HR$22,EA$6,'Lease Cycles'!$HZ$22:$IF$22)</f>
        <v>0</v>
      </c>
      <c r="EB261" s="28">
        <f>SUMIF('Lease Cycles'!$HL$22:$HR$22,EB$6,'Lease Cycles'!$HZ$22:$IF$22)</f>
        <v>0</v>
      </c>
      <c r="EC261" s="28">
        <f>SUMIF('Lease Cycles'!$HL$22:$HR$22,EC$6,'Lease Cycles'!$HZ$22:$IF$22)</f>
        <v>0</v>
      </c>
      <c r="ED261" s="28">
        <f>SUMIF('Lease Cycles'!$HL$22:$HR$22,ED$6,'Lease Cycles'!$HZ$22:$IF$22)</f>
        <v>0</v>
      </c>
      <c r="EE261" s="28">
        <f>SUMIF('Lease Cycles'!$HL$22:$HR$22,EE$6,'Lease Cycles'!$HZ$22:$IF$22)</f>
        <v>0</v>
      </c>
      <c r="EF261" s="28">
        <f>SUMIF('Lease Cycles'!$HL$22:$HR$22,EF$6,'Lease Cycles'!$HZ$22:$IF$22)</f>
        <v>0</v>
      </c>
      <c r="EG261" s="28">
        <f>SUMIF('Lease Cycles'!$HL$22:$HR$22,EG$6,'Lease Cycles'!$HZ$22:$IF$22)</f>
        <v>0</v>
      </c>
      <c r="EH261" s="28">
        <f>SUMIF('Lease Cycles'!$HL$22:$HR$22,EH$6,'Lease Cycles'!$HZ$22:$IF$22)</f>
        <v>0</v>
      </c>
      <c r="EI261" s="28">
        <f>SUMIF('Lease Cycles'!$HL$22:$HR$22,EI$6,'Lease Cycles'!$HZ$22:$IF$22)</f>
        <v>0</v>
      </c>
      <c r="EJ261" s="28">
        <f>SUMIF('Lease Cycles'!$HL$22:$HR$22,EJ$6,'Lease Cycles'!$HZ$22:$IF$22)</f>
        <v>0</v>
      </c>
      <c r="EK261" s="28">
        <f>SUMIF('Lease Cycles'!$HL$22:$HR$22,EK$6,'Lease Cycles'!$HZ$22:$IF$22)</f>
        <v>0</v>
      </c>
      <c r="EL261" s="28">
        <f>SUMIF('Lease Cycles'!$HL$22:$HR$22,EL$6,'Lease Cycles'!$HZ$22:$IF$22)</f>
        <v>0</v>
      </c>
      <c r="EM261" s="28">
        <f>SUMIF('Lease Cycles'!$HL$22:$HR$22,EM$6,'Lease Cycles'!$HZ$22:$IF$22)</f>
        <v>0</v>
      </c>
      <c r="EN261" s="28">
        <f>SUMIF('Lease Cycles'!$HL$22:$HR$22,EN$6,'Lease Cycles'!$HZ$22:$IF$22)</f>
        <v>0</v>
      </c>
      <c r="EO261" s="28">
        <f>SUMIF('Lease Cycles'!$HL$22:$HR$22,EO$6,'Lease Cycles'!$HZ$22:$IF$22)</f>
        <v>0</v>
      </c>
      <c r="EP261" s="28">
        <f>SUMIF('Lease Cycles'!$HL$22:$HR$22,EP$6,'Lease Cycles'!$HZ$22:$IF$22)</f>
        <v>0</v>
      </c>
      <c r="EQ261" s="28">
        <f>SUMIF('Lease Cycles'!$HL$22:$HR$22,EQ$6,'Lease Cycles'!$HZ$22:$IF$22)</f>
        <v>0</v>
      </c>
      <c r="ER261" s="28">
        <f>SUMIF('Lease Cycles'!$HL$22:$HR$22,ER$6,'Lease Cycles'!$HZ$22:$IF$22)</f>
        <v>0</v>
      </c>
      <c r="ES261" s="28">
        <f>SUMIF('Lease Cycles'!$HL$22:$HR$22,ES$6,'Lease Cycles'!$HZ$22:$IF$22)</f>
        <v>0</v>
      </c>
      <c r="ET261" s="28">
        <f>SUMIF('Lease Cycles'!$HL$22:$HR$22,ET$6,'Lease Cycles'!$HZ$22:$IF$22)</f>
        <v>0</v>
      </c>
    </row>
    <row r="262">
      <c r="A262" s="103">
        <v>15</v>
      </c>
      <c r="B262" s="23" t="str">
        <f>IF('Lease Cycles'!$B$22="","(empty slot)",'Lease Cycles'!$B$22)</f>
        <v>(empty slot)</v>
      </c>
      <c r="C262" s="23" t="s">
        <v>691</v>
      </c>
      <c r="D262" s="104" t="s">
        <v>692</v>
      </c>
      <c r="E262" s="25">
        <f>'Lease Cycles'!$AL$22</f>
        <v>0</v>
      </c>
      <c r="G262" s="28">
        <f>SUM(S262:AD262)</f>
        <v>0</v>
      </c>
      <c r="H262" s="28">
        <f>SUM(AE262:AP262)</f>
        <v>0</v>
      </c>
      <c r="I262" s="28">
        <f>SUM(AQ262:BB262)</f>
        <v>0</v>
      </c>
      <c r="J262" s="28">
        <f>SUM(BC262:BN262)</f>
        <v>0</v>
      </c>
      <c r="K262" s="28">
        <f>SUM(BO262:BZ262)</f>
        <v>0</v>
      </c>
      <c r="L262" s="28">
        <f>SUM(CA262:CL262)</f>
        <v>0</v>
      </c>
      <c r="M262" s="28">
        <f>SUM(CM262:CX262)</f>
        <v>0</v>
      </c>
      <c r="N262" s="28">
        <f>SUM(CY262:DJ262)</f>
        <v>0</v>
      </c>
      <c r="O262" s="28">
        <f>SUM(DK262:DV262)</f>
        <v>0</v>
      </c>
      <c r="P262" s="28">
        <f>SUM(DW262:EH262)</f>
        <v>0</v>
      </c>
      <c r="Q262" s="28">
        <f>SUM(EI262:ET262)</f>
        <v>0</v>
      </c>
      <c r="S262" s="28">
        <f>IF(S$6='Lease Cycles'!$HL$22,'Lease Cycles'!$HS$22+'Lease Cycles'!$HZ$22,0)</f>
        <v>0</v>
      </c>
      <c r="T262" s="28">
        <f>IF(T$6='Lease Cycles'!$HL$22,'Lease Cycles'!$HS$22+'Lease Cycles'!$HZ$22,0)</f>
        <v>0</v>
      </c>
      <c r="U262" s="28">
        <f>IF(U$6='Lease Cycles'!$HL$22,'Lease Cycles'!$HS$22+'Lease Cycles'!$HZ$22,0)</f>
        <v>0</v>
      </c>
      <c r="V262" s="28">
        <f>IF(V$6='Lease Cycles'!$HL$22,'Lease Cycles'!$HS$22+'Lease Cycles'!$HZ$22,0)</f>
        <v>0</v>
      </c>
      <c r="W262" s="28">
        <f>IF(W$6='Lease Cycles'!$HL$22,'Lease Cycles'!$HS$22+'Lease Cycles'!$HZ$22,0)</f>
        <v>0</v>
      </c>
      <c r="X262" s="28">
        <f>IF(X$6='Lease Cycles'!$HL$22,'Lease Cycles'!$HS$22+'Lease Cycles'!$HZ$22,0)</f>
        <v>0</v>
      </c>
      <c r="Y262" s="28">
        <f>IF(Y$6='Lease Cycles'!$HL$22,'Lease Cycles'!$HS$22+'Lease Cycles'!$HZ$22,0)</f>
        <v>0</v>
      </c>
      <c r="Z262" s="28">
        <f>IF(Z$6='Lease Cycles'!$HL$22,'Lease Cycles'!$HS$22+'Lease Cycles'!$HZ$22,0)</f>
        <v>0</v>
      </c>
      <c r="AA262" s="28">
        <f>IF(AA$6='Lease Cycles'!$HL$22,'Lease Cycles'!$HS$22+'Lease Cycles'!$HZ$22,0)</f>
        <v>0</v>
      </c>
      <c r="AB262" s="28">
        <f>IF(AB$6='Lease Cycles'!$HL$22,'Lease Cycles'!$HS$22+'Lease Cycles'!$HZ$22,0)</f>
        <v>0</v>
      </c>
      <c r="AC262" s="28">
        <f>IF(AC$6='Lease Cycles'!$HL$22,'Lease Cycles'!$HS$22+'Lease Cycles'!$HZ$22,0)</f>
        <v>0</v>
      </c>
      <c r="AD262" s="28">
        <f>IF(AD$6='Lease Cycles'!$HL$22,'Lease Cycles'!$HS$22+'Lease Cycles'!$HZ$22,0)</f>
        <v>0</v>
      </c>
      <c r="AE262" s="28">
        <f>IF(AE$6='Lease Cycles'!$HL$22,'Lease Cycles'!$HS$22+'Lease Cycles'!$HZ$22,0)</f>
        <v>0</v>
      </c>
      <c r="AF262" s="28">
        <f>IF(AF$6='Lease Cycles'!$HL$22,'Lease Cycles'!$HS$22+'Lease Cycles'!$HZ$22,0)</f>
        <v>0</v>
      </c>
      <c r="AG262" s="28">
        <f>IF(AG$6='Lease Cycles'!$HL$22,'Lease Cycles'!$HS$22+'Lease Cycles'!$HZ$22,0)</f>
        <v>0</v>
      </c>
      <c r="AH262" s="28">
        <f>IF(AH$6='Lease Cycles'!$HL$22,'Lease Cycles'!$HS$22+'Lease Cycles'!$HZ$22,0)</f>
        <v>0</v>
      </c>
      <c r="AI262" s="28">
        <f>IF(AI$6='Lease Cycles'!$HL$22,'Lease Cycles'!$HS$22+'Lease Cycles'!$HZ$22,0)</f>
        <v>0</v>
      </c>
      <c r="AJ262" s="28">
        <f>IF(AJ$6='Lease Cycles'!$HL$22,'Lease Cycles'!$HS$22+'Lease Cycles'!$HZ$22,0)</f>
        <v>0</v>
      </c>
      <c r="AK262" s="28">
        <f>IF(AK$6='Lease Cycles'!$HL$22,'Lease Cycles'!$HS$22+'Lease Cycles'!$HZ$22,0)</f>
        <v>0</v>
      </c>
      <c r="AL262" s="28">
        <f>IF(AL$6='Lease Cycles'!$HL$22,'Lease Cycles'!$HS$22+'Lease Cycles'!$HZ$22,0)</f>
        <v>0</v>
      </c>
      <c r="AM262" s="28">
        <f>IF(AM$6='Lease Cycles'!$HL$22,'Lease Cycles'!$HS$22+'Lease Cycles'!$HZ$22,0)</f>
        <v>0</v>
      </c>
      <c r="AN262" s="28">
        <f>IF(AN$6='Lease Cycles'!$HL$22,'Lease Cycles'!$HS$22+'Lease Cycles'!$HZ$22,0)</f>
        <v>0</v>
      </c>
      <c r="AO262" s="28">
        <f>IF(AO$6='Lease Cycles'!$HL$22,'Lease Cycles'!$HS$22+'Lease Cycles'!$HZ$22,0)</f>
        <v>0</v>
      </c>
      <c r="AP262" s="28">
        <f>IF(AP$6='Lease Cycles'!$HL$22,'Lease Cycles'!$HS$22+'Lease Cycles'!$HZ$22,0)</f>
        <v>0</v>
      </c>
      <c r="AQ262" s="28">
        <f>IF(AQ$6='Lease Cycles'!$HL$22,'Lease Cycles'!$HS$22+'Lease Cycles'!$HZ$22,0)</f>
        <v>0</v>
      </c>
      <c r="AR262" s="28">
        <f>IF(AR$6='Lease Cycles'!$HL$22,'Lease Cycles'!$HS$22+'Lease Cycles'!$HZ$22,0)</f>
        <v>0</v>
      </c>
      <c r="AS262" s="28">
        <f>IF(AS$6='Lease Cycles'!$HL$22,'Lease Cycles'!$HS$22+'Lease Cycles'!$HZ$22,0)</f>
        <v>0</v>
      </c>
      <c r="AT262" s="28">
        <f>IF(AT$6='Lease Cycles'!$HL$22,'Lease Cycles'!$HS$22+'Lease Cycles'!$HZ$22,0)</f>
        <v>0</v>
      </c>
      <c r="AU262" s="28">
        <f>IF(AU$6='Lease Cycles'!$HL$22,'Lease Cycles'!$HS$22+'Lease Cycles'!$HZ$22,0)</f>
        <v>0</v>
      </c>
      <c r="AV262" s="28">
        <f>IF(AV$6='Lease Cycles'!$HL$22,'Lease Cycles'!$HS$22+'Lease Cycles'!$HZ$22,0)</f>
        <v>0</v>
      </c>
      <c r="AW262" s="28">
        <f>IF(AW$6='Lease Cycles'!$HL$22,'Lease Cycles'!$HS$22+'Lease Cycles'!$HZ$22,0)</f>
        <v>0</v>
      </c>
      <c r="AX262" s="28">
        <f>IF(AX$6='Lease Cycles'!$HL$22,'Lease Cycles'!$HS$22+'Lease Cycles'!$HZ$22,0)</f>
        <v>0</v>
      </c>
      <c r="AY262" s="28">
        <f>IF(AY$6='Lease Cycles'!$HL$22,'Lease Cycles'!$HS$22+'Lease Cycles'!$HZ$22,0)</f>
        <v>0</v>
      </c>
      <c r="AZ262" s="28">
        <f>IF(AZ$6='Lease Cycles'!$HL$22,'Lease Cycles'!$HS$22+'Lease Cycles'!$HZ$22,0)</f>
        <v>0</v>
      </c>
      <c r="BA262" s="28">
        <f>IF(BA$6='Lease Cycles'!$HL$22,'Lease Cycles'!$HS$22+'Lease Cycles'!$HZ$22,0)</f>
        <v>0</v>
      </c>
      <c r="BB262" s="28">
        <f>IF(BB$6='Lease Cycles'!$HL$22,'Lease Cycles'!$HS$22+'Lease Cycles'!$HZ$22,0)</f>
        <v>0</v>
      </c>
      <c r="BC262" s="28">
        <f>IF(BC$6='Lease Cycles'!$HL$22,'Lease Cycles'!$HS$22+'Lease Cycles'!$HZ$22,0)</f>
        <v>0</v>
      </c>
      <c r="BD262" s="28">
        <f>IF(BD$6='Lease Cycles'!$HL$22,'Lease Cycles'!$HS$22+'Lease Cycles'!$HZ$22,0)</f>
        <v>0</v>
      </c>
      <c r="BE262" s="28">
        <f>IF(BE$6='Lease Cycles'!$HL$22,'Lease Cycles'!$HS$22+'Lease Cycles'!$HZ$22,0)</f>
        <v>0</v>
      </c>
      <c r="BF262" s="28">
        <f>IF(BF$6='Lease Cycles'!$HL$22,'Lease Cycles'!$HS$22+'Lease Cycles'!$HZ$22,0)</f>
        <v>0</v>
      </c>
      <c r="BG262" s="28">
        <f>IF(BG$6='Lease Cycles'!$HL$22,'Lease Cycles'!$HS$22+'Lease Cycles'!$HZ$22,0)</f>
        <v>0</v>
      </c>
      <c r="BH262" s="28">
        <f>IF(BH$6='Lease Cycles'!$HL$22,'Lease Cycles'!$HS$22+'Lease Cycles'!$HZ$22,0)</f>
        <v>0</v>
      </c>
      <c r="BI262" s="28">
        <f>IF(BI$6='Lease Cycles'!$HL$22,'Lease Cycles'!$HS$22+'Lease Cycles'!$HZ$22,0)</f>
        <v>0</v>
      </c>
      <c r="BJ262" s="28">
        <f>IF(BJ$6='Lease Cycles'!$HL$22,'Lease Cycles'!$HS$22+'Lease Cycles'!$HZ$22,0)</f>
        <v>0</v>
      </c>
      <c r="BK262" s="28">
        <f>IF(BK$6='Lease Cycles'!$HL$22,'Lease Cycles'!$HS$22+'Lease Cycles'!$HZ$22,0)</f>
        <v>0</v>
      </c>
      <c r="BL262" s="28">
        <f>IF(BL$6='Lease Cycles'!$HL$22,'Lease Cycles'!$HS$22+'Lease Cycles'!$HZ$22,0)</f>
        <v>0</v>
      </c>
      <c r="BM262" s="28">
        <f>IF(BM$6='Lease Cycles'!$HL$22,'Lease Cycles'!$HS$22+'Lease Cycles'!$HZ$22,0)</f>
        <v>0</v>
      </c>
      <c r="BN262" s="28">
        <f>IF(BN$6='Lease Cycles'!$HL$22,'Lease Cycles'!$HS$22+'Lease Cycles'!$HZ$22,0)</f>
        <v>0</v>
      </c>
      <c r="BO262" s="28">
        <f>IF(BO$6='Lease Cycles'!$HL$22,'Lease Cycles'!$HS$22+'Lease Cycles'!$HZ$22,0)</f>
        <v>0</v>
      </c>
      <c r="BP262" s="28">
        <f>IF(BP$6='Lease Cycles'!$HL$22,'Lease Cycles'!$HS$22+'Lease Cycles'!$HZ$22,0)</f>
        <v>0</v>
      </c>
      <c r="BQ262" s="28">
        <f>IF(BQ$6='Lease Cycles'!$HL$22,'Lease Cycles'!$HS$22+'Lease Cycles'!$HZ$22,0)</f>
        <v>0</v>
      </c>
      <c r="BR262" s="28">
        <f>IF(BR$6='Lease Cycles'!$HL$22,'Lease Cycles'!$HS$22+'Lease Cycles'!$HZ$22,0)</f>
        <v>0</v>
      </c>
      <c r="BS262" s="28">
        <f>IF(BS$6='Lease Cycles'!$HL$22,'Lease Cycles'!$HS$22+'Lease Cycles'!$HZ$22,0)</f>
        <v>0</v>
      </c>
      <c r="BT262" s="28">
        <f>IF(BT$6='Lease Cycles'!$HL$22,'Lease Cycles'!$HS$22+'Lease Cycles'!$HZ$22,0)</f>
        <v>0</v>
      </c>
      <c r="BU262" s="28">
        <f>IF(BU$6='Lease Cycles'!$HL$22,'Lease Cycles'!$HS$22+'Lease Cycles'!$HZ$22,0)</f>
        <v>0</v>
      </c>
      <c r="BV262" s="28">
        <f>IF(BV$6='Lease Cycles'!$HL$22,'Lease Cycles'!$HS$22+'Lease Cycles'!$HZ$22,0)</f>
        <v>0</v>
      </c>
      <c r="BW262" s="28">
        <f>IF(BW$6='Lease Cycles'!$HL$22,'Lease Cycles'!$HS$22+'Lease Cycles'!$HZ$22,0)</f>
        <v>0</v>
      </c>
      <c r="BX262" s="28">
        <f>IF(BX$6='Lease Cycles'!$HL$22,'Lease Cycles'!$HS$22+'Lease Cycles'!$HZ$22,0)</f>
        <v>0</v>
      </c>
      <c r="BY262" s="28">
        <f>IF(BY$6='Lease Cycles'!$HL$22,'Lease Cycles'!$HS$22+'Lease Cycles'!$HZ$22,0)</f>
        <v>0</v>
      </c>
      <c r="BZ262" s="28">
        <f>IF(BZ$6='Lease Cycles'!$HL$22,'Lease Cycles'!$HS$22+'Lease Cycles'!$HZ$22,0)</f>
        <v>0</v>
      </c>
      <c r="CA262" s="28">
        <f>IF(CA$6='Lease Cycles'!$HL$22,'Lease Cycles'!$HS$22+'Lease Cycles'!$HZ$22,0)</f>
        <v>0</v>
      </c>
      <c r="CB262" s="28">
        <f>IF(CB$6='Lease Cycles'!$HL$22,'Lease Cycles'!$HS$22+'Lease Cycles'!$HZ$22,0)</f>
        <v>0</v>
      </c>
      <c r="CC262" s="28">
        <f>IF(CC$6='Lease Cycles'!$HL$22,'Lease Cycles'!$HS$22+'Lease Cycles'!$HZ$22,0)</f>
        <v>0</v>
      </c>
      <c r="CD262" s="28">
        <f>IF(CD$6='Lease Cycles'!$HL$22,'Lease Cycles'!$HS$22+'Lease Cycles'!$HZ$22,0)</f>
        <v>0</v>
      </c>
      <c r="CE262" s="28">
        <f>IF(CE$6='Lease Cycles'!$HL$22,'Lease Cycles'!$HS$22+'Lease Cycles'!$HZ$22,0)</f>
        <v>0</v>
      </c>
      <c r="CF262" s="28">
        <f>IF(CF$6='Lease Cycles'!$HL$22,'Lease Cycles'!$HS$22+'Lease Cycles'!$HZ$22,0)</f>
        <v>0</v>
      </c>
      <c r="CG262" s="28">
        <f>IF(CG$6='Lease Cycles'!$HL$22,'Lease Cycles'!$HS$22+'Lease Cycles'!$HZ$22,0)</f>
        <v>0</v>
      </c>
      <c r="CH262" s="28">
        <f>IF(CH$6='Lease Cycles'!$HL$22,'Lease Cycles'!$HS$22+'Lease Cycles'!$HZ$22,0)</f>
        <v>0</v>
      </c>
      <c r="CI262" s="28">
        <f>IF(CI$6='Lease Cycles'!$HL$22,'Lease Cycles'!$HS$22+'Lease Cycles'!$HZ$22,0)</f>
        <v>0</v>
      </c>
      <c r="CJ262" s="28">
        <f>IF(CJ$6='Lease Cycles'!$HL$22,'Lease Cycles'!$HS$22+'Lease Cycles'!$HZ$22,0)</f>
        <v>0</v>
      </c>
      <c r="CK262" s="28">
        <f>IF(CK$6='Lease Cycles'!$HL$22,'Lease Cycles'!$HS$22+'Lease Cycles'!$HZ$22,0)</f>
        <v>0</v>
      </c>
      <c r="CL262" s="28">
        <f>IF(CL$6='Lease Cycles'!$HL$22,'Lease Cycles'!$HS$22+'Lease Cycles'!$HZ$22,0)</f>
        <v>0</v>
      </c>
      <c r="CM262" s="28">
        <f>IF(CM$6='Lease Cycles'!$HL$22,'Lease Cycles'!$HS$22+'Lease Cycles'!$HZ$22,0)</f>
        <v>0</v>
      </c>
      <c r="CN262" s="28">
        <f>IF(CN$6='Lease Cycles'!$HL$22,'Lease Cycles'!$HS$22+'Lease Cycles'!$HZ$22,0)</f>
        <v>0</v>
      </c>
      <c r="CO262" s="28">
        <f>IF(CO$6='Lease Cycles'!$HL$22,'Lease Cycles'!$HS$22+'Lease Cycles'!$HZ$22,0)</f>
        <v>0</v>
      </c>
      <c r="CP262" s="28">
        <f>IF(CP$6='Lease Cycles'!$HL$22,'Lease Cycles'!$HS$22+'Lease Cycles'!$HZ$22,0)</f>
        <v>0</v>
      </c>
      <c r="CQ262" s="28">
        <f>IF(CQ$6='Lease Cycles'!$HL$22,'Lease Cycles'!$HS$22+'Lease Cycles'!$HZ$22,0)</f>
        <v>0</v>
      </c>
      <c r="CR262" s="28">
        <f>IF(CR$6='Lease Cycles'!$HL$22,'Lease Cycles'!$HS$22+'Lease Cycles'!$HZ$22,0)</f>
        <v>0</v>
      </c>
      <c r="CS262" s="28">
        <f>IF(CS$6='Lease Cycles'!$HL$22,'Lease Cycles'!$HS$22+'Lease Cycles'!$HZ$22,0)</f>
        <v>0</v>
      </c>
      <c r="CT262" s="28">
        <f>IF(CT$6='Lease Cycles'!$HL$22,'Lease Cycles'!$HS$22+'Lease Cycles'!$HZ$22,0)</f>
        <v>0</v>
      </c>
      <c r="CU262" s="28">
        <f>IF(CU$6='Lease Cycles'!$HL$22,'Lease Cycles'!$HS$22+'Lease Cycles'!$HZ$22,0)</f>
        <v>0</v>
      </c>
      <c r="CV262" s="28">
        <f>IF(CV$6='Lease Cycles'!$HL$22,'Lease Cycles'!$HS$22+'Lease Cycles'!$HZ$22,0)</f>
        <v>0</v>
      </c>
      <c r="CW262" s="28">
        <f>IF(CW$6='Lease Cycles'!$HL$22,'Lease Cycles'!$HS$22+'Lease Cycles'!$HZ$22,0)</f>
        <v>0</v>
      </c>
      <c r="CX262" s="28">
        <f>IF(CX$6='Lease Cycles'!$HL$22,'Lease Cycles'!$HS$22+'Lease Cycles'!$HZ$22,0)</f>
        <v>0</v>
      </c>
      <c r="CY262" s="28">
        <f>IF(CY$6='Lease Cycles'!$HL$22,'Lease Cycles'!$HS$22+'Lease Cycles'!$HZ$22,0)</f>
        <v>0</v>
      </c>
      <c r="CZ262" s="28">
        <f>IF(CZ$6='Lease Cycles'!$HL$22,'Lease Cycles'!$HS$22+'Lease Cycles'!$HZ$22,0)</f>
        <v>0</v>
      </c>
      <c r="DA262" s="28">
        <f>IF(DA$6='Lease Cycles'!$HL$22,'Lease Cycles'!$HS$22+'Lease Cycles'!$HZ$22,0)</f>
        <v>0</v>
      </c>
      <c r="DB262" s="28">
        <f>IF(DB$6='Lease Cycles'!$HL$22,'Lease Cycles'!$HS$22+'Lease Cycles'!$HZ$22,0)</f>
        <v>0</v>
      </c>
      <c r="DC262" s="28">
        <f>IF(DC$6='Lease Cycles'!$HL$22,'Lease Cycles'!$HS$22+'Lease Cycles'!$HZ$22,0)</f>
        <v>0</v>
      </c>
      <c r="DD262" s="28">
        <f>IF(DD$6='Lease Cycles'!$HL$22,'Lease Cycles'!$HS$22+'Lease Cycles'!$HZ$22,0)</f>
        <v>0</v>
      </c>
      <c r="DE262" s="28">
        <f>IF(DE$6='Lease Cycles'!$HL$22,'Lease Cycles'!$HS$22+'Lease Cycles'!$HZ$22,0)</f>
        <v>0</v>
      </c>
      <c r="DF262" s="28">
        <f>IF(DF$6='Lease Cycles'!$HL$22,'Lease Cycles'!$HS$22+'Lease Cycles'!$HZ$22,0)</f>
        <v>0</v>
      </c>
      <c r="DG262" s="28">
        <f>IF(DG$6='Lease Cycles'!$HL$22,'Lease Cycles'!$HS$22+'Lease Cycles'!$HZ$22,0)</f>
        <v>0</v>
      </c>
      <c r="DH262" s="28">
        <f>IF(DH$6='Lease Cycles'!$HL$22,'Lease Cycles'!$HS$22+'Lease Cycles'!$HZ$22,0)</f>
        <v>0</v>
      </c>
      <c r="DI262" s="28">
        <f>IF(DI$6='Lease Cycles'!$HL$22,'Lease Cycles'!$HS$22+'Lease Cycles'!$HZ$22,0)</f>
        <v>0</v>
      </c>
      <c r="DJ262" s="28">
        <f>IF(DJ$6='Lease Cycles'!$HL$22,'Lease Cycles'!$HS$22+'Lease Cycles'!$HZ$22,0)</f>
        <v>0</v>
      </c>
      <c r="DK262" s="28">
        <f>IF(DK$6='Lease Cycles'!$HL$22,'Lease Cycles'!$HS$22+'Lease Cycles'!$HZ$22,0)</f>
        <v>0</v>
      </c>
      <c r="DL262" s="28">
        <f>IF(DL$6='Lease Cycles'!$HL$22,'Lease Cycles'!$HS$22+'Lease Cycles'!$HZ$22,0)</f>
        <v>0</v>
      </c>
      <c r="DM262" s="28">
        <f>IF(DM$6='Lease Cycles'!$HL$22,'Lease Cycles'!$HS$22+'Lease Cycles'!$HZ$22,0)</f>
        <v>0</v>
      </c>
      <c r="DN262" s="28">
        <f>IF(DN$6='Lease Cycles'!$HL$22,'Lease Cycles'!$HS$22+'Lease Cycles'!$HZ$22,0)</f>
        <v>0</v>
      </c>
      <c r="DO262" s="28">
        <f>IF(DO$6='Lease Cycles'!$HL$22,'Lease Cycles'!$HS$22+'Lease Cycles'!$HZ$22,0)</f>
        <v>0</v>
      </c>
      <c r="DP262" s="28">
        <f>IF(DP$6='Lease Cycles'!$HL$22,'Lease Cycles'!$HS$22+'Lease Cycles'!$HZ$22,0)</f>
        <v>0</v>
      </c>
      <c r="DQ262" s="28">
        <f>IF(DQ$6='Lease Cycles'!$HL$22,'Lease Cycles'!$HS$22+'Lease Cycles'!$HZ$22,0)</f>
        <v>0</v>
      </c>
      <c r="DR262" s="28">
        <f>IF(DR$6='Lease Cycles'!$HL$22,'Lease Cycles'!$HS$22+'Lease Cycles'!$HZ$22,0)</f>
        <v>0</v>
      </c>
      <c r="DS262" s="28">
        <f>IF(DS$6='Lease Cycles'!$HL$22,'Lease Cycles'!$HS$22+'Lease Cycles'!$HZ$22,0)</f>
        <v>0</v>
      </c>
      <c r="DT262" s="28">
        <f>IF(DT$6='Lease Cycles'!$HL$22,'Lease Cycles'!$HS$22+'Lease Cycles'!$HZ$22,0)</f>
        <v>0</v>
      </c>
      <c r="DU262" s="28">
        <f>IF(DU$6='Lease Cycles'!$HL$22,'Lease Cycles'!$HS$22+'Lease Cycles'!$HZ$22,0)</f>
        <v>0</v>
      </c>
      <c r="DV262" s="28">
        <f>IF(DV$6='Lease Cycles'!$HL$22,'Lease Cycles'!$HS$22+'Lease Cycles'!$HZ$22,0)</f>
        <v>0</v>
      </c>
      <c r="DW262" s="28">
        <f>IF(DW$6='Lease Cycles'!$HL$22,'Lease Cycles'!$HS$22+'Lease Cycles'!$HZ$22,0)</f>
        <v>0</v>
      </c>
      <c r="DX262" s="28">
        <f>IF(DX$6='Lease Cycles'!$HL$22,'Lease Cycles'!$HS$22+'Lease Cycles'!$HZ$22,0)</f>
        <v>0</v>
      </c>
      <c r="DY262" s="28">
        <f>IF(DY$6='Lease Cycles'!$HL$22,'Lease Cycles'!$HS$22+'Lease Cycles'!$HZ$22,0)</f>
        <v>0</v>
      </c>
      <c r="DZ262" s="28">
        <f>IF(DZ$6='Lease Cycles'!$HL$22,'Lease Cycles'!$HS$22+'Lease Cycles'!$HZ$22,0)</f>
        <v>0</v>
      </c>
      <c r="EA262" s="28">
        <f>IF(EA$6='Lease Cycles'!$HL$22,'Lease Cycles'!$HS$22+'Lease Cycles'!$HZ$22,0)</f>
        <v>0</v>
      </c>
      <c r="EB262" s="28">
        <f>IF(EB$6='Lease Cycles'!$HL$22,'Lease Cycles'!$HS$22+'Lease Cycles'!$HZ$22,0)</f>
        <v>0</v>
      </c>
      <c r="EC262" s="28">
        <f>IF(EC$6='Lease Cycles'!$HL$22,'Lease Cycles'!$HS$22+'Lease Cycles'!$HZ$22,0)</f>
        <v>0</v>
      </c>
      <c r="ED262" s="28">
        <f>IF(ED$6='Lease Cycles'!$HL$22,'Lease Cycles'!$HS$22+'Lease Cycles'!$HZ$22,0)</f>
        <v>0</v>
      </c>
      <c r="EE262" s="28">
        <f>IF(EE$6='Lease Cycles'!$HL$22,'Lease Cycles'!$HS$22+'Lease Cycles'!$HZ$22,0)</f>
        <v>0</v>
      </c>
      <c r="EF262" s="28">
        <f>IF(EF$6='Lease Cycles'!$HL$22,'Lease Cycles'!$HS$22+'Lease Cycles'!$HZ$22,0)</f>
        <v>0</v>
      </c>
      <c r="EG262" s="28">
        <f>IF(EG$6='Lease Cycles'!$HL$22,'Lease Cycles'!$HS$22+'Lease Cycles'!$HZ$22,0)</f>
        <v>0</v>
      </c>
      <c r="EH262" s="28">
        <f>IF(EH$6='Lease Cycles'!$HL$22,'Lease Cycles'!$HS$22+'Lease Cycles'!$HZ$22,0)</f>
        <v>0</v>
      </c>
      <c r="EI262" s="28">
        <f>IF(EI$6='Lease Cycles'!$HL$22,'Lease Cycles'!$HS$22+'Lease Cycles'!$HZ$22,0)</f>
        <v>0</v>
      </c>
      <c r="EJ262" s="28">
        <f>IF(EJ$6='Lease Cycles'!$HL$22,'Lease Cycles'!$HS$22+'Lease Cycles'!$HZ$22,0)</f>
        <v>0</v>
      </c>
      <c r="EK262" s="28">
        <f>IF(EK$6='Lease Cycles'!$HL$22,'Lease Cycles'!$HS$22+'Lease Cycles'!$HZ$22,0)</f>
        <v>0</v>
      </c>
      <c r="EL262" s="28">
        <f>IF(EL$6='Lease Cycles'!$HL$22,'Lease Cycles'!$HS$22+'Lease Cycles'!$HZ$22,0)</f>
        <v>0</v>
      </c>
      <c r="EM262" s="28">
        <f>IF(EM$6='Lease Cycles'!$HL$22,'Lease Cycles'!$HS$22+'Lease Cycles'!$HZ$22,0)</f>
        <v>0</v>
      </c>
      <c r="EN262" s="28">
        <f>IF(EN$6='Lease Cycles'!$HL$22,'Lease Cycles'!$HS$22+'Lease Cycles'!$HZ$22,0)</f>
        <v>0</v>
      </c>
      <c r="EO262" s="28">
        <f>IF(EO$6='Lease Cycles'!$HL$22,'Lease Cycles'!$HS$22+'Lease Cycles'!$HZ$22,0)</f>
        <v>0</v>
      </c>
      <c r="EP262" s="28">
        <f>IF(EP$6='Lease Cycles'!$HL$22,'Lease Cycles'!$HS$22+'Lease Cycles'!$HZ$22,0)</f>
        <v>0</v>
      </c>
      <c r="EQ262" s="28">
        <f>IF(EQ$6='Lease Cycles'!$HL$22,'Lease Cycles'!$HS$22+'Lease Cycles'!$HZ$22,0)</f>
        <v>0</v>
      </c>
      <c r="ER262" s="28">
        <f>IF(ER$6='Lease Cycles'!$HL$22,'Lease Cycles'!$HS$22+'Lease Cycles'!$HZ$22,0)</f>
        <v>0</v>
      </c>
      <c r="ES262" s="28">
        <f>IF(ES$6='Lease Cycles'!$HL$22,'Lease Cycles'!$HS$22+'Lease Cycles'!$HZ$22,0)</f>
        <v>0</v>
      </c>
      <c r="ET262" s="28">
        <f>IF(ET$6='Lease Cycles'!$HL$22,'Lease Cycles'!$HS$22+'Lease Cycles'!$HZ$22,0)</f>
        <v>0</v>
      </c>
    </row>
    <row r="263">
      <c r="A263" s="103">
        <v>15</v>
      </c>
      <c r="B263" s="23" t="str">
        <f>IF('Lease Cycles'!$B$22="","(empty slot)",'Lease Cycles'!$B$22)</f>
        <v>(empty slot)</v>
      </c>
      <c r="C263" s="23" t="s">
        <v>499</v>
      </c>
      <c r="D263" s="104" t="s">
        <v>500</v>
      </c>
      <c r="E263" s="25">
        <f>'Lease Cycles'!$AL$22</f>
        <v>0</v>
      </c>
      <c r="G263" s="28">
        <f>MAX(0,'Lease Cycles'!$AN$22*'Lease Cycles'!$C$22*'Lease Cycles'!$AM$22*(1+a_SalesGrowth)^(G$6-1)-G253)</f>
        <v>0</v>
      </c>
      <c r="H263" s="28">
        <f>MAX(0,'Lease Cycles'!$AN$22*'Lease Cycles'!$C$22*'Lease Cycles'!$AM$22*(1+a_SalesGrowth)^(H$6-1)-H253)</f>
        <v>0</v>
      </c>
      <c r="I263" s="28">
        <f>MAX(0,'Lease Cycles'!$AN$22*'Lease Cycles'!$C$22*'Lease Cycles'!$AM$22*(1+a_SalesGrowth)^(I$6-1)-I253)</f>
        <v>0</v>
      </c>
      <c r="J263" s="28">
        <f>MAX(0,'Lease Cycles'!$AN$22*'Lease Cycles'!$C$22*'Lease Cycles'!$AM$22*(1+a_SalesGrowth)^(J$6-1)-J253)</f>
        <v>0</v>
      </c>
      <c r="K263" s="28">
        <f>MAX(0,'Lease Cycles'!$AN$22*'Lease Cycles'!$C$22*'Lease Cycles'!$AM$22*(1+a_SalesGrowth)^(K$6-1)-K253)</f>
        <v>0</v>
      </c>
      <c r="L263" s="28">
        <f>MAX(0,'Lease Cycles'!$AN$22*'Lease Cycles'!$C$22*'Lease Cycles'!$AM$22*(1+a_SalesGrowth)^(L$6-1)-L253)</f>
        <v>0</v>
      </c>
      <c r="M263" s="28">
        <f>MAX(0,'Lease Cycles'!$AN$22*'Lease Cycles'!$C$22*'Lease Cycles'!$AM$22*(1+a_SalesGrowth)^(M$6-1)-M253)</f>
        <v>0</v>
      </c>
      <c r="N263" s="28">
        <f>MAX(0,'Lease Cycles'!$AN$22*'Lease Cycles'!$C$22*'Lease Cycles'!$AM$22*(1+a_SalesGrowth)^(N$6-1)-N253)</f>
        <v>0</v>
      </c>
      <c r="O263" s="28">
        <f>MAX(0,'Lease Cycles'!$AN$22*'Lease Cycles'!$C$22*'Lease Cycles'!$AM$22*(1+a_SalesGrowth)^(O$6-1)-O253)</f>
        <v>0</v>
      </c>
      <c r="P263" s="28">
        <f>MAX(0,'Lease Cycles'!$AN$22*'Lease Cycles'!$C$22*'Lease Cycles'!$AM$22*(1+a_SalesGrowth)^(P$6-1)-P253)</f>
        <v>0</v>
      </c>
      <c r="Q263" s="28">
        <f>MAX(0,'Lease Cycles'!$AN$22*'Lease Cycles'!$C$22*'Lease Cycles'!$AM$22*(1+a_SalesGrowth)^(Q$6-1)-Q253)</f>
        <v>0</v>
      </c>
    </row>
    <row r="265">
      <c r="A265" s="103">
        <v>16</v>
      </c>
      <c r="B265" s="23" t="str">
        <f>IF('Lease Cycles'!$B$23="","(empty slot)",'Lease Cycles'!$B$23)</f>
        <v>(empty slot)</v>
      </c>
      <c r="C265" s="23" t="s">
        <v>671</v>
      </c>
      <c r="D265" s="104" t="s">
        <v>672</v>
      </c>
      <c r="E265" s="25">
        <f>'Lease Cycles'!$AL$23</f>
        <v>0</v>
      </c>
      <c r="S265" s="25">
        <f>IF('Lease Cycles'!$C$23&gt;0,COUNTIF('Lease Cycles'!$BG$23:$BM$23,"&lt;="&amp;S$6),0)</f>
        <v>0</v>
      </c>
      <c r="T265" s="25">
        <f>IF('Lease Cycles'!$C$23&gt;0,COUNTIF('Lease Cycles'!$BG$23:$BM$23,"&lt;="&amp;T$6),0)</f>
        <v>0</v>
      </c>
      <c r="U265" s="25">
        <f>IF('Lease Cycles'!$C$23&gt;0,COUNTIF('Lease Cycles'!$BG$23:$BM$23,"&lt;="&amp;U$6),0)</f>
        <v>0</v>
      </c>
      <c r="V265" s="25">
        <f>IF('Lease Cycles'!$C$23&gt;0,COUNTIF('Lease Cycles'!$BG$23:$BM$23,"&lt;="&amp;V$6),0)</f>
        <v>0</v>
      </c>
      <c r="W265" s="25">
        <f>IF('Lease Cycles'!$C$23&gt;0,COUNTIF('Lease Cycles'!$BG$23:$BM$23,"&lt;="&amp;W$6),0)</f>
        <v>0</v>
      </c>
      <c r="X265" s="25">
        <f>IF('Lease Cycles'!$C$23&gt;0,COUNTIF('Lease Cycles'!$BG$23:$BM$23,"&lt;="&amp;X$6),0)</f>
        <v>0</v>
      </c>
      <c r="Y265" s="25">
        <f>IF('Lease Cycles'!$C$23&gt;0,COUNTIF('Lease Cycles'!$BG$23:$BM$23,"&lt;="&amp;Y$6),0)</f>
        <v>0</v>
      </c>
      <c r="Z265" s="25">
        <f>IF('Lease Cycles'!$C$23&gt;0,COUNTIF('Lease Cycles'!$BG$23:$BM$23,"&lt;="&amp;Z$6),0)</f>
        <v>0</v>
      </c>
      <c r="AA265" s="25">
        <f>IF('Lease Cycles'!$C$23&gt;0,COUNTIF('Lease Cycles'!$BG$23:$BM$23,"&lt;="&amp;AA$6),0)</f>
        <v>0</v>
      </c>
      <c r="AB265" s="25">
        <f>IF('Lease Cycles'!$C$23&gt;0,COUNTIF('Lease Cycles'!$BG$23:$BM$23,"&lt;="&amp;AB$6),0)</f>
        <v>0</v>
      </c>
      <c r="AC265" s="25">
        <f>IF('Lease Cycles'!$C$23&gt;0,COUNTIF('Lease Cycles'!$BG$23:$BM$23,"&lt;="&amp;AC$6),0)</f>
        <v>0</v>
      </c>
      <c r="AD265" s="25">
        <f>IF('Lease Cycles'!$C$23&gt;0,COUNTIF('Lease Cycles'!$BG$23:$BM$23,"&lt;="&amp;AD$6),0)</f>
        <v>0</v>
      </c>
      <c r="AE265" s="25">
        <f>IF('Lease Cycles'!$C$23&gt;0,COUNTIF('Lease Cycles'!$BG$23:$BM$23,"&lt;="&amp;AE$6),0)</f>
        <v>0</v>
      </c>
      <c r="AF265" s="25">
        <f>IF('Lease Cycles'!$C$23&gt;0,COUNTIF('Lease Cycles'!$BG$23:$BM$23,"&lt;="&amp;AF$6),0)</f>
        <v>0</v>
      </c>
      <c r="AG265" s="25">
        <f>IF('Lease Cycles'!$C$23&gt;0,COUNTIF('Lease Cycles'!$BG$23:$BM$23,"&lt;="&amp;AG$6),0)</f>
        <v>0</v>
      </c>
      <c r="AH265" s="25">
        <f>IF('Lease Cycles'!$C$23&gt;0,COUNTIF('Lease Cycles'!$BG$23:$BM$23,"&lt;="&amp;AH$6),0)</f>
        <v>0</v>
      </c>
      <c r="AI265" s="25">
        <f>IF('Lease Cycles'!$C$23&gt;0,COUNTIF('Lease Cycles'!$BG$23:$BM$23,"&lt;="&amp;AI$6),0)</f>
        <v>0</v>
      </c>
      <c r="AJ265" s="25">
        <f>IF('Lease Cycles'!$C$23&gt;0,COUNTIF('Lease Cycles'!$BG$23:$BM$23,"&lt;="&amp;AJ$6),0)</f>
        <v>0</v>
      </c>
      <c r="AK265" s="25">
        <f>IF('Lease Cycles'!$C$23&gt;0,COUNTIF('Lease Cycles'!$BG$23:$BM$23,"&lt;="&amp;AK$6),0)</f>
        <v>0</v>
      </c>
      <c r="AL265" s="25">
        <f>IF('Lease Cycles'!$C$23&gt;0,COUNTIF('Lease Cycles'!$BG$23:$BM$23,"&lt;="&amp;AL$6),0)</f>
        <v>0</v>
      </c>
      <c r="AM265" s="25">
        <f>IF('Lease Cycles'!$C$23&gt;0,COUNTIF('Lease Cycles'!$BG$23:$BM$23,"&lt;="&amp;AM$6),0)</f>
        <v>0</v>
      </c>
      <c r="AN265" s="25">
        <f>IF('Lease Cycles'!$C$23&gt;0,COUNTIF('Lease Cycles'!$BG$23:$BM$23,"&lt;="&amp;AN$6),0)</f>
        <v>0</v>
      </c>
      <c r="AO265" s="25">
        <f>IF('Lease Cycles'!$C$23&gt;0,COUNTIF('Lease Cycles'!$BG$23:$BM$23,"&lt;="&amp;AO$6),0)</f>
        <v>0</v>
      </c>
      <c r="AP265" s="25">
        <f>IF('Lease Cycles'!$C$23&gt;0,COUNTIF('Lease Cycles'!$BG$23:$BM$23,"&lt;="&amp;AP$6),0)</f>
        <v>0</v>
      </c>
      <c r="AQ265" s="25">
        <f>IF('Lease Cycles'!$C$23&gt;0,COUNTIF('Lease Cycles'!$BG$23:$BM$23,"&lt;="&amp;AQ$6),0)</f>
        <v>0</v>
      </c>
      <c r="AR265" s="25">
        <f>IF('Lease Cycles'!$C$23&gt;0,COUNTIF('Lease Cycles'!$BG$23:$BM$23,"&lt;="&amp;AR$6),0)</f>
        <v>0</v>
      </c>
      <c r="AS265" s="25">
        <f>IF('Lease Cycles'!$C$23&gt;0,COUNTIF('Lease Cycles'!$BG$23:$BM$23,"&lt;="&amp;AS$6),0)</f>
        <v>0</v>
      </c>
      <c r="AT265" s="25">
        <f>IF('Lease Cycles'!$C$23&gt;0,COUNTIF('Lease Cycles'!$BG$23:$BM$23,"&lt;="&amp;AT$6),0)</f>
        <v>0</v>
      </c>
      <c r="AU265" s="25">
        <f>IF('Lease Cycles'!$C$23&gt;0,COUNTIF('Lease Cycles'!$BG$23:$BM$23,"&lt;="&amp;AU$6),0)</f>
        <v>0</v>
      </c>
      <c r="AV265" s="25">
        <f>IF('Lease Cycles'!$C$23&gt;0,COUNTIF('Lease Cycles'!$BG$23:$BM$23,"&lt;="&amp;AV$6),0)</f>
        <v>0</v>
      </c>
      <c r="AW265" s="25">
        <f>IF('Lease Cycles'!$C$23&gt;0,COUNTIF('Lease Cycles'!$BG$23:$BM$23,"&lt;="&amp;AW$6),0)</f>
        <v>0</v>
      </c>
      <c r="AX265" s="25">
        <f>IF('Lease Cycles'!$C$23&gt;0,COUNTIF('Lease Cycles'!$BG$23:$BM$23,"&lt;="&amp;AX$6),0)</f>
        <v>0</v>
      </c>
      <c r="AY265" s="25">
        <f>IF('Lease Cycles'!$C$23&gt;0,COUNTIF('Lease Cycles'!$BG$23:$BM$23,"&lt;="&amp;AY$6),0)</f>
        <v>0</v>
      </c>
      <c r="AZ265" s="25">
        <f>IF('Lease Cycles'!$C$23&gt;0,COUNTIF('Lease Cycles'!$BG$23:$BM$23,"&lt;="&amp;AZ$6),0)</f>
        <v>0</v>
      </c>
      <c r="BA265" s="25">
        <f>IF('Lease Cycles'!$C$23&gt;0,COUNTIF('Lease Cycles'!$BG$23:$BM$23,"&lt;="&amp;BA$6),0)</f>
        <v>0</v>
      </c>
      <c r="BB265" s="25">
        <f>IF('Lease Cycles'!$C$23&gt;0,COUNTIF('Lease Cycles'!$BG$23:$BM$23,"&lt;="&amp;BB$6),0)</f>
        <v>0</v>
      </c>
      <c r="BC265" s="25">
        <f>IF('Lease Cycles'!$C$23&gt;0,COUNTIF('Lease Cycles'!$BG$23:$BM$23,"&lt;="&amp;BC$6),0)</f>
        <v>0</v>
      </c>
      <c r="BD265" s="25">
        <f>IF('Lease Cycles'!$C$23&gt;0,COUNTIF('Lease Cycles'!$BG$23:$BM$23,"&lt;="&amp;BD$6),0)</f>
        <v>0</v>
      </c>
      <c r="BE265" s="25">
        <f>IF('Lease Cycles'!$C$23&gt;0,COUNTIF('Lease Cycles'!$BG$23:$BM$23,"&lt;="&amp;BE$6),0)</f>
        <v>0</v>
      </c>
      <c r="BF265" s="25">
        <f>IF('Lease Cycles'!$C$23&gt;0,COUNTIF('Lease Cycles'!$BG$23:$BM$23,"&lt;="&amp;BF$6),0)</f>
        <v>0</v>
      </c>
      <c r="BG265" s="25">
        <f>IF('Lease Cycles'!$C$23&gt;0,COUNTIF('Lease Cycles'!$BG$23:$BM$23,"&lt;="&amp;BG$6),0)</f>
        <v>0</v>
      </c>
      <c r="BH265" s="25">
        <f>IF('Lease Cycles'!$C$23&gt;0,COUNTIF('Lease Cycles'!$BG$23:$BM$23,"&lt;="&amp;BH$6),0)</f>
        <v>0</v>
      </c>
      <c r="BI265" s="25">
        <f>IF('Lease Cycles'!$C$23&gt;0,COUNTIF('Lease Cycles'!$BG$23:$BM$23,"&lt;="&amp;BI$6),0)</f>
        <v>0</v>
      </c>
      <c r="BJ265" s="25">
        <f>IF('Lease Cycles'!$C$23&gt;0,COUNTIF('Lease Cycles'!$BG$23:$BM$23,"&lt;="&amp;BJ$6),0)</f>
        <v>0</v>
      </c>
      <c r="BK265" s="25">
        <f>IF('Lease Cycles'!$C$23&gt;0,COUNTIF('Lease Cycles'!$BG$23:$BM$23,"&lt;="&amp;BK$6),0)</f>
        <v>0</v>
      </c>
      <c r="BL265" s="25">
        <f>IF('Lease Cycles'!$C$23&gt;0,COUNTIF('Lease Cycles'!$BG$23:$BM$23,"&lt;="&amp;BL$6),0)</f>
        <v>0</v>
      </c>
      <c r="BM265" s="25">
        <f>IF('Lease Cycles'!$C$23&gt;0,COUNTIF('Lease Cycles'!$BG$23:$BM$23,"&lt;="&amp;BM$6),0)</f>
        <v>0</v>
      </c>
      <c r="BN265" s="25">
        <f>IF('Lease Cycles'!$C$23&gt;0,COUNTIF('Lease Cycles'!$BG$23:$BM$23,"&lt;="&amp;BN$6),0)</f>
        <v>0</v>
      </c>
      <c r="BO265" s="25">
        <f>IF('Lease Cycles'!$C$23&gt;0,COUNTIF('Lease Cycles'!$BG$23:$BM$23,"&lt;="&amp;BO$6),0)</f>
        <v>0</v>
      </c>
      <c r="BP265" s="25">
        <f>IF('Lease Cycles'!$C$23&gt;0,COUNTIF('Lease Cycles'!$BG$23:$BM$23,"&lt;="&amp;BP$6),0)</f>
        <v>0</v>
      </c>
      <c r="BQ265" s="25">
        <f>IF('Lease Cycles'!$C$23&gt;0,COUNTIF('Lease Cycles'!$BG$23:$BM$23,"&lt;="&amp;BQ$6),0)</f>
        <v>0</v>
      </c>
      <c r="BR265" s="25">
        <f>IF('Lease Cycles'!$C$23&gt;0,COUNTIF('Lease Cycles'!$BG$23:$BM$23,"&lt;="&amp;BR$6),0)</f>
        <v>0</v>
      </c>
      <c r="BS265" s="25">
        <f>IF('Lease Cycles'!$C$23&gt;0,COUNTIF('Lease Cycles'!$BG$23:$BM$23,"&lt;="&amp;BS$6),0)</f>
        <v>0</v>
      </c>
      <c r="BT265" s="25">
        <f>IF('Lease Cycles'!$C$23&gt;0,COUNTIF('Lease Cycles'!$BG$23:$BM$23,"&lt;="&amp;BT$6),0)</f>
        <v>0</v>
      </c>
      <c r="BU265" s="25">
        <f>IF('Lease Cycles'!$C$23&gt;0,COUNTIF('Lease Cycles'!$BG$23:$BM$23,"&lt;="&amp;BU$6),0)</f>
        <v>0</v>
      </c>
      <c r="BV265" s="25">
        <f>IF('Lease Cycles'!$C$23&gt;0,COUNTIF('Lease Cycles'!$BG$23:$BM$23,"&lt;="&amp;BV$6),0)</f>
        <v>0</v>
      </c>
      <c r="BW265" s="25">
        <f>IF('Lease Cycles'!$C$23&gt;0,COUNTIF('Lease Cycles'!$BG$23:$BM$23,"&lt;="&amp;BW$6),0)</f>
        <v>0</v>
      </c>
      <c r="BX265" s="25">
        <f>IF('Lease Cycles'!$C$23&gt;0,COUNTIF('Lease Cycles'!$BG$23:$BM$23,"&lt;="&amp;BX$6),0)</f>
        <v>0</v>
      </c>
      <c r="BY265" s="25">
        <f>IF('Lease Cycles'!$C$23&gt;0,COUNTIF('Lease Cycles'!$BG$23:$BM$23,"&lt;="&amp;BY$6),0)</f>
        <v>0</v>
      </c>
      <c r="BZ265" s="25">
        <f>IF('Lease Cycles'!$C$23&gt;0,COUNTIF('Lease Cycles'!$BG$23:$BM$23,"&lt;="&amp;BZ$6),0)</f>
        <v>0</v>
      </c>
      <c r="CA265" s="25">
        <f>IF('Lease Cycles'!$C$23&gt;0,COUNTIF('Lease Cycles'!$BG$23:$BM$23,"&lt;="&amp;CA$6),0)</f>
        <v>0</v>
      </c>
      <c r="CB265" s="25">
        <f>IF('Lease Cycles'!$C$23&gt;0,COUNTIF('Lease Cycles'!$BG$23:$BM$23,"&lt;="&amp;CB$6),0)</f>
        <v>0</v>
      </c>
      <c r="CC265" s="25">
        <f>IF('Lease Cycles'!$C$23&gt;0,COUNTIF('Lease Cycles'!$BG$23:$BM$23,"&lt;="&amp;CC$6),0)</f>
        <v>0</v>
      </c>
      <c r="CD265" s="25">
        <f>IF('Lease Cycles'!$C$23&gt;0,COUNTIF('Lease Cycles'!$BG$23:$BM$23,"&lt;="&amp;CD$6),0)</f>
        <v>0</v>
      </c>
      <c r="CE265" s="25">
        <f>IF('Lease Cycles'!$C$23&gt;0,COUNTIF('Lease Cycles'!$BG$23:$BM$23,"&lt;="&amp;CE$6),0)</f>
        <v>0</v>
      </c>
      <c r="CF265" s="25">
        <f>IF('Lease Cycles'!$C$23&gt;0,COUNTIF('Lease Cycles'!$BG$23:$BM$23,"&lt;="&amp;CF$6),0)</f>
        <v>0</v>
      </c>
      <c r="CG265" s="25">
        <f>IF('Lease Cycles'!$C$23&gt;0,COUNTIF('Lease Cycles'!$BG$23:$BM$23,"&lt;="&amp;CG$6),0)</f>
        <v>0</v>
      </c>
      <c r="CH265" s="25">
        <f>IF('Lease Cycles'!$C$23&gt;0,COUNTIF('Lease Cycles'!$BG$23:$BM$23,"&lt;="&amp;CH$6),0)</f>
        <v>0</v>
      </c>
      <c r="CI265" s="25">
        <f>IF('Lease Cycles'!$C$23&gt;0,COUNTIF('Lease Cycles'!$BG$23:$BM$23,"&lt;="&amp;CI$6),0)</f>
        <v>0</v>
      </c>
      <c r="CJ265" s="25">
        <f>IF('Lease Cycles'!$C$23&gt;0,COUNTIF('Lease Cycles'!$BG$23:$BM$23,"&lt;="&amp;CJ$6),0)</f>
        <v>0</v>
      </c>
      <c r="CK265" s="25">
        <f>IF('Lease Cycles'!$C$23&gt;0,COUNTIF('Lease Cycles'!$BG$23:$BM$23,"&lt;="&amp;CK$6),0)</f>
        <v>0</v>
      </c>
      <c r="CL265" s="25">
        <f>IF('Lease Cycles'!$C$23&gt;0,COUNTIF('Lease Cycles'!$BG$23:$BM$23,"&lt;="&amp;CL$6),0)</f>
        <v>0</v>
      </c>
      <c r="CM265" s="25">
        <f>IF('Lease Cycles'!$C$23&gt;0,COUNTIF('Lease Cycles'!$BG$23:$BM$23,"&lt;="&amp;CM$6),0)</f>
        <v>0</v>
      </c>
      <c r="CN265" s="25">
        <f>IF('Lease Cycles'!$C$23&gt;0,COUNTIF('Lease Cycles'!$BG$23:$BM$23,"&lt;="&amp;CN$6),0)</f>
        <v>0</v>
      </c>
      <c r="CO265" s="25">
        <f>IF('Lease Cycles'!$C$23&gt;0,COUNTIF('Lease Cycles'!$BG$23:$BM$23,"&lt;="&amp;CO$6),0)</f>
        <v>0</v>
      </c>
      <c r="CP265" s="25">
        <f>IF('Lease Cycles'!$C$23&gt;0,COUNTIF('Lease Cycles'!$BG$23:$BM$23,"&lt;="&amp;CP$6),0)</f>
        <v>0</v>
      </c>
      <c r="CQ265" s="25">
        <f>IF('Lease Cycles'!$C$23&gt;0,COUNTIF('Lease Cycles'!$BG$23:$BM$23,"&lt;="&amp;CQ$6),0)</f>
        <v>0</v>
      </c>
      <c r="CR265" s="25">
        <f>IF('Lease Cycles'!$C$23&gt;0,COUNTIF('Lease Cycles'!$BG$23:$BM$23,"&lt;="&amp;CR$6),0)</f>
        <v>0</v>
      </c>
      <c r="CS265" s="25">
        <f>IF('Lease Cycles'!$C$23&gt;0,COUNTIF('Lease Cycles'!$BG$23:$BM$23,"&lt;="&amp;CS$6),0)</f>
        <v>0</v>
      </c>
      <c r="CT265" s="25">
        <f>IF('Lease Cycles'!$C$23&gt;0,COUNTIF('Lease Cycles'!$BG$23:$BM$23,"&lt;="&amp;CT$6),0)</f>
        <v>0</v>
      </c>
      <c r="CU265" s="25">
        <f>IF('Lease Cycles'!$C$23&gt;0,COUNTIF('Lease Cycles'!$BG$23:$BM$23,"&lt;="&amp;CU$6),0)</f>
        <v>0</v>
      </c>
      <c r="CV265" s="25">
        <f>IF('Lease Cycles'!$C$23&gt;0,COUNTIF('Lease Cycles'!$BG$23:$BM$23,"&lt;="&amp;CV$6),0)</f>
        <v>0</v>
      </c>
      <c r="CW265" s="25">
        <f>IF('Lease Cycles'!$C$23&gt;0,COUNTIF('Lease Cycles'!$BG$23:$BM$23,"&lt;="&amp;CW$6),0)</f>
        <v>0</v>
      </c>
      <c r="CX265" s="25">
        <f>IF('Lease Cycles'!$C$23&gt;0,COUNTIF('Lease Cycles'!$BG$23:$BM$23,"&lt;="&amp;CX$6),0)</f>
        <v>0</v>
      </c>
      <c r="CY265" s="25">
        <f>IF('Lease Cycles'!$C$23&gt;0,COUNTIF('Lease Cycles'!$BG$23:$BM$23,"&lt;="&amp;CY$6),0)</f>
        <v>0</v>
      </c>
      <c r="CZ265" s="25">
        <f>IF('Lease Cycles'!$C$23&gt;0,COUNTIF('Lease Cycles'!$BG$23:$BM$23,"&lt;="&amp;CZ$6),0)</f>
        <v>0</v>
      </c>
      <c r="DA265" s="25">
        <f>IF('Lease Cycles'!$C$23&gt;0,COUNTIF('Lease Cycles'!$BG$23:$BM$23,"&lt;="&amp;DA$6),0)</f>
        <v>0</v>
      </c>
      <c r="DB265" s="25">
        <f>IF('Lease Cycles'!$C$23&gt;0,COUNTIF('Lease Cycles'!$BG$23:$BM$23,"&lt;="&amp;DB$6),0)</f>
        <v>0</v>
      </c>
      <c r="DC265" s="25">
        <f>IF('Lease Cycles'!$C$23&gt;0,COUNTIF('Lease Cycles'!$BG$23:$BM$23,"&lt;="&amp;DC$6),0)</f>
        <v>0</v>
      </c>
      <c r="DD265" s="25">
        <f>IF('Lease Cycles'!$C$23&gt;0,COUNTIF('Lease Cycles'!$BG$23:$BM$23,"&lt;="&amp;DD$6),0)</f>
        <v>0</v>
      </c>
      <c r="DE265" s="25">
        <f>IF('Lease Cycles'!$C$23&gt;0,COUNTIF('Lease Cycles'!$BG$23:$BM$23,"&lt;="&amp;DE$6),0)</f>
        <v>0</v>
      </c>
      <c r="DF265" s="25">
        <f>IF('Lease Cycles'!$C$23&gt;0,COUNTIF('Lease Cycles'!$BG$23:$BM$23,"&lt;="&amp;DF$6),0)</f>
        <v>0</v>
      </c>
      <c r="DG265" s="25">
        <f>IF('Lease Cycles'!$C$23&gt;0,COUNTIF('Lease Cycles'!$BG$23:$BM$23,"&lt;="&amp;DG$6),0)</f>
        <v>0</v>
      </c>
      <c r="DH265" s="25">
        <f>IF('Lease Cycles'!$C$23&gt;0,COUNTIF('Lease Cycles'!$BG$23:$BM$23,"&lt;="&amp;DH$6),0)</f>
        <v>0</v>
      </c>
      <c r="DI265" s="25">
        <f>IF('Lease Cycles'!$C$23&gt;0,COUNTIF('Lease Cycles'!$BG$23:$BM$23,"&lt;="&amp;DI$6),0)</f>
        <v>0</v>
      </c>
      <c r="DJ265" s="25">
        <f>IF('Lease Cycles'!$C$23&gt;0,COUNTIF('Lease Cycles'!$BG$23:$BM$23,"&lt;="&amp;DJ$6),0)</f>
        <v>0</v>
      </c>
      <c r="DK265" s="25">
        <f>IF('Lease Cycles'!$C$23&gt;0,COUNTIF('Lease Cycles'!$BG$23:$BM$23,"&lt;="&amp;DK$6),0)</f>
        <v>0</v>
      </c>
      <c r="DL265" s="25">
        <f>IF('Lease Cycles'!$C$23&gt;0,COUNTIF('Lease Cycles'!$BG$23:$BM$23,"&lt;="&amp;DL$6),0)</f>
        <v>0</v>
      </c>
      <c r="DM265" s="25">
        <f>IF('Lease Cycles'!$C$23&gt;0,COUNTIF('Lease Cycles'!$BG$23:$BM$23,"&lt;="&amp;DM$6),0)</f>
        <v>0</v>
      </c>
      <c r="DN265" s="25">
        <f>IF('Lease Cycles'!$C$23&gt;0,COUNTIF('Lease Cycles'!$BG$23:$BM$23,"&lt;="&amp;DN$6),0)</f>
        <v>0</v>
      </c>
      <c r="DO265" s="25">
        <f>IF('Lease Cycles'!$C$23&gt;0,COUNTIF('Lease Cycles'!$BG$23:$BM$23,"&lt;="&amp;DO$6),0)</f>
        <v>0</v>
      </c>
      <c r="DP265" s="25">
        <f>IF('Lease Cycles'!$C$23&gt;0,COUNTIF('Lease Cycles'!$BG$23:$BM$23,"&lt;="&amp;DP$6),0)</f>
        <v>0</v>
      </c>
      <c r="DQ265" s="25">
        <f>IF('Lease Cycles'!$C$23&gt;0,COUNTIF('Lease Cycles'!$BG$23:$BM$23,"&lt;="&amp;DQ$6),0)</f>
        <v>0</v>
      </c>
      <c r="DR265" s="25">
        <f>IF('Lease Cycles'!$C$23&gt;0,COUNTIF('Lease Cycles'!$BG$23:$BM$23,"&lt;="&amp;DR$6),0)</f>
        <v>0</v>
      </c>
      <c r="DS265" s="25">
        <f>IF('Lease Cycles'!$C$23&gt;0,COUNTIF('Lease Cycles'!$BG$23:$BM$23,"&lt;="&amp;DS$6),0)</f>
        <v>0</v>
      </c>
      <c r="DT265" s="25">
        <f>IF('Lease Cycles'!$C$23&gt;0,COUNTIF('Lease Cycles'!$BG$23:$BM$23,"&lt;="&amp;DT$6),0)</f>
        <v>0</v>
      </c>
      <c r="DU265" s="25">
        <f>IF('Lease Cycles'!$C$23&gt;0,COUNTIF('Lease Cycles'!$BG$23:$BM$23,"&lt;="&amp;DU$6),0)</f>
        <v>0</v>
      </c>
      <c r="DV265" s="25">
        <f>IF('Lease Cycles'!$C$23&gt;0,COUNTIF('Lease Cycles'!$BG$23:$BM$23,"&lt;="&amp;DV$6),0)</f>
        <v>0</v>
      </c>
      <c r="DW265" s="25">
        <f>IF('Lease Cycles'!$C$23&gt;0,COUNTIF('Lease Cycles'!$BG$23:$BM$23,"&lt;="&amp;DW$6),0)</f>
        <v>0</v>
      </c>
      <c r="DX265" s="25">
        <f>IF('Lease Cycles'!$C$23&gt;0,COUNTIF('Lease Cycles'!$BG$23:$BM$23,"&lt;="&amp;DX$6),0)</f>
        <v>0</v>
      </c>
      <c r="DY265" s="25">
        <f>IF('Lease Cycles'!$C$23&gt;0,COUNTIF('Lease Cycles'!$BG$23:$BM$23,"&lt;="&amp;DY$6),0)</f>
        <v>0</v>
      </c>
      <c r="DZ265" s="25">
        <f>IF('Lease Cycles'!$C$23&gt;0,COUNTIF('Lease Cycles'!$BG$23:$BM$23,"&lt;="&amp;DZ$6),0)</f>
        <v>0</v>
      </c>
      <c r="EA265" s="25">
        <f>IF('Lease Cycles'!$C$23&gt;0,COUNTIF('Lease Cycles'!$BG$23:$BM$23,"&lt;="&amp;EA$6),0)</f>
        <v>0</v>
      </c>
      <c r="EB265" s="25">
        <f>IF('Lease Cycles'!$C$23&gt;0,COUNTIF('Lease Cycles'!$BG$23:$BM$23,"&lt;="&amp;EB$6),0)</f>
        <v>0</v>
      </c>
      <c r="EC265" s="25">
        <f>IF('Lease Cycles'!$C$23&gt;0,COUNTIF('Lease Cycles'!$BG$23:$BM$23,"&lt;="&amp;EC$6),0)</f>
        <v>0</v>
      </c>
      <c r="ED265" s="25">
        <f>IF('Lease Cycles'!$C$23&gt;0,COUNTIF('Lease Cycles'!$BG$23:$BM$23,"&lt;="&amp;ED$6),0)</f>
        <v>0</v>
      </c>
      <c r="EE265" s="25">
        <f>IF('Lease Cycles'!$C$23&gt;0,COUNTIF('Lease Cycles'!$BG$23:$BM$23,"&lt;="&amp;EE$6),0)</f>
        <v>0</v>
      </c>
      <c r="EF265" s="25">
        <f>IF('Lease Cycles'!$C$23&gt;0,COUNTIF('Lease Cycles'!$BG$23:$BM$23,"&lt;="&amp;EF$6),0)</f>
        <v>0</v>
      </c>
      <c r="EG265" s="25">
        <f>IF('Lease Cycles'!$C$23&gt;0,COUNTIF('Lease Cycles'!$BG$23:$BM$23,"&lt;="&amp;EG$6),0)</f>
        <v>0</v>
      </c>
      <c r="EH265" s="25">
        <f>IF('Lease Cycles'!$C$23&gt;0,COUNTIF('Lease Cycles'!$BG$23:$BM$23,"&lt;="&amp;EH$6),0)</f>
        <v>0</v>
      </c>
      <c r="EI265" s="25">
        <f>IF('Lease Cycles'!$C$23&gt;0,COUNTIF('Lease Cycles'!$BG$23:$BM$23,"&lt;="&amp;EI$6),0)</f>
        <v>0</v>
      </c>
      <c r="EJ265" s="25">
        <f>IF('Lease Cycles'!$C$23&gt;0,COUNTIF('Lease Cycles'!$BG$23:$BM$23,"&lt;="&amp;EJ$6),0)</f>
        <v>0</v>
      </c>
      <c r="EK265" s="25">
        <f>IF('Lease Cycles'!$C$23&gt;0,COUNTIF('Lease Cycles'!$BG$23:$BM$23,"&lt;="&amp;EK$6),0)</f>
        <v>0</v>
      </c>
      <c r="EL265" s="25">
        <f>IF('Lease Cycles'!$C$23&gt;0,COUNTIF('Lease Cycles'!$BG$23:$BM$23,"&lt;="&amp;EL$6),0)</f>
        <v>0</v>
      </c>
      <c r="EM265" s="25">
        <f>IF('Lease Cycles'!$C$23&gt;0,COUNTIF('Lease Cycles'!$BG$23:$BM$23,"&lt;="&amp;EM$6),0)</f>
        <v>0</v>
      </c>
      <c r="EN265" s="25">
        <f>IF('Lease Cycles'!$C$23&gt;0,COUNTIF('Lease Cycles'!$BG$23:$BM$23,"&lt;="&amp;EN$6),0)</f>
        <v>0</v>
      </c>
      <c r="EO265" s="25">
        <f>IF('Lease Cycles'!$C$23&gt;0,COUNTIF('Lease Cycles'!$BG$23:$BM$23,"&lt;="&amp;EO$6),0)</f>
        <v>0</v>
      </c>
      <c r="EP265" s="25">
        <f>IF('Lease Cycles'!$C$23&gt;0,COUNTIF('Lease Cycles'!$BG$23:$BM$23,"&lt;="&amp;EP$6),0)</f>
        <v>0</v>
      </c>
      <c r="EQ265" s="25">
        <f>IF('Lease Cycles'!$C$23&gt;0,COUNTIF('Lease Cycles'!$BG$23:$BM$23,"&lt;="&amp;EQ$6),0)</f>
        <v>0</v>
      </c>
      <c r="ER265" s="25">
        <f>IF('Lease Cycles'!$C$23&gt;0,COUNTIF('Lease Cycles'!$BG$23:$BM$23,"&lt;="&amp;ER$6),0)</f>
        <v>0</v>
      </c>
      <c r="ES265" s="25">
        <f>IF('Lease Cycles'!$C$23&gt;0,COUNTIF('Lease Cycles'!$BG$23:$BM$23,"&lt;="&amp;ES$6),0)</f>
        <v>0</v>
      </c>
      <c r="ET265" s="25">
        <f>IF('Lease Cycles'!$C$23&gt;0,COUNTIF('Lease Cycles'!$BG$23:$BM$23,"&lt;="&amp;ET$6),0)</f>
        <v>0</v>
      </c>
    </row>
    <row r="266">
      <c r="A266" s="103">
        <v>16</v>
      </c>
      <c r="B266" s="23" t="str">
        <f>IF('Lease Cycles'!$B$23="","(empty slot)",'Lease Cycles'!$B$23)</f>
        <v>(empty slot)</v>
      </c>
      <c r="C266" s="23" t="s">
        <v>673</v>
      </c>
      <c r="D266" s="104" t="s">
        <v>674</v>
      </c>
      <c r="E266" s="25">
        <f>'Lease Cycles'!$AL$23</f>
        <v>0</v>
      </c>
      <c r="S266" s="25">
        <f>IF(S265=0,-1,S$6-INDEX('Lease Cycles'!$BG$23:$BM$23,1,S265))</f>
        <v>-1</v>
      </c>
      <c r="T266" s="25">
        <f>IF(T265=0,-1,T$6-INDEX('Lease Cycles'!$BG$23:$BM$23,1,T265))</f>
        <v>-1</v>
      </c>
      <c r="U266" s="25">
        <f>IF(U265=0,-1,U$6-INDEX('Lease Cycles'!$BG$23:$BM$23,1,U265))</f>
        <v>-1</v>
      </c>
      <c r="V266" s="25">
        <f>IF(V265=0,-1,V$6-INDEX('Lease Cycles'!$BG$23:$BM$23,1,V265))</f>
        <v>-1</v>
      </c>
      <c r="W266" s="25">
        <f>IF(W265=0,-1,W$6-INDEX('Lease Cycles'!$BG$23:$BM$23,1,W265))</f>
        <v>-1</v>
      </c>
      <c r="X266" s="25">
        <f>IF(X265=0,-1,X$6-INDEX('Lease Cycles'!$BG$23:$BM$23,1,X265))</f>
        <v>-1</v>
      </c>
      <c r="Y266" s="25">
        <f>IF(Y265=0,-1,Y$6-INDEX('Lease Cycles'!$BG$23:$BM$23,1,Y265))</f>
        <v>-1</v>
      </c>
      <c r="Z266" s="25">
        <f>IF(Z265=0,-1,Z$6-INDEX('Lease Cycles'!$BG$23:$BM$23,1,Z265))</f>
        <v>-1</v>
      </c>
      <c r="AA266" s="25">
        <f>IF(AA265=0,-1,AA$6-INDEX('Lease Cycles'!$BG$23:$BM$23,1,AA265))</f>
        <v>-1</v>
      </c>
      <c r="AB266" s="25">
        <f>IF(AB265=0,-1,AB$6-INDEX('Lease Cycles'!$BG$23:$BM$23,1,AB265))</f>
        <v>-1</v>
      </c>
      <c r="AC266" s="25">
        <f>IF(AC265=0,-1,AC$6-INDEX('Lease Cycles'!$BG$23:$BM$23,1,AC265))</f>
        <v>-1</v>
      </c>
      <c r="AD266" s="25">
        <f>IF(AD265=0,-1,AD$6-INDEX('Lease Cycles'!$BG$23:$BM$23,1,AD265))</f>
        <v>-1</v>
      </c>
      <c r="AE266" s="25">
        <f>IF(AE265=0,-1,AE$6-INDEX('Lease Cycles'!$BG$23:$BM$23,1,AE265))</f>
        <v>-1</v>
      </c>
      <c r="AF266" s="25">
        <f>IF(AF265=0,-1,AF$6-INDEX('Lease Cycles'!$BG$23:$BM$23,1,AF265))</f>
        <v>-1</v>
      </c>
      <c r="AG266" s="25">
        <f>IF(AG265=0,-1,AG$6-INDEX('Lease Cycles'!$BG$23:$BM$23,1,AG265))</f>
        <v>-1</v>
      </c>
      <c r="AH266" s="25">
        <f>IF(AH265=0,-1,AH$6-INDEX('Lease Cycles'!$BG$23:$BM$23,1,AH265))</f>
        <v>-1</v>
      </c>
      <c r="AI266" s="25">
        <f>IF(AI265=0,-1,AI$6-INDEX('Lease Cycles'!$BG$23:$BM$23,1,AI265))</f>
        <v>-1</v>
      </c>
      <c r="AJ266" s="25">
        <f>IF(AJ265=0,-1,AJ$6-INDEX('Lease Cycles'!$BG$23:$BM$23,1,AJ265))</f>
        <v>-1</v>
      </c>
      <c r="AK266" s="25">
        <f>IF(AK265=0,-1,AK$6-INDEX('Lease Cycles'!$BG$23:$BM$23,1,AK265))</f>
        <v>-1</v>
      </c>
      <c r="AL266" s="25">
        <f>IF(AL265=0,-1,AL$6-INDEX('Lease Cycles'!$BG$23:$BM$23,1,AL265))</f>
        <v>-1</v>
      </c>
      <c r="AM266" s="25">
        <f>IF(AM265=0,-1,AM$6-INDEX('Lease Cycles'!$BG$23:$BM$23,1,AM265))</f>
        <v>-1</v>
      </c>
      <c r="AN266" s="25">
        <f>IF(AN265=0,-1,AN$6-INDEX('Lease Cycles'!$BG$23:$BM$23,1,AN265))</f>
        <v>-1</v>
      </c>
      <c r="AO266" s="25">
        <f>IF(AO265=0,-1,AO$6-INDEX('Lease Cycles'!$BG$23:$BM$23,1,AO265))</f>
        <v>-1</v>
      </c>
      <c r="AP266" s="25">
        <f>IF(AP265=0,-1,AP$6-INDEX('Lease Cycles'!$BG$23:$BM$23,1,AP265))</f>
        <v>-1</v>
      </c>
      <c r="AQ266" s="25">
        <f>IF(AQ265=0,-1,AQ$6-INDEX('Lease Cycles'!$BG$23:$BM$23,1,AQ265))</f>
        <v>-1</v>
      </c>
      <c r="AR266" s="25">
        <f>IF(AR265=0,-1,AR$6-INDEX('Lease Cycles'!$BG$23:$BM$23,1,AR265))</f>
        <v>-1</v>
      </c>
      <c r="AS266" s="25">
        <f>IF(AS265=0,-1,AS$6-INDEX('Lease Cycles'!$BG$23:$BM$23,1,AS265))</f>
        <v>-1</v>
      </c>
      <c r="AT266" s="25">
        <f>IF(AT265=0,-1,AT$6-INDEX('Lease Cycles'!$BG$23:$BM$23,1,AT265))</f>
        <v>-1</v>
      </c>
      <c r="AU266" s="25">
        <f>IF(AU265=0,-1,AU$6-INDEX('Lease Cycles'!$BG$23:$BM$23,1,AU265))</f>
        <v>-1</v>
      </c>
      <c r="AV266" s="25">
        <f>IF(AV265=0,-1,AV$6-INDEX('Lease Cycles'!$BG$23:$BM$23,1,AV265))</f>
        <v>-1</v>
      </c>
      <c r="AW266" s="25">
        <f>IF(AW265=0,-1,AW$6-INDEX('Lease Cycles'!$BG$23:$BM$23,1,AW265))</f>
        <v>-1</v>
      </c>
      <c r="AX266" s="25">
        <f>IF(AX265=0,-1,AX$6-INDEX('Lease Cycles'!$BG$23:$BM$23,1,AX265))</f>
        <v>-1</v>
      </c>
      <c r="AY266" s="25">
        <f>IF(AY265=0,-1,AY$6-INDEX('Lease Cycles'!$BG$23:$BM$23,1,AY265))</f>
        <v>-1</v>
      </c>
      <c r="AZ266" s="25">
        <f>IF(AZ265=0,-1,AZ$6-INDEX('Lease Cycles'!$BG$23:$BM$23,1,AZ265))</f>
        <v>-1</v>
      </c>
      <c r="BA266" s="25">
        <f>IF(BA265=0,-1,BA$6-INDEX('Lease Cycles'!$BG$23:$BM$23,1,BA265))</f>
        <v>-1</v>
      </c>
      <c r="BB266" s="25">
        <f>IF(BB265=0,-1,BB$6-INDEX('Lease Cycles'!$BG$23:$BM$23,1,BB265))</f>
        <v>-1</v>
      </c>
      <c r="BC266" s="25">
        <f>IF(BC265=0,-1,BC$6-INDEX('Lease Cycles'!$BG$23:$BM$23,1,BC265))</f>
        <v>-1</v>
      </c>
      <c r="BD266" s="25">
        <f>IF(BD265=0,-1,BD$6-INDEX('Lease Cycles'!$BG$23:$BM$23,1,BD265))</f>
        <v>-1</v>
      </c>
      <c r="BE266" s="25">
        <f>IF(BE265=0,-1,BE$6-INDEX('Lease Cycles'!$BG$23:$BM$23,1,BE265))</f>
        <v>-1</v>
      </c>
      <c r="BF266" s="25">
        <f>IF(BF265=0,-1,BF$6-INDEX('Lease Cycles'!$BG$23:$BM$23,1,BF265))</f>
        <v>-1</v>
      </c>
      <c r="BG266" s="25">
        <f>IF(BG265=0,-1,BG$6-INDEX('Lease Cycles'!$BG$23:$BM$23,1,BG265))</f>
        <v>-1</v>
      </c>
      <c r="BH266" s="25">
        <f>IF(BH265=0,-1,BH$6-INDEX('Lease Cycles'!$BG$23:$BM$23,1,BH265))</f>
        <v>-1</v>
      </c>
      <c r="BI266" s="25">
        <f>IF(BI265=0,-1,BI$6-INDEX('Lease Cycles'!$BG$23:$BM$23,1,BI265))</f>
        <v>-1</v>
      </c>
      <c r="BJ266" s="25">
        <f>IF(BJ265=0,-1,BJ$6-INDEX('Lease Cycles'!$BG$23:$BM$23,1,BJ265))</f>
        <v>-1</v>
      </c>
      <c r="BK266" s="25">
        <f>IF(BK265=0,-1,BK$6-INDEX('Lease Cycles'!$BG$23:$BM$23,1,BK265))</f>
        <v>-1</v>
      </c>
      <c r="BL266" s="25">
        <f>IF(BL265=0,-1,BL$6-INDEX('Lease Cycles'!$BG$23:$BM$23,1,BL265))</f>
        <v>-1</v>
      </c>
      <c r="BM266" s="25">
        <f>IF(BM265=0,-1,BM$6-INDEX('Lease Cycles'!$BG$23:$BM$23,1,BM265))</f>
        <v>-1</v>
      </c>
      <c r="BN266" s="25">
        <f>IF(BN265=0,-1,BN$6-INDEX('Lease Cycles'!$BG$23:$BM$23,1,BN265))</f>
        <v>-1</v>
      </c>
      <c r="BO266" s="25">
        <f>IF(BO265=0,-1,BO$6-INDEX('Lease Cycles'!$BG$23:$BM$23,1,BO265))</f>
        <v>-1</v>
      </c>
      <c r="BP266" s="25">
        <f>IF(BP265=0,-1,BP$6-INDEX('Lease Cycles'!$BG$23:$BM$23,1,BP265))</f>
        <v>-1</v>
      </c>
      <c r="BQ266" s="25">
        <f>IF(BQ265=0,-1,BQ$6-INDEX('Lease Cycles'!$BG$23:$BM$23,1,BQ265))</f>
        <v>-1</v>
      </c>
      <c r="BR266" s="25">
        <f>IF(BR265=0,-1,BR$6-INDEX('Lease Cycles'!$BG$23:$BM$23,1,BR265))</f>
        <v>-1</v>
      </c>
      <c r="BS266" s="25">
        <f>IF(BS265=0,-1,BS$6-INDEX('Lease Cycles'!$BG$23:$BM$23,1,BS265))</f>
        <v>-1</v>
      </c>
      <c r="BT266" s="25">
        <f>IF(BT265=0,-1,BT$6-INDEX('Lease Cycles'!$BG$23:$BM$23,1,BT265))</f>
        <v>-1</v>
      </c>
      <c r="BU266" s="25">
        <f>IF(BU265=0,-1,BU$6-INDEX('Lease Cycles'!$BG$23:$BM$23,1,BU265))</f>
        <v>-1</v>
      </c>
      <c r="BV266" s="25">
        <f>IF(BV265=0,-1,BV$6-INDEX('Lease Cycles'!$BG$23:$BM$23,1,BV265))</f>
        <v>-1</v>
      </c>
      <c r="BW266" s="25">
        <f>IF(BW265=0,-1,BW$6-INDEX('Lease Cycles'!$BG$23:$BM$23,1,BW265))</f>
        <v>-1</v>
      </c>
      <c r="BX266" s="25">
        <f>IF(BX265=0,-1,BX$6-INDEX('Lease Cycles'!$BG$23:$BM$23,1,BX265))</f>
        <v>-1</v>
      </c>
      <c r="BY266" s="25">
        <f>IF(BY265=0,-1,BY$6-INDEX('Lease Cycles'!$BG$23:$BM$23,1,BY265))</f>
        <v>-1</v>
      </c>
      <c r="BZ266" s="25">
        <f>IF(BZ265=0,-1,BZ$6-INDEX('Lease Cycles'!$BG$23:$BM$23,1,BZ265))</f>
        <v>-1</v>
      </c>
      <c r="CA266" s="25">
        <f>IF(CA265=0,-1,CA$6-INDEX('Lease Cycles'!$BG$23:$BM$23,1,CA265))</f>
        <v>-1</v>
      </c>
      <c r="CB266" s="25">
        <f>IF(CB265=0,-1,CB$6-INDEX('Lease Cycles'!$BG$23:$BM$23,1,CB265))</f>
        <v>-1</v>
      </c>
      <c r="CC266" s="25">
        <f>IF(CC265=0,-1,CC$6-INDEX('Lease Cycles'!$BG$23:$BM$23,1,CC265))</f>
        <v>-1</v>
      </c>
      <c r="CD266" s="25">
        <f>IF(CD265=0,-1,CD$6-INDEX('Lease Cycles'!$BG$23:$BM$23,1,CD265))</f>
        <v>-1</v>
      </c>
      <c r="CE266" s="25">
        <f>IF(CE265=0,-1,CE$6-INDEX('Lease Cycles'!$BG$23:$BM$23,1,CE265))</f>
        <v>-1</v>
      </c>
      <c r="CF266" s="25">
        <f>IF(CF265=0,-1,CF$6-INDEX('Lease Cycles'!$BG$23:$BM$23,1,CF265))</f>
        <v>-1</v>
      </c>
      <c r="CG266" s="25">
        <f>IF(CG265=0,-1,CG$6-INDEX('Lease Cycles'!$BG$23:$BM$23,1,CG265))</f>
        <v>-1</v>
      </c>
      <c r="CH266" s="25">
        <f>IF(CH265=0,-1,CH$6-INDEX('Lease Cycles'!$BG$23:$BM$23,1,CH265))</f>
        <v>-1</v>
      </c>
      <c r="CI266" s="25">
        <f>IF(CI265=0,-1,CI$6-INDEX('Lease Cycles'!$BG$23:$BM$23,1,CI265))</f>
        <v>-1</v>
      </c>
      <c r="CJ266" s="25">
        <f>IF(CJ265=0,-1,CJ$6-INDEX('Lease Cycles'!$BG$23:$BM$23,1,CJ265))</f>
        <v>-1</v>
      </c>
      <c r="CK266" s="25">
        <f>IF(CK265=0,-1,CK$6-INDEX('Lease Cycles'!$BG$23:$BM$23,1,CK265))</f>
        <v>-1</v>
      </c>
      <c r="CL266" s="25">
        <f>IF(CL265=0,-1,CL$6-INDEX('Lease Cycles'!$BG$23:$BM$23,1,CL265))</f>
        <v>-1</v>
      </c>
      <c r="CM266" s="25">
        <f>IF(CM265=0,-1,CM$6-INDEX('Lease Cycles'!$BG$23:$BM$23,1,CM265))</f>
        <v>-1</v>
      </c>
      <c r="CN266" s="25">
        <f>IF(CN265=0,-1,CN$6-INDEX('Lease Cycles'!$BG$23:$BM$23,1,CN265))</f>
        <v>-1</v>
      </c>
      <c r="CO266" s="25">
        <f>IF(CO265=0,-1,CO$6-INDEX('Lease Cycles'!$BG$23:$BM$23,1,CO265))</f>
        <v>-1</v>
      </c>
      <c r="CP266" s="25">
        <f>IF(CP265=0,-1,CP$6-INDEX('Lease Cycles'!$BG$23:$BM$23,1,CP265))</f>
        <v>-1</v>
      </c>
      <c r="CQ266" s="25">
        <f>IF(CQ265=0,-1,CQ$6-INDEX('Lease Cycles'!$BG$23:$BM$23,1,CQ265))</f>
        <v>-1</v>
      </c>
      <c r="CR266" s="25">
        <f>IF(CR265=0,-1,CR$6-INDEX('Lease Cycles'!$BG$23:$BM$23,1,CR265))</f>
        <v>-1</v>
      </c>
      <c r="CS266" s="25">
        <f>IF(CS265=0,-1,CS$6-INDEX('Lease Cycles'!$BG$23:$BM$23,1,CS265))</f>
        <v>-1</v>
      </c>
      <c r="CT266" s="25">
        <f>IF(CT265=0,-1,CT$6-INDEX('Lease Cycles'!$BG$23:$BM$23,1,CT265))</f>
        <v>-1</v>
      </c>
      <c r="CU266" s="25">
        <f>IF(CU265=0,-1,CU$6-INDEX('Lease Cycles'!$BG$23:$BM$23,1,CU265))</f>
        <v>-1</v>
      </c>
      <c r="CV266" s="25">
        <f>IF(CV265=0,-1,CV$6-INDEX('Lease Cycles'!$BG$23:$BM$23,1,CV265))</f>
        <v>-1</v>
      </c>
      <c r="CW266" s="25">
        <f>IF(CW265=0,-1,CW$6-INDEX('Lease Cycles'!$BG$23:$BM$23,1,CW265))</f>
        <v>-1</v>
      </c>
      <c r="CX266" s="25">
        <f>IF(CX265=0,-1,CX$6-INDEX('Lease Cycles'!$BG$23:$BM$23,1,CX265))</f>
        <v>-1</v>
      </c>
      <c r="CY266" s="25">
        <f>IF(CY265=0,-1,CY$6-INDEX('Lease Cycles'!$BG$23:$BM$23,1,CY265))</f>
        <v>-1</v>
      </c>
      <c r="CZ266" s="25">
        <f>IF(CZ265=0,-1,CZ$6-INDEX('Lease Cycles'!$BG$23:$BM$23,1,CZ265))</f>
        <v>-1</v>
      </c>
      <c r="DA266" s="25">
        <f>IF(DA265=0,-1,DA$6-INDEX('Lease Cycles'!$BG$23:$BM$23,1,DA265))</f>
        <v>-1</v>
      </c>
      <c r="DB266" s="25">
        <f>IF(DB265=0,-1,DB$6-INDEX('Lease Cycles'!$BG$23:$BM$23,1,DB265))</f>
        <v>-1</v>
      </c>
      <c r="DC266" s="25">
        <f>IF(DC265=0,-1,DC$6-INDEX('Lease Cycles'!$BG$23:$BM$23,1,DC265))</f>
        <v>-1</v>
      </c>
      <c r="DD266" s="25">
        <f>IF(DD265=0,-1,DD$6-INDEX('Lease Cycles'!$BG$23:$BM$23,1,DD265))</f>
        <v>-1</v>
      </c>
      <c r="DE266" s="25">
        <f>IF(DE265=0,-1,DE$6-INDEX('Lease Cycles'!$BG$23:$BM$23,1,DE265))</f>
        <v>-1</v>
      </c>
      <c r="DF266" s="25">
        <f>IF(DF265=0,-1,DF$6-INDEX('Lease Cycles'!$BG$23:$BM$23,1,DF265))</f>
        <v>-1</v>
      </c>
      <c r="DG266" s="25">
        <f>IF(DG265=0,-1,DG$6-INDEX('Lease Cycles'!$BG$23:$BM$23,1,DG265))</f>
        <v>-1</v>
      </c>
      <c r="DH266" s="25">
        <f>IF(DH265=0,-1,DH$6-INDEX('Lease Cycles'!$BG$23:$BM$23,1,DH265))</f>
        <v>-1</v>
      </c>
      <c r="DI266" s="25">
        <f>IF(DI265=0,-1,DI$6-INDEX('Lease Cycles'!$BG$23:$BM$23,1,DI265))</f>
        <v>-1</v>
      </c>
      <c r="DJ266" s="25">
        <f>IF(DJ265=0,-1,DJ$6-INDEX('Lease Cycles'!$BG$23:$BM$23,1,DJ265))</f>
        <v>-1</v>
      </c>
      <c r="DK266" s="25">
        <f>IF(DK265=0,-1,DK$6-INDEX('Lease Cycles'!$BG$23:$BM$23,1,DK265))</f>
        <v>-1</v>
      </c>
      <c r="DL266" s="25">
        <f>IF(DL265=0,-1,DL$6-INDEX('Lease Cycles'!$BG$23:$BM$23,1,DL265))</f>
        <v>-1</v>
      </c>
      <c r="DM266" s="25">
        <f>IF(DM265=0,-1,DM$6-INDEX('Lease Cycles'!$BG$23:$BM$23,1,DM265))</f>
        <v>-1</v>
      </c>
      <c r="DN266" s="25">
        <f>IF(DN265=0,-1,DN$6-INDEX('Lease Cycles'!$BG$23:$BM$23,1,DN265))</f>
        <v>-1</v>
      </c>
      <c r="DO266" s="25">
        <f>IF(DO265=0,-1,DO$6-INDEX('Lease Cycles'!$BG$23:$BM$23,1,DO265))</f>
        <v>-1</v>
      </c>
      <c r="DP266" s="25">
        <f>IF(DP265=0,-1,DP$6-INDEX('Lease Cycles'!$BG$23:$BM$23,1,DP265))</f>
        <v>-1</v>
      </c>
      <c r="DQ266" s="25">
        <f>IF(DQ265=0,-1,DQ$6-INDEX('Lease Cycles'!$BG$23:$BM$23,1,DQ265))</f>
        <v>-1</v>
      </c>
      <c r="DR266" s="25">
        <f>IF(DR265=0,-1,DR$6-INDEX('Lease Cycles'!$BG$23:$BM$23,1,DR265))</f>
        <v>-1</v>
      </c>
      <c r="DS266" s="25">
        <f>IF(DS265=0,-1,DS$6-INDEX('Lease Cycles'!$BG$23:$BM$23,1,DS265))</f>
        <v>-1</v>
      </c>
      <c r="DT266" s="25">
        <f>IF(DT265=0,-1,DT$6-INDEX('Lease Cycles'!$BG$23:$BM$23,1,DT265))</f>
        <v>-1</v>
      </c>
      <c r="DU266" s="25">
        <f>IF(DU265=0,-1,DU$6-INDEX('Lease Cycles'!$BG$23:$BM$23,1,DU265))</f>
        <v>-1</v>
      </c>
      <c r="DV266" s="25">
        <f>IF(DV265=0,-1,DV$6-INDEX('Lease Cycles'!$BG$23:$BM$23,1,DV265))</f>
        <v>-1</v>
      </c>
      <c r="DW266" s="25">
        <f>IF(DW265=0,-1,DW$6-INDEX('Lease Cycles'!$BG$23:$BM$23,1,DW265))</f>
        <v>-1</v>
      </c>
      <c r="DX266" s="25">
        <f>IF(DX265=0,-1,DX$6-INDEX('Lease Cycles'!$BG$23:$BM$23,1,DX265))</f>
        <v>-1</v>
      </c>
      <c r="DY266" s="25">
        <f>IF(DY265=0,-1,DY$6-INDEX('Lease Cycles'!$BG$23:$BM$23,1,DY265))</f>
        <v>-1</v>
      </c>
      <c r="DZ266" s="25">
        <f>IF(DZ265=0,-1,DZ$6-INDEX('Lease Cycles'!$BG$23:$BM$23,1,DZ265))</f>
        <v>-1</v>
      </c>
      <c r="EA266" s="25">
        <f>IF(EA265=0,-1,EA$6-INDEX('Lease Cycles'!$BG$23:$BM$23,1,EA265))</f>
        <v>-1</v>
      </c>
      <c r="EB266" s="25">
        <f>IF(EB265=0,-1,EB$6-INDEX('Lease Cycles'!$BG$23:$BM$23,1,EB265))</f>
        <v>-1</v>
      </c>
      <c r="EC266" s="25">
        <f>IF(EC265=0,-1,EC$6-INDEX('Lease Cycles'!$BG$23:$BM$23,1,EC265))</f>
        <v>-1</v>
      </c>
      <c r="ED266" s="25">
        <f>IF(ED265=0,-1,ED$6-INDEX('Lease Cycles'!$BG$23:$BM$23,1,ED265))</f>
        <v>-1</v>
      </c>
      <c r="EE266" s="25">
        <f>IF(EE265=0,-1,EE$6-INDEX('Lease Cycles'!$BG$23:$BM$23,1,EE265))</f>
        <v>-1</v>
      </c>
      <c r="EF266" s="25">
        <f>IF(EF265=0,-1,EF$6-INDEX('Lease Cycles'!$BG$23:$BM$23,1,EF265))</f>
        <v>-1</v>
      </c>
      <c r="EG266" s="25">
        <f>IF(EG265=0,-1,EG$6-INDEX('Lease Cycles'!$BG$23:$BM$23,1,EG265))</f>
        <v>-1</v>
      </c>
      <c r="EH266" s="25">
        <f>IF(EH265=0,-1,EH$6-INDEX('Lease Cycles'!$BG$23:$BM$23,1,EH265))</f>
        <v>-1</v>
      </c>
      <c r="EI266" s="25">
        <f>IF(EI265=0,-1,EI$6-INDEX('Lease Cycles'!$BG$23:$BM$23,1,EI265))</f>
        <v>-1</v>
      </c>
      <c r="EJ266" s="25">
        <f>IF(EJ265=0,-1,EJ$6-INDEX('Lease Cycles'!$BG$23:$BM$23,1,EJ265))</f>
        <v>-1</v>
      </c>
      <c r="EK266" s="25">
        <f>IF(EK265=0,-1,EK$6-INDEX('Lease Cycles'!$BG$23:$BM$23,1,EK265))</f>
        <v>-1</v>
      </c>
      <c r="EL266" s="25">
        <f>IF(EL265=0,-1,EL$6-INDEX('Lease Cycles'!$BG$23:$BM$23,1,EL265))</f>
        <v>-1</v>
      </c>
      <c r="EM266" s="25">
        <f>IF(EM265=0,-1,EM$6-INDEX('Lease Cycles'!$BG$23:$BM$23,1,EM265))</f>
        <v>-1</v>
      </c>
      <c r="EN266" s="25">
        <f>IF(EN265=0,-1,EN$6-INDEX('Lease Cycles'!$BG$23:$BM$23,1,EN265))</f>
        <v>-1</v>
      </c>
      <c r="EO266" s="25">
        <f>IF(EO265=0,-1,EO$6-INDEX('Lease Cycles'!$BG$23:$BM$23,1,EO265))</f>
        <v>-1</v>
      </c>
      <c r="EP266" s="25">
        <f>IF(EP265=0,-1,EP$6-INDEX('Lease Cycles'!$BG$23:$BM$23,1,EP265))</f>
        <v>-1</v>
      </c>
      <c r="EQ266" s="25">
        <f>IF(EQ265=0,-1,EQ$6-INDEX('Lease Cycles'!$BG$23:$BM$23,1,EQ265))</f>
        <v>-1</v>
      </c>
      <c r="ER266" s="25">
        <f>IF(ER265=0,-1,ER$6-INDEX('Lease Cycles'!$BG$23:$BM$23,1,ER265))</f>
        <v>-1</v>
      </c>
      <c r="ES266" s="25">
        <f>IF(ES265=0,-1,ES$6-INDEX('Lease Cycles'!$BG$23:$BM$23,1,ES265))</f>
        <v>-1</v>
      </c>
      <c r="ET266" s="25">
        <f>IF(ET265=0,-1,ET$6-INDEX('Lease Cycles'!$BG$23:$BM$23,1,ET265))</f>
        <v>-1</v>
      </c>
    </row>
    <row r="267">
      <c r="A267" s="103">
        <v>16</v>
      </c>
      <c r="B267" s="23" t="str">
        <f>IF('Lease Cycles'!$B$23="","(empty slot)",'Lease Cycles'!$B$23)</f>
        <v>(empty slot)</v>
      </c>
      <c r="C267" s="23" t="s">
        <v>675</v>
      </c>
      <c r="D267" s="104" t="s">
        <v>676</v>
      </c>
      <c r="E267" s="25">
        <f>'Lease Cycles'!$AL$23</f>
        <v>0</v>
      </c>
      <c r="S267" s="25">
        <f>IF(S265=0,0,IF(S266&lt;INDEX('Lease Cycles'!$BN$23:$BT$23,1,S265),1,0))</f>
        <v>0</v>
      </c>
      <c r="T267" s="25">
        <f>IF(T265=0,0,IF(T266&lt;INDEX('Lease Cycles'!$BN$23:$BT$23,1,T265),1,0))</f>
        <v>0</v>
      </c>
      <c r="U267" s="25">
        <f>IF(U265=0,0,IF(U266&lt;INDEX('Lease Cycles'!$BN$23:$BT$23,1,U265),1,0))</f>
        <v>0</v>
      </c>
      <c r="V267" s="25">
        <f>IF(V265=0,0,IF(V266&lt;INDEX('Lease Cycles'!$BN$23:$BT$23,1,V265),1,0))</f>
        <v>0</v>
      </c>
      <c r="W267" s="25">
        <f>IF(W265=0,0,IF(W266&lt;INDEX('Lease Cycles'!$BN$23:$BT$23,1,W265),1,0))</f>
        <v>0</v>
      </c>
      <c r="X267" s="25">
        <f>IF(X265=0,0,IF(X266&lt;INDEX('Lease Cycles'!$BN$23:$BT$23,1,X265),1,0))</f>
        <v>0</v>
      </c>
      <c r="Y267" s="25">
        <f>IF(Y265=0,0,IF(Y266&lt;INDEX('Lease Cycles'!$BN$23:$BT$23,1,Y265),1,0))</f>
        <v>0</v>
      </c>
      <c r="Z267" s="25">
        <f>IF(Z265=0,0,IF(Z266&lt;INDEX('Lease Cycles'!$BN$23:$BT$23,1,Z265),1,0))</f>
        <v>0</v>
      </c>
      <c r="AA267" s="25">
        <f>IF(AA265=0,0,IF(AA266&lt;INDEX('Lease Cycles'!$BN$23:$BT$23,1,AA265),1,0))</f>
        <v>0</v>
      </c>
      <c r="AB267" s="25">
        <f>IF(AB265=0,0,IF(AB266&lt;INDEX('Lease Cycles'!$BN$23:$BT$23,1,AB265),1,0))</f>
        <v>0</v>
      </c>
      <c r="AC267" s="25">
        <f>IF(AC265=0,0,IF(AC266&lt;INDEX('Lease Cycles'!$BN$23:$BT$23,1,AC265),1,0))</f>
        <v>0</v>
      </c>
      <c r="AD267" s="25">
        <f>IF(AD265=0,0,IF(AD266&lt;INDEX('Lease Cycles'!$BN$23:$BT$23,1,AD265),1,0))</f>
        <v>0</v>
      </c>
      <c r="AE267" s="25">
        <f>IF(AE265=0,0,IF(AE266&lt;INDEX('Lease Cycles'!$BN$23:$BT$23,1,AE265),1,0))</f>
        <v>0</v>
      </c>
      <c r="AF267" s="25">
        <f>IF(AF265=0,0,IF(AF266&lt;INDEX('Lease Cycles'!$BN$23:$BT$23,1,AF265),1,0))</f>
        <v>0</v>
      </c>
      <c r="AG267" s="25">
        <f>IF(AG265=0,0,IF(AG266&lt;INDEX('Lease Cycles'!$BN$23:$BT$23,1,AG265),1,0))</f>
        <v>0</v>
      </c>
      <c r="AH267" s="25">
        <f>IF(AH265=0,0,IF(AH266&lt;INDEX('Lease Cycles'!$BN$23:$BT$23,1,AH265),1,0))</f>
        <v>0</v>
      </c>
      <c r="AI267" s="25">
        <f>IF(AI265=0,0,IF(AI266&lt;INDEX('Lease Cycles'!$BN$23:$BT$23,1,AI265),1,0))</f>
        <v>0</v>
      </c>
      <c r="AJ267" s="25">
        <f>IF(AJ265=0,0,IF(AJ266&lt;INDEX('Lease Cycles'!$BN$23:$BT$23,1,AJ265),1,0))</f>
        <v>0</v>
      </c>
      <c r="AK267" s="25">
        <f>IF(AK265=0,0,IF(AK266&lt;INDEX('Lease Cycles'!$BN$23:$BT$23,1,AK265),1,0))</f>
        <v>0</v>
      </c>
      <c r="AL267" s="25">
        <f>IF(AL265=0,0,IF(AL266&lt;INDEX('Lease Cycles'!$BN$23:$BT$23,1,AL265),1,0))</f>
        <v>0</v>
      </c>
      <c r="AM267" s="25">
        <f>IF(AM265=0,0,IF(AM266&lt;INDEX('Lease Cycles'!$BN$23:$BT$23,1,AM265),1,0))</f>
        <v>0</v>
      </c>
      <c r="AN267" s="25">
        <f>IF(AN265=0,0,IF(AN266&lt;INDEX('Lease Cycles'!$BN$23:$BT$23,1,AN265),1,0))</f>
        <v>0</v>
      </c>
      <c r="AO267" s="25">
        <f>IF(AO265=0,0,IF(AO266&lt;INDEX('Lease Cycles'!$BN$23:$BT$23,1,AO265),1,0))</f>
        <v>0</v>
      </c>
      <c r="AP267" s="25">
        <f>IF(AP265=0,0,IF(AP266&lt;INDEX('Lease Cycles'!$BN$23:$BT$23,1,AP265),1,0))</f>
        <v>0</v>
      </c>
      <c r="AQ267" s="25">
        <f>IF(AQ265=0,0,IF(AQ266&lt;INDEX('Lease Cycles'!$BN$23:$BT$23,1,AQ265),1,0))</f>
        <v>0</v>
      </c>
      <c r="AR267" s="25">
        <f>IF(AR265=0,0,IF(AR266&lt;INDEX('Lease Cycles'!$BN$23:$BT$23,1,AR265),1,0))</f>
        <v>0</v>
      </c>
      <c r="AS267" s="25">
        <f>IF(AS265=0,0,IF(AS266&lt;INDEX('Lease Cycles'!$BN$23:$BT$23,1,AS265),1,0))</f>
        <v>0</v>
      </c>
      <c r="AT267" s="25">
        <f>IF(AT265=0,0,IF(AT266&lt;INDEX('Lease Cycles'!$BN$23:$BT$23,1,AT265),1,0))</f>
        <v>0</v>
      </c>
      <c r="AU267" s="25">
        <f>IF(AU265=0,0,IF(AU266&lt;INDEX('Lease Cycles'!$BN$23:$BT$23,1,AU265),1,0))</f>
        <v>0</v>
      </c>
      <c r="AV267" s="25">
        <f>IF(AV265=0,0,IF(AV266&lt;INDEX('Lease Cycles'!$BN$23:$BT$23,1,AV265),1,0))</f>
        <v>0</v>
      </c>
      <c r="AW267" s="25">
        <f>IF(AW265=0,0,IF(AW266&lt;INDEX('Lease Cycles'!$BN$23:$BT$23,1,AW265),1,0))</f>
        <v>0</v>
      </c>
      <c r="AX267" s="25">
        <f>IF(AX265=0,0,IF(AX266&lt;INDEX('Lease Cycles'!$BN$23:$BT$23,1,AX265),1,0))</f>
        <v>0</v>
      </c>
      <c r="AY267" s="25">
        <f>IF(AY265=0,0,IF(AY266&lt;INDEX('Lease Cycles'!$BN$23:$BT$23,1,AY265),1,0))</f>
        <v>0</v>
      </c>
      <c r="AZ267" s="25">
        <f>IF(AZ265=0,0,IF(AZ266&lt;INDEX('Lease Cycles'!$BN$23:$BT$23,1,AZ265),1,0))</f>
        <v>0</v>
      </c>
      <c r="BA267" s="25">
        <f>IF(BA265=0,0,IF(BA266&lt;INDEX('Lease Cycles'!$BN$23:$BT$23,1,BA265),1,0))</f>
        <v>0</v>
      </c>
      <c r="BB267" s="25">
        <f>IF(BB265=0,0,IF(BB266&lt;INDEX('Lease Cycles'!$BN$23:$BT$23,1,BB265),1,0))</f>
        <v>0</v>
      </c>
      <c r="BC267" s="25">
        <f>IF(BC265=0,0,IF(BC266&lt;INDEX('Lease Cycles'!$BN$23:$BT$23,1,BC265),1,0))</f>
        <v>0</v>
      </c>
      <c r="BD267" s="25">
        <f>IF(BD265=0,0,IF(BD266&lt;INDEX('Lease Cycles'!$BN$23:$BT$23,1,BD265),1,0))</f>
        <v>0</v>
      </c>
      <c r="BE267" s="25">
        <f>IF(BE265=0,0,IF(BE266&lt;INDEX('Lease Cycles'!$BN$23:$BT$23,1,BE265),1,0))</f>
        <v>0</v>
      </c>
      <c r="BF267" s="25">
        <f>IF(BF265=0,0,IF(BF266&lt;INDEX('Lease Cycles'!$BN$23:$BT$23,1,BF265),1,0))</f>
        <v>0</v>
      </c>
      <c r="BG267" s="25">
        <f>IF(BG265=0,0,IF(BG266&lt;INDEX('Lease Cycles'!$BN$23:$BT$23,1,BG265),1,0))</f>
        <v>0</v>
      </c>
      <c r="BH267" s="25">
        <f>IF(BH265=0,0,IF(BH266&lt;INDEX('Lease Cycles'!$BN$23:$BT$23,1,BH265),1,0))</f>
        <v>0</v>
      </c>
      <c r="BI267" s="25">
        <f>IF(BI265=0,0,IF(BI266&lt;INDEX('Lease Cycles'!$BN$23:$BT$23,1,BI265),1,0))</f>
        <v>0</v>
      </c>
      <c r="BJ267" s="25">
        <f>IF(BJ265=0,0,IF(BJ266&lt;INDEX('Lease Cycles'!$BN$23:$BT$23,1,BJ265),1,0))</f>
        <v>0</v>
      </c>
      <c r="BK267" s="25">
        <f>IF(BK265=0,0,IF(BK266&lt;INDEX('Lease Cycles'!$BN$23:$BT$23,1,BK265),1,0))</f>
        <v>0</v>
      </c>
      <c r="BL267" s="25">
        <f>IF(BL265=0,0,IF(BL266&lt;INDEX('Lease Cycles'!$BN$23:$BT$23,1,BL265),1,0))</f>
        <v>0</v>
      </c>
      <c r="BM267" s="25">
        <f>IF(BM265=0,0,IF(BM266&lt;INDEX('Lease Cycles'!$BN$23:$BT$23,1,BM265),1,0))</f>
        <v>0</v>
      </c>
      <c r="BN267" s="25">
        <f>IF(BN265=0,0,IF(BN266&lt;INDEX('Lease Cycles'!$BN$23:$BT$23,1,BN265),1,0))</f>
        <v>0</v>
      </c>
      <c r="BO267" s="25">
        <f>IF(BO265=0,0,IF(BO266&lt;INDEX('Lease Cycles'!$BN$23:$BT$23,1,BO265),1,0))</f>
        <v>0</v>
      </c>
      <c r="BP267" s="25">
        <f>IF(BP265=0,0,IF(BP266&lt;INDEX('Lease Cycles'!$BN$23:$BT$23,1,BP265),1,0))</f>
        <v>0</v>
      </c>
      <c r="BQ267" s="25">
        <f>IF(BQ265=0,0,IF(BQ266&lt;INDEX('Lease Cycles'!$BN$23:$BT$23,1,BQ265),1,0))</f>
        <v>0</v>
      </c>
      <c r="BR267" s="25">
        <f>IF(BR265=0,0,IF(BR266&lt;INDEX('Lease Cycles'!$BN$23:$BT$23,1,BR265),1,0))</f>
        <v>0</v>
      </c>
      <c r="BS267" s="25">
        <f>IF(BS265=0,0,IF(BS266&lt;INDEX('Lease Cycles'!$BN$23:$BT$23,1,BS265),1,0))</f>
        <v>0</v>
      </c>
      <c r="BT267" s="25">
        <f>IF(BT265=0,0,IF(BT266&lt;INDEX('Lease Cycles'!$BN$23:$BT$23,1,BT265),1,0))</f>
        <v>0</v>
      </c>
      <c r="BU267" s="25">
        <f>IF(BU265=0,0,IF(BU266&lt;INDEX('Lease Cycles'!$BN$23:$BT$23,1,BU265),1,0))</f>
        <v>0</v>
      </c>
      <c r="BV267" s="25">
        <f>IF(BV265=0,0,IF(BV266&lt;INDEX('Lease Cycles'!$BN$23:$BT$23,1,BV265),1,0))</f>
        <v>0</v>
      </c>
      <c r="BW267" s="25">
        <f>IF(BW265=0,0,IF(BW266&lt;INDEX('Lease Cycles'!$BN$23:$BT$23,1,BW265),1,0))</f>
        <v>0</v>
      </c>
      <c r="BX267" s="25">
        <f>IF(BX265=0,0,IF(BX266&lt;INDEX('Lease Cycles'!$BN$23:$BT$23,1,BX265),1,0))</f>
        <v>0</v>
      </c>
      <c r="BY267" s="25">
        <f>IF(BY265=0,0,IF(BY266&lt;INDEX('Lease Cycles'!$BN$23:$BT$23,1,BY265),1,0))</f>
        <v>0</v>
      </c>
      <c r="BZ267" s="25">
        <f>IF(BZ265=0,0,IF(BZ266&lt;INDEX('Lease Cycles'!$BN$23:$BT$23,1,BZ265),1,0))</f>
        <v>0</v>
      </c>
      <c r="CA267" s="25">
        <f>IF(CA265=0,0,IF(CA266&lt;INDEX('Lease Cycles'!$BN$23:$BT$23,1,CA265),1,0))</f>
        <v>0</v>
      </c>
      <c r="CB267" s="25">
        <f>IF(CB265=0,0,IF(CB266&lt;INDEX('Lease Cycles'!$BN$23:$BT$23,1,CB265),1,0))</f>
        <v>0</v>
      </c>
      <c r="CC267" s="25">
        <f>IF(CC265=0,0,IF(CC266&lt;INDEX('Lease Cycles'!$BN$23:$BT$23,1,CC265),1,0))</f>
        <v>0</v>
      </c>
      <c r="CD267" s="25">
        <f>IF(CD265=0,0,IF(CD266&lt;INDEX('Lease Cycles'!$BN$23:$BT$23,1,CD265),1,0))</f>
        <v>0</v>
      </c>
      <c r="CE267" s="25">
        <f>IF(CE265=0,0,IF(CE266&lt;INDEX('Lease Cycles'!$BN$23:$BT$23,1,CE265),1,0))</f>
        <v>0</v>
      </c>
      <c r="CF267" s="25">
        <f>IF(CF265=0,0,IF(CF266&lt;INDEX('Lease Cycles'!$BN$23:$BT$23,1,CF265),1,0))</f>
        <v>0</v>
      </c>
      <c r="CG267" s="25">
        <f>IF(CG265=0,0,IF(CG266&lt;INDEX('Lease Cycles'!$BN$23:$BT$23,1,CG265),1,0))</f>
        <v>0</v>
      </c>
      <c r="CH267" s="25">
        <f>IF(CH265=0,0,IF(CH266&lt;INDEX('Lease Cycles'!$BN$23:$BT$23,1,CH265),1,0))</f>
        <v>0</v>
      </c>
      <c r="CI267" s="25">
        <f>IF(CI265=0,0,IF(CI266&lt;INDEX('Lease Cycles'!$BN$23:$BT$23,1,CI265),1,0))</f>
        <v>0</v>
      </c>
      <c r="CJ267" s="25">
        <f>IF(CJ265=0,0,IF(CJ266&lt;INDEX('Lease Cycles'!$BN$23:$BT$23,1,CJ265),1,0))</f>
        <v>0</v>
      </c>
      <c r="CK267" s="25">
        <f>IF(CK265=0,0,IF(CK266&lt;INDEX('Lease Cycles'!$BN$23:$BT$23,1,CK265),1,0))</f>
        <v>0</v>
      </c>
      <c r="CL267" s="25">
        <f>IF(CL265=0,0,IF(CL266&lt;INDEX('Lease Cycles'!$BN$23:$BT$23,1,CL265),1,0))</f>
        <v>0</v>
      </c>
      <c r="CM267" s="25">
        <f>IF(CM265=0,0,IF(CM266&lt;INDEX('Lease Cycles'!$BN$23:$BT$23,1,CM265),1,0))</f>
        <v>0</v>
      </c>
      <c r="CN267" s="25">
        <f>IF(CN265=0,0,IF(CN266&lt;INDEX('Lease Cycles'!$BN$23:$BT$23,1,CN265),1,0))</f>
        <v>0</v>
      </c>
      <c r="CO267" s="25">
        <f>IF(CO265=0,0,IF(CO266&lt;INDEX('Lease Cycles'!$BN$23:$BT$23,1,CO265),1,0))</f>
        <v>0</v>
      </c>
      <c r="CP267" s="25">
        <f>IF(CP265=0,0,IF(CP266&lt;INDEX('Lease Cycles'!$BN$23:$BT$23,1,CP265),1,0))</f>
        <v>0</v>
      </c>
      <c r="CQ267" s="25">
        <f>IF(CQ265=0,0,IF(CQ266&lt;INDEX('Lease Cycles'!$BN$23:$BT$23,1,CQ265),1,0))</f>
        <v>0</v>
      </c>
      <c r="CR267" s="25">
        <f>IF(CR265=0,0,IF(CR266&lt;INDEX('Lease Cycles'!$BN$23:$BT$23,1,CR265),1,0))</f>
        <v>0</v>
      </c>
      <c r="CS267" s="25">
        <f>IF(CS265=0,0,IF(CS266&lt;INDEX('Lease Cycles'!$BN$23:$BT$23,1,CS265),1,0))</f>
        <v>0</v>
      </c>
      <c r="CT267" s="25">
        <f>IF(CT265=0,0,IF(CT266&lt;INDEX('Lease Cycles'!$BN$23:$BT$23,1,CT265),1,0))</f>
        <v>0</v>
      </c>
      <c r="CU267" s="25">
        <f>IF(CU265=0,0,IF(CU266&lt;INDEX('Lease Cycles'!$BN$23:$BT$23,1,CU265),1,0))</f>
        <v>0</v>
      </c>
      <c r="CV267" s="25">
        <f>IF(CV265=0,0,IF(CV266&lt;INDEX('Lease Cycles'!$BN$23:$BT$23,1,CV265),1,0))</f>
        <v>0</v>
      </c>
      <c r="CW267" s="25">
        <f>IF(CW265=0,0,IF(CW266&lt;INDEX('Lease Cycles'!$BN$23:$BT$23,1,CW265),1,0))</f>
        <v>0</v>
      </c>
      <c r="CX267" s="25">
        <f>IF(CX265=0,0,IF(CX266&lt;INDEX('Lease Cycles'!$BN$23:$BT$23,1,CX265),1,0))</f>
        <v>0</v>
      </c>
      <c r="CY267" s="25">
        <f>IF(CY265=0,0,IF(CY266&lt;INDEX('Lease Cycles'!$BN$23:$BT$23,1,CY265),1,0))</f>
        <v>0</v>
      </c>
      <c r="CZ267" s="25">
        <f>IF(CZ265=0,0,IF(CZ266&lt;INDEX('Lease Cycles'!$BN$23:$BT$23,1,CZ265),1,0))</f>
        <v>0</v>
      </c>
      <c r="DA267" s="25">
        <f>IF(DA265=0,0,IF(DA266&lt;INDEX('Lease Cycles'!$BN$23:$BT$23,1,DA265),1,0))</f>
        <v>0</v>
      </c>
      <c r="DB267" s="25">
        <f>IF(DB265=0,0,IF(DB266&lt;INDEX('Lease Cycles'!$BN$23:$BT$23,1,DB265),1,0))</f>
        <v>0</v>
      </c>
      <c r="DC267" s="25">
        <f>IF(DC265=0,0,IF(DC266&lt;INDEX('Lease Cycles'!$BN$23:$BT$23,1,DC265),1,0))</f>
        <v>0</v>
      </c>
      <c r="DD267" s="25">
        <f>IF(DD265=0,0,IF(DD266&lt;INDEX('Lease Cycles'!$BN$23:$BT$23,1,DD265),1,0))</f>
        <v>0</v>
      </c>
      <c r="DE267" s="25">
        <f>IF(DE265=0,0,IF(DE266&lt;INDEX('Lease Cycles'!$BN$23:$BT$23,1,DE265),1,0))</f>
        <v>0</v>
      </c>
      <c r="DF267" s="25">
        <f>IF(DF265=0,0,IF(DF266&lt;INDEX('Lease Cycles'!$BN$23:$BT$23,1,DF265),1,0))</f>
        <v>0</v>
      </c>
      <c r="DG267" s="25">
        <f>IF(DG265=0,0,IF(DG266&lt;INDEX('Lease Cycles'!$BN$23:$BT$23,1,DG265),1,0))</f>
        <v>0</v>
      </c>
      <c r="DH267" s="25">
        <f>IF(DH265=0,0,IF(DH266&lt;INDEX('Lease Cycles'!$BN$23:$BT$23,1,DH265),1,0))</f>
        <v>0</v>
      </c>
      <c r="DI267" s="25">
        <f>IF(DI265=0,0,IF(DI266&lt;INDEX('Lease Cycles'!$BN$23:$BT$23,1,DI265),1,0))</f>
        <v>0</v>
      </c>
      <c r="DJ267" s="25">
        <f>IF(DJ265=0,0,IF(DJ266&lt;INDEX('Lease Cycles'!$BN$23:$BT$23,1,DJ265),1,0))</f>
        <v>0</v>
      </c>
      <c r="DK267" s="25">
        <f>IF(DK265=0,0,IF(DK266&lt;INDEX('Lease Cycles'!$BN$23:$BT$23,1,DK265),1,0))</f>
        <v>0</v>
      </c>
      <c r="DL267" s="25">
        <f>IF(DL265=0,0,IF(DL266&lt;INDEX('Lease Cycles'!$BN$23:$BT$23,1,DL265),1,0))</f>
        <v>0</v>
      </c>
      <c r="DM267" s="25">
        <f>IF(DM265=0,0,IF(DM266&lt;INDEX('Lease Cycles'!$BN$23:$BT$23,1,DM265),1,0))</f>
        <v>0</v>
      </c>
      <c r="DN267" s="25">
        <f>IF(DN265=0,0,IF(DN266&lt;INDEX('Lease Cycles'!$BN$23:$BT$23,1,DN265),1,0))</f>
        <v>0</v>
      </c>
      <c r="DO267" s="25">
        <f>IF(DO265=0,0,IF(DO266&lt;INDEX('Lease Cycles'!$BN$23:$BT$23,1,DO265),1,0))</f>
        <v>0</v>
      </c>
      <c r="DP267" s="25">
        <f>IF(DP265=0,0,IF(DP266&lt;INDEX('Lease Cycles'!$BN$23:$BT$23,1,DP265),1,0))</f>
        <v>0</v>
      </c>
      <c r="DQ267" s="25">
        <f>IF(DQ265=0,0,IF(DQ266&lt;INDEX('Lease Cycles'!$BN$23:$BT$23,1,DQ265),1,0))</f>
        <v>0</v>
      </c>
      <c r="DR267" s="25">
        <f>IF(DR265=0,0,IF(DR266&lt;INDEX('Lease Cycles'!$BN$23:$BT$23,1,DR265),1,0))</f>
        <v>0</v>
      </c>
      <c r="DS267" s="25">
        <f>IF(DS265=0,0,IF(DS266&lt;INDEX('Lease Cycles'!$BN$23:$BT$23,1,DS265),1,0))</f>
        <v>0</v>
      </c>
      <c r="DT267" s="25">
        <f>IF(DT265=0,0,IF(DT266&lt;INDEX('Lease Cycles'!$BN$23:$BT$23,1,DT265),1,0))</f>
        <v>0</v>
      </c>
      <c r="DU267" s="25">
        <f>IF(DU265=0,0,IF(DU266&lt;INDEX('Lease Cycles'!$BN$23:$BT$23,1,DU265),1,0))</f>
        <v>0</v>
      </c>
      <c r="DV267" s="25">
        <f>IF(DV265=0,0,IF(DV266&lt;INDEX('Lease Cycles'!$BN$23:$BT$23,1,DV265),1,0))</f>
        <v>0</v>
      </c>
      <c r="DW267" s="25">
        <f>IF(DW265=0,0,IF(DW266&lt;INDEX('Lease Cycles'!$BN$23:$BT$23,1,DW265),1,0))</f>
        <v>0</v>
      </c>
      <c r="DX267" s="25">
        <f>IF(DX265=0,0,IF(DX266&lt;INDEX('Lease Cycles'!$BN$23:$BT$23,1,DX265),1,0))</f>
        <v>0</v>
      </c>
      <c r="DY267" s="25">
        <f>IF(DY265=0,0,IF(DY266&lt;INDEX('Lease Cycles'!$BN$23:$BT$23,1,DY265),1,0))</f>
        <v>0</v>
      </c>
      <c r="DZ267" s="25">
        <f>IF(DZ265=0,0,IF(DZ266&lt;INDEX('Lease Cycles'!$BN$23:$BT$23,1,DZ265),1,0))</f>
        <v>0</v>
      </c>
      <c r="EA267" s="25">
        <f>IF(EA265=0,0,IF(EA266&lt;INDEX('Lease Cycles'!$BN$23:$BT$23,1,EA265),1,0))</f>
        <v>0</v>
      </c>
      <c r="EB267" s="25">
        <f>IF(EB265=0,0,IF(EB266&lt;INDEX('Lease Cycles'!$BN$23:$BT$23,1,EB265),1,0))</f>
        <v>0</v>
      </c>
      <c r="EC267" s="25">
        <f>IF(EC265=0,0,IF(EC266&lt;INDEX('Lease Cycles'!$BN$23:$BT$23,1,EC265),1,0))</f>
        <v>0</v>
      </c>
      <c r="ED267" s="25">
        <f>IF(ED265=0,0,IF(ED266&lt;INDEX('Lease Cycles'!$BN$23:$BT$23,1,ED265),1,0))</f>
        <v>0</v>
      </c>
      <c r="EE267" s="25">
        <f>IF(EE265=0,0,IF(EE266&lt;INDEX('Lease Cycles'!$BN$23:$BT$23,1,EE265),1,0))</f>
        <v>0</v>
      </c>
      <c r="EF267" s="25">
        <f>IF(EF265=0,0,IF(EF266&lt;INDEX('Lease Cycles'!$BN$23:$BT$23,1,EF265),1,0))</f>
        <v>0</v>
      </c>
      <c r="EG267" s="25">
        <f>IF(EG265=0,0,IF(EG266&lt;INDEX('Lease Cycles'!$BN$23:$BT$23,1,EG265),1,0))</f>
        <v>0</v>
      </c>
      <c r="EH267" s="25">
        <f>IF(EH265=0,0,IF(EH266&lt;INDEX('Lease Cycles'!$BN$23:$BT$23,1,EH265),1,0))</f>
        <v>0</v>
      </c>
      <c r="EI267" s="25">
        <f>IF(EI265=0,0,IF(EI266&lt;INDEX('Lease Cycles'!$BN$23:$BT$23,1,EI265),1,0))</f>
        <v>0</v>
      </c>
      <c r="EJ267" s="25">
        <f>IF(EJ265=0,0,IF(EJ266&lt;INDEX('Lease Cycles'!$BN$23:$BT$23,1,EJ265),1,0))</f>
        <v>0</v>
      </c>
      <c r="EK267" s="25">
        <f>IF(EK265=0,0,IF(EK266&lt;INDEX('Lease Cycles'!$BN$23:$BT$23,1,EK265),1,0))</f>
        <v>0</v>
      </c>
      <c r="EL267" s="25">
        <f>IF(EL265=0,0,IF(EL266&lt;INDEX('Lease Cycles'!$BN$23:$BT$23,1,EL265),1,0))</f>
        <v>0</v>
      </c>
      <c r="EM267" s="25">
        <f>IF(EM265=0,0,IF(EM266&lt;INDEX('Lease Cycles'!$BN$23:$BT$23,1,EM265),1,0))</f>
        <v>0</v>
      </c>
      <c r="EN267" s="25">
        <f>IF(EN265=0,0,IF(EN266&lt;INDEX('Lease Cycles'!$BN$23:$BT$23,1,EN265),1,0))</f>
        <v>0</v>
      </c>
      <c r="EO267" s="25">
        <f>IF(EO265=0,0,IF(EO266&lt;INDEX('Lease Cycles'!$BN$23:$BT$23,1,EO265),1,0))</f>
        <v>0</v>
      </c>
      <c r="EP267" s="25">
        <f>IF(EP265=0,0,IF(EP266&lt;INDEX('Lease Cycles'!$BN$23:$BT$23,1,EP265),1,0))</f>
        <v>0</v>
      </c>
      <c r="EQ267" s="25">
        <f>IF(EQ265=0,0,IF(EQ266&lt;INDEX('Lease Cycles'!$BN$23:$BT$23,1,EQ265),1,0))</f>
        <v>0</v>
      </c>
      <c r="ER267" s="25">
        <f>IF(ER265=0,0,IF(ER266&lt;INDEX('Lease Cycles'!$BN$23:$BT$23,1,ER265),1,0))</f>
        <v>0</v>
      </c>
      <c r="ES267" s="25">
        <f>IF(ES265=0,0,IF(ES266&lt;INDEX('Lease Cycles'!$BN$23:$BT$23,1,ES265),1,0))</f>
        <v>0</v>
      </c>
      <c r="ET267" s="25">
        <f>IF(ET265=0,0,IF(ET266&lt;INDEX('Lease Cycles'!$BN$23:$BT$23,1,ET265),1,0))</f>
        <v>0</v>
      </c>
    </row>
    <row r="268">
      <c r="A268" s="103">
        <v>16</v>
      </c>
      <c r="B268" s="23" t="str">
        <f>IF('Lease Cycles'!$B$23="","(empty slot)",'Lease Cycles'!$B$23)</f>
        <v>(empty slot)</v>
      </c>
      <c r="C268" s="23" t="s">
        <v>677</v>
      </c>
      <c r="D268" s="104" t="s">
        <v>678</v>
      </c>
      <c r="E268" s="25">
        <f>'Lease Cycles'!$AL$23</f>
        <v>0</v>
      </c>
      <c r="S268" s="28">
        <f>IF(S265=0,IF('Lease Cycles'!$F$23&gt;0,'Lease Cycles'!$C$23*'Lease Cycles'!$E$23/12,0),IF(S267=1,IF('Lease Cycles'!$AT$23&gt;=9999,'Lease Cycles'!$C$23*INDEX('Lease Cycles'!$CB$23:$CH$23,1,S265)*(1+INDEX('Lease Cycles'!$CI$23:$CO$23,1,S265))^INT(INT(S266/12)/INDEX('Lease Cycles'!$CP$23:$CV$23,1,S265))/12,IF(S265=1,IF(S266&gt;=INDEX('Lease Cycles'!$DK$23:$DQ$23,1,S265),IF(S$6&gt;='Lease Cycles'!$AZ$23,'Lease Cycles'!$C$23*'Lease Cycles'!$BA$23/12,IF(S$6&gt;='Lease Cycles'!$AX$23,'Lease Cycles'!$C$23*'Lease Cycles'!$AY$23/12,IF(S$6&gt;='Lease Cycles'!$AV$23,'Lease Cycles'!$C$23*'Lease Cycles'!$AW$23/12,IF(S$6&gt;='Lease Cycles'!$AT$23,'Lease Cycles'!$C$23*'Lease Cycles'!$AU$23/12,'Lease Cycles'!$C$23*INDEX('Lease Cycles'!$CB$23:$CH$23,1,S265)*(1+INDEX('Lease Cycles'!$CI$23:$CO$23,1,S265))^INT(INT(S266/12)/INDEX('Lease Cycles'!$CP$23:$CV$23,1,S265))/12)))),'Lease Cycles'!$C$23*INDEX('Lease Cycles'!$CB$23:$CH$23,1,S265)*(1+INDEX('Lease Cycles'!$CI$23:$CO$23,1,S265))^INT(INT(S266/12)/INDEX('Lease Cycles'!$CP$23:$CV$23,1,S265))/12),IF(INDEX('Lease Cycles'!$EF$23:$EL$23,1,S265)=1,IF(AND('Lease Cycles'!$AZ$23&gt;=INDEX('Lease Cycles'!$BG$23:$BM$23,1,S265),'Lease Cycles'!$AZ$23&lt;=S$6),'Lease Cycles'!$C$23*'Lease Cycles'!$BA$23/12,IF(AND('Lease Cycles'!$AX$23&gt;=INDEX('Lease Cycles'!$BG$23:$BM$23,1,S265),'Lease Cycles'!$AX$23&lt;=S$6),'Lease Cycles'!$C$23*'Lease Cycles'!$AY$23/12,IF(AND('Lease Cycles'!$AV$23&gt;=INDEX('Lease Cycles'!$BG$23:$BM$23,1,S265),'Lease Cycles'!$AV$23&lt;=S$6),'Lease Cycles'!$C$23*'Lease Cycles'!$AW$23/12,IF(AND('Lease Cycles'!$AT$23&gt;=INDEX('Lease Cycles'!$BG$23:$BM$23,1,S265),'Lease Cycles'!$AT$23&lt;=S$6),'Lease Cycles'!$C$23*'Lease Cycles'!$AU$23/12,'Lease Cycles'!$C$23*INDEX('Lease Cycles'!$CB$23:$CH$23,1,S265)*(1+INDEX('Lease Cycles'!$CI$23:$CO$23,1,S265))^INT(INT(S266/12)/INDEX('Lease Cycles'!$CP$23:$CV$23,1,S265))/12)))),'Lease Cycles'!$C$23*INDEX('Lease Cycles'!$CB$23:$CH$23,1,S265)*(1+INDEX('Lease Cycles'!$CI$23:$CO$23,1,S265))^INT(INT(S266/12)/INDEX('Lease Cycles'!$CP$23:$CV$23,1,S265))/12))),IF('Lease Cycles'!$N$23=1,'Lease Cycles'!$C$23*'Lease Cycles'!$E$23*INDEX('Lease Cycles'!$HE$23:$HK$23,1,S265)*(1+INDEX('Lease Cycles'!$GQ$23:$GW$23,1,S265))^INT(INT((S$6-INDEX('Lease Cycles'!$GJ$23:$GP$23,1,S265))/12)/INDEX('Lease Cycles'!$GX$23:$HD$23,1,S265))/12,0)))</f>
        <v>0</v>
      </c>
      <c r="T268" s="28">
        <f>IF(T265=0,IF('Lease Cycles'!$F$23&gt;0,'Lease Cycles'!$C$23*'Lease Cycles'!$E$23/12,0),IF(T267=1,IF('Lease Cycles'!$AT$23&gt;=9999,'Lease Cycles'!$C$23*INDEX('Lease Cycles'!$CB$23:$CH$23,1,T265)*(1+INDEX('Lease Cycles'!$CI$23:$CO$23,1,T265))^INT(INT(T266/12)/INDEX('Lease Cycles'!$CP$23:$CV$23,1,T265))/12,IF(T265=1,IF(T266&gt;=INDEX('Lease Cycles'!$DK$23:$DQ$23,1,T265),IF(T$6&gt;='Lease Cycles'!$AZ$23,'Lease Cycles'!$C$23*'Lease Cycles'!$BA$23/12,IF(T$6&gt;='Lease Cycles'!$AX$23,'Lease Cycles'!$C$23*'Lease Cycles'!$AY$23/12,IF(T$6&gt;='Lease Cycles'!$AV$23,'Lease Cycles'!$C$23*'Lease Cycles'!$AW$23/12,IF(T$6&gt;='Lease Cycles'!$AT$23,'Lease Cycles'!$C$23*'Lease Cycles'!$AU$23/12,'Lease Cycles'!$C$23*INDEX('Lease Cycles'!$CB$23:$CH$23,1,T265)*(1+INDEX('Lease Cycles'!$CI$23:$CO$23,1,T265))^INT(INT(T266/12)/INDEX('Lease Cycles'!$CP$23:$CV$23,1,T265))/12)))),'Lease Cycles'!$C$23*INDEX('Lease Cycles'!$CB$23:$CH$23,1,T265)*(1+INDEX('Lease Cycles'!$CI$23:$CO$23,1,T265))^INT(INT(T266/12)/INDEX('Lease Cycles'!$CP$23:$CV$23,1,T265))/12),IF(INDEX('Lease Cycles'!$EF$23:$EL$23,1,T265)=1,IF(AND('Lease Cycles'!$AZ$23&gt;=INDEX('Lease Cycles'!$BG$23:$BM$23,1,T265),'Lease Cycles'!$AZ$23&lt;=T$6),'Lease Cycles'!$C$23*'Lease Cycles'!$BA$23/12,IF(AND('Lease Cycles'!$AX$23&gt;=INDEX('Lease Cycles'!$BG$23:$BM$23,1,T265),'Lease Cycles'!$AX$23&lt;=T$6),'Lease Cycles'!$C$23*'Lease Cycles'!$AY$23/12,IF(AND('Lease Cycles'!$AV$23&gt;=INDEX('Lease Cycles'!$BG$23:$BM$23,1,T265),'Lease Cycles'!$AV$23&lt;=T$6),'Lease Cycles'!$C$23*'Lease Cycles'!$AW$23/12,IF(AND('Lease Cycles'!$AT$23&gt;=INDEX('Lease Cycles'!$BG$23:$BM$23,1,T265),'Lease Cycles'!$AT$23&lt;=T$6),'Lease Cycles'!$C$23*'Lease Cycles'!$AU$23/12,'Lease Cycles'!$C$23*INDEX('Lease Cycles'!$CB$23:$CH$23,1,T265)*(1+INDEX('Lease Cycles'!$CI$23:$CO$23,1,T265))^INT(INT(T266/12)/INDEX('Lease Cycles'!$CP$23:$CV$23,1,T265))/12)))),'Lease Cycles'!$C$23*INDEX('Lease Cycles'!$CB$23:$CH$23,1,T265)*(1+INDEX('Lease Cycles'!$CI$23:$CO$23,1,T265))^INT(INT(T266/12)/INDEX('Lease Cycles'!$CP$23:$CV$23,1,T265))/12))),IF('Lease Cycles'!$N$23=1,'Lease Cycles'!$C$23*'Lease Cycles'!$E$23*INDEX('Lease Cycles'!$HE$23:$HK$23,1,T265)*(1+INDEX('Lease Cycles'!$GQ$23:$GW$23,1,T265))^INT(INT((T$6-INDEX('Lease Cycles'!$GJ$23:$GP$23,1,T265))/12)/INDEX('Lease Cycles'!$GX$23:$HD$23,1,T265))/12,0)))</f>
        <v>0</v>
      </c>
      <c r="U268" s="28">
        <f>IF(U265=0,IF('Lease Cycles'!$F$23&gt;0,'Lease Cycles'!$C$23*'Lease Cycles'!$E$23/12,0),IF(U267=1,IF('Lease Cycles'!$AT$23&gt;=9999,'Lease Cycles'!$C$23*INDEX('Lease Cycles'!$CB$23:$CH$23,1,U265)*(1+INDEX('Lease Cycles'!$CI$23:$CO$23,1,U265))^INT(INT(U266/12)/INDEX('Lease Cycles'!$CP$23:$CV$23,1,U265))/12,IF(U265=1,IF(U266&gt;=INDEX('Lease Cycles'!$DK$23:$DQ$23,1,U265),IF(U$6&gt;='Lease Cycles'!$AZ$23,'Lease Cycles'!$C$23*'Lease Cycles'!$BA$23/12,IF(U$6&gt;='Lease Cycles'!$AX$23,'Lease Cycles'!$C$23*'Lease Cycles'!$AY$23/12,IF(U$6&gt;='Lease Cycles'!$AV$23,'Lease Cycles'!$C$23*'Lease Cycles'!$AW$23/12,IF(U$6&gt;='Lease Cycles'!$AT$23,'Lease Cycles'!$C$23*'Lease Cycles'!$AU$23/12,'Lease Cycles'!$C$23*INDEX('Lease Cycles'!$CB$23:$CH$23,1,U265)*(1+INDEX('Lease Cycles'!$CI$23:$CO$23,1,U265))^INT(INT(U266/12)/INDEX('Lease Cycles'!$CP$23:$CV$23,1,U265))/12)))),'Lease Cycles'!$C$23*INDEX('Lease Cycles'!$CB$23:$CH$23,1,U265)*(1+INDEX('Lease Cycles'!$CI$23:$CO$23,1,U265))^INT(INT(U266/12)/INDEX('Lease Cycles'!$CP$23:$CV$23,1,U265))/12),IF(INDEX('Lease Cycles'!$EF$23:$EL$23,1,U265)=1,IF(AND('Lease Cycles'!$AZ$23&gt;=INDEX('Lease Cycles'!$BG$23:$BM$23,1,U265),'Lease Cycles'!$AZ$23&lt;=U$6),'Lease Cycles'!$C$23*'Lease Cycles'!$BA$23/12,IF(AND('Lease Cycles'!$AX$23&gt;=INDEX('Lease Cycles'!$BG$23:$BM$23,1,U265),'Lease Cycles'!$AX$23&lt;=U$6),'Lease Cycles'!$C$23*'Lease Cycles'!$AY$23/12,IF(AND('Lease Cycles'!$AV$23&gt;=INDEX('Lease Cycles'!$BG$23:$BM$23,1,U265),'Lease Cycles'!$AV$23&lt;=U$6),'Lease Cycles'!$C$23*'Lease Cycles'!$AW$23/12,IF(AND('Lease Cycles'!$AT$23&gt;=INDEX('Lease Cycles'!$BG$23:$BM$23,1,U265),'Lease Cycles'!$AT$23&lt;=U$6),'Lease Cycles'!$C$23*'Lease Cycles'!$AU$23/12,'Lease Cycles'!$C$23*INDEX('Lease Cycles'!$CB$23:$CH$23,1,U265)*(1+INDEX('Lease Cycles'!$CI$23:$CO$23,1,U265))^INT(INT(U266/12)/INDEX('Lease Cycles'!$CP$23:$CV$23,1,U265))/12)))),'Lease Cycles'!$C$23*INDEX('Lease Cycles'!$CB$23:$CH$23,1,U265)*(1+INDEX('Lease Cycles'!$CI$23:$CO$23,1,U265))^INT(INT(U266/12)/INDEX('Lease Cycles'!$CP$23:$CV$23,1,U265))/12))),IF('Lease Cycles'!$N$23=1,'Lease Cycles'!$C$23*'Lease Cycles'!$E$23*INDEX('Lease Cycles'!$HE$23:$HK$23,1,U265)*(1+INDEX('Lease Cycles'!$GQ$23:$GW$23,1,U265))^INT(INT((U$6-INDEX('Lease Cycles'!$GJ$23:$GP$23,1,U265))/12)/INDEX('Lease Cycles'!$GX$23:$HD$23,1,U265))/12,0)))</f>
        <v>0</v>
      </c>
      <c r="V268" s="28">
        <f>IF(V265=0,IF('Lease Cycles'!$F$23&gt;0,'Lease Cycles'!$C$23*'Lease Cycles'!$E$23/12,0),IF(V267=1,IF('Lease Cycles'!$AT$23&gt;=9999,'Lease Cycles'!$C$23*INDEX('Lease Cycles'!$CB$23:$CH$23,1,V265)*(1+INDEX('Lease Cycles'!$CI$23:$CO$23,1,V265))^INT(INT(V266/12)/INDEX('Lease Cycles'!$CP$23:$CV$23,1,V265))/12,IF(V265=1,IF(V266&gt;=INDEX('Lease Cycles'!$DK$23:$DQ$23,1,V265),IF(V$6&gt;='Lease Cycles'!$AZ$23,'Lease Cycles'!$C$23*'Lease Cycles'!$BA$23/12,IF(V$6&gt;='Lease Cycles'!$AX$23,'Lease Cycles'!$C$23*'Lease Cycles'!$AY$23/12,IF(V$6&gt;='Lease Cycles'!$AV$23,'Lease Cycles'!$C$23*'Lease Cycles'!$AW$23/12,IF(V$6&gt;='Lease Cycles'!$AT$23,'Lease Cycles'!$C$23*'Lease Cycles'!$AU$23/12,'Lease Cycles'!$C$23*INDEX('Lease Cycles'!$CB$23:$CH$23,1,V265)*(1+INDEX('Lease Cycles'!$CI$23:$CO$23,1,V265))^INT(INT(V266/12)/INDEX('Lease Cycles'!$CP$23:$CV$23,1,V265))/12)))),'Lease Cycles'!$C$23*INDEX('Lease Cycles'!$CB$23:$CH$23,1,V265)*(1+INDEX('Lease Cycles'!$CI$23:$CO$23,1,V265))^INT(INT(V266/12)/INDEX('Lease Cycles'!$CP$23:$CV$23,1,V265))/12),IF(INDEX('Lease Cycles'!$EF$23:$EL$23,1,V265)=1,IF(AND('Lease Cycles'!$AZ$23&gt;=INDEX('Lease Cycles'!$BG$23:$BM$23,1,V265),'Lease Cycles'!$AZ$23&lt;=V$6),'Lease Cycles'!$C$23*'Lease Cycles'!$BA$23/12,IF(AND('Lease Cycles'!$AX$23&gt;=INDEX('Lease Cycles'!$BG$23:$BM$23,1,V265),'Lease Cycles'!$AX$23&lt;=V$6),'Lease Cycles'!$C$23*'Lease Cycles'!$AY$23/12,IF(AND('Lease Cycles'!$AV$23&gt;=INDEX('Lease Cycles'!$BG$23:$BM$23,1,V265),'Lease Cycles'!$AV$23&lt;=V$6),'Lease Cycles'!$C$23*'Lease Cycles'!$AW$23/12,IF(AND('Lease Cycles'!$AT$23&gt;=INDEX('Lease Cycles'!$BG$23:$BM$23,1,V265),'Lease Cycles'!$AT$23&lt;=V$6),'Lease Cycles'!$C$23*'Lease Cycles'!$AU$23/12,'Lease Cycles'!$C$23*INDEX('Lease Cycles'!$CB$23:$CH$23,1,V265)*(1+INDEX('Lease Cycles'!$CI$23:$CO$23,1,V265))^INT(INT(V266/12)/INDEX('Lease Cycles'!$CP$23:$CV$23,1,V265))/12)))),'Lease Cycles'!$C$23*INDEX('Lease Cycles'!$CB$23:$CH$23,1,V265)*(1+INDEX('Lease Cycles'!$CI$23:$CO$23,1,V265))^INT(INT(V266/12)/INDEX('Lease Cycles'!$CP$23:$CV$23,1,V265))/12))),IF('Lease Cycles'!$N$23=1,'Lease Cycles'!$C$23*'Lease Cycles'!$E$23*INDEX('Lease Cycles'!$HE$23:$HK$23,1,V265)*(1+INDEX('Lease Cycles'!$GQ$23:$GW$23,1,V265))^INT(INT((V$6-INDEX('Lease Cycles'!$GJ$23:$GP$23,1,V265))/12)/INDEX('Lease Cycles'!$GX$23:$HD$23,1,V265))/12,0)))</f>
        <v>0</v>
      </c>
      <c r="W268" s="28">
        <f>IF(W265=0,IF('Lease Cycles'!$F$23&gt;0,'Lease Cycles'!$C$23*'Lease Cycles'!$E$23/12,0),IF(W267=1,IF('Lease Cycles'!$AT$23&gt;=9999,'Lease Cycles'!$C$23*INDEX('Lease Cycles'!$CB$23:$CH$23,1,W265)*(1+INDEX('Lease Cycles'!$CI$23:$CO$23,1,W265))^INT(INT(W266/12)/INDEX('Lease Cycles'!$CP$23:$CV$23,1,W265))/12,IF(W265=1,IF(W266&gt;=INDEX('Lease Cycles'!$DK$23:$DQ$23,1,W265),IF(W$6&gt;='Lease Cycles'!$AZ$23,'Lease Cycles'!$C$23*'Lease Cycles'!$BA$23/12,IF(W$6&gt;='Lease Cycles'!$AX$23,'Lease Cycles'!$C$23*'Lease Cycles'!$AY$23/12,IF(W$6&gt;='Lease Cycles'!$AV$23,'Lease Cycles'!$C$23*'Lease Cycles'!$AW$23/12,IF(W$6&gt;='Lease Cycles'!$AT$23,'Lease Cycles'!$C$23*'Lease Cycles'!$AU$23/12,'Lease Cycles'!$C$23*INDEX('Lease Cycles'!$CB$23:$CH$23,1,W265)*(1+INDEX('Lease Cycles'!$CI$23:$CO$23,1,W265))^INT(INT(W266/12)/INDEX('Lease Cycles'!$CP$23:$CV$23,1,W265))/12)))),'Lease Cycles'!$C$23*INDEX('Lease Cycles'!$CB$23:$CH$23,1,W265)*(1+INDEX('Lease Cycles'!$CI$23:$CO$23,1,W265))^INT(INT(W266/12)/INDEX('Lease Cycles'!$CP$23:$CV$23,1,W265))/12),IF(INDEX('Lease Cycles'!$EF$23:$EL$23,1,W265)=1,IF(AND('Lease Cycles'!$AZ$23&gt;=INDEX('Lease Cycles'!$BG$23:$BM$23,1,W265),'Lease Cycles'!$AZ$23&lt;=W$6),'Lease Cycles'!$C$23*'Lease Cycles'!$BA$23/12,IF(AND('Lease Cycles'!$AX$23&gt;=INDEX('Lease Cycles'!$BG$23:$BM$23,1,W265),'Lease Cycles'!$AX$23&lt;=W$6),'Lease Cycles'!$C$23*'Lease Cycles'!$AY$23/12,IF(AND('Lease Cycles'!$AV$23&gt;=INDEX('Lease Cycles'!$BG$23:$BM$23,1,W265),'Lease Cycles'!$AV$23&lt;=W$6),'Lease Cycles'!$C$23*'Lease Cycles'!$AW$23/12,IF(AND('Lease Cycles'!$AT$23&gt;=INDEX('Lease Cycles'!$BG$23:$BM$23,1,W265),'Lease Cycles'!$AT$23&lt;=W$6),'Lease Cycles'!$C$23*'Lease Cycles'!$AU$23/12,'Lease Cycles'!$C$23*INDEX('Lease Cycles'!$CB$23:$CH$23,1,W265)*(1+INDEX('Lease Cycles'!$CI$23:$CO$23,1,W265))^INT(INT(W266/12)/INDEX('Lease Cycles'!$CP$23:$CV$23,1,W265))/12)))),'Lease Cycles'!$C$23*INDEX('Lease Cycles'!$CB$23:$CH$23,1,W265)*(1+INDEX('Lease Cycles'!$CI$23:$CO$23,1,W265))^INT(INT(W266/12)/INDEX('Lease Cycles'!$CP$23:$CV$23,1,W265))/12))),IF('Lease Cycles'!$N$23=1,'Lease Cycles'!$C$23*'Lease Cycles'!$E$23*INDEX('Lease Cycles'!$HE$23:$HK$23,1,W265)*(1+INDEX('Lease Cycles'!$GQ$23:$GW$23,1,W265))^INT(INT((W$6-INDEX('Lease Cycles'!$GJ$23:$GP$23,1,W265))/12)/INDEX('Lease Cycles'!$GX$23:$HD$23,1,W265))/12,0)))</f>
        <v>0</v>
      </c>
      <c r="X268" s="28">
        <f>IF(X265=0,IF('Lease Cycles'!$F$23&gt;0,'Lease Cycles'!$C$23*'Lease Cycles'!$E$23/12,0),IF(X267=1,IF('Lease Cycles'!$AT$23&gt;=9999,'Lease Cycles'!$C$23*INDEX('Lease Cycles'!$CB$23:$CH$23,1,X265)*(1+INDEX('Lease Cycles'!$CI$23:$CO$23,1,X265))^INT(INT(X266/12)/INDEX('Lease Cycles'!$CP$23:$CV$23,1,X265))/12,IF(X265=1,IF(X266&gt;=INDEX('Lease Cycles'!$DK$23:$DQ$23,1,X265),IF(X$6&gt;='Lease Cycles'!$AZ$23,'Lease Cycles'!$C$23*'Lease Cycles'!$BA$23/12,IF(X$6&gt;='Lease Cycles'!$AX$23,'Lease Cycles'!$C$23*'Lease Cycles'!$AY$23/12,IF(X$6&gt;='Lease Cycles'!$AV$23,'Lease Cycles'!$C$23*'Lease Cycles'!$AW$23/12,IF(X$6&gt;='Lease Cycles'!$AT$23,'Lease Cycles'!$C$23*'Lease Cycles'!$AU$23/12,'Lease Cycles'!$C$23*INDEX('Lease Cycles'!$CB$23:$CH$23,1,X265)*(1+INDEX('Lease Cycles'!$CI$23:$CO$23,1,X265))^INT(INT(X266/12)/INDEX('Lease Cycles'!$CP$23:$CV$23,1,X265))/12)))),'Lease Cycles'!$C$23*INDEX('Lease Cycles'!$CB$23:$CH$23,1,X265)*(1+INDEX('Lease Cycles'!$CI$23:$CO$23,1,X265))^INT(INT(X266/12)/INDEX('Lease Cycles'!$CP$23:$CV$23,1,X265))/12),IF(INDEX('Lease Cycles'!$EF$23:$EL$23,1,X265)=1,IF(AND('Lease Cycles'!$AZ$23&gt;=INDEX('Lease Cycles'!$BG$23:$BM$23,1,X265),'Lease Cycles'!$AZ$23&lt;=X$6),'Lease Cycles'!$C$23*'Lease Cycles'!$BA$23/12,IF(AND('Lease Cycles'!$AX$23&gt;=INDEX('Lease Cycles'!$BG$23:$BM$23,1,X265),'Lease Cycles'!$AX$23&lt;=X$6),'Lease Cycles'!$C$23*'Lease Cycles'!$AY$23/12,IF(AND('Lease Cycles'!$AV$23&gt;=INDEX('Lease Cycles'!$BG$23:$BM$23,1,X265),'Lease Cycles'!$AV$23&lt;=X$6),'Lease Cycles'!$C$23*'Lease Cycles'!$AW$23/12,IF(AND('Lease Cycles'!$AT$23&gt;=INDEX('Lease Cycles'!$BG$23:$BM$23,1,X265),'Lease Cycles'!$AT$23&lt;=X$6),'Lease Cycles'!$C$23*'Lease Cycles'!$AU$23/12,'Lease Cycles'!$C$23*INDEX('Lease Cycles'!$CB$23:$CH$23,1,X265)*(1+INDEX('Lease Cycles'!$CI$23:$CO$23,1,X265))^INT(INT(X266/12)/INDEX('Lease Cycles'!$CP$23:$CV$23,1,X265))/12)))),'Lease Cycles'!$C$23*INDEX('Lease Cycles'!$CB$23:$CH$23,1,X265)*(1+INDEX('Lease Cycles'!$CI$23:$CO$23,1,X265))^INT(INT(X266/12)/INDEX('Lease Cycles'!$CP$23:$CV$23,1,X265))/12))),IF('Lease Cycles'!$N$23=1,'Lease Cycles'!$C$23*'Lease Cycles'!$E$23*INDEX('Lease Cycles'!$HE$23:$HK$23,1,X265)*(1+INDEX('Lease Cycles'!$GQ$23:$GW$23,1,X265))^INT(INT((X$6-INDEX('Lease Cycles'!$GJ$23:$GP$23,1,X265))/12)/INDEX('Lease Cycles'!$GX$23:$HD$23,1,X265))/12,0)))</f>
        <v>0</v>
      </c>
      <c r="Y268" s="28">
        <f>IF(Y265=0,IF('Lease Cycles'!$F$23&gt;0,'Lease Cycles'!$C$23*'Lease Cycles'!$E$23/12,0),IF(Y267=1,IF('Lease Cycles'!$AT$23&gt;=9999,'Lease Cycles'!$C$23*INDEX('Lease Cycles'!$CB$23:$CH$23,1,Y265)*(1+INDEX('Lease Cycles'!$CI$23:$CO$23,1,Y265))^INT(INT(Y266/12)/INDEX('Lease Cycles'!$CP$23:$CV$23,1,Y265))/12,IF(Y265=1,IF(Y266&gt;=INDEX('Lease Cycles'!$DK$23:$DQ$23,1,Y265),IF(Y$6&gt;='Lease Cycles'!$AZ$23,'Lease Cycles'!$C$23*'Lease Cycles'!$BA$23/12,IF(Y$6&gt;='Lease Cycles'!$AX$23,'Lease Cycles'!$C$23*'Lease Cycles'!$AY$23/12,IF(Y$6&gt;='Lease Cycles'!$AV$23,'Lease Cycles'!$C$23*'Lease Cycles'!$AW$23/12,IF(Y$6&gt;='Lease Cycles'!$AT$23,'Lease Cycles'!$C$23*'Lease Cycles'!$AU$23/12,'Lease Cycles'!$C$23*INDEX('Lease Cycles'!$CB$23:$CH$23,1,Y265)*(1+INDEX('Lease Cycles'!$CI$23:$CO$23,1,Y265))^INT(INT(Y266/12)/INDEX('Lease Cycles'!$CP$23:$CV$23,1,Y265))/12)))),'Lease Cycles'!$C$23*INDEX('Lease Cycles'!$CB$23:$CH$23,1,Y265)*(1+INDEX('Lease Cycles'!$CI$23:$CO$23,1,Y265))^INT(INT(Y266/12)/INDEX('Lease Cycles'!$CP$23:$CV$23,1,Y265))/12),IF(INDEX('Lease Cycles'!$EF$23:$EL$23,1,Y265)=1,IF(AND('Lease Cycles'!$AZ$23&gt;=INDEX('Lease Cycles'!$BG$23:$BM$23,1,Y265),'Lease Cycles'!$AZ$23&lt;=Y$6),'Lease Cycles'!$C$23*'Lease Cycles'!$BA$23/12,IF(AND('Lease Cycles'!$AX$23&gt;=INDEX('Lease Cycles'!$BG$23:$BM$23,1,Y265),'Lease Cycles'!$AX$23&lt;=Y$6),'Lease Cycles'!$C$23*'Lease Cycles'!$AY$23/12,IF(AND('Lease Cycles'!$AV$23&gt;=INDEX('Lease Cycles'!$BG$23:$BM$23,1,Y265),'Lease Cycles'!$AV$23&lt;=Y$6),'Lease Cycles'!$C$23*'Lease Cycles'!$AW$23/12,IF(AND('Lease Cycles'!$AT$23&gt;=INDEX('Lease Cycles'!$BG$23:$BM$23,1,Y265),'Lease Cycles'!$AT$23&lt;=Y$6),'Lease Cycles'!$C$23*'Lease Cycles'!$AU$23/12,'Lease Cycles'!$C$23*INDEX('Lease Cycles'!$CB$23:$CH$23,1,Y265)*(1+INDEX('Lease Cycles'!$CI$23:$CO$23,1,Y265))^INT(INT(Y266/12)/INDEX('Lease Cycles'!$CP$23:$CV$23,1,Y265))/12)))),'Lease Cycles'!$C$23*INDEX('Lease Cycles'!$CB$23:$CH$23,1,Y265)*(1+INDEX('Lease Cycles'!$CI$23:$CO$23,1,Y265))^INT(INT(Y266/12)/INDEX('Lease Cycles'!$CP$23:$CV$23,1,Y265))/12))),IF('Lease Cycles'!$N$23=1,'Lease Cycles'!$C$23*'Lease Cycles'!$E$23*INDEX('Lease Cycles'!$HE$23:$HK$23,1,Y265)*(1+INDEX('Lease Cycles'!$GQ$23:$GW$23,1,Y265))^INT(INT((Y$6-INDEX('Lease Cycles'!$GJ$23:$GP$23,1,Y265))/12)/INDEX('Lease Cycles'!$GX$23:$HD$23,1,Y265))/12,0)))</f>
        <v>0</v>
      </c>
      <c r="Z268" s="28">
        <f>IF(Z265=0,IF('Lease Cycles'!$F$23&gt;0,'Lease Cycles'!$C$23*'Lease Cycles'!$E$23/12,0),IF(Z267=1,IF('Lease Cycles'!$AT$23&gt;=9999,'Lease Cycles'!$C$23*INDEX('Lease Cycles'!$CB$23:$CH$23,1,Z265)*(1+INDEX('Lease Cycles'!$CI$23:$CO$23,1,Z265))^INT(INT(Z266/12)/INDEX('Lease Cycles'!$CP$23:$CV$23,1,Z265))/12,IF(Z265=1,IF(Z266&gt;=INDEX('Lease Cycles'!$DK$23:$DQ$23,1,Z265),IF(Z$6&gt;='Lease Cycles'!$AZ$23,'Lease Cycles'!$C$23*'Lease Cycles'!$BA$23/12,IF(Z$6&gt;='Lease Cycles'!$AX$23,'Lease Cycles'!$C$23*'Lease Cycles'!$AY$23/12,IF(Z$6&gt;='Lease Cycles'!$AV$23,'Lease Cycles'!$C$23*'Lease Cycles'!$AW$23/12,IF(Z$6&gt;='Lease Cycles'!$AT$23,'Lease Cycles'!$C$23*'Lease Cycles'!$AU$23/12,'Lease Cycles'!$C$23*INDEX('Lease Cycles'!$CB$23:$CH$23,1,Z265)*(1+INDEX('Lease Cycles'!$CI$23:$CO$23,1,Z265))^INT(INT(Z266/12)/INDEX('Lease Cycles'!$CP$23:$CV$23,1,Z265))/12)))),'Lease Cycles'!$C$23*INDEX('Lease Cycles'!$CB$23:$CH$23,1,Z265)*(1+INDEX('Lease Cycles'!$CI$23:$CO$23,1,Z265))^INT(INT(Z266/12)/INDEX('Lease Cycles'!$CP$23:$CV$23,1,Z265))/12),IF(INDEX('Lease Cycles'!$EF$23:$EL$23,1,Z265)=1,IF(AND('Lease Cycles'!$AZ$23&gt;=INDEX('Lease Cycles'!$BG$23:$BM$23,1,Z265),'Lease Cycles'!$AZ$23&lt;=Z$6),'Lease Cycles'!$C$23*'Lease Cycles'!$BA$23/12,IF(AND('Lease Cycles'!$AX$23&gt;=INDEX('Lease Cycles'!$BG$23:$BM$23,1,Z265),'Lease Cycles'!$AX$23&lt;=Z$6),'Lease Cycles'!$C$23*'Lease Cycles'!$AY$23/12,IF(AND('Lease Cycles'!$AV$23&gt;=INDEX('Lease Cycles'!$BG$23:$BM$23,1,Z265),'Lease Cycles'!$AV$23&lt;=Z$6),'Lease Cycles'!$C$23*'Lease Cycles'!$AW$23/12,IF(AND('Lease Cycles'!$AT$23&gt;=INDEX('Lease Cycles'!$BG$23:$BM$23,1,Z265),'Lease Cycles'!$AT$23&lt;=Z$6),'Lease Cycles'!$C$23*'Lease Cycles'!$AU$23/12,'Lease Cycles'!$C$23*INDEX('Lease Cycles'!$CB$23:$CH$23,1,Z265)*(1+INDEX('Lease Cycles'!$CI$23:$CO$23,1,Z265))^INT(INT(Z266/12)/INDEX('Lease Cycles'!$CP$23:$CV$23,1,Z265))/12)))),'Lease Cycles'!$C$23*INDEX('Lease Cycles'!$CB$23:$CH$23,1,Z265)*(1+INDEX('Lease Cycles'!$CI$23:$CO$23,1,Z265))^INT(INT(Z266/12)/INDEX('Lease Cycles'!$CP$23:$CV$23,1,Z265))/12))),IF('Lease Cycles'!$N$23=1,'Lease Cycles'!$C$23*'Lease Cycles'!$E$23*INDEX('Lease Cycles'!$HE$23:$HK$23,1,Z265)*(1+INDEX('Lease Cycles'!$GQ$23:$GW$23,1,Z265))^INT(INT((Z$6-INDEX('Lease Cycles'!$GJ$23:$GP$23,1,Z265))/12)/INDEX('Lease Cycles'!$GX$23:$HD$23,1,Z265))/12,0)))</f>
        <v>0</v>
      </c>
      <c r="AA268" s="28">
        <f>IF(AA265=0,IF('Lease Cycles'!$F$23&gt;0,'Lease Cycles'!$C$23*'Lease Cycles'!$E$23/12,0),IF(AA267=1,IF('Lease Cycles'!$AT$23&gt;=9999,'Lease Cycles'!$C$23*INDEX('Lease Cycles'!$CB$23:$CH$23,1,AA265)*(1+INDEX('Lease Cycles'!$CI$23:$CO$23,1,AA265))^INT(INT(AA266/12)/INDEX('Lease Cycles'!$CP$23:$CV$23,1,AA265))/12,IF(AA265=1,IF(AA266&gt;=INDEX('Lease Cycles'!$DK$23:$DQ$23,1,AA265),IF(AA$6&gt;='Lease Cycles'!$AZ$23,'Lease Cycles'!$C$23*'Lease Cycles'!$BA$23/12,IF(AA$6&gt;='Lease Cycles'!$AX$23,'Lease Cycles'!$C$23*'Lease Cycles'!$AY$23/12,IF(AA$6&gt;='Lease Cycles'!$AV$23,'Lease Cycles'!$C$23*'Lease Cycles'!$AW$23/12,IF(AA$6&gt;='Lease Cycles'!$AT$23,'Lease Cycles'!$C$23*'Lease Cycles'!$AU$23/12,'Lease Cycles'!$C$23*INDEX('Lease Cycles'!$CB$23:$CH$23,1,AA265)*(1+INDEX('Lease Cycles'!$CI$23:$CO$23,1,AA265))^INT(INT(AA266/12)/INDEX('Lease Cycles'!$CP$23:$CV$23,1,AA265))/12)))),'Lease Cycles'!$C$23*INDEX('Lease Cycles'!$CB$23:$CH$23,1,AA265)*(1+INDEX('Lease Cycles'!$CI$23:$CO$23,1,AA265))^INT(INT(AA266/12)/INDEX('Lease Cycles'!$CP$23:$CV$23,1,AA265))/12),IF(INDEX('Lease Cycles'!$EF$23:$EL$23,1,AA265)=1,IF(AND('Lease Cycles'!$AZ$23&gt;=INDEX('Lease Cycles'!$BG$23:$BM$23,1,AA265),'Lease Cycles'!$AZ$23&lt;=AA$6),'Lease Cycles'!$C$23*'Lease Cycles'!$BA$23/12,IF(AND('Lease Cycles'!$AX$23&gt;=INDEX('Lease Cycles'!$BG$23:$BM$23,1,AA265),'Lease Cycles'!$AX$23&lt;=AA$6),'Lease Cycles'!$C$23*'Lease Cycles'!$AY$23/12,IF(AND('Lease Cycles'!$AV$23&gt;=INDEX('Lease Cycles'!$BG$23:$BM$23,1,AA265),'Lease Cycles'!$AV$23&lt;=AA$6),'Lease Cycles'!$C$23*'Lease Cycles'!$AW$23/12,IF(AND('Lease Cycles'!$AT$23&gt;=INDEX('Lease Cycles'!$BG$23:$BM$23,1,AA265),'Lease Cycles'!$AT$23&lt;=AA$6),'Lease Cycles'!$C$23*'Lease Cycles'!$AU$23/12,'Lease Cycles'!$C$23*INDEX('Lease Cycles'!$CB$23:$CH$23,1,AA265)*(1+INDEX('Lease Cycles'!$CI$23:$CO$23,1,AA265))^INT(INT(AA266/12)/INDEX('Lease Cycles'!$CP$23:$CV$23,1,AA265))/12)))),'Lease Cycles'!$C$23*INDEX('Lease Cycles'!$CB$23:$CH$23,1,AA265)*(1+INDEX('Lease Cycles'!$CI$23:$CO$23,1,AA265))^INT(INT(AA266/12)/INDEX('Lease Cycles'!$CP$23:$CV$23,1,AA265))/12))),IF('Lease Cycles'!$N$23=1,'Lease Cycles'!$C$23*'Lease Cycles'!$E$23*INDEX('Lease Cycles'!$HE$23:$HK$23,1,AA265)*(1+INDEX('Lease Cycles'!$GQ$23:$GW$23,1,AA265))^INT(INT((AA$6-INDEX('Lease Cycles'!$GJ$23:$GP$23,1,AA265))/12)/INDEX('Lease Cycles'!$GX$23:$HD$23,1,AA265))/12,0)))</f>
        <v>0</v>
      </c>
      <c r="AB268" s="28">
        <f>IF(AB265=0,IF('Lease Cycles'!$F$23&gt;0,'Lease Cycles'!$C$23*'Lease Cycles'!$E$23/12,0),IF(AB267=1,IF('Lease Cycles'!$AT$23&gt;=9999,'Lease Cycles'!$C$23*INDEX('Lease Cycles'!$CB$23:$CH$23,1,AB265)*(1+INDEX('Lease Cycles'!$CI$23:$CO$23,1,AB265))^INT(INT(AB266/12)/INDEX('Lease Cycles'!$CP$23:$CV$23,1,AB265))/12,IF(AB265=1,IF(AB266&gt;=INDEX('Lease Cycles'!$DK$23:$DQ$23,1,AB265),IF(AB$6&gt;='Lease Cycles'!$AZ$23,'Lease Cycles'!$C$23*'Lease Cycles'!$BA$23/12,IF(AB$6&gt;='Lease Cycles'!$AX$23,'Lease Cycles'!$C$23*'Lease Cycles'!$AY$23/12,IF(AB$6&gt;='Lease Cycles'!$AV$23,'Lease Cycles'!$C$23*'Lease Cycles'!$AW$23/12,IF(AB$6&gt;='Lease Cycles'!$AT$23,'Lease Cycles'!$C$23*'Lease Cycles'!$AU$23/12,'Lease Cycles'!$C$23*INDEX('Lease Cycles'!$CB$23:$CH$23,1,AB265)*(1+INDEX('Lease Cycles'!$CI$23:$CO$23,1,AB265))^INT(INT(AB266/12)/INDEX('Lease Cycles'!$CP$23:$CV$23,1,AB265))/12)))),'Lease Cycles'!$C$23*INDEX('Lease Cycles'!$CB$23:$CH$23,1,AB265)*(1+INDEX('Lease Cycles'!$CI$23:$CO$23,1,AB265))^INT(INT(AB266/12)/INDEX('Lease Cycles'!$CP$23:$CV$23,1,AB265))/12),IF(INDEX('Lease Cycles'!$EF$23:$EL$23,1,AB265)=1,IF(AND('Lease Cycles'!$AZ$23&gt;=INDEX('Lease Cycles'!$BG$23:$BM$23,1,AB265),'Lease Cycles'!$AZ$23&lt;=AB$6),'Lease Cycles'!$C$23*'Lease Cycles'!$BA$23/12,IF(AND('Lease Cycles'!$AX$23&gt;=INDEX('Lease Cycles'!$BG$23:$BM$23,1,AB265),'Lease Cycles'!$AX$23&lt;=AB$6),'Lease Cycles'!$C$23*'Lease Cycles'!$AY$23/12,IF(AND('Lease Cycles'!$AV$23&gt;=INDEX('Lease Cycles'!$BG$23:$BM$23,1,AB265),'Lease Cycles'!$AV$23&lt;=AB$6),'Lease Cycles'!$C$23*'Lease Cycles'!$AW$23/12,IF(AND('Lease Cycles'!$AT$23&gt;=INDEX('Lease Cycles'!$BG$23:$BM$23,1,AB265),'Lease Cycles'!$AT$23&lt;=AB$6),'Lease Cycles'!$C$23*'Lease Cycles'!$AU$23/12,'Lease Cycles'!$C$23*INDEX('Lease Cycles'!$CB$23:$CH$23,1,AB265)*(1+INDEX('Lease Cycles'!$CI$23:$CO$23,1,AB265))^INT(INT(AB266/12)/INDEX('Lease Cycles'!$CP$23:$CV$23,1,AB265))/12)))),'Lease Cycles'!$C$23*INDEX('Lease Cycles'!$CB$23:$CH$23,1,AB265)*(1+INDEX('Lease Cycles'!$CI$23:$CO$23,1,AB265))^INT(INT(AB266/12)/INDEX('Lease Cycles'!$CP$23:$CV$23,1,AB265))/12))),IF('Lease Cycles'!$N$23=1,'Lease Cycles'!$C$23*'Lease Cycles'!$E$23*INDEX('Lease Cycles'!$HE$23:$HK$23,1,AB265)*(1+INDEX('Lease Cycles'!$GQ$23:$GW$23,1,AB265))^INT(INT((AB$6-INDEX('Lease Cycles'!$GJ$23:$GP$23,1,AB265))/12)/INDEX('Lease Cycles'!$GX$23:$HD$23,1,AB265))/12,0)))</f>
        <v>0</v>
      </c>
      <c r="AC268" s="28">
        <f>IF(AC265=0,IF('Lease Cycles'!$F$23&gt;0,'Lease Cycles'!$C$23*'Lease Cycles'!$E$23/12,0),IF(AC267=1,IF('Lease Cycles'!$AT$23&gt;=9999,'Lease Cycles'!$C$23*INDEX('Lease Cycles'!$CB$23:$CH$23,1,AC265)*(1+INDEX('Lease Cycles'!$CI$23:$CO$23,1,AC265))^INT(INT(AC266/12)/INDEX('Lease Cycles'!$CP$23:$CV$23,1,AC265))/12,IF(AC265=1,IF(AC266&gt;=INDEX('Lease Cycles'!$DK$23:$DQ$23,1,AC265),IF(AC$6&gt;='Lease Cycles'!$AZ$23,'Lease Cycles'!$C$23*'Lease Cycles'!$BA$23/12,IF(AC$6&gt;='Lease Cycles'!$AX$23,'Lease Cycles'!$C$23*'Lease Cycles'!$AY$23/12,IF(AC$6&gt;='Lease Cycles'!$AV$23,'Lease Cycles'!$C$23*'Lease Cycles'!$AW$23/12,IF(AC$6&gt;='Lease Cycles'!$AT$23,'Lease Cycles'!$C$23*'Lease Cycles'!$AU$23/12,'Lease Cycles'!$C$23*INDEX('Lease Cycles'!$CB$23:$CH$23,1,AC265)*(1+INDEX('Lease Cycles'!$CI$23:$CO$23,1,AC265))^INT(INT(AC266/12)/INDEX('Lease Cycles'!$CP$23:$CV$23,1,AC265))/12)))),'Lease Cycles'!$C$23*INDEX('Lease Cycles'!$CB$23:$CH$23,1,AC265)*(1+INDEX('Lease Cycles'!$CI$23:$CO$23,1,AC265))^INT(INT(AC266/12)/INDEX('Lease Cycles'!$CP$23:$CV$23,1,AC265))/12),IF(INDEX('Lease Cycles'!$EF$23:$EL$23,1,AC265)=1,IF(AND('Lease Cycles'!$AZ$23&gt;=INDEX('Lease Cycles'!$BG$23:$BM$23,1,AC265),'Lease Cycles'!$AZ$23&lt;=AC$6),'Lease Cycles'!$C$23*'Lease Cycles'!$BA$23/12,IF(AND('Lease Cycles'!$AX$23&gt;=INDEX('Lease Cycles'!$BG$23:$BM$23,1,AC265),'Lease Cycles'!$AX$23&lt;=AC$6),'Lease Cycles'!$C$23*'Lease Cycles'!$AY$23/12,IF(AND('Lease Cycles'!$AV$23&gt;=INDEX('Lease Cycles'!$BG$23:$BM$23,1,AC265),'Lease Cycles'!$AV$23&lt;=AC$6),'Lease Cycles'!$C$23*'Lease Cycles'!$AW$23/12,IF(AND('Lease Cycles'!$AT$23&gt;=INDEX('Lease Cycles'!$BG$23:$BM$23,1,AC265),'Lease Cycles'!$AT$23&lt;=AC$6),'Lease Cycles'!$C$23*'Lease Cycles'!$AU$23/12,'Lease Cycles'!$C$23*INDEX('Lease Cycles'!$CB$23:$CH$23,1,AC265)*(1+INDEX('Lease Cycles'!$CI$23:$CO$23,1,AC265))^INT(INT(AC266/12)/INDEX('Lease Cycles'!$CP$23:$CV$23,1,AC265))/12)))),'Lease Cycles'!$C$23*INDEX('Lease Cycles'!$CB$23:$CH$23,1,AC265)*(1+INDEX('Lease Cycles'!$CI$23:$CO$23,1,AC265))^INT(INT(AC266/12)/INDEX('Lease Cycles'!$CP$23:$CV$23,1,AC265))/12))),IF('Lease Cycles'!$N$23=1,'Lease Cycles'!$C$23*'Lease Cycles'!$E$23*INDEX('Lease Cycles'!$HE$23:$HK$23,1,AC265)*(1+INDEX('Lease Cycles'!$GQ$23:$GW$23,1,AC265))^INT(INT((AC$6-INDEX('Lease Cycles'!$GJ$23:$GP$23,1,AC265))/12)/INDEX('Lease Cycles'!$GX$23:$HD$23,1,AC265))/12,0)))</f>
        <v>0</v>
      </c>
      <c r="AD268" s="28">
        <f>IF(AD265=0,IF('Lease Cycles'!$F$23&gt;0,'Lease Cycles'!$C$23*'Lease Cycles'!$E$23/12,0),IF(AD267=1,IF('Lease Cycles'!$AT$23&gt;=9999,'Lease Cycles'!$C$23*INDEX('Lease Cycles'!$CB$23:$CH$23,1,AD265)*(1+INDEX('Lease Cycles'!$CI$23:$CO$23,1,AD265))^INT(INT(AD266/12)/INDEX('Lease Cycles'!$CP$23:$CV$23,1,AD265))/12,IF(AD265=1,IF(AD266&gt;=INDEX('Lease Cycles'!$DK$23:$DQ$23,1,AD265),IF(AD$6&gt;='Lease Cycles'!$AZ$23,'Lease Cycles'!$C$23*'Lease Cycles'!$BA$23/12,IF(AD$6&gt;='Lease Cycles'!$AX$23,'Lease Cycles'!$C$23*'Lease Cycles'!$AY$23/12,IF(AD$6&gt;='Lease Cycles'!$AV$23,'Lease Cycles'!$C$23*'Lease Cycles'!$AW$23/12,IF(AD$6&gt;='Lease Cycles'!$AT$23,'Lease Cycles'!$C$23*'Lease Cycles'!$AU$23/12,'Lease Cycles'!$C$23*INDEX('Lease Cycles'!$CB$23:$CH$23,1,AD265)*(1+INDEX('Lease Cycles'!$CI$23:$CO$23,1,AD265))^INT(INT(AD266/12)/INDEX('Lease Cycles'!$CP$23:$CV$23,1,AD265))/12)))),'Lease Cycles'!$C$23*INDEX('Lease Cycles'!$CB$23:$CH$23,1,AD265)*(1+INDEX('Lease Cycles'!$CI$23:$CO$23,1,AD265))^INT(INT(AD266/12)/INDEX('Lease Cycles'!$CP$23:$CV$23,1,AD265))/12),IF(INDEX('Lease Cycles'!$EF$23:$EL$23,1,AD265)=1,IF(AND('Lease Cycles'!$AZ$23&gt;=INDEX('Lease Cycles'!$BG$23:$BM$23,1,AD265),'Lease Cycles'!$AZ$23&lt;=AD$6),'Lease Cycles'!$C$23*'Lease Cycles'!$BA$23/12,IF(AND('Lease Cycles'!$AX$23&gt;=INDEX('Lease Cycles'!$BG$23:$BM$23,1,AD265),'Lease Cycles'!$AX$23&lt;=AD$6),'Lease Cycles'!$C$23*'Lease Cycles'!$AY$23/12,IF(AND('Lease Cycles'!$AV$23&gt;=INDEX('Lease Cycles'!$BG$23:$BM$23,1,AD265),'Lease Cycles'!$AV$23&lt;=AD$6),'Lease Cycles'!$C$23*'Lease Cycles'!$AW$23/12,IF(AND('Lease Cycles'!$AT$23&gt;=INDEX('Lease Cycles'!$BG$23:$BM$23,1,AD265),'Lease Cycles'!$AT$23&lt;=AD$6),'Lease Cycles'!$C$23*'Lease Cycles'!$AU$23/12,'Lease Cycles'!$C$23*INDEX('Lease Cycles'!$CB$23:$CH$23,1,AD265)*(1+INDEX('Lease Cycles'!$CI$23:$CO$23,1,AD265))^INT(INT(AD266/12)/INDEX('Lease Cycles'!$CP$23:$CV$23,1,AD265))/12)))),'Lease Cycles'!$C$23*INDEX('Lease Cycles'!$CB$23:$CH$23,1,AD265)*(1+INDEX('Lease Cycles'!$CI$23:$CO$23,1,AD265))^INT(INT(AD266/12)/INDEX('Lease Cycles'!$CP$23:$CV$23,1,AD265))/12))),IF('Lease Cycles'!$N$23=1,'Lease Cycles'!$C$23*'Lease Cycles'!$E$23*INDEX('Lease Cycles'!$HE$23:$HK$23,1,AD265)*(1+INDEX('Lease Cycles'!$GQ$23:$GW$23,1,AD265))^INT(INT((AD$6-INDEX('Lease Cycles'!$GJ$23:$GP$23,1,AD265))/12)/INDEX('Lease Cycles'!$GX$23:$HD$23,1,AD265))/12,0)))</f>
        <v>0</v>
      </c>
      <c r="AE268" s="28">
        <f>IF(AE265=0,IF('Lease Cycles'!$F$23&gt;0,'Lease Cycles'!$C$23*'Lease Cycles'!$E$23/12,0),IF(AE267=1,IF('Lease Cycles'!$AT$23&gt;=9999,'Lease Cycles'!$C$23*INDEX('Lease Cycles'!$CB$23:$CH$23,1,AE265)*(1+INDEX('Lease Cycles'!$CI$23:$CO$23,1,AE265))^INT(INT(AE266/12)/INDEX('Lease Cycles'!$CP$23:$CV$23,1,AE265))/12,IF(AE265=1,IF(AE266&gt;=INDEX('Lease Cycles'!$DK$23:$DQ$23,1,AE265),IF(AE$6&gt;='Lease Cycles'!$AZ$23,'Lease Cycles'!$C$23*'Lease Cycles'!$BA$23/12,IF(AE$6&gt;='Lease Cycles'!$AX$23,'Lease Cycles'!$C$23*'Lease Cycles'!$AY$23/12,IF(AE$6&gt;='Lease Cycles'!$AV$23,'Lease Cycles'!$C$23*'Lease Cycles'!$AW$23/12,IF(AE$6&gt;='Lease Cycles'!$AT$23,'Lease Cycles'!$C$23*'Lease Cycles'!$AU$23/12,'Lease Cycles'!$C$23*INDEX('Lease Cycles'!$CB$23:$CH$23,1,AE265)*(1+INDEX('Lease Cycles'!$CI$23:$CO$23,1,AE265))^INT(INT(AE266/12)/INDEX('Lease Cycles'!$CP$23:$CV$23,1,AE265))/12)))),'Lease Cycles'!$C$23*INDEX('Lease Cycles'!$CB$23:$CH$23,1,AE265)*(1+INDEX('Lease Cycles'!$CI$23:$CO$23,1,AE265))^INT(INT(AE266/12)/INDEX('Lease Cycles'!$CP$23:$CV$23,1,AE265))/12),IF(INDEX('Lease Cycles'!$EF$23:$EL$23,1,AE265)=1,IF(AND('Lease Cycles'!$AZ$23&gt;=INDEX('Lease Cycles'!$BG$23:$BM$23,1,AE265),'Lease Cycles'!$AZ$23&lt;=AE$6),'Lease Cycles'!$C$23*'Lease Cycles'!$BA$23/12,IF(AND('Lease Cycles'!$AX$23&gt;=INDEX('Lease Cycles'!$BG$23:$BM$23,1,AE265),'Lease Cycles'!$AX$23&lt;=AE$6),'Lease Cycles'!$C$23*'Lease Cycles'!$AY$23/12,IF(AND('Lease Cycles'!$AV$23&gt;=INDEX('Lease Cycles'!$BG$23:$BM$23,1,AE265),'Lease Cycles'!$AV$23&lt;=AE$6),'Lease Cycles'!$C$23*'Lease Cycles'!$AW$23/12,IF(AND('Lease Cycles'!$AT$23&gt;=INDEX('Lease Cycles'!$BG$23:$BM$23,1,AE265),'Lease Cycles'!$AT$23&lt;=AE$6),'Lease Cycles'!$C$23*'Lease Cycles'!$AU$23/12,'Lease Cycles'!$C$23*INDEX('Lease Cycles'!$CB$23:$CH$23,1,AE265)*(1+INDEX('Lease Cycles'!$CI$23:$CO$23,1,AE265))^INT(INT(AE266/12)/INDEX('Lease Cycles'!$CP$23:$CV$23,1,AE265))/12)))),'Lease Cycles'!$C$23*INDEX('Lease Cycles'!$CB$23:$CH$23,1,AE265)*(1+INDEX('Lease Cycles'!$CI$23:$CO$23,1,AE265))^INT(INT(AE266/12)/INDEX('Lease Cycles'!$CP$23:$CV$23,1,AE265))/12))),IF('Lease Cycles'!$N$23=1,'Lease Cycles'!$C$23*'Lease Cycles'!$E$23*INDEX('Lease Cycles'!$HE$23:$HK$23,1,AE265)*(1+INDEX('Lease Cycles'!$GQ$23:$GW$23,1,AE265))^INT(INT((AE$6-INDEX('Lease Cycles'!$GJ$23:$GP$23,1,AE265))/12)/INDEX('Lease Cycles'!$GX$23:$HD$23,1,AE265))/12,0)))</f>
        <v>0</v>
      </c>
      <c r="AF268" s="28">
        <f>IF(AF265=0,IF('Lease Cycles'!$F$23&gt;0,'Lease Cycles'!$C$23*'Lease Cycles'!$E$23/12,0),IF(AF267=1,IF('Lease Cycles'!$AT$23&gt;=9999,'Lease Cycles'!$C$23*INDEX('Lease Cycles'!$CB$23:$CH$23,1,AF265)*(1+INDEX('Lease Cycles'!$CI$23:$CO$23,1,AF265))^INT(INT(AF266/12)/INDEX('Lease Cycles'!$CP$23:$CV$23,1,AF265))/12,IF(AF265=1,IF(AF266&gt;=INDEX('Lease Cycles'!$DK$23:$DQ$23,1,AF265),IF(AF$6&gt;='Lease Cycles'!$AZ$23,'Lease Cycles'!$C$23*'Lease Cycles'!$BA$23/12,IF(AF$6&gt;='Lease Cycles'!$AX$23,'Lease Cycles'!$C$23*'Lease Cycles'!$AY$23/12,IF(AF$6&gt;='Lease Cycles'!$AV$23,'Lease Cycles'!$C$23*'Lease Cycles'!$AW$23/12,IF(AF$6&gt;='Lease Cycles'!$AT$23,'Lease Cycles'!$C$23*'Lease Cycles'!$AU$23/12,'Lease Cycles'!$C$23*INDEX('Lease Cycles'!$CB$23:$CH$23,1,AF265)*(1+INDEX('Lease Cycles'!$CI$23:$CO$23,1,AF265))^INT(INT(AF266/12)/INDEX('Lease Cycles'!$CP$23:$CV$23,1,AF265))/12)))),'Lease Cycles'!$C$23*INDEX('Lease Cycles'!$CB$23:$CH$23,1,AF265)*(1+INDEX('Lease Cycles'!$CI$23:$CO$23,1,AF265))^INT(INT(AF266/12)/INDEX('Lease Cycles'!$CP$23:$CV$23,1,AF265))/12),IF(INDEX('Lease Cycles'!$EF$23:$EL$23,1,AF265)=1,IF(AND('Lease Cycles'!$AZ$23&gt;=INDEX('Lease Cycles'!$BG$23:$BM$23,1,AF265),'Lease Cycles'!$AZ$23&lt;=AF$6),'Lease Cycles'!$C$23*'Lease Cycles'!$BA$23/12,IF(AND('Lease Cycles'!$AX$23&gt;=INDEX('Lease Cycles'!$BG$23:$BM$23,1,AF265),'Lease Cycles'!$AX$23&lt;=AF$6),'Lease Cycles'!$C$23*'Lease Cycles'!$AY$23/12,IF(AND('Lease Cycles'!$AV$23&gt;=INDEX('Lease Cycles'!$BG$23:$BM$23,1,AF265),'Lease Cycles'!$AV$23&lt;=AF$6),'Lease Cycles'!$C$23*'Lease Cycles'!$AW$23/12,IF(AND('Lease Cycles'!$AT$23&gt;=INDEX('Lease Cycles'!$BG$23:$BM$23,1,AF265),'Lease Cycles'!$AT$23&lt;=AF$6),'Lease Cycles'!$C$23*'Lease Cycles'!$AU$23/12,'Lease Cycles'!$C$23*INDEX('Lease Cycles'!$CB$23:$CH$23,1,AF265)*(1+INDEX('Lease Cycles'!$CI$23:$CO$23,1,AF265))^INT(INT(AF266/12)/INDEX('Lease Cycles'!$CP$23:$CV$23,1,AF265))/12)))),'Lease Cycles'!$C$23*INDEX('Lease Cycles'!$CB$23:$CH$23,1,AF265)*(1+INDEX('Lease Cycles'!$CI$23:$CO$23,1,AF265))^INT(INT(AF266/12)/INDEX('Lease Cycles'!$CP$23:$CV$23,1,AF265))/12))),IF('Lease Cycles'!$N$23=1,'Lease Cycles'!$C$23*'Lease Cycles'!$E$23*INDEX('Lease Cycles'!$HE$23:$HK$23,1,AF265)*(1+INDEX('Lease Cycles'!$GQ$23:$GW$23,1,AF265))^INT(INT((AF$6-INDEX('Lease Cycles'!$GJ$23:$GP$23,1,AF265))/12)/INDEX('Lease Cycles'!$GX$23:$HD$23,1,AF265))/12,0)))</f>
        <v>0</v>
      </c>
      <c r="AG268" s="28">
        <f>IF(AG265=0,IF('Lease Cycles'!$F$23&gt;0,'Lease Cycles'!$C$23*'Lease Cycles'!$E$23/12,0),IF(AG267=1,IF('Lease Cycles'!$AT$23&gt;=9999,'Lease Cycles'!$C$23*INDEX('Lease Cycles'!$CB$23:$CH$23,1,AG265)*(1+INDEX('Lease Cycles'!$CI$23:$CO$23,1,AG265))^INT(INT(AG266/12)/INDEX('Lease Cycles'!$CP$23:$CV$23,1,AG265))/12,IF(AG265=1,IF(AG266&gt;=INDEX('Lease Cycles'!$DK$23:$DQ$23,1,AG265),IF(AG$6&gt;='Lease Cycles'!$AZ$23,'Lease Cycles'!$C$23*'Lease Cycles'!$BA$23/12,IF(AG$6&gt;='Lease Cycles'!$AX$23,'Lease Cycles'!$C$23*'Lease Cycles'!$AY$23/12,IF(AG$6&gt;='Lease Cycles'!$AV$23,'Lease Cycles'!$C$23*'Lease Cycles'!$AW$23/12,IF(AG$6&gt;='Lease Cycles'!$AT$23,'Lease Cycles'!$C$23*'Lease Cycles'!$AU$23/12,'Lease Cycles'!$C$23*INDEX('Lease Cycles'!$CB$23:$CH$23,1,AG265)*(1+INDEX('Lease Cycles'!$CI$23:$CO$23,1,AG265))^INT(INT(AG266/12)/INDEX('Lease Cycles'!$CP$23:$CV$23,1,AG265))/12)))),'Lease Cycles'!$C$23*INDEX('Lease Cycles'!$CB$23:$CH$23,1,AG265)*(1+INDEX('Lease Cycles'!$CI$23:$CO$23,1,AG265))^INT(INT(AG266/12)/INDEX('Lease Cycles'!$CP$23:$CV$23,1,AG265))/12),IF(INDEX('Lease Cycles'!$EF$23:$EL$23,1,AG265)=1,IF(AND('Lease Cycles'!$AZ$23&gt;=INDEX('Lease Cycles'!$BG$23:$BM$23,1,AG265),'Lease Cycles'!$AZ$23&lt;=AG$6),'Lease Cycles'!$C$23*'Lease Cycles'!$BA$23/12,IF(AND('Lease Cycles'!$AX$23&gt;=INDEX('Lease Cycles'!$BG$23:$BM$23,1,AG265),'Lease Cycles'!$AX$23&lt;=AG$6),'Lease Cycles'!$C$23*'Lease Cycles'!$AY$23/12,IF(AND('Lease Cycles'!$AV$23&gt;=INDEX('Lease Cycles'!$BG$23:$BM$23,1,AG265),'Lease Cycles'!$AV$23&lt;=AG$6),'Lease Cycles'!$C$23*'Lease Cycles'!$AW$23/12,IF(AND('Lease Cycles'!$AT$23&gt;=INDEX('Lease Cycles'!$BG$23:$BM$23,1,AG265),'Lease Cycles'!$AT$23&lt;=AG$6),'Lease Cycles'!$C$23*'Lease Cycles'!$AU$23/12,'Lease Cycles'!$C$23*INDEX('Lease Cycles'!$CB$23:$CH$23,1,AG265)*(1+INDEX('Lease Cycles'!$CI$23:$CO$23,1,AG265))^INT(INT(AG266/12)/INDEX('Lease Cycles'!$CP$23:$CV$23,1,AG265))/12)))),'Lease Cycles'!$C$23*INDEX('Lease Cycles'!$CB$23:$CH$23,1,AG265)*(1+INDEX('Lease Cycles'!$CI$23:$CO$23,1,AG265))^INT(INT(AG266/12)/INDEX('Lease Cycles'!$CP$23:$CV$23,1,AG265))/12))),IF('Lease Cycles'!$N$23=1,'Lease Cycles'!$C$23*'Lease Cycles'!$E$23*INDEX('Lease Cycles'!$HE$23:$HK$23,1,AG265)*(1+INDEX('Lease Cycles'!$GQ$23:$GW$23,1,AG265))^INT(INT((AG$6-INDEX('Lease Cycles'!$GJ$23:$GP$23,1,AG265))/12)/INDEX('Lease Cycles'!$GX$23:$HD$23,1,AG265))/12,0)))</f>
        <v>0</v>
      </c>
      <c r="AH268" s="28">
        <f>IF(AH265=0,IF('Lease Cycles'!$F$23&gt;0,'Lease Cycles'!$C$23*'Lease Cycles'!$E$23/12,0),IF(AH267=1,IF('Lease Cycles'!$AT$23&gt;=9999,'Lease Cycles'!$C$23*INDEX('Lease Cycles'!$CB$23:$CH$23,1,AH265)*(1+INDEX('Lease Cycles'!$CI$23:$CO$23,1,AH265))^INT(INT(AH266/12)/INDEX('Lease Cycles'!$CP$23:$CV$23,1,AH265))/12,IF(AH265=1,IF(AH266&gt;=INDEX('Lease Cycles'!$DK$23:$DQ$23,1,AH265),IF(AH$6&gt;='Lease Cycles'!$AZ$23,'Lease Cycles'!$C$23*'Lease Cycles'!$BA$23/12,IF(AH$6&gt;='Lease Cycles'!$AX$23,'Lease Cycles'!$C$23*'Lease Cycles'!$AY$23/12,IF(AH$6&gt;='Lease Cycles'!$AV$23,'Lease Cycles'!$C$23*'Lease Cycles'!$AW$23/12,IF(AH$6&gt;='Lease Cycles'!$AT$23,'Lease Cycles'!$C$23*'Lease Cycles'!$AU$23/12,'Lease Cycles'!$C$23*INDEX('Lease Cycles'!$CB$23:$CH$23,1,AH265)*(1+INDEX('Lease Cycles'!$CI$23:$CO$23,1,AH265))^INT(INT(AH266/12)/INDEX('Lease Cycles'!$CP$23:$CV$23,1,AH265))/12)))),'Lease Cycles'!$C$23*INDEX('Lease Cycles'!$CB$23:$CH$23,1,AH265)*(1+INDEX('Lease Cycles'!$CI$23:$CO$23,1,AH265))^INT(INT(AH266/12)/INDEX('Lease Cycles'!$CP$23:$CV$23,1,AH265))/12),IF(INDEX('Lease Cycles'!$EF$23:$EL$23,1,AH265)=1,IF(AND('Lease Cycles'!$AZ$23&gt;=INDEX('Lease Cycles'!$BG$23:$BM$23,1,AH265),'Lease Cycles'!$AZ$23&lt;=AH$6),'Lease Cycles'!$C$23*'Lease Cycles'!$BA$23/12,IF(AND('Lease Cycles'!$AX$23&gt;=INDEX('Lease Cycles'!$BG$23:$BM$23,1,AH265),'Lease Cycles'!$AX$23&lt;=AH$6),'Lease Cycles'!$C$23*'Lease Cycles'!$AY$23/12,IF(AND('Lease Cycles'!$AV$23&gt;=INDEX('Lease Cycles'!$BG$23:$BM$23,1,AH265),'Lease Cycles'!$AV$23&lt;=AH$6),'Lease Cycles'!$C$23*'Lease Cycles'!$AW$23/12,IF(AND('Lease Cycles'!$AT$23&gt;=INDEX('Lease Cycles'!$BG$23:$BM$23,1,AH265),'Lease Cycles'!$AT$23&lt;=AH$6),'Lease Cycles'!$C$23*'Lease Cycles'!$AU$23/12,'Lease Cycles'!$C$23*INDEX('Lease Cycles'!$CB$23:$CH$23,1,AH265)*(1+INDEX('Lease Cycles'!$CI$23:$CO$23,1,AH265))^INT(INT(AH266/12)/INDEX('Lease Cycles'!$CP$23:$CV$23,1,AH265))/12)))),'Lease Cycles'!$C$23*INDEX('Lease Cycles'!$CB$23:$CH$23,1,AH265)*(1+INDEX('Lease Cycles'!$CI$23:$CO$23,1,AH265))^INT(INT(AH266/12)/INDEX('Lease Cycles'!$CP$23:$CV$23,1,AH265))/12))),IF('Lease Cycles'!$N$23=1,'Lease Cycles'!$C$23*'Lease Cycles'!$E$23*INDEX('Lease Cycles'!$HE$23:$HK$23,1,AH265)*(1+INDEX('Lease Cycles'!$GQ$23:$GW$23,1,AH265))^INT(INT((AH$6-INDEX('Lease Cycles'!$GJ$23:$GP$23,1,AH265))/12)/INDEX('Lease Cycles'!$GX$23:$HD$23,1,AH265))/12,0)))</f>
        <v>0</v>
      </c>
      <c r="AI268" s="28">
        <f>IF(AI265=0,IF('Lease Cycles'!$F$23&gt;0,'Lease Cycles'!$C$23*'Lease Cycles'!$E$23/12,0),IF(AI267=1,IF('Lease Cycles'!$AT$23&gt;=9999,'Lease Cycles'!$C$23*INDEX('Lease Cycles'!$CB$23:$CH$23,1,AI265)*(1+INDEX('Lease Cycles'!$CI$23:$CO$23,1,AI265))^INT(INT(AI266/12)/INDEX('Lease Cycles'!$CP$23:$CV$23,1,AI265))/12,IF(AI265=1,IF(AI266&gt;=INDEX('Lease Cycles'!$DK$23:$DQ$23,1,AI265),IF(AI$6&gt;='Lease Cycles'!$AZ$23,'Lease Cycles'!$C$23*'Lease Cycles'!$BA$23/12,IF(AI$6&gt;='Lease Cycles'!$AX$23,'Lease Cycles'!$C$23*'Lease Cycles'!$AY$23/12,IF(AI$6&gt;='Lease Cycles'!$AV$23,'Lease Cycles'!$C$23*'Lease Cycles'!$AW$23/12,IF(AI$6&gt;='Lease Cycles'!$AT$23,'Lease Cycles'!$C$23*'Lease Cycles'!$AU$23/12,'Lease Cycles'!$C$23*INDEX('Lease Cycles'!$CB$23:$CH$23,1,AI265)*(1+INDEX('Lease Cycles'!$CI$23:$CO$23,1,AI265))^INT(INT(AI266/12)/INDEX('Lease Cycles'!$CP$23:$CV$23,1,AI265))/12)))),'Lease Cycles'!$C$23*INDEX('Lease Cycles'!$CB$23:$CH$23,1,AI265)*(1+INDEX('Lease Cycles'!$CI$23:$CO$23,1,AI265))^INT(INT(AI266/12)/INDEX('Lease Cycles'!$CP$23:$CV$23,1,AI265))/12),IF(INDEX('Lease Cycles'!$EF$23:$EL$23,1,AI265)=1,IF(AND('Lease Cycles'!$AZ$23&gt;=INDEX('Lease Cycles'!$BG$23:$BM$23,1,AI265),'Lease Cycles'!$AZ$23&lt;=AI$6),'Lease Cycles'!$C$23*'Lease Cycles'!$BA$23/12,IF(AND('Lease Cycles'!$AX$23&gt;=INDEX('Lease Cycles'!$BG$23:$BM$23,1,AI265),'Lease Cycles'!$AX$23&lt;=AI$6),'Lease Cycles'!$C$23*'Lease Cycles'!$AY$23/12,IF(AND('Lease Cycles'!$AV$23&gt;=INDEX('Lease Cycles'!$BG$23:$BM$23,1,AI265),'Lease Cycles'!$AV$23&lt;=AI$6),'Lease Cycles'!$C$23*'Lease Cycles'!$AW$23/12,IF(AND('Lease Cycles'!$AT$23&gt;=INDEX('Lease Cycles'!$BG$23:$BM$23,1,AI265),'Lease Cycles'!$AT$23&lt;=AI$6),'Lease Cycles'!$C$23*'Lease Cycles'!$AU$23/12,'Lease Cycles'!$C$23*INDEX('Lease Cycles'!$CB$23:$CH$23,1,AI265)*(1+INDEX('Lease Cycles'!$CI$23:$CO$23,1,AI265))^INT(INT(AI266/12)/INDEX('Lease Cycles'!$CP$23:$CV$23,1,AI265))/12)))),'Lease Cycles'!$C$23*INDEX('Lease Cycles'!$CB$23:$CH$23,1,AI265)*(1+INDEX('Lease Cycles'!$CI$23:$CO$23,1,AI265))^INT(INT(AI266/12)/INDEX('Lease Cycles'!$CP$23:$CV$23,1,AI265))/12))),IF('Lease Cycles'!$N$23=1,'Lease Cycles'!$C$23*'Lease Cycles'!$E$23*INDEX('Lease Cycles'!$HE$23:$HK$23,1,AI265)*(1+INDEX('Lease Cycles'!$GQ$23:$GW$23,1,AI265))^INT(INT((AI$6-INDEX('Lease Cycles'!$GJ$23:$GP$23,1,AI265))/12)/INDEX('Lease Cycles'!$GX$23:$HD$23,1,AI265))/12,0)))</f>
        <v>0</v>
      </c>
      <c r="AJ268" s="28">
        <f>IF(AJ265=0,IF('Lease Cycles'!$F$23&gt;0,'Lease Cycles'!$C$23*'Lease Cycles'!$E$23/12,0),IF(AJ267=1,IF('Lease Cycles'!$AT$23&gt;=9999,'Lease Cycles'!$C$23*INDEX('Lease Cycles'!$CB$23:$CH$23,1,AJ265)*(1+INDEX('Lease Cycles'!$CI$23:$CO$23,1,AJ265))^INT(INT(AJ266/12)/INDEX('Lease Cycles'!$CP$23:$CV$23,1,AJ265))/12,IF(AJ265=1,IF(AJ266&gt;=INDEX('Lease Cycles'!$DK$23:$DQ$23,1,AJ265),IF(AJ$6&gt;='Lease Cycles'!$AZ$23,'Lease Cycles'!$C$23*'Lease Cycles'!$BA$23/12,IF(AJ$6&gt;='Lease Cycles'!$AX$23,'Lease Cycles'!$C$23*'Lease Cycles'!$AY$23/12,IF(AJ$6&gt;='Lease Cycles'!$AV$23,'Lease Cycles'!$C$23*'Lease Cycles'!$AW$23/12,IF(AJ$6&gt;='Lease Cycles'!$AT$23,'Lease Cycles'!$C$23*'Lease Cycles'!$AU$23/12,'Lease Cycles'!$C$23*INDEX('Lease Cycles'!$CB$23:$CH$23,1,AJ265)*(1+INDEX('Lease Cycles'!$CI$23:$CO$23,1,AJ265))^INT(INT(AJ266/12)/INDEX('Lease Cycles'!$CP$23:$CV$23,1,AJ265))/12)))),'Lease Cycles'!$C$23*INDEX('Lease Cycles'!$CB$23:$CH$23,1,AJ265)*(1+INDEX('Lease Cycles'!$CI$23:$CO$23,1,AJ265))^INT(INT(AJ266/12)/INDEX('Lease Cycles'!$CP$23:$CV$23,1,AJ265))/12),IF(INDEX('Lease Cycles'!$EF$23:$EL$23,1,AJ265)=1,IF(AND('Lease Cycles'!$AZ$23&gt;=INDEX('Lease Cycles'!$BG$23:$BM$23,1,AJ265),'Lease Cycles'!$AZ$23&lt;=AJ$6),'Lease Cycles'!$C$23*'Lease Cycles'!$BA$23/12,IF(AND('Lease Cycles'!$AX$23&gt;=INDEX('Lease Cycles'!$BG$23:$BM$23,1,AJ265),'Lease Cycles'!$AX$23&lt;=AJ$6),'Lease Cycles'!$C$23*'Lease Cycles'!$AY$23/12,IF(AND('Lease Cycles'!$AV$23&gt;=INDEX('Lease Cycles'!$BG$23:$BM$23,1,AJ265),'Lease Cycles'!$AV$23&lt;=AJ$6),'Lease Cycles'!$C$23*'Lease Cycles'!$AW$23/12,IF(AND('Lease Cycles'!$AT$23&gt;=INDEX('Lease Cycles'!$BG$23:$BM$23,1,AJ265),'Lease Cycles'!$AT$23&lt;=AJ$6),'Lease Cycles'!$C$23*'Lease Cycles'!$AU$23/12,'Lease Cycles'!$C$23*INDEX('Lease Cycles'!$CB$23:$CH$23,1,AJ265)*(1+INDEX('Lease Cycles'!$CI$23:$CO$23,1,AJ265))^INT(INT(AJ266/12)/INDEX('Lease Cycles'!$CP$23:$CV$23,1,AJ265))/12)))),'Lease Cycles'!$C$23*INDEX('Lease Cycles'!$CB$23:$CH$23,1,AJ265)*(1+INDEX('Lease Cycles'!$CI$23:$CO$23,1,AJ265))^INT(INT(AJ266/12)/INDEX('Lease Cycles'!$CP$23:$CV$23,1,AJ265))/12))),IF('Lease Cycles'!$N$23=1,'Lease Cycles'!$C$23*'Lease Cycles'!$E$23*INDEX('Lease Cycles'!$HE$23:$HK$23,1,AJ265)*(1+INDEX('Lease Cycles'!$GQ$23:$GW$23,1,AJ265))^INT(INT((AJ$6-INDEX('Lease Cycles'!$GJ$23:$GP$23,1,AJ265))/12)/INDEX('Lease Cycles'!$GX$23:$HD$23,1,AJ265))/12,0)))</f>
        <v>0</v>
      </c>
      <c r="AK268" s="28">
        <f>IF(AK265=0,IF('Lease Cycles'!$F$23&gt;0,'Lease Cycles'!$C$23*'Lease Cycles'!$E$23/12,0),IF(AK267=1,IF('Lease Cycles'!$AT$23&gt;=9999,'Lease Cycles'!$C$23*INDEX('Lease Cycles'!$CB$23:$CH$23,1,AK265)*(1+INDEX('Lease Cycles'!$CI$23:$CO$23,1,AK265))^INT(INT(AK266/12)/INDEX('Lease Cycles'!$CP$23:$CV$23,1,AK265))/12,IF(AK265=1,IF(AK266&gt;=INDEX('Lease Cycles'!$DK$23:$DQ$23,1,AK265),IF(AK$6&gt;='Lease Cycles'!$AZ$23,'Lease Cycles'!$C$23*'Lease Cycles'!$BA$23/12,IF(AK$6&gt;='Lease Cycles'!$AX$23,'Lease Cycles'!$C$23*'Lease Cycles'!$AY$23/12,IF(AK$6&gt;='Lease Cycles'!$AV$23,'Lease Cycles'!$C$23*'Lease Cycles'!$AW$23/12,IF(AK$6&gt;='Lease Cycles'!$AT$23,'Lease Cycles'!$C$23*'Lease Cycles'!$AU$23/12,'Lease Cycles'!$C$23*INDEX('Lease Cycles'!$CB$23:$CH$23,1,AK265)*(1+INDEX('Lease Cycles'!$CI$23:$CO$23,1,AK265))^INT(INT(AK266/12)/INDEX('Lease Cycles'!$CP$23:$CV$23,1,AK265))/12)))),'Lease Cycles'!$C$23*INDEX('Lease Cycles'!$CB$23:$CH$23,1,AK265)*(1+INDEX('Lease Cycles'!$CI$23:$CO$23,1,AK265))^INT(INT(AK266/12)/INDEX('Lease Cycles'!$CP$23:$CV$23,1,AK265))/12),IF(INDEX('Lease Cycles'!$EF$23:$EL$23,1,AK265)=1,IF(AND('Lease Cycles'!$AZ$23&gt;=INDEX('Lease Cycles'!$BG$23:$BM$23,1,AK265),'Lease Cycles'!$AZ$23&lt;=AK$6),'Lease Cycles'!$C$23*'Lease Cycles'!$BA$23/12,IF(AND('Lease Cycles'!$AX$23&gt;=INDEX('Lease Cycles'!$BG$23:$BM$23,1,AK265),'Lease Cycles'!$AX$23&lt;=AK$6),'Lease Cycles'!$C$23*'Lease Cycles'!$AY$23/12,IF(AND('Lease Cycles'!$AV$23&gt;=INDEX('Lease Cycles'!$BG$23:$BM$23,1,AK265),'Lease Cycles'!$AV$23&lt;=AK$6),'Lease Cycles'!$C$23*'Lease Cycles'!$AW$23/12,IF(AND('Lease Cycles'!$AT$23&gt;=INDEX('Lease Cycles'!$BG$23:$BM$23,1,AK265),'Lease Cycles'!$AT$23&lt;=AK$6),'Lease Cycles'!$C$23*'Lease Cycles'!$AU$23/12,'Lease Cycles'!$C$23*INDEX('Lease Cycles'!$CB$23:$CH$23,1,AK265)*(1+INDEX('Lease Cycles'!$CI$23:$CO$23,1,AK265))^INT(INT(AK266/12)/INDEX('Lease Cycles'!$CP$23:$CV$23,1,AK265))/12)))),'Lease Cycles'!$C$23*INDEX('Lease Cycles'!$CB$23:$CH$23,1,AK265)*(1+INDEX('Lease Cycles'!$CI$23:$CO$23,1,AK265))^INT(INT(AK266/12)/INDEX('Lease Cycles'!$CP$23:$CV$23,1,AK265))/12))),IF('Lease Cycles'!$N$23=1,'Lease Cycles'!$C$23*'Lease Cycles'!$E$23*INDEX('Lease Cycles'!$HE$23:$HK$23,1,AK265)*(1+INDEX('Lease Cycles'!$GQ$23:$GW$23,1,AK265))^INT(INT((AK$6-INDEX('Lease Cycles'!$GJ$23:$GP$23,1,AK265))/12)/INDEX('Lease Cycles'!$GX$23:$HD$23,1,AK265))/12,0)))</f>
        <v>0</v>
      </c>
      <c r="AL268" s="28">
        <f>IF(AL265=0,IF('Lease Cycles'!$F$23&gt;0,'Lease Cycles'!$C$23*'Lease Cycles'!$E$23/12,0),IF(AL267=1,IF('Lease Cycles'!$AT$23&gt;=9999,'Lease Cycles'!$C$23*INDEX('Lease Cycles'!$CB$23:$CH$23,1,AL265)*(1+INDEX('Lease Cycles'!$CI$23:$CO$23,1,AL265))^INT(INT(AL266/12)/INDEX('Lease Cycles'!$CP$23:$CV$23,1,AL265))/12,IF(AL265=1,IF(AL266&gt;=INDEX('Lease Cycles'!$DK$23:$DQ$23,1,AL265),IF(AL$6&gt;='Lease Cycles'!$AZ$23,'Lease Cycles'!$C$23*'Lease Cycles'!$BA$23/12,IF(AL$6&gt;='Lease Cycles'!$AX$23,'Lease Cycles'!$C$23*'Lease Cycles'!$AY$23/12,IF(AL$6&gt;='Lease Cycles'!$AV$23,'Lease Cycles'!$C$23*'Lease Cycles'!$AW$23/12,IF(AL$6&gt;='Lease Cycles'!$AT$23,'Lease Cycles'!$C$23*'Lease Cycles'!$AU$23/12,'Lease Cycles'!$C$23*INDEX('Lease Cycles'!$CB$23:$CH$23,1,AL265)*(1+INDEX('Lease Cycles'!$CI$23:$CO$23,1,AL265))^INT(INT(AL266/12)/INDEX('Lease Cycles'!$CP$23:$CV$23,1,AL265))/12)))),'Lease Cycles'!$C$23*INDEX('Lease Cycles'!$CB$23:$CH$23,1,AL265)*(1+INDEX('Lease Cycles'!$CI$23:$CO$23,1,AL265))^INT(INT(AL266/12)/INDEX('Lease Cycles'!$CP$23:$CV$23,1,AL265))/12),IF(INDEX('Lease Cycles'!$EF$23:$EL$23,1,AL265)=1,IF(AND('Lease Cycles'!$AZ$23&gt;=INDEX('Lease Cycles'!$BG$23:$BM$23,1,AL265),'Lease Cycles'!$AZ$23&lt;=AL$6),'Lease Cycles'!$C$23*'Lease Cycles'!$BA$23/12,IF(AND('Lease Cycles'!$AX$23&gt;=INDEX('Lease Cycles'!$BG$23:$BM$23,1,AL265),'Lease Cycles'!$AX$23&lt;=AL$6),'Lease Cycles'!$C$23*'Lease Cycles'!$AY$23/12,IF(AND('Lease Cycles'!$AV$23&gt;=INDEX('Lease Cycles'!$BG$23:$BM$23,1,AL265),'Lease Cycles'!$AV$23&lt;=AL$6),'Lease Cycles'!$C$23*'Lease Cycles'!$AW$23/12,IF(AND('Lease Cycles'!$AT$23&gt;=INDEX('Lease Cycles'!$BG$23:$BM$23,1,AL265),'Lease Cycles'!$AT$23&lt;=AL$6),'Lease Cycles'!$C$23*'Lease Cycles'!$AU$23/12,'Lease Cycles'!$C$23*INDEX('Lease Cycles'!$CB$23:$CH$23,1,AL265)*(1+INDEX('Lease Cycles'!$CI$23:$CO$23,1,AL265))^INT(INT(AL266/12)/INDEX('Lease Cycles'!$CP$23:$CV$23,1,AL265))/12)))),'Lease Cycles'!$C$23*INDEX('Lease Cycles'!$CB$23:$CH$23,1,AL265)*(1+INDEX('Lease Cycles'!$CI$23:$CO$23,1,AL265))^INT(INT(AL266/12)/INDEX('Lease Cycles'!$CP$23:$CV$23,1,AL265))/12))),IF('Lease Cycles'!$N$23=1,'Lease Cycles'!$C$23*'Lease Cycles'!$E$23*INDEX('Lease Cycles'!$HE$23:$HK$23,1,AL265)*(1+INDEX('Lease Cycles'!$GQ$23:$GW$23,1,AL265))^INT(INT((AL$6-INDEX('Lease Cycles'!$GJ$23:$GP$23,1,AL265))/12)/INDEX('Lease Cycles'!$GX$23:$HD$23,1,AL265))/12,0)))</f>
        <v>0</v>
      </c>
      <c r="AM268" s="28">
        <f>IF(AM265=0,IF('Lease Cycles'!$F$23&gt;0,'Lease Cycles'!$C$23*'Lease Cycles'!$E$23/12,0),IF(AM267=1,IF('Lease Cycles'!$AT$23&gt;=9999,'Lease Cycles'!$C$23*INDEX('Lease Cycles'!$CB$23:$CH$23,1,AM265)*(1+INDEX('Lease Cycles'!$CI$23:$CO$23,1,AM265))^INT(INT(AM266/12)/INDEX('Lease Cycles'!$CP$23:$CV$23,1,AM265))/12,IF(AM265=1,IF(AM266&gt;=INDEX('Lease Cycles'!$DK$23:$DQ$23,1,AM265),IF(AM$6&gt;='Lease Cycles'!$AZ$23,'Lease Cycles'!$C$23*'Lease Cycles'!$BA$23/12,IF(AM$6&gt;='Lease Cycles'!$AX$23,'Lease Cycles'!$C$23*'Lease Cycles'!$AY$23/12,IF(AM$6&gt;='Lease Cycles'!$AV$23,'Lease Cycles'!$C$23*'Lease Cycles'!$AW$23/12,IF(AM$6&gt;='Lease Cycles'!$AT$23,'Lease Cycles'!$C$23*'Lease Cycles'!$AU$23/12,'Lease Cycles'!$C$23*INDEX('Lease Cycles'!$CB$23:$CH$23,1,AM265)*(1+INDEX('Lease Cycles'!$CI$23:$CO$23,1,AM265))^INT(INT(AM266/12)/INDEX('Lease Cycles'!$CP$23:$CV$23,1,AM265))/12)))),'Lease Cycles'!$C$23*INDEX('Lease Cycles'!$CB$23:$CH$23,1,AM265)*(1+INDEX('Lease Cycles'!$CI$23:$CO$23,1,AM265))^INT(INT(AM266/12)/INDEX('Lease Cycles'!$CP$23:$CV$23,1,AM265))/12),IF(INDEX('Lease Cycles'!$EF$23:$EL$23,1,AM265)=1,IF(AND('Lease Cycles'!$AZ$23&gt;=INDEX('Lease Cycles'!$BG$23:$BM$23,1,AM265),'Lease Cycles'!$AZ$23&lt;=AM$6),'Lease Cycles'!$C$23*'Lease Cycles'!$BA$23/12,IF(AND('Lease Cycles'!$AX$23&gt;=INDEX('Lease Cycles'!$BG$23:$BM$23,1,AM265),'Lease Cycles'!$AX$23&lt;=AM$6),'Lease Cycles'!$C$23*'Lease Cycles'!$AY$23/12,IF(AND('Lease Cycles'!$AV$23&gt;=INDEX('Lease Cycles'!$BG$23:$BM$23,1,AM265),'Lease Cycles'!$AV$23&lt;=AM$6),'Lease Cycles'!$C$23*'Lease Cycles'!$AW$23/12,IF(AND('Lease Cycles'!$AT$23&gt;=INDEX('Lease Cycles'!$BG$23:$BM$23,1,AM265),'Lease Cycles'!$AT$23&lt;=AM$6),'Lease Cycles'!$C$23*'Lease Cycles'!$AU$23/12,'Lease Cycles'!$C$23*INDEX('Lease Cycles'!$CB$23:$CH$23,1,AM265)*(1+INDEX('Lease Cycles'!$CI$23:$CO$23,1,AM265))^INT(INT(AM266/12)/INDEX('Lease Cycles'!$CP$23:$CV$23,1,AM265))/12)))),'Lease Cycles'!$C$23*INDEX('Lease Cycles'!$CB$23:$CH$23,1,AM265)*(1+INDEX('Lease Cycles'!$CI$23:$CO$23,1,AM265))^INT(INT(AM266/12)/INDEX('Lease Cycles'!$CP$23:$CV$23,1,AM265))/12))),IF('Lease Cycles'!$N$23=1,'Lease Cycles'!$C$23*'Lease Cycles'!$E$23*INDEX('Lease Cycles'!$HE$23:$HK$23,1,AM265)*(1+INDEX('Lease Cycles'!$GQ$23:$GW$23,1,AM265))^INT(INT((AM$6-INDEX('Lease Cycles'!$GJ$23:$GP$23,1,AM265))/12)/INDEX('Lease Cycles'!$GX$23:$HD$23,1,AM265))/12,0)))</f>
        <v>0</v>
      </c>
      <c r="AN268" s="28">
        <f>IF(AN265=0,IF('Lease Cycles'!$F$23&gt;0,'Lease Cycles'!$C$23*'Lease Cycles'!$E$23/12,0),IF(AN267=1,IF('Lease Cycles'!$AT$23&gt;=9999,'Lease Cycles'!$C$23*INDEX('Lease Cycles'!$CB$23:$CH$23,1,AN265)*(1+INDEX('Lease Cycles'!$CI$23:$CO$23,1,AN265))^INT(INT(AN266/12)/INDEX('Lease Cycles'!$CP$23:$CV$23,1,AN265))/12,IF(AN265=1,IF(AN266&gt;=INDEX('Lease Cycles'!$DK$23:$DQ$23,1,AN265),IF(AN$6&gt;='Lease Cycles'!$AZ$23,'Lease Cycles'!$C$23*'Lease Cycles'!$BA$23/12,IF(AN$6&gt;='Lease Cycles'!$AX$23,'Lease Cycles'!$C$23*'Lease Cycles'!$AY$23/12,IF(AN$6&gt;='Lease Cycles'!$AV$23,'Lease Cycles'!$C$23*'Lease Cycles'!$AW$23/12,IF(AN$6&gt;='Lease Cycles'!$AT$23,'Lease Cycles'!$C$23*'Lease Cycles'!$AU$23/12,'Lease Cycles'!$C$23*INDEX('Lease Cycles'!$CB$23:$CH$23,1,AN265)*(1+INDEX('Lease Cycles'!$CI$23:$CO$23,1,AN265))^INT(INT(AN266/12)/INDEX('Lease Cycles'!$CP$23:$CV$23,1,AN265))/12)))),'Lease Cycles'!$C$23*INDEX('Lease Cycles'!$CB$23:$CH$23,1,AN265)*(1+INDEX('Lease Cycles'!$CI$23:$CO$23,1,AN265))^INT(INT(AN266/12)/INDEX('Lease Cycles'!$CP$23:$CV$23,1,AN265))/12),IF(INDEX('Lease Cycles'!$EF$23:$EL$23,1,AN265)=1,IF(AND('Lease Cycles'!$AZ$23&gt;=INDEX('Lease Cycles'!$BG$23:$BM$23,1,AN265),'Lease Cycles'!$AZ$23&lt;=AN$6),'Lease Cycles'!$C$23*'Lease Cycles'!$BA$23/12,IF(AND('Lease Cycles'!$AX$23&gt;=INDEX('Lease Cycles'!$BG$23:$BM$23,1,AN265),'Lease Cycles'!$AX$23&lt;=AN$6),'Lease Cycles'!$C$23*'Lease Cycles'!$AY$23/12,IF(AND('Lease Cycles'!$AV$23&gt;=INDEX('Lease Cycles'!$BG$23:$BM$23,1,AN265),'Lease Cycles'!$AV$23&lt;=AN$6),'Lease Cycles'!$C$23*'Lease Cycles'!$AW$23/12,IF(AND('Lease Cycles'!$AT$23&gt;=INDEX('Lease Cycles'!$BG$23:$BM$23,1,AN265),'Lease Cycles'!$AT$23&lt;=AN$6),'Lease Cycles'!$C$23*'Lease Cycles'!$AU$23/12,'Lease Cycles'!$C$23*INDEX('Lease Cycles'!$CB$23:$CH$23,1,AN265)*(1+INDEX('Lease Cycles'!$CI$23:$CO$23,1,AN265))^INT(INT(AN266/12)/INDEX('Lease Cycles'!$CP$23:$CV$23,1,AN265))/12)))),'Lease Cycles'!$C$23*INDEX('Lease Cycles'!$CB$23:$CH$23,1,AN265)*(1+INDEX('Lease Cycles'!$CI$23:$CO$23,1,AN265))^INT(INT(AN266/12)/INDEX('Lease Cycles'!$CP$23:$CV$23,1,AN265))/12))),IF('Lease Cycles'!$N$23=1,'Lease Cycles'!$C$23*'Lease Cycles'!$E$23*INDEX('Lease Cycles'!$HE$23:$HK$23,1,AN265)*(1+INDEX('Lease Cycles'!$GQ$23:$GW$23,1,AN265))^INT(INT((AN$6-INDEX('Lease Cycles'!$GJ$23:$GP$23,1,AN265))/12)/INDEX('Lease Cycles'!$GX$23:$HD$23,1,AN265))/12,0)))</f>
        <v>0</v>
      </c>
      <c r="AO268" s="28">
        <f>IF(AO265=0,IF('Lease Cycles'!$F$23&gt;0,'Lease Cycles'!$C$23*'Lease Cycles'!$E$23/12,0),IF(AO267=1,IF('Lease Cycles'!$AT$23&gt;=9999,'Lease Cycles'!$C$23*INDEX('Lease Cycles'!$CB$23:$CH$23,1,AO265)*(1+INDEX('Lease Cycles'!$CI$23:$CO$23,1,AO265))^INT(INT(AO266/12)/INDEX('Lease Cycles'!$CP$23:$CV$23,1,AO265))/12,IF(AO265=1,IF(AO266&gt;=INDEX('Lease Cycles'!$DK$23:$DQ$23,1,AO265),IF(AO$6&gt;='Lease Cycles'!$AZ$23,'Lease Cycles'!$C$23*'Lease Cycles'!$BA$23/12,IF(AO$6&gt;='Lease Cycles'!$AX$23,'Lease Cycles'!$C$23*'Lease Cycles'!$AY$23/12,IF(AO$6&gt;='Lease Cycles'!$AV$23,'Lease Cycles'!$C$23*'Lease Cycles'!$AW$23/12,IF(AO$6&gt;='Lease Cycles'!$AT$23,'Lease Cycles'!$C$23*'Lease Cycles'!$AU$23/12,'Lease Cycles'!$C$23*INDEX('Lease Cycles'!$CB$23:$CH$23,1,AO265)*(1+INDEX('Lease Cycles'!$CI$23:$CO$23,1,AO265))^INT(INT(AO266/12)/INDEX('Lease Cycles'!$CP$23:$CV$23,1,AO265))/12)))),'Lease Cycles'!$C$23*INDEX('Lease Cycles'!$CB$23:$CH$23,1,AO265)*(1+INDEX('Lease Cycles'!$CI$23:$CO$23,1,AO265))^INT(INT(AO266/12)/INDEX('Lease Cycles'!$CP$23:$CV$23,1,AO265))/12),IF(INDEX('Lease Cycles'!$EF$23:$EL$23,1,AO265)=1,IF(AND('Lease Cycles'!$AZ$23&gt;=INDEX('Lease Cycles'!$BG$23:$BM$23,1,AO265),'Lease Cycles'!$AZ$23&lt;=AO$6),'Lease Cycles'!$C$23*'Lease Cycles'!$BA$23/12,IF(AND('Lease Cycles'!$AX$23&gt;=INDEX('Lease Cycles'!$BG$23:$BM$23,1,AO265),'Lease Cycles'!$AX$23&lt;=AO$6),'Lease Cycles'!$C$23*'Lease Cycles'!$AY$23/12,IF(AND('Lease Cycles'!$AV$23&gt;=INDEX('Lease Cycles'!$BG$23:$BM$23,1,AO265),'Lease Cycles'!$AV$23&lt;=AO$6),'Lease Cycles'!$C$23*'Lease Cycles'!$AW$23/12,IF(AND('Lease Cycles'!$AT$23&gt;=INDEX('Lease Cycles'!$BG$23:$BM$23,1,AO265),'Lease Cycles'!$AT$23&lt;=AO$6),'Lease Cycles'!$C$23*'Lease Cycles'!$AU$23/12,'Lease Cycles'!$C$23*INDEX('Lease Cycles'!$CB$23:$CH$23,1,AO265)*(1+INDEX('Lease Cycles'!$CI$23:$CO$23,1,AO265))^INT(INT(AO266/12)/INDEX('Lease Cycles'!$CP$23:$CV$23,1,AO265))/12)))),'Lease Cycles'!$C$23*INDEX('Lease Cycles'!$CB$23:$CH$23,1,AO265)*(1+INDEX('Lease Cycles'!$CI$23:$CO$23,1,AO265))^INT(INT(AO266/12)/INDEX('Lease Cycles'!$CP$23:$CV$23,1,AO265))/12))),IF('Lease Cycles'!$N$23=1,'Lease Cycles'!$C$23*'Lease Cycles'!$E$23*INDEX('Lease Cycles'!$HE$23:$HK$23,1,AO265)*(1+INDEX('Lease Cycles'!$GQ$23:$GW$23,1,AO265))^INT(INT((AO$6-INDEX('Lease Cycles'!$GJ$23:$GP$23,1,AO265))/12)/INDEX('Lease Cycles'!$GX$23:$HD$23,1,AO265))/12,0)))</f>
        <v>0</v>
      </c>
      <c r="AP268" s="28">
        <f>IF(AP265=0,IF('Lease Cycles'!$F$23&gt;0,'Lease Cycles'!$C$23*'Lease Cycles'!$E$23/12,0),IF(AP267=1,IF('Lease Cycles'!$AT$23&gt;=9999,'Lease Cycles'!$C$23*INDEX('Lease Cycles'!$CB$23:$CH$23,1,AP265)*(1+INDEX('Lease Cycles'!$CI$23:$CO$23,1,AP265))^INT(INT(AP266/12)/INDEX('Lease Cycles'!$CP$23:$CV$23,1,AP265))/12,IF(AP265=1,IF(AP266&gt;=INDEX('Lease Cycles'!$DK$23:$DQ$23,1,AP265),IF(AP$6&gt;='Lease Cycles'!$AZ$23,'Lease Cycles'!$C$23*'Lease Cycles'!$BA$23/12,IF(AP$6&gt;='Lease Cycles'!$AX$23,'Lease Cycles'!$C$23*'Lease Cycles'!$AY$23/12,IF(AP$6&gt;='Lease Cycles'!$AV$23,'Lease Cycles'!$C$23*'Lease Cycles'!$AW$23/12,IF(AP$6&gt;='Lease Cycles'!$AT$23,'Lease Cycles'!$C$23*'Lease Cycles'!$AU$23/12,'Lease Cycles'!$C$23*INDEX('Lease Cycles'!$CB$23:$CH$23,1,AP265)*(1+INDEX('Lease Cycles'!$CI$23:$CO$23,1,AP265))^INT(INT(AP266/12)/INDEX('Lease Cycles'!$CP$23:$CV$23,1,AP265))/12)))),'Lease Cycles'!$C$23*INDEX('Lease Cycles'!$CB$23:$CH$23,1,AP265)*(1+INDEX('Lease Cycles'!$CI$23:$CO$23,1,AP265))^INT(INT(AP266/12)/INDEX('Lease Cycles'!$CP$23:$CV$23,1,AP265))/12),IF(INDEX('Lease Cycles'!$EF$23:$EL$23,1,AP265)=1,IF(AND('Lease Cycles'!$AZ$23&gt;=INDEX('Lease Cycles'!$BG$23:$BM$23,1,AP265),'Lease Cycles'!$AZ$23&lt;=AP$6),'Lease Cycles'!$C$23*'Lease Cycles'!$BA$23/12,IF(AND('Lease Cycles'!$AX$23&gt;=INDEX('Lease Cycles'!$BG$23:$BM$23,1,AP265),'Lease Cycles'!$AX$23&lt;=AP$6),'Lease Cycles'!$C$23*'Lease Cycles'!$AY$23/12,IF(AND('Lease Cycles'!$AV$23&gt;=INDEX('Lease Cycles'!$BG$23:$BM$23,1,AP265),'Lease Cycles'!$AV$23&lt;=AP$6),'Lease Cycles'!$C$23*'Lease Cycles'!$AW$23/12,IF(AND('Lease Cycles'!$AT$23&gt;=INDEX('Lease Cycles'!$BG$23:$BM$23,1,AP265),'Lease Cycles'!$AT$23&lt;=AP$6),'Lease Cycles'!$C$23*'Lease Cycles'!$AU$23/12,'Lease Cycles'!$C$23*INDEX('Lease Cycles'!$CB$23:$CH$23,1,AP265)*(1+INDEX('Lease Cycles'!$CI$23:$CO$23,1,AP265))^INT(INT(AP266/12)/INDEX('Lease Cycles'!$CP$23:$CV$23,1,AP265))/12)))),'Lease Cycles'!$C$23*INDEX('Lease Cycles'!$CB$23:$CH$23,1,AP265)*(1+INDEX('Lease Cycles'!$CI$23:$CO$23,1,AP265))^INT(INT(AP266/12)/INDEX('Lease Cycles'!$CP$23:$CV$23,1,AP265))/12))),IF('Lease Cycles'!$N$23=1,'Lease Cycles'!$C$23*'Lease Cycles'!$E$23*INDEX('Lease Cycles'!$HE$23:$HK$23,1,AP265)*(1+INDEX('Lease Cycles'!$GQ$23:$GW$23,1,AP265))^INT(INT((AP$6-INDEX('Lease Cycles'!$GJ$23:$GP$23,1,AP265))/12)/INDEX('Lease Cycles'!$GX$23:$HD$23,1,AP265))/12,0)))</f>
        <v>0</v>
      </c>
      <c r="AQ268" s="28">
        <f>IF(AQ265=0,IF('Lease Cycles'!$F$23&gt;0,'Lease Cycles'!$C$23*'Lease Cycles'!$E$23/12,0),IF(AQ267=1,IF('Lease Cycles'!$AT$23&gt;=9999,'Lease Cycles'!$C$23*INDEX('Lease Cycles'!$CB$23:$CH$23,1,AQ265)*(1+INDEX('Lease Cycles'!$CI$23:$CO$23,1,AQ265))^INT(INT(AQ266/12)/INDEX('Lease Cycles'!$CP$23:$CV$23,1,AQ265))/12,IF(AQ265=1,IF(AQ266&gt;=INDEX('Lease Cycles'!$DK$23:$DQ$23,1,AQ265),IF(AQ$6&gt;='Lease Cycles'!$AZ$23,'Lease Cycles'!$C$23*'Lease Cycles'!$BA$23/12,IF(AQ$6&gt;='Lease Cycles'!$AX$23,'Lease Cycles'!$C$23*'Lease Cycles'!$AY$23/12,IF(AQ$6&gt;='Lease Cycles'!$AV$23,'Lease Cycles'!$C$23*'Lease Cycles'!$AW$23/12,IF(AQ$6&gt;='Lease Cycles'!$AT$23,'Lease Cycles'!$C$23*'Lease Cycles'!$AU$23/12,'Lease Cycles'!$C$23*INDEX('Lease Cycles'!$CB$23:$CH$23,1,AQ265)*(1+INDEX('Lease Cycles'!$CI$23:$CO$23,1,AQ265))^INT(INT(AQ266/12)/INDEX('Lease Cycles'!$CP$23:$CV$23,1,AQ265))/12)))),'Lease Cycles'!$C$23*INDEX('Lease Cycles'!$CB$23:$CH$23,1,AQ265)*(1+INDEX('Lease Cycles'!$CI$23:$CO$23,1,AQ265))^INT(INT(AQ266/12)/INDEX('Lease Cycles'!$CP$23:$CV$23,1,AQ265))/12),IF(INDEX('Lease Cycles'!$EF$23:$EL$23,1,AQ265)=1,IF(AND('Lease Cycles'!$AZ$23&gt;=INDEX('Lease Cycles'!$BG$23:$BM$23,1,AQ265),'Lease Cycles'!$AZ$23&lt;=AQ$6),'Lease Cycles'!$C$23*'Lease Cycles'!$BA$23/12,IF(AND('Lease Cycles'!$AX$23&gt;=INDEX('Lease Cycles'!$BG$23:$BM$23,1,AQ265),'Lease Cycles'!$AX$23&lt;=AQ$6),'Lease Cycles'!$C$23*'Lease Cycles'!$AY$23/12,IF(AND('Lease Cycles'!$AV$23&gt;=INDEX('Lease Cycles'!$BG$23:$BM$23,1,AQ265),'Lease Cycles'!$AV$23&lt;=AQ$6),'Lease Cycles'!$C$23*'Lease Cycles'!$AW$23/12,IF(AND('Lease Cycles'!$AT$23&gt;=INDEX('Lease Cycles'!$BG$23:$BM$23,1,AQ265),'Lease Cycles'!$AT$23&lt;=AQ$6),'Lease Cycles'!$C$23*'Lease Cycles'!$AU$23/12,'Lease Cycles'!$C$23*INDEX('Lease Cycles'!$CB$23:$CH$23,1,AQ265)*(1+INDEX('Lease Cycles'!$CI$23:$CO$23,1,AQ265))^INT(INT(AQ266/12)/INDEX('Lease Cycles'!$CP$23:$CV$23,1,AQ265))/12)))),'Lease Cycles'!$C$23*INDEX('Lease Cycles'!$CB$23:$CH$23,1,AQ265)*(1+INDEX('Lease Cycles'!$CI$23:$CO$23,1,AQ265))^INT(INT(AQ266/12)/INDEX('Lease Cycles'!$CP$23:$CV$23,1,AQ265))/12))),IF('Lease Cycles'!$N$23=1,'Lease Cycles'!$C$23*'Lease Cycles'!$E$23*INDEX('Lease Cycles'!$HE$23:$HK$23,1,AQ265)*(1+INDEX('Lease Cycles'!$GQ$23:$GW$23,1,AQ265))^INT(INT((AQ$6-INDEX('Lease Cycles'!$GJ$23:$GP$23,1,AQ265))/12)/INDEX('Lease Cycles'!$GX$23:$HD$23,1,AQ265))/12,0)))</f>
        <v>0</v>
      </c>
      <c r="AR268" s="28">
        <f>IF(AR265=0,IF('Lease Cycles'!$F$23&gt;0,'Lease Cycles'!$C$23*'Lease Cycles'!$E$23/12,0),IF(AR267=1,IF('Lease Cycles'!$AT$23&gt;=9999,'Lease Cycles'!$C$23*INDEX('Lease Cycles'!$CB$23:$CH$23,1,AR265)*(1+INDEX('Lease Cycles'!$CI$23:$CO$23,1,AR265))^INT(INT(AR266/12)/INDEX('Lease Cycles'!$CP$23:$CV$23,1,AR265))/12,IF(AR265=1,IF(AR266&gt;=INDEX('Lease Cycles'!$DK$23:$DQ$23,1,AR265),IF(AR$6&gt;='Lease Cycles'!$AZ$23,'Lease Cycles'!$C$23*'Lease Cycles'!$BA$23/12,IF(AR$6&gt;='Lease Cycles'!$AX$23,'Lease Cycles'!$C$23*'Lease Cycles'!$AY$23/12,IF(AR$6&gt;='Lease Cycles'!$AV$23,'Lease Cycles'!$C$23*'Lease Cycles'!$AW$23/12,IF(AR$6&gt;='Lease Cycles'!$AT$23,'Lease Cycles'!$C$23*'Lease Cycles'!$AU$23/12,'Lease Cycles'!$C$23*INDEX('Lease Cycles'!$CB$23:$CH$23,1,AR265)*(1+INDEX('Lease Cycles'!$CI$23:$CO$23,1,AR265))^INT(INT(AR266/12)/INDEX('Lease Cycles'!$CP$23:$CV$23,1,AR265))/12)))),'Lease Cycles'!$C$23*INDEX('Lease Cycles'!$CB$23:$CH$23,1,AR265)*(1+INDEX('Lease Cycles'!$CI$23:$CO$23,1,AR265))^INT(INT(AR266/12)/INDEX('Lease Cycles'!$CP$23:$CV$23,1,AR265))/12),IF(INDEX('Lease Cycles'!$EF$23:$EL$23,1,AR265)=1,IF(AND('Lease Cycles'!$AZ$23&gt;=INDEX('Lease Cycles'!$BG$23:$BM$23,1,AR265),'Lease Cycles'!$AZ$23&lt;=AR$6),'Lease Cycles'!$C$23*'Lease Cycles'!$BA$23/12,IF(AND('Lease Cycles'!$AX$23&gt;=INDEX('Lease Cycles'!$BG$23:$BM$23,1,AR265),'Lease Cycles'!$AX$23&lt;=AR$6),'Lease Cycles'!$C$23*'Lease Cycles'!$AY$23/12,IF(AND('Lease Cycles'!$AV$23&gt;=INDEX('Lease Cycles'!$BG$23:$BM$23,1,AR265),'Lease Cycles'!$AV$23&lt;=AR$6),'Lease Cycles'!$C$23*'Lease Cycles'!$AW$23/12,IF(AND('Lease Cycles'!$AT$23&gt;=INDEX('Lease Cycles'!$BG$23:$BM$23,1,AR265),'Lease Cycles'!$AT$23&lt;=AR$6),'Lease Cycles'!$C$23*'Lease Cycles'!$AU$23/12,'Lease Cycles'!$C$23*INDEX('Lease Cycles'!$CB$23:$CH$23,1,AR265)*(1+INDEX('Lease Cycles'!$CI$23:$CO$23,1,AR265))^INT(INT(AR266/12)/INDEX('Lease Cycles'!$CP$23:$CV$23,1,AR265))/12)))),'Lease Cycles'!$C$23*INDEX('Lease Cycles'!$CB$23:$CH$23,1,AR265)*(1+INDEX('Lease Cycles'!$CI$23:$CO$23,1,AR265))^INT(INT(AR266/12)/INDEX('Lease Cycles'!$CP$23:$CV$23,1,AR265))/12))),IF('Lease Cycles'!$N$23=1,'Lease Cycles'!$C$23*'Lease Cycles'!$E$23*INDEX('Lease Cycles'!$HE$23:$HK$23,1,AR265)*(1+INDEX('Lease Cycles'!$GQ$23:$GW$23,1,AR265))^INT(INT((AR$6-INDEX('Lease Cycles'!$GJ$23:$GP$23,1,AR265))/12)/INDEX('Lease Cycles'!$GX$23:$HD$23,1,AR265))/12,0)))</f>
        <v>0</v>
      </c>
      <c r="AS268" s="28">
        <f>IF(AS265=0,IF('Lease Cycles'!$F$23&gt;0,'Lease Cycles'!$C$23*'Lease Cycles'!$E$23/12,0),IF(AS267=1,IF('Lease Cycles'!$AT$23&gt;=9999,'Lease Cycles'!$C$23*INDEX('Lease Cycles'!$CB$23:$CH$23,1,AS265)*(1+INDEX('Lease Cycles'!$CI$23:$CO$23,1,AS265))^INT(INT(AS266/12)/INDEX('Lease Cycles'!$CP$23:$CV$23,1,AS265))/12,IF(AS265=1,IF(AS266&gt;=INDEX('Lease Cycles'!$DK$23:$DQ$23,1,AS265),IF(AS$6&gt;='Lease Cycles'!$AZ$23,'Lease Cycles'!$C$23*'Lease Cycles'!$BA$23/12,IF(AS$6&gt;='Lease Cycles'!$AX$23,'Lease Cycles'!$C$23*'Lease Cycles'!$AY$23/12,IF(AS$6&gt;='Lease Cycles'!$AV$23,'Lease Cycles'!$C$23*'Lease Cycles'!$AW$23/12,IF(AS$6&gt;='Lease Cycles'!$AT$23,'Lease Cycles'!$C$23*'Lease Cycles'!$AU$23/12,'Lease Cycles'!$C$23*INDEX('Lease Cycles'!$CB$23:$CH$23,1,AS265)*(1+INDEX('Lease Cycles'!$CI$23:$CO$23,1,AS265))^INT(INT(AS266/12)/INDEX('Lease Cycles'!$CP$23:$CV$23,1,AS265))/12)))),'Lease Cycles'!$C$23*INDEX('Lease Cycles'!$CB$23:$CH$23,1,AS265)*(1+INDEX('Lease Cycles'!$CI$23:$CO$23,1,AS265))^INT(INT(AS266/12)/INDEX('Lease Cycles'!$CP$23:$CV$23,1,AS265))/12),IF(INDEX('Lease Cycles'!$EF$23:$EL$23,1,AS265)=1,IF(AND('Lease Cycles'!$AZ$23&gt;=INDEX('Lease Cycles'!$BG$23:$BM$23,1,AS265),'Lease Cycles'!$AZ$23&lt;=AS$6),'Lease Cycles'!$C$23*'Lease Cycles'!$BA$23/12,IF(AND('Lease Cycles'!$AX$23&gt;=INDEX('Lease Cycles'!$BG$23:$BM$23,1,AS265),'Lease Cycles'!$AX$23&lt;=AS$6),'Lease Cycles'!$C$23*'Lease Cycles'!$AY$23/12,IF(AND('Lease Cycles'!$AV$23&gt;=INDEX('Lease Cycles'!$BG$23:$BM$23,1,AS265),'Lease Cycles'!$AV$23&lt;=AS$6),'Lease Cycles'!$C$23*'Lease Cycles'!$AW$23/12,IF(AND('Lease Cycles'!$AT$23&gt;=INDEX('Lease Cycles'!$BG$23:$BM$23,1,AS265),'Lease Cycles'!$AT$23&lt;=AS$6),'Lease Cycles'!$C$23*'Lease Cycles'!$AU$23/12,'Lease Cycles'!$C$23*INDEX('Lease Cycles'!$CB$23:$CH$23,1,AS265)*(1+INDEX('Lease Cycles'!$CI$23:$CO$23,1,AS265))^INT(INT(AS266/12)/INDEX('Lease Cycles'!$CP$23:$CV$23,1,AS265))/12)))),'Lease Cycles'!$C$23*INDEX('Lease Cycles'!$CB$23:$CH$23,1,AS265)*(1+INDEX('Lease Cycles'!$CI$23:$CO$23,1,AS265))^INT(INT(AS266/12)/INDEX('Lease Cycles'!$CP$23:$CV$23,1,AS265))/12))),IF('Lease Cycles'!$N$23=1,'Lease Cycles'!$C$23*'Lease Cycles'!$E$23*INDEX('Lease Cycles'!$HE$23:$HK$23,1,AS265)*(1+INDEX('Lease Cycles'!$GQ$23:$GW$23,1,AS265))^INT(INT((AS$6-INDEX('Lease Cycles'!$GJ$23:$GP$23,1,AS265))/12)/INDEX('Lease Cycles'!$GX$23:$HD$23,1,AS265))/12,0)))</f>
        <v>0</v>
      </c>
      <c r="AT268" s="28">
        <f>IF(AT265=0,IF('Lease Cycles'!$F$23&gt;0,'Lease Cycles'!$C$23*'Lease Cycles'!$E$23/12,0),IF(AT267=1,IF('Lease Cycles'!$AT$23&gt;=9999,'Lease Cycles'!$C$23*INDEX('Lease Cycles'!$CB$23:$CH$23,1,AT265)*(1+INDEX('Lease Cycles'!$CI$23:$CO$23,1,AT265))^INT(INT(AT266/12)/INDEX('Lease Cycles'!$CP$23:$CV$23,1,AT265))/12,IF(AT265=1,IF(AT266&gt;=INDEX('Lease Cycles'!$DK$23:$DQ$23,1,AT265),IF(AT$6&gt;='Lease Cycles'!$AZ$23,'Lease Cycles'!$C$23*'Lease Cycles'!$BA$23/12,IF(AT$6&gt;='Lease Cycles'!$AX$23,'Lease Cycles'!$C$23*'Lease Cycles'!$AY$23/12,IF(AT$6&gt;='Lease Cycles'!$AV$23,'Lease Cycles'!$C$23*'Lease Cycles'!$AW$23/12,IF(AT$6&gt;='Lease Cycles'!$AT$23,'Lease Cycles'!$C$23*'Lease Cycles'!$AU$23/12,'Lease Cycles'!$C$23*INDEX('Lease Cycles'!$CB$23:$CH$23,1,AT265)*(1+INDEX('Lease Cycles'!$CI$23:$CO$23,1,AT265))^INT(INT(AT266/12)/INDEX('Lease Cycles'!$CP$23:$CV$23,1,AT265))/12)))),'Lease Cycles'!$C$23*INDEX('Lease Cycles'!$CB$23:$CH$23,1,AT265)*(1+INDEX('Lease Cycles'!$CI$23:$CO$23,1,AT265))^INT(INT(AT266/12)/INDEX('Lease Cycles'!$CP$23:$CV$23,1,AT265))/12),IF(INDEX('Lease Cycles'!$EF$23:$EL$23,1,AT265)=1,IF(AND('Lease Cycles'!$AZ$23&gt;=INDEX('Lease Cycles'!$BG$23:$BM$23,1,AT265),'Lease Cycles'!$AZ$23&lt;=AT$6),'Lease Cycles'!$C$23*'Lease Cycles'!$BA$23/12,IF(AND('Lease Cycles'!$AX$23&gt;=INDEX('Lease Cycles'!$BG$23:$BM$23,1,AT265),'Lease Cycles'!$AX$23&lt;=AT$6),'Lease Cycles'!$C$23*'Lease Cycles'!$AY$23/12,IF(AND('Lease Cycles'!$AV$23&gt;=INDEX('Lease Cycles'!$BG$23:$BM$23,1,AT265),'Lease Cycles'!$AV$23&lt;=AT$6),'Lease Cycles'!$C$23*'Lease Cycles'!$AW$23/12,IF(AND('Lease Cycles'!$AT$23&gt;=INDEX('Lease Cycles'!$BG$23:$BM$23,1,AT265),'Lease Cycles'!$AT$23&lt;=AT$6),'Lease Cycles'!$C$23*'Lease Cycles'!$AU$23/12,'Lease Cycles'!$C$23*INDEX('Lease Cycles'!$CB$23:$CH$23,1,AT265)*(1+INDEX('Lease Cycles'!$CI$23:$CO$23,1,AT265))^INT(INT(AT266/12)/INDEX('Lease Cycles'!$CP$23:$CV$23,1,AT265))/12)))),'Lease Cycles'!$C$23*INDEX('Lease Cycles'!$CB$23:$CH$23,1,AT265)*(1+INDEX('Lease Cycles'!$CI$23:$CO$23,1,AT265))^INT(INT(AT266/12)/INDEX('Lease Cycles'!$CP$23:$CV$23,1,AT265))/12))),IF('Lease Cycles'!$N$23=1,'Lease Cycles'!$C$23*'Lease Cycles'!$E$23*INDEX('Lease Cycles'!$HE$23:$HK$23,1,AT265)*(1+INDEX('Lease Cycles'!$GQ$23:$GW$23,1,AT265))^INT(INT((AT$6-INDEX('Lease Cycles'!$GJ$23:$GP$23,1,AT265))/12)/INDEX('Lease Cycles'!$GX$23:$HD$23,1,AT265))/12,0)))</f>
        <v>0</v>
      </c>
      <c r="AU268" s="28">
        <f>IF(AU265=0,IF('Lease Cycles'!$F$23&gt;0,'Lease Cycles'!$C$23*'Lease Cycles'!$E$23/12,0),IF(AU267=1,IF('Lease Cycles'!$AT$23&gt;=9999,'Lease Cycles'!$C$23*INDEX('Lease Cycles'!$CB$23:$CH$23,1,AU265)*(1+INDEX('Lease Cycles'!$CI$23:$CO$23,1,AU265))^INT(INT(AU266/12)/INDEX('Lease Cycles'!$CP$23:$CV$23,1,AU265))/12,IF(AU265=1,IF(AU266&gt;=INDEX('Lease Cycles'!$DK$23:$DQ$23,1,AU265),IF(AU$6&gt;='Lease Cycles'!$AZ$23,'Lease Cycles'!$C$23*'Lease Cycles'!$BA$23/12,IF(AU$6&gt;='Lease Cycles'!$AX$23,'Lease Cycles'!$C$23*'Lease Cycles'!$AY$23/12,IF(AU$6&gt;='Lease Cycles'!$AV$23,'Lease Cycles'!$C$23*'Lease Cycles'!$AW$23/12,IF(AU$6&gt;='Lease Cycles'!$AT$23,'Lease Cycles'!$C$23*'Lease Cycles'!$AU$23/12,'Lease Cycles'!$C$23*INDEX('Lease Cycles'!$CB$23:$CH$23,1,AU265)*(1+INDEX('Lease Cycles'!$CI$23:$CO$23,1,AU265))^INT(INT(AU266/12)/INDEX('Lease Cycles'!$CP$23:$CV$23,1,AU265))/12)))),'Lease Cycles'!$C$23*INDEX('Lease Cycles'!$CB$23:$CH$23,1,AU265)*(1+INDEX('Lease Cycles'!$CI$23:$CO$23,1,AU265))^INT(INT(AU266/12)/INDEX('Lease Cycles'!$CP$23:$CV$23,1,AU265))/12),IF(INDEX('Lease Cycles'!$EF$23:$EL$23,1,AU265)=1,IF(AND('Lease Cycles'!$AZ$23&gt;=INDEX('Lease Cycles'!$BG$23:$BM$23,1,AU265),'Lease Cycles'!$AZ$23&lt;=AU$6),'Lease Cycles'!$C$23*'Lease Cycles'!$BA$23/12,IF(AND('Lease Cycles'!$AX$23&gt;=INDEX('Lease Cycles'!$BG$23:$BM$23,1,AU265),'Lease Cycles'!$AX$23&lt;=AU$6),'Lease Cycles'!$C$23*'Lease Cycles'!$AY$23/12,IF(AND('Lease Cycles'!$AV$23&gt;=INDEX('Lease Cycles'!$BG$23:$BM$23,1,AU265),'Lease Cycles'!$AV$23&lt;=AU$6),'Lease Cycles'!$C$23*'Lease Cycles'!$AW$23/12,IF(AND('Lease Cycles'!$AT$23&gt;=INDEX('Lease Cycles'!$BG$23:$BM$23,1,AU265),'Lease Cycles'!$AT$23&lt;=AU$6),'Lease Cycles'!$C$23*'Lease Cycles'!$AU$23/12,'Lease Cycles'!$C$23*INDEX('Lease Cycles'!$CB$23:$CH$23,1,AU265)*(1+INDEX('Lease Cycles'!$CI$23:$CO$23,1,AU265))^INT(INT(AU266/12)/INDEX('Lease Cycles'!$CP$23:$CV$23,1,AU265))/12)))),'Lease Cycles'!$C$23*INDEX('Lease Cycles'!$CB$23:$CH$23,1,AU265)*(1+INDEX('Lease Cycles'!$CI$23:$CO$23,1,AU265))^INT(INT(AU266/12)/INDEX('Lease Cycles'!$CP$23:$CV$23,1,AU265))/12))),IF('Lease Cycles'!$N$23=1,'Lease Cycles'!$C$23*'Lease Cycles'!$E$23*INDEX('Lease Cycles'!$HE$23:$HK$23,1,AU265)*(1+INDEX('Lease Cycles'!$GQ$23:$GW$23,1,AU265))^INT(INT((AU$6-INDEX('Lease Cycles'!$GJ$23:$GP$23,1,AU265))/12)/INDEX('Lease Cycles'!$GX$23:$HD$23,1,AU265))/12,0)))</f>
        <v>0</v>
      </c>
      <c r="AV268" s="28">
        <f>IF(AV265=0,IF('Lease Cycles'!$F$23&gt;0,'Lease Cycles'!$C$23*'Lease Cycles'!$E$23/12,0),IF(AV267=1,IF('Lease Cycles'!$AT$23&gt;=9999,'Lease Cycles'!$C$23*INDEX('Lease Cycles'!$CB$23:$CH$23,1,AV265)*(1+INDEX('Lease Cycles'!$CI$23:$CO$23,1,AV265))^INT(INT(AV266/12)/INDEX('Lease Cycles'!$CP$23:$CV$23,1,AV265))/12,IF(AV265=1,IF(AV266&gt;=INDEX('Lease Cycles'!$DK$23:$DQ$23,1,AV265),IF(AV$6&gt;='Lease Cycles'!$AZ$23,'Lease Cycles'!$C$23*'Lease Cycles'!$BA$23/12,IF(AV$6&gt;='Lease Cycles'!$AX$23,'Lease Cycles'!$C$23*'Lease Cycles'!$AY$23/12,IF(AV$6&gt;='Lease Cycles'!$AV$23,'Lease Cycles'!$C$23*'Lease Cycles'!$AW$23/12,IF(AV$6&gt;='Lease Cycles'!$AT$23,'Lease Cycles'!$C$23*'Lease Cycles'!$AU$23/12,'Lease Cycles'!$C$23*INDEX('Lease Cycles'!$CB$23:$CH$23,1,AV265)*(1+INDEX('Lease Cycles'!$CI$23:$CO$23,1,AV265))^INT(INT(AV266/12)/INDEX('Lease Cycles'!$CP$23:$CV$23,1,AV265))/12)))),'Lease Cycles'!$C$23*INDEX('Lease Cycles'!$CB$23:$CH$23,1,AV265)*(1+INDEX('Lease Cycles'!$CI$23:$CO$23,1,AV265))^INT(INT(AV266/12)/INDEX('Lease Cycles'!$CP$23:$CV$23,1,AV265))/12),IF(INDEX('Lease Cycles'!$EF$23:$EL$23,1,AV265)=1,IF(AND('Lease Cycles'!$AZ$23&gt;=INDEX('Lease Cycles'!$BG$23:$BM$23,1,AV265),'Lease Cycles'!$AZ$23&lt;=AV$6),'Lease Cycles'!$C$23*'Lease Cycles'!$BA$23/12,IF(AND('Lease Cycles'!$AX$23&gt;=INDEX('Lease Cycles'!$BG$23:$BM$23,1,AV265),'Lease Cycles'!$AX$23&lt;=AV$6),'Lease Cycles'!$C$23*'Lease Cycles'!$AY$23/12,IF(AND('Lease Cycles'!$AV$23&gt;=INDEX('Lease Cycles'!$BG$23:$BM$23,1,AV265),'Lease Cycles'!$AV$23&lt;=AV$6),'Lease Cycles'!$C$23*'Lease Cycles'!$AW$23/12,IF(AND('Lease Cycles'!$AT$23&gt;=INDEX('Lease Cycles'!$BG$23:$BM$23,1,AV265),'Lease Cycles'!$AT$23&lt;=AV$6),'Lease Cycles'!$C$23*'Lease Cycles'!$AU$23/12,'Lease Cycles'!$C$23*INDEX('Lease Cycles'!$CB$23:$CH$23,1,AV265)*(1+INDEX('Lease Cycles'!$CI$23:$CO$23,1,AV265))^INT(INT(AV266/12)/INDEX('Lease Cycles'!$CP$23:$CV$23,1,AV265))/12)))),'Lease Cycles'!$C$23*INDEX('Lease Cycles'!$CB$23:$CH$23,1,AV265)*(1+INDEX('Lease Cycles'!$CI$23:$CO$23,1,AV265))^INT(INT(AV266/12)/INDEX('Lease Cycles'!$CP$23:$CV$23,1,AV265))/12))),IF('Lease Cycles'!$N$23=1,'Lease Cycles'!$C$23*'Lease Cycles'!$E$23*INDEX('Lease Cycles'!$HE$23:$HK$23,1,AV265)*(1+INDEX('Lease Cycles'!$GQ$23:$GW$23,1,AV265))^INT(INT((AV$6-INDEX('Lease Cycles'!$GJ$23:$GP$23,1,AV265))/12)/INDEX('Lease Cycles'!$GX$23:$HD$23,1,AV265))/12,0)))</f>
        <v>0</v>
      </c>
      <c r="AW268" s="28">
        <f>IF(AW265=0,IF('Lease Cycles'!$F$23&gt;0,'Lease Cycles'!$C$23*'Lease Cycles'!$E$23/12,0),IF(AW267=1,IF('Lease Cycles'!$AT$23&gt;=9999,'Lease Cycles'!$C$23*INDEX('Lease Cycles'!$CB$23:$CH$23,1,AW265)*(1+INDEX('Lease Cycles'!$CI$23:$CO$23,1,AW265))^INT(INT(AW266/12)/INDEX('Lease Cycles'!$CP$23:$CV$23,1,AW265))/12,IF(AW265=1,IF(AW266&gt;=INDEX('Lease Cycles'!$DK$23:$DQ$23,1,AW265),IF(AW$6&gt;='Lease Cycles'!$AZ$23,'Lease Cycles'!$C$23*'Lease Cycles'!$BA$23/12,IF(AW$6&gt;='Lease Cycles'!$AX$23,'Lease Cycles'!$C$23*'Lease Cycles'!$AY$23/12,IF(AW$6&gt;='Lease Cycles'!$AV$23,'Lease Cycles'!$C$23*'Lease Cycles'!$AW$23/12,IF(AW$6&gt;='Lease Cycles'!$AT$23,'Lease Cycles'!$C$23*'Lease Cycles'!$AU$23/12,'Lease Cycles'!$C$23*INDEX('Lease Cycles'!$CB$23:$CH$23,1,AW265)*(1+INDEX('Lease Cycles'!$CI$23:$CO$23,1,AW265))^INT(INT(AW266/12)/INDEX('Lease Cycles'!$CP$23:$CV$23,1,AW265))/12)))),'Lease Cycles'!$C$23*INDEX('Lease Cycles'!$CB$23:$CH$23,1,AW265)*(1+INDEX('Lease Cycles'!$CI$23:$CO$23,1,AW265))^INT(INT(AW266/12)/INDEX('Lease Cycles'!$CP$23:$CV$23,1,AW265))/12),IF(INDEX('Lease Cycles'!$EF$23:$EL$23,1,AW265)=1,IF(AND('Lease Cycles'!$AZ$23&gt;=INDEX('Lease Cycles'!$BG$23:$BM$23,1,AW265),'Lease Cycles'!$AZ$23&lt;=AW$6),'Lease Cycles'!$C$23*'Lease Cycles'!$BA$23/12,IF(AND('Lease Cycles'!$AX$23&gt;=INDEX('Lease Cycles'!$BG$23:$BM$23,1,AW265),'Lease Cycles'!$AX$23&lt;=AW$6),'Lease Cycles'!$C$23*'Lease Cycles'!$AY$23/12,IF(AND('Lease Cycles'!$AV$23&gt;=INDEX('Lease Cycles'!$BG$23:$BM$23,1,AW265),'Lease Cycles'!$AV$23&lt;=AW$6),'Lease Cycles'!$C$23*'Lease Cycles'!$AW$23/12,IF(AND('Lease Cycles'!$AT$23&gt;=INDEX('Lease Cycles'!$BG$23:$BM$23,1,AW265),'Lease Cycles'!$AT$23&lt;=AW$6),'Lease Cycles'!$C$23*'Lease Cycles'!$AU$23/12,'Lease Cycles'!$C$23*INDEX('Lease Cycles'!$CB$23:$CH$23,1,AW265)*(1+INDEX('Lease Cycles'!$CI$23:$CO$23,1,AW265))^INT(INT(AW266/12)/INDEX('Lease Cycles'!$CP$23:$CV$23,1,AW265))/12)))),'Lease Cycles'!$C$23*INDEX('Lease Cycles'!$CB$23:$CH$23,1,AW265)*(1+INDEX('Lease Cycles'!$CI$23:$CO$23,1,AW265))^INT(INT(AW266/12)/INDEX('Lease Cycles'!$CP$23:$CV$23,1,AW265))/12))),IF('Lease Cycles'!$N$23=1,'Lease Cycles'!$C$23*'Lease Cycles'!$E$23*INDEX('Lease Cycles'!$HE$23:$HK$23,1,AW265)*(1+INDEX('Lease Cycles'!$GQ$23:$GW$23,1,AW265))^INT(INT((AW$6-INDEX('Lease Cycles'!$GJ$23:$GP$23,1,AW265))/12)/INDEX('Lease Cycles'!$GX$23:$HD$23,1,AW265))/12,0)))</f>
        <v>0</v>
      </c>
      <c r="AX268" s="28">
        <f>IF(AX265=0,IF('Lease Cycles'!$F$23&gt;0,'Lease Cycles'!$C$23*'Lease Cycles'!$E$23/12,0),IF(AX267=1,IF('Lease Cycles'!$AT$23&gt;=9999,'Lease Cycles'!$C$23*INDEX('Lease Cycles'!$CB$23:$CH$23,1,AX265)*(1+INDEX('Lease Cycles'!$CI$23:$CO$23,1,AX265))^INT(INT(AX266/12)/INDEX('Lease Cycles'!$CP$23:$CV$23,1,AX265))/12,IF(AX265=1,IF(AX266&gt;=INDEX('Lease Cycles'!$DK$23:$DQ$23,1,AX265),IF(AX$6&gt;='Lease Cycles'!$AZ$23,'Lease Cycles'!$C$23*'Lease Cycles'!$BA$23/12,IF(AX$6&gt;='Lease Cycles'!$AX$23,'Lease Cycles'!$C$23*'Lease Cycles'!$AY$23/12,IF(AX$6&gt;='Lease Cycles'!$AV$23,'Lease Cycles'!$C$23*'Lease Cycles'!$AW$23/12,IF(AX$6&gt;='Lease Cycles'!$AT$23,'Lease Cycles'!$C$23*'Lease Cycles'!$AU$23/12,'Lease Cycles'!$C$23*INDEX('Lease Cycles'!$CB$23:$CH$23,1,AX265)*(1+INDEX('Lease Cycles'!$CI$23:$CO$23,1,AX265))^INT(INT(AX266/12)/INDEX('Lease Cycles'!$CP$23:$CV$23,1,AX265))/12)))),'Lease Cycles'!$C$23*INDEX('Lease Cycles'!$CB$23:$CH$23,1,AX265)*(1+INDEX('Lease Cycles'!$CI$23:$CO$23,1,AX265))^INT(INT(AX266/12)/INDEX('Lease Cycles'!$CP$23:$CV$23,1,AX265))/12),IF(INDEX('Lease Cycles'!$EF$23:$EL$23,1,AX265)=1,IF(AND('Lease Cycles'!$AZ$23&gt;=INDEX('Lease Cycles'!$BG$23:$BM$23,1,AX265),'Lease Cycles'!$AZ$23&lt;=AX$6),'Lease Cycles'!$C$23*'Lease Cycles'!$BA$23/12,IF(AND('Lease Cycles'!$AX$23&gt;=INDEX('Lease Cycles'!$BG$23:$BM$23,1,AX265),'Lease Cycles'!$AX$23&lt;=AX$6),'Lease Cycles'!$C$23*'Lease Cycles'!$AY$23/12,IF(AND('Lease Cycles'!$AV$23&gt;=INDEX('Lease Cycles'!$BG$23:$BM$23,1,AX265),'Lease Cycles'!$AV$23&lt;=AX$6),'Lease Cycles'!$C$23*'Lease Cycles'!$AW$23/12,IF(AND('Lease Cycles'!$AT$23&gt;=INDEX('Lease Cycles'!$BG$23:$BM$23,1,AX265),'Lease Cycles'!$AT$23&lt;=AX$6),'Lease Cycles'!$C$23*'Lease Cycles'!$AU$23/12,'Lease Cycles'!$C$23*INDEX('Lease Cycles'!$CB$23:$CH$23,1,AX265)*(1+INDEX('Lease Cycles'!$CI$23:$CO$23,1,AX265))^INT(INT(AX266/12)/INDEX('Lease Cycles'!$CP$23:$CV$23,1,AX265))/12)))),'Lease Cycles'!$C$23*INDEX('Lease Cycles'!$CB$23:$CH$23,1,AX265)*(1+INDEX('Lease Cycles'!$CI$23:$CO$23,1,AX265))^INT(INT(AX266/12)/INDEX('Lease Cycles'!$CP$23:$CV$23,1,AX265))/12))),IF('Lease Cycles'!$N$23=1,'Lease Cycles'!$C$23*'Lease Cycles'!$E$23*INDEX('Lease Cycles'!$HE$23:$HK$23,1,AX265)*(1+INDEX('Lease Cycles'!$GQ$23:$GW$23,1,AX265))^INT(INT((AX$6-INDEX('Lease Cycles'!$GJ$23:$GP$23,1,AX265))/12)/INDEX('Lease Cycles'!$GX$23:$HD$23,1,AX265))/12,0)))</f>
        <v>0</v>
      </c>
      <c r="AY268" s="28">
        <f>IF(AY265=0,IF('Lease Cycles'!$F$23&gt;0,'Lease Cycles'!$C$23*'Lease Cycles'!$E$23/12,0),IF(AY267=1,IF('Lease Cycles'!$AT$23&gt;=9999,'Lease Cycles'!$C$23*INDEX('Lease Cycles'!$CB$23:$CH$23,1,AY265)*(1+INDEX('Lease Cycles'!$CI$23:$CO$23,1,AY265))^INT(INT(AY266/12)/INDEX('Lease Cycles'!$CP$23:$CV$23,1,AY265))/12,IF(AY265=1,IF(AY266&gt;=INDEX('Lease Cycles'!$DK$23:$DQ$23,1,AY265),IF(AY$6&gt;='Lease Cycles'!$AZ$23,'Lease Cycles'!$C$23*'Lease Cycles'!$BA$23/12,IF(AY$6&gt;='Lease Cycles'!$AX$23,'Lease Cycles'!$C$23*'Lease Cycles'!$AY$23/12,IF(AY$6&gt;='Lease Cycles'!$AV$23,'Lease Cycles'!$C$23*'Lease Cycles'!$AW$23/12,IF(AY$6&gt;='Lease Cycles'!$AT$23,'Lease Cycles'!$C$23*'Lease Cycles'!$AU$23/12,'Lease Cycles'!$C$23*INDEX('Lease Cycles'!$CB$23:$CH$23,1,AY265)*(1+INDEX('Lease Cycles'!$CI$23:$CO$23,1,AY265))^INT(INT(AY266/12)/INDEX('Lease Cycles'!$CP$23:$CV$23,1,AY265))/12)))),'Lease Cycles'!$C$23*INDEX('Lease Cycles'!$CB$23:$CH$23,1,AY265)*(1+INDEX('Lease Cycles'!$CI$23:$CO$23,1,AY265))^INT(INT(AY266/12)/INDEX('Lease Cycles'!$CP$23:$CV$23,1,AY265))/12),IF(INDEX('Lease Cycles'!$EF$23:$EL$23,1,AY265)=1,IF(AND('Lease Cycles'!$AZ$23&gt;=INDEX('Lease Cycles'!$BG$23:$BM$23,1,AY265),'Lease Cycles'!$AZ$23&lt;=AY$6),'Lease Cycles'!$C$23*'Lease Cycles'!$BA$23/12,IF(AND('Lease Cycles'!$AX$23&gt;=INDEX('Lease Cycles'!$BG$23:$BM$23,1,AY265),'Lease Cycles'!$AX$23&lt;=AY$6),'Lease Cycles'!$C$23*'Lease Cycles'!$AY$23/12,IF(AND('Lease Cycles'!$AV$23&gt;=INDEX('Lease Cycles'!$BG$23:$BM$23,1,AY265),'Lease Cycles'!$AV$23&lt;=AY$6),'Lease Cycles'!$C$23*'Lease Cycles'!$AW$23/12,IF(AND('Lease Cycles'!$AT$23&gt;=INDEX('Lease Cycles'!$BG$23:$BM$23,1,AY265),'Lease Cycles'!$AT$23&lt;=AY$6),'Lease Cycles'!$C$23*'Lease Cycles'!$AU$23/12,'Lease Cycles'!$C$23*INDEX('Lease Cycles'!$CB$23:$CH$23,1,AY265)*(1+INDEX('Lease Cycles'!$CI$23:$CO$23,1,AY265))^INT(INT(AY266/12)/INDEX('Lease Cycles'!$CP$23:$CV$23,1,AY265))/12)))),'Lease Cycles'!$C$23*INDEX('Lease Cycles'!$CB$23:$CH$23,1,AY265)*(1+INDEX('Lease Cycles'!$CI$23:$CO$23,1,AY265))^INT(INT(AY266/12)/INDEX('Lease Cycles'!$CP$23:$CV$23,1,AY265))/12))),IF('Lease Cycles'!$N$23=1,'Lease Cycles'!$C$23*'Lease Cycles'!$E$23*INDEX('Lease Cycles'!$HE$23:$HK$23,1,AY265)*(1+INDEX('Lease Cycles'!$GQ$23:$GW$23,1,AY265))^INT(INT((AY$6-INDEX('Lease Cycles'!$GJ$23:$GP$23,1,AY265))/12)/INDEX('Lease Cycles'!$GX$23:$HD$23,1,AY265))/12,0)))</f>
        <v>0</v>
      </c>
      <c r="AZ268" s="28">
        <f>IF(AZ265=0,IF('Lease Cycles'!$F$23&gt;0,'Lease Cycles'!$C$23*'Lease Cycles'!$E$23/12,0),IF(AZ267=1,IF('Lease Cycles'!$AT$23&gt;=9999,'Lease Cycles'!$C$23*INDEX('Lease Cycles'!$CB$23:$CH$23,1,AZ265)*(1+INDEX('Lease Cycles'!$CI$23:$CO$23,1,AZ265))^INT(INT(AZ266/12)/INDEX('Lease Cycles'!$CP$23:$CV$23,1,AZ265))/12,IF(AZ265=1,IF(AZ266&gt;=INDEX('Lease Cycles'!$DK$23:$DQ$23,1,AZ265),IF(AZ$6&gt;='Lease Cycles'!$AZ$23,'Lease Cycles'!$C$23*'Lease Cycles'!$BA$23/12,IF(AZ$6&gt;='Lease Cycles'!$AX$23,'Lease Cycles'!$C$23*'Lease Cycles'!$AY$23/12,IF(AZ$6&gt;='Lease Cycles'!$AV$23,'Lease Cycles'!$C$23*'Lease Cycles'!$AW$23/12,IF(AZ$6&gt;='Lease Cycles'!$AT$23,'Lease Cycles'!$C$23*'Lease Cycles'!$AU$23/12,'Lease Cycles'!$C$23*INDEX('Lease Cycles'!$CB$23:$CH$23,1,AZ265)*(1+INDEX('Lease Cycles'!$CI$23:$CO$23,1,AZ265))^INT(INT(AZ266/12)/INDEX('Lease Cycles'!$CP$23:$CV$23,1,AZ265))/12)))),'Lease Cycles'!$C$23*INDEX('Lease Cycles'!$CB$23:$CH$23,1,AZ265)*(1+INDEX('Lease Cycles'!$CI$23:$CO$23,1,AZ265))^INT(INT(AZ266/12)/INDEX('Lease Cycles'!$CP$23:$CV$23,1,AZ265))/12),IF(INDEX('Lease Cycles'!$EF$23:$EL$23,1,AZ265)=1,IF(AND('Lease Cycles'!$AZ$23&gt;=INDEX('Lease Cycles'!$BG$23:$BM$23,1,AZ265),'Lease Cycles'!$AZ$23&lt;=AZ$6),'Lease Cycles'!$C$23*'Lease Cycles'!$BA$23/12,IF(AND('Lease Cycles'!$AX$23&gt;=INDEX('Lease Cycles'!$BG$23:$BM$23,1,AZ265),'Lease Cycles'!$AX$23&lt;=AZ$6),'Lease Cycles'!$C$23*'Lease Cycles'!$AY$23/12,IF(AND('Lease Cycles'!$AV$23&gt;=INDEX('Lease Cycles'!$BG$23:$BM$23,1,AZ265),'Lease Cycles'!$AV$23&lt;=AZ$6),'Lease Cycles'!$C$23*'Lease Cycles'!$AW$23/12,IF(AND('Lease Cycles'!$AT$23&gt;=INDEX('Lease Cycles'!$BG$23:$BM$23,1,AZ265),'Lease Cycles'!$AT$23&lt;=AZ$6),'Lease Cycles'!$C$23*'Lease Cycles'!$AU$23/12,'Lease Cycles'!$C$23*INDEX('Lease Cycles'!$CB$23:$CH$23,1,AZ265)*(1+INDEX('Lease Cycles'!$CI$23:$CO$23,1,AZ265))^INT(INT(AZ266/12)/INDEX('Lease Cycles'!$CP$23:$CV$23,1,AZ265))/12)))),'Lease Cycles'!$C$23*INDEX('Lease Cycles'!$CB$23:$CH$23,1,AZ265)*(1+INDEX('Lease Cycles'!$CI$23:$CO$23,1,AZ265))^INT(INT(AZ266/12)/INDEX('Lease Cycles'!$CP$23:$CV$23,1,AZ265))/12))),IF('Lease Cycles'!$N$23=1,'Lease Cycles'!$C$23*'Lease Cycles'!$E$23*INDEX('Lease Cycles'!$HE$23:$HK$23,1,AZ265)*(1+INDEX('Lease Cycles'!$GQ$23:$GW$23,1,AZ265))^INT(INT((AZ$6-INDEX('Lease Cycles'!$GJ$23:$GP$23,1,AZ265))/12)/INDEX('Lease Cycles'!$GX$23:$HD$23,1,AZ265))/12,0)))</f>
        <v>0</v>
      </c>
      <c r="BA268" s="28">
        <f>IF(BA265=0,IF('Lease Cycles'!$F$23&gt;0,'Lease Cycles'!$C$23*'Lease Cycles'!$E$23/12,0),IF(BA267=1,IF('Lease Cycles'!$AT$23&gt;=9999,'Lease Cycles'!$C$23*INDEX('Lease Cycles'!$CB$23:$CH$23,1,BA265)*(1+INDEX('Lease Cycles'!$CI$23:$CO$23,1,BA265))^INT(INT(BA266/12)/INDEX('Lease Cycles'!$CP$23:$CV$23,1,BA265))/12,IF(BA265=1,IF(BA266&gt;=INDEX('Lease Cycles'!$DK$23:$DQ$23,1,BA265),IF(BA$6&gt;='Lease Cycles'!$AZ$23,'Lease Cycles'!$C$23*'Lease Cycles'!$BA$23/12,IF(BA$6&gt;='Lease Cycles'!$AX$23,'Lease Cycles'!$C$23*'Lease Cycles'!$AY$23/12,IF(BA$6&gt;='Lease Cycles'!$AV$23,'Lease Cycles'!$C$23*'Lease Cycles'!$AW$23/12,IF(BA$6&gt;='Lease Cycles'!$AT$23,'Lease Cycles'!$C$23*'Lease Cycles'!$AU$23/12,'Lease Cycles'!$C$23*INDEX('Lease Cycles'!$CB$23:$CH$23,1,BA265)*(1+INDEX('Lease Cycles'!$CI$23:$CO$23,1,BA265))^INT(INT(BA266/12)/INDEX('Lease Cycles'!$CP$23:$CV$23,1,BA265))/12)))),'Lease Cycles'!$C$23*INDEX('Lease Cycles'!$CB$23:$CH$23,1,BA265)*(1+INDEX('Lease Cycles'!$CI$23:$CO$23,1,BA265))^INT(INT(BA266/12)/INDEX('Lease Cycles'!$CP$23:$CV$23,1,BA265))/12),IF(INDEX('Lease Cycles'!$EF$23:$EL$23,1,BA265)=1,IF(AND('Lease Cycles'!$AZ$23&gt;=INDEX('Lease Cycles'!$BG$23:$BM$23,1,BA265),'Lease Cycles'!$AZ$23&lt;=BA$6),'Lease Cycles'!$C$23*'Lease Cycles'!$BA$23/12,IF(AND('Lease Cycles'!$AX$23&gt;=INDEX('Lease Cycles'!$BG$23:$BM$23,1,BA265),'Lease Cycles'!$AX$23&lt;=BA$6),'Lease Cycles'!$C$23*'Lease Cycles'!$AY$23/12,IF(AND('Lease Cycles'!$AV$23&gt;=INDEX('Lease Cycles'!$BG$23:$BM$23,1,BA265),'Lease Cycles'!$AV$23&lt;=BA$6),'Lease Cycles'!$C$23*'Lease Cycles'!$AW$23/12,IF(AND('Lease Cycles'!$AT$23&gt;=INDEX('Lease Cycles'!$BG$23:$BM$23,1,BA265),'Lease Cycles'!$AT$23&lt;=BA$6),'Lease Cycles'!$C$23*'Lease Cycles'!$AU$23/12,'Lease Cycles'!$C$23*INDEX('Lease Cycles'!$CB$23:$CH$23,1,BA265)*(1+INDEX('Lease Cycles'!$CI$23:$CO$23,1,BA265))^INT(INT(BA266/12)/INDEX('Lease Cycles'!$CP$23:$CV$23,1,BA265))/12)))),'Lease Cycles'!$C$23*INDEX('Lease Cycles'!$CB$23:$CH$23,1,BA265)*(1+INDEX('Lease Cycles'!$CI$23:$CO$23,1,BA265))^INT(INT(BA266/12)/INDEX('Lease Cycles'!$CP$23:$CV$23,1,BA265))/12))),IF('Lease Cycles'!$N$23=1,'Lease Cycles'!$C$23*'Lease Cycles'!$E$23*INDEX('Lease Cycles'!$HE$23:$HK$23,1,BA265)*(1+INDEX('Lease Cycles'!$GQ$23:$GW$23,1,BA265))^INT(INT((BA$6-INDEX('Lease Cycles'!$GJ$23:$GP$23,1,BA265))/12)/INDEX('Lease Cycles'!$GX$23:$HD$23,1,BA265))/12,0)))</f>
        <v>0</v>
      </c>
      <c r="BB268" s="28">
        <f>IF(BB265=0,IF('Lease Cycles'!$F$23&gt;0,'Lease Cycles'!$C$23*'Lease Cycles'!$E$23/12,0),IF(BB267=1,IF('Lease Cycles'!$AT$23&gt;=9999,'Lease Cycles'!$C$23*INDEX('Lease Cycles'!$CB$23:$CH$23,1,BB265)*(1+INDEX('Lease Cycles'!$CI$23:$CO$23,1,BB265))^INT(INT(BB266/12)/INDEX('Lease Cycles'!$CP$23:$CV$23,1,BB265))/12,IF(BB265=1,IF(BB266&gt;=INDEX('Lease Cycles'!$DK$23:$DQ$23,1,BB265),IF(BB$6&gt;='Lease Cycles'!$AZ$23,'Lease Cycles'!$C$23*'Lease Cycles'!$BA$23/12,IF(BB$6&gt;='Lease Cycles'!$AX$23,'Lease Cycles'!$C$23*'Lease Cycles'!$AY$23/12,IF(BB$6&gt;='Lease Cycles'!$AV$23,'Lease Cycles'!$C$23*'Lease Cycles'!$AW$23/12,IF(BB$6&gt;='Lease Cycles'!$AT$23,'Lease Cycles'!$C$23*'Lease Cycles'!$AU$23/12,'Lease Cycles'!$C$23*INDEX('Lease Cycles'!$CB$23:$CH$23,1,BB265)*(1+INDEX('Lease Cycles'!$CI$23:$CO$23,1,BB265))^INT(INT(BB266/12)/INDEX('Lease Cycles'!$CP$23:$CV$23,1,BB265))/12)))),'Lease Cycles'!$C$23*INDEX('Lease Cycles'!$CB$23:$CH$23,1,BB265)*(1+INDEX('Lease Cycles'!$CI$23:$CO$23,1,BB265))^INT(INT(BB266/12)/INDEX('Lease Cycles'!$CP$23:$CV$23,1,BB265))/12),IF(INDEX('Lease Cycles'!$EF$23:$EL$23,1,BB265)=1,IF(AND('Lease Cycles'!$AZ$23&gt;=INDEX('Lease Cycles'!$BG$23:$BM$23,1,BB265),'Lease Cycles'!$AZ$23&lt;=BB$6),'Lease Cycles'!$C$23*'Lease Cycles'!$BA$23/12,IF(AND('Lease Cycles'!$AX$23&gt;=INDEX('Lease Cycles'!$BG$23:$BM$23,1,BB265),'Lease Cycles'!$AX$23&lt;=BB$6),'Lease Cycles'!$C$23*'Lease Cycles'!$AY$23/12,IF(AND('Lease Cycles'!$AV$23&gt;=INDEX('Lease Cycles'!$BG$23:$BM$23,1,BB265),'Lease Cycles'!$AV$23&lt;=BB$6),'Lease Cycles'!$C$23*'Lease Cycles'!$AW$23/12,IF(AND('Lease Cycles'!$AT$23&gt;=INDEX('Lease Cycles'!$BG$23:$BM$23,1,BB265),'Lease Cycles'!$AT$23&lt;=BB$6),'Lease Cycles'!$C$23*'Lease Cycles'!$AU$23/12,'Lease Cycles'!$C$23*INDEX('Lease Cycles'!$CB$23:$CH$23,1,BB265)*(1+INDEX('Lease Cycles'!$CI$23:$CO$23,1,BB265))^INT(INT(BB266/12)/INDEX('Lease Cycles'!$CP$23:$CV$23,1,BB265))/12)))),'Lease Cycles'!$C$23*INDEX('Lease Cycles'!$CB$23:$CH$23,1,BB265)*(1+INDEX('Lease Cycles'!$CI$23:$CO$23,1,BB265))^INT(INT(BB266/12)/INDEX('Lease Cycles'!$CP$23:$CV$23,1,BB265))/12))),IF('Lease Cycles'!$N$23=1,'Lease Cycles'!$C$23*'Lease Cycles'!$E$23*INDEX('Lease Cycles'!$HE$23:$HK$23,1,BB265)*(1+INDEX('Lease Cycles'!$GQ$23:$GW$23,1,BB265))^INT(INT((BB$6-INDEX('Lease Cycles'!$GJ$23:$GP$23,1,BB265))/12)/INDEX('Lease Cycles'!$GX$23:$HD$23,1,BB265))/12,0)))</f>
        <v>0</v>
      </c>
      <c r="BC268" s="28">
        <f>IF(BC265=0,IF('Lease Cycles'!$F$23&gt;0,'Lease Cycles'!$C$23*'Lease Cycles'!$E$23/12,0),IF(BC267=1,IF('Lease Cycles'!$AT$23&gt;=9999,'Lease Cycles'!$C$23*INDEX('Lease Cycles'!$CB$23:$CH$23,1,BC265)*(1+INDEX('Lease Cycles'!$CI$23:$CO$23,1,BC265))^INT(INT(BC266/12)/INDEX('Lease Cycles'!$CP$23:$CV$23,1,BC265))/12,IF(BC265=1,IF(BC266&gt;=INDEX('Lease Cycles'!$DK$23:$DQ$23,1,BC265),IF(BC$6&gt;='Lease Cycles'!$AZ$23,'Lease Cycles'!$C$23*'Lease Cycles'!$BA$23/12,IF(BC$6&gt;='Lease Cycles'!$AX$23,'Lease Cycles'!$C$23*'Lease Cycles'!$AY$23/12,IF(BC$6&gt;='Lease Cycles'!$AV$23,'Lease Cycles'!$C$23*'Lease Cycles'!$AW$23/12,IF(BC$6&gt;='Lease Cycles'!$AT$23,'Lease Cycles'!$C$23*'Lease Cycles'!$AU$23/12,'Lease Cycles'!$C$23*INDEX('Lease Cycles'!$CB$23:$CH$23,1,BC265)*(1+INDEX('Lease Cycles'!$CI$23:$CO$23,1,BC265))^INT(INT(BC266/12)/INDEX('Lease Cycles'!$CP$23:$CV$23,1,BC265))/12)))),'Lease Cycles'!$C$23*INDEX('Lease Cycles'!$CB$23:$CH$23,1,BC265)*(1+INDEX('Lease Cycles'!$CI$23:$CO$23,1,BC265))^INT(INT(BC266/12)/INDEX('Lease Cycles'!$CP$23:$CV$23,1,BC265))/12),IF(INDEX('Lease Cycles'!$EF$23:$EL$23,1,BC265)=1,IF(AND('Lease Cycles'!$AZ$23&gt;=INDEX('Lease Cycles'!$BG$23:$BM$23,1,BC265),'Lease Cycles'!$AZ$23&lt;=BC$6),'Lease Cycles'!$C$23*'Lease Cycles'!$BA$23/12,IF(AND('Lease Cycles'!$AX$23&gt;=INDEX('Lease Cycles'!$BG$23:$BM$23,1,BC265),'Lease Cycles'!$AX$23&lt;=BC$6),'Lease Cycles'!$C$23*'Lease Cycles'!$AY$23/12,IF(AND('Lease Cycles'!$AV$23&gt;=INDEX('Lease Cycles'!$BG$23:$BM$23,1,BC265),'Lease Cycles'!$AV$23&lt;=BC$6),'Lease Cycles'!$C$23*'Lease Cycles'!$AW$23/12,IF(AND('Lease Cycles'!$AT$23&gt;=INDEX('Lease Cycles'!$BG$23:$BM$23,1,BC265),'Lease Cycles'!$AT$23&lt;=BC$6),'Lease Cycles'!$C$23*'Lease Cycles'!$AU$23/12,'Lease Cycles'!$C$23*INDEX('Lease Cycles'!$CB$23:$CH$23,1,BC265)*(1+INDEX('Lease Cycles'!$CI$23:$CO$23,1,BC265))^INT(INT(BC266/12)/INDEX('Lease Cycles'!$CP$23:$CV$23,1,BC265))/12)))),'Lease Cycles'!$C$23*INDEX('Lease Cycles'!$CB$23:$CH$23,1,BC265)*(1+INDEX('Lease Cycles'!$CI$23:$CO$23,1,BC265))^INT(INT(BC266/12)/INDEX('Lease Cycles'!$CP$23:$CV$23,1,BC265))/12))),IF('Lease Cycles'!$N$23=1,'Lease Cycles'!$C$23*'Lease Cycles'!$E$23*INDEX('Lease Cycles'!$HE$23:$HK$23,1,BC265)*(1+INDEX('Lease Cycles'!$GQ$23:$GW$23,1,BC265))^INT(INT((BC$6-INDEX('Lease Cycles'!$GJ$23:$GP$23,1,BC265))/12)/INDEX('Lease Cycles'!$GX$23:$HD$23,1,BC265))/12,0)))</f>
        <v>0</v>
      </c>
      <c r="BD268" s="28">
        <f>IF(BD265=0,IF('Lease Cycles'!$F$23&gt;0,'Lease Cycles'!$C$23*'Lease Cycles'!$E$23/12,0),IF(BD267=1,IF('Lease Cycles'!$AT$23&gt;=9999,'Lease Cycles'!$C$23*INDEX('Lease Cycles'!$CB$23:$CH$23,1,BD265)*(1+INDEX('Lease Cycles'!$CI$23:$CO$23,1,BD265))^INT(INT(BD266/12)/INDEX('Lease Cycles'!$CP$23:$CV$23,1,BD265))/12,IF(BD265=1,IF(BD266&gt;=INDEX('Lease Cycles'!$DK$23:$DQ$23,1,BD265),IF(BD$6&gt;='Lease Cycles'!$AZ$23,'Lease Cycles'!$C$23*'Lease Cycles'!$BA$23/12,IF(BD$6&gt;='Lease Cycles'!$AX$23,'Lease Cycles'!$C$23*'Lease Cycles'!$AY$23/12,IF(BD$6&gt;='Lease Cycles'!$AV$23,'Lease Cycles'!$C$23*'Lease Cycles'!$AW$23/12,IF(BD$6&gt;='Lease Cycles'!$AT$23,'Lease Cycles'!$C$23*'Lease Cycles'!$AU$23/12,'Lease Cycles'!$C$23*INDEX('Lease Cycles'!$CB$23:$CH$23,1,BD265)*(1+INDEX('Lease Cycles'!$CI$23:$CO$23,1,BD265))^INT(INT(BD266/12)/INDEX('Lease Cycles'!$CP$23:$CV$23,1,BD265))/12)))),'Lease Cycles'!$C$23*INDEX('Lease Cycles'!$CB$23:$CH$23,1,BD265)*(1+INDEX('Lease Cycles'!$CI$23:$CO$23,1,BD265))^INT(INT(BD266/12)/INDEX('Lease Cycles'!$CP$23:$CV$23,1,BD265))/12),IF(INDEX('Lease Cycles'!$EF$23:$EL$23,1,BD265)=1,IF(AND('Lease Cycles'!$AZ$23&gt;=INDEX('Lease Cycles'!$BG$23:$BM$23,1,BD265),'Lease Cycles'!$AZ$23&lt;=BD$6),'Lease Cycles'!$C$23*'Lease Cycles'!$BA$23/12,IF(AND('Lease Cycles'!$AX$23&gt;=INDEX('Lease Cycles'!$BG$23:$BM$23,1,BD265),'Lease Cycles'!$AX$23&lt;=BD$6),'Lease Cycles'!$C$23*'Lease Cycles'!$AY$23/12,IF(AND('Lease Cycles'!$AV$23&gt;=INDEX('Lease Cycles'!$BG$23:$BM$23,1,BD265),'Lease Cycles'!$AV$23&lt;=BD$6),'Lease Cycles'!$C$23*'Lease Cycles'!$AW$23/12,IF(AND('Lease Cycles'!$AT$23&gt;=INDEX('Lease Cycles'!$BG$23:$BM$23,1,BD265),'Lease Cycles'!$AT$23&lt;=BD$6),'Lease Cycles'!$C$23*'Lease Cycles'!$AU$23/12,'Lease Cycles'!$C$23*INDEX('Lease Cycles'!$CB$23:$CH$23,1,BD265)*(1+INDEX('Lease Cycles'!$CI$23:$CO$23,1,BD265))^INT(INT(BD266/12)/INDEX('Lease Cycles'!$CP$23:$CV$23,1,BD265))/12)))),'Lease Cycles'!$C$23*INDEX('Lease Cycles'!$CB$23:$CH$23,1,BD265)*(1+INDEX('Lease Cycles'!$CI$23:$CO$23,1,BD265))^INT(INT(BD266/12)/INDEX('Lease Cycles'!$CP$23:$CV$23,1,BD265))/12))),IF('Lease Cycles'!$N$23=1,'Lease Cycles'!$C$23*'Lease Cycles'!$E$23*INDEX('Lease Cycles'!$HE$23:$HK$23,1,BD265)*(1+INDEX('Lease Cycles'!$GQ$23:$GW$23,1,BD265))^INT(INT((BD$6-INDEX('Lease Cycles'!$GJ$23:$GP$23,1,BD265))/12)/INDEX('Lease Cycles'!$GX$23:$HD$23,1,BD265))/12,0)))</f>
        <v>0</v>
      </c>
      <c r="BE268" s="28">
        <f>IF(BE265=0,IF('Lease Cycles'!$F$23&gt;0,'Lease Cycles'!$C$23*'Lease Cycles'!$E$23/12,0),IF(BE267=1,IF('Lease Cycles'!$AT$23&gt;=9999,'Lease Cycles'!$C$23*INDEX('Lease Cycles'!$CB$23:$CH$23,1,BE265)*(1+INDEX('Lease Cycles'!$CI$23:$CO$23,1,BE265))^INT(INT(BE266/12)/INDEX('Lease Cycles'!$CP$23:$CV$23,1,BE265))/12,IF(BE265=1,IF(BE266&gt;=INDEX('Lease Cycles'!$DK$23:$DQ$23,1,BE265),IF(BE$6&gt;='Lease Cycles'!$AZ$23,'Lease Cycles'!$C$23*'Lease Cycles'!$BA$23/12,IF(BE$6&gt;='Lease Cycles'!$AX$23,'Lease Cycles'!$C$23*'Lease Cycles'!$AY$23/12,IF(BE$6&gt;='Lease Cycles'!$AV$23,'Lease Cycles'!$C$23*'Lease Cycles'!$AW$23/12,IF(BE$6&gt;='Lease Cycles'!$AT$23,'Lease Cycles'!$C$23*'Lease Cycles'!$AU$23/12,'Lease Cycles'!$C$23*INDEX('Lease Cycles'!$CB$23:$CH$23,1,BE265)*(1+INDEX('Lease Cycles'!$CI$23:$CO$23,1,BE265))^INT(INT(BE266/12)/INDEX('Lease Cycles'!$CP$23:$CV$23,1,BE265))/12)))),'Lease Cycles'!$C$23*INDEX('Lease Cycles'!$CB$23:$CH$23,1,BE265)*(1+INDEX('Lease Cycles'!$CI$23:$CO$23,1,BE265))^INT(INT(BE266/12)/INDEX('Lease Cycles'!$CP$23:$CV$23,1,BE265))/12),IF(INDEX('Lease Cycles'!$EF$23:$EL$23,1,BE265)=1,IF(AND('Lease Cycles'!$AZ$23&gt;=INDEX('Lease Cycles'!$BG$23:$BM$23,1,BE265),'Lease Cycles'!$AZ$23&lt;=BE$6),'Lease Cycles'!$C$23*'Lease Cycles'!$BA$23/12,IF(AND('Lease Cycles'!$AX$23&gt;=INDEX('Lease Cycles'!$BG$23:$BM$23,1,BE265),'Lease Cycles'!$AX$23&lt;=BE$6),'Lease Cycles'!$C$23*'Lease Cycles'!$AY$23/12,IF(AND('Lease Cycles'!$AV$23&gt;=INDEX('Lease Cycles'!$BG$23:$BM$23,1,BE265),'Lease Cycles'!$AV$23&lt;=BE$6),'Lease Cycles'!$C$23*'Lease Cycles'!$AW$23/12,IF(AND('Lease Cycles'!$AT$23&gt;=INDEX('Lease Cycles'!$BG$23:$BM$23,1,BE265),'Lease Cycles'!$AT$23&lt;=BE$6),'Lease Cycles'!$C$23*'Lease Cycles'!$AU$23/12,'Lease Cycles'!$C$23*INDEX('Lease Cycles'!$CB$23:$CH$23,1,BE265)*(1+INDEX('Lease Cycles'!$CI$23:$CO$23,1,BE265))^INT(INT(BE266/12)/INDEX('Lease Cycles'!$CP$23:$CV$23,1,BE265))/12)))),'Lease Cycles'!$C$23*INDEX('Lease Cycles'!$CB$23:$CH$23,1,BE265)*(1+INDEX('Lease Cycles'!$CI$23:$CO$23,1,BE265))^INT(INT(BE266/12)/INDEX('Lease Cycles'!$CP$23:$CV$23,1,BE265))/12))),IF('Lease Cycles'!$N$23=1,'Lease Cycles'!$C$23*'Lease Cycles'!$E$23*INDEX('Lease Cycles'!$HE$23:$HK$23,1,BE265)*(1+INDEX('Lease Cycles'!$GQ$23:$GW$23,1,BE265))^INT(INT((BE$6-INDEX('Lease Cycles'!$GJ$23:$GP$23,1,BE265))/12)/INDEX('Lease Cycles'!$GX$23:$HD$23,1,BE265))/12,0)))</f>
        <v>0</v>
      </c>
      <c r="BF268" s="28">
        <f>IF(BF265=0,IF('Lease Cycles'!$F$23&gt;0,'Lease Cycles'!$C$23*'Lease Cycles'!$E$23/12,0),IF(BF267=1,IF('Lease Cycles'!$AT$23&gt;=9999,'Lease Cycles'!$C$23*INDEX('Lease Cycles'!$CB$23:$CH$23,1,BF265)*(1+INDEX('Lease Cycles'!$CI$23:$CO$23,1,BF265))^INT(INT(BF266/12)/INDEX('Lease Cycles'!$CP$23:$CV$23,1,BF265))/12,IF(BF265=1,IF(BF266&gt;=INDEX('Lease Cycles'!$DK$23:$DQ$23,1,BF265),IF(BF$6&gt;='Lease Cycles'!$AZ$23,'Lease Cycles'!$C$23*'Lease Cycles'!$BA$23/12,IF(BF$6&gt;='Lease Cycles'!$AX$23,'Lease Cycles'!$C$23*'Lease Cycles'!$AY$23/12,IF(BF$6&gt;='Lease Cycles'!$AV$23,'Lease Cycles'!$C$23*'Lease Cycles'!$AW$23/12,IF(BF$6&gt;='Lease Cycles'!$AT$23,'Lease Cycles'!$C$23*'Lease Cycles'!$AU$23/12,'Lease Cycles'!$C$23*INDEX('Lease Cycles'!$CB$23:$CH$23,1,BF265)*(1+INDEX('Lease Cycles'!$CI$23:$CO$23,1,BF265))^INT(INT(BF266/12)/INDEX('Lease Cycles'!$CP$23:$CV$23,1,BF265))/12)))),'Lease Cycles'!$C$23*INDEX('Lease Cycles'!$CB$23:$CH$23,1,BF265)*(1+INDEX('Lease Cycles'!$CI$23:$CO$23,1,BF265))^INT(INT(BF266/12)/INDEX('Lease Cycles'!$CP$23:$CV$23,1,BF265))/12),IF(INDEX('Lease Cycles'!$EF$23:$EL$23,1,BF265)=1,IF(AND('Lease Cycles'!$AZ$23&gt;=INDEX('Lease Cycles'!$BG$23:$BM$23,1,BF265),'Lease Cycles'!$AZ$23&lt;=BF$6),'Lease Cycles'!$C$23*'Lease Cycles'!$BA$23/12,IF(AND('Lease Cycles'!$AX$23&gt;=INDEX('Lease Cycles'!$BG$23:$BM$23,1,BF265),'Lease Cycles'!$AX$23&lt;=BF$6),'Lease Cycles'!$C$23*'Lease Cycles'!$AY$23/12,IF(AND('Lease Cycles'!$AV$23&gt;=INDEX('Lease Cycles'!$BG$23:$BM$23,1,BF265),'Lease Cycles'!$AV$23&lt;=BF$6),'Lease Cycles'!$C$23*'Lease Cycles'!$AW$23/12,IF(AND('Lease Cycles'!$AT$23&gt;=INDEX('Lease Cycles'!$BG$23:$BM$23,1,BF265),'Lease Cycles'!$AT$23&lt;=BF$6),'Lease Cycles'!$C$23*'Lease Cycles'!$AU$23/12,'Lease Cycles'!$C$23*INDEX('Lease Cycles'!$CB$23:$CH$23,1,BF265)*(1+INDEX('Lease Cycles'!$CI$23:$CO$23,1,BF265))^INT(INT(BF266/12)/INDEX('Lease Cycles'!$CP$23:$CV$23,1,BF265))/12)))),'Lease Cycles'!$C$23*INDEX('Lease Cycles'!$CB$23:$CH$23,1,BF265)*(1+INDEX('Lease Cycles'!$CI$23:$CO$23,1,BF265))^INT(INT(BF266/12)/INDEX('Lease Cycles'!$CP$23:$CV$23,1,BF265))/12))),IF('Lease Cycles'!$N$23=1,'Lease Cycles'!$C$23*'Lease Cycles'!$E$23*INDEX('Lease Cycles'!$HE$23:$HK$23,1,BF265)*(1+INDEX('Lease Cycles'!$GQ$23:$GW$23,1,BF265))^INT(INT((BF$6-INDEX('Lease Cycles'!$GJ$23:$GP$23,1,BF265))/12)/INDEX('Lease Cycles'!$GX$23:$HD$23,1,BF265))/12,0)))</f>
        <v>0</v>
      </c>
      <c r="BG268" s="28">
        <f>IF(BG265=0,IF('Lease Cycles'!$F$23&gt;0,'Lease Cycles'!$C$23*'Lease Cycles'!$E$23/12,0),IF(BG267=1,IF('Lease Cycles'!$AT$23&gt;=9999,'Lease Cycles'!$C$23*INDEX('Lease Cycles'!$CB$23:$CH$23,1,BG265)*(1+INDEX('Lease Cycles'!$CI$23:$CO$23,1,BG265))^INT(INT(BG266/12)/INDEX('Lease Cycles'!$CP$23:$CV$23,1,BG265))/12,IF(BG265=1,IF(BG266&gt;=INDEX('Lease Cycles'!$DK$23:$DQ$23,1,BG265),IF(BG$6&gt;='Lease Cycles'!$AZ$23,'Lease Cycles'!$C$23*'Lease Cycles'!$BA$23/12,IF(BG$6&gt;='Lease Cycles'!$AX$23,'Lease Cycles'!$C$23*'Lease Cycles'!$AY$23/12,IF(BG$6&gt;='Lease Cycles'!$AV$23,'Lease Cycles'!$C$23*'Lease Cycles'!$AW$23/12,IF(BG$6&gt;='Lease Cycles'!$AT$23,'Lease Cycles'!$C$23*'Lease Cycles'!$AU$23/12,'Lease Cycles'!$C$23*INDEX('Lease Cycles'!$CB$23:$CH$23,1,BG265)*(1+INDEX('Lease Cycles'!$CI$23:$CO$23,1,BG265))^INT(INT(BG266/12)/INDEX('Lease Cycles'!$CP$23:$CV$23,1,BG265))/12)))),'Lease Cycles'!$C$23*INDEX('Lease Cycles'!$CB$23:$CH$23,1,BG265)*(1+INDEX('Lease Cycles'!$CI$23:$CO$23,1,BG265))^INT(INT(BG266/12)/INDEX('Lease Cycles'!$CP$23:$CV$23,1,BG265))/12),IF(INDEX('Lease Cycles'!$EF$23:$EL$23,1,BG265)=1,IF(AND('Lease Cycles'!$AZ$23&gt;=INDEX('Lease Cycles'!$BG$23:$BM$23,1,BG265),'Lease Cycles'!$AZ$23&lt;=BG$6),'Lease Cycles'!$C$23*'Lease Cycles'!$BA$23/12,IF(AND('Lease Cycles'!$AX$23&gt;=INDEX('Lease Cycles'!$BG$23:$BM$23,1,BG265),'Lease Cycles'!$AX$23&lt;=BG$6),'Lease Cycles'!$C$23*'Lease Cycles'!$AY$23/12,IF(AND('Lease Cycles'!$AV$23&gt;=INDEX('Lease Cycles'!$BG$23:$BM$23,1,BG265),'Lease Cycles'!$AV$23&lt;=BG$6),'Lease Cycles'!$C$23*'Lease Cycles'!$AW$23/12,IF(AND('Lease Cycles'!$AT$23&gt;=INDEX('Lease Cycles'!$BG$23:$BM$23,1,BG265),'Lease Cycles'!$AT$23&lt;=BG$6),'Lease Cycles'!$C$23*'Lease Cycles'!$AU$23/12,'Lease Cycles'!$C$23*INDEX('Lease Cycles'!$CB$23:$CH$23,1,BG265)*(1+INDEX('Lease Cycles'!$CI$23:$CO$23,1,BG265))^INT(INT(BG266/12)/INDEX('Lease Cycles'!$CP$23:$CV$23,1,BG265))/12)))),'Lease Cycles'!$C$23*INDEX('Lease Cycles'!$CB$23:$CH$23,1,BG265)*(1+INDEX('Lease Cycles'!$CI$23:$CO$23,1,BG265))^INT(INT(BG266/12)/INDEX('Lease Cycles'!$CP$23:$CV$23,1,BG265))/12))),IF('Lease Cycles'!$N$23=1,'Lease Cycles'!$C$23*'Lease Cycles'!$E$23*INDEX('Lease Cycles'!$HE$23:$HK$23,1,BG265)*(1+INDEX('Lease Cycles'!$GQ$23:$GW$23,1,BG265))^INT(INT((BG$6-INDEX('Lease Cycles'!$GJ$23:$GP$23,1,BG265))/12)/INDEX('Lease Cycles'!$GX$23:$HD$23,1,BG265))/12,0)))</f>
        <v>0</v>
      </c>
      <c r="BH268" s="28">
        <f>IF(BH265=0,IF('Lease Cycles'!$F$23&gt;0,'Lease Cycles'!$C$23*'Lease Cycles'!$E$23/12,0),IF(BH267=1,IF('Lease Cycles'!$AT$23&gt;=9999,'Lease Cycles'!$C$23*INDEX('Lease Cycles'!$CB$23:$CH$23,1,BH265)*(1+INDEX('Lease Cycles'!$CI$23:$CO$23,1,BH265))^INT(INT(BH266/12)/INDEX('Lease Cycles'!$CP$23:$CV$23,1,BH265))/12,IF(BH265=1,IF(BH266&gt;=INDEX('Lease Cycles'!$DK$23:$DQ$23,1,BH265),IF(BH$6&gt;='Lease Cycles'!$AZ$23,'Lease Cycles'!$C$23*'Lease Cycles'!$BA$23/12,IF(BH$6&gt;='Lease Cycles'!$AX$23,'Lease Cycles'!$C$23*'Lease Cycles'!$AY$23/12,IF(BH$6&gt;='Lease Cycles'!$AV$23,'Lease Cycles'!$C$23*'Lease Cycles'!$AW$23/12,IF(BH$6&gt;='Lease Cycles'!$AT$23,'Lease Cycles'!$C$23*'Lease Cycles'!$AU$23/12,'Lease Cycles'!$C$23*INDEX('Lease Cycles'!$CB$23:$CH$23,1,BH265)*(1+INDEX('Lease Cycles'!$CI$23:$CO$23,1,BH265))^INT(INT(BH266/12)/INDEX('Lease Cycles'!$CP$23:$CV$23,1,BH265))/12)))),'Lease Cycles'!$C$23*INDEX('Lease Cycles'!$CB$23:$CH$23,1,BH265)*(1+INDEX('Lease Cycles'!$CI$23:$CO$23,1,BH265))^INT(INT(BH266/12)/INDEX('Lease Cycles'!$CP$23:$CV$23,1,BH265))/12),IF(INDEX('Lease Cycles'!$EF$23:$EL$23,1,BH265)=1,IF(AND('Lease Cycles'!$AZ$23&gt;=INDEX('Lease Cycles'!$BG$23:$BM$23,1,BH265),'Lease Cycles'!$AZ$23&lt;=BH$6),'Lease Cycles'!$C$23*'Lease Cycles'!$BA$23/12,IF(AND('Lease Cycles'!$AX$23&gt;=INDEX('Lease Cycles'!$BG$23:$BM$23,1,BH265),'Lease Cycles'!$AX$23&lt;=BH$6),'Lease Cycles'!$C$23*'Lease Cycles'!$AY$23/12,IF(AND('Lease Cycles'!$AV$23&gt;=INDEX('Lease Cycles'!$BG$23:$BM$23,1,BH265),'Lease Cycles'!$AV$23&lt;=BH$6),'Lease Cycles'!$C$23*'Lease Cycles'!$AW$23/12,IF(AND('Lease Cycles'!$AT$23&gt;=INDEX('Lease Cycles'!$BG$23:$BM$23,1,BH265),'Lease Cycles'!$AT$23&lt;=BH$6),'Lease Cycles'!$C$23*'Lease Cycles'!$AU$23/12,'Lease Cycles'!$C$23*INDEX('Lease Cycles'!$CB$23:$CH$23,1,BH265)*(1+INDEX('Lease Cycles'!$CI$23:$CO$23,1,BH265))^INT(INT(BH266/12)/INDEX('Lease Cycles'!$CP$23:$CV$23,1,BH265))/12)))),'Lease Cycles'!$C$23*INDEX('Lease Cycles'!$CB$23:$CH$23,1,BH265)*(1+INDEX('Lease Cycles'!$CI$23:$CO$23,1,BH265))^INT(INT(BH266/12)/INDEX('Lease Cycles'!$CP$23:$CV$23,1,BH265))/12))),IF('Lease Cycles'!$N$23=1,'Lease Cycles'!$C$23*'Lease Cycles'!$E$23*INDEX('Lease Cycles'!$HE$23:$HK$23,1,BH265)*(1+INDEX('Lease Cycles'!$GQ$23:$GW$23,1,BH265))^INT(INT((BH$6-INDEX('Lease Cycles'!$GJ$23:$GP$23,1,BH265))/12)/INDEX('Lease Cycles'!$GX$23:$HD$23,1,BH265))/12,0)))</f>
        <v>0</v>
      </c>
      <c r="BI268" s="28">
        <f>IF(BI265=0,IF('Lease Cycles'!$F$23&gt;0,'Lease Cycles'!$C$23*'Lease Cycles'!$E$23/12,0),IF(BI267=1,IF('Lease Cycles'!$AT$23&gt;=9999,'Lease Cycles'!$C$23*INDEX('Lease Cycles'!$CB$23:$CH$23,1,BI265)*(1+INDEX('Lease Cycles'!$CI$23:$CO$23,1,BI265))^INT(INT(BI266/12)/INDEX('Lease Cycles'!$CP$23:$CV$23,1,BI265))/12,IF(BI265=1,IF(BI266&gt;=INDEX('Lease Cycles'!$DK$23:$DQ$23,1,BI265),IF(BI$6&gt;='Lease Cycles'!$AZ$23,'Lease Cycles'!$C$23*'Lease Cycles'!$BA$23/12,IF(BI$6&gt;='Lease Cycles'!$AX$23,'Lease Cycles'!$C$23*'Lease Cycles'!$AY$23/12,IF(BI$6&gt;='Lease Cycles'!$AV$23,'Lease Cycles'!$C$23*'Lease Cycles'!$AW$23/12,IF(BI$6&gt;='Lease Cycles'!$AT$23,'Lease Cycles'!$C$23*'Lease Cycles'!$AU$23/12,'Lease Cycles'!$C$23*INDEX('Lease Cycles'!$CB$23:$CH$23,1,BI265)*(1+INDEX('Lease Cycles'!$CI$23:$CO$23,1,BI265))^INT(INT(BI266/12)/INDEX('Lease Cycles'!$CP$23:$CV$23,1,BI265))/12)))),'Lease Cycles'!$C$23*INDEX('Lease Cycles'!$CB$23:$CH$23,1,BI265)*(1+INDEX('Lease Cycles'!$CI$23:$CO$23,1,BI265))^INT(INT(BI266/12)/INDEX('Lease Cycles'!$CP$23:$CV$23,1,BI265))/12),IF(INDEX('Lease Cycles'!$EF$23:$EL$23,1,BI265)=1,IF(AND('Lease Cycles'!$AZ$23&gt;=INDEX('Lease Cycles'!$BG$23:$BM$23,1,BI265),'Lease Cycles'!$AZ$23&lt;=BI$6),'Lease Cycles'!$C$23*'Lease Cycles'!$BA$23/12,IF(AND('Lease Cycles'!$AX$23&gt;=INDEX('Lease Cycles'!$BG$23:$BM$23,1,BI265),'Lease Cycles'!$AX$23&lt;=BI$6),'Lease Cycles'!$C$23*'Lease Cycles'!$AY$23/12,IF(AND('Lease Cycles'!$AV$23&gt;=INDEX('Lease Cycles'!$BG$23:$BM$23,1,BI265),'Lease Cycles'!$AV$23&lt;=BI$6),'Lease Cycles'!$C$23*'Lease Cycles'!$AW$23/12,IF(AND('Lease Cycles'!$AT$23&gt;=INDEX('Lease Cycles'!$BG$23:$BM$23,1,BI265),'Lease Cycles'!$AT$23&lt;=BI$6),'Lease Cycles'!$C$23*'Lease Cycles'!$AU$23/12,'Lease Cycles'!$C$23*INDEX('Lease Cycles'!$CB$23:$CH$23,1,BI265)*(1+INDEX('Lease Cycles'!$CI$23:$CO$23,1,BI265))^INT(INT(BI266/12)/INDEX('Lease Cycles'!$CP$23:$CV$23,1,BI265))/12)))),'Lease Cycles'!$C$23*INDEX('Lease Cycles'!$CB$23:$CH$23,1,BI265)*(1+INDEX('Lease Cycles'!$CI$23:$CO$23,1,BI265))^INT(INT(BI266/12)/INDEX('Lease Cycles'!$CP$23:$CV$23,1,BI265))/12))),IF('Lease Cycles'!$N$23=1,'Lease Cycles'!$C$23*'Lease Cycles'!$E$23*INDEX('Lease Cycles'!$HE$23:$HK$23,1,BI265)*(1+INDEX('Lease Cycles'!$GQ$23:$GW$23,1,BI265))^INT(INT((BI$6-INDEX('Lease Cycles'!$GJ$23:$GP$23,1,BI265))/12)/INDEX('Lease Cycles'!$GX$23:$HD$23,1,BI265))/12,0)))</f>
        <v>0</v>
      </c>
      <c r="BJ268" s="28">
        <f>IF(BJ265=0,IF('Lease Cycles'!$F$23&gt;0,'Lease Cycles'!$C$23*'Lease Cycles'!$E$23/12,0),IF(BJ267=1,IF('Lease Cycles'!$AT$23&gt;=9999,'Lease Cycles'!$C$23*INDEX('Lease Cycles'!$CB$23:$CH$23,1,BJ265)*(1+INDEX('Lease Cycles'!$CI$23:$CO$23,1,BJ265))^INT(INT(BJ266/12)/INDEX('Lease Cycles'!$CP$23:$CV$23,1,BJ265))/12,IF(BJ265=1,IF(BJ266&gt;=INDEX('Lease Cycles'!$DK$23:$DQ$23,1,BJ265),IF(BJ$6&gt;='Lease Cycles'!$AZ$23,'Lease Cycles'!$C$23*'Lease Cycles'!$BA$23/12,IF(BJ$6&gt;='Lease Cycles'!$AX$23,'Lease Cycles'!$C$23*'Lease Cycles'!$AY$23/12,IF(BJ$6&gt;='Lease Cycles'!$AV$23,'Lease Cycles'!$C$23*'Lease Cycles'!$AW$23/12,IF(BJ$6&gt;='Lease Cycles'!$AT$23,'Lease Cycles'!$C$23*'Lease Cycles'!$AU$23/12,'Lease Cycles'!$C$23*INDEX('Lease Cycles'!$CB$23:$CH$23,1,BJ265)*(1+INDEX('Lease Cycles'!$CI$23:$CO$23,1,BJ265))^INT(INT(BJ266/12)/INDEX('Lease Cycles'!$CP$23:$CV$23,1,BJ265))/12)))),'Lease Cycles'!$C$23*INDEX('Lease Cycles'!$CB$23:$CH$23,1,BJ265)*(1+INDEX('Lease Cycles'!$CI$23:$CO$23,1,BJ265))^INT(INT(BJ266/12)/INDEX('Lease Cycles'!$CP$23:$CV$23,1,BJ265))/12),IF(INDEX('Lease Cycles'!$EF$23:$EL$23,1,BJ265)=1,IF(AND('Lease Cycles'!$AZ$23&gt;=INDEX('Lease Cycles'!$BG$23:$BM$23,1,BJ265),'Lease Cycles'!$AZ$23&lt;=BJ$6),'Lease Cycles'!$C$23*'Lease Cycles'!$BA$23/12,IF(AND('Lease Cycles'!$AX$23&gt;=INDEX('Lease Cycles'!$BG$23:$BM$23,1,BJ265),'Lease Cycles'!$AX$23&lt;=BJ$6),'Lease Cycles'!$C$23*'Lease Cycles'!$AY$23/12,IF(AND('Lease Cycles'!$AV$23&gt;=INDEX('Lease Cycles'!$BG$23:$BM$23,1,BJ265),'Lease Cycles'!$AV$23&lt;=BJ$6),'Lease Cycles'!$C$23*'Lease Cycles'!$AW$23/12,IF(AND('Lease Cycles'!$AT$23&gt;=INDEX('Lease Cycles'!$BG$23:$BM$23,1,BJ265),'Lease Cycles'!$AT$23&lt;=BJ$6),'Lease Cycles'!$C$23*'Lease Cycles'!$AU$23/12,'Lease Cycles'!$C$23*INDEX('Lease Cycles'!$CB$23:$CH$23,1,BJ265)*(1+INDEX('Lease Cycles'!$CI$23:$CO$23,1,BJ265))^INT(INT(BJ266/12)/INDEX('Lease Cycles'!$CP$23:$CV$23,1,BJ265))/12)))),'Lease Cycles'!$C$23*INDEX('Lease Cycles'!$CB$23:$CH$23,1,BJ265)*(1+INDEX('Lease Cycles'!$CI$23:$CO$23,1,BJ265))^INT(INT(BJ266/12)/INDEX('Lease Cycles'!$CP$23:$CV$23,1,BJ265))/12))),IF('Lease Cycles'!$N$23=1,'Lease Cycles'!$C$23*'Lease Cycles'!$E$23*INDEX('Lease Cycles'!$HE$23:$HK$23,1,BJ265)*(1+INDEX('Lease Cycles'!$GQ$23:$GW$23,1,BJ265))^INT(INT((BJ$6-INDEX('Lease Cycles'!$GJ$23:$GP$23,1,BJ265))/12)/INDEX('Lease Cycles'!$GX$23:$HD$23,1,BJ265))/12,0)))</f>
        <v>0</v>
      </c>
      <c r="BK268" s="28">
        <f>IF(BK265=0,IF('Lease Cycles'!$F$23&gt;0,'Lease Cycles'!$C$23*'Lease Cycles'!$E$23/12,0),IF(BK267=1,IF('Lease Cycles'!$AT$23&gt;=9999,'Lease Cycles'!$C$23*INDEX('Lease Cycles'!$CB$23:$CH$23,1,BK265)*(1+INDEX('Lease Cycles'!$CI$23:$CO$23,1,BK265))^INT(INT(BK266/12)/INDEX('Lease Cycles'!$CP$23:$CV$23,1,BK265))/12,IF(BK265=1,IF(BK266&gt;=INDEX('Lease Cycles'!$DK$23:$DQ$23,1,BK265),IF(BK$6&gt;='Lease Cycles'!$AZ$23,'Lease Cycles'!$C$23*'Lease Cycles'!$BA$23/12,IF(BK$6&gt;='Lease Cycles'!$AX$23,'Lease Cycles'!$C$23*'Lease Cycles'!$AY$23/12,IF(BK$6&gt;='Lease Cycles'!$AV$23,'Lease Cycles'!$C$23*'Lease Cycles'!$AW$23/12,IF(BK$6&gt;='Lease Cycles'!$AT$23,'Lease Cycles'!$C$23*'Lease Cycles'!$AU$23/12,'Lease Cycles'!$C$23*INDEX('Lease Cycles'!$CB$23:$CH$23,1,BK265)*(1+INDEX('Lease Cycles'!$CI$23:$CO$23,1,BK265))^INT(INT(BK266/12)/INDEX('Lease Cycles'!$CP$23:$CV$23,1,BK265))/12)))),'Lease Cycles'!$C$23*INDEX('Lease Cycles'!$CB$23:$CH$23,1,BK265)*(1+INDEX('Lease Cycles'!$CI$23:$CO$23,1,BK265))^INT(INT(BK266/12)/INDEX('Lease Cycles'!$CP$23:$CV$23,1,BK265))/12),IF(INDEX('Lease Cycles'!$EF$23:$EL$23,1,BK265)=1,IF(AND('Lease Cycles'!$AZ$23&gt;=INDEX('Lease Cycles'!$BG$23:$BM$23,1,BK265),'Lease Cycles'!$AZ$23&lt;=BK$6),'Lease Cycles'!$C$23*'Lease Cycles'!$BA$23/12,IF(AND('Lease Cycles'!$AX$23&gt;=INDEX('Lease Cycles'!$BG$23:$BM$23,1,BK265),'Lease Cycles'!$AX$23&lt;=BK$6),'Lease Cycles'!$C$23*'Lease Cycles'!$AY$23/12,IF(AND('Lease Cycles'!$AV$23&gt;=INDEX('Lease Cycles'!$BG$23:$BM$23,1,BK265),'Lease Cycles'!$AV$23&lt;=BK$6),'Lease Cycles'!$C$23*'Lease Cycles'!$AW$23/12,IF(AND('Lease Cycles'!$AT$23&gt;=INDEX('Lease Cycles'!$BG$23:$BM$23,1,BK265),'Lease Cycles'!$AT$23&lt;=BK$6),'Lease Cycles'!$C$23*'Lease Cycles'!$AU$23/12,'Lease Cycles'!$C$23*INDEX('Lease Cycles'!$CB$23:$CH$23,1,BK265)*(1+INDEX('Lease Cycles'!$CI$23:$CO$23,1,BK265))^INT(INT(BK266/12)/INDEX('Lease Cycles'!$CP$23:$CV$23,1,BK265))/12)))),'Lease Cycles'!$C$23*INDEX('Lease Cycles'!$CB$23:$CH$23,1,BK265)*(1+INDEX('Lease Cycles'!$CI$23:$CO$23,1,BK265))^INT(INT(BK266/12)/INDEX('Lease Cycles'!$CP$23:$CV$23,1,BK265))/12))),IF('Lease Cycles'!$N$23=1,'Lease Cycles'!$C$23*'Lease Cycles'!$E$23*INDEX('Lease Cycles'!$HE$23:$HK$23,1,BK265)*(1+INDEX('Lease Cycles'!$GQ$23:$GW$23,1,BK265))^INT(INT((BK$6-INDEX('Lease Cycles'!$GJ$23:$GP$23,1,BK265))/12)/INDEX('Lease Cycles'!$GX$23:$HD$23,1,BK265))/12,0)))</f>
        <v>0</v>
      </c>
      <c r="BL268" s="28">
        <f>IF(BL265=0,IF('Lease Cycles'!$F$23&gt;0,'Lease Cycles'!$C$23*'Lease Cycles'!$E$23/12,0),IF(BL267=1,IF('Lease Cycles'!$AT$23&gt;=9999,'Lease Cycles'!$C$23*INDEX('Lease Cycles'!$CB$23:$CH$23,1,BL265)*(1+INDEX('Lease Cycles'!$CI$23:$CO$23,1,BL265))^INT(INT(BL266/12)/INDEX('Lease Cycles'!$CP$23:$CV$23,1,BL265))/12,IF(BL265=1,IF(BL266&gt;=INDEX('Lease Cycles'!$DK$23:$DQ$23,1,BL265),IF(BL$6&gt;='Lease Cycles'!$AZ$23,'Lease Cycles'!$C$23*'Lease Cycles'!$BA$23/12,IF(BL$6&gt;='Lease Cycles'!$AX$23,'Lease Cycles'!$C$23*'Lease Cycles'!$AY$23/12,IF(BL$6&gt;='Lease Cycles'!$AV$23,'Lease Cycles'!$C$23*'Lease Cycles'!$AW$23/12,IF(BL$6&gt;='Lease Cycles'!$AT$23,'Lease Cycles'!$C$23*'Lease Cycles'!$AU$23/12,'Lease Cycles'!$C$23*INDEX('Lease Cycles'!$CB$23:$CH$23,1,BL265)*(1+INDEX('Lease Cycles'!$CI$23:$CO$23,1,BL265))^INT(INT(BL266/12)/INDEX('Lease Cycles'!$CP$23:$CV$23,1,BL265))/12)))),'Lease Cycles'!$C$23*INDEX('Lease Cycles'!$CB$23:$CH$23,1,BL265)*(1+INDEX('Lease Cycles'!$CI$23:$CO$23,1,BL265))^INT(INT(BL266/12)/INDEX('Lease Cycles'!$CP$23:$CV$23,1,BL265))/12),IF(INDEX('Lease Cycles'!$EF$23:$EL$23,1,BL265)=1,IF(AND('Lease Cycles'!$AZ$23&gt;=INDEX('Lease Cycles'!$BG$23:$BM$23,1,BL265),'Lease Cycles'!$AZ$23&lt;=BL$6),'Lease Cycles'!$C$23*'Lease Cycles'!$BA$23/12,IF(AND('Lease Cycles'!$AX$23&gt;=INDEX('Lease Cycles'!$BG$23:$BM$23,1,BL265),'Lease Cycles'!$AX$23&lt;=BL$6),'Lease Cycles'!$C$23*'Lease Cycles'!$AY$23/12,IF(AND('Lease Cycles'!$AV$23&gt;=INDEX('Lease Cycles'!$BG$23:$BM$23,1,BL265),'Lease Cycles'!$AV$23&lt;=BL$6),'Lease Cycles'!$C$23*'Lease Cycles'!$AW$23/12,IF(AND('Lease Cycles'!$AT$23&gt;=INDEX('Lease Cycles'!$BG$23:$BM$23,1,BL265),'Lease Cycles'!$AT$23&lt;=BL$6),'Lease Cycles'!$C$23*'Lease Cycles'!$AU$23/12,'Lease Cycles'!$C$23*INDEX('Lease Cycles'!$CB$23:$CH$23,1,BL265)*(1+INDEX('Lease Cycles'!$CI$23:$CO$23,1,BL265))^INT(INT(BL266/12)/INDEX('Lease Cycles'!$CP$23:$CV$23,1,BL265))/12)))),'Lease Cycles'!$C$23*INDEX('Lease Cycles'!$CB$23:$CH$23,1,BL265)*(1+INDEX('Lease Cycles'!$CI$23:$CO$23,1,BL265))^INT(INT(BL266/12)/INDEX('Lease Cycles'!$CP$23:$CV$23,1,BL265))/12))),IF('Lease Cycles'!$N$23=1,'Lease Cycles'!$C$23*'Lease Cycles'!$E$23*INDEX('Lease Cycles'!$HE$23:$HK$23,1,BL265)*(1+INDEX('Lease Cycles'!$GQ$23:$GW$23,1,BL265))^INT(INT((BL$6-INDEX('Lease Cycles'!$GJ$23:$GP$23,1,BL265))/12)/INDEX('Lease Cycles'!$GX$23:$HD$23,1,BL265))/12,0)))</f>
        <v>0</v>
      </c>
      <c r="BM268" s="28">
        <f>IF(BM265=0,IF('Lease Cycles'!$F$23&gt;0,'Lease Cycles'!$C$23*'Lease Cycles'!$E$23/12,0),IF(BM267=1,IF('Lease Cycles'!$AT$23&gt;=9999,'Lease Cycles'!$C$23*INDEX('Lease Cycles'!$CB$23:$CH$23,1,BM265)*(1+INDEX('Lease Cycles'!$CI$23:$CO$23,1,BM265))^INT(INT(BM266/12)/INDEX('Lease Cycles'!$CP$23:$CV$23,1,BM265))/12,IF(BM265=1,IF(BM266&gt;=INDEX('Lease Cycles'!$DK$23:$DQ$23,1,BM265),IF(BM$6&gt;='Lease Cycles'!$AZ$23,'Lease Cycles'!$C$23*'Lease Cycles'!$BA$23/12,IF(BM$6&gt;='Lease Cycles'!$AX$23,'Lease Cycles'!$C$23*'Lease Cycles'!$AY$23/12,IF(BM$6&gt;='Lease Cycles'!$AV$23,'Lease Cycles'!$C$23*'Lease Cycles'!$AW$23/12,IF(BM$6&gt;='Lease Cycles'!$AT$23,'Lease Cycles'!$C$23*'Lease Cycles'!$AU$23/12,'Lease Cycles'!$C$23*INDEX('Lease Cycles'!$CB$23:$CH$23,1,BM265)*(1+INDEX('Lease Cycles'!$CI$23:$CO$23,1,BM265))^INT(INT(BM266/12)/INDEX('Lease Cycles'!$CP$23:$CV$23,1,BM265))/12)))),'Lease Cycles'!$C$23*INDEX('Lease Cycles'!$CB$23:$CH$23,1,BM265)*(1+INDEX('Lease Cycles'!$CI$23:$CO$23,1,BM265))^INT(INT(BM266/12)/INDEX('Lease Cycles'!$CP$23:$CV$23,1,BM265))/12),IF(INDEX('Lease Cycles'!$EF$23:$EL$23,1,BM265)=1,IF(AND('Lease Cycles'!$AZ$23&gt;=INDEX('Lease Cycles'!$BG$23:$BM$23,1,BM265),'Lease Cycles'!$AZ$23&lt;=BM$6),'Lease Cycles'!$C$23*'Lease Cycles'!$BA$23/12,IF(AND('Lease Cycles'!$AX$23&gt;=INDEX('Lease Cycles'!$BG$23:$BM$23,1,BM265),'Lease Cycles'!$AX$23&lt;=BM$6),'Lease Cycles'!$C$23*'Lease Cycles'!$AY$23/12,IF(AND('Lease Cycles'!$AV$23&gt;=INDEX('Lease Cycles'!$BG$23:$BM$23,1,BM265),'Lease Cycles'!$AV$23&lt;=BM$6),'Lease Cycles'!$C$23*'Lease Cycles'!$AW$23/12,IF(AND('Lease Cycles'!$AT$23&gt;=INDEX('Lease Cycles'!$BG$23:$BM$23,1,BM265),'Lease Cycles'!$AT$23&lt;=BM$6),'Lease Cycles'!$C$23*'Lease Cycles'!$AU$23/12,'Lease Cycles'!$C$23*INDEX('Lease Cycles'!$CB$23:$CH$23,1,BM265)*(1+INDEX('Lease Cycles'!$CI$23:$CO$23,1,BM265))^INT(INT(BM266/12)/INDEX('Lease Cycles'!$CP$23:$CV$23,1,BM265))/12)))),'Lease Cycles'!$C$23*INDEX('Lease Cycles'!$CB$23:$CH$23,1,BM265)*(1+INDEX('Lease Cycles'!$CI$23:$CO$23,1,BM265))^INT(INT(BM266/12)/INDEX('Lease Cycles'!$CP$23:$CV$23,1,BM265))/12))),IF('Lease Cycles'!$N$23=1,'Lease Cycles'!$C$23*'Lease Cycles'!$E$23*INDEX('Lease Cycles'!$HE$23:$HK$23,1,BM265)*(1+INDEX('Lease Cycles'!$GQ$23:$GW$23,1,BM265))^INT(INT((BM$6-INDEX('Lease Cycles'!$GJ$23:$GP$23,1,BM265))/12)/INDEX('Lease Cycles'!$GX$23:$HD$23,1,BM265))/12,0)))</f>
        <v>0</v>
      </c>
      <c r="BN268" s="28">
        <f>IF(BN265=0,IF('Lease Cycles'!$F$23&gt;0,'Lease Cycles'!$C$23*'Lease Cycles'!$E$23/12,0),IF(BN267=1,IF('Lease Cycles'!$AT$23&gt;=9999,'Lease Cycles'!$C$23*INDEX('Lease Cycles'!$CB$23:$CH$23,1,BN265)*(1+INDEX('Lease Cycles'!$CI$23:$CO$23,1,BN265))^INT(INT(BN266/12)/INDEX('Lease Cycles'!$CP$23:$CV$23,1,BN265))/12,IF(BN265=1,IF(BN266&gt;=INDEX('Lease Cycles'!$DK$23:$DQ$23,1,BN265),IF(BN$6&gt;='Lease Cycles'!$AZ$23,'Lease Cycles'!$C$23*'Lease Cycles'!$BA$23/12,IF(BN$6&gt;='Lease Cycles'!$AX$23,'Lease Cycles'!$C$23*'Lease Cycles'!$AY$23/12,IF(BN$6&gt;='Lease Cycles'!$AV$23,'Lease Cycles'!$C$23*'Lease Cycles'!$AW$23/12,IF(BN$6&gt;='Lease Cycles'!$AT$23,'Lease Cycles'!$C$23*'Lease Cycles'!$AU$23/12,'Lease Cycles'!$C$23*INDEX('Lease Cycles'!$CB$23:$CH$23,1,BN265)*(1+INDEX('Lease Cycles'!$CI$23:$CO$23,1,BN265))^INT(INT(BN266/12)/INDEX('Lease Cycles'!$CP$23:$CV$23,1,BN265))/12)))),'Lease Cycles'!$C$23*INDEX('Lease Cycles'!$CB$23:$CH$23,1,BN265)*(1+INDEX('Lease Cycles'!$CI$23:$CO$23,1,BN265))^INT(INT(BN266/12)/INDEX('Lease Cycles'!$CP$23:$CV$23,1,BN265))/12),IF(INDEX('Lease Cycles'!$EF$23:$EL$23,1,BN265)=1,IF(AND('Lease Cycles'!$AZ$23&gt;=INDEX('Lease Cycles'!$BG$23:$BM$23,1,BN265),'Lease Cycles'!$AZ$23&lt;=BN$6),'Lease Cycles'!$C$23*'Lease Cycles'!$BA$23/12,IF(AND('Lease Cycles'!$AX$23&gt;=INDEX('Lease Cycles'!$BG$23:$BM$23,1,BN265),'Lease Cycles'!$AX$23&lt;=BN$6),'Lease Cycles'!$C$23*'Lease Cycles'!$AY$23/12,IF(AND('Lease Cycles'!$AV$23&gt;=INDEX('Lease Cycles'!$BG$23:$BM$23,1,BN265),'Lease Cycles'!$AV$23&lt;=BN$6),'Lease Cycles'!$C$23*'Lease Cycles'!$AW$23/12,IF(AND('Lease Cycles'!$AT$23&gt;=INDEX('Lease Cycles'!$BG$23:$BM$23,1,BN265),'Lease Cycles'!$AT$23&lt;=BN$6),'Lease Cycles'!$C$23*'Lease Cycles'!$AU$23/12,'Lease Cycles'!$C$23*INDEX('Lease Cycles'!$CB$23:$CH$23,1,BN265)*(1+INDEX('Lease Cycles'!$CI$23:$CO$23,1,BN265))^INT(INT(BN266/12)/INDEX('Lease Cycles'!$CP$23:$CV$23,1,BN265))/12)))),'Lease Cycles'!$C$23*INDEX('Lease Cycles'!$CB$23:$CH$23,1,BN265)*(1+INDEX('Lease Cycles'!$CI$23:$CO$23,1,BN265))^INT(INT(BN266/12)/INDEX('Lease Cycles'!$CP$23:$CV$23,1,BN265))/12))),IF('Lease Cycles'!$N$23=1,'Lease Cycles'!$C$23*'Lease Cycles'!$E$23*INDEX('Lease Cycles'!$HE$23:$HK$23,1,BN265)*(1+INDEX('Lease Cycles'!$GQ$23:$GW$23,1,BN265))^INT(INT((BN$6-INDEX('Lease Cycles'!$GJ$23:$GP$23,1,BN265))/12)/INDEX('Lease Cycles'!$GX$23:$HD$23,1,BN265))/12,0)))</f>
        <v>0</v>
      </c>
      <c r="BO268" s="28">
        <f>IF(BO265=0,IF('Lease Cycles'!$F$23&gt;0,'Lease Cycles'!$C$23*'Lease Cycles'!$E$23/12,0),IF(BO267=1,IF('Lease Cycles'!$AT$23&gt;=9999,'Lease Cycles'!$C$23*INDEX('Lease Cycles'!$CB$23:$CH$23,1,BO265)*(1+INDEX('Lease Cycles'!$CI$23:$CO$23,1,BO265))^INT(INT(BO266/12)/INDEX('Lease Cycles'!$CP$23:$CV$23,1,BO265))/12,IF(BO265=1,IF(BO266&gt;=INDEX('Lease Cycles'!$DK$23:$DQ$23,1,BO265),IF(BO$6&gt;='Lease Cycles'!$AZ$23,'Lease Cycles'!$C$23*'Lease Cycles'!$BA$23/12,IF(BO$6&gt;='Lease Cycles'!$AX$23,'Lease Cycles'!$C$23*'Lease Cycles'!$AY$23/12,IF(BO$6&gt;='Lease Cycles'!$AV$23,'Lease Cycles'!$C$23*'Lease Cycles'!$AW$23/12,IF(BO$6&gt;='Lease Cycles'!$AT$23,'Lease Cycles'!$C$23*'Lease Cycles'!$AU$23/12,'Lease Cycles'!$C$23*INDEX('Lease Cycles'!$CB$23:$CH$23,1,BO265)*(1+INDEX('Lease Cycles'!$CI$23:$CO$23,1,BO265))^INT(INT(BO266/12)/INDEX('Lease Cycles'!$CP$23:$CV$23,1,BO265))/12)))),'Lease Cycles'!$C$23*INDEX('Lease Cycles'!$CB$23:$CH$23,1,BO265)*(1+INDEX('Lease Cycles'!$CI$23:$CO$23,1,BO265))^INT(INT(BO266/12)/INDEX('Lease Cycles'!$CP$23:$CV$23,1,BO265))/12),IF(INDEX('Lease Cycles'!$EF$23:$EL$23,1,BO265)=1,IF(AND('Lease Cycles'!$AZ$23&gt;=INDEX('Lease Cycles'!$BG$23:$BM$23,1,BO265),'Lease Cycles'!$AZ$23&lt;=BO$6),'Lease Cycles'!$C$23*'Lease Cycles'!$BA$23/12,IF(AND('Lease Cycles'!$AX$23&gt;=INDEX('Lease Cycles'!$BG$23:$BM$23,1,BO265),'Lease Cycles'!$AX$23&lt;=BO$6),'Lease Cycles'!$C$23*'Lease Cycles'!$AY$23/12,IF(AND('Lease Cycles'!$AV$23&gt;=INDEX('Lease Cycles'!$BG$23:$BM$23,1,BO265),'Lease Cycles'!$AV$23&lt;=BO$6),'Lease Cycles'!$C$23*'Lease Cycles'!$AW$23/12,IF(AND('Lease Cycles'!$AT$23&gt;=INDEX('Lease Cycles'!$BG$23:$BM$23,1,BO265),'Lease Cycles'!$AT$23&lt;=BO$6),'Lease Cycles'!$C$23*'Lease Cycles'!$AU$23/12,'Lease Cycles'!$C$23*INDEX('Lease Cycles'!$CB$23:$CH$23,1,BO265)*(1+INDEX('Lease Cycles'!$CI$23:$CO$23,1,BO265))^INT(INT(BO266/12)/INDEX('Lease Cycles'!$CP$23:$CV$23,1,BO265))/12)))),'Lease Cycles'!$C$23*INDEX('Lease Cycles'!$CB$23:$CH$23,1,BO265)*(1+INDEX('Lease Cycles'!$CI$23:$CO$23,1,BO265))^INT(INT(BO266/12)/INDEX('Lease Cycles'!$CP$23:$CV$23,1,BO265))/12))),IF('Lease Cycles'!$N$23=1,'Lease Cycles'!$C$23*'Lease Cycles'!$E$23*INDEX('Lease Cycles'!$HE$23:$HK$23,1,BO265)*(1+INDEX('Lease Cycles'!$GQ$23:$GW$23,1,BO265))^INT(INT((BO$6-INDEX('Lease Cycles'!$GJ$23:$GP$23,1,BO265))/12)/INDEX('Lease Cycles'!$GX$23:$HD$23,1,BO265))/12,0)))</f>
        <v>0</v>
      </c>
      <c r="BP268" s="28">
        <f>IF(BP265=0,IF('Lease Cycles'!$F$23&gt;0,'Lease Cycles'!$C$23*'Lease Cycles'!$E$23/12,0),IF(BP267=1,IF('Lease Cycles'!$AT$23&gt;=9999,'Lease Cycles'!$C$23*INDEX('Lease Cycles'!$CB$23:$CH$23,1,BP265)*(1+INDEX('Lease Cycles'!$CI$23:$CO$23,1,BP265))^INT(INT(BP266/12)/INDEX('Lease Cycles'!$CP$23:$CV$23,1,BP265))/12,IF(BP265=1,IF(BP266&gt;=INDEX('Lease Cycles'!$DK$23:$DQ$23,1,BP265),IF(BP$6&gt;='Lease Cycles'!$AZ$23,'Lease Cycles'!$C$23*'Lease Cycles'!$BA$23/12,IF(BP$6&gt;='Lease Cycles'!$AX$23,'Lease Cycles'!$C$23*'Lease Cycles'!$AY$23/12,IF(BP$6&gt;='Lease Cycles'!$AV$23,'Lease Cycles'!$C$23*'Lease Cycles'!$AW$23/12,IF(BP$6&gt;='Lease Cycles'!$AT$23,'Lease Cycles'!$C$23*'Lease Cycles'!$AU$23/12,'Lease Cycles'!$C$23*INDEX('Lease Cycles'!$CB$23:$CH$23,1,BP265)*(1+INDEX('Lease Cycles'!$CI$23:$CO$23,1,BP265))^INT(INT(BP266/12)/INDEX('Lease Cycles'!$CP$23:$CV$23,1,BP265))/12)))),'Lease Cycles'!$C$23*INDEX('Lease Cycles'!$CB$23:$CH$23,1,BP265)*(1+INDEX('Lease Cycles'!$CI$23:$CO$23,1,BP265))^INT(INT(BP266/12)/INDEX('Lease Cycles'!$CP$23:$CV$23,1,BP265))/12),IF(INDEX('Lease Cycles'!$EF$23:$EL$23,1,BP265)=1,IF(AND('Lease Cycles'!$AZ$23&gt;=INDEX('Lease Cycles'!$BG$23:$BM$23,1,BP265),'Lease Cycles'!$AZ$23&lt;=BP$6),'Lease Cycles'!$C$23*'Lease Cycles'!$BA$23/12,IF(AND('Lease Cycles'!$AX$23&gt;=INDEX('Lease Cycles'!$BG$23:$BM$23,1,BP265),'Lease Cycles'!$AX$23&lt;=BP$6),'Lease Cycles'!$C$23*'Lease Cycles'!$AY$23/12,IF(AND('Lease Cycles'!$AV$23&gt;=INDEX('Lease Cycles'!$BG$23:$BM$23,1,BP265),'Lease Cycles'!$AV$23&lt;=BP$6),'Lease Cycles'!$C$23*'Lease Cycles'!$AW$23/12,IF(AND('Lease Cycles'!$AT$23&gt;=INDEX('Lease Cycles'!$BG$23:$BM$23,1,BP265),'Lease Cycles'!$AT$23&lt;=BP$6),'Lease Cycles'!$C$23*'Lease Cycles'!$AU$23/12,'Lease Cycles'!$C$23*INDEX('Lease Cycles'!$CB$23:$CH$23,1,BP265)*(1+INDEX('Lease Cycles'!$CI$23:$CO$23,1,BP265))^INT(INT(BP266/12)/INDEX('Lease Cycles'!$CP$23:$CV$23,1,BP265))/12)))),'Lease Cycles'!$C$23*INDEX('Lease Cycles'!$CB$23:$CH$23,1,BP265)*(1+INDEX('Lease Cycles'!$CI$23:$CO$23,1,BP265))^INT(INT(BP266/12)/INDEX('Lease Cycles'!$CP$23:$CV$23,1,BP265))/12))),IF('Lease Cycles'!$N$23=1,'Lease Cycles'!$C$23*'Lease Cycles'!$E$23*INDEX('Lease Cycles'!$HE$23:$HK$23,1,BP265)*(1+INDEX('Lease Cycles'!$GQ$23:$GW$23,1,BP265))^INT(INT((BP$6-INDEX('Lease Cycles'!$GJ$23:$GP$23,1,BP265))/12)/INDEX('Lease Cycles'!$GX$23:$HD$23,1,BP265))/12,0)))</f>
        <v>0</v>
      </c>
      <c r="BQ268" s="28">
        <f>IF(BQ265=0,IF('Lease Cycles'!$F$23&gt;0,'Lease Cycles'!$C$23*'Lease Cycles'!$E$23/12,0),IF(BQ267=1,IF('Lease Cycles'!$AT$23&gt;=9999,'Lease Cycles'!$C$23*INDEX('Lease Cycles'!$CB$23:$CH$23,1,BQ265)*(1+INDEX('Lease Cycles'!$CI$23:$CO$23,1,BQ265))^INT(INT(BQ266/12)/INDEX('Lease Cycles'!$CP$23:$CV$23,1,BQ265))/12,IF(BQ265=1,IF(BQ266&gt;=INDEX('Lease Cycles'!$DK$23:$DQ$23,1,BQ265),IF(BQ$6&gt;='Lease Cycles'!$AZ$23,'Lease Cycles'!$C$23*'Lease Cycles'!$BA$23/12,IF(BQ$6&gt;='Lease Cycles'!$AX$23,'Lease Cycles'!$C$23*'Lease Cycles'!$AY$23/12,IF(BQ$6&gt;='Lease Cycles'!$AV$23,'Lease Cycles'!$C$23*'Lease Cycles'!$AW$23/12,IF(BQ$6&gt;='Lease Cycles'!$AT$23,'Lease Cycles'!$C$23*'Lease Cycles'!$AU$23/12,'Lease Cycles'!$C$23*INDEX('Lease Cycles'!$CB$23:$CH$23,1,BQ265)*(1+INDEX('Lease Cycles'!$CI$23:$CO$23,1,BQ265))^INT(INT(BQ266/12)/INDEX('Lease Cycles'!$CP$23:$CV$23,1,BQ265))/12)))),'Lease Cycles'!$C$23*INDEX('Lease Cycles'!$CB$23:$CH$23,1,BQ265)*(1+INDEX('Lease Cycles'!$CI$23:$CO$23,1,BQ265))^INT(INT(BQ266/12)/INDEX('Lease Cycles'!$CP$23:$CV$23,1,BQ265))/12),IF(INDEX('Lease Cycles'!$EF$23:$EL$23,1,BQ265)=1,IF(AND('Lease Cycles'!$AZ$23&gt;=INDEX('Lease Cycles'!$BG$23:$BM$23,1,BQ265),'Lease Cycles'!$AZ$23&lt;=BQ$6),'Lease Cycles'!$C$23*'Lease Cycles'!$BA$23/12,IF(AND('Lease Cycles'!$AX$23&gt;=INDEX('Lease Cycles'!$BG$23:$BM$23,1,BQ265),'Lease Cycles'!$AX$23&lt;=BQ$6),'Lease Cycles'!$C$23*'Lease Cycles'!$AY$23/12,IF(AND('Lease Cycles'!$AV$23&gt;=INDEX('Lease Cycles'!$BG$23:$BM$23,1,BQ265),'Lease Cycles'!$AV$23&lt;=BQ$6),'Lease Cycles'!$C$23*'Lease Cycles'!$AW$23/12,IF(AND('Lease Cycles'!$AT$23&gt;=INDEX('Lease Cycles'!$BG$23:$BM$23,1,BQ265),'Lease Cycles'!$AT$23&lt;=BQ$6),'Lease Cycles'!$C$23*'Lease Cycles'!$AU$23/12,'Lease Cycles'!$C$23*INDEX('Lease Cycles'!$CB$23:$CH$23,1,BQ265)*(1+INDEX('Lease Cycles'!$CI$23:$CO$23,1,BQ265))^INT(INT(BQ266/12)/INDEX('Lease Cycles'!$CP$23:$CV$23,1,BQ265))/12)))),'Lease Cycles'!$C$23*INDEX('Lease Cycles'!$CB$23:$CH$23,1,BQ265)*(1+INDEX('Lease Cycles'!$CI$23:$CO$23,1,BQ265))^INT(INT(BQ266/12)/INDEX('Lease Cycles'!$CP$23:$CV$23,1,BQ265))/12))),IF('Lease Cycles'!$N$23=1,'Lease Cycles'!$C$23*'Lease Cycles'!$E$23*INDEX('Lease Cycles'!$HE$23:$HK$23,1,BQ265)*(1+INDEX('Lease Cycles'!$GQ$23:$GW$23,1,BQ265))^INT(INT((BQ$6-INDEX('Lease Cycles'!$GJ$23:$GP$23,1,BQ265))/12)/INDEX('Lease Cycles'!$GX$23:$HD$23,1,BQ265))/12,0)))</f>
        <v>0</v>
      </c>
      <c r="BR268" s="28">
        <f>IF(BR265=0,IF('Lease Cycles'!$F$23&gt;0,'Lease Cycles'!$C$23*'Lease Cycles'!$E$23/12,0),IF(BR267=1,IF('Lease Cycles'!$AT$23&gt;=9999,'Lease Cycles'!$C$23*INDEX('Lease Cycles'!$CB$23:$CH$23,1,BR265)*(1+INDEX('Lease Cycles'!$CI$23:$CO$23,1,BR265))^INT(INT(BR266/12)/INDEX('Lease Cycles'!$CP$23:$CV$23,1,BR265))/12,IF(BR265=1,IF(BR266&gt;=INDEX('Lease Cycles'!$DK$23:$DQ$23,1,BR265),IF(BR$6&gt;='Lease Cycles'!$AZ$23,'Lease Cycles'!$C$23*'Lease Cycles'!$BA$23/12,IF(BR$6&gt;='Lease Cycles'!$AX$23,'Lease Cycles'!$C$23*'Lease Cycles'!$AY$23/12,IF(BR$6&gt;='Lease Cycles'!$AV$23,'Lease Cycles'!$C$23*'Lease Cycles'!$AW$23/12,IF(BR$6&gt;='Lease Cycles'!$AT$23,'Lease Cycles'!$C$23*'Lease Cycles'!$AU$23/12,'Lease Cycles'!$C$23*INDEX('Lease Cycles'!$CB$23:$CH$23,1,BR265)*(1+INDEX('Lease Cycles'!$CI$23:$CO$23,1,BR265))^INT(INT(BR266/12)/INDEX('Lease Cycles'!$CP$23:$CV$23,1,BR265))/12)))),'Lease Cycles'!$C$23*INDEX('Lease Cycles'!$CB$23:$CH$23,1,BR265)*(1+INDEX('Lease Cycles'!$CI$23:$CO$23,1,BR265))^INT(INT(BR266/12)/INDEX('Lease Cycles'!$CP$23:$CV$23,1,BR265))/12),IF(INDEX('Lease Cycles'!$EF$23:$EL$23,1,BR265)=1,IF(AND('Lease Cycles'!$AZ$23&gt;=INDEX('Lease Cycles'!$BG$23:$BM$23,1,BR265),'Lease Cycles'!$AZ$23&lt;=BR$6),'Lease Cycles'!$C$23*'Lease Cycles'!$BA$23/12,IF(AND('Lease Cycles'!$AX$23&gt;=INDEX('Lease Cycles'!$BG$23:$BM$23,1,BR265),'Lease Cycles'!$AX$23&lt;=BR$6),'Lease Cycles'!$C$23*'Lease Cycles'!$AY$23/12,IF(AND('Lease Cycles'!$AV$23&gt;=INDEX('Lease Cycles'!$BG$23:$BM$23,1,BR265),'Lease Cycles'!$AV$23&lt;=BR$6),'Lease Cycles'!$C$23*'Lease Cycles'!$AW$23/12,IF(AND('Lease Cycles'!$AT$23&gt;=INDEX('Lease Cycles'!$BG$23:$BM$23,1,BR265),'Lease Cycles'!$AT$23&lt;=BR$6),'Lease Cycles'!$C$23*'Lease Cycles'!$AU$23/12,'Lease Cycles'!$C$23*INDEX('Lease Cycles'!$CB$23:$CH$23,1,BR265)*(1+INDEX('Lease Cycles'!$CI$23:$CO$23,1,BR265))^INT(INT(BR266/12)/INDEX('Lease Cycles'!$CP$23:$CV$23,1,BR265))/12)))),'Lease Cycles'!$C$23*INDEX('Lease Cycles'!$CB$23:$CH$23,1,BR265)*(1+INDEX('Lease Cycles'!$CI$23:$CO$23,1,BR265))^INT(INT(BR266/12)/INDEX('Lease Cycles'!$CP$23:$CV$23,1,BR265))/12))),IF('Lease Cycles'!$N$23=1,'Lease Cycles'!$C$23*'Lease Cycles'!$E$23*INDEX('Lease Cycles'!$HE$23:$HK$23,1,BR265)*(1+INDEX('Lease Cycles'!$GQ$23:$GW$23,1,BR265))^INT(INT((BR$6-INDEX('Lease Cycles'!$GJ$23:$GP$23,1,BR265))/12)/INDEX('Lease Cycles'!$GX$23:$HD$23,1,BR265))/12,0)))</f>
        <v>0</v>
      </c>
      <c r="BS268" s="28">
        <f>IF(BS265=0,IF('Lease Cycles'!$F$23&gt;0,'Lease Cycles'!$C$23*'Lease Cycles'!$E$23/12,0),IF(BS267=1,IF('Lease Cycles'!$AT$23&gt;=9999,'Lease Cycles'!$C$23*INDEX('Lease Cycles'!$CB$23:$CH$23,1,BS265)*(1+INDEX('Lease Cycles'!$CI$23:$CO$23,1,BS265))^INT(INT(BS266/12)/INDEX('Lease Cycles'!$CP$23:$CV$23,1,BS265))/12,IF(BS265=1,IF(BS266&gt;=INDEX('Lease Cycles'!$DK$23:$DQ$23,1,BS265),IF(BS$6&gt;='Lease Cycles'!$AZ$23,'Lease Cycles'!$C$23*'Lease Cycles'!$BA$23/12,IF(BS$6&gt;='Lease Cycles'!$AX$23,'Lease Cycles'!$C$23*'Lease Cycles'!$AY$23/12,IF(BS$6&gt;='Lease Cycles'!$AV$23,'Lease Cycles'!$C$23*'Lease Cycles'!$AW$23/12,IF(BS$6&gt;='Lease Cycles'!$AT$23,'Lease Cycles'!$C$23*'Lease Cycles'!$AU$23/12,'Lease Cycles'!$C$23*INDEX('Lease Cycles'!$CB$23:$CH$23,1,BS265)*(1+INDEX('Lease Cycles'!$CI$23:$CO$23,1,BS265))^INT(INT(BS266/12)/INDEX('Lease Cycles'!$CP$23:$CV$23,1,BS265))/12)))),'Lease Cycles'!$C$23*INDEX('Lease Cycles'!$CB$23:$CH$23,1,BS265)*(1+INDEX('Lease Cycles'!$CI$23:$CO$23,1,BS265))^INT(INT(BS266/12)/INDEX('Lease Cycles'!$CP$23:$CV$23,1,BS265))/12),IF(INDEX('Lease Cycles'!$EF$23:$EL$23,1,BS265)=1,IF(AND('Lease Cycles'!$AZ$23&gt;=INDEX('Lease Cycles'!$BG$23:$BM$23,1,BS265),'Lease Cycles'!$AZ$23&lt;=BS$6),'Lease Cycles'!$C$23*'Lease Cycles'!$BA$23/12,IF(AND('Lease Cycles'!$AX$23&gt;=INDEX('Lease Cycles'!$BG$23:$BM$23,1,BS265),'Lease Cycles'!$AX$23&lt;=BS$6),'Lease Cycles'!$C$23*'Lease Cycles'!$AY$23/12,IF(AND('Lease Cycles'!$AV$23&gt;=INDEX('Lease Cycles'!$BG$23:$BM$23,1,BS265),'Lease Cycles'!$AV$23&lt;=BS$6),'Lease Cycles'!$C$23*'Lease Cycles'!$AW$23/12,IF(AND('Lease Cycles'!$AT$23&gt;=INDEX('Lease Cycles'!$BG$23:$BM$23,1,BS265),'Lease Cycles'!$AT$23&lt;=BS$6),'Lease Cycles'!$C$23*'Lease Cycles'!$AU$23/12,'Lease Cycles'!$C$23*INDEX('Lease Cycles'!$CB$23:$CH$23,1,BS265)*(1+INDEX('Lease Cycles'!$CI$23:$CO$23,1,BS265))^INT(INT(BS266/12)/INDEX('Lease Cycles'!$CP$23:$CV$23,1,BS265))/12)))),'Lease Cycles'!$C$23*INDEX('Lease Cycles'!$CB$23:$CH$23,1,BS265)*(1+INDEX('Lease Cycles'!$CI$23:$CO$23,1,BS265))^INT(INT(BS266/12)/INDEX('Lease Cycles'!$CP$23:$CV$23,1,BS265))/12))),IF('Lease Cycles'!$N$23=1,'Lease Cycles'!$C$23*'Lease Cycles'!$E$23*INDEX('Lease Cycles'!$HE$23:$HK$23,1,BS265)*(1+INDEX('Lease Cycles'!$GQ$23:$GW$23,1,BS265))^INT(INT((BS$6-INDEX('Lease Cycles'!$GJ$23:$GP$23,1,BS265))/12)/INDEX('Lease Cycles'!$GX$23:$HD$23,1,BS265))/12,0)))</f>
        <v>0</v>
      </c>
      <c r="BT268" s="28">
        <f>IF(BT265=0,IF('Lease Cycles'!$F$23&gt;0,'Lease Cycles'!$C$23*'Lease Cycles'!$E$23/12,0),IF(BT267=1,IF('Lease Cycles'!$AT$23&gt;=9999,'Lease Cycles'!$C$23*INDEX('Lease Cycles'!$CB$23:$CH$23,1,BT265)*(1+INDEX('Lease Cycles'!$CI$23:$CO$23,1,BT265))^INT(INT(BT266/12)/INDEX('Lease Cycles'!$CP$23:$CV$23,1,BT265))/12,IF(BT265=1,IF(BT266&gt;=INDEX('Lease Cycles'!$DK$23:$DQ$23,1,BT265),IF(BT$6&gt;='Lease Cycles'!$AZ$23,'Lease Cycles'!$C$23*'Lease Cycles'!$BA$23/12,IF(BT$6&gt;='Lease Cycles'!$AX$23,'Lease Cycles'!$C$23*'Lease Cycles'!$AY$23/12,IF(BT$6&gt;='Lease Cycles'!$AV$23,'Lease Cycles'!$C$23*'Lease Cycles'!$AW$23/12,IF(BT$6&gt;='Lease Cycles'!$AT$23,'Lease Cycles'!$C$23*'Lease Cycles'!$AU$23/12,'Lease Cycles'!$C$23*INDEX('Lease Cycles'!$CB$23:$CH$23,1,BT265)*(1+INDEX('Lease Cycles'!$CI$23:$CO$23,1,BT265))^INT(INT(BT266/12)/INDEX('Lease Cycles'!$CP$23:$CV$23,1,BT265))/12)))),'Lease Cycles'!$C$23*INDEX('Lease Cycles'!$CB$23:$CH$23,1,BT265)*(1+INDEX('Lease Cycles'!$CI$23:$CO$23,1,BT265))^INT(INT(BT266/12)/INDEX('Lease Cycles'!$CP$23:$CV$23,1,BT265))/12),IF(INDEX('Lease Cycles'!$EF$23:$EL$23,1,BT265)=1,IF(AND('Lease Cycles'!$AZ$23&gt;=INDEX('Lease Cycles'!$BG$23:$BM$23,1,BT265),'Lease Cycles'!$AZ$23&lt;=BT$6),'Lease Cycles'!$C$23*'Lease Cycles'!$BA$23/12,IF(AND('Lease Cycles'!$AX$23&gt;=INDEX('Lease Cycles'!$BG$23:$BM$23,1,BT265),'Lease Cycles'!$AX$23&lt;=BT$6),'Lease Cycles'!$C$23*'Lease Cycles'!$AY$23/12,IF(AND('Lease Cycles'!$AV$23&gt;=INDEX('Lease Cycles'!$BG$23:$BM$23,1,BT265),'Lease Cycles'!$AV$23&lt;=BT$6),'Lease Cycles'!$C$23*'Lease Cycles'!$AW$23/12,IF(AND('Lease Cycles'!$AT$23&gt;=INDEX('Lease Cycles'!$BG$23:$BM$23,1,BT265),'Lease Cycles'!$AT$23&lt;=BT$6),'Lease Cycles'!$C$23*'Lease Cycles'!$AU$23/12,'Lease Cycles'!$C$23*INDEX('Lease Cycles'!$CB$23:$CH$23,1,BT265)*(1+INDEX('Lease Cycles'!$CI$23:$CO$23,1,BT265))^INT(INT(BT266/12)/INDEX('Lease Cycles'!$CP$23:$CV$23,1,BT265))/12)))),'Lease Cycles'!$C$23*INDEX('Lease Cycles'!$CB$23:$CH$23,1,BT265)*(1+INDEX('Lease Cycles'!$CI$23:$CO$23,1,BT265))^INT(INT(BT266/12)/INDEX('Lease Cycles'!$CP$23:$CV$23,1,BT265))/12))),IF('Lease Cycles'!$N$23=1,'Lease Cycles'!$C$23*'Lease Cycles'!$E$23*INDEX('Lease Cycles'!$HE$23:$HK$23,1,BT265)*(1+INDEX('Lease Cycles'!$GQ$23:$GW$23,1,BT265))^INT(INT((BT$6-INDEX('Lease Cycles'!$GJ$23:$GP$23,1,BT265))/12)/INDEX('Lease Cycles'!$GX$23:$HD$23,1,BT265))/12,0)))</f>
        <v>0</v>
      </c>
      <c r="BU268" s="28">
        <f>IF(BU265=0,IF('Lease Cycles'!$F$23&gt;0,'Lease Cycles'!$C$23*'Lease Cycles'!$E$23/12,0),IF(BU267=1,IF('Lease Cycles'!$AT$23&gt;=9999,'Lease Cycles'!$C$23*INDEX('Lease Cycles'!$CB$23:$CH$23,1,BU265)*(1+INDEX('Lease Cycles'!$CI$23:$CO$23,1,BU265))^INT(INT(BU266/12)/INDEX('Lease Cycles'!$CP$23:$CV$23,1,BU265))/12,IF(BU265=1,IF(BU266&gt;=INDEX('Lease Cycles'!$DK$23:$DQ$23,1,BU265),IF(BU$6&gt;='Lease Cycles'!$AZ$23,'Lease Cycles'!$C$23*'Lease Cycles'!$BA$23/12,IF(BU$6&gt;='Lease Cycles'!$AX$23,'Lease Cycles'!$C$23*'Lease Cycles'!$AY$23/12,IF(BU$6&gt;='Lease Cycles'!$AV$23,'Lease Cycles'!$C$23*'Lease Cycles'!$AW$23/12,IF(BU$6&gt;='Lease Cycles'!$AT$23,'Lease Cycles'!$C$23*'Lease Cycles'!$AU$23/12,'Lease Cycles'!$C$23*INDEX('Lease Cycles'!$CB$23:$CH$23,1,BU265)*(1+INDEX('Lease Cycles'!$CI$23:$CO$23,1,BU265))^INT(INT(BU266/12)/INDEX('Lease Cycles'!$CP$23:$CV$23,1,BU265))/12)))),'Lease Cycles'!$C$23*INDEX('Lease Cycles'!$CB$23:$CH$23,1,BU265)*(1+INDEX('Lease Cycles'!$CI$23:$CO$23,1,BU265))^INT(INT(BU266/12)/INDEX('Lease Cycles'!$CP$23:$CV$23,1,BU265))/12),IF(INDEX('Lease Cycles'!$EF$23:$EL$23,1,BU265)=1,IF(AND('Lease Cycles'!$AZ$23&gt;=INDEX('Lease Cycles'!$BG$23:$BM$23,1,BU265),'Lease Cycles'!$AZ$23&lt;=BU$6),'Lease Cycles'!$C$23*'Lease Cycles'!$BA$23/12,IF(AND('Lease Cycles'!$AX$23&gt;=INDEX('Lease Cycles'!$BG$23:$BM$23,1,BU265),'Lease Cycles'!$AX$23&lt;=BU$6),'Lease Cycles'!$C$23*'Lease Cycles'!$AY$23/12,IF(AND('Lease Cycles'!$AV$23&gt;=INDEX('Lease Cycles'!$BG$23:$BM$23,1,BU265),'Lease Cycles'!$AV$23&lt;=BU$6),'Lease Cycles'!$C$23*'Lease Cycles'!$AW$23/12,IF(AND('Lease Cycles'!$AT$23&gt;=INDEX('Lease Cycles'!$BG$23:$BM$23,1,BU265),'Lease Cycles'!$AT$23&lt;=BU$6),'Lease Cycles'!$C$23*'Lease Cycles'!$AU$23/12,'Lease Cycles'!$C$23*INDEX('Lease Cycles'!$CB$23:$CH$23,1,BU265)*(1+INDEX('Lease Cycles'!$CI$23:$CO$23,1,BU265))^INT(INT(BU266/12)/INDEX('Lease Cycles'!$CP$23:$CV$23,1,BU265))/12)))),'Lease Cycles'!$C$23*INDEX('Lease Cycles'!$CB$23:$CH$23,1,BU265)*(1+INDEX('Lease Cycles'!$CI$23:$CO$23,1,BU265))^INT(INT(BU266/12)/INDEX('Lease Cycles'!$CP$23:$CV$23,1,BU265))/12))),IF('Lease Cycles'!$N$23=1,'Lease Cycles'!$C$23*'Lease Cycles'!$E$23*INDEX('Lease Cycles'!$HE$23:$HK$23,1,BU265)*(1+INDEX('Lease Cycles'!$GQ$23:$GW$23,1,BU265))^INT(INT((BU$6-INDEX('Lease Cycles'!$GJ$23:$GP$23,1,BU265))/12)/INDEX('Lease Cycles'!$GX$23:$HD$23,1,BU265))/12,0)))</f>
        <v>0</v>
      </c>
      <c r="BV268" s="28">
        <f>IF(BV265=0,IF('Lease Cycles'!$F$23&gt;0,'Lease Cycles'!$C$23*'Lease Cycles'!$E$23/12,0),IF(BV267=1,IF('Lease Cycles'!$AT$23&gt;=9999,'Lease Cycles'!$C$23*INDEX('Lease Cycles'!$CB$23:$CH$23,1,BV265)*(1+INDEX('Lease Cycles'!$CI$23:$CO$23,1,BV265))^INT(INT(BV266/12)/INDEX('Lease Cycles'!$CP$23:$CV$23,1,BV265))/12,IF(BV265=1,IF(BV266&gt;=INDEX('Lease Cycles'!$DK$23:$DQ$23,1,BV265),IF(BV$6&gt;='Lease Cycles'!$AZ$23,'Lease Cycles'!$C$23*'Lease Cycles'!$BA$23/12,IF(BV$6&gt;='Lease Cycles'!$AX$23,'Lease Cycles'!$C$23*'Lease Cycles'!$AY$23/12,IF(BV$6&gt;='Lease Cycles'!$AV$23,'Lease Cycles'!$C$23*'Lease Cycles'!$AW$23/12,IF(BV$6&gt;='Lease Cycles'!$AT$23,'Lease Cycles'!$C$23*'Lease Cycles'!$AU$23/12,'Lease Cycles'!$C$23*INDEX('Lease Cycles'!$CB$23:$CH$23,1,BV265)*(1+INDEX('Lease Cycles'!$CI$23:$CO$23,1,BV265))^INT(INT(BV266/12)/INDEX('Lease Cycles'!$CP$23:$CV$23,1,BV265))/12)))),'Lease Cycles'!$C$23*INDEX('Lease Cycles'!$CB$23:$CH$23,1,BV265)*(1+INDEX('Lease Cycles'!$CI$23:$CO$23,1,BV265))^INT(INT(BV266/12)/INDEX('Lease Cycles'!$CP$23:$CV$23,1,BV265))/12),IF(INDEX('Lease Cycles'!$EF$23:$EL$23,1,BV265)=1,IF(AND('Lease Cycles'!$AZ$23&gt;=INDEX('Lease Cycles'!$BG$23:$BM$23,1,BV265),'Lease Cycles'!$AZ$23&lt;=BV$6),'Lease Cycles'!$C$23*'Lease Cycles'!$BA$23/12,IF(AND('Lease Cycles'!$AX$23&gt;=INDEX('Lease Cycles'!$BG$23:$BM$23,1,BV265),'Lease Cycles'!$AX$23&lt;=BV$6),'Lease Cycles'!$C$23*'Lease Cycles'!$AY$23/12,IF(AND('Lease Cycles'!$AV$23&gt;=INDEX('Lease Cycles'!$BG$23:$BM$23,1,BV265),'Lease Cycles'!$AV$23&lt;=BV$6),'Lease Cycles'!$C$23*'Lease Cycles'!$AW$23/12,IF(AND('Lease Cycles'!$AT$23&gt;=INDEX('Lease Cycles'!$BG$23:$BM$23,1,BV265),'Lease Cycles'!$AT$23&lt;=BV$6),'Lease Cycles'!$C$23*'Lease Cycles'!$AU$23/12,'Lease Cycles'!$C$23*INDEX('Lease Cycles'!$CB$23:$CH$23,1,BV265)*(1+INDEX('Lease Cycles'!$CI$23:$CO$23,1,BV265))^INT(INT(BV266/12)/INDEX('Lease Cycles'!$CP$23:$CV$23,1,BV265))/12)))),'Lease Cycles'!$C$23*INDEX('Lease Cycles'!$CB$23:$CH$23,1,BV265)*(1+INDEX('Lease Cycles'!$CI$23:$CO$23,1,BV265))^INT(INT(BV266/12)/INDEX('Lease Cycles'!$CP$23:$CV$23,1,BV265))/12))),IF('Lease Cycles'!$N$23=1,'Lease Cycles'!$C$23*'Lease Cycles'!$E$23*INDEX('Lease Cycles'!$HE$23:$HK$23,1,BV265)*(1+INDEX('Lease Cycles'!$GQ$23:$GW$23,1,BV265))^INT(INT((BV$6-INDEX('Lease Cycles'!$GJ$23:$GP$23,1,BV265))/12)/INDEX('Lease Cycles'!$GX$23:$HD$23,1,BV265))/12,0)))</f>
        <v>0</v>
      </c>
      <c r="BW268" s="28">
        <f>IF(BW265=0,IF('Lease Cycles'!$F$23&gt;0,'Lease Cycles'!$C$23*'Lease Cycles'!$E$23/12,0),IF(BW267=1,IF('Lease Cycles'!$AT$23&gt;=9999,'Lease Cycles'!$C$23*INDEX('Lease Cycles'!$CB$23:$CH$23,1,BW265)*(1+INDEX('Lease Cycles'!$CI$23:$CO$23,1,BW265))^INT(INT(BW266/12)/INDEX('Lease Cycles'!$CP$23:$CV$23,1,BW265))/12,IF(BW265=1,IF(BW266&gt;=INDEX('Lease Cycles'!$DK$23:$DQ$23,1,BW265),IF(BW$6&gt;='Lease Cycles'!$AZ$23,'Lease Cycles'!$C$23*'Lease Cycles'!$BA$23/12,IF(BW$6&gt;='Lease Cycles'!$AX$23,'Lease Cycles'!$C$23*'Lease Cycles'!$AY$23/12,IF(BW$6&gt;='Lease Cycles'!$AV$23,'Lease Cycles'!$C$23*'Lease Cycles'!$AW$23/12,IF(BW$6&gt;='Lease Cycles'!$AT$23,'Lease Cycles'!$C$23*'Lease Cycles'!$AU$23/12,'Lease Cycles'!$C$23*INDEX('Lease Cycles'!$CB$23:$CH$23,1,BW265)*(1+INDEX('Lease Cycles'!$CI$23:$CO$23,1,BW265))^INT(INT(BW266/12)/INDEX('Lease Cycles'!$CP$23:$CV$23,1,BW265))/12)))),'Lease Cycles'!$C$23*INDEX('Lease Cycles'!$CB$23:$CH$23,1,BW265)*(1+INDEX('Lease Cycles'!$CI$23:$CO$23,1,BW265))^INT(INT(BW266/12)/INDEX('Lease Cycles'!$CP$23:$CV$23,1,BW265))/12),IF(INDEX('Lease Cycles'!$EF$23:$EL$23,1,BW265)=1,IF(AND('Lease Cycles'!$AZ$23&gt;=INDEX('Lease Cycles'!$BG$23:$BM$23,1,BW265),'Lease Cycles'!$AZ$23&lt;=BW$6),'Lease Cycles'!$C$23*'Lease Cycles'!$BA$23/12,IF(AND('Lease Cycles'!$AX$23&gt;=INDEX('Lease Cycles'!$BG$23:$BM$23,1,BW265),'Lease Cycles'!$AX$23&lt;=BW$6),'Lease Cycles'!$C$23*'Lease Cycles'!$AY$23/12,IF(AND('Lease Cycles'!$AV$23&gt;=INDEX('Lease Cycles'!$BG$23:$BM$23,1,BW265),'Lease Cycles'!$AV$23&lt;=BW$6),'Lease Cycles'!$C$23*'Lease Cycles'!$AW$23/12,IF(AND('Lease Cycles'!$AT$23&gt;=INDEX('Lease Cycles'!$BG$23:$BM$23,1,BW265),'Lease Cycles'!$AT$23&lt;=BW$6),'Lease Cycles'!$C$23*'Lease Cycles'!$AU$23/12,'Lease Cycles'!$C$23*INDEX('Lease Cycles'!$CB$23:$CH$23,1,BW265)*(1+INDEX('Lease Cycles'!$CI$23:$CO$23,1,BW265))^INT(INT(BW266/12)/INDEX('Lease Cycles'!$CP$23:$CV$23,1,BW265))/12)))),'Lease Cycles'!$C$23*INDEX('Lease Cycles'!$CB$23:$CH$23,1,BW265)*(1+INDEX('Lease Cycles'!$CI$23:$CO$23,1,BW265))^INT(INT(BW266/12)/INDEX('Lease Cycles'!$CP$23:$CV$23,1,BW265))/12))),IF('Lease Cycles'!$N$23=1,'Lease Cycles'!$C$23*'Lease Cycles'!$E$23*INDEX('Lease Cycles'!$HE$23:$HK$23,1,BW265)*(1+INDEX('Lease Cycles'!$GQ$23:$GW$23,1,BW265))^INT(INT((BW$6-INDEX('Lease Cycles'!$GJ$23:$GP$23,1,BW265))/12)/INDEX('Lease Cycles'!$GX$23:$HD$23,1,BW265))/12,0)))</f>
        <v>0</v>
      </c>
      <c r="BX268" s="28">
        <f>IF(BX265=0,IF('Lease Cycles'!$F$23&gt;0,'Lease Cycles'!$C$23*'Lease Cycles'!$E$23/12,0),IF(BX267=1,IF('Lease Cycles'!$AT$23&gt;=9999,'Lease Cycles'!$C$23*INDEX('Lease Cycles'!$CB$23:$CH$23,1,BX265)*(1+INDEX('Lease Cycles'!$CI$23:$CO$23,1,BX265))^INT(INT(BX266/12)/INDEX('Lease Cycles'!$CP$23:$CV$23,1,BX265))/12,IF(BX265=1,IF(BX266&gt;=INDEX('Lease Cycles'!$DK$23:$DQ$23,1,BX265),IF(BX$6&gt;='Lease Cycles'!$AZ$23,'Lease Cycles'!$C$23*'Lease Cycles'!$BA$23/12,IF(BX$6&gt;='Lease Cycles'!$AX$23,'Lease Cycles'!$C$23*'Lease Cycles'!$AY$23/12,IF(BX$6&gt;='Lease Cycles'!$AV$23,'Lease Cycles'!$C$23*'Lease Cycles'!$AW$23/12,IF(BX$6&gt;='Lease Cycles'!$AT$23,'Lease Cycles'!$C$23*'Lease Cycles'!$AU$23/12,'Lease Cycles'!$C$23*INDEX('Lease Cycles'!$CB$23:$CH$23,1,BX265)*(1+INDEX('Lease Cycles'!$CI$23:$CO$23,1,BX265))^INT(INT(BX266/12)/INDEX('Lease Cycles'!$CP$23:$CV$23,1,BX265))/12)))),'Lease Cycles'!$C$23*INDEX('Lease Cycles'!$CB$23:$CH$23,1,BX265)*(1+INDEX('Lease Cycles'!$CI$23:$CO$23,1,BX265))^INT(INT(BX266/12)/INDEX('Lease Cycles'!$CP$23:$CV$23,1,BX265))/12),IF(INDEX('Lease Cycles'!$EF$23:$EL$23,1,BX265)=1,IF(AND('Lease Cycles'!$AZ$23&gt;=INDEX('Lease Cycles'!$BG$23:$BM$23,1,BX265),'Lease Cycles'!$AZ$23&lt;=BX$6),'Lease Cycles'!$C$23*'Lease Cycles'!$BA$23/12,IF(AND('Lease Cycles'!$AX$23&gt;=INDEX('Lease Cycles'!$BG$23:$BM$23,1,BX265),'Lease Cycles'!$AX$23&lt;=BX$6),'Lease Cycles'!$C$23*'Lease Cycles'!$AY$23/12,IF(AND('Lease Cycles'!$AV$23&gt;=INDEX('Lease Cycles'!$BG$23:$BM$23,1,BX265),'Lease Cycles'!$AV$23&lt;=BX$6),'Lease Cycles'!$C$23*'Lease Cycles'!$AW$23/12,IF(AND('Lease Cycles'!$AT$23&gt;=INDEX('Lease Cycles'!$BG$23:$BM$23,1,BX265),'Lease Cycles'!$AT$23&lt;=BX$6),'Lease Cycles'!$C$23*'Lease Cycles'!$AU$23/12,'Lease Cycles'!$C$23*INDEX('Lease Cycles'!$CB$23:$CH$23,1,BX265)*(1+INDEX('Lease Cycles'!$CI$23:$CO$23,1,BX265))^INT(INT(BX266/12)/INDEX('Lease Cycles'!$CP$23:$CV$23,1,BX265))/12)))),'Lease Cycles'!$C$23*INDEX('Lease Cycles'!$CB$23:$CH$23,1,BX265)*(1+INDEX('Lease Cycles'!$CI$23:$CO$23,1,BX265))^INT(INT(BX266/12)/INDEX('Lease Cycles'!$CP$23:$CV$23,1,BX265))/12))),IF('Lease Cycles'!$N$23=1,'Lease Cycles'!$C$23*'Lease Cycles'!$E$23*INDEX('Lease Cycles'!$HE$23:$HK$23,1,BX265)*(1+INDEX('Lease Cycles'!$GQ$23:$GW$23,1,BX265))^INT(INT((BX$6-INDEX('Lease Cycles'!$GJ$23:$GP$23,1,BX265))/12)/INDEX('Lease Cycles'!$GX$23:$HD$23,1,BX265))/12,0)))</f>
        <v>0</v>
      </c>
      <c r="BY268" s="28">
        <f>IF(BY265=0,IF('Lease Cycles'!$F$23&gt;0,'Lease Cycles'!$C$23*'Lease Cycles'!$E$23/12,0),IF(BY267=1,IF('Lease Cycles'!$AT$23&gt;=9999,'Lease Cycles'!$C$23*INDEX('Lease Cycles'!$CB$23:$CH$23,1,BY265)*(1+INDEX('Lease Cycles'!$CI$23:$CO$23,1,BY265))^INT(INT(BY266/12)/INDEX('Lease Cycles'!$CP$23:$CV$23,1,BY265))/12,IF(BY265=1,IF(BY266&gt;=INDEX('Lease Cycles'!$DK$23:$DQ$23,1,BY265),IF(BY$6&gt;='Lease Cycles'!$AZ$23,'Lease Cycles'!$C$23*'Lease Cycles'!$BA$23/12,IF(BY$6&gt;='Lease Cycles'!$AX$23,'Lease Cycles'!$C$23*'Lease Cycles'!$AY$23/12,IF(BY$6&gt;='Lease Cycles'!$AV$23,'Lease Cycles'!$C$23*'Lease Cycles'!$AW$23/12,IF(BY$6&gt;='Lease Cycles'!$AT$23,'Lease Cycles'!$C$23*'Lease Cycles'!$AU$23/12,'Lease Cycles'!$C$23*INDEX('Lease Cycles'!$CB$23:$CH$23,1,BY265)*(1+INDEX('Lease Cycles'!$CI$23:$CO$23,1,BY265))^INT(INT(BY266/12)/INDEX('Lease Cycles'!$CP$23:$CV$23,1,BY265))/12)))),'Lease Cycles'!$C$23*INDEX('Lease Cycles'!$CB$23:$CH$23,1,BY265)*(1+INDEX('Lease Cycles'!$CI$23:$CO$23,1,BY265))^INT(INT(BY266/12)/INDEX('Lease Cycles'!$CP$23:$CV$23,1,BY265))/12),IF(INDEX('Lease Cycles'!$EF$23:$EL$23,1,BY265)=1,IF(AND('Lease Cycles'!$AZ$23&gt;=INDEX('Lease Cycles'!$BG$23:$BM$23,1,BY265),'Lease Cycles'!$AZ$23&lt;=BY$6),'Lease Cycles'!$C$23*'Lease Cycles'!$BA$23/12,IF(AND('Lease Cycles'!$AX$23&gt;=INDEX('Lease Cycles'!$BG$23:$BM$23,1,BY265),'Lease Cycles'!$AX$23&lt;=BY$6),'Lease Cycles'!$C$23*'Lease Cycles'!$AY$23/12,IF(AND('Lease Cycles'!$AV$23&gt;=INDEX('Lease Cycles'!$BG$23:$BM$23,1,BY265),'Lease Cycles'!$AV$23&lt;=BY$6),'Lease Cycles'!$C$23*'Lease Cycles'!$AW$23/12,IF(AND('Lease Cycles'!$AT$23&gt;=INDEX('Lease Cycles'!$BG$23:$BM$23,1,BY265),'Lease Cycles'!$AT$23&lt;=BY$6),'Lease Cycles'!$C$23*'Lease Cycles'!$AU$23/12,'Lease Cycles'!$C$23*INDEX('Lease Cycles'!$CB$23:$CH$23,1,BY265)*(1+INDEX('Lease Cycles'!$CI$23:$CO$23,1,BY265))^INT(INT(BY266/12)/INDEX('Lease Cycles'!$CP$23:$CV$23,1,BY265))/12)))),'Lease Cycles'!$C$23*INDEX('Lease Cycles'!$CB$23:$CH$23,1,BY265)*(1+INDEX('Lease Cycles'!$CI$23:$CO$23,1,BY265))^INT(INT(BY266/12)/INDEX('Lease Cycles'!$CP$23:$CV$23,1,BY265))/12))),IF('Lease Cycles'!$N$23=1,'Lease Cycles'!$C$23*'Lease Cycles'!$E$23*INDEX('Lease Cycles'!$HE$23:$HK$23,1,BY265)*(1+INDEX('Lease Cycles'!$GQ$23:$GW$23,1,BY265))^INT(INT((BY$6-INDEX('Lease Cycles'!$GJ$23:$GP$23,1,BY265))/12)/INDEX('Lease Cycles'!$GX$23:$HD$23,1,BY265))/12,0)))</f>
        <v>0</v>
      </c>
      <c r="BZ268" s="28">
        <f>IF(BZ265=0,IF('Lease Cycles'!$F$23&gt;0,'Lease Cycles'!$C$23*'Lease Cycles'!$E$23/12,0),IF(BZ267=1,IF('Lease Cycles'!$AT$23&gt;=9999,'Lease Cycles'!$C$23*INDEX('Lease Cycles'!$CB$23:$CH$23,1,BZ265)*(1+INDEX('Lease Cycles'!$CI$23:$CO$23,1,BZ265))^INT(INT(BZ266/12)/INDEX('Lease Cycles'!$CP$23:$CV$23,1,BZ265))/12,IF(BZ265=1,IF(BZ266&gt;=INDEX('Lease Cycles'!$DK$23:$DQ$23,1,BZ265),IF(BZ$6&gt;='Lease Cycles'!$AZ$23,'Lease Cycles'!$C$23*'Lease Cycles'!$BA$23/12,IF(BZ$6&gt;='Lease Cycles'!$AX$23,'Lease Cycles'!$C$23*'Lease Cycles'!$AY$23/12,IF(BZ$6&gt;='Lease Cycles'!$AV$23,'Lease Cycles'!$C$23*'Lease Cycles'!$AW$23/12,IF(BZ$6&gt;='Lease Cycles'!$AT$23,'Lease Cycles'!$C$23*'Lease Cycles'!$AU$23/12,'Lease Cycles'!$C$23*INDEX('Lease Cycles'!$CB$23:$CH$23,1,BZ265)*(1+INDEX('Lease Cycles'!$CI$23:$CO$23,1,BZ265))^INT(INT(BZ266/12)/INDEX('Lease Cycles'!$CP$23:$CV$23,1,BZ265))/12)))),'Lease Cycles'!$C$23*INDEX('Lease Cycles'!$CB$23:$CH$23,1,BZ265)*(1+INDEX('Lease Cycles'!$CI$23:$CO$23,1,BZ265))^INT(INT(BZ266/12)/INDEX('Lease Cycles'!$CP$23:$CV$23,1,BZ265))/12),IF(INDEX('Lease Cycles'!$EF$23:$EL$23,1,BZ265)=1,IF(AND('Lease Cycles'!$AZ$23&gt;=INDEX('Lease Cycles'!$BG$23:$BM$23,1,BZ265),'Lease Cycles'!$AZ$23&lt;=BZ$6),'Lease Cycles'!$C$23*'Lease Cycles'!$BA$23/12,IF(AND('Lease Cycles'!$AX$23&gt;=INDEX('Lease Cycles'!$BG$23:$BM$23,1,BZ265),'Lease Cycles'!$AX$23&lt;=BZ$6),'Lease Cycles'!$C$23*'Lease Cycles'!$AY$23/12,IF(AND('Lease Cycles'!$AV$23&gt;=INDEX('Lease Cycles'!$BG$23:$BM$23,1,BZ265),'Lease Cycles'!$AV$23&lt;=BZ$6),'Lease Cycles'!$C$23*'Lease Cycles'!$AW$23/12,IF(AND('Lease Cycles'!$AT$23&gt;=INDEX('Lease Cycles'!$BG$23:$BM$23,1,BZ265),'Lease Cycles'!$AT$23&lt;=BZ$6),'Lease Cycles'!$C$23*'Lease Cycles'!$AU$23/12,'Lease Cycles'!$C$23*INDEX('Lease Cycles'!$CB$23:$CH$23,1,BZ265)*(1+INDEX('Lease Cycles'!$CI$23:$CO$23,1,BZ265))^INT(INT(BZ266/12)/INDEX('Lease Cycles'!$CP$23:$CV$23,1,BZ265))/12)))),'Lease Cycles'!$C$23*INDEX('Lease Cycles'!$CB$23:$CH$23,1,BZ265)*(1+INDEX('Lease Cycles'!$CI$23:$CO$23,1,BZ265))^INT(INT(BZ266/12)/INDEX('Lease Cycles'!$CP$23:$CV$23,1,BZ265))/12))),IF('Lease Cycles'!$N$23=1,'Lease Cycles'!$C$23*'Lease Cycles'!$E$23*INDEX('Lease Cycles'!$HE$23:$HK$23,1,BZ265)*(1+INDEX('Lease Cycles'!$GQ$23:$GW$23,1,BZ265))^INT(INT((BZ$6-INDEX('Lease Cycles'!$GJ$23:$GP$23,1,BZ265))/12)/INDEX('Lease Cycles'!$GX$23:$HD$23,1,BZ265))/12,0)))</f>
        <v>0</v>
      </c>
      <c r="CA268" s="28">
        <f>IF(CA265=0,IF('Lease Cycles'!$F$23&gt;0,'Lease Cycles'!$C$23*'Lease Cycles'!$E$23/12,0),IF(CA267=1,IF('Lease Cycles'!$AT$23&gt;=9999,'Lease Cycles'!$C$23*INDEX('Lease Cycles'!$CB$23:$CH$23,1,CA265)*(1+INDEX('Lease Cycles'!$CI$23:$CO$23,1,CA265))^INT(INT(CA266/12)/INDEX('Lease Cycles'!$CP$23:$CV$23,1,CA265))/12,IF(CA265=1,IF(CA266&gt;=INDEX('Lease Cycles'!$DK$23:$DQ$23,1,CA265),IF(CA$6&gt;='Lease Cycles'!$AZ$23,'Lease Cycles'!$C$23*'Lease Cycles'!$BA$23/12,IF(CA$6&gt;='Lease Cycles'!$AX$23,'Lease Cycles'!$C$23*'Lease Cycles'!$AY$23/12,IF(CA$6&gt;='Lease Cycles'!$AV$23,'Lease Cycles'!$C$23*'Lease Cycles'!$AW$23/12,IF(CA$6&gt;='Lease Cycles'!$AT$23,'Lease Cycles'!$C$23*'Lease Cycles'!$AU$23/12,'Lease Cycles'!$C$23*INDEX('Lease Cycles'!$CB$23:$CH$23,1,CA265)*(1+INDEX('Lease Cycles'!$CI$23:$CO$23,1,CA265))^INT(INT(CA266/12)/INDEX('Lease Cycles'!$CP$23:$CV$23,1,CA265))/12)))),'Lease Cycles'!$C$23*INDEX('Lease Cycles'!$CB$23:$CH$23,1,CA265)*(1+INDEX('Lease Cycles'!$CI$23:$CO$23,1,CA265))^INT(INT(CA266/12)/INDEX('Lease Cycles'!$CP$23:$CV$23,1,CA265))/12),IF(INDEX('Lease Cycles'!$EF$23:$EL$23,1,CA265)=1,IF(AND('Lease Cycles'!$AZ$23&gt;=INDEX('Lease Cycles'!$BG$23:$BM$23,1,CA265),'Lease Cycles'!$AZ$23&lt;=CA$6),'Lease Cycles'!$C$23*'Lease Cycles'!$BA$23/12,IF(AND('Lease Cycles'!$AX$23&gt;=INDEX('Lease Cycles'!$BG$23:$BM$23,1,CA265),'Lease Cycles'!$AX$23&lt;=CA$6),'Lease Cycles'!$C$23*'Lease Cycles'!$AY$23/12,IF(AND('Lease Cycles'!$AV$23&gt;=INDEX('Lease Cycles'!$BG$23:$BM$23,1,CA265),'Lease Cycles'!$AV$23&lt;=CA$6),'Lease Cycles'!$C$23*'Lease Cycles'!$AW$23/12,IF(AND('Lease Cycles'!$AT$23&gt;=INDEX('Lease Cycles'!$BG$23:$BM$23,1,CA265),'Lease Cycles'!$AT$23&lt;=CA$6),'Lease Cycles'!$C$23*'Lease Cycles'!$AU$23/12,'Lease Cycles'!$C$23*INDEX('Lease Cycles'!$CB$23:$CH$23,1,CA265)*(1+INDEX('Lease Cycles'!$CI$23:$CO$23,1,CA265))^INT(INT(CA266/12)/INDEX('Lease Cycles'!$CP$23:$CV$23,1,CA265))/12)))),'Lease Cycles'!$C$23*INDEX('Lease Cycles'!$CB$23:$CH$23,1,CA265)*(1+INDEX('Lease Cycles'!$CI$23:$CO$23,1,CA265))^INT(INT(CA266/12)/INDEX('Lease Cycles'!$CP$23:$CV$23,1,CA265))/12))),IF('Lease Cycles'!$N$23=1,'Lease Cycles'!$C$23*'Lease Cycles'!$E$23*INDEX('Lease Cycles'!$HE$23:$HK$23,1,CA265)*(1+INDEX('Lease Cycles'!$GQ$23:$GW$23,1,CA265))^INT(INT((CA$6-INDEX('Lease Cycles'!$GJ$23:$GP$23,1,CA265))/12)/INDEX('Lease Cycles'!$GX$23:$HD$23,1,CA265))/12,0)))</f>
        <v>0</v>
      </c>
      <c r="CB268" s="28">
        <f>IF(CB265=0,IF('Lease Cycles'!$F$23&gt;0,'Lease Cycles'!$C$23*'Lease Cycles'!$E$23/12,0),IF(CB267=1,IF('Lease Cycles'!$AT$23&gt;=9999,'Lease Cycles'!$C$23*INDEX('Lease Cycles'!$CB$23:$CH$23,1,CB265)*(1+INDEX('Lease Cycles'!$CI$23:$CO$23,1,CB265))^INT(INT(CB266/12)/INDEX('Lease Cycles'!$CP$23:$CV$23,1,CB265))/12,IF(CB265=1,IF(CB266&gt;=INDEX('Lease Cycles'!$DK$23:$DQ$23,1,CB265),IF(CB$6&gt;='Lease Cycles'!$AZ$23,'Lease Cycles'!$C$23*'Lease Cycles'!$BA$23/12,IF(CB$6&gt;='Lease Cycles'!$AX$23,'Lease Cycles'!$C$23*'Lease Cycles'!$AY$23/12,IF(CB$6&gt;='Lease Cycles'!$AV$23,'Lease Cycles'!$C$23*'Lease Cycles'!$AW$23/12,IF(CB$6&gt;='Lease Cycles'!$AT$23,'Lease Cycles'!$C$23*'Lease Cycles'!$AU$23/12,'Lease Cycles'!$C$23*INDEX('Lease Cycles'!$CB$23:$CH$23,1,CB265)*(1+INDEX('Lease Cycles'!$CI$23:$CO$23,1,CB265))^INT(INT(CB266/12)/INDEX('Lease Cycles'!$CP$23:$CV$23,1,CB265))/12)))),'Lease Cycles'!$C$23*INDEX('Lease Cycles'!$CB$23:$CH$23,1,CB265)*(1+INDEX('Lease Cycles'!$CI$23:$CO$23,1,CB265))^INT(INT(CB266/12)/INDEX('Lease Cycles'!$CP$23:$CV$23,1,CB265))/12),IF(INDEX('Lease Cycles'!$EF$23:$EL$23,1,CB265)=1,IF(AND('Lease Cycles'!$AZ$23&gt;=INDEX('Lease Cycles'!$BG$23:$BM$23,1,CB265),'Lease Cycles'!$AZ$23&lt;=CB$6),'Lease Cycles'!$C$23*'Lease Cycles'!$BA$23/12,IF(AND('Lease Cycles'!$AX$23&gt;=INDEX('Lease Cycles'!$BG$23:$BM$23,1,CB265),'Lease Cycles'!$AX$23&lt;=CB$6),'Lease Cycles'!$C$23*'Lease Cycles'!$AY$23/12,IF(AND('Lease Cycles'!$AV$23&gt;=INDEX('Lease Cycles'!$BG$23:$BM$23,1,CB265),'Lease Cycles'!$AV$23&lt;=CB$6),'Lease Cycles'!$C$23*'Lease Cycles'!$AW$23/12,IF(AND('Lease Cycles'!$AT$23&gt;=INDEX('Lease Cycles'!$BG$23:$BM$23,1,CB265),'Lease Cycles'!$AT$23&lt;=CB$6),'Lease Cycles'!$C$23*'Lease Cycles'!$AU$23/12,'Lease Cycles'!$C$23*INDEX('Lease Cycles'!$CB$23:$CH$23,1,CB265)*(1+INDEX('Lease Cycles'!$CI$23:$CO$23,1,CB265))^INT(INT(CB266/12)/INDEX('Lease Cycles'!$CP$23:$CV$23,1,CB265))/12)))),'Lease Cycles'!$C$23*INDEX('Lease Cycles'!$CB$23:$CH$23,1,CB265)*(1+INDEX('Lease Cycles'!$CI$23:$CO$23,1,CB265))^INT(INT(CB266/12)/INDEX('Lease Cycles'!$CP$23:$CV$23,1,CB265))/12))),IF('Lease Cycles'!$N$23=1,'Lease Cycles'!$C$23*'Lease Cycles'!$E$23*INDEX('Lease Cycles'!$HE$23:$HK$23,1,CB265)*(1+INDEX('Lease Cycles'!$GQ$23:$GW$23,1,CB265))^INT(INT((CB$6-INDEX('Lease Cycles'!$GJ$23:$GP$23,1,CB265))/12)/INDEX('Lease Cycles'!$GX$23:$HD$23,1,CB265))/12,0)))</f>
        <v>0</v>
      </c>
      <c r="CC268" s="28">
        <f>IF(CC265=0,IF('Lease Cycles'!$F$23&gt;0,'Lease Cycles'!$C$23*'Lease Cycles'!$E$23/12,0),IF(CC267=1,IF('Lease Cycles'!$AT$23&gt;=9999,'Lease Cycles'!$C$23*INDEX('Lease Cycles'!$CB$23:$CH$23,1,CC265)*(1+INDEX('Lease Cycles'!$CI$23:$CO$23,1,CC265))^INT(INT(CC266/12)/INDEX('Lease Cycles'!$CP$23:$CV$23,1,CC265))/12,IF(CC265=1,IF(CC266&gt;=INDEX('Lease Cycles'!$DK$23:$DQ$23,1,CC265),IF(CC$6&gt;='Lease Cycles'!$AZ$23,'Lease Cycles'!$C$23*'Lease Cycles'!$BA$23/12,IF(CC$6&gt;='Lease Cycles'!$AX$23,'Lease Cycles'!$C$23*'Lease Cycles'!$AY$23/12,IF(CC$6&gt;='Lease Cycles'!$AV$23,'Lease Cycles'!$C$23*'Lease Cycles'!$AW$23/12,IF(CC$6&gt;='Lease Cycles'!$AT$23,'Lease Cycles'!$C$23*'Lease Cycles'!$AU$23/12,'Lease Cycles'!$C$23*INDEX('Lease Cycles'!$CB$23:$CH$23,1,CC265)*(1+INDEX('Lease Cycles'!$CI$23:$CO$23,1,CC265))^INT(INT(CC266/12)/INDEX('Lease Cycles'!$CP$23:$CV$23,1,CC265))/12)))),'Lease Cycles'!$C$23*INDEX('Lease Cycles'!$CB$23:$CH$23,1,CC265)*(1+INDEX('Lease Cycles'!$CI$23:$CO$23,1,CC265))^INT(INT(CC266/12)/INDEX('Lease Cycles'!$CP$23:$CV$23,1,CC265))/12),IF(INDEX('Lease Cycles'!$EF$23:$EL$23,1,CC265)=1,IF(AND('Lease Cycles'!$AZ$23&gt;=INDEX('Lease Cycles'!$BG$23:$BM$23,1,CC265),'Lease Cycles'!$AZ$23&lt;=CC$6),'Lease Cycles'!$C$23*'Lease Cycles'!$BA$23/12,IF(AND('Lease Cycles'!$AX$23&gt;=INDEX('Lease Cycles'!$BG$23:$BM$23,1,CC265),'Lease Cycles'!$AX$23&lt;=CC$6),'Lease Cycles'!$C$23*'Lease Cycles'!$AY$23/12,IF(AND('Lease Cycles'!$AV$23&gt;=INDEX('Lease Cycles'!$BG$23:$BM$23,1,CC265),'Lease Cycles'!$AV$23&lt;=CC$6),'Lease Cycles'!$C$23*'Lease Cycles'!$AW$23/12,IF(AND('Lease Cycles'!$AT$23&gt;=INDEX('Lease Cycles'!$BG$23:$BM$23,1,CC265),'Lease Cycles'!$AT$23&lt;=CC$6),'Lease Cycles'!$C$23*'Lease Cycles'!$AU$23/12,'Lease Cycles'!$C$23*INDEX('Lease Cycles'!$CB$23:$CH$23,1,CC265)*(1+INDEX('Lease Cycles'!$CI$23:$CO$23,1,CC265))^INT(INT(CC266/12)/INDEX('Lease Cycles'!$CP$23:$CV$23,1,CC265))/12)))),'Lease Cycles'!$C$23*INDEX('Lease Cycles'!$CB$23:$CH$23,1,CC265)*(1+INDEX('Lease Cycles'!$CI$23:$CO$23,1,CC265))^INT(INT(CC266/12)/INDEX('Lease Cycles'!$CP$23:$CV$23,1,CC265))/12))),IF('Lease Cycles'!$N$23=1,'Lease Cycles'!$C$23*'Lease Cycles'!$E$23*INDEX('Lease Cycles'!$HE$23:$HK$23,1,CC265)*(1+INDEX('Lease Cycles'!$GQ$23:$GW$23,1,CC265))^INT(INT((CC$6-INDEX('Lease Cycles'!$GJ$23:$GP$23,1,CC265))/12)/INDEX('Lease Cycles'!$GX$23:$HD$23,1,CC265))/12,0)))</f>
        <v>0</v>
      </c>
      <c r="CD268" s="28">
        <f>IF(CD265=0,IF('Lease Cycles'!$F$23&gt;0,'Lease Cycles'!$C$23*'Lease Cycles'!$E$23/12,0),IF(CD267=1,IF('Lease Cycles'!$AT$23&gt;=9999,'Lease Cycles'!$C$23*INDEX('Lease Cycles'!$CB$23:$CH$23,1,CD265)*(1+INDEX('Lease Cycles'!$CI$23:$CO$23,1,CD265))^INT(INT(CD266/12)/INDEX('Lease Cycles'!$CP$23:$CV$23,1,CD265))/12,IF(CD265=1,IF(CD266&gt;=INDEX('Lease Cycles'!$DK$23:$DQ$23,1,CD265),IF(CD$6&gt;='Lease Cycles'!$AZ$23,'Lease Cycles'!$C$23*'Lease Cycles'!$BA$23/12,IF(CD$6&gt;='Lease Cycles'!$AX$23,'Lease Cycles'!$C$23*'Lease Cycles'!$AY$23/12,IF(CD$6&gt;='Lease Cycles'!$AV$23,'Lease Cycles'!$C$23*'Lease Cycles'!$AW$23/12,IF(CD$6&gt;='Lease Cycles'!$AT$23,'Lease Cycles'!$C$23*'Lease Cycles'!$AU$23/12,'Lease Cycles'!$C$23*INDEX('Lease Cycles'!$CB$23:$CH$23,1,CD265)*(1+INDEX('Lease Cycles'!$CI$23:$CO$23,1,CD265))^INT(INT(CD266/12)/INDEX('Lease Cycles'!$CP$23:$CV$23,1,CD265))/12)))),'Lease Cycles'!$C$23*INDEX('Lease Cycles'!$CB$23:$CH$23,1,CD265)*(1+INDEX('Lease Cycles'!$CI$23:$CO$23,1,CD265))^INT(INT(CD266/12)/INDEX('Lease Cycles'!$CP$23:$CV$23,1,CD265))/12),IF(INDEX('Lease Cycles'!$EF$23:$EL$23,1,CD265)=1,IF(AND('Lease Cycles'!$AZ$23&gt;=INDEX('Lease Cycles'!$BG$23:$BM$23,1,CD265),'Lease Cycles'!$AZ$23&lt;=CD$6),'Lease Cycles'!$C$23*'Lease Cycles'!$BA$23/12,IF(AND('Lease Cycles'!$AX$23&gt;=INDEX('Lease Cycles'!$BG$23:$BM$23,1,CD265),'Lease Cycles'!$AX$23&lt;=CD$6),'Lease Cycles'!$C$23*'Lease Cycles'!$AY$23/12,IF(AND('Lease Cycles'!$AV$23&gt;=INDEX('Lease Cycles'!$BG$23:$BM$23,1,CD265),'Lease Cycles'!$AV$23&lt;=CD$6),'Lease Cycles'!$C$23*'Lease Cycles'!$AW$23/12,IF(AND('Lease Cycles'!$AT$23&gt;=INDEX('Lease Cycles'!$BG$23:$BM$23,1,CD265),'Lease Cycles'!$AT$23&lt;=CD$6),'Lease Cycles'!$C$23*'Lease Cycles'!$AU$23/12,'Lease Cycles'!$C$23*INDEX('Lease Cycles'!$CB$23:$CH$23,1,CD265)*(1+INDEX('Lease Cycles'!$CI$23:$CO$23,1,CD265))^INT(INT(CD266/12)/INDEX('Lease Cycles'!$CP$23:$CV$23,1,CD265))/12)))),'Lease Cycles'!$C$23*INDEX('Lease Cycles'!$CB$23:$CH$23,1,CD265)*(1+INDEX('Lease Cycles'!$CI$23:$CO$23,1,CD265))^INT(INT(CD266/12)/INDEX('Lease Cycles'!$CP$23:$CV$23,1,CD265))/12))),IF('Lease Cycles'!$N$23=1,'Lease Cycles'!$C$23*'Lease Cycles'!$E$23*INDEX('Lease Cycles'!$HE$23:$HK$23,1,CD265)*(1+INDEX('Lease Cycles'!$GQ$23:$GW$23,1,CD265))^INT(INT((CD$6-INDEX('Lease Cycles'!$GJ$23:$GP$23,1,CD265))/12)/INDEX('Lease Cycles'!$GX$23:$HD$23,1,CD265))/12,0)))</f>
        <v>0</v>
      </c>
      <c r="CE268" s="28">
        <f>IF(CE265=0,IF('Lease Cycles'!$F$23&gt;0,'Lease Cycles'!$C$23*'Lease Cycles'!$E$23/12,0),IF(CE267=1,IF('Lease Cycles'!$AT$23&gt;=9999,'Lease Cycles'!$C$23*INDEX('Lease Cycles'!$CB$23:$CH$23,1,CE265)*(1+INDEX('Lease Cycles'!$CI$23:$CO$23,1,CE265))^INT(INT(CE266/12)/INDEX('Lease Cycles'!$CP$23:$CV$23,1,CE265))/12,IF(CE265=1,IF(CE266&gt;=INDEX('Lease Cycles'!$DK$23:$DQ$23,1,CE265),IF(CE$6&gt;='Lease Cycles'!$AZ$23,'Lease Cycles'!$C$23*'Lease Cycles'!$BA$23/12,IF(CE$6&gt;='Lease Cycles'!$AX$23,'Lease Cycles'!$C$23*'Lease Cycles'!$AY$23/12,IF(CE$6&gt;='Lease Cycles'!$AV$23,'Lease Cycles'!$C$23*'Lease Cycles'!$AW$23/12,IF(CE$6&gt;='Lease Cycles'!$AT$23,'Lease Cycles'!$C$23*'Lease Cycles'!$AU$23/12,'Lease Cycles'!$C$23*INDEX('Lease Cycles'!$CB$23:$CH$23,1,CE265)*(1+INDEX('Lease Cycles'!$CI$23:$CO$23,1,CE265))^INT(INT(CE266/12)/INDEX('Lease Cycles'!$CP$23:$CV$23,1,CE265))/12)))),'Lease Cycles'!$C$23*INDEX('Lease Cycles'!$CB$23:$CH$23,1,CE265)*(1+INDEX('Lease Cycles'!$CI$23:$CO$23,1,CE265))^INT(INT(CE266/12)/INDEX('Lease Cycles'!$CP$23:$CV$23,1,CE265))/12),IF(INDEX('Lease Cycles'!$EF$23:$EL$23,1,CE265)=1,IF(AND('Lease Cycles'!$AZ$23&gt;=INDEX('Lease Cycles'!$BG$23:$BM$23,1,CE265),'Lease Cycles'!$AZ$23&lt;=CE$6),'Lease Cycles'!$C$23*'Lease Cycles'!$BA$23/12,IF(AND('Lease Cycles'!$AX$23&gt;=INDEX('Lease Cycles'!$BG$23:$BM$23,1,CE265),'Lease Cycles'!$AX$23&lt;=CE$6),'Lease Cycles'!$C$23*'Lease Cycles'!$AY$23/12,IF(AND('Lease Cycles'!$AV$23&gt;=INDEX('Lease Cycles'!$BG$23:$BM$23,1,CE265),'Lease Cycles'!$AV$23&lt;=CE$6),'Lease Cycles'!$C$23*'Lease Cycles'!$AW$23/12,IF(AND('Lease Cycles'!$AT$23&gt;=INDEX('Lease Cycles'!$BG$23:$BM$23,1,CE265),'Lease Cycles'!$AT$23&lt;=CE$6),'Lease Cycles'!$C$23*'Lease Cycles'!$AU$23/12,'Lease Cycles'!$C$23*INDEX('Lease Cycles'!$CB$23:$CH$23,1,CE265)*(1+INDEX('Lease Cycles'!$CI$23:$CO$23,1,CE265))^INT(INT(CE266/12)/INDEX('Lease Cycles'!$CP$23:$CV$23,1,CE265))/12)))),'Lease Cycles'!$C$23*INDEX('Lease Cycles'!$CB$23:$CH$23,1,CE265)*(1+INDEX('Lease Cycles'!$CI$23:$CO$23,1,CE265))^INT(INT(CE266/12)/INDEX('Lease Cycles'!$CP$23:$CV$23,1,CE265))/12))),IF('Lease Cycles'!$N$23=1,'Lease Cycles'!$C$23*'Lease Cycles'!$E$23*INDEX('Lease Cycles'!$HE$23:$HK$23,1,CE265)*(1+INDEX('Lease Cycles'!$GQ$23:$GW$23,1,CE265))^INT(INT((CE$6-INDEX('Lease Cycles'!$GJ$23:$GP$23,1,CE265))/12)/INDEX('Lease Cycles'!$GX$23:$HD$23,1,CE265))/12,0)))</f>
        <v>0</v>
      </c>
      <c r="CF268" s="28">
        <f>IF(CF265=0,IF('Lease Cycles'!$F$23&gt;0,'Lease Cycles'!$C$23*'Lease Cycles'!$E$23/12,0),IF(CF267=1,IF('Lease Cycles'!$AT$23&gt;=9999,'Lease Cycles'!$C$23*INDEX('Lease Cycles'!$CB$23:$CH$23,1,CF265)*(1+INDEX('Lease Cycles'!$CI$23:$CO$23,1,CF265))^INT(INT(CF266/12)/INDEX('Lease Cycles'!$CP$23:$CV$23,1,CF265))/12,IF(CF265=1,IF(CF266&gt;=INDEX('Lease Cycles'!$DK$23:$DQ$23,1,CF265),IF(CF$6&gt;='Lease Cycles'!$AZ$23,'Lease Cycles'!$C$23*'Lease Cycles'!$BA$23/12,IF(CF$6&gt;='Lease Cycles'!$AX$23,'Lease Cycles'!$C$23*'Lease Cycles'!$AY$23/12,IF(CF$6&gt;='Lease Cycles'!$AV$23,'Lease Cycles'!$C$23*'Lease Cycles'!$AW$23/12,IF(CF$6&gt;='Lease Cycles'!$AT$23,'Lease Cycles'!$C$23*'Lease Cycles'!$AU$23/12,'Lease Cycles'!$C$23*INDEX('Lease Cycles'!$CB$23:$CH$23,1,CF265)*(1+INDEX('Lease Cycles'!$CI$23:$CO$23,1,CF265))^INT(INT(CF266/12)/INDEX('Lease Cycles'!$CP$23:$CV$23,1,CF265))/12)))),'Lease Cycles'!$C$23*INDEX('Lease Cycles'!$CB$23:$CH$23,1,CF265)*(1+INDEX('Lease Cycles'!$CI$23:$CO$23,1,CF265))^INT(INT(CF266/12)/INDEX('Lease Cycles'!$CP$23:$CV$23,1,CF265))/12),IF(INDEX('Lease Cycles'!$EF$23:$EL$23,1,CF265)=1,IF(AND('Lease Cycles'!$AZ$23&gt;=INDEX('Lease Cycles'!$BG$23:$BM$23,1,CF265),'Lease Cycles'!$AZ$23&lt;=CF$6),'Lease Cycles'!$C$23*'Lease Cycles'!$BA$23/12,IF(AND('Lease Cycles'!$AX$23&gt;=INDEX('Lease Cycles'!$BG$23:$BM$23,1,CF265),'Lease Cycles'!$AX$23&lt;=CF$6),'Lease Cycles'!$C$23*'Lease Cycles'!$AY$23/12,IF(AND('Lease Cycles'!$AV$23&gt;=INDEX('Lease Cycles'!$BG$23:$BM$23,1,CF265),'Lease Cycles'!$AV$23&lt;=CF$6),'Lease Cycles'!$C$23*'Lease Cycles'!$AW$23/12,IF(AND('Lease Cycles'!$AT$23&gt;=INDEX('Lease Cycles'!$BG$23:$BM$23,1,CF265),'Lease Cycles'!$AT$23&lt;=CF$6),'Lease Cycles'!$C$23*'Lease Cycles'!$AU$23/12,'Lease Cycles'!$C$23*INDEX('Lease Cycles'!$CB$23:$CH$23,1,CF265)*(1+INDEX('Lease Cycles'!$CI$23:$CO$23,1,CF265))^INT(INT(CF266/12)/INDEX('Lease Cycles'!$CP$23:$CV$23,1,CF265))/12)))),'Lease Cycles'!$C$23*INDEX('Lease Cycles'!$CB$23:$CH$23,1,CF265)*(1+INDEX('Lease Cycles'!$CI$23:$CO$23,1,CF265))^INT(INT(CF266/12)/INDEX('Lease Cycles'!$CP$23:$CV$23,1,CF265))/12))),IF('Lease Cycles'!$N$23=1,'Lease Cycles'!$C$23*'Lease Cycles'!$E$23*INDEX('Lease Cycles'!$HE$23:$HK$23,1,CF265)*(1+INDEX('Lease Cycles'!$GQ$23:$GW$23,1,CF265))^INT(INT((CF$6-INDEX('Lease Cycles'!$GJ$23:$GP$23,1,CF265))/12)/INDEX('Lease Cycles'!$GX$23:$HD$23,1,CF265))/12,0)))</f>
        <v>0</v>
      </c>
      <c r="CG268" s="28">
        <f>IF(CG265=0,IF('Lease Cycles'!$F$23&gt;0,'Lease Cycles'!$C$23*'Lease Cycles'!$E$23/12,0),IF(CG267=1,IF('Lease Cycles'!$AT$23&gt;=9999,'Lease Cycles'!$C$23*INDEX('Lease Cycles'!$CB$23:$CH$23,1,CG265)*(1+INDEX('Lease Cycles'!$CI$23:$CO$23,1,CG265))^INT(INT(CG266/12)/INDEX('Lease Cycles'!$CP$23:$CV$23,1,CG265))/12,IF(CG265=1,IF(CG266&gt;=INDEX('Lease Cycles'!$DK$23:$DQ$23,1,CG265),IF(CG$6&gt;='Lease Cycles'!$AZ$23,'Lease Cycles'!$C$23*'Lease Cycles'!$BA$23/12,IF(CG$6&gt;='Lease Cycles'!$AX$23,'Lease Cycles'!$C$23*'Lease Cycles'!$AY$23/12,IF(CG$6&gt;='Lease Cycles'!$AV$23,'Lease Cycles'!$C$23*'Lease Cycles'!$AW$23/12,IF(CG$6&gt;='Lease Cycles'!$AT$23,'Lease Cycles'!$C$23*'Lease Cycles'!$AU$23/12,'Lease Cycles'!$C$23*INDEX('Lease Cycles'!$CB$23:$CH$23,1,CG265)*(1+INDEX('Lease Cycles'!$CI$23:$CO$23,1,CG265))^INT(INT(CG266/12)/INDEX('Lease Cycles'!$CP$23:$CV$23,1,CG265))/12)))),'Lease Cycles'!$C$23*INDEX('Lease Cycles'!$CB$23:$CH$23,1,CG265)*(1+INDEX('Lease Cycles'!$CI$23:$CO$23,1,CG265))^INT(INT(CG266/12)/INDEX('Lease Cycles'!$CP$23:$CV$23,1,CG265))/12),IF(INDEX('Lease Cycles'!$EF$23:$EL$23,1,CG265)=1,IF(AND('Lease Cycles'!$AZ$23&gt;=INDEX('Lease Cycles'!$BG$23:$BM$23,1,CG265),'Lease Cycles'!$AZ$23&lt;=CG$6),'Lease Cycles'!$C$23*'Lease Cycles'!$BA$23/12,IF(AND('Lease Cycles'!$AX$23&gt;=INDEX('Lease Cycles'!$BG$23:$BM$23,1,CG265),'Lease Cycles'!$AX$23&lt;=CG$6),'Lease Cycles'!$C$23*'Lease Cycles'!$AY$23/12,IF(AND('Lease Cycles'!$AV$23&gt;=INDEX('Lease Cycles'!$BG$23:$BM$23,1,CG265),'Lease Cycles'!$AV$23&lt;=CG$6),'Lease Cycles'!$C$23*'Lease Cycles'!$AW$23/12,IF(AND('Lease Cycles'!$AT$23&gt;=INDEX('Lease Cycles'!$BG$23:$BM$23,1,CG265),'Lease Cycles'!$AT$23&lt;=CG$6),'Lease Cycles'!$C$23*'Lease Cycles'!$AU$23/12,'Lease Cycles'!$C$23*INDEX('Lease Cycles'!$CB$23:$CH$23,1,CG265)*(1+INDEX('Lease Cycles'!$CI$23:$CO$23,1,CG265))^INT(INT(CG266/12)/INDEX('Lease Cycles'!$CP$23:$CV$23,1,CG265))/12)))),'Lease Cycles'!$C$23*INDEX('Lease Cycles'!$CB$23:$CH$23,1,CG265)*(1+INDEX('Lease Cycles'!$CI$23:$CO$23,1,CG265))^INT(INT(CG266/12)/INDEX('Lease Cycles'!$CP$23:$CV$23,1,CG265))/12))),IF('Lease Cycles'!$N$23=1,'Lease Cycles'!$C$23*'Lease Cycles'!$E$23*INDEX('Lease Cycles'!$HE$23:$HK$23,1,CG265)*(1+INDEX('Lease Cycles'!$GQ$23:$GW$23,1,CG265))^INT(INT((CG$6-INDEX('Lease Cycles'!$GJ$23:$GP$23,1,CG265))/12)/INDEX('Lease Cycles'!$GX$23:$HD$23,1,CG265))/12,0)))</f>
        <v>0</v>
      </c>
      <c r="CH268" s="28">
        <f>IF(CH265=0,IF('Lease Cycles'!$F$23&gt;0,'Lease Cycles'!$C$23*'Lease Cycles'!$E$23/12,0),IF(CH267=1,IF('Lease Cycles'!$AT$23&gt;=9999,'Lease Cycles'!$C$23*INDEX('Lease Cycles'!$CB$23:$CH$23,1,CH265)*(1+INDEX('Lease Cycles'!$CI$23:$CO$23,1,CH265))^INT(INT(CH266/12)/INDEX('Lease Cycles'!$CP$23:$CV$23,1,CH265))/12,IF(CH265=1,IF(CH266&gt;=INDEX('Lease Cycles'!$DK$23:$DQ$23,1,CH265),IF(CH$6&gt;='Lease Cycles'!$AZ$23,'Lease Cycles'!$C$23*'Lease Cycles'!$BA$23/12,IF(CH$6&gt;='Lease Cycles'!$AX$23,'Lease Cycles'!$C$23*'Lease Cycles'!$AY$23/12,IF(CH$6&gt;='Lease Cycles'!$AV$23,'Lease Cycles'!$C$23*'Lease Cycles'!$AW$23/12,IF(CH$6&gt;='Lease Cycles'!$AT$23,'Lease Cycles'!$C$23*'Lease Cycles'!$AU$23/12,'Lease Cycles'!$C$23*INDEX('Lease Cycles'!$CB$23:$CH$23,1,CH265)*(1+INDEX('Lease Cycles'!$CI$23:$CO$23,1,CH265))^INT(INT(CH266/12)/INDEX('Lease Cycles'!$CP$23:$CV$23,1,CH265))/12)))),'Lease Cycles'!$C$23*INDEX('Lease Cycles'!$CB$23:$CH$23,1,CH265)*(1+INDEX('Lease Cycles'!$CI$23:$CO$23,1,CH265))^INT(INT(CH266/12)/INDEX('Lease Cycles'!$CP$23:$CV$23,1,CH265))/12),IF(INDEX('Lease Cycles'!$EF$23:$EL$23,1,CH265)=1,IF(AND('Lease Cycles'!$AZ$23&gt;=INDEX('Lease Cycles'!$BG$23:$BM$23,1,CH265),'Lease Cycles'!$AZ$23&lt;=CH$6),'Lease Cycles'!$C$23*'Lease Cycles'!$BA$23/12,IF(AND('Lease Cycles'!$AX$23&gt;=INDEX('Lease Cycles'!$BG$23:$BM$23,1,CH265),'Lease Cycles'!$AX$23&lt;=CH$6),'Lease Cycles'!$C$23*'Lease Cycles'!$AY$23/12,IF(AND('Lease Cycles'!$AV$23&gt;=INDEX('Lease Cycles'!$BG$23:$BM$23,1,CH265),'Lease Cycles'!$AV$23&lt;=CH$6),'Lease Cycles'!$C$23*'Lease Cycles'!$AW$23/12,IF(AND('Lease Cycles'!$AT$23&gt;=INDEX('Lease Cycles'!$BG$23:$BM$23,1,CH265),'Lease Cycles'!$AT$23&lt;=CH$6),'Lease Cycles'!$C$23*'Lease Cycles'!$AU$23/12,'Lease Cycles'!$C$23*INDEX('Lease Cycles'!$CB$23:$CH$23,1,CH265)*(1+INDEX('Lease Cycles'!$CI$23:$CO$23,1,CH265))^INT(INT(CH266/12)/INDEX('Lease Cycles'!$CP$23:$CV$23,1,CH265))/12)))),'Lease Cycles'!$C$23*INDEX('Lease Cycles'!$CB$23:$CH$23,1,CH265)*(1+INDEX('Lease Cycles'!$CI$23:$CO$23,1,CH265))^INT(INT(CH266/12)/INDEX('Lease Cycles'!$CP$23:$CV$23,1,CH265))/12))),IF('Lease Cycles'!$N$23=1,'Lease Cycles'!$C$23*'Lease Cycles'!$E$23*INDEX('Lease Cycles'!$HE$23:$HK$23,1,CH265)*(1+INDEX('Lease Cycles'!$GQ$23:$GW$23,1,CH265))^INT(INT((CH$6-INDEX('Lease Cycles'!$GJ$23:$GP$23,1,CH265))/12)/INDEX('Lease Cycles'!$GX$23:$HD$23,1,CH265))/12,0)))</f>
        <v>0</v>
      </c>
      <c r="CI268" s="28">
        <f>IF(CI265=0,IF('Lease Cycles'!$F$23&gt;0,'Lease Cycles'!$C$23*'Lease Cycles'!$E$23/12,0),IF(CI267=1,IF('Lease Cycles'!$AT$23&gt;=9999,'Lease Cycles'!$C$23*INDEX('Lease Cycles'!$CB$23:$CH$23,1,CI265)*(1+INDEX('Lease Cycles'!$CI$23:$CO$23,1,CI265))^INT(INT(CI266/12)/INDEX('Lease Cycles'!$CP$23:$CV$23,1,CI265))/12,IF(CI265=1,IF(CI266&gt;=INDEX('Lease Cycles'!$DK$23:$DQ$23,1,CI265),IF(CI$6&gt;='Lease Cycles'!$AZ$23,'Lease Cycles'!$C$23*'Lease Cycles'!$BA$23/12,IF(CI$6&gt;='Lease Cycles'!$AX$23,'Lease Cycles'!$C$23*'Lease Cycles'!$AY$23/12,IF(CI$6&gt;='Lease Cycles'!$AV$23,'Lease Cycles'!$C$23*'Lease Cycles'!$AW$23/12,IF(CI$6&gt;='Lease Cycles'!$AT$23,'Lease Cycles'!$C$23*'Lease Cycles'!$AU$23/12,'Lease Cycles'!$C$23*INDEX('Lease Cycles'!$CB$23:$CH$23,1,CI265)*(1+INDEX('Lease Cycles'!$CI$23:$CO$23,1,CI265))^INT(INT(CI266/12)/INDEX('Lease Cycles'!$CP$23:$CV$23,1,CI265))/12)))),'Lease Cycles'!$C$23*INDEX('Lease Cycles'!$CB$23:$CH$23,1,CI265)*(1+INDEX('Lease Cycles'!$CI$23:$CO$23,1,CI265))^INT(INT(CI266/12)/INDEX('Lease Cycles'!$CP$23:$CV$23,1,CI265))/12),IF(INDEX('Lease Cycles'!$EF$23:$EL$23,1,CI265)=1,IF(AND('Lease Cycles'!$AZ$23&gt;=INDEX('Lease Cycles'!$BG$23:$BM$23,1,CI265),'Lease Cycles'!$AZ$23&lt;=CI$6),'Lease Cycles'!$C$23*'Lease Cycles'!$BA$23/12,IF(AND('Lease Cycles'!$AX$23&gt;=INDEX('Lease Cycles'!$BG$23:$BM$23,1,CI265),'Lease Cycles'!$AX$23&lt;=CI$6),'Lease Cycles'!$C$23*'Lease Cycles'!$AY$23/12,IF(AND('Lease Cycles'!$AV$23&gt;=INDEX('Lease Cycles'!$BG$23:$BM$23,1,CI265),'Lease Cycles'!$AV$23&lt;=CI$6),'Lease Cycles'!$C$23*'Lease Cycles'!$AW$23/12,IF(AND('Lease Cycles'!$AT$23&gt;=INDEX('Lease Cycles'!$BG$23:$BM$23,1,CI265),'Lease Cycles'!$AT$23&lt;=CI$6),'Lease Cycles'!$C$23*'Lease Cycles'!$AU$23/12,'Lease Cycles'!$C$23*INDEX('Lease Cycles'!$CB$23:$CH$23,1,CI265)*(1+INDEX('Lease Cycles'!$CI$23:$CO$23,1,CI265))^INT(INT(CI266/12)/INDEX('Lease Cycles'!$CP$23:$CV$23,1,CI265))/12)))),'Lease Cycles'!$C$23*INDEX('Lease Cycles'!$CB$23:$CH$23,1,CI265)*(1+INDEX('Lease Cycles'!$CI$23:$CO$23,1,CI265))^INT(INT(CI266/12)/INDEX('Lease Cycles'!$CP$23:$CV$23,1,CI265))/12))),IF('Lease Cycles'!$N$23=1,'Lease Cycles'!$C$23*'Lease Cycles'!$E$23*INDEX('Lease Cycles'!$HE$23:$HK$23,1,CI265)*(1+INDEX('Lease Cycles'!$GQ$23:$GW$23,1,CI265))^INT(INT((CI$6-INDEX('Lease Cycles'!$GJ$23:$GP$23,1,CI265))/12)/INDEX('Lease Cycles'!$GX$23:$HD$23,1,CI265))/12,0)))</f>
        <v>0</v>
      </c>
      <c r="CJ268" s="28">
        <f>IF(CJ265=0,IF('Lease Cycles'!$F$23&gt;0,'Lease Cycles'!$C$23*'Lease Cycles'!$E$23/12,0),IF(CJ267=1,IF('Lease Cycles'!$AT$23&gt;=9999,'Lease Cycles'!$C$23*INDEX('Lease Cycles'!$CB$23:$CH$23,1,CJ265)*(1+INDEX('Lease Cycles'!$CI$23:$CO$23,1,CJ265))^INT(INT(CJ266/12)/INDEX('Lease Cycles'!$CP$23:$CV$23,1,CJ265))/12,IF(CJ265=1,IF(CJ266&gt;=INDEX('Lease Cycles'!$DK$23:$DQ$23,1,CJ265),IF(CJ$6&gt;='Lease Cycles'!$AZ$23,'Lease Cycles'!$C$23*'Lease Cycles'!$BA$23/12,IF(CJ$6&gt;='Lease Cycles'!$AX$23,'Lease Cycles'!$C$23*'Lease Cycles'!$AY$23/12,IF(CJ$6&gt;='Lease Cycles'!$AV$23,'Lease Cycles'!$C$23*'Lease Cycles'!$AW$23/12,IF(CJ$6&gt;='Lease Cycles'!$AT$23,'Lease Cycles'!$C$23*'Lease Cycles'!$AU$23/12,'Lease Cycles'!$C$23*INDEX('Lease Cycles'!$CB$23:$CH$23,1,CJ265)*(1+INDEX('Lease Cycles'!$CI$23:$CO$23,1,CJ265))^INT(INT(CJ266/12)/INDEX('Lease Cycles'!$CP$23:$CV$23,1,CJ265))/12)))),'Lease Cycles'!$C$23*INDEX('Lease Cycles'!$CB$23:$CH$23,1,CJ265)*(1+INDEX('Lease Cycles'!$CI$23:$CO$23,1,CJ265))^INT(INT(CJ266/12)/INDEX('Lease Cycles'!$CP$23:$CV$23,1,CJ265))/12),IF(INDEX('Lease Cycles'!$EF$23:$EL$23,1,CJ265)=1,IF(AND('Lease Cycles'!$AZ$23&gt;=INDEX('Lease Cycles'!$BG$23:$BM$23,1,CJ265),'Lease Cycles'!$AZ$23&lt;=CJ$6),'Lease Cycles'!$C$23*'Lease Cycles'!$BA$23/12,IF(AND('Lease Cycles'!$AX$23&gt;=INDEX('Lease Cycles'!$BG$23:$BM$23,1,CJ265),'Lease Cycles'!$AX$23&lt;=CJ$6),'Lease Cycles'!$C$23*'Lease Cycles'!$AY$23/12,IF(AND('Lease Cycles'!$AV$23&gt;=INDEX('Lease Cycles'!$BG$23:$BM$23,1,CJ265),'Lease Cycles'!$AV$23&lt;=CJ$6),'Lease Cycles'!$C$23*'Lease Cycles'!$AW$23/12,IF(AND('Lease Cycles'!$AT$23&gt;=INDEX('Lease Cycles'!$BG$23:$BM$23,1,CJ265),'Lease Cycles'!$AT$23&lt;=CJ$6),'Lease Cycles'!$C$23*'Lease Cycles'!$AU$23/12,'Lease Cycles'!$C$23*INDEX('Lease Cycles'!$CB$23:$CH$23,1,CJ265)*(1+INDEX('Lease Cycles'!$CI$23:$CO$23,1,CJ265))^INT(INT(CJ266/12)/INDEX('Lease Cycles'!$CP$23:$CV$23,1,CJ265))/12)))),'Lease Cycles'!$C$23*INDEX('Lease Cycles'!$CB$23:$CH$23,1,CJ265)*(1+INDEX('Lease Cycles'!$CI$23:$CO$23,1,CJ265))^INT(INT(CJ266/12)/INDEX('Lease Cycles'!$CP$23:$CV$23,1,CJ265))/12))),IF('Lease Cycles'!$N$23=1,'Lease Cycles'!$C$23*'Lease Cycles'!$E$23*INDEX('Lease Cycles'!$HE$23:$HK$23,1,CJ265)*(1+INDEX('Lease Cycles'!$GQ$23:$GW$23,1,CJ265))^INT(INT((CJ$6-INDEX('Lease Cycles'!$GJ$23:$GP$23,1,CJ265))/12)/INDEX('Lease Cycles'!$GX$23:$HD$23,1,CJ265))/12,0)))</f>
        <v>0</v>
      </c>
      <c r="CK268" s="28">
        <f>IF(CK265=0,IF('Lease Cycles'!$F$23&gt;0,'Lease Cycles'!$C$23*'Lease Cycles'!$E$23/12,0),IF(CK267=1,IF('Lease Cycles'!$AT$23&gt;=9999,'Lease Cycles'!$C$23*INDEX('Lease Cycles'!$CB$23:$CH$23,1,CK265)*(1+INDEX('Lease Cycles'!$CI$23:$CO$23,1,CK265))^INT(INT(CK266/12)/INDEX('Lease Cycles'!$CP$23:$CV$23,1,CK265))/12,IF(CK265=1,IF(CK266&gt;=INDEX('Lease Cycles'!$DK$23:$DQ$23,1,CK265),IF(CK$6&gt;='Lease Cycles'!$AZ$23,'Lease Cycles'!$C$23*'Lease Cycles'!$BA$23/12,IF(CK$6&gt;='Lease Cycles'!$AX$23,'Lease Cycles'!$C$23*'Lease Cycles'!$AY$23/12,IF(CK$6&gt;='Lease Cycles'!$AV$23,'Lease Cycles'!$C$23*'Lease Cycles'!$AW$23/12,IF(CK$6&gt;='Lease Cycles'!$AT$23,'Lease Cycles'!$C$23*'Lease Cycles'!$AU$23/12,'Lease Cycles'!$C$23*INDEX('Lease Cycles'!$CB$23:$CH$23,1,CK265)*(1+INDEX('Lease Cycles'!$CI$23:$CO$23,1,CK265))^INT(INT(CK266/12)/INDEX('Lease Cycles'!$CP$23:$CV$23,1,CK265))/12)))),'Lease Cycles'!$C$23*INDEX('Lease Cycles'!$CB$23:$CH$23,1,CK265)*(1+INDEX('Lease Cycles'!$CI$23:$CO$23,1,CK265))^INT(INT(CK266/12)/INDEX('Lease Cycles'!$CP$23:$CV$23,1,CK265))/12),IF(INDEX('Lease Cycles'!$EF$23:$EL$23,1,CK265)=1,IF(AND('Lease Cycles'!$AZ$23&gt;=INDEX('Lease Cycles'!$BG$23:$BM$23,1,CK265),'Lease Cycles'!$AZ$23&lt;=CK$6),'Lease Cycles'!$C$23*'Lease Cycles'!$BA$23/12,IF(AND('Lease Cycles'!$AX$23&gt;=INDEX('Lease Cycles'!$BG$23:$BM$23,1,CK265),'Lease Cycles'!$AX$23&lt;=CK$6),'Lease Cycles'!$C$23*'Lease Cycles'!$AY$23/12,IF(AND('Lease Cycles'!$AV$23&gt;=INDEX('Lease Cycles'!$BG$23:$BM$23,1,CK265),'Lease Cycles'!$AV$23&lt;=CK$6),'Lease Cycles'!$C$23*'Lease Cycles'!$AW$23/12,IF(AND('Lease Cycles'!$AT$23&gt;=INDEX('Lease Cycles'!$BG$23:$BM$23,1,CK265),'Lease Cycles'!$AT$23&lt;=CK$6),'Lease Cycles'!$C$23*'Lease Cycles'!$AU$23/12,'Lease Cycles'!$C$23*INDEX('Lease Cycles'!$CB$23:$CH$23,1,CK265)*(1+INDEX('Lease Cycles'!$CI$23:$CO$23,1,CK265))^INT(INT(CK266/12)/INDEX('Lease Cycles'!$CP$23:$CV$23,1,CK265))/12)))),'Lease Cycles'!$C$23*INDEX('Lease Cycles'!$CB$23:$CH$23,1,CK265)*(1+INDEX('Lease Cycles'!$CI$23:$CO$23,1,CK265))^INT(INT(CK266/12)/INDEX('Lease Cycles'!$CP$23:$CV$23,1,CK265))/12))),IF('Lease Cycles'!$N$23=1,'Lease Cycles'!$C$23*'Lease Cycles'!$E$23*INDEX('Lease Cycles'!$HE$23:$HK$23,1,CK265)*(1+INDEX('Lease Cycles'!$GQ$23:$GW$23,1,CK265))^INT(INT((CK$6-INDEX('Lease Cycles'!$GJ$23:$GP$23,1,CK265))/12)/INDEX('Lease Cycles'!$GX$23:$HD$23,1,CK265))/12,0)))</f>
        <v>0</v>
      </c>
      <c r="CL268" s="28">
        <f>IF(CL265=0,IF('Lease Cycles'!$F$23&gt;0,'Lease Cycles'!$C$23*'Lease Cycles'!$E$23/12,0),IF(CL267=1,IF('Lease Cycles'!$AT$23&gt;=9999,'Lease Cycles'!$C$23*INDEX('Lease Cycles'!$CB$23:$CH$23,1,CL265)*(1+INDEX('Lease Cycles'!$CI$23:$CO$23,1,CL265))^INT(INT(CL266/12)/INDEX('Lease Cycles'!$CP$23:$CV$23,1,CL265))/12,IF(CL265=1,IF(CL266&gt;=INDEX('Lease Cycles'!$DK$23:$DQ$23,1,CL265),IF(CL$6&gt;='Lease Cycles'!$AZ$23,'Lease Cycles'!$C$23*'Lease Cycles'!$BA$23/12,IF(CL$6&gt;='Lease Cycles'!$AX$23,'Lease Cycles'!$C$23*'Lease Cycles'!$AY$23/12,IF(CL$6&gt;='Lease Cycles'!$AV$23,'Lease Cycles'!$C$23*'Lease Cycles'!$AW$23/12,IF(CL$6&gt;='Lease Cycles'!$AT$23,'Lease Cycles'!$C$23*'Lease Cycles'!$AU$23/12,'Lease Cycles'!$C$23*INDEX('Lease Cycles'!$CB$23:$CH$23,1,CL265)*(1+INDEX('Lease Cycles'!$CI$23:$CO$23,1,CL265))^INT(INT(CL266/12)/INDEX('Lease Cycles'!$CP$23:$CV$23,1,CL265))/12)))),'Lease Cycles'!$C$23*INDEX('Lease Cycles'!$CB$23:$CH$23,1,CL265)*(1+INDEX('Lease Cycles'!$CI$23:$CO$23,1,CL265))^INT(INT(CL266/12)/INDEX('Lease Cycles'!$CP$23:$CV$23,1,CL265))/12),IF(INDEX('Lease Cycles'!$EF$23:$EL$23,1,CL265)=1,IF(AND('Lease Cycles'!$AZ$23&gt;=INDEX('Lease Cycles'!$BG$23:$BM$23,1,CL265),'Lease Cycles'!$AZ$23&lt;=CL$6),'Lease Cycles'!$C$23*'Lease Cycles'!$BA$23/12,IF(AND('Lease Cycles'!$AX$23&gt;=INDEX('Lease Cycles'!$BG$23:$BM$23,1,CL265),'Lease Cycles'!$AX$23&lt;=CL$6),'Lease Cycles'!$C$23*'Lease Cycles'!$AY$23/12,IF(AND('Lease Cycles'!$AV$23&gt;=INDEX('Lease Cycles'!$BG$23:$BM$23,1,CL265),'Lease Cycles'!$AV$23&lt;=CL$6),'Lease Cycles'!$C$23*'Lease Cycles'!$AW$23/12,IF(AND('Lease Cycles'!$AT$23&gt;=INDEX('Lease Cycles'!$BG$23:$BM$23,1,CL265),'Lease Cycles'!$AT$23&lt;=CL$6),'Lease Cycles'!$C$23*'Lease Cycles'!$AU$23/12,'Lease Cycles'!$C$23*INDEX('Lease Cycles'!$CB$23:$CH$23,1,CL265)*(1+INDEX('Lease Cycles'!$CI$23:$CO$23,1,CL265))^INT(INT(CL266/12)/INDEX('Lease Cycles'!$CP$23:$CV$23,1,CL265))/12)))),'Lease Cycles'!$C$23*INDEX('Lease Cycles'!$CB$23:$CH$23,1,CL265)*(1+INDEX('Lease Cycles'!$CI$23:$CO$23,1,CL265))^INT(INT(CL266/12)/INDEX('Lease Cycles'!$CP$23:$CV$23,1,CL265))/12))),IF('Lease Cycles'!$N$23=1,'Lease Cycles'!$C$23*'Lease Cycles'!$E$23*INDEX('Lease Cycles'!$HE$23:$HK$23,1,CL265)*(1+INDEX('Lease Cycles'!$GQ$23:$GW$23,1,CL265))^INT(INT((CL$6-INDEX('Lease Cycles'!$GJ$23:$GP$23,1,CL265))/12)/INDEX('Lease Cycles'!$GX$23:$HD$23,1,CL265))/12,0)))</f>
        <v>0</v>
      </c>
      <c r="CM268" s="28">
        <f>IF(CM265=0,IF('Lease Cycles'!$F$23&gt;0,'Lease Cycles'!$C$23*'Lease Cycles'!$E$23/12,0),IF(CM267=1,IF('Lease Cycles'!$AT$23&gt;=9999,'Lease Cycles'!$C$23*INDEX('Lease Cycles'!$CB$23:$CH$23,1,CM265)*(1+INDEX('Lease Cycles'!$CI$23:$CO$23,1,CM265))^INT(INT(CM266/12)/INDEX('Lease Cycles'!$CP$23:$CV$23,1,CM265))/12,IF(CM265=1,IF(CM266&gt;=INDEX('Lease Cycles'!$DK$23:$DQ$23,1,CM265),IF(CM$6&gt;='Lease Cycles'!$AZ$23,'Lease Cycles'!$C$23*'Lease Cycles'!$BA$23/12,IF(CM$6&gt;='Lease Cycles'!$AX$23,'Lease Cycles'!$C$23*'Lease Cycles'!$AY$23/12,IF(CM$6&gt;='Lease Cycles'!$AV$23,'Lease Cycles'!$C$23*'Lease Cycles'!$AW$23/12,IF(CM$6&gt;='Lease Cycles'!$AT$23,'Lease Cycles'!$C$23*'Lease Cycles'!$AU$23/12,'Lease Cycles'!$C$23*INDEX('Lease Cycles'!$CB$23:$CH$23,1,CM265)*(1+INDEX('Lease Cycles'!$CI$23:$CO$23,1,CM265))^INT(INT(CM266/12)/INDEX('Lease Cycles'!$CP$23:$CV$23,1,CM265))/12)))),'Lease Cycles'!$C$23*INDEX('Lease Cycles'!$CB$23:$CH$23,1,CM265)*(1+INDEX('Lease Cycles'!$CI$23:$CO$23,1,CM265))^INT(INT(CM266/12)/INDEX('Lease Cycles'!$CP$23:$CV$23,1,CM265))/12),IF(INDEX('Lease Cycles'!$EF$23:$EL$23,1,CM265)=1,IF(AND('Lease Cycles'!$AZ$23&gt;=INDEX('Lease Cycles'!$BG$23:$BM$23,1,CM265),'Lease Cycles'!$AZ$23&lt;=CM$6),'Lease Cycles'!$C$23*'Lease Cycles'!$BA$23/12,IF(AND('Lease Cycles'!$AX$23&gt;=INDEX('Lease Cycles'!$BG$23:$BM$23,1,CM265),'Lease Cycles'!$AX$23&lt;=CM$6),'Lease Cycles'!$C$23*'Lease Cycles'!$AY$23/12,IF(AND('Lease Cycles'!$AV$23&gt;=INDEX('Lease Cycles'!$BG$23:$BM$23,1,CM265),'Lease Cycles'!$AV$23&lt;=CM$6),'Lease Cycles'!$C$23*'Lease Cycles'!$AW$23/12,IF(AND('Lease Cycles'!$AT$23&gt;=INDEX('Lease Cycles'!$BG$23:$BM$23,1,CM265),'Lease Cycles'!$AT$23&lt;=CM$6),'Lease Cycles'!$C$23*'Lease Cycles'!$AU$23/12,'Lease Cycles'!$C$23*INDEX('Lease Cycles'!$CB$23:$CH$23,1,CM265)*(1+INDEX('Lease Cycles'!$CI$23:$CO$23,1,CM265))^INT(INT(CM266/12)/INDEX('Lease Cycles'!$CP$23:$CV$23,1,CM265))/12)))),'Lease Cycles'!$C$23*INDEX('Lease Cycles'!$CB$23:$CH$23,1,CM265)*(1+INDEX('Lease Cycles'!$CI$23:$CO$23,1,CM265))^INT(INT(CM266/12)/INDEX('Lease Cycles'!$CP$23:$CV$23,1,CM265))/12))),IF('Lease Cycles'!$N$23=1,'Lease Cycles'!$C$23*'Lease Cycles'!$E$23*INDEX('Lease Cycles'!$HE$23:$HK$23,1,CM265)*(1+INDEX('Lease Cycles'!$GQ$23:$GW$23,1,CM265))^INT(INT((CM$6-INDEX('Lease Cycles'!$GJ$23:$GP$23,1,CM265))/12)/INDEX('Lease Cycles'!$GX$23:$HD$23,1,CM265))/12,0)))</f>
        <v>0</v>
      </c>
      <c r="CN268" s="28">
        <f>IF(CN265=0,IF('Lease Cycles'!$F$23&gt;0,'Lease Cycles'!$C$23*'Lease Cycles'!$E$23/12,0),IF(CN267=1,IF('Lease Cycles'!$AT$23&gt;=9999,'Lease Cycles'!$C$23*INDEX('Lease Cycles'!$CB$23:$CH$23,1,CN265)*(1+INDEX('Lease Cycles'!$CI$23:$CO$23,1,CN265))^INT(INT(CN266/12)/INDEX('Lease Cycles'!$CP$23:$CV$23,1,CN265))/12,IF(CN265=1,IF(CN266&gt;=INDEX('Lease Cycles'!$DK$23:$DQ$23,1,CN265),IF(CN$6&gt;='Lease Cycles'!$AZ$23,'Lease Cycles'!$C$23*'Lease Cycles'!$BA$23/12,IF(CN$6&gt;='Lease Cycles'!$AX$23,'Lease Cycles'!$C$23*'Lease Cycles'!$AY$23/12,IF(CN$6&gt;='Lease Cycles'!$AV$23,'Lease Cycles'!$C$23*'Lease Cycles'!$AW$23/12,IF(CN$6&gt;='Lease Cycles'!$AT$23,'Lease Cycles'!$C$23*'Lease Cycles'!$AU$23/12,'Lease Cycles'!$C$23*INDEX('Lease Cycles'!$CB$23:$CH$23,1,CN265)*(1+INDEX('Lease Cycles'!$CI$23:$CO$23,1,CN265))^INT(INT(CN266/12)/INDEX('Lease Cycles'!$CP$23:$CV$23,1,CN265))/12)))),'Lease Cycles'!$C$23*INDEX('Lease Cycles'!$CB$23:$CH$23,1,CN265)*(1+INDEX('Lease Cycles'!$CI$23:$CO$23,1,CN265))^INT(INT(CN266/12)/INDEX('Lease Cycles'!$CP$23:$CV$23,1,CN265))/12),IF(INDEX('Lease Cycles'!$EF$23:$EL$23,1,CN265)=1,IF(AND('Lease Cycles'!$AZ$23&gt;=INDEX('Lease Cycles'!$BG$23:$BM$23,1,CN265),'Lease Cycles'!$AZ$23&lt;=CN$6),'Lease Cycles'!$C$23*'Lease Cycles'!$BA$23/12,IF(AND('Lease Cycles'!$AX$23&gt;=INDEX('Lease Cycles'!$BG$23:$BM$23,1,CN265),'Lease Cycles'!$AX$23&lt;=CN$6),'Lease Cycles'!$C$23*'Lease Cycles'!$AY$23/12,IF(AND('Lease Cycles'!$AV$23&gt;=INDEX('Lease Cycles'!$BG$23:$BM$23,1,CN265),'Lease Cycles'!$AV$23&lt;=CN$6),'Lease Cycles'!$C$23*'Lease Cycles'!$AW$23/12,IF(AND('Lease Cycles'!$AT$23&gt;=INDEX('Lease Cycles'!$BG$23:$BM$23,1,CN265),'Lease Cycles'!$AT$23&lt;=CN$6),'Lease Cycles'!$C$23*'Lease Cycles'!$AU$23/12,'Lease Cycles'!$C$23*INDEX('Lease Cycles'!$CB$23:$CH$23,1,CN265)*(1+INDEX('Lease Cycles'!$CI$23:$CO$23,1,CN265))^INT(INT(CN266/12)/INDEX('Lease Cycles'!$CP$23:$CV$23,1,CN265))/12)))),'Lease Cycles'!$C$23*INDEX('Lease Cycles'!$CB$23:$CH$23,1,CN265)*(1+INDEX('Lease Cycles'!$CI$23:$CO$23,1,CN265))^INT(INT(CN266/12)/INDEX('Lease Cycles'!$CP$23:$CV$23,1,CN265))/12))),IF('Lease Cycles'!$N$23=1,'Lease Cycles'!$C$23*'Lease Cycles'!$E$23*INDEX('Lease Cycles'!$HE$23:$HK$23,1,CN265)*(1+INDEX('Lease Cycles'!$GQ$23:$GW$23,1,CN265))^INT(INT((CN$6-INDEX('Lease Cycles'!$GJ$23:$GP$23,1,CN265))/12)/INDEX('Lease Cycles'!$GX$23:$HD$23,1,CN265))/12,0)))</f>
        <v>0</v>
      </c>
      <c r="CO268" s="28">
        <f>IF(CO265=0,IF('Lease Cycles'!$F$23&gt;0,'Lease Cycles'!$C$23*'Lease Cycles'!$E$23/12,0),IF(CO267=1,IF('Lease Cycles'!$AT$23&gt;=9999,'Lease Cycles'!$C$23*INDEX('Lease Cycles'!$CB$23:$CH$23,1,CO265)*(1+INDEX('Lease Cycles'!$CI$23:$CO$23,1,CO265))^INT(INT(CO266/12)/INDEX('Lease Cycles'!$CP$23:$CV$23,1,CO265))/12,IF(CO265=1,IF(CO266&gt;=INDEX('Lease Cycles'!$DK$23:$DQ$23,1,CO265),IF(CO$6&gt;='Lease Cycles'!$AZ$23,'Lease Cycles'!$C$23*'Lease Cycles'!$BA$23/12,IF(CO$6&gt;='Lease Cycles'!$AX$23,'Lease Cycles'!$C$23*'Lease Cycles'!$AY$23/12,IF(CO$6&gt;='Lease Cycles'!$AV$23,'Lease Cycles'!$C$23*'Lease Cycles'!$AW$23/12,IF(CO$6&gt;='Lease Cycles'!$AT$23,'Lease Cycles'!$C$23*'Lease Cycles'!$AU$23/12,'Lease Cycles'!$C$23*INDEX('Lease Cycles'!$CB$23:$CH$23,1,CO265)*(1+INDEX('Lease Cycles'!$CI$23:$CO$23,1,CO265))^INT(INT(CO266/12)/INDEX('Lease Cycles'!$CP$23:$CV$23,1,CO265))/12)))),'Lease Cycles'!$C$23*INDEX('Lease Cycles'!$CB$23:$CH$23,1,CO265)*(1+INDEX('Lease Cycles'!$CI$23:$CO$23,1,CO265))^INT(INT(CO266/12)/INDEX('Lease Cycles'!$CP$23:$CV$23,1,CO265))/12),IF(INDEX('Lease Cycles'!$EF$23:$EL$23,1,CO265)=1,IF(AND('Lease Cycles'!$AZ$23&gt;=INDEX('Lease Cycles'!$BG$23:$BM$23,1,CO265),'Lease Cycles'!$AZ$23&lt;=CO$6),'Lease Cycles'!$C$23*'Lease Cycles'!$BA$23/12,IF(AND('Lease Cycles'!$AX$23&gt;=INDEX('Lease Cycles'!$BG$23:$BM$23,1,CO265),'Lease Cycles'!$AX$23&lt;=CO$6),'Lease Cycles'!$C$23*'Lease Cycles'!$AY$23/12,IF(AND('Lease Cycles'!$AV$23&gt;=INDEX('Lease Cycles'!$BG$23:$BM$23,1,CO265),'Lease Cycles'!$AV$23&lt;=CO$6),'Lease Cycles'!$C$23*'Lease Cycles'!$AW$23/12,IF(AND('Lease Cycles'!$AT$23&gt;=INDEX('Lease Cycles'!$BG$23:$BM$23,1,CO265),'Lease Cycles'!$AT$23&lt;=CO$6),'Lease Cycles'!$C$23*'Lease Cycles'!$AU$23/12,'Lease Cycles'!$C$23*INDEX('Lease Cycles'!$CB$23:$CH$23,1,CO265)*(1+INDEX('Lease Cycles'!$CI$23:$CO$23,1,CO265))^INT(INT(CO266/12)/INDEX('Lease Cycles'!$CP$23:$CV$23,1,CO265))/12)))),'Lease Cycles'!$C$23*INDEX('Lease Cycles'!$CB$23:$CH$23,1,CO265)*(1+INDEX('Lease Cycles'!$CI$23:$CO$23,1,CO265))^INT(INT(CO266/12)/INDEX('Lease Cycles'!$CP$23:$CV$23,1,CO265))/12))),IF('Lease Cycles'!$N$23=1,'Lease Cycles'!$C$23*'Lease Cycles'!$E$23*INDEX('Lease Cycles'!$HE$23:$HK$23,1,CO265)*(1+INDEX('Lease Cycles'!$GQ$23:$GW$23,1,CO265))^INT(INT((CO$6-INDEX('Lease Cycles'!$GJ$23:$GP$23,1,CO265))/12)/INDEX('Lease Cycles'!$GX$23:$HD$23,1,CO265))/12,0)))</f>
        <v>0</v>
      </c>
      <c r="CP268" s="28">
        <f>IF(CP265=0,IF('Lease Cycles'!$F$23&gt;0,'Lease Cycles'!$C$23*'Lease Cycles'!$E$23/12,0),IF(CP267=1,IF('Lease Cycles'!$AT$23&gt;=9999,'Lease Cycles'!$C$23*INDEX('Lease Cycles'!$CB$23:$CH$23,1,CP265)*(1+INDEX('Lease Cycles'!$CI$23:$CO$23,1,CP265))^INT(INT(CP266/12)/INDEX('Lease Cycles'!$CP$23:$CV$23,1,CP265))/12,IF(CP265=1,IF(CP266&gt;=INDEX('Lease Cycles'!$DK$23:$DQ$23,1,CP265),IF(CP$6&gt;='Lease Cycles'!$AZ$23,'Lease Cycles'!$C$23*'Lease Cycles'!$BA$23/12,IF(CP$6&gt;='Lease Cycles'!$AX$23,'Lease Cycles'!$C$23*'Lease Cycles'!$AY$23/12,IF(CP$6&gt;='Lease Cycles'!$AV$23,'Lease Cycles'!$C$23*'Lease Cycles'!$AW$23/12,IF(CP$6&gt;='Lease Cycles'!$AT$23,'Lease Cycles'!$C$23*'Lease Cycles'!$AU$23/12,'Lease Cycles'!$C$23*INDEX('Lease Cycles'!$CB$23:$CH$23,1,CP265)*(1+INDEX('Lease Cycles'!$CI$23:$CO$23,1,CP265))^INT(INT(CP266/12)/INDEX('Lease Cycles'!$CP$23:$CV$23,1,CP265))/12)))),'Lease Cycles'!$C$23*INDEX('Lease Cycles'!$CB$23:$CH$23,1,CP265)*(1+INDEX('Lease Cycles'!$CI$23:$CO$23,1,CP265))^INT(INT(CP266/12)/INDEX('Lease Cycles'!$CP$23:$CV$23,1,CP265))/12),IF(INDEX('Lease Cycles'!$EF$23:$EL$23,1,CP265)=1,IF(AND('Lease Cycles'!$AZ$23&gt;=INDEX('Lease Cycles'!$BG$23:$BM$23,1,CP265),'Lease Cycles'!$AZ$23&lt;=CP$6),'Lease Cycles'!$C$23*'Lease Cycles'!$BA$23/12,IF(AND('Lease Cycles'!$AX$23&gt;=INDEX('Lease Cycles'!$BG$23:$BM$23,1,CP265),'Lease Cycles'!$AX$23&lt;=CP$6),'Lease Cycles'!$C$23*'Lease Cycles'!$AY$23/12,IF(AND('Lease Cycles'!$AV$23&gt;=INDEX('Lease Cycles'!$BG$23:$BM$23,1,CP265),'Lease Cycles'!$AV$23&lt;=CP$6),'Lease Cycles'!$C$23*'Lease Cycles'!$AW$23/12,IF(AND('Lease Cycles'!$AT$23&gt;=INDEX('Lease Cycles'!$BG$23:$BM$23,1,CP265),'Lease Cycles'!$AT$23&lt;=CP$6),'Lease Cycles'!$C$23*'Lease Cycles'!$AU$23/12,'Lease Cycles'!$C$23*INDEX('Lease Cycles'!$CB$23:$CH$23,1,CP265)*(1+INDEX('Lease Cycles'!$CI$23:$CO$23,1,CP265))^INT(INT(CP266/12)/INDEX('Lease Cycles'!$CP$23:$CV$23,1,CP265))/12)))),'Lease Cycles'!$C$23*INDEX('Lease Cycles'!$CB$23:$CH$23,1,CP265)*(1+INDEX('Lease Cycles'!$CI$23:$CO$23,1,CP265))^INT(INT(CP266/12)/INDEX('Lease Cycles'!$CP$23:$CV$23,1,CP265))/12))),IF('Lease Cycles'!$N$23=1,'Lease Cycles'!$C$23*'Lease Cycles'!$E$23*INDEX('Lease Cycles'!$HE$23:$HK$23,1,CP265)*(1+INDEX('Lease Cycles'!$GQ$23:$GW$23,1,CP265))^INT(INT((CP$6-INDEX('Lease Cycles'!$GJ$23:$GP$23,1,CP265))/12)/INDEX('Lease Cycles'!$GX$23:$HD$23,1,CP265))/12,0)))</f>
        <v>0</v>
      </c>
      <c r="CQ268" s="28">
        <f>IF(CQ265=0,IF('Lease Cycles'!$F$23&gt;0,'Lease Cycles'!$C$23*'Lease Cycles'!$E$23/12,0),IF(CQ267=1,IF('Lease Cycles'!$AT$23&gt;=9999,'Lease Cycles'!$C$23*INDEX('Lease Cycles'!$CB$23:$CH$23,1,CQ265)*(1+INDEX('Lease Cycles'!$CI$23:$CO$23,1,CQ265))^INT(INT(CQ266/12)/INDEX('Lease Cycles'!$CP$23:$CV$23,1,CQ265))/12,IF(CQ265=1,IF(CQ266&gt;=INDEX('Lease Cycles'!$DK$23:$DQ$23,1,CQ265),IF(CQ$6&gt;='Lease Cycles'!$AZ$23,'Lease Cycles'!$C$23*'Lease Cycles'!$BA$23/12,IF(CQ$6&gt;='Lease Cycles'!$AX$23,'Lease Cycles'!$C$23*'Lease Cycles'!$AY$23/12,IF(CQ$6&gt;='Lease Cycles'!$AV$23,'Lease Cycles'!$C$23*'Lease Cycles'!$AW$23/12,IF(CQ$6&gt;='Lease Cycles'!$AT$23,'Lease Cycles'!$C$23*'Lease Cycles'!$AU$23/12,'Lease Cycles'!$C$23*INDEX('Lease Cycles'!$CB$23:$CH$23,1,CQ265)*(1+INDEX('Lease Cycles'!$CI$23:$CO$23,1,CQ265))^INT(INT(CQ266/12)/INDEX('Lease Cycles'!$CP$23:$CV$23,1,CQ265))/12)))),'Lease Cycles'!$C$23*INDEX('Lease Cycles'!$CB$23:$CH$23,1,CQ265)*(1+INDEX('Lease Cycles'!$CI$23:$CO$23,1,CQ265))^INT(INT(CQ266/12)/INDEX('Lease Cycles'!$CP$23:$CV$23,1,CQ265))/12),IF(INDEX('Lease Cycles'!$EF$23:$EL$23,1,CQ265)=1,IF(AND('Lease Cycles'!$AZ$23&gt;=INDEX('Lease Cycles'!$BG$23:$BM$23,1,CQ265),'Lease Cycles'!$AZ$23&lt;=CQ$6),'Lease Cycles'!$C$23*'Lease Cycles'!$BA$23/12,IF(AND('Lease Cycles'!$AX$23&gt;=INDEX('Lease Cycles'!$BG$23:$BM$23,1,CQ265),'Lease Cycles'!$AX$23&lt;=CQ$6),'Lease Cycles'!$C$23*'Lease Cycles'!$AY$23/12,IF(AND('Lease Cycles'!$AV$23&gt;=INDEX('Lease Cycles'!$BG$23:$BM$23,1,CQ265),'Lease Cycles'!$AV$23&lt;=CQ$6),'Lease Cycles'!$C$23*'Lease Cycles'!$AW$23/12,IF(AND('Lease Cycles'!$AT$23&gt;=INDEX('Lease Cycles'!$BG$23:$BM$23,1,CQ265),'Lease Cycles'!$AT$23&lt;=CQ$6),'Lease Cycles'!$C$23*'Lease Cycles'!$AU$23/12,'Lease Cycles'!$C$23*INDEX('Lease Cycles'!$CB$23:$CH$23,1,CQ265)*(1+INDEX('Lease Cycles'!$CI$23:$CO$23,1,CQ265))^INT(INT(CQ266/12)/INDEX('Lease Cycles'!$CP$23:$CV$23,1,CQ265))/12)))),'Lease Cycles'!$C$23*INDEX('Lease Cycles'!$CB$23:$CH$23,1,CQ265)*(1+INDEX('Lease Cycles'!$CI$23:$CO$23,1,CQ265))^INT(INT(CQ266/12)/INDEX('Lease Cycles'!$CP$23:$CV$23,1,CQ265))/12))),IF('Lease Cycles'!$N$23=1,'Lease Cycles'!$C$23*'Lease Cycles'!$E$23*INDEX('Lease Cycles'!$HE$23:$HK$23,1,CQ265)*(1+INDEX('Lease Cycles'!$GQ$23:$GW$23,1,CQ265))^INT(INT((CQ$6-INDEX('Lease Cycles'!$GJ$23:$GP$23,1,CQ265))/12)/INDEX('Lease Cycles'!$GX$23:$HD$23,1,CQ265))/12,0)))</f>
        <v>0</v>
      </c>
      <c r="CR268" s="28">
        <f>IF(CR265=0,IF('Lease Cycles'!$F$23&gt;0,'Lease Cycles'!$C$23*'Lease Cycles'!$E$23/12,0),IF(CR267=1,IF('Lease Cycles'!$AT$23&gt;=9999,'Lease Cycles'!$C$23*INDEX('Lease Cycles'!$CB$23:$CH$23,1,CR265)*(1+INDEX('Lease Cycles'!$CI$23:$CO$23,1,CR265))^INT(INT(CR266/12)/INDEX('Lease Cycles'!$CP$23:$CV$23,1,CR265))/12,IF(CR265=1,IF(CR266&gt;=INDEX('Lease Cycles'!$DK$23:$DQ$23,1,CR265),IF(CR$6&gt;='Lease Cycles'!$AZ$23,'Lease Cycles'!$C$23*'Lease Cycles'!$BA$23/12,IF(CR$6&gt;='Lease Cycles'!$AX$23,'Lease Cycles'!$C$23*'Lease Cycles'!$AY$23/12,IF(CR$6&gt;='Lease Cycles'!$AV$23,'Lease Cycles'!$C$23*'Lease Cycles'!$AW$23/12,IF(CR$6&gt;='Lease Cycles'!$AT$23,'Lease Cycles'!$C$23*'Lease Cycles'!$AU$23/12,'Lease Cycles'!$C$23*INDEX('Lease Cycles'!$CB$23:$CH$23,1,CR265)*(1+INDEX('Lease Cycles'!$CI$23:$CO$23,1,CR265))^INT(INT(CR266/12)/INDEX('Lease Cycles'!$CP$23:$CV$23,1,CR265))/12)))),'Lease Cycles'!$C$23*INDEX('Lease Cycles'!$CB$23:$CH$23,1,CR265)*(1+INDEX('Lease Cycles'!$CI$23:$CO$23,1,CR265))^INT(INT(CR266/12)/INDEX('Lease Cycles'!$CP$23:$CV$23,1,CR265))/12),IF(INDEX('Lease Cycles'!$EF$23:$EL$23,1,CR265)=1,IF(AND('Lease Cycles'!$AZ$23&gt;=INDEX('Lease Cycles'!$BG$23:$BM$23,1,CR265),'Lease Cycles'!$AZ$23&lt;=CR$6),'Lease Cycles'!$C$23*'Lease Cycles'!$BA$23/12,IF(AND('Lease Cycles'!$AX$23&gt;=INDEX('Lease Cycles'!$BG$23:$BM$23,1,CR265),'Lease Cycles'!$AX$23&lt;=CR$6),'Lease Cycles'!$C$23*'Lease Cycles'!$AY$23/12,IF(AND('Lease Cycles'!$AV$23&gt;=INDEX('Lease Cycles'!$BG$23:$BM$23,1,CR265),'Lease Cycles'!$AV$23&lt;=CR$6),'Lease Cycles'!$C$23*'Lease Cycles'!$AW$23/12,IF(AND('Lease Cycles'!$AT$23&gt;=INDEX('Lease Cycles'!$BG$23:$BM$23,1,CR265),'Lease Cycles'!$AT$23&lt;=CR$6),'Lease Cycles'!$C$23*'Lease Cycles'!$AU$23/12,'Lease Cycles'!$C$23*INDEX('Lease Cycles'!$CB$23:$CH$23,1,CR265)*(1+INDEX('Lease Cycles'!$CI$23:$CO$23,1,CR265))^INT(INT(CR266/12)/INDEX('Lease Cycles'!$CP$23:$CV$23,1,CR265))/12)))),'Lease Cycles'!$C$23*INDEX('Lease Cycles'!$CB$23:$CH$23,1,CR265)*(1+INDEX('Lease Cycles'!$CI$23:$CO$23,1,CR265))^INT(INT(CR266/12)/INDEX('Lease Cycles'!$CP$23:$CV$23,1,CR265))/12))),IF('Lease Cycles'!$N$23=1,'Lease Cycles'!$C$23*'Lease Cycles'!$E$23*INDEX('Lease Cycles'!$HE$23:$HK$23,1,CR265)*(1+INDEX('Lease Cycles'!$GQ$23:$GW$23,1,CR265))^INT(INT((CR$6-INDEX('Lease Cycles'!$GJ$23:$GP$23,1,CR265))/12)/INDEX('Lease Cycles'!$GX$23:$HD$23,1,CR265))/12,0)))</f>
        <v>0</v>
      </c>
      <c r="CS268" s="28">
        <f>IF(CS265=0,IF('Lease Cycles'!$F$23&gt;0,'Lease Cycles'!$C$23*'Lease Cycles'!$E$23/12,0),IF(CS267=1,IF('Lease Cycles'!$AT$23&gt;=9999,'Lease Cycles'!$C$23*INDEX('Lease Cycles'!$CB$23:$CH$23,1,CS265)*(1+INDEX('Lease Cycles'!$CI$23:$CO$23,1,CS265))^INT(INT(CS266/12)/INDEX('Lease Cycles'!$CP$23:$CV$23,1,CS265))/12,IF(CS265=1,IF(CS266&gt;=INDEX('Lease Cycles'!$DK$23:$DQ$23,1,CS265),IF(CS$6&gt;='Lease Cycles'!$AZ$23,'Lease Cycles'!$C$23*'Lease Cycles'!$BA$23/12,IF(CS$6&gt;='Lease Cycles'!$AX$23,'Lease Cycles'!$C$23*'Lease Cycles'!$AY$23/12,IF(CS$6&gt;='Lease Cycles'!$AV$23,'Lease Cycles'!$C$23*'Lease Cycles'!$AW$23/12,IF(CS$6&gt;='Lease Cycles'!$AT$23,'Lease Cycles'!$C$23*'Lease Cycles'!$AU$23/12,'Lease Cycles'!$C$23*INDEX('Lease Cycles'!$CB$23:$CH$23,1,CS265)*(1+INDEX('Lease Cycles'!$CI$23:$CO$23,1,CS265))^INT(INT(CS266/12)/INDEX('Lease Cycles'!$CP$23:$CV$23,1,CS265))/12)))),'Lease Cycles'!$C$23*INDEX('Lease Cycles'!$CB$23:$CH$23,1,CS265)*(1+INDEX('Lease Cycles'!$CI$23:$CO$23,1,CS265))^INT(INT(CS266/12)/INDEX('Lease Cycles'!$CP$23:$CV$23,1,CS265))/12),IF(INDEX('Lease Cycles'!$EF$23:$EL$23,1,CS265)=1,IF(AND('Lease Cycles'!$AZ$23&gt;=INDEX('Lease Cycles'!$BG$23:$BM$23,1,CS265),'Lease Cycles'!$AZ$23&lt;=CS$6),'Lease Cycles'!$C$23*'Lease Cycles'!$BA$23/12,IF(AND('Lease Cycles'!$AX$23&gt;=INDEX('Lease Cycles'!$BG$23:$BM$23,1,CS265),'Lease Cycles'!$AX$23&lt;=CS$6),'Lease Cycles'!$C$23*'Lease Cycles'!$AY$23/12,IF(AND('Lease Cycles'!$AV$23&gt;=INDEX('Lease Cycles'!$BG$23:$BM$23,1,CS265),'Lease Cycles'!$AV$23&lt;=CS$6),'Lease Cycles'!$C$23*'Lease Cycles'!$AW$23/12,IF(AND('Lease Cycles'!$AT$23&gt;=INDEX('Lease Cycles'!$BG$23:$BM$23,1,CS265),'Lease Cycles'!$AT$23&lt;=CS$6),'Lease Cycles'!$C$23*'Lease Cycles'!$AU$23/12,'Lease Cycles'!$C$23*INDEX('Lease Cycles'!$CB$23:$CH$23,1,CS265)*(1+INDEX('Lease Cycles'!$CI$23:$CO$23,1,CS265))^INT(INT(CS266/12)/INDEX('Lease Cycles'!$CP$23:$CV$23,1,CS265))/12)))),'Lease Cycles'!$C$23*INDEX('Lease Cycles'!$CB$23:$CH$23,1,CS265)*(1+INDEX('Lease Cycles'!$CI$23:$CO$23,1,CS265))^INT(INT(CS266/12)/INDEX('Lease Cycles'!$CP$23:$CV$23,1,CS265))/12))),IF('Lease Cycles'!$N$23=1,'Lease Cycles'!$C$23*'Lease Cycles'!$E$23*INDEX('Lease Cycles'!$HE$23:$HK$23,1,CS265)*(1+INDEX('Lease Cycles'!$GQ$23:$GW$23,1,CS265))^INT(INT((CS$6-INDEX('Lease Cycles'!$GJ$23:$GP$23,1,CS265))/12)/INDEX('Lease Cycles'!$GX$23:$HD$23,1,CS265))/12,0)))</f>
        <v>0</v>
      </c>
      <c r="CT268" s="28">
        <f>IF(CT265=0,IF('Lease Cycles'!$F$23&gt;0,'Lease Cycles'!$C$23*'Lease Cycles'!$E$23/12,0),IF(CT267=1,IF('Lease Cycles'!$AT$23&gt;=9999,'Lease Cycles'!$C$23*INDEX('Lease Cycles'!$CB$23:$CH$23,1,CT265)*(1+INDEX('Lease Cycles'!$CI$23:$CO$23,1,CT265))^INT(INT(CT266/12)/INDEX('Lease Cycles'!$CP$23:$CV$23,1,CT265))/12,IF(CT265=1,IF(CT266&gt;=INDEX('Lease Cycles'!$DK$23:$DQ$23,1,CT265),IF(CT$6&gt;='Lease Cycles'!$AZ$23,'Lease Cycles'!$C$23*'Lease Cycles'!$BA$23/12,IF(CT$6&gt;='Lease Cycles'!$AX$23,'Lease Cycles'!$C$23*'Lease Cycles'!$AY$23/12,IF(CT$6&gt;='Lease Cycles'!$AV$23,'Lease Cycles'!$C$23*'Lease Cycles'!$AW$23/12,IF(CT$6&gt;='Lease Cycles'!$AT$23,'Lease Cycles'!$C$23*'Lease Cycles'!$AU$23/12,'Lease Cycles'!$C$23*INDEX('Lease Cycles'!$CB$23:$CH$23,1,CT265)*(1+INDEX('Lease Cycles'!$CI$23:$CO$23,1,CT265))^INT(INT(CT266/12)/INDEX('Lease Cycles'!$CP$23:$CV$23,1,CT265))/12)))),'Lease Cycles'!$C$23*INDEX('Lease Cycles'!$CB$23:$CH$23,1,CT265)*(1+INDEX('Lease Cycles'!$CI$23:$CO$23,1,CT265))^INT(INT(CT266/12)/INDEX('Lease Cycles'!$CP$23:$CV$23,1,CT265))/12),IF(INDEX('Lease Cycles'!$EF$23:$EL$23,1,CT265)=1,IF(AND('Lease Cycles'!$AZ$23&gt;=INDEX('Lease Cycles'!$BG$23:$BM$23,1,CT265),'Lease Cycles'!$AZ$23&lt;=CT$6),'Lease Cycles'!$C$23*'Lease Cycles'!$BA$23/12,IF(AND('Lease Cycles'!$AX$23&gt;=INDEX('Lease Cycles'!$BG$23:$BM$23,1,CT265),'Lease Cycles'!$AX$23&lt;=CT$6),'Lease Cycles'!$C$23*'Lease Cycles'!$AY$23/12,IF(AND('Lease Cycles'!$AV$23&gt;=INDEX('Lease Cycles'!$BG$23:$BM$23,1,CT265),'Lease Cycles'!$AV$23&lt;=CT$6),'Lease Cycles'!$C$23*'Lease Cycles'!$AW$23/12,IF(AND('Lease Cycles'!$AT$23&gt;=INDEX('Lease Cycles'!$BG$23:$BM$23,1,CT265),'Lease Cycles'!$AT$23&lt;=CT$6),'Lease Cycles'!$C$23*'Lease Cycles'!$AU$23/12,'Lease Cycles'!$C$23*INDEX('Lease Cycles'!$CB$23:$CH$23,1,CT265)*(1+INDEX('Lease Cycles'!$CI$23:$CO$23,1,CT265))^INT(INT(CT266/12)/INDEX('Lease Cycles'!$CP$23:$CV$23,1,CT265))/12)))),'Lease Cycles'!$C$23*INDEX('Lease Cycles'!$CB$23:$CH$23,1,CT265)*(1+INDEX('Lease Cycles'!$CI$23:$CO$23,1,CT265))^INT(INT(CT266/12)/INDEX('Lease Cycles'!$CP$23:$CV$23,1,CT265))/12))),IF('Lease Cycles'!$N$23=1,'Lease Cycles'!$C$23*'Lease Cycles'!$E$23*INDEX('Lease Cycles'!$HE$23:$HK$23,1,CT265)*(1+INDEX('Lease Cycles'!$GQ$23:$GW$23,1,CT265))^INT(INT((CT$6-INDEX('Lease Cycles'!$GJ$23:$GP$23,1,CT265))/12)/INDEX('Lease Cycles'!$GX$23:$HD$23,1,CT265))/12,0)))</f>
        <v>0</v>
      </c>
      <c r="CU268" s="28">
        <f>IF(CU265=0,IF('Lease Cycles'!$F$23&gt;0,'Lease Cycles'!$C$23*'Lease Cycles'!$E$23/12,0),IF(CU267=1,IF('Lease Cycles'!$AT$23&gt;=9999,'Lease Cycles'!$C$23*INDEX('Lease Cycles'!$CB$23:$CH$23,1,CU265)*(1+INDEX('Lease Cycles'!$CI$23:$CO$23,1,CU265))^INT(INT(CU266/12)/INDEX('Lease Cycles'!$CP$23:$CV$23,1,CU265))/12,IF(CU265=1,IF(CU266&gt;=INDEX('Lease Cycles'!$DK$23:$DQ$23,1,CU265),IF(CU$6&gt;='Lease Cycles'!$AZ$23,'Lease Cycles'!$C$23*'Lease Cycles'!$BA$23/12,IF(CU$6&gt;='Lease Cycles'!$AX$23,'Lease Cycles'!$C$23*'Lease Cycles'!$AY$23/12,IF(CU$6&gt;='Lease Cycles'!$AV$23,'Lease Cycles'!$C$23*'Lease Cycles'!$AW$23/12,IF(CU$6&gt;='Lease Cycles'!$AT$23,'Lease Cycles'!$C$23*'Lease Cycles'!$AU$23/12,'Lease Cycles'!$C$23*INDEX('Lease Cycles'!$CB$23:$CH$23,1,CU265)*(1+INDEX('Lease Cycles'!$CI$23:$CO$23,1,CU265))^INT(INT(CU266/12)/INDEX('Lease Cycles'!$CP$23:$CV$23,1,CU265))/12)))),'Lease Cycles'!$C$23*INDEX('Lease Cycles'!$CB$23:$CH$23,1,CU265)*(1+INDEX('Lease Cycles'!$CI$23:$CO$23,1,CU265))^INT(INT(CU266/12)/INDEX('Lease Cycles'!$CP$23:$CV$23,1,CU265))/12),IF(INDEX('Lease Cycles'!$EF$23:$EL$23,1,CU265)=1,IF(AND('Lease Cycles'!$AZ$23&gt;=INDEX('Lease Cycles'!$BG$23:$BM$23,1,CU265),'Lease Cycles'!$AZ$23&lt;=CU$6),'Lease Cycles'!$C$23*'Lease Cycles'!$BA$23/12,IF(AND('Lease Cycles'!$AX$23&gt;=INDEX('Lease Cycles'!$BG$23:$BM$23,1,CU265),'Lease Cycles'!$AX$23&lt;=CU$6),'Lease Cycles'!$C$23*'Lease Cycles'!$AY$23/12,IF(AND('Lease Cycles'!$AV$23&gt;=INDEX('Lease Cycles'!$BG$23:$BM$23,1,CU265),'Lease Cycles'!$AV$23&lt;=CU$6),'Lease Cycles'!$C$23*'Lease Cycles'!$AW$23/12,IF(AND('Lease Cycles'!$AT$23&gt;=INDEX('Lease Cycles'!$BG$23:$BM$23,1,CU265),'Lease Cycles'!$AT$23&lt;=CU$6),'Lease Cycles'!$C$23*'Lease Cycles'!$AU$23/12,'Lease Cycles'!$C$23*INDEX('Lease Cycles'!$CB$23:$CH$23,1,CU265)*(1+INDEX('Lease Cycles'!$CI$23:$CO$23,1,CU265))^INT(INT(CU266/12)/INDEX('Lease Cycles'!$CP$23:$CV$23,1,CU265))/12)))),'Lease Cycles'!$C$23*INDEX('Lease Cycles'!$CB$23:$CH$23,1,CU265)*(1+INDEX('Lease Cycles'!$CI$23:$CO$23,1,CU265))^INT(INT(CU266/12)/INDEX('Lease Cycles'!$CP$23:$CV$23,1,CU265))/12))),IF('Lease Cycles'!$N$23=1,'Lease Cycles'!$C$23*'Lease Cycles'!$E$23*INDEX('Lease Cycles'!$HE$23:$HK$23,1,CU265)*(1+INDEX('Lease Cycles'!$GQ$23:$GW$23,1,CU265))^INT(INT((CU$6-INDEX('Lease Cycles'!$GJ$23:$GP$23,1,CU265))/12)/INDEX('Lease Cycles'!$GX$23:$HD$23,1,CU265))/12,0)))</f>
        <v>0</v>
      </c>
      <c r="CV268" s="28">
        <f>IF(CV265=0,IF('Lease Cycles'!$F$23&gt;0,'Lease Cycles'!$C$23*'Lease Cycles'!$E$23/12,0),IF(CV267=1,IF('Lease Cycles'!$AT$23&gt;=9999,'Lease Cycles'!$C$23*INDEX('Lease Cycles'!$CB$23:$CH$23,1,CV265)*(1+INDEX('Lease Cycles'!$CI$23:$CO$23,1,CV265))^INT(INT(CV266/12)/INDEX('Lease Cycles'!$CP$23:$CV$23,1,CV265))/12,IF(CV265=1,IF(CV266&gt;=INDEX('Lease Cycles'!$DK$23:$DQ$23,1,CV265),IF(CV$6&gt;='Lease Cycles'!$AZ$23,'Lease Cycles'!$C$23*'Lease Cycles'!$BA$23/12,IF(CV$6&gt;='Lease Cycles'!$AX$23,'Lease Cycles'!$C$23*'Lease Cycles'!$AY$23/12,IF(CV$6&gt;='Lease Cycles'!$AV$23,'Lease Cycles'!$C$23*'Lease Cycles'!$AW$23/12,IF(CV$6&gt;='Lease Cycles'!$AT$23,'Lease Cycles'!$C$23*'Lease Cycles'!$AU$23/12,'Lease Cycles'!$C$23*INDEX('Lease Cycles'!$CB$23:$CH$23,1,CV265)*(1+INDEX('Lease Cycles'!$CI$23:$CO$23,1,CV265))^INT(INT(CV266/12)/INDEX('Lease Cycles'!$CP$23:$CV$23,1,CV265))/12)))),'Lease Cycles'!$C$23*INDEX('Lease Cycles'!$CB$23:$CH$23,1,CV265)*(1+INDEX('Lease Cycles'!$CI$23:$CO$23,1,CV265))^INT(INT(CV266/12)/INDEX('Lease Cycles'!$CP$23:$CV$23,1,CV265))/12),IF(INDEX('Lease Cycles'!$EF$23:$EL$23,1,CV265)=1,IF(AND('Lease Cycles'!$AZ$23&gt;=INDEX('Lease Cycles'!$BG$23:$BM$23,1,CV265),'Lease Cycles'!$AZ$23&lt;=CV$6),'Lease Cycles'!$C$23*'Lease Cycles'!$BA$23/12,IF(AND('Lease Cycles'!$AX$23&gt;=INDEX('Lease Cycles'!$BG$23:$BM$23,1,CV265),'Lease Cycles'!$AX$23&lt;=CV$6),'Lease Cycles'!$C$23*'Lease Cycles'!$AY$23/12,IF(AND('Lease Cycles'!$AV$23&gt;=INDEX('Lease Cycles'!$BG$23:$BM$23,1,CV265),'Lease Cycles'!$AV$23&lt;=CV$6),'Lease Cycles'!$C$23*'Lease Cycles'!$AW$23/12,IF(AND('Lease Cycles'!$AT$23&gt;=INDEX('Lease Cycles'!$BG$23:$BM$23,1,CV265),'Lease Cycles'!$AT$23&lt;=CV$6),'Lease Cycles'!$C$23*'Lease Cycles'!$AU$23/12,'Lease Cycles'!$C$23*INDEX('Lease Cycles'!$CB$23:$CH$23,1,CV265)*(1+INDEX('Lease Cycles'!$CI$23:$CO$23,1,CV265))^INT(INT(CV266/12)/INDEX('Lease Cycles'!$CP$23:$CV$23,1,CV265))/12)))),'Lease Cycles'!$C$23*INDEX('Lease Cycles'!$CB$23:$CH$23,1,CV265)*(1+INDEX('Lease Cycles'!$CI$23:$CO$23,1,CV265))^INT(INT(CV266/12)/INDEX('Lease Cycles'!$CP$23:$CV$23,1,CV265))/12))),IF('Lease Cycles'!$N$23=1,'Lease Cycles'!$C$23*'Lease Cycles'!$E$23*INDEX('Lease Cycles'!$HE$23:$HK$23,1,CV265)*(1+INDEX('Lease Cycles'!$GQ$23:$GW$23,1,CV265))^INT(INT((CV$6-INDEX('Lease Cycles'!$GJ$23:$GP$23,1,CV265))/12)/INDEX('Lease Cycles'!$GX$23:$HD$23,1,CV265))/12,0)))</f>
        <v>0</v>
      </c>
      <c r="CW268" s="28">
        <f>IF(CW265=0,IF('Lease Cycles'!$F$23&gt;0,'Lease Cycles'!$C$23*'Lease Cycles'!$E$23/12,0),IF(CW267=1,IF('Lease Cycles'!$AT$23&gt;=9999,'Lease Cycles'!$C$23*INDEX('Lease Cycles'!$CB$23:$CH$23,1,CW265)*(1+INDEX('Lease Cycles'!$CI$23:$CO$23,1,CW265))^INT(INT(CW266/12)/INDEX('Lease Cycles'!$CP$23:$CV$23,1,CW265))/12,IF(CW265=1,IF(CW266&gt;=INDEX('Lease Cycles'!$DK$23:$DQ$23,1,CW265),IF(CW$6&gt;='Lease Cycles'!$AZ$23,'Lease Cycles'!$C$23*'Lease Cycles'!$BA$23/12,IF(CW$6&gt;='Lease Cycles'!$AX$23,'Lease Cycles'!$C$23*'Lease Cycles'!$AY$23/12,IF(CW$6&gt;='Lease Cycles'!$AV$23,'Lease Cycles'!$C$23*'Lease Cycles'!$AW$23/12,IF(CW$6&gt;='Lease Cycles'!$AT$23,'Lease Cycles'!$C$23*'Lease Cycles'!$AU$23/12,'Lease Cycles'!$C$23*INDEX('Lease Cycles'!$CB$23:$CH$23,1,CW265)*(1+INDEX('Lease Cycles'!$CI$23:$CO$23,1,CW265))^INT(INT(CW266/12)/INDEX('Lease Cycles'!$CP$23:$CV$23,1,CW265))/12)))),'Lease Cycles'!$C$23*INDEX('Lease Cycles'!$CB$23:$CH$23,1,CW265)*(1+INDEX('Lease Cycles'!$CI$23:$CO$23,1,CW265))^INT(INT(CW266/12)/INDEX('Lease Cycles'!$CP$23:$CV$23,1,CW265))/12),IF(INDEX('Lease Cycles'!$EF$23:$EL$23,1,CW265)=1,IF(AND('Lease Cycles'!$AZ$23&gt;=INDEX('Lease Cycles'!$BG$23:$BM$23,1,CW265),'Lease Cycles'!$AZ$23&lt;=CW$6),'Lease Cycles'!$C$23*'Lease Cycles'!$BA$23/12,IF(AND('Lease Cycles'!$AX$23&gt;=INDEX('Lease Cycles'!$BG$23:$BM$23,1,CW265),'Lease Cycles'!$AX$23&lt;=CW$6),'Lease Cycles'!$C$23*'Lease Cycles'!$AY$23/12,IF(AND('Lease Cycles'!$AV$23&gt;=INDEX('Lease Cycles'!$BG$23:$BM$23,1,CW265),'Lease Cycles'!$AV$23&lt;=CW$6),'Lease Cycles'!$C$23*'Lease Cycles'!$AW$23/12,IF(AND('Lease Cycles'!$AT$23&gt;=INDEX('Lease Cycles'!$BG$23:$BM$23,1,CW265),'Lease Cycles'!$AT$23&lt;=CW$6),'Lease Cycles'!$C$23*'Lease Cycles'!$AU$23/12,'Lease Cycles'!$C$23*INDEX('Lease Cycles'!$CB$23:$CH$23,1,CW265)*(1+INDEX('Lease Cycles'!$CI$23:$CO$23,1,CW265))^INT(INT(CW266/12)/INDEX('Lease Cycles'!$CP$23:$CV$23,1,CW265))/12)))),'Lease Cycles'!$C$23*INDEX('Lease Cycles'!$CB$23:$CH$23,1,CW265)*(1+INDEX('Lease Cycles'!$CI$23:$CO$23,1,CW265))^INT(INT(CW266/12)/INDEX('Lease Cycles'!$CP$23:$CV$23,1,CW265))/12))),IF('Lease Cycles'!$N$23=1,'Lease Cycles'!$C$23*'Lease Cycles'!$E$23*INDEX('Lease Cycles'!$HE$23:$HK$23,1,CW265)*(1+INDEX('Lease Cycles'!$GQ$23:$GW$23,1,CW265))^INT(INT((CW$6-INDEX('Lease Cycles'!$GJ$23:$GP$23,1,CW265))/12)/INDEX('Lease Cycles'!$GX$23:$HD$23,1,CW265))/12,0)))</f>
        <v>0</v>
      </c>
      <c r="CX268" s="28">
        <f>IF(CX265=0,IF('Lease Cycles'!$F$23&gt;0,'Lease Cycles'!$C$23*'Lease Cycles'!$E$23/12,0),IF(CX267=1,IF('Lease Cycles'!$AT$23&gt;=9999,'Lease Cycles'!$C$23*INDEX('Lease Cycles'!$CB$23:$CH$23,1,CX265)*(1+INDEX('Lease Cycles'!$CI$23:$CO$23,1,CX265))^INT(INT(CX266/12)/INDEX('Lease Cycles'!$CP$23:$CV$23,1,CX265))/12,IF(CX265=1,IF(CX266&gt;=INDEX('Lease Cycles'!$DK$23:$DQ$23,1,CX265),IF(CX$6&gt;='Lease Cycles'!$AZ$23,'Lease Cycles'!$C$23*'Lease Cycles'!$BA$23/12,IF(CX$6&gt;='Lease Cycles'!$AX$23,'Lease Cycles'!$C$23*'Lease Cycles'!$AY$23/12,IF(CX$6&gt;='Lease Cycles'!$AV$23,'Lease Cycles'!$C$23*'Lease Cycles'!$AW$23/12,IF(CX$6&gt;='Lease Cycles'!$AT$23,'Lease Cycles'!$C$23*'Lease Cycles'!$AU$23/12,'Lease Cycles'!$C$23*INDEX('Lease Cycles'!$CB$23:$CH$23,1,CX265)*(1+INDEX('Lease Cycles'!$CI$23:$CO$23,1,CX265))^INT(INT(CX266/12)/INDEX('Lease Cycles'!$CP$23:$CV$23,1,CX265))/12)))),'Lease Cycles'!$C$23*INDEX('Lease Cycles'!$CB$23:$CH$23,1,CX265)*(1+INDEX('Lease Cycles'!$CI$23:$CO$23,1,CX265))^INT(INT(CX266/12)/INDEX('Lease Cycles'!$CP$23:$CV$23,1,CX265))/12),IF(INDEX('Lease Cycles'!$EF$23:$EL$23,1,CX265)=1,IF(AND('Lease Cycles'!$AZ$23&gt;=INDEX('Lease Cycles'!$BG$23:$BM$23,1,CX265),'Lease Cycles'!$AZ$23&lt;=CX$6),'Lease Cycles'!$C$23*'Lease Cycles'!$BA$23/12,IF(AND('Lease Cycles'!$AX$23&gt;=INDEX('Lease Cycles'!$BG$23:$BM$23,1,CX265),'Lease Cycles'!$AX$23&lt;=CX$6),'Lease Cycles'!$C$23*'Lease Cycles'!$AY$23/12,IF(AND('Lease Cycles'!$AV$23&gt;=INDEX('Lease Cycles'!$BG$23:$BM$23,1,CX265),'Lease Cycles'!$AV$23&lt;=CX$6),'Lease Cycles'!$C$23*'Lease Cycles'!$AW$23/12,IF(AND('Lease Cycles'!$AT$23&gt;=INDEX('Lease Cycles'!$BG$23:$BM$23,1,CX265),'Lease Cycles'!$AT$23&lt;=CX$6),'Lease Cycles'!$C$23*'Lease Cycles'!$AU$23/12,'Lease Cycles'!$C$23*INDEX('Lease Cycles'!$CB$23:$CH$23,1,CX265)*(1+INDEX('Lease Cycles'!$CI$23:$CO$23,1,CX265))^INT(INT(CX266/12)/INDEX('Lease Cycles'!$CP$23:$CV$23,1,CX265))/12)))),'Lease Cycles'!$C$23*INDEX('Lease Cycles'!$CB$23:$CH$23,1,CX265)*(1+INDEX('Lease Cycles'!$CI$23:$CO$23,1,CX265))^INT(INT(CX266/12)/INDEX('Lease Cycles'!$CP$23:$CV$23,1,CX265))/12))),IF('Lease Cycles'!$N$23=1,'Lease Cycles'!$C$23*'Lease Cycles'!$E$23*INDEX('Lease Cycles'!$HE$23:$HK$23,1,CX265)*(1+INDEX('Lease Cycles'!$GQ$23:$GW$23,1,CX265))^INT(INT((CX$6-INDEX('Lease Cycles'!$GJ$23:$GP$23,1,CX265))/12)/INDEX('Lease Cycles'!$GX$23:$HD$23,1,CX265))/12,0)))</f>
        <v>0</v>
      </c>
      <c r="CY268" s="28">
        <f>IF(CY265=0,IF('Lease Cycles'!$F$23&gt;0,'Lease Cycles'!$C$23*'Lease Cycles'!$E$23/12,0),IF(CY267=1,IF('Lease Cycles'!$AT$23&gt;=9999,'Lease Cycles'!$C$23*INDEX('Lease Cycles'!$CB$23:$CH$23,1,CY265)*(1+INDEX('Lease Cycles'!$CI$23:$CO$23,1,CY265))^INT(INT(CY266/12)/INDEX('Lease Cycles'!$CP$23:$CV$23,1,CY265))/12,IF(CY265=1,IF(CY266&gt;=INDEX('Lease Cycles'!$DK$23:$DQ$23,1,CY265),IF(CY$6&gt;='Lease Cycles'!$AZ$23,'Lease Cycles'!$C$23*'Lease Cycles'!$BA$23/12,IF(CY$6&gt;='Lease Cycles'!$AX$23,'Lease Cycles'!$C$23*'Lease Cycles'!$AY$23/12,IF(CY$6&gt;='Lease Cycles'!$AV$23,'Lease Cycles'!$C$23*'Lease Cycles'!$AW$23/12,IF(CY$6&gt;='Lease Cycles'!$AT$23,'Lease Cycles'!$C$23*'Lease Cycles'!$AU$23/12,'Lease Cycles'!$C$23*INDEX('Lease Cycles'!$CB$23:$CH$23,1,CY265)*(1+INDEX('Lease Cycles'!$CI$23:$CO$23,1,CY265))^INT(INT(CY266/12)/INDEX('Lease Cycles'!$CP$23:$CV$23,1,CY265))/12)))),'Lease Cycles'!$C$23*INDEX('Lease Cycles'!$CB$23:$CH$23,1,CY265)*(1+INDEX('Lease Cycles'!$CI$23:$CO$23,1,CY265))^INT(INT(CY266/12)/INDEX('Lease Cycles'!$CP$23:$CV$23,1,CY265))/12),IF(INDEX('Lease Cycles'!$EF$23:$EL$23,1,CY265)=1,IF(AND('Lease Cycles'!$AZ$23&gt;=INDEX('Lease Cycles'!$BG$23:$BM$23,1,CY265),'Lease Cycles'!$AZ$23&lt;=CY$6),'Lease Cycles'!$C$23*'Lease Cycles'!$BA$23/12,IF(AND('Lease Cycles'!$AX$23&gt;=INDEX('Lease Cycles'!$BG$23:$BM$23,1,CY265),'Lease Cycles'!$AX$23&lt;=CY$6),'Lease Cycles'!$C$23*'Lease Cycles'!$AY$23/12,IF(AND('Lease Cycles'!$AV$23&gt;=INDEX('Lease Cycles'!$BG$23:$BM$23,1,CY265),'Lease Cycles'!$AV$23&lt;=CY$6),'Lease Cycles'!$C$23*'Lease Cycles'!$AW$23/12,IF(AND('Lease Cycles'!$AT$23&gt;=INDEX('Lease Cycles'!$BG$23:$BM$23,1,CY265),'Lease Cycles'!$AT$23&lt;=CY$6),'Lease Cycles'!$C$23*'Lease Cycles'!$AU$23/12,'Lease Cycles'!$C$23*INDEX('Lease Cycles'!$CB$23:$CH$23,1,CY265)*(1+INDEX('Lease Cycles'!$CI$23:$CO$23,1,CY265))^INT(INT(CY266/12)/INDEX('Lease Cycles'!$CP$23:$CV$23,1,CY265))/12)))),'Lease Cycles'!$C$23*INDEX('Lease Cycles'!$CB$23:$CH$23,1,CY265)*(1+INDEX('Lease Cycles'!$CI$23:$CO$23,1,CY265))^INT(INT(CY266/12)/INDEX('Lease Cycles'!$CP$23:$CV$23,1,CY265))/12))),IF('Lease Cycles'!$N$23=1,'Lease Cycles'!$C$23*'Lease Cycles'!$E$23*INDEX('Lease Cycles'!$HE$23:$HK$23,1,CY265)*(1+INDEX('Lease Cycles'!$GQ$23:$GW$23,1,CY265))^INT(INT((CY$6-INDEX('Lease Cycles'!$GJ$23:$GP$23,1,CY265))/12)/INDEX('Lease Cycles'!$GX$23:$HD$23,1,CY265))/12,0)))</f>
        <v>0</v>
      </c>
      <c r="CZ268" s="28">
        <f>IF(CZ265=0,IF('Lease Cycles'!$F$23&gt;0,'Lease Cycles'!$C$23*'Lease Cycles'!$E$23/12,0),IF(CZ267=1,IF('Lease Cycles'!$AT$23&gt;=9999,'Lease Cycles'!$C$23*INDEX('Lease Cycles'!$CB$23:$CH$23,1,CZ265)*(1+INDEX('Lease Cycles'!$CI$23:$CO$23,1,CZ265))^INT(INT(CZ266/12)/INDEX('Lease Cycles'!$CP$23:$CV$23,1,CZ265))/12,IF(CZ265=1,IF(CZ266&gt;=INDEX('Lease Cycles'!$DK$23:$DQ$23,1,CZ265),IF(CZ$6&gt;='Lease Cycles'!$AZ$23,'Lease Cycles'!$C$23*'Lease Cycles'!$BA$23/12,IF(CZ$6&gt;='Lease Cycles'!$AX$23,'Lease Cycles'!$C$23*'Lease Cycles'!$AY$23/12,IF(CZ$6&gt;='Lease Cycles'!$AV$23,'Lease Cycles'!$C$23*'Lease Cycles'!$AW$23/12,IF(CZ$6&gt;='Lease Cycles'!$AT$23,'Lease Cycles'!$C$23*'Lease Cycles'!$AU$23/12,'Lease Cycles'!$C$23*INDEX('Lease Cycles'!$CB$23:$CH$23,1,CZ265)*(1+INDEX('Lease Cycles'!$CI$23:$CO$23,1,CZ265))^INT(INT(CZ266/12)/INDEX('Lease Cycles'!$CP$23:$CV$23,1,CZ265))/12)))),'Lease Cycles'!$C$23*INDEX('Lease Cycles'!$CB$23:$CH$23,1,CZ265)*(1+INDEX('Lease Cycles'!$CI$23:$CO$23,1,CZ265))^INT(INT(CZ266/12)/INDEX('Lease Cycles'!$CP$23:$CV$23,1,CZ265))/12),IF(INDEX('Lease Cycles'!$EF$23:$EL$23,1,CZ265)=1,IF(AND('Lease Cycles'!$AZ$23&gt;=INDEX('Lease Cycles'!$BG$23:$BM$23,1,CZ265),'Lease Cycles'!$AZ$23&lt;=CZ$6),'Lease Cycles'!$C$23*'Lease Cycles'!$BA$23/12,IF(AND('Lease Cycles'!$AX$23&gt;=INDEX('Lease Cycles'!$BG$23:$BM$23,1,CZ265),'Lease Cycles'!$AX$23&lt;=CZ$6),'Lease Cycles'!$C$23*'Lease Cycles'!$AY$23/12,IF(AND('Lease Cycles'!$AV$23&gt;=INDEX('Lease Cycles'!$BG$23:$BM$23,1,CZ265),'Lease Cycles'!$AV$23&lt;=CZ$6),'Lease Cycles'!$C$23*'Lease Cycles'!$AW$23/12,IF(AND('Lease Cycles'!$AT$23&gt;=INDEX('Lease Cycles'!$BG$23:$BM$23,1,CZ265),'Lease Cycles'!$AT$23&lt;=CZ$6),'Lease Cycles'!$C$23*'Lease Cycles'!$AU$23/12,'Lease Cycles'!$C$23*INDEX('Lease Cycles'!$CB$23:$CH$23,1,CZ265)*(1+INDEX('Lease Cycles'!$CI$23:$CO$23,1,CZ265))^INT(INT(CZ266/12)/INDEX('Lease Cycles'!$CP$23:$CV$23,1,CZ265))/12)))),'Lease Cycles'!$C$23*INDEX('Lease Cycles'!$CB$23:$CH$23,1,CZ265)*(1+INDEX('Lease Cycles'!$CI$23:$CO$23,1,CZ265))^INT(INT(CZ266/12)/INDEX('Lease Cycles'!$CP$23:$CV$23,1,CZ265))/12))),IF('Lease Cycles'!$N$23=1,'Lease Cycles'!$C$23*'Lease Cycles'!$E$23*INDEX('Lease Cycles'!$HE$23:$HK$23,1,CZ265)*(1+INDEX('Lease Cycles'!$GQ$23:$GW$23,1,CZ265))^INT(INT((CZ$6-INDEX('Lease Cycles'!$GJ$23:$GP$23,1,CZ265))/12)/INDEX('Lease Cycles'!$GX$23:$HD$23,1,CZ265))/12,0)))</f>
        <v>0</v>
      </c>
      <c r="DA268" s="28">
        <f>IF(DA265=0,IF('Lease Cycles'!$F$23&gt;0,'Lease Cycles'!$C$23*'Lease Cycles'!$E$23/12,0),IF(DA267=1,IF('Lease Cycles'!$AT$23&gt;=9999,'Lease Cycles'!$C$23*INDEX('Lease Cycles'!$CB$23:$CH$23,1,DA265)*(1+INDEX('Lease Cycles'!$CI$23:$CO$23,1,DA265))^INT(INT(DA266/12)/INDEX('Lease Cycles'!$CP$23:$CV$23,1,DA265))/12,IF(DA265=1,IF(DA266&gt;=INDEX('Lease Cycles'!$DK$23:$DQ$23,1,DA265),IF(DA$6&gt;='Lease Cycles'!$AZ$23,'Lease Cycles'!$C$23*'Lease Cycles'!$BA$23/12,IF(DA$6&gt;='Lease Cycles'!$AX$23,'Lease Cycles'!$C$23*'Lease Cycles'!$AY$23/12,IF(DA$6&gt;='Lease Cycles'!$AV$23,'Lease Cycles'!$C$23*'Lease Cycles'!$AW$23/12,IF(DA$6&gt;='Lease Cycles'!$AT$23,'Lease Cycles'!$C$23*'Lease Cycles'!$AU$23/12,'Lease Cycles'!$C$23*INDEX('Lease Cycles'!$CB$23:$CH$23,1,DA265)*(1+INDEX('Lease Cycles'!$CI$23:$CO$23,1,DA265))^INT(INT(DA266/12)/INDEX('Lease Cycles'!$CP$23:$CV$23,1,DA265))/12)))),'Lease Cycles'!$C$23*INDEX('Lease Cycles'!$CB$23:$CH$23,1,DA265)*(1+INDEX('Lease Cycles'!$CI$23:$CO$23,1,DA265))^INT(INT(DA266/12)/INDEX('Lease Cycles'!$CP$23:$CV$23,1,DA265))/12),IF(INDEX('Lease Cycles'!$EF$23:$EL$23,1,DA265)=1,IF(AND('Lease Cycles'!$AZ$23&gt;=INDEX('Lease Cycles'!$BG$23:$BM$23,1,DA265),'Lease Cycles'!$AZ$23&lt;=DA$6),'Lease Cycles'!$C$23*'Lease Cycles'!$BA$23/12,IF(AND('Lease Cycles'!$AX$23&gt;=INDEX('Lease Cycles'!$BG$23:$BM$23,1,DA265),'Lease Cycles'!$AX$23&lt;=DA$6),'Lease Cycles'!$C$23*'Lease Cycles'!$AY$23/12,IF(AND('Lease Cycles'!$AV$23&gt;=INDEX('Lease Cycles'!$BG$23:$BM$23,1,DA265),'Lease Cycles'!$AV$23&lt;=DA$6),'Lease Cycles'!$C$23*'Lease Cycles'!$AW$23/12,IF(AND('Lease Cycles'!$AT$23&gt;=INDEX('Lease Cycles'!$BG$23:$BM$23,1,DA265),'Lease Cycles'!$AT$23&lt;=DA$6),'Lease Cycles'!$C$23*'Lease Cycles'!$AU$23/12,'Lease Cycles'!$C$23*INDEX('Lease Cycles'!$CB$23:$CH$23,1,DA265)*(1+INDEX('Lease Cycles'!$CI$23:$CO$23,1,DA265))^INT(INT(DA266/12)/INDEX('Lease Cycles'!$CP$23:$CV$23,1,DA265))/12)))),'Lease Cycles'!$C$23*INDEX('Lease Cycles'!$CB$23:$CH$23,1,DA265)*(1+INDEX('Lease Cycles'!$CI$23:$CO$23,1,DA265))^INT(INT(DA266/12)/INDEX('Lease Cycles'!$CP$23:$CV$23,1,DA265))/12))),IF('Lease Cycles'!$N$23=1,'Lease Cycles'!$C$23*'Lease Cycles'!$E$23*INDEX('Lease Cycles'!$HE$23:$HK$23,1,DA265)*(1+INDEX('Lease Cycles'!$GQ$23:$GW$23,1,DA265))^INT(INT((DA$6-INDEX('Lease Cycles'!$GJ$23:$GP$23,1,DA265))/12)/INDEX('Lease Cycles'!$GX$23:$HD$23,1,DA265))/12,0)))</f>
        <v>0</v>
      </c>
      <c r="DB268" s="28">
        <f>IF(DB265=0,IF('Lease Cycles'!$F$23&gt;0,'Lease Cycles'!$C$23*'Lease Cycles'!$E$23/12,0),IF(DB267=1,IF('Lease Cycles'!$AT$23&gt;=9999,'Lease Cycles'!$C$23*INDEX('Lease Cycles'!$CB$23:$CH$23,1,DB265)*(1+INDEX('Lease Cycles'!$CI$23:$CO$23,1,DB265))^INT(INT(DB266/12)/INDEX('Lease Cycles'!$CP$23:$CV$23,1,DB265))/12,IF(DB265=1,IF(DB266&gt;=INDEX('Lease Cycles'!$DK$23:$DQ$23,1,DB265),IF(DB$6&gt;='Lease Cycles'!$AZ$23,'Lease Cycles'!$C$23*'Lease Cycles'!$BA$23/12,IF(DB$6&gt;='Lease Cycles'!$AX$23,'Lease Cycles'!$C$23*'Lease Cycles'!$AY$23/12,IF(DB$6&gt;='Lease Cycles'!$AV$23,'Lease Cycles'!$C$23*'Lease Cycles'!$AW$23/12,IF(DB$6&gt;='Lease Cycles'!$AT$23,'Lease Cycles'!$C$23*'Lease Cycles'!$AU$23/12,'Lease Cycles'!$C$23*INDEX('Lease Cycles'!$CB$23:$CH$23,1,DB265)*(1+INDEX('Lease Cycles'!$CI$23:$CO$23,1,DB265))^INT(INT(DB266/12)/INDEX('Lease Cycles'!$CP$23:$CV$23,1,DB265))/12)))),'Lease Cycles'!$C$23*INDEX('Lease Cycles'!$CB$23:$CH$23,1,DB265)*(1+INDEX('Lease Cycles'!$CI$23:$CO$23,1,DB265))^INT(INT(DB266/12)/INDEX('Lease Cycles'!$CP$23:$CV$23,1,DB265))/12),IF(INDEX('Lease Cycles'!$EF$23:$EL$23,1,DB265)=1,IF(AND('Lease Cycles'!$AZ$23&gt;=INDEX('Lease Cycles'!$BG$23:$BM$23,1,DB265),'Lease Cycles'!$AZ$23&lt;=DB$6),'Lease Cycles'!$C$23*'Lease Cycles'!$BA$23/12,IF(AND('Lease Cycles'!$AX$23&gt;=INDEX('Lease Cycles'!$BG$23:$BM$23,1,DB265),'Lease Cycles'!$AX$23&lt;=DB$6),'Lease Cycles'!$C$23*'Lease Cycles'!$AY$23/12,IF(AND('Lease Cycles'!$AV$23&gt;=INDEX('Lease Cycles'!$BG$23:$BM$23,1,DB265),'Lease Cycles'!$AV$23&lt;=DB$6),'Lease Cycles'!$C$23*'Lease Cycles'!$AW$23/12,IF(AND('Lease Cycles'!$AT$23&gt;=INDEX('Lease Cycles'!$BG$23:$BM$23,1,DB265),'Lease Cycles'!$AT$23&lt;=DB$6),'Lease Cycles'!$C$23*'Lease Cycles'!$AU$23/12,'Lease Cycles'!$C$23*INDEX('Lease Cycles'!$CB$23:$CH$23,1,DB265)*(1+INDEX('Lease Cycles'!$CI$23:$CO$23,1,DB265))^INT(INT(DB266/12)/INDEX('Lease Cycles'!$CP$23:$CV$23,1,DB265))/12)))),'Lease Cycles'!$C$23*INDEX('Lease Cycles'!$CB$23:$CH$23,1,DB265)*(1+INDEX('Lease Cycles'!$CI$23:$CO$23,1,DB265))^INT(INT(DB266/12)/INDEX('Lease Cycles'!$CP$23:$CV$23,1,DB265))/12))),IF('Lease Cycles'!$N$23=1,'Lease Cycles'!$C$23*'Lease Cycles'!$E$23*INDEX('Lease Cycles'!$HE$23:$HK$23,1,DB265)*(1+INDEX('Lease Cycles'!$GQ$23:$GW$23,1,DB265))^INT(INT((DB$6-INDEX('Lease Cycles'!$GJ$23:$GP$23,1,DB265))/12)/INDEX('Lease Cycles'!$GX$23:$HD$23,1,DB265))/12,0)))</f>
        <v>0</v>
      </c>
      <c r="DC268" s="28">
        <f>IF(DC265=0,IF('Lease Cycles'!$F$23&gt;0,'Lease Cycles'!$C$23*'Lease Cycles'!$E$23/12,0),IF(DC267=1,IF('Lease Cycles'!$AT$23&gt;=9999,'Lease Cycles'!$C$23*INDEX('Lease Cycles'!$CB$23:$CH$23,1,DC265)*(1+INDEX('Lease Cycles'!$CI$23:$CO$23,1,DC265))^INT(INT(DC266/12)/INDEX('Lease Cycles'!$CP$23:$CV$23,1,DC265))/12,IF(DC265=1,IF(DC266&gt;=INDEX('Lease Cycles'!$DK$23:$DQ$23,1,DC265),IF(DC$6&gt;='Lease Cycles'!$AZ$23,'Lease Cycles'!$C$23*'Lease Cycles'!$BA$23/12,IF(DC$6&gt;='Lease Cycles'!$AX$23,'Lease Cycles'!$C$23*'Lease Cycles'!$AY$23/12,IF(DC$6&gt;='Lease Cycles'!$AV$23,'Lease Cycles'!$C$23*'Lease Cycles'!$AW$23/12,IF(DC$6&gt;='Lease Cycles'!$AT$23,'Lease Cycles'!$C$23*'Lease Cycles'!$AU$23/12,'Lease Cycles'!$C$23*INDEX('Lease Cycles'!$CB$23:$CH$23,1,DC265)*(1+INDEX('Lease Cycles'!$CI$23:$CO$23,1,DC265))^INT(INT(DC266/12)/INDEX('Lease Cycles'!$CP$23:$CV$23,1,DC265))/12)))),'Lease Cycles'!$C$23*INDEX('Lease Cycles'!$CB$23:$CH$23,1,DC265)*(1+INDEX('Lease Cycles'!$CI$23:$CO$23,1,DC265))^INT(INT(DC266/12)/INDEX('Lease Cycles'!$CP$23:$CV$23,1,DC265))/12),IF(INDEX('Lease Cycles'!$EF$23:$EL$23,1,DC265)=1,IF(AND('Lease Cycles'!$AZ$23&gt;=INDEX('Lease Cycles'!$BG$23:$BM$23,1,DC265),'Lease Cycles'!$AZ$23&lt;=DC$6),'Lease Cycles'!$C$23*'Lease Cycles'!$BA$23/12,IF(AND('Lease Cycles'!$AX$23&gt;=INDEX('Lease Cycles'!$BG$23:$BM$23,1,DC265),'Lease Cycles'!$AX$23&lt;=DC$6),'Lease Cycles'!$C$23*'Lease Cycles'!$AY$23/12,IF(AND('Lease Cycles'!$AV$23&gt;=INDEX('Lease Cycles'!$BG$23:$BM$23,1,DC265),'Lease Cycles'!$AV$23&lt;=DC$6),'Lease Cycles'!$C$23*'Lease Cycles'!$AW$23/12,IF(AND('Lease Cycles'!$AT$23&gt;=INDEX('Lease Cycles'!$BG$23:$BM$23,1,DC265),'Lease Cycles'!$AT$23&lt;=DC$6),'Lease Cycles'!$C$23*'Lease Cycles'!$AU$23/12,'Lease Cycles'!$C$23*INDEX('Lease Cycles'!$CB$23:$CH$23,1,DC265)*(1+INDEX('Lease Cycles'!$CI$23:$CO$23,1,DC265))^INT(INT(DC266/12)/INDEX('Lease Cycles'!$CP$23:$CV$23,1,DC265))/12)))),'Lease Cycles'!$C$23*INDEX('Lease Cycles'!$CB$23:$CH$23,1,DC265)*(1+INDEX('Lease Cycles'!$CI$23:$CO$23,1,DC265))^INT(INT(DC266/12)/INDEX('Lease Cycles'!$CP$23:$CV$23,1,DC265))/12))),IF('Lease Cycles'!$N$23=1,'Lease Cycles'!$C$23*'Lease Cycles'!$E$23*INDEX('Lease Cycles'!$HE$23:$HK$23,1,DC265)*(1+INDEX('Lease Cycles'!$GQ$23:$GW$23,1,DC265))^INT(INT((DC$6-INDEX('Lease Cycles'!$GJ$23:$GP$23,1,DC265))/12)/INDEX('Lease Cycles'!$GX$23:$HD$23,1,DC265))/12,0)))</f>
        <v>0</v>
      </c>
      <c r="DD268" s="28">
        <f>IF(DD265=0,IF('Lease Cycles'!$F$23&gt;0,'Lease Cycles'!$C$23*'Lease Cycles'!$E$23/12,0),IF(DD267=1,IF('Lease Cycles'!$AT$23&gt;=9999,'Lease Cycles'!$C$23*INDEX('Lease Cycles'!$CB$23:$CH$23,1,DD265)*(1+INDEX('Lease Cycles'!$CI$23:$CO$23,1,DD265))^INT(INT(DD266/12)/INDEX('Lease Cycles'!$CP$23:$CV$23,1,DD265))/12,IF(DD265=1,IF(DD266&gt;=INDEX('Lease Cycles'!$DK$23:$DQ$23,1,DD265),IF(DD$6&gt;='Lease Cycles'!$AZ$23,'Lease Cycles'!$C$23*'Lease Cycles'!$BA$23/12,IF(DD$6&gt;='Lease Cycles'!$AX$23,'Lease Cycles'!$C$23*'Lease Cycles'!$AY$23/12,IF(DD$6&gt;='Lease Cycles'!$AV$23,'Lease Cycles'!$C$23*'Lease Cycles'!$AW$23/12,IF(DD$6&gt;='Lease Cycles'!$AT$23,'Lease Cycles'!$C$23*'Lease Cycles'!$AU$23/12,'Lease Cycles'!$C$23*INDEX('Lease Cycles'!$CB$23:$CH$23,1,DD265)*(1+INDEX('Lease Cycles'!$CI$23:$CO$23,1,DD265))^INT(INT(DD266/12)/INDEX('Lease Cycles'!$CP$23:$CV$23,1,DD265))/12)))),'Lease Cycles'!$C$23*INDEX('Lease Cycles'!$CB$23:$CH$23,1,DD265)*(1+INDEX('Lease Cycles'!$CI$23:$CO$23,1,DD265))^INT(INT(DD266/12)/INDEX('Lease Cycles'!$CP$23:$CV$23,1,DD265))/12),IF(INDEX('Lease Cycles'!$EF$23:$EL$23,1,DD265)=1,IF(AND('Lease Cycles'!$AZ$23&gt;=INDEX('Lease Cycles'!$BG$23:$BM$23,1,DD265),'Lease Cycles'!$AZ$23&lt;=DD$6),'Lease Cycles'!$C$23*'Lease Cycles'!$BA$23/12,IF(AND('Lease Cycles'!$AX$23&gt;=INDEX('Lease Cycles'!$BG$23:$BM$23,1,DD265),'Lease Cycles'!$AX$23&lt;=DD$6),'Lease Cycles'!$C$23*'Lease Cycles'!$AY$23/12,IF(AND('Lease Cycles'!$AV$23&gt;=INDEX('Lease Cycles'!$BG$23:$BM$23,1,DD265),'Lease Cycles'!$AV$23&lt;=DD$6),'Lease Cycles'!$C$23*'Lease Cycles'!$AW$23/12,IF(AND('Lease Cycles'!$AT$23&gt;=INDEX('Lease Cycles'!$BG$23:$BM$23,1,DD265),'Lease Cycles'!$AT$23&lt;=DD$6),'Lease Cycles'!$C$23*'Lease Cycles'!$AU$23/12,'Lease Cycles'!$C$23*INDEX('Lease Cycles'!$CB$23:$CH$23,1,DD265)*(1+INDEX('Lease Cycles'!$CI$23:$CO$23,1,DD265))^INT(INT(DD266/12)/INDEX('Lease Cycles'!$CP$23:$CV$23,1,DD265))/12)))),'Lease Cycles'!$C$23*INDEX('Lease Cycles'!$CB$23:$CH$23,1,DD265)*(1+INDEX('Lease Cycles'!$CI$23:$CO$23,1,DD265))^INT(INT(DD266/12)/INDEX('Lease Cycles'!$CP$23:$CV$23,1,DD265))/12))),IF('Lease Cycles'!$N$23=1,'Lease Cycles'!$C$23*'Lease Cycles'!$E$23*INDEX('Lease Cycles'!$HE$23:$HK$23,1,DD265)*(1+INDEX('Lease Cycles'!$GQ$23:$GW$23,1,DD265))^INT(INT((DD$6-INDEX('Lease Cycles'!$GJ$23:$GP$23,1,DD265))/12)/INDEX('Lease Cycles'!$GX$23:$HD$23,1,DD265))/12,0)))</f>
        <v>0</v>
      </c>
      <c r="DE268" s="28">
        <f>IF(DE265=0,IF('Lease Cycles'!$F$23&gt;0,'Lease Cycles'!$C$23*'Lease Cycles'!$E$23/12,0),IF(DE267=1,IF('Lease Cycles'!$AT$23&gt;=9999,'Lease Cycles'!$C$23*INDEX('Lease Cycles'!$CB$23:$CH$23,1,DE265)*(1+INDEX('Lease Cycles'!$CI$23:$CO$23,1,DE265))^INT(INT(DE266/12)/INDEX('Lease Cycles'!$CP$23:$CV$23,1,DE265))/12,IF(DE265=1,IF(DE266&gt;=INDEX('Lease Cycles'!$DK$23:$DQ$23,1,DE265),IF(DE$6&gt;='Lease Cycles'!$AZ$23,'Lease Cycles'!$C$23*'Lease Cycles'!$BA$23/12,IF(DE$6&gt;='Lease Cycles'!$AX$23,'Lease Cycles'!$C$23*'Lease Cycles'!$AY$23/12,IF(DE$6&gt;='Lease Cycles'!$AV$23,'Lease Cycles'!$C$23*'Lease Cycles'!$AW$23/12,IF(DE$6&gt;='Lease Cycles'!$AT$23,'Lease Cycles'!$C$23*'Lease Cycles'!$AU$23/12,'Lease Cycles'!$C$23*INDEX('Lease Cycles'!$CB$23:$CH$23,1,DE265)*(1+INDEX('Lease Cycles'!$CI$23:$CO$23,1,DE265))^INT(INT(DE266/12)/INDEX('Lease Cycles'!$CP$23:$CV$23,1,DE265))/12)))),'Lease Cycles'!$C$23*INDEX('Lease Cycles'!$CB$23:$CH$23,1,DE265)*(1+INDEX('Lease Cycles'!$CI$23:$CO$23,1,DE265))^INT(INT(DE266/12)/INDEX('Lease Cycles'!$CP$23:$CV$23,1,DE265))/12),IF(INDEX('Lease Cycles'!$EF$23:$EL$23,1,DE265)=1,IF(AND('Lease Cycles'!$AZ$23&gt;=INDEX('Lease Cycles'!$BG$23:$BM$23,1,DE265),'Lease Cycles'!$AZ$23&lt;=DE$6),'Lease Cycles'!$C$23*'Lease Cycles'!$BA$23/12,IF(AND('Lease Cycles'!$AX$23&gt;=INDEX('Lease Cycles'!$BG$23:$BM$23,1,DE265),'Lease Cycles'!$AX$23&lt;=DE$6),'Lease Cycles'!$C$23*'Lease Cycles'!$AY$23/12,IF(AND('Lease Cycles'!$AV$23&gt;=INDEX('Lease Cycles'!$BG$23:$BM$23,1,DE265),'Lease Cycles'!$AV$23&lt;=DE$6),'Lease Cycles'!$C$23*'Lease Cycles'!$AW$23/12,IF(AND('Lease Cycles'!$AT$23&gt;=INDEX('Lease Cycles'!$BG$23:$BM$23,1,DE265),'Lease Cycles'!$AT$23&lt;=DE$6),'Lease Cycles'!$C$23*'Lease Cycles'!$AU$23/12,'Lease Cycles'!$C$23*INDEX('Lease Cycles'!$CB$23:$CH$23,1,DE265)*(1+INDEX('Lease Cycles'!$CI$23:$CO$23,1,DE265))^INT(INT(DE266/12)/INDEX('Lease Cycles'!$CP$23:$CV$23,1,DE265))/12)))),'Lease Cycles'!$C$23*INDEX('Lease Cycles'!$CB$23:$CH$23,1,DE265)*(1+INDEX('Lease Cycles'!$CI$23:$CO$23,1,DE265))^INT(INT(DE266/12)/INDEX('Lease Cycles'!$CP$23:$CV$23,1,DE265))/12))),IF('Lease Cycles'!$N$23=1,'Lease Cycles'!$C$23*'Lease Cycles'!$E$23*INDEX('Lease Cycles'!$HE$23:$HK$23,1,DE265)*(1+INDEX('Lease Cycles'!$GQ$23:$GW$23,1,DE265))^INT(INT((DE$6-INDEX('Lease Cycles'!$GJ$23:$GP$23,1,DE265))/12)/INDEX('Lease Cycles'!$GX$23:$HD$23,1,DE265))/12,0)))</f>
        <v>0</v>
      </c>
      <c r="DF268" s="28">
        <f>IF(DF265=0,IF('Lease Cycles'!$F$23&gt;0,'Lease Cycles'!$C$23*'Lease Cycles'!$E$23/12,0),IF(DF267=1,IF('Lease Cycles'!$AT$23&gt;=9999,'Lease Cycles'!$C$23*INDEX('Lease Cycles'!$CB$23:$CH$23,1,DF265)*(1+INDEX('Lease Cycles'!$CI$23:$CO$23,1,DF265))^INT(INT(DF266/12)/INDEX('Lease Cycles'!$CP$23:$CV$23,1,DF265))/12,IF(DF265=1,IF(DF266&gt;=INDEX('Lease Cycles'!$DK$23:$DQ$23,1,DF265),IF(DF$6&gt;='Lease Cycles'!$AZ$23,'Lease Cycles'!$C$23*'Lease Cycles'!$BA$23/12,IF(DF$6&gt;='Lease Cycles'!$AX$23,'Lease Cycles'!$C$23*'Lease Cycles'!$AY$23/12,IF(DF$6&gt;='Lease Cycles'!$AV$23,'Lease Cycles'!$C$23*'Lease Cycles'!$AW$23/12,IF(DF$6&gt;='Lease Cycles'!$AT$23,'Lease Cycles'!$C$23*'Lease Cycles'!$AU$23/12,'Lease Cycles'!$C$23*INDEX('Lease Cycles'!$CB$23:$CH$23,1,DF265)*(1+INDEX('Lease Cycles'!$CI$23:$CO$23,1,DF265))^INT(INT(DF266/12)/INDEX('Lease Cycles'!$CP$23:$CV$23,1,DF265))/12)))),'Lease Cycles'!$C$23*INDEX('Lease Cycles'!$CB$23:$CH$23,1,DF265)*(1+INDEX('Lease Cycles'!$CI$23:$CO$23,1,DF265))^INT(INT(DF266/12)/INDEX('Lease Cycles'!$CP$23:$CV$23,1,DF265))/12),IF(INDEX('Lease Cycles'!$EF$23:$EL$23,1,DF265)=1,IF(AND('Lease Cycles'!$AZ$23&gt;=INDEX('Lease Cycles'!$BG$23:$BM$23,1,DF265),'Lease Cycles'!$AZ$23&lt;=DF$6),'Lease Cycles'!$C$23*'Lease Cycles'!$BA$23/12,IF(AND('Lease Cycles'!$AX$23&gt;=INDEX('Lease Cycles'!$BG$23:$BM$23,1,DF265),'Lease Cycles'!$AX$23&lt;=DF$6),'Lease Cycles'!$C$23*'Lease Cycles'!$AY$23/12,IF(AND('Lease Cycles'!$AV$23&gt;=INDEX('Lease Cycles'!$BG$23:$BM$23,1,DF265),'Lease Cycles'!$AV$23&lt;=DF$6),'Lease Cycles'!$C$23*'Lease Cycles'!$AW$23/12,IF(AND('Lease Cycles'!$AT$23&gt;=INDEX('Lease Cycles'!$BG$23:$BM$23,1,DF265),'Lease Cycles'!$AT$23&lt;=DF$6),'Lease Cycles'!$C$23*'Lease Cycles'!$AU$23/12,'Lease Cycles'!$C$23*INDEX('Lease Cycles'!$CB$23:$CH$23,1,DF265)*(1+INDEX('Lease Cycles'!$CI$23:$CO$23,1,DF265))^INT(INT(DF266/12)/INDEX('Lease Cycles'!$CP$23:$CV$23,1,DF265))/12)))),'Lease Cycles'!$C$23*INDEX('Lease Cycles'!$CB$23:$CH$23,1,DF265)*(1+INDEX('Lease Cycles'!$CI$23:$CO$23,1,DF265))^INT(INT(DF266/12)/INDEX('Lease Cycles'!$CP$23:$CV$23,1,DF265))/12))),IF('Lease Cycles'!$N$23=1,'Lease Cycles'!$C$23*'Lease Cycles'!$E$23*INDEX('Lease Cycles'!$HE$23:$HK$23,1,DF265)*(1+INDEX('Lease Cycles'!$GQ$23:$GW$23,1,DF265))^INT(INT((DF$6-INDEX('Lease Cycles'!$GJ$23:$GP$23,1,DF265))/12)/INDEX('Lease Cycles'!$GX$23:$HD$23,1,DF265))/12,0)))</f>
        <v>0</v>
      </c>
      <c r="DG268" s="28">
        <f>IF(DG265=0,IF('Lease Cycles'!$F$23&gt;0,'Lease Cycles'!$C$23*'Lease Cycles'!$E$23/12,0),IF(DG267=1,IF('Lease Cycles'!$AT$23&gt;=9999,'Lease Cycles'!$C$23*INDEX('Lease Cycles'!$CB$23:$CH$23,1,DG265)*(1+INDEX('Lease Cycles'!$CI$23:$CO$23,1,DG265))^INT(INT(DG266/12)/INDEX('Lease Cycles'!$CP$23:$CV$23,1,DG265))/12,IF(DG265=1,IF(DG266&gt;=INDEX('Lease Cycles'!$DK$23:$DQ$23,1,DG265),IF(DG$6&gt;='Lease Cycles'!$AZ$23,'Lease Cycles'!$C$23*'Lease Cycles'!$BA$23/12,IF(DG$6&gt;='Lease Cycles'!$AX$23,'Lease Cycles'!$C$23*'Lease Cycles'!$AY$23/12,IF(DG$6&gt;='Lease Cycles'!$AV$23,'Lease Cycles'!$C$23*'Lease Cycles'!$AW$23/12,IF(DG$6&gt;='Lease Cycles'!$AT$23,'Lease Cycles'!$C$23*'Lease Cycles'!$AU$23/12,'Lease Cycles'!$C$23*INDEX('Lease Cycles'!$CB$23:$CH$23,1,DG265)*(1+INDEX('Lease Cycles'!$CI$23:$CO$23,1,DG265))^INT(INT(DG266/12)/INDEX('Lease Cycles'!$CP$23:$CV$23,1,DG265))/12)))),'Lease Cycles'!$C$23*INDEX('Lease Cycles'!$CB$23:$CH$23,1,DG265)*(1+INDEX('Lease Cycles'!$CI$23:$CO$23,1,DG265))^INT(INT(DG266/12)/INDEX('Lease Cycles'!$CP$23:$CV$23,1,DG265))/12),IF(INDEX('Lease Cycles'!$EF$23:$EL$23,1,DG265)=1,IF(AND('Lease Cycles'!$AZ$23&gt;=INDEX('Lease Cycles'!$BG$23:$BM$23,1,DG265),'Lease Cycles'!$AZ$23&lt;=DG$6),'Lease Cycles'!$C$23*'Lease Cycles'!$BA$23/12,IF(AND('Lease Cycles'!$AX$23&gt;=INDEX('Lease Cycles'!$BG$23:$BM$23,1,DG265),'Lease Cycles'!$AX$23&lt;=DG$6),'Lease Cycles'!$C$23*'Lease Cycles'!$AY$23/12,IF(AND('Lease Cycles'!$AV$23&gt;=INDEX('Lease Cycles'!$BG$23:$BM$23,1,DG265),'Lease Cycles'!$AV$23&lt;=DG$6),'Lease Cycles'!$C$23*'Lease Cycles'!$AW$23/12,IF(AND('Lease Cycles'!$AT$23&gt;=INDEX('Lease Cycles'!$BG$23:$BM$23,1,DG265),'Lease Cycles'!$AT$23&lt;=DG$6),'Lease Cycles'!$C$23*'Lease Cycles'!$AU$23/12,'Lease Cycles'!$C$23*INDEX('Lease Cycles'!$CB$23:$CH$23,1,DG265)*(1+INDEX('Lease Cycles'!$CI$23:$CO$23,1,DG265))^INT(INT(DG266/12)/INDEX('Lease Cycles'!$CP$23:$CV$23,1,DG265))/12)))),'Lease Cycles'!$C$23*INDEX('Lease Cycles'!$CB$23:$CH$23,1,DG265)*(1+INDEX('Lease Cycles'!$CI$23:$CO$23,1,DG265))^INT(INT(DG266/12)/INDEX('Lease Cycles'!$CP$23:$CV$23,1,DG265))/12))),IF('Lease Cycles'!$N$23=1,'Lease Cycles'!$C$23*'Lease Cycles'!$E$23*INDEX('Lease Cycles'!$HE$23:$HK$23,1,DG265)*(1+INDEX('Lease Cycles'!$GQ$23:$GW$23,1,DG265))^INT(INT((DG$6-INDEX('Lease Cycles'!$GJ$23:$GP$23,1,DG265))/12)/INDEX('Lease Cycles'!$GX$23:$HD$23,1,DG265))/12,0)))</f>
        <v>0</v>
      </c>
      <c r="DH268" s="28">
        <f>IF(DH265=0,IF('Lease Cycles'!$F$23&gt;0,'Lease Cycles'!$C$23*'Lease Cycles'!$E$23/12,0),IF(DH267=1,IF('Lease Cycles'!$AT$23&gt;=9999,'Lease Cycles'!$C$23*INDEX('Lease Cycles'!$CB$23:$CH$23,1,DH265)*(1+INDEX('Lease Cycles'!$CI$23:$CO$23,1,DH265))^INT(INT(DH266/12)/INDEX('Lease Cycles'!$CP$23:$CV$23,1,DH265))/12,IF(DH265=1,IF(DH266&gt;=INDEX('Lease Cycles'!$DK$23:$DQ$23,1,DH265),IF(DH$6&gt;='Lease Cycles'!$AZ$23,'Lease Cycles'!$C$23*'Lease Cycles'!$BA$23/12,IF(DH$6&gt;='Lease Cycles'!$AX$23,'Lease Cycles'!$C$23*'Lease Cycles'!$AY$23/12,IF(DH$6&gt;='Lease Cycles'!$AV$23,'Lease Cycles'!$C$23*'Lease Cycles'!$AW$23/12,IF(DH$6&gt;='Lease Cycles'!$AT$23,'Lease Cycles'!$C$23*'Lease Cycles'!$AU$23/12,'Lease Cycles'!$C$23*INDEX('Lease Cycles'!$CB$23:$CH$23,1,DH265)*(1+INDEX('Lease Cycles'!$CI$23:$CO$23,1,DH265))^INT(INT(DH266/12)/INDEX('Lease Cycles'!$CP$23:$CV$23,1,DH265))/12)))),'Lease Cycles'!$C$23*INDEX('Lease Cycles'!$CB$23:$CH$23,1,DH265)*(1+INDEX('Lease Cycles'!$CI$23:$CO$23,1,DH265))^INT(INT(DH266/12)/INDEX('Lease Cycles'!$CP$23:$CV$23,1,DH265))/12),IF(INDEX('Lease Cycles'!$EF$23:$EL$23,1,DH265)=1,IF(AND('Lease Cycles'!$AZ$23&gt;=INDEX('Lease Cycles'!$BG$23:$BM$23,1,DH265),'Lease Cycles'!$AZ$23&lt;=DH$6),'Lease Cycles'!$C$23*'Lease Cycles'!$BA$23/12,IF(AND('Lease Cycles'!$AX$23&gt;=INDEX('Lease Cycles'!$BG$23:$BM$23,1,DH265),'Lease Cycles'!$AX$23&lt;=DH$6),'Lease Cycles'!$C$23*'Lease Cycles'!$AY$23/12,IF(AND('Lease Cycles'!$AV$23&gt;=INDEX('Lease Cycles'!$BG$23:$BM$23,1,DH265),'Lease Cycles'!$AV$23&lt;=DH$6),'Lease Cycles'!$C$23*'Lease Cycles'!$AW$23/12,IF(AND('Lease Cycles'!$AT$23&gt;=INDEX('Lease Cycles'!$BG$23:$BM$23,1,DH265),'Lease Cycles'!$AT$23&lt;=DH$6),'Lease Cycles'!$C$23*'Lease Cycles'!$AU$23/12,'Lease Cycles'!$C$23*INDEX('Lease Cycles'!$CB$23:$CH$23,1,DH265)*(1+INDEX('Lease Cycles'!$CI$23:$CO$23,1,DH265))^INT(INT(DH266/12)/INDEX('Lease Cycles'!$CP$23:$CV$23,1,DH265))/12)))),'Lease Cycles'!$C$23*INDEX('Lease Cycles'!$CB$23:$CH$23,1,DH265)*(1+INDEX('Lease Cycles'!$CI$23:$CO$23,1,DH265))^INT(INT(DH266/12)/INDEX('Lease Cycles'!$CP$23:$CV$23,1,DH265))/12))),IF('Lease Cycles'!$N$23=1,'Lease Cycles'!$C$23*'Lease Cycles'!$E$23*INDEX('Lease Cycles'!$HE$23:$HK$23,1,DH265)*(1+INDEX('Lease Cycles'!$GQ$23:$GW$23,1,DH265))^INT(INT((DH$6-INDEX('Lease Cycles'!$GJ$23:$GP$23,1,DH265))/12)/INDEX('Lease Cycles'!$GX$23:$HD$23,1,DH265))/12,0)))</f>
        <v>0</v>
      </c>
      <c r="DI268" s="28">
        <f>IF(DI265=0,IF('Lease Cycles'!$F$23&gt;0,'Lease Cycles'!$C$23*'Lease Cycles'!$E$23/12,0),IF(DI267=1,IF('Lease Cycles'!$AT$23&gt;=9999,'Lease Cycles'!$C$23*INDEX('Lease Cycles'!$CB$23:$CH$23,1,DI265)*(1+INDEX('Lease Cycles'!$CI$23:$CO$23,1,DI265))^INT(INT(DI266/12)/INDEX('Lease Cycles'!$CP$23:$CV$23,1,DI265))/12,IF(DI265=1,IF(DI266&gt;=INDEX('Lease Cycles'!$DK$23:$DQ$23,1,DI265),IF(DI$6&gt;='Lease Cycles'!$AZ$23,'Lease Cycles'!$C$23*'Lease Cycles'!$BA$23/12,IF(DI$6&gt;='Lease Cycles'!$AX$23,'Lease Cycles'!$C$23*'Lease Cycles'!$AY$23/12,IF(DI$6&gt;='Lease Cycles'!$AV$23,'Lease Cycles'!$C$23*'Lease Cycles'!$AW$23/12,IF(DI$6&gt;='Lease Cycles'!$AT$23,'Lease Cycles'!$C$23*'Lease Cycles'!$AU$23/12,'Lease Cycles'!$C$23*INDEX('Lease Cycles'!$CB$23:$CH$23,1,DI265)*(1+INDEX('Lease Cycles'!$CI$23:$CO$23,1,DI265))^INT(INT(DI266/12)/INDEX('Lease Cycles'!$CP$23:$CV$23,1,DI265))/12)))),'Lease Cycles'!$C$23*INDEX('Lease Cycles'!$CB$23:$CH$23,1,DI265)*(1+INDEX('Lease Cycles'!$CI$23:$CO$23,1,DI265))^INT(INT(DI266/12)/INDEX('Lease Cycles'!$CP$23:$CV$23,1,DI265))/12),IF(INDEX('Lease Cycles'!$EF$23:$EL$23,1,DI265)=1,IF(AND('Lease Cycles'!$AZ$23&gt;=INDEX('Lease Cycles'!$BG$23:$BM$23,1,DI265),'Lease Cycles'!$AZ$23&lt;=DI$6),'Lease Cycles'!$C$23*'Lease Cycles'!$BA$23/12,IF(AND('Lease Cycles'!$AX$23&gt;=INDEX('Lease Cycles'!$BG$23:$BM$23,1,DI265),'Lease Cycles'!$AX$23&lt;=DI$6),'Lease Cycles'!$C$23*'Lease Cycles'!$AY$23/12,IF(AND('Lease Cycles'!$AV$23&gt;=INDEX('Lease Cycles'!$BG$23:$BM$23,1,DI265),'Lease Cycles'!$AV$23&lt;=DI$6),'Lease Cycles'!$C$23*'Lease Cycles'!$AW$23/12,IF(AND('Lease Cycles'!$AT$23&gt;=INDEX('Lease Cycles'!$BG$23:$BM$23,1,DI265),'Lease Cycles'!$AT$23&lt;=DI$6),'Lease Cycles'!$C$23*'Lease Cycles'!$AU$23/12,'Lease Cycles'!$C$23*INDEX('Lease Cycles'!$CB$23:$CH$23,1,DI265)*(1+INDEX('Lease Cycles'!$CI$23:$CO$23,1,DI265))^INT(INT(DI266/12)/INDEX('Lease Cycles'!$CP$23:$CV$23,1,DI265))/12)))),'Lease Cycles'!$C$23*INDEX('Lease Cycles'!$CB$23:$CH$23,1,DI265)*(1+INDEX('Lease Cycles'!$CI$23:$CO$23,1,DI265))^INT(INT(DI266/12)/INDEX('Lease Cycles'!$CP$23:$CV$23,1,DI265))/12))),IF('Lease Cycles'!$N$23=1,'Lease Cycles'!$C$23*'Lease Cycles'!$E$23*INDEX('Lease Cycles'!$HE$23:$HK$23,1,DI265)*(1+INDEX('Lease Cycles'!$GQ$23:$GW$23,1,DI265))^INT(INT((DI$6-INDEX('Lease Cycles'!$GJ$23:$GP$23,1,DI265))/12)/INDEX('Lease Cycles'!$GX$23:$HD$23,1,DI265))/12,0)))</f>
        <v>0</v>
      </c>
      <c r="DJ268" s="28">
        <f>IF(DJ265=0,IF('Lease Cycles'!$F$23&gt;0,'Lease Cycles'!$C$23*'Lease Cycles'!$E$23/12,0),IF(DJ267=1,IF('Lease Cycles'!$AT$23&gt;=9999,'Lease Cycles'!$C$23*INDEX('Lease Cycles'!$CB$23:$CH$23,1,DJ265)*(1+INDEX('Lease Cycles'!$CI$23:$CO$23,1,DJ265))^INT(INT(DJ266/12)/INDEX('Lease Cycles'!$CP$23:$CV$23,1,DJ265))/12,IF(DJ265=1,IF(DJ266&gt;=INDEX('Lease Cycles'!$DK$23:$DQ$23,1,DJ265),IF(DJ$6&gt;='Lease Cycles'!$AZ$23,'Lease Cycles'!$C$23*'Lease Cycles'!$BA$23/12,IF(DJ$6&gt;='Lease Cycles'!$AX$23,'Lease Cycles'!$C$23*'Lease Cycles'!$AY$23/12,IF(DJ$6&gt;='Lease Cycles'!$AV$23,'Lease Cycles'!$C$23*'Lease Cycles'!$AW$23/12,IF(DJ$6&gt;='Lease Cycles'!$AT$23,'Lease Cycles'!$C$23*'Lease Cycles'!$AU$23/12,'Lease Cycles'!$C$23*INDEX('Lease Cycles'!$CB$23:$CH$23,1,DJ265)*(1+INDEX('Lease Cycles'!$CI$23:$CO$23,1,DJ265))^INT(INT(DJ266/12)/INDEX('Lease Cycles'!$CP$23:$CV$23,1,DJ265))/12)))),'Lease Cycles'!$C$23*INDEX('Lease Cycles'!$CB$23:$CH$23,1,DJ265)*(1+INDEX('Lease Cycles'!$CI$23:$CO$23,1,DJ265))^INT(INT(DJ266/12)/INDEX('Lease Cycles'!$CP$23:$CV$23,1,DJ265))/12),IF(INDEX('Lease Cycles'!$EF$23:$EL$23,1,DJ265)=1,IF(AND('Lease Cycles'!$AZ$23&gt;=INDEX('Lease Cycles'!$BG$23:$BM$23,1,DJ265),'Lease Cycles'!$AZ$23&lt;=DJ$6),'Lease Cycles'!$C$23*'Lease Cycles'!$BA$23/12,IF(AND('Lease Cycles'!$AX$23&gt;=INDEX('Lease Cycles'!$BG$23:$BM$23,1,DJ265),'Lease Cycles'!$AX$23&lt;=DJ$6),'Lease Cycles'!$C$23*'Lease Cycles'!$AY$23/12,IF(AND('Lease Cycles'!$AV$23&gt;=INDEX('Lease Cycles'!$BG$23:$BM$23,1,DJ265),'Lease Cycles'!$AV$23&lt;=DJ$6),'Lease Cycles'!$C$23*'Lease Cycles'!$AW$23/12,IF(AND('Lease Cycles'!$AT$23&gt;=INDEX('Lease Cycles'!$BG$23:$BM$23,1,DJ265),'Lease Cycles'!$AT$23&lt;=DJ$6),'Lease Cycles'!$C$23*'Lease Cycles'!$AU$23/12,'Lease Cycles'!$C$23*INDEX('Lease Cycles'!$CB$23:$CH$23,1,DJ265)*(1+INDEX('Lease Cycles'!$CI$23:$CO$23,1,DJ265))^INT(INT(DJ266/12)/INDEX('Lease Cycles'!$CP$23:$CV$23,1,DJ265))/12)))),'Lease Cycles'!$C$23*INDEX('Lease Cycles'!$CB$23:$CH$23,1,DJ265)*(1+INDEX('Lease Cycles'!$CI$23:$CO$23,1,DJ265))^INT(INT(DJ266/12)/INDEX('Lease Cycles'!$CP$23:$CV$23,1,DJ265))/12))),IF('Lease Cycles'!$N$23=1,'Lease Cycles'!$C$23*'Lease Cycles'!$E$23*INDEX('Lease Cycles'!$HE$23:$HK$23,1,DJ265)*(1+INDEX('Lease Cycles'!$GQ$23:$GW$23,1,DJ265))^INT(INT((DJ$6-INDEX('Lease Cycles'!$GJ$23:$GP$23,1,DJ265))/12)/INDEX('Lease Cycles'!$GX$23:$HD$23,1,DJ265))/12,0)))</f>
        <v>0</v>
      </c>
      <c r="DK268" s="28">
        <f>IF(DK265=0,IF('Lease Cycles'!$F$23&gt;0,'Lease Cycles'!$C$23*'Lease Cycles'!$E$23/12,0),IF(DK267=1,IF('Lease Cycles'!$AT$23&gt;=9999,'Lease Cycles'!$C$23*INDEX('Lease Cycles'!$CB$23:$CH$23,1,DK265)*(1+INDEX('Lease Cycles'!$CI$23:$CO$23,1,DK265))^INT(INT(DK266/12)/INDEX('Lease Cycles'!$CP$23:$CV$23,1,DK265))/12,IF(DK265=1,IF(DK266&gt;=INDEX('Lease Cycles'!$DK$23:$DQ$23,1,DK265),IF(DK$6&gt;='Lease Cycles'!$AZ$23,'Lease Cycles'!$C$23*'Lease Cycles'!$BA$23/12,IF(DK$6&gt;='Lease Cycles'!$AX$23,'Lease Cycles'!$C$23*'Lease Cycles'!$AY$23/12,IF(DK$6&gt;='Lease Cycles'!$AV$23,'Lease Cycles'!$C$23*'Lease Cycles'!$AW$23/12,IF(DK$6&gt;='Lease Cycles'!$AT$23,'Lease Cycles'!$C$23*'Lease Cycles'!$AU$23/12,'Lease Cycles'!$C$23*INDEX('Lease Cycles'!$CB$23:$CH$23,1,DK265)*(1+INDEX('Lease Cycles'!$CI$23:$CO$23,1,DK265))^INT(INT(DK266/12)/INDEX('Lease Cycles'!$CP$23:$CV$23,1,DK265))/12)))),'Lease Cycles'!$C$23*INDEX('Lease Cycles'!$CB$23:$CH$23,1,DK265)*(1+INDEX('Lease Cycles'!$CI$23:$CO$23,1,DK265))^INT(INT(DK266/12)/INDEX('Lease Cycles'!$CP$23:$CV$23,1,DK265))/12),IF(INDEX('Lease Cycles'!$EF$23:$EL$23,1,DK265)=1,IF(AND('Lease Cycles'!$AZ$23&gt;=INDEX('Lease Cycles'!$BG$23:$BM$23,1,DK265),'Lease Cycles'!$AZ$23&lt;=DK$6),'Lease Cycles'!$C$23*'Lease Cycles'!$BA$23/12,IF(AND('Lease Cycles'!$AX$23&gt;=INDEX('Lease Cycles'!$BG$23:$BM$23,1,DK265),'Lease Cycles'!$AX$23&lt;=DK$6),'Lease Cycles'!$C$23*'Lease Cycles'!$AY$23/12,IF(AND('Lease Cycles'!$AV$23&gt;=INDEX('Lease Cycles'!$BG$23:$BM$23,1,DK265),'Lease Cycles'!$AV$23&lt;=DK$6),'Lease Cycles'!$C$23*'Lease Cycles'!$AW$23/12,IF(AND('Lease Cycles'!$AT$23&gt;=INDEX('Lease Cycles'!$BG$23:$BM$23,1,DK265),'Lease Cycles'!$AT$23&lt;=DK$6),'Lease Cycles'!$C$23*'Lease Cycles'!$AU$23/12,'Lease Cycles'!$C$23*INDEX('Lease Cycles'!$CB$23:$CH$23,1,DK265)*(1+INDEX('Lease Cycles'!$CI$23:$CO$23,1,DK265))^INT(INT(DK266/12)/INDEX('Lease Cycles'!$CP$23:$CV$23,1,DK265))/12)))),'Lease Cycles'!$C$23*INDEX('Lease Cycles'!$CB$23:$CH$23,1,DK265)*(1+INDEX('Lease Cycles'!$CI$23:$CO$23,1,DK265))^INT(INT(DK266/12)/INDEX('Lease Cycles'!$CP$23:$CV$23,1,DK265))/12))),IF('Lease Cycles'!$N$23=1,'Lease Cycles'!$C$23*'Lease Cycles'!$E$23*INDEX('Lease Cycles'!$HE$23:$HK$23,1,DK265)*(1+INDEX('Lease Cycles'!$GQ$23:$GW$23,1,DK265))^INT(INT((DK$6-INDEX('Lease Cycles'!$GJ$23:$GP$23,1,DK265))/12)/INDEX('Lease Cycles'!$GX$23:$HD$23,1,DK265))/12,0)))</f>
        <v>0</v>
      </c>
      <c r="DL268" s="28">
        <f>IF(DL265=0,IF('Lease Cycles'!$F$23&gt;0,'Lease Cycles'!$C$23*'Lease Cycles'!$E$23/12,0),IF(DL267=1,IF('Lease Cycles'!$AT$23&gt;=9999,'Lease Cycles'!$C$23*INDEX('Lease Cycles'!$CB$23:$CH$23,1,DL265)*(1+INDEX('Lease Cycles'!$CI$23:$CO$23,1,DL265))^INT(INT(DL266/12)/INDEX('Lease Cycles'!$CP$23:$CV$23,1,DL265))/12,IF(DL265=1,IF(DL266&gt;=INDEX('Lease Cycles'!$DK$23:$DQ$23,1,DL265),IF(DL$6&gt;='Lease Cycles'!$AZ$23,'Lease Cycles'!$C$23*'Lease Cycles'!$BA$23/12,IF(DL$6&gt;='Lease Cycles'!$AX$23,'Lease Cycles'!$C$23*'Lease Cycles'!$AY$23/12,IF(DL$6&gt;='Lease Cycles'!$AV$23,'Lease Cycles'!$C$23*'Lease Cycles'!$AW$23/12,IF(DL$6&gt;='Lease Cycles'!$AT$23,'Lease Cycles'!$C$23*'Lease Cycles'!$AU$23/12,'Lease Cycles'!$C$23*INDEX('Lease Cycles'!$CB$23:$CH$23,1,DL265)*(1+INDEX('Lease Cycles'!$CI$23:$CO$23,1,DL265))^INT(INT(DL266/12)/INDEX('Lease Cycles'!$CP$23:$CV$23,1,DL265))/12)))),'Lease Cycles'!$C$23*INDEX('Lease Cycles'!$CB$23:$CH$23,1,DL265)*(1+INDEX('Lease Cycles'!$CI$23:$CO$23,1,DL265))^INT(INT(DL266/12)/INDEX('Lease Cycles'!$CP$23:$CV$23,1,DL265))/12),IF(INDEX('Lease Cycles'!$EF$23:$EL$23,1,DL265)=1,IF(AND('Lease Cycles'!$AZ$23&gt;=INDEX('Lease Cycles'!$BG$23:$BM$23,1,DL265),'Lease Cycles'!$AZ$23&lt;=DL$6),'Lease Cycles'!$C$23*'Lease Cycles'!$BA$23/12,IF(AND('Lease Cycles'!$AX$23&gt;=INDEX('Lease Cycles'!$BG$23:$BM$23,1,DL265),'Lease Cycles'!$AX$23&lt;=DL$6),'Lease Cycles'!$C$23*'Lease Cycles'!$AY$23/12,IF(AND('Lease Cycles'!$AV$23&gt;=INDEX('Lease Cycles'!$BG$23:$BM$23,1,DL265),'Lease Cycles'!$AV$23&lt;=DL$6),'Lease Cycles'!$C$23*'Lease Cycles'!$AW$23/12,IF(AND('Lease Cycles'!$AT$23&gt;=INDEX('Lease Cycles'!$BG$23:$BM$23,1,DL265),'Lease Cycles'!$AT$23&lt;=DL$6),'Lease Cycles'!$C$23*'Lease Cycles'!$AU$23/12,'Lease Cycles'!$C$23*INDEX('Lease Cycles'!$CB$23:$CH$23,1,DL265)*(1+INDEX('Lease Cycles'!$CI$23:$CO$23,1,DL265))^INT(INT(DL266/12)/INDEX('Lease Cycles'!$CP$23:$CV$23,1,DL265))/12)))),'Lease Cycles'!$C$23*INDEX('Lease Cycles'!$CB$23:$CH$23,1,DL265)*(1+INDEX('Lease Cycles'!$CI$23:$CO$23,1,DL265))^INT(INT(DL266/12)/INDEX('Lease Cycles'!$CP$23:$CV$23,1,DL265))/12))),IF('Lease Cycles'!$N$23=1,'Lease Cycles'!$C$23*'Lease Cycles'!$E$23*INDEX('Lease Cycles'!$HE$23:$HK$23,1,DL265)*(1+INDEX('Lease Cycles'!$GQ$23:$GW$23,1,DL265))^INT(INT((DL$6-INDEX('Lease Cycles'!$GJ$23:$GP$23,1,DL265))/12)/INDEX('Lease Cycles'!$GX$23:$HD$23,1,DL265))/12,0)))</f>
        <v>0</v>
      </c>
      <c r="DM268" s="28">
        <f>IF(DM265=0,IF('Lease Cycles'!$F$23&gt;0,'Lease Cycles'!$C$23*'Lease Cycles'!$E$23/12,0),IF(DM267=1,IF('Lease Cycles'!$AT$23&gt;=9999,'Lease Cycles'!$C$23*INDEX('Lease Cycles'!$CB$23:$CH$23,1,DM265)*(1+INDEX('Lease Cycles'!$CI$23:$CO$23,1,DM265))^INT(INT(DM266/12)/INDEX('Lease Cycles'!$CP$23:$CV$23,1,DM265))/12,IF(DM265=1,IF(DM266&gt;=INDEX('Lease Cycles'!$DK$23:$DQ$23,1,DM265),IF(DM$6&gt;='Lease Cycles'!$AZ$23,'Lease Cycles'!$C$23*'Lease Cycles'!$BA$23/12,IF(DM$6&gt;='Lease Cycles'!$AX$23,'Lease Cycles'!$C$23*'Lease Cycles'!$AY$23/12,IF(DM$6&gt;='Lease Cycles'!$AV$23,'Lease Cycles'!$C$23*'Lease Cycles'!$AW$23/12,IF(DM$6&gt;='Lease Cycles'!$AT$23,'Lease Cycles'!$C$23*'Lease Cycles'!$AU$23/12,'Lease Cycles'!$C$23*INDEX('Lease Cycles'!$CB$23:$CH$23,1,DM265)*(1+INDEX('Lease Cycles'!$CI$23:$CO$23,1,DM265))^INT(INT(DM266/12)/INDEX('Lease Cycles'!$CP$23:$CV$23,1,DM265))/12)))),'Lease Cycles'!$C$23*INDEX('Lease Cycles'!$CB$23:$CH$23,1,DM265)*(1+INDEX('Lease Cycles'!$CI$23:$CO$23,1,DM265))^INT(INT(DM266/12)/INDEX('Lease Cycles'!$CP$23:$CV$23,1,DM265))/12),IF(INDEX('Lease Cycles'!$EF$23:$EL$23,1,DM265)=1,IF(AND('Lease Cycles'!$AZ$23&gt;=INDEX('Lease Cycles'!$BG$23:$BM$23,1,DM265),'Lease Cycles'!$AZ$23&lt;=DM$6),'Lease Cycles'!$C$23*'Lease Cycles'!$BA$23/12,IF(AND('Lease Cycles'!$AX$23&gt;=INDEX('Lease Cycles'!$BG$23:$BM$23,1,DM265),'Lease Cycles'!$AX$23&lt;=DM$6),'Lease Cycles'!$C$23*'Lease Cycles'!$AY$23/12,IF(AND('Lease Cycles'!$AV$23&gt;=INDEX('Lease Cycles'!$BG$23:$BM$23,1,DM265),'Lease Cycles'!$AV$23&lt;=DM$6),'Lease Cycles'!$C$23*'Lease Cycles'!$AW$23/12,IF(AND('Lease Cycles'!$AT$23&gt;=INDEX('Lease Cycles'!$BG$23:$BM$23,1,DM265),'Lease Cycles'!$AT$23&lt;=DM$6),'Lease Cycles'!$C$23*'Lease Cycles'!$AU$23/12,'Lease Cycles'!$C$23*INDEX('Lease Cycles'!$CB$23:$CH$23,1,DM265)*(1+INDEX('Lease Cycles'!$CI$23:$CO$23,1,DM265))^INT(INT(DM266/12)/INDEX('Lease Cycles'!$CP$23:$CV$23,1,DM265))/12)))),'Lease Cycles'!$C$23*INDEX('Lease Cycles'!$CB$23:$CH$23,1,DM265)*(1+INDEX('Lease Cycles'!$CI$23:$CO$23,1,DM265))^INT(INT(DM266/12)/INDEX('Lease Cycles'!$CP$23:$CV$23,1,DM265))/12))),IF('Lease Cycles'!$N$23=1,'Lease Cycles'!$C$23*'Lease Cycles'!$E$23*INDEX('Lease Cycles'!$HE$23:$HK$23,1,DM265)*(1+INDEX('Lease Cycles'!$GQ$23:$GW$23,1,DM265))^INT(INT((DM$6-INDEX('Lease Cycles'!$GJ$23:$GP$23,1,DM265))/12)/INDEX('Lease Cycles'!$GX$23:$HD$23,1,DM265))/12,0)))</f>
        <v>0</v>
      </c>
      <c r="DN268" s="28">
        <f>IF(DN265=0,IF('Lease Cycles'!$F$23&gt;0,'Lease Cycles'!$C$23*'Lease Cycles'!$E$23/12,0),IF(DN267=1,IF('Lease Cycles'!$AT$23&gt;=9999,'Lease Cycles'!$C$23*INDEX('Lease Cycles'!$CB$23:$CH$23,1,DN265)*(1+INDEX('Lease Cycles'!$CI$23:$CO$23,1,DN265))^INT(INT(DN266/12)/INDEX('Lease Cycles'!$CP$23:$CV$23,1,DN265))/12,IF(DN265=1,IF(DN266&gt;=INDEX('Lease Cycles'!$DK$23:$DQ$23,1,DN265),IF(DN$6&gt;='Lease Cycles'!$AZ$23,'Lease Cycles'!$C$23*'Lease Cycles'!$BA$23/12,IF(DN$6&gt;='Lease Cycles'!$AX$23,'Lease Cycles'!$C$23*'Lease Cycles'!$AY$23/12,IF(DN$6&gt;='Lease Cycles'!$AV$23,'Lease Cycles'!$C$23*'Lease Cycles'!$AW$23/12,IF(DN$6&gt;='Lease Cycles'!$AT$23,'Lease Cycles'!$C$23*'Lease Cycles'!$AU$23/12,'Lease Cycles'!$C$23*INDEX('Lease Cycles'!$CB$23:$CH$23,1,DN265)*(1+INDEX('Lease Cycles'!$CI$23:$CO$23,1,DN265))^INT(INT(DN266/12)/INDEX('Lease Cycles'!$CP$23:$CV$23,1,DN265))/12)))),'Lease Cycles'!$C$23*INDEX('Lease Cycles'!$CB$23:$CH$23,1,DN265)*(1+INDEX('Lease Cycles'!$CI$23:$CO$23,1,DN265))^INT(INT(DN266/12)/INDEX('Lease Cycles'!$CP$23:$CV$23,1,DN265))/12),IF(INDEX('Lease Cycles'!$EF$23:$EL$23,1,DN265)=1,IF(AND('Lease Cycles'!$AZ$23&gt;=INDEX('Lease Cycles'!$BG$23:$BM$23,1,DN265),'Lease Cycles'!$AZ$23&lt;=DN$6),'Lease Cycles'!$C$23*'Lease Cycles'!$BA$23/12,IF(AND('Lease Cycles'!$AX$23&gt;=INDEX('Lease Cycles'!$BG$23:$BM$23,1,DN265),'Lease Cycles'!$AX$23&lt;=DN$6),'Lease Cycles'!$C$23*'Lease Cycles'!$AY$23/12,IF(AND('Lease Cycles'!$AV$23&gt;=INDEX('Lease Cycles'!$BG$23:$BM$23,1,DN265),'Lease Cycles'!$AV$23&lt;=DN$6),'Lease Cycles'!$C$23*'Lease Cycles'!$AW$23/12,IF(AND('Lease Cycles'!$AT$23&gt;=INDEX('Lease Cycles'!$BG$23:$BM$23,1,DN265),'Lease Cycles'!$AT$23&lt;=DN$6),'Lease Cycles'!$C$23*'Lease Cycles'!$AU$23/12,'Lease Cycles'!$C$23*INDEX('Lease Cycles'!$CB$23:$CH$23,1,DN265)*(1+INDEX('Lease Cycles'!$CI$23:$CO$23,1,DN265))^INT(INT(DN266/12)/INDEX('Lease Cycles'!$CP$23:$CV$23,1,DN265))/12)))),'Lease Cycles'!$C$23*INDEX('Lease Cycles'!$CB$23:$CH$23,1,DN265)*(1+INDEX('Lease Cycles'!$CI$23:$CO$23,1,DN265))^INT(INT(DN266/12)/INDEX('Lease Cycles'!$CP$23:$CV$23,1,DN265))/12))),IF('Lease Cycles'!$N$23=1,'Lease Cycles'!$C$23*'Lease Cycles'!$E$23*INDEX('Lease Cycles'!$HE$23:$HK$23,1,DN265)*(1+INDEX('Lease Cycles'!$GQ$23:$GW$23,1,DN265))^INT(INT((DN$6-INDEX('Lease Cycles'!$GJ$23:$GP$23,1,DN265))/12)/INDEX('Lease Cycles'!$GX$23:$HD$23,1,DN265))/12,0)))</f>
        <v>0</v>
      </c>
      <c r="DO268" s="28">
        <f>IF(DO265=0,IF('Lease Cycles'!$F$23&gt;0,'Lease Cycles'!$C$23*'Lease Cycles'!$E$23/12,0),IF(DO267=1,IF('Lease Cycles'!$AT$23&gt;=9999,'Lease Cycles'!$C$23*INDEX('Lease Cycles'!$CB$23:$CH$23,1,DO265)*(1+INDEX('Lease Cycles'!$CI$23:$CO$23,1,DO265))^INT(INT(DO266/12)/INDEX('Lease Cycles'!$CP$23:$CV$23,1,DO265))/12,IF(DO265=1,IF(DO266&gt;=INDEX('Lease Cycles'!$DK$23:$DQ$23,1,DO265),IF(DO$6&gt;='Lease Cycles'!$AZ$23,'Lease Cycles'!$C$23*'Lease Cycles'!$BA$23/12,IF(DO$6&gt;='Lease Cycles'!$AX$23,'Lease Cycles'!$C$23*'Lease Cycles'!$AY$23/12,IF(DO$6&gt;='Lease Cycles'!$AV$23,'Lease Cycles'!$C$23*'Lease Cycles'!$AW$23/12,IF(DO$6&gt;='Lease Cycles'!$AT$23,'Lease Cycles'!$C$23*'Lease Cycles'!$AU$23/12,'Lease Cycles'!$C$23*INDEX('Lease Cycles'!$CB$23:$CH$23,1,DO265)*(1+INDEX('Lease Cycles'!$CI$23:$CO$23,1,DO265))^INT(INT(DO266/12)/INDEX('Lease Cycles'!$CP$23:$CV$23,1,DO265))/12)))),'Lease Cycles'!$C$23*INDEX('Lease Cycles'!$CB$23:$CH$23,1,DO265)*(1+INDEX('Lease Cycles'!$CI$23:$CO$23,1,DO265))^INT(INT(DO266/12)/INDEX('Lease Cycles'!$CP$23:$CV$23,1,DO265))/12),IF(INDEX('Lease Cycles'!$EF$23:$EL$23,1,DO265)=1,IF(AND('Lease Cycles'!$AZ$23&gt;=INDEX('Lease Cycles'!$BG$23:$BM$23,1,DO265),'Lease Cycles'!$AZ$23&lt;=DO$6),'Lease Cycles'!$C$23*'Lease Cycles'!$BA$23/12,IF(AND('Lease Cycles'!$AX$23&gt;=INDEX('Lease Cycles'!$BG$23:$BM$23,1,DO265),'Lease Cycles'!$AX$23&lt;=DO$6),'Lease Cycles'!$C$23*'Lease Cycles'!$AY$23/12,IF(AND('Lease Cycles'!$AV$23&gt;=INDEX('Lease Cycles'!$BG$23:$BM$23,1,DO265),'Lease Cycles'!$AV$23&lt;=DO$6),'Lease Cycles'!$C$23*'Lease Cycles'!$AW$23/12,IF(AND('Lease Cycles'!$AT$23&gt;=INDEX('Lease Cycles'!$BG$23:$BM$23,1,DO265),'Lease Cycles'!$AT$23&lt;=DO$6),'Lease Cycles'!$C$23*'Lease Cycles'!$AU$23/12,'Lease Cycles'!$C$23*INDEX('Lease Cycles'!$CB$23:$CH$23,1,DO265)*(1+INDEX('Lease Cycles'!$CI$23:$CO$23,1,DO265))^INT(INT(DO266/12)/INDEX('Lease Cycles'!$CP$23:$CV$23,1,DO265))/12)))),'Lease Cycles'!$C$23*INDEX('Lease Cycles'!$CB$23:$CH$23,1,DO265)*(1+INDEX('Lease Cycles'!$CI$23:$CO$23,1,DO265))^INT(INT(DO266/12)/INDEX('Lease Cycles'!$CP$23:$CV$23,1,DO265))/12))),IF('Lease Cycles'!$N$23=1,'Lease Cycles'!$C$23*'Lease Cycles'!$E$23*INDEX('Lease Cycles'!$HE$23:$HK$23,1,DO265)*(1+INDEX('Lease Cycles'!$GQ$23:$GW$23,1,DO265))^INT(INT((DO$6-INDEX('Lease Cycles'!$GJ$23:$GP$23,1,DO265))/12)/INDEX('Lease Cycles'!$GX$23:$HD$23,1,DO265))/12,0)))</f>
        <v>0</v>
      </c>
      <c r="DP268" s="28">
        <f>IF(DP265=0,IF('Lease Cycles'!$F$23&gt;0,'Lease Cycles'!$C$23*'Lease Cycles'!$E$23/12,0),IF(DP267=1,IF('Lease Cycles'!$AT$23&gt;=9999,'Lease Cycles'!$C$23*INDEX('Lease Cycles'!$CB$23:$CH$23,1,DP265)*(1+INDEX('Lease Cycles'!$CI$23:$CO$23,1,DP265))^INT(INT(DP266/12)/INDEX('Lease Cycles'!$CP$23:$CV$23,1,DP265))/12,IF(DP265=1,IF(DP266&gt;=INDEX('Lease Cycles'!$DK$23:$DQ$23,1,DP265),IF(DP$6&gt;='Lease Cycles'!$AZ$23,'Lease Cycles'!$C$23*'Lease Cycles'!$BA$23/12,IF(DP$6&gt;='Lease Cycles'!$AX$23,'Lease Cycles'!$C$23*'Lease Cycles'!$AY$23/12,IF(DP$6&gt;='Lease Cycles'!$AV$23,'Lease Cycles'!$C$23*'Lease Cycles'!$AW$23/12,IF(DP$6&gt;='Lease Cycles'!$AT$23,'Lease Cycles'!$C$23*'Lease Cycles'!$AU$23/12,'Lease Cycles'!$C$23*INDEX('Lease Cycles'!$CB$23:$CH$23,1,DP265)*(1+INDEX('Lease Cycles'!$CI$23:$CO$23,1,DP265))^INT(INT(DP266/12)/INDEX('Lease Cycles'!$CP$23:$CV$23,1,DP265))/12)))),'Lease Cycles'!$C$23*INDEX('Lease Cycles'!$CB$23:$CH$23,1,DP265)*(1+INDEX('Lease Cycles'!$CI$23:$CO$23,1,DP265))^INT(INT(DP266/12)/INDEX('Lease Cycles'!$CP$23:$CV$23,1,DP265))/12),IF(INDEX('Lease Cycles'!$EF$23:$EL$23,1,DP265)=1,IF(AND('Lease Cycles'!$AZ$23&gt;=INDEX('Lease Cycles'!$BG$23:$BM$23,1,DP265),'Lease Cycles'!$AZ$23&lt;=DP$6),'Lease Cycles'!$C$23*'Lease Cycles'!$BA$23/12,IF(AND('Lease Cycles'!$AX$23&gt;=INDEX('Lease Cycles'!$BG$23:$BM$23,1,DP265),'Lease Cycles'!$AX$23&lt;=DP$6),'Lease Cycles'!$C$23*'Lease Cycles'!$AY$23/12,IF(AND('Lease Cycles'!$AV$23&gt;=INDEX('Lease Cycles'!$BG$23:$BM$23,1,DP265),'Lease Cycles'!$AV$23&lt;=DP$6),'Lease Cycles'!$C$23*'Lease Cycles'!$AW$23/12,IF(AND('Lease Cycles'!$AT$23&gt;=INDEX('Lease Cycles'!$BG$23:$BM$23,1,DP265),'Lease Cycles'!$AT$23&lt;=DP$6),'Lease Cycles'!$C$23*'Lease Cycles'!$AU$23/12,'Lease Cycles'!$C$23*INDEX('Lease Cycles'!$CB$23:$CH$23,1,DP265)*(1+INDEX('Lease Cycles'!$CI$23:$CO$23,1,DP265))^INT(INT(DP266/12)/INDEX('Lease Cycles'!$CP$23:$CV$23,1,DP265))/12)))),'Lease Cycles'!$C$23*INDEX('Lease Cycles'!$CB$23:$CH$23,1,DP265)*(1+INDEX('Lease Cycles'!$CI$23:$CO$23,1,DP265))^INT(INT(DP266/12)/INDEX('Lease Cycles'!$CP$23:$CV$23,1,DP265))/12))),IF('Lease Cycles'!$N$23=1,'Lease Cycles'!$C$23*'Lease Cycles'!$E$23*INDEX('Lease Cycles'!$HE$23:$HK$23,1,DP265)*(1+INDEX('Lease Cycles'!$GQ$23:$GW$23,1,DP265))^INT(INT((DP$6-INDEX('Lease Cycles'!$GJ$23:$GP$23,1,DP265))/12)/INDEX('Lease Cycles'!$GX$23:$HD$23,1,DP265))/12,0)))</f>
        <v>0</v>
      </c>
      <c r="DQ268" s="28">
        <f>IF(DQ265=0,IF('Lease Cycles'!$F$23&gt;0,'Lease Cycles'!$C$23*'Lease Cycles'!$E$23/12,0),IF(DQ267=1,IF('Lease Cycles'!$AT$23&gt;=9999,'Lease Cycles'!$C$23*INDEX('Lease Cycles'!$CB$23:$CH$23,1,DQ265)*(1+INDEX('Lease Cycles'!$CI$23:$CO$23,1,DQ265))^INT(INT(DQ266/12)/INDEX('Lease Cycles'!$CP$23:$CV$23,1,DQ265))/12,IF(DQ265=1,IF(DQ266&gt;=INDEX('Lease Cycles'!$DK$23:$DQ$23,1,DQ265),IF(DQ$6&gt;='Lease Cycles'!$AZ$23,'Lease Cycles'!$C$23*'Lease Cycles'!$BA$23/12,IF(DQ$6&gt;='Lease Cycles'!$AX$23,'Lease Cycles'!$C$23*'Lease Cycles'!$AY$23/12,IF(DQ$6&gt;='Lease Cycles'!$AV$23,'Lease Cycles'!$C$23*'Lease Cycles'!$AW$23/12,IF(DQ$6&gt;='Lease Cycles'!$AT$23,'Lease Cycles'!$C$23*'Lease Cycles'!$AU$23/12,'Lease Cycles'!$C$23*INDEX('Lease Cycles'!$CB$23:$CH$23,1,DQ265)*(1+INDEX('Lease Cycles'!$CI$23:$CO$23,1,DQ265))^INT(INT(DQ266/12)/INDEX('Lease Cycles'!$CP$23:$CV$23,1,DQ265))/12)))),'Lease Cycles'!$C$23*INDEX('Lease Cycles'!$CB$23:$CH$23,1,DQ265)*(1+INDEX('Lease Cycles'!$CI$23:$CO$23,1,DQ265))^INT(INT(DQ266/12)/INDEX('Lease Cycles'!$CP$23:$CV$23,1,DQ265))/12),IF(INDEX('Lease Cycles'!$EF$23:$EL$23,1,DQ265)=1,IF(AND('Lease Cycles'!$AZ$23&gt;=INDEX('Lease Cycles'!$BG$23:$BM$23,1,DQ265),'Lease Cycles'!$AZ$23&lt;=DQ$6),'Lease Cycles'!$C$23*'Lease Cycles'!$BA$23/12,IF(AND('Lease Cycles'!$AX$23&gt;=INDEX('Lease Cycles'!$BG$23:$BM$23,1,DQ265),'Lease Cycles'!$AX$23&lt;=DQ$6),'Lease Cycles'!$C$23*'Lease Cycles'!$AY$23/12,IF(AND('Lease Cycles'!$AV$23&gt;=INDEX('Lease Cycles'!$BG$23:$BM$23,1,DQ265),'Lease Cycles'!$AV$23&lt;=DQ$6),'Lease Cycles'!$C$23*'Lease Cycles'!$AW$23/12,IF(AND('Lease Cycles'!$AT$23&gt;=INDEX('Lease Cycles'!$BG$23:$BM$23,1,DQ265),'Lease Cycles'!$AT$23&lt;=DQ$6),'Lease Cycles'!$C$23*'Lease Cycles'!$AU$23/12,'Lease Cycles'!$C$23*INDEX('Lease Cycles'!$CB$23:$CH$23,1,DQ265)*(1+INDEX('Lease Cycles'!$CI$23:$CO$23,1,DQ265))^INT(INT(DQ266/12)/INDEX('Lease Cycles'!$CP$23:$CV$23,1,DQ265))/12)))),'Lease Cycles'!$C$23*INDEX('Lease Cycles'!$CB$23:$CH$23,1,DQ265)*(1+INDEX('Lease Cycles'!$CI$23:$CO$23,1,DQ265))^INT(INT(DQ266/12)/INDEX('Lease Cycles'!$CP$23:$CV$23,1,DQ265))/12))),IF('Lease Cycles'!$N$23=1,'Lease Cycles'!$C$23*'Lease Cycles'!$E$23*INDEX('Lease Cycles'!$HE$23:$HK$23,1,DQ265)*(1+INDEX('Lease Cycles'!$GQ$23:$GW$23,1,DQ265))^INT(INT((DQ$6-INDEX('Lease Cycles'!$GJ$23:$GP$23,1,DQ265))/12)/INDEX('Lease Cycles'!$GX$23:$HD$23,1,DQ265))/12,0)))</f>
        <v>0</v>
      </c>
      <c r="DR268" s="28">
        <f>IF(DR265=0,IF('Lease Cycles'!$F$23&gt;0,'Lease Cycles'!$C$23*'Lease Cycles'!$E$23/12,0),IF(DR267=1,IF('Lease Cycles'!$AT$23&gt;=9999,'Lease Cycles'!$C$23*INDEX('Lease Cycles'!$CB$23:$CH$23,1,DR265)*(1+INDEX('Lease Cycles'!$CI$23:$CO$23,1,DR265))^INT(INT(DR266/12)/INDEX('Lease Cycles'!$CP$23:$CV$23,1,DR265))/12,IF(DR265=1,IF(DR266&gt;=INDEX('Lease Cycles'!$DK$23:$DQ$23,1,DR265),IF(DR$6&gt;='Lease Cycles'!$AZ$23,'Lease Cycles'!$C$23*'Lease Cycles'!$BA$23/12,IF(DR$6&gt;='Lease Cycles'!$AX$23,'Lease Cycles'!$C$23*'Lease Cycles'!$AY$23/12,IF(DR$6&gt;='Lease Cycles'!$AV$23,'Lease Cycles'!$C$23*'Lease Cycles'!$AW$23/12,IF(DR$6&gt;='Lease Cycles'!$AT$23,'Lease Cycles'!$C$23*'Lease Cycles'!$AU$23/12,'Lease Cycles'!$C$23*INDEX('Lease Cycles'!$CB$23:$CH$23,1,DR265)*(1+INDEX('Lease Cycles'!$CI$23:$CO$23,1,DR265))^INT(INT(DR266/12)/INDEX('Lease Cycles'!$CP$23:$CV$23,1,DR265))/12)))),'Lease Cycles'!$C$23*INDEX('Lease Cycles'!$CB$23:$CH$23,1,DR265)*(1+INDEX('Lease Cycles'!$CI$23:$CO$23,1,DR265))^INT(INT(DR266/12)/INDEX('Lease Cycles'!$CP$23:$CV$23,1,DR265))/12),IF(INDEX('Lease Cycles'!$EF$23:$EL$23,1,DR265)=1,IF(AND('Lease Cycles'!$AZ$23&gt;=INDEX('Lease Cycles'!$BG$23:$BM$23,1,DR265),'Lease Cycles'!$AZ$23&lt;=DR$6),'Lease Cycles'!$C$23*'Lease Cycles'!$BA$23/12,IF(AND('Lease Cycles'!$AX$23&gt;=INDEX('Lease Cycles'!$BG$23:$BM$23,1,DR265),'Lease Cycles'!$AX$23&lt;=DR$6),'Lease Cycles'!$C$23*'Lease Cycles'!$AY$23/12,IF(AND('Lease Cycles'!$AV$23&gt;=INDEX('Lease Cycles'!$BG$23:$BM$23,1,DR265),'Lease Cycles'!$AV$23&lt;=DR$6),'Lease Cycles'!$C$23*'Lease Cycles'!$AW$23/12,IF(AND('Lease Cycles'!$AT$23&gt;=INDEX('Lease Cycles'!$BG$23:$BM$23,1,DR265),'Lease Cycles'!$AT$23&lt;=DR$6),'Lease Cycles'!$C$23*'Lease Cycles'!$AU$23/12,'Lease Cycles'!$C$23*INDEX('Lease Cycles'!$CB$23:$CH$23,1,DR265)*(1+INDEX('Lease Cycles'!$CI$23:$CO$23,1,DR265))^INT(INT(DR266/12)/INDEX('Lease Cycles'!$CP$23:$CV$23,1,DR265))/12)))),'Lease Cycles'!$C$23*INDEX('Lease Cycles'!$CB$23:$CH$23,1,DR265)*(1+INDEX('Lease Cycles'!$CI$23:$CO$23,1,DR265))^INT(INT(DR266/12)/INDEX('Lease Cycles'!$CP$23:$CV$23,1,DR265))/12))),IF('Lease Cycles'!$N$23=1,'Lease Cycles'!$C$23*'Lease Cycles'!$E$23*INDEX('Lease Cycles'!$HE$23:$HK$23,1,DR265)*(1+INDEX('Lease Cycles'!$GQ$23:$GW$23,1,DR265))^INT(INT((DR$6-INDEX('Lease Cycles'!$GJ$23:$GP$23,1,DR265))/12)/INDEX('Lease Cycles'!$GX$23:$HD$23,1,DR265))/12,0)))</f>
        <v>0</v>
      </c>
      <c r="DS268" s="28">
        <f>IF(DS265=0,IF('Lease Cycles'!$F$23&gt;0,'Lease Cycles'!$C$23*'Lease Cycles'!$E$23/12,0),IF(DS267=1,IF('Lease Cycles'!$AT$23&gt;=9999,'Lease Cycles'!$C$23*INDEX('Lease Cycles'!$CB$23:$CH$23,1,DS265)*(1+INDEX('Lease Cycles'!$CI$23:$CO$23,1,DS265))^INT(INT(DS266/12)/INDEX('Lease Cycles'!$CP$23:$CV$23,1,DS265))/12,IF(DS265=1,IF(DS266&gt;=INDEX('Lease Cycles'!$DK$23:$DQ$23,1,DS265),IF(DS$6&gt;='Lease Cycles'!$AZ$23,'Lease Cycles'!$C$23*'Lease Cycles'!$BA$23/12,IF(DS$6&gt;='Lease Cycles'!$AX$23,'Lease Cycles'!$C$23*'Lease Cycles'!$AY$23/12,IF(DS$6&gt;='Lease Cycles'!$AV$23,'Lease Cycles'!$C$23*'Lease Cycles'!$AW$23/12,IF(DS$6&gt;='Lease Cycles'!$AT$23,'Lease Cycles'!$C$23*'Lease Cycles'!$AU$23/12,'Lease Cycles'!$C$23*INDEX('Lease Cycles'!$CB$23:$CH$23,1,DS265)*(1+INDEX('Lease Cycles'!$CI$23:$CO$23,1,DS265))^INT(INT(DS266/12)/INDEX('Lease Cycles'!$CP$23:$CV$23,1,DS265))/12)))),'Lease Cycles'!$C$23*INDEX('Lease Cycles'!$CB$23:$CH$23,1,DS265)*(1+INDEX('Lease Cycles'!$CI$23:$CO$23,1,DS265))^INT(INT(DS266/12)/INDEX('Lease Cycles'!$CP$23:$CV$23,1,DS265))/12),IF(INDEX('Lease Cycles'!$EF$23:$EL$23,1,DS265)=1,IF(AND('Lease Cycles'!$AZ$23&gt;=INDEX('Lease Cycles'!$BG$23:$BM$23,1,DS265),'Lease Cycles'!$AZ$23&lt;=DS$6),'Lease Cycles'!$C$23*'Lease Cycles'!$BA$23/12,IF(AND('Lease Cycles'!$AX$23&gt;=INDEX('Lease Cycles'!$BG$23:$BM$23,1,DS265),'Lease Cycles'!$AX$23&lt;=DS$6),'Lease Cycles'!$C$23*'Lease Cycles'!$AY$23/12,IF(AND('Lease Cycles'!$AV$23&gt;=INDEX('Lease Cycles'!$BG$23:$BM$23,1,DS265),'Lease Cycles'!$AV$23&lt;=DS$6),'Lease Cycles'!$C$23*'Lease Cycles'!$AW$23/12,IF(AND('Lease Cycles'!$AT$23&gt;=INDEX('Lease Cycles'!$BG$23:$BM$23,1,DS265),'Lease Cycles'!$AT$23&lt;=DS$6),'Lease Cycles'!$C$23*'Lease Cycles'!$AU$23/12,'Lease Cycles'!$C$23*INDEX('Lease Cycles'!$CB$23:$CH$23,1,DS265)*(1+INDEX('Lease Cycles'!$CI$23:$CO$23,1,DS265))^INT(INT(DS266/12)/INDEX('Lease Cycles'!$CP$23:$CV$23,1,DS265))/12)))),'Lease Cycles'!$C$23*INDEX('Lease Cycles'!$CB$23:$CH$23,1,DS265)*(1+INDEX('Lease Cycles'!$CI$23:$CO$23,1,DS265))^INT(INT(DS266/12)/INDEX('Lease Cycles'!$CP$23:$CV$23,1,DS265))/12))),IF('Lease Cycles'!$N$23=1,'Lease Cycles'!$C$23*'Lease Cycles'!$E$23*INDEX('Lease Cycles'!$HE$23:$HK$23,1,DS265)*(1+INDEX('Lease Cycles'!$GQ$23:$GW$23,1,DS265))^INT(INT((DS$6-INDEX('Lease Cycles'!$GJ$23:$GP$23,1,DS265))/12)/INDEX('Lease Cycles'!$GX$23:$HD$23,1,DS265))/12,0)))</f>
        <v>0</v>
      </c>
      <c r="DT268" s="28">
        <f>IF(DT265=0,IF('Lease Cycles'!$F$23&gt;0,'Lease Cycles'!$C$23*'Lease Cycles'!$E$23/12,0),IF(DT267=1,IF('Lease Cycles'!$AT$23&gt;=9999,'Lease Cycles'!$C$23*INDEX('Lease Cycles'!$CB$23:$CH$23,1,DT265)*(1+INDEX('Lease Cycles'!$CI$23:$CO$23,1,DT265))^INT(INT(DT266/12)/INDEX('Lease Cycles'!$CP$23:$CV$23,1,DT265))/12,IF(DT265=1,IF(DT266&gt;=INDEX('Lease Cycles'!$DK$23:$DQ$23,1,DT265),IF(DT$6&gt;='Lease Cycles'!$AZ$23,'Lease Cycles'!$C$23*'Lease Cycles'!$BA$23/12,IF(DT$6&gt;='Lease Cycles'!$AX$23,'Lease Cycles'!$C$23*'Lease Cycles'!$AY$23/12,IF(DT$6&gt;='Lease Cycles'!$AV$23,'Lease Cycles'!$C$23*'Lease Cycles'!$AW$23/12,IF(DT$6&gt;='Lease Cycles'!$AT$23,'Lease Cycles'!$C$23*'Lease Cycles'!$AU$23/12,'Lease Cycles'!$C$23*INDEX('Lease Cycles'!$CB$23:$CH$23,1,DT265)*(1+INDEX('Lease Cycles'!$CI$23:$CO$23,1,DT265))^INT(INT(DT266/12)/INDEX('Lease Cycles'!$CP$23:$CV$23,1,DT265))/12)))),'Lease Cycles'!$C$23*INDEX('Lease Cycles'!$CB$23:$CH$23,1,DT265)*(1+INDEX('Lease Cycles'!$CI$23:$CO$23,1,DT265))^INT(INT(DT266/12)/INDEX('Lease Cycles'!$CP$23:$CV$23,1,DT265))/12),IF(INDEX('Lease Cycles'!$EF$23:$EL$23,1,DT265)=1,IF(AND('Lease Cycles'!$AZ$23&gt;=INDEX('Lease Cycles'!$BG$23:$BM$23,1,DT265),'Lease Cycles'!$AZ$23&lt;=DT$6),'Lease Cycles'!$C$23*'Lease Cycles'!$BA$23/12,IF(AND('Lease Cycles'!$AX$23&gt;=INDEX('Lease Cycles'!$BG$23:$BM$23,1,DT265),'Lease Cycles'!$AX$23&lt;=DT$6),'Lease Cycles'!$C$23*'Lease Cycles'!$AY$23/12,IF(AND('Lease Cycles'!$AV$23&gt;=INDEX('Lease Cycles'!$BG$23:$BM$23,1,DT265),'Lease Cycles'!$AV$23&lt;=DT$6),'Lease Cycles'!$C$23*'Lease Cycles'!$AW$23/12,IF(AND('Lease Cycles'!$AT$23&gt;=INDEX('Lease Cycles'!$BG$23:$BM$23,1,DT265),'Lease Cycles'!$AT$23&lt;=DT$6),'Lease Cycles'!$C$23*'Lease Cycles'!$AU$23/12,'Lease Cycles'!$C$23*INDEX('Lease Cycles'!$CB$23:$CH$23,1,DT265)*(1+INDEX('Lease Cycles'!$CI$23:$CO$23,1,DT265))^INT(INT(DT266/12)/INDEX('Lease Cycles'!$CP$23:$CV$23,1,DT265))/12)))),'Lease Cycles'!$C$23*INDEX('Lease Cycles'!$CB$23:$CH$23,1,DT265)*(1+INDEX('Lease Cycles'!$CI$23:$CO$23,1,DT265))^INT(INT(DT266/12)/INDEX('Lease Cycles'!$CP$23:$CV$23,1,DT265))/12))),IF('Lease Cycles'!$N$23=1,'Lease Cycles'!$C$23*'Lease Cycles'!$E$23*INDEX('Lease Cycles'!$HE$23:$HK$23,1,DT265)*(1+INDEX('Lease Cycles'!$GQ$23:$GW$23,1,DT265))^INT(INT((DT$6-INDEX('Lease Cycles'!$GJ$23:$GP$23,1,DT265))/12)/INDEX('Lease Cycles'!$GX$23:$HD$23,1,DT265))/12,0)))</f>
        <v>0</v>
      </c>
      <c r="DU268" s="28">
        <f>IF(DU265=0,IF('Lease Cycles'!$F$23&gt;0,'Lease Cycles'!$C$23*'Lease Cycles'!$E$23/12,0),IF(DU267=1,IF('Lease Cycles'!$AT$23&gt;=9999,'Lease Cycles'!$C$23*INDEX('Lease Cycles'!$CB$23:$CH$23,1,DU265)*(1+INDEX('Lease Cycles'!$CI$23:$CO$23,1,DU265))^INT(INT(DU266/12)/INDEX('Lease Cycles'!$CP$23:$CV$23,1,DU265))/12,IF(DU265=1,IF(DU266&gt;=INDEX('Lease Cycles'!$DK$23:$DQ$23,1,DU265),IF(DU$6&gt;='Lease Cycles'!$AZ$23,'Lease Cycles'!$C$23*'Lease Cycles'!$BA$23/12,IF(DU$6&gt;='Lease Cycles'!$AX$23,'Lease Cycles'!$C$23*'Lease Cycles'!$AY$23/12,IF(DU$6&gt;='Lease Cycles'!$AV$23,'Lease Cycles'!$C$23*'Lease Cycles'!$AW$23/12,IF(DU$6&gt;='Lease Cycles'!$AT$23,'Lease Cycles'!$C$23*'Lease Cycles'!$AU$23/12,'Lease Cycles'!$C$23*INDEX('Lease Cycles'!$CB$23:$CH$23,1,DU265)*(1+INDEX('Lease Cycles'!$CI$23:$CO$23,1,DU265))^INT(INT(DU266/12)/INDEX('Lease Cycles'!$CP$23:$CV$23,1,DU265))/12)))),'Lease Cycles'!$C$23*INDEX('Lease Cycles'!$CB$23:$CH$23,1,DU265)*(1+INDEX('Lease Cycles'!$CI$23:$CO$23,1,DU265))^INT(INT(DU266/12)/INDEX('Lease Cycles'!$CP$23:$CV$23,1,DU265))/12),IF(INDEX('Lease Cycles'!$EF$23:$EL$23,1,DU265)=1,IF(AND('Lease Cycles'!$AZ$23&gt;=INDEX('Lease Cycles'!$BG$23:$BM$23,1,DU265),'Lease Cycles'!$AZ$23&lt;=DU$6),'Lease Cycles'!$C$23*'Lease Cycles'!$BA$23/12,IF(AND('Lease Cycles'!$AX$23&gt;=INDEX('Lease Cycles'!$BG$23:$BM$23,1,DU265),'Lease Cycles'!$AX$23&lt;=DU$6),'Lease Cycles'!$C$23*'Lease Cycles'!$AY$23/12,IF(AND('Lease Cycles'!$AV$23&gt;=INDEX('Lease Cycles'!$BG$23:$BM$23,1,DU265),'Lease Cycles'!$AV$23&lt;=DU$6),'Lease Cycles'!$C$23*'Lease Cycles'!$AW$23/12,IF(AND('Lease Cycles'!$AT$23&gt;=INDEX('Lease Cycles'!$BG$23:$BM$23,1,DU265),'Lease Cycles'!$AT$23&lt;=DU$6),'Lease Cycles'!$C$23*'Lease Cycles'!$AU$23/12,'Lease Cycles'!$C$23*INDEX('Lease Cycles'!$CB$23:$CH$23,1,DU265)*(1+INDEX('Lease Cycles'!$CI$23:$CO$23,1,DU265))^INT(INT(DU266/12)/INDEX('Lease Cycles'!$CP$23:$CV$23,1,DU265))/12)))),'Lease Cycles'!$C$23*INDEX('Lease Cycles'!$CB$23:$CH$23,1,DU265)*(1+INDEX('Lease Cycles'!$CI$23:$CO$23,1,DU265))^INT(INT(DU266/12)/INDEX('Lease Cycles'!$CP$23:$CV$23,1,DU265))/12))),IF('Lease Cycles'!$N$23=1,'Lease Cycles'!$C$23*'Lease Cycles'!$E$23*INDEX('Lease Cycles'!$HE$23:$HK$23,1,DU265)*(1+INDEX('Lease Cycles'!$GQ$23:$GW$23,1,DU265))^INT(INT((DU$6-INDEX('Lease Cycles'!$GJ$23:$GP$23,1,DU265))/12)/INDEX('Lease Cycles'!$GX$23:$HD$23,1,DU265))/12,0)))</f>
        <v>0</v>
      </c>
      <c r="DV268" s="28">
        <f>IF(DV265=0,IF('Lease Cycles'!$F$23&gt;0,'Lease Cycles'!$C$23*'Lease Cycles'!$E$23/12,0),IF(DV267=1,IF('Lease Cycles'!$AT$23&gt;=9999,'Lease Cycles'!$C$23*INDEX('Lease Cycles'!$CB$23:$CH$23,1,DV265)*(1+INDEX('Lease Cycles'!$CI$23:$CO$23,1,DV265))^INT(INT(DV266/12)/INDEX('Lease Cycles'!$CP$23:$CV$23,1,DV265))/12,IF(DV265=1,IF(DV266&gt;=INDEX('Lease Cycles'!$DK$23:$DQ$23,1,DV265),IF(DV$6&gt;='Lease Cycles'!$AZ$23,'Lease Cycles'!$C$23*'Lease Cycles'!$BA$23/12,IF(DV$6&gt;='Lease Cycles'!$AX$23,'Lease Cycles'!$C$23*'Lease Cycles'!$AY$23/12,IF(DV$6&gt;='Lease Cycles'!$AV$23,'Lease Cycles'!$C$23*'Lease Cycles'!$AW$23/12,IF(DV$6&gt;='Lease Cycles'!$AT$23,'Lease Cycles'!$C$23*'Lease Cycles'!$AU$23/12,'Lease Cycles'!$C$23*INDEX('Lease Cycles'!$CB$23:$CH$23,1,DV265)*(1+INDEX('Lease Cycles'!$CI$23:$CO$23,1,DV265))^INT(INT(DV266/12)/INDEX('Lease Cycles'!$CP$23:$CV$23,1,DV265))/12)))),'Lease Cycles'!$C$23*INDEX('Lease Cycles'!$CB$23:$CH$23,1,DV265)*(1+INDEX('Lease Cycles'!$CI$23:$CO$23,1,DV265))^INT(INT(DV266/12)/INDEX('Lease Cycles'!$CP$23:$CV$23,1,DV265))/12),IF(INDEX('Lease Cycles'!$EF$23:$EL$23,1,DV265)=1,IF(AND('Lease Cycles'!$AZ$23&gt;=INDEX('Lease Cycles'!$BG$23:$BM$23,1,DV265),'Lease Cycles'!$AZ$23&lt;=DV$6),'Lease Cycles'!$C$23*'Lease Cycles'!$BA$23/12,IF(AND('Lease Cycles'!$AX$23&gt;=INDEX('Lease Cycles'!$BG$23:$BM$23,1,DV265),'Lease Cycles'!$AX$23&lt;=DV$6),'Lease Cycles'!$C$23*'Lease Cycles'!$AY$23/12,IF(AND('Lease Cycles'!$AV$23&gt;=INDEX('Lease Cycles'!$BG$23:$BM$23,1,DV265),'Lease Cycles'!$AV$23&lt;=DV$6),'Lease Cycles'!$C$23*'Lease Cycles'!$AW$23/12,IF(AND('Lease Cycles'!$AT$23&gt;=INDEX('Lease Cycles'!$BG$23:$BM$23,1,DV265),'Lease Cycles'!$AT$23&lt;=DV$6),'Lease Cycles'!$C$23*'Lease Cycles'!$AU$23/12,'Lease Cycles'!$C$23*INDEX('Lease Cycles'!$CB$23:$CH$23,1,DV265)*(1+INDEX('Lease Cycles'!$CI$23:$CO$23,1,DV265))^INT(INT(DV266/12)/INDEX('Lease Cycles'!$CP$23:$CV$23,1,DV265))/12)))),'Lease Cycles'!$C$23*INDEX('Lease Cycles'!$CB$23:$CH$23,1,DV265)*(1+INDEX('Lease Cycles'!$CI$23:$CO$23,1,DV265))^INT(INT(DV266/12)/INDEX('Lease Cycles'!$CP$23:$CV$23,1,DV265))/12))),IF('Lease Cycles'!$N$23=1,'Lease Cycles'!$C$23*'Lease Cycles'!$E$23*INDEX('Lease Cycles'!$HE$23:$HK$23,1,DV265)*(1+INDEX('Lease Cycles'!$GQ$23:$GW$23,1,DV265))^INT(INT((DV$6-INDEX('Lease Cycles'!$GJ$23:$GP$23,1,DV265))/12)/INDEX('Lease Cycles'!$GX$23:$HD$23,1,DV265))/12,0)))</f>
        <v>0</v>
      </c>
      <c r="DW268" s="28">
        <f>IF(DW265=0,IF('Lease Cycles'!$F$23&gt;0,'Lease Cycles'!$C$23*'Lease Cycles'!$E$23/12,0),IF(DW267=1,IF('Lease Cycles'!$AT$23&gt;=9999,'Lease Cycles'!$C$23*INDEX('Lease Cycles'!$CB$23:$CH$23,1,DW265)*(1+INDEX('Lease Cycles'!$CI$23:$CO$23,1,DW265))^INT(INT(DW266/12)/INDEX('Lease Cycles'!$CP$23:$CV$23,1,DW265))/12,IF(DW265=1,IF(DW266&gt;=INDEX('Lease Cycles'!$DK$23:$DQ$23,1,DW265),IF(DW$6&gt;='Lease Cycles'!$AZ$23,'Lease Cycles'!$C$23*'Lease Cycles'!$BA$23/12,IF(DW$6&gt;='Lease Cycles'!$AX$23,'Lease Cycles'!$C$23*'Lease Cycles'!$AY$23/12,IF(DW$6&gt;='Lease Cycles'!$AV$23,'Lease Cycles'!$C$23*'Lease Cycles'!$AW$23/12,IF(DW$6&gt;='Lease Cycles'!$AT$23,'Lease Cycles'!$C$23*'Lease Cycles'!$AU$23/12,'Lease Cycles'!$C$23*INDEX('Lease Cycles'!$CB$23:$CH$23,1,DW265)*(1+INDEX('Lease Cycles'!$CI$23:$CO$23,1,DW265))^INT(INT(DW266/12)/INDEX('Lease Cycles'!$CP$23:$CV$23,1,DW265))/12)))),'Lease Cycles'!$C$23*INDEX('Lease Cycles'!$CB$23:$CH$23,1,DW265)*(1+INDEX('Lease Cycles'!$CI$23:$CO$23,1,DW265))^INT(INT(DW266/12)/INDEX('Lease Cycles'!$CP$23:$CV$23,1,DW265))/12),IF(INDEX('Lease Cycles'!$EF$23:$EL$23,1,DW265)=1,IF(AND('Lease Cycles'!$AZ$23&gt;=INDEX('Lease Cycles'!$BG$23:$BM$23,1,DW265),'Lease Cycles'!$AZ$23&lt;=DW$6),'Lease Cycles'!$C$23*'Lease Cycles'!$BA$23/12,IF(AND('Lease Cycles'!$AX$23&gt;=INDEX('Lease Cycles'!$BG$23:$BM$23,1,DW265),'Lease Cycles'!$AX$23&lt;=DW$6),'Lease Cycles'!$C$23*'Lease Cycles'!$AY$23/12,IF(AND('Lease Cycles'!$AV$23&gt;=INDEX('Lease Cycles'!$BG$23:$BM$23,1,DW265),'Lease Cycles'!$AV$23&lt;=DW$6),'Lease Cycles'!$C$23*'Lease Cycles'!$AW$23/12,IF(AND('Lease Cycles'!$AT$23&gt;=INDEX('Lease Cycles'!$BG$23:$BM$23,1,DW265),'Lease Cycles'!$AT$23&lt;=DW$6),'Lease Cycles'!$C$23*'Lease Cycles'!$AU$23/12,'Lease Cycles'!$C$23*INDEX('Lease Cycles'!$CB$23:$CH$23,1,DW265)*(1+INDEX('Lease Cycles'!$CI$23:$CO$23,1,DW265))^INT(INT(DW266/12)/INDEX('Lease Cycles'!$CP$23:$CV$23,1,DW265))/12)))),'Lease Cycles'!$C$23*INDEX('Lease Cycles'!$CB$23:$CH$23,1,DW265)*(1+INDEX('Lease Cycles'!$CI$23:$CO$23,1,DW265))^INT(INT(DW266/12)/INDEX('Lease Cycles'!$CP$23:$CV$23,1,DW265))/12))),IF('Lease Cycles'!$N$23=1,'Lease Cycles'!$C$23*'Lease Cycles'!$E$23*INDEX('Lease Cycles'!$HE$23:$HK$23,1,DW265)*(1+INDEX('Lease Cycles'!$GQ$23:$GW$23,1,DW265))^INT(INT((DW$6-INDEX('Lease Cycles'!$GJ$23:$GP$23,1,DW265))/12)/INDEX('Lease Cycles'!$GX$23:$HD$23,1,DW265))/12,0)))</f>
        <v>0</v>
      </c>
      <c r="DX268" s="28">
        <f>IF(DX265=0,IF('Lease Cycles'!$F$23&gt;0,'Lease Cycles'!$C$23*'Lease Cycles'!$E$23/12,0),IF(DX267=1,IF('Lease Cycles'!$AT$23&gt;=9999,'Lease Cycles'!$C$23*INDEX('Lease Cycles'!$CB$23:$CH$23,1,DX265)*(1+INDEX('Lease Cycles'!$CI$23:$CO$23,1,DX265))^INT(INT(DX266/12)/INDEX('Lease Cycles'!$CP$23:$CV$23,1,DX265))/12,IF(DX265=1,IF(DX266&gt;=INDEX('Lease Cycles'!$DK$23:$DQ$23,1,DX265),IF(DX$6&gt;='Lease Cycles'!$AZ$23,'Lease Cycles'!$C$23*'Lease Cycles'!$BA$23/12,IF(DX$6&gt;='Lease Cycles'!$AX$23,'Lease Cycles'!$C$23*'Lease Cycles'!$AY$23/12,IF(DX$6&gt;='Lease Cycles'!$AV$23,'Lease Cycles'!$C$23*'Lease Cycles'!$AW$23/12,IF(DX$6&gt;='Lease Cycles'!$AT$23,'Lease Cycles'!$C$23*'Lease Cycles'!$AU$23/12,'Lease Cycles'!$C$23*INDEX('Lease Cycles'!$CB$23:$CH$23,1,DX265)*(1+INDEX('Lease Cycles'!$CI$23:$CO$23,1,DX265))^INT(INT(DX266/12)/INDEX('Lease Cycles'!$CP$23:$CV$23,1,DX265))/12)))),'Lease Cycles'!$C$23*INDEX('Lease Cycles'!$CB$23:$CH$23,1,DX265)*(1+INDEX('Lease Cycles'!$CI$23:$CO$23,1,DX265))^INT(INT(DX266/12)/INDEX('Lease Cycles'!$CP$23:$CV$23,1,DX265))/12),IF(INDEX('Lease Cycles'!$EF$23:$EL$23,1,DX265)=1,IF(AND('Lease Cycles'!$AZ$23&gt;=INDEX('Lease Cycles'!$BG$23:$BM$23,1,DX265),'Lease Cycles'!$AZ$23&lt;=DX$6),'Lease Cycles'!$C$23*'Lease Cycles'!$BA$23/12,IF(AND('Lease Cycles'!$AX$23&gt;=INDEX('Lease Cycles'!$BG$23:$BM$23,1,DX265),'Lease Cycles'!$AX$23&lt;=DX$6),'Lease Cycles'!$C$23*'Lease Cycles'!$AY$23/12,IF(AND('Lease Cycles'!$AV$23&gt;=INDEX('Lease Cycles'!$BG$23:$BM$23,1,DX265),'Lease Cycles'!$AV$23&lt;=DX$6),'Lease Cycles'!$C$23*'Lease Cycles'!$AW$23/12,IF(AND('Lease Cycles'!$AT$23&gt;=INDEX('Lease Cycles'!$BG$23:$BM$23,1,DX265),'Lease Cycles'!$AT$23&lt;=DX$6),'Lease Cycles'!$C$23*'Lease Cycles'!$AU$23/12,'Lease Cycles'!$C$23*INDEX('Lease Cycles'!$CB$23:$CH$23,1,DX265)*(1+INDEX('Lease Cycles'!$CI$23:$CO$23,1,DX265))^INT(INT(DX266/12)/INDEX('Lease Cycles'!$CP$23:$CV$23,1,DX265))/12)))),'Lease Cycles'!$C$23*INDEX('Lease Cycles'!$CB$23:$CH$23,1,DX265)*(1+INDEX('Lease Cycles'!$CI$23:$CO$23,1,DX265))^INT(INT(DX266/12)/INDEX('Lease Cycles'!$CP$23:$CV$23,1,DX265))/12))),IF('Lease Cycles'!$N$23=1,'Lease Cycles'!$C$23*'Lease Cycles'!$E$23*INDEX('Lease Cycles'!$HE$23:$HK$23,1,DX265)*(1+INDEX('Lease Cycles'!$GQ$23:$GW$23,1,DX265))^INT(INT((DX$6-INDEX('Lease Cycles'!$GJ$23:$GP$23,1,DX265))/12)/INDEX('Lease Cycles'!$GX$23:$HD$23,1,DX265))/12,0)))</f>
        <v>0</v>
      </c>
      <c r="DY268" s="28">
        <f>IF(DY265=0,IF('Lease Cycles'!$F$23&gt;0,'Lease Cycles'!$C$23*'Lease Cycles'!$E$23/12,0),IF(DY267=1,IF('Lease Cycles'!$AT$23&gt;=9999,'Lease Cycles'!$C$23*INDEX('Lease Cycles'!$CB$23:$CH$23,1,DY265)*(1+INDEX('Lease Cycles'!$CI$23:$CO$23,1,DY265))^INT(INT(DY266/12)/INDEX('Lease Cycles'!$CP$23:$CV$23,1,DY265))/12,IF(DY265=1,IF(DY266&gt;=INDEX('Lease Cycles'!$DK$23:$DQ$23,1,DY265),IF(DY$6&gt;='Lease Cycles'!$AZ$23,'Lease Cycles'!$C$23*'Lease Cycles'!$BA$23/12,IF(DY$6&gt;='Lease Cycles'!$AX$23,'Lease Cycles'!$C$23*'Lease Cycles'!$AY$23/12,IF(DY$6&gt;='Lease Cycles'!$AV$23,'Lease Cycles'!$C$23*'Lease Cycles'!$AW$23/12,IF(DY$6&gt;='Lease Cycles'!$AT$23,'Lease Cycles'!$C$23*'Lease Cycles'!$AU$23/12,'Lease Cycles'!$C$23*INDEX('Lease Cycles'!$CB$23:$CH$23,1,DY265)*(1+INDEX('Lease Cycles'!$CI$23:$CO$23,1,DY265))^INT(INT(DY266/12)/INDEX('Lease Cycles'!$CP$23:$CV$23,1,DY265))/12)))),'Lease Cycles'!$C$23*INDEX('Lease Cycles'!$CB$23:$CH$23,1,DY265)*(1+INDEX('Lease Cycles'!$CI$23:$CO$23,1,DY265))^INT(INT(DY266/12)/INDEX('Lease Cycles'!$CP$23:$CV$23,1,DY265))/12),IF(INDEX('Lease Cycles'!$EF$23:$EL$23,1,DY265)=1,IF(AND('Lease Cycles'!$AZ$23&gt;=INDEX('Lease Cycles'!$BG$23:$BM$23,1,DY265),'Lease Cycles'!$AZ$23&lt;=DY$6),'Lease Cycles'!$C$23*'Lease Cycles'!$BA$23/12,IF(AND('Lease Cycles'!$AX$23&gt;=INDEX('Lease Cycles'!$BG$23:$BM$23,1,DY265),'Lease Cycles'!$AX$23&lt;=DY$6),'Lease Cycles'!$C$23*'Lease Cycles'!$AY$23/12,IF(AND('Lease Cycles'!$AV$23&gt;=INDEX('Lease Cycles'!$BG$23:$BM$23,1,DY265),'Lease Cycles'!$AV$23&lt;=DY$6),'Lease Cycles'!$C$23*'Lease Cycles'!$AW$23/12,IF(AND('Lease Cycles'!$AT$23&gt;=INDEX('Lease Cycles'!$BG$23:$BM$23,1,DY265),'Lease Cycles'!$AT$23&lt;=DY$6),'Lease Cycles'!$C$23*'Lease Cycles'!$AU$23/12,'Lease Cycles'!$C$23*INDEX('Lease Cycles'!$CB$23:$CH$23,1,DY265)*(1+INDEX('Lease Cycles'!$CI$23:$CO$23,1,DY265))^INT(INT(DY266/12)/INDEX('Lease Cycles'!$CP$23:$CV$23,1,DY265))/12)))),'Lease Cycles'!$C$23*INDEX('Lease Cycles'!$CB$23:$CH$23,1,DY265)*(1+INDEX('Lease Cycles'!$CI$23:$CO$23,1,DY265))^INT(INT(DY266/12)/INDEX('Lease Cycles'!$CP$23:$CV$23,1,DY265))/12))),IF('Lease Cycles'!$N$23=1,'Lease Cycles'!$C$23*'Lease Cycles'!$E$23*INDEX('Lease Cycles'!$HE$23:$HK$23,1,DY265)*(1+INDEX('Lease Cycles'!$GQ$23:$GW$23,1,DY265))^INT(INT((DY$6-INDEX('Lease Cycles'!$GJ$23:$GP$23,1,DY265))/12)/INDEX('Lease Cycles'!$GX$23:$HD$23,1,DY265))/12,0)))</f>
        <v>0</v>
      </c>
      <c r="DZ268" s="28">
        <f>IF(DZ265=0,IF('Lease Cycles'!$F$23&gt;0,'Lease Cycles'!$C$23*'Lease Cycles'!$E$23/12,0),IF(DZ267=1,IF('Lease Cycles'!$AT$23&gt;=9999,'Lease Cycles'!$C$23*INDEX('Lease Cycles'!$CB$23:$CH$23,1,DZ265)*(1+INDEX('Lease Cycles'!$CI$23:$CO$23,1,DZ265))^INT(INT(DZ266/12)/INDEX('Lease Cycles'!$CP$23:$CV$23,1,DZ265))/12,IF(DZ265=1,IF(DZ266&gt;=INDEX('Lease Cycles'!$DK$23:$DQ$23,1,DZ265),IF(DZ$6&gt;='Lease Cycles'!$AZ$23,'Lease Cycles'!$C$23*'Lease Cycles'!$BA$23/12,IF(DZ$6&gt;='Lease Cycles'!$AX$23,'Lease Cycles'!$C$23*'Lease Cycles'!$AY$23/12,IF(DZ$6&gt;='Lease Cycles'!$AV$23,'Lease Cycles'!$C$23*'Lease Cycles'!$AW$23/12,IF(DZ$6&gt;='Lease Cycles'!$AT$23,'Lease Cycles'!$C$23*'Lease Cycles'!$AU$23/12,'Lease Cycles'!$C$23*INDEX('Lease Cycles'!$CB$23:$CH$23,1,DZ265)*(1+INDEX('Lease Cycles'!$CI$23:$CO$23,1,DZ265))^INT(INT(DZ266/12)/INDEX('Lease Cycles'!$CP$23:$CV$23,1,DZ265))/12)))),'Lease Cycles'!$C$23*INDEX('Lease Cycles'!$CB$23:$CH$23,1,DZ265)*(1+INDEX('Lease Cycles'!$CI$23:$CO$23,1,DZ265))^INT(INT(DZ266/12)/INDEX('Lease Cycles'!$CP$23:$CV$23,1,DZ265))/12),IF(INDEX('Lease Cycles'!$EF$23:$EL$23,1,DZ265)=1,IF(AND('Lease Cycles'!$AZ$23&gt;=INDEX('Lease Cycles'!$BG$23:$BM$23,1,DZ265),'Lease Cycles'!$AZ$23&lt;=DZ$6),'Lease Cycles'!$C$23*'Lease Cycles'!$BA$23/12,IF(AND('Lease Cycles'!$AX$23&gt;=INDEX('Lease Cycles'!$BG$23:$BM$23,1,DZ265),'Lease Cycles'!$AX$23&lt;=DZ$6),'Lease Cycles'!$C$23*'Lease Cycles'!$AY$23/12,IF(AND('Lease Cycles'!$AV$23&gt;=INDEX('Lease Cycles'!$BG$23:$BM$23,1,DZ265),'Lease Cycles'!$AV$23&lt;=DZ$6),'Lease Cycles'!$C$23*'Lease Cycles'!$AW$23/12,IF(AND('Lease Cycles'!$AT$23&gt;=INDEX('Lease Cycles'!$BG$23:$BM$23,1,DZ265),'Lease Cycles'!$AT$23&lt;=DZ$6),'Lease Cycles'!$C$23*'Lease Cycles'!$AU$23/12,'Lease Cycles'!$C$23*INDEX('Lease Cycles'!$CB$23:$CH$23,1,DZ265)*(1+INDEX('Lease Cycles'!$CI$23:$CO$23,1,DZ265))^INT(INT(DZ266/12)/INDEX('Lease Cycles'!$CP$23:$CV$23,1,DZ265))/12)))),'Lease Cycles'!$C$23*INDEX('Lease Cycles'!$CB$23:$CH$23,1,DZ265)*(1+INDEX('Lease Cycles'!$CI$23:$CO$23,1,DZ265))^INT(INT(DZ266/12)/INDEX('Lease Cycles'!$CP$23:$CV$23,1,DZ265))/12))),IF('Lease Cycles'!$N$23=1,'Lease Cycles'!$C$23*'Lease Cycles'!$E$23*INDEX('Lease Cycles'!$HE$23:$HK$23,1,DZ265)*(1+INDEX('Lease Cycles'!$GQ$23:$GW$23,1,DZ265))^INT(INT((DZ$6-INDEX('Lease Cycles'!$GJ$23:$GP$23,1,DZ265))/12)/INDEX('Lease Cycles'!$GX$23:$HD$23,1,DZ265))/12,0)))</f>
        <v>0</v>
      </c>
      <c r="EA268" s="28">
        <f>IF(EA265=0,IF('Lease Cycles'!$F$23&gt;0,'Lease Cycles'!$C$23*'Lease Cycles'!$E$23/12,0),IF(EA267=1,IF('Lease Cycles'!$AT$23&gt;=9999,'Lease Cycles'!$C$23*INDEX('Lease Cycles'!$CB$23:$CH$23,1,EA265)*(1+INDEX('Lease Cycles'!$CI$23:$CO$23,1,EA265))^INT(INT(EA266/12)/INDEX('Lease Cycles'!$CP$23:$CV$23,1,EA265))/12,IF(EA265=1,IF(EA266&gt;=INDEX('Lease Cycles'!$DK$23:$DQ$23,1,EA265),IF(EA$6&gt;='Lease Cycles'!$AZ$23,'Lease Cycles'!$C$23*'Lease Cycles'!$BA$23/12,IF(EA$6&gt;='Lease Cycles'!$AX$23,'Lease Cycles'!$C$23*'Lease Cycles'!$AY$23/12,IF(EA$6&gt;='Lease Cycles'!$AV$23,'Lease Cycles'!$C$23*'Lease Cycles'!$AW$23/12,IF(EA$6&gt;='Lease Cycles'!$AT$23,'Lease Cycles'!$C$23*'Lease Cycles'!$AU$23/12,'Lease Cycles'!$C$23*INDEX('Lease Cycles'!$CB$23:$CH$23,1,EA265)*(1+INDEX('Lease Cycles'!$CI$23:$CO$23,1,EA265))^INT(INT(EA266/12)/INDEX('Lease Cycles'!$CP$23:$CV$23,1,EA265))/12)))),'Lease Cycles'!$C$23*INDEX('Lease Cycles'!$CB$23:$CH$23,1,EA265)*(1+INDEX('Lease Cycles'!$CI$23:$CO$23,1,EA265))^INT(INT(EA266/12)/INDEX('Lease Cycles'!$CP$23:$CV$23,1,EA265))/12),IF(INDEX('Lease Cycles'!$EF$23:$EL$23,1,EA265)=1,IF(AND('Lease Cycles'!$AZ$23&gt;=INDEX('Lease Cycles'!$BG$23:$BM$23,1,EA265),'Lease Cycles'!$AZ$23&lt;=EA$6),'Lease Cycles'!$C$23*'Lease Cycles'!$BA$23/12,IF(AND('Lease Cycles'!$AX$23&gt;=INDEX('Lease Cycles'!$BG$23:$BM$23,1,EA265),'Lease Cycles'!$AX$23&lt;=EA$6),'Lease Cycles'!$C$23*'Lease Cycles'!$AY$23/12,IF(AND('Lease Cycles'!$AV$23&gt;=INDEX('Lease Cycles'!$BG$23:$BM$23,1,EA265),'Lease Cycles'!$AV$23&lt;=EA$6),'Lease Cycles'!$C$23*'Lease Cycles'!$AW$23/12,IF(AND('Lease Cycles'!$AT$23&gt;=INDEX('Lease Cycles'!$BG$23:$BM$23,1,EA265),'Lease Cycles'!$AT$23&lt;=EA$6),'Lease Cycles'!$C$23*'Lease Cycles'!$AU$23/12,'Lease Cycles'!$C$23*INDEX('Lease Cycles'!$CB$23:$CH$23,1,EA265)*(1+INDEX('Lease Cycles'!$CI$23:$CO$23,1,EA265))^INT(INT(EA266/12)/INDEX('Lease Cycles'!$CP$23:$CV$23,1,EA265))/12)))),'Lease Cycles'!$C$23*INDEX('Lease Cycles'!$CB$23:$CH$23,1,EA265)*(1+INDEX('Lease Cycles'!$CI$23:$CO$23,1,EA265))^INT(INT(EA266/12)/INDEX('Lease Cycles'!$CP$23:$CV$23,1,EA265))/12))),IF('Lease Cycles'!$N$23=1,'Lease Cycles'!$C$23*'Lease Cycles'!$E$23*INDEX('Lease Cycles'!$HE$23:$HK$23,1,EA265)*(1+INDEX('Lease Cycles'!$GQ$23:$GW$23,1,EA265))^INT(INT((EA$6-INDEX('Lease Cycles'!$GJ$23:$GP$23,1,EA265))/12)/INDEX('Lease Cycles'!$GX$23:$HD$23,1,EA265))/12,0)))</f>
        <v>0</v>
      </c>
      <c r="EB268" s="28">
        <f>IF(EB265=0,IF('Lease Cycles'!$F$23&gt;0,'Lease Cycles'!$C$23*'Lease Cycles'!$E$23/12,0),IF(EB267=1,IF('Lease Cycles'!$AT$23&gt;=9999,'Lease Cycles'!$C$23*INDEX('Lease Cycles'!$CB$23:$CH$23,1,EB265)*(1+INDEX('Lease Cycles'!$CI$23:$CO$23,1,EB265))^INT(INT(EB266/12)/INDEX('Lease Cycles'!$CP$23:$CV$23,1,EB265))/12,IF(EB265=1,IF(EB266&gt;=INDEX('Lease Cycles'!$DK$23:$DQ$23,1,EB265),IF(EB$6&gt;='Lease Cycles'!$AZ$23,'Lease Cycles'!$C$23*'Lease Cycles'!$BA$23/12,IF(EB$6&gt;='Lease Cycles'!$AX$23,'Lease Cycles'!$C$23*'Lease Cycles'!$AY$23/12,IF(EB$6&gt;='Lease Cycles'!$AV$23,'Lease Cycles'!$C$23*'Lease Cycles'!$AW$23/12,IF(EB$6&gt;='Lease Cycles'!$AT$23,'Lease Cycles'!$C$23*'Lease Cycles'!$AU$23/12,'Lease Cycles'!$C$23*INDEX('Lease Cycles'!$CB$23:$CH$23,1,EB265)*(1+INDEX('Lease Cycles'!$CI$23:$CO$23,1,EB265))^INT(INT(EB266/12)/INDEX('Lease Cycles'!$CP$23:$CV$23,1,EB265))/12)))),'Lease Cycles'!$C$23*INDEX('Lease Cycles'!$CB$23:$CH$23,1,EB265)*(1+INDEX('Lease Cycles'!$CI$23:$CO$23,1,EB265))^INT(INT(EB266/12)/INDEX('Lease Cycles'!$CP$23:$CV$23,1,EB265))/12),IF(INDEX('Lease Cycles'!$EF$23:$EL$23,1,EB265)=1,IF(AND('Lease Cycles'!$AZ$23&gt;=INDEX('Lease Cycles'!$BG$23:$BM$23,1,EB265),'Lease Cycles'!$AZ$23&lt;=EB$6),'Lease Cycles'!$C$23*'Lease Cycles'!$BA$23/12,IF(AND('Lease Cycles'!$AX$23&gt;=INDEX('Lease Cycles'!$BG$23:$BM$23,1,EB265),'Lease Cycles'!$AX$23&lt;=EB$6),'Lease Cycles'!$C$23*'Lease Cycles'!$AY$23/12,IF(AND('Lease Cycles'!$AV$23&gt;=INDEX('Lease Cycles'!$BG$23:$BM$23,1,EB265),'Lease Cycles'!$AV$23&lt;=EB$6),'Lease Cycles'!$C$23*'Lease Cycles'!$AW$23/12,IF(AND('Lease Cycles'!$AT$23&gt;=INDEX('Lease Cycles'!$BG$23:$BM$23,1,EB265),'Lease Cycles'!$AT$23&lt;=EB$6),'Lease Cycles'!$C$23*'Lease Cycles'!$AU$23/12,'Lease Cycles'!$C$23*INDEX('Lease Cycles'!$CB$23:$CH$23,1,EB265)*(1+INDEX('Lease Cycles'!$CI$23:$CO$23,1,EB265))^INT(INT(EB266/12)/INDEX('Lease Cycles'!$CP$23:$CV$23,1,EB265))/12)))),'Lease Cycles'!$C$23*INDEX('Lease Cycles'!$CB$23:$CH$23,1,EB265)*(1+INDEX('Lease Cycles'!$CI$23:$CO$23,1,EB265))^INT(INT(EB266/12)/INDEX('Lease Cycles'!$CP$23:$CV$23,1,EB265))/12))),IF('Lease Cycles'!$N$23=1,'Lease Cycles'!$C$23*'Lease Cycles'!$E$23*INDEX('Lease Cycles'!$HE$23:$HK$23,1,EB265)*(1+INDEX('Lease Cycles'!$GQ$23:$GW$23,1,EB265))^INT(INT((EB$6-INDEX('Lease Cycles'!$GJ$23:$GP$23,1,EB265))/12)/INDEX('Lease Cycles'!$GX$23:$HD$23,1,EB265))/12,0)))</f>
        <v>0</v>
      </c>
      <c r="EC268" s="28">
        <f>IF(EC265=0,IF('Lease Cycles'!$F$23&gt;0,'Lease Cycles'!$C$23*'Lease Cycles'!$E$23/12,0),IF(EC267=1,IF('Lease Cycles'!$AT$23&gt;=9999,'Lease Cycles'!$C$23*INDEX('Lease Cycles'!$CB$23:$CH$23,1,EC265)*(1+INDEX('Lease Cycles'!$CI$23:$CO$23,1,EC265))^INT(INT(EC266/12)/INDEX('Lease Cycles'!$CP$23:$CV$23,1,EC265))/12,IF(EC265=1,IF(EC266&gt;=INDEX('Lease Cycles'!$DK$23:$DQ$23,1,EC265),IF(EC$6&gt;='Lease Cycles'!$AZ$23,'Lease Cycles'!$C$23*'Lease Cycles'!$BA$23/12,IF(EC$6&gt;='Lease Cycles'!$AX$23,'Lease Cycles'!$C$23*'Lease Cycles'!$AY$23/12,IF(EC$6&gt;='Lease Cycles'!$AV$23,'Lease Cycles'!$C$23*'Lease Cycles'!$AW$23/12,IF(EC$6&gt;='Lease Cycles'!$AT$23,'Lease Cycles'!$C$23*'Lease Cycles'!$AU$23/12,'Lease Cycles'!$C$23*INDEX('Lease Cycles'!$CB$23:$CH$23,1,EC265)*(1+INDEX('Lease Cycles'!$CI$23:$CO$23,1,EC265))^INT(INT(EC266/12)/INDEX('Lease Cycles'!$CP$23:$CV$23,1,EC265))/12)))),'Lease Cycles'!$C$23*INDEX('Lease Cycles'!$CB$23:$CH$23,1,EC265)*(1+INDEX('Lease Cycles'!$CI$23:$CO$23,1,EC265))^INT(INT(EC266/12)/INDEX('Lease Cycles'!$CP$23:$CV$23,1,EC265))/12),IF(INDEX('Lease Cycles'!$EF$23:$EL$23,1,EC265)=1,IF(AND('Lease Cycles'!$AZ$23&gt;=INDEX('Lease Cycles'!$BG$23:$BM$23,1,EC265),'Lease Cycles'!$AZ$23&lt;=EC$6),'Lease Cycles'!$C$23*'Lease Cycles'!$BA$23/12,IF(AND('Lease Cycles'!$AX$23&gt;=INDEX('Lease Cycles'!$BG$23:$BM$23,1,EC265),'Lease Cycles'!$AX$23&lt;=EC$6),'Lease Cycles'!$C$23*'Lease Cycles'!$AY$23/12,IF(AND('Lease Cycles'!$AV$23&gt;=INDEX('Lease Cycles'!$BG$23:$BM$23,1,EC265),'Lease Cycles'!$AV$23&lt;=EC$6),'Lease Cycles'!$C$23*'Lease Cycles'!$AW$23/12,IF(AND('Lease Cycles'!$AT$23&gt;=INDEX('Lease Cycles'!$BG$23:$BM$23,1,EC265),'Lease Cycles'!$AT$23&lt;=EC$6),'Lease Cycles'!$C$23*'Lease Cycles'!$AU$23/12,'Lease Cycles'!$C$23*INDEX('Lease Cycles'!$CB$23:$CH$23,1,EC265)*(1+INDEX('Lease Cycles'!$CI$23:$CO$23,1,EC265))^INT(INT(EC266/12)/INDEX('Lease Cycles'!$CP$23:$CV$23,1,EC265))/12)))),'Lease Cycles'!$C$23*INDEX('Lease Cycles'!$CB$23:$CH$23,1,EC265)*(1+INDEX('Lease Cycles'!$CI$23:$CO$23,1,EC265))^INT(INT(EC266/12)/INDEX('Lease Cycles'!$CP$23:$CV$23,1,EC265))/12))),IF('Lease Cycles'!$N$23=1,'Lease Cycles'!$C$23*'Lease Cycles'!$E$23*INDEX('Lease Cycles'!$HE$23:$HK$23,1,EC265)*(1+INDEX('Lease Cycles'!$GQ$23:$GW$23,1,EC265))^INT(INT((EC$6-INDEX('Lease Cycles'!$GJ$23:$GP$23,1,EC265))/12)/INDEX('Lease Cycles'!$GX$23:$HD$23,1,EC265))/12,0)))</f>
        <v>0</v>
      </c>
      <c r="ED268" s="28">
        <f>IF(ED265=0,IF('Lease Cycles'!$F$23&gt;0,'Lease Cycles'!$C$23*'Lease Cycles'!$E$23/12,0),IF(ED267=1,IF('Lease Cycles'!$AT$23&gt;=9999,'Lease Cycles'!$C$23*INDEX('Lease Cycles'!$CB$23:$CH$23,1,ED265)*(1+INDEX('Lease Cycles'!$CI$23:$CO$23,1,ED265))^INT(INT(ED266/12)/INDEX('Lease Cycles'!$CP$23:$CV$23,1,ED265))/12,IF(ED265=1,IF(ED266&gt;=INDEX('Lease Cycles'!$DK$23:$DQ$23,1,ED265),IF(ED$6&gt;='Lease Cycles'!$AZ$23,'Lease Cycles'!$C$23*'Lease Cycles'!$BA$23/12,IF(ED$6&gt;='Lease Cycles'!$AX$23,'Lease Cycles'!$C$23*'Lease Cycles'!$AY$23/12,IF(ED$6&gt;='Lease Cycles'!$AV$23,'Lease Cycles'!$C$23*'Lease Cycles'!$AW$23/12,IF(ED$6&gt;='Lease Cycles'!$AT$23,'Lease Cycles'!$C$23*'Lease Cycles'!$AU$23/12,'Lease Cycles'!$C$23*INDEX('Lease Cycles'!$CB$23:$CH$23,1,ED265)*(1+INDEX('Lease Cycles'!$CI$23:$CO$23,1,ED265))^INT(INT(ED266/12)/INDEX('Lease Cycles'!$CP$23:$CV$23,1,ED265))/12)))),'Lease Cycles'!$C$23*INDEX('Lease Cycles'!$CB$23:$CH$23,1,ED265)*(1+INDEX('Lease Cycles'!$CI$23:$CO$23,1,ED265))^INT(INT(ED266/12)/INDEX('Lease Cycles'!$CP$23:$CV$23,1,ED265))/12),IF(INDEX('Lease Cycles'!$EF$23:$EL$23,1,ED265)=1,IF(AND('Lease Cycles'!$AZ$23&gt;=INDEX('Lease Cycles'!$BG$23:$BM$23,1,ED265),'Lease Cycles'!$AZ$23&lt;=ED$6),'Lease Cycles'!$C$23*'Lease Cycles'!$BA$23/12,IF(AND('Lease Cycles'!$AX$23&gt;=INDEX('Lease Cycles'!$BG$23:$BM$23,1,ED265),'Lease Cycles'!$AX$23&lt;=ED$6),'Lease Cycles'!$C$23*'Lease Cycles'!$AY$23/12,IF(AND('Lease Cycles'!$AV$23&gt;=INDEX('Lease Cycles'!$BG$23:$BM$23,1,ED265),'Lease Cycles'!$AV$23&lt;=ED$6),'Lease Cycles'!$C$23*'Lease Cycles'!$AW$23/12,IF(AND('Lease Cycles'!$AT$23&gt;=INDEX('Lease Cycles'!$BG$23:$BM$23,1,ED265),'Lease Cycles'!$AT$23&lt;=ED$6),'Lease Cycles'!$C$23*'Lease Cycles'!$AU$23/12,'Lease Cycles'!$C$23*INDEX('Lease Cycles'!$CB$23:$CH$23,1,ED265)*(1+INDEX('Lease Cycles'!$CI$23:$CO$23,1,ED265))^INT(INT(ED266/12)/INDEX('Lease Cycles'!$CP$23:$CV$23,1,ED265))/12)))),'Lease Cycles'!$C$23*INDEX('Lease Cycles'!$CB$23:$CH$23,1,ED265)*(1+INDEX('Lease Cycles'!$CI$23:$CO$23,1,ED265))^INT(INT(ED266/12)/INDEX('Lease Cycles'!$CP$23:$CV$23,1,ED265))/12))),IF('Lease Cycles'!$N$23=1,'Lease Cycles'!$C$23*'Lease Cycles'!$E$23*INDEX('Lease Cycles'!$HE$23:$HK$23,1,ED265)*(1+INDEX('Lease Cycles'!$GQ$23:$GW$23,1,ED265))^INT(INT((ED$6-INDEX('Lease Cycles'!$GJ$23:$GP$23,1,ED265))/12)/INDEX('Lease Cycles'!$GX$23:$HD$23,1,ED265))/12,0)))</f>
        <v>0</v>
      </c>
      <c r="EE268" s="28">
        <f>IF(EE265=0,IF('Lease Cycles'!$F$23&gt;0,'Lease Cycles'!$C$23*'Lease Cycles'!$E$23/12,0),IF(EE267=1,IF('Lease Cycles'!$AT$23&gt;=9999,'Lease Cycles'!$C$23*INDEX('Lease Cycles'!$CB$23:$CH$23,1,EE265)*(1+INDEX('Lease Cycles'!$CI$23:$CO$23,1,EE265))^INT(INT(EE266/12)/INDEX('Lease Cycles'!$CP$23:$CV$23,1,EE265))/12,IF(EE265=1,IF(EE266&gt;=INDEX('Lease Cycles'!$DK$23:$DQ$23,1,EE265),IF(EE$6&gt;='Lease Cycles'!$AZ$23,'Lease Cycles'!$C$23*'Lease Cycles'!$BA$23/12,IF(EE$6&gt;='Lease Cycles'!$AX$23,'Lease Cycles'!$C$23*'Lease Cycles'!$AY$23/12,IF(EE$6&gt;='Lease Cycles'!$AV$23,'Lease Cycles'!$C$23*'Lease Cycles'!$AW$23/12,IF(EE$6&gt;='Lease Cycles'!$AT$23,'Lease Cycles'!$C$23*'Lease Cycles'!$AU$23/12,'Lease Cycles'!$C$23*INDEX('Lease Cycles'!$CB$23:$CH$23,1,EE265)*(1+INDEX('Lease Cycles'!$CI$23:$CO$23,1,EE265))^INT(INT(EE266/12)/INDEX('Lease Cycles'!$CP$23:$CV$23,1,EE265))/12)))),'Lease Cycles'!$C$23*INDEX('Lease Cycles'!$CB$23:$CH$23,1,EE265)*(1+INDEX('Lease Cycles'!$CI$23:$CO$23,1,EE265))^INT(INT(EE266/12)/INDEX('Lease Cycles'!$CP$23:$CV$23,1,EE265))/12),IF(INDEX('Lease Cycles'!$EF$23:$EL$23,1,EE265)=1,IF(AND('Lease Cycles'!$AZ$23&gt;=INDEX('Lease Cycles'!$BG$23:$BM$23,1,EE265),'Lease Cycles'!$AZ$23&lt;=EE$6),'Lease Cycles'!$C$23*'Lease Cycles'!$BA$23/12,IF(AND('Lease Cycles'!$AX$23&gt;=INDEX('Lease Cycles'!$BG$23:$BM$23,1,EE265),'Lease Cycles'!$AX$23&lt;=EE$6),'Lease Cycles'!$C$23*'Lease Cycles'!$AY$23/12,IF(AND('Lease Cycles'!$AV$23&gt;=INDEX('Lease Cycles'!$BG$23:$BM$23,1,EE265),'Lease Cycles'!$AV$23&lt;=EE$6),'Lease Cycles'!$C$23*'Lease Cycles'!$AW$23/12,IF(AND('Lease Cycles'!$AT$23&gt;=INDEX('Lease Cycles'!$BG$23:$BM$23,1,EE265),'Lease Cycles'!$AT$23&lt;=EE$6),'Lease Cycles'!$C$23*'Lease Cycles'!$AU$23/12,'Lease Cycles'!$C$23*INDEX('Lease Cycles'!$CB$23:$CH$23,1,EE265)*(1+INDEX('Lease Cycles'!$CI$23:$CO$23,1,EE265))^INT(INT(EE266/12)/INDEX('Lease Cycles'!$CP$23:$CV$23,1,EE265))/12)))),'Lease Cycles'!$C$23*INDEX('Lease Cycles'!$CB$23:$CH$23,1,EE265)*(1+INDEX('Lease Cycles'!$CI$23:$CO$23,1,EE265))^INT(INT(EE266/12)/INDEX('Lease Cycles'!$CP$23:$CV$23,1,EE265))/12))),IF('Lease Cycles'!$N$23=1,'Lease Cycles'!$C$23*'Lease Cycles'!$E$23*INDEX('Lease Cycles'!$HE$23:$HK$23,1,EE265)*(1+INDEX('Lease Cycles'!$GQ$23:$GW$23,1,EE265))^INT(INT((EE$6-INDEX('Lease Cycles'!$GJ$23:$GP$23,1,EE265))/12)/INDEX('Lease Cycles'!$GX$23:$HD$23,1,EE265))/12,0)))</f>
        <v>0</v>
      </c>
      <c r="EF268" s="28">
        <f>IF(EF265=0,IF('Lease Cycles'!$F$23&gt;0,'Lease Cycles'!$C$23*'Lease Cycles'!$E$23/12,0),IF(EF267=1,IF('Lease Cycles'!$AT$23&gt;=9999,'Lease Cycles'!$C$23*INDEX('Lease Cycles'!$CB$23:$CH$23,1,EF265)*(1+INDEX('Lease Cycles'!$CI$23:$CO$23,1,EF265))^INT(INT(EF266/12)/INDEX('Lease Cycles'!$CP$23:$CV$23,1,EF265))/12,IF(EF265=1,IF(EF266&gt;=INDEX('Lease Cycles'!$DK$23:$DQ$23,1,EF265),IF(EF$6&gt;='Lease Cycles'!$AZ$23,'Lease Cycles'!$C$23*'Lease Cycles'!$BA$23/12,IF(EF$6&gt;='Lease Cycles'!$AX$23,'Lease Cycles'!$C$23*'Lease Cycles'!$AY$23/12,IF(EF$6&gt;='Lease Cycles'!$AV$23,'Lease Cycles'!$C$23*'Lease Cycles'!$AW$23/12,IF(EF$6&gt;='Lease Cycles'!$AT$23,'Lease Cycles'!$C$23*'Lease Cycles'!$AU$23/12,'Lease Cycles'!$C$23*INDEX('Lease Cycles'!$CB$23:$CH$23,1,EF265)*(1+INDEX('Lease Cycles'!$CI$23:$CO$23,1,EF265))^INT(INT(EF266/12)/INDEX('Lease Cycles'!$CP$23:$CV$23,1,EF265))/12)))),'Lease Cycles'!$C$23*INDEX('Lease Cycles'!$CB$23:$CH$23,1,EF265)*(1+INDEX('Lease Cycles'!$CI$23:$CO$23,1,EF265))^INT(INT(EF266/12)/INDEX('Lease Cycles'!$CP$23:$CV$23,1,EF265))/12),IF(INDEX('Lease Cycles'!$EF$23:$EL$23,1,EF265)=1,IF(AND('Lease Cycles'!$AZ$23&gt;=INDEX('Lease Cycles'!$BG$23:$BM$23,1,EF265),'Lease Cycles'!$AZ$23&lt;=EF$6),'Lease Cycles'!$C$23*'Lease Cycles'!$BA$23/12,IF(AND('Lease Cycles'!$AX$23&gt;=INDEX('Lease Cycles'!$BG$23:$BM$23,1,EF265),'Lease Cycles'!$AX$23&lt;=EF$6),'Lease Cycles'!$C$23*'Lease Cycles'!$AY$23/12,IF(AND('Lease Cycles'!$AV$23&gt;=INDEX('Lease Cycles'!$BG$23:$BM$23,1,EF265),'Lease Cycles'!$AV$23&lt;=EF$6),'Lease Cycles'!$C$23*'Lease Cycles'!$AW$23/12,IF(AND('Lease Cycles'!$AT$23&gt;=INDEX('Lease Cycles'!$BG$23:$BM$23,1,EF265),'Lease Cycles'!$AT$23&lt;=EF$6),'Lease Cycles'!$C$23*'Lease Cycles'!$AU$23/12,'Lease Cycles'!$C$23*INDEX('Lease Cycles'!$CB$23:$CH$23,1,EF265)*(1+INDEX('Lease Cycles'!$CI$23:$CO$23,1,EF265))^INT(INT(EF266/12)/INDEX('Lease Cycles'!$CP$23:$CV$23,1,EF265))/12)))),'Lease Cycles'!$C$23*INDEX('Lease Cycles'!$CB$23:$CH$23,1,EF265)*(1+INDEX('Lease Cycles'!$CI$23:$CO$23,1,EF265))^INT(INT(EF266/12)/INDEX('Lease Cycles'!$CP$23:$CV$23,1,EF265))/12))),IF('Lease Cycles'!$N$23=1,'Lease Cycles'!$C$23*'Lease Cycles'!$E$23*INDEX('Lease Cycles'!$HE$23:$HK$23,1,EF265)*(1+INDEX('Lease Cycles'!$GQ$23:$GW$23,1,EF265))^INT(INT((EF$6-INDEX('Lease Cycles'!$GJ$23:$GP$23,1,EF265))/12)/INDEX('Lease Cycles'!$GX$23:$HD$23,1,EF265))/12,0)))</f>
        <v>0</v>
      </c>
      <c r="EG268" s="28">
        <f>IF(EG265=0,IF('Lease Cycles'!$F$23&gt;0,'Lease Cycles'!$C$23*'Lease Cycles'!$E$23/12,0),IF(EG267=1,IF('Lease Cycles'!$AT$23&gt;=9999,'Lease Cycles'!$C$23*INDEX('Lease Cycles'!$CB$23:$CH$23,1,EG265)*(1+INDEX('Lease Cycles'!$CI$23:$CO$23,1,EG265))^INT(INT(EG266/12)/INDEX('Lease Cycles'!$CP$23:$CV$23,1,EG265))/12,IF(EG265=1,IF(EG266&gt;=INDEX('Lease Cycles'!$DK$23:$DQ$23,1,EG265),IF(EG$6&gt;='Lease Cycles'!$AZ$23,'Lease Cycles'!$C$23*'Lease Cycles'!$BA$23/12,IF(EG$6&gt;='Lease Cycles'!$AX$23,'Lease Cycles'!$C$23*'Lease Cycles'!$AY$23/12,IF(EG$6&gt;='Lease Cycles'!$AV$23,'Lease Cycles'!$C$23*'Lease Cycles'!$AW$23/12,IF(EG$6&gt;='Lease Cycles'!$AT$23,'Lease Cycles'!$C$23*'Lease Cycles'!$AU$23/12,'Lease Cycles'!$C$23*INDEX('Lease Cycles'!$CB$23:$CH$23,1,EG265)*(1+INDEX('Lease Cycles'!$CI$23:$CO$23,1,EG265))^INT(INT(EG266/12)/INDEX('Lease Cycles'!$CP$23:$CV$23,1,EG265))/12)))),'Lease Cycles'!$C$23*INDEX('Lease Cycles'!$CB$23:$CH$23,1,EG265)*(1+INDEX('Lease Cycles'!$CI$23:$CO$23,1,EG265))^INT(INT(EG266/12)/INDEX('Lease Cycles'!$CP$23:$CV$23,1,EG265))/12),IF(INDEX('Lease Cycles'!$EF$23:$EL$23,1,EG265)=1,IF(AND('Lease Cycles'!$AZ$23&gt;=INDEX('Lease Cycles'!$BG$23:$BM$23,1,EG265),'Lease Cycles'!$AZ$23&lt;=EG$6),'Lease Cycles'!$C$23*'Lease Cycles'!$BA$23/12,IF(AND('Lease Cycles'!$AX$23&gt;=INDEX('Lease Cycles'!$BG$23:$BM$23,1,EG265),'Lease Cycles'!$AX$23&lt;=EG$6),'Lease Cycles'!$C$23*'Lease Cycles'!$AY$23/12,IF(AND('Lease Cycles'!$AV$23&gt;=INDEX('Lease Cycles'!$BG$23:$BM$23,1,EG265),'Lease Cycles'!$AV$23&lt;=EG$6),'Lease Cycles'!$C$23*'Lease Cycles'!$AW$23/12,IF(AND('Lease Cycles'!$AT$23&gt;=INDEX('Lease Cycles'!$BG$23:$BM$23,1,EG265),'Lease Cycles'!$AT$23&lt;=EG$6),'Lease Cycles'!$C$23*'Lease Cycles'!$AU$23/12,'Lease Cycles'!$C$23*INDEX('Lease Cycles'!$CB$23:$CH$23,1,EG265)*(1+INDEX('Lease Cycles'!$CI$23:$CO$23,1,EG265))^INT(INT(EG266/12)/INDEX('Lease Cycles'!$CP$23:$CV$23,1,EG265))/12)))),'Lease Cycles'!$C$23*INDEX('Lease Cycles'!$CB$23:$CH$23,1,EG265)*(1+INDEX('Lease Cycles'!$CI$23:$CO$23,1,EG265))^INT(INT(EG266/12)/INDEX('Lease Cycles'!$CP$23:$CV$23,1,EG265))/12))),IF('Lease Cycles'!$N$23=1,'Lease Cycles'!$C$23*'Lease Cycles'!$E$23*INDEX('Lease Cycles'!$HE$23:$HK$23,1,EG265)*(1+INDEX('Lease Cycles'!$GQ$23:$GW$23,1,EG265))^INT(INT((EG$6-INDEX('Lease Cycles'!$GJ$23:$GP$23,1,EG265))/12)/INDEX('Lease Cycles'!$GX$23:$HD$23,1,EG265))/12,0)))</f>
        <v>0</v>
      </c>
      <c r="EH268" s="28">
        <f>IF(EH265=0,IF('Lease Cycles'!$F$23&gt;0,'Lease Cycles'!$C$23*'Lease Cycles'!$E$23/12,0),IF(EH267=1,IF('Lease Cycles'!$AT$23&gt;=9999,'Lease Cycles'!$C$23*INDEX('Lease Cycles'!$CB$23:$CH$23,1,EH265)*(1+INDEX('Lease Cycles'!$CI$23:$CO$23,1,EH265))^INT(INT(EH266/12)/INDEX('Lease Cycles'!$CP$23:$CV$23,1,EH265))/12,IF(EH265=1,IF(EH266&gt;=INDEX('Lease Cycles'!$DK$23:$DQ$23,1,EH265),IF(EH$6&gt;='Lease Cycles'!$AZ$23,'Lease Cycles'!$C$23*'Lease Cycles'!$BA$23/12,IF(EH$6&gt;='Lease Cycles'!$AX$23,'Lease Cycles'!$C$23*'Lease Cycles'!$AY$23/12,IF(EH$6&gt;='Lease Cycles'!$AV$23,'Lease Cycles'!$C$23*'Lease Cycles'!$AW$23/12,IF(EH$6&gt;='Lease Cycles'!$AT$23,'Lease Cycles'!$C$23*'Lease Cycles'!$AU$23/12,'Lease Cycles'!$C$23*INDEX('Lease Cycles'!$CB$23:$CH$23,1,EH265)*(1+INDEX('Lease Cycles'!$CI$23:$CO$23,1,EH265))^INT(INT(EH266/12)/INDEX('Lease Cycles'!$CP$23:$CV$23,1,EH265))/12)))),'Lease Cycles'!$C$23*INDEX('Lease Cycles'!$CB$23:$CH$23,1,EH265)*(1+INDEX('Lease Cycles'!$CI$23:$CO$23,1,EH265))^INT(INT(EH266/12)/INDEX('Lease Cycles'!$CP$23:$CV$23,1,EH265))/12),IF(INDEX('Lease Cycles'!$EF$23:$EL$23,1,EH265)=1,IF(AND('Lease Cycles'!$AZ$23&gt;=INDEX('Lease Cycles'!$BG$23:$BM$23,1,EH265),'Lease Cycles'!$AZ$23&lt;=EH$6),'Lease Cycles'!$C$23*'Lease Cycles'!$BA$23/12,IF(AND('Lease Cycles'!$AX$23&gt;=INDEX('Lease Cycles'!$BG$23:$BM$23,1,EH265),'Lease Cycles'!$AX$23&lt;=EH$6),'Lease Cycles'!$C$23*'Lease Cycles'!$AY$23/12,IF(AND('Lease Cycles'!$AV$23&gt;=INDEX('Lease Cycles'!$BG$23:$BM$23,1,EH265),'Lease Cycles'!$AV$23&lt;=EH$6),'Lease Cycles'!$C$23*'Lease Cycles'!$AW$23/12,IF(AND('Lease Cycles'!$AT$23&gt;=INDEX('Lease Cycles'!$BG$23:$BM$23,1,EH265),'Lease Cycles'!$AT$23&lt;=EH$6),'Lease Cycles'!$C$23*'Lease Cycles'!$AU$23/12,'Lease Cycles'!$C$23*INDEX('Lease Cycles'!$CB$23:$CH$23,1,EH265)*(1+INDEX('Lease Cycles'!$CI$23:$CO$23,1,EH265))^INT(INT(EH266/12)/INDEX('Lease Cycles'!$CP$23:$CV$23,1,EH265))/12)))),'Lease Cycles'!$C$23*INDEX('Lease Cycles'!$CB$23:$CH$23,1,EH265)*(1+INDEX('Lease Cycles'!$CI$23:$CO$23,1,EH265))^INT(INT(EH266/12)/INDEX('Lease Cycles'!$CP$23:$CV$23,1,EH265))/12))),IF('Lease Cycles'!$N$23=1,'Lease Cycles'!$C$23*'Lease Cycles'!$E$23*INDEX('Lease Cycles'!$HE$23:$HK$23,1,EH265)*(1+INDEX('Lease Cycles'!$GQ$23:$GW$23,1,EH265))^INT(INT((EH$6-INDEX('Lease Cycles'!$GJ$23:$GP$23,1,EH265))/12)/INDEX('Lease Cycles'!$GX$23:$HD$23,1,EH265))/12,0)))</f>
        <v>0</v>
      </c>
      <c r="EI268" s="28">
        <f>IF(EI265=0,IF('Lease Cycles'!$F$23&gt;0,'Lease Cycles'!$C$23*'Lease Cycles'!$E$23/12,0),IF(EI267=1,IF('Lease Cycles'!$AT$23&gt;=9999,'Lease Cycles'!$C$23*INDEX('Lease Cycles'!$CB$23:$CH$23,1,EI265)*(1+INDEX('Lease Cycles'!$CI$23:$CO$23,1,EI265))^INT(INT(EI266/12)/INDEX('Lease Cycles'!$CP$23:$CV$23,1,EI265))/12,IF(EI265=1,IF(EI266&gt;=INDEX('Lease Cycles'!$DK$23:$DQ$23,1,EI265),IF(EI$6&gt;='Lease Cycles'!$AZ$23,'Lease Cycles'!$C$23*'Lease Cycles'!$BA$23/12,IF(EI$6&gt;='Lease Cycles'!$AX$23,'Lease Cycles'!$C$23*'Lease Cycles'!$AY$23/12,IF(EI$6&gt;='Lease Cycles'!$AV$23,'Lease Cycles'!$C$23*'Lease Cycles'!$AW$23/12,IF(EI$6&gt;='Lease Cycles'!$AT$23,'Lease Cycles'!$C$23*'Lease Cycles'!$AU$23/12,'Lease Cycles'!$C$23*INDEX('Lease Cycles'!$CB$23:$CH$23,1,EI265)*(1+INDEX('Lease Cycles'!$CI$23:$CO$23,1,EI265))^INT(INT(EI266/12)/INDEX('Lease Cycles'!$CP$23:$CV$23,1,EI265))/12)))),'Lease Cycles'!$C$23*INDEX('Lease Cycles'!$CB$23:$CH$23,1,EI265)*(1+INDEX('Lease Cycles'!$CI$23:$CO$23,1,EI265))^INT(INT(EI266/12)/INDEX('Lease Cycles'!$CP$23:$CV$23,1,EI265))/12),IF(INDEX('Lease Cycles'!$EF$23:$EL$23,1,EI265)=1,IF(AND('Lease Cycles'!$AZ$23&gt;=INDEX('Lease Cycles'!$BG$23:$BM$23,1,EI265),'Lease Cycles'!$AZ$23&lt;=EI$6),'Lease Cycles'!$C$23*'Lease Cycles'!$BA$23/12,IF(AND('Lease Cycles'!$AX$23&gt;=INDEX('Lease Cycles'!$BG$23:$BM$23,1,EI265),'Lease Cycles'!$AX$23&lt;=EI$6),'Lease Cycles'!$C$23*'Lease Cycles'!$AY$23/12,IF(AND('Lease Cycles'!$AV$23&gt;=INDEX('Lease Cycles'!$BG$23:$BM$23,1,EI265),'Lease Cycles'!$AV$23&lt;=EI$6),'Lease Cycles'!$C$23*'Lease Cycles'!$AW$23/12,IF(AND('Lease Cycles'!$AT$23&gt;=INDEX('Lease Cycles'!$BG$23:$BM$23,1,EI265),'Lease Cycles'!$AT$23&lt;=EI$6),'Lease Cycles'!$C$23*'Lease Cycles'!$AU$23/12,'Lease Cycles'!$C$23*INDEX('Lease Cycles'!$CB$23:$CH$23,1,EI265)*(1+INDEX('Lease Cycles'!$CI$23:$CO$23,1,EI265))^INT(INT(EI266/12)/INDEX('Lease Cycles'!$CP$23:$CV$23,1,EI265))/12)))),'Lease Cycles'!$C$23*INDEX('Lease Cycles'!$CB$23:$CH$23,1,EI265)*(1+INDEX('Lease Cycles'!$CI$23:$CO$23,1,EI265))^INT(INT(EI266/12)/INDEX('Lease Cycles'!$CP$23:$CV$23,1,EI265))/12))),IF('Lease Cycles'!$N$23=1,'Lease Cycles'!$C$23*'Lease Cycles'!$E$23*INDEX('Lease Cycles'!$HE$23:$HK$23,1,EI265)*(1+INDEX('Lease Cycles'!$GQ$23:$GW$23,1,EI265))^INT(INT((EI$6-INDEX('Lease Cycles'!$GJ$23:$GP$23,1,EI265))/12)/INDEX('Lease Cycles'!$GX$23:$HD$23,1,EI265))/12,0)))</f>
        <v>0</v>
      </c>
      <c r="EJ268" s="28">
        <f>IF(EJ265=0,IF('Lease Cycles'!$F$23&gt;0,'Lease Cycles'!$C$23*'Lease Cycles'!$E$23/12,0),IF(EJ267=1,IF('Lease Cycles'!$AT$23&gt;=9999,'Lease Cycles'!$C$23*INDEX('Lease Cycles'!$CB$23:$CH$23,1,EJ265)*(1+INDEX('Lease Cycles'!$CI$23:$CO$23,1,EJ265))^INT(INT(EJ266/12)/INDEX('Lease Cycles'!$CP$23:$CV$23,1,EJ265))/12,IF(EJ265=1,IF(EJ266&gt;=INDEX('Lease Cycles'!$DK$23:$DQ$23,1,EJ265),IF(EJ$6&gt;='Lease Cycles'!$AZ$23,'Lease Cycles'!$C$23*'Lease Cycles'!$BA$23/12,IF(EJ$6&gt;='Lease Cycles'!$AX$23,'Lease Cycles'!$C$23*'Lease Cycles'!$AY$23/12,IF(EJ$6&gt;='Lease Cycles'!$AV$23,'Lease Cycles'!$C$23*'Lease Cycles'!$AW$23/12,IF(EJ$6&gt;='Lease Cycles'!$AT$23,'Lease Cycles'!$C$23*'Lease Cycles'!$AU$23/12,'Lease Cycles'!$C$23*INDEX('Lease Cycles'!$CB$23:$CH$23,1,EJ265)*(1+INDEX('Lease Cycles'!$CI$23:$CO$23,1,EJ265))^INT(INT(EJ266/12)/INDEX('Lease Cycles'!$CP$23:$CV$23,1,EJ265))/12)))),'Lease Cycles'!$C$23*INDEX('Lease Cycles'!$CB$23:$CH$23,1,EJ265)*(1+INDEX('Lease Cycles'!$CI$23:$CO$23,1,EJ265))^INT(INT(EJ266/12)/INDEX('Lease Cycles'!$CP$23:$CV$23,1,EJ265))/12),IF(INDEX('Lease Cycles'!$EF$23:$EL$23,1,EJ265)=1,IF(AND('Lease Cycles'!$AZ$23&gt;=INDEX('Lease Cycles'!$BG$23:$BM$23,1,EJ265),'Lease Cycles'!$AZ$23&lt;=EJ$6),'Lease Cycles'!$C$23*'Lease Cycles'!$BA$23/12,IF(AND('Lease Cycles'!$AX$23&gt;=INDEX('Lease Cycles'!$BG$23:$BM$23,1,EJ265),'Lease Cycles'!$AX$23&lt;=EJ$6),'Lease Cycles'!$C$23*'Lease Cycles'!$AY$23/12,IF(AND('Lease Cycles'!$AV$23&gt;=INDEX('Lease Cycles'!$BG$23:$BM$23,1,EJ265),'Lease Cycles'!$AV$23&lt;=EJ$6),'Lease Cycles'!$C$23*'Lease Cycles'!$AW$23/12,IF(AND('Lease Cycles'!$AT$23&gt;=INDEX('Lease Cycles'!$BG$23:$BM$23,1,EJ265),'Lease Cycles'!$AT$23&lt;=EJ$6),'Lease Cycles'!$C$23*'Lease Cycles'!$AU$23/12,'Lease Cycles'!$C$23*INDEX('Lease Cycles'!$CB$23:$CH$23,1,EJ265)*(1+INDEX('Lease Cycles'!$CI$23:$CO$23,1,EJ265))^INT(INT(EJ266/12)/INDEX('Lease Cycles'!$CP$23:$CV$23,1,EJ265))/12)))),'Lease Cycles'!$C$23*INDEX('Lease Cycles'!$CB$23:$CH$23,1,EJ265)*(1+INDEX('Lease Cycles'!$CI$23:$CO$23,1,EJ265))^INT(INT(EJ266/12)/INDEX('Lease Cycles'!$CP$23:$CV$23,1,EJ265))/12))),IF('Lease Cycles'!$N$23=1,'Lease Cycles'!$C$23*'Lease Cycles'!$E$23*INDEX('Lease Cycles'!$HE$23:$HK$23,1,EJ265)*(1+INDEX('Lease Cycles'!$GQ$23:$GW$23,1,EJ265))^INT(INT((EJ$6-INDEX('Lease Cycles'!$GJ$23:$GP$23,1,EJ265))/12)/INDEX('Lease Cycles'!$GX$23:$HD$23,1,EJ265))/12,0)))</f>
        <v>0</v>
      </c>
      <c r="EK268" s="28">
        <f>IF(EK265=0,IF('Lease Cycles'!$F$23&gt;0,'Lease Cycles'!$C$23*'Lease Cycles'!$E$23/12,0),IF(EK267=1,IF('Lease Cycles'!$AT$23&gt;=9999,'Lease Cycles'!$C$23*INDEX('Lease Cycles'!$CB$23:$CH$23,1,EK265)*(1+INDEX('Lease Cycles'!$CI$23:$CO$23,1,EK265))^INT(INT(EK266/12)/INDEX('Lease Cycles'!$CP$23:$CV$23,1,EK265))/12,IF(EK265=1,IF(EK266&gt;=INDEX('Lease Cycles'!$DK$23:$DQ$23,1,EK265),IF(EK$6&gt;='Lease Cycles'!$AZ$23,'Lease Cycles'!$C$23*'Lease Cycles'!$BA$23/12,IF(EK$6&gt;='Lease Cycles'!$AX$23,'Lease Cycles'!$C$23*'Lease Cycles'!$AY$23/12,IF(EK$6&gt;='Lease Cycles'!$AV$23,'Lease Cycles'!$C$23*'Lease Cycles'!$AW$23/12,IF(EK$6&gt;='Lease Cycles'!$AT$23,'Lease Cycles'!$C$23*'Lease Cycles'!$AU$23/12,'Lease Cycles'!$C$23*INDEX('Lease Cycles'!$CB$23:$CH$23,1,EK265)*(1+INDEX('Lease Cycles'!$CI$23:$CO$23,1,EK265))^INT(INT(EK266/12)/INDEX('Lease Cycles'!$CP$23:$CV$23,1,EK265))/12)))),'Lease Cycles'!$C$23*INDEX('Lease Cycles'!$CB$23:$CH$23,1,EK265)*(1+INDEX('Lease Cycles'!$CI$23:$CO$23,1,EK265))^INT(INT(EK266/12)/INDEX('Lease Cycles'!$CP$23:$CV$23,1,EK265))/12),IF(INDEX('Lease Cycles'!$EF$23:$EL$23,1,EK265)=1,IF(AND('Lease Cycles'!$AZ$23&gt;=INDEX('Lease Cycles'!$BG$23:$BM$23,1,EK265),'Lease Cycles'!$AZ$23&lt;=EK$6),'Lease Cycles'!$C$23*'Lease Cycles'!$BA$23/12,IF(AND('Lease Cycles'!$AX$23&gt;=INDEX('Lease Cycles'!$BG$23:$BM$23,1,EK265),'Lease Cycles'!$AX$23&lt;=EK$6),'Lease Cycles'!$C$23*'Lease Cycles'!$AY$23/12,IF(AND('Lease Cycles'!$AV$23&gt;=INDEX('Lease Cycles'!$BG$23:$BM$23,1,EK265),'Lease Cycles'!$AV$23&lt;=EK$6),'Lease Cycles'!$C$23*'Lease Cycles'!$AW$23/12,IF(AND('Lease Cycles'!$AT$23&gt;=INDEX('Lease Cycles'!$BG$23:$BM$23,1,EK265),'Lease Cycles'!$AT$23&lt;=EK$6),'Lease Cycles'!$C$23*'Lease Cycles'!$AU$23/12,'Lease Cycles'!$C$23*INDEX('Lease Cycles'!$CB$23:$CH$23,1,EK265)*(1+INDEX('Lease Cycles'!$CI$23:$CO$23,1,EK265))^INT(INT(EK266/12)/INDEX('Lease Cycles'!$CP$23:$CV$23,1,EK265))/12)))),'Lease Cycles'!$C$23*INDEX('Lease Cycles'!$CB$23:$CH$23,1,EK265)*(1+INDEX('Lease Cycles'!$CI$23:$CO$23,1,EK265))^INT(INT(EK266/12)/INDEX('Lease Cycles'!$CP$23:$CV$23,1,EK265))/12))),IF('Lease Cycles'!$N$23=1,'Lease Cycles'!$C$23*'Lease Cycles'!$E$23*INDEX('Lease Cycles'!$HE$23:$HK$23,1,EK265)*(1+INDEX('Lease Cycles'!$GQ$23:$GW$23,1,EK265))^INT(INT((EK$6-INDEX('Lease Cycles'!$GJ$23:$GP$23,1,EK265))/12)/INDEX('Lease Cycles'!$GX$23:$HD$23,1,EK265))/12,0)))</f>
        <v>0</v>
      </c>
      <c r="EL268" s="28">
        <f>IF(EL265=0,IF('Lease Cycles'!$F$23&gt;0,'Lease Cycles'!$C$23*'Lease Cycles'!$E$23/12,0),IF(EL267=1,IF('Lease Cycles'!$AT$23&gt;=9999,'Lease Cycles'!$C$23*INDEX('Lease Cycles'!$CB$23:$CH$23,1,EL265)*(1+INDEX('Lease Cycles'!$CI$23:$CO$23,1,EL265))^INT(INT(EL266/12)/INDEX('Lease Cycles'!$CP$23:$CV$23,1,EL265))/12,IF(EL265=1,IF(EL266&gt;=INDEX('Lease Cycles'!$DK$23:$DQ$23,1,EL265),IF(EL$6&gt;='Lease Cycles'!$AZ$23,'Lease Cycles'!$C$23*'Lease Cycles'!$BA$23/12,IF(EL$6&gt;='Lease Cycles'!$AX$23,'Lease Cycles'!$C$23*'Lease Cycles'!$AY$23/12,IF(EL$6&gt;='Lease Cycles'!$AV$23,'Lease Cycles'!$C$23*'Lease Cycles'!$AW$23/12,IF(EL$6&gt;='Lease Cycles'!$AT$23,'Lease Cycles'!$C$23*'Lease Cycles'!$AU$23/12,'Lease Cycles'!$C$23*INDEX('Lease Cycles'!$CB$23:$CH$23,1,EL265)*(1+INDEX('Lease Cycles'!$CI$23:$CO$23,1,EL265))^INT(INT(EL266/12)/INDEX('Lease Cycles'!$CP$23:$CV$23,1,EL265))/12)))),'Lease Cycles'!$C$23*INDEX('Lease Cycles'!$CB$23:$CH$23,1,EL265)*(1+INDEX('Lease Cycles'!$CI$23:$CO$23,1,EL265))^INT(INT(EL266/12)/INDEX('Lease Cycles'!$CP$23:$CV$23,1,EL265))/12),IF(INDEX('Lease Cycles'!$EF$23:$EL$23,1,EL265)=1,IF(AND('Lease Cycles'!$AZ$23&gt;=INDEX('Lease Cycles'!$BG$23:$BM$23,1,EL265),'Lease Cycles'!$AZ$23&lt;=EL$6),'Lease Cycles'!$C$23*'Lease Cycles'!$BA$23/12,IF(AND('Lease Cycles'!$AX$23&gt;=INDEX('Lease Cycles'!$BG$23:$BM$23,1,EL265),'Lease Cycles'!$AX$23&lt;=EL$6),'Lease Cycles'!$C$23*'Lease Cycles'!$AY$23/12,IF(AND('Lease Cycles'!$AV$23&gt;=INDEX('Lease Cycles'!$BG$23:$BM$23,1,EL265),'Lease Cycles'!$AV$23&lt;=EL$6),'Lease Cycles'!$C$23*'Lease Cycles'!$AW$23/12,IF(AND('Lease Cycles'!$AT$23&gt;=INDEX('Lease Cycles'!$BG$23:$BM$23,1,EL265),'Lease Cycles'!$AT$23&lt;=EL$6),'Lease Cycles'!$C$23*'Lease Cycles'!$AU$23/12,'Lease Cycles'!$C$23*INDEX('Lease Cycles'!$CB$23:$CH$23,1,EL265)*(1+INDEX('Lease Cycles'!$CI$23:$CO$23,1,EL265))^INT(INT(EL266/12)/INDEX('Lease Cycles'!$CP$23:$CV$23,1,EL265))/12)))),'Lease Cycles'!$C$23*INDEX('Lease Cycles'!$CB$23:$CH$23,1,EL265)*(1+INDEX('Lease Cycles'!$CI$23:$CO$23,1,EL265))^INT(INT(EL266/12)/INDEX('Lease Cycles'!$CP$23:$CV$23,1,EL265))/12))),IF('Lease Cycles'!$N$23=1,'Lease Cycles'!$C$23*'Lease Cycles'!$E$23*INDEX('Lease Cycles'!$HE$23:$HK$23,1,EL265)*(1+INDEX('Lease Cycles'!$GQ$23:$GW$23,1,EL265))^INT(INT((EL$6-INDEX('Lease Cycles'!$GJ$23:$GP$23,1,EL265))/12)/INDEX('Lease Cycles'!$GX$23:$HD$23,1,EL265))/12,0)))</f>
        <v>0</v>
      </c>
      <c r="EM268" s="28">
        <f>IF(EM265=0,IF('Lease Cycles'!$F$23&gt;0,'Lease Cycles'!$C$23*'Lease Cycles'!$E$23/12,0),IF(EM267=1,IF('Lease Cycles'!$AT$23&gt;=9999,'Lease Cycles'!$C$23*INDEX('Lease Cycles'!$CB$23:$CH$23,1,EM265)*(1+INDEX('Lease Cycles'!$CI$23:$CO$23,1,EM265))^INT(INT(EM266/12)/INDEX('Lease Cycles'!$CP$23:$CV$23,1,EM265))/12,IF(EM265=1,IF(EM266&gt;=INDEX('Lease Cycles'!$DK$23:$DQ$23,1,EM265),IF(EM$6&gt;='Lease Cycles'!$AZ$23,'Lease Cycles'!$C$23*'Lease Cycles'!$BA$23/12,IF(EM$6&gt;='Lease Cycles'!$AX$23,'Lease Cycles'!$C$23*'Lease Cycles'!$AY$23/12,IF(EM$6&gt;='Lease Cycles'!$AV$23,'Lease Cycles'!$C$23*'Lease Cycles'!$AW$23/12,IF(EM$6&gt;='Lease Cycles'!$AT$23,'Lease Cycles'!$C$23*'Lease Cycles'!$AU$23/12,'Lease Cycles'!$C$23*INDEX('Lease Cycles'!$CB$23:$CH$23,1,EM265)*(1+INDEX('Lease Cycles'!$CI$23:$CO$23,1,EM265))^INT(INT(EM266/12)/INDEX('Lease Cycles'!$CP$23:$CV$23,1,EM265))/12)))),'Lease Cycles'!$C$23*INDEX('Lease Cycles'!$CB$23:$CH$23,1,EM265)*(1+INDEX('Lease Cycles'!$CI$23:$CO$23,1,EM265))^INT(INT(EM266/12)/INDEX('Lease Cycles'!$CP$23:$CV$23,1,EM265))/12),IF(INDEX('Lease Cycles'!$EF$23:$EL$23,1,EM265)=1,IF(AND('Lease Cycles'!$AZ$23&gt;=INDEX('Lease Cycles'!$BG$23:$BM$23,1,EM265),'Lease Cycles'!$AZ$23&lt;=EM$6),'Lease Cycles'!$C$23*'Lease Cycles'!$BA$23/12,IF(AND('Lease Cycles'!$AX$23&gt;=INDEX('Lease Cycles'!$BG$23:$BM$23,1,EM265),'Lease Cycles'!$AX$23&lt;=EM$6),'Lease Cycles'!$C$23*'Lease Cycles'!$AY$23/12,IF(AND('Lease Cycles'!$AV$23&gt;=INDEX('Lease Cycles'!$BG$23:$BM$23,1,EM265),'Lease Cycles'!$AV$23&lt;=EM$6),'Lease Cycles'!$C$23*'Lease Cycles'!$AW$23/12,IF(AND('Lease Cycles'!$AT$23&gt;=INDEX('Lease Cycles'!$BG$23:$BM$23,1,EM265),'Lease Cycles'!$AT$23&lt;=EM$6),'Lease Cycles'!$C$23*'Lease Cycles'!$AU$23/12,'Lease Cycles'!$C$23*INDEX('Lease Cycles'!$CB$23:$CH$23,1,EM265)*(1+INDEX('Lease Cycles'!$CI$23:$CO$23,1,EM265))^INT(INT(EM266/12)/INDEX('Lease Cycles'!$CP$23:$CV$23,1,EM265))/12)))),'Lease Cycles'!$C$23*INDEX('Lease Cycles'!$CB$23:$CH$23,1,EM265)*(1+INDEX('Lease Cycles'!$CI$23:$CO$23,1,EM265))^INT(INT(EM266/12)/INDEX('Lease Cycles'!$CP$23:$CV$23,1,EM265))/12))),IF('Lease Cycles'!$N$23=1,'Lease Cycles'!$C$23*'Lease Cycles'!$E$23*INDEX('Lease Cycles'!$HE$23:$HK$23,1,EM265)*(1+INDEX('Lease Cycles'!$GQ$23:$GW$23,1,EM265))^INT(INT((EM$6-INDEX('Lease Cycles'!$GJ$23:$GP$23,1,EM265))/12)/INDEX('Lease Cycles'!$GX$23:$HD$23,1,EM265))/12,0)))</f>
        <v>0</v>
      </c>
      <c r="EN268" s="28">
        <f>IF(EN265=0,IF('Lease Cycles'!$F$23&gt;0,'Lease Cycles'!$C$23*'Lease Cycles'!$E$23/12,0),IF(EN267=1,IF('Lease Cycles'!$AT$23&gt;=9999,'Lease Cycles'!$C$23*INDEX('Lease Cycles'!$CB$23:$CH$23,1,EN265)*(1+INDEX('Lease Cycles'!$CI$23:$CO$23,1,EN265))^INT(INT(EN266/12)/INDEX('Lease Cycles'!$CP$23:$CV$23,1,EN265))/12,IF(EN265=1,IF(EN266&gt;=INDEX('Lease Cycles'!$DK$23:$DQ$23,1,EN265),IF(EN$6&gt;='Lease Cycles'!$AZ$23,'Lease Cycles'!$C$23*'Lease Cycles'!$BA$23/12,IF(EN$6&gt;='Lease Cycles'!$AX$23,'Lease Cycles'!$C$23*'Lease Cycles'!$AY$23/12,IF(EN$6&gt;='Lease Cycles'!$AV$23,'Lease Cycles'!$C$23*'Lease Cycles'!$AW$23/12,IF(EN$6&gt;='Lease Cycles'!$AT$23,'Lease Cycles'!$C$23*'Lease Cycles'!$AU$23/12,'Lease Cycles'!$C$23*INDEX('Lease Cycles'!$CB$23:$CH$23,1,EN265)*(1+INDEX('Lease Cycles'!$CI$23:$CO$23,1,EN265))^INT(INT(EN266/12)/INDEX('Lease Cycles'!$CP$23:$CV$23,1,EN265))/12)))),'Lease Cycles'!$C$23*INDEX('Lease Cycles'!$CB$23:$CH$23,1,EN265)*(1+INDEX('Lease Cycles'!$CI$23:$CO$23,1,EN265))^INT(INT(EN266/12)/INDEX('Lease Cycles'!$CP$23:$CV$23,1,EN265))/12),IF(INDEX('Lease Cycles'!$EF$23:$EL$23,1,EN265)=1,IF(AND('Lease Cycles'!$AZ$23&gt;=INDEX('Lease Cycles'!$BG$23:$BM$23,1,EN265),'Lease Cycles'!$AZ$23&lt;=EN$6),'Lease Cycles'!$C$23*'Lease Cycles'!$BA$23/12,IF(AND('Lease Cycles'!$AX$23&gt;=INDEX('Lease Cycles'!$BG$23:$BM$23,1,EN265),'Lease Cycles'!$AX$23&lt;=EN$6),'Lease Cycles'!$C$23*'Lease Cycles'!$AY$23/12,IF(AND('Lease Cycles'!$AV$23&gt;=INDEX('Lease Cycles'!$BG$23:$BM$23,1,EN265),'Lease Cycles'!$AV$23&lt;=EN$6),'Lease Cycles'!$C$23*'Lease Cycles'!$AW$23/12,IF(AND('Lease Cycles'!$AT$23&gt;=INDEX('Lease Cycles'!$BG$23:$BM$23,1,EN265),'Lease Cycles'!$AT$23&lt;=EN$6),'Lease Cycles'!$C$23*'Lease Cycles'!$AU$23/12,'Lease Cycles'!$C$23*INDEX('Lease Cycles'!$CB$23:$CH$23,1,EN265)*(1+INDEX('Lease Cycles'!$CI$23:$CO$23,1,EN265))^INT(INT(EN266/12)/INDEX('Lease Cycles'!$CP$23:$CV$23,1,EN265))/12)))),'Lease Cycles'!$C$23*INDEX('Lease Cycles'!$CB$23:$CH$23,1,EN265)*(1+INDEX('Lease Cycles'!$CI$23:$CO$23,1,EN265))^INT(INT(EN266/12)/INDEX('Lease Cycles'!$CP$23:$CV$23,1,EN265))/12))),IF('Lease Cycles'!$N$23=1,'Lease Cycles'!$C$23*'Lease Cycles'!$E$23*INDEX('Lease Cycles'!$HE$23:$HK$23,1,EN265)*(1+INDEX('Lease Cycles'!$GQ$23:$GW$23,1,EN265))^INT(INT((EN$6-INDEX('Lease Cycles'!$GJ$23:$GP$23,1,EN265))/12)/INDEX('Lease Cycles'!$GX$23:$HD$23,1,EN265))/12,0)))</f>
        <v>0</v>
      </c>
      <c r="EO268" s="28">
        <f>IF(EO265=0,IF('Lease Cycles'!$F$23&gt;0,'Lease Cycles'!$C$23*'Lease Cycles'!$E$23/12,0),IF(EO267=1,IF('Lease Cycles'!$AT$23&gt;=9999,'Lease Cycles'!$C$23*INDEX('Lease Cycles'!$CB$23:$CH$23,1,EO265)*(1+INDEX('Lease Cycles'!$CI$23:$CO$23,1,EO265))^INT(INT(EO266/12)/INDEX('Lease Cycles'!$CP$23:$CV$23,1,EO265))/12,IF(EO265=1,IF(EO266&gt;=INDEX('Lease Cycles'!$DK$23:$DQ$23,1,EO265),IF(EO$6&gt;='Lease Cycles'!$AZ$23,'Lease Cycles'!$C$23*'Lease Cycles'!$BA$23/12,IF(EO$6&gt;='Lease Cycles'!$AX$23,'Lease Cycles'!$C$23*'Lease Cycles'!$AY$23/12,IF(EO$6&gt;='Lease Cycles'!$AV$23,'Lease Cycles'!$C$23*'Lease Cycles'!$AW$23/12,IF(EO$6&gt;='Lease Cycles'!$AT$23,'Lease Cycles'!$C$23*'Lease Cycles'!$AU$23/12,'Lease Cycles'!$C$23*INDEX('Lease Cycles'!$CB$23:$CH$23,1,EO265)*(1+INDEX('Lease Cycles'!$CI$23:$CO$23,1,EO265))^INT(INT(EO266/12)/INDEX('Lease Cycles'!$CP$23:$CV$23,1,EO265))/12)))),'Lease Cycles'!$C$23*INDEX('Lease Cycles'!$CB$23:$CH$23,1,EO265)*(1+INDEX('Lease Cycles'!$CI$23:$CO$23,1,EO265))^INT(INT(EO266/12)/INDEX('Lease Cycles'!$CP$23:$CV$23,1,EO265))/12),IF(INDEX('Lease Cycles'!$EF$23:$EL$23,1,EO265)=1,IF(AND('Lease Cycles'!$AZ$23&gt;=INDEX('Lease Cycles'!$BG$23:$BM$23,1,EO265),'Lease Cycles'!$AZ$23&lt;=EO$6),'Lease Cycles'!$C$23*'Lease Cycles'!$BA$23/12,IF(AND('Lease Cycles'!$AX$23&gt;=INDEX('Lease Cycles'!$BG$23:$BM$23,1,EO265),'Lease Cycles'!$AX$23&lt;=EO$6),'Lease Cycles'!$C$23*'Lease Cycles'!$AY$23/12,IF(AND('Lease Cycles'!$AV$23&gt;=INDEX('Lease Cycles'!$BG$23:$BM$23,1,EO265),'Lease Cycles'!$AV$23&lt;=EO$6),'Lease Cycles'!$C$23*'Lease Cycles'!$AW$23/12,IF(AND('Lease Cycles'!$AT$23&gt;=INDEX('Lease Cycles'!$BG$23:$BM$23,1,EO265),'Lease Cycles'!$AT$23&lt;=EO$6),'Lease Cycles'!$C$23*'Lease Cycles'!$AU$23/12,'Lease Cycles'!$C$23*INDEX('Lease Cycles'!$CB$23:$CH$23,1,EO265)*(1+INDEX('Lease Cycles'!$CI$23:$CO$23,1,EO265))^INT(INT(EO266/12)/INDEX('Lease Cycles'!$CP$23:$CV$23,1,EO265))/12)))),'Lease Cycles'!$C$23*INDEX('Lease Cycles'!$CB$23:$CH$23,1,EO265)*(1+INDEX('Lease Cycles'!$CI$23:$CO$23,1,EO265))^INT(INT(EO266/12)/INDEX('Lease Cycles'!$CP$23:$CV$23,1,EO265))/12))),IF('Lease Cycles'!$N$23=1,'Lease Cycles'!$C$23*'Lease Cycles'!$E$23*INDEX('Lease Cycles'!$HE$23:$HK$23,1,EO265)*(1+INDEX('Lease Cycles'!$GQ$23:$GW$23,1,EO265))^INT(INT((EO$6-INDEX('Lease Cycles'!$GJ$23:$GP$23,1,EO265))/12)/INDEX('Lease Cycles'!$GX$23:$HD$23,1,EO265))/12,0)))</f>
        <v>0</v>
      </c>
      <c r="EP268" s="28">
        <f>IF(EP265=0,IF('Lease Cycles'!$F$23&gt;0,'Lease Cycles'!$C$23*'Lease Cycles'!$E$23/12,0),IF(EP267=1,IF('Lease Cycles'!$AT$23&gt;=9999,'Lease Cycles'!$C$23*INDEX('Lease Cycles'!$CB$23:$CH$23,1,EP265)*(1+INDEX('Lease Cycles'!$CI$23:$CO$23,1,EP265))^INT(INT(EP266/12)/INDEX('Lease Cycles'!$CP$23:$CV$23,1,EP265))/12,IF(EP265=1,IF(EP266&gt;=INDEX('Lease Cycles'!$DK$23:$DQ$23,1,EP265),IF(EP$6&gt;='Lease Cycles'!$AZ$23,'Lease Cycles'!$C$23*'Lease Cycles'!$BA$23/12,IF(EP$6&gt;='Lease Cycles'!$AX$23,'Lease Cycles'!$C$23*'Lease Cycles'!$AY$23/12,IF(EP$6&gt;='Lease Cycles'!$AV$23,'Lease Cycles'!$C$23*'Lease Cycles'!$AW$23/12,IF(EP$6&gt;='Lease Cycles'!$AT$23,'Lease Cycles'!$C$23*'Lease Cycles'!$AU$23/12,'Lease Cycles'!$C$23*INDEX('Lease Cycles'!$CB$23:$CH$23,1,EP265)*(1+INDEX('Lease Cycles'!$CI$23:$CO$23,1,EP265))^INT(INT(EP266/12)/INDEX('Lease Cycles'!$CP$23:$CV$23,1,EP265))/12)))),'Lease Cycles'!$C$23*INDEX('Lease Cycles'!$CB$23:$CH$23,1,EP265)*(1+INDEX('Lease Cycles'!$CI$23:$CO$23,1,EP265))^INT(INT(EP266/12)/INDEX('Lease Cycles'!$CP$23:$CV$23,1,EP265))/12),IF(INDEX('Lease Cycles'!$EF$23:$EL$23,1,EP265)=1,IF(AND('Lease Cycles'!$AZ$23&gt;=INDEX('Lease Cycles'!$BG$23:$BM$23,1,EP265),'Lease Cycles'!$AZ$23&lt;=EP$6),'Lease Cycles'!$C$23*'Lease Cycles'!$BA$23/12,IF(AND('Lease Cycles'!$AX$23&gt;=INDEX('Lease Cycles'!$BG$23:$BM$23,1,EP265),'Lease Cycles'!$AX$23&lt;=EP$6),'Lease Cycles'!$C$23*'Lease Cycles'!$AY$23/12,IF(AND('Lease Cycles'!$AV$23&gt;=INDEX('Lease Cycles'!$BG$23:$BM$23,1,EP265),'Lease Cycles'!$AV$23&lt;=EP$6),'Lease Cycles'!$C$23*'Lease Cycles'!$AW$23/12,IF(AND('Lease Cycles'!$AT$23&gt;=INDEX('Lease Cycles'!$BG$23:$BM$23,1,EP265),'Lease Cycles'!$AT$23&lt;=EP$6),'Lease Cycles'!$C$23*'Lease Cycles'!$AU$23/12,'Lease Cycles'!$C$23*INDEX('Lease Cycles'!$CB$23:$CH$23,1,EP265)*(1+INDEX('Lease Cycles'!$CI$23:$CO$23,1,EP265))^INT(INT(EP266/12)/INDEX('Lease Cycles'!$CP$23:$CV$23,1,EP265))/12)))),'Lease Cycles'!$C$23*INDEX('Lease Cycles'!$CB$23:$CH$23,1,EP265)*(1+INDEX('Lease Cycles'!$CI$23:$CO$23,1,EP265))^INT(INT(EP266/12)/INDEX('Lease Cycles'!$CP$23:$CV$23,1,EP265))/12))),IF('Lease Cycles'!$N$23=1,'Lease Cycles'!$C$23*'Lease Cycles'!$E$23*INDEX('Lease Cycles'!$HE$23:$HK$23,1,EP265)*(1+INDEX('Lease Cycles'!$GQ$23:$GW$23,1,EP265))^INT(INT((EP$6-INDEX('Lease Cycles'!$GJ$23:$GP$23,1,EP265))/12)/INDEX('Lease Cycles'!$GX$23:$HD$23,1,EP265))/12,0)))</f>
        <v>0</v>
      </c>
      <c r="EQ268" s="28">
        <f>IF(EQ265=0,IF('Lease Cycles'!$F$23&gt;0,'Lease Cycles'!$C$23*'Lease Cycles'!$E$23/12,0),IF(EQ267=1,IF('Lease Cycles'!$AT$23&gt;=9999,'Lease Cycles'!$C$23*INDEX('Lease Cycles'!$CB$23:$CH$23,1,EQ265)*(1+INDEX('Lease Cycles'!$CI$23:$CO$23,1,EQ265))^INT(INT(EQ266/12)/INDEX('Lease Cycles'!$CP$23:$CV$23,1,EQ265))/12,IF(EQ265=1,IF(EQ266&gt;=INDEX('Lease Cycles'!$DK$23:$DQ$23,1,EQ265),IF(EQ$6&gt;='Lease Cycles'!$AZ$23,'Lease Cycles'!$C$23*'Lease Cycles'!$BA$23/12,IF(EQ$6&gt;='Lease Cycles'!$AX$23,'Lease Cycles'!$C$23*'Lease Cycles'!$AY$23/12,IF(EQ$6&gt;='Lease Cycles'!$AV$23,'Lease Cycles'!$C$23*'Lease Cycles'!$AW$23/12,IF(EQ$6&gt;='Lease Cycles'!$AT$23,'Lease Cycles'!$C$23*'Lease Cycles'!$AU$23/12,'Lease Cycles'!$C$23*INDEX('Lease Cycles'!$CB$23:$CH$23,1,EQ265)*(1+INDEX('Lease Cycles'!$CI$23:$CO$23,1,EQ265))^INT(INT(EQ266/12)/INDEX('Lease Cycles'!$CP$23:$CV$23,1,EQ265))/12)))),'Lease Cycles'!$C$23*INDEX('Lease Cycles'!$CB$23:$CH$23,1,EQ265)*(1+INDEX('Lease Cycles'!$CI$23:$CO$23,1,EQ265))^INT(INT(EQ266/12)/INDEX('Lease Cycles'!$CP$23:$CV$23,1,EQ265))/12),IF(INDEX('Lease Cycles'!$EF$23:$EL$23,1,EQ265)=1,IF(AND('Lease Cycles'!$AZ$23&gt;=INDEX('Lease Cycles'!$BG$23:$BM$23,1,EQ265),'Lease Cycles'!$AZ$23&lt;=EQ$6),'Lease Cycles'!$C$23*'Lease Cycles'!$BA$23/12,IF(AND('Lease Cycles'!$AX$23&gt;=INDEX('Lease Cycles'!$BG$23:$BM$23,1,EQ265),'Lease Cycles'!$AX$23&lt;=EQ$6),'Lease Cycles'!$C$23*'Lease Cycles'!$AY$23/12,IF(AND('Lease Cycles'!$AV$23&gt;=INDEX('Lease Cycles'!$BG$23:$BM$23,1,EQ265),'Lease Cycles'!$AV$23&lt;=EQ$6),'Lease Cycles'!$C$23*'Lease Cycles'!$AW$23/12,IF(AND('Lease Cycles'!$AT$23&gt;=INDEX('Lease Cycles'!$BG$23:$BM$23,1,EQ265),'Lease Cycles'!$AT$23&lt;=EQ$6),'Lease Cycles'!$C$23*'Lease Cycles'!$AU$23/12,'Lease Cycles'!$C$23*INDEX('Lease Cycles'!$CB$23:$CH$23,1,EQ265)*(1+INDEX('Lease Cycles'!$CI$23:$CO$23,1,EQ265))^INT(INT(EQ266/12)/INDEX('Lease Cycles'!$CP$23:$CV$23,1,EQ265))/12)))),'Lease Cycles'!$C$23*INDEX('Lease Cycles'!$CB$23:$CH$23,1,EQ265)*(1+INDEX('Lease Cycles'!$CI$23:$CO$23,1,EQ265))^INT(INT(EQ266/12)/INDEX('Lease Cycles'!$CP$23:$CV$23,1,EQ265))/12))),IF('Lease Cycles'!$N$23=1,'Lease Cycles'!$C$23*'Lease Cycles'!$E$23*INDEX('Lease Cycles'!$HE$23:$HK$23,1,EQ265)*(1+INDEX('Lease Cycles'!$GQ$23:$GW$23,1,EQ265))^INT(INT((EQ$6-INDEX('Lease Cycles'!$GJ$23:$GP$23,1,EQ265))/12)/INDEX('Lease Cycles'!$GX$23:$HD$23,1,EQ265))/12,0)))</f>
        <v>0</v>
      </c>
      <c r="ER268" s="28">
        <f>IF(ER265=0,IF('Lease Cycles'!$F$23&gt;0,'Lease Cycles'!$C$23*'Lease Cycles'!$E$23/12,0),IF(ER267=1,IF('Lease Cycles'!$AT$23&gt;=9999,'Lease Cycles'!$C$23*INDEX('Lease Cycles'!$CB$23:$CH$23,1,ER265)*(1+INDEX('Lease Cycles'!$CI$23:$CO$23,1,ER265))^INT(INT(ER266/12)/INDEX('Lease Cycles'!$CP$23:$CV$23,1,ER265))/12,IF(ER265=1,IF(ER266&gt;=INDEX('Lease Cycles'!$DK$23:$DQ$23,1,ER265),IF(ER$6&gt;='Lease Cycles'!$AZ$23,'Lease Cycles'!$C$23*'Lease Cycles'!$BA$23/12,IF(ER$6&gt;='Lease Cycles'!$AX$23,'Lease Cycles'!$C$23*'Lease Cycles'!$AY$23/12,IF(ER$6&gt;='Lease Cycles'!$AV$23,'Lease Cycles'!$C$23*'Lease Cycles'!$AW$23/12,IF(ER$6&gt;='Lease Cycles'!$AT$23,'Lease Cycles'!$C$23*'Lease Cycles'!$AU$23/12,'Lease Cycles'!$C$23*INDEX('Lease Cycles'!$CB$23:$CH$23,1,ER265)*(1+INDEX('Lease Cycles'!$CI$23:$CO$23,1,ER265))^INT(INT(ER266/12)/INDEX('Lease Cycles'!$CP$23:$CV$23,1,ER265))/12)))),'Lease Cycles'!$C$23*INDEX('Lease Cycles'!$CB$23:$CH$23,1,ER265)*(1+INDEX('Lease Cycles'!$CI$23:$CO$23,1,ER265))^INT(INT(ER266/12)/INDEX('Lease Cycles'!$CP$23:$CV$23,1,ER265))/12),IF(INDEX('Lease Cycles'!$EF$23:$EL$23,1,ER265)=1,IF(AND('Lease Cycles'!$AZ$23&gt;=INDEX('Lease Cycles'!$BG$23:$BM$23,1,ER265),'Lease Cycles'!$AZ$23&lt;=ER$6),'Lease Cycles'!$C$23*'Lease Cycles'!$BA$23/12,IF(AND('Lease Cycles'!$AX$23&gt;=INDEX('Lease Cycles'!$BG$23:$BM$23,1,ER265),'Lease Cycles'!$AX$23&lt;=ER$6),'Lease Cycles'!$C$23*'Lease Cycles'!$AY$23/12,IF(AND('Lease Cycles'!$AV$23&gt;=INDEX('Lease Cycles'!$BG$23:$BM$23,1,ER265),'Lease Cycles'!$AV$23&lt;=ER$6),'Lease Cycles'!$C$23*'Lease Cycles'!$AW$23/12,IF(AND('Lease Cycles'!$AT$23&gt;=INDEX('Lease Cycles'!$BG$23:$BM$23,1,ER265),'Lease Cycles'!$AT$23&lt;=ER$6),'Lease Cycles'!$C$23*'Lease Cycles'!$AU$23/12,'Lease Cycles'!$C$23*INDEX('Lease Cycles'!$CB$23:$CH$23,1,ER265)*(1+INDEX('Lease Cycles'!$CI$23:$CO$23,1,ER265))^INT(INT(ER266/12)/INDEX('Lease Cycles'!$CP$23:$CV$23,1,ER265))/12)))),'Lease Cycles'!$C$23*INDEX('Lease Cycles'!$CB$23:$CH$23,1,ER265)*(1+INDEX('Lease Cycles'!$CI$23:$CO$23,1,ER265))^INT(INT(ER266/12)/INDEX('Lease Cycles'!$CP$23:$CV$23,1,ER265))/12))),IF('Lease Cycles'!$N$23=1,'Lease Cycles'!$C$23*'Lease Cycles'!$E$23*INDEX('Lease Cycles'!$HE$23:$HK$23,1,ER265)*(1+INDEX('Lease Cycles'!$GQ$23:$GW$23,1,ER265))^INT(INT((ER$6-INDEX('Lease Cycles'!$GJ$23:$GP$23,1,ER265))/12)/INDEX('Lease Cycles'!$GX$23:$HD$23,1,ER265))/12,0)))</f>
        <v>0</v>
      </c>
      <c r="ES268" s="28">
        <f>IF(ES265=0,IF('Lease Cycles'!$F$23&gt;0,'Lease Cycles'!$C$23*'Lease Cycles'!$E$23/12,0),IF(ES267=1,IF('Lease Cycles'!$AT$23&gt;=9999,'Lease Cycles'!$C$23*INDEX('Lease Cycles'!$CB$23:$CH$23,1,ES265)*(1+INDEX('Lease Cycles'!$CI$23:$CO$23,1,ES265))^INT(INT(ES266/12)/INDEX('Lease Cycles'!$CP$23:$CV$23,1,ES265))/12,IF(ES265=1,IF(ES266&gt;=INDEX('Lease Cycles'!$DK$23:$DQ$23,1,ES265),IF(ES$6&gt;='Lease Cycles'!$AZ$23,'Lease Cycles'!$C$23*'Lease Cycles'!$BA$23/12,IF(ES$6&gt;='Lease Cycles'!$AX$23,'Lease Cycles'!$C$23*'Lease Cycles'!$AY$23/12,IF(ES$6&gt;='Lease Cycles'!$AV$23,'Lease Cycles'!$C$23*'Lease Cycles'!$AW$23/12,IF(ES$6&gt;='Lease Cycles'!$AT$23,'Lease Cycles'!$C$23*'Lease Cycles'!$AU$23/12,'Lease Cycles'!$C$23*INDEX('Lease Cycles'!$CB$23:$CH$23,1,ES265)*(1+INDEX('Lease Cycles'!$CI$23:$CO$23,1,ES265))^INT(INT(ES266/12)/INDEX('Lease Cycles'!$CP$23:$CV$23,1,ES265))/12)))),'Lease Cycles'!$C$23*INDEX('Lease Cycles'!$CB$23:$CH$23,1,ES265)*(1+INDEX('Lease Cycles'!$CI$23:$CO$23,1,ES265))^INT(INT(ES266/12)/INDEX('Lease Cycles'!$CP$23:$CV$23,1,ES265))/12),IF(INDEX('Lease Cycles'!$EF$23:$EL$23,1,ES265)=1,IF(AND('Lease Cycles'!$AZ$23&gt;=INDEX('Lease Cycles'!$BG$23:$BM$23,1,ES265),'Lease Cycles'!$AZ$23&lt;=ES$6),'Lease Cycles'!$C$23*'Lease Cycles'!$BA$23/12,IF(AND('Lease Cycles'!$AX$23&gt;=INDEX('Lease Cycles'!$BG$23:$BM$23,1,ES265),'Lease Cycles'!$AX$23&lt;=ES$6),'Lease Cycles'!$C$23*'Lease Cycles'!$AY$23/12,IF(AND('Lease Cycles'!$AV$23&gt;=INDEX('Lease Cycles'!$BG$23:$BM$23,1,ES265),'Lease Cycles'!$AV$23&lt;=ES$6),'Lease Cycles'!$C$23*'Lease Cycles'!$AW$23/12,IF(AND('Lease Cycles'!$AT$23&gt;=INDEX('Lease Cycles'!$BG$23:$BM$23,1,ES265),'Lease Cycles'!$AT$23&lt;=ES$6),'Lease Cycles'!$C$23*'Lease Cycles'!$AU$23/12,'Lease Cycles'!$C$23*INDEX('Lease Cycles'!$CB$23:$CH$23,1,ES265)*(1+INDEX('Lease Cycles'!$CI$23:$CO$23,1,ES265))^INT(INT(ES266/12)/INDEX('Lease Cycles'!$CP$23:$CV$23,1,ES265))/12)))),'Lease Cycles'!$C$23*INDEX('Lease Cycles'!$CB$23:$CH$23,1,ES265)*(1+INDEX('Lease Cycles'!$CI$23:$CO$23,1,ES265))^INT(INT(ES266/12)/INDEX('Lease Cycles'!$CP$23:$CV$23,1,ES265))/12))),IF('Lease Cycles'!$N$23=1,'Lease Cycles'!$C$23*'Lease Cycles'!$E$23*INDEX('Lease Cycles'!$HE$23:$HK$23,1,ES265)*(1+INDEX('Lease Cycles'!$GQ$23:$GW$23,1,ES265))^INT(INT((ES$6-INDEX('Lease Cycles'!$GJ$23:$GP$23,1,ES265))/12)/INDEX('Lease Cycles'!$GX$23:$HD$23,1,ES265))/12,0)))</f>
        <v>0</v>
      </c>
      <c r="ET268" s="28">
        <f>IF(ET265=0,IF('Lease Cycles'!$F$23&gt;0,'Lease Cycles'!$C$23*'Lease Cycles'!$E$23/12,0),IF(ET267=1,IF('Lease Cycles'!$AT$23&gt;=9999,'Lease Cycles'!$C$23*INDEX('Lease Cycles'!$CB$23:$CH$23,1,ET265)*(1+INDEX('Lease Cycles'!$CI$23:$CO$23,1,ET265))^INT(INT(ET266/12)/INDEX('Lease Cycles'!$CP$23:$CV$23,1,ET265))/12,IF(ET265=1,IF(ET266&gt;=INDEX('Lease Cycles'!$DK$23:$DQ$23,1,ET265),IF(ET$6&gt;='Lease Cycles'!$AZ$23,'Lease Cycles'!$C$23*'Lease Cycles'!$BA$23/12,IF(ET$6&gt;='Lease Cycles'!$AX$23,'Lease Cycles'!$C$23*'Lease Cycles'!$AY$23/12,IF(ET$6&gt;='Lease Cycles'!$AV$23,'Lease Cycles'!$C$23*'Lease Cycles'!$AW$23/12,IF(ET$6&gt;='Lease Cycles'!$AT$23,'Lease Cycles'!$C$23*'Lease Cycles'!$AU$23/12,'Lease Cycles'!$C$23*INDEX('Lease Cycles'!$CB$23:$CH$23,1,ET265)*(1+INDEX('Lease Cycles'!$CI$23:$CO$23,1,ET265))^INT(INT(ET266/12)/INDEX('Lease Cycles'!$CP$23:$CV$23,1,ET265))/12)))),'Lease Cycles'!$C$23*INDEX('Lease Cycles'!$CB$23:$CH$23,1,ET265)*(1+INDEX('Lease Cycles'!$CI$23:$CO$23,1,ET265))^INT(INT(ET266/12)/INDEX('Lease Cycles'!$CP$23:$CV$23,1,ET265))/12),IF(INDEX('Lease Cycles'!$EF$23:$EL$23,1,ET265)=1,IF(AND('Lease Cycles'!$AZ$23&gt;=INDEX('Lease Cycles'!$BG$23:$BM$23,1,ET265),'Lease Cycles'!$AZ$23&lt;=ET$6),'Lease Cycles'!$C$23*'Lease Cycles'!$BA$23/12,IF(AND('Lease Cycles'!$AX$23&gt;=INDEX('Lease Cycles'!$BG$23:$BM$23,1,ET265),'Lease Cycles'!$AX$23&lt;=ET$6),'Lease Cycles'!$C$23*'Lease Cycles'!$AY$23/12,IF(AND('Lease Cycles'!$AV$23&gt;=INDEX('Lease Cycles'!$BG$23:$BM$23,1,ET265),'Lease Cycles'!$AV$23&lt;=ET$6),'Lease Cycles'!$C$23*'Lease Cycles'!$AW$23/12,IF(AND('Lease Cycles'!$AT$23&gt;=INDEX('Lease Cycles'!$BG$23:$BM$23,1,ET265),'Lease Cycles'!$AT$23&lt;=ET$6),'Lease Cycles'!$C$23*'Lease Cycles'!$AU$23/12,'Lease Cycles'!$C$23*INDEX('Lease Cycles'!$CB$23:$CH$23,1,ET265)*(1+INDEX('Lease Cycles'!$CI$23:$CO$23,1,ET265))^INT(INT(ET266/12)/INDEX('Lease Cycles'!$CP$23:$CV$23,1,ET265))/12)))),'Lease Cycles'!$C$23*INDEX('Lease Cycles'!$CB$23:$CH$23,1,ET265)*(1+INDEX('Lease Cycles'!$CI$23:$CO$23,1,ET265))^INT(INT(ET266/12)/INDEX('Lease Cycles'!$CP$23:$CV$23,1,ET265))/12))),IF('Lease Cycles'!$N$23=1,'Lease Cycles'!$C$23*'Lease Cycles'!$E$23*INDEX('Lease Cycles'!$HE$23:$HK$23,1,ET265)*(1+INDEX('Lease Cycles'!$GQ$23:$GW$23,1,ET265))^INT(INT((ET$6-INDEX('Lease Cycles'!$GJ$23:$GP$23,1,ET265))/12)/INDEX('Lease Cycles'!$GX$23:$HD$23,1,ET265))/12,0)))</f>
        <v>0</v>
      </c>
    </row>
    <row r="269">
      <c r="A269" s="103">
        <v>16</v>
      </c>
      <c r="B269" s="23" t="str">
        <f>IF('Lease Cycles'!$B$23="","(empty slot)",'Lease Cycles'!$B$23)</f>
        <v>(empty slot)</v>
      </c>
      <c r="C269" s="23" t="s">
        <v>679</v>
      </c>
      <c r="D269" s="104" t="s">
        <v>680</v>
      </c>
      <c r="E269" s="25">
        <f>'Lease Cycles'!$AL$23</f>
        <v>0</v>
      </c>
      <c r="S269" s="28">
        <f>IF(S267=1,IF(INDEX('Lease Cycles'!$EF$23:$EL$23,1,S265)=1,'Lease Cycles'!$C$23*INDEX('Lease Cycles'!$ET$23:$EZ$23,1,S265)*(1+'Lease Cycles'!$V$23)^INT(INT(S266/12)/'Lease Cycles'!$W$23)/12,0),0)</f>
        <v>0</v>
      </c>
      <c r="T269" s="28">
        <f>IF(T267=1,IF(INDEX('Lease Cycles'!$EF$23:$EL$23,1,T265)=1,'Lease Cycles'!$C$23*INDEX('Lease Cycles'!$ET$23:$EZ$23,1,T265)*(1+'Lease Cycles'!$V$23)^INT(INT(T266/12)/'Lease Cycles'!$W$23)/12,0),0)</f>
        <v>0</v>
      </c>
      <c r="U269" s="28">
        <f>IF(U267=1,IF(INDEX('Lease Cycles'!$EF$23:$EL$23,1,U265)=1,'Lease Cycles'!$C$23*INDEX('Lease Cycles'!$ET$23:$EZ$23,1,U265)*(1+'Lease Cycles'!$V$23)^INT(INT(U266/12)/'Lease Cycles'!$W$23)/12,0),0)</f>
        <v>0</v>
      </c>
      <c r="V269" s="28">
        <f>IF(V267=1,IF(INDEX('Lease Cycles'!$EF$23:$EL$23,1,V265)=1,'Lease Cycles'!$C$23*INDEX('Lease Cycles'!$ET$23:$EZ$23,1,V265)*(1+'Lease Cycles'!$V$23)^INT(INT(V266/12)/'Lease Cycles'!$W$23)/12,0),0)</f>
        <v>0</v>
      </c>
      <c r="W269" s="28">
        <f>IF(W267=1,IF(INDEX('Lease Cycles'!$EF$23:$EL$23,1,W265)=1,'Lease Cycles'!$C$23*INDEX('Lease Cycles'!$ET$23:$EZ$23,1,W265)*(1+'Lease Cycles'!$V$23)^INT(INT(W266/12)/'Lease Cycles'!$W$23)/12,0),0)</f>
        <v>0</v>
      </c>
      <c r="X269" s="28">
        <f>IF(X267=1,IF(INDEX('Lease Cycles'!$EF$23:$EL$23,1,X265)=1,'Lease Cycles'!$C$23*INDEX('Lease Cycles'!$ET$23:$EZ$23,1,X265)*(1+'Lease Cycles'!$V$23)^INT(INT(X266/12)/'Lease Cycles'!$W$23)/12,0),0)</f>
        <v>0</v>
      </c>
      <c r="Y269" s="28">
        <f>IF(Y267=1,IF(INDEX('Lease Cycles'!$EF$23:$EL$23,1,Y265)=1,'Lease Cycles'!$C$23*INDEX('Lease Cycles'!$ET$23:$EZ$23,1,Y265)*(1+'Lease Cycles'!$V$23)^INT(INT(Y266/12)/'Lease Cycles'!$W$23)/12,0),0)</f>
        <v>0</v>
      </c>
      <c r="Z269" s="28">
        <f>IF(Z267=1,IF(INDEX('Lease Cycles'!$EF$23:$EL$23,1,Z265)=1,'Lease Cycles'!$C$23*INDEX('Lease Cycles'!$ET$23:$EZ$23,1,Z265)*(1+'Lease Cycles'!$V$23)^INT(INT(Z266/12)/'Lease Cycles'!$W$23)/12,0),0)</f>
        <v>0</v>
      </c>
      <c r="AA269" s="28">
        <f>IF(AA267=1,IF(INDEX('Lease Cycles'!$EF$23:$EL$23,1,AA265)=1,'Lease Cycles'!$C$23*INDEX('Lease Cycles'!$ET$23:$EZ$23,1,AA265)*(1+'Lease Cycles'!$V$23)^INT(INT(AA266/12)/'Lease Cycles'!$W$23)/12,0),0)</f>
        <v>0</v>
      </c>
      <c r="AB269" s="28">
        <f>IF(AB267=1,IF(INDEX('Lease Cycles'!$EF$23:$EL$23,1,AB265)=1,'Lease Cycles'!$C$23*INDEX('Lease Cycles'!$ET$23:$EZ$23,1,AB265)*(1+'Lease Cycles'!$V$23)^INT(INT(AB266/12)/'Lease Cycles'!$W$23)/12,0),0)</f>
        <v>0</v>
      </c>
      <c r="AC269" s="28">
        <f>IF(AC267=1,IF(INDEX('Lease Cycles'!$EF$23:$EL$23,1,AC265)=1,'Lease Cycles'!$C$23*INDEX('Lease Cycles'!$ET$23:$EZ$23,1,AC265)*(1+'Lease Cycles'!$V$23)^INT(INT(AC266/12)/'Lease Cycles'!$W$23)/12,0),0)</f>
        <v>0</v>
      </c>
      <c r="AD269" s="28">
        <f>IF(AD267=1,IF(INDEX('Lease Cycles'!$EF$23:$EL$23,1,AD265)=1,'Lease Cycles'!$C$23*INDEX('Lease Cycles'!$ET$23:$EZ$23,1,AD265)*(1+'Lease Cycles'!$V$23)^INT(INT(AD266/12)/'Lease Cycles'!$W$23)/12,0),0)</f>
        <v>0</v>
      </c>
      <c r="AE269" s="28">
        <f>IF(AE267=1,IF(INDEX('Lease Cycles'!$EF$23:$EL$23,1,AE265)=1,'Lease Cycles'!$C$23*INDEX('Lease Cycles'!$ET$23:$EZ$23,1,AE265)*(1+'Lease Cycles'!$V$23)^INT(INT(AE266/12)/'Lease Cycles'!$W$23)/12,0),0)</f>
        <v>0</v>
      </c>
      <c r="AF269" s="28">
        <f>IF(AF267=1,IF(INDEX('Lease Cycles'!$EF$23:$EL$23,1,AF265)=1,'Lease Cycles'!$C$23*INDEX('Lease Cycles'!$ET$23:$EZ$23,1,AF265)*(1+'Lease Cycles'!$V$23)^INT(INT(AF266/12)/'Lease Cycles'!$W$23)/12,0),0)</f>
        <v>0</v>
      </c>
      <c r="AG269" s="28">
        <f>IF(AG267=1,IF(INDEX('Lease Cycles'!$EF$23:$EL$23,1,AG265)=1,'Lease Cycles'!$C$23*INDEX('Lease Cycles'!$ET$23:$EZ$23,1,AG265)*(1+'Lease Cycles'!$V$23)^INT(INT(AG266/12)/'Lease Cycles'!$W$23)/12,0),0)</f>
        <v>0</v>
      </c>
      <c r="AH269" s="28">
        <f>IF(AH267=1,IF(INDEX('Lease Cycles'!$EF$23:$EL$23,1,AH265)=1,'Lease Cycles'!$C$23*INDEX('Lease Cycles'!$ET$23:$EZ$23,1,AH265)*(1+'Lease Cycles'!$V$23)^INT(INT(AH266/12)/'Lease Cycles'!$W$23)/12,0),0)</f>
        <v>0</v>
      </c>
      <c r="AI269" s="28">
        <f>IF(AI267=1,IF(INDEX('Lease Cycles'!$EF$23:$EL$23,1,AI265)=1,'Lease Cycles'!$C$23*INDEX('Lease Cycles'!$ET$23:$EZ$23,1,AI265)*(1+'Lease Cycles'!$V$23)^INT(INT(AI266/12)/'Lease Cycles'!$W$23)/12,0),0)</f>
        <v>0</v>
      </c>
      <c r="AJ269" s="28">
        <f>IF(AJ267=1,IF(INDEX('Lease Cycles'!$EF$23:$EL$23,1,AJ265)=1,'Lease Cycles'!$C$23*INDEX('Lease Cycles'!$ET$23:$EZ$23,1,AJ265)*(1+'Lease Cycles'!$V$23)^INT(INT(AJ266/12)/'Lease Cycles'!$W$23)/12,0),0)</f>
        <v>0</v>
      </c>
      <c r="AK269" s="28">
        <f>IF(AK267=1,IF(INDEX('Lease Cycles'!$EF$23:$EL$23,1,AK265)=1,'Lease Cycles'!$C$23*INDEX('Lease Cycles'!$ET$23:$EZ$23,1,AK265)*(1+'Lease Cycles'!$V$23)^INT(INT(AK266/12)/'Lease Cycles'!$W$23)/12,0),0)</f>
        <v>0</v>
      </c>
      <c r="AL269" s="28">
        <f>IF(AL267=1,IF(INDEX('Lease Cycles'!$EF$23:$EL$23,1,AL265)=1,'Lease Cycles'!$C$23*INDEX('Lease Cycles'!$ET$23:$EZ$23,1,AL265)*(1+'Lease Cycles'!$V$23)^INT(INT(AL266/12)/'Lease Cycles'!$W$23)/12,0),0)</f>
        <v>0</v>
      </c>
      <c r="AM269" s="28">
        <f>IF(AM267=1,IF(INDEX('Lease Cycles'!$EF$23:$EL$23,1,AM265)=1,'Lease Cycles'!$C$23*INDEX('Lease Cycles'!$ET$23:$EZ$23,1,AM265)*(1+'Lease Cycles'!$V$23)^INT(INT(AM266/12)/'Lease Cycles'!$W$23)/12,0),0)</f>
        <v>0</v>
      </c>
      <c r="AN269" s="28">
        <f>IF(AN267=1,IF(INDEX('Lease Cycles'!$EF$23:$EL$23,1,AN265)=1,'Lease Cycles'!$C$23*INDEX('Lease Cycles'!$ET$23:$EZ$23,1,AN265)*(1+'Lease Cycles'!$V$23)^INT(INT(AN266/12)/'Lease Cycles'!$W$23)/12,0),0)</f>
        <v>0</v>
      </c>
      <c r="AO269" s="28">
        <f>IF(AO267=1,IF(INDEX('Lease Cycles'!$EF$23:$EL$23,1,AO265)=1,'Lease Cycles'!$C$23*INDEX('Lease Cycles'!$ET$23:$EZ$23,1,AO265)*(1+'Lease Cycles'!$V$23)^INT(INT(AO266/12)/'Lease Cycles'!$W$23)/12,0),0)</f>
        <v>0</v>
      </c>
      <c r="AP269" s="28">
        <f>IF(AP267=1,IF(INDEX('Lease Cycles'!$EF$23:$EL$23,1,AP265)=1,'Lease Cycles'!$C$23*INDEX('Lease Cycles'!$ET$23:$EZ$23,1,AP265)*(1+'Lease Cycles'!$V$23)^INT(INT(AP266/12)/'Lease Cycles'!$W$23)/12,0),0)</f>
        <v>0</v>
      </c>
      <c r="AQ269" s="28">
        <f>IF(AQ267=1,IF(INDEX('Lease Cycles'!$EF$23:$EL$23,1,AQ265)=1,'Lease Cycles'!$C$23*INDEX('Lease Cycles'!$ET$23:$EZ$23,1,AQ265)*(1+'Lease Cycles'!$V$23)^INT(INT(AQ266/12)/'Lease Cycles'!$W$23)/12,0),0)</f>
        <v>0</v>
      </c>
      <c r="AR269" s="28">
        <f>IF(AR267=1,IF(INDEX('Lease Cycles'!$EF$23:$EL$23,1,AR265)=1,'Lease Cycles'!$C$23*INDEX('Lease Cycles'!$ET$23:$EZ$23,1,AR265)*(1+'Lease Cycles'!$V$23)^INT(INT(AR266/12)/'Lease Cycles'!$W$23)/12,0),0)</f>
        <v>0</v>
      </c>
      <c r="AS269" s="28">
        <f>IF(AS267=1,IF(INDEX('Lease Cycles'!$EF$23:$EL$23,1,AS265)=1,'Lease Cycles'!$C$23*INDEX('Lease Cycles'!$ET$23:$EZ$23,1,AS265)*(1+'Lease Cycles'!$V$23)^INT(INT(AS266/12)/'Lease Cycles'!$W$23)/12,0),0)</f>
        <v>0</v>
      </c>
      <c r="AT269" s="28">
        <f>IF(AT267=1,IF(INDEX('Lease Cycles'!$EF$23:$EL$23,1,AT265)=1,'Lease Cycles'!$C$23*INDEX('Lease Cycles'!$ET$23:$EZ$23,1,AT265)*(1+'Lease Cycles'!$V$23)^INT(INT(AT266/12)/'Lease Cycles'!$W$23)/12,0),0)</f>
        <v>0</v>
      </c>
      <c r="AU269" s="28">
        <f>IF(AU267=1,IF(INDEX('Lease Cycles'!$EF$23:$EL$23,1,AU265)=1,'Lease Cycles'!$C$23*INDEX('Lease Cycles'!$ET$23:$EZ$23,1,AU265)*(1+'Lease Cycles'!$V$23)^INT(INT(AU266/12)/'Lease Cycles'!$W$23)/12,0),0)</f>
        <v>0</v>
      </c>
      <c r="AV269" s="28">
        <f>IF(AV267=1,IF(INDEX('Lease Cycles'!$EF$23:$EL$23,1,AV265)=1,'Lease Cycles'!$C$23*INDEX('Lease Cycles'!$ET$23:$EZ$23,1,AV265)*(1+'Lease Cycles'!$V$23)^INT(INT(AV266/12)/'Lease Cycles'!$W$23)/12,0),0)</f>
        <v>0</v>
      </c>
      <c r="AW269" s="28">
        <f>IF(AW267=1,IF(INDEX('Lease Cycles'!$EF$23:$EL$23,1,AW265)=1,'Lease Cycles'!$C$23*INDEX('Lease Cycles'!$ET$23:$EZ$23,1,AW265)*(1+'Lease Cycles'!$V$23)^INT(INT(AW266/12)/'Lease Cycles'!$W$23)/12,0),0)</f>
        <v>0</v>
      </c>
      <c r="AX269" s="28">
        <f>IF(AX267=1,IF(INDEX('Lease Cycles'!$EF$23:$EL$23,1,AX265)=1,'Lease Cycles'!$C$23*INDEX('Lease Cycles'!$ET$23:$EZ$23,1,AX265)*(1+'Lease Cycles'!$V$23)^INT(INT(AX266/12)/'Lease Cycles'!$W$23)/12,0),0)</f>
        <v>0</v>
      </c>
      <c r="AY269" s="28">
        <f>IF(AY267=1,IF(INDEX('Lease Cycles'!$EF$23:$EL$23,1,AY265)=1,'Lease Cycles'!$C$23*INDEX('Lease Cycles'!$ET$23:$EZ$23,1,AY265)*(1+'Lease Cycles'!$V$23)^INT(INT(AY266/12)/'Lease Cycles'!$W$23)/12,0),0)</f>
        <v>0</v>
      </c>
      <c r="AZ269" s="28">
        <f>IF(AZ267=1,IF(INDEX('Lease Cycles'!$EF$23:$EL$23,1,AZ265)=1,'Lease Cycles'!$C$23*INDEX('Lease Cycles'!$ET$23:$EZ$23,1,AZ265)*(1+'Lease Cycles'!$V$23)^INT(INT(AZ266/12)/'Lease Cycles'!$W$23)/12,0),0)</f>
        <v>0</v>
      </c>
      <c r="BA269" s="28">
        <f>IF(BA267=1,IF(INDEX('Lease Cycles'!$EF$23:$EL$23,1,BA265)=1,'Lease Cycles'!$C$23*INDEX('Lease Cycles'!$ET$23:$EZ$23,1,BA265)*(1+'Lease Cycles'!$V$23)^INT(INT(BA266/12)/'Lease Cycles'!$W$23)/12,0),0)</f>
        <v>0</v>
      </c>
      <c r="BB269" s="28">
        <f>IF(BB267=1,IF(INDEX('Lease Cycles'!$EF$23:$EL$23,1,BB265)=1,'Lease Cycles'!$C$23*INDEX('Lease Cycles'!$ET$23:$EZ$23,1,BB265)*(1+'Lease Cycles'!$V$23)^INT(INT(BB266/12)/'Lease Cycles'!$W$23)/12,0),0)</f>
        <v>0</v>
      </c>
      <c r="BC269" s="28">
        <f>IF(BC267=1,IF(INDEX('Lease Cycles'!$EF$23:$EL$23,1,BC265)=1,'Lease Cycles'!$C$23*INDEX('Lease Cycles'!$ET$23:$EZ$23,1,BC265)*(1+'Lease Cycles'!$V$23)^INT(INT(BC266/12)/'Lease Cycles'!$W$23)/12,0),0)</f>
        <v>0</v>
      </c>
      <c r="BD269" s="28">
        <f>IF(BD267=1,IF(INDEX('Lease Cycles'!$EF$23:$EL$23,1,BD265)=1,'Lease Cycles'!$C$23*INDEX('Lease Cycles'!$ET$23:$EZ$23,1,BD265)*(1+'Lease Cycles'!$V$23)^INT(INT(BD266/12)/'Lease Cycles'!$W$23)/12,0),0)</f>
        <v>0</v>
      </c>
      <c r="BE269" s="28">
        <f>IF(BE267=1,IF(INDEX('Lease Cycles'!$EF$23:$EL$23,1,BE265)=1,'Lease Cycles'!$C$23*INDEX('Lease Cycles'!$ET$23:$EZ$23,1,BE265)*(1+'Lease Cycles'!$V$23)^INT(INT(BE266/12)/'Lease Cycles'!$W$23)/12,0),0)</f>
        <v>0</v>
      </c>
      <c r="BF269" s="28">
        <f>IF(BF267=1,IF(INDEX('Lease Cycles'!$EF$23:$EL$23,1,BF265)=1,'Lease Cycles'!$C$23*INDEX('Lease Cycles'!$ET$23:$EZ$23,1,BF265)*(1+'Lease Cycles'!$V$23)^INT(INT(BF266/12)/'Lease Cycles'!$W$23)/12,0),0)</f>
        <v>0</v>
      </c>
      <c r="BG269" s="28">
        <f>IF(BG267=1,IF(INDEX('Lease Cycles'!$EF$23:$EL$23,1,BG265)=1,'Lease Cycles'!$C$23*INDEX('Lease Cycles'!$ET$23:$EZ$23,1,BG265)*(1+'Lease Cycles'!$V$23)^INT(INT(BG266/12)/'Lease Cycles'!$W$23)/12,0),0)</f>
        <v>0</v>
      </c>
      <c r="BH269" s="28">
        <f>IF(BH267=1,IF(INDEX('Lease Cycles'!$EF$23:$EL$23,1,BH265)=1,'Lease Cycles'!$C$23*INDEX('Lease Cycles'!$ET$23:$EZ$23,1,BH265)*(1+'Lease Cycles'!$V$23)^INT(INT(BH266/12)/'Lease Cycles'!$W$23)/12,0),0)</f>
        <v>0</v>
      </c>
      <c r="BI269" s="28">
        <f>IF(BI267=1,IF(INDEX('Lease Cycles'!$EF$23:$EL$23,1,BI265)=1,'Lease Cycles'!$C$23*INDEX('Lease Cycles'!$ET$23:$EZ$23,1,BI265)*(1+'Lease Cycles'!$V$23)^INT(INT(BI266/12)/'Lease Cycles'!$W$23)/12,0),0)</f>
        <v>0</v>
      </c>
      <c r="BJ269" s="28">
        <f>IF(BJ267=1,IF(INDEX('Lease Cycles'!$EF$23:$EL$23,1,BJ265)=1,'Lease Cycles'!$C$23*INDEX('Lease Cycles'!$ET$23:$EZ$23,1,BJ265)*(1+'Lease Cycles'!$V$23)^INT(INT(BJ266/12)/'Lease Cycles'!$W$23)/12,0),0)</f>
        <v>0</v>
      </c>
      <c r="BK269" s="28">
        <f>IF(BK267=1,IF(INDEX('Lease Cycles'!$EF$23:$EL$23,1,BK265)=1,'Lease Cycles'!$C$23*INDEX('Lease Cycles'!$ET$23:$EZ$23,1,BK265)*(1+'Lease Cycles'!$V$23)^INT(INT(BK266/12)/'Lease Cycles'!$W$23)/12,0),0)</f>
        <v>0</v>
      </c>
      <c r="BL269" s="28">
        <f>IF(BL267=1,IF(INDEX('Lease Cycles'!$EF$23:$EL$23,1,BL265)=1,'Lease Cycles'!$C$23*INDEX('Lease Cycles'!$ET$23:$EZ$23,1,BL265)*(1+'Lease Cycles'!$V$23)^INT(INT(BL266/12)/'Lease Cycles'!$W$23)/12,0),0)</f>
        <v>0</v>
      </c>
      <c r="BM269" s="28">
        <f>IF(BM267=1,IF(INDEX('Lease Cycles'!$EF$23:$EL$23,1,BM265)=1,'Lease Cycles'!$C$23*INDEX('Lease Cycles'!$ET$23:$EZ$23,1,BM265)*(1+'Lease Cycles'!$V$23)^INT(INT(BM266/12)/'Lease Cycles'!$W$23)/12,0),0)</f>
        <v>0</v>
      </c>
      <c r="BN269" s="28">
        <f>IF(BN267=1,IF(INDEX('Lease Cycles'!$EF$23:$EL$23,1,BN265)=1,'Lease Cycles'!$C$23*INDEX('Lease Cycles'!$ET$23:$EZ$23,1,BN265)*(1+'Lease Cycles'!$V$23)^INT(INT(BN266/12)/'Lease Cycles'!$W$23)/12,0),0)</f>
        <v>0</v>
      </c>
      <c r="BO269" s="28">
        <f>IF(BO267=1,IF(INDEX('Lease Cycles'!$EF$23:$EL$23,1,BO265)=1,'Lease Cycles'!$C$23*INDEX('Lease Cycles'!$ET$23:$EZ$23,1,BO265)*(1+'Lease Cycles'!$V$23)^INT(INT(BO266/12)/'Lease Cycles'!$W$23)/12,0),0)</f>
        <v>0</v>
      </c>
      <c r="BP269" s="28">
        <f>IF(BP267=1,IF(INDEX('Lease Cycles'!$EF$23:$EL$23,1,BP265)=1,'Lease Cycles'!$C$23*INDEX('Lease Cycles'!$ET$23:$EZ$23,1,BP265)*(1+'Lease Cycles'!$V$23)^INT(INT(BP266/12)/'Lease Cycles'!$W$23)/12,0),0)</f>
        <v>0</v>
      </c>
      <c r="BQ269" s="28">
        <f>IF(BQ267=1,IF(INDEX('Lease Cycles'!$EF$23:$EL$23,1,BQ265)=1,'Lease Cycles'!$C$23*INDEX('Lease Cycles'!$ET$23:$EZ$23,1,BQ265)*(1+'Lease Cycles'!$V$23)^INT(INT(BQ266/12)/'Lease Cycles'!$W$23)/12,0),0)</f>
        <v>0</v>
      </c>
      <c r="BR269" s="28">
        <f>IF(BR267=1,IF(INDEX('Lease Cycles'!$EF$23:$EL$23,1,BR265)=1,'Lease Cycles'!$C$23*INDEX('Lease Cycles'!$ET$23:$EZ$23,1,BR265)*(1+'Lease Cycles'!$V$23)^INT(INT(BR266/12)/'Lease Cycles'!$W$23)/12,0),0)</f>
        <v>0</v>
      </c>
      <c r="BS269" s="28">
        <f>IF(BS267=1,IF(INDEX('Lease Cycles'!$EF$23:$EL$23,1,BS265)=1,'Lease Cycles'!$C$23*INDEX('Lease Cycles'!$ET$23:$EZ$23,1,BS265)*(1+'Lease Cycles'!$V$23)^INT(INT(BS266/12)/'Lease Cycles'!$W$23)/12,0),0)</f>
        <v>0</v>
      </c>
      <c r="BT269" s="28">
        <f>IF(BT267=1,IF(INDEX('Lease Cycles'!$EF$23:$EL$23,1,BT265)=1,'Lease Cycles'!$C$23*INDEX('Lease Cycles'!$ET$23:$EZ$23,1,BT265)*(1+'Lease Cycles'!$V$23)^INT(INT(BT266/12)/'Lease Cycles'!$W$23)/12,0),0)</f>
        <v>0</v>
      </c>
      <c r="BU269" s="28">
        <f>IF(BU267=1,IF(INDEX('Lease Cycles'!$EF$23:$EL$23,1,BU265)=1,'Lease Cycles'!$C$23*INDEX('Lease Cycles'!$ET$23:$EZ$23,1,BU265)*(1+'Lease Cycles'!$V$23)^INT(INT(BU266/12)/'Lease Cycles'!$W$23)/12,0),0)</f>
        <v>0</v>
      </c>
      <c r="BV269" s="28">
        <f>IF(BV267=1,IF(INDEX('Lease Cycles'!$EF$23:$EL$23,1,BV265)=1,'Lease Cycles'!$C$23*INDEX('Lease Cycles'!$ET$23:$EZ$23,1,BV265)*(1+'Lease Cycles'!$V$23)^INT(INT(BV266/12)/'Lease Cycles'!$W$23)/12,0),0)</f>
        <v>0</v>
      </c>
      <c r="BW269" s="28">
        <f>IF(BW267=1,IF(INDEX('Lease Cycles'!$EF$23:$EL$23,1,BW265)=1,'Lease Cycles'!$C$23*INDEX('Lease Cycles'!$ET$23:$EZ$23,1,BW265)*(1+'Lease Cycles'!$V$23)^INT(INT(BW266/12)/'Lease Cycles'!$W$23)/12,0),0)</f>
        <v>0</v>
      </c>
      <c r="BX269" s="28">
        <f>IF(BX267=1,IF(INDEX('Lease Cycles'!$EF$23:$EL$23,1,BX265)=1,'Lease Cycles'!$C$23*INDEX('Lease Cycles'!$ET$23:$EZ$23,1,BX265)*(1+'Lease Cycles'!$V$23)^INT(INT(BX266/12)/'Lease Cycles'!$W$23)/12,0),0)</f>
        <v>0</v>
      </c>
      <c r="BY269" s="28">
        <f>IF(BY267=1,IF(INDEX('Lease Cycles'!$EF$23:$EL$23,1,BY265)=1,'Lease Cycles'!$C$23*INDEX('Lease Cycles'!$ET$23:$EZ$23,1,BY265)*(1+'Lease Cycles'!$V$23)^INT(INT(BY266/12)/'Lease Cycles'!$W$23)/12,0),0)</f>
        <v>0</v>
      </c>
      <c r="BZ269" s="28">
        <f>IF(BZ267=1,IF(INDEX('Lease Cycles'!$EF$23:$EL$23,1,BZ265)=1,'Lease Cycles'!$C$23*INDEX('Lease Cycles'!$ET$23:$EZ$23,1,BZ265)*(1+'Lease Cycles'!$V$23)^INT(INT(BZ266/12)/'Lease Cycles'!$W$23)/12,0),0)</f>
        <v>0</v>
      </c>
      <c r="CA269" s="28">
        <f>IF(CA267=1,IF(INDEX('Lease Cycles'!$EF$23:$EL$23,1,CA265)=1,'Lease Cycles'!$C$23*INDEX('Lease Cycles'!$ET$23:$EZ$23,1,CA265)*(1+'Lease Cycles'!$V$23)^INT(INT(CA266/12)/'Lease Cycles'!$W$23)/12,0),0)</f>
        <v>0</v>
      </c>
      <c r="CB269" s="28">
        <f>IF(CB267=1,IF(INDEX('Lease Cycles'!$EF$23:$EL$23,1,CB265)=1,'Lease Cycles'!$C$23*INDEX('Lease Cycles'!$ET$23:$EZ$23,1,CB265)*(1+'Lease Cycles'!$V$23)^INT(INT(CB266/12)/'Lease Cycles'!$W$23)/12,0),0)</f>
        <v>0</v>
      </c>
      <c r="CC269" s="28">
        <f>IF(CC267=1,IF(INDEX('Lease Cycles'!$EF$23:$EL$23,1,CC265)=1,'Lease Cycles'!$C$23*INDEX('Lease Cycles'!$ET$23:$EZ$23,1,CC265)*(1+'Lease Cycles'!$V$23)^INT(INT(CC266/12)/'Lease Cycles'!$W$23)/12,0),0)</f>
        <v>0</v>
      </c>
      <c r="CD269" s="28">
        <f>IF(CD267=1,IF(INDEX('Lease Cycles'!$EF$23:$EL$23,1,CD265)=1,'Lease Cycles'!$C$23*INDEX('Lease Cycles'!$ET$23:$EZ$23,1,CD265)*(1+'Lease Cycles'!$V$23)^INT(INT(CD266/12)/'Lease Cycles'!$W$23)/12,0),0)</f>
        <v>0</v>
      </c>
      <c r="CE269" s="28">
        <f>IF(CE267=1,IF(INDEX('Lease Cycles'!$EF$23:$EL$23,1,CE265)=1,'Lease Cycles'!$C$23*INDEX('Lease Cycles'!$ET$23:$EZ$23,1,CE265)*(1+'Lease Cycles'!$V$23)^INT(INT(CE266/12)/'Lease Cycles'!$W$23)/12,0),0)</f>
        <v>0</v>
      </c>
      <c r="CF269" s="28">
        <f>IF(CF267=1,IF(INDEX('Lease Cycles'!$EF$23:$EL$23,1,CF265)=1,'Lease Cycles'!$C$23*INDEX('Lease Cycles'!$ET$23:$EZ$23,1,CF265)*(1+'Lease Cycles'!$V$23)^INT(INT(CF266/12)/'Lease Cycles'!$W$23)/12,0),0)</f>
        <v>0</v>
      </c>
      <c r="CG269" s="28">
        <f>IF(CG267=1,IF(INDEX('Lease Cycles'!$EF$23:$EL$23,1,CG265)=1,'Lease Cycles'!$C$23*INDEX('Lease Cycles'!$ET$23:$EZ$23,1,CG265)*(1+'Lease Cycles'!$V$23)^INT(INT(CG266/12)/'Lease Cycles'!$W$23)/12,0),0)</f>
        <v>0</v>
      </c>
      <c r="CH269" s="28">
        <f>IF(CH267=1,IF(INDEX('Lease Cycles'!$EF$23:$EL$23,1,CH265)=1,'Lease Cycles'!$C$23*INDEX('Lease Cycles'!$ET$23:$EZ$23,1,CH265)*(1+'Lease Cycles'!$V$23)^INT(INT(CH266/12)/'Lease Cycles'!$W$23)/12,0),0)</f>
        <v>0</v>
      </c>
      <c r="CI269" s="28">
        <f>IF(CI267=1,IF(INDEX('Lease Cycles'!$EF$23:$EL$23,1,CI265)=1,'Lease Cycles'!$C$23*INDEX('Lease Cycles'!$ET$23:$EZ$23,1,CI265)*(1+'Lease Cycles'!$V$23)^INT(INT(CI266/12)/'Lease Cycles'!$W$23)/12,0),0)</f>
        <v>0</v>
      </c>
      <c r="CJ269" s="28">
        <f>IF(CJ267=1,IF(INDEX('Lease Cycles'!$EF$23:$EL$23,1,CJ265)=1,'Lease Cycles'!$C$23*INDEX('Lease Cycles'!$ET$23:$EZ$23,1,CJ265)*(1+'Lease Cycles'!$V$23)^INT(INT(CJ266/12)/'Lease Cycles'!$W$23)/12,0),0)</f>
        <v>0</v>
      </c>
      <c r="CK269" s="28">
        <f>IF(CK267=1,IF(INDEX('Lease Cycles'!$EF$23:$EL$23,1,CK265)=1,'Lease Cycles'!$C$23*INDEX('Lease Cycles'!$ET$23:$EZ$23,1,CK265)*(1+'Lease Cycles'!$V$23)^INT(INT(CK266/12)/'Lease Cycles'!$W$23)/12,0),0)</f>
        <v>0</v>
      </c>
      <c r="CL269" s="28">
        <f>IF(CL267=1,IF(INDEX('Lease Cycles'!$EF$23:$EL$23,1,CL265)=1,'Lease Cycles'!$C$23*INDEX('Lease Cycles'!$ET$23:$EZ$23,1,CL265)*(1+'Lease Cycles'!$V$23)^INT(INT(CL266/12)/'Lease Cycles'!$W$23)/12,0),0)</f>
        <v>0</v>
      </c>
      <c r="CM269" s="28">
        <f>IF(CM267=1,IF(INDEX('Lease Cycles'!$EF$23:$EL$23,1,CM265)=1,'Lease Cycles'!$C$23*INDEX('Lease Cycles'!$ET$23:$EZ$23,1,CM265)*(1+'Lease Cycles'!$V$23)^INT(INT(CM266/12)/'Lease Cycles'!$W$23)/12,0),0)</f>
        <v>0</v>
      </c>
      <c r="CN269" s="28">
        <f>IF(CN267=1,IF(INDEX('Lease Cycles'!$EF$23:$EL$23,1,CN265)=1,'Lease Cycles'!$C$23*INDEX('Lease Cycles'!$ET$23:$EZ$23,1,CN265)*(1+'Lease Cycles'!$V$23)^INT(INT(CN266/12)/'Lease Cycles'!$W$23)/12,0),0)</f>
        <v>0</v>
      </c>
      <c r="CO269" s="28">
        <f>IF(CO267=1,IF(INDEX('Lease Cycles'!$EF$23:$EL$23,1,CO265)=1,'Lease Cycles'!$C$23*INDEX('Lease Cycles'!$ET$23:$EZ$23,1,CO265)*(1+'Lease Cycles'!$V$23)^INT(INT(CO266/12)/'Lease Cycles'!$W$23)/12,0),0)</f>
        <v>0</v>
      </c>
      <c r="CP269" s="28">
        <f>IF(CP267=1,IF(INDEX('Lease Cycles'!$EF$23:$EL$23,1,CP265)=1,'Lease Cycles'!$C$23*INDEX('Lease Cycles'!$ET$23:$EZ$23,1,CP265)*(1+'Lease Cycles'!$V$23)^INT(INT(CP266/12)/'Lease Cycles'!$W$23)/12,0),0)</f>
        <v>0</v>
      </c>
      <c r="CQ269" s="28">
        <f>IF(CQ267=1,IF(INDEX('Lease Cycles'!$EF$23:$EL$23,1,CQ265)=1,'Lease Cycles'!$C$23*INDEX('Lease Cycles'!$ET$23:$EZ$23,1,CQ265)*(1+'Lease Cycles'!$V$23)^INT(INT(CQ266/12)/'Lease Cycles'!$W$23)/12,0),0)</f>
        <v>0</v>
      </c>
      <c r="CR269" s="28">
        <f>IF(CR267=1,IF(INDEX('Lease Cycles'!$EF$23:$EL$23,1,CR265)=1,'Lease Cycles'!$C$23*INDEX('Lease Cycles'!$ET$23:$EZ$23,1,CR265)*(1+'Lease Cycles'!$V$23)^INT(INT(CR266/12)/'Lease Cycles'!$W$23)/12,0),0)</f>
        <v>0</v>
      </c>
      <c r="CS269" s="28">
        <f>IF(CS267=1,IF(INDEX('Lease Cycles'!$EF$23:$EL$23,1,CS265)=1,'Lease Cycles'!$C$23*INDEX('Lease Cycles'!$ET$23:$EZ$23,1,CS265)*(1+'Lease Cycles'!$V$23)^INT(INT(CS266/12)/'Lease Cycles'!$W$23)/12,0),0)</f>
        <v>0</v>
      </c>
      <c r="CT269" s="28">
        <f>IF(CT267=1,IF(INDEX('Lease Cycles'!$EF$23:$EL$23,1,CT265)=1,'Lease Cycles'!$C$23*INDEX('Lease Cycles'!$ET$23:$EZ$23,1,CT265)*(1+'Lease Cycles'!$V$23)^INT(INT(CT266/12)/'Lease Cycles'!$W$23)/12,0),0)</f>
        <v>0</v>
      </c>
      <c r="CU269" s="28">
        <f>IF(CU267=1,IF(INDEX('Lease Cycles'!$EF$23:$EL$23,1,CU265)=1,'Lease Cycles'!$C$23*INDEX('Lease Cycles'!$ET$23:$EZ$23,1,CU265)*(1+'Lease Cycles'!$V$23)^INT(INT(CU266/12)/'Lease Cycles'!$W$23)/12,0),0)</f>
        <v>0</v>
      </c>
      <c r="CV269" s="28">
        <f>IF(CV267=1,IF(INDEX('Lease Cycles'!$EF$23:$EL$23,1,CV265)=1,'Lease Cycles'!$C$23*INDEX('Lease Cycles'!$ET$23:$EZ$23,1,CV265)*(1+'Lease Cycles'!$V$23)^INT(INT(CV266/12)/'Lease Cycles'!$W$23)/12,0),0)</f>
        <v>0</v>
      </c>
      <c r="CW269" s="28">
        <f>IF(CW267=1,IF(INDEX('Lease Cycles'!$EF$23:$EL$23,1,CW265)=1,'Lease Cycles'!$C$23*INDEX('Lease Cycles'!$ET$23:$EZ$23,1,CW265)*(1+'Lease Cycles'!$V$23)^INT(INT(CW266/12)/'Lease Cycles'!$W$23)/12,0),0)</f>
        <v>0</v>
      </c>
      <c r="CX269" s="28">
        <f>IF(CX267=1,IF(INDEX('Lease Cycles'!$EF$23:$EL$23,1,CX265)=1,'Lease Cycles'!$C$23*INDEX('Lease Cycles'!$ET$23:$EZ$23,1,CX265)*(1+'Lease Cycles'!$V$23)^INT(INT(CX266/12)/'Lease Cycles'!$W$23)/12,0),0)</f>
        <v>0</v>
      </c>
      <c r="CY269" s="28">
        <f>IF(CY267=1,IF(INDEX('Lease Cycles'!$EF$23:$EL$23,1,CY265)=1,'Lease Cycles'!$C$23*INDEX('Lease Cycles'!$ET$23:$EZ$23,1,CY265)*(1+'Lease Cycles'!$V$23)^INT(INT(CY266/12)/'Lease Cycles'!$W$23)/12,0),0)</f>
        <v>0</v>
      </c>
      <c r="CZ269" s="28">
        <f>IF(CZ267=1,IF(INDEX('Lease Cycles'!$EF$23:$EL$23,1,CZ265)=1,'Lease Cycles'!$C$23*INDEX('Lease Cycles'!$ET$23:$EZ$23,1,CZ265)*(1+'Lease Cycles'!$V$23)^INT(INT(CZ266/12)/'Lease Cycles'!$W$23)/12,0),0)</f>
        <v>0</v>
      </c>
      <c r="DA269" s="28">
        <f>IF(DA267=1,IF(INDEX('Lease Cycles'!$EF$23:$EL$23,1,DA265)=1,'Lease Cycles'!$C$23*INDEX('Lease Cycles'!$ET$23:$EZ$23,1,DA265)*(1+'Lease Cycles'!$V$23)^INT(INT(DA266/12)/'Lease Cycles'!$W$23)/12,0),0)</f>
        <v>0</v>
      </c>
      <c r="DB269" s="28">
        <f>IF(DB267=1,IF(INDEX('Lease Cycles'!$EF$23:$EL$23,1,DB265)=1,'Lease Cycles'!$C$23*INDEX('Lease Cycles'!$ET$23:$EZ$23,1,DB265)*(1+'Lease Cycles'!$V$23)^INT(INT(DB266/12)/'Lease Cycles'!$W$23)/12,0),0)</f>
        <v>0</v>
      </c>
      <c r="DC269" s="28">
        <f>IF(DC267=1,IF(INDEX('Lease Cycles'!$EF$23:$EL$23,1,DC265)=1,'Lease Cycles'!$C$23*INDEX('Lease Cycles'!$ET$23:$EZ$23,1,DC265)*(1+'Lease Cycles'!$V$23)^INT(INT(DC266/12)/'Lease Cycles'!$W$23)/12,0),0)</f>
        <v>0</v>
      </c>
      <c r="DD269" s="28">
        <f>IF(DD267=1,IF(INDEX('Lease Cycles'!$EF$23:$EL$23,1,DD265)=1,'Lease Cycles'!$C$23*INDEX('Lease Cycles'!$ET$23:$EZ$23,1,DD265)*(1+'Lease Cycles'!$V$23)^INT(INT(DD266/12)/'Lease Cycles'!$W$23)/12,0),0)</f>
        <v>0</v>
      </c>
      <c r="DE269" s="28">
        <f>IF(DE267=1,IF(INDEX('Lease Cycles'!$EF$23:$EL$23,1,DE265)=1,'Lease Cycles'!$C$23*INDEX('Lease Cycles'!$ET$23:$EZ$23,1,DE265)*(1+'Lease Cycles'!$V$23)^INT(INT(DE266/12)/'Lease Cycles'!$W$23)/12,0),0)</f>
        <v>0</v>
      </c>
      <c r="DF269" s="28">
        <f>IF(DF267=1,IF(INDEX('Lease Cycles'!$EF$23:$EL$23,1,DF265)=1,'Lease Cycles'!$C$23*INDEX('Lease Cycles'!$ET$23:$EZ$23,1,DF265)*(1+'Lease Cycles'!$V$23)^INT(INT(DF266/12)/'Lease Cycles'!$W$23)/12,0),0)</f>
        <v>0</v>
      </c>
      <c r="DG269" s="28">
        <f>IF(DG267=1,IF(INDEX('Lease Cycles'!$EF$23:$EL$23,1,DG265)=1,'Lease Cycles'!$C$23*INDEX('Lease Cycles'!$ET$23:$EZ$23,1,DG265)*(1+'Lease Cycles'!$V$23)^INT(INT(DG266/12)/'Lease Cycles'!$W$23)/12,0),0)</f>
        <v>0</v>
      </c>
      <c r="DH269" s="28">
        <f>IF(DH267=1,IF(INDEX('Lease Cycles'!$EF$23:$EL$23,1,DH265)=1,'Lease Cycles'!$C$23*INDEX('Lease Cycles'!$ET$23:$EZ$23,1,DH265)*(1+'Lease Cycles'!$V$23)^INT(INT(DH266/12)/'Lease Cycles'!$W$23)/12,0),0)</f>
        <v>0</v>
      </c>
      <c r="DI269" s="28">
        <f>IF(DI267=1,IF(INDEX('Lease Cycles'!$EF$23:$EL$23,1,DI265)=1,'Lease Cycles'!$C$23*INDEX('Lease Cycles'!$ET$23:$EZ$23,1,DI265)*(1+'Lease Cycles'!$V$23)^INT(INT(DI266/12)/'Lease Cycles'!$W$23)/12,0),0)</f>
        <v>0</v>
      </c>
      <c r="DJ269" s="28">
        <f>IF(DJ267=1,IF(INDEX('Lease Cycles'!$EF$23:$EL$23,1,DJ265)=1,'Lease Cycles'!$C$23*INDEX('Lease Cycles'!$ET$23:$EZ$23,1,DJ265)*(1+'Lease Cycles'!$V$23)^INT(INT(DJ266/12)/'Lease Cycles'!$W$23)/12,0),0)</f>
        <v>0</v>
      </c>
      <c r="DK269" s="28">
        <f>IF(DK267=1,IF(INDEX('Lease Cycles'!$EF$23:$EL$23,1,DK265)=1,'Lease Cycles'!$C$23*INDEX('Lease Cycles'!$ET$23:$EZ$23,1,DK265)*(1+'Lease Cycles'!$V$23)^INT(INT(DK266/12)/'Lease Cycles'!$W$23)/12,0),0)</f>
        <v>0</v>
      </c>
      <c r="DL269" s="28">
        <f>IF(DL267=1,IF(INDEX('Lease Cycles'!$EF$23:$EL$23,1,DL265)=1,'Lease Cycles'!$C$23*INDEX('Lease Cycles'!$ET$23:$EZ$23,1,DL265)*(1+'Lease Cycles'!$V$23)^INT(INT(DL266/12)/'Lease Cycles'!$W$23)/12,0),0)</f>
        <v>0</v>
      </c>
      <c r="DM269" s="28">
        <f>IF(DM267=1,IF(INDEX('Lease Cycles'!$EF$23:$EL$23,1,DM265)=1,'Lease Cycles'!$C$23*INDEX('Lease Cycles'!$ET$23:$EZ$23,1,DM265)*(1+'Lease Cycles'!$V$23)^INT(INT(DM266/12)/'Lease Cycles'!$W$23)/12,0),0)</f>
        <v>0</v>
      </c>
      <c r="DN269" s="28">
        <f>IF(DN267=1,IF(INDEX('Lease Cycles'!$EF$23:$EL$23,1,DN265)=1,'Lease Cycles'!$C$23*INDEX('Lease Cycles'!$ET$23:$EZ$23,1,DN265)*(1+'Lease Cycles'!$V$23)^INT(INT(DN266/12)/'Lease Cycles'!$W$23)/12,0),0)</f>
        <v>0</v>
      </c>
      <c r="DO269" s="28">
        <f>IF(DO267=1,IF(INDEX('Lease Cycles'!$EF$23:$EL$23,1,DO265)=1,'Lease Cycles'!$C$23*INDEX('Lease Cycles'!$ET$23:$EZ$23,1,DO265)*(1+'Lease Cycles'!$V$23)^INT(INT(DO266/12)/'Lease Cycles'!$W$23)/12,0),0)</f>
        <v>0</v>
      </c>
      <c r="DP269" s="28">
        <f>IF(DP267=1,IF(INDEX('Lease Cycles'!$EF$23:$EL$23,1,DP265)=1,'Lease Cycles'!$C$23*INDEX('Lease Cycles'!$ET$23:$EZ$23,1,DP265)*(1+'Lease Cycles'!$V$23)^INT(INT(DP266/12)/'Lease Cycles'!$W$23)/12,0),0)</f>
        <v>0</v>
      </c>
      <c r="DQ269" s="28">
        <f>IF(DQ267=1,IF(INDEX('Lease Cycles'!$EF$23:$EL$23,1,DQ265)=1,'Lease Cycles'!$C$23*INDEX('Lease Cycles'!$ET$23:$EZ$23,1,DQ265)*(1+'Lease Cycles'!$V$23)^INT(INT(DQ266/12)/'Lease Cycles'!$W$23)/12,0),0)</f>
        <v>0</v>
      </c>
      <c r="DR269" s="28">
        <f>IF(DR267=1,IF(INDEX('Lease Cycles'!$EF$23:$EL$23,1,DR265)=1,'Lease Cycles'!$C$23*INDEX('Lease Cycles'!$ET$23:$EZ$23,1,DR265)*(1+'Lease Cycles'!$V$23)^INT(INT(DR266/12)/'Lease Cycles'!$W$23)/12,0),0)</f>
        <v>0</v>
      </c>
      <c r="DS269" s="28">
        <f>IF(DS267=1,IF(INDEX('Lease Cycles'!$EF$23:$EL$23,1,DS265)=1,'Lease Cycles'!$C$23*INDEX('Lease Cycles'!$ET$23:$EZ$23,1,DS265)*(1+'Lease Cycles'!$V$23)^INT(INT(DS266/12)/'Lease Cycles'!$W$23)/12,0),0)</f>
        <v>0</v>
      </c>
      <c r="DT269" s="28">
        <f>IF(DT267=1,IF(INDEX('Lease Cycles'!$EF$23:$EL$23,1,DT265)=1,'Lease Cycles'!$C$23*INDEX('Lease Cycles'!$ET$23:$EZ$23,1,DT265)*(1+'Lease Cycles'!$V$23)^INT(INT(DT266/12)/'Lease Cycles'!$W$23)/12,0),0)</f>
        <v>0</v>
      </c>
      <c r="DU269" s="28">
        <f>IF(DU267=1,IF(INDEX('Lease Cycles'!$EF$23:$EL$23,1,DU265)=1,'Lease Cycles'!$C$23*INDEX('Lease Cycles'!$ET$23:$EZ$23,1,DU265)*(1+'Lease Cycles'!$V$23)^INT(INT(DU266/12)/'Lease Cycles'!$W$23)/12,0),0)</f>
        <v>0</v>
      </c>
      <c r="DV269" s="28">
        <f>IF(DV267=1,IF(INDEX('Lease Cycles'!$EF$23:$EL$23,1,DV265)=1,'Lease Cycles'!$C$23*INDEX('Lease Cycles'!$ET$23:$EZ$23,1,DV265)*(1+'Lease Cycles'!$V$23)^INT(INT(DV266/12)/'Lease Cycles'!$W$23)/12,0),0)</f>
        <v>0</v>
      </c>
      <c r="DW269" s="28">
        <f>IF(DW267=1,IF(INDEX('Lease Cycles'!$EF$23:$EL$23,1,DW265)=1,'Lease Cycles'!$C$23*INDEX('Lease Cycles'!$ET$23:$EZ$23,1,DW265)*(1+'Lease Cycles'!$V$23)^INT(INT(DW266/12)/'Lease Cycles'!$W$23)/12,0),0)</f>
        <v>0</v>
      </c>
      <c r="DX269" s="28">
        <f>IF(DX267=1,IF(INDEX('Lease Cycles'!$EF$23:$EL$23,1,DX265)=1,'Lease Cycles'!$C$23*INDEX('Lease Cycles'!$ET$23:$EZ$23,1,DX265)*(1+'Lease Cycles'!$V$23)^INT(INT(DX266/12)/'Lease Cycles'!$W$23)/12,0),0)</f>
        <v>0</v>
      </c>
      <c r="DY269" s="28">
        <f>IF(DY267=1,IF(INDEX('Lease Cycles'!$EF$23:$EL$23,1,DY265)=1,'Lease Cycles'!$C$23*INDEX('Lease Cycles'!$ET$23:$EZ$23,1,DY265)*(1+'Lease Cycles'!$V$23)^INT(INT(DY266/12)/'Lease Cycles'!$W$23)/12,0),0)</f>
        <v>0</v>
      </c>
      <c r="DZ269" s="28">
        <f>IF(DZ267=1,IF(INDEX('Lease Cycles'!$EF$23:$EL$23,1,DZ265)=1,'Lease Cycles'!$C$23*INDEX('Lease Cycles'!$ET$23:$EZ$23,1,DZ265)*(1+'Lease Cycles'!$V$23)^INT(INT(DZ266/12)/'Lease Cycles'!$W$23)/12,0),0)</f>
        <v>0</v>
      </c>
      <c r="EA269" s="28">
        <f>IF(EA267=1,IF(INDEX('Lease Cycles'!$EF$23:$EL$23,1,EA265)=1,'Lease Cycles'!$C$23*INDEX('Lease Cycles'!$ET$23:$EZ$23,1,EA265)*(1+'Lease Cycles'!$V$23)^INT(INT(EA266/12)/'Lease Cycles'!$W$23)/12,0),0)</f>
        <v>0</v>
      </c>
      <c r="EB269" s="28">
        <f>IF(EB267=1,IF(INDEX('Lease Cycles'!$EF$23:$EL$23,1,EB265)=1,'Lease Cycles'!$C$23*INDEX('Lease Cycles'!$ET$23:$EZ$23,1,EB265)*(1+'Lease Cycles'!$V$23)^INT(INT(EB266/12)/'Lease Cycles'!$W$23)/12,0),0)</f>
        <v>0</v>
      </c>
      <c r="EC269" s="28">
        <f>IF(EC267=1,IF(INDEX('Lease Cycles'!$EF$23:$EL$23,1,EC265)=1,'Lease Cycles'!$C$23*INDEX('Lease Cycles'!$ET$23:$EZ$23,1,EC265)*(1+'Lease Cycles'!$V$23)^INT(INT(EC266/12)/'Lease Cycles'!$W$23)/12,0),0)</f>
        <v>0</v>
      </c>
      <c r="ED269" s="28">
        <f>IF(ED267=1,IF(INDEX('Lease Cycles'!$EF$23:$EL$23,1,ED265)=1,'Lease Cycles'!$C$23*INDEX('Lease Cycles'!$ET$23:$EZ$23,1,ED265)*(1+'Lease Cycles'!$V$23)^INT(INT(ED266/12)/'Lease Cycles'!$W$23)/12,0),0)</f>
        <v>0</v>
      </c>
      <c r="EE269" s="28">
        <f>IF(EE267=1,IF(INDEX('Lease Cycles'!$EF$23:$EL$23,1,EE265)=1,'Lease Cycles'!$C$23*INDEX('Lease Cycles'!$ET$23:$EZ$23,1,EE265)*(1+'Lease Cycles'!$V$23)^INT(INT(EE266/12)/'Lease Cycles'!$W$23)/12,0),0)</f>
        <v>0</v>
      </c>
      <c r="EF269" s="28">
        <f>IF(EF267=1,IF(INDEX('Lease Cycles'!$EF$23:$EL$23,1,EF265)=1,'Lease Cycles'!$C$23*INDEX('Lease Cycles'!$ET$23:$EZ$23,1,EF265)*(1+'Lease Cycles'!$V$23)^INT(INT(EF266/12)/'Lease Cycles'!$W$23)/12,0),0)</f>
        <v>0</v>
      </c>
      <c r="EG269" s="28">
        <f>IF(EG267=1,IF(INDEX('Lease Cycles'!$EF$23:$EL$23,1,EG265)=1,'Lease Cycles'!$C$23*INDEX('Lease Cycles'!$ET$23:$EZ$23,1,EG265)*(1+'Lease Cycles'!$V$23)^INT(INT(EG266/12)/'Lease Cycles'!$W$23)/12,0),0)</f>
        <v>0</v>
      </c>
      <c r="EH269" s="28">
        <f>IF(EH267=1,IF(INDEX('Lease Cycles'!$EF$23:$EL$23,1,EH265)=1,'Lease Cycles'!$C$23*INDEX('Lease Cycles'!$ET$23:$EZ$23,1,EH265)*(1+'Lease Cycles'!$V$23)^INT(INT(EH266/12)/'Lease Cycles'!$W$23)/12,0),0)</f>
        <v>0</v>
      </c>
      <c r="EI269" s="28">
        <f>IF(EI267=1,IF(INDEX('Lease Cycles'!$EF$23:$EL$23,1,EI265)=1,'Lease Cycles'!$C$23*INDEX('Lease Cycles'!$ET$23:$EZ$23,1,EI265)*(1+'Lease Cycles'!$V$23)^INT(INT(EI266/12)/'Lease Cycles'!$W$23)/12,0),0)</f>
        <v>0</v>
      </c>
      <c r="EJ269" s="28">
        <f>IF(EJ267=1,IF(INDEX('Lease Cycles'!$EF$23:$EL$23,1,EJ265)=1,'Lease Cycles'!$C$23*INDEX('Lease Cycles'!$ET$23:$EZ$23,1,EJ265)*(1+'Lease Cycles'!$V$23)^INT(INT(EJ266/12)/'Lease Cycles'!$W$23)/12,0),0)</f>
        <v>0</v>
      </c>
      <c r="EK269" s="28">
        <f>IF(EK267=1,IF(INDEX('Lease Cycles'!$EF$23:$EL$23,1,EK265)=1,'Lease Cycles'!$C$23*INDEX('Lease Cycles'!$ET$23:$EZ$23,1,EK265)*(1+'Lease Cycles'!$V$23)^INT(INT(EK266/12)/'Lease Cycles'!$W$23)/12,0),0)</f>
        <v>0</v>
      </c>
      <c r="EL269" s="28">
        <f>IF(EL267=1,IF(INDEX('Lease Cycles'!$EF$23:$EL$23,1,EL265)=1,'Lease Cycles'!$C$23*INDEX('Lease Cycles'!$ET$23:$EZ$23,1,EL265)*(1+'Lease Cycles'!$V$23)^INT(INT(EL266/12)/'Lease Cycles'!$W$23)/12,0),0)</f>
        <v>0</v>
      </c>
      <c r="EM269" s="28">
        <f>IF(EM267=1,IF(INDEX('Lease Cycles'!$EF$23:$EL$23,1,EM265)=1,'Lease Cycles'!$C$23*INDEX('Lease Cycles'!$ET$23:$EZ$23,1,EM265)*(1+'Lease Cycles'!$V$23)^INT(INT(EM266/12)/'Lease Cycles'!$W$23)/12,0),0)</f>
        <v>0</v>
      </c>
      <c r="EN269" s="28">
        <f>IF(EN267=1,IF(INDEX('Lease Cycles'!$EF$23:$EL$23,1,EN265)=1,'Lease Cycles'!$C$23*INDEX('Lease Cycles'!$ET$23:$EZ$23,1,EN265)*(1+'Lease Cycles'!$V$23)^INT(INT(EN266/12)/'Lease Cycles'!$W$23)/12,0),0)</f>
        <v>0</v>
      </c>
      <c r="EO269" s="28">
        <f>IF(EO267=1,IF(INDEX('Lease Cycles'!$EF$23:$EL$23,1,EO265)=1,'Lease Cycles'!$C$23*INDEX('Lease Cycles'!$ET$23:$EZ$23,1,EO265)*(1+'Lease Cycles'!$V$23)^INT(INT(EO266/12)/'Lease Cycles'!$W$23)/12,0),0)</f>
        <v>0</v>
      </c>
      <c r="EP269" s="28">
        <f>IF(EP267=1,IF(INDEX('Lease Cycles'!$EF$23:$EL$23,1,EP265)=1,'Lease Cycles'!$C$23*INDEX('Lease Cycles'!$ET$23:$EZ$23,1,EP265)*(1+'Lease Cycles'!$V$23)^INT(INT(EP266/12)/'Lease Cycles'!$W$23)/12,0),0)</f>
        <v>0</v>
      </c>
      <c r="EQ269" s="28">
        <f>IF(EQ267=1,IF(INDEX('Lease Cycles'!$EF$23:$EL$23,1,EQ265)=1,'Lease Cycles'!$C$23*INDEX('Lease Cycles'!$ET$23:$EZ$23,1,EQ265)*(1+'Lease Cycles'!$V$23)^INT(INT(EQ266/12)/'Lease Cycles'!$W$23)/12,0),0)</f>
        <v>0</v>
      </c>
      <c r="ER269" s="28">
        <f>IF(ER267=1,IF(INDEX('Lease Cycles'!$EF$23:$EL$23,1,ER265)=1,'Lease Cycles'!$C$23*INDEX('Lease Cycles'!$ET$23:$EZ$23,1,ER265)*(1+'Lease Cycles'!$V$23)^INT(INT(ER266/12)/'Lease Cycles'!$W$23)/12,0),0)</f>
        <v>0</v>
      </c>
      <c r="ES269" s="28">
        <f>IF(ES267=1,IF(INDEX('Lease Cycles'!$EF$23:$EL$23,1,ES265)=1,'Lease Cycles'!$C$23*INDEX('Lease Cycles'!$ET$23:$EZ$23,1,ES265)*(1+'Lease Cycles'!$V$23)^INT(INT(ES266/12)/'Lease Cycles'!$W$23)/12,0),0)</f>
        <v>0</v>
      </c>
      <c r="ET269" s="28">
        <f>IF(ET267=1,IF(INDEX('Lease Cycles'!$EF$23:$EL$23,1,ET265)=1,'Lease Cycles'!$C$23*INDEX('Lease Cycles'!$ET$23:$EZ$23,1,ET265)*(1+'Lease Cycles'!$V$23)^INT(INT(ET266/12)/'Lease Cycles'!$W$23)/12,0),0)</f>
        <v>0</v>
      </c>
    </row>
    <row r="270">
      <c r="A270" s="103">
        <v>16</v>
      </c>
      <c r="B270" s="23" t="str">
        <f>IF('Lease Cycles'!$B$23="","(empty slot)",'Lease Cycles'!$B$23)</f>
        <v>(empty slot)</v>
      </c>
      <c r="C270" s="23" t="s">
        <v>681</v>
      </c>
      <c r="D270" s="104" t="s">
        <v>490</v>
      </c>
      <c r="E270" s="25">
        <f>'Lease Cycles'!$AL$23</f>
        <v>0</v>
      </c>
      <c r="G270" s="28">
        <f>SUM(S270:AD270)</f>
        <v>0</v>
      </c>
      <c r="H270" s="28">
        <f>SUM(AE270:AP270)</f>
        <v>0</v>
      </c>
      <c r="I270" s="28">
        <f>SUM(AQ270:BB270)</f>
        <v>0</v>
      </c>
      <c r="J270" s="28">
        <f>SUM(BC270:BN270)</f>
        <v>0</v>
      </c>
      <c r="K270" s="28">
        <f>SUM(BO270:BZ270)</f>
        <v>0</v>
      </c>
      <c r="L270" s="28">
        <f>SUM(CA270:CL270)</f>
        <v>0</v>
      </c>
      <c r="M270" s="28">
        <f>SUM(CM270:CX270)</f>
        <v>0</v>
      </c>
      <c r="N270" s="28">
        <f>SUM(CY270:DJ270)</f>
        <v>0</v>
      </c>
      <c r="O270" s="28">
        <f>SUM(DK270:DV270)</f>
        <v>0</v>
      </c>
      <c r="P270" s="28">
        <f>SUM(DW270:EH270)</f>
        <v>0</v>
      </c>
      <c r="Q270" s="28">
        <f>SUM(EI270:ET270)</f>
        <v>0</v>
      </c>
      <c r="S270" s="28">
        <f>IF(S267=1,IF(INDEX('Lease Cycles'!$EF$23:$EL$23,1,S265)=1,S268*INDEX('Lease Cycles'!$EM$23:$ES$23,1,S265)+S269*(1-INDEX('Lease Cycles'!$EM$23:$ES$23,1,S265)),S268),S268)</f>
        <v>0</v>
      </c>
      <c r="T270" s="28">
        <f>IF(T267=1,IF(INDEX('Lease Cycles'!$EF$23:$EL$23,1,T265)=1,T268*INDEX('Lease Cycles'!$EM$23:$ES$23,1,T265)+T269*(1-INDEX('Lease Cycles'!$EM$23:$ES$23,1,T265)),T268),T268)</f>
        <v>0</v>
      </c>
      <c r="U270" s="28">
        <f>IF(U267=1,IF(INDEX('Lease Cycles'!$EF$23:$EL$23,1,U265)=1,U268*INDEX('Lease Cycles'!$EM$23:$ES$23,1,U265)+U269*(1-INDEX('Lease Cycles'!$EM$23:$ES$23,1,U265)),U268),U268)</f>
        <v>0</v>
      </c>
      <c r="V270" s="28">
        <f>IF(V267=1,IF(INDEX('Lease Cycles'!$EF$23:$EL$23,1,V265)=1,V268*INDEX('Lease Cycles'!$EM$23:$ES$23,1,V265)+V269*(1-INDEX('Lease Cycles'!$EM$23:$ES$23,1,V265)),V268),V268)</f>
        <v>0</v>
      </c>
      <c r="W270" s="28">
        <f>IF(W267=1,IF(INDEX('Lease Cycles'!$EF$23:$EL$23,1,W265)=1,W268*INDEX('Lease Cycles'!$EM$23:$ES$23,1,W265)+W269*(1-INDEX('Lease Cycles'!$EM$23:$ES$23,1,W265)),W268),W268)</f>
        <v>0</v>
      </c>
      <c r="X270" s="28">
        <f>IF(X267=1,IF(INDEX('Lease Cycles'!$EF$23:$EL$23,1,X265)=1,X268*INDEX('Lease Cycles'!$EM$23:$ES$23,1,X265)+X269*(1-INDEX('Lease Cycles'!$EM$23:$ES$23,1,X265)),X268),X268)</f>
        <v>0</v>
      </c>
      <c r="Y270" s="28">
        <f>IF(Y267=1,IF(INDEX('Lease Cycles'!$EF$23:$EL$23,1,Y265)=1,Y268*INDEX('Lease Cycles'!$EM$23:$ES$23,1,Y265)+Y269*(1-INDEX('Lease Cycles'!$EM$23:$ES$23,1,Y265)),Y268),Y268)</f>
        <v>0</v>
      </c>
      <c r="Z270" s="28">
        <f>IF(Z267=1,IF(INDEX('Lease Cycles'!$EF$23:$EL$23,1,Z265)=1,Z268*INDEX('Lease Cycles'!$EM$23:$ES$23,1,Z265)+Z269*(1-INDEX('Lease Cycles'!$EM$23:$ES$23,1,Z265)),Z268),Z268)</f>
        <v>0</v>
      </c>
      <c r="AA270" s="28">
        <f>IF(AA267=1,IF(INDEX('Lease Cycles'!$EF$23:$EL$23,1,AA265)=1,AA268*INDEX('Lease Cycles'!$EM$23:$ES$23,1,AA265)+AA269*(1-INDEX('Lease Cycles'!$EM$23:$ES$23,1,AA265)),AA268),AA268)</f>
        <v>0</v>
      </c>
      <c r="AB270" s="28">
        <f>IF(AB267=1,IF(INDEX('Lease Cycles'!$EF$23:$EL$23,1,AB265)=1,AB268*INDEX('Lease Cycles'!$EM$23:$ES$23,1,AB265)+AB269*(1-INDEX('Lease Cycles'!$EM$23:$ES$23,1,AB265)),AB268),AB268)</f>
        <v>0</v>
      </c>
      <c r="AC270" s="28">
        <f>IF(AC267=1,IF(INDEX('Lease Cycles'!$EF$23:$EL$23,1,AC265)=1,AC268*INDEX('Lease Cycles'!$EM$23:$ES$23,1,AC265)+AC269*(1-INDEX('Lease Cycles'!$EM$23:$ES$23,1,AC265)),AC268),AC268)</f>
        <v>0</v>
      </c>
      <c r="AD270" s="28">
        <f>IF(AD267=1,IF(INDEX('Lease Cycles'!$EF$23:$EL$23,1,AD265)=1,AD268*INDEX('Lease Cycles'!$EM$23:$ES$23,1,AD265)+AD269*(1-INDEX('Lease Cycles'!$EM$23:$ES$23,1,AD265)),AD268),AD268)</f>
        <v>0</v>
      </c>
      <c r="AE270" s="28">
        <f>IF(AE267=1,IF(INDEX('Lease Cycles'!$EF$23:$EL$23,1,AE265)=1,AE268*INDEX('Lease Cycles'!$EM$23:$ES$23,1,AE265)+AE269*(1-INDEX('Lease Cycles'!$EM$23:$ES$23,1,AE265)),AE268),AE268)</f>
        <v>0</v>
      </c>
      <c r="AF270" s="28">
        <f>IF(AF267=1,IF(INDEX('Lease Cycles'!$EF$23:$EL$23,1,AF265)=1,AF268*INDEX('Lease Cycles'!$EM$23:$ES$23,1,AF265)+AF269*(1-INDEX('Lease Cycles'!$EM$23:$ES$23,1,AF265)),AF268),AF268)</f>
        <v>0</v>
      </c>
      <c r="AG270" s="28">
        <f>IF(AG267=1,IF(INDEX('Lease Cycles'!$EF$23:$EL$23,1,AG265)=1,AG268*INDEX('Lease Cycles'!$EM$23:$ES$23,1,AG265)+AG269*(1-INDEX('Lease Cycles'!$EM$23:$ES$23,1,AG265)),AG268),AG268)</f>
        <v>0</v>
      </c>
      <c r="AH270" s="28">
        <f>IF(AH267=1,IF(INDEX('Lease Cycles'!$EF$23:$EL$23,1,AH265)=1,AH268*INDEX('Lease Cycles'!$EM$23:$ES$23,1,AH265)+AH269*(1-INDEX('Lease Cycles'!$EM$23:$ES$23,1,AH265)),AH268),AH268)</f>
        <v>0</v>
      </c>
      <c r="AI270" s="28">
        <f>IF(AI267=1,IF(INDEX('Lease Cycles'!$EF$23:$EL$23,1,AI265)=1,AI268*INDEX('Lease Cycles'!$EM$23:$ES$23,1,AI265)+AI269*(1-INDEX('Lease Cycles'!$EM$23:$ES$23,1,AI265)),AI268),AI268)</f>
        <v>0</v>
      </c>
      <c r="AJ270" s="28">
        <f>IF(AJ267=1,IF(INDEX('Lease Cycles'!$EF$23:$EL$23,1,AJ265)=1,AJ268*INDEX('Lease Cycles'!$EM$23:$ES$23,1,AJ265)+AJ269*(1-INDEX('Lease Cycles'!$EM$23:$ES$23,1,AJ265)),AJ268),AJ268)</f>
        <v>0</v>
      </c>
      <c r="AK270" s="28">
        <f>IF(AK267=1,IF(INDEX('Lease Cycles'!$EF$23:$EL$23,1,AK265)=1,AK268*INDEX('Lease Cycles'!$EM$23:$ES$23,1,AK265)+AK269*(1-INDEX('Lease Cycles'!$EM$23:$ES$23,1,AK265)),AK268),AK268)</f>
        <v>0</v>
      </c>
      <c r="AL270" s="28">
        <f>IF(AL267=1,IF(INDEX('Lease Cycles'!$EF$23:$EL$23,1,AL265)=1,AL268*INDEX('Lease Cycles'!$EM$23:$ES$23,1,AL265)+AL269*(1-INDEX('Lease Cycles'!$EM$23:$ES$23,1,AL265)),AL268),AL268)</f>
        <v>0</v>
      </c>
      <c r="AM270" s="28">
        <f>IF(AM267=1,IF(INDEX('Lease Cycles'!$EF$23:$EL$23,1,AM265)=1,AM268*INDEX('Lease Cycles'!$EM$23:$ES$23,1,AM265)+AM269*(1-INDEX('Lease Cycles'!$EM$23:$ES$23,1,AM265)),AM268),AM268)</f>
        <v>0</v>
      </c>
      <c r="AN270" s="28">
        <f>IF(AN267=1,IF(INDEX('Lease Cycles'!$EF$23:$EL$23,1,AN265)=1,AN268*INDEX('Lease Cycles'!$EM$23:$ES$23,1,AN265)+AN269*(1-INDEX('Lease Cycles'!$EM$23:$ES$23,1,AN265)),AN268),AN268)</f>
        <v>0</v>
      </c>
      <c r="AO270" s="28">
        <f>IF(AO267=1,IF(INDEX('Lease Cycles'!$EF$23:$EL$23,1,AO265)=1,AO268*INDEX('Lease Cycles'!$EM$23:$ES$23,1,AO265)+AO269*(1-INDEX('Lease Cycles'!$EM$23:$ES$23,1,AO265)),AO268),AO268)</f>
        <v>0</v>
      </c>
      <c r="AP270" s="28">
        <f>IF(AP267=1,IF(INDEX('Lease Cycles'!$EF$23:$EL$23,1,AP265)=1,AP268*INDEX('Lease Cycles'!$EM$23:$ES$23,1,AP265)+AP269*(1-INDEX('Lease Cycles'!$EM$23:$ES$23,1,AP265)),AP268),AP268)</f>
        <v>0</v>
      </c>
      <c r="AQ270" s="28">
        <f>IF(AQ267=1,IF(INDEX('Lease Cycles'!$EF$23:$EL$23,1,AQ265)=1,AQ268*INDEX('Lease Cycles'!$EM$23:$ES$23,1,AQ265)+AQ269*(1-INDEX('Lease Cycles'!$EM$23:$ES$23,1,AQ265)),AQ268),AQ268)</f>
        <v>0</v>
      </c>
      <c r="AR270" s="28">
        <f>IF(AR267=1,IF(INDEX('Lease Cycles'!$EF$23:$EL$23,1,AR265)=1,AR268*INDEX('Lease Cycles'!$EM$23:$ES$23,1,AR265)+AR269*(1-INDEX('Lease Cycles'!$EM$23:$ES$23,1,AR265)),AR268),AR268)</f>
        <v>0</v>
      </c>
      <c r="AS270" s="28">
        <f>IF(AS267=1,IF(INDEX('Lease Cycles'!$EF$23:$EL$23,1,AS265)=1,AS268*INDEX('Lease Cycles'!$EM$23:$ES$23,1,AS265)+AS269*(1-INDEX('Lease Cycles'!$EM$23:$ES$23,1,AS265)),AS268),AS268)</f>
        <v>0</v>
      </c>
      <c r="AT270" s="28">
        <f>IF(AT267=1,IF(INDEX('Lease Cycles'!$EF$23:$EL$23,1,AT265)=1,AT268*INDEX('Lease Cycles'!$EM$23:$ES$23,1,AT265)+AT269*(1-INDEX('Lease Cycles'!$EM$23:$ES$23,1,AT265)),AT268),AT268)</f>
        <v>0</v>
      </c>
      <c r="AU270" s="28">
        <f>IF(AU267=1,IF(INDEX('Lease Cycles'!$EF$23:$EL$23,1,AU265)=1,AU268*INDEX('Lease Cycles'!$EM$23:$ES$23,1,AU265)+AU269*(1-INDEX('Lease Cycles'!$EM$23:$ES$23,1,AU265)),AU268),AU268)</f>
        <v>0</v>
      </c>
      <c r="AV270" s="28">
        <f>IF(AV267=1,IF(INDEX('Lease Cycles'!$EF$23:$EL$23,1,AV265)=1,AV268*INDEX('Lease Cycles'!$EM$23:$ES$23,1,AV265)+AV269*(1-INDEX('Lease Cycles'!$EM$23:$ES$23,1,AV265)),AV268),AV268)</f>
        <v>0</v>
      </c>
      <c r="AW270" s="28">
        <f>IF(AW267=1,IF(INDEX('Lease Cycles'!$EF$23:$EL$23,1,AW265)=1,AW268*INDEX('Lease Cycles'!$EM$23:$ES$23,1,AW265)+AW269*(1-INDEX('Lease Cycles'!$EM$23:$ES$23,1,AW265)),AW268),AW268)</f>
        <v>0</v>
      </c>
      <c r="AX270" s="28">
        <f>IF(AX267=1,IF(INDEX('Lease Cycles'!$EF$23:$EL$23,1,AX265)=1,AX268*INDEX('Lease Cycles'!$EM$23:$ES$23,1,AX265)+AX269*(1-INDEX('Lease Cycles'!$EM$23:$ES$23,1,AX265)),AX268),AX268)</f>
        <v>0</v>
      </c>
      <c r="AY270" s="28">
        <f>IF(AY267=1,IF(INDEX('Lease Cycles'!$EF$23:$EL$23,1,AY265)=1,AY268*INDEX('Lease Cycles'!$EM$23:$ES$23,1,AY265)+AY269*(1-INDEX('Lease Cycles'!$EM$23:$ES$23,1,AY265)),AY268),AY268)</f>
        <v>0</v>
      </c>
      <c r="AZ270" s="28">
        <f>IF(AZ267=1,IF(INDEX('Lease Cycles'!$EF$23:$EL$23,1,AZ265)=1,AZ268*INDEX('Lease Cycles'!$EM$23:$ES$23,1,AZ265)+AZ269*(1-INDEX('Lease Cycles'!$EM$23:$ES$23,1,AZ265)),AZ268),AZ268)</f>
        <v>0</v>
      </c>
      <c r="BA270" s="28">
        <f>IF(BA267=1,IF(INDEX('Lease Cycles'!$EF$23:$EL$23,1,BA265)=1,BA268*INDEX('Lease Cycles'!$EM$23:$ES$23,1,BA265)+BA269*(1-INDEX('Lease Cycles'!$EM$23:$ES$23,1,BA265)),BA268),BA268)</f>
        <v>0</v>
      </c>
      <c r="BB270" s="28">
        <f>IF(BB267=1,IF(INDEX('Lease Cycles'!$EF$23:$EL$23,1,BB265)=1,BB268*INDEX('Lease Cycles'!$EM$23:$ES$23,1,BB265)+BB269*(1-INDEX('Lease Cycles'!$EM$23:$ES$23,1,BB265)),BB268),BB268)</f>
        <v>0</v>
      </c>
      <c r="BC270" s="28">
        <f>IF(BC267=1,IF(INDEX('Lease Cycles'!$EF$23:$EL$23,1,BC265)=1,BC268*INDEX('Lease Cycles'!$EM$23:$ES$23,1,BC265)+BC269*(1-INDEX('Lease Cycles'!$EM$23:$ES$23,1,BC265)),BC268),BC268)</f>
        <v>0</v>
      </c>
      <c r="BD270" s="28">
        <f>IF(BD267=1,IF(INDEX('Lease Cycles'!$EF$23:$EL$23,1,BD265)=1,BD268*INDEX('Lease Cycles'!$EM$23:$ES$23,1,BD265)+BD269*(1-INDEX('Lease Cycles'!$EM$23:$ES$23,1,BD265)),BD268),BD268)</f>
        <v>0</v>
      </c>
      <c r="BE270" s="28">
        <f>IF(BE267=1,IF(INDEX('Lease Cycles'!$EF$23:$EL$23,1,BE265)=1,BE268*INDEX('Lease Cycles'!$EM$23:$ES$23,1,BE265)+BE269*(1-INDEX('Lease Cycles'!$EM$23:$ES$23,1,BE265)),BE268),BE268)</f>
        <v>0</v>
      </c>
      <c r="BF270" s="28">
        <f>IF(BF267=1,IF(INDEX('Lease Cycles'!$EF$23:$EL$23,1,BF265)=1,BF268*INDEX('Lease Cycles'!$EM$23:$ES$23,1,BF265)+BF269*(1-INDEX('Lease Cycles'!$EM$23:$ES$23,1,BF265)),BF268),BF268)</f>
        <v>0</v>
      </c>
      <c r="BG270" s="28">
        <f>IF(BG267=1,IF(INDEX('Lease Cycles'!$EF$23:$EL$23,1,BG265)=1,BG268*INDEX('Lease Cycles'!$EM$23:$ES$23,1,BG265)+BG269*(1-INDEX('Lease Cycles'!$EM$23:$ES$23,1,BG265)),BG268),BG268)</f>
        <v>0</v>
      </c>
      <c r="BH270" s="28">
        <f>IF(BH267=1,IF(INDEX('Lease Cycles'!$EF$23:$EL$23,1,BH265)=1,BH268*INDEX('Lease Cycles'!$EM$23:$ES$23,1,BH265)+BH269*(1-INDEX('Lease Cycles'!$EM$23:$ES$23,1,BH265)),BH268),BH268)</f>
        <v>0</v>
      </c>
      <c r="BI270" s="28">
        <f>IF(BI267=1,IF(INDEX('Lease Cycles'!$EF$23:$EL$23,1,BI265)=1,BI268*INDEX('Lease Cycles'!$EM$23:$ES$23,1,BI265)+BI269*(1-INDEX('Lease Cycles'!$EM$23:$ES$23,1,BI265)),BI268),BI268)</f>
        <v>0</v>
      </c>
      <c r="BJ270" s="28">
        <f>IF(BJ267=1,IF(INDEX('Lease Cycles'!$EF$23:$EL$23,1,BJ265)=1,BJ268*INDEX('Lease Cycles'!$EM$23:$ES$23,1,BJ265)+BJ269*(1-INDEX('Lease Cycles'!$EM$23:$ES$23,1,BJ265)),BJ268),BJ268)</f>
        <v>0</v>
      </c>
      <c r="BK270" s="28">
        <f>IF(BK267=1,IF(INDEX('Lease Cycles'!$EF$23:$EL$23,1,BK265)=1,BK268*INDEX('Lease Cycles'!$EM$23:$ES$23,1,BK265)+BK269*(1-INDEX('Lease Cycles'!$EM$23:$ES$23,1,BK265)),BK268),BK268)</f>
        <v>0</v>
      </c>
      <c r="BL270" s="28">
        <f>IF(BL267=1,IF(INDEX('Lease Cycles'!$EF$23:$EL$23,1,BL265)=1,BL268*INDEX('Lease Cycles'!$EM$23:$ES$23,1,BL265)+BL269*(1-INDEX('Lease Cycles'!$EM$23:$ES$23,1,BL265)),BL268),BL268)</f>
        <v>0</v>
      </c>
      <c r="BM270" s="28">
        <f>IF(BM267=1,IF(INDEX('Lease Cycles'!$EF$23:$EL$23,1,BM265)=1,BM268*INDEX('Lease Cycles'!$EM$23:$ES$23,1,BM265)+BM269*(1-INDEX('Lease Cycles'!$EM$23:$ES$23,1,BM265)),BM268),BM268)</f>
        <v>0</v>
      </c>
      <c r="BN270" s="28">
        <f>IF(BN267=1,IF(INDEX('Lease Cycles'!$EF$23:$EL$23,1,BN265)=1,BN268*INDEX('Lease Cycles'!$EM$23:$ES$23,1,BN265)+BN269*(1-INDEX('Lease Cycles'!$EM$23:$ES$23,1,BN265)),BN268),BN268)</f>
        <v>0</v>
      </c>
      <c r="BO270" s="28">
        <f>IF(BO267=1,IF(INDEX('Lease Cycles'!$EF$23:$EL$23,1,BO265)=1,BO268*INDEX('Lease Cycles'!$EM$23:$ES$23,1,BO265)+BO269*(1-INDEX('Lease Cycles'!$EM$23:$ES$23,1,BO265)),BO268),BO268)</f>
        <v>0</v>
      </c>
      <c r="BP270" s="28">
        <f>IF(BP267=1,IF(INDEX('Lease Cycles'!$EF$23:$EL$23,1,BP265)=1,BP268*INDEX('Lease Cycles'!$EM$23:$ES$23,1,BP265)+BP269*(1-INDEX('Lease Cycles'!$EM$23:$ES$23,1,BP265)),BP268),BP268)</f>
        <v>0</v>
      </c>
      <c r="BQ270" s="28">
        <f>IF(BQ267=1,IF(INDEX('Lease Cycles'!$EF$23:$EL$23,1,BQ265)=1,BQ268*INDEX('Lease Cycles'!$EM$23:$ES$23,1,BQ265)+BQ269*(1-INDEX('Lease Cycles'!$EM$23:$ES$23,1,BQ265)),BQ268),BQ268)</f>
        <v>0</v>
      </c>
      <c r="BR270" s="28">
        <f>IF(BR267=1,IF(INDEX('Lease Cycles'!$EF$23:$EL$23,1,BR265)=1,BR268*INDEX('Lease Cycles'!$EM$23:$ES$23,1,BR265)+BR269*(1-INDEX('Lease Cycles'!$EM$23:$ES$23,1,BR265)),BR268),BR268)</f>
        <v>0</v>
      </c>
      <c r="BS270" s="28">
        <f>IF(BS267=1,IF(INDEX('Lease Cycles'!$EF$23:$EL$23,1,BS265)=1,BS268*INDEX('Lease Cycles'!$EM$23:$ES$23,1,BS265)+BS269*(1-INDEX('Lease Cycles'!$EM$23:$ES$23,1,BS265)),BS268),BS268)</f>
        <v>0</v>
      </c>
      <c r="BT270" s="28">
        <f>IF(BT267=1,IF(INDEX('Lease Cycles'!$EF$23:$EL$23,1,BT265)=1,BT268*INDEX('Lease Cycles'!$EM$23:$ES$23,1,BT265)+BT269*(1-INDEX('Lease Cycles'!$EM$23:$ES$23,1,BT265)),BT268),BT268)</f>
        <v>0</v>
      </c>
      <c r="BU270" s="28">
        <f>IF(BU267=1,IF(INDEX('Lease Cycles'!$EF$23:$EL$23,1,BU265)=1,BU268*INDEX('Lease Cycles'!$EM$23:$ES$23,1,BU265)+BU269*(1-INDEX('Lease Cycles'!$EM$23:$ES$23,1,BU265)),BU268),BU268)</f>
        <v>0</v>
      </c>
      <c r="BV270" s="28">
        <f>IF(BV267=1,IF(INDEX('Lease Cycles'!$EF$23:$EL$23,1,BV265)=1,BV268*INDEX('Lease Cycles'!$EM$23:$ES$23,1,BV265)+BV269*(1-INDEX('Lease Cycles'!$EM$23:$ES$23,1,BV265)),BV268),BV268)</f>
        <v>0</v>
      </c>
      <c r="BW270" s="28">
        <f>IF(BW267=1,IF(INDEX('Lease Cycles'!$EF$23:$EL$23,1,BW265)=1,BW268*INDEX('Lease Cycles'!$EM$23:$ES$23,1,BW265)+BW269*(1-INDEX('Lease Cycles'!$EM$23:$ES$23,1,BW265)),BW268),BW268)</f>
        <v>0</v>
      </c>
      <c r="BX270" s="28">
        <f>IF(BX267=1,IF(INDEX('Lease Cycles'!$EF$23:$EL$23,1,BX265)=1,BX268*INDEX('Lease Cycles'!$EM$23:$ES$23,1,BX265)+BX269*(1-INDEX('Lease Cycles'!$EM$23:$ES$23,1,BX265)),BX268),BX268)</f>
        <v>0</v>
      </c>
      <c r="BY270" s="28">
        <f>IF(BY267=1,IF(INDEX('Lease Cycles'!$EF$23:$EL$23,1,BY265)=1,BY268*INDEX('Lease Cycles'!$EM$23:$ES$23,1,BY265)+BY269*(1-INDEX('Lease Cycles'!$EM$23:$ES$23,1,BY265)),BY268),BY268)</f>
        <v>0</v>
      </c>
      <c r="BZ270" s="28">
        <f>IF(BZ267=1,IF(INDEX('Lease Cycles'!$EF$23:$EL$23,1,BZ265)=1,BZ268*INDEX('Lease Cycles'!$EM$23:$ES$23,1,BZ265)+BZ269*(1-INDEX('Lease Cycles'!$EM$23:$ES$23,1,BZ265)),BZ268),BZ268)</f>
        <v>0</v>
      </c>
      <c r="CA270" s="28">
        <f>IF(CA267=1,IF(INDEX('Lease Cycles'!$EF$23:$EL$23,1,CA265)=1,CA268*INDEX('Lease Cycles'!$EM$23:$ES$23,1,CA265)+CA269*(1-INDEX('Lease Cycles'!$EM$23:$ES$23,1,CA265)),CA268),CA268)</f>
        <v>0</v>
      </c>
      <c r="CB270" s="28">
        <f>IF(CB267=1,IF(INDEX('Lease Cycles'!$EF$23:$EL$23,1,CB265)=1,CB268*INDEX('Lease Cycles'!$EM$23:$ES$23,1,CB265)+CB269*(1-INDEX('Lease Cycles'!$EM$23:$ES$23,1,CB265)),CB268),CB268)</f>
        <v>0</v>
      </c>
      <c r="CC270" s="28">
        <f>IF(CC267=1,IF(INDEX('Lease Cycles'!$EF$23:$EL$23,1,CC265)=1,CC268*INDEX('Lease Cycles'!$EM$23:$ES$23,1,CC265)+CC269*(1-INDEX('Lease Cycles'!$EM$23:$ES$23,1,CC265)),CC268),CC268)</f>
        <v>0</v>
      </c>
      <c r="CD270" s="28">
        <f>IF(CD267=1,IF(INDEX('Lease Cycles'!$EF$23:$EL$23,1,CD265)=1,CD268*INDEX('Lease Cycles'!$EM$23:$ES$23,1,CD265)+CD269*(1-INDEX('Lease Cycles'!$EM$23:$ES$23,1,CD265)),CD268),CD268)</f>
        <v>0</v>
      </c>
      <c r="CE270" s="28">
        <f>IF(CE267=1,IF(INDEX('Lease Cycles'!$EF$23:$EL$23,1,CE265)=1,CE268*INDEX('Lease Cycles'!$EM$23:$ES$23,1,CE265)+CE269*(1-INDEX('Lease Cycles'!$EM$23:$ES$23,1,CE265)),CE268),CE268)</f>
        <v>0</v>
      </c>
      <c r="CF270" s="28">
        <f>IF(CF267=1,IF(INDEX('Lease Cycles'!$EF$23:$EL$23,1,CF265)=1,CF268*INDEX('Lease Cycles'!$EM$23:$ES$23,1,CF265)+CF269*(1-INDEX('Lease Cycles'!$EM$23:$ES$23,1,CF265)),CF268),CF268)</f>
        <v>0</v>
      </c>
      <c r="CG270" s="28">
        <f>IF(CG267=1,IF(INDEX('Lease Cycles'!$EF$23:$EL$23,1,CG265)=1,CG268*INDEX('Lease Cycles'!$EM$23:$ES$23,1,CG265)+CG269*(1-INDEX('Lease Cycles'!$EM$23:$ES$23,1,CG265)),CG268),CG268)</f>
        <v>0</v>
      </c>
      <c r="CH270" s="28">
        <f>IF(CH267=1,IF(INDEX('Lease Cycles'!$EF$23:$EL$23,1,CH265)=1,CH268*INDEX('Lease Cycles'!$EM$23:$ES$23,1,CH265)+CH269*(1-INDEX('Lease Cycles'!$EM$23:$ES$23,1,CH265)),CH268),CH268)</f>
        <v>0</v>
      </c>
      <c r="CI270" s="28">
        <f>IF(CI267=1,IF(INDEX('Lease Cycles'!$EF$23:$EL$23,1,CI265)=1,CI268*INDEX('Lease Cycles'!$EM$23:$ES$23,1,CI265)+CI269*(1-INDEX('Lease Cycles'!$EM$23:$ES$23,1,CI265)),CI268),CI268)</f>
        <v>0</v>
      </c>
      <c r="CJ270" s="28">
        <f>IF(CJ267=1,IF(INDEX('Lease Cycles'!$EF$23:$EL$23,1,CJ265)=1,CJ268*INDEX('Lease Cycles'!$EM$23:$ES$23,1,CJ265)+CJ269*(1-INDEX('Lease Cycles'!$EM$23:$ES$23,1,CJ265)),CJ268),CJ268)</f>
        <v>0</v>
      </c>
      <c r="CK270" s="28">
        <f>IF(CK267=1,IF(INDEX('Lease Cycles'!$EF$23:$EL$23,1,CK265)=1,CK268*INDEX('Lease Cycles'!$EM$23:$ES$23,1,CK265)+CK269*(1-INDEX('Lease Cycles'!$EM$23:$ES$23,1,CK265)),CK268),CK268)</f>
        <v>0</v>
      </c>
      <c r="CL270" s="28">
        <f>IF(CL267=1,IF(INDEX('Lease Cycles'!$EF$23:$EL$23,1,CL265)=1,CL268*INDEX('Lease Cycles'!$EM$23:$ES$23,1,CL265)+CL269*(1-INDEX('Lease Cycles'!$EM$23:$ES$23,1,CL265)),CL268),CL268)</f>
        <v>0</v>
      </c>
      <c r="CM270" s="28">
        <f>IF(CM267=1,IF(INDEX('Lease Cycles'!$EF$23:$EL$23,1,CM265)=1,CM268*INDEX('Lease Cycles'!$EM$23:$ES$23,1,CM265)+CM269*(1-INDEX('Lease Cycles'!$EM$23:$ES$23,1,CM265)),CM268),CM268)</f>
        <v>0</v>
      </c>
      <c r="CN270" s="28">
        <f>IF(CN267=1,IF(INDEX('Lease Cycles'!$EF$23:$EL$23,1,CN265)=1,CN268*INDEX('Lease Cycles'!$EM$23:$ES$23,1,CN265)+CN269*(1-INDEX('Lease Cycles'!$EM$23:$ES$23,1,CN265)),CN268),CN268)</f>
        <v>0</v>
      </c>
      <c r="CO270" s="28">
        <f>IF(CO267=1,IF(INDEX('Lease Cycles'!$EF$23:$EL$23,1,CO265)=1,CO268*INDEX('Lease Cycles'!$EM$23:$ES$23,1,CO265)+CO269*(1-INDEX('Lease Cycles'!$EM$23:$ES$23,1,CO265)),CO268),CO268)</f>
        <v>0</v>
      </c>
      <c r="CP270" s="28">
        <f>IF(CP267=1,IF(INDEX('Lease Cycles'!$EF$23:$EL$23,1,CP265)=1,CP268*INDEX('Lease Cycles'!$EM$23:$ES$23,1,CP265)+CP269*(1-INDEX('Lease Cycles'!$EM$23:$ES$23,1,CP265)),CP268),CP268)</f>
        <v>0</v>
      </c>
      <c r="CQ270" s="28">
        <f>IF(CQ267=1,IF(INDEX('Lease Cycles'!$EF$23:$EL$23,1,CQ265)=1,CQ268*INDEX('Lease Cycles'!$EM$23:$ES$23,1,CQ265)+CQ269*(1-INDEX('Lease Cycles'!$EM$23:$ES$23,1,CQ265)),CQ268),CQ268)</f>
        <v>0</v>
      </c>
      <c r="CR270" s="28">
        <f>IF(CR267=1,IF(INDEX('Lease Cycles'!$EF$23:$EL$23,1,CR265)=1,CR268*INDEX('Lease Cycles'!$EM$23:$ES$23,1,CR265)+CR269*(1-INDEX('Lease Cycles'!$EM$23:$ES$23,1,CR265)),CR268),CR268)</f>
        <v>0</v>
      </c>
      <c r="CS270" s="28">
        <f>IF(CS267=1,IF(INDEX('Lease Cycles'!$EF$23:$EL$23,1,CS265)=1,CS268*INDEX('Lease Cycles'!$EM$23:$ES$23,1,CS265)+CS269*(1-INDEX('Lease Cycles'!$EM$23:$ES$23,1,CS265)),CS268),CS268)</f>
        <v>0</v>
      </c>
      <c r="CT270" s="28">
        <f>IF(CT267=1,IF(INDEX('Lease Cycles'!$EF$23:$EL$23,1,CT265)=1,CT268*INDEX('Lease Cycles'!$EM$23:$ES$23,1,CT265)+CT269*(1-INDEX('Lease Cycles'!$EM$23:$ES$23,1,CT265)),CT268),CT268)</f>
        <v>0</v>
      </c>
      <c r="CU270" s="28">
        <f>IF(CU267=1,IF(INDEX('Lease Cycles'!$EF$23:$EL$23,1,CU265)=1,CU268*INDEX('Lease Cycles'!$EM$23:$ES$23,1,CU265)+CU269*(1-INDEX('Lease Cycles'!$EM$23:$ES$23,1,CU265)),CU268),CU268)</f>
        <v>0</v>
      </c>
      <c r="CV270" s="28">
        <f>IF(CV267=1,IF(INDEX('Lease Cycles'!$EF$23:$EL$23,1,CV265)=1,CV268*INDEX('Lease Cycles'!$EM$23:$ES$23,1,CV265)+CV269*(1-INDEX('Lease Cycles'!$EM$23:$ES$23,1,CV265)),CV268),CV268)</f>
        <v>0</v>
      </c>
      <c r="CW270" s="28">
        <f>IF(CW267=1,IF(INDEX('Lease Cycles'!$EF$23:$EL$23,1,CW265)=1,CW268*INDEX('Lease Cycles'!$EM$23:$ES$23,1,CW265)+CW269*(1-INDEX('Lease Cycles'!$EM$23:$ES$23,1,CW265)),CW268),CW268)</f>
        <v>0</v>
      </c>
      <c r="CX270" s="28">
        <f>IF(CX267=1,IF(INDEX('Lease Cycles'!$EF$23:$EL$23,1,CX265)=1,CX268*INDEX('Lease Cycles'!$EM$23:$ES$23,1,CX265)+CX269*(1-INDEX('Lease Cycles'!$EM$23:$ES$23,1,CX265)),CX268),CX268)</f>
        <v>0</v>
      </c>
      <c r="CY270" s="28">
        <f>IF(CY267=1,IF(INDEX('Lease Cycles'!$EF$23:$EL$23,1,CY265)=1,CY268*INDEX('Lease Cycles'!$EM$23:$ES$23,1,CY265)+CY269*(1-INDEX('Lease Cycles'!$EM$23:$ES$23,1,CY265)),CY268),CY268)</f>
        <v>0</v>
      </c>
      <c r="CZ270" s="28">
        <f>IF(CZ267=1,IF(INDEX('Lease Cycles'!$EF$23:$EL$23,1,CZ265)=1,CZ268*INDEX('Lease Cycles'!$EM$23:$ES$23,1,CZ265)+CZ269*(1-INDEX('Lease Cycles'!$EM$23:$ES$23,1,CZ265)),CZ268),CZ268)</f>
        <v>0</v>
      </c>
      <c r="DA270" s="28">
        <f>IF(DA267=1,IF(INDEX('Lease Cycles'!$EF$23:$EL$23,1,DA265)=1,DA268*INDEX('Lease Cycles'!$EM$23:$ES$23,1,DA265)+DA269*(1-INDEX('Lease Cycles'!$EM$23:$ES$23,1,DA265)),DA268),DA268)</f>
        <v>0</v>
      </c>
      <c r="DB270" s="28">
        <f>IF(DB267=1,IF(INDEX('Lease Cycles'!$EF$23:$EL$23,1,DB265)=1,DB268*INDEX('Lease Cycles'!$EM$23:$ES$23,1,DB265)+DB269*(1-INDEX('Lease Cycles'!$EM$23:$ES$23,1,DB265)),DB268),DB268)</f>
        <v>0</v>
      </c>
      <c r="DC270" s="28">
        <f>IF(DC267=1,IF(INDEX('Lease Cycles'!$EF$23:$EL$23,1,DC265)=1,DC268*INDEX('Lease Cycles'!$EM$23:$ES$23,1,DC265)+DC269*(1-INDEX('Lease Cycles'!$EM$23:$ES$23,1,DC265)),DC268),DC268)</f>
        <v>0</v>
      </c>
      <c r="DD270" s="28">
        <f>IF(DD267=1,IF(INDEX('Lease Cycles'!$EF$23:$EL$23,1,DD265)=1,DD268*INDEX('Lease Cycles'!$EM$23:$ES$23,1,DD265)+DD269*(1-INDEX('Lease Cycles'!$EM$23:$ES$23,1,DD265)),DD268),DD268)</f>
        <v>0</v>
      </c>
      <c r="DE270" s="28">
        <f>IF(DE267=1,IF(INDEX('Lease Cycles'!$EF$23:$EL$23,1,DE265)=1,DE268*INDEX('Lease Cycles'!$EM$23:$ES$23,1,DE265)+DE269*(1-INDEX('Lease Cycles'!$EM$23:$ES$23,1,DE265)),DE268),DE268)</f>
        <v>0</v>
      </c>
      <c r="DF270" s="28">
        <f>IF(DF267=1,IF(INDEX('Lease Cycles'!$EF$23:$EL$23,1,DF265)=1,DF268*INDEX('Lease Cycles'!$EM$23:$ES$23,1,DF265)+DF269*(1-INDEX('Lease Cycles'!$EM$23:$ES$23,1,DF265)),DF268),DF268)</f>
        <v>0</v>
      </c>
      <c r="DG270" s="28">
        <f>IF(DG267=1,IF(INDEX('Lease Cycles'!$EF$23:$EL$23,1,DG265)=1,DG268*INDEX('Lease Cycles'!$EM$23:$ES$23,1,DG265)+DG269*(1-INDEX('Lease Cycles'!$EM$23:$ES$23,1,DG265)),DG268),DG268)</f>
        <v>0</v>
      </c>
      <c r="DH270" s="28">
        <f>IF(DH267=1,IF(INDEX('Lease Cycles'!$EF$23:$EL$23,1,DH265)=1,DH268*INDEX('Lease Cycles'!$EM$23:$ES$23,1,DH265)+DH269*(1-INDEX('Lease Cycles'!$EM$23:$ES$23,1,DH265)),DH268),DH268)</f>
        <v>0</v>
      </c>
      <c r="DI270" s="28">
        <f>IF(DI267=1,IF(INDEX('Lease Cycles'!$EF$23:$EL$23,1,DI265)=1,DI268*INDEX('Lease Cycles'!$EM$23:$ES$23,1,DI265)+DI269*(1-INDEX('Lease Cycles'!$EM$23:$ES$23,1,DI265)),DI268),DI268)</f>
        <v>0</v>
      </c>
      <c r="DJ270" s="28">
        <f>IF(DJ267=1,IF(INDEX('Lease Cycles'!$EF$23:$EL$23,1,DJ265)=1,DJ268*INDEX('Lease Cycles'!$EM$23:$ES$23,1,DJ265)+DJ269*(1-INDEX('Lease Cycles'!$EM$23:$ES$23,1,DJ265)),DJ268),DJ268)</f>
        <v>0</v>
      </c>
      <c r="DK270" s="28">
        <f>IF(DK267=1,IF(INDEX('Lease Cycles'!$EF$23:$EL$23,1,DK265)=1,DK268*INDEX('Lease Cycles'!$EM$23:$ES$23,1,DK265)+DK269*(1-INDEX('Lease Cycles'!$EM$23:$ES$23,1,DK265)),DK268),DK268)</f>
        <v>0</v>
      </c>
      <c r="DL270" s="28">
        <f>IF(DL267=1,IF(INDEX('Lease Cycles'!$EF$23:$EL$23,1,DL265)=1,DL268*INDEX('Lease Cycles'!$EM$23:$ES$23,1,DL265)+DL269*(1-INDEX('Lease Cycles'!$EM$23:$ES$23,1,DL265)),DL268),DL268)</f>
        <v>0</v>
      </c>
      <c r="DM270" s="28">
        <f>IF(DM267=1,IF(INDEX('Lease Cycles'!$EF$23:$EL$23,1,DM265)=1,DM268*INDEX('Lease Cycles'!$EM$23:$ES$23,1,DM265)+DM269*(1-INDEX('Lease Cycles'!$EM$23:$ES$23,1,DM265)),DM268),DM268)</f>
        <v>0</v>
      </c>
      <c r="DN270" s="28">
        <f>IF(DN267=1,IF(INDEX('Lease Cycles'!$EF$23:$EL$23,1,DN265)=1,DN268*INDEX('Lease Cycles'!$EM$23:$ES$23,1,DN265)+DN269*(1-INDEX('Lease Cycles'!$EM$23:$ES$23,1,DN265)),DN268),DN268)</f>
        <v>0</v>
      </c>
      <c r="DO270" s="28">
        <f>IF(DO267=1,IF(INDEX('Lease Cycles'!$EF$23:$EL$23,1,DO265)=1,DO268*INDEX('Lease Cycles'!$EM$23:$ES$23,1,DO265)+DO269*(1-INDEX('Lease Cycles'!$EM$23:$ES$23,1,DO265)),DO268),DO268)</f>
        <v>0</v>
      </c>
      <c r="DP270" s="28">
        <f>IF(DP267=1,IF(INDEX('Lease Cycles'!$EF$23:$EL$23,1,DP265)=1,DP268*INDEX('Lease Cycles'!$EM$23:$ES$23,1,DP265)+DP269*(1-INDEX('Lease Cycles'!$EM$23:$ES$23,1,DP265)),DP268),DP268)</f>
        <v>0</v>
      </c>
      <c r="DQ270" s="28">
        <f>IF(DQ267=1,IF(INDEX('Lease Cycles'!$EF$23:$EL$23,1,DQ265)=1,DQ268*INDEX('Lease Cycles'!$EM$23:$ES$23,1,DQ265)+DQ269*(1-INDEX('Lease Cycles'!$EM$23:$ES$23,1,DQ265)),DQ268),DQ268)</f>
        <v>0</v>
      </c>
      <c r="DR270" s="28">
        <f>IF(DR267=1,IF(INDEX('Lease Cycles'!$EF$23:$EL$23,1,DR265)=1,DR268*INDEX('Lease Cycles'!$EM$23:$ES$23,1,DR265)+DR269*(1-INDEX('Lease Cycles'!$EM$23:$ES$23,1,DR265)),DR268),DR268)</f>
        <v>0</v>
      </c>
      <c r="DS270" s="28">
        <f>IF(DS267=1,IF(INDEX('Lease Cycles'!$EF$23:$EL$23,1,DS265)=1,DS268*INDEX('Lease Cycles'!$EM$23:$ES$23,1,DS265)+DS269*(1-INDEX('Lease Cycles'!$EM$23:$ES$23,1,DS265)),DS268),DS268)</f>
        <v>0</v>
      </c>
      <c r="DT270" s="28">
        <f>IF(DT267=1,IF(INDEX('Lease Cycles'!$EF$23:$EL$23,1,DT265)=1,DT268*INDEX('Lease Cycles'!$EM$23:$ES$23,1,DT265)+DT269*(1-INDEX('Lease Cycles'!$EM$23:$ES$23,1,DT265)),DT268),DT268)</f>
        <v>0</v>
      </c>
      <c r="DU270" s="28">
        <f>IF(DU267=1,IF(INDEX('Lease Cycles'!$EF$23:$EL$23,1,DU265)=1,DU268*INDEX('Lease Cycles'!$EM$23:$ES$23,1,DU265)+DU269*(1-INDEX('Lease Cycles'!$EM$23:$ES$23,1,DU265)),DU268),DU268)</f>
        <v>0</v>
      </c>
      <c r="DV270" s="28">
        <f>IF(DV267=1,IF(INDEX('Lease Cycles'!$EF$23:$EL$23,1,DV265)=1,DV268*INDEX('Lease Cycles'!$EM$23:$ES$23,1,DV265)+DV269*(1-INDEX('Lease Cycles'!$EM$23:$ES$23,1,DV265)),DV268),DV268)</f>
        <v>0</v>
      </c>
      <c r="DW270" s="28">
        <f>IF(DW267=1,IF(INDEX('Lease Cycles'!$EF$23:$EL$23,1,DW265)=1,DW268*INDEX('Lease Cycles'!$EM$23:$ES$23,1,DW265)+DW269*(1-INDEX('Lease Cycles'!$EM$23:$ES$23,1,DW265)),DW268),DW268)</f>
        <v>0</v>
      </c>
      <c r="DX270" s="28">
        <f>IF(DX267=1,IF(INDEX('Lease Cycles'!$EF$23:$EL$23,1,DX265)=1,DX268*INDEX('Lease Cycles'!$EM$23:$ES$23,1,DX265)+DX269*(1-INDEX('Lease Cycles'!$EM$23:$ES$23,1,DX265)),DX268),DX268)</f>
        <v>0</v>
      </c>
      <c r="DY270" s="28">
        <f>IF(DY267=1,IF(INDEX('Lease Cycles'!$EF$23:$EL$23,1,DY265)=1,DY268*INDEX('Lease Cycles'!$EM$23:$ES$23,1,DY265)+DY269*(1-INDEX('Lease Cycles'!$EM$23:$ES$23,1,DY265)),DY268),DY268)</f>
        <v>0</v>
      </c>
      <c r="DZ270" s="28">
        <f>IF(DZ267=1,IF(INDEX('Lease Cycles'!$EF$23:$EL$23,1,DZ265)=1,DZ268*INDEX('Lease Cycles'!$EM$23:$ES$23,1,DZ265)+DZ269*(1-INDEX('Lease Cycles'!$EM$23:$ES$23,1,DZ265)),DZ268),DZ268)</f>
        <v>0</v>
      </c>
      <c r="EA270" s="28">
        <f>IF(EA267=1,IF(INDEX('Lease Cycles'!$EF$23:$EL$23,1,EA265)=1,EA268*INDEX('Lease Cycles'!$EM$23:$ES$23,1,EA265)+EA269*(1-INDEX('Lease Cycles'!$EM$23:$ES$23,1,EA265)),EA268),EA268)</f>
        <v>0</v>
      </c>
      <c r="EB270" s="28">
        <f>IF(EB267=1,IF(INDEX('Lease Cycles'!$EF$23:$EL$23,1,EB265)=1,EB268*INDEX('Lease Cycles'!$EM$23:$ES$23,1,EB265)+EB269*(1-INDEX('Lease Cycles'!$EM$23:$ES$23,1,EB265)),EB268),EB268)</f>
        <v>0</v>
      </c>
      <c r="EC270" s="28">
        <f>IF(EC267=1,IF(INDEX('Lease Cycles'!$EF$23:$EL$23,1,EC265)=1,EC268*INDEX('Lease Cycles'!$EM$23:$ES$23,1,EC265)+EC269*(1-INDEX('Lease Cycles'!$EM$23:$ES$23,1,EC265)),EC268),EC268)</f>
        <v>0</v>
      </c>
      <c r="ED270" s="28">
        <f>IF(ED267=1,IF(INDEX('Lease Cycles'!$EF$23:$EL$23,1,ED265)=1,ED268*INDEX('Lease Cycles'!$EM$23:$ES$23,1,ED265)+ED269*(1-INDEX('Lease Cycles'!$EM$23:$ES$23,1,ED265)),ED268),ED268)</f>
        <v>0</v>
      </c>
      <c r="EE270" s="28">
        <f>IF(EE267=1,IF(INDEX('Lease Cycles'!$EF$23:$EL$23,1,EE265)=1,EE268*INDEX('Lease Cycles'!$EM$23:$ES$23,1,EE265)+EE269*(1-INDEX('Lease Cycles'!$EM$23:$ES$23,1,EE265)),EE268),EE268)</f>
        <v>0</v>
      </c>
      <c r="EF270" s="28">
        <f>IF(EF267=1,IF(INDEX('Lease Cycles'!$EF$23:$EL$23,1,EF265)=1,EF268*INDEX('Lease Cycles'!$EM$23:$ES$23,1,EF265)+EF269*(1-INDEX('Lease Cycles'!$EM$23:$ES$23,1,EF265)),EF268),EF268)</f>
        <v>0</v>
      </c>
      <c r="EG270" s="28">
        <f>IF(EG267=1,IF(INDEX('Lease Cycles'!$EF$23:$EL$23,1,EG265)=1,EG268*INDEX('Lease Cycles'!$EM$23:$ES$23,1,EG265)+EG269*(1-INDEX('Lease Cycles'!$EM$23:$ES$23,1,EG265)),EG268),EG268)</f>
        <v>0</v>
      </c>
      <c r="EH270" s="28">
        <f>IF(EH267=1,IF(INDEX('Lease Cycles'!$EF$23:$EL$23,1,EH265)=1,EH268*INDEX('Lease Cycles'!$EM$23:$ES$23,1,EH265)+EH269*(1-INDEX('Lease Cycles'!$EM$23:$ES$23,1,EH265)),EH268),EH268)</f>
        <v>0</v>
      </c>
      <c r="EI270" s="28">
        <f>IF(EI267=1,IF(INDEX('Lease Cycles'!$EF$23:$EL$23,1,EI265)=1,EI268*INDEX('Lease Cycles'!$EM$23:$ES$23,1,EI265)+EI269*(1-INDEX('Lease Cycles'!$EM$23:$ES$23,1,EI265)),EI268),EI268)</f>
        <v>0</v>
      </c>
      <c r="EJ270" s="28">
        <f>IF(EJ267=1,IF(INDEX('Lease Cycles'!$EF$23:$EL$23,1,EJ265)=1,EJ268*INDEX('Lease Cycles'!$EM$23:$ES$23,1,EJ265)+EJ269*(1-INDEX('Lease Cycles'!$EM$23:$ES$23,1,EJ265)),EJ268),EJ268)</f>
        <v>0</v>
      </c>
      <c r="EK270" s="28">
        <f>IF(EK267=1,IF(INDEX('Lease Cycles'!$EF$23:$EL$23,1,EK265)=1,EK268*INDEX('Lease Cycles'!$EM$23:$ES$23,1,EK265)+EK269*(1-INDEX('Lease Cycles'!$EM$23:$ES$23,1,EK265)),EK268),EK268)</f>
        <v>0</v>
      </c>
      <c r="EL270" s="28">
        <f>IF(EL267=1,IF(INDEX('Lease Cycles'!$EF$23:$EL$23,1,EL265)=1,EL268*INDEX('Lease Cycles'!$EM$23:$ES$23,1,EL265)+EL269*(1-INDEX('Lease Cycles'!$EM$23:$ES$23,1,EL265)),EL268),EL268)</f>
        <v>0</v>
      </c>
      <c r="EM270" s="28">
        <f>IF(EM267=1,IF(INDEX('Lease Cycles'!$EF$23:$EL$23,1,EM265)=1,EM268*INDEX('Lease Cycles'!$EM$23:$ES$23,1,EM265)+EM269*(1-INDEX('Lease Cycles'!$EM$23:$ES$23,1,EM265)),EM268),EM268)</f>
        <v>0</v>
      </c>
      <c r="EN270" s="28">
        <f>IF(EN267=1,IF(INDEX('Lease Cycles'!$EF$23:$EL$23,1,EN265)=1,EN268*INDEX('Lease Cycles'!$EM$23:$ES$23,1,EN265)+EN269*(1-INDEX('Lease Cycles'!$EM$23:$ES$23,1,EN265)),EN268),EN268)</f>
        <v>0</v>
      </c>
      <c r="EO270" s="28">
        <f>IF(EO267=1,IF(INDEX('Lease Cycles'!$EF$23:$EL$23,1,EO265)=1,EO268*INDEX('Lease Cycles'!$EM$23:$ES$23,1,EO265)+EO269*(1-INDEX('Lease Cycles'!$EM$23:$ES$23,1,EO265)),EO268),EO268)</f>
        <v>0</v>
      </c>
      <c r="EP270" s="28">
        <f>IF(EP267=1,IF(INDEX('Lease Cycles'!$EF$23:$EL$23,1,EP265)=1,EP268*INDEX('Lease Cycles'!$EM$23:$ES$23,1,EP265)+EP269*(1-INDEX('Lease Cycles'!$EM$23:$ES$23,1,EP265)),EP268),EP268)</f>
        <v>0</v>
      </c>
      <c r="EQ270" s="28">
        <f>IF(EQ267=1,IF(INDEX('Lease Cycles'!$EF$23:$EL$23,1,EQ265)=1,EQ268*INDEX('Lease Cycles'!$EM$23:$ES$23,1,EQ265)+EQ269*(1-INDEX('Lease Cycles'!$EM$23:$ES$23,1,EQ265)),EQ268),EQ268)</f>
        <v>0</v>
      </c>
      <c r="ER270" s="28">
        <f>IF(ER267=1,IF(INDEX('Lease Cycles'!$EF$23:$EL$23,1,ER265)=1,ER268*INDEX('Lease Cycles'!$EM$23:$ES$23,1,ER265)+ER269*(1-INDEX('Lease Cycles'!$EM$23:$ES$23,1,ER265)),ER268),ER268)</f>
        <v>0</v>
      </c>
      <c r="ES270" s="28">
        <f>IF(ES267=1,IF(INDEX('Lease Cycles'!$EF$23:$EL$23,1,ES265)=1,ES268*INDEX('Lease Cycles'!$EM$23:$ES$23,1,ES265)+ES269*(1-INDEX('Lease Cycles'!$EM$23:$ES$23,1,ES265)),ES268),ES268)</f>
        <v>0</v>
      </c>
      <c r="ET270" s="28">
        <f>IF(ET267=1,IF(INDEX('Lease Cycles'!$EF$23:$EL$23,1,ET265)=1,ET268*INDEX('Lease Cycles'!$EM$23:$ES$23,1,ET265)+ET269*(1-INDEX('Lease Cycles'!$EM$23:$ES$23,1,ET265)),ET268),ET268)</f>
        <v>0</v>
      </c>
    </row>
    <row r="271">
      <c r="A271" s="103">
        <v>16</v>
      </c>
      <c r="B271" s="23" t="str">
        <f>IF('Lease Cycles'!$B$23="","(empty slot)",'Lease Cycles'!$B$23)</f>
        <v>(empty slot)</v>
      </c>
      <c r="C271" s="23" t="s">
        <v>682</v>
      </c>
      <c r="D271" s="104" t="s">
        <v>495</v>
      </c>
      <c r="E271" s="25">
        <f>'Lease Cycles'!$AL$23</f>
        <v>0</v>
      </c>
      <c r="G271" s="28">
        <f>SUM(S271:AD271)</f>
        <v>0</v>
      </c>
      <c r="H271" s="28">
        <f>SUM(AE271:AP271)</f>
        <v>0</v>
      </c>
      <c r="I271" s="28">
        <f>SUM(AQ271:BB271)</f>
        <v>0</v>
      </c>
      <c r="J271" s="28">
        <f>SUM(BC271:BN271)</f>
        <v>0</v>
      </c>
      <c r="K271" s="28">
        <f>SUM(BO271:BZ271)</f>
        <v>0</v>
      </c>
      <c r="L271" s="28">
        <f>SUM(CA271:CL271)</f>
        <v>0</v>
      </c>
      <c r="M271" s="28">
        <f>SUM(CM271:CX271)</f>
        <v>0</v>
      </c>
      <c r="N271" s="28">
        <f>SUM(CY271:DJ271)</f>
        <v>0</v>
      </c>
      <c r="O271" s="28">
        <f>SUM(DK271:DV271)</f>
        <v>0</v>
      </c>
      <c r="P271" s="28">
        <f>SUM(DW271:EH271)</f>
        <v>0</v>
      </c>
      <c r="Q271" s="28">
        <f>SUM(EI271:ET271)</f>
        <v>0</v>
      </c>
      <c r="S271" s="28">
        <f>IF(S267=1,IF(INDEX('Lease Cycles'!$EF$23:$EL$23,1,S265)=1,S268*INDEX('Lease Cycles'!$EM$23:$ES$23,1,S265)+S269*IF(S266&lt;INDEX('Lease Cycles'!$FA$23:$FG$23,1,S265),0,1-INDEX('Lease Cycles'!$EM$23:$ES$23,1,S265)),S268*IF(S266&lt;INDEX('Lease Cycles'!$DK$23:$DQ$23,1,S265),0,IF(S266=INDEX('Lease Cycles'!$DK$23:$DQ$23,1,S265),1-INDEX('Lease Cycles'!$DR$23:$DX$23,1,S265),1))),0)</f>
        <v>0</v>
      </c>
      <c r="T271" s="28">
        <f>IF(T267=1,IF(INDEX('Lease Cycles'!$EF$23:$EL$23,1,T265)=1,T268*INDEX('Lease Cycles'!$EM$23:$ES$23,1,T265)+T269*IF(T266&lt;INDEX('Lease Cycles'!$FA$23:$FG$23,1,T265),0,1-INDEX('Lease Cycles'!$EM$23:$ES$23,1,T265)),T268*IF(T266&lt;INDEX('Lease Cycles'!$DK$23:$DQ$23,1,T265),0,IF(T266=INDEX('Lease Cycles'!$DK$23:$DQ$23,1,T265),1-INDEX('Lease Cycles'!$DR$23:$DX$23,1,T265),1))),0)</f>
        <v>0</v>
      </c>
      <c r="U271" s="28">
        <f>IF(U267=1,IF(INDEX('Lease Cycles'!$EF$23:$EL$23,1,U265)=1,U268*INDEX('Lease Cycles'!$EM$23:$ES$23,1,U265)+U269*IF(U266&lt;INDEX('Lease Cycles'!$FA$23:$FG$23,1,U265),0,1-INDEX('Lease Cycles'!$EM$23:$ES$23,1,U265)),U268*IF(U266&lt;INDEX('Lease Cycles'!$DK$23:$DQ$23,1,U265),0,IF(U266=INDEX('Lease Cycles'!$DK$23:$DQ$23,1,U265),1-INDEX('Lease Cycles'!$DR$23:$DX$23,1,U265),1))),0)</f>
        <v>0</v>
      </c>
      <c r="V271" s="28">
        <f>IF(V267=1,IF(INDEX('Lease Cycles'!$EF$23:$EL$23,1,V265)=1,V268*INDEX('Lease Cycles'!$EM$23:$ES$23,1,V265)+V269*IF(V266&lt;INDEX('Lease Cycles'!$FA$23:$FG$23,1,V265),0,1-INDEX('Lease Cycles'!$EM$23:$ES$23,1,V265)),V268*IF(V266&lt;INDEX('Lease Cycles'!$DK$23:$DQ$23,1,V265),0,IF(V266=INDEX('Lease Cycles'!$DK$23:$DQ$23,1,V265),1-INDEX('Lease Cycles'!$DR$23:$DX$23,1,V265),1))),0)</f>
        <v>0</v>
      </c>
      <c r="W271" s="28">
        <f>IF(W267=1,IF(INDEX('Lease Cycles'!$EF$23:$EL$23,1,W265)=1,W268*INDEX('Lease Cycles'!$EM$23:$ES$23,1,W265)+W269*IF(W266&lt;INDEX('Lease Cycles'!$FA$23:$FG$23,1,W265),0,1-INDEX('Lease Cycles'!$EM$23:$ES$23,1,W265)),W268*IF(W266&lt;INDEX('Lease Cycles'!$DK$23:$DQ$23,1,W265),0,IF(W266=INDEX('Lease Cycles'!$DK$23:$DQ$23,1,W265),1-INDEX('Lease Cycles'!$DR$23:$DX$23,1,W265),1))),0)</f>
        <v>0</v>
      </c>
      <c r="X271" s="28">
        <f>IF(X267=1,IF(INDEX('Lease Cycles'!$EF$23:$EL$23,1,X265)=1,X268*INDEX('Lease Cycles'!$EM$23:$ES$23,1,X265)+X269*IF(X266&lt;INDEX('Lease Cycles'!$FA$23:$FG$23,1,X265),0,1-INDEX('Lease Cycles'!$EM$23:$ES$23,1,X265)),X268*IF(X266&lt;INDEX('Lease Cycles'!$DK$23:$DQ$23,1,X265),0,IF(X266=INDEX('Lease Cycles'!$DK$23:$DQ$23,1,X265),1-INDEX('Lease Cycles'!$DR$23:$DX$23,1,X265),1))),0)</f>
        <v>0</v>
      </c>
      <c r="Y271" s="28">
        <f>IF(Y267=1,IF(INDEX('Lease Cycles'!$EF$23:$EL$23,1,Y265)=1,Y268*INDEX('Lease Cycles'!$EM$23:$ES$23,1,Y265)+Y269*IF(Y266&lt;INDEX('Lease Cycles'!$FA$23:$FG$23,1,Y265),0,1-INDEX('Lease Cycles'!$EM$23:$ES$23,1,Y265)),Y268*IF(Y266&lt;INDEX('Lease Cycles'!$DK$23:$DQ$23,1,Y265),0,IF(Y266=INDEX('Lease Cycles'!$DK$23:$DQ$23,1,Y265),1-INDEX('Lease Cycles'!$DR$23:$DX$23,1,Y265),1))),0)</f>
        <v>0</v>
      </c>
      <c r="Z271" s="28">
        <f>IF(Z267=1,IF(INDEX('Lease Cycles'!$EF$23:$EL$23,1,Z265)=1,Z268*INDEX('Lease Cycles'!$EM$23:$ES$23,1,Z265)+Z269*IF(Z266&lt;INDEX('Lease Cycles'!$FA$23:$FG$23,1,Z265),0,1-INDEX('Lease Cycles'!$EM$23:$ES$23,1,Z265)),Z268*IF(Z266&lt;INDEX('Lease Cycles'!$DK$23:$DQ$23,1,Z265),0,IF(Z266=INDEX('Lease Cycles'!$DK$23:$DQ$23,1,Z265),1-INDEX('Lease Cycles'!$DR$23:$DX$23,1,Z265),1))),0)</f>
        <v>0</v>
      </c>
      <c r="AA271" s="28">
        <f>IF(AA267=1,IF(INDEX('Lease Cycles'!$EF$23:$EL$23,1,AA265)=1,AA268*INDEX('Lease Cycles'!$EM$23:$ES$23,1,AA265)+AA269*IF(AA266&lt;INDEX('Lease Cycles'!$FA$23:$FG$23,1,AA265),0,1-INDEX('Lease Cycles'!$EM$23:$ES$23,1,AA265)),AA268*IF(AA266&lt;INDEX('Lease Cycles'!$DK$23:$DQ$23,1,AA265),0,IF(AA266=INDEX('Lease Cycles'!$DK$23:$DQ$23,1,AA265),1-INDEX('Lease Cycles'!$DR$23:$DX$23,1,AA265),1))),0)</f>
        <v>0</v>
      </c>
      <c r="AB271" s="28">
        <f>IF(AB267=1,IF(INDEX('Lease Cycles'!$EF$23:$EL$23,1,AB265)=1,AB268*INDEX('Lease Cycles'!$EM$23:$ES$23,1,AB265)+AB269*IF(AB266&lt;INDEX('Lease Cycles'!$FA$23:$FG$23,1,AB265),0,1-INDEX('Lease Cycles'!$EM$23:$ES$23,1,AB265)),AB268*IF(AB266&lt;INDEX('Lease Cycles'!$DK$23:$DQ$23,1,AB265),0,IF(AB266=INDEX('Lease Cycles'!$DK$23:$DQ$23,1,AB265),1-INDEX('Lease Cycles'!$DR$23:$DX$23,1,AB265),1))),0)</f>
        <v>0</v>
      </c>
      <c r="AC271" s="28">
        <f>IF(AC267=1,IF(INDEX('Lease Cycles'!$EF$23:$EL$23,1,AC265)=1,AC268*INDEX('Lease Cycles'!$EM$23:$ES$23,1,AC265)+AC269*IF(AC266&lt;INDEX('Lease Cycles'!$FA$23:$FG$23,1,AC265),0,1-INDEX('Lease Cycles'!$EM$23:$ES$23,1,AC265)),AC268*IF(AC266&lt;INDEX('Lease Cycles'!$DK$23:$DQ$23,1,AC265),0,IF(AC266=INDEX('Lease Cycles'!$DK$23:$DQ$23,1,AC265),1-INDEX('Lease Cycles'!$DR$23:$DX$23,1,AC265),1))),0)</f>
        <v>0</v>
      </c>
      <c r="AD271" s="28">
        <f>IF(AD267=1,IF(INDEX('Lease Cycles'!$EF$23:$EL$23,1,AD265)=1,AD268*INDEX('Lease Cycles'!$EM$23:$ES$23,1,AD265)+AD269*IF(AD266&lt;INDEX('Lease Cycles'!$FA$23:$FG$23,1,AD265),0,1-INDEX('Lease Cycles'!$EM$23:$ES$23,1,AD265)),AD268*IF(AD266&lt;INDEX('Lease Cycles'!$DK$23:$DQ$23,1,AD265),0,IF(AD266=INDEX('Lease Cycles'!$DK$23:$DQ$23,1,AD265),1-INDEX('Lease Cycles'!$DR$23:$DX$23,1,AD265),1))),0)</f>
        <v>0</v>
      </c>
      <c r="AE271" s="28">
        <f>IF(AE267=1,IF(INDEX('Lease Cycles'!$EF$23:$EL$23,1,AE265)=1,AE268*INDEX('Lease Cycles'!$EM$23:$ES$23,1,AE265)+AE269*IF(AE266&lt;INDEX('Lease Cycles'!$FA$23:$FG$23,1,AE265),0,1-INDEX('Lease Cycles'!$EM$23:$ES$23,1,AE265)),AE268*IF(AE266&lt;INDEX('Lease Cycles'!$DK$23:$DQ$23,1,AE265),0,IF(AE266=INDEX('Lease Cycles'!$DK$23:$DQ$23,1,AE265),1-INDEX('Lease Cycles'!$DR$23:$DX$23,1,AE265),1))),0)</f>
        <v>0</v>
      </c>
      <c r="AF271" s="28">
        <f>IF(AF267=1,IF(INDEX('Lease Cycles'!$EF$23:$EL$23,1,AF265)=1,AF268*INDEX('Lease Cycles'!$EM$23:$ES$23,1,AF265)+AF269*IF(AF266&lt;INDEX('Lease Cycles'!$FA$23:$FG$23,1,AF265),0,1-INDEX('Lease Cycles'!$EM$23:$ES$23,1,AF265)),AF268*IF(AF266&lt;INDEX('Lease Cycles'!$DK$23:$DQ$23,1,AF265),0,IF(AF266=INDEX('Lease Cycles'!$DK$23:$DQ$23,1,AF265),1-INDEX('Lease Cycles'!$DR$23:$DX$23,1,AF265),1))),0)</f>
        <v>0</v>
      </c>
      <c r="AG271" s="28">
        <f>IF(AG267=1,IF(INDEX('Lease Cycles'!$EF$23:$EL$23,1,AG265)=1,AG268*INDEX('Lease Cycles'!$EM$23:$ES$23,1,AG265)+AG269*IF(AG266&lt;INDEX('Lease Cycles'!$FA$23:$FG$23,1,AG265),0,1-INDEX('Lease Cycles'!$EM$23:$ES$23,1,AG265)),AG268*IF(AG266&lt;INDEX('Lease Cycles'!$DK$23:$DQ$23,1,AG265),0,IF(AG266=INDEX('Lease Cycles'!$DK$23:$DQ$23,1,AG265),1-INDEX('Lease Cycles'!$DR$23:$DX$23,1,AG265),1))),0)</f>
        <v>0</v>
      </c>
      <c r="AH271" s="28">
        <f>IF(AH267=1,IF(INDEX('Lease Cycles'!$EF$23:$EL$23,1,AH265)=1,AH268*INDEX('Lease Cycles'!$EM$23:$ES$23,1,AH265)+AH269*IF(AH266&lt;INDEX('Lease Cycles'!$FA$23:$FG$23,1,AH265),0,1-INDEX('Lease Cycles'!$EM$23:$ES$23,1,AH265)),AH268*IF(AH266&lt;INDEX('Lease Cycles'!$DK$23:$DQ$23,1,AH265),0,IF(AH266=INDEX('Lease Cycles'!$DK$23:$DQ$23,1,AH265),1-INDEX('Lease Cycles'!$DR$23:$DX$23,1,AH265),1))),0)</f>
        <v>0</v>
      </c>
      <c r="AI271" s="28">
        <f>IF(AI267=1,IF(INDEX('Lease Cycles'!$EF$23:$EL$23,1,AI265)=1,AI268*INDEX('Lease Cycles'!$EM$23:$ES$23,1,AI265)+AI269*IF(AI266&lt;INDEX('Lease Cycles'!$FA$23:$FG$23,1,AI265),0,1-INDEX('Lease Cycles'!$EM$23:$ES$23,1,AI265)),AI268*IF(AI266&lt;INDEX('Lease Cycles'!$DK$23:$DQ$23,1,AI265),0,IF(AI266=INDEX('Lease Cycles'!$DK$23:$DQ$23,1,AI265),1-INDEX('Lease Cycles'!$DR$23:$DX$23,1,AI265),1))),0)</f>
        <v>0</v>
      </c>
      <c r="AJ271" s="28">
        <f>IF(AJ267=1,IF(INDEX('Lease Cycles'!$EF$23:$EL$23,1,AJ265)=1,AJ268*INDEX('Lease Cycles'!$EM$23:$ES$23,1,AJ265)+AJ269*IF(AJ266&lt;INDEX('Lease Cycles'!$FA$23:$FG$23,1,AJ265),0,1-INDEX('Lease Cycles'!$EM$23:$ES$23,1,AJ265)),AJ268*IF(AJ266&lt;INDEX('Lease Cycles'!$DK$23:$DQ$23,1,AJ265),0,IF(AJ266=INDEX('Lease Cycles'!$DK$23:$DQ$23,1,AJ265),1-INDEX('Lease Cycles'!$DR$23:$DX$23,1,AJ265),1))),0)</f>
        <v>0</v>
      </c>
      <c r="AK271" s="28">
        <f>IF(AK267=1,IF(INDEX('Lease Cycles'!$EF$23:$EL$23,1,AK265)=1,AK268*INDEX('Lease Cycles'!$EM$23:$ES$23,1,AK265)+AK269*IF(AK266&lt;INDEX('Lease Cycles'!$FA$23:$FG$23,1,AK265),0,1-INDEX('Lease Cycles'!$EM$23:$ES$23,1,AK265)),AK268*IF(AK266&lt;INDEX('Lease Cycles'!$DK$23:$DQ$23,1,AK265),0,IF(AK266=INDEX('Lease Cycles'!$DK$23:$DQ$23,1,AK265),1-INDEX('Lease Cycles'!$DR$23:$DX$23,1,AK265),1))),0)</f>
        <v>0</v>
      </c>
      <c r="AL271" s="28">
        <f>IF(AL267=1,IF(INDEX('Lease Cycles'!$EF$23:$EL$23,1,AL265)=1,AL268*INDEX('Lease Cycles'!$EM$23:$ES$23,1,AL265)+AL269*IF(AL266&lt;INDEX('Lease Cycles'!$FA$23:$FG$23,1,AL265),0,1-INDEX('Lease Cycles'!$EM$23:$ES$23,1,AL265)),AL268*IF(AL266&lt;INDEX('Lease Cycles'!$DK$23:$DQ$23,1,AL265),0,IF(AL266=INDEX('Lease Cycles'!$DK$23:$DQ$23,1,AL265),1-INDEX('Lease Cycles'!$DR$23:$DX$23,1,AL265),1))),0)</f>
        <v>0</v>
      </c>
      <c r="AM271" s="28">
        <f>IF(AM267=1,IF(INDEX('Lease Cycles'!$EF$23:$EL$23,1,AM265)=1,AM268*INDEX('Lease Cycles'!$EM$23:$ES$23,1,AM265)+AM269*IF(AM266&lt;INDEX('Lease Cycles'!$FA$23:$FG$23,1,AM265),0,1-INDEX('Lease Cycles'!$EM$23:$ES$23,1,AM265)),AM268*IF(AM266&lt;INDEX('Lease Cycles'!$DK$23:$DQ$23,1,AM265),0,IF(AM266=INDEX('Lease Cycles'!$DK$23:$DQ$23,1,AM265),1-INDEX('Lease Cycles'!$DR$23:$DX$23,1,AM265),1))),0)</f>
        <v>0</v>
      </c>
      <c r="AN271" s="28">
        <f>IF(AN267=1,IF(INDEX('Lease Cycles'!$EF$23:$EL$23,1,AN265)=1,AN268*INDEX('Lease Cycles'!$EM$23:$ES$23,1,AN265)+AN269*IF(AN266&lt;INDEX('Lease Cycles'!$FA$23:$FG$23,1,AN265),0,1-INDEX('Lease Cycles'!$EM$23:$ES$23,1,AN265)),AN268*IF(AN266&lt;INDEX('Lease Cycles'!$DK$23:$DQ$23,1,AN265),0,IF(AN266=INDEX('Lease Cycles'!$DK$23:$DQ$23,1,AN265),1-INDEX('Lease Cycles'!$DR$23:$DX$23,1,AN265),1))),0)</f>
        <v>0</v>
      </c>
      <c r="AO271" s="28">
        <f>IF(AO267=1,IF(INDEX('Lease Cycles'!$EF$23:$EL$23,1,AO265)=1,AO268*INDEX('Lease Cycles'!$EM$23:$ES$23,1,AO265)+AO269*IF(AO266&lt;INDEX('Lease Cycles'!$FA$23:$FG$23,1,AO265),0,1-INDEX('Lease Cycles'!$EM$23:$ES$23,1,AO265)),AO268*IF(AO266&lt;INDEX('Lease Cycles'!$DK$23:$DQ$23,1,AO265),0,IF(AO266=INDEX('Lease Cycles'!$DK$23:$DQ$23,1,AO265),1-INDEX('Lease Cycles'!$DR$23:$DX$23,1,AO265),1))),0)</f>
        <v>0</v>
      </c>
      <c r="AP271" s="28">
        <f>IF(AP267=1,IF(INDEX('Lease Cycles'!$EF$23:$EL$23,1,AP265)=1,AP268*INDEX('Lease Cycles'!$EM$23:$ES$23,1,AP265)+AP269*IF(AP266&lt;INDEX('Lease Cycles'!$FA$23:$FG$23,1,AP265),0,1-INDEX('Lease Cycles'!$EM$23:$ES$23,1,AP265)),AP268*IF(AP266&lt;INDEX('Lease Cycles'!$DK$23:$DQ$23,1,AP265),0,IF(AP266=INDEX('Lease Cycles'!$DK$23:$DQ$23,1,AP265),1-INDEX('Lease Cycles'!$DR$23:$DX$23,1,AP265),1))),0)</f>
        <v>0</v>
      </c>
      <c r="AQ271" s="28">
        <f>IF(AQ267=1,IF(INDEX('Lease Cycles'!$EF$23:$EL$23,1,AQ265)=1,AQ268*INDEX('Lease Cycles'!$EM$23:$ES$23,1,AQ265)+AQ269*IF(AQ266&lt;INDEX('Lease Cycles'!$FA$23:$FG$23,1,AQ265),0,1-INDEX('Lease Cycles'!$EM$23:$ES$23,1,AQ265)),AQ268*IF(AQ266&lt;INDEX('Lease Cycles'!$DK$23:$DQ$23,1,AQ265),0,IF(AQ266=INDEX('Lease Cycles'!$DK$23:$DQ$23,1,AQ265),1-INDEX('Lease Cycles'!$DR$23:$DX$23,1,AQ265),1))),0)</f>
        <v>0</v>
      </c>
      <c r="AR271" s="28">
        <f>IF(AR267=1,IF(INDEX('Lease Cycles'!$EF$23:$EL$23,1,AR265)=1,AR268*INDEX('Lease Cycles'!$EM$23:$ES$23,1,AR265)+AR269*IF(AR266&lt;INDEX('Lease Cycles'!$FA$23:$FG$23,1,AR265),0,1-INDEX('Lease Cycles'!$EM$23:$ES$23,1,AR265)),AR268*IF(AR266&lt;INDEX('Lease Cycles'!$DK$23:$DQ$23,1,AR265),0,IF(AR266=INDEX('Lease Cycles'!$DK$23:$DQ$23,1,AR265),1-INDEX('Lease Cycles'!$DR$23:$DX$23,1,AR265),1))),0)</f>
        <v>0</v>
      </c>
      <c r="AS271" s="28">
        <f>IF(AS267=1,IF(INDEX('Lease Cycles'!$EF$23:$EL$23,1,AS265)=1,AS268*INDEX('Lease Cycles'!$EM$23:$ES$23,1,AS265)+AS269*IF(AS266&lt;INDEX('Lease Cycles'!$FA$23:$FG$23,1,AS265),0,1-INDEX('Lease Cycles'!$EM$23:$ES$23,1,AS265)),AS268*IF(AS266&lt;INDEX('Lease Cycles'!$DK$23:$DQ$23,1,AS265),0,IF(AS266=INDEX('Lease Cycles'!$DK$23:$DQ$23,1,AS265),1-INDEX('Lease Cycles'!$DR$23:$DX$23,1,AS265),1))),0)</f>
        <v>0</v>
      </c>
      <c r="AT271" s="28">
        <f>IF(AT267=1,IF(INDEX('Lease Cycles'!$EF$23:$EL$23,1,AT265)=1,AT268*INDEX('Lease Cycles'!$EM$23:$ES$23,1,AT265)+AT269*IF(AT266&lt;INDEX('Lease Cycles'!$FA$23:$FG$23,1,AT265),0,1-INDEX('Lease Cycles'!$EM$23:$ES$23,1,AT265)),AT268*IF(AT266&lt;INDEX('Lease Cycles'!$DK$23:$DQ$23,1,AT265),0,IF(AT266=INDEX('Lease Cycles'!$DK$23:$DQ$23,1,AT265),1-INDEX('Lease Cycles'!$DR$23:$DX$23,1,AT265),1))),0)</f>
        <v>0</v>
      </c>
      <c r="AU271" s="28">
        <f>IF(AU267=1,IF(INDEX('Lease Cycles'!$EF$23:$EL$23,1,AU265)=1,AU268*INDEX('Lease Cycles'!$EM$23:$ES$23,1,AU265)+AU269*IF(AU266&lt;INDEX('Lease Cycles'!$FA$23:$FG$23,1,AU265),0,1-INDEX('Lease Cycles'!$EM$23:$ES$23,1,AU265)),AU268*IF(AU266&lt;INDEX('Lease Cycles'!$DK$23:$DQ$23,1,AU265),0,IF(AU266=INDEX('Lease Cycles'!$DK$23:$DQ$23,1,AU265),1-INDEX('Lease Cycles'!$DR$23:$DX$23,1,AU265),1))),0)</f>
        <v>0</v>
      </c>
      <c r="AV271" s="28">
        <f>IF(AV267=1,IF(INDEX('Lease Cycles'!$EF$23:$EL$23,1,AV265)=1,AV268*INDEX('Lease Cycles'!$EM$23:$ES$23,1,AV265)+AV269*IF(AV266&lt;INDEX('Lease Cycles'!$FA$23:$FG$23,1,AV265),0,1-INDEX('Lease Cycles'!$EM$23:$ES$23,1,AV265)),AV268*IF(AV266&lt;INDEX('Lease Cycles'!$DK$23:$DQ$23,1,AV265),0,IF(AV266=INDEX('Lease Cycles'!$DK$23:$DQ$23,1,AV265),1-INDEX('Lease Cycles'!$DR$23:$DX$23,1,AV265),1))),0)</f>
        <v>0</v>
      </c>
      <c r="AW271" s="28">
        <f>IF(AW267=1,IF(INDEX('Lease Cycles'!$EF$23:$EL$23,1,AW265)=1,AW268*INDEX('Lease Cycles'!$EM$23:$ES$23,1,AW265)+AW269*IF(AW266&lt;INDEX('Lease Cycles'!$FA$23:$FG$23,1,AW265),0,1-INDEX('Lease Cycles'!$EM$23:$ES$23,1,AW265)),AW268*IF(AW266&lt;INDEX('Lease Cycles'!$DK$23:$DQ$23,1,AW265),0,IF(AW266=INDEX('Lease Cycles'!$DK$23:$DQ$23,1,AW265),1-INDEX('Lease Cycles'!$DR$23:$DX$23,1,AW265),1))),0)</f>
        <v>0</v>
      </c>
      <c r="AX271" s="28">
        <f>IF(AX267=1,IF(INDEX('Lease Cycles'!$EF$23:$EL$23,1,AX265)=1,AX268*INDEX('Lease Cycles'!$EM$23:$ES$23,1,AX265)+AX269*IF(AX266&lt;INDEX('Lease Cycles'!$FA$23:$FG$23,1,AX265),0,1-INDEX('Lease Cycles'!$EM$23:$ES$23,1,AX265)),AX268*IF(AX266&lt;INDEX('Lease Cycles'!$DK$23:$DQ$23,1,AX265),0,IF(AX266=INDEX('Lease Cycles'!$DK$23:$DQ$23,1,AX265),1-INDEX('Lease Cycles'!$DR$23:$DX$23,1,AX265),1))),0)</f>
        <v>0</v>
      </c>
      <c r="AY271" s="28">
        <f>IF(AY267=1,IF(INDEX('Lease Cycles'!$EF$23:$EL$23,1,AY265)=1,AY268*INDEX('Lease Cycles'!$EM$23:$ES$23,1,AY265)+AY269*IF(AY266&lt;INDEX('Lease Cycles'!$FA$23:$FG$23,1,AY265),0,1-INDEX('Lease Cycles'!$EM$23:$ES$23,1,AY265)),AY268*IF(AY266&lt;INDEX('Lease Cycles'!$DK$23:$DQ$23,1,AY265),0,IF(AY266=INDEX('Lease Cycles'!$DK$23:$DQ$23,1,AY265),1-INDEX('Lease Cycles'!$DR$23:$DX$23,1,AY265),1))),0)</f>
        <v>0</v>
      </c>
      <c r="AZ271" s="28">
        <f>IF(AZ267=1,IF(INDEX('Lease Cycles'!$EF$23:$EL$23,1,AZ265)=1,AZ268*INDEX('Lease Cycles'!$EM$23:$ES$23,1,AZ265)+AZ269*IF(AZ266&lt;INDEX('Lease Cycles'!$FA$23:$FG$23,1,AZ265),0,1-INDEX('Lease Cycles'!$EM$23:$ES$23,1,AZ265)),AZ268*IF(AZ266&lt;INDEX('Lease Cycles'!$DK$23:$DQ$23,1,AZ265),0,IF(AZ266=INDEX('Lease Cycles'!$DK$23:$DQ$23,1,AZ265),1-INDEX('Lease Cycles'!$DR$23:$DX$23,1,AZ265),1))),0)</f>
        <v>0</v>
      </c>
      <c r="BA271" s="28">
        <f>IF(BA267=1,IF(INDEX('Lease Cycles'!$EF$23:$EL$23,1,BA265)=1,BA268*INDEX('Lease Cycles'!$EM$23:$ES$23,1,BA265)+BA269*IF(BA266&lt;INDEX('Lease Cycles'!$FA$23:$FG$23,1,BA265),0,1-INDEX('Lease Cycles'!$EM$23:$ES$23,1,BA265)),BA268*IF(BA266&lt;INDEX('Lease Cycles'!$DK$23:$DQ$23,1,BA265),0,IF(BA266=INDEX('Lease Cycles'!$DK$23:$DQ$23,1,BA265),1-INDEX('Lease Cycles'!$DR$23:$DX$23,1,BA265),1))),0)</f>
        <v>0</v>
      </c>
      <c r="BB271" s="28">
        <f>IF(BB267=1,IF(INDEX('Lease Cycles'!$EF$23:$EL$23,1,BB265)=1,BB268*INDEX('Lease Cycles'!$EM$23:$ES$23,1,BB265)+BB269*IF(BB266&lt;INDEX('Lease Cycles'!$FA$23:$FG$23,1,BB265),0,1-INDEX('Lease Cycles'!$EM$23:$ES$23,1,BB265)),BB268*IF(BB266&lt;INDEX('Lease Cycles'!$DK$23:$DQ$23,1,BB265),0,IF(BB266=INDEX('Lease Cycles'!$DK$23:$DQ$23,1,BB265),1-INDEX('Lease Cycles'!$DR$23:$DX$23,1,BB265),1))),0)</f>
        <v>0</v>
      </c>
      <c r="BC271" s="28">
        <f>IF(BC267=1,IF(INDEX('Lease Cycles'!$EF$23:$EL$23,1,BC265)=1,BC268*INDEX('Lease Cycles'!$EM$23:$ES$23,1,BC265)+BC269*IF(BC266&lt;INDEX('Lease Cycles'!$FA$23:$FG$23,1,BC265),0,1-INDEX('Lease Cycles'!$EM$23:$ES$23,1,BC265)),BC268*IF(BC266&lt;INDEX('Lease Cycles'!$DK$23:$DQ$23,1,BC265),0,IF(BC266=INDEX('Lease Cycles'!$DK$23:$DQ$23,1,BC265),1-INDEX('Lease Cycles'!$DR$23:$DX$23,1,BC265),1))),0)</f>
        <v>0</v>
      </c>
      <c r="BD271" s="28">
        <f>IF(BD267=1,IF(INDEX('Lease Cycles'!$EF$23:$EL$23,1,BD265)=1,BD268*INDEX('Lease Cycles'!$EM$23:$ES$23,1,BD265)+BD269*IF(BD266&lt;INDEX('Lease Cycles'!$FA$23:$FG$23,1,BD265),0,1-INDEX('Lease Cycles'!$EM$23:$ES$23,1,BD265)),BD268*IF(BD266&lt;INDEX('Lease Cycles'!$DK$23:$DQ$23,1,BD265),0,IF(BD266=INDEX('Lease Cycles'!$DK$23:$DQ$23,1,BD265),1-INDEX('Lease Cycles'!$DR$23:$DX$23,1,BD265),1))),0)</f>
        <v>0</v>
      </c>
      <c r="BE271" s="28">
        <f>IF(BE267=1,IF(INDEX('Lease Cycles'!$EF$23:$EL$23,1,BE265)=1,BE268*INDEX('Lease Cycles'!$EM$23:$ES$23,1,BE265)+BE269*IF(BE266&lt;INDEX('Lease Cycles'!$FA$23:$FG$23,1,BE265),0,1-INDEX('Lease Cycles'!$EM$23:$ES$23,1,BE265)),BE268*IF(BE266&lt;INDEX('Lease Cycles'!$DK$23:$DQ$23,1,BE265),0,IF(BE266=INDEX('Lease Cycles'!$DK$23:$DQ$23,1,BE265),1-INDEX('Lease Cycles'!$DR$23:$DX$23,1,BE265),1))),0)</f>
        <v>0</v>
      </c>
      <c r="BF271" s="28">
        <f>IF(BF267=1,IF(INDEX('Lease Cycles'!$EF$23:$EL$23,1,BF265)=1,BF268*INDEX('Lease Cycles'!$EM$23:$ES$23,1,BF265)+BF269*IF(BF266&lt;INDEX('Lease Cycles'!$FA$23:$FG$23,1,BF265),0,1-INDEX('Lease Cycles'!$EM$23:$ES$23,1,BF265)),BF268*IF(BF266&lt;INDEX('Lease Cycles'!$DK$23:$DQ$23,1,BF265),0,IF(BF266=INDEX('Lease Cycles'!$DK$23:$DQ$23,1,BF265),1-INDEX('Lease Cycles'!$DR$23:$DX$23,1,BF265),1))),0)</f>
        <v>0</v>
      </c>
      <c r="BG271" s="28">
        <f>IF(BG267=1,IF(INDEX('Lease Cycles'!$EF$23:$EL$23,1,BG265)=1,BG268*INDEX('Lease Cycles'!$EM$23:$ES$23,1,BG265)+BG269*IF(BG266&lt;INDEX('Lease Cycles'!$FA$23:$FG$23,1,BG265),0,1-INDEX('Lease Cycles'!$EM$23:$ES$23,1,BG265)),BG268*IF(BG266&lt;INDEX('Lease Cycles'!$DK$23:$DQ$23,1,BG265),0,IF(BG266=INDEX('Lease Cycles'!$DK$23:$DQ$23,1,BG265),1-INDEX('Lease Cycles'!$DR$23:$DX$23,1,BG265),1))),0)</f>
        <v>0</v>
      </c>
      <c r="BH271" s="28">
        <f>IF(BH267=1,IF(INDEX('Lease Cycles'!$EF$23:$EL$23,1,BH265)=1,BH268*INDEX('Lease Cycles'!$EM$23:$ES$23,1,BH265)+BH269*IF(BH266&lt;INDEX('Lease Cycles'!$FA$23:$FG$23,1,BH265),0,1-INDEX('Lease Cycles'!$EM$23:$ES$23,1,BH265)),BH268*IF(BH266&lt;INDEX('Lease Cycles'!$DK$23:$DQ$23,1,BH265),0,IF(BH266=INDEX('Lease Cycles'!$DK$23:$DQ$23,1,BH265),1-INDEX('Lease Cycles'!$DR$23:$DX$23,1,BH265),1))),0)</f>
        <v>0</v>
      </c>
      <c r="BI271" s="28">
        <f>IF(BI267=1,IF(INDEX('Lease Cycles'!$EF$23:$EL$23,1,BI265)=1,BI268*INDEX('Lease Cycles'!$EM$23:$ES$23,1,BI265)+BI269*IF(BI266&lt;INDEX('Lease Cycles'!$FA$23:$FG$23,1,BI265),0,1-INDEX('Lease Cycles'!$EM$23:$ES$23,1,BI265)),BI268*IF(BI266&lt;INDEX('Lease Cycles'!$DK$23:$DQ$23,1,BI265),0,IF(BI266=INDEX('Lease Cycles'!$DK$23:$DQ$23,1,BI265),1-INDEX('Lease Cycles'!$DR$23:$DX$23,1,BI265),1))),0)</f>
        <v>0</v>
      </c>
      <c r="BJ271" s="28">
        <f>IF(BJ267=1,IF(INDEX('Lease Cycles'!$EF$23:$EL$23,1,BJ265)=1,BJ268*INDEX('Lease Cycles'!$EM$23:$ES$23,1,BJ265)+BJ269*IF(BJ266&lt;INDEX('Lease Cycles'!$FA$23:$FG$23,1,BJ265),0,1-INDEX('Lease Cycles'!$EM$23:$ES$23,1,BJ265)),BJ268*IF(BJ266&lt;INDEX('Lease Cycles'!$DK$23:$DQ$23,1,BJ265),0,IF(BJ266=INDEX('Lease Cycles'!$DK$23:$DQ$23,1,BJ265),1-INDEX('Lease Cycles'!$DR$23:$DX$23,1,BJ265),1))),0)</f>
        <v>0</v>
      </c>
      <c r="BK271" s="28">
        <f>IF(BK267=1,IF(INDEX('Lease Cycles'!$EF$23:$EL$23,1,BK265)=1,BK268*INDEX('Lease Cycles'!$EM$23:$ES$23,1,BK265)+BK269*IF(BK266&lt;INDEX('Lease Cycles'!$FA$23:$FG$23,1,BK265),0,1-INDEX('Lease Cycles'!$EM$23:$ES$23,1,BK265)),BK268*IF(BK266&lt;INDEX('Lease Cycles'!$DK$23:$DQ$23,1,BK265),0,IF(BK266=INDEX('Lease Cycles'!$DK$23:$DQ$23,1,BK265),1-INDEX('Lease Cycles'!$DR$23:$DX$23,1,BK265),1))),0)</f>
        <v>0</v>
      </c>
      <c r="BL271" s="28">
        <f>IF(BL267=1,IF(INDEX('Lease Cycles'!$EF$23:$EL$23,1,BL265)=1,BL268*INDEX('Lease Cycles'!$EM$23:$ES$23,1,BL265)+BL269*IF(BL266&lt;INDEX('Lease Cycles'!$FA$23:$FG$23,1,BL265),0,1-INDEX('Lease Cycles'!$EM$23:$ES$23,1,BL265)),BL268*IF(BL266&lt;INDEX('Lease Cycles'!$DK$23:$DQ$23,1,BL265),0,IF(BL266=INDEX('Lease Cycles'!$DK$23:$DQ$23,1,BL265),1-INDEX('Lease Cycles'!$DR$23:$DX$23,1,BL265),1))),0)</f>
        <v>0</v>
      </c>
      <c r="BM271" s="28">
        <f>IF(BM267=1,IF(INDEX('Lease Cycles'!$EF$23:$EL$23,1,BM265)=1,BM268*INDEX('Lease Cycles'!$EM$23:$ES$23,1,BM265)+BM269*IF(BM266&lt;INDEX('Lease Cycles'!$FA$23:$FG$23,1,BM265),0,1-INDEX('Lease Cycles'!$EM$23:$ES$23,1,BM265)),BM268*IF(BM266&lt;INDEX('Lease Cycles'!$DK$23:$DQ$23,1,BM265),0,IF(BM266=INDEX('Lease Cycles'!$DK$23:$DQ$23,1,BM265),1-INDEX('Lease Cycles'!$DR$23:$DX$23,1,BM265),1))),0)</f>
        <v>0</v>
      </c>
      <c r="BN271" s="28">
        <f>IF(BN267=1,IF(INDEX('Lease Cycles'!$EF$23:$EL$23,1,BN265)=1,BN268*INDEX('Lease Cycles'!$EM$23:$ES$23,1,BN265)+BN269*IF(BN266&lt;INDEX('Lease Cycles'!$FA$23:$FG$23,1,BN265),0,1-INDEX('Lease Cycles'!$EM$23:$ES$23,1,BN265)),BN268*IF(BN266&lt;INDEX('Lease Cycles'!$DK$23:$DQ$23,1,BN265),0,IF(BN266=INDEX('Lease Cycles'!$DK$23:$DQ$23,1,BN265),1-INDEX('Lease Cycles'!$DR$23:$DX$23,1,BN265),1))),0)</f>
        <v>0</v>
      </c>
      <c r="BO271" s="28">
        <f>IF(BO267=1,IF(INDEX('Lease Cycles'!$EF$23:$EL$23,1,BO265)=1,BO268*INDEX('Lease Cycles'!$EM$23:$ES$23,1,BO265)+BO269*IF(BO266&lt;INDEX('Lease Cycles'!$FA$23:$FG$23,1,BO265),0,1-INDEX('Lease Cycles'!$EM$23:$ES$23,1,BO265)),BO268*IF(BO266&lt;INDEX('Lease Cycles'!$DK$23:$DQ$23,1,BO265),0,IF(BO266=INDEX('Lease Cycles'!$DK$23:$DQ$23,1,BO265),1-INDEX('Lease Cycles'!$DR$23:$DX$23,1,BO265),1))),0)</f>
        <v>0</v>
      </c>
      <c r="BP271" s="28">
        <f>IF(BP267=1,IF(INDEX('Lease Cycles'!$EF$23:$EL$23,1,BP265)=1,BP268*INDEX('Lease Cycles'!$EM$23:$ES$23,1,BP265)+BP269*IF(BP266&lt;INDEX('Lease Cycles'!$FA$23:$FG$23,1,BP265),0,1-INDEX('Lease Cycles'!$EM$23:$ES$23,1,BP265)),BP268*IF(BP266&lt;INDEX('Lease Cycles'!$DK$23:$DQ$23,1,BP265),0,IF(BP266=INDEX('Lease Cycles'!$DK$23:$DQ$23,1,BP265),1-INDEX('Lease Cycles'!$DR$23:$DX$23,1,BP265),1))),0)</f>
        <v>0</v>
      </c>
      <c r="BQ271" s="28">
        <f>IF(BQ267=1,IF(INDEX('Lease Cycles'!$EF$23:$EL$23,1,BQ265)=1,BQ268*INDEX('Lease Cycles'!$EM$23:$ES$23,1,BQ265)+BQ269*IF(BQ266&lt;INDEX('Lease Cycles'!$FA$23:$FG$23,1,BQ265),0,1-INDEX('Lease Cycles'!$EM$23:$ES$23,1,BQ265)),BQ268*IF(BQ266&lt;INDEX('Lease Cycles'!$DK$23:$DQ$23,1,BQ265),0,IF(BQ266=INDEX('Lease Cycles'!$DK$23:$DQ$23,1,BQ265),1-INDEX('Lease Cycles'!$DR$23:$DX$23,1,BQ265),1))),0)</f>
        <v>0</v>
      </c>
      <c r="BR271" s="28">
        <f>IF(BR267=1,IF(INDEX('Lease Cycles'!$EF$23:$EL$23,1,BR265)=1,BR268*INDEX('Lease Cycles'!$EM$23:$ES$23,1,BR265)+BR269*IF(BR266&lt;INDEX('Lease Cycles'!$FA$23:$FG$23,1,BR265),0,1-INDEX('Lease Cycles'!$EM$23:$ES$23,1,BR265)),BR268*IF(BR266&lt;INDEX('Lease Cycles'!$DK$23:$DQ$23,1,BR265),0,IF(BR266=INDEX('Lease Cycles'!$DK$23:$DQ$23,1,BR265),1-INDEX('Lease Cycles'!$DR$23:$DX$23,1,BR265),1))),0)</f>
        <v>0</v>
      </c>
      <c r="BS271" s="28">
        <f>IF(BS267=1,IF(INDEX('Lease Cycles'!$EF$23:$EL$23,1,BS265)=1,BS268*INDEX('Lease Cycles'!$EM$23:$ES$23,1,BS265)+BS269*IF(BS266&lt;INDEX('Lease Cycles'!$FA$23:$FG$23,1,BS265),0,1-INDEX('Lease Cycles'!$EM$23:$ES$23,1,BS265)),BS268*IF(BS266&lt;INDEX('Lease Cycles'!$DK$23:$DQ$23,1,BS265),0,IF(BS266=INDEX('Lease Cycles'!$DK$23:$DQ$23,1,BS265),1-INDEX('Lease Cycles'!$DR$23:$DX$23,1,BS265),1))),0)</f>
        <v>0</v>
      </c>
      <c r="BT271" s="28">
        <f>IF(BT267=1,IF(INDEX('Lease Cycles'!$EF$23:$EL$23,1,BT265)=1,BT268*INDEX('Lease Cycles'!$EM$23:$ES$23,1,BT265)+BT269*IF(BT266&lt;INDEX('Lease Cycles'!$FA$23:$FG$23,1,BT265),0,1-INDEX('Lease Cycles'!$EM$23:$ES$23,1,BT265)),BT268*IF(BT266&lt;INDEX('Lease Cycles'!$DK$23:$DQ$23,1,BT265),0,IF(BT266=INDEX('Lease Cycles'!$DK$23:$DQ$23,1,BT265),1-INDEX('Lease Cycles'!$DR$23:$DX$23,1,BT265),1))),0)</f>
        <v>0</v>
      </c>
      <c r="BU271" s="28">
        <f>IF(BU267=1,IF(INDEX('Lease Cycles'!$EF$23:$EL$23,1,BU265)=1,BU268*INDEX('Lease Cycles'!$EM$23:$ES$23,1,BU265)+BU269*IF(BU266&lt;INDEX('Lease Cycles'!$FA$23:$FG$23,1,BU265),0,1-INDEX('Lease Cycles'!$EM$23:$ES$23,1,BU265)),BU268*IF(BU266&lt;INDEX('Lease Cycles'!$DK$23:$DQ$23,1,BU265),0,IF(BU266=INDEX('Lease Cycles'!$DK$23:$DQ$23,1,BU265),1-INDEX('Lease Cycles'!$DR$23:$DX$23,1,BU265),1))),0)</f>
        <v>0</v>
      </c>
      <c r="BV271" s="28">
        <f>IF(BV267=1,IF(INDEX('Lease Cycles'!$EF$23:$EL$23,1,BV265)=1,BV268*INDEX('Lease Cycles'!$EM$23:$ES$23,1,BV265)+BV269*IF(BV266&lt;INDEX('Lease Cycles'!$FA$23:$FG$23,1,BV265),0,1-INDEX('Lease Cycles'!$EM$23:$ES$23,1,BV265)),BV268*IF(BV266&lt;INDEX('Lease Cycles'!$DK$23:$DQ$23,1,BV265),0,IF(BV266=INDEX('Lease Cycles'!$DK$23:$DQ$23,1,BV265),1-INDEX('Lease Cycles'!$DR$23:$DX$23,1,BV265),1))),0)</f>
        <v>0</v>
      </c>
      <c r="BW271" s="28">
        <f>IF(BW267=1,IF(INDEX('Lease Cycles'!$EF$23:$EL$23,1,BW265)=1,BW268*INDEX('Lease Cycles'!$EM$23:$ES$23,1,BW265)+BW269*IF(BW266&lt;INDEX('Lease Cycles'!$FA$23:$FG$23,1,BW265),0,1-INDEX('Lease Cycles'!$EM$23:$ES$23,1,BW265)),BW268*IF(BW266&lt;INDEX('Lease Cycles'!$DK$23:$DQ$23,1,BW265),0,IF(BW266=INDEX('Lease Cycles'!$DK$23:$DQ$23,1,BW265),1-INDEX('Lease Cycles'!$DR$23:$DX$23,1,BW265),1))),0)</f>
        <v>0</v>
      </c>
      <c r="BX271" s="28">
        <f>IF(BX267=1,IF(INDEX('Lease Cycles'!$EF$23:$EL$23,1,BX265)=1,BX268*INDEX('Lease Cycles'!$EM$23:$ES$23,1,BX265)+BX269*IF(BX266&lt;INDEX('Lease Cycles'!$FA$23:$FG$23,1,BX265),0,1-INDEX('Lease Cycles'!$EM$23:$ES$23,1,BX265)),BX268*IF(BX266&lt;INDEX('Lease Cycles'!$DK$23:$DQ$23,1,BX265),0,IF(BX266=INDEX('Lease Cycles'!$DK$23:$DQ$23,1,BX265),1-INDEX('Lease Cycles'!$DR$23:$DX$23,1,BX265),1))),0)</f>
        <v>0</v>
      </c>
      <c r="BY271" s="28">
        <f>IF(BY267=1,IF(INDEX('Lease Cycles'!$EF$23:$EL$23,1,BY265)=1,BY268*INDEX('Lease Cycles'!$EM$23:$ES$23,1,BY265)+BY269*IF(BY266&lt;INDEX('Lease Cycles'!$FA$23:$FG$23,1,BY265),0,1-INDEX('Lease Cycles'!$EM$23:$ES$23,1,BY265)),BY268*IF(BY266&lt;INDEX('Lease Cycles'!$DK$23:$DQ$23,1,BY265),0,IF(BY266=INDEX('Lease Cycles'!$DK$23:$DQ$23,1,BY265),1-INDEX('Lease Cycles'!$DR$23:$DX$23,1,BY265),1))),0)</f>
        <v>0</v>
      </c>
      <c r="BZ271" s="28">
        <f>IF(BZ267=1,IF(INDEX('Lease Cycles'!$EF$23:$EL$23,1,BZ265)=1,BZ268*INDEX('Lease Cycles'!$EM$23:$ES$23,1,BZ265)+BZ269*IF(BZ266&lt;INDEX('Lease Cycles'!$FA$23:$FG$23,1,BZ265),0,1-INDEX('Lease Cycles'!$EM$23:$ES$23,1,BZ265)),BZ268*IF(BZ266&lt;INDEX('Lease Cycles'!$DK$23:$DQ$23,1,BZ265),0,IF(BZ266=INDEX('Lease Cycles'!$DK$23:$DQ$23,1,BZ265),1-INDEX('Lease Cycles'!$DR$23:$DX$23,1,BZ265),1))),0)</f>
        <v>0</v>
      </c>
      <c r="CA271" s="28">
        <f>IF(CA267=1,IF(INDEX('Lease Cycles'!$EF$23:$EL$23,1,CA265)=1,CA268*INDEX('Lease Cycles'!$EM$23:$ES$23,1,CA265)+CA269*IF(CA266&lt;INDEX('Lease Cycles'!$FA$23:$FG$23,1,CA265),0,1-INDEX('Lease Cycles'!$EM$23:$ES$23,1,CA265)),CA268*IF(CA266&lt;INDEX('Lease Cycles'!$DK$23:$DQ$23,1,CA265),0,IF(CA266=INDEX('Lease Cycles'!$DK$23:$DQ$23,1,CA265),1-INDEX('Lease Cycles'!$DR$23:$DX$23,1,CA265),1))),0)</f>
        <v>0</v>
      </c>
      <c r="CB271" s="28">
        <f>IF(CB267=1,IF(INDEX('Lease Cycles'!$EF$23:$EL$23,1,CB265)=1,CB268*INDEX('Lease Cycles'!$EM$23:$ES$23,1,CB265)+CB269*IF(CB266&lt;INDEX('Lease Cycles'!$FA$23:$FG$23,1,CB265),0,1-INDEX('Lease Cycles'!$EM$23:$ES$23,1,CB265)),CB268*IF(CB266&lt;INDEX('Lease Cycles'!$DK$23:$DQ$23,1,CB265),0,IF(CB266=INDEX('Lease Cycles'!$DK$23:$DQ$23,1,CB265),1-INDEX('Lease Cycles'!$DR$23:$DX$23,1,CB265),1))),0)</f>
        <v>0</v>
      </c>
      <c r="CC271" s="28">
        <f>IF(CC267=1,IF(INDEX('Lease Cycles'!$EF$23:$EL$23,1,CC265)=1,CC268*INDEX('Lease Cycles'!$EM$23:$ES$23,1,CC265)+CC269*IF(CC266&lt;INDEX('Lease Cycles'!$FA$23:$FG$23,1,CC265),0,1-INDEX('Lease Cycles'!$EM$23:$ES$23,1,CC265)),CC268*IF(CC266&lt;INDEX('Lease Cycles'!$DK$23:$DQ$23,1,CC265),0,IF(CC266=INDEX('Lease Cycles'!$DK$23:$DQ$23,1,CC265),1-INDEX('Lease Cycles'!$DR$23:$DX$23,1,CC265),1))),0)</f>
        <v>0</v>
      </c>
      <c r="CD271" s="28">
        <f>IF(CD267=1,IF(INDEX('Lease Cycles'!$EF$23:$EL$23,1,CD265)=1,CD268*INDEX('Lease Cycles'!$EM$23:$ES$23,1,CD265)+CD269*IF(CD266&lt;INDEX('Lease Cycles'!$FA$23:$FG$23,1,CD265),0,1-INDEX('Lease Cycles'!$EM$23:$ES$23,1,CD265)),CD268*IF(CD266&lt;INDEX('Lease Cycles'!$DK$23:$DQ$23,1,CD265),0,IF(CD266=INDEX('Lease Cycles'!$DK$23:$DQ$23,1,CD265),1-INDEX('Lease Cycles'!$DR$23:$DX$23,1,CD265),1))),0)</f>
        <v>0</v>
      </c>
      <c r="CE271" s="28">
        <f>IF(CE267=1,IF(INDEX('Lease Cycles'!$EF$23:$EL$23,1,CE265)=1,CE268*INDEX('Lease Cycles'!$EM$23:$ES$23,1,CE265)+CE269*IF(CE266&lt;INDEX('Lease Cycles'!$FA$23:$FG$23,1,CE265),0,1-INDEX('Lease Cycles'!$EM$23:$ES$23,1,CE265)),CE268*IF(CE266&lt;INDEX('Lease Cycles'!$DK$23:$DQ$23,1,CE265),0,IF(CE266=INDEX('Lease Cycles'!$DK$23:$DQ$23,1,CE265),1-INDEX('Lease Cycles'!$DR$23:$DX$23,1,CE265),1))),0)</f>
        <v>0</v>
      </c>
      <c r="CF271" s="28">
        <f>IF(CF267=1,IF(INDEX('Lease Cycles'!$EF$23:$EL$23,1,CF265)=1,CF268*INDEX('Lease Cycles'!$EM$23:$ES$23,1,CF265)+CF269*IF(CF266&lt;INDEX('Lease Cycles'!$FA$23:$FG$23,1,CF265),0,1-INDEX('Lease Cycles'!$EM$23:$ES$23,1,CF265)),CF268*IF(CF266&lt;INDEX('Lease Cycles'!$DK$23:$DQ$23,1,CF265),0,IF(CF266=INDEX('Lease Cycles'!$DK$23:$DQ$23,1,CF265),1-INDEX('Lease Cycles'!$DR$23:$DX$23,1,CF265),1))),0)</f>
        <v>0</v>
      </c>
      <c r="CG271" s="28">
        <f>IF(CG267=1,IF(INDEX('Lease Cycles'!$EF$23:$EL$23,1,CG265)=1,CG268*INDEX('Lease Cycles'!$EM$23:$ES$23,1,CG265)+CG269*IF(CG266&lt;INDEX('Lease Cycles'!$FA$23:$FG$23,1,CG265),0,1-INDEX('Lease Cycles'!$EM$23:$ES$23,1,CG265)),CG268*IF(CG266&lt;INDEX('Lease Cycles'!$DK$23:$DQ$23,1,CG265),0,IF(CG266=INDEX('Lease Cycles'!$DK$23:$DQ$23,1,CG265),1-INDEX('Lease Cycles'!$DR$23:$DX$23,1,CG265),1))),0)</f>
        <v>0</v>
      </c>
      <c r="CH271" s="28">
        <f>IF(CH267=1,IF(INDEX('Lease Cycles'!$EF$23:$EL$23,1,CH265)=1,CH268*INDEX('Lease Cycles'!$EM$23:$ES$23,1,CH265)+CH269*IF(CH266&lt;INDEX('Lease Cycles'!$FA$23:$FG$23,1,CH265),0,1-INDEX('Lease Cycles'!$EM$23:$ES$23,1,CH265)),CH268*IF(CH266&lt;INDEX('Lease Cycles'!$DK$23:$DQ$23,1,CH265),0,IF(CH266=INDEX('Lease Cycles'!$DK$23:$DQ$23,1,CH265),1-INDEX('Lease Cycles'!$DR$23:$DX$23,1,CH265),1))),0)</f>
        <v>0</v>
      </c>
      <c r="CI271" s="28">
        <f>IF(CI267=1,IF(INDEX('Lease Cycles'!$EF$23:$EL$23,1,CI265)=1,CI268*INDEX('Lease Cycles'!$EM$23:$ES$23,1,CI265)+CI269*IF(CI266&lt;INDEX('Lease Cycles'!$FA$23:$FG$23,1,CI265),0,1-INDEX('Lease Cycles'!$EM$23:$ES$23,1,CI265)),CI268*IF(CI266&lt;INDEX('Lease Cycles'!$DK$23:$DQ$23,1,CI265),0,IF(CI266=INDEX('Lease Cycles'!$DK$23:$DQ$23,1,CI265),1-INDEX('Lease Cycles'!$DR$23:$DX$23,1,CI265),1))),0)</f>
        <v>0</v>
      </c>
      <c r="CJ271" s="28">
        <f>IF(CJ267=1,IF(INDEX('Lease Cycles'!$EF$23:$EL$23,1,CJ265)=1,CJ268*INDEX('Lease Cycles'!$EM$23:$ES$23,1,CJ265)+CJ269*IF(CJ266&lt;INDEX('Lease Cycles'!$FA$23:$FG$23,1,CJ265),0,1-INDEX('Lease Cycles'!$EM$23:$ES$23,1,CJ265)),CJ268*IF(CJ266&lt;INDEX('Lease Cycles'!$DK$23:$DQ$23,1,CJ265),0,IF(CJ266=INDEX('Lease Cycles'!$DK$23:$DQ$23,1,CJ265),1-INDEX('Lease Cycles'!$DR$23:$DX$23,1,CJ265),1))),0)</f>
        <v>0</v>
      </c>
      <c r="CK271" s="28">
        <f>IF(CK267=1,IF(INDEX('Lease Cycles'!$EF$23:$EL$23,1,CK265)=1,CK268*INDEX('Lease Cycles'!$EM$23:$ES$23,1,CK265)+CK269*IF(CK266&lt;INDEX('Lease Cycles'!$FA$23:$FG$23,1,CK265),0,1-INDEX('Lease Cycles'!$EM$23:$ES$23,1,CK265)),CK268*IF(CK266&lt;INDEX('Lease Cycles'!$DK$23:$DQ$23,1,CK265),0,IF(CK266=INDEX('Lease Cycles'!$DK$23:$DQ$23,1,CK265),1-INDEX('Lease Cycles'!$DR$23:$DX$23,1,CK265),1))),0)</f>
        <v>0</v>
      </c>
      <c r="CL271" s="28">
        <f>IF(CL267=1,IF(INDEX('Lease Cycles'!$EF$23:$EL$23,1,CL265)=1,CL268*INDEX('Lease Cycles'!$EM$23:$ES$23,1,CL265)+CL269*IF(CL266&lt;INDEX('Lease Cycles'!$FA$23:$FG$23,1,CL265),0,1-INDEX('Lease Cycles'!$EM$23:$ES$23,1,CL265)),CL268*IF(CL266&lt;INDEX('Lease Cycles'!$DK$23:$DQ$23,1,CL265),0,IF(CL266=INDEX('Lease Cycles'!$DK$23:$DQ$23,1,CL265),1-INDEX('Lease Cycles'!$DR$23:$DX$23,1,CL265),1))),0)</f>
        <v>0</v>
      </c>
      <c r="CM271" s="28">
        <f>IF(CM267=1,IF(INDEX('Lease Cycles'!$EF$23:$EL$23,1,CM265)=1,CM268*INDEX('Lease Cycles'!$EM$23:$ES$23,1,CM265)+CM269*IF(CM266&lt;INDEX('Lease Cycles'!$FA$23:$FG$23,1,CM265),0,1-INDEX('Lease Cycles'!$EM$23:$ES$23,1,CM265)),CM268*IF(CM266&lt;INDEX('Lease Cycles'!$DK$23:$DQ$23,1,CM265),0,IF(CM266=INDEX('Lease Cycles'!$DK$23:$DQ$23,1,CM265),1-INDEX('Lease Cycles'!$DR$23:$DX$23,1,CM265),1))),0)</f>
        <v>0</v>
      </c>
      <c r="CN271" s="28">
        <f>IF(CN267=1,IF(INDEX('Lease Cycles'!$EF$23:$EL$23,1,CN265)=1,CN268*INDEX('Lease Cycles'!$EM$23:$ES$23,1,CN265)+CN269*IF(CN266&lt;INDEX('Lease Cycles'!$FA$23:$FG$23,1,CN265),0,1-INDEX('Lease Cycles'!$EM$23:$ES$23,1,CN265)),CN268*IF(CN266&lt;INDEX('Lease Cycles'!$DK$23:$DQ$23,1,CN265),0,IF(CN266=INDEX('Lease Cycles'!$DK$23:$DQ$23,1,CN265),1-INDEX('Lease Cycles'!$DR$23:$DX$23,1,CN265),1))),0)</f>
        <v>0</v>
      </c>
      <c r="CO271" s="28">
        <f>IF(CO267=1,IF(INDEX('Lease Cycles'!$EF$23:$EL$23,1,CO265)=1,CO268*INDEX('Lease Cycles'!$EM$23:$ES$23,1,CO265)+CO269*IF(CO266&lt;INDEX('Lease Cycles'!$FA$23:$FG$23,1,CO265),0,1-INDEX('Lease Cycles'!$EM$23:$ES$23,1,CO265)),CO268*IF(CO266&lt;INDEX('Lease Cycles'!$DK$23:$DQ$23,1,CO265),0,IF(CO266=INDEX('Lease Cycles'!$DK$23:$DQ$23,1,CO265),1-INDEX('Lease Cycles'!$DR$23:$DX$23,1,CO265),1))),0)</f>
        <v>0</v>
      </c>
      <c r="CP271" s="28">
        <f>IF(CP267=1,IF(INDEX('Lease Cycles'!$EF$23:$EL$23,1,CP265)=1,CP268*INDEX('Lease Cycles'!$EM$23:$ES$23,1,CP265)+CP269*IF(CP266&lt;INDEX('Lease Cycles'!$FA$23:$FG$23,1,CP265),0,1-INDEX('Lease Cycles'!$EM$23:$ES$23,1,CP265)),CP268*IF(CP266&lt;INDEX('Lease Cycles'!$DK$23:$DQ$23,1,CP265),0,IF(CP266=INDEX('Lease Cycles'!$DK$23:$DQ$23,1,CP265),1-INDEX('Lease Cycles'!$DR$23:$DX$23,1,CP265),1))),0)</f>
        <v>0</v>
      </c>
      <c r="CQ271" s="28">
        <f>IF(CQ267=1,IF(INDEX('Lease Cycles'!$EF$23:$EL$23,1,CQ265)=1,CQ268*INDEX('Lease Cycles'!$EM$23:$ES$23,1,CQ265)+CQ269*IF(CQ266&lt;INDEX('Lease Cycles'!$FA$23:$FG$23,1,CQ265),0,1-INDEX('Lease Cycles'!$EM$23:$ES$23,1,CQ265)),CQ268*IF(CQ266&lt;INDEX('Lease Cycles'!$DK$23:$DQ$23,1,CQ265),0,IF(CQ266=INDEX('Lease Cycles'!$DK$23:$DQ$23,1,CQ265),1-INDEX('Lease Cycles'!$DR$23:$DX$23,1,CQ265),1))),0)</f>
        <v>0</v>
      </c>
      <c r="CR271" s="28">
        <f>IF(CR267=1,IF(INDEX('Lease Cycles'!$EF$23:$EL$23,1,CR265)=1,CR268*INDEX('Lease Cycles'!$EM$23:$ES$23,1,CR265)+CR269*IF(CR266&lt;INDEX('Lease Cycles'!$FA$23:$FG$23,1,CR265),0,1-INDEX('Lease Cycles'!$EM$23:$ES$23,1,CR265)),CR268*IF(CR266&lt;INDEX('Lease Cycles'!$DK$23:$DQ$23,1,CR265),0,IF(CR266=INDEX('Lease Cycles'!$DK$23:$DQ$23,1,CR265),1-INDEX('Lease Cycles'!$DR$23:$DX$23,1,CR265),1))),0)</f>
        <v>0</v>
      </c>
      <c r="CS271" s="28">
        <f>IF(CS267=1,IF(INDEX('Lease Cycles'!$EF$23:$EL$23,1,CS265)=1,CS268*INDEX('Lease Cycles'!$EM$23:$ES$23,1,CS265)+CS269*IF(CS266&lt;INDEX('Lease Cycles'!$FA$23:$FG$23,1,CS265),0,1-INDEX('Lease Cycles'!$EM$23:$ES$23,1,CS265)),CS268*IF(CS266&lt;INDEX('Lease Cycles'!$DK$23:$DQ$23,1,CS265),0,IF(CS266=INDEX('Lease Cycles'!$DK$23:$DQ$23,1,CS265),1-INDEX('Lease Cycles'!$DR$23:$DX$23,1,CS265),1))),0)</f>
        <v>0</v>
      </c>
      <c r="CT271" s="28">
        <f>IF(CT267=1,IF(INDEX('Lease Cycles'!$EF$23:$EL$23,1,CT265)=1,CT268*INDEX('Lease Cycles'!$EM$23:$ES$23,1,CT265)+CT269*IF(CT266&lt;INDEX('Lease Cycles'!$FA$23:$FG$23,1,CT265),0,1-INDEX('Lease Cycles'!$EM$23:$ES$23,1,CT265)),CT268*IF(CT266&lt;INDEX('Lease Cycles'!$DK$23:$DQ$23,1,CT265),0,IF(CT266=INDEX('Lease Cycles'!$DK$23:$DQ$23,1,CT265),1-INDEX('Lease Cycles'!$DR$23:$DX$23,1,CT265),1))),0)</f>
        <v>0</v>
      </c>
      <c r="CU271" s="28">
        <f>IF(CU267=1,IF(INDEX('Lease Cycles'!$EF$23:$EL$23,1,CU265)=1,CU268*INDEX('Lease Cycles'!$EM$23:$ES$23,1,CU265)+CU269*IF(CU266&lt;INDEX('Lease Cycles'!$FA$23:$FG$23,1,CU265),0,1-INDEX('Lease Cycles'!$EM$23:$ES$23,1,CU265)),CU268*IF(CU266&lt;INDEX('Lease Cycles'!$DK$23:$DQ$23,1,CU265),0,IF(CU266=INDEX('Lease Cycles'!$DK$23:$DQ$23,1,CU265),1-INDEX('Lease Cycles'!$DR$23:$DX$23,1,CU265),1))),0)</f>
        <v>0</v>
      </c>
      <c r="CV271" s="28">
        <f>IF(CV267=1,IF(INDEX('Lease Cycles'!$EF$23:$EL$23,1,CV265)=1,CV268*INDEX('Lease Cycles'!$EM$23:$ES$23,1,CV265)+CV269*IF(CV266&lt;INDEX('Lease Cycles'!$FA$23:$FG$23,1,CV265),0,1-INDEX('Lease Cycles'!$EM$23:$ES$23,1,CV265)),CV268*IF(CV266&lt;INDEX('Lease Cycles'!$DK$23:$DQ$23,1,CV265),0,IF(CV266=INDEX('Lease Cycles'!$DK$23:$DQ$23,1,CV265),1-INDEX('Lease Cycles'!$DR$23:$DX$23,1,CV265),1))),0)</f>
        <v>0</v>
      </c>
      <c r="CW271" s="28">
        <f>IF(CW267=1,IF(INDEX('Lease Cycles'!$EF$23:$EL$23,1,CW265)=1,CW268*INDEX('Lease Cycles'!$EM$23:$ES$23,1,CW265)+CW269*IF(CW266&lt;INDEX('Lease Cycles'!$FA$23:$FG$23,1,CW265),0,1-INDEX('Lease Cycles'!$EM$23:$ES$23,1,CW265)),CW268*IF(CW266&lt;INDEX('Lease Cycles'!$DK$23:$DQ$23,1,CW265),0,IF(CW266=INDEX('Lease Cycles'!$DK$23:$DQ$23,1,CW265),1-INDEX('Lease Cycles'!$DR$23:$DX$23,1,CW265),1))),0)</f>
        <v>0</v>
      </c>
      <c r="CX271" s="28">
        <f>IF(CX267=1,IF(INDEX('Lease Cycles'!$EF$23:$EL$23,1,CX265)=1,CX268*INDEX('Lease Cycles'!$EM$23:$ES$23,1,CX265)+CX269*IF(CX266&lt;INDEX('Lease Cycles'!$FA$23:$FG$23,1,CX265),0,1-INDEX('Lease Cycles'!$EM$23:$ES$23,1,CX265)),CX268*IF(CX266&lt;INDEX('Lease Cycles'!$DK$23:$DQ$23,1,CX265),0,IF(CX266=INDEX('Lease Cycles'!$DK$23:$DQ$23,1,CX265),1-INDEX('Lease Cycles'!$DR$23:$DX$23,1,CX265),1))),0)</f>
        <v>0</v>
      </c>
      <c r="CY271" s="28">
        <f>IF(CY267=1,IF(INDEX('Lease Cycles'!$EF$23:$EL$23,1,CY265)=1,CY268*INDEX('Lease Cycles'!$EM$23:$ES$23,1,CY265)+CY269*IF(CY266&lt;INDEX('Lease Cycles'!$FA$23:$FG$23,1,CY265),0,1-INDEX('Lease Cycles'!$EM$23:$ES$23,1,CY265)),CY268*IF(CY266&lt;INDEX('Lease Cycles'!$DK$23:$DQ$23,1,CY265),0,IF(CY266=INDEX('Lease Cycles'!$DK$23:$DQ$23,1,CY265),1-INDEX('Lease Cycles'!$DR$23:$DX$23,1,CY265),1))),0)</f>
        <v>0</v>
      </c>
      <c r="CZ271" s="28">
        <f>IF(CZ267=1,IF(INDEX('Lease Cycles'!$EF$23:$EL$23,1,CZ265)=1,CZ268*INDEX('Lease Cycles'!$EM$23:$ES$23,1,CZ265)+CZ269*IF(CZ266&lt;INDEX('Lease Cycles'!$FA$23:$FG$23,1,CZ265),0,1-INDEX('Lease Cycles'!$EM$23:$ES$23,1,CZ265)),CZ268*IF(CZ266&lt;INDEX('Lease Cycles'!$DK$23:$DQ$23,1,CZ265),0,IF(CZ266=INDEX('Lease Cycles'!$DK$23:$DQ$23,1,CZ265),1-INDEX('Lease Cycles'!$DR$23:$DX$23,1,CZ265),1))),0)</f>
        <v>0</v>
      </c>
      <c r="DA271" s="28">
        <f>IF(DA267=1,IF(INDEX('Lease Cycles'!$EF$23:$EL$23,1,DA265)=1,DA268*INDEX('Lease Cycles'!$EM$23:$ES$23,1,DA265)+DA269*IF(DA266&lt;INDEX('Lease Cycles'!$FA$23:$FG$23,1,DA265),0,1-INDEX('Lease Cycles'!$EM$23:$ES$23,1,DA265)),DA268*IF(DA266&lt;INDEX('Lease Cycles'!$DK$23:$DQ$23,1,DA265),0,IF(DA266=INDEX('Lease Cycles'!$DK$23:$DQ$23,1,DA265),1-INDEX('Lease Cycles'!$DR$23:$DX$23,1,DA265),1))),0)</f>
        <v>0</v>
      </c>
      <c r="DB271" s="28">
        <f>IF(DB267=1,IF(INDEX('Lease Cycles'!$EF$23:$EL$23,1,DB265)=1,DB268*INDEX('Lease Cycles'!$EM$23:$ES$23,1,DB265)+DB269*IF(DB266&lt;INDEX('Lease Cycles'!$FA$23:$FG$23,1,DB265),0,1-INDEX('Lease Cycles'!$EM$23:$ES$23,1,DB265)),DB268*IF(DB266&lt;INDEX('Lease Cycles'!$DK$23:$DQ$23,1,DB265),0,IF(DB266=INDEX('Lease Cycles'!$DK$23:$DQ$23,1,DB265),1-INDEX('Lease Cycles'!$DR$23:$DX$23,1,DB265),1))),0)</f>
        <v>0</v>
      </c>
      <c r="DC271" s="28">
        <f>IF(DC267=1,IF(INDEX('Lease Cycles'!$EF$23:$EL$23,1,DC265)=1,DC268*INDEX('Lease Cycles'!$EM$23:$ES$23,1,DC265)+DC269*IF(DC266&lt;INDEX('Lease Cycles'!$FA$23:$FG$23,1,DC265),0,1-INDEX('Lease Cycles'!$EM$23:$ES$23,1,DC265)),DC268*IF(DC266&lt;INDEX('Lease Cycles'!$DK$23:$DQ$23,1,DC265),0,IF(DC266=INDEX('Lease Cycles'!$DK$23:$DQ$23,1,DC265),1-INDEX('Lease Cycles'!$DR$23:$DX$23,1,DC265),1))),0)</f>
        <v>0</v>
      </c>
      <c r="DD271" s="28">
        <f>IF(DD267=1,IF(INDEX('Lease Cycles'!$EF$23:$EL$23,1,DD265)=1,DD268*INDEX('Lease Cycles'!$EM$23:$ES$23,1,DD265)+DD269*IF(DD266&lt;INDEX('Lease Cycles'!$FA$23:$FG$23,1,DD265),0,1-INDEX('Lease Cycles'!$EM$23:$ES$23,1,DD265)),DD268*IF(DD266&lt;INDEX('Lease Cycles'!$DK$23:$DQ$23,1,DD265),0,IF(DD266=INDEX('Lease Cycles'!$DK$23:$DQ$23,1,DD265),1-INDEX('Lease Cycles'!$DR$23:$DX$23,1,DD265),1))),0)</f>
        <v>0</v>
      </c>
      <c r="DE271" s="28">
        <f>IF(DE267=1,IF(INDEX('Lease Cycles'!$EF$23:$EL$23,1,DE265)=1,DE268*INDEX('Lease Cycles'!$EM$23:$ES$23,1,DE265)+DE269*IF(DE266&lt;INDEX('Lease Cycles'!$FA$23:$FG$23,1,DE265),0,1-INDEX('Lease Cycles'!$EM$23:$ES$23,1,DE265)),DE268*IF(DE266&lt;INDEX('Lease Cycles'!$DK$23:$DQ$23,1,DE265),0,IF(DE266=INDEX('Lease Cycles'!$DK$23:$DQ$23,1,DE265),1-INDEX('Lease Cycles'!$DR$23:$DX$23,1,DE265),1))),0)</f>
        <v>0</v>
      </c>
      <c r="DF271" s="28">
        <f>IF(DF267=1,IF(INDEX('Lease Cycles'!$EF$23:$EL$23,1,DF265)=1,DF268*INDEX('Lease Cycles'!$EM$23:$ES$23,1,DF265)+DF269*IF(DF266&lt;INDEX('Lease Cycles'!$FA$23:$FG$23,1,DF265),0,1-INDEX('Lease Cycles'!$EM$23:$ES$23,1,DF265)),DF268*IF(DF266&lt;INDEX('Lease Cycles'!$DK$23:$DQ$23,1,DF265),0,IF(DF266=INDEX('Lease Cycles'!$DK$23:$DQ$23,1,DF265),1-INDEX('Lease Cycles'!$DR$23:$DX$23,1,DF265),1))),0)</f>
        <v>0</v>
      </c>
      <c r="DG271" s="28">
        <f>IF(DG267=1,IF(INDEX('Lease Cycles'!$EF$23:$EL$23,1,DG265)=1,DG268*INDEX('Lease Cycles'!$EM$23:$ES$23,1,DG265)+DG269*IF(DG266&lt;INDEX('Lease Cycles'!$FA$23:$FG$23,1,DG265),0,1-INDEX('Lease Cycles'!$EM$23:$ES$23,1,DG265)),DG268*IF(DG266&lt;INDEX('Lease Cycles'!$DK$23:$DQ$23,1,DG265),0,IF(DG266=INDEX('Lease Cycles'!$DK$23:$DQ$23,1,DG265),1-INDEX('Lease Cycles'!$DR$23:$DX$23,1,DG265),1))),0)</f>
        <v>0</v>
      </c>
      <c r="DH271" s="28">
        <f>IF(DH267=1,IF(INDEX('Lease Cycles'!$EF$23:$EL$23,1,DH265)=1,DH268*INDEX('Lease Cycles'!$EM$23:$ES$23,1,DH265)+DH269*IF(DH266&lt;INDEX('Lease Cycles'!$FA$23:$FG$23,1,DH265),0,1-INDEX('Lease Cycles'!$EM$23:$ES$23,1,DH265)),DH268*IF(DH266&lt;INDEX('Lease Cycles'!$DK$23:$DQ$23,1,DH265),0,IF(DH266=INDEX('Lease Cycles'!$DK$23:$DQ$23,1,DH265),1-INDEX('Lease Cycles'!$DR$23:$DX$23,1,DH265),1))),0)</f>
        <v>0</v>
      </c>
      <c r="DI271" s="28">
        <f>IF(DI267=1,IF(INDEX('Lease Cycles'!$EF$23:$EL$23,1,DI265)=1,DI268*INDEX('Lease Cycles'!$EM$23:$ES$23,1,DI265)+DI269*IF(DI266&lt;INDEX('Lease Cycles'!$FA$23:$FG$23,1,DI265),0,1-INDEX('Lease Cycles'!$EM$23:$ES$23,1,DI265)),DI268*IF(DI266&lt;INDEX('Lease Cycles'!$DK$23:$DQ$23,1,DI265),0,IF(DI266=INDEX('Lease Cycles'!$DK$23:$DQ$23,1,DI265),1-INDEX('Lease Cycles'!$DR$23:$DX$23,1,DI265),1))),0)</f>
        <v>0</v>
      </c>
      <c r="DJ271" s="28">
        <f>IF(DJ267=1,IF(INDEX('Lease Cycles'!$EF$23:$EL$23,1,DJ265)=1,DJ268*INDEX('Lease Cycles'!$EM$23:$ES$23,1,DJ265)+DJ269*IF(DJ266&lt;INDEX('Lease Cycles'!$FA$23:$FG$23,1,DJ265),0,1-INDEX('Lease Cycles'!$EM$23:$ES$23,1,DJ265)),DJ268*IF(DJ266&lt;INDEX('Lease Cycles'!$DK$23:$DQ$23,1,DJ265),0,IF(DJ266=INDEX('Lease Cycles'!$DK$23:$DQ$23,1,DJ265),1-INDEX('Lease Cycles'!$DR$23:$DX$23,1,DJ265),1))),0)</f>
        <v>0</v>
      </c>
      <c r="DK271" s="28">
        <f>IF(DK267=1,IF(INDEX('Lease Cycles'!$EF$23:$EL$23,1,DK265)=1,DK268*INDEX('Lease Cycles'!$EM$23:$ES$23,1,DK265)+DK269*IF(DK266&lt;INDEX('Lease Cycles'!$FA$23:$FG$23,1,DK265),0,1-INDEX('Lease Cycles'!$EM$23:$ES$23,1,DK265)),DK268*IF(DK266&lt;INDEX('Lease Cycles'!$DK$23:$DQ$23,1,DK265),0,IF(DK266=INDEX('Lease Cycles'!$DK$23:$DQ$23,1,DK265),1-INDEX('Lease Cycles'!$DR$23:$DX$23,1,DK265),1))),0)</f>
        <v>0</v>
      </c>
      <c r="DL271" s="28">
        <f>IF(DL267=1,IF(INDEX('Lease Cycles'!$EF$23:$EL$23,1,DL265)=1,DL268*INDEX('Lease Cycles'!$EM$23:$ES$23,1,DL265)+DL269*IF(DL266&lt;INDEX('Lease Cycles'!$FA$23:$FG$23,1,DL265),0,1-INDEX('Lease Cycles'!$EM$23:$ES$23,1,DL265)),DL268*IF(DL266&lt;INDEX('Lease Cycles'!$DK$23:$DQ$23,1,DL265),0,IF(DL266=INDEX('Lease Cycles'!$DK$23:$DQ$23,1,DL265),1-INDEX('Lease Cycles'!$DR$23:$DX$23,1,DL265),1))),0)</f>
        <v>0</v>
      </c>
      <c r="DM271" s="28">
        <f>IF(DM267=1,IF(INDEX('Lease Cycles'!$EF$23:$EL$23,1,DM265)=1,DM268*INDEX('Lease Cycles'!$EM$23:$ES$23,1,DM265)+DM269*IF(DM266&lt;INDEX('Lease Cycles'!$FA$23:$FG$23,1,DM265),0,1-INDEX('Lease Cycles'!$EM$23:$ES$23,1,DM265)),DM268*IF(DM266&lt;INDEX('Lease Cycles'!$DK$23:$DQ$23,1,DM265),0,IF(DM266=INDEX('Lease Cycles'!$DK$23:$DQ$23,1,DM265),1-INDEX('Lease Cycles'!$DR$23:$DX$23,1,DM265),1))),0)</f>
        <v>0</v>
      </c>
      <c r="DN271" s="28">
        <f>IF(DN267=1,IF(INDEX('Lease Cycles'!$EF$23:$EL$23,1,DN265)=1,DN268*INDEX('Lease Cycles'!$EM$23:$ES$23,1,DN265)+DN269*IF(DN266&lt;INDEX('Lease Cycles'!$FA$23:$FG$23,1,DN265),0,1-INDEX('Lease Cycles'!$EM$23:$ES$23,1,DN265)),DN268*IF(DN266&lt;INDEX('Lease Cycles'!$DK$23:$DQ$23,1,DN265),0,IF(DN266=INDEX('Lease Cycles'!$DK$23:$DQ$23,1,DN265),1-INDEX('Lease Cycles'!$DR$23:$DX$23,1,DN265),1))),0)</f>
        <v>0</v>
      </c>
      <c r="DO271" s="28">
        <f>IF(DO267=1,IF(INDEX('Lease Cycles'!$EF$23:$EL$23,1,DO265)=1,DO268*INDEX('Lease Cycles'!$EM$23:$ES$23,1,DO265)+DO269*IF(DO266&lt;INDEX('Lease Cycles'!$FA$23:$FG$23,1,DO265),0,1-INDEX('Lease Cycles'!$EM$23:$ES$23,1,DO265)),DO268*IF(DO266&lt;INDEX('Lease Cycles'!$DK$23:$DQ$23,1,DO265),0,IF(DO266=INDEX('Lease Cycles'!$DK$23:$DQ$23,1,DO265),1-INDEX('Lease Cycles'!$DR$23:$DX$23,1,DO265),1))),0)</f>
        <v>0</v>
      </c>
      <c r="DP271" s="28">
        <f>IF(DP267=1,IF(INDEX('Lease Cycles'!$EF$23:$EL$23,1,DP265)=1,DP268*INDEX('Lease Cycles'!$EM$23:$ES$23,1,DP265)+DP269*IF(DP266&lt;INDEX('Lease Cycles'!$FA$23:$FG$23,1,DP265),0,1-INDEX('Lease Cycles'!$EM$23:$ES$23,1,DP265)),DP268*IF(DP266&lt;INDEX('Lease Cycles'!$DK$23:$DQ$23,1,DP265),0,IF(DP266=INDEX('Lease Cycles'!$DK$23:$DQ$23,1,DP265),1-INDEX('Lease Cycles'!$DR$23:$DX$23,1,DP265),1))),0)</f>
        <v>0</v>
      </c>
      <c r="DQ271" s="28">
        <f>IF(DQ267=1,IF(INDEX('Lease Cycles'!$EF$23:$EL$23,1,DQ265)=1,DQ268*INDEX('Lease Cycles'!$EM$23:$ES$23,1,DQ265)+DQ269*IF(DQ266&lt;INDEX('Lease Cycles'!$FA$23:$FG$23,1,DQ265),0,1-INDEX('Lease Cycles'!$EM$23:$ES$23,1,DQ265)),DQ268*IF(DQ266&lt;INDEX('Lease Cycles'!$DK$23:$DQ$23,1,DQ265),0,IF(DQ266=INDEX('Lease Cycles'!$DK$23:$DQ$23,1,DQ265),1-INDEX('Lease Cycles'!$DR$23:$DX$23,1,DQ265),1))),0)</f>
        <v>0</v>
      </c>
      <c r="DR271" s="28">
        <f>IF(DR267=1,IF(INDEX('Lease Cycles'!$EF$23:$EL$23,1,DR265)=1,DR268*INDEX('Lease Cycles'!$EM$23:$ES$23,1,DR265)+DR269*IF(DR266&lt;INDEX('Lease Cycles'!$FA$23:$FG$23,1,DR265),0,1-INDEX('Lease Cycles'!$EM$23:$ES$23,1,DR265)),DR268*IF(DR266&lt;INDEX('Lease Cycles'!$DK$23:$DQ$23,1,DR265),0,IF(DR266=INDEX('Lease Cycles'!$DK$23:$DQ$23,1,DR265),1-INDEX('Lease Cycles'!$DR$23:$DX$23,1,DR265),1))),0)</f>
        <v>0</v>
      </c>
      <c r="DS271" s="28">
        <f>IF(DS267=1,IF(INDEX('Lease Cycles'!$EF$23:$EL$23,1,DS265)=1,DS268*INDEX('Lease Cycles'!$EM$23:$ES$23,1,DS265)+DS269*IF(DS266&lt;INDEX('Lease Cycles'!$FA$23:$FG$23,1,DS265),0,1-INDEX('Lease Cycles'!$EM$23:$ES$23,1,DS265)),DS268*IF(DS266&lt;INDEX('Lease Cycles'!$DK$23:$DQ$23,1,DS265),0,IF(DS266=INDEX('Lease Cycles'!$DK$23:$DQ$23,1,DS265),1-INDEX('Lease Cycles'!$DR$23:$DX$23,1,DS265),1))),0)</f>
        <v>0</v>
      </c>
      <c r="DT271" s="28">
        <f>IF(DT267=1,IF(INDEX('Lease Cycles'!$EF$23:$EL$23,1,DT265)=1,DT268*INDEX('Lease Cycles'!$EM$23:$ES$23,1,DT265)+DT269*IF(DT266&lt;INDEX('Lease Cycles'!$FA$23:$FG$23,1,DT265),0,1-INDEX('Lease Cycles'!$EM$23:$ES$23,1,DT265)),DT268*IF(DT266&lt;INDEX('Lease Cycles'!$DK$23:$DQ$23,1,DT265),0,IF(DT266=INDEX('Lease Cycles'!$DK$23:$DQ$23,1,DT265),1-INDEX('Lease Cycles'!$DR$23:$DX$23,1,DT265),1))),0)</f>
        <v>0</v>
      </c>
      <c r="DU271" s="28">
        <f>IF(DU267=1,IF(INDEX('Lease Cycles'!$EF$23:$EL$23,1,DU265)=1,DU268*INDEX('Lease Cycles'!$EM$23:$ES$23,1,DU265)+DU269*IF(DU266&lt;INDEX('Lease Cycles'!$FA$23:$FG$23,1,DU265),0,1-INDEX('Lease Cycles'!$EM$23:$ES$23,1,DU265)),DU268*IF(DU266&lt;INDEX('Lease Cycles'!$DK$23:$DQ$23,1,DU265),0,IF(DU266=INDEX('Lease Cycles'!$DK$23:$DQ$23,1,DU265),1-INDEX('Lease Cycles'!$DR$23:$DX$23,1,DU265),1))),0)</f>
        <v>0</v>
      </c>
      <c r="DV271" s="28">
        <f>IF(DV267=1,IF(INDEX('Lease Cycles'!$EF$23:$EL$23,1,DV265)=1,DV268*INDEX('Lease Cycles'!$EM$23:$ES$23,1,DV265)+DV269*IF(DV266&lt;INDEX('Lease Cycles'!$FA$23:$FG$23,1,DV265),0,1-INDEX('Lease Cycles'!$EM$23:$ES$23,1,DV265)),DV268*IF(DV266&lt;INDEX('Lease Cycles'!$DK$23:$DQ$23,1,DV265),0,IF(DV266=INDEX('Lease Cycles'!$DK$23:$DQ$23,1,DV265),1-INDEX('Lease Cycles'!$DR$23:$DX$23,1,DV265),1))),0)</f>
        <v>0</v>
      </c>
      <c r="DW271" s="28">
        <f>IF(DW267=1,IF(INDEX('Lease Cycles'!$EF$23:$EL$23,1,DW265)=1,DW268*INDEX('Lease Cycles'!$EM$23:$ES$23,1,DW265)+DW269*IF(DW266&lt;INDEX('Lease Cycles'!$FA$23:$FG$23,1,DW265),0,1-INDEX('Lease Cycles'!$EM$23:$ES$23,1,DW265)),DW268*IF(DW266&lt;INDEX('Lease Cycles'!$DK$23:$DQ$23,1,DW265),0,IF(DW266=INDEX('Lease Cycles'!$DK$23:$DQ$23,1,DW265),1-INDEX('Lease Cycles'!$DR$23:$DX$23,1,DW265),1))),0)</f>
        <v>0</v>
      </c>
      <c r="DX271" s="28">
        <f>IF(DX267=1,IF(INDEX('Lease Cycles'!$EF$23:$EL$23,1,DX265)=1,DX268*INDEX('Lease Cycles'!$EM$23:$ES$23,1,DX265)+DX269*IF(DX266&lt;INDEX('Lease Cycles'!$FA$23:$FG$23,1,DX265),0,1-INDEX('Lease Cycles'!$EM$23:$ES$23,1,DX265)),DX268*IF(DX266&lt;INDEX('Lease Cycles'!$DK$23:$DQ$23,1,DX265),0,IF(DX266=INDEX('Lease Cycles'!$DK$23:$DQ$23,1,DX265),1-INDEX('Lease Cycles'!$DR$23:$DX$23,1,DX265),1))),0)</f>
        <v>0</v>
      </c>
      <c r="DY271" s="28">
        <f>IF(DY267=1,IF(INDEX('Lease Cycles'!$EF$23:$EL$23,1,DY265)=1,DY268*INDEX('Lease Cycles'!$EM$23:$ES$23,1,DY265)+DY269*IF(DY266&lt;INDEX('Lease Cycles'!$FA$23:$FG$23,1,DY265),0,1-INDEX('Lease Cycles'!$EM$23:$ES$23,1,DY265)),DY268*IF(DY266&lt;INDEX('Lease Cycles'!$DK$23:$DQ$23,1,DY265),0,IF(DY266=INDEX('Lease Cycles'!$DK$23:$DQ$23,1,DY265),1-INDEX('Lease Cycles'!$DR$23:$DX$23,1,DY265),1))),0)</f>
        <v>0</v>
      </c>
      <c r="DZ271" s="28">
        <f>IF(DZ267=1,IF(INDEX('Lease Cycles'!$EF$23:$EL$23,1,DZ265)=1,DZ268*INDEX('Lease Cycles'!$EM$23:$ES$23,1,DZ265)+DZ269*IF(DZ266&lt;INDEX('Lease Cycles'!$FA$23:$FG$23,1,DZ265),0,1-INDEX('Lease Cycles'!$EM$23:$ES$23,1,DZ265)),DZ268*IF(DZ266&lt;INDEX('Lease Cycles'!$DK$23:$DQ$23,1,DZ265),0,IF(DZ266=INDEX('Lease Cycles'!$DK$23:$DQ$23,1,DZ265),1-INDEX('Lease Cycles'!$DR$23:$DX$23,1,DZ265),1))),0)</f>
        <v>0</v>
      </c>
      <c r="EA271" s="28">
        <f>IF(EA267=1,IF(INDEX('Lease Cycles'!$EF$23:$EL$23,1,EA265)=1,EA268*INDEX('Lease Cycles'!$EM$23:$ES$23,1,EA265)+EA269*IF(EA266&lt;INDEX('Lease Cycles'!$FA$23:$FG$23,1,EA265),0,1-INDEX('Lease Cycles'!$EM$23:$ES$23,1,EA265)),EA268*IF(EA266&lt;INDEX('Lease Cycles'!$DK$23:$DQ$23,1,EA265),0,IF(EA266=INDEX('Lease Cycles'!$DK$23:$DQ$23,1,EA265),1-INDEX('Lease Cycles'!$DR$23:$DX$23,1,EA265),1))),0)</f>
        <v>0</v>
      </c>
      <c r="EB271" s="28">
        <f>IF(EB267=1,IF(INDEX('Lease Cycles'!$EF$23:$EL$23,1,EB265)=1,EB268*INDEX('Lease Cycles'!$EM$23:$ES$23,1,EB265)+EB269*IF(EB266&lt;INDEX('Lease Cycles'!$FA$23:$FG$23,1,EB265),0,1-INDEX('Lease Cycles'!$EM$23:$ES$23,1,EB265)),EB268*IF(EB266&lt;INDEX('Lease Cycles'!$DK$23:$DQ$23,1,EB265),0,IF(EB266=INDEX('Lease Cycles'!$DK$23:$DQ$23,1,EB265),1-INDEX('Lease Cycles'!$DR$23:$DX$23,1,EB265),1))),0)</f>
        <v>0</v>
      </c>
      <c r="EC271" s="28">
        <f>IF(EC267=1,IF(INDEX('Lease Cycles'!$EF$23:$EL$23,1,EC265)=1,EC268*INDEX('Lease Cycles'!$EM$23:$ES$23,1,EC265)+EC269*IF(EC266&lt;INDEX('Lease Cycles'!$FA$23:$FG$23,1,EC265),0,1-INDEX('Lease Cycles'!$EM$23:$ES$23,1,EC265)),EC268*IF(EC266&lt;INDEX('Lease Cycles'!$DK$23:$DQ$23,1,EC265),0,IF(EC266=INDEX('Lease Cycles'!$DK$23:$DQ$23,1,EC265),1-INDEX('Lease Cycles'!$DR$23:$DX$23,1,EC265),1))),0)</f>
        <v>0</v>
      </c>
      <c r="ED271" s="28">
        <f>IF(ED267=1,IF(INDEX('Lease Cycles'!$EF$23:$EL$23,1,ED265)=1,ED268*INDEX('Lease Cycles'!$EM$23:$ES$23,1,ED265)+ED269*IF(ED266&lt;INDEX('Lease Cycles'!$FA$23:$FG$23,1,ED265),0,1-INDEX('Lease Cycles'!$EM$23:$ES$23,1,ED265)),ED268*IF(ED266&lt;INDEX('Lease Cycles'!$DK$23:$DQ$23,1,ED265),0,IF(ED266=INDEX('Lease Cycles'!$DK$23:$DQ$23,1,ED265),1-INDEX('Lease Cycles'!$DR$23:$DX$23,1,ED265),1))),0)</f>
        <v>0</v>
      </c>
      <c r="EE271" s="28">
        <f>IF(EE267=1,IF(INDEX('Lease Cycles'!$EF$23:$EL$23,1,EE265)=1,EE268*INDEX('Lease Cycles'!$EM$23:$ES$23,1,EE265)+EE269*IF(EE266&lt;INDEX('Lease Cycles'!$FA$23:$FG$23,1,EE265),0,1-INDEX('Lease Cycles'!$EM$23:$ES$23,1,EE265)),EE268*IF(EE266&lt;INDEX('Lease Cycles'!$DK$23:$DQ$23,1,EE265),0,IF(EE266=INDEX('Lease Cycles'!$DK$23:$DQ$23,1,EE265),1-INDEX('Lease Cycles'!$DR$23:$DX$23,1,EE265),1))),0)</f>
        <v>0</v>
      </c>
      <c r="EF271" s="28">
        <f>IF(EF267=1,IF(INDEX('Lease Cycles'!$EF$23:$EL$23,1,EF265)=1,EF268*INDEX('Lease Cycles'!$EM$23:$ES$23,1,EF265)+EF269*IF(EF266&lt;INDEX('Lease Cycles'!$FA$23:$FG$23,1,EF265),0,1-INDEX('Lease Cycles'!$EM$23:$ES$23,1,EF265)),EF268*IF(EF266&lt;INDEX('Lease Cycles'!$DK$23:$DQ$23,1,EF265),0,IF(EF266=INDEX('Lease Cycles'!$DK$23:$DQ$23,1,EF265),1-INDEX('Lease Cycles'!$DR$23:$DX$23,1,EF265),1))),0)</f>
        <v>0</v>
      </c>
      <c r="EG271" s="28">
        <f>IF(EG267=1,IF(INDEX('Lease Cycles'!$EF$23:$EL$23,1,EG265)=1,EG268*INDEX('Lease Cycles'!$EM$23:$ES$23,1,EG265)+EG269*IF(EG266&lt;INDEX('Lease Cycles'!$FA$23:$FG$23,1,EG265),0,1-INDEX('Lease Cycles'!$EM$23:$ES$23,1,EG265)),EG268*IF(EG266&lt;INDEX('Lease Cycles'!$DK$23:$DQ$23,1,EG265),0,IF(EG266=INDEX('Lease Cycles'!$DK$23:$DQ$23,1,EG265),1-INDEX('Lease Cycles'!$DR$23:$DX$23,1,EG265),1))),0)</f>
        <v>0</v>
      </c>
      <c r="EH271" s="28">
        <f>IF(EH267=1,IF(INDEX('Lease Cycles'!$EF$23:$EL$23,1,EH265)=1,EH268*INDEX('Lease Cycles'!$EM$23:$ES$23,1,EH265)+EH269*IF(EH266&lt;INDEX('Lease Cycles'!$FA$23:$FG$23,1,EH265),0,1-INDEX('Lease Cycles'!$EM$23:$ES$23,1,EH265)),EH268*IF(EH266&lt;INDEX('Lease Cycles'!$DK$23:$DQ$23,1,EH265),0,IF(EH266=INDEX('Lease Cycles'!$DK$23:$DQ$23,1,EH265),1-INDEX('Lease Cycles'!$DR$23:$DX$23,1,EH265),1))),0)</f>
        <v>0</v>
      </c>
      <c r="EI271" s="28">
        <f>IF(EI267=1,IF(INDEX('Lease Cycles'!$EF$23:$EL$23,1,EI265)=1,EI268*INDEX('Lease Cycles'!$EM$23:$ES$23,1,EI265)+EI269*IF(EI266&lt;INDEX('Lease Cycles'!$FA$23:$FG$23,1,EI265),0,1-INDEX('Lease Cycles'!$EM$23:$ES$23,1,EI265)),EI268*IF(EI266&lt;INDEX('Lease Cycles'!$DK$23:$DQ$23,1,EI265),0,IF(EI266=INDEX('Lease Cycles'!$DK$23:$DQ$23,1,EI265),1-INDEX('Lease Cycles'!$DR$23:$DX$23,1,EI265),1))),0)</f>
        <v>0</v>
      </c>
      <c r="EJ271" s="28">
        <f>IF(EJ267=1,IF(INDEX('Lease Cycles'!$EF$23:$EL$23,1,EJ265)=1,EJ268*INDEX('Lease Cycles'!$EM$23:$ES$23,1,EJ265)+EJ269*IF(EJ266&lt;INDEX('Lease Cycles'!$FA$23:$FG$23,1,EJ265),0,1-INDEX('Lease Cycles'!$EM$23:$ES$23,1,EJ265)),EJ268*IF(EJ266&lt;INDEX('Lease Cycles'!$DK$23:$DQ$23,1,EJ265),0,IF(EJ266=INDEX('Lease Cycles'!$DK$23:$DQ$23,1,EJ265),1-INDEX('Lease Cycles'!$DR$23:$DX$23,1,EJ265),1))),0)</f>
        <v>0</v>
      </c>
      <c r="EK271" s="28">
        <f>IF(EK267=1,IF(INDEX('Lease Cycles'!$EF$23:$EL$23,1,EK265)=1,EK268*INDEX('Lease Cycles'!$EM$23:$ES$23,1,EK265)+EK269*IF(EK266&lt;INDEX('Lease Cycles'!$FA$23:$FG$23,1,EK265),0,1-INDEX('Lease Cycles'!$EM$23:$ES$23,1,EK265)),EK268*IF(EK266&lt;INDEX('Lease Cycles'!$DK$23:$DQ$23,1,EK265),0,IF(EK266=INDEX('Lease Cycles'!$DK$23:$DQ$23,1,EK265),1-INDEX('Lease Cycles'!$DR$23:$DX$23,1,EK265),1))),0)</f>
        <v>0</v>
      </c>
      <c r="EL271" s="28">
        <f>IF(EL267=1,IF(INDEX('Lease Cycles'!$EF$23:$EL$23,1,EL265)=1,EL268*INDEX('Lease Cycles'!$EM$23:$ES$23,1,EL265)+EL269*IF(EL266&lt;INDEX('Lease Cycles'!$FA$23:$FG$23,1,EL265),0,1-INDEX('Lease Cycles'!$EM$23:$ES$23,1,EL265)),EL268*IF(EL266&lt;INDEX('Lease Cycles'!$DK$23:$DQ$23,1,EL265),0,IF(EL266=INDEX('Lease Cycles'!$DK$23:$DQ$23,1,EL265),1-INDEX('Lease Cycles'!$DR$23:$DX$23,1,EL265),1))),0)</f>
        <v>0</v>
      </c>
      <c r="EM271" s="28">
        <f>IF(EM267=1,IF(INDEX('Lease Cycles'!$EF$23:$EL$23,1,EM265)=1,EM268*INDEX('Lease Cycles'!$EM$23:$ES$23,1,EM265)+EM269*IF(EM266&lt;INDEX('Lease Cycles'!$FA$23:$FG$23,1,EM265),0,1-INDEX('Lease Cycles'!$EM$23:$ES$23,1,EM265)),EM268*IF(EM266&lt;INDEX('Lease Cycles'!$DK$23:$DQ$23,1,EM265),0,IF(EM266=INDEX('Lease Cycles'!$DK$23:$DQ$23,1,EM265),1-INDEX('Lease Cycles'!$DR$23:$DX$23,1,EM265),1))),0)</f>
        <v>0</v>
      </c>
      <c r="EN271" s="28">
        <f>IF(EN267=1,IF(INDEX('Lease Cycles'!$EF$23:$EL$23,1,EN265)=1,EN268*INDEX('Lease Cycles'!$EM$23:$ES$23,1,EN265)+EN269*IF(EN266&lt;INDEX('Lease Cycles'!$FA$23:$FG$23,1,EN265),0,1-INDEX('Lease Cycles'!$EM$23:$ES$23,1,EN265)),EN268*IF(EN266&lt;INDEX('Lease Cycles'!$DK$23:$DQ$23,1,EN265),0,IF(EN266=INDEX('Lease Cycles'!$DK$23:$DQ$23,1,EN265),1-INDEX('Lease Cycles'!$DR$23:$DX$23,1,EN265),1))),0)</f>
        <v>0</v>
      </c>
      <c r="EO271" s="28">
        <f>IF(EO267=1,IF(INDEX('Lease Cycles'!$EF$23:$EL$23,1,EO265)=1,EO268*INDEX('Lease Cycles'!$EM$23:$ES$23,1,EO265)+EO269*IF(EO266&lt;INDEX('Lease Cycles'!$FA$23:$FG$23,1,EO265),0,1-INDEX('Lease Cycles'!$EM$23:$ES$23,1,EO265)),EO268*IF(EO266&lt;INDEX('Lease Cycles'!$DK$23:$DQ$23,1,EO265),0,IF(EO266=INDEX('Lease Cycles'!$DK$23:$DQ$23,1,EO265),1-INDEX('Lease Cycles'!$DR$23:$DX$23,1,EO265),1))),0)</f>
        <v>0</v>
      </c>
      <c r="EP271" s="28">
        <f>IF(EP267=1,IF(INDEX('Lease Cycles'!$EF$23:$EL$23,1,EP265)=1,EP268*INDEX('Lease Cycles'!$EM$23:$ES$23,1,EP265)+EP269*IF(EP266&lt;INDEX('Lease Cycles'!$FA$23:$FG$23,1,EP265),0,1-INDEX('Lease Cycles'!$EM$23:$ES$23,1,EP265)),EP268*IF(EP266&lt;INDEX('Lease Cycles'!$DK$23:$DQ$23,1,EP265),0,IF(EP266=INDEX('Lease Cycles'!$DK$23:$DQ$23,1,EP265),1-INDEX('Lease Cycles'!$DR$23:$DX$23,1,EP265),1))),0)</f>
        <v>0</v>
      </c>
      <c r="EQ271" s="28">
        <f>IF(EQ267=1,IF(INDEX('Lease Cycles'!$EF$23:$EL$23,1,EQ265)=1,EQ268*INDEX('Lease Cycles'!$EM$23:$ES$23,1,EQ265)+EQ269*IF(EQ266&lt;INDEX('Lease Cycles'!$FA$23:$FG$23,1,EQ265),0,1-INDEX('Lease Cycles'!$EM$23:$ES$23,1,EQ265)),EQ268*IF(EQ266&lt;INDEX('Lease Cycles'!$DK$23:$DQ$23,1,EQ265),0,IF(EQ266=INDEX('Lease Cycles'!$DK$23:$DQ$23,1,EQ265),1-INDEX('Lease Cycles'!$DR$23:$DX$23,1,EQ265),1))),0)</f>
        <v>0</v>
      </c>
      <c r="ER271" s="28">
        <f>IF(ER267=1,IF(INDEX('Lease Cycles'!$EF$23:$EL$23,1,ER265)=1,ER268*INDEX('Lease Cycles'!$EM$23:$ES$23,1,ER265)+ER269*IF(ER266&lt;INDEX('Lease Cycles'!$FA$23:$FG$23,1,ER265),0,1-INDEX('Lease Cycles'!$EM$23:$ES$23,1,ER265)),ER268*IF(ER266&lt;INDEX('Lease Cycles'!$DK$23:$DQ$23,1,ER265),0,IF(ER266=INDEX('Lease Cycles'!$DK$23:$DQ$23,1,ER265),1-INDEX('Lease Cycles'!$DR$23:$DX$23,1,ER265),1))),0)</f>
        <v>0</v>
      </c>
      <c r="ES271" s="28">
        <f>IF(ES267=1,IF(INDEX('Lease Cycles'!$EF$23:$EL$23,1,ES265)=1,ES268*INDEX('Lease Cycles'!$EM$23:$ES$23,1,ES265)+ES269*IF(ES266&lt;INDEX('Lease Cycles'!$FA$23:$FG$23,1,ES265),0,1-INDEX('Lease Cycles'!$EM$23:$ES$23,1,ES265)),ES268*IF(ES266&lt;INDEX('Lease Cycles'!$DK$23:$DQ$23,1,ES265),0,IF(ES266=INDEX('Lease Cycles'!$DK$23:$DQ$23,1,ES265),1-INDEX('Lease Cycles'!$DR$23:$DX$23,1,ES265),1))),0)</f>
        <v>0</v>
      </c>
      <c r="ET271" s="28">
        <f>IF(ET267=1,IF(INDEX('Lease Cycles'!$EF$23:$EL$23,1,ET265)=1,ET268*INDEX('Lease Cycles'!$EM$23:$ES$23,1,ET265)+ET269*IF(ET266&lt;INDEX('Lease Cycles'!$FA$23:$FG$23,1,ET265),0,1-INDEX('Lease Cycles'!$EM$23:$ES$23,1,ET265)),ET268*IF(ET266&lt;INDEX('Lease Cycles'!$DK$23:$DQ$23,1,ET265),0,IF(ET266=INDEX('Lease Cycles'!$DK$23:$DQ$23,1,ET265),1-INDEX('Lease Cycles'!$DR$23:$DX$23,1,ET265),1))),0)</f>
        <v>0</v>
      </c>
    </row>
    <row r="272">
      <c r="A272" s="103">
        <v>16</v>
      </c>
      <c r="B272" s="23" t="str">
        <f>IF('Lease Cycles'!$B$23="","(empty slot)",'Lease Cycles'!$B$23)</f>
        <v>(empty slot)</v>
      </c>
      <c r="C272" s="23" t="s">
        <v>493</v>
      </c>
      <c r="D272" s="104" t="s">
        <v>494</v>
      </c>
      <c r="E272" s="25">
        <f>'Lease Cycles'!$AL$23</f>
        <v>0</v>
      </c>
      <c r="G272" s="28">
        <f>SUM(S272:AD272)</f>
        <v>0</v>
      </c>
      <c r="H272" s="28">
        <f>SUM(AE272:AP272)</f>
        <v>0</v>
      </c>
      <c r="I272" s="28">
        <f>SUM(AQ272:BB272)</f>
        <v>0</v>
      </c>
      <c r="J272" s="28">
        <f>SUM(BC272:BN272)</f>
        <v>0</v>
      </c>
      <c r="K272" s="28">
        <f>SUM(BO272:BZ272)</f>
        <v>0</v>
      </c>
      <c r="L272" s="28">
        <f>SUM(CA272:CL272)</f>
        <v>0</v>
      </c>
      <c r="M272" s="28">
        <f>SUM(CM272:CX272)</f>
        <v>0</v>
      </c>
      <c r="N272" s="28">
        <f>SUM(CY272:DJ272)</f>
        <v>0</v>
      </c>
      <c r="O272" s="28">
        <f>SUM(DK272:DV272)</f>
        <v>0</v>
      </c>
      <c r="P272" s="28">
        <f>SUM(DW272:EH272)</f>
        <v>0</v>
      </c>
      <c r="Q272" s="28">
        <f>SUM(EI272:ET272)</f>
        <v>0</v>
      </c>
      <c r="S272" s="28">
        <f>IF(S267=1,IF(INDEX('Lease Cycles'!$EF$23:$EL$23,1,S265)=1,0,S268*(1-IF(S266&lt;INDEX('Lease Cycles'!$DK$23:$DQ$23,1,S265),0,IF(S266=INDEX('Lease Cycles'!$DK$23:$DQ$23,1,S265),1-INDEX('Lease Cycles'!$DR$23:$DX$23,1,S265),1))-IF(S266=0,INDEX('Lease Cycles'!$DD$23:$DJ$23,1,S265),0))),0)</f>
        <v>0</v>
      </c>
      <c r="T272" s="28">
        <f>IF(T267=1,IF(INDEX('Lease Cycles'!$EF$23:$EL$23,1,T265)=1,0,T268*(1-IF(T266&lt;INDEX('Lease Cycles'!$DK$23:$DQ$23,1,T265),0,IF(T266=INDEX('Lease Cycles'!$DK$23:$DQ$23,1,T265),1-INDEX('Lease Cycles'!$DR$23:$DX$23,1,T265),1))-IF(T266=0,INDEX('Lease Cycles'!$DD$23:$DJ$23,1,T265),0))),0)</f>
        <v>0</v>
      </c>
      <c r="U272" s="28">
        <f>IF(U267=1,IF(INDEX('Lease Cycles'!$EF$23:$EL$23,1,U265)=1,0,U268*(1-IF(U266&lt;INDEX('Lease Cycles'!$DK$23:$DQ$23,1,U265),0,IF(U266=INDEX('Lease Cycles'!$DK$23:$DQ$23,1,U265),1-INDEX('Lease Cycles'!$DR$23:$DX$23,1,U265),1))-IF(U266=0,INDEX('Lease Cycles'!$DD$23:$DJ$23,1,U265),0))),0)</f>
        <v>0</v>
      </c>
      <c r="V272" s="28">
        <f>IF(V267=1,IF(INDEX('Lease Cycles'!$EF$23:$EL$23,1,V265)=1,0,V268*(1-IF(V266&lt;INDEX('Lease Cycles'!$DK$23:$DQ$23,1,V265),0,IF(V266=INDEX('Lease Cycles'!$DK$23:$DQ$23,1,V265),1-INDEX('Lease Cycles'!$DR$23:$DX$23,1,V265),1))-IF(V266=0,INDEX('Lease Cycles'!$DD$23:$DJ$23,1,V265),0))),0)</f>
        <v>0</v>
      </c>
      <c r="W272" s="28">
        <f>IF(W267=1,IF(INDEX('Lease Cycles'!$EF$23:$EL$23,1,W265)=1,0,W268*(1-IF(W266&lt;INDEX('Lease Cycles'!$DK$23:$DQ$23,1,W265),0,IF(W266=INDEX('Lease Cycles'!$DK$23:$DQ$23,1,W265),1-INDEX('Lease Cycles'!$DR$23:$DX$23,1,W265),1))-IF(W266=0,INDEX('Lease Cycles'!$DD$23:$DJ$23,1,W265),0))),0)</f>
        <v>0</v>
      </c>
      <c r="X272" s="28">
        <f>IF(X267=1,IF(INDEX('Lease Cycles'!$EF$23:$EL$23,1,X265)=1,0,X268*(1-IF(X266&lt;INDEX('Lease Cycles'!$DK$23:$DQ$23,1,X265),0,IF(X266=INDEX('Lease Cycles'!$DK$23:$DQ$23,1,X265),1-INDEX('Lease Cycles'!$DR$23:$DX$23,1,X265),1))-IF(X266=0,INDEX('Lease Cycles'!$DD$23:$DJ$23,1,X265),0))),0)</f>
        <v>0</v>
      </c>
      <c r="Y272" s="28">
        <f>IF(Y267=1,IF(INDEX('Lease Cycles'!$EF$23:$EL$23,1,Y265)=1,0,Y268*(1-IF(Y266&lt;INDEX('Lease Cycles'!$DK$23:$DQ$23,1,Y265),0,IF(Y266=INDEX('Lease Cycles'!$DK$23:$DQ$23,1,Y265),1-INDEX('Lease Cycles'!$DR$23:$DX$23,1,Y265),1))-IF(Y266=0,INDEX('Lease Cycles'!$DD$23:$DJ$23,1,Y265),0))),0)</f>
        <v>0</v>
      </c>
      <c r="Z272" s="28">
        <f>IF(Z267=1,IF(INDEX('Lease Cycles'!$EF$23:$EL$23,1,Z265)=1,0,Z268*(1-IF(Z266&lt;INDEX('Lease Cycles'!$DK$23:$DQ$23,1,Z265),0,IF(Z266=INDEX('Lease Cycles'!$DK$23:$DQ$23,1,Z265),1-INDEX('Lease Cycles'!$DR$23:$DX$23,1,Z265),1))-IF(Z266=0,INDEX('Lease Cycles'!$DD$23:$DJ$23,1,Z265),0))),0)</f>
        <v>0</v>
      </c>
      <c r="AA272" s="28">
        <f>IF(AA267=1,IF(INDEX('Lease Cycles'!$EF$23:$EL$23,1,AA265)=1,0,AA268*(1-IF(AA266&lt;INDEX('Lease Cycles'!$DK$23:$DQ$23,1,AA265),0,IF(AA266=INDEX('Lease Cycles'!$DK$23:$DQ$23,1,AA265),1-INDEX('Lease Cycles'!$DR$23:$DX$23,1,AA265),1))-IF(AA266=0,INDEX('Lease Cycles'!$DD$23:$DJ$23,1,AA265),0))),0)</f>
        <v>0</v>
      </c>
      <c r="AB272" s="28">
        <f>IF(AB267=1,IF(INDEX('Lease Cycles'!$EF$23:$EL$23,1,AB265)=1,0,AB268*(1-IF(AB266&lt;INDEX('Lease Cycles'!$DK$23:$DQ$23,1,AB265),0,IF(AB266=INDEX('Lease Cycles'!$DK$23:$DQ$23,1,AB265),1-INDEX('Lease Cycles'!$DR$23:$DX$23,1,AB265),1))-IF(AB266=0,INDEX('Lease Cycles'!$DD$23:$DJ$23,1,AB265),0))),0)</f>
        <v>0</v>
      </c>
      <c r="AC272" s="28">
        <f>IF(AC267=1,IF(INDEX('Lease Cycles'!$EF$23:$EL$23,1,AC265)=1,0,AC268*(1-IF(AC266&lt;INDEX('Lease Cycles'!$DK$23:$DQ$23,1,AC265),0,IF(AC266=INDEX('Lease Cycles'!$DK$23:$DQ$23,1,AC265),1-INDEX('Lease Cycles'!$DR$23:$DX$23,1,AC265),1))-IF(AC266=0,INDEX('Lease Cycles'!$DD$23:$DJ$23,1,AC265),0))),0)</f>
        <v>0</v>
      </c>
      <c r="AD272" s="28">
        <f>IF(AD267=1,IF(INDEX('Lease Cycles'!$EF$23:$EL$23,1,AD265)=1,0,AD268*(1-IF(AD266&lt;INDEX('Lease Cycles'!$DK$23:$DQ$23,1,AD265),0,IF(AD266=INDEX('Lease Cycles'!$DK$23:$DQ$23,1,AD265),1-INDEX('Lease Cycles'!$DR$23:$DX$23,1,AD265),1))-IF(AD266=0,INDEX('Lease Cycles'!$DD$23:$DJ$23,1,AD265),0))),0)</f>
        <v>0</v>
      </c>
      <c r="AE272" s="28">
        <f>IF(AE267=1,IF(INDEX('Lease Cycles'!$EF$23:$EL$23,1,AE265)=1,0,AE268*(1-IF(AE266&lt;INDEX('Lease Cycles'!$DK$23:$DQ$23,1,AE265),0,IF(AE266=INDEX('Lease Cycles'!$DK$23:$DQ$23,1,AE265),1-INDEX('Lease Cycles'!$DR$23:$DX$23,1,AE265),1))-IF(AE266=0,INDEX('Lease Cycles'!$DD$23:$DJ$23,1,AE265),0))),0)</f>
        <v>0</v>
      </c>
      <c r="AF272" s="28">
        <f>IF(AF267=1,IF(INDEX('Lease Cycles'!$EF$23:$EL$23,1,AF265)=1,0,AF268*(1-IF(AF266&lt;INDEX('Lease Cycles'!$DK$23:$DQ$23,1,AF265),0,IF(AF266=INDEX('Lease Cycles'!$DK$23:$DQ$23,1,AF265),1-INDEX('Lease Cycles'!$DR$23:$DX$23,1,AF265),1))-IF(AF266=0,INDEX('Lease Cycles'!$DD$23:$DJ$23,1,AF265),0))),0)</f>
        <v>0</v>
      </c>
      <c r="AG272" s="28">
        <f>IF(AG267=1,IF(INDEX('Lease Cycles'!$EF$23:$EL$23,1,AG265)=1,0,AG268*(1-IF(AG266&lt;INDEX('Lease Cycles'!$DK$23:$DQ$23,1,AG265),0,IF(AG266=INDEX('Lease Cycles'!$DK$23:$DQ$23,1,AG265),1-INDEX('Lease Cycles'!$DR$23:$DX$23,1,AG265),1))-IF(AG266=0,INDEX('Lease Cycles'!$DD$23:$DJ$23,1,AG265),0))),0)</f>
        <v>0</v>
      </c>
      <c r="AH272" s="28">
        <f>IF(AH267=1,IF(INDEX('Lease Cycles'!$EF$23:$EL$23,1,AH265)=1,0,AH268*(1-IF(AH266&lt;INDEX('Lease Cycles'!$DK$23:$DQ$23,1,AH265),0,IF(AH266=INDEX('Lease Cycles'!$DK$23:$DQ$23,1,AH265),1-INDEX('Lease Cycles'!$DR$23:$DX$23,1,AH265),1))-IF(AH266=0,INDEX('Lease Cycles'!$DD$23:$DJ$23,1,AH265),0))),0)</f>
        <v>0</v>
      </c>
      <c r="AI272" s="28">
        <f>IF(AI267=1,IF(INDEX('Lease Cycles'!$EF$23:$EL$23,1,AI265)=1,0,AI268*(1-IF(AI266&lt;INDEX('Lease Cycles'!$DK$23:$DQ$23,1,AI265),0,IF(AI266=INDEX('Lease Cycles'!$DK$23:$DQ$23,1,AI265),1-INDEX('Lease Cycles'!$DR$23:$DX$23,1,AI265),1))-IF(AI266=0,INDEX('Lease Cycles'!$DD$23:$DJ$23,1,AI265),0))),0)</f>
        <v>0</v>
      </c>
      <c r="AJ272" s="28">
        <f>IF(AJ267=1,IF(INDEX('Lease Cycles'!$EF$23:$EL$23,1,AJ265)=1,0,AJ268*(1-IF(AJ266&lt;INDEX('Lease Cycles'!$DK$23:$DQ$23,1,AJ265),0,IF(AJ266=INDEX('Lease Cycles'!$DK$23:$DQ$23,1,AJ265),1-INDEX('Lease Cycles'!$DR$23:$DX$23,1,AJ265),1))-IF(AJ266=0,INDEX('Lease Cycles'!$DD$23:$DJ$23,1,AJ265),0))),0)</f>
        <v>0</v>
      </c>
      <c r="AK272" s="28">
        <f>IF(AK267=1,IF(INDEX('Lease Cycles'!$EF$23:$EL$23,1,AK265)=1,0,AK268*(1-IF(AK266&lt;INDEX('Lease Cycles'!$DK$23:$DQ$23,1,AK265),0,IF(AK266=INDEX('Lease Cycles'!$DK$23:$DQ$23,1,AK265),1-INDEX('Lease Cycles'!$DR$23:$DX$23,1,AK265),1))-IF(AK266=0,INDEX('Lease Cycles'!$DD$23:$DJ$23,1,AK265),0))),0)</f>
        <v>0</v>
      </c>
      <c r="AL272" s="28">
        <f>IF(AL267=1,IF(INDEX('Lease Cycles'!$EF$23:$EL$23,1,AL265)=1,0,AL268*(1-IF(AL266&lt;INDEX('Lease Cycles'!$DK$23:$DQ$23,1,AL265),0,IF(AL266=INDEX('Lease Cycles'!$DK$23:$DQ$23,1,AL265),1-INDEX('Lease Cycles'!$DR$23:$DX$23,1,AL265),1))-IF(AL266=0,INDEX('Lease Cycles'!$DD$23:$DJ$23,1,AL265),0))),0)</f>
        <v>0</v>
      </c>
      <c r="AM272" s="28">
        <f>IF(AM267=1,IF(INDEX('Lease Cycles'!$EF$23:$EL$23,1,AM265)=1,0,AM268*(1-IF(AM266&lt;INDEX('Lease Cycles'!$DK$23:$DQ$23,1,AM265),0,IF(AM266=INDEX('Lease Cycles'!$DK$23:$DQ$23,1,AM265),1-INDEX('Lease Cycles'!$DR$23:$DX$23,1,AM265),1))-IF(AM266=0,INDEX('Lease Cycles'!$DD$23:$DJ$23,1,AM265),0))),0)</f>
        <v>0</v>
      </c>
      <c r="AN272" s="28">
        <f>IF(AN267=1,IF(INDEX('Lease Cycles'!$EF$23:$EL$23,1,AN265)=1,0,AN268*(1-IF(AN266&lt;INDEX('Lease Cycles'!$DK$23:$DQ$23,1,AN265),0,IF(AN266=INDEX('Lease Cycles'!$DK$23:$DQ$23,1,AN265),1-INDEX('Lease Cycles'!$DR$23:$DX$23,1,AN265),1))-IF(AN266=0,INDEX('Lease Cycles'!$DD$23:$DJ$23,1,AN265),0))),0)</f>
        <v>0</v>
      </c>
      <c r="AO272" s="28">
        <f>IF(AO267=1,IF(INDEX('Lease Cycles'!$EF$23:$EL$23,1,AO265)=1,0,AO268*(1-IF(AO266&lt;INDEX('Lease Cycles'!$DK$23:$DQ$23,1,AO265),0,IF(AO266=INDEX('Lease Cycles'!$DK$23:$DQ$23,1,AO265),1-INDEX('Lease Cycles'!$DR$23:$DX$23,1,AO265),1))-IF(AO266=0,INDEX('Lease Cycles'!$DD$23:$DJ$23,1,AO265),0))),0)</f>
        <v>0</v>
      </c>
      <c r="AP272" s="28">
        <f>IF(AP267=1,IF(INDEX('Lease Cycles'!$EF$23:$EL$23,1,AP265)=1,0,AP268*(1-IF(AP266&lt;INDEX('Lease Cycles'!$DK$23:$DQ$23,1,AP265),0,IF(AP266=INDEX('Lease Cycles'!$DK$23:$DQ$23,1,AP265),1-INDEX('Lease Cycles'!$DR$23:$DX$23,1,AP265),1))-IF(AP266=0,INDEX('Lease Cycles'!$DD$23:$DJ$23,1,AP265),0))),0)</f>
        <v>0</v>
      </c>
      <c r="AQ272" s="28">
        <f>IF(AQ267=1,IF(INDEX('Lease Cycles'!$EF$23:$EL$23,1,AQ265)=1,0,AQ268*(1-IF(AQ266&lt;INDEX('Lease Cycles'!$DK$23:$DQ$23,1,AQ265),0,IF(AQ266=INDEX('Lease Cycles'!$DK$23:$DQ$23,1,AQ265),1-INDEX('Lease Cycles'!$DR$23:$DX$23,1,AQ265),1))-IF(AQ266=0,INDEX('Lease Cycles'!$DD$23:$DJ$23,1,AQ265),0))),0)</f>
        <v>0</v>
      </c>
      <c r="AR272" s="28">
        <f>IF(AR267=1,IF(INDEX('Lease Cycles'!$EF$23:$EL$23,1,AR265)=1,0,AR268*(1-IF(AR266&lt;INDEX('Lease Cycles'!$DK$23:$DQ$23,1,AR265),0,IF(AR266=INDEX('Lease Cycles'!$DK$23:$DQ$23,1,AR265),1-INDEX('Lease Cycles'!$DR$23:$DX$23,1,AR265),1))-IF(AR266=0,INDEX('Lease Cycles'!$DD$23:$DJ$23,1,AR265),0))),0)</f>
        <v>0</v>
      </c>
      <c r="AS272" s="28">
        <f>IF(AS267=1,IF(INDEX('Lease Cycles'!$EF$23:$EL$23,1,AS265)=1,0,AS268*(1-IF(AS266&lt;INDEX('Lease Cycles'!$DK$23:$DQ$23,1,AS265),0,IF(AS266=INDEX('Lease Cycles'!$DK$23:$DQ$23,1,AS265),1-INDEX('Lease Cycles'!$DR$23:$DX$23,1,AS265),1))-IF(AS266=0,INDEX('Lease Cycles'!$DD$23:$DJ$23,1,AS265),0))),0)</f>
        <v>0</v>
      </c>
      <c r="AT272" s="28">
        <f>IF(AT267=1,IF(INDEX('Lease Cycles'!$EF$23:$EL$23,1,AT265)=1,0,AT268*(1-IF(AT266&lt;INDEX('Lease Cycles'!$DK$23:$DQ$23,1,AT265),0,IF(AT266=INDEX('Lease Cycles'!$DK$23:$DQ$23,1,AT265),1-INDEX('Lease Cycles'!$DR$23:$DX$23,1,AT265),1))-IF(AT266=0,INDEX('Lease Cycles'!$DD$23:$DJ$23,1,AT265),0))),0)</f>
        <v>0</v>
      </c>
      <c r="AU272" s="28">
        <f>IF(AU267=1,IF(INDEX('Lease Cycles'!$EF$23:$EL$23,1,AU265)=1,0,AU268*(1-IF(AU266&lt;INDEX('Lease Cycles'!$DK$23:$DQ$23,1,AU265),0,IF(AU266=INDEX('Lease Cycles'!$DK$23:$DQ$23,1,AU265),1-INDEX('Lease Cycles'!$DR$23:$DX$23,1,AU265),1))-IF(AU266=0,INDEX('Lease Cycles'!$DD$23:$DJ$23,1,AU265),0))),0)</f>
        <v>0</v>
      </c>
      <c r="AV272" s="28">
        <f>IF(AV267=1,IF(INDEX('Lease Cycles'!$EF$23:$EL$23,1,AV265)=1,0,AV268*(1-IF(AV266&lt;INDEX('Lease Cycles'!$DK$23:$DQ$23,1,AV265),0,IF(AV266=INDEX('Lease Cycles'!$DK$23:$DQ$23,1,AV265),1-INDEX('Lease Cycles'!$DR$23:$DX$23,1,AV265),1))-IF(AV266=0,INDEX('Lease Cycles'!$DD$23:$DJ$23,1,AV265),0))),0)</f>
        <v>0</v>
      </c>
      <c r="AW272" s="28">
        <f>IF(AW267=1,IF(INDEX('Lease Cycles'!$EF$23:$EL$23,1,AW265)=1,0,AW268*(1-IF(AW266&lt;INDEX('Lease Cycles'!$DK$23:$DQ$23,1,AW265),0,IF(AW266=INDEX('Lease Cycles'!$DK$23:$DQ$23,1,AW265),1-INDEX('Lease Cycles'!$DR$23:$DX$23,1,AW265),1))-IF(AW266=0,INDEX('Lease Cycles'!$DD$23:$DJ$23,1,AW265),0))),0)</f>
        <v>0</v>
      </c>
      <c r="AX272" s="28">
        <f>IF(AX267=1,IF(INDEX('Lease Cycles'!$EF$23:$EL$23,1,AX265)=1,0,AX268*(1-IF(AX266&lt;INDEX('Lease Cycles'!$DK$23:$DQ$23,1,AX265),0,IF(AX266=INDEX('Lease Cycles'!$DK$23:$DQ$23,1,AX265),1-INDEX('Lease Cycles'!$DR$23:$DX$23,1,AX265),1))-IF(AX266=0,INDEX('Lease Cycles'!$DD$23:$DJ$23,1,AX265),0))),0)</f>
        <v>0</v>
      </c>
      <c r="AY272" s="28">
        <f>IF(AY267=1,IF(INDEX('Lease Cycles'!$EF$23:$EL$23,1,AY265)=1,0,AY268*(1-IF(AY266&lt;INDEX('Lease Cycles'!$DK$23:$DQ$23,1,AY265),0,IF(AY266=INDEX('Lease Cycles'!$DK$23:$DQ$23,1,AY265),1-INDEX('Lease Cycles'!$DR$23:$DX$23,1,AY265),1))-IF(AY266=0,INDEX('Lease Cycles'!$DD$23:$DJ$23,1,AY265),0))),0)</f>
        <v>0</v>
      </c>
      <c r="AZ272" s="28">
        <f>IF(AZ267=1,IF(INDEX('Lease Cycles'!$EF$23:$EL$23,1,AZ265)=1,0,AZ268*(1-IF(AZ266&lt;INDEX('Lease Cycles'!$DK$23:$DQ$23,1,AZ265),0,IF(AZ266=INDEX('Lease Cycles'!$DK$23:$DQ$23,1,AZ265),1-INDEX('Lease Cycles'!$DR$23:$DX$23,1,AZ265),1))-IF(AZ266=0,INDEX('Lease Cycles'!$DD$23:$DJ$23,1,AZ265),0))),0)</f>
        <v>0</v>
      </c>
      <c r="BA272" s="28">
        <f>IF(BA267=1,IF(INDEX('Lease Cycles'!$EF$23:$EL$23,1,BA265)=1,0,BA268*(1-IF(BA266&lt;INDEX('Lease Cycles'!$DK$23:$DQ$23,1,BA265),0,IF(BA266=INDEX('Lease Cycles'!$DK$23:$DQ$23,1,BA265),1-INDEX('Lease Cycles'!$DR$23:$DX$23,1,BA265),1))-IF(BA266=0,INDEX('Lease Cycles'!$DD$23:$DJ$23,1,BA265),0))),0)</f>
        <v>0</v>
      </c>
      <c r="BB272" s="28">
        <f>IF(BB267=1,IF(INDEX('Lease Cycles'!$EF$23:$EL$23,1,BB265)=1,0,BB268*(1-IF(BB266&lt;INDEX('Lease Cycles'!$DK$23:$DQ$23,1,BB265),0,IF(BB266=INDEX('Lease Cycles'!$DK$23:$DQ$23,1,BB265),1-INDEX('Lease Cycles'!$DR$23:$DX$23,1,BB265),1))-IF(BB266=0,INDEX('Lease Cycles'!$DD$23:$DJ$23,1,BB265),0))),0)</f>
        <v>0</v>
      </c>
      <c r="BC272" s="28">
        <f>IF(BC267=1,IF(INDEX('Lease Cycles'!$EF$23:$EL$23,1,BC265)=1,0,BC268*(1-IF(BC266&lt;INDEX('Lease Cycles'!$DK$23:$DQ$23,1,BC265),0,IF(BC266=INDEX('Lease Cycles'!$DK$23:$DQ$23,1,BC265),1-INDEX('Lease Cycles'!$DR$23:$DX$23,1,BC265),1))-IF(BC266=0,INDEX('Lease Cycles'!$DD$23:$DJ$23,1,BC265),0))),0)</f>
        <v>0</v>
      </c>
      <c r="BD272" s="28">
        <f>IF(BD267=1,IF(INDEX('Lease Cycles'!$EF$23:$EL$23,1,BD265)=1,0,BD268*(1-IF(BD266&lt;INDEX('Lease Cycles'!$DK$23:$DQ$23,1,BD265),0,IF(BD266=INDEX('Lease Cycles'!$DK$23:$DQ$23,1,BD265),1-INDEX('Lease Cycles'!$DR$23:$DX$23,1,BD265),1))-IF(BD266=0,INDEX('Lease Cycles'!$DD$23:$DJ$23,1,BD265),0))),0)</f>
        <v>0</v>
      </c>
      <c r="BE272" s="28">
        <f>IF(BE267=1,IF(INDEX('Lease Cycles'!$EF$23:$EL$23,1,BE265)=1,0,BE268*(1-IF(BE266&lt;INDEX('Lease Cycles'!$DK$23:$DQ$23,1,BE265),0,IF(BE266=INDEX('Lease Cycles'!$DK$23:$DQ$23,1,BE265),1-INDEX('Lease Cycles'!$DR$23:$DX$23,1,BE265),1))-IF(BE266=0,INDEX('Lease Cycles'!$DD$23:$DJ$23,1,BE265),0))),0)</f>
        <v>0</v>
      </c>
      <c r="BF272" s="28">
        <f>IF(BF267=1,IF(INDEX('Lease Cycles'!$EF$23:$EL$23,1,BF265)=1,0,BF268*(1-IF(BF266&lt;INDEX('Lease Cycles'!$DK$23:$DQ$23,1,BF265),0,IF(BF266=INDEX('Lease Cycles'!$DK$23:$DQ$23,1,BF265),1-INDEX('Lease Cycles'!$DR$23:$DX$23,1,BF265),1))-IF(BF266=0,INDEX('Lease Cycles'!$DD$23:$DJ$23,1,BF265),0))),0)</f>
        <v>0</v>
      </c>
      <c r="BG272" s="28">
        <f>IF(BG267=1,IF(INDEX('Lease Cycles'!$EF$23:$EL$23,1,BG265)=1,0,BG268*(1-IF(BG266&lt;INDEX('Lease Cycles'!$DK$23:$DQ$23,1,BG265),0,IF(BG266=INDEX('Lease Cycles'!$DK$23:$DQ$23,1,BG265),1-INDEX('Lease Cycles'!$DR$23:$DX$23,1,BG265),1))-IF(BG266=0,INDEX('Lease Cycles'!$DD$23:$DJ$23,1,BG265),0))),0)</f>
        <v>0</v>
      </c>
      <c r="BH272" s="28">
        <f>IF(BH267=1,IF(INDEX('Lease Cycles'!$EF$23:$EL$23,1,BH265)=1,0,BH268*(1-IF(BH266&lt;INDEX('Lease Cycles'!$DK$23:$DQ$23,1,BH265),0,IF(BH266=INDEX('Lease Cycles'!$DK$23:$DQ$23,1,BH265),1-INDEX('Lease Cycles'!$DR$23:$DX$23,1,BH265),1))-IF(BH266=0,INDEX('Lease Cycles'!$DD$23:$DJ$23,1,BH265),0))),0)</f>
        <v>0</v>
      </c>
      <c r="BI272" s="28">
        <f>IF(BI267=1,IF(INDEX('Lease Cycles'!$EF$23:$EL$23,1,BI265)=1,0,BI268*(1-IF(BI266&lt;INDEX('Lease Cycles'!$DK$23:$DQ$23,1,BI265),0,IF(BI266=INDEX('Lease Cycles'!$DK$23:$DQ$23,1,BI265),1-INDEX('Lease Cycles'!$DR$23:$DX$23,1,BI265),1))-IF(BI266=0,INDEX('Lease Cycles'!$DD$23:$DJ$23,1,BI265),0))),0)</f>
        <v>0</v>
      </c>
      <c r="BJ272" s="28">
        <f>IF(BJ267=1,IF(INDEX('Lease Cycles'!$EF$23:$EL$23,1,BJ265)=1,0,BJ268*(1-IF(BJ266&lt;INDEX('Lease Cycles'!$DK$23:$DQ$23,1,BJ265),0,IF(BJ266=INDEX('Lease Cycles'!$DK$23:$DQ$23,1,BJ265),1-INDEX('Lease Cycles'!$DR$23:$DX$23,1,BJ265),1))-IF(BJ266=0,INDEX('Lease Cycles'!$DD$23:$DJ$23,1,BJ265),0))),0)</f>
        <v>0</v>
      </c>
      <c r="BK272" s="28">
        <f>IF(BK267=1,IF(INDEX('Lease Cycles'!$EF$23:$EL$23,1,BK265)=1,0,BK268*(1-IF(BK266&lt;INDEX('Lease Cycles'!$DK$23:$DQ$23,1,BK265),0,IF(BK266=INDEX('Lease Cycles'!$DK$23:$DQ$23,1,BK265),1-INDEX('Lease Cycles'!$DR$23:$DX$23,1,BK265),1))-IF(BK266=0,INDEX('Lease Cycles'!$DD$23:$DJ$23,1,BK265),0))),0)</f>
        <v>0</v>
      </c>
      <c r="BL272" s="28">
        <f>IF(BL267=1,IF(INDEX('Lease Cycles'!$EF$23:$EL$23,1,BL265)=1,0,BL268*(1-IF(BL266&lt;INDEX('Lease Cycles'!$DK$23:$DQ$23,1,BL265),0,IF(BL266=INDEX('Lease Cycles'!$DK$23:$DQ$23,1,BL265),1-INDEX('Lease Cycles'!$DR$23:$DX$23,1,BL265),1))-IF(BL266=0,INDEX('Lease Cycles'!$DD$23:$DJ$23,1,BL265),0))),0)</f>
        <v>0</v>
      </c>
      <c r="BM272" s="28">
        <f>IF(BM267=1,IF(INDEX('Lease Cycles'!$EF$23:$EL$23,1,BM265)=1,0,BM268*(1-IF(BM266&lt;INDEX('Lease Cycles'!$DK$23:$DQ$23,1,BM265),0,IF(BM266=INDEX('Lease Cycles'!$DK$23:$DQ$23,1,BM265),1-INDEX('Lease Cycles'!$DR$23:$DX$23,1,BM265),1))-IF(BM266=0,INDEX('Lease Cycles'!$DD$23:$DJ$23,1,BM265),0))),0)</f>
        <v>0</v>
      </c>
      <c r="BN272" s="28">
        <f>IF(BN267=1,IF(INDEX('Lease Cycles'!$EF$23:$EL$23,1,BN265)=1,0,BN268*(1-IF(BN266&lt;INDEX('Lease Cycles'!$DK$23:$DQ$23,1,BN265),0,IF(BN266=INDEX('Lease Cycles'!$DK$23:$DQ$23,1,BN265),1-INDEX('Lease Cycles'!$DR$23:$DX$23,1,BN265),1))-IF(BN266=0,INDEX('Lease Cycles'!$DD$23:$DJ$23,1,BN265),0))),0)</f>
        <v>0</v>
      </c>
      <c r="BO272" s="28">
        <f>IF(BO267=1,IF(INDEX('Lease Cycles'!$EF$23:$EL$23,1,BO265)=1,0,BO268*(1-IF(BO266&lt;INDEX('Lease Cycles'!$DK$23:$DQ$23,1,BO265),0,IF(BO266=INDEX('Lease Cycles'!$DK$23:$DQ$23,1,BO265),1-INDEX('Lease Cycles'!$DR$23:$DX$23,1,BO265),1))-IF(BO266=0,INDEX('Lease Cycles'!$DD$23:$DJ$23,1,BO265),0))),0)</f>
        <v>0</v>
      </c>
      <c r="BP272" s="28">
        <f>IF(BP267=1,IF(INDEX('Lease Cycles'!$EF$23:$EL$23,1,BP265)=1,0,BP268*(1-IF(BP266&lt;INDEX('Lease Cycles'!$DK$23:$DQ$23,1,BP265),0,IF(BP266=INDEX('Lease Cycles'!$DK$23:$DQ$23,1,BP265),1-INDEX('Lease Cycles'!$DR$23:$DX$23,1,BP265),1))-IF(BP266=0,INDEX('Lease Cycles'!$DD$23:$DJ$23,1,BP265),0))),0)</f>
        <v>0</v>
      </c>
      <c r="BQ272" s="28">
        <f>IF(BQ267=1,IF(INDEX('Lease Cycles'!$EF$23:$EL$23,1,BQ265)=1,0,BQ268*(1-IF(BQ266&lt;INDEX('Lease Cycles'!$DK$23:$DQ$23,1,BQ265),0,IF(BQ266=INDEX('Lease Cycles'!$DK$23:$DQ$23,1,BQ265),1-INDEX('Lease Cycles'!$DR$23:$DX$23,1,BQ265),1))-IF(BQ266=0,INDEX('Lease Cycles'!$DD$23:$DJ$23,1,BQ265),0))),0)</f>
        <v>0</v>
      </c>
      <c r="BR272" s="28">
        <f>IF(BR267=1,IF(INDEX('Lease Cycles'!$EF$23:$EL$23,1,BR265)=1,0,BR268*(1-IF(BR266&lt;INDEX('Lease Cycles'!$DK$23:$DQ$23,1,BR265),0,IF(BR266=INDEX('Lease Cycles'!$DK$23:$DQ$23,1,BR265),1-INDEX('Lease Cycles'!$DR$23:$DX$23,1,BR265),1))-IF(BR266=0,INDEX('Lease Cycles'!$DD$23:$DJ$23,1,BR265),0))),0)</f>
        <v>0</v>
      </c>
      <c r="BS272" s="28">
        <f>IF(BS267=1,IF(INDEX('Lease Cycles'!$EF$23:$EL$23,1,BS265)=1,0,BS268*(1-IF(BS266&lt;INDEX('Lease Cycles'!$DK$23:$DQ$23,1,BS265),0,IF(BS266=INDEX('Lease Cycles'!$DK$23:$DQ$23,1,BS265),1-INDEX('Lease Cycles'!$DR$23:$DX$23,1,BS265),1))-IF(BS266=0,INDEX('Lease Cycles'!$DD$23:$DJ$23,1,BS265),0))),0)</f>
        <v>0</v>
      </c>
      <c r="BT272" s="28">
        <f>IF(BT267=1,IF(INDEX('Lease Cycles'!$EF$23:$EL$23,1,BT265)=1,0,BT268*(1-IF(BT266&lt;INDEX('Lease Cycles'!$DK$23:$DQ$23,1,BT265),0,IF(BT266=INDEX('Lease Cycles'!$DK$23:$DQ$23,1,BT265),1-INDEX('Lease Cycles'!$DR$23:$DX$23,1,BT265),1))-IF(BT266=0,INDEX('Lease Cycles'!$DD$23:$DJ$23,1,BT265),0))),0)</f>
        <v>0</v>
      </c>
      <c r="BU272" s="28">
        <f>IF(BU267=1,IF(INDEX('Lease Cycles'!$EF$23:$EL$23,1,BU265)=1,0,BU268*(1-IF(BU266&lt;INDEX('Lease Cycles'!$DK$23:$DQ$23,1,BU265),0,IF(BU266=INDEX('Lease Cycles'!$DK$23:$DQ$23,1,BU265),1-INDEX('Lease Cycles'!$DR$23:$DX$23,1,BU265),1))-IF(BU266=0,INDEX('Lease Cycles'!$DD$23:$DJ$23,1,BU265),0))),0)</f>
        <v>0</v>
      </c>
      <c r="BV272" s="28">
        <f>IF(BV267=1,IF(INDEX('Lease Cycles'!$EF$23:$EL$23,1,BV265)=1,0,BV268*(1-IF(BV266&lt;INDEX('Lease Cycles'!$DK$23:$DQ$23,1,BV265),0,IF(BV266=INDEX('Lease Cycles'!$DK$23:$DQ$23,1,BV265),1-INDEX('Lease Cycles'!$DR$23:$DX$23,1,BV265),1))-IF(BV266=0,INDEX('Lease Cycles'!$DD$23:$DJ$23,1,BV265),0))),0)</f>
        <v>0</v>
      </c>
      <c r="BW272" s="28">
        <f>IF(BW267=1,IF(INDEX('Lease Cycles'!$EF$23:$EL$23,1,BW265)=1,0,BW268*(1-IF(BW266&lt;INDEX('Lease Cycles'!$DK$23:$DQ$23,1,BW265),0,IF(BW266=INDEX('Lease Cycles'!$DK$23:$DQ$23,1,BW265),1-INDEX('Lease Cycles'!$DR$23:$DX$23,1,BW265),1))-IF(BW266=0,INDEX('Lease Cycles'!$DD$23:$DJ$23,1,BW265),0))),0)</f>
        <v>0</v>
      </c>
      <c r="BX272" s="28">
        <f>IF(BX267=1,IF(INDEX('Lease Cycles'!$EF$23:$EL$23,1,BX265)=1,0,BX268*(1-IF(BX266&lt;INDEX('Lease Cycles'!$DK$23:$DQ$23,1,BX265),0,IF(BX266=INDEX('Lease Cycles'!$DK$23:$DQ$23,1,BX265),1-INDEX('Lease Cycles'!$DR$23:$DX$23,1,BX265),1))-IF(BX266=0,INDEX('Lease Cycles'!$DD$23:$DJ$23,1,BX265),0))),0)</f>
        <v>0</v>
      </c>
      <c r="BY272" s="28">
        <f>IF(BY267=1,IF(INDEX('Lease Cycles'!$EF$23:$EL$23,1,BY265)=1,0,BY268*(1-IF(BY266&lt;INDEX('Lease Cycles'!$DK$23:$DQ$23,1,BY265),0,IF(BY266=INDEX('Lease Cycles'!$DK$23:$DQ$23,1,BY265),1-INDEX('Lease Cycles'!$DR$23:$DX$23,1,BY265),1))-IF(BY266=0,INDEX('Lease Cycles'!$DD$23:$DJ$23,1,BY265),0))),0)</f>
        <v>0</v>
      </c>
      <c r="BZ272" s="28">
        <f>IF(BZ267=1,IF(INDEX('Lease Cycles'!$EF$23:$EL$23,1,BZ265)=1,0,BZ268*(1-IF(BZ266&lt;INDEX('Lease Cycles'!$DK$23:$DQ$23,1,BZ265),0,IF(BZ266=INDEX('Lease Cycles'!$DK$23:$DQ$23,1,BZ265),1-INDEX('Lease Cycles'!$DR$23:$DX$23,1,BZ265),1))-IF(BZ266=0,INDEX('Lease Cycles'!$DD$23:$DJ$23,1,BZ265),0))),0)</f>
        <v>0</v>
      </c>
      <c r="CA272" s="28">
        <f>IF(CA267=1,IF(INDEX('Lease Cycles'!$EF$23:$EL$23,1,CA265)=1,0,CA268*(1-IF(CA266&lt;INDEX('Lease Cycles'!$DK$23:$DQ$23,1,CA265),0,IF(CA266=INDEX('Lease Cycles'!$DK$23:$DQ$23,1,CA265),1-INDEX('Lease Cycles'!$DR$23:$DX$23,1,CA265),1))-IF(CA266=0,INDEX('Lease Cycles'!$DD$23:$DJ$23,1,CA265),0))),0)</f>
        <v>0</v>
      </c>
      <c r="CB272" s="28">
        <f>IF(CB267=1,IF(INDEX('Lease Cycles'!$EF$23:$EL$23,1,CB265)=1,0,CB268*(1-IF(CB266&lt;INDEX('Lease Cycles'!$DK$23:$DQ$23,1,CB265),0,IF(CB266=INDEX('Lease Cycles'!$DK$23:$DQ$23,1,CB265),1-INDEX('Lease Cycles'!$DR$23:$DX$23,1,CB265),1))-IF(CB266=0,INDEX('Lease Cycles'!$DD$23:$DJ$23,1,CB265),0))),0)</f>
        <v>0</v>
      </c>
      <c r="CC272" s="28">
        <f>IF(CC267=1,IF(INDEX('Lease Cycles'!$EF$23:$EL$23,1,CC265)=1,0,CC268*(1-IF(CC266&lt;INDEX('Lease Cycles'!$DK$23:$DQ$23,1,CC265),0,IF(CC266=INDEX('Lease Cycles'!$DK$23:$DQ$23,1,CC265),1-INDEX('Lease Cycles'!$DR$23:$DX$23,1,CC265),1))-IF(CC266=0,INDEX('Lease Cycles'!$DD$23:$DJ$23,1,CC265),0))),0)</f>
        <v>0</v>
      </c>
      <c r="CD272" s="28">
        <f>IF(CD267=1,IF(INDEX('Lease Cycles'!$EF$23:$EL$23,1,CD265)=1,0,CD268*(1-IF(CD266&lt;INDEX('Lease Cycles'!$DK$23:$DQ$23,1,CD265),0,IF(CD266=INDEX('Lease Cycles'!$DK$23:$DQ$23,1,CD265),1-INDEX('Lease Cycles'!$DR$23:$DX$23,1,CD265),1))-IF(CD266=0,INDEX('Lease Cycles'!$DD$23:$DJ$23,1,CD265),0))),0)</f>
        <v>0</v>
      </c>
      <c r="CE272" s="28">
        <f>IF(CE267=1,IF(INDEX('Lease Cycles'!$EF$23:$EL$23,1,CE265)=1,0,CE268*(1-IF(CE266&lt;INDEX('Lease Cycles'!$DK$23:$DQ$23,1,CE265),0,IF(CE266=INDEX('Lease Cycles'!$DK$23:$DQ$23,1,CE265),1-INDEX('Lease Cycles'!$DR$23:$DX$23,1,CE265),1))-IF(CE266=0,INDEX('Lease Cycles'!$DD$23:$DJ$23,1,CE265),0))),0)</f>
        <v>0</v>
      </c>
      <c r="CF272" s="28">
        <f>IF(CF267=1,IF(INDEX('Lease Cycles'!$EF$23:$EL$23,1,CF265)=1,0,CF268*(1-IF(CF266&lt;INDEX('Lease Cycles'!$DK$23:$DQ$23,1,CF265),0,IF(CF266=INDEX('Lease Cycles'!$DK$23:$DQ$23,1,CF265),1-INDEX('Lease Cycles'!$DR$23:$DX$23,1,CF265),1))-IF(CF266=0,INDEX('Lease Cycles'!$DD$23:$DJ$23,1,CF265),0))),0)</f>
        <v>0</v>
      </c>
      <c r="CG272" s="28">
        <f>IF(CG267=1,IF(INDEX('Lease Cycles'!$EF$23:$EL$23,1,CG265)=1,0,CG268*(1-IF(CG266&lt;INDEX('Lease Cycles'!$DK$23:$DQ$23,1,CG265),0,IF(CG266=INDEX('Lease Cycles'!$DK$23:$DQ$23,1,CG265),1-INDEX('Lease Cycles'!$DR$23:$DX$23,1,CG265),1))-IF(CG266=0,INDEX('Lease Cycles'!$DD$23:$DJ$23,1,CG265),0))),0)</f>
        <v>0</v>
      </c>
      <c r="CH272" s="28">
        <f>IF(CH267=1,IF(INDEX('Lease Cycles'!$EF$23:$EL$23,1,CH265)=1,0,CH268*(1-IF(CH266&lt;INDEX('Lease Cycles'!$DK$23:$DQ$23,1,CH265),0,IF(CH266=INDEX('Lease Cycles'!$DK$23:$DQ$23,1,CH265),1-INDEX('Lease Cycles'!$DR$23:$DX$23,1,CH265),1))-IF(CH266=0,INDEX('Lease Cycles'!$DD$23:$DJ$23,1,CH265),0))),0)</f>
        <v>0</v>
      </c>
      <c r="CI272" s="28">
        <f>IF(CI267=1,IF(INDEX('Lease Cycles'!$EF$23:$EL$23,1,CI265)=1,0,CI268*(1-IF(CI266&lt;INDEX('Lease Cycles'!$DK$23:$DQ$23,1,CI265),0,IF(CI266=INDEX('Lease Cycles'!$DK$23:$DQ$23,1,CI265),1-INDEX('Lease Cycles'!$DR$23:$DX$23,1,CI265),1))-IF(CI266=0,INDEX('Lease Cycles'!$DD$23:$DJ$23,1,CI265),0))),0)</f>
        <v>0</v>
      </c>
      <c r="CJ272" s="28">
        <f>IF(CJ267=1,IF(INDEX('Lease Cycles'!$EF$23:$EL$23,1,CJ265)=1,0,CJ268*(1-IF(CJ266&lt;INDEX('Lease Cycles'!$DK$23:$DQ$23,1,CJ265),0,IF(CJ266=INDEX('Lease Cycles'!$DK$23:$DQ$23,1,CJ265),1-INDEX('Lease Cycles'!$DR$23:$DX$23,1,CJ265),1))-IF(CJ266=0,INDEX('Lease Cycles'!$DD$23:$DJ$23,1,CJ265),0))),0)</f>
        <v>0</v>
      </c>
      <c r="CK272" s="28">
        <f>IF(CK267=1,IF(INDEX('Lease Cycles'!$EF$23:$EL$23,1,CK265)=1,0,CK268*(1-IF(CK266&lt;INDEX('Lease Cycles'!$DK$23:$DQ$23,1,CK265),0,IF(CK266=INDEX('Lease Cycles'!$DK$23:$DQ$23,1,CK265),1-INDEX('Lease Cycles'!$DR$23:$DX$23,1,CK265),1))-IF(CK266=0,INDEX('Lease Cycles'!$DD$23:$DJ$23,1,CK265),0))),0)</f>
        <v>0</v>
      </c>
      <c r="CL272" s="28">
        <f>IF(CL267=1,IF(INDEX('Lease Cycles'!$EF$23:$EL$23,1,CL265)=1,0,CL268*(1-IF(CL266&lt;INDEX('Lease Cycles'!$DK$23:$DQ$23,1,CL265),0,IF(CL266=INDEX('Lease Cycles'!$DK$23:$DQ$23,1,CL265),1-INDEX('Lease Cycles'!$DR$23:$DX$23,1,CL265),1))-IF(CL266=0,INDEX('Lease Cycles'!$DD$23:$DJ$23,1,CL265),0))),0)</f>
        <v>0</v>
      </c>
      <c r="CM272" s="28">
        <f>IF(CM267=1,IF(INDEX('Lease Cycles'!$EF$23:$EL$23,1,CM265)=1,0,CM268*(1-IF(CM266&lt;INDEX('Lease Cycles'!$DK$23:$DQ$23,1,CM265),0,IF(CM266=INDEX('Lease Cycles'!$DK$23:$DQ$23,1,CM265),1-INDEX('Lease Cycles'!$DR$23:$DX$23,1,CM265),1))-IF(CM266=0,INDEX('Lease Cycles'!$DD$23:$DJ$23,1,CM265),0))),0)</f>
        <v>0</v>
      </c>
      <c r="CN272" s="28">
        <f>IF(CN267=1,IF(INDEX('Lease Cycles'!$EF$23:$EL$23,1,CN265)=1,0,CN268*(1-IF(CN266&lt;INDEX('Lease Cycles'!$DK$23:$DQ$23,1,CN265),0,IF(CN266=INDEX('Lease Cycles'!$DK$23:$DQ$23,1,CN265),1-INDEX('Lease Cycles'!$DR$23:$DX$23,1,CN265),1))-IF(CN266=0,INDEX('Lease Cycles'!$DD$23:$DJ$23,1,CN265),0))),0)</f>
        <v>0</v>
      </c>
      <c r="CO272" s="28">
        <f>IF(CO267=1,IF(INDEX('Lease Cycles'!$EF$23:$EL$23,1,CO265)=1,0,CO268*(1-IF(CO266&lt;INDEX('Lease Cycles'!$DK$23:$DQ$23,1,CO265),0,IF(CO266=INDEX('Lease Cycles'!$DK$23:$DQ$23,1,CO265),1-INDEX('Lease Cycles'!$DR$23:$DX$23,1,CO265),1))-IF(CO266=0,INDEX('Lease Cycles'!$DD$23:$DJ$23,1,CO265),0))),0)</f>
        <v>0</v>
      </c>
      <c r="CP272" s="28">
        <f>IF(CP267=1,IF(INDEX('Lease Cycles'!$EF$23:$EL$23,1,CP265)=1,0,CP268*(1-IF(CP266&lt;INDEX('Lease Cycles'!$DK$23:$DQ$23,1,CP265),0,IF(CP266=INDEX('Lease Cycles'!$DK$23:$DQ$23,1,CP265),1-INDEX('Lease Cycles'!$DR$23:$DX$23,1,CP265),1))-IF(CP266=0,INDEX('Lease Cycles'!$DD$23:$DJ$23,1,CP265),0))),0)</f>
        <v>0</v>
      </c>
      <c r="CQ272" s="28">
        <f>IF(CQ267=1,IF(INDEX('Lease Cycles'!$EF$23:$EL$23,1,CQ265)=1,0,CQ268*(1-IF(CQ266&lt;INDEX('Lease Cycles'!$DK$23:$DQ$23,1,CQ265),0,IF(CQ266=INDEX('Lease Cycles'!$DK$23:$DQ$23,1,CQ265),1-INDEX('Lease Cycles'!$DR$23:$DX$23,1,CQ265),1))-IF(CQ266=0,INDEX('Lease Cycles'!$DD$23:$DJ$23,1,CQ265),0))),0)</f>
        <v>0</v>
      </c>
      <c r="CR272" s="28">
        <f>IF(CR267=1,IF(INDEX('Lease Cycles'!$EF$23:$EL$23,1,CR265)=1,0,CR268*(1-IF(CR266&lt;INDEX('Lease Cycles'!$DK$23:$DQ$23,1,CR265),0,IF(CR266=INDEX('Lease Cycles'!$DK$23:$DQ$23,1,CR265),1-INDEX('Lease Cycles'!$DR$23:$DX$23,1,CR265),1))-IF(CR266=0,INDEX('Lease Cycles'!$DD$23:$DJ$23,1,CR265),0))),0)</f>
        <v>0</v>
      </c>
      <c r="CS272" s="28">
        <f>IF(CS267=1,IF(INDEX('Lease Cycles'!$EF$23:$EL$23,1,CS265)=1,0,CS268*(1-IF(CS266&lt;INDEX('Lease Cycles'!$DK$23:$DQ$23,1,CS265),0,IF(CS266=INDEX('Lease Cycles'!$DK$23:$DQ$23,1,CS265),1-INDEX('Lease Cycles'!$DR$23:$DX$23,1,CS265),1))-IF(CS266=0,INDEX('Lease Cycles'!$DD$23:$DJ$23,1,CS265),0))),0)</f>
        <v>0</v>
      </c>
      <c r="CT272" s="28">
        <f>IF(CT267=1,IF(INDEX('Lease Cycles'!$EF$23:$EL$23,1,CT265)=1,0,CT268*(1-IF(CT266&lt;INDEX('Lease Cycles'!$DK$23:$DQ$23,1,CT265),0,IF(CT266=INDEX('Lease Cycles'!$DK$23:$DQ$23,1,CT265),1-INDEX('Lease Cycles'!$DR$23:$DX$23,1,CT265),1))-IF(CT266=0,INDEX('Lease Cycles'!$DD$23:$DJ$23,1,CT265),0))),0)</f>
        <v>0</v>
      </c>
      <c r="CU272" s="28">
        <f>IF(CU267=1,IF(INDEX('Lease Cycles'!$EF$23:$EL$23,1,CU265)=1,0,CU268*(1-IF(CU266&lt;INDEX('Lease Cycles'!$DK$23:$DQ$23,1,CU265),0,IF(CU266=INDEX('Lease Cycles'!$DK$23:$DQ$23,1,CU265),1-INDEX('Lease Cycles'!$DR$23:$DX$23,1,CU265),1))-IF(CU266=0,INDEX('Lease Cycles'!$DD$23:$DJ$23,1,CU265),0))),0)</f>
        <v>0</v>
      </c>
      <c r="CV272" s="28">
        <f>IF(CV267=1,IF(INDEX('Lease Cycles'!$EF$23:$EL$23,1,CV265)=1,0,CV268*(1-IF(CV266&lt;INDEX('Lease Cycles'!$DK$23:$DQ$23,1,CV265),0,IF(CV266=INDEX('Lease Cycles'!$DK$23:$DQ$23,1,CV265),1-INDEX('Lease Cycles'!$DR$23:$DX$23,1,CV265),1))-IF(CV266=0,INDEX('Lease Cycles'!$DD$23:$DJ$23,1,CV265),0))),0)</f>
        <v>0</v>
      </c>
      <c r="CW272" s="28">
        <f>IF(CW267=1,IF(INDEX('Lease Cycles'!$EF$23:$EL$23,1,CW265)=1,0,CW268*(1-IF(CW266&lt;INDEX('Lease Cycles'!$DK$23:$DQ$23,1,CW265),0,IF(CW266=INDEX('Lease Cycles'!$DK$23:$DQ$23,1,CW265),1-INDEX('Lease Cycles'!$DR$23:$DX$23,1,CW265),1))-IF(CW266=0,INDEX('Lease Cycles'!$DD$23:$DJ$23,1,CW265),0))),0)</f>
        <v>0</v>
      </c>
      <c r="CX272" s="28">
        <f>IF(CX267=1,IF(INDEX('Lease Cycles'!$EF$23:$EL$23,1,CX265)=1,0,CX268*(1-IF(CX266&lt;INDEX('Lease Cycles'!$DK$23:$DQ$23,1,CX265),0,IF(CX266=INDEX('Lease Cycles'!$DK$23:$DQ$23,1,CX265),1-INDEX('Lease Cycles'!$DR$23:$DX$23,1,CX265),1))-IF(CX266=0,INDEX('Lease Cycles'!$DD$23:$DJ$23,1,CX265),0))),0)</f>
        <v>0</v>
      </c>
      <c r="CY272" s="28">
        <f>IF(CY267=1,IF(INDEX('Lease Cycles'!$EF$23:$EL$23,1,CY265)=1,0,CY268*(1-IF(CY266&lt;INDEX('Lease Cycles'!$DK$23:$DQ$23,1,CY265),0,IF(CY266=INDEX('Lease Cycles'!$DK$23:$DQ$23,1,CY265),1-INDEX('Lease Cycles'!$DR$23:$DX$23,1,CY265),1))-IF(CY266=0,INDEX('Lease Cycles'!$DD$23:$DJ$23,1,CY265),0))),0)</f>
        <v>0</v>
      </c>
      <c r="CZ272" s="28">
        <f>IF(CZ267=1,IF(INDEX('Lease Cycles'!$EF$23:$EL$23,1,CZ265)=1,0,CZ268*(1-IF(CZ266&lt;INDEX('Lease Cycles'!$DK$23:$DQ$23,1,CZ265),0,IF(CZ266=INDEX('Lease Cycles'!$DK$23:$DQ$23,1,CZ265),1-INDEX('Lease Cycles'!$DR$23:$DX$23,1,CZ265),1))-IF(CZ266=0,INDEX('Lease Cycles'!$DD$23:$DJ$23,1,CZ265),0))),0)</f>
        <v>0</v>
      </c>
      <c r="DA272" s="28">
        <f>IF(DA267=1,IF(INDEX('Lease Cycles'!$EF$23:$EL$23,1,DA265)=1,0,DA268*(1-IF(DA266&lt;INDEX('Lease Cycles'!$DK$23:$DQ$23,1,DA265),0,IF(DA266=INDEX('Lease Cycles'!$DK$23:$DQ$23,1,DA265),1-INDEX('Lease Cycles'!$DR$23:$DX$23,1,DA265),1))-IF(DA266=0,INDEX('Lease Cycles'!$DD$23:$DJ$23,1,DA265),0))),0)</f>
        <v>0</v>
      </c>
      <c r="DB272" s="28">
        <f>IF(DB267=1,IF(INDEX('Lease Cycles'!$EF$23:$EL$23,1,DB265)=1,0,DB268*(1-IF(DB266&lt;INDEX('Lease Cycles'!$DK$23:$DQ$23,1,DB265),0,IF(DB266=INDEX('Lease Cycles'!$DK$23:$DQ$23,1,DB265),1-INDEX('Lease Cycles'!$DR$23:$DX$23,1,DB265),1))-IF(DB266=0,INDEX('Lease Cycles'!$DD$23:$DJ$23,1,DB265),0))),0)</f>
        <v>0</v>
      </c>
      <c r="DC272" s="28">
        <f>IF(DC267=1,IF(INDEX('Lease Cycles'!$EF$23:$EL$23,1,DC265)=1,0,DC268*(1-IF(DC266&lt;INDEX('Lease Cycles'!$DK$23:$DQ$23,1,DC265),0,IF(DC266=INDEX('Lease Cycles'!$DK$23:$DQ$23,1,DC265),1-INDEX('Lease Cycles'!$DR$23:$DX$23,1,DC265),1))-IF(DC266=0,INDEX('Lease Cycles'!$DD$23:$DJ$23,1,DC265),0))),0)</f>
        <v>0</v>
      </c>
      <c r="DD272" s="28">
        <f>IF(DD267=1,IF(INDEX('Lease Cycles'!$EF$23:$EL$23,1,DD265)=1,0,DD268*(1-IF(DD266&lt;INDEX('Lease Cycles'!$DK$23:$DQ$23,1,DD265),0,IF(DD266=INDEX('Lease Cycles'!$DK$23:$DQ$23,1,DD265),1-INDEX('Lease Cycles'!$DR$23:$DX$23,1,DD265),1))-IF(DD266=0,INDEX('Lease Cycles'!$DD$23:$DJ$23,1,DD265),0))),0)</f>
        <v>0</v>
      </c>
      <c r="DE272" s="28">
        <f>IF(DE267=1,IF(INDEX('Lease Cycles'!$EF$23:$EL$23,1,DE265)=1,0,DE268*(1-IF(DE266&lt;INDEX('Lease Cycles'!$DK$23:$DQ$23,1,DE265),0,IF(DE266=INDEX('Lease Cycles'!$DK$23:$DQ$23,1,DE265),1-INDEX('Lease Cycles'!$DR$23:$DX$23,1,DE265),1))-IF(DE266=0,INDEX('Lease Cycles'!$DD$23:$DJ$23,1,DE265),0))),0)</f>
        <v>0</v>
      </c>
      <c r="DF272" s="28">
        <f>IF(DF267=1,IF(INDEX('Lease Cycles'!$EF$23:$EL$23,1,DF265)=1,0,DF268*(1-IF(DF266&lt;INDEX('Lease Cycles'!$DK$23:$DQ$23,1,DF265),0,IF(DF266=INDEX('Lease Cycles'!$DK$23:$DQ$23,1,DF265),1-INDEX('Lease Cycles'!$DR$23:$DX$23,1,DF265),1))-IF(DF266=0,INDEX('Lease Cycles'!$DD$23:$DJ$23,1,DF265),0))),0)</f>
        <v>0</v>
      </c>
      <c r="DG272" s="28">
        <f>IF(DG267=1,IF(INDEX('Lease Cycles'!$EF$23:$EL$23,1,DG265)=1,0,DG268*(1-IF(DG266&lt;INDEX('Lease Cycles'!$DK$23:$DQ$23,1,DG265),0,IF(DG266=INDEX('Lease Cycles'!$DK$23:$DQ$23,1,DG265),1-INDEX('Lease Cycles'!$DR$23:$DX$23,1,DG265),1))-IF(DG266=0,INDEX('Lease Cycles'!$DD$23:$DJ$23,1,DG265),0))),0)</f>
        <v>0</v>
      </c>
      <c r="DH272" s="28">
        <f>IF(DH267=1,IF(INDEX('Lease Cycles'!$EF$23:$EL$23,1,DH265)=1,0,DH268*(1-IF(DH266&lt;INDEX('Lease Cycles'!$DK$23:$DQ$23,1,DH265),0,IF(DH266=INDEX('Lease Cycles'!$DK$23:$DQ$23,1,DH265),1-INDEX('Lease Cycles'!$DR$23:$DX$23,1,DH265),1))-IF(DH266=0,INDEX('Lease Cycles'!$DD$23:$DJ$23,1,DH265),0))),0)</f>
        <v>0</v>
      </c>
      <c r="DI272" s="28">
        <f>IF(DI267=1,IF(INDEX('Lease Cycles'!$EF$23:$EL$23,1,DI265)=1,0,DI268*(1-IF(DI266&lt;INDEX('Lease Cycles'!$DK$23:$DQ$23,1,DI265),0,IF(DI266=INDEX('Lease Cycles'!$DK$23:$DQ$23,1,DI265),1-INDEX('Lease Cycles'!$DR$23:$DX$23,1,DI265),1))-IF(DI266=0,INDEX('Lease Cycles'!$DD$23:$DJ$23,1,DI265),0))),0)</f>
        <v>0</v>
      </c>
      <c r="DJ272" s="28">
        <f>IF(DJ267=1,IF(INDEX('Lease Cycles'!$EF$23:$EL$23,1,DJ265)=1,0,DJ268*(1-IF(DJ266&lt;INDEX('Lease Cycles'!$DK$23:$DQ$23,1,DJ265),0,IF(DJ266=INDEX('Lease Cycles'!$DK$23:$DQ$23,1,DJ265),1-INDEX('Lease Cycles'!$DR$23:$DX$23,1,DJ265),1))-IF(DJ266=0,INDEX('Lease Cycles'!$DD$23:$DJ$23,1,DJ265),0))),0)</f>
        <v>0</v>
      </c>
      <c r="DK272" s="28">
        <f>IF(DK267=1,IF(INDEX('Lease Cycles'!$EF$23:$EL$23,1,DK265)=1,0,DK268*(1-IF(DK266&lt;INDEX('Lease Cycles'!$DK$23:$DQ$23,1,DK265),0,IF(DK266=INDEX('Lease Cycles'!$DK$23:$DQ$23,1,DK265),1-INDEX('Lease Cycles'!$DR$23:$DX$23,1,DK265),1))-IF(DK266=0,INDEX('Lease Cycles'!$DD$23:$DJ$23,1,DK265),0))),0)</f>
        <v>0</v>
      </c>
      <c r="DL272" s="28">
        <f>IF(DL267=1,IF(INDEX('Lease Cycles'!$EF$23:$EL$23,1,DL265)=1,0,DL268*(1-IF(DL266&lt;INDEX('Lease Cycles'!$DK$23:$DQ$23,1,DL265),0,IF(DL266=INDEX('Lease Cycles'!$DK$23:$DQ$23,1,DL265),1-INDEX('Lease Cycles'!$DR$23:$DX$23,1,DL265),1))-IF(DL266=0,INDEX('Lease Cycles'!$DD$23:$DJ$23,1,DL265),0))),0)</f>
        <v>0</v>
      </c>
      <c r="DM272" s="28">
        <f>IF(DM267=1,IF(INDEX('Lease Cycles'!$EF$23:$EL$23,1,DM265)=1,0,DM268*(1-IF(DM266&lt;INDEX('Lease Cycles'!$DK$23:$DQ$23,1,DM265),0,IF(DM266=INDEX('Lease Cycles'!$DK$23:$DQ$23,1,DM265),1-INDEX('Lease Cycles'!$DR$23:$DX$23,1,DM265),1))-IF(DM266=0,INDEX('Lease Cycles'!$DD$23:$DJ$23,1,DM265),0))),0)</f>
        <v>0</v>
      </c>
      <c r="DN272" s="28">
        <f>IF(DN267=1,IF(INDEX('Lease Cycles'!$EF$23:$EL$23,1,DN265)=1,0,DN268*(1-IF(DN266&lt;INDEX('Lease Cycles'!$DK$23:$DQ$23,1,DN265),0,IF(DN266=INDEX('Lease Cycles'!$DK$23:$DQ$23,1,DN265),1-INDEX('Lease Cycles'!$DR$23:$DX$23,1,DN265),1))-IF(DN266=0,INDEX('Lease Cycles'!$DD$23:$DJ$23,1,DN265),0))),0)</f>
        <v>0</v>
      </c>
      <c r="DO272" s="28">
        <f>IF(DO267=1,IF(INDEX('Lease Cycles'!$EF$23:$EL$23,1,DO265)=1,0,DO268*(1-IF(DO266&lt;INDEX('Lease Cycles'!$DK$23:$DQ$23,1,DO265),0,IF(DO266=INDEX('Lease Cycles'!$DK$23:$DQ$23,1,DO265),1-INDEX('Lease Cycles'!$DR$23:$DX$23,1,DO265),1))-IF(DO266=0,INDEX('Lease Cycles'!$DD$23:$DJ$23,1,DO265),0))),0)</f>
        <v>0</v>
      </c>
      <c r="DP272" s="28">
        <f>IF(DP267=1,IF(INDEX('Lease Cycles'!$EF$23:$EL$23,1,DP265)=1,0,DP268*(1-IF(DP266&lt;INDEX('Lease Cycles'!$DK$23:$DQ$23,1,DP265),0,IF(DP266=INDEX('Lease Cycles'!$DK$23:$DQ$23,1,DP265),1-INDEX('Lease Cycles'!$DR$23:$DX$23,1,DP265),1))-IF(DP266=0,INDEX('Lease Cycles'!$DD$23:$DJ$23,1,DP265),0))),0)</f>
        <v>0</v>
      </c>
      <c r="DQ272" s="28">
        <f>IF(DQ267=1,IF(INDEX('Lease Cycles'!$EF$23:$EL$23,1,DQ265)=1,0,DQ268*(1-IF(DQ266&lt;INDEX('Lease Cycles'!$DK$23:$DQ$23,1,DQ265),0,IF(DQ266=INDEX('Lease Cycles'!$DK$23:$DQ$23,1,DQ265),1-INDEX('Lease Cycles'!$DR$23:$DX$23,1,DQ265),1))-IF(DQ266=0,INDEX('Lease Cycles'!$DD$23:$DJ$23,1,DQ265),0))),0)</f>
        <v>0</v>
      </c>
      <c r="DR272" s="28">
        <f>IF(DR267=1,IF(INDEX('Lease Cycles'!$EF$23:$EL$23,1,DR265)=1,0,DR268*(1-IF(DR266&lt;INDEX('Lease Cycles'!$DK$23:$DQ$23,1,DR265),0,IF(DR266=INDEX('Lease Cycles'!$DK$23:$DQ$23,1,DR265),1-INDEX('Lease Cycles'!$DR$23:$DX$23,1,DR265),1))-IF(DR266=0,INDEX('Lease Cycles'!$DD$23:$DJ$23,1,DR265),0))),0)</f>
        <v>0</v>
      </c>
      <c r="DS272" s="28">
        <f>IF(DS267=1,IF(INDEX('Lease Cycles'!$EF$23:$EL$23,1,DS265)=1,0,DS268*(1-IF(DS266&lt;INDEX('Lease Cycles'!$DK$23:$DQ$23,1,DS265),0,IF(DS266=INDEX('Lease Cycles'!$DK$23:$DQ$23,1,DS265),1-INDEX('Lease Cycles'!$DR$23:$DX$23,1,DS265),1))-IF(DS266=0,INDEX('Lease Cycles'!$DD$23:$DJ$23,1,DS265),0))),0)</f>
        <v>0</v>
      </c>
      <c r="DT272" s="28">
        <f>IF(DT267=1,IF(INDEX('Lease Cycles'!$EF$23:$EL$23,1,DT265)=1,0,DT268*(1-IF(DT266&lt;INDEX('Lease Cycles'!$DK$23:$DQ$23,1,DT265),0,IF(DT266=INDEX('Lease Cycles'!$DK$23:$DQ$23,1,DT265),1-INDEX('Lease Cycles'!$DR$23:$DX$23,1,DT265),1))-IF(DT266=0,INDEX('Lease Cycles'!$DD$23:$DJ$23,1,DT265),0))),0)</f>
        <v>0</v>
      </c>
      <c r="DU272" s="28">
        <f>IF(DU267=1,IF(INDEX('Lease Cycles'!$EF$23:$EL$23,1,DU265)=1,0,DU268*(1-IF(DU266&lt;INDEX('Lease Cycles'!$DK$23:$DQ$23,1,DU265),0,IF(DU266=INDEX('Lease Cycles'!$DK$23:$DQ$23,1,DU265),1-INDEX('Lease Cycles'!$DR$23:$DX$23,1,DU265),1))-IF(DU266=0,INDEX('Lease Cycles'!$DD$23:$DJ$23,1,DU265),0))),0)</f>
        <v>0</v>
      </c>
      <c r="DV272" s="28">
        <f>IF(DV267=1,IF(INDEX('Lease Cycles'!$EF$23:$EL$23,1,DV265)=1,0,DV268*(1-IF(DV266&lt;INDEX('Lease Cycles'!$DK$23:$DQ$23,1,DV265),0,IF(DV266=INDEX('Lease Cycles'!$DK$23:$DQ$23,1,DV265),1-INDEX('Lease Cycles'!$DR$23:$DX$23,1,DV265),1))-IF(DV266=0,INDEX('Lease Cycles'!$DD$23:$DJ$23,1,DV265),0))),0)</f>
        <v>0</v>
      </c>
      <c r="DW272" s="28">
        <f>IF(DW267=1,IF(INDEX('Lease Cycles'!$EF$23:$EL$23,1,DW265)=1,0,DW268*(1-IF(DW266&lt;INDEX('Lease Cycles'!$DK$23:$DQ$23,1,DW265),0,IF(DW266=INDEX('Lease Cycles'!$DK$23:$DQ$23,1,DW265),1-INDEX('Lease Cycles'!$DR$23:$DX$23,1,DW265),1))-IF(DW266=0,INDEX('Lease Cycles'!$DD$23:$DJ$23,1,DW265),0))),0)</f>
        <v>0</v>
      </c>
      <c r="DX272" s="28">
        <f>IF(DX267=1,IF(INDEX('Lease Cycles'!$EF$23:$EL$23,1,DX265)=1,0,DX268*(1-IF(DX266&lt;INDEX('Lease Cycles'!$DK$23:$DQ$23,1,DX265),0,IF(DX266=INDEX('Lease Cycles'!$DK$23:$DQ$23,1,DX265),1-INDEX('Lease Cycles'!$DR$23:$DX$23,1,DX265),1))-IF(DX266=0,INDEX('Lease Cycles'!$DD$23:$DJ$23,1,DX265),0))),0)</f>
        <v>0</v>
      </c>
      <c r="DY272" s="28">
        <f>IF(DY267=1,IF(INDEX('Lease Cycles'!$EF$23:$EL$23,1,DY265)=1,0,DY268*(1-IF(DY266&lt;INDEX('Lease Cycles'!$DK$23:$DQ$23,1,DY265),0,IF(DY266=INDEX('Lease Cycles'!$DK$23:$DQ$23,1,DY265),1-INDEX('Lease Cycles'!$DR$23:$DX$23,1,DY265),1))-IF(DY266=0,INDEX('Lease Cycles'!$DD$23:$DJ$23,1,DY265),0))),0)</f>
        <v>0</v>
      </c>
      <c r="DZ272" s="28">
        <f>IF(DZ267=1,IF(INDEX('Lease Cycles'!$EF$23:$EL$23,1,DZ265)=1,0,DZ268*(1-IF(DZ266&lt;INDEX('Lease Cycles'!$DK$23:$DQ$23,1,DZ265),0,IF(DZ266=INDEX('Lease Cycles'!$DK$23:$DQ$23,1,DZ265),1-INDEX('Lease Cycles'!$DR$23:$DX$23,1,DZ265),1))-IF(DZ266=0,INDEX('Lease Cycles'!$DD$23:$DJ$23,1,DZ265),0))),0)</f>
        <v>0</v>
      </c>
      <c r="EA272" s="28">
        <f>IF(EA267=1,IF(INDEX('Lease Cycles'!$EF$23:$EL$23,1,EA265)=1,0,EA268*(1-IF(EA266&lt;INDEX('Lease Cycles'!$DK$23:$DQ$23,1,EA265),0,IF(EA266=INDEX('Lease Cycles'!$DK$23:$DQ$23,1,EA265),1-INDEX('Lease Cycles'!$DR$23:$DX$23,1,EA265),1))-IF(EA266=0,INDEX('Lease Cycles'!$DD$23:$DJ$23,1,EA265),0))),0)</f>
        <v>0</v>
      </c>
      <c r="EB272" s="28">
        <f>IF(EB267=1,IF(INDEX('Lease Cycles'!$EF$23:$EL$23,1,EB265)=1,0,EB268*(1-IF(EB266&lt;INDEX('Lease Cycles'!$DK$23:$DQ$23,1,EB265),0,IF(EB266=INDEX('Lease Cycles'!$DK$23:$DQ$23,1,EB265),1-INDEX('Lease Cycles'!$DR$23:$DX$23,1,EB265),1))-IF(EB266=0,INDEX('Lease Cycles'!$DD$23:$DJ$23,1,EB265),0))),0)</f>
        <v>0</v>
      </c>
      <c r="EC272" s="28">
        <f>IF(EC267=1,IF(INDEX('Lease Cycles'!$EF$23:$EL$23,1,EC265)=1,0,EC268*(1-IF(EC266&lt;INDEX('Lease Cycles'!$DK$23:$DQ$23,1,EC265),0,IF(EC266=INDEX('Lease Cycles'!$DK$23:$DQ$23,1,EC265),1-INDEX('Lease Cycles'!$DR$23:$DX$23,1,EC265),1))-IF(EC266=0,INDEX('Lease Cycles'!$DD$23:$DJ$23,1,EC265),0))),0)</f>
        <v>0</v>
      </c>
      <c r="ED272" s="28">
        <f>IF(ED267=1,IF(INDEX('Lease Cycles'!$EF$23:$EL$23,1,ED265)=1,0,ED268*(1-IF(ED266&lt;INDEX('Lease Cycles'!$DK$23:$DQ$23,1,ED265),0,IF(ED266=INDEX('Lease Cycles'!$DK$23:$DQ$23,1,ED265),1-INDEX('Lease Cycles'!$DR$23:$DX$23,1,ED265),1))-IF(ED266=0,INDEX('Lease Cycles'!$DD$23:$DJ$23,1,ED265),0))),0)</f>
        <v>0</v>
      </c>
      <c r="EE272" s="28">
        <f>IF(EE267=1,IF(INDEX('Lease Cycles'!$EF$23:$EL$23,1,EE265)=1,0,EE268*(1-IF(EE266&lt;INDEX('Lease Cycles'!$DK$23:$DQ$23,1,EE265),0,IF(EE266=INDEX('Lease Cycles'!$DK$23:$DQ$23,1,EE265),1-INDEX('Lease Cycles'!$DR$23:$DX$23,1,EE265),1))-IF(EE266=0,INDEX('Lease Cycles'!$DD$23:$DJ$23,1,EE265),0))),0)</f>
        <v>0</v>
      </c>
      <c r="EF272" s="28">
        <f>IF(EF267=1,IF(INDEX('Lease Cycles'!$EF$23:$EL$23,1,EF265)=1,0,EF268*(1-IF(EF266&lt;INDEX('Lease Cycles'!$DK$23:$DQ$23,1,EF265),0,IF(EF266=INDEX('Lease Cycles'!$DK$23:$DQ$23,1,EF265),1-INDEX('Lease Cycles'!$DR$23:$DX$23,1,EF265),1))-IF(EF266=0,INDEX('Lease Cycles'!$DD$23:$DJ$23,1,EF265),0))),0)</f>
        <v>0</v>
      </c>
      <c r="EG272" s="28">
        <f>IF(EG267=1,IF(INDEX('Lease Cycles'!$EF$23:$EL$23,1,EG265)=1,0,EG268*(1-IF(EG266&lt;INDEX('Lease Cycles'!$DK$23:$DQ$23,1,EG265),0,IF(EG266=INDEX('Lease Cycles'!$DK$23:$DQ$23,1,EG265),1-INDEX('Lease Cycles'!$DR$23:$DX$23,1,EG265),1))-IF(EG266=0,INDEX('Lease Cycles'!$DD$23:$DJ$23,1,EG265),0))),0)</f>
        <v>0</v>
      </c>
      <c r="EH272" s="28">
        <f>IF(EH267=1,IF(INDEX('Lease Cycles'!$EF$23:$EL$23,1,EH265)=1,0,EH268*(1-IF(EH266&lt;INDEX('Lease Cycles'!$DK$23:$DQ$23,1,EH265),0,IF(EH266=INDEX('Lease Cycles'!$DK$23:$DQ$23,1,EH265),1-INDEX('Lease Cycles'!$DR$23:$DX$23,1,EH265),1))-IF(EH266=0,INDEX('Lease Cycles'!$DD$23:$DJ$23,1,EH265),0))),0)</f>
        <v>0</v>
      </c>
      <c r="EI272" s="28">
        <f>IF(EI267=1,IF(INDEX('Lease Cycles'!$EF$23:$EL$23,1,EI265)=1,0,EI268*(1-IF(EI266&lt;INDEX('Lease Cycles'!$DK$23:$DQ$23,1,EI265),0,IF(EI266=INDEX('Lease Cycles'!$DK$23:$DQ$23,1,EI265),1-INDEX('Lease Cycles'!$DR$23:$DX$23,1,EI265),1))-IF(EI266=0,INDEX('Lease Cycles'!$DD$23:$DJ$23,1,EI265),0))),0)</f>
        <v>0</v>
      </c>
      <c r="EJ272" s="28">
        <f>IF(EJ267=1,IF(INDEX('Lease Cycles'!$EF$23:$EL$23,1,EJ265)=1,0,EJ268*(1-IF(EJ266&lt;INDEX('Lease Cycles'!$DK$23:$DQ$23,1,EJ265),0,IF(EJ266=INDEX('Lease Cycles'!$DK$23:$DQ$23,1,EJ265),1-INDEX('Lease Cycles'!$DR$23:$DX$23,1,EJ265),1))-IF(EJ266=0,INDEX('Lease Cycles'!$DD$23:$DJ$23,1,EJ265),0))),0)</f>
        <v>0</v>
      </c>
      <c r="EK272" s="28">
        <f>IF(EK267=1,IF(INDEX('Lease Cycles'!$EF$23:$EL$23,1,EK265)=1,0,EK268*(1-IF(EK266&lt;INDEX('Lease Cycles'!$DK$23:$DQ$23,1,EK265),0,IF(EK266=INDEX('Lease Cycles'!$DK$23:$DQ$23,1,EK265),1-INDEX('Lease Cycles'!$DR$23:$DX$23,1,EK265),1))-IF(EK266=0,INDEX('Lease Cycles'!$DD$23:$DJ$23,1,EK265),0))),0)</f>
        <v>0</v>
      </c>
      <c r="EL272" s="28">
        <f>IF(EL267=1,IF(INDEX('Lease Cycles'!$EF$23:$EL$23,1,EL265)=1,0,EL268*(1-IF(EL266&lt;INDEX('Lease Cycles'!$DK$23:$DQ$23,1,EL265),0,IF(EL266=INDEX('Lease Cycles'!$DK$23:$DQ$23,1,EL265),1-INDEX('Lease Cycles'!$DR$23:$DX$23,1,EL265),1))-IF(EL266=0,INDEX('Lease Cycles'!$DD$23:$DJ$23,1,EL265),0))),0)</f>
        <v>0</v>
      </c>
      <c r="EM272" s="28">
        <f>IF(EM267=1,IF(INDEX('Lease Cycles'!$EF$23:$EL$23,1,EM265)=1,0,EM268*(1-IF(EM266&lt;INDEX('Lease Cycles'!$DK$23:$DQ$23,1,EM265),0,IF(EM266=INDEX('Lease Cycles'!$DK$23:$DQ$23,1,EM265),1-INDEX('Lease Cycles'!$DR$23:$DX$23,1,EM265),1))-IF(EM266=0,INDEX('Lease Cycles'!$DD$23:$DJ$23,1,EM265),0))),0)</f>
        <v>0</v>
      </c>
      <c r="EN272" s="28">
        <f>IF(EN267=1,IF(INDEX('Lease Cycles'!$EF$23:$EL$23,1,EN265)=1,0,EN268*(1-IF(EN266&lt;INDEX('Lease Cycles'!$DK$23:$DQ$23,1,EN265),0,IF(EN266=INDEX('Lease Cycles'!$DK$23:$DQ$23,1,EN265),1-INDEX('Lease Cycles'!$DR$23:$DX$23,1,EN265),1))-IF(EN266=0,INDEX('Lease Cycles'!$DD$23:$DJ$23,1,EN265),0))),0)</f>
        <v>0</v>
      </c>
      <c r="EO272" s="28">
        <f>IF(EO267=1,IF(INDEX('Lease Cycles'!$EF$23:$EL$23,1,EO265)=1,0,EO268*(1-IF(EO266&lt;INDEX('Lease Cycles'!$DK$23:$DQ$23,1,EO265),0,IF(EO266=INDEX('Lease Cycles'!$DK$23:$DQ$23,1,EO265),1-INDEX('Lease Cycles'!$DR$23:$DX$23,1,EO265),1))-IF(EO266=0,INDEX('Lease Cycles'!$DD$23:$DJ$23,1,EO265),0))),0)</f>
        <v>0</v>
      </c>
      <c r="EP272" s="28">
        <f>IF(EP267=1,IF(INDEX('Lease Cycles'!$EF$23:$EL$23,1,EP265)=1,0,EP268*(1-IF(EP266&lt;INDEX('Lease Cycles'!$DK$23:$DQ$23,1,EP265),0,IF(EP266=INDEX('Lease Cycles'!$DK$23:$DQ$23,1,EP265),1-INDEX('Lease Cycles'!$DR$23:$DX$23,1,EP265),1))-IF(EP266=0,INDEX('Lease Cycles'!$DD$23:$DJ$23,1,EP265),0))),0)</f>
        <v>0</v>
      </c>
      <c r="EQ272" s="28">
        <f>IF(EQ267=1,IF(INDEX('Lease Cycles'!$EF$23:$EL$23,1,EQ265)=1,0,EQ268*(1-IF(EQ266&lt;INDEX('Lease Cycles'!$DK$23:$DQ$23,1,EQ265),0,IF(EQ266=INDEX('Lease Cycles'!$DK$23:$DQ$23,1,EQ265),1-INDEX('Lease Cycles'!$DR$23:$DX$23,1,EQ265),1))-IF(EQ266=0,INDEX('Lease Cycles'!$DD$23:$DJ$23,1,EQ265),0))),0)</f>
        <v>0</v>
      </c>
      <c r="ER272" s="28">
        <f>IF(ER267=1,IF(INDEX('Lease Cycles'!$EF$23:$EL$23,1,ER265)=1,0,ER268*(1-IF(ER266&lt;INDEX('Lease Cycles'!$DK$23:$DQ$23,1,ER265),0,IF(ER266=INDEX('Lease Cycles'!$DK$23:$DQ$23,1,ER265),1-INDEX('Lease Cycles'!$DR$23:$DX$23,1,ER265),1))-IF(ER266=0,INDEX('Lease Cycles'!$DD$23:$DJ$23,1,ER265),0))),0)</f>
        <v>0</v>
      </c>
      <c r="ES272" s="28">
        <f>IF(ES267=1,IF(INDEX('Lease Cycles'!$EF$23:$EL$23,1,ES265)=1,0,ES268*(1-IF(ES266&lt;INDEX('Lease Cycles'!$DK$23:$DQ$23,1,ES265),0,IF(ES266=INDEX('Lease Cycles'!$DK$23:$DQ$23,1,ES265),1-INDEX('Lease Cycles'!$DR$23:$DX$23,1,ES265),1))-IF(ES266=0,INDEX('Lease Cycles'!$DD$23:$DJ$23,1,ES265),0))),0)</f>
        <v>0</v>
      </c>
      <c r="ET272" s="28">
        <f>IF(ET267=1,IF(INDEX('Lease Cycles'!$EF$23:$EL$23,1,ET265)=1,0,ET268*(1-IF(ET266&lt;INDEX('Lease Cycles'!$DK$23:$DQ$23,1,ET265),0,IF(ET266=INDEX('Lease Cycles'!$DK$23:$DQ$23,1,ET265),1-INDEX('Lease Cycles'!$DR$23:$DX$23,1,ET265),1))-IF(ET266=0,INDEX('Lease Cycles'!$DD$23:$DJ$23,1,ET265),0))),0)</f>
        <v>0</v>
      </c>
    </row>
    <row r="273">
      <c r="A273" s="103">
        <v>16</v>
      </c>
      <c r="B273" s="23" t="str">
        <f>IF('Lease Cycles'!$B$23="","(empty slot)",'Lease Cycles'!$B$23)</f>
        <v>(empty slot)</v>
      </c>
      <c r="C273" s="23" t="s">
        <v>683</v>
      </c>
      <c r="D273" s="104" t="s">
        <v>684</v>
      </c>
      <c r="E273" s="25">
        <f>'Lease Cycles'!$AL$23</f>
        <v>0</v>
      </c>
      <c r="G273" s="24">
        <f>SUM(S273:AD273)</f>
        <v>0</v>
      </c>
      <c r="H273" s="24">
        <f>SUM(AE273:AP273)</f>
        <v>0</v>
      </c>
      <c r="I273" s="24">
        <f>SUM(AQ273:BB273)</f>
        <v>0</v>
      </c>
      <c r="J273" s="24">
        <f>SUM(BC273:BN273)</f>
        <v>0</v>
      </c>
      <c r="K273" s="24">
        <f>SUM(BO273:BZ273)</f>
        <v>0</v>
      </c>
      <c r="L273" s="24">
        <f>SUM(CA273:CL273)</f>
        <v>0</v>
      </c>
      <c r="M273" s="24">
        <f>SUM(CM273:CX273)</f>
        <v>0</v>
      </c>
      <c r="N273" s="24">
        <f>SUM(CY273:DJ273)</f>
        <v>0</v>
      </c>
      <c r="O273" s="24">
        <f>SUM(DK273:DV273)</f>
        <v>0</v>
      </c>
      <c r="P273" s="24">
        <f>SUM(DW273:EH273)</f>
        <v>0</v>
      </c>
      <c r="Q273" s="24">
        <f>SUM(EI273:ET273)</f>
        <v>0</v>
      </c>
      <c r="S273" s="24">
        <f>IF(S267=1,'Lease Cycles'!$D$23*IF(INDEX('Lease Cycles'!$EF$23:$EL$23,1,S265)=1,(1-'Lease Cycles'!$AJ$23)*INDEX('Lease Cycles'!$EM$23:$ES$23,1,S265)+(1-'Lease Cycles'!$BE$23)*IF(S266&lt;INDEX('Lease Cycles'!$FA$23:$FG$23,1,S265),0,1-INDEX('Lease Cycles'!$EM$23:$ES$23,1,S265)),IF(OR(INDEX('Lease Cycles'!$DY$23:$EE$23,1,S265)=1,S266&gt;0),1,1-INDEX('Lease Cycles'!$DD$23:$DJ$23,1,S265))*((1-'Lease Cycles'!$AJ$23)*INDEX('Lease Cycles'!$FO$23:$FU$23,1,S265)+(1-'Lease Cycles'!$BE$23)*(1-INDEX('Lease Cycles'!$FO$23:$FU$23,1,S265)))),0)</f>
        <v>0</v>
      </c>
      <c r="T273" s="24">
        <f>IF(T267=1,'Lease Cycles'!$D$23*IF(INDEX('Lease Cycles'!$EF$23:$EL$23,1,T265)=1,(1-'Lease Cycles'!$AJ$23)*INDEX('Lease Cycles'!$EM$23:$ES$23,1,T265)+(1-'Lease Cycles'!$BE$23)*IF(T266&lt;INDEX('Lease Cycles'!$FA$23:$FG$23,1,T265),0,1-INDEX('Lease Cycles'!$EM$23:$ES$23,1,T265)),IF(OR(INDEX('Lease Cycles'!$DY$23:$EE$23,1,T265)=1,T266&gt;0),1,1-INDEX('Lease Cycles'!$DD$23:$DJ$23,1,T265))*((1-'Lease Cycles'!$AJ$23)*INDEX('Lease Cycles'!$FO$23:$FU$23,1,T265)+(1-'Lease Cycles'!$BE$23)*(1-INDEX('Lease Cycles'!$FO$23:$FU$23,1,T265)))),0)</f>
        <v>0</v>
      </c>
      <c r="U273" s="24">
        <f>IF(U267=1,'Lease Cycles'!$D$23*IF(INDEX('Lease Cycles'!$EF$23:$EL$23,1,U265)=1,(1-'Lease Cycles'!$AJ$23)*INDEX('Lease Cycles'!$EM$23:$ES$23,1,U265)+(1-'Lease Cycles'!$BE$23)*IF(U266&lt;INDEX('Lease Cycles'!$FA$23:$FG$23,1,U265),0,1-INDEX('Lease Cycles'!$EM$23:$ES$23,1,U265)),IF(OR(INDEX('Lease Cycles'!$DY$23:$EE$23,1,U265)=1,U266&gt;0),1,1-INDEX('Lease Cycles'!$DD$23:$DJ$23,1,U265))*((1-'Lease Cycles'!$AJ$23)*INDEX('Lease Cycles'!$FO$23:$FU$23,1,U265)+(1-'Lease Cycles'!$BE$23)*(1-INDEX('Lease Cycles'!$FO$23:$FU$23,1,U265)))),0)</f>
        <v>0</v>
      </c>
      <c r="V273" s="24">
        <f>IF(V267=1,'Lease Cycles'!$D$23*IF(INDEX('Lease Cycles'!$EF$23:$EL$23,1,V265)=1,(1-'Lease Cycles'!$AJ$23)*INDEX('Lease Cycles'!$EM$23:$ES$23,1,V265)+(1-'Lease Cycles'!$BE$23)*IF(V266&lt;INDEX('Lease Cycles'!$FA$23:$FG$23,1,V265),0,1-INDEX('Lease Cycles'!$EM$23:$ES$23,1,V265)),IF(OR(INDEX('Lease Cycles'!$DY$23:$EE$23,1,V265)=1,V266&gt;0),1,1-INDEX('Lease Cycles'!$DD$23:$DJ$23,1,V265))*((1-'Lease Cycles'!$AJ$23)*INDEX('Lease Cycles'!$FO$23:$FU$23,1,V265)+(1-'Lease Cycles'!$BE$23)*(1-INDEX('Lease Cycles'!$FO$23:$FU$23,1,V265)))),0)</f>
        <v>0</v>
      </c>
      <c r="W273" s="24">
        <f>IF(W267=1,'Lease Cycles'!$D$23*IF(INDEX('Lease Cycles'!$EF$23:$EL$23,1,W265)=1,(1-'Lease Cycles'!$AJ$23)*INDEX('Lease Cycles'!$EM$23:$ES$23,1,W265)+(1-'Lease Cycles'!$BE$23)*IF(W266&lt;INDEX('Lease Cycles'!$FA$23:$FG$23,1,W265),0,1-INDEX('Lease Cycles'!$EM$23:$ES$23,1,W265)),IF(OR(INDEX('Lease Cycles'!$DY$23:$EE$23,1,W265)=1,W266&gt;0),1,1-INDEX('Lease Cycles'!$DD$23:$DJ$23,1,W265))*((1-'Lease Cycles'!$AJ$23)*INDEX('Lease Cycles'!$FO$23:$FU$23,1,W265)+(1-'Lease Cycles'!$BE$23)*(1-INDEX('Lease Cycles'!$FO$23:$FU$23,1,W265)))),0)</f>
        <v>0</v>
      </c>
      <c r="X273" s="24">
        <f>IF(X267=1,'Lease Cycles'!$D$23*IF(INDEX('Lease Cycles'!$EF$23:$EL$23,1,X265)=1,(1-'Lease Cycles'!$AJ$23)*INDEX('Lease Cycles'!$EM$23:$ES$23,1,X265)+(1-'Lease Cycles'!$BE$23)*IF(X266&lt;INDEX('Lease Cycles'!$FA$23:$FG$23,1,X265),0,1-INDEX('Lease Cycles'!$EM$23:$ES$23,1,X265)),IF(OR(INDEX('Lease Cycles'!$DY$23:$EE$23,1,X265)=1,X266&gt;0),1,1-INDEX('Lease Cycles'!$DD$23:$DJ$23,1,X265))*((1-'Lease Cycles'!$AJ$23)*INDEX('Lease Cycles'!$FO$23:$FU$23,1,X265)+(1-'Lease Cycles'!$BE$23)*(1-INDEX('Lease Cycles'!$FO$23:$FU$23,1,X265)))),0)</f>
        <v>0</v>
      </c>
      <c r="Y273" s="24">
        <f>IF(Y267=1,'Lease Cycles'!$D$23*IF(INDEX('Lease Cycles'!$EF$23:$EL$23,1,Y265)=1,(1-'Lease Cycles'!$AJ$23)*INDEX('Lease Cycles'!$EM$23:$ES$23,1,Y265)+(1-'Lease Cycles'!$BE$23)*IF(Y266&lt;INDEX('Lease Cycles'!$FA$23:$FG$23,1,Y265),0,1-INDEX('Lease Cycles'!$EM$23:$ES$23,1,Y265)),IF(OR(INDEX('Lease Cycles'!$DY$23:$EE$23,1,Y265)=1,Y266&gt;0),1,1-INDEX('Lease Cycles'!$DD$23:$DJ$23,1,Y265))*((1-'Lease Cycles'!$AJ$23)*INDEX('Lease Cycles'!$FO$23:$FU$23,1,Y265)+(1-'Lease Cycles'!$BE$23)*(1-INDEX('Lease Cycles'!$FO$23:$FU$23,1,Y265)))),0)</f>
        <v>0</v>
      </c>
      <c r="Z273" s="24">
        <f>IF(Z267=1,'Lease Cycles'!$D$23*IF(INDEX('Lease Cycles'!$EF$23:$EL$23,1,Z265)=1,(1-'Lease Cycles'!$AJ$23)*INDEX('Lease Cycles'!$EM$23:$ES$23,1,Z265)+(1-'Lease Cycles'!$BE$23)*IF(Z266&lt;INDEX('Lease Cycles'!$FA$23:$FG$23,1,Z265),0,1-INDEX('Lease Cycles'!$EM$23:$ES$23,1,Z265)),IF(OR(INDEX('Lease Cycles'!$DY$23:$EE$23,1,Z265)=1,Z266&gt;0),1,1-INDEX('Lease Cycles'!$DD$23:$DJ$23,1,Z265))*((1-'Lease Cycles'!$AJ$23)*INDEX('Lease Cycles'!$FO$23:$FU$23,1,Z265)+(1-'Lease Cycles'!$BE$23)*(1-INDEX('Lease Cycles'!$FO$23:$FU$23,1,Z265)))),0)</f>
        <v>0</v>
      </c>
      <c r="AA273" s="24">
        <f>IF(AA267=1,'Lease Cycles'!$D$23*IF(INDEX('Lease Cycles'!$EF$23:$EL$23,1,AA265)=1,(1-'Lease Cycles'!$AJ$23)*INDEX('Lease Cycles'!$EM$23:$ES$23,1,AA265)+(1-'Lease Cycles'!$BE$23)*IF(AA266&lt;INDEX('Lease Cycles'!$FA$23:$FG$23,1,AA265),0,1-INDEX('Lease Cycles'!$EM$23:$ES$23,1,AA265)),IF(OR(INDEX('Lease Cycles'!$DY$23:$EE$23,1,AA265)=1,AA266&gt;0),1,1-INDEX('Lease Cycles'!$DD$23:$DJ$23,1,AA265))*((1-'Lease Cycles'!$AJ$23)*INDEX('Lease Cycles'!$FO$23:$FU$23,1,AA265)+(1-'Lease Cycles'!$BE$23)*(1-INDEX('Lease Cycles'!$FO$23:$FU$23,1,AA265)))),0)</f>
        <v>0</v>
      </c>
      <c r="AB273" s="24">
        <f>IF(AB267=1,'Lease Cycles'!$D$23*IF(INDEX('Lease Cycles'!$EF$23:$EL$23,1,AB265)=1,(1-'Lease Cycles'!$AJ$23)*INDEX('Lease Cycles'!$EM$23:$ES$23,1,AB265)+(1-'Lease Cycles'!$BE$23)*IF(AB266&lt;INDEX('Lease Cycles'!$FA$23:$FG$23,1,AB265),0,1-INDEX('Lease Cycles'!$EM$23:$ES$23,1,AB265)),IF(OR(INDEX('Lease Cycles'!$DY$23:$EE$23,1,AB265)=1,AB266&gt;0),1,1-INDEX('Lease Cycles'!$DD$23:$DJ$23,1,AB265))*((1-'Lease Cycles'!$AJ$23)*INDEX('Lease Cycles'!$FO$23:$FU$23,1,AB265)+(1-'Lease Cycles'!$BE$23)*(1-INDEX('Lease Cycles'!$FO$23:$FU$23,1,AB265)))),0)</f>
        <v>0</v>
      </c>
      <c r="AC273" s="24">
        <f>IF(AC267=1,'Lease Cycles'!$D$23*IF(INDEX('Lease Cycles'!$EF$23:$EL$23,1,AC265)=1,(1-'Lease Cycles'!$AJ$23)*INDEX('Lease Cycles'!$EM$23:$ES$23,1,AC265)+(1-'Lease Cycles'!$BE$23)*IF(AC266&lt;INDEX('Lease Cycles'!$FA$23:$FG$23,1,AC265),0,1-INDEX('Lease Cycles'!$EM$23:$ES$23,1,AC265)),IF(OR(INDEX('Lease Cycles'!$DY$23:$EE$23,1,AC265)=1,AC266&gt;0),1,1-INDEX('Lease Cycles'!$DD$23:$DJ$23,1,AC265))*((1-'Lease Cycles'!$AJ$23)*INDEX('Lease Cycles'!$FO$23:$FU$23,1,AC265)+(1-'Lease Cycles'!$BE$23)*(1-INDEX('Lease Cycles'!$FO$23:$FU$23,1,AC265)))),0)</f>
        <v>0</v>
      </c>
      <c r="AD273" s="24">
        <f>IF(AD267=1,'Lease Cycles'!$D$23*IF(INDEX('Lease Cycles'!$EF$23:$EL$23,1,AD265)=1,(1-'Lease Cycles'!$AJ$23)*INDEX('Lease Cycles'!$EM$23:$ES$23,1,AD265)+(1-'Lease Cycles'!$BE$23)*IF(AD266&lt;INDEX('Lease Cycles'!$FA$23:$FG$23,1,AD265),0,1-INDEX('Lease Cycles'!$EM$23:$ES$23,1,AD265)),IF(OR(INDEX('Lease Cycles'!$DY$23:$EE$23,1,AD265)=1,AD266&gt;0),1,1-INDEX('Lease Cycles'!$DD$23:$DJ$23,1,AD265))*((1-'Lease Cycles'!$AJ$23)*INDEX('Lease Cycles'!$FO$23:$FU$23,1,AD265)+(1-'Lease Cycles'!$BE$23)*(1-INDEX('Lease Cycles'!$FO$23:$FU$23,1,AD265)))),0)</f>
        <v>0</v>
      </c>
      <c r="AE273" s="24">
        <f>IF(AE267=1,'Lease Cycles'!$D$23*IF(INDEX('Lease Cycles'!$EF$23:$EL$23,1,AE265)=1,(1-'Lease Cycles'!$AJ$23)*INDEX('Lease Cycles'!$EM$23:$ES$23,1,AE265)+(1-'Lease Cycles'!$BE$23)*IF(AE266&lt;INDEX('Lease Cycles'!$FA$23:$FG$23,1,AE265),0,1-INDEX('Lease Cycles'!$EM$23:$ES$23,1,AE265)),IF(OR(INDEX('Lease Cycles'!$DY$23:$EE$23,1,AE265)=1,AE266&gt;0),1,1-INDEX('Lease Cycles'!$DD$23:$DJ$23,1,AE265))*((1-'Lease Cycles'!$AJ$23)*INDEX('Lease Cycles'!$FO$23:$FU$23,1,AE265)+(1-'Lease Cycles'!$BE$23)*(1-INDEX('Lease Cycles'!$FO$23:$FU$23,1,AE265)))),0)</f>
        <v>0</v>
      </c>
      <c r="AF273" s="24">
        <f>IF(AF267=1,'Lease Cycles'!$D$23*IF(INDEX('Lease Cycles'!$EF$23:$EL$23,1,AF265)=1,(1-'Lease Cycles'!$AJ$23)*INDEX('Lease Cycles'!$EM$23:$ES$23,1,AF265)+(1-'Lease Cycles'!$BE$23)*IF(AF266&lt;INDEX('Lease Cycles'!$FA$23:$FG$23,1,AF265),0,1-INDEX('Lease Cycles'!$EM$23:$ES$23,1,AF265)),IF(OR(INDEX('Lease Cycles'!$DY$23:$EE$23,1,AF265)=1,AF266&gt;0),1,1-INDEX('Lease Cycles'!$DD$23:$DJ$23,1,AF265))*((1-'Lease Cycles'!$AJ$23)*INDEX('Lease Cycles'!$FO$23:$FU$23,1,AF265)+(1-'Lease Cycles'!$BE$23)*(1-INDEX('Lease Cycles'!$FO$23:$FU$23,1,AF265)))),0)</f>
        <v>0</v>
      </c>
      <c r="AG273" s="24">
        <f>IF(AG267=1,'Lease Cycles'!$D$23*IF(INDEX('Lease Cycles'!$EF$23:$EL$23,1,AG265)=1,(1-'Lease Cycles'!$AJ$23)*INDEX('Lease Cycles'!$EM$23:$ES$23,1,AG265)+(1-'Lease Cycles'!$BE$23)*IF(AG266&lt;INDEX('Lease Cycles'!$FA$23:$FG$23,1,AG265),0,1-INDEX('Lease Cycles'!$EM$23:$ES$23,1,AG265)),IF(OR(INDEX('Lease Cycles'!$DY$23:$EE$23,1,AG265)=1,AG266&gt;0),1,1-INDEX('Lease Cycles'!$DD$23:$DJ$23,1,AG265))*((1-'Lease Cycles'!$AJ$23)*INDEX('Lease Cycles'!$FO$23:$FU$23,1,AG265)+(1-'Lease Cycles'!$BE$23)*(1-INDEX('Lease Cycles'!$FO$23:$FU$23,1,AG265)))),0)</f>
        <v>0</v>
      </c>
      <c r="AH273" s="24">
        <f>IF(AH267=1,'Lease Cycles'!$D$23*IF(INDEX('Lease Cycles'!$EF$23:$EL$23,1,AH265)=1,(1-'Lease Cycles'!$AJ$23)*INDEX('Lease Cycles'!$EM$23:$ES$23,1,AH265)+(1-'Lease Cycles'!$BE$23)*IF(AH266&lt;INDEX('Lease Cycles'!$FA$23:$FG$23,1,AH265),0,1-INDEX('Lease Cycles'!$EM$23:$ES$23,1,AH265)),IF(OR(INDEX('Lease Cycles'!$DY$23:$EE$23,1,AH265)=1,AH266&gt;0),1,1-INDEX('Lease Cycles'!$DD$23:$DJ$23,1,AH265))*((1-'Lease Cycles'!$AJ$23)*INDEX('Lease Cycles'!$FO$23:$FU$23,1,AH265)+(1-'Lease Cycles'!$BE$23)*(1-INDEX('Lease Cycles'!$FO$23:$FU$23,1,AH265)))),0)</f>
        <v>0</v>
      </c>
      <c r="AI273" s="24">
        <f>IF(AI267=1,'Lease Cycles'!$D$23*IF(INDEX('Lease Cycles'!$EF$23:$EL$23,1,AI265)=1,(1-'Lease Cycles'!$AJ$23)*INDEX('Lease Cycles'!$EM$23:$ES$23,1,AI265)+(1-'Lease Cycles'!$BE$23)*IF(AI266&lt;INDEX('Lease Cycles'!$FA$23:$FG$23,1,AI265),0,1-INDEX('Lease Cycles'!$EM$23:$ES$23,1,AI265)),IF(OR(INDEX('Lease Cycles'!$DY$23:$EE$23,1,AI265)=1,AI266&gt;0),1,1-INDEX('Lease Cycles'!$DD$23:$DJ$23,1,AI265))*((1-'Lease Cycles'!$AJ$23)*INDEX('Lease Cycles'!$FO$23:$FU$23,1,AI265)+(1-'Lease Cycles'!$BE$23)*(1-INDEX('Lease Cycles'!$FO$23:$FU$23,1,AI265)))),0)</f>
        <v>0</v>
      </c>
      <c r="AJ273" s="24">
        <f>IF(AJ267=1,'Lease Cycles'!$D$23*IF(INDEX('Lease Cycles'!$EF$23:$EL$23,1,AJ265)=1,(1-'Lease Cycles'!$AJ$23)*INDEX('Lease Cycles'!$EM$23:$ES$23,1,AJ265)+(1-'Lease Cycles'!$BE$23)*IF(AJ266&lt;INDEX('Lease Cycles'!$FA$23:$FG$23,1,AJ265),0,1-INDEX('Lease Cycles'!$EM$23:$ES$23,1,AJ265)),IF(OR(INDEX('Lease Cycles'!$DY$23:$EE$23,1,AJ265)=1,AJ266&gt;0),1,1-INDEX('Lease Cycles'!$DD$23:$DJ$23,1,AJ265))*((1-'Lease Cycles'!$AJ$23)*INDEX('Lease Cycles'!$FO$23:$FU$23,1,AJ265)+(1-'Lease Cycles'!$BE$23)*(1-INDEX('Lease Cycles'!$FO$23:$FU$23,1,AJ265)))),0)</f>
        <v>0</v>
      </c>
      <c r="AK273" s="24">
        <f>IF(AK267=1,'Lease Cycles'!$D$23*IF(INDEX('Lease Cycles'!$EF$23:$EL$23,1,AK265)=1,(1-'Lease Cycles'!$AJ$23)*INDEX('Lease Cycles'!$EM$23:$ES$23,1,AK265)+(1-'Lease Cycles'!$BE$23)*IF(AK266&lt;INDEX('Lease Cycles'!$FA$23:$FG$23,1,AK265),0,1-INDEX('Lease Cycles'!$EM$23:$ES$23,1,AK265)),IF(OR(INDEX('Lease Cycles'!$DY$23:$EE$23,1,AK265)=1,AK266&gt;0),1,1-INDEX('Lease Cycles'!$DD$23:$DJ$23,1,AK265))*((1-'Lease Cycles'!$AJ$23)*INDEX('Lease Cycles'!$FO$23:$FU$23,1,AK265)+(1-'Lease Cycles'!$BE$23)*(1-INDEX('Lease Cycles'!$FO$23:$FU$23,1,AK265)))),0)</f>
        <v>0</v>
      </c>
      <c r="AL273" s="24">
        <f>IF(AL267=1,'Lease Cycles'!$D$23*IF(INDEX('Lease Cycles'!$EF$23:$EL$23,1,AL265)=1,(1-'Lease Cycles'!$AJ$23)*INDEX('Lease Cycles'!$EM$23:$ES$23,1,AL265)+(1-'Lease Cycles'!$BE$23)*IF(AL266&lt;INDEX('Lease Cycles'!$FA$23:$FG$23,1,AL265),0,1-INDEX('Lease Cycles'!$EM$23:$ES$23,1,AL265)),IF(OR(INDEX('Lease Cycles'!$DY$23:$EE$23,1,AL265)=1,AL266&gt;0),1,1-INDEX('Lease Cycles'!$DD$23:$DJ$23,1,AL265))*((1-'Lease Cycles'!$AJ$23)*INDEX('Lease Cycles'!$FO$23:$FU$23,1,AL265)+(1-'Lease Cycles'!$BE$23)*(1-INDEX('Lease Cycles'!$FO$23:$FU$23,1,AL265)))),0)</f>
        <v>0</v>
      </c>
      <c r="AM273" s="24">
        <f>IF(AM267=1,'Lease Cycles'!$D$23*IF(INDEX('Lease Cycles'!$EF$23:$EL$23,1,AM265)=1,(1-'Lease Cycles'!$AJ$23)*INDEX('Lease Cycles'!$EM$23:$ES$23,1,AM265)+(1-'Lease Cycles'!$BE$23)*IF(AM266&lt;INDEX('Lease Cycles'!$FA$23:$FG$23,1,AM265),0,1-INDEX('Lease Cycles'!$EM$23:$ES$23,1,AM265)),IF(OR(INDEX('Lease Cycles'!$DY$23:$EE$23,1,AM265)=1,AM266&gt;0),1,1-INDEX('Lease Cycles'!$DD$23:$DJ$23,1,AM265))*((1-'Lease Cycles'!$AJ$23)*INDEX('Lease Cycles'!$FO$23:$FU$23,1,AM265)+(1-'Lease Cycles'!$BE$23)*(1-INDEX('Lease Cycles'!$FO$23:$FU$23,1,AM265)))),0)</f>
        <v>0</v>
      </c>
      <c r="AN273" s="24">
        <f>IF(AN267=1,'Lease Cycles'!$D$23*IF(INDEX('Lease Cycles'!$EF$23:$EL$23,1,AN265)=1,(1-'Lease Cycles'!$AJ$23)*INDEX('Lease Cycles'!$EM$23:$ES$23,1,AN265)+(1-'Lease Cycles'!$BE$23)*IF(AN266&lt;INDEX('Lease Cycles'!$FA$23:$FG$23,1,AN265),0,1-INDEX('Lease Cycles'!$EM$23:$ES$23,1,AN265)),IF(OR(INDEX('Lease Cycles'!$DY$23:$EE$23,1,AN265)=1,AN266&gt;0),1,1-INDEX('Lease Cycles'!$DD$23:$DJ$23,1,AN265))*((1-'Lease Cycles'!$AJ$23)*INDEX('Lease Cycles'!$FO$23:$FU$23,1,AN265)+(1-'Lease Cycles'!$BE$23)*(1-INDEX('Lease Cycles'!$FO$23:$FU$23,1,AN265)))),0)</f>
        <v>0</v>
      </c>
      <c r="AO273" s="24">
        <f>IF(AO267=1,'Lease Cycles'!$D$23*IF(INDEX('Lease Cycles'!$EF$23:$EL$23,1,AO265)=1,(1-'Lease Cycles'!$AJ$23)*INDEX('Lease Cycles'!$EM$23:$ES$23,1,AO265)+(1-'Lease Cycles'!$BE$23)*IF(AO266&lt;INDEX('Lease Cycles'!$FA$23:$FG$23,1,AO265),0,1-INDEX('Lease Cycles'!$EM$23:$ES$23,1,AO265)),IF(OR(INDEX('Lease Cycles'!$DY$23:$EE$23,1,AO265)=1,AO266&gt;0),1,1-INDEX('Lease Cycles'!$DD$23:$DJ$23,1,AO265))*((1-'Lease Cycles'!$AJ$23)*INDEX('Lease Cycles'!$FO$23:$FU$23,1,AO265)+(1-'Lease Cycles'!$BE$23)*(1-INDEX('Lease Cycles'!$FO$23:$FU$23,1,AO265)))),0)</f>
        <v>0</v>
      </c>
      <c r="AP273" s="24">
        <f>IF(AP267=1,'Lease Cycles'!$D$23*IF(INDEX('Lease Cycles'!$EF$23:$EL$23,1,AP265)=1,(1-'Lease Cycles'!$AJ$23)*INDEX('Lease Cycles'!$EM$23:$ES$23,1,AP265)+(1-'Lease Cycles'!$BE$23)*IF(AP266&lt;INDEX('Lease Cycles'!$FA$23:$FG$23,1,AP265),0,1-INDEX('Lease Cycles'!$EM$23:$ES$23,1,AP265)),IF(OR(INDEX('Lease Cycles'!$DY$23:$EE$23,1,AP265)=1,AP266&gt;0),1,1-INDEX('Lease Cycles'!$DD$23:$DJ$23,1,AP265))*((1-'Lease Cycles'!$AJ$23)*INDEX('Lease Cycles'!$FO$23:$FU$23,1,AP265)+(1-'Lease Cycles'!$BE$23)*(1-INDEX('Lease Cycles'!$FO$23:$FU$23,1,AP265)))),0)</f>
        <v>0</v>
      </c>
      <c r="AQ273" s="24">
        <f>IF(AQ267=1,'Lease Cycles'!$D$23*IF(INDEX('Lease Cycles'!$EF$23:$EL$23,1,AQ265)=1,(1-'Lease Cycles'!$AJ$23)*INDEX('Lease Cycles'!$EM$23:$ES$23,1,AQ265)+(1-'Lease Cycles'!$BE$23)*IF(AQ266&lt;INDEX('Lease Cycles'!$FA$23:$FG$23,1,AQ265),0,1-INDEX('Lease Cycles'!$EM$23:$ES$23,1,AQ265)),IF(OR(INDEX('Lease Cycles'!$DY$23:$EE$23,1,AQ265)=1,AQ266&gt;0),1,1-INDEX('Lease Cycles'!$DD$23:$DJ$23,1,AQ265))*((1-'Lease Cycles'!$AJ$23)*INDEX('Lease Cycles'!$FO$23:$FU$23,1,AQ265)+(1-'Lease Cycles'!$BE$23)*(1-INDEX('Lease Cycles'!$FO$23:$FU$23,1,AQ265)))),0)</f>
        <v>0</v>
      </c>
      <c r="AR273" s="24">
        <f>IF(AR267=1,'Lease Cycles'!$D$23*IF(INDEX('Lease Cycles'!$EF$23:$EL$23,1,AR265)=1,(1-'Lease Cycles'!$AJ$23)*INDEX('Lease Cycles'!$EM$23:$ES$23,1,AR265)+(1-'Lease Cycles'!$BE$23)*IF(AR266&lt;INDEX('Lease Cycles'!$FA$23:$FG$23,1,AR265),0,1-INDEX('Lease Cycles'!$EM$23:$ES$23,1,AR265)),IF(OR(INDEX('Lease Cycles'!$DY$23:$EE$23,1,AR265)=1,AR266&gt;0),1,1-INDEX('Lease Cycles'!$DD$23:$DJ$23,1,AR265))*((1-'Lease Cycles'!$AJ$23)*INDEX('Lease Cycles'!$FO$23:$FU$23,1,AR265)+(1-'Lease Cycles'!$BE$23)*(1-INDEX('Lease Cycles'!$FO$23:$FU$23,1,AR265)))),0)</f>
        <v>0</v>
      </c>
      <c r="AS273" s="24">
        <f>IF(AS267=1,'Lease Cycles'!$D$23*IF(INDEX('Lease Cycles'!$EF$23:$EL$23,1,AS265)=1,(1-'Lease Cycles'!$AJ$23)*INDEX('Lease Cycles'!$EM$23:$ES$23,1,AS265)+(1-'Lease Cycles'!$BE$23)*IF(AS266&lt;INDEX('Lease Cycles'!$FA$23:$FG$23,1,AS265),0,1-INDEX('Lease Cycles'!$EM$23:$ES$23,1,AS265)),IF(OR(INDEX('Lease Cycles'!$DY$23:$EE$23,1,AS265)=1,AS266&gt;0),1,1-INDEX('Lease Cycles'!$DD$23:$DJ$23,1,AS265))*((1-'Lease Cycles'!$AJ$23)*INDEX('Lease Cycles'!$FO$23:$FU$23,1,AS265)+(1-'Lease Cycles'!$BE$23)*(1-INDEX('Lease Cycles'!$FO$23:$FU$23,1,AS265)))),0)</f>
        <v>0</v>
      </c>
      <c r="AT273" s="24">
        <f>IF(AT267=1,'Lease Cycles'!$D$23*IF(INDEX('Lease Cycles'!$EF$23:$EL$23,1,AT265)=1,(1-'Lease Cycles'!$AJ$23)*INDEX('Lease Cycles'!$EM$23:$ES$23,1,AT265)+(1-'Lease Cycles'!$BE$23)*IF(AT266&lt;INDEX('Lease Cycles'!$FA$23:$FG$23,1,AT265),0,1-INDEX('Lease Cycles'!$EM$23:$ES$23,1,AT265)),IF(OR(INDEX('Lease Cycles'!$DY$23:$EE$23,1,AT265)=1,AT266&gt;0),1,1-INDEX('Lease Cycles'!$DD$23:$DJ$23,1,AT265))*((1-'Lease Cycles'!$AJ$23)*INDEX('Lease Cycles'!$FO$23:$FU$23,1,AT265)+(1-'Lease Cycles'!$BE$23)*(1-INDEX('Lease Cycles'!$FO$23:$FU$23,1,AT265)))),0)</f>
        <v>0</v>
      </c>
      <c r="AU273" s="24">
        <f>IF(AU267=1,'Lease Cycles'!$D$23*IF(INDEX('Lease Cycles'!$EF$23:$EL$23,1,AU265)=1,(1-'Lease Cycles'!$AJ$23)*INDEX('Lease Cycles'!$EM$23:$ES$23,1,AU265)+(1-'Lease Cycles'!$BE$23)*IF(AU266&lt;INDEX('Lease Cycles'!$FA$23:$FG$23,1,AU265),0,1-INDEX('Lease Cycles'!$EM$23:$ES$23,1,AU265)),IF(OR(INDEX('Lease Cycles'!$DY$23:$EE$23,1,AU265)=1,AU266&gt;0),1,1-INDEX('Lease Cycles'!$DD$23:$DJ$23,1,AU265))*((1-'Lease Cycles'!$AJ$23)*INDEX('Lease Cycles'!$FO$23:$FU$23,1,AU265)+(1-'Lease Cycles'!$BE$23)*(1-INDEX('Lease Cycles'!$FO$23:$FU$23,1,AU265)))),0)</f>
        <v>0</v>
      </c>
      <c r="AV273" s="24">
        <f>IF(AV267=1,'Lease Cycles'!$D$23*IF(INDEX('Lease Cycles'!$EF$23:$EL$23,1,AV265)=1,(1-'Lease Cycles'!$AJ$23)*INDEX('Lease Cycles'!$EM$23:$ES$23,1,AV265)+(1-'Lease Cycles'!$BE$23)*IF(AV266&lt;INDEX('Lease Cycles'!$FA$23:$FG$23,1,AV265),0,1-INDEX('Lease Cycles'!$EM$23:$ES$23,1,AV265)),IF(OR(INDEX('Lease Cycles'!$DY$23:$EE$23,1,AV265)=1,AV266&gt;0),1,1-INDEX('Lease Cycles'!$DD$23:$DJ$23,1,AV265))*((1-'Lease Cycles'!$AJ$23)*INDEX('Lease Cycles'!$FO$23:$FU$23,1,AV265)+(1-'Lease Cycles'!$BE$23)*(1-INDEX('Lease Cycles'!$FO$23:$FU$23,1,AV265)))),0)</f>
        <v>0</v>
      </c>
      <c r="AW273" s="24">
        <f>IF(AW267=1,'Lease Cycles'!$D$23*IF(INDEX('Lease Cycles'!$EF$23:$EL$23,1,AW265)=1,(1-'Lease Cycles'!$AJ$23)*INDEX('Lease Cycles'!$EM$23:$ES$23,1,AW265)+(1-'Lease Cycles'!$BE$23)*IF(AW266&lt;INDEX('Lease Cycles'!$FA$23:$FG$23,1,AW265),0,1-INDEX('Lease Cycles'!$EM$23:$ES$23,1,AW265)),IF(OR(INDEX('Lease Cycles'!$DY$23:$EE$23,1,AW265)=1,AW266&gt;0),1,1-INDEX('Lease Cycles'!$DD$23:$DJ$23,1,AW265))*((1-'Lease Cycles'!$AJ$23)*INDEX('Lease Cycles'!$FO$23:$FU$23,1,AW265)+(1-'Lease Cycles'!$BE$23)*(1-INDEX('Lease Cycles'!$FO$23:$FU$23,1,AW265)))),0)</f>
        <v>0</v>
      </c>
      <c r="AX273" s="24">
        <f>IF(AX267=1,'Lease Cycles'!$D$23*IF(INDEX('Lease Cycles'!$EF$23:$EL$23,1,AX265)=1,(1-'Lease Cycles'!$AJ$23)*INDEX('Lease Cycles'!$EM$23:$ES$23,1,AX265)+(1-'Lease Cycles'!$BE$23)*IF(AX266&lt;INDEX('Lease Cycles'!$FA$23:$FG$23,1,AX265),0,1-INDEX('Lease Cycles'!$EM$23:$ES$23,1,AX265)),IF(OR(INDEX('Lease Cycles'!$DY$23:$EE$23,1,AX265)=1,AX266&gt;0),1,1-INDEX('Lease Cycles'!$DD$23:$DJ$23,1,AX265))*((1-'Lease Cycles'!$AJ$23)*INDEX('Lease Cycles'!$FO$23:$FU$23,1,AX265)+(1-'Lease Cycles'!$BE$23)*(1-INDEX('Lease Cycles'!$FO$23:$FU$23,1,AX265)))),0)</f>
        <v>0</v>
      </c>
      <c r="AY273" s="24">
        <f>IF(AY267=1,'Lease Cycles'!$D$23*IF(INDEX('Lease Cycles'!$EF$23:$EL$23,1,AY265)=1,(1-'Lease Cycles'!$AJ$23)*INDEX('Lease Cycles'!$EM$23:$ES$23,1,AY265)+(1-'Lease Cycles'!$BE$23)*IF(AY266&lt;INDEX('Lease Cycles'!$FA$23:$FG$23,1,AY265),0,1-INDEX('Lease Cycles'!$EM$23:$ES$23,1,AY265)),IF(OR(INDEX('Lease Cycles'!$DY$23:$EE$23,1,AY265)=1,AY266&gt;0),1,1-INDEX('Lease Cycles'!$DD$23:$DJ$23,1,AY265))*((1-'Lease Cycles'!$AJ$23)*INDEX('Lease Cycles'!$FO$23:$FU$23,1,AY265)+(1-'Lease Cycles'!$BE$23)*(1-INDEX('Lease Cycles'!$FO$23:$FU$23,1,AY265)))),0)</f>
        <v>0</v>
      </c>
      <c r="AZ273" s="24">
        <f>IF(AZ267=1,'Lease Cycles'!$D$23*IF(INDEX('Lease Cycles'!$EF$23:$EL$23,1,AZ265)=1,(1-'Lease Cycles'!$AJ$23)*INDEX('Lease Cycles'!$EM$23:$ES$23,1,AZ265)+(1-'Lease Cycles'!$BE$23)*IF(AZ266&lt;INDEX('Lease Cycles'!$FA$23:$FG$23,1,AZ265),0,1-INDEX('Lease Cycles'!$EM$23:$ES$23,1,AZ265)),IF(OR(INDEX('Lease Cycles'!$DY$23:$EE$23,1,AZ265)=1,AZ266&gt;0),1,1-INDEX('Lease Cycles'!$DD$23:$DJ$23,1,AZ265))*((1-'Lease Cycles'!$AJ$23)*INDEX('Lease Cycles'!$FO$23:$FU$23,1,AZ265)+(1-'Lease Cycles'!$BE$23)*(1-INDEX('Lease Cycles'!$FO$23:$FU$23,1,AZ265)))),0)</f>
        <v>0</v>
      </c>
      <c r="BA273" s="24">
        <f>IF(BA267=1,'Lease Cycles'!$D$23*IF(INDEX('Lease Cycles'!$EF$23:$EL$23,1,BA265)=1,(1-'Lease Cycles'!$AJ$23)*INDEX('Lease Cycles'!$EM$23:$ES$23,1,BA265)+(1-'Lease Cycles'!$BE$23)*IF(BA266&lt;INDEX('Lease Cycles'!$FA$23:$FG$23,1,BA265),0,1-INDEX('Lease Cycles'!$EM$23:$ES$23,1,BA265)),IF(OR(INDEX('Lease Cycles'!$DY$23:$EE$23,1,BA265)=1,BA266&gt;0),1,1-INDEX('Lease Cycles'!$DD$23:$DJ$23,1,BA265))*((1-'Lease Cycles'!$AJ$23)*INDEX('Lease Cycles'!$FO$23:$FU$23,1,BA265)+(1-'Lease Cycles'!$BE$23)*(1-INDEX('Lease Cycles'!$FO$23:$FU$23,1,BA265)))),0)</f>
        <v>0</v>
      </c>
      <c r="BB273" s="24">
        <f>IF(BB267=1,'Lease Cycles'!$D$23*IF(INDEX('Lease Cycles'!$EF$23:$EL$23,1,BB265)=1,(1-'Lease Cycles'!$AJ$23)*INDEX('Lease Cycles'!$EM$23:$ES$23,1,BB265)+(1-'Lease Cycles'!$BE$23)*IF(BB266&lt;INDEX('Lease Cycles'!$FA$23:$FG$23,1,BB265),0,1-INDEX('Lease Cycles'!$EM$23:$ES$23,1,BB265)),IF(OR(INDEX('Lease Cycles'!$DY$23:$EE$23,1,BB265)=1,BB266&gt;0),1,1-INDEX('Lease Cycles'!$DD$23:$DJ$23,1,BB265))*((1-'Lease Cycles'!$AJ$23)*INDEX('Lease Cycles'!$FO$23:$FU$23,1,BB265)+(1-'Lease Cycles'!$BE$23)*(1-INDEX('Lease Cycles'!$FO$23:$FU$23,1,BB265)))),0)</f>
        <v>0</v>
      </c>
      <c r="BC273" s="24">
        <f>IF(BC267=1,'Lease Cycles'!$D$23*IF(INDEX('Lease Cycles'!$EF$23:$EL$23,1,BC265)=1,(1-'Lease Cycles'!$AJ$23)*INDEX('Lease Cycles'!$EM$23:$ES$23,1,BC265)+(1-'Lease Cycles'!$BE$23)*IF(BC266&lt;INDEX('Lease Cycles'!$FA$23:$FG$23,1,BC265),0,1-INDEX('Lease Cycles'!$EM$23:$ES$23,1,BC265)),IF(OR(INDEX('Lease Cycles'!$DY$23:$EE$23,1,BC265)=1,BC266&gt;0),1,1-INDEX('Lease Cycles'!$DD$23:$DJ$23,1,BC265))*((1-'Lease Cycles'!$AJ$23)*INDEX('Lease Cycles'!$FO$23:$FU$23,1,BC265)+(1-'Lease Cycles'!$BE$23)*(1-INDEX('Lease Cycles'!$FO$23:$FU$23,1,BC265)))),0)</f>
        <v>0</v>
      </c>
      <c r="BD273" s="24">
        <f>IF(BD267=1,'Lease Cycles'!$D$23*IF(INDEX('Lease Cycles'!$EF$23:$EL$23,1,BD265)=1,(1-'Lease Cycles'!$AJ$23)*INDEX('Lease Cycles'!$EM$23:$ES$23,1,BD265)+(1-'Lease Cycles'!$BE$23)*IF(BD266&lt;INDEX('Lease Cycles'!$FA$23:$FG$23,1,BD265),0,1-INDEX('Lease Cycles'!$EM$23:$ES$23,1,BD265)),IF(OR(INDEX('Lease Cycles'!$DY$23:$EE$23,1,BD265)=1,BD266&gt;0),1,1-INDEX('Lease Cycles'!$DD$23:$DJ$23,1,BD265))*((1-'Lease Cycles'!$AJ$23)*INDEX('Lease Cycles'!$FO$23:$FU$23,1,BD265)+(1-'Lease Cycles'!$BE$23)*(1-INDEX('Lease Cycles'!$FO$23:$FU$23,1,BD265)))),0)</f>
        <v>0</v>
      </c>
      <c r="BE273" s="24">
        <f>IF(BE267=1,'Lease Cycles'!$D$23*IF(INDEX('Lease Cycles'!$EF$23:$EL$23,1,BE265)=1,(1-'Lease Cycles'!$AJ$23)*INDEX('Lease Cycles'!$EM$23:$ES$23,1,BE265)+(1-'Lease Cycles'!$BE$23)*IF(BE266&lt;INDEX('Lease Cycles'!$FA$23:$FG$23,1,BE265),0,1-INDEX('Lease Cycles'!$EM$23:$ES$23,1,BE265)),IF(OR(INDEX('Lease Cycles'!$DY$23:$EE$23,1,BE265)=1,BE266&gt;0),1,1-INDEX('Lease Cycles'!$DD$23:$DJ$23,1,BE265))*((1-'Lease Cycles'!$AJ$23)*INDEX('Lease Cycles'!$FO$23:$FU$23,1,BE265)+(1-'Lease Cycles'!$BE$23)*(1-INDEX('Lease Cycles'!$FO$23:$FU$23,1,BE265)))),0)</f>
        <v>0</v>
      </c>
      <c r="BF273" s="24">
        <f>IF(BF267=1,'Lease Cycles'!$D$23*IF(INDEX('Lease Cycles'!$EF$23:$EL$23,1,BF265)=1,(1-'Lease Cycles'!$AJ$23)*INDEX('Lease Cycles'!$EM$23:$ES$23,1,BF265)+(1-'Lease Cycles'!$BE$23)*IF(BF266&lt;INDEX('Lease Cycles'!$FA$23:$FG$23,1,BF265),0,1-INDEX('Lease Cycles'!$EM$23:$ES$23,1,BF265)),IF(OR(INDEX('Lease Cycles'!$DY$23:$EE$23,1,BF265)=1,BF266&gt;0),1,1-INDEX('Lease Cycles'!$DD$23:$DJ$23,1,BF265))*((1-'Lease Cycles'!$AJ$23)*INDEX('Lease Cycles'!$FO$23:$FU$23,1,BF265)+(1-'Lease Cycles'!$BE$23)*(1-INDEX('Lease Cycles'!$FO$23:$FU$23,1,BF265)))),0)</f>
        <v>0</v>
      </c>
      <c r="BG273" s="24">
        <f>IF(BG267=1,'Lease Cycles'!$D$23*IF(INDEX('Lease Cycles'!$EF$23:$EL$23,1,BG265)=1,(1-'Lease Cycles'!$AJ$23)*INDEX('Lease Cycles'!$EM$23:$ES$23,1,BG265)+(1-'Lease Cycles'!$BE$23)*IF(BG266&lt;INDEX('Lease Cycles'!$FA$23:$FG$23,1,BG265),0,1-INDEX('Lease Cycles'!$EM$23:$ES$23,1,BG265)),IF(OR(INDEX('Lease Cycles'!$DY$23:$EE$23,1,BG265)=1,BG266&gt;0),1,1-INDEX('Lease Cycles'!$DD$23:$DJ$23,1,BG265))*((1-'Lease Cycles'!$AJ$23)*INDEX('Lease Cycles'!$FO$23:$FU$23,1,BG265)+(1-'Lease Cycles'!$BE$23)*(1-INDEX('Lease Cycles'!$FO$23:$FU$23,1,BG265)))),0)</f>
        <v>0</v>
      </c>
      <c r="BH273" s="24">
        <f>IF(BH267=1,'Lease Cycles'!$D$23*IF(INDEX('Lease Cycles'!$EF$23:$EL$23,1,BH265)=1,(1-'Lease Cycles'!$AJ$23)*INDEX('Lease Cycles'!$EM$23:$ES$23,1,BH265)+(1-'Lease Cycles'!$BE$23)*IF(BH266&lt;INDEX('Lease Cycles'!$FA$23:$FG$23,1,BH265),0,1-INDEX('Lease Cycles'!$EM$23:$ES$23,1,BH265)),IF(OR(INDEX('Lease Cycles'!$DY$23:$EE$23,1,BH265)=1,BH266&gt;0),1,1-INDEX('Lease Cycles'!$DD$23:$DJ$23,1,BH265))*((1-'Lease Cycles'!$AJ$23)*INDEX('Lease Cycles'!$FO$23:$FU$23,1,BH265)+(1-'Lease Cycles'!$BE$23)*(1-INDEX('Lease Cycles'!$FO$23:$FU$23,1,BH265)))),0)</f>
        <v>0</v>
      </c>
      <c r="BI273" s="24">
        <f>IF(BI267=1,'Lease Cycles'!$D$23*IF(INDEX('Lease Cycles'!$EF$23:$EL$23,1,BI265)=1,(1-'Lease Cycles'!$AJ$23)*INDEX('Lease Cycles'!$EM$23:$ES$23,1,BI265)+(1-'Lease Cycles'!$BE$23)*IF(BI266&lt;INDEX('Lease Cycles'!$FA$23:$FG$23,1,BI265),0,1-INDEX('Lease Cycles'!$EM$23:$ES$23,1,BI265)),IF(OR(INDEX('Lease Cycles'!$DY$23:$EE$23,1,BI265)=1,BI266&gt;0),1,1-INDEX('Lease Cycles'!$DD$23:$DJ$23,1,BI265))*((1-'Lease Cycles'!$AJ$23)*INDEX('Lease Cycles'!$FO$23:$FU$23,1,BI265)+(1-'Lease Cycles'!$BE$23)*(1-INDEX('Lease Cycles'!$FO$23:$FU$23,1,BI265)))),0)</f>
        <v>0</v>
      </c>
      <c r="BJ273" s="24">
        <f>IF(BJ267=1,'Lease Cycles'!$D$23*IF(INDEX('Lease Cycles'!$EF$23:$EL$23,1,BJ265)=1,(1-'Lease Cycles'!$AJ$23)*INDEX('Lease Cycles'!$EM$23:$ES$23,1,BJ265)+(1-'Lease Cycles'!$BE$23)*IF(BJ266&lt;INDEX('Lease Cycles'!$FA$23:$FG$23,1,BJ265),0,1-INDEX('Lease Cycles'!$EM$23:$ES$23,1,BJ265)),IF(OR(INDEX('Lease Cycles'!$DY$23:$EE$23,1,BJ265)=1,BJ266&gt;0),1,1-INDEX('Lease Cycles'!$DD$23:$DJ$23,1,BJ265))*((1-'Lease Cycles'!$AJ$23)*INDEX('Lease Cycles'!$FO$23:$FU$23,1,BJ265)+(1-'Lease Cycles'!$BE$23)*(1-INDEX('Lease Cycles'!$FO$23:$FU$23,1,BJ265)))),0)</f>
        <v>0</v>
      </c>
      <c r="BK273" s="24">
        <f>IF(BK267=1,'Lease Cycles'!$D$23*IF(INDEX('Lease Cycles'!$EF$23:$EL$23,1,BK265)=1,(1-'Lease Cycles'!$AJ$23)*INDEX('Lease Cycles'!$EM$23:$ES$23,1,BK265)+(1-'Lease Cycles'!$BE$23)*IF(BK266&lt;INDEX('Lease Cycles'!$FA$23:$FG$23,1,BK265),0,1-INDEX('Lease Cycles'!$EM$23:$ES$23,1,BK265)),IF(OR(INDEX('Lease Cycles'!$DY$23:$EE$23,1,BK265)=1,BK266&gt;0),1,1-INDEX('Lease Cycles'!$DD$23:$DJ$23,1,BK265))*((1-'Lease Cycles'!$AJ$23)*INDEX('Lease Cycles'!$FO$23:$FU$23,1,BK265)+(1-'Lease Cycles'!$BE$23)*(1-INDEX('Lease Cycles'!$FO$23:$FU$23,1,BK265)))),0)</f>
        <v>0</v>
      </c>
      <c r="BL273" s="24">
        <f>IF(BL267=1,'Lease Cycles'!$D$23*IF(INDEX('Lease Cycles'!$EF$23:$EL$23,1,BL265)=1,(1-'Lease Cycles'!$AJ$23)*INDEX('Lease Cycles'!$EM$23:$ES$23,1,BL265)+(1-'Lease Cycles'!$BE$23)*IF(BL266&lt;INDEX('Lease Cycles'!$FA$23:$FG$23,1,BL265),0,1-INDEX('Lease Cycles'!$EM$23:$ES$23,1,BL265)),IF(OR(INDEX('Lease Cycles'!$DY$23:$EE$23,1,BL265)=1,BL266&gt;0),1,1-INDEX('Lease Cycles'!$DD$23:$DJ$23,1,BL265))*((1-'Lease Cycles'!$AJ$23)*INDEX('Lease Cycles'!$FO$23:$FU$23,1,BL265)+(1-'Lease Cycles'!$BE$23)*(1-INDEX('Lease Cycles'!$FO$23:$FU$23,1,BL265)))),0)</f>
        <v>0</v>
      </c>
      <c r="BM273" s="24">
        <f>IF(BM267=1,'Lease Cycles'!$D$23*IF(INDEX('Lease Cycles'!$EF$23:$EL$23,1,BM265)=1,(1-'Lease Cycles'!$AJ$23)*INDEX('Lease Cycles'!$EM$23:$ES$23,1,BM265)+(1-'Lease Cycles'!$BE$23)*IF(BM266&lt;INDEX('Lease Cycles'!$FA$23:$FG$23,1,BM265),0,1-INDEX('Lease Cycles'!$EM$23:$ES$23,1,BM265)),IF(OR(INDEX('Lease Cycles'!$DY$23:$EE$23,1,BM265)=1,BM266&gt;0),1,1-INDEX('Lease Cycles'!$DD$23:$DJ$23,1,BM265))*((1-'Lease Cycles'!$AJ$23)*INDEX('Lease Cycles'!$FO$23:$FU$23,1,BM265)+(1-'Lease Cycles'!$BE$23)*(1-INDEX('Lease Cycles'!$FO$23:$FU$23,1,BM265)))),0)</f>
        <v>0</v>
      </c>
      <c r="BN273" s="24">
        <f>IF(BN267=1,'Lease Cycles'!$D$23*IF(INDEX('Lease Cycles'!$EF$23:$EL$23,1,BN265)=1,(1-'Lease Cycles'!$AJ$23)*INDEX('Lease Cycles'!$EM$23:$ES$23,1,BN265)+(1-'Lease Cycles'!$BE$23)*IF(BN266&lt;INDEX('Lease Cycles'!$FA$23:$FG$23,1,BN265),0,1-INDEX('Lease Cycles'!$EM$23:$ES$23,1,BN265)),IF(OR(INDEX('Lease Cycles'!$DY$23:$EE$23,1,BN265)=1,BN266&gt;0),1,1-INDEX('Lease Cycles'!$DD$23:$DJ$23,1,BN265))*((1-'Lease Cycles'!$AJ$23)*INDEX('Lease Cycles'!$FO$23:$FU$23,1,BN265)+(1-'Lease Cycles'!$BE$23)*(1-INDEX('Lease Cycles'!$FO$23:$FU$23,1,BN265)))),0)</f>
        <v>0</v>
      </c>
      <c r="BO273" s="24">
        <f>IF(BO267=1,'Lease Cycles'!$D$23*IF(INDEX('Lease Cycles'!$EF$23:$EL$23,1,BO265)=1,(1-'Lease Cycles'!$AJ$23)*INDEX('Lease Cycles'!$EM$23:$ES$23,1,BO265)+(1-'Lease Cycles'!$BE$23)*IF(BO266&lt;INDEX('Lease Cycles'!$FA$23:$FG$23,1,BO265),0,1-INDEX('Lease Cycles'!$EM$23:$ES$23,1,BO265)),IF(OR(INDEX('Lease Cycles'!$DY$23:$EE$23,1,BO265)=1,BO266&gt;0),1,1-INDEX('Lease Cycles'!$DD$23:$DJ$23,1,BO265))*((1-'Lease Cycles'!$AJ$23)*INDEX('Lease Cycles'!$FO$23:$FU$23,1,BO265)+(1-'Lease Cycles'!$BE$23)*(1-INDEX('Lease Cycles'!$FO$23:$FU$23,1,BO265)))),0)</f>
        <v>0</v>
      </c>
      <c r="BP273" s="24">
        <f>IF(BP267=1,'Lease Cycles'!$D$23*IF(INDEX('Lease Cycles'!$EF$23:$EL$23,1,BP265)=1,(1-'Lease Cycles'!$AJ$23)*INDEX('Lease Cycles'!$EM$23:$ES$23,1,BP265)+(1-'Lease Cycles'!$BE$23)*IF(BP266&lt;INDEX('Lease Cycles'!$FA$23:$FG$23,1,BP265),0,1-INDEX('Lease Cycles'!$EM$23:$ES$23,1,BP265)),IF(OR(INDEX('Lease Cycles'!$DY$23:$EE$23,1,BP265)=1,BP266&gt;0),1,1-INDEX('Lease Cycles'!$DD$23:$DJ$23,1,BP265))*((1-'Lease Cycles'!$AJ$23)*INDEX('Lease Cycles'!$FO$23:$FU$23,1,BP265)+(1-'Lease Cycles'!$BE$23)*(1-INDEX('Lease Cycles'!$FO$23:$FU$23,1,BP265)))),0)</f>
        <v>0</v>
      </c>
      <c r="BQ273" s="24">
        <f>IF(BQ267=1,'Lease Cycles'!$D$23*IF(INDEX('Lease Cycles'!$EF$23:$EL$23,1,BQ265)=1,(1-'Lease Cycles'!$AJ$23)*INDEX('Lease Cycles'!$EM$23:$ES$23,1,BQ265)+(1-'Lease Cycles'!$BE$23)*IF(BQ266&lt;INDEX('Lease Cycles'!$FA$23:$FG$23,1,BQ265),0,1-INDEX('Lease Cycles'!$EM$23:$ES$23,1,BQ265)),IF(OR(INDEX('Lease Cycles'!$DY$23:$EE$23,1,BQ265)=1,BQ266&gt;0),1,1-INDEX('Lease Cycles'!$DD$23:$DJ$23,1,BQ265))*((1-'Lease Cycles'!$AJ$23)*INDEX('Lease Cycles'!$FO$23:$FU$23,1,BQ265)+(1-'Lease Cycles'!$BE$23)*(1-INDEX('Lease Cycles'!$FO$23:$FU$23,1,BQ265)))),0)</f>
        <v>0</v>
      </c>
      <c r="BR273" s="24">
        <f>IF(BR267=1,'Lease Cycles'!$D$23*IF(INDEX('Lease Cycles'!$EF$23:$EL$23,1,BR265)=1,(1-'Lease Cycles'!$AJ$23)*INDEX('Lease Cycles'!$EM$23:$ES$23,1,BR265)+(1-'Lease Cycles'!$BE$23)*IF(BR266&lt;INDEX('Lease Cycles'!$FA$23:$FG$23,1,BR265),0,1-INDEX('Lease Cycles'!$EM$23:$ES$23,1,BR265)),IF(OR(INDEX('Lease Cycles'!$DY$23:$EE$23,1,BR265)=1,BR266&gt;0),1,1-INDEX('Lease Cycles'!$DD$23:$DJ$23,1,BR265))*((1-'Lease Cycles'!$AJ$23)*INDEX('Lease Cycles'!$FO$23:$FU$23,1,BR265)+(1-'Lease Cycles'!$BE$23)*(1-INDEX('Lease Cycles'!$FO$23:$FU$23,1,BR265)))),0)</f>
        <v>0</v>
      </c>
      <c r="BS273" s="24">
        <f>IF(BS267=1,'Lease Cycles'!$D$23*IF(INDEX('Lease Cycles'!$EF$23:$EL$23,1,BS265)=1,(1-'Lease Cycles'!$AJ$23)*INDEX('Lease Cycles'!$EM$23:$ES$23,1,BS265)+(1-'Lease Cycles'!$BE$23)*IF(BS266&lt;INDEX('Lease Cycles'!$FA$23:$FG$23,1,BS265),0,1-INDEX('Lease Cycles'!$EM$23:$ES$23,1,BS265)),IF(OR(INDEX('Lease Cycles'!$DY$23:$EE$23,1,BS265)=1,BS266&gt;0),1,1-INDEX('Lease Cycles'!$DD$23:$DJ$23,1,BS265))*((1-'Lease Cycles'!$AJ$23)*INDEX('Lease Cycles'!$FO$23:$FU$23,1,BS265)+(1-'Lease Cycles'!$BE$23)*(1-INDEX('Lease Cycles'!$FO$23:$FU$23,1,BS265)))),0)</f>
        <v>0</v>
      </c>
      <c r="BT273" s="24">
        <f>IF(BT267=1,'Lease Cycles'!$D$23*IF(INDEX('Lease Cycles'!$EF$23:$EL$23,1,BT265)=1,(1-'Lease Cycles'!$AJ$23)*INDEX('Lease Cycles'!$EM$23:$ES$23,1,BT265)+(1-'Lease Cycles'!$BE$23)*IF(BT266&lt;INDEX('Lease Cycles'!$FA$23:$FG$23,1,BT265),0,1-INDEX('Lease Cycles'!$EM$23:$ES$23,1,BT265)),IF(OR(INDEX('Lease Cycles'!$DY$23:$EE$23,1,BT265)=1,BT266&gt;0),1,1-INDEX('Lease Cycles'!$DD$23:$DJ$23,1,BT265))*((1-'Lease Cycles'!$AJ$23)*INDEX('Lease Cycles'!$FO$23:$FU$23,1,BT265)+(1-'Lease Cycles'!$BE$23)*(1-INDEX('Lease Cycles'!$FO$23:$FU$23,1,BT265)))),0)</f>
        <v>0</v>
      </c>
      <c r="BU273" s="24">
        <f>IF(BU267=1,'Lease Cycles'!$D$23*IF(INDEX('Lease Cycles'!$EF$23:$EL$23,1,BU265)=1,(1-'Lease Cycles'!$AJ$23)*INDEX('Lease Cycles'!$EM$23:$ES$23,1,BU265)+(1-'Lease Cycles'!$BE$23)*IF(BU266&lt;INDEX('Lease Cycles'!$FA$23:$FG$23,1,BU265),0,1-INDEX('Lease Cycles'!$EM$23:$ES$23,1,BU265)),IF(OR(INDEX('Lease Cycles'!$DY$23:$EE$23,1,BU265)=1,BU266&gt;0),1,1-INDEX('Lease Cycles'!$DD$23:$DJ$23,1,BU265))*((1-'Lease Cycles'!$AJ$23)*INDEX('Lease Cycles'!$FO$23:$FU$23,1,BU265)+(1-'Lease Cycles'!$BE$23)*(1-INDEX('Lease Cycles'!$FO$23:$FU$23,1,BU265)))),0)</f>
        <v>0</v>
      </c>
      <c r="BV273" s="24">
        <f>IF(BV267=1,'Lease Cycles'!$D$23*IF(INDEX('Lease Cycles'!$EF$23:$EL$23,1,BV265)=1,(1-'Lease Cycles'!$AJ$23)*INDEX('Lease Cycles'!$EM$23:$ES$23,1,BV265)+(1-'Lease Cycles'!$BE$23)*IF(BV266&lt;INDEX('Lease Cycles'!$FA$23:$FG$23,1,BV265),0,1-INDEX('Lease Cycles'!$EM$23:$ES$23,1,BV265)),IF(OR(INDEX('Lease Cycles'!$DY$23:$EE$23,1,BV265)=1,BV266&gt;0),1,1-INDEX('Lease Cycles'!$DD$23:$DJ$23,1,BV265))*((1-'Lease Cycles'!$AJ$23)*INDEX('Lease Cycles'!$FO$23:$FU$23,1,BV265)+(1-'Lease Cycles'!$BE$23)*(1-INDEX('Lease Cycles'!$FO$23:$FU$23,1,BV265)))),0)</f>
        <v>0</v>
      </c>
      <c r="BW273" s="24">
        <f>IF(BW267=1,'Lease Cycles'!$D$23*IF(INDEX('Lease Cycles'!$EF$23:$EL$23,1,BW265)=1,(1-'Lease Cycles'!$AJ$23)*INDEX('Lease Cycles'!$EM$23:$ES$23,1,BW265)+(1-'Lease Cycles'!$BE$23)*IF(BW266&lt;INDEX('Lease Cycles'!$FA$23:$FG$23,1,BW265),0,1-INDEX('Lease Cycles'!$EM$23:$ES$23,1,BW265)),IF(OR(INDEX('Lease Cycles'!$DY$23:$EE$23,1,BW265)=1,BW266&gt;0),1,1-INDEX('Lease Cycles'!$DD$23:$DJ$23,1,BW265))*((1-'Lease Cycles'!$AJ$23)*INDEX('Lease Cycles'!$FO$23:$FU$23,1,BW265)+(1-'Lease Cycles'!$BE$23)*(1-INDEX('Lease Cycles'!$FO$23:$FU$23,1,BW265)))),0)</f>
        <v>0</v>
      </c>
      <c r="BX273" s="24">
        <f>IF(BX267=1,'Lease Cycles'!$D$23*IF(INDEX('Lease Cycles'!$EF$23:$EL$23,1,BX265)=1,(1-'Lease Cycles'!$AJ$23)*INDEX('Lease Cycles'!$EM$23:$ES$23,1,BX265)+(1-'Lease Cycles'!$BE$23)*IF(BX266&lt;INDEX('Lease Cycles'!$FA$23:$FG$23,1,BX265),0,1-INDEX('Lease Cycles'!$EM$23:$ES$23,1,BX265)),IF(OR(INDEX('Lease Cycles'!$DY$23:$EE$23,1,BX265)=1,BX266&gt;0),1,1-INDEX('Lease Cycles'!$DD$23:$DJ$23,1,BX265))*((1-'Lease Cycles'!$AJ$23)*INDEX('Lease Cycles'!$FO$23:$FU$23,1,BX265)+(1-'Lease Cycles'!$BE$23)*(1-INDEX('Lease Cycles'!$FO$23:$FU$23,1,BX265)))),0)</f>
        <v>0</v>
      </c>
      <c r="BY273" s="24">
        <f>IF(BY267=1,'Lease Cycles'!$D$23*IF(INDEX('Lease Cycles'!$EF$23:$EL$23,1,BY265)=1,(1-'Lease Cycles'!$AJ$23)*INDEX('Lease Cycles'!$EM$23:$ES$23,1,BY265)+(1-'Lease Cycles'!$BE$23)*IF(BY266&lt;INDEX('Lease Cycles'!$FA$23:$FG$23,1,BY265),0,1-INDEX('Lease Cycles'!$EM$23:$ES$23,1,BY265)),IF(OR(INDEX('Lease Cycles'!$DY$23:$EE$23,1,BY265)=1,BY266&gt;0),1,1-INDEX('Lease Cycles'!$DD$23:$DJ$23,1,BY265))*((1-'Lease Cycles'!$AJ$23)*INDEX('Lease Cycles'!$FO$23:$FU$23,1,BY265)+(1-'Lease Cycles'!$BE$23)*(1-INDEX('Lease Cycles'!$FO$23:$FU$23,1,BY265)))),0)</f>
        <v>0</v>
      </c>
      <c r="BZ273" s="24">
        <f>IF(BZ267=1,'Lease Cycles'!$D$23*IF(INDEX('Lease Cycles'!$EF$23:$EL$23,1,BZ265)=1,(1-'Lease Cycles'!$AJ$23)*INDEX('Lease Cycles'!$EM$23:$ES$23,1,BZ265)+(1-'Lease Cycles'!$BE$23)*IF(BZ266&lt;INDEX('Lease Cycles'!$FA$23:$FG$23,1,BZ265),0,1-INDEX('Lease Cycles'!$EM$23:$ES$23,1,BZ265)),IF(OR(INDEX('Lease Cycles'!$DY$23:$EE$23,1,BZ265)=1,BZ266&gt;0),1,1-INDEX('Lease Cycles'!$DD$23:$DJ$23,1,BZ265))*((1-'Lease Cycles'!$AJ$23)*INDEX('Lease Cycles'!$FO$23:$FU$23,1,BZ265)+(1-'Lease Cycles'!$BE$23)*(1-INDEX('Lease Cycles'!$FO$23:$FU$23,1,BZ265)))),0)</f>
        <v>0</v>
      </c>
      <c r="CA273" s="24">
        <f>IF(CA267=1,'Lease Cycles'!$D$23*IF(INDEX('Lease Cycles'!$EF$23:$EL$23,1,CA265)=1,(1-'Lease Cycles'!$AJ$23)*INDEX('Lease Cycles'!$EM$23:$ES$23,1,CA265)+(1-'Lease Cycles'!$BE$23)*IF(CA266&lt;INDEX('Lease Cycles'!$FA$23:$FG$23,1,CA265),0,1-INDEX('Lease Cycles'!$EM$23:$ES$23,1,CA265)),IF(OR(INDEX('Lease Cycles'!$DY$23:$EE$23,1,CA265)=1,CA266&gt;0),1,1-INDEX('Lease Cycles'!$DD$23:$DJ$23,1,CA265))*((1-'Lease Cycles'!$AJ$23)*INDEX('Lease Cycles'!$FO$23:$FU$23,1,CA265)+(1-'Lease Cycles'!$BE$23)*(1-INDEX('Lease Cycles'!$FO$23:$FU$23,1,CA265)))),0)</f>
        <v>0</v>
      </c>
      <c r="CB273" s="24">
        <f>IF(CB267=1,'Lease Cycles'!$D$23*IF(INDEX('Lease Cycles'!$EF$23:$EL$23,1,CB265)=1,(1-'Lease Cycles'!$AJ$23)*INDEX('Lease Cycles'!$EM$23:$ES$23,1,CB265)+(1-'Lease Cycles'!$BE$23)*IF(CB266&lt;INDEX('Lease Cycles'!$FA$23:$FG$23,1,CB265),0,1-INDEX('Lease Cycles'!$EM$23:$ES$23,1,CB265)),IF(OR(INDEX('Lease Cycles'!$DY$23:$EE$23,1,CB265)=1,CB266&gt;0),1,1-INDEX('Lease Cycles'!$DD$23:$DJ$23,1,CB265))*((1-'Lease Cycles'!$AJ$23)*INDEX('Lease Cycles'!$FO$23:$FU$23,1,CB265)+(1-'Lease Cycles'!$BE$23)*(1-INDEX('Lease Cycles'!$FO$23:$FU$23,1,CB265)))),0)</f>
        <v>0</v>
      </c>
      <c r="CC273" s="24">
        <f>IF(CC267=1,'Lease Cycles'!$D$23*IF(INDEX('Lease Cycles'!$EF$23:$EL$23,1,CC265)=1,(1-'Lease Cycles'!$AJ$23)*INDEX('Lease Cycles'!$EM$23:$ES$23,1,CC265)+(1-'Lease Cycles'!$BE$23)*IF(CC266&lt;INDEX('Lease Cycles'!$FA$23:$FG$23,1,CC265),0,1-INDEX('Lease Cycles'!$EM$23:$ES$23,1,CC265)),IF(OR(INDEX('Lease Cycles'!$DY$23:$EE$23,1,CC265)=1,CC266&gt;0),1,1-INDEX('Lease Cycles'!$DD$23:$DJ$23,1,CC265))*((1-'Lease Cycles'!$AJ$23)*INDEX('Lease Cycles'!$FO$23:$FU$23,1,CC265)+(1-'Lease Cycles'!$BE$23)*(1-INDEX('Lease Cycles'!$FO$23:$FU$23,1,CC265)))),0)</f>
        <v>0</v>
      </c>
      <c r="CD273" s="24">
        <f>IF(CD267=1,'Lease Cycles'!$D$23*IF(INDEX('Lease Cycles'!$EF$23:$EL$23,1,CD265)=1,(1-'Lease Cycles'!$AJ$23)*INDEX('Lease Cycles'!$EM$23:$ES$23,1,CD265)+(1-'Lease Cycles'!$BE$23)*IF(CD266&lt;INDEX('Lease Cycles'!$FA$23:$FG$23,1,CD265),0,1-INDEX('Lease Cycles'!$EM$23:$ES$23,1,CD265)),IF(OR(INDEX('Lease Cycles'!$DY$23:$EE$23,1,CD265)=1,CD266&gt;0),1,1-INDEX('Lease Cycles'!$DD$23:$DJ$23,1,CD265))*((1-'Lease Cycles'!$AJ$23)*INDEX('Lease Cycles'!$FO$23:$FU$23,1,CD265)+(1-'Lease Cycles'!$BE$23)*(1-INDEX('Lease Cycles'!$FO$23:$FU$23,1,CD265)))),0)</f>
        <v>0</v>
      </c>
      <c r="CE273" s="24">
        <f>IF(CE267=1,'Lease Cycles'!$D$23*IF(INDEX('Lease Cycles'!$EF$23:$EL$23,1,CE265)=1,(1-'Lease Cycles'!$AJ$23)*INDEX('Lease Cycles'!$EM$23:$ES$23,1,CE265)+(1-'Lease Cycles'!$BE$23)*IF(CE266&lt;INDEX('Lease Cycles'!$FA$23:$FG$23,1,CE265),0,1-INDEX('Lease Cycles'!$EM$23:$ES$23,1,CE265)),IF(OR(INDEX('Lease Cycles'!$DY$23:$EE$23,1,CE265)=1,CE266&gt;0),1,1-INDEX('Lease Cycles'!$DD$23:$DJ$23,1,CE265))*((1-'Lease Cycles'!$AJ$23)*INDEX('Lease Cycles'!$FO$23:$FU$23,1,CE265)+(1-'Lease Cycles'!$BE$23)*(1-INDEX('Lease Cycles'!$FO$23:$FU$23,1,CE265)))),0)</f>
        <v>0</v>
      </c>
      <c r="CF273" s="24">
        <f>IF(CF267=1,'Lease Cycles'!$D$23*IF(INDEX('Lease Cycles'!$EF$23:$EL$23,1,CF265)=1,(1-'Lease Cycles'!$AJ$23)*INDEX('Lease Cycles'!$EM$23:$ES$23,1,CF265)+(1-'Lease Cycles'!$BE$23)*IF(CF266&lt;INDEX('Lease Cycles'!$FA$23:$FG$23,1,CF265),0,1-INDEX('Lease Cycles'!$EM$23:$ES$23,1,CF265)),IF(OR(INDEX('Lease Cycles'!$DY$23:$EE$23,1,CF265)=1,CF266&gt;0),1,1-INDEX('Lease Cycles'!$DD$23:$DJ$23,1,CF265))*((1-'Lease Cycles'!$AJ$23)*INDEX('Lease Cycles'!$FO$23:$FU$23,1,CF265)+(1-'Lease Cycles'!$BE$23)*(1-INDEX('Lease Cycles'!$FO$23:$FU$23,1,CF265)))),0)</f>
        <v>0</v>
      </c>
      <c r="CG273" s="24">
        <f>IF(CG267=1,'Lease Cycles'!$D$23*IF(INDEX('Lease Cycles'!$EF$23:$EL$23,1,CG265)=1,(1-'Lease Cycles'!$AJ$23)*INDEX('Lease Cycles'!$EM$23:$ES$23,1,CG265)+(1-'Lease Cycles'!$BE$23)*IF(CG266&lt;INDEX('Lease Cycles'!$FA$23:$FG$23,1,CG265),0,1-INDEX('Lease Cycles'!$EM$23:$ES$23,1,CG265)),IF(OR(INDEX('Lease Cycles'!$DY$23:$EE$23,1,CG265)=1,CG266&gt;0),1,1-INDEX('Lease Cycles'!$DD$23:$DJ$23,1,CG265))*((1-'Lease Cycles'!$AJ$23)*INDEX('Lease Cycles'!$FO$23:$FU$23,1,CG265)+(1-'Lease Cycles'!$BE$23)*(1-INDEX('Lease Cycles'!$FO$23:$FU$23,1,CG265)))),0)</f>
        <v>0</v>
      </c>
      <c r="CH273" s="24">
        <f>IF(CH267=1,'Lease Cycles'!$D$23*IF(INDEX('Lease Cycles'!$EF$23:$EL$23,1,CH265)=1,(1-'Lease Cycles'!$AJ$23)*INDEX('Lease Cycles'!$EM$23:$ES$23,1,CH265)+(1-'Lease Cycles'!$BE$23)*IF(CH266&lt;INDEX('Lease Cycles'!$FA$23:$FG$23,1,CH265),0,1-INDEX('Lease Cycles'!$EM$23:$ES$23,1,CH265)),IF(OR(INDEX('Lease Cycles'!$DY$23:$EE$23,1,CH265)=1,CH266&gt;0),1,1-INDEX('Lease Cycles'!$DD$23:$DJ$23,1,CH265))*((1-'Lease Cycles'!$AJ$23)*INDEX('Lease Cycles'!$FO$23:$FU$23,1,CH265)+(1-'Lease Cycles'!$BE$23)*(1-INDEX('Lease Cycles'!$FO$23:$FU$23,1,CH265)))),0)</f>
        <v>0</v>
      </c>
      <c r="CI273" s="24">
        <f>IF(CI267=1,'Lease Cycles'!$D$23*IF(INDEX('Lease Cycles'!$EF$23:$EL$23,1,CI265)=1,(1-'Lease Cycles'!$AJ$23)*INDEX('Lease Cycles'!$EM$23:$ES$23,1,CI265)+(1-'Lease Cycles'!$BE$23)*IF(CI266&lt;INDEX('Lease Cycles'!$FA$23:$FG$23,1,CI265),0,1-INDEX('Lease Cycles'!$EM$23:$ES$23,1,CI265)),IF(OR(INDEX('Lease Cycles'!$DY$23:$EE$23,1,CI265)=1,CI266&gt;0),1,1-INDEX('Lease Cycles'!$DD$23:$DJ$23,1,CI265))*((1-'Lease Cycles'!$AJ$23)*INDEX('Lease Cycles'!$FO$23:$FU$23,1,CI265)+(1-'Lease Cycles'!$BE$23)*(1-INDEX('Lease Cycles'!$FO$23:$FU$23,1,CI265)))),0)</f>
        <v>0</v>
      </c>
      <c r="CJ273" s="24">
        <f>IF(CJ267=1,'Lease Cycles'!$D$23*IF(INDEX('Lease Cycles'!$EF$23:$EL$23,1,CJ265)=1,(1-'Lease Cycles'!$AJ$23)*INDEX('Lease Cycles'!$EM$23:$ES$23,1,CJ265)+(1-'Lease Cycles'!$BE$23)*IF(CJ266&lt;INDEX('Lease Cycles'!$FA$23:$FG$23,1,CJ265),0,1-INDEX('Lease Cycles'!$EM$23:$ES$23,1,CJ265)),IF(OR(INDEX('Lease Cycles'!$DY$23:$EE$23,1,CJ265)=1,CJ266&gt;0),1,1-INDEX('Lease Cycles'!$DD$23:$DJ$23,1,CJ265))*((1-'Lease Cycles'!$AJ$23)*INDEX('Lease Cycles'!$FO$23:$FU$23,1,CJ265)+(1-'Lease Cycles'!$BE$23)*(1-INDEX('Lease Cycles'!$FO$23:$FU$23,1,CJ265)))),0)</f>
        <v>0</v>
      </c>
      <c r="CK273" s="24">
        <f>IF(CK267=1,'Lease Cycles'!$D$23*IF(INDEX('Lease Cycles'!$EF$23:$EL$23,1,CK265)=1,(1-'Lease Cycles'!$AJ$23)*INDEX('Lease Cycles'!$EM$23:$ES$23,1,CK265)+(1-'Lease Cycles'!$BE$23)*IF(CK266&lt;INDEX('Lease Cycles'!$FA$23:$FG$23,1,CK265),0,1-INDEX('Lease Cycles'!$EM$23:$ES$23,1,CK265)),IF(OR(INDEX('Lease Cycles'!$DY$23:$EE$23,1,CK265)=1,CK266&gt;0),1,1-INDEX('Lease Cycles'!$DD$23:$DJ$23,1,CK265))*((1-'Lease Cycles'!$AJ$23)*INDEX('Lease Cycles'!$FO$23:$FU$23,1,CK265)+(1-'Lease Cycles'!$BE$23)*(1-INDEX('Lease Cycles'!$FO$23:$FU$23,1,CK265)))),0)</f>
        <v>0</v>
      </c>
      <c r="CL273" s="24">
        <f>IF(CL267=1,'Lease Cycles'!$D$23*IF(INDEX('Lease Cycles'!$EF$23:$EL$23,1,CL265)=1,(1-'Lease Cycles'!$AJ$23)*INDEX('Lease Cycles'!$EM$23:$ES$23,1,CL265)+(1-'Lease Cycles'!$BE$23)*IF(CL266&lt;INDEX('Lease Cycles'!$FA$23:$FG$23,1,CL265),0,1-INDEX('Lease Cycles'!$EM$23:$ES$23,1,CL265)),IF(OR(INDEX('Lease Cycles'!$DY$23:$EE$23,1,CL265)=1,CL266&gt;0),1,1-INDEX('Lease Cycles'!$DD$23:$DJ$23,1,CL265))*((1-'Lease Cycles'!$AJ$23)*INDEX('Lease Cycles'!$FO$23:$FU$23,1,CL265)+(1-'Lease Cycles'!$BE$23)*(1-INDEX('Lease Cycles'!$FO$23:$FU$23,1,CL265)))),0)</f>
        <v>0</v>
      </c>
      <c r="CM273" s="24">
        <f>IF(CM267=1,'Lease Cycles'!$D$23*IF(INDEX('Lease Cycles'!$EF$23:$EL$23,1,CM265)=1,(1-'Lease Cycles'!$AJ$23)*INDEX('Lease Cycles'!$EM$23:$ES$23,1,CM265)+(1-'Lease Cycles'!$BE$23)*IF(CM266&lt;INDEX('Lease Cycles'!$FA$23:$FG$23,1,CM265),0,1-INDEX('Lease Cycles'!$EM$23:$ES$23,1,CM265)),IF(OR(INDEX('Lease Cycles'!$DY$23:$EE$23,1,CM265)=1,CM266&gt;0),1,1-INDEX('Lease Cycles'!$DD$23:$DJ$23,1,CM265))*((1-'Lease Cycles'!$AJ$23)*INDEX('Lease Cycles'!$FO$23:$FU$23,1,CM265)+(1-'Lease Cycles'!$BE$23)*(1-INDEX('Lease Cycles'!$FO$23:$FU$23,1,CM265)))),0)</f>
        <v>0</v>
      </c>
      <c r="CN273" s="24">
        <f>IF(CN267=1,'Lease Cycles'!$D$23*IF(INDEX('Lease Cycles'!$EF$23:$EL$23,1,CN265)=1,(1-'Lease Cycles'!$AJ$23)*INDEX('Lease Cycles'!$EM$23:$ES$23,1,CN265)+(1-'Lease Cycles'!$BE$23)*IF(CN266&lt;INDEX('Lease Cycles'!$FA$23:$FG$23,1,CN265),0,1-INDEX('Lease Cycles'!$EM$23:$ES$23,1,CN265)),IF(OR(INDEX('Lease Cycles'!$DY$23:$EE$23,1,CN265)=1,CN266&gt;0),1,1-INDEX('Lease Cycles'!$DD$23:$DJ$23,1,CN265))*((1-'Lease Cycles'!$AJ$23)*INDEX('Lease Cycles'!$FO$23:$FU$23,1,CN265)+(1-'Lease Cycles'!$BE$23)*(1-INDEX('Lease Cycles'!$FO$23:$FU$23,1,CN265)))),0)</f>
        <v>0</v>
      </c>
      <c r="CO273" s="24">
        <f>IF(CO267=1,'Lease Cycles'!$D$23*IF(INDEX('Lease Cycles'!$EF$23:$EL$23,1,CO265)=1,(1-'Lease Cycles'!$AJ$23)*INDEX('Lease Cycles'!$EM$23:$ES$23,1,CO265)+(1-'Lease Cycles'!$BE$23)*IF(CO266&lt;INDEX('Lease Cycles'!$FA$23:$FG$23,1,CO265),0,1-INDEX('Lease Cycles'!$EM$23:$ES$23,1,CO265)),IF(OR(INDEX('Lease Cycles'!$DY$23:$EE$23,1,CO265)=1,CO266&gt;0),1,1-INDEX('Lease Cycles'!$DD$23:$DJ$23,1,CO265))*((1-'Lease Cycles'!$AJ$23)*INDEX('Lease Cycles'!$FO$23:$FU$23,1,CO265)+(1-'Lease Cycles'!$BE$23)*(1-INDEX('Lease Cycles'!$FO$23:$FU$23,1,CO265)))),0)</f>
        <v>0</v>
      </c>
      <c r="CP273" s="24">
        <f>IF(CP267=1,'Lease Cycles'!$D$23*IF(INDEX('Lease Cycles'!$EF$23:$EL$23,1,CP265)=1,(1-'Lease Cycles'!$AJ$23)*INDEX('Lease Cycles'!$EM$23:$ES$23,1,CP265)+(1-'Lease Cycles'!$BE$23)*IF(CP266&lt;INDEX('Lease Cycles'!$FA$23:$FG$23,1,CP265),0,1-INDEX('Lease Cycles'!$EM$23:$ES$23,1,CP265)),IF(OR(INDEX('Lease Cycles'!$DY$23:$EE$23,1,CP265)=1,CP266&gt;0),1,1-INDEX('Lease Cycles'!$DD$23:$DJ$23,1,CP265))*((1-'Lease Cycles'!$AJ$23)*INDEX('Lease Cycles'!$FO$23:$FU$23,1,CP265)+(1-'Lease Cycles'!$BE$23)*(1-INDEX('Lease Cycles'!$FO$23:$FU$23,1,CP265)))),0)</f>
        <v>0</v>
      </c>
      <c r="CQ273" s="24">
        <f>IF(CQ267=1,'Lease Cycles'!$D$23*IF(INDEX('Lease Cycles'!$EF$23:$EL$23,1,CQ265)=1,(1-'Lease Cycles'!$AJ$23)*INDEX('Lease Cycles'!$EM$23:$ES$23,1,CQ265)+(1-'Lease Cycles'!$BE$23)*IF(CQ266&lt;INDEX('Lease Cycles'!$FA$23:$FG$23,1,CQ265),0,1-INDEX('Lease Cycles'!$EM$23:$ES$23,1,CQ265)),IF(OR(INDEX('Lease Cycles'!$DY$23:$EE$23,1,CQ265)=1,CQ266&gt;0),1,1-INDEX('Lease Cycles'!$DD$23:$DJ$23,1,CQ265))*((1-'Lease Cycles'!$AJ$23)*INDEX('Lease Cycles'!$FO$23:$FU$23,1,CQ265)+(1-'Lease Cycles'!$BE$23)*(1-INDEX('Lease Cycles'!$FO$23:$FU$23,1,CQ265)))),0)</f>
        <v>0</v>
      </c>
      <c r="CR273" s="24">
        <f>IF(CR267=1,'Lease Cycles'!$D$23*IF(INDEX('Lease Cycles'!$EF$23:$EL$23,1,CR265)=1,(1-'Lease Cycles'!$AJ$23)*INDEX('Lease Cycles'!$EM$23:$ES$23,1,CR265)+(1-'Lease Cycles'!$BE$23)*IF(CR266&lt;INDEX('Lease Cycles'!$FA$23:$FG$23,1,CR265),0,1-INDEX('Lease Cycles'!$EM$23:$ES$23,1,CR265)),IF(OR(INDEX('Lease Cycles'!$DY$23:$EE$23,1,CR265)=1,CR266&gt;0),1,1-INDEX('Lease Cycles'!$DD$23:$DJ$23,1,CR265))*((1-'Lease Cycles'!$AJ$23)*INDEX('Lease Cycles'!$FO$23:$FU$23,1,CR265)+(1-'Lease Cycles'!$BE$23)*(1-INDEX('Lease Cycles'!$FO$23:$FU$23,1,CR265)))),0)</f>
        <v>0</v>
      </c>
      <c r="CS273" s="24">
        <f>IF(CS267=1,'Lease Cycles'!$D$23*IF(INDEX('Lease Cycles'!$EF$23:$EL$23,1,CS265)=1,(1-'Lease Cycles'!$AJ$23)*INDEX('Lease Cycles'!$EM$23:$ES$23,1,CS265)+(1-'Lease Cycles'!$BE$23)*IF(CS266&lt;INDEX('Lease Cycles'!$FA$23:$FG$23,1,CS265),0,1-INDEX('Lease Cycles'!$EM$23:$ES$23,1,CS265)),IF(OR(INDEX('Lease Cycles'!$DY$23:$EE$23,1,CS265)=1,CS266&gt;0),1,1-INDEX('Lease Cycles'!$DD$23:$DJ$23,1,CS265))*((1-'Lease Cycles'!$AJ$23)*INDEX('Lease Cycles'!$FO$23:$FU$23,1,CS265)+(1-'Lease Cycles'!$BE$23)*(1-INDEX('Lease Cycles'!$FO$23:$FU$23,1,CS265)))),0)</f>
        <v>0</v>
      </c>
      <c r="CT273" s="24">
        <f>IF(CT267=1,'Lease Cycles'!$D$23*IF(INDEX('Lease Cycles'!$EF$23:$EL$23,1,CT265)=1,(1-'Lease Cycles'!$AJ$23)*INDEX('Lease Cycles'!$EM$23:$ES$23,1,CT265)+(1-'Lease Cycles'!$BE$23)*IF(CT266&lt;INDEX('Lease Cycles'!$FA$23:$FG$23,1,CT265),0,1-INDEX('Lease Cycles'!$EM$23:$ES$23,1,CT265)),IF(OR(INDEX('Lease Cycles'!$DY$23:$EE$23,1,CT265)=1,CT266&gt;0),1,1-INDEX('Lease Cycles'!$DD$23:$DJ$23,1,CT265))*((1-'Lease Cycles'!$AJ$23)*INDEX('Lease Cycles'!$FO$23:$FU$23,1,CT265)+(1-'Lease Cycles'!$BE$23)*(1-INDEX('Lease Cycles'!$FO$23:$FU$23,1,CT265)))),0)</f>
        <v>0</v>
      </c>
      <c r="CU273" s="24">
        <f>IF(CU267=1,'Lease Cycles'!$D$23*IF(INDEX('Lease Cycles'!$EF$23:$EL$23,1,CU265)=1,(1-'Lease Cycles'!$AJ$23)*INDEX('Lease Cycles'!$EM$23:$ES$23,1,CU265)+(1-'Lease Cycles'!$BE$23)*IF(CU266&lt;INDEX('Lease Cycles'!$FA$23:$FG$23,1,CU265),0,1-INDEX('Lease Cycles'!$EM$23:$ES$23,1,CU265)),IF(OR(INDEX('Lease Cycles'!$DY$23:$EE$23,1,CU265)=1,CU266&gt;0),1,1-INDEX('Lease Cycles'!$DD$23:$DJ$23,1,CU265))*((1-'Lease Cycles'!$AJ$23)*INDEX('Lease Cycles'!$FO$23:$FU$23,1,CU265)+(1-'Lease Cycles'!$BE$23)*(1-INDEX('Lease Cycles'!$FO$23:$FU$23,1,CU265)))),0)</f>
        <v>0</v>
      </c>
      <c r="CV273" s="24">
        <f>IF(CV267=1,'Lease Cycles'!$D$23*IF(INDEX('Lease Cycles'!$EF$23:$EL$23,1,CV265)=1,(1-'Lease Cycles'!$AJ$23)*INDEX('Lease Cycles'!$EM$23:$ES$23,1,CV265)+(1-'Lease Cycles'!$BE$23)*IF(CV266&lt;INDEX('Lease Cycles'!$FA$23:$FG$23,1,CV265),0,1-INDEX('Lease Cycles'!$EM$23:$ES$23,1,CV265)),IF(OR(INDEX('Lease Cycles'!$DY$23:$EE$23,1,CV265)=1,CV266&gt;0),1,1-INDEX('Lease Cycles'!$DD$23:$DJ$23,1,CV265))*((1-'Lease Cycles'!$AJ$23)*INDEX('Lease Cycles'!$FO$23:$FU$23,1,CV265)+(1-'Lease Cycles'!$BE$23)*(1-INDEX('Lease Cycles'!$FO$23:$FU$23,1,CV265)))),0)</f>
        <v>0</v>
      </c>
      <c r="CW273" s="24">
        <f>IF(CW267=1,'Lease Cycles'!$D$23*IF(INDEX('Lease Cycles'!$EF$23:$EL$23,1,CW265)=1,(1-'Lease Cycles'!$AJ$23)*INDEX('Lease Cycles'!$EM$23:$ES$23,1,CW265)+(1-'Lease Cycles'!$BE$23)*IF(CW266&lt;INDEX('Lease Cycles'!$FA$23:$FG$23,1,CW265),0,1-INDEX('Lease Cycles'!$EM$23:$ES$23,1,CW265)),IF(OR(INDEX('Lease Cycles'!$DY$23:$EE$23,1,CW265)=1,CW266&gt;0),1,1-INDEX('Lease Cycles'!$DD$23:$DJ$23,1,CW265))*((1-'Lease Cycles'!$AJ$23)*INDEX('Lease Cycles'!$FO$23:$FU$23,1,CW265)+(1-'Lease Cycles'!$BE$23)*(1-INDEX('Lease Cycles'!$FO$23:$FU$23,1,CW265)))),0)</f>
        <v>0</v>
      </c>
      <c r="CX273" s="24">
        <f>IF(CX267=1,'Lease Cycles'!$D$23*IF(INDEX('Lease Cycles'!$EF$23:$EL$23,1,CX265)=1,(1-'Lease Cycles'!$AJ$23)*INDEX('Lease Cycles'!$EM$23:$ES$23,1,CX265)+(1-'Lease Cycles'!$BE$23)*IF(CX266&lt;INDEX('Lease Cycles'!$FA$23:$FG$23,1,CX265),0,1-INDEX('Lease Cycles'!$EM$23:$ES$23,1,CX265)),IF(OR(INDEX('Lease Cycles'!$DY$23:$EE$23,1,CX265)=1,CX266&gt;0),1,1-INDEX('Lease Cycles'!$DD$23:$DJ$23,1,CX265))*((1-'Lease Cycles'!$AJ$23)*INDEX('Lease Cycles'!$FO$23:$FU$23,1,CX265)+(1-'Lease Cycles'!$BE$23)*(1-INDEX('Lease Cycles'!$FO$23:$FU$23,1,CX265)))),0)</f>
        <v>0</v>
      </c>
      <c r="CY273" s="24">
        <f>IF(CY267=1,'Lease Cycles'!$D$23*IF(INDEX('Lease Cycles'!$EF$23:$EL$23,1,CY265)=1,(1-'Lease Cycles'!$AJ$23)*INDEX('Lease Cycles'!$EM$23:$ES$23,1,CY265)+(1-'Lease Cycles'!$BE$23)*IF(CY266&lt;INDEX('Lease Cycles'!$FA$23:$FG$23,1,CY265),0,1-INDEX('Lease Cycles'!$EM$23:$ES$23,1,CY265)),IF(OR(INDEX('Lease Cycles'!$DY$23:$EE$23,1,CY265)=1,CY266&gt;0),1,1-INDEX('Lease Cycles'!$DD$23:$DJ$23,1,CY265))*((1-'Lease Cycles'!$AJ$23)*INDEX('Lease Cycles'!$FO$23:$FU$23,1,CY265)+(1-'Lease Cycles'!$BE$23)*(1-INDEX('Lease Cycles'!$FO$23:$FU$23,1,CY265)))),0)</f>
        <v>0</v>
      </c>
      <c r="CZ273" s="24">
        <f>IF(CZ267=1,'Lease Cycles'!$D$23*IF(INDEX('Lease Cycles'!$EF$23:$EL$23,1,CZ265)=1,(1-'Lease Cycles'!$AJ$23)*INDEX('Lease Cycles'!$EM$23:$ES$23,1,CZ265)+(1-'Lease Cycles'!$BE$23)*IF(CZ266&lt;INDEX('Lease Cycles'!$FA$23:$FG$23,1,CZ265),0,1-INDEX('Lease Cycles'!$EM$23:$ES$23,1,CZ265)),IF(OR(INDEX('Lease Cycles'!$DY$23:$EE$23,1,CZ265)=1,CZ266&gt;0),1,1-INDEX('Lease Cycles'!$DD$23:$DJ$23,1,CZ265))*((1-'Lease Cycles'!$AJ$23)*INDEX('Lease Cycles'!$FO$23:$FU$23,1,CZ265)+(1-'Lease Cycles'!$BE$23)*(1-INDEX('Lease Cycles'!$FO$23:$FU$23,1,CZ265)))),0)</f>
        <v>0</v>
      </c>
      <c r="DA273" s="24">
        <f>IF(DA267=1,'Lease Cycles'!$D$23*IF(INDEX('Lease Cycles'!$EF$23:$EL$23,1,DA265)=1,(1-'Lease Cycles'!$AJ$23)*INDEX('Lease Cycles'!$EM$23:$ES$23,1,DA265)+(1-'Lease Cycles'!$BE$23)*IF(DA266&lt;INDEX('Lease Cycles'!$FA$23:$FG$23,1,DA265),0,1-INDEX('Lease Cycles'!$EM$23:$ES$23,1,DA265)),IF(OR(INDEX('Lease Cycles'!$DY$23:$EE$23,1,DA265)=1,DA266&gt;0),1,1-INDEX('Lease Cycles'!$DD$23:$DJ$23,1,DA265))*((1-'Lease Cycles'!$AJ$23)*INDEX('Lease Cycles'!$FO$23:$FU$23,1,DA265)+(1-'Lease Cycles'!$BE$23)*(1-INDEX('Lease Cycles'!$FO$23:$FU$23,1,DA265)))),0)</f>
        <v>0</v>
      </c>
      <c r="DB273" s="24">
        <f>IF(DB267=1,'Lease Cycles'!$D$23*IF(INDEX('Lease Cycles'!$EF$23:$EL$23,1,DB265)=1,(1-'Lease Cycles'!$AJ$23)*INDEX('Lease Cycles'!$EM$23:$ES$23,1,DB265)+(1-'Lease Cycles'!$BE$23)*IF(DB266&lt;INDEX('Lease Cycles'!$FA$23:$FG$23,1,DB265),0,1-INDEX('Lease Cycles'!$EM$23:$ES$23,1,DB265)),IF(OR(INDEX('Lease Cycles'!$DY$23:$EE$23,1,DB265)=1,DB266&gt;0),1,1-INDEX('Lease Cycles'!$DD$23:$DJ$23,1,DB265))*((1-'Lease Cycles'!$AJ$23)*INDEX('Lease Cycles'!$FO$23:$FU$23,1,DB265)+(1-'Lease Cycles'!$BE$23)*(1-INDEX('Lease Cycles'!$FO$23:$FU$23,1,DB265)))),0)</f>
        <v>0</v>
      </c>
      <c r="DC273" s="24">
        <f>IF(DC267=1,'Lease Cycles'!$D$23*IF(INDEX('Lease Cycles'!$EF$23:$EL$23,1,DC265)=1,(1-'Lease Cycles'!$AJ$23)*INDEX('Lease Cycles'!$EM$23:$ES$23,1,DC265)+(1-'Lease Cycles'!$BE$23)*IF(DC266&lt;INDEX('Lease Cycles'!$FA$23:$FG$23,1,DC265),0,1-INDEX('Lease Cycles'!$EM$23:$ES$23,1,DC265)),IF(OR(INDEX('Lease Cycles'!$DY$23:$EE$23,1,DC265)=1,DC266&gt;0),1,1-INDEX('Lease Cycles'!$DD$23:$DJ$23,1,DC265))*((1-'Lease Cycles'!$AJ$23)*INDEX('Lease Cycles'!$FO$23:$FU$23,1,DC265)+(1-'Lease Cycles'!$BE$23)*(1-INDEX('Lease Cycles'!$FO$23:$FU$23,1,DC265)))),0)</f>
        <v>0</v>
      </c>
      <c r="DD273" s="24">
        <f>IF(DD267=1,'Lease Cycles'!$D$23*IF(INDEX('Lease Cycles'!$EF$23:$EL$23,1,DD265)=1,(1-'Lease Cycles'!$AJ$23)*INDEX('Lease Cycles'!$EM$23:$ES$23,1,DD265)+(1-'Lease Cycles'!$BE$23)*IF(DD266&lt;INDEX('Lease Cycles'!$FA$23:$FG$23,1,DD265),0,1-INDEX('Lease Cycles'!$EM$23:$ES$23,1,DD265)),IF(OR(INDEX('Lease Cycles'!$DY$23:$EE$23,1,DD265)=1,DD266&gt;0),1,1-INDEX('Lease Cycles'!$DD$23:$DJ$23,1,DD265))*((1-'Lease Cycles'!$AJ$23)*INDEX('Lease Cycles'!$FO$23:$FU$23,1,DD265)+(1-'Lease Cycles'!$BE$23)*(1-INDEX('Lease Cycles'!$FO$23:$FU$23,1,DD265)))),0)</f>
        <v>0</v>
      </c>
      <c r="DE273" s="24">
        <f>IF(DE267=1,'Lease Cycles'!$D$23*IF(INDEX('Lease Cycles'!$EF$23:$EL$23,1,DE265)=1,(1-'Lease Cycles'!$AJ$23)*INDEX('Lease Cycles'!$EM$23:$ES$23,1,DE265)+(1-'Lease Cycles'!$BE$23)*IF(DE266&lt;INDEX('Lease Cycles'!$FA$23:$FG$23,1,DE265),0,1-INDEX('Lease Cycles'!$EM$23:$ES$23,1,DE265)),IF(OR(INDEX('Lease Cycles'!$DY$23:$EE$23,1,DE265)=1,DE266&gt;0),1,1-INDEX('Lease Cycles'!$DD$23:$DJ$23,1,DE265))*((1-'Lease Cycles'!$AJ$23)*INDEX('Lease Cycles'!$FO$23:$FU$23,1,DE265)+(1-'Lease Cycles'!$BE$23)*(1-INDEX('Lease Cycles'!$FO$23:$FU$23,1,DE265)))),0)</f>
        <v>0</v>
      </c>
      <c r="DF273" s="24">
        <f>IF(DF267=1,'Lease Cycles'!$D$23*IF(INDEX('Lease Cycles'!$EF$23:$EL$23,1,DF265)=1,(1-'Lease Cycles'!$AJ$23)*INDEX('Lease Cycles'!$EM$23:$ES$23,1,DF265)+(1-'Lease Cycles'!$BE$23)*IF(DF266&lt;INDEX('Lease Cycles'!$FA$23:$FG$23,1,DF265),0,1-INDEX('Lease Cycles'!$EM$23:$ES$23,1,DF265)),IF(OR(INDEX('Lease Cycles'!$DY$23:$EE$23,1,DF265)=1,DF266&gt;0),1,1-INDEX('Lease Cycles'!$DD$23:$DJ$23,1,DF265))*((1-'Lease Cycles'!$AJ$23)*INDEX('Lease Cycles'!$FO$23:$FU$23,1,DF265)+(1-'Lease Cycles'!$BE$23)*(1-INDEX('Lease Cycles'!$FO$23:$FU$23,1,DF265)))),0)</f>
        <v>0</v>
      </c>
      <c r="DG273" s="24">
        <f>IF(DG267=1,'Lease Cycles'!$D$23*IF(INDEX('Lease Cycles'!$EF$23:$EL$23,1,DG265)=1,(1-'Lease Cycles'!$AJ$23)*INDEX('Lease Cycles'!$EM$23:$ES$23,1,DG265)+(1-'Lease Cycles'!$BE$23)*IF(DG266&lt;INDEX('Lease Cycles'!$FA$23:$FG$23,1,DG265),0,1-INDEX('Lease Cycles'!$EM$23:$ES$23,1,DG265)),IF(OR(INDEX('Lease Cycles'!$DY$23:$EE$23,1,DG265)=1,DG266&gt;0),1,1-INDEX('Lease Cycles'!$DD$23:$DJ$23,1,DG265))*((1-'Lease Cycles'!$AJ$23)*INDEX('Lease Cycles'!$FO$23:$FU$23,1,DG265)+(1-'Lease Cycles'!$BE$23)*(1-INDEX('Lease Cycles'!$FO$23:$FU$23,1,DG265)))),0)</f>
        <v>0</v>
      </c>
      <c r="DH273" s="24">
        <f>IF(DH267=1,'Lease Cycles'!$D$23*IF(INDEX('Lease Cycles'!$EF$23:$EL$23,1,DH265)=1,(1-'Lease Cycles'!$AJ$23)*INDEX('Lease Cycles'!$EM$23:$ES$23,1,DH265)+(1-'Lease Cycles'!$BE$23)*IF(DH266&lt;INDEX('Lease Cycles'!$FA$23:$FG$23,1,DH265),0,1-INDEX('Lease Cycles'!$EM$23:$ES$23,1,DH265)),IF(OR(INDEX('Lease Cycles'!$DY$23:$EE$23,1,DH265)=1,DH266&gt;0),1,1-INDEX('Lease Cycles'!$DD$23:$DJ$23,1,DH265))*((1-'Lease Cycles'!$AJ$23)*INDEX('Lease Cycles'!$FO$23:$FU$23,1,DH265)+(1-'Lease Cycles'!$BE$23)*(1-INDEX('Lease Cycles'!$FO$23:$FU$23,1,DH265)))),0)</f>
        <v>0</v>
      </c>
      <c r="DI273" s="24">
        <f>IF(DI267=1,'Lease Cycles'!$D$23*IF(INDEX('Lease Cycles'!$EF$23:$EL$23,1,DI265)=1,(1-'Lease Cycles'!$AJ$23)*INDEX('Lease Cycles'!$EM$23:$ES$23,1,DI265)+(1-'Lease Cycles'!$BE$23)*IF(DI266&lt;INDEX('Lease Cycles'!$FA$23:$FG$23,1,DI265),0,1-INDEX('Lease Cycles'!$EM$23:$ES$23,1,DI265)),IF(OR(INDEX('Lease Cycles'!$DY$23:$EE$23,1,DI265)=1,DI266&gt;0),1,1-INDEX('Lease Cycles'!$DD$23:$DJ$23,1,DI265))*((1-'Lease Cycles'!$AJ$23)*INDEX('Lease Cycles'!$FO$23:$FU$23,1,DI265)+(1-'Lease Cycles'!$BE$23)*(1-INDEX('Lease Cycles'!$FO$23:$FU$23,1,DI265)))),0)</f>
        <v>0</v>
      </c>
      <c r="DJ273" s="24">
        <f>IF(DJ267=1,'Lease Cycles'!$D$23*IF(INDEX('Lease Cycles'!$EF$23:$EL$23,1,DJ265)=1,(1-'Lease Cycles'!$AJ$23)*INDEX('Lease Cycles'!$EM$23:$ES$23,1,DJ265)+(1-'Lease Cycles'!$BE$23)*IF(DJ266&lt;INDEX('Lease Cycles'!$FA$23:$FG$23,1,DJ265),0,1-INDEX('Lease Cycles'!$EM$23:$ES$23,1,DJ265)),IF(OR(INDEX('Lease Cycles'!$DY$23:$EE$23,1,DJ265)=1,DJ266&gt;0),1,1-INDEX('Lease Cycles'!$DD$23:$DJ$23,1,DJ265))*((1-'Lease Cycles'!$AJ$23)*INDEX('Lease Cycles'!$FO$23:$FU$23,1,DJ265)+(1-'Lease Cycles'!$BE$23)*(1-INDEX('Lease Cycles'!$FO$23:$FU$23,1,DJ265)))),0)</f>
        <v>0</v>
      </c>
      <c r="DK273" s="24">
        <f>IF(DK267=1,'Lease Cycles'!$D$23*IF(INDEX('Lease Cycles'!$EF$23:$EL$23,1,DK265)=1,(1-'Lease Cycles'!$AJ$23)*INDEX('Lease Cycles'!$EM$23:$ES$23,1,DK265)+(1-'Lease Cycles'!$BE$23)*IF(DK266&lt;INDEX('Lease Cycles'!$FA$23:$FG$23,1,DK265),0,1-INDEX('Lease Cycles'!$EM$23:$ES$23,1,DK265)),IF(OR(INDEX('Lease Cycles'!$DY$23:$EE$23,1,DK265)=1,DK266&gt;0),1,1-INDEX('Lease Cycles'!$DD$23:$DJ$23,1,DK265))*((1-'Lease Cycles'!$AJ$23)*INDEX('Lease Cycles'!$FO$23:$FU$23,1,DK265)+(1-'Lease Cycles'!$BE$23)*(1-INDEX('Lease Cycles'!$FO$23:$FU$23,1,DK265)))),0)</f>
        <v>0</v>
      </c>
      <c r="DL273" s="24">
        <f>IF(DL267=1,'Lease Cycles'!$D$23*IF(INDEX('Lease Cycles'!$EF$23:$EL$23,1,DL265)=1,(1-'Lease Cycles'!$AJ$23)*INDEX('Lease Cycles'!$EM$23:$ES$23,1,DL265)+(1-'Lease Cycles'!$BE$23)*IF(DL266&lt;INDEX('Lease Cycles'!$FA$23:$FG$23,1,DL265),0,1-INDEX('Lease Cycles'!$EM$23:$ES$23,1,DL265)),IF(OR(INDEX('Lease Cycles'!$DY$23:$EE$23,1,DL265)=1,DL266&gt;0),1,1-INDEX('Lease Cycles'!$DD$23:$DJ$23,1,DL265))*((1-'Lease Cycles'!$AJ$23)*INDEX('Lease Cycles'!$FO$23:$FU$23,1,DL265)+(1-'Lease Cycles'!$BE$23)*(1-INDEX('Lease Cycles'!$FO$23:$FU$23,1,DL265)))),0)</f>
        <v>0</v>
      </c>
      <c r="DM273" s="24">
        <f>IF(DM267=1,'Lease Cycles'!$D$23*IF(INDEX('Lease Cycles'!$EF$23:$EL$23,1,DM265)=1,(1-'Lease Cycles'!$AJ$23)*INDEX('Lease Cycles'!$EM$23:$ES$23,1,DM265)+(1-'Lease Cycles'!$BE$23)*IF(DM266&lt;INDEX('Lease Cycles'!$FA$23:$FG$23,1,DM265),0,1-INDEX('Lease Cycles'!$EM$23:$ES$23,1,DM265)),IF(OR(INDEX('Lease Cycles'!$DY$23:$EE$23,1,DM265)=1,DM266&gt;0),1,1-INDEX('Lease Cycles'!$DD$23:$DJ$23,1,DM265))*((1-'Lease Cycles'!$AJ$23)*INDEX('Lease Cycles'!$FO$23:$FU$23,1,DM265)+(1-'Lease Cycles'!$BE$23)*(1-INDEX('Lease Cycles'!$FO$23:$FU$23,1,DM265)))),0)</f>
        <v>0</v>
      </c>
      <c r="DN273" s="24">
        <f>IF(DN267=1,'Lease Cycles'!$D$23*IF(INDEX('Lease Cycles'!$EF$23:$EL$23,1,DN265)=1,(1-'Lease Cycles'!$AJ$23)*INDEX('Lease Cycles'!$EM$23:$ES$23,1,DN265)+(1-'Lease Cycles'!$BE$23)*IF(DN266&lt;INDEX('Lease Cycles'!$FA$23:$FG$23,1,DN265),0,1-INDEX('Lease Cycles'!$EM$23:$ES$23,1,DN265)),IF(OR(INDEX('Lease Cycles'!$DY$23:$EE$23,1,DN265)=1,DN266&gt;0),1,1-INDEX('Lease Cycles'!$DD$23:$DJ$23,1,DN265))*((1-'Lease Cycles'!$AJ$23)*INDEX('Lease Cycles'!$FO$23:$FU$23,1,DN265)+(1-'Lease Cycles'!$BE$23)*(1-INDEX('Lease Cycles'!$FO$23:$FU$23,1,DN265)))),0)</f>
        <v>0</v>
      </c>
      <c r="DO273" s="24">
        <f>IF(DO267=1,'Lease Cycles'!$D$23*IF(INDEX('Lease Cycles'!$EF$23:$EL$23,1,DO265)=1,(1-'Lease Cycles'!$AJ$23)*INDEX('Lease Cycles'!$EM$23:$ES$23,1,DO265)+(1-'Lease Cycles'!$BE$23)*IF(DO266&lt;INDEX('Lease Cycles'!$FA$23:$FG$23,1,DO265),0,1-INDEX('Lease Cycles'!$EM$23:$ES$23,1,DO265)),IF(OR(INDEX('Lease Cycles'!$DY$23:$EE$23,1,DO265)=1,DO266&gt;0),1,1-INDEX('Lease Cycles'!$DD$23:$DJ$23,1,DO265))*((1-'Lease Cycles'!$AJ$23)*INDEX('Lease Cycles'!$FO$23:$FU$23,1,DO265)+(1-'Lease Cycles'!$BE$23)*(1-INDEX('Lease Cycles'!$FO$23:$FU$23,1,DO265)))),0)</f>
        <v>0</v>
      </c>
      <c r="DP273" s="24">
        <f>IF(DP267=1,'Lease Cycles'!$D$23*IF(INDEX('Lease Cycles'!$EF$23:$EL$23,1,DP265)=1,(1-'Lease Cycles'!$AJ$23)*INDEX('Lease Cycles'!$EM$23:$ES$23,1,DP265)+(1-'Lease Cycles'!$BE$23)*IF(DP266&lt;INDEX('Lease Cycles'!$FA$23:$FG$23,1,DP265),0,1-INDEX('Lease Cycles'!$EM$23:$ES$23,1,DP265)),IF(OR(INDEX('Lease Cycles'!$DY$23:$EE$23,1,DP265)=1,DP266&gt;0),1,1-INDEX('Lease Cycles'!$DD$23:$DJ$23,1,DP265))*((1-'Lease Cycles'!$AJ$23)*INDEX('Lease Cycles'!$FO$23:$FU$23,1,DP265)+(1-'Lease Cycles'!$BE$23)*(1-INDEX('Lease Cycles'!$FO$23:$FU$23,1,DP265)))),0)</f>
        <v>0</v>
      </c>
      <c r="DQ273" s="24">
        <f>IF(DQ267=1,'Lease Cycles'!$D$23*IF(INDEX('Lease Cycles'!$EF$23:$EL$23,1,DQ265)=1,(1-'Lease Cycles'!$AJ$23)*INDEX('Lease Cycles'!$EM$23:$ES$23,1,DQ265)+(1-'Lease Cycles'!$BE$23)*IF(DQ266&lt;INDEX('Lease Cycles'!$FA$23:$FG$23,1,DQ265),0,1-INDEX('Lease Cycles'!$EM$23:$ES$23,1,DQ265)),IF(OR(INDEX('Lease Cycles'!$DY$23:$EE$23,1,DQ265)=1,DQ266&gt;0),1,1-INDEX('Lease Cycles'!$DD$23:$DJ$23,1,DQ265))*((1-'Lease Cycles'!$AJ$23)*INDEX('Lease Cycles'!$FO$23:$FU$23,1,DQ265)+(1-'Lease Cycles'!$BE$23)*(1-INDEX('Lease Cycles'!$FO$23:$FU$23,1,DQ265)))),0)</f>
        <v>0</v>
      </c>
      <c r="DR273" s="24">
        <f>IF(DR267=1,'Lease Cycles'!$D$23*IF(INDEX('Lease Cycles'!$EF$23:$EL$23,1,DR265)=1,(1-'Lease Cycles'!$AJ$23)*INDEX('Lease Cycles'!$EM$23:$ES$23,1,DR265)+(1-'Lease Cycles'!$BE$23)*IF(DR266&lt;INDEX('Lease Cycles'!$FA$23:$FG$23,1,DR265),0,1-INDEX('Lease Cycles'!$EM$23:$ES$23,1,DR265)),IF(OR(INDEX('Lease Cycles'!$DY$23:$EE$23,1,DR265)=1,DR266&gt;0),1,1-INDEX('Lease Cycles'!$DD$23:$DJ$23,1,DR265))*((1-'Lease Cycles'!$AJ$23)*INDEX('Lease Cycles'!$FO$23:$FU$23,1,DR265)+(1-'Lease Cycles'!$BE$23)*(1-INDEX('Lease Cycles'!$FO$23:$FU$23,1,DR265)))),0)</f>
        <v>0</v>
      </c>
      <c r="DS273" s="24">
        <f>IF(DS267=1,'Lease Cycles'!$D$23*IF(INDEX('Lease Cycles'!$EF$23:$EL$23,1,DS265)=1,(1-'Lease Cycles'!$AJ$23)*INDEX('Lease Cycles'!$EM$23:$ES$23,1,DS265)+(1-'Lease Cycles'!$BE$23)*IF(DS266&lt;INDEX('Lease Cycles'!$FA$23:$FG$23,1,DS265),0,1-INDEX('Lease Cycles'!$EM$23:$ES$23,1,DS265)),IF(OR(INDEX('Lease Cycles'!$DY$23:$EE$23,1,DS265)=1,DS266&gt;0),1,1-INDEX('Lease Cycles'!$DD$23:$DJ$23,1,DS265))*((1-'Lease Cycles'!$AJ$23)*INDEX('Lease Cycles'!$FO$23:$FU$23,1,DS265)+(1-'Lease Cycles'!$BE$23)*(1-INDEX('Lease Cycles'!$FO$23:$FU$23,1,DS265)))),0)</f>
        <v>0</v>
      </c>
      <c r="DT273" s="24">
        <f>IF(DT267=1,'Lease Cycles'!$D$23*IF(INDEX('Lease Cycles'!$EF$23:$EL$23,1,DT265)=1,(1-'Lease Cycles'!$AJ$23)*INDEX('Lease Cycles'!$EM$23:$ES$23,1,DT265)+(1-'Lease Cycles'!$BE$23)*IF(DT266&lt;INDEX('Lease Cycles'!$FA$23:$FG$23,1,DT265),0,1-INDEX('Lease Cycles'!$EM$23:$ES$23,1,DT265)),IF(OR(INDEX('Lease Cycles'!$DY$23:$EE$23,1,DT265)=1,DT266&gt;0),1,1-INDEX('Lease Cycles'!$DD$23:$DJ$23,1,DT265))*((1-'Lease Cycles'!$AJ$23)*INDEX('Lease Cycles'!$FO$23:$FU$23,1,DT265)+(1-'Lease Cycles'!$BE$23)*(1-INDEX('Lease Cycles'!$FO$23:$FU$23,1,DT265)))),0)</f>
        <v>0</v>
      </c>
      <c r="DU273" s="24">
        <f>IF(DU267=1,'Lease Cycles'!$D$23*IF(INDEX('Lease Cycles'!$EF$23:$EL$23,1,DU265)=1,(1-'Lease Cycles'!$AJ$23)*INDEX('Lease Cycles'!$EM$23:$ES$23,1,DU265)+(1-'Lease Cycles'!$BE$23)*IF(DU266&lt;INDEX('Lease Cycles'!$FA$23:$FG$23,1,DU265),0,1-INDEX('Lease Cycles'!$EM$23:$ES$23,1,DU265)),IF(OR(INDEX('Lease Cycles'!$DY$23:$EE$23,1,DU265)=1,DU266&gt;0),1,1-INDEX('Lease Cycles'!$DD$23:$DJ$23,1,DU265))*((1-'Lease Cycles'!$AJ$23)*INDEX('Lease Cycles'!$FO$23:$FU$23,1,DU265)+(1-'Lease Cycles'!$BE$23)*(1-INDEX('Lease Cycles'!$FO$23:$FU$23,1,DU265)))),0)</f>
        <v>0</v>
      </c>
      <c r="DV273" s="24">
        <f>IF(DV267=1,'Lease Cycles'!$D$23*IF(INDEX('Lease Cycles'!$EF$23:$EL$23,1,DV265)=1,(1-'Lease Cycles'!$AJ$23)*INDEX('Lease Cycles'!$EM$23:$ES$23,1,DV265)+(1-'Lease Cycles'!$BE$23)*IF(DV266&lt;INDEX('Lease Cycles'!$FA$23:$FG$23,1,DV265),0,1-INDEX('Lease Cycles'!$EM$23:$ES$23,1,DV265)),IF(OR(INDEX('Lease Cycles'!$DY$23:$EE$23,1,DV265)=1,DV266&gt;0),1,1-INDEX('Lease Cycles'!$DD$23:$DJ$23,1,DV265))*((1-'Lease Cycles'!$AJ$23)*INDEX('Lease Cycles'!$FO$23:$FU$23,1,DV265)+(1-'Lease Cycles'!$BE$23)*(1-INDEX('Lease Cycles'!$FO$23:$FU$23,1,DV265)))),0)</f>
        <v>0</v>
      </c>
      <c r="DW273" s="24">
        <f>IF(DW267=1,'Lease Cycles'!$D$23*IF(INDEX('Lease Cycles'!$EF$23:$EL$23,1,DW265)=1,(1-'Lease Cycles'!$AJ$23)*INDEX('Lease Cycles'!$EM$23:$ES$23,1,DW265)+(1-'Lease Cycles'!$BE$23)*IF(DW266&lt;INDEX('Lease Cycles'!$FA$23:$FG$23,1,DW265),0,1-INDEX('Lease Cycles'!$EM$23:$ES$23,1,DW265)),IF(OR(INDEX('Lease Cycles'!$DY$23:$EE$23,1,DW265)=1,DW266&gt;0),1,1-INDEX('Lease Cycles'!$DD$23:$DJ$23,1,DW265))*((1-'Lease Cycles'!$AJ$23)*INDEX('Lease Cycles'!$FO$23:$FU$23,1,DW265)+(1-'Lease Cycles'!$BE$23)*(1-INDEX('Lease Cycles'!$FO$23:$FU$23,1,DW265)))),0)</f>
        <v>0</v>
      </c>
      <c r="DX273" s="24">
        <f>IF(DX267=1,'Lease Cycles'!$D$23*IF(INDEX('Lease Cycles'!$EF$23:$EL$23,1,DX265)=1,(1-'Lease Cycles'!$AJ$23)*INDEX('Lease Cycles'!$EM$23:$ES$23,1,DX265)+(1-'Lease Cycles'!$BE$23)*IF(DX266&lt;INDEX('Lease Cycles'!$FA$23:$FG$23,1,DX265),0,1-INDEX('Lease Cycles'!$EM$23:$ES$23,1,DX265)),IF(OR(INDEX('Lease Cycles'!$DY$23:$EE$23,1,DX265)=1,DX266&gt;0),1,1-INDEX('Lease Cycles'!$DD$23:$DJ$23,1,DX265))*((1-'Lease Cycles'!$AJ$23)*INDEX('Lease Cycles'!$FO$23:$FU$23,1,DX265)+(1-'Lease Cycles'!$BE$23)*(1-INDEX('Lease Cycles'!$FO$23:$FU$23,1,DX265)))),0)</f>
        <v>0</v>
      </c>
      <c r="DY273" s="24">
        <f>IF(DY267=1,'Lease Cycles'!$D$23*IF(INDEX('Lease Cycles'!$EF$23:$EL$23,1,DY265)=1,(1-'Lease Cycles'!$AJ$23)*INDEX('Lease Cycles'!$EM$23:$ES$23,1,DY265)+(1-'Lease Cycles'!$BE$23)*IF(DY266&lt;INDEX('Lease Cycles'!$FA$23:$FG$23,1,DY265),0,1-INDEX('Lease Cycles'!$EM$23:$ES$23,1,DY265)),IF(OR(INDEX('Lease Cycles'!$DY$23:$EE$23,1,DY265)=1,DY266&gt;0),1,1-INDEX('Lease Cycles'!$DD$23:$DJ$23,1,DY265))*((1-'Lease Cycles'!$AJ$23)*INDEX('Lease Cycles'!$FO$23:$FU$23,1,DY265)+(1-'Lease Cycles'!$BE$23)*(1-INDEX('Lease Cycles'!$FO$23:$FU$23,1,DY265)))),0)</f>
        <v>0</v>
      </c>
      <c r="DZ273" s="24">
        <f>IF(DZ267=1,'Lease Cycles'!$D$23*IF(INDEX('Lease Cycles'!$EF$23:$EL$23,1,DZ265)=1,(1-'Lease Cycles'!$AJ$23)*INDEX('Lease Cycles'!$EM$23:$ES$23,1,DZ265)+(1-'Lease Cycles'!$BE$23)*IF(DZ266&lt;INDEX('Lease Cycles'!$FA$23:$FG$23,1,DZ265),0,1-INDEX('Lease Cycles'!$EM$23:$ES$23,1,DZ265)),IF(OR(INDEX('Lease Cycles'!$DY$23:$EE$23,1,DZ265)=1,DZ266&gt;0),1,1-INDEX('Lease Cycles'!$DD$23:$DJ$23,1,DZ265))*((1-'Lease Cycles'!$AJ$23)*INDEX('Lease Cycles'!$FO$23:$FU$23,1,DZ265)+(1-'Lease Cycles'!$BE$23)*(1-INDEX('Lease Cycles'!$FO$23:$FU$23,1,DZ265)))),0)</f>
        <v>0</v>
      </c>
      <c r="EA273" s="24">
        <f>IF(EA267=1,'Lease Cycles'!$D$23*IF(INDEX('Lease Cycles'!$EF$23:$EL$23,1,EA265)=1,(1-'Lease Cycles'!$AJ$23)*INDEX('Lease Cycles'!$EM$23:$ES$23,1,EA265)+(1-'Lease Cycles'!$BE$23)*IF(EA266&lt;INDEX('Lease Cycles'!$FA$23:$FG$23,1,EA265),0,1-INDEX('Lease Cycles'!$EM$23:$ES$23,1,EA265)),IF(OR(INDEX('Lease Cycles'!$DY$23:$EE$23,1,EA265)=1,EA266&gt;0),1,1-INDEX('Lease Cycles'!$DD$23:$DJ$23,1,EA265))*((1-'Lease Cycles'!$AJ$23)*INDEX('Lease Cycles'!$FO$23:$FU$23,1,EA265)+(1-'Lease Cycles'!$BE$23)*(1-INDEX('Lease Cycles'!$FO$23:$FU$23,1,EA265)))),0)</f>
        <v>0</v>
      </c>
      <c r="EB273" s="24">
        <f>IF(EB267=1,'Lease Cycles'!$D$23*IF(INDEX('Lease Cycles'!$EF$23:$EL$23,1,EB265)=1,(1-'Lease Cycles'!$AJ$23)*INDEX('Lease Cycles'!$EM$23:$ES$23,1,EB265)+(1-'Lease Cycles'!$BE$23)*IF(EB266&lt;INDEX('Lease Cycles'!$FA$23:$FG$23,1,EB265),0,1-INDEX('Lease Cycles'!$EM$23:$ES$23,1,EB265)),IF(OR(INDEX('Lease Cycles'!$DY$23:$EE$23,1,EB265)=1,EB266&gt;0),1,1-INDEX('Lease Cycles'!$DD$23:$DJ$23,1,EB265))*((1-'Lease Cycles'!$AJ$23)*INDEX('Lease Cycles'!$FO$23:$FU$23,1,EB265)+(1-'Lease Cycles'!$BE$23)*(1-INDEX('Lease Cycles'!$FO$23:$FU$23,1,EB265)))),0)</f>
        <v>0</v>
      </c>
      <c r="EC273" s="24">
        <f>IF(EC267=1,'Lease Cycles'!$D$23*IF(INDEX('Lease Cycles'!$EF$23:$EL$23,1,EC265)=1,(1-'Lease Cycles'!$AJ$23)*INDEX('Lease Cycles'!$EM$23:$ES$23,1,EC265)+(1-'Lease Cycles'!$BE$23)*IF(EC266&lt;INDEX('Lease Cycles'!$FA$23:$FG$23,1,EC265),0,1-INDEX('Lease Cycles'!$EM$23:$ES$23,1,EC265)),IF(OR(INDEX('Lease Cycles'!$DY$23:$EE$23,1,EC265)=1,EC266&gt;0),1,1-INDEX('Lease Cycles'!$DD$23:$DJ$23,1,EC265))*((1-'Lease Cycles'!$AJ$23)*INDEX('Lease Cycles'!$FO$23:$FU$23,1,EC265)+(1-'Lease Cycles'!$BE$23)*(1-INDEX('Lease Cycles'!$FO$23:$FU$23,1,EC265)))),0)</f>
        <v>0</v>
      </c>
      <c r="ED273" s="24">
        <f>IF(ED267=1,'Lease Cycles'!$D$23*IF(INDEX('Lease Cycles'!$EF$23:$EL$23,1,ED265)=1,(1-'Lease Cycles'!$AJ$23)*INDEX('Lease Cycles'!$EM$23:$ES$23,1,ED265)+(1-'Lease Cycles'!$BE$23)*IF(ED266&lt;INDEX('Lease Cycles'!$FA$23:$FG$23,1,ED265),0,1-INDEX('Lease Cycles'!$EM$23:$ES$23,1,ED265)),IF(OR(INDEX('Lease Cycles'!$DY$23:$EE$23,1,ED265)=1,ED266&gt;0),1,1-INDEX('Lease Cycles'!$DD$23:$DJ$23,1,ED265))*((1-'Lease Cycles'!$AJ$23)*INDEX('Lease Cycles'!$FO$23:$FU$23,1,ED265)+(1-'Lease Cycles'!$BE$23)*(1-INDEX('Lease Cycles'!$FO$23:$FU$23,1,ED265)))),0)</f>
        <v>0</v>
      </c>
      <c r="EE273" s="24">
        <f>IF(EE267=1,'Lease Cycles'!$D$23*IF(INDEX('Lease Cycles'!$EF$23:$EL$23,1,EE265)=1,(1-'Lease Cycles'!$AJ$23)*INDEX('Lease Cycles'!$EM$23:$ES$23,1,EE265)+(1-'Lease Cycles'!$BE$23)*IF(EE266&lt;INDEX('Lease Cycles'!$FA$23:$FG$23,1,EE265),0,1-INDEX('Lease Cycles'!$EM$23:$ES$23,1,EE265)),IF(OR(INDEX('Lease Cycles'!$DY$23:$EE$23,1,EE265)=1,EE266&gt;0),1,1-INDEX('Lease Cycles'!$DD$23:$DJ$23,1,EE265))*((1-'Lease Cycles'!$AJ$23)*INDEX('Lease Cycles'!$FO$23:$FU$23,1,EE265)+(1-'Lease Cycles'!$BE$23)*(1-INDEX('Lease Cycles'!$FO$23:$FU$23,1,EE265)))),0)</f>
        <v>0</v>
      </c>
      <c r="EF273" s="24">
        <f>IF(EF267=1,'Lease Cycles'!$D$23*IF(INDEX('Lease Cycles'!$EF$23:$EL$23,1,EF265)=1,(1-'Lease Cycles'!$AJ$23)*INDEX('Lease Cycles'!$EM$23:$ES$23,1,EF265)+(1-'Lease Cycles'!$BE$23)*IF(EF266&lt;INDEX('Lease Cycles'!$FA$23:$FG$23,1,EF265),0,1-INDEX('Lease Cycles'!$EM$23:$ES$23,1,EF265)),IF(OR(INDEX('Lease Cycles'!$DY$23:$EE$23,1,EF265)=1,EF266&gt;0),1,1-INDEX('Lease Cycles'!$DD$23:$DJ$23,1,EF265))*((1-'Lease Cycles'!$AJ$23)*INDEX('Lease Cycles'!$FO$23:$FU$23,1,EF265)+(1-'Lease Cycles'!$BE$23)*(1-INDEX('Lease Cycles'!$FO$23:$FU$23,1,EF265)))),0)</f>
        <v>0</v>
      </c>
      <c r="EG273" s="24">
        <f>IF(EG267=1,'Lease Cycles'!$D$23*IF(INDEX('Lease Cycles'!$EF$23:$EL$23,1,EG265)=1,(1-'Lease Cycles'!$AJ$23)*INDEX('Lease Cycles'!$EM$23:$ES$23,1,EG265)+(1-'Lease Cycles'!$BE$23)*IF(EG266&lt;INDEX('Lease Cycles'!$FA$23:$FG$23,1,EG265),0,1-INDEX('Lease Cycles'!$EM$23:$ES$23,1,EG265)),IF(OR(INDEX('Lease Cycles'!$DY$23:$EE$23,1,EG265)=1,EG266&gt;0),1,1-INDEX('Lease Cycles'!$DD$23:$DJ$23,1,EG265))*((1-'Lease Cycles'!$AJ$23)*INDEX('Lease Cycles'!$FO$23:$FU$23,1,EG265)+(1-'Lease Cycles'!$BE$23)*(1-INDEX('Lease Cycles'!$FO$23:$FU$23,1,EG265)))),0)</f>
        <v>0</v>
      </c>
      <c r="EH273" s="24">
        <f>IF(EH267=1,'Lease Cycles'!$D$23*IF(INDEX('Lease Cycles'!$EF$23:$EL$23,1,EH265)=1,(1-'Lease Cycles'!$AJ$23)*INDEX('Lease Cycles'!$EM$23:$ES$23,1,EH265)+(1-'Lease Cycles'!$BE$23)*IF(EH266&lt;INDEX('Lease Cycles'!$FA$23:$FG$23,1,EH265),0,1-INDEX('Lease Cycles'!$EM$23:$ES$23,1,EH265)),IF(OR(INDEX('Lease Cycles'!$DY$23:$EE$23,1,EH265)=1,EH266&gt;0),1,1-INDEX('Lease Cycles'!$DD$23:$DJ$23,1,EH265))*((1-'Lease Cycles'!$AJ$23)*INDEX('Lease Cycles'!$FO$23:$FU$23,1,EH265)+(1-'Lease Cycles'!$BE$23)*(1-INDEX('Lease Cycles'!$FO$23:$FU$23,1,EH265)))),0)</f>
        <v>0</v>
      </c>
      <c r="EI273" s="24">
        <f>IF(EI267=1,'Lease Cycles'!$D$23*IF(INDEX('Lease Cycles'!$EF$23:$EL$23,1,EI265)=1,(1-'Lease Cycles'!$AJ$23)*INDEX('Lease Cycles'!$EM$23:$ES$23,1,EI265)+(1-'Lease Cycles'!$BE$23)*IF(EI266&lt;INDEX('Lease Cycles'!$FA$23:$FG$23,1,EI265),0,1-INDEX('Lease Cycles'!$EM$23:$ES$23,1,EI265)),IF(OR(INDEX('Lease Cycles'!$DY$23:$EE$23,1,EI265)=1,EI266&gt;0),1,1-INDEX('Lease Cycles'!$DD$23:$DJ$23,1,EI265))*((1-'Lease Cycles'!$AJ$23)*INDEX('Lease Cycles'!$FO$23:$FU$23,1,EI265)+(1-'Lease Cycles'!$BE$23)*(1-INDEX('Lease Cycles'!$FO$23:$FU$23,1,EI265)))),0)</f>
        <v>0</v>
      </c>
      <c r="EJ273" s="24">
        <f>IF(EJ267=1,'Lease Cycles'!$D$23*IF(INDEX('Lease Cycles'!$EF$23:$EL$23,1,EJ265)=1,(1-'Lease Cycles'!$AJ$23)*INDEX('Lease Cycles'!$EM$23:$ES$23,1,EJ265)+(1-'Lease Cycles'!$BE$23)*IF(EJ266&lt;INDEX('Lease Cycles'!$FA$23:$FG$23,1,EJ265),0,1-INDEX('Lease Cycles'!$EM$23:$ES$23,1,EJ265)),IF(OR(INDEX('Lease Cycles'!$DY$23:$EE$23,1,EJ265)=1,EJ266&gt;0),1,1-INDEX('Lease Cycles'!$DD$23:$DJ$23,1,EJ265))*((1-'Lease Cycles'!$AJ$23)*INDEX('Lease Cycles'!$FO$23:$FU$23,1,EJ265)+(1-'Lease Cycles'!$BE$23)*(1-INDEX('Lease Cycles'!$FO$23:$FU$23,1,EJ265)))),0)</f>
        <v>0</v>
      </c>
      <c r="EK273" s="24">
        <f>IF(EK267=1,'Lease Cycles'!$D$23*IF(INDEX('Lease Cycles'!$EF$23:$EL$23,1,EK265)=1,(1-'Lease Cycles'!$AJ$23)*INDEX('Lease Cycles'!$EM$23:$ES$23,1,EK265)+(1-'Lease Cycles'!$BE$23)*IF(EK266&lt;INDEX('Lease Cycles'!$FA$23:$FG$23,1,EK265),0,1-INDEX('Lease Cycles'!$EM$23:$ES$23,1,EK265)),IF(OR(INDEX('Lease Cycles'!$DY$23:$EE$23,1,EK265)=1,EK266&gt;0),1,1-INDEX('Lease Cycles'!$DD$23:$DJ$23,1,EK265))*((1-'Lease Cycles'!$AJ$23)*INDEX('Lease Cycles'!$FO$23:$FU$23,1,EK265)+(1-'Lease Cycles'!$BE$23)*(1-INDEX('Lease Cycles'!$FO$23:$FU$23,1,EK265)))),0)</f>
        <v>0</v>
      </c>
      <c r="EL273" s="24">
        <f>IF(EL267=1,'Lease Cycles'!$D$23*IF(INDEX('Lease Cycles'!$EF$23:$EL$23,1,EL265)=1,(1-'Lease Cycles'!$AJ$23)*INDEX('Lease Cycles'!$EM$23:$ES$23,1,EL265)+(1-'Lease Cycles'!$BE$23)*IF(EL266&lt;INDEX('Lease Cycles'!$FA$23:$FG$23,1,EL265),0,1-INDEX('Lease Cycles'!$EM$23:$ES$23,1,EL265)),IF(OR(INDEX('Lease Cycles'!$DY$23:$EE$23,1,EL265)=1,EL266&gt;0),1,1-INDEX('Lease Cycles'!$DD$23:$DJ$23,1,EL265))*((1-'Lease Cycles'!$AJ$23)*INDEX('Lease Cycles'!$FO$23:$FU$23,1,EL265)+(1-'Lease Cycles'!$BE$23)*(1-INDEX('Lease Cycles'!$FO$23:$FU$23,1,EL265)))),0)</f>
        <v>0</v>
      </c>
      <c r="EM273" s="24">
        <f>IF(EM267=1,'Lease Cycles'!$D$23*IF(INDEX('Lease Cycles'!$EF$23:$EL$23,1,EM265)=1,(1-'Lease Cycles'!$AJ$23)*INDEX('Lease Cycles'!$EM$23:$ES$23,1,EM265)+(1-'Lease Cycles'!$BE$23)*IF(EM266&lt;INDEX('Lease Cycles'!$FA$23:$FG$23,1,EM265),0,1-INDEX('Lease Cycles'!$EM$23:$ES$23,1,EM265)),IF(OR(INDEX('Lease Cycles'!$DY$23:$EE$23,1,EM265)=1,EM266&gt;0),1,1-INDEX('Lease Cycles'!$DD$23:$DJ$23,1,EM265))*((1-'Lease Cycles'!$AJ$23)*INDEX('Lease Cycles'!$FO$23:$FU$23,1,EM265)+(1-'Lease Cycles'!$BE$23)*(1-INDEX('Lease Cycles'!$FO$23:$FU$23,1,EM265)))),0)</f>
        <v>0</v>
      </c>
      <c r="EN273" s="24">
        <f>IF(EN267=1,'Lease Cycles'!$D$23*IF(INDEX('Lease Cycles'!$EF$23:$EL$23,1,EN265)=1,(1-'Lease Cycles'!$AJ$23)*INDEX('Lease Cycles'!$EM$23:$ES$23,1,EN265)+(1-'Lease Cycles'!$BE$23)*IF(EN266&lt;INDEX('Lease Cycles'!$FA$23:$FG$23,1,EN265),0,1-INDEX('Lease Cycles'!$EM$23:$ES$23,1,EN265)),IF(OR(INDEX('Lease Cycles'!$DY$23:$EE$23,1,EN265)=1,EN266&gt;0),1,1-INDEX('Lease Cycles'!$DD$23:$DJ$23,1,EN265))*((1-'Lease Cycles'!$AJ$23)*INDEX('Lease Cycles'!$FO$23:$FU$23,1,EN265)+(1-'Lease Cycles'!$BE$23)*(1-INDEX('Lease Cycles'!$FO$23:$FU$23,1,EN265)))),0)</f>
        <v>0</v>
      </c>
      <c r="EO273" s="24">
        <f>IF(EO267=1,'Lease Cycles'!$D$23*IF(INDEX('Lease Cycles'!$EF$23:$EL$23,1,EO265)=1,(1-'Lease Cycles'!$AJ$23)*INDEX('Lease Cycles'!$EM$23:$ES$23,1,EO265)+(1-'Lease Cycles'!$BE$23)*IF(EO266&lt;INDEX('Lease Cycles'!$FA$23:$FG$23,1,EO265),0,1-INDEX('Lease Cycles'!$EM$23:$ES$23,1,EO265)),IF(OR(INDEX('Lease Cycles'!$DY$23:$EE$23,1,EO265)=1,EO266&gt;0),1,1-INDEX('Lease Cycles'!$DD$23:$DJ$23,1,EO265))*((1-'Lease Cycles'!$AJ$23)*INDEX('Lease Cycles'!$FO$23:$FU$23,1,EO265)+(1-'Lease Cycles'!$BE$23)*(1-INDEX('Lease Cycles'!$FO$23:$FU$23,1,EO265)))),0)</f>
        <v>0</v>
      </c>
      <c r="EP273" s="24">
        <f>IF(EP267=1,'Lease Cycles'!$D$23*IF(INDEX('Lease Cycles'!$EF$23:$EL$23,1,EP265)=1,(1-'Lease Cycles'!$AJ$23)*INDEX('Lease Cycles'!$EM$23:$ES$23,1,EP265)+(1-'Lease Cycles'!$BE$23)*IF(EP266&lt;INDEX('Lease Cycles'!$FA$23:$FG$23,1,EP265),0,1-INDEX('Lease Cycles'!$EM$23:$ES$23,1,EP265)),IF(OR(INDEX('Lease Cycles'!$DY$23:$EE$23,1,EP265)=1,EP266&gt;0),1,1-INDEX('Lease Cycles'!$DD$23:$DJ$23,1,EP265))*((1-'Lease Cycles'!$AJ$23)*INDEX('Lease Cycles'!$FO$23:$FU$23,1,EP265)+(1-'Lease Cycles'!$BE$23)*(1-INDEX('Lease Cycles'!$FO$23:$FU$23,1,EP265)))),0)</f>
        <v>0</v>
      </c>
      <c r="EQ273" s="24">
        <f>IF(EQ267=1,'Lease Cycles'!$D$23*IF(INDEX('Lease Cycles'!$EF$23:$EL$23,1,EQ265)=1,(1-'Lease Cycles'!$AJ$23)*INDEX('Lease Cycles'!$EM$23:$ES$23,1,EQ265)+(1-'Lease Cycles'!$BE$23)*IF(EQ266&lt;INDEX('Lease Cycles'!$FA$23:$FG$23,1,EQ265),0,1-INDEX('Lease Cycles'!$EM$23:$ES$23,1,EQ265)),IF(OR(INDEX('Lease Cycles'!$DY$23:$EE$23,1,EQ265)=1,EQ266&gt;0),1,1-INDEX('Lease Cycles'!$DD$23:$DJ$23,1,EQ265))*((1-'Lease Cycles'!$AJ$23)*INDEX('Lease Cycles'!$FO$23:$FU$23,1,EQ265)+(1-'Lease Cycles'!$BE$23)*(1-INDEX('Lease Cycles'!$FO$23:$FU$23,1,EQ265)))),0)</f>
        <v>0</v>
      </c>
      <c r="ER273" s="24">
        <f>IF(ER267=1,'Lease Cycles'!$D$23*IF(INDEX('Lease Cycles'!$EF$23:$EL$23,1,ER265)=1,(1-'Lease Cycles'!$AJ$23)*INDEX('Lease Cycles'!$EM$23:$ES$23,1,ER265)+(1-'Lease Cycles'!$BE$23)*IF(ER266&lt;INDEX('Lease Cycles'!$FA$23:$FG$23,1,ER265),0,1-INDEX('Lease Cycles'!$EM$23:$ES$23,1,ER265)),IF(OR(INDEX('Lease Cycles'!$DY$23:$EE$23,1,ER265)=1,ER266&gt;0),1,1-INDEX('Lease Cycles'!$DD$23:$DJ$23,1,ER265))*((1-'Lease Cycles'!$AJ$23)*INDEX('Lease Cycles'!$FO$23:$FU$23,1,ER265)+(1-'Lease Cycles'!$BE$23)*(1-INDEX('Lease Cycles'!$FO$23:$FU$23,1,ER265)))),0)</f>
        <v>0</v>
      </c>
      <c r="ES273" s="24">
        <f>IF(ES267=1,'Lease Cycles'!$D$23*IF(INDEX('Lease Cycles'!$EF$23:$EL$23,1,ES265)=1,(1-'Lease Cycles'!$AJ$23)*INDEX('Lease Cycles'!$EM$23:$ES$23,1,ES265)+(1-'Lease Cycles'!$BE$23)*IF(ES266&lt;INDEX('Lease Cycles'!$FA$23:$FG$23,1,ES265),0,1-INDEX('Lease Cycles'!$EM$23:$ES$23,1,ES265)),IF(OR(INDEX('Lease Cycles'!$DY$23:$EE$23,1,ES265)=1,ES266&gt;0),1,1-INDEX('Lease Cycles'!$DD$23:$DJ$23,1,ES265))*((1-'Lease Cycles'!$AJ$23)*INDEX('Lease Cycles'!$FO$23:$FU$23,1,ES265)+(1-'Lease Cycles'!$BE$23)*(1-INDEX('Lease Cycles'!$FO$23:$FU$23,1,ES265)))),0)</f>
        <v>0</v>
      </c>
      <c r="ET273" s="24">
        <f>IF(ET267=1,'Lease Cycles'!$D$23*IF(INDEX('Lease Cycles'!$EF$23:$EL$23,1,ET265)=1,(1-'Lease Cycles'!$AJ$23)*INDEX('Lease Cycles'!$EM$23:$ES$23,1,ET265)+(1-'Lease Cycles'!$BE$23)*IF(ET266&lt;INDEX('Lease Cycles'!$FA$23:$FG$23,1,ET265),0,1-INDEX('Lease Cycles'!$EM$23:$ES$23,1,ET265)),IF(OR(INDEX('Lease Cycles'!$DY$23:$EE$23,1,ET265)=1,ET266&gt;0),1,1-INDEX('Lease Cycles'!$DD$23:$DJ$23,1,ET265))*((1-'Lease Cycles'!$AJ$23)*INDEX('Lease Cycles'!$FO$23:$FU$23,1,ET265)+(1-'Lease Cycles'!$BE$23)*(1-INDEX('Lease Cycles'!$FO$23:$FU$23,1,ET265)))),0)</f>
        <v>0</v>
      </c>
    </row>
    <row r="274">
      <c r="A274" s="103">
        <v>16</v>
      </c>
      <c r="B274" s="23" t="str">
        <f>IF('Lease Cycles'!$B$23="","(empty slot)",'Lease Cycles'!$B$23)</f>
        <v>(empty slot)</v>
      </c>
      <c r="C274" s="23" t="s">
        <v>685</v>
      </c>
      <c r="D274" s="104" t="s">
        <v>686</v>
      </c>
      <c r="E274" s="25">
        <f>'Lease Cycles'!$AL$23</f>
        <v>0</v>
      </c>
      <c r="G274" s="24">
        <f>SUM(S274:AD274)</f>
        <v>0</v>
      </c>
      <c r="H274" s="24">
        <f>SUM(AE274:AP274)</f>
        <v>0</v>
      </c>
      <c r="I274" s="24">
        <f>SUM(AQ274:BB274)</f>
        <v>0</v>
      </c>
      <c r="J274" s="24">
        <f>SUM(BC274:BN274)</f>
        <v>0</v>
      </c>
      <c r="K274" s="24">
        <f>SUM(BO274:BZ274)</f>
        <v>0</v>
      </c>
      <c r="L274" s="24">
        <f>SUM(CA274:CL274)</f>
        <v>0</v>
      </c>
      <c r="M274" s="24">
        <f>SUM(CM274:CX274)</f>
        <v>0</v>
      </c>
      <c r="N274" s="24">
        <f>SUM(CY274:DJ274)</f>
        <v>0</v>
      </c>
      <c r="O274" s="24">
        <f>SUM(DK274:DV274)</f>
        <v>0</v>
      </c>
      <c r="P274" s="24">
        <f>SUM(DW274:EH274)</f>
        <v>0</v>
      </c>
      <c r="Q274" s="24">
        <f>SUM(EI274:ET274)</f>
        <v>0</v>
      </c>
      <c r="S274" s="24">
        <f>IF(S267=1,IF('Lease Cycles'!$AJ$23=1,0,'Lease Cycles'!$D$23*INDEX('Lease Cycles'!$FH$23:$FN$23,1,S265)*IF(INDEX('Lease Cycles'!$EF$23:$EL$23,1,S265)=1,1,IF(OR(INDEX('Lease Cycles'!$DY$23:$EE$23,1,S265)=1,S266&gt;0),1,1-INDEX('Lease Cycles'!$DD$23:$DJ$23,1,S265)))),0)</f>
        <v>0</v>
      </c>
      <c r="T274" s="24">
        <f>IF(T267=1,IF('Lease Cycles'!$AJ$23=1,0,'Lease Cycles'!$D$23*INDEX('Lease Cycles'!$FH$23:$FN$23,1,T265)*IF(INDEX('Lease Cycles'!$EF$23:$EL$23,1,T265)=1,1,IF(OR(INDEX('Lease Cycles'!$DY$23:$EE$23,1,T265)=1,T266&gt;0),1,1-INDEX('Lease Cycles'!$DD$23:$DJ$23,1,T265)))),0)</f>
        <v>0</v>
      </c>
      <c r="U274" s="24">
        <f>IF(U267=1,IF('Lease Cycles'!$AJ$23=1,0,'Lease Cycles'!$D$23*INDEX('Lease Cycles'!$FH$23:$FN$23,1,U265)*IF(INDEX('Lease Cycles'!$EF$23:$EL$23,1,U265)=1,1,IF(OR(INDEX('Lease Cycles'!$DY$23:$EE$23,1,U265)=1,U266&gt;0),1,1-INDEX('Lease Cycles'!$DD$23:$DJ$23,1,U265)))),0)</f>
        <v>0</v>
      </c>
      <c r="V274" s="24">
        <f>IF(V267=1,IF('Lease Cycles'!$AJ$23=1,0,'Lease Cycles'!$D$23*INDEX('Lease Cycles'!$FH$23:$FN$23,1,V265)*IF(INDEX('Lease Cycles'!$EF$23:$EL$23,1,V265)=1,1,IF(OR(INDEX('Lease Cycles'!$DY$23:$EE$23,1,V265)=1,V266&gt;0),1,1-INDEX('Lease Cycles'!$DD$23:$DJ$23,1,V265)))),0)</f>
        <v>0</v>
      </c>
      <c r="W274" s="24">
        <f>IF(W267=1,IF('Lease Cycles'!$AJ$23=1,0,'Lease Cycles'!$D$23*INDEX('Lease Cycles'!$FH$23:$FN$23,1,W265)*IF(INDEX('Lease Cycles'!$EF$23:$EL$23,1,W265)=1,1,IF(OR(INDEX('Lease Cycles'!$DY$23:$EE$23,1,W265)=1,W266&gt;0),1,1-INDEX('Lease Cycles'!$DD$23:$DJ$23,1,W265)))),0)</f>
        <v>0</v>
      </c>
      <c r="X274" s="24">
        <f>IF(X267=1,IF('Lease Cycles'!$AJ$23=1,0,'Lease Cycles'!$D$23*INDEX('Lease Cycles'!$FH$23:$FN$23,1,X265)*IF(INDEX('Lease Cycles'!$EF$23:$EL$23,1,X265)=1,1,IF(OR(INDEX('Lease Cycles'!$DY$23:$EE$23,1,X265)=1,X266&gt;0),1,1-INDEX('Lease Cycles'!$DD$23:$DJ$23,1,X265)))),0)</f>
        <v>0</v>
      </c>
      <c r="Y274" s="24">
        <f>IF(Y267=1,IF('Lease Cycles'!$AJ$23=1,0,'Lease Cycles'!$D$23*INDEX('Lease Cycles'!$FH$23:$FN$23,1,Y265)*IF(INDEX('Lease Cycles'!$EF$23:$EL$23,1,Y265)=1,1,IF(OR(INDEX('Lease Cycles'!$DY$23:$EE$23,1,Y265)=1,Y266&gt;0),1,1-INDEX('Lease Cycles'!$DD$23:$DJ$23,1,Y265)))),0)</f>
        <v>0</v>
      </c>
      <c r="Z274" s="24">
        <f>IF(Z267=1,IF('Lease Cycles'!$AJ$23=1,0,'Lease Cycles'!$D$23*INDEX('Lease Cycles'!$FH$23:$FN$23,1,Z265)*IF(INDEX('Lease Cycles'!$EF$23:$EL$23,1,Z265)=1,1,IF(OR(INDEX('Lease Cycles'!$DY$23:$EE$23,1,Z265)=1,Z266&gt;0),1,1-INDEX('Lease Cycles'!$DD$23:$DJ$23,1,Z265)))),0)</f>
        <v>0</v>
      </c>
      <c r="AA274" s="24">
        <f>IF(AA267=1,IF('Lease Cycles'!$AJ$23=1,0,'Lease Cycles'!$D$23*INDEX('Lease Cycles'!$FH$23:$FN$23,1,AA265)*IF(INDEX('Lease Cycles'!$EF$23:$EL$23,1,AA265)=1,1,IF(OR(INDEX('Lease Cycles'!$DY$23:$EE$23,1,AA265)=1,AA266&gt;0),1,1-INDEX('Lease Cycles'!$DD$23:$DJ$23,1,AA265)))),0)</f>
        <v>0</v>
      </c>
      <c r="AB274" s="24">
        <f>IF(AB267=1,IF('Lease Cycles'!$AJ$23=1,0,'Lease Cycles'!$D$23*INDEX('Lease Cycles'!$FH$23:$FN$23,1,AB265)*IF(INDEX('Lease Cycles'!$EF$23:$EL$23,1,AB265)=1,1,IF(OR(INDEX('Lease Cycles'!$DY$23:$EE$23,1,AB265)=1,AB266&gt;0),1,1-INDEX('Lease Cycles'!$DD$23:$DJ$23,1,AB265)))),0)</f>
        <v>0</v>
      </c>
      <c r="AC274" s="24">
        <f>IF(AC267=1,IF('Lease Cycles'!$AJ$23=1,0,'Lease Cycles'!$D$23*INDEX('Lease Cycles'!$FH$23:$FN$23,1,AC265)*IF(INDEX('Lease Cycles'!$EF$23:$EL$23,1,AC265)=1,1,IF(OR(INDEX('Lease Cycles'!$DY$23:$EE$23,1,AC265)=1,AC266&gt;0),1,1-INDEX('Lease Cycles'!$DD$23:$DJ$23,1,AC265)))),0)</f>
        <v>0</v>
      </c>
      <c r="AD274" s="24">
        <f>IF(AD267=1,IF('Lease Cycles'!$AJ$23=1,0,'Lease Cycles'!$D$23*INDEX('Lease Cycles'!$FH$23:$FN$23,1,AD265)*IF(INDEX('Lease Cycles'!$EF$23:$EL$23,1,AD265)=1,1,IF(OR(INDEX('Lease Cycles'!$DY$23:$EE$23,1,AD265)=1,AD266&gt;0),1,1-INDEX('Lease Cycles'!$DD$23:$DJ$23,1,AD265)))),0)</f>
        <v>0</v>
      </c>
      <c r="AE274" s="24">
        <f>IF(AE267=1,IF('Lease Cycles'!$AJ$23=1,0,'Lease Cycles'!$D$23*INDEX('Lease Cycles'!$FH$23:$FN$23,1,AE265)*IF(INDEX('Lease Cycles'!$EF$23:$EL$23,1,AE265)=1,1,IF(OR(INDEX('Lease Cycles'!$DY$23:$EE$23,1,AE265)=1,AE266&gt;0),1,1-INDEX('Lease Cycles'!$DD$23:$DJ$23,1,AE265)))),0)</f>
        <v>0</v>
      </c>
      <c r="AF274" s="24">
        <f>IF(AF267=1,IF('Lease Cycles'!$AJ$23=1,0,'Lease Cycles'!$D$23*INDEX('Lease Cycles'!$FH$23:$FN$23,1,AF265)*IF(INDEX('Lease Cycles'!$EF$23:$EL$23,1,AF265)=1,1,IF(OR(INDEX('Lease Cycles'!$DY$23:$EE$23,1,AF265)=1,AF266&gt;0),1,1-INDEX('Lease Cycles'!$DD$23:$DJ$23,1,AF265)))),0)</f>
        <v>0</v>
      </c>
      <c r="AG274" s="24">
        <f>IF(AG267=1,IF('Lease Cycles'!$AJ$23=1,0,'Lease Cycles'!$D$23*INDEX('Lease Cycles'!$FH$23:$FN$23,1,AG265)*IF(INDEX('Lease Cycles'!$EF$23:$EL$23,1,AG265)=1,1,IF(OR(INDEX('Lease Cycles'!$DY$23:$EE$23,1,AG265)=1,AG266&gt;0),1,1-INDEX('Lease Cycles'!$DD$23:$DJ$23,1,AG265)))),0)</f>
        <v>0</v>
      </c>
      <c r="AH274" s="24">
        <f>IF(AH267=1,IF('Lease Cycles'!$AJ$23=1,0,'Lease Cycles'!$D$23*INDEX('Lease Cycles'!$FH$23:$FN$23,1,AH265)*IF(INDEX('Lease Cycles'!$EF$23:$EL$23,1,AH265)=1,1,IF(OR(INDEX('Lease Cycles'!$DY$23:$EE$23,1,AH265)=1,AH266&gt;0),1,1-INDEX('Lease Cycles'!$DD$23:$DJ$23,1,AH265)))),0)</f>
        <v>0</v>
      </c>
      <c r="AI274" s="24">
        <f>IF(AI267=1,IF('Lease Cycles'!$AJ$23=1,0,'Lease Cycles'!$D$23*INDEX('Lease Cycles'!$FH$23:$FN$23,1,AI265)*IF(INDEX('Lease Cycles'!$EF$23:$EL$23,1,AI265)=1,1,IF(OR(INDEX('Lease Cycles'!$DY$23:$EE$23,1,AI265)=1,AI266&gt;0),1,1-INDEX('Lease Cycles'!$DD$23:$DJ$23,1,AI265)))),0)</f>
        <v>0</v>
      </c>
      <c r="AJ274" s="24">
        <f>IF(AJ267=1,IF('Lease Cycles'!$AJ$23=1,0,'Lease Cycles'!$D$23*INDEX('Lease Cycles'!$FH$23:$FN$23,1,AJ265)*IF(INDEX('Lease Cycles'!$EF$23:$EL$23,1,AJ265)=1,1,IF(OR(INDEX('Lease Cycles'!$DY$23:$EE$23,1,AJ265)=1,AJ266&gt;0),1,1-INDEX('Lease Cycles'!$DD$23:$DJ$23,1,AJ265)))),0)</f>
        <v>0</v>
      </c>
      <c r="AK274" s="24">
        <f>IF(AK267=1,IF('Lease Cycles'!$AJ$23=1,0,'Lease Cycles'!$D$23*INDEX('Lease Cycles'!$FH$23:$FN$23,1,AK265)*IF(INDEX('Lease Cycles'!$EF$23:$EL$23,1,AK265)=1,1,IF(OR(INDEX('Lease Cycles'!$DY$23:$EE$23,1,AK265)=1,AK266&gt;0),1,1-INDEX('Lease Cycles'!$DD$23:$DJ$23,1,AK265)))),0)</f>
        <v>0</v>
      </c>
      <c r="AL274" s="24">
        <f>IF(AL267=1,IF('Lease Cycles'!$AJ$23=1,0,'Lease Cycles'!$D$23*INDEX('Lease Cycles'!$FH$23:$FN$23,1,AL265)*IF(INDEX('Lease Cycles'!$EF$23:$EL$23,1,AL265)=1,1,IF(OR(INDEX('Lease Cycles'!$DY$23:$EE$23,1,AL265)=1,AL266&gt;0),1,1-INDEX('Lease Cycles'!$DD$23:$DJ$23,1,AL265)))),0)</f>
        <v>0</v>
      </c>
      <c r="AM274" s="24">
        <f>IF(AM267=1,IF('Lease Cycles'!$AJ$23=1,0,'Lease Cycles'!$D$23*INDEX('Lease Cycles'!$FH$23:$FN$23,1,AM265)*IF(INDEX('Lease Cycles'!$EF$23:$EL$23,1,AM265)=1,1,IF(OR(INDEX('Lease Cycles'!$DY$23:$EE$23,1,AM265)=1,AM266&gt;0),1,1-INDEX('Lease Cycles'!$DD$23:$DJ$23,1,AM265)))),0)</f>
        <v>0</v>
      </c>
      <c r="AN274" s="24">
        <f>IF(AN267=1,IF('Lease Cycles'!$AJ$23=1,0,'Lease Cycles'!$D$23*INDEX('Lease Cycles'!$FH$23:$FN$23,1,AN265)*IF(INDEX('Lease Cycles'!$EF$23:$EL$23,1,AN265)=1,1,IF(OR(INDEX('Lease Cycles'!$DY$23:$EE$23,1,AN265)=1,AN266&gt;0),1,1-INDEX('Lease Cycles'!$DD$23:$DJ$23,1,AN265)))),0)</f>
        <v>0</v>
      </c>
      <c r="AO274" s="24">
        <f>IF(AO267=1,IF('Lease Cycles'!$AJ$23=1,0,'Lease Cycles'!$D$23*INDEX('Lease Cycles'!$FH$23:$FN$23,1,AO265)*IF(INDEX('Lease Cycles'!$EF$23:$EL$23,1,AO265)=1,1,IF(OR(INDEX('Lease Cycles'!$DY$23:$EE$23,1,AO265)=1,AO266&gt;0),1,1-INDEX('Lease Cycles'!$DD$23:$DJ$23,1,AO265)))),0)</f>
        <v>0</v>
      </c>
      <c r="AP274" s="24">
        <f>IF(AP267=1,IF('Lease Cycles'!$AJ$23=1,0,'Lease Cycles'!$D$23*INDEX('Lease Cycles'!$FH$23:$FN$23,1,AP265)*IF(INDEX('Lease Cycles'!$EF$23:$EL$23,1,AP265)=1,1,IF(OR(INDEX('Lease Cycles'!$DY$23:$EE$23,1,AP265)=1,AP266&gt;0),1,1-INDEX('Lease Cycles'!$DD$23:$DJ$23,1,AP265)))),0)</f>
        <v>0</v>
      </c>
      <c r="AQ274" s="24">
        <f>IF(AQ267=1,IF('Lease Cycles'!$AJ$23=1,0,'Lease Cycles'!$D$23*INDEX('Lease Cycles'!$FH$23:$FN$23,1,AQ265)*IF(INDEX('Lease Cycles'!$EF$23:$EL$23,1,AQ265)=1,1,IF(OR(INDEX('Lease Cycles'!$DY$23:$EE$23,1,AQ265)=1,AQ266&gt;0),1,1-INDEX('Lease Cycles'!$DD$23:$DJ$23,1,AQ265)))),0)</f>
        <v>0</v>
      </c>
      <c r="AR274" s="24">
        <f>IF(AR267=1,IF('Lease Cycles'!$AJ$23=1,0,'Lease Cycles'!$D$23*INDEX('Lease Cycles'!$FH$23:$FN$23,1,AR265)*IF(INDEX('Lease Cycles'!$EF$23:$EL$23,1,AR265)=1,1,IF(OR(INDEX('Lease Cycles'!$DY$23:$EE$23,1,AR265)=1,AR266&gt;0),1,1-INDEX('Lease Cycles'!$DD$23:$DJ$23,1,AR265)))),0)</f>
        <v>0</v>
      </c>
      <c r="AS274" s="24">
        <f>IF(AS267=1,IF('Lease Cycles'!$AJ$23=1,0,'Lease Cycles'!$D$23*INDEX('Lease Cycles'!$FH$23:$FN$23,1,AS265)*IF(INDEX('Lease Cycles'!$EF$23:$EL$23,1,AS265)=1,1,IF(OR(INDEX('Lease Cycles'!$DY$23:$EE$23,1,AS265)=1,AS266&gt;0),1,1-INDEX('Lease Cycles'!$DD$23:$DJ$23,1,AS265)))),0)</f>
        <v>0</v>
      </c>
      <c r="AT274" s="24">
        <f>IF(AT267=1,IF('Lease Cycles'!$AJ$23=1,0,'Lease Cycles'!$D$23*INDEX('Lease Cycles'!$FH$23:$FN$23,1,AT265)*IF(INDEX('Lease Cycles'!$EF$23:$EL$23,1,AT265)=1,1,IF(OR(INDEX('Lease Cycles'!$DY$23:$EE$23,1,AT265)=1,AT266&gt;0),1,1-INDEX('Lease Cycles'!$DD$23:$DJ$23,1,AT265)))),0)</f>
        <v>0</v>
      </c>
      <c r="AU274" s="24">
        <f>IF(AU267=1,IF('Lease Cycles'!$AJ$23=1,0,'Lease Cycles'!$D$23*INDEX('Lease Cycles'!$FH$23:$FN$23,1,AU265)*IF(INDEX('Lease Cycles'!$EF$23:$EL$23,1,AU265)=1,1,IF(OR(INDEX('Lease Cycles'!$DY$23:$EE$23,1,AU265)=1,AU266&gt;0),1,1-INDEX('Lease Cycles'!$DD$23:$DJ$23,1,AU265)))),0)</f>
        <v>0</v>
      </c>
      <c r="AV274" s="24">
        <f>IF(AV267=1,IF('Lease Cycles'!$AJ$23=1,0,'Lease Cycles'!$D$23*INDEX('Lease Cycles'!$FH$23:$FN$23,1,AV265)*IF(INDEX('Lease Cycles'!$EF$23:$EL$23,1,AV265)=1,1,IF(OR(INDEX('Lease Cycles'!$DY$23:$EE$23,1,AV265)=1,AV266&gt;0),1,1-INDEX('Lease Cycles'!$DD$23:$DJ$23,1,AV265)))),0)</f>
        <v>0</v>
      </c>
      <c r="AW274" s="24">
        <f>IF(AW267=1,IF('Lease Cycles'!$AJ$23=1,0,'Lease Cycles'!$D$23*INDEX('Lease Cycles'!$FH$23:$FN$23,1,AW265)*IF(INDEX('Lease Cycles'!$EF$23:$EL$23,1,AW265)=1,1,IF(OR(INDEX('Lease Cycles'!$DY$23:$EE$23,1,AW265)=1,AW266&gt;0),1,1-INDEX('Lease Cycles'!$DD$23:$DJ$23,1,AW265)))),0)</f>
        <v>0</v>
      </c>
      <c r="AX274" s="24">
        <f>IF(AX267=1,IF('Lease Cycles'!$AJ$23=1,0,'Lease Cycles'!$D$23*INDEX('Lease Cycles'!$FH$23:$FN$23,1,AX265)*IF(INDEX('Lease Cycles'!$EF$23:$EL$23,1,AX265)=1,1,IF(OR(INDEX('Lease Cycles'!$DY$23:$EE$23,1,AX265)=1,AX266&gt;0),1,1-INDEX('Lease Cycles'!$DD$23:$DJ$23,1,AX265)))),0)</f>
        <v>0</v>
      </c>
      <c r="AY274" s="24">
        <f>IF(AY267=1,IF('Lease Cycles'!$AJ$23=1,0,'Lease Cycles'!$D$23*INDEX('Lease Cycles'!$FH$23:$FN$23,1,AY265)*IF(INDEX('Lease Cycles'!$EF$23:$EL$23,1,AY265)=1,1,IF(OR(INDEX('Lease Cycles'!$DY$23:$EE$23,1,AY265)=1,AY266&gt;0),1,1-INDEX('Lease Cycles'!$DD$23:$DJ$23,1,AY265)))),0)</f>
        <v>0</v>
      </c>
      <c r="AZ274" s="24">
        <f>IF(AZ267=1,IF('Lease Cycles'!$AJ$23=1,0,'Lease Cycles'!$D$23*INDEX('Lease Cycles'!$FH$23:$FN$23,1,AZ265)*IF(INDEX('Lease Cycles'!$EF$23:$EL$23,1,AZ265)=1,1,IF(OR(INDEX('Lease Cycles'!$DY$23:$EE$23,1,AZ265)=1,AZ266&gt;0),1,1-INDEX('Lease Cycles'!$DD$23:$DJ$23,1,AZ265)))),0)</f>
        <v>0</v>
      </c>
      <c r="BA274" s="24">
        <f>IF(BA267=1,IF('Lease Cycles'!$AJ$23=1,0,'Lease Cycles'!$D$23*INDEX('Lease Cycles'!$FH$23:$FN$23,1,BA265)*IF(INDEX('Lease Cycles'!$EF$23:$EL$23,1,BA265)=1,1,IF(OR(INDEX('Lease Cycles'!$DY$23:$EE$23,1,BA265)=1,BA266&gt;0),1,1-INDEX('Lease Cycles'!$DD$23:$DJ$23,1,BA265)))),0)</f>
        <v>0</v>
      </c>
      <c r="BB274" s="24">
        <f>IF(BB267=1,IF('Lease Cycles'!$AJ$23=1,0,'Lease Cycles'!$D$23*INDEX('Lease Cycles'!$FH$23:$FN$23,1,BB265)*IF(INDEX('Lease Cycles'!$EF$23:$EL$23,1,BB265)=1,1,IF(OR(INDEX('Lease Cycles'!$DY$23:$EE$23,1,BB265)=1,BB266&gt;0),1,1-INDEX('Lease Cycles'!$DD$23:$DJ$23,1,BB265)))),0)</f>
        <v>0</v>
      </c>
      <c r="BC274" s="24">
        <f>IF(BC267=1,IF('Lease Cycles'!$AJ$23=1,0,'Lease Cycles'!$D$23*INDEX('Lease Cycles'!$FH$23:$FN$23,1,BC265)*IF(INDEX('Lease Cycles'!$EF$23:$EL$23,1,BC265)=1,1,IF(OR(INDEX('Lease Cycles'!$DY$23:$EE$23,1,BC265)=1,BC266&gt;0),1,1-INDEX('Lease Cycles'!$DD$23:$DJ$23,1,BC265)))),0)</f>
        <v>0</v>
      </c>
      <c r="BD274" s="24">
        <f>IF(BD267=1,IF('Lease Cycles'!$AJ$23=1,0,'Lease Cycles'!$D$23*INDEX('Lease Cycles'!$FH$23:$FN$23,1,BD265)*IF(INDEX('Lease Cycles'!$EF$23:$EL$23,1,BD265)=1,1,IF(OR(INDEX('Lease Cycles'!$DY$23:$EE$23,1,BD265)=1,BD266&gt;0),1,1-INDEX('Lease Cycles'!$DD$23:$DJ$23,1,BD265)))),0)</f>
        <v>0</v>
      </c>
      <c r="BE274" s="24">
        <f>IF(BE267=1,IF('Lease Cycles'!$AJ$23=1,0,'Lease Cycles'!$D$23*INDEX('Lease Cycles'!$FH$23:$FN$23,1,BE265)*IF(INDEX('Lease Cycles'!$EF$23:$EL$23,1,BE265)=1,1,IF(OR(INDEX('Lease Cycles'!$DY$23:$EE$23,1,BE265)=1,BE266&gt;0),1,1-INDEX('Lease Cycles'!$DD$23:$DJ$23,1,BE265)))),0)</f>
        <v>0</v>
      </c>
      <c r="BF274" s="24">
        <f>IF(BF267=1,IF('Lease Cycles'!$AJ$23=1,0,'Lease Cycles'!$D$23*INDEX('Lease Cycles'!$FH$23:$FN$23,1,BF265)*IF(INDEX('Lease Cycles'!$EF$23:$EL$23,1,BF265)=1,1,IF(OR(INDEX('Lease Cycles'!$DY$23:$EE$23,1,BF265)=1,BF266&gt;0),1,1-INDEX('Lease Cycles'!$DD$23:$DJ$23,1,BF265)))),0)</f>
        <v>0</v>
      </c>
      <c r="BG274" s="24">
        <f>IF(BG267=1,IF('Lease Cycles'!$AJ$23=1,0,'Lease Cycles'!$D$23*INDEX('Lease Cycles'!$FH$23:$FN$23,1,BG265)*IF(INDEX('Lease Cycles'!$EF$23:$EL$23,1,BG265)=1,1,IF(OR(INDEX('Lease Cycles'!$DY$23:$EE$23,1,BG265)=1,BG266&gt;0),1,1-INDEX('Lease Cycles'!$DD$23:$DJ$23,1,BG265)))),0)</f>
        <v>0</v>
      </c>
      <c r="BH274" s="24">
        <f>IF(BH267=1,IF('Lease Cycles'!$AJ$23=1,0,'Lease Cycles'!$D$23*INDEX('Lease Cycles'!$FH$23:$FN$23,1,BH265)*IF(INDEX('Lease Cycles'!$EF$23:$EL$23,1,BH265)=1,1,IF(OR(INDEX('Lease Cycles'!$DY$23:$EE$23,1,BH265)=1,BH266&gt;0),1,1-INDEX('Lease Cycles'!$DD$23:$DJ$23,1,BH265)))),0)</f>
        <v>0</v>
      </c>
      <c r="BI274" s="24">
        <f>IF(BI267=1,IF('Lease Cycles'!$AJ$23=1,0,'Lease Cycles'!$D$23*INDEX('Lease Cycles'!$FH$23:$FN$23,1,BI265)*IF(INDEX('Lease Cycles'!$EF$23:$EL$23,1,BI265)=1,1,IF(OR(INDEX('Lease Cycles'!$DY$23:$EE$23,1,BI265)=1,BI266&gt;0),1,1-INDEX('Lease Cycles'!$DD$23:$DJ$23,1,BI265)))),0)</f>
        <v>0</v>
      </c>
      <c r="BJ274" s="24">
        <f>IF(BJ267=1,IF('Lease Cycles'!$AJ$23=1,0,'Lease Cycles'!$D$23*INDEX('Lease Cycles'!$FH$23:$FN$23,1,BJ265)*IF(INDEX('Lease Cycles'!$EF$23:$EL$23,1,BJ265)=1,1,IF(OR(INDEX('Lease Cycles'!$DY$23:$EE$23,1,BJ265)=1,BJ266&gt;0),1,1-INDEX('Lease Cycles'!$DD$23:$DJ$23,1,BJ265)))),0)</f>
        <v>0</v>
      </c>
      <c r="BK274" s="24">
        <f>IF(BK267=1,IF('Lease Cycles'!$AJ$23=1,0,'Lease Cycles'!$D$23*INDEX('Lease Cycles'!$FH$23:$FN$23,1,BK265)*IF(INDEX('Lease Cycles'!$EF$23:$EL$23,1,BK265)=1,1,IF(OR(INDEX('Lease Cycles'!$DY$23:$EE$23,1,BK265)=1,BK266&gt;0),1,1-INDEX('Lease Cycles'!$DD$23:$DJ$23,1,BK265)))),0)</f>
        <v>0</v>
      </c>
      <c r="BL274" s="24">
        <f>IF(BL267=1,IF('Lease Cycles'!$AJ$23=1,0,'Lease Cycles'!$D$23*INDEX('Lease Cycles'!$FH$23:$FN$23,1,BL265)*IF(INDEX('Lease Cycles'!$EF$23:$EL$23,1,BL265)=1,1,IF(OR(INDEX('Lease Cycles'!$DY$23:$EE$23,1,BL265)=1,BL266&gt;0),1,1-INDEX('Lease Cycles'!$DD$23:$DJ$23,1,BL265)))),0)</f>
        <v>0</v>
      </c>
      <c r="BM274" s="24">
        <f>IF(BM267=1,IF('Lease Cycles'!$AJ$23=1,0,'Lease Cycles'!$D$23*INDEX('Lease Cycles'!$FH$23:$FN$23,1,BM265)*IF(INDEX('Lease Cycles'!$EF$23:$EL$23,1,BM265)=1,1,IF(OR(INDEX('Lease Cycles'!$DY$23:$EE$23,1,BM265)=1,BM266&gt;0),1,1-INDEX('Lease Cycles'!$DD$23:$DJ$23,1,BM265)))),0)</f>
        <v>0</v>
      </c>
      <c r="BN274" s="24">
        <f>IF(BN267=1,IF('Lease Cycles'!$AJ$23=1,0,'Lease Cycles'!$D$23*INDEX('Lease Cycles'!$FH$23:$FN$23,1,BN265)*IF(INDEX('Lease Cycles'!$EF$23:$EL$23,1,BN265)=1,1,IF(OR(INDEX('Lease Cycles'!$DY$23:$EE$23,1,BN265)=1,BN266&gt;0),1,1-INDEX('Lease Cycles'!$DD$23:$DJ$23,1,BN265)))),0)</f>
        <v>0</v>
      </c>
      <c r="BO274" s="24">
        <f>IF(BO267=1,IF('Lease Cycles'!$AJ$23=1,0,'Lease Cycles'!$D$23*INDEX('Lease Cycles'!$FH$23:$FN$23,1,BO265)*IF(INDEX('Lease Cycles'!$EF$23:$EL$23,1,BO265)=1,1,IF(OR(INDEX('Lease Cycles'!$DY$23:$EE$23,1,BO265)=1,BO266&gt;0),1,1-INDEX('Lease Cycles'!$DD$23:$DJ$23,1,BO265)))),0)</f>
        <v>0</v>
      </c>
      <c r="BP274" s="24">
        <f>IF(BP267=1,IF('Lease Cycles'!$AJ$23=1,0,'Lease Cycles'!$D$23*INDEX('Lease Cycles'!$FH$23:$FN$23,1,BP265)*IF(INDEX('Lease Cycles'!$EF$23:$EL$23,1,BP265)=1,1,IF(OR(INDEX('Lease Cycles'!$DY$23:$EE$23,1,BP265)=1,BP266&gt;0),1,1-INDEX('Lease Cycles'!$DD$23:$DJ$23,1,BP265)))),0)</f>
        <v>0</v>
      </c>
      <c r="BQ274" s="24">
        <f>IF(BQ267=1,IF('Lease Cycles'!$AJ$23=1,0,'Lease Cycles'!$D$23*INDEX('Lease Cycles'!$FH$23:$FN$23,1,BQ265)*IF(INDEX('Lease Cycles'!$EF$23:$EL$23,1,BQ265)=1,1,IF(OR(INDEX('Lease Cycles'!$DY$23:$EE$23,1,BQ265)=1,BQ266&gt;0),1,1-INDEX('Lease Cycles'!$DD$23:$DJ$23,1,BQ265)))),0)</f>
        <v>0</v>
      </c>
      <c r="BR274" s="24">
        <f>IF(BR267=1,IF('Lease Cycles'!$AJ$23=1,0,'Lease Cycles'!$D$23*INDEX('Lease Cycles'!$FH$23:$FN$23,1,BR265)*IF(INDEX('Lease Cycles'!$EF$23:$EL$23,1,BR265)=1,1,IF(OR(INDEX('Lease Cycles'!$DY$23:$EE$23,1,BR265)=1,BR266&gt;0),1,1-INDEX('Lease Cycles'!$DD$23:$DJ$23,1,BR265)))),0)</f>
        <v>0</v>
      </c>
      <c r="BS274" s="24">
        <f>IF(BS267=1,IF('Lease Cycles'!$AJ$23=1,0,'Lease Cycles'!$D$23*INDEX('Lease Cycles'!$FH$23:$FN$23,1,BS265)*IF(INDEX('Lease Cycles'!$EF$23:$EL$23,1,BS265)=1,1,IF(OR(INDEX('Lease Cycles'!$DY$23:$EE$23,1,BS265)=1,BS266&gt;0),1,1-INDEX('Lease Cycles'!$DD$23:$DJ$23,1,BS265)))),0)</f>
        <v>0</v>
      </c>
      <c r="BT274" s="24">
        <f>IF(BT267=1,IF('Lease Cycles'!$AJ$23=1,0,'Lease Cycles'!$D$23*INDEX('Lease Cycles'!$FH$23:$FN$23,1,BT265)*IF(INDEX('Lease Cycles'!$EF$23:$EL$23,1,BT265)=1,1,IF(OR(INDEX('Lease Cycles'!$DY$23:$EE$23,1,BT265)=1,BT266&gt;0),1,1-INDEX('Lease Cycles'!$DD$23:$DJ$23,1,BT265)))),0)</f>
        <v>0</v>
      </c>
      <c r="BU274" s="24">
        <f>IF(BU267=1,IF('Lease Cycles'!$AJ$23=1,0,'Lease Cycles'!$D$23*INDEX('Lease Cycles'!$FH$23:$FN$23,1,BU265)*IF(INDEX('Lease Cycles'!$EF$23:$EL$23,1,BU265)=1,1,IF(OR(INDEX('Lease Cycles'!$DY$23:$EE$23,1,BU265)=1,BU266&gt;0),1,1-INDEX('Lease Cycles'!$DD$23:$DJ$23,1,BU265)))),0)</f>
        <v>0</v>
      </c>
      <c r="BV274" s="24">
        <f>IF(BV267=1,IF('Lease Cycles'!$AJ$23=1,0,'Lease Cycles'!$D$23*INDEX('Lease Cycles'!$FH$23:$FN$23,1,BV265)*IF(INDEX('Lease Cycles'!$EF$23:$EL$23,1,BV265)=1,1,IF(OR(INDEX('Lease Cycles'!$DY$23:$EE$23,1,BV265)=1,BV266&gt;0),1,1-INDEX('Lease Cycles'!$DD$23:$DJ$23,1,BV265)))),0)</f>
        <v>0</v>
      </c>
      <c r="BW274" s="24">
        <f>IF(BW267=1,IF('Lease Cycles'!$AJ$23=1,0,'Lease Cycles'!$D$23*INDEX('Lease Cycles'!$FH$23:$FN$23,1,BW265)*IF(INDEX('Lease Cycles'!$EF$23:$EL$23,1,BW265)=1,1,IF(OR(INDEX('Lease Cycles'!$DY$23:$EE$23,1,BW265)=1,BW266&gt;0),1,1-INDEX('Lease Cycles'!$DD$23:$DJ$23,1,BW265)))),0)</f>
        <v>0</v>
      </c>
      <c r="BX274" s="24">
        <f>IF(BX267=1,IF('Lease Cycles'!$AJ$23=1,0,'Lease Cycles'!$D$23*INDEX('Lease Cycles'!$FH$23:$FN$23,1,BX265)*IF(INDEX('Lease Cycles'!$EF$23:$EL$23,1,BX265)=1,1,IF(OR(INDEX('Lease Cycles'!$DY$23:$EE$23,1,BX265)=1,BX266&gt;0),1,1-INDEX('Lease Cycles'!$DD$23:$DJ$23,1,BX265)))),0)</f>
        <v>0</v>
      </c>
      <c r="BY274" s="24">
        <f>IF(BY267=1,IF('Lease Cycles'!$AJ$23=1,0,'Lease Cycles'!$D$23*INDEX('Lease Cycles'!$FH$23:$FN$23,1,BY265)*IF(INDEX('Lease Cycles'!$EF$23:$EL$23,1,BY265)=1,1,IF(OR(INDEX('Lease Cycles'!$DY$23:$EE$23,1,BY265)=1,BY266&gt;0),1,1-INDEX('Lease Cycles'!$DD$23:$DJ$23,1,BY265)))),0)</f>
        <v>0</v>
      </c>
      <c r="BZ274" s="24">
        <f>IF(BZ267=1,IF('Lease Cycles'!$AJ$23=1,0,'Lease Cycles'!$D$23*INDEX('Lease Cycles'!$FH$23:$FN$23,1,BZ265)*IF(INDEX('Lease Cycles'!$EF$23:$EL$23,1,BZ265)=1,1,IF(OR(INDEX('Lease Cycles'!$DY$23:$EE$23,1,BZ265)=1,BZ266&gt;0),1,1-INDEX('Lease Cycles'!$DD$23:$DJ$23,1,BZ265)))),0)</f>
        <v>0</v>
      </c>
      <c r="CA274" s="24">
        <f>IF(CA267=1,IF('Lease Cycles'!$AJ$23=1,0,'Lease Cycles'!$D$23*INDEX('Lease Cycles'!$FH$23:$FN$23,1,CA265)*IF(INDEX('Lease Cycles'!$EF$23:$EL$23,1,CA265)=1,1,IF(OR(INDEX('Lease Cycles'!$DY$23:$EE$23,1,CA265)=1,CA266&gt;0),1,1-INDEX('Lease Cycles'!$DD$23:$DJ$23,1,CA265)))),0)</f>
        <v>0</v>
      </c>
      <c r="CB274" s="24">
        <f>IF(CB267=1,IF('Lease Cycles'!$AJ$23=1,0,'Lease Cycles'!$D$23*INDEX('Lease Cycles'!$FH$23:$FN$23,1,CB265)*IF(INDEX('Lease Cycles'!$EF$23:$EL$23,1,CB265)=1,1,IF(OR(INDEX('Lease Cycles'!$DY$23:$EE$23,1,CB265)=1,CB266&gt;0),1,1-INDEX('Lease Cycles'!$DD$23:$DJ$23,1,CB265)))),0)</f>
        <v>0</v>
      </c>
      <c r="CC274" s="24">
        <f>IF(CC267=1,IF('Lease Cycles'!$AJ$23=1,0,'Lease Cycles'!$D$23*INDEX('Lease Cycles'!$FH$23:$FN$23,1,CC265)*IF(INDEX('Lease Cycles'!$EF$23:$EL$23,1,CC265)=1,1,IF(OR(INDEX('Lease Cycles'!$DY$23:$EE$23,1,CC265)=1,CC266&gt;0),1,1-INDEX('Lease Cycles'!$DD$23:$DJ$23,1,CC265)))),0)</f>
        <v>0</v>
      </c>
      <c r="CD274" s="24">
        <f>IF(CD267=1,IF('Lease Cycles'!$AJ$23=1,0,'Lease Cycles'!$D$23*INDEX('Lease Cycles'!$FH$23:$FN$23,1,CD265)*IF(INDEX('Lease Cycles'!$EF$23:$EL$23,1,CD265)=1,1,IF(OR(INDEX('Lease Cycles'!$DY$23:$EE$23,1,CD265)=1,CD266&gt;0),1,1-INDEX('Lease Cycles'!$DD$23:$DJ$23,1,CD265)))),0)</f>
        <v>0</v>
      </c>
      <c r="CE274" s="24">
        <f>IF(CE267=1,IF('Lease Cycles'!$AJ$23=1,0,'Lease Cycles'!$D$23*INDEX('Lease Cycles'!$FH$23:$FN$23,1,CE265)*IF(INDEX('Lease Cycles'!$EF$23:$EL$23,1,CE265)=1,1,IF(OR(INDEX('Lease Cycles'!$DY$23:$EE$23,1,CE265)=1,CE266&gt;0),1,1-INDEX('Lease Cycles'!$DD$23:$DJ$23,1,CE265)))),0)</f>
        <v>0</v>
      </c>
      <c r="CF274" s="24">
        <f>IF(CF267=1,IF('Lease Cycles'!$AJ$23=1,0,'Lease Cycles'!$D$23*INDEX('Lease Cycles'!$FH$23:$FN$23,1,CF265)*IF(INDEX('Lease Cycles'!$EF$23:$EL$23,1,CF265)=1,1,IF(OR(INDEX('Lease Cycles'!$DY$23:$EE$23,1,CF265)=1,CF266&gt;0),1,1-INDEX('Lease Cycles'!$DD$23:$DJ$23,1,CF265)))),0)</f>
        <v>0</v>
      </c>
      <c r="CG274" s="24">
        <f>IF(CG267=1,IF('Lease Cycles'!$AJ$23=1,0,'Lease Cycles'!$D$23*INDEX('Lease Cycles'!$FH$23:$FN$23,1,CG265)*IF(INDEX('Lease Cycles'!$EF$23:$EL$23,1,CG265)=1,1,IF(OR(INDEX('Lease Cycles'!$DY$23:$EE$23,1,CG265)=1,CG266&gt;0),1,1-INDEX('Lease Cycles'!$DD$23:$DJ$23,1,CG265)))),0)</f>
        <v>0</v>
      </c>
      <c r="CH274" s="24">
        <f>IF(CH267=1,IF('Lease Cycles'!$AJ$23=1,0,'Lease Cycles'!$D$23*INDEX('Lease Cycles'!$FH$23:$FN$23,1,CH265)*IF(INDEX('Lease Cycles'!$EF$23:$EL$23,1,CH265)=1,1,IF(OR(INDEX('Lease Cycles'!$DY$23:$EE$23,1,CH265)=1,CH266&gt;0),1,1-INDEX('Lease Cycles'!$DD$23:$DJ$23,1,CH265)))),0)</f>
        <v>0</v>
      </c>
      <c r="CI274" s="24">
        <f>IF(CI267=1,IF('Lease Cycles'!$AJ$23=1,0,'Lease Cycles'!$D$23*INDEX('Lease Cycles'!$FH$23:$FN$23,1,CI265)*IF(INDEX('Lease Cycles'!$EF$23:$EL$23,1,CI265)=1,1,IF(OR(INDEX('Lease Cycles'!$DY$23:$EE$23,1,CI265)=1,CI266&gt;0),1,1-INDEX('Lease Cycles'!$DD$23:$DJ$23,1,CI265)))),0)</f>
        <v>0</v>
      </c>
      <c r="CJ274" s="24">
        <f>IF(CJ267=1,IF('Lease Cycles'!$AJ$23=1,0,'Lease Cycles'!$D$23*INDEX('Lease Cycles'!$FH$23:$FN$23,1,CJ265)*IF(INDEX('Lease Cycles'!$EF$23:$EL$23,1,CJ265)=1,1,IF(OR(INDEX('Lease Cycles'!$DY$23:$EE$23,1,CJ265)=1,CJ266&gt;0),1,1-INDEX('Lease Cycles'!$DD$23:$DJ$23,1,CJ265)))),0)</f>
        <v>0</v>
      </c>
      <c r="CK274" s="24">
        <f>IF(CK267=1,IF('Lease Cycles'!$AJ$23=1,0,'Lease Cycles'!$D$23*INDEX('Lease Cycles'!$FH$23:$FN$23,1,CK265)*IF(INDEX('Lease Cycles'!$EF$23:$EL$23,1,CK265)=1,1,IF(OR(INDEX('Lease Cycles'!$DY$23:$EE$23,1,CK265)=1,CK266&gt;0),1,1-INDEX('Lease Cycles'!$DD$23:$DJ$23,1,CK265)))),0)</f>
        <v>0</v>
      </c>
      <c r="CL274" s="24">
        <f>IF(CL267=1,IF('Lease Cycles'!$AJ$23=1,0,'Lease Cycles'!$D$23*INDEX('Lease Cycles'!$FH$23:$FN$23,1,CL265)*IF(INDEX('Lease Cycles'!$EF$23:$EL$23,1,CL265)=1,1,IF(OR(INDEX('Lease Cycles'!$DY$23:$EE$23,1,CL265)=1,CL266&gt;0),1,1-INDEX('Lease Cycles'!$DD$23:$DJ$23,1,CL265)))),0)</f>
        <v>0</v>
      </c>
      <c r="CM274" s="24">
        <f>IF(CM267=1,IF('Lease Cycles'!$AJ$23=1,0,'Lease Cycles'!$D$23*INDEX('Lease Cycles'!$FH$23:$FN$23,1,CM265)*IF(INDEX('Lease Cycles'!$EF$23:$EL$23,1,CM265)=1,1,IF(OR(INDEX('Lease Cycles'!$DY$23:$EE$23,1,CM265)=1,CM266&gt;0),1,1-INDEX('Lease Cycles'!$DD$23:$DJ$23,1,CM265)))),0)</f>
        <v>0</v>
      </c>
      <c r="CN274" s="24">
        <f>IF(CN267=1,IF('Lease Cycles'!$AJ$23=1,0,'Lease Cycles'!$D$23*INDEX('Lease Cycles'!$FH$23:$FN$23,1,CN265)*IF(INDEX('Lease Cycles'!$EF$23:$EL$23,1,CN265)=1,1,IF(OR(INDEX('Lease Cycles'!$DY$23:$EE$23,1,CN265)=1,CN266&gt;0),1,1-INDEX('Lease Cycles'!$DD$23:$DJ$23,1,CN265)))),0)</f>
        <v>0</v>
      </c>
      <c r="CO274" s="24">
        <f>IF(CO267=1,IF('Lease Cycles'!$AJ$23=1,0,'Lease Cycles'!$D$23*INDEX('Lease Cycles'!$FH$23:$FN$23,1,CO265)*IF(INDEX('Lease Cycles'!$EF$23:$EL$23,1,CO265)=1,1,IF(OR(INDEX('Lease Cycles'!$DY$23:$EE$23,1,CO265)=1,CO266&gt;0),1,1-INDEX('Lease Cycles'!$DD$23:$DJ$23,1,CO265)))),0)</f>
        <v>0</v>
      </c>
      <c r="CP274" s="24">
        <f>IF(CP267=1,IF('Lease Cycles'!$AJ$23=1,0,'Lease Cycles'!$D$23*INDEX('Lease Cycles'!$FH$23:$FN$23,1,CP265)*IF(INDEX('Lease Cycles'!$EF$23:$EL$23,1,CP265)=1,1,IF(OR(INDEX('Lease Cycles'!$DY$23:$EE$23,1,CP265)=1,CP266&gt;0),1,1-INDEX('Lease Cycles'!$DD$23:$DJ$23,1,CP265)))),0)</f>
        <v>0</v>
      </c>
      <c r="CQ274" s="24">
        <f>IF(CQ267=1,IF('Lease Cycles'!$AJ$23=1,0,'Lease Cycles'!$D$23*INDEX('Lease Cycles'!$FH$23:$FN$23,1,CQ265)*IF(INDEX('Lease Cycles'!$EF$23:$EL$23,1,CQ265)=1,1,IF(OR(INDEX('Lease Cycles'!$DY$23:$EE$23,1,CQ265)=1,CQ266&gt;0),1,1-INDEX('Lease Cycles'!$DD$23:$DJ$23,1,CQ265)))),0)</f>
        <v>0</v>
      </c>
      <c r="CR274" s="24">
        <f>IF(CR267=1,IF('Lease Cycles'!$AJ$23=1,0,'Lease Cycles'!$D$23*INDEX('Lease Cycles'!$FH$23:$FN$23,1,CR265)*IF(INDEX('Lease Cycles'!$EF$23:$EL$23,1,CR265)=1,1,IF(OR(INDEX('Lease Cycles'!$DY$23:$EE$23,1,CR265)=1,CR266&gt;0),1,1-INDEX('Lease Cycles'!$DD$23:$DJ$23,1,CR265)))),0)</f>
        <v>0</v>
      </c>
      <c r="CS274" s="24">
        <f>IF(CS267=1,IF('Lease Cycles'!$AJ$23=1,0,'Lease Cycles'!$D$23*INDEX('Lease Cycles'!$FH$23:$FN$23,1,CS265)*IF(INDEX('Lease Cycles'!$EF$23:$EL$23,1,CS265)=1,1,IF(OR(INDEX('Lease Cycles'!$DY$23:$EE$23,1,CS265)=1,CS266&gt;0),1,1-INDEX('Lease Cycles'!$DD$23:$DJ$23,1,CS265)))),0)</f>
        <v>0</v>
      </c>
      <c r="CT274" s="24">
        <f>IF(CT267=1,IF('Lease Cycles'!$AJ$23=1,0,'Lease Cycles'!$D$23*INDEX('Lease Cycles'!$FH$23:$FN$23,1,CT265)*IF(INDEX('Lease Cycles'!$EF$23:$EL$23,1,CT265)=1,1,IF(OR(INDEX('Lease Cycles'!$DY$23:$EE$23,1,CT265)=1,CT266&gt;0),1,1-INDEX('Lease Cycles'!$DD$23:$DJ$23,1,CT265)))),0)</f>
        <v>0</v>
      </c>
      <c r="CU274" s="24">
        <f>IF(CU267=1,IF('Lease Cycles'!$AJ$23=1,0,'Lease Cycles'!$D$23*INDEX('Lease Cycles'!$FH$23:$FN$23,1,CU265)*IF(INDEX('Lease Cycles'!$EF$23:$EL$23,1,CU265)=1,1,IF(OR(INDEX('Lease Cycles'!$DY$23:$EE$23,1,CU265)=1,CU266&gt;0),1,1-INDEX('Lease Cycles'!$DD$23:$DJ$23,1,CU265)))),0)</f>
        <v>0</v>
      </c>
      <c r="CV274" s="24">
        <f>IF(CV267=1,IF('Lease Cycles'!$AJ$23=1,0,'Lease Cycles'!$D$23*INDEX('Lease Cycles'!$FH$23:$FN$23,1,CV265)*IF(INDEX('Lease Cycles'!$EF$23:$EL$23,1,CV265)=1,1,IF(OR(INDEX('Lease Cycles'!$DY$23:$EE$23,1,CV265)=1,CV266&gt;0),1,1-INDEX('Lease Cycles'!$DD$23:$DJ$23,1,CV265)))),0)</f>
        <v>0</v>
      </c>
      <c r="CW274" s="24">
        <f>IF(CW267=1,IF('Lease Cycles'!$AJ$23=1,0,'Lease Cycles'!$D$23*INDEX('Lease Cycles'!$FH$23:$FN$23,1,CW265)*IF(INDEX('Lease Cycles'!$EF$23:$EL$23,1,CW265)=1,1,IF(OR(INDEX('Lease Cycles'!$DY$23:$EE$23,1,CW265)=1,CW266&gt;0),1,1-INDEX('Lease Cycles'!$DD$23:$DJ$23,1,CW265)))),0)</f>
        <v>0</v>
      </c>
      <c r="CX274" s="24">
        <f>IF(CX267=1,IF('Lease Cycles'!$AJ$23=1,0,'Lease Cycles'!$D$23*INDEX('Lease Cycles'!$FH$23:$FN$23,1,CX265)*IF(INDEX('Lease Cycles'!$EF$23:$EL$23,1,CX265)=1,1,IF(OR(INDEX('Lease Cycles'!$DY$23:$EE$23,1,CX265)=1,CX266&gt;0),1,1-INDEX('Lease Cycles'!$DD$23:$DJ$23,1,CX265)))),0)</f>
        <v>0</v>
      </c>
      <c r="CY274" s="24">
        <f>IF(CY267=1,IF('Lease Cycles'!$AJ$23=1,0,'Lease Cycles'!$D$23*INDEX('Lease Cycles'!$FH$23:$FN$23,1,CY265)*IF(INDEX('Lease Cycles'!$EF$23:$EL$23,1,CY265)=1,1,IF(OR(INDEX('Lease Cycles'!$DY$23:$EE$23,1,CY265)=1,CY266&gt;0),1,1-INDEX('Lease Cycles'!$DD$23:$DJ$23,1,CY265)))),0)</f>
        <v>0</v>
      </c>
      <c r="CZ274" s="24">
        <f>IF(CZ267=1,IF('Lease Cycles'!$AJ$23=1,0,'Lease Cycles'!$D$23*INDEX('Lease Cycles'!$FH$23:$FN$23,1,CZ265)*IF(INDEX('Lease Cycles'!$EF$23:$EL$23,1,CZ265)=1,1,IF(OR(INDEX('Lease Cycles'!$DY$23:$EE$23,1,CZ265)=1,CZ266&gt;0),1,1-INDEX('Lease Cycles'!$DD$23:$DJ$23,1,CZ265)))),0)</f>
        <v>0</v>
      </c>
      <c r="DA274" s="24">
        <f>IF(DA267=1,IF('Lease Cycles'!$AJ$23=1,0,'Lease Cycles'!$D$23*INDEX('Lease Cycles'!$FH$23:$FN$23,1,DA265)*IF(INDEX('Lease Cycles'!$EF$23:$EL$23,1,DA265)=1,1,IF(OR(INDEX('Lease Cycles'!$DY$23:$EE$23,1,DA265)=1,DA266&gt;0),1,1-INDEX('Lease Cycles'!$DD$23:$DJ$23,1,DA265)))),0)</f>
        <v>0</v>
      </c>
      <c r="DB274" s="24">
        <f>IF(DB267=1,IF('Lease Cycles'!$AJ$23=1,0,'Lease Cycles'!$D$23*INDEX('Lease Cycles'!$FH$23:$FN$23,1,DB265)*IF(INDEX('Lease Cycles'!$EF$23:$EL$23,1,DB265)=1,1,IF(OR(INDEX('Lease Cycles'!$DY$23:$EE$23,1,DB265)=1,DB266&gt;0),1,1-INDEX('Lease Cycles'!$DD$23:$DJ$23,1,DB265)))),0)</f>
        <v>0</v>
      </c>
      <c r="DC274" s="24">
        <f>IF(DC267=1,IF('Lease Cycles'!$AJ$23=1,0,'Lease Cycles'!$D$23*INDEX('Lease Cycles'!$FH$23:$FN$23,1,DC265)*IF(INDEX('Lease Cycles'!$EF$23:$EL$23,1,DC265)=1,1,IF(OR(INDEX('Lease Cycles'!$DY$23:$EE$23,1,DC265)=1,DC266&gt;0),1,1-INDEX('Lease Cycles'!$DD$23:$DJ$23,1,DC265)))),0)</f>
        <v>0</v>
      </c>
      <c r="DD274" s="24">
        <f>IF(DD267=1,IF('Lease Cycles'!$AJ$23=1,0,'Lease Cycles'!$D$23*INDEX('Lease Cycles'!$FH$23:$FN$23,1,DD265)*IF(INDEX('Lease Cycles'!$EF$23:$EL$23,1,DD265)=1,1,IF(OR(INDEX('Lease Cycles'!$DY$23:$EE$23,1,DD265)=1,DD266&gt;0),1,1-INDEX('Lease Cycles'!$DD$23:$DJ$23,1,DD265)))),0)</f>
        <v>0</v>
      </c>
      <c r="DE274" s="24">
        <f>IF(DE267=1,IF('Lease Cycles'!$AJ$23=1,0,'Lease Cycles'!$D$23*INDEX('Lease Cycles'!$FH$23:$FN$23,1,DE265)*IF(INDEX('Lease Cycles'!$EF$23:$EL$23,1,DE265)=1,1,IF(OR(INDEX('Lease Cycles'!$DY$23:$EE$23,1,DE265)=1,DE266&gt;0),1,1-INDEX('Lease Cycles'!$DD$23:$DJ$23,1,DE265)))),0)</f>
        <v>0</v>
      </c>
      <c r="DF274" s="24">
        <f>IF(DF267=1,IF('Lease Cycles'!$AJ$23=1,0,'Lease Cycles'!$D$23*INDEX('Lease Cycles'!$FH$23:$FN$23,1,DF265)*IF(INDEX('Lease Cycles'!$EF$23:$EL$23,1,DF265)=1,1,IF(OR(INDEX('Lease Cycles'!$DY$23:$EE$23,1,DF265)=1,DF266&gt;0),1,1-INDEX('Lease Cycles'!$DD$23:$DJ$23,1,DF265)))),0)</f>
        <v>0</v>
      </c>
      <c r="DG274" s="24">
        <f>IF(DG267=1,IF('Lease Cycles'!$AJ$23=1,0,'Lease Cycles'!$D$23*INDEX('Lease Cycles'!$FH$23:$FN$23,1,DG265)*IF(INDEX('Lease Cycles'!$EF$23:$EL$23,1,DG265)=1,1,IF(OR(INDEX('Lease Cycles'!$DY$23:$EE$23,1,DG265)=1,DG266&gt;0),1,1-INDEX('Lease Cycles'!$DD$23:$DJ$23,1,DG265)))),0)</f>
        <v>0</v>
      </c>
      <c r="DH274" s="24">
        <f>IF(DH267=1,IF('Lease Cycles'!$AJ$23=1,0,'Lease Cycles'!$D$23*INDEX('Lease Cycles'!$FH$23:$FN$23,1,DH265)*IF(INDEX('Lease Cycles'!$EF$23:$EL$23,1,DH265)=1,1,IF(OR(INDEX('Lease Cycles'!$DY$23:$EE$23,1,DH265)=1,DH266&gt;0),1,1-INDEX('Lease Cycles'!$DD$23:$DJ$23,1,DH265)))),0)</f>
        <v>0</v>
      </c>
      <c r="DI274" s="24">
        <f>IF(DI267=1,IF('Lease Cycles'!$AJ$23=1,0,'Lease Cycles'!$D$23*INDEX('Lease Cycles'!$FH$23:$FN$23,1,DI265)*IF(INDEX('Lease Cycles'!$EF$23:$EL$23,1,DI265)=1,1,IF(OR(INDEX('Lease Cycles'!$DY$23:$EE$23,1,DI265)=1,DI266&gt;0),1,1-INDEX('Lease Cycles'!$DD$23:$DJ$23,1,DI265)))),0)</f>
        <v>0</v>
      </c>
      <c r="DJ274" s="24">
        <f>IF(DJ267=1,IF('Lease Cycles'!$AJ$23=1,0,'Lease Cycles'!$D$23*INDEX('Lease Cycles'!$FH$23:$FN$23,1,DJ265)*IF(INDEX('Lease Cycles'!$EF$23:$EL$23,1,DJ265)=1,1,IF(OR(INDEX('Lease Cycles'!$DY$23:$EE$23,1,DJ265)=1,DJ266&gt;0),1,1-INDEX('Lease Cycles'!$DD$23:$DJ$23,1,DJ265)))),0)</f>
        <v>0</v>
      </c>
      <c r="DK274" s="24">
        <f>IF(DK267=1,IF('Lease Cycles'!$AJ$23=1,0,'Lease Cycles'!$D$23*INDEX('Lease Cycles'!$FH$23:$FN$23,1,DK265)*IF(INDEX('Lease Cycles'!$EF$23:$EL$23,1,DK265)=1,1,IF(OR(INDEX('Lease Cycles'!$DY$23:$EE$23,1,DK265)=1,DK266&gt;0),1,1-INDEX('Lease Cycles'!$DD$23:$DJ$23,1,DK265)))),0)</f>
        <v>0</v>
      </c>
      <c r="DL274" s="24">
        <f>IF(DL267=1,IF('Lease Cycles'!$AJ$23=1,0,'Lease Cycles'!$D$23*INDEX('Lease Cycles'!$FH$23:$FN$23,1,DL265)*IF(INDEX('Lease Cycles'!$EF$23:$EL$23,1,DL265)=1,1,IF(OR(INDEX('Lease Cycles'!$DY$23:$EE$23,1,DL265)=1,DL266&gt;0),1,1-INDEX('Lease Cycles'!$DD$23:$DJ$23,1,DL265)))),0)</f>
        <v>0</v>
      </c>
      <c r="DM274" s="24">
        <f>IF(DM267=1,IF('Lease Cycles'!$AJ$23=1,0,'Lease Cycles'!$D$23*INDEX('Lease Cycles'!$FH$23:$FN$23,1,DM265)*IF(INDEX('Lease Cycles'!$EF$23:$EL$23,1,DM265)=1,1,IF(OR(INDEX('Lease Cycles'!$DY$23:$EE$23,1,DM265)=1,DM266&gt;0),1,1-INDEX('Lease Cycles'!$DD$23:$DJ$23,1,DM265)))),0)</f>
        <v>0</v>
      </c>
      <c r="DN274" s="24">
        <f>IF(DN267=1,IF('Lease Cycles'!$AJ$23=1,0,'Lease Cycles'!$D$23*INDEX('Lease Cycles'!$FH$23:$FN$23,1,DN265)*IF(INDEX('Lease Cycles'!$EF$23:$EL$23,1,DN265)=1,1,IF(OR(INDEX('Lease Cycles'!$DY$23:$EE$23,1,DN265)=1,DN266&gt;0),1,1-INDEX('Lease Cycles'!$DD$23:$DJ$23,1,DN265)))),0)</f>
        <v>0</v>
      </c>
      <c r="DO274" s="24">
        <f>IF(DO267=1,IF('Lease Cycles'!$AJ$23=1,0,'Lease Cycles'!$D$23*INDEX('Lease Cycles'!$FH$23:$FN$23,1,DO265)*IF(INDEX('Lease Cycles'!$EF$23:$EL$23,1,DO265)=1,1,IF(OR(INDEX('Lease Cycles'!$DY$23:$EE$23,1,DO265)=1,DO266&gt;0),1,1-INDEX('Lease Cycles'!$DD$23:$DJ$23,1,DO265)))),0)</f>
        <v>0</v>
      </c>
      <c r="DP274" s="24">
        <f>IF(DP267=1,IF('Lease Cycles'!$AJ$23=1,0,'Lease Cycles'!$D$23*INDEX('Lease Cycles'!$FH$23:$FN$23,1,DP265)*IF(INDEX('Lease Cycles'!$EF$23:$EL$23,1,DP265)=1,1,IF(OR(INDEX('Lease Cycles'!$DY$23:$EE$23,1,DP265)=1,DP266&gt;0),1,1-INDEX('Lease Cycles'!$DD$23:$DJ$23,1,DP265)))),0)</f>
        <v>0</v>
      </c>
      <c r="DQ274" s="24">
        <f>IF(DQ267=1,IF('Lease Cycles'!$AJ$23=1,0,'Lease Cycles'!$D$23*INDEX('Lease Cycles'!$FH$23:$FN$23,1,DQ265)*IF(INDEX('Lease Cycles'!$EF$23:$EL$23,1,DQ265)=1,1,IF(OR(INDEX('Lease Cycles'!$DY$23:$EE$23,1,DQ265)=1,DQ266&gt;0),1,1-INDEX('Lease Cycles'!$DD$23:$DJ$23,1,DQ265)))),0)</f>
        <v>0</v>
      </c>
      <c r="DR274" s="24">
        <f>IF(DR267=1,IF('Lease Cycles'!$AJ$23=1,0,'Lease Cycles'!$D$23*INDEX('Lease Cycles'!$FH$23:$FN$23,1,DR265)*IF(INDEX('Lease Cycles'!$EF$23:$EL$23,1,DR265)=1,1,IF(OR(INDEX('Lease Cycles'!$DY$23:$EE$23,1,DR265)=1,DR266&gt;0),1,1-INDEX('Lease Cycles'!$DD$23:$DJ$23,1,DR265)))),0)</f>
        <v>0</v>
      </c>
      <c r="DS274" s="24">
        <f>IF(DS267=1,IF('Lease Cycles'!$AJ$23=1,0,'Lease Cycles'!$D$23*INDEX('Lease Cycles'!$FH$23:$FN$23,1,DS265)*IF(INDEX('Lease Cycles'!$EF$23:$EL$23,1,DS265)=1,1,IF(OR(INDEX('Lease Cycles'!$DY$23:$EE$23,1,DS265)=1,DS266&gt;0),1,1-INDEX('Lease Cycles'!$DD$23:$DJ$23,1,DS265)))),0)</f>
        <v>0</v>
      </c>
      <c r="DT274" s="24">
        <f>IF(DT267=1,IF('Lease Cycles'!$AJ$23=1,0,'Lease Cycles'!$D$23*INDEX('Lease Cycles'!$FH$23:$FN$23,1,DT265)*IF(INDEX('Lease Cycles'!$EF$23:$EL$23,1,DT265)=1,1,IF(OR(INDEX('Lease Cycles'!$DY$23:$EE$23,1,DT265)=1,DT266&gt;0),1,1-INDEX('Lease Cycles'!$DD$23:$DJ$23,1,DT265)))),0)</f>
        <v>0</v>
      </c>
      <c r="DU274" s="24">
        <f>IF(DU267=1,IF('Lease Cycles'!$AJ$23=1,0,'Lease Cycles'!$D$23*INDEX('Lease Cycles'!$FH$23:$FN$23,1,DU265)*IF(INDEX('Lease Cycles'!$EF$23:$EL$23,1,DU265)=1,1,IF(OR(INDEX('Lease Cycles'!$DY$23:$EE$23,1,DU265)=1,DU266&gt;0),1,1-INDEX('Lease Cycles'!$DD$23:$DJ$23,1,DU265)))),0)</f>
        <v>0</v>
      </c>
      <c r="DV274" s="24">
        <f>IF(DV267=1,IF('Lease Cycles'!$AJ$23=1,0,'Lease Cycles'!$D$23*INDEX('Lease Cycles'!$FH$23:$FN$23,1,DV265)*IF(INDEX('Lease Cycles'!$EF$23:$EL$23,1,DV265)=1,1,IF(OR(INDEX('Lease Cycles'!$DY$23:$EE$23,1,DV265)=1,DV266&gt;0),1,1-INDEX('Lease Cycles'!$DD$23:$DJ$23,1,DV265)))),0)</f>
        <v>0</v>
      </c>
      <c r="DW274" s="24">
        <f>IF(DW267=1,IF('Lease Cycles'!$AJ$23=1,0,'Lease Cycles'!$D$23*INDEX('Lease Cycles'!$FH$23:$FN$23,1,DW265)*IF(INDEX('Lease Cycles'!$EF$23:$EL$23,1,DW265)=1,1,IF(OR(INDEX('Lease Cycles'!$DY$23:$EE$23,1,DW265)=1,DW266&gt;0),1,1-INDEX('Lease Cycles'!$DD$23:$DJ$23,1,DW265)))),0)</f>
        <v>0</v>
      </c>
      <c r="DX274" s="24">
        <f>IF(DX267=1,IF('Lease Cycles'!$AJ$23=1,0,'Lease Cycles'!$D$23*INDEX('Lease Cycles'!$FH$23:$FN$23,1,DX265)*IF(INDEX('Lease Cycles'!$EF$23:$EL$23,1,DX265)=1,1,IF(OR(INDEX('Lease Cycles'!$DY$23:$EE$23,1,DX265)=1,DX266&gt;0),1,1-INDEX('Lease Cycles'!$DD$23:$DJ$23,1,DX265)))),0)</f>
        <v>0</v>
      </c>
      <c r="DY274" s="24">
        <f>IF(DY267=1,IF('Lease Cycles'!$AJ$23=1,0,'Lease Cycles'!$D$23*INDEX('Lease Cycles'!$FH$23:$FN$23,1,DY265)*IF(INDEX('Lease Cycles'!$EF$23:$EL$23,1,DY265)=1,1,IF(OR(INDEX('Lease Cycles'!$DY$23:$EE$23,1,DY265)=1,DY266&gt;0),1,1-INDEX('Lease Cycles'!$DD$23:$DJ$23,1,DY265)))),0)</f>
        <v>0</v>
      </c>
      <c r="DZ274" s="24">
        <f>IF(DZ267=1,IF('Lease Cycles'!$AJ$23=1,0,'Lease Cycles'!$D$23*INDEX('Lease Cycles'!$FH$23:$FN$23,1,DZ265)*IF(INDEX('Lease Cycles'!$EF$23:$EL$23,1,DZ265)=1,1,IF(OR(INDEX('Lease Cycles'!$DY$23:$EE$23,1,DZ265)=1,DZ266&gt;0),1,1-INDEX('Lease Cycles'!$DD$23:$DJ$23,1,DZ265)))),0)</f>
        <v>0</v>
      </c>
      <c r="EA274" s="24">
        <f>IF(EA267=1,IF('Lease Cycles'!$AJ$23=1,0,'Lease Cycles'!$D$23*INDEX('Lease Cycles'!$FH$23:$FN$23,1,EA265)*IF(INDEX('Lease Cycles'!$EF$23:$EL$23,1,EA265)=1,1,IF(OR(INDEX('Lease Cycles'!$DY$23:$EE$23,1,EA265)=1,EA266&gt;0),1,1-INDEX('Lease Cycles'!$DD$23:$DJ$23,1,EA265)))),0)</f>
        <v>0</v>
      </c>
      <c r="EB274" s="24">
        <f>IF(EB267=1,IF('Lease Cycles'!$AJ$23=1,0,'Lease Cycles'!$D$23*INDEX('Lease Cycles'!$FH$23:$FN$23,1,EB265)*IF(INDEX('Lease Cycles'!$EF$23:$EL$23,1,EB265)=1,1,IF(OR(INDEX('Lease Cycles'!$DY$23:$EE$23,1,EB265)=1,EB266&gt;0),1,1-INDEX('Lease Cycles'!$DD$23:$DJ$23,1,EB265)))),0)</f>
        <v>0</v>
      </c>
      <c r="EC274" s="24">
        <f>IF(EC267=1,IF('Lease Cycles'!$AJ$23=1,0,'Lease Cycles'!$D$23*INDEX('Lease Cycles'!$FH$23:$FN$23,1,EC265)*IF(INDEX('Lease Cycles'!$EF$23:$EL$23,1,EC265)=1,1,IF(OR(INDEX('Lease Cycles'!$DY$23:$EE$23,1,EC265)=1,EC266&gt;0),1,1-INDEX('Lease Cycles'!$DD$23:$DJ$23,1,EC265)))),0)</f>
        <v>0</v>
      </c>
      <c r="ED274" s="24">
        <f>IF(ED267=1,IF('Lease Cycles'!$AJ$23=1,0,'Lease Cycles'!$D$23*INDEX('Lease Cycles'!$FH$23:$FN$23,1,ED265)*IF(INDEX('Lease Cycles'!$EF$23:$EL$23,1,ED265)=1,1,IF(OR(INDEX('Lease Cycles'!$DY$23:$EE$23,1,ED265)=1,ED266&gt;0),1,1-INDEX('Lease Cycles'!$DD$23:$DJ$23,1,ED265)))),0)</f>
        <v>0</v>
      </c>
      <c r="EE274" s="24">
        <f>IF(EE267=1,IF('Lease Cycles'!$AJ$23=1,0,'Lease Cycles'!$D$23*INDEX('Lease Cycles'!$FH$23:$FN$23,1,EE265)*IF(INDEX('Lease Cycles'!$EF$23:$EL$23,1,EE265)=1,1,IF(OR(INDEX('Lease Cycles'!$DY$23:$EE$23,1,EE265)=1,EE266&gt;0),1,1-INDEX('Lease Cycles'!$DD$23:$DJ$23,1,EE265)))),0)</f>
        <v>0</v>
      </c>
      <c r="EF274" s="24">
        <f>IF(EF267=1,IF('Lease Cycles'!$AJ$23=1,0,'Lease Cycles'!$D$23*INDEX('Lease Cycles'!$FH$23:$FN$23,1,EF265)*IF(INDEX('Lease Cycles'!$EF$23:$EL$23,1,EF265)=1,1,IF(OR(INDEX('Lease Cycles'!$DY$23:$EE$23,1,EF265)=1,EF266&gt;0),1,1-INDEX('Lease Cycles'!$DD$23:$DJ$23,1,EF265)))),0)</f>
        <v>0</v>
      </c>
      <c r="EG274" s="24">
        <f>IF(EG267=1,IF('Lease Cycles'!$AJ$23=1,0,'Lease Cycles'!$D$23*INDEX('Lease Cycles'!$FH$23:$FN$23,1,EG265)*IF(INDEX('Lease Cycles'!$EF$23:$EL$23,1,EG265)=1,1,IF(OR(INDEX('Lease Cycles'!$DY$23:$EE$23,1,EG265)=1,EG266&gt;0),1,1-INDEX('Lease Cycles'!$DD$23:$DJ$23,1,EG265)))),0)</f>
        <v>0</v>
      </c>
      <c r="EH274" s="24">
        <f>IF(EH267=1,IF('Lease Cycles'!$AJ$23=1,0,'Lease Cycles'!$D$23*INDEX('Lease Cycles'!$FH$23:$FN$23,1,EH265)*IF(INDEX('Lease Cycles'!$EF$23:$EL$23,1,EH265)=1,1,IF(OR(INDEX('Lease Cycles'!$DY$23:$EE$23,1,EH265)=1,EH266&gt;0),1,1-INDEX('Lease Cycles'!$DD$23:$DJ$23,1,EH265)))),0)</f>
        <v>0</v>
      </c>
      <c r="EI274" s="24">
        <f>IF(EI267=1,IF('Lease Cycles'!$AJ$23=1,0,'Lease Cycles'!$D$23*INDEX('Lease Cycles'!$FH$23:$FN$23,1,EI265)*IF(INDEX('Lease Cycles'!$EF$23:$EL$23,1,EI265)=1,1,IF(OR(INDEX('Lease Cycles'!$DY$23:$EE$23,1,EI265)=1,EI266&gt;0),1,1-INDEX('Lease Cycles'!$DD$23:$DJ$23,1,EI265)))),0)</f>
        <v>0</v>
      </c>
      <c r="EJ274" s="24">
        <f>IF(EJ267=1,IF('Lease Cycles'!$AJ$23=1,0,'Lease Cycles'!$D$23*INDEX('Lease Cycles'!$FH$23:$FN$23,1,EJ265)*IF(INDEX('Lease Cycles'!$EF$23:$EL$23,1,EJ265)=1,1,IF(OR(INDEX('Lease Cycles'!$DY$23:$EE$23,1,EJ265)=1,EJ266&gt;0),1,1-INDEX('Lease Cycles'!$DD$23:$DJ$23,1,EJ265)))),0)</f>
        <v>0</v>
      </c>
      <c r="EK274" s="24">
        <f>IF(EK267=1,IF('Lease Cycles'!$AJ$23=1,0,'Lease Cycles'!$D$23*INDEX('Lease Cycles'!$FH$23:$FN$23,1,EK265)*IF(INDEX('Lease Cycles'!$EF$23:$EL$23,1,EK265)=1,1,IF(OR(INDEX('Lease Cycles'!$DY$23:$EE$23,1,EK265)=1,EK266&gt;0),1,1-INDEX('Lease Cycles'!$DD$23:$DJ$23,1,EK265)))),0)</f>
        <v>0</v>
      </c>
      <c r="EL274" s="24">
        <f>IF(EL267=1,IF('Lease Cycles'!$AJ$23=1,0,'Lease Cycles'!$D$23*INDEX('Lease Cycles'!$FH$23:$FN$23,1,EL265)*IF(INDEX('Lease Cycles'!$EF$23:$EL$23,1,EL265)=1,1,IF(OR(INDEX('Lease Cycles'!$DY$23:$EE$23,1,EL265)=1,EL266&gt;0),1,1-INDEX('Lease Cycles'!$DD$23:$DJ$23,1,EL265)))),0)</f>
        <v>0</v>
      </c>
      <c r="EM274" s="24">
        <f>IF(EM267=1,IF('Lease Cycles'!$AJ$23=1,0,'Lease Cycles'!$D$23*INDEX('Lease Cycles'!$FH$23:$FN$23,1,EM265)*IF(INDEX('Lease Cycles'!$EF$23:$EL$23,1,EM265)=1,1,IF(OR(INDEX('Lease Cycles'!$DY$23:$EE$23,1,EM265)=1,EM266&gt;0),1,1-INDEX('Lease Cycles'!$DD$23:$DJ$23,1,EM265)))),0)</f>
        <v>0</v>
      </c>
      <c r="EN274" s="24">
        <f>IF(EN267=1,IF('Lease Cycles'!$AJ$23=1,0,'Lease Cycles'!$D$23*INDEX('Lease Cycles'!$FH$23:$FN$23,1,EN265)*IF(INDEX('Lease Cycles'!$EF$23:$EL$23,1,EN265)=1,1,IF(OR(INDEX('Lease Cycles'!$DY$23:$EE$23,1,EN265)=1,EN266&gt;0),1,1-INDEX('Lease Cycles'!$DD$23:$DJ$23,1,EN265)))),0)</f>
        <v>0</v>
      </c>
      <c r="EO274" s="24">
        <f>IF(EO267=1,IF('Lease Cycles'!$AJ$23=1,0,'Lease Cycles'!$D$23*INDEX('Lease Cycles'!$FH$23:$FN$23,1,EO265)*IF(INDEX('Lease Cycles'!$EF$23:$EL$23,1,EO265)=1,1,IF(OR(INDEX('Lease Cycles'!$DY$23:$EE$23,1,EO265)=1,EO266&gt;0),1,1-INDEX('Lease Cycles'!$DD$23:$DJ$23,1,EO265)))),0)</f>
        <v>0</v>
      </c>
      <c r="EP274" s="24">
        <f>IF(EP267=1,IF('Lease Cycles'!$AJ$23=1,0,'Lease Cycles'!$D$23*INDEX('Lease Cycles'!$FH$23:$FN$23,1,EP265)*IF(INDEX('Lease Cycles'!$EF$23:$EL$23,1,EP265)=1,1,IF(OR(INDEX('Lease Cycles'!$DY$23:$EE$23,1,EP265)=1,EP266&gt;0),1,1-INDEX('Lease Cycles'!$DD$23:$DJ$23,1,EP265)))),0)</f>
        <v>0</v>
      </c>
      <c r="EQ274" s="24">
        <f>IF(EQ267=1,IF('Lease Cycles'!$AJ$23=1,0,'Lease Cycles'!$D$23*INDEX('Lease Cycles'!$FH$23:$FN$23,1,EQ265)*IF(INDEX('Lease Cycles'!$EF$23:$EL$23,1,EQ265)=1,1,IF(OR(INDEX('Lease Cycles'!$DY$23:$EE$23,1,EQ265)=1,EQ266&gt;0),1,1-INDEX('Lease Cycles'!$DD$23:$DJ$23,1,EQ265)))),0)</f>
        <v>0</v>
      </c>
      <c r="ER274" s="24">
        <f>IF(ER267=1,IF('Lease Cycles'!$AJ$23=1,0,'Lease Cycles'!$D$23*INDEX('Lease Cycles'!$FH$23:$FN$23,1,ER265)*IF(INDEX('Lease Cycles'!$EF$23:$EL$23,1,ER265)=1,1,IF(OR(INDEX('Lease Cycles'!$DY$23:$EE$23,1,ER265)=1,ER266&gt;0),1,1-INDEX('Lease Cycles'!$DD$23:$DJ$23,1,ER265)))),0)</f>
        <v>0</v>
      </c>
      <c r="ES274" s="24">
        <f>IF(ES267=1,IF('Lease Cycles'!$AJ$23=1,0,'Lease Cycles'!$D$23*INDEX('Lease Cycles'!$FH$23:$FN$23,1,ES265)*IF(INDEX('Lease Cycles'!$EF$23:$EL$23,1,ES265)=1,1,IF(OR(INDEX('Lease Cycles'!$DY$23:$EE$23,1,ES265)=1,ES266&gt;0),1,1-INDEX('Lease Cycles'!$DD$23:$DJ$23,1,ES265)))),0)</f>
        <v>0</v>
      </c>
      <c r="ET274" s="24">
        <f>IF(ET267=1,IF('Lease Cycles'!$AJ$23=1,0,'Lease Cycles'!$D$23*INDEX('Lease Cycles'!$FH$23:$FN$23,1,ET265)*IF(INDEX('Lease Cycles'!$EF$23:$EL$23,1,ET265)=1,1,IF(OR(INDEX('Lease Cycles'!$DY$23:$EE$23,1,ET265)=1,ET266&gt;0),1,1-INDEX('Lease Cycles'!$DD$23:$DJ$23,1,ET265)))),0)</f>
        <v>0</v>
      </c>
    </row>
    <row r="275">
      <c r="A275" s="103">
        <v>16</v>
      </c>
      <c r="B275" s="23" t="str">
        <f>IF('Lease Cycles'!$B$23="","(empty slot)",'Lease Cycles'!$B$23)</f>
        <v>(empty slot)</v>
      </c>
      <c r="C275" s="23" t="s">
        <v>687</v>
      </c>
      <c r="D275" s="104" t="s">
        <v>688</v>
      </c>
      <c r="E275" s="25">
        <f>'Lease Cycles'!$AL$23</f>
        <v>0</v>
      </c>
      <c r="G275" s="24">
        <f>SUM(S275:AD275)</f>
        <v>0</v>
      </c>
      <c r="H275" s="24">
        <f>SUM(AE275:AP275)</f>
        <v>0</v>
      </c>
      <c r="I275" s="24">
        <f>SUM(AQ275:BB275)</f>
        <v>0</v>
      </c>
      <c r="J275" s="24">
        <f>SUM(BC275:BN275)</f>
        <v>0</v>
      </c>
      <c r="K275" s="24">
        <f>SUM(BO275:BZ275)</f>
        <v>0</v>
      </c>
      <c r="L275" s="24">
        <f>SUM(CA275:CL275)</f>
        <v>0</v>
      </c>
      <c r="M275" s="24">
        <f>SUM(CM275:CX275)</f>
        <v>0</v>
      </c>
      <c r="N275" s="24">
        <f>SUM(CY275:DJ275)</f>
        <v>0</v>
      </c>
      <c r="O275" s="24">
        <f>SUM(DK275:DV275)</f>
        <v>0</v>
      </c>
      <c r="P275" s="24">
        <f>SUM(DW275:EH275)</f>
        <v>0</v>
      </c>
      <c r="Q275" s="24">
        <f>SUM(EI275:ET275)</f>
        <v>0</v>
      </c>
      <c r="S275" s="24">
        <f>IF(S267=1,'Lease Cycles'!$D$23*IF(INDEX('Lease Cycles'!$EF$23:$EL$23,1,S265)=1,'Lease Cycles'!$AJ$23*INDEX('Lease Cycles'!$FO$23:$FU$23,1,S265)*INDEX('Lease Cycles'!$EM$23:$ES$23,1,S265)+'Lease Cycles'!$BE$23*IF(S266&lt;INDEX('Lease Cycles'!$FA$23:$FG$23,1,S265),0,1-INDEX('Lease Cycles'!$EM$23:$ES$23,1,S265)),IF(OR(INDEX('Lease Cycles'!$DY$23:$EE$23,1,S265)=1,S266&gt;0),1,1-INDEX('Lease Cycles'!$DD$23:$DJ$23,1,S265))*('Lease Cycles'!$AJ$23*INDEX('Lease Cycles'!$FO$23:$FU$23,1,S265)+'Lease Cycles'!$BE$23*(1-INDEX('Lease Cycles'!$FO$23:$FU$23,1,S265)))),0)</f>
        <v>0</v>
      </c>
      <c r="T275" s="24">
        <f>IF(T267=1,'Lease Cycles'!$D$23*IF(INDEX('Lease Cycles'!$EF$23:$EL$23,1,T265)=1,'Lease Cycles'!$AJ$23*INDEX('Lease Cycles'!$FO$23:$FU$23,1,T265)*INDEX('Lease Cycles'!$EM$23:$ES$23,1,T265)+'Lease Cycles'!$BE$23*IF(T266&lt;INDEX('Lease Cycles'!$FA$23:$FG$23,1,T265),0,1-INDEX('Lease Cycles'!$EM$23:$ES$23,1,T265)),IF(OR(INDEX('Lease Cycles'!$DY$23:$EE$23,1,T265)=1,T266&gt;0),1,1-INDEX('Lease Cycles'!$DD$23:$DJ$23,1,T265))*('Lease Cycles'!$AJ$23*INDEX('Lease Cycles'!$FO$23:$FU$23,1,T265)+'Lease Cycles'!$BE$23*(1-INDEX('Lease Cycles'!$FO$23:$FU$23,1,T265)))),0)</f>
        <v>0</v>
      </c>
      <c r="U275" s="24">
        <f>IF(U267=1,'Lease Cycles'!$D$23*IF(INDEX('Lease Cycles'!$EF$23:$EL$23,1,U265)=1,'Lease Cycles'!$AJ$23*INDEX('Lease Cycles'!$FO$23:$FU$23,1,U265)*INDEX('Lease Cycles'!$EM$23:$ES$23,1,U265)+'Lease Cycles'!$BE$23*IF(U266&lt;INDEX('Lease Cycles'!$FA$23:$FG$23,1,U265),0,1-INDEX('Lease Cycles'!$EM$23:$ES$23,1,U265)),IF(OR(INDEX('Lease Cycles'!$DY$23:$EE$23,1,U265)=1,U266&gt;0),1,1-INDEX('Lease Cycles'!$DD$23:$DJ$23,1,U265))*('Lease Cycles'!$AJ$23*INDEX('Lease Cycles'!$FO$23:$FU$23,1,U265)+'Lease Cycles'!$BE$23*(1-INDEX('Lease Cycles'!$FO$23:$FU$23,1,U265)))),0)</f>
        <v>0</v>
      </c>
      <c r="V275" s="24">
        <f>IF(V267=1,'Lease Cycles'!$D$23*IF(INDEX('Lease Cycles'!$EF$23:$EL$23,1,V265)=1,'Lease Cycles'!$AJ$23*INDEX('Lease Cycles'!$FO$23:$FU$23,1,V265)*INDEX('Lease Cycles'!$EM$23:$ES$23,1,V265)+'Lease Cycles'!$BE$23*IF(V266&lt;INDEX('Lease Cycles'!$FA$23:$FG$23,1,V265),0,1-INDEX('Lease Cycles'!$EM$23:$ES$23,1,V265)),IF(OR(INDEX('Lease Cycles'!$DY$23:$EE$23,1,V265)=1,V266&gt;0),1,1-INDEX('Lease Cycles'!$DD$23:$DJ$23,1,V265))*('Lease Cycles'!$AJ$23*INDEX('Lease Cycles'!$FO$23:$FU$23,1,V265)+'Lease Cycles'!$BE$23*(1-INDEX('Lease Cycles'!$FO$23:$FU$23,1,V265)))),0)</f>
        <v>0</v>
      </c>
      <c r="W275" s="24">
        <f>IF(W267=1,'Lease Cycles'!$D$23*IF(INDEX('Lease Cycles'!$EF$23:$EL$23,1,W265)=1,'Lease Cycles'!$AJ$23*INDEX('Lease Cycles'!$FO$23:$FU$23,1,W265)*INDEX('Lease Cycles'!$EM$23:$ES$23,1,W265)+'Lease Cycles'!$BE$23*IF(W266&lt;INDEX('Lease Cycles'!$FA$23:$FG$23,1,W265),0,1-INDEX('Lease Cycles'!$EM$23:$ES$23,1,W265)),IF(OR(INDEX('Lease Cycles'!$DY$23:$EE$23,1,W265)=1,W266&gt;0),1,1-INDEX('Lease Cycles'!$DD$23:$DJ$23,1,W265))*('Lease Cycles'!$AJ$23*INDEX('Lease Cycles'!$FO$23:$FU$23,1,W265)+'Lease Cycles'!$BE$23*(1-INDEX('Lease Cycles'!$FO$23:$FU$23,1,W265)))),0)</f>
        <v>0</v>
      </c>
      <c r="X275" s="24">
        <f>IF(X267=1,'Lease Cycles'!$D$23*IF(INDEX('Lease Cycles'!$EF$23:$EL$23,1,X265)=1,'Lease Cycles'!$AJ$23*INDEX('Lease Cycles'!$FO$23:$FU$23,1,X265)*INDEX('Lease Cycles'!$EM$23:$ES$23,1,X265)+'Lease Cycles'!$BE$23*IF(X266&lt;INDEX('Lease Cycles'!$FA$23:$FG$23,1,X265),0,1-INDEX('Lease Cycles'!$EM$23:$ES$23,1,X265)),IF(OR(INDEX('Lease Cycles'!$DY$23:$EE$23,1,X265)=1,X266&gt;0),1,1-INDEX('Lease Cycles'!$DD$23:$DJ$23,1,X265))*('Lease Cycles'!$AJ$23*INDEX('Lease Cycles'!$FO$23:$FU$23,1,X265)+'Lease Cycles'!$BE$23*(1-INDEX('Lease Cycles'!$FO$23:$FU$23,1,X265)))),0)</f>
        <v>0</v>
      </c>
      <c r="Y275" s="24">
        <f>IF(Y267=1,'Lease Cycles'!$D$23*IF(INDEX('Lease Cycles'!$EF$23:$EL$23,1,Y265)=1,'Lease Cycles'!$AJ$23*INDEX('Lease Cycles'!$FO$23:$FU$23,1,Y265)*INDEX('Lease Cycles'!$EM$23:$ES$23,1,Y265)+'Lease Cycles'!$BE$23*IF(Y266&lt;INDEX('Lease Cycles'!$FA$23:$FG$23,1,Y265),0,1-INDEX('Lease Cycles'!$EM$23:$ES$23,1,Y265)),IF(OR(INDEX('Lease Cycles'!$DY$23:$EE$23,1,Y265)=1,Y266&gt;0),1,1-INDEX('Lease Cycles'!$DD$23:$DJ$23,1,Y265))*('Lease Cycles'!$AJ$23*INDEX('Lease Cycles'!$FO$23:$FU$23,1,Y265)+'Lease Cycles'!$BE$23*(1-INDEX('Lease Cycles'!$FO$23:$FU$23,1,Y265)))),0)</f>
        <v>0</v>
      </c>
      <c r="Z275" s="24">
        <f>IF(Z267=1,'Lease Cycles'!$D$23*IF(INDEX('Lease Cycles'!$EF$23:$EL$23,1,Z265)=1,'Lease Cycles'!$AJ$23*INDEX('Lease Cycles'!$FO$23:$FU$23,1,Z265)*INDEX('Lease Cycles'!$EM$23:$ES$23,1,Z265)+'Lease Cycles'!$BE$23*IF(Z266&lt;INDEX('Lease Cycles'!$FA$23:$FG$23,1,Z265),0,1-INDEX('Lease Cycles'!$EM$23:$ES$23,1,Z265)),IF(OR(INDEX('Lease Cycles'!$DY$23:$EE$23,1,Z265)=1,Z266&gt;0),1,1-INDEX('Lease Cycles'!$DD$23:$DJ$23,1,Z265))*('Lease Cycles'!$AJ$23*INDEX('Lease Cycles'!$FO$23:$FU$23,1,Z265)+'Lease Cycles'!$BE$23*(1-INDEX('Lease Cycles'!$FO$23:$FU$23,1,Z265)))),0)</f>
        <v>0</v>
      </c>
      <c r="AA275" s="24">
        <f>IF(AA267=1,'Lease Cycles'!$D$23*IF(INDEX('Lease Cycles'!$EF$23:$EL$23,1,AA265)=1,'Lease Cycles'!$AJ$23*INDEX('Lease Cycles'!$FO$23:$FU$23,1,AA265)*INDEX('Lease Cycles'!$EM$23:$ES$23,1,AA265)+'Lease Cycles'!$BE$23*IF(AA266&lt;INDEX('Lease Cycles'!$FA$23:$FG$23,1,AA265),0,1-INDEX('Lease Cycles'!$EM$23:$ES$23,1,AA265)),IF(OR(INDEX('Lease Cycles'!$DY$23:$EE$23,1,AA265)=1,AA266&gt;0),1,1-INDEX('Lease Cycles'!$DD$23:$DJ$23,1,AA265))*('Lease Cycles'!$AJ$23*INDEX('Lease Cycles'!$FO$23:$FU$23,1,AA265)+'Lease Cycles'!$BE$23*(1-INDEX('Lease Cycles'!$FO$23:$FU$23,1,AA265)))),0)</f>
        <v>0</v>
      </c>
      <c r="AB275" s="24">
        <f>IF(AB267=1,'Lease Cycles'!$D$23*IF(INDEX('Lease Cycles'!$EF$23:$EL$23,1,AB265)=1,'Lease Cycles'!$AJ$23*INDEX('Lease Cycles'!$FO$23:$FU$23,1,AB265)*INDEX('Lease Cycles'!$EM$23:$ES$23,1,AB265)+'Lease Cycles'!$BE$23*IF(AB266&lt;INDEX('Lease Cycles'!$FA$23:$FG$23,1,AB265),0,1-INDEX('Lease Cycles'!$EM$23:$ES$23,1,AB265)),IF(OR(INDEX('Lease Cycles'!$DY$23:$EE$23,1,AB265)=1,AB266&gt;0),1,1-INDEX('Lease Cycles'!$DD$23:$DJ$23,1,AB265))*('Lease Cycles'!$AJ$23*INDEX('Lease Cycles'!$FO$23:$FU$23,1,AB265)+'Lease Cycles'!$BE$23*(1-INDEX('Lease Cycles'!$FO$23:$FU$23,1,AB265)))),0)</f>
        <v>0</v>
      </c>
      <c r="AC275" s="24">
        <f>IF(AC267=1,'Lease Cycles'!$D$23*IF(INDEX('Lease Cycles'!$EF$23:$EL$23,1,AC265)=1,'Lease Cycles'!$AJ$23*INDEX('Lease Cycles'!$FO$23:$FU$23,1,AC265)*INDEX('Lease Cycles'!$EM$23:$ES$23,1,AC265)+'Lease Cycles'!$BE$23*IF(AC266&lt;INDEX('Lease Cycles'!$FA$23:$FG$23,1,AC265),0,1-INDEX('Lease Cycles'!$EM$23:$ES$23,1,AC265)),IF(OR(INDEX('Lease Cycles'!$DY$23:$EE$23,1,AC265)=1,AC266&gt;0),1,1-INDEX('Lease Cycles'!$DD$23:$DJ$23,1,AC265))*('Lease Cycles'!$AJ$23*INDEX('Lease Cycles'!$FO$23:$FU$23,1,AC265)+'Lease Cycles'!$BE$23*(1-INDEX('Lease Cycles'!$FO$23:$FU$23,1,AC265)))),0)</f>
        <v>0</v>
      </c>
      <c r="AD275" s="24">
        <f>IF(AD267=1,'Lease Cycles'!$D$23*IF(INDEX('Lease Cycles'!$EF$23:$EL$23,1,AD265)=1,'Lease Cycles'!$AJ$23*INDEX('Lease Cycles'!$FO$23:$FU$23,1,AD265)*INDEX('Lease Cycles'!$EM$23:$ES$23,1,AD265)+'Lease Cycles'!$BE$23*IF(AD266&lt;INDEX('Lease Cycles'!$FA$23:$FG$23,1,AD265),0,1-INDEX('Lease Cycles'!$EM$23:$ES$23,1,AD265)),IF(OR(INDEX('Lease Cycles'!$DY$23:$EE$23,1,AD265)=1,AD266&gt;0),1,1-INDEX('Lease Cycles'!$DD$23:$DJ$23,1,AD265))*('Lease Cycles'!$AJ$23*INDEX('Lease Cycles'!$FO$23:$FU$23,1,AD265)+'Lease Cycles'!$BE$23*(1-INDEX('Lease Cycles'!$FO$23:$FU$23,1,AD265)))),0)</f>
        <v>0</v>
      </c>
      <c r="AE275" s="24">
        <f>IF(AE267=1,'Lease Cycles'!$D$23*IF(INDEX('Lease Cycles'!$EF$23:$EL$23,1,AE265)=1,'Lease Cycles'!$AJ$23*INDEX('Lease Cycles'!$FO$23:$FU$23,1,AE265)*INDEX('Lease Cycles'!$EM$23:$ES$23,1,AE265)+'Lease Cycles'!$BE$23*IF(AE266&lt;INDEX('Lease Cycles'!$FA$23:$FG$23,1,AE265),0,1-INDEX('Lease Cycles'!$EM$23:$ES$23,1,AE265)),IF(OR(INDEX('Lease Cycles'!$DY$23:$EE$23,1,AE265)=1,AE266&gt;0),1,1-INDEX('Lease Cycles'!$DD$23:$DJ$23,1,AE265))*('Lease Cycles'!$AJ$23*INDEX('Lease Cycles'!$FO$23:$FU$23,1,AE265)+'Lease Cycles'!$BE$23*(1-INDEX('Lease Cycles'!$FO$23:$FU$23,1,AE265)))),0)</f>
        <v>0</v>
      </c>
      <c r="AF275" s="24">
        <f>IF(AF267=1,'Lease Cycles'!$D$23*IF(INDEX('Lease Cycles'!$EF$23:$EL$23,1,AF265)=1,'Lease Cycles'!$AJ$23*INDEX('Lease Cycles'!$FO$23:$FU$23,1,AF265)*INDEX('Lease Cycles'!$EM$23:$ES$23,1,AF265)+'Lease Cycles'!$BE$23*IF(AF266&lt;INDEX('Lease Cycles'!$FA$23:$FG$23,1,AF265),0,1-INDEX('Lease Cycles'!$EM$23:$ES$23,1,AF265)),IF(OR(INDEX('Lease Cycles'!$DY$23:$EE$23,1,AF265)=1,AF266&gt;0),1,1-INDEX('Lease Cycles'!$DD$23:$DJ$23,1,AF265))*('Lease Cycles'!$AJ$23*INDEX('Lease Cycles'!$FO$23:$FU$23,1,AF265)+'Lease Cycles'!$BE$23*(1-INDEX('Lease Cycles'!$FO$23:$FU$23,1,AF265)))),0)</f>
        <v>0</v>
      </c>
      <c r="AG275" s="24">
        <f>IF(AG267=1,'Lease Cycles'!$D$23*IF(INDEX('Lease Cycles'!$EF$23:$EL$23,1,AG265)=1,'Lease Cycles'!$AJ$23*INDEX('Lease Cycles'!$FO$23:$FU$23,1,AG265)*INDEX('Lease Cycles'!$EM$23:$ES$23,1,AG265)+'Lease Cycles'!$BE$23*IF(AG266&lt;INDEX('Lease Cycles'!$FA$23:$FG$23,1,AG265),0,1-INDEX('Lease Cycles'!$EM$23:$ES$23,1,AG265)),IF(OR(INDEX('Lease Cycles'!$DY$23:$EE$23,1,AG265)=1,AG266&gt;0),1,1-INDEX('Lease Cycles'!$DD$23:$DJ$23,1,AG265))*('Lease Cycles'!$AJ$23*INDEX('Lease Cycles'!$FO$23:$FU$23,1,AG265)+'Lease Cycles'!$BE$23*(1-INDEX('Lease Cycles'!$FO$23:$FU$23,1,AG265)))),0)</f>
        <v>0</v>
      </c>
      <c r="AH275" s="24">
        <f>IF(AH267=1,'Lease Cycles'!$D$23*IF(INDEX('Lease Cycles'!$EF$23:$EL$23,1,AH265)=1,'Lease Cycles'!$AJ$23*INDEX('Lease Cycles'!$FO$23:$FU$23,1,AH265)*INDEX('Lease Cycles'!$EM$23:$ES$23,1,AH265)+'Lease Cycles'!$BE$23*IF(AH266&lt;INDEX('Lease Cycles'!$FA$23:$FG$23,1,AH265),0,1-INDEX('Lease Cycles'!$EM$23:$ES$23,1,AH265)),IF(OR(INDEX('Lease Cycles'!$DY$23:$EE$23,1,AH265)=1,AH266&gt;0),1,1-INDEX('Lease Cycles'!$DD$23:$DJ$23,1,AH265))*('Lease Cycles'!$AJ$23*INDEX('Lease Cycles'!$FO$23:$FU$23,1,AH265)+'Lease Cycles'!$BE$23*(1-INDEX('Lease Cycles'!$FO$23:$FU$23,1,AH265)))),0)</f>
        <v>0</v>
      </c>
      <c r="AI275" s="24">
        <f>IF(AI267=1,'Lease Cycles'!$D$23*IF(INDEX('Lease Cycles'!$EF$23:$EL$23,1,AI265)=1,'Lease Cycles'!$AJ$23*INDEX('Lease Cycles'!$FO$23:$FU$23,1,AI265)*INDEX('Lease Cycles'!$EM$23:$ES$23,1,AI265)+'Lease Cycles'!$BE$23*IF(AI266&lt;INDEX('Lease Cycles'!$FA$23:$FG$23,1,AI265),0,1-INDEX('Lease Cycles'!$EM$23:$ES$23,1,AI265)),IF(OR(INDEX('Lease Cycles'!$DY$23:$EE$23,1,AI265)=1,AI266&gt;0),1,1-INDEX('Lease Cycles'!$DD$23:$DJ$23,1,AI265))*('Lease Cycles'!$AJ$23*INDEX('Lease Cycles'!$FO$23:$FU$23,1,AI265)+'Lease Cycles'!$BE$23*(1-INDEX('Lease Cycles'!$FO$23:$FU$23,1,AI265)))),0)</f>
        <v>0</v>
      </c>
      <c r="AJ275" s="24">
        <f>IF(AJ267=1,'Lease Cycles'!$D$23*IF(INDEX('Lease Cycles'!$EF$23:$EL$23,1,AJ265)=1,'Lease Cycles'!$AJ$23*INDEX('Lease Cycles'!$FO$23:$FU$23,1,AJ265)*INDEX('Lease Cycles'!$EM$23:$ES$23,1,AJ265)+'Lease Cycles'!$BE$23*IF(AJ266&lt;INDEX('Lease Cycles'!$FA$23:$FG$23,1,AJ265),0,1-INDEX('Lease Cycles'!$EM$23:$ES$23,1,AJ265)),IF(OR(INDEX('Lease Cycles'!$DY$23:$EE$23,1,AJ265)=1,AJ266&gt;0),1,1-INDEX('Lease Cycles'!$DD$23:$DJ$23,1,AJ265))*('Lease Cycles'!$AJ$23*INDEX('Lease Cycles'!$FO$23:$FU$23,1,AJ265)+'Lease Cycles'!$BE$23*(1-INDEX('Lease Cycles'!$FO$23:$FU$23,1,AJ265)))),0)</f>
        <v>0</v>
      </c>
      <c r="AK275" s="24">
        <f>IF(AK267=1,'Lease Cycles'!$D$23*IF(INDEX('Lease Cycles'!$EF$23:$EL$23,1,AK265)=1,'Lease Cycles'!$AJ$23*INDEX('Lease Cycles'!$FO$23:$FU$23,1,AK265)*INDEX('Lease Cycles'!$EM$23:$ES$23,1,AK265)+'Lease Cycles'!$BE$23*IF(AK266&lt;INDEX('Lease Cycles'!$FA$23:$FG$23,1,AK265),0,1-INDEX('Lease Cycles'!$EM$23:$ES$23,1,AK265)),IF(OR(INDEX('Lease Cycles'!$DY$23:$EE$23,1,AK265)=1,AK266&gt;0),1,1-INDEX('Lease Cycles'!$DD$23:$DJ$23,1,AK265))*('Lease Cycles'!$AJ$23*INDEX('Lease Cycles'!$FO$23:$FU$23,1,AK265)+'Lease Cycles'!$BE$23*(1-INDEX('Lease Cycles'!$FO$23:$FU$23,1,AK265)))),0)</f>
        <v>0</v>
      </c>
      <c r="AL275" s="24">
        <f>IF(AL267=1,'Lease Cycles'!$D$23*IF(INDEX('Lease Cycles'!$EF$23:$EL$23,1,AL265)=1,'Lease Cycles'!$AJ$23*INDEX('Lease Cycles'!$FO$23:$FU$23,1,AL265)*INDEX('Lease Cycles'!$EM$23:$ES$23,1,AL265)+'Lease Cycles'!$BE$23*IF(AL266&lt;INDEX('Lease Cycles'!$FA$23:$FG$23,1,AL265),0,1-INDEX('Lease Cycles'!$EM$23:$ES$23,1,AL265)),IF(OR(INDEX('Lease Cycles'!$DY$23:$EE$23,1,AL265)=1,AL266&gt;0),1,1-INDEX('Lease Cycles'!$DD$23:$DJ$23,1,AL265))*('Lease Cycles'!$AJ$23*INDEX('Lease Cycles'!$FO$23:$FU$23,1,AL265)+'Lease Cycles'!$BE$23*(1-INDEX('Lease Cycles'!$FO$23:$FU$23,1,AL265)))),0)</f>
        <v>0</v>
      </c>
      <c r="AM275" s="24">
        <f>IF(AM267=1,'Lease Cycles'!$D$23*IF(INDEX('Lease Cycles'!$EF$23:$EL$23,1,AM265)=1,'Lease Cycles'!$AJ$23*INDEX('Lease Cycles'!$FO$23:$FU$23,1,AM265)*INDEX('Lease Cycles'!$EM$23:$ES$23,1,AM265)+'Lease Cycles'!$BE$23*IF(AM266&lt;INDEX('Lease Cycles'!$FA$23:$FG$23,1,AM265),0,1-INDEX('Lease Cycles'!$EM$23:$ES$23,1,AM265)),IF(OR(INDEX('Lease Cycles'!$DY$23:$EE$23,1,AM265)=1,AM266&gt;0),1,1-INDEX('Lease Cycles'!$DD$23:$DJ$23,1,AM265))*('Lease Cycles'!$AJ$23*INDEX('Lease Cycles'!$FO$23:$FU$23,1,AM265)+'Lease Cycles'!$BE$23*(1-INDEX('Lease Cycles'!$FO$23:$FU$23,1,AM265)))),0)</f>
        <v>0</v>
      </c>
      <c r="AN275" s="24">
        <f>IF(AN267=1,'Lease Cycles'!$D$23*IF(INDEX('Lease Cycles'!$EF$23:$EL$23,1,AN265)=1,'Lease Cycles'!$AJ$23*INDEX('Lease Cycles'!$FO$23:$FU$23,1,AN265)*INDEX('Lease Cycles'!$EM$23:$ES$23,1,AN265)+'Lease Cycles'!$BE$23*IF(AN266&lt;INDEX('Lease Cycles'!$FA$23:$FG$23,1,AN265),0,1-INDEX('Lease Cycles'!$EM$23:$ES$23,1,AN265)),IF(OR(INDEX('Lease Cycles'!$DY$23:$EE$23,1,AN265)=1,AN266&gt;0),1,1-INDEX('Lease Cycles'!$DD$23:$DJ$23,1,AN265))*('Lease Cycles'!$AJ$23*INDEX('Lease Cycles'!$FO$23:$FU$23,1,AN265)+'Lease Cycles'!$BE$23*(1-INDEX('Lease Cycles'!$FO$23:$FU$23,1,AN265)))),0)</f>
        <v>0</v>
      </c>
      <c r="AO275" s="24">
        <f>IF(AO267=1,'Lease Cycles'!$D$23*IF(INDEX('Lease Cycles'!$EF$23:$EL$23,1,AO265)=1,'Lease Cycles'!$AJ$23*INDEX('Lease Cycles'!$FO$23:$FU$23,1,AO265)*INDEX('Lease Cycles'!$EM$23:$ES$23,1,AO265)+'Lease Cycles'!$BE$23*IF(AO266&lt;INDEX('Lease Cycles'!$FA$23:$FG$23,1,AO265),0,1-INDEX('Lease Cycles'!$EM$23:$ES$23,1,AO265)),IF(OR(INDEX('Lease Cycles'!$DY$23:$EE$23,1,AO265)=1,AO266&gt;0),1,1-INDEX('Lease Cycles'!$DD$23:$DJ$23,1,AO265))*('Lease Cycles'!$AJ$23*INDEX('Lease Cycles'!$FO$23:$FU$23,1,AO265)+'Lease Cycles'!$BE$23*(1-INDEX('Lease Cycles'!$FO$23:$FU$23,1,AO265)))),0)</f>
        <v>0</v>
      </c>
      <c r="AP275" s="24">
        <f>IF(AP267=1,'Lease Cycles'!$D$23*IF(INDEX('Lease Cycles'!$EF$23:$EL$23,1,AP265)=1,'Lease Cycles'!$AJ$23*INDEX('Lease Cycles'!$FO$23:$FU$23,1,AP265)*INDEX('Lease Cycles'!$EM$23:$ES$23,1,AP265)+'Lease Cycles'!$BE$23*IF(AP266&lt;INDEX('Lease Cycles'!$FA$23:$FG$23,1,AP265),0,1-INDEX('Lease Cycles'!$EM$23:$ES$23,1,AP265)),IF(OR(INDEX('Lease Cycles'!$DY$23:$EE$23,1,AP265)=1,AP266&gt;0),1,1-INDEX('Lease Cycles'!$DD$23:$DJ$23,1,AP265))*('Lease Cycles'!$AJ$23*INDEX('Lease Cycles'!$FO$23:$FU$23,1,AP265)+'Lease Cycles'!$BE$23*(1-INDEX('Lease Cycles'!$FO$23:$FU$23,1,AP265)))),0)</f>
        <v>0</v>
      </c>
      <c r="AQ275" s="24">
        <f>IF(AQ267=1,'Lease Cycles'!$D$23*IF(INDEX('Lease Cycles'!$EF$23:$EL$23,1,AQ265)=1,'Lease Cycles'!$AJ$23*INDEX('Lease Cycles'!$FO$23:$FU$23,1,AQ265)*INDEX('Lease Cycles'!$EM$23:$ES$23,1,AQ265)+'Lease Cycles'!$BE$23*IF(AQ266&lt;INDEX('Lease Cycles'!$FA$23:$FG$23,1,AQ265),0,1-INDEX('Lease Cycles'!$EM$23:$ES$23,1,AQ265)),IF(OR(INDEX('Lease Cycles'!$DY$23:$EE$23,1,AQ265)=1,AQ266&gt;0),1,1-INDEX('Lease Cycles'!$DD$23:$DJ$23,1,AQ265))*('Lease Cycles'!$AJ$23*INDEX('Lease Cycles'!$FO$23:$FU$23,1,AQ265)+'Lease Cycles'!$BE$23*(1-INDEX('Lease Cycles'!$FO$23:$FU$23,1,AQ265)))),0)</f>
        <v>0</v>
      </c>
      <c r="AR275" s="24">
        <f>IF(AR267=1,'Lease Cycles'!$D$23*IF(INDEX('Lease Cycles'!$EF$23:$EL$23,1,AR265)=1,'Lease Cycles'!$AJ$23*INDEX('Lease Cycles'!$FO$23:$FU$23,1,AR265)*INDEX('Lease Cycles'!$EM$23:$ES$23,1,AR265)+'Lease Cycles'!$BE$23*IF(AR266&lt;INDEX('Lease Cycles'!$FA$23:$FG$23,1,AR265),0,1-INDEX('Lease Cycles'!$EM$23:$ES$23,1,AR265)),IF(OR(INDEX('Lease Cycles'!$DY$23:$EE$23,1,AR265)=1,AR266&gt;0),1,1-INDEX('Lease Cycles'!$DD$23:$DJ$23,1,AR265))*('Lease Cycles'!$AJ$23*INDEX('Lease Cycles'!$FO$23:$FU$23,1,AR265)+'Lease Cycles'!$BE$23*(1-INDEX('Lease Cycles'!$FO$23:$FU$23,1,AR265)))),0)</f>
        <v>0</v>
      </c>
      <c r="AS275" s="24">
        <f>IF(AS267=1,'Lease Cycles'!$D$23*IF(INDEX('Lease Cycles'!$EF$23:$EL$23,1,AS265)=1,'Lease Cycles'!$AJ$23*INDEX('Lease Cycles'!$FO$23:$FU$23,1,AS265)*INDEX('Lease Cycles'!$EM$23:$ES$23,1,AS265)+'Lease Cycles'!$BE$23*IF(AS266&lt;INDEX('Lease Cycles'!$FA$23:$FG$23,1,AS265),0,1-INDEX('Lease Cycles'!$EM$23:$ES$23,1,AS265)),IF(OR(INDEX('Lease Cycles'!$DY$23:$EE$23,1,AS265)=1,AS266&gt;0),1,1-INDEX('Lease Cycles'!$DD$23:$DJ$23,1,AS265))*('Lease Cycles'!$AJ$23*INDEX('Lease Cycles'!$FO$23:$FU$23,1,AS265)+'Lease Cycles'!$BE$23*(1-INDEX('Lease Cycles'!$FO$23:$FU$23,1,AS265)))),0)</f>
        <v>0</v>
      </c>
      <c r="AT275" s="24">
        <f>IF(AT267=1,'Lease Cycles'!$D$23*IF(INDEX('Lease Cycles'!$EF$23:$EL$23,1,AT265)=1,'Lease Cycles'!$AJ$23*INDEX('Lease Cycles'!$FO$23:$FU$23,1,AT265)*INDEX('Lease Cycles'!$EM$23:$ES$23,1,AT265)+'Lease Cycles'!$BE$23*IF(AT266&lt;INDEX('Lease Cycles'!$FA$23:$FG$23,1,AT265),0,1-INDEX('Lease Cycles'!$EM$23:$ES$23,1,AT265)),IF(OR(INDEX('Lease Cycles'!$DY$23:$EE$23,1,AT265)=1,AT266&gt;0),1,1-INDEX('Lease Cycles'!$DD$23:$DJ$23,1,AT265))*('Lease Cycles'!$AJ$23*INDEX('Lease Cycles'!$FO$23:$FU$23,1,AT265)+'Lease Cycles'!$BE$23*(1-INDEX('Lease Cycles'!$FO$23:$FU$23,1,AT265)))),0)</f>
        <v>0</v>
      </c>
      <c r="AU275" s="24">
        <f>IF(AU267=1,'Lease Cycles'!$D$23*IF(INDEX('Lease Cycles'!$EF$23:$EL$23,1,AU265)=1,'Lease Cycles'!$AJ$23*INDEX('Lease Cycles'!$FO$23:$FU$23,1,AU265)*INDEX('Lease Cycles'!$EM$23:$ES$23,1,AU265)+'Lease Cycles'!$BE$23*IF(AU266&lt;INDEX('Lease Cycles'!$FA$23:$FG$23,1,AU265),0,1-INDEX('Lease Cycles'!$EM$23:$ES$23,1,AU265)),IF(OR(INDEX('Lease Cycles'!$DY$23:$EE$23,1,AU265)=1,AU266&gt;0),1,1-INDEX('Lease Cycles'!$DD$23:$DJ$23,1,AU265))*('Lease Cycles'!$AJ$23*INDEX('Lease Cycles'!$FO$23:$FU$23,1,AU265)+'Lease Cycles'!$BE$23*(1-INDEX('Lease Cycles'!$FO$23:$FU$23,1,AU265)))),0)</f>
        <v>0</v>
      </c>
      <c r="AV275" s="24">
        <f>IF(AV267=1,'Lease Cycles'!$D$23*IF(INDEX('Lease Cycles'!$EF$23:$EL$23,1,AV265)=1,'Lease Cycles'!$AJ$23*INDEX('Lease Cycles'!$FO$23:$FU$23,1,AV265)*INDEX('Lease Cycles'!$EM$23:$ES$23,1,AV265)+'Lease Cycles'!$BE$23*IF(AV266&lt;INDEX('Lease Cycles'!$FA$23:$FG$23,1,AV265),0,1-INDEX('Lease Cycles'!$EM$23:$ES$23,1,AV265)),IF(OR(INDEX('Lease Cycles'!$DY$23:$EE$23,1,AV265)=1,AV266&gt;0),1,1-INDEX('Lease Cycles'!$DD$23:$DJ$23,1,AV265))*('Lease Cycles'!$AJ$23*INDEX('Lease Cycles'!$FO$23:$FU$23,1,AV265)+'Lease Cycles'!$BE$23*(1-INDEX('Lease Cycles'!$FO$23:$FU$23,1,AV265)))),0)</f>
        <v>0</v>
      </c>
      <c r="AW275" s="24">
        <f>IF(AW267=1,'Lease Cycles'!$D$23*IF(INDEX('Lease Cycles'!$EF$23:$EL$23,1,AW265)=1,'Lease Cycles'!$AJ$23*INDEX('Lease Cycles'!$FO$23:$FU$23,1,AW265)*INDEX('Lease Cycles'!$EM$23:$ES$23,1,AW265)+'Lease Cycles'!$BE$23*IF(AW266&lt;INDEX('Lease Cycles'!$FA$23:$FG$23,1,AW265),0,1-INDEX('Lease Cycles'!$EM$23:$ES$23,1,AW265)),IF(OR(INDEX('Lease Cycles'!$DY$23:$EE$23,1,AW265)=1,AW266&gt;0),1,1-INDEX('Lease Cycles'!$DD$23:$DJ$23,1,AW265))*('Lease Cycles'!$AJ$23*INDEX('Lease Cycles'!$FO$23:$FU$23,1,AW265)+'Lease Cycles'!$BE$23*(1-INDEX('Lease Cycles'!$FO$23:$FU$23,1,AW265)))),0)</f>
        <v>0</v>
      </c>
      <c r="AX275" s="24">
        <f>IF(AX267=1,'Lease Cycles'!$D$23*IF(INDEX('Lease Cycles'!$EF$23:$EL$23,1,AX265)=1,'Lease Cycles'!$AJ$23*INDEX('Lease Cycles'!$FO$23:$FU$23,1,AX265)*INDEX('Lease Cycles'!$EM$23:$ES$23,1,AX265)+'Lease Cycles'!$BE$23*IF(AX266&lt;INDEX('Lease Cycles'!$FA$23:$FG$23,1,AX265),0,1-INDEX('Lease Cycles'!$EM$23:$ES$23,1,AX265)),IF(OR(INDEX('Lease Cycles'!$DY$23:$EE$23,1,AX265)=1,AX266&gt;0),1,1-INDEX('Lease Cycles'!$DD$23:$DJ$23,1,AX265))*('Lease Cycles'!$AJ$23*INDEX('Lease Cycles'!$FO$23:$FU$23,1,AX265)+'Lease Cycles'!$BE$23*(1-INDEX('Lease Cycles'!$FO$23:$FU$23,1,AX265)))),0)</f>
        <v>0</v>
      </c>
      <c r="AY275" s="24">
        <f>IF(AY267=1,'Lease Cycles'!$D$23*IF(INDEX('Lease Cycles'!$EF$23:$EL$23,1,AY265)=1,'Lease Cycles'!$AJ$23*INDEX('Lease Cycles'!$FO$23:$FU$23,1,AY265)*INDEX('Lease Cycles'!$EM$23:$ES$23,1,AY265)+'Lease Cycles'!$BE$23*IF(AY266&lt;INDEX('Lease Cycles'!$FA$23:$FG$23,1,AY265),0,1-INDEX('Lease Cycles'!$EM$23:$ES$23,1,AY265)),IF(OR(INDEX('Lease Cycles'!$DY$23:$EE$23,1,AY265)=1,AY266&gt;0),1,1-INDEX('Lease Cycles'!$DD$23:$DJ$23,1,AY265))*('Lease Cycles'!$AJ$23*INDEX('Lease Cycles'!$FO$23:$FU$23,1,AY265)+'Lease Cycles'!$BE$23*(1-INDEX('Lease Cycles'!$FO$23:$FU$23,1,AY265)))),0)</f>
        <v>0</v>
      </c>
      <c r="AZ275" s="24">
        <f>IF(AZ267=1,'Lease Cycles'!$D$23*IF(INDEX('Lease Cycles'!$EF$23:$EL$23,1,AZ265)=1,'Lease Cycles'!$AJ$23*INDEX('Lease Cycles'!$FO$23:$FU$23,1,AZ265)*INDEX('Lease Cycles'!$EM$23:$ES$23,1,AZ265)+'Lease Cycles'!$BE$23*IF(AZ266&lt;INDEX('Lease Cycles'!$FA$23:$FG$23,1,AZ265),0,1-INDEX('Lease Cycles'!$EM$23:$ES$23,1,AZ265)),IF(OR(INDEX('Lease Cycles'!$DY$23:$EE$23,1,AZ265)=1,AZ266&gt;0),1,1-INDEX('Lease Cycles'!$DD$23:$DJ$23,1,AZ265))*('Lease Cycles'!$AJ$23*INDEX('Lease Cycles'!$FO$23:$FU$23,1,AZ265)+'Lease Cycles'!$BE$23*(1-INDEX('Lease Cycles'!$FO$23:$FU$23,1,AZ265)))),0)</f>
        <v>0</v>
      </c>
      <c r="BA275" s="24">
        <f>IF(BA267=1,'Lease Cycles'!$D$23*IF(INDEX('Lease Cycles'!$EF$23:$EL$23,1,BA265)=1,'Lease Cycles'!$AJ$23*INDEX('Lease Cycles'!$FO$23:$FU$23,1,BA265)*INDEX('Lease Cycles'!$EM$23:$ES$23,1,BA265)+'Lease Cycles'!$BE$23*IF(BA266&lt;INDEX('Lease Cycles'!$FA$23:$FG$23,1,BA265),0,1-INDEX('Lease Cycles'!$EM$23:$ES$23,1,BA265)),IF(OR(INDEX('Lease Cycles'!$DY$23:$EE$23,1,BA265)=1,BA266&gt;0),1,1-INDEX('Lease Cycles'!$DD$23:$DJ$23,1,BA265))*('Lease Cycles'!$AJ$23*INDEX('Lease Cycles'!$FO$23:$FU$23,1,BA265)+'Lease Cycles'!$BE$23*(1-INDEX('Lease Cycles'!$FO$23:$FU$23,1,BA265)))),0)</f>
        <v>0</v>
      </c>
      <c r="BB275" s="24">
        <f>IF(BB267=1,'Lease Cycles'!$D$23*IF(INDEX('Lease Cycles'!$EF$23:$EL$23,1,BB265)=1,'Lease Cycles'!$AJ$23*INDEX('Lease Cycles'!$FO$23:$FU$23,1,BB265)*INDEX('Lease Cycles'!$EM$23:$ES$23,1,BB265)+'Lease Cycles'!$BE$23*IF(BB266&lt;INDEX('Lease Cycles'!$FA$23:$FG$23,1,BB265),0,1-INDEX('Lease Cycles'!$EM$23:$ES$23,1,BB265)),IF(OR(INDEX('Lease Cycles'!$DY$23:$EE$23,1,BB265)=1,BB266&gt;0),1,1-INDEX('Lease Cycles'!$DD$23:$DJ$23,1,BB265))*('Lease Cycles'!$AJ$23*INDEX('Lease Cycles'!$FO$23:$FU$23,1,BB265)+'Lease Cycles'!$BE$23*(1-INDEX('Lease Cycles'!$FO$23:$FU$23,1,BB265)))),0)</f>
        <v>0</v>
      </c>
      <c r="BC275" s="24">
        <f>IF(BC267=1,'Lease Cycles'!$D$23*IF(INDEX('Lease Cycles'!$EF$23:$EL$23,1,BC265)=1,'Lease Cycles'!$AJ$23*INDEX('Lease Cycles'!$FO$23:$FU$23,1,BC265)*INDEX('Lease Cycles'!$EM$23:$ES$23,1,BC265)+'Lease Cycles'!$BE$23*IF(BC266&lt;INDEX('Lease Cycles'!$FA$23:$FG$23,1,BC265),0,1-INDEX('Lease Cycles'!$EM$23:$ES$23,1,BC265)),IF(OR(INDEX('Lease Cycles'!$DY$23:$EE$23,1,BC265)=1,BC266&gt;0),1,1-INDEX('Lease Cycles'!$DD$23:$DJ$23,1,BC265))*('Lease Cycles'!$AJ$23*INDEX('Lease Cycles'!$FO$23:$FU$23,1,BC265)+'Lease Cycles'!$BE$23*(1-INDEX('Lease Cycles'!$FO$23:$FU$23,1,BC265)))),0)</f>
        <v>0</v>
      </c>
      <c r="BD275" s="24">
        <f>IF(BD267=1,'Lease Cycles'!$D$23*IF(INDEX('Lease Cycles'!$EF$23:$EL$23,1,BD265)=1,'Lease Cycles'!$AJ$23*INDEX('Lease Cycles'!$FO$23:$FU$23,1,BD265)*INDEX('Lease Cycles'!$EM$23:$ES$23,1,BD265)+'Lease Cycles'!$BE$23*IF(BD266&lt;INDEX('Lease Cycles'!$FA$23:$FG$23,1,BD265),0,1-INDEX('Lease Cycles'!$EM$23:$ES$23,1,BD265)),IF(OR(INDEX('Lease Cycles'!$DY$23:$EE$23,1,BD265)=1,BD266&gt;0),1,1-INDEX('Lease Cycles'!$DD$23:$DJ$23,1,BD265))*('Lease Cycles'!$AJ$23*INDEX('Lease Cycles'!$FO$23:$FU$23,1,BD265)+'Lease Cycles'!$BE$23*(1-INDEX('Lease Cycles'!$FO$23:$FU$23,1,BD265)))),0)</f>
        <v>0</v>
      </c>
      <c r="BE275" s="24">
        <f>IF(BE267=1,'Lease Cycles'!$D$23*IF(INDEX('Lease Cycles'!$EF$23:$EL$23,1,BE265)=1,'Lease Cycles'!$AJ$23*INDEX('Lease Cycles'!$FO$23:$FU$23,1,BE265)*INDEX('Lease Cycles'!$EM$23:$ES$23,1,BE265)+'Lease Cycles'!$BE$23*IF(BE266&lt;INDEX('Lease Cycles'!$FA$23:$FG$23,1,BE265),0,1-INDEX('Lease Cycles'!$EM$23:$ES$23,1,BE265)),IF(OR(INDEX('Lease Cycles'!$DY$23:$EE$23,1,BE265)=1,BE266&gt;0),1,1-INDEX('Lease Cycles'!$DD$23:$DJ$23,1,BE265))*('Lease Cycles'!$AJ$23*INDEX('Lease Cycles'!$FO$23:$FU$23,1,BE265)+'Lease Cycles'!$BE$23*(1-INDEX('Lease Cycles'!$FO$23:$FU$23,1,BE265)))),0)</f>
        <v>0</v>
      </c>
      <c r="BF275" s="24">
        <f>IF(BF267=1,'Lease Cycles'!$D$23*IF(INDEX('Lease Cycles'!$EF$23:$EL$23,1,BF265)=1,'Lease Cycles'!$AJ$23*INDEX('Lease Cycles'!$FO$23:$FU$23,1,BF265)*INDEX('Lease Cycles'!$EM$23:$ES$23,1,BF265)+'Lease Cycles'!$BE$23*IF(BF266&lt;INDEX('Lease Cycles'!$FA$23:$FG$23,1,BF265),0,1-INDEX('Lease Cycles'!$EM$23:$ES$23,1,BF265)),IF(OR(INDEX('Lease Cycles'!$DY$23:$EE$23,1,BF265)=1,BF266&gt;0),1,1-INDEX('Lease Cycles'!$DD$23:$DJ$23,1,BF265))*('Lease Cycles'!$AJ$23*INDEX('Lease Cycles'!$FO$23:$FU$23,1,BF265)+'Lease Cycles'!$BE$23*(1-INDEX('Lease Cycles'!$FO$23:$FU$23,1,BF265)))),0)</f>
        <v>0</v>
      </c>
      <c r="BG275" s="24">
        <f>IF(BG267=1,'Lease Cycles'!$D$23*IF(INDEX('Lease Cycles'!$EF$23:$EL$23,1,BG265)=1,'Lease Cycles'!$AJ$23*INDEX('Lease Cycles'!$FO$23:$FU$23,1,BG265)*INDEX('Lease Cycles'!$EM$23:$ES$23,1,BG265)+'Lease Cycles'!$BE$23*IF(BG266&lt;INDEX('Lease Cycles'!$FA$23:$FG$23,1,BG265),0,1-INDEX('Lease Cycles'!$EM$23:$ES$23,1,BG265)),IF(OR(INDEX('Lease Cycles'!$DY$23:$EE$23,1,BG265)=1,BG266&gt;0),1,1-INDEX('Lease Cycles'!$DD$23:$DJ$23,1,BG265))*('Lease Cycles'!$AJ$23*INDEX('Lease Cycles'!$FO$23:$FU$23,1,BG265)+'Lease Cycles'!$BE$23*(1-INDEX('Lease Cycles'!$FO$23:$FU$23,1,BG265)))),0)</f>
        <v>0</v>
      </c>
      <c r="BH275" s="24">
        <f>IF(BH267=1,'Lease Cycles'!$D$23*IF(INDEX('Lease Cycles'!$EF$23:$EL$23,1,BH265)=1,'Lease Cycles'!$AJ$23*INDEX('Lease Cycles'!$FO$23:$FU$23,1,BH265)*INDEX('Lease Cycles'!$EM$23:$ES$23,1,BH265)+'Lease Cycles'!$BE$23*IF(BH266&lt;INDEX('Lease Cycles'!$FA$23:$FG$23,1,BH265),0,1-INDEX('Lease Cycles'!$EM$23:$ES$23,1,BH265)),IF(OR(INDEX('Lease Cycles'!$DY$23:$EE$23,1,BH265)=1,BH266&gt;0),1,1-INDEX('Lease Cycles'!$DD$23:$DJ$23,1,BH265))*('Lease Cycles'!$AJ$23*INDEX('Lease Cycles'!$FO$23:$FU$23,1,BH265)+'Lease Cycles'!$BE$23*(1-INDEX('Lease Cycles'!$FO$23:$FU$23,1,BH265)))),0)</f>
        <v>0</v>
      </c>
      <c r="BI275" s="24">
        <f>IF(BI267=1,'Lease Cycles'!$D$23*IF(INDEX('Lease Cycles'!$EF$23:$EL$23,1,BI265)=1,'Lease Cycles'!$AJ$23*INDEX('Lease Cycles'!$FO$23:$FU$23,1,BI265)*INDEX('Lease Cycles'!$EM$23:$ES$23,1,BI265)+'Lease Cycles'!$BE$23*IF(BI266&lt;INDEX('Lease Cycles'!$FA$23:$FG$23,1,BI265),0,1-INDEX('Lease Cycles'!$EM$23:$ES$23,1,BI265)),IF(OR(INDEX('Lease Cycles'!$DY$23:$EE$23,1,BI265)=1,BI266&gt;0),1,1-INDEX('Lease Cycles'!$DD$23:$DJ$23,1,BI265))*('Lease Cycles'!$AJ$23*INDEX('Lease Cycles'!$FO$23:$FU$23,1,BI265)+'Lease Cycles'!$BE$23*(1-INDEX('Lease Cycles'!$FO$23:$FU$23,1,BI265)))),0)</f>
        <v>0</v>
      </c>
      <c r="BJ275" s="24">
        <f>IF(BJ267=1,'Lease Cycles'!$D$23*IF(INDEX('Lease Cycles'!$EF$23:$EL$23,1,BJ265)=1,'Lease Cycles'!$AJ$23*INDEX('Lease Cycles'!$FO$23:$FU$23,1,BJ265)*INDEX('Lease Cycles'!$EM$23:$ES$23,1,BJ265)+'Lease Cycles'!$BE$23*IF(BJ266&lt;INDEX('Lease Cycles'!$FA$23:$FG$23,1,BJ265),0,1-INDEX('Lease Cycles'!$EM$23:$ES$23,1,BJ265)),IF(OR(INDEX('Lease Cycles'!$DY$23:$EE$23,1,BJ265)=1,BJ266&gt;0),1,1-INDEX('Lease Cycles'!$DD$23:$DJ$23,1,BJ265))*('Lease Cycles'!$AJ$23*INDEX('Lease Cycles'!$FO$23:$FU$23,1,BJ265)+'Lease Cycles'!$BE$23*(1-INDEX('Lease Cycles'!$FO$23:$FU$23,1,BJ265)))),0)</f>
        <v>0</v>
      </c>
      <c r="BK275" s="24">
        <f>IF(BK267=1,'Lease Cycles'!$D$23*IF(INDEX('Lease Cycles'!$EF$23:$EL$23,1,BK265)=1,'Lease Cycles'!$AJ$23*INDEX('Lease Cycles'!$FO$23:$FU$23,1,BK265)*INDEX('Lease Cycles'!$EM$23:$ES$23,1,BK265)+'Lease Cycles'!$BE$23*IF(BK266&lt;INDEX('Lease Cycles'!$FA$23:$FG$23,1,BK265),0,1-INDEX('Lease Cycles'!$EM$23:$ES$23,1,BK265)),IF(OR(INDEX('Lease Cycles'!$DY$23:$EE$23,1,BK265)=1,BK266&gt;0),1,1-INDEX('Lease Cycles'!$DD$23:$DJ$23,1,BK265))*('Lease Cycles'!$AJ$23*INDEX('Lease Cycles'!$FO$23:$FU$23,1,BK265)+'Lease Cycles'!$BE$23*(1-INDEX('Lease Cycles'!$FO$23:$FU$23,1,BK265)))),0)</f>
        <v>0</v>
      </c>
      <c r="BL275" s="24">
        <f>IF(BL267=1,'Lease Cycles'!$D$23*IF(INDEX('Lease Cycles'!$EF$23:$EL$23,1,BL265)=1,'Lease Cycles'!$AJ$23*INDEX('Lease Cycles'!$FO$23:$FU$23,1,BL265)*INDEX('Lease Cycles'!$EM$23:$ES$23,1,BL265)+'Lease Cycles'!$BE$23*IF(BL266&lt;INDEX('Lease Cycles'!$FA$23:$FG$23,1,BL265),0,1-INDEX('Lease Cycles'!$EM$23:$ES$23,1,BL265)),IF(OR(INDEX('Lease Cycles'!$DY$23:$EE$23,1,BL265)=1,BL266&gt;0),1,1-INDEX('Lease Cycles'!$DD$23:$DJ$23,1,BL265))*('Lease Cycles'!$AJ$23*INDEX('Lease Cycles'!$FO$23:$FU$23,1,BL265)+'Lease Cycles'!$BE$23*(1-INDEX('Lease Cycles'!$FO$23:$FU$23,1,BL265)))),0)</f>
        <v>0</v>
      </c>
      <c r="BM275" s="24">
        <f>IF(BM267=1,'Lease Cycles'!$D$23*IF(INDEX('Lease Cycles'!$EF$23:$EL$23,1,BM265)=1,'Lease Cycles'!$AJ$23*INDEX('Lease Cycles'!$FO$23:$FU$23,1,BM265)*INDEX('Lease Cycles'!$EM$23:$ES$23,1,BM265)+'Lease Cycles'!$BE$23*IF(BM266&lt;INDEX('Lease Cycles'!$FA$23:$FG$23,1,BM265),0,1-INDEX('Lease Cycles'!$EM$23:$ES$23,1,BM265)),IF(OR(INDEX('Lease Cycles'!$DY$23:$EE$23,1,BM265)=1,BM266&gt;0),1,1-INDEX('Lease Cycles'!$DD$23:$DJ$23,1,BM265))*('Lease Cycles'!$AJ$23*INDEX('Lease Cycles'!$FO$23:$FU$23,1,BM265)+'Lease Cycles'!$BE$23*(1-INDEX('Lease Cycles'!$FO$23:$FU$23,1,BM265)))),0)</f>
        <v>0</v>
      </c>
      <c r="BN275" s="24">
        <f>IF(BN267=1,'Lease Cycles'!$D$23*IF(INDEX('Lease Cycles'!$EF$23:$EL$23,1,BN265)=1,'Lease Cycles'!$AJ$23*INDEX('Lease Cycles'!$FO$23:$FU$23,1,BN265)*INDEX('Lease Cycles'!$EM$23:$ES$23,1,BN265)+'Lease Cycles'!$BE$23*IF(BN266&lt;INDEX('Lease Cycles'!$FA$23:$FG$23,1,BN265),0,1-INDEX('Lease Cycles'!$EM$23:$ES$23,1,BN265)),IF(OR(INDEX('Lease Cycles'!$DY$23:$EE$23,1,BN265)=1,BN266&gt;0),1,1-INDEX('Lease Cycles'!$DD$23:$DJ$23,1,BN265))*('Lease Cycles'!$AJ$23*INDEX('Lease Cycles'!$FO$23:$FU$23,1,BN265)+'Lease Cycles'!$BE$23*(1-INDEX('Lease Cycles'!$FO$23:$FU$23,1,BN265)))),0)</f>
        <v>0</v>
      </c>
      <c r="BO275" s="24">
        <f>IF(BO267=1,'Lease Cycles'!$D$23*IF(INDEX('Lease Cycles'!$EF$23:$EL$23,1,BO265)=1,'Lease Cycles'!$AJ$23*INDEX('Lease Cycles'!$FO$23:$FU$23,1,BO265)*INDEX('Lease Cycles'!$EM$23:$ES$23,1,BO265)+'Lease Cycles'!$BE$23*IF(BO266&lt;INDEX('Lease Cycles'!$FA$23:$FG$23,1,BO265),0,1-INDEX('Lease Cycles'!$EM$23:$ES$23,1,BO265)),IF(OR(INDEX('Lease Cycles'!$DY$23:$EE$23,1,BO265)=1,BO266&gt;0),1,1-INDEX('Lease Cycles'!$DD$23:$DJ$23,1,BO265))*('Lease Cycles'!$AJ$23*INDEX('Lease Cycles'!$FO$23:$FU$23,1,BO265)+'Lease Cycles'!$BE$23*(1-INDEX('Lease Cycles'!$FO$23:$FU$23,1,BO265)))),0)</f>
        <v>0</v>
      </c>
      <c r="BP275" s="24">
        <f>IF(BP267=1,'Lease Cycles'!$D$23*IF(INDEX('Lease Cycles'!$EF$23:$EL$23,1,BP265)=1,'Lease Cycles'!$AJ$23*INDEX('Lease Cycles'!$FO$23:$FU$23,1,BP265)*INDEX('Lease Cycles'!$EM$23:$ES$23,1,BP265)+'Lease Cycles'!$BE$23*IF(BP266&lt;INDEX('Lease Cycles'!$FA$23:$FG$23,1,BP265),0,1-INDEX('Lease Cycles'!$EM$23:$ES$23,1,BP265)),IF(OR(INDEX('Lease Cycles'!$DY$23:$EE$23,1,BP265)=1,BP266&gt;0),1,1-INDEX('Lease Cycles'!$DD$23:$DJ$23,1,BP265))*('Lease Cycles'!$AJ$23*INDEX('Lease Cycles'!$FO$23:$FU$23,1,BP265)+'Lease Cycles'!$BE$23*(1-INDEX('Lease Cycles'!$FO$23:$FU$23,1,BP265)))),0)</f>
        <v>0</v>
      </c>
      <c r="BQ275" s="24">
        <f>IF(BQ267=1,'Lease Cycles'!$D$23*IF(INDEX('Lease Cycles'!$EF$23:$EL$23,1,BQ265)=1,'Lease Cycles'!$AJ$23*INDEX('Lease Cycles'!$FO$23:$FU$23,1,BQ265)*INDEX('Lease Cycles'!$EM$23:$ES$23,1,BQ265)+'Lease Cycles'!$BE$23*IF(BQ266&lt;INDEX('Lease Cycles'!$FA$23:$FG$23,1,BQ265),0,1-INDEX('Lease Cycles'!$EM$23:$ES$23,1,BQ265)),IF(OR(INDEX('Lease Cycles'!$DY$23:$EE$23,1,BQ265)=1,BQ266&gt;0),1,1-INDEX('Lease Cycles'!$DD$23:$DJ$23,1,BQ265))*('Lease Cycles'!$AJ$23*INDEX('Lease Cycles'!$FO$23:$FU$23,1,BQ265)+'Lease Cycles'!$BE$23*(1-INDEX('Lease Cycles'!$FO$23:$FU$23,1,BQ265)))),0)</f>
        <v>0</v>
      </c>
      <c r="BR275" s="24">
        <f>IF(BR267=1,'Lease Cycles'!$D$23*IF(INDEX('Lease Cycles'!$EF$23:$EL$23,1,BR265)=1,'Lease Cycles'!$AJ$23*INDEX('Lease Cycles'!$FO$23:$FU$23,1,BR265)*INDEX('Lease Cycles'!$EM$23:$ES$23,1,BR265)+'Lease Cycles'!$BE$23*IF(BR266&lt;INDEX('Lease Cycles'!$FA$23:$FG$23,1,BR265),0,1-INDEX('Lease Cycles'!$EM$23:$ES$23,1,BR265)),IF(OR(INDEX('Lease Cycles'!$DY$23:$EE$23,1,BR265)=1,BR266&gt;0),1,1-INDEX('Lease Cycles'!$DD$23:$DJ$23,1,BR265))*('Lease Cycles'!$AJ$23*INDEX('Lease Cycles'!$FO$23:$FU$23,1,BR265)+'Lease Cycles'!$BE$23*(1-INDEX('Lease Cycles'!$FO$23:$FU$23,1,BR265)))),0)</f>
        <v>0</v>
      </c>
      <c r="BS275" s="24">
        <f>IF(BS267=1,'Lease Cycles'!$D$23*IF(INDEX('Lease Cycles'!$EF$23:$EL$23,1,BS265)=1,'Lease Cycles'!$AJ$23*INDEX('Lease Cycles'!$FO$23:$FU$23,1,BS265)*INDEX('Lease Cycles'!$EM$23:$ES$23,1,BS265)+'Lease Cycles'!$BE$23*IF(BS266&lt;INDEX('Lease Cycles'!$FA$23:$FG$23,1,BS265),0,1-INDEX('Lease Cycles'!$EM$23:$ES$23,1,BS265)),IF(OR(INDEX('Lease Cycles'!$DY$23:$EE$23,1,BS265)=1,BS266&gt;0),1,1-INDEX('Lease Cycles'!$DD$23:$DJ$23,1,BS265))*('Lease Cycles'!$AJ$23*INDEX('Lease Cycles'!$FO$23:$FU$23,1,BS265)+'Lease Cycles'!$BE$23*(1-INDEX('Lease Cycles'!$FO$23:$FU$23,1,BS265)))),0)</f>
        <v>0</v>
      </c>
      <c r="BT275" s="24">
        <f>IF(BT267=1,'Lease Cycles'!$D$23*IF(INDEX('Lease Cycles'!$EF$23:$EL$23,1,BT265)=1,'Lease Cycles'!$AJ$23*INDEX('Lease Cycles'!$FO$23:$FU$23,1,BT265)*INDEX('Lease Cycles'!$EM$23:$ES$23,1,BT265)+'Lease Cycles'!$BE$23*IF(BT266&lt;INDEX('Lease Cycles'!$FA$23:$FG$23,1,BT265),0,1-INDEX('Lease Cycles'!$EM$23:$ES$23,1,BT265)),IF(OR(INDEX('Lease Cycles'!$DY$23:$EE$23,1,BT265)=1,BT266&gt;0),1,1-INDEX('Lease Cycles'!$DD$23:$DJ$23,1,BT265))*('Lease Cycles'!$AJ$23*INDEX('Lease Cycles'!$FO$23:$FU$23,1,BT265)+'Lease Cycles'!$BE$23*(1-INDEX('Lease Cycles'!$FO$23:$FU$23,1,BT265)))),0)</f>
        <v>0</v>
      </c>
      <c r="BU275" s="24">
        <f>IF(BU267=1,'Lease Cycles'!$D$23*IF(INDEX('Lease Cycles'!$EF$23:$EL$23,1,BU265)=1,'Lease Cycles'!$AJ$23*INDEX('Lease Cycles'!$FO$23:$FU$23,1,BU265)*INDEX('Lease Cycles'!$EM$23:$ES$23,1,BU265)+'Lease Cycles'!$BE$23*IF(BU266&lt;INDEX('Lease Cycles'!$FA$23:$FG$23,1,BU265),0,1-INDEX('Lease Cycles'!$EM$23:$ES$23,1,BU265)),IF(OR(INDEX('Lease Cycles'!$DY$23:$EE$23,1,BU265)=1,BU266&gt;0),1,1-INDEX('Lease Cycles'!$DD$23:$DJ$23,1,BU265))*('Lease Cycles'!$AJ$23*INDEX('Lease Cycles'!$FO$23:$FU$23,1,BU265)+'Lease Cycles'!$BE$23*(1-INDEX('Lease Cycles'!$FO$23:$FU$23,1,BU265)))),0)</f>
        <v>0</v>
      </c>
      <c r="BV275" s="24">
        <f>IF(BV267=1,'Lease Cycles'!$D$23*IF(INDEX('Lease Cycles'!$EF$23:$EL$23,1,BV265)=1,'Lease Cycles'!$AJ$23*INDEX('Lease Cycles'!$FO$23:$FU$23,1,BV265)*INDEX('Lease Cycles'!$EM$23:$ES$23,1,BV265)+'Lease Cycles'!$BE$23*IF(BV266&lt;INDEX('Lease Cycles'!$FA$23:$FG$23,1,BV265),0,1-INDEX('Lease Cycles'!$EM$23:$ES$23,1,BV265)),IF(OR(INDEX('Lease Cycles'!$DY$23:$EE$23,1,BV265)=1,BV266&gt;0),1,1-INDEX('Lease Cycles'!$DD$23:$DJ$23,1,BV265))*('Lease Cycles'!$AJ$23*INDEX('Lease Cycles'!$FO$23:$FU$23,1,BV265)+'Lease Cycles'!$BE$23*(1-INDEX('Lease Cycles'!$FO$23:$FU$23,1,BV265)))),0)</f>
        <v>0</v>
      </c>
      <c r="BW275" s="24">
        <f>IF(BW267=1,'Lease Cycles'!$D$23*IF(INDEX('Lease Cycles'!$EF$23:$EL$23,1,BW265)=1,'Lease Cycles'!$AJ$23*INDEX('Lease Cycles'!$FO$23:$FU$23,1,BW265)*INDEX('Lease Cycles'!$EM$23:$ES$23,1,BW265)+'Lease Cycles'!$BE$23*IF(BW266&lt;INDEX('Lease Cycles'!$FA$23:$FG$23,1,BW265),0,1-INDEX('Lease Cycles'!$EM$23:$ES$23,1,BW265)),IF(OR(INDEX('Lease Cycles'!$DY$23:$EE$23,1,BW265)=1,BW266&gt;0),1,1-INDEX('Lease Cycles'!$DD$23:$DJ$23,1,BW265))*('Lease Cycles'!$AJ$23*INDEX('Lease Cycles'!$FO$23:$FU$23,1,BW265)+'Lease Cycles'!$BE$23*(1-INDEX('Lease Cycles'!$FO$23:$FU$23,1,BW265)))),0)</f>
        <v>0</v>
      </c>
      <c r="BX275" s="24">
        <f>IF(BX267=1,'Lease Cycles'!$D$23*IF(INDEX('Lease Cycles'!$EF$23:$EL$23,1,BX265)=1,'Lease Cycles'!$AJ$23*INDEX('Lease Cycles'!$FO$23:$FU$23,1,BX265)*INDEX('Lease Cycles'!$EM$23:$ES$23,1,BX265)+'Lease Cycles'!$BE$23*IF(BX266&lt;INDEX('Lease Cycles'!$FA$23:$FG$23,1,BX265),0,1-INDEX('Lease Cycles'!$EM$23:$ES$23,1,BX265)),IF(OR(INDEX('Lease Cycles'!$DY$23:$EE$23,1,BX265)=1,BX266&gt;0),1,1-INDEX('Lease Cycles'!$DD$23:$DJ$23,1,BX265))*('Lease Cycles'!$AJ$23*INDEX('Lease Cycles'!$FO$23:$FU$23,1,BX265)+'Lease Cycles'!$BE$23*(1-INDEX('Lease Cycles'!$FO$23:$FU$23,1,BX265)))),0)</f>
        <v>0</v>
      </c>
      <c r="BY275" s="24">
        <f>IF(BY267=1,'Lease Cycles'!$D$23*IF(INDEX('Lease Cycles'!$EF$23:$EL$23,1,BY265)=1,'Lease Cycles'!$AJ$23*INDEX('Lease Cycles'!$FO$23:$FU$23,1,BY265)*INDEX('Lease Cycles'!$EM$23:$ES$23,1,BY265)+'Lease Cycles'!$BE$23*IF(BY266&lt;INDEX('Lease Cycles'!$FA$23:$FG$23,1,BY265),0,1-INDEX('Lease Cycles'!$EM$23:$ES$23,1,BY265)),IF(OR(INDEX('Lease Cycles'!$DY$23:$EE$23,1,BY265)=1,BY266&gt;0),1,1-INDEX('Lease Cycles'!$DD$23:$DJ$23,1,BY265))*('Lease Cycles'!$AJ$23*INDEX('Lease Cycles'!$FO$23:$FU$23,1,BY265)+'Lease Cycles'!$BE$23*(1-INDEX('Lease Cycles'!$FO$23:$FU$23,1,BY265)))),0)</f>
        <v>0</v>
      </c>
      <c r="BZ275" s="24">
        <f>IF(BZ267=1,'Lease Cycles'!$D$23*IF(INDEX('Lease Cycles'!$EF$23:$EL$23,1,BZ265)=1,'Lease Cycles'!$AJ$23*INDEX('Lease Cycles'!$FO$23:$FU$23,1,BZ265)*INDEX('Lease Cycles'!$EM$23:$ES$23,1,BZ265)+'Lease Cycles'!$BE$23*IF(BZ266&lt;INDEX('Lease Cycles'!$FA$23:$FG$23,1,BZ265),0,1-INDEX('Lease Cycles'!$EM$23:$ES$23,1,BZ265)),IF(OR(INDEX('Lease Cycles'!$DY$23:$EE$23,1,BZ265)=1,BZ266&gt;0),1,1-INDEX('Lease Cycles'!$DD$23:$DJ$23,1,BZ265))*('Lease Cycles'!$AJ$23*INDEX('Lease Cycles'!$FO$23:$FU$23,1,BZ265)+'Lease Cycles'!$BE$23*(1-INDEX('Lease Cycles'!$FO$23:$FU$23,1,BZ265)))),0)</f>
        <v>0</v>
      </c>
      <c r="CA275" s="24">
        <f>IF(CA267=1,'Lease Cycles'!$D$23*IF(INDEX('Lease Cycles'!$EF$23:$EL$23,1,CA265)=1,'Lease Cycles'!$AJ$23*INDEX('Lease Cycles'!$FO$23:$FU$23,1,CA265)*INDEX('Lease Cycles'!$EM$23:$ES$23,1,CA265)+'Lease Cycles'!$BE$23*IF(CA266&lt;INDEX('Lease Cycles'!$FA$23:$FG$23,1,CA265),0,1-INDEX('Lease Cycles'!$EM$23:$ES$23,1,CA265)),IF(OR(INDEX('Lease Cycles'!$DY$23:$EE$23,1,CA265)=1,CA266&gt;0),1,1-INDEX('Lease Cycles'!$DD$23:$DJ$23,1,CA265))*('Lease Cycles'!$AJ$23*INDEX('Lease Cycles'!$FO$23:$FU$23,1,CA265)+'Lease Cycles'!$BE$23*(1-INDEX('Lease Cycles'!$FO$23:$FU$23,1,CA265)))),0)</f>
        <v>0</v>
      </c>
      <c r="CB275" s="24">
        <f>IF(CB267=1,'Lease Cycles'!$D$23*IF(INDEX('Lease Cycles'!$EF$23:$EL$23,1,CB265)=1,'Lease Cycles'!$AJ$23*INDEX('Lease Cycles'!$FO$23:$FU$23,1,CB265)*INDEX('Lease Cycles'!$EM$23:$ES$23,1,CB265)+'Lease Cycles'!$BE$23*IF(CB266&lt;INDEX('Lease Cycles'!$FA$23:$FG$23,1,CB265),0,1-INDEX('Lease Cycles'!$EM$23:$ES$23,1,CB265)),IF(OR(INDEX('Lease Cycles'!$DY$23:$EE$23,1,CB265)=1,CB266&gt;0),1,1-INDEX('Lease Cycles'!$DD$23:$DJ$23,1,CB265))*('Lease Cycles'!$AJ$23*INDEX('Lease Cycles'!$FO$23:$FU$23,1,CB265)+'Lease Cycles'!$BE$23*(1-INDEX('Lease Cycles'!$FO$23:$FU$23,1,CB265)))),0)</f>
        <v>0</v>
      </c>
      <c r="CC275" s="24">
        <f>IF(CC267=1,'Lease Cycles'!$D$23*IF(INDEX('Lease Cycles'!$EF$23:$EL$23,1,CC265)=1,'Lease Cycles'!$AJ$23*INDEX('Lease Cycles'!$FO$23:$FU$23,1,CC265)*INDEX('Lease Cycles'!$EM$23:$ES$23,1,CC265)+'Lease Cycles'!$BE$23*IF(CC266&lt;INDEX('Lease Cycles'!$FA$23:$FG$23,1,CC265),0,1-INDEX('Lease Cycles'!$EM$23:$ES$23,1,CC265)),IF(OR(INDEX('Lease Cycles'!$DY$23:$EE$23,1,CC265)=1,CC266&gt;0),1,1-INDEX('Lease Cycles'!$DD$23:$DJ$23,1,CC265))*('Lease Cycles'!$AJ$23*INDEX('Lease Cycles'!$FO$23:$FU$23,1,CC265)+'Lease Cycles'!$BE$23*(1-INDEX('Lease Cycles'!$FO$23:$FU$23,1,CC265)))),0)</f>
        <v>0</v>
      </c>
      <c r="CD275" s="24">
        <f>IF(CD267=1,'Lease Cycles'!$D$23*IF(INDEX('Lease Cycles'!$EF$23:$EL$23,1,CD265)=1,'Lease Cycles'!$AJ$23*INDEX('Lease Cycles'!$FO$23:$FU$23,1,CD265)*INDEX('Lease Cycles'!$EM$23:$ES$23,1,CD265)+'Lease Cycles'!$BE$23*IF(CD266&lt;INDEX('Lease Cycles'!$FA$23:$FG$23,1,CD265),0,1-INDEX('Lease Cycles'!$EM$23:$ES$23,1,CD265)),IF(OR(INDEX('Lease Cycles'!$DY$23:$EE$23,1,CD265)=1,CD266&gt;0),1,1-INDEX('Lease Cycles'!$DD$23:$DJ$23,1,CD265))*('Lease Cycles'!$AJ$23*INDEX('Lease Cycles'!$FO$23:$FU$23,1,CD265)+'Lease Cycles'!$BE$23*(1-INDEX('Lease Cycles'!$FO$23:$FU$23,1,CD265)))),0)</f>
        <v>0</v>
      </c>
      <c r="CE275" s="24">
        <f>IF(CE267=1,'Lease Cycles'!$D$23*IF(INDEX('Lease Cycles'!$EF$23:$EL$23,1,CE265)=1,'Lease Cycles'!$AJ$23*INDEX('Lease Cycles'!$FO$23:$FU$23,1,CE265)*INDEX('Lease Cycles'!$EM$23:$ES$23,1,CE265)+'Lease Cycles'!$BE$23*IF(CE266&lt;INDEX('Lease Cycles'!$FA$23:$FG$23,1,CE265),0,1-INDEX('Lease Cycles'!$EM$23:$ES$23,1,CE265)),IF(OR(INDEX('Lease Cycles'!$DY$23:$EE$23,1,CE265)=1,CE266&gt;0),1,1-INDEX('Lease Cycles'!$DD$23:$DJ$23,1,CE265))*('Lease Cycles'!$AJ$23*INDEX('Lease Cycles'!$FO$23:$FU$23,1,CE265)+'Lease Cycles'!$BE$23*(1-INDEX('Lease Cycles'!$FO$23:$FU$23,1,CE265)))),0)</f>
        <v>0</v>
      </c>
      <c r="CF275" s="24">
        <f>IF(CF267=1,'Lease Cycles'!$D$23*IF(INDEX('Lease Cycles'!$EF$23:$EL$23,1,CF265)=1,'Lease Cycles'!$AJ$23*INDEX('Lease Cycles'!$FO$23:$FU$23,1,CF265)*INDEX('Lease Cycles'!$EM$23:$ES$23,1,CF265)+'Lease Cycles'!$BE$23*IF(CF266&lt;INDEX('Lease Cycles'!$FA$23:$FG$23,1,CF265),0,1-INDEX('Lease Cycles'!$EM$23:$ES$23,1,CF265)),IF(OR(INDEX('Lease Cycles'!$DY$23:$EE$23,1,CF265)=1,CF266&gt;0),1,1-INDEX('Lease Cycles'!$DD$23:$DJ$23,1,CF265))*('Lease Cycles'!$AJ$23*INDEX('Lease Cycles'!$FO$23:$FU$23,1,CF265)+'Lease Cycles'!$BE$23*(1-INDEX('Lease Cycles'!$FO$23:$FU$23,1,CF265)))),0)</f>
        <v>0</v>
      </c>
      <c r="CG275" s="24">
        <f>IF(CG267=1,'Lease Cycles'!$D$23*IF(INDEX('Lease Cycles'!$EF$23:$EL$23,1,CG265)=1,'Lease Cycles'!$AJ$23*INDEX('Lease Cycles'!$FO$23:$FU$23,1,CG265)*INDEX('Lease Cycles'!$EM$23:$ES$23,1,CG265)+'Lease Cycles'!$BE$23*IF(CG266&lt;INDEX('Lease Cycles'!$FA$23:$FG$23,1,CG265),0,1-INDEX('Lease Cycles'!$EM$23:$ES$23,1,CG265)),IF(OR(INDEX('Lease Cycles'!$DY$23:$EE$23,1,CG265)=1,CG266&gt;0),1,1-INDEX('Lease Cycles'!$DD$23:$DJ$23,1,CG265))*('Lease Cycles'!$AJ$23*INDEX('Lease Cycles'!$FO$23:$FU$23,1,CG265)+'Lease Cycles'!$BE$23*(1-INDEX('Lease Cycles'!$FO$23:$FU$23,1,CG265)))),0)</f>
        <v>0</v>
      </c>
      <c r="CH275" s="24">
        <f>IF(CH267=1,'Lease Cycles'!$D$23*IF(INDEX('Lease Cycles'!$EF$23:$EL$23,1,CH265)=1,'Lease Cycles'!$AJ$23*INDEX('Lease Cycles'!$FO$23:$FU$23,1,CH265)*INDEX('Lease Cycles'!$EM$23:$ES$23,1,CH265)+'Lease Cycles'!$BE$23*IF(CH266&lt;INDEX('Lease Cycles'!$FA$23:$FG$23,1,CH265),0,1-INDEX('Lease Cycles'!$EM$23:$ES$23,1,CH265)),IF(OR(INDEX('Lease Cycles'!$DY$23:$EE$23,1,CH265)=1,CH266&gt;0),1,1-INDEX('Lease Cycles'!$DD$23:$DJ$23,1,CH265))*('Lease Cycles'!$AJ$23*INDEX('Lease Cycles'!$FO$23:$FU$23,1,CH265)+'Lease Cycles'!$BE$23*(1-INDEX('Lease Cycles'!$FO$23:$FU$23,1,CH265)))),0)</f>
        <v>0</v>
      </c>
      <c r="CI275" s="24">
        <f>IF(CI267=1,'Lease Cycles'!$D$23*IF(INDEX('Lease Cycles'!$EF$23:$EL$23,1,CI265)=1,'Lease Cycles'!$AJ$23*INDEX('Lease Cycles'!$FO$23:$FU$23,1,CI265)*INDEX('Lease Cycles'!$EM$23:$ES$23,1,CI265)+'Lease Cycles'!$BE$23*IF(CI266&lt;INDEX('Lease Cycles'!$FA$23:$FG$23,1,CI265),0,1-INDEX('Lease Cycles'!$EM$23:$ES$23,1,CI265)),IF(OR(INDEX('Lease Cycles'!$DY$23:$EE$23,1,CI265)=1,CI266&gt;0),1,1-INDEX('Lease Cycles'!$DD$23:$DJ$23,1,CI265))*('Lease Cycles'!$AJ$23*INDEX('Lease Cycles'!$FO$23:$FU$23,1,CI265)+'Lease Cycles'!$BE$23*(1-INDEX('Lease Cycles'!$FO$23:$FU$23,1,CI265)))),0)</f>
        <v>0</v>
      </c>
      <c r="CJ275" s="24">
        <f>IF(CJ267=1,'Lease Cycles'!$D$23*IF(INDEX('Lease Cycles'!$EF$23:$EL$23,1,CJ265)=1,'Lease Cycles'!$AJ$23*INDEX('Lease Cycles'!$FO$23:$FU$23,1,CJ265)*INDEX('Lease Cycles'!$EM$23:$ES$23,1,CJ265)+'Lease Cycles'!$BE$23*IF(CJ266&lt;INDEX('Lease Cycles'!$FA$23:$FG$23,1,CJ265),0,1-INDEX('Lease Cycles'!$EM$23:$ES$23,1,CJ265)),IF(OR(INDEX('Lease Cycles'!$DY$23:$EE$23,1,CJ265)=1,CJ266&gt;0),1,1-INDEX('Lease Cycles'!$DD$23:$DJ$23,1,CJ265))*('Lease Cycles'!$AJ$23*INDEX('Lease Cycles'!$FO$23:$FU$23,1,CJ265)+'Lease Cycles'!$BE$23*(1-INDEX('Lease Cycles'!$FO$23:$FU$23,1,CJ265)))),0)</f>
        <v>0</v>
      </c>
      <c r="CK275" s="24">
        <f>IF(CK267=1,'Lease Cycles'!$D$23*IF(INDEX('Lease Cycles'!$EF$23:$EL$23,1,CK265)=1,'Lease Cycles'!$AJ$23*INDEX('Lease Cycles'!$FO$23:$FU$23,1,CK265)*INDEX('Lease Cycles'!$EM$23:$ES$23,1,CK265)+'Lease Cycles'!$BE$23*IF(CK266&lt;INDEX('Lease Cycles'!$FA$23:$FG$23,1,CK265),0,1-INDEX('Lease Cycles'!$EM$23:$ES$23,1,CK265)),IF(OR(INDEX('Lease Cycles'!$DY$23:$EE$23,1,CK265)=1,CK266&gt;0),1,1-INDEX('Lease Cycles'!$DD$23:$DJ$23,1,CK265))*('Lease Cycles'!$AJ$23*INDEX('Lease Cycles'!$FO$23:$FU$23,1,CK265)+'Lease Cycles'!$BE$23*(1-INDEX('Lease Cycles'!$FO$23:$FU$23,1,CK265)))),0)</f>
        <v>0</v>
      </c>
      <c r="CL275" s="24">
        <f>IF(CL267=1,'Lease Cycles'!$D$23*IF(INDEX('Lease Cycles'!$EF$23:$EL$23,1,CL265)=1,'Lease Cycles'!$AJ$23*INDEX('Lease Cycles'!$FO$23:$FU$23,1,CL265)*INDEX('Lease Cycles'!$EM$23:$ES$23,1,CL265)+'Lease Cycles'!$BE$23*IF(CL266&lt;INDEX('Lease Cycles'!$FA$23:$FG$23,1,CL265),0,1-INDEX('Lease Cycles'!$EM$23:$ES$23,1,CL265)),IF(OR(INDEX('Lease Cycles'!$DY$23:$EE$23,1,CL265)=1,CL266&gt;0),1,1-INDEX('Lease Cycles'!$DD$23:$DJ$23,1,CL265))*('Lease Cycles'!$AJ$23*INDEX('Lease Cycles'!$FO$23:$FU$23,1,CL265)+'Lease Cycles'!$BE$23*(1-INDEX('Lease Cycles'!$FO$23:$FU$23,1,CL265)))),0)</f>
        <v>0</v>
      </c>
      <c r="CM275" s="24">
        <f>IF(CM267=1,'Lease Cycles'!$D$23*IF(INDEX('Lease Cycles'!$EF$23:$EL$23,1,CM265)=1,'Lease Cycles'!$AJ$23*INDEX('Lease Cycles'!$FO$23:$FU$23,1,CM265)*INDEX('Lease Cycles'!$EM$23:$ES$23,1,CM265)+'Lease Cycles'!$BE$23*IF(CM266&lt;INDEX('Lease Cycles'!$FA$23:$FG$23,1,CM265),0,1-INDEX('Lease Cycles'!$EM$23:$ES$23,1,CM265)),IF(OR(INDEX('Lease Cycles'!$DY$23:$EE$23,1,CM265)=1,CM266&gt;0),1,1-INDEX('Lease Cycles'!$DD$23:$DJ$23,1,CM265))*('Lease Cycles'!$AJ$23*INDEX('Lease Cycles'!$FO$23:$FU$23,1,CM265)+'Lease Cycles'!$BE$23*(1-INDEX('Lease Cycles'!$FO$23:$FU$23,1,CM265)))),0)</f>
        <v>0</v>
      </c>
      <c r="CN275" s="24">
        <f>IF(CN267=1,'Lease Cycles'!$D$23*IF(INDEX('Lease Cycles'!$EF$23:$EL$23,1,CN265)=1,'Lease Cycles'!$AJ$23*INDEX('Lease Cycles'!$FO$23:$FU$23,1,CN265)*INDEX('Lease Cycles'!$EM$23:$ES$23,1,CN265)+'Lease Cycles'!$BE$23*IF(CN266&lt;INDEX('Lease Cycles'!$FA$23:$FG$23,1,CN265),0,1-INDEX('Lease Cycles'!$EM$23:$ES$23,1,CN265)),IF(OR(INDEX('Lease Cycles'!$DY$23:$EE$23,1,CN265)=1,CN266&gt;0),1,1-INDEX('Lease Cycles'!$DD$23:$DJ$23,1,CN265))*('Lease Cycles'!$AJ$23*INDEX('Lease Cycles'!$FO$23:$FU$23,1,CN265)+'Lease Cycles'!$BE$23*(1-INDEX('Lease Cycles'!$FO$23:$FU$23,1,CN265)))),0)</f>
        <v>0</v>
      </c>
      <c r="CO275" s="24">
        <f>IF(CO267=1,'Lease Cycles'!$D$23*IF(INDEX('Lease Cycles'!$EF$23:$EL$23,1,CO265)=1,'Lease Cycles'!$AJ$23*INDEX('Lease Cycles'!$FO$23:$FU$23,1,CO265)*INDEX('Lease Cycles'!$EM$23:$ES$23,1,CO265)+'Lease Cycles'!$BE$23*IF(CO266&lt;INDEX('Lease Cycles'!$FA$23:$FG$23,1,CO265),0,1-INDEX('Lease Cycles'!$EM$23:$ES$23,1,CO265)),IF(OR(INDEX('Lease Cycles'!$DY$23:$EE$23,1,CO265)=1,CO266&gt;0),1,1-INDEX('Lease Cycles'!$DD$23:$DJ$23,1,CO265))*('Lease Cycles'!$AJ$23*INDEX('Lease Cycles'!$FO$23:$FU$23,1,CO265)+'Lease Cycles'!$BE$23*(1-INDEX('Lease Cycles'!$FO$23:$FU$23,1,CO265)))),0)</f>
        <v>0</v>
      </c>
      <c r="CP275" s="24">
        <f>IF(CP267=1,'Lease Cycles'!$D$23*IF(INDEX('Lease Cycles'!$EF$23:$EL$23,1,CP265)=1,'Lease Cycles'!$AJ$23*INDEX('Lease Cycles'!$FO$23:$FU$23,1,CP265)*INDEX('Lease Cycles'!$EM$23:$ES$23,1,CP265)+'Lease Cycles'!$BE$23*IF(CP266&lt;INDEX('Lease Cycles'!$FA$23:$FG$23,1,CP265),0,1-INDEX('Lease Cycles'!$EM$23:$ES$23,1,CP265)),IF(OR(INDEX('Lease Cycles'!$DY$23:$EE$23,1,CP265)=1,CP266&gt;0),1,1-INDEX('Lease Cycles'!$DD$23:$DJ$23,1,CP265))*('Lease Cycles'!$AJ$23*INDEX('Lease Cycles'!$FO$23:$FU$23,1,CP265)+'Lease Cycles'!$BE$23*(1-INDEX('Lease Cycles'!$FO$23:$FU$23,1,CP265)))),0)</f>
        <v>0</v>
      </c>
      <c r="CQ275" s="24">
        <f>IF(CQ267=1,'Lease Cycles'!$D$23*IF(INDEX('Lease Cycles'!$EF$23:$EL$23,1,CQ265)=1,'Lease Cycles'!$AJ$23*INDEX('Lease Cycles'!$FO$23:$FU$23,1,CQ265)*INDEX('Lease Cycles'!$EM$23:$ES$23,1,CQ265)+'Lease Cycles'!$BE$23*IF(CQ266&lt;INDEX('Lease Cycles'!$FA$23:$FG$23,1,CQ265),0,1-INDEX('Lease Cycles'!$EM$23:$ES$23,1,CQ265)),IF(OR(INDEX('Lease Cycles'!$DY$23:$EE$23,1,CQ265)=1,CQ266&gt;0),1,1-INDEX('Lease Cycles'!$DD$23:$DJ$23,1,CQ265))*('Lease Cycles'!$AJ$23*INDEX('Lease Cycles'!$FO$23:$FU$23,1,CQ265)+'Lease Cycles'!$BE$23*(1-INDEX('Lease Cycles'!$FO$23:$FU$23,1,CQ265)))),0)</f>
        <v>0</v>
      </c>
      <c r="CR275" s="24">
        <f>IF(CR267=1,'Lease Cycles'!$D$23*IF(INDEX('Lease Cycles'!$EF$23:$EL$23,1,CR265)=1,'Lease Cycles'!$AJ$23*INDEX('Lease Cycles'!$FO$23:$FU$23,1,CR265)*INDEX('Lease Cycles'!$EM$23:$ES$23,1,CR265)+'Lease Cycles'!$BE$23*IF(CR266&lt;INDEX('Lease Cycles'!$FA$23:$FG$23,1,CR265),0,1-INDEX('Lease Cycles'!$EM$23:$ES$23,1,CR265)),IF(OR(INDEX('Lease Cycles'!$DY$23:$EE$23,1,CR265)=1,CR266&gt;0),1,1-INDEX('Lease Cycles'!$DD$23:$DJ$23,1,CR265))*('Lease Cycles'!$AJ$23*INDEX('Lease Cycles'!$FO$23:$FU$23,1,CR265)+'Lease Cycles'!$BE$23*(1-INDEX('Lease Cycles'!$FO$23:$FU$23,1,CR265)))),0)</f>
        <v>0</v>
      </c>
      <c r="CS275" s="24">
        <f>IF(CS267=1,'Lease Cycles'!$D$23*IF(INDEX('Lease Cycles'!$EF$23:$EL$23,1,CS265)=1,'Lease Cycles'!$AJ$23*INDEX('Lease Cycles'!$FO$23:$FU$23,1,CS265)*INDEX('Lease Cycles'!$EM$23:$ES$23,1,CS265)+'Lease Cycles'!$BE$23*IF(CS266&lt;INDEX('Lease Cycles'!$FA$23:$FG$23,1,CS265),0,1-INDEX('Lease Cycles'!$EM$23:$ES$23,1,CS265)),IF(OR(INDEX('Lease Cycles'!$DY$23:$EE$23,1,CS265)=1,CS266&gt;0),1,1-INDEX('Lease Cycles'!$DD$23:$DJ$23,1,CS265))*('Lease Cycles'!$AJ$23*INDEX('Lease Cycles'!$FO$23:$FU$23,1,CS265)+'Lease Cycles'!$BE$23*(1-INDEX('Lease Cycles'!$FO$23:$FU$23,1,CS265)))),0)</f>
        <v>0</v>
      </c>
      <c r="CT275" s="24">
        <f>IF(CT267=1,'Lease Cycles'!$D$23*IF(INDEX('Lease Cycles'!$EF$23:$EL$23,1,CT265)=1,'Lease Cycles'!$AJ$23*INDEX('Lease Cycles'!$FO$23:$FU$23,1,CT265)*INDEX('Lease Cycles'!$EM$23:$ES$23,1,CT265)+'Lease Cycles'!$BE$23*IF(CT266&lt;INDEX('Lease Cycles'!$FA$23:$FG$23,1,CT265),0,1-INDEX('Lease Cycles'!$EM$23:$ES$23,1,CT265)),IF(OR(INDEX('Lease Cycles'!$DY$23:$EE$23,1,CT265)=1,CT266&gt;0),1,1-INDEX('Lease Cycles'!$DD$23:$DJ$23,1,CT265))*('Lease Cycles'!$AJ$23*INDEX('Lease Cycles'!$FO$23:$FU$23,1,CT265)+'Lease Cycles'!$BE$23*(1-INDEX('Lease Cycles'!$FO$23:$FU$23,1,CT265)))),0)</f>
        <v>0</v>
      </c>
      <c r="CU275" s="24">
        <f>IF(CU267=1,'Lease Cycles'!$D$23*IF(INDEX('Lease Cycles'!$EF$23:$EL$23,1,CU265)=1,'Lease Cycles'!$AJ$23*INDEX('Lease Cycles'!$FO$23:$FU$23,1,CU265)*INDEX('Lease Cycles'!$EM$23:$ES$23,1,CU265)+'Lease Cycles'!$BE$23*IF(CU266&lt;INDEX('Lease Cycles'!$FA$23:$FG$23,1,CU265),0,1-INDEX('Lease Cycles'!$EM$23:$ES$23,1,CU265)),IF(OR(INDEX('Lease Cycles'!$DY$23:$EE$23,1,CU265)=1,CU266&gt;0),1,1-INDEX('Lease Cycles'!$DD$23:$DJ$23,1,CU265))*('Lease Cycles'!$AJ$23*INDEX('Lease Cycles'!$FO$23:$FU$23,1,CU265)+'Lease Cycles'!$BE$23*(1-INDEX('Lease Cycles'!$FO$23:$FU$23,1,CU265)))),0)</f>
        <v>0</v>
      </c>
      <c r="CV275" s="24">
        <f>IF(CV267=1,'Lease Cycles'!$D$23*IF(INDEX('Lease Cycles'!$EF$23:$EL$23,1,CV265)=1,'Lease Cycles'!$AJ$23*INDEX('Lease Cycles'!$FO$23:$FU$23,1,CV265)*INDEX('Lease Cycles'!$EM$23:$ES$23,1,CV265)+'Lease Cycles'!$BE$23*IF(CV266&lt;INDEX('Lease Cycles'!$FA$23:$FG$23,1,CV265),0,1-INDEX('Lease Cycles'!$EM$23:$ES$23,1,CV265)),IF(OR(INDEX('Lease Cycles'!$DY$23:$EE$23,1,CV265)=1,CV266&gt;0),1,1-INDEX('Lease Cycles'!$DD$23:$DJ$23,1,CV265))*('Lease Cycles'!$AJ$23*INDEX('Lease Cycles'!$FO$23:$FU$23,1,CV265)+'Lease Cycles'!$BE$23*(1-INDEX('Lease Cycles'!$FO$23:$FU$23,1,CV265)))),0)</f>
        <v>0</v>
      </c>
      <c r="CW275" s="24">
        <f>IF(CW267=1,'Lease Cycles'!$D$23*IF(INDEX('Lease Cycles'!$EF$23:$EL$23,1,CW265)=1,'Lease Cycles'!$AJ$23*INDEX('Lease Cycles'!$FO$23:$FU$23,1,CW265)*INDEX('Lease Cycles'!$EM$23:$ES$23,1,CW265)+'Lease Cycles'!$BE$23*IF(CW266&lt;INDEX('Lease Cycles'!$FA$23:$FG$23,1,CW265),0,1-INDEX('Lease Cycles'!$EM$23:$ES$23,1,CW265)),IF(OR(INDEX('Lease Cycles'!$DY$23:$EE$23,1,CW265)=1,CW266&gt;0),1,1-INDEX('Lease Cycles'!$DD$23:$DJ$23,1,CW265))*('Lease Cycles'!$AJ$23*INDEX('Lease Cycles'!$FO$23:$FU$23,1,CW265)+'Lease Cycles'!$BE$23*(1-INDEX('Lease Cycles'!$FO$23:$FU$23,1,CW265)))),0)</f>
        <v>0</v>
      </c>
      <c r="CX275" s="24">
        <f>IF(CX267=1,'Lease Cycles'!$D$23*IF(INDEX('Lease Cycles'!$EF$23:$EL$23,1,CX265)=1,'Lease Cycles'!$AJ$23*INDEX('Lease Cycles'!$FO$23:$FU$23,1,CX265)*INDEX('Lease Cycles'!$EM$23:$ES$23,1,CX265)+'Lease Cycles'!$BE$23*IF(CX266&lt;INDEX('Lease Cycles'!$FA$23:$FG$23,1,CX265),0,1-INDEX('Lease Cycles'!$EM$23:$ES$23,1,CX265)),IF(OR(INDEX('Lease Cycles'!$DY$23:$EE$23,1,CX265)=1,CX266&gt;0),1,1-INDEX('Lease Cycles'!$DD$23:$DJ$23,1,CX265))*('Lease Cycles'!$AJ$23*INDEX('Lease Cycles'!$FO$23:$FU$23,1,CX265)+'Lease Cycles'!$BE$23*(1-INDEX('Lease Cycles'!$FO$23:$FU$23,1,CX265)))),0)</f>
        <v>0</v>
      </c>
      <c r="CY275" s="24">
        <f>IF(CY267=1,'Lease Cycles'!$D$23*IF(INDEX('Lease Cycles'!$EF$23:$EL$23,1,CY265)=1,'Lease Cycles'!$AJ$23*INDEX('Lease Cycles'!$FO$23:$FU$23,1,CY265)*INDEX('Lease Cycles'!$EM$23:$ES$23,1,CY265)+'Lease Cycles'!$BE$23*IF(CY266&lt;INDEX('Lease Cycles'!$FA$23:$FG$23,1,CY265),0,1-INDEX('Lease Cycles'!$EM$23:$ES$23,1,CY265)),IF(OR(INDEX('Lease Cycles'!$DY$23:$EE$23,1,CY265)=1,CY266&gt;0),1,1-INDEX('Lease Cycles'!$DD$23:$DJ$23,1,CY265))*('Lease Cycles'!$AJ$23*INDEX('Lease Cycles'!$FO$23:$FU$23,1,CY265)+'Lease Cycles'!$BE$23*(1-INDEX('Lease Cycles'!$FO$23:$FU$23,1,CY265)))),0)</f>
        <v>0</v>
      </c>
      <c r="CZ275" s="24">
        <f>IF(CZ267=1,'Lease Cycles'!$D$23*IF(INDEX('Lease Cycles'!$EF$23:$EL$23,1,CZ265)=1,'Lease Cycles'!$AJ$23*INDEX('Lease Cycles'!$FO$23:$FU$23,1,CZ265)*INDEX('Lease Cycles'!$EM$23:$ES$23,1,CZ265)+'Lease Cycles'!$BE$23*IF(CZ266&lt;INDEX('Lease Cycles'!$FA$23:$FG$23,1,CZ265),0,1-INDEX('Lease Cycles'!$EM$23:$ES$23,1,CZ265)),IF(OR(INDEX('Lease Cycles'!$DY$23:$EE$23,1,CZ265)=1,CZ266&gt;0),1,1-INDEX('Lease Cycles'!$DD$23:$DJ$23,1,CZ265))*('Lease Cycles'!$AJ$23*INDEX('Lease Cycles'!$FO$23:$FU$23,1,CZ265)+'Lease Cycles'!$BE$23*(1-INDEX('Lease Cycles'!$FO$23:$FU$23,1,CZ265)))),0)</f>
        <v>0</v>
      </c>
      <c r="DA275" s="24">
        <f>IF(DA267=1,'Lease Cycles'!$D$23*IF(INDEX('Lease Cycles'!$EF$23:$EL$23,1,DA265)=1,'Lease Cycles'!$AJ$23*INDEX('Lease Cycles'!$FO$23:$FU$23,1,DA265)*INDEX('Lease Cycles'!$EM$23:$ES$23,1,DA265)+'Lease Cycles'!$BE$23*IF(DA266&lt;INDEX('Lease Cycles'!$FA$23:$FG$23,1,DA265),0,1-INDEX('Lease Cycles'!$EM$23:$ES$23,1,DA265)),IF(OR(INDEX('Lease Cycles'!$DY$23:$EE$23,1,DA265)=1,DA266&gt;0),1,1-INDEX('Lease Cycles'!$DD$23:$DJ$23,1,DA265))*('Lease Cycles'!$AJ$23*INDEX('Lease Cycles'!$FO$23:$FU$23,1,DA265)+'Lease Cycles'!$BE$23*(1-INDEX('Lease Cycles'!$FO$23:$FU$23,1,DA265)))),0)</f>
        <v>0</v>
      </c>
      <c r="DB275" s="24">
        <f>IF(DB267=1,'Lease Cycles'!$D$23*IF(INDEX('Lease Cycles'!$EF$23:$EL$23,1,DB265)=1,'Lease Cycles'!$AJ$23*INDEX('Lease Cycles'!$FO$23:$FU$23,1,DB265)*INDEX('Lease Cycles'!$EM$23:$ES$23,1,DB265)+'Lease Cycles'!$BE$23*IF(DB266&lt;INDEX('Lease Cycles'!$FA$23:$FG$23,1,DB265),0,1-INDEX('Lease Cycles'!$EM$23:$ES$23,1,DB265)),IF(OR(INDEX('Lease Cycles'!$DY$23:$EE$23,1,DB265)=1,DB266&gt;0),1,1-INDEX('Lease Cycles'!$DD$23:$DJ$23,1,DB265))*('Lease Cycles'!$AJ$23*INDEX('Lease Cycles'!$FO$23:$FU$23,1,DB265)+'Lease Cycles'!$BE$23*(1-INDEX('Lease Cycles'!$FO$23:$FU$23,1,DB265)))),0)</f>
        <v>0</v>
      </c>
      <c r="DC275" s="24">
        <f>IF(DC267=1,'Lease Cycles'!$D$23*IF(INDEX('Lease Cycles'!$EF$23:$EL$23,1,DC265)=1,'Lease Cycles'!$AJ$23*INDEX('Lease Cycles'!$FO$23:$FU$23,1,DC265)*INDEX('Lease Cycles'!$EM$23:$ES$23,1,DC265)+'Lease Cycles'!$BE$23*IF(DC266&lt;INDEX('Lease Cycles'!$FA$23:$FG$23,1,DC265),0,1-INDEX('Lease Cycles'!$EM$23:$ES$23,1,DC265)),IF(OR(INDEX('Lease Cycles'!$DY$23:$EE$23,1,DC265)=1,DC266&gt;0),1,1-INDEX('Lease Cycles'!$DD$23:$DJ$23,1,DC265))*('Lease Cycles'!$AJ$23*INDEX('Lease Cycles'!$FO$23:$FU$23,1,DC265)+'Lease Cycles'!$BE$23*(1-INDEX('Lease Cycles'!$FO$23:$FU$23,1,DC265)))),0)</f>
        <v>0</v>
      </c>
      <c r="DD275" s="24">
        <f>IF(DD267=1,'Lease Cycles'!$D$23*IF(INDEX('Lease Cycles'!$EF$23:$EL$23,1,DD265)=1,'Lease Cycles'!$AJ$23*INDEX('Lease Cycles'!$FO$23:$FU$23,1,DD265)*INDEX('Lease Cycles'!$EM$23:$ES$23,1,DD265)+'Lease Cycles'!$BE$23*IF(DD266&lt;INDEX('Lease Cycles'!$FA$23:$FG$23,1,DD265),0,1-INDEX('Lease Cycles'!$EM$23:$ES$23,1,DD265)),IF(OR(INDEX('Lease Cycles'!$DY$23:$EE$23,1,DD265)=1,DD266&gt;0),1,1-INDEX('Lease Cycles'!$DD$23:$DJ$23,1,DD265))*('Lease Cycles'!$AJ$23*INDEX('Lease Cycles'!$FO$23:$FU$23,1,DD265)+'Lease Cycles'!$BE$23*(1-INDEX('Lease Cycles'!$FO$23:$FU$23,1,DD265)))),0)</f>
        <v>0</v>
      </c>
      <c r="DE275" s="24">
        <f>IF(DE267=1,'Lease Cycles'!$D$23*IF(INDEX('Lease Cycles'!$EF$23:$EL$23,1,DE265)=1,'Lease Cycles'!$AJ$23*INDEX('Lease Cycles'!$FO$23:$FU$23,1,DE265)*INDEX('Lease Cycles'!$EM$23:$ES$23,1,DE265)+'Lease Cycles'!$BE$23*IF(DE266&lt;INDEX('Lease Cycles'!$FA$23:$FG$23,1,DE265),0,1-INDEX('Lease Cycles'!$EM$23:$ES$23,1,DE265)),IF(OR(INDEX('Lease Cycles'!$DY$23:$EE$23,1,DE265)=1,DE266&gt;0),1,1-INDEX('Lease Cycles'!$DD$23:$DJ$23,1,DE265))*('Lease Cycles'!$AJ$23*INDEX('Lease Cycles'!$FO$23:$FU$23,1,DE265)+'Lease Cycles'!$BE$23*(1-INDEX('Lease Cycles'!$FO$23:$FU$23,1,DE265)))),0)</f>
        <v>0</v>
      </c>
      <c r="DF275" s="24">
        <f>IF(DF267=1,'Lease Cycles'!$D$23*IF(INDEX('Lease Cycles'!$EF$23:$EL$23,1,DF265)=1,'Lease Cycles'!$AJ$23*INDEX('Lease Cycles'!$FO$23:$FU$23,1,DF265)*INDEX('Lease Cycles'!$EM$23:$ES$23,1,DF265)+'Lease Cycles'!$BE$23*IF(DF266&lt;INDEX('Lease Cycles'!$FA$23:$FG$23,1,DF265),0,1-INDEX('Lease Cycles'!$EM$23:$ES$23,1,DF265)),IF(OR(INDEX('Lease Cycles'!$DY$23:$EE$23,1,DF265)=1,DF266&gt;0),1,1-INDEX('Lease Cycles'!$DD$23:$DJ$23,1,DF265))*('Lease Cycles'!$AJ$23*INDEX('Lease Cycles'!$FO$23:$FU$23,1,DF265)+'Lease Cycles'!$BE$23*(1-INDEX('Lease Cycles'!$FO$23:$FU$23,1,DF265)))),0)</f>
        <v>0</v>
      </c>
      <c r="DG275" s="24">
        <f>IF(DG267=1,'Lease Cycles'!$D$23*IF(INDEX('Lease Cycles'!$EF$23:$EL$23,1,DG265)=1,'Lease Cycles'!$AJ$23*INDEX('Lease Cycles'!$FO$23:$FU$23,1,DG265)*INDEX('Lease Cycles'!$EM$23:$ES$23,1,DG265)+'Lease Cycles'!$BE$23*IF(DG266&lt;INDEX('Lease Cycles'!$FA$23:$FG$23,1,DG265),0,1-INDEX('Lease Cycles'!$EM$23:$ES$23,1,DG265)),IF(OR(INDEX('Lease Cycles'!$DY$23:$EE$23,1,DG265)=1,DG266&gt;0),1,1-INDEX('Lease Cycles'!$DD$23:$DJ$23,1,DG265))*('Lease Cycles'!$AJ$23*INDEX('Lease Cycles'!$FO$23:$FU$23,1,DG265)+'Lease Cycles'!$BE$23*(1-INDEX('Lease Cycles'!$FO$23:$FU$23,1,DG265)))),0)</f>
        <v>0</v>
      </c>
      <c r="DH275" s="24">
        <f>IF(DH267=1,'Lease Cycles'!$D$23*IF(INDEX('Lease Cycles'!$EF$23:$EL$23,1,DH265)=1,'Lease Cycles'!$AJ$23*INDEX('Lease Cycles'!$FO$23:$FU$23,1,DH265)*INDEX('Lease Cycles'!$EM$23:$ES$23,1,DH265)+'Lease Cycles'!$BE$23*IF(DH266&lt;INDEX('Lease Cycles'!$FA$23:$FG$23,1,DH265),0,1-INDEX('Lease Cycles'!$EM$23:$ES$23,1,DH265)),IF(OR(INDEX('Lease Cycles'!$DY$23:$EE$23,1,DH265)=1,DH266&gt;0),1,1-INDEX('Lease Cycles'!$DD$23:$DJ$23,1,DH265))*('Lease Cycles'!$AJ$23*INDEX('Lease Cycles'!$FO$23:$FU$23,1,DH265)+'Lease Cycles'!$BE$23*(1-INDEX('Lease Cycles'!$FO$23:$FU$23,1,DH265)))),0)</f>
        <v>0</v>
      </c>
      <c r="DI275" s="24">
        <f>IF(DI267=1,'Lease Cycles'!$D$23*IF(INDEX('Lease Cycles'!$EF$23:$EL$23,1,DI265)=1,'Lease Cycles'!$AJ$23*INDEX('Lease Cycles'!$FO$23:$FU$23,1,DI265)*INDEX('Lease Cycles'!$EM$23:$ES$23,1,DI265)+'Lease Cycles'!$BE$23*IF(DI266&lt;INDEX('Lease Cycles'!$FA$23:$FG$23,1,DI265),0,1-INDEX('Lease Cycles'!$EM$23:$ES$23,1,DI265)),IF(OR(INDEX('Lease Cycles'!$DY$23:$EE$23,1,DI265)=1,DI266&gt;0),1,1-INDEX('Lease Cycles'!$DD$23:$DJ$23,1,DI265))*('Lease Cycles'!$AJ$23*INDEX('Lease Cycles'!$FO$23:$FU$23,1,DI265)+'Lease Cycles'!$BE$23*(1-INDEX('Lease Cycles'!$FO$23:$FU$23,1,DI265)))),0)</f>
        <v>0</v>
      </c>
      <c r="DJ275" s="24">
        <f>IF(DJ267=1,'Lease Cycles'!$D$23*IF(INDEX('Lease Cycles'!$EF$23:$EL$23,1,DJ265)=1,'Lease Cycles'!$AJ$23*INDEX('Lease Cycles'!$FO$23:$FU$23,1,DJ265)*INDEX('Lease Cycles'!$EM$23:$ES$23,1,DJ265)+'Lease Cycles'!$BE$23*IF(DJ266&lt;INDEX('Lease Cycles'!$FA$23:$FG$23,1,DJ265),0,1-INDEX('Lease Cycles'!$EM$23:$ES$23,1,DJ265)),IF(OR(INDEX('Lease Cycles'!$DY$23:$EE$23,1,DJ265)=1,DJ266&gt;0),1,1-INDEX('Lease Cycles'!$DD$23:$DJ$23,1,DJ265))*('Lease Cycles'!$AJ$23*INDEX('Lease Cycles'!$FO$23:$FU$23,1,DJ265)+'Lease Cycles'!$BE$23*(1-INDEX('Lease Cycles'!$FO$23:$FU$23,1,DJ265)))),0)</f>
        <v>0</v>
      </c>
      <c r="DK275" s="24">
        <f>IF(DK267=1,'Lease Cycles'!$D$23*IF(INDEX('Lease Cycles'!$EF$23:$EL$23,1,DK265)=1,'Lease Cycles'!$AJ$23*INDEX('Lease Cycles'!$FO$23:$FU$23,1,DK265)*INDEX('Lease Cycles'!$EM$23:$ES$23,1,DK265)+'Lease Cycles'!$BE$23*IF(DK266&lt;INDEX('Lease Cycles'!$FA$23:$FG$23,1,DK265),0,1-INDEX('Lease Cycles'!$EM$23:$ES$23,1,DK265)),IF(OR(INDEX('Lease Cycles'!$DY$23:$EE$23,1,DK265)=1,DK266&gt;0),1,1-INDEX('Lease Cycles'!$DD$23:$DJ$23,1,DK265))*('Lease Cycles'!$AJ$23*INDEX('Lease Cycles'!$FO$23:$FU$23,1,DK265)+'Lease Cycles'!$BE$23*(1-INDEX('Lease Cycles'!$FO$23:$FU$23,1,DK265)))),0)</f>
        <v>0</v>
      </c>
      <c r="DL275" s="24">
        <f>IF(DL267=1,'Lease Cycles'!$D$23*IF(INDEX('Lease Cycles'!$EF$23:$EL$23,1,DL265)=1,'Lease Cycles'!$AJ$23*INDEX('Lease Cycles'!$FO$23:$FU$23,1,DL265)*INDEX('Lease Cycles'!$EM$23:$ES$23,1,DL265)+'Lease Cycles'!$BE$23*IF(DL266&lt;INDEX('Lease Cycles'!$FA$23:$FG$23,1,DL265),0,1-INDEX('Lease Cycles'!$EM$23:$ES$23,1,DL265)),IF(OR(INDEX('Lease Cycles'!$DY$23:$EE$23,1,DL265)=1,DL266&gt;0),1,1-INDEX('Lease Cycles'!$DD$23:$DJ$23,1,DL265))*('Lease Cycles'!$AJ$23*INDEX('Lease Cycles'!$FO$23:$FU$23,1,DL265)+'Lease Cycles'!$BE$23*(1-INDEX('Lease Cycles'!$FO$23:$FU$23,1,DL265)))),0)</f>
        <v>0</v>
      </c>
      <c r="DM275" s="24">
        <f>IF(DM267=1,'Lease Cycles'!$D$23*IF(INDEX('Lease Cycles'!$EF$23:$EL$23,1,DM265)=1,'Lease Cycles'!$AJ$23*INDEX('Lease Cycles'!$FO$23:$FU$23,1,DM265)*INDEX('Lease Cycles'!$EM$23:$ES$23,1,DM265)+'Lease Cycles'!$BE$23*IF(DM266&lt;INDEX('Lease Cycles'!$FA$23:$FG$23,1,DM265),0,1-INDEX('Lease Cycles'!$EM$23:$ES$23,1,DM265)),IF(OR(INDEX('Lease Cycles'!$DY$23:$EE$23,1,DM265)=1,DM266&gt;0),1,1-INDEX('Lease Cycles'!$DD$23:$DJ$23,1,DM265))*('Lease Cycles'!$AJ$23*INDEX('Lease Cycles'!$FO$23:$FU$23,1,DM265)+'Lease Cycles'!$BE$23*(1-INDEX('Lease Cycles'!$FO$23:$FU$23,1,DM265)))),0)</f>
        <v>0</v>
      </c>
      <c r="DN275" s="24">
        <f>IF(DN267=1,'Lease Cycles'!$D$23*IF(INDEX('Lease Cycles'!$EF$23:$EL$23,1,DN265)=1,'Lease Cycles'!$AJ$23*INDEX('Lease Cycles'!$FO$23:$FU$23,1,DN265)*INDEX('Lease Cycles'!$EM$23:$ES$23,1,DN265)+'Lease Cycles'!$BE$23*IF(DN266&lt;INDEX('Lease Cycles'!$FA$23:$FG$23,1,DN265),0,1-INDEX('Lease Cycles'!$EM$23:$ES$23,1,DN265)),IF(OR(INDEX('Lease Cycles'!$DY$23:$EE$23,1,DN265)=1,DN266&gt;0),1,1-INDEX('Lease Cycles'!$DD$23:$DJ$23,1,DN265))*('Lease Cycles'!$AJ$23*INDEX('Lease Cycles'!$FO$23:$FU$23,1,DN265)+'Lease Cycles'!$BE$23*(1-INDEX('Lease Cycles'!$FO$23:$FU$23,1,DN265)))),0)</f>
        <v>0</v>
      </c>
      <c r="DO275" s="24">
        <f>IF(DO267=1,'Lease Cycles'!$D$23*IF(INDEX('Lease Cycles'!$EF$23:$EL$23,1,DO265)=1,'Lease Cycles'!$AJ$23*INDEX('Lease Cycles'!$FO$23:$FU$23,1,DO265)*INDEX('Lease Cycles'!$EM$23:$ES$23,1,DO265)+'Lease Cycles'!$BE$23*IF(DO266&lt;INDEX('Lease Cycles'!$FA$23:$FG$23,1,DO265),0,1-INDEX('Lease Cycles'!$EM$23:$ES$23,1,DO265)),IF(OR(INDEX('Lease Cycles'!$DY$23:$EE$23,1,DO265)=1,DO266&gt;0),1,1-INDEX('Lease Cycles'!$DD$23:$DJ$23,1,DO265))*('Lease Cycles'!$AJ$23*INDEX('Lease Cycles'!$FO$23:$FU$23,1,DO265)+'Lease Cycles'!$BE$23*(1-INDEX('Lease Cycles'!$FO$23:$FU$23,1,DO265)))),0)</f>
        <v>0</v>
      </c>
      <c r="DP275" s="24">
        <f>IF(DP267=1,'Lease Cycles'!$D$23*IF(INDEX('Lease Cycles'!$EF$23:$EL$23,1,DP265)=1,'Lease Cycles'!$AJ$23*INDEX('Lease Cycles'!$FO$23:$FU$23,1,DP265)*INDEX('Lease Cycles'!$EM$23:$ES$23,1,DP265)+'Lease Cycles'!$BE$23*IF(DP266&lt;INDEX('Lease Cycles'!$FA$23:$FG$23,1,DP265),0,1-INDEX('Lease Cycles'!$EM$23:$ES$23,1,DP265)),IF(OR(INDEX('Lease Cycles'!$DY$23:$EE$23,1,DP265)=1,DP266&gt;0),1,1-INDEX('Lease Cycles'!$DD$23:$DJ$23,1,DP265))*('Lease Cycles'!$AJ$23*INDEX('Lease Cycles'!$FO$23:$FU$23,1,DP265)+'Lease Cycles'!$BE$23*(1-INDEX('Lease Cycles'!$FO$23:$FU$23,1,DP265)))),0)</f>
        <v>0</v>
      </c>
      <c r="DQ275" s="24">
        <f>IF(DQ267=1,'Lease Cycles'!$D$23*IF(INDEX('Lease Cycles'!$EF$23:$EL$23,1,DQ265)=1,'Lease Cycles'!$AJ$23*INDEX('Lease Cycles'!$FO$23:$FU$23,1,DQ265)*INDEX('Lease Cycles'!$EM$23:$ES$23,1,DQ265)+'Lease Cycles'!$BE$23*IF(DQ266&lt;INDEX('Lease Cycles'!$FA$23:$FG$23,1,DQ265),0,1-INDEX('Lease Cycles'!$EM$23:$ES$23,1,DQ265)),IF(OR(INDEX('Lease Cycles'!$DY$23:$EE$23,1,DQ265)=1,DQ266&gt;0),1,1-INDEX('Lease Cycles'!$DD$23:$DJ$23,1,DQ265))*('Lease Cycles'!$AJ$23*INDEX('Lease Cycles'!$FO$23:$FU$23,1,DQ265)+'Lease Cycles'!$BE$23*(1-INDEX('Lease Cycles'!$FO$23:$FU$23,1,DQ265)))),0)</f>
        <v>0</v>
      </c>
      <c r="DR275" s="24">
        <f>IF(DR267=1,'Lease Cycles'!$D$23*IF(INDEX('Lease Cycles'!$EF$23:$EL$23,1,DR265)=1,'Lease Cycles'!$AJ$23*INDEX('Lease Cycles'!$FO$23:$FU$23,1,DR265)*INDEX('Lease Cycles'!$EM$23:$ES$23,1,DR265)+'Lease Cycles'!$BE$23*IF(DR266&lt;INDEX('Lease Cycles'!$FA$23:$FG$23,1,DR265),0,1-INDEX('Lease Cycles'!$EM$23:$ES$23,1,DR265)),IF(OR(INDEX('Lease Cycles'!$DY$23:$EE$23,1,DR265)=1,DR266&gt;0),1,1-INDEX('Lease Cycles'!$DD$23:$DJ$23,1,DR265))*('Lease Cycles'!$AJ$23*INDEX('Lease Cycles'!$FO$23:$FU$23,1,DR265)+'Lease Cycles'!$BE$23*(1-INDEX('Lease Cycles'!$FO$23:$FU$23,1,DR265)))),0)</f>
        <v>0</v>
      </c>
      <c r="DS275" s="24">
        <f>IF(DS267=1,'Lease Cycles'!$D$23*IF(INDEX('Lease Cycles'!$EF$23:$EL$23,1,DS265)=1,'Lease Cycles'!$AJ$23*INDEX('Lease Cycles'!$FO$23:$FU$23,1,DS265)*INDEX('Lease Cycles'!$EM$23:$ES$23,1,DS265)+'Lease Cycles'!$BE$23*IF(DS266&lt;INDEX('Lease Cycles'!$FA$23:$FG$23,1,DS265),0,1-INDEX('Lease Cycles'!$EM$23:$ES$23,1,DS265)),IF(OR(INDEX('Lease Cycles'!$DY$23:$EE$23,1,DS265)=1,DS266&gt;0),1,1-INDEX('Lease Cycles'!$DD$23:$DJ$23,1,DS265))*('Lease Cycles'!$AJ$23*INDEX('Lease Cycles'!$FO$23:$FU$23,1,DS265)+'Lease Cycles'!$BE$23*(1-INDEX('Lease Cycles'!$FO$23:$FU$23,1,DS265)))),0)</f>
        <v>0</v>
      </c>
      <c r="DT275" s="24">
        <f>IF(DT267=1,'Lease Cycles'!$D$23*IF(INDEX('Lease Cycles'!$EF$23:$EL$23,1,DT265)=1,'Lease Cycles'!$AJ$23*INDEX('Lease Cycles'!$FO$23:$FU$23,1,DT265)*INDEX('Lease Cycles'!$EM$23:$ES$23,1,DT265)+'Lease Cycles'!$BE$23*IF(DT266&lt;INDEX('Lease Cycles'!$FA$23:$FG$23,1,DT265),0,1-INDEX('Lease Cycles'!$EM$23:$ES$23,1,DT265)),IF(OR(INDEX('Lease Cycles'!$DY$23:$EE$23,1,DT265)=1,DT266&gt;0),1,1-INDEX('Lease Cycles'!$DD$23:$DJ$23,1,DT265))*('Lease Cycles'!$AJ$23*INDEX('Lease Cycles'!$FO$23:$FU$23,1,DT265)+'Lease Cycles'!$BE$23*(1-INDEX('Lease Cycles'!$FO$23:$FU$23,1,DT265)))),0)</f>
        <v>0</v>
      </c>
      <c r="DU275" s="24">
        <f>IF(DU267=1,'Lease Cycles'!$D$23*IF(INDEX('Lease Cycles'!$EF$23:$EL$23,1,DU265)=1,'Lease Cycles'!$AJ$23*INDEX('Lease Cycles'!$FO$23:$FU$23,1,DU265)*INDEX('Lease Cycles'!$EM$23:$ES$23,1,DU265)+'Lease Cycles'!$BE$23*IF(DU266&lt;INDEX('Lease Cycles'!$FA$23:$FG$23,1,DU265),0,1-INDEX('Lease Cycles'!$EM$23:$ES$23,1,DU265)),IF(OR(INDEX('Lease Cycles'!$DY$23:$EE$23,1,DU265)=1,DU266&gt;0),1,1-INDEX('Lease Cycles'!$DD$23:$DJ$23,1,DU265))*('Lease Cycles'!$AJ$23*INDEX('Lease Cycles'!$FO$23:$FU$23,1,DU265)+'Lease Cycles'!$BE$23*(1-INDEX('Lease Cycles'!$FO$23:$FU$23,1,DU265)))),0)</f>
        <v>0</v>
      </c>
      <c r="DV275" s="24">
        <f>IF(DV267=1,'Lease Cycles'!$D$23*IF(INDEX('Lease Cycles'!$EF$23:$EL$23,1,DV265)=1,'Lease Cycles'!$AJ$23*INDEX('Lease Cycles'!$FO$23:$FU$23,1,DV265)*INDEX('Lease Cycles'!$EM$23:$ES$23,1,DV265)+'Lease Cycles'!$BE$23*IF(DV266&lt;INDEX('Lease Cycles'!$FA$23:$FG$23,1,DV265),0,1-INDEX('Lease Cycles'!$EM$23:$ES$23,1,DV265)),IF(OR(INDEX('Lease Cycles'!$DY$23:$EE$23,1,DV265)=1,DV266&gt;0),1,1-INDEX('Lease Cycles'!$DD$23:$DJ$23,1,DV265))*('Lease Cycles'!$AJ$23*INDEX('Lease Cycles'!$FO$23:$FU$23,1,DV265)+'Lease Cycles'!$BE$23*(1-INDEX('Lease Cycles'!$FO$23:$FU$23,1,DV265)))),0)</f>
        <v>0</v>
      </c>
      <c r="DW275" s="24">
        <f>IF(DW267=1,'Lease Cycles'!$D$23*IF(INDEX('Lease Cycles'!$EF$23:$EL$23,1,DW265)=1,'Lease Cycles'!$AJ$23*INDEX('Lease Cycles'!$FO$23:$FU$23,1,DW265)*INDEX('Lease Cycles'!$EM$23:$ES$23,1,DW265)+'Lease Cycles'!$BE$23*IF(DW266&lt;INDEX('Lease Cycles'!$FA$23:$FG$23,1,DW265),0,1-INDEX('Lease Cycles'!$EM$23:$ES$23,1,DW265)),IF(OR(INDEX('Lease Cycles'!$DY$23:$EE$23,1,DW265)=1,DW266&gt;0),1,1-INDEX('Lease Cycles'!$DD$23:$DJ$23,1,DW265))*('Lease Cycles'!$AJ$23*INDEX('Lease Cycles'!$FO$23:$FU$23,1,DW265)+'Lease Cycles'!$BE$23*(1-INDEX('Lease Cycles'!$FO$23:$FU$23,1,DW265)))),0)</f>
        <v>0</v>
      </c>
      <c r="DX275" s="24">
        <f>IF(DX267=1,'Lease Cycles'!$D$23*IF(INDEX('Lease Cycles'!$EF$23:$EL$23,1,DX265)=1,'Lease Cycles'!$AJ$23*INDEX('Lease Cycles'!$FO$23:$FU$23,1,DX265)*INDEX('Lease Cycles'!$EM$23:$ES$23,1,DX265)+'Lease Cycles'!$BE$23*IF(DX266&lt;INDEX('Lease Cycles'!$FA$23:$FG$23,1,DX265),0,1-INDEX('Lease Cycles'!$EM$23:$ES$23,1,DX265)),IF(OR(INDEX('Lease Cycles'!$DY$23:$EE$23,1,DX265)=1,DX266&gt;0),1,1-INDEX('Lease Cycles'!$DD$23:$DJ$23,1,DX265))*('Lease Cycles'!$AJ$23*INDEX('Lease Cycles'!$FO$23:$FU$23,1,DX265)+'Lease Cycles'!$BE$23*(1-INDEX('Lease Cycles'!$FO$23:$FU$23,1,DX265)))),0)</f>
        <v>0</v>
      </c>
      <c r="DY275" s="24">
        <f>IF(DY267=1,'Lease Cycles'!$D$23*IF(INDEX('Lease Cycles'!$EF$23:$EL$23,1,DY265)=1,'Lease Cycles'!$AJ$23*INDEX('Lease Cycles'!$FO$23:$FU$23,1,DY265)*INDEX('Lease Cycles'!$EM$23:$ES$23,1,DY265)+'Lease Cycles'!$BE$23*IF(DY266&lt;INDEX('Lease Cycles'!$FA$23:$FG$23,1,DY265),0,1-INDEX('Lease Cycles'!$EM$23:$ES$23,1,DY265)),IF(OR(INDEX('Lease Cycles'!$DY$23:$EE$23,1,DY265)=1,DY266&gt;0),1,1-INDEX('Lease Cycles'!$DD$23:$DJ$23,1,DY265))*('Lease Cycles'!$AJ$23*INDEX('Lease Cycles'!$FO$23:$FU$23,1,DY265)+'Lease Cycles'!$BE$23*(1-INDEX('Lease Cycles'!$FO$23:$FU$23,1,DY265)))),0)</f>
        <v>0</v>
      </c>
      <c r="DZ275" s="24">
        <f>IF(DZ267=1,'Lease Cycles'!$D$23*IF(INDEX('Lease Cycles'!$EF$23:$EL$23,1,DZ265)=1,'Lease Cycles'!$AJ$23*INDEX('Lease Cycles'!$FO$23:$FU$23,1,DZ265)*INDEX('Lease Cycles'!$EM$23:$ES$23,1,DZ265)+'Lease Cycles'!$BE$23*IF(DZ266&lt;INDEX('Lease Cycles'!$FA$23:$FG$23,1,DZ265),0,1-INDEX('Lease Cycles'!$EM$23:$ES$23,1,DZ265)),IF(OR(INDEX('Lease Cycles'!$DY$23:$EE$23,1,DZ265)=1,DZ266&gt;0),1,1-INDEX('Lease Cycles'!$DD$23:$DJ$23,1,DZ265))*('Lease Cycles'!$AJ$23*INDEX('Lease Cycles'!$FO$23:$FU$23,1,DZ265)+'Lease Cycles'!$BE$23*(1-INDEX('Lease Cycles'!$FO$23:$FU$23,1,DZ265)))),0)</f>
        <v>0</v>
      </c>
      <c r="EA275" s="24">
        <f>IF(EA267=1,'Lease Cycles'!$D$23*IF(INDEX('Lease Cycles'!$EF$23:$EL$23,1,EA265)=1,'Lease Cycles'!$AJ$23*INDEX('Lease Cycles'!$FO$23:$FU$23,1,EA265)*INDEX('Lease Cycles'!$EM$23:$ES$23,1,EA265)+'Lease Cycles'!$BE$23*IF(EA266&lt;INDEX('Lease Cycles'!$FA$23:$FG$23,1,EA265),0,1-INDEX('Lease Cycles'!$EM$23:$ES$23,1,EA265)),IF(OR(INDEX('Lease Cycles'!$DY$23:$EE$23,1,EA265)=1,EA266&gt;0),1,1-INDEX('Lease Cycles'!$DD$23:$DJ$23,1,EA265))*('Lease Cycles'!$AJ$23*INDEX('Lease Cycles'!$FO$23:$FU$23,1,EA265)+'Lease Cycles'!$BE$23*(1-INDEX('Lease Cycles'!$FO$23:$FU$23,1,EA265)))),0)</f>
        <v>0</v>
      </c>
      <c r="EB275" s="24">
        <f>IF(EB267=1,'Lease Cycles'!$D$23*IF(INDEX('Lease Cycles'!$EF$23:$EL$23,1,EB265)=1,'Lease Cycles'!$AJ$23*INDEX('Lease Cycles'!$FO$23:$FU$23,1,EB265)*INDEX('Lease Cycles'!$EM$23:$ES$23,1,EB265)+'Lease Cycles'!$BE$23*IF(EB266&lt;INDEX('Lease Cycles'!$FA$23:$FG$23,1,EB265),0,1-INDEX('Lease Cycles'!$EM$23:$ES$23,1,EB265)),IF(OR(INDEX('Lease Cycles'!$DY$23:$EE$23,1,EB265)=1,EB266&gt;0),1,1-INDEX('Lease Cycles'!$DD$23:$DJ$23,1,EB265))*('Lease Cycles'!$AJ$23*INDEX('Lease Cycles'!$FO$23:$FU$23,1,EB265)+'Lease Cycles'!$BE$23*(1-INDEX('Lease Cycles'!$FO$23:$FU$23,1,EB265)))),0)</f>
        <v>0</v>
      </c>
      <c r="EC275" s="24">
        <f>IF(EC267=1,'Lease Cycles'!$D$23*IF(INDEX('Lease Cycles'!$EF$23:$EL$23,1,EC265)=1,'Lease Cycles'!$AJ$23*INDEX('Lease Cycles'!$FO$23:$FU$23,1,EC265)*INDEX('Lease Cycles'!$EM$23:$ES$23,1,EC265)+'Lease Cycles'!$BE$23*IF(EC266&lt;INDEX('Lease Cycles'!$FA$23:$FG$23,1,EC265),0,1-INDEX('Lease Cycles'!$EM$23:$ES$23,1,EC265)),IF(OR(INDEX('Lease Cycles'!$DY$23:$EE$23,1,EC265)=1,EC266&gt;0),1,1-INDEX('Lease Cycles'!$DD$23:$DJ$23,1,EC265))*('Lease Cycles'!$AJ$23*INDEX('Lease Cycles'!$FO$23:$FU$23,1,EC265)+'Lease Cycles'!$BE$23*(1-INDEX('Lease Cycles'!$FO$23:$FU$23,1,EC265)))),0)</f>
        <v>0</v>
      </c>
      <c r="ED275" s="24">
        <f>IF(ED267=1,'Lease Cycles'!$D$23*IF(INDEX('Lease Cycles'!$EF$23:$EL$23,1,ED265)=1,'Lease Cycles'!$AJ$23*INDEX('Lease Cycles'!$FO$23:$FU$23,1,ED265)*INDEX('Lease Cycles'!$EM$23:$ES$23,1,ED265)+'Lease Cycles'!$BE$23*IF(ED266&lt;INDEX('Lease Cycles'!$FA$23:$FG$23,1,ED265),0,1-INDEX('Lease Cycles'!$EM$23:$ES$23,1,ED265)),IF(OR(INDEX('Lease Cycles'!$DY$23:$EE$23,1,ED265)=1,ED266&gt;0),1,1-INDEX('Lease Cycles'!$DD$23:$DJ$23,1,ED265))*('Lease Cycles'!$AJ$23*INDEX('Lease Cycles'!$FO$23:$FU$23,1,ED265)+'Lease Cycles'!$BE$23*(1-INDEX('Lease Cycles'!$FO$23:$FU$23,1,ED265)))),0)</f>
        <v>0</v>
      </c>
      <c r="EE275" s="24">
        <f>IF(EE267=1,'Lease Cycles'!$D$23*IF(INDEX('Lease Cycles'!$EF$23:$EL$23,1,EE265)=1,'Lease Cycles'!$AJ$23*INDEX('Lease Cycles'!$FO$23:$FU$23,1,EE265)*INDEX('Lease Cycles'!$EM$23:$ES$23,1,EE265)+'Lease Cycles'!$BE$23*IF(EE266&lt;INDEX('Lease Cycles'!$FA$23:$FG$23,1,EE265),0,1-INDEX('Lease Cycles'!$EM$23:$ES$23,1,EE265)),IF(OR(INDEX('Lease Cycles'!$DY$23:$EE$23,1,EE265)=1,EE266&gt;0),1,1-INDEX('Lease Cycles'!$DD$23:$DJ$23,1,EE265))*('Lease Cycles'!$AJ$23*INDEX('Lease Cycles'!$FO$23:$FU$23,1,EE265)+'Lease Cycles'!$BE$23*(1-INDEX('Lease Cycles'!$FO$23:$FU$23,1,EE265)))),0)</f>
        <v>0</v>
      </c>
      <c r="EF275" s="24">
        <f>IF(EF267=1,'Lease Cycles'!$D$23*IF(INDEX('Lease Cycles'!$EF$23:$EL$23,1,EF265)=1,'Lease Cycles'!$AJ$23*INDEX('Lease Cycles'!$FO$23:$FU$23,1,EF265)*INDEX('Lease Cycles'!$EM$23:$ES$23,1,EF265)+'Lease Cycles'!$BE$23*IF(EF266&lt;INDEX('Lease Cycles'!$FA$23:$FG$23,1,EF265),0,1-INDEX('Lease Cycles'!$EM$23:$ES$23,1,EF265)),IF(OR(INDEX('Lease Cycles'!$DY$23:$EE$23,1,EF265)=1,EF266&gt;0),1,1-INDEX('Lease Cycles'!$DD$23:$DJ$23,1,EF265))*('Lease Cycles'!$AJ$23*INDEX('Lease Cycles'!$FO$23:$FU$23,1,EF265)+'Lease Cycles'!$BE$23*(1-INDEX('Lease Cycles'!$FO$23:$FU$23,1,EF265)))),0)</f>
        <v>0</v>
      </c>
      <c r="EG275" s="24">
        <f>IF(EG267=1,'Lease Cycles'!$D$23*IF(INDEX('Lease Cycles'!$EF$23:$EL$23,1,EG265)=1,'Lease Cycles'!$AJ$23*INDEX('Lease Cycles'!$FO$23:$FU$23,1,EG265)*INDEX('Lease Cycles'!$EM$23:$ES$23,1,EG265)+'Lease Cycles'!$BE$23*IF(EG266&lt;INDEX('Lease Cycles'!$FA$23:$FG$23,1,EG265),0,1-INDEX('Lease Cycles'!$EM$23:$ES$23,1,EG265)),IF(OR(INDEX('Lease Cycles'!$DY$23:$EE$23,1,EG265)=1,EG266&gt;0),1,1-INDEX('Lease Cycles'!$DD$23:$DJ$23,1,EG265))*('Lease Cycles'!$AJ$23*INDEX('Lease Cycles'!$FO$23:$FU$23,1,EG265)+'Lease Cycles'!$BE$23*(1-INDEX('Lease Cycles'!$FO$23:$FU$23,1,EG265)))),0)</f>
        <v>0</v>
      </c>
      <c r="EH275" s="24">
        <f>IF(EH267=1,'Lease Cycles'!$D$23*IF(INDEX('Lease Cycles'!$EF$23:$EL$23,1,EH265)=1,'Lease Cycles'!$AJ$23*INDEX('Lease Cycles'!$FO$23:$FU$23,1,EH265)*INDEX('Lease Cycles'!$EM$23:$ES$23,1,EH265)+'Lease Cycles'!$BE$23*IF(EH266&lt;INDEX('Lease Cycles'!$FA$23:$FG$23,1,EH265),0,1-INDEX('Lease Cycles'!$EM$23:$ES$23,1,EH265)),IF(OR(INDEX('Lease Cycles'!$DY$23:$EE$23,1,EH265)=1,EH266&gt;0),1,1-INDEX('Lease Cycles'!$DD$23:$DJ$23,1,EH265))*('Lease Cycles'!$AJ$23*INDEX('Lease Cycles'!$FO$23:$FU$23,1,EH265)+'Lease Cycles'!$BE$23*(1-INDEX('Lease Cycles'!$FO$23:$FU$23,1,EH265)))),0)</f>
        <v>0</v>
      </c>
      <c r="EI275" s="24">
        <f>IF(EI267=1,'Lease Cycles'!$D$23*IF(INDEX('Lease Cycles'!$EF$23:$EL$23,1,EI265)=1,'Lease Cycles'!$AJ$23*INDEX('Lease Cycles'!$FO$23:$FU$23,1,EI265)*INDEX('Lease Cycles'!$EM$23:$ES$23,1,EI265)+'Lease Cycles'!$BE$23*IF(EI266&lt;INDEX('Lease Cycles'!$FA$23:$FG$23,1,EI265),0,1-INDEX('Lease Cycles'!$EM$23:$ES$23,1,EI265)),IF(OR(INDEX('Lease Cycles'!$DY$23:$EE$23,1,EI265)=1,EI266&gt;0),1,1-INDEX('Lease Cycles'!$DD$23:$DJ$23,1,EI265))*('Lease Cycles'!$AJ$23*INDEX('Lease Cycles'!$FO$23:$FU$23,1,EI265)+'Lease Cycles'!$BE$23*(1-INDEX('Lease Cycles'!$FO$23:$FU$23,1,EI265)))),0)</f>
        <v>0</v>
      </c>
      <c r="EJ275" s="24">
        <f>IF(EJ267=1,'Lease Cycles'!$D$23*IF(INDEX('Lease Cycles'!$EF$23:$EL$23,1,EJ265)=1,'Lease Cycles'!$AJ$23*INDEX('Lease Cycles'!$FO$23:$FU$23,1,EJ265)*INDEX('Lease Cycles'!$EM$23:$ES$23,1,EJ265)+'Lease Cycles'!$BE$23*IF(EJ266&lt;INDEX('Lease Cycles'!$FA$23:$FG$23,1,EJ265),0,1-INDEX('Lease Cycles'!$EM$23:$ES$23,1,EJ265)),IF(OR(INDEX('Lease Cycles'!$DY$23:$EE$23,1,EJ265)=1,EJ266&gt;0),1,1-INDEX('Lease Cycles'!$DD$23:$DJ$23,1,EJ265))*('Lease Cycles'!$AJ$23*INDEX('Lease Cycles'!$FO$23:$FU$23,1,EJ265)+'Lease Cycles'!$BE$23*(1-INDEX('Lease Cycles'!$FO$23:$FU$23,1,EJ265)))),0)</f>
        <v>0</v>
      </c>
      <c r="EK275" s="24">
        <f>IF(EK267=1,'Lease Cycles'!$D$23*IF(INDEX('Lease Cycles'!$EF$23:$EL$23,1,EK265)=1,'Lease Cycles'!$AJ$23*INDEX('Lease Cycles'!$FO$23:$FU$23,1,EK265)*INDEX('Lease Cycles'!$EM$23:$ES$23,1,EK265)+'Lease Cycles'!$BE$23*IF(EK266&lt;INDEX('Lease Cycles'!$FA$23:$FG$23,1,EK265),0,1-INDEX('Lease Cycles'!$EM$23:$ES$23,1,EK265)),IF(OR(INDEX('Lease Cycles'!$DY$23:$EE$23,1,EK265)=1,EK266&gt;0),1,1-INDEX('Lease Cycles'!$DD$23:$DJ$23,1,EK265))*('Lease Cycles'!$AJ$23*INDEX('Lease Cycles'!$FO$23:$FU$23,1,EK265)+'Lease Cycles'!$BE$23*(1-INDEX('Lease Cycles'!$FO$23:$FU$23,1,EK265)))),0)</f>
        <v>0</v>
      </c>
      <c r="EL275" s="24">
        <f>IF(EL267=1,'Lease Cycles'!$D$23*IF(INDEX('Lease Cycles'!$EF$23:$EL$23,1,EL265)=1,'Lease Cycles'!$AJ$23*INDEX('Lease Cycles'!$FO$23:$FU$23,1,EL265)*INDEX('Lease Cycles'!$EM$23:$ES$23,1,EL265)+'Lease Cycles'!$BE$23*IF(EL266&lt;INDEX('Lease Cycles'!$FA$23:$FG$23,1,EL265),0,1-INDEX('Lease Cycles'!$EM$23:$ES$23,1,EL265)),IF(OR(INDEX('Lease Cycles'!$DY$23:$EE$23,1,EL265)=1,EL266&gt;0),1,1-INDEX('Lease Cycles'!$DD$23:$DJ$23,1,EL265))*('Lease Cycles'!$AJ$23*INDEX('Lease Cycles'!$FO$23:$FU$23,1,EL265)+'Lease Cycles'!$BE$23*(1-INDEX('Lease Cycles'!$FO$23:$FU$23,1,EL265)))),0)</f>
        <v>0</v>
      </c>
      <c r="EM275" s="24">
        <f>IF(EM267=1,'Lease Cycles'!$D$23*IF(INDEX('Lease Cycles'!$EF$23:$EL$23,1,EM265)=1,'Lease Cycles'!$AJ$23*INDEX('Lease Cycles'!$FO$23:$FU$23,1,EM265)*INDEX('Lease Cycles'!$EM$23:$ES$23,1,EM265)+'Lease Cycles'!$BE$23*IF(EM266&lt;INDEX('Lease Cycles'!$FA$23:$FG$23,1,EM265),0,1-INDEX('Lease Cycles'!$EM$23:$ES$23,1,EM265)),IF(OR(INDEX('Lease Cycles'!$DY$23:$EE$23,1,EM265)=1,EM266&gt;0),1,1-INDEX('Lease Cycles'!$DD$23:$DJ$23,1,EM265))*('Lease Cycles'!$AJ$23*INDEX('Lease Cycles'!$FO$23:$FU$23,1,EM265)+'Lease Cycles'!$BE$23*(1-INDEX('Lease Cycles'!$FO$23:$FU$23,1,EM265)))),0)</f>
        <v>0</v>
      </c>
      <c r="EN275" s="24">
        <f>IF(EN267=1,'Lease Cycles'!$D$23*IF(INDEX('Lease Cycles'!$EF$23:$EL$23,1,EN265)=1,'Lease Cycles'!$AJ$23*INDEX('Lease Cycles'!$FO$23:$FU$23,1,EN265)*INDEX('Lease Cycles'!$EM$23:$ES$23,1,EN265)+'Lease Cycles'!$BE$23*IF(EN266&lt;INDEX('Lease Cycles'!$FA$23:$FG$23,1,EN265),0,1-INDEX('Lease Cycles'!$EM$23:$ES$23,1,EN265)),IF(OR(INDEX('Lease Cycles'!$DY$23:$EE$23,1,EN265)=1,EN266&gt;0),1,1-INDEX('Lease Cycles'!$DD$23:$DJ$23,1,EN265))*('Lease Cycles'!$AJ$23*INDEX('Lease Cycles'!$FO$23:$FU$23,1,EN265)+'Lease Cycles'!$BE$23*(1-INDEX('Lease Cycles'!$FO$23:$FU$23,1,EN265)))),0)</f>
        <v>0</v>
      </c>
      <c r="EO275" s="24">
        <f>IF(EO267=1,'Lease Cycles'!$D$23*IF(INDEX('Lease Cycles'!$EF$23:$EL$23,1,EO265)=1,'Lease Cycles'!$AJ$23*INDEX('Lease Cycles'!$FO$23:$FU$23,1,EO265)*INDEX('Lease Cycles'!$EM$23:$ES$23,1,EO265)+'Lease Cycles'!$BE$23*IF(EO266&lt;INDEX('Lease Cycles'!$FA$23:$FG$23,1,EO265),0,1-INDEX('Lease Cycles'!$EM$23:$ES$23,1,EO265)),IF(OR(INDEX('Lease Cycles'!$DY$23:$EE$23,1,EO265)=1,EO266&gt;0),1,1-INDEX('Lease Cycles'!$DD$23:$DJ$23,1,EO265))*('Lease Cycles'!$AJ$23*INDEX('Lease Cycles'!$FO$23:$FU$23,1,EO265)+'Lease Cycles'!$BE$23*(1-INDEX('Lease Cycles'!$FO$23:$FU$23,1,EO265)))),0)</f>
        <v>0</v>
      </c>
      <c r="EP275" s="24">
        <f>IF(EP267=1,'Lease Cycles'!$D$23*IF(INDEX('Lease Cycles'!$EF$23:$EL$23,1,EP265)=1,'Lease Cycles'!$AJ$23*INDEX('Lease Cycles'!$FO$23:$FU$23,1,EP265)*INDEX('Lease Cycles'!$EM$23:$ES$23,1,EP265)+'Lease Cycles'!$BE$23*IF(EP266&lt;INDEX('Lease Cycles'!$FA$23:$FG$23,1,EP265),0,1-INDEX('Lease Cycles'!$EM$23:$ES$23,1,EP265)),IF(OR(INDEX('Lease Cycles'!$DY$23:$EE$23,1,EP265)=1,EP266&gt;0),1,1-INDEX('Lease Cycles'!$DD$23:$DJ$23,1,EP265))*('Lease Cycles'!$AJ$23*INDEX('Lease Cycles'!$FO$23:$FU$23,1,EP265)+'Lease Cycles'!$BE$23*(1-INDEX('Lease Cycles'!$FO$23:$FU$23,1,EP265)))),0)</f>
        <v>0</v>
      </c>
      <c r="EQ275" s="24">
        <f>IF(EQ267=1,'Lease Cycles'!$D$23*IF(INDEX('Lease Cycles'!$EF$23:$EL$23,1,EQ265)=1,'Lease Cycles'!$AJ$23*INDEX('Lease Cycles'!$FO$23:$FU$23,1,EQ265)*INDEX('Lease Cycles'!$EM$23:$ES$23,1,EQ265)+'Lease Cycles'!$BE$23*IF(EQ266&lt;INDEX('Lease Cycles'!$FA$23:$FG$23,1,EQ265),0,1-INDEX('Lease Cycles'!$EM$23:$ES$23,1,EQ265)),IF(OR(INDEX('Lease Cycles'!$DY$23:$EE$23,1,EQ265)=1,EQ266&gt;0),1,1-INDEX('Lease Cycles'!$DD$23:$DJ$23,1,EQ265))*('Lease Cycles'!$AJ$23*INDEX('Lease Cycles'!$FO$23:$FU$23,1,EQ265)+'Lease Cycles'!$BE$23*(1-INDEX('Lease Cycles'!$FO$23:$FU$23,1,EQ265)))),0)</f>
        <v>0</v>
      </c>
      <c r="ER275" s="24">
        <f>IF(ER267=1,'Lease Cycles'!$D$23*IF(INDEX('Lease Cycles'!$EF$23:$EL$23,1,ER265)=1,'Lease Cycles'!$AJ$23*INDEX('Lease Cycles'!$FO$23:$FU$23,1,ER265)*INDEX('Lease Cycles'!$EM$23:$ES$23,1,ER265)+'Lease Cycles'!$BE$23*IF(ER266&lt;INDEX('Lease Cycles'!$FA$23:$FG$23,1,ER265),0,1-INDEX('Lease Cycles'!$EM$23:$ES$23,1,ER265)),IF(OR(INDEX('Lease Cycles'!$DY$23:$EE$23,1,ER265)=1,ER266&gt;0),1,1-INDEX('Lease Cycles'!$DD$23:$DJ$23,1,ER265))*('Lease Cycles'!$AJ$23*INDEX('Lease Cycles'!$FO$23:$FU$23,1,ER265)+'Lease Cycles'!$BE$23*(1-INDEX('Lease Cycles'!$FO$23:$FU$23,1,ER265)))),0)</f>
        <v>0</v>
      </c>
      <c r="ES275" s="24">
        <f>IF(ES267=1,'Lease Cycles'!$D$23*IF(INDEX('Lease Cycles'!$EF$23:$EL$23,1,ES265)=1,'Lease Cycles'!$AJ$23*INDEX('Lease Cycles'!$FO$23:$FU$23,1,ES265)*INDEX('Lease Cycles'!$EM$23:$ES$23,1,ES265)+'Lease Cycles'!$BE$23*IF(ES266&lt;INDEX('Lease Cycles'!$FA$23:$FG$23,1,ES265),0,1-INDEX('Lease Cycles'!$EM$23:$ES$23,1,ES265)),IF(OR(INDEX('Lease Cycles'!$DY$23:$EE$23,1,ES265)=1,ES266&gt;0),1,1-INDEX('Lease Cycles'!$DD$23:$DJ$23,1,ES265))*('Lease Cycles'!$AJ$23*INDEX('Lease Cycles'!$FO$23:$FU$23,1,ES265)+'Lease Cycles'!$BE$23*(1-INDEX('Lease Cycles'!$FO$23:$FU$23,1,ES265)))),0)</f>
        <v>0</v>
      </c>
      <c r="ET275" s="24">
        <f>IF(ET267=1,'Lease Cycles'!$D$23*IF(INDEX('Lease Cycles'!$EF$23:$EL$23,1,ET265)=1,'Lease Cycles'!$AJ$23*INDEX('Lease Cycles'!$FO$23:$FU$23,1,ET265)*INDEX('Lease Cycles'!$EM$23:$ES$23,1,ET265)+'Lease Cycles'!$BE$23*IF(ET266&lt;INDEX('Lease Cycles'!$FA$23:$FG$23,1,ET265),0,1-INDEX('Lease Cycles'!$EM$23:$ES$23,1,ET265)),IF(OR(INDEX('Lease Cycles'!$DY$23:$EE$23,1,ET265)=1,ET266&gt;0),1,1-INDEX('Lease Cycles'!$DD$23:$DJ$23,1,ET265))*('Lease Cycles'!$AJ$23*INDEX('Lease Cycles'!$FO$23:$FU$23,1,ET265)+'Lease Cycles'!$BE$23*(1-INDEX('Lease Cycles'!$FO$23:$FU$23,1,ET265)))),0)</f>
        <v>0</v>
      </c>
    </row>
    <row r="276">
      <c r="A276" s="103">
        <v>16</v>
      </c>
      <c r="B276" s="23" t="str">
        <f>IF('Lease Cycles'!$B$23="","(empty slot)",'Lease Cycles'!$B$23)</f>
        <v>(empty slot)</v>
      </c>
      <c r="C276" s="23" t="s">
        <v>689</v>
      </c>
      <c r="D276" s="104" t="s">
        <v>690</v>
      </c>
      <c r="E276" s="25">
        <f>'Lease Cycles'!$AL$23</f>
        <v>0</v>
      </c>
      <c r="G276" s="28">
        <f>SUM(S276:AD276)</f>
        <v>0</v>
      </c>
      <c r="H276" s="28">
        <f>SUM(AE276:AP276)</f>
        <v>0</v>
      </c>
      <c r="I276" s="28">
        <f>SUM(AQ276:BB276)</f>
        <v>0</v>
      </c>
      <c r="J276" s="28">
        <f>SUM(BC276:BN276)</f>
        <v>0</v>
      </c>
      <c r="K276" s="28">
        <f>SUM(BO276:BZ276)</f>
        <v>0</v>
      </c>
      <c r="L276" s="28">
        <f>SUM(CA276:CL276)</f>
        <v>0</v>
      </c>
      <c r="M276" s="28">
        <f>SUM(CM276:CX276)</f>
        <v>0</v>
      </c>
      <c r="N276" s="28">
        <f>SUM(CY276:DJ276)</f>
        <v>0</v>
      </c>
      <c r="O276" s="28">
        <f>SUM(DK276:DV276)</f>
        <v>0</v>
      </c>
      <c r="P276" s="28">
        <f>SUM(DW276:EH276)</f>
        <v>0</v>
      </c>
      <c r="Q276" s="28">
        <f>SUM(EI276:ET276)</f>
        <v>0</v>
      </c>
      <c r="S276" s="28">
        <f>IF(S275=0,0,S275*MAX(0,(INDEX(c_CAMy,1,S$7)-INDEX(c_CAMy,1,INDEX('Lease Cycles'!$GC$23:$GI$23,1,S265)+1))*(1+'Lease Cycles'!$AK$23)+(INDEX(c_TAXy,1,S$7)-INDEX(c_TAXy,1,INDEX('Lease Cycles'!$GC$23:$GI$23,1,S265)+1))+(INDEX(c_INSy,1,S$7)-INDEX(c_INSy,1,INDEX('Lease Cycles'!$GC$23:$GI$23,1,S265)+1)))/12)</f>
        <v>0</v>
      </c>
      <c r="T276" s="28">
        <f>IF(T275=0,0,T275*MAX(0,(INDEX(c_CAMy,1,T$7)-INDEX(c_CAMy,1,INDEX('Lease Cycles'!$GC$23:$GI$23,1,T265)+1))*(1+'Lease Cycles'!$AK$23)+(INDEX(c_TAXy,1,T$7)-INDEX(c_TAXy,1,INDEX('Lease Cycles'!$GC$23:$GI$23,1,T265)+1))+(INDEX(c_INSy,1,T$7)-INDEX(c_INSy,1,INDEX('Lease Cycles'!$GC$23:$GI$23,1,T265)+1)))/12)</f>
        <v>0</v>
      </c>
      <c r="U276" s="28">
        <f>IF(U275=0,0,U275*MAX(0,(INDEX(c_CAMy,1,U$7)-INDEX(c_CAMy,1,INDEX('Lease Cycles'!$GC$23:$GI$23,1,U265)+1))*(1+'Lease Cycles'!$AK$23)+(INDEX(c_TAXy,1,U$7)-INDEX(c_TAXy,1,INDEX('Lease Cycles'!$GC$23:$GI$23,1,U265)+1))+(INDEX(c_INSy,1,U$7)-INDEX(c_INSy,1,INDEX('Lease Cycles'!$GC$23:$GI$23,1,U265)+1)))/12)</f>
        <v>0</v>
      </c>
      <c r="V276" s="28">
        <f>IF(V275=0,0,V275*MAX(0,(INDEX(c_CAMy,1,V$7)-INDEX(c_CAMy,1,INDEX('Lease Cycles'!$GC$23:$GI$23,1,V265)+1))*(1+'Lease Cycles'!$AK$23)+(INDEX(c_TAXy,1,V$7)-INDEX(c_TAXy,1,INDEX('Lease Cycles'!$GC$23:$GI$23,1,V265)+1))+(INDEX(c_INSy,1,V$7)-INDEX(c_INSy,1,INDEX('Lease Cycles'!$GC$23:$GI$23,1,V265)+1)))/12)</f>
        <v>0</v>
      </c>
      <c r="W276" s="28">
        <f>IF(W275=0,0,W275*MAX(0,(INDEX(c_CAMy,1,W$7)-INDEX(c_CAMy,1,INDEX('Lease Cycles'!$GC$23:$GI$23,1,W265)+1))*(1+'Lease Cycles'!$AK$23)+(INDEX(c_TAXy,1,W$7)-INDEX(c_TAXy,1,INDEX('Lease Cycles'!$GC$23:$GI$23,1,W265)+1))+(INDEX(c_INSy,1,W$7)-INDEX(c_INSy,1,INDEX('Lease Cycles'!$GC$23:$GI$23,1,W265)+1)))/12)</f>
        <v>0</v>
      </c>
      <c r="X276" s="28">
        <f>IF(X275=0,0,X275*MAX(0,(INDEX(c_CAMy,1,X$7)-INDEX(c_CAMy,1,INDEX('Lease Cycles'!$GC$23:$GI$23,1,X265)+1))*(1+'Lease Cycles'!$AK$23)+(INDEX(c_TAXy,1,X$7)-INDEX(c_TAXy,1,INDEX('Lease Cycles'!$GC$23:$GI$23,1,X265)+1))+(INDEX(c_INSy,1,X$7)-INDEX(c_INSy,1,INDEX('Lease Cycles'!$GC$23:$GI$23,1,X265)+1)))/12)</f>
        <v>0</v>
      </c>
      <c r="Y276" s="28">
        <f>IF(Y275=0,0,Y275*MAX(0,(INDEX(c_CAMy,1,Y$7)-INDEX(c_CAMy,1,INDEX('Lease Cycles'!$GC$23:$GI$23,1,Y265)+1))*(1+'Lease Cycles'!$AK$23)+(INDEX(c_TAXy,1,Y$7)-INDEX(c_TAXy,1,INDEX('Lease Cycles'!$GC$23:$GI$23,1,Y265)+1))+(INDEX(c_INSy,1,Y$7)-INDEX(c_INSy,1,INDEX('Lease Cycles'!$GC$23:$GI$23,1,Y265)+1)))/12)</f>
        <v>0</v>
      </c>
      <c r="Z276" s="28">
        <f>IF(Z275=0,0,Z275*MAX(0,(INDEX(c_CAMy,1,Z$7)-INDEX(c_CAMy,1,INDEX('Lease Cycles'!$GC$23:$GI$23,1,Z265)+1))*(1+'Lease Cycles'!$AK$23)+(INDEX(c_TAXy,1,Z$7)-INDEX(c_TAXy,1,INDEX('Lease Cycles'!$GC$23:$GI$23,1,Z265)+1))+(INDEX(c_INSy,1,Z$7)-INDEX(c_INSy,1,INDEX('Lease Cycles'!$GC$23:$GI$23,1,Z265)+1)))/12)</f>
        <v>0</v>
      </c>
      <c r="AA276" s="28">
        <f>IF(AA275=0,0,AA275*MAX(0,(INDEX(c_CAMy,1,AA$7)-INDEX(c_CAMy,1,INDEX('Lease Cycles'!$GC$23:$GI$23,1,AA265)+1))*(1+'Lease Cycles'!$AK$23)+(INDEX(c_TAXy,1,AA$7)-INDEX(c_TAXy,1,INDEX('Lease Cycles'!$GC$23:$GI$23,1,AA265)+1))+(INDEX(c_INSy,1,AA$7)-INDEX(c_INSy,1,INDEX('Lease Cycles'!$GC$23:$GI$23,1,AA265)+1)))/12)</f>
        <v>0</v>
      </c>
      <c r="AB276" s="28">
        <f>IF(AB275=0,0,AB275*MAX(0,(INDEX(c_CAMy,1,AB$7)-INDEX(c_CAMy,1,INDEX('Lease Cycles'!$GC$23:$GI$23,1,AB265)+1))*(1+'Lease Cycles'!$AK$23)+(INDEX(c_TAXy,1,AB$7)-INDEX(c_TAXy,1,INDEX('Lease Cycles'!$GC$23:$GI$23,1,AB265)+1))+(INDEX(c_INSy,1,AB$7)-INDEX(c_INSy,1,INDEX('Lease Cycles'!$GC$23:$GI$23,1,AB265)+1)))/12)</f>
        <v>0</v>
      </c>
      <c r="AC276" s="28">
        <f>IF(AC275=0,0,AC275*MAX(0,(INDEX(c_CAMy,1,AC$7)-INDEX(c_CAMy,1,INDEX('Lease Cycles'!$GC$23:$GI$23,1,AC265)+1))*(1+'Lease Cycles'!$AK$23)+(INDEX(c_TAXy,1,AC$7)-INDEX(c_TAXy,1,INDEX('Lease Cycles'!$GC$23:$GI$23,1,AC265)+1))+(INDEX(c_INSy,1,AC$7)-INDEX(c_INSy,1,INDEX('Lease Cycles'!$GC$23:$GI$23,1,AC265)+1)))/12)</f>
        <v>0</v>
      </c>
      <c r="AD276" s="28">
        <f>IF(AD275=0,0,AD275*MAX(0,(INDEX(c_CAMy,1,AD$7)-INDEX(c_CAMy,1,INDEX('Lease Cycles'!$GC$23:$GI$23,1,AD265)+1))*(1+'Lease Cycles'!$AK$23)+(INDEX(c_TAXy,1,AD$7)-INDEX(c_TAXy,1,INDEX('Lease Cycles'!$GC$23:$GI$23,1,AD265)+1))+(INDEX(c_INSy,1,AD$7)-INDEX(c_INSy,1,INDEX('Lease Cycles'!$GC$23:$GI$23,1,AD265)+1)))/12)</f>
        <v>0</v>
      </c>
      <c r="AE276" s="28">
        <f>IF(AE275=0,0,AE275*MAX(0,(INDEX(c_CAMy,1,AE$7)-INDEX(c_CAMy,1,INDEX('Lease Cycles'!$GC$23:$GI$23,1,AE265)+1))*(1+'Lease Cycles'!$AK$23)+(INDEX(c_TAXy,1,AE$7)-INDEX(c_TAXy,1,INDEX('Lease Cycles'!$GC$23:$GI$23,1,AE265)+1))+(INDEX(c_INSy,1,AE$7)-INDEX(c_INSy,1,INDEX('Lease Cycles'!$GC$23:$GI$23,1,AE265)+1)))/12)</f>
        <v>0</v>
      </c>
      <c r="AF276" s="28">
        <f>IF(AF275=0,0,AF275*MAX(0,(INDEX(c_CAMy,1,AF$7)-INDEX(c_CAMy,1,INDEX('Lease Cycles'!$GC$23:$GI$23,1,AF265)+1))*(1+'Lease Cycles'!$AK$23)+(INDEX(c_TAXy,1,AF$7)-INDEX(c_TAXy,1,INDEX('Lease Cycles'!$GC$23:$GI$23,1,AF265)+1))+(INDEX(c_INSy,1,AF$7)-INDEX(c_INSy,1,INDEX('Lease Cycles'!$GC$23:$GI$23,1,AF265)+1)))/12)</f>
        <v>0</v>
      </c>
      <c r="AG276" s="28">
        <f>IF(AG275=0,0,AG275*MAX(0,(INDEX(c_CAMy,1,AG$7)-INDEX(c_CAMy,1,INDEX('Lease Cycles'!$GC$23:$GI$23,1,AG265)+1))*(1+'Lease Cycles'!$AK$23)+(INDEX(c_TAXy,1,AG$7)-INDEX(c_TAXy,1,INDEX('Lease Cycles'!$GC$23:$GI$23,1,AG265)+1))+(INDEX(c_INSy,1,AG$7)-INDEX(c_INSy,1,INDEX('Lease Cycles'!$GC$23:$GI$23,1,AG265)+1)))/12)</f>
        <v>0</v>
      </c>
      <c r="AH276" s="28">
        <f>IF(AH275=0,0,AH275*MAX(0,(INDEX(c_CAMy,1,AH$7)-INDEX(c_CAMy,1,INDEX('Lease Cycles'!$GC$23:$GI$23,1,AH265)+1))*(1+'Lease Cycles'!$AK$23)+(INDEX(c_TAXy,1,AH$7)-INDEX(c_TAXy,1,INDEX('Lease Cycles'!$GC$23:$GI$23,1,AH265)+1))+(INDEX(c_INSy,1,AH$7)-INDEX(c_INSy,1,INDEX('Lease Cycles'!$GC$23:$GI$23,1,AH265)+1)))/12)</f>
        <v>0</v>
      </c>
      <c r="AI276" s="28">
        <f>IF(AI275=0,0,AI275*MAX(0,(INDEX(c_CAMy,1,AI$7)-INDEX(c_CAMy,1,INDEX('Lease Cycles'!$GC$23:$GI$23,1,AI265)+1))*(1+'Lease Cycles'!$AK$23)+(INDEX(c_TAXy,1,AI$7)-INDEX(c_TAXy,1,INDEX('Lease Cycles'!$GC$23:$GI$23,1,AI265)+1))+(INDEX(c_INSy,1,AI$7)-INDEX(c_INSy,1,INDEX('Lease Cycles'!$GC$23:$GI$23,1,AI265)+1)))/12)</f>
        <v>0</v>
      </c>
      <c r="AJ276" s="28">
        <f>IF(AJ275=0,0,AJ275*MAX(0,(INDEX(c_CAMy,1,AJ$7)-INDEX(c_CAMy,1,INDEX('Lease Cycles'!$GC$23:$GI$23,1,AJ265)+1))*(1+'Lease Cycles'!$AK$23)+(INDEX(c_TAXy,1,AJ$7)-INDEX(c_TAXy,1,INDEX('Lease Cycles'!$GC$23:$GI$23,1,AJ265)+1))+(INDEX(c_INSy,1,AJ$7)-INDEX(c_INSy,1,INDEX('Lease Cycles'!$GC$23:$GI$23,1,AJ265)+1)))/12)</f>
        <v>0</v>
      </c>
      <c r="AK276" s="28">
        <f>IF(AK275=0,0,AK275*MAX(0,(INDEX(c_CAMy,1,AK$7)-INDEX(c_CAMy,1,INDEX('Lease Cycles'!$GC$23:$GI$23,1,AK265)+1))*(1+'Lease Cycles'!$AK$23)+(INDEX(c_TAXy,1,AK$7)-INDEX(c_TAXy,1,INDEX('Lease Cycles'!$GC$23:$GI$23,1,AK265)+1))+(INDEX(c_INSy,1,AK$7)-INDEX(c_INSy,1,INDEX('Lease Cycles'!$GC$23:$GI$23,1,AK265)+1)))/12)</f>
        <v>0</v>
      </c>
      <c r="AL276" s="28">
        <f>IF(AL275=0,0,AL275*MAX(0,(INDEX(c_CAMy,1,AL$7)-INDEX(c_CAMy,1,INDEX('Lease Cycles'!$GC$23:$GI$23,1,AL265)+1))*(1+'Lease Cycles'!$AK$23)+(INDEX(c_TAXy,1,AL$7)-INDEX(c_TAXy,1,INDEX('Lease Cycles'!$GC$23:$GI$23,1,AL265)+1))+(INDEX(c_INSy,1,AL$7)-INDEX(c_INSy,1,INDEX('Lease Cycles'!$GC$23:$GI$23,1,AL265)+1)))/12)</f>
        <v>0</v>
      </c>
      <c r="AM276" s="28">
        <f>IF(AM275=0,0,AM275*MAX(0,(INDEX(c_CAMy,1,AM$7)-INDEX(c_CAMy,1,INDEX('Lease Cycles'!$GC$23:$GI$23,1,AM265)+1))*(1+'Lease Cycles'!$AK$23)+(INDEX(c_TAXy,1,AM$7)-INDEX(c_TAXy,1,INDEX('Lease Cycles'!$GC$23:$GI$23,1,AM265)+1))+(INDEX(c_INSy,1,AM$7)-INDEX(c_INSy,1,INDEX('Lease Cycles'!$GC$23:$GI$23,1,AM265)+1)))/12)</f>
        <v>0</v>
      </c>
      <c r="AN276" s="28">
        <f>IF(AN275=0,0,AN275*MAX(0,(INDEX(c_CAMy,1,AN$7)-INDEX(c_CAMy,1,INDEX('Lease Cycles'!$GC$23:$GI$23,1,AN265)+1))*(1+'Lease Cycles'!$AK$23)+(INDEX(c_TAXy,1,AN$7)-INDEX(c_TAXy,1,INDEX('Lease Cycles'!$GC$23:$GI$23,1,AN265)+1))+(INDEX(c_INSy,1,AN$7)-INDEX(c_INSy,1,INDEX('Lease Cycles'!$GC$23:$GI$23,1,AN265)+1)))/12)</f>
        <v>0</v>
      </c>
      <c r="AO276" s="28">
        <f>IF(AO275=0,0,AO275*MAX(0,(INDEX(c_CAMy,1,AO$7)-INDEX(c_CAMy,1,INDEX('Lease Cycles'!$GC$23:$GI$23,1,AO265)+1))*(1+'Lease Cycles'!$AK$23)+(INDEX(c_TAXy,1,AO$7)-INDEX(c_TAXy,1,INDEX('Lease Cycles'!$GC$23:$GI$23,1,AO265)+1))+(INDEX(c_INSy,1,AO$7)-INDEX(c_INSy,1,INDEX('Lease Cycles'!$GC$23:$GI$23,1,AO265)+1)))/12)</f>
        <v>0</v>
      </c>
      <c r="AP276" s="28">
        <f>IF(AP275=0,0,AP275*MAX(0,(INDEX(c_CAMy,1,AP$7)-INDEX(c_CAMy,1,INDEX('Lease Cycles'!$GC$23:$GI$23,1,AP265)+1))*(1+'Lease Cycles'!$AK$23)+(INDEX(c_TAXy,1,AP$7)-INDEX(c_TAXy,1,INDEX('Lease Cycles'!$GC$23:$GI$23,1,AP265)+1))+(INDEX(c_INSy,1,AP$7)-INDEX(c_INSy,1,INDEX('Lease Cycles'!$GC$23:$GI$23,1,AP265)+1)))/12)</f>
        <v>0</v>
      </c>
      <c r="AQ276" s="28">
        <f>IF(AQ275=0,0,AQ275*MAX(0,(INDEX(c_CAMy,1,AQ$7)-INDEX(c_CAMy,1,INDEX('Lease Cycles'!$GC$23:$GI$23,1,AQ265)+1))*(1+'Lease Cycles'!$AK$23)+(INDEX(c_TAXy,1,AQ$7)-INDEX(c_TAXy,1,INDEX('Lease Cycles'!$GC$23:$GI$23,1,AQ265)+1))+(INDEX(c_INSy,1,AQ$7)-INDEX(c_INSy,1,INDEX('Lease Cycles'!$GC$23:$GI$23,1,AQ265)+1)))/12)</f>
        <v>0</v>
      </c>
      <c r="AR276" s="28">
        <f>IF(AR275=0,0,AR275*MAX(0,(INDEX(c_CAMy,1,AR$7)-INDEX(c_CAMy,1,INDEX('Lease Cycles'!$GC$23:$GI$23,1,AR265)+1))*(1+'Lease Cycles'!$AK$23)+(INDEX(c_TAXy,1,AR$7)-INDEX(c_TAXy,1,INDEX('Lease Cycles'!$GC$23:$GI$23,1,AR265)+1))+(INDEX(c_INSy,1,AR$7)-INDEX(c_INSy,1,INDEX('Lease Cycles'!$GC$23:$GI$23,1,AR265)+1)))/12)</f>
        <v>0</v>
      </c>
      <c r="AS276" s="28">
        <f>IF(AS275=0,0,AS275*MAX(0,(INDEX(c_CAMy,1,AS$7)-INDEX(c_CAMy,1,INDEX('Lease Cycles'!$GC$23:$GI$23,1,AS265)+1))*(1+'Lease Cycles'!$AK$23)+(INDEX(c_TAXy,1,AS$7)-INDEX(c_TAXy,1,INDEX('Lease Cycles'!$GC$23:$GI$23,1,AS265)+1))+(INDEX(c_INSy,1,AS$7)-INDEX(c_INSy,1,INDEX('Lease Cycles'!$GC$23:$GI$23,1,AS265)+1)))/12)</f>
        <v>0</v>
      </c>
      <c r="AT276" s="28">
        <f>IF(AT275=0,0,AT275*MAX(0,(INDEX(c_CAMy,1,AT$7)-INDEX(c_CAMy,1,INDEX('Lease Cycles'!$GC$23:$GI$23,1,AT265)+1))*(1+'Lease Cycles'!$AK$23)+(INDEX(c_TAXy,1,AT$7)-INDEX(c_TAXy,1,INDEX('Lease Cycles'!$GC$23:$GI$23,1,AT265)+1))+(INDEX(c_INSy,1,AT$7)-INDEX(c_INSy,1,INDEX('Lease Cycles'!$GC$23:$GI$23,1,AT265)+1)))/12)</f>
        <v>0</v>
      </c>
      <c r="AU276" s="28">
        <f>IF(AU275=0,0,AU275*MAX(0,(INDEX(c_CAMy,1,AU$7)-INDEX(c_CAMy,1,INDEX('Lease Cycles'!$GC$23:$GI$23,1,AU265)+1))*(1+'Lease Cycles'!$AK$23)+(INDEX(c_TAXy,1,AU$7)-INDEX(c_TAXy,1,INDEX('Lease Cycles'!$GC$23:$GI$23,1,AU265)+1))+(INDEX(c_INSy,1,AU$7)-INDEX(c_INSy,1,INDEX('Lease Cycles'!$GC$23:$GI$23,1,AU265)+1)))/12)</f>
        <v>0</v>
      </c>
      <c r="AV276" s="28">
        <f>IF(AV275=0,0,AV275*MAX(0,(INDEX(c_CAMy,1,AV$7)-INDEX(c_CAMy,1,INDEX('Lease Cycles'!$GC$23:$GI$23,1,AV265)+1))*(1+'Lease Cycles'!$AK$23)+(INDEX(c_TAXy,1,AV$7)-INDEX(c_TAXy,1,INDEX('Lease Cycles'!$GC$23:$GI$23,1,AV265)+1))+(INDEX(c_INSy,1,AV$7)-INDEX(c_INSy,1,INDEX('Lease Cycles'!$GC$23:$GI$23,1,AV265)+1)))/12)</f>
        <v>0</v>
      </c>
      <c r="AW276" s="28">
        <f>IF(AW275=0,0,AW275*MAX(0,(INDEX(c_CAMy,1,AW$7)-INDEX(c_CAMy,1,INDEX('Lease Cycles'!$GC$23:$GI$23,1,AW265)+1))*(1+'Lease Cycles'!$AK$23)+(INDEX(c_TAXy,1,AW$7)-INDEX(c_TAXy,1,INDEX('Lease Cycles'!$GC$23:$GI$23,1,AW265)+1))+(INDEX(c_INSy,1,AW$7)-INDEX(c_INSy,1,INDEX('Lease Cycles'!$GC$23:$GI$23,1,AW265)+1)))/12)</f>
        <v>0</v>
      </c>
      <c r="AX276" s="28">
        <f>IF(AX275=0,0,AX275*MAX(0,(INDEX(c_CAMy,1,AX$7)-INDEX(c_CAMy,1,INDEX('Lease Cycles'!$GC$23:$GI$23,1,AX265)+1))*(1+'Lease Cycles'!$AK$23)+(INDEX(c_TAXy,1,AX$7)-INDEX(c_TAXy,1,INDEX('Lease Cycles'!$GC$23:$GI$23,1,AX265)+1))+(INDEX(c_INSy,1,AX$7)-INDEX(c_INSy,1,INDEX('Lease Cycles'!$GC$23:$GI$23,1,AX265)+1)))/12)</f>
        <v>0</v>
      </c>
      <c r="AY276" s="28">
        <f>IF(AY275=0,0,AY275*MAX(0,(INDEX(c_CAMy,1,AY$7)-INDEX(c_CAMy,1,INDEX('Lease Cycles'!$GC$23:$GI$23,1,AY265)+1))*(1+'Lease Cycles'!$AK$23)+(INDEX(c_TAXy,1,AY$7)-INDEX(c_TAXy,1,INDEX('Lease Cycles'!$GC$23:$GI$23,1,AY265)+1))+(INDEX(c_INSy,1,AY$7)-INDEX(c_INSy,1,INDEX('Lease Cycles'!$GC$23:$GI$23,1,AY265)+1)))/12)</f>
        <v>0</v>
      </c>
      <c r="AZ276" s="28">
        <f>IF(AZ275=0,0,AZ275*MAX(0,(INDEX(c_CAMy,1,AZ$7)-INDEX(c_CAMy,1,INDEX('Lease Cycles'!$GC$23:$GI$23,1,AZ265)+1))*(1+'Lease Cycles'!$AK$23)+(INDEX(c_TAXy,1,AZ$7)-INDEX(c_TAXy,1,INDEX('Lease Cycles'!$GC$23:$GI$23,1,AZ265)+1))+(INDEX(c_INSy,1,AZ$7)-INDEX(c_INSy,1,INDEX('Lease Cycles'!$GC$23:$GI$23,1,AZ265)+1)))/12)</f>
        <v>0</v>
      </c>
      <c r="BA276" s="28">
        <f>IF(BA275=0,0,BA275*MAX(0,(INDEX(c_CAMy,1,BA$7)-INDEX(c_CAMy,1,INDEX('Lease Cycles'!$GC$23:$GI$23,1,BA265)+1))*(1+'Lease Cycles'!$AK$23)+(INDEX(c_TAXy,1,BA$7)-INDEX(c_TAXy,1,INDEX('Lease Cycles'!$GC$23:$GI$23,1,BA265)+1))+(INDEX(c_INSy,1,BA$7)-INDEX(c_INSy,1,INDEX('Lease Cycles'!$GC$23:$GI$23,1,BA265)+1)))/12)</f>
        <v>0</v>
      </c>
      <c r="BB276" s="28">
        <f>IF(BB275=0,0,BB275*MAX(0,(INDEX(c_CAMy,1,BB$7)-INDEX(c_CAMy,1,INDEX('Lease Cycles'!$GC$23:$GI$23,1,BB265)+1))*(1+'Lease Cycles'!$AK$23)+(INDEX(c_TAXy,1,BB$7)-INDEX(c_TAXy,1,INDEX('Lease Cycles'!$GC$23:$GI$23,1,BB265)+1))+(INDEX(c_INSy,1,BB$7)-INDEX(c_INSy,1,INDEX('Lease Cycles'!$GC$23:$GI$23,1,BB265)+1)))/12)</f>
        <v>0</v>
      </c>
      <c r="BC276" s="28">
        <f>IF(BC275=0,0,BC275*MAX(0,(INDEX(c_CAMy,1,BC$7)-INDEX(c_CAMy,1,INDEX('Lease Cycles'!$GC$23:$GI$23,1,BC265)+1))*(1+'Lease Cycles'!$AK$23)+(INDEX(c_TAXy,1,BC$7)-INDEX(c_TAXy,1,INDEX('Lease Cycles'!$GC$23:$GI$23,1,BC265)+1))+(INDEX(c_INSy,1,BC$7)-INDEX(c_INSy,1,INDEX('Lease Cycles'!$GC$23:$GI$23,1,BC265)+1)))/12)</f>
        <v>0</v>
      </c>
      <c r="BD276" s="28">
        <f>IF(BD275=0,0,BD275*MAX(0,(INDEX(c_CAMy,1,BD$7)-INDEX(c_CAMy,1,INDEX('Lease Cycles'!$GC$23:$GI$23,1,BD265)+1))*(1+'Lease Cycles'!$AK$23)+(INDEX(c_TAXy,1,BD$7)-INDEX(c_TAXy,1,INDEX('Lease Cycles'!$GC$23:$GI$23,1,BD265)+1))+(INDEX(c_INSy,1,BD$7)-INDEX(c_INSy,1,INDEX('Lease Cycles'!$GC$23:$GI$23,1,BD265)+1)))/12)</f>
        <v>0</v>
      </c>
      <c r="BE276" s="28">
        <f>IF(BE275=0,0,BE275*MAX(0,(INDEX(c_CAMy,1,BE$7)-INDEX(c_CAMy,1,INDEX('Lease Cycles'!$GC$23:$GI$23,1,BE265)+1))*(1+'Lease Cycles'!$AK$23)+(INDEX(c_TAXy,1,BE$7)-INDEX(c_TAXy,1,INDEX('Lease Cycles'!$GC$23:$GI$23,1,BE265)+1))+(INDEX(c_INSy,1,BE$7)-INDEX(c_INSy,1,INDEX('Lease Cycles'!$GC$23:$GI$23,1,BE265)+1)))/12)</f>
        <v>0</v>
      </c>
      <c r="BF276" s="28">
        <f>IF(BF275=0,0,BF275*MAX(0,(INDEX(c_CAMy,1,BF$7)-INDEX(c_CAMy,1,INDEX('Lease Cycles'!$GC$23:$GI$23,1,BF265)+1))*(1+'Lease Cycles'!$AK$23)+(INDEX(c_TAXy,1,BF$7)-INDEX(c_TAXy,1,INDEX('Lease Cycles'!$GC$23:$GI$23,1,BF265)+1))+(INDEX(c_INSy,1,BF$7)-INDEX(c_INSy,1,INDEX('Lease Cycles'!$GC$23:$GI$23,1,BF265)+1)))/12)</f>
        <v>0</v>
      </c>
      <c r="BG276" s="28">
        <f>IF(BG275=0,0,BG275*MAX(0,(INDEX(c_CAMy,1,BG$7)-INDEX(c_CAMy,1,INDEX('Lease Cycles'!$GC$23:$GI$23,1,BG265)+1))*(1+'Lease Cycles'!$AK$23)+(INDEX(c_TAXy,1,BG$7)-INDEX(c_TAXy,1,INDEX('Lease Cycles'!$GC$23:$GI$23,1,BG265)+1))+(INDEX(c_INSy,1,BG$7)-INDEX(c_INSy,1,INDEX('Lease Cycles'!$GC$23:$GI$23,1,BG265)+1)))/12)</f>
        <v>0</v>
      </c>
      <c r="BH276" s="28">
        <f>IF(BH275=0,0,BH275*MAX(0,(INDEX(c_CAMy,1,BH$7)-INDEX(c_CAMy,1,INDEX('Lease Cycles'!$GC$23:$GI$23,1,BH265)+1))*(1+'Lease Cycles'!$AK$23)+(INDEX(c_TAXy,1,BH$7)-INDEX(c_TAXy,1,INDEX('Lease Cycles'!$GC$23:$GI$23,1,BH265)+1))+(INDEX(c_INSy,1,BH$7)-INDEX(c_INSy,1,INDEX('Lease Cycles'!$GC$23:$GI$23,1,BH265)+1)))/12)</f>
        <v>0</v>
      </c>
      <c r="BI276" s="28">
        <f>IF(BI275=0,0,BI275*MAX(0,(INDEX(c_CAMy,1,BI$7)-INDEX(c_CAMy,1,INDEX('Lease Cycles'!$GC$23:$GI$23,1,BI265)+1))*(1+'Lease Cycles'!$AK$23)+(INDEX(c_TAXy,1,BI$7)-INDEX(c_TAXy,1,INDEX('Lease Cycles'!$GC$23:$GI$23,1,BI265)+1))+(INDEX(c_INSy,1,BI$7)-INDEX(c_INSy,1,INDEX('Lease Cycles'!$GC$23:$GI$23,1,BI265)+1)))/12)</f>
        <v>0</v>
      </c>
      <c r="BJ276" s="28">
        <f>IF(BJ275=0,0,BJ275*MAX(0,(INDEX(c_CAMy,1,BJ$7)-INDEX(c_CAMy,1,INDEX('Lease Cycles'!$GC$23:$GI$23,1,BJ265)+1))*(1+'Lease Cycles'!$AK$23)+(INDEX(c_TAXy,1,BJ$7)-INDEX(c_TAXy,1,INDEX('Lease Cycles'!$GC$23:$GI$23,1,BJ265)+1))+(INDEX(c_INSy,1,BJ$7)-INDEX(c_INSy,1,INDEX('Lease Cycles'!$GC$23:$GI$23,1,BJ265)+1)))/12)</f>
        <v>0</v>
      </c>
      <c r="BK276" s="28">
        <f>IF(BK275=0,0,BK275*MAX(0,(INDEX(c_CAMy,1,BK$7)-INDEX(c_CAMy,1,INDEX('Lease Cycles'!$GC$23:$GI$23,1,BK265)+1))*(1+'Lease Cycles'!$AK$23)+(INDEX(c_TAXy,1,BK$7)-INDEX(c_TAXy,1,INDEX('Lease Cycles'!$GC$23:$GI$23,1,BK265)+1))+(INDEX(c_INSy,1,BK$7)-INDEX(c_INSy,1,INDEX('Lease Cycles'!$GC$23:$GI$23,1,BK265)+1)))/12)</f>
        <v>0</v>
      </c>
      <c r="BL276" s="28">
        <f>IF(BL275=0,0,BL275*MAX(0,(INDEX(c_CAMy,1,BL$7)-INDEX(c_CAMy,1,INDEX('Lease Cycles'!$GC$23:$GI$23,1,BL265)+1))*(1+'Lease Cycles'!$AK$23)+(INDEX(c_TAXy,1,BL$7)-INDEX(c_TAXy,1,INDEX('Lease Cycles'!$GC$23:$GI$23,1,BL265)+1))+(INDEX(c_INSy,1,BL$7)-INDEX(c_INSy,1,INDEX('Lease Cycles'!$GC$23:$GI$23,1,BL265)+1)))/12)</f>
        <v>0</v>
      </c>
      <c r="BM276" s="28">
        <f>IF(BM275=0,0,BM275*MAX(0,(INDEX(c_CAMy,1,BM$7)-INDEX(c_CAMy,1,INDEX('Lease Cycles'!$GC$23:$GI$23,1,BM265)+1))*(1+'Lease Cycles'!$AK$23)+(INDEX(c_TAXy,1,BM$7)-INDEX(c_TAXy,1,INDEX('Lease Cycles'!$GC$23:$GI$23,1,BM265)+1))+(INDEX(c_INSy,1,BM$7)-INDEX(c_INSy,1,INDEX('Lease Cycles'!$GC$23:$GI$23,1,BM265)+1)))/12)</f>
        <v>0</v>
      </c>
      <c r="BN276" s="28">
        <f>IF(BN275=0,0,BN275*MAX(0,(INDEX(c_CAMy,1,BN$7)-INDEX(c_CAMy,1,INDEX('Lease Cycles'!$GC$23:$GI$23,1,BN265)+1))*(1+'Lease Cycles'!$AK$23)+(INDEX(c_TAXy,1,BN$7)-INDEX(c_TAXy,1,INDEX('Lease Cycles'!$GC$23:$GI$23,1,BN265)+1))+(INDEX(c_INSy,1,BN$7)-INDEX(c_INSy,1,INDEX('Lease Cycles'!$GC$23:$GI$23,1,BN265)+1)))/12)</f>
        <v>0</v>
      </c>
      <c r="BO276" s="28">
        <f>IF(BO275=0,0,BO275*MAX(0,(INDEX(c_CAMy,1,BO$7)-INDEX(c_CAMy,1,INDEX('Lease Cycles'!$GC$23:$GI$23,1,BO265)+1))*(1+'Lease Cycles'!$AK$23)+(INDEX(c_TAXy,1,BO$7)-INDEX(c_TAXy,1,INDEX('Lease Cycles'!$GC$23:$GI$23,1,BO265)+1))+(INDEX(c_INSy,1,BO$7)-INDEX(c_INSy,1,INDEX('Lease Cycles'!$GC$23:$GI$23,1,BO265)+1)))/12)</f>
        <v>0</v>
      </c>
      <c r="BP276" s="28">
        <f>IF(BP275=0,0,BP275*MAX(0,(INDEX(c_CAMy,1,BP$7)-INDEX(c_CAMy,1,INDEX('Lease Cycles'!$GC$23:$GI$23,1,BP265)+1))*(1+'Lease Cycles'!$AK$23)+(INDEX(c_TAXy,1,BP$7)-INDEX(c_TAXy,1,INDEX('Lease Cycles'!$GC$23:$GI$23,1,BP265)+1))+(INDEX(c_INSy,1,BP$7)-INDEX(c_INSy,1,INDEX('Lease Cycles'!$GC$23:$GI$23,1,BP265)+1)))/12)</f>
        <v>0</v>
      </c>
      <c r="BQ276" s="28">
        <f>IF(BQ275=0,0,BQ275*MAX(0,(INDEX(c_CAMy,1,BQ$7)-INDEX(c_CAMy,1,INDEX('Lease Cycles'!$GC$23:$GI$23,1,BQ265)+1))*(1+'Lease Cycles'!$AK$23)+(INDEX(c_TAXy,1,BQ$7)-INDEX(c_TAXy,1,INDEX('Lease Cycles'!$GC$23:$GI$23,1,BQ265)+1))+(INDEX(c_INSy,1,BQ$7)-INDEX(c_INSy,1,INDEX('Lease Cycles'!$GC$23:$GI$23,1,BQ265)+1)))/12)</f>
        <v>0</v>
      </c>
      <c r="BR276" s="28">
        <f>IF(BR275=0,0,BR275*MAX(0,(INDEX(c_CAMy,1,BR$7)-INDEX(c_CAMy,1,INDEX('Lease Cycles'!$GC$23:$GI$23,1,BR265)+1))*(1+'Lease Cycles'!$AK$23)+(INDEX(c_TAXy,1,BR$7)-INDEX(c_TAXy,1,INDEX('Lease Cycles'!$GC$23:$GI$23,1,BR265)+1))+(INDEX(c_INSy,1,BR$7)-INDEX(c_INSy,1,INDEX('Lease Cycles'!$GC$23:$GI$23,1,BR265)+1)))/12)</f>
        <v>0</v>
      </c>
      <c r="BS276" s="28">
        <f>IF(BS275=0,0,BS275*MAX(0,(INDEX(c_CAMy,1,BS$7)-INDEX(c_CAMy,1,INDEX('Lease Cycles'!$GC$23:$GI$23,1,BS265)+1))*(1+'Lease Cycles'!$AK$23)+(INDEX(c_TAXy,1,BS$7)-INDEX(c_TAXy,1,INDEX('Lease Cycles'!$GC$23:$GI$23,1,BS265)+1))+(INDEX(c_INSy,1,BS$7)-INDEX(c_INSy,1,INDEX('Lease Cycles'!$GC$23:$GI$23,1,BS265)+1)))/12)</f>
        <v>0</v>
      </c>
      <c r="BT276" s="28">
        <f>IF(BT275=0,0,BT275*MAX(0,(INDEX(c_CAMy,1,BT$7)-INDEX(c_CAMy,1,INDEX('Lease Cycles'!$GC$23:$GI$23,1,BT265)+1))*(1+'Lease Cycles'!$AK$23)+(INDEX(c_TAXy,1,BT$7)-INDEX(c_TAXy,1,INDEX('Lease Cycles'!$GC$23:$GI$23,1,BT265)+1))+(INDEX(c_INSy,1,BT$7)-INDEX(c_INSy,1,INDEX('Lease Cycles'!$GC$23:$GI$23,1,BT265)+1)))/12)</f>
        <v>0</v>
      </c>
      <c r="BU276" s="28">
        <f>IF(BU275=0,0,BU275*MAX(0,(INDEX(c_CAMy,1,BU$7)-INDEX(c_CAMy,1,INDEX('Lease Cycles'!$GC$23:$GI$23,1,BU265)+1))*(1+'Lease Cycles'!$AK$23)+(INDEX(c_TAXy,1,BU$7)-INDEX(c_TAXy,1,INDEX('Lease Cycles'!$GC$23:$GI$23,1,BU265)+1))+(INDEX(c_INSy,1,BU$7)-INDEX(c_INSy,1,INDEX('Lease Cycles'!$GC$23:$GI$23,1,BU265)+1)))/12)</f>
        <v>0</v>
      </c>
      <c r="BV276" s="28">
        <f>IF(BV275=0,0,BV275*MAX(0,(INDEX(c_CAMy,1,BV$7)-INDEX(c_CAMy,1,INDEX('Lease Cycles'!$GC$23:$GI$23,1,BV265)+1))*(1+'Lease Cycles'!$AK$23)+(INDEX(c_TAXy,1,BV$7)-INDEX(c_TAXy,1,INDEX('Lease Cycles'!$GC$23:$GI$23,1,BV265)+1))+(INDEX(c_INSy,1,BV$7)-INDEX(c_INSy,1,INDEX('Lease Cycles'!$GC$23:$GI$23,1,BV265)+1)))/12)</f>
        <v>0</v>
      </c>
      <c r="BW276" s="28">
        <f>IF(BW275=0,0,BW275*MAX(0,(INDEX(c_CAMy,1,BW$7)-INDEX(c_CAMy,1,INDEX('Lease Cycles'!$GC$23:$GI$23,1,BW265)+1))*(1+'Lease Cycles'!$AK$23)+(INDEX(c_TAXy,1,BW$7)-INDEX(c_TAXy,1,INDEX('Lease Cycles'!$GC$23:$GI$23,1,BW265)+1))+(INDEX(c_INSy,1,BW$7)-INDEX(c_INSy,1,INDEX('Lease Cycles'!$GC$23:$GI$23,1,BW265)+1)))/12)</f>
        <v>0</v>
      </c>
      <c r="BX276" s="28">
        <f>IF(BX275=0,0,BX275*MAX(0,(INDEX(c_CAMy,1,BX$7)-INDEX(c_CAMy,1,INDEX('Lease Cycles'!$GC$23:$GI$23,1,BX265)+1))*(1+'Lease Cycles'!$AK$23)+(INDEX(c_TAXy,1,BX$7)-INDEX(c_TAXy,1,INDEX('Lease Cycles'!$GC$23:$GI$23,1,BX265)+1))+(INDEX(c_INSy,1,BX$7)-INDEX(c_INSy,1,INDEX('Lease Cycles'!$GC$23:$GI$23,1,BX265)+1)))/12)</f>
        <v>0</v>
      </c>
      <c r="BY276" s="28">
        <f>IF(BY275=0,0,BY275*MAX(0,(INDEX(c_CAMy,1,BY$7)-INDEX(c_CAMy,1,INDEX('Lease Cycles'!$GC$23:$GI$23,1,BY265)+1))*(1+'Lease Cycles'!$AK$23)+(INDEX(c_TAXy,1,BY$7)-INDEX(c_TAXy,1,INDEX('Lease Cycles'!$GC$23:$GI$23,1,BY265)+1))+(INDEX(c_INSy,1,BY$7)-INDEX(c_INSy,1,INDEX('Lease Cycles'!$GC$23:$GI$23,1,BY265)+1)))/12)</f>
        <v>0</v>
      </c>
      <c r="BZ276" s="28">
        <f>IF(BZ275=0,0,BZ275*MAX(0,(INDEX(c_CAMy,1,BZ$7)-INDEX(c_CAMy,1,INDEX('Lease Cycles'!$GC$23:$GI$23,1,BZ265)+1))*(1+'Lease Cycles'!$AK$23)+(INDEX(c_TAXy,1,BZ$7)-INDEX(c_TAXy,1,INDEX('Lease Cycles'!$GC$23:$GI$23,1,BZ265)+1))+(INDEX(c_INSy,1,BZ$7)-INDEX(c_INSy,1,INDEX('Lease Cycles'!$GC$23:$GI$23,1,BZ265)+1)))/12)</f>
        <v>0</v>
      </c>
      <c r="CA276" s="28">
        <f>IF(CA275=0,0,CA275*MAX(0,(INDEX(c_CAMy,1,CA$7)-INDEX(c_CAMy,1,INDEX('Lease Cycles'!$GC$23:$GI$23,1,CA265)+1))*(1+'Lease Cycles'!$AK$23)+(INDEX(c_TAXy,1,CA$7)-INDEX(c_TAXy,1,INDEX('Lease Cycles'!$GC$23:$GI$23,1,CA265)+1))+(INDEX(c_INSy,1,CA$7)-INDEX(c_INSy,1,INDEX('Lease Cycles'!$GC$23:$GI$23,1,CA265)+1)))/12)</f>
        <v>0</v>
      </c>
      <c r="CB276" s="28">
        <f>IF(CB275=0,0,CB275*MAX(0,(INDEX(c_CAMy,1,CB$7)-INDEX(c_CAMy,1,INDEX('Lease Cycles'!$GC$23:$GI$23,1,CB265)+1))*(1+'Lease Cycles'!$AK$23)+(INDEX(c_TAXy,1,CB$7)-INDEX(c_TAXy,1,INDEX('Lease Cycles'!$GC$23:$GI$23,1,CB265)+1))+(INDEX(c_INSy,1,CB$7)-INDEX(c_INSy,1,INDEX('Lease Cycles'!$GC$23:$GI$23,1,CB265)+1)))/12)</f>
        <v>0</v>
      </c>
      <c r="CC276" s="28">
        <f>IF(CC275=0,0,CC275*MAX(0,(INDEX(c_CAMy,1,CC$7)-INDEX(c_CAMy,1,INDEX('Lease Cycles'!$GC$23:$GI$23,1,CC265)+1))*(1+'Lease Cycles'!$AK$23)+(INDEX(c_TAXy,1,CC$7)-INDEX(c_TAXy,1,INDEX('Lease Cycles'!$GC$23:$GI$23,1,CC265)+1))+(INDEX(c_INSy,1,CC$7)-INDEX(c_INSy,1,INDEX('Lease Cycles'!$GC$23:$GI$23,1,CC265)+1)))/12)</f>
        <v>0</v>
      </c>
      <c r="CD276" s="28">
        <f>IF(CD275=0,0,CD275*MAX(0,(INDEX(c_CAMy,1,CD$7)-INDEX(c_CAMy,1,INDEX('Lease Cycles'!$GC$23:$GI$23,1,CD265)+1))*(1+'Lease Cycles'!$AK$23)+(INDEX(c_TAXy,1,CD$7)-INDEX(c_TAXy,1,INDEX('Lease Cycles'!$GC$23:$GI$23,1,CD265)+1))+(INDEX(c_INSy,1,CD$7)-INDEX(c_INSy,1,INDEX('Lease Cycles'!$GC$23:$GI$23,1,CD265)+1)))/12)</f>
        <v>0</v>
      </c>
      <c r="CE276" s="28">
        <f>IF(CE275=0,0,CE275*MAX(0,(INDEX(c_CAMy,1,CE$7)-INDEX(c_CAMy,1,INDEX('Lease Cycles'!$GC$23:$GI$23,1,CE265)+1))*(1+'Lease Cycles'!$AK$23)+(INDEX(c_TAXy,1,CE$7)-INDEX(c_TAXy,1,INDEX('Lease Cycles'!$GC$23:$GI$23,1,CE265)+1))+(INDEX(c_INSy,1,CE$7)-INDEX(c_INSy,1,INDEX('Lease Cycles'!$GC$23:$GI$23,1,CE265)+1)))/12)</f>
        <v>0</v>
      </c>
      <c r="CF276" s="28">
        <f>IF(CF275=0,0,CF275*MAX(0,(INDEX(c_CAMy,1,CF$7)-INDEX(c_CAMy,1,INDEX('Lease Cycles'!$GC$23:$GI$23,1,CF265)+1))*(1+'Lease Cycles'!$AK$23)+(INDEX(c_TAXy,1,CF$7)-INDEX(c_TAXy,1,INDEX('Lease Cycles'!$GC$23:$GI$23,1,CF265)+1))+(INDEX(c_INSy,1,CF$7)-INDEX(c_INSy,1,INDEX('Lease Cycles'!$GC$23:$GI$23,1,CF265)+1)))/12)</f>
        <v>0</v>
      </c>
      <c r="CG276" s="28">
        <f>IF(CG275=0,0,CG275*MAX(0,(INDEX(c_CAMy,1,CG$7)-INDEX(c_CAMy,1,INDEX('Lease Cycles'!$GC$23:$GI$23,1,CG265)+1))*(1+'Lease Cycles'!$AK$23)+(INDEX(c_TAXy,1,CG$7)-INDEX(c_TAXy,1,INDEX('Lease Cycles'!$GC$23:$GI$23,1,CG265)+1))+(INDEX(c_INSy,1,CG$7)-INDEX(c_INSy,1,INDEX('Lease Cycles'!$GC$23:$GI$23,1,CG265)+1)))/12)</f>
        <v>0</v>
      </c>
      <c r="CH276" s="28">
        <f>IF(CH275=0,0,CH275*MAX(0,(INDEX(c_CAMy,1,CH$7)-INDEX(c_CAMy,1,INDEX('Lease Cycles'!$GC$23:$GI$23,1,CH265)+1))*(1+'Lease Cycles'!$AK$23)+(INDEX(c_TAXy,1,CH$7)-INDEX(c_TAXy,1,INDEX('Lease Cycles'!$GC$23:$GI$23,1,CH265)+1))+(INDEX(c_INSy,1,CH$7)-INDEX(c_INSy,1,INDEX('Lease Cycles'!$GC$23:$GI$23,1,CH265)+1)))/12)</f>
        <v>0</v>
      </c>
      <c r="CI276" s="28">
        <f>IF(CI275=0,0,CI275*MAX(0,(INDEX(c_CAMy,1,CI$7)-INDEX(c_CAMy,1,INDEX('Lease Cycles'!$GC$23:$GI$23,1,CI265)+1))*(1+'Lease Cycles'!$AK$23)+(INDEX(c_TAXy,1,CI$7)-INDEX(c_TAXy,1,INDEX('Lease Cycles'!$GC$23:$GI$23,1,CI265)+1))+(INDEX(c_INSy,1,CI$7)-INDEX(c_INSy,1,INDEX('Lease Cycles'!$GC$23:$GI$23,1,CI265)+1)))/12)</f>
        <v>0</v>
      </c>
      <c r="CJ276" s="28">
        <f>IF(CJ275=0,0,CJ275*MAX(0,(INDEX(c_CAMy,1,CJ$7)-INDEX(c_CAMy,1,INDEX('Lease Cycles'!$GC$23:$GI$23,1,CJ265)+1))*(1+'Lease Cycles'!$AK$23)+(INDEX(c_TAXy,1,CJ$7)-INDEX(c_TAXy,1,INDEX('Lease Cycles'!$GC$23:$GI$23,1,CJ265)+1))+(INDEX(c_INSy,1,CJ$7)-INDEX(c_INSy,1,INDEX('Lease Cycles'!$GC$23:$GI$23,1,CJ265)+1)))/12)</f>
        <v>0</v>
      </c>
      <c r="CK276" s="28">
        <f>IF(CK275=0,0,CK275*MAX(0,(INDEX(c_CAMy,1,CK$7)-INDEX(c_CAMy,1,INDEX('Lease Cycles'!$GC$23:$GI$23,1,CK265)+1))*(1+'Lease Cycles'!$AK$23)+(INDEX(c_TAXy,1,CK$7)-INDEX(c_TAXy,1,INDEX('Lease Cycles'!$GC$23:$GI$23,1,CK265)+1))+(INDEX(c_INSy,1,CK$7)-INDEX(c_INSy,1,INDEX('Lease Cycles'!$GC$23:$GI$23,1,CK265)+1)))/12)</f>
        <v>0</v>
      </c>
      <c r="CL276" s="28">
        <f>IF(CL275=0,0,CL275*MAX(0,(INDEX(c_CAMy,1,CL$7)-INDEX(c_CAMy,1,INDEX('Lease Cycles'!$GC$23:$GI$23,1,CL265)+1))*(1+'Lease Cycles'!$AK$23)+(INDEX(c_TAXy,1,CL$7)-INDEX(c_TAXy,1,INDEX('Lease Cycles'!$GC$23:$GI$23,1,CL265)+1))+(INDEX(c_INSy,1,CL$7)-INDEX(c_INSy,1,INDEX('Lease Cycles'!$GC$23:$GI$23,1,CL265)+1)))/12)</f>
        <v>0</v>
      </c>
      <c r="CM276" s="28">
        <f>IF(CM275=0,0,CM275*MAX(0,(INDEX(c_CAMy,1,CM$7)-INDEX(c_CAMy,1,INDEX('Lease Cycles'!$GC$23:$GI$23,1,CM265)+1))*(1+'Lease Cycles'!$AK$23)+(INDEX(c_TAXy,1,CM$7)-INDEX(c_TAXy,1,INDEX('Lease Cycles'!$GC$23:$GI$23,1,CM265)+1))+(INDEX(c_INSy,1,CM$7)-INDEX(c_INSy,1,INDEX('Lease Cycles'!$GC$23:$GI$23,1,CM265)+1)))/12)</f>
        <v>0</v>
      </c>
      <c r="CN276" s="28">
        <f>IF(CN275=0,0,CN275*MAX(0,(INDEX(c_CAMy,1,CN$7)-INDEX(c_CAMy,1,INDEX('Lease Cycles'!$GC$23:$GI$23,1,CN265)+1))*(1+'Lease Cycles'!$AK$23)+(INDEX(c_TAXy,1,CN$7)-INDEX(c_TAXy,1,INDEX('Lease Cycles'!$GC$23:$GI$23,1,CN265)+1))+(INDEX(c_INSy,1,CN$7)-INDEX(c_INSy,1,INDEX('Lease Cycles'!$GC$23:$GI$23,1,CN265)+1)))/12)</f>
        <v>0</v>
      </c>
      <c r="CO276" s="28">
        <f>IF(CO275=0,0,CO275*MAX(0,(INDEX(c_CAMy,1,CO$7)-INDEX(c_CAMy,1,INDEX('Lease Cycles'!$GC$23:$GI$23,1,CO265)+1))*(1+'Lease Cycles'!$AK$23)+(INDEX(c_TAXy,1,CO$7)-INDEX(c_TAXy,1,INDEX('Lease Cycles'!$GC$23:$GI$23,1,CO265)+1))+(INDEX(c_INSy,1,CO$7)-INDEX(c_INSy,1,INDEX('Lease Cycles'!$GC$23:$GI$23,1,CO265)+1)))/12)</f>
        <v>0</v>
      </c>
      <c r="CP276" s="28">
        <f>IF(CP275=0,0,CP275*MAX(0,(INDEX(c_CAMy,1,CP$7)-INDEX(c_CAMy,1,INDEX('Lease Cycles'!$GC$23:$GI$23,1,CP265)+1))*(1+'Lease Cycles'!$AK$23)+(INDEX(c_TAXy,1,CP$7)-INDEX(c_TAXy,1,INDEX('Lease Cycles'!$GC$23:$GI$23,1,CP265)+1))+(INDEX(c_INSy,1,CP$7)-INDEX(c_INSy,1,INDEX('Lease Cycles'!$GC$23:$GI$23,1,CP265)+1)))/12)</f>
        <v>0</v>
      </c>
      <c r="CQ276" s="28">
        <f>IF(CQ275=0,0,CQ275*MAX(0,(INDEX(c_CAMy,1,CQ$7)-INDEX(c_CAMy,1,INDEX('Lease Cycles'!$GC$23:$GI$23,1,CQ265)+1))*(1+'Lease Cycles'!$AK$23)+(INDEX(c_TAXy,1,CQ$7)-INDEX(c_TAXy,1,INDEX('Lease Cycles'!$GC$23:$GI$23,1,CQ265)+1))+(INDEX(c_INSy,1,CQ$7)-INDEX(c_INSy,1,INDEX('Lease Cycles'!$GC$23:$GI$23,1,CQ265)+1)))/12)</f>
        <v>0</v>
      </c>
      <c r="CR276" s="28">
        <f>IF(CR275=0,0,CR275*MAX(0,(INDEX(c_CAMy,1,CR$7)-INDEX(c_CAMy,1,INDEX('Lease Cycles'!$GC$23:$GI$23,1,CR265)+1))*(1+'Lease Cycles'!$AK$23)+(INDEX(c_TAXy,1,CR$7)-INDEX(c_TAXy,1,INDEX('Lease Cycles'!$GC$23:$GI$23,1,CR265)+1))+(INDEX(c_INSy,1,CR$7)-INDEX(c_INSy,1,INDEX('Lease Cycles'!$GC$23:$GI$23,1,CR265)+1)))/12)</f>
        <v>0</v>
      </c>
      <c r="CS276" s="28">
        <f>IF(CS275=0,0,CS275*MAX(0,(INDEX(c_CAMy,1,CS$7)-INDEX(c_CAMy,1,INDEX('Lease Cycles'!$GC$23:$GI$23,1,CS265)+1))*(1+'Lease Cycles'!$AK$23)+(INDEX(c_TAXy,1,CS$7)-INDEX(c_TAXy,1,INDEX('Lease Cycles'!$GC$23:$GI$23,1,CS265)+1))+(INDEX(c_INSy,1,CS$7)-INDEX(c_INSy,1,INDEX('Lease Cycles'!$GC$23:$GI$23,1,CS265)+1)))/12)</f>
        <v>0</v>
      </c>
      <c r="CT276" s="28">
        <f>IF(CT275=0,0,CT275*MAX(0,(INDEX(c_CAMy,1,CT$7)-INDEX(c_CAMy,1,INDEX('Lease Cycles'!$GC$23:$GI$23,1,CT265)+1))*(1+'Lease Cycles'!$AK$23)+(INDEX(c_TAXy,1,CT$7)-INDEX(c_TAXy,1,INDEX('Lease Cycles'!$GC$23:$GI$23,1,CT265)+1))+(INDEX(c_INSy,1,CT$7)-INDEX(c_INSy,1,INDEX('Lease Cycles'!$GC$23:$GI$23,1,CT265)+1)))/12)</f>
        <v>0</v>
      </c>
      <c r="CU276" s="28">
        <f>IF(CU275=0,0,CU275*MAX(0,(INDEX(c_CAMy,1,CU$7)-INDEX(c_CAMy,1,INDEX('Lease Cycles'!$GC$23:$GI$23,1,CU265)+1))*(1+'Lease Cycles'!$AK$23)+(INDEX(c_TAXy,1,CU$7)-INDEX(c_TAXy,1,INDEX('Lease Cycles'!$GC$23:$GI$23,1,CU265)+1))+(INDEX(c_INSy,1,CU$7)-INDEX(c_INSy,1,INDEX('Lease Cycles'!$GC$23:$GI$23,1,CU265)+1)))/12)</f>
        <v>0</v>
      </c>
      <c r="CV276" s="28">
        <f>IF(CV275=0,0,CV275*MAX(0,(INDEX(c_CAMy,1,CV$7)-INDEX(c_CAMy,1,INDEX('Lease Cycles'!$GC$23:$GI$23,1,CV265)+1))*(1+'Lease Cycles'!$AK$23)+(INDEX(c_TAXy,1,CV$7)-INDEX(c_TAXy,1,INDEX('Lease Cycles'!$GC$23:$GI$23,1,CV265)+1))+(INDEX(c_INSy,1,CV$7)-INDEX(c_INSy,1,INDEX('Lease Cycles'!$GC$23:$GI$23,1,CV265)+1)))/12)</f>
        <v>0</v>
      </c>
      <c r="CW276" s="28">
        <f>IF(CW275=0,0,CW275*MAX(0,(INDEX(c_CAMy,1,CW$7)-INDEX(c_CAMy,1,INDEX('Lease Cycles'!$GC$23:$GI$23,1,CW265)+1))*(1+'Lease Cycles'!$AK$23)+(INDEX(c_TAXy,1,CW$7)-INDEX(c_TAXy,1,INDEX('Lease Cycles'!$GC$23:$GI$23,1,CW265)+1))+(INDEX(c_INSy,1,CW$7)-INDEX(c_INSy,1,INDEX('Lease Cycles'!$GC$23:$GI$23,1,CW265)+1)))/12)</f>
        <v>0</v>
      </c>
      <c r="CX276" s="28">
        <f>IF(CX275=0,0,CX275*MAX(0,(INDEX(c_CAMy,1,CX$7)-INDEX(c_CAMy,1,INDEX('Lease Cycles'!$GC$23:$GI$23,1,CX265)+1))*(1+'Lease Cycles'!$AK$23)+(INDEX(c_TAXy,1,CX$7)-INDEX(c_TAXy,1,INDEX('Lease Cycles'!$GC$23:$GI$23,1,CX265)+1))+(INDEX(c_INSy,1,CX$7)-INDEX(c_INSy,1,INDEX('Lease Cycles'!$GC$23:$GI$23,1,CX265)+1)))/12)</f>
        <v>0</v>
      </c>
      <c r="CY276" s="28">
        <f>IF(CY275=0,0,CY275*MAX(0,(INDEX(c_CAMy,1,CY$7)-INDEX(c_CAMy,1,INDEX('Lease Cycles'!$GC$23:$GI$23,1,CY265)+1))*(1+'Lease Cycles'!$AK$23)+(INDEX(c_TAXy,1,CY$7)-INDEX(c_TAXy,1,INDEX('Lease Cycles'!$GC$23:$GI$23,1,CY265)+1))+(INDEX(c_INSy,1,CY$7)-INDEX(c_INSy,1,INDEX('Lease Cycles'!$GC$23:$GI$23,1,CY265)+1)))/12)</f>
        <v>0</v>
      </c>
      <c r="CZ276" s="28">
        <f>IF(CZ275=0,0,CZ275*MAX(0,(INDEX(c_CAMy,1,CZ$7)-INDEX(c_CAMy,1,INDEX('Lease Cycles'!$GC$23:$GI$23,1,CZ265)+1))*(1+'Lease Cycles'!$AK$23)+(INDEX(c_TAXy,1,CZ$7)-INDEX(c_TAXy,1,INDEX('Lease Cycles'!$GC$23:$GI$23,1,CZ265)+1))+(INDEX(c_INSy,1,CZ$7)-INDEX(c_INSy,1,INDEX('Lease Cycles'!$GC$23:$GI$23,1,CZ265)+1)))/12)</f>
        <v>0</v>
      </c>
      <c r="DA276" s="28">
        <f>IF(DA275=0,0,DA275*MAX(0,(INDEX(c_CAMy,1,DA$7)-INDEX(c_CAMy,1,INDEX('Lease Cycles'!$GC$23:$GI$23,1,DA265)+1))*(1+'Lease Cycles'!$AK$23)+(INDEX(c_TAXy,1,DA$7)-INDEX(c_TAXy,1,INDEX('Lease Cycles'!$GC$23:$GI$23,1,DA265)+1))+(INDEX(c_INSy,1,DA$7)-INDEX(c_INSy,1,INDEX('Lease Cycles'!$GC$23:$GI$23,1,DA265)+1)))/12)</f>
        <v>0</v>
      </c>
      <c r="DB276" s="28">
        <f>IF(DB275=0,0,DB275*MAX(0,(INDEX(c_CAMy,1,DB$7)-INDEX(c_CAMy,1,INDEX('Lease Cycles'!$GC$23:$GI$23,1,DB265)+1))*(1+'Lease Cycles'!$AK$23)+(INDEX(c_TAXy,1,DB$7)-INDEX(c_TAXy,1,INDEX('Lease Cycles'!$GC$23:$GI$23,1,DB265)+1))+(INDEX(c_INSy,1,DB$7)-INDEX(c_INSy,1,INDEX('Lease Cycles'!$GC$23:$GI$23,1,DB265)+1)))/12)</f>
        <v>0</v>
      </c>
      <c r="DC276" s="28">
        <f>IF(DC275=0,0,DC275*MAX(0,(INDEX(c_CAMy,1,DC$7)-INDEX(c_CAMy,1,INDEX('Lease Cycles'!$GC$23:$GI$23,1,DC265)+1))*(1+'Lease Cycles'!$AK$23)+(INDEX(c_TAXy,1,DC$7)-INDEX(c_TAXy,1,INDEX('Lease Cycles'!$GC$23:$GI$23,1,DC265)+1))+(INDEX(c_INSy,1,DC$7)-INDEX(c_INSy,1,INDEX('Lease Cycles'!$GC$23:$GI$23,1,DC265)+1)))/12)</f>
        <v>0</v>
      </c>
      <c r="DD276" s="28">
        <f>IF(DD275=0,0,DD275*MAX(0,(INDEX(c_CAMy,1,DD$7)-INDEX(c_CAMy,1,INDEX('Lease Cycles'!$GC$23:$GI$23,1,DD265)+1))*(1+'Lease Cycles'!$AK$23)+(INDEX(c_TAXy,1,DD$7)-INDEX(c_TAXy,1,INDEX('Lease Cycles'!$GC$23:$GI$23,1,DD265)+1))+(INDEX(c_INSy,1,DD$7)-INDEX(c_INSy,1,INDEX('Lease Cycles'!$GC$23:$GI$23,1,DD265)+1)))/12)</f>
        <v>0</v>
      </c>
      <c r="DE276" s="28">
        <f>IF(DE275=0,0,DE275*MAX(0,(INDEX(c_CAMy,1,DE$7)-INDEX(c_CAMy,1,INDEX('Lease Cycles'!$GC$23:$GI$23,1,DE265)+1))*(1+'Lease Cycles'!$AK$23)+(INDEX(c_TAXy,1,DE$7)-INDEX(c_TAXy,1,INDEX('Lease Cycles'!$GC$23:$GI$23,1,DE265)+1))+(INDEX(c_INSy,1,DE$7)-INDEX(c_INSy,1,INDEX('Lease Cycles'!$GC$23:$GI$23,1,DE265)+1)))/12)</f>
        <v>0</v>
      </c>
      <c r="DF276" s="28">
        <f>IF(DF275=0,0,DF275*MAX(0,(INDEX(c_CAMy,1,DF$7)-INDEX(c_CAMy,1,INDEX('Lease Cycles'!$GC$23:$GI$23,1,DF265)+1))*(1+'Lease Cycles'!$AK$23)+(INDEX(c_TAXy,1,DF$7)-INDEX(c_TAXy,1,INDEX('Lease Cycles'!$GC$23:$GI$23,1,DF265)+1))+(INDEX(c_INSy,1,DF$7)-INDEX(c_INSy,1,INDEX('Lease Cycles'!$GC$23:$GI$23,1,DF265)+1)))/12)</f>
        <v>0</v>
      </c>
      <c r="DG276" s="28">
        <f>IF(DG275=0,0,DG275*MAX(0,(INDEX(c_CAMy,1,DG$7)-INDEX(c_CAMy,1,INDEX('Lease Cycles'!$GC$23:$GI$23,1,DG265)+1))*(1+'Lease Cycles'!$AK$23)+(INDEX(c_TAXy,1,DG$7)-INDEX(c_TAXy,1,INDEX('Lease Cycles'!$GC$23:$GI$23,1,DG265)+1))+(INDEX(c_INSy,1,DG$7)-INDEX(c_INSy,1,INDEX('Lease Cycles'!$GC$23:$GI$23,1,DG265)+1)))/12)</f>
        <v>0</v>
      </c>
      <c r="DH276" s="28">
        <f>IF(DH275=0,0,DH275*MAX(0,(INDEX(c_CAMy,1,DH$7)-INDEX(c_CAMy,1,INDEX('Lease Cycles'!$GC$23:$GI$23,1,DH265)+1))*(1+'Lease Cycles'!$AK$23)+(INDEX(c_TAXy,1,DH$7)-INDEX(c_TAXy,1,INDEX('Lease Cycles'!$GC$23:$GI$23,1,DH265)+1))+(INDEX(c_INSy,1,DH$7)-INDEX(c_INSy,1,INDEX('Lease Cycles'!$GC$23:$GI$23,1,DH265)+1)))/12)</f>
        <v>0</v>
      </c>
      <c r="DI276" s="28">
        <f>IF(DI275=0,0,DI275*MAX(0,(INDEX(c_CAMy,1,DI$7)-INDEX(c_CAMy,1,INDEX('Lease Cycles'!$GC$23:$GI$23,1,DI265)+1))*(1+'Lease Cycles'!$AK$23)+(INDEX(c_TAXy,1,DI$7)-INDEX(c_TAXy,1,INDEX('Lease Cycles'!$GC$23:$GI$23,1,DI265)+1))+(INDEX(c_INSy,1,DI$7)-INDEX(c_INSy,1,INDEX('Lease Cycles'!$GC$23:$GI$23,1,DI265)+1)))/12)</f>
        <v>0</v>
      </c>
      <c r="DJ276" s="28">
        <f>IF(DJ275=0,0,DJ275*MAX(0,(INDEX(c_CAMy,1,DJ$7)-INDEX(c_CAMy,1,INDEX('Lease Cycles'!$GC$23:$GI$23,1,DJ265)+1))*(1+'Lease Cycles'!$AK$23)+(INDEX(c_TAXy,1,DJ$7)-INDEX(c_TAXy,1,INDEX('Lease Cycles'!$GC$23:$GI$23,1,DJ265)+1))+(INDEX(c_INSy,1,DJ$7)-INDEX(c_INSy,1,INDEX('Lease Cycles'!$GC$23:$GI$23,1,DJ265)+1)))/12)</f>
        <v>0</v>
      </c>
      <c r="DK276" s="28">
        <f>IF(DK275=0,0,DK275*MAX(0,(INDEX(c_CAMy,1,DK$7)-INDEX(c_CAMy,1,INDEX('Lease Cycles'!$GC$23:$GI$23,1,DK265)+1))*(1+'Lease Cycles'!$AK$23)+(INDEX(c_TAXy,1,DK$7)-INDEX(c_TAXy,1,INDEX('Lease Cycles'!$GC$23:$GI$23,1,DK265)+1))+(INDEX(c_INSy,1,DK$7)-INDEX(c_INSy,1,INDEX('Lease Cycles'!$GC$23:$GI$23,1,DK265)+1)))/12)</f>
        <v>0</v>
      </c>
      <c r="DL276" s="28">
        <f>IF(DL275=0,0,DL275*MAX(0,(INDEX(c_CAMy,1,DL$7)-INDEX(c_CAMy,1,INDEX('Lease Cycles'!$GC$23:$GI$23,1,DL265)+1))*(1+'Lease Cycles'!$AK$23)+(INDEX(c_TAXy,1,DL$7)-INDEX(c_TAXy,1,INDEX('Lease Cycles'!$GC$23:$GI$23,1,DL265)+1))+(INDEX(c_INSy,1,DL$7)-INDEX(c_INSy,1,INDEX('Lease Cycles'!$GC$23:$GI$23,1,DL265)+1)))/12)</f>
        <v>0</v>
      </c>
      <c r="DM276" s="28">
        <f>IF(DM275=0,0,DM275*MAX(0,(INDEX(c_CAMy,1,DM$7)-INDEX(c_CAMy,1,INDEX('Lease Cycles'!$GC$23:$GI$23,1,DM265)+1))*(1+'Lease Cycles'!$AK$23)+(INDEX(c_TAXy,1,DM$7)-INDEX(c_TAXy,1,INDEX('Lease Cycles'!$GC$23:$GI$23,1,DM265)+1))+(INDEX(c_INSy,1,DM$7)-INDEX(c_INSy,1,INDEX('Lease Cycles'!$GC$23:$GI$23,1,DM265)+1)))/12)</f>
        <v>0</v>
      </c>
      <c r="DN276" s="28">
        <f>IF(DN275=0,0,DN275*MAX(0,(INDEX(c_CAMy,1,DN$7)-INDEX(c_CAMy,1,INDEX('Lease Cycles'!$GC$23:$GI$23,1,DN265)+1))*(1+'Lease Cycles'!$AK$23)+(INDEX(c_TAXy,1,DN$7)-INDEX(c_TAXy,1,INDEX('Lease Cycles'!$GC$23:$GI$23,1,DN265)+1))+(INDEX(c_INSy,1,DN$7)-INDEX(c_INSy,1,INDEX('Lease Cycles'!$GC$23:$GI$23,1,DN265)+1)))/12)</f>
        <v>0</v>
      </c>
      <c r="DO276" s="28">
        <f>IF(DO275=0,0,DO275*MAX(0,(INDEX(c_CAMy,1,DO$7)-INDEX(c_CAMy,1,INDEX('Lease Cycles'!$GC$23:$GI$23,1,DO265)+1))*(1+'Lease Cycles'!$AK$23)+(INDEX(c_TAXy,1,DO$7)-INDEX(c_TAXy,1,INDEX('Lease Cycles'!$GC$23:$GI$23,1,DO265)+1))+(INDEX(c_INSy,1,DO$7)-INDEX(c_INSy,1,INDEX('Lease Cycles'!$GC$23:$GI$23,1,DO265)+1)))/12)</f>
        <v>0</v>
      </c>
      <c r="DP276" s="28">
        <f>IF(DP275=0,0,DP275*MAX(0,(INDEX(c_CAMy,1,DP$7)-INDEX(c_CAMy,1,INDEX('Lease Cycles'!$GC$23:$GI$23,1,DP265)+1))*(1+'Lease Cycles'!$AK$23)+(INDEX(c_TAXy,1,DP$7)-INDEX(c_TAXy,1,INDEX('Lease Cycles'!$GC$23:$GI$23,1,DP265)+1))+(INDEX(c_INSy,1,DP$7)-INDEX(c_INSy,1,INDEX('Lease Cycles'!$GC$23:$GI$23,1,DP265)+1)))/12)</f>
        <v>0</v>
      </c>
      <c r="DQ276" s="28">
        <f>IF(DQ275=0,0,DQ275*MAX(0,(INDEX(c_CAMy,1,DQ$7)-INDEX(c_CAMy,1,INDEX('Lease Cycles'!$GC$23:$GI$23,1,DQ265)+1))*(1+'Lease Cycles'!$AK$23)+(INDEX(c_TAXy,1,DQ$7)-INDEX(c_TAXy,1,INDEX('Lease Cycles'!$GC$23:$GI$23,1,DQ265)+1))+(INDEX(c_INSy,1,DQ$7)-INDEX(c_INSy,1,INDEX('Lease Cycles'!$GC$23:$GI$23,1,DQ265)+1)))/12)</f>
        <v>0</v>
      </c>
      <c r="DR276" s="28">
        <f>IF(DR275=0,0,DR275*MAX(0,(INDEX(c_CAMy,1,DR$7)-INDEX(c_CAMy,1,INDEX('Lease Cycles'!$GC$23:$GI$23,1,DR265)+1))*(1+'Lease Cycles'!$AK$23)+(INDEX(c_TAXy,1,DR$7)-INDEX(c_TAXy,1,INDEX('Lease Cycles'!$GC$23:$GI$23,1,DR265)+1))+(INDEX(c_INSy,1,DR$7)-INDEX(c_INSy,1,INDEX('Lease Cycles'!$GC$23:$GI$23,1,DR265)+1)))/12)</f>
        <v>0</v>
      </c>
      <c r="DS276" s="28">
        <f>IF(DS275=0,0,DS275*MAX(0,(INDEX(c_CAMy,1,DS$7)-INDEX(c_CAMy,1,INDEX('Lease Cycles'!$GC$23:$GI$23,1,DS265)+1))*(1+'Lease Cycles'!$AK$23)+(INDEX(c_TAXy,1,DS$7)-INDEX(c_TAXy,1,INDEX('Lease Cycles'!$GC$23:$GI$23,1,DS265)+1))+(INDEX(c_INSy,1,DS$7)-INDEX(c_INSy,1,INDEX('Lease Cycles'!$GC$23:$GI$23,1,DS265)+1)))/12)</f>
        <v>0</v>
      </c>
      <c r="DT276" s="28">
        <f>IF(DT275=0,0,DT275*MAX(0,(INDEX(c_CAMy,1,DT$7)-INDEX(c_CAMy,1,INDEX('Lease Cycles'!$GC$23:$GI$23,1,DT265)+1))*(1+'Lease Cycles'!$AK$23)+(INDEX(c_TAXy,1,DT$7)-INDEX(c_TAXy,1,INDEX('Lease Cycles'!$GC$23:$GI$23,1,DT265)+1))+(INDEX(c_INSy,1,DT$7)-INDEX(c_INSy,1,INDEX('Lease Cycles'!$GC$23:$GI$23,1,DT265)+1)))/12)</f>
        <v>0</v>
      </c>
      <c r="DU276" s="28">
        <f>IF(DU275=0,0,DU275*MAX(0,(INDEX(c_CAMy,1,DU$7)-INDEX(c_CAMy,1,INDEX('Lease Cycles'!$GC$23:$GI$23,1,DU265)+1))*(1+'Lease Cycles'!$AK$23)+(INDEX(c_TAXy,1,DU$7)-INDEX(c_TAXy,1,INDEX('Lease Cycles'!$GC$23:$GI$23,1,DU265)+1))+(INDEX(c_INSy,1,DU$7)-INDEX(c_INSy,1,INDEX('Lease Cycles'!$GC$23:$GI$23,1,DU265)+1)))/12)</f>
        <v>0</v>
      </c>
      <c r="DV276" s="28">
        <f>IF(DV275=0,0,DV275*MAX(0,(INDEX(c_CAMy,1,DV$7)-INDEX(c_CAMy,1,INDEX('Lease Cycles'!$GC$23:$GI$23,1,DV265)+1))*(1+'Lease Cycles'!$AK$23)+(INDEX(c_TAXy,1,DV$7)-INDEX(c_TAXy,1,INDEX('Lease Cycles'!$GC$23:$GI$23,1,DV265)+1))+(INDEX(c_INSy,1,DV$7)-INDEX(c_INSy,1,INDEX('Lease Cycles'!$GC$23:$GI$23,1,DV265)+1)))/12)</f>
        <v>0</v>
      </c>
      <c r="DW276" s="28">
        <f>IF(DW275=0,0,DW275*MAX(0,(INDEX(c_CAMy,1,DW$7)-INDEX(c_CAMy,1,INDEX('Lease Cycles'!$GC$23:$GI$23,1,DW265)+1))*(1+'Lease Cycles'!$AK$23)+(INDEX(c_TAXy,1,DW$7)-INDEX(c_TAXy,1,INDEX('Lease Cycles'!$GC$23:$GI$23,1,DW265)+1))+(INDEX(c_INSy,1,DW$7)-INDEX(c_INSy,1,INDEX('Lease Cycles'!$GC$23:$GI$23,1,DW265)+1)))/12)</f>
        <v>0</v>
      </c>
      <c r="DX276" s="28">
        <f>IF(DX275=0,0,DX275*MAX(0,(INDEX(c_CAMy,1,DX$7)-INDEX(c_CAMy,1,INDEX('Lease Cycles'!$GC$23:$GI$23,1,DX265)+1))*(1+'Lease Cycles'!$AK$23)+(INDEX(c_TAXy,1,DX$7)-INDEX(c_TAXy,1,INDEX('Lease Cycles'!$GC$23:$GI$23,1,DX265)+1))+(INDEX(c_INSy,1,DX$7)-INDEX(c_INSy,1,INDEX('Lease Cycles'!$GC$23:$GI$23,1,DX265)+1)))/12)</f>
        <v>0</v>
      </c>
      <c r="DY276" s="28">
        <f>IF(DY275=0,0,DY275*MAX(0,(INDEX(c_CAMy,1,DY$7)-INDEX(c_CAMy,1,INDEX('Lease Cycles'!$GC$23:$GI$23,1,DY265)+1))*(1+'Lease Cycles'!$AK$23)+(INDEX(c_TAXy,1,DY$7)-INDEX(c_TAXy,1,INDEX('Lease Cycles'!$GC$23:$GI$23,1,DY265)+1))+(INDEX(c_INSy,1,DY$7)-INDEX(c_INSy,1,INDEX('Lease Cycles'!$GC$23:$GI$23,1,DY265)+1)))/12)</f>
        <v>0</v>
      </c>
      <c r="DZ276" s="28">
        <f>IF(DZ275=0,0,DZ275*MAX(0,(INDEX(c_CAMy,1,DZ$7)-INDEX(c_CAMy,1,INDEX('Lease Cycles'!$GC$23:$GI$23,1,DZ265)+1))*(1+'Lease Cycles'!$AK$23)+(INDEX(c_TAXy,1,DZ$7)-INDEX(c_TAXy,1,INDEX('Lease Cycles'!$GC$23:$GI$23,1,DZ265)+1))+(INDEX(c_INSy,1,DZ$7)-INDEX(c_INSy,1,INDEX('Lease Cycles'!$GC$23:$GI$23,1,DZ265)+1)))/12)</f>
        <v>0</v>
      </c>
      <c r="EA276" s="28">
        <f>IF(EA275=0,0,EA275*MAX(0,(INDEX(c_CAMy,1,EA$7)-INDEX(c_CAMy,1,INDEX('Lease Cycles'!$GC$23:$GI$23,1,EA265)+1))*(1+'Lease Cycles'!$AK$23)+(INDEX(c_TAXy,1,EA$7)-INDEX(c_TAXy,1,INDEX('Lease Cycles'!$GC$23:$GI$23,1,EA265)+1))+(INDEX(c_INSy,1,EA$7)-INDEX(c_INSy,1,INDEX('Lease Cycles'!$GC$23:$GI$23,1,EA265)+1)))/12)</f>
        <v>0</v>
      </c>
      <c r="EB276" s="28">
        <f>IF(EB275=0,0,EB275*MAX(0,(INDEX(c_CAMy,1,EB$7)-INDEX(c_CAMy,1,INDEX('Lease Cycles'!$GC$23:$GI$23,1,EB265)+1))*(1+'Lease Cycles'!$AK$23)+(INDEX(c_TAXy,1,EB$7)-INDEX(c_TAXy,1,INDEX('Lease Cycles'!$GC$23:$GI$23,1,EB265)+1))+(INDEX(c_INSy,1,EB$7)-INDEX(c_INSy,1,INDEX('Lease Cycles'!$GC$23:$GI$23,1,EB265)+1)))/12)</f>
        <v>0</v>
      </c>
      <c r="EC276" s="28">
        <f>IF(EC275=0,0,EC275*MAX(0,(INDEX(c_CAMy,1,EC$7)-INDEX(c_CAMy,1,INDEX('Lease Cycles'!$GC$23:$GI$23,1,EC265)+1))*(1+'Lease Cycles'!$AK$23)+(INDEX(c_TAXy,1,EC$7)-INDEX(c_TAXy,1,INDEX('Lease Cycles'!$GC$23:$GI$23,1,EC265)+1))+(INDEX(c_INSy,1,EC$7)-INDEX(c_INSy,1,INDEX('Lease Cycles'!$GC$23:$GI$23,1,EC265)+1)))/12)</f>
        <v>0</v>
      </c>
      <c r="ED276" s="28">
        <f>IF(ED275=0,0,ED275*MAX(0,(INDEX(c_CAMy,1,ED$7)-INDEX(c_CAMy,1,INDEX('Lease Cycles'!$GC$23:$GI$23,1,ED265)+1))*(1+'Lease Cycles'!$AK$23)+(INDEX(c_TAXy,1,ED$7)-INDEX(c_TAXy,1,INDEX('Lease Cycles'!$GC$23:$GI$23,1,ED265)+1))+(INDEX(c_INSy,1,ED$7)-INDEX(c_INSy,1,INDEX('Lease Cycles'!$GC$23:$GI$23,1,ED265)+1)))/12)</f>
        <v>0</v>
      </c>
      <c r="EE276" s="28">
        <f>IF(EE275=0,0,EE275*MAX(0,(INDEX(c_CAMy,1,EE$7)-INDEX(c_CAMy,1,INDEX('Lease Cycles'!$GC$23:$GI$23,1,EE265)+1))*(1+'Lease Cycles'!$AK$23)+(INDEX(c_TAXy,1,EE$7)-INDEX(c_TAXy,1,INDEX('Lease Cycles'!$GC$23:$GI$23,1,EE265)+1))+(INDEX(c_INSy,1,EE$7)-INDEX(c_INSy,1,INDEX('Lease Cycles'!$GC$23:$GI$23,1,EE265)+1)))/12)</f>
        <v>0</v>
      </c>
      <c r="EF276" s="28">
        <f>IF(EF275=0,0,EF275*MAX(0,(INDEX(c_CAMy,1,EF$7)-INDEX(c_CAMy,1,INDEX('Lease Cycles'!$GC$23:$GI$23,1,EF265)+1))*(1+'Lease Cycles'!$AK$23)+(INDEX(c_TAXy,1,EF$7)-INDEX(c_TAXy,1,INDEX('Lease Cycles'!$GC$23:$GI$23,1,EF265)+1))+(INDEX(c_INSy,1,EF$7)-INDEX(c_INSy,1,INDEX('Lease Cycles'!$GC$23:$GI$23,1,EF265)+1)))/12)</f>
        <v>0</v>
      </c>
      <c r="EG276" s="28">
        <f>IF(EG275=0,0,EG275*MAX(0,(INDEX(c_CAMy,1,EG$7)-INDEX(c_CAMy,1,INDEX('Lease Cycles'!$GC$23:$GI$23,1,EG265)+1))*(1+'Lease Cycles'!$AK$23)+(INDEX(c_TAXy,1,EG$7)-INDEX(c_TAXy,1,INDEX('Lease Cycles'!$GC$23:$GI$23,1,EG265)+1))+(INDEX(c_INSy,1,EG$7)-INDEX(c_INSy,1,INDEX('Lease Cycles'!$GC$23:$GI$23,1,EG265)+1)))/12)</f>
        <v>0</v>
      </c>
      <c r="EH276" s="28">
        <f>IF(EH275=0,0,EH275*MAX(0,(INDEX(c_CAMy,1,EH$7)-INDEX(c_CAMy,1,INDEX('Lease Cycles'!$GC$23:$GI$23,1,EH265)+1))*(1+'Lease Cycles'!$AK$23)+(INDEX(c_TAXy,1,EH$7)-INDEX(c_TAXy,1,INDEX('Lease Cycles'!$GC$23:$GI$23,1,EH265)+1))+(INDEX(c_INSy,1,EH$7)-INDEX(c_INSy,1,INDEX('Lease Cycles'!$GC$23:$GI$23,1,EH265)+1)))/12)</f>
        <v>0</v>
      </c>
      <c r="EI276" s="28">
        <f>IF(EI275=0,0,EI275*MAX(0,(INDEX(c_CAMy,1,EI$7)-INDEX(c_CAMy,1,INDEX('Lease Cycles'!$GC$23:$GI$23,1,EI265)+1))*(1+'Lease Cycles'!$AK$23)+(INDEX(c_TAXy,1,EI$7)-INDEX(c_TAXy,1,INDEX('Lease Cycles'!$GC$23:$GI$23,1,EI265)+1))+(INDEX(c_INSy,1,EI$7)-INDEX(c_INSy,1,INDEX('Lease Cycles'!$GC$23:$GI$23,1,EI265)+1)))/12)</f>
        <v>0</v>
      </c>
      <c r="EJ276" s="28">
        <f>IF(EJ275=0,0,EJ275*MAX(0,(INDEX(c_CAMy,1,EJ$7)-INDEX(c_CAMy,1,INDEX('Lease Cycles'!$GC$23:$GI$23,1,EJ265)+1))*(1+'Lease Cycles'!$AK$23)+(INDEX(c_TAXy,1,EJ$7)-INDEX(c_TAXy,1,INDEX('Lease Cycles'!$GC$23:$GI$23,1,EJ265)+1))+(INDEX(c_INSy,1,EJ$7)-INDEX(c_INSy,1,INDEX('Lease Cycles'!$GC$23:$GI$23,1,EJ265)+1)))/12)</f>
        <v>0</v>
      </c>
      <c r="EK276" s="28">
        <f>IF(EK275=0,0,EK275*MAX(0,(INDEX(c_CAMy,1,EK$7)-INDEX(c_CAMy,1,INDEX('Lease Cycles'!$GC$23:$GI$23,1,EK265)+1))*(1+'Lease Cycles'!$AK$23)+(INDEX(c_TAXy,1,EK$7)-INDEX(c_TAXy,1,INDEX('Lease Cycles'!$GC$23:$GI$23,1,EK265)+1))+(INDEX(c_INSy,1,EK$7)-INDEX(c_INSy,1,INDEX('Lease Cycles'!$GC$23:$GI$23,1,EK265)+1)))/12)</f>
        <v>0</v>
      </c>
      <c r="EL276" s="28">
        <f>IF(EL275=0,0,EL275*MAX(0,(INDEX(c_CAMy,1,EL$7)-INDEX(c_CAMy,1,INDEX('Lease Cycles'!$GC$23:$GI$23,1,EL265)+1))*(1+'Lease Cycles'!$AK$23)+(INDEX(c_TAXy,1,EL$7)-INDEX(c_TAXy,1,INDEX('Lease Cycles'!$GC$23:$GI$23,1,EL265)+1))+(INDEX(c_INSy,1,EL$7)-INDEX(c_INSy,1,INDEX('Lease Cycles'!$GC$23:$GI$23,1,EL265)+1)))/12)</f>
        <v>0</v>
      </c>
      <c r="EM276" s="28">
        <f>IF(EM275=0,0,EM275*MAX(0,(INDEX(c_CAMy,1,EM$7)-INDEX(c_CAMy,1,INDEX('Lease Cycles'!$GC$23:$GI$23,1,EM265)+1))*(1+'Lease Cycles'!$AK$23)+(INDEX(c_TAXy,1,EM$7)-INDEX(c_TAXy,1,INDEX('Lease Cycles'!$GC$23:$GI$23,1,EM265)+1))+(INDEX(c_INSy,1,EM$7)-INDEX(c_INSy,1,INDEX('Lease Cycles'!$GC$23:$GI$23,1,EM265)+1)))/12)</f>
        <v>0</v>
      </c>
      <c r="EN276" s="28">
        <f>IF(EN275=0,0,EN275*MAX(0,(INDEX(c_CAMy,1,EN$7)-INDEX(c_CAMy,1,INDEX('Lease Cycles'!$GC$23:$GI$23,1,EN265)+1))*(1+'Lease Cycles'!$AK$23)+(INDEX(c_TAXy,1,EN$7)-INDEX(c_TAXy,1,INDEX('Lease Cycles'!$GC$23:$GI$23,1,EN265)+1))+(INDEX(c_INSy,1,EN$7)-INDEX(c_INSy,1,INDEX('Lease Cycles'!$GC$23:$GI$23,1,EN265)+1)))/12)</f>
        <v>0</v>
      </c>
      <c r="EO276" s="28">
        <f>IF(EO275=0,0,EO275*MAX(0,(INDEX(c_CAMy,1,EO$7)-INDEX(c_CAMy,1,INDEX('Lease Cycles'!$GC$23:$GI$23,1,EO265)+1))*(1+'Lease Cycles'!$AK$23)+(INDEX(c_TAXy,1,EO$7)-INDEX(c_TAXy,1,INDEX('Lease Cycles'!$GC$23:$GI$23,1,EO265)+1))+(INDEX(c_INSy,1,EO$7)-INDEX(c_INSy,1,INDEX('Lease Cycles'!$GC$23:$GI$23,1,EO265)+1)))/12)</f>
        <v>0</v>
      </c>
      <c r="EP276" s="28">
        <f>IF(EP275=0,0,EP275*MAX(0,(INDEX(c_CAMy,1,EP$7)-INDEX(c_CAMy,1,INDEX('Lease Cycles'!$GC$23:$GI$23,1,EP265)+1))*(1+'Lease Cycles'!$AK$23)+(INDEX(c_TAXy,1,EP$7)-INDEX(c_TAXy,1,INDEX('Lease Cycles'!$GC$23:$GI$23,1,EP265)+1))+(INDEX(c_INSy,1,EP$7)-INDEX(c_INSy,1,INDEX('Lease Cycles'!$GC$23:$GI$23,1,EP265)+1)))/12)</f>
        <v>0</v>
      </c>
      <c r="EQ276" s="28">
        <f>IF(EQ275=0,0,EQ275*MAX(0,(INDEX(c_CAMy,1,EQ$7)-INDEX(c_CAMy,1,INDEX('Lease Cycles'!$GC$23:$GI$23,1,EQ265)+1))*(1+'Lease Cycles'!$AK$23)+(INDEX(c_TAXy,1,EQ$7)-INDEX(c_TAXy,1,INDEX('Lease Cycles'!$GC$23:$GI$23,1,EQ265)+1))+(INDEX(c_INSy,1,EQ$7)-INDEX(c_INSy,1,INDEX('Lease Cycles'!$GC$23:$GI$23,1,EQ265)+1)))/12)</f>
        <v>0</v>
      </c>
      <c r="ER276" s="28">
        <f>IF(ER275=0,0,ER275*MAX(0,(INDEX(c_CAMy,1,ER$7)-INDEX(c_CAMy,1,INDEX('Lease Cycles'!$GC$23:$GI$23,1,ER265)+1))*(1+'Lease Cycles'!$AK$23)+(INDEX(c_TAXy,1,ER$7)-INDEX(c_TAXy,1,INDEX('Lease Cycles'!$GC$23:$GI$23,1,ER265)+1))+(INDEX(c_INSy,1,ER$7)-INDEX(c_INSy,1,INDEX('Lease Cycles'!$GC$23:$GI$23,1,ER265)+1)))/12)</f>
        <v>0</v>
      </c>
      <c r="ES276" s="28">
        <f>IF(ES275=0,0,ES275*MAX(0,(INDEX(c_CAMy,1,ES$7)-INDEX(c_CAMy,1,INDEX('Lease Cycles'!$GC$23:$GI$23,1,ES265)+1))*(1+'Lease Cycles'!$AK$23)+(INDEX(c_TAXy,1,ES$7)-INDEX(c_TAXy,1,INDEX('Lease Cycles'!$GC$23:$GI$23,1,ES265)+1))+(INDEX(c_INSy,1,ES$7)-INDEX(c_INSy,1,INDEX('Lease Cycles'!$GC$23:$GI$23,1,ES265)+1)))/12)</f>
        <v>0</v>
      </c>
      <c r="ET276" s="28">
        <f>IF(ET275=0,0,ET275*MAX(0,(INDEX(c_CAMy,1,ET$7)-INDEX(c_CAMy,1,INDEX('Lease Cycles'!$GC$23:$GI$23,1,ET265)+1))*(1+'Lease Cycles'!$AK$23)+(INDEX(c_TAXy,1,ET$7)-INDEX(c_TAXy,1,INDEX('Lease Cycles'!$GC$23:$GI$23,1,ET265)+1))+(INDEX(c_INSy,1,ET$7)-INDEX(c_INSy,1,INDEX('Lease Cycles'!$GC$23:$GI$23,1,ET265)+1)))/12)</f>
        <v>0</v>
      </c>
    </row>
    <row r="277">
      <c r="A277" s="103">
        <v>16</v>
      </c>
      <c r="B277" s="23" t="str">
        <f>IF('Lease Cycles'!$B$23="","(empty slot)",'Lease Cycles'!$B$23)</f>
        <v>(empty slot)</v>
      </c>
      <c r="C277" s="23" t="s">
        <v>530</v>
      </c>
      <c r="D277" s="104" t="s">
        <v>531</v>
      </c>
      <c r="E277" s="25">
        <f>'Lease Cycles'!$AL$23</f>
        <v>0</v>
      </c>
      <c r="G277" s="28">
        <f>SUM(S277:AD277)</f>
        <v>0</v>
      </c>
      <c r="H277" s="28">
        <f>SUM(AE277:AP277)</f>
        <v>0</v>
      </c>
      <c r="I277" s="28">
        <f>SUM(AQ277:BB277)</f>
        <v>0</v>
      </c>
      <c r="J277" s="28">
        <f>SUM(BC277:BN277)</f>
        <v>0</v>
      </c>
      <c r="K277" s="28">
        <f>SUM(BO277:BZ277)</f>
        <v>0</v>
      </c>
      <c r="L277" s="28">
        <f>SUM(CA277:CL277)</f>
        <v>0</v>
      </c>
      <c r="M277" s="28">
        <f>SUM(CM277:CX277)</f>
        <v>0</v>
      </c>
      <c r="N277" s="28">
        <f>SUM(CY277:DJ277)</f>
        <v>0</v>
      </c>
      <c r="O277" s="28">
        <f>SUM(DK277:DV277)</f>
        <v>0</v>
      </c>
      <c r="P277" s="28">
        <f>SUM(DW277:EH277)</f>
        <v>0</v>
      </c>
      <c r="Q277" s="28">
        <f>SUM(EI277:ET277)</f>
        <v>0</v>
      </c>
      <c r="S277" s="28">
        <f>SUMIF('Lease Cycles'!$HL$23:$HR$23,S$6,'Lease Cycles'!$HS$23:$HY$23)</f>
        <v>0</v>
      </c>
      <c r="T277" s="28">
        <f>SUMIF('Lease Cycles'!$HL$23:$HR$23,T$6,'Lease Cycles'!$HS$23:$HY$23)</f>
        <v>0</v>
      </c>
      <c r="U277" s="28">
        <f>SUMIF('Lease Cycles'!$HL$23:$HR$23,U$6,'Lease Cycles'!$HS$23:$HY$23)</f>
        <v>0</v>
      </c>
      <c r="V277" s="28">
        <f>SUMIF('Lease Cycles'!$HL$23:$HR$23,V$6,'Lease Cycles'!$HS$23:$HY$23)</f>
        <v>0</v>
      </c>
      <c r="W277" s="28">
        <f>SUMIF('Lease Cycles'!$HL$23:$HR$23,W$6,'Lease Cycles'!$HS$23:$HY$23)</f>
        <v>0</v>
      </c>
      <c r="X277" s="28">
        <f>SUMIF('Lease Cycles'!$HL$23:$HR$23,X$6,'Lease Cycles'!$HS$23:$HY$23)</f>
        <v>0</v>
      </c>
      <c r="Y277" s="28">
        <f>SUMIF('Lease Cycles'!$HL$23:$HR$23,Y$6,'Lease Cycles'!$HS$23:$HY$23)</f>
        <v>0</v>
      </c>
      <c r="Z277" s="28">
        <f>SUMIF('Lease Cycles'!$HL$23:$HR$23,Z$6,'Lease Cycles'!$HS$23:$HY$23)</f>
        <v>0</v>
      </c>
      <c r="AA277" s="28">
        <f>SUMIF('Lease Cycles'!$HL$23:$HR$23,AA$6,'Lease Cycles'!$HS$23:$HY$23)</f>
        <v>0</v>
      </c>
      <c r="AB277" s="28">
        <f>SUMIF('Lease Cycles'!$HL$23:$HR$23,AB$6,'Lease Cycles'!$HS$23:$HY$23)</f>
        <v>0</v>
      </c>
      <c r="AC277" s="28">
        <f>SUMIF('Lease Cycles'!$HL$23:$HR$23,AC$6,'Lease Cycles'!$HS$23:$HY$23)</f>
        <v>0</v>
      </c>
      <c r="AD277" s="28">
        <f>SUMIF('Lease Cycles'!$HL$23:$HR$23,AD$6,'Lease Cycles'!$HS$23:$HY$23)</f>
        <v>0</v>
      </c>
      <c r="AE277" s="28">
        <f>SUMIF('Lease Cycles'!$HL$23:$HR$23,AE$6,'Lease Cycles'!$HS$23:$HY$23)</f>
        <v>0</v>
      </c>
      <c r="AF277" s="28">
        <f>SUMIF('Lease Cycles'!$HL$23:$HR$23,AF$6,'Lease Cycles'!$HS$23:$HY$23)</f>
        <v>0</v>
      </c>
      <c r="AG277" s="28">
        <f>SUMIF('Lease Cycles'!$HL$23:$HR$23,AG$6,'Lease Cycles'!$HS$23:$HY$23)</f>
        <v>0</v>
      </c>
      <c r="AH277" s="28">
        <f>SUMIF('Lease Cycles'!$HL$23:$HR$23,AH$6,'Lease Cycles'!$HS$23:$HY$23)</f>
        <v>0</v>
      </c>
      <c r="AI277" s="28">
        <f>SUMIF('Lease Cycles'!$HL$23:$HR$23,AI$6,'Lease Cycles'!$HS$23:$HY$23)</f>
        <v>0</v>
      </c>
      <c r="AJ277" s="28">
        <f>SUMIF('Lease Cycles'!$HL$23:$HR$23,AJ$6,'Lease Cycles'!$HS$23:$HY$23)</f>
        <v>0</v>
      </c>
      <c r="AK277" s="28">
        <f>SUMIF('Lease Cycles'!$HL$23:$HR$23,AK$6,'Lease Cycles'!$HS$23:$HY$23)</f>
        <v>0</v>
      </c>
      <c r="AL277" s="28">
        <f>SUMIF('Lease Cycles'!$HL$23:$HR$23,AL$6,'Lease Cycles'!$HS$23:$HY$23)</f>
        <v>0</v>
      </c>
      <c r="AM277" s="28">
        <f>SUMIF('Lease Cycles'!$HL$23:$HR$23,AM$6,'Lease Cycles'!$HS$23:$HY$23)</f>
        <v>0</v>
      </c>
      <c r="AN277" s="28">
        <f>SUMIF('Lease Cycles'!$HL$23:$HR$23,AN$6,'Lease Cycles'!$HS$23:$HY$23)</f>
        <v>0</v>
      </c>
      <c r="AO277" s="28">
        <f>SUMIF('Lease Cycles'!$HL$23:$HR$23,AO$6,'Lease Cycles'!$HS$23:$HY$23)</f>
        <v>0</v>
      </c>
      <c r="AP277" s="28">
        <f>SUMIF('Lease Cycles'!$HL$23:$HR$23,AP$6,'Lease Cycles'!$HS$23:$HY$23)</f>
        <v>0</v>
      </c>
      <c r="AQ277" s="28">
        <f>SUMIF('Lease Cycles'!$HL$23:$HR$23,AQ$6,'Lease Cycles'!$HS$23:$HY$23)</f>
        <v>0</v>
      </c>
      <c r="AR277" s="28">
        <f>SUMIF('Lease Cycles'!$HL$23:$HR$23,AR$6,'Lease Cycles'!$HS$23:$HY$23)</f>
        <v>0</v>
      </c>
      <c r="AS277" s="28">
        <f>SUMIF('Lease Cycles'!$HL$23:$HR$23,AS$6,'Lease Cycles'!$HS$23:$HY$23)</f>
        <v>0</v>
      </c>
      <c r="AT277" s="28">
        <f>SUMIF('Lease Cycles'!$HL$23:$HR$23,AT$6,'Lease Cycles'!$HS$23:$HY$23)</f>
        <v>0</v>
      </c>
      <c r="AU277" s="28">
        <f>SUMIF('Lease Cycles'!$HL$23:$HR$23,AU$6,'Lease Cycles'!$HS$23:$HY$23)</f>
        <v>0</v>
      </c>
      <c r="AV277" s="28">
        <f>SUMIF('Lease Cycles'!$HL$23:$HR$23,AV$6,'Lease Cycles'!$HS$23:$HY$23)</f>
        <v>0</v>
      </c>
      <c r="AW277" s="28">
        <f>SUMIF('Lease Cycles'!$HL$23:$HR$23,AW$6,'Lease Cycles'!$HS$23:$HY$23)</f>
        <v>0</v>
      </c>
      <c r="AX277" s="28">
        <f>SUMIF('Lease Cycles'!$HL$23:$HR$23,AX$6,'Lease Cycles'!$HS$23:$HY$23)</f>
        <v>0</v>
      </c>
      <c r="AY277" s="28">
        <f>SUMIF('Lease Cycles'!$HL$23:$HR$23,AY$6,'Lease Cycles'!$HS$23:$HY$23)</f>
        <v>0</v>
      </c>
      <c r="AZ277" s="28">
        <f>SUMIF('Lease Cycles'!$HL$23:$HR$23,AZ$6,'Lease Cycles'!$HS$23:$HY$23)</f>
        <v>0</v>
      </c>
      <c r="BA277" s="28">
        <f>SUMIF('Lease Cycles'!$HL$23:$HR$23,BA$6,'Lease Cycles'!$HS$23:$HY$23)</f>
        <v>0</v>
      </c>
      <c r="BB277" s="28">
        <f>SUMIF('Lease Cycles'!$HL$23:$HR$23,BB$6,'Lease Cycles'!$HS$23:$HY$23)</f>
        <v>0</v>
      </c>
      <c r="BC277" s="28">
        <f>SUMIF('Lease Cycles'!$HL$23:$HR$23,BC$6,'Lease Cycles'!$HS$23:$HY$23)</f>
        <v>0</v>
      </c>
      <c r="BD277" s="28">
        <f>SUMIF('Lease Cycles'!$HL$23:$HR$23,BD$6,'Lease Cycles'!$HS$23:$HY$23)</f>
        <v>0</v>
      </c>
      <c r="BE277" s="28">
        <f>SUMIF('Lease Cycles'!$HL$23:$HR$23,BE$6,'Lease Cycles'!$HS$23:$HY$23)</f>
        <v>0</v>
      </c>
      <c r="BF277" s="28">
        <f>SUMIF('Lease Cycles'!$HL$23:$HR$23,BF$6,'Lease Cycles'!$HS$23:$HY$23)</f>
        <v>0</v>
      </c>
      <c r="BG277" s="28">
        <f>SUMIF('Lease Cycles'!$HL$23:$HR$23,BG$6,'Lease Cycles'!$HS$23:$HY$23)</f>
        <v>0</v>
      </c>
      <c r="BH277" s="28">
        <f>SUMIF('Lease Cycles'!$HL$23:$HR$23,BH$6,'Lease Cycles'!$HS$23:$HY$23)</f>
        <v>0</v>
      </c>
      <c r="BI277" s="28">
        <f>SUMIF('Lease Cycles'!$HL$23:$HR$23,BI$6,'Lease Cycles'!$HS$23:$HY$23)</f>
        <v>0</v>
      </c>
      <c r="BJ277" s="28">
        <f>SUMIF('Lease Cycles'!$HL$23:$HR$23,BJ$6,'Lease Cycles'!$HS$23:$HY$23)</f>
        <v>0</v>
      </c>
      <c r="BK277" s="28">
        <f>SUMIF('Lease Cycles'!$HL$23:$HR$23,BK$6,'Lease Cycles'!$HS$23:$HY$23)</f>
        <v>0</v>
      </c>
      <c r="BL277" s="28">
        <f>SUMIF('Lease Cycles'!$HL$23:$HR$23,BL$6,'Lease Cycles'!$HS$23:$HY$23)</f>
        <v>0</v>
      </c>
      <c r="BM277" s="28">
        <f>SUMIF('Lease Cycles'!$HL$23:$HR$23,BM$6,'Lease Cycles'!$HS$23:$HY$23)</f>
        <v>0</v>
      </c>
      <c r="BN277" s="28">
        <f>SUMIF('Lease Cycles'!$HL$23:$HR$23,BN$6,'Lease Cycles'!$HS$23:$HY$23)</f>
        <v>0</v>
      </c>
      <c r="BO277" s="28">
        <f>SUMIF('Lease Cycles'!$HL$23:$HR$23,BO$6,'Lease Cycles'!$HS$23:$HY$23)</f>
        <v>0</v>
      </c>
      <c r="BP277" s="28">
        <f>SUMIF('Lease Cycles'!$HL$23:$HR$23,BP$6,'Lease Cycles'!$HS$23:$HY$23)</f>
        <v>0</v>
      </c>
      <c r="BQ277" s="28">
        <f>SUMIF('Lease Cycles'!$HL$23:$HR$23,BQ$6,'Lease Cycles'!$HS$23:$HY$23)</f>
        <v>0</v>
      </c>
      <c r="BR277" s="28">
        <f>SUMIF('Lease Cycles'!$HL$23:$HR$23,BR$6,'Lease Cycles'!$HS$23:$HY$23)</f>
        <v>0</v>
      </c>
      <c r="BS277" s="28">
        <f>SUMIF('Lease Cycles'!$HL$23:$HR$23,BS$6,'Lease Cycles'!$HS$23:$HY$23)</f>
        <v>0</v>
      </c>
      <c r="BT277" s="28">
        <f>SUMIF('Lease Cycles'!$HL$23:$HR$23,BT$6,'Lease Cycles'!$HS$23:$HY$23)</f>
        <v>0</v>
      </c>
      <c r="BU277" s="28">
        <f>SUMIF('Lease Cycles'!$HL$23:$HR$23,BU$6,'Lease Cycles'!$HS$23:$HY$23)</f>
        <v>0</v>
      </c>
      <c r="BV277" s="28">
        <f>SUMIF('Lease Cycles'!$HL$23:$HR$23,BV$6,'Lease Cycles'!$HS$23:$HY$23)</f>
        <v>0</v>
      </c>
      <c r="BW277" s="28">
        <f>SUMIF('Lease Cycles'!$HL$23:$HR$23,BW$6,'Lease Cycles'!$HS$23:$HY$23)</f>
        <v>0</v>
      </c>
      <c r="BX277" s="28">
        <f>SUMIF('Lease Cycles'!$HL$23:$HR$23,BX$6,'Lease Cycles'!$HS$23:$HY$23)</f>
        <v>0</v>
      </c>
      <c r="BY277" s="28">
        <f>SUMIF('Lease Cycles'!$HL$23:$HR$23,BY$6,'Lease Cycles'!$HS$23:$HY$23)</f>
        <v>0</v>
      </c>
      <c r="BZ277" s="28">
        <f>SUMIF('Lease Cycles'!$HL$23:$HR$23,BZ$6,'Lease Cycles'!$HS$23:$HY$23)</f>
        <v>0</v>
      </c>
      <c r="CA277" s="28">
        <f>SUMIF('Lease Cycles'!$HL$23:$HR$23,CA$6,'Lease Cycles'!$HS$23:$HY$23)</f>
        <v>0</v>
      </c>
      <c r="CB277" s="28">
        <f>SUMIF('Lease Cycles'!$HL$23:$HR$23,CB$6,'Lease Cycles'!$HS$23:$HY$23)</f>
        <v>0</v>
      </c>
      <c r="CC277" s="28">
        <f>SUMIF('Lease Cycles'!$HL$23:$HR$23,CC$6,'Lease Cycles'!$HS$23:$HY$23)</f>
        <v>0</v>
      </c>
      <c r="CD277" s="28">
        <f>SUMIF('Lease Cycles'!$HL$23:$HR$23,CD$6,'Lease Cycles'!$HS$23:$HY$23)</f>
        <v>0</v>
      </c>
      <c r="CE277" s="28">
        <f>SUMIF('Lease Cycles'!$HL$23:$HR$23,CE$6,'Lease Cycles'!$HS$23:$HY$23)</f>
        <v>0</v>
      </c>
      <c r="CF277" s="28">
        <f>SUMIF('Lease Cycles'!$HL$23:$HR$23,CF$6,'Lease Cycles'!$HS$23:$HY$23)</f>
        <v>0</v>
      </c>
      <c r="CG277" s="28">
        <f>SUMIF('Lease Cycles'!$HL$23:$HR$23,CG$6,'Lease Cycles'!$HS$23:$HY$23)</f>
        <v>0</v>
      </c>
      <c r="CH277" s="28">
        <f>SUMIF('Lease Cycles'!$HL$23:$HR$23,CH$6,'Lease Cycles'!$HS$23:$HY$23)</f>
        <v>0</v>
      </c>
      <c r="CI277" s="28">
        <f>SUMIF('Lease Cycles'!$HL$23:$HR$23,CI$6,'Lease Cycles'!$HS$23:$HY$23)</f>
        <v>0</v>
      </c>
      <c r="CJ277" s="28">
        <f>SUMIF('Lease Cycles'!$HL$23:$HR$23,CJ$6,'Lease Cycles'!$HS$23:$HY$23)</f>
        <v>0</v>
      </c>
      <c r="CK277" s="28">
        <f>SUMIF('Lease Cycles'!$HL$23:$HR$23,CK$6,'Lease Cycles'!$HS$23:$HY$23)</f>
        <v>0</v>
      </c>
      <c r="CL277" s="28">
        <f>SUMIF('Lease Cycles'!$HL$23:$HR$23,CL$6,'Lease Cycles'!$HS$23:$HY$23)</f>
        <v>0</v>
      </c>
      <c r="CM277" s="28">
        <f>SUMIF('Lease Cycles'!$HL$23:$HR$23,CM$6,'Lease Cycles'!$HS$23:$HY$23)</f>
        <v>0</v>
      </c>
      <c r="CN277" s="28">
        <f>SUMIF('Lease Cycles'!$HL$23:$HR$23,CN$6,'Lease Cycles'!$HS$23:$HY$23)</f>
        <v>0</v>
      </c>
      <c r="CO277" s="28">
        <f>SUMIF('Lease Cycles'!$HL$23:$HR$23,CO$6,'Lease Cycles'!$HS$23:$HY$23)</f>
        <v>0</v>
      </c>
      <c r="CP277" s="28">
        <f>SUMIF('Lease Cycles'!$HL$23:$HR$23,CP$6,'Lease Cycles'!$HS$23:$HY$23)</f>
        <v>0</v>
      </c>
      <c r="CQ277" s="28">
        <f>SUMIF('Lease Cycles'!$HL$23:$HR$23,CQ$6,'Lease Cycles'!$HS$23:$HY$23)</f>
        <v>0</v>
      </c>
      <c r="CR277" s="28">
        <f>SUMIF('Lease Cycles'!$HL$23:$HR$23,CR$6,'Lease Cycles'!$HS$23:$HY$23)</f>
        <v>0</v>
      </c>
      <c r="CS277" s="28">
        <f>SUMIF('Lease Cycles'!$HL$23:$HR$23,CS$6,'Lease Cycles'!$HS$23:$HY$23)</f>
        <v>0</v>
      </c>
      <c r="CT277" s="28">
        <f>SUMIF('Lease Cycles'!$HL$23:$HR$23,CT$6,'Lease Cycles'!$HS$23:$HY$23)</f>
        <v>0</v>
      </c>
      <c r="CU277" s="28">
        <f>SUMIF('Lease Cycles'!$HL$23:$HR$23,CU$6,'Lease Cycles'!$HS$23:$HY$23)</f>
        <v>0</v>
      </c>
      <c r="CV277" s="28">
        <f>SUMIF('Lease Cycles'!$HL$23:$HR$23,CV$6,'Lease Cycles'!$HS$23:$HY$23)</f>
        <v>0</v>
      </c>
      <c r="CW277" s="28">
        <f>SUMIF('Lease Cycles'!$HL$23:$HR$23,CW$6,'Lease Cycles'!$HS$23:$HY$23)</f>
        <v>0</v>
      </c>
      <c r="CX277" s="28">
        <f>SUMIF('Lease Cycles'!$HL$23:$HR$23,CX$6,'Lease Cycles'!$HS$23:$HY$23)</f>
        <v>0</v>
      </c>
      <c r="CY277" s="28">
        <f>SUMIF('Lease Cycles'!$HL$23:$HR$23,CY$6,'Lease Cycles'!$HS$23:$HY$23)</f>
        <v>0</v>
      </c>
      <c r="CZ277" s="28">
        <f>SUMIF('Lease Cycles'!$HL$23:$HR$23,CZ$6,'Lease Cycles'!$HS$23:$HY$23)</f>
        <v>0</v>
      </c>
      <c r="DA277" s="28">
        <f>SUMIF('Lease Cycles'!$HL$23:$HR$23,DA$6,'Lease Cycles'!$HS$23:$HY$23)</f>
        <v>0</v>
      </c>
      <c r="DB277" s="28">
        <f>SUMIF('Lease Cycles'!$HL$23:$HR$23,DB$6,'Lease Cycles'!$HS$23:$HY$23)</f>
        <v>0</v>
      </c>
      <c r="DC277" s="28">
        <f>SUMIF('Lease Cycles'!$HL$23:$HR$23,DC$6,'Lease Cycles'!$HS$23:$HY$23)</f>
        <v>0</v>
      </c>
      <c r="DD277" s="28">
        <f>SUMIF('Lease Cycles'!$HL$23:$HR$23,DD$6,'Lease Cycles'!$HS$23:$HY$23)</f>
        <v>0</v>
      </c>
      <c r="DE277" s="28">
        <f>SUMIF('Lease Cycles'!$HL$23:$HR$23,DE$6,'Lease Cycles'!$HS$23:$HY$23)</f>
        <v>0</v>
      </c>
      <c r="DF277" s="28">
        <f>SUMIF('Lease Cycles'!$HL$23:$HR$23,DF$6,'Lease Cycles'!$HS$23:$HY$23)</f>
        <v>0</v>
      </c>
      <c r="DG277" s="28">
        <f>SUMIF('Lease Cycles'!$HL$23:$HR$23,DG$6,'Lease Cycles'!$HS$23:$HY$23)</f>
        <v>0</v>
      </c>
      <c r="DH277" s="28">
        <f>SUMIF('Lease Cycles'!$HL$23:$HR$23,DH$6,'Lease Cycles'!$HS$23:$HY$23)</f>
        <v>0</v>
      </c>
      <c r="DI277" s="28">
        <f>SUMIF('Lease Cycles'!$HL$23:$HR$23,DI$6,'Lease Cycles'!$HS$23:$HY$23)</f>
        <v>0</v>
      </c>
      <c r="DJ277" s="28">
        <f>SUMIF('Lease Cycles'!$HL$23:$HR$23,DJ$6,'Lease Cycles'!$HS$23:$HY$23)</f>
        <v>0</v>
      </c>
      <c r="DK277" s="28">
        <f>SUMIF('Lease Cycles'!$HL$23:$HR$23,DK$6,'Lease Cycles'!$HS$23:$HY$23)</f>
        <v>0</v>
      </c>
      <c r="DL277" s="28">
        <f>SUMIF('Lease Cycles'!$HL$23:$HR$23,DL$6,'Lease Cycles'!$HS$23:$HY$23)</f>
        <v>0</v>
      </c>
      <c r="DM277" s="28">
        <f>SUMIF('Lease Cycles'!$HL$23:$HR$23,DM$6,'Lease Cycles'!$HS$23:$HY$23)</f>
        <v>0</v>
      </c>
      <c r="DN277" s="28">
        <f>SUMIF('Lease Cycles'!$HL$23:$HR$23,DN$6,'Lease Cycles'!$HS$23:$HY$23)</f>
        <v>0</v>
      </c>
      <c r="DO277" s="28">
        <f>SUMIF('Lease Cycles'!$HL$23:$HR$23,DO$6,'Lease Cycles'!$HS$23:$HY$23)</f>
        <v>0</v>
      </c>
      <c r="DP277" s="28">
        <f>SUMIF('Lease Cycles'!$HL$23:$HR$23,DP$6,'Lease Cycles'!$HS$23:$HY$23)</f>
        <v>0</v>
      </c>
      <c r="DQ277" s="28">
        <f>SUMIF('Lease Cycles'!$HL$23:$HR$23,DQ$6,'Lease Cycles'!$HS$23:$HY$23)</f>
        <v>0</v>
      </c>
      <c r="DR277" s="28">
        <f>SUMIF('Lease Cycles'!$HL$23:$HR$23,DR$6,'Lease Cycles'!$HS$23:$HY$23)</f>
        <v>0</v>
      </c>
      <c r="DS277" s="28">
        <f>SUMIF('Lease Cycles'!$HL$23:$HR$23,DS$6,'Lease Cycles'!$HS$23:$HY$23)</f>
        <v>0</v>
      </c>
      <c r="DT277" s="28">
        <f>SUMIF('Lease Cycles'!$HL$23:$HR$23,DT$6,'Lease Cycles'!$HS$23:$HY$23)</f>
        <v>0</v>
      </c>
      <c r="DU277" s="28">
        <f>SUMIF('Lease Cycles'!$HL$23:$HR$23,DU$6,'Lease Cycles'!$HS$23:$HY$23)</f>
        <v>0</v>
      </c>
      <c r="DV277" s="28">
        <f>SUMIF('Lease Cycles'!$HL$23:$HR$23,DV$6,'Lease Cycles'!$HS$23:$HY$23)</f>
        <v>0</v>
      </c>
      <c r="DW277" s="28">
        <f>SUMIF('Lease Cycles'!$HL$23:$HR$23,DW$6,'Lease Cycles'!$HS$23:$HY$23)</f>
        <v>0</v>
      </c>
      <c r="DX277" s="28">
        <f>SUMIF('Lease Cycles'!$HL$23:$HR$23,DX$6,'Lease Cycles'!$HS$23:$HY$23)</f>
        <v>0</v>
      </c>
      <c r="DY277" s="28">
        <f>SUMIF('Lease Cycles'!$HL$23:$HR$23,DY$6,'Lease Cycles'!$HS$23:$HY$23)</f>
        <v>0</v>
      </c>
      <c r="DZ277" s="28">
        <f>SUMIF('Lease Cycles'!$HL$23:$HR$23,DZ$6,'Lease Cycles'!$HS$23:$HY$23)</f>
        <v>0</v>
      </c>
      <c r="EA277" s="28">
        <f>SUMIF('Lease Cycles'!$HL$23:$HR$23,EA$6,'Lease Cycles'!$HS$23:$HY$23)</f>
        <v>0</v>
      </c>
      <c r="EB277" s="28">
        <f>SUMIF('Lease Cycles'!$HL$23:$HR$23,EB$6,'Lease Cycles'!$HS$23:$HY$23)</f>
        <v>0</v>
      </c>
      <c r="EC277" s="28">
        <f>SUMIF('Lease Cycles'!$HL$23:$HR$23,EC$6,'Lease Cycles'!$HS$23:$HY$23)</f>
        <v>0</v>
      </c>
      <c r="ED277" s="28">
        <f>SUMIF('Lease Cycles'!$HL$23:$HR$23,ED$6,'Lease Cycles'!$HS$23:$HY$23)</f>
        <v>0</v>
      </c>
      <c r="EE277" s="28">
        <f>SUMIF('Lease Cycles'!$HL$23:$HR$23,EE$6,'Lease Cycles'!$HS$23:$HY$23)</f>
        <v>0</v>
      </c>
      <c r="EF277" s="28">
        <f>SUMIF('Lease Cycles'!$HL$23:$HR$23,EF$6,'Lease Cycles'!$HS$23:$HY$23)</f>
        <v>0</v>
      </c>
      <c r="EG277" s="28">
        <f>SUMIF('Lease Cycles'!$HL$23:$HR$23,EG$6,'Lease Cycles'!$HS$23:$HY$23)</f>
        <v>0</v>
      </c>
      <c r="EH277" s="28">
        <f>SUMIF('Lease Cycles'!$HL$23:$HR$23,EH$6,'Lease Cycles'!$HS$23:$HY$23)</f>
        <v>0</v>
      </c>
      <c r="EI277" s="28">
        <f>SUMIF('Lease Cycles'!$HL$23:$HR$23,EI$6,'Lease Cycles'!$HS$23:$HY$23)</f>
        <v>0</v>
      </c>
      <c r="EJ277" s="28">
        <f>SUMIF('Lease Cycles'!$HL$23:$HR$23,EJ$6,'Lease Cycles'!$HS$23:$HY$23)</f>
        <v>0</v>
      </c>
      <c r="EK277" s="28">
        <f>SUMIF('Lease Cycles'!$HL$23:$HR$23,EK$6,'Lease Cycles'!$HS$23:$HY$23)</f>
        <v>0</v>
      </c>
      <c r="EL277" s="28">
        <f>SUMIF('Lease Cycles'!$HL$23:$HR$23,EL$6,'Lease Cycles'!$HS$23:$HY$23)</f>
        <v>0</v>
      </c>
      <c r="EM277" s="28">
        <f>SUMIF('Lease Cycles'!$HL$23:$HR$23,EM$6,'Lease Cycles'!$HS$23:$HY$23)</f>
        <v>0</v>
      </c>
      <c r="EN277" s="28">
        <f>SUMIF('Lease Cycles'!$HL$23:$HR$23,EN$6,'Lease Cycles'!$HS$23:$HY$23)</f>
        <v>0</v>
      </c>
      <c r="EO277" s="28">
        <f>SUMIF('Lease Cycles'!$HL$23:$HR$23,EO$6,'Lease Cycles'!$HS$23:$HY$23)</f>
        <v>0</v>
      </c>
      <c r="EP277" s="28">
        <f>SUMIF('Lease Cycles'!$HL$23:$HR$23,EP$6,'Lease Cycles'!$HS$23:$HY$23)</f>
        <v>0</v>
      </c>
      <c r="EQ277" s="28">
        <f>SUMIF('Lease Cycles'!$HL$23:$HR$23,EQ$6,'Lease Cycles'!$HS$23:$HY$23)</f>
        <v>0</v>
      </c>
      <c r="ER277" s="28">
        <f>SUMIF('Lease Cycles'!$HL$23:$HR$23,ER$6,'Lease Cycles'!$HS$23:$HY$23)</f>
        <v>0</v>
      </c>
      <c r="ES277" s="28">
        <f>SUMIF('Lease Cycles'!$HL$23:$HR$23,ES$6,'Lease Cycles'!$HS$23:$HY$23)</f>
        <v>0</v>
      </c>
      <c r="ET277" s="28">
        <f>SUMIF('Lease Cycles'!$HL$23:$HR$23,ET$6,'Lease Cycles'!$HS$23:$HY$23)</f>
        <v>0</v>
      </c>
    </row>
    <row r="278">
      <c r="A278" s="103">
        <v>16</v>
      </c>
      <c r="B278" s="23" t="str">
        <f>IF('Lease Cycles'!$B$23="","(empty slot)",'Lease Cycles'!$B$23)</f>
        <v>(empty slot)</v>
      </c>
      <c r="C278" s="23" t="s">
        <v>532</v>
      </c>
      <c r="D278" s="104" t="s">
        <v>533</v>
      </c>
      <c r="E278" s="25">
        <f>'Lease Cycles'!$AL$23</f>
        <v>0</v>
      </c>
      <c r="G278" s="28">
        <f>SUM(S278:AD278)</f>
        <v>0</v>
      </c>
      <c r="H278" s="28">
        <f>SUM(AE278:AP278)</f>
        <v>0</v>
      </c>
      <c r="I278" s="28">
        <f>SUM(AQ278:BB278)</f>
        <v>0</v>
      </c>
      <c r="J278" s="28">
        <f>SUM(BC278:BN278)</f>
        <v>0</v>
      </c>
      <c r="K278" s="28">
        <f>SUM(BO278:BZ278)</f>
        <v>0</v>
      </c>
      <c r="L278" s="28">
        <f>SUM(CA278:CL278)</f>
        <v>0</v>
      </c>
      <c r="M278" s="28">
        <f>SUM(CM278:CX278)</f>
        <v>0</v>
      </c>
      <c r="N278" s="28">
        <f>SUM(CY278:DJ278)</f>
        <v>0</v>
      </c>
      <c r="O278" s="28">
        <f>SUM(DK278:DV278)</f>
        <v>0</v>
      </c>
      <c r="P278" s="28">
        <f>SUM(DW278:EH278)</f>
        <v>0</v>
      </c>
      <c r="Q278" s="28">
        <f>SUM(EI278:ET278)</f>
        <v>0</v>
      </c>
      <c r="S278" s="28">
        <f>SUMIF('Lease Cycles'!$HL$23:$HR$23,S$6,'Lease Cycles'!$HZ$23:$IF$23)</f>
        <v>0</v>
      </c>
      <c r="T278" s="28">
        <f>SUMIF('Lease Cycles'!$HL$23:$HR$23,T$6,'Lease Cycles'!$HZ$23:$IF$23)</f>
        <v>0</v>
      </c>
      <c r="U278" s="28">
        <f>SUMIF('Lease Cycles'!$HL$23:$HR$23,U$6,'Lease Cycles'!$HZ$23:$IF$23)</f>
        <v>0</v>
      </c>
      <c r="V278" s="28">
        <f>SUMIF('Lease Cycles'!$HL$23:$HR$23,V$6,'Lease Cycles'!$HZ$23:$IF$23)</f>
        <v>0</v>
      </c>
      <c r="W278" s="28">
        <f>SUMIF('Lease Cycles'!$HL$23:$HR$23,W$6,'Lease Cycles'!$HZ$23:$IF$23)</f>
        <v>0</v>
      </c>
      <c r="X278" s="28">
        <f>SUMIF('Lease Cycles'!$HL$23:$HR$23,X$6,'Lease Cycles'!$HZ$23:$IF$23)</f>
        <v>0</v>
      </c>
      <c r="Y278" s="28">
        <f>SUMIF('Lease Cycles'!$HL$23:$HR$23,Y$6,'Lease Cycles'!$HZ$23:$IF$23)</f>
        <v>0</v>
      </c>
      <c r="Z278" s="28">
        <f>SUMIF('Lease Cycles'!$HL$23:$HR$23,Z$6,'Lease Cycles'!$HZ$23:$IF$23)</f>
        <v>0</v>
      </c>
      <c r="AA278" s="28">
        <f>SUMIF('Lease Cycles'!$HL$23:$HR$23,AA$6,'Lease Cycles'!$HZ$23:$IF$23)</f>
        <v>0</v>
      </c>
      <c r="AB278" s="28">
        <f>SUMIF('Lease Cycles'!$HL$23:$HR$23,AB$6,'Lease Cycles'!$HZ$23:$IF$23)</f>
        <v>0</v>
      </c>
      <c r="AC278" s="28">
        <f>SUMIF('Lease Cycles'!$HL$23:$HR$23,AC$6,'Lease Cycles'!$HZ$23:$IF$23)</f>
        <v>0</v>
      </c>
      <c r="AD278" s="28">
        <f>SUMIF('Lease Cycles'!$HL$23:$HR$23,AD$6,'Lease Cycles'!$HZ$23:$IF$23)</f>
        <v>0</v>
      </c>
      <c r="AE278" s="28">
        <f>SUMIF('Lease Cycles'!$HL$23:$HR$23,AE$6,'Lease Cycles'!$HZ$23:$IF$23)</f>
        <v>0</v>
      </c>
      <c r="AF278" s="28">
        <f>SUMIF('Lease Cycles'!$HL$23:$HR$23,AF$6,'Lease Cycles'!$HZ$23:$IF$23)</f>
        <v>0</v>
      </c>
      <c r="AG278" s="28">
        <f>SUMIF('Lease Cycles'!$HL$23:$HR$23,AG$6,'Lease Cycles'!$HZ$23:$IF$23)</f>
        <v>0</v>
      </c>
      <c r="AH278" s="28">
        <f>SUMIF('Lease Cycles'!$HL$23:$HR$23,AH$6,'Lease Cycles'!$HZ$23:$IF$23)</f>
        <v>0</v>
      </c>
      <c r="AI278" s="28">
        <f>SUMIF('Lease Cycles'!$HL$23:$HR$23,AI$6,'Lease Cycles'!$HZ$23:$IF$23)</f>
        <v>0</v>
      </c>
      <c r="AJ278" s="28">
        <f>SUMIF('Lease Cycles'!$HL$23:$HR$23,AJ$6,'Lease Cycles'!$HZ$23:$IF$23)</f>
        <v>0</v>
      </c>
      <c r="AK278" s="28">
        <f>SUMIF('Lease Cycles'!$HL$23:$HR$23,AK$6,'Lease Cycles'!$HZ$23:$IF$23)</f>
        <v>0</v>
      </c>
      <c r="AL278" s="28">
        <f>SUMIF('Lease Cycles'!$HL$23:$HR$23,AL$6,'Lease Cycles'!$HZ$23:$IF$23)</f>
        <v>0</v>
      </c>
      <c r="AM278" s="28">
        <f>SUMIF('Lease Cycles'!$HL$23:$HR$23,AM$6,'Lease Cycles'!$HZ$23:$IF$23)</f>
        <v>0</v>
      </c>
      <c r="AN278" s="28">
        <f>SUMIF('Lease Cycles'!$HL$23:$HR$23,AN$6,'Lease Cycles'!$HZ$23:$IF$23)</f>
        <v>0</v>
      </c>
      <c r="AO278" s="28">
        <f>SUMIF('Lease Cycles'!$HL$23:$HR$23,AO$6,'Lease Cycles'!$HZ$23:$IF$23)</f>
        <v>0</v>
      </c>
      <c r="AP278" s="28">
        <f>SUMIF('Lease Cycles'!$HL$23:$HR$23,AP$6,'Lease Cycles'!$HZ$23:$IF$23)</f>
        <v>0</v>
      </c>
      <c r="AQ278" s="28">
        <f>SUMIF('Lease Cycles'!$HL$23:$HR$23,AQ$6,'Lease Cycles'!$HZ$23:$IF$23)</f>
        <v>0</v>
      </c>
      <c r="AR278" s="28">
        <f>SUMIF('Lease Cycles'!$HL$23:$HR$23,AR$6,'Lease Cycles'!$HZ$23:$IF$23)</f>
        <v>0</v>
      </c>
      <c r="AS278" s="28">
        <f>SUMIF('Lease Cycles'!$HL$23:$HR$23,AS$6,'Lease Cycles'!$HZ$23:$IF$23)</f>
        <v>0</v>
      </c>
      <c r="AT278" s="28">
        <f>SUMIF('Lease Cycles'!$HL$23:$HR$23,AT$6,'Lease Cycles'!$HZ$23:$IF$23)</f>
        <v>0</v>
      </c>
      <c r="AU278" s="28">
        <f>SUMIF('Lease Cycles'!$HL$23:$HR$23,AU$6,'Lease Cycles'!$HZ$23:$IF$23)</f>
        <v>0</v>
      </c>
      <c r="AV278" s="28">
        <f>SUMIF('Lease Cycles'!$HL$23:$HR$23,AV$6,'Lease Cycles'!$HZ$23:$IF$23)</f>
        <v>0</v>
      </c>
      <c r="AW278" s="28">
        <f>SUMIF('Lease Cycles'!$HL$23:$HR$23,AW$6,'Lease Cycles'!$HZ$23:$IF$23)</f>
        <v>0</v>
      </c>
      <c r="AX278" s="28">
        <f>SUMIF('Lease Cycles'!$HL$23:$HR$23,AX$6,'Lease Cycles'!$HZ$23:$IF$23)</f>
        <v>0</v>
      </c>
      <c r="AY278" s="28">
        <f>SUMIF('Lease Cycles'!$HL$23:$HR$23,AY$6,'Lease Cycles'!$HZ$23:$IF$23)</f>
        <v>0</v>
      </c>
      <c r="AZ278" s="28">
        <f>SUMIF('Lease Cycles'!$HL$23:$HR$23,AZ$6,'Lease Cycles'!$HZ$23:$IF$23)</f>
        <v>0</v>
      </c>
      <c r="BA278" s="28">
        <f>SUMIF('Lease Cycles'!$HL$23:$HR$23,BA$6,'Lease Cycles'!$HZ$23:$IF$23)</f>
        <v>0</v>
      </c>
      <c r="BB278" s="28">
        <f>SUMIF('Lease Cycles'!$HL$23:$HR$23,BB$6,'Lease Cycles'!$HZ$23:$IF$23)</f>
        <v>0</v>
      </c>
      <c r="BC278" s="28">
        <f>SUMIF('Lease Cycles'!$HL$23:$HR$23,BC$6,'Lease Cycles'!$HZ$23:$IF$23)</f>
        <v>0</v>
      </c>
      <c r="BD278" s="28">
        <f>SUMIF('Lease Cycles'!$HL$23:$HR$23,BD$6,'Lease Cycles'!$HZ$23:$IF$23)</f>
        <v>0</v>
      </c>
      <c r="BE278" s="28">
        <f>SUMIF('Lease Cycles'!$HL$23:$HR$23,BE$6,'Lease Cycles'!$HZ$23:$IF$23)</f>
        <v>0</v>
      </c>
      <c r="BF278" s="28">
        <f>SUMIF('Lease Cycles'!$HL$23:$HR$23,BF$6,'Lease Cycles'!$HZ$23:$IF$23)</f>
        <v>0</v>
      </c>
      <c r="BG278" s="28">
        <f>SUMIF('Lease Cycles'!$HL$23:$HR$23,BG$6,'Lease Cycles'!$HZ$23:$IF$23)</f>
        <v>0</v>
      </c>
      <c r="BH278" s="28">
        <f>SUMIF('Lease Cycles'!$HL$23:$HR$23,BH$6,'Lease Cycles'!$HZ$23:$IF$23)</f>
        <v>0</v>
      </c>
      <c r="BI278" s="28">
        <f>SUMIF('Lease Cycles'!$HL$23:$HR$23,BI$6,'Lease Cycles'!$HZ$23:$IF$23)</f>
        <v>0</v>
      </c>
      <c r="BJ278" s="28">
        <f>SUMIF('Lease Cycles'!$HL$23:$HR$23,BJ$6,'Lease Cycles'!$HZ$23:$IF$23)</f>
        <v>0</v>
      </c>
      <c r="BK278" s="28">
        <f>SUMIF('Lease Cycles'!$HL$23:$HR$23,BK$6,'Lease Cycles'!$HZ$23:$IF$23)</f>
        <v>0</v>
      </c>
      <c r="BL278" s="28">
        <f>SUMIF('Lease Cycles'!$HL$23:$HR$23,BL$6,'Lease Cycles'!$HZ$23:$IF$23)</f>
        <v>0</v>
      </c>
      <c r="BM278" s="28">
        <f>SUMIF('Lease Cycles'!$HL$23:$HR$23,BM$6,'Lease Cycles'!$HZ$23:$IF$23)</f>
        <v>0</v>
      </c>
      <c r="BN278" s="28">
        <f>SUMIF('Lease Cycles'!$HL$23:$HR$23,BN$6,'Lease Cycles'!$HZ$23:$IF$23)</f>
        <v>0</v>
      </c>
      <c r="BO278" s="28">
        <f>SUMIF('Lease Cycles'!$HL$23:$HR$23,BO$6,'Lease Cycles'!$HZ$23:$IF$23)</f>
        <v>0</v>
      </c>
      <c r="BP278" s="28">
        <f>SUMIF('Lease Cycles'!$HL$23:$HR$23,BP$6,'Lease Cycles'!$HZ$23:$IF$23)</f>
        <v>0</v>
      </c>
      <c r="BQ278" s="28">
        <f>SUMIF('Lease Cycles'!$HL$23:$HR$23,BQ$6,'Lease Cycles'!$HZ$23:$IF$23)</f>
        <v>0</v>
      </c>
      <c r="BR278" s="28">
        <f>SUMIF('Lease Cycles'!$HL$23:$HR$23,BR$6,'Lease Cycles'!$HZ$23:$IF$23)</f>
        <v>0</v>
      </c>
      <c r="BS278" s="28">
        <f>SUMIF('Lease Cycles'!$HL$23:$HR$23,BS$6,'Lease Cycles'!$HZ$23:$IF$23)</f>
        <v>0</v>
      </c>
      <c r="BT278" s="28">
        <f>SUMIF('Lease Cycles'!$HL$23:$HR$23,BT$6,'Lease Cycles'!$HZ$23:$IF$23)</f>
        <v>0</v>
      </c>
      <c r="BU278" s="28">
        <f>SUMIF('Lease Cycles'!$HL$23:$HR$23,BU$6,'Lease Cycles'!$HZ$23:$IF$23)</f>
        <v>0</v>
      </c>
      <c r="BV278" s="28">
        <f>SUMIF('Lease Cycles'!$HL$23:$HR$23,BV$6,'Lease Cycles'!$HZ$23:$IF$23)</f>
        <v>0</v>
      </c>
      <c r="BW278" s="28">
        <f>SUMIF('Lease Cycles'!$HL$23:$HR$23,BW$6,'Lease Cycles'!$HZ$23:$IF$23)</f>
        <v>0</v>
      </c>
      <c r="BX278" s="28">
        <f>SUMIF('Lease Cycles'!$HL$23:$HR$23,BX$6,'Lease Cycles'!$HZ$23:$IF$23)</f>
        <v>0</v>
      </c>
      <c r="BY278" s="28">
        <f>SUMIF('Lease Cycles'!$HL$23:$HR$23,BY$6,'Lease Cycles'!$HZ$23:$IF$23)</f>
        <v>0</v>
      </c>
      <c r="BZ278" s="28">
        <f>SUMIF('Lease Cycles'!$HL$23:$HR$23,BZ$6,'Lease Cycles'!$HZ$23:$IF$23)</f>
        <v>0</v>
      </c>
      <c r="CA278" s="28">
        <f>SUMIF('Lease Cycles'!$HL$23:$HR$23,CA$6,'Lease Cycles'!$HZ$23:$IF$23)</f>
        <v>0</v>
      </c>
      <c r="CB278" s="28">
        <f>SUMIF('Lease Cycles'!$HL$23:$HR$23,CB$6,'Lease Cycles'!$HZ$23:$IF$23)</f>
        <v>0</v>
      </c>
      <c r="CC278" s="28">
        <f>SUMIF('Lease Cycles'!$HL$23:$HR$23,CC$6,'Lease Cycles'!$HZ$23:$IF$23)</f>
        <v>0</v>
      </c>
      <c r="CD278" s="28">
        <f>SUMIF('Lease Cycles'!$HL$23:$HR$23,CD$6,'Lease Cycles'!$HZ$23:$IF$23)</f>
        <v>0</v>
      </c>
      <c r="CE278" s="28">
        <f>SUMIF('Lease Cycles'!$HL$23:$HR$23,CE$6,'Lease Cycles'!$HZ$23:$IF$23)</f>
        <v>0</v>
      </c>
      <c r="CF278" s="28">
        <f>SUMIF('Lease Cycles'!$HL$23:$HR$23,CF$6,'Lease Cycles'!$HZ$23:$IF$23)</f>
        <v>0</v>
      </c>
      <c r="CG278" s="28">
        <f>SUMIF('Lease Cycles'!$HL$23:$HR$23,CG$6,'Lease Cycles'!$HZ$23:$IF$23)</f>
        <v>0</v>
      </c>
      <c r="CH278" s="28">
        <f>SUMIF('Lease Cycles'!$HL$23:$HR$23,CH$6,'Lease Cycles'!$HZ$23:$IF$23)</f>
        <v>0</v>
      </c>
      <c r="CI278" s="28">
        <f>SUMIF('Lease Cycles'!$HL$23:$HR$23,CI$6,'Lease Cycles'!$HZ$23:$IF$23)</f>
        <v>0</v>
      </c>
      <c r="CJ278" s="28">
        <f>SUMIF('Lease Cycles'!$HL$23:$HR$23,CJ$6,'Lease Cycles'!$HZ$23:$IF$23)</f>
        <v>0</v>
      </c>
      <c r="CK278" s="28">
        <f>SUMIF('Lease Cycles'!$HL$23:$HR$23,CK$6,'Lease Cycles'!$HZ$23:$IF$23)</f>
        <v>0</v>
      </c>
      <c r="CL278" s="28">
        <f>SUMIF('Lease Cycles'!$HL$23:$HR$23,CL$6,'Lease Cycles'!$HZ$23:$IF$23)</f>
        <v>0</v>
      </c>
      <c r="CM278" s="28">
        <f>SUMIF('Lease Cycles'!$HL$23:$HR$23,CM$6,'Lease Cycles'!$HZ$23:$IF$23)</f>
        <v>0</v>
      </c>
      <c r="CN278" s="28">
        <f>SUMIF('Lease Cycles'!$HL$23:$HR$23,CN$6,'Lease Cycles'!$HZ$23:$IF$23)</f>
        <v>0</v>
      </c>
      <c r="CO278" s="28">
        <f>SUMIF('Lease Cycles'!$HL$23:$HR$23,CO$6,'Lease Cycles'!$HZ$23:$IF$23)</f>
        <v>0</v>
      </c>
      <c r="CP278" s="28">
        <f>SUMIF('Lease Cycles'!$HL$23:$HR$23,CP$6,'Lease Cycles'!$HZ$23:$IF$23)</f>
        <v>0</v>
      </c>
      <c r="CQ278" s="28">
        <f>SUMIF('Lease Cycles'!$HL$23:$HR$23,CQ$6,'Lease Cycles'!$HZ$23:$IF$23)</f>
        <v>0</v>
      </c>
      <c r="CR278" s="28">
        <f>SUMIF('Lease Cycles'!$HL$23:$HR$23,CR$6,'Lease Cycles'!$HZ$23:$IF$23)</f>
        <v>0</v>
      </c>
      <c r="CS278" s="28">
        <f>SUMIF('Lease Cycles'!$HL$23:$HR$23,CS$6,'Lease Cycles'!$HZ$23:$IF$23)</f>
        <v>0</v>
      </c>
      <c r="CT278" s="28">
        <f>SUMIF('Lease Cycles'!$HL$23:$HR$23,CT$6,'Lease Cycles'!$HZ$23:$IF$23)</f>
        <v>0</v>
      </c>
      <c r="CU278" s="28">
        <f>SUMIF('Lease Cycles'!$HL$23:$HR$23,CU$6,'Lease Cycles'!$HZ$23:$IF$23)</f>
        <v>0</v>
      </c>
      <c r="CV278" s="28">
        <f>SUMIF('Lease Cycles'!$HL$23:$HR$23,CV$6,'Lease Cycles'!$HZ$23:$IF$23)</f>
        <v>0</v>
      </c>
      <c r="CW278" s="28">
        <f>SUMIF('Lease Cycles'!$HL$23:$HR$23,CW$6,'Lease Cycles'!$HZ$23:$IF$23)</f>
        <v>0</v>
      </c>
      <c r="CX278" s="28">
        <f>SUMIF('Lease Cycles'!$HL$23:$HR$23,CX$6,'Lease Cycles'!$HZ$23:$IF$23)</f>
        <v>0</v>
      </c>
      <c r="CY278" s="28">
        <f>SUMIF('Lease Cycles'!$HL$23:$HR$23,CY$6,'Lease Cycles'!$HZ$23:$IF$23)</f>
        <v>0</v>
      </c>
      <c r="CZ278" s="28">
        <f>SUMIF('Lease Cycles'!$HL$23:$HR$23,CZ$6,'Lease Cycles'!$HZ$23:$IF$23)</f>
        <v>0</v>
      </c>
      <c r="DA278" s="28">
        <f>SUMIF('Lease Cycles'!$HL$23:$HR$23,DA$6,'Lease Cycles'!$HZ$23:$IF$23)</f>
        <v>0</v>
      </c>
      <c r="DB278" s="28">
        <f>SUMIF('Lease Cycles'!$HL$23:$HR$23,DB$6,'Lease Cycles'!$HZ$23:$IF$23)</f>
        <v>0</v>
      </c>
      <c r="DC278" s="28">
        <f>SUMIF('Lease Cycles'!$HL$23:$HR$23,DC$6,'Lease Cycles'!$HZ$23:$IF$23)</f>
        <v>0</v>
      </c>
      <c r="DD278" s="28">
        <f>SUMIF('Lease Cycles'!$HL$23:$HR$23,DD$6,'Lease Cycles'!$HZ$23:$IF$23)</f>
        <v>0</v>
      </c>
      <c r="DE278" s="28">
        <f>SUMIF('Lease Cycles'!$HL$23:$HR$23,DE$6,'Lease Cycles'!$HZ$23:$IF$23)</f>
        <v>0</v>
      </c>
      <c r="DF278" s="28">
        <f>SUMIF('Lease Cycles'!$HL$23:$HR$23,DF$6,'Lease Cycles'!$HZ$23:$IF$23)</f>
        <v>0</v>
      </c>
      <c r="DG278" s="28">
        <f>SUMIF('Lease Cycles'!$HL$23:$HR$23,DG$6,'Lease Cycles'!$HZ$23:$IF$23)</f>
        <v>0</v>
      </c>
      <c r="DH278" s="28">
        <f>SUMIF('Lease Cycles'!$HL$23:$HR$23,DH$6,'Lease Cycles'!$HZ$23:$IF$23)</f>
        <v>0</v>
      </c>
      <c r="DI278" s="28">
        <f>SUMIF('Lease Cycles'!$HL$23:$HR$23,DI$6,'Lease Cycles'!$HZ$23:$IF$23)</f>
        <v>0</v>
      </c>
      <c r="DJ278" s="28">
        <f>SUMIF('Lease Cycles'!$HL$23:$HR$23,DJ$6,'Lease Cycles'!$HZ$23:$IF$23)</f>
        <v>0</v>
      </c>
      <c r="DK278" s="28">
        <f>SUMIF('Lease Cycles'!$HL$23:$HR$23,DK$6,'Lease Cycles'!$HZ$23:$IF$23)</f>
        <v>0</v>
      </c>
      <c r="DL278" s="28">
        <f>SUMIF('Lease Cycles'!$HL$23:$HR$23,DL$6,'Lease Cycles'!$HZ$23:$IF$23)</f>
        <v>0</v>
      </c>
      <c r="DM278" s="28">
        <f>SUMIF('Lease Cycles'!$HL$23:$HR$23,DM$6,'Lease Cycles'!$HZ$23:$IF$23)</f>
        <v>0</v>
      </c>
      <c r="DN278" s="28">
        <f>SUMIF('Lease Cycles'!$HL$23:$HR$23,DN$6,'Lease Cycles'!$HZ$23:$IF$23)</f>
        <v>0</v>
      </c>
      <c r="DO278" s="28">
        <f>SUMIF('Lease Cycles'!$HL$23:$HR$23,DO$6,'Lease Cycles'!$HZ$23:$IF$23)</f>
        <v>0</v>
      </c>
      <c r="DP278" s="28">
        <f>SUMIF('Lease Cycles'!$HL$23:$HR$23,DP$6,'Lease Cycles'!$HZ$23:$IF$23)</f>
        <v>0</v>
      </c>
      <c r="DQ278" s="28">
        <f>SUMIF('Lease Cycles'!$HL$23:$HR$23,DQ$6,'Lease Cycles'!$HZ$23:$IF$23)</f>
        <v>0</v>
      </c>
      <c r="DR278" s="28">
        <f>SUMIF('Lease Cycles'!$HL$23:$HR$23,DR$6,'Lease Cycles'!$HZ$23:$IF$23)</f>
        <v>0</v>
      </c>
      <c r="DS278" s="28">
        <f>SUMIF('Lease Cycles'!$HL$23:$HR$23,DS$6,'Lease Cycles'!$HZ$23:$IF$23)</f>
        <v>0</v>
      </c>
      <c r="DT278" s="28">
        <f>SUMIF('Lease Cycles'!$HL$23:$HR$23,DT$6,'Lease Cycles'!$HZ$23:$IF$23)</f>
        <v>0</v>
      </c>
      <c r="DU278" s="28">
        <f>SUMIF('Lease Cycles'!$HL$23:$HR$23,DU$6,'Lease Cycles'!$HZ$23:$IF$23)</f>
        <v>0</v>
      </c>
      <c r="DV278" s="28">
        <f>SUMIF('Lease Cycles'!$HL$23:$HR$23,DV$6,'Lease Cycles'!$HZ$23:$IF$23)</f>
        <v>0</v>
      </c>
      <c r="DW278" s="28">
        <f>SUMIF('Lease Cycles'!$HL$23:$HR$23,DW$6,'Lease Cycles'!$HZ$23:$IF$23)</f>
        <v>0</v>
      </c>
      <c r="DX278" s="28">
        <f>SUMIF('Lease Cycles'!$HL$23:$HR$23,DX$6,'Lease Cycles'!$HZ$23:$IF$23)</f>
        <v>0</v>
      </c>
      <c r="DY278" s="28">
        <f>SUMIF('Lease Cycles'!$HL$23:$HR$23,DY$6,'Lease Cycles'!$HZ$23:$IF$23)</f>
        <v>0</v>
      </c>
      <c r="DZ278" s="28">
        <f>SUMIF('Lease Cycles'!$HL$23:$HR$23,DZ$6,'Lease Cycles'!$HZ$23:$IF$23)</f>
        <v>0</v>
      </c>
      <c r="EA278" s="28">
        <f>SUMIF('Lease Cycles'!$HL$23:$HR$23,EA$6,'Lease Cycles'!$HZ$23:$IF$23)</f>
        <v>0</v>
      </c>
      <c r="EB278" s="28">
        <f>SUMIF('Lease Cycles'!$HL$23:$HR$23,EB$6,'Lease Cycles'!$HZ$23:$IF$23)</f>
        <v>0</v>
      </c>
      <c r="EC278" s="28">
        <f>SUMIF('Lease Cycles'!$HL$23:$HR$23,EC$6,'Lease Cycles'!$HZ$23:$IF$23)</f>
        <v>0</v>
      </c>
      <c r="ED278" s="28">
        <f>SUMIF('Lease Cycles'!$HL$23:$HR$23,ED$6,'Lease Cycles'!$HZ$23:$IF$23)</f>
        <v>0</v>
      </c>
      <c r="EE278" s="28">
        <f>SUMIF('Lease Cycles'!$HL$23:$HR$23,EE$6,'Lease Cycles'!$HZ$23:$IF$23)</f>
        <v>0</v>
      </c>
      <c r="EF278" s="28">
        <f>SUMIF('Lease Cycles'!$HL$23:$HR$23,EF$6,'Lease Cycles'!$HZ$23:$IF$23)</f>
        <v>0</v>
      </c>
      <c r="EG278" s="28">
        <f>SUMIF('Lease Cycles'!$HL$23:$HR$23,EG$6,'Lease Cycles'!$HZ$23:$IF$23)</f>
        <v>0</v>
      </c>
      <c r="EH278" s="28">
        <f>SUMIF('Lease Cycles'!$HL$23:$HR$23,EH$6,'Lease Cycles'!$HZ$23:$IF$23)</f>
        <v>0</v>
      </c>
      <c r="EI278" s="28">
        <f>SUMIF('Lease Cycles'!$HL$23:$HR$23,EI$6,'Lease Cycles'!$HZ$23:$IF$23)</f>
        <v>0</v>
      </c>
      <c r="EJ278" s="28">
        <f>SUMIF('Lease Cycles'!$HL$23:$HR$23,EJ$6,'Lease Cycles'!$HZ$23:$IF$23)</f>
        <v>0</v>
      </c>
      <c r="EK278" s="28">
        <f>SUMIF('Lease Cycles'!$HL$23:$HR$23,EK$6,'Lease Cycles'!$HZ$23:$IF$23)</f>
        <v>0</v>
      </c>
      <c r="EL278" s="28">
        <f>SUMIF('Lease Cycles'!$HL$23:$HR$23,EL$6,'Lease Cycles'!$HZ$23:$IF$23)</f>
        <v>0</v>
      </c>
      <c r="EM278" s="28">
        <f>SUMIF('Lease Cycles'!$HL$23:$HR$23,EM$6,'Lease Cycles'!$HZ$23:$IF$23)</f>
        <v>0</v>
      </c>
      <c r="EN278" s="28">
        <f>SUMIF('Lease Cycles'!$HL$23:$HR$23,EN$6,'Lease Cycles'!$HZ$23:$IF$23)</f>
        <v>0</v>
      </c>
      <c r="EO278" s="28">
        <f>SUMIF('Lease Cycles'!$HL$23:$HR$23,EO$6,'Lease Cycles'!$HZ$23:$IF$23)</f>
        <v>0</v>
      </c>
      <c r="EP278" s="28">
        <f>SUMIF('Lease Cycles'!$HL$23:$HR$23,EP$6,'Lease Cycles'!$HZ$23:$IF$23)</f>
        <v>0</v>
      </c>
      <c r="EQ278" s="28">
        <f>SUMIF('Lease Cycles'!$HL$23:$HR$23,EQ$6,'Lease Cycles'!$HZ$23:$IF$23)</f>
        <v>0</v>
      </c>
      <c r="ER278" s="28">
        <f>SUMIF('Lease Cycles'!$HL$23:$HR$23,ER$6,'Lease Cycles'!$HZ$23:$IF$23)</f>
        <v>0</v>
      </c>
      <c r="ES278" s="28">
        <f>SUMIF('Lease Cycles'!$HL$23:$HR$23,ES$6,'Lease Cycles'!$HZ$23:$IF$23)</f>
        <v>0</v>
      </c>
      <c r="ET278" s="28">
        <f>SUMIF('Lease Cycles'!$HL$23:$HR$23,ET$6,'Lease Cycles'!$HZ$23:$IF$23)</f>
        <v>0</v>
      </c>
    </row>
    <row r="279">
      <c r="A279" s="103">
        <v>16</v>
      </c>
      <c r="B279" s="23" t="str">
        <f>IF('Lease Cycles'!$B$23="","(empty slot)",'Lease Cycles'!$B$23)</f>
        <v>(empty slot)</v>
      </c>
      <c r="C279" s="23" t="s">
        <v>691</v>
      </c>
      <c r="D279" s="104" t="s">
        <v>692</v>
      </c>
      <c r="E279" s="25">
        <f>'Lease Cycles'!$AL$23</f>
        <v>0</v>
      </c>
      <c r="G279" s="28">
        <f>SUM(S279:AD279)</f>
        <v>0</v>
      </c>
      <c r="H279" s="28">
        <f>SUM(AE279:AP279)</f>
        <v>0</v>
      </c>
      <c r="I279" s="28">
        <f>SUM(AQ279:BB279)</f>
        <v>0</v>
      </c>
      <c r="J279" s="28">
        <f>SUM(BC279:BN279)</f>
        <v>0</v>
      </c>
      <c r="K279" s="28">
        <f>SUM(BO279:BZ279)</f>
        <v>0</v>
      </c>
      <c r="L279" s="28">
        <f>SUM(CA279:CL279)</f>
        <v>0</v>
      </c>
      <c r="M279" s="28">
        <f>SUM(CM279:CX279)</f>
        <v>0</v>
      </c>
      <c r="N279" s="28">
        <f>SUM(CY279:DJ279)</f>
        <v>0</v>
      </c>
      <c r="O279" s="28">
        <f>SUM(DK279:DV279)</f>
        <v>0</v>
      </c>
      <c r="P279" s="28">
        <f>SUM(DW279:EH279)</f>
        <v>0</v>
      </c>
      <c r="Q279" s="28">
        <f>SUM(EI279:ET279)</f>
        <v>0</v>
      </c>
      <c r="S279" s="28">
        <f>IF(S$6='Lease Cycles'!$HL$23,'Lease Cycles'!$HS$23+'Lease Cycles'!$HZ$23,0)</f>
        <v>0</v>
      </c>
      <c r="T279" s="28">
        <f>IF(T$6='Lease Cycles'!$HL$23,'Lease Cycles'!$HS$23+'Lease Cycles'!$HZ$23,0)</f>
        <v>0</v>
      </c>
      <c r="U279" s="28">
        <f>IF(U$6='Lease Cycles'!$HL$23,'Lease Cycles'!$HS$23+'Lease Cycles'!$HZ$23,0)</f>
        <v>0</v>
      </c>
      <c r="V279" s="28">
        <f>IF(V$6='Lease Cycles'!$HL$23,'Lease Cycles'!$HS$23+'Lease Cycles'!$HZ$23,0)</f>
        <v>0</v>
      </c>
      <c r="W279" s="28">
        <f>IF(W$6='Lease Cycles'!$HL$23,'Lease Cycles'!$HS$23+'Lease Cycles'!$HZ$23,0)</f>
        <v>0</v>
      </c>
      <c r="X279" s="28">
        <f>IF(X$6='Lease Cycles'!$HL$23,'Lease Cycles'!$HS$23+'Lease Cycles'!$HZ$23,0)</f>
        <v>0</v>
      </c>
      <c r="Y279" s="28">
        <f>IF(Y$6='Lease Cycles'!$HL$23,'Lease Cycles'!$HS$23+'Lease Cycles'!$HZ$23,0)</f>
        <v>0</v>
      </c>
      <c r="Z279" s="28">
        <f>IF(Z$6='Lease Cycles'!$HL$23,'Lease Cycles'!$HS$23+'Lease Cycles'!$HZ$23,0)</f>
        <v>0</v>
      </c>
      <c r="AA279" s="28">
        <f>IF(AA$6='Lease Cycles'!$HL$23,'Lease Cycles'!$HS$23+'Lease Cycles'!$HZ$23,0)</f>
        <v>0</v>
      </c>
      <c r="AB279" s="28">
        <f>IF(AB$6='Lease Cycles'!$HL$23,'Lease Cycles'!$HS$23+'Lease Cycles'!$HZ$23,0)</f>
        <v>0</v>
      </c>
      <c r="AC279" s="28">
        <f>IF(AC$6='Lease Cycles'!$HL$23,'Lease Cycles'!$HS$23+'Lease Cycles'!$HZ$23,0)</f>
        <v>0</v>
      </c>
      <c r="AD279" s="28">
        <f>IF(AD$6='Lease Cycles'!$HL$23,'Lease Cycles'!$HS$23+'Lease Cycles'!$HZ$23,0)</f>
        <v>0</v>
      </c>
      <c r="AE279" s="28">
        <f>IF(AE$6='Lease Cycles'!$HL$23,'Lease Cycles'!$HS$23+'Lease Cycles'!$HZ$23,0)</f>
        <v>0</v>
      </c>
      <c r="AF279" s="28">
        <f>IF(AF$6='Lease Cycles'!$HL$23,'Lease Cycles'!$HS$23+'Lease Cycles'!$HZ$23,0)</f>
        <v>0</v>
      </c>
      <c r="AG279" s="28">
        <f>IF(AG$6='Lease Cycles'!$HL$23,'Lease Cycles'!$HS$23+'Lease Cycles'!$HZ$23,0)</f>
        <v>0</v>
      </c>
      <c r="AH279" s="28">
        <f>IF(AH$6='Lease Cycles'!$HL$23,'Lease Cycles'!$HS$23+'Lease Cycles'!$HZ$23,0)</f>
        <v>0</v>
      </c>
      <c r="AI279" s="28">
        <f>IF(AI$6='Lease Cycles'!$HL$23,'Lease Cycles'!$HS$23+'Lease Cycles'!$HZ$23,0)</f>
        <v>0</v>
      </c>
      <c r="AJ279" s="28">
        <f>IF(AJ$6='Lease Cycles'!$HL$23,'Lease Cycles'!$HS$23+'Lease Cycles'!$HZ$23,0)</f>
        <v>0</v>
      </c>
      <c r="AK279" s="28">
        <f>IF(AK$6='Lease Cycles'!$HL$23,'Lease Cycles'!$HS$23+'Lease Cycles'!$HZ$23,0)</f>
        <v>0</v>
      </c>
      <c r="AL279" s="28">
        <f>IF(AL$6='Lease Cycles'!$HL$23,'Lease Cycles'!$HS$23+'Lease Cycles'!$HZ$23,0)</f>
        <v>0</v>
      </c>
      <c r="AM279" s="28">
        <f>IF(AM$6='Lease Cycles'!$HL$23,'Lease Cycles'!$HS$23+'Lease Cycles'!$HZ$23,0)</f>
        <v>0</v>
      </c>
      <c r="AN279" s="28">
        <f>IF(AN$6='Lease Cycles'!$HL$23,'Lease Cycles'!$HS$23+'Lease Cycles'!$HZ$23,0)</f>
        <v>0</v>
      </c>
      <c r="AO279" s="28">
        <f>IF(AO$6='Lease Cycles'!$HL$23,'Lease Cycles'!$HS$23+'Lease Cycles'!$HZ$23,0)</f>
        <v>0</v>
      </c>
      <c r="AP279" s="28">
        <f>IF(AP$6='Lease Cycles'!$HL$23,'Lease Cycles'!$HS$23+'Lease Cycles'!$HZ$23,0)</f>
        <v>0</v>
      </c>
      <c r="AQ279" s="28">
        <f>IF(AQ$6='Lease Cycles'!$HL$23,'Lease Cycles'!$HS$23+'Lease Cycles'!$HZ$23,0)</f>
        <v>0</v>
      </c>
      <c r="AR279" s="28">
        <f>IF(AR$6='Lease Cycles'!$HL$23,'Lease Cycles'!$HS$23+'Lease Cycles'!$HZ$23,0)</f>
        <v>0</v>
      </c>
      <c r="AS279" s="28">
        <f>IF(AS$6='Lease Cycles'!$HL$23,'Lease Cycles'!$HS$23+'Lease Cycles'!$HZ$23,0)</f>
        <v>0</v>
      </c>
      <c r="AT279" s="28">
        <f>IF(AT$6='Lease Cycles'!$HL$23,'Lease Cycles'!$HS$23+'Lease Cycles'!$HZ$23,0)</f>
        <v>0</v>
      </c>
      <c r="AU279" s="28">
        <f>IF(AU$6='Lease Cycles'!$HL$23,'Lease Cycles'!$HS$23+'Lease Cycles'!$HZ$23,0)</f>
        <v>0</v>
      </c>
      <c r="AV279" s="28">
        <f>IF(AV$6='Lease Cycles'!$HL$23,'Lease Cycles'!$HS$23+'Lease Cycles'!$HZ$23,0)</f>
        <v>0</v>
      </c>
      <c r="AW279" s="28">
        <f>IF(AW$6='Lease Cycles'!$HL$23,'Lease Cycles'!$HS$23+'Lease Cycles'!$HZ$23,0)</f>
        <v>0</v>
      </c>
      <c r="AX279" s="28">
        <f>IF(AX$6='Lease Cycles'!$HL$23,'Lease Cycles'!$HS$23+'Lease Cycles'!$HZ$23,0)</f>
        <v>0</v>
      </c>
      <c r="AY279" s="28">
        <f>IF(AY$6='Lease Cycles'!$HL$23,'Lease Cycles'!$HS$23+'Lease Cycles'!$HZ$23,0)</f>
        <v>0</v>
      </c>
      <c r="AZ279" s="28">
        <f>IF(AZ$6='Lease Cycles'!$HL$23,'Lease Cycles'!$HS$23+'Lease Cycles'!$HZ$23,0)</f>
        <v>0</v>
      </c>
      <c r="BA279" s="28">
        <f>IF(BA$6='Lease Cycles'!$HL$23,'Lease Cycles'!$HS$23+'Lease Cycles'!$HZ$23,0)</f>
        <v>0</v>
      </c>
      <c r="BB279" s="28">
        <f>IF(BB$6='Lease Cycles'!$HL$23,'Lease Cycles'!$HS$23+'Lease Cycles'!$HZ$23,0)</f>
        <v>0</v>
      </c>
      <c r="BC279" s="28">
        <f>IF(BC$6='Lease Cycles'!$HL$23,'Lease Cycles'!$HS$23+'Lease Cycles'!$HZ$23,0)</f>
        <v>0</v>
      </c>
      <c r="BD279" s="28">
        <f>IF(BD$6='Lease Cycles'!$HL$23,'Lease Cycles'!$HS$23+'Lease Cycles'!$HZ$23,0)</f>
        <v>0</v>
      </c>
      <c r="BE279" s="28">
        <f>IF(BE$6='Lease Cycles'!$HL$23,'Lease Cycles'!$HS$23+'Lease Cycles'!$HZ$23,0)</f>
        <v>0</v>
      </c>
      <c r="BF279" s="28">
        <f>IF(BF$6='Lease Cycles'!$HL$23,'Lease Cycles'!$HS$23+'Lease Cycles'!$HZ$23,0)</f>
        <v>0</v>
      </c>
      <c r="BG279" s="28">
        <f>IF(BG$6='Lease Cycles'!$HL$23,'Lease Cycles'!$HS$23+'Lease Cycles'!$HZ$23,0)</f>
        <v>0</v>
      </c>
      <c r="BH279" s="28">
        <f>IF(BH$6='Lease Cycles'!$HL$23,'Lease Cycles'!$HS$23+'Lease Cycles'!$HZ$23,0)</f>
        <v>0</v>
      </c>
      <c r="BI279" s="28">
        <f>IF(BI$6='Lease Cycles'!$HL$23,'Lease Cycles'!$HS$23+'Lease Cycles'!$HZ$23,0)</f>
        <v>0</v>
      </c>
      <c r="BJ279" s="28">
        <f>IF(BJ$6='Lease Cycles'!$HL$23,'Lease Cycles'!$HS$23+'Lease Cycles'!$HZ$23,0)</f>
        <v>0</v>
      </c>
      <c r="BK279" s="28">
        <f>IF(BK$6='Lease Cycles'!$HL$23,'Lease Cycles'!$HS$23+'Lease Cycles'!$HZ$23,0)</f>
        <v>0</v>
      </c>
      <c r="BL279" s="28">
        <f>IF(BL$6='Lease Cycles'!$HL$23,'Lease Cycles'!$HS$23+'Lease Cycles'!$HZ$23,0)</f>
        <v>0</v>
      </c>
      <c r="BM279" s="28">
        <f>IF(BM$6='Lease Cycles'!$HL$23,'Lease Cycles'!$HS$23+'Lease Cycles'!$HZ$23,0)</f>
        <v>0</v>
      </c>
      <c r="BN279" s="28">
        <f>IF(BN$6='Lease Cycles'!$HL$23,'Lease Cycles'!$HS$23+'Lease Cycles'!$HZ$23,0)</f>
        <v>0</v>
      </c>
      <c r="BO279" s="28">
        <f>IF(BO$6='Lease Cycles'!$HL$23,'Lease Cycles'!$HS$23+'Lease Cycles'!$HZ$23,0)</f>
        <v>0</v>
      </c>
      <c r="BP279" s="28">
        <f>IF(BP$6='Lease Cycles'!$HL$23,'Lease Cycles'!$HS$23+'Lease Cycles'!$HZ$23,0)</f>
        <v>0</v>
      </c>
      <c r="BQ279" s="28">
        <f>IF(BQ$6='Lease Cycles'!$HL$23,'Lease Cycles'!$HS$23+'Lease Cycles'!$HZ$23,0)</f>
        <v>0</v>
      </c>
      <c r="BR279" s="28">
        <f>IF(BR$6='Lease Cycles'!$HL$23,'Lease Cycles'!$HS$23+'Lease Cycles'!$HZ$23,0)</f>
        <v>0</v>
      </c>
      <c r="BS279" s="28">
        <f>IF(BS$6='Lease Cycles'!$HL$23,'Lease Cycles'!$HS$23+'Lease Cycles'!$HZ$23,0)</f>
        <v>0</v>
      </c>
      <c r="BT279" s="28">
        <f>IF(BT$6='Lease Cycles'!$HL$23,'Lease Cycles'!$HS$23+'Lease Cycles'!$HZ$23,0)</f>
        <v>0</v>
      </c>
      <c r="BU279" s="28">
        <f>IF(BU$6='Lease Cycles'!$HL$23,'Lease Cycles'!$HS$23+'Lease Cycles'!$HZ$23,0)</f>
        <v>0</v>
      </c>
      <c r="BV279" s="28">
        <f>IF(BV$6='Lease Cycles'!$HL$23,'Lease Cycles'!$HS$23+'Lease Cycles'!$HZ$23,0)</f>
        <v>0</v>
      </c>
      <c r="BW279" s="28">
        <f>IF(BW$6='Lease Cycles'!$HL$23,'Lease Cycles'!$HS$23+'Lease Cycles'!$HZ$23,0)</f>
        <v>0</v>
      </c>
      <c r="BX279" s="28">
        <f>IF(BX$6='Lease Cycles'!$HL$23,'Lease Cycles'!$HS$23+'Lease Cycles'!$HZ$23,0)</f>
        <v>0</v>
      </c>
      <c r="BY279" s="28">
        <f>IF(BY$6='Lease Cycles'!$HL$23,'Lease Cycles'!$HS$23+'Lease Cycles'!$HZ$23,0)</f>
        <v>0</v>
      </c>
      <c r="BZ279" s="28">
        <f>IF(BZ$6='Lease Cycles'!$HL$23,'Lease Cycles'!$HS$23+'Lease Cycles'!$HZ$23,0)</f>
        <v>0</v>
      </c>
      <c r="CA279" s="28">
        <f>IF(CA$6='Lease Cycles'!$HL$23,'Lease Cycles'!$HS$23+'Lease Cycles'!$HZ$23,0)</f>
        <v>0</v>
      </c>
      <c r="CB279" s="28">
        <f>IF(CB$6='Lease Cycles'!$HL$23,'Lease Cycles'!$HS$23+'Lease Cycles'!$HZ$23,0)</f>
        <v>0</v>
      </c>
      <c r="CC279" s="28">
        <f>IF(CC$6='Lease Cycles'!$HL$23,'Lease Cycles'!$HS$23+'Lease Cycles'!$HZ$23,0)</f>
        <v>0</v>
      </c>
      <c r="CD279" s="28">
        <f>IF(CD$6='Lease Cycles'!$HL$23,'Lease Cycles'!$HS$23+'Lease Cycles'!$HZ$23,0)</f>
        <v>0</v>
      </c>
      <c r="CE279" s="28">
        <f>IF(CE$6='Lease Cycles'!$HL$23,'Lease Cycles'!$HS$23+'Lease Cycles'!$HZ$23,0)</f>
        <v>0</v>
      </c>
      <c r="CF279" s="28">
        <f>IF(CF$6='Lease Cycles'!$HL$23,'Lease Cycles'!$HS$23+'Lease Cycles'!$HZ$23,0)</f>
        <v>0</v>
      </c>
      <c r="CG279" s="28">
        <f>IF(CG$6='Lease Cycles'!$HL$23,'Lease Cycles'!$HS$23+'Lease Cycles'!$HZ$23,0)</f>
        <v>0</v>
      </c>
      <c r="CH279" s="28">
        <f>IF(CH$6='Lease Cycles'!$HL$23,'Lease Cycles'!$HS$23+'Lease Cycles'!$HZ$23,0)</f>
        <v>0</v>
      </c>
      <c r="CI279" s="28">
        <f>IF(CI$6='Lease Cycles'!$HL$23,'Lease Cycles'!$HS$23+'Lease Cycles'!$HZ$23,0)</f>
        <v>0</v>
      </c>
      <c r="CJ279" s="28">
        <f>IF(CJ$6='Lease Cycles'!$HL$23,'Lease Cycles'!$HS$23+'Lease Cycles'!$HZ$23,0)</f>
        <v>0</v>
      </c>
      <c r="CK279" s="28">
        <f>IF(CK$6='Lease Cycles'!$HL$23,'Lease Cycles'!$HS$23+'Lease Cycles'!$HZ$23,0)</f>
        <v>0</v>
      </c>
      <c r="CL279" s="28">
        <f>IF(CL$6='Lease Cycles'!$HL$23,'Lease Cycles'!$HS$23+'Lease Cycles'!$HZ$23,0)</f>
        <v>0</v>
      </c>
      <c r="CM279" s="28">
        <f>IF(CM$6='Lease Cycles'!$HL$23,'Lease Cycles'!$HS$23+'Lease Cycles'!$HZ$23,0)</f>
        <v>0</v>
      </c>
      <c r="CN279" s="28">
        <f>IF(CN$6='Lease Cycles'!$HL$23,'Lease Cycles'!$HS$23+'Lease Cycles'!$HZ$23,0)</f>
        <v>0</v>
      </c>
      <c r="CO279" s="28">
        <f>IF(CO$6='Lease Cycles'!$HL$23,'Lease Cycles'!$HS$23+'Lease Cycles'!$HZ$23,0)</f>
        <v>0</v>
      </c>
      <c r="CP279" s="28">
        <f>IF(CP$6='Lease Cycles'!$HL$23,'Lease Cycles'!$HS$23+'Lease Cycles'!$HZ$23,0)</f>
        <v>0</v>
      </c>
      <c r="CQ279" s="28">
        <f>IF(CQ$6='Lease Cycles'!$HL$23,'Lease Cycles'!$HS$23+'Lease Cycles'!$HZ$23,0)</f>
        <v>0</v>
      </c>
      <c r="CR279" s="28">
        <f>IF(CR$6='Lease Cycles'!$HL$23,'Lease Cycles'!$HS$23+'Lease Cycles'!$HZ$23,0)</f>
        <v>0</v>
      </c>
      <c r="CS279" s="28">
        <f>IF(CS$6='Lease Cycles'!$HL$23,'Lease Cycles'!$HS$23+'Lease Cycles'!$HZ$23,0)</f>
        <v>0</v>
      </c>
      <c r="CT279" s="28">
        <f>IF(CT$6='Lease Cycles'!$HL$23,'Lease Cycles'!$HS$23+'Lease Cycles'!$HZ$23,0)</f>
        <v>0</v>
      </c>
      <c r="CU279" s="28">
        <f>IF(CU$6='Lease Cycles'!$HL$23,'Lease Cycles'!$HS$23+'Lease Cycles'!$HZ$23,0)</f>
        <v>0</v>
      </c>
      <c r="CV279" s="28">
        <f>IF(CV$6='Lease Cycles'!$HL$23,'Lease Cycles'!$HS$23+'Lease Cycles'!$HZ$23,0)</f>
        <v>0</v>
      </c>
      <c r="CW279" s="28">
        <f>IF(CW$6='Lease Cycles'!$HL$23,'Lease Cycles'!$HS$23+'Lease Cycles'!$HZ$23,0)</f>
        <v>0</v>
      </c>
      <c r="CX279" s="28">
        <f>IF(CX$6='Lease Cycles'!$HL$23,'Lease Cycles'!$HS$23+'Lease Cycles'!$HZ$23,0)</f>
        <v>0</v>
      </c>
      <c r="CY279" s="28">
        <f>IF(CY$6='Lease Cycles'!$HL$23,'Lease Cycles'!$HS$23+'Lease Cycles'!$HZ$23,0)</f>
        <v>0</v>
      </c>
      <c r="CZ279" s="28">
        <f>IF(CZ$6='Lease Cycles'!$HL$23,'Lease Cycles'!$HS$23+'Lease Cycles'!$HZ$23,0)</f>
        <v>0</v>
      </c>
      <c r="DA279" s="28">
        <f>IF(DA$6='Lease Cycles'!$HL$23,'Lease Cycles'!$HS$23+'Lease Cycles'!$HZ$23,0)</f>
        <v>0</v>
      </c>
      <c r="DB279" s="28">
        <f>IF(DB$6='Lease Cycles'!$HL$23,'Lease Cycles'!$HS$23+'Lease Cycles'!$HZ$23,0)</f>
        <v>0</v>
      </c>
      <c r="DC279" s="28">
        <f>IF(DC$6='Lease Cycles'!$HL$23,'Lease Cycles'!$HS$23+'Lease Cycles'!$HZ$23,0)</f>
        <v>0</v>
      </c>
      <c r="DD279" s="28">
        <f>IF(DD$6='Lease Cycles'!$HL$23,'Lease Cycles'!$HS$23+'Lease Cycles'!$HZ$23,0)</f>
        <v>0</v>
      </c>
      <c r="DE279" s="28">
        <f>IF(DE$6='Lease Cycles'!$HL$23,'Lease Cycles'!$HS$23+'Lease Cycles'!$HZ$23,0)</f>
        <v>0</v>
      </c>
      <c r="DF279" s="28">
        <f>IF(DF$6='Lease Cycles'!$HL$23,'Lease Cycles'!$HS$23+'Lease Cycles'!$HZ$23,0)</f>
        <v>0</v>
      </c>
      <c r="DG279" s="28">
        <f>IF(DG$6='Lease Cycles'!$HL$23,'Lease Cycles'!$HS$23+'Lease Cycles'!$HZ$23,0)</f>
        <v>0</v>
      </c>
      <c r="DH279" s="28">
        <f>IF(DH$6='Lease Cycles'!$HL$23,'Lease Cycles'!$HS$23+'Lease Cycles'!$HZ$23,0)</f>
        <v>0</v>
      </c>
      <c r="DI279" s="28">
        <f>IF(DI$6='Lease Cycles'!$HL$23,'Lease Cycles'!$HS$23+'Lease Cycles'!$HZ$23,0)</f>
        <v>0</v>
      </c>
      <c r="DJ279" s="28">
        <f>IF(DJ$6='Lease Cycles'!$HL$23,'Lease Cycles'!$HS$23+'Lease Cycles'!$HZ$23,0)</f>
        <v>0</v>
      </c>
      <c r="DK279" s="28">
        <f>IF(DK$6='Lease Cycles'!$HL$23,'Lease Cycles'!$HS$23+'Lease Cycles'!$HZ$23,0)</f>
        <v>0</v>
      </c>
      <c r="DL279" s="28">
        <f>IF(DL$6='Lease Cycles'!$HL$23,'Lease Cycles'!$HS$23+'Lease Cycles'!$HZ$23,0)</f>
        <v>0</v>
      </c>
      <c r="DM279" s="28">
        <f>IF(DM$6='Lease Cycles'!$HL$23,'Lease Cycles'!$HS$23+'Lease Cycles'!$HZ$23,0)</f>
        <v>0</v>
      </c>
      <c r="DN279" s="28">
        <f>IF(DN$6='Lease Cycles'!$HL$23,'Lease Cycles'!$HS$23+'Lease Cycles'!$HZ$23,0)</f>
        <v>0</v>
      </c>
      <c r="DO279" s="28">
        <f>IF(DO$6='Lease Cycles'!$HL$23,'Lease Cycles'!$HS$23+'Lease Cycles'!$HZ$23,0)</f>
        <v>0</v>
      </c>
      <c r="DP279" s="28">
        <f>IF(DP$6='Lease Cycles'!$HL$23,'Lease Cycles'!$HS$23+'Lease Cycles'!$HZ$23,0)</f>
        <v>0</v>
      </c>
      <c r="DQ279" s="28">
        <f>IF(DQ$6='Lease Cycles'!$HL$23,'Lease Cycles'!$HS$23+'Lease Cycles'!$HZ$23,0)</f>
        <v>0</v>
      </c>
      <c r="DR279" s="28">
        <f>IF(DR$6='Lease Cycles'!$HL$23,'Lease Cycles'!$HS$23+'Lease Cycles'!$HZ$23,0)</f>
        <v>0</v>
      </c>
      <c r="DS279" s="28">
        <f>IF(DS$6='Lease Cycles'!$HL$23,'Lease Cycles'!$HS$23+'Lease Cycles'!$HZ$23,0)</f>
        <v>0</v>
      </c>
      <c r="DT279" s="28">
        <f>IF(DT$6='Lease Cycles'!$HL$23,'Lease Cycles'!$HS$23+'Lease Cycles'!$HZ$23,0)</f>
        <v>0</v>
      </c>
      <c r="DU279" s="28">
        <f>IF(DU$6='Lease Cycles'!$HL$23,'Lease Cycles'!$HS$23+'Lease Cycles'!$HZ$23,0)</f>
        <v>0</v>
      </c>
      <c r="DV279" s="28">
        <f>IF(DV$6='Lease Cycles'!$HL$23,'Lease Cycles'!$HS$23+'Lease Cycles'!$HZ$23,0)</f>
        <v>0</v>
      </c>
      <c r="DW279" s="28">
        <f>IF(DW$6='Lease Cycles'!$HL$23,'Lease Cycles'!$HS$23+'Lease Cycles'!$HZ$23,0)</f>
        <v>0</v>
      </c>
      <c r="DX279" s="28">
        <f>IF(DX$6='Lease Cycles'!$HL$23,'Lease Cycles'!$HS$23+'Lease Cycles'!$HZ$23,0)</f>
        <v>0</v>
      </c>
      <c r="DY279" s="28">
        <f>IF(DY$6='Lease Cycles'!$HL$23,'Lease Cycles'!$HS$23+'Lease Cycles'!$HZ$23,0)</f>
        <v>0</v>
      </c>
      <c r="DZ279" s="28">
        <f>IF(DZ$6='Lease Cycles'!$HL$23,'Lease Cycles'!$HS$23+'Lease Cycles'!$HZ$23,0)</f>
        <v>0</v>
      </c>
      <c r="EA279" s="28">
        <f>IF(EA$6='Lease Cycles'!$HL$23,'Lease Cycles'!$HS$23+'Lease Cycles'!$HZ$23,0)</f>
        <v>0</v>
      </c>
      <c r="EB279" s="28">
        <f>IF(EB$6='Lease Cycles'!$HL$23,'Lease Cycles'!$HS$23+'Lease Cycles'!$HZ$23,0)</f>
        <v>0</v>
      </c>
      <c r="EC279" s="28">
        <f>IF(EC$6='Lease Cycles'!$HL$23,'Lease Cycles'!$HS$23+'Lease Cycles'!$HZ$23,0)</f>
        <v>0</v>
      </c>
      <c r="ED279" s="28">
        <f>IF(ED$6='Lease Cycles'!$HL$23,'Lease Cycles'!$HS$23+'Lease Cycles'!$HZ$23,0)</f>
        <v>0</v>
      </c>
      <c r="EE279" s="28">
        <f>IF(EE$6='Lease Cycles'!$HL$23,'Lease Cycles'!$HS$23+'Lease Cycles'!$HZ$23,0)</f>
        <v>0</v>
      </c>
      <c r="EF279" s="28">
        <f>IF(EF$6='Lease Cycles'!$HL$23,'Lease Cycles'!$HS$23+'Lease Cycles'!$HZ$23,0)</f>
        <v>0</v>
      </c>
      <c r="EG279" s="28">
        <f>IF(EG$6='Lease Cycles'!$HL$23,'Lease Cycles'!$HS$23+'Lease Cycles'!$HZ$23,0)</f>
        <v>0</v>
      </c>
      <c r="EH279" s="28">
        <f>IF(EH$6='Lease Cycles'!$HL$23,'Lease Cycles'!$HS$23+'Lease Cycles'!$HZ$23,0)</f>
        <v>0</v>
      </c>
      <c r="EI279" s="28">
        <f>IF(EI$6='Lease Cycles'!$HL$23,'Lease Cycles'!$HS$23+'Lease Cycles'!$HZ$23,0)</f>
        <v>0</v>
      </c>
      <c r="EJ279" s="28">
        <f>IF(EJ$6='Lease Cycles'!$HL$23,'Lease Cycles'!$HS$23+'Lease Cycles'!$HZ$23,0)</f>
        <v>0</v>
      </c>
      <c r="EK279" s="28">
        <f>IF(EK$6='Lease Cycles'!$HL$23,'Lease Cycles'!$HS$23+'Lease Cycles'!$HZ$23,0)</f>
        <v>0</v>
      </c>
      <c r="EL279" s="28">
        <f>IF(EL$6='Lease Cycles'!$HL$23,'Lease Cycles'!$HS$23+'Lease Cycles'!$HZ$23,0)</f>
        <v>0</v>
      </c>
      <c r="EM279" s="28">
        <f>IF(EM$6='Lease Cycles'!$HL$23,'Lease Cycles'!$HS$23+'Lease Cycles'!$HZ$23,0)</f>
        <v>0</v>
      </c>
      <c r="EN279" s="28">
        <f>IF(EN$6='Lease Cycles'!$HL$23,'Lease Cycles'!$HS$23+'Lease Cycles'!$HZ$23,0)</f>
        <v>0</v>
      </c>
      <c r="EO279" s="28">
        <f>IF(EO$6='Lease Cycles'!$HL$23,'Lease Cycles'!$HS$23+'Lease Cycles'!$HZ$23,0)</f>
        <v>0</v>
      </c>
      <c r="EP279" s="28">
        <f>IF(EP$6='Lease Cycles'!$HL$23,'Lease Cycles'!$HS$23+'Lease Cycles'!$HZ$23,0)</f>
        <v>0</v>
      </c>
      <c r="EQ279" s="28">
        <f>IF(EQ$6='Lease Cycles'!$HL$23,'Lease Cycles'!$HS$23+'Lease Cycles'!$HZ$23,0)</f>
        <v>0</v>
      </c>
      <c r="ER279" s="28">
        <f>IF(ER$6='Lease Cycles'!$HL$23,'Lease Cycles'!$HS$23+'Lease Cycles'!$HZ$23,0)</f>
        <v>0</v>
      </c>
      <c r="ES279" s="28">
        <f>IF(ES$6='Lease Cycles'!$HL$23,'Lease Cycles'!$HS$23+'Lease Cycles'!$HZ$23,0)</f>
        <v>0</v>
      </c>
      <c r="ET279" s="28">
        <f>IF(ET$6='Lease Cycles'!$HL$23,'Lease Cycles'!$HS$23+'Lease Cycles'!$HZ$23,0)</f>
        <v>0</v>
      </c>
    </row>
    <row r="280">
      <c r="A280" s="103">
        <v>16</v>
      </c>
      <c r="B280" s="23" t="str">
        <f>IF('Lease Cycles'!$B$23="","(empty slot)",'Lease Cycles'!$B$23)</f>
        <v>(empty slot)</v>
      </c>
      <c r="C280" s="23" t="s">
        <v>499</v>
      </c>
      <c r="D280" s="104" t="s">
        <v>500</v>
      </c>
      <c r="E280" s="25">
        <f>'Lease Cycles'!$AL$23</f>
        <v>0</v>
      </c>
      <c r="G280" s="28">
        <f>MAX(0,'Lease Cycles'!$AN$23*'Lease Cycles'!$C$23*'Lease Cycles'!$AM$23*(1+a_SalesGrowth)^(G$6-1)-G270)</f>
        <v>0</v>
      </c>
      <c r="H280" s="28">
        <f>MAX(0,'Lease Cycles'!$AN$23*'Lease Cycles'!$C$23*'Lease Cycles'!$AM$23*(1+a_SalesGrowth)^(H$6-1)-H270)</f>
        <v>0</v>
      </c>
      <c r="I280" s="28">
        <f>MAX(0,'Lease Cycles'!$AN$23*'Lease Cycles'!$C$23*'Lease Cycles'!$AM$23*(1+a_SalesGrowth)^(I$6-1)-I270)</f>
        <v>0</v>
      </c>
      <c r="J280" s="28">
        <f>MAX(0,'Lease Cycles'!$AN$23*'Lease Cycles'!$C$23*'Lease Cycles'!$AM$23*(1+a_SalesGrowth)^(J$6-1)-J270)</f>
        <v>0</v>
      </c>
      <c r="K280" s="28">
        <f>MAX(0,'Lease Cycles'!$AN$23*'Lease Cycles'!$C$23*'Lease Cycles'!$AM$23*(1+a_SalesGrowth)^(K$6-1)-K270)</f>
        <v>0</v>
      </c>
      <c r="L280" s="28">
        <f>MAX(0,'Lease Cycles'!$AN$23*'Lease Cycles'!$C$23*'Lease Cycles'!$AM$23*(1+a_SalesGrowth)^(L$6-1)-L270)</f>
        <v>0</v>
      </c>
      <c r="M280" s="28">
        <f>MAX(0,'Lease Cycles'!$AN$23*'Lease Cycles'!$C$23*'Lease Cycles'!$AM$23*(1+a_SalesGrowth)^(M$6-1)-M270)</f>
        <v>0</v>
      </c>
      <c r="N280" s="28">
        <f>MAX(0,'Lease Cycles'!$AN$23*'Lease Cycles'!$C$23*'Lease Cycles'!$AM$23*(1+a_SalesGrowth)^(N$6-1)-N270)</f>
        <v>0</v>
      </c>
      <c r="O280" s="28">
        <f>MAX(0,'Lease Cycles'!$AN$23*'Lease Cycles'!$C$23*'Lease Cycles'!$AM$23*(1+a_SalesGrowth)^(O$6-1)-O270)</f>
        <v>0</v>
      </c>
      <c r="P280" s="28">
        <f>MAX(0,'Lease Cycles'!$AN$23*'Lease Cycles'!$C$23*'Lease Cycles'!$AM$23*(1+a_SalesGrowth)^(P$6-1)-P270)</f>
        <v>0</v>
      </c>
      <c r="Q280" s="28">
        <f>MAX(0,'Lease Cycles'!$AN$23*'Lease Cycles'!$C$23*'Lease Cycles'!$AM$23*(1+a_SalesGrowth)^(Q$6-1)-Q270)</f>
        <v>0</v>
      </c>
    </row>
    <row r="282">
      <c r="A282" s="103">
        <v>17</v>
      </c>
      <c r="B282" s="23" t="str">
        <f>IF('Lease Cycles'!$B$24="","(empty slot)",'Lease Cycles'!$B$24)</f>
        <v>(empty slot)</v>
      </c>
      <c r="C282" s="23" t="s">
        <v>671</v>
      </c>
      <c r="D282" s="104" t="s">
        <v>672</v>
      </c>
      <c r="E282" s="25">
        <f>'Lease Cycles'!$AL$24</f>
        <v>0</v>
      </c>
      <c r="S282" s="25">
        <f>IF('Lease Cycles'!$C$24&gt;0,COUNTIF('Lease Cycles'!$BG$24:$BM$24,"&lt;="&amp;S$6),0)</f>
        <v>0</v>
      </c>
      <c r="T282" s="25">
        <f>IF('Lease Cycles'!$C$24&gt;0,COUNTIF('Lease Cycles'!$BG$24:$BM$24,"&lt;="&amp;T$6),0)</f>
        <v>0</v>
      </c>
      <c r="U282" s="25">
        <f>IF('Lease Cycles'!$C$24&gt;0,COUNTIF('Lease Cycles'!$BG$24:$BM$24,"&lt;="&amp;U$6),0)</f>
        <v>0</v>
      </c>
      <c r="V282" s="25">
        <f>IF('Lease Cycles'!$C$24&gt;0,COUNTIF('Lease Cycles'!$BG$24:$BM$24,"&lt;="&amp;V$6),0)</f>
        <v>0</v>
      </c>
      <c r="W282" s="25">
        <f>IF('Lease Cycles'!$C$24&gt;0,COUNTIF('Lease Cycles'!$BG$24:$BM$24,"&lt;="&amp;W$6),0)</f>
        <v>0</v>
      </c>
      <c r="X282" s="25">
        <f>IF('Lease Cycles'!$C$24&gt;0,COUNTIF('Lease Cycles'!$BG$24:$BM$24,"&lt;="&amp;X$6),0)</f>
        <v>0</v>
      </c>
      <c r="Y282" s="25">
        <f>IF('Lease Cycles'!$C$24&gt;0,COUNTIF('Lease Cycles'!$BG$24:$BM$24,"&lt;="&amp;Y$6),0)</f>
        <v>0</v>
      </c>
      <c r="Z282" s="25">
        <f>IF('Lease Cycles'!$C$24&gt;0,COUNTIF('Lease Cycles'!$BG$24:$BM$24,"&lt;="&amp;Z$6),0)</f>
        <v>0</v>
      </c>
      <c r="AA282" s="25">
        <f>IF('Lease Cycles'!$C$24&gt;0,COUNTIF('Lease Cycles'!$BG$24:$BM$24,"&lt;="&amp;AA$6),0)</f>
        <v>0</v>
      </c>
      <c r="AB282" s="25">
        <f>IF('Lease Cycles'!$C$24&gt;0,COUNTIF('Lease Cycles'!$BG$24:$BM$24,"&lt;="&amp;AB$6),0)</f>
        <v>0</v>
      </c>
      <c r="AC282" s="25">
        <f>IF('Lease Cycles'!$C$24&gt;0,COUNTIF('Lease Cycles'!$BG$24:$BM$24,"&lt;="&amp;AC$6),0)</f>
        <v>0</v>
      </c>
      <c r="AD282" s="25">
        <f>IF('Lease Cycles'!$C$24&gt;0,COUNTIF('Lease Cycles'!$BG$24:$BM$24,"&lt;="&amp;AD$6),0)</f>
        <v>0</v>
      </c>
      <c r="AE282" s="25">
        <f>IF('Lease Cycles'!$C$24&gt;0,COUNTIF('Lease Cycles'!$BG$24:$BM$24,"&lt;="&amp;AE$6),0)</f>
        <v>0</v>
      </c>
      <c r="AF282" s="25">
        <f>IF('Lease Cycles'!$C$24&gt;0,COUNTIF('Lease Cycles'!$BG$24:$BM$24,"&lt;="&amp;AF$6),0)</f>
        <v>0</v>
      </c>
      <c r="AG282" s="25">
        <f>IF('Lease Cycles'!$C$24&gt;0,COUNTIF('Lease Cycles'!$BG$24:$BM$24,"&lt;="&amp;AG$6),0)</f>
        <v>0</v>
      </c>
      <c r="AH282" s="25">
        <f>IF('Lease Cycles'!$C$24&gt;0,COUNTIF('Lease Cycles'!$BG$24:$BM$24,"&lt;="&amp;AH$6),0)</f>
        <v>0</v>
      </c>
      <c r="AI282" s="25">
        <f>IF('Lease Cycles'!$C$24&gt;0,COUNTIF('Lease Cycles'!$BG$24:$BM$24,"&lt;="&amp;AI$6),0)</f>
        <v>0</v>
      </c>
      <c r="AJ282" s="25">
        <f>IF('Lease Cycles'!$C$24&gt;0,COUNTIF('Lease Cycles'!$BG$24:$BM$24,"&lt;="&amp;AJ$6),0)</f>
        <v>0</v>
      </c>
      <c r="AK282" s="25">
        <f>IF('Lease Cycles'!$C$24&gt;0,COUNTIF('Lease Cycles'!$BG$24:$BM$24,"&lt;="&amp;AK$6),0)</f>
        <v>0</v>
      </c>
      <c r="AL282" s="25">
        <f>IF('Lease Cycles'!$C$24&gt;0,COUNTIF('Lease Cycles'!$BG$24:$BM$24,"&lt;="&amp;AL$6),0)</f>
        <v>0</v>
      </c>
      <c r="AM282" s="25">
        <f>IF('Lease Cycles'!$C$24&gt;0,COUNTIF('Lease Cycles'!$BG$24:$BM$24,"&lt;="&amp;AM$6),0)</f>
        <v>0</v>
      </c>
      <c r="AN282" s="25">
        <f>IF('Lease Cycles'!$C$24&gt;0,COUNTIF('Lease Cycles'!$BG$24:$BM$24,"&lt;="&amp;AN$6),0)</f>
        <v>0</v>
      </c>
      <c r="AO282" s="25">
        <f>IF('Lease Cycles'!$C$24&gt;0,COUNTIF('Lease Cycles'!$BG$24:$BM$24,"&lt;="&amp;AO$6),0)</f>
        <v>0</v>
      </c>
      <c r="AP282" s="25">
        <f>IF('Lease Cycles'!$C$24&gt;0,COUNTIF('Lease Cycles'!$BG$24:$BM$24,"&lt;="&amp;AP$6),0)</f>
        <v>0</v>
      </c>
      <c r="AQ282" s="25">
        <f>IF('Lease Cycles'!$C$24&gt;0,COUNTIF('Lease Cycles'!$BG$24:$BM$24,"&lt;="&amp;AQ$6),0)</f>
        <v>0</v>
      </c>
      <c r="AR282" s="25">
        <f>IF('Lease Cycles'!$C$24&gt;0,COUNTIF('Lease Cycles'!$BG$24:$BM$24,"&lt;="&amp;AR$6),0)</f>
        <v>0</v>
      </c>
      <c r="AS282" s="25">
        <f>IF('Lease Cycles'!$C$24&gt;0,COUNTIF('Lease Cycles'!$BG$24:$BM$24,"&lt;="&amp;AS$6),0)</f>
        <v>0</v>
      </c>
      <c r="AT282" s="25">
        <f>IF('Lease Cycles'!$C$24&gt;0,COUNTIF('Lease Cycles'!$BG$24:$BM$24,"&lt;="&amp;AT$6),0)</f>
        <v>0</v>
      </c>
      <c r="AU282" s="25">
        <f>IF('Lease Cycles'!$C$24&gt;0,COUNTIF('Lease Cycles'!$BG$24:$BM$24,"&lt;="&amp;AU$6),0)</f>
        <v>0</v>
      </c>
      <c r="AV282" s="25">
        <f>IF('Lease Cycles'!$C$24&gt;0,COUNTIF('Lease Cycles'!$BG$24:$BM$24,"&lt;="&amp;AV$6),0)</f>
        <v>0</v>
      </c>
      <c r="AW282" s="25">
        <f>IF('Lease Cycles'!$C$24&gt;0,COUNTIF('Lease Cycles'!$BG$24:$BM$24,"&lt;="&amp;AW$6),0)</f>
        <v>0</v>
      </c>
      <c r="AX282" s="25">
        <f>IF('Lease Cycles'!$C$24&gt;0,COUNTIF('Lease Cycles'!$BG$24:$BM$24,"&lt;="&amp;AX$6),0)</f>
        <v>0</v>
      </c>
      <c r="AY282" s="25">
        <f>IF('Lease Cycles'!$C$24&gt;0,COUNTIF('Lease Cycles'!$BG$24:$BM$24,"&lt;="&amp;AY$6),0)</f>
        <v>0</v>
      </c>
      <c r="AZ282" s="25">
        <f>IF('Lease Cycles'!$C$24&gt;0,COUNTIF('Lease Cycles'!$BG$24:$BM$24,"&lt;="&amp;AZ$6),0)</f>
        <v>0</v>
      </c>
      <c r="BA282" s="25">
        <f>IF('Lease Cycles'!$C$24&gt;0,COUNTIF('Lease Cycles'!$BG$24:$BM$24,"&lt;="&amp;BA$6),0)</f>
        <v>0</v>
      </c>
      <c r="BB282" s="25">
        <f>IF('Lease Cycles'!$C$24&gt;0,COUNTIF('Lease Cycles'!$BG$24:$BM$24,"&lt;="&amp;BB$6),0)</f>
        <v>0</v>
      </c>
      <c r="BC282" s="25">
        <f>IF('Lease Cycles'!$C$24&gt;0,COUNTIF('Lease Cycles'!$BG$24:$BM$24,"&lt;="&amp;BC$6),0)</f>
        <v>0</v>
      </c>
      <c r="BD282" s="25">
        <f>IF('Lease Cycles'!$C$24&gt;0,COUNTIF('Lease Cycles'!$BG$24:$BM$24,"&lt;="&amp;BD$6),0)</f>
        <v>0</v>
      </c>
      <c r="BE282" s="25">
        <f>IF('Lease Cycles'!$C$24&gt;0,COUNTIF('Lease Cycles'!$BG$24:$BM$24,"&lt;="&amp;BE$6),0)</f>
        <v>0</v>
      </c>
      <c r="BF282" s="25">
        <f>IF('Lease Cycles'!$C$24&gt;0,COUNTIF('Lease Cycles'!$BG$24:$BM$24,"&lt;="&amp;BF$6),0)</f>
        <v>0</v>
      </c>
      <c r="BG282" s="25">
        <f>IF('Lease Cycles'!$C$24&gt;0,COUNTIF('Lease Cycles'!$BG$24:$BM$24,"&lt;="&amp;BG$6),0)</f>
        <v>0</v>
      </c>
      <c r="BH282" s="25">
        <f>IF('Lease Cycles'!$C$24&gt;0,COUNTIF('Lease Cycles'!$BG$24:$BM$24,"&lt;="&amp;BH$6),0)</f>
        <v>0</v>
      </c>
      <c r="BI282" s="25">
        <f>IF('Lease Cycles'!$C$24&gt;0,COUNTIF('Lease Cycles'!$BG$24:$BM$24,"&lt;="&amp;BI$6),0)</f>
        <v>0</v>
      </c>
      <c r="BJ282" s="25">
        <f>IF('Lease Cycles'!$C$24&gt;0,COUNTIF('Lease Cycles'!$BG$24:$BM$24,"&lt;="&amp;BJ$6),0)</f>
        <v>0</v>
      </c>
      <c r="BK282" s="25">
        <f>IF('Lease Cycles'!$C$24&gt;0,COUNTIF('Lease Cycles'!$BG$24:$BM$24,"&lt;="&amp;BK$6),0)</f>
        <v>0</v>
      </c>
      <c r="BL282" s="25">
        <f>IF('Lease Cycles'!$C$24&gt;0,COUNTIF('Lease Cycles'!$BG$24:$BM$24,"&lt;="&amp;BL$6),0)</f>
        <v>0</v>
      </c>
      <c r="BM282" s="25">
        <f>IF('Lease Cycles'!$C$24&gt;0,COUNTIF('Lease Cycles'!$BG$24:$BM$24,"&lt;="&amp;BM$6),0)</f>
        <v>0</v>
      </c>
      <c r="BN282" s="25">
        <f>IF('Lease Cycles'!$C$24&gt;0,COUNTIF('Lease Cycles'!$BG$24:$BM$24,"&lt;="&amp;BN$6),0)</f>
        <v>0</v>
      </c>
      <c r="BO282" s="25">
        <f>IF('Lease Cycles'!$C$24&gt;0,COUNTIF('Lease Cycles'!$BG$24:$BM$24,"&lt;="&amp;BO$6),0)</f>
        <v>0</v>
      </c>
      <c r="BP282" s="25">
        <f>IF('Lease Cycles'!$C$24&gt;0,COUNTIF('Lease Cycles'!$BG$24:$BM$24,"&lt;="&amp;BP$6),0)</f>
        <v>0</v>
      </c>
      <c r="BQ282" s="25">
        <f>IF('Lease Cycles'!$C$24&gt;0,COUNTIF('Lease Cycles'!$BG$24:$BM$24,"&lt;="&amp;BQ$6),0)</f>
        <v>0</v>
      </c>
      <c r="BR282" s="25">
        <f>IF('Lease Cycles'!$C$24&gt;0,COUNTIF('Lease Cycles'!$BG$24:$BM$24,"&lt;="&amp;BR$6),0)</f>
        <v>0</v>
      </c>
      <c r="BS282" s="25">
        <f>IF('Lease Cycles'!$C$24&gt;0,COUNTIF('Lease Cycles'!$BG$24:$BM$24,"&lt;="&amp;BS$6),0)</f>
        <v>0</v>
      </c>
      <c r="BT282" s="25">
        <f>IF('Lease Cycles'!$C$24&gt;0,COUNTIF('Lease Cycles'!$BG$24:$BM$24,"&lt;="&amp;BT$6),0)</f>
        <v>0</v>
      </c>
      <c r="BU282" s="25">
        <f>IF('Lease Cycles'!$C$24&gt;0,COUNTIF('Lease Cycles'!$BG$24:$BM$24,"&lt;="&amp;BU$6),0)</f>
        <v>0</v>
      </c>
      <c r="BV282" s="25">
        <f>IF('Lease Cycles'!$C$24&gt;0,COUNTIF('Lease Cycles'!$BG$24:$BM$24,"&lt;="&amp;BV$6),0)</f>
        <v>0</v>
      </c>
      <c r="BW282" s="25">
        <f>IF('Lease Cycles'!$C$24&gt;0,COUNTIF('Lease Cycles'!$BG$24:$BM$24,"&lt;="&amp;BW$6),0)</f>
        <v>0</v>
      </c>
      <c r="BX282" s="25">
        <f>IF('Lease Cycles'!$C$24&gt;0,COUNTIF('Lease Cycles'!$BG$24:$BM$24,"&lt;="&amp;BX$6),0)</f>
        <v>0</v>
      </c>
      <c r="BY282" s="25">
        <f>IF('Lease Cycles'!$C$24&gt;0,COUNTIF('Lease Cycles'!$BG$24:$BM$24,"&lt;="&amp;BY$6),0)</f>
        <v>0</v>
      </c>
      <c r="BZ282" s="25">
        <f>IF('Lease Cycles'!$C$24&gt;0,COUNTIF('Lease Cycles'!$BG$24:$BM$24,"&lt;="&amp;BZ$6),0)</f>
        <v>0</v>
      </c>
      <c r="CA282" s="25">
        <f>IF('Lease Cycles'!$C$24&gt;0,COUNTIF('Lease Cycles'!$BG$24:$BM$24,"&lt;="&amp;CA$6),0)</f>
        <v>0</v>
      </c>
      <c r="CB282" s="25">
        <f>IF('Lease Cycles'!$C$24&gt;0,COUNTIF('Lease Cycles'!$BG$24:$BM$24,"&lt;="&amp;CB$6),0)</f>
        <v>0</v>
      </c>
      <c r="CC282" s="25">
        <f>IF('Lease Cycles'!$C$24&gt;0,COUNTIF('Lease Cycles'!$BG$24:$BM$24,"&lt;="&amp;CC$6),0)</f>
        <v>0</v>
      </c>
      <c r="CD282" s="25">
        <f>IF('Lease Cycles'!$C$24&gt;0,COUNTIF('Lease Cycles'!$BG$24:$BM$24,"&lt;="&amp;CD$6),0)</f>
        <v>0</v>
      </c>
      <c r="CE282" s="25">
        <f>IF('Lease Cycles'!$C$24&gt;0,COUNTIF('Lease Cycles'!$BG$24:$BM$24,"&lt;="&amp;CE$6),0)</f>
        <v>0</v>
      </c>
      <c r="CF282" s="25">
        <f>IF('Lease Cycles'!$C$24&gt;0,COUNTIF('Lease Cycles'!$BG$24:$BM$24,"&lt;="&amp;CF$6),0)</f>
        <v>0</v>
      </c>
      <c r="CG282" s="25">
        <f>IF('Lease Cycles'!$C$24&gt;0,COUNTIF('Lease Cycles'!$BG$24:$BM$24,"&lt;="&amp;CG$6),0)</f>
        <v>0</v>
      </c>
      <c r="CH282" s="25">
        <f>IF('Lease Cycles'!$C$24&gt;0,COUNTIF('Lease Cycles'!$BG$24:$BM$24,"&lt;="&amp;CH$6),0)</f>
        <v>0</v>
      </c>
      <c r="CI282" s="25">
        <f>IF('Lease Cycles'!$C$24&gt;0,COUNTIF('Lease Cycles'!$BG$24:$BM$24,"&lt;="&amp;CI$6),0)</f>
        <v>0</v>
      </c>
      <c r="CJ282" s="25">
        <f>IF('Lease Cycles'!$C$24&gt;0,COUNTIF('Lease Cycles'!$BG$24:$BM$24,"&lt;="&amp;CJ$6),0)</f>
        <v>0</v>
      </c>
      <c r="CK282" s="25">
        <f>IF('Lease Cycles'!$C$24&gt;0,COUNTIF('Lease Cycles'!$BG$24:$BM$24,"&lt;="&amp;CK$6),0)</f>
        <v>0</v>
      </c>
      <c r="CL282" s="25">
        <f>IF('Lease Cycles'!$C$24&gt;0,COUNTIF('Lease Cycles'!$BG$24:$BM$24,"&lt;="&amp;CL$6),0)</f>
        <v>0</v>
      </c>
      <c r="CM282" s="25">
        <f>IF('Lease Cycles'!$C$24&gt;0,COUNTIF('Lease Cycles'!$BG$24:$BM$24,"&lt;="&amp;CM$6),0)</f>
        <v>0</v>
      </c>
      <c r="CN282" s="25">
        <f>IF('Lease Cycles'!$C$24&gt;0,COUNTIF('Lease Cycles'!$BG$24:$BM$24,"&lt;="&amp;CN$6),0)</f>
        <v>0</v>
      </c>
      <c r="CO282" s="25">
        <f>IF('Lease Cycles'!$C$24&gt;0,COUNTIF('Lease Cycles'!$BG$24:$BM$24,"&lt;="&amp;CO$6),0)</f>
        <v>0</v>
      </c>
      <c r="CP282" s="25">
        <f>IF('Lease Cycles'!$C$24&gt;0,COUNTIF('Lease Cycles'!$BG$24:$BM$24,"&lt;="&amp;CP$6),0)</f>
        <v>0</v>
      </c>
      <c r="CQ282" s="25">
        <f>IF('Lease Cycles'!$C$24&gt;0,COUNTIF('Lease Cycles'!$BG$24:$BM$24,"&lt;="&amp;CQ$6),0)</f>
        <v>0</v>
      </c>
      <c r="CR282" s="25">
        <f>IF('Lease Cycles'!$C$24&gt;0,COUNTIF('Lease Cycles'!$BG$24:$BM$24,"&lt;="&amp;CR$6),0)</f>
        <v>0</v>
      </c>
      <c r="CS282" s="25">
        <f>IF('Lease Cycles'!$C$24&gt;0,COUNTIF('Lease Cycles'!$BG$24:$BM$24,"&lt;="&amp;CS$6),0)</f>
        <v>0</v>
      </c>
      <c r="CT282" s="25">
        <f>IF('Lease Cycles'!$C$24&gt;0,COUNTIF('Lease Cycles'!$BG$24:$BM$24,"&lt;="&amp;CT$6),0)</f>
        <v>0</v>
      </c>
      <c r="CU282" s="25">
        <f>IF('Lease Cycles'!$C$24&gt;0,COUNTIF('Lease Cycles'!$BG$24:$BM$24,"&lt;="&amp;CU$6),0)</f>
        <v>0</v>
      </c>
      <c r="CV282" s="25">
        <f>IF('Lease Cycles'!$C$24&gt;0,COUNTIF('Lease Cycles'!$BG$24:$BM$24,"&lt;="&amp;CV$6),0)</f>
        <v>0</v>
      </c>
      <c r="CW282" s="25">
        <f>IF('Lease Cycles'!$C$24&gt;0,COUNTIF('Lease Cycles'!$BG$24:$BM$24,"&lt;="&amp;CW$6),0)</f>
        <v>0</v>
      </c>
      <c r="CX282" s="25">
        <f>IF('Lease Cycles'!$C$24&gt;0,COUNTIF('Lease Cycles'!$BG$24:$BM$24,"&lt;="&amp;CX$6),0)</f>
        <v>0</v>
      </c>
      <c r="CY282" s="25">
        <f>IF('Lease Cycles'!$C$24&gt;0,COUNTIF('Lease Cycles'!$BG$24:$BM$24,"&lt;="&amp;CY$6),0)</f>
        <v>0</v>
      </c>
      <c r="CZ282" s="25">
        <f>IF('Lease Cycles'!$C$24&gt;0,COUNTIF('Lease Cycles'!$BG$24:$BM$24,"&lt;="&amp;CZ$6),0)</f>
        <v>0</v>
      </c>
      <c r="DA282" s="25">
        <f>IF('Lease Cycles'!$C$24&gt;0,COUNTIF('Lease Cycles'!$BG$24:$BM$24,"&lt;="&amp;DA$6),0)</f>
        <v>0</v>
      </c>
      <c r="DB282" s="25">
        <f>IF('Lease Cycles'!$C$24&gt;0,COUNTIF('Lease Cycles'!$BG$24:$BM$24,"&lt;="&amp;DB$6),0)</f>
        <v>0</v>
      </c>
      <c r="DC282" s="25">
        <f>IF('Lease Cycles'!$C$24&gt;0,COUNTIF('Lease Cycles'!$BG$24:$BM$24,"&lt;="&amp;DC$6),0)</f>
        <v>0</v>
      </c>
      <c r="DD282" s="25">
        <f>IF('Lease Cycles'!$C$24&gt;0,COUNTIF('Lease Cycles'!$BG$24:$BM$24,"&lt;="&amp;DD$6),0)</f>
        <v>0</v>
      </c>
      <c r="DE282" s="25">
        <f>IF('Lease Cycles'!$C$24&gt;0,COUNTIF('Lease Cycles'!$BG$24:$BM$24,"&lt;="&amp;DE$6),0)</f>
        <v>0</v>
      </c>
      <c r="DF282" s="25">
        <f>IF('Lease Cycles'!$C$24&gt;0,COUNTIF('Lease Cycles'!$BG$24:$BM$24,"&lt;="&amp;DF$6),0)</f>
        <v>0</v>
      </c>
      <c r="DG282" s="25">
        <f>IF('Lease Cycles'!$C$24&gt;0,COUNTIF('Lease Cycles'!$BG$24:$BM$24,"&lt;="&amp;DG$6),0)</f>
        <v>0</v>
      </c>
      <c r="DH282" s="25">
        <f>IF('Lease Cycles'!$C$24&gt;0,COUNTIF('Lease Cycles'!$BG$24:$BM$24,"&lt;="&amp;DH$6),0)</f>
        <v>0</v>
      </c>
      <c r="DI282" s="25">
        <f>IF('Lease Cycles'!$C$24&gt;0,COUNTIF('Lease Cycles'!$BG$24:$BM$24,"&lt;="&amp;DI$6),0)</f>
        <v>0</v>
      </c>
      <c r="DJ282" s="25">
        <f>IF('Lease Cycles'!$C$24&gt;0,COUNTIF('Lease Cycles'!$BG$24:$BM$24,"&lt;="&amp;DJ$6),0)</f>
        <v>0</v>
      </c>
      <c r="DK282" s="25">
        <f>IF('Lease Cycles'!$C$24&gt;0,COUNTIF('Lease Cycles'!$BG$24:$BM$24,"&lt;="&amp;DK$6),0)</f>
        <v>0</v>
      </c>
      <c r="DL282" s="25">
        <f>IF('Lease Cycles'!$C$24&gt;0,COUNTIF('Lease Cycles'!$BG$24:$BM$24,"&lt;="&amp;DL$6),0)</f>
        <v>0</v>
      </c>
      <c r="DM282" s="25">
        <f>IF('Lease Cycles'!$C$24&gt;0,COUNTIF('Lease Cycles'!$BG$24:$BM$24,"&lt;="&amp;DM$6),0)</f>
        <v>0</v>
      </c>
      <c r="DN282" s="25">
        <f>IF('Lease Cycles'!$C$24&gt;0,COUNTIF('Lease Cycles'!$BG$24:$BM$24,"&lt;="&amp;DN$6),0)</f>
        <v>0</v>
      </c>
      <c r="DO282" s="25">
        <f>IF('Lease Cycles'!$C$24&gt;0,COUNTIF('Lease Cycles'!$BG$24:$BM$24,"&lt;="&amp;DO$6),0)</f>
        <v>0</v>
      </c>
      <c r="DP282" s="25">
        <f>IF('Lease Cycles'!$C$24&gt;0,COUNTIF('Lease Cycles'!$BG$24:$BM$24,"&lt;="&amp;DP$6),0)</f>
        <v>0</v>
      </c>
      <c r="DQ282" s="25">
        <f>IF('Lease Cycles'!$C$24&gt;0,COUNTIF('Lease Cycles'!$BG$24:$BM$24,"&lt;="&amp;DQ$6),0)</f>
        <v>0</v>
      </c>
      <c r="DR282" s="25">
        <f>IF('Lease Cycles'!$C$24&gt;0,COUNTIF('Lease Cycles'!$BG$24:$BM$24,"&lt;="&amp;DR$6),0)</f>
        <v>0</v>
      </c>
      <c r="DS282" s="25">
        <f>IF('Lease Cycles'!$C$24&gt;0,COUNTIF('Lease Cycles'!$BG$24:$BM$24,"&lt;="&amp;DS$6),0)</f>
        <v>0</v>
      </c>
      <c r="DT282" s="25">
        <f>IF('Lease Cycles'!$C$24&gt;0,COUNTIF('Lease Cycles'!$BG$24:$BM$24,"&lt;="&amp;DT$6),0)</f>
        <v>0</v>
      </c>
      <c r="DU282" s="25">
        <f>IF('Lease Cycles'!$C$24&gt;0,COUNTIF('Lease Cycles'!$BG$24:$BM$24,"&lt;="&amp;DU$6),0)</f>
        <v>0</v>
      </c>
      <c r="DV282" s="25">
        <f>IF('Lease Cycles'!$C$24&gt;0,COUNTIF('Lease Cycles'!$BG$24:$BM$24,"&lt;="&amp;DV$6),0)</f>
        <v>0</v>
      </c>
      <c r="DW282" s="25">
        <f>IF('Lease Cycles'!$C$24&gt;0,COUNTIF('Lease Cycles'!$BG$24:$BM$24,"&lt;="&amp;DW$6),0)</f>
        <v>0</v>
      </c>
      <c r="DX282" s="25">
        <f>IF('Lease Cycles'!$C$24&gt;0,COUNTIF('Lease Cycles'!$BG$24:$BM$24,"&lt;="&amp;DX$6),0)</f>
        <v>0</v>
      </c>
      <c r="DY282" s="25">
        <f>IF('Lease Cycles'!$C$24&gt;0,COUNTIF('Lease Cycles'!$BG$24:$BM$24,"&lt;="&amp;DY$6),0)</f>
        <v>0</v>
      </c>
      <c r="DZ282" s="25">
        <f>IF('Lease Cycles'!$C$24&gt;0,COUNTIF('Lease Cycles'!$BG$24:$BM$24,"&lt;="&amp;DZ$6),0)</f>
        <v>0</v>
      </c>
      <c r="EA282" s="25">
        <f>IF('Lease Cycles'!$C$24&gt;0,COUNTIF('Lease Cycles'!$BG$24:$BM$24,"&lt;="&amp;EA$6),0)</f>
        <v>0</v>
      </c>
      <c r="EB282" s="25">
        <f>IF('Lease Cycles'!$C$24&gt;0,COUNTIF('Lease Cycles'!$BG$24:$BM$24,"&lt;="&amp;EB$6),0)</f>
        <v>0</v>
      </c>
      <c r="EC282" s="25">
        <f>IF('Lease Cycles'!$C$24&gt;0,COUNTIF('Lease Cycles'!$BG$24:$BM$24,"&lt;="&amp;EC$6),0)</f>
        <v>0</v>
      </c>
      <c r="ED282" s="25">
        <f>IF('Lease Cycles'!$C$24&gt;0,COUNTIF('Lease Cycles'!$BG$24:$BM$24,"&lt;="&amp;ED$6),0)</f>
        <v>0</v>
      </c>
      <c r="EE282" s="25">
        <f>IF('Lease Cycles'!$C$24&gt;0,COUNTIF('Lease Cycles'!$BG$24:$BM$24,"&lt;="&amp;EE$6),0)</f>
        <v>0</v>
      </c>
      <c r="EF282" s="25">
        <f>IF('Lease Cycles'!$C$24&gt;0,COUNTIF('Lease Cycles'!$BG$24:$BM$24,"&lt;="&amp;EF$6),0)</f>
        <v>0</v>
      </c>
      <c r="EG282" s="25">
        <f>IF('Lease Cycles'!$C$24&gt;0,COUNTIF('Lease Cycles'!$BG$24:$BM$24,"&lt;="&amp;EG$6),0)</f>
        <v>0</v>
      </c>
      <c r="EH282" s="25">
        <f>IF('Lease Cycles'!$C$24&gt;0,COUNTIF('Lease Cycles'!$BG$24:$BM$24,"&lt;="&amp;EH$6),0)</f>
        <v>0</v>
      </c>
      <c r="EI282" s="25">
        <f>IF('Lease Cycles'!$C$24&gt;0,COUNTIF('Lease Cycles'!$BG$24:$BM$24,"&lt;="&amp;EI$6),0)</f>
        <v>0</v>
      </c>
      <c r="EJ282" s="25">
        <f>IF('Lease Cycles'!$C$24&gt;0,COUNTIF('Lease Cycles'!$BG$24:$BM$24,"&lt;="&amp;EJ$6),0)</f>
        <v>0</v>
      </c>
      <c r="EK282" s="25">
        <f>IF('Lease Cycles'!$C$24&gt;0,COUNTIF('Lease Cycles'!$BG$24:$BM$24,"&lt;="&amp;EK$6),0)</f>
        <v>0</v>
      </c>
      <c r="EL282" s="25">
        <f>IF('Lease Cycles'!$C$24&gt;0,COUNTIF('Lease Cycles'!$BG$24:$BM$24,"&lt;="&amp;EL$6),0)</f>
        <v>0</v>
      </c>
      <c r="EM282" s="25">
        <f>IF('Lease Cycles'!$C$24&gt;0,COUNTIF('Lease Cycles'!$BG$24:$BM$24,"&lt;="&amp;EM$6),0)</f>
        <v>0</v>
      </c>
      <c r="EN282" s="25">
        <f>IF('Lease Cycles'!$C$24&gt;0,COUNTIF('Lease Cycles'!$BG$24:$BM$24,"&lt;="&amp;EN$6),0)</f>
        <v>0</v>
      </c>
      <c r="EO282" s="25">
        <f>IF('Lease Cycles'!$C$24&gt;0,COUNTIF('Lease Cycles'!$BG$24:$BM$24,"&lt;="&amp;EO$6),0)</f>
        <v>0</v>
      </c>
      <c r="EP282" s="25">
        <f>IF('Lease Cycles'!$C$24&gt;0,COUNTIF('Lease Cycles'!$BG$24:$BM$24,"&lt;="&amp;EP$6),0)</f>
        <v>0</v>
      </c>
      <c r="EQ282" s="25">
        <f>IF('Lease Cycles'!$C$24&gt;0,COUNTIF('Lease Cycles'!$BG$24:$BM$24,"&lt;="&amp;EQ$6),0)</f>
        <v>0</v>
      </c>
      <c r="ER282" s="25">
        <f>IF('Lease Cycles'!$C$24&gt;0,COUNTIF('Lease Cycles'!$BG$24:$BM$24,"&lt;="&amp;ER$6),0)</f>
        <v>0</v>
      </c>
      <c r="ES282" s="25">
        <f>IF('Lease Cycles'!$C$24&gt;0,COUNTIF('Lease Cycles'!$BG$24:$BM$24,"&lt;="&amp;ES$6),0)</f>
        <v>0</v>
      </c>
      <c r="ET282" s="25">
        <f>IF('Lease Cycles'!$C$24&gt;0,COUNTIF('Lease Cycles'!$BG$24:$BM$24,"&lt;="&amp;ET$6),0)</f>
        <v>0</v>
      </c>
    </row>
    <row r="283">
      <c r="A283" s="103">
        <v>17</v>
      </c>
      <c r="B283" s="23" t="str">
        <f>IF('Lease Cycles'!$B$24="","(empty slot)",'Lease Cycles'!$B$24)</f>
        <v>(empty slot)</v>
      </c>
      <c r="C283" s="23" t="s">
        <v>673</v>
      </c>
      <c r="D283" s="104" t="s">
        <v>674</v>
      </c>
      <c r="E283" s="25">
        <f>'Lease Cycles'!$AL$24</f>
        <v>0</v>
      </c>
      <c r="S283" s="25">
        <f>IF(S282=0,-1,S$6-INDEX('Lease Cycles'!$BG$24:$BM$24,1,S282))</f>
        <v>-1</v>
      </c>
      <c r="T283" s="25">
        <f>IF(T282=0,-1,T$6-INDEX('Lease Cycles'!$BG$24:$BM$24,1,T282))</f>
        <v>-1</v>
      </c>
      <c r="U283" s="25">
        <f>IF(U282=0,-1,U$6-INDEX('Lease Cycles'!$BG$24:$BM$24,1,U282))</f>
        <v>-1</v>
      </c>
      <c r="V283" s="25">
        <f>IF(V282=0,-1,V$6-INDEX('Lease Cycles'!$BG$24:$BM$24,1,V282))</f>
        <v>-1</v>
      </c>
      <c r="W283" s="25">
        <f>IF(W282=0,-1,W$6-INDEX('Lease Cycles'!$BG$24:$BM$24,1,W282))</f>
        <v>-1</v>
      </c>
      <c r="X283" s="25">
        <f>IF(X282=0,-1,X$6-INDEX('Lease Cycles'!$BG$24:$BM$24,1,X282))</f>
        <v>-1</v>
      </c>
      <c r="Y283" s="25">
        <f>IF(Y282=0,-1,Y$6-INDEX('Lease Cycles'!$BG$24:$BM$24,1,Y282))</f>
        <v>-1</v>
      </c>
      <c r="Z283" s="25">
        <f>IF(Z282=0,-1,Z$6-INDEX('Lease Cycles'!$BG$24:$BM$24,1,Z282))</f>
        <v>-1</v>
      </c>
      <c r="AA283" s="25">
        <f>IF(AA282=0,-1,AA$6-INDEX('Lease Cycles'!$BG$24:$BM$24,1,AA282))</f>
        <v>-1</v>
      </c>
      <c r="AB283" s="25">
        <f>IF(AB282=0,-1,AB$6-INDEX('Lease Cycles'!$BG$24:$BM$24,1,AB282))</f>
        <v>-1</v>
      </c>
      <c r="AC283" s="25">
        <f>IF(AC282=0,-1,AC$6-INDEX('Lease Cycles'!$BG$24:$BM$24,1,AC282))</f>
        <v>-1</v>
      </c>
      <c r="AD283" s="25">
        <f>IF(AD282=0,-1,AD$6-INDEX('Lease Cycles'!$BG$24:$BM$24,1,AD282))</f>
        <v>-1</v>
      </c>
      <c r="AE283" s="25">
        <f>IF(AE282=0,-1,AE$6-INDEX('Lease Cycles'!$BG$24:$BM$24,1,AE282))</f>
        <v>-1</v>
      </c>
      <c r="AF283" s="25">
        <f>IF(AF282=0,-1,AF$6-INDEX('Lease Cycles'!$BG$24:$BM$24,1,AF282))</f>
        <v>-1</v>
      </c>
      <c r="AG283" s="25">
        <f>IF(AG282=0,-1,AG$6-INDEX('Lease Cycles'!$BG$24:$BM$24,1,AG282))</f>
        <v>-1</v>
      </c>
      <c r="AH283" s="25">
        <f>IF(AH282=0,-1,AH$6-INDEX('Lease Cycles'!$BG$24:$BM$24,1,AH282))</f>
        <v>-1</v>
      </c>
      <c r="AI283" s="25">
        <f>IF(AI282=0,-1,AI$6-INDEX('Lease Cycles'!$BG$24:$BM$24,1,AI282))</f>
        <v>-1</v>
      </c>
      <c r="AJ283" s="25">
        <f>IF(AJ282=0,-1,AJ$6-INDEX('Lease Cycles'!$BG$24:$BM$24,1,AJ282))</f>
        <v>-1</v>
      </c>
      <c r="AK283" s="25">
        <f>IF(AK282=0,-1,AK$6-INDEX('Lease Cycles'!$BG$24:$BM$24,1,AK282))</f>
        <v>-1</v>
      </c>
      <c r="AL283" s="25">
        <f>IF(AL282=0,-1,AL$6-INDEX('Lease Cycles'!$BG$24:$BM$24,1,AL282))</f>
        <v>-1</v>
      </c>
      <c r="AM283" s="25">
        <f>IF(AM282=0,-1,AM$6-INDEX('Lease Cycles'!$BG$24:$BM$24,1,AM282))</f>
        <v>-1</v>
      </c>
      <c r="AN283" s="25">
        <f>IF(AN282=0,-1,AN$6-INDEX('Lease Cycles'!$BG$24:$BM$24,1,AN282))</f>
        <v>-1</v>
      </c>
      <c r="AO283" s="25">
        <f>IF(AO282=0,-1,AO$6-INDEX('Lease Cycles'!$BG$24:$BM$24,1,AO282))</f>
        <v>-1</v>
      </c>
      <c r="AP283" s="25">
        <f>IF(AP282=0,-1,AP$6-INDEX('Lease Cycles'!$BG$24:$BM$24,1,AP282))</f>
        <v>-1</v>
      </c>
      <c r="AQ283" s="25">
        <f>IF(AQ282=0,-1,AQ$6-INDEX('Lease Cycles'!$BG$24:$BM$24,1,AQ282))</f>
        <v>-1</v>
      </c>
      <c r="AR283" s="25">
        <f>IF(AR282=0,-1,AR$6-INDEX('Lease Cycles'!$BG$24:$BM$24,1,AR282))</f>
        <v>-1</v>
      </c>
      <c r="AS283" s="25">
        <f>IF(AS282=0,-1,AS$6-INDEX('Lease Cycles'!$BG$24:$BM$24,1,AS282))</f>
        <v>-1</v>
      </c>
      <c r="AT283" s="25">
        <f>IF(AT282=0,-1,AT$6-INDEX('Lease Cycles'!$BG$24:$BM$24,1,AT282))</f>
        <v>-1</v>
      </c>
      <c r="AU283" s="25">
        <f>IF(AU282=0,-1,AU$6-INDEX('Lease Cycles'!$BG$24:$BM$24,1,AU282))</f>
        <v>-1</v>
      </c>
      <c r="AV283" s="25">
        <f>IF(AV282=0,-1,AV$6-INDEX('Lease Cycles'!$BG$24:$BM$24,1,AV282))</f>
        <v>-1</v>
      </c>
      <c r="AW283" s="25">
        <f>IF(AW282=0,-1,AW$6-INDEX('Lease Cycles'!$BG$24:$BM$24,1,AW282))</f>
        <v>-1</v>
      </c>
      <c r="AX283" s="25">
        <f>IF(AX282=0,-1,AX$6-INDEX('Lease Cycles'!$BG$24:$BM$24,1,AX282))</f>
        <v>-1</v>
      </c>
      <c r="AY283" s="25">
        <f>IF(AY282=0,-1,AY$6-INDEX('Lease Cycles'!$BG$24:$BM$24,1,AY282))</f>
        <v>-1</v>
      </c>
      <c r="AZ283" s="25">
        <f>IF(AZ282=0,-1,AZ$6-INDEX('Lease Cycles'!$BG$24:$BM$24,1,AZ282))</f>
        <v>-1</v>
      </c>
      <c r="BA283" s="25">
        <f>IF(BA282=0,-1,BA$6-INDEX('Lease Cycles'!$BG$24:$BM$24,1,BA282))</f>
        <v>-1</v>
      </c>
      <c r="BB283" s="25">
        <f>IF(BB282=0,-1,BB$6-INDEX('Lease Cycles'!$BG$24:$BM$24,1,BB282))</f>
        <v>-1</v>
      </c>
      <c r="BC283" s="25">
        <f>IF(BC282=0,-1,BC$6-INDEX('Lease Cycles'!$BG$24:$BM$24,1,BC282))</f>
        <v>-1</v>
      </c>
      <c r="BD283" s="25">
        <f>IF(BD282=0,-1,BD$6-INDEX('Lease Cycles'!$BG$24:$BM$24,1,BD282))</f>
        <v>-1</v>
      </c>
      <c r="BE283" s="25">
        <f>IF(BE282=0,-1,BE$6-INDEX('Lease Cycles'!$BG$24:$BM$24,1,BE282))</f>
        <v>-1</v>
      </c>
      <c r="BF283" s="25">
        <f>IF(BF282=0,-1,BF$6-INDEX('Lease Cycles'!$BG$24:$BM$24,1,BF282))</f>
        <v>-1</v>
      </c>
      <c r="BG283" s="25">
        <f>IF(BG282=0,-1,BG$6-INDEX('Lease Cycles'!$BG$24:$BM$24,1,BG282))</f>
        <v>-1</v>
      </c>
      <c r="BH283" s="25">
        <f>IF(BH282=0,-1,BH$6-INDEX('Lease Cycles'!$BG$24:$BM$24,1,BH282))</f>
        <v>-1</v>
      </c>
      <c r="BI283" s="25">
        <f>IF(BI282=0,-1,BI$6-INDEX('Lease Cycles'!$BG$24:$BM$24,1,BI282))</f>
        <v>-1</v>
      </c>
      <c r="BJ283" s="25">
        <f>IF(BJ282=0,-1,BJ$6-INDEX('Lease Cycles'!$BG$24:$BM$24,1,BJ282))</f>
        <v>-1</v>
      </c>
      <c r="BK283" s="25">
        <f>IF(BK282=0,-1,BK$6-INDEX('Lease Cycles'!$BG$24:$BM$24,1,BK282))</f>
        <v>-1</v>
      </c>
      <c r="BL283" s="25">
        <f>IF(BL282=0,-1,BL$6-INDEX('Lease Cycles'!$BG$24:$BM$24,1,BL282))</f>
        <v>-1</v>
      </c>
      <c r="BM283" s="25">
        <f>IF(BM282=0,-1,BM$6-INDEX('Lease Cycles'!$BG$24:$BM$24,1,BM282))</f>
        <v>-1</v>
      </c>
      <c r="BN283" s="25">
        <f>IF(BN282=0,-1,BN$6-INDEX('Lease Cycles'!$BG$24:$BM$24,1,BN282))</f>
        <v>-1</v>
      </c>
      <c r="BO283" s="25">
        <f>IF(BO282=0,-1,BO$6-INDEX('Lease Cycles'!$BG$24:$BM$24,1,BO282))</f>
        <v>-1</v>
      </c>
      <c r="BP283" s="25">
        <f>IF(BP282=0,-1,BP$6-INDEX('Lease Cycles'!$BG$24:$BM$24,1,BP282))</f>
        <v>-1</v>
      </c>
      <c r="BQ283" s="25">
        <f>IF(BQ282=0,-1,BQ$6-INDEX('Lease Cycles'!$BG$24:$BM$24,1,BQ282))</f>
        <v>-1</v>
      </c>
      <c r="BR283" s="25">
        <f>IF(BR282=0,-1,BR$6-INDEX('Lease Cycles'!$BG$24:$BM$24,1,BR282))</f>
        <v>-1</v>
      </c>
      <c r="BS283" s="25">
        <f>IF(BS282=0,-1,BS$6-INDEX('Lease Cycles'!$BG$24:$BM$24,1,BS282))</f>
        <v>-1</v>
      </c>
      <c r="BT283" s="25">
        <f>IF(BT282=0,-1,BT$6-INDEX('Lease Cycles'!$BG$24:$BM$24,1,BT282))</f>
        <v>-1</v>
      </c>
      <c r="BU283" s="25">
        <f>IF(BU282=0,-1,BU$6-INDEX('Lease Cycles'!$BG$24:$BM$24,1,BU282))</f>
        <v>-1</v>
      </c>
      <c r="BV283" s="25">
        <f>IF(BV282=0,-1,BV$6-INDEX('Lease Cycles'!$BG$24:$BM$24,1,BV282))</f>
        <v>-1</v>
      </c>
      <c r="BW283" s="25">
        <f>IF(BW282=0,-1,BW$6-INDEX('Lease Cycles'!$BG$24:$BM$24,1,BW282))</f>
        <v>-1</v>
      </c>
      <c r="BX283" s="25">
        <f>IF(BX282=0,-1,BX$6-INDEX('Lease Cycles'!$BG$24:$BM$24,1,BX282))</f>
        <v>-1</v>
      </c>
      <c r="BY283" s="25">
        <f>IF(BY282=0,-1,BY$6-INDEX('Lease Cycles'!$BG$24:$BM$24,1,BY282))</f>
        <v>-1</v>
      </c>
      <c r="BZ283" s="25">
        <f>IF(BZ282=0,-1,BZ$6-INDEX('Lease Cycles'!$BG$24:$BM$24,1,BZ282))</f>
        <v>-1</v>
      </c>
      <c r="CA283" s="25">
        <f>IF(CA282=0,-1,CA$6-INDEX('Lease Cycles'!$BG$24:$BM$24,1,CA282))</f>
        <v>-1</v>
      </c>
      <c r="CB283" s="25">
        <f>IF(CB282=0,-1,CB$6-INDEX('Lease Cycles'!$BG$24:$BM$24,1,CB282))</f>
        <v>-1</v>
      </c>
      <c r="CC283" s="25">
        <f>IF(CC282=0,-1,CC$6-INDEX('Lease Cycles'!$BG$24:$BM$24,1,CC282))</f>
        <v>-1</v>
      </c>
      <c r="CD283" s="25">
        <f>IF(CD282=0,-1,CD$6-INDEX('Lease Cycles'!$BG$24:$BM$24,1,CD282))</f>
        <v>-1</v>
      </c>
      <c r="CE283" s="25">
        <f>IF(CE282=0,-1,CE$6-INDEX('Lease Cycles'!$BG$24:$BM$24,1,CE282))</f>
        <v>-1</v>
      </c>
      <c r="CF283" s="25">
        <f>IF(CF282=0,-1,CF$6-INDEX('Lease Cycles'!$BG$24:$BM$24,1,CF282))</f>
        <v>-1</v>
      </c>
      <c r="CG283" s="25">
        <f>IF(CG282=0,-1,CG$6-INDEX('Lease Cycles'!$BG$24:$BM$24,1,CG282))</f>
        <v>-1</v>
      </c>
      <c r="CH283" s="25">
        <f>IF(CH282=0,-1,CH$6-INDEX('Lease Cycles'!$BG$24:$BM$24,1,CH282))</f>
        <v>-1</v>
      </c>
      <c r="CI283" s="25">
        <f>IF(CI282=0,-1,CI$6-INDEX('Lease Cycles'!$BG$24:$BM$24,1,CI282))</f>
        <v>-1</v>
      </c>
      <c r="CJ283" s="25">
        <f>IF(CJ282=0,-1,CJ$6-INDEX('Lease Cycles'!$BG$24:$BM$24,1,CJ282))</f>
        <v>-1</v>
      </c>
      <c r="CK283" s="25">
        <f>IF(CK282=0,-1,CK$6-INDEX('Lease Cycles'!$BG$24:$BM$24,1,CK282))</f>
        <v>-1</v>
      </c>
      <c r="CL283" s="25">
        <f>IF(CL282=0,-1,CL$6-INDEX('Lease Cycles'!$BG$24:$BM$24,1,CL282))</f>
        <v>-1</v>
      </c>
      <c r="CM283" s="25">
        <f>IF(CM282=0,-1,CM$6-INDEX('Lease Cycles'!$BG$24:$BM$24,1,CM282))</f>
        <v>-1</v>
      </c>
      <c r="CN283" s="25">
        <f>IF(CN282=0,-1,CN$6-INDEX('Lease Cycles'!$BG$24:$BM$24,1,CN282))</f>
        <v>-1</v>
      </c>
      <c r="CO283" s="25">
        <f>IF(CO282=0,-1,CO$6-INDEX('Lease Cycles'!$BG$24:$BM$24,1,CO282))</f>
        <v>-1</v>
      </c>
      <c r="CP283" s="25">
        <f>IF(CP282=0,-1,CP$6-INDEX('Lease Cycles'!$BG$24:$BM$24,1,CP282))</f>
        <v>-1</v>
      </c>
      <c r="CQ283" s="25">
        <f>IF(CQ282=0,-1,CQ$6-INDEX('Lease Cycles'!$BG$24:$BM$24,1,CQ282))</f>
        <v>-1</v>
      </c>
      <c r="CR283" s="25">
        <f>IF(CR282=0,-1,CR$6-INDEX('Lease Cycles'!$BG$24:$BM$24,1,CR282))</f>
        <v>-1</v>
      </c>
      <c r="CS283" s="25">
        <f>IF(CS282=0,-1,CS$6-INDEX('Lease Cycles'!$BG$24:$BM$24,1,CS282))</f>
        <v>-1</v>
      </c>
      <c r="CT283" s="25">
        <f>IF(CT282=0,-1,CT$6-INDEX('Lease Cycles'!$BG$24:$BM$24,1,CT282))</f>
        <v>-1</v>
      </c>
      <c r="CU283" s="25">
        <f>IF(CU282=0,-1,CU$6-INDEX('Lease Cycles'!$BG$24:$BM$24,1,CU282))</f>
        <v>-1</v>
      </c>
      <c r="CV283" s="25">
        <f>IF(CV282=0,-1,CV$6-INDEX('Lease Cycles'!$BG$24:$BM$24,1,CV282))</f>
        <v>-1</v>
      </c>
      <c r="CW283" s="25">
        <f>IF(CW282=0,-1,CW$6-INDEX('Lease Cycles'!$BG$24:$BM$24,1,CW282))</f>
        <v>-1</v>
      </c>
      <c r="CX283" s="25">
        <f>IF(CX282=0,-1,CX$6-INDEX('Lease Cycles'!$BG$24:$BM$24,1,CX282))</f>
        <v>-1</v>
      </c>
      <c r="CY283" s="25">
        <f>IF(CY282=0,-1,CY$6-INDEX('Lease Cycles'!$BG$24:$BM$24,1,CY282))</f>
        <v>-1</v>
      </c>
      <c r="CZ283" s="25">
        <f>IF(CZ282=0,-1,CZ$6-INDEX('Lease Cycles'!$BG$24:$BM$24,1,CZ282))</f>
        <v>-1</v>
      </c>
      <c r="DA283" s="25">
        <f>IF(DA282=0,-1,DA$6-INDEX('Lease Cycles'!$BG$24:$BM$24,1,DA282))</f>
        <v>-1</v>
      </c>
      <c r="DB283" s="25">
        <f>IF(DB282=0,-1,DB$6-INDEX('Lease Cycles'!$BG$24:$BM$24,1,DB282))</f>
        <v>-1</v>
      </c>
      <c r="DC283" s="25">
        <f>IF(DC282=0,-1,DC$6-INDEX('Lease Cycles'!$BG$24:$BM$24,1,DC282))</f>
        <v>-1</v>
      </c>
      <c r="DD283" s="25">
        <f>IF(DD282=0,-1,DD$6-INDEX('Lease Cycles'!$BG$24:$BM$24,1,DD282))</f>
        <v>-1</v>
      </c>
      <c r="DE283" s="25">
        <f>IF(DE282=0,-1,DE$6-INDEX('Lease Cycles'!$BG$24:$BM$24,1,DE282))</f>
        <v>-1</v>
      </c>
      <c r="DF283" s="25">
        <f>IF(DF282=0,-1,DF$6-INDEX('Lease Cycles'!$BG$24:$BM$24,1,DF282))</f>
        <v>-1</v>
      </c>
      <c r="DG283" s="25">
        <f>IF(DG282=0,-1,DG$6-INDEX('Lease Cycles'!$BG$24:$BM$24,1,DG282))</f>
        <v>-1</v>
      </c>
      <c r="DH283" s="25">
        <f>IF(DH282=0,-1,DH$6-INDEX('Lease Cycles'!$BG$24:$BM$24,1,DH282))</f>
        <v>-1</v>
      </c>
      <c r="DI283" s="25">
        <f>IF(DI282=0,-1,DI$6-INDEX('Lease Cycles'!$BG$24:$BM$24,1,DI282))</f>
        <v>-1</v>
      </c>
      <c r="DJ283" s="25">
        <f>IF(DJ282=0,-1,DJ$6-INDEX('Lease Cycles'!$BG$24:$BM$24,1,DJ282))</f>
        <v>-1</v>
      </c>
      <c r="DK283" s="25">
        <f>IF(DK282=0,-1,DK$6-INDEX('Lease Cycles'!$BG$24:$BM$24,1,DK282))</f>
        <v>-1</v>
      </c>
      <c r="DL283" s="25">
        <f>IF(DL282=0,-1,DL$6-INDEX('Lease Cycles'!$BG$24:$BM$24,1,DL282))</f>
        <v>-1</v>
      </c>
      <c r="DM283" s="25">
        <f>IF(DM282=0,-1,DM$6-INDEX('Lease Cycles'!$BG$24:$BM$24,1,DM282))</f>
        <v>-1</v>
      </c>
      <c r="DN283" s="25">
        <f>IF(DN282=0,-1,DN$6-INDEX('Lease Cycles'!$BG$24:$BM$24,1,DN282))</f>
        <v>-1</v>
      </c>
      <c r="DO283" s="25">
        <f>IF(DO282=0,-1,DO$6-INDEX('Lease Cycles'!$BG$24:$BM$24,1,DO282))</f>
        <v>-1</v>
      </c>
      <c r="DP283" s="25">
        <f>IF(DP282=0,-1,DP$6-INDEX('Lease Cycles'!$BG$24:$BM$24,1,DP282))</f>
        <v>-1</v>
      </c>
      <c r="DQ283" s="25">
        <f>IF(DQ282=0,-1,DQ$6-INDEX('Lease Cycles'!$BG$24:$BM$24,1,DQ282))</f>
        <v>-1</v>
      </c>
      <c r="DR283" s="25">
        <f>IF(DR282=0,-1,DR$6-INDEX('Lease Cycles'!$BG$24:$BM$24,1,DR282))</f>
        <v>-1</v>
      </c>
      <c r="DS283" s="25">
        <f>IF(DS282=0,-1,DS$6-INDEX('Lease Cycles'!$BG$24:$BM$24,1,DS282))</f>
        <v>-1</v>
      </c>
      <c r="DT283" s="25">
        <f>IF(DT282=0,-1,DT$6-INDEX('Lease Cycles'!$BG$24:$BM$24,1,DT282))</f>
        <v>-1</v>
      </c>
      <c r="DU283" s="25">
        <f>IF(DU282=0,-1,DU$6-INDEX('Lease Cycles'!$BG$24:$BM$24,1,DU282))</f>
        <v>-1</v>
      </c>
      <c r="DV283" s="25">
        <f>IF(DV282=0,-1,DV$6-INDEX('Lease Cycles'!$BG$24:$BM$24,1,DV282))</f>
        <v>-1</v>
      </c>
      <c r="DW283" s="25">
        <f>IF(DW282=0,-1,DW$6-INDEX('Lease Cycles'!$BG$24:$BM$24,1,DW282))</f>
        <v>-1</v>
      </c>
      <c r="DX283" s="25">
        <f>IF(DX282=0,-1,DX$6-INDEX('Lease Cycles'!$BG$24:$BM$24,1,DX282))</f>
        <v>-1</v>
      </c>
      <c r="DY283" s="25">
        <f>IF(DY282=0,-1,DY$6-INDEX('Lease Cycles'!$BG$24:$BM$24,1,DY282))</f>
        <v>-1</v>
      </c>
      <c r="DZ283" s="25">
        <f>IF(DZ282=0,-1,DZ$6-INDEX('Lease Cycles'!$BG$24:$BM$24,1,DZ282))</f>
        <v>-1</v>
      </c>
      <c r="EA283" s="25">
        <f>IF(EA282=0,-1,EA$6-INDEX('Lease Cycles'!$BG$24:$BM$24,1,EA282))</f>
        <v>-1</v>
      </c>
      <c r="EB283" s="25">
        <f>IF(EB282=0,-1,EB$6-INDEX('Lease Cycles'!$BG$24:$BM$24,1,EB282))</f>
        <v>-1</v>
      </c>
      <c r="EC283" s="25">
        <f>IF(EC282=0,-1,EC$6-INDEX('Lease Cycles'!$BG$24:$BM$24,1,EC282))</f>
        <v>-1</v>
      </c>
      <c r="ED283" s="25">
        <f>IF(ED282=0,-1,ED$6-INDEX('Lease Cycles'!$BG$24:$BM$24,1,ED282))</f>
        <v>-1</v>
      </c>
      <c r="EE283" s="25">
        <f>IF(EE282=0,-1,EE$6-INDEX('Lease Cycles'!$BG$24:$BM$24,1,EE282))</f>
        <v>-1</v>
      </c>
      <c r="EF283" s="25">
        <f>IF(EF282=0,-1,EF$6-INDEX('Lease Cycles'!$BG$24:$BM$24,1,EF282))</f>
        <v>-1</v>
      </c>
      <c r="EG283" s="25">
        <f>IF(EG282=0,-1,EG$6-INDEX('Lease Cycles'!$BG$24:$BM$24,1,EG282))</f>
        <v>-1</v>
      </c>
      <c r="EH283" s="25">
        <f>IF(EH282=0,-1,EH$6-INDEX('Lease Cycles'!$BG$24:$BM$24,1,EH282))</f>
        <v>-1</v>
      </c>
      <c r="EI283" s="25">
        <f>IF(EI282=0,-1,EI$6-INDEX('Lease Cycles'!$BG$24:$BM$24,1,EI282))</f>
        <v>-1</v>
      </c>
      <c r="EJ283" s="25">
        <f>IF(EJ282=0,-1,EJ$6-INDEX('Lease Cycles'!$BG$24:$BM$24,1,EJ282))</f>
        <v>-1</v>
      </c>
      <c r="EK283" s="25">
        <f>IF(EK282=0,-1,EK$6-INDEX('Lease Cycles'!$BG$24:$BM$24,1,EK282))</f>
        <v>-1</v>
      </c>
      <c r="EL283" s="25">
        <f>IF(EL282=0,-1,EL$6-INDEX('Lease Cycles'!$BG$24:$BM$24,1,EL282))</f>
        <v>-1</v>
      </c>
      <c r="EM283" s="25">
        <f>IF(EM282=0,-1,EM$6-INDEX('Lease Cycles'!$BG$24:$BM$24,1,EM282))</f>
        <v>-1</v>
      </c>
      <c r="EN283" s="25">
        <f>IF(EN282=0,-1,EN$6-INDEX('Lease Cycles'!$BG$24:$BM$24,1,EN282))</f>
        <v>-1</v>
      </c>
      <c r="EO283" s="25">
        <f>IF(EO282=0,-1,EO$6-INDEX('Lease Cycles'!$BG$24:$BM$24,1,EO282))</f>
        <v>-1</v>
      </c>
      <c r="EP283" s="25">
        <f>IF(EP282=0,-1,EP$6-INDEX('Lease Cycles'!$BG$24:$BM$24,1,EP282))</f>
        <v>-1</v>
      </c>
      <c r="EQ283" s="25">
        <f>IF(EQ282=0,-1,EQ$6-INDEX('Lease Cycles'!$BG$24:$BM$24,1,EQ282))</f>
        <v>-1</v>
      </c>
      <c r="ER283" s="25">
        <f>IF(ER282=0,-1,ER$6-INDEX('Lease Cycles'!$BG$24:$BM$24,1,ER282))</f>
        <v>-1</v>
      </c>
      <c r="ES283" s="25">
        <f>IF(ES282=0,-1,ES$6-INDEX('Lease Cycles'!$BG$24:$BM$24,1,ES282))</f>
        <v>-1</v>
      </c>
      <c r="ET283" s="25">
        <f>IF(ET282=0,-1,ET$6-INDEX('Lease Cycles'!$BG$24:$BM$24,1,ET282))</f>
        <v>-1</v>
      </c>
    </row>
    <row r="284">
      <c r="A284" s="103">
        <v>17</v>
      </c>
      <c r="B284" s="23" t="str">
        <f>IF('Lease Cycles'!$B$24="","(empty slot)",'Lease Cycles'!$B$24)</f>
        <v>(empty slot)</v>
      </c>
      <c r="C284" s="23" t="s">
        <v>675</v>
      </c>
      <c r="D284" s="104" t="s">
        <v>676</v>
      </c>
      <c r="E284" s="25">
        <f>'Lease Cycles'!$AL$24</f>
        <v>0</v>
      </c>
      <c r="S284" s="25">
        <f>IF(S282=0,0,IF(S283&lt;INDEX('Lease Cycles'!$BN$24:$BT$24,1,S282),1,0))</f>
        <v>0</v>
      </c>
      <c r="T284" s="25">
        <f>IF(T282=0,0,IF(T283&lt;INDEX('Lease Cycles'!$BN$24:$BT$24,1,T282),1,0))</f>
        <v>0</v>
      </c>
      <c r="U284" s="25">
        <f>IF(U282=0,0,IF(U283&lt;INDEX('Lease Cycles'!$BN$24:$BT$24,1,U282),1,0))</f>
        <v>0</v>
      </c>
      <c r="V284" s="25">
        <f>IF(V282=0,0,IF(V283&lt;INDEX('Lease Cycles'!$BN$24:$BT$24,1,V282),1,0))</f>
        <v>0</v>
      </c>
      <c r="W284" s="25">
        <f>IF(W282=0,0,IF(W283&lt;INDEX('Lease Cycles'!$BN$24:$BT$24,1,W282),1,0))</f>
        <v>0</v>
      </c>
      <c r="X284" s="25">
        <f>IF(X282=0,0,IF(X283&lt;INDEX('Lease Cycles'!$BN$24:$BT$24,1,X282),1,0))</f>
        <v>0</v>
      </c>
      <c r="Y284" s="25">
        <f>IF(Y282=0,0,IF(Y283&lt;INDEX('Lease Cycles'!$BN$24:$BT$24,1,Y282),1,0))</f>
        <v>0</v>
      </c>
      <c r="Z284" s="25">
        <f>IF(Z282=0,0,IF(Z283&lt;INDEX('Lease Cycles'!$BN$24:$BT$24,1,Z282),1,0))</f>
        <v>0</v>
      </c>
      <c r="AA284" s="25">
        <f>IF(AA282=0,0,IF(AA283&lt;INDEX('Lease Cycles'!$BN$24:$BT$24,1,AA282),1,0))</f>
        <v>0</v>
      </c>
      <c r="AB284" s="25">
        <f>IF(AB282=0,0,IF(AB283&lt;INDEX('Lease Cycles'!$BN$24:$BT$24,1,AB282),1,0))</f>
        <v>0</v>
      </c>
      <c r="AC284" s="25">
        <f>IF(AC282=0,0,IF(AC283&lt;INDEX('Lease Cycles'!$BN$24:$BT$24,1,AC282),1,0))</f>
        <v>0</v>
      </c>
      <c r="AD284" s="25">
        <f>IF(AD282=0,0,IF(AD283&lt;INDEX('Lease Cycles'!$BN$24:$BT$24,1,AD282),1,0))</f>
        <v>0</v>
      </c>
      <c r="AE284" s="25">
        <f>IF(AE282=0,0,IF(AE283&lt;INDEX('Lease Cycles'!$BN$24:$BT$24,1,AE282),1,0))</f>
        <v>0</v>
      </c>
      <c r="AF284" s="25">
        <f>IF(AF282=0,0,IF(AF283&lt;INDEX('Lease Cycles'!$BN$24:$BT$24,1,AF282),1,0))</f>
        <v>0</v>
      </c>
      <c r="AG284" s="25">
        <f>IF(AG282=0,0,IF(AG283&lt;INDEX('Lease Cycles'!$BN$24:$BT$24,1,AG282),1,0))</f>
        <v>0</v>
      </c>
      <c r="AH284" s="25">
        <f>IF(AH282=0,0,IF(AH283&lt;INDEX('Lease Cycles'!$BN$24:$BT$24,1,AH282),1,0))</f>
        <v>0</v>
      </c>
      <c r="AI284" s="25">
        <f>IF(AI282=0,0,IF(AI283&lt;INDEX('Lease Cycles'!$BN$24:$BT$24,1,AI282),1,0))</f>
        <v>0</v>
      </c>
      <c r="AJ284" s="25">
        <f>IF(AJ282=0,0,IF(AJ283&lt;INDEX('Lease Cycles'!$BN$24:$BT$24,1,AJ282),1,0))</f>
        <v>0</v>
      </c>
      <c r="AK284" s="25">
        <f>IF(AK282=0,0,IF(AK283&lt;INDEX('Lease Cycles'!$BN$24:$BT$24,1,AK282),1,0))</f>
        <v>0</v>
      </c>
      <c r="AL284" s="25">
        <f>IF(AL282=0,0,IF(AL283&lt;INDEX('Lease Cycles'!$BN$24:$BT$24,1,AL282),1,0))</f>
        <v>0</v>
      </c>
      <c r="AM284" s="25">
        <f>IF(AM282=0,0,IF(AM283&lt;INDEX('Lease Cycles'!$BN$24:$BT$24,1,AM282),1,0))</f>
        <v>0</v>
      </c>
      <c r="AN284" s="25">
        <f>IF(AN282=0,0,IF(AN283&lt;INDEX('Lease Cycles'!$BN$24:$BT$24,1,AN282),1,0))</f>
        <v>0</v>
      </c>
      <c r="AO284" s="25">
        <f>IF(AO282=0,0,IF(AO283&lt;INDEX('Lease Cycles'!$BN$24:$BT$24,1,AO282),1,0))</f>
        <v>0</v>
      </c>
      <c r="AP284" s="25">
        <f>IF(AP282=0,0,IF(AP283&lt;INDEX('Lease Cycles'!$BN$24:$BT$24,1,AP282),1,0))</f>
        <v>0</v>
      </c>
      <c r="AQ284" s="25">
        <f>IF(AQ282=0,0,IF(AQ283&lt;INDEX('Lease Cycles'!$BN$24:$BT$24,1,AQ282),1,0))</f>
        <v>0</v>
      </c>
      <c r="AR284" s="25">
        <f>IF(AR282=0,0,IF(AR283&lt;INDEX('Lease Cycles'!$BN$24:$BT$24,1,AR282),1,0))</f>
        <v>0</v>
      </c>
      <c r="AS284" s="25">
        <f>IF(AS282=0,0,IF(AS283&lt;INDEX('Lease Cycles'!$BN$24:$BT$24,1,AS282),1,0))</f>
        <v>0</v>
      </c>
      <c r="AT284" s="25">
        <f>IF(AT282=0,0,IF(AT283&lt;INDEX('Lease Cycles'!$BN$24:$BT$24,1,AT282),1,0))</f>
        <v>0</v>
      </c>
      <c r="AU284" s="25">
        <f>IF(AU282=0,0,IF(AU283&lt;INDEX('Lease Cycles'!$BN$24:$BT$24,1,AU282),1,0))</f>
        <v>0</v>
      </c>
      <c r="AV284" s="25">
        <f>IF(AV282=0,0,IF(AV283&lt;INDEX('Lease Cycles'!$BN$24:$BT$24,1,AV282),1,0))</f>
        <v>0</v>
      </c>
      <c r="AW284" s="25">
        <f>IF(AW282=0,0,IF(AW283&lt;INDEX('Lease Cycles'!$BN$24:$BT$24,1,AW282),1,0))</f>
        <v>0</v>
      </c>
      <c r="AX284" s="25">
        <f>IF(AX282=0,0,IF(AX283&lt;INDEX('Lease Cycles'!$BN$24:$BT$24,1,AX282),1,0))</f>
        <v>0</v>
      </c>
      <c r="AY284" s="25">
        <f>IF(AY282=0,0,IF(AY283&lt;INDEX('Lease Cycles'!$BN$24:$BT$24,1,AY282),1,0))</f>
        <v>0</v>
      </c>
      <c r="AZ284" s="25">
        <f>IF(AZ282=0,0,IF(AZ283&lt;INDEX('Lease Cycles'!$BN$24:$BT$24,1,AZ282),1,0))</f>
        <v>0</v>
      </c>
      <c r="BA284" s="25">
        <f>IF(BA282=0,0,IF(BA283&lt;INDEX('Lease Cycles'!$BN$24:$BT$24,1,BA282),1,0))</f>
        <v>0</v>
      </c>
      <c r="BB284" s="25">
        <f>IF(BB282=0,0,IF(BB283&lt;INDEX('Lease Cycles'!$BN$24:$BT$24,1,BB282),1,0))</f>
        <v>0</v>
      </c>
      <c r="BC284" s="25">
        <f>IF(BC282=0,0,IF(BC283&lt;INDEX('Lease Cycles'!$BN$24:$BT$24,1,BC282),1,0))</f>
        <v>0</v>
      </c>
      <c r="BD284" s="25">
        <f>IF(BD282=0,0,IF(BD283&lt;INDEX('Lease Cycles'!$BN$24:$BT$24,1,BD282),1,0))</f>
        <v>0</v>
      </c>
      <c r="BE284" s="25">
        <f>IF(BE282=0,0,IF(BE283&lt;INDEX('Lease Cycles'!$BN$24:$BT$24,1,BE282),1,0))</f>
        <v>0</v>
      </c>
      <c r="BF284" s="25">
        <f>IF(BF282=0,0,IF(BF283&lt;INDEX('Lease Cycles'!$BN$24:$BT$24,1,BF282),1,0))</f>
        <v>0</v>
      </c>
      <c r="BG284" s="25">
        <f>IF(BG282=0,0,IF(BG283&lt;INDEX('Lease Cycles'!$BN$24:$BT$24,1,BG282),1,0))</f>
        <v>0</v>
      </c>
      <c r="BH284" s="25">
        <f>IF(BH282=0,0,IF(BH283&lt;INDEX('Lease Cycles'!$BN$24:$BT$24,1,BH282),1,0))</f>
        <v>0</v>
      </c>
      <c r="BI284" s="25">
        <f>IF(BI282=0,0,IF(BI283&lt;INDEX('Lease Cycles'!$BN$24:$BT$24,1,BI282),1,0))</f>
        <v>0</v>
      </c>
      <c r="BJ284" s="25">
        <f>IF(BJ282=0,0,IF(BJ283&lt;INDEX('Lease Cycles'!$BN$24:$BT$24,1,BJ282),1,0))</f>
        <v>0</v>
      </c>
      <c r="BK284" s="25">
        <f>IF(BK282=0,0,IF(BK283&lt;INDEX('Lease Cycles'!$BN$24:$BT$24,1,BK282),1,0))</f>
        <v>0</v>
      </c>
      <c r="BL284" s="25">
        <f>IF(BL282=0,0,IF(BL283&lt;INDEX('Lease Cycles'!$BN$24:$BT$24,1,BL282),1,0))</f>
        <v>0</v>
      </c>
      <c r="BM284" s="25">
        <f>IF(BM282=0,0,IF(BM283&lt;INDEX('Lease Cycles'!$BN$24:$BT$24,1,BM282),1,0))</f>
        <v>0</v>
      </c>
      <c r="BN284" s="25">
        <f>IF(BN282=0,0,IF(BN283&lt;INDEX('Lease Cycles'!$BN$24:$BT$24,1,BN282),1,0))</f>
        <v>0</v>
      </c>
      <c r="BO284" s="25">
        <f>IF(BO282=0,0,IF(BO283&lt;INDEX('Lease Cycles'!$BN$24:$BT$24,1,BO282),1,0))</f>
        <v>0</v>
      </c>
      <c r="BP284" s="25">
        <f>IF(BP282=0,0,IF(BP283&lt;INDEX('Lease Cycles'!$BN$24:$BT$24,1,BP282),1,0))</f>
        <v>0</v>
      </c>
      <c r="BQ284" s="25">
        <f>IF(BQ282=0,0,IF(BQ283&lt;INDEX('Lease Cycles'!$BN$24:$BT$24,1,BQ282),1,0))</f>
        <v>0</v>
      </c>
      <c r="BR284" s="25">
        <f>IF(BR282=0,0,IF(BR283&lt;INDEX('Lease Cycles'!$BN$24:$BT$24,1,BR282),1,0))</f>
        <v>0</v>
      </c>
      <c r="BS284" s="25">
        <f>IF(BS282=0,0,IF(BS283&lt;INDEX('Lease Cycles'!$BN$24:$BT$24,1,BS282),1,0))</f>
        <v>0</v>
      </c>
      <c r="BT284" s="25">
        <f>IF(BT282=0,0,IF(BT283&lt;INDEX('Lease Cycles'!$BN$24:$BT$24,1,BT282),1,0))</f>
        <v>0</v>
      </c>
      <c r="BU284" s="25">
        <f>IF(BU282=0,0,IF(BU283&lt;INDEX('Lease Cycles'!$BN$24:$BT$24,1,BU282),1,0))</f>
        <v>0</v>
      </c>
      <c r="BV284" s="25">
        <f>IF(BV282=0,0,IF(BV283&lt;INDEX('Lease Cycles'!$BN$24:$BT$24,1,BV282),1,0))</f>
        <v>0</v>
      </c>
      <c r="BW284" s="25">
        <f>IF(BW282=0,0,IF(BW283&lt;INDEX('Lease Cycles'!$BN$24:$BT$24,1,BW282),1,0))</f>
        <v>0</v>
      </c>
      <c r="BX284" s="25">
        <f>IF(BX282=0,0,IF(BX283&lt;INDEX('Lease Cycles'!$BN$24:$BT$24,1,BX282),1,0))</f>
        <v>0</v>
      </c>
      <c r="BY284" s="25">
        <f>IF(BY282=0,0,IF(BY283&lt;INDEX('Lease Cycles'!$BN$24:$BT$24,1,BY282),1,0))</f>
        <v>0</v>
      </c>
      <c r="BZ284" s="25">
        <f>IF(BZ282=0,0,IF(BZ283&lt;INDEX('Lease Cycles'!$BN$24:$BT$24,1,BZ282),1,0))</f>
        <v>0</v>
      </c>
      <c r="CA284" s="25">
        <f>IF(CA282=0,0,IF(CA283&lt;INDEX('Lease Cycles'!$BN$24:$BT$24,1,CA282),1,0))</f>
        <v>0</v>
      </c>
      <c r="CB284" s="25">
        <f>IF(CB282=0,0,IF(CB283&lt;INDEX('Lease Cycles'!$BN$24:$BT$24,1,CB282),1,0))</f>
        <v>0</v>
      </c>
      <c r="CC284" s="25">
        <f>IF(CC282=0,0,IF(CC283&lt;INDEX('Lease Cycles'!$BN$24:$BT$24,1,CC282),1,0))</f>
        <v>0</v>
      </c>
      <c r="CD284" s="25">
        <f>IF(CD282=0,0,IF(CD283&lt;INDEX('Lease Cycles'!$BN$24:$BT$24,1,CD282),1,0))</f>
        <v>0</v>
      </c>
      <c r="CE284" s="25">
        <f>IF(CE282=0,0,IF(CE283&lt;INDEX('Lease Cycles'!$BN$24:$BT$24,1,CE282),1,0))</f>
        <v>0</v>
      </c>
      <c r="CF284" s="25">
        <f>IF(CF282=0,0,IF(CF283&lt;INDEX('Lease Cycles'!$BN$24:$BT$24,1,CF282),1,0))</f>
        <v>0</v>
      </c>
      <c r="CG284" s="25">
        <f>IF(CG282=0,0,IF(CG283&lt;INDEX('Lease Cycles'!$BN$24:$BT$24,1,CG282),1,0))</f>
        <v>0</v>
      </c>
      <c r="CH284" s="25">
        <f>IF(CH282=0,0,IF(CH283&lt;INDEX('Lease Cycles'!$BN$24:$BT$24,1,CH282),1,0))</f>
        <v>0</v>
      </c>
      <c r="CI284" s="25">
        <f>IF(CI282=0,0,IF(CI283&lt;INDEX('Lease Cycles'!$BN$24:$BT$24,1,CI282),1,0))</f>
        <v>0</v>
      </c>
      <c r="CJ284" s="25">
        <f>IF(CJ282=0,0,IF(CJ283&lt;INDEX('Lease Cycles'!$BN$24:$BT$24,1,CJ282),1,0))</f>
        <v>0</v>
      </c>
      <c r="CK284" s="25">
        <f>IF(CK282=0,0,IF(CK283&lt;INDEX('Lease Cycles'!$BN$24:$BT$24,1,CK282),1,0))</f>
        <v>0</v>
      </c>
      <c r="CL284" s="25">
        <f>IF(CL282=0,0,IF(CL283&lt;INDEX('Lease Cycles'!$BN$24:$BT$24,1,CL282),1,0))</f>
        <v>0</v>
      </c>
      <c r="CM284" s="25">
        <f>IF(CM282=0,0,IF(CM283&lt;INDEX('Lease Cycles'!$BN$24:$BT$24,1,CM282),1,0))</f>
        <v>0</v>
      </c>
      <c r="CN284" s="25">
        <f>IF(CN282=0,0,IF(CN283&lt;INDEX('Lease Cycles'!$BN$24:$BT$24,1,CN282),1,0))</f>
        <v>0</v>
      </c>
      <c r="CO284" s="25">
        <f>IF(CO282=0,0,IF(CO283&lt;INDEX('Lease Cycles'!$BN$24:$BT$24,1,CO282),1,0))</f>
        <v>0</v>
      </c>
      <c r="CP284" s="25">
        <f>IF(CP282=0,0,IF(CP283&lt;INDEX('Lease Cycles'!$BN$24:$BT$24,1,CP282),1,0))</f>
        <v>0</v>
      </c>
      <c r="CQ284" s="25">
        <f>IF(CQ282=0,0,IF(CQ283&lt;INDEX('Lease Cycles'!$BN$24:$BT$24,1,CQ282),1,0))</f>
        <v>0</v>
      </c>
      <c r="CR284" s="25">
        <f>IF(CR282=0,0,IF(CR283&lt;INDEX('Lease Cycles'!$BN$24:$BT$24,1,CR282),1,0))</f>
        <v>0</v>
      </c>
      <c r="CS284" s="25">
        <f>IF(CS282=0,0,IF(CS283&lt;INDEX('Lease Cycles'!$BN$24:$BT$24,1,CS282),1,0))</f>
        <v>0</v>
      </c>
      <c r="CT284" s="25">
        <f>IF(CT282=0,0,IF(CT283&lt;INDEX('Lease Cycles'!$BN$24:$BT$24,1,CT282),1,0))</f>
        <v>0</v>
      </c>
      <c r="CU284" s="25">
        <f>IF(CU282=0,0,IF(CU283&lt;INDEX('Lease Cycles'!$BN$24:$BT$24,1,CU282),1,0))</f>
        <v>0</v>
      </c>
      <c r="CV284" s="25">
        <f>IF(CV282=0,0,IF(CV283&lt;INDEX('Lease Cycles'!$BN$24:$BT$24,1,CV282),1,0))</f>
        <v>0</v>
      </c>
      <c r="CW284" s="25">
        <f>IF(CW282=0,0,IF(CW283&lt;INDEX('Lease Cycles'!$BN$24:$BT$24,1,CW282),1,0))</f>
        <v>0</v>
      </c>
      <c r="CX284" s="25">
        <f>IF(CX282=0,0,IF(CX283&lt;INDEX('Lease Cycles'!$BN$24:$BT$24,1,CX282),1,0))</f>
        <v>0</v>
      </c>
      <c r="CY284" s="25">
        <f>IF(CY282=0,0,IF(CY283&lt;INDEX('Lease Cycles'!$BN$24:$BT$24,1,CY282),1,0))</f>
        <v>0</v>
      </c>
      <c r="CZ284" s="25">
        <f>IF(CZ282=0,0,IF(CZ283&lt;INDEX('Lease Cycles'!$BN$24:$BT$24,1,CZ282),1,0))</f>
        <v>0</v>
      </c>
      <c r="DA284" s="25">
        <f>IF(DA282=0,0,IF(DA283&lt;INDEX('Lease Cycles'!$BN$24:$BT$24,1,DA282),1,0))</f>
        <v>0</v>
      </c>
      <c r="DB284" s="25">
        <f>IF(DB282=0,0,IF(DB283&lt;INDEX('Lease Cycles'!$BN$24:$BT$24,1,DB282),1,0))</f>
        <v>0</v>
      </c>
      <c r="DC284" s="25">
        <f>IF(DC282=0,0,IF(DC283&lt;INDEX('Lease Cycles'!$BN$24:$BT$24,1,DC282),1,0))</f>
        <v>0</v>
      </c>
      <c r="DD284" s="25">
        <f>IF(DD282=0,0,IF(DD283&lt;INDEX('Lease Cycles'!$BN$24:$BT$24,1,DD282),1,0))</f>
        <v>0</v>
      </c>
      <c r="DE284" s="25">
        <f>IF(DE282=0,0,IF(DE283&lt;INDEX('Lease Cycles'!$BN$24:$BT$24,1,DE282),1,0))</f>
        <v>0</v>
      </c>
      <c r="DF284" s="25">
        <f>IF(DF282=0,0,IF(DF283&lt;INDEX('Lease Cycles'!$BN$24:$BT$24,1,DF282),1,0))</f>
        <v>0</v>
      </c>
      <c r="DG284" s="25">
        <f>IF(DG282=0,0,IF(DG283&lt;INDEX('Lease Cycles'!$BN$24:$BT$24,1,DG282),1,0))</f>
        <v>0</v>
      </c>
      <c r="DH284" s="25">
        <f>IF(DH282=0,0,IF(DH283&lt;INDEX('Lease Cycles'!$BN$24:$BT$24,1,DH282),1,0))</f>
        <v>0</v>
      </c>
      <c r="DI284" s="25">
        <f>IF(DI282=0,0,IF(DI283&lt;INDEX('Lease Cycles'!$BN$24:$BT$24,1,DI282),1,0))</f>
        <v>0</v>
      </c>
      <c r="DJ284" s="25">
        <f>IF(DJ282=0,0,IF(DJ283&lt;INDEX('Lease Cycles'!$BN$24:$BT$24,1,DJ282),1,0))</f>
        <v>0</v>
      </c>
      <c r="DK284" s="25">
        <f>IF(DK282=0,0,IF(DK283&lt;INDEX('Lease Cycles'!$BN$24:$BT$24,1,DK282),1,0))</f>
        <v>0</v>
      </c>
      <c r="DL284" s="25">
        <f>IF(DL282=0,0,IF(DL283&lt;INDEX('Lease Cycles'!$BN$24:$BT$24,1,DL282),1,0))</f>
        <v>0</v>
      </c>
      <c r="DM284" s="25">
        <f>IF(DM282=0,0,IF(DM283&lt;INDEX('Lease Cycles'!$BN$24:$BT$24,1,DM282),1,0))</f>
        <v>0</v>
      </c>
      <c r="DN284" s="25">
        <f>IF(DN282=0,0,IF(DN283&lt;INDEX('Lease Cycles'!$BN$24:$BT$24,1,DN282),1,0))</f>
        <v>0</v>
      </c>
      <c r="DO284" s="25">
        <f>IF(DO282=0,0,IF(DO283&lt;INDEX('Lease Cycles'!$BN$24:$BT$24,1,DO282),1,0))</f>
        <v>0</v>
      </c>
      <c r="DP284" s="25">
        <f>IF(DP282=0,0,IF(DP283&lt;INDEX('Lease Cycles'!$BN$24:$BT$24,1,DP282),1,0))</f>
        <v>0</v>
      </c>
      <c r="DQ284" s="25">
        <f>IF(DQ282=0,0,IF(DQ283&lt;INDEX('Lease Cycles'!$BN$24:$BT$24,1,DQ282),1,0))</f>
        <v>0</v>
      </c>
      <c r="DR284" s="25">
        <f>IF(DR282=0,0,IF(DR283&lt;INDEX('Lease Cycles'!$BN$24:$BT$24,1,DR282),1,0))</f>
        <v>0</v>
      </c>
      <c r="DS284" s="25">
        <f>IF(DS282=0,0,IF(DS283&lt;INDEX('Lease Cycles'!$BN$24:$BT$24,1,DS282),1,0))</f>
        <v>0</v>
      </c>
      <c r="DT284" s="25">
        <f>IF(DT282=0,0,IF(DT283&lt;INDEX('Lease Cycles'!$BN$24:$BT$24,1,DT282),1,0))</f>
        <v>0</v>
      </c>
      <c r="DU284" s="25">
        <f>IF(DU282=0,0,IF(DU283&lt;INDEX('Lease Cycles'!$BN$24:$BT$24,1,DU282),1,0))</f>
        <v>0</v>
      </c>
      <c r="DV284" s="25">
        <f>IF(DV282=0,0,IF(DV283&lt;INDEX('Lease Cycles'!$BN$24:$BT$24,1,DV282),1,0))</f>
        <v>0</v>
      </c>
      <c r="DW284" s="25">
        <f>IF(DW282=0,0,IF(DW283&lt;INDEX('Lease Cycles'!$BN$24:$BT$24,1,DW282),1,0))</f>
        <v>0</v>
      </c>
      <c r="DX284" s="25">
        <f>IF(DX282=0,0,IF(DX283&lt;INDEX('Lease Cycles'!$BN$24:$BT$24,1,DX282),1,0))</f>
        <v>0</v>
      </c>
      <c r="DY284" s="25">
        <f>IF(DY282=0,0,IF(DY283&lt;INDEX('Lease Cycles'!$BN$24:$BT$24,1,DY282),1,0))</f>
        <v>0</v>
      </c>
      <c r="DZ284" s="25">
        <f>IF(DZ282=0,0,IF(DZ283&lt;INDEX('Lease Cycles'!$BN$24:$BT$24,1,DZ282),1,0))</f>
        <v>0</v>
      </c>
      <c r="EA284" s="25">
        <f>IF(EA282=0,0,IF(EA283&lt;INDEX('Lease Cycles'!$BN$24:$BT$24,1,EA282),1,0))</f>
        <v>0</v>
      </c>
      <c r="EB284" s="25">
        <f>IF(EB282=0,0,IF(EB283&lt;INDEX('Lease Cycles'!$BN$24:$BT$24,1,EB282),1,0))</f>
        <v>0</v>
      </c>
      <c r="EC284" s="25">
        <f>IF(EC282=0,0,IF(EC283&lt;INDEX('Lease Cycles'!$BN$24:$BT$24,1,EC282),1,0))</f>
        <v>0</v>
      </c>
      <c r="ED284" s="25">
        <f>IF(ED282=0,0,IF(ED283&lt;INDEX('Lease Cycles'!$BN$24:$BT$24,1,ED282),1,0))</f>
        <v>0</v>
      </c>
      <c r="EE284" s="25">
        <f>IF(EE282=0,0,IF(EE283&lt;INDEX('Lease Cycles'!$BN$24:$BT$24,1,EE282),1,0))</f>
        <v>0</v>
      </c>
      <c r="EF284" s="25">
        <f>IF(EF282=0,0,IF(EF283&lt;INDEX('Lease Cycles'!$BN$24:$BT$24,1,EF282),1,0))</f>
        <v>0</v>
      </c>
      <c r="EG284" s="25">
        <f>IF(EG282=0,0,IF(EG283&lt;INDEX('Lease Cycles'!$BN$24:$BT$24,1,EG282),1,0))</f>
        <v>0</v>
      </c>
      <c r="EH284" s="25">
        <f>IF(EH282=0,0,IF(EH283&lt;INDEX('Lease Cycles'!$BN$24:$BT$24,1,EH282),1,0))</f>
        <v>0</v>
      </c>
      <c r="EI284" s="25">
        <f>IF(EI282=0,0,IF(EI283&lt;INDEX('Lease Cycles'!$BN$24:$BT$24,1,EI282),1,0))</f>
        <v>0</v>
      </c>
      <c r="EJ284" s="25">
        <f>IF(EJ282=0,0,IF(EJ283&lt;INDEX('Lease Cycles'!$BN$24:$BT$24,1,EJ282),1,0))</f>
        <v>0</v>
      </c>
      <c r="EK284" s="25">
        <f>IF(EK282=0,0,IF(EK283&lt;INDEX('Lease Cycles'!$BN$24:$BT$24,1,EK282),1,0))</f>
        <v>0</v>
      </c>
      <c r="EL284" s="25">
        <f>IF(EL282=0,0,IF(EL283&lt;INDEX('Lease Cycles'!$BN$24:$BT$24,1,EL282),1,0))</f>
        <v>0</v>
      </c>
      <c r="EM284" s="25">
        <f>IF(EM282=0,0,IF(EM283&lt;INDEX('Lease Cycles'!$BN$24:$BT$24,1,EM282),1,0))</f>
        <v>0</v>
      </c>
      <c r="EN284" s="25">
        <f>IF(EN282=0,0,IF(EN283&lt;INDEX('Lease Cycles'!$BN$24:$BT$24,1,EN282),1,0))</f>
        <v>0</v>
      </c>
      <c r="EO284" s="25">
        <f>IF(EO282=0,0,IF(EO283&lt;INDEX('Lease Cycles'!$BN$24:$BT$24,1,EO282),1,0))</f>
        <v>0</v>
      </c>
      <c r="EP284" s="25">
        <f>IF(EP282=0,0,IF(EP283&lt;INDEX('Lease Cycles'!$BN$24:$BT$24,1,EP282),1,0))</f>
        <v>0</v>
      </c>
      <c r="EQ284" s="25">
        <f>IF(EQ282=0,0,IF(EQ283&lt;INDEX('Lease Cycles'!$BN$24:$BT$24,1,EQ282),1,0))</f>
        <v>0</v>
      </c>
      <c r="ER284" s="25">
        <f>IF(ER282=0,0,IF(ER283&lt;INDEX('Lease Cycles'!$BN$24:$BT$24,1,ER282),1,0))</f>
        <v>0</v>
      </c>
      <c r="ES284" s="25">
        <f>IF(ES282=0,0,IF(ES283&lt;INDEX('Lease Cycles'!$BN$24:$BT$24,1,ES282),1,0))</f>
        <v>0</v>
      </c>
      <c r="ET284" s="25">
        <f>IF(ET282=0,0,IF(ET283&lt;INDEX('Lease Cycles'!$BN$24:$BT$24,1,ET282),1,0))</f>
        <v>0</v>
      </c>
    </row>
    <row r="285">
      <c r="A285" s="103">
        <v>17</v>
      </c>
      <c r="B285" s="23" t="str">
        <f>IF('Lease Cycles'!$B$24="","(empty slot)",'Lease Cycles'!$B$24)</f>
        <v>(empty slot)</v>
      </c>
      <c r="C285" s="23" t="s">
        <v>677</v>
      </c>
      <c r="D285" s="104" t="s">
        <v>678</v>
      </c>
      <c r="E285" s="25">
        <f>'Lease Cycles'!$AL$24</f>
        <v>0</v>
      </c>
      <c r="S285" s="28">
        <f>IF(S282=0,IF('Lease Cycles'!$F$24&gt;0,'Lease Cycles'!$C$24*'Lease Cycles'!$E$24/12,0),IF(S284=1,IF('Lease Cycles'!$AT$24&gt;=9999,'Lease Cycles'!$C$24*INDEX('Lease Cycles'!$CB$24:$CH$24,1,S282)*(1+INDEX('Lease Cycles'!$CI$24:$CO$24,1,S282))^INT(INT(S283/12)/INDEX('Lease Cycles'!$CP$24:$CV$24,1,S282))/12,IF(S282=1,IF(S283&gt;=INDEX('Lease Cycles'!$DK$24:$DQ$24,1,S282),IF(S$6&gt;='Lease Cycles'!$AZ$24,'Lease Cycles'!$C$24*'Lease Cycles'!$BA$24/12,IF(S$6&gt;='Lease Cycles'!$AX$24,'Lease Cycles'!$C$24*'Lease Cycles'!$AY$24/12,IF(S$6&gt;='Lease Cycles'!$AV$24,'Lease Cycles'!$C$24*'Lease Cycles'!$AW$24/12,IF(S$6&gt;='Lease Cycles'!$AT$24,'Lease Cycles'!$C$24*'Lease Cycles'!$AU$24/12,'Lease Cycles'!$C$24*INDEX('Lease Cycles'!$CB$24:$CH$24,1,S282)*(1+INDEX('Lease Cycles'!$CI$24:$CO$24,1,S282))^INT(INT(S283/12)/INDEX('Lease Cycles'!$CP$24:$CV$24,1,S282))/12)))),'Lease Cycles'!$C$24*INDEX('Lease Cycles'!$CB$24:$CH$24,1,S282)*(1+INDEX('Lease Cycles'!$CI$24:$CO$24,1,S282))^INT(INT(S283/12)/INDEX('Lease Cycles'!$CP$24:$CV$24,1,S282))/12),IF(INDEX('Lease Cycles'!$EF$24:$EL$24,1,S282)=1,IF(AND('Lease Cycles'!$AZ$24&gt;=INDEX('Lease Cycles'!$BG$24:$BM$24,1,S282),'Lease Cycles'!$AZ$24&lt;=S$6),'Lease Cycles'!$C$24*'Lease Cycles'!$BA$24/12,IF(AND('Lease Cycles'!$AX$24&gt;=INDEX('Lease Cycles'!$BG$24:$BM$24,1,S282),'Lease Cycles'!$AX$24&lt;=S$6),'Lease Cycles'!$C$24*'Lease Cycles'!$AY$24/12,IF(AND('Lease Cycles'!$AV$24&gt;=INDEX('Lease Cycles'!$BG$24:$BM$24,1,S282),'Lease Cycles'!$AV$24&lt;=S$6),'Lease Cycles'!$C$24*'Lease Cycles'!$AW$24/12,IF(AND('Lease Cycles'!$AT$24&gt;=INDEX('Lease Cycles'!$BG$24:$BM$24,1,S282),'Lease Cycles'!$AT$24&lt;=S$6),'Lease Cycles'!$C$24*'Lease Cycles'!$AU$24/12,'Lease Cycles'!$C$24*INDEX('Lease Cycles'!$CB$24:$CH$24,1,S282)*(1+INDEX('Lease Cycles'!$CI$24:$CO$24,1,S282))^INT(INT(S283/12)/INDEX('Lease Cycles'!$CP$24:$CV$24,1,S282))/12)))),'Lease Cycles'!$C$24*INDEX('Lease Cycles'!$CB$24:$CH$24,1,S282)*(1+INDEX('Lease Cycles'!$CI$24:$CO$24,1,S282))^INT(INT(S283/12)/INDEX('Lease Cycles'!$CP$24:$CV$24,1,S282))/12))),IF('Lease Cycles'!$N$24=1,'Lease Cycles'!$C$24*'Lease Cycles'!$E$24*INDEX('Lease Cycles'!$HE$24:$HK$24,1,S282)*(1+INDEX('Lease Cycles'!$GQ$24:$GW$24,1,S282))^INT(INT((S$6-INDEX('Lease Cycles'!$GJ$24:$GP$24,1,S282))/12)/INDEX('Lease Cycles'!$GX$24:$HD$24,1,S282))/12,0)))</f>
        <v>0</v>
      </c>
      <c r="T285" s="28">
        <f>IF(T282=0,IF('Lease Cycles'!$F$24&gt;0,'Lease Cycles'!$C$24*'Lease Cycles'!$E$24/12,0),IF(T284=1,IF('Lease Cycles'!$AT$24&gt;=9999,'Lease Cycles'!$C$24*INDEX('Lease Cycles'!$CB$24:$CH$24,1,T282)*(1+INDEX('Lease Cycles'!$CI$24:$CO$24,1,T282))^INT(INT(T283/12)/INDEX('Lease Cycles'!$CP$24:$CV$24,1,T282))/12,IF(T282=1,IF(T283&gt;=INDEX('Lease Cycles'!$DK$24:$DQ$24,1,T282),IF(T$6&gt;='Lease Cycles'!$AZ$24,'Lease Cycles'!$C$24*'Lease Cycles'!$BA$24/12,IF(T$6&gt;='Lease Cycles'!$AX$24,'Lease Cycles'!$C$24*'Lease Cycles'!$AY$24/12,IF(T$6&gt;='Lease Cycles'!$AV$24,'Lease Cycles'!$C$24*'Lease Cycles'!$AW$24/12,IF(T$6&gt;='Lease Cycles'!$AT$24,'Lease Cycles'!$C$24*'Lease Cycles'!$AU$24/12,'Lease Cycles'!$C$24*INDEX('Lease Cycles'!$CB$24:$CH$24,1,T282)*(1+INDEX('Lease Cycles'!$CI$24:$CO$24,1,T282))^INT(INT(T283/12)/INDEX('Lease Cycles'!$CP$24:$CV$24,1,T282))/12)))),'Lease Cycles'!$C$24*INDEX('Lease Cycles'!$CB$24:$CH$24,1,T282)*(1+INDEX('Lease Cycles'!$CI$24:$CO$24,1,T282))^INT(INT(T283/12)/INDEX('Lease Cycles'!$CP$24:$CV$24,1,T282))/12),IF(INDEX('Lease Cycles'!$EF$24:$EL$24,1,T282)=1,IF(AND('Lease Cycles'!$AZ$24&gt;=INDEX('Lease Cycles'!$BG$24:$BM$24,1,T282),'Lease Cycles'!$AZ$24&lt;=T$6),'Lease Cycles'!$C$24*'Lease Cycles'!$BA$24/12,IF(AND('Lease Cycles'!$AX$24&gt;=INDEX('Lease Cycles'!$BG$24:$BM$24,1,T282),'Lease Cycles'!$AX$24&lt;=T$6),'Lease Cycles'!$C$24*'Lease Cycles'!$AY$24/12,IF(AND('Lease Cycles'!$AV$24&gt;=INDEX('Lease Cycles'!$BG$24:$BM$24,1,T282),'Lease Cycles'!$AV$24&lt;=T$6),'Lease Cycles'!$C$24*'Lease Cycles'!$AW$24/12,IF(AND('Lease Cycles'!$AT$24&gt;=INDEX('Lease Cycles'!$BG$24:$BM$24,1,T282),'Lease Cycles'!$AT$24&lt;=T$6),'Lease Cycles'!$C$24*'Lease Cycles'!$AU$24/12,'Lease Cycles'!$C$24*INDEX('Lease Cycles'!$CB$24:$CH$24,1,T282)*(1+INDEX('Lease Cycles'!$CI$24:$CO$24,1,T282))^INT(INT(T283/12)/INDEX('Lease Cycles'!$CP$24:$CV$24,1,T282))/12)))),'Lease Cycles'!$C$24*INDEX('Lease Cycles'!$CB$24:$CH$24,1,T282)*(1+INDEX('Lease Cycles'!$CI$24:$CO$24,1,T282))^INT(INT(T283/12)/INDEX('Lease Cycles'!$CP$24:$CV$24,1,T282))/12))),IF('Lease Cycles'!$N$24=1,'Lease Cycles'!$C$24*'Lease Cycles'!$E$24*INDEX('Lease Cycles'!$HE$24:$HK$24,1,T282)*(1+INDEX('Lease Cycles'!$GQ$24:$GW$24,1,T282))^INT(INT((T$6-INDEX('Lease Cycles'!$GJ$24:$GP$24,1,T282))/12)/INDEX('Lease Cycles'!$GX$24:$HD$24,1,T282))/12,0)))</f>
        <v>0</v>
      </c>
      <c r="U285" s="28">
        <f>IF(U282=0,IF('Lease Cycles'!$F$24&gt;0,'Lease Cycles'!$C$24*'Lease Cycles'!$E$24/12,0),IF(U284=1,IF('Lease Cycles'!$AT$24&gt;=9999,'Lease Cycles'!$C$24*INDEX('Lease Cycles'!$CB$24:$CH$24,1,U282)*(1+INDEX('Lease Cycles'!$CI$24:$CO$24,1,U282))^INT(INT(U283/12)/INDEX('Lease Cycles'!$CP$24:$CV$24,1,U282))/12,IF(U282=1,IF(U283&gt;=INDEX('Lease Cycles'!$DK$24:$DQ$24,1,U282),IF(U$6&gt;='Lease Cycles'!$AZ$24,'Lease Cycles'!$C$24*'Lease Cycles'!$BA$24/12,IF(U$6&gt;='Lease Cycles'!$AX$24,'Lease Cycles'!$C$24*'Lease Cycles'!$AY$24/12,IF(U$6&gt;='Lease Cycles'!$AV$24,'Lease Cycles'!$C$24*'Lease Cycles'!$AW$24/12,IF(U$6&gt;='Lease Cycles'!$AT$24,'Lease Cycles'!$C$24*'Lease Cycles'!$AU$24/12,'Lease Cycles'!$C$24*INDEX('Lease Cycles'!$CB$24:$CH$24,1,U282)*(1+INDEX('Lease Cycles'!$CI$24:$CO$24,1,U282))^INT(INT(U283/12)/INDEX('Lease Cycles'!$CP$24:$CV$24,1,U282))/12)))),'Lease Cycles'!$C$24*INDEX('Lease Cycles'!$CB$24:$CH$24,1,U282)*(1+INDEX('Lease Cycles'!$CI$24:$CO$24,1,U282))^INT(INT(U283/12)/INDEX('Lease Cycles'!$CP$24:$CV$24,1,U282))/12),IF(INDEX('Lease Cycles'!$EF$24:$EL$24,1,U282)=1,IF(AND('Lease Cycles'!$AZ$24&gt;=INDEX('Lease Cycles'!$BG$24:$BM$24,1,U282),'Lease Cycles'!$AZ$24&lt;=U$6),'Lease Cycles'!$C$24*'Lease Cycles'!$BA$24/12,IF(AND('Lease Cycles'!$AX$24&gt;=INDEX('Lease Cycles'!$BG$24:$BM$24,1,U282),'Lease Cycles'!$AX$24&lt;=U$6),'Lease Cycles'!$C$24*'Lease Cycles'!$AY$24/12,IF(AND('Lease Cycles'!$AV$24&gt;=INDEX('Lease Cycles'!$BG$24:$BM$24,1,U282),'Lease Cycles'!$AV$24&lt;=U$6),'Lease Cycles'!$C$24*'Lease Cycles'!$AW$24/12,IF(AND('Lease Cycles'!$AT$24&gt;=INDEX('Lease Cycles'!$BG$24:$BM$24,1,U282),'Lease Cycles'!$AT$24&lt;=U$6),'Lease Cycles'!$C$24*'Lease Cycles'!$AU$24/12,'Lease Cycles'!$C$24*INDEX('Lease Cycles'!$CB$24:$CH$24,1,U282)*(1+INDEX('Lease Cycles'!$CI$24:$CO$24,1,U282))^INT(INT(U283/12)/INDEX('Lease Cycles'!$CP$24:$CV$24,1,U282))/12)))),'Lease Cycles'!$C$24*INDEX('Lease Cycles'!$CB$24:$CH$24,1,U282)*(1+INDEX('Lease Cycles'!$CI$24:$CO$24,1,U282))^INT(INT(U283/12)/INDEX('Lease Cycles'!$CP$24:$CV$24,1,U282))/12))),IF('Lease Cycles'!$N$24=1,'Lease Cycles'!$C$24*'Lease Cycles'!$E$24*INDEX('Lease Cycles'!$HE$24:$HK$24,1,U282)*(1+INDEX('Lease Cycles'!$GQ$24:$GW$24,1,U282))^INT(INT((U$6-INDEX('Lease Cycles'!$GJ$24:$GP$24,1,U282))/12)/INDEX('Lease Cycles'!$GX$24:$HD$24,1,U282))/12,0)))</f>
        <v>0</v>
      </c>
      <c r="V285" s="28">
        <f>IF(V282=0,IF('Lease Cycles'!$F$24&gt;0,'Lease Cycles'!$C$24*'Lease Cycles'!$E$24/12,0),IF(V284=1,IF('Lease Cycles'!$AT$24&gt;=9999,'Lease Cycles'!$C$24*INDEX('Lease Cycles'!$CB$24:$CH$24,1,V282)*(1+INDEX('Lease Cycles'!$CI$24:$CO$24,1,V282))^INT(INT(V283/12)/INDEX('Lease Cycles'!$CP$24:$CV$24,1,V282))/12,IF(V282=1,IF(V283&gt;=INDEX('Lease Cycles'!$DK$24:$DQ$24,1,V282),IF(V$6&gt;='Lease Cycles'!$AZ$24,'Lease Cycles'!$C$24*'Lease Cycles'!$BA$24/12,IF(V$6&gt;='Lease Cycles'!$AX$24,'Lease Cycles'!$C$24*'Lease Cycles'!$AY$24/12,IF(V$6&gt;='Lease Cycles'!$AV$24,'Lease Cycles'!$C$24*'Lease Cycles'!$AW$24/12,IF(V$6&gt;='Lease Cycles'!$AT$24,'Lease Cycles'!$C$24*'Lease Cycles'!$AU$24/12,'Lease Cycles'!$C$24*INDEX('Lease Cycles'!$CB$24:$CH$24,1,V282)*(1+INDEX('Lease Cycles'!$CI$24:$CO$24,1,V282))^INT(INT(V283/12)/INDEX('Lease Cycles'!$CP$24:$CV$24,1,V282))/12)))),'Lease Cycles'!$C$24*INDEX('Lease Cycles'!$CB$24:$CH$24,1,V282)*(1+INDEX('Lease Cycles'!$CI$24:$CO$24,1,V282))^INT(INT(V283/12)/INDEX('Lease Cycles'!$CP$24:$CV$24,1,V282))/12),IF(INDEX('Lease Cycles'!$EF$24:$EL$24,1,V282)=1,IF(AND('Lease Cycles'!$AZ$24&gt;=INDEX('Lease Cycles'!$BG$24:$BM$24,1,V282),'Lease Cycles'!$AZ$24&lt;=V$6),'Lease Cycles'!$C$24*'Lease Cycles'!$BA$24/12,IF(AND('Lease Cycles'!$AX$24&gt;=INDEX('Lease Cycles'!$BG$24:$BM$24,1,V282),'Lease Cycles'!$AX$24&lt;=V$6),'Lease Cycles'!$C$24*'Lease Cycles'!$AY$24/12,IF(AND('Lease Cycles'!$AV$24&gt;=INDEX('Lease Cycles'!$BG$24:$BM$24,1,V282),'Lease Cycles'!$AV$24&lt;=V$6),'Lease Cycles'!$C$24*'Lease Cycles'!$AW$24/12,IF(AND('Lease Cycles'!$AT$24&gt;=INDEX('Lease Cycles'!$BG$24:$BM$24,1,V282),'Lease Cycles'!$AT$24&lt;=V$6),'Lease Cycles'!$C$24*'Lease Cycles'!$AU$24/12,'Lease Cycles'!$C$24*INDEX('Lease Cycles'!$CB$24:$CH$24,1,V282)*(1+INDEX('Lease Cycles'!$CI$24:$CO$24,1,V282))^INT(INT(V283/12)/INDEX('Lease Cycles'!$CP$24:$CV$24,1,V282))/12)))),'Lease Cycles'!$C$24*INDEX('Lease Cycles'!$CB$24:$CH$24,1,V282)*(1+INDEX('Lease Cycles'!$CI$24:$CO$24,1,V282))^INT(INT(V283/12)/INDEX('Lease Cycles'!$CP$24:$CV$24,1,V282))/12))),IF('Lease Cycles'!$N$24=1,'Lease Cycles'!$C$24*'Lease Cycles'!$E$24*INDEX('Lease Cycles'!$HE$24:$HK$24,1,V282)*(1+INDEX('Lease Cycles'!$GQ$24:$GW$24,1,V282))^INT(INT((V$6-INDEX('Lease Cycles'!$GJ$24:$GP$24,1,V282))/12)/INDEX('Lease Cycles'!$GX$24:$HD$24,1,V282))/12,0)))</f>
        <v>0</v>
      </c>
      <c r="W285" s="28">
        <f>IF(W282=0,IF('Lease Cycles'!$F$24&gt;0,'Lease Cycles'!$C$24*'Lease Cycles'!$E$24/12,0),IF(W284=1,IF('Lease Cycles'!$AT$24&gt;=9999,'Lease Cycles'!$C$24*INDEX('Lease Cycles'!$CB$24:$CH$24,1,W282)*(1+INDEX('Lease Cycles'!$CI$24:$CO$24,1,W282))^INT(INT(W283/12)/INDEX('Lease Cycles'!$CP$24:$CV$24,1,W282))/12,IF(W282=1,IF(W283&gt;=INDEX('Lease Cycles'!$DK$24:$DQ$24,1,W282),IF(W$6&gt;='Lease Cycles'!$AZ$24,'Lease Cycles'!$C$24*'Lease Cycles'!$BA$24/12,IF(W$6&gt;='Lease Cycles'!$AX$24,'Lease Cycles'!$C$24*'Lease Cycles'!$AY$24/12,IF(W$6&gt;='Lease Cycles'!$AV$24,'Lease Cycles'!$C$24*'Lease Cycles'!$AW$24/12,IF(W$6&gt;='Lease Cycles'!$AT$24,'Lease Cycles'!$C$24*'Lease Cycles'!$AU$24/12,'Lease Cycles'!$C$24*INDEX('Lease Cycles'!$CB$24:$CH$24,1,W282)*(1+INDEX('Lease Cycles'!$CI$24:$CO$24,1,W282))^INT(INT(W283/12)/INDEX('Lease Cycles'!$CP$24:$CV$24,1,W282))/12)))),'Lease Cycles'!$C$24*INDEX('Lease Cycles'!$CB$24:$CH$24,1,W282)*(1+INDEX('Lease Cycles'!$CI$24:$CO$24,1,W282))^INT(INT(W283/12)/INDEX('Lease Cycles'!$CP$24:$CV$24,1,W282))/12),IF(INDEX('Lease Cycles'!$EF$24:$EL$24,1,W282)=1,IF(AND('Lease Cycles'!$AZ$24&gt;=INDEX('Lease Cycles'!$BG$24:$BM$24,1,W282),'Lease Cycles'!$AZ$24&lt;=W$6),'Lease Cycles'!$C$24*'Lease Cycles'!$BA$24/12,IF(AND('Lease Cycles'!$AX$24&gt;=INDEX('Lease Cycles'!$BG$24:$BM$24,1,W282),'Lease Cycles'!$AX$24&lt;=W$6),'Lease Cycles'!$C$24*'Lease Cycles'!$AY$24/12,IF(AND('Lease Cycles'!$AV$24&gt;=INDEX('Lease Cycles'!$BG$24:$BM$24,1,W282),'Lease Cycles'!$AV$24&lt;=W$6),'Lease Cycles'!$C$24*'Lease Cycles'!$AW$24/12,IF(AND('Lease Cycles'!$AT$24&gt;=INDEX('Lease Cycles'!$BG$24:$BM$24,1,W282),'Lease Cycles'!$AT$24&lt;=W$6),'Lease Cycles'!$C$24*'Lease Cycles'!$AU$24/12,'Lease Cycles'!$C$24*INDEX('Lease Cycles'!$CB$24:$CH$24,1,W282)*(1+INDEX('Lease Cycles'!$CI$24:$CO$24,1,W282))^INT(INT(W283/12)/INDEX('Lease Cycles'!$CP$24:$CV$24,1,W282))/12)))),'Lease Cycles'!$C$24*INDEX('Lease Cycles'!$CB$24:$CH$24,1,W282)*(1+INDEX('Lease Cycles'!$CI$24:$CO$24,1,W282))^INT(INT(W283/12)/INDEX('Lease Cycles'!$CP$24:$CV$24,1,W282))/12))),IF('Lease Cycles'!$N$24=1,'Lease Cycles'!$C$24*'Lease Cycles'!$E$24*INDEX('Lease Cycles'!$HE$24:$HK$24,1,W282)*(1+INDEX('Lease Cycles'!$GQ$24:$GW$24,1,W282))^INT(INT((W$6-INDEX('Lease Cycles'!$GJ$24:$GP$24,1,W282))/12)/INDEX('Lease Cycles'!$GX$24:$HD$24,1,W282))/12,0)))</f>
        <v>0</v>
      </c>
      <c r="X285" s="28">
        <f>IF(X282=0,IF('Lease Cycles'!$F$24&gt;0,'Lease Cycles'!$C$24*'Lease Cycles'!$E$24/12,0),IF(X284=1,IF('Lease Cycles'!$AT$24&gt;=9999,'Lease Cycles'!$C$24*INDEX('Lease Cycles'!$CB$24:$CH$24,1,X282)*(1+INDEX('Lease Cycles'!$CI$24:$CO$24,1,X282))^INT(INT(X283/12)/INDEX('Lease Cycles'!$CP$24:$CV$24,1,X282))/12,IF(X282=1,IF(X283&gt;=INDEX('Lease Cycles'!$DK$24:$DQ$24,1,X282),IF(X$6&gt;='Lease Cycles'!$AZ$24,'Lease Cycles'!$C$24*'Lease Cycles'!$BA$24/12,IF(X$6&gt;='Lease Cycles'!$AX$24,'Lease Cycles'!$C$24*'Lease Cycles'!$AY$24/12,IF(X$6&gt;='Lease Cycles'!$AV$24,'Lease Cycles'!$C$24*'Lease Cycles'!$AW$24/12,IF(X$6&gt;='Lease Cycles'!$AT$24,'Lease Cycles'!$C$24*'Lease Cycles'!$AU$24/12,'Lease Cycles'!$C$24*INDEX('Lease Cycles'!$CB$24:$CH$24,1,X282)*(1+INDEX('Lease Cycles'!$CI$24:$CO$24,1,X282))^INT(INT(X283/12)/INDEX('Lease Cycles'!$CP$24:$CV$24,1,X282))/12)))),'Lease Cycles'!$C$24*INDEX('Lease Cycles'!$CB$24:$CH$24,1,X282)*(1+INDEX('Lease Cycles'!$CI$24:$CO$24,1,X282))^INT(INT(X283/12)/INDEX('Lease Cycles'!$CP$24:$CV$24,1,X282))/12),IF(INDEX('Lease Cycles'!$EF$24:$EL$24,1,X282)=1,IF(AND('Lease Cycles'!$AZ$24&gt;=INDEX('Lease Cycles'!$BG$24:$BM$24,1,X282),'Lease Cycles'!$AZ$24&lt;=X$6),'Lease Cycles'!$C$24*'Lease Cycles'!$BA$24/12,IF(AND('Lease Cycles'!$AX$24&gt;=INDEX('Lease Cycles'!$BG$24:$BM$24,1,X282),'Lease Cycles'!$AX$24&lt;=X$6),'Lease Cycles'!$C$24*'Lease Cycles'!$AY$24/12,IF(AND('Lease Cycles'!$AV$24&gt;=INDEX('Lease Cycles'!$BG$24:$BM$24,1,X282),'Lease Cycles'!$AV$24&lt;=X$6),'Lease Cycles'!$C$24*'Lease Cycles'!$AW$24/12,IF(AND('Lease Cycles'!$AT$24&gt;=INDEX('Lease Cycles'!$BG$24:$BM$24,1,X282),'Lease Cycles'!$AT$24&lt;=X$6),'Lease Cycles'!$C$24*'Lease Cycles'!$AU$24/12,'Lease Cycles'!$C$24*INDEX('Lease Cycles'!$CB$24:$CH$24,1,X282)*(1+INDEX('Lease Cycles'!$CI$24:$CO$24,1,X282))^INT(INT(X283/12)/INDEX('Lease Cycles'!$CP$24:$CV$24,1,X282))/12)))),'Lease Cycles'!$C$24*INDEX('Lease Cycles'!$CB$24:$CH$24,1,X282)*(1+INDEX('Lease Cycles'!$CI$24:$CO$24,1,X282))^INT(INT(X283/12)/INDEX('Lease Cycles'!$CP$24:$CV$24,1,X282))/12))),IF('Lease Cycles'!$N$24=1,'Lease Cycles'!$C$24*'Lease Cycles'!$E$24*INDEX('Lease Cycles'!$HE$24:$HK$24,1,X282)*(1+INDEX('Lease Cycles'!$GQ$24:$GW$24,1,X282))^INT(INT((X$6-INDEX('Lease Cycles'!$GJ$24:$GP$24,1,X282))/12)/INDEX('Lease Cycles'!$GX$24:$HD$24,1,X282))/12,0)))</f>
        <v>0</v>
      </c>
      <c r="Y285" s="28">
        <f>IF(Y282=0,IF('Lease Cycles'!$F$24&gt;0,'Lease Cycles'!$C$24*'Lease Cycles'!$E$24/12,0),IF(Y284=1,IF('Lease Cycles'!$AT$24&gt;=9999,'Lease Cycles'!$C$24*INDEX('Lease Cycles'!$CB$24:$CH$24,1,Y282)*(1+INDEX('Lease Cycles'!$CI$24:$CO$24,1,Y282))^INT(INT(Y283/12)/INDEX('Lease Cycles'!$CP$24:$CV$24,1,Y282))/12,IF(Y282=1,IF(Y283&gt;=INDEX('Lease Cycles'!$DK$24:$DQ$24,1,Y282),IF(Y$6&gt;='Lease Cycles'!$AZ$24,'Lease Cycles'!$C$24*'Lease Cycles'!$BA$24/12,IF(Y$6&gt;='Lease Cycles'!$AX$24,'Lease Cycles'!$C$24*'Lease Cycles'!$AY$24/12,IF(Y$6&gt;='Lease Cycles'!$AV$24,'Lease Cycles'!$C$24*'Lease Cycles'!$AW$24/12,IF(Y$6&gt;='Lease Cycles'!$AT$24,'Lease Cycles'!$C$24*'Lease Cycles'!$AU$24/12,'Lease Cycles'!$C$24*INDEX('Lease Cycles'!$CB$24:$CH$24,1,Y282)*(1+INDEX('Lease Cycles'!$CI$24:$CO$24,1,Y282))^INT(INT(Y283/12)/INDEX('Lease Cycles'!$CP$24:$CV$24,1,Y282))/12)))),'Lease Cycles'!$C$24*INDEX('Lease Cycles'!$CB$24:$CH$24,1,Y282)*(1+INDEX('Lease Cycles'!$CI$24:$CO$24,1,Y282))^INT(INT(Y283/12)/INDEX('Lease Cycles'!$CP$24:$CV$24,1,Y282))/12),IF(INDEX('Lease Cycles'!$EF$24:$EL$24,1,Y282)=1,IF(AND('Lease Cycles'!$AZ$24&gt;=INDEX('Lease Cycles'!$BG$24:$BM$24,1,Y282),'Lease Cycles'!$AZ$24&lt;=Y$6),'Lease Cycles'!$C$24*'Lease Cycles'!$BA$24/12,IF(AND('Lease Cycles'!$AX$24&gt;=INDEX('Lease Cycles'!$BG$24:$BM$24,1,Y282),'Lease Cycles'!$AX$24&lt;=Y$6),'Lease Cycles'!$C$24*'Lease Cycles'!$AY$24/12,IF(AND('Lease Cycles'!$AV$24&gt;=INDEX('Lease Cycles'!$BG$24:$BM$24,1,Y282),'Lease Cycles'!$AV$24&lt;=Y$6),'Lease Cycles'!$C$24*'Lease Cycles'!$AW$24/12,IF(AND('Lease Cycles'!$AT$24&gt;=INDEX('Lease Cycles'!$BG$24:$BM$24,1,Y282),'Lease Cycles'!$AT$24&lt;=Y$6),'Lease Cycles'!$C$24*'Lease Cycles'!$AU$24/12,'Lease Cycles'!$C$24*INDEX('Lease Cycles'!$CB$24:$CH$24,1,Y282)*(1+INDEX('Lease Cycles'!$CI$24:$CO$24,1,Y282))^INT(INT(Y283/12)/INDEX('Lease Cycles'!$CP$24:$CV$24,1,Y282))/12)))),'Lease Cycles'!$C$24*INDEX('Lease Cycles'!$CB$24:$CH$24,1,Y282)*(1+INDEX('Lease Cycles'!$CI$24:$CO$24,1,Y282))^INT(INT(Y283/12)/INDEX('Lease Cycles'!$CP$24:$CV$24,1,Y282))/12))),IF('Lease Cycles'!$N$24=1,'Lease Cycles'!$C$24*'Lease Cycles'!$E$24*INDEX('Lease Cycles'!$HE$24:$HK$24,1,Y282)*(1+INDEX('Lease Cycles'!$GQ$24:$GW$24,1,Y282))^INT(INT((Y$6-INDEX('Lease Cycles'!$GJ$24:$GP$24,1,Y282))/12)/INDEX('Lease Cycles'!$GX$24:$HD$24,1,Y282))/12,0)))</f>
        <v>0</v>
      </c>
      <c r="Z285" s="28">
        <f>IF(Z282=0,IF('Lease Cycles'!$F$24&gt;0,'Lease Cycles'!$C$24*'Lease Cycles'!$E$24/12,0),IF(Z284=1,IF('Lease Cycles'!$AT$24&gt;=9999,'Lease Cycles'!$C$24*INDEX('Lease Cycles'!$CB$24:$CH$24,1,Z282)*(1+INDEX('Lease Cycles'!$CI$24:$CO$24,1,Z282))^INT(INT(Z283/12)/INDEX('Lease Cycles'!$CP$24:$CV$24,1,Z282))/12,IF(Z282=1,IF(Z283&gt;=INDEX('Lease Cycles'!$DK$24:$DQ$24,1,Z282),IF(Z$6&gt;='Lease Cycles'!$AZ$24,'Lease Cycles'!$C$24*'Lease Cycles'!$BA$24/12,IF(Z$6&gt;='Lease Cycles'!$AX$24,'Lease Cycles'!$C$24*'Lease Cycles'!$AY$24/12,IF(Z$6&gt;='Lease Cycles'!$AV$24,'Lease Cycles'!$C$24*'Lease Cycles'!$AW$24/12,IF(Z$6&gt;='Lease Cycles'!$AT$24,'Lease Cycles'!$C$24*'Lease Cycles'!$AU$24/12,'Lease Cycles'!$C$24*INDEX('Lease Cycles'!$CB$24:$CH$24,1,Z282)*(1+INDEX('Lease Cycles'!$CI$24:$CO$24,1,Z282))^INT(INT(Z283/12)/INDEX('Lease Cycles'!$CP$24:$CV$24,1,Z282))/12)))),'Lease Cycles'!$C$24*INDEX('Lease Cycles'!$CB$24:$CH$24,1,Z282)*(1+INDEX('Lease Cycles'!$CI$24:$CO$24,1,Z282))^INT(INT(Z283/12)/INDEX('Lease Cycles'!$CP$24:$CV$24,1,Z282))/12),IF(INDEX('Lease Cycles'!$EF$24:$EL$24,1,Z282)=1,IF(AND('Lease Cycles'!$AZ$24&gt;=INDEX('Lease Cycles'!$BG$24:$BM$24,1,Z282),'Lease Cycles'!$AZ$24&lt;=Z$6),'Lease Cycles'!$C$24*'Lease Cycles'!$BA$24/12,IF(AND('Lease Cycles'!$AX$24&gt;=INDEX('Lease Cycles'!$BG$24:$BM$24,1,Z282),'Lease Cycles'!$AX$24&lt;=Z$6),'Lease Cycles'!$C$24*'Lease Cycles'!$AY$24/12,IF(AND('Lease Cycles'!$AV$24&gt;=INDEX('Lease Cycles'!$BG$24:$BM$24,1,Z282),'Lease Cycles'!$AV$24&lt;=Z$6),'Lease Cycles'!$C$24*'Lease Cycles'!$AW$24/12,IF(AND('Lease Cycles'!$AT$24&gt;=INDEX('Lease Cycles'!$BG$24:$BM$24,1,Z282),'Lease Cycles'!$AT$24&lt;=Z$6),'Lease Cycles'!$C$24*'Lease Cycles'!$AU$24/12,'Lease Cycles'!$C$24*INDEX('Lease Cycles'!$CB$24:$CH$24,1,Z282)*(1+INDEX('Lease Cycles'!$CI$24:$CO$24,1,Z282))^INT(INT(Z283/12)/INDEX('Lease Cycles'!$CP$24:$CV$24,1,Z282))/12)))),'Lease Cycles'!$C$24*INDEX('Lease Cycles'!$CB$24:$CH$24,1,Z282)*(1+INDEX('Lease Cycles'!$CI$24:$CO$24,1,Z282))^INT(INT(Z283/12)/INDEX('Lease Cycles'!$CP$24:$CV$24,1,Z282))/12))),IF('Lease Cycles'!$N$24=1,'Lease Cycles'!$C$24*'Lease Cycles'!$E$24*INDEX('Lease Cycles'!$HE$24:$HK$24,1,Z282)*(1+INDEX('Lease Cycles'!$GQ$24:$GW$24,1,Z282))^INT(INT((Z$6-INDEX('Lease Cycles'!$GJ$24:$GP$24,1,Z282))/12)/INDEX('Lease Cycles'!$GX$24:$HD$24,1,Z282))/12,0)))</f>
        <v>0</v>
      </c>
      <c r="AA285" s="28">
        <f>IF(AA282=0,IF('Lease Cycles'!$F$24&gt;0,'Lease Cycles'!$C$24*'Lease Cycles'!$E$24/12,0),IF(AA284=1,IF('Lease Cycles'!$AT$24&gt;=9999,'Lease Cycles'!$C$24*INDEX('Lease Cycles'!$CB$24:$CH$24,1,AA282)*(1+INDEX('Lease Cycles'!$CI$24:$CO$24,1,AA282))^INT(INT(AA283/12)/INDEX('Lease Cycles'!$CP$24:$CV$24,1,AA282))/12,IF(AA282=1,IF(AA283&gt;=INDEX('Lease Cycles'!$DK$24:$DQ$24,1,AA282),IF(AA$6&gt;='Lease Cycles'!$AZ$24,'Lease Cycles'!$C$24*'Lease Cycles'!$BA$24/12,IF(AA$6&gt;='Lease Cycles'!$AX$24,'Lease Cycles'!$C$24*'Lease Cycles'!$AY$24/12,IF(AA$6&gt;='Lease Cycles'!$AV$24,'Lease Cycles'!$C$24*'Lease Cycles'!$AW$24/12,IF(AA$6&gt;='Lease Cycles'!$AT$24,'Lease Cycles'!$C$24*'Lease Cycles'!$AU$24/12,'Lease Cycles'!$C$24*INDEX('Lease Cycles'!$CB$24:$CH$24,1,AA282)*(1+INDEX('Lease Cycles'!$CI$24:$CO$24,1,AA282))^INT(INT(AA283/12)/INDEX('Lease Cycles'!$CP$24:$CV$24,1,AA282))/12)))),'Lease Cycles'!$C$24*INDEX('Lease Cycles'!$CB$24:$CH$24,1,AA282)*(1+INDEX('Lease Cycles'!$CI$24:$CO$24,1,AA282))^INT(INT(AA283/12)/INDEX('Lease Cycles'!$CP$24:$CV$24,1,AA282))/12),IF(INDEX('Lease Cycles'!$EF$24:$EL$24,1,AA282)=1,IF(AND('Lease Cycles'!$AZ$24&gt;=INDEX('Lease Cycles'!$BG$24:$BM$24,1,AA282),'Lease Cycles'!$AZ$24&lt;=AA$6),'Lease Cycles'!$C$24*'Lease Cycles'!$BA$24/12,IF(AND('Lease Cycles'!$AX$24&gt;=INDEX('Lease Cycles'!$BG$24:$BM$24,1,AA282),'Lease Cycles'!$AX$24&lt;=AA$6),'Lease Cycles'!$C$24*'Lease Cycles'!$AY$24/12,IF(AND('Lease Cycles'!$AV$24&gt;=INDEX('Lease Cycles'!$BG$24:$BM$24,1,AA282),'Lease Cycles'!$AV$24&lt;=AA$6),'Lease Cycles'!$C$24*'Lease Cycles'!$AW$24/12,IF(AND('Lease Cycles'!$AT$24&gt;=INDEX('Lease Cycles'!$BG$24:$BM$24,1,AA282),'Lease Cycles'!$AT$24&lt;=AA$6),'Lease Cycles'!$C$24*'Lease Cycles'!$AU$24/12,'Lease Cycles'!$C$24*INDEX('Lease Cycles'!$CB$24:$CH$24,1,AA282)*(1+INDEX('Lease Cycles'!$CI$24:$CO$24,1,AA282))^INT(INT(AA283/12)/INDEX('Lease Cycles'!$CP$24:$CV$24,1,AA282))/12)))),'Lease Cycles'!$C$24*INDEX('Lease Cycles'!$CB$24:$CH$24,1,AA282)*(1+INDEX('Lease Cycles'!$CI$24:$CO$24,1,AA282))^INT(INT(AA283/12)/INDEX('Lease Cycles'!$CP$24:$CV$24,1,AA282))/12))),IF('Lease Cycles'!$N$24=1,'Lease Cycles'!$C$24*'Lease Cycles'!$E$24*INDEX('Lease Cycles'!$HE$24:$HK$24,1,AA282)*(1+INDEX('Lease Cycles'!$GQ$24:$GW$24,1,AA282))^INT(INT((AA$6-INDEX('Lease Cycles'!$GJ$24:$GP$24,1,AA282))/12)/INDEX('Lease Cycles'!$GX$24:$HD$24,1,AA282))/12,0)))</f>
        <v>0</v>
      </c>
      <c r="AB285" s="28">
        <f>IF(AB282=0,IF('Lease Cycles'!$F$24&gt;0,'Lease Cycles'!$C$24*'Lease Cycles'!$E$24/12,0),IF(AB284=1,IF('Lease Cycles'!$AT$24&gt;=9999,'Lease Cycles'!$C$24*INDEX('Lease Cycles'!$CB$24:$CH$24,1,AB282)*(1+INDEX('Lease Cycles'!$CI$24:$CO$24,1,AB282))^INT(INT(AB283/12)/INDEX('Lease Cycles'!$CP$24:$CV$24,1,AB282))/12,IF(AB282=1,IF(AB283&gt;=INDEX('Lease Cycles'!$DK$24:$DQ$24,1,AB282),IF(AB$6&gt;='Lease Cycles'!$AZ$24,'Lease Cycles'!$C$24*'Lease Cycles'!$BA$24/12,IF(AB$6&gt;='Lease Cycles'!$AX$24,'Lease Cycles'!$C$24*'Lease Cycles'!$AY$24/12,IF(AB$6&gt;='Lease Cycles'!$AV$24,'Lease Cycles'!$C$24*'Lease Cycles'!$AW$24/12,IF(AB$6&gt;='Lease Cycles'!$AT$24,'Lease Cycles'!$C$24*'Lease Cycles'!$AU$24/12,'Lease Cycles'!$C$24*INDEX('Lease Cycles'!$CB$24:$CH$24,1,AB282)*(1+INDEX('Lease Cycles'!$CI$24:$CO$24,1,AB282))^INT(INT(AB283/12)/INDEX('Lease Cycles'!$CP$24:$CV$24,1,AB282))/12)))),'Lease Cycles'!$C$24*INDEX('Lease Cycles'!$CB$24:$CH$24,1,AB282)*(1+INDEX('Lease Cycles'!$CI$24:$CO$24,1,AB282))^INT(INT(AB283/12)/INDEX('Lease Cycles'!$CP$24:$CV$24,1,AB282))/12),IF(INDEX('Lease Cycles'!$EF$24:$EL$24,1,AB282)=1,IF(AND('Lease Cycles'!$AZ$24&gt;=INDEX('Lease Cycles'!$BG$24:$BM$24,1,AB282),'Lease Cycles'!$AZ$24&lt;=AB$6),'Lease Cycles'!$C$24*'Lease Cycles'!$BA$24/12,IF(AND('Lease Cycles'!$AX$24&gt;=INDEX('Lease Cycles'!$BG$24:$BM$24,1,AB282),'Lease Cycles'!$AX$24&lt;=AB$6),'Lease Cycles'!$C$24*'Lease Cycles'!$AY$24/12,IF(AND('Lease Cycles'!$AV$24&gt;=INDEX('Lease Cycles'!$BG$24:$BM$24,1,AB282),'Lease Cycles'!$AV$24&lt;=AB$6),'Lease Cycles'!$C$24*'Lease Cycles'!$AW$24/12,IF(AND('Lease Cycles'!$AT$24&gt;=INDEX('Lease Cycles'!$BG$24:$BM$24,1,AB282),'Lease Cycles'!$AT$24&lt;=AB$6),'Lease Cycles'!$C$24*'Lease Cycles'!$AU$24/12,'Lease Cycles'!$C$24*INDEX('Lease Cycles'!$CB$24:$CH$24,1,AB282)*(1+INDEX('Lease Cycles'!$CI$24:$CO$24,1,AB282))^INT(INT(AB283/12)/INDEX('Lease Cycles'!$CP$24:$CV$24,1,AB282))/12)))),'Lease Cycles'!$C$24*INDEX('Lease Cycles'!$CB$24:$CH$24,1,AB282)*(1+INDEX('Lease Cycles'!$CI$24:$CO$24,1,AB282))^INT(INT(AB283/12)/INDEX('Lease Cycles'!$CP$24:$CV$24,1,AB282))/12))),IF('Lease Cycles'!$N$24=1,'Lease Cycles'!$C$24*'Lease Cycles'!$E$24*INDEX('Lease Cycles'!$HE$24:$HK$24,1,AB282)*(1+INDEX('Lease Cycles'!$GQ$24:$GW$24,1,AB282))^INT(INT((AB$6-INDEX('Lease Cycles'!$GJ$24:$GP$24,1,AB282))/12)/INDEX('Lease Cycles'!$GX$24:$HD$24,1,AB282))/12,0)))</f>
        <v>0</v>
      </c>
      <c r="AC285" s="28">
        <f>IF(AC282=0,IF('Lease Cycles'!$F$24&gt;0,'Lease Cycles'!$C$24*'Lease Cycles'!$E$24/12,0),IF(AC284=1,IF('Lease Cycles'!$AT$24&gt;=9999,'Lease Cycles'!$C$24*INDEX('Lease Cycles'!$CB$24:$CH$24,1,AC282)*(1+INDEX('Lease Cycles'!$CI$24:$CO$24,1,AC282))^INT(INT(AC283/12)/INDEX('Lease Cycles'!$CP$24:$CV$24,1,AC282))/12,IF(AC282=1,IF(AC283&gt;=INDEX('Lease Cycles'!$DK$24:$DQ$24,1,AC282),IF(AC$6&gt;='Lease Cycles'!$AZ$24,'Lease Cycles'!$C$24*'Lease Cycles'!$BA$24/12,IF(AC$6&gt;='Lease Cycles'!$AX$24,'Lease Cycles'!$C$24*'Lease Cycles'!$AY$24/12,IF(AC$6&gt;='Lease Cycles'!$AV$24,'Lease Cycles'!$C$24*'Lease Cycles'!$AW$24/12,IF(AC$6&gt;='Lease Cycles'!$AT$24,'Lease Cycles'!$C$24*'Lease Cycles'!$AU$24/12,'Lease Cycles'!$C$24*INDEX('Lease Cycles'!$CB$24:$CH$24,1,AC282)*(1+INDEX('Lease Cycles'!$CI$24:$CO$24,1,AC282))^INT(INT(AC283/12)/INDEX('Lease Cycles'!$CP$24:$CV$24,1,AC282))/12)))),'Lease Cycles'!$C$24*INDEX('Lease Cycles'!$CB$24:$CH$24,1,AC282)*(1+INDEX('Lease Cycles'!$CI$24:$CO$24,1,AC282))^INT(INT(AC283/12)/INDEX('Lease Cycles'!$CP$24:$CV$24,1,AC282))/12),IF(INDEX('Lease Cycles'!$EF$24:$EL$24,1,AC282)=1,IF(AND('Lease Cycles'!$AZ$24&gt;=INDEX('Lease Cycles'!$BG$24:$BM$24,1,AC282),'Lease Cycles'!$AZ$24&lt;=AC$6),'Lease Cycles'!$C$24*'Lease Cycles'!$BA$24/12,IF(AND('Lease Cycles'!$AX$24&gt;=INDEX('Lease Cycles'!$BG$24:$BM$24,1,AC282),'Lease Cycles'!$AX$24&lt;=AC$6),'Lease Cycles'!$C$24*'Lease Cycles'!$AY$24/12,IF(AND('Lease Cycles'!$AV$24&gt;=INDEX('Lease Cycles'!$BG$24:$BM$24,1,AC282),'Lease Cycles'!$AV$24&lt;=AC$6),'Lease Cycles'!$C$24*'Lease Cycles'!$AW$24/12,IF(AND('Lease Cycles'!$AT$24&gt;=INDEX('Lease Cycles'!$BG$24:$BM$24,1,AC282),'Lease Cycles'!$AT$24&lt;=AC$6),'Lease Cycles'!$C$24*'Lease Cycles'!$AU$24/12,'Lease Cycles'!$C$24*INDEX('Lease Cycles'!$CB$24:$CH$24,1,AC282)*(1+INDEX('Lease Cycles'!$CI$24:$CO$24,1,AC282))^INT(INT(AC283/12)/INDEX('Lease Cycles'!$CP$24:$CV$24,1,AC282))/12)))),'Lease Cycles'!$C$24*INDEX('Lease Cycles'!$CB$24:$CH$24,1,AC282)*(1+INDEX('Lease Cycles'!$CI$24:$CO$24,1,AC282))^INT(INT(AC283/12)/INDEX('Lease Cycles'!$CP$24:$CV$24,1,AC282))/12))),IF('Lease Cycles'!$N$24=1,'Lease Cycles'!$C$24*'Lease Cycles'!$E$24*INDEX('Lease Cycles'!$HE$24:$HK$24,1,AC282)*(1+INDEX('Lease Cycles'!$GQ$24:$GW$24,1,AC282))^INT(INT((AC$6-INDEX('Lease Cycles'!$GJ$24:$GP$24,1,AC282))/12)/INDEX('Lease Cycles'!$GX$24:$HD$24,1,AC282))/12,0)))</f>
        <v>0</v>
      </c>
      <c r="AD285" s="28">
        <f>IF(AD282=0,IF('Lease Cycles'!$F$24&gt;0,'Lease Cycles'!$C$24*'Lease Cycles'!$E$24/12,0),IF(AD284=1,IF('Lease Cycles'!$AT$24&gt;=9999,'Lease Cycles'!$C$24*INDEX('Lease Cycles'!$CB$24:$CH$24,1,AD282)*(1+INDEX('Lease Cycles'!$CI$24:$CO$24,1,AD282))^INT(INT(AD283/12)/INDEX('Lease Cycles'!$CP$24:$CV$24,1,AD282))/12,IF(AD282=1,IF(AD283&gt;=INDEX('Lease Cycles'!$DK$24:$DQ$24,1,AD282),IF(AD$6&gt;='Lease Cycles'!$AZ$24,'Lease Cycles'!$C$24*'Lease Cycles'!$BA$24/12,IF(AD$6&gt;='Lease Cycles'!$AX$24,'Lease Cycles'!$C$24*'Lease Cycles'!$AY$24/12,IF(AD$6&gt;='Lease Cycles'!$AV$24,'Lease Cycles'!$C$24*'Lease Cycles'!$AW$24/12,IF(AD$6&gt;='Lease Cycles'!$AT$24,'Lease Cycles'!$C$24*'Lease Cycles'!$AU$24/12,'Lease Cycles'!$C$24*INDEX('Lease Cycles'!$CB$24:$CH$24,1,AD282)*(1+INDEX('Lease Cycles'!$CI$24:$CO$24,1,AD282))^INT(INT(AD283/12)/INDEX('Lease Cycles'!$CP$24:$CV$24,1,AD282))/12)))),'Lease Cycles'!$C$24*INDEX('Lease Cycles'!$CB$24:$CH$24,1,AD282)*(1+INDEX('Lease Cycles'!$CI$24:$CO$24,1,AD282))^INT(INT(AD283/12)/INDEX('Lease Cycles'!$CP$24:$CV$24,1,AD282))/12),IF(INDEX('Lease Cycles'!$EF$24:$EL$24,1,AD282)=1,IF(AND('Lease Cycles'!$AZ$24&gt;=INDEX('Lease Cycles'!$BG$24:$BM$24,1,AD282),'Lease Cycles'!$AZ$24&lt;=AD$6),'Lease Cycles'!$C$24*'Lease Cycles'!$BA$24/12,IF(AND('Lease Cycles'!$AX$24&gt;=INDEX('Lease Cycles'!$BG$24:$BM$24,1,AD282),'Lease Cycles'!$AX$24&lt;=AD$6),'Lease Cycles'!$C$24*'Lease Cycles'!$AY$24/12,IF(AND('Lease Cycles'!$AV$24&gt;=INDEX('Lease Cycles'!$BG$24:$BM$24,1,AD282),'Lease Cycles'!$AV$24&lt;=AD$6),'Lease Cycles'!$C$24*'Lease Cycles'!$AW$24/12,IF(AND('Lease Cycles'!$AT$24&gt;=INDEX('Lease Cycles'!$BG$24:$BM$24,1,AD282),'Lease Cycles'!$AT$24&lt;=AD$6),'Lease Cycles'!$C$24*'Lease Cycles'!$AU$24/12,'Lease Cycles'!$C$24*INDEX('Lease Cycles'!$CB$24:$CH$24,1,AD282)*(1+INDEX('Lease Cycles'!$CI$24:$CO$24,1,AD282))^INT(INT(AD283/12)/INDEX('Lease Cycles'!$CP$24:$CV$24,1,AD282))/12)))),'Lease Cycles'!$C$24*INDEX('Lease Cycles'!$CB$24:$CH$24,1,AD282)*(1+INDEX('Lease Cycles'!$CI$24:$CO$24,1,AD282))^INT(INT(AD283/12)/INDEX('Lease Cycles'!$CP$24:$CV$24,1,AD282))/12))),IF('Lease Cycles'!$N$24=1,'Lease Cycles'!$C$24*'Lease Cycles'!$E$24*INDEX('Lease Cycles'!$HE$24:$HK$24,1,AD282)*(1+INDEX('Lease Cycles'!$GQ$24:$GW$24,1,AD282))^INT(INT((AD$6-INDEX('Lease Cycles'!$GJ$24:$GP$24,1,AD282))/12)/INDEX('Lease Cycles'!$GX$24:$HD$24,1,AD282))/12,0)))</f>
        <v>0</v>
      </c>
      <c r="AE285" s="28">
        <f>IF(AE282=0,IF('Lease Cycles'!$F$24&gt;0,'Lease Cycles'!$C$24*'Lease Cycles'!$E$24/12,0),IF(AE284=1,IF('Lease Cycles'!$AT$24&gt;=9999,'Lease Cycles'!$C$24*INDEX('Lease Cycles'!$CB$24:$CH$24,1,AE282)*(1+INDEX('Lease Cycles'!$CI$24:$CO$24,1,AE282))^INT(INT(AE283/12)/INDEX('Lease Cycles'!$CP$24:$CV$24,1,AE282))/12,IF(AE282=1,IF(AE283&gt;=INDEX('Lease Cycles'!$DK$24:$DQ$24,1,AE282),IF(AE$6&gt;='Lease Cycles'!$AZ$24,'Lease Cycles'!$C$24*'Lease Cycles'!$BA$24/12,IF(AE$6&gt;='Lease Cycles'!$AX$24,'Lease Cycles'!$C$24*'Lease Cycles'!$AY$24/12,IF(AE$6&gt;='Lease Cycles'!$AV$24,'Lease Cycles'!$C$24*'Lease Cycles'!$AW$24/12,IF(AE$6&gt;='Lease Cycles'!$AT$24,'Lease Cycles'!$C$24*'Lease Cycles'!$AU$24/12,'Lease Cycles'!$C$24*INDEX('Lease Cycles'!$CB$24:$CH$24,1,AE282)*(1+INDEX('Lease Cycles'!$CI$24:$CO$24,1,AE282))^INT(INT(AE283/12)/INDEX('Lease Cycles'!$CP$24:$CV$24,1,AE282))/12)))),'Lease Cycles'!$C$24*INDEX('Lease Cycles'!$CB$24:$CH$24,1,AE282)*(1+INDEX('Lease Cycles'!$CI$24:$CO$24,1,AE282))^INT(INT(AE283/12)/INDEX('Lease Cycles'!$CP$24:$CV$24,1,AE282))/12),IF(INDEX('Lease Cycles'!$EF$24:$EL$24,1,AE282)=1,IF(AND('Lease Cycles'!$AZ$24&gt;=INDEX('Lease Cycles'!$BG$24:$BM$24,1,AE282),'Lease Cycles'!$AZ$24&lt;=AE$6),'Lease Cycles'!$C$24*'Lease Cycles'!$BA$24/12,IF(AND('Lease Cycles'!$AX$24&gt;=INDEX('Lease Cycles'!$BG$24:$BM$24,1,AE282),'Lease Cycles'!$AX$24&lt;=AE$6),'Lease Cycles'!$C$24*'Lease Cycles'!$AY$24/12,IF(AND('Lease Cycles'!$AV$24&gt;=INDEX('Lease Cycles'!$BG$24:$BM$24,1,AE282),'Lease Cycles'!$AV$24&lt;=AE$6),'Lease Cycles'!$C$24*'Lease Cycles'!$AW$24/12,IF(AND('Lease Cycles'!$AT$24&gt;=INDEX('Lease Cycles'!$BG$24:$BM$24,1,AE282),'Lease Cycles'!$AT$24&lt;=AE$6),'Lease Cycles'!$C$24*'Lease Cycles'!$AU$24/12,'Lease Cycles'!$C$24*INDEX('Lease Cycles'!$CB$24:$CH$24,1,AE282)*(1+INDEX('Lease Cycles'!$CI$24:$CO$24,1,AE282))^INT(INT(AE283/12)/INDEX('Lease Cycles'!$CP$24:$CV$24,1,AE282))/12)))),'Lease Cycles'!$C$24*INDEX('Lease Cycles'!$CB$24:$CH$24,1,AE282)*(1+INDEX('Lease Cycles'!$CI$24:$CO$24,1,AE282))^INT(INT(AE283/12)/INDEX('Lease Cycles'!$CP$24:$CV$24,1,AE282))/12))),IF('Lease Cycles'!$N$24=1,'Lease Cycles'!$C$24*'Lease Cycles'!$E$24*INDEX('Lease Cycles'!$HE$24:$HK$24,1,AE282)*(1+INDEX('Lease Cycles'!$GQ$24:$GW$24,1,AE282))^INT(INT((AE$6-INDEX('Lease Cycles'!$GJ$24:$GP$24,1,AE282))/12)/INDEX('Lease Cycles'!$GX$24:$HD$24,1,AE282))/12,0)))</f>
        <v>0</v>
      </c>
      <c r="AF285" s="28">
        <f>IF(AF282=0,IF('Lease Cycles'!$F$24&gt;0,'Lease Cycles'!$C$24*'Lease Cycles'!$E$24/12,0),IF(AF284=1,IF('Lease Cycles'!$AT$24&gt;=9999,'Lease Cycles'!$C$24*INDEX('Lease Cycles'!$CB$24:$CH$24,1,AF282)*(1+INDEX('Lease Cycles'!$CI$24:$CO$24,1,AF282))^INT(INT(AF283/12)/INDEX('Lease Cycles'!$CP$24:$CV$24,1,AF282))/12,IF(AF282=1,IF(AF283&gt;=INDEX('Lease Cycles'!$DK$24:$DQ$24,1,AF282),IF(AF$6&gt;='Lease Cycles'!$AZ$24,'Lease Cycles'!$C$24*'Lease Cycles'!$BA$24/12,IF(AF$6&gt;='Lease Cycles'!$AX$24,'Lease Cycles'!$C$24*'Lease Cycles'!$AY$24/12,IF(AF$6&gt;='Lease Cycles'!$AV$24,'Lease Cycles'!$C$24*'Lease Cycles'!$AW$24/12,IF(AF$6&gt;='Lease Cycles'!$AT$24,'Lease Cycles'!$C$24*'Lease Cycles'!$AU$24/12,'Lease Cycles'!$C$24*INDEX('Lease Cycles'!$CB$24:$CH$24,1,AF282)*(1+INDEX('Lease Cycles'!$CI$24:$CO$24,1,AF282))^INT(INT(AF283/12)/INDEX('Lease Cycles'!$CP$24:$CV$24,1,AF282))/12)))),'Lease Cycles'!$C$24*INDEX('Lease Cycles'!$CB$24:$CH$24,1,AF282)*(1+INDEX('Lease Cycles'!$CI$24:$CO$24,1,AF282))^INT(INT(AF283/12)/INDEX('Lease Cycles'!$CP$24:$CV$24,1,AF282))/12),IF(INDEX('Lease Cycles'!$EF$24:$EL$24,1,AF282)=1,IF(AND('Lease Cycles'!$AZ$24&gt;=INDEX('Lease Cycles'!$BG$24:$BM$24,1,AF282),'Lease Cycles'!$AZ$24&lt;=AF$6),'Lease Cycles'!$C$24*'Lease Cycles'!$BA$24/12,IF(AND('Lease Cycles'!$AX$24&gt;=INDEX('Lease Cycles'!$BG$24:$BM$24,1,AF282),'Lease Cycles'!$AX$24&lt;=AF$6),'Lease Cycles'!$C$24*'Lease Cycles'!$AY$24/12,IF(AND('Lease Cycles'!$AV$24&gt;=INDEX('Lease Cycles'!$BG$24:$BM$24,1,AF282),'Lease Cycles'!$AV$24&lt;=AF$6),'Lease Cycles'!$C$24*'Lease Cycles'!$AW$24/12,IF(AND('Lease Cycles'!$AT$24&gt;=INDEX('Lease Cycles'!$BG$24:$BM$24,1,AF282),'Lease Cycles'!$AT$24&lt;=AF$6),'Lease Cycles'!$C$24*'Lease Cycles'!$AU$24/12,'Lease Cycles'!$C$24*INDEX('Lease Cycles'!$CB$24:$CH$24,1,AF282)*(1+INDEX('Lease Cycles'!$CI$24:$CO$24,1,AF282))^INT(INT(AF283/12)/INDEX('Lease Cycles'!$CP$24:$CV$24,1,AF282))/12)))),'Lease Cycles'!$C$24*INDEX('Lease Cycles'!$CB$24:$CH$24,1,AF282)*(1+INDEX('Lease Cycles'!$CI$24:$CO$24,1,AF282))^INT(INT(AF283/12)/INDEX('Lease Cycles'!$CP$24:$CV$24,1,AF282))/12))),IF('Lease Cycles'!$N$24=1,'Lease Cycles'!$C$24*'Lease Cycles'!$E$24*INDEX('Lease Cycles'!$HE$24:$HK$24,1,AF282)*(1+INDEX('Lease Cycles'!$GQ$24:$GW$24,1,AF282))^INT(INT((AF$6-INDEX('Lease Cycles'!$GJ$24:$GP$24,1,AF282))/12)/INDEX('Lease Cycles'!$GX$24:$HD$24,1,AF282))/12,0)))</f>
        <v>0</v>
      </c>
      <c r="AG285" s="28">
        <f>IF(AG282=0,IF('Lease Cycles'!$F$24&gt;0,'Lease Cycles'!$C$24*'Lease Cycles'!$E$24/12,0),IF(AG284=1,IF('Lease Cycles'!$AT$24&gt;=9999,'Lease Cycles'!$C$24*INDEX('Lease Cycles'!$CB$24:$CH$24,1,AG282)*(1+INDEX('Lease Cycles'!$CI$24:$CO$24,1,AG282))^INT(INT(AG283/12)/INDEX('Lease Cycles'!$CP$24:$CV$24,1,AG282))/12,IF(AG282=1,IF(AG283&gt;=INDEX('Lease Cycles'!$DK$24:$DQ$24,1,AG282),IF(AG$6&gt;='Lease Cycles'!$AZ$24,'Lease Cycles'!$C$24*'Lease Cycles'!$BA$24/12,IF(AG$6&gt;='Lease Cycles'!$AX$24,'Lease Cycles'!$C$24*'Lease Cycles'!$AY$24/12,IF(AG$6&gt;='Lease Cycles'!$AV$24,'Lease Cycles'!$C$24*'Lease Cycles'!$AW$24/12,IF(AG$6&gt;='Lease Cycles'!$AT$24,'Lease Cycles'!$C$24*'Lease Cycles'!$AU$24/12,'Lease Cycles'!$C$24*INDEX('Lease Cycles'!$CB$24:$CH$24,1,AG282)*(1+INDEX('Lease Cycles'!$CI$24:$CO$24,1,AG282))^INT(INT(AG283/12)/INDEX('Lease Cycles'!$CP$24:$CV$24,1,AG282))/12)))),'Lease Cycles'!$C$24*INDEX('Lease Cycles'!$CB$24:$CH$24,1,AG282)*(1+INDEX('Lease Cycles'!$CI$24:$CO$24,1,AG282))^INT(INT(AG283/12)/INDEX('Lease Cycles'!$CP$24:$CV$24,1,AG282))/12),IF(INDEX('Lease Cycles'!$EF$24:$EL$24,1,AG282)=1,IF(AND('Lease Cycles'!$AZ$24&gt;=INDEX('Lease Cycles'!$BG$24:$BM$24,1,AG282),'Lease Cycles'!$AZ$24&lt;=AG$6),'Lease Cycles'!$C$24*'Lease Cycles'!$BA$24/12,IF(AND('Lease Cycles'!$AX$24&gt;=INDEX('Lease Cycles'!$BG$24:$BM$24,1,AG282),'Lease Cycles'!$AX$24&lt;=AG$6),'Lease Cycles'!$C$24*'Lease Cycles'!$AY$24/12,IF(AND('Lease Cycles'!$AV$24&gt;=INDEX('Lease Cycles'!$BG$24:$BM$24,1,AG282),'Lease Cycles'!$AV$24&lt;=AG$6),'Lease Cycles'!$C$24*'Lease Cycles'!$AW$24/12,IF(AND('Lease Cycles'!$AT$24&gt;=INDEX('Lease Cycles'!$BG$24:$BM$24,1,AG282),'Lease Cycles'!$AT$24&lt;=AG$6),'Lease Cycles'!$C$24*'Lease Cycles'!$AU$24/12,'Lease Cycles'!$C$24*INDEX('Lease Cycles'!$CB$24:$CH$24,1,AG282)*(1+INDEX('Lease Cycles'!$CI$24:$CO$24,1,AG282))^INT(INT(AG283/12)/INDEX('Lease Cycles'!$CP$24:$CV$24,1,AG282))/12)))),'Lease Cycles'!$C$24*INDEX('Lease Cycles'!$CB$24:$CH$24,1,AG282)*(1+INDEX('Lease Cycles'!$CI$24:$CO$24,1,AG282))^INT(INT(AG283/12)/INDEX('Lease Cycles'!$CP$24:$CV$24,1,AG282))/12))),IF('Lease Cycles'!$N$24=1,'Lease Cycles'!$C$24*'Lease Cycles'!$E$24*INDEX('Lease Cycles'!$HE$24:$HK$24,1,AG282)*(1+INDEX('Lease Cycles'!$GQ$24:$GW$24,1,AG282))^INT(INT((AG$6-INDEX('Lease Cycles'!$GJ$24:$GP$24,1,AG282))/12)/INDEX('Lease Cycles'!$GX$24:$HD$24,1,AG282))/12,0)))</f>
        <v>0</v>
      </c>
      <c r="AH285" s="28">
        <f>IF(AH282=0,IF('Lease Cycles'!$F$24&gt;0,'Lease Cycles'!$C$24*'Lease Cycles'!$E$24/12,0),IF(AH284=1,IF('Lease Cycles'!$AT$24&gt;=9999,'Lease Cycles'!$C$24*INDEX('Lease Cycles'!$CB$24:$CH$24,1,AH282)*(1+INDEX('Lease Cycles'!$CI$24:$CO$24,1,AH282))^INT(INT(AH283/12)/INDEX('Lease Cycles'!$CP$24:$CV$24,1,AH282))/12,IF(AH282=1,IF(AH283&gt;=INDEX('Lease Cycles'!$DK$24:$DQ$24,1,AH282),IF(AH$6&gt;='Lease Cycles'!$AZ$24,'Lease Cycles'!$C$24*'Lease Cycles'!$BA$24/12,IF(AH$6&gt;='Lease Cycles'!$AX$24,'Lease Cycles'!$C$24*'Lease Cycles'!$AY$24/12,IF(AH$6&gt;='Lease Cycles'!$AV$24,'Lease Cycles'!$C$24*'Lease Cycles'!$AW$24/12,IF(AH$6&gt;='Lease Cycles'!$AT$24,'Lease Cycles'!$C$24*'Lease Cycles'!$AU$24/12,'Lease Cycles'!$C$24*INDEX('Lease Cycles'!$CB$24:$CH$24,1,AH282)*(1+INDEX('Lease Cycles'!$CI$24:$CO$24,1,AH282))^INT(INT(AH283/12)/INDEX('Lease Cycles'!$CP$24:$CV$24,1,AH282))/12)))),'Lease Cycles'!$C$24*INDEX('Lease Cycles'!$CB$24:$CH$24,1,AH282)*(1+INDEX('Lease Cycles'!$CI$24:$CO$24,1,AH282))^INT(INT(AH283/12)/INDEX('Lease Cycles'!$CP$24:$CV$24,1,AH282))/12),IF(INDEX('Lease Cycles'!$EF$24:$EL$24,1,AH282)=1,IF(AND('Lease Cycles'!$AZ$24&gt;=INDEX('Lease Cycles'!$BG$24:$BM$24,1,AH282),'Lease Cycles'!$AZ$24&lt;=AH$6),'Lease Cycles'!$C$24*'Lease Cycles'!$BA$24/12,IF(AND('Lease Cycles'!$AX$24&gt;=INDEX('Lease Cycles'!$BG$24:$BM$24,1,AH282),'Lease Cycles'!$AX$24&lt;=AH$6),'Lease Cycles'!$C$24*'Lease Cycles'!$AY$24/12,IF(AND('Lease Cycles'!$AV$24&gt;=INDEX('Lease Cycles'!$BG$24:$BM$24,1,AH282),'Lease Cycles'!$AV$24&lt;=AH$6),'Lease Cycles'!$C$24*'Lease Cycles'!$AW$24/12,IF(AND('Lease Cycles'!$AT$24&gt;=INDEX('Lease Cycles'!$BG$24:$BM$24,1,AH282),'Lease Cycles'!$AT$24&lt;=AH$6),'Lease Cycles'!$C$24*'Lease Cycles'!$AU$24/12,'Lease Cycles'!$C$24*INDEX('Lease Cycles'!$CB$24:$CH$24,1,AH282)*(1+INDEX('Lease Cycles'!$CI$24:$CO$24,1,AH282))^INT(INT(AH283/12)/INDEX('Lease Cycles'!$CP$24:$CV$24,1,AH282))/12)))),'Lease Cycles'!$C$24*INDEX('Lease Cycles'!$CB$24:$CH$24,1,AH282)*(1+INDEX('Lease Cycles'!$CI$24:$CO$24,1,AH282))^INT(INT(AH283/12)/INDEX('Lease Cycles'!$CP$24:$CV$24,1,AH282))/12))),IF('Lease Cycles'!$N$24=1,'Lease Cycles'!$C$24*'Lease Cycles'!$E$24*INDEX('Lease Cycles'!$HE$24:$HK$24,1,AH282)*(1+INDEX('Lease Cycles'!$GQ$24:$GW$24,1,AH282))^INT(INT((AH$6-INDEX('Lease Cycles'!$GJ$24:$GP$24,1,AH282))/12)/INDEX('Lease Cycles'!$GX$24:$HD$24,1,AH282))/12,0)))</f>
        <v>0</v>
      </c>
      <c r="AI285" s="28">
        <f>IF(AI282=0,IF('Lease Cycles'!$F$24&gt;0,'Lease Cycles'!$C$24*'Lease Cycles'!$E$24/12,0),IF(AI284=1,IF('Lease Cycles'!$AT$24&gt;=9999,'Lease Cycles'!$C$24*INDEX('Lease Cycles'!$CB$24:$CH$24,1,AI282)*(1+INDEX('Lease Cycles'!$CI$24:$CO$24,1,AI282))^INT(INT(AI283/12)/INDEX('Lease Cycles'!$CP$24:$CV$24,1,AI282))/12,IF(AI282=1,IF(AI283&gt;=INDEX('Lease Cycles'!$DK$24:$DQ$24,1,AI282),IF(AI$6&gt;='Lease Cycles'!$AZ$24,'Lease Cycles'!$C$24*'Lease Cycles'!$BA$24/12,IF(AI$6&gt;='Lease Cycles'!$AX$24,'Lease Cycles'!$C$24*'Lease Cycles'!$AY$24/12,IF(AI$6&gt;='Lease Cycles'!$AV$24,'Lease Cycles'!$C$24*'Lease Cycles'!$AW$24/12,IF(AI$6&gt;='Lease Cycles'!$AT$24,'Lease Cycles'!$C$24*'Lease Cycles'!$AU$24/12,'Lease Cycles'!$C$24*INDEX('Lease Cycles'!$CB$24:$CH$24,1,AI282)*(1+INDEX('Lease Cycles'!$CI$24:$CO$24,1,AI282))^INT(INT(AI283/12)/INDEX('Lease Cycles'!$CP$24:$CV$24,1,AI282))/12)))),'Lease Cycles'!$C$24*INDEX('Lease Cycles'!$CB$24:$CH$24,1,AI282)*(1+INDEX('Lease Cycles'!$CI$24:$CO$24,1,AI282))^INT(INT(AI283/12)/INDEX('Lease Cycles'!$CP$24:$CV$24,1,AI282))/12),IF(INDEX('Lease Cycles'!$EF$24:$EL$24,1,AI282)=1,IF(AND('Lease Cycles'!$AZ$24&gt;=INDEX('Lease Cycles'!$BG$24:$BM$24,1,AI282),'Lease Cycles'!$AZ$24&lt;=AI$6),'Lease Cycles'!$C$24*'Lease Cycles'!$BA$24/12,IF(AND('Lease Cycles'!$AX$24&gt;=INDEX('Lease Cycles'!$BG$24:$BM$24,1,AI282),'Lease Cycles'!$AX$24&lt;=AI$6),'Lease Cycles'!$C$24*'Lease Cycles'!$AY$24/12,IF(AND('Lease Cycles'!$AV$24&gt;=INDEX('Lease Cycles'!$BG$24:$BM$24,1,AI282),'Lease Cycles'!$AV$24&lt;=AI$6),'Lease Cycles'!$C$24*'Lease Cycles'!$AW$24/12,IF(AND('Lease Cycles'!$AT$24&gt;=INDEX('Lease Cycles'!$BG$24:$BM$24,1,AI282),'Lease Cycles'!$AT$24&lt;=AI$6),'Lease Cycles'!$C$24*'Lease Cycles'!$AU$24/12,'Lease Cycles'!$C$24*INDEX('Lease Cycles'!$CB$24:$CH$24,1,AI282)*(1+INDEX('Lease Cycles'!$CI$24:$CO$24,1,AI282))^INT(INT(AI283/12)/INDEX('Lease Cycles'!$CP$24:$CV$24,1,AI282))/12)))),'Lease Cycles'!$C$24*INDEX('Lease Cycles'!$CB$24:$CH$24,1,AI282)*(1+INDEX('Lease Cycles'!$CI$24:$CO$24,1,AI282))^INT(INT(AI283/12)/INDEX('Lease Cycles'!$CP$24:$CV$24,1,AI282))/12))),IF('Lease Cycles'!$N$24=1,'Lease Cycles'!$C$24*'Lease Cycles'!$E$24*INDEX('Lease Cycles'!$HE$24:$HK$24,1,AI282)*(1+INDEX('Lease Cycles'!$GQ$24:$GW$24,1,AI282))^INT(INT((AI$6-INDEX('Lease Cycles'!$GJ$24:$GP$24,1,AI282))/12)/INDEX('Lease Cycles'!$GX$24:$HD$24,1,AI282))/12,0)))</f>
        <v>0</v>
      </c>
      <c r="AJ285" s="28">
        <f>IF(AJ282=0,IF('Lease Cycles'!$F$24&gt;0,'Lease Cycles'!$C$24*'Lease Cycles'!$E$24/12,0),IF(AJ284=1,IF('Lease Cycles'!$AT$24&gt;=9999,'Lease Cycles'!$C$24*INDEX('Lease Cycles'!$CB$24:$CH$24,1,AJ282)*(1+INDEX('Lease Cycles'!$CI$24:$CO$24,1,AJ282))^INT(INT(AJ283/12)/INDEX('Lease Cycles'!$CP$24:$CV$24,1,AJ282))/12,IF(AJ282=1,IF(AJ283&gt;=INDEX('Lease Cycles'!$DK$24:$DQ$24,1,AJ282),IF(AJ$6&gt;='Lease Cycles'!$AZ$24,'Lease Cycles'!$C$24*'Lease Cycles'!$BA$24/12,IF(AJ$6&gt;='Lease Cycles'!$AX$24,'Lease Cycles'!$C$24*'Lease Cycles'!$AY$24/12,IF(AJ$6&gt;='Lease Cycles'!$AV$24,'Lease Cycles'!$C$24*'Lease Cycles'!$AW$24/12,IF(AJ$6&gt;='Lease Cycles'!$AT$24,'Lease Cycles'!$C$24*'Lease Cycles'!$AU$24/12,'Lease Cycles'!$C$24*INDEX('Lease Cycles'!$CB$24:$CH$24,1,AJ282)*(1+INDEX('Lease Cycles'!$CI$24:$CO$24,1,AJ282))^INT(INT(AJ283/12)/INDEX('Lease Cycles'!$CP$24:$CV$24,1,AJ282))/12)))),'Lease Cycles'!$C$24*INDEX('Lease Cycles'!$CB$24:$CH$24,1,AJ282)*(1+INDEX('Lease Cycles'!$CI$24:$CO$24,1,AJ282))^INT(INT(AJ283/12)/INDEX('Lease Cycles'!$CP$24:$CV$24,1,AJ282))/12),IF(INDEX('Lease Cycles'!$EF$24:$EL$24,1,AJ282)=1,IF(AND('Lease Cycles'!$AZ$24&gt;=INDEX('Lease Cycles'!$BG$24:$BM$24,1,AJ282),'Lease Cycles'!$AZ$24&lt;=AJ$6),'Lease Cycles'!$C$24*'Lease Cycles'!$BA$24/12,IF(AND('Lease Cycles'!$AX$24&gt;=INDEX('Lease Cycles'!$BG$24:$BM$24,1,AJ282),'Lease Cycles'!$AX$24&lt;=AJ$6),'Lease Cycles'!$C$24*'Lease Cycles'!$AY$24/12,IF(AND('Lease Cycles'!$AV$24&gt;=INDEX('Lease Cycles'!$BG$24:$BM$24,1,AJ282),'Lease Cycles'!$AV$24&lt;=AJ$6),'Lease Cycles'!$C$24*'Lease Cycles'!$AW$24/12,IF(AND('Lease Cycles'!$AT$24&gt;=INDEX('Lease Cycles'!$BG$24:$BM$24,1,AJ282),'Lease Cycles'!$AT$24&lt;=AJ$6),'Lease Cycles'!$C$24*'Lease Cycles'!$AU$24/12,'Lease Cycles'!$C$24*INDEX('Lease Cycles'!$CB$24:$CH$24,1,AJ282)*(1+INDEX('Lease Cycles'!$CI$24:$CO$24,1,AJ282))^INT(INT(AJ283/12)/INDEX('Lease Cycles'!$CP$24:$CV$24,1,AJ282))/12)))),'Lease Cycles'!$C$24*INDEX('Lease Cycles'!$CB$24:$CH$24,1,AJ282)*(1+INDEX('Lease Cycles'!$CI$24:$CO$24,1,AJ282))^INT(INT(AJ283/12)/INDEX('Lease Cycles'!$CP$24:$CV$24,1,AJ282))/12))),IF('Lease Cycles'!$N$24=1,'Lease Cycles'!$C$24*'Lease Cycles'!$E$24*INDEX('Lease Cycles'!$HE$24:$HK$24,1,AJ282)*(1+INDEX('Lease Cycles'!$GQ$24:$GW$24,1,AJ282))^INT(INT((AJ$6-INDEX('Lease Cycles'!$GJ$24:$GP$24,1,AJ282))/12)/INDEX('Lease Cycles'!$GX$24:$HD$24,1,AJ282))/12,0)))</f>
        <v>0</v>
      </c>
      <c r="AK285" s="28">
        <f>IF(AK282=0,IF('Lease Cycles'!$F$24&gt;0,'Lease Cycles'!$C$24*'Lease Cycles'!$E$24/12,0),IF(AK284=1,IF('Lease Cycles'!$AT$24&gt;=9999,'Lease Cycles'!$C$24*INDEX('Lease Cycles'!$CB$24:$CH$24,1,AK282)*(1+INDEX('Lease Cycles'!$CI$24:$CO$24,1,AK282))^INT(INT(AK283/12)/INDEX('Lease Cycles'!$CP$24:$CV$24,1,AK282))/12,IF(AK282=1,IF(AK283&gt;=INDEX('Lease Cycles'!$DK$24:$DQ$24,1,AK282),IF(AK$6&gt;='Lease Cycles'!$AZ$24,'Lease Cycles'!$C$24*'Lease Cycles'!$BA$24/12,IF(AK$6&gt;='Lease Cycles'!$AX$24,'Lease Cycles'!$C$24*'Lease Cycles'!$AY$24/12,IF(AK$6&gt;='Lease Cycles'!$AV$24,'Lease Cycles'!$C$24*'Lease Cycles'!$AW$24/12,IF(AK$6&gt;='Lease Cycles'!$AT$24,'Lease Cycles'!$C$24*'Lease Cycles'!$AU$24/12,'Lease Cycles'!$C$24*INDEX('Lease Cycles'!$CB$24:$CH$24,1,AK282)*(1+INDEX('Lease Cycles'!$CI$24:$CO$24,1,AK282))^INT(INT(AK283/12)/INDEX('Lease Cycles'!$CP$24:$CV$24,1,AK282))/12)))),'Lease Cycles'!$C$24*INDEX('Lease Cycles'!$CB$24:$CH$24,1,AK282)*(1+INDEX('Lease Cycles'!$CI$24:$CO$24,1,AK282))^INT(INT(AK283/12)/INDEX('Lease Cycles'!$CP$24:$CV$24,1,AK282))/12),IF(INDEX('Lease Cycles'!$EF$24:$EL$24,1,AK282)=1,IF(AND('Lease Cycles'!$AZ$24&gt;=INDEX('Lease Cycles'!$BG$24:$BM$24,1,AK282),'Lease Cycles'!$AZ$24&lt;=AK$6),'Lease Cycles'!$C$24*'Lease Cycles'!$BA$24/12,IF(AND('Lease Cycles'!$AX$24&gt;=INDEX('Lease Cycles'!$BG$24:$BM$24,1,AK282),'Lease Cycles'!$AX$24&lt;=AK$6),'Lease Cycles'!$C$24*'Lease Cycles'!$AY$24/12,IF(AND('Lease Cycles'!$AV$24&gt;=INDEX('Lease Cycles'!$BG$24:$BM$24,1,AK282),'Lease Cycles'!$AV$24&lt;=AK$6),'Lease Cycles'!$C$24*'Lease Cycles'!$AW$24/12,IF(AND('Lease Cycles'!$AT$24&gt;=INDEX('Lease Cycles'!$BG$24:$BM$24,1,AK282),'Lease Cycles'!$AT$24&lt;=AK$6),'Lease Cycles'!$C$24*'Lease Cycles'!$AU$24/12,'Lease Cycles'!$C$24*INDEX('Lease Cycles'!$CB$24:$CH$24,1,AK282)*(1+INDEX('Lease Cycles'!$CI$24:$CO$24,1,AK282))^INT(INT(AK283/12)/INDEX('Lease Cycles'!$CP$24:$CV$24,1,AK282))/12)))),'Lease Cycles'!$C$24*INDEX('Lease Cycles'!$CB$24:$CH$24,1,AK282)*(1+INDEX('Lease Cycles'!$CI$24:$CO$24,1,AK282))^INT(INT(AK283/12)/INDEX('Lease Cycles'!$CP$24:$CV$24,1,AK282))/12))),IF('Lease Cycles'!$N$24=1,'Lease Cycles'!$C$24*'Lease Cycles'!$E$24*INDEX('Lease Cycles'!$HE$24:$HK$24,1,AK282)*(1+INDEX('Lease Cycles'!$GQ$24:$GW$24,1,AK282))^INT(INT((AK$6-INDEX('Lease Cycles'!$GJ$24:$GP$24,1,AK282))/12)/INDEX('Lease Cycles'!$GX$24:$HD$24,1,AK282))/12,0)))</f>
        <v>0</v>
      </c>
      <c r="AL285" s="28">
        <f>IF(AL282=0,IF('Lease Cycles'!$F$24&gt;0,'Lease Cycles'!$C$24*'Lease Cycles'!$E$24/12,0),IF(AL284=1,IF('Lease Cycles'!$AT$24&gt;=9999,'Lease Cycles'!$C$24*INDEX('Lease Cycles'!$CB$24:$CH$24,1,AL282)*(1+INDEX('Lease Cycles'!$CI$24:$CO$24,1,AL282))^INT(INT(AL283/12)/INDEX('Lease Cycles'!$CP$24:$CV$24,1,AL282))/12,IF(AL282=1,IF(AL283&gt;=INDEX('Lease Cycles'!$DK$24:$DQ$24,1,AL282),IF(AL$6&gt;='Lease Cycles'!$AZ$24,'Lease Cycles'!$C$24*'Lease Cycles'!$BA$24/12,IF(AL$6&gt;='Lease Cycles'!$AX$24,'Lease Cycles'!$C$24*'Lease Cycles'!$AY$24/12,IF(AL$6&gt;='Lease Cycles'!$AV$24,'Lease Cycles'!$C$24*'Lease Cycles'!$AW$24/12,IF(AL$6&gt;='Lease Cycles'!$AT$24,'Lease Cycles'!$C$24*'Lease Cycles'!$AU$24/12,'Lease Cycles'!$C$24*INDEX('Lease Cycles'!$CB$24:$CH$24,1,AL282)*(1+INDEX('Lease Cycles'!$CI$24:$CO$24,1,AL282))^INT(INT(AL283/12)/INDEX('Lease Cycles'!$CP$24:$CV$24,1,AL282))/12)))),'Lease Cycles'!$C$24*INDEX('Lease Cycles'!$CB$24:$CH$24,1,AL282)*(1+INDEX('Lease Cycles'!$CI$24:$CO$24,1,AL282))^INT(INT(AL283/12)/INDEX('Lease Cycles'!$CP$24:$CV$24,1,AL282))/12),IF(INDEX('Lease Cycles'!$EF$24:$EL$24,1,AL282)=1,IF(AND('Lease Cycles'!$AZ$24&gt;=INDEX('Lease Cycles'!$BG$24:$BM$24,1,AL282),'Lease Cycles'!$AZ$24&lt;=AL$6),'Lease Cycles'!$C$24*'Lease Cycles'!$BA$24/12,IF(AND('Lease Cycles'!$AX$24&gt;=INDEX('Lease Cycles'!$BG$24:$BM$24,1,AL282),'Lease Cycles'!$AX$24&lt;=AL$6),'Lease Cycles'!$C$24*'Lease Cycles'!$AY$24/12,IF(AND('Lease Cycles'!$AV$24&gt;=INDEX('Lease Cycles'!$BG$24:$BM$24,1,AL282),'Lease Cycles'!$AV$24&lt;=AL$6),'Lease Cycles'!$C$24*'Lease Cycles'!$AW$24/12,IF(AND('Lease Cycles'!$AT$24&gt;=INDEX('Lease Cycles'!$BG$24:$BM$24,1,AL282),'Lease Cycles'!$AT$24&lt;=AL$6),'Lease Cycles'!$C$24*'Lease Cycles'!$AU$24/12,'Lease Cycles'!$C$24*INDEX('Lease Cycles'!$CB$24:$CH$24,1,AL282)*(1+INDEX('Lease Cycles'!$CI$24:$CO$24,1,AL282))^INT(INT(AL283/12)/INDEX('Lease Cycles'!$CP$24:$CV$24,1,AL282))/12)))),'Lease Cycles'!$C$24*INDEX('Lease Cycles'!$CB$24:$CH$24,1,AL282)*(1+INDEX('Lease Cycles'!$CI$24:$CO$24,1,AL282))^INT(INT(AL283/12)/INDEX('Lease Cycles'!$CP$24:$CV$24,1,AL282))/12))),IF('Lease Cycles'!$N$24=1,'Lease Cycles'!$C$24*'Lease Cycles'!$E$24*INDEX('Lease Cycles'!$HE$24:$HK$24,1,AL282)*(1+INDEX('Lease Cycles'!$GQ$24:$GW$24,1,AL282))^INT(INT((AL$6-INDEX('Lease Cycles'!$GJ$24:$GP$24,1,AL282))/12)/INDEX('Lease Cycles'!$GX$24:$HD$24,1,AL282))/12,0)))</f>
        <v>0</v>
      </c>
      <c r="AM285" s="28">
        <f>IF(AM282=0,IF('Lease Cycles'!$F$24&gt;0,'Lease Cycles'!$C$24*'Lease Cycles'!$E$24/12,0),IF(AM284=1,IF('Lease Cycles'!$AT$24&gt;=9999,'Lease Cycles'!$C$24*INDEX('Lease Cycles'!$CB$24:$CH$24,1,AM282)*(1+INDEX('Lease Cycles'!$CI$24:$CO$24,1,AM282))^INT(INT(AM283/12)/INDEX('Lease Cycles'!$CP$24:$CV$24,1,AM282))/12,IF(AM282=1,IF(AM283&gt;=INDEX('Lease Cycles'!$DK$24:$DQ$24,1,AM282),IF(AM$6&gt;='Lease Cycles'!$AZ$24,'Lease Cycles'!$C$24*'Lease Cycles'!$BA$24/12,IF(AM$6&gt;='Lease Cycles'!$AX$24,'Lease Cycles'!$C$24*'Lease Cycles'!$AY$24/12,IF(AM$6&gt;='Lease Cycles'!$AV$24,'Lease Cycles'!$C$24*'Lease Cycles'!$AW$24/12,IF(AM$6&gt;='Lease Cycles'!$AT$24,'Lease Cycles'!$C$24*'Lease Cycles'!$AU$24/12,'Lease Cycles'!$C$24*INDEX('Lease Cycles'!$CB$24:$CH$24,1,AM282)*(1+INDEX('Lease Cycles'!$CI$24:$CO$24,1,AM282))^INT(INT(AM283/12)/INDEX('Lease Cycles'!$CP$24:$CV$24,1,AM282))/12)))),'Lease Cycles'!$C$24*INDEX('Lease Cycles'!$CB$24:$CH$24,1,AM282)*(1+INDEX('Lease Cycles'!$CI$24:$CO$24,1,AM282))^INT(INT(AM283/12)/INDEX('Lease Cycles'!$CP$24:$CV$24,1,AM282))/12),IF(INDEX('Lease Cycles'!$EF$24:$EL$24,1,AM282)=1,IF(AND('Lease Cycles'!$AZ$24&gt;=INDEX('Lease Cycles'!$BG$24:$BM$24,1,AM282),'Lease Cycles'!$AZ$24&lt;=AM$6),'Lease Cycles'!$C$24*'Lease Cycles'!$BA$24/12,IF(AND('Lease Cycles'!$AX$24&gt;=INDEX('Lease Cycles'!$BG$24:$BM$24,1,AM282),'Lease Cycles'!$AX$24&lt;=AM$6),'Lease Cycles'!$C$24*'Lease Cycles'!$AY$24/12,IF(AND('Lease Cycles'!$AV$24&gt;=INDEX('Lease Cycles'!$BG$24:$BM$24,1,AM282),'Lease Cycles'!$AV$24&lt;=AM$6),'Lease Cycles'!$C$24*'Lease Cycles'!$AW$24/12,IF(AND('Lease Cycles'!$AT$24&gt;=INDEX('Lease Cycles'!$BG$24:$BM$24,1,AM282),'Lease Cycles'!$AT$24&lt;=AM$6),'Lease Cycles'!$C$24*'Lease Cycles'!$AU$24/12,'Lease Cycles'!$C$24*INDEX('Lease Cycles'!$CB$24:$CH$24,1,AM282)*(1+INDEX('Lease Cycles'!$CI$24:$CO$24,1,AM282))^INT(INT(AM283/12)/INDEX('Lease Cycles'!$CP$24:$CV$24,1,AM282))/12)))),'Lease Cycles'!$C$24*INDEX('Lease Cycles'!$CB$24:$CH$24,1,AM282)*(1+INDEX('Lease Cycles'!$CI$24:$CO$24,1,AM282))^INT(INT(AM283/12)/INDEX('Lease Cycles'!$CP$24:$CV$24,1,AM282))/12))),IF('Lease Cycles'!$N$24=1,'Lease Cycles'!$C$24*'Lease Cycles'!$E$24*INDEX('Lease Cycles'!$HE$24:$HK$24,1,AM282)*(1+INDEX('Lease Cycles'!$GQ$24:$GW$24,1,AM282))^INT(INT((AM$6-INDEX('Lease Cycles'!$GJ$24:$GP$24,1,AM282))/12)/INDEX('Lease Cycles'!$GX$24:$HD$24,1,AM282))/12,0)))</f>
        <v>0</v>
      </c>
      <c r="AN285" s="28">
        <f>IF(AN282=0,IF('Lease Cycles'!$F$24&gt;0,'Lease Cycles'!$C$24*'Lease Cycles'!$E$24/12,0),IF(AN284=1,IF('Lease Cycles'!$AT$24&gt;=9999,'Lease Cycles'!$C$24*INDEX('Lease Cycles'!$CB$24:$CH$24,1,AN282)*(1+INDEX('Lease Cycles'!$CI$24:$CO$24,1,AN282))^INT(INT(AN283/12)/INDEX('Lease Cycles'!$CP$24:$CV$24,1,AN282))/12,IF(AN282=1,IF(AN283&gt;=INDEX('Lease Cycles'!$DK$24:$DQ$24,1,AN282),IF(AN$6&gt;='Lease Cycles'!$AZ$24,'Lease Cycles'!$C$24*'Lease Cycles'!$BA$24/12,IF(AN$6&gt;='Lease Cycles'!$AX$24,'Lease Cycles'!$C$24*'Lease Cycles'!$AY$24/12,IF(AN$6&gt;='Lease Cycles'!$AV$24,'Lease Cycles'!$C$24*'Lease Cycles'!$AW$24/12,IF(AN$6&gt;='Lease Cycles'!$AT$24,'Lease Cycles'!$C$24*'Lease Cycles'!$AU$24/12,'Lease Cycles'!$C$24*INDEX('Lease Cycles'!$CB$24:$CH$24,1,AN282)*(1+INDEX('Lease Cycles'!$CI$24:$CO$24,1,AN282))^INT(INT(AN283/12)/INDEX('Lease Cycles'!$CP$24:$CV$24,1,AN282))/12)))),'Lease Cycles'!$C$24*INDEX('Lease Cycles'!$CB$24:$CH$24,1,AN282)*(1+INDEX('Lease Cycles'!$CI$24:$CO$24,1,AN282))^INT(INT(AN283/12)/INDEX('Lease Cycles'!$CP$24:$CV$24,1,AN282))/12),IF(INDEX('Lease Cycles'!$EF$24:$EL$24,1,AN282)=1,IF(AND('Lease Cycles'!$AZ$24&gt;=INDEX('Lease Cycles'!$BG$24:$BM$24,1,AN282),'Lease Cycles'!$AZ$24&lt;=AN$6),'Lease Cycles'!$C$24*'Lease Cycles'!$BA$24/12,IF(AND('Lease Cycles'!$AX$24&gt;=INDEX('Lease Cycles'!$BG$24:$BM$24,1,AN282),'Lease Cycles'!$AX$24&lt;=AN$6),'Lease Cycles'!$C$24*'Lease Cycles'!$AY$24/12,IF(AND('Lease Cycles'!$AV$24&gt;=INDEX('Lease Cycles'!$BG$24:$BM$24,1,AN282),'Lease Cycles'!$AV$24&lt;=AN$6),'Lease Cycles'!$C$24*'Lease Cycles'!$AW$24/12,IF(AND('Lease Cycles'!$AT$24&gt;=INDEX('Lease Cycles'!$BG$24:$BM$24,1,AN282),'Lease Cycles'!$AT$24&lt;=AN$6),'Lease Cycles'!$C$24*'Lease Cycles'!$AU$24/12,'Lease Cycles'!$C$24*INDEX('Lease Cycles'!$CB$24:$CH$24,1,AN282)*(1+INDEX('Lease Cycles'!$CI$24:$CO$24,1,AN282))^INT(INT(AN283/12)/INDEX('Lease Cycles'!$CP$24:$CV$24,1,AN282))/12)))),'Lease Cycles'!$C$24*INDEX('Lease Cycles'!$CB$24:$CH$24,1,AN282)*(1+INDEX('Lease Cycles'!$CI$24:$CO$24,1,AN282))^INT(INT(AN283/12)/INDEX('Lease Cycles'!$CP$24:$CV$24,1,AN282))/12))),IF('Lease Cycles'!$N$24=1,'Lease Cycles'!$C$24*'Lease Cycles'!$E$24*INDEX('Lease Cycles'!$HE$24:$HK$24,1,AN282)*(1+INDEX('Lease Cycles'!$GQ$24:$GW$24,1,AN282))^INT(INT((AN$6-INDEX('Lease Cycles'!$GJ$24:$GP$24,1,AN282))/12)/INDEX('Lease Cycles'!$GX$24:$HD$24,1,AN282))/12,0)))</f>
        <v>0</v>
      </c>
      <c r="AO285" s="28">
        <f>IF(AO282=0,IF('Lease Cycles'!$F$24&gt;0,'Lease Cycles'!$C$24*'Lease Cycles'!$E$24/12,0),IF(AO284=1,IF('Lease Cycles'!$AT$24&gt;=9999,'Lease Cycles'!$C$24*INDEX('Lease Cycles'!$CB$24:$CH$24,1,AO282)*(1+INDEX('Lease Cycles'!$CI$24:$CO$24,1,AO282))^INT(INT(AO283/12)/INDEX('Lease Cycles'!$CP$24:$CV$24,1,AO282))/12,IF(AO282=1,IF(AO283&gt;=INDEX('Lease Cycles'!$DK$24:$DQ$24,1,AO282),IF(AO$6&gt;='Lease Cycles'!$AZ$24,'Lease Cycles'!$C$24*'Lease Cycles'!$BA$24/12,IF(AO$6&gt;='Lease Cycles'!$AX$24,'Lease Cycles'!$C$24*'Lease Cycles'!$AY$24/12,IF(AO$6&gt;='Lease Cycles'!$AV$24,'Lease Cycles'!$C$24*'Lease Cycles'!$AW$24/12,IF(AO$6&gt;='Lease Cycles'!$AT$24,'Lease Cycles'!$C$24*'Lease Cycles'!$AU$24/12,'Lease Cycles'!$C$24*INDEX('Lease Cycles'!$CB$24:$CH$24,1,AO282)*(1+INDEX('Lease Cycles'!$CI$24:$CO$24,1,AO282))^INT(INT(AO283/12)/INDEX('Lease Cycles'!$CP$24:$CV$24,1,AO282))/12)))),'Lease Cycles'!$C$24*INDEX('Lease Cycles'!$CB$24:$CH$24,1,AO282)*(1+INDEX('Lease Cycles'!$CI$24:$CO$24,1,AO282))^INT(INT(AO283/12)/INDEX('Lease Cycles'!$CP$24:$CV$24,1,AO282))/12),IF(INDEX('Lease Cycles'!$EF$24:$EL$24,1,AO282)=1,IF(AND('Lease Cycles'!$AZ$24&gt;=INDEX('Lease Cycles'!$BG$24:$BM$24,1,AO282),'Lease Cycles'!$AZ$24&lt;=AO$6),'Lease Cycles'!$C$24*'Lease Cycles'!$BA$24/12,IF(AND('Lease Cycles'!$AX$24&gt;=INDEX('Lease Cycles'!$BG$24:$BM$24,1,AO282),'Lease Cycles'!$AX$24&lt;=AO$6),'Lease Cycles'!$C$24*'Lease Cycles'!$AY$24/12,IF(AND('Lease Cycles'!$AV$24&gt;=INDEX('Lease Cycles'!$BG$24:$BM$24,1,AO282),'Lease Cycles'!$AV$24&lt;=AO$6),'Lease Cycles'!$C$24*'Lease Cycles'!$AW$24/12,IF(AND('Lease Cycles'!$AT$24&gt;=INDEX('Lease Cycles'!$BG$24:$BM$24,1,AO282),'Lease Cycles'!$AT$24&lt;=AO$6),'Lease Cycles'!$C$24*'Lease Cycles'!$AU$24/12,'Lease Cycles'!$C$24*INDEX('Lease Cycles'!$CB$24:$CH$24,1,AO282)*(1+INDEX('Lease Cycles'!$CI$24:$CO$24,1,AO282))^INT(INT(AO283/12)/INDEX('Lease Cycles'!$CP$24:$CV$24,1,AO282))/12)))),'Lease Cycles'!$C$24*INDEX('Lease Cycles'!$CB$24:$CH$24,1,AO282)*(1+INDEX('Lease Cycles'!$CI$24:$CO$24,1,AO282))^INT(INT(AO283/12)/INDEX('Lease Cycles'!$CP$24:$CV$24,1,AO282))/12))),IF('Lease Cycles'!$N$24=1,'Lease Cycles'!$C$24*'Lease Cycles'!$E$24*INDEX('Lease Cycles'!$HE$24:$HK$24,1,AO282)*(1+INDEX('Lease Cycles'!$GQ$24:$GW$24,1,AO282))^INT(INT((AO$6-INDEX('Lease Cycles'!$GJ$24:$GP$24,1,AO282))/12)/INDEX('Lease Cycles'!$GX$24:$HD$24,1,AO282))/12,0)))</f>
        <v>0</v>
      </c>
      <c r="AP285" s="28">
        <f>IF(AP282=0,IF('Lease Cycles'!$F$24&gt;0,'Lease Cycles'!$C$24*'Lease Cycles'!$E$24/12,0),IF(AP284=1,IF('Lease Cycles'!$AT$24&gt;=9999,'Lease Cycles'!$C$24*INDEX('Lease Cycles'!$CB$24:$CH$24,1,AP282)*(1+INDEX('Lease Cycles'!$CI$24:$CO$24,1,AP282))^INT(INT(AP283/12)/INDEX('Lease Cycles'!$CP$24:$CV$24,1,AP282))/12,IF(AP282=1,IF(AP283&gt;=INDEX('Lease Cycles'!$DK$24:$DQ$24,1,AP282),IF(AP$6&gt;='Lease Cycles'!$AZ$24,'Lease Cycles'!$C$24*'Lease Cycles'!$BA$24/12,IF(AP$6&gt;='Lease Cycles'!$AX$24,'Lease Cycles'!$C$24*'Lease Cycles'!$AY$24/12,IF(AP$6&gt;='Lease Cycles'!$AV$24,'Lease Cycles'!$C$24*'Lease Cycles'!$AW$24/12,IF(AP$6&gt;='Lease Cycles'!$AT$24,'Lease Cycles'!$C$24*'Lease Cycles'!$AU$24/12,'Lease Cycles'!$C$24*INDEX('Lease Cycles'!$CB$24:$CH$24,1,AP282)*(1+INDEX('Lease Cycles'!$CI$24:$CO$24,1,AP282))^INT(INT(AP283/12)/INDEX('Lease Cycles'!$CP$24:$CV$24,1,AP282))/12)))),'Lease Cycles'!$C$24*INDEX('Lease Cycles'!$CB$24:$CH$24,1,AP282)*(1+INDEX('Lease Cycles'!$CI$24:$CO$24,1,AP282))^INT(INT(AP283/12)/INDEX('Lease Cycles'!$CP$24:$CV$24,1,AP282))/12),IF(INDEX('Lease Cycles'!$EF$24:$EL$24,1,AP282)=1,IF(AND('Lease Cycles'!$AZ$24&gt;=INDEX('Lease Cycles'!$BG$24:$BM$24,1,AP282),'Lease Cycles'!$AZ$24&lt;=AP$6),'Lease Cycles'!$C$24*'Lease Cycles'!$BA$24/12,IF(AND('Lease Cycles'!$AX$24&gt;=INDEX('Lease Cycles'!$BG$24:$BM$24,1,AP282),'Lease Cycles'!$AX$24&lt;=AP$6),'Lease Cycles'!$C$24*'Lease Cycles'!$AY$24/12,IF(AND('Lease Cycles'!$AV$24&gt;=INDEX('Lease Cycles'!$BG$24:$BM$24,1,AP282),'Lease Cycles'!$AV$24&lt;=AP$6),'Lease Cycles'!$C$24*'Lease Cycles'!$AW$24/12,IF(AND('Lease Cycles'!$AT$24&gt;=INDEX('Lease Cycles'!$BG$24:$BM$24,1,AP282),'Lease Cycles'!$AT$24&lt;=AP$6),'Lease Cycles'!$C$24*'Lease Cycles'!$AU$24/12,'Lease Cycles'!$C$24*INDEX('Lease Cycles'!$CB$24:$CH$24,1,AP282)*(1+INDEX('Lease Cycles'!$CI$24:$CO$24,1,AP282))^INT(INT(AP283/12)/INDEX('Lease Cycles'!$CP$24:$CV$24,1,AP282))/12)))),'Lease Cycles'!$C$24*INDEX('Lease Cycles'!$CB$24:$CH$24,1,AP282)*(1+INDEX('Lease Cycles'!$CI$24:$CO$24,1,AP282))^INT(INT(AP283/12)/INDEX('Lease Cycles'!$CP$24:$CV$24,1,AP282))/12))),IF('Lease Cycles'!$N$24=1,'Lease Cycles'!$C$24*'Lease Cycles'!$E$24*INDEX('Lease Cycles'!$HE$24:$HK$24,1,AP282)*(1+INDEX('Lease Cycles'!$GQ$24:$GW$24,1,AP282))^INT(INT((AP$6-INDEX('Lease Cycles'!$GJ$24:$GP$24,1,AP282))/12)/INDEX('Lease Cycles'!$GX$24:$HD$24,1,AP282))/12,0)))</f>
        <v>0</v>
      </c>
      <c r="AQ285" s="28">
        <f>IF(AQ282=0,IF('Lease Cycles'!$F$24&gt;0,'Lease Cycles'!$C$24*'Lease Cycles'!$E$24/12,0),IF(AQ284=1,IF('Lease Cycles'!$AT$24&gt;=9999,'Lease Cycles'!$C$24*INDEX('Lease Cycles'!$CB$24:$CH$24,1,AQ282)*(1+INDEX('Lease Cycles'!$CI$24:$CO$24,1,AQ282))^INT(INT(AQ283/12)/INDEX('Lease Cycles'!$CP$24:$CV$24,1,AQ282))/12,IF(AQ282=1,IF(AQ283&gt;=INDEX('Lease Cycles'!$DK$24:$DQ$24,1,AQ282),IF(AQ$6&gt;='Lease Cycles'!$AZ$24,'Lease Cycles'!$C$24*'Lease Cycles'!$BA$24/12,IF(AQ$6&gt;='Lease Cycles'!$AX$24,'Lease Cycles'!$C$24*'Lease Cycles'!$AY$24/12,IF(AQ$6&gt;='Lease Cycles'!$AV$24,'Lease Cycles'!$C$24*'Lease Cycles'!$AW$24/12,IF(AQ$6&gt;='Lease Cycles'!$AT$24,'Lease Cycles'!$C$24*'Lease Cycles'!$AU$24/12,'Lease Cycles'!$C$24*INDEX('Lease Cycles'!$CB$24:$CH$24,1,AQ282)*(1+INDEX('Lease Cycles'!$CI$24:$CO$24,1,AQ282))^INT(INT(AQ283/12)/INDEX('Lease Cycles'!$CP$24:$CV$24,1,AQ282))/12)))),'Lease Cycles'!$C$24*INDEX('Lease Cycles'!$CB$24:$CH$24,1,AQ282)*(1+INDEX('Lease Cycles'!$CI$24:$CO$24,1,AQ282))^INT(INT(AQ283/12)/INDEX('Lease Cycles'!$CP$24:$CV$24,1,AQ282))/12),IF(INDEX('Lease Cycles'!$EF$24:$EL$24,1,AQ282)=1,IF(AND('Lease Cycles'!$AZ$24&gt;=INDEX('Lease Cycles'!$BG$24:$BM$24,1,AQ282),'Lease Cycles'!$AZ$24&lt;=AQ$6),'Lease Cycles'!$C$24*'Lease Cycles'!$BA$24/12,IF(AND('Lease Cycles'!$AX$24&gt;=INDEX('Lease Cycles'!$BG$24:$BM$24,1,AQ282),'Lease Cycles'!$AX$24&lt;=AQ$6),'Lease Cycles'!$C$24*'Lease Cycles'!$AY$24/12,IF(AND('Lease Cycles'!$AV$24&gt;=INDEX('Lease Cycles'!$BG$24:$BM$24,1,AQ282),'Lease Cycles'!$AV$24&lt;=AQ$6),'Lease Cycles'!$C$24*'Lease Cycles'!$AW$24/12,IF(AND('Lease Cycles'!$AT$24&gt;=INDEX('Lease Cycles'!$BG$24:$BM$24,1,AQ282),'Lease Cycles'!$AT$24&lt;=AQ$6),'Lease Cycles'!$C$24*'Lease Cycles'!$AU$24/12,'Lease Cycles'!$C$24*INDEX('Lease Cycles'!$CB$24:$CH$24,1,AQ282)*(1+INDEX('Lease Cycles'!$CI$24:$CO$24,1,AQ282))^INT(INT(AQ283/12)/INDEX('Lease Cycles'!$CP$24:$CV$24,1,AQ282))/12)))),'Lease Cycles'!$C$24*INDEX('Lease Cycles'!$CB$24:$CH$24,1,AQ282)*(1+INDEX('Lease Cycles'!$CI$24:$CO$24,1,AQ282))^INT(INT(AQ283/12)/INDEX('Lease Cycles'!$CP$24:$CV$24,1,AQ282))/12))),IF('Lease Cycles'!$N$24=1,'Lease Cycles'!$C$24*'Lease Cycles'!$E$24*INDEX('Lease Cycles'!$HE$24:$HK$24,1,AQ282)*(1+INDEX('Lease Cycles'!$GQ$24:$GW$24,1,AQ282))^INT(INT((AQ$6-INDEX('Lease Cycles'!$GJ$24:$GP$24,1,AQ282))/12)/INDEX('Lease Cycles'!$GX$24:$HD$24,1,AQ282))/12,0)))</f>
        <v>0</v>
      </c>
      <c r="AR285" s="28">
        <f>IF(AR282=0,IF('Lease Cycles'!$F$24&gt;0,'Lease Cycles'!$C$24*'Lease Cycles'!$E$24/12,0),IF(AR284=1,IF('Lease Cycles'!$AT$24&gt;=9999,'Lease Cycles'!$C$24*INDEX('Lease Cycles'!$CB$24:$CH$24,1,AR282)*(1+INDEX('Lease Cycles'!$CI$24:$CO$24,1,AR282))^INT(INT(AR283/12)/INDEX('Lease Cycles'!$CP$24:$CV$24,1,AR282))/12,IF(AR282=1,IF(AR283&gt;=INDEX('Lease Cycles'!$DK$24:$DQ$24,1,AR282),IF(AR$6&gt;='Lease Cycles'!$AZ$24,'Lease Cycles'!$C$24*'Lease Cycles'!$BA$24/12,IF(AR$6&gt;='Lease Cycles'!$AX$24,'Lease Cycles'!$C$24*'Lease Cycles'!$AY$24/12,IF(AR$6&gt;='Lease Cycles'!$AV$24,'Lease Cycles'!$C$24*'Lease Cycles'!$AW$24/12,IF(AR$6&gt;='Lease Cycles'!$AT$24,'Lease Cycles'!$C$24*'Lease Cycles'!$AU$24/12,'Lease Cycles'!$C$24*INDEX('Lease Cycles'!$CB$24:$CH$24,1,AR282)*(1+INDEX('Lease Cycles'!$CI$24:$CO$24,1,AR282))^INT(INT(AR283/12)/INDEX('Lease Cycles'!$CP$24:$CV$24,1,AR282))/12)))),'Lease Cycles'!$C$24*INDEX('Lease Cycles'!$CB$24:$CH$24,1,AR282)*(1+INDEX('Lease Cycles'!$CI$24:$CO$24,1,AR282))^INT(INT(AR283/12)/INDEX('Lease Cycles'!$CP$24:$CV$24,1,AR282))/12),IF(INDEX('Lease Cycles'!$EF$24:$EL$24,1,AR282)=1,IF(AND('Lease Cycles'!$AZ$24&gt;=INDEX('Lease Cycles'!$BG$24:$BM$24,1,AR282),'Lease Cycles'!$AZ$24&lt;=AR$6),'Lease Cycles'!$C$24*'Lease Cycles'!$BA$24/12,IF(AND('Lease Cycles'!$AX$24&gt;=INDEX('Lease Cycles'!$BG$24:$BM$24,1,AR282),'Lease Cycles'!$AX$24&lt;=AR$6),'Lease Cycles'!$C$24*'Lease Cycles'!$AY$24/12,IF(AND('Lease Cycles'!$AV$24&gt;=INDEX('Lease Cycles'!$BG$24:$BM$24,1,AR282),'Lease Cycles'!$AV$24&lt;=AR$6),'Lease Cycles'!$C$24*'Lease Cycles'!$AW$24/12,IF(AND('Lease Cycles'!$AT$24&gt;=INDEX('Lease Cycles'!$BG$24:$BM$24,1,AR282),'Lease Cycles'!$AT$24&lt;=AR$6),'Lease Cycles'!$C$24*'Lease Cycles'!$AU$24/12,'Lease Cycles'!$C$24*INDEX('Lease Cycles'!$CB$24:$CH$24,1,AR282)*(1+INDEX('Lease Cycles'!$CI$24:$CO$24,1,AR282))^INT(INT(AR283/12)/INDEX('Lease Cycles'!$CP$24:$CV$24,1,AR282))/12)))),'Lease Cycles'!$C$24*INDEX('Lease Cycles'!$CB$24:$CH$24,1,AR282)*(1+INDEX('Lease Cycles'!$CI$24:$CO$24,1,AR282))^INT(INT(AR283/12)/INDEX('Lease Cycles'!$CP$24:$CV$24,1,AR282))/12))),IF('Lease Cycles'!$N$24=1,'Lease Cycles'!$C$24*'Lease Cycles'!$E$24*INDEX('Lease Cycles'!$HE$24:$HK$24,1,AR282)*(1+INDEX('Lease Cycles'!$GQ$24:$GW$24,1,AR282))^INT(INT((AR$6-INDEX('Lease Cycles'!$GJ$24:$GP$24,1,AR282))/12)/INDEX('Lease Cycles'!$GX$24:$HD$24,1,AR282))/12,0)))</f>
        <v>0</v>
      </c>
      <c r="AS285" s="28">
        <f>IF(AS282=0,IF('Lease Cycles'!$F$24&gt;0,'Lease Cycles'!$C$24*'Lease Cycles'!$E$24/12,0),IF(AS284=1,IF('Lease Cycles'!$AT$24&gt;=9999,'Lease Cycles'!$C$24*INDEX('Lease Cycles'!$CB$24:$CH$24,1,AS282)*(1+INDEX('Lease Cycles'!$CI$24:$CO$24,1,AS282))^INT(INT(AS283/12)/INDEX('Lease Cycles'!$CP$24:$CV$24,1,AS282))/12,IF(AS282=1,IF(AS283&gt;=INDEX('Lease Cycles'!$DK$24:$DQ$24,1,AS282),IF(AS$6&gt;='Lease Cycles'!$AZ$24,'Lease Cycles'!$C$24*'Lease Cycles'!$BA$24/12,IF(AS$6&gt;='Lease Cycles'!$AX$24,'Lease Cycles'!$C$24*'Lease Cycles'!$AY$24/12,IF(AS$6&gt;='Lease Cycles'!$AV$24,'Lease Cycles'!$C$24*'Lease Cycles'!$AW$24/12,IF(AS$6&gt;='Lease Cycles'!$AT$24,'Lease Cycles'!$C$24*'Lease Cycles'!$AU$24/12,'Lease Cycles'!$C$24*INDEX('Lease Cycles'!$CB$24:$CH$24,1,AS282)*(1+INDEX('Lease Cycles'!$CI$24:$CO$24,1,AS282))^INT(INT(AS283/12)/INDEX('Lease Cycles'!$CP$24:$CV$24,1,AS282))/12)))),'Lease Cycles'!$C$24*INDEX('Lease Cycles'!$CB$24:$CH$24,1,AS282)*(1+INDEX('Lease Cycles'!$CI$24:$CO$24,1,AS282))^INT(INT(AS283/12)/INDEX('Lease Cycles'!$CP$24:$CV$24,1,AS282))/12),IF(INDEX('Lease Cycles'!$EF$24:$EL$24,1,AS282)=1,IF(AND('Lease Cycles'!$AZ$24&gt;=INDEX('Lease Cycles'!$BG$24:$BM$24,1,AS282),'Lease Cycles'!$AZ$24&lt;=AS$6),'Lease Cycles'!$C$24*'Lease Cycles'!$BA$24/12,IF(AND('Lease Cycles'!$AX$24&gt;=INDEX('Lease Cycles'!$BG$24:$BM$24,1,AS282),'Lease Cycles'!$AX$24&lt;=AS$6),'Lease Cycles'!$C$24*'Lease Cycles'!$AY$24/12,IF(AND('Lease Cycles'!$AV$24&gt;=INDEX('Lease Cycles'!$BG$24:$BM$24,1,AS282),'Lease Cycles'!$AV$24&lt;=AS$6),'Lease Cycles'!$C$24*'Lease Cycles'!$AW$24/12,IF(AND('Lease Cycles'!$AT$24&gt;=INDEX('Lease Cycles'!$BG$24:$BM$24,1,AS282),'Lease Cycles'!$AT$24&lt;=AS$6),'Lease Cycles'!$C$24*'Lease Cycles'!$AU$24/12,'Lease Cycles'!$C$24*INDEX('Lease Cycles'!$CB$24:$CH$24,1,AS282)*(1+INDEX('Lease Cycles'!$CI$24:$CO$24,1,AS282))^INT(INT(AS283/12)/INDEX('Lease Cycles'!$CP$24:$CV$24,1,AS282))/12)))),'Lease Cycles'!$C$24*INDEX('Lease Cycles'!$CB$24:$CH$24,1,AS282)*(1+INDEX('Lease Cycles'!$CI$24:$CO$24,1,AS282))^INT(INT(AS283/12)/INDEX('Lease Cycles'!$CP$24:$CV$24,1,AS282))/12))),IF('Lease Cycles'!$N$24=1,'Lease Cycles'!$C$24*'Lease Cycles'!$E$24*INDEX('Lease Cycles'!$HE$24:$HK$24,1,AS282)*(1+INDEX('Lease Cycles'!$GQ$24:$GW$24,1,AS282))^INT(INT((AS$6-INDEX('Lease Cycles'!$GJ$24:$GP$24,1,AS282))/12)/INDEX('Lease Cycles'!$GX$24:$HD$24,1,AS282))/12,0)))</f>
        <v>0</v>
      </c>
      <c r="AT285" s="28">
        <f>IF(AT282=0,IF('Lease Cycles'!$F$24&gt;0,'Lease Cycles'!$C$24*'Lease Cycles'!$E$24/12,0),IF(AT284=1,IF('Lease Cycles'!$AT$24&gt;=9999,'Lease Cycles'!$C$24*INDEX('Lease Cycles'!$CB$24:$CH$24,1,AT282)*(1+INDEX('Lease Cycles'!$CI$24:$CO$24,1,AT282))^INT(INT(AT283/12)/INDEX('Lease Cycles'!$CP$24:$CV$24,1,AT282))/12,IF(AT282=1,IF(AT283&gt;=INDEX('Lease Cycles'!$DK$24:$DQ$24,1,AT282),IF(AT$6&gt;='Lease Cycles'!$AZ$24,'Lease Cycles'!$C$24*'Lease Cycles'!$BA$24/12,IF(AT$6&gt;='Lease Cycles'!$AX$24,'Lease Cycles'!$C$24*'Lease Cycles'!$AY$24/12,IF(AT$6&gt;='Lease Cycles'!$AV$24,'Lease Cycles'!$C$24*'Lease Cycles'!$AW$24/12,IF(AT$6&gt;='Lease Cycles'!$AT$24,'Lease Cycles'!$C$24*'Lease Cycles'!$AU$24/12,'Lease Cycles'!$C$24*INDEX('Lease Cycles'!$CB$24:$CH$24,1,AT282)*(1+INDEX('Lease Cycles'!$CI$24:$CO$24,1,AT282))^INT(INT(AT283/12)/INDEX('Lease Cycles'!$CP$24:$CV$24,1,AT282))/12)))),'Lease Cycles'!$C$24*INDEX('Lease Cycles'!$CB$24:$CH$24,1,AT282)*(1+INDEX('Lease Cycles'!$CI$24:$CO$24,1,AT282))^INT(INT(AT283/12)/INDEX('Lease Cycles'!$CP$24:$CV$24,1,AT282))/12),IF(INDEX('Lease Cycles'!$EF$24:$EL$24,1,AT282)=1,IF(AND('Lease Cycles'!$AZ$24&gt;=INDEX('Lease Cycles'!$BG$24:$BM$24,1,AT282),'Lease Cycles'!$AZ$24&lt;=AT$6),'Lease Cycles'!$C$24*'Lease Cycles'!$BA$24/12,IF(AND('Lease Cycles'!$AX$24&gt;=INDEX('Lease Cycles'!$BG$24:$BM$24,1,AT282),'Lease Cycles'!$AX$24&lt;=AT$6),'Lease Cycles'!$C$24*'Lease Cycles'!$AY$24/12,IF(AND('Lease Cycles'!$AV$24&gt;=INDEX('Lease Cycles'!$BG$24:$BM$24,1,AT282),'Lease Cycles'!$AV$24&lt;=AT$6),'Lease Cycles'!$C$24*'Lease Cycles'!$AW$24/12,IF(AND('Lease Cycles'!$AT$24&gt;=INDEX('Lease Cycles'!$BG$24:$BM$24,1,AT282),'Lease Cycles'!$AT$24&lt;=AT$6),'Lease Cycles'!$C$24*'Lease Cycles'!$AU$24/12,'Lease Cycles'!$C$24*INDEX('Lease Cycles'!$CB$24:$CH$24,1,AT282)*(1+INDEX('Lease Cycles'!$CI$24:$CO$24,1,AT282))^INT(INT(AT283/12)/INDEX('Lease Cycles'!$CP$24:$CV$24,1,AT282))/12)))),'Lease Cycles'!$C$24*INDEX('Lease Cycles'!$CB$24:$CH$24,1,AT282)*(1+INDEX('Lease Cycles'!$CI$24:$CO$24,1,AT282))^INT(INT(AT283/12)/INDEX('Lease Cycles'!$CP$24:$CV$24,1,AT282))/12))),IF('Lease Cycles'!$N$24=1,'Lease Cycles'!$C$24*'Lease Cycles'!$E$24*INDEX('Lease Cycles'!$HE$24:$HK$24,1,AT282)*(1+INDEX('Lease Cycles'!$GQ$24:$GW$24,1,AT282))^INT(INT((AT$6-INDEX('Lease Cycles'!$GJ$24:$GP$24,1,AT282))/12)/INDEX('Lease Cycles'!$GX$24:$HD$24,1,AT282))/12,0)))</f>
        <v>0</v>
      </c>
      <c r="AU285" s="28">
        <f>IF(AU282=0,IF('Lease Cycles'!$F$24&gt;0,'Lease Cycles'!$C$24*'Lease Cycles'!$E$24/12,0),IF(AU284=1,IF('Lease Cycles'!$AT$24&gt;=9999,'Lease Cycles'!$C$24*INDEX('Lease Cycles'!$CB$24:$CH$24,1,AU282)*(1+INDEX('Lease Cycles'!$CI$24:$CO$24,1,AU282))^INT(INT(AU283/12)/INDEX('Lease Cycles'!$CP$24:$CV$24,1,AU282))/12,IF(AU282=1,IF(AU283&gt;=INDEX('Lease Cycles'!$DK$24:$DQ$24,1,AU282),IF(AU$6&gt;='Lease Cycles'!$AZ$24,'Lease Cycles'!$C$24*'Lease Cycles'!$BA$24/12,IF(AU$6&gt;='Lease Cycles'!$AX$24,'Lease Cycles'!$C$24*'Lease Cycles'!$AY$24/12,IF(AU$6&gt;='Lease Cycles'!$AV$24,'Lease Cycles'!$C$24*'Lease Cycles'!$AW$24/12,IF(AU$6&gt;='Lease Cycles'!$AT$24,'Lease Cycles'!$C$24*'Lease Cycles'!$AU$24/12,'Lease Cycles'!$C$24*INDEX('Lease Cycles'!$CB$24:$CH$24,1,AU282)*(1+INDEX('Lease Cycles'!$CI$24:$CO$24,1,AU282))^INT(INT(AU283/12)/INDEX('Lease Cycles'!$CP$24:$CV$24,1,AU282))/12)))),'Lease Cycles'!$C$24*INDEX('Lease Cycles'!$CB$24:$CH$24,1,AU282)*(1+INDEX('Lease Cycles'!$CI$24:$CO$24,1,AU282))^INT(INT(AU283/12)/INDEX('Lease Cycles'!$CP$24:$CV$24,1,AU282))/12),IF(INDEX('Lease Cycles'!$EF$24:$EL$24,1,AU282)=1,IF(AND('Lease Cycles'!$AZ$24&gt;=INDEX('Lease Cycles'!$BG$24:$BM$24,1,AU282),'Lease Cycles'!$AZ$24&lt;=AU$6),'Lease Cycles'!$C$24*'Lease Cycles'!$BA$24/12,IF(AND('Lease Cycles'!$AX$24&gt;=INDEX('Lease Cycles'!$BG$24:$BM$24,1,AU282),'Lease Cycles'!$AX$24&lt;=AU$6),'Lease Cycles'!$C$24*'Lease Cycles'!$AY$24/12,IF(AND('Lease Cycles'!$AV$24&gt;=INDEX('Lease Cycles'!$BG$24:$BM$24,1,AU282),'Lease Cycles'!$AV$24&lt;=AU$6),'Lease Cycles'!$C$24*'Lease Cycles'!$AW$24/12,IF(AND('Lease Cycles'!$AT$24&gt;=INDEX('Lease Cycles'!$BG$24:$BM$24,1,AU282),'Lease Cycles'!$AT$24&lt;=AU$6),'Lease Cycles'!$C$24*'Lease Cycles'!$AU$24/12,'Lease Cycles'!$C$24*INDEX('Lease Cycles'!$CB$24:$CH$24,1,AU282)*(1+INDEX('Lease Cycles'!$CI$24:$CO$24,1,AU282))^INT(INT(AU283/12)/INDEX('Lease Cycles'!$CP$24:$CV$24,1,AU282))/12)))),'Lease Cycles'!$C$24*INDEX('Lease Cycles'!$CB$24:$CH$24,1,AU282)*(1+INDEX('Lease Cycles'!$CI$24:$CO$24,1,AU282))^INT(INT(AU283/12)/INDEX('Lease Cycles'!$CP$24:$CV$24,1,AU282))/12))),IF('Lease Cycles'!$N$24=1,'Lease Cycles'!$C$24*'Lease Cycles'!$E$24*INDEX('Lease Cycles'!$HE$24:$HK$24,1,AU282)*(1+INDEX('Lease Cycles'!$GQ$24:$GW$24,1,AU282))^INT(INT((AU$6-INDEX('Lease Cycles'!$GJ$24:$GP$24,1,AU282))/12)/INDEX('Lease Cycles'!$GX$24:$HD$24,1,AU282))/12,0)))</f>
        <v>0</v>
      </c>
      <c r="AV285" s="28">
        <f>IF(AV282=0,IF('Lease Cycles'!$F$24&gt;0,'Lease Cycles'!$C$24*'Lease Cycles'!$E$24/12,0),IF(AV284=1,IF('Lease Cycles'!$AT$24&gt;=9999,'Lease Cycles'!$C$24*INDEX('Lease Cycles'!$CB$24:$CH$24,1,AV282)*(1+INDEX('Lease Cycles'!$CI$24:$CO$24,1,AV282))^INT(INT(AV283/12)/INDEX('Lease Cycles'!$CP$24:$CV$24,1,AV282))/12,IF(AV282=1,IF(AV283&gt;=INDEX('Lease Cycles'!$DK$24:$DQ$24,1,AV282),IF(AV$6&gt;='Lease Cycles'!$AZ$24,'Lease Cycles'!$C$24*'Lease Cycles'!$BA$24/12,IF(AV$6&gt;='Lease Cycles'!$AX$24,'Lease Cycles'!$C$24*'Lease Cycles'!$AY$24/12,IF(AV$6&gt;='Lease Cycles'!$AV$24,'Lease Cycles'!$C$24*'Lease Cycles'!$AW$24/12,IF(AV$6&gt;='Lease Cycles'!$AT$24,'Lease Cycles'!$C$24*'Lease Cycles'!$AU$24/12,'Lease Cycles'!$C$24*INDEX('Lease Cycles'!$CB$24:$CH$24,1,AV282)*(1+INDEX('Lease Cycles'!$CI$24:$CO$24,1,AV282))^INT(INT(AV283/12)/INDEX('Lease Cycles'!$CP$24:$CV$24,1,AV282))/12)))),'Lease Cycles'!$C$24*INDEX('Lease Cycles'!$CB$24:$CH$24,1,AV282)*(1+INDEX('Lease Cycles'!$CI$24:$CO$24,1,AV282))^INT(INT(AV283/12)/INDEX('Lease Cycles'!$CP$24:$CV$24,1,AV282))/12),IF(INDEX('Lease Cycles'!$EF$24:$EL$24,1,AV282)=1,IF(AND('Lease Cycles'!$AZ$24&gt;=INDEX('Lease Cycles'!$BG$24:$BM$24,1,AV282),'Lease Cycles'!$AZ$24&lt;=AV$6),'Lease Cycles'!$C$24*'Lease Cycles'!$BA$24/12,IF(AND('Lease Cycles'!$AX$24&gt;=INDEX('Lease Cycles'!$BG$24:$BM$24,1,AV282),'Lease Cycles'!$AX$24&lt;=AV$6),'Lease Cycles'!$C$24*'Lease Cycles'!$AY$24/12,IF(AND('Lease Cycles'!$AV$24&gt;=INDEX('Lease Cycles'!$BG$24:$BM$24,1,AV282),'Lease Cycles'!$AV$24&lt;=AV$6),'Lease Cycles'!$C$24*'Lease Cycles'!$AW$24/12,IF(AND('Lease Cycles'!$AT$24&gt;=INDEX('Lease Cycles'!$BG$24:$BM$24,1,AV282),'Lease Cycles'!$AT$24&lt;=AV$6),'Lease Cycles'!$C$24*'Lease Cycles'!$AU$24/12,'Lease Cycles'!$C$24*INDEX('Lease Cycles'!$CB$24:$CH$24,1,AV282)*(1+INDEX('Lease Cycles'!$CI$24:$CO$24,1,AV282))^INT(INT(AV283/12)/INDEX('Lease Cycles'!$CP$24:$CV$24,1,AV282))/12)))),'Lease Cycles'!$C$24*INDEX('Lease Cycles'!$CB$24:$CH$24,1,AV282)*(1+INDEX('Lease Cycles'!$CI$24:$CO$24,1,AV282))^INT(INT(AV283/12)/INDEX('Lease Cycles'!$CP$24:$CV$24,1,AV282))/12))),IF('Lease Cycles'!$N$24=1,'Lease Cycles'!$C$24*'Lease Cycles'!$E$24*INDEX('Lease Cycles'!$HE$24:$HK$24,1,AV282)*(1+INDEX('Lease Cycles'!$GQ$24:$GW$24,1,AV282))^INT(INT((AV$6-INDEX('Lease Cycles'!$GJ$24:$GP$24,1,AV282))/12)/INDEX('Lease Cycles'!$GX$24:$HD$24,1,AV282))/12,0)))</f>
        <v>0</v>
      </c>
      <c r="AW285" s="28">
        <f>IF(AW282=0,IF('Lease Cycles'!$F$24&gt;0,'Lease Cycles'!$C$24*'Lease Cycles'!$E$24/12,0),IF(AW284=1,IF('Lease Cycles'!$AT$24&gt;=9999,'Lease Cycles'!$C$24*INDEX('Lease Cycles'!$CB$24:$CH$24,1,AW282)*(1+INDEX('Lease Cycles'!$CI$24:$CO$24,1,AW282))^INT(INT(AW283/12)/INDEX('Lease Cycles'!$CP$24:$CV$24,1,AW282))/12,IF(AW282=1,IF(AW283&gt;=INDEX('Lease Cycles'!$DK$24:$DQ$24,1,AW282),IF(AW$6&gt;='Lease Cycles'!$AZ$24,'Lease Cycles'!$C$24*'Lease Cycles'!$BA$24/12,IF(AW$6&gt;='Lease Cycles'!$AX$24,'Lease Cycles'!$C$24*'Lease Cycles'!$AY$24/12,IF(AW$6&gt;='Lease Cycles'!$AV$24,'Lease Cycles'!$C$24*'Lease Cycles'!$AW$24/12,IF(AW$6&gt;='Lease Cycles'!$AT$24,'Lease Cycles'!$C$24*'Lease Cycles'!$AU$24/12,'Lease Cycles'!$C$24*INDEX('Lease Cycles'!$CB$24:$CH$24,1,AW282)*(1+INDEX('Lease Cycles'!$CI$24:$CO$24,1,AW282))^INT(INT(AW283/12)/INDEX('Lease Cycles'!$CP$24:$CV$24,1,AW282))/12)))),'Lease Cycles'!$C$24*INDEX('Lease Cycles'!$CB$24:$CH$24,1,AW282)*(1+INDEX('Lease Cycles'!$CI$24:$CO$24,1,AW282))^INT(INT(AW283/12)/INDEX('Lease Cycles'!$CP$24:$CV$24,1,AW282))/12),IF(INDEX('Lease Cycles'!$EF$24:$EL$24,1,AW282)=1,IF(AND('Lease Cycles'!$AZ$24&gt;=INDEX('Lease Cycles'!$BG$24:$BM$24,1,AW282),'Lease Cycles'!$AZ$24&lt;=AW$6),'Lease Cycles'!$C$24*'Lease Cycles'!$BA$24/12,IF(AND('Lease Cycles'!$AX$24&gt;=INDEX('Lease Cycles'!$BG$24:$BM$24,1,AW282),'Lease Cycles'!$AX$24&lt;=AW$6),'Lease Cycles'!$C$24*'Lease Cycles'!$AY$24/12,IF(AND('Lease Cycles'!$AV$24&gt;=INDEX('Lease Cycles'!$BG$24:$BM$24,1,AW282),'Lease Cycles'!$AV$24&lt;=AW$6),'Lease Cycles'!$C$24*'Lease Cycles'!$AW$24/12,IF(AND('Lease Cycles'!$AT$24&gt;=INDEX('Lease Cycles'!$BG$24:$BM$24,1,AW282),'Lease Cycles'!$AT$24&lt;=AW$6),'Lease Cycles'!$C$24*'Lease Cycles'!$AU$24/12,'Lease Cycles'!$C$24*INDEX('Lease Cycles'!$CB$24:$CH$24,1,AW282)*(1+INDEX('Lease Cycles'!$CI$24:$CO$24,1,AW282))^INT(INT(AW283/12)/INDEX('Lease Cycles'!$CP$24:$CV$24,1,AW282))/12)))),'Lease Cycles'!$C$24*INDEX('Lease Cycles'!$CB$24:$CH$24,1,AW282)*(1+INDEX('Lease Cycles'!$CI$24:$CO$24,1,AW282))^INT(INT(AW283/12)/INDEX('Lease Cycles'!$CP$24:$CV$24,1,AW282))/12))),IF('Lease Cycles'!$N$24=1,'Lease Cycles'!$C$24*'Lease Cycles'!$E$24*INDEX('Lease Cycles'!$HE$24:$HK$24,1,AW282)*(1+INDEX('Lease Cycles'!$GQ$24:$GW$24,1,AW282))^INT(INT((AW$6-INDEX('Lease Cycles'!$GJ$24:$GP$24,1,AW282))/12)/INDEX('Lease Cycles'!$GX$24:$HD$24,1,AW282))/12,0)))</f>
        <v>0</v>
      </c>
      <c r="AX285" s="28">
        <f>IF(AX282=0,IF('Lease Cycles'!$F$24&gt;0,'Lease Cycles'!$C$24*'Lease Cycles'!$E$24/12,0),IF(AX284=1,IF('Lease Cycles'!$AT$24&gt;=9999,'Lease Cycles'!$C$24*INDEX('Lease Cycles'!$CB$24:$CH$24,1,AX282)*(1+INDEX('Lease Cycles'!$CI$24:$CO$24,1,AX282))^INT(INT(AX283/12)/INDEX('Lease Cycles'!$CP$24:$CV$24,1,AX282))/12,IF(AX282=1,IF(AX283&gt;=INDEX('Lease Cycles'!$DK$24:$DQ$24,1,AX282),IF(AX$6&gt;='Lease Cycles'!$AZ$24,'Lease Cycles'!$C$24*'Lease Cycles'!$BA$24/12,IF(AX$6&gt;='Lease Cycles'!$AX$24,'Lease Cycles'!$C$24*'Lease Cycles'!$AY$24/12,IF(AX$6&gt;='Lease Cycles'!$AV$24,'Lease Cycles'!$C$24*'Lease Cycles'!$AW$24/12,IF(AX$6&gt;='Lease Cycles'!$AT$24,'Lease Cycles'!$C$24*'Lease Cycles'!$AU$24/12,'Lease Cycles'!$C$24*INDEX('Lease Cycles'!$CB$24:$CH$24,1,AX282)*(1+INDEX('Lease Cycles'!$CI$24:$CO$24,1,AX282))^INT(INT(AX283/12)/INDEX('Lease Cycles'!$CP$24:$CV$24,1,AX282))/12)))),'Lease Cycles'!$C$24*INDEX('Lease Cycles'!$CB$24:$CH$24,1,AX282)*(1+INDEX('Lease Cycles'!$CI$24:$CO$24,1,AX282))^INT(INT(AX283/12)/INDEX('Lease Cycles'!$CP$24:$CV$24,1,AX282))/12),IF(INDEX('Lease Cycles'!$EF$24:$EL$24,1,AX282)=1,IF(AND('Lease Cycles'!$AZ$24&gt;=INDEX('Lease Cycles'!$BG$24:$BM$24,1,AX282),'Lease Cycles'!$AZ$24&lt;=AX$6),'Lease Cycles'!$C$24*'Lease Cycles'!$BA$24/12,IF(AND('Lease Cycles'!$AX$24&gt;=INDEX('Lease Cycles'!$BG$24:$BM$24,1,AX282),'Lease Cycles'!$AX$24&lt;=AX$6),'Lease Cycles'!$C$24*'Lease Cycles'!$AY$24/12,IF(AND('Lease Cycles'!$AV$24&gt;=INDEX('Lease Cycles'!$BG$24:$BM$24,1,AX282),'Lease Cycles'!$AV$24&lt;=AX$6),'Lease Cycles'!$C$24*'Lease Cycles'!$AW$24/12,IF(AND('Lease Cycles'!$AT$24&gt;=INDEX('Lease Cycles'!$BG$24:$BM$24,1,AX282),'Lease Cycles'!$AT$24&lt;=AX$6),'Lease Cycles'!$C$24*'Lease Cycles'!$AU$24/12,'Lease Cycles'!$C$24*INDEX('Lease Cycles'!$CB$24:$CH$24,1,AX282)*(1+INDEX('Lease Cycles'!$CI$24:$CO$24,1,AX282))^INT(INT(AX283/12)/INDEX('Lease Cycles'!$CP$24:$CV$24,1,AX282))/12)))),'Lease Cycles'!$C$24*INDEX('Lease Cycles'!$CB$24:$CH$24,1,AX282)*(1+INDEX('Lease Cycles'!$CI$24:$CO$24,1,AX282))^INT(INT(AX283/12)/INDEX('Lease Cycles'!$CP$24:$CV$24,1,AX282))/12))),IF('Lease Cycles'!$N$24=1,'Lease Cycles'!$C$24*'Lease Cycles'!$E$24*INDEX('Lease Cycles'!$HE$24:$HK$24,1,AX282)*(1+INDEX('Lease Cycles'!$GQ$24:$GW$24,1,AX282))^INT(INT((AX$6-INDEX('Lease Cycles'!$GJ$24:$GP$24,1,AX282))/12)/INDEX('Lease Cycles'!$GX$24:$HD$24,1,AX282))/12,0)))</f>
        <v>0</v>
      </c>
      <c r="AY285" s="28">
        <f>IF(AY282=0,IF('Lease Cycles'!$F$24&gt;0,'Lease Cycles'!$C$24*'Lease Cycles'!$E$24/12,0),IF(AY284=1,IF('Lease Cycles'!$AT$24&gt;=9999,'Lease Cycles'!$C$24*INDEX('Lease Cycles'!$CB$24:$CH$24,1,AY282)*(1+INDEX('Lease Cycles'!$CI$24:$CO$24,1,AY282))^INT(INT(AY283/12)/INDEX('Lease Cycles'!$CP$24:$CV$24,1,AY282))/12,IF(AY282=1,IF(AY283&gt;=INDEX('Lease Cycles'!$DK$24:$DQ$24,1,AY282),IF(AY$6&gt;='Lease Cycles'!$AZ$24,'Lease Cycles'!$C$24*'Lease Cycles'!$BA$24/12,IF(AY$6&gt;='Lease Cycles'!$AX$24,'Lease Cycles'!$C$24*'Lease Cycles'!$AY$24/12,IF(AY$6&gt;='Lease Cycles'!$AV$24,'Lease Cycles'!$C$24*'Lease Cycles'!$AW$24/12,IF(AY$6&gt;='Lease Cycles'!$AT$24,'Lease Cycles'!$C$24*'Lease Cycles'!$AU$24/12,'Lease Cycles'!$C$24*INDEX('Lease Cycles'!$CB$24:$CH$24,1,AY282)*(1+INDEX('Lease Cycles'!$CI$24:$CO$24,1,AY282))^INT(INT(AY283/12)/INDEX('Lease Cycles'!$CP$24:$CV$24,1,AY282))/12)))),'Lease Cycles'!$C$24*INDEX('Lease Cycles'!$CB$24:$CH$24,1,AY282)*(1+INDEX('Lease Cycles'!$CI$24:$CO$24,1,AY282))^INT(INT(AY283/12)/INDEX('Lease Cycles'!$CP$24:$CV$24,1,AY282))/12),IF(INDEX('Lease Cycles'!$EF$24:$EL$24,1,AY282)=1,IF(AND('Lease Cycles'!$AZ$24&gt;=INDEX('Lease Cycles'!$BG$24:$BM$24,1,AY282),'Lease Cycles'!$AZ$24&lt;=AY$6),'Lease Cycles'!$C$24*'Lease Cycles'!$BA$24/12,IF(AND('Lease Cycles'!$AX$24&gt;=INDEX('Lease Cycles'!$BG$24:$BM$24,1,AY282),'Lease Cycles'!$AX$24&lt;=AY$6),'Lease Cycles'!$C$24*'Lease Cycles'!$AY$24/12,IF(AND('Lease Cycles'!$AV$24&gt;=INDEX('Lease Cycles'!$BG$24:$BM$24,1,AY282),'Lease Cycles'!$AV$24&lt;=AY$6),'Lease Cycles'!$C$24*'Lease Cycles'!$AW$24/12,IF(AND('Lease Cycles'!$AT$24&gt;=INDEX('Lease Cycles'!$BG$24:$BM$24,1,AY282),'Lease Cycles'!$AT$24&lt;=AY$6),'Lease Cycles'!$C$24*'Lease Cycles'!$AU$24/12,'Lease Cycles'!$C$24*INDEX('Lease Cycles'!$CB$24:$CH$24,1,AY282)*(1+INDEX('Lease Cycles'!$CI$24:$CO$24,1,AY282))^INT(INT(AY283/12)/INDEX('Lease Cycles'!$CP$24:$CV$24,1,AY282))/12)))),'Lease Cycles'!$C$24*INDEX('Lease Cycles'!$CB$24:$CH$24,1,AY282)*(1+INDEX('Lease Cycles'!$CI$24:$CO$24,1,AY282))^INT(INT(AY283/12)/INDEX('Lease Cycles'!$CP$24:$CV$24,1,AY282))/12))),IF('Lease Cycles'!$N$24=1,'Lease Cycles'!$C$24*'Lease Cycles'!$E$24*INDEX('Lease Cycles'!$HE$24:$HK$24,1,AY282)*(1+INDEX('Lease Cycles'!$GQ$24:$GW$24,1,AY282))^INT(INT((AY$6-INDEX('Lease Cycles'!$GJ$24:$GP$24,1,AY282))/12)/INDEX('Lease Cycles'!$GX$24:$HD$24,1,AY282))/12,0)))</f>
        <v>0</v>
      </c>
      <c r="AZ285" s="28">
        <f>IF(AZ282=0,IF('Lease Cycles'!$F$24&gt;0,'Lease Cycles'!$C$24*'Lease Cycles'!$E$24/12,0),IF(AZ284=1,IF('Lease Cycles'!$AT$24&gt;=9999,'Lease Cycles'!$C$24*INDEX('Lease Cycles'!$CB$24:$CH$24,1,AZ282)*(1+INDEX('Lease Cycles'!$CI$24:$CO$24,1,AZ282))^INT(INT(AZ283/12)/INDEX('Lease Cycles'!$CP$24:$CV$24,1,AZ282))/12,IF(AZ282=1,IF(AZ283&gt;=INDEX('Lease Cycles'!$DK$24:$DQ$24,1,AZ282),IF(AZ$6&gt;='Lease Cycles'!$AZ$24,'Lease Cycles'!$C$24*'Lease Cycles'!$BA$24/12,IF(AZ$6&gt;='Lease Cycles'!$AX$24,'Lease Cycles'!$C$24*'Lease Cycles'!$AY$24/12,IF(AZ$6&gt;='Lease Cycles'!$AV$24,'Lease Cycles'!$C$24*'Lease Cycles'!$AW$24/12,IF(AZ$6&gt;='Lease Cycles'!$AT$24,'Lease Cycles'!$C$24*'Lease Cycles'!$AU$24/12,'Lease Cycles'!$C$24*INDEX('Lease Cycles'!$CB$24:$CH$24,1,AZ282)*(1+INDEX('Lease Cycles'!$CI$24:$CO$24,1,AZ282))^INT(INT(AZ283/12)/INDEX('Lease Cycles'!$CP$24:$CV$24,1,AZ282))/12)))),'Lease Cycles'!$C$24*INDEX('Lease Cycles'!$CB$24:$CH$24,1,AZ282)*(1+INDEX('Lease Cycles'!$CI$24:$CO$24,1,AZ282))^INT(INT(AZ283/12)/INDEX('Lease Cycles'!$CP$24:$CV$24,1,AZ282))/12),IF(INDEX('Lease Cycles'!$EF$24:$EL$24,1,AZ282)=1,IF(AND('Lease Cycles'!$AZ$24&gt;=INDEX('Lease Cycles'!$BG$24:$BM$24,1,AZ282),'Lease Cycles'!$AZ$24&lt;=AZ$6),'Lease Cycles'!$C$24*'Lease Cycles'!$BA$24/12,IF(AND('Lease Cycles'!$AX$24&gt;=INDEX('Lease Cycles'!$BG$24:$BM$24,1,AZ282),'Lease Cycles'!$AX$24&lt;=AZ$6),'Lease Cycles'!$C$24*'Lease Cycles'!$AY$24/12,IF(AND('Lease Cycles'!$AV$24&gt;=INDEX('Lease Cycles'!$BG$24:$BM$24,1,AZ282),'Lease Cycles'!$AV$24&lt;=AZ$6),'Lease Cycles'!$C$24*'Lease Cycles'!$AW$24/12,IF(AND('Lease Cycles'!$AT$24&gt;=INDEX('Lease Cycles'!$BG$24:$BM$24,1,AZ282),'Lease Cycles'!$AT$24&lt;=AZ$6),'Lease Cycles'!$C$24*'Lease Cycles'!$AU$24/12,'Lease Cycles'!$C$24*INDEX('Lease Cycles'!$CB$24:$CH$24,1,AZ282)*(1+INDEX('Lease Cycles'!$CI$24:$CO$24,1,AZ282))^INT(INT(AZ283/12)/INDEX('Lease Cycles'!$CP$24:$CV$24,1,AZ282))/12)))),'Lease Cycles'!$C$24*INDEX('Lease Cycles'!$CB$24:$CH$24,1,AZ282)*(1+INDEX('Lease Cycles'!$CI$24:$CO$24,1,AZ282))^INT(INT(AZ283/12)/INDEX('Lease Cycles'!$CP$24:$CV$24,1,AZ282))/12))),IF('Lease Cycles'!$N$24=1,'Lease Cycles'!$C$24*'Lease Cycles'!$E$24*INDEX('Lease Cycles'!$HE$24:$HK$24,1,AZ282)*(1+INDEX('Lease Cycles'!$GQ$24:$GW$24,1,AZ282))^INT(INT((AZ$6-INDEX('Lease Cycles'!$GJ$24:$GP$24,1,AZ282))/12)/INDEX('Lease Cycles'!$GX$24:$HD$24,1,AZ282))/12,0)))</f>
        <v>0</v>
      </c>
      <c r="BA285" s="28">
        <f>IF(BA282=0,IF('Lease Cycles'!$F$24&gt;0,'Lease Cycles'!$C$24*'Lease Cycles'!$E$24/12,0),IF(BA284=1,IF('Lease Cycles'!$AT$24&gt;=9999,'Lease Cycles'!$C$24*INDEX('Lease Cycles'!$CB$24:$CH$24,1,BA282)*(1+INDEX('Lease Cycles'!$CI$24:$CO$24,1,BA282))^INT(INT(BA283/12)/INDEX('Lease Cycles'!$CP$24:$CV$24,1,BA282))/12,IF(BA282=1,IF(BA283&gt;=INDEX('Lease Cycles'!$DK$24:$DQ$24,1,BA282),IF(BA$6&gt;='Lease Cycles'!$AZ$24,'Lease Cycles'!$C$24*'Lease Cycles'!$BA$24/12,IF(BA$6&gt;='Lease Cycles'!$AX$24,'Lease Cycles'!$C$24*'Lease Cycles'!$AY$24/12,IF(BA$6&gt;='Lease Cycles'!$AV$24,'Lease Cycles'!$C$24*'Lease Cycles'!$AW$24/12,IF(BA$6&gt;='Lease Cycles'!$AT$24,'Lease Cycles'!$C$24*'Lease Cycles'!$AU$24/12,'Lease Cycles'!$C$24*INDEX('Lease Cycles'!$CB$24:$CH$24,1,BA282)*(1+INDEX('Lease Cycles'!$CI$24:$CO$24,1,BA282))^INT(INT(BA283/12)/INDEX('Lease Cycles'!$CP$24:$CV$24,1,BA282))/12)))),'Lease Cycles'!$C$24*INDEX('Lease Cycles'!$CB$24:$CH$24,1,BA282)*(1+INDEX('Lease Cycles'!$CI$24:$CO$24,1,BA282))^INT(INT(BA283/12)/INDEX('Lease Cycles'!$CP$24:$CV$24,1,BA282))/12),IF(INDEX('Lease Cycles'!$EF$24:$EL$24,1,BA282)=1,IF(AND('Lease Cycles'!$AZ$24&gt;=INDEX('Lease Cycles'!$BG$24:$BM$24,1,BA282),'Lease Cycles'!$AZ$24&lt;=BA$6),'Lease Cycles'!$C$24*'Lease Cycles'!$BA$24/12,IF(AND('Lease Cycles'!$AX$24&gt;=INDEX('Lease Cycles'!$BG$24:$BM$24,1,BA282),'Lease Cycles'!$AX$24&lt;=BA$6),'Lease Cycles'!$C$24*'Lease Cycles'!$AY$24/12,IF(AND('Lease Cycles'!$AV$24&gt;=INDEX('Lease Cycles'!$BG$24:$BM$24,1,BA282),'Lease Cycles'!$AV$24&lt;=BA$6),'Lease Cycles'!$C$24*'Lease Cycles'!$AW$24/12,IF(AND('Lease Cycles'!$AT$24&gt;=INDEX('Lease Cycles'!$BG$24:$BM$24,1,BA282),'Lease Cycles'!$AT$24&lt;=BA$6),'Lease Cycles'!$C$24*'Lease Cycles'!$AU$24/12,'Lease Cycles'!$C$24*INDEX('Lease Cycles'!$CB$24:$CH$24,1,BA282)*(1+INDEX('Lease Cycles'!$CI$24:$CO$24,1,BA282))^INT(INT(BA283/12)/INDEX('Lease Cycles'!$CP$24:$CV$24,1,BA282))/12)))),'Lease Cycles'!$C$24*INDEX('Lease Cycles'!$CB$24:$CH$24,1,BA282)*(1+INDEX('Lease Cycles'!$CI$24:$CO$24,1,BA282))^INT(INT(BA283/12)/INDEX('Lease Cycles'!$CP$24:$CV$24,1,BA282))/12))),IF('Lease Cycles'!$N$24=1,'Lease Cycles'!$C$24*'Lease Cycles'!$E$24*INDEX('Lease Cycles'!$HE$24:$HK$24,1,BA282)*(1+INDEX('Lease Cycles'!$GQ$24:$GW$24,1,BA282))^INT(INT((BA$6-INDEX('Lease Cycles'!$GJ$24:$GP$24,1,BA282))/12)/INDEX('Lease Cycles'!$GX$24:$HD$24,1,BA282))/12,0)))</f>
        <v>0</v>
      </c>
      <c r="BB285" s="28">
        <f>IF(BB282=0,IF('Lease Cycles'!$F$24&gt;0,'Lease Cycles'!$C$24*'Lease Cycles'!$E$24/12,0),IF(BB284=1,IF('Lease Cycles'!$AT$24&gt;=9999,'Lease Cycles'!$C$24*INDEX('Lease Cycles'!$CB$24:$CH$24,1,BB282)*(1+INDEX('Lease Cycles'!$CI$24:$CO$24,1,BB282))^INT(INT(BB283/12)/INDEX('Lease Cycles'!$CP$24:$CV$24,1,BB282))/12,IF(BB282=1,IF(BB283&gt;=INDEX('Lease Cycles'!$DK$24:$DQ$24,1,BB282),IF(BB$6&gt;='Lease Cycles'!$AZ$24,'Lease Cycles'!$C$24*'Lease Cycles'!$BA$24/12,IF(BB$6&gt;='Lease Cycles'!$AX$24,'Lease Cycles'!$C$24*'Lease Cycles'!$AY$24/12,IF(BB$6&gt;='Lease Cycles'!$AV$24,'Lease Cycles'!$C$24*'Lease Cycles'!$AW$24/12,IF(BB$6&gt;='Lease Cycles'!$AT$24,'Lease Cycles'!$C$24*'Lease Cycles'!$AU$24/12,'Lease Cycles'!$C$24*INDEX('Lease Cycles'!$CB$24:$CH$24,1,BB282)*(1+INDEX('Lease Cycles'!$CI$24:$CO$24,1,BB282))^INT(INT(BB283/12)/INDEX('Lease Cycles'!$CP$24:$CV$24,1,BB282))/12)))),'Lease Cycles'!$C$24*INDEX('Lease Cycles'!$CB$24:$CH$24,1,BB282)*(1+INDEX('Lease Cycles'!$CI$24:$CO$24,1,BB282))^INT(INT(BB283/12)/INDEX('Lease Cycles'!$CP$24:$CV$24,1,BB282))/12),IF(INDEX('Lease Cycles'!$EF$24:$EL$24,1,BB282)=1,IF(AND('Lease Cycles'!$AZ$24&gt;=INDEX('Lease Cycles'!$BG$24:$BM$24,1,BB282),'Lease Cycles'!$AZ$24&lt;=BB$6),'Lease Cycles'!$C$24*'Lease Cycles'!$BA$24/12,IF(AND('Lease Cycles'!$AX$24&gt;=INDEX('Lease Cycles'!$BG$24:$BM$24,1,BB282),'Lease Cycles'!$AX$24&lt;=BB$6),'Lease Cycles'!$C$24*'Lease Cycles'!$AY$24/12,IF(AND('Lease Cycles'!$AV$24&gt;=INDEX('Lease Cycles'!$BG$24:$BM$24,1,BB282),'Lease Cycles'!$AV$24&lt;=BB$6),'Lease Cycles'!$C$24*'Lease Cycles'!$AW$24/12,IF(AND('Lease Cycles'!$AT$24&gt;=INDEX('Lease Cycles'!$BG$24:$BM$24,1,BB282),'Lease Cycles'!$AT$24&lt;=BB$6),'Lease Cycles'!$C$24*'Lease Cycles'!$AU$24/12,'Lease Cycles'!$C$24*INDEX('Lease Cycles'!$CB$24:$CH$24,1,BB282)*(1+INDEX('Lease Cycles'!$CI$24:$CO$24,1,BB282))^INT(INT(BB283/12)/INDEX('Lease Cycles'!$CP$24:$CV$24,1,BB282))/12)))),'Lease Cycles'!$C$24*INDEX('Lease Cycles'!$CB$24:$CH$24,1,BB282)*(1+INDEX('Lease Cycles'!$CI$24:$CO$24,1,BB282))^INT(INT(BB283/12)/INDEX('Lease Cycles'!$CP$24:$CV$24,1,BB282))/12))),IF('Lease Cycles'!$N$24=1,'Lease Cycles'!$C$24*'Lease Cycles'!$E$24*INDEX('Lease Cycles'!$HE$24:$HK$24,1,BB282)*(1+INDEX('Lease Cycles'!$GQ$24:$GW$24,1,BB282))^INT(INT((BB$6-INDEX('Lease Cycles'!$GJ$24:$GP$24,1,BB282))/12)/INDEX('Lease Cycles'!$GX$24:$HD$24,1,BB282))/12,0)))</f>
        <v>0</v>
      </c>
      <c r="BC285" s="28">
        <f>IF(BC282=0,IF('Lease Cycles'!$F$24&gt;0,'Lease Cycles'!$C$24*'Lease Cycles'!$E$24/12,0),IF(BC284=1,IF('Lease Cycles'!$AT$24&gt;=9999,'Lease Cycles'!$C$24*INDEX('Lease Cycles'!$CB$24:$CH$24,1,BC282)*(1+INDEX('Lease Cycles'!$CI$24:$CO$24,1,BC282))^INT(INT(BC283/12)/INDEX('Lease Cycles'!$CP$24:$CV$24,1,BC282))/12,IF(BC282=1,IF(BC283&gt;=INDEX('Lease Cycles'!$DK$24:$DQ$24,1,BC282),IF(BC$6&gt;='Lease Cycles'!$AZ$24,'Lease Cycles'!$C$24*'Lease Cycles'!$BA$24/12,IF(BC$6&gt;='Lease Cycles'!$AX$24,'Lease Cycles'!$C$24*'Lease Cycles'!$AY$24/12,IF(BC$6&gt;='Lease Cycles'!$AV$24,'Lease Cycles'!$C$24*'Lease Cycles'!$AW$24/12,IF(BC$6&gt;='Lease Cycles'!$AT$24,'Lease Cycles'!$C$24*'Lease Cycles'!$AU$24/12,'Lease Cycles'!$C$24*INDEX('Lease Cycles'!$CB$24:$CH$24,1,BC282)*(1+INDEX('Lease Cycles'!$CI$24:$CO$24,1,BC282))^INT(INT(BC283/12)/INDEX('Lease Cycles'!$CP$24:$CV$24,1,BC282))/12)))),'Lease Cycles'!$C$24*INDEX('Lease Cycles'!$CB$24:$CH$24,1,BC282)*(1+INDEX('Lease Cycles'!$CI$24:$CO$24,1,BC282))^INT(INT(BC283/12)/INDEX('Lease Cycles'!$CP$24:$CV$24,1,BC282))/12),IF(INDEX('Lease Cycles'!$EF$24:$EL$24,1,BC282)=1,IF(AND('Lease Cycles'!$AZ$24&gt;=INDEX('Lease Cycles'!$BG$24:$BM$24,1,BC282),'Lease Cycles'!$AZ$24&lt;=BC$6),'Lease Cycles'!$C$24*'Lease Cycles'!$BA$24/12,IF(AND('Lease Cycles'!$AX$24&gt;=INDEX('Lease Cycles'!$BG$24:$BM$24,1,BC282),'Lease Cycles'!$AX$24&lt;=BC$6),'Lease Cycles'!$C$24*'Lease Cycles'!$AY$24/12,IF(AND('Lease Cycles'!$AV$24&gt;=INDEX('Lease Cycles'!$BG$24:$BM$24,1,BC282),'Lease Cycles'!$AV$24&lt;=BC$6),'Lease Cycles'!$C$24*'Lease Cycles'!$AW$24/12,IF(AND('Lease Cycles'!$AT$24&gt;=INDEX('Lease Cycles'!$BG$24:$BM$24,1,BC282),'Lease Cycles'!$AT$24&lt;=BC$6),'Lease Cycles'!$C$24*'Lease Cycles'!$AU$24/12,'Lease Cycles'!$C$24*INDEX('Lease Cycles'!$CB$24:$CH$24,1,BC282)*(1+INDEX('Lease Cycles'!$CI$24:$CO$24,1,BC282))^INT(INT(BC283/12)/INDEX('Lease Cycles'!$CP$24:$CV$24,1,BC282))/12)))),'Lease Cycles'!$C$24*INDEX('Lease Cycles'!$CB$24:$CH$24,1,BC282)*(1+INDEX('Lease Cycles'!$CI$24:$CO$24,1,BC282))^INT(INT(BC283/12)/INDEX('Lease Cycles'!$CP$24:$CV$24,1,BC282))/12))),IF('Lease Cycles'!$N$24=1,'Lease Cycles'!$C$24*'Lease Cycles'!$E$24*INDEX('Lease Cycles'!$HE$24:$HK$24,1,BC282)*(1+INDEX('Lease Cycles'!$GQ$24:$GW$24,1,BC282))^INT(INT((BC$6-INDEX('Lease Cycles'!$GJ$24:$GP$24,1,BC282))/12)/INDEX('Lease Cycles'!$GX$24:$HD$24,1,BC282))/12,0)))</f>
        <v>0</v>
      </c>
      <c r="BD285" s="28">
        <f>IF(BD282=0,IF('Lease Cycles'!$F$24&gt;0,'Lease Cycles'!$C$24*'Lease Cycles'!$E$24/12,0),IF(BD284=1,IF('Lease Cycles'!$AT$24&gt;=9999,'Lease Cycles'!$C$24*INDEX('Lease Cycles'!$CB$24:$CH$24,1,BD282)*(1+INDEX('Lease Cycles'!$CI$24:$CO$24,1,BD282))^INT(INT(BD283/12)/INDEX('Lease Cycles'!$CP$24:$CV$24,1,BD282))/12,IF(BD282=1,IF(BD283&gt;=INDEX('Lease Cycles'!$DK$24:$DQ$24,1,BD282),IF(BD$6&gt;='Lease Cycles'!$AZ$24,'Lease Cycles'!$C$24*'Lease Cycles'!$BA$24/12,IF(BD$6&gt;='Lease Cycles'!$AX$24,'Lease Cycles'!$C$24*'Lease Cycles'!$AY$24/12,IF(BD$6&gt;='Lease Cycles'!$AV$24,'Lease Cycles'!$C$24*'Lease Cycles'!$AW$24/12,IF(BD$6&gt;='Lease Cycles'!$AT$24,'Lease Cycles'!$C$24*'Lease Cycles'!$AU$24/12,'Lease Cycles'!$C$24*INDEX('Lease Cycles'!$CB$24:$CH$24,1,BD282)*(1+INDEX('Lease Cycles'!$CI$24:$CO$24,1,BD282))^INT(INT(BD283/12)/INDEX('Lease Cycles'!$CP$24:$CV$24,1,BD282))/12)))),'Lease Cycles'!$C$24*INDEX('Lease Cycles'!$CB$24:$CH$24,1,BD282)*(1+INDEX('Lease Cycles'!$CI$24:$CO$24,1,BD282))^INT(INT(BD283/12)/INDEX('Lease Cycles'!$CP$24:$CV$24,1,BD282))/12),IF(INDEX('Lease Cycles'!$EF$24:$EL$24,1,BD282)=1,IF(AND('Lease Cycles'!$AZ$24&gt;=INDEX('Lease Cycles'!$BG$24:$BM$24,1,BD282),'Lease Cycles'!$AZ$24&lt;=BD$6),'Lease Cycles'!$C$24*'Lease Cycles'!$BA$24/12,IF(AND('Lease Cycles'!$AX$24&gt;=INDEX('Lease Cycles'!$BG$24:$BM$24,1,BD282),'Lease Cycles'!$AX$24&lt;=BD$6),'Lease Cycles'!$C$24*'Lease Cycles'!$AY$24/12,IF(AND('Lease Cycles'!$AV$24&gt;=INDEX('Lease Cycles'!$BG$24:$BM$24,1,BD282),'Lease Cycles'!$AV$24&lt;=BD$6),'Lease Cycles'!$C$24*'Lease Cycles'!$AW$24/12,IF(AND('Lease Cycles'!$AT$24&gt;=INDEX('Lease Cycles'!$BG$24:$BM$24,1,BD282),'Lease Cycles'!$AT$24&lt;=BD$6),'Lease Cycles'!$C$24*'Lease Cycles'!$AU$24/12,'Lease Cycles'!$C$24*INDEX('Lease Cycles'!$CB$24:$CH$24,1,BD282)*(1+INDEX('Lease Cycles'!$CI$24:$CO$24,1,BD282))^INT(INT(BD283/12)/INDEX('Lease Cycles'!$CP$24:$CV$24,1,BD282))/12)))),'Lease Cycles'!$C$24*INDEX('Lease Cycles'!$CB$24:$CH$24,1,BD282)*(1+INDEX('Lease Cycles'!$CI$24:$CO$24,1,BD282))^INT(INT(BD283/12)/INDEX('Lease Cycles'!$CP$24:$CV$24,1,BD282))/12))),IF('Lease Cycles'!$N$24=1,'Lease Cycles'!$C$24*'Lease Cycles'!$E$24*INDEX('Lease Cycles'!$HE$24:$HK$24,1,BD282)*(1+INDEX('Lease Cycles'!$GQ$24:$GW$24,1,BD282))^INT(INT((BD$6-INDEX('Lease Cycles'!$GJ$24:$GP$24,1,BD282))/12)/INDEX('Lease Cycles'!$GX$24:$HD$24,1,BD282))/12,0)))</f>
        <v>0</v>
      </c>
      <c r="BE285" s="28">
        <f>IF(BE282=0,IF('Lease Cycles'!$F$24&gt;0,'Lease Cycles'!$C$24*'Lease Cycles'!$E$24/12,0),IF(BE284=1,IF('Lease Cycles'!$AT$24&gt;=9999,'Lease Cycles'!$C$24*INDEX('Lease Cycles'!$CB$24:$CH$24,1,BE282)*(1+INDEX('Lease Cycles'!$CI$24:$CO$24,1,BE282))^INT(INT(BE283/12)/INDEX('Lease Cycles'!$CP$24:$CV$24,1,BE282))/12,IF(BE282=1,IF(BE283&gt;=INDEX('Lease Cycles'!$DK$24:$DQ$24,1,BE282),IF(BE$6&gt;='Lease Cycles'!$AZ$24,'Lease Cycles'!$C$24*'Lease Cycles'!$BA$24/12,IF(BE$6&gt;='Lease Cycles'!$AX$24,'Lease Cycles'!$C$24*'Lease Cycles'!$AY$24/12,IF(BE$6&gt;='Lease Cycles'!$AV$24,'Lease Cycles'!$C$24*'Lease Cycles'!$AW$24/12,IF(BE$6&gt;='Lease Cycles'!$AT$24,'Lease Cycles'!$C$24*'Lease Cycles'!$AU$24/12,'Lease Cycles'!$C$24*INDEX('Lease Cycles'!$CB$24:$CH$24,1,BE282)*(1+INDEX('Lease Cycles'!$CI$24:$CO$24,1,BE282))^INT(INT(BE283/12)/INDEX('Lease Cycles'!$CP$24:$CV$24,1,BE282))/12)))),'Lease Cycles'!$C$24*INDEX('Lease Cycles'!$CB$24:$CH$24,1,BE282)*(1+INDEX('Lease Cycles'!$CI$24:$CO$24,1,BE282))^INT(INT(BE283/12)/INDEX('Lease Cycles'!$CP$24:$CV$24,1,BE282))/12),IF(INDEX('Lease Cycles'!$EF$24:$EL$24,1,BE282)=1,IF(AND('Lease Cycles'!$AZ$24&gt;=INDEX('Lease Cycles'!$BG$24:$BM$24,1,BE282),'Lease Cycles'!$AZ$24&lt;=BE$6),'Lease Cycles'!$C$24*'Lease Cycles'!$BA$24/12,IF(AND('Lease Cycles'!$AX$24&gt;=INDEX('Lease Cycles'!$BG$24:$BM$24,1,BE282),'Lease Cycles'!$AX$24&lt;=BE$6),'Lease Cycles'!$C$24*'Lease Cycles'!$AY$24/12,IF(AND('Lease Cycles'!$AV$24&gt;=INDEX('Lease Cycles'!$BG$24:$BM$24,1,BE282),'Lease Cycles'!$AV$24&lt;=BE$6),'Lease Cycles'!$C$24*'Lease Cycles'!$AW$24/12,IF(AND('Lease Cycles'!$AT$24&gt;=INDEX('Lease Cycles'!$BG$24:$BM$24,1,BE282),'Lease Cycles'!$AT$24&lt;=BE$6),'Lease Cycles'!$C$24*'Lease Cycles'!$AU$24/12,'Lease Cycles'!$C$24*INDEX('Lease Cycles'!$CB$24:$CH$24,1,BE282)*(1+INDEX('Lease Cycles'!$CI$24:$CO$24,1,BE282))^INT(INT(BE283/12)/INDEX('Lease Cycles'!$CP$24:$CV$24,1,BE282))/12)))),'Lease Cycles'!$C$24*INDEX('Lease Cycles'!$CB$24:$CH$24,1,BE282)*(1+INDEX('Lease Cycles'!$CI$24:$CO$24,1,BE282))^INT(INT(BE283/12)/INDEX('Lease Cycles'!$CP$24:$CV$24,1,BE282))/12))),IF('Lease Cycles'!$N$24=1,'Lease Cycles'!$C$24*'Lease Cycles'!$E$24*INDEX('Lease Cycles'!$HE$24:$HK$24,1,BE282)*(1+INDEX('Lease Cycles'!$GQ$24:$GW$24,1,BE282))^INT(INT((BE$6-INDEX('Lease Cycles'!$GJ$24:$GP$24,1,BE282))/12)/INDEX('Lease Cycles'!$GX$24:$HD$24,1,BE282))/12,0)))</f>
        <v>0</v>
      </c>
      <c r="BF285" s="28">
        <f>IF(BF282=0,IF('Lease Cycles'!$F$24&gt;0,'Lease Cycles'!$C$24*'Lease Cycles'!$E$24/12,0),IF(BF284=1,IF('Lease Cycles'!$AT$24&gt;=9999,'Lease Cycles'!$C$24*INDEX('Lease Cycles'!$CB$24:$CH$24,1,BF282)*(1+INDEX('Lease Cycles'!$CI$24:$CO$24,1,BF282))^INT(INT(BF283/12)/INDEX('Lease Cycles'!$CP$24:$CV$24,1,BF282))/12,IF(BF282=1,IF(BF283&gt;=INDEX('Lease Cycles'!$DK$24:$DQ$24,1,BF282),IF(BF$6&gt;='Lease Cycles'!$AZ$24,'Lease Cycles'!$C$24*'Lease Cycles'!$BA$24/12,IF(BF$6&gt;='Lease Cycles'!$AX$24,'Lease Cycles'!$C$24*'Lease Cycles'!$AY$24/12,IF(BF$6&gt;='Lease Cycles'!$AV$24,'Lease Cycles'!$C$24*'Lease Cycles'!$AW$24/12,IF(BF$6&gt;='Lease Cycles'!$AT$24,'Lease Cycles'!$C$24*'Lease Cycles'!$AU$24/12,'Lease Cycles'!$C$24*INDEX('Lease Cycles'!$CB$24:$CH$24,1,BF282)*(1+INDEX('Lease Cycles'!$CI$24:$CO$24,1,BF282))^INT(INT(BF283/12)/INDEX('Lease Cycles'!$CP$24:$CV$24,1,BF282))/12)))),'Lease Cycles'!$C$24*INDEX('Lease Cycles'!$CB$24:$CH$24,1,BF282)*(1+INDEX('Lease Cycles'!$CI$24:$CO$24,1,BF282))^INT(INT(BF283/12)/INDEX('Lease Cycles'!$CP$24:$CV$24,1,BF282))/12),IF(INDEX('Lease Cycles'!$EF$24:$EL$24,1,BF282)=1,IF(AND('Lease Cycles'!$AZ$24&gt;=INDEX('Lease Cycles'!$BG$24:$BM$24,1,BF282),'Lease Cycles'!$AZ$24&lt;=BF$6),'Lease Cycles'!$C$24*'Lease Cycles'!$BA$24/12,IF(AND('Lease Cycles'!$AX$24&gt;=INDEX('Lease Cycles'!$BG$24:$BM$24,1,BF282),'Lease Cycles'!$AX$24&lt;=BF$6),'Lease Cycles'!$C$24*'Lease Cycles'!$AY$24/12,IF(AND('Lease Cycles'!$AV$24&gt;=INDEX('Lease Cycles'!$BG$24:$BM$24,1,BF282),'Lease Cycles'!$AV$24&lt;=BF$6),'Lease Cycles'!$C$24*'Lease Cycles'!$AW$24/12,IF(AND('Lease Cycles'!$AT$24&gt;=INDEX('Lease Cycles'!$BG$24:$BM$24,1,BF282),'Lease Cycles'!$AT$24&lt;=BF$6),'Lease Cycles'!$C$24*'Lease Cycles'!$AU$24/12,'Lease Cycles'!$C$24*INDEX('Lease Cycles'!$CB$24:$CH$24,1,BF282)*(1+INDEX('Lease Cycles'!$CI$24:$CO$24,1,BF282))^INT(INT(BF283/12)/INDEX('Lease Cycles'!$CP$24:$CV$24,1,BF282))/12)))),'Lease Cycles'!$C$24*INDEX('Lease Cycles'!$CB$24:$CH$24,1,BF282)*(1+INDEX('Lease Cycles'!$CI$24:$CO$24,1,BF282))^INT(INT(BF283/12)/INDEX('Lease Cycles'!$CP$24:$CV$24,1,BF282))/12))),IF('Lease Cycles'!$N$24=1,'Lease Cycles'!$C$24*'Lease Cycles'!$E$24*INDEX('Lease Cycles'!$HE$24:$HK$24,1,BF282)*(1+INDEX('Lease Cycles'!$GQ$24:$GW$24,1,BF282))^INT(INT((BF$6-INDEX('Lease Cycles'!$GJ$24:$GP$24,1,BF282))/12)/INDEX('Lease Cycles'!$GX$24:$HD$24,1,BF282))/12,0)))</f>
        <v>0</v>
      </c>
      <c r="BG285" s="28">
        <f>IF(BG282=0,IF('Lease Cycles'!$F$24&gt;0,'Lease Cycles'!$C$24*'Lease Cycles'!$E$24/12,0),IF(BG284=1,IF('Lease Cycles'!$AT$24&gt;=9999,'Lease Cycles'!$C$24*INDEX('Lease Cycles'!$CB$24:$CH$24,1,BG282)*(1+INDEX('Lease Cycles'!$CI$24:$CO$24,1,BG282))^INT(INT(BG283/12)/INDEX('Lease Cycles'!$CP$24:$CV$24,1,BG282))/12,IF(BG282=1,IF(BG283&gt;=INDEX('Lease Cycles'!$DK$24:$DQ$24,1,BG282),IF(BG$6&gt;='Lease Cycles'!$AZ$24,'Lease Cycles'!$C$24*'Lease Cycles'!$BA$24/12,IF(BG$6&gt;='Lease Cycles'!$AX$24,'Lease Cycles'!$C$24*'Lease Cycles'!$AY$24/12,IF(BG$6&gt;='Lease Cycles'!$AV$24,'Lease Cycles'!$C$24*'Lease Cycles'!$AW$24/12,IF(BG$6&gt;='Lease Cycles'!$AT$24,'Lease Cycles'!$C$24*'Lease Cycles'!$AU$24/12,'Lease Cycles'!$C$24*INDEX('Lease Cycles'!$CB$24:$CH$24,1,BG282)*(1+INDEX('Lease Cycles'!$CI$24:$CO$24,1,BG282))^INT(INT(BG283/12)/INDEX('Lease Cycles'!$CP$24:$CV$24,1,BG282))/12)))),'Lease Cycles'!$C$24*INDEX('Lease Cycles'!$CB$24:$CH$24,1,BG282)*(1+INDEX('Lease Cycles'!$CI$24:$CO$24,1,BG282))^INT(INT(BG283/12)/INDEX('Lease Cycles'!$CP$24:$CV$24,1,BG282))/12),IF(INDEX('Lease Cycles'!$EF$24:$EL$24,1,BG282)=1,IF(AND('Lease Cycles'!$AZ$24&gt;=INDEX('Lease Cycles'!$BG$24:$BM$24,1,BG282),'Lease Cycles'!$AZ$24&lt;=BG$6),'Lease Cycles'!$C$24*'Lease Cycles'!$BA$24/12,IF(AND('Lease Cycles'!$AX$24&gt;=INDEX('Lease Cycles'!$BG$24:$BM$24,1,BG282),'Lease Cycles'!$AX$24&lt;=BG$6),'Lease Cycles'!$C$24*'Lease Cycles'!$AY$24/12,IF(AND('Lease Cycles'!$AV$24&gt;=INDEX('Lease Cycles'!$BG$24:$BM$24,1,BG282),'Lease Cycles'!$AV$24&lt;=BG$6),'Lease Cycles'!$C$24*'Lease Cycles'!$AW$24/12,IF(AND('Lease Cycles'!$AT$24&gt;=INDEX('Lease Cycles'!$BG$24:$BM$24,1,BG282),'Lease Cycles'!$AT$24&lt;=BG$6),'Lease Cycles'!$C$24*'Lease Cycles'!$AU$24/12,'Lease Cycles'!$C$24*INDEX('Lease Cycles'!$CB$24:$CH$24,1,BG282)*(1+INDEX('Lease Cycles'!$CI$24:$CO$24,1,BG282))^INT(INT(BG283/12)/INDEX('Lease Cycles'!$CP$24:$CV$24,1,BG282))/12)))),'Lease Cycles'!$C$24*INDEX('Lease Cycles'!$CB$24:$CH$24,1,BG282)*(1+INDEX('Lease Cycles'!$CI$24:$CO$24,1,BG282))^INT(INT(BG283/12)/INDEX('Lease Cycles'!$CP$24:$CV$24,1,BG282))/12))),IF('Lease Cycles'!$N$24=1,'Lease Cycles'!$C$24*'Lease Cycles'!$E$24*INDEX('Lease Cycles'!$HE$24:$HK$24,1,BG282)*(1+INDEX('Lease Cycles'!$GQ$24:$GW$24,1,BG282))^INT(INT((BG$6-INDEX('Lease Cycles'!$GJ$24:$GP$24,1,BG282))/12)/INDEX('Lease Cycles'!$GX$24:$HD$24,1,BG282))/12,0)))</f>
        <v>0</v>
      </c>
      <c r="BH285" s="28">
        <f>IF(BH282=0,IF('Lease Cycles'!$F$24&gt;0,'Lease Cycles'!$C$24*'Lease Cycles'!$E$24/12,0),IF(BH284=1,IF('Lease Cycles'!$AT$24&gt;=9999,'Lease Cycles'!$C$24*INDEX('Lease Cycles'!$CB$24:$CH$24,1,BH282)*(1+INDEX('Lease Cycles'!$CI$24:$CO$24,1,BH282))^INT(INT(BH283/12)/INDEX('Lease Cycles'!$CP$24:$CV$24,1,BH282))/12,IF(BH282=1,IF(BH283&gt;=INDEX('Lease Cycles'!$DK$24:$DQ$24,1,BH282),IF(BH$6&gt;='Lease Cycles'!$AZ$24,'Lease Cycles'!$C$24*'Lease Cycles'!$BA$24/12,IF(BH$6&gt;='Lease Cycles'!$AX$24,'Lease Cycles'!$C$24*'Lease Cycles'!$AY$24/12,IF(BH$6&gt;='Lease Cycles'!$AV$24,'Lease Cycles'!$C$24*'Lease Cycles'!$AW$24/12,IF(BH$6&gt;='Lease Cycles'!$AT$24,'Lease Cycles'!$C$24*'Lease Cycles'!$AU$24/12,'Lease Cycles'!$C$24*INDEX('Lease Cycles'!$CB$24:$CH$24,1,BH282)*(1+INDEX('Lease Cycles'!$CI$24:$CO$24,1,BH282))^INT(INT(BH283/12)/INDEX('Lease Cycles'!$CP$24:$CV$24,1,BH282))/12)))),'Lease Cycles'!$C$24*INDEX('Lease Cycles'!$CB$24:$CH$24,1,BH282)*(1+INDEX('Lease Cycles'!$CI$24:$CO$24,1,BH282))^INT(INT(BH283/12)/INDEX('Lease Cycles'!$CP$24:$CV$24,1,BH282))/12),IF(INDEX('Lease Cycles'!$EF$24:$EL$24,1,BH282)=1,IF(AND('Lease Cycles'!$AZ$24&gt;=INDEX('Lease Cycles'!$BG$24:$BM$24,1,BH282),'Lease Cycles'!$AZ$24&lt;=BH$6),'Lease Cycles'!$C$24*'Lease Cycles'!$BA$24/12,IF(AND('Lease Cycles'!$AX$24&gt;=INDEX('Lease Cycles'!$BG$24:$BM$24,1,BH282),'Lease Cycles'!$AX$24&lt;=BH$6),'Lease Cycles'!$C$24*'Lease Cycles'!$AY$24/12,IF(AND('Lease Cycles'!$AV$24&gt;=INDEX('Lease Cycles'!$BG$24:$BM$24,1,BH282),'Lease Cycles'!$AV$24&lt;=BH$6),'Lease Cycles'!$C$24*'Lease Cycles'!$AW$24/12,IF(AND('Lease Cycles'!$AT$24&gt;=INDEX('Lease Cycles'!$BG$24:$BM$24,1,BH282),'Lease Cycles'!$AT$24&lt;=BH$6),'Lease Cycles'!$C$24*'Lease Cycles'!$AU$24/12,'Lease Cycles'!$C$24*INDEX('Lease Cycles'!$CB$24:$CH$24,1,BH282)*(1+INDEX('Lease Cycles'!$CI$24:$CO$24,1,BH282))^INT(INT(BH283/12)/INDEX('Lease Cycles'!$CP$24:$CV$24,1,BH282))/12)))),'Lease Cycles'!$C$24*INDEX('Lease Cycles'!$CB$24:$CH$24,1,BH282)*(1+INDEX('Lease Cycles'!$CI$24:$CO$24,1,BH282))^INT(INT(BH283/12)/INDEX('Lease Cycles'!$CP$24:$CV$24,1,BH282))/12))),IF('Lease Cycles'!$N$24=1,'Lease Cycles'!$C$24*'Lease Cycles'!$E$24*INDEX('Lease Cycles'!$HE$24:$HK$24,1,BH282)*(1+INDEX('Lease Cycles'!$GQ$24:$GW$24,1,BH282))^INT(INT((BH$6-INDEX('Lease Cycles'!$GJ$24:$GP$24,1,BH282))/12)/INDEX('Lease Cycles'!$GX$24:$HD$24,1,BH282))/12,0)))</f>
        <v>0</v>
      </c>
      <c r="BI285" s="28">
        <f>IF(BI282=0,IF('Lease Cycles'!$F$24&gt;0,'Lease Cycles'!$C$24*'Lease Cycles'!$E$24/12,0),IF(BI284=1,IF('Lease Cycles'!$AT$24&gt;=9999,'Lease Cycles'!$C$24*INDEX('Lease Cycles'!$CB$24:$CH$24,1,BI282)*(1+INDEX('Lease Cycles'!$CI$24:$CO$24,1,BI282))^INT(INT(BI283/12)/INDEX('Lease Cycles'!$CP$24:$CV$24,1,BI282))/12,IF(BI282=1,IF(BI283&gt;=INDEX('Lease Cycles'!$DK$24:$DQ$24,1,BI282),IF(BI$6&gt;='Lease Cycles'!$AZ$24,'Lease Cycles'!$C$24*'Lease Cycles'!$BA$24/12,IF(BI$6&gt;='Lease Cycles'!$AX$24,'Lease Cycles'!$C$24*'Lease Cycles'!$AY$24/12,IF(BI$6&gt;='Lease Cycles'!$AV$24,'Lease Cycles'!$C$24*'Lease Cycles'!$AW$24/12,IF(BI$6&gt;='Lease Cycles'!$AT$24,'Lease Cycles'!$C$24*'Lease Cycles'!$AU$24/12,'Lease Cycles'!$C$24*INDEX('Lease Cycles'!$CB$24:$CH$24,1,BI282)*(1+INDEX('Lease Cycles'!$CI$24:$CO$24,1,BI282))^INT(INT(BI283/12)/INDEX('Lease Cycles'!$CP$24:$CV$24,1,BI282))/12)))),'Lease Cycles'!$C$24*INDEX('Lease Cycles'!$CB$24:$CH$24,1,BI282)*(1+INDEX('Lease Cycles'!$CI$24:$CO$24,1,BI282))^INT(INT(BI283/12)/INDEX('Lease Cycles'!$CP$24:$CV$24,1,BI282))/12),IF(INDEX('Lease Cycles'!$EF$24:$EL$24,1,BI282)=1,IF(AND('Lease Cycles'!$AZ$24&gt;=INDEX('Lease Cycles'!$BG$24:$BM$24,1,BI282),'Lease Cycles'!$AZ$24&lt;=BI$6),'Lease Cycles'!$C$24*'Lease Cycles'!$BA$24/12,IF(AND('Lease Cycles'!$AX$24&gt;=INDEX('Lease Cycles'!$BG$24:$BM$24,1,BI282),'Lease Cycles'!$AX$24&lt;=BI$6),'Lease Cycles'!$C$24*'Lease Cycles'!$AY$24/12,IF(AND('Lease Cycles'!$AV$24&gt;=INDEX('Lease Cycles'!$BG$24:$BM$24,1,BI282),'Lease Cycles'!$AV$24&lt;=BI$6),'Lease Cycles'!$C$24*'Lease Cycles'!$AW$24/12,IF(AND('Lease Cycles'!$AT$24&gt;=INDEX('Lease Cycles'!$BG$24:$BM$24,1,BI282),'Lease Cycles'!$AT$24&lt;=BI$6),'Lease Cycles'!$C$24*'Lease Cycles'!$AU$24/12,'Lease Cycles'!$C$24*INDEX('Lease Cycles'!$CB$24:$CH$24,1,BI282)*(1+INDEX('Lease Cycles'!$CI$24:$CO$24,1,BI282))^INT(INT(BI283/12)/INDEX('Lease Cycles'!$CP$24:$CV$24,1,BI282))/12)))),'Lease Cycles'!$C$24*INDEX('Lease Cycles'!$CB$24:$CH$24,1,BI282)*(1+INDEX('Lease Cycles'!$CI$24:$CO$24,1,BI282))^INT(INT(BI283/12)/INDEX('Lease Cycles'!$CP$24:$CV$24,1,BI282))/12))),IF('Lease Cycles'!$N$24=1,'Lease Cycles'!$C$24*'Lease Cycles'!$E$24*INDEX('Lease Cycles'!$HE$24:$HK$24,1,BI282)*(1+INDEX('Lease Cycles'!$GQ$24:$GW$24,1,BI282))^INT(INT((BI$6-INDEX('Lease Cycles'!$GJ$24:$GP$24,1,BI282))/12)/INDEX('Lease Cycles'!$GX$24:$HD$24,1,BI282))/12,0)))</f>
        <v>0</v>
      </c>
      <c r="BJ285" s="28">
        <f>IF(BJ282=0,IF('Lease Cycles'!$F$24&gt;0,'Lease Cycles'!$C$24*'Lease Cycles'!$E$24/12,0),IF(BJ284=1,IF('Lease Cycles'!$AT$24&gt;=9999,'Lease Cycles'!$C$24*INDEX('Lease Cycles'!$CB$24:$CH$24,1,BJ282)*(1+INDEX('Lease Cycles'!$CI$24:$CO$24,1,BJ282))^INT(INT(BJ283/12)/INDEX('Lease Cycles'!$CP$24:$CV$24,1,BJ282))/12,IF(BJ282=1,IF(BJ283&gt;=INDEX('Lease Cycles'!$DK$24:$DQ$24,1,BJ282),IF(BJ$6&gt;='Lease Cycles'!$AZ$24,'Lease Cycles'!$C$24*'Lease Cycles'!$BA$24/12,IF(BJ$6&gt;='Lease Cycles'!$AX$24,'Lease Cycles'!$C$24*'Lease Cycles'!$AY$24/12,IF(BJ$6&gt;='Lease Cycles'!$AV$24,'Lease Cycles'!$C$24*'Lease Cycles'!$AW$24/12,IF(BJ$6&gt;='Lease Cycles'!$AT$24,'Lease Cycles'!$C$24*'Lease Cycles'!$AU$24/12,'Lease Cycles'!$C$24*INDEX('Lease Cycles'!$CB$24:$CH$24,1,BJ282)*(1+INDEX('Lease Cycles'!$CI$24:$CO$24,1,BJ282))^INT(INT(BJ283/12)/INDEX('Lease Cycles'!$CP$24:$CV$24,1,BJ282))/12)))),'Lease Cycles'!$C$24*INDEX('Lease Cycles'!$CB$24:$CH$24,1,BJ282)*(1+INDEX('Lease Cycles'!$CI$24:$CO$24,1,BJ282))^INT(INT(BJ283/12)/INDEX('Lease Cycles'!$CP$24:$CV$24,1,BJ282))/12),IF(INDEX('Lease Cycles'!$EF$24:$EL$24,1,BJ282)=1,IF(AND('Lease Cycles'!$AZ$24&gt;=INDEX('Lease Cycles'!$BG$24:$BM$24,1,BJ282),'Lease Cycles'!$AZ$24&lt;=BJ$6),'Lease Cycles'!$C$24*'Lease Cycles'!$BA$24/12,IF(AND('Lease Cycles'!$AX$24&gt;=INDEX('Lease Cycles'!$BG$24:$BM$24,1,BJ282),'Lease Cycles'!$AX$24&lt;=BJ$6),'Lease Cycles'!$C$24*'Lease Cycles'!$AY$24/12,IF(AND('Lease Cycles'!$AV$24&gt;=INDEX('Lease Cycles'!$BG$24:$BM$24,1,BJ282),'Lease Cycles'!$AV$24&lt;=BJ$6),'Lease Cycles'!$C$24*'Lease Cycles'!$AW$24/12,IF(AND('Lease Cycles'!$AT$24&gt;=INDEX('Lease Cycles'!$BG$24:$BM$24,1,BJ282),'Lease Cycles'!$AT$24&lt;=BJ$6),'Lease Cycles'!$C$24*'Lease Cycles'!$AU$24/12,'Lease Cycles'!$C$24*INDEX('Lease Cycles'!$CB$24:$CH$24,1,BJ282)*(1+INDEX('Lease Cycles'!$CI$24:$CO$24,1,BJ282))^INT(INT(BJ283/12)/INDEX('Lease Cycles'!$CP$24:$CV$24,1,BJ282))/12)))),'Lease Cycles'!$C$24*INDEX('Lease Cycles'!$CB$24:$CH$24,1,BJ282)*(1+INDEX('Lease Cycles'!$CI$24:$CO$24,1,BJ282))^INT(INT(BJ283/12)/INDEX('Lease Cycles'!$CP$24:$CV$24,1,BJ282))/12))),IF('Lease Cycles'!$N$24=1,'Lease Cycles'!$C$24*'Lease Cycles'!$E$24*INDEX('Lease Cycles'!$HE$24:$HK$24,1,BJ282)*(1+INDEX('Lease Cycles'!$GQ$24:$GW$24,1,BJ282))^INT(INT((BJ$6-INDEX('Lease Cycles'!$GJ$24:$GP$24,1,BJ282))/12)/INDEX('Lease Cycles'!$GX$24:$HD$24,1,BJ282))/12,0)))</f>
        <v>0</v>
      </c>
      <c r="BK285" s="28">
        <f>IF(BK282=0,IF('Lease Cycles'!$F$24&gt;0,'Lease Cycles'!$C$24*'Lease Cycles'!$E$24/12,0),IF(BK284=1,IF('Lease Cycles'!$AT$24&gt;=9999,'Lease Cycles'!$C$24*INDEX('Lease Cycles'!$CB$24:$CH$24,1,BK282)*(1+INDEX('Lease Cycles'!$CI$24:$CO$24,1,BK282))^INT(INT(BK283/12)/INDEX('Lease Cycles'!$CP$24:$CV$24,1,BK282))/12,IF(BK282=1,IF(BK283&gt;=INDEX('Lease Cycles'!$DK$24:$DQ$24,1,BK282),IF(BK$6&gt;='Lease Cycles'!$AZ$24,'Lease Cycles'!$C$24*'Lease Cycles'!$BA$24/12,IF(BK$6&gt;='Lease Cycles'!$AX$24,'Lease Cycles'!$C$24*'Lease Cycles'!$AY$24/12,IF(BK$6&gt;='Lease Cycles'!$AV$24,'Lease Cycles'!$C$24*'Lease Cycles'!$AW$24/12,IF(BK$6&gt;='Lease Cycles'!$AT$24,'Lease Cycles'!$C$24*'Lease Cycles'!$AU$24/12,'Lease Cycles'!$C$24*INDEX('Lease Cycles'!$CB$24:$CH$24,1,BK282)*(1+INDEX('Lease Cycles'!$CI$24:$CO$24,1,BK282))^INT(INT(BK283/12)/INDEX('Lease Cycles'!$CP$24:$CV$24,1,BK282))/12)))),'Lease Cycles'!$C$24*INDEX('Lease Cycles'!$CB$24:$CH$24,1,BK282)*(1+INDEX('Lease Cycles'!$CI$24:$CO$24,1,BK282))^INT(INT(BK283/12)/INDEX('Lease Cycles'!$CP$24:$CV$24,1,BK282))/12),IF(INDEX('Lease Cycles'!$EF$24:$EL$24,1,BK282)=1,IF(AND('Lease Cycles'!$AZ$24&gt;=INDEX('Lease Cycles'!$BG$24:$BM$24,1,BK282),'Lease Cycles'!$AZ$24&lt;=BK$6),'Lease Cycles'!$C$24*'Lease Cycles'!$BA$24/12,IF(AND('Lease Cycles'!$AX$24&gt;=INDEX('Lease Cycles'!$BG$24:$BM$24,1,BK282),'Lease Cycles'!$AX$24&lt;=BK$6),'Lease Cycles'!$C$24*'Lease Cycles'!$AY$24/12,IF(AND('Lease Cycles'!$AV$24&gt;=INDEX('Lease Cycles'!$BG$24:$BM$24,1,BK282),'Lease Cycles'!$AV$24&lt;=BK$6),'Lease Cycles'!$C$24*'Lease Cycles'!$AW$24/12,IF(AND('Lease Cycles'!$AT$24&gt;=INDEX('Lease Cycles'!$BG$24:$BM$24,1,BK282),'Lease Cycles'!$AT$24&lt;=BK$6),'Lease Cycles'!$C$24*'Lease Cycles'!$AU$24/12,'Lease Cycles'!$C$24*INDEX('Lease Cycles'!$CB$24:$CH$24,1,BK282)*(1+INDEX('Lease Cycles'!$CI$24:$CO$24,1,BK282))^INT(INT(BK283/12)/INDEX('Lease Cycles'!$CP$24:$CV$24,1,BK282))/12)))),'Lease Cycles'!$C$24*INDEX('Lease Cycles'!$CB$24:$CH$24,1,BK282)*(1+INDEX('Lease Cycles'!$CI$24:$CO$24,1,BK282))^INT(INT(BK283/12)/INDEX('Lease Cycles'!$CP$24:$CV$24,1,BK282))/12))),IF('Lease Cycles'!$N$24=1,'Lease Cycles'!$C$24*'Lease Cycles'!$E$24*INDEX('Lease Cycles'!$HE$24:$HK$24,1,BK282)*(1+INDEX('Lease Cycles'!$GQ$24:$GW$24,1,BK282))^INT(INT((BK$6-INDEX('Lease Cycles'!$GJ$24:$GP$24,1,BK282))/12)/INDEX('Lease Cycles'!$GX$24:$HD$24,1,BK282))/12,0)))</f>
        <v>0</v>
      </c>
      <c r="BL285" s="28">
        <f>IF(BL282=0,IF('Lease Cycles'!$F$24&gt;0,'Lease Cycles'!$C$24*'Lease Cycles'!$E$24/12,0),IF(BL284=1,IF('Lease Cycles'!$AT$24&gt;=9999,'Lease Cycles'!$C$24*INDEX('Lease Cycles'!$CB$24:$CH$24,1,BL282)*(1+INDEX('Lease Cycles'!$CI$24:$CO$24,1,BL282))^INT(INT(BL283/12)/INDEX('Lease Cycles'!$CP$24:$CV$24,1,BL282))/12,IF(BL282=1,IF(BL283&gt;=INDEX('Lease Cycles'!$DK$24:$DQ$24,1,BL282),IF(BL$6&gt;='Lease Cycles'!$AZ$24,'Lease Cycles'!$C$24*'Lease Cycles'!$BA$24/12,IF(BL$6&gt;='Lease Cycles'!$AX$24,'Lease Cycles'!$C$24*'Lease Cycles'!$AY$24/12,IF(BL$6&gt;='Lease Cycles'!$AV$24,'Lease Cycles'!$C$24*'Lease Cycles'!$AW$24/12,IF(BL$6&gt;='Lease Cycles'!$AT$24,'Lease Cycles'!$C$24*'Lease Cycles'!$AU$24/12,'Lease Cycles'!$C$24*INDEX('Lease Cycles'!$CB$24:$CH$24,1,BL282)*(1+INDEX('Lease Cycles'!$CI$24:$CO$24,1,BL282))^INT(INT(BL283/12)/INDEX('Lease Cycles'!$CP$24:$CV$24,1,BL282))/12)))),'Lease Cycles'!$C$24*INDEX('Lease Cycles'!$CB$24:$CH$24,1,BL282)*(1+INDEX('Lease Cycles'!$CI$24:$CO$24,1,BL282))^INT(INT(BL283/12)/INDEX('Lease Cycles'!$CP$24:$CV$24,1,BL282))/12),IF(INDEX('Lease Cycles'!$EF$24:$EL$24,1,BL282)=1,IF(AND('Lease Cycles'!$AZ$24&gt;=INDEX('Lease Cycles'!$BG$24:$BM$24,1,BL282),'Lease Cycles'!$AZ$24&lt;=BL$6),'Lease Cycles'!$C$24*'Lease Cycles'!$BA$24/12,IF(AND('Lease Cycles'!$AX$24&gt;=INDEX('Lease Cycles'!$BG$24:$BM$24,1,BL282),'Lease Cycles'!$AX$24&lt;=BL$6),'Lease Cycles'!$C$24*'Lease Cycles'!$AY$24/12,IF(AND('Lease Cycles'!$AV$24&gt;=INDEX('Lease Cycles'!$BG$24:$BM$24,1,BL282),'Lease Cycles'!$AV$24&lt;=BL$6),'Lease Cycles'!$C$24*'Lease Cycles'!$AW$24/12,IF(AND('Lease Cycles'!$AT$24&gt;=INDEX('Lease Cycles'!$BG$24:$BM$24,1,BL282),'Lease Cycles'!$AT$24&lt;=BL$6),'Lease Cycles'!$C$24*'Lease Cycles'!$AU$24/12,'Lease Cycles'!$C$24*INDEX('Lease Cycles'!$CB$24:$CH$24,1,BL282)*(1+INDEX('Lease Cycles'!$CI$24:$CO$24,1,BL282))^INT(INT(BL283/12)/INDEX('Lease Cycles'!$CP$24:$CV$24,1,BL282))/12)))),'Lease Cycles'!$C$24*INDEX('Lease Cycles'!$CB$24:$CH$24,1,BL282)*(1+INDEX('Lease Cycles'!$CI$24:$CO$24,1,BL282))^INT(INT(BL283/12)/INDEX('Lease Cycles'!$CP$24:$CV$24,1,BL282))/12))),IF('Lease Cycles'!$N$24=1,'Lease Cycles'!$C$24*'Lease Cycles'!$E$24*INDEX('Lease Cycles'!$HE$24:$HK$24,1,BL282)*(1+INDEX('Lease Cycles'!$GQ$24:$GW$24,1,BL282))^INT(INT((BL$6-INDEX('Lease Cycles'!$GJ$24:$GP$24,1,BL282))/12)/INDEX('Lease Cycles'!$GX$24:$HD$24,1,BL282))/12,0)))</f>
        <v>0</v>
      </c>
      <c r="BM285" s="28">
        <f>IF(BM282=0,IF('Lease Cycles'!$F$24&gt;0,'Lease Cycles'!$C$24*'Lease Cycles'!$E$24/12,0),IF(BM284=1,IF('Lease Cycles'!$AT$24&gt;=9999,'Lease Cycles'!$C$24*INDEX('Lease Cycles'!$CB$24:$CH$24,1,BM282)*(1+INDEX('Lease Cycles'!$CI$24:$CO$24,1,BM282))^INT(INT(BM283/12)/INDEX('Lease Cycles'!$CP$24:$CV$24,1,BM282))/12,IF(BM282=1,IF(BM283&gt;=INDEX('Lease Cycles'!$DK$24:$DQ$24,1,BM282),IF(BM$6&gt;='Lease Cycles'!$AZ$24,'Lease Cycles'!$C$24*'Lease Cycles'!$BA$24/12,IF(BM$6&gt;='Lease Cycles'!$AX$24,'Lease Cycles'!$C$24*'Lease Cycles'!$AY$24/12,IF(BM$6&gt;='Lease Cycles'!$AV$24,'Lease Cycles'!$C$24*'Lease Cycles'!$AW$24/12,IF(BM$6&gt;='Lease Cycles'!$AT$24,'Lease Cycles'!$C$24*'Lease Cycles'!$AU$24/12,'Lease Cycles'!$C$24*INDEX('Lease Cycles'!$CB$24:$CH$24,1,BM282)*(1+INDEX('Lease Cycles'!$CI$24:$CO$24,1,BM282))^INT(INT(BM283/12)/INDEX('Lease Cycles'!$CP$24:$CV$24,1,BM282))/12)))),'Lease Cycles'!$C$24*INDEX('Lease Cycles'!$CB$24:$CH$24,1,BM282)*(1+INDEX('Lease Cycles'!$CI$24:$CO$24,1,BM282))^INT(INT(BM283/12)/INDEX('Lease Cycles'!$CP$24:$CV$24,1,BM282))/12),IF(INDEX('Lease Cycles'!$EF$24:$EL$24,1,BM282)=1,IF(AND('Lease Cycles'!$AZ$24&gt;=INDEX('Lease Cycles'!$BG$24:$BM$24,1,BM282),'Lease Cycles'!$AZ$24&lt;=BM$6),'Lease Cycles'!$C$24*'Lease Cycles'!$BA$24/12,IF(AND('Lease Cycles'!$AX$24&gt;=INDEX('Lease Cycles'!$BG$24:$BM$24,1,BM282),'Lease Cycles'!$AX$24&lt;=BM$6),'Lease Cycles'!$C$24*'Lease Cycles'!$AY$24/12,IF(AND('Lease Cycles'!$AV$24&gt;=INDEX('Lease Cycles'!$BG$24:$BM$24,1,BM282),'Lease Cycles'!$AV$24&lt;=BM$6),'Lease Cycles'!$C$24*'Lease Cycles'!$AW$24/12,IF(AND('Lease Cycles'!$AT$24&gt;=INDEX('Lease Cycles'!$BG$24:$BM$24,1,BM282),'Lease Cycles'!$AT$24&lt;=BM$6),'Lease Cycles'!$C$24*'Lease Cycles'!$AU$24/12,'Lease Cycles'!$C$24*INDEX('Lease Cycles'!$CB$24:$CH$24,1,BM282)*(1+INDEX('Lease Cycles'!$CI$24:$CO$24,1,BM282))^INT(INT(BM283/12)/INDEX('Lease Cycles'!$CP$24:$CV$24,1,BM282))/12)))),'Lease Cycles'!$C$24*INDEX('Lease Cycles'!$CB$24:$CH$24,1,BM282)*(1+INDEX('Lease Cycles'!$CI$24:$CO$24,1,BM282))^INT(INT(BM283/12)/INDEX('Lease Cycles'!$CP$24:$CV$24,1,BM282))/12))),IF('Lease Cycles'!$N$24=1,'Lease Cycles'!$C$24*'Lease Cycles'!$E$24*INDEX('Lease Cycles'!$HE$24:$HK$24,1,BM282)*(1+INDEX('Lease Cycles'!$GQ$24:$GW$24,1,BM282))^INT(INT((BM$6-INDEX('Lease Cycles'!$GJ$24:$GP$24,1,BM282))/12)/INDEX('Lease Cycles'!$GX$24:$HD$24,1,BM282))/12,0)))</f>
        <v>0</v>
      </c>
      <c r="BN285" s="28">
        <f>IF(BN282=0,IF('Lease Cycles'!$F$24&gt;0,'Lease Cycles'!$C$24*'Lease Cycles'!$E$24/12,0),IF(BN284=1,IF('Lease Cycles'!$AT$24&gt;=9999,'Lease Cycles'!$C$24*INDEX('Lease Cycles'!$CB$24:$CH$24,1,BN282)*(1+INDEX('Lease Cycles'!$CI$24:$CO$24,1,BN282))^INT(INT(BN283/12)/INDEX('Lease Cycles'!$CP$24:$CV$24,1,BN282))/12,IF(BN282=1,IF(BN283&gt;=INDEX('Lease Cycles'!$DK$24:$DQ$24,1,BN282),IF(BN$6&gt;='Lease Cycles'!$AZ$24,'Lease Cycles'!$C$24*'Lease Cycles'!$BA$24/12,IF(BN$6&gt;='Lease Cycles'!$AX$24,'Lease Cycles'!$C$24*'Lease Cycles'!$AY$24/12,IF(BN$6&gt;='Lease Cycles'!$AV$24,'Lease Cycles'!$C$24*'Lease Cycles'!$AW$24/12,IF(BN$6&gt;='Lease Cycles'!$AT$24,'Lease Cycles'!$C$24*'Lease Cycles'!$AU$24/12,'Lease Cycles'!$C$24*INDEX('Lease Cycles'!$CB$24:$CH$24,1,BN282)*(1+INDEX('Lease Cycles'!$CI$24:$CO$24,1,BN282))^INT(INT(BN283/12)/INDEX('Lease Cycles'!$CP$24:$CV$24,1,BN282))/12)))),'Lease Cycles'!$C$24*INDEX('Lease Cycles'!$CB$24:$CH$24,1,BN282)*(1+INDEX('Lease Cycles'!$CI$24:$CO$24,1,BN282))^INT(INT(BN283/12)/INDEX('Lease Cycles'!$CP$24:$CV$24,1,BN282))/12),IF(INDEX('Lease Cycles'!$EF$24:$EL$24,1,BN282)=1,IF(AND('Lease Cycles'!$AZ$24&gt;=INDEX('Lease Cycles'!$BG$24:$BM$24,1,BN282),'Lease Cycles'!$AZ$24&lt;=BN$6),'Lease Cycles'!$C$24*'Lease Cycles'!$BA$24/12,IF(AND('Lease Cycles'!$AX$24&gt;=INDEX('Lease Cycles'!$BG$24:$BM$24,1,BN282),'Lease Cycles'!$AX$24&lt;=BN$6),'Lease Cycles'!$C$24*'Lease Cycles'!$AY$24/12,IF(AND('Lease Cycles'!$AV$24&gt;=INDEX('Lease Cycles'!$BG$24:$BM$24,1,BN282),'Lease Cycles'!$AV$24&lt;=BN$6),'Lease Cycles'!$C$24*'Lease Cycles'!$AW$24/12,IF(AND('Lease Cycles'!$AT$24&gt;=INDEX('Lease Cycles'!$BG$24:$BM$24,1,BN282),'Lease Cycles'!$AT$24&lt;=BN$6),'Lease Cycles'!$C$24*'Lease Cycles'!$AU$24/12,'Lease Cycles'!$C$24*INDEX('Lease Cycles'!$CB$24:$CH$24,1,BN282)*(1+INDEX('Lease Cycles'!$CI$24:$CO$24,1,BN282))^INT(INT(BN283/12)/INDEX('Lease Cycles'!$CP$24:$CV$24,1,BN282))/12)))),'Lease Cycles'!$C$24*INDEX('Lease Cycles'!$CB$24:$CH$24,1,BN282)*(1+INDEX('Lease Cycles'!$CI$24:$CO$24,1,BN282))^INT(INT(BN283/12)/INDEX('Lease Cycles'!$CP$24:$CV$24,1,BN282))/12))),IF('Lease Cycles'!$N$24=1,'Lease Cycles'!$C$24*'Lease Cycles'!$E$24*INDEX('Lease Cycles'!$HE$24:$HK$24,1,BN282)*(1+INDEX('Lease Cycles'!$GQ$24:$GW$24,1,BN282))^INT(INT((BN$6-INDEX('Lease Cycles'!$GJ$24:$GP$24,1,BN282))/12)/INDEX('Lease Cycles'!$GX$24:$HD$24,1,BN282))/12,0)))</f>
        <v>0</v>
      </c>
      <c r="BO285" s="28">
        <f>IF(BO282=0,IF('Lease Cycles'!$F$24&gt;0,'Lease Cycles'!$C$24*'Lease Cycles'!$E$24/12,0),IF(BO284=1,IF('Lease Cycles'!$AT$24&gt;=9999,'Lease Cycles'!$C$24*INDEX('Lease Cycles'!$CB$24:$CH$24,1,BO282)*(1+INDEX('Lease Cycles'!$CI$24:$CO$24,1,BO282))^INT(INT(BO283/12)/INDEX('Lease Cycles'!$CP$24:$CV$24,1,BO282))/12,IF(BO282=1,IF(BO283&gt;=INDEX('Lease Cycles'!$DK$24:$DQ$24,1,BO282),IF(BO$6&gt;='Lease Cycles'!$AZ$24,'Lease Cycles'!$C$24*'Lease Cycles'!$BA$24/12,IF(BO$6&gt;='Lease Cycles'!$AX$24,'Lease Cycles'!$C$24*'Lease Cycles'!$AY$24/12,IF(BO$6&gt;='Lease Cycles'!$AV$24,'Lease Cycles'!$C$24*'Lease Cycles'!$AW$24/12,IF(BO$6&gt;='Lease Cycles'!$AT$24,'Lease Cycles'!$C$24*'Lease Cycles'!$AU$24/12,'Lease Cycles'!$C$24*INDEX('Lease Cycles'!$CB$24:$CH$24,1,BO282)*(1+INDEX('Lease Cycles'!$CI$24:$CO$24,1,BO282))^INT(INT(BO283/12)/INDEX('Lease Cycles'!$CP$24:$CV$24,1,BO282))/12)))),'Lease Cycles'!$C$24*INDEX('Lease Cycles'!$CB$24:$CH$24,1,BO282)*(1+INDEX('Lease Cycles'!$CI$24:$CO$24,1,BO282))^INT(INT(BO283/12)/INDEX('Lease Cycles'!$CP$24:$CV$24,1,BO282))/12),IF(INDEX('Lease Cycles'!$EF$24:$EL$24,1,BO282)=1,IF(AND('Lease Cycles'!$AZ$24&gt;=INDEX('Lease Cycles'!$BG$24:$BM$24,1,BO282),'Lease Cycles'!$AZ$24&lt;=BO$6),'Lease Cycles'!$C$24*'Lease Cycles'!$BA$24/12,IF(AND('Lease Cycles'!$AX$24&gt;=INDEX('Lease Cycles'!$BG$24:$BM$24,1,BO282),'Lease Cycles'!$AX$24&lt;=BO$6),'Lease Cycles'!$C$24*'Lease Cycles'!$AY$24/12,IF(AND('Lease Cycles'!$AV$24&gt;=INDEX('Lease Cycles'!$BG$24:$BM$24,1,BO282),'Lease Cycles'!$AV$24&lt;=BO$6),'Lease Cycles'!$C$24*'Lease Cycles'!$AW$24/12,IF(AND('Lease Cycles'!$AT$24&gt;=INDEX('Lease Cycles'!$BG$24:$BM$24,1,BO282),'Lease Cycles'!$AT$24&lt;=BO$6),'Lease Cycles'!$C$24*'Lease Cycles'!$AU$24/12,'Lease Cycles'!$C$24*INDEX('Lease Cycles'!$CB$24:$CH$24,1,BO282)*(1+INDEX('Lease Cycles'!$CI$24:$CO$24,1,BO282))^INT(INT(BO283/12)/INDEX('Lease Cycles'!$CP$24:$CV$24,1,BO282))/12)))),'Lease Cycles'!$C$24*INDEX('Lease Cycles'!$CB$24:$CH$24,1,BO282)*(1+INDEX('Lease Cycles'!$CI$24:$CO$24,1,BO282))^INT(INT(BO283/12)/INDEX('Lease Cycles'!$CP$24:$CV$24,1,BO282))/12))),IF('Lease Cycles'!$N$24=1,'Lease Cycles'!$C$24*'Lease Cycles'!$E$24*INDEX('Lease Cycles'!$HE$24:$HK$24,1,BO282)*(1+INDEX('Lease Cycles'!$GQ$24:$GW$24,1,BO282))^INT(INT((BO$6-INDEX('Lease Cycles'!$GJ$24:$GP$24,1,BO282))/12)/INDEX('Lease Cycles'!$GX$24:$HD$24,1,BO282))/12,0)))</f>
        <v>0</v>
      </c>
      <c r="BP285" s="28">
        <f>IF(BP282=0,IF('Lease Cycles'!$F$24&gt;0,'Lease Cycles'!$C$24*'Lease Cycles'!$E$24/12,0),IF(BP284=1,IF('Lease Cycles'!$AT$24&gt;=9999,'Lease Cycles'!$C$24*INDEX('Lease Cycles'!$CB$24:$CH$24,1,BP282)*(1+INDEX('Lease Cycles'!$CI$24:$CO$24,1,BP282))^INT(INT(BP283/12)/INDEX('Lease Cycles'!$CP$24:$CV$24,1,BP282))/12,IF(BP282=1,IF(BP283&gt;=INDEX('Lease Cycles'!$DK$24:$DQ$24,1,BP282),IF(BP$6&gt;='Lease Cycles'!$AZ$24,'Lease Cycles'!$C$24*'Lease Cycles'!$BA$24/12,IF(BP$6&gt;='Lease Cycles'!$AX$24,'Lease Cycles'!$C$24*'Lease Cycles'!$AY$24/12,IF(BP$6&gt;='Lease Cycles'!$AV$24,'Lease Cycles'!$C$24*'Lease Cycles'!$AW$24/12,IF(BP$6&gt;='Lease Cycles'!$AT$24,'Lease Cycles'!$C$24*'Lease Cycles'!$AU$24/12,'Lease Cycles'!$C$24*INDEX('Lease Cycles'!$CB$24:$CH$24,1,BP282)*(1+INDEX('Lease Cycles'!$CI$24:$CO$24,1,BP282))^INT(INT(BP283/12)/INDEX('Lease Cycles'!$CP$24:$CV$24,1,BP282))/12)))),'Lease Cycles'!$C$24*INDEX('Lease Cycles'!$CB$24:$CH$24,1,BP282)*(1+INDEX('Lease Cycles'!$CI$24:$CO$24,1,BP282))^INT(INT(BP283/12)/INDEX('Lease Cycles'!$CP$24:$CV$24,1,BP282))/12),IF(INDEX('Lease Cycles'!$EF$24:$EL$24,1,BP282)=1,IF(AND('Lease Cycles'!$AZ$24&gt;=INDEX('Lease Cycles'!$BG$24:$BM$24,1,BP282),'Lease Cycles'!$AZ$24&lt;=BP$6),'Lease Cycles'!$C$24*'Lease Cycles'!$BA$24/12,IF(AND('Lease Cycles'!$AX$24&gt;=INDEX('Lease Cycles'!$BG$24:$BM$24,1,BP282),'Lease Cycles'!$AX$24&lt;=BP$6),'Lease Cycles'!$C$24*'Lease Cycles'!$AY$24/12,IF(AND('Lease Cycles'!$AV$24&gt;=INDEX('Lease Cycles'!$BG$24:$BM$24,1,BP282),'Lease Cycles'!$AV$24&lt;=BP$6),'Lease Cycles'!$C$24*'Lease Cycles'!$AW$24/12,IF(AND('Lease Cycles'!$AT$24&gt;=INDEX('Lease Cycles'!$BG$24:$BM$24,1,BP282),'Lease Cycles'!$AT$24&lt;=BP$6),'Lease Cycles'!$C$24*'Lease Cycles'!$AU$24/12,'Lease Cycles'!$C$24*INDEX('Lease Cycles'!$CB$24:$CH$24,1,BP282)*(1+INDEX('Lease Cycles'!$CI$24:$CO$24,1,BP282))^INT(INT(BP283/12)/INDEX('Lease Cycles'!$CP$24:$CV$24,1,BP282))/12)))),'Lease Cycles'!$C$24*INDEX('Lease Cycles'!$CB$24:$CH$24,1,BP282)*(1+INDEX('Lease Cycles'!$CI$24:$CO$24,1,BP282))^INT(INT(BP283/12)/INDEX('Lease Cycles'!$CP$24:$CV$24,1,BP282))/12))),IF('Lease Cycles'!$N$24=1,'Lease Cycles'!$C$24*'Lease Cycles'!$E$24*INDEX('Lease Cycles'!$HE$24:$HK$24,1,BP282)*(1+INDEX('Lease Cycles'!$GQ$24:$GW$24,1,BP282))^INT(INT((BP$6-INDEX('Lease Cycles'!$GJ$24:$GP$24,1,BP282))/12)/INDEX('Lease Cycles'!$GX$24:$HD$24,1,BP282))/12,0)))</f>
        <v>0</v>
      </c>
      <c r="BQ285" s="28">
        <f>IF(BQ282=0,IF('Lease Cycles'!$F$24&gt;0,'Lease Cycles'!$C$24*'Lease Cycles'!$E$24/12,0),IF(BQ284=1,IF('Lease Cycles'!$AT$24&gt;=9999,'Lease Cycles'!$C$24*INDEX('Lease Cycles'!$CB$24:$CH$24,1,BQ282)*(1+INDEX('Lease Cycles'!$CI$24:$CO$24,1,BQ282))^INT(INT(BQ283/12)/INDEX('Lease Cycles'!$CP$24:$CV$24,1,BQ282))/12,IF(BQ282=1,IF(BQ283&gt;=INDEX('Lease Cycles'!$DK$24:$DQ$24,1,BQ282),IF(BQ$6&gt;='Lease Cycles'!$AZ$24,'Lease Cycles'!$C$24*'Lease Cycles'!$BA$24/12,IF(BQ$6&gt;='Lease Cycles'!$AX$24,'Lease Cycles'!$C$24*'Lease Cycles'!$AY$24/12,IF(BQ$6&gt;='Lease Cycles'!$AV$24,'Lease Cycles'!$C$24*'Lease Cycles'!$AW$24/12,IF(BQ$6&gt;='Lease Cycles'!$AT$24,'Lease Cycles'!$C$24*'Lease Cycles'!$AU$24/12,'Lease Cycles'!$C$24*INDEX('Lease Cycles'!$CB$24:$CH$24,1,BQ282)*(1+INDEX('Lease Cycles'!$CI$24:$CO$24,1,BQ282))^INT(INT(BQ283/12)/INDEX('Lease Cycles'!$CP$24:$CV$24,1,BQ282))/12)))),'Lease Cycles'!$C$24*INDEX('Lease Cycles'!$CB$24:$CH$24,1,BQ282)*(1+INDEX('Lease Cycles'!$CI$24:$CO$24,1,BQ282))^INT(INT(BQ283/12)/INDEX('Lease Cycles'!$CP$24:$CV$24,1,BQ282))/12),IF(INDEX('Lease Cycles'!$EF$24:$EL$24,1,BQ282)=1,IF(AND('Lease Cycles'!$AZ$24&gt;=INDEX('Lease Cycles'!$BG$24:$BM$24,1,BQ282),'Lease Cycles'!$AZ$24&lt;=BQ$6),'Lease Cycles'!$C$24*'Lease Cycles'!$BA$24/12,IF(AND('Lease Cycles'!$AX$24&gt;=INDEX('Lease Cycles'!$BG$24:$BM$24,1,BQ282),'Lease Cycles'!$AX$24&lt;=BQ$6),'Lease Cycles'!$C$24*'Lease Cycles'!$AY$24/12,IF(AND('Lease Cycles'!$AV$24&gt;=INDEX('Lease Cycles'!$BG$24:$BM$24,1,BQ282),'Lease Cycles'!$AV$24&lt;=BQ$6),'Lease Cycles'!$C$24*'Lease Cycles'!$AW$24/12,IF(AND('Lease Cycles'!$AT$24&gt;=INDEX('Lease Cycles'!$BG$24:$BM$24,1,BQ282),'Lease Cycles'!$AT$24&lt;=BQ$6),'Lease Cycles'!$C$24*'Lease Cycles'!$AU$24/12,'Lease Cycles'!$C$24*INDEX('Lease Cycles'!$CB$24:$CH$24,1,BQ282)*(1+INDEX('Lease Cycles'!$CI$24:$CO$24,1,BQ282))^INT(INT(BQ283/12)/INDEX('Lease Cycles'!$CP$24:$CV$24,1,BQ282))/12)))),'Lease Cycles'!$C$24*INDEX('Lease Cycles'!$CB$24:$CH$24,1,BQ282)*(1+INDEX('Lease Cycles'!$CI$24:$CO$24,1,BQ282))^INT(INT(BQ283/12)/INDEX('Lease Cycles'!$CP$24:$CV$24,1,BQ282))/12))),IF('Lease Cycles'!$N$24=1,'Lease Cycles'!$C$24*'Lease Cycles'!$E$24*INDEX('Lease Cycles'!$HE$24:$HK$24,1,BQ282)*(1+INDEX('Lease Cycles'!$GQ$24:$GW$24,1,BQ282))^INT(INT((BQ$6-INDEX('Lease Cycles'!$GJ$24:$GP$24,1,BQ282))/12)/INDEX('Lease Cycles'!$GX$24:$HD$24,1,BQ282))/12,0)))</f>
        <v>0</v>
      </c>
      <c r="BR285" s="28">
        <f>IF(BR282=0,IF('Lease Cycles'!$F$24&gt;0,'Lease Cycles'!$C$24*'Lease Cycles'!$E$24/12,0),IF(BR284=1,IF('Lease Cycles'!$AT$24&gt;=9999,'Lease Cycles'!$C$24*INDEX('Lease Cycles'!$CB$24:$CH$24,1,BR282)*(1+INDEX('Lease Cycles'!$CI$24:$CO$24,1,BR282))^INT(INT(BR283/12)/INDEX('Lease Cycles'!$CP$24:$CV$24,1,BR282))/12,IF(BR282=1,IF(BR283&gt;=INDEX('Lease Cycles'!$DK$24:$DQ$24,1,BR282),IF(BR$6&gt;='Lease Cycles'!$AZ$24,'Lease Cycles'!$C$24*'Lease Cycles'!$BA$24/12,IF(BR$6&gt;='Lease Cycles'!$AX$24,'Lease Cycles'!$C$24*'Lease Cycles'!$AY$24/12,IF(BR$6&gt;='Lease Cycles'!$AV$24,'Lease Cycles'!$C$24*'Lease Cycles'!$AW$24/12,IF(BR$6&gt;='Lease Cycles'!$AT$24,'Lease Cycles'!$C$24*'Lease Cycles'!$AU$24/12,'Lease Cycles'!$C$24*INDEX('Lease Cycles'!$CB$24:$CH$24,1,BR282)*(1+INDEX('Lease Cycles'!$CI$24:$CO$24,1,BR282))^INT(INT(BR283/12)/INDEX('Lease Cycles'!$CP$24:$CV$24,1,BR282))/12)))),'Lease Cycles'!$C$24*INDEX('Lease Cycles'!$CB$24:$CH$24,1,BR282)*(1+INDEX('Lease Cycles'!$CI$24:$CO$24,1,BR282))^INT(INT(BR283/12)/INDEX('Lease Cycles'!$CP$24:$CV$24,1,BR282))/12),IF(INDEX('Lease Cycles'!$EF$24:$EL$24,1,BR282)=1,IF(AND('Lease Cycles'!$AZ$24&gt;=INDEX('Lease Cycles'!$BG$24:$BM$24,1,BR282),'Lease Cycles'!$AZ$24&lt;=BR$6),'Lease Cycles'!$C$24*'Lease Cycles'!$BA$24/12,IF(AND('Lease Cycles'!$AX$24&gt;=INDEX('Lease Cycles'!$BG$24:$BM$24,1,BR282),'Lease Cycles'!$AX$24&lt;=BR$6),'Lease Cycles'!$C$24*'Lease Cycles'!$AY$24/12,IF(AND('Lease Cycles'!$AV$24&gt;=INDEX('Lease Cycles'!$BG$24:$BM$24,1,BR282),'Lease Cycles'!$AV$24&lt;=BR$6),'Lease Cycles'!$C$24*'Lease Cycles'!$AW$24/12,IF(AND('Lease Cycles'!$AT$24&gt;=INDEX('Lease Cycles'!$BG$24:$BM$24,1,BR282),'Lease Cycles'!$AT$24&lt;=BR$6),'Lease Cycles'!$C$24*'Lease Cycles'!$AU$24/12,'Lease Cycles'!$C$24*INDEX('Lease Cycles'!$CB$24:$CH$24,1,BR282)*(1+INDEX('Lease Cycles'!$CI$24:$CO$24,1,BR282))^INT(INT(BR283/12)/INDEX('Lease Cycles'!$CP$24:$CV$24,1,BR282))/12)))),'Lease Cycles'!$C$24*INDEX('Lease Cycles'!$CB$24:$CH$24,1,BR282)*(1+INDEX('Lease Cycles'!$CI$24:$CO$24,1,BR282))^INT(INT(BR283/12)/INDEX('Lease Cycles'!$CP$24:$CV$24,1,BR282))/12))),IF('Lease Cycles'!$N$24=1,'Lease Cycles'!$C$24*'Lease Cycles'!$E$24*INDEX('Lease Cycles'!$HE$24:$HK$24,1,BR282)*(1+INDEX('Lease Cycles'!$GQ$24:$GW$24,1,BR282))^INT(INT((BR$6-INDEX('Lease Cycles'!$GJ$24:$GP$24,1,BR282))/12)/INDEX('Lease Cycles'!$GX$24:$HD$24,1,BR282))/12,0)))</f>
        <v>0</v>
      </c>
      <c r="BS285" s="28">
        <f>IF(BS282=0,IF('Lease Cycles'!$F$24&gt;0,'Lease Cycles'!$C$24*'Lease Cycles'!$E$24/12,0),IF(BS284=1,IF('Lease Cycles'!$AT$24&gt;=9999,'Lease Cycles'!$C$24*INDEX('Lease Cycles'!$CB$24:$CH$24,1,BS282)*(1+INDEX('Lease Cycles'!$CI$24:$CO$24,1,BS282))^INT(INT(BS283/12)/INDEX('Lease Cycles'!$CP$24:$CV$24,1,BS282))/12,IF(BS282=1,IF(BS283&gt;=INDEX('Lease Cycles'!$DK$24:$DQ$24,1,BS282),IF(BS$6&gt;='Lease Cycles'!$AZ$24,'Lease Cycles'!$C$24*'Lease Cycles'!$BA$24/12,IF(BS$6&gt;='Lease Cycles'!$AX$24,'Lease Cycles'!$C$24*'Lease Cycles'!$AY$24/12,IF(BS$6&gt;='Lease Cycles'!$AV$24,'Lease Cycles'!$C$24*'Lease Cycles'!$AW$24/12,IF(BS$6&gt;='Lease Cycles'!$AT$24,'Lease Cycles'!$C$24*'Lease Cycles'!$AU$24/12,'Lease Cycles'!$C$24*INDEX('Lease Cycles'!$CB$24:$CH$24,1,BS282)*(1+INDEX('Lease Cycles'!$CI$24:$CO$24,1,BS282))^INT(INT(BS283/12)/INDEX('Lease Cycles'!$CP$24:$CV$24,1,BS282))/12)))),'Lease Cycles'!$C$24*INDEX('Lease Cycles'!$CB$24:$CH$24,1,BS282)*(1+INDEX('Lease Cycles'!$CI$24:$CO$24,1,BS282))^INT(INT(BS283/12)/INDEX('Lease Cycles'!$CP$24:$CV$24,1,BS282))/12),IF(INDEX('Lease Cycles'!$EF$24:$EL$24,1,BS282)=1,IF(AND('Lease Cycles'!$AZ$24&gt;=INDEX('Lease Cycles'!$BG$24:$BM$24,1,BS282),'Lease Cycles'!$AZ$24&lt;=BS$6),'Lease Cycles'!$C$24*'Lease Cycles'!$BA$24/12,IF(AND('Lease Cycles'!$AX$24&gt;=INDEX('Lease Cycles'!$BG$24:$BM$24,1,BS282),'Lease Cycles'!$AX$24&lt;=BS$6),'Lease Cycles'!$C$24*'Lease Cycles'!$AY$24/12,IF(AND('Lease Cycles'!$AV$24&gt;=INDEX('Lease Cycles'!$BG$24:$BM$24,1,BS282),'Lease Cycles'!$AV$24&lt;=BS$6),'Lease Cycles'!$C$24*'Lease Cycles'!$AW$24/12,IF(AND('Lease Cycles'!$AT$24&gt;=INDEX('Lease Cycles'!$BG$24:$BM$24,1,BS282),'Lease Cycles'!$AT$24&lt;=BS$6),'Lease Cycles'!$C$24*'Lease Cycles'!$AU$24/12,'Lease Cycles'!$C$24*INDEX('Lease Cycles'!$CB$24:$CH$24,1,BS282)*(1+INDEX('Lease Cycles'!$CI$24:$CO$24,1,BS282))^INT(INT(BS283/12)/INDEX('Lease Cycles'!$CP$24:$CV$24,1,BS282))/12)))),'Lease Cycles'!$C$24*INDEX('Lease Cycles'!$CB$24:$CH$24,1,BS282)*(1+INDEX('Lease Cycles'!$CI$24:$CO$24,1,BS282))^INT(INT(BS283/12)/INDEX('Lease Cycles'!$CP$24:$CV$24,1,BS282))/12))),IF('Lease Cycles'!$N$24=1,'Lease Cycles'!$C$24*'Lease Cycles'!$E$24*INDEX('Lease Cycles'!$HE$24:$HK$24,1,BS282)*(1+INDEX('Lease Cycles'!$GQ$24:$GW$24,1,BS282))^INT(INT((BS$6-INDEX('Lease Cycles'!$GJ$24:$GP$24,1,BS282))/12)/INDEX('Lease Cycles'!$GX$24:$HD$24,1,BS282))/12,0)))</f>
        <v>0</v>
      </c>
      <c r="BT285" s="28">
        <f>IF(BT282=0,IF('Lease Cycles'!$F$24&gt;0,'Lease Cycles'!$C$24*'Lease Cycles'!$E$24/12,0),IF(BT284=1,IF('Lease Cycles'!$AT$24&gt;=9999,'Lease Cycles'!$C$24*INDEX('Lease Cycles'!$CB$24:$CH$24,1,BT282)*(1+INDEX('Lease Cycles'!$CI$24:$CO$24,1,BT282))^INT(INT(BT283/12)/INDEX('Lease Cycles'!$CP$24:$CV$24,1,BT282))/12,IF(BT282=1,IF(BT283&gt;=INDEX('Lease Cycles'!$DK$24:$DQ$24,1,BT282),IF(BT$6&gt;='Lease Cycles'!$AZ$24,'Lease Cycles'!$C$24*'Lease Cycles'!$BA$24/12,IF(BT$6&gt;='Lease Cycles'!$AX$24,'Lease Cycles'!$C$24*'Lease Cycles'!$AY$24/12,IF(BT$6&gt;='Lease Cycles'!$AV$24,'Lease Cycles'!$C$24*'Lease Cycles'!$AW$24/12,IF(BT$6&gt;='Lease Cycles'!$AT$24,'Lease Cycles'!$C$24*'Lease Cycles'!$AU$24/12,'Lease Cycles'!$C$24*INDEX('Lease Cycles'!$CB$24:$CH$24,1,BT282)*(1+INDEX('Lease Cycles'!$CI$24:$CO$24,1,BT282))^INT(INT(BT283/12)/INDEX('Lease Cycles'!$CP$24:$CV$24,1,BT282))/12)))),'Lease Cycles'!$C$24*INDEX('Lease Cycles'!$CB$24:$CH$24,1,BT282)*(1+INDEX('Lease Cycles'!$CI$24:$CO$24,1,BT282))^INT(INT(BT283/12)/INDEX('Lease Cycles'!$CP$24:$CV$24,1,BT282))/12),IF(INDEX('Lease Cycles'!$EF$24:$EL$24,1,BT282)=1,IF(AND('Lease Cycles'!$AZ$24&gt;=INDEX('Lease Cycles'!$BG$24:$BM$24,1,BT282),'Lease Cycles'!$AZ$24&lt;=BT$6),'Lease Cycles'!$C$24*'Lease Cycles'!$BA$24/12,IF(AND('Lease Cycles'!$AX$24&gt;=INDEX('Lease Cycles'!$BG$24:$BM$24,1,BT282),'Lease Cycles'!$AX$24&lt;=BT$6),'Lease Cycles'!$C$24*'Lease Cycles'!$AY$24/12,IF(AND('Lease Cycles'!$AV$24&gt;=INDEX('Lease Cycles'!$BG$24:$BM$24,1,BT282),'Lease Cycles'!$AV$24&lt;=BT$6),'Lease Cycles'!$C$24*'Lease Cycles'!$AW$24/12,IF(AND('Lease Cycles'!$AT$24&gt;=INDEX('Lease Cycles'!$BG$24:$BM$24,1,BT282),'Lease Cycles'!$AT$24&lt;=BT$6),'Lease Cycles'!$C$24*'Lease Cycles'!$AU$24/12,'Lease Cycles'!$C$24*INDEX('Lease Cycles'!$CB$24:$CH$24,1,BT282)*(1+INDEX('Lease Cycles'!$CI$24:$CO$24,1,BT282))^INT(INT(BT283/12)/INDEX('Lease Cycles'!$CP$24:$CV$24,1,BT282))/12)))),'Lease Cycles'!$C$24*INDEX('Lease Cycles'!$CB$24:$CH$24,1,BT282)*(1+INDEX('Lease Cycles'!$CI$24:$CO$24,1,BT282))^INT(INT(BT283/12)/INDEX('Lease Cycles'!$CP$24:$CV$24,1,BT282))/12))),IF('Lease Cycles'!$N$24=1,'Lease Cycles'!$C$24*'Lease Cycles'!$E$24*INDEX('Lease Cycles'!$HE$24:$HK$24,1,BT282)*(1+INDEX('Lease Cycles'!$GQ$24:$GW$24,1,BT282))^INT(INT((BT$6-INDEX('Lease Cycles'!$GJ$24:$GP$24,1,BT282))/12)/INDEX('Lease Cycles'!$GX$24:$HD$24,1,BT282))/12,0)))</f>
        <v>0</v>
      </c>
      <c r="BU285" s="28">
        <f>IF(BU282=0,IF('Lease Cycles'!$F$24&gt;0,'Lease Cycles'!$C$24*'Lease Cycles'!$E$24/12,0),IF(BU284=1,IF('Lease Cycles'!$AT$24&gt;=9999,'Lease Cycles'!$C$24*INDEX('Lease Cycles'!$CB$24:$CH$24,1,BU282)*(1+INDEX('Lease Cycles'!$CI$24:$CO$24,1,BU282))^INT(INT(BU283/12)/INDEX('Lease Cycles'!$CP$24:$CV$24,1,BU282))/12,IF(BU282=1,IF(BU283&gt;=INDEX('Lease Cycles'!$DK$24:$DQ$24,1,BU282),IF(BU$6&gt;='Lease Cycles'!$AZ$24,'Lease Cycles'!$C$24*'Lease Cycles'!$BA$24/12,IF(BU$6&gt;='Lease Cycles'!$AX$24,'Lease Cycles'!$C$24*'Lease Cycles'!$AY$24/12,IF(BU$6&gt;='Lease Cycles'!$AV$24,'Lease Cycles'!$C$24*'Lease Cycles'!$AW$24/12,IF(BU$6&gt;='Lease Cycles'!$AT$24,'Lease Cycles'!$C$24*'Lease Cycles'!$AU$24/12,'Lease Cycles'!$C$24*INDEX('Lease Cycles'!$CB$24:$CH$24,1,BU282)*(1+INDEX('Lease Cycles'!$CI$24:$CO$24,1,BU282))^INT(INT(BU283/12)/INDEX('Lease Cycles'!$CP$24:$CV$24,1,BU282))/12)))),'Lease Cycles'!$C$24*INDEX('Lease Cycles'!$CB$24:$CH$24,1,BU282)*(1+INDEX('Lease Cycles'!$CI$24:$CO$24,1,BU282))^INT(INT(BU283/12)/INDEX('Lease Cycles'!$CP$24:$CV$24,1,BU282))/12),IF(INDEX('Lease Cycles'!$EF$24:$EL$24,1,BU282)=1,IF(AND('Lease Cycles'!$AZ$24&gt;=INDEX('Lease Cycles'!$BG$24:$BM$24,1,BU282),'Lease Cycles'!$AZ$24&lt;=BU$6),'Lease Cycles'!$C$24*'Lease Cycles'!$BA$24/12,IF(AND('Lease Cycles'!$AX$24&gt;=INDEX('Lease Cycles'!$BG$24:$BM$24,1,BU282),'Lease Cycles'!$AX$24&lt;=BU$6),'Lease Cycles'!$C$24*'Lease Cycles'!$AY$24/12,IF(AND('Lease Cycles'!$AV$24&gt;=INDEX('Lease Cycles'!$BG$24:$BM$24,1,BU282),'Lease Cycles'!$AV$24&lt;=BU$6),'Lease Cycles'!$C$24*'Lease Cycles'!$AW$24/12,IF(AND('Lease Cycles'!$AT$24&gt;=INDEX('Lease Cycles'!$BG$24:$BM$24,1,BU282),'Lease Cycles'!$AT$24&lt;=BU$6),'Lease Cycles'!$C$24*'Lease Cycles'!$AU$24/12,'Lease Cycles'!$C$24*INDEX('Lease Cycles'!$CB$24:$CH$24,1,BU282)*(1+INDEX('Lease Cycles'!$CI$24:$CO$24,1,BU282))^INT(INT(BU283/12)/INDEX('Lease Cycles'!$CP$24:$CV$24,1,BU282))/12)))),'Lease Cycles'!$C$24*INDEX('Lease Cycles'!$CB$24:$CH$24,1,BU282)*(1+INDEX('Lease Cycles'!$CI$24:$CO$24,1,BU282))^INT(INT(BU283/12)/INDEX('Lease Cycles'!$CP$24:$CV$24,1,BU282))/12))),IF('Lease Cycles'!$N$24=1,'Lease Cycles'!$C$24*'Lease Cycles'!$E$24*INDEX('Lease Cycles'!$HE$24:$HK$24,1,BU282)*(1+INDEX('Lease Cycles'!$GQ$24:$GW$24,1,BU282))^INT(INT((BU$6-INDEX('Lease Cycles'!$GJ$24:$GP$24,1,BU282))/12)/INDEX('Lease Cycles'!$GX$24:$HD$24,1,BU282))/12,0)))</f>
        <v>0</v>
      </c>
      <c r="BV285" s="28">
        <f>IF(BV282=0,IF('Lease Cycles'!$F$24&gt;0,'Lease Cycles'!$C$24*'Lease Cycles'!$E$24/12,0),IF(BV284=1,IF('Lease Cycles'!$AT$24&gt;=9999,'Lease Cycles'!$C$24*INDEX('Lease Cycles'!$CB$24:$CH$24,1,BV282)*(1+INDEX('Lease Cycles'!$CI$24:$CO$24,1,BV282))^INT(INT(BV283/12)/INDEX('Lease Cycles'!$CP$24:$CV$24,1,BV282))/12,IF(BV282=1,IF(BV283&gt;=INDEX('Lease Cycles'!$DK$24:$DQ$24,1,BV282),IF(BV$6&gt;='Lease Cycles'!$AZ$24,'Lease Cycles'!$C$24*'Lease Cycles'!$BA$24/12,IF(BV$6&gt;='Lease Cycles'!$AX$24,'Lease Cycles'!$C$24*'Lease Cycles'!$AY$24/12,IF(BV$6&gt;='Lease Cycles'!$AV$24,'Lease Cycles'!$C$24*'Lease Cycles'!$AW$24/12,IF(BV$6&gt;='Lease Cycles'!$AT$24,'Lease Cycles'!$C$24*'Lease Cycles'!$AU$24/12,'Lease Cycles'!$C$24*INDEX('Lease Cycles'!$CB$24:$CH$24,1,BV282)*(1+INDEX('Lease Cycles'!$CI$24:$CO$24,1,BV282))^INT(INT(BV283/12)/INDEX('Lease Cycles'!$CP$24:$CV$24,1,BV282))/12)))),'Lease Cycles'!$C$24*INDEX('Lease Cycles'!$CB$24:$CH$24,1,BV282)*(1+INDEX('Lease Cycles'!$CI$24:$CO$24,1,BV282))^INT(INT(BV283/12)/INDEX('Lease Cycles'!$CP$24:$CV$24,1,BV282))/12),IF(INDEX('Lease Cycles'!$EF$24:$EL$24,1,BV282)=1,IF(AND('Lease Cycles'!$AZ$24&gt;=INDEX('Lease Cycles'!$BG$24:$BM$24,1,BV282),'Lease Cycles'!$AZ$24&lt;=BV$6),'Lease Cycles'!$C$24*'Lease Cycles'!$BA$24/12,IF(AND('Lease Cycles'!$AX$24&gt;=INDEX('Lease Cycles'!$BG$24:$BM$24,1,BV282),'Lease Cycles'!$AX$24&lt;=BV$6),'Lease Cycles'!$C$24*'Lease Cycles'!$AY$24/12,IF(AND('Lease Cycles'!$AV$24&gt;=INDEX('Lease Cycles'!$BG$24:$BM$24,1,BV282),'Lease Cycles'!$AV$24&lt;=BV$6),'Lease Cycles'!$C$24*'Lease Cycles'!$AW$24/12,IF(AND('Lease Cycles'!$AT$24&gt;=INDEX('Lease Cycles'!$BG$24:$BM$24,1,BV282),'Lease Cycles'!$AT$24&lt;=BV$6),'Lease Cycles'!$C$24*'Lease Cycles'!$AU$24/12,'Lease Cycles'!$C$24*INDEX('Lease Cycles'!$CB$24:$CH$24,1,BV282)*(1+INDEX('Lease Cycles'!$CI$24:$CO$24,1,BV282))^INT(INT(BV283/12)/INDEX('Lease Cycles'!$CP$24:$CV$24,1,BV282))/12)))),'Lease Cycles'!$C$24*INDEX('Lease Cycles'!$CB$24:$CH$24,1,BV282)*(1+INDEX('Lease Cycles'!$CI$24:$CO$24,1,BV282))^INT(INT(BV283/12)/INDEX('Lease Cycles'!$CP$24:$CV$24,1,BV282))/12))),IF('Lease Cycles'!$N$24=1,'Lease Cycles'!$C$24*'Lease Cycles'!$E$24*INDEX('Lease Cycles'!$HE$24:$HK$24,1,BV282)*(1+INDEX('Lease Cycles'!$GQ$24:$GW$24,1,BV282))^INT(INT((BV$6-INDEX('Lease Cycles'!$GJ$24:$GP$24,1,BV282))/12)/INDEX('Lease Cycles'!$GX$24:$HD$24,1,BV282))/12,0)))</f>
        <v>0</v>
      </c>
      <c r="BW285" s="28">
        <f>IF(BW282=0,IF('Lease Cycles'!$F$24&gt;0,'Lease Cycles'!$C$24*'Lease Cycles'!$E$24/12,0),IF(BW284=1,IF('Lease Cycles'!$AT$24&gt;=9999,'Lease Cycles'!$C$24*INDEX('Lease Cycles'!$CB$24:$CH$24,1,BW282)*(1+INDEX('Lease Cycles'!$CI$24:$CO$24,1,BW282))^INT(INT(BW283/12)/INDEX('Lease Cycles'!$CP$24:$CV$24,1,BW282))/12,IF(BW282=1,IF(BW283&gt;=INDEX('Lease Cycles'!$DK$24:$DQ$24,1,BW282),IF(BW$6&gt;='Lease Cycles'!$AZ$24,'Lease Cycles'!$C$24*'Lease Cycles'!$BA$24/12,IF(BW$6&gt;='Lease Cycles'!$AX$24,'Lease Cycles'!$C$24*'Lease Cycles'!$AY$24/12,IF(BW$6&gt;='Lease Cycles'!$AV$24,'Lease Cycles'!$C$24*'Lease Cycles'!$AW$24/12,IF(BW$6&gt;='Lease Cycles'!$AT$24,'Lease Cycles'!$C$24*'Lease Cycles'!$AU$24/12,'Lease Cycles'!$C$24*INDEX('Lease Cycles'!$CB$24:$CH$24,1,BW282)*(1+INDEX('Lease Cycles'!$CI$24:$CO$24,1,BW282))^INT(INT(BW283/12)/INDEX('Lease Cycles'!$CP$24:$CV$24,1,BW282))/12)))),'Lease Cycles'!$C$24*INDEX('Lease Cycles'!$CB$24:$CH$24,1,BW282)*(1+INDEX('Lease Cycles'!$CI$24:$CO$24,1,BW282))^INT(INT(BW283/12)/INDEX('Lease Cycles'!$CP$24:$CV$24,1,BW282))/12),IF(INDEX('Lease Cycles'!$EF$24:$EL$24,1,BW282)=1,IF(AND('Lease Cycles'!$AZ$24&gt;=INDEX('Lease Cycles'!$BG$24:$BM$24,1,BW282),'Lease Cycles'!$AZ$24&lt;=BW$6),'Lease Cycles'!$C$24*'Lease Cycles'!$BA$24/12,IF(AND('Lease Cycles'!$AX$24&gt;=INDEX('Lease Cycles'!$BG$24:$BM$24,1,BW282),'Lease Cycles'!$AX$24&lt;=BW$6),'Lease Cycles'!$C$24*'Lease Cycles'!$AY$24/12,IF(AND('Lease Cycles'!$AV$24&gt;=INDEX('Lease Cycles'!$BG$24:$BM$24,1,BW282),'Lease Cycles'!$AV$24&lt;=BW$6),'Lease Cycles'!$C$24*'Lease Cycles'!$AW$24/12,IF(AND('Lease Cycles'!$AT$24&gt;=INDEX('Lease Cycles'!$BG$24:$BM$24,1,BW282),'Lease Cycles'!$AT$24&lt;=BW$6),'Lease Cycles'!$C$24*'Lease Cycles'!$AU$24/12,'Lease Cycles'!$C$24*INDEX('Lease Cycles'!$CB$24:$CH$24,1,BW282)*(1+INDEX('Lease Cycles'!$CI$24:$CO$24,1,BW282))^INT(INT(BW283/12)/INDEX('Lease Cycles'!$CP$24:$CV$24,1,BW282))/12)))),'Lease Cycles'!$C$24*INDEX('Lease Cycles'!$CB$24:$CH$24,1,BW282)*(1+INDEX('Lease Cycles'!$CI$24:$CO$24,1,BW282))^INT(INT(BW283/12)/INDEX('Lease Cycles'!$CP$24:$CV$24,1,BW282))/12))),IF('Lease Cycles'!$N$24=1,'Lease Cycles'!$C$24*'Lease Cycles'!$E$24*INDEX('Lease Cycles'!$HE$24:$HK$24,1,BW282)*(1+INDEX('Lease Cycles'!$GQ$24:$GW$24,1,BW282))^INT(INT((BW$6-INDEX('Lease Cycles'!$GJ$24:$GP$24,1,BW282))/12)/INDEX('Lease Cycles'!$GX$24:$HD$24,1,BW282))/12,0)))</f>
        <v>0</v>
      </c>
      <c r="BX285" s="28">
        <f>IF(BX282=0,IF('Lease Cycles'!$F$24&gt;0,'Lease Cycles'!$C$24*'Lease Cycles'!$E$24/12,0),IF(BX284=1,IF('Lease Cycles'!$AT$24&gt;=9999,'Lease Cycles'!$C$24*INDEX('Lease Cycles'!$CB$24:$CH$24,1,BX282)*(1+INDEX('Lease Cycles'!$CI$24:$CO$24,1,BX282))^INT(INT(BX283/12)/INDEX('Lease Cycles'!$CP$24:$CV$24,1,BX282))/12,IF(BX282=1,IF(BX283&gt;=INDEX('Lease Cycles'!$DK$24:$DQ$24,1,BX282),IF(BX$6&gt;='Lease Cycles'!$AZ$24,'Lease Cycles'!$C$24*'Lease Cycles'!$BA$24/12,IF(BX$6&gt;='Lease Cycles'!$AX$24,'Lease Cycles'!$C$24*'Lease Cycles'!$AY$24/12,IF(BX$6&gt;='Lease Cycles'!$AV$24,'Lease Cycles'!$C$24*'Lease Cycles'!$AW$24/12,IF(BX$6&gt;='Lease Cycles'!$AT$24,'Lease Cycles'!$C$24*'Lease Cycles'!$AU$24/12,'Lease Cycles'!$C$24*INDEX('Lease Cycles'!$CB$24:$CH$24,1,BX282)*(1+INDEX('Lease Cycles'!$CI$24:$CO$24,1,BX282))^INT(INT(BX283/12)/INDEX('Lease Cycles'!$CP$24:$CV$24,1,BX282))/12)))),'Lease Cycles'!$C$24*INDEX('Lease Cycles'!$CB$24:$CH$24,1,BX282)*(1+INDEX('Lease Cycles'!$CI$24:$CO$24,1,BX282))^INT(INT(BX283/12)/INDEX('Lease Cycles'!$CP$24:$CV$24,1,BX282))/12),IF(INDEX('Lease Cycles'!$EF$24:$EL$24,1,BX282)=1,IF(AND('Lease Cycles'!$AZ$24&gt;=INDEX('Lease Cycles'!$BG$24:$BM$24,1,BX282),'Lease Cycles'!$AZ$24&lt;=BX$6),'Lease Cycles'!$C$24*'Lease Cycles'!$BA$24/12,IF(AND('Lease Cycles'!$AX$24&gt;=INDEX('Lease Cycles'!$BG$24:$BM$24,1,BX282),'Lease Cycles'!$AX$24&lt;=BX$6),'Lease Cycles'!$C$24*'Lease Cycles'!$AY$24/12,IF(AND('Lease Cycles'!$AV$24&gt;=INDEX('Lease Cycles'!$BG$24:$BM$24,1,BX282),'Lease Cycles'!$AV$24&lt;=BX$6),'Lease Cycles'!$C$24*'Lease Cycles'!$AW$24/12,IF(AND('Lease Cycles'!$AT$24&gt;=INDEX('Lease Cycles'!$BG$24:$BM$24,1,BX282),'Lease Cycles'!$AT$24&lt;=BX$6),'Lease Cycles'!$C$24*'Lease Cycles'!$AU$24/12,'Lease Cycles'!$C$24*INDEX('Lease Cycles'!$CB$24:$CH$24,1,BX282)*(1+INDEX('Lease Cycles'!$CI$24:$CO$24,1,BX282))^INT(INT(BX283/12)/INDEX('Lease Cycles'!$CP$24:$CV$24,1,BX282))/12)))),'Lease Cycles'!$C$24*INDEX('Lease Cycles'!$CB$24:$CH$24,1,BX282)*(1+INDEX('Lease Cycles'!$CI$24:$CO$24,1,BX282))^INT(INT(BX283/12)/INDEX('Lease Cycles'!$CP$24:$CV$24,1,BX282))/12))),IF('Lease Cycles'!$N$24=1,'Lease Cycles'!$C$24*'Lease Cycles'!$E$24*INDEX('Lease Cycles'!$HE$24:$HK$24,1,BX282)*(1+INDEX('Lease Cycles'!$GQ$24:$GW$24,1,BX282))^INT(INT((BX$6-INDEX('Lease Cycles'!$GJ$24:$GP$24,1,BX282))/12)/INDEX('Lease Cycles'!$GX$24:$HD$24,1,BX282))/12,0)))</f>
        <v>0</v>
      </c>
      <c r="BY285" s="28">
        <f>IF(BY282=0,IF('Lease Cycles'!$F$24&gt;0,'Lease Cycles'!$C$24*'Lease Cycles'!$E$24/12,0),IF(BY284=1,IF('Lease Cycles'!$AT$24&gt;=9999,'Lease Cycles'!$C$24*INDEX('Lease Cycles'!$CB$24:$CH$24,1,BY282)*(1+INDEX('Lease Cycles'!$CI$24:$CO$24,1,BY282))^INT(INT(BY283/12)/INDEX('Lease Cycles'!$CP$24:$CV$24,1,BY282))/12,IF(BY282=1,IF(BY283&gt;=INDEX('Lease Cycles'!$DK$24:$DQ$24,1,BY282),IF(BY$6&gt;='Lease Cycles'!$AZ$24,'Lease Cycles'!$C$24*'Lease Cycles'!$BA$24/12,IF(BY$6&gt;='Lease Cycles'!$AX$24,'Lease Cycles'!$C$24*'Lease Cycles'!$AY$24/12,IF(BY$6&gt;='Lease Cycles'!$AV$24,'Lease Cycles'!$C$24*'Lease Cycles'!$AW$24/12,IF(BY$6&gt;='Lease Cycles'!$AT$24,'Lease Cycles'!$C$24*'Lease Cycles'!$AU$24/12,'Lease Cycles'!$C$24*INDEX('Lease Cycles'!$CB$24:$CH$24,1,BY282)*(1+INDEX('Lease Cycles'!$CI$24:$CO$24,1,BY282))^INT(INT(BY283/12)/INDEX('Lease Cycles'!$CP$24:$CV$24,1,BY282))/12)))),'Lease Cycles'!$C$24*INDEX('Lease Cycles'!$CB$24:$CH$24,1,BY282)*(1+INDEX('Lease Cycles'!$CI$24:$CO$24,1,BY282))^INT(INT(BY283/12)/INDEX('Lease Cycles'!$CP$24:$CV$24,1,BY282))/12),IF(INDEX('Lease Cycles'!$EF$24:$EL$24,1,BY282)=1,IF(AND('Lease Cycles'!$AZ$24&gt;=INDEX('Lease Cycles'!$BG$24:$BM$24,1,BY282),'Lease Cycles'!$AZ$24&lt;=BY$6),'Lease Cycles'!$C$24*'Lease Cycles'!$BA$24/12,IF(AND('Lease Cycles'!$AX$24&gt;=INDEX('Lease Cycles'!$BG$24:$BM$24,1,BY282),'Lease Cycles'!$AX$24&lt;=BY$6),'Lease Cycles'!$C$24*'Lease Cycles'!$AY$24/12,IF(AND('Lease Cycles'!$AV$24&gt;=INDEX('Lease Cycles'!$BG$24:$BM$24,1,BY282),'Lease Cycles'!$AV$24&lt;=BY$6),'Lease Cycles'!$C$24*'Lease Cycles'!$AW$24/12,IF(AND('Lease Cycles'!$AT$24&gt;=INDEX('Lease Cycles'!$BG$24:$BM$24,1,BY282),'Lease Cycles'!$AT$24&lt;=BY$6),'Lease Cycles'!$C$24*'Lease Cycles'!$AU$24/12,'Lease Cycles'!$C$24*INDEX('Lease Cycles'!$CB$24:$CH$24,1,BY282)*(1+INDEX('Lease Cycles'!$CI$24:$CO$24,1,BY282))^INT(INT(BY283/12)/INDEX('Lease Cycles'!$CP$24:$CV$24,1,BY282))/12)))),'Lease Cycles'!$C$24*INDEX('Lease Cycles'!$CB$24:$CH$24,1,BY282)*(1+INDEX('Lease Cycles'!$CI$24:$CO$24,1,BY282))^INT(INT(BY283/12)/INDEX('Lease Cycles'!$CP$24:$CV$24,1,BY282))/12))),IF('Lease Cycles'!$N$24=1,'Lease Cycles'!$C$24*'Lease Cycles'!$E$24*INDEX('Lease Cycles'!$HE$24:$HK$24,1,BY282)*(1+INDEX('Lease Cycles'!$GQ$24:$GW$24,1,BY282))^INT(INT((BY$6-INDEX('Lease Cycles'!$GJ$24:$GP$24,1,BY282))/12)/INDEX('Lease Cycles'!$GX$24:$HD$24,1,BY282))/12,0)))</f>
        <v>0</v>
      </c>
      <c r="BZ285" s="28">
        <f>IF(BZ282=0,IF('Lease Cycles'!$F$24&gt;0,'Lease Cycles'!$C$24*'Lease Cycles'!$E$24/12,0),IF(BZ284=1,IF('Lease Cycles'!$AT$24&gt;=9999,'Lease Cycles'!$C$24*INDEX('Lease Cycles'!$CB$24:$CH$24,1,BZ282)*(1+INDEX('Lease Cycles'!$CI$24:$CO$24,1,BZ282))^INT(INT(BZ283/12)/INDEX('Lease Cycles'!$CP$24:$CV$24,1,BZ282))/12,IF(BZ282=1,IF(BZ283&gt;=INDEX('Lease Cycles'!$DK$24:$DQ$24,1,BZ282),IF(BZ$6&gt;='Lease Cycles'!$AZ$24,'Lease Cycles'!$C$24*'Lease Cycles'!$BA$24/12,IF(BZ$6&gt;='Lease Cycles'!$AX$24,'Lease Cycles'!$C$24*'Lease Cycles'!$AY$24/12,IF(BZ$6&gt;='Lease Cycles'!$AV$24,'Lease Cycles'!$C$24*'Lease Cycles'!$AW$24/12,IF(BZ$6&gt;='Lease Cycles'!$AT$24,'Lease Cycles'!$C$24*'Lease Cycles'!$AU$24/12,'Lease Cycles'!$C$24*INDEX('Lease Cycles'!$CB$24:$CH$24,1,BZ282)*(1+INDEX('Lease Cycles'!$CI$24:$CO$24,1,BZ282))^INT(INT(BZ283/12)/INDEX('Lease Cycles'!$CP$24:$CV$24,1,BZ282))/12)))),'Lease Cycles'!$C$24*INDEX('Lease Cycles'!$CB$24:$CH$24,1,BZ282)*(1+INDEX('Lease Cycles'!$CI$24:$CO$24,1,BZ282))^INT(INT(BZ283/12)/INDEX('Lease Cycles'!$CP$24:$CV$24,1,BZ282))/12),IF(INDEX('Lease Cycles'!$EF$24:$EL$24,1,BZ282)=1,IF(AND('Lease Cycles'!$AZ$24&gt;=INDEX('Lease Cycles'!$BG$24:$BM$24,1,BZ282),'Lease Cycles'!$AZ$24&lt;=BZ$6),'Lease Cycles'!$C$24*'Lease Cycles'!$BA$24/12,IF(AND('Lease Cycles'!$AX$24&gt;=INDEX('Lease Cycles'!$BG$24:$BM$24,1,BZ282),'Lease Cycles'!$AX$24&lt;=BZ$6),'Lease Cycles'!$C$24*'Lease Cycles'!$AY$24/12,IF(AND('Lease Cycles'!$AV$24&gt;=INDEX('Lease Cycles'!$BG$24:$BM$24,1,BZ282),'Lease Cycles'!$AV$24&lt;=BZ$6),'Lease Cycles'!$C$24*'Lease Cycles'!$AW$24/12,IF(AND('Lease Cycles'!$AT$24&gt;=INDEX('Lease Cycles'!$BG$24:$BM$24,1,BZ282),'Lease Cycles'!$AT$24&lt;=BZ$6),'Lease Cycles'!$C$24*'Lease Cycles'!$AU$24/12,'Lease Cycles'!$C$24*INDEX('Lease Cycles'!$CB$24:$CH$24,1,BZ282)*(1+INDEX('Lease Cycles'!$CI$24:$CO$24,1,BZ282))^INT(INT(BZ283/12)/INDEX('Lease Cycles'!$CP$24:$CV$24,1,BZ282))/12)))),'Lease Cycles'!$C$24*INDEX('Lease Cycles'!$CB$24:$CH$24,1,BZ282)*(1+INDEX('Lease Cycles'!$CI$24:$CO$24,1,BZ282))^INT(INT(BZ283/12)/INDEX('Lease Cycles'!$CP$24:$CV$24,1,BZ282))/12))),IF('Lease Cycles'!$N$24=1,'Lease Cycles'!$C$24*'Lease Cycles'!$E$24*INDEX('Lease Cycles'!$HE$24:$HK$24,1,BZ282)*(1+INDEX('Lease Cycles'!$GQ$24:$GW$24,1,BZ282))^INT(INT((BZ$6-INDEX('Lease Cycles'!$GJ$24:$GP$24,1,BZ282))/12)/INDEX('Lease Cycles'!$GX$24:$HD$24,1,BZ282))/12,0)))</f>
        <v>0</v>
      </c>
      <c r="CA285" s="28">
        <f>IF(CA282=0,IF('Lease Cycles'!$F$24&gt;0,'Lease Cycles'!$C$24*'Lease Cycles'!$E$24/12,0),IF(CA284=1,IF('Lease Cycles'!$AT$24&gt;=9999,'Lease Cycles'!$C$24*INDEX('Lease Cycles'!$CB$24:$CH$24,1,CA282)*(1+INDEX('Lease Cycles'!$CI$24:$CO$24,1,CA282))^INT(INT(CA283/12)/INDEX('Lease Cycles'!$CP$24:$CV$24,1,CA282))/12,IF(CA282=1,IF(CA283&gt;=INDEX('Lease Cycles'!$DK$24:$DQ$24,1,CA282),IF(CA$6&gt;='Lease Cycles'!$AZ$24,'Lease Cycles'!$C$24*'Lease Cycles'!$BA$24/12,IF(CA$6&gt;='Lease Cycles'!$AX$24,'Lease Cycles'!$C$24*'Lease Cycles'!$AY$24/12,IF(CA$6&gt;='Lease Cycles'!$AV$24,'Lease Cycles'!$C$24*'Lease Cycles'!$AW$24/12,IF(CA$6&gt;='Lease Cycles'!$AT$24,'Lease Cycles'!$C$24*'Lease Cycles'!$AU$24/12,'Lease Cycles'!$C$24*INDEX('Lease Cycles'!$CB$24:$CH$24,1,CA282)*(1+INDEX('Lease Cycles'!$CI$24:$CO$24,1,CA282))^INT(INT(CA283/12)/INDEX('Lease Cycles'!$CP$24:$CV$24,1,CA282))/12)))),'Lease Cycles'!$C$24*INDEX('Lease Cycles'!$CB$24:$CH$24,1,CA282)*(1+INDEX('Lease Cycles'!$CI$24:$CO$24,1,CA282))^INT(INT(CA283/12)/INDEX('Lease Cycles'!$CP$24:$CV$24,1,CA282))/12),IF(INDEX('Lease Cycles'!$EF$24:$EL$24,1,CA282)=1,IF(AND('Lease Cycles'!$AZ$24&gt;=INDEX('Lease Cycles'!$BG$24:$BM$24,1,CA282),'Lease Cycles'!$AZ$24&lt;=CA$6),'Lease Cycles'!$C$24*'Lease Cycles'!$BA$24/12,IF(AND('Lease Cycles'!$AX$24&gt;=INDEX('Lease Cycles'!$BG$24:$BM$24,1,CA282),'Lease Cycles'!$AX$24&lt;=CA$6),'Lease Cycles'!$C$24*'Lease Cycles'!$AY$24/12,IF(AND('Lease Cycles'!$AV$24&gt;=INDEX('Lease Cycles'!$BG$24:$BM$24,1,CA282),'Lease Cycles'!$AV$24&lt;=CA$6),'Lease Cycles'!$C$24*'Lease Cycles'!$AW$24/12,IF(AND('Lease Cycles'!$AT$24&gt;=INDEX('Lease Cycles'!$BG$24:$BM$24,1,CA282),'Lease Cycles'!$AT$24&lt;=CA$6),'Lease Cycles'!$C$24*'Lease Cycles'!$AU$24/12,'Lease Cycles'!$C$24*INDEX('Lease Cycles'!$CB$24:$CH$24,1,CA282)*(1+INDEX('Lease Cycles'!$CI$24:$CO$24,1,CA282))^INT(INT(CA283/12)/INDEX('Lease Cycles'!$CP$24:$CV$24,1,CA282))/12)))),'Lease Cycles'!$C$24*INDEX('Lease Cycles'!$CB$24:$CH$24,1,CA282)*(1+INDEX('Lease Cycles'!$CI$24:$CO$24,1,CA282))^INT(INT(CA283/12)/INDEX('Lease Cycles'!$CP$24:$CV$24,1,CA282))/12))),IF('Lease Cycles'!$N$24=1,'Lease Cycles'!$C$24*'Lease Cycles'!$E$24*INDEX('Lease Cycles'!$HE$24:$HK$24,1,CA282)*(1+INDEX('Lease Cycles'!$GQ$24:$GW$24,1,CA282))^INT(INT((CA$6-INDEX('Lease Cycles'!$GJ$24:$GP$24,1,CA282))/12)/INDEX('Lease Cycles'!$GX$24:$HD$24,1,CA282))/12,0)))</f>
        <v>0</v>
      </c>
      <c r="CB285" s="28">
        <f>IF(CB282=0,IF('Lease Cycles'!$F$24&gt;0,'Lease Cycles'!$C$24*'Lease Cycles'!$E$24/12,0),IF(CB284=1,IF('Lease Cycles'!$AT$24&gt;=9999,'Lease Cycles'!$C$24*INDEX('Lease Cycles'!$CB$24:$CH$24,1,CB282)*(1+INDEX('Lease Cycles'!$CI$24:$CO$24,1,CB282))^INT(INT(CB283/12)/INDEX('Lease Cycles'!$CP$24:$CV$24,1,CB282))/12,IF(CB282=1,IF(CB283&gt;=INDEX('Lease Cycles'!$DK$24:$DQ$24,1,CB282),IF(CB$6&gt;='Lease Cycles'!$AZ$24,'Lease Cycles'!$C$24*'Lease Cycles'!$BA$24/12,IF(CB$6&gt;='Lease Cycles'!$AX$24,'Lease Cycles'!$C$24*'Lease Cycles'!$AY$24/12,IF(CB$6&gt;='Lease Cycles'!$AV$24,'Lease Cycles'!$C$24*'Lease Cycles'!$AW$24/12,IF(CB$6&gt;='Lease Cycles'!$AT$24,'Lease Cycles'!$C$24*'Lease Cycles'!$AU$24/12,'Lease Cycles'!$C$24*INDEX('Lease Cycles'!$CB$24:$CH$24,1,CB282)*(1+INDEX('Lease Cycles'!$CI$24:$CO$24,1,CB282))^INT(INT(CB283/12)/INDEX('Lease Cycles'!$CP$24:$CV$24,1,CB282))/12)))),'Lease Cycles'!$C$24*INDEX('Lease Cycles'!$CB$24:$CH$24,1,CB282)*(1+INDEX('Lease Cycles'!$CI$24:$CO$24,1,CB282))^INT(INT(CB283/12)/INDEX('Lease Cycles'!$CP$24:$CV$24,1,CB282))/12),IF(INDEX('Lease Cycles'!$EF$24:$EL$24,1,CB282)=1,IF(AND('Lease Cycles'!$AZ$24&gt;=INDEX('Lease Cycles'!$BG$24:$BM$24,1,CB282),'Lease Cycles'!$AZ$24&lt;=CB$6),'Lease Cycles'!$C$24*'Lease Cycles'!$BA$24/12,IF(AND('Lease Cycles'!$AX$24&gt;=INDEX('Lease Cycles'!$BG$24:$BM$24,1,CB282),'Lease Cycles'!$AX$24&lt;=CB$6),'Lease Cycles'!$C$24*'Lease Cycles'!$AY$24/12,IF(AND('Lease Cycles'!$AV$24&gt;=INDEX('Lease Cycles'!$BG$24:$BM$24,1,CB282),'Lease Cycles'!$AV$24&lt;=CB$6),'Lease Cycles'!$C$24*'Lease Cycles'!$AW$24/12,IF(AND('Lease Cycles'!$AT$24&gt;=INDEX('Lease Cycles'!$BG$24:$BM$24,1,CB282),'Lease Cycles'!$AT$24&lt;=CB$6),'Lease Cycles'!$C$24*'Lease Cycles'!$AU$24/12,'Lease Cycles'!$C$24*INDEX('Lease Cycles'!$CB$24:$CH$24,1,CB282)*(1+INDEX('Lease Cycles'!$CI$24:$CO$24,1,CB282))^INT(INT(CB283/12)/INDEX('Lease Cycles'!$CP$24:$CV$24,1,CB282))/12)))),'Lease Cycles'!$C$24*INDEX('Lease Cycles'!$CB$24:$CH$24,1,CB282)*(1+INDEX('Lease Cycles'!$CI$24:$CO$24,1,CB282))^INT(INT(CB283/12)/INDEX('Lease Cycles'!$CP$24:$CV$24,1,CB282))/12))),IF('Lease Cycles'!$N$24=1,'Lease Cycles'!$C$24*'Lease Cycles'!$E$24*INDEX('Lease Cycles'!$HE$24:$HK$24,1,CB282)*(1+INDEX('Lease Cycles'!$GQ$24:$GW$24,1,CB282))^INT(INT((CB$6-INDEX('Lease Cycles'!$GJ$24:$GP$24,1,CB282))/12)/INDEX('Lease Cycles'!$GX$24:$HD$24,1,CB282))/12,0)))</f>
        <v>0</v>
      </c>
      <c r="CC285" s="28">
        <f>IF(CC282=0,IF('Lease Cycles'!$F$24&gt;0,'Lease Cycles'!$C$24*'Lease Cycles'!$E$24/12,0),IF(CC284=1,IF('Lease Cycles'!$AT$24&gt;=9999,'Lease Cycles'!$C$24*INDEX('Lease Cycles'!$CB$24:$CH$24,1,CC282)*(1+INDEX('Lease Cycles'!$CI$24:$CO$24,1,CC282))^INT(INT(CC283/12)/INDEX('Lease Cycles'!$CP$24:$CV$24,1,CC282))/12,IF(CC282=1,IF(CC283&gt;=INDEX('Lease Cycles'!$DK$24:$DQ$24,1,CC282),IF(CC$6&gt;='Lease Cycles'!$AZ$24,'Lease Cycles'!$C$24*'Lease Cycles'!$BA$24/12,IF(CC$6&gt;='Lease Cycles'!$AX$24,'Lease Cycles'!$C$24*'Lease Cycles'!$AY$24/12,IF(CC$6&gt;='Lease Cycles'!$AV$24,'Lease Cycles'!$C$24*'Lease Cycles'!$AW$24/12,IF(CC$6&gt;='Lease Cycles'!$AT$24,'Lease Cycles'!$C$24*'Lease Cycles'!$AU$24/12,'Lease Cycles'!$C$24*INDEX('Lease Cycles'!$CB$24:$CH$24,1,CC282)*(1+INDEX('Lease Cycles'!$CI$24:$CO$24,1,CC282))^INT(INT(CC283/12)/INDEX('Lease Cycles'!$CP$24:$CV$24,1,CC282))/12)))),'Lease Cycles'!$C$24*INDEX('Lease Cycles'!$CB$24:$CH$24,1,CC282)*(1+INDEX('Lease Cycles'!$CI$24:$CO$24,1,CC282))^INT(INT(CC283/12)/INDEX('Lease Cycles'!$CP$24:$CV$24,1,CC282))/12),IF(INDEX('Lease Cycles'!$EF$24:$EL$24,1,CC282)=1,IF(AND('Lease Cycles'!$AZ$24&gt;=INDEX('Lease Cycles'!$BG$24:$BM$24,1,CC282),'Lease Cycles'!$AZ$24&lt;=CC$6),'Lease Cycles'!$C$24*'Lease Cycles'!$BA$24/12,IF(AND('Lease Cycles'!$AX$24&gt;=INDEX('Lease Cycles'!$BG$24:$BM$24,1,CC282),'Lease Cycles'!$AX$24&lt;=CC$6),'Lease Cycles'!$C$24*'Lease Cycles'!$AY$24/12,IF(AND('Lease Cycles'!$AV$24&gt;=INDEX('Lease Cycles'!$BG$24:$BM$24,1,CC282),'Lease Cycles'!$AV$24&lt;=CC$6),'Lease Cycles'!$C$24*'Lease Cycles'!$AW$24/12,IF(AND('Lease Cycles'!$AT$24&gt;=INDEX('Lease Cycles'!$BG$24:$BM$24,1,CC282),'Lease Cycles'!$AT$24&lt;=CC$6),'Lease Cycles'!$C$24*'Lease Cycles'!$AU$24/12,'Lease Cycles'!$C$24*INDEX('Lease Cycles'!$CB$24:$CH$24,1,CC282)*(1+INDEX('Lease Cycles'!$CI$24:$CO$24,1,CC282))^INT(INT(CC283/12)/INDEX('Lease Cycles'!$CP$24:$CV$24,1,CC282))/12)))),'Lease Cycles'!$C$24*INDEX('Lease Cycles'!$CB$24:$CH$24,1,CC282)*(1+INDEX('Lease Cycles'!$CI$24:$CO$24,1,CC282))^INT(INT(CC283/12)/INDEX('Lease Cycles'!$CP$24:$CV$24,1,CC282))/12))),IF('Lease Cycles'!$N$24=1,'Lease Cycles'!$C$24*'Lease Cycles'!$E$24*INDEX('Lease Cycles'!$HE$24:$HK$24,1,CC282)*(1+INDEX('Lease Cycles'!$GQ$24:$GW$24,1,CC282))^INT(INT((CC$6-INDEX('Lease Cycles'!$GJ$24:$GP$24,1,CC282))/12)/INDEX('Lease Cycles'!$GX$24:$HD$24,1,CC282))/12,0)))</f>
        <v>0</v>
      </c>
      <c r="CD285" s="28">
        <f>IF(CD282=0,IF('Lease Cycles'!$F$24&gt;0,'Lease Cycles'!$C$24*'Lease Cycles'!$E$24/12,0),IF(CD284=1,IF('Lease Cycles'!$AT$24&gt;=9999,'Lease Cycles'!$C$24*INDEX('Lease Cycles'!$CB$24:$CH$24,1,CD282)*(1+INDEX('Lease Cycles'!$CI$24:$CO$24,1,CD282))^INT(INT(CD283/12)/INDEX('Lease Cycles'!$CP$24:$CV$24,1,CD282))/12,IF(CD282=1,IF(CD283&gt;=INDEX('Lease Cycles'!$DK$24:$DQ$24,1,CD282),IF(CD$6&gt;='Lease Cycles'!$AZ$24,'Lease Cycles'!$C$24*'Lease Cycles'!$BA$24/12,IF(CD$6&gt;='Lease Cycles'!$AX$24,'Lease Cycles'!$C$24*'Lease Cycles'!$AY$24/12,IF(CD$6&gt;='Lease Cycles'!$AV$24,'Lease Cycles'!$C$24*'Lease Cycles'!$AW$24/12,IF(CD$6&gt;='Lease Cycles'!$AT$24,'Lease Cycles'!$C$24*'Lease Cycles'!$AU$24/12,'Lease Cycles'!$C$24*INDEX('Lease Cycles'!$CB$24:$CH$24,1,CD282)*(1+INDEX('Lease Cycles'!$CI$24:$CO$24,1,CD282))^INT(INT(CD283/12)/INDEX('Lease Cycles'!$CP$24:$CV$24,1,CD282))/12)))),'Lease Cycles'!$C$24*INDEX('Lease Cycles'!$CB$24:$CH$24,1,CD282)*(1+INDEX('Lease Cycles'!$CI$24:$CO$24,1,CD282))^INT(INT(CD283/12)/INDEX('Lease Cycles'!$CP$24:$CV$24,1,CD282))/12),IF(INDEX('Lease Cycles'!$EF$24:$EL$24,1,CD282)=1,IF(AND('Lease Cycles'!$AZ$24&gt;=INDEX('Lease Cycles'!$BG$24:$BM$24,1,CD282),'Lease Cycles'!$AZ$24&lt;=CD$6),'Lease Cycles'!$C$24*'Lease Cycles'!$BA$24/12,IF(AND('Lease Cycles'!$AX$24&gt;=INDEX('Lease Cycles'!$BG$24:$BM$24,1,CD282),'Lease Cycles'!$AX$24&lt;=CD$6),'Lease Cycles'!$C$24*'Lease Cycles'!$AY$24/12,IF(AND('Lease Cycles'!$AV$24&gt;=INDEX('Lease Cycles'!$BG$24:$BM$24,1,CD282),'Lease Cycles'!$AV$24&lt;=CD$6),'Lease Cycles'!$C$24*'Lease Cycles'!$AW$24/12,IF(AND('Lease Cycles'!$AT$24&gt;=INDEX('Lease Cycles'!$BG$24:$BM$24,1,CD282),'Lease Cycles'!$AT$24&lt;=CD$6),'Lease Cycles'!$C$24*'Lease Cycles'!$AU$24/12,'Lease Cycles'!$C$24*INDEX('Lease Cycles'!$CB$24:$CH$24,1,CD282)*(1+INDEX('Lease Cycles'!$CI$24:$CO$24,1,CD282))^INT(INT(CD283/12)/INDEX('Lease Cycles'!$CP$24:$CV$24,1,CD282))/12)))),'Lease Cycles'!$C$24*INDEX('Lease Cycles'!$CB$24:$CH$24,1,CD282)*(1+INDEX('Lease Cycles'!$CI$24:$CO$24,1,CD282))^INT(INT(CD283/12)/INDEX('Lease Cycles'!$CP$24:$CV$24,1,CD282))/12))),IF('Lease Cycles'!$N$24=1,'Lease Cycles'!$C$24*'Lease Cycles'!$E$24*INDEX('Lease Cycles'!$HE$24:$HK$24,1,CD282)*(1+INDEX('Lease Cycles'!$GQ$24:$GW$24,1,CD282))^INT(INT((CD$6-INDEX('Lease Cycles'!$GJ$24:$GP$24,1,CD282))/12)/INDEX('Lease Cycles'!$GX$24:$HD$24,1,CD282))/12,0)))</f>
        <v>0</v>
      </c>
      <c r="CE285" s="28">
        <f>IF(CE282=0,IF('Lease Cycles'!$F$24&gt;0,'Lease Cycles'!$C$24*'Lease Cycles'!$E$24/12,0),IF(CE284=1,IF('Lease Cycles'!$AT$24&gt;=9999,'Lease Cycles'!$C$24*INDEX('Lease Cycles'!$CB$24:$CH$24,1,CE282)*(1+INDEX('Lease Cycles'!$CI$24:$CO$24,1,CE282))^INT(INT(CE283/12)/INDEX('Lease Cycles'!$CP$24:$CV$24,1,CE282))/12,IF(CE282=1,IF(CE283&gt;=INDEX('Lease Cycles'!$DK$24:$DQ$24,1,CE282),IF(CE$6&gt;='Lease Cycles'!$AZ$24,'Lease Cycles'!$C$24*'Lease Cycles'!$BA$24/12,IF(CE$6&gt;='Lease Cycles'!$AX$24,'Lease Cycles'!$C$24*'Lease Cycles'!$AY$24/12,IF(CE$6&gt;='Lease Cycles'!$AV$24,'Lease Cycles'!$C$24*'Lease Cycles'!$AW$24/12,IF(CE$6&gt;='Lease Cycles'!$AT$24,'Lease Cycles'!$C$24*'Lease Cycles'!$AU$24/12,'Lease Cycles'!$C$24*INDEX('Lease Cycles'!$CB$24:$CH$24,1,CE282)*(1+INDEX('Lease Cycles'!$CI$24:$CO$24,1,CE282))^INT(INT(CE283/12)/INDEX('Lease Cycles'!$CP$24:$CV$24,1,CE282))/12)))),'Lease Cycles'!$C$24*INDEX('Lease Cycles'!$CB$24:$CH$24,1,CE282)*(1+INDEX('Lease Cycles'!$CI$24:$CO$24,1,CE282))^INT(INT(CE283/12)/INDEX('Lease Cycles'!$CP$24:$CV$24,1,CE282))/12),IF(INDEX('Lease Cycles'!$EF$24:$EL$24,1,CE282)=1,IF(AND('Lease Cycles'!$AZ$24&gt;=INDEX('Lease Cycles'!$BG$24:$BM$24,1,CE282),'Lease Cycles'!$AZ$24&lt;=CE$6),'Lease Cycles'!$C$24*'Lease Cycles'!$BA$24/12,IF(AND('Lease Cycles'!$AX$24&gt;=INDEX('Lease Cycles'!$BG$24:$BM$24,1,CE282),'Lease Cycles'!$AX$24&lt;=CE$6),'Lease Cycles'!$C$24*'Lease Cycles'!$AY$24/12,IF(AND('Lease Cycles'!$AV$24&gt;=INDEX('Lease Cycles'!$BG$24:$BM$24,1,CE282),'Lease Cycles'!$AV$24&lt;=CE$6),'Lease Cycles'!$C$24*'Lease Cycles'!$AW$24/12,IF(AND('Lease Cycles'!$AT$24&gt;=INDEX('Lease Cycles'!$BG$24:$BM$24,1,CE282),'Lease Cycles'!$AT$24&lt;=CE$6),'Lease Cycles'!$C$24*'Lease Cycles'!$AU$24/12,'Lease Cycles'!$C$24*INDEX('Lease Cycles'!$CB$24:$CH$24,1,CE282)*(1+INDEX('Lease Cycles'!$CI$24:$CO$24,1,CE282))^INT(INT(CE283/12)/INDEX('Lease Cycles'!$CP$24:$CV$24,1,CE282))/12)))),'Lease Cycles'!$C$24*INDEX('Lease Cycles'!$CB$24:$CH$24,1,CE282)*(1+INDEX('Lease Cycles'!$CI$24:$CO$24,1,CE282))^INT(INT(CE283/12)/INDEX('Lease Cycles'!$CP$24:$CV$24,1,CE282))/12))),IF('Lease Cycles'!$N$24=1,'Lease Cycles'!$C$24*'Lease Cycles'!$E$24*INDEX('Lease Cycles'!$HE$24:$HK$24,1,CE282)*(1+INDEX('Lease Cycles'!$GQ$24:$GW$24,1,CE282))^INT(INT((CE$6-INDEX('Lease Cycles'!$GJ$24:$GP$24,1,CE282))/12)/INDEX('Lease Cycles'!$GX$24:$HD$24,1,CE282))/12,0)))</f>
        <v>0</v>
      </c>
      <c r="CF285" s="28">
        <f>IF(CF282=0,IF('Lease Cycles'!$F$24&gt;0,'Lease Cycles'!$C$24*'Lease Cycles'!$E$24/12,0),IF(CF284=1,IF('Lease Cycles'!$AT$24&gt;=9999,'Lease Cycles'!$C$24*INDEX('Lease Cycles'!$CB$24:$CH$24,1,CF282)*(1+INDEX('Lease Cycles'!$CI$24:$CO$24,1,CF282))^INT(INT(CF283/12)/INDEX('Lease Cycles'!$CP$24:$CV$24,1,CF282))/12,IF(CF282=1,IF(CF283&gt;=INDEX('Lease Cycles'!$DK$24:$DQ$24,1,CF282),IF(CF$6&gt;='Lease Cycles'!$AZ$24,'Lease Cycles'!$C$24*'Lease Cycles'!$BA$24/12,IF(CF$6&gt;='Lease Cycles'!$AX$24,'Lease Cycles'!$C$24*'Lease Cycles'!$AY$24/12,IF(CF$6&gt;='Lease Cycles'!$AV$24,'Lease Cycles'!$C$24*'Lease Cycles'!$AW$24/12,IF(CF$6&gt;='Lease Cycles'!$AT$24,'Lease Cycles'!$C$24*'Lease Cycles'!$AU$24/12,'Lease Cycles'!$C$24*INDEX('Lease Cycles'!$CB$24:$CH$24,1,CF282)*(1+INDEX('Lease Cycles'!$CI$24:$CO$24,1,CF282))^INT(INT(CF283/12)/INDEX('Lease Cycles'!$CP$24:$CV$24,1,CF282))/12)))),'Lease Cycles'!$C$24*INDEX('Lease Cycles'!$CB$24:$CH$24,1,CF282)*(1+INDEX('Lease Cycles'!$CI$24:$CO$24,1,CF282))^INT(INT(CF283/12)/INDEX('Lease Cycles'!$CP$24:$CV$24,1,CF282))/12),IF(INDEX('Lease Cycles'!$EF$24:$EL$24,1,CF282)=1,IF(AND('Lease Cycles'!$AZ$24&gt;=INDEX('Lease Cycles'!$BG$24:$BM$24,1,CF282),'Lease Cycles'!$AZ$24&lt;=CF$6),'Lease Cycles'!$C$24*'Lease Cycles'!$BA$24/12,IF(AND('Lease Cycles'!$AX$24&gt;=INDEX('Lease Cycles'!$BG$24:$BM$24,1,CF282),'Lease Cycles'!$AX$24&lt;=CF$6),'Lease Cycles'!$C$24*'Lease Cycles'!$AY$24/12,IF(AND('Lease Cycles'!$AV$24&gt;=INDEX('Lease Cycles'!$BG$24:$BM$24,1,CF282),'Lease Cycles'!$AV$24&lt;=CF$6),'Lease Cycles'!$C$24*'Lease Cycles'!$AW$24/12,IF(AND('Lease Cycles'!$AT$24&gt;=INDEX('Lease Cycles'!$BG$24:$BM$24,1,CF282),'Lease Cycles'!$AT$24&lt;=CF$6),'Lease Cycles'!$C$24*'Lease Cycles'!$AU$24/12,'Lease Cycles'!$C$24*INDEX('Lease Cycles'!$CB$24:$CH$24,1,CF282)*(1+INDEX('Lease Cycles'!$CI$24:$CO$24,1,CF282))^INT(INT(CF283/12)/INDEX('Lease Cycles'!$CP$24:$CV$24,1,CF282))/12)))),'Lease Cycles'!$C$24*INDEX('Lease Cycles'!$CB$24:$CH$24,1,CF282)*(1+INDEX('Lease Cycles'!$CI$24:$CO$24,1,CF282))^INT(INT(CF283/12)/INDEX('Lease Cycles'!$CP$24:$CV$24,1,CF282))/12))),IF('Lease Cycles'!$N$24=1,'Lease Cycles'!$C$24*'Lease Cycles'!$E$24*INDEX('Lease Cycles'!$HE$24:$HK$24,1,CF282)*(1+INDEX('Lease Cycles'!$GQ$24:$GW$24,1,CF282))^INT(INT((CF$6-INDEX('Lease Cycles'!$GJ$24:$GP$24,1,CF282))/12)/INDEX('Lease Cycles'!$GX$24:$HD$24,1,CF282))/12,0)))</f>
        <v>0</v>
      </c>
      <c r="CG285" s="28">
        <f>IF(CG282=0,IF('Lease Cycles'!$F$24&gt;0,'Lease Cycles'!$C$24*'Lease Cycles'!$E$24/12,0),IF(CG284=1,IF('Lease Cycles'!$AT$24&gt;=9999,'Lease Cycles'!$C$24*INDEX('Lease Cycles'!$CB$24:$CH$24,1,CG282)*(1+INDEX('Lease Cycles'!$CI$24:$CO$24,1,CG282))^INT(INT(CG283/12)/INDEX('Lease Cycles'!$CP$24:$CV$24,1,CG282))/12,IF(CG282=1,IF(CG283&gt;=INDEX('Lease Cycles'!$DK$24:$DQ$24,1,CG282),IF(CG$6&gt;='Lease Cycles'!$AZ$24,'Lease Cycles'!$C$24*'Lease Cycles'!$BA$24/12,IF(CG$6&gt;='Lease Cycles'!$AX$24,'Lease Cycles'!$C$24*'Lease Cycles'!$AY$24/12,IF(CG$6&gt;='Lease Cycles'!$AV$24,'Lease Cycles'!$C$24*'Lease Cycles'!$AW$24/12,IF(CG$6&gt;='Lease Cycles'!$AT$24,'Lease Cycles'!$C$24*'Lease Cycles'!$AU$24/12,'Lease Cycles'!$C$24*INDEX('Lease Cycles'!$CB$24:$CH$24,1,CG282)*(1+INDEX('Lease Cycles'!$CI$24:$CO$24,1,CG282))^INT(INT(CG283/12)/INDEX('Lease Cycles'!$CP$24:$CV$24,1,CG282))/12)))),'Lease Cycles'!$C$24*INDEX('Lease Cycles'!$CB$24:$CH$24,1,CG282)*(1+INDEX('Lease Cycles'!$CI$24:$CO$24,1,CG282))^INT(INT(CG283/12)/INDEX('Lease Cycles'!$CP$24:$CV$24,1,CG282))/12),IF(INDEX('Lease Cycles'!$EF$24:$EL$24,1,CG282)=1,IF(AND('Lease Cycles'!$AZ$24&gt;=INDEX('Lease Cycles'!$BG$24:$BM$24,1,CG282),'Lease Cycles'!$AZ$24&lt;=CG$6),'Lease Cycles'!$C$24*'Lease Cycles'!$BA$24/12,IF(AND('Lease Cycles'!$AX$24&gt;=INDEX('Lease Cycles'!$BG$24:$BM$24,1,CG282),'Lease Cycles'!$AX$24&lt;=CG$6),'Lease Cycles'!$C$24*'Lease Cycles'!$AY$24/12,IF(AND('Lease Cycles'!$AV$24&gt;=INDEX('Lease Cycles'!$BG$24:$BM$24,1,CG282),'Lease Cycles'!$AV$24&lt;=CG$6),'Lease Cycles'!$C$24*'Lease Cycles'!$AW$24/12,IF(AND('Lease Cycles'!$AT$24&gt;=INDEX('Lease Cycles'!$BG$24:$BM$24,1,CG282),'Lease Cycles'!$AT$24&lt;=CG$6),'Lease Cycles'!$C$24*'Lease Cycles'!$AU$24/12,'Lease Cycles'!$C$24*INDEX('Lease Cycles'!$CB$24:$CH$24,1,CG282)*(1+INDEX('Lease Cycles'!$CI$24:$CO$24,1,CG282))^INT(INT(CG283/12)/INDEX('Lease Cycles'!$CP$24:$CV$24,1,CG282))/12)))),'Lease Cycles'!$C$24*INDEX('Lease Cycles'!$CB$24:$CH$24,1,CG282)*(1+INDEX('Lease Cycles'!$CI$24:$CO$24,1,CG282))^INT(INT(CG283/12)/INDEX('Lease Cycles'!$CP$24:$CV$24,1,CG282))/12))),IF('Lease Cycles'!$N$24=1,'Lease Cycles'!$C$24*'Lease Cycles'!$E$24*INDEX('Lease Cycles'!$HE$24:$HK$24,1,CG282)*(1+INDEX('Lease Cycles'!$GQ$24:$GW$24,1,CG282))^INT(INT((CG$6-INDEX('Lease Cycles'!$GJ$24:$GP$24,1,CG282))/12)/INDEX('Lease Cycles'!$GX$24:$HD$24,1,CG282))/12,0)))</f>
        <v>0</v>
      </c>
      <c r="CH285" s="28">
        <f>IF(CH282=0,IF('Lease Cycles'!$F$24&gt;0,'Lease Cycles'!$C$24*'Lease Cycles'!$E$24/12,0),IF(CH284=1,IF('Lease Cycles'!$AT$24&gt;=9999,'Lease Cycles'!$C$24*INDEX('Lease Cycles'!$CB$24:$CH$24,1,CH282)*(1+INDEX('Lease Cycles'!$CI$24:$CO$24,1,CH282))^INT(INT(CH283/12)/INDEX('Lease Cycles'!$CP$24:$CV$24,1,CH282))/12,IF(CH282=1,IF(CH283&gt;=INDEX('Lease Cycles'!$DK$24:$DQ$24,1,CH282),IF(CH$6&gt;='Lease Cycles'!$AZ$24,'Lease Cycles'!$C$24*'Lease Cycles'!$BA$24/12,IF(CH$6&gt;='Lease Cycles'!$AX$24,'Lease Cycles'!$C$24*'Lease Cycles'!$AY$24/12,IF(CH$6&gt;='Lease Cycles'!$AV$24,'Lease Cycles'!$C$24*'Lease Cycles'!$AW$24/12,IF(CH$6&gt;='Lease Cycles'!$AT$24,'Lease Cycles'!$C$24*'Lease Cycles'!$AU$24/12,'Lease Cycles'!$C$24*INDEX('Lease Cycles'!$CB$24:$CH$24,1,CH282)*(1+INDEX('Lease Cycles'!$CI$24:$CO$24,1,CH282))^INT(INT(CH283/12)/INDEX('Lease Cycles'!$CP$24:$CV$24,1,CH282))/12)))),'Lease Cycles'!$C$24*INDEX('Lease Cycles'!$CB$24:$CH$24,1,CH282)*(1+INDEX('Lease Cycles'!$CI$24:$CO$24,1,CH282))^INT(INT(CH283/12)/INDEX('Lease Cycles'!$CP$24:$CV$24,1,CH282))/12),IF(INDEX('Lease Cycles'!$EF$24:$EL$24,1,CH282)=1,IF(AND('Lease Cycles'!$AZ$24&gt;=INDEX('Lease Cycles'!$BG$24:$BM$24,1,CH282),'Lease Cycles'!$AZ$24&lt;=CH$6),'Lease Cycles'!$C$24*'Lease Cycles'!$BA$24/12,IF(AND('Lease Cycles'!$AX$24&gt;=INDEX('Lease Cycles'!$BG$24:$BM$24,1,CH282),'Lease Cycles'!$AX$24&lt;=CH$6),'Lease Cycles'!$C$24*'Lease Cycles'!$AY$24/12,IF(AND('Lease Cycles'!$AV$24&gt;=INDEX('Lease Cycles'!$BG$24:$BM$24,1,CH282),'Lease Cycles'!$AV$24&lt;=CH$6),'Lease Cycles'!$C$24*'Lease Cycles'!$AW$24/12,IF(AND('Lease Cycles'!$AT$24&gt;=INDEX('Lease Cycles'!$BG$24:$BM$24,1,CH282),'Lease Cycles'!$AT$24&lt;=CH$6),'Lease Cycles'!$C$24*'Lease Cycles'!$AU$24/12,'Lease Cycles'!$C$24*INDEX('Lease Cycles'!$CB$24:$CH$24,1,CH282)*(1+INDEX('Lease Cycles'!$CI$24:$CO$24,1,CH282))^INT(INT(CH283/12)/INDEX('Lease Cycles'!$CP$24:$CV$24,1,CH282))/12)))),'Lease Cycles'!$C$24*INDEX('Lease Cycles'!$CB$24:$CH$24,1,CH282)*(1+INDEX('Lease Cycles'!$CI$24:$CO$24,1,CH282))^INT(INT(CH283/12)/INDEX('Lease Cycles'!$CP$24:$CV$24,1,CH282))/12))),IF('Lease Cycles'!$N$24=1,'Lease Cycles'!$C$24*'Lease Cycles'!$E$24*INDEX('Lease Cycles'!$HE$24:$HK$24,1,CH282)*(1+INDEX('Lease Cycles'!$GQ$24:$GW$24,1,CH282))^INT(INT((CH$6-INDEX('Lease Cycles'!$GJ$24:$GP$24,1,CH282))/12)/INDEX('Lease Cycles'!$GX$24:$HD$24,1,CH282))/12,0)))</f>
        <v>0</v>
      </c>
      <c r="CI285" s="28">
        <f>IF(CI282=0,IF('Lease Cycles'!$F$24&gt;0,'Lease Cycles'!$C$24*'Lease Cycles'!$E$24/12,0),IF(CI284=1,IF('Lease Cycles'!$AT$24&gt;=9999,'Lease Cycles'!$C$24*INDEX('Lease Cycles'!$CB$24:$CH$24,1,CI282)*(1+INDEX('Lease Cycles'!$CI$24:$CO$24,1,CI282))^INT(INT(CI283/12)/INDEX('Lease Cycles'!$CP$24:$CV$24,1,CI282))/12,IF(CI282=1,IF(CI283&gt;=INDEX('Lease Cycles'!$DK$24:$DQ$24,1,CI282),IF(CI$6&gt;='Lease Cycles'!$AZ$24,'Lease Cycles'!$C$24*'Lease Cycles'!$BA$24/12,IF(CI$6&gt;='Lease Cycles'!$AX$24,'Lease Cycles'!$C$24*'Lease Cycles'!$AY$24/12,IF(CI$6&gt;='Lease Cycles'!$AV$24,'Lease Cycles'!$C$24*'Lease Cycles'!$AW$24/12,IF(CI$6&gt;='Lease Cycles'!$AT$24,'Lease Cycles'!$C$24*'Lease Cycles'!$AU$24/12,'Lease Cycles'!$C$24*INDEX('Lease Cycles'!$CB$24:$CH$24,1,CI282)*(1+INDEX('Lease Cycles'!$CI$24:$CO$24,1,CI282))^INT(INT(CI283/12)/INDEX('Lease Cycles'!$CP$24:$CV$24,1,CI282))/12)))),'Lease Cycles'!$C$24*INDEX('Lease Cycles'!$CB$24:$CH$24,1,CI282)*(1+INDEX('Lease Cycles'!$CI$24:$CO$24,1,CI282))^INT(INT(CI283/12)/INDEX('Lease Cycles'!$CP$24:$CV$24,1,CI282))/12),IF(INDEX('Lease Cycles'!$EF$24:$EL$24,1,CI282)=1,IF(AND('Lease Cycles'!$AZ$24&gt;=INDEX('Lease Cycles'!$BG$24:$BM$24,1,CI282),'Lease Cycles'!$AZ$24&lt;=CI$6),'Lease Cycles'!$C$24*'Lease Cycles'!$BA$24/12,IF(AND('Lease Cycles'!$AX$24&gt;=INDEX('Lease Cycles'!$BG$24:$BM$24,1,CI282),'Lease Cycles'!$AX$24&lt;=CI$6),'Lease Cycles'!$C$24*'Lease Cycles'!$AY$24/12,IF(AND('Lease Cycles'!$AV$24&gt;=INDEX('Lease Cycles'!$BG$24:$BM$24,1,CI282),'Lease Cycles'!$AV$24&lt;=CI$6),'Lease Cycles'!$C$24*'Lease Cycles'!$AW$24/12,IF(AND('Lease Cycles'!$AT$24&gt;=INDEX('Lease Cycles'!$BG$24:$BM$24,1,CI282),'Lease Cycles'!$AT$24&lt;=CI$6),'Lease Cycles'!$C$24*'Lease Cycles'!$AU$24/12,'Lease Cycles'!$C$24*INDEX('Lease Cycles'!$CB$24:$CH$24,1,CI282)*(1+INDEX('Lease Cycles'!$CI$24:$CO$24,1,CI282))^INT(INT(CI283/12)/INDEX('Lease Cycles'!$CP$24:$CV$24,1,CI282))/12)))),'Lease Cycles'!$C$24*INDEX('Lease Cycles'!$CB$24:$CH$24,1,CI282)*(1+INDEX('Lease Cycles'!$CI$24:$CO$24,1,CI282))^INT(INT(CI283/12)/INDEX('Lease Cycles'!$CP$24:$CV$24,1,CI282))/12))),IF('Lease Cycles'!$N$24=1,'Lease Cycles'!$C$24*'Lease Cycles'!$E$24*INDEX('Lease Cycles'!$HE$24:$HK$24,1,CI282)*(1+INDEX('Lease Cycles'!$GQ$24:$GW$24,1,CI282))^INT(INT((CI$6-INDEX('Lease Cycles'!$GJ$24:$GP$24,1,CI282))/12)/INDEX('Lease Cycles'!$GX$24:$HD$24,1,CI282))/12,0)))</f>
        <v>0</v>
      </c>
      <c r="CJ285" s="28">
        <f>IF(CJ282=0,IF('Lease Cycles'!$F$24&gt;0,'Lease Cycles'!$C$24*'Lease Cycles'!$E$24/12,0),IF(CJ284=1,IF('Lease Cycles'!$AT$24&gt;=9999,'Lease Cycles'!$C$24*INDEX('Lease Cycles'!$CB$24:$CH$24,1,CJ282)*(1+INDEX('Lease Cycles'!$CI$24:$CO$24,1,CJ282))^INT(INT(CJ283/12)/INDEX('Lease Cycles'!$CP$24:$CV$24,1,CJ282))/12,IF(CJ282=1,IF(CJ283&gt;=INDEX('Lease Cycles'!$DK$24:$DQ$24,1,CJ282),IF(CJ$6&gt;='Lease Cycles'!$AZ$24,'Lease Cycles'!$C$24*'Lease Cycles'!$BA$24/12,IF(CJ$6&gt;='Lease Cycles'!$AX$24,'Lease Cycles'!$C$24*'Lease Cycles'!$AY$24/12,IF(CJ$6&gt;='Lease Cycles'!$AV$24,'Lease Cycles'!$C$24*'Lease Cycles'!$AW$24/12,IF(CJ$6&gt;='Lease Cycles'!$AT$24,'Lease Cycles'!$C$24*'Lease Cycles'!$AU$24/12,'Lease Cycles'!$C$24*INDEX('Lease Cycles'!$CB$24:$CH$24,1,CJ282)*(1+INDEX('Lease Cycles'!$CI$24:$CO$24,1,CJ282))^INT(INT(CJ283/12)/INDEX('Lease Cycles'!$CP$24:$CV$24,1,CJ282))/12)))),'Lease Cycles'!$C$24*INDEX('Lease Cycles'!$CB$24:$CH$24,1,CJ282)*(1+INDEX('Lease Cycles'!$CI$24:$CO$24,1,CJ282))^INT(INT(CJ283/12)/INDEX('Lease Cycles'!$CP$24:$CV$24,1,CJ282))/12),IF(INDEX('Lease Cycles'!$EF$24:$EL$24,1,CJ282)=1,IF(AND('Lease Cycles'!$AZ$24&gt;=INDEX('Lease Cycles'!$BG$24:$BM$24,1,CJ282),'Lease Cycles'!$AZ$24&lt;=CJ$6),'Lease Cycles'!$C$24*'Lease Cycles'!$BA$24/12,IF(AND('Lease Cycles'!$AX$24&gt;=INDEX('Lease Cycles'!$BG$24:$BM$24,1,CJ282),'Lease Cycles'!$AX$24&lt;=CJ$6),'Lease Cycles'!$C$24*'Lease Cycles'!$AY$24/12,IF(AND('Lease Cycles'!$AV$24&gt;=INDEX('Lease Cycles'!$BG$24:$BM$24,1,CJ282),'Lease Cycles'!$AV$24&lt;=CJ$6),'Lease Cycles'!$C$24*'Lease Cycles'!$AW$24/12,IF(AND('Lease Cycles'!$AT$24&gt;=INDEX('Lease Cycles'!$BG$24:$BM$24,1,CJ282),'Lease Cycles'!$AT$24&lt;=CJ$6),'Lease Cycles'!$C$24*'Lease Cycles'!$AU$24/12,'Lease Cycles'!$C$24*INDEX('Lease Cycles'!$CB$24:$CH$24,1,CJ282)*(1+INDEX('Lease Cycles'!$CI$24:$CO$24,1,CJ282))^INT(INT(CJ283/12)/INDEX('Lease Cycles'!$CP$24:$CV$24,1,CJ282))/12)))),'Lease Cycles'!$C$24*INDEX('Lease Cycles'!$CB$24:$CH$24,1,CJ282)*(1+INDEX('Lease Cycles'!$CI$24:$CO$24,1,CJ282))^INT(INT(CJ283/12)/INDEX('Lease Cycles'!$CP$24:$CV$24,1,CJ282))/12))),IF('Lease Cycles'!$N$24=1,'Lease Cycles'!$C$24*'Lease Cycles'!$E$24*INDEX('Lease Cycles'!$HE$24:$HK$24,1,CJ282)*(1+INDEX('Lease Cycles'!$GQ$24:$GW$24,1,CJ282))^INT(INT((CJ$6-INDEX('Lease Cycles'!$GJ$24:$GP$24,1,CJ282))/12)/INDEX('Lease Cycles'!$GX$24:$HD$24,1,CJ282))/12,0)))</f>
        <v>0</v>
      </c>
      <c r="CK285" s="28">
        <f>IF(CK282=0,IF('Lease Cycles'!$F$24&gt;0,'Lease Cycles'!$C$24*'Lease Cycles'!$E$24/12,0),IF(CK284=1,IF('Lease Cycles'!$AT$24&gt;=9999,'Lease Cycles'!$C$24*INDEX('Lease Cycles'!$CB$24:$CH$24,1,CK282)*(1+INDEX('Lease Cycles'!$CI$24:$CO$24,1,CK282))^INT(INT(CK283/12)/INDEX('Lease Cycles'!$CP$24:$CV$24,1,CK282))/12,IF(CK282=1,IF(CK283&gt;=INDEX('Lease Cycles'!$DK$24:$DQ$24,1,CK282),IF(CK$6&gt;='Lease Cycles'!$AZ$24,'Lease Cycles'!$C$24*'Lease Cycles'!$BA$24/12,IF(CK$6&gt;='Lease Cycles'!$AX$24,'Lease Cycles'!$C$24*'Lease Cycles'!$AY$24/12,IF(CK$6&gt;='Lease Cycles'!$AV$24,'Lease Cycles'!$C$24*'Lease Cycles'!$AW$24/12,IF(CK$6&gt;='Lease Cycles'!$AT$24,'Lease Cycles'!$C$24*'Lease Cycles'!$AU$24/12,'Lease Cycles'!$C$24*INDEX('Lease Cycles'!$CB$24:$CH$24,1,CK282)*(1+INDEX('Lease Cycles'!$CI$24:$CO$24,1,CK282))^INT(INT(CK283/12)/INDEX('Lease Cycles'!$CP$24:$CV$24,1,CK282))/12)))),'Lease Cycles'!$C$24*INDEX('Lease Cycles'!$CB$24:$CH$24,1,CK282)*(1+INDEX('Lease Cycles'!$CI$24:$CO$24,1,CK282))^INT(INT(CK283/12)/INDEX('Lease Cycles'!$CP$24:$CV$24,1,CK282))/12),IF(INDEX('Lease Cycles'!$EF$24:$EL$24,1,CK282)=1,IF(AND('Lease Cycles'!$AZ$24&gt;=INDEX('Lease Cycles'!$BG$24:$BM$24,1,CK282),'Lease Cycles'!$AZ$24&lt;=CK$6),'Lease Cycles'!$C$24*'Lease Cycles'!$BA$24/12,IF(AND('Lease Cycles'!$AX$24&gt;=INDEX('Lease Cycles'!$BG$24:$BM$24,1,CK282),'Lease Cycles'!$AX$24&lt;=CK$6),'Lease Cycles'!$C$24*'Lease Cycles'!$AY$24/12,IF(AND('Lease Cycles'!$AV$24&gt;=INDEX('Lease Cycles'!$BG$24:$BM$24,1,CK282),'Lease Cycles'!$AV$24&lt;=CK$6),'Lease Cycles'!$C$24*'Lease Cycles'!$AW$24/12,IF(AND('Lease Cycles'!$AT$24&gt;=INDEX('Lease Cycles'!$BG$24:$BM$24,1,CK282),'Lease Cycles'!$AT$24&lt;=CK$6),'Lease Cycles'!$C$24*'Lease Cycles'!$AU$24/12,'Lease Cycles'!$C$24*INDEX('Lease Cycles'!$CB$24:$CH$24,1,CK282)*(1+INDEX('Lease Cycles'!$CI$24:$CO$24,1,CK282))^INT(INT(CK283/12)/INDEX('Lease Cycles'!$CP$24:$CV$24,1,CK282))/12)))),'Lease Cycles'!$C$24*INDEX('Lease Cycles'!$CB$24:$CH$24,1,CK282)*(1+INDEX('Lease Cycles'!$CI$24:$CO$24,1,CK282))^INT(INT(CK283/12)/INDEX('Lease Cycles'!$CP$24:$CV$24,1,CK282))/12))),IF('Lease Cycles'!$N$24=1,'Lease Cycles'!$C$24*'Lease Cycles'!$E$24*INDEX('Lease Cycles'!$HE$24:$HK$24,1,CK282)*(1+INDEX('Lease Cycles'!$GQ$24:$GW$24,1,CK282))^INT(INT((CK$6-INDEX('Lease Cycles'!$GJ$24:$GP$24,1,CK282))/12)/INDEX('Lease Cycles'!$GX$24:$HD$24,1,CK282))/12,0)))</f>
        <v>0</v>
      </c>
      <c r="CL285" s="28">
        <f>IF(CL282=0,IF('Lease Cycles'!$F$24&gt;0,'Lease Cycles'!$C$24*'Lease Cycles'!$E$24/12,0),IF(CL284=1,IF('Lease Cycles'!$AT$24&gt;=9999,'Lease Cycles'!$C$24*INDEX('Lease Cycles'!$CB$24:$CH$24,1,CL282)*(1+INDEX('Lease Cycles'!$CI$24:$CO$24,1,CL282))^INT(INT(CL283/12)/INDEX('Lease Cycles'!$CP$24:$CV$24,1,CL282))/12,IF(CL282=1,IF(CL283&gt;=INDEX('Lease Cycles'!$DK$24:$DQ$24,1,CL282),IF(CL$6&gt;='Lease Cycles'!$AZ$24,'Lease Cycles'!$C$24*'Lease Cycles'!$BA$24/12,IF(CL$6&gt;='Lease Cycles'!$AX$24,'Lease Cycles'!$C$24*'Lease Cycles'!$AY$24/12,IF(CL$6&gt;='Lease Cycles'!$AV$24,'Lease Cycles'!$C$24*'Lease Cycles'!$AW$24/12,IF(CL$6&gt;='Lease Cycles'!$AT$24,'Lease Cycles'!$C$24*'Lease Cycles'!$AU$24/12,'Lease Cycles'!$C$24*INDEX('Lease Cycles'!$CB$24:$CH$24,1,CL282)*(1+INDEX('Lease Cycles'!$CI$24:$CO$24,1,CL282))^INT(INT(CL283/12)/INDEX('Lease Cycles'!$CP$24:$CV$24,1,CL282))/12)))),'Lease Cycles'!$C$24*INDEX('Lease Cycles'!$CB$24:$CH$24,1,CL282)*(1+INDEX('Lease Cycles'!$CI$24:$CO$24,1,CL282))^INT(INT(CL283/12)/INDEX('Lease Cycles'!$CP$24:$CV$24,1,CL282))/12),IF(INDEX('Lease Cycles'!$EF$24:$EL$24,1,CL282)=1,IF(AND('Lease Cycles'!$AZ$24&gt;=INDEX('Lease Cycles'!$BG$24:$BM$24,1,CL282),'Lease Cycles'!$AZ$24&lt;=CL$6),'Lease Cycles'!$C$24*'Lease Cycles'!$BA$24/12,IF(AND('Lease Cycles'!$AX$24&gt;=INDEX('Lease Cycles'!$BG$24:$BM$24,1,CL282),'Lease Cycles'!$AX$24&lt;=CL$6),'Lease Cycles'!$C$24*'Lease Cycles'!$AY$24/12,IF(AND('Lease Cycles'!$AV$24&gt;=INDEX('Lease Cycles'!$BG$24:$BM$24,1,CL282),'Lease Cycles'!$AV$24&lt;=CL$6),'Lease Cycles'!$C$24*'Lease Cycles'!$AW$24/12,IF(AND('Lease Cycles'!$AT$24&gt;=INDEX('Lease Cycles'!$BG$24:$BM$24,1,CL282),'Lease Cycles'!$AT$24&lt;=CL$6),'Lease Cycles'!$C$24*'Lease Cycles'!$AU$24/12,'Lease Cycles'!$C$24*INDEX('Lease Cycles'!$CB$24:$CH$24,1,CL282)*(1+INDEX('Lease Cycles'!$CI$24:$CO$24,1,CL282))^INT(INT(CL283/12)/INDEX('Lease Cycles'!$CP$24:$CV$24,1,CL282))/12)))),'Lease Cycles'!$C$24*INDEX('Lease Cycles'!$CB$24:$CH$24,1,CL282)*(1+INDEX('Lease Cycles'!$CI$24:$CO$24,1,CL282))^INT(INT(CL283/12)/INDEX('Lease Cycles'!$CP$24:$CV$24,1,CL282))/12))),IF('Lease Cycles'!$N$24=1,'Lease Cycles'!$C$24*'Lease Cycles'!$E$24*INDEX('Lease Cycles'!$HE$24:$HK$24,1,CL282)*(1+INDEX('Lease Cycles'!$GQ$24:$GW$24,1,CL282))^INT(INT((CL$6-INDEX('Lease Cycles'!$GJ$24:$GP$24,1,CL282))/12)/INDEX('Lease Cycles'!$GX$24:$HD$24,1,CL282))/12,0)))</f>
        <v>0</v>
      </c>
      <c r="CM285" s="28">
        <f>IF(CM282=0,IF('Lease Cycles'!$F$24&gt;0,'Lease Cycles'!$C$24*'Lease Cycles'!$E$24/12,0),IF(CM284=1,IF('Lease Cycles'!$AT$24&gt;=9999,'Lease Cycles'!$C$24*INDEX('Lease Cycles'!$CB$24:$CH$24,1,CM282)*(1+INDEX('Lease Cycles'!$CI$24:$CO$24,1,CM282))^INT(INT(CM283/12)/INDEX('Lease Cycles'!$CP$24:$CV$24,1,CM282))/12,IF(CM282=1,IF(CM283&gt;=INDEX('Lease Cycles'!$DK$24:$DQ$24,1,CM282),IF(CM$6&gt;='Lease Cycles'!$AZ$24,'Lease Cycles'!$C$24*'Lease Cycles'!$BA$24/12,IF(CM$6&gt;='Lease Cycles'!$AX$24,'Lease Cycles'!$C$24*'Lease Cycles'!$AY$24/12,IF(CM$6&gt;='Lease Cycles'!$AV$24,'Lease Cycles'!$C$24*'Lease Cycles'!$AW$24/12,IF(CM$6&gt;='Lease Cycles'!$AT$24,'Lease Cycles'!$C$24*'Lease Cycles'!$AU$24/12,'Lease Cycles'!$C$24*INDEX('Lease Cycles'!$CB$24:$CH$24,1,CM282)*(1+INDEX('Lease Cycles'!$CI$24:$CO$24,1,CM282))^INT(INT(CM283/12)/INDEX('Lease Cycles'!$CP$24:$CV$24,1,CM282))/12)))),'Lease Cycles'!$C$24*INDEX('Lease Cycles'!$CB$24:$CH$24,1,CM282)*(1+INDEX('Lease Cycles'!$CI$24:$CO$24,1,CM282))^INT(INT(CM283/12)/INDEX('Lease Cycles'!$CP$24:$CV$24,1,CM282))/12),IF(INDEX('Lease Cycles'!$EF$24:$EL$24,1,CM282)=1,IF(AND('Lease Cycles'!$AZ$24&gt;=INDEX('Lease Cycles'!$BG$24:$BM$24,1,CM282),'Lease Cycles'!$AZ$24&lt;=CM$6),'Lease Cycles'!$C$24*'Lease Cycles'!$BA$24/12,IF(AND('Lease Cycles'!$AX$24&gt;=INDEX('Lease Cycles'!$BG$24:$BM$24,1,CM282),'Lease Cycles'!$AX$24&lt;=CM$6),'Lease Cycles'!$C$24*'Lease Cycles'!$AY$24/12,IF(AND('Lease Cycles'!$AV$24&gt;=INDEX('Lease Cycles'!$BG$24:$BM$24,1,CM282),'Lease Cycles'!$AV$24&lt;=CM$6),'Lease Cycles'!$C$24*'Lease Cycles'!$AW$24/12,IF(AND('Lease Cycles'!$AT$24&gt;=INDEX('Lease Cycles'!$BG$24:$BM$24,1,CM282),'Lease Cycles'!$AT$24&lt;=CM$6),'Lease Cycles'!$C$24*'Lease Cycles'!$AU$24/12,'Lease Cycles'!$C$24*INDEX('Lease Cycles'!$CB$24:$CH$24,1,CM282)*(1+INDEX('Lease Cycles'!$CI$24:$CO$24,1,CM282))^INT(INT(CM283/12)/INDEX('Lease Cycles'!$CP$24:$CV$24,1,CM282))/12)))),'Lease Cycles'!$C$24*INDEX('Lease Cycles'!$CB$24:$CH$24,1,CM282)*(1+INDEX('Lease Cycles'!$CI$24:$CO$24,1,CM282))^INT(INT(CM283/12)/INDEX('Lease Cycles'!$CP$24:$CV$24,1,CM282))/12))),IF('Lease Cycles'!$N$24=1,'Lease Cycles'!$C$24*'Lease Cycles'!$E$24*INDEX('Lease Cycles'!$HE$24:$HK$24,1,CM282)*(1+INDEX('Lease Cycles'!$GQ$24:$GW$24,1,CM282))^INT(INT((CM$6-INDEX('Lease Cycles'!$GJ$24:$GP$24,1,CM282))/12)/INDEX('Lease Cycles'!$GX$24:$HD$24,1,CM282))/12,0)))</f>
        <v>0</v>
      </c>
      <c r="CN285" s="28">
        <f>IF(CN282=0,IF('Lease Cycles'!$F$24&gt;0,'Lease Cycles'!$C$24*'Lease Cycles'!$E$24/12,0),IF(CN284=1,IF('Lease Cycles'!$AT$24&gt;=9999,'Lease Cycles'!$C$24*INDEX('Lease Cycles'!$CB$24:$CH$24,1,CN282)*(1+INDEX('Lease Cycles'!$CI$24:$CO$24,1,CN282))^INT(INT(CN283/12)/INDEX('Lease Cycles'!$CP$24:$CV$24,1,CN282))/12,IF(CN282=1,IF(CN283&gt;=INDEX('Lease Cycles'!$DK$24:$DQ$24,1,CN282),IF(CN$6&gt;='Lease Cycles'!$AZ$24,'Lease Cycles'!$C$24*'Lease Cycles'!$BA$24/12,IF(CN$6&gt;='Lease Cycles'!$AX$24,'Lease Cycles'!$C$24*'Lease Cycles'!$AY$24/12,IF(CN$6&gt;='Lease Cycles'!$AV$24,'Lease Cycles'!$C$24*'Lease Cycles'!$AW$24/12,IF(CN$6&gt;='Lease Cycles'!$AT$24,'Lease Cycles'!$C$24*'Lease Cycles'!$AU$24/12,'Lease Cycles'!$C$24*INDEX('Lease Cycles'!$CB$24:$CH$24,1,CN282)*(1+INDEX('Lease Cycles'!$CI$24:$CO$24,1,CN282))^INT(INT(CN283/12)/INDEX('Lease Cycles'!$CP$24:$CV$24,1,CN282))/12)))),'Lease Cycles'!$C$24*INDEX('Lease Cycles'!$CB$24:$CH$24,1,CN282)*(1+INDEX('Lease Cycles'!$CI$24:$CO$24,1,CN282))^INT(INT(CN283/12)/INDEX('Lease Cycles'!$CP$24:$CV$24,1,CN282))/12),IF(INDEX('Lease Cycles'!$EF$24:$EL$24,1,CN282)=1,IF(AND('Lease Cycles'!$AZ$24&gt;=INDEX('Lease Cycles'!$BG$24:$BM$24,1,CN282),'Lease Cycles'!$AZ$24&lt;=CN$6),'Lease Cycles'!$C$24*'Lease Cycles'!$BA$24/12,IF(AND('Lease Cycles'!$AX$24&gt;=INDEX('Lease Cycles'!$BG$24:$BM$24,1,CN282),'Lease Cycles'!$AX$24&lt;=CN$6),'Lease Cycles'!$C$24*'Lease Cycles'!$AY$24/12,IF(AND('Lease Cycles'!$AV$24&gt;=INDEX('Lease Cycles'!$BG$24:$BM$24,1,CN282),'Lease Cycles'!$AV$24&lt;=CN$6),'Lease Cycles'!$C$24*'Lease Cycles'!$AW$24/12,IF(AND('Lease Cycles'!$AT$24&gt;=INDEX('Lease Cycles'!$BG$24:$BM$24,1,CN282),'Lease Cycles'!$AT$24&lt;=CN$6),'Lease Cycles'!$C$24*'Lease Cycles'!$AU$24/12,'Lease Cycles'!$C$24*INDEX('Lease Cycles'!$CB$24:$CH$24,1,CN282)*(1+INDEX('Lease Cycles'!$CI$24:$CO$24,1,CN282))^INT(INT(CN283/12)/INDEX('Lease Cycles'!$CP$24:$CV$24,1,CN282))/12)))),'Lease Cycles'!$C$24*INDEX('Lease Cycles'!$CB$24:$CH$24,1,CN282)*(1+INDEX('Lease Cycles'!$CI$24:$CO$24,1,CN282))^INT(INT(CN283/12)/INDEX('Lease Cycles'!$CP$24:$CV$24,1,CN282))/12))),IF('Lease Cycles'!$N$24=1,'Lease Cycles'!$C$24*'Lease Cycles'!$E$24*INDEX('Lease Cycles'!$HE$24:$HK$24,1,CN282)*(1+INDEX('Lease Cycles'!$GQ$24:$GW$24,1,CN282))^INT(INT((CN$6-INDEX('Lease Cycles'!$GJ$24:$GP$24,1,CN282))/12)/INDEX('Lease Cycles'!$GX$24:$HD$24,1,CN282))/12,0)))</f>
        <v>0</v>
      </c>
      <c r="CO285" s="28">
        <f>IF(CO282=0,IF('Lease Cycles'!$F$24&gt;0,'Lease Cycles'!$C$24*'Lease Cycles'!$E$24/12,0),IF(CO284=1,IF('Lease Cycles'!$AT$24&gt;=9999,'Lease Cycles'!$C$24*INDEX('Lease Cycles'!$CB$24:$CH$24,1,CO282)*(1+INDEX('Lease Cycles'!$CI$24:$CO$24,1,CO282))^INT(INT(CO283/12)/INDEX('Lease Cycles'!$CP$24:$CV$24,1,CO282))/12,IF(CO282=1,IF(CO283&gt;=INDEX('Lease Cycles'!$DK$24:$DQ$24,1,CO282),IF(CO$6&gt;='Lease Cycles'!$AZ$24,'Lease Cycles'!$C$24*'Lease Cycles'!$BA$24/12,IF(CO$6&gt;='Lease Cycles'!$AX$24,'Lease Cycles'!$C$24*'Lease Cycles'!$AY$24/12,IF(CO$6&gt;='Lease Cycles'!$AV$24,'Lease Cycles'!$C$24*'Lease Cycles'!$AW$24/12,IF(CO$6&gt;='Lease Cycles'!$AT$24,'Lease Cycles'!$C$24*'Lease Cycles'!$AU$24/12,'Lease Cycles'!$C$24*INDEX('Lease Cycles'!$CB$24:$CH$24,1,CO282)*(1+INDEX('Lease Cycles'!$CI$24:$CO$24,1,CO282))^INT(INT(CO283/12)/INDEX('Lease Cycles'!$CP$24:$CV$24,1,CO282))/12)))),'Lease Cycles'!$C$24*INDEX('Lease Cycles'!$CB$24:$CH$24,1,CO282)*(1+INDEX('Lease Cycles'!$CI$24:$CO$24,1,CO282))^INT(INT(CO283/12)/INDEX('Lease Cycles'!$CP$24:$CV$24,1,CO282))/12),IF(INDEX('Lease Cycles'!$EF$24:$EL$24,1,CO282)=1,IF(AND('Lease Cycles'!$AZ$24&gt;=INDEX('Lease Cycles'!$BG$24:$BM$24,1,CO282),'Lease Cycles'!$AZ$24&lt;=CO$6),'Lease Cycles'!$C$24*'Lease Cycles'!$BA$24/12,IF(AND('Lease Cycles'!$AX$24&gt;=INDEX('Lease Cycles'!$BG$24:$BM$24,1,CO282),'Lease Cycles'!$AX$24&lt;=CO$6),'Lease Cycles'!$C$24*'Lease Cycles'!$AY$24/12,IF(AND('Lease Cycles'!$AV$24&gt;=INDEX('Lease Cycles'!$BG$24:$BM$24,1,CO282),'Lease Cycles'!$AV$24&lt;=CO$6),'Lease Cycles'!$C$24*'Lease Cycles'!$AW$24/12,IF(AND('Lease Cycles'!$AT$24&gt;=INDEX('Lease Cycles'!$BG$24:$BM$24,1,CO282),'Lease Cycles'!$AT$24&lt;=CO$6),'Lease Cycles'!$C$24*'Lease Cycles'!$AU$24/12,'Lease Cycles'!$C$24*INDEX('Lease Cycles'!$CB$24:$CH$24,1,CO282)*(1+INDEX('Lease Cycles'!$CI$24:$CO$24,1,CO282))^INT(INT(CO283/12)/INDEX('Lease Cycles'!$CP$24:$CV$24,1,CO282))/12)))),'Lease Cycles'!$C$24*INDEX('Lease Cycles'!$CB$24:$CH$24,1,CO282)*(1+INDEX('Lease Cycles'!$CI$24:$CO$24,1,CO282))^INT(INT(CO283/12)/INDEX('Lease Cycles'!$CP$24:$CV$24,1,CO282))/12))),IF('Lease Cycles'!$N$24=1,'Lease Cycles'!$C$24*'Lease Cycles'!$E$24*INDEX('Lease Cycles'!$HE$24:$HK$24,1,CO282)*(1+INDEX('Lease Cycles'!$GQ$24:$GW$24,1,CO282))^INT(INT((CO$6-INDEX('Lease Cycles'!$GJ$24:$GP$24,1,CO282))/12)/INDEX('Lease Cycles'!$GX$24:$HD$24,1,CO282))/12,0)))</f>
        <v>0</v>
      </c>
      <c r="CP285" s="28">
        <f>IF(CP282=0,IF('Lease Cycles'!$F$24&gt;0,'Lease Cycles'!$C$24*'Lease Cycles'!$E$24/12,0),IF(CP284=1,IF('Lease Cycles'!$AT$24&gt;=9999,'Lease Cycles'!$C$24*INDEX('Lease Cycles'!$CB$24:$CH$24,1,CP282)*(1+INDEX('Lease Cycles'!$CI$24:$CO$24,1,CP282))^INT(INT(CP283/12)/INDEX('Lease Cycles'!$CP$24:$CV$24,1,CP282))/12,IF(CP282=1,IF(CP283&gt;=INDEX('Lease Cycles'!$DK$24:$DQ$24,1,CP282),IF(CP$6&gt;='Lease Cycles'!$AZ$24,'Lease Cycles'!$C$24*'Lease Cycles'!$BA$24/12,IF(CP$6&gt;='Lease Cycles'!$AX$24,'Lease Cycles'!$C$24*'Lease Cycles'!$AY$24/12,IF(CP$6&gt;='Lease Cycles'!$AV$24,'Lease Cycles'!$C$24*'Lease Cycles'!$AW$24/12,IF(CP$6&gt;='Lease Cycles'!$AT$24,'Lease Cycles'!$C$24*'Lease Cycles'!$AU$24/12,'Lease Cycles'!$C$24*INDEX('Lease Cycles'!$CB$24:$CH$24,1,CP282)*(1+INDEX('Lease Cycles'!$CI$24:$CO$24,1,CP282))^INT(INT(CP283/12)/INDEX('Lease Cycles'!$CP$24:$CV$24,1,CP282))/12)))),'Lease Cycles'!$C$24*INDEX('Lease Cycles'!$CB$24:$CH$24,1,CP282)*(1+INDEX('Lease Cycles'!$CI$24:$CO$24,1,CP282))^INT(INT(CP283/12)/INDEX('Lease Cycles'!$CP$24:$CV$24,1,CP282))/12),IF(INDEX('Lease Cycles'!$EF$24:$EL$24,1,CP282)=1,IF(AND('Lease Cycles'!$AZ$24&gt;=INDEX('Lease Cycles'!$BG$24:$BM$24,1,CP282),'Lease Cycles'!$AZ$24&lt;=CP$6),'Lease Cycles'!$C$24*'Lease Cycles'!$BA$24/12,IF(AND('Lease Cycles'!$AX$24&gt;=INDEX('Lease Cycles'!$BG$24:$BM$24,1,CP282),'Lease Cycles'!$AX$24&lt;=CP$6),'Lease Cycles'!$C$24*'Lease Cycles'!$AY$24/12,IF(AND('Lease Cycles'!$AV$24&gt;=INDEX('Lease Cycles'!$BG$24:$BM$24,1,CP282),'Lease Cycles'!$AV$24&lt;=CP$6),'Lease Cycles'!$C$24*'Lease Cycles'!$AW$24/12,IF(AND('Lease Cycles'!$AT$24&gt;=INDEX('Lease Cycles'!$BG$24:$BM$24,1,CP282),'Lease Cycles'!$AT$24&lt;=CP$6),'Lease Cycles'!$C$24*'Lease Cycles'!$AU$24/12,'Lease Cycles'!$C$24*INDEX('Lease Cycles'!$CB$24:$CH$24,1,CP282)*(1+INDEX('Lease Cycles'!$CI$24:$CO$24,1,CP282))^INT(INT(CP283/12)/INDEX('Lease Cycles'!$CP$24:$CV$24,1,CP282))/12)))),'Lease Cycles'!$C$24*INDEX('Lease Cycles'!$CB$24:$CH$24,1,CP282)*(1+INDEX('Lease Cycles'!$CI$24:$CO$24,1,CP282))^INT(INT(CP283/12)/INDEX('Lease Cycles'!$CP$24:$CV$24,1,CP282))/12))),IF('Lease Cycles'!$N$24=1,'Lease Cycles'!$C$24*'Lease Cycles'!$E$24*INDEX('Lease Cycles'!$HE$24:$HK$24,1,CP282)*(1+INDEX('Lease Cycles'!$GQ$24:$GW$24,1,CP282))^INT(INT((CP$6-INDEX('Lease Cycles'!$GJ$24:$GP$24,1,CP282))/12)/INDEX('Lease Cycles'!$GX$24:$HD$24,1,CP282))/12,0)))</f>
        <v>0</v>
      </c>
      <c r="CQ285" s="28">
        <f>IF(CQ282=0,IF('Lease Cycles'!$F$24&gt;0,'Lease Cycles'!$C$24*'Lease Cycles'!$E$24/12,0),IF(CQ284=1,IF('Lease Cycles'!$AT$24&gt;=9999,'Lease Cycles'!$C$24*INDEX('Lease Cycles'!$CB$24:$CH$24,1,CQ282)*(1+INDEX('Lease Cycles'!$CI$24:$CO$24,1,CQ282))^INT(INT(CQ283/12)/INDEX('Lease Cycles'!$CP$24:$CV$24,1,CQ282))/12,IF(CQ282=1,IF(CQ283&gt;=INDEX('Lease Cycles'!$DK$24:$DQ$24,1,CQ282),IF(CQ$6&gt;='Lease Cycles'!$AZ$24,'Lease Cycles'!$C$24*'Lease Cycles'!$BA$24/12,IF(CQ$6&gt;='Lease Cycles'!$AX$24,'Lease Cycles'!$C$24*'Lease Cycles'!$AY$24/12,IF(CQ$6&gt;='Lease Cycles'!$AV$24,'Lease Cycles'!$C$24*'Lease Cycles'!$AW$24/12,IF(CQ$6&gt;='Lease Cycles'!$AT$24,'Lease Cycles'!$C$24*'Lease Cycles'!$AU$24/12,'Lease Cycles'!$C$24*INDEX('Lease Cycles'!$CB$24:$CH$24,1,CQ282)*(1+INDEX('Lease Cycles'!$CI$24:$CO$24,1,CQ282))^INT(INT(CQ283/12)/INDEX('Lease Cycles'!$CP$24:$CV$24,1,CQ282))/12)))),'Lease Cycles'!$C$24*INDEX('Lease Cycles'!$CB$24:$CH$24,1,CQ282)*(1+INDEX('Lease Cycles'!$CI$24:$CO$24,1,CQ282))^INT(INT(CQ283/12)/INDEX('Lease Cycles'!$CP$24:$CV$24,1,CQ282))/12),IF(INDEX('Lease Cycles'!$EF$24:$EL$24,1,CQ282)=1,IF(AND('Lease Cycles'!$AZ$24&gt;=INDEX('Lease Cycles'!$BG$24:$BM$24,1,CQ282),'Lease Cycles'!$AZ$24&lt;=CQ$6),'Lease Cycles'!$C$24*'Lease Cycles'!$BA$24/12,IF(AND('Lease Cycles'!$AX$24&gt;=INDEX('Lease Cycles'!$BG$24:$BM$24,1,CQ282),'Lease Cycles'!$AX$24&lt;=CQ$6),'Lease Cycles'!$C$24*'Lease Cycles'!$AY$24/12,IF(AND('Lease Cycles'!$AV$24&gt;=INDEX('Lease Cycles'!$BG$24:$BM$24,1,CQ282),'Lease Cycles'!$AV$24&lt;=CQ$6),'Lease Cycles'!$C$24*'Lease Cycles'!$AW$24/12,IF(AND('Lease Cycles'!$AT$24&gt;=INDEX('Lease Cycles'!$BG$24:$BM$24,1,CQ282),'Lease Cycles'!$AT$24&lt;=CQ$6),'Lease Cycles'!$C$24*'Lease Cycles'!$AU$24/12,'Lease Cycles'!$C$24*INDEX('Lease Cycles'!$CB$24:$CH$24,1,CQ282)*(1+INDEX('Lease Cycles'!$CI$24:$CO$24,1,CQ282))^INT(INT(CQ283/12)/INDEX('Lease Cycles'!$CP$24:$CV$24,1,CQ282))/12)))),'Lease Cycles'!$C$24*INDEX('Lease Cycles'!$CB$24:$CH$24,1,CQ282)*(1+INDEX('Lease Cycles'!$CI$24:$CO$24,1,CQ282))^INT(INT(CQ283/12)/INDEX('Lease Cycles'!$CP$24:$CV$24,1,CQ282))/12))),IF('Lease Cycles'!$N$24=1,'Lease Cycles'!$C$24*'Lease Cycles'!$E$24*INDEX('Lease Cycles'!$HE$24:$HK$24,1,CQ282)*(1+INDEX('Lease Cycles'!$GQ$24:$GW$24,1,CQ282))^INT(INT((CQ$6-INDEX('Lease Cycles'!$GJ$24:$GP$24,1,CQ282))/12)/INDEX('Lease Cycles'!$GX$24:$HD$24,1,CQ282))/12,0)))</f>
        <v>0</v>
      </c>
      <c r="CR285" s="28">
        <f>IF(CR282=0,IF('Lease Cycles'!$F$24&gt;0,'Lease Cycles'!$C$24*'Lease Cycles'!$E$24/12,0),IF(CR284=1,IF('Lease Cycles'!$AT$24&gt;=9999,'Lease Cycles'!$C$24*INDEX('Lease Cycles'!$CB$24:$CH$24,1,CR282)*(1+INDEX('Lease Cycles'!$CI$24:$CO$24,1,CR282))^INT(INT(CR283/12)/INDEX('Lease Cycles'!$CP$24:$CV$24,1,CR282))/12,IF(CR282=1,IF(CR283&gt;=INDEX('Lease Cycles'!$DK$24:$DQ$24,1,CR282),IF(CR$6&gt;='Lease Cycles'!$AZ$24,'Lease Cycles'!$C$24*'Lease Cycles'!$BA$24/12,IF(CR$6&gt;='Lease Cycles'!$AX$24,'Lease Cycles'!$C$24*'Lease Cycles'!$AY$24/12,IF(CR$6&gt;='Lease Cycles'!$AV$24,'Lease Cycles'!$C$24*'Lease Cycles'!$AW$24/12,IF(CR$6&gt;='Lease Cycles'!$AT$24,'Lease Cycles'!$C$24*'Lease Cycles'!$AU$24/12,'Lease Cycles'!$C$24*INDEX('Lease Cycles'!$CB$24:$CH$24,1,CR282)*(1+INDEX('Lease Cycles'!$CI$24:$CO$24,1,CR282))^INT(INT(CR283/12)/INDEX('Lease Cycles'!$CP$24:$CV$24,1,CR282))/12)))),'Lease Cycles'!$C$24*INDEX('Lease Cycles'!$CB$24:$CH$24,1,CR282)*(1+INDEX('Lease Cycles'!$CI$24:$CO$24,1,CR282))^INT(INT(CR283/12)/INDEX('Lease Cycles'!$CP$24:$CV$24,1,CR282))/12),IF(INDEX('Lease Cycles'!$EF$24:$EL$24,1,CR282)=1,IF(AND('Lease Cycles'!$AZ$24&gt;=INDEX('Lease Cycles'!$BG$24:$BM$24,1,CR282),'Lease Cycles'!$AZ$24&lt;=CR$6),'Lease Cycles'!$C$24*'Lease Cycles'!$BA$24/12,IF(AND('Lease Cycles'!$AX$24&gt;=INDEX('Lease Cycles'!$BG$24:$BM$24,1,CR282),'Lease Cycles'!$AX$24&lt;=CR$6),'Lease Cycles'!$C$24*'Lease Cycles'!$AY$24/12,IF(AND('Lease Cycles'!$AV$24&gt;=INDEX('Lease Cycles'!$BG$24:$BM$24,1,CR282),'Lease Cycles'!$AV$24&lt;=CR$6),'Lease Cycles'!$C$24*'Lease Cycles'!$AW$24/12,IF(AND('Lease Cycles'!$AT$24&gt;=INDEX('Lease Cycles'!$BG$24:$BM$24,1,CR282),'Lease Cycles'!$AT$24&lt;=CR$6),'Lease Cycles'!$C$24*'Lease Cycles'!$AU$24/12,'Lease Cycles'!$C$24*INDEX('Lease Cycles'!$CB$24:$CH$24,1,CR282)*(1+INDEX('Lease Cycles'!$CI$24:$CO$24,1,CR282))^INT(INT(CR283/12)/INDEX('Lease Cycles'!$CP$24:$CV$24,1,CR282))/12)))),'Lease Cycles'!$C$24*INDEX('Lease Cycles'!$CB$24:$CH$24,1,CR282)*(1+INDEX('Lease Cycles'!$CI$24:$CO$24,1,CR282))^INT(INT(CR283/12)/INDEX('Lease Cycles'!$CP$24:$CV$24,1,CR282))/12))),IF('Lease Cycles'!$N$24=1,'Lease Cycles'!$C$24*'Lease Cycles'!$E$24*INDEX('Lease Cycles'!$HE$24:$HK$24,1,CR282)*(1+INDEX('Lease Cycles'!$GQ$24:$GW$24,1,CR282))^INT(INT((CR$6-INDEX('Lease Cycles'!$GJ$24:$GP$24,1,CR282))/12)/INDEX('Lease Cycles'!$GX$24:$HD$24,1,CR282))/12,0)))</f>
        <v>0</v>
      </c>
      <c r="CS285" s="28">
        <f>IF(CS282=0,IF('Lease Cycles'!$F$24&gt;0,'Lease Cycles'!$C$24*'Lease Cycles'!$E$24/12,0),IF(CS284=1,IF('Lease Cycles'!$AT$24&gt;=9999,'Lease Cycles'!$C$24*INDEX('Lease Cycles'!$CB$24:$CH$24,1,CS282)*(1+INDEX('Lease Cycles'!$CI$24:$CO$24,1,CS282))^INT(INT(CS283/12)/INDEX('Lease Cycles'!$CP$24:$CV$24,1,CS282))/12,IF(CS282=1,IF(CS283&gt;=INDEX('Lease Cycles'!$DK$24:$DQ$24,1,CS282),IF(CS$6&gt;='Lease Cycles'!$AZ$24,'Lease Cycles'!$C$24*'Lease Cycles'!$BA$24/12,IF(CS$6&gt;='Lease Cycles'!$AX$24,'Lease Cycles'!$C$24*'Lease Cycles'!$AY$24/12,IF(CS$6&gt;='Lease Cycles'!$AV$24,'Lease Cycles'!$C$24*'Lease Cycles'!$AW$24/12,IF(CS$6&gt;='Lease Cycles'!$AT$24,'Lease Cycles'!$C$24*'Lease Cycles'!$AU$24/12,'Lease Cycles'!$C$24*INDEX('Lease Cycles'!$CB$24:$CH$24,1,CS282)*(1+INDEX('Lease Cycles'!$CI$24:$CO$24,1,CS282))^INT(INT(CS283/12)/INDEX('Lease Cycles'!$CP$24:$CV$24,1,CS282))/12)))),'Lease Cycles'!$C$24*INDEX('Lease Cycles'!$CB$24:$CH$24,1,CS282)*(1+INDEX('Lease Cycles'!$CI$24:$CO$24,1,CS282))^INT(INT(CS283/12)/INDEX('Lease Cycles'!$CP$24:$CV$24,1,CS282))/12),IF(INDEX('Lease Cycles'!$EF$24:$EL$24,1,CS282)=1,IF(AND('Lease Cycles'!$AZ$24&gt;=INDEX('Lease Cycles'!$BG$24:$BM$24,1,CS282),'Lease Cycles'!$AZ$24&lt;=CS$6),'Lease Cycles'!$C$24*'Lease Cycles'!$BA$24/12,IF(AND('Lease Cycles'!$AX$24&gt;=INDEX('Lease Cycles'!$BG$24:$BM$24,1,CS282),'Lease Cycles'!$AX$24&lt;=CS$6),'Lease Cycles'!$C$24*'Lease Cycles'!$AY$24/12,IF(AND('Lease Cycles'!$AV$24&gt;=INDEX('Lease Cycles'!$BG$24:$BM$24,1,CS282),'Lease Cycles'!$AV$24&lt;=CS$6),'Lease Cycles'!$C$24*'Lease Cycles'!$AW$24/12,IF(AND('Lease Cycles'!$AT$24&gt;=INDEX('Lease Cycles'!$BG$24:$BM$24,1,CS282),'Lease Cycles'!$AT$24&lt;=CS$6),'Lease Cycles'!$C$24*'Lease Cycles'!$AU$24/12,'Lease Cycles'!$C$24*INDEX('Lease Cycles'!$CB$24:$CH$24,1,CS282)*(1+INDEX('Lease Cycles'!$CI$24:$CO$24,1,CS282))^INT(INT(CS283/12)/INDEX('Lease Cycles'!$CP$24:$CV$24,1,CS282))/12)))),'Lease Cycles'!$C$24*INDEX('Lease Cycles'!$CB$24:$CH$24,1,CS282)*(1+INDEX('Lease Cycles'!$CI$24:$CO$24,1,CS282))^INT(INT(CS283/12)/INDEX('Lease Cycles'!$CP$24:$CV$24,1,CS282))/12))),IF('Lease Cycles'!$N$24=1,'Lease Cycles'!$C$24*'Lease Cycles'!$E$24*INDEX('Lease Cycles'!$HE$24:$HK$24,1,CS282)*(1+INDEX('Lease Cycles'!$GQ$24:$GW$24,1,CS282))^INT(INT((CS$6-INDEX('Lease Cycles'!$GJ$24:$GP$24,1,CS282))/12)/INDEX('Lease Cycles'!$GX$24:$HD$24,1,CS282))/12,0)))</f>
        <v>0</v>
      </c>
      <c r="CT285" s="28">
        <f>IF(CT282=0,IF('Lease Cycles'!$F$24&gt;0,'Lease Cycles'!$C$24*'Lease Cycles'!$E$24/12,0),IF(CT284=1,IF('Lease Cycles'!$AT$24&gt;=9999,'Lease Cycles'!$C$24*INDEX('Lease Cycles'!$CB$24:$CH$24,1,CT282)*(1+INDEX('Lease Cycles'!$CI$24:$CO$24,1,CT282))^INT(INT(CT283/12)/INDEX('Lease Cycles'!$CP$24:$CV$24,1,CT282))/12,IF(CT282=1,IF(CT283&gt;=INDEX('Lease Cycles'!$DK$24:$DQ$24,1,CT282),IF(CT$6&gt;='Lease Cycles'!$AZ$24,'Lease Cycles'!$C$24*'Lease Cycles'!$BA$24/12,IF(CT$6&gt;='Lease Cycles'!$AX$24,'Lease Cycles'!$C$24*'Lease Cycles'!$AY$24/12,IF(CT$6&gt;='Lease Cycles'!$AV$24,'Lease Cycles'!$C$24*'Lease Cycles'!$AW$24/12,IF(CT$6&gt;='Lease Cycles'!$AT$24,'Lease Cycles'!$C$24*'Lease Cycles'!$AU$24/12,'Lease Cycles'!$C$24*INDEX('Lease Cycles'!$CB$24:$CH$24,1,CT282)*(1+INDEX('Lease Cycles'!$CI$24:$CO$24,1,CT282))^INT(INT(CT283/12)/INDEX('Lease Cycles'!$CP$24:$CV$24,1,CT282))/12)))),'Lease Cycles'!$C$24*INDEX('Lease Cycles'!$CB$24:$CH$24,1,CT282)*(1+INDEX('Lease Cycles'!$CI$24:$CO$24,1,CT282))^INT(INT(CT283/12)/INDEX('Lease Cycles'!$CP$24:$CV$24,1,CT282))/12),IF(INDEX('Lease Cycles'!$EF$24:$EL$24,1,CT282)=1,IF(AND('Lease Cycles'!$AZ$24&gt;=INDEX('Lease Cycles'!$BG$24:$BM$24,1,CT282),'Lease Cycles'!$AZ$24&lt;=CT$6),'Lease Cycles'!$C$24*'Lease Cycles'!$BA$24/12,IF(AND('Lease Cycles'!$AX$24&gt;=INDEX('Lease Cycles'!$BG$24:$BM$24,1,CT282),'Lease Cycles'!$AX$24&lt;=CT$6),'Lease Cycles'!$C$24*'Lease Cycles'!$AY$24/12,IF(AND('Lease Cycles'!$AV$24&gt;=INDEX('Lease Cycles'!$BG$24:$BM$24,1,CT282),'Lease Cycles'!$AV$24&lt;=CT$6),'Lease Cycles'!$C$24*'Lease Cycles'!$AW$24/12,IF(AND('Lease Cycles'!$AT$24&gt;=INDEX('Lease Cycles'!$BG$24:$BM$24,1,CT282),'Lease Cycles'!$AT$24&lt;=CT$6),'Lease Cycles'!$C$24*'Lease Cycles'!$AU$24/12,'Lease Cycles'!$C$24*INDEX('Lease Cycles'!$CB$24:$CH$24,1,CT282)*(1+INDEX('Lease Cycles'!$CI$24:$CO$24,1,CT282))^INT(INT(CT283/12)/INDEX('Lease Cycles'!$CP$24:$CV$24,1,CT282))/12)))),'Lease Cycles'!$C$24*INDEX('Lease Cycles'!$CB$24:$CH$24,1,CT282)*(1+INDEX('Lease Cycles'!$CI$24:$CO$24,1,CT282))^INT(INT(CT283/12)/INDEX('Lease Cycles'!$CP$24:$CV$24,1,CT282))/12))),IF('Lease Cycles'!$N$24=1,'Lease Cycles'!$C$24*'Lease Cycles'!$E$24*INDEX('Lease Cycles'!$HE$24:$HK$24,1,CT282)*(1+INDEX('Lease Cycles'!$GQ$24:$GW$24,1,CT282))^INT(INT((CT$6-INDEX('Lease Cycles'!$GJ$24:$GP$24,1,CT282))/12)/INDEX('Lease Cycles'!$GX$24:$HD$24,1,CT282))/12,0)))</f>
        <v>0</v>
      </c>
      <c r="CU285" s="28">
        <f>IF(CU282=0,IF('Lease Cycles'!$F$24&gt;0,'Lease Cycles'!$C$24*'Lease Cycles'!$E$24/12,0),IF(CU284=1,IF('Lease Cycles'!$AT$24&gt;=9999,'Lease Cycles'!$C$24*INDEX('Lease Cycles'!$CB$24:$CH$24,1,CU282)*(1+INDEX('Lease Cycles'!$CI$24:$CO$24,1,CU282))^INT(INT(CU283/12)/INDEX('Lease Cycles'!$CP$24:$CV$24,1,CU282))/12,IF(CU282=1,IF(CU283&gt;=INDEX('Lease Cycles'!$DK$24:$DQ$24,1,CU282),IF(CU$6&gt;='Lease Cycles'!$AZ$24,'Lease Cycles'!$C$24*'Lease Cycles'!$BA$24/12,IF(CU$6&gt;='Lease Cycles'!$AX$24,'Lease Cycles'!$C$24*'Lease Cycles'!$AY$24/12,IF(CU$6&gt;='Lease Cycles'!$AV$24,'Lease Cycles'!$C$24*'Lease Cycles'!$AW$24/12,IF(CU$6&gt;='Lease Cycles'!$AT$24,'Lease Cycles'!$C$24*'Lease Cycles'!$AU$24/12,'Lease Cycles'!$C$24*INDEX('Lease Cycles'!$CB$24:$CH$24,1,CU282)*(1+INDEX('Lease Cycles'!$CI$24:$CO$24,1,CU282))^INT(INT(CU283/12)/INDEX('Lease Cycles'!$CP$24:$CV$24,1,CU282))/12)))),'Lease Cycles'!$C$24*INDEX('Lease Cycles'!$CB$24:$CH$24,1,CU282)*(1+INDEX('Lease Cycles'!$CI$24:$CO$24,1,CU282))^INT(INT(CU283/12)/INDEX('Lease Cycles'!$CP$24:$CV$24,1,CU282))/12),IF(INDEX('Lease Cycles'!$EF$24:$EL$24,1,CU282)=1,IF(AND('Lease Cycles'!$AZ$24&gt;=INDEX('Lease Cycles'!$BG$24:$BM$24,1,CU282),'Lease Cycles'!$AZ$24&lt;=CU$6),'Lease Cycles'!$C$24*'Lease Cycles'!$BA$24/12,IF(AND('Lease Cycles'!$AX$24&gt;=INDEX('Lease Cycles'!$BG$24:$BM$24,1,CU282),'Lease Cycles'!$AX$24&lt;=CU$6),'Lease Cycles'!$C$24*'Lease Cycles'!$AY$24/12,IF(AND('Lease Cycles'!$AV$24&gt;=INDEX('Lease Cycles'!$BG$24:$BM$24,1,CU282),'Lease Cycles'!$AV$24&lt;=CU$6),'Lease Cycles'!$C$24*'Lease Cycles'!$AW$24/12,IF(AND('Lease Cycles'!$AT$24&gt;=INDEX('Lease Cycles'!$BG$24:$BM$24,1,CU282),'Lease Cycles'!$AT$24&lt;=CU$6),'Lease Cycles'!$C$24*'Lease Cycles'!$AU$24/12,'Lease Cycles'!$C$24*INDEX('Lease Cycles'!$CB$24:$CH$24,1,CU282)*(1+INDEX('Lease Cycles'!$CI$24:$CO$24,1,CU282))^INT(INT(CU283/12)/INDEX('Lease Cycles'!$CP$24:$CV$24,1,CU282))/12)))),'Lease Cycles'!$C$24*INDEX('Lease Cycles'!$CB$24:$CH$24,1,CU282)*(1+INDEX('Lease Cycles'!$CI$24:$CO$24,1,CU282))^INT(INT(CU283/12)/INDEX('Lease Cycles'!$CP$24:$CV$24,1,CU282))/12))),IF('Lease Cycles'!$N$24=1,'Lease Cycles'!$C$24*'Lease Cycles'!$E$24*INDEX('Lease Cycles'!$HE$24:$HK$24,1,CU282)*(1+INDEX('Lease Cycles'!$GQ$24:$GW$24,1,CU282))^INT(INT((CU$6-INDEX('Lease Cycles'!$GJ$24:$GP$24,1,CU282))/12)/INDEX('Lease Cycles'!$GX$24:$HD$24,1,CU282))/12,0)))</f>
        <v>0</v>
      </c>
      <c r="CV285" s="28">
        <f>IF(CV282=0,IF('Lease Cycles'!$F$24&gt;0,'Lease Cycles'!$C$24*'Lease Cycles'!$E$24/12,0),IF(CV284=1,IF('Lease Cycles'!$AT$24&gt;=9999,'Lease Cycles'!$C$24*INDEX('Lease Cycles'!$CB$24:$CH$24,1,CV282)*(1+INDEX('Lease Cycles'!$CI$24:$CO$24,1,CV282))^INT(INT(CV283/12)/INDEX('Lease Cycles'!$CP$24:$CV$24,1,CV282))/12,IF(CV282=1,IF(CV283&gt;=INDEX('Lease Cycles'!$DK$24:$DQ$24,1,CV282),IF(CV$6&gt;='Lease Cycles'!$AZ$24,'Lease Cycles'!$C$24*'Lease Cycles'!$BA$24/12,IF(CV$6&gt;='Lease Cycles'!$AX$24,'Lease Cycles'!$C$24*'Lease Cycles'!$AY$24/12,IF(CV$6&gt;='Lease Cycles'!$AV$24,'Lease Cycles'!$C$24*'Lease Cycles'!$AW$24/12,IF(CV$6&gt;='Lease Cycles'!$AT$24,'Lease Cycles'!$C$24*'Lease Cycles'!$AU$24/12,'Lease Cycles'!$C$24*INDEX('Lease Cycles'!$CB$24:$CH$24,1,CV282)*(1+INDEX('Lease Cycles'!$CI$24:$CO$24,1,CV282))^INT(INT(CV283/12)/INDEX('Lease Cycles'!$CP$24:$CV$24,1,CV282))/12)))),'Lease Cycles'!$C$24*INDEX('Lease Cycles'!$CB$24:$CH$24,1,CV282)*(1+INDEX('Lease Cycles'!$CI$24:$CO$24,1,CV282))^INT(INT(CV283/12)/INDEX('Lease Cycles'!$CP$24:$CV$24,1,CV282))/12),IF(INDEX('Lease Cycles'!$EF$24:$EL$24,1,CV282)=1,IF(AND('Lease Cycles'!$AZ$24&gt;=INDEX('Lease Cycles'!$BG$24:$BM$24,1,CV282),'Lease Cycles'!$AZ$24&lt;=CV$6),'Lease Cycles'!$C$24*'Lease Cycles'!$BA$24/12,IF(AND('Lease Cycles'!$AX$24&gt;=INDEX('Lease Cycles'!$BG$24:$BM$24,1,CV282),'Lease Cycles'!$AX$24&lt;=CV$6),'Lease Cycles'!$C$24*'Lease Cycles'!$AY$24/12,IF(AND('Lease Cycles'!$AV$24&gt;=INDEX('Lease Cycles'!$BG$24:$BM$24,1,CV282),'Lease Cycles'!$AV$24&lt;=CV$6),'Lease Cycles'!$C$24*'Lease Cycles'!$AW$24/12,IF(AND('Lease Cycles'!$AT$24&gt;=INDEX('Lease Cycles'!$BG$24:$BM$24,1,CV282),'Lease Cycles'!$AT$24&lt;=CV$6),'Lease Cycles'!$C$24*'Lease Cycles'!$AU$24/12,'Lease Cycles'!$C$24*INDEX('Lease Cycles'!$CB$24:$CH$24,1,CV282)*(1+INDEX('Lease Cycles'!$CI$24:$CO$24,1,CV282))^INT(INT(CV283/12)/INDEX('Lease Cycles'!$CP$24:$CV$24,1,CV282))/12)))),'Lease Cycles'!$C$24*INDEX('Lease Cycles'!$CB$24:$CH$24,1,CV282)*(1+INDEX('Lease Cycles'!$CI$24:$CO$24,1,CV282))^INT(INT(CV283/12)/INDEX('Lease Cycles'!$CP$24:$CV$24,1,CV282))/12))),IF('Lease Cycles'!$N$24=1,'Lease Cycles'!$C$24*'Lease Cycles'!$E$24*INDEX('Lease Cycles'!$HE$24:$HK$24,1,CV282)*(1+INDEX('Lease Cycles'!$GQ$24:$GW$24,1,CV282))^INT(INT((CV$6-INDEX('Lease Cycles'!$GJ$24:$GP$24,1,CV282))/12)/INDEX('Lease Cycles'!$GX$24:$HD$24,1,CV282))/12,0)))</f>
        <v>0</v>
      </c>
      <c r="CW285" s="28">
        <f>IF(CW282=0,IF('Lease Cycles'!$F$24&gt;0,'Lease Cycles'!$C$24*'Lease Cycles'!$E$24/12,0),IF(CW284=1,IF('Lease Cycles'!$AT$24&gt;=9999,'Lease Cycles'!$C$24*INDEX('Lease Cycles'!$CB$24:$CH$24,1,CW282)*(1+INDEX('Lease Cycles'!$CI$24:$CO$24,1,CW282))^INT(INT(CW283/12)/INDEX('Lease Cycles'!$CP$24:$CV$24,1,CW282))/12,IF(CW282=1,IF(CW283&gt;=INDEX('Lease Cycles'!$DK$24:$DQ$24,1,CW282),IF(CW$6&gt;='Lease Cycles'!$AZ$24,'Lease Cycles'!$C$24*'Lease Cycles'!$BA$24/12,IF(CW$6&gt;='Lease Cycles'!$AX$24,'Lease Cycles'!$C$24*'Lease Cycles'!$AY$24/12,IF(CW$6&gt;='Lease Cycles'!$AV$24,'Lease Cycles'!$C$24*'Lease Cycles'!$AW$24/12,IF(CW$6&gt;='Lease Cycles'!$AT$24,'Lease Cycles'!$C$24*'Lease Cycles'!$AU$24/12,'Lease Cycles'!$C$24*INDEX('Lease Cycles'!$CB$24:$CH$24,1,CW282)*(1+INDEX('Lease Cycles'!$CI$24:$CO$24,1,CW282))^INT(INT(CW283/12)/INDEX('Lease Cycles'!$CP$24:$CV$24,1,CW282))/12)))),'Lease Cycles'!$C$24*INDEX('Lease Cycles'!$CB$24:$CH$24,1,CW282)*(1+INDEX('Lease Cycles'!$CI$24:$CO$24,1,CW282))^INT(INT(CW283/12)/INDEX('Lease Cycles'!$CP$24:$CV$24,1,CW282))/12),IF(INDEX('Lease Cycles'!$EF$24:$EL$24,1,CW282)=1,IF(AND('Lease Cycles'!$AZ$24&gt;=INDEX('Lease Cycles'!$BG$24:$BM$24,1,CW282),'Lease Cycles'!$AZ$24&lt;=CW$6),'Lease Cycles'!$C$24*'Lease Cycles'!$BA$24/12,IF(AND('Lease Cycles'!$AX$24&gt;=INDEX('Lease Cycles'!$BG$24:$BM$24,1,CW282),'Lease Cycles'!$AX$24&lt;=CW$6),'Lease Cycles'!$C$24*'Lease Cycles'!$AY$24/12,IF(AND('Lease Cycles'!$AV$24&gt;=INDEX('Lease Cycles'!$BG$24:$BM$24,1,CW282),'Lease Cycles'!$AV$24&lt;=CW$6),'Lease Cycles'!$C$24*'Lease Cycles'!$AW$24/12,IF(AND('Lease Cycles'!$AT$24&gt;=INDEX('Lease Cycles'!$BG$24:$BM$24,1,CW282),'Lease Cycles'!$AT$24&lt;=CW$6),'Lease Cycles'!$C$24*'Lease Cycles'!$AU$24/12,'Lease Cycles'!$C$24*INDEX('Lease Cycles'!$CB$24:$CH$24,1,CW282)*(1+INDEX('Lease Cycles'!$CI$24:$CO$24,1,CW282))^INT(INT(CW283/12)/INDEX('Lease Cycles'!$CP$24:$CV$24,1,CW282))/12)))),'Lease Cycles'!$C$24*INDEX('Lease Cycles'!$CB$24:$CH$24,1,CW282)*(1+INDEX('Lease Cycles'!$CI$24:$CO$24,1,CW282))^INT(INT(CW283/12)/INDEX('Lease Cycles'!$CP$24:$CV$24,1,CW282))/12))),IF('Lease Cycles'!$N$24=1,'Lease Cycles'!$C$24*'Lease Cycles'!$E$24*INDEX('Lease Cycles'!$HE$24:$HK$24,1,CW282)*(1+INDEX('Lease Cycles'!$GQ$24:$GW$24,1,CW282))^INT(INT((CW$6-INDEX('Lease Cycles'!$GJ$24:$GP$24,1,CW282))/12)/INDEX('Lease Cycles'!$GX$24:$HD$24,1,CW282))/12,0)))</f>
        <v>0</v>
      </c>
      <c r="CX285" s="28">
        <f>IF(CX282=0,IF('Lease Cycles'!$F$24&gt;0,'Lease Cycles'!$C$24*'Lease Cycles'!$E$24/12,0),IF(CX284=1,IF('Lease Cycles'!$AT$24&gt;=9999,'Lease Cycles'!$C$24*INDEX('Lease Cycles'!$CB$24:$CH$24,1,CX282)*(1+INDEX('Lease Cycles'!$CI$24:$CO$24,1,CX282))^INT(INT(CX283/12)/INDEX('Lease Cycles'!$CP$24:$CV$24,1,CX282))/12,IF(CX282=1,IF(CX283&gt;=INDEX('Lease Cycles'!$DK$24:$DQ$24,1,CX282),IF(CX$6&gt;='Lease Cycles'!$AZ$24,'Lease Cycles'!$C$24*'Lease Cycles'!$BA$24/12,IF(CX$6&gt;='Lease Cycles'!$AX$24,'Lease Cycles'!$C$24*'Lease Cycles'!$AY$24/12,IF(CX$6&gt;='Lease Cycles'!$AV$24,'Lease Cycles'!$C$24*'Lease Cycles'!$AW$24/12,IF(CX$6&gt;='Lease Cycles'!$AT$24,'Lease Cycles'!$C$24*'Lease Cycles'!$AU$24/12,'Lease Cycles'!$C$24*INDEX('Lease Cycles'!$CB$24:$CH$24,1,CX282)*(1+INDEX('Lease Cycles'!$CI$24:$CO$24,1,CX282))^INT(INT(CX283/12)/INDEX('Lease Cycles'!$CP$24:$CV$24,1,CX282))/12)))),'Lease Cycles'!$C$24*INDEX('Lease Cycles'!$CB$24:$CH$24,1,CX282)*(1+INDEX('Lease Cycles'!$CI$24:$CO$24,1,CX282))^INT(INT(CX283/12)/INDEX('Lease Cycles'!$CP$24:$CV$24,1,CX282))/12),IF(INDEX('Lease Cycles'!$EF$24:$EL$24,1,CX282)=1,IF(AND('Lease Cycles'!$AZ$24&gt;=INDEX('Lease Cycles'!$BG$24:$BM$24,1,CX282),'Lease Cycles'!$AZ$24&lt;=CX$6),'Lease Cycles'!$C$24*'Lease Cycles'!$BA$24/12,IF(AND('Lease Cycles'!$AX$24&gt;=INDEX('Lease Cycles'!$BG$24:$BM$24,1,CX282),'Lease Cycles'!$AX$24&lt;=CX$6),'Lease Cycles'!$C$24*'Lease Cycles'!$AY$24/12,IF(AND('Lease Cycles'!$AV$24&gt;=INDEX('Lease Cycles'!$BG$24:$BM$24,1,CX282),'Lease Cycles'!$AV$24&lt;=CX$6),'Lease Cycles'!$C$24*'Lease Cycles'!$AW$24/12,IF(AND('Lease Cycles'!$AT$24&gt;=INDEX('Lease Cycles'!$BG$24:$BM$24,1,CX282),'Lease Cycles'!$AT$24&lt;=CX$6),'Lease Cycles'!$C$24*'Lease Cycles'!$AU$24/12,'Lease Cycles'!$C$24*INDEX('Lease Cycles'!$CB$24:$CH$24,1,CX282)*(1+INDEX('Lease Cycles'!$CI$24:$CO$24,1,CX282))^INT(INT(CX283/12)/INDEX('Lease Cycles'!$CP$24:$CV$24,1,CX282))/12)))),'Lease Cycles'!$C$24*INDEX('Lease Cycles'!$CB$24:$CH$24,1,CX282)*(1+INDEX('Lease Cycles'!$CI$24:$CO$24,1,CX282))^INT(INT(CX283/12)/INDEX('Lease Cycles'!$CP$24:$CV$24,1,CX282))/12))),IF('Lease Cycles'!$N$24=1,'Lease Cycles'!$C$24*'Lease Cycles'!$E$24*INDEX('Lease Cycles'!$HE$24:$HK$24,1,CX282)*(1+INDEX('Lease Cycles'!$GQ$24:$GW$24,1,CX282))^INT(INT((CX$6-INDEX('Lease Cycles'!$GJ$24:$GP$24,1,CX282))/12)/INDEX('Lease Cycles'!$GX$24:$HD$24,1,CX282))/12,0)))</f>
        <v>0</v>
      </c>
      <c r="CY285" s="28">
        <f>IF(CY282=0,IF('Lease Cycles'!$F$24&gt;0,'Lease Cycles'!$C$24*'Lease Cycles'!$E$24/12,0),IF(CY284=1,IF('Lease Cycles'!$AT$24&gt;=9999,'Lease Cycles'!$C$24*INDEX('Lease Cycles'!$CB$24:$CH$24,1,CY282)*(1+INDEX('Lease Cycles'!$CI$24:$CO$24,1,CY282))^INT(INT(CY283/12)/INDEX('Lease Cycles'!$CP$24:$CV$24,1,CY282))/12,IF(CY282=1,IF(CY283&gt;=INDEX('Lease Cycles'!$DK$24:$DQ$24,1,CY282),IF(CY$6&gt;='Lease Cycles'!$AZ$24,'Lease Cycles'!$C$24*'Lease Cycles'!$BA$24/12,IF(CY$6&gt;='Lease Cycles'!$AX$24,'Lease Cycles'!$C$24*'Lease Cycles'!$AY$24/12,IF(CY$6&gt;='Lease Cycles'!$AV$24,'Lease Cycles'!$C$24*'Lease Cycles'!$AW$24/12,IF(CY$6&gt;='Lease Cycles'!$AT$24,'Lease Cycles'!$C$24*'Lease Cycles'!$AU$24/12,'Lease Cycles'!$C$24*INDEX('Lease Cycles'!$CB$24:$CH$24,1,CY282)*(1+INDEX('Lease Cycles'!$CI$24:$CO$24,1,CY282))^INT(INT(CY283/12)/INDEX('Lease Cycles'!$CP$24:$CV$24,1,CY282))/12)))),'Lease Cycles'!$C$24*INDEX('Lease Cycles'!$CB$24:$CH$24,1,CY282)*(1+INDEX('Lease Cycles'!$CI$24:$CO$24,1,CY282))^INT(INT(CY283/12)/INDEX('Lease Cycles'!$CP$24:$CV$24,1,CY282))/12),IF(INDEX('Lease Cycles'!$EF$24:$EL$24,1,CY282)=1,IF(AND('Lease Cycles'!$AZ$24&gt;=INDEX('Lease Cycles'!$BG$24:$BM$24,1,CY282),'Lease Cycles'!$AZ$24&lt;=CY$6),'Lease Cycles'!$C$24*'Lease Cycles'!$BA$24/12,IF(AND('Lease Cycles'!$AX$24&gt;=INDEX('Lease Cycles'!$BG$24:$BM$24,1,CY282),'Lease Cycles'!$AX$24&lt;=CY$6),'Lease Cycles'!$C$24*'Lease Cycles'!$AY$24/12,IF(AND('Lease Cycles'!$AV$24&gt;=INDEX('Lease Cycles'!$BG$24:$BM$24,1,CY282),'Lease Cycles'!$AV$24&lt;=CY$6),'Lease Cycles'!$C$24*'Lease Cycles'!$AW$24/12,IF(AND('Lease Cycles'!$AT$24&gt;=INDEX('Lease Cycles'!$BG$24:$BM$24,1,CY282),'Lease Cycles'!$AT$24&lt;=CY$6),'Lease Cycles'!$C$24*'Lease Cycles'!$AU$24/12,'Lease Cycles'!$C$24*INDEX('Lease Cycles'!$CB$24:$CH$24,1,CY282)*(1+INDEX('Lease Cycles'!$CI$24:$CO$24,1,CY282))^INT(INT(CY283/12)/INDEX('Lease Cycles'!$CP$24:$CV$24,1,CY282))/12)))),'Lease Cycles'!$C$24*INDEX('Lease Cycles'!$CB$24:$CH$24,1,CY282)*(1+INDEX('Lease Cycles'!$CI$24:$CO$24,1,CY282))^INT(INT(CY283/12)/INDEX('Lease Cycles'!$CP$24:$CV$24,1,CY282))/12))),IF('Lease Cycles'!$N$24=1,'Lease Cycles'!$C$24*'Lease Cycles'!$E$24*INDEX('Lease Cycles'!$HE$24:$HK$24,1,CY282)*(1+INDEX('Lease Cycles'!$GQ$24:$GW$24,1,CY282))^INT(INT((CY$6-INDEX('Lease Cycles'!$GJ$24:$GP$24,1,CY282))/12)/INDEX('Lease Cycles'!$GX$24:$HD$24,1,CY282))/12,0)))</f>
        <v>0</v>
      </c>
      <c r="CZ285" s="28">
        <f>IF(CZ282=0,IF('Lease Cycles'!$F$24&gt;0,'Lease Cycles'!$C$24*'Lease Cycles'!$E$24/12,0),IF(CZ284=1,IF('Lease Cycles'!$AT$24&gt;=9999,'Lease Cycles'!$C$24*INDEX('Lease Cycles'!$CB$24:$CH$24,1,CZ282)*(1+INDEX('Lease Cycles'!$CI$24:$CO$24,1,CZ282))^INT(INT(CZ283/12)/INDEX('Lease Cycles'!$CP$24:$CV$24,1,CZ282))/12,IF(CZ282=1,IF(CZ283&gt;=INDEX('Lease Cycles'!$DK$24:$DQ$24,1,CZ282),IF(CZ$6&gt;='Lease Cycles'!$AZ$24,'Lease Cycles'!$C$24*'Lease Cycles'!$BA$24/12,IF(CZ$6&gt;='Lease Cycles'!$AX$24,'Lease Cycles'!$C$24*'Lease Cycles'!$AY$24/12,IF(CZ$6&gt;='Lease Cycles'!$AV$24,'Lease Cycles'!$C$24*'Lease Cycles'!$AW$24/12,IF(CZ$6&gt;='Lease Cycles'!$AT$24,'Lease Cycles'!$C$24*'Lease Cycles'!$AU$24/12,'Lease Cycles'!$C$24*INDEX('Lease Cycles'!$CB$24:$CH$24,1,CZ282)*(1+INDEX('Lease Cycles'!$CI$24:$CO$24,1,CZ282))^INT(INT(CZ283/12)/INDEX('Lease Cycles'!$CP$24:$CV$24,1,CZ282))/12)))),'Lease Cycles'!$C$24*INDEX('Lease Cycles'!$CB$24:$CH$24,1,CZ282)*(1+INDEX('Lease Cycles'!$CI$24:$CO$24,1,CZ282))^INT(INT(CZ283/12)/INDEX('Lease Cycles'!$CP$24:$CV$24,1,CZ282))/12),IF(INDEX('Lease Cycles'!$EF$24:$EL$24,1,CZ282)=1,IF(AND('Lease Cycles'!$AZ$24&gt;=INDEX('Lease Cycles'!$BG$24:$BM$24,1,CZ282),'Lease Cycles'!$AZ$24&lt;=CZ$6),'Lease Cycles'!$C$24*'Lease Cycles'!$BA$24/12,IF(AND('Lease Cycles'!$AX$24&gt;=INDEX('Lease Cycles'!$BG$24:$BM$24,1,CZ282),'Lease Cycles'!$AX$24&lt;=CZ$6),'Lease Cycles'!$C$24*'Lease Cycles'!$AY$24/12,IF(AND('Lease Cycles'!$AV$24&gt;=INDEX('Lease Cycles'!$BG$24:$BM$24,1,CZ282),'Lease Cycles'!$AV$24&lt;=CZ$6),'Lease Cycles'!$C$24*'Lease Cycles'!$AW$24/12,IF(AND('Lease Cycles'!$AT$24&gt;=INDEX('Lease Cycles'!$BG$24:$BM$24,1,CZ282),'Lease Cycles'!$AT$24&lt;=CZ$6),'Lease Cycles'!$C$24*'Lease Cycles'!$AU$24/12,'Lease Cycles'!$C$24*INDEX('Lease Cycles'!$CB$24:$CH$24,1,CZ282)*(1+INDEX('Lease Cycles'!$CI$24:$CO$24,1,CZ282))^INT(INT(CZ283/12)/INDEX('Lease Cycles'!$CP$24:$CV$24,1,CZ282))/12)))),'Lease Cycles'!$C$24*INDEX('Lease Cycles'!$CB$24:$CH$24,1,CZ282)*(1+INDEX('Lease Cycles'!$CI$24:$CO$24,1,CZ282))^INT(INT(CZ283/12)/INDEX('Lease Cycles'!$CP$24:$CV$24,1,CZ282))/12))),IF('Lease Cycles'!$N$24=1,'Lease Cycles'!$C$24*'Lease Cycles'!$E$24*INDEX('Lease Cycles'!$HE$24:$HK$24,1,CZ282)*(1+INDEX('Lease Cycles'!$GQ$24:$GW$24,1,CZ282))^INT(INT((CZ$6-INDEX('Lease Cycles'!$GJ$24:$GP$24,1,CZ282))/12)/INDEX('Lease Cycles'!$GX$24:$HD$24,1,CZ282))/12,0)))</f>
        <v>0</v>
      </c>
      <c r="DA285" s="28">
        <f>IF(DA282=0,IF('Lease Cycles'!$F$24&gt;0,'Lease Cycles'!$C$24*'Lease Cycles'!$E$24/12,0),IF(DA284=1,IF('Lease Cycles'!$AT$24&gt;=9999,'Lease Cycles'!$C$24*INDEX('Lease Cycles'!$CB$24:$CH$24,1,DA282)*(1+INDEX('Lease Cycles'!$CI$24:$CO$24,1,DA282))^INT(INT(DA283/12)/INDEX('Lease Cycles'!$CP$24:$CV$24,1,DA282))/12,IF(DA282=1,IF(DA283&gt;=INDEX('Lease Cycles'!$DK$24:$DQ$24,1,DA282),IF(DA$6&gt;='Lease Cycles'!$AZ$24,'Lease Cycles'!$C$24*'Lease Cycles'!$BA$24/12,IF(DA$6&gt;='Lease Cycles'!$AX$24,'Lease Cycles'!$C$24*'Lease Cycles'!$AY$24/12,IF(DA$6&gt;='Lease Cycles'!$AV$24,'Lease Cycles'!$C$24*'Lease Cycles'!$AW$24/12,IF(DA$6&gt;='Lease Cycles'!$AT$24,'Lease Cycles'!$C$24*'Lease Cycles'!$AU$24/12,'Lease Cycles'!$C$24*INDEX('Lease Cycles'!$CB$24:$CH$24,1,DA282)*(1+INDEX('Lease Cycles'!$CI$24:$CO$24,1,DA282))^INT(INT(DA283/12)/INDEX('Lease Cycles'!$CP$24:$CV$24,1,DA282))/12)))),'Lease Cycles'!$C$24*INDEX('Lease Cycles'!$CB$24:$CH$24,1,DA282)*(1+INDEX('Lease Cycles'!$CI$24:$CO$24,1,DA282))^INT(INT(DA283/12)/INDEX('Lease Cycles'!$CP$24:$CV$24,1,DA282))/12),IF(INDEX('Lease Cycles'!$EF$24:$EL$24,1,DA282)=1,IF(AND('Lease Cycles'!$AZ$24&gt;=INDEX('Lease Cycles'!$BG$24:$BM$24,1,DA282),'Lease Cycles'!$AZ$24&lt;=DA$6),'Lease Cycles'!$C$24*'Lease Cycles'!$BA$24/12,IF(AND('Lease Cycles'!$AX$24&gt;=INDEX('Lease Cycles'!$BG$24:$BM$24,1,DA282),'Lease Cycles'!$AX$24&lt;=DA$6),'Lease Cycles'!$C$24*'Lease Cycles'!$AY$24/12,IF(AND('Lease Cycles'!$AV$24&gt;=INDEX('Lease Cycles'!$BG$24:$BM$24,1,DA282),'Lease Cycles'!$AV$24&lt;=DA$6),'Lease Cycles'!$C$24*'Lease Cycles'!$AW$24/12,IF(AND('Lease Cycles'!$AT$24&gt;=INDEX('Lease Cycles'!$BG$24:$BM$24,1,DA282),'Lease Cycles'!$AT$24&lt;=DA$6),'Lease Cycles'!$C$24*'Lease Cycles'!$AU$24/12,'Lease Cycles'!$C$24*INDEX('Lease Cycles'!$CB$24:$CH$24,1,DA282)*(1+INDEX('Lease Cycles'!$CI$24:$CO$24,1,DA282))^INT(INT(DA283/12)/INDEX('Lease Cycles'!$CP$24:$CV$24,1,DA282))/12)))),'Lease Cycles'!$C$24*INDEX('Lease Cycles'!$CB$24:$CH$24,1,DA282)*(1+INDEX('Lease Cycles'!$CI$24:$CO$24,1,DA282))^INT(INT(DA283/12)/INDEX('Lease Cycles'!$CP$24:$CV$24,1,DA282))/12))),IF('Lease Cycles'!$N$24=1,'Lease Cycles'!$C$24*'Lease Cycles'!$E$24*INDEX('Lease Cycles'!$HE$24:$HK$24,1,DA282)*(1+INDEX('Lease Cycles'!$GQ$24:$GW$24,1,DA282))^INT(INT((DA$6-INDEX('Lease Cycles'!$GJ$24:$GP$24,1,DA282))/12)/INDEX('Lease Cycles'!$GX$24:$HD$24,1,DA282))/12,0)))</f>
        <v>0</v>
      </c>
      <c r="DB285" s="28">
        <f>IF(DB282=0,IF('Lease Cycles'!$F$24&gt;0,'Lease Cycles'!$C$24*'Lease Cycles'!$E$24/12,0),IF(DB284=1,IF('Lease Cycles'!$AT$24&gt;=9999,'Lease Cycles'!$C$24*INDEX('Lease Cycles'!$CB$24:$CH$24,1,DB282)*(1+INDEX('Lease Cycles'!$CI$24:$CO$24,1,DB282))^INT(INT(DB283/12)/INDEX('Lease Cycles'!$CP$24:$CV$24,1,DB282))/12,IF(DB282=1,IF(DB283&gt;=INDEX('Lease Cycles'!$DK$24:$DQ$24,1,DB282),IF(DB$6&gt;='Lease Cycles'!$AZ$24,'Lease Cycles'!$C$24*'Lease Cycles'!$BA$24/12,IF(DB$6&gt;='Lease Cycles'!$AX$24,'Lease Cycles'!$C$24*'Lease Cycles'!$AY$24/12,IF(DB$6&gt;='Lease Cycles'!$AV$24,'Lease Cycles'!$C$24*'Lease Cycles'!$AW$24/12,IF(DB$6&gt;='Lease Cycles'!$AT$24,'Lease Cycles'!$C$24*'Lease Cycles'!$AU$24/12,'Lease Cycles'!$C$24*INDEX('Lease Cycles'!$CB$24:$CH$24,1,DB282)*(1+INDEX('Lease Cycles'!$CI$24:$CO$24,1,DB282))^INT(INT(DB283/12)/INDEX('Lease Cycles'!$CP$24:$CV$24,1,DB282))/12)))),'Lease Cycles'!$C$24*INDEX('Lease Cycles'!$CB$24:$CH$24,1,DB282)*(1+INDEX('Lease Cycles'!$CI$24:$CO$24,1,DB282))^INT(INT(DB283/12)/INDEX('Lease Cycles'!$CP$24:$CV$24,1,DB282))/12),IF(INDEX('Lease Cycles'!$EF$24:$EL$24,1,DB282)=1,IF(AND('Lease Cycles'!$AZ$24&gt;=INDEX('Lease Cycles'!$BG$24:$BM$24,1,DB282),'Lease Cycles'!$AZ$24&lt;=DB$6),'Lease Cycles'!$C$24*'Lease Cycles'!$BA$24/12,IF(AND('Lease Cycles'!$AX$24&gt;=INDEX('Lease Cycles'!$BG$24:$BM$24,1,DB282),'Lease Cycles'!$AX$24&lt;=DB$6),'Lease Cycles'!$C$24*'Lease Cycles'!$AY$24/12,IF(AND('Lease Cycles'!$AV$24&gt;=INDEX('Lease Cycles'!$BG$24:$BM$24,1,DB282),'Lease Cycles'!$AV$24&lt;=DB$6),'Lease Cycles'!$C$24*'Lease Cycles'!$AW$24/12,IF(AND('Lease Cycles'!$AT$24&gt;=INDEX('Lease Cycles'!$BG$24:$BM$24,1,DB282),'Lease Cycles'!$AT$24&lt;=DB$6),'Lease Cycles'!$C$24*'Lease Cycles'!$AU$24/12,'Lease Cycles'!$C$24*INDEX('Lease Cycles'!$CB$24:$CH$24,1,DB282)*(1+INDEX('Lease Cycles'!$CI$24:$CO$24,1,DB282))^INT(INT(DB283/12)/INDEX('Lease Cycles'!$CP$24:$CV$24,1,DB282))/12)))),'Lease Cycles'!$C$24*INDEX('Lease Cycles'!$CB$24:$CH$24,1,DB282)*(1+INDEX('Lease Cycles'!$CI$24:$CO$24,1,DB282))^INT(INT(DB283/12)/INDEX('Lease Cycles'!$CP$24:$CV$24,1,DB282))/12))),IF('Lease Cycles'!$N$24=1,'Lease Cycles'!$C$24*'Lease Cycles'!$E$24*INDEX('Lease Cycles'!$HE$24:$HK$24,1,DB282)*(1+INDEX('Lease Cycles'!$GQ$24:$GW$24,1,DB282))^INT(INT((DB$6-INDEX('Lease Cycles'!$GJ$24:$GP$24,1,DB282))/12)/INDEX('Lease Cycles'!$GX$24:$HD$24,1,DB282))/12,0)))</f>
        <v>0</v>
      </c>
      <c r="DC285" s="28">
        <f>IF(DC282=0,IF('Lease Cycles'!$F$24&gt;0,'Lease Cycles'!$C$24*'Lease Cycles'!$E$24/12,0),IF(DC284=1,IF('Lease Cycles'!$AT$24&gt;=9999,'Lease Cycles'!$C$24*INDEX('Lease Cycles'!$CB$24:$CH$24,1,DC282)*(1+INDEX('Lease Cycles'!$CI$24:$CO$24,1,DC282))^INT(INT(DC283/12)/INDEX('Lease Cycles'!$CP$24:$CV$24,1,DC282))/12,IF(DC282=1,IF(DC283&gt;=INDEX('Lease Cycles'!$DK$24:$DQ$24,1,DC282),IF(DC$6&gt;='Lease Cycles'!$AZ$24,'Lease Cycles'!$C$24*'Lease Cycles'!$BA$24/12,IF(DC$6&gt;='Lease Cycles'!$AX$24,'Lease Cycles'!$C$24*'Lease Cycles'!$AY$24/12,IF(DC$6&gt;='Lease Cycles'!$AV$24,'Lease Cycles'!$C$24*'Lease Cycles'!$AW$24/12,IF(DC$6&gt;='Lease Cycles'!$AT$24,'Lease Cycles'!$C$24*'Lease Cycles'!$AU$24/12,'Lease Cycles'!$C$24*INDEX('Lease Cycles'!$CB$24:$CH$24,1,DC282)*(1+INDEX('Lease Cycles'!$CI$24:$CO$24,1,DC282))^INT(INT(DC283/12)/INDEX('Lease Cycles'!$CP$24:$CV$24,1,DC282))/12)))),'Lease Cycles'!$C$24*INDEX('Lease Cycles'!$CB$24:$CH$24,1,DC282)*(1+INDEX('Lease Cycles'!$CI$24:$CO$24,1,DC282))^INT(INT(DC283/12)/INDEX('Lease Cycles'!$CP$24:$CV$24,1,DC282))/12),IF(INDEX('Lease Cycles'!$EF$24:$EL$24,1,DC282)=1,IF(AND('Lease Cycles'!$AZ$24&gt;=INDEX('Lease Cycles'!$BG$24:$BM$24,1,DC282),'Lease Cycles'!$AZ$24&lt;=DC$6),'Lease Cycles'!$C$24*'Lease Cycles'!$BA$24/12,IF(AND('Lease Cycles'!$AX$24&gt;=INDEX('Lease Cycles'!$BG$24:$BM$24,1,DC282),'Lease Cycles'!$AX$24&lt;=DC$6),'Lease Cycles'!$C$24*'Lease Cycles'!$AY$24/12,IF(AND('Lease Cycles'!$AV$24&gt;=INDEX('Lease Cycles'!$BG$24:$BM$24,1,DC282),'Lease Cycles'!$AV$24&lt;=DC$6),'Lease Cycles'!$C$24*'Lease Cycles'!$AW$24/12,IF(AND('Lease Cycles'!$AT$24&gt;=INDEX('Lease Cycles'!$BG$24:$BM$24,1,DC282),'Lease Cycles'!$AT$24&lt;=DC$6),'Lease Cycles'!$C$24*'Lease Cycles'!$AU$24/12,'Lease Cycles'!$C$24*INDEX('Lease Cycles'!$CB$24:$CH$24,1,DC282)*(1+INDEX('Lease Cycles'!$CI$24:$CO$24,1,DC282))^INT(INT(DC283/12)/INDEX('Lease Cycles'!$CP$24:$CV$24,1,DC282))/12)))),'Lease Cycles'!$C$24*INDEX('Lease Cycles'!$CB$24:$CH$24,1,DC282)*(1+INDEX('Lease Cycles'!$CI$24:$CO$24,1,DC282))^INT(INT(DC283/12)/INDEX('Lease Cycles'!$CP$24:$CV$24,1,DC282))/12))),IF('Lease Cycles'!$N$24=1,'Lease Cycles'!$C$24*'Lease Cycles'!$E$24*INDEX('Lease Cycles'!$HE$24:$HK$24,1,DC282)*(1+INDEX('Lease Cycles'!$GQ$24:$GW$24,1,DC282))^INT(INT((DC$6-INDEX('Lease Cycles'!$GJ$24:$GP$24,1,DC282))/12)/INDEX('Lease Cycles'!$GX$24:$HD$24,1,DC282))/12,0)))</f>
        <v>0</v>
      </c>
      <c r="DD285" s="28">
        <f>IF(DD282=0,IF('Lease Cycles'!$F$24&gt;0,'Lease Cycles'!$C$24*'Lease Cycles'!$E$24/12,0),IF(DD284=1,IF('Lease Cycles'!$AT$24&gt;=9999,'Lease Cycles'!$C$24*INDEX('Lease Cycles'!$CB$24:$CH$24,1,DD282)*(1+INDEX('Lease Cycles'!$CI$24:$CO$24,1,DD282))^INT(INT(DD283/12)/INDEX('Lease Cycles'!$CP$24:$CV$24,1,DD282))/12,IF(DD282=1,IF(DD283&gt;=INDEX('Lease Cycles'!$DK$24:$DQ$24,1,DD282),IF(DD$6&gt;='Lease Cycles'!$AZ$24,'Lease Cycles'!$C$24*'Lease Cycles'!$BA$24/12,IF(DD$6&gt;='Lease Cycles'!$AX$24,'Lease Cycles'!$C$24*'Lease Cycles'!$AY$24/12,IF(DD$6&gt;='Lease Cycles'!$AV$24,'Lease Cycles'!$C$24*'Lease Cycles'!$AW$24/12,IF(DD$6&gt;='Lease Cycles'!$AT$24,'Lease Cycles'!$C$24*'Lease Cycles'!$AU$24/12,'Lease Cycles'!$C$24*INDEX('Lease Cycles'!$CB$24:$CH$24,1,DD282)*(1+INDEX('Lease Cycles'!$CI$24:$CO$24,1,DD282))^INT(INT(DD283/12)/INDEX('Lease Cycles'!$CP$24:$CV$24,1,DD282))/12)))),'Lease Cycles'!$C$24*INDEX('Lease Cycles'!$CB$24:$CH$24,1,DD282)*(1+INDEX('Lease Cycles'!$CI$24:$CO$24,1,DD282))^INT(INT(DD283/12)/INDEX('Lease Cycles'!$CP$24:$CV$24,1,DD282))/12),IF(INDEX('Lease Cycles'!$EF$24:$EL$24,1,DD282)=1,IF(AND('Lease Cycles'!$AZ$24&gt;=INDEX('Lease Cycles'!$BG$24:$BM$24,1,DD282),'Lease Cycles'!$AZ$24&lt;=DD$6),'Lease Cycles'!$C$24*'Lease Cycles'!$BA$24/12,IF(AND('Lease Cycles'!$AX$24&gt;=INDEX('Lease Cycles'!$BG$24:$BM$24,1,DD282),'Lease Cycles'!$AX$24&lt;=DD$6),'Lease Cycles'!$C$24*'Lease Cycles'!$AY$24/12,IF(AND('Lease Cycles'!$AV$24&gt;=INDEX('Lease Cycles'!$BG$24:$BM$24,1,DD282),'Lease Cycles'!$AV$24&lt;=DD$6),'Lease Cycles'!$C$24*'Lease Cycles'!$AW$24/12,IF(AND('Lease Cycles'!$AT$24&gt;=INDEX('Lease Cycles'!$BG$24:$BM$24,1,DD282),'Lease Cycles'!$AT$24&lt;=DD$6),'Lease Cycles'!$C$24*'Lease Cycles'!$AU$24/12,'Lease Cycles'!$C$24*INDEX('Lease Cycles'!$CB$24:$CH$24,1,DD282)*(1+INDEX('Lease Cycles'!$CI$24:$CO$24,1,DD282))^INT(INT(DD283/12)/INDEX('Lease Cycles'!$CP$24:$CV$24,1,DD282))/12)))),'Lease Cycles'!$C$24*INDEX('Lease Cycles'!$CB$24:$CH$24,1,DD282)*(1+INDEX('Lease Cycles'!$CI$24:$CO$24,1,DD282))^INT(INT(DD283/12)/INDEX('Lease Cycles'!$CP$24:$CV$24,1,DD282))/12))),IF('Lease Cycles'!$N$24=1,'Lease Cycles'!$C$24*'Lease Cycles'!$E$24*INDEX('Lease Cycles'!$HE$24:$HK$24,1,DD282)*(1+INDEX('Lease Cycles'!$GQ$24:$GW$24,1,DD282))^INT(INT((DD$6-INDEX('Lease Cycles'!$GJ$24:$GP$24,1,DD282))/12)/INDEX('Lease Cycles'!$GX$24:$HD$24,1,DD282))/12,0)))</f>
        <v>0</v>
      </c>
      <c r="DE285" s="28">
        <f>IF(DE282=0,IF('Lease Cycles'!$F$24&gt;0,'Lease Cycles'!$C$24*'Lease Cycles'!$E$24/12,0),IF(DE284=1,IF('Lease Cycles'!$AT$24&gt;=9999,'Lease Cycles'!$C$24*INDEX('Lease Cycles'!$CB$24:$CH$24,1,DE282)*(1+INDEX('Lease Cycles'!$CI$24:$CO$24,1,DE282))^INT(INT(DE283/12)/INDEX('Lease Cycles'!$CP$24:$CV$24,1,DE282))/12,IF(DE282=1,IF(DE283&gt;=INDEX('Lease Cycles'!$DK$24:$DQ$24,1,DE282),IF(DE$6&gt;='Lease Cycles'!$AZ$24,'Lease Cycles'!$C$24*'Lease Cycles'!$BA$24/12,IF(DE$6&gt;='Lease Cycles'!$AX$24,'Lease Cycles'!$C$24*'Lease Cycles'!$AY$24/12,IF(DE$6&gt;='Lease Cycles'!$AV$24,'Lease Cycles'!$C$24*'Lease Cycles'!$AW$24/12,IF(DE$6&gt;='Lease Cycles'!$AT$24,'Lease Cycles'!$C$24*'Lease Cycles'!$AU$24/12,'Lease Cycles'!$C$24*INDEX('Lease Cycles'!$CB$24:$CH$24,1,DE282)*(1+INDEX('Lease Cycles'!$CI$24:$CO$24,1,DE282))^INT(INT(DE283/12)/INDEX('Lease Cycles'!$CP$24:$CV$24,1,DE282))/12)))),'Lease Cycles'!$C$24*INDEX('Lease Cycles'!$CB$24:$CH$24,1,DE282)*(1+INDEX('Lease Cycles'!$CI$24:$CO$24,1,DE282))^INT(INT(DE283/12)/INDEX('Lease Cycles'!$CP$24:$CV$24,1,DE282))/12),IF(INDEX('Lease Cycles'!$EF$24:$EL$24,1,DE282)=1,IF(AND('Lease Cycles'!$AZ$24&gt;=INDEX('Lease Cycles'!$BG$24:$BM$24,1,DE282),'Lease Cycles'!$AZ$24&lt;=DE$6),'Lease Cycles'!$C$24*'Lease Cycles'!$BA$24/12,IF(AND('Lease Cycles'!$AX$24&gt;=INDEX('Lease Cycles'!$BG$24:$BM$24,1,DE282),'Lease Cycles'!$AX$24&lt;=DE$6),'Lease Cycles'!$C$24*'Lease Cycles'!$AY$24/12,IF(AND('Lease Cycles'!$AV$24&gt;=INDEX('Lease Cycles'!$BG$24:$BM$24,1,DE282),'Lease Cycles'!$AV$24&lt;=DE$6),'Lease Cycles'!$C$24*'Lease Cycles'!$AW$24/12,IF(AND('Lease Cycles'!$AT$24&gt;=INDEX('Lease Cycles'!$BG$24:$BM$24,1,DE282),'Lease Cycles'!$AT$24&lt;=DE$6),'Lease Cycles'!$C$24*'Lease Cycles'!$AU$24/12,'Lease Cycles'!$C$24*INDEX('Lease Cycles'!$CB$24:$CH$24,1,DE282)*(1+INDEX('Lease Cycles'!$CI$24:$CO$24,1,DE282))^INT(INT(DE283/12)/INDEX('Lease Cycles'!$CP$24:$CV$24,1,DE282))/12)))),'Lease Cycles'!$C$24*INDEX('Lease Cycles'!$CB$24:$CH$24,1,DE282)*(1+INDEX('Lease Cycles'!$CI$24:$CO$24,1,DE282))^INT(INT(DE283/12)/INDEX('Lease Cycles'!$CP$24:$CV$24,1,DE282))/12))),IF('Lease Cycles'!$N$24=1,'Lease Cycles'!$C$24*'Lease Cycles'!$E$24*INDEX('Lease Cycles'!$HE$24:$HK$24,1,DE282)*(1+INDEX('Lease Cycles'!$GQ$24:$GW$24,1,DE282))^INT(INT((DE$6-INDEX('Lease Cycles'!$GJ$24:$GP$24,1,DE282))/12)/INDEX('Lease Cycles'!$GX$24:$HD$24,1,DE282))/12,0)))</f>
        <v>0</v>
      </c>
      <c r="DF285" s="28">
        <f>IF(DF282=0,IF('Lease Cycles'!$F$24&gt;0,'Lease Cycles'!$C$24*'Lease Cycles'!$E$24/12,0),IF(DF284=1,IF('Lease Cycles'!$AT$24&gt;=9999,'Lease Cycles'!$C$24*INDEX('Lease Cycles'!$CB$24:$CH$24,1,DF282)*(1+INDEX('Lease Cycles'!$CI$24:$CO$24,1,DF282))^INT(INT(DF283/12)/INDEX('Lease Cycles'!$CP$24:$CV$24,1,DF282))/12,IF(DF282=1,IF(DF283&gt;=INDEX('Lease Cycles'!$DK$24:$DQ$24,1,DF282),IF(DF$6&gt;='Lease Cycles'!$AZ$24,'Lease Cycles'!$C$24*'Lease Cycles'!$BA$24/12,IF(DF$6&gt;='Lease Cycles'!$AX$24,'Lease Cycles'!$C$24*'Lease Cycles'!$AY$24/12,IF(DF$6&gt;='Lease Cycles'!$AV$24,'Lease Cycles'!$C$24*'Lease Cycles'!$AW$24/12,IF(DF$6&gt;='Lease Cycles'!$AT$24,'Lease Cycles'!$C$24*'Lease Cycles'!$AU$24/12,'Lease Cycles'!$C$24*INDEX('Lease Cycles'!$CB$24:$CH$24,1,DF282)*(1+INDEX('Lease Cycles'!$CI$24:$CO$24,1,DF282))^INT(INT(DF283/12)/INDEX('Lease Cycles'!$CP$24:$CV$24,1,DF282))/12)))),'Lease Cycles'!$C$24*INDEX('Lease Cycles'!$CB$24:$CH$24,1,DF282)*(1+INDEX('Lease Cycles'!$CI$24:$CO$24,1,DF282))^INT(INT(DF283/12)/INDEX('Lease Cycles'!$CP$24:$CV$24,1,DF282))/12),IF(INDEX('Lease Cycles'!$EF$24:$EL$24,1,DF282)=1,IF(AND('Lease Cycles'!$AZ$24&gt;=INDEX('Lease Cycles'!$BG$24:$BM$24,1,DF282),'Lease Cycles'!$AZ$24&lt;=DF$6),'Lease Cycles'!$C$24*'Lease Cycles'!$BA$24/12,IF(AND('Lease Cycles'!$AX$24&gt;=INDEX('Lease Cycles'!$BG$24:$BM$24,1,DF282),'Lease Cycles'!$AX$24&lt;=DF$6),'Lease Cycles'!$C$24*'Lease Cycles'!$AY$24/12,IF(AND('Lease Cycles'!$AV$24&gt;=INDEX('Lease Cycles'!$BG$24:$BM$24,1,DF282),'Lease Cycles'!$AV$24&lt;=DF$6),'Lease Cycles'!$C$24*'Lease Cycles'!$AW$24/12,IF(AND('Lease Cycles'!$AT$24&gt;=INDEX('Lease Cycles'!$BG$24:$BM$24,1,DF282),'Lease Cycles'!$AT$24&lt;=DF$6),'Lease Cycles'!$C$24*'Lease Cycles'!$AU$24/12,'Lease Cycles'!$C$24*INDEX('Lease Cycles'!$CB$24:$CH$24,1,DF282)*(1+INDEX('Lease Cycles'!$CI$24:$CO$24,1,DF282))^INT(INT(DF283/12)/INDEX('Lease Cycles'!$CP$24:$CV$24,1,DF282))/12)))),'Lease Cycles'!$C$24*INDEX('Lease Cycles'!$CB$24:$CH$24,1,DF282)*(1+INDEX('Lease Cycles'!$CI$24:$CO$24,1,DF282))^INT(INT(DF283/12)/INDEX('Lease Cycles'!$CP$24:$CV$24,1,DF282))/12))),IF('Lease Cycles'!$N$24=1,'Lease Cycles'!$C$24*'Lease Cycles'!$E$24*INDEX('Lease Cycles'!$HE$24:$HK$24,1,DF282)*(1+INDEX('Lease Cycles'!$GQ$24:$GW$24,1,DF282))^INT(INT((DF$6-INDEX('Lease Cycles'!$GJ$24:$GP$24,1,DF282))/12)/INDEX('Lease Cycles'!$GX$24:$HD$24,1,DF282))/12,0)))</f>
        <v>0</v>
      </c>
      <c r="DG285" s="28">
        <f>IF(DG282=0,IF('Lease Cycles'!$F$24&gt;0,'Lease Cycles'!$C$24*'Lease Cycles'!$E$24/12,0),IF(DG284=1,IF('Lease Cycles'!$AT$24&gt;=9999,'Lease Cycles'!$C$24*INDEX('Lease Cycles'!$CB$24:$CH$24,1,DG282)*(1+INDEX('Lease Cycles'!$CI$24:$CO$24,1,DG282))^INT(INT(DG283/12)/INDEX('Lease Cycles'!$CP$24:$CV$24,1,DG282))/12,IF(DG282=1,IF(DG283&gt;=INDEX('Lease Cycles'!$DK$24:$DQ$24,1,DG282),IF(DG$6&gt;='Lease Cycles'!$AZ$24,'Lease Cycles'!$C$24*'Lease Cycles'!$BA$24/12,IF(DG$6&gt;='Lease Cycles'!$AX$24,'Lease Cycles'!$C$24*'Lease Cycles'!$AY$24/12,IF(DG$6&gt;='Lease Cycles'!$AV$24,'Lease Cycles'!$C$24*'Lease Cycles'!$AW$24/12,IF(DG$6&gt;='Lease Cycles'!$AT$24,'Lease Cycles'!$C$24*'Lease Cycles'!$AU$24/12,'Lease Cycles'!$C$24*INDEX('Lease Cycles'!$CB$24:$CH$24,1,DG282)*(1+INDEX('Lease Cycles'!$CI$24:$CO$24,1,DG282))^INT(INT(DG283/12)/INDEX('Lease Cycles'!$CP$24:$CV$24,1,DG282))/12)))),'Lease Cycles'!$C$24*INDEX('Lease Cycles'!$CB$24:$CH$24,1,DG282)*(1+INDEX('Lease Cycles'!$CI$24:$CO$24,1,DG282))^INT(INT(DG283/12)/INDEX('Lease Cycles'!$CP$24:$CV$24,1,DG282))/12),IF(INDEX('Lease Cycles'!$EF$24:$EL$24,1,DG282)=1,IF(AND('Lease Cycles'!$AZ$24&gt;=INDEX('Lease Cycles'!$BG$24:$BM$24,1,DG282),'Lease Cycles'!$AZ$24&lt;=DG$6),'Lease Cycles'!$C$24*'Lease Cycles'!$BA$24/12,IF(AND('Lease Cycles'!$AX$24&gt;=INDEX('Lease Cycles'!$BG$24:$BM$24,1,DG282),'Lease Cycles'!$AX$24&lt;=DG$6),'Lease Cycles'!$C$24*'Lease Cycles'!$AY$24/12,IF(AND('Lease Cycles'!$AV$24&gt;=INDEX('Lease Cycles'!$BG$24:$BM$24,1,DG282),'Lease Cycles'!$AV$24&lt;=DG$6),'Lease Cycles'!$C$24*'Lease Cycles'!$AW$24/12,IF(AND('Lease Cycles'!$AT$24&gt;=INDEX('Lease Cycles'!$BG$24:$BM$24,1,DG282),'Lease Cycles'!$AT$24&lt;=DG$6),'Lease Cycles'!$C$24*'Lease Cycles'!$AU$24/12,'Lease Cycles'!$C$24*INDEX('Lease Cycles'!$CB$24:$CH$24,1,DG282)*(1+INDEX('Lease Cycles'!$CI$24:$CO$24,1,DG282))^INT(INT(DG283/12)/INDEX('Lease Cycles'!$CP$24:$CV$24,1,DG282))/12)))),'Lease Cycles'!$C$24*INDEX('Lease Cycles'!$CB$24:$CH$24,1,DG282)*(1+INDEX('Lease Cycles'!$CI$24:$CO$24,1,DG282))^INT(INT(DG283/12)/INDEX('Lease Cycles'!$CP$24:$CV$24,1,DG282))/12))),IF('Lease Cycles'!$N$24=1,'Lease Cycles'!$C$24*'Lease Cycles'!$E$24*INDEX('Lease Cycles'!$HE$24:$HK$24,1,DG282)*(1+INDEX('Lease Cycles'!$GQ$24:$GW$24,1,DG282))^INT(INT((DG$6-INDEX('Lease Cycles'!$GJ$24:$GP$24,1,DG282))/12)/INDEX('Lease Cycles'!$GX$24:$HD$24,1,DG282))/12,0)))</f>
        <v>0</v>
      </c>
      <c r="DH285" s="28">
        <f>IF(DH282=0,IF('Lease Cycles'!$F$24&gt;0,'Lease Cycles'!$C$24*'Lease Cycles'!$E$24/12,0),IF(DH284=1,IF('Lease Cycles'!$AT$24&gt;=9999,'Lease Cycles'!$C$24*INDEX('Lease Cycles'!$CB$24:$CH$24,1,DH282)*(1+INDEX('Lease Cycles'!$CI$24:$CO$24,1,DH282))^INT(INT(DH283/12)/INDEX('Lease Cycles'!$CP$24:$CV$24,1,DH282))/12,IF(DH282=1,IF(DH283&gt;=INDEX('Lease Cycles'!$DK$24:$DQ$24,1,DH282),IF(DH$6&gt;='Lease Cycles'!$AZ$24,'Lease Cycles'!$C$24*'Lease Cycles'!$BA$24/12,IF(DH$6&gt;='Lease Cycles'!$AX$24,'Lease Cycles'!$C$24*'Lease Cycles'!$AY$24/12,IF(DH$6&gt;='Lease Cycles'!$AV$24,'Lease Cycles'!$C$24*'Lease Cycles'!$AW$24/12,IF(DH$6&gt;='Lease Cycles'!$AT$24,'Lease Cycles'!$C$24*'Lease Cycles'!$AU$24/12,'Lease Cycles'!$C$24*INDEX('Lease Cycles'!$CB$24:$CH$24,1,DH282)*(1+INDEX('Lease Cycles'!$CI$24:$CO$24,1,DH282))^INT(INT(DH283/12)/INDEX('Lease Cycles'!$CP$24:$CV$24,1,DH282))/12)))),'Lease Cycles'!$C$24*INDEX('Lease Cycles'!$CB$24:$CH$24,1,DH282)*(1+INDEX('Lease Cycles'!$CI$24:$CO$24,1,DH282))^INT(INT(DH283/12)/INDEX('Lease Cycles'!$CP$24:$CV$24,1,DH282))/12),IF(INDEX('Lease Cycles'!$EF$24:$EL$24,1,DH282)=1,IF(AND('Lease Cycles'!$AZ$24&gt;=INDEX('Lease Cycles'!$BG$24:$BM$24,1,DH282),'Lease Cycles'!$AZ$24&lt;=DH$6),'Lease Cycles'!$C$24*'Lease Cycles'!$BA$24/12,IF(AND('Lease Cycles'!$AX$24&gt;=INDEX('Lease Cycles'!$BG$24:$BM$24,1,DH282),'Lease Cycles'!$AX$24&lt;=DH$6),'Lease Cycles'!$C$24*'Lease Cycles'!$AY$24/12,IF(AND('Lease Cycles'!$AV$24&gt;=INDEX('Lease Cycles'!$BG$24:$BM$24,1,DH282),'Lease Cycles'!$AV$24&lt;=DH$6),'Lease Cycles'!$C$24*'Lease Cycles'!$AW$24/12,IF(AND('Lease Cycles'!$AT$24&gt;=INDEX('Lease Cycles'!$BG$24:$BM$24,1,DH282),'Lease Cycles'!$AT$24&lt;=DH$6),'Lease Cycles'!$C$24*'Lease Cycles'!$AU$24/12,'Lease Cycles'!$C$24*INDEX('Lease Cycles'!$CB$24:$CH$24,1,DH282)*(1+INDEX('Lease Cycles'!$CI$24:$CO$24,1,DH282))^INT(INT(DH283/12)/INDEX('Lease Cycles'!$CP$24:$CV$24,1,DH282))/12)))),'Lease Cycles'!$C$24*INDEX('Lease Cycles'!$CB$24:$CH$24,1,DH282)*(1+INDEX('Lease Cycles'!$CI$24:$CO$24,1,DH282))^INT(INT(DH283/12)/INDEX('Lease Cycles'!$CP$24:$CV$24,1,DH282))/12))),IF('Lease Cycles'!$N$24=1,'Lease Cycles'!$C$24*'Lease Cycles'!$E$24*INDEX('Lease Cycles'!$HE$24:$HK$24,1,DH282)*(1+INDEX('Lease Cycles'!$GQ$24:$GW$24,1,DH282))^INT(INT((DH$6-INDEX('Lease Cycles'!$GJ$24:$GP$24,1,DH282))/12)/INDEX('Lease Cycles'!$GX$24:$HD$24,1,DH282))/12,0)))</f>
        <v>0</v>
      </c>
      <c r="DI285" s="28">
        <f>IF(DI282=0,IF('Lease Cycles'!$F$24&gt;0,'Lease Cycles'!$C$24*'Lease Cycles'!$E$24/12,0),IF(DI284=1,IF('Lease Cycles'!$AT$24&gt;=9999,'Lease Cycles'!$C$24*INDEX('Lease Cycles'!$CB$24:$CH$24,1,DI282)*(1+INDEX('Lease Cycles'!$CI$24:$CO$24,1,DI282))^INT(INT(DI283/12)/INDEX('Lease Cycles'!$CP$24:$CV$24,1,DI282))/12,IF(DI282=1,IF(DI283&gt;=INDEX('Lease Cycles'!$DK$24:$DQ$24,1,DI282),IF(DI$6&gt;='Lease Cycles'!$AZ$24,'Lease Cycles'!$C$24*'Lease Cycles'!$BA$24/12,IF(DI$6&gt;='Lease Cycles'!$AX$24,'Lease Cycles'!$C$24*'Lease Cycles'!$AY$24/12,IF(DI$6&gt;='Lease Cycles'!$AV$24,'Lease Cycles'!$C$24*'Lease Cycles'!$AW$24/12,IF(DI$6&gt;='Lease Cycles'!$AT$24,'Lease Cycles'!$C$24*'Lease Cycles'!$AU$24/12,'Lease Cycles'!$C$24*INDEX('Lease Cycles'!$CB$24:$CH$24,1,DI282)*(1+INDEX('Lease Cycles'!$CI$24:$CO$24,1,DI282))^INT(INT(DI283/12)/INDEX('Lease Cycles'!$CP$24:$CV$24,1,DI282))/12)))),'Lease Cycles'!$C$24*INDEX('Lease Cycles'!$CB$24:$CH$24,1,DI282)*(1+INDEX('Lease Cycles'!$CI$24:$CO$24,1,DI282))^INT(INT(DI283/12)/INDEX('Lease Cycles'!$CP$24:$CV$24,1,DI282))/12),IF(INDEX('Lease Cycles'!$EF$24:$EL$24,1,DI282)=1,IF(AND('Lease Cycles'!$AZ$24&gt;=INDEX('Lease Cycles'!$BG$24:$BM$24,1,DI282),'Lease Cycles'!$AZ$24&lt;=DI$6),'Lease Cycles'!$C$24*'Lease Cycles'!$BA$24/12,IF(AND('Lease Cycles'!$AX$24&gt;=INDEX('Lease Cycles'!$BG$24:$BM$24,1,DI282),'Lease Cycles'!$AX$24&lt;=DI$6),'Lease Cycles'!$C$24*'Lease Cycles'!$AY$24/12,IF(AND('Lease Cycles'!$AV$24&gt;=INDEX('Lease Cycles'!$BG$24:$BM$24,1,DI282),'Lease Cycles'!$AV$24&lt;=DI$6),'Lease Cycles'!$C$24*'Lease Cycles'!$AW$24/12,IF(AND('Lease Cycles'!$AT$24&gt;=INDEX('Lease Cycles'!$BG$24:$BM$24,1,DI282),'Lease Cycles'!$AT$24&lt;=DI$6),'Lease Cycles'!$C$24*'Lease Cycles'!$AU$24/12,'Lease Cycles'!$C$24*INDEX('Lease Cycles'!$CB$24:$CH$24,1,DI282)*(1+INDEX('Lease Cycles'!$CI$24:$CO$24,1,DI282))^INT(INT(DI283/12)/INDEX('Lease Cycles'!$CP$24:$CV$24,1,DI282))/12)))),'Lease Cycles'!$C$24*INDEX('Lease Cycles'!$CB$24:$CH$24,1,DI282)*(1+INDEX('Lease Cycles'!$CI$24:$CO$24,1,DI282))^INT(INT(DI283/12)/INDEX('Lease Cycles'!$CP$24:$CV$24,1,DI282))/12))),IF('Lease Cycles'!$N$24=1,'Lease Cycles'!$C$24*'Lease Cycles'!$E$24*INDEX('Lease Cycles'!$HE$24:$HK$24,1,DI282)*(1+INDEX('Lease Cycles'!$GQ$24:$GW$24,1,DI282))^INT(INT((DI$6-INDEX('Lease Cycles'!$GJ$24:$GP$24,1,DI282))/12)/INDEX('Lease Cycles'!$GX$24:$HD$24,1,DI282))/12,0)))</f>
        <v>0</v>
      </c>
      <c r="DJ285" s="28">
        <f>IF(DJ282=0,IF('Lease Cycles'!$F$24&gt;0,'Lease Cycles'!$C$24*'Lease Cycles'!$E$24/12,0),IF(DJ284=1,IF('Lease Cycles'!$AT$24&gt;=9999,'Lease Cycles'!$C$24*INDEX('Lease Cycles'!$CB$24:$CH$24,1,DJ282)*(1+INDEX('Lease Cycles'!$CI$24:$CO$24,1,DJ282))^INT(INT(DJ283/12)/INDEX('Lease Cycles'!$CP$24:$CV$24,1,DJ282))/12,IF(DJ282=1,IF(DJ283&gt;=INDEX('Lease Cycles'!$DK$24:$DQ$24,1,DJ282),IF(DJ$6&gt;='Lease Cycles'!$AZ$24,'Lease Cycles'!$C$24*'Lease Cycles'!$BA$24/12,IF(DJ$6&gt;='Lease Cycles'!$AX$24,'Lease Cycles'!$C$24*'Lease Cycles'!$AY$24/12,IF(DJ$6&gt;='Lease Cycles'!$AV$24,'Lease Cycles'!$C$24*'Lease Cycles'!$AW$24/12,IF(DJ$6&gt;='Lease Cycles'!$AT$24,'Lease Cycles'!$C$24*'Lease Cycles'!$AU$24/12,'Lease Cycles'!$C$24*INDEX('Lease Cycles'!$CB$24:$CH$24,1,DJ282)*(1+INDEX('Lease Cycles'!$CI$24:$CO$24,1,DJ282))^INT(INT(DJ283/12)/INDEX('Lease Cycles'!$CP$24:$CV$24,1,DJ282))/12)))),'Lease Cycles'!$C$24*INDEX('Lease Cycles'!$CB$24:$CH$24,1,DJ282)*(1+INDEX('Lease Cycles'!$CI$24:$CO$24,1,DJ282))^INT(INT(DJ283/12)/INDEX('Lease Cycles'!$CP$24:$CV$24,1,DJ282))/12),IF(INDEX('Lease Cycles'!$EF$24:$EL$24,1,DJ282)=1,IF(AND('Lease Cycles'!$AZ$24&gt;=INDEX('Lease Cycles'!$BG$24:$BM$24,1,DJ282),'Lease Cycles'!$AZ$24&lt;=DJ$6),'Lease Cycles'!$C$24*'Lease Cycles'!$BA$24/12,IF(AND('Lease Cycles'!$AX$24&gt;=INDEX('Lease Cycles'!$BG$24:$BM$24,1,DJ282),'Lease Cycles'!$AX$24&lt;=DJ$6),'Lease Cycles'!$C$24*'Lease Cycles'!$AY$24/12,IF(AND('Lease Cycles'!$AV$24&gt;=INDEX('Lease Cycles'!$BG$24:$BM$24,1,DJ282),'Lease Cycles'!$AV$24&lt;=DJ$6),'Lease Cycles'!$C$24*'Lease Cycles'!$AW$24/12,IF(AND('Lease Cycles'!$AT$24&gt;=INDEX('Lease Cycles'!$BG$24:$BM$24,1,DJ282),'Lease Cycles'!$AT$24&lt;=DJ$6),'Lease Cycles'!$C$24*'Lease Cycles'!$AU$24/12,'Lease Cycles'!$C$24*INDEX('Lease Cycles'!$CB$24:$CH$24,1,DJ282)*(1+INDEX('Lease Cycles'!$CI$24:$CO$24,1,DJ282))^INT(INT(DJ283/12)/INDEX('Lease Cycles'!$CP$24:$CV$24,1,DJ282))/12)))),'Lease Cycles'!$C$24*INDEX('Lease Cycles'!$CB$24:$CH$24,1,DJ282)*(1+INDEX('Lease Cycles'!$CI$24:$CO$24,1,DJ282))^INT(INT(DJ283/12)/INDEX('Lease Cycles'!$CP$24:$CV$24,1,DJ282))/12))),IF('Lease Cycles'!$N$24=1,'Lease Cycles'!$C$24*'Lease Cycles'!$E$24*INDEX('Lease Cycles'!$HE$24:$HK$24,1,DJ282)*(1+INDEX('Lease Cycles'!$GQ$24:$GW$24,1,DJ282))^INT(INT((DJ$6-INDEX('Lease Cycles'!$GJ$24:$GP$24,1,DJ282))/12)/INDEX('Lease Cycles'!$GX$24:$HD$24,1,DJ282))/12,0)))</f>
        <v>0</v>
      </c>
      <c r="DK285" s="28">
        <f>IF(DK282=0,IF('Lease Cycles'!$F$24&gt;0,'Lease Cycles'!$C$24*'Lease Cycles'!$E$24/12,0),IF(DK284=1,IF('Lease Cycles'!$AT$24&gt;=9999,'Lease Cycles'!$C$24*INDEX('Lease Cycles'!$CB$24:$CH$24,1,DK282)*(1+INDEX('Lease Cycles'!$CI$24:$CO$24,1,DK282))^INT(INT(DK283/12)/INDEX('Lease Cycles'!$CP$24:$CV$24,1,DK282))/12,IF(DK282=1,IF(DK283&gt;=INDEX('Lease Cycles'!$DK$24:$DQ$24,1,DK282),IF(DK$6&gt;='Lease Cycles'!$AZ$24,'Lease Cycles'!$C$24*'Lease Cycles'!$BA$24/12,IF(DK$6&gt;='Lease Cycles'!$AX$24,'Lease Cycles'!$C$24*'Lease Cycles'!$AY$24/12,IF(DK$6&gt;='Lease Cycles'!$AV$24,'Lease Cycles'!$C$24*'Lease Cycles'!$AW$24/12,IF(DK$6&gt;='Lease Cycles'!$AT$24,'Lease Cycles'!$C$24*'Lease Cycles'!$AU$24/12,'Lease Cycles'!$C$24*INDEX('Lease Cycles'!$CB$24:$CH$24,1,DK282)*(1+INDEX('Lease Cycles'!$CI$24:$CO$24,1,DK282))^INT(INT(DK283/12)/INDEX('Lease Cycles'!$CP$24:$CV$24,1,DK282))/12)))),'Lease Cycles'!$C$24*INDEX('Lease Cycles'!$CB$24:$CH$24,1,DK282)*(1+INDEX('Lease Cycles'!$CI$24:$CO$24,1,DK282))^INT(INT(DK283/12)/INDEX('Lease Cycles'!$CP$24:$CV$24,1,DK282))/12),IF(INDEX('Lease Cycles'!$EF$24:$EL$24,1,DK282)=1,IF(AND('Lease Cycles'!$AZ$24&gt;=INDEX('Lease Cycles'!$BG$24:$BM$24,1,DK282),'Lease Cycles'!$AZ$24&lt;=DK$6),'Lease Cycles'!$C$24*'Lease Cycles'!$BA$24/12,IF(AND('Lease Cycles'!$AX$24&gt;=INDEX('Lease Cycles'!$BG$24:$BM$24,1,DK282),'Lease Cycles'!$AX$24&lt;=DK$6),'Lease Cycles'!$C$24*'Lease Cycles'!$AY$24/12,IF(AND('Lease Cycles'!$AV$24&gt;=INDEX('Lease Cycles'!$BG$24:$BM$24,1,DK282),'Lease Cycles'!$AV$24&lt;=DK$6),'Lease Cycles'!$C$24*'Lease Cycles'!$AW$24/12,IF(AND('Lease Cycles'!$AT$24&gt;=INDEX('Lease Cycles'!$BG$24:$BM$24,1,DK282),'Lease Cycles'!$AT$24&lt;=DK$6),'Lease Cycles'!$C$24*'Lease Cycles'!$AU$24/12,'Lease Cycles'!$C$24*INDEX('Lease Cycles'!$CB$24:$CH$24,1,DK282)*(1+INDEX('Lease Cycles'!$CI$24:$CO$24,1,DK282))^INT(INT(DK283/12)/INDEX('Lease Cycles'!$CP$24:$CV$24,1,DK282))/12)))),'Lease Cycles'!$C$24*INDEX('Lease Cycles'!$CB$24:$CH$24,1,DK282)*(1+INDEX('Lease Cycles'!$CI$24:$CO$24,1,DK282))^INT(INT(DK283/12)/INDEX('Lease Cycles'!$CP$24:$CV$24,1,DK282))/12))),IF('Lease Cycles'!$N$24=1,'Lease Cycles'!$C$24*'Lease Cycles'!$E$24*INDEX('Lease Cycles'!$HE$24:$HK$24,1,DK282)*(1+INDEX('Lease Cycles'!$GQ$24:$GW$24,1,DK282))^INT(INT((DK$6-INDEX('Lease Cycles'!$GJ$24:$GP$24,1,DK282))/12)/INDEX('Lease Cycles'!$GX$24:$HD$24,1,DK282))/12,0)))</f>
        <v>0</v>
      </c>
      <c r="DL285" s="28">
        <f>IF(DL282=0,IF('Lease Cycles'!$F$24&gt;0,'Lease Cycles'!$C$24*'Lease Cycles'!$E$24/12,0),IF(DL284=1,IF('Lease Cycles'!$AT$24&gt;=9999,'Lease Cycles'!$C$24*INDEX('Lease Cycles'!$CB$24:$CH$24,1,DL282)*(1+INDEX('Lease Cycles'!$CI$24:$CO$24,1,DL282))^INT(INT(DL283/12)/INDEX('Lease Cycles'!$CP$24:$CV$24,1,DL282))/12,IF(DL282=1,IF(DL283&gt;=INDEX('Lease Cycles'!$DK$24:$DQ$24,1,DL282),IF(DL$6&gt;='Lease Cycles'!$AZ$24,'Lease Cycles'!$C$24*'Lease Cycles'!$BA$24/12,IF(DL$6&gt;='Lease Cycles'!$AX$24,'Lease Cycles'!$C$24*'Lease Cycles'!$AY$24/12,IF(DL$6&gt;='Lease Cycles'!$AV$24,'Lease Cycles'!$C$24*'Lease Cycles'!$AW$24/12,IF(DL$6&gt;='Lease Cycles'!$AT$24,'Lease Cycles'!$C$24*'Lease Cycles'!$AU$24/12,'Lease Cycles'!$C$24*INDEX('Lease Cycles'!$CB$24:$CH$24,1,DL282)*(1+INDEX('Lease Cycles'!$CI$24:$CO$24,1,DL282))^INT(INT(DL283/12)/INDEX('Lease Cycles'!$CP$24:$CV$24,1,DL282))/12)))),'Lease Cycles'!$C$24*INDEX('Lease Cycles'!$CB$24:$CH$24,1,DL282)*(1+INDEX('Lease Cycles'!$CI$24:$CO$24,1,DL282))^INT(INT(DL283/12)/INDEX('Lease Cycles'!$CP$24:$CV$24,1,DL282))/12),IF(INDEX('Lease Cycles'!$EF$24:$EL$24,1,DL282)=1,IF(AND('Lease Cycles'!$AZ$24&gt;=INDEX('Lease Cycles'!$BG$24:$BM$24,1,DL282),'Lease Cycles'!$AZ$24&lt;=DL$6),'Lease Cycles'!$C$24*'Lease Cycles'!$BA$24/12,IF(AND('Lease Cycles'!$AX$24&gt;=INDEX('Lease Cycles'!$BG$24:$BM$24,1,DL282),'Lease Cycles'!$AX$24&lt;=DL$6),'Lease Cycles'!$C$24*'Lease Cycles'!$AY$24/12,IF(AND('Lease Cycles'!$AV$24&gt;=INDEX('Lease Cycles'!$BG$24:$BM$24,1,DL282),'Lease Cycles'!$AV$24&lt;=DL$6),'Lease Cycles'!$C$24*'Lease Cycles'!$AW$24/12,IF(AND('Lease Cycles'!$AT$24&gt;=INDEX('Lease Cycles'!$BG$24:$BM$24,1,DL282),'Lease Cycles'!$AT$24&lt;=DL$6),'Lease Cycles'!$C$24*'Lease Cycles'!$AU$24/12,'Lease Cycles'!$C$24*INDEX('Lease Cycles'!$CB$24:$CH$24,1,DL282)*(1+INDEX('Lease Cycles'!$CI$24:$CO$24,1,DL282))^INT(INT(DL283/12)/INDEX('Lease Cycles'!$CP$24:$CV$24,1,DL282))/12)))),'Lease Cycles'!$C$24*INDEX('Lease Cycles'!$CB$24:$CH$24,1,DL282)*(1+INDEX('Lease Cycles'!$CI$24:$CO$24,1,DL282))^INT(INT(DL283/12)/INDEX('Lease Cycles'!$CP$24:$CV$24,1,DL282))/12))),IF('Lease Cycles'!$N$24=1,'Lease Cycles'!$C$24*'Lease Cycles'!$E$24*INDEX('Lease Cycles'!$HE$24:$HK$24,1,DL282)*(1+INDEX('Lease Cycles'!$GQ$24:$GW$24,1,DL282))^INT(INT((DL$6-INDEX('Lease Cycles'!$GJ$24:$GP$24,1,DL282))/12)/INDEX('Lease Cycles'!$GX$24:$HD$24,1,DL282))/12,0)))</f>
        <v>0</v>
      </c>
      <c r="DM285" s="28">
        <f>IF(DM282=0,IF('Lease Cycles'!$F$24&gt;0,'Lease Cycles'!$C$24*'Lease Cycles'!$E$24/12,0),IF(DM284=1,IF('Lease Cycles'!$AT$24&gt;=9999,'Lease Cycles'!$C$24*INDEX('Lease Cycles'!$CB$24:$CH$24,1,DM282)*(1+INDEX('Lease Cycles'!$CI$24:$CO$24,1,DM282))^INT(INT(DM283/12)/INDEX('Lease Cycles'!$CP$24:$CV$24,1,DM282))/12,IF(DM282=1,IF(DM283&gt;=INDEX('Lease Cycles'!$DK$24:$DQ$24,1,DM282),IF(DM$6&gt;='Lease Cycles'!$AZ$24,'Lease Cycles'!$C$24*'Lease Cycles'!$BA$24/12,IF(DM$6&gt;='Lease Cycles'!$AX$24,'Lease Cycles'!$C$24*'Lease Cycles'!$AY$24/12,IF(DM$6&gt;='Lease Cycles'!$AV$24,'Lease Cycles'!$C$24*'Lease Cycles'!$AW$24/12,IF(DM$6&gt;='Lease Cycles'!$AT$24,'Lease Cycles'!$C$24*'Lease Cycles'!$AU$24/12,'Lease Cycles'!$C$24*INDEX('Lease Cycles'!$CB$24:$CH$24,1,DM282)*(1+INDEX('Lease Cycles'!$CI$24:$CO$24,1,DM282))^INT(INT(DM283/12)/INDEX('Lease Cycles'!$CP$24:$CV$24,1,DM282))/12)))),'Lease Cycles'!$C$24*INDEX('Lease Cycles'!$CB$24:$CH$24,1,DM282)*(1+INDEX('Lease Cycles'!$CI$24:$CO$24,1,DM282))^INT(INT(DM283/12)/INDEX('Lease Cycles'!$CP$24:$CV$24,1,DM282))/12),IF(INDEX('Lease Cycles'!$EF$24:$EL$24,1,DM282)=1,IF(AND('Lease Cycles'!$AZ$24&gt;=INDEX('Lease Cycles'!$BG$24:$BM$24,1,DM282),'Lease Cycles'!$AZ$24&lt;=DM$6),'Lease Cycles'!$C$24*'Lease Cycles'!$BA$24/12,IF(AND('Lease Cycles'!$AX$24&gt;=INDEX('Lease Cycles'!$BG$24:$BM$24,1,DM282),'Lease Cycles'!$AX$24&lt;=DM$6),'Lease Cycles'!$C$24*'Lease Cycles'!$AY$24/12,IF(AND('Lease Cycles'!$AV$24&gt;=INDEX('Lease Cycles'!$BG$24:$BM$24,1,DM282),'Lease Cycles'!$AV$24&lt;=DM$6),'Lease Cycles'!$C$24*'Lease Cycles'!$AW$24/12,IF(AND('Lease Cycles'!$AT$24&gt;=INDEX('Lease Cycles'!$BG$24:$BM$24,1,DM282),'Lease Cycles'!$AT$24&lt;=DM$6),'Lease Cycles'!$C$24*'Lease Cycles'!$AU$24/12,'Lease Cycles'!$C$24*INDEX('Lease Cycles'!$CB$24:$CH$24,1,DM282)*(1+INDEX('Lease Cycles'!$CI$24:$CO$24,1,DM282))^INT(INT(DM283/12)/INDEX('Lease Cycles'!$CP$24:$CV$24,1,DM282))/12)))),'Lease Cycles'!$C$24*INDEX('Lease Cycles'!$CB$24:$CH$24,1,DM282)*(1+INDEX('Lease Cycles'!$CI$24:$CO$24,1,DM282))^INT(INT(DM283/12)/INDEX('Lease Cycles'!$CP$24:$CV$24,1,DM282))/12))),IF('Lease Cycles'!$N$24=1,'Lease Cycles'!$C$24*'Lease Cycles'!$E$24*INDEX('Lease Cycles'!$HE$24:$HK$24,1,DM282)*(1+INDEX('Lease Cycles'!$GQ$24:$GW$24,1,DM282))^INT(INT((DM$6-INDEX('Lease Cycles'!$GJ$24:$GP$24,1,DM282))/12)/INDEX('Lease Cycles'!$GX$24:$HD$24,1,DM282))/12,0)))</f>
        <v>0</v>
      </c>
      <c r="DN285" s="28">
        <f>IF(DN282=0,IF('Lease Cycles'!$F$24&gt;0,'Lease Cycles'!$C$24*'Lease Cycles'!$E$24/12,0),IF(DN284=1,IF('Lease Cycles'!$AT$24&gt;=9999,'Lease Cycles'!$C$24*INDEX('Lease Cycles'!$CB$24:$CH$24,1,DN282)*(1+INDEX('Lease Cycles'!$CI$24:$CO$24,1,DN282))^INT(INT(DN283/12)/INDEX('Lease Cycles'!$CP$24:$CV$24,1,DN282))/12,IF(DN282=1,IF(DN283&gt;=INDEX('Lease Cycles'!$DK$24:$DQ$24,1,DN282),IF(DN$6&gt;='Lease Cycles'!$AZ$24,'Lease Cycles'!$C$24*'Lease Cycles'!$BA$24/12,IF(DN$6&gt;='Lease Cycles'!$AX$24,'Lease Cycles'!$C$24*'Lease Cycles'!$AY$24/12,IF(DN$6&gt;='Lease Cycles'!$AV$24,'Lease Cycles'!$C$24*'Lease Cycles'!$AW$24/12,IF(DN$6&gt;='Lease Cycles'!$AT$24,'Lease Cycles'!$C$24*'Lease Cycles'!$AU$24/12,'Lease Cycles'!$C$24*INDEX('Lease Cycles'!$CB$24:$CH$24,1,DN282)*(1+INDEX('Lease Cycles'!$CI$24:$CO$24,1,DN282))^INT(INT(DN283/12)/INDEX('Lease Cycles'!$CP$24:$CV$24,1,DN282))/12)))),'Lease Cycles'!$C$24*INDEX('Lease Cycles'!$CB$24:$CH$24,1,DN282)*(1+INDEX('Lease Cycles'!$CI$24:$CO$24,1,DN282))^INT(INT(DN283/12)/INDEX('Lease Cycles'!$CP$24:$CV$24,1,DN282))/12),IF(INDEX('Lease Cycles'!$EF$24:$EL$24,1,DN282)=1,IF(AND('Lease Cycles'!$AZ$24&gt;=INDEX('Lease Cycles'!$BG$24:$BM$24,1,DN282),'Lease Cycles'!$AZ$24&lt;=DN$6),'Lease Cycles'!$C$24*'Lease Cycles'!$BA$24/12,IF(AND('Lease Cycles'!$AX$24&gt;=INDEX('Lease Cycles'!$BG$24:$BM$24,1,DN282),'Lease Cycles'!$AX$24&lt;=DN$6),'Lease Cycles'!$C$24*'Lease Cycles'!$AY$24/12,IF(AND('Lease Cycles'!$AV$24&gt;=INDEX('Lease Cycles'!$BG$24:$BM$24,1,DN282),'Lease Cycles'!$AV$24&lt;=DN$6),'Lease Cycles'!$C$24*'Lease Cycles'!$AW$24/12,IF(AND('Lease Cycles'!$AT$24&gt;=INDEX('Lease Cycles'!$BG$24:$BM$24,1,DN282),'Lease Cycles'!$AT$24&lt;=DN$6),'Lease Cycles'!$C$24*'Lease Cycles'!$AU$24/12,'Lease Cycles'!$C$24*INDEX('Lease Cycles'!$CB$24:$CH$24,1,DN282)*(1+INDEX('Lease Cycles'!$CI$24:$CO$24,1,DN282))^INT(INT(DN283/12)/INDEX('Lease Cycles'!$CP$24:$CV$24,1,DN282))/12)))),'Lease Cycles'!$C$24*INDEX('Lease Cycles'!$CB$24:$CH$24,1,DN282)*(1+INDEX('Lease Cycles'!$CI$24:$CO$24,1,DN282))^INT(INT(DN283/12)/INDEX('Lease Cycles'!$CP$24:$CV$24,1,DN282))/12))),IF('Lease Cycles'!$N$24=1,'Lease Cycles'!$C$24*'Lease Cycles'!$E$24*INDEX('Lease Cycles'!$HE$24:$HK$24,1,DN282)*(1+INDEX('Lease Cycles'!$GQ$24:$GW$24,1,DN282))^INT(INT((DN$6-INDEX('Lease Cycles'!$GJ$24:$GP$24,1,DN282))/12)/INDEX('Lease Cycles'!$GX$24:$HD$24,1,DN282))/12,0)))</f>
        <v>0</v>
      </c>
      <c r="DO285" s="28">
        <f>IF(DO282=0,IF('Lease Cycles'!$F$24&gt;0,'Lease Cycles'!$C$24*'Lease Cycles'!$E$24/12,0),IF(DO284=1,IF('Lease Cycles'!$AT$24&gt;=9999,'Lease Cycles'!$C$24*INDEX('Lease Cycles'!$CB$24:$CH$24,1,DO282)*(1+INDEX('Lease Cycles'!$CI$24:$CO$24,1,DO282))^INT(INT(DO283/12)/INDEX('Lease Cycles'!$CP$24:$CV$24,1,DO282))/12,IF(DO282=1,IF(DO283&gt;=INDEX('Lease Cycles'!$DK$24:$DQ$24,1,DO282),IF(DO$6&gt;='Lease Cycles'!$AZ$24,'Lease Cycles'!$C$24*'Lease Cycles'!$BA$24/12,IF(DO$6&gt;='Lease Cycles'!$AX$24,'Lease Cycles'!$C$24*'Lease Cycles'!$AY$24/12,IF(DO$6&gt;='Lease Cycles'!$AV$24,'Lease Cycles'!$C$24*'Lease Cycles'!$AW$24/12,IF(DO$6&gt;='Lease Cycles'!$AT$24,'Lease Cycles'!$C$24*'Lease Cycles'!$AU$24/12,'Lease Cycles'!$C$24*INDEX('Lease Cycles'!$CB$24:$CH$24,1,DO282)*(1+INDEX('Lease Cycles'!$CI$24:$CO$24,1,DO282))^INT(INT(DO283/12)/INDEX('Lease Cycles'!$CP$24:$CV$24,1,DO282))/12)))),'Lease Cycles'!$C$24*INDEX('Lease Cycles'!$CB$24:$CH$24,1,DO282)*(1+INDEX('Lease Cycles'!$CI$24:$CO$24,1,DO282))^INT(INT(DO283/12)/INDEX('Lease Cycles'!$CP$24:$CV$24,1,DO282))/12),IF(INDEX('Lease Cycles'!$EF$24:$EL$24,1,DO282)=1,IF(AND('Lease Cycles'!$AZ$24&gt;=INDEX('Lease Cycles'!$BG$24:$BM$24,1,DO282),'Lease Cycles'!$AZ$24&lt;=DO$6),'Lease Cycles'!$C$24*'Lease Cycles'!$BA$24/12,IF(AND('Lease Cycles'!$AX$24&gt;=INDEX('Lease Cycles'!$BG$24:$BM$24,1,DO282),'Lease Cycles'!$AX$24&lt;=DO$6),'Lease Cycles'!$C$24*'Lease Cycles'!$AY$24/12,IF(AND('Lease Cycles'!$AV$24&gt;=INDEX('Lease Cycles'!$BG$24:$BM$24,1,DO282),'Lease Cycles'!$AV$24&lt;=DO$6),'Lease Cycles'!$C$24*'Lease Cycles'!$AW$24/12,IF(AND('Lease Cycles'!$AT$24&gt;=INDEX('Lease Cycles'!$BG$24:$BM$24,1,DO282),'Lease Cycles'!$AT$24&lt;=DO$6),'Lease Cycles'!$C$24*'Lease Cycles'!$AU$24/12,'Lease Cycles'!$C$24*INDEX('Lease Cycles'!$CB$24:$CH$24,1,DO282)*(1+INDEX('Lease Cycles'!$CI$24:$CO$24,1,DO282))^INT(INT(DO283/12)/INDEX('Lease Cycles'!$CP$24:$CV$24,1,DO282))/12)))),'Lease Cycles'!$C$24*INDEX('Lease Cycles'!$CB$24:$CH$24,1,DO282)*(1+INDEX('Lease Cycles'!$CI$24:$CO$24,1,DO282))^INT(INT(DO283/12)/INDEX('Lease Cycles'!$CP$24:$CV$24,1,DO282))/12))),IF('Lease Cycles'!$N$24=1,'Lease Cycles'!$C$24*'Lease Cycles'!$E$24*INDEX('Lease Cycles'!$HE$24:$HK$24,1,DO282)*(1+INDEX('Lease Cycles'!$GQ$24:$GW$24,1,DO282))^INT(INT((DO$6-INDEX('Lease Cycles'!$GJ$24:$GP$24,1,DO282))/12)/INDEX('Lease Cycles'!$GX$24:$HD$24,1,DO282))/12,0)))</f>
        <v>0</v>
      </c>
      <c r="DP285" s="28">
        <f>IF(DP282=0,IF('Lease Cycles'!$F$24&gt;0,'Lease Cycles'!$C$24*'Lease Cycles'!$E$24/12,0),IF(DP284=1,IF('Lease Cycles'!$AT$24&gt;=9999,'Lease Cycles'!$C$24*INDEX('Lease Cycles'!$CB$24:$CH$24,1,DP282)*(1+INDEX('Lease Cycles'!$CI$24:$CO$24,1,DP282))^INT(INT(DP283/12)/INDEX('Lease Cycles'!$CP$24:$CV$24,1,DP282))/12,IF(DP282=1,IF(DP283&gt;=INDEX('Lease Cycles'!$DK$24:$DQ$24,1,DP282),IF(DP$6&gt;='Lease Cycles'!$AZ$24,'Lease Cycles'!$C$24*'Lease Cycles'!$BA$24/12,IF(DP$6&gt;='Lease Cycles'!$AX$24,'Lease Cycles'!$C$24*'Lease Cycles'!$AY$24/12,IF(DP$6&gt;='Lease Cycles'!$AV$24,'Lease Cycles'!$C$24*'Lease Cycles'!$AW$24/12,IF(DP$6&gt;='Lease Cycles'!$AT$24,'Lease Cycles'!$C$24*'Lease Cycles'!$AU$24/12,'Lease Cycles'!$C$24*INDEX('Lease Cycles'!$CB$24:$CH$24,1,DP282)*(1+INDEX('Lease Cycles'!$CI$24:$CO$24,1,DP282))^INT(INT(DP283/12)/INDEX('Lease Cycles'!$CP$24:$CV$24,1,DP282))/12)))),'Lease Cycles'!$C$24*INDEX('Lease Cycles'!$CB$24:$CH$24,1,DP282)*(1+INDEX('Lease Cycles'!$CI$24:$CO$24,1,DP282))^INT(INT(DP283/12)/INDEX('Lease Cycles'!$CP$24:$CV$24,1,DP282))/12),IF(INDEX('Lease Cycles'!$EF$24:$EL$24,1,DP282)=1,IF(AND('Lease Cycles'!$AZ$24&gt;=INDEX('Lease Cycles'!$BG$24:$BM$24,1,DP282),'Lease Cycles'!$AZ$24&lt;=DP$6),'Lease Cycles'!$C$24*'Lease Cycles'!$BA$24/12,IF(AND('Lease Cycles'!$AX$24&gt;=INDEX('Lease Cycles'!$BG$24:$BM$24,1,DP282),'Lease Cycles'!$AX$24&lt;=DP$6),'Lease Cycles'!$C$24*'Lease Cycles'!$AY$24/12,IF(AND('Lease Cycles'!$AV$24&gt;=INDEX('Lease Cycles'!$BG$24:$BM$24,1,DP282),'Lease Cycles'!$AV$24&lt;=DP$6),'Lease Cycles'!$C$24*'Lease Cycles'!$AW$24/12,IF(AND('Lease Cycles'!$AT$24&gt;=INDEX('Lease Cycles'!$BG$24:$BM$24,1,DP282),'Lease Cycles'!$AT$24&lt;=DP$6),'Lease Cycles'!$C$24*'Lease Cycles'!$AU$24/12,'Lease Cycles'!$C$24*INDEX('Lease Cycles'!$CB$24:$CH$24,1,DP282)*(1+INDEX('Lease Cycles'!$CI$24:$CO$24,1,DP282))^INT(INT(DP283/12)/INDEX('Lease Cycles'!$CP$24:$CV$24,1,DP282))/12)))),'Lease Cycles'!$C$24*INDEX('Lease Cycles'!$CB$24:$CH$24,1,DP282)*(1+INDEX('Lease Cycles'!$CI$24:$CO$24,1,DP282))^INT(INT(DP283/12)/INDEX('Lease Cycles'!$CP$24:$CV$24,1,DP282))/12))),IF('Lease Cycles'!$N$24=1,'Lease Cycles'!$C$24*'Lease Cycles'!$E$24*INDEX('Lease Cycles'!$HE$24:$HK$24,1,DP282)*(1+INDEX('Lease Cycles'!$GQ$24:$GW$24,1,DP282))^INT(INT((DP$6-INDEX('Lease Cycles'!$GJ$24:$GP$24,1,DP282))/12)/INDEX('Lease Cycles'!$GX$24:$HD$24,1,DP282))/12,0)))</f>
        <v>0</v>
      </c>
      <c r="DQ285" s="28">
        <f>IF(DQ282=0,IF('Lease Cycles'!$F$24&gt;0,'Lease Cycles'!$C$24*'Lease Cycles'!$E$24/12,0),IF(DQ284=1,IF('Lease Cycles'!$AT$24&gt;=9999,'Lease Cycles'!$C$24*INDEX('Lease Cycles'!$CB$24:$CH$24,1,DQ282)*(1+INDEX('Lease Cycles'!$CI$24:$CO$24,1,DQ282))^INT(INT(DQ283/12)/INDEX('Lease Cycles'!$CP$24:$CV$24,1,DQ282))/12,IF(DQ282=1,IF(DQ283&gt;=INDEX('Lease Cycles'!$DK$24:$DQ$24,1,DQ282),IF(DQ$6&gt;='Lease Cycles'!$AZ$24,'Lease Cycles'!$C$24*'Lease Cycles'!$BA$24/12,IF(DQ$6&gt;='Lease Cycles'!$AX$24,'Lease Cycles'!$C$24*'Lease Cycles'!$AY$24/12,IF(DQ$6&gt;='Lease Cycles'!$AV$24,'Lease Cycles'!$C$24*'Lease Cycles'!$AW$24/12,IF(DQ$6&gt;='Lease Cycles'!$AT$24,'Lease Cycles'!$C$24*'Lease Cycles'!$AU$24/12,'Lease Cycles'!$C$24*INDEX('Lease Cycles'!$CB$24:$CH$24,1,DQ282)*(1+INDEX('Lease Cycles'!$CI$24:$CO$24,1,DQ282))^INT(INT(DQ283/12)/INDEX('Lease Cycles'!$CP$24:$CV$24,1,DQ282))/12)))),'Lease Cycles'!$C$24*INDEX('Lease Cycles'!$CB$24:$CH$24,1,DQ282)*(1+INDEX('Lease Cycles'!$CI$24:$CO$24,1,DQ282))^INT(INT(DQ283/12)/INDEX('Lease Cycles'!$CP$24:$CV$24,1,DQ282))/12),IF(INDEX('Lease Cycles'!$EF$24:$EL$24,1,DQ282)=1,IF(AND('Lease Cycles'!$AZ$24&gt;=INDEX('Lease Cycles'!$BG$24:$BM$24,1,DQ282),'Lease Cycles'!$AZ$24&lt;=DQ$6),'Lease Cycles'!$C$24*'Lease Cycles'!$BA$24/12,IF(AND('Lease Cycles'!$AX$24&gt;=INDEX('Lease Cycles'!$BG$24:$BM$24,1,DQ282),'Lease Cycles'!$AX$24&lt;=DQ$6),'Lease Cycles'!$C$24*'Lease Cycles'!$AY$24/12,IF(AND('Lease Cycles'!$AV$24&gt;=INDEX('Lease Cycles'!$BG$24:$BM$24,1,DQ282),'Lease Cycles'!$AV$24&lt;=DQ$6),'Lease Cycles'!$C$24*'Lease Cycles'!$AW$24/12,IF(AND('Lease Cycles'!$AT$24&gt;=INDEX('Lease Cycles'!$BG$24:$BM$24,1,DQ282),'Lease Cycles'!$AT$24&lt;=DQ$6),'Lease Cycles'!$C$24*'Lease Cycles'!$AU$24/12,'Lease Cycles'!$C$24*INDEX('Lease Cycles'!$CB$24:$CH$24,1,DQ282)*(1+INDEX('Lease Cycles'!$CI$24:$CO$24,1,DQ282))^INT(INT(DQ283/12)/INDEX('Lease Cycles'!$CP$24:$CV$24,1,DQ282))/12)))),'Lease Cycles'!$C$24*INDEX('Lease Cycles'!$CB$24:$CH$24,1,DQ282)*(1+INDEX('Lease Cycles'!$CI$24:$CO$24,1,DQ282))^INT(INT(DQ283/12)/INDEX('Lease Cycles'!$CP$24:$CV$24,1,DQ282))/12))),IF('Lease Cycles'!$N$24=1,'Lease Cycles'!$C$24*'Lease Cycles'!$E$24*INDEX('Lease Cycles'!$HE$24:$HK$24,1,DQ282)*(1+INDEX('Lease Cycles'!$GQ$24:$GW$24,1,DQ282))^INT(INT((DQ$6-INDEX('Lease Cycles'!$GJ$24:$GP$24,1,DQ282))/12)/INDEX('Lease Cycles'!$GX$24:$HD$24,1,DQ282))/12,0)))</f>
        <v>0</v>
      </c>
      <c r="DR285" s="28">
        <f>IF(DR282=0,IF('Lease Cycles'!$F$24&gt;0,'Lease Cycles'!$C$24*'Lease Cycles'!$E$24/12,0),IF(DR284=1,IF('Lease Cycles'!$AT$24&gt;=9999,'Lease Cycles'!$C$24*INDEX('Lease Cycles'!$CB$24:$CH$24,1,DR282)*(1+INDEX('Lease Cycles'!$CI$24:$CO$24,1,DR282))^INT(INT(DR283/12)/INDEX('Lease Cycles'!$CP$24:$CV$24,1,DR282))/12,IF(DR282=1,IF(DR283&gt;=INDEX('Lease Cycles'!$DK$24:$DQ$24,1,DR282),IF(DR$6&gt;='Lease Cycles'!$AZ$24,'Lease Cycles'!$C$24*'Lease Cycles'!$BA$24/12,IF(DR$6&gt;='Lease Cycles'!$AX$24,'Lease Cycles'!$C$24*'Lease Cycles'!$AY$24/12,IF(DR$6&gt;='Lease Cycles'!$AV$24,'Lease Cycles'!$C$24*'Lease Cycles'!$AW$24/12,IF(DR$6&gt;='Lease Cycles'!$AT$24,'Lease Cycles'!$C$24*'Lease Cycles'!$AU$24/12,'Lease Cycles'!$C$24*INDEX('Lease Cycles'!$CB$24:$CH$24,1,DR282)*(1+INDEX('Lease Cycles'!$CI$24:$CO$24,1,DR282))^INT(INT(DR283/12)/INDEX('Lease Cycles'!$CP$24:$CV$24,1,DR282))/12)))),'Lease Cycles'!$C$24*INDEX('Lease Cycles'!$CB$24:$CH$24,1,DR282)*(1+INDEX('Lease Cycles'!$CI$24:$CO$24,1,DR282))^INT(INT(DR283/12)/INDEX('Lease Cycles'!$CP$24:$CV$24,1,DR282))/12),IF(INDEX('Lease Cycles'!$EF$24:$EL$24,1,DR282)=1,IF(AND('Lease Cycles'!$AZ$24&gt;=INDEX('Lease Cycles'!$BG$24:$BM$24,1,DR282),'Lease Cycles'!$AZ$24&lt;=DR$6),'Lease Cycles'!$C$24*'Lease Cycles'!$BA$24/12,IF(AND('Lease Cycles'!$AX$24&gt;=INDEX('Lease Cycles'!$BG$24:$BM$24,1,DR282),'Lease Cycles'!$AX$24&lt;=DR$6),'Lease Cycles'!$C$24*'Lease Cycles'!$AY$24/12,IF(AND('Lease Cycles'!$AV$24&gt;=INDEX('Lease Cycles'!$BG$24:$BM$24,1,DR282),'Lease Cycles'!$AV$24&lt;=DR$6),'Lease Cycles'!$C$24*'Lease Cycles'!$AW$24/12,IF(AND('Lease Cycles'!$AT$24&gt;=INDEX('Lease Cycles'!$BG$24:$BM$24,1,DR282),'Lease Cycles'!$AT$24&lt;=DR$6),'Lease Cycles'!$C$24*'Lease Cycles'!$AU$24/12,'Lease Cycles'!$C$24*INDEX('Lease Cycles'!$CB$24:$CH$24,1,DR282)*(1+INDEX('Lease Cycles'!$CI$24:$CO$24,1,DR282))^INT(INT(DR283/12)/INDEX('Lease Cycles'!$CP$24:$CV$24,1,DR282))/12)))),'Lease Cycles'!$C$24*INDEX('Lease Cycles'!$CB$24:$CH$24,1,DR282)*(1+INDEX('Lease Cycles'!$CI$24:$CO$24,1,DR282))^INT(INT(DR283/12)/INDEX('Lease Cycles'!$CP$24:$CV$24,1,DR282))/12))),IF('Lease Cycles'!$N$24=1,'Lease Cycles'!$C$24*'Lease Cycles'!$E$24*INDEX('Lease Cycles'!$HE$24:$HK$24,1,DR282)*(1+INDEX('Lease Cycles'!$GQ$24:$GW$24,1,DR282))^INT(INT((DR$6-INDEX('Lease Cycles'!$GJ$24:$GP$24,1,DR282))/12)/INDEX('Lease Cycles'!$GX$24:$HD$24,1,DR282))/12,0)))</f>
        <v>0</v>
      </c>
      <c r="DS285" s="28">
        <f>IF(DS282=0,IF('Lease Cycles'!$F$24&gt;0,'Lease Cycles'!$C$24*'Lease Cycles'!$E$24/12,0),IF(DS284=1,IF('Lease Cycles'!$AT$24&gt;=9999,'Lease Cycles'!$C$24*INDEX('Lease Cycles'!$CB$24:$CH$24,1,DS282)*(1+INDEX('Lease Cycles'!$CI$24:$CO$24,1,DS282))^INT(INT(DS283/12)/INDEX('Lease Cycles'!$CP$24:$CV$24,1,DS282))/12,IF(DS282=1,IF(DS283&gt;=INDEX('Lease Cycles'!$DK$24:$DQ$24,1,DS282),IF(DS$6&gt;='Lease Cycles'!$AZ$24,'Lease Cycles'!$C$24*'Lease Cycles'!$BA$24/12,IF(DS$6&gt;='Lease Cycles'!$AX$24,'Lease Cycles'!$C$24*'Lease Cycles'!$AY$24/12,IF(DS$6&gt;='Lease Cycles'!$AV$24,'Lease Cycles'!$C$24*'Lease Cycles'!$AW$24/12,IF(DS$6&gt;='Lease Cycles'!$AT$24,'Lease Cycles'!$C$24*'Lease Cycles'!$AU$24/12,'Lease Cycles'!$C$24*INDEX('Lease Cycles'!$CB$24:$CH$24,1,DS282)*(1+INDEX('Lease Cycles'!$CI$24:$CO$24,1,DS282))^INT(INT(DS283/12)/INDEX('Lease Cycles'!$CP$24:$CV$24,1,DS282))/12)))),'Lease Cycles'!$C$24*INDEX('Lease Cycles'!$CB$24:$CH$24,1,DS282)*(1+INDEX('Lease Cycles'!$CI$24:$CO$24,1,DS282))^INT(INT(DS283/12)/INDEX('Lease Cycles'!$CP$24:$CV$24,1,DS282))/12),IF(INDEX('Lease Cycles'!$EF$24:$EL$24,1,DS282)=1,IF(AND('Lease Cycles'!$AZ$24&gt;=INDEX('Lease Cycles'!$BG$24:$BM$24,1,DS282),'Lease Cycles'!$AZ$24&lt;=DS$6),'Lease Cycles'!$C$24*'Lease Cycles'!$BA$24/12,IF(AND('Lease Cycles'!$AX$24&gt;=INDEX('Lease Cycles'!$BG$24:$BM$24,1,DS282),'Lease Cycles'!$AX$24&lt;=DS$6),'Lease Cycles'!$C$24*'Lease Cycles'!$AY$24/12,IF(AND('Lease Cycles'!$AV$24&gt;=INDEX('Lease Cycles'!$BG$24:$BM$24,1,DS282),'Lease Cycles'!$AV$24&lt;=DS$6),'Lease Cycles'!$C$24*'Lease Cycles'!$AW$24/12,IF(AND('Lease Cycles'!$AT$24&gt;=INDEX('Lease Cycles'!$BG$24:$BM$24,1,DS282),'Lease Cycles'!$AT$24&lt;=DS$6),'Lease Cycles'!$C$24*'Lease Cycles'!$AU$24/12,'Lease Cycles'!$C$24*INDEX('Lease Cycles'!$CB$24:$CH$24,1,DS282)*(1+INDEX('Lease Cycles'!$CI$24:$CO$24,1,DS282))^INT(INT(DS283/12)/INDEX('Lease Cycles'!$CP$24:$CV$24,1,DS282))/12)))),'Lease Cycles'!$C$24*INDEX('Lease Cycles'!$CB$24:$CH$24,1,DS282)*(1+INDEX('Lease Cycles'!$CI$24:$CO$24,1,DS282))^INT(INT(DS283/12)/INDEX('Lease Cycles'!$CP$24:$CV$24,1,DS282))/12))),IF('Lease Cycles'!$N$24=1,'Lease Cycles'!$C$24*'Lease Cycles'!$E$24*INDEX('Lease Cycles'!$HE$24:$HK$24,1,DS282)*(1+INDEX('Lease Cycles'!$GQ$24:$GW$24,1,DS282))^INT(INT((DS$6-INDEX('Lease Cycles'!$GJ$24:$GP$24,1,DS282))/12)/INDEX('Lease Cycles'!$GX$24:$HD$24,1,DS282))/12,0)))</f>
        <v>0</v>
      </c>
      <c r="DT285" s="28">
        <f>IF(DT282=0,IF('Lease Cycles'!$F$24&gt;0,'Lease Cycles'!$C$24*'Lease Cycles'!$E$24/12,0),IF(DT284=1,IF('Lease Cycles'!$AT$24&gt;=9999,'Lease Cycles'!$C$24*INDEX('Lease Cycles'!$CB$24:$CH$24,1,DT282)*(1+INDEX('Lease Cycles'!$CI$24:$CO$24,1,DT282))^INT(INT(DT283/12)/INDEX('Lease Cycles'!$CP$24:$CV$24,1,DT282))/12,IF(DT282=1,IF(DT283&gt;=INDEX('Lease Cycles'!$DK$24:$DQ$24,1,DT282),IF(DT$6&gt;='Lease Cycles'!$AZ$24,'Lease Cycles'!$C$24*'Lease Cycles'!$BA$24/12,IF(DT$6&gt;='Lease Cycles'!$AX$24,'Lease Cycles'!$C$24*'Lease Cycles'!$AY$24/12,IF(DT$6&gt;='Lease Cycles'!$AV$24,'Lease Cycles'!$C$24*'Lease Cycles'!$AW$24/12,IF(DT$6&gt;='Lease Cycles'!$AT$24,'Lease Cycles'!$C$24*'Lease Cycles'!$AU$24/12,'Lease Cycles'!$C$24*INDEX('Lease Cycles'!$CB$24:$CH$24,1,DT282)*(1+INDEX('Lease Cycles'!$CI$24:$CO$24,1,DT282))^INT(INT(DT283/12)/INDEX('Lease Cycles'!$CP$24:$CV$24,1,DT282))/12)))),'Lease Cycles'!$C$24*INDEX('Lease Cycles'!$CB$24:$CH$24,1,DT282)*(1+INDEX('Lease Cycles'!$CI$24:$CO$24,1,DT282))^INT(INT(DT283/12)/INDEX('Lease Cycles'!$CP$24:$CV$24,1,DT282))/12),IF(INDEX('Lease Cycles'!$EF$24:$EL$24,1,DT282)=1,IF(AND('Lease Cycles'!$AZ$24&gt;=INDEX('Lease Cycles'!$BG$24:$BM$24,1,DT282),'Lease Cycles'!$AZ$24&lt;=DT$6),'Lease Cycles'!$C$24*'Lease Cycles'!$BA$24/12,IF(AND('Lease Cycles'!$AX$24&gt;=INDEX('Lease Cycles'!$BG$24:$BM$24,1,DT282),'Lease Cycles'!$AX$24&lt;=DT$6),'Lease Cycles'!$C$24*'Lease Cycles'!$AY$24/12,IF(AND('Lease Cycles'!$AV$24&gt;=INDEX('Lease Cycles'!$BG$24:$BM$24,1,DT282),'Lease Cycles'!$AV$24&lt;=DT$6),'Lease Cycles'!$C$24*'Lease Cycles'!$AW$24/12,IF(AND('Lease Cycles'!$AT$24&gt;=INDEX('Lease Cycles'!$BG$24:$BM$24,1,DT282),'Lease Cycles'!$AT$24&lt;=DT$6),'Lease Cycles'!$C$24*'Lease Cycles'!$AU$24/12,'Lease Cycles'!$C$24*INDEX('Lease Cycles'!$CB$24:$CH$24,1,DT282)*(1+INDEX('Lease Cycles'!$CI$24:$CO$24,1,DT282))^INT(INT(DT283/12)/INDEX('Lease Cycles'!$CP$24:$CV$24,1,DT282))/12)))),'Lease Cycles'!$C$24*INDEX('Lease Cycles'!$CB$24:$CH$24,1,DT282)*(1+INDEX('Lease Cycles'!$CI$24:$CO$24,1,DT282))^INT(INT(DT283/12)/INDEX('Lease Cycles'!$CP$24:$CV$24,1,DT282))/12))),IF('Lease Cycles'!$N$24=1,'Lease Cycles'!$C$24*'Lease Cycles'!$E$24*INDEX('Lease Cycles'!$HE$24:$HK$24,1,DT282)*(1+INDEX('Lease Cycles'!$GQ$24:$GW$24,1,DT282))^INT(INT((DT$6-INDEX('Lease Cycles'!$GJ$24:$GP$24,1,DT282))/12)/INDEX('Lease Cycles'!$GX$24:$HD$24,1,DT282))/12,0)))</f>
        <v>0</v>
      </c>
      <c r="DU285" s="28">
        <f>IF(DU282=0,IF('Lease Cycles'!$F$24&gt;0,'Lease Cycles'!$C$24*'Lease Cycles'!$E$24/12,0),IF(DU284=1,IF('Lease Cycles'!$AT$24&gt;=9999,'Lease Cycles'!$C$24*INDEX('Lease Cycles'!$CB$24:$CH$24,1,DU282)*(1+INDEX('Lease Cycles'!$CI$24:$CO$24,1,DU282))^INT(INT(DU283/12)/INDEX('Lease Cycles'!$CP$24:$CV$24,1,DU282))/12,IF(DU282=1,IF(DU283&gt;=INDEX('Lease Cycles'!$DK$24:$DQ$24,1,DU282),IF(DU$6&gt;='Lease Cycles'!$AZ$24,'Lease Cycles'!$C$24*'Lease Cycles'!$BA$24/12,IF(DU$6&gt;='Lease Cycles'!$AX$24,'Lease Cycles'!$C$24*'Lease Cycles'!$AY$24/12,IF(DU$6&gt;='Lease Cycles'!$AV$24,'Lease Cycles'!$C$24*'Lease Cycles'!$AW$24/12,IF(DU$6&gt;='Lease Cycles'!$AT$24,'Lease Cycles'!$C$24*'Lease Cycles'!$AU$24/12,'Lease Cycles'!$C$24*INDEX('Lease Cycles'!$CB$24:$CH$24,1,DU282)*(1+INDEX('Lease Cycles'!$CI$24:$CO$24,1,DU282))^INT(INT(DU283/12)/INDEX('Lease Cycles'!$CP$24:$CV$24,1,DU282))/12)))),'Lease Cycles'!$C$24*INDEX('Lease Cycles'!$CB$24:$CH$24,1,DU282)*(1+INDEX('Lease Cycles'!$CI$24:$CO$24,1,DU282))^INT(INT(DU283/12)/INDEX('Lease Cycles'!$CP$24:$CV$24,1,DU282))/12),IF(INDEX('Lease Cycles'!$EF$24:$EL$24,1,DU282)=1,IF(AND('Lease Cycles'!$AZ$24&gt;=INDEX('Lease Cycles'!$BG$24:$BM$24,1,DU282),'Lease Cycles'!$AZ$24&lt;=DU$6),'Lease Cycles'!$C$24*'Lease Cycles'!$BA$24/12,IF(AND('Lease Cycles'!$AX$24&gt;=INDEX('Lease Cycles'!$BG$24:$BM$24,1,DU282),'Lease Cycles'!$AX$24&lt;=DU$6),'Lease Cycles'!$C$24*'Lease Cycles'!$AY$24/12,IF(AND('Lease Cycles'!$AV$24&gt;=INDEX('Lease Cycles'!$BG$24:$BM$24,1,DU282),'Lease Cycles'!$AV$24&lt;=DU$6),'Lease Cycles'!$C$24*'Lease Cycles'!$AW$24/12,IF(AND('Lease Cycles'!$AT$24&gt;=INDEX('Lease Cycles'!$BG$24:$BM$24,1,DU282),'Lease Cycles'!$AT$24&lt;=DU$6),'Lease Cycles'!$C$24*'Lease Cycles'!$AU$24/12,'Lease Cycles'!$C$24*INDEX('Lease Cycles'!$CB$24:$CH$24,1,DU282)*(1+INDEX('Lease Cycles'!$CI$24:$CO$24,1,DU282))^INT(INT(DU283/12)/INDEX('Lease Cycles'!$CP$24:$CV$24,1,DU282))/12)))),'Lease Cycles'!$C$24*INDEX('Lease Cycles'!$CB$24:$CH$24,1,DU282)*(1+INDEX('Lease Cycles'!$CI$24:$CO$24,1,DU282))^INT(INT(DU283/12)/INDEX('Lease Cycles'!$CP$24:$CV$24,1,DU282))/12))),IF('Lease Cycles'!$N$24=1,'Lease Cycles'!$C$24*'Lease Cycles'!$E$24*INDEX('Lease Cycles'!$HE$24:$HK$24,1,DU282)*(1+INDEX('Lease Cycles'!$GQ$24:$GW$24,1,DU282))^INT(INT((DU$6-INDEX('Lease Cycles'!$GJ$24:$GP$24,1,DU282))/12)/INDEX('Lease Cycles'!$GX$24:$HD$24,1,DU282))/12,0)))</f>
        <v>0</v>
      </c>
      <c r="DV285" s="28">
        <f>IF(DV282=0,IF('Lease Cycles'!$F$24&gt;0,'Lease Cycles'!$C$24*'Lease Cycles'!$E$24/12,0),IF(DV284=1,IF('Lease Cycles'!$AT$24&gt;=9999,'Lease Cycles'!$C$24*INDEX('Lease Cycles'!$CB$24:$CH$24,1,DV282)*(1+INDEX('Lease Cycles'!$CI$24:$CO$24,1,DV282))^INT(INT(DV283/12)/INDEX('Lease Cycles'!$CP$24:$CV$24,1,DV282))/12,IF(DV282=1,IF(DV283&gt;=INDEX('Lease Cycles'!$DK$24:$DQ$24,1,DV282),IF(DV$6&gt;='Lease Cycles'!$AZ$24,'Lease Cycles'!$C$24*'Lease Cycles'!$BA$24/12,IF(DV$6&gt;='Lease Cycles'!$AX$24,'Lease Cycles'!$C$24*'Lease Cycles'!$AY$24/12,IF(DV$6&gt;='Lease Cycles'!$AV$24,'Lease Cycles'!$C$24*'Lease Cycles'!$AW$24/12,IF(DV$6&gt;='Lease Cycles'!$AT$24,'Lease Cycles'!$C$24*'Lease Cycles'!$AU$24/12,'Lease Cycles'!$C$24*INDEX('Lease Cycles'!$CB$24:$CH$24,1,DV282)*(1+INDEX('Lease Cycles'!$CI$24:$CO$24,1,DV282))^INT(INT(DV283/12)/INDEX('Lease Cycles'!$CP$24:$CV$24,1,DV282))/12)))),'Lease Cycles'!$C$24*INDEX('Lease Cycles'!$CB$24:$CH$24,1,DV282)*(1+INDEX('Lease Cycles'!$CI$24:$CO$24,1,DV282))^INT(INT(DV283/12)/INDEX('Lease Cycles'!$CP$24:$CV$24,1,DV282))/12),IF(INDEX('Lease Cycles'!$EF$24:$EL$24,1,DV282)=1,IF(AND('Lease Cycles'!$AZ$24&gt;=INDEX('Lease Cycles'!$BG$24:$BM$24,1,DV282),'Lease Cycles'!$AZ$24&lt;=DV$6),'Lease Cycles'!$C$24*'Lease Cycles'!$BA$24/12,IF(AND('Lease Cycles'!$AX$24&gt;=INDEX('Lease Cycles'!$BG$24:$BM$24,1,DV282),'Lease Cycles'!$AX$24&lt;=DV$6),'Lease Cycles'!$C$24*'Lease Cycles'!$AY$24/12,IF(AND('Lease Cycles'!$AV$24&gt;=INDEX('Lease Cycles'!$BG$24:$BM$24,1,DV282),'Lease Cycles'!$AV$24&lt;=DV$6),'Lease Cycles'!$C$24*'Lease Cycles'!$AW$24/12,IF(AND('Lease Cycles'!$AT$24&gt;=INDEX('Lease Cycles'!$BG$24:$BM$24,1,DV282),'Lease Cycles'!$AT$24&lt;=DV$6),'Lease Cycles'!$C$24*'Lease Cycles'!$AU$24/12,'Lease Cycles'!$C$24*INDEX('Lease Cycles'!$CB$24:$CH$24,1,DV282)*(1+INDEX('Lease Cycles'!$CI$24:$CO$24,1,DV282))^INT(INT(DV283/12)/INDEX('Lease Cycles'!$CP$24:$CV$24,1,DV282))/12)))),'Lease Cycles'!$C$24*INDEX('Lease Cycles'!$CB$24:$CH$24,1,DV282)*(1+INDEX('Lease Cycles'!$CI$24:$CO$24,1,DV282))^INT(INT(DV283/12)/INDEX('Lease Cycles'!$CP$24:$CV$24,1,DV282))/12))),IF('Lease Cycles'!$N$24=1,'Lease Cycles'!$C$24*'Lease Cycles'!$E$24*INDEX('Lease Cycles'!$HE$24:$HK$24,1,DV282)*(1+INDEX('Lease Cycles'!$GQ$24:$GW$24,1,DV282))^INT(INT((DV$6-INDEX('Lease Cycles'!$GJ$24:$GP$24,1,DV282))/12)/INDEX('Lease Cycles'!$GX$24:$HD$24,1,DV282))/12,0)))</f>
        <v>0</v>
      </c>
      <c r="DW285" s="28">
        <f>IF(DW282=0,IF('Lease Cycles'!$F$24&gt;0,'Lease Cycles'!$C$24*'Lease Cycles'!$E$24/12,0),IF(DW284=1,IF('Lease Cycles'!$AT$24&gt;=9999,'Lease Cycles'!$C$24*INDEX('Lease Cycles'!$CB$24:$CH$24,1,DW282)*(1+INDEX('Lease Cycles'!$CI$24:$CO$24,1,DW282))^INT(INT(DW283/12)/INDEX('Lease Cycles'!$CP$24:$CV$24,1,DW282))/12,IF(DW282=1,IF(DW283&gt;=INDEX('Lease Cycles'!$DK$24:$DQ$24,1,DW282),IF(DW$6&gt;='Lease Cycles'!$AZ$24,'Lease Cycles'!$C$24*'Lease Cycles'!$BA$24/12,IF(DW$6&gt;='Lease Cycles'!$AX$24,'Lease Cycles'!$C$24*'Lease Cycles'!$AY$24/12,IF(DW$6&gt;='Lease Cycles'!$AV$24,'Lease Cycles'!$C$24*'Lease Cycles'!$AW$24/12,IF(DW$6&gt;='Lease Cycles'!$AT$24,'Lease Cycles'!$C$24*'Lease Cycles'!$AU$24/12,'Lease Cycles'!$C$24*INDEX('Lease Cycles'!$CB$24:$CH$24,1,DW282)*(1+INDEX('Lease Cycles'!$CI$24:$CO$24,1,DW282))^INT(INT(DW283/12)/INDEX('Lease Cycles'!$CP$24:$CV$24,1,DW282))/12)))),'Lease Cycles'!$C$24*INDEX('Lease Cycles'!$CB$24:$CH$24,1,DW282)*(1+INDEX('Lease Cycles'!$CI$24:$CO$24,1,DW282))^INT(INT(DW283/12)/INDEX('Lease Cycles'!$CP$24:$CV$24,1,DW282))/12),IF(INDEX('Lease Cycles'!$EF$24:$EL$24,1,DW282)=1,IF(AND('Lease Cycles'!$AZ$24&gt;=INDEX('Lease Cycles'!$BG$24:$BM$24,1,DW282),'Lease Cycles'!$AZ$24&lt;=DW$6),'Lease Cycles'!$C$24*'Lease Cycles'!$BA$24/12,IF(AND('Lease Cycles'!$AX$24&gt;=INDEX('Lease Cycles'!$BG$24:$BM$24,1,DW282),'Lease Cycles'!$AX$24&lt;=DW$6),'Lease Cycles'!$C$24*'Lease Cycles'!$AY$24/12,IF(AND('Lease Cycles'!$AV$24&gt;=INDEX('Lease Cycles'!$BG$24:$BM$24,1,DW282),'Lease Cycles'!$AV$24&lt;=DW$6),'Lease Cycles'!$C$24*'Lease Cycles'!$AW$24/12,IF(AND('Lease Cycles'!$AT$24&gt;=INDEX('Lease Cycles'!$BG$24:$BM$24,1,DW282),'Lease Cycles'!$AT$24&lt;=DW$6),'Lease Cycles'!$C$24*'Lease Cycles'!$AU$24/12,'Lease Cycles'!$C$24*INDEX('Lease Cycles'!$CB$24:$CH$24,1,DW282)*(1+INDEX('Lease Cycles'!$CI$24:$CO$24,1,DW282))^INT(INT(DW283/12)/INDEX('Lease Cycles'!$CP$24:$CV$24,1,DW282))/12)))),'Lease Cycles'!$C$24*INDEX('Lease Cycles'!$CB$24:$CH$24,1,DW282)*(1+INDEX('Lease Cycles'!$CI$24:$CO$24,1,DW282))^INT(INT(DW283/12)/INDEX('Lease Cycles'!$CP$24:$CV$24,1,DW282))/12))),IF('Lease Cycles'!$N$24=1,'Lease Cycles'!$C$24*'Lease Cycles'!$E$24*INDEX('Lease Cycles'!$HE$24:$HK$24,1,DW282)*(1+INDEX('Lease Cycles'!$GQ$24:$GW$24,1,DW282))^INT(INT((DW$6-INDEX('Lease Cycles'!$GJ$24:$GP$24,1,DW282))/12)/INDEX('Lease Cycles'!$GX$24:$HD$24,1,DW282))/12,0)))</f>
        <v>0</v>
      </c>
      <c r="DX285" s="28">
        <f>IF(DX282=0,IF('Lease Cycles'!$F$24&gt;0,'Lease Cycles'!$C$24*'Lease Cycles'!$E$24/12,0),IF(DX284=1,IF('Lease Cycles'!$AT$24&gt;=9999,'Lease Cycles'!$C$24*INDEX('Lease Cycles'!$CB$24:$CH$24,1,DX282)*(1+INDEX('Lease Cycles'!$CI$24:$CO$24,1,DX282))^INT(INT(DX283/12)/INDEX('Lease Cycles'!$CP$24:$CV$24,1,DX282))/12,IF(DX282=1,IF(DX283&gt;=INDEX('Lease Cycles'!$DK$24:$DQ$24,1,DX282),IF(DX$6&gt;='Lease Cycles'!$AZ$24,'Lease Cycles'!$C$24*'Lease Cycles'!$BA$24/12,IF(DX$6&gt;='Lease Cycles'!$AX$24,'Lease Cycles'!$C$24*'Lease Cycles'!$AY$24/12,IF(DX$6&gt;='Lease Cycles'!$AV$24,'Lease Cycles'!$C$24*'Lease Cycles'!$AW$24/12,IF(DX$6&gt;='Lease Cycles'!$AT$24,'Lease Cycles'!$C$24*'Lease Cycles'!$AU$24/12,'Lease Cycles'!$C$24*INDEX('Lease Cycles'!$CB$24:$CH$24,1,DX282)*(1+INDEX('Lease Cycles'!$CI$24:$CO$24,1,DX282))^INT(INT(DX283/12)/INDEX('Lease Cycles'!$CP$24:$CV$24,1,DX282))/12)))),'Lease Cycles'!$C$24*INDEX('Lease Cycles'!$CB$24:$CH$24,1,DX282)*(1+INDEX('Lease Cycles'!$CI$24:$CO$24,1,DX282))^INT(INT(DX283/12)/INDEX('Lease Cycles'!$CP$24:$CV$24,1,DX282))/12),IF(INDEX('Lease Cycles'!$EF$24:$EL$24,1,DX282)=1,IF(AND('Lease Cycles'!$AZ$24&gt;=INDEX('Lease Cycles'!$BG$24:$BM$24,1,DX282),'Lease Cycles'!$AZ$24&lt;=DX$6),'Lease Cycles'!$C$24*'Lease Cycles'!$BA$24/12,IF(AND('Lease Cycles'!$AX$24&gt;=INDEX('Lease Cycles'!$BG$24:$BM$24,1,DX282),'Lease Cycles'!$AX$24&lt;=DX$6),'Lease Cycles'!$C$24*'Lease Cycles'!$AY$24/12,IF(AND('Lease Cycles'!$AV$24&gt;=INDEX('Lease Cycles'!$BG$24:$BM$24,1,DX282),'Lease Cycles'!$AV$24&lt;=DX$6),'Lease Cycles'!$C$24*'Lease Cycles'!$AW$24/12,IF(AND('Lease Cycles'!$AT$24&gt;=INDEX('Lease Cycles'!$BG$24:$BM$24,1,DX282),'Lease Cycles'!$AT$24&lt;=DX$6),'Lease Cycles'!$C$24*'Lease Cycles'!$AU$24/12,'Lease Cycles'!$C$24*INDEX('Lease Cycles'!$CB$24:$CH$24,1,DX282)*(1+INDEX('Lease Cycles'!$CI$24:$CO$24,1,DX282))^INT(INT(DX283/12)/INDEX('Lease Cycles'!$CP$24:$CV$24,1,DX282))/12)))),'Lease Cycles'!$C$24*INDEX('Lease Cycles'!$CB$24:$CH$24,1,DX282)*(1+INDEX('Lease Cycles'!$CI$24:$CO$24,1,DX282))^INT(INT(DX283/12)/INDEX('Lease Cycles'!$CP$24:$CV$24,1,DX282))/12))),IF('Lease Cycles'!$N$24=1,'Lease Cycles'!$C$24*'Lease Cycles'!$E$24*INDEX('Lease Cycles'!$HE$24:$HK$24,1,DX282)*(1+INDEX('Lease Cycles'!$GQ$24:$GW$24,1,DX282))^INT(INT((DX$6-INDEX('Lease Cycles'!$GJ$24:$GP$24,1,DX282))/12)/INDEX('Lease Cycles'!$GX$24:$HD$24,1,DX282))/12,0)))</f>
        <v>0</v>
      </c>
      <c r="DY285" s="28">
        <f>IF(DY282=0,IF('Lease Cycles'!$F$24&gt;0,'Lease Cycles'!$C$24*'Lease Cycles'!$E$24/12,0),IF(DY284=1,IF('Lease Cycles'!$AT$24&gt;=9999,'Lease Cycles'!$C$24*INDEX('Lease Cycles'!$CB$24:$CH$24,1,DY282)*(1+INDEX('Lease Cycles'!$CI$24:$CO$24,1,DY282))^INT(INT(DY283/12)/INDEX('Lease Cycles'!$CP$24:$CV$24,1,DY282))/12,IF(DY282=1,IF(DY283&gt;=INDEX('Lease Cycles'!$DK$24:$DQ$24,1,DY282),IF(DY$6&gt;='Lease Cycles'!$AZ$24,'Lease Cycles'!$C$24*'Lease Cycles'!$BA$24/12,IF(DY$6&gt;='Lease Cycles'!$AX$24,'Lease Cycles'!$C$24*'Lease Cycles'!$AY$24/12,IF(DY$6&gt;='Lease Cycles'!$AV$24,'Lease Cycles'!$C$24*'Lease Cycles'!$AW$24/12,IF(DY$6&gt;='Lease Cycles'!$AT$24,'Lease Cycles'!$C$24*'Lease Cycles'!$AU$24/12,'Lease Cycles'!$C$24*INDEX('Lease Cycles'!$CB$24:$CH$24,1,DY282)*(1+INDEX('Lease Cycles'!$CI$24:$CO$24,1,DY282))^INT(INT(DY283/12)/INDEX('Lease Cycles'!$CP$24:$CV$24,1,DY282))/12)))),'Lease Cycles'!$C$24*INDEX('Lease Cycles'!$CB$24:$CH$24,1,DY282)*(1+INDEX('Lease Cycles'!$CI$24:$CO$24,1,DY282))^INT(INT(DY283/12)/INDEX('Lease Cycles'!$CP$24:$CV$24,1,DY282))/12),IF(INDEX('Lease Cycles'!$EF$24:$EL$24,1,DY282)=1,IF(AND('Lease Cycles'!$AZ$24&gt;=INDEX('Lease Cycles'!$BG$24:$BM$24,1,DY282),'Lease Cycles'!$AZ$24&lt;=DY$6),'Lease Cycles'!$C$24*'Lease Cycles'!$BA$24/12,IF(AND('Lease Cycles'!$AX$24&gt;=INDEX('Lease Cycles'!$BG$24:$BM$24,1,DY282),'Lease Cycles'!$AX$24&lt;=DY$6),'Lease Cycles'!$C$24*'Lease Cycles'!$AY$24/12,IF(AND('Lease Cycles'!$AV$24&gt;=INDEX('Lease Cycles'!$BG$24:$BM$24,1,DY282),'Lease Cycles'!$AV$24&lt;=DY$6),'Lease Cycles'!$C$24*'Lease Cycles'!$AW$24/12,IF(AND('Lease Cycles'!$AT$24&gt;=INDEX('Lease Cycles'!$BG$24:$BM$24,1,DY282),'Lease Cycles'!$AT$24&lt;=DY$6),'Lease Cycles'!$C$24*'Lease Cycles'!$AU$24/12,'Lease Cycles'!$C$24*INDEX('Lease Cycles'!$CB$24:$CH$24,1,DY282)*(1+INDEX('Lease Cycles'!$CI$24:$CO$24,1,DY282))^INT(INT(DY283/12)/INDEX('Lease Cycles'!$CP$24:$CV$24,1,DY282))/12)))),'Lease Cycles'!$C$24*INDEX('Lease Cycles'!$CB$24:$CH$24,1,DY282)*(1+INDEX('Lease Cycles'!$CI$24:$CO$24,1,DY282))^INT(INT(DY283/12)/INDEX('Lease Cycles'!$CP$24:$CV$24,1,DY282))/12))),IF('Lease Cycles'!$N$24=1,'Lease Cycles'!$C$24*'Lease Cycles'!$E$24*INDEX('Lease Cycles'!$HE$24:$HK$24,1,DY282)*(1+INDEX('Lease Cycles'!$GQ$24:$GW$24,1,DY282))^INT(INT((DY$6-INDEX('Lease Cycles'!$GJ$24:$GP$24,1,DY282))/12)/INDEX('Lease Cycles'!$GX$24:$HD$24,1,DY282))/12,0)))</f>
        <v>0</v>
      </c>
      <c r="DZ285" s="28">
        <f>IF(DZ282=0,IF('Lease Cycles'!$F$24&gt;0,'Lease Cycles'!$C$24*'Lease Cycles'!$E$24/12,0),IF(DZ284=1,IF('Lease Cycles'!$AT$24&gt;=9999,'Lease Cycles'!$C$24*INDEX('Lease Cycles'!$CB$24:$CH$24,1,DZ282)*(1+INDEX('Lease Cycles'!$CI$24:$CO$24,1,DZ282))^INT(INT(DZ283/12)/INDEX('Lease Cycles'!$CP$24:$CV$24,1,DZ282))/12,IF(DZ282=1,IF(DZ283&gt;=INDEX('Lease Cycles'!$DK$24:$DQ$24,1,DZ282),IF(DZ$6&gt;='Lease Cycles'!$AZ$24,'Lease Cycles'!$C$24*'Lease Cycles'!$BA$24/12,IF(DZ$6&gt;='Lease Cycles'!$AX$24,'Lease Cycles'!$C$24*'Lease Cycles'!$AY$24/12,IF(DZ$6&gt;='Lease Cycles'!$AV$24,'Lease Cycles'!$C$24*'Lease Cycles'!$AW$24/12,IF(DZ$6&gt;='Lease Cycles'!$AT$24,'Lease Cycles'!$C$24*'Lease Cycles'!$AU$24/12,'Lease Cycles'!$C$24*INDEX('Lease Cycles'!$CB$24:$CH$24,1,DZ282)*(1+INDEX('Lease Cycles'!$CI$24:$CO$24,1,DZ282))^INT(INT(DZ283/12)/INDEX('Lease Cycles'!$CP$24:$CV$24,1,DZ282))/12)))),'Lease Cycles'!$C$24*INDEX('Lease Cycles'!$CB$24:$CH$24,1,DZ282)*(1+INDEX('Lease Cycles'!$CI$24:$CO$24,1,DZ282))^INT(INT(DZ283/12)/INDEX('Lease Cycles'!$CP$24:$CV$24,1,DZ282))/12),IF(INDEX('Lease Cycles'!$EF$24:$EL$24,1,DZ282)=1,IF(AND('Lease Cycles'!$AZ$24&gt;=INDEX('Lease Cycles'!$BG$24:$BM$24,1,DZ282),'Lease Cycles'!$AZ$24&lt;=DZ$6),'Lease Cycles'!$C$24*'Lease Cycles'!$BA$24/12,IF(AND('Lease Cycles'!$AX$24&gt;=INDEX('Lease Cycles'!$BG$24:$BM$24,1,DZ282),'Lease Cycles'!$AX$24&lt;=DZ$6),'Lease Cycles'!$C$24*'Lease Cycles'!$AY$24/12,IF(AND('Lease Cycles'!$AV$24&gt;=INDEX('Lease Cycles'!$BG$24:$BM$24,1,DZ282),'Lease Cycles'!$AV$24&lt;=DZ$6),'Lease Cycles'!$C$24*'Lease Cycles'!$AW$24/12,IF(AND('Lease Cycles'!$AT$24&gt;=INDEX('Lease Cycles'!$BG$24:$BM$24,1,DZ282),'Lease Cycles'!$AT$24&lt;=DZ$6),'Lease Cycles'!$C$24*'Lease Cycles'!$AU$24/12,'Lease Cycles'!$C$24*INDEX('Lease Cycles'!$CB$24:$CH$24,1,DZ282)*(1+INDEX('Lease Cycles'!$CI$24:$CO$24,1,DZ282))^INT(INT(DZ283/12)/INDEX('Lease Cycles'!$CP$24:$CV$24,1,DZ282))/12)))),'Lease Cycles'!$C$24*INDEX('Lease Cycles'!$CB$24:$CH$24,1,DZ282)*(1+INDEX('Lease Cycles'!$CI$24:$CO$24,1,DZ282))^INT(INT(DZ283/12)/INDEX('Lease Cycles'!$CP$24:$CV$24,1,DZ282))/12))),IF('Lease Cycles'!$N$24=1,'Lease Cycles'!$C$24*'Lease Cycles'!$E$24*INDEX('Lease Cycles'!$HE$24:$HK$24,1,DZ282)*(1+INDEX('Lease Cycles'!$GQ$24:$GW$24,1,DZ282))^INT(INT((DZ$6-INDEX('Lease Cycles'!$GJ$24:$GP$24,1,DZ282))/12)/INDEX('Lease Cycles'!$GX$24:$HD$24,1,DZ282))/12,0)))</f>
        <v>0</v>
      </c>
      <c r="EA285" s="28">
        <f>IF(EA282=0,IF('Lease Cycles'!$F$24&gt;0,'Lease Cycles'!$C$24*'Lease Cycles'!$E$24/12,0),IF(EA284=1,IF('Lease Cycles'!$AT$24&gt;=9999,'Lease Cycles'!$C$24*INDEX('Lease Cycles'!$CB$24:$CH$24,1,EA282)*(1+INDEX('Lease Cycles'!$CI$24:$CO$24,1,EA282))^INT(INT(EA283/12)/INDEX('Lease Cycles'!$CP$24:$CV$24,1,EA282))/12,IF(EA282=1,IF(EA283&gt;=INDEX('Lease Cycles'!$DK$24:$DQ$24,1,EA282),IF(EA$6&gt;='Lease Cycles'!$AZ$24,'Lease Cycles'!$C$24*'Lease Cycles'!$BA$24/12,IF(EA$6&gt;='Lease Cycles'!$AX$24,'Lease Cycles'!$C$24*'Lease Cycles'!$AY$24/12,IF(EA$6&gt;='Lease Cycles'!$AV$24,'Lease Cycles'!$C$24*'Lease Cycles'!$AW$24/12,IF(EA$6&gt;='Lease Cycles'!$AT$24,'Lease Cycles'!$C$24*'Lease Cycles'!$AU$24/12,'Lease Cycles'!$C$24*INDEX('Lease Cycles'!$CB$24:$CH$24,1,EA282)*(1+INDEX('Lease Cycles'!$CI$24:$CO$24,1,EA282))^INT(INT(EA283/12)/INDEX('Lease Cycles'!$CP$24:$CV$24,1,EA282))/12)))),'Lease Cycles'!$C$24*INDEX('Lease Cycles'!$CB$24:$CH$24,1,EA282)*(1+INDEX('Lease Cycles'!$CI$24:$CO$24,1,EA282))^INT(INT(EA283/12)/INDEX('Lease Cycles'!$CP$24:$CV$24,1,EA282))/12),IF(INDEX('Lease Cycles'!$EF$24:$EL$24,1,EA282)=1,IF(AND('Lease Cycles'!$AZ$24&gt;=INDEX('Lease Cycles'!$BG$24:$BM$24,1,EA282),'Lease Cycles'!$AZ$24&lt;=EA$6),'Lease Cycles'!$C$24*'Lease Cycles'!$BA$24/12,IF(AND('Lease Cycles'!$AX$24&gt;=INDEX('Lease Cycles'!$BG$24:$BM$24,1,EA282),'Lease Cycles'!$AX$24&lt;=EA$6),'Lease Cycles'!$C$24*'Lease Cycles'!$AY$24/12,IF(AND('Lease Cycles'!$AV$24&gt;=INDEX('Lease Cycles'!$BG$24:$BM$24,1,EA282),'Lease Cycles'!$AV$24&lt;=EA$6),'Lease Cycles'!$C$24*'Lease Cycles'!$AW$24/12,IF(AND('Lease Cycles'!$AT$24&gt;=INDEX('Lease Cycles'!$BG$24:$BM$24,1,EA282),'Lease Cycles'!$AT$24&lt;=EA$6),'Lease Cycles'!$C$24*'Lease Cycles'!$AU$24/12,'Lease Cycles'!$C$24*INDEX('Lease Cycles'!$CB$24:$CH$24,1,EA282)*(1+INDEX('Lease Cycles'!$CI$24:$CO$24,1,EA282))^INT(INT(EA283/12)/INDEX('Lease Cycles'!$CP$24:$CV$24,1,EA282))/12)))),'Lease Cycles'!$C$24*INDEX('Lease Cycles'!$CB$24:$CH$24,1,EA282)*(1+INDEX('Lease Cycles'!$CI$24:$CO$24,1,EA282))^INT(INT(EA283/12)/INDEX('Lease Cycles'!$CP$24:$CV$24,1,EA282))/12))),IF('Lease Cycles'!$N$24=1,'Lease Cycles'!$C$24*'Lease Cycles'!$E$24*INDEX('Lease Cycles'!$HE$24:$HK$24,1,EA282)*(1+INDEX('Lease Cycles'!$GQ$24:$GW$24,1,EA282))^INT(INT((EA$6-INDEX('Lease Cycles'!$GJ$24:$GP$24,1,EA282))/12)/INDEX('Lease Cycles'!$GX$24:$HD$24,1,EA282))/12,0)))</f>
        <v>0</v>
      </c>
      <c r="EB285" s="28">
        <f>IF(EB282=0,IF('Lease Cycles'!$F$24&gt;0,'Lease Cycles'!$C$24*'Lease Cycles'!$E$24/12,0),IF(EB284=1,IF('Lease Cycles'!$AT$24&gt;=9999,'Lease Cycles'!$C$24*INDEX('Lease Cycles'!$CB$24:$CH$24,1,EB282)*(1+INDEX('Lease Cycles'!$CI$24:$CO$24,1,EB282))^INT(INT(EB283/12)/INDEX('Lease Cycles'!$CP$24:$CV$24,1,EB282))/12,IF(EB282=1,IF(EB283&gt;=INDEX('Lease Cycles'!$DK$24:$DQ$24,1,EB282),IF(EB$6&gt;='Lease Cycles'!$AZ$24,'Lease Cycles'!$C$24*'Lease Cycles'!$BA$24/12,IF(EB$6&gt;='Lease Cycles'!$AX$24,'Lease Cycles'!$C$24*'Lease Cycles'!$AY$24/12,IF(EB$6&gt;='Lease Cycles'!$AV$24,'Lease Cycles'!$C$24*'Lease Cycles'!$AW$24/12,IF(EB$6&gt;='Lease Cycles'!$AT$24,'Lease Cycles'!$C$24*'Lease Cycles'!$AU$24/12,'Lease Cycles'!$C$24*INDEX('Lease Cycles'!$CB$24:$CH$24,1,EB282)*(1+INDEX('Lease Cycles'!$CI$24:$CO$24,1,EB282))^INT(INT(EB283/12)/INDEX('Lease Cycles'!$CP$24:$CV$24,1,EB282))/12)))),'Lease Cycles'!$C$24*INDEX('Lease Cycles'!$CB$24:$CH$24,1,EB282)*(1+INDEX('Lease Cycles'!$CI$24:$CO$24,1,EB282))^INT(INT(EB283/12)/INDEX('Lease Cycles'!$CP$24:$CV$24,1,EB282))/12),IF(INDEX('Lease Cycles'!$EF$24:$EL$24,1,EB282)=1,IF(AND('Lease Cycles'!$AZ$24&gt;=INDEX('Lease Cycles'!$BG$24:$BM$24,1,EB282),'Lease Cycles'!$AZ$24&lt;=EB$6),'Lease Cycles'!$C$24*'Lease Cycles'!$BA$24/12,IF(AND('Lease Cycles'!$AX$24&gt;=INDEX('Lease Cycles'!$BG$24:$BM$24,1,EB282),'Lease Cycles'!$AX$24&lt;=EB$6),'Lease Cycles'!$C$24*'Lease Cycles'!$AY$24/12,IF(AND('Lease Cycles'!$AV$24&gt;=INDEX('Lease Cycles'!$BG$24:$BM$24,1,EB282),'Lease Cycles'!$AV$24&lt;=EB$6),'Lease Cycles'!$C$24*'Lease Cycles'!$AW$24/12,IF(AND('Lease Cycles'!$AT$24&gt;=INDEX('Lease Cycles'!$BG$24:$BM$24,1,EB282),'Lease Cycles'!$AT$24&lt;=EB$6),'Lease Cycles'!$C$24*'Lease Cycles'!$AU$24/12,'Lease Cycles'!$C$24*INDEX('Lease Cycles'!$CB$24:$CH$24,1,EB282)*(1+INDEX('Lease Cycles'!$CI$24:$CO$24,1,EB282))^INT(INT(EB283/12)/INDEX('Lease Cycles'!$CP$24:$CV$24,1,EB282))/12)))),'Lease Cycles'!$C$24*INDEX('Lease Cycles'!$CB$24:$CH$24,1,EB282)*(1+INDEX('Lease Cycles'!$CI$24:$CO$24,1,EB282))^INT(INT(EB283/12)/INDEX('Lease Cycles'!$CP$24:$CV$24,1,EB282))/12))),IF('Lease Cycles'!$N$24=1,'Lease Cycles'!$C$24*'Lease Cycles'!$E$24*INDEX('Lease Cycles'!$HE$24:$HK$24,1,EB282)*(1+INDEX('Lease Cycles'!$GQ$24:$GW$24,1,EB282))^INT(INT((EB$6-INDEX('Lease Cycles'!$GJ$24:$GP$24,1,EB282))/12)/INDEX('Lease Cycles'!$GX$24:$HD$24,1,EB282))/12,0)))</f>
        <v>0</v>
      </c>
      <c r="EC285" s="28">
        <f>IF(EC282=0,IF('Lease Cycles'!$F$24&gt;0,'Lease Cycles'!$C$24*'Lease Cycles'!$E$24/12,0),IF(EC284=1,IF('Lease Cycles'!$AT$24&gt;=9999,'Lease Cycles'!$C$24*INDEX('Lease Cycles'!$CB$24:$CH$24,1,EC282)*(1+INDEX('Lease Cycles'!$CI$24:$CO$24,1,EC282))^INT(INT(EC283/12)/INDEX('Lease Cycles'!$CP$24:$CV$24,1,EC282))/12,IF(EC282=1,IF(EC283&gt;=INDEX('Lease Cycles'!$DK$24:$DQ$24,1,EC282),IF(EC$6&gt;='Lease Cycles'!$AZ$24,'Lease Cycles'!$C$24*'Lease Cycles'!$BA$24/12,IF(EC$6&gt;='Lease Cycles'!$AX$24,'Lease Cycles'!$C$24*'Lease Cycles'!$AY$24/12,IF(EC$6&gt;='Lease Cycles'!$AV$24,'Lease Cycles'!$C$24*'Lease Cycles'!$AW$24/12,IF(EC$6&gt;='Lease Cycles'!$AT$24,'Lease Cycles'!$C$24*'Lease Cycles'!$AU$24/12,'Lease Cycles'!$C$24*INDEX('Lease Cycles'!$CB$24:$CH$24,1,EC282)*(1+INDEX('Lease Cycles'!$CI$24:$CO$24,1,EC282))^INT(INT(EC283/12)/INDEX('Lease Cycles'!$CP$24:$CV$24,1,EC282))/12)))),'Lease Cycles'!$C$24*INDEX('Lease Cycles'!$CB$24:$CH$24,1,EC282)*(1+INDEX('Lease Cycles'!$CI$24:$CO$24,1,EC282))^INT(INT(EC283/12)/INDEX('Lease Cycles'!$CP$24:$CV$24,1,EC282))/12),IF(INDEX('Lease Cycles'!$EF$24:$EL$24,1,EC282)=1,IF(AND('Lease Cycles'!$AZ$24&gt;=INDEX('Lease Cycles'!$BG$24:$BM$24,1,EC282),'Lease Cycles'!$AZ$24&lt;=EC$6),'Lease Cycles'!$C$24*'Lease Cycles'!$BA$24/12,IF(AND('Lease Cycles'!$AX$24&gt;=INDEX('Lease Cycles'!$BG$24:$BM$24,1,EC282),'Lease Cycles'!$AX$24&lt;=EC$6),'Lease Cycles'!$C$24*'Lease Cycles'!$AY$24/12,IF(AND('Lease Cycles'!$AV$24&gt;=INDEX('Lease Cycles'!$BG$24:$BM$24,1,EC282),'Lease Cycles'!$AV$24&lt;=EC$6),'Lease Cycles'!$C$24*'Lease Cycles'!$AW$24/12,IF(AND('Lease Cycles'!$AT$24&gt;=INDEX('Lease Cycles'!$BG$24:$BM$24,1,EC282),'Lease Cycles'!$AT$24&lt;=EC$6),'Lease Cycles'!$C$24*'Lease Cycles'!$AU$24/12,'Lease Cycles'!$C$24*INDEX('Lease Cycles'!$CB$24:$CH$24,1,EC282)*(1+INDEX('Lease Cycles'!$CI$24:$CO$24,1,EC282))^INT(INT(EC283/12)/INDEX('Lease Cycles'!$CP$24:$CV$24,1,EC282))/12)))),'Lease Cycles'!$C$24*INDEX('Lease Cycles'!$CB$24:$CH$24,1,EC282)*(1+INDEX('Lease Cycles'!$CI$24:$CO$24,1,EC282))^INT(INT(EC283/12)/INDEX('Lease Cycles'!$CP$24:$CV$24,1,EC282))/12))),IF('Lease Cycles'!$N$24=1,'Lease Cycles'!$C$24*'Lease Cycles'!$E$24*INDEX('Lease Cycles'!$HE$24:$HK$24,1,EC282)*(1+INDEX('Lease Cycles'!$GQ$24:$GW$24,1,EC282))^INT(INT((EC$6-INDEX('Lease Cycles'!$GJ$24:$GP$24,1,EC282))/12)/INDEX('Lease Cycles'!$GX$24:$HD$24,1,EC282))/12,0)))</f>
        <v>0</v>
      </c>
      <c r="ED285" s="28">
        <f>IF(ED282=0,IF('Lease Cycles'!$F$24&gt;0,'Lease Cycles'!$C$24*'Lease Cycles'!$E$24/12,0),IF(ED284=1,IF('Lease Cycles'!$AT$24&gt;=9999,'Lease Cycles'!$C$24*INDEX('Lease Cycles'!$CB$24:$CH$24,1,ED282)*(1+INDEX('Lease Cycles'!$CI$24:$CO$24,1,ED282))^INT(INT(ED283/12)/INDEX('Lease Cycles'!$CP$24:$CV$24,1,ED282))/12,IF(ED282=1,IF(ED283&gt;=INDEX('Lease Cycles'!$DK$24:$DQ$24,1,ED282),IF(ED$6&gt;='Lease Cycles'!$AZ$24,'Lease Cycles'!$C$24*'Lease Cycles'!$BA$24/12,IF(ED$6&gt;='Lease Cycles'!$AX$24,'Lease Cycles'!$C$24*'Lease Cycles'!$AY$24/12,IF(ED$6&gt;='Lease Cycles'!$AV$24,'Lease Cycles'!$C$24*'Lease Cycles'!$AW$24/12,IF(ED$6&gt;='Lease Cycles'!$AT$24,'Lease Cycles'!$C$24*'Lease Cycles'!$AU$24/12,'Lease Cycles'!$C$24*INDEX('Lease Cycles'!$CB$24:$CH$24,1,ED282)*(1+INDEX('Lease Cycles'!$CI$24:$CO$24,1,ED282))^INT(INT(ED283/12)/INDEX('Lease Cycles'!$CP$24:$CV$24,1,ED282))/12)))),'Lease Cycles'!$C$24*INDEX('Lease Cycles'!$CB$24:$CH$24,1,ED282)*(1+INDEX('Lease Cycles'!$CI$24:$CO$24,1,ED282))^INT(INT(ED283/12)/INDEX('Lease Cycles'!$CP$24:$CV$24,1,ED282))/12),IF(INDEX('Lease Cycles'!$EF$24:$EL$24,1,ED282)=1,IF(AND('Lease Cycles'!$AZ$24&gt;=INDEX('Lease Cycles'!$BG$24:$BM$24,1,ED282),'Lease Cycles'!$AZ$24&lt;=ED$6),'Lease Cycles'!$C$24*'Lease Cycles'!$BA$24/12,IF(AND('Lease Cycles'!$AX$24&gt;=INDEX('Lease Cycles'!$BG$24:$BM$24,1,ED282),'Lease Cycles'!$AX$24&lt;=ED$6),'Lease Cycles'!$C$24*'Lease Cycles'!$AY$24/12,IF(AND('Lease Cycles'!$AV$24&gt;=INDEX('Lease Cycles'!$BG$24:$BM$24,1,ED282),'Lease Cycles'!$AV$24&lt;=ED$6),'Lease Cycles'!$C$24*'Lease Cycles'!$AW$24/12,IF(AND('Lease Cycles'!$AT$24&gt;=INDEX('Lease Cycles'!$BG$24:$BM$24,1,ED282),'Lease Cycles'!$AT$24&lt;=ED$6),'Lease Cycles'!$C$24*'Lease Cycles'!$AU$24/12,'Lease Cycles'!$C$24*INDEX('Lease Cycles'!$CB$24:$CH$24,1,ED282)*(1+INDEX('Lease Cycles'!$CI$24:$CO$24,1,ED282))^INT(INT(ED283/12)/INDEX('Lease Cycles'!$CP$24:$CV$24,1,ED282))/12)))),'Lease Cycles'!$C$24*INDEX('Lease Cycles'!$CB$24:$CH$24,1,ED282)*(1+INDEX('Lease Cycles'!$CI$24:$CO$24,1,ED282))^INT(INT(ED283/12)/INDEX('Lease Cycles'!$CP$24:$CV$24,1,ED282))/12))),IF('Lease Cycles'!$N$24=1,'Lease Cycles'!$C$24*'Lease Cycles'!$E$24*INDEX('Lease Cycles'!$HE$24:$HK$24,1,ED282)*(1+INDEX('Lease Cycles'!$GQ$24:$GW$24,1,ED282))^INT(INT((ED$6-INDEX('Lease Cycles'!$GJ$24:$GP$24,1,ED282))/12)/INDEX('Lease Cycles'!$GX$24:$HD$24,1,ED282))/12,0)))</f>
        <v>0</v>
      </c>
      <c r="EE285" s="28">
        <f>IF(EE282=0,IF('Lease Cycles'!$F$24&gt;0,'Lease Cycles'!$C$24*'Lease Cycles'!$E$24/12,0),IF(EE284=1,IF('Lease Cycles'!$AT$24&gt;=9999,'Lease Cycles'!$C$24*INDEX('Lease Cycles'!$CB$24:$CH$24,1,EE282)*(1+INDEX('Lease Cycles'!$CI$24:$CO$24,1,EE282))^INT(INT(EE283/12)/INDEX('Lease Cycles'!$CP$24:$CV$24,1,EE282))/12,IF(EE282=1,IF(EE283&gt;=INDEX('Lease Cycles'!$DK$24:$DQ$24,1,EE282),IF(EE$6&gt;='Lease Cycles'!$AZ$24,'Lease Cycles'!$C$24*'Lease Cycles'!$BA$24/12,IF(EE$6&gt;='Lease Cycles'!$AX$24,'Lease Cycles'!$C$24*'Lease Cycles'!$AY$24/12,IF(EE$6&gt;='Lease Cycles'!$AV$24,'Lease Cycles'!$C$24*'Lease Cycles'!$AW$24/12,IF(EE$6&gt;='Lease Cycles'!$AT$24,'Lease Cycles'!$C$24*'Lease Cycles'!$AU$24/12,'Lease Cycles'!$C$24*INDEX('Lease Cycles'!$CB$24:$CH$24,1,EE282)*(1+INDEX('Lease Cycles'!$CI$24:$CO$24,1,EE282))^INT(INT(EE283/12)/INDEX('Lease Cycles'!$CP$24:$CV$24,1,EE282))/12)))),'Lease Cycles'!$C$24*INDEX('Lease Cycles'!$CB$24:$CH$24,1,EE282)*(1+INDEX('Lease Cycles'!$CI$24:$CO$24,1,EE282))^INT(INT(EE283/12)/INDEX('Lease Cycles'!$CP$24:$CV$24,1,EE282))/12),IF(INDEX('Lease Cycles'!$EF$24:$EL$24,1,EE282)=1,IF(AND('Lease Cycles'!$AZ$24&gt;=INDEX('Lease Cycles'!$BG$24:$BM$24,1,EE282),'Lease Cycles'!$AZ$24&lt;=EE$6),'Lease Cycles'!$C$24*'Lease Cycles'!$BA$24/12,IF(AND('Lease Cycles'!$AX$24&gt;=INDEX('Lease Cycles'!$BG$24:$BM$24,1,EE282),'Lease Cycles'!$AX$24&lt;=EE$6),'Lease Cycles'!$C$24*'Lease Cycles'!$AY$24/12,IF(AND('Lease Cycles'!$AV$24&gt;=INDEX('Lease Cycles'!$BG$24:$BM$24,1,EE282),'Lease Cycles'!$AV$24&lt;=EE$6),'Lease Cycles'!$C$24*'Lease Cycles'!$AW$24/12,IF(AND('Lease Cycles'!$AT$24&gt;=INDEX('Lease Cycles'!$BG$24:$BM$24,1,EE282),'Lease Cycles'!$AT$24&lt;=EE$6),'Lease Cycles'!$C$24*'Lease Cycles'!$AU$24/12,'Lease Cycles'!$C$24*INDEX('Lease Cycles'!$CB$24:$CH$24,1,EE282)*(1+INDEX('Lease Cycles'!$CI$24:$CO$24,1,EE282))^INT(INT(EE283/12)/INDEX('Lease Cycles'!$CP$24:$CV$24,1,EE282))/12)))),'Lease Cycles'!$C$24*INDEX('Lease Cycles'!$CB$24:$CH$24,1,EE282)*(1+INDEX('Lease Cycles'!$CI$24:$CO$24,1,EE282))^INT(INT(EE283/12)/INDEX('Lease Cycles'!$CP$24:$CV$24,1,EE282))/12))),IF('Lease Cycles'!$N$24=1,'Lease Cycles'!$C$24*'Lease Cycles'!$E$24*INDEX('Lease Cycles'!$HE$24:$HK$24,1,EE282)*(1+INDEX('Lease Cycles'!$GQ$24:$GW$24,1,EE282))^INT(INT((EE$6-INDEX('Lease Cycles'!$GJ$24:$GP$24,1,EE282))/12)/INDEX('Lease Cycles'!$GX$24:$HD$24,1,EE282))/12,0)))</f>
        <v>0</v>
      </c>
      <c r="EF285" s="28">
        <f>IF(EF282=0,IF('Lease Cycles'!$F$24&gt;0,'Lease Cycles'!$C$24*'Lease Cycles'!$E$24/12,0),IF(EF284=1,IF('Lease Cycles'!$AT$24&gt;=9999,'Lease Cycles'!$C$24*INDEX('Lease Cycles'!$CB$24:$CH$24,1,EF282)*(1+INDEX('Lease Cycles'!$CI$24:$CO$24,1,EF282))^INT(INT(EF283/12)/INDEX('Lease Cycles'!$CP$24:$CV$24,1,EF282))/12,IF(EF282=1,IF(EF283&gt;=INDEX('Lease Cycles'!$DK$24:$DQ$24,1,EF282),IF(EF$6&gt;='Lease Cycles'!$AZ$24,'Lease Cycles'!$C$24*'Lease Cycles'!$BA$24/12,IF(EF$6&gt;='Lease Cycles'!$AX$24,'Lease Cycles'!$C$24*'Lease Cycles'!$AY$24/12,IF(EF$6&gt;='Lease Cycles'!$AV$24,'Lease Cycles'!$C$24*'Lease Cycles'!$AW$24/12,IF(EF$6&gt;='Lease Cycles'!$AT$24,'Lease Cycles'!$C$24*'Lease Cycles'!$AU$24/12,'Lease Cycles'!$C$24*INDEX('Lease Cycles'!$CB$24:$CH$24,1,EF282)*(1+INDEX('Lease Cycles'!$CI$24:$CO$24,1,EF282))^INT(INT(EF283/12)/INDEX('Lease Cycles'!$CP$24:$CV$24,1,EF282))/12)))),'Lease Cycles'!$C$24*INDEX('Lease Cycles'!$CB$24:$CH$24,1,EF282)*(1+INDEX('Lease Cycles'!$CI$24:$CO$24,1,EF282))^INT(INT(EF283/12)/INDEX('Lease Cycles'!$CP$24:$CV$24,1,EF282))/12),IF(INDEX('Lease Cycles'!$EF$24:$EL$24,1,EF282)=1,IF(AND('Lease Cycles'!$AZ$24&gt;=INDEX('Lease Cycles'!$BG$24:$BM$24,1,EF282),'Lease Cycles'!$AZ$24&lt;=EF$6),'Lease Cycles'!$C$24*'Lease Cycles'!$BA$24/12,IF(AND('Lease Cycles'!$AX$24&gt;=INDEX('Lease Cycles'!$BG$24:$BM$24,1,EF282),'Lease Cycles'!$AX$24&lt;=EF$6),'Lease Cycles'!$C$24*'Lease Cycles'!$AY$24/12,IF(AND('Lease Cycles'!$AV$24&gt;=INDEX('Lease Cycles'!$BG$24:$BM$24,1,EF282),'Lease Cycles'!$AV$24&lt;=EF$6),'Lease Cycles'!$C$24*'Lease Cycles'!$AW$24/12,IF(AND('Lease Cycles'!$AT$24&gt;=INDEX('Lease Cycles'!$BG$24:$BM$24,1,EF282),'Lease Cycles'!$AT$24&lt;=EF$6),'Lease Cycles'!$C$24*'Lease Cycles'!$AU$24/12,'Lease Cycles'!$C$24*INDEX('Lease Cycles'!$CB$24:$CH$24,1,EF282)*(1+INDEX('Lease Cycles'!$CI$24:$CO$24,1,EF282))^INT(INT(EF283/12)/INDEX('Lease Cycles'!$CP$24:$CV$24,1,EF282))/12)))),'Lease Cycles'!$C$24*INDEX('Lease Cycles'!$CB$24:$CH$24,1,EF282)*(1+INDEX('Lease Cycles'!$CI$24:$CO$24,1,EF282))^INT(INT(EF283/12)/INDEX('Lease Cycles'!$CP$24:$CV$24,1,EF282))/12))),IF('Lease Cycles'!$N$24=1,'Lease Cycles'!$C$24*'Lease Cycles'!$E$24*INDEX('Lease Cycles'!$HE$24:$HK$24,1,EF282)*(1+INDEX('Lease Cycles'!$GQ$24:$GW$24,1,EF282))^INT(INT((EF$6-INDEX('Lease Cycles'!$GJ$24:$GP$24,1,EF282))/12)/INDEX('Lease Cycles'!$GX$24:$HD$24,1,EF282))/12,0)))</f>
        <v>0</v>
      </c>
      <c r="EG285" s="28">
        <f>IF(EG282=0,IF('Lease Cycles'!$F$24&gt;0,'Lease Cycles'!$C$24*'Lease Cycles'!$E$24/12,0),IF(EG284=1,IF('Lease Cycles'!$AT$24&gt;=9999,'Lease Cycles'!$C$24*INDEX('Lease Cycles'!$CB$24:$CH$24,1,EG282)*(1+INDEX('Lease Cycles'!$CI$24:$CO$24,1,EG282))^INT(INT(EG283/12)/INDEX('Lease Cycles'!$CP$24:$CV$24,1,EG282))/12,IF(EG282=1,IF(EG283&gt;=INDEX('Lease Cycles'!$DK$24:$DQ$24,1,EG282),IF(EG$6&gt;='Lease Cycles'!$AZ$24,'Lease Cycles'!$C$24*'Lease Cycles'!$BA$24/12,IF(EG$6&gt;='Lease Cycles'!$AX$24,'Lease Cycles'!$C$24*'Lease Cycles'!$AY$24/12,IF(EG$6&gt;='Lease Cycles'!$AV$24,'Lease Cycles'!$C$24*'Lease Cycles'!$AW$24/12,IF(EG$6&gt;='Lease Cycles'!$AT$24,'Lease Cycles'!$C$24*'Lease Cycles'!$AU$24/12,'Lease Cycles'!$C$24*INDEX('Lease Cycles'!$CB$24:$CH$24,1,EG282)*(1+INDEX('Lease Cycles'!$CI$24:$CO$24,1,EG282))^INT(INT(EG283/12)/INDEX('Lease Cycles'!$CP$24:$CV$24,1,EG282))/12)))),'Lease Cycles'!$C$24*INDEX('Lease Cycles'!$CB$24:$CH$24,1,EG282)*(1+INDEX('Lease Cycles'!$CI$24:$CO$24,1,EG282))^INT(INT(EG283/12)/INDEX('Lease Cycles'!$CP$24:$CV$24,1,EG282))/12),IF(INDEX('Lease Cycles'!$EF$24:$EL$24,1,EG282)=1,IF(AND('Lease Cycles'!$AZ$24&gt;=INDEX('Lease Cycles'!$BG$24:$BM$24,1,EG282),'Lease Cycles'!$AZ$24&lt;=EG$6),'Lease Cycles'!$C$24*'Lease Cycles'!$BA$24/12,IF(AND('Lease Cycles'!$AX$24&gt;=INDEX('Lease Cycles'!$BG$24:$BM$24,1,EG282),'Lease Cycles'!$AX$24&lt;=EG$6),'Lease Cycles'!$C$24*'Lease Cycles'!$AY$24/12,IF(AND('Lease Cycles'!$AV$24&gt;=INDEX('Lease Cycles'!$BG$24:$BM$24,1,EG282),'Lease Cycles'!$AV$24&lt;=EG$6),'Lease Cycles'!$C$24*'Lease Cycles'!$AW$24/12,IF(AND('Lease Cycles'!$AT$24&gt;=INDEX('Lease Cycles'!$BG$24:$BM$24,1,EG282),'Lease Cycles'!$AT$24&lt;=EG$6),'Lease Cycles'!$C$24*'Lease Cycles'!$AU$24/12,'Lease Cycles'!$C$24*INDEX('Lease Cycles'!$CB$24:$CH$24,1,EG282)*(1+INDEX('Lease Cycles'!$CI$24:$CO$24,1,EG282))^INT(INT(EG283/12)/INDEX('Lease Cycles'!$CP$24:$CV$24,1,EG282))/12)))),'Lease Cycles'!$C$24*INDEX('Lease Cycles'!$CB$24:$CH$24,1,EG282)*(1+INDEX('Lease Cycles'!$CI$24:$CO$24,1,EG282))^INT(INT(EG283/12)/INDEX('Lease Cycles'!$CP$24:$CV$24,1,EG282))/12))),IF('Lease Cycles'!$N$24=1,'Lease Cycles'!$C$24*'Lease Cycles'!$E$24*INDEX('Lease Cycles'!$HE$24:$HK$24,1,EG282)*(1+INDEX('Lease Cycles'!$GQ$24:$GW$24,1,EG282))^INT(INT((EG$6-INDEX('Lease Cycles'!$GJ$24:$GP$24,1,EG282))/12)/INDEX('Lease Cycles'!$GX$24:$HD$24,1,EG282))/12,0)))</f>
        <v>0</v>
      </c>
      <c r="EH285" s="28">
        <f>IF(EH282=0,IF('Lease Cycles'!$F$24&gt;0,'Lease Cycles'!$C$24*'Lease Cycles'!$E$24/12,0),IF(EH284=1,IF('Lease Cycles'!$AT$24&gt;=9999,'Lease Cycles'!$C$24*INDEX('Lease Cycles'!$CB$24:$CH$24,1,EH282)*(1+INDEX('Lease Cycles'!$CI$24:$CO$24,1,EH282))^INT(INT(EH283/12)/INDEX('Lease Cycles'!$CP$24:$CV$24,1,EH282))/12,IF(EH282=1,IF(EH283&gt;=INDEX('Lease Cycles'!$DK$24:$DQ$24,1,EH282),IF(EH$6&gt;='Lease Cycles'!$AZ$24,'Lease Cycles'!$C$24*'Lease Cycles'!$BA$24/12,IF(EH$6&gt;='Lease Cycles'!$AX$24,'Lease Cycles'!$C$24*'Lease Cycles'!$AY$24/12,IF(EH$6&gt;='Lease Cycles'!$AV$24,'Lease Cycles'!$C$24*'Lease Cycles'!$AW$24/12,IF(EH$6&gt;='Lease Cycles'!$AT$24,'Lease Cycles'!$C$24*'Lease Cycles'!$AU$24/12,'Lease Cycles'!$C$24*INDEX('Lease Cycles'!$CB$24:$CH$24,1,EH282)*(1+INDEX('Lease Cycles'!$CI$24:$CO$24,1,EH282))^INT(INT(EH283/12)/INDEX('Lease Cycles'!$CP$24:$CV$24,1,EH282))/12)))),'Lease Cycles'!$C$24*INDEX('Lease Cycles'!$CB$24:$CH$24,1,EH282)*(1+INDEX('Lease Cycles'!$CI$24:$CO$24,1,EH282))^INT(INT(EH283/12)/INDEX('Lease Cycles'!$CP$24:$CV$24,1,EH282))/12),IF(INDEX('Lease Cycles'!$EF$24:$EL$24,1,EH282)=1,IF(AND('Lease Cycles'!$AZ$24&gt;=INDEX('Lease Cycles'!$BG$24:$BM$24,1,EH282),'Lease Cycles'!$AZ$24&lt;=EH$6),'Lease Cycles'!$C$24*'Lease Cycles'!$BA$24/12,IF(AND('Lease Cycles'!$AX$24&gt;=INDEX('Lease Cycles'!$BG$24:$BM$24,1,EH282),'Lease Cycles'!$AX$24&lt;=EH$6),'Lease Cycles'!$C$24*'Lease Cycles'!$AY$24/12,IF(AND('Lease Cycles'!$AV$24&gt;=INDEX('Lease Cycles'!$BG$24:$BM$24,1,EH282),'Lease Cycles'!$AV$24&lt;=EH$6),'Lease Cycles'!$C$24*'Lease Cycles'!$AW$24/12,IF(AND('Lease Cycles'!$AT$24&gt;=INDEX('Lease Cycles'!$BG$24:$BM$24,1,EH282),'Lease Cycles'!$AT$24&lt;=EH$6),'Lease Cycles'!$C$24*'Lease Cycles'!$AU$24/12,'Lease Cycles'!$C$24*INDEX('Lease Cycles'!$CB$24:$CH$24,1,EH282)*(1+INDEX('Lease Cycles'!$CI$24:$CO$24,1,EH282))^INT(INT(EH283/12)/INDEX('Lease Cycles'!$CP$24:$CV$24,1,EH282))/12)))),'Lease Cycles'!$C$24*INDEX('Lease Cycles'!$CB$24:$CH$24,1,EH282)*(1+INDEX('Lease Cycles'!$CI$24:$CO$24,1,EH282))^INT(INT(EH283/12)/INDEX('Lease Cycles'!$CP$24:$CV$24,1,EH282))/12))),IF('Lease Cycles'!$N$24=1,'Lease Cycles'!$C$24*'Lease Cycles'!$E$24*INDEX('Lease Cycles'!$HE$24:$HK$24,1,EH282)*(1+INDEX('Lease Cycles'!$GQ$24:$GW$24,1,EH282))^INT(INT((EH$6-INDEX('Lease Cycles'!$GJ$24:$GP$24,1,EH282))/12)/INDEX('Lease Cycles'!$GX$24:$HD$24,1,EH282))/12,0)))</f>
        <v>0</v>
      </c>
      <c r="EI285" s="28">
        <f>IF(EI282=0,IF('Lease Cycles'!$F$24&gt;0,'Lease Cycles'!$C$24*'Lease Cycles'!$E$24/12,0),IF(EI284=1,IF('Lease Cycles'!$AT$24&gt;=9999,'Lease Cycles'!$C$24*INDEX('Lease Cycles'!$CB$24:$CH$24,1,EI282)*(1+INDEX('Lease Cycles'!$CI$24:$CO$24,1,EI282))^INT(INT(EI283/12)/INDEX('Lease Cycles'!$CP$24:$CV$24,1,EI282))/12,IF(EI282=1,IF(EI283&gt;=INDEX('Lease Cycles'!$DK$24:$DQ$24,1,EI282),IF(EI$6&gt;='Lease Cycles'!$AZ$24,'Lease Cycles'!$C$24*'Lease Cycles'!$BA$24/12,IF(EI$6&gt;='Lease Cycles'!$AX$24,'Lease Cycles'!$C$24*'Lease Cycles'!$AY$24/12,IF(EI$6&gt;='Lease Cycles'!$AV$24,'Lease Cycles'!$C$24*'Lease Cycles'!$AW$24/12,IF(EI$6&gt;='Lease Cycles'!$AT$24,'Lease Cycles'!$C$24*'Lease Cycles'!$AU$24/12,'Lease Cycles'!$C$24*INDEX('Lease Cycles'!$CB$24:$CH$24,1,EI282)*(1+INDEX('Lease Cycles'!$CI$24:$CO$24,1,EI282))^INT(INT(EI283/12)/INDEX('Lease Cycles'!$CP$24:$CV$24,1,EI282))/12)))),'Lease Cycles'!$C$24*INDEX('Lease Cycles'!$CB$24:$CH$24,1,EI282)*(1+INDEX('Lease Cycles'!$CI$24:$CO$24,1,EI282))^INT(INT(EI283/12)/INDEX('Lease Cycles'!$CP$24:$CV$24,1,EI282))/12),IF(INDEX('Lease Cycles'!$EF$24:$EL$24,1,EI282)=1,IF(AND('Lease Cycles'!$AZ$24&gt;=INDEX('Lease Cycles'!$BG$24:$BM$24,1,EI282),'Lease Cycles'!$AZ$24&lt;=EI$6),'Lease Cycles'!$C$24*'Lease Cycles'!$BA$24/12,IF(AND('Lease Cycles'!$AX$24&gt;=INDEX('Lease Cycles'!$BG$24:$BM$24,1,EI282),'Lease Cycles'!$AX$24&lt;=EI$6),'Lease Cycles'!$C$24*'Lease Cycles'!$AY$24/12,IF(AND('Lease Cycles'!$AV$24&gt;=INDEX('Lease Cycles'!$BG$24:$BM$24,1,EI282),'Lease Cycles'!$AV$24&lt;=EI$6),'Lease Cycles'!$C$24*'Lease Cycles'!$AW$24/12,IF(AND('Lease Cycles'!$AT$24&gt;=INDEX('Lease Cycles'!$BG$24:$BM$24,1,EI282),'Lease Cycles'!$AT$24&lt;=EI$6),'Lease Cycles'!$C$24*'Lease Cycles'!$AU$24/12,'Lease Cycles'!$C$24*INDEX('Lease Cycles'!$CB$24:$CH$24,1,EI282)*(1+INDEX('Lease Cycles'!$CI$24:$CO$24,1,EI282))^INT(INT(EI283/12)/INDEX('Lease Cycles'!$CP$24:$CV$24,1,EI282))/12)))),'Lease Cycles'!$C$24*INDEX('Lease Cycles'!$CB$24:$CH$24,1,EI282)*(1+INDEX('Lease Cycles'!$CI$24:$CO$24,1,EI282))^INT(INT(EI283/12)/INDEX('Lease Cycles'!$CP$24:$CV$24,1,EI282))/12))),IF('Lease Cycles'!$N$24=1,'Lease Cycles'!$C$24*'Lease Cycles'!$E$24*INDEX('Lease Cycles'!$HE$24:$HK$24,1,EI282)*(1+INDEX('Lease Cycles'!$GQ$24:$GW$24,1,EI282))^INT(INT((EI$6-INDEX('Lease Cycles'!$GJ$24:$GP$24,1,EI282))/12)/INDEX('Lease Cycles'!$GX$24:$HD$24,1,EI282))/12,0)))</f>
        <v>0</v>
      </c>
      <c r="EJ285" s="28">
        <f>IF(EJ282=0,IF('Lease Cycles'!$F$24&gt;0,'Lease Cycles'!$C$24*'Lease Cycles'!$E$24/12,0),IF(EJ284=1,IF('Lease Cycles'!$AT$24&gt;=9999,'Lease Cycles'!$C$24*INDEX('Lease Cycles'!$CB$24:$CH$24,1,EJ282)*(1+INDEX('Lease Cycles'!$CI$24:$CO$24,1,EJ282))^INT(INT(EJ283/12)/INDEX('Lease Cycles'!$CP$24:$CV$24,1,EJ282))/12,IF(EJ282=1,IF(EJ283&gt;=INDEX('Lease Cycles'!$DK$24:$DQ$24,1,EJ282),IF(EJ$6&gt;='Lease Cycles'!$AZ$24,'Lease Cycles'!$C$24*'Lease Cycles'!$BA$24/12,IF(EJ$6&gt;='Lease Cycles'!$AX$24,'Lease Cycles'!$C$24*'Lease Cycles'!$AY$24/12,IF(EJ$6&gt;='Lease Cycles'!$AV$24,'Lease Cycles'!$C$24*'Lease Cycles'!$AW$24/12,IF(EJ$6&gt;='Lease Cycles'!$AT$24,'Lease Cycles'!$C$24*'Lease Cycles'!$AU$24/12,'Lease Cycles'!$C$24*INDEX('Lease Cycles'!$CB$24:$CH$24,1,EJ282)*(1+INDEX('Lease Cycles'!$CI$24:$CO$24,1,EJ282))^INT(INT(EJ283/12)/INDEX('Lease Cycles'!$CP$24:$CV$24,1,EJ282))/12)))),'Lease Cycles'!$C$24*INDEX('Lease Cycles'!$CB$24:$CH$24,1,EJ282)*(1+INDEX('Lease Cycles'!$CI$24:$CO$24,1,EJ282))^INT(INT(EJ283/12)/INDEX('Lease Cycles'!$CP$24:$CV$24,1,EJ282))/12),IF(INDEX('Lease Cycles'!$EF$24:$EL$24,1,EJ282)=1,IF(AND('Lease Cycles'!$AZ$24&gt;=INDEX('Lease Cycles'!$BG$24:$BM$24,1,EJ282),'Lease Cycles'!$AZ$24&lt;=EJ$6),'Lease Cycles'!$C$24*'Lease Cycles'!$BA$24/12,IF(AND('Lease Cycles'!$AX$24&gt;=INDEX('Lease Cycles'!$BG$24:$BM$24,1,EJ282),'Lease Cycles'!$AX$24&lt;=EJ$6),'Lease Cycles'!$C$24*'Lease Cycles'!$AY$24/12,IF(AND('Lease Cycles'!$AV$24&gt;=INDEX('Lease Cycles'!$BG$24:$BM$24,1,EJ282),'Lease Cycles'!$AV$24&lt;=EJ$6),'Lease Cycles'!$C$24*'Lease Cycles'!$AW$24/12,IF(AND('Lease Cycles'!$AT$24&gt;=INDEX('Lease Cycles'!$BG$24:$BM$24,1,EJ282),'Lease Cycles'!$AT$24&lt;=EJ$6),'Lease Cycles'!$C$24*'Lease Cycles'!$AU$24/12,'Lease Cycles'!$C$24*INDEX('Lease Cycles'!$CB$24:$CH$24,1,EJ282)*(1+INDEX('Lease Cycles'!$CI$24:$CO$24,1,EJ282))^INT(INT(EJ283/12)/INDEX('Lease Cycles'!$CP$24:$CV$24,1,EJ282))/12)))),'Lease Cycles'!$C$24*INDEX('Lease Cycles'!$CB$24:$CH$24,1,EJ282)*(1+INDEX('Lease Cycles'!$CI$24:$CO$24,1,EJ282))^INT(INT(EJ283/12)/INDEX('Lease Cycles'!$CP$24:$CV$24,1,EJ282))/12))),IF('Lease Cycles'!$N$24=1,'Lease Cycles'!$C$24*'Lease Cycles'!$E$24*INDEX('Lease Cycles'!$HE$24:$HK$24,1,EJ282)*(1+INDEX('Lease Cycles'!$GQ$24:$GW$24,1,EJ282))^INT(INT((EJ$6-INDEX('Lease Cycles'!$GJ$24:$GP$24,1,EJ282))/12)/INDEX('Lease Cycles'!$GX$24:$HD$24,1,EJ282))/12,0)))</f>
        <v>0</v>
      </c>
      <c r="EK285" s="28">
        <f>IF(EK282=0,IF('Lease Cycles'!$F$24&gt;0,'Lease Cycles'!$C$24*'Lease Cycles'!$E$24/12,0),IF(EK284=1,IF('Lease Cycles'!$AT$24&gt;=9999,'Lease Cycles'!$C$24*INDEX('Lease Cycles'!$CB$24:$CH$24,1,EK282)*(1+INDEX('Lease Cycles'!$CI$24:$CO$24,1,EK282))^INT(INT(EK283/12)/INDEX('Lease Cycles'!$CP$24:$CV$24,1,EK282))/12,IF(EK282=1,IF(EK283&gt;=INDEX('Lease Cycles'!$DK$24:$DQ$24,1,EK282),IF(EK$6&gt;='Lease Cycles'!$AZ$24,'Lease Cycles'!$C$24*'Lease Cycles'!$BA$24/12,IF(EK$6&gt;='Lease Cycles'!$AX$24,'Lease Cycles'!$C$24*'Lease Cycles'!$AY$24/12,IF(EK$6&gt;='Lease Cycles'!$AV$24,'Lease Cycles'!$C$24*'Lease Cycles'!$AW$24/12,IF(EK$6&gt;='Lease Cycles'!$AT$24,'Lease Cycles'!$C$24*'Lease Cycles'!$AU$24/12,'Lease Cycles'!$C$24*INDEX('Lease Cycles'!$CB$24:$CH$24,1,EK282)*(1+INDEX('Lease Cycles'!$CI$24:$CO$24,1,EK282))^INT(INT(EK283/12)/INDEX('Lease Cycles'!$CP$24:$CV$24,1,EK282))/12)))),'Lease Cycles'!$C$24*INDEX('Lease Cycles'!$CB$24:$CH$24,1,EK282)*(1+INDEX('Lease Cycles'!$CI$24:$CO$24,1,EK282))^INT(INT(EK283/12)/INDEX('Lease Cycles'!$CP$24:$CV$24,1,EK282))/12),IF(INDEX('Lease Cycles'!$EF$24:$EL$24,1,EK282)=1,IF(AND('Lease Cycles'!$AZ$24&gt;=INDEX('Lease Cycles'!$BG$24:$BM$24,1,EK282),'Lease Cycles'!$AZ$24&lt;=EK$6),'Lease Cycles'!$C$24*'Lease Cycles'!$BA$24/12,IF(AND('Lease Cycles'!$AX$24&gt;=INDEX('Lease Cycles'!$BG$24:$BM$24,1,EK282),'Lease Cycles'!$AX$24&lt;=EK$6),'Lease Cycles'!$C$24*'Lease Cycles'!$AY$24/12,IF(AND('Lease Cycles'!$AV$24&gt;=INDEX('Lease Cycles'!$BG$24:$BM$24,1,EK282),'Lease Cycles'!$AV$24&lt;=EK$6),'Lease Cycles'!$C$24*'Lease Cycles'!$AW$24/12,IF(AND('Lease Cycles'!$AT$24&gt;=INDEX('Lease Cycles'!$BG$24:$BM$24,1,EK282),'Lease Cycles'!$AT$24&lt;=EK$6),'Lease Cycles'!$C$24*'Lease Cycles'!$AU$24/12,'Lease Cycles'!$C$24*INDEX('Lease Cycles'!$CB$24:$CH$24,1,EK282)*(1+INDEX('Lease Cycles'!$CI$24:$CO$24,1,EK282))^INT(INT(EK283/12)/INDEX('Lease Cycles'!$CP$24:$CV$24,1,EK282))/12)))),'Lease Cycles'!$C$24*INDEX('Lease Cycles'!$CB$24:$CH$24,1,EK282)*(1+INDEX('Lease Cycles'!$CI$24:$CO$24,1,EK282))^INT(INT(EK283/12)/INDEX('Lease Cycles'!$CP$24:$CV$24,1,EK282))/12))),IF('Lease Cycles'!$N$24=1,'Lease Cycles'!$C$24*'Lease Cycles'!$E$24*INDEX('Lease Cycles'!$HE$24:$HK$24,1,EK282)*(1+INDEX('Lease Cycles'!$GQ$24:$GW$24,1,EK282))^INT(INT((EK$6-INDEX('Lease Cycles'!$GJ$24:$GP$24,1,EK282))/12)/INDEX('Lease Cycles'!$GX$24:$HD$24,1,EK282))/12,0)))</f>
        <v>0</v>
      </c>
      <c r="EL285" s="28">
        <f>IF(EL282=0,IF('Lease Cycles'!$F$24&gt;0,'Lease Cycles'!$C$24*'Lease Cycles'!$E$24/12,0),IF(EL284=1,IF('Lease Cycles'!$AT$24&gt;=9999,'Lease Cycles'!$C$24*INDEX('Lease Cycles'!$CB$24:$CH$24,1,EL282)*(1+INDEX('Lease Cycles'!$CI$24:$CO$24,1,EL282))^INT(INT(EL283/12)/INDEX('Lease Cycles'!$CP$24:$CV$24,1,EL282))/12,IF(EL282=1,IF(EL283&gt;=INDEX('Lease Cycles'!$DK$24:$DQ$24,1,EL282),IF(EL$6&gt;='Lease Cycles'!$AZ$24,'Lease Cycles'!$C$24*'Lease Cycles'!$BA$24/12,IF(EL$6&gt;='Lease Cycles'!$AX$24,'Lease Cycles'!$C$24*'Lease Cycles'!$AY$24/12,IF(EL$6&gt;='Lease Cycles'!$AV$24,'Lease Cycles'!$C$24*'Lease Cycles'!$AW$24/12,IF(EL$6&gt;='Lease Cycles'!$AT$24,'Lease Cycles'!$C$24*'Lease Cycles'!$AU$24/12,'Lease Cycles'!$C$24*INDEX('Lease Cycles'!$CB$24:$CH$24,1,EL282)*(1+INDEX('Lease Cycles'!$CI$24:$CO$24,1,EL282))^INT(INT(EL283/12)/INDEX('Lease Cycles'!$CP$24:$CV$24,1,EL282))/12)))),'Lease Cycles'!$C$24*INDEX('Lease Cycles'!$CB$24:$CH$24,1,EL282)*(1+INDEX('Lease Cycles'!$CI$24:$CO$24,1,EL282))^INT(INT(EL283/12)/INDEX('Lease Cycles'!$CP$24:$CV$24,1,EL282))/12),IF(INDEX('Lease Cycles'!$EF$24:$EL$24,1,EL282)=1,IF(AND('Lease Cycles'!$AZ$24&gt;=INDEX('Lease Cycles'!$BG$24:$BM$24,1,EL282),'Lease Cycles'!$AZ$24&lt;=EL$6),'Lease Cycles'!$C$24*'Lease Cycles'!$BA$24/12,IF(AND('Lease Cycles'!$AX$24&gt;=INDEX('Lease Cycles'!$BG$24:$BM$24,1,EL282),'Lease Cycles'!$AX$24&lt;=EL$6),'Lease Cycles'!$C$24*'Lease Cycles'!$AY$24/12,IF(AND('Lease Cycles'!$AV$24&gt;=INDEX('Lease Cycles'!$BG$24:$BM$24,1,EL282),'Lease Cycles'!$AV$24&lt;=EL$6),'Lease Cycles'!$C$24*'Lease Cycles'!$AW$24/12,IF(AND('Lease Cycles'!$AT$24&gt;=INDEX('Lease Cycles'!$BG$24:$BM$24,1,EL282),'Lease Cycles'!$AT$24&lt;=EL$6),'Lease Cycles'!$C$24*'Lease Cycles'!$AU$24/12,'Lease Cycles'!$C$24*INDEX('Lease Cycles'!$CB$24:$CH$24,1,EL282)*(1+INDEX('Lease Cycles'!$CI$24:$CO$24,1,EL282))^INT(INT(EL283/12)/INDEX('Lease Cycles'!$CP$24:$CV$24,1,EL282))/12)))),'Lease Cycles'!$C$24*INDEX('Lease Cycles'!$CB$24:$CH$24,1,EL282)*(1+INDEX('Lease Cycles'!$CI$24:$CO$24,1,EL282))^INT(INT(EL283/12)/INDEX('Lease Cycles'!$CP$24:$CV$24,1,EL282))/12))),IF('Lease Cycles'!$N$24=1,'Lease Cycles'!$C$24*'Lease Cycles'!$E$24*INDEX('Lease Cycles'!$HE$24:$HK$24,1,EL282)*(1+INDEX('Lease Cycles'!$GQ$24:$GW$24,1,EL282))^INT(INT((EL$6-INDEX('Lease Cycles'!$GJ$24:$GP$24,1,EL282))/12)/INDEX('Lease Cycles'!$GX$24:$HD$24,1,EL282))/12,0)))</f>
        <v>0</v>
      </c>
      <c r="EM285" s="28">
        <f>IF(EM282=0,IF('Lease Cycles'!$F$24&gt;0,'Lease Cycles'!$C$24*'Lease Cycles'!$E$24/12,0),IF(EM284=1,IF('Lease Cycles'!$AT$24&gt;=9999,'Lease Cycles'!$C$24*INDEX('Lease Cycles'!$CB$24:$CH$24,1,EM282)*(1+INDEX('Lease Cycles'!$CI$24:$CO$24,1,EM282))^INT(INT(EM283/12)/INDEX('Lease Cycles'!$CP$24:$CV$24,1,EM282))/12,IF(EM282=1,IF(EM283&gt;=INDEX('Lease Cycles'!$DK$24:$DQ$24,1,EM282),IF(EM$6&gt;='Lease Cycles'!$AZ$24,'Lease Cycles'!$C$24*'Lease Cycles'!$BA$24/12,IF(EM$6&gt;='Lease Cycles'!$AX$24,'Lease Cycles'!$C$24*'Lease Cycles'!$AY$24/12,IF(EM$6&gt;='Lease Cycles'!$AV$24,'Lease Cycles'!$C$24*'Lease Cycles'!$AW$24/12,IF(EM$6&gt;='Lease Cycles'!$AT$24,'Lease Cycles'!$C$24*'Lease Cycles'!$AU$24/12,'Lease Cycles'!$C$24*INDEX('Lease Cycles'!$CB$24:$CH$24,1,EM282)*(1+INDEX('Lease Cycles'!$CI$24:$CO$24,1,EM282))^INT(INT(EM283/12)/INDEX('Lease Cycles'!$CP$24:$CV$24,1,EM282))/12)))),'Lease Cycles'!$C$24*INDEX('Lease Cycles'!$CB$24:$CH$24,1,EM282)*(1+INDEX('Lease Cycles'!$CI$24:$CO$24,1,EM282))^INT(INT(EM283/12)/INDEX('Lease Cycles'!$CP$24:$CV$24,1,EM282))/12),IF(INDEX('Lease Cycles'!$EF$24:$EL$24,1,EM282)=1,IF(AND('Lease Cycles'!$AZ$24&gt;=INDEX('Lease Cycles'!$BG$24:$BM$24,1,EM282),'Lease Cycles'!$AZ$24&lt;=EM$6),'Lease Cycles'!$C$24*'Lease Cycles'!$BA$24/12,IF(AND('Lease Cycles'!$AX$24&gt;=INDEX('Lease Cycles'!$BG$24:$BM$24,1,EM282),'Lease Cycles'!$AX$24&lt;=EM$6),'Lease Cycles'!$C$24*'Lease Cycles'!$AY$24/12,IF(AND('Lease Cycles'!$AV$24&gt;=INDEX('Lease Cycles'!$BG$24:$BM$24,1,EM282),'Lease Cycles'!$AV$24&lt;=EM$6),'Lease Cycles'!$C$24*'Lease Cycles'!$AW$24/12,IF(AND('Lease Cycles'!$AT$24&gt;=INDEX('Lease Cycles'!$BG$24:$BM$24,1,EM282),'Lease Cycles'!$AT$24&lt;=EM$6),'Lease Cycles'!$C$24*'Lease Cycles'!$AU$24/12,'Lease Cycles'!$C$24*INDEX('Lease Cycles'!$CB$24:$CH$24,1,EM282)*(1+INDEX('Lease Cycles'!$CI$24:$CO$24,1,EM282))^INT(INT(EM283/12)/INDEX('Lease Cycles'!$CP$24:$CV$24,1,EM282))/12)))),'Lease Cycles'!$C$24*INDEX('Lease Cycles'!$CB$24:$CH$24,1,EM282)*(1+INDEX('Lease Cycles'!$CI$24:$CO$24,1,EM282))^INT(INT(EM283/12)/INDEX('Lease Cycles'!$CP$24:$CV$24,1,EM282))/12))),IF('Lease Cycles'!$N$24=1,'Lease Cycles'!$C$24*'Lease Cycles'!$E$24*INDEX('Lease Cycles'!$HE$24:$HK$24,1,EM282)*(1+INDEX('Lease Cycles'!$GQ$24:$GW$24,1,EM282))^INT(INT((EM$6-INDEX('Lease Cycles'!$GJ$24:$GP$24,1,EM282))/12)/INDEX('Lease Cycles'!$GX$24:$HD$24,1,EM282))/12,0)))</f>
        <v>0</v>
      </c>
      <c r="EN285" s="28">
        <f>IF(EN282=0,IF('Lease Cycles'!$F$24&gt;0,'Lease Cycles'!$C$24*'Lease Cycles'!$E$24/12,0),IF(EN284=1,IF('Lease Cycles'!$AT$24&gt;=9999,'Lease Cycles'!$C$24*INDEX('Lease Cycles'!$CB$24:$CH$24,1,EN282)*(1+INDEX('Lease Cycles'!$CI$24:$CO$24,1,EN282))^INT(INT(EN283/12)/INDEX('Lease Cycles'!$CP$24:$CV$24,1,EN282))/12,IF(EN282=1,IF(EN283&gt;=INDEX('Lease Cycles'!$DK$24:$DQ$24,1,EN282),IF(EN$6&gt;='Lease Cycles'!$AZ$24,'Lease Cycles'!$C$24*'Lease Cycles'!$BA$24/12,IF(EN$6&gt;='Lease Cycles'!$AX$24,'Lease Cycles'!$C$24*'Lease Cycles'!$AY$24/12,IF(EN$6&gt;='Lease Cycles'!$AV$24,'Lease Cycles'!$C$24*'Lease Cycles'!$AW$24/12,IF(EN$6&gt;='Lease Cycles'!$AT$24,'Lease Cycles'!$C$24*'Lease Cycles'!$AU$24/12,'Lease Cycles'!$C$24*INDEX('Lease Cycles'!$CB$24:$CH$24,1,EN282)*(1+INDEX('Lease Cycles'!$CI$24:$CO$24,1,EN282))^INT(INT(EN283/12)/INDEX('Lease Cycles'!$CP$24:$CV$24,1,EN282))/12)))),'Lease Cycles'!$C$24*INDEX('Lease Cycles'!$CB$24:$CH$24,1,EN282)*(1+INDEX('Lease Cycles'!$CI$24:$CO$24,1,EN282))^INT(INT(EN283/12)/INDEX('Lease Cycles'!$CP$24:$CV$24,1,EN282))/12),IF(INDEX('Lease Cycles'!$EF$24:$EL$24,1,EN282)=1,IF(AND('Lease Cycles'!$AZ$24&gt;=INDEX('Lease Cycles'!$BG$24:$BM$24,1,EN282),'Lease Cycles'!$AZ$24&lt;=EN$6),'Lease Cycles'!$C$24*'Lease Cycles'!$BA$24/12,IF(AND('Lease Cycles'!$AX$24&gt;=INDEX('Lease Cycles'!$BG$24:$BM$24,1,EN282),'Lease Cycles'!$AX$24&lt;=EN$6),'Lease Cycles'!$C$24*'Lease Cycles'!$AY$24/12,IF(AND('Lease Cycles'!$AV$24&gt;=INDEX('Lease Cycles'!$BG$24:$BM$24,1,EN282),'Lease Cycles'!$AV$24&lt;=EN$6),'Lease Cycles'!$C$24*'Lease Cycles'!$AW$24/12,IF(AND('Lease Cycles'!$AT$24&gt;=INDEX('Lease Cycles'!$BG$24:$BM$24,1,EN282),'Lease Cycles'!$AT$24&lt;=EN$6),'Lease Cycles'!$C$24*'Lease Cycles'!$AU$24/12,'Lease Cycles'!$C$24*INDEX('Lease Cycles'!$CB$24:$CH$24,1,EN282)*(1+INDEX('Lease Cycles'!$CI$24:$CO$24,1,EN282))^INT(INT(EN283/12)/INDEX('Lease Cycles'!$CP$24:$CV$24,1,EN282))/12)))),'Lease Cycles'!$C$24*INDEX('Lease Cycles'!$CB$24:$CH$24,1,EN282)*(1+INDEX('Lease Cycles'!$CI$24:$CO$24,1,EN282))^INT(INT(EN283/12)/INDEX('Lease Cycles'!$CP$24:$CV$24,1,EN282))/12))),IF('Lease Cycles'!$N$24=1,'Lease Cycles'!$C$24*'Lease Cycles'!$E$24*INDEX('Lease Cycles'!$HE$24:$HK$24,1,EN282)*(1+INDEX('Lease Cycles'!$GQ$24:$GW$24,1,EN282))^INT(INT((EN$6-INDEX('Lease Cycles'!$GJ$24:$GP$24,1,EN282))/12)/INDEX('Lease Cycles'!$GX$24:$HD$24,1,EN282))/12,0)))</f>
        <v>0</v>
      </c>
      <c r="EO285" s="28">
        <f>IF(EO282=0,IF('Lease Cycles'!$F$24&gt;0,'Lease Cycles'!$C$24*'Lease Cycles'!$E$24/12,0),IF(EO284=1,IF('Lease Cycles'!$AT$24&gt;=9999,'Lease Cycles'!$C$24*INDEX('Lease Cycles'!$CB$24:$CH$24,1,EO282)*(1+INDEX('Lease Cycles'!$CI$24:$CO$24,1,EO282))^INT(INT(EO283/12)/INDEX('Lease Cycles'!$CP$24:$CV$24,1,EO282))/12,IF(EO282=1,IF(EO283&gt;=INDEX('Lease Cycles'!$DK$24:$DQ$24,1,EO282),IF(EO$6&gt;='Lease Cycles'!$AZ$24,'Lease Cycles'!$C$24*'Lease Cycles'!$BA$24/12,IF(EO$6&gt;='Lease Cycles'!$AX$24,'Lease Cycles'!$C$24*'Lease Cycles'!$AY$24/12,IF(EO$6&gt;='Lease Cycles'!$AV$24,'Lease Cycles'!$C$24*'Lease Cycles'!$AW$24/12,IF(EO$6&gt;='Lease Cycles'!$AT$24,'Lease Cycles'!$C$24*'Lease Cycles'!$AU$24/12,'Lease Cycles'!$C$24*INDEX('Lease Cycles'!$CB$24:$CH$24,1,EO282)*(1+INDEX('Lease Cycles'!$CI$24:$CO$24,1,EO282))^INT(INT(EO283/12)/INDEX('Lease Cycles'!$CP$24:$CV$24,1,EO282))/12)))),'Lease Cycles'!$C$24*INDEX('Lease Cycles'!$CB$24:$CH$24,1,EO282)*(1+INDEX('Lease Cycles'!$CI$24:$CO$24,1,EO282))^INT(INT(EO283/12)/INDEX('Lease Cycles'!$CP$24:$CV$24,1,EO282))/12),IF(INDEX('Lease Cycles'!$EF$24:$EL$24,1,EO282)=1,IF(AND('Lease Cycles'!$AZ$24&gt;=INDEX('Lease Cycles'!$BG$24:$BM$24,1,EO282),'Lease Cycles'!$AZ$24&lt;=EO$6),'Lease Cycles'!$C$24*'Lease Cycles'!$BA$24/12,IF(AND('Lease Cycles'!$AX$24&gt;=INDEX('Lease Cycles'!$BG$24:$BM$24,1,EO282),'Lease Cycles'!$AX$24&lt;=EO$6),'Lease Cycles'!$C$24*'Lease Cycles'!$AY$24/12,IF(AND('Lease Cycles'!$AV$24&gt;=INDEX('Lease Cycles'!$BG$24:$BM$24,1,EO282),'Lease Cycles'!$AV$24&lt;=EO$6),'Lease Cycles'!$C$24*'Lease Cycles'!$AW$24/12,IF(AND('Lease Cycles'!$AT$24&gt;=INDEX('Lease Cycles'!$BG$24:$BM$24,1,EO282),'Lease Cycles'!$AT$24&lt;=EO$6),'Lease Cycles'!$C$24*'Lease Cycles'!$AU$24/12,'Lease Cycles'!$C$24*INDEX('Lease Cycles'!$CB$24:$CH$24,1,EO282)*(1+INDEX('Lease Cycles'!$CI$24:$CO$24,1,EO282))^INT(INT(EO283/12)/INDEX('Lease Cycles'!$CP$24:$CV$24,1,EO282))/12)))),'Lease Cycles'!$C$24*INDEX('Lease Cycles'!$CB$24:$CH$24,1,EO282)*(1+INDEX('Lease Cycles'!$CI$24:$CO$24,1,EO282))^INT(INT(EO283/12)/INDEX('Lease Cycles'!$CP$24:$CV$24,1,EO282))/12))),IF('Lease Cycles'!$N$24=1,'Lease Cycles'!$C$24*'Lease Cycles'!$E$24*INDEX('Lease Cycles'!$HE$24:$HK$24,1,EO282)*(1+INDEX('Lease Cycles'!$GQ$24:$GW$24,1,EO282))^INT(INT((EO$6-INDEX('Lease Cycles'!$GJ$24:$GP$24,1,EO282))/12)/INDEX('Lease Cycles'!$GX$24:$HD$24,1,EO282))/12,0)))</f>
        <v>0</v>
      </c>
      <c r="EP285" s="28">
        <f>IF(EP282=0,IF('Lease Cycles'!$F$24&gt;0,'Lease Cycles'!$C$24*'Lease Cycles'!$E$24/12,0),IF(EP284=1,IF('Lease Cycles'!$AT$24&gt;=9999,'Lease Cycles'!$C$24*INDEX('Lease Cycles'!$CB$24:$CH$24,1,EP282)*(1+INDEX('Lease Cycles'!$CI$24:$CO$24,1,EP282))^INT(INT(EP283/12)/INDEX('Lease Cycles'!$CP$24:$CV$24,1,EP282))/12,IF(EP282=1,IF(EP283&gt;=INDEX('Lease Cycles'!$DK$24:$DQ$24,1,EP282),IF(EP$6&gt;='Lease Cycles'!$AZ$24,'Lease Cycles'!$C$24*'Lease Cycles'!$BA$24/12,IF(EP$6&gt;='Lease Cycles'!$AX$24,'Lease Cycles'!$C$24*'Lease Cycles'!$AY$24/12,IF(EP$6&gt;='Lease Cycles'!$AV$24,'Lease Cycles'!$C$24*'Lease Cycles'!$AW$24/12,IF(EP$6&gt;='Lease Cycles'!$AT$24,'Lease Cycles'!$C$24*'Lease Cycles'!$AU$24/12,'Lease Cycles'!$C$24*INDEX('Lease Cycles'!$CB$24:$CH$24,1,EP282)*(1+INDEX('Lease Cycles'!$CI$24:$CO$24,1,EP282))^INT(INT(EP283/12)/INDEX('Lease Cycles'!$CP$24:$CV$24,1,EP282))/12)))),'Lease Cycles'!$C$24*INDEX('Lease Cycles'!$CB$24:$CH$24,1,EP282)*(1+INDEX('Lease Cycles'!$CI$24:$CO$24,1,EP282))^INT(INT(EP283/12)/INDEX('Lease Cycles'!$CP$24:$CV$24,1,EP282))/12),IF(INDEX('Lease Cycles'!$EF$24:$EL$24,1,EP282)=1,IF(AND('Lease Cycles'!$AZ$24&gt;=INDEX('Lease Cycles'!$BG$24:$BM$24,1,EP282),'Lease Cycles'!$AZ$24&lt;=EP$6),'Lease Cycles'!$C$24*'Lease Cycles'!$BA$24/12,IF(AND('Lease Cycles'!$AX$24&gt;=INDEX('Lease Cycles'!$BG$24:$BM$24,1,EP282),'Lease Cycles'!$AX$24&lt;=EP$6),'Lease Cycles'!$C$24*'Lease Cycles'!$AY$24/12,IF(AND('Lease Cycles'!$AV$24&gt;=INDEX('Lease Cycles'!$BG$24:$BM$24,1,EP282),'Lease Cycles'!$AV$24&lt;=EP$6),'Lease Cycles'!$C$24*'Lease Cycles'!$AW$24/12,IF(AND('Lease Cycles'!$AT$24&gt;=INDEX('Lease Cycles'!$BG$24:$BM$24,1,EP282),'Lease Cycles'!$AT$24&lt;=EP$6),'Lease Cycles'!$C$24*'Lease Cycles'!$AU$24/12,'Lease Cycles'!$C$24*INDEX('Lease Cycles'!$CB$24:$CH$24,1,EP282)*(1+INDEX('Lease Cycles'!$CI$24:$CO$24,1,EP282))^INT(INT(EP283/12)/INDEX('Lease Cycles'!$CP$24:$CV$24,1,EP282))/12)))),'Lease Cycles'!$C$24*INDEX('Lease Cycles'!$CB$24:$CH$24,1,EP282)*(1+INDEX('Lease Cycles'!$CI$24:$CO$24,1,EP282))^INT(INT(EP283/12)/INDEX('Lease Cycles'!$CP$24:$CV$24,1,EP282))/12))),IF('Lease Cycles'!$N$24=1,'Lease Cycles'!$C$24*'Lease Cycles'!$E$24*INDEX('Lease Cycles'!$HE$24:$HK$24,1,EP282)*(1+INDEX('Lease Cycles'!$GQ$24:$GW$24,1,EP282))^INT(INT((EP$6-INDEX('Lease Cycles'!$GJ$24:$GP$24,1,EP282))/12)/INDEX('Lease Cycles'!$GX$24:$HD$24,1,EP282))/12,0)))</f>
        <v>0</v>
      </c>
      <c r="EQ285" s="28">
        <f>IF(EQ282=0,IF('Lease Cycles'!$F$24&gt;0,'Lease Cycles'!$C$24*'Lease Cycles'!$E$24/12,0),IF(EQ284=1,IF('Lease Cycles'!$AT$24&gt;=9999,'Lease Cycles'!$C$24*INDEX('Lease Cycles'!$CB$24:$CH$24,1,EQ282)*(1+INDEX('Lease Cycles'!$CI$24:$CO$24,1,EQ282))^INT(INT(EQ283/12)/INDEX('Lease Cycles'!$CP$24:$CV$24,1,EQ282))/12,IF(EQ282=1,IF(EQ283&gt;=INDEX('Lease Cycles'!$DK$24:$DQ$24,1,EQ282),IF(EQ$6&gt;='Lease Cycles'!$AZ$24,'Lease Cycles'!$C$24*'Lease Cycles'!$BA$24/12,IF(EQ$6&gt;='Lease Cycles'!$AX$24,'Lease Cycles'!$C$24*'Lease Cycles'!$AY$24/12,IF(EQ$6&gt;='Lease Cycles'!$AV$24,'Lease Cycles'!$C$24*'Lease Cycles'!$AW$24/12,IF(EQ$6&gt;='Lease Cycles'!$AT$24,'Lease Cycles'!$C$24*'Lease Cycles'!$AU$24/12,'Lease Cycles'!$C$24*INDEX('Lease Cycles'!$CB$24:$CH$24,1,EQ282)*(1+INDEX('Lease Cycles'!$CI$24:$CO$24,1,EQ282))^INT(INT(EQ283/12)/INDEX('Lease Cycles'!$CP$24:$CV$24,1,EQ282))/12)))),'Lease Cycles'!$C$24*INDEX('Lease Cycles'!$CB$24:$CH$24,1,EQ282)*(1+INDEX('Lease Cycles'!$CI$24:$CO$24,1,EQ282))^INT(INT(EQ283/12)/INDEX('Lease Cycles'!$CP$24:$CV$24,1,EQ282))/12),IF(INDEX('Lease Cycles'!$EF$24:$EL$24,1,EQ282)=1,IF(AND('Lease Cycles'!$AZ$24&gt;=INDEX('Lease Cycles'!$BG$24:$BM$24,1,EQ282),'Lease Cycles'!$AZ$24&lt;=EQ$6),'Lease Cycles'!$C$24*'Lease Cycles'!$BA$24/12,IF(AND('Lease Cycles'!$AX$24&gt;=INDEX('Lease Cycles'!$BG$24:$BM$24,1,EQ282),'Lease Cycles'!$AX$24&lt;=EQ$6),'Lease Cycles'!$C$24*'Lease Cycles'!$AY$24/12,IF(AND('Lease Cycles'!$AV$24&gt;=INDEX('Lease Cycles'!$BG$24:$BM$24,1,EQ282),'Lease Cycles'!$AV$24&lt;=EQ$6),'Lease Cycles'!$C$24*'Lease Cycles'!$AW$24/12,IF(AND('Lease Cycles'!$AT$24&gt;=INDEX('Lease Cycles'!$BG$24:$BM$24,1,EQ282),'Lease Cycles'!$AT$24&lt;=EQ$6),'Lease Cycles'!$C$24*'Lease Cycles'!$AU$24/12,'Lease Cycles'!$C$24*INDEX('Lease Cycles'!$CB$24:$CH$24,1,EQ282)*(1+INDEX('Lease Cycles'!$CI$24:$CO$24,1,EQ282))^INT(INT(EQ283/12)/INDEX('Lease Cycles'!$CP$24:$CV$24,1,EQ282))/12)))),'Lease Cycles'!$C$24*INDEX('Lease Cycles'!$CB$24:$CH$24,1,EQ282)*(1+INDEX('Lease Cycles'!$CI$24:$CO$24,1,EQ282))^INT(INT(EQ283/12)/INDEX('Lease Cycles'!$CP$24:$CV$24,1,EQ282))/12))),IF('Lease Cycles'!$N$24=1,'Lease Cycles'!$C$24*'Lease Cycles'!$E$24*INDEX('Lease Cycles'!$HE$24:$HK$24,1,EQ282)*(1+INDEX('Lease Cycles'!$GQ$24:$GW$24,1,EQ282))^INT(INT((EQ$6-INDEX('Lease Cycles'!$GJ$24:$GP$24,1,EQ282))/12)/INDEX('Lease Cycles'!$GX$24:$HD$24,1,EQ282))/12,0)))</f>
        <v>0</v>
      </c>
      <c r="ER285" s="28">
        <f>IF(ER282=0,IF('Lease Cycles'!$F$24&gt;0,'Lease Cycles'!$C$24*'Lease Cycles'!$E$24/12,0),IF(ER284=1,IF('Lease Cycles'!$AT$24&gt;=9999,'Lease Cycles'!$C$24*INDEX('Lease Cycles'!$CB$24:$CH$24,1,ER282)*(1+INDEX('Lease Cycles'!$CI$24:$CO$24,1,ER282))^INT(INT(ER283/12)/INDEX('Lease Cycles'!$CP$24:$CV$24,1,ER282))/12,IF(ER282=1,IF(ER283&gt;=INDEX('Lease Cycles'!$DK$24:$DQ$24,1,ER282),IF(ER$6&gt;='Lease Cycles'!$AZ$24,'Lease Cycles'!$C$24*'Lease Cycles'!$BA$24/12,IF(ER$6&gt;='Lease Cycles'!$AX$24,'Lease Cycles'!$C$24*'Lease Cycles'!$AY$24/12,IF(ER$6&gt;='Lease Cycles'!$AV$24,'Lease Cycles'!$C$24*'Lease Cycles'!$AW$24/12,IF(ER$6&gt;='Lease Cycles'!$AT$24,'Lease Cycles'!$C$24*'Lease Cycles'!$AU$24/12,'Lease Cycles'!$C$24*INDEX('Lease Cycles'!$CB$24:$CH$24,1,ER282)*(1+INDEX('Lease Cycles'!$CI$24:$CO$24,1,ER282))^INT(INT(ER283/12)/INDEX('Lease Cycles'!$CP$24:$CV$24,1,ER282))/12)))),'Lease Cycles'!$C$24*INDEX('Lease Cycles'!$CB$24:$CH$24,1,ER282)*(1+INDEX('Lease Cycles'!$CI$24:$CO$24,1,ER282))^INT(INT(ER283/12)/INDEX('Lease Cycles'!$CP$24:$CV$24,1,ER282))/12),IF(INDEX('Lease Cycles'!$EF$24:$EL$24,1,ER282)=1,IF(AND('Lease Cycles'!$AZ$24&gt;=INDEX('Lease Cycles'!$BG$24:$BM$24,1,ER282),'Lease Cycles'!$AZ$24&lt;=ER$6),'Lease Cycles'!$C$24*'Lease Cycles'!$BA$24/12,IF(AND('Lease Cycles'!$AX$24&gt;=INDEX('Lease Cycles'!$BG$24:$BM$24,1,ER282),'Lease Cycles'!$AX$24&lt;=ER$6),'Lease Cycles'!$C$24*'Lease Cycles'!$AY$24/12,IF(AND('Lease Cycles'!$AV$24&gt;=INDEX('Lease Cycles'!$BG$24:$BM$24,1,ER282),'Lease Cycles'!$AV$24&lt;=ER$6),'Lease Cycles'!$C$24*'Lease Cycles'!$AW$24/12,IF(AND('Lease Cycles'!$AT$24&gt;=INDEX('Lease Cycles'!$BG$24:$BM$24,1,ER282),'Lease Cycles'!$AT$24&lt;=ER$6),'Lease Cycles'!$C$24*'Lease Cycles'!$AU$24/12,'Lease Cycles'!$C$24*INDEX('Lease Cycles'!$CB$24:$CH$24,1,ER282)*(1+INDEX('Lease Cycles'!$CI$24:$CO$24,1,ER282))^INT(INT(ER283/12)/INDEX('Lease Cycles'!$CP$24:$CV$24,1,ER282))/12)))),'Lease Cycles'!$C$24*INDEX('Lease Cycles'!$CB$24:$CH$24,1,ER282)*(1+INDEX('Lease Cycles'!$CI$24:$CO$24,1,ER282))^INT(INT(ER283/12)/INDEX('Lease Cycles'!$CP$24:$CV$24,1,ER282))/12))),IF('Lease Cycles'!$N$24=1,'Lease Cycles'!$C$24*'Lease Cycles'!$E$24*INDEX('Lease Cycles'!$HE$24:$HK$24,1,ER282)*(1+INDEX('Lease Cycles'!$GQ$24:$GW$24,1,ER282))^INT(INT((ER$6-INDEX('Lease Cycles'!$GJ$24:$GP$24,1,ER282))/12)/INDEX('Lease Cycles'!$GX$24:$HD$24,1,ER282))/12,0)))</f>
        <v>0</v>
      </c>
      <c r="ES285" s="28">
        <f>IF(ES282=0,IF('Lease Cycles'!$F$24&gt;0,'Lease Cycles'!$C$24*'Lease Cycles'!$E$24/12,0),IF(ES284=1,IF('Lease Cycles'!$AT$24&gt;=9999,'Lease Cycles'!$C$24*INDEX('Lease Cycles'!$CB$24:$CH$24,1,ES282)*(1+INDEX('Lease Cycles'!$CI$24:$CO$24,1,ES282))^INT(INT(ES283/12)/INDEX('Lease Cycles'!$CP$24:$CV$24,1,ES282))/12,IF(ES282=1,IF(ES283&gt;=INDEX('Lease Cycles'!$DK$24:$DQ$24,1,ES282),IF(ES$6&gt;='Lease Cycles'!$AZ$24,'Lease Cycles'!$C$24*'Lease Cycles'!$BA$24/12,IF(ES$6&gt;='Lease Cycles'!$AX$24,'Lease Cycles'!$C$24*'Lease Cycles'!$AY$24/12,IF(ES$6&gt;='Lease Cycles'!$AV$24,'Lease Cycles'!$C$24*'Lease Cycles'!$AW$24/12,IF(ES$6&gt;='Lease Cycles'!$AT$24,'Lease Cycles'!$C$24*'Lease Cycles'!$AU$24/12,'Lease Cycles'!$C$24*INDEX('Lease Cycles'!$CB$24:$CH$24,1,ES282)*(1+INDEX('Lease Cycles'!$CI$24:$CO$24,1,ES282))^INT(INT(ES283/12)/INDEX('Lease Cycles'!$CP$24:$CV$24,1,ES282))/12)))),'Lease Cycles'!$C$24*INDEX('Lease Cycles'!$CB$24:$CH$24,1,ES282)*(1+INDEX('Lease Cycles'!$CI$24:$CO$24,1,ES282))^INT(INT(ES283/12)/INDEX('Lease Cycles'!$CP$24:$CV$24,1,ES282))/12),IF(INDEX('Lease Cycles'!$EF$24:$EL$24,1,ES282)=1,IF(AND('Lease Cycles'!$AZ$24&gt;=INDEX('Lease Cycles'!$BG$24:$BM$24,1,ES282),'Lease Cycles'!$AZ$24&lt;=ES$6),'Lease Cycles'!$C$24*'Lease Cycles'!$BA$24/12,IF(AND('Lease Cycles'!$AX$24&gt;=INDEX('Lease Cycles'!$BG$24:$BM$24,1,ES282),'Lease Cycles'!$AX$24&lt;=ES$6),'Lease Cycles'!$C$24*'Lease Cycles'!$AY$24/12,IF(AND('Lease Cycles'!$AV$24&gt;=INDEX('Lease Cycles'!$BG$24:$BM$24,1,ES282),'Lease Cycles'!$AV$24&lt;=ES$6),'Lease Cycles'!$C$24*'Lease Cycles'!$AW$24/12,IF(AND('Lease Cycles'!$AT$24&gt;=INDEX('Lease Cycles'!$BG$24:$BM$24,1,ES282),'Lease Cycles'!$AT$24&lt;=ES$6),'Lease Cycles'!$C$24*'Lease Cycles'!$AU$24/12,'Lease Cycles'!$C$24*INDEX('Lease Cycles'!$CB$24:$CH$24,1,ES282)*(1+INDEX('Lease Cycles'!$CI$24:$CO$24,1,ES282))^INT(INT(ES283/12)/INDEX('Lease Cycles'!$CP$24:$CV$24,1,ES282))/12)))),'Lease Cycles'!$C$24*INDEX('Lease Cycles'!$CB$24:$CH$24,1,ES282)*(1+INDEX('Lease Cycles'!$CI$24:$CO$24,1,ES282))^INT(INT(ES283/12)/INDEX('Lease Cycles'!$CP$24:$CV$24,1,ES282))/12))),IF('Lease Cycles'!$N$24=1,'Lease Cycles'!$C$24*'Lease Cycles'!$E$24*INDEX('Lease Cycles'!$HE$24:$HK$24,1,ES282)*(1+INDEX('Lease Cycles'!$GQ$24:$GW$24,1,ES282))^INT(INT((ES$6-INDEX('Lease Cycles'!$GJ$24:$GP$24,1,ES282))/12)/INDEX('Lease Cycles'!$GX$24:$HD$24,1,ES282))/12,0)))</f>
        <v>0</v>
      </c>
      <c r="ET285" s="28">
        <f>IF(ET282=0,IF('Lease Cycles'!$F$24&gt;0,'Lease Cycles'!$C$24*'Lease Cycles'!$E$24/12,0),IF(ET284=1,IF('Lease Cycles'!$AT$24&gt;=9999,'Lease Cycles'!$C$24*INDEX('Lease Cycles'!$CB$24:$CH$24,1,ET282)*(1+INDEX('Lease Cycles'!$CI$24:$CO$24,1,ET282))^INT(INT(ET283/12)/INDEX('Lease Cycles'!$CP$24:$CV$24,1,ET282))/12,IF(ET282=1,IF(ET283&gt;=INDEX('Lease Cycles'!$DK$24:$DQ$24,1,ET282),IF(ET$6&gt;='Lease Cycles'!$AZ$24,'Lease Cycles'!$C$24*'Lease Cycles'!$BA$24/12,IF(ET$6&gt;='Lease Cycles'!$AX$24,'Lease Cycles'!$C$24*'Lease Cycles'!$AY$24/12,IF(ET$6&gt;='Lease Cycles'!$AV$24,'Lease Cycles'!$C$24*'Lease Cycles'!$AW$24/12,IF(ET$6&gt;='Lease Cycles'!$AT$24,'Lease Cycles'!$C$24*'Lease Cycles'!$AU$24/12,'Lease Cycles'!$C$24*INDEX('Lease Cycles'!$CB$24:$CH$24,1,ET282)*(1+INDEX('Lease Cycles'!$CI$24:$CO$24,1,ET282))^INT(INT(ET283/12)/INDEX('Lease Cycles'!$CP$24:$CV$24,1,ET282))/12)))),'Lease Cycles'!$C$24*INDEX('Lease Cycles'!$CB$24:$CH$24,1,ET282)*(1+INDEX('Lease Cycles'!$CI$24:$CO$24,1,ET282))^INT(INT(ET283/12)/INDEX('Lease Cycles'!$CP$24:$CV$24,1,ET282))/12),IF(INDEX('Lease Cycles'!$EF$24:$EL$24,1,ET282)=1,IF(AND('Lease Cycles'!$AZ$24&gt;=INDEX('Lease Cycles'!$BG$24:$BM$24,1,ET282),'Lease Cycles'!$AZ$24&lt;=ET$6),'Lease Cycles'!$C$24*'Lease Cycles'!$BA$24/12,IF(AND('Lease Cycles'!$AX$24&gt;=INDEX('Lease Cycles'!$BG$24:$BM$24,1,ET282),'Lease Cycles'!$AX$24&lt;=ET$6),'Lease Cycles'!$C$24*'Lease Cycles'!$AY$24/12,IF(AND('Lease Cycles'!$AV$24&gt;=INDEX('Lease Cycles'!$BG$24:$BM$24,1,ET282),'Lease Cycles'!$AV$24&lt;=ET$6),'Lease Cycles'!$C$24*'Lease Cycles'!$AW$24/12,IF(AND('Lease Cycles'!$AT$24&gt;=INDEX('Lease Cycles'!$BG$24:$BM$24,1,ET282),'Lease Cycles'!$AT$24&lt;=ET$6),'Lease Cycles'!$C$24*'Lease Cycles'!$AU$24/12,'Lease Cycles'!$C$24*INDEX('Lease Cycles'!$CB$24:$CH$24,1,ET282)*(1+INDEX('Lease Cycles'!$CI$24:$CO$24,1,ET282))^INT(INT(ET283/12)/INDEX('Lease Cycles'!$CP$24:$CV$24,1,ET282))/12)))),'Lease Cycles'!$C$24*INDEX('Lease Cycles'!$CB$24:$CH$24,1,ET282)*(1+INDEX('Lease Cycles'!$CI$24:$CO$24,1,ET282))^INT(INT(ET283/12)/INDEX('Lease Cycles'!$CP$24:$CV$24,1,ET282))/12))),IF('Lease Cycles'!$N$24=1,'Lease Cycles'!$C$24*'Lease Cycles'!$E$24*INDEX('Lease Cycles'!$HE$24:$HK$24,1,ET282)*(1+INDEX('Lease Cycles'!$GQ$24:$GW$24,1,ET282))^INT(INT((ET$6-INDEX('Lease Cycles'!$GJ$24:$GP$24,1,ET282))/12)/INDEX('Lease Cycles'!$GX$24:$HD$24,1,ET282))/12,0)))</f>
        <v>0</v>
      </c>
    </row>
    <row r="286">
      <c r="A286" s="103">
        <v>17</v>
      </c>
      <c r="B286" s="23" t="str">
        <f>IF('Lease Cycles'!$B$24="","(empty slot)",'Lease Cycles'!$B$24)</f>
        <v>(empty slot)</v>
      </c>
      <c r="C286" s="23" t="s">
        <v>679</v>
      </c>
      <c r="D286" s="104" t="s">
        <v>680</v>
      </c>
      <c r="E286" s="25">
        <f>'Lease Cycles'!$AL$24</f>
        <v>0</v>
      </c>
      <c r="S286" s="28">
        <f>IF(S284=1,IF(INDEX('Lease Cycles'!$EF$24:$EL$24,1,S282)=1,'Lease Cycles'!$C$24*INDEX('Lease Cycles'!$ET$24:$EZ$24,1,S282)*(1+'Lease Cycles'!$V$24)^INT(INT(S283/12)/'Lease Cycles'!$W$24)/12,0),0)</f>
        <v>0</v>
      </c>
      <c r="T286" s="28">
        <f>IF(T284=1,IF(INDEX('Lease Cycles'!$EF$24:$EL$24,1,T282)=1,'Lease Cycles'!$C$24*INDEX('Lease Cycles'!$ET$24:$EZ$24,1,T282)*(1+'Lease Cycles'!$V$24)^INT(INT(T283/12)/'Lease Cycles'!$W$24)/12,0),0)</f>
        <v>0</v>
      </c>
      <c r="U286" s="28">
        <f>IF(U284=1,IF(INDEX('Lease Cycles'!$EF$24:$EL$24,1,U282)=1,'Lease Cycles'!$C$24*INDEX('Lease Cycles'!$ET$24:$EZ$24,1,U282)*(1+'Lease Cycles'!$V$24)^INT(INT(U283/12)/'Lease Cycles'!$W$24)/12,0),0)</f>
        <v>0</v>
      </c>
      <c r="V286" s="28">
        <f>IF(V284=1,IF(INDEX('Lease Cycles'!$EF$24:$EL$24,1,V282)=1,'Lease Cycles'!$C$24*INDEX('Lease Cycles'!$ET$24:$EZ$24,1,V282)*(1+'Lease Cycles'!$V$24)^INT(INT(V283/12)/'Lease Cycles'!$W$24)/12,0),0)</f>
        <v>0</v>
      </c>
      <c r="W286" s="28">
        <f>IF(W284=1,IF(INDEX('Lease Cycles'!$EF$24:$EL$24,1,W282)=1,'Lease Cycles'!$C$24*INDEX('Lease Cycles'!$ET$24:$EZ$24,1,W282)*(1+'Lease Cycles'!$V$24)^INT(INT(W283/12)/'Lease Cycles'!$W$24)/12,0),0)</f>
        <v>0</v>
      </c>
      <c r="X286" s="28">
        <f>IF(X284=1,IF(INDEX('Lease Cycles'!$EF$24:$EL$24,1,X282)=1,'Lease Cycles'!$C$24*INDEX('Lease Cycles'!$ET$24:$EZ$24,1,X282)*(1+'Lease Cycles'!$V$24)^INT(INT(X283/12)/'Lease Cycles'!$W$24)/12,0),0)</f>
        <v>0</v>
      </c>
      <c r="Y286" s="28">
        <f>IF(Y284=1,IF(INDEX('Lease Cycles'!$EF$24:$EL$24,1,Y282)=1,'Lease Cycles'!$C$24*INDEX('Lease Cycles'!$ET$24:$EZ$24,1,Y282)*(1+'Lease Cycles'!$V$24)^INT(INT(Y283/12)/'Lease Cycles'!$W$24)/12,0),0)</f>
        <v>0</v>
      </c>
      <c r="Z286" s="28">
        <f>IF(Z284=1,IF(INDEX('Lease Cycles'!$EF$24:$EL$24,1,Z282)=1,'Lease Cycles'!$C$24*INDEX('Lease Cycles'!$ET$24:$EZ$24,1,Z282)*(1+'Lease Cycles'!$V$24)^INT(INT(Z283/12)/'Lease Cycles'!$W$24)/12,0),0)</f>
        <v>0</v>
      </c>
      <c r="AA286" s="28">
        <f>IF(AA284=1,IF(INDEX('Lease Cycles'!$EF$24:$EL$24,1,AA282)=1,'Lease Cycles'!$C$24*INDEX('Lease Cycles'!$ET$24:$EZ$24,1,AA282)*(1+'Lease Cycles'!$V$24)^INT(INT(AA283/12)/'Lease Cycles'!$W$24)/12,0),0)</f>
        <v>0</v>
      </c>
      <c r="AB286" s="28">
        <f>IF(AB284=1,IF(INDEX('Lease Cycles'!$EF$24:$EL$24,1,AB282)=1,'Lease Cycles'!$C$24*INDEX('Lease Cycles'!$ET$24:$EZ$24,1,AB282)*(1+'Lease Cycles'!$V$24)^INT(INT(AB283/12)/'Lease Cycles'!$W$24)/12,0),0)</f>
        <v>0</v>
      </c>
      <c r="AC286" s="28">
        <f>IF(AC284=1,IF(INDEX('Lease Cycles'!$EF$24:$EL$24,1,AC282)=1,'Lease Cycles'!$C$24*INDEX('Lease Cycles'!$ET$24:$EZ$24,1,AC282)*(1+'Lease Cycles'!$V$24)^INT(INT(AC283/12)/'Lease Cycles'!$W$24)/12,0),0)</f>
        <v>0</v>
      </c>
      <c r="AD286" s="28">
        <f>IF(AD284=1,IF(INDEX('Lease Cycles'!$EF$24:$EL$24,1,AD282)=1,'Lease Cycles'!$C$24*INDEX('Lease Cycles'!$ET$24:$EZ$24,1,AD282)*(1+'Lease Cycles'!$V$24)^INT(INT(AD283/12)/'Lease Cycles'!$W$24)/12,0),0)</f>
        <v>0</v>
      </c>
      <c r="AE286" s="28">
        <f>IF(AE284=1,IF(INDEX('Lease Cycles'!$EF$24:$EL$24,1,AE282)=1,'Lease Cycles'!$C$24*INDEX('Lease Cycles'!$ET$24:$EZ$24,1,AE282)*(1+'Lease Cycles'!$V$24)^INT(INT(AE283/12)/'Lease Cycles'!$W$24)/12,0),0)</f>
        <v>0</v>
      </c>
      <c r="AF286" s="28">
        <f>IF(AF284=1,IF(INDEX('Lease Cycles'!$EF$24:$EL$24,1,AF282)=1,'Lease Cycles'!$C$24*INDEX('Lease Cycles'!$ET$24:$EZ$24,1,AF282)*(1+'Lease Cycles'!$V$24)^INT(INT(AF283/12)/'Lease Cycles'!$W$24)/12,0),0)</f>
        <v>0</v>
      </c>
      <c r="AG286" s="28">
        <f>IF(AG284=1,IF(INDEX('Lease Cycles'!$EF$24:$EL$24,1,AG282)=1,'Lease Cycles'!$C$24*INDEX('Lease Cycles'!$ET$24:$EZ$24,1,AG282)*(1+'Lease Cycles'!$V$24)^INT(INT(AG283/12)/'Lease Cycles'!$W$24)/12,0),0)</f>
        <v>0</v>
      </c>
      <c r="AH286" s="28">
        <f>IF(AH284=1,IF(INDEX('Lease Cycles'!$EF$24:$EL$24,1,AH282)=1,'Lease Cycles'!$C$24*INDEX('Lease Cycles'!$ET$24:$EZ$24,1,AH282)*(1+'Lease Cycles'!$V$24)^INT(INT(AH283/12)/'Lease Cycles'!$W$24)/12,0),0)</f>
        <v>0</v>
      </c>
      <c r="AI286" s="28">
        <f>IF(AI284=1,IF(INDEX('Lease Cycles'!$EF$24:$EL$24,1,AI282)=1,'Lease Cycles'!$C$24*INDEX('Lease Cycles'!$ET$24:$EZ$24,1,AI282)*(1+'Lease Cycles'!$V$24)^INT(INT(AI283/12)/'Lease Cycles'!$W$24)/12,0),0)</f>
        <v>0</v>
      </c>
      <c r="AJ286" s="28">
        <f>IF(AJ284=1,IF(INDEX('Lease Cycles'!$EF$24:$EL$24,1,AJ282)=1,'Lease Cycles'!$C$24*INDEX('Lease Cycles'!$ET$24:$EZ$24,1,AJ282)*(1+'Lease Cycles'!$V$24)^INT(INT(AJ283/12)/'Lease Cycles'!$W$24)/12,0),0)</f>
        <v>0</v>
      </c>
      <c r="AK286" s="28">
        <f>IF(AK284=1,IF(INDEX('Lease Cycles'!$EF$24:$EL$24,1,AK282)=1,'Lease Cycles'!$C$24*INDEX('Lease Cycles'!$ET$24:$EZ$24,1,AK282)*(1+'Lease Cycles'!$V$24)^INT(INT(AK283/12)/'Lease Cycles'!$W$24)/12,0),0)</f>
        <v>0</v>
      </c>
      <c r="AL286" s="28">
        <f>IF(AL284=1,IF(INDEX('Lease Cycles'!$EF$24:$EL$24,1,AL282)=1,'Lease Cycles'!$C$24*INDEX('Lease Cycles'!$ET$24:$EZ$24,1,AL282)*(1+'Lease Cycles'!$V$24)^INT(INT(AL283/12)/'Lease Cycles'!$W$24)/12,0),0)</f>
        <v>0</v>
      </c>
      <c r="AM286" s="28">
        <f>IF(AM284=1,IF(INDEX('Lease Cycles'!$EF$24:$EL$24,1,AM282)=1,'Lease Cycles'!$C$24*INDEX('Lease Cycles'!$ET$24:$EZ$24,1,AM282)*(1+'Lease Cycles'!$V$24)^INT(INT(AM283/12)/'Lease Cycles'!$W$24)/12,0),0)</f>
        <v>0</v>
      </c>
      <c r="AN286" s="28">
        <f>IF(AN284=1,IF(INDEX('Lease Cycles'!$EF$24:$EL$24,1,AN282)=1,'Lease Cycles'!$C$24*INDEX('Lease Cycles'!$ET$24:$EZ$24,1,AN282)*(1+'Lease Cycles'!$V$24)^INT(INT(AN283/12)/'Lease Cycles'!$W$24)/12,0),0)</f>
        <v>0</v>
      </c>
      <c r="AO286" s="28">
        <f>IF(AO284=1,IF(INDEX('Lease Cycles'!$EF$24:$EL$24,1,AO282)=1,'Lease Cycles'!$C$24*INDEX('Lease Cycles'!$ET$24:$EZ$24,1,AO282)*(1+'Lease Cycles'!$V$24)^INT(INT(AO283/12)/'Lease Cycles'!$W$24)/12,0),0)</f>
        <v>0</v>
      </c>
      <c r="AP286" s="28">
        <f>IF(AP284=1,IF(INDEX('Lease Cycles'!$EF$24:$EL$24,1,AP282)=1,'Lease Cycles'!$C$24*INDEX('Lease Cycles'!$ET$24:$EZ$24,1,AP282)*(1+'Lease Cycles'!$V$24)^INT(INT(AP283/12)/'Lease Cycles'!$W$24)/12,0),0)</f>
        <v>0</v>
      </c>
      <c r="AQ286" s="28">
        <f>IF(AQ284=1,IF(INDEX('Lease Cycles'!$EF$24:$EL$24,1,AQ282)=1,'Lease Cycles'!$C$24*INDEX('Lease Cycles'!$ET$24:$EZ$24,1,AQ282)*(1+'Lease Cycles'!$V$24)^INT(INT(AQ283/12)/'Lease Cycles'!$W$24)/12,0),0)</f>
        <v>0</v>
      </c>
      <c r="AR286" s="28">
        <f>IF(AR284=1,IF(INDEX('Lease Cycles'!$EF$24:$EL$24,1,AR282)=1,'Lease Cycles'!$C$24*INDEX('Lease Cycles'!$ET$24:$EZ$24,1,AR282)*(1+'Lease Cycles'!$V$24)^INT(INT(AR283/12)/'Lease Cycles'!$W$24)/12,0),0)</f>
        <v>0</v>
      </c>
      <c r="AS286" s="28">
        <f>IF(AS284=1,IF(INDEX('Lease Cycles'!$EF$24:$EL$24,1,AS282)=1,'Lease Cycles'!$C$24*INDEX('Lease Cycles'!$ET$24:$EZ$24,1,AS282)*(1+'Lease Cycles'!$V$24)^INT(INT(AS283/12)/'Lease Cycles'!$W$24)/12,0),0)</f>
        <v>0</v>
      </c>
      <c r="AT286" s="28">
        <f>IF(AT284=1,IF(INDEX('Lease Cycles'!$EF$24:$EL$24,1,AT282)=1,'Lease Cycles'!$C$24*INDEX('Lease Cycles'!$ET$24:$EZ$24,1,AT282)*(1+'Lease Cycles'!$V$24)^INT(INT(AT283/12)/'Lease Cycles'!$W$24)/12,0),0)</f>
        <v>0</v>
      </c>
      <c r="AU286" s="28">
        <f>IF(AU284=1,IF(INDEX('Lease Cycles'!$EF$24:$EL$24,1,AU282)=1,'Lease Cycles'!$C$24*INDEX('Lease Cycles'!$ET$24:$EZ$24,1,AU282)*(1+'Lease Cycles'!$V$24)^INT(INT(AU283/12)/'Lease Cycles'!$W$24)/12,0),0)</f>
        <v>0</v>
      </c>
      <c r="AV286" s="28">
        <f>IF(AV284=1,IF(INDEX('Lease Cycles'!$EF$24:$EL$24,1,AV282)=1,'Lease Cycles'!$C$24*INDEX('Lease Cycles'!$ET$24:$EZ$24,1,AV282)*(1+'Lease Cycles'!$V$24)^INT(INT(AV283/12)/'Lease Cycles'!$W$24)/12,0),0)</f>
        <v>0</v>
      </c>
      <c r="AW286" s="28">
        <f>IF(AW284=1,IF(INDEX('Lease Cycles'!$EF$24:$EL$24,1,AW282)=1,'Lease Cycles'!$C$24*INDEX('Lease Cycles'!$ET$24:$EZ$24,1,AW282)*(1+'Lease Cycles'!$V$24)^INT(INT(AW283/12)/'Lease Cycles'!$W$24)/12,0),0)</f>
        <v>0</v>
      </c>
      <c r="AX286" s="28">
        <f>IF(AX284=1,IF(INDEX('Lease Cycles'!$EF$24:$EL$24,1,AX282)=1,'Lease Cycles'!$C$24*INDEX('Lease Cycles'!$ET$24:$EZ$24,1,AX282)*(1+'Lease Cycles'!$V$24)^INT(INT(AX283/12)/'Lease Cycles'!$W$24)/12,0),0)</f>
        <v>0</v>
      </c>
      <c r="AY286" s="28">
        <f>IF(AY284=1,IF(INDEX('Lease Cycles'!$EF$24:$EL$24,1,AY282)=1,'Lease Cycles'!$C$24*INDEX('Lease Cycles'!$ET$24:$EZ$24,1,AY282)*(1+'Lease Cycles'!$V$24)^INT(INT(AY283/12)/'Lease Cycles'!$W$24)/12,0),0)</f>
        <v>0</v>
      </c>
      <c r="AZ286" s="28">
        <f>IF(AZ284=1,IF(INDEX('Lease Cycles'!$EF$24:$EL$24,1,AZ282)=1,'Lease Cycles'!$C$24*INDEX('Lease Cycles'!$ET$24:$EZ$24,1,AZ282)*(1+'Lease Cycles'!$V$24)^INT(INT(AZ283/12)/'Lease Cycles'!$W$24)/12,0),0)</f>
        <v>0</v>
      </c>
      <c r="BA286" s="28">
        <f>IF(BA284=1,IF(INDEX('Lease Cycles'!$EF$24:$EL$24,1,BA282)=1,'Lease Cycles'!$C$24*INDEX('Lease Cycles'!$ET$24:$EZ$24,1,BA282)*(1+'Lease Cycles'!$V$24)^INT(INT(BA283/12)/'Lease Cycles'!$W$24)/12,0),0)</f>
        <v>0</v>
      </c>
      <c r="BB286" s="28">
        <f>IF(BB284=1,IF(INDEX('Lease Cycles'!$EF$24:$EL$24,1,BB282)=1,'Lease Cycles'!$C$24*INDEX('Lease Cycles'!$ET$24:$EZ$24,1,BB282)*(1+'Lease Cycles'!$V$24)^INT(INT(BB283/12)/'Lease Cycles'!$W$24)/12,0),0)</f>
        <v>0</v>
      </c>
      <c r="BC286" s="28">
        <f>IF(BC284=1,IF(INDEX('Lease Cycles'!$EF$24:$EL$24,1,BC282)=1,'Lease Cycles'!$C$24*INDEX('Lease Cycles'!$ET$24:$EZ$24,1,BC282)*(1+'Lease Cycles'!$V$24)^INT(INT(BC283/12)/'Lease Cycles'!$W$24)/12,0),0)</f>
        <v>0</v>
      </c>
      <c r="BD286" s="28">
        <f>IF(BD284=1,IF(INDEX('Lease Cycles'!$EF$24:$EL$24,1,BD282)=1,'Lease Cycles'!$C$24*INDEX('Lease Cycles'!$ET$24:$EZ$24,1,BD282)*(1+'Lease Cycles'!$V$24)^INT(INT(BD283/12)/'Lease Cycles'!$W$24)/12,0),0)</f>
        <v>0</v>
      </c>
      <c r="BE286" s="28">
        <f>IF(BE284=1,IF(INDEX('Lease Cycles'!$EF$24:$EL$24,1,BE282)=1,'Lease Cycles'!$C$24*INDEX('Lease Cycles'!$ET$24:$EZ$24,1,BE282)*(1+'Lease Cycles'!$V$24)^INT(INT(BE283/12)/'Lease Cycles'!$W$24)/12,0),0)</f>
        <v>0</v>
      </c>
      <c r="BF286" s="28">
        <f>IF(BF284=1,IF(INDEX('Lease Cycles'!$EF$24:$EL$24,1,BF282)=1,'Lease Cycles'!$C$24*INDEX('Lease Cycles'!$ET$24:$EZ$24,1,BF282)*(1+'Lease Cycles'!$V$24)^INT(INT(BF283/12)/'Lease Cycles'!$W$24)/12,0),0)</f>
        <v>0</v>
      </c>
      <c r="BG286" s="28">
        <f>IF(BG284=1,IF(INDEX('Lease Cycles'!$EF$24:$EL$24,1,BG282)=1,'Lease Cycles'!$C$24*INDEX('Lease Cycles'!$ET$24:$EZ$24,1,BG282)*(1+'Lease Cycles'!$V$24)^INT(INT(BG283/12)/'Lease Cycles'!$W$24)/12,0),0)</f>
        <v>0</v>
      </c>
      <c r="BH286" s="28">
        <f>IF(BH284=1,IF(INDEX('Lease Cycles'!$EF$24:$EL$24,1,BH282)=1,'Lease Cycles'!$C$24*INDEX('Lease Cycles'!$ET$24:$EZ$24,1,BH282)*(1+'Lease Cycles'!$V$24)^INT(INT(BH283/12)/'Lease Cycles'!$W$24)/12,0),0)</f>
        <v>0</v>
      </c>
      <c r="BI286" s="28">
        <f>IF(BI284=1,IF(INDEX('Lease Cycles'!$EF$24:$EL$24,1,BI282)=1,'Lease Cycles'!$C$24*INDEX('Lease Cycles'!$ET$24:$EZ$24,1,BI282)*(1+'Lease Cycles'!$V$24)^INT(INT(BI283/12)/'Lease Cycles'!$W$24)/12,0),0)</f>
        <v>0</v>
      </c>
      <c r="BJ286" s="28">
        <f>IF(BJ284=1,IF(INDEX('Lease Cycles'!$EF$24:$EL$24,1,BJ282)=1,'Lease Cycles'!$C$24*INDEX('Lease Cycles'!$ET$24:$EZ$24,1,BJ282)*(1+'Lease Cycles'!$V$24)^INT(INT(BJ283/12)/'Lease Cycles'!$W$24)/12,0),0)</f>
        <v>0</v>
      </c>
      <c r="BK286" s="28">
        <f>IF(BK284=1,IF(INDEX('Lease Cycles'!$EF$24:$EL$24,1,BK282)=1,'Lease Cycles'!$C$24*INDEX('Lease Cycles'!$ET$24:$EZ$24,1,BK282)*(1+'Lease Cycles'!$V$24)^INT(INT(BK283/12)/'Lease Cycles'!$W$24)/12,0),0)</f>
        <v>0</v>
      </c>
      <c r="BL286" s="28">
        <f>IF(BL284=1,IF(INDEX('Lease Cycles'!$EF$24:$EL$24,1,BL282)=1,'Lease Cycles'!$C$24*INDEX('Lease Cycles'!$ET$24:$EZ$24,1,BL282)*(1+'Lease Cycles'!$V$24)^INT(INT(BL283/12)/'Lease Cycles'!$W$24)/12,0),0)</f>
        <v>0</v>
      </c>
      <c r="BM286" s="28">
        <f>IF(BM284=1,IF(INDEX('Lease Cycles'!$EF$24:$EL$24,1,BM282)=1,'Lease Cycles'!$C$24*INDEX('Lease Cycles'!$ET$24:$EZ$24,1,BM282)*(1+'Lease Cycles'!$V$24)^INT(INT(BM283/12)/'Lease Cycles'!$W$24)/12,0),0)</f>
        <v>0</v>
      </c>
      <c r="BN286" s="28">
        <f>IF(BN284=1,IF(INDEX('Lease Cycles'!$EF$24:$EL$24,1,BN282)=1,'Lease Cycles'!$C$24*INDEX('Lease Cycles'!$ET$24:$EZ$24,1,BN282)*(1+'Lease Cycles'!$V$24)^INT(INT(BN283/12)/'Lease Cycles'!$W$24)/12,0),0)</f>
        <v>0</v>
      </c>
      <c r="BO286" s="28">
        <f>IF(BO284=1,IF(INDEX('Lease Cycles'!$EF$24:$EL$24,1,BO282)=1,'Lease Cycles'!$C$24*INDEX('Lease Cycles'!$ET$24:$EZ$24,1,BO282)*(1+'Lease Cycles'!$V$24)^INT(INT(BO283/12)/'Lease Cycles'!$W$24)/12,0),0)</f>
        <v>0</v>
      </c>
      <c r="BP286" s="28">
        <f>IF(BP284=1,IF(INDEX('Lease Cycles'!$EF$24:$EL$24,1,BP282)=1,'Lease Cycles'!$C$24*INDEX('Lease Cycles'!$ET$24:$EZ$24,1,BP282)*(1+'Lease Cycles'!$V$24)^INT(INT(BP283/12)/'Lease Cycles'!$W$24)/12,0),0)</f>
        <v>0</v>
      </c>
      <c r="BQ286" s="28">
        <f>IF(BQ284=1,IF(INDEX('Lease Cycles'!$EF$24:$EL$24,1,BQ282)=1,'Lease Cycles'!$C$24*INDEX('Lease Cycles'!$ET$24:$EZ$24,1,BQ282)*(1+'Lease Cycles'!$V$24)^INT(INT(BQ283/12)/'Lease Cycles'!$W$24)/12,0),0)</f>
        <v>0</v>
      </c>
      <c r="BR286" s="28">
        <f>IF(BR284=1,IF(INDEX('Lease Cycles'!$EF$24:$EL$24,1,BR282)=1,'Lease Cycles'!$C$24*INDEX('Lease Cycles'!$ET$24:$EZ$24,1,BR282)*(1+'Lease Cycles'!$V$24)^INT(INT(BR283/12)/'Lease Cycles'!$W$24)/12,0),0)</f>
        <v>0</v>
      </c>
      <c r="BS286" s="28">
        <f>IF(BS284=1,IF(INDEX('Lease Cycles'!$EF$24:$EL$24,1,BS282)=1,'Lease Cycles'!$C$24*INDEX('Lease Cycles'!$ET$24:$EZ$24,1,BS282)*(1+'Lease Cycles'!$V$24)^INT(INT(BS283/12)/'Lease Cycles'!$W$24)/12,0),0)</f>
        <v>0</v>
      </c>
      <c r="BT286" s="28">
        <f>IF(BT284=1,IF(INDEX('Lease Cycles'!$EF$24:$EL$24,1,BT282)=1,'Lease Cycles'!$C$24*INDEX('Lease Cycles'!$ET$24:$EZ$24,1,BT282)*(1+'Lease Cycles'!$V$24)^INT(INT(BT283/12)/'Lease Cycles'!$W$24)/12,0),0)</f>
        <v>0</v>
      </c>
      <c r="BU286" s="28">
        <f>IF(BU284=1,IF(INDEX('Lease Cycles'!$EF$24:$EL$24,1,BU282)=1,'Lease Cycles'!$C$24*INDEX('Lease Cycles'!$ET$24:$EZ$24,1,BU282)*(1+'Lease Cycles'!$V$24)^INT(INT(BU283/12)/'Lease Cycles'!$W$24)/12,0),0)</f>
        <v>0</v>
      </c>
      <c r="BV286" s="28">
        <f>IF(BV284=1,IF(INDEX('Lease Cycles'!$EF$24:$EL$24,1,BV282)=1,'Lease Cycles'!$C$24*INDEX('Lease Cycles'!$ET$24:$EZ$24,1,BV282)*(1+'Lease Cycles'!$V$24)^INT(INT(BV283/12)/'Lease Cycles'!$W$24)/12,0),0)</f>
        <v>0</v>
      </c>
      <c r="BW286" s="28">
        <f>IF(BW284=1,IF(INDEX('Lease Cycles'!$EF$24:$EL$24,1,BW282)=1,'Lease Cycles'!$C$24*INDEX('Lease Cycles'!$ET$24:$EZ$24,1,BW282)*(1+'Lease Cycles'!$V$24)^INT(INT(BW283/12)/'Lease Cycles'!$W$24)/12,0),0)</f>
        <v>0</v>
      </c>
      <c r="BX286" s="28">
        <f>IF(BX284=1,IF(INDEX('Lease Cycles'!$EF$24:$EL$24,1,BX282)=1,'Lease Cycles'!$C$24*INDEX('Lease Cycles'!$ET$24:$EZ$24,1,BX282)*(1+'Lease Cycles'!$V$24)^INT(INT(BX283/12)/'Lease Cycles'!$W$24)/12,0),0)</f>
        <v>0</v>
      </c>
      <c r="BY286" s="28">
        <f>IF(BY284=1,IF(INDEX('Lease Cycles'!$EF$24:$EL$24,1,BY282)=1,'Lease Cycles'!$C$24*INDEX('Lease Cycles'!$ET$24:$EZ$24,1,BY282)*(1+'Lease Cycles'!$V$24)^INT(INT(BY283/12)/'Lease Cycles'!$W$24)/12,0),0)</f>
        <v>0</v>
      </c>
      <c r="BZ286" s="28">
        <f>IF(BZ284=1,IF(INDEX('Lease Cycles'!$EF$24:$EL$24,1,BZ282)=1,'Lease Cycles'!$C$24*INDEX('Lease Cycles'!$ET$24:$EZ$24,1,BZ282)*(1+'Lease Cycles'!$V$24)^INT(INT(BZ283/12)/'Lease Cycles'!$W$24)/12,0),0)</f>
        <v>0</v>
      </c>
      <c r="CA286" s="28">
        <f>IF(CA284=1,IF(INDEX('Lease Cycles'!$EF$24:$EL$24,1,CA282)=1,'Lease Cycles'!$C$24*INDEX('Lease Cycles'!$ET$24:$EZ$24,1,CA282)*(1+'Lease Cycles'!$V$24)^INT(INT(CA283/12)/'Lease Cycles'!$W$24)/12,0),0)</f>
        <v>0</v>
      </c>
      <c r="CB286" s="28">
        <f>IF(CB284=1,IF(INDEX('Lease Cycles'!$EF$24:$EL$24,1,CB282)=1,'Lease Cycles'!$C$24*INDEX('Lease Cycles'!$ET$24:$EZ$24,1,CB282)*(1+'Lease Cycles'!$V$24)^INT(INT(CB283/12)/'Lease Cycles'!$W$24)/12,0),0)</f>
        <v>0</v>
      </c>
      <c r="CC286" s="28">
        <f>IF(CC284=1,IF(INDEX('Lease Cycles'!$EF$24:$EL$24,1,CC282)=1,'Lease Cycles'!$C$24*INDEX('Lease Cycles'!$ET$24:$EZ$24,1,CC282)*(1+'Lease Cycles'!$V$24)^INT(INT(CC283/12)/'Lease Cycles'!$W$24)/12,0),0)</f>
        <v>0</v>
      </c>
      <c r="CD286" s="28">
        <f>IF(CD284=1,IF(INDEX('Lease Cycles'!$EF$24:$EL$24,1,CD282)=1,'Lease Cycles'!$C$24*INDEX('Lease Cycles'!$ET$24:$EZ$24,1,CD282)*(1+'Lease Cycles'!$V$24)^INT(INT(CD283/12)/'Lease Cycles'!$W$24)/12,0),0)</f>
        <v>0</v>
      </c>
      <c r="CE286" s="28">
        <f>IF(CE284=1,IF(INDEX('Lease Cycles'!$EF$24:$EL$24,1,CE282)=1,'Lease Cycles'!$C$24*INDEX('Lease Cycles'!$ET$24:$EZ$24,1,CE282)*(1+'Lease Cycles'!$V$24)^INT(INT(CE283/12)/'Lease Cycles'!$W$24)/12,0),0)</f>
        <v>0</v>
      </c>
      <c r="CF286" s="28">
        <f>IF(CF284=1,IF(INDEX('Lease Cycles'!$EF$24:$EL$24,1,CF282)=1,'Lease Cycles'!$C$24*INDEX('Lease Cycles'!$ET$24:$EZ$24,1,CF282)*(1+'Lease Cycles'!$V$24)^INT(INT(CF283/12)/'Lease Cycles'!$W$24)/12,0),0)</f>
        <v>0</v>
      </c>
      <c r="CG286" s="28">
        <f>IF(CG284=1,IF(INDEX('Lease Cycles'!$EF$24:$EL$24,1,CG282)=1,'Lease Cycles'!$C$24*INDEX('Lease Cycles'!$ET$24:$EZ$24,1,CG282)*(1+'Lease Cycles'!$V$24)^INT(INT(CG283/12)/'Lease Cycles'!$W$24)/12,0),0)</f>
        <v>0</v>
      </c>
      <c r="CH286" s="28">
        <f>IF(CH284=1,IF(INDEX('Lease Cycles'!$EF$24:$EL$24,1,CH282)=1,'Lease Cycles'!$C$24*INDEX('Lease Cycles'!$ET$24:$EZ$24,1,CH282)*(1+'Lease Cycles'!$V$24)^INT(INT(CH283/12)/'Lease Cycles'!$W$24)/12,0),0)</f>
        <v>0</v>
      </c>
      <c r="CI286" s="28">
        <f>IF(CI284=1,IF(INDEX('Lease Cycles'!$EF$24:$EL$24,1,CI282)=1,'Lease Cycles'!$C$24*INDEX('Lease Cycles'!$ET$24:$EZ$24,1,CI282)*(1+'Lease Cycles'!$V$24)^INT(INT(CI283/12)/'Lease Cycles'!$W$24)/12,0),0)</f>
        <v>0</v>
      </c>
      <c r="CJ286" s="28">
        <f>IF(CJ284=1,IF(INDEX('Lease Cycles'!$EF$24:$EL$24,1,CJ282)=1,'Lease Cycles'!$C$24*INDEX('Lease Cycles'!$ET$24:$EZ$24,1,CJ282)*(1+'Lease Cycles'!$V$24)^INT(INT(CJ283/12)/'Lease Cycles'!$W$24)/12,0),0)</f>
        <v>0</v>
      </c>
      <c r="CK286" s="28">
        <f>IF(CK284=1,IF(INDEX('Lease Cycles'!$EF$24:$EL$24,1,CK282)=1,'Lease Cycles'!$C$24*INDEX('Lease Cycles'!$ET$24:$EZ$24,1,CK282)*(1+'Lease Cycles'!$V$24)^INT(INT(CK283/12)/'Lease Cycles'!$W$24)/12,0),0)</f>
        <v>0</v>
      </c>
      <c r="CL286" s="28">
        <f>IF(CL284=1,IF(INDEX('Lease Cycles'!$EF$24:$EL$24,1,CL282)=1,'Lease Cycles'!$C$24*INDEX('Lease Cycles'!$ET$24:$EZ$24,1,CL282)*(1+'Lease Cycles'!$V$24)^INT(INT(CL283/12)/'Lease Cycles'!$W$24)/12,0),0)</f>
        <v>0</v>
      </c>
      <c r="CM286" s="28">
        <f>IF(CM284=1,IF(INDEX('Lease Cycles'!$EF$24:$EL$24,1,CM282)=1,'Lease Cycles'!$C$24*INDEX('Lease Cycles'!$ET$24:$EZ$24,1,CM282)*(1+'Lease Cycles'!$V$24)^INT(INT(CM283/12)/'Lease Cycles'!$W$24)/12,0),0)</f>
        <v>0</v>
      </c>
      <c r="CN286" s="28">
        <f>IF(CN284=1,IF(INDEX('Lease Cycles'!$EF$24:$EL$24,1,CN282)=1,'Lease Cycles'!$C$24*INDEX('Lease Cycles'!$ET$24:$EZ$24,1,CN282)*(1+'Lease Cycles'!$V$24)^INT(INT(CN283/12)/'Lease Cycles'!$W$24)/12,0),0)</f>
        <v>0</v>
      </c>
      <c r="CO286" s="28">
        <f>IF(CO284=1,IF(INDEX('Lease Cycles'!$EF$24:$EL$24,1,CO282)=1,'Lease Cycles'!$C$24*INDEX('Lease Cycles'!$ET$24:$EZ$24,1,CO282)*(1+'Lease Cycles'!$V$24)^INT(INT(CO283/12)/'Lease Cycles'!$W$24)/12,0),0)</f>
        <v>0</v>
      </c>
      <c r="CP286" s="28">
        <f>IF(CP284=1,IF(INDEX('Lease Cycles'!$EF$24:$EL$24,1,CP282)=1,'Lease Cycles'!$C$24*INDEX('Lease Cycles'!$ET$24:$EZ$24,1,CP282)*(1+'Lease Cycles'!$V$24)^INT(INT(CP283/12)/'Lease Cycles'!$W$24)/12,0),0)</f>
        <v>0</v>
      </c>
      <c r="CQ286" s="28">
        <f>IF(CQ284=1,IF(INDEX('Lease Cycles'!$EF$24:$EL$24,1,CQ282)=1,'Lease Cycles'!$C$24*INDEX('Lease Cycles'!$ET$24:$EZ$24,1,CQ282)*(1+'Lease Cycles'!$V$24)^INT(INT(CQ283/12)/'Lease Cycles'!$W$24)/12,0),0)</f>
        <v>0</v>
      </c>
      <c r="CR286" s="28">
        <f>IF(CR284=1,IF(INDEX('Lease Cycles'!$EF$24:$EL$24,1,CR282)=1,'Lease Cycles'!$C$24*INDEX('Lease Cycles'!$ET$24:$EZ$24,1,CR282)*(1+'Lease Cycles'!$V$24)^INT(INT(CR283/12)/'Lease Cycles'!$W$24)/12,0),0)</f>
        <v>0</v>
      </c>
      <c r="CS286" s="28">
        <f>IF(CS284=1,IF(INDEX('Lease Cycles'!$EF$24:$EL$24,1,CS282)=1,'Lease Cycles'!$C$24*INDEX('Lease Cycles'!$ET$24:$EZ$24,1,CS282)*(1+'Lease Cycles'!$V$24)^INT(INT(CS283/12)/'Lease Cycles'!$W$24)/12,0),0)</f>
        <v>0</v>
      </c>
      <c r="CT286" s="28">
        <f>IF(CT284=1,IF(INDEX('Lease Cycles'!$EF$24:$EL$24,1,CT282)=1,'Lease Cycles'!$C$24*INDEX('Lease Cycles'!$ET$24:$EZ$24,1,CT282)*(1+'Lease Cycles'!$V$24)^INT(INT(CT283/12)/'Lease Cycles'!$W$24)/12,0),0)</f>
        <v>0</v>
      </c>
      <c r="CU286" s="28">
        <f>IF(CU284=1,IF(INDEX('Lease Cycles'!$EF$24:$EL$24,1,CU282)=1,'Lease Cycles'!$C$24*INDEX('Lease Cycles'!$ET$24:$EZ$24,1,CU282)*(1+'Lease Cycles'!$V$24)^INT(INT(CU283/12)/'Lease Cycles'!$W$24)/12,0),0)</f>
        <v>0</v>
      </c>
      <c r="CV286" s="28">
        <f>IF(CV284=1,IF(INDEX('Lease Cycles'!$EF$24:$EL$24,1,CV282)=1,'Lease Cycles'!$C$24*INDEX('Lease Cycles'!$ET$24:$EZ$24,1,CV282)*(1+'Lease Cycles'!$V$24)^INT(INT(CV283/12)/'Lease Cycles'!$W$24)/12,0),0)</f>
        <v>0</v>
      </c>
      <c r="CW286" s="28">
        <f>IF(CW284=1,IF(INDEX('Lease Cycles'!$EF$24:$EL$24,1,CW282)=1,'Lease Cycles'!$C$24*INDEX('Lease Cycles'!$ET$24:$EZ$24,1,CW282)*(1+'Lease Cycles'!$V$24)^INT(INT(CW283/12)/'Lease Cycles'!$W$24)/12,0),0)</f>
        <v>0</v>
      </c>
      <c r="CX286" s="28">
        <f>IF(CX284=1,IF(INDEX('Lease Cycles'!$EF$24:$EL$24,1,CX282)=1,'Lease Cycles'!$C$24*INDEX('Lease Cycles'!$ET$24:$EZ$24,1,CX282)*(1+'Lease Cycles'!$V$24)^INT(INT(CX283/12)/'Lease Cycles'!$W$24)/12,0),0)</f>
        <v>0</v>
      </c>
      <c r="CY286" s="28">
        <f>IF(CY284=1,IF(INDEX('Lease Cycles'!$EF$24:$EL$24,1,CY282)=1,'Lease Cycles'!$C$24*INDEX('Lease Cycles'!$ET$24:$EZ$24,1,CY282)*(1+'Lease Cycles'!$V$24)^INT(INT(CY283/12)/'Lease Cycles'!$W$24)/12,0),0)</f>
        <v>0</v>
      </c>
      <c r="CZ286" s="28">
        <f>IF(CZ284=1,IF(INDEX('Lease Cycles'!$EF$24:$EL$24,1,CZ282)=1,'Lease Cycles'!$C$24*INDEX('Lease Cycles'!$ET$24:$EZ$24,1,CZ282)*(1+'Lease Cycles'!$V$24)^INT(INT(CZ283/12)/'Lease Cycles'!$W$24)/12,0),0)</f>
        <v>0</v>
      </c>
      <c r="DA286" s="28">
        <f>IF(DA284=1,IF(INDEX('Lease Cycles'!$EF$24:$EL$24,1,DA282)=1,'Lease Cycles'!$C$24*INDEX('Lease Cycles'!$ET$24:$EZ$24,1,DA282)*(1+'Lease Cycles'!$V$24)^INT(INT(DA283/12)/'Lease Cycles'!$W$24)/12,0),0)</f>
        <v>0</v>
      </c>
      <c r="DB286" s="28">
        <f>IF(DB284=1,IF(INDEX('Lease Cycles'!$EF$24:$EL$24,1,DB282)=1,'Lease Cycles'!$C$24*INDEX('Lease Cycles'!$ET$24:$EZ$24,1,DB282)*(1+'Lease Cycles'!$V$24)^INT(INT(DB283/12)/'Lease Cycles'!$W$24)/12,0),0)</f>
        <v>0</v>
      </c>
      <c r="DC286" s="28">
        <f>IF(DC284=1,IF(INDEX('Lease Cycles'!$EF$24:$EL$24,1,DC282)=1,'Lease Cycles'!$C$24*INDEX('Lease Cycles'!$ET$24:$EZ$24,1,DC282)*(1+'Lease Cycles'!$V$24)^INT(INT(DC283/12)/'Lease Cycles'!$W$24)/12,0),0)</f>
        <v>0</v>
      </c>
      <c r="DD286" s="28">
        <f>IF(DD284=1,IF(INDEX('Lease Cycles'!$EF$24:$EL$24,1,DD282)=1,'Lease Cycles'!$C$24*INDEX('Lease Cycles'!$ET$24:$EZ$24,1,DD282)*(1+'Lease Cycles'!$V$24)^INT(INT(DD283/12)/'Lease Cycles'!$W$24)/12,0),0)</f>
        <v>0</v>
      </c>
      <c r="DE286" s="28">
        <f>IF(DE284=1,IF(INDEX('Lease Cycles'!$EF$24:$EL$24,1,DE282)=1,'Lease Cycles'!$C$24*INDEX('Lease Cycles'!$ET$24:$EZ$24,1,DE282)*(1+'Lease Cycles'!$V$24)^INT(INT(DE283/12)/'Lease Cycles'!$W$24)/12,0),0)</f>
        <v>0</v>
      </c>
      <c r="DF286" s="28">
        <f>IF(DF284=1,IF(INDEX('Lease Cycles'!$EF$24:$EL$24,1,DF282)=1,'Lease Cycles'!$C$24*INDEX('Lease Cycles'!$ET$24:$EZ$24,1,DF282)*(1+'Lease Cycles'!$V$24)^INT(INT(DF283/12)/'Lease Cycles'!$W$24)/12,0),0)</f>
        <v>0</v>
      </c>
      <c r="DG286" s="28">
        <f>IF(DG284=1,IF(INDEX('Lease Cycles'!$EF$24:$EL$24,1,DG282)=1,'Lease Cycles'!$C$24*INDEX('Lease Cycles'!$ET$24:$EZ$24,1,DG282)*(1+'Lease Cycles'!$V$24)^INT(INT(DG283/12)/'Lease Cycles'!$W$24)/12,0),0)</f>
        <v>0</v>
      </c>
      <c r="DH286" s="28">
        <f>IF(DH284=1,IF(INDEX('Lease Cycles'!$EF$24:$EL$24,1,DH282)=1,'Lease Cycles'!$C$24*INDEX('Lease Cycles'!$ET$24:$EZ$24,1,DH282)*(1+'Lease Cycles'!$V$24)^INT(INT(DH283/12)/'Lease Cycles'!$W$24)/12,0),0)</f>
        <v>0</v>
      </c>
      <c r="DI286" s="28">
        <f>IF(DI284=1,IF(INDEX('Lease Cycles'!$EF$24:$EL$24,1,DI282)=1,'Lease Cycles'!$C$24*INDEX('Lease Cycles'!$ET$24:$EZ$24,1,DI282)*(1+'Lease Cycles'!$V$24)^INT(INT(DI283/12)/'Lease Cycles'!$W$24)/12,0),0)</f>
        <v>0</v>
      </c>
      <c r="DJ286" s="28">
        <f>IF(DJ284=1,IF(INDEX('Lease Cycles'!$EF$24:$EL$24,1,DJ282)=1,'Lease Cycles'!$C$24*INDEX('Lease Cycles'!$ET$24:$EZ$24,1,DJ282)*(1+'Lease Cycles'!$V$24)^INT(INT(DJ283/12)/'Lease Cycles'!$W$24)/12,0),0)</f>
        <v>0</v>
      </c>
      <c r="DK286" s="28">
        <f>IF(DK284=1,IF(INDEX('Lease Cycles'!$EF$24:$EL$24,1,DK282)=1,'Lease Cycles'!$C$24*INDEX('Lease Cycles'!$ET$24:$EZ$24,1,DK282)*(1+'Lease Cycles'!$V$24)^INT(INT(DK283/12)/'Lease Cycles'!$W$24)/12,0),0)</f>
        <v>0</v>
      </c>
      <c r="DL286" s="28">
        <f>IF(DL284=1,IF(INDEX('Lease Cycles'!$EF$24:$EL$24,1,DL282)=1,'Lease Cycles'!$C$24*INDEX('Lease Cycles'!$ET$24:$EZ$24,1,DL282)*(1+'Lease Cycles'!$V$24)^INT(INT(DL283/12)/'Lease Cycles'!$W$24)/12,0),0)</f>
        <v>0</v>
      </c>
      <c r="DM286" s="28">
        <f>IF(DM284=1,IF(INDEX('Lease Cycles'!$EF$24:$EL$24,1,DM282)=1,'Lease Cycles'!$C$24*INDEX('Lease Cycles'!$ET$24:$EZ$24,1,DM282)*(1+'Lease Cycles'!$V$24)^INT(INT(DM283/12)/'Lease Cycles'!$W$24)/12,0),0)</f>
        <v>0</v>
      </c>
      <c r="DN286" s="28">
        <f>IF(DN284=1,IF(INDEX('Lease Cycles'!$EF$24:$EL$24,1,DN282)=1,'Lease Cycles'!$C$24*INDEX('Lease Cycles'!$ET$24:$EZ$24,1,DN282)*(1+'Lease Cycles'!$V$24)^INT(INT(DN283/12)/'Lease Cycles'!$W$24)/12,0),0)</f>
        <v>0</v>
      </c>
      <c r="DO286" s="28">
        <f>IF(DO284=1,IF(INDEX('Lease Cycles'!$EF$24:$EL$24,1,DO282)=1,'Lease Cycles'!$C$24*INDEX('Lease Cycles'!$ET$24:$EZ$24,1,DO282)*(1+'Lease Cycles'!$V$24)^INT(INT(DO283/12)/'Lease Cycles'!$W$24)/12,0),0)</f>
        <v>0</v>
      </c>
      <c r="DP286" s="28">
        <f>IF(DP284=1,IF(INDEX('Lease Cycles'!$EF$24:$EL$24,1,DP282)=1,'Lease Cycles'!$C$24*INDEX('Lease Cycles'!$ET$24:$EZ$24,1,DP282)*(1+'Lease Cycles'!$V$24)^INT(INT(DP283/12)/'Lease Cycles'!$W$24)/12,0),0)</f>
        <v>0</v>
      </c>
      <c r="DQ286" s="28">
        <f>IF(DQ284=1,IF(INDEX('Lease Cycles'!$EF$24:$EL$24,1,DQ282)=1,'Lease Cycles'!$C$24*INDEX('Lease Cycles'!$ET$24:$EZ$24,1,DQ282)*(1+'Lease Cycles'!$V$24)^INT(INT(DQ283/12)/'Lease Cycles'!$W$24)/12,0),0)</f>
        <v>0</v>
      </c>
      <c r="DR286" s="28">
        <f>IF(DR284=1,IF(INDEX('Lease Cycles'!$EF$24:$EL$24,1,DR282)=1,'Lease Cycles'!$C$24*INDEX('Lease Cycles'!$ET$24:$EZ$24,1,DR282)*(1+'Lease Cycles'!$V$24)^INT(INT(DR283/12)/'Lease Cycles'!$W$24)/12,0),0)</f>
        <v>0</v>
      </c>
      <c r="DS286" s="28">
        <f>IF(DS284=1,IF(INDEX('Lease Cycles'!$EF$24:$EL$24,1,DS282)=1,'Lease Cycles'!$C$24*INDEX('Lease Cycles'!$ET$24:$EZ$24,1,DS282)*(1+'Lease Cycles'!$V$24)^INT(INT(DS283/12)/'Lease Cycles'!$W$24)/12,0),0)</f>
        <v>0</v>
      </c>
      <c r="DT286" s="28">
        <f>IF(DT284=1,IF(INDEX('Lease Cycles'!$EF$24:$EL$24,1,DT282)=1,'Lease Cycles'!$C$24*INDEX('Lease Cycles'!$ET$24:$EZ$24,1,DT282)*(1+'Lease Cycles'!$V$24)^INT(INT(DT283/12)/'Lease Cycles'!$W$24)/12,0),0)</f>
        <v>0</v>
      </c>
      <c r="DU286" s="28">
        <f>IF(DU284=1,IF(INDEX('Lease Cycles'!$EF$24:$EL$24,1,DU282)=1,'Lease Cycles'!$C$24*INDEX('Lease Cycles'!$ET$24:$EZ$24,1,DU282)*(1+'Lease Cycles'!$V$24)^INT(INT(DU283/12)/'Lease Cycles'!$W$24)/12,0),0)</f>
        <v>0</v>
      </c>
      <c r="DV286" s="28">
        <f>IF(DV284=1,IF(INDEX('Lease Cycles'!$EF$24:$EL$24,1,DV282)=1,'Lease Cycles'!$C$24*INDEX('Lease Cycles'!$ET$24:$EZ$24,1,DV282)*(1+'Lease Cycles'!$V$24)^INT(INT(DV283/12)/'Lease Cycles'!$W$24)/12,0),0)</f>
        <v>0</v>
      </c>
      <c r="DW286" s="28">
        <f>IF(DW284=1,IF(INDEX('Lease Cycles'!$EF$24:$EL$24,1,DW282)=1,'Lease Cycles'!$C$24*INDEX('Lease Cycles'!$ET$24:$EZ$24,1,DW282)*(1+'Lease Cycles'!$V$24)^INT(INT(DW283/12)/'Lease Cycles'!$W$24)/12,0),0)</f>
        <v>0</v>
      </c>
      <c r="DX286" s="28">
        <f>IF(DX284=1,IF(INDEX('Lease Cycles'!$EF$24:$EL$24,1,DX282)=1,'Lease Cycles'!$C$24*INDEX('Lease Cycles'!$ET$24:$EZ$24,1,DX282)*(1+'Lease Cycles'!$V$24)^INT(INT(DX283/12)/'Lease Cycles'!$W$24)/12,0),0)</f>
        <v>0</v>
      </c>
      <c r="DY286" s="28">
        <f>IF(DY284=1,IF(INDEX('Lease Cycles'!$EF$24:$EL$24,1,DY282)=1,'Lease Cycles'!$C$24*INDEX('Lease Cycles'!$ET$24:$EZ$24,1,DY282)*(1+'Lease Cycles'!$V$24)^INT(INT(DY283/12)/'Lease Cycles'!$W$24)/12,0),0)</f>
        <v>0</v>
      </c>
      <c r="DZ286" s="28">
        <f>IF(DZ284=1,IF(INDEX('Lease Cycles'!$EF$24:$EL$24,1,DZ282)=1,'Lease Cycles'!$C$24*INDEX('Lease Cycles'!$ET$24:$EZ$24,1,DZ282)*(1+'Lease Cycles'!$V$24)^INT(INT(DZ283/12)/'Lease Cycles'!$W$24)/12,0),0)</f>
        <v>0</v>
      </c>
      <c r="EA286" s="28">
        <f>IF(EA284=1,IF(INDEX('Lease Cycles'!$EF$24:$EL$24,1,EA282)=1,'Lease Cycles'!$C$24*INDEX('Lease Cycles'!$ET$24:$EZ$24,1,EA282)*(1+'Lease Cycles'!$V$24)^INT(INT(EA283/12)/'Lease Cycles'!$W$24)/12,0),0)</f>
        <v>0</v>
      </c>
      <c r="EB286" s="28">
        <f>IF(EB284=1,IF(INDEX('Lease Cycles'!$EF$24:$EL$24,1,EB282)=1,'Lease Cycles'!$C$24*INDEX('Lease Cycles'!$ET$24:$EZ$24,1,EB282)*(1+'Lease Cycles'!$V$24)^INT(INT(EB283/12)/'Lease Cycles'!$W$24)/12,0),0)</f>
        <v>0</v>
      </c>
      <c r="EC286" s="28">
        <f>IF(EC284=1,IF(INDEX('Lease Cycles'!$EF$24:$EL$24,1,EC282)=1,'Lease Cycles'!$C$24*INDEX('Lease Cycles'!$ET$24:$EZ$24,1,EC282)*(1+'Lease Cycles'!$V$24)^INT(INT(EC283/12)/'Lease Cycles'!$W$24)/12,0),0)</f>
        <v>0</v>
      </c>
      <c r="ED286" s="28">
        <f>IF(ED284=1,IF(INDEX('Lease Cycles'!$EF$24:$EL$24,1,ED282)=1,'Lease Cycles'!$C$24*INDEX('Lease Cycles'!$ET$24:$EZ$24,1,ED282)*(1+'Lease Cycles'!$V$24)^INT(INT(ED283/12)/'Lease Cycles'!$W$24)/12,0),0)</f>
        <v>0</v>
      </c>
      <c r="EE286" s="28">
        <f>IF(EE284=1,IF(INDEX('Lease Cycles'!$EF$24:$EL$24,1,EE282)=1,'Lease Cycles'!$C$24*INDEX('Lease Cycles'!$ET$24:$EZ$24,1,EE282)*(1+'Lease Cycles'!$V$24)^INT(INT(EE283/12)/'Lease Cycles'!$W$24)/12,0),0)</f>
        <v>0</v>
      </c>
      <c r="EF286" s="28">
        <f>IF(EF284=1,IF(INDEX('Lease Cycles'!$EF$24:$EL$24,1,EF282)=1,'Lease Cycles'!$C$24*INDEX('Lease Cycles'!$ET$24:$EZ$24,1,EF282)*(1+'Lease Cycles'!$V$24)^INT(INT(EF283/12)/'Lease Cycles'!$W$24)/12,0),0)</f>
        <v>0</v>
      </c>
      <c r="EG286" s="28">
        <f>IF(EG284=1,IF(INDEX('Lease Cycles'!$EF$24:$EL$24,1,EG282)=1,'Lease Cycles'!$C$24*INDEX('Lease Cycles'!$ET$24:$EZ$24,1,EG282)*(1+'Lease Cycles'!$V$24)^INT(INT(EG283/12)/'Lease Cycles'!$W$24)/12,0),0)</f>
        <v>0</v>
      </c>
      <c r="EH286" s="28">
        <f>IF(EH284=1,IF(INDEX('Lease Cycles'!$EF$24:$EL$24,1,EH282)=1,'Lease Cycles'!$C$24*INDEX('Lease Cycles'!$ET$24:$EZ$24,1,EH282)*(1+'Lease Cycles'!$V$24)^INT(INT(EH283/12)/'Lease Cycles'!$W$24)/12,0),0)</f>
        <v>0</v>
      </c>
      <c r="EI286" s="28">
        <f>IF(EI284=1,IF(INDEX('Lease Cycles'!$EF$24:$EL$24,1,EI282)=1,'Lease Cycles'!$C$24*INDEX('Lease Cycles'!$ET$24:$EZ$24,1,EI282)*(1+'Lease Cycles'!$V$24)^INT(INT(EI283/12)/'Lease Cycles'!$W$24)/12,0),0)</f>
        <v>0</v>
      </c>
      <c r="EJ286" s="28">
        <f>IF(EJ284=1,IF(INDEX('Lease Cycles'!$EF$24:$EL$24,1,EJ282)=1,'Lease Cycles'!$C$24*INDEX('Lease Cycles'!$ET$24:$EZ$24,1,EJ282)*(1+'Lease Cycles'!$V$24)^INT(INT(EJ283/12)/'Lease Cycles'!$W$24)/12,0),0)</f>
        <v>0</v>
      </c>
      <c r="EK286" s="28">
        <f>IF(EK284=1,IF(INDEX('Lease Cycles'!$EF$24:$EL$24,1,EK282)=1,'Lease Cycles'!$C$24*INDEX('Lease Cycles'!$ET$24:$EZ$24,1,EK282)*(1+'Lease Cycles'!$V$24)^INT(INT(EK283/12)/'Lease Cycles'!$W$24)/12,0),0)</f>
        <v>0</v>
      </c>
      <c r="EL286" s="28">
        <f>IF(EL284=1,IF(INDEX('Lease Cycles'!$EF$24:$EL$24,1,EL282)=1,'Lease Cycles'!$C$24*INDEX('Lease Cycles'!$ET$24:$EZ$24,1,EL282)*(1+'Lease Cycles'!$V$24)^INT(INT(EL283/12)/'Lease Cycles'!$W$24)/12,0),0)</f>
        <v>0</v>
      </c>
      <c r="EM286" s="28">
        <f>IF(EM284=1,IF(INDEX('Lease Cycles'!$EF$24:$EL$24,1,EM282)=1,'Lease Cycles'!$C$24*INDEX('Lease Cycles'!$ET$24:$EZ$24,1,EM282)*(1+'Lease Cycles'!$V$24)^INT(INT(EM283/12)/'Lease Cycles'!$W$24)/12,0),0)</f>
        <v>0</v>
      </c>
      <c r="EN286" s="28">
        <f>IF(EN284=1,IF(INDEX('Lease Cycles'!$EF$24:$EL$24,1,EN282)=1,'Lease Cycles'!$C$24*INDEX('Lease Cycles'!$ET$24:$EZ$24,1,EN282)*(1+'Lease Cycles'!$V$24)^INT(INT(EN283/12)/'Lease Cycles'!$W$24)/12,0),0)</f>
        <v>0</v>
      </c>
      <c r="EO286" s="28">
        <f>IF(EO284=1,IF(INDEX('Lease Cycles'!$EF$24:$EL$24,1,EO282)=1,'Lease Cycles'!$C$24*INDEX('Lease Cycles'!$ET$24:$EZ$24,1,EO282)*(1+'Lease Cycles'!$V$24)^INT(INT(EO283/12)/'Lease Cycles'!$W$24)/12,0),0)</f>
        <v>0</v>
      </c>
      <c r="EP286" s="28">
        <f>IF(EP284=1,IF(INDEX('Lease Cycles'!$EF$24:$EL$24,1,EP282)=1,'Lease Cycles'!$C$24*INDEX('Lease Cycles'!$ET$24:$EZ$24,1,EP282)*(1+'Lease Cycles'!$V$24)^INT(INT(EP283/12)/'Lease Cycles'!$W$24)/12,0),0)</f>
        <v>0</v>
      </c>
      <c r="EQ286" s="28">
        <f>IF(EQ284=1,IF(INDEX('Lease Cycles'!$EF$24:$EL$24,1,EQ282)=1,'Lease Cycles'!$C$24*INDEX('Lease Cycles'!$ET$24:$EZ$24,1,EQ282)*(1+'Lease Cycles'!$V$24)^INT(INT(EQ283/12)/'Lease Cycles'!$W$24)/12,0),0)</f>
        <v>0</v>
      </c>
      <c r="ER286" s="28">
        <f>IF(ER284=1,IF(INDEX('Lease Cycles'!$EF$24:$EL$24,1,ER282)=1,'Lease Cycles'!$C$24*INDEX('Lease Cycles'!$ET$24:$EZ$24,1,ER282)*(1+'Lease Cycles'!$V$24)^INT(INT(ER283/12)/'Lease Cycles'!$W$24)/12,0),0)</f>
        <v>0</v>
      </c>
      <c r="ES286" s="28">
        <f>IF(ES284=1,IF(INDEX('Lease Cycles'!$EF$24:$EL$24,1,ES282)=1,'Lease Cycles'!$C$24*INDEX('Lease Cycles'!$ET$24:$EZ$24,1,ES282)*(1+'Lease Cycles'!$V$24)^INT(INT(ES283/12)/'Lease Cycles'!$W$24)/12,0),0)</f>
        <v>0</v>
      </c>
      <c r="ET286" s="28">
        <f>IF(ET284=1,IF(INDEX('Lease Cycles'!$EF$24:$EL$24,1,ET282)=1,'Lease Cycles'!$C$24*INDEX('Lease Cycles'!$ET$24:$EZ$24,1,ET282)*(1+'Lease Cycles'!$V$24)^INT(INT(ET283/12)/'Lease Cycles'!$W$24)/12,0),0)</f>
        <v>0</v>
      </c>
    </row>
    <row r="287">
      <c r="A287" s="103">
        <v>17</v>
      </c>
      <c r="B287" s="23" t="str">
        <f>IF('Lease Cycles'!$B$24="","(empty slot)",'Lease Cycles'!$B$24)</f>
        <v>(empty slot)</v>
      </c>
      <c r="C287" s="23" t="s">
        <v>681</v>
      </c>
      <c r="D287" s="104" t="s">
        <v>490</v>
      </c>
      <c r="E287" s="25">
        <f>'Lease Cycles'!$AL$24</f>
        <v>0</v>
      </c>
      <c r="G287" s="28">
        <f>SUM(S287:AD287)</f>
        <v>0</v>
      </c>
      <c r="H287" s="28">
        <f>SUM(AE287:AP287)</f>
        <v>0</v>
      </c>
      <c r="I287" s="28">
        <f>SUM(AQ287:BB287)</f>
        <v>0</v>
      </c>
      <c r="J287" s="28">
        <f>SUM(BC287:BN287)</f>
        <v>0</v>
      </c>
      <c r="K287" s="28">
        <f>SUM(BO287:BZ287)</f>
        <v>0</v>
      </c>
      <c r="L287" s="28">
        <f>SUM(CA287:CL287)</f>
        <v>0</v>
      </c>
      <c r="M287" s="28">
        <f>SUM(CM287:CX287)</f>
        <v>0</v>
      </c>
      <c r="N287" s="28">
        <f>SUM(CY287:DJ287)</f>
        <v>0</v>
      </c>
      <c r="O287" s="28">
        <f>SUM(DK287:DV287)</f>
        <v>0</v>
      </c>
      <c r="P287" s="28">
        <f>SUM(DW287:EH287)</f>
        <v>0</v>
      </c>
      <c r="Q287" s="28">
        <f>SUM(EI287:ET287)</f>
        <v>0</v>
      </c>
      <c r="S287" s="28">
        <f>IF(S284=1,IF(INDEX('Lease Cycles'!$EF$24:$EL$24,1,S282)=1,S285*INDEX('Lease Cycles'!$EM$24:$ES$24,1,S282)+S286*(1-INDEX('Lease Cycles'!$EM$24:$ES$24,1,S282)),S285),S285)</f>
        <v>0</v>
      </c>
      <c r="T287" s="28">
        <f>IF(T284=1,IF(INDEX('Lease Cycles'!$EF$24:$EL$24,1,T282)=1,T285*INDEX('Lease Cycles'!$EM$24:$ES$24,1,T282)+T286*(1-INDEX('Lease Cycles'!$EM$24:$ES$24,1,T282)),T285),T285)</f>
        <v>0</v>
      </c>
      <c r="U287" s="28">
        <f>IF(U284=1,IF(INDEX('Lease Cycles'!$EF$24:$EL$24,1,U282)=1,U285*INDEX('Lease Cycles'!$EM$24:$ES$24,1,U282)+U286*(1-INDEX('Lease Cycles'!$EM$24:$ES$24,1,U282)),U285),U285)</f>
        <v>0</v>
      </c>
      <c r="V287" s="28">
        <f>IF(V284=1,IF(INDEX('Lease Cycles'!$EF$24:$EL$24,1,V282)=1,V285*INDEX('Lease Cycles'!$EM$24:$ES$24,1,V282)+V286*(1-INDEX('Lease Cycles'!$EM$24:$ES$24,1,V282)),V285),V285)</f>
        <v>0</v>
      </c>
      <c r="W287" s="28">
        <f>IF(W284=1,IF(INDEX('Lease Cycles'!$EF$24:$EL$24,1,W282)=1,W285*INDEX('Lease Cycles'!$EM$24:$ES$24,1,W282)+W286*(1-INDEX('Lease Cycles'!$EM$24:$ES$24,1,W282)),W285),W285)</f>
        <v>0</v>
      </c>
      <c r="X287" s="28">
        <f>IF(X284=1,IF(INDEX('Lease Cycles'!$EF$24:$EL$24,1,X282)=1,X285*INDEX('Lease Cycles'!$EM$24:$ES$24,1,X282)+X286*(1-INDEX('Lease Cycles'!$EM$24:$ES$24,1,X282)),X285),X285)</f>
        <v>0</v>
      </c>
      <c r="Y287" s="28">
        <f>IF(Y284=1,IF(INDEX('Lease Cycles'!$EF$24:$EL$24,1,Y282)=1,Y285*INDEX('Lease Cycles'!$EM$24:$ES$24,1,Y282)+Y286*(1-INDEX('Lease Cycles'!$EM$24:$ES$24,1,Y282)),Y285),Y285)</f>
        <v>0</v>
      </c>
      <c r="Z287" s="28">
        <f>IF(Z284=1,IF(INDEX('Lease Cycles'!$EF$24:$EL$24,1,Z282)=1,Z285*INDEX('Lease Cycles'!$EM$24:$ES$24,1,Z282)+Z286*(1-INDEX('Lease Cycles'!$EM$24:$ES$24,1,Z282)),Z285),Z285)</f>
        <v>0</v>
      </c>
      <c r="AA287" s="28">
        <f>IF(AA284=1,IF(INDEX('Lease Cycles'!$EF$24:$EL$24,1,AA282)=1,AA285*INDEX('Lease Cycles'!$EM$24:$ES$24,1,AA282)+AA286*(1-INDEX('Lease Cycles'!$EM$24:$ES$24,1,AA282)),AA285),AA285)</f>
        <v>0</v>
      </c>
      <c r="AB287" s="28">
        <f>IF(AB284=1,IF(INDEX('Lease Cycles'!$EF$24:$EL$24,1,AB282)=1,AB285*INDEX('Lease Cycles'!$EM$24:$ES$24,1,AB282)+AB286*(1-INDEX('Lease Cycles'!$EM$24:$ES$24,1,AB282)),AB285),AB285)</f>
        <v>0</v>
      </c>
      <c r="AC287" s="28">
        <f>IF(AC284=1,IF(INDEX('Lease Cycles'!$EF$24:$EL$24,1,AC282)=1,AC285*INDEX('Lease Cycles'!$EM$24:$ES$24,1,AC282)+AC286*(1-INDEX('Lease Cycles'!$EM$24:$ES$24,1,AC282)),AC285),AC285)</f>
        <v>0</v>
      </c>
      <c r="AD287" s="28">
        <f>IF(AD284=1,IF(INDEX('Lease Cycles'!$EF$24:$EL$24,1,AD282)=1,AD285*INDEX('Lease Cycles'!$EM$24:$ES$24,1,AD282)+AD286*(1-INDEX('Lease Cycles'!$EM$24:$ES$24,1,AD282)),AD285),AD285)</f>
        <v>0</v>
      </c>
      <c r="AE287" s="28">
        <f>IF(AE284=1,IF(INDEX('Lease Cycles'!$EF$24:$EL$24,1,AE282)=1,AE285*INDEX('Lease Cycles'!$EM$24:$ES$24,1,AE282)+AE286*(1-INDEX('Lease Cycles'!$EM$24:$ES$24,1,AE282)),AE285),AE285)</f>
        <v>0</v>
      </c>
      <c r="AF287" s="28">
        <f>IF(AF284=1,IF(INDEX('Lease Cycles'!$EF$24:$EL$24,1,AF282)=1,AF285*INDEX('Lease Cycles'!$EM$24:$ES$24,1,AF282)+AF286*(1-INDEX('Lease Cycles'!$EM$24:$ES$24,1,AF282)),AF285),AF285)</f>
        <v>0</v>
      </c>
      <c r="AG287" s="28">
        <f>IF(AG284=1,IF(INDEX('Lease Cycles'!$EF$24:$EL$24,1,AG282)=1,AG285*INDEX('Lease Cycles'!$EM$24:$ES$24,1,AG282)+AG286*(1-INDEX('Lease Cycles'!$EM$24:$ES$24,1,AG282)),AG285),AG285)</f>
        <v>0</v>
      </c>
      <c r="AH287" s="28">
        <f>IF(AH284=1,IF(INDEX('Lease Cycles'!$EF$24:$EL$24,1,AH282)=1,AH285*INDEX('Lease Cycles'!$EM$24:$ES$24,1,AH282)+AH286*(1-INDEX('Lease Cycles'!$EM$24:$ES$24,1,AH282)),AH285),AH285)</f>
        <v>0</v>
      </c>
      <c r="AI287" s="28">
        <f>IF(AI284=1,IF(INDEX('Lease Cycles'!$EF$24:$EL$24,1,AI282)=1,AI285*INDEX('Lease Cycles'!$EM$24:$ES$24,1,AI282)+AI286*(1-INDEX('Lease Cycles'!$EM$24:$ES$24,1,AI282)),AI285),AI285)</f>
        <v>0</v>
      </c>
      <c r="AJ287" s="28">
        <f>IF(AJ284=1,IF(INDEX('Lease Cycles'!$EF$24:$EL$24,1,AJ282)=1,AJ285*INDEX('Lease Cycles'!$EM$24:$ES$24,1,AJ282)+AJ286*(1-INDEX('Lease Cycles'!$EM$24:$ES$24,1,AJ282)),AJ285),AJ285)</f>
        <v>0</v>
      </c>
      <c r="AK287" s="28">
        <f>IF(AK284=1,IF(INDEX('Lease Cycles'!$EF$24:$EL$24,1,AK282)=1,AK285*INDEX('Lease Cycles'!$EM$24:$ES$24,1,AK282)+AK286*(1-INDEX('Lease Cycles'!$EM$24:$ES$24,1,AK282)),AK285),AK285)</f>
        <v>0</v>
      </c>
      <c r="AL287" s="28">
        <f>IF(AL284=1,IF(INDEX('Lease Cycles'!$EF$24:$EL$24,1,AL282)=1,AL285*INDEX('Lease Cycles'!$EM$24:$ES$24,1,AL282)+AL286*(1-INDEX('Lease Cycles'!$EM$24:$ES$24,1,AL282)),AL285),AL285)</f>
        <v>0</v>
      </c>
      <c r="AM287" s="28">
        <f>IF(AM284=1,IF(INDEX('Lease Cycles'!$EF$24:$EL$24,1,AM282)=1,AM285*INDEX('Lease Cycles'!$EM$24:$ES$24,1,AM282)+AM286*(1-INDEX('Lease Cycles'!$EM$24:$ES$24,1,AM282)),AM285),AM285)</f>
        <v>0</v>
      </c>
      <c r="AN287" s="28">
        <f>IF(AN284=1,IF(INDEX('Lease Cycles'!$EF$24:$EL$24,1,AN282)=1,AN285*INDEX('Lease Cycles'!$EM$24:$ES$24,1,AN282)+AN286*(1-INDEX('Lease Cycles'!$EM$24:$ES$24,1,AN282)),AN285),AN285)</f>
        <v>0</v>
      </c>
      <c r="AO287" s="28">
        <f>IF(AO284=1,IF(INDEX('Lease Cycles'!$EF$24:$EL$24,1,AO282)=1,AO285*INDEX('Lease Cycles'!$EM$24:$ES$24,1,AO282)+AO286*(1-INDEX('Lease Cycles'!$EM$24:$ES$24,1,AO282)),AO285),AO285)</f>
        <v>0</v>
      </c>
      <c r="AP287" s="28">
        <f>IF(AP284=1,IF(INDEX('Lease Cycles'!$EF$24:$EL$24,1,AP282)=1,AP285*INDEX('Lease Cycles'!$EM$24:$ES$24,1,AP282)+AP286*(1-INDEX('Lease Cycles'!$EM$24:$ES$24,1,AP282)),AP285),AP285)</f>
        <v>0</v>
      </c>
      <c r="AQ287" s="28">
        <f>IF(AQ284=1,IF(INDEX('Lease Cycles'!$EF$24:$EL$24,1,AQ282)=1,AQ285*INDEX('Lease Cycles'!$EM$24:$ES$24,1,AQ282)+AQ286*(1-INDEX('Lease Cycles'!$EM$24:$ES$24,1,AQ282)),AQ285),AQ285)</f>
        <v>0</v>
      </c>
      <c r="AR287" s="28">
        <f>IF(AR284=1,IF(INDEX('Lease Cycles'!$EF$24:$EL$24,1,AR282)=1,AR285*INDEX('Lease Cycles'!$EM$24:$ES$24,1,AR282)+AR286*(1-INDEX('Lease Cycles'!$EM$24:$ES$24,1,AR282)),AR285),AR285)</f>
        <v>0</v>
      </c>
      <c r="AS287" s="28">
        <f>IF(AS284=1,IF(INDEX('Lease Cycles'!$EF$24:$EL$24,1,AS282)=1,AS285*INDEX('Lease Cycles'!$EM$24:$ES$24,1,AS282)+AS286*(1-INDEX('Lease Cycles'!$EM$24:$ES$24,1,AS282)),AS285),AS285)</f>
        <v>0</v>
      </c>
      <c r="AT287" s="28">
        <f>IF(AT284=1,IF(INDEX('Lease Cycles'!$EF$24:$EL$24,1,AT282)=1,AT285*INDEX('Lease Cycles'!$EM$24:$ES$24,1,AT282)+AT286*(1-INDEX('Lease Cycles'!$EM$24:$ES$24,1,AT282)),AT285),AT285)</f>
        <v>0</v>
      </c>
      <c r="AU287" s="28">
        <f>IF(AU284=1,IF(INDEX('Lease Cycles'!$EF$24:$EL$24,1,AU282)=1,AU285*INDEX('Lease Cycles'!$EM$24:$ES$24,1,AU282)+AU286*(1-INDEX('Lease Cycles'!$EM$24:$ES$24,1,AU282)),AU285),AU285)</f>
        <v>0</v>
      </c>
      <c r="AV287" s="28">
        <f>IF(AV284=1,IF(INDEX('Lease Cycles'!$EF$24:$EL$24,1,AV282)=1,AV285*INDEX('Lease Cycles'!$EM$24:$ES$24,1,AV282)+AV286*(1-INDEX('Lease Cycles'!$EM$24:$ES$24,1,AV282)),AV285),AV285)</f>
        <v>0</v>
      </c>
      <c r="AW287" s="28">
        <f>IF(AW284=1,IF(INDEX('Lease Cycles'!$EF$24:$EL$24,1,AW282)=1,AW285*INDEX('Lease Cycles'!$EM$24:$ES$24,1,AW282)+AW286*(1-INDEX('Lease Cycles'!$EM$24:$ES$24,1,AW282)),AW285),AW285)</f>
        <v>0</v>
      </c>
      <c r="AX287" s="28">
        <f>IF(AX284=1,IF(INDEX('Lease Cycles'!$EF$24:$EL$24,1,AX282)=1,AX285*INDEX('Lease Cycles'!$EM$24:$ES$24,1,AX282)+AX286*(1-INDEX('Lease Cycles'!$EM$24:$ES$24,1,AX282)),AX285),AX285)</f>
        <v>0</v>
      </c>
      <c r="AY287" s="28">
        <f>IF(AY284=1,IF(INDEX('Lease Cycles'!$EF$24:$EL$24,1,AY282)=1,AY285*INDEX('Lease Cycles'!$EM$24:$ES$24,1,AY282)+AY286*(1-INDEX('Lease Cycles'!$EM$24:$ES$24,1,AY282)),AY285),AY285)</f>
        <v>0</v>
      </c>
      <c r="AZ287" s="28">
        <f>IF(AZ284=1,IF(INDEX('Lease Cycles'!$EF$24:$EL$24,1,AZ282)=1,AZ285*INDEX('Lease Cycles'!$EM$24:$ES$24,1,AZ282)+AZ286*(1-INDEX('Lease Cycles'!$EM$24:$ES$24,1,AZ282)),AZ285),AZ285)</f>
        <v>0</v>
      </c>
      <c r="BA287" s="28">
        <f>IF(BA284=1,IF(INDEX('Lease Cycles'!$EF$24:$EL$24,1,BA282)=1,BA285*INDEX('Lease Cycles'!$EM$24:$ES$24,1,BA282)+BA286*(1-INDEX('Lease Cycles'!$EM$24:$ES$24,1,BA282)),BA285),BA285)</f>
        <v>0</v>
      </c>
      <c r="BB287" s="28">
        <f>IF(BB284=1,IF(INDEX('Lease Cycles'!$EF$24:$EL$24,1,BB282)=1,BB285*INDEX('Lease Cycles'!$EM$24:$ES$24,1,BB282)+BB286*(1-INDEX('Lease Cycles'!$EM$24:$ES$24,1,BB282)),BB285),BB285)</f>
        <v>0</v>
      </c>
      <c r="BC287" s="28">
        <f>IF(BC284=1,IF(INDEX('Lease Cycles'!$EF$24:$EL$24,1,BC282)=1,BC285*INDEX('Lease Cycles'!$EM$24:$ES$24,1,BC282)+BC286*(1-INDEX('Lease Cycles'!$EM$24:$ES$24,1,BC282)),BC285),BC285)</f>
        <v>0</v>
      </c>
      <c r="BD287" s="28">
        <f>IF(BD284=1,IF(INDEX('Lease Cycles'!$EF$24:$EL$24,1,BD282)=1,BD285*INDEX('Lease Cycles'!$EM$24:$ES$24,1,BD282)+BD286*(1-INDEX('Lease Cycles'!$EM$24:$ES$24,1,BD282)),BD285),BD285)</f>
        <v>0</v>
      </c>
      <c r="BE287" s="28">
        <f>IF(BE284=1,IF(INDEX('Lease Cycles'!$EF$24:$EL$24,1,BE282)=1,BE285*INDEX('Lease Cycles'!$EM$24:$ES$24,1,BE282)+BE286*(1-INDEX('Lease Cycles'!$EM$24:$ES$24,1,BE282)),BE285),BE285)</f>
        <v>0</v>
      </c>
      <c r="BF287" s="28">
        <f>IF(BF284=1,IF(INDEX('Lease Cycles'!$EF$24:$EL$24,1,BF282)=1,BF285*INDEX('Lease Cycles'!$EM$24:$ES$24,1,BF282)+BF286*(1-INDEX('Lease Cycles'!$EM$24:$ES$24,1,BF282)),BF285),BF285)</f>
        <v>0</v>
      </c>
      <c r="BG287" s="28">
        <f>IF(BG284=1,IF(INDEX('Lease Cycles'!$EF$24:$EL$24,1,BG282)=1,BG285*INDEX('Lease Cycles'!$EM$24:$ES$24,1,BG282)+BG286*(1-INDEX('Lease Cycles'!$EM$24:$ES$24,1,BG282)),BG285),BG285)</f>
        <v>0</v>
      </c>
      <c r="BH287" s="28">
        <f>IF(BH284=1,IF(INDEX('Lease Cycles'!$EF$24:$EL$24,1,BH282)=1,BH285*INDEX('Lease Cycles'!$EM$24:$ES$24,1,BH282)+BH286*(1-INDEX('Lease Cycles'!$EM$24:$ES$24,1,BH282)),BH285),BH285)</f>
        <v>0</v>
      </c>
      <c r="BI287" s="28">
        <f>IF(BI284=1,IF(INDEX('Lease Cycles'!$EF$24:$EL$24,1,BI282)=1,BI285*INDEX('Lease Cycles'!$EM$24:$ES$24,1,BI282)+BI286*(1-INDEX('Lease Cycles'!$EM$24:$ES$24,1,BI282)),BI285),BI285)</f>
        <v>0</v>
      </c>
      <c r="BJ287" s="28">
        <f>IF(BJ284=1,IF(INDEX('Lease Cycles'!$EF$24:$EL$24,1,BJ282)=1,BJ285*INDEX('Lease Cycles'!$EM$24:$ES$24,1,BJ282)+BJ286*(1-INDEX('Lease Cycles'!$EM$24:$ES$24,1,BJ282)),BJ285),BJ285)</f>
        <v>0</v>
      </c>
      <c r="BK287" s="28">
        <f>IF(BK284=1,IF(INDEX('Lease Cycles'!$EF$24:$EL$24,1,BK282)=1,BK285*INDEX('Lease Cycles'!$EM$24:$ES$24,1,BK282)+BK286*(1-INDEX('Lease Cycles'!$EM$24:$ES$24,1,BK282)),BK285),BK285)</f>
        <v>0</v>
      </c>
      <c r="BL287" s="28">
        <f>IF(BL284=1,IF(INDEX('Lease Cycles'!$EF$24:$EL$24,1,BL282)=1,BL285*INDEX('Lease Cycles'!$EM$24:$ES$24,1,BL282)+BL286*(1-INDEX('Lease Cycles'!$EM$24:$ES$24,1,BL282)),BL285),BL285)</f>
        <v>0</v>
      </c>
      <c r="BM287" s="28">
        <f>IF(BM284=1,IF(INDEX('Lease Cycles'!$EF$24:$EL$24,1,BM282)=1,BM285*INDEX('Lease Cycles'!$EM$24:$ES$24,1,BM282)+BM286*(1-INDEX('Lease Cycles'!$EM$24:$ES$24,1,BM282)),BM285),BM285)</f>
        <v>0</v>
      </c>
      <c r="BN287" s="28">
        <f>IF(BN284=1,IF(INDEX('Lease Cycles'!$EF$24:$EL$24,1,BN282)=1,BN285*INDEX('Lease Cycles'!$EM$24:$ES$24,1,BN282)+BN286*(1-INDEX('Lease Cycles'!$EM$24:$ES$24,1,BN282)),BN285),BN285)</f>
        <v>0</v>
      </c>
      <c r="BO287" s="28">
        <f>IF(BO284=1,IF(INDEX('Lease Cycles'!$EF$24:$EL$24,1,BO282)=1,BO285*INDEX('Lease Cycles'!$EM$24:$ES$24,1,BO282)+BO286*(1-INDEX('Lease Cycles'!$EM$24:$ES$24,1,BO282)),BO285),BO285)</f>
        <v>0</v>
      </c>
      <c r="BP287" s="28">
        <f>IF(BP284=1,IF(INDEX('Lease Cycles'!$EF$24:$EL$24,1,BP282)=1,BP285*INDEX('Lease Cycles'!$EM$24:$ES$24,1,BP282)+BP286*(1-INDEX('Lease Cycles'!$EM$24:$ES$24,1,BP282)),BP285),BP285)</f>
        <v>0</v>
      </c>
      <c r="BQ287" s="28">
        <f>IF(BQ284=1,IF(INDEX('Lease Cycles'!$EF$24:$EL$24,1,BQ282)=1,BQ285*INDEX('Lease Cycles'!$EM$24:$ES$24,1,BQ282)+BQ286*(1-INDEX('Lease Cycles'!$EM$24:$ES$24,1,BQ282)),BQ285),BQ285)</f>
        <v>0</v>
      </c>
      <c r="BR287" s="28">
        <f>IF(BR284=1,IF(INDEX('Lease Cycles'!$EF$24:$EL$24,1,BR282)=1,BR285*INDEX('Lease Cycles'!$EM$24:$ES$24,1,BR282)+BR286*(1-INDEX('Lease Cycles'!$EM$24:$ES$24,1,BR282)),BR285),BR285)</f>
        <v>0</v>
      </c>
      <c r="BS287" s="28">
        <f>IF(BS284=1,IF(INDEX('Lease Cycles'!$EF$24:$EL$24,1,BS282)=1,BS285*INDEX('Lease Cycles'!$EM$24:$ES$24,1,BS282)+BS286*(1-INDEX('Lease Cycles'!$EM$24:$ES$24,1,BS282)),BS285),BS285)</f>
        <v>0</v>
      </c>
      <c r="BT287" s="28">
        <f>IF(BT284=1,IF(INDEX('Lease Cycles'!$EF$24:$EL$24,1,BT282)=1,BT285*INDEX('Lease Cycles'!$EM$24:$ES$24,1,BT282)+BT286*(1-INDEX('Lease Cycles'!$EM$24:$ES$24,1,BT282)),BT285),BT285)</f>
        <v>0</v>
      </c>
      <c r="BU287" s="28">
        <f>IF(BU284=1,IF(INDEX('Lease Cycles'!$EF$24:$EL$24,1,BU282)=1,BU285*INDEX('Lease Cycles'!$EM$24:$ES$24,1,BU282)+BU286*(1-INDEX('Lease Cycles'!$EM$24:$ES$24,1,BU282)),BU285),BU285)</f>
        <v>0</v>
      </c>
      <c r="BV287" s="28">
        <f>IF(BV284=1,IF(INDEX('Lease Cycles'!$EF$24:$EL$24,1,BV282)=1,BV285*INDEX('Lease Cycles'!$EM$24:$ES$24,1,BV282)+BV286*(1-INDEX('Lease Cycles'!$EM$24:$ES$24,1,BV282)),BV285),BV285)</f>
        <v>0</v>
      </c>
      <c r="BW287" s="28">
        <f>IF(BW284=1,IF(INDEX('Lease Cycles'!$EF$24:$EL$24,1,BW282)=1,BW285*INDEX('Lease Cycles'!$EM$24:$ES$24,1,BW282)+BW286*(1-INDEX('Lease Cycles'!$EM$24:$ES$24,1,BW282)),BW285),BW285)</f>
        <v>0</v>
      </c>
      <c r="BX287" s="28">
        <f>IF(BX284=1,IF(INDEX('Lease Cycles'!$EF$24:$EL$24,1,BX282)=1,BX285*INDEX('Lease Cycles'!$EM$24:$ES$24,1,BX282)+BX286*(1-INDEX('Lease Cycles'!$EM$24:$ES$24,1,BX282)),BX285),BX285)</f>
        <v>0</v>
      </c>
      <c r="BY287" s="28">
        <f>IF(BY284=1,IF(INDEX('Lease Cycles'!$EF$24:$EL$24,1,BY282)=1,BY285*INDEX('Lease Cycles'!$EM$24:$ES$24,1,BY282)+BY286*(1-INDEX('Lease Cycles'!$EM$24:$ES$24,1,BY282)),BY285),BY285)</f>
        <v>0</v>
      </c>
      <c r="BZ287" s="28">
        <f>IF(BZ284=1,IF(INDEX('Lease Cycles'!$EF$24:$EL$24,1,BZ282)=1,BZ285*INDEX('Lease Cycles'!$EM$24:$ES$24,1,BZ282)+BZ286*(1-INDEX('Lease Cycles'!$EM$24:$ES$24,1,BZ282)),BZ285),BZ285)</f>
        <v>0</v>
      </c>
      <c r="CA287" s="28">
        <f>IF(CA284=1,IF(INDEX('Lease Cycles'!$EF$24:$EL$24,1,CA282)=1,CA285*INDEX('Lease Cycles'!$EM$24:$ES$24,1,CA282)+CA286*(1-INDEX('Lease Cycles'!$EM$24:$ES$24,1,CA282)),CA285),CA285)</f>
        <v>0</v>
      </c>
      <c r="CB287" s="28">
        <f>IF(CB284=1,IF(INDEX('Lease Cycles'!$EF$24:$EL$24,1,CB282)=1,CB285*INDEX('Lease Cycles'!$EM$24:$ES$24,1,CB282)+CB286*(1-INDEX('Lease Cycles'!$EM$24:$ES$24,1,CB282)),CB285),CB285)</f>
        <v>0</v>
      </c>
      <c r="CC287" s="28">
        <f>IF(CC284=1,IF(INDEX('Lease Cycles'!$EF$24:$EL$24,1,CC282)=1,CC285*INDEX('Lease Cycles'!$EM$24:$ES$24,1,CC282)+CC286*(1-INDEX('Lease Cycles'!$EM$24:$ES$24,1,CC282)),CC285),CC285)</f>
        <v>0</v>
      </c>
      <c r="CD287" s="28">
        <f>IF(CD284=1,IF(INDEX('Lease Cycles'!$EF$24:$EL$24,1,CD282)=1,CD285*INDEX('Lease Cycles'!$EM$24:$ES$24,1,CD282)+CD286*(1-INDEX('Lease Cycles'!$EM$24:$ES$24,1,CD282)),CD285),CD285)</f>
        <v>0</v>
      </c>
      <c r="CE287" s="28">
        <f>IF(CE284=1,IF(INDEX('Lease Cycles'!$EF$24:$EL$24,1,CE282)=1,CE285*INDEX('Lease Cycles'!$EM$24:$ES$24,1,CE282)+CE286*(1-INDEX('Lease Cycles'!$EM$24:$ES$24,1,CE282)),CE285),CE285)</f>
        <v>0</v>
      </c>
      <c r="CF287" s="28">
        <f>IF(CF284=1,IF(INDEX('Lease Cycles'!$EF$24:$EL$24,1,CF282)=1,CF285*INDEX('Lease Cycles'!$EM$24:$ES$24,1,CF282)+CF286*(1-INDEX('Lease Cycles'!$EM$24:$ES$24,1,CF282)),CF285),CF285)</f>
        <v>0</v>
      </c>
      <c r="CG287" s="28">
        <f>IF(CG284=1,IF(INDEX('Lease Cycles'!$EF$24:$EL$24,1,CG282)=1,CG285*INDEX('Lease Cycles'!$EM$24:$ES$24,1,CG282)+CG286*(1-INDEX('Lease Cycles'!$EM$24:$ES$24,1,CG282)),CG285),CG285)</f>
        <v>0</v>
      </c>
      <c r="CH287" s="28">
        <f>IF(CH284=1,IF(INDEX('Lease Cycles'!$EF$24:$EL$24,1,CH282)=1,CH285*INDEX('Lease Cycles'!$EM$24:$ES$24,1,CH282)+CH286*(1-INDEX('Lease Cycles'!$EM$24:$ES$24,1,CH282)),CH285),CH285)</f>
        <v>0</v>
      </c>
      <c r="CI287" s="28">
        <f>IF(CI284=1,IF(INDEX('Lease Cycles'!$EF$24:$EL$24,1,CI282)=1,CI285*INDEX('Lease Cycles'!$EM$24:$ES$24,1,CI282)+CI286*(1-INDEX('Lease Cycles'!$EM$24:$ES$24,1,CI282)),CI285),CI285)</f>
        <v>0</v>
      </c>
      <c r="CJ287" s="28">
        <f>IF(CJ284=1,IF(INDEX('Lease Cycles'!$EF$24:$EL$24,1,CJ282)=1,CJ285*INDEX('Lease Cycles'!$EM$24:$ES$24,1,CJ282)+CJ286*(1-INDEX('Lease Cycles'!$EM$24:$ES$24,1,CJ282)),CJ285),CJ285)</f>
        <v>0</v>
      </c>
      <c r="CK287" s="28">
        <f>IF(CK284=1,IF(INDEX('Lease Cycles'!$EF$24:$EL$24,1,CK282)=1,CK285*INDEX('Lease Cycles'!$EM$24:$ES$24,1,CK282)+CK286*(1-INDEX('Lease Cycles'!$EM$24:$ES$24,1,CK282)),CK285),CK285)</f>
        <v>0</v>
      </c>
      <c r="CL287" s="28">
        <f>IF(CL284=1,IF(INDEX('Lease Cycles'!$EF$24:$EL$24,1,CL282)=1,CL285*INDEX('Lease Cycles'!$EM$24:$ES$24,1,CL282)+CL286*(1-INDEX('Lease Cycles'!$EM$24:$ES$24,1,CL282)),CL285),CL285)</f>
        <v>0</v>
      </c>
      <c r="CM287" s="28">
        <f>IF(CM284=1,IF(INDEX('Lease Cycles'!$EF$24:$EL$24,1,CM282)=1,CM285*INDEX('Lease Cycles'!$EM$24:$ES$24,1,CM282)+CM286*(1-INDEX('Lease Cycles'!$EM$24:$ES$24,1,CM282)),CM285),CM285)</f>
        <v>0</v>
      </c>
      <c r="CN287" s="28">
        <f>IF(CN284=1,IF(INDEX('Lease Cycles'!$EF$24:$EL$24,1,CN282)=1,CN285*INDEX('Lease Cycles'!$EM$24:$ES$24,1,CN282)+CN286*(1-INDEX('Lease Cycles'!$EM$24:$ES$24,1,CN282)),CN285),CN285)</f>
        <v>0</v>
      </c>
      <c r="CO287" s="28">
        <f>IF(CO284=1,IF(INDEX('Lease Cycles'!$EF$24:$EL$24,1,CO282)=1,CO285*INDEX('Lease Cycles'!$EM$24:$ES$24,1,CO282)+CO286*(1-INDEX('Lease Cycles'!$EM$24:$ES$24,1,CO282)),CO285),CO285)</f>
        <v>0</v>
      </c>
      <c r="CP287" s="28">
        <f>IF(CP284=1,IF(INDEX('Lease Cycles'!$EF$24:$EL$24,1,CP282)=1,CP285*INDEX('Lease Cycles'!$EM$24:$ES$24,1,CP282)+CP286*(1-INDEX('Lease Cycles'!$EM$24:$ES$24,1,CP282)),CP285),CP285)</f>
        <v>0</v>
      </c>
      <c r="CQ287" s="28">
        <f>IF(CQ284=1,IF(INDEX('Lease Cycles'!$EF$24:$EL$24,1,CQ282)=1,CQ285*INDEX('Lease Cycles'!$EM$24:$ES$24,1,CQ282)+CQ286*(1-INDEX('Lease Cycles'!$EM$24:$ES$24,1,CQ282)),CQ285),CQ285)</f>
        <v>0</v>
      </c>
      <c r="CR287" s="28">
        <f>IF(CR284=1,IF(INDEX('Lease Cycles'!$EF$24:$EL$24,1,CR282)=1,CR285*INDEX('Lease Cycles'!$EM$24:$ES$24,1,CR282)+CR286*(1-INDEX('Lease Cycles'!$EM$24:$ES$24,1,CR282)),CR285),CR285)</f>
        <v>0</v>
      </c>
      <c r="CS287" s="28">
        <f>IF(CS284=1,IF(INDEX('Lease Cycles'!$EF$24:$EL$24,1,CS282)=1,CS285*INDEX('Lease Cycles'!$EM$24:$ES$24,1,CS282)+CS286*(1-INDEX('Lease Cycles'!$EM$24:$ES$24,1,CS282)),CS285),CS285)</f>
        <v>0</v>
      </c>
      <c r="CT287" s="28">
        <f>IF(CT284=1,IF(INDEX('Lease Cycles'!$EF$24:$EL$24,1,CT282)=1,CT285*INDEX('Lease Cycles'!$EM$24:$ES$24,1,CT282)+CT286*(1-INDEX('Lease Cycles'!$EM$24:$ES$24,1,CT282)),CT285),CT285)</f>
        <v>0</v>
      </c>
      <c r="CU287" s="28">
        <f>IF(CU284=1,IF(INDEX('Lease Cycles'!$EF$24:$EL$24,1,CU282)=1,CU285*INDEX('Lease Cycles'!$EM$24:$ES$24,1,CU282)+CU286*(1-INDEX('Lease Cycles'!$EM$24:$ES$24,1,CU282)),CU285),CU285)</f>
        <v>0</v>
      </c>
      <c r="CV287" s="28">
        <f>IF(CV284=1,IF(INDEX('Lease Cycles'!$EF$24:$EL$24,1,CV282)=1,CV285*INDEX('Lease Cycles'!$EM$24:$ES$24,1,CV282)+CV286*(1-INDEX('Lease Cycles'!$EM$24:$ES$24,1,CV282)),CV285),CV285)</f>
        <v>0</v>
      </c>
      <c r="CW287" s="28">
        <f>IF(CW284=1,IF(INDEX('Lease Cycles'!$EF$24:$EL$24,1,CW282)=1,CW285*INDEX('Lease Cycles'!$EM$24:$ES$24,1,CW282)+CW286*(1-INDEX('Lease Cycles'!$EM$24:$ES$24,1,CW282)),CW285),CW285)</f>
        <v>0</v>
      </c>
      <c r="CX287" s="28">
        <f>IF(CX284=1,IF(INDEX('Lease Cycles'!$EF$24:$EL$24,1,CX282)=1,CX285*INDEX('Lease Cycles'!$EM$24:$ES$24,1,CX282)+CX286*(1-INDEX('Lease Cycles'!$EM$24:$ES$24,1,CX282)),CX285),CX285)</f>
        <v>0</v>
      </c>
      <c r="CY287" s="28">
        <f>IF(CY284=1,IF(INDEX('Lease Cycles'!$EF$24:$EL$24,1,CY282)=1,CY285*INDEX('Lease Cycles'!$EM$24:$ES$24,1,CY282)+CY286*(1-INDEX('Lease Cycles'!$EM$24:$ES$24,1,CY282)),CY285),CY285)</f>
        <v>0</v>
      </c>
      <c r="CZ287" s="28">
        <f>IF(CZ284=1,IF(INDEX('Lease Cycles'!$EF$24:$EL$24,1,CZ282)=1,CZ285*INDEX('Lease Cycles'!$EM$24:$ES$24,1,CZ282)+CZ286*(1-INDEX('Lease Cycles'!$EM$24:$ES$24,1,CZ282)),CZ285),CZ285)</f>
        <v>0</v>
      </c>
      <c r="DA287" s="28">
        <f>IF(DA284=1,IF(INDEX('Lease Cycles'!$EF$24:$EL$24,1,DA282)=1,DA285*INDEX('Lease Cycles'!$EM$24:$ES$24,1,DA282)+DA286*(1-INDEX('Lease Cycles'!$EM$24:$ES$24,1,DA282)),DA285),DA285)</f>
        <v>0</v>
      </c>
      <c r="DB287" s="28">
        <f>IF(DB284=1,IF(INDEX('Lease Cycles'!$EF$24:$EL$24,1,DB282)=1,DB285*INDEX('Lease Cycles'!$EM$24:$ES$24,1,DB282)+DB286*(1-INDEX('Lease Cycles'!$EM$24:$ES$24,1,DB282)),DB285),DB285)</f>
        <v>0</v>
      </c>
      <c r="DC287" s="28">
        <f>IF(DC284=1,IF(INDEX('Lease Cycles'!$EF$24:$EL$24,1,DC282)=1,DC285*INDEX('Lease Cycles'!$EM$24:$ES$24,1,DC282)+DC286*(1-INDEX('Lease Cycles'!$EM$24:$ES$24,1,DC282)),DC285),DC285)</f>
        <v>0</v>
      </c>
      <c r="DD287" s="28">
        <f>IF(DD284=1,IF(INDEX('Lease Cycles'!$EF$24:$EL$24,1,DD282)=1,DD285*INDEX('Lease Cycles'!$EM$24:$ES$24,1,DD282)+DD286*(1-INDEX('Lease Cycles'!$EM$24:$ES$24,1,DD282)),DD285),DD285)</f>
        <v>0</v>
      </c>
      <c r="DE287" s="28">
        <f>IF(DE284=1,IF(INDEX('Lease Cycles'!$EF$24:$EL$24,1,DE282)=1,DE285*INDEX('Lease Cycles'!$EM$24:$ES$24,1,DE282)+DE286*(1-INDEX('Lease Cycles'!$EM$24:$ES$24,1,DE282)),DE285),DE285)</f>
        <v>0</v>
      </c>
      <c r="DF287" s="28">
        <f>IF(DF284=1,IF(INDEX('Lease Cycles'!$EF$24:$EL$24,1,DF282)=1,DF285*INDEX('Lease Cycles'!$EM$24:$ES$24,1,DF282)+DF286*(1-INDEX('Lease Cycles'!$EM$24:$ES$24,1,DF282)),DF285),DF285)</f>
        <v>0</v>
      </c>
      <c r="DG287" s="28">
        <f>IF(DG284=1,IF(INDEX('Lease Cycles'!$EF$24:$EL$24,1,DG282)=1,DG285*INDEX('Lease Cycles'!$EM$24:$ES$24,1,DG282)+DG286*(1-INDEX('Lease Cycles'!$EM$24:$ES$24,1,DG282)),DG285),DG285)</f>
        <v>0</v>
      </c>
      <c r="DH287" s="28">
        <f>IF(DH284=1,IF(INDEX('Lease Cycles'!$EF$24:$EL$24,1,DH282)=1,DH285*INDEX('Lease Cycles'!$EM$24:$ES$24,1,DH282)+DH286*(1-INDEX('Lease Cycles'!$EM$24:$ES$24,1,DH282)),DH285),DH285)</f>
        <v>0</v>
      </c>
      <c r="DI287" s="28">
        <f>IF(DI284=1,IF(INDEX('Lease Cycles'!$EF$24:$EL$24,1,DI282)=1,DI285*INDEX('Lease Cycles'!$EM$24:$ES$24,1,DI282)+DI286*(1-INDEX('Lease Cycles'!$EM$24:$ES$24,1,DI282)),DI285),DI285)</f>
        <v>0</v>
      </c>
      <c r="DJ287" s="28">
        <f>IF(DJ284=1,IF(INDEX('Lease Cycles'!$EF$24:$EL$24,1,DJ282)=1,DJ285*INDEX('Lease Cycles'!$EM$24:$ES$24,1,DJ282)+DJ286*(1-INDEX('Lease Cycles'!$EM$24:$ES$24,1,DJ282)),DJ285),DJ285)</f>
        <v>0</v>
      </c>
      <c r="DK287" s="28">
        <f>IF(DK284=1,IF(INDEX('Lease Cycles'!$EF$24:$EL$24,1,DK282)=1,DK285*INDEX('Lease Cycles'!$EM$24:$ES$24,1,DK282)+DK286*(1-INDEX('Lease Cycles'!$EM$24:$ES$24,1,DK282)),DK285),DK285)</f>
        <v>0</v>
      </c>
      <c r="DL287" s="28">
        <f>IF(DL284=1,IF(INDEX('Lease Cycles'!$EF$24:$EL$24,1,DL282)=1,DL285*INDEX('Lease Cycles'!$EM$24:$ES$24,1,DL282)+DL286*(1-INDEX('Lease Cycles'!$EM$24:$ES$24,1,DL282)),DL285),DL285)</f>
        <v>0</v>
      </c>
      <c r="DM287" s="28">
        <f>IF(DM284=1,IF(INDEX('Lease Cycles'!$EF$24:$EL$24,1,DM282)=1,DM285*INDEX('Lease Cycles'!$EM$24:$ES$24,1,DM282)+DM286*(1-INDEX('Lease Cycles'!$EM$24:$ES$24,1,DM282)),DM285),DM285)</f>
        <v>0</v>
      </c>
      <c r="DN287" s="28">
        <f>IF(DN284=1,IF(INDEX('Lease Cycles'!$EF$24:$EL$24,1,DN282)=1,DN285*INDEX('Lease Cycles'!$EM$24:$ES$24,1,DN282)+DN286*(1-INDEX('Lease Cycles'!$EM$24:$ES$24,1,DN282)),DN285),DN285)</f>
        <v>0</v>
      </c>
      <c r="DO287" s="28">
        <f>IF(DO284=1,IF(INDEX('Lease Cycles'!$EF$24:$EL$24,1,DO282)=1,DO285*INDEX('Lease Cycles'!$EM$24:$ES$24,1,DO282)+DO286*(1-INDEX('Lease Cycles'!$EM$24:$ES$24,1,DO282)),DO285),DO285)</f>
        <v>0</v>
      </c>
      <c r="DP287" s="28">
        <f>IF(DP284=1,IF(INDEX('Lease Cycles'!$EF$24:$EL$24,1,DP282)=1,DP285*INDEX('Lease Cycles'!$EM$24:$ES$24,1,DP282)+DP286*(1-INDEX('Lease Cycles'!$EM$24:$ES$24,1,DP282)),DP285),DP285)</f>
        <v>0</v>
      </c>
      <c r="DQ287" s="28">
        <f>IF(DQ284=1,IF(INDEX('Lease Cycles'!$EF$24:$EL$24,1,DQ282)=1,DQ285*INDEX('Lease Cycles'!$EM$24:$ES$24,1,DQ282)+DQ286*(1-INDEX('Lease Cycles'!$EM$24:$ES$24,1,DQ282)),DQ285),DQ285)</f>
        <v>0</v>
      </c>
      <c r="DR287" s="28">
        <f>IF(DR284=1,IF(INDEX('Lease Cycles'!$EF$24:$EL$24,1,DR282)=1,DR285*INDEX('Lease Cycles'!$EM$24:$ES$24,1,DR282)+DR286*(1-INDEX('Lease Cycles'!$EM$24:$ES$24,1,DR282)),DR285),DR285)</f>
        <v>0</v>
      </c>
      <c r="DS287" s="28">
        <f>IF(DS284=1,IF(INDEX('Lease Cycles'!$EF$24:$EL$24,1,DS282)=1,DS285*INDEX('Lease Cycles'!$EM$24:$ES$24,1,DS282)+DS286*(1-INDEX('Lease Cycles'!$EM$24:$ES$24,1,DS282)),DS285),DS285)</f>
        <v>0</v>
      </c>
      <c r="DT287" s="28">
        <f>IF(DT284=1,IF(INDEX('Lease Cycles'!$EF$24:$EL$24,1,DT282)=1,DT285*INDEX('Lease Cycles'!$EM$24:$ES$24,1,DT282)+DT286*(1-INDEX('Lease Cycles'!$EM$24:$ES$24,1,DT282)),DT285),DT285)</f>
        <v>0</v>
      </c>
      <c r="DU287" s="28">
        <f>IF(DU284=1,IF(INDEX('Lease Cycles'!$EF$24:$EL$24,1,DU282)=1,DU285*INDEX('Lease Cycles'!$EM$24:$ES$24,1,DU282)+DU286*(1-INDEX('Lease Cycles'!$EM$24:$ES$24,1,DU282)),DU285),DU285)</f>
        <v>0</v>
      </c>
      <c r="DV287" s="28">
        <f>IF(DV284=1,IF(INDEX('Lease Cycles'!$EF$24:$EL$24,1,DV282)=1,DV285*INDEX('Lease Cycles'!$EM$24:$ES$24,1,DV282)+DV286*(1-INDEX('Lease Cycles'!$EM$24:$ES$24,1,DV282)),DV285),DV285)</f>
        <v>0</v>
      </c>
      <c r="DW287" s="28">
        <f>IF(DW284=1,IF(INDEX('Lease Cycles'!$EF$24:$EL$24,1,DW282)=1,DW285*INDEX('Lease Cycles'!$EM$24:$ES$24,1,DW282)+DW286*(1-INDEX('Lease Cycles'!$EM$24:$ES$24,1,DW282)),DW285),DW285)</f>
        <v>0</v>
      </c>
      <c r="DX287" s="28">
        <f>IF(DX284=1,IF(INDEX('Lease Cycles'!$EF$24:$EL$24,1,DX282)=1,DX285*INDEX('Lease Cycles'!$EM$24:$ES$24,1,DX282)+DX286*(1-INDEX('Lease Cycles'!$EM$24:$ES$24,1,DX282)),DX285),DX285)</f>
        <v>0</v>
      </c>
      <c r="DY287" s="28">
        <f>IF(DY284=1,IF(INDEX('Lease Cycles'!$EF$24:$EL$24,1,DY282)=1,DY285*INDEX('Lease Cycles'!$EM$24:$ES$24,1,DY282)+DY286*(1-INDEX('Lease Cycles'!$EM$24:$ES$24,1,DY282)),DY285),DY285)</f>
        <v>0</v>
      </c>
      <c r="DZ287" s="28">
        <f>IF(DZ284=1,IF(INDEX('Lease Cycles'!$EF$24:$EL$24,1,DZ282)=1,DZ285*INDEX('Lease Cycles'!$EM$24:$ES$24,1,DZ282)+DZ286*(1-INDEX('Lease Cycles'!$EM$24:$ES$24,1,DZ282)),DZ285),DZ285)</f>
        <v>0</v>
      </c>
      <c r="EA287" s="28">
        <f>IF(EA284=1,IF(INDEX('Lease Cycles'!$EF$24:$EL$24,1,EA282)=1,EA285*INDEX('Lease Cycles'!$EM$24:$ES$24,1,EA282)+EA286*(1-INDEX('Lease Cycles'!$EM$24:$ES$24,1,EA282)),EA285),EA285)</f>
        <v>0</v>
      </c>
      <c r="EB287" s="28">
        <f>IF(EB284=1,IF(INDEX('Lease Cycles'!$EF$24:$EL$24,1,EB282)=1,EB285*INDEX('Lease Cycles'!$EM$24:$ES$24,1,EB282)+EB286*(1-INDEX('Lease Cycles'!$EM$24:$ES$24,1,EB282)),EB285),EB285)</f>
        <v>0</v>
      </c>
      <c r="EC287" s="28">
        <f>IF(EC284=1,IF(INDEX('Lease Cycles'!$EF$24:$EL$24,1,EC282)=1,EC285*INDEX('Lease Cycles'!$EM$24:$ES$24,1,EC282)+EC286*(1-INDEX('Lease Cycles'!$EM$24:$ES$24,1,EC282)),EC285),EC285)</f>
        <v>0</v>
      </c>
      <c r="ED287" s="28">
        <f>IF(ED284=1,IF(INDEX('Lease Cycles'!$EF$24:$EL$24,1,ED282)=1,ED285*INDEX('Lease Cycles'!$EM$24:$ES$24,1,ED282)+ED286*(1-INDEX('Lease Cycles'!$EM$24:$ES$24,1,ED282)),ED285),ED285)</f>
        <v>0</v>
      </c>
      <c r="EE287" s="28">
        <f>IF(EE284=1,IF(INDEX('Lease Cycles'!$EF$24:$EL$24,1,EE282)=1,EE285*INDEX('Lease Cycles'!$EM$24:$ES$24,1,EE282)+EE286*(1-INDEX('Lease Cycles'!$EM$24:$ES$24,1,EE282)),EE285),EE285)</f>
        <v>0</v>
      </c>
      <c r="EF287" s="28">
        <f>IF(EF284=1,IF(INDEX('Lease Cycles'!$EF$24:$EL$24,1,EF282)=1,EF285*INDEX('Lease Cycles'!$EM$24:$ES$24,1,EF282)+EF286*(1-INDEX('Lease Cycles'!$EM$24:$ES$24,1,EF282)),EF285),EF285)</f>
        <v>0</v>
      </c>
      <c r="EG287" s="28">
        <f>IF(EG284=1,IF(INDEX('Lease Cycles'!$EF$24:$EL$24,1,EG282)=1,EG285*INDEX('Lease Cycles'!$EM$24:$ES$24,1,EG282)+EG286*(1-INDEX('Lease Cycles'!$EM$24:$ES$24,1,EG282)),EG285),EG285)</f>
        <v>0</v>
      </c>
      <c r="EH287" s="28">
        <f>IF(EH284=1,IF(INDEX('Lease Cycles'!$EF$24:$EL$24,1,EH282)=1,EH285*INDEX('Lease Cycles'!$EM$24:$ES$24,1,EH282)+EH286*(1-INDEX('Lease Cycles'!$EM$24:$ES$24,1,EH282)),EH285),EH285)</f>
        <v>0</v>
      </c>
      <c r="EI287" s="28">
        <f>IF(EI284=1,IF(INDEX('Lease Cycles'!$EF$24:$EL$24,1,EI282)=1,EI285*INDEX('Lease Cycles'!$EM$24:$ES$24,1,EI282)+EI286*(1-INDEX('Lease Cycles'!$EM$24:$ES$24,1,EI282)),EI285),EI285)</f>
        <v>0</v>
      </c>
      <c r="EJ287" s="28">
        <f>IF(EJ284=1,IF(INDEX('Lease Cycles'!$EF$24:$EL$24,1,EJ282)=1,EJ285*INDEX('Lease Cycles'!$EM$24:$ES$24,1,EJ282)+EJ286*(1-INDEX('Lease Cycles'!$EM$24:$ES$24,1,EJ282)),EJ285),EJ285)</f>
        <v>0</v>
      </c>
      <c r="EK287" s="28">
        <f>IF(EK284=1,IF(INDEX('Lease Cycles'!$EF$24:$EL$24,1,EK282)=1,EK285*INDEX('Lease Cycles'!$EM$24:$ES$24,1,EK282)+EK286*(1-INDEX('Lease Cycles'!$EM$24:$ES$24,1,EK282)),EK285),EK285)</f>
        <v>0</v>
      </c>
      <c r="EL287" s="28">
        <f>IF(EL284=1,IF(INDEX('Lease Cycles'!$EF$24:$EL$24,1,EL282)=1,EL285*INDEX('Lease Cycles'!$EM$24:$ES$24,1,EL282)+EL286*(1-INDEX('Lease Cycles'!$EM$24:$ES$24,1,EL282)),EL285),EL285)</f>
        <v>0</v>
      </c>
      <c r="EM287" s="28">
        <f>IF(EM284=1,IF(INDEX('Lease Cycles'!$EF$24:$EL$24,1,EM282)=1,EM285*INDEX('Lease Cycles'!$EM$24:$ES$24,1,EM282)+EM286*(1-INDEX('Lease Cycles'!$EM$24:$ES$24,1,EM282)),EM285),EM285)</f>
        <v>0</v>
      </c>
      <c r="EN287" s="28">
        <f>IF(EN284=1,IF(INDEX('Lease Cycles'!$EF$24:$EL$24,1,EN282)=1,EN285*INDEX('Lease Cycles'!$EM$24:$ES$24,1,EN282)+EN286*(1-INDEX('Lease Cycles'!$EM$24:$ES$24,1,EN282)),EN285),EN285)</f>
        <v>0</v>
      </c>
      <c r="EO287" s="28">
        <f>IF(EO284=1,IF(INDEX('Lease Cycles'!$EF$24:$EL$24,1,EO282)=1,EO285*INDEX('Lease Cycles'!$EM$24:$ES$24,1,EO282)+EO286*(1-INDEX('Lease Cycles'!$EM$24:$ES$24,1,EO282)),EO285),EO285)</f>
        <v>0</v>
      </c>
      <c r="EP287" s="28">
        <f>IF(EP284=1,IF(INDEX('Lease Cycles'!$EF$24:$EL$24,1,EP282)=1,EP285*INDEX('Lease Cycles'!$EM$24:$ES$24,1,EP282)+EP286*(1-INDEX('Lease Cycles'!$EM$24:$ES$24,1,EP282)),EP285),EP285)</f>
        <v>0</v>
      </c>
      <c r="EQ287" s="28">
        <f>IF(EQ284=1,IF(INDEX('Lease Cycles'!$EF$24:$EL$24,1,EQ282)=1,EQ285*INDEX('Lease Cycles'!$EM$24:$ES$24,1,EQ282)+EQ286*(1-INDEX('Lease Cycles'!$EM$24:$ES$24,1,EQ282)),EQ285),EQ285)</f>
        <v>0</v>
      </c>
      <c r="ER287" s="28">
        <f>IF(ER284=1,IF(INDEX('Lease Cycles'!$EF$24:$EL$24,1,ER282)=1,ER285*INDEX('Lease Cycles'!$EM$24:$ES$24,1,ER282)+ER286*(1-INDEX('Lease Cycles'!$EM$24:$ES$24,1,ER282)),ER285),ER285)</f>
        <v>0</v>
      </c>
      <c r="ES287" s="28">
        <f>IF(ES284=1,IF(INDEX('Lease Cycles'!$EF$24:$EL$24,1,ES282)=1,ES285*INDEX('Lease Cycles'!$EM$24:$ES$24,1,ES282)+ES286*(1-INDEX('Lease Cycles'!$EM$24:$ES$24,1,ES282)),ES285),ES285)</f>
        <v>0</v>
      </c>
      <c r="ET287" s="28">
        <f>IF(ET284=1,IF(INDEX('Lease Cycles'!$EF$24:$EL$24,1,ET282)=1,ET285*INDEX('Lease Cycles'!$EM$24:$ES$24,1,ET282)+ET286*(1-INDEX('Lease Cycles'!$EM$24:$ES$24,1,ET282)),ET285),ET285)</f>
        <v>0</v>
      </c>
    </row>
    <row r="288">
      <c r="A288" s="103">
        <v>17</v>
      </c>
      <c r="B288" s="23" t="str">
        <f>IF('Lease Cycles'!$B$24="","(empty slot)",'Lease Cycles'!$B$24)</f>
        <v>(empty slot)</v>
      </c>
      <c r="C288" s="23" t="s">
        <v>682</v>
      </c>
      <c r="D288" s="104" t="s">
        <v>495</v>
      </c>
      <c r="E288" s="25">
        <f>'Lease Cycles'!$AL$24</f>
        <v>0</v>
      </c>
      <c r="G288" s="28">
        <f>SUM(S288:AD288)</f>
        <v>0</v>
      </c>
      <c r="H288" s="28">
        <f>SUM(AE288:AP288)</f>
        <v>0</v>
      </c>
      <c r="I288" s="28">
        <f>SUM(AQ288:BB288)</f>
        <v>0</v>
      </c>
      <c r="J288" s="28">
        <f>SUM(BC288:BN288)</f>
        <v>0</v>
      </c>
      <c r="K288" s="28">
        <f>SUM(BO288:BZ288)</f>
        <v>0</v>
      </c>
      <c r="L288" s="28">
        <f>SUM(CA288:CL288)</f>
        <v>0</v>
      </c>
      <c r="M288" s="28">
        <f>SUM(CM288:CX288)</f>
        <v>0</v>
      </c>
      <c r="N288" s="28">
        <f>SUM(CY288:DJ288)</f>
        <v>0</v>
      </c>
      <c r="O288" s="28">
        <f>SUM(DK288:DV288)</f>
        <v>0</v>
      </c>
      <c r="P288" s="28">
        <f>SUM(DW288:EH288)</f>
        <v>0</v>
      </c>
      <c r="Q288" s="28">
        <f>SUM(EI288:ET288)</f>
        <v>0</v>
      </c>
      <c r="S288" s="28">
        <f>IF(S284=1,IF(INDEX('Lease Cycles'!$EF$24:$EL$24,1,S282)=1,S285*INDEX('Lease Cycles'!$EM$24:$ES$24,1,S282)+S286*IF(S283&lt;INDEX('Lease Cycles'!$FA$24:$FG$24,1,S282),0,1-INDEX('Lease Cycles'!$EM$24:$ES$24,1,S282)),S285*IF(S283&lt;INDEX('Lease Cycles'!$DK$24:$DQ$24,1,S282),0,IF(S283=INDEX('Lease Cycles'!$DK$24:$DQ$24,1,S282),1-INDEX('Lease Cycles'!$DR$24:$DX$24,1,S282),1))),0)</f>
        <v>0</v>
      </c>
      <c r="T288" s="28">
        <f>IF(T284=1,IF(INDEX('Lease Cycles'!$EF$24:$EL$24,1,T282)=1,T285*INDEX('Lease Cycles'!$EM$24:$ES$24,1,T282)+T286*IF(T283&lt;INDEX('Lease Cycles'!$FA$24:$FG$24,1,T282),0,1-INDEX('Lease Cycles'!$EM$24:$ES$24,1,T282)),T285*IF(T283&lt;INDEX('Lease Cycles'!$DK$24:$DQ$24,1,T282),0,IF(T283=INDEX('Lease Cycles'!$DK$24:$DQ$24,1,T282),1-INDEX('Lease Cycles'!$DR$24:$DX$24,1,T282),1))),0)</f>
        <v>0</v>
      </c>
      <c r="U288" s="28">
        <f>IF(U284=1,IF(INDEX('Lease Cycles'!$EF$24:$EL$24,1,U282)=1,U285*INDEX('Lease Cycles'!$EM$24:$ES$24,1,U282)+U286*IF(U283&lt;INDEX('Lease Cycles'!$FA$24:$FG$24,1,U282),0,1-INDEX('Lease Cycles'!$EM$24:$ES$24,1,U282)),U285*IF(U283&lt;INDEX('Lease Cycles'!$DK$24:$DQ$24,1,U282),0,IF(U283=INDEX('Lease Cycles'!$DK$24:$DQ$24,1,U282),1-INDEX('Lease Cycles'!$DR$24:$DX$24,1,U282),1))),0)</f>
        <v>0</v>
      </c>
      <c r="V288" s="28">
        <f>IF(V284=1,IF(INDEX('Lease Cycles'!$EF$24:$EL$24,1,V282)=1,V285*INDEX('Lease Cycles'!$EM$24:$ES$24,1,V282)+V286*IF(V283&lt;INDEX('Lease Cycles'!$FA$24:$FG$24,1,V282),0,1-INDEX('Lease Cycles'!$EM$24:$ES$24,1,V282)),V285*IF(V283&lt;INDEX('Lease Cycles'!$DK$24:$DQ$24,1,V282),0,IF(V283=INDEX('Lease Cycles'!$DK$24:$DQ$24,1,V282),1-INDEX('Lease Cycles'!$DR$24:$DX$24,1,V282),1))),0)</f>
        <v>0</v>
      </c>
      <c r="W288" s="28">
        <f>IF(W284=1,IF(INDEX('Lease Cycles'!$EF$24:$EL$24,1,W282)=1,W285*INDEX('Lease Cycles'!$EM$24:$ES$24,1,W282)+W286*IF(W283&lt;INDEX('Lease Cycles'!$FA$24:$FG$24,1,W282),0,1-INDEX('Lease Cycles'!$EM$24:$ES$24,1,W282)),W285*IF(W283&lt;INDEX('Lease Cycles'!$DK$24:$DQ$24,1,W282),0,IF(W283=INDEX('Lease Cycles'!$DK$24:$DQ$24,1,W282),1-INDEX('Lease Cycles'!$DR$24:$DX$24,1,W282),1))),0)</f>
        <v>0</v>
      </c>
      <c r="X288" s="28">
        <f>IF(X284=1,IF(INDEX('Lease Cycles'!$EF$24:$EL$24,1,X282)=1,X285*INDEX('Lease Cycles'!$EM$24:$ES$24,1,X282)+X286*IF(X283&lt;INDEX('Lease Cycles'!$FA$24:$FG$24,1,X282),0,1-INDEX('Lease Cycles'!$EM$24:$ES$24,1,X282)),X285*IF(X283&lt;INDEX('Lease Cycles'!$DK$24:$DQ$24,1,X282),0,IF(X283=INDEX('Lease Cycles'!$DK$24:$DQ$24,1,X282),1-INDEX('Lease Cycles'!$DR$24:$DX$24,1,X282),1))),0)</f>
        <v>0</v>
      </c>
      <c r="Y288" s="28">
        <f>IF(Y284=1,IF(INDEX('Lease Cycles'!$EF$24:$EL$24,1,Y282)=1,Y285*INDEX('Lease Cycles'!$EM$24:$ES$24,1,Y282)+Y286*IF(Y283&lt;INDEX('Lease Cycles'!$FA$24:$FG$24,1,Y282),0,1-INDEX('Lease Cycles'!$EM$24:$ES$24,1,Y282)),Y285*IF(Y283&lt;INDEX('Lease Cycles'!$DK$24:$DQ$24,1,Y282),0,IF(Y283=INDEX('Lease Cycles'!$DK$24:$DQ$24,1,Y282),1-INDEX('Lease Cycles'!$DR$24:$DX$24,1,Y282),1))),0)</f>
        <v>0</v>
      </c>
      <c r="Z288" s="28">
        <f>IF(Z284=1,IF(INDEX('Lease Cycles'!$EF$24:$EL$24,1,Z282)=1,Z285*INDEX('Lease Cycles'!$EM$24:$ES$24,1,Z282)+Z286*IF(Z283&lt;INDEX('Lease Cycles'!$FA$24:$FG$24,1,Z282),0,1-INDEX('Lease Cycles'!$EM$24:$ES$24,1,Z282)),Z285*IF(Z283&lt;INDEX('Lease Cycles'!$DK$24:$DQ$24,1,Z282),0,IF(Z283=INDEX('Lease Cycles'!$DK$24:$DQ$24,1,Z282),1-INDEX('Lease Cycles'!$DR$24:$DX$24,1,Z282),1))),0)</f>
        <v>0</v>
      </c>
      <c r="AA288" s="28">
        <f>IF(AA284=1,IF(INDEX('Lease Cycles'!$EF$24:$EL$24,1,AA282)=1,AA285*INDEX('Lease Cycles'!$EM$24:$ES$24,1,AA282)+AA286*IF(AA283&lt;INDEX('Lease Cycles'!$FA$24:$FG$24,1,AA282),0,1-INDEX('Lease Cycles'!$EM$24:$ES$24,1,AA282)),AA285*IF(AA283&lt;INDEX('Lease Cycles'!$DK$24:$DQ$24,1,AA282),0,IF(AA283=INDEX('Lease Cycles'!$DK$24:$DQ$24,1,AA282),1-INDEX('Lease Cycles'!$DR$24:$DX$24,1,AA282),1))),0)</f>
        <v>0</v>
      </c>
      <c r="AB288" s="28">
        <f>IF(AB284=1,IF(INDEX('Lease Cycles'!$EF$24:$EL$24,1,AB282)=1,AB285*INDEX('Lease Cycles'!$EM$24:$ES$24,1,AB282)+AB286*IF(AB283&lt;INDEX('Lease Cycles'!$FA$24:$FG$24,1,AB282),0,1-INDEX('Lease Cycles'!$EM$24:$ES$24,1,AB282)),AB285*IF(AB283&lt;INDEX('Lease Cycles'!$DK$24:$DQ$24,1,AB282),0,IF(AB283=INDEX('Lease Cycles'!$DK$24:$DQ$24,1,AB282),1-INDEX('Lease Cycles'!$DR$24:$DX$24,1,AB282),1))),0)</f>
        <v>0</v>
      </c>
      <c r="AC288" s="28">
        <f>IF(AC284=1,IF(INDEX('Lease Cycles'!$EF$24:$EL$24,1,AC282)=1,AC285*INDEX('Lease Cycles'!$EM$24:$ES$24,1,AC282)+AC286*IF(AC283&lt;INDEX('Lease Cycles'!$FA$24:$FG$24,1,AC282),0,1-INDEX('Lease Cycles'!$EM$24:$ES$24,1,AC282)),AC285*IF(AC283&lt;INDEX('Lease Cycles'!$DK$24:$DQ$24,1,AC282),0,IF(AC283=INDEX('Lease Cycles'!$DK$24:$DQ$24,1,AC282),1-INDEX('Lease Cycles'!$DR$24:$DX$24,1,AC282),1))),0)</f>
        <v>0</v>
      </c>
      <c r="AD288" s="28">
        <f>IF(AD284=1,IF(INDEX('Lease Cycles'!$EF$24:$EL$24,1,AD282)=1,AD285*INDEX('Lease Cycles'!$EM$24:$ES$24,1,AD282)+AD286*IF(AD283&lt;INDEX('Lease Cycles'!$FA$24:$FG$24,1,AD282),0,1-INDEX('Lease Cycles'!$EM$24:$ES$24,1,AD282)),AD285*IF(AD283&lt;INDEX('Lease Cycles'!$DK$24:$DQ$24,1,AD282),0,IF(AD283=INDEX('Lease Cycles'!$DK$24:$DQ$24,1,AD282),1-INDEX('Lease Cycles'!$DR$24:$DX$24,1,AD282),1))),0)</f>
        <v>0</v>
      </c>
      <c r="AE288" s="28">
        <f>IF(AE284=1,IF(INDEX('Lease Cycles'!$EF$24:$EL$24,1,AE282)=1,AE285*INDEX('Lease Cycles'!$EM$24:$ES$24,1,AE282)+AE286*IF(AE283&lt;INDEX('Lease Cycles'!$FA$24:$FG$24,1,AE282),0,1-INDEX('Lease Cycles'!$EM$24:$ES$24,1,AE282)),AE285*IF(AE283&lt;INDEX('Lease Cycles'!$DK$24:$DQ$24,1,AE282),0,IF(AE283=INDEX('Lease Cycles'!$DK$24:$DQ$24,1,AE282),1-INDEX('Lease Cycles'!$DR$24:$DX$24,1,AE282),1))),0)</f>
        <v>0</v>
      </c>
      <c r="AF288" s="28">
        <f>IF(AF284=1,IF(INDEX('Lease Cycles'!$EF$24:$EL$24,1,AF282)=1,AF285*INDEX('Lease Cycles'!$EM$24:$ES$24,1,AF282)+AF286*IF(AF283&lt;INDEX('Lease Cycles'!$FA$24:$FG$24,1,AF282),0,1-INDEX('Lease Cycles'!$EM$24:$ES$24,1,AF282)),AF285*IF(AF283&lt;INDEX('Lease Cycles'!$DK$24:$DQ$24,1,AF282),0,IF(AF283=INDEX('Lease Cycles'!$DK$24:$DQ$24,1,AF282),1-INDEX('Lease Cycles'!$DR$24:$DX$24,1,AF282),1))),0)</f>
        <v>0</v>
      </c>
      <c r="AG288" s="28">
        <f>IF(AG284=1,IF(INDEX('Lease Cycles'!$EF$24:$EL$24,1,AG282)=1,AG285*INDEX('Lease Cycles'!$EM$24:$ES$24,1,AG282)+AG286*IF(AG283&lt;INDEX('Lease Cycles'!$FA$24:$FG$24,1,AG282),0,1-INDEX('Lease Cycles'!$EM$24:$ES$24,1,AG282)),AG285*IF(AG283&lt;INDEX('Lease Cycles'!$DK$24:$DQ$24,1,AG282),0,IF(AG283=INDEX('Lease Cycles'!$DK$24:$DQ$24,1,AG282),1-INDEX('Lease Cycles'!$DR$24:$DX$24,1,AG282),1))),0)</f>
        <v>0</v>
      </c>
      <c r="AH288" s="28">
        <f>IF(AH284=1,IF(INDEX('Lease Cycles'!$EF$24:$EL$24,1,AH282)=1,AH285*INDEX('Lease Cycles'!$EM$24:$ES$24,1,AH282)+AH286*IF(AH283&lt;INDEX('Lease Cycles'!$FA$24:$FG$24,1,AH282),0,1-INDEX('Lease Cycles'!$EM$24:$ES$24,1,AH282)),AH285*IF(AH283&lt;INDEX('Lease Cycles'!$DK$24:$DQ$24,1,AH282),0,IF(AH283=INDEX('Lease Cycles'!$DK$24:$DQ$24,1,AH282),1-INDEX('Lease Cycles'!$DR$24:$DX$24,1,AH282),1))),0)</f>
        <v>0</v>
      </c>
      <c r="AI288" s="28">
        <f>IF(AI284=1,IF(INDEX('Lease Cycles'!$EF$24:$EL$24,1,AI282)=1,AI285*INDEX('Lease Cycles'!$EM$24:$ES$24,1,AI282)+AI286*IF(AI283&lt;INDEX('Lease Cycles'!$FA$24:$FG$24,1,AI282),0,1-INDEX('Lease Cycles'!$EM$24:$ES$24,1,AI282)),AI285*IF(AI283&lt;INDEX('Lease Cycles'!$DK$24:$DQ$24,1,AI282),0,IF(AI283=INDEX('Lease Cycles'!$DK$24:$DQ$24,1,AI282),1-INDEX('Lease Cycles'!$DR$24:$DX$24,1,AI282),1))),0)</f>
        <v>0</v>
      </c>
      <c r="AJ288" s="28">
        <f>IF(AJ284=1,IF(INDEX('Lease Cycles'!$EF$24:$EL$24,1,AJ282)=1,AJ285*INDEX('Lease Cycles'!$EM$24:$ES$24,1,AJ282)+AJ286*IF(AJ283&lt;INDEX('Lease Cycles'!$FA$24:$FG$24,1,AJ282),0,1-INDEX('Lease Cycles'!$EM$24:$ES$24,1,AJ282)),AJ285*IF(AJ283&lt;INDEX('Lease Cycles'!$DK$24:$DQ$24,1,AJ282),0,IF(AJ283=INDEX('Lease Cycles'!$DK$24:$DQ$24,1,AJ282),1-INDEX('Lease Cycles'!$DR$24:$DX$24,1,AJ282),1))),0)</f>
        <v>0</v>
      </c>
      <c r="AK288" s="28">
        <f>IF(AK284=1,IF(INDEX('Lease Cycles'!$EF$24:$EL$24,1,AK282)=1,AK285*INDEX('Lease Cycles'!$EM$24:$ES$24,1,AK282)+AK286*IF(AK283&lt;INDEX('Lease Cycles'!$FA$24:$FG$24,1,AK282),0,1-INDEX('Lease Cycles'!$EM$24:$ES$24,1,AK282)),AK285*IF(AK283&lt;INDEX('Lease Cycles'!$DK$24:$DQ$24,1,AK282),0,IF(AK283=INDEX('Lease Cycles'!$DK$24:$DQ$24,1,AK282),1-INDEX('Lease Cycles'!$DR$24:$DX$24,1,AK282),1))),0)</f>
        <v>0</v>
      </c>
      <c r="AL288" s="28">
        <f>IF(AL284=1,IF(INDEX('Lease Cycles'!$EF$24:$EL$24,1,AL282)=1,AL285*INDEX('Lease Cycles'!$EM$24:$ES$24,1,AL282)+AL286*IF(AL283&lt;INDEX('Lease Cycles'!$FA$24:$FG$24,1,AL282),0,1-INDEX('Lease Cycles'!$EM$24:$ES$24,1,AL282)),AL285*IF(AL283&lt;INDEX('Lease Cycles'!$DK$24:$DQ$24,1,AL282),0,IF(AL283=INDEX('Lease Cycles'!$DK$24:$DQ$24,1,AL282),1-INDEX('Lease Cycles'!$DR$24:$DX$24,1,AL282),1))),0)</f>
        <v>0</v>
      </c>
      <c r="AM288" s="28">
        <f>IF(AM284=1,IF(INDEX('Lease Cycles'!$EF$24:$EL$24,1,AM282)=1,AM285*INDEX('Lease Cycles'!$EM$24:$ES$24,1,AM282)+AM286*IF(AM283&lt;INDEX('Lease Cycles'!$FA$24:$FG$24,1,AM282),0,1-INDEX('Lease Cycles'!$EM$24:$ES$24,1,AM282)),AM285*IF(AM283&lt;INDEX('Lease Cycles'!$DK$24:$DQ$24,1,AM282),0,IF(AM283=INDEX('Lease Cycles'!$DK$24:$DQ$24,1,AM282),1-INDEX('Lease Cycles'!$DR$24:$DX$24,1,AM282),1))),0)</f>
        <v>0</v>
      </c>
      <c r="AN288" s="28">
        <f>IF(AN284=1,IF(INDEX('Lease Cycles'!$EF$24:$EL$24,1,AN282)=1,AN285*INDEX('Lease Cycles'!$EM$24:$ES$24,1,AN282)+AN286*IF(AN283&lt;INDEX('Lease Cycles'!$FA$24:$FG$24,1,AN282),0,1-INDEX('Lease Cycles'!$EM$24:$ES$24,1,AN282)),AN285*IF(AN283&lt;INDEX('Lease Cycles'!$DK$24:$DQ$24,1,AN282),0,IF(AN283=INDEX('Lease Cycles'!$DK$24:$DQ$24,1,AN282),1-INDEX('Lease Cycles'!$DR$24:$DX$24,1,AN282),1))),0)</f>
        <v>0</v>
      </c>
      <c r="AO288" s="28">
        <f>IF(AO284=1,IF(INDEX('Lease Cycles'!$EF$24:$EL$24,1,AO282)=1,AO285*INDEX('Lease Cycles'!$EM$24:$ES$24,1,AO282)+AO286*IF(AO283&lt;INDEX('Lease Cycles'!$FA$24:$FG$24,1,AO282),0,1-INDEX('Lease Cycles'!$EM$24:$ES$24,1,AO282)),AO285*IF(AO283&lt;INDEX('Lease Cycles'!$DK$24:$DQ$24,1,AO282),0,IF(AO283=INDEX('Lease Cycles'!$DK$24:$DQ$24,1,AO282),1-INDEX('Lease Cycles'!$DR$24:$DX$24,1,AO282),1))),0)</f>
        <v>0</v>
      </c>
      <c r="AP288" s="28">
        <f>IF(AP284=1,IF(INDEX('Lease Cycles'!$EF$24:$EL$24,1,AP282)=1,AP285*INDEX('Lease Cycles'!$EM$24:$ES$24,1,AP282)+AP286*IF(AP283&lt;INDEX('Lease Cycles'!$FA$24:$FG$24,1,AP282),0,1-INDEX('Lease Cycles'!$EM$24:$ES$24,1,AP282)),AP285*IF(AP283&lt;INDEX('Lease Cycles'!$DK$24:$DQ$24,1,AP282),0,IF(AP283=INDEX('Lease Cycles'!$DK$24:$DQ$24,1,AP282),1-INDEX('Lease Cycles'!$DR$24:$DX$24,1,AP282),1))),0)</f>
        <v>0</v>
      </c>
      <c r="AQ288" s="28">
        <f>IF(AQ284=1,IF(INDEX('Lease Cycles'!$EF$24:$EL$24,1,AQ282)=1,AQ285*INDEX('Lease Cycles'!$EM$24:$ES$24,1,AQ282)+AQ286*IF(AQ283&lt;INDEX('Lease Cycles'!$FA$24:$FG$24,1,AQ282),0,1-INDEX('Lease Cycles'!$EM$24:$ES$24,1,AQ282)),AQ285*IF(AQ283&lt;INDEX('Lease Cycles'!$DK$24:$DQ$24,1,AQ282),0,IF(AQ283=INDEX('Lease Cycles'!$DK$24:$DQ$24,1,AQ282),1-INDEX('Lease Cycles'!$DR$24:$DX$24,1,AQ282),1))),0)</f>
        <v>0</v>
      </c>
      <c r="AR288" s="28">
        <f>IF(AR284=1,IF(INDEX('Lease Cycles'!$EF$24:$EL$24,1,AR282)=1,AR285*INDEX('Lease Cycles'!$EM$24:$ES$24,1,AR282)+AR286*IF(AR283&lt;INDEX('Lease Cycles'!$FA$24:$FG$24,1,AR282),0,1-INDEX('Lease Cycles'!$EM$24:$ES$24,1,AR282)),AR285*IF(AR283&lt;INDEX('Lease Cycles'!$DK$24:$DQ$24,1,AR282),0,IF(AR283=INDEX('Lease Cycles'!$DK$24:$DQ$24,1,AR282),1-INDEX('Lease Cycles'!$DR$24:$DX$24,1,AR282),1))),0)</f>
        <v>0</v>
      </c>
      <c r="AS288" s="28">
        <f>IF(AS284=1,IF(INDEX('Lease Cycles'!$EF$24:$EL$24,1,AS282)=1,AS285*INDEX('Lease Cycles'!$EM$24:$ES$24,1,AS282)+AS286*IF(AS283&lt;INDEX('Lease Cycles'!$FA$24:$FG$24,1,AS282),0,1-INDEX('Lease Cycles'!$EM$24:$ES$24,1,AS282)),AS285*IF(AS283&lt;INDEX('Lease Cycles'!$DK$24:$DQ$24,1,AS282),0,IF(AS283=INDEX('Lease Cycles'!$DK$24:$DQ$24,1,AS282),1-INDEX('Lease Cycles'!$DR$24:$DX$24,1,AS282),1))),0)</f>
        <v>0</v>
      </c>
      <c r="AT288" s="28">
        <f>IF(AT284=1,IF(INDEX('Lease Cycles'!$EF$24:$EL$24,1,AT282)=1,AT285*INDEX('Lease Cycles'!$EM$24:$ES$24,1,AT282)+AT286*IF(AT283&lt;INDEX('Lease Cycles'!$FA$24:$FG$24,1,AT282),0,1-INDEX('Lease Cycles'!$EM$24:$ES$24,1,AT282)),AT285*IF(AT283&lt;INDEX('Lease Cycles'!$DK$24:$DQ$24,1,AT282),0,IF(AT283=INDEX('Lease Cycles'!$DK$24:$DQ$24,1,AT282),1-INDEX('Lease Cycles'!$DR$24:$DX$24,1,AT282),1))),0)</f>
        <v>0</v>
      </c>
      <c r="AU288" s="28">
        <f>IF(AU284=1,IF(INDEX('Lease Cycles'!$EF$24:$EL$24,1,AU282)=1,AU285*INDEX('Lease Cycles'!$EM$24:$ES$24,1,AU282)+AU286*IF(AU283&lt;INDEX('Lease Cycles'!$FA$24:$FG$24,1,AU282),0,1-INDEX('Lease Cycles'!$EM$24:$ES$24,1,AU282)),AU285*IF(AU283&lt;INDEX('Lease Cycles'!$DK$24:$DQ$24,1,AU282),0,IF(AU283=INDEX('Lease Cycles'!$DK$24:$DQ$24,1,AU282),1-INDEX('Lease Cycles'!$DR$24:$DX$24,1,AU282),1))),0)</f>
        <v>0</v>
      </c>
      <c r="AV288" s="28">
        <f>IF(AV284=1,IF(INDEX('Lease Cycles'!$EF$24:$EL$24,1,AV282)=1,AV285*INDEX('Lease Cycles'!$EM$24:$ES$24,1,AV282)+AV286*IF(AV283&lt;INDEX('Lease Cycles'!$FA$24:$FG$24,1,AV282),0,1-INDEX('Lease Cycles'!$EM$24:$ES$24,1,AV282)),AV285*IF(AV283&lt;INDEX('Lease Cycles'!$DK$24:$DQ$24,1,AV282),0,IF(AV283=INDEX('Lease Cycles'!$DK$24:$DQ$24,1,AV282),1-INDEX('Lease Cycles'!$DR$24:$DX$24,1,AV282),1))),0)</f>
        <v>0</v>
      </c>
      <c r="AW288" s="28">
        <f>IF(AW284=1,IF(INDEX('Lease Cycles'!$EF$24:$EL$24,1,AW282)=1,AW285*INDEX('Lease Cycles'!$EM$24:$ES$24,1,AW282)+AW286*IF(AW283&lt;INDEX('Lease Cycles'!$FA$24:$FG$24,1,AW282),0,1-INDEX('Lease Cycles'!$EM$24:$ES$24,1,AW282)),AW285*IF(AW283&lt;INDEX('Lease Cycles'!$DK$24:$DQ$24,1,AW282),0,IF(AW283=INDEX('Lease Cycles'!$DK$24:$DQ$24,1,AW282),1-INDEX('Lease Cycles'!$DR$24:$DX$24,1,AW282),1))),0)</f>
        <v>0</v>
      </c>
      <c r="AX288" s="28">
        <f>IF(AX284=1,IF(INDEX('Lease Cycles'!$EF$24:$EL$24,1,AX282)=1,AX285*INDEX('Lease Cycles'!$EM$24:$ES$24,1,AX282)+AX286*IF(AX283&lt;INDEX('Lease Cycles'!$FA$24:$FG$24,1,AX282),0,1-INDEX('Lease Cycles'!$EM$24:$ES$24,1,AX282)),AX285*IF(AX283&lt;INDEX('Lease Cycles'!$DK$24:$DQ$24,1,AX282),0,IF(AX283=INDEX('Lease Cycles'!$DK$24:$DQ$24,1,AX282),1-INDEX('Lease Cycles'!$DR$24:$DX$24,1,AX282),1))),0)</f>
        <v>0</v>
      </c>
      <c r="AY288" s="28">
        <f>IF(AY284=1,IF(INDEX('Lease Cycles'!$EF$24:$EL$24,1,AY282)=1,AY285*INDEX('Lease Cycles'!$EM$24:$ES$24,1,AY282)+AY286*IF(AY283&lt;INDEX('Lease Cycles'!$FA$24:$FG$24,1,AY282),0,1-INDEX('Lease Cycles'!$EM$24:$ES$24,1,AY282)),AY285*IF(AY283&lt;INDEX('Lease Cycles'!$DK$24:$DQ$24,1,AY282),0,IF(AY283=INDEX('Lease Cycles'!$DK$24:$DQ$24,1,AY282),1-INDEX('Lease Cycles'!$DR$24:$DX$24,1,AY282),1))),0)</f>
        <v>0</v>
      </c>
      <c r="AZ288" s="28">
        <f>IF(AZ284=1,IF(INDEX('Lease Cycles'!$EF$24:$EL$24,1,AZ282)=1,AZ285*INDEX('Lease Cycles'!$EM$24:$ES$24,1,AZ282)+AZ286*IF(AZ283&lt;INDEX('Lease Cycles'!$FA$24:$FG$24,1,AZ282),0,1-INDEX('Lease Cycles'!$EM$24:$ES$24,1,AZ282)),AZ285*IF(AZ283&lt;INDEX('Lease Cycles'!$DK$24:$DQ$24,1,AZ282),0,IF(AZ283=INDEX('Lease Cycles'!$DK$24:$DQ$24,1,AZ282),1-INDEX('Lease Cycles'!$DR$24:$DX$24,1,AZ282),1))),0)</f>
        <v>0</v>
      </c>
      <c r="BA288" s="28">
        <f>IF(BA284=1,IF(INDEX('Lease Cycles'!$EF$24:$EL$24,1,BA282)=1,BA285*INDEX('Lease Cycles'!$EM$24:$ES$24,1,BA282)+BA286*IF(BA283&lt;INDEX('Lease Cycles'!$FA$24:$FG$24,1,BA282),0,1-INDEX('Lease Cycles'!$EM$24:$ES$24,1,BA282)),BA285*IF(BA283&lt;INDEX('Lease Cycles'!$DK$24:$DQ$24,1,BA282),0,IF(BA283=INDEX('Lease Cycles'!$DK$24:$DQ$24,1,BA282),1-INDEX('Lease Cycles'!$DR$24:$DX$24,1,BA282),1))),0)</f>
        <v>0</v>
      </c>
      <c r="BB288" s="28">
        <f>IF(BB284=1,IF(INDEX('Lease Cycles'!$EF$24:$EL$24,1,BB282)=1,BB285*INDEX('Lease Cycles'!$EM$24:$ES$24,1,BB282)+BB286*IF(BB283&lt;INDEX('Lease Cycles'!$FA$24:$FG$24,1,BB282),0,1-INDEX('Lease Cycles'!$EM$24:$ES$24,1,BB282)),BB285*IF(BB283&lt;INDEX('Lease Cycles'!$DK$24:$DQ$24,1,BB282),0,IF(BB283=INDEX('Lease Cycles'!$DK$24:$DQ$24,1,BB282),1-INDEX('Lease Cycles'!$DR$24:$DX$24,1,BB282),1))),0)</f>
        <v>0</v>
      </c>
      <c r="BC288" s="28">
        <f>IF(BC284=1,IF(INDEX('Lease Cycles'!$EF$24:$EL$24,1,BC282)=1,BC285*INDEX('Lease Cycles'!$EM$24:$ES$24,1,BC282)+BC286*IF(BC283&lt;INDEX('Lease Cycles'!$FA$24:$FG$24,1,BC282),0,1-INDEX('Lease Cycles'!$EM$24:$ES$24,1,BC282)),BC285*IF(BC283&lt;INDEX('Lease Cycles'!$DK$24:$DQ$24,1,BC282),0,IF(BC283=INDEX('Lease Cycles'!$DK$24:$DQ$24,1,BC282),1-INDEX('Lease Cycles'!$DR$24:$DX$24,1,BC282),1))),0)</f>
        <v>0</v>
      </c>
      <c r="BD288" s="28">
        <f>IF(BD284=1,IF(INDEX('Lease Cycles'!$EF$24:$EL$24,1,BD282)=1,BD285*INDEX('Lease Cycles'!$EM$24:$ES$24,1,BD282)+BD286*IF(BD283&lt;INDEX('Lease Cycles'!$FA$24:$FG$24,1,BD282),0,1-INDEX('Lease Cycles'!$EM$24:$ES$24,1,BD282)),BD285*IF(BD283&lt;INDEX('Lease Cycles'!$DK$24:$DQ$24,1,BD282),0,IF(BD283=INDEX('Lease Cycles'!$DK$24:$DQ$24,1,BD282),1-INDEX('Lease Cycles'!$DR$24:$DX$24,1,BD282),1))),0)</f>
        <v>0</v>
      </c>
      <c r="BE288" s="28">
        <f>IF(BE284=1,IF(INDEX('Lease Cycles'!$EF$24:$EL$24,1,BE282)=1,BE285*INDEX('Lease Cycles'!$EM$24:$ES$24,1,BE282)+BE286*IF(BE283&lt;INDEX('Lease Cycles'!$FA$24:$FG$24,1,BE282),0,1-INDEX('Lease Cycles'!$EM$24:$ES$24,1,BE282)),BE285*IF(BE283&lt;INDEX('Lease Cycles'!$DK$24:$DQ$24,1,BE282),0,IF(BE283=INDEX('Lease Cycles'!$DK$24:$DQ$24,1,BE282),1-INDEX('Lease Cycles'!$DR$24:$DX$24,1,BE282),1))),0)</f>
        <v>0</v>
      </c>
      <c r="BF288" s="28">
        <f>IF(BF284=1,IF(INDEX('Lease Cycles'!$EF$24:$EL$24,1,BF282)=1,BF285*INDEX('Lease Cycles'!$EM$24:$ES$24,1,BF282)+BF286*IF(BF283&lt;INDEX('Lease Cycles'!$FA$24:$FG$24,1,BF282),0,1-INDEX('Lease Cycles'!$EM$24:$ES$24,1,BF282)),BF285*IF(BF283&lt;INDEX('Lease Cycles'!$DK$24:$DQ$24,1,BF282),0,IF(BF283=INDEX('Lease Cycles'!$DK$24:$DQ$24,1,BF282),1-INDEX('Lease Cycles'!$DR$24:$DX$24,1,BF282),1))),0)</f>
        <v>0</v>
      </c>
      <c r="BG288" s="28">
        <f>IF(BG284=1,IF(INDEX('Lease Cycles'!$EF$24:$EL$24,1,BG282)=1,BG285*INDEX('Lease Cycles'!$EM$24:$ES$24,1,BG282)+BG286*IF(BG283&lt;INDEX('Lease Cycles'!$FA$24:$FG$24,1,BG282),0,1-INDEX('Lease Cycles'!$EM$24:$ES$24,1,BG282)),BG285*IF(BG283&lt;INDEX('Lease Cycles'!$DK$24:$DQ$24,1,BG282),0,IF(BG283=INDEX('Lease Cycles'!$DK$24:$DQ$24,1,BG282),1-INDEX('Lease Cycles'!$DR$24:$DX$24,1,BG282),1))),0)</f>
        <v>0</v>
      </c>
      <c r="BH288" s="28">
        <f>IF(BH284=1,IF(INDEX('Lease Cycles'!$EF$24:$EL$24,1,BH282)=1,BH285*INDEX('Lease Cycles'!$EM$24:$ES$24,1,BH282)+BH286*IF(BH283&lt;INDEX('Lease Cycles'!$FA$24:$FG$24,1,BH282),0,1-INDEX('Lease Cycles'!$EM$24:$ES$24,1,BH282)),BH285*IF(BH283&lt;INDEX('Lease Cycles'!$DK$24:$DQ$24,1,BH282),0,IF(BH283=INDEX('Lease Cycles'!$DK$24:$DQ$24,1,BH282),1-INDEX('Lease Cycles'!$DR$24:$DX$24,1,BH282),1))),0)</f>
        <v>0</v>
      </c>
      <c r="BI288" s="28">
        <f>IF(BI284=1,IF(INDEX('Lease Cycles'!$EF$24:$EL$24,1,BI282)=1,BI285*INDEX('Lease Cycles'!$EM$24:$ES$24,1,BI282)+BI286*IF(BI283&lt;INDEX('Lease Cycles'!$FA$24:$FG$24,1,BI282),0,1-INDEX('Lease Cycles'!$EM$24:$ES$24,1,BI282)),BI285*IF(BI283&lt;INDEX('Lease Cycles'!$DK$24:$DQ$24,1,BI282),0,IF(BI283=INDEX('Lease Cycles'!$DK$24:$DQ$24,1,BI282),1-INDEX('Lease Cycles'!$DR$24:$DX$24,1,BI282),1))),0)</f>
        <v>0</v>
      </c>
      <c r="BJ288" s="28">
        <f>IF(BJ284=1,IF(INDEX('Lease Cycles'!$EF$24:$EL$24,1,BJ282)=1,BJ285*INDEX('Lease Cycles'!$EM$24:$ES$24,1,BJ282)+BJ286*IF(BJ283&lt;INDEX('Lease Cycles'!$FA$24:$FG$24,1,BJ282),0,1-INDEX('Lease Cycles'!$EM$24:$ES$24,1,BJ282)),BJ285*IF(BJ283&lt;INDEX('Lease Cycles'!$DK$24:$DQ$24,1,BJ282),0,IF(BJ283=INDEX('Lease Cycles'!$DK$24:$DQ$24,1,BJ282),1-INDEX('Lease Cycles'!$DR$24:$DX$24,1,BJ282),1))),0)</f>
        <v>0</v>
      </c>
      <c r="BK288" s="28">
        <f>IF(BK284=1,IF(INDEX('Lease Cycles'!$EF$24:$EL$24,1,BK282)=1,BK285*INDEX('Lease Cycles'!$EM$24:$ES$24,1,BK282)+BK286*IF(BK283&lt;INDEX('Lease Cycles'!$FA$24:$FG$24,1,BK282),0,1-INDEX('Lease Cycles'!$EM$24:$ES$24,1,BK282)),BK285*IF(BK283&lt;INDEX('Lease Cycles'!$DK$24:$DQ$24,1,BK282),0,IF(BK283=INDEX('Lease Cycles'!$DK$24:$DQ$24,1,BK282),1-INDEX('Lease Cycles'!$DR$24:$DX$24,1,BK282),1))),0)</f>
        <v>0</v>
      </c>
      <c r="BL288" s="28">
        <f>IF(BL284=1,IF(INDEX('Lease Cycles'!$EF$24:$EL$24,1,BL282)=1,BL285*INDEX('Lease Cycles'!$EM$24:$ES$24,1,BL282)+BL286*IF(BL283&lt;INDEX('Lease Cycles'!$FA$24:$FG$24,1,BL282),0,1-INDEX('Lease Cycles'!$EM$24:$ES$24,1,BL282)),BL285*IF(BL283&lt;INDEX('Lease Cycles'!$DK$24:$DQ$24,1,BL282),0,IF(BL283=INDEX('Lease Cycles'!$DK$24:$DQ$24,1,BL282),1-INDEX('Lease Cycles'!$DR$24:$DX$24,1,BL282),1))),0)</f>
        <v>0</v>
      </c>
      <c r="BM288" s="28">
        <f>IF(BM284=1,IF(INDEX('Lease Cycles'!$EF$24:$EL$24,1,BM282)=1,BM285*INDEX('Lease Cycles'!$EM$24:$ES$24,1,BM282)+BM286*IF(BM283&lt;INDEX('Lease Cycles'!$FA$24:$FG$24,1,BM282),0,1-INDEX('Lease Cycles'!$EM$24:$ES$24,1,BM282)),BM285*IF(BM283&lt;INDEX('Lease Cycles'!$DK$24:$DQ$24,1,BM282),0,IF(BM283=INDEX('Lease Cycles'!$DK$24:$DQ$24,1,BM282),1-INDEX('Lease Cycles'!$DR$24:$DX$24,1,BM282),1))),0)</f>
        <v>0</v>
      </c>
      <c r="BN288" s="28">
        <f>IF(BN284=1,IF(INDEX('Lease Cycles'!$EF$24:$EL$24,1,BN282)=1,BN285*INDEX('Lease Cycles'!$EM$24:$ES$24,1,BN282)+BN286*IF(BN283&lt;INDEX('Lease Cycles'!$FA$24:$FG$24,1,BN282),0,1-INDEX('Lease Cycles'!$EM$24:$ES$24,1,BN282)),BN285*IF(BN283&lt;INDEX('Lease Cycles'!$DK$24:$DQ$24,1,BN282),0,IF(BN283=INDEX('Lease Cycles'!$DK$24:$DQ$24,1,BN282),1-INDEX('Lease Cycles'!$DR$24:$DX$24,1,BN282),1))),0)</f>
        <v>0</v>
      </c>
      <c r="BO288" s="28">
        <f>IF(BO284=1,IF(INDEX('Lease Cycles'!$EF$24:$EL$24,1,BO282)=1,BO285*INDEX('Lease Cycles'!$EM$24:$ES$24,1,BO282)+BO286*IF(BO283&lt;INDEX('Lease Cycles'!$FA$24:$FG$24,1,BO282),0,1-INDEX('Lease Cycles'!$EM$24:$ES$24,1,BO282)),BO285*IF(BO283&lt;INDEX('Lease Cycles'!$DK$24:$DQ$24,1,BO282),0,IF(BO283=INDEX('Lease Cycles'!$DK$24:$DQ$24,1,BO282),1-INDEX('Lease Cycles'!$DR$24:$DX$24,1,BO282),1))),0)</f>
        <v>0</v>
      </c>
      <c r="BP288" s="28">
        <f>IF(BP284=1,IF(INDEX('Lease Cycles'!$EF$24:$EL$24,1,BP282)=1,BP285*INDEX('Lease Cycles'!$EM$24:$ES$24,1,BP282)+BP286*IF(BP283&lt;INDEX('Lease Cycles'!$FA$24:$FG$24,1,BP282),0,1-INDEX('Lease Cycles'!$EM$24:$ES$24,1,BP282)),BP285*IF(BP283&lt;INDEX('Lease Cycles'!$DK$24:$DQ$24,1,BP282),0,IF(BP283=INDEX('Lease Cycles'!$DK$24:$DQ$24,1,BP282),1-INDEX('Lease Cycles'!$DR$24:$DX$24,1,BP282),1))),0)</f>
        <v>0</v>
      </c>
      <c r="BQ288" s="28">
        <f>IF(BQ284=1,IF(INDEX('Lease Cycles'!$EF$24:$EL$24,1,BQ282)=1,BQ285*INDEX('Lease Cycles'!$EM$24:$ES$24,1,BQ282)+BQ286*IF(BQ283&lt;INDEX('Lease Cycles'!$FA$24:$FG$24,1,BQ282),0,1-INDEX('Lease Cycles'!$EM$24:$ES$24,1,BQ282)),BQ285*IF(BQ283&lt;INDEX('Lease Cycles'!$DK$24:$DQ$24,1,BQ282),0,IF(BQ283=INDEX('Lease Cycles'!$DK$24:$DQ$24,1,BQ282),1-INDEX('Lease Cycles'!$DR$24:$DX$24,1,BQ282),1))),0)</f>
        <v>0</v>
      </c>
      <c r="BR288" s="28">
        <f>IF(BR284=1,IF(INDEX('Lease Cycles'!$EF$24:$EL$24,1,BR282)=1,BR285*INDEX('Lease Cycles'!$EM$24:$ES$24,1,BR282)+BR286*IF(BR283&lt;INDEX('Lease Cycles'!$FA$24:$FG$24,1,BR282),0,1-INDEX('Lease Cycles'!$EM$24:$ES$24,1,BR282)),BR285*IF(BR283&lt;INDEX('Lease Cycles'!$DK$24:$DQ$24,1,BR282),0,IF(BR283=INDEX('Lease Cycles'!$DK$24:$DQ$24,1,BR282),1-INDEX('Lease Cycles'!$DR$24:$DX$24,1,BR282),1))),0)</f>
        <v>0</v>
      </c>
      <c r="BS288" s="28">
        <f>IF(BS284=1,IF(INDEX('Lease Cycles'!$EF$24:$EL$24,1,BS282)=1,BS285*INDEX('Lease Cycles'!$EM$24:$ES$24,1,BS282)+BS286*IF(BS283&lt;INDEX('Lease Cycles'!$FA$24:$FG$24,1,BS282),0,1-INDEX('Lease Cycles'!$EM$24:$ES$24,1,BS282)),BS285*IF(BS283&lt;INDEX('Lease Cycles'!$DK$24:$DQ$24,1,BS282),0,IF(BS283=INDEX('Lease Cycles'!$DK$24:$DQ$24,1,BS282),1-INDEX('Lease Cycles'!$DR$24:$DX$24,1,BS282),1))),0)</f>
        <v>0</v>
      </c>
      <c r="BT288" s="28">
        <f>IF(BT284=1,IF(INDEX('Lease Cycles'!$EF$24:$EL$24,1,BT282)=1,BT285*INDEX('Lease Cycles'!$EM$24:$ES$24,1,BT282)+BT286*IF(BT283&lt;INDEX('Lease Cycles'!$FA$24:$FG$24,1,BT282),0,1-INDEX('Lease Cycles'!$EM$24:$ES$24,1,BT282)),BT285*IF(BT283&lt;INDEX('Lease Cycles'!$DK$24:$DQ$24,1,BT282),0,IF(BT283=INDEX('Lease Cycles'!$DK$24:$DQ$24,1,BT282),1-INDEX('Lease Cycles'!$DR$24:$DX$24,1,BT282),1))),0)</f>
        <v>0</v>
      </c>
      <c r="BU288" s="28">
        <f>IF(BU284=1,IF(INDEX('Lease Cycles'!$EF$24:$EL$24,1,BU282)=1,BU285*INDEX('Lease Cycles'!$EM$24:$ES$24,1,BU282)+BU286*IF(BU283&lt;INDEX('Lease Cycles'!$FA$24:$FG$24,1,BU282),0,1-INDEX('Lease Cycles'!$EM$24:$ES$24,1,BU282)),BU285*IF(BU283&lt;INDEX('Lease Cycles'!$DK$24:$DQ$24,1,BU282),0,IF(BU283=INDEX('Lease Cycles'!$DK$24:$DQ$24,1,BU282),1-INDEX('Lease Cycles'!$DR$24:$DX$24,1,BU282),1))),0)</f>
        <v>0</v>
      </c>
      <c r="BV288" s="28">
        <f>IF(BV284=1,IF(INDEX('Lease Cycles'!$EF$24:$EL$24,1,BV282)=1,BV285*INDEX('Lease Cycles'!$EM$24:$ES$24,1,BV282)+BV286*IF(BV283&lt;INDEX('Lease Cycles'!$FA$24:$FG$24,1,BV282),0,1-INDEX('Lease Cycles'!$EM$24:$ES$24,1,BV282)),BV285*IF(BV283&lt;INDEX('Lease Cycles'!$DK$24:$DQ$24,1,BV282),0,IF(BV283=INDEX('Lease Cycles'!$DK$24:$DQ$24,1,BV282),1-INDEX('Lease Cycles'!$DR$24:$DX$24,1,BV282),1))),0)</f>
        <v>0</v>
      </c>
      <c r="BW288" s="28">
        <f>IF(BW284=1,IF(INDEX('Lease Cycles'!$EF$24:$EL$24,1,BW282)=1,BW285*INDEX('Lease Cycles'!$EM$24:$ES$24,1,BW282)+BW286*IF(BW283&lt;INDEX('Lease Cycles'!$FA$24:$FG$24,1,BW282),0,1-INDEX('Lease Cycles'!$EM$24:$ES$24,1,BW282)),BW285*IF(BW283&lt;INDEX('Lease Cycles'!$DK$24:$DQ$24,1,BW282),0,IF(BW283=INDEX('Lease Cycles'!$DK$24:$DQ$24,1,BW282),1-INDEX('Lease Cycles'!$DR$24:$DX$24,1,BW282),1))),0)</f>
        <v>0</v>
      </c>
      <c r="BX288" s="28">
        <f>IF(BX284=1,IF(INDEX('Lease Cycles'!$EF$24:$EL$24,1,BX282)=1,BX285*INDEX('Lease Cycles'!$EM$24:$ES$24,1,BX282)+BX286*IF(BX283&lt;INDEX('Lease Cycles'!$FA$24:$FG$24,1,BX282),0,1-INDEX('Lease Cycles'!$EM$24:$ES$24,1,BX282)),BX285*IF(BX283&lt;INDEX('Lease Cycles'!$DK$24:$DQ$24,1,BX282),0,IF(BX283=INDEX('Lease Cycles'!$DK$24:$DQ$24,1,BX282),1-INDEX('Lease Cycles'!$DR$24:$DX$24,1,BX282),1))),0)</f>
        <v>0</v>
      </c>
      <c r="BY288" s="28">
        <f>IF(BY284=1,IF(INDEX('Lease Cycles'!$EF$24:$EL$24,1,BY282)=1,BY285*INDEX('Lease Cycles'!$EM$24:$ES$24,1,BY282)+BY286*IF(BY283&lt;INDEX('Lease Cycles'!$FA$24:$FG$24,1,BY282),0,1-INDEX('Lease Cycles'!$EM$24:$ES$24,1,BY282)),BY285*IF(BY283&lt;INDEX('Lease Cycles'!$DK$24:$DQ$24,1,BY282),0,IF(BY283=INDEX('Lease Cycles'!$DK$24:$DQ$24,1,BY282),1-INDEX('Lease Cycles'!$DR$24:$DX$24,1,BY282),1))),0)</f>
        <v>0</v>
      </c>
      <c r="BZ288" s="28">
        <f>IF(BZ284=1,IF(INDEX('Lease Cycles'!$EF$24:$EL$24,1,BZ282)=1,BZ285*INDEX('Lease Cycles'!$EM$24:$ES$24,1,BZ282)+BZ286*IF(BZ283&lt;INDEX('Lease Cycles'!$FA$24:$FG$24,1,BZ282),0,1-INDEX('Lease Cycles'!$EM$24:$ES$24,1,BZ282)),BZ285*IF(BZ283&lt;INDEX('Lease Cycles'!$DK$24:$DQ$24,1,BZ282),0,IF(BZ283=INDEX('Lease Cycles'!$DK$24:$DQ$24,1,BZ282),1-INDEX('Lease Cycles'!$DR$24:$DX$24,1,BZ282),1))),0)</f>
        <v>0</v>
      </c>
      <c r="CA288" s="28">
        <f>IF(CA284=1,IF(INDEX('Lease Cycles'!$EF$24:$EL$24,1,CA282)=1,CA285*INDEX('Lease Cycles'!$EM$24:$ES$24,1,CA282)+CA286*IF(CA283&lt;INDEX('Lease Cycles'!$FA$24:$FG$24,1,CA282),0,1-INDEX('Lease Cycles'!$EM$24:$ES$24,1,CA282)),CA285*IF(CA283&lt;INDEX('Lease Cycles'!$DK$24:$DQ$24,1,CA282),0,IF(CA283=INDEX('Lease Cycles'!$DK$24:$DQ$24,1,CA282),1-INDEX('Lease Cycles'!$DR$24:$DX$24,1,CA282),1))),0)</f>
        <v>0</v>
      </c>
      <c r="CB288" s="28">
        <f>IF(CB284=1,IF(INDEX('Lease Cycles'!$EF$24:$EL$24,1,CB282)=1,CB285*INDEX('Lease Cycles'!$EM$24:$ES$24,1,CB282)+CB286*IF(CB283&lt;INDEX('Lease Cycles'!$FA$24:$FG$24,1,CB282),0,1-INDEX('Lease Cycles'!$EM$24:$ES$24,1,CB282)),CB285*IF(CB283&lt;INDEX('Lease Cycles'!$DK$24:$DQ$24,1,CB282),0,IF(CB283=INDEX('Lease Cycles'!$DK$24:$DQ$24,1,CB282),1-INDEX('Lease Cycles'!$DR$24:$DX$24,1,CB282),1))),0)</f>
        <v>0</v>
      </c>
      <c r="CC288" s="28">
        <f>IF(CC284=1,IF(INDEX('Lease Cycles'!$EF$24:$EL$24,1,CC282)=1,CC285*INDEX('Lease Cycles'!$EM$24:$ES$24,1,CC282)+CC286*IF(CC283&lt;INDEX('Lease Cycles'!$FA$24:$FG$24,1,CC282),0,1-INDEX('Lease Cycles'!$EM$24:$ES$24,1,CC282)),CC285*IF(CC283&lt;INDEX('Lease Cycles'!$DK$24:$DQ$24,1,CC282),0,IF(CC283=INDEX('Lease Cycles'!$DK$24:$DQ$24,1,CC282),1-INDEX('Lease Cycles'!$DR$24:$DX$24,1,CC282),1))),0)</f>
        <v>0</v>
      </c>
      <c r="CD288" s="28">
        <f>IF(CD284=1,IF(INDEX('Lease Cycles'!$EF$24:$EL$24,1,CD282)=1,CD285*INDEX('Lease Cycles'!$EM$24:$ES$24,1,CD282)+CD286*IF(CD283&lt;INDEX('Lease Cycles'!$FA$24:$FG$24,1,CD282),0,1-INDEX('Lease Cycles'!$EM$24:$ES$24,1,CD282)),CD285*IF(CD283&lt;INDEX('Lease Cycles'!$DK$24:$DQ$24,1,CD282),0,IF(CD283=INDEX('Lease Cycles'!$DK$24:$DQ$24,1,CD282),1-INDEX('Lease Cycles'!$DR$24:$DX$24,1,CD282),1))),0)</f>
        <v>0</v>
      </c>
      <c r="CE288" s="28">
        <f>IF(CE284=1,IF(INDEX('Lease Cycles'!$EF$24:$EL$24,1,CE282)=1,CE285*INDEX('Lease Cycles'!$EM$24:$ES$24,1,CE282)+CE286*IF(CE283&lt;INDEX('Lease Cycles'!$FA$24:$FG$24,1,CE282),0,1-INDEX('Lease Cycles'!$EM$24:$ES$24,1,CE282)),CE285*IF(CE283&lt;INDEX('Lease Cycles'!$DK$24:$DQ$24,1,CE282),0,IF(CE283=INDEX('Lease Cycles'!$DK$24:$DQ$24,1,CE282),1-INDEX('Lease Cycles'!$DR$24:$DX$24,1,CE282),1))),0)</f>
        <v>0</v>
      </c>
      <c r="CF288" s="28">
        <f>IF(CF284=1,IF(INDEX('Lease Cycles'!$EF$24:$EL$24,1,CF282)=1,CF285*INDEX('Lease Cycles'!$EM$24:$ES$24,1,CF282)+CF286*IF(CF283&lt;INDEX('Lease Cycles'!$FA$24:$FG$24,1,CF282),0,1-INDEX('Lease Cycles'!$EM$24:$ES$24,1,CF282)),CF285*IF(CF283&lt;INDEX('Lease Cycles'!$DK$24:$DQ$24,1,CF282),0,IF(CF283=INDEX('Lease Cycles'!$DK$24:$DQ$24,1,CF282),1-INDEX('Lease Cycles'!$DR$24:$DX$24,1,CF282),1))),0)</f>
        <v>0</v>
      </c>
      <c r="CG288" s="28">
        <f>IF(CG284=1,IF(INDEX('Lease Cycles'!$EF$24:$EL$24,1,CG282)=1,CG285*INDEX('Lease Cycles'!$EM$24:$ES$24,1,CG282)+CG286*IF(CG283&lt;INDEX('Lease Cycles'!$FA$24:$FG$24,1,CG282),0,1-INDEX('Lease Cycles'!$EM$24:$ES$24,1,CG282)),CG285*IF(CG283&lt;INDEX('Lease Cycles'!$DK$24:$DQ$24,1,CG282),0,IF(CG283=INDEX('Lease Cycles'!$DK$24:$DQ$24,1,CG282),1-INDEX('Lease Cycles'!$DR$24:$DX$24,1,CG282),1))),0)</f>
        <v>0</v>
      </c>
      <c r="CH288" s="28">
        <f>IF(CH284=1,IF(INDEX('Lease Cycles'!$EF$24:$EL$24,1,CH282)=1,CH285*INDEX('Lease Cycles'!$EM$24:$ES$24,1,CH282)+CH286*IF(CH283&lt;INDEX('Lease Cycles'!$FA$24:$FG$24,1,CH282),0,1-INDEX('Lease Cycles'!$EM$24:$ES$24,1,CH282)),CH285*IF(CH283&lt;INDEX('Lease Cycles'!$DK$24:$DQ$24,1,CH282),0,IF(CH283=INDEX('Lease Cycles'!$DK$24:$DQ$24,1,CH282),1-INDEX('Lease Cycles'!$DR$24:$DX$24,1,CH282),1))),0)</f>
        <v>0</v>
      </c>
      <c r="CI288" s="28">
        <f>IF(CI284=1,IF(INDEX('Lease Cycles'!$EF$24:$EL$24,1,CI282)=1,CI285*INDEX('Lease Cycles'!$EM$24:$ES$24,1,CI282)+CI286*IF(CI283&lt;INDEX('Lease Cycles'!$FA$24:$FG$24,1,CI282),0,1-INDEX('Lease Cycles'!$EM$24:$ES$24,1,CI282)),CI285*IF(CI283&lt;INDEX('Lease Cycles'!$DK$24:$DQ$24,1,CI282),0,IF(CI283=INDEX('Lease Cycles'!$DK$24:$DQ$24,1,CI282),1-INDEX('Lease Cycles'!$DR$24:$DX$24,1,CI282),1))),0)</f>
        <v>0</v>
      </c>
      <c r="CJ288" s="28">
        <f>IF(CJ284=1,IF(INDEX('Lease Cycles'!$EF$24:$EL$24,1,CJ282)=1,CJ285*INDEX('Lease Cycles'!$EM$24:$ES$24,1,CJ282)+CJ286*IF(CJ283&lt;INDEX('Lease Cycles'!$FA$24:$FG$24,1,CJ282),0,1-INDEX('Lease Cycles'!$EM$24:$ES$24,1,CJ282)),CJ285*IF(CJ283&lt;INDEX('Lease Cycles'!$DK$24:$DQ$24,1,CJ282),0,IF(CJ283=INDEX('Lease Cycles'!$DK$24:$DQ$24,1,CJ282),1-INDEX('Lease Cycles'!$DR$24:$DX$24,1,CJ282),1))),0)</f>
        <v>0</v>
      </c>
      <c r="CK288" s="28">
        <f>IF(CK284=1,IF(INDEX('Lease Cycles'!$EF$24:$EL$24,1,CK282)=1,CK285*INDEX('Lease Cycles'!$EM$24:$ES$24,1,CK282)+CK286*IF(CK283&lt;INDEX('Lease Cycles'!$FA$24:$FG$24,1,CK282),0,1-INDEX('Lease Cycles'!$EM$24:$ES$24,1,CK282)),CK285*IF(CK283&lt;INDEX('Lease Cycles'!$DK$24:$DQ$24,1,CK282),0,IF(CK283=INDEX('Lease Cycles'!$DK$24:$DQ$24,1,CK282),1-INDEX('Lease Cycles'!$DR$24:$DX$24,1,CK282),1))),0)</f>
        <v>0</v>
      </c>
      <c r="CL288" s="28">
        <f>IF(CL284=1,IF(INDEX('Lease Cycles'!$EF$24:$EL$24,1,CL282)=1,CL285*INDEX('Lease Cycles'!$EM$24:$ES$24,1,CL282)+CL286*IF(CL283&lt;INDEX('Lease Cycles'!$FA$24:$FG$24,1,CL282),0,1-INDEX('Lease Cycles'!$EM$24:$ES$24,1,CL282)),CL285*IF(CL283&lt;INDEX('Lease Cycles'!$DK$24:$DQ$24,1,CL282),0,IF(CL283=INDEX('Lease Cycles'!$DK$24:$DQ$24,1,CL282),1-INDEX('Lease Cycles'!$DR$24:$DX$24,1,CL282),1))),0)</f>
        <v>0</v>
      </c>
      <c r="CM288" s="28">
        <f>IF(CM284=1,IF(INDEX('Lease Cycles'!$EF$24:$EL$24,1,CM282)=1,CM285*INDEX('Lease Cycles'!$EM$24:$ES$24,1,CM282)+CM286*IF(CM283&lt;INDEX('Lease Cycles'!$FA$24:$FG$24,1,CM282),0,1-INDEX('Lease Cycles'!$EM$24:$ES$24,1,CM282)),CM285*IF(CM283&lt;INDEX('Lease Cycles'!$DK$24:$DQ$24,1,CM282),0,IF(CM283=INDEX('Lease Cycles'!$DK$24:$DQ$24,1,CM282),1-INDEX('Lease Cycles'!$DR$24:$DX$24,1,CM282),1))),0)</f>
        <v>0</v>
      </c>
      <c r="CN288" s="28">
        <f>IF(CN284=1,IF(INDEX('Lease Cycles'!$EF$24:$EL$24,1,CN282)=1,CN285*INDEX('Lease Cycles'!$EM$24:$ES$24,1,CN282)+CN286*IF(CN283&lt;INDEX('Lease Cycles'!$FA$24:$FG$24,1,CN282),0,1-INDEX('Lease Cycles'!$EM$24:$ES$24,1,CN282)),CN285*IF(CN283&lt;INDEX('Lease Cycles'!$DK$24:$DQ$24,1,CN282),0,IF(CN283=INDEX('Lease Cycles'!$DK$24:$DQ$24,1,CN282),1-INDEX('Lease Cycles'!$DR$24:$DX$24,1,CN282),1))),0)</f>
        <v>0</v>
      </c>
      <c r="CO288" s="28">
        <f>IF(CO284=1,IF(INDEX('Lease Cycles'!$EF$24:$EL$24,1,CO282)=1,CO285*INDEX('Lease Cycles'!$EM$24:$ES$24,1,CO282)+CO286*IF(CO283&lt;INDEX('Lease Cycles'!$FA$24:$FG$24,1,CO282),0,1-INDEX('Lease Cycles'!$EM$24:$ES$24,1,CO282)),CO285*IF(CO283&lt;INDEX('Lease Cycles'!$DK$24:$DQ$24,1,CO282),0,IF(CO283=INDEX('Lease Cycles'!$DK$24:$DQ$24,1,CO282),1-INDEX('Lease Cycles'!$DR$24:$DX$24,1,CO282),1))),0)</f>
        <v>0</v>
      </c>
      <c r="CP288" s="28">
        <f>IF(CP284=1,IF(INDEX('Lease Cycles'!$EF$24:$EL$24,1,CP282)=1,CP285*INDEX('Lease Cycles'!$EM$24:$ES$24,1,CP282)+CP286*IF(CP283&lt;INDEX('Lease Cycles'!$FA$24:$FG$24,1,CP282),0,1-INDEX('Lease Cycles'!$EM$24:$ES$24,1,CP282)),CP285*IF(CP283&lt;INDEX('Lease Cycles'!$DK$24:$DQ$24,1,CP282),0,IF(CP283=INDEX('Lease Cycles'!$DK$24:$DQ$24,1,CP282),1-INDEX('Lease Cycles'!$DR$24:$DX$24,1,CP282),1))),0)</f>
        <v>0</v>
      </c>
      <c r="CQ288" s="28">
        <f>IF(CQ284=1,IF(INDEX('Lease Cycles'!$EF$24:$EL$24,1,CQ282)=1,CQ285*INDEX('Lease Cycles'!$EM$24:$ES$24,1,CQ282)+CQ286*IF(CQ283&lt;INDEX('Lease Cycles'!$FA$24:$FG$24,1,CQ282),0,1-INDEX('Lease Cycles'!$EM$24:$ES$24,1,CQ282)),CQ285*IF(CQ283&lt;INDEX('Lease Cycles'!$DK$24:$DQ$24,1,CQ282),0,IF(CQ283=INDEX('Lease Cycles'!$DK$24:$DQ$24,1,CQ282),1-INDEX('Lease Cycles'!$DR$24:$DX$24,1,CQ282),1))),0)</f>
        <v>0</v>
      </c>
      <c r="CR288" s="28">
        <f>IF(CR284=1,IF(INDEX('Lease Cycles'!$EF$24:$EL$24,1,CR282)=1,CR285*INDEX('Lease Cycles'!$EM$24:$ES$24,1,CR282)+CR286*IF(CR283&lt;INDEX('Lease Cycles'!$FA$24:$FG$24,1,CR282),0,1-INDEX('Lease Cycles'!$EM$24:$ES$24,1,CR282)),CR285*IF(CR283&lt;INDEX('Lease Cycles'!$DK$24:$DQ$24,1,CR282),0,IF(CR283=INDEX('Lease Cycles'!$DK$24:$DQ$24,1,CR282),1-INDEX('Lease Cycles'!$DR$24:$DX$24,1,CR282),1))),0)</f>
        <v>0</v>
      </c>
      <c r="CS288" s="28">
        <f>IF(CS284=1,IF(INDEX('Lease Cycles'!$EF$24:$EL$24,1,CS282)=1,CS285*INDEX('Lease Cycles'!$EM$24:$ES$24,1,CS282)+CS286*IF(CS283&lt;INDEX('Lease Cycles'!$FA$24:$FG$24,1,CS282),0,1-INDEX('Lease Cycles'!$EM$24:$ES$24,1,CS282)),CS285*IF(CS283&lt;INDEX('Lease Cycles'!$DK$24:$DQ$24,1,CS282),0,IF(CS283=INDEX('Lease Cycles'!$DK$24:$DQ$24,1,CS282),1-INDEX('Lease Cycles'!$DR$24:$DX$24,1,CS282),1))),0)</f>
        <v>0</v>
      </c>
      <c r="CT288" s="28">
        <f>IF(CT284=1,IF(INDEX('Lease Cycles'!$EF$24:$EL$24,1,CT282)=1,CT285*INDEX('Lease Cycles'!$EM$24:$ES$24,1,CT282)+CT286*IF(CT283&lt;INDEX('Lease Cycles'!$FA$24:$FG$24,1,CT282),0,1-INDEX('Lease Cycles'!$EM$24:$ES$24,1,CT282)),CT285*IF(CT283&lt;INDEX('Lease Cycles'!$DK$24:$DQ$24,1,CT282),0,IF(CT283=INDEX('Lease Cycles'!$DK$24:$DQ$24,1,CT282),1-INDEX('Lease Cycles'!$DR$24:$DX$24,1,CT282),1))),0)</f>
        <v>0</v>
      </c>
      <c r="CU288" s="28">
        <f>IF(CU284=1,IF(INDEX('Lease Cycles'!$EF$24:$EL$24,1,CU282)=1,CU285*INDEX('Lease Cycles'!$EM$24:$ES$24,1,CU282)+CU286*IF(CU283&lt;INDEX('Lease Cycles'!$FA$24:$FG$24,1,CU282),0,1-INDEX('Lease Cycles'!$EM$24:$ES$24,1,CU282)),CU285*IF(CU283&lt;INDEX('Lease Cycles'!$DK$24:$DQ$24,1,CU282),0,IF(CU283=INDEX('Lease Cycles'!$DK$24:$DQ$24,1,CU282),1-INDEX('Lease Cycles'!$DR$24:$DX$24,1,CU282),1))),0)</f>
        <v>0</v>
      </c>
      <c r="CV288" s="28">
        <f>IF(CV284=1,IF(INDEX('Lease Cycles'!$EF$24:$EL$24,1,CV282)=1,CV285*INDEX('Lease Cycles'!$EM$24:$ES$24,1,CV282)+CV286*IF(CV283&lt;INDEX('Lease Cycles'!$FA$24:$FG$24,1,CV282),0,1-INDEX('Lease Cycles'!$EM$24:$ES$24,1,CV282)),CV285*IF(CV283&lt;INDEX('Lease Cycles'!$DK$24:$DQ$24,1,CV282),0,IF(CV283=INDEX('Lease Cycles'!$DK$24:$DQ$24,1,CV282),1-INDEX('Lease Cycles'!$DR$24:$DX$24,1,CV282),1))),0)</f>
        <v>0</v>
      </c>
      <c r="CW288" s="28">
        <f>IF(CW284=1,IF(INDEX('Lease Cycles'!$EF$24:$EL$24,1,CW282)=1,CW285*INDEX('Lease Cycles'!$EM$24:$ES$24,1,CW282)+CW286*IF(CW283&lt;INDEX('Lease Cycles'!$FA$24:$FG$24,1,CW282),0,1-INDEX('Lease Cycles'!$EM$24:$ES$24,1,CW282)),CW285*IF(CW283&lt;INDEX('Lease Cycles'!$DK$24:$DQ$24,1,CW282),0,IF(CW283=INDEX('Lease Cycles'!$DK$24:$DQ$24,1,CW282),1-INDEX('Lease Cycles'!$DR$24:$DX$24,1,CW282),1))),0)</f>
        <v>0</v>
      </c>
      <c r="CX288" s="28">
        <f>IF(CX284=1,IF(INDEX('Lease Cycles'!$EF$24:$EL$24,1,CX282)=1,CX285*INDEX('Lease Cycles'!$EM$24:$ES$24,1,CX282)+CX286*IF(CX283&lt;INDEX('Lease Cycles'!$FA$24:$FG$24,1,CX282),0,1-INDEX('Lease Cycles'!$EM$24:$ES$24,1,CX282)),CX285*IF(CX283&lt;INDEX('Lease Cycles'!$DK$24:$DQ$24,1,CX282),0,IF(CX283=INDEX('Lease Cycles'!$DK$24:$DQ$24,1,CX282),1-INDEX('Lease Cycles'!$DR$24:$DX$24,1,CX282),1))),0)</f>
        <v>0</v>
      </c>
      <c r="CY288" s="28">
        <f>IF(CY284=1,IF(INDEX('Lease Cycles'!$EF$24:$EL$24,1,CY282)=1,CY285*INDEX('Lease Cycles'!$EM$24:$ES$24,1,CY282)+CY286*IF(CY283&lt;INDEX('Lease Cycles'!$FA$24:$FG$24,1,CY282),0,1-INDEX('Lease Cycles'!$EM$24:$ES$24,1,CY282)),CY285*IF(CY283&lt;INDEX('Lease Cycles'!$DK$24:$DQ$24,1,CY282),0,IF(CY283=INDEX('Lease Cycles'!$DK$24:$DQ$24,1,CY282),1-INDEX('Lease Cycles'!$DR$24:$DX$24,1,CY282),1))),0)</f>
        <v>0</v>
      </c>
      <c r="CZ288" s="28">
        <f>IF(CZ284=1,IF(INDEX('Lease Cycles'!$EF$24:$EL$24,1,CZ282)=1,CZ285*INDEX('Lease Cycles'!$EM$24:$ES$24,1,CZ282)+CZ286*IF(CZ283&lt;INDEX('Lease Cycles'!$FA$24:$FG$24,1,CZ282),0,1-INDEX('Lease Cycles'!$EM$24:$ES$24,1,CZ282)),CZ285*IF(CZ283&lt;INDEX('Lease Cycles'!$DK$24:$DQ$24,1,CZ282),0,IF(CZ283=INDEX('Lease Cycles'!$DK$24:$DQ$24,1,CZ282),1-INDEX('Lease Cycles'!$DR$24:$DX$24,1,CZ282),1))),0)</f>
        <v>0</v>
      </c>
      <c r="DA288" s="28">
        <f>IF(DA284=1,IF(INDEX('Lease Cycles'!$EF$24:$EL$24,1,DA282)=1,DA285*INDEX('Lease Cycles'!$EM$24:$ES$24,1,DA282)+DA286*IF(DA283&lt;INDEX('Lease Cycles'!$FA$24:$FG$24,1,DA282),0,1-INDEX('Lease Cycles'!$EM$24:$ES$24,1,DA282)),DA285*IF(DA283&lt;INDEX('Lease Cycles'!$DK$24:$DQ$24,1,DA282),0,IF(DA283=INDEX('Lease Cycles'!$DK$24:$DQ$24,1,DA282),1-INDEX('Lease Cycles'!$DR$24:$DX$24,1,DA282),1))),0)</f>
        <v>0</v>
      </c>
      <c r="DB288" s="28">
        <f>IF(DB284=1,IF(INDEX('Lease Cycles'!$EF$24:$EL$24,1,DB282)=1,DB285*INDEX('Lease Cycles'!$EM$24:$ES$24,1,DB282)+DB286*IF(DB283&lt;INDEX('Lease Cycles'!$FA$24:$FG$24,1,DB282),0,1-INDEX('Lease Cycles'!$EM$24:$ES$24,1,DB282)),DB285*IF(DB283&lt;INDEX('Lease Cycles'!$DK$24:$DQ$24,1,DB282),0,IF(DB283=INDEX('Lease Cycles'!$DK$24:$DQ$24,1,DB282),1-INDEX('Lease Cycles'!$DR$24:$DX$24,1,DB282),1))),0)</f>
        <v>0</v>
      </c>
      <c r="DC288" s="28">
        <f>IF(DC284=1,IF(INDEX('Lease Cycles'!$EF$24:$EL$24,1,DC282)=1,DC285*INDEX('Lease Cycles'!$EM$24:$ES$24,1,DC282)+DC286*IF(DC283&lt;INDEX('Lease Cycles'!$FA$24:$FG$24,1,DC282),0,1-INDEX('Lease Cycles'!$EM$24:$ES$24,1,DC282)),DC285*IF(DC283&lt;INDEX('Lease Cycles'!$DK$24:$DQ$24,1,DC282),0,IF(DC283=INDEX('Lease Cycles'!$DK$24:$DQ$24,1,DC282),1-INDEX('Lease Cycles'!$DR$24:$DX$24,1,DC282),1))),0)</f>
        <v>0</v>
      </c>
      <c r="DD288" s="28">
        <f>IF(DD284=1,IF(INDEX('Lease Cycles'!$EF$24:$EL$24,1,DD282)=1,DD285*INDEX('Lease Cycles'!$EM$24:$ES$24,1,DD282)+DD286*IF(DD283&lt;INDEX('Lease Cycles'!$FA$24:$FG$24,1,DD282),0,1-INDEX('Lease Cycles'!$EM$24:$ES$24,1,DD282)),DD285*IF(DD283&lt;INDEX('Lease Cycles'!$DK$24:$DQ$24,1,DD282),0,IF(DD283=INDEX('Lease Cycles'!$DK$24:$DQ$24,1,DD282),1-INDEX('Lease Cycles'!$DR$24:$DX$24,1,DD282),1))),0)</f>
        <v>0</v>
      </c>
      <c r="DE288" s="28">
        <f>IF(DE284=1,IF(INDEX('Lease Cycles'!$EF$24:$EL$24,1,DE282)=1,DE285*INDEX('Lease Cycles'!$EM$24:$ES$24,1,DE282)+DE286*IF(DE283&lt;INDEX('Lease Cycles'!$FA$24:$FG$24,1,DE282),0,1-INDEX('Lease Cycles'!$EM$24:$ES$24,1,DE282)),DE285*IF(DE283&lt;INDEX('Lease Cycles'!$DK$24:$DQ$24,1,DE282),0,IF(DE283=INDEX('Lease Cycles'!$DK$24:$DQ$24,1,DE282),1-INDEX('Lease Cycles'!$DR$24:$DX$24,1,DE282),1))),0)</f>
        <v>0</v>
      </c>
      <c r="DF288" s="28">
        <f>IF(DF284=1,IF(INDEX('Lease Cycles'!$EF$24:$EL$24,1,DF282)=1,DF285*INDEX('Lease Cycles'!$EM$24:$ES$24,1,DF282)+DF286*IF(DF283&lt;INDEX('Lease Cycles'!$FA$24:$FG$24,1,DF282),0,1-INDEX('Lease Cycles'!$EM$24:$ES$24,1,DF282)),DF285*IF(DF283&lt;INDEX('Lease Cycles'!$DK$24:$DQ$24,1,DF282),0,IF(DF283=INDEX('Lease Cycles'!$DK$24:$DQ$24,1,DF282),1-INDEX('Lease Cycles'!$DR$24:$DX$24,1,DF282),1))),0)</f>
        <v>0</v>
      </c>
      <c r="DG288" s="28">
        <f>IF(DG284=1,IF(INDEX('Lease Cycles'!$EF$24:$EL$24,1,DG282)=1,DG285*INDEX('Lease Cycles'!$EM$24:$ES$24,1,DG282)+DG286*IF(DG283&lt;INDEX('Lease Cycles'!$FA$24:$FG$24,1,DG282),0,1-INDEX('Lease Cycles'!$EM$24:$ES$24,1,DG282)),DG285*IF(DG283&lt;INDEX('Lease Cycles'!$DK$24:$DQ$24,1,DG282),0,IF(DG283=INDEX('Lease Cycles'!$DK$24:$DQ$24,1,DG282),1-INDEX('Lease Cycles'!$DR$24:$DX$24,1,DG282),1))),0)</f>
        <v>0</v>
      </c>
      <c r="DH288" s="28">
        <f>IF(DH284=1,IF(INDEX('Lease Cycles'!$EF$24:$EL$24,1,DH282)=1,DH285*INDEX('Lease Cycles'!$EM$24:$ES$24,1,DH282)+DH286*IF(DH283&lt;INDEX('Lease Cycles'!$FA$24:$FG$24,1,DH282),0,1-INDEX('Lease Cycles'!$EM$24:$ES$24,1,DH282)),DH285*IF(DH283&lt;INDEX('Lease Cycles'!$DK$24:$DQ$24,1,DH282),0,IF(DH283=INDEX('Lease Cycles'!$DK$24:$DQ$24,1,DH282),1-INDEX('Lease Cycles'!$DR$24:$DX$24,1,DH282),1))),0)</f>
        <v>0</v>
      </c>
      <c r="DI288" s="28">
        <f>IF(DI284=1,IF(INDEX('Lease Cycles'!$EF$24:$EL$24,1,DI282)=1,DI285*INDEX('Lease Cycles'!$EM$24:$ES$24,1,DI282)+DI286*IF(DI283&lt;INDEX('Lease Cycles'!$FA$24:$FG$24,1,DI282),0,1-INDEX('Lease Cycles'!$EM$24:$ES$24,1,DI282)),DI285*IF(DI283&lt;INDEX('Lease Cycles'!$DK$24:$DQ$24,1,DI282),0,IF(DI283=INDEX('Lease Cycles'!$DK$24:$DQ$24,1,DI282),1-INDEX('Lease Cycles'!$DR$24:$DX$24,1,DI282),1))),0)</f>
        <v>0</v>
      </c>
      <c r="DJ288" s="28">
        <f>IF(DJ284=1,IF(INDEX('Lease Cycles'!$EF$24:$EL$24,1,DJ282)=1,DJ285*INDEX('Lease Cycles'!$EM$24:$ES$24,1,DJ282)+DJ286*IF(DJ283&lt;INDEX('Lease Cycles'!$FA$24:$FG$24,1,DJ282),0,1-INDEX('Lease Cycles'!$EM$24:$ES$24,1,DJ282)),DJ285*IF(DJ283&lt;INDEX('Lease Cycles'!$DK$24:$DQ$24,1,DJ282),0,IF(DJ283=INDEX('Lease Cycles'!$DK$24:$DQ$24,1,DJ282),1-INDEX('Lease Cycles'!$DR$24:$DX$24,1,DJ282),1))),0)</f>
        <v>0</v>
      </c>
      <c r="DK288" s="28">
        <f>IF(DK284=1,IF(INDEX('Lease Cycles'!$EF$24:$EL$24,1,DK282)=1,DK285*INDEX('Lease Cycles'!$EM$24:$ES$24,1,DK282)+DK286*IF(DK283&lt;INDEX('Lease Cycles'!$FA$24:$FG$24,1,DK282),0,1-INDEX('Lease Cycles'!$EM$24:$ES$24,1,DK282)),DK285*IF(DK283&lt;INDEX('Lease Cycles'!$DK$24:$DQ$24,1,DK282),0,IF(DK283=INDEX('Lease Cycles'!$DK$24:$DQ$24,1,DK282),1-INDEX('Lease Cycles'!$DR$24:$DX$24,1,DK282),1))),0)</f>
        <v>0</v>
      </c>
      <c r="DL288" s="28">
        <f>IF(DL284=1,IF(INDEX('Lease Cycles'!$EF$24:$EL$24,1,DL282)=1,DL285*INDEX('Lease Cycles'!$EM$24:$ES$24,1,DL282)+DL286*IF(DL283&lt;INDEX('Lease Cycles'!$FA$24:$FG$24,1,DL282),0,1-INDEX('Lease Cycles'!$EM$24:$ES$24,1,DL282)),DL285*IF(DL283&lt;INDEX('Lease Cycles'!$DK$24:$DQ$24,1,DL282),0,IF(DL283=INDEX('Lease Cycles'!$DK$24:$DQ$24,1,DL282),1-INDEX('Lease Cycles'!$DR$24:$DX$24,1,DL282),1))),0)</f>
        <v>0</v>
      </c>
      <c r="DM288" s="28">
        <f>IF(DM284=1,IF(INDEX('Lease Cycles'!$EF$24:$EL$24,1,DM282)=1,DM285*INDEX('Lease Cycles'!$EM$24:$ES$24,1,DM282)+DM286*IF(DM283&lt;INDEX('Lease Cycles'!$FA$24:$FG$24,1,DM282),0,1-INDEX('Lease Cycles'!$EM$24:$ES$24,1,DM282)),DM285*IF(DM283&lt;INDEX('Lease Cycles'!$DK$24:$DQ$24,1,DM282),0,IF(DM283=INDEX('Lease Cycles'!$DK$24:$DQ$24,1,DM282),1-INDEX('Lease Cycles'!$DR$24:$DX$24,1,DM282),1))),0)</f>
        <v>0</v>
      </c>
      <c r="DN288" s="28">
        <f>IF(DN284=1,IF(INDEX('Lease Cycles'!$EF$24:$EL$24,1,DN282)=1,DN285*INDEX('Lease Cycles'!$EM$24:$ES$24,1,DN282)+DN286*IF(DN283&lt;INDEX('Lease Cycles'!$FA$24:$FG$24,1,DN282),0,1-INDEX('Lease Cycles'!$EM$24:$ES$24,1,DN282)),DN285*IF(DN283&lt;INDEX('Lease Cycles'!$DK$24:$DQ$24,1,DN282),0,IF(DN283=INDEX('Lease Cycles'!$DK$24:$DQ$24,1,DN282),1-INDEX('Lease Cycles'!$DR$24:$DX$24,1,DN282),1))),0)</f>
        <v>0</v>
      </c>
      <c r="DO288" s="28">
        <f>IF(DO284=1,IF(INDEX('Lease Cycles'!$EF$24:$EL$24,1,DO282)=1,DO285*INDEX('Lease Cycles'!$EM$24:$ES$24,1,DO282)+DO286*IF(DO283&lt;INDEX('Lease Cycles'!$FA$24:$FG$24,1,DO282),0,1-INDEX('Lease Cycles'!$EM$24:$ES$24,1,DO282)),DO285*IF(DO283&lt;INDEX('Lease Cycles'!$DK$24:$DQ$24,1,DO282),0,IF(DO283=INDEX('Lease Cycles'!$DK$24:$DQ$24,1,DO282),1-INDEX('Lease Cycles'!$DR$24:$DX$24,1,DO282),1))),0)</f>
        <v>0</v>
      </c>
      <c r="DP288" s="28">
        <f>IF(DP284=1,IF(INDEX('Lease Cycles'!$EF$24:$EL$24,1,DP282)=1,DP285*INDEX('Lease Cycles'!$EM$24:$ES$24,1,DP282)+DP286*IF(DP283&lt;INDEX('Lease Cycles'!$FA$24:$FG$24,1,DP282),0,1-INDEX('Lease Cycles'!$EM$24:$ES$24,1,DP282)),DP285*IF(DP283&lt;INDEX('Lease Cycles'!$DK$24:$DQ$24,1,DP282),0,IF(DP283=INDEX('Lease Cycles'!$DK$24:$DQ$24,1,DP282),1-INDEX('Lease Cycles'!$DR$24:$DX$24,1,DP282),1))),0)</f>
        <v>0</v>
      </c>
      <c r="DQ288" s="28">
        <f>IF(DQ284=1,IF(INDEX('Lease Cycles'!$EF$24:$EL$24,1,DQ282)=1,DQ285*INDEX('Lease Cycles'!$EM$24:$ES$24,1,DQ282)+DQ286*IF(DQ283&lt;INDEX('Lease Cycles'!$FA$24:$FG$24,1,DQ282),0,1-INDEX('Lease Cycles'!$EM$24:$ES$24,1,DQ282)),DQ285*IF(DQ283&lt;INDEX('Lease Cycles'!$DK$24:$DQ$24,1,DQ282),0,IF(DQ283=INDEX('Lease Cycles'!$DK$24:$DQ$24,1,DQ282),1-INDEX('Lease Cycles'!$DR$24:$DX$24,1,DQ282),1))),0)</f>
        <v>0</v>
      </c>
      <c r="DR288" s="28">
        <f>IF(DR284=1,IF(INDEX('Lease Cycles'!$EF$24:$EL$24,1,DR282)=1,DR285*INDEX('Lease Cycles'!$EM$24:$ES$24,1,DR282)+DR286*IF(DR283&lt;INDEX('Lease Cycles'!$FA$24:$FG$24,1,DR282),0,1-INDEX('Lease Cycles'!$EM$24:$ES$24,1,DR282)),DR285*IF(DR283&lt;INDEX('Lease Cycles'!$DK$24:$DQ$24,1,DR282),0,IF(DR283=INDEX('Lease Cycles'!$DK$24:$DQ$24,1,DR282),1-INDEX('Lease Cycles'!$DR$24:$DX$24,1,DR282),1))),0)</f>
        <v>0</v>
      </c>
      <c r="DS288" s="28">
        <f>IF(DS284=1,IF(INDEX('Lease Cycles'!$EF$24:$EL$24,1,DS282)=1,DS285*INDEX('Lease Cycles'!$EM$24:$ES$24,1,DS282)+DS286*IF(DS283&lt;INDEX('Lease Cycles'!$FA$24:$FG$24,1,DS282),0,1-INDEX('Lease Cycles'!$EM$24:$ES$24,1,DS282)),DS285*IF(DS283&lt;INDEX('Lease Cycles'!$DK$24:$DQ$24,1,DS282),0,IF(DS283=INDEX('Lease Cycles'!$DK$24:$DQ$24,1,DS282),1-INDEX('Lease Cycles'!$DR$24:$DX$24,1,DS282),1))),0)</f>
        <v>0</v>
      </c>
      <c r="DT288" s="28">
        <f>IF(DT284=1,IF(INDEX('Lease Cycles'!$EF$24:$EL$24,1,DT282)=1,DT285*INDEX('Lease Cycles'!$EM$24:$ES$24,1,DT282)+DT286*IF(DT283&lt;INDEX('Lease Cycles'!$FA$24:$FG$24,1,DT282),0,1-INDEX('Lease Cycles'!$EM$24:$ES$24,1,DT282)),DT285*IF(DT283&lt;INDEX('Lease Cycles'!$DK$24:$DQ$24,1,DT282),0,IF(DT283=INDEX('Lease Cycles'!$DK$24:$DQ$24,1,DT282),1-INDEX('Lease Cycles'!$DR$24:$DX$24,1,DT282),1))),0)</f>
        <v>0</v>
      </c>
      <c r="DU288" s="28">
        <f>IF(DU284=1,IF(INDEX('Lease Cycles'!$EF$24:$EL$24,1,DU282)=1,DU285*INDEX('Lease Cycles'!$EM$24:$ES$24,1,DU282)+DU286*IF(DU283&lt;INDEX('Lease Cycles'!$FA$24:$FG$24,1,DU282),0,1-INDEX('Lease Cycles'!$EM$24:$ES$24,1,DU282)),DU285*IF(DU283&lt;INDEX('Lease Cycles'!$DK$24:$DQ$24,1,DU282),0,IF(DU283=INDEX('Lease Cycles'!$DK$24:$DQ$24,1,DU282),1-INDEX('Lease Cycles'!$DR$24:$DX$24,1,DU282),1))),0)</f>
        <v>0</v>
      </c>
      <c r="DV288" s="28">
        <f>IF(DV284=1,IF(INDEX('Lease Cycles'!$EF$24:$EL$24,1,DV282)=1,DV285*INDEX('Lease Cycles'!$EM$24:$ES$24,1,DV282)+DV286*IF(DV283&lt;INDEX('Lease Cycles'!$FA$24:$FG$24,1,DV282),0,1-INDEX('Lease Cycles'!$EM$24:$ES$24,1,DV282)),DV285*IF(DV283&lt;INDEX('Lease Cycles'!$DK$24:$DQ$24,1,DV282),0,IF(DV283=INDEX('Lease Cycles'!$DK$24:$DQ$24,1,DV282),1-INDEX('Lease Cycles'!$DR$24:$DX$24,1,DV282),1))),0)</f>
        <v>0</v>
      </c>
      <c r="DW288" s="28">
        <f>IF(DW284=1,IF(INDEX('Lease Cycles'!$EF$24:$EL$24,1,DW282)=1,DW285*INDEX('Lease Cycles'!$EM$24:$ES$24,1,DW282)+DW286*IF(DW283&lt;INDEX('Lease Cycles'!$FA$24:$FG$24,1,DW282),0,1-INDEX('Lease Cycles'!$EM$24:$ES$24,1,DW282)),DW285*IF(DW283&lt;INDEX('Lease Cycles'!$DK$24:$DQ$24,1,DW282),0,IF(DW283=INDEX('Lease Cycles'!$DK$24:$DQ$24,1,DW282),1-INDEX('Lease Cycles'!$DR$24:$DX$24,1,DW282),1))),0)</f>
        <v>0</v>
      </c>
      <c r="DX288" s="28">
        <f>IF(DX284=1,IF(INDEX('Lease Cycles'!$EF$24:$EL$24,1,DX282)=1,DX285*INDEX('Lease Cycles'!$EM$24:$ES$24,1,DX282)+DX286*IF(DX283&lt;INDEX('Lease Cycles'!$FA$24:$FG$24,1,DX282),0,1-INDEX('Lease Cycles'!$EM$24:$ES$24,1,DX282)),DX285*IF(DX283&lt;INDEX('Lease Cycles'!$DK$24:$DQ$24,1,DX282),0,IF(DX283=INDEX('Lease Cycles'!$DK$24:$DQ$24,1,DX282),1-INDEX('Lease Cycles'!$DR$24:$DX$24,1,DX282),1))),0)</f>
        <v>0</v>
      </c>
      <c r="DY288" s="28">
        <f>IF(DY284=1,IF(INDEX('Lease Cycles'!$EF$24:$EL$24,1,DY282)=1,DY285*INDEX('Lease Cycles'!$EM$24:$ES$24,1,DY282)+DY286*IF(DY283&lt;INDEX('Lease Cycles'!$FA$24:$FG$24,1,DY282),0,1-INDEX('Lease Cycles'!$EM$24:$ES$24,1,DY282)),DY285*IF(DY283&lt;INDEX('Lease Cycles'!$DK$24:$DQ$24,1,DY282),0,IF(DY283=INDEX('Lease Cycles'!$DK$24:$DQ$24,1,DY282),1-INDEX('Lease Cycles'!$DR$24:$DX$24,1,DY282),1))),0)</f>
        <v>0</v>
      </c>
      <c r="DZ288" s="28">
        <f>IF(DZ284=1,IF(INDEX('Lease Cycles'!$EF$24:$EL$24,1,DZ282)=1,DZ285*INDEX('Lease Cycles'!$EM$24:$ES$24,1,DZ282)+DZ286*IF(DZ283&lt;INDEX('Lease Cycles'!$FA$24:$FG$24,1,DZ282),0,1-INDEX('Lease Cycles'!$EM$24:$ES$24,1,DZ282)),DZ285*IF(DZ283&lt;INDEX('Lease Cycles'!$DK$24:$DQ$24,1,DZ282),0,IF(DZ283=INDEX('Lease Cycles'!$DK$24:$DQ$24,1,DZ282),1-INDEX('Lease Cycles'!$DR$24:$DX$24,1,DZ282),1))),0)</f>
        <v>0</v>
      </c>
      <c r="EA288" s="28">
        <f>IF(EA284=1,IF(INDEX('Lease Cycles'!$EF$24:$EL$24,1,EA282)=1,EA285*INDEX('Lease Cycles'!$EM$24:$ES$24,1,EA282)+EA286*IF(EA283&lt;INDEX('Lease Cycles'!$FA$24:$FG$24,1,EA282),0,1-INDEX('Lease Cycles'!$EM$24:$ES$24,1,EA282)),EA285*IF(EA283&lt;INDEX('Lease Cycles'!$DK$24:$DQ$24,1,EA282),0,IF(EA283=INDEX('Lease Cycles'!$DK$24:$DQ$24,1,EA282),1-INDEX('Lease Cycles'!$DR$24:$DX$24,1,EA282),1))),0)</f>
        <v>0</v>
      </c>
      <c r="EB288" s="28">
        <f>IF(EB284=1,IF(INDEX('Lease Cycles'!$EF$24:$EL$24,1,EB282)=1,EB285*INDEX('Lease Cycles'!$EM$24:$ES$24,1,EB282)+EB286*IF(EB283&lt;INDEX('Lease Cycles'!$FA$24:$FG$24,1,EB282),0,1-INDEX('Lease Cycles'!$EM$24:$ES$24,1,EB282)),EB285*IF(EB283&lt;INDEX('Lease Cycles'!$DK$24:$DQ$24,1,EB282),0,IF(EB283=INDEX('Lease Cycles'!$DK$24:$DQ$24,1,EB282),1-INDEX('Lease Cycles'!$DR$24:$DX$24,1,EB282),1))),0)</f>
        <v>0</v>
      </c>
      <c r="EC288" s="28">
        <f>IF(EC284=1,IF(INDEX('Lease Cycles'!$EF$24:$EL$24,1,EC282)=1,EC285*INDEX('Lease Cycles'!$EM$24:$ES$24,1,EC282)+EC286*IF(EC283&lt;INDEX('Lease Cycles'!$FA$24:$FG$24,1,EC282),0,1-INDEX('Lease Cycles'!$EM$24:$ES$24,1,EC282)),EC285*IF(EC283&lt;INDEX('Lease Cycles'!$DK$24:$DQ$24,1,EC282),0,IF(EC283=INDEX('Lease Cycles'!$DK$24:$DQ$24,1,EC282),1-INDEX('Lease Cycles'!$DR$24:$DX$24,1,EC282),1))),0)</f>
        <v>0</v>
      </c>
      <c r="ED288" s="28">
        <f>IF(ED284=1,IF(INDEX('Lease Cycles'!$EF$24:$EL$24,1,ED282)=1,ED285*INDEX('Lease Cycles'!$EM$24:$ES$24,1,ED282)+ED286*IF(ED283&lt;INDEX('Lease Cycles'!$FA$24:$FG$24,1,ED282),0,1-INDEX('Lease Cycles'!$EM$24:$ES$24,1,ED282)),ED285*IF(ED283&lt;INDEX('Lease Cycles'!$DK$24:$DQ$24,1,ED282),0,IF(ED283=INDEX('Lease Cycles'!$DK$24:$DQ$24,1,ED282),1-INDEX('Lease Cycles'!$DR$24:$DX$24,1,ED282),1))),0)</f>
        <v>0</v>
      </c>
      <c r="EE288" s="28">
        <f>IF(EE284=1,IF(INDEX('Lease Cycles'!$EF$24:$EL$24,1,EE282)=1,EE285*INDEX('Lease Cycles'!$EM$24:$ES$24,1,EE282)+EE286*IF(EE283&lt;INDEX('Lease Cycles'!$FA$24:$FG$24,1,EE282),0,1-INDEX('Lease Cycles'!$EM$24:$ES$24,1,EE282)),EE285*IF(EE283&lt;INDEX('Lease Cycles'!$DK$24:$DQ$24,1,EE282),0,IF(EE283=INDEX('Lease Cycles'!$DK$24:$DQ$24,1,EE282),1-INDEX('Lease Cycles'!$DR$24:$DX$24,1,EE282),1))),0)</f>
        <v>0</v>
      </c>
      <c r="EF288" s="28">
        <f>IF(EF284=1,IF(INDEX('Lease Cycles'!$EF$24:$EL$24,1,EF282)=1,EF285*INDEX('Lease Cycles'!$EM$24:$ES$24,1,EF282)+EF286*IF(EF283&lt;INDEX('Lease Cycles'!$FA$24:$FG$24,1,EF282),0,1-INDEX('Lease Cycles'!$EM$24:$ES$24,1,EF282)),EF285*IF(EF283&lt;INDEX('Lease Cycles'!$DK$24:$DQ$24,1,EF282),0,IF(EF283=INDEX('Lease Cycles'!$DK$24:$DQ$24,1,EF282),1-INDEX('Lease Cycles'!$DR$24:$DX$24,1,EF282),1))),0)</f>
        <v>0</v>
      </c>
      <c r="EG288" s="28">
        <f>IF(EG284=1,IF(INDEX('Lease Cycles'!$EF$24:$EL$24,1,EG282)=1,EG285*INDEX('Lease Cycles'!$EM$24:$ES$24,1,EG282)+EG286*IF(EG283&lt;INDEX('Lease Cycles'!$FA$24:$FG$24,1,EG282),0,1-INDEX('Lease Cycles'!$EM$24:$ES$24,1,EG282)),EG285*IF(EG283&lt;INDEX('Lease Cycles'!$DK$24:$DQ$24,1,EG282),0,IF(EG283=INDEX('Lease Cycles'!$DK$24:$DQ$24,1,EG282),1-INDEX('Lease Cycles'!$DR$24:$DX$24,1,EG282),1))),0)</f>
        <v>0</v>
      </c>
      <c r="EH288" s="28">
        <f>IF(EH284=1,IF(INDEX('Lease Cycles'!$EF$24:$EL$24,1,EH282)=1,EH285*INDEX('Lease Cycles'!$EM$24:$ES$24,1,EH282)+EH286*IF(EH283&lt;INDEX('Lease Cycles'!$FA$24:$FG$24,1,EH282),0,1-INDEX('Lease Cycles'!$EM$24:$ES$24,1,EH282)),EH285*IF(EH283&lt;INDEX('Lease Cycles'!$DK$24:$DQ$24,1,EH282),0,IF(EH283=INDEX('Lease Cycles'!$DK$24:$DQ$24,1,EH282),1-INDEX('Lease Cycles'!$DR$24:$DX$24,1,EH282),1))),0)</f>
        <v>0</v>
      </c>
      <c r="EI288" s="28">
        <f>IF(EI284=1,IF(INDEX('Lease Cycles'!$EF$24:$EL$24,1,EI282)=1,EI285*INDEX('Lease Cycles'!$EM$24:$ES$24,1,EI282)+EI286*IF(EI283&lt;INDEX('Lease Cycles'!$FA$24:$FG$24,1,EI282),0,1-INDEX('Lease Cycles'!$EM$24:$ES$24,1,EI282)),EI285*IF(EI283&lt;INDEX('Lease Cycles'!$DK$24:$DQ$24,1,EI282),0,IF(EI283=INDEX('Lease Cycles'!$DK$24:$DQ$24,1,EI282),1-INDEX('Lease Cycles'!$DR$24:$DX$24,1,EI282),1))),0)</f>
        <v>0</v>
      </c>
      <c r="EJ288" s="28">
        <f>IF(EJ284=1,IF(INDEX('Lease Cycles'!$EF$24:$EL$24,1,EJ282)=1,EJ285*INDEX('Lease Cycles'!$EM$24:$ES$24,1,EJ282)+EJ286*IF(EJ283&lt;INDEX('Lease Cycles'!$FA$24:$FG$24,1,EJ282),0,1-INDEX('Lease Cycles'!$EM$24:$ES$24,1,EJ282)),EJ285*IF(EJ283&lt;INDEX('Lease Cycles'!$DK$24:$DQ$24,1,EJ282),0,IF(EJ283=INDEX('Lease Cycles'!$DK$24:$DQ$24,1,EJ282),1-INDEX('Lease Cycles'!$DR$24:$DX$24,1,EJ282),1))),0)</f>
        <v>0</v>
      </c>
      <c r="EK288" s="28">
        <f>IF(EK284=1,IF(INDEX('Lease Cycles'!$EF$24:$EL$24,1,EK282)=1,EK285*INDEX('Lease Cycles'!$EM$24:$ES$24,1,EK282)+EK286*IF(EK283&lt;INDEX('Lease Cycles'!$FA$24:$FG$24,1,EK282),0,1-INDEX('Lease Cycles'!$EM$24:$ES$24,1,EK282)),EK285*IF(EK283&lt;INDEX('Lease Cycles'!$DK$24:$DQ$24,1,EK282),0,IF(EK283=INDEX('Lease Cycles'!$DK$24:$DQ$24,1,EK282),1-INDEX('Lease Cycles'!$DR$24:$DX$24,1,EK282),1))),0)</f>
        <v>0</v>
      </c>
      <c r="EL288" s="28">
        <f>IF(EL284=1,IF(INDEX('Lease Cycles'!$EF$24:$EL$24,1,EL282)=1,EL285*INDEX('Lease Cycles'!$EM$24:$ES$24,1,EL282)+EL286*IF(EL283&lt;INDEX('Lease Cycles'!$FA$24:$FG$24,1,EL282),0,1-INDEX('Lease Cycles'!$EM$24:$ES$24,1,EL282)),EL285*IF(EL283&lt;INDEX('Lease Cycles'!$DK$24:$DQ$24,1,EL282),0,IF(EL283=INDEX('Lease Cycles'!$DK$24:$DQ$24,1,EL282),1-INDEX('Lease Cycles'!$DR$24:$DX$24,1,EL282),1))),0)</f>
        <v>0</v>
      </c>
      <c r="EM288" s="28">
        <f>IF(EM284=1,IF(INDEX('Lease Cycles'!$EF$24:$EL$24,1,EM282)=1,EM285*INDEX('Lease Cycles'!$EM$24:$ES$24,1,EM282)+EM286*IF(EM283&lt;INDEX('Lease Cycles'!$FA$24:$FG$24,1,EM282),0,1-INDEX('Lease Cycles'!$EM$24:$ES$24,1,EM282)),EM285*IF(EM283&lt;INDEX('Lease Cycles'!$DK$24:$DQ$24,1,EM282),0,IF(EM283=INDEX('Lease Cycles'!$DK$24:$DQ$24,1,EM282),1-INDEX('Lease Cycles'!$DR$24:$DX$24,1,EM282),1))),0)</f>
        <v>0</v>
      </c>
      <c r="EN288" s="28">
        <f>IF(EN284=1,IF(INDEX('Lease Cycles'!$EF$24:$EL$24,1,EN282)=1,EN285*INDEX('Lease Cycles'!$EM$24:$ES$24,1,EN282)+EN286*IF(EN283&lt;INDEX('Lease Cycles'!$FA$24:$FG$24,1,EN282),0,1-INDEX('Lease Cycles'!$EM$24:$ES$24,1,EN282)),EN285*IF(EN283&lt;INDEX('Lease Cycles'!$DK$24:$DQ$24,1,EN282),0,IF(EN283=INDEX('Lease Cycles'!$DK$24:$DQ$24,1,EN282),1-INDEX('Lease Cycles'!$DR$24:$DX$24,1,EN282),1))),0)</f>
        <v>0</v>
      </c>
      <c r="EO288" s="28">
        <f>IF(EO284=1,IF(INDEX('Lease Cycles'!$EF$24:$EL$24,1,EO282)=1,EO285*INDEX('Lease Cycles'!$EM$24:$ES$24,1,EO282)+EO286*IF(EO283&lt;INDEX('Lease Cycles'!$FA$24:$FG$24,1,EO282),0,1-INDEX('Lease Cycles'!$EM$24:$ES$24,1,EO282)),EO285*IF(EO283&lt;INDEX('Lease Cycles'!$DK$24:$DQ$24,1,EO282),0,IF(EO283=INDEX('Lease Cycles'!$DK$24:$DQ$24,1,EO282),1-INDEX('Lease Cycles'!$DR$24:$DX$24,1,EO282),1))),0)</f>
        <v>0</v>
      </c>
      <c r="EP288" s="28">
        <f>IF(EP284=1,IF(INDEX('Lease Cycles'!$EF$24:$EL$24,1,EP282)=1,EP285*INDEX('Lease Cycles'!$EM$24:$ES$24,1,EP282)+EP286*IF(EP283&lt;INDEX('Lease Cycles'!$FA$24:$FG$24,1,EP282),0,1-INDEX('Lease Cycles'!$EM$24:$ES$24,1,EP282)),EP285*IF(EP283&lt;INDEX('Lease Cycles'!$DK$24:$DQ$24,1,EP282),0,IF(EP283=INDEX('Lease Cycles'!$DK$24:$DQ$24,1,EP282),1-INDEX('Lease Cycles'!$DR$24:$DX$24,1,EP282),1))),0)</f>
        <v>0</v>
      </c>
      <c r="EQ288" s="28">
        <f>IF(EQ284=1,IF(INDEX('Lease Cycles'!$EF$24:$EL$24,1,EQ282)=1,EQ285*INDEX('Lease Cycles'!$EM$24:$ES$24,1,EQ282)+EQ286*IF(EQ283&lt;INDEX('Lease Cycles'!$FA$24:$FG$24,1,EQ282),0,1-INDEX('Lease Cycles'!$EM$24:$ES$24,1,EQ282)),EQ285*IF(EQ283&lt;INDEX('Lease Cycles'!$DK$24:$DQ$24,1,EQ282),0,IF(EQ283=INDEX('Lease Cycles'!$DK$24:$DQ$24,1,EQ282),1-INDEX('Lease Cycles'!$DR$24:$DX$24,1,EQ282),1))),0)</f>
        <v>0</v>
      </c>
      <c r="ER288" s="28">
        <f>IF(ER284=1,IF(INDEX('Lease Cycles'!$EF$24:$EL$24,1,ER282)=1,ER285*INDEX('Lease Cycles'!$EM$24:$ES$24,1,ER282)+ER286*IF(ER283&lt;INDEX('Lease Cycles'!$FA$24:$FG$24,1,ER282),0,1-INDEX('Lease Cycles'!$EM$24:$ES$24,1,ER282)),ER285*IF(ER283&lt;INDEX('Lease Cycles'!$DK$24:$DQ$24,1,ER282),0,IF(ER283=INDEX('Lease Cycles'!$DK$24:$DQ$24,1,ER282),1-INDEX('Lease Cycles'!$DR$24:$DX$24,1,ER282),1))),0)</f>
        <v>0</v>
      </c>
      <c r="ES288" s="28">
        <f>IF(ES284=1,IF(INDEX('Lease Cycles'!$EF$24:$EL$24,1,ES282)=1,ES285*INDEX('Lease Cycles'!$EM$24:$ES$24,1,ES282)+ES286*IF(ES283&lt;INDEX('Lease Cycles'!$FA$24:$FG$24,1,ES282),0,1-INDEX('Lease Cycles'!$EM$24:$ES$24,1,ES282)),ES285*IF(ES283&lt;INDEX('Lease Cycles'!$DK$24:$DQ$24,1,ES282),0,IF(ES283=INDEX('Lease Cycles'!$DK$24:$DQ$24,1,ES282),1-INDEX('Lease Cycles'!$DR$24:$DX$24,1,ES282),1))),0)</f>
        <v>0</v>
      </c>
      <c r="ET288" s="28">
        <f>IF(ET284=1,IF(INDEX('Lease Cycles'!$EF$24:$EL$24,1,ET282)=1,ET285*INDEX('Lease Cycles'!$EM$24:$ES$24,1,ET282)+ET286*IF(ET283&lt;INDEX('Lease Cycles'!$FA$24:$FG$24,1,ET282),0,1-INDEX('Lease Cycles'!$EM$24:$ES$24,1,ET282)),ET285*IF(ET283&lt;INDEX('Lease Cycles'!$DK$24:$DQ$24,1,ET282),0,IF(ET283=INDEX('Lease Cycles'!$DK$24:$DQ$24,1,ET282),1-INDEX('Lease Cycles'!$DR$24:$DX$24,1,ET282),1))),0)</f>
        <v>0</v>
      </c>
    </row>
    <row r="289">
      <c r="A289" s="103">
        <v>17</v>
      </c>
      <c r="B289" s="23" t="str">
        <f>IF('Lease Cycles'!$B$24="","(empty slot)",'Lease Cycles'!$B$24)</f>
        <v>(empty slot)</v>
      </c>
      <c r="C289" s="23" t="s">
        <v>493</v>
      </c>
      <c r="D289" s="104" t="s">
        <v>494</v>
      </c>
      <c r="E289" s="25">
        <f>'Lease Cycles'!$AL$24</f>
        <v>0</v>
      </c>
      <c r="G289" s="28">
        <f>SUM(S289:AD289)</f>
        <v>0</v>
      </c>
      <c r="H289" s="28">
        <f>SUM(AE289:AP289)</f>
        <v>0</v>
      </c>
      <c r="I289" s="28">
        <f>SUM(AQ289:BB289)</f>
        <v>0</v>
      </c>
      <c r="J289" s="28">
        <f>SUM(BC289:BN289)</f>
        <v>0</v>
      </c>
      <c r="K289" s="28">
        <f>SUM(BO289:BZ289)</f>
        <v>0</v>
      </c>
      <c r="L289" s="28">
        <f>SUM(CA289:CL289)</f>
        <v>0</v>
      </c>
      <c r="M289" s="28">
        <f>SUM(CM289:CX289)</f>
        <v>0</v>
      </c>
      <c r="N289" s="28">
        <f>SUM(CY289:DJ289)</f>
        <v>0</v>
      </c>
      <c r="O289" s="28">
        <f>SUM(DK289:DV289)</f>
        <v>0</v>
      </c>
      <c r="P289" s="28">
        <f>SUM(DW289:EH289)</f>
        <v>0</v>
      </c>
      <c r="Q289" s="28">
        <f>SUM(EI289:ET289)</f>
        <v>0</v>
      </c>
      <c r="S289" s="28">
        <f>IF(S284=1,IF(INDEX('Lease Cycles'!$EF$24:$EL$24,1,S282)=1,0,S285*(1-IF(S283&lt;INDEX('Lease Cycles'!$DK$24:$DQ$24,1,S282),0,IF(S283=INDEX('Lease Cycles'!$DK$24:$DQ$24,1,S282),1-INDEX('Lease Cycles'!$DR$24:$DX$24,1,S282),1))-IF(S283=0,INDEX('Lease Cycles'!$DD$24:$DJ$24,1,S282),0))),0)</f>
        <v>0</v>
      </c>
      <c r="T289" s="28">
        <f>IF(T284=1,IF(INDEX('Lease Cycles'!$EF$24:$EL$24,1,T282)=1,0,T285*(1-IF(T283&lt;INDEX('Lease Cycles'!$DK$24:$DQ$24,1,T282),0,IF(T283=INDEX('Lease Cycles'!$DK$24:$DQ$24,1,T282),1-INDEX('Lease Cycles'!$DR$24:$DX$24,1,T282),1))-IF(T283=0,INDEX('Lease Cycles'!$DD$24:$DJ$24,1,T282),0))),0)</f>
        <v>0</v>
      </c>
      <c r="U289" s="28">
        <f>IF(U284=1,IF(INDEX('Lease Cycles'!$EF$24:$EL$24,1,U282)=1,0,U285*(1-IF(U283&lt;INDEX('Lease Cycles'!$DK$24:$DQ$24,1,U282),0,IF(U283=INDEX('Lease Cycles'!$DK$24:$DQ$24,1,U282),1-INDEX('Lease Cycles'!$DR$24:$DX$24,1,U282),1))-IF(U283=0,INDEX('Lease Cycles'!$DD$24:$DJ$24,1,U282),0))),0)</f>
        <v>0</v>
      </c>
      <c r="V289" s="28">
        <f>IF(V284=1,IF(INDEX('Lease Cycles'!$EF$24:$EL$24,1,V282)=1,0,V285*(1-IF(V283&lt;INDEX('Lease Cycles'!$DK$24:$DQ$24,1,V282),0,IF(V283=INDEX('Lease Cycles'!$DK$24:$DQ$24,1,V282),1-INDEX('Lease Cycles'!$DR$24:$DX$24,1,V282),1))-IF(V283=0,INDEX('Lease Cycles'!$DD$24:$DJ$24,1,V282),0))),0)</f>
        <v>0</v>
      </c>
      <c r="W289" s="28">
        <f>IF(W284=1,IF(INDEX('Lease Cycles'!$EF$24:$EL$24,1,W282)=1,0,W285*(1-IF(W283&lt;INDEX('Lease Cycles'!$DK$24:$DQ$24,1,W282),0,IF(W283=INDEX('Lease Cycles'!$DK$24:$DQ$24,1,W282),1-INDEX('Lease Cycles'!$DR$24:$DX$24,1,W282),1))-IF(W283=0,INDEX('Lease Cycles'!$DD$24:$DJ$24,1,W282),0))),0)</f>
        <v>0</v>
      </c>
      <c r="X289" s="28">
        <f>IF(X284=1,IF(INDEX('Lease Cycles'!$EF$24:$EL$24,1,X282)=1,0,X285*(1-IF(X283&lt;INDEX('Lease Cycles'!$DK$24:$DQ$24,1,X282),0,IF(X283=INDEX('Lease Cycles'!$DK$24:$DQ$24,1,X282),1-INDEX('Lease Cycles'!$DR$24:$DX$24,1,X282),1))-IF(X283=0,INDEX('Lease Cycles'!$DD$24:$DJ$24,1,X282),0))),0)</f>
        <v>0</v>
      </c>
      <c r="Y289" s="28">
        <f>IF(Y284=1,IF(INDEX('Lease Cycles'!$EF$24:$EL$24,1,Y282)=1,0,Y285*(1-IF(Y283&lt;INDEX('Lease Cycles'!$DK$24:$DQ$24,1,Y282),0,IF(Y283=INDEX('Lease Cycles'!$DK$24:$DQ$24,1,Y282),1-INDEX('Lease Cycles'!$DR$24:$DX$24,1,Y282),1))-IF(Y283=0,INDEX('Lease Cycles'!$DD$24:$DJ$24,1,Y282),0))),0)</f>
        <v>0</v>
      </c>
      <c r="Z289" s="28">
        <f>IF(Z284=1,IF(INDEX('Lease Cycles'!$EF$24:$EL$24,1,Z282)=1,0,Z285*(1-IF(Z283&lt;INDEX('Lease Cycles'!$DK$24:$DQ$24,1,Z282),0,IF(Z283=INDEX('Lease Cycles'!$DK$24:$DQ$24,1,Z282),1-INDEX('Lease Cycles'!$DR$24:$DX$24,1,Z282),1))-IF(Z283=0,INDEX('Lease Cycles'!$DD$24:$DJ$24,1,Z282),0))),0)</f>
        <v>0</v>
      </c>
      <c r="AA289" s="28">
        <f>IF(AA284=1,IF(INDEX('Lease Cycles'!$EF$24:$EL$24,1,AA282)=1,0,AA285*(1-IF(AA283&lt;INDEX('Lease Cycles'!$DK$24:$DQ$24,1,AA282),0,IF(AA283=INDEX('Lease Cycles'!$DK$24:$DQ$24,1,AA282),1-INDEX('Lease Cycles'!$DR$24:$DX$24,1,AA282),1))-IF(AA283=0,INDEX('Lease Cycles'!$DD$24:$DJ$24,1,AA282),0))),0)</f>
        <v>0</v>
      </c>
      <c r="AB289" s="28">
        <f>IF(AB284=1,IF(INDEX('Lease Cycles'!$EF$24:$EL$24,1,AB282)=1,0,AB285*(1-IF(AB283&lt;INDEX('Lease Cycles'!$DK$24:$DQ$24,1,AB282),0,IF(AB283=INDEX('Lease Cycles'!$DK$24:$DQ$24,1,AB282),1-INDEX('Lease Cycles'!$DR$24:$DX$24,1,AB282),1))-IF(AB283=0,INDEX('Lease Cycles'!$DD$24:$DJ$24,1,AB282),0))),0)</f>
        <v>0</v>
      </c>
      <c r="AC289" s="28">
        <f>IF(AC284=1,IF(INDEX('Lease Cycles'!$EF$24:$EL$24,1,AC282)=1,0,AC285*(1-IF(AC283&lt;INDEX('Lease Cycles'!$DK$24:$DQ$24,1,AC282),0,IF(AC283=INDEX('Lease Cycles'!$DK$24:$DQ$24,1,AC282),1-INDEX('Lease Cycles'!$DR$24:$DX$24,1,AC282),1))-IF(AC283=0,INDEX('Lease Cycles'!$DD$24:$DJ$24,1,AC282),0))),0)</f>
        <v>0</v>
      </c>
      <c r="AD289" s="28">
        <f>IF(AD284=1,IF(INDEX('Lease Cycles'!$EF$24:$EL$24,1,AD282)=1,0,AD285*(1-IF(AD283&lt;INDEX('Lease Cycles'!$DK$24:$DQ$24,1,AD282),0,IF(AD283=INDEX('Lease Cycles'!$DK$24:$DQ$24,1,AD282),1-INDEX('Lease Cycles'!$DR$24:$DX$24,1,AD282),1))-IF(AD283=0,INDEX('Lease Cycles'!$DD$24:$DJ$24,1,AD282),0))),0)</f>
        <v>0</v>
      </c>
      <c r="AE289" s="28">
        <f>IF(AE284=1,IF(INDEX('Lease Cycles'!$EF$24:$EL$24,1,AE282)=1,0,AE285*(1-IF(AE283&lt;INDEX('Lease Cycles'!$DK$24:$DQ$24,1,AE282),0,IF(AE283=INDEX('Lease Cycles'!$DK$24:$DQ$24,1,AE282),1-INDEX('Lease Cycles'!$DR$24:$DX$24,1,AE282),1))-IF(AE283=0,INDEX('Lease Cycles'!$DD$24:$DJ$24,1,AE282),0))),0)</f>
        <v>0</v>
      </c>
      <c r="AF289" s="28">
        <f>IF(AF284=1,IF(INDEX('Lease Cycles'!$EF$24:$EL$24,1,AF282)=1,0,AF285*(1-IF(AF283&lt;INDEX('Lease Cycles'!$DK$24:$DQ$24,1,AF282),0,IF(AF283=INDEX('Lease Cycles'!$DK$24:$DQ$24,1,AF282),1-INDEX('Lease Cycles'!$DR$24:$DX$24,1,AF282),1))-IF(AF283=0,INDEX('Lease Cycles'!$DD$24:$DJ$24,1,AF282),0))),0)</f>
        <v>0</v>
      </c>
      <c r="AG289" s="28">
        <f>IF(AG284=1,IF(INDEX('Lease Cycles'!$EF$24:$EL$24,1,AG282)=1,0,AG285*(1-IF(AG283&lt;INDEX('Lease Cycles'!$DK$24:$DQ$24,1,AG282),0,IF(AG283=INDEX('Lease Cycles'!$DK$24:$DQ$24,1,AG282),1-INDEX('Lease Cycles'!$DR$24:$DX$24,1,AG282),1))-IF(AG283=0,INDEX('Lease Cycles'!$DD$24:$DJ$24,1,AG282),0))),0)</f>
        <v>0</v>
      </c>
      <c r="AH289" s="28">
        <f>IF(AH284=1,IF(INDEX('Lease Cycles'!$EF$24:$EL$24,1,AH282)=1,0,AH285*(1-IF(AH283&lt;INDEX('Lease Cycles'!$DK$24:$DQ$24,1,AH282),0,IF(AH283=INDEX('Lease Cycles'!$DK$24:$DQ$24,1,AH282),1-INDEX('Lease Cycles'!$DR$24:$DX$24,1,AH282),1))-IF(AH283=0,INDEX('Lease Cycles'!$DD$24:$DJ$24,1,AH282),0))),0)</f>
        <v>0</v>
      </c>
      <c r="AI289" s="28">
        <f>IF(AI284=1,IF(INDEX('Lease Cycles'!$EF$24:$EL$24,1,AI282)=1,0,AI285*(1-IF(AI283&lt;INDEX('Lease Cycles'!$DK$24:$DQ$24,1,AI282),0,IF(AI283=INDEX('Lease Cycles'!$DK$24:$DQ$24,1,AI282),1-INDEX('Lease Cycles'!$DR$24:$DX$24,1,AI282),1))-IF(AI283=0,INDEX('Lease Cycles'!$DD$24:$DJ$24,1,AI282),0))),0)</f>
        <v>0</v>
      </c>
      <c r="AJ289" s="28">
        <f>IF(AJ284=1,IF(INDEX('Lease Cycles'!$EF$24:$EL$24,1,AJ282)=1,0,AJ285*(1-IF(AJ283&lt;INDEX('Lease Cycles'!$DK$24:$DQ$24,1,AJ282),0,IF(AJ283=INDEX('Lease Cycles'!$DK$24:$DQ$24,1,AJ282),1-INDEX('Lease Cycles'!$DR$24:$DX$24,1,AJ282),1))-IF(AJ283=0,INDEX('Lease Cycles'!$DD$24:$DJ$24,1,AJ282),0))),0)</f>
        <v>0</v>
      </c>
      <c r="AK289" s="28">
        <f>IF(AK284=1,IF(INDEX('Lease Cycles'!$EF$24:$EL$24,1,AK282)=1,0,AK285*(1-IF(AK283&lt;INDEX('Lease Cycles'!$DK$24:$DQ$24,1,AK282),0,IF(AK283=INDEX('Lease Cycles'!$DK$24:$DQ$24,1,AK282),1-INDEX('Lease Cycles'!$DR$24:$DX$24,1,AK282),1))-IF(AK283=0,INDEX('Lease Cycles'!$DD$24:$DJ$24,1,AK282),0))),0)</f>
        <v>0</v>
      </c>
      <c r="AL289" s="28">
        <f>IF(AL284=1,IF(INDEX('Lease Cycles'!$EF$24:$EL$24,1,AL282)=1,0,AL285*(1-IF(AL283&lt;INDEX('Lease Cycles'!$DK$24:$DQ$24,1,AL282),0,IF(AL283=INDEX('Lease Cycles'!$DK$24:$DQ$24,1,AL282),1-INDEX('Lease Cycles'!$DR$24:$DX$24,1,AL282),1))-IF(AL283=0,INDEX('Lease Cycles'!$DD$24:$DJ$24,1,AL282),0))),0)</f>
        <v>0</v>
      </c>
      <c r="AM289" s="28">
        <f>IF(AM284=1,IF(INDEX('Lease Cycles'!$EF$24:$EL$24,1,AM282)=1,0,AM285*(1-IF(AM283&lt;INDEX('Lease Cycles'!$DK$24:$DQ$24,1,AM282),0,IF(AM283=INDEX('Lease Cycles'!$DK$24:$DQ$24,1,AM282),1-INDEX('Lease Cycles'!$DR$24:$DX$24,1,AM282),1))-IF(AM283=0,INDEX('Lease Cycles'!$DD$24:$DJ$24,1,AM282),0))),0)</f>
        <v>0</v>
      </c>
      <c r="AN289" s="28">
        <f>IF(AN284=1,IF(INDEX('Lease Cycles'!$EF$24:$EL$24,1,AN282)=1,0,AN285*(1-IF(AN283&lt;INDEX('Lease Cycles'!$DK$24:$DQ$24,1,AN282),0,IF(AN283=INDEX('Lease Cycles'!$DK$24:$DQ$24,1,AN282),1-INDEX('Lease Cycles'!$DR$24:$DX$24,1,AN282),1))-IF(AN283=0,INDEX('Lease Cycles'!$DD$24:$DJ$24,1,AN282),0))),0)</f>
        <v>0</v>
      </c>
      <c r="AO289" s="28">
        <f>IF(AO284=1,IF(INDEX('Lease Cycles'!$EF$24:$EL$24,1,AO282)=1,0,AO285*(1-IF(AO283&lt;INDEX('Lease Cycles'!$DK$24:$DQ$24,1,AO282),0,IF(AO283=INDEX('Lease Cycles'!$DK$24:$DQ$24,1,AO282),1-INDEX('Lease Cycles'!$DR$24:$DX$24,1,AO282),1))-IF(AO283=0,INDEX('Lease Cycles'!$DD$24:$DJ$24,1,AO282),0))),0)</f>
        <v>0</v>
      </c>
      <c r="AP289" s="28">
        <f>IF(AP284=1,IF(INDEX('Lease Cycles'!$EF$24:$EL$24,1,AP282)=1,0,AP285*(1-IF(AP283&lt;INDEX('Lease Cycles'!$DK$24:$DQ$24,1,AP282),0,IF(AP283=INDEX('Lease Cycles'!$DK$24:$DQ$24,1,AP282),1-INDEX('Lease Cycles'!$DR$24:$DX$24,1,AP282),1))-IF(AP283=0,INDEX('Lease Cycles'!$DD$24:$DJ$24,1,AP282),0))),0)</f>
        <v>0</v>
      </c>
      <c r="AQ289" s="28">
        <f>IF(AQ284=1,IF(INDEX('Lease Cycles'!$EF$24:$EL$24,1,AQ282)=1,0,AQ285*(1-IF(AQ283&lt;INDEX('Lease Cycles'!$DK$24:$DQ$24,1,AQ282),0,IF(AQ283=INDEX('Lease Cycles'!$DK$24:$DQ$24,1,AQ282),1-INDEX('Lease Cycles'!$DR$24:$DX$24,1,AQ282),1))-IF(AQ283=0,INDEX('Lease Cycles'!$DD$24:$DJ$24,1,AQ282),0))),0)</f>
        <v>0</v>
      </c>
      <c r="AR289" s="28">
        <f>IF(AR284=1,IF(INDEX('Lease Cycles'!$EF$24:$EL$24,1,AR282)=1,0,AR285*(1-IF(AR283&lt;INDEX('Lease Cycles'!$DK$24:$DQ$24,1,AR282),0,IF(AR283=INDEX('Lease Cycles'!$DK$24:$DQ$24,1,AR282),1-INDEX('Lease Cycles'!$DR$24:$DX$24,1,AR282),1))-IF(AR283=0,INDEX('Lease Cycles'!$DD$24:$DJ$24,1,AR282),0))),0)</f>
        <v>0</v>
      </c>
      <c r="AS289" s="28">
        <f>IF(AS284=1,IF(INDEX('Lease Cycles'!$EF$24:$EL$24,1,AS282)=1,0,AS285*(1-IF(AS283&lt;INDEX('Lease Cycles'!$DK$24:$DQ$24,1,AS282),0,IF(AS283=INDEX('Lease Cycles'!$DK$24:$DQ$24,1,AS282),1-INDEX('Lease Cycles'!$DR$24:$DX$24,1,AS282),1))-IF(AS283=0,INDEX('Lease Cycles'!$DD$24:$DJ$24,1,AS282),0))),0)</f>
        <v>0</v>
      </c>
      <c r="AT289" s="28">
        <f>IF(AT284=1,IF(INDEX('Lease Cycles'!$EF$24:$EL$24,1,AT282)=1,0,AT285*(1-IF(AT283&lt;INDEX('Lease Cycles'!$DK$24:$DQ$24,1,AT282),0,IF(AT283=INDEX('Lease Cycles'!$DK$24:$DQ$24,1,AT282),1-INDEX('Lease Cycles'!$DR$24:$DX$24,1,AT282),1))-IF(AT283=0,INDEX('Lease Cycles'!$DD$24:$DJ$24,1,AT282),0))),0)</f>
        <v>0</v>
      </c>
      <c r="AU289" s="28">
        <f>IF(AU284=1,IF(INDEX('Lease Cycles'!$EF$24:$EL$24,1,AU282)=1,0,AU285*(1-IF(AU283&lt;INDEX('Lease Cycles'!$DK$24:$DQ$24,1,AU282),0,IF(AU283=INDEX('Lease Cycles'!$DK$24:$DQ$24,1,AU282),1-INDEX('Lease Cycles'!$DR$24:$DX$24,1,AU282),1))-IF(AU283=0,INDEX('Lease Cycles'!$DD$24:$DJ$24,1,AU282),0))),0)</f>
        <v>0</v>
      </c>
      <c r="AV289" s="28">
        <f>IF(AV284=1,IF(INDEX('Lease Cycles'!$EF$24:$EL$24,1,AV282)=1,0,AV285*(1-IF(AV283&lt;INDEX('Lease Cycles'!$DK$24:$DQ$24,1,AV282),0,IF(AV283=INDEX('Lease Cycles'!$DK$24:$DQ$24,1,AV282),1-INDEX('Lease Cycles'!$DR$24:$DX$24,1,AV282),1))-IF(AV283=0,INDEX('Lease Cycles'!$DD$24:$DJ$24,1,AV282),0))),0)</f>
        <v>0</v>
      </c>
      <c r="AW289" s="28">
        <f>IF(AW284=1,IF(INDEX('Lease Cycles'!$EF$24:$EL$24,1,AW282)=1,0,AW285*(1-IF(AW283&lt;INDEX('Lease Cycles'!$DK$24:$DQ$24,1,AW282),0,IF(AW283=INDEX('Lease Cycles'!$DK$24:$DQ$24,1,AW282),1-INDEX('Lease Cycles'!$DR$24:$DX$24,1,AW282),1))-IF(AW283=0,INDEX('Lease Cycles'!$DD$24:$DJ$24,1,AW282),0))),0)</f>
        <v>0</v>
      </c>
      <c r="AX289" s="28">
        <f>IF(AX284=1,IF(INDEX('Lease Cycles'!$EF$24:$EL$24,1,AX282)=1,0,AX285*(1-IF(AX283&lt;INDEX('Lease Cycles'!$DK$24:$DQ$24,1,AX282),0,IF(AX283=INDEX('Lease Cycles'!$DK$24:$DQ$24,1,AX282),1-INDEX('Lease Cycles'!$DR$24:$DX$24,1,AX282),1))-IF(AX283=0,INDEX('Lease Cycles'!$DD$24:$DJ$24,1,AX282),0))),0)</f>
        <v>0</v>
      </c>
      <c r="AY289" s="28">
        <f>IF(AY284=1,IF(INDEX('Lease Cycles'!$EF$24:$EL$24,1,AY282)=1,0,AY285*(1-IF(AY283&lt;INDEX('Lease Cycles'!$DK$24:$DQ$24,1,AY282),0,IF(AY283=INDEX('Lease Cycles'!$DK$24:$DQ$24,1,AY282),1-INDEX('Lease Cycles'!$DR$24:$DX$24,1,AY282),1))-IF(AY283=0,INDEX('Lease Cycles'!$DD$24:$DJ$24,1,AY282),0))),0)</f>
        <v>0</v>
      </c>
      <c r="AZ289" s="28">
        <f>IF(AZ284=1,IF(INDEX('Lease Cycles'!$EF$24:$EL$24,1,AZ282)=1,0,AZ285*(1-IF(AZ283&lt;INDEX('Lease Cycles'!$DK$24:$DQ$24,1,AZ282),0,IF(AZ283=INDEX('Lease Cycles'!$DK$24:$DQ$24,1,AZ282),1-INDEX('Lease Cycles'!$DR$24:$DX$24,1,AZ282),1))-IF(AZ283=0,INDEX('Lease Cycles'!$DD$24:$DJ$24,1,AZ282),0))),0)</f>
        <v>0</v>
      </c>
      <c r="BA289" s="28">
        <f>IF(BA284=1,IF(INDEX('Lease Cycles'!$EF$24:$EL$24,1,BA282)=1,0,BA285*(1-IF(BA283&lt;INDEX('Lease Cycles'!$DK$24:$DQ$24,1,BA282),0,IF(BA283=INDEX('Lease Cycles'!$DK$24:$DQ$24,1,BA282),1-INDEX('Lease Cycles'!$DR$24:$DX$24,1,BA282),1))-IF(BA283=0,INDEX('Lease Cycles'!$DD$24:$DJ$24,1,BA282),0))),0)</f>
        <v>0</v>
      </c>
      <c r="BB289" s="28">
        <f>IF(BB284=1,IF(INDEX('Lease Cycles'!$EF$24:$EL$24,1,BB282)=1,0,BB285*(1-IF(BB283&lt;INDEX('Lease Cycles'!$DK$24:$DQ$24,1,BB282),0,IF(BB283=INDEX('Lease Cycles'!$DK$24:$DQ$24,1,BB282),1-INDEX('Lease Cycles'!$DR$24:$DX$24,1,BB282),1))-IF(BB283=0,INDEX('Lease Cycles'!$DD$24:$DJ$24,1,BB282),0))),0)</f>
        <v>0</v>
      </c>
      <c r="BC289" s="28">
        <f>IF(BC284=1,IF(INDEX('Lease Cycles'!$EF$24:$EL$24,1,BC282)=1,0,BC285*(1-IF(BC283&lt;INDEX('Lease Cycles'!$DK$24:$DQ$24,1,BC282),0,IF(BC283=INDEX('Lease Cycles'!$DK$24:$DQ$24,1,BC282),1-INDEX('Lease Cycles'!$DR$24:$DX$24,1,BC282),1))-IF(BC283=0,INDEX('Lease Cycles'!$DD$24:$DJ$24,1,BC282),0))),0)</f>
        <v>0</v>
      </c>
      <c r="BD289" s="28">
        <f>IF(BD284=1,IF(INDEX('Lease Cycles'!$EF$24:$EL$24,1,BD282)=1,0,BD285*(1-IF(BD283&lt;INDEX('Lease Cycles'!$DK$24:$DQ$24,1,BD282),0,IF(BD283=INDEX('Lease Cycles'!$DK$24:$DQ$24,1,BD282),1-INDEX('Lease Cycles'!$DR$24:$DX$24,1,BD282),1))-IF(BD283=0,INDEX('Lease Cycles'!$DD$24:$DJ$24,1,BD282),0))),0)</f>
        <v>0</v>
      </c>
      <c r="BE289" s="28">
        <f>IF(BE284=1,IF(INDEX('Lease Cycles'!$EF$24:$EL$24,1,BE282)=1,0,BE285*(1-IF(BE283&lt;INDEX('Lease Cycles'!$DK$24:$DQ$24,1,BE282),0,IF(BE283=INDEX('Lease Cycles'!$DK$24:$DQ$24,1,BE282),1-INDEX('Lease Cycles'!$DR$24:$DX$24,1,BE282),1))-IF(BE283=0,INDEX('Lease Cycles'!$DD$24:$DJ$24,1,BE282),0))),0)</f>
        <v>0</v>
      </c>
      <c r="BF289" s="28">
        <f>IF(BF284=1,IF(INDEX('Lease Cycles'!$EF$24:$EL$24,1,BF282)=1,0,BF285*(1-IF(BF283&lt;INDEX('Lease Cycles'!$DK$24:$DQ$24,1,BF282),0,IF(BF283=INDEX('Lease Cycles'!$DK$24:$DQ$24,1,BF282),1-INDEX('Lease Cycles'!$DR$24:$DX$24,1,BF282),1))-IF(BF283=0,INDEX('Lease Cycles'!$DD$24:$DJ$24,1,BF282),0))),0)</f>
        <v>0</v>
      </c>
      <c r="BG289" s="28">
        <f>IF(BG284=1,IF(INDEX('Lease Cycles'!$EF$24:$EL$24,1,BG282)=1,0,BG285*(1-IF(BG283&lt;INDEX('Lease Cycles'!$DK$24:$DQ$24,1,BG282),0,IF(BG283=INDEX('Lease Cycles'!$DK$24:$DQ$24,1,BG282),1-INDEX('Lease Cycles'!$DR$24:$DX$24,1,BG282),1))-IF(BG283=0,INDEX('Lease Cycles'!$DD$24:$DJ$24,1,BG282),0))),0)</f>
        <v>0</v>
      </c>
      <c r="BH289" s="28">
        <f>IF(BH284=1,IF(INDEX('Lease Cycles'!$EF$24:$EL$24,1,BH282)=1,0,BH285*(1-IF(BH283&lt;INDEX('Lease Cycles'!$DK$24:$DQ$24,1,BH282),0,IF(BH283=INDEX('Lease Cycles'!$DK$24:$DQ$24,1,BH282),1-INDEX('Lease Cycles'!$DR$24:$DX$24,1,BH282),1))-IF(BH283=0,INDEX('Lease Cycles'!$DD$24:$DJ$24,1,BH282),0))),0)</f>
        <v>0</v>
      </c>
      <c r="BI289" s="28">
        <f>IF(BI284=1,IF(INDEX('Lease Cycles'!$EF$24:$EL$24,1,BI282)=1,0,BI285*(1-IF(BI283&lt;INDEX('Lease Cycles'!$DK$24:$DQ$24,1,BI282),0,IF(BI283=INDEX('Lease Cycles'!$DK$24:$DQ$24,1,BI282),1-INDEX('Lease Cycles'!$DR$24:$DX$24,1,BI282),1))-IF(BI283=0,INDEX('Lease Cycles'!$DD$24:$DJ$24,1,BI282),0))),0)</f>
        <v>0</v>
      </c>
      <c r="BJ289" s="28">
        <f>IF(BJ284=1,IF(INDEX('Lease Cycles'!$EF$24:$EL$24,1,BJ282)=1,0,BJ285*(1-IF(BJ283&lt;INDEX('Lease Cycles'!$DK$24:$DQ$24,1,BJ282),0,IF(BJ283=INDEX('Lease Cycles'!$DK$24:$DQ$24,1,BJ282),1-INDEX('Lease Cycles'!$DR$24:$DX$24,1,BJ282),1))-IF(BJ283=0,INDEX('Lease Cycles'!$DD$24:$DJ$24,1,BJ282),0))),0)</f>
        <v>0</v>
      </c>
      <c r="BK289" s="28">
        <f>IF(BK284=1,IF(INDEX('Lease Cycles'!$EF$24:$EL$24,1,BK282)=1,0,BK285*(1-IF(BK283&lt;INDEX('Lease Cycles'!$DK$24:$DQ$24,1,BK282),0,IF(BK283=INDEX('Lease Cycles'!$DK$24:$DQ$24,1,BK282),1-INDEX('Lease Cycles'!$DR$24:$DX$24,1,BK282),1))-IF(BK283=0,INDEX('Lease Cycles'!$DD$24:$DJ$24,1,BK282),0))),0)</f>
        <v>0</v>
      </c>
      <c r="BL289" s="28">
        <f>IF(BL284=1,IF(INDEX('Lease Cycles'!$EF$24:$EL$24,1,BL282)=1,0,BL285*(1-IF(BL283&lt;INDEX('Lease Cycles'!$DK$24:$DQ$24,1,BL282),0,IF(BL283=INDEX('Lease Cycles'!$DK$24:$DQ$24,1,BL282),1-INDEX('Lease Cycles'!$DR$24:$DX$24,1,BL282),1))-IF(BL283=0,INDEX('Lease Cycles'!$DD$24:$DJ$24,1,BL282),0))),0)</f>
        <v>0</v>
      </c>
      <c r="BM289" s="28">
        <f>IF(BM284=1,IF(INDEX('Lease Cycles'!$EF$24:$EL$24,1,BM282)=1,0,BM285*(1-IF(BM283&lt;INDEX('Lease Cycles'!$DK$24:$DQ$24,1,BM282),0,IF(BM283=INDEX('Lease Cycles'!$DK$24:$DQ$24,1,BM282),1-INDEX('Lease Cycles'!$DR$24:$DX$24,1,BM282),1))-IF(BM283=0,INDEX('Lease Cycles'!$DD$24:$DJ$24,1,BM282),0))),0)</f>
        <v>0</v>
      </c>
      <c r="BN289" s="28">
        <f>IF(BN284=1,IF(INDEX('Lease Cycles'!$EF$24:$EL$24,1,BN282)=1,0,BN285*(1-IF(BN283&lt;INDEX('Lease Cycles'!$DK$24:$DQ$24,1,BN282),0,IF(BN283=INDEX('Lease Cycles'!$DK$24:$DQ$24,1,BN282),1-INDEX('Lease Cycles'!$DR$24:$DX$24,1,BN282),1))-IF(BN283=0,INDEX('Lease Cycles'!$DD$24:$DJ$24,1,BN282),0))),0)</f>
        <v>0</v>
      </c>
      <c r="BO289" s="28">
        <f>IF(BO284=1,IF(INDEX('Lease Cycles'!$EF$24:$EL$24,1,BO282)=1,0,BO285*(1-IF(BO283&lt;INDEX('Lease Cycles'!$DK$24:$DQ$24,1,BO282),0,IF(BO283=INDEX('Lease Cycles'!$DK$24:$DQ$24,1,BO282),1-INDEX('Lease Cycles'!$DR$24:$DX$24,1,BO282),1))-IF(BO283=0,INDEX('Lease Cycles'!$DD$24:$DJ$24,1,BO282),0))),0)</f>
        <v>0</v>
      </c>
      <c r="BP289" s="28">
        <f>IF(BP284=1,IF(INDEX('Lease Cycles'!$EF$24:$EL$24,1,BP282)=1,0,BP285*(1-IF(BP283&lt;INDEX('Lease Cycles'!$DK$24:$DQ$24,1,BP282),0,IF(BP283=INDEX('Lease Cycles'!$DK$24:$DQ$24,1,BP282),1-INDEX('Lease Cycles'!$DR$24:$DX$24,1,BP282),1))-IF(BP283=0,INDEX('Lease Cycles'!$DD$24:$DJ$24,1,BP282),0))),0)</f>
        <v>0</v>
      </c>
      <c r="BQ289" s="28">
        <f>IF(BQ284=1,IF(INDEX('Lease Cycles'!$EF$24:$EL$24,1,BQ282)=1,0,BQ285*(1-IF(BQ283&lt;INDEX('Lease Cycles'!$DK$24:$DQ$24,1,BQ282),0,IF(BQ283=INDEX('Lease Cycles'!$DK$24:$DQ$24,1,BQ282),1-INDEX('Lease Cycles'!$DR$24:$DX$24,1,BQ282),1))-IF(BQ283=0,INDEX('Lease Cycles'!$DD$24:$DJ$24,1,BQ282),0))),0)</f>
        <v>0</v>
      </c>
      <c r="BR289" s="28">
        <f>IF(BR284=1,IF(INDEX('Lease Cycles'!$EF$24:$EL$24,1,BR282)=1,0,BR285*(1-IF(BR283&lt;INDEX('Lease Cycles'!$DK$24:$DQ$24,1,BR282),0,IF(BR283=INDEX('Lease Cycles'!$DK$24:$DQ$24,1,BR282),1-INDEX('Lease Cycles'!$DR$24:$DX$24,1,BR282),1))-IF(BR283=0,INDEX('Lease Cycles'!$DD$24:$DJ$24,1,BR282),0))),0)</f>
        <v>0</v>
      </c>
      <c r="BS289" s="28">
        <f>IF(BS284=1,IF(INDEX('Lease Cycles'!$EF$24:$EL$24,1,BS282)=1,0,BS285*(1-IF(BS283&lt;INDEX('Lease Cycles'!$DK$24:$DQ$24,1,BS282),0,IF(BS283=INDEX('Lease Cycles'!$DK$24:$DQ$24,1,BS282),1-INDEX('Lease Cycles'!$DR$24:$DX$24,1,BS282),1))-IF(BS283=0,INDEX('Lease Cycles'!$DD$24:$DJ$24,1,BS282),0))),0)</f>
        <v>0</v>
      </c>
      <c r="BT289" s="28">
        <f>IF(BT284=1,IF(INDEX('Lease Cycles'!$EF$24:$EL$24,1,BT282)=1,0,BT285*(1-IF(BT283&lt;INDEX('Lease Cycles'!$DK$24:$DQ$24,1,BT282),0,IF(BT283=INDEX('Lease Cycles'!$DK$24:$DQ$24,1,BT282),1-INDEX('Lease Cycles'!$DR$24:$DX$24,1,BT282),1))-IF(BT283=0,INDEX('Lease Cycles'!$DD$24:$DJ$24,1,BT282),0))),0)</f>
        <v>0</v>
      </c>
      <c r="BU289" s="28">
        <f>IF(BU284=1,IF(INDEX('Lease Cycles'!$EF$24:$EL$24,1,BU282)=1,0,BU285*(1-IF(BU283&lt;INDEX('Lease Cycles'!$DK$24:$DQ$24,1,BU282),0,IF(BU283=INDEX('Lease Cycles'!$DK$24:$DQ$24,1,BU282),1-INDEX('Lease Cycles'!$DR$24:$DX$24,1,BU282),1))-IF(BU283=0,INDEX('Lease Cycles'!$DD$24:$DJ$24,1,BU282),0))),0)</f>
        <v>0</v>
      </c>
      <c r="BV289" s="28">
        <f>IF(BV284=1,IF(INDEX('Lease Cycles'!$EF$24:$EL$24,1,BV282)=1,0,BV285*(1-IF(BV283&lt;INDEX('Lease Cycles'!$DK$24:$DQ$24,1,BV282),0,IF(BV283=INDEX('Lease Cycles'!$DK$24:$DQ$24,1,BV282),1-INDEX('Lease Cycles'!$DR$24:$DX$24,1,BV282),1))-IF(BV283=0,INDEX('Lease Cycles'!$DD$24:$DJ$24,1,BV282),0))),0)</f>
        <v>0</v>
      </c>
      <c r="BW289" s="28">
        <f>IF(BW284=1,IF(INDEX('Lease Cycles'!$EF$24:$EL$24,1,BW282)=1,0,BW285*(1-IF(BW283&lt;INDEX('Lease Cycles'!$DK$24:$DQ$24,1,BW282),0,IF(BW283=INDEX('Lease Cycles'!$DK$24:$DQ$24,1,BW282),1-INDEX('Lease Cycles'!$DR$24:$DX$24,1,BW282),1))-IF(BW283=0,INDEX('Lease Cycles'!$DD$24:$DJ$24,1,BW282),0))),0)</f>
        <v>0</v>
      </c>
      <c r="BX289" s="28">
        <f>IF(BX284=1,IF(INDEX('Lease Cycles'!$EF$24:$EL$24,1,BX282)=1,0,BX285*(1-IF(BX283&lt;INDEX('Lease Cycles'!$DK$24:$DQ$24,1,BX282),0,IF(BX283=INDEX('Lease Cycles'!$DK$24:$DQ$24,1,BX282),1-INDEX('Lease Cycles'!$DR$24:$DX$24,1,BX282),1))-IF(BX283=0,INDEX('Lease Cycles'!$DD$24:$DJ$24,1,BX282),0))),0)</f>
        <v>0</v>
      </c>
      <c r="BY289" s="28">
        <f>IF(BY284=1,IF(INDEX('Lease Cycles'!$EF$24:$EL$24,1,BY282)=1,0,BY285*(1-IF(BY283&lt;INDEX('Lease Cycles'!$DK$24:$DQ$24,1,BY282),0,IF(BY283=INDEX('Lease Cycles'!$DK$24:$DQ$24,1,BY282),1-INDEX('Lease Cycles'!$DR$24:$DX$24,1,BY282),1))-IF(BY283=0,INDEX('Lease Cycles'!$DD$24:$DJ$24,1,BY282),0))),0)</f>
        <v>0</v>
      </c>
      <c r="BZ289" s="28">
        <f>IF(BZ284=1,IF(INDEX('Lease Cycles'!$EF$24:$EL$24,1,BZ282)=1,0,BZ285*(1-IF(BZ283&lt;INDEX('Lease Cycles'!$DK$24:$DQ$24,1,BZ282),0,IF(BZ283=INDEX('Lease Cycles'!$DK$24:$DQ$24,1,BZ282),1-INDEX('Lease Cycles'!$DR$24:$DX$24,1,BZ282),1))-IF(BZ283=0,INDEX('Lease Cycles'!$DD$24:$DJ$24,1,BZ282),0))),0)</f>
        <v>0</v>
      </c>
      <c r="CA289" s="28">
        <f>IF(CA284=1,IF(INDEX('Lease Cycles'!$EF$24:$EL$24,1,CA282)=1,0,CA285*(1-IF(CA283&lt;INDEX('Lease Cycles'!$DK$24:$DQ$24,1,CA282),0,IF(CA283=INDEX('Lease Cycles'!$DK$24:$DQ$24,1,CA282),1-INDEX('Lease Cycles'!$DR$24:$DX$24,1,CA282),1))-IF(CA283=0,INDEX('Lease Cycles'!$DD$24:$DJ$24,1,CA282),0))),0)</f>
        <v>0</v>
      </c>
      <c r="CB289" s="28">
        <f>IF(CB284=1,IF(INDEX('Lease Cycles'!$EF$24:$EL$24,1,CB282)=1,0,CB285*(1-IF(CB283&lt;INDEX('Lease Cycles'!$DK$24:$DQ$24,1,CB282),0,IF(CB283=INDEX('Lease Cycles'!$DK$24:$DQ$24,1,CB282),1-INDEX('Lease Cycles'!$DR$24:$DX$24,1,CB282),1))-IF(CB283=0,INDEX('Lease Cycles'!$DD$24:$DJ$24,1,CB282),0))),0)</f>
        <v>0</v>
      </c>
      <c r="CC289" s="28">
        <f>IF(CC284=1,IF(INDEX('Lease Cycles'!$EF$24:$EL$24,1,CC282)=1,0,CC285*(1-IF(CC283&lt;INDEX('Lease Cycles'!$DK$24:$DQ$24,1,CC282),0,IF(CC283=INDEX('Lease Cycles'!$DK$24:$DQ$24,1,CC282),1-INDEX('Lease Cycles'!$DR$24:$DX$24,1,CC282),1))-IF(CC283=0,INDEX('Lease Cycles'!$DD$24:$DJ$24,1,CC282),0))),0)</f>
        <v>0</v>
      </c>
      <c r="CD289" s="28">
        <f>IF(CD284=1,IF(INDEX('Lease Cycles'!$EF$24:$EL$24,1,CD282)=1,0,CD285*(1-IF(CD283&lt;INDEX('Lease Cycles'!$DK$24:$DQ$24,1,CD282),0,IF(CD283=INDEX('Lease Cycles'!$DK$24:$DQ$24,1,CD282),1-INDEX('Lease Cycles'!$DR$24:$DX$24,1,CD282),1))-IF(CD283=0,INDEX('Lease Cycles'!$DD$24:$DJ$24,1,CD282),0))),0)</f>
        <v>0</v>
      </c>
      <c r="CE289" s="28">
        <f>IF(CE284=1,IF(INDEX('Lease Cycles'!$EF$24:$EL$24,1,CE282)=1,0,CE285*(1-IF(CE283&lt;INDEX('Lease Cycles'!$DK$24:$DQ$24,1,CE282),0,IF(CE283=INDEX('Lease Cycles'!$DK$24:$DQ$24,1,CE282),1-INDEX('Lease Cycles'!$DR$24:$DX$24,1,CE282),1))-IF(CE283=0,INDEX('Lease Cycles'!$DD$24:$DJ$24,1,CE282),0))),0)</f>
        <v>0</v>
      </c>
      <c r="CF289" s="28">
        <f>IF(CF284=1,IF(INDEX('Lease Cycles'!$EF$24:$EL$24,1,CF282)=1,0,CF285*(1-IF(CF283&lt;INDEX('Lease Cycles'!$DK$24:$DQ$24,1,CF282),0,IF(CF283=INDEX('Lease Cycles'!$DK$24:$DQ$24,1,CF282),1-INDEX('Lease Cycles'!$DR$24:$DX$24,1,CF282),1))-IF(CF283=0,INDEX('Lease Cycles'!$DD$24:$DJ$24,1,CF282),0))),0)</f>
        <v>0</v>
      </c>
      <c r="CG289" s="28">
        <f>IF(CG284=1,IF(INDEX('Lease Cycles'!$EF$24:$EL$24,1,CG282)=1,0,CG285*(1-IF(CG283&lt;INDEX('Lease Cycles'!$DK$24:$DQ$24,1,CG282),0,IF(CG283=INDEX('Lease Cycles'!$DK$24:$DQ$24,1,CG282),1-INDEX('Lease Cycles'!$DR$24:$DX$24,1,CG282),1))-IF(CG283=0,INDEX('Lease Cycles'!$DD$24:$DJ$24,1,CG282),0))),0)</f>
        <v>0</v>
      </c>
      <c r="CH289" s="28">
        <f>IF(CH284=1,IF(INDEX('Lease Cycles'!$EF$24:$EL$24,1,CH282)=1,0,CH285*(1-IF(CH283&lt;INDEX('Lease Cycles'!$DK$24:$DQ$24,1,CH282),0,IF(CH283=INDEX('Lease Cycles'!$DK$24:$DQ$24,1,CH282),1-INDEX('Lease Cycles'!$DR$24:$DX$24,1,CH282),1))-IF(CH283=0,INDEX('Lease Cycles'!$DD$24:$DJ$24,1,CH282),0))),0)</f>
        <v>0</v>
      </c>
      <c r="CI289" s="28">
        <f>IF(CI284=1,IF(INDEX('Lease Cycles'!$EF$24:$EL$24,1,CI282)=1,0,CI285*(1-IF(CI283&lt;INDEX('Lease Cycles'!$DK$24:$DQ$24,1,CI282),0,IF(CI283=INDEX('Lease Cycles'!$DK$24:$DQ$24,1,CI282),1-INDEX('Lease Cycles'!$DR$24:$DX$24,1,CI282),1))-IF(CI283=0,INDEX('Lease Cycles'!$DD$24:$DJ$24,1,CI282),0))),0)</f>
        <v>0</v>
      </c>
      <c r="CJ289" s="28">
        <f>IF(CJ284=1,IF(INDEX('Lease Cycles'!$EF$24:$EL$24,1,CJ282)=1,0,CJ285*(1-IF(CJ283&lt;INDEX('Lease Cycles'!$DK$24:$DQ$24,1,CJ282),0,IF(CJ283=INDEX('Lease Cycles'!$DK$24:$DQ$24,1,CJ282),1-INDEX('Lease Cycles'!$DR$24:$DX$24,1,CJ282),1))-IF(CJ283=0,INDEX('Lease Cycles'!$DD$24:$DJ$24,1,CJ282),0))),0)</f>
        <v>0</v>
      </c>
      <c r="CK289" s="28">
        <f>IF(CK284=1,IF(INDEX('Lease Cycles'!$EF$24:$EL$24,1,CK282)=1,0,CK285*(1-IF(CK283&lt;INDEX('Lease Cycles'!$DK$24:$DQ$24,1,CK282),0,IF(CK283=INDEX('Lease Cycles'!$DK$24:$DQ$24,1,CK282),1-INDEX('Lease Cycles'!$DR$24:$DX$24,1,CK282),1))-IF(CK283=0,INDEX('Lease Cycles'!$DD$24:$DJ$24,1,CK282),0))),0)</f>
        <v>0</v>
      </c>
      <c r="CL289" s="28">
        <f>IF(CL284=1,IF(INDEX('Lease Cycles'!$EF$24:$EL$24,1,CL282)=1,0,CL285*(1-IF(CL283&lt;INDEX('Lease Cycles'!$DK$24:$DQ$24,1,CL282),0,IF(CL283=INDEX('Lease Cycles'!$DK$24:$DQ$24,1,CL282),1-INDEX('Lease Cycles'!$DR$24:$DX$24,1,CL282),1))-IF(CL283=0,INDEX('Lease Cycles'!$DD$24:$DJ$24,1,CL282),0))),0)</f>
        <v>0</v>
      </c>
      <c r="CM289" s="28">
        <f>IF(CM284=1,IF(INDEX('Lease Cycles'!$EF$24:$EL$24,1,CM282)=1,0,CM285*(1-IF(CM283&lt;INDEX('Lease Cycles'!$DK$24:$DQ$24,1,CM282),0,IF(CM283=INDEX('Lease Cycles'!$DK$24:$DQ$24,1,CM282),1-INDEX('Lease Cycles'!$DR$24:$DX$24,1,CM282),1))-IF(CM283=0,INDEX('Lease Cycles'!$DD$24:$DJ$24,1,CM282),0))),0)</f>
        <v>0</v>
      </c>
      <c r="CN289" s="28">
        <f>IF(CN284=1,IF(INDEX('Lease Cycles'!$EF$24:$EL$24,1,CN282)=1,0,CN285*(1-IF(CN283&lt;INDEX('Lease Cycles'!$DK$24:$DQ$24,1,CN282),0,IF(CN283=INDEX('Lease Cycles'!$DK$24:$DQ$24,1,CN282),1-INDEX('Lease Cycles'!$DR$24:$DX$24,1,CN282),1))-IF(CN283=0,INDEX('Lease Cycles'!$DD$24:$DJ$24,1,CN282),0))),0)</f>
        <v>0</v>
      </c>
      <c r="CO289" s="28">
        <f>IF(CO284=1,IF(INDEX('Lease Cycles'!$EF$24:$EL$24,1,CO282)=1,0,CO285*(1-IF(CO283&lt;INDEX('Lease Cycles'!$DK$24:$DQ$24,1,CO282),0,IF(CO283=INDEX('Lease Cycles'!$DK$24:$DQ$24,1,CO282),1-INDEX('Lease Cycles'!$DR$24:$DX$24,1,CO282),1))-IF(CO283=0,INDEX('Lease Cycles'!$DD$24:$DJ$24,1,CO282),0))),0)</f>
        <v>0</v>
      </c>
      <c r="CP289" s="28">
        <f>IF(CP284=1,IF(INDEX('Lease Cycles'!$EF$24:$EL$24,1,CP282)=1,0,CP285*(1-IF(CP283&lt;INDEX('Lease Cycles'!$DK$24:$DQ$24,1,CP282),0,IF(CP283=INDEX('Lease Cycles'!$DK$24:$DQ$24,1,CP282),1-INDEX('Lease Cycles'!$DR$24:$DX$24,1,CP282),1))-IF(CP283=0,INDEX('Lease Cycles'!$DD$24:$DJ$24,1,CP282),0))),0)</f>
        <v>0</v>
      </c>
      <c r="CQ289" s="28">
        <f>IF(CQ284=1,IF(INDEX('Lease Cycles'!$EF$24:$EL$24,1,CQ282)=1,0,CQ285*(1-IF(CQ283&lt;INDEX('Lease Cycles'!$DK$24:$DQ$24,1,CQ282),0,IF(CQ283=INDEX('Lease Cycles'!$DK$24:$DQ$24,1,CQ282),1-INDEX('Lease Cycles'!$DR$24:$DX$24,1,CQ282),1))-IF(CQ283=0,INDEX('Lease Cycles'!$DD$24:$DJ$24,1,CQ282),0))),0)</f>
        <v>0</v>
      </c>
      <c r="CR289" s="28">
        <f>IF(CR284=1,IF(INDEX('Lease Cycles'!$EF$24:$EL$24,1,CR282)=1,0,CR285*(1-IF(CR283&lt;INDEX('Lease Cycles'!$DK$24:$DQ$24,1,CR282),0,IF(CR283=INDEX('Lease Cycles'!$DK$24:$DQ$24,1,CR282),1-INDEX('Lease Cycles'!$DR$24:$DX$24,1,CR282),1))-IF(CR283=0,INDEX('Lease Cycles'!$DD$24:$DJ$24,1,CR282),0))),0)</f>
        <v>0</v>
      </c>
      <c r="CS289" s="28">
        <f>IF(CS284=1,IF(INDEX('Lease Cycles'!$EF$24:$EL$24,1,CS282)=1,0,CS285*(1-IF(CS283&lt;INDEX('Lease Cycles'!$DK$24:$DQ$24,1,CS282),0,IF(CS283=INDEX('Lease Cycles'!$DK$24:$DQ$24,1,CS282),1-INDEX('Lease Cycles'!$DR$24:$DX$24,1,CS282),1))-IF(CS283=0,INDEX('Lease Cycles'!$DD$24:$DJ$24,1,CS282),0))),0)</f>
        <v>0</v>
      </c>
      <c r="CT289" s="28">
        <f>IF(CT284=1,IF(INDEX('Lease Cycles'!$EF$24:$EL$24,1,CT282)=1,0,CT285*(1-IF(CT283&lt;INDEX('Lease Cycles'!$DK$24:$DQ$24,1,CT282),0,IF(CT283=INDEX('Lease Cycles'!$DK$24:$DQ$24,1,CT282),1-INDEX('Lease Cycles'!$DR$24:$DX$24,1,CT282),1))-IF(CT283=0,INDEX('Lease Cycles'!$DD$24:$DJ$24,1,CT282),0))),0)</f>
        <v>0</v>
      </c>
      <c r="CU289" s="28">
        <f>IF(CU284=1,IF(INDEX('Lease Cycles'!$EF$24:$EL$24,1,CU282)=1,0,CU285*(1-IF(CU283&lt;INDEX('Lease Cycles'!$DK$24:$DQ$24,1,CU282),0,IF(CU283=INDEX('Lease Cycles'!$DK$24:$DQ$24,1,CU282),1-INDEX('Lease Cycles'!$DR$24:$DX$24,1,CU282),1))-IF(CU283=0,INDEX('Lease Cycles'!$DD$24:$DJ$24,1,CU282),0))),0)</f>
        <v>0</v>
      </c>
      <c r="CV289" s="28">
        <f>IF(CV284=1,IF(INDEX('Lease Cycles'!$EF$24:$EL$24,1,CV282)=1,0,CV285*(1-IF(CV283&lt;INDEX('Lease Cycles'!$DK$24:$DQ$24,1,CV282),0,IF(CV283=INDEX('Lease Cycles'!$DK$24:$DQ$24,1,CV282),1-INDEX('Lease Cycles'!$DR$24:$DX$24,1,CV282),1))-IF(CV283=0,INDEX('Lease Cycles'!$DD$24:$DJ$24,1,CV282),0))),0)</f>
        <v>0</v>
      </c>
      <c r="CW289" s="28">
        <f>IF(CW284=1,IF(INDEX('Lease Cycles'!$EF$24:$EL$24,1,CW282)=1,0,CW285*(1-IF(CW283&lt;INDEX('Lease Cycles'!$DK$24:$DQ$24,1,CW282),0,IF(CW283=INDEX('Lease Cycles'!$DK$24:$DQ$24,1,CW282),1-INDEX('Lease Cycles'!$DR$24:$DX$24,1,CW282),1))-IF(CW283=0,INDEX('Lease Cycles'!$DD$24:$DJ$24,1,CW282),0))),0)</f>
        <v>0</v>
      </c>
      <c r="CX289" s="28">
        <f>IF(CX284=1,IF(INDEX('Lease Cycles'!$EF$24:$EL$24,1,CX282)=1,0,CX285*(1-IF(CX283&lt;INDEX('Lease Cycles'!$DK$24:$DQ$24,1,CX282),0,IF(CX283=INDEX('Lease Cycles'!$DK$24:$DQ$24,1,CX282),1-INDEX('Lease Cycles'!$DR$24:$DX$24,1,CX282),1))-IF(CX283=0,INDEX('Lease Cycles'!$DD$24:$DJ$24,1,CX282),0))),0)</f>
        <v>0</v>
      </c>
      <c r="CY289" s="28">
        <f>IF(CY284=1,IF(INDEX('Lease Cycles'!$EF$24:$EL$24,1,CY282)=1,0,CY285*(1-IF(CY283&lt;INDEX('Lease Cycles'!$DK$24:$DQ$24,1,CY282),0,IF(CY283=INDEX('Lease Cycles'!$DK$24:$DQ$24,1,CY282),1-INDEX('Lease Cycles'!$DR$24:$DX$24,1,CY282),1))-IF(CY283=0,INDEX('Lease Cycles'!$DD$24:$DJ$24,1,CY282),0))),0)</f>
        <v>0</v>
      </c>
      <c r="CZ289" s="28">
        <f>IF(CZ284=1,IF(INDEX('Lease Cycles'!$EF$24:$EL$24,1,CZ282)=1,0,CZ285*(1-IF(CZ283&lt;INDEX('Lease Cycles'!$DK$24:$DQ$24,1,CZ282),0,IF(CZ283=INDEX('Lease Cycles'!$DK$24:$DQ$24,1,CZ282),1-INDEX('Lease Cycles'!$DR$24:$DX$24,1,CZ282),1))-IF(CZ283=0,INDEX('Lease Cycles'!$DD$24:$DJ$24,1,CZ282),0))),0)</f>
        <v>0</v>
      </c>
      <c r="DA289" s="28">
        <f>IF(DA284=1,IF(INDEX('Lease Cycles'!$EF$24:$EL$24,1,DA282)=1,0,DA285*(1-IF(DA283&lt;INDEX('Lease Cycles'!$DK$24:$DQ$24,1,DA282),0,IF(DA283=INDEX('Lease Cycles'!$DK$24:$DQ$24,1,DA282),1-INDEX('Lease Cycles'!$DR$24:$DX$24,1,DA282),1))-IF(DA283=0,INDEX('Lease Cycles'!$DD$24:$DJ$24,1,DA282),0))),0)</f>
        <v>0</v>
      </c>
      <c r="DB289" s="28">
        <f>IF(DB284=1,IF(INDEX('Lease Cycles'!$EF$24:$EL$24,1,DB282)=1,0,DB285*(1-IF(DB283&lt;INDEX('Lease Cycles'!$DK$24:$DQ$24,1,DB282),0,IF(DB283=INDEX('Lease Cycles'!$DK$24:$DQ$24,1,DB282),1-INDEX('Lease Cycles'!$DR$24:$DX$24,1,DB282),1))-IF(DB283=0,INDEX('Lease Cycles'!$DD$24:$DJ$24,1,DB282),0))),0)</f>
        <v>0</v>
      </c>
      <c r="DC289" s="28">
        <f>IF(DC284=1,IF(INDEX('Lease Cycles'!$EF$24:$EL$24,1,DC282)=1,0,DC285*(1-IF(DC283&lt;INDEX('Lease Cycles'!$DK$24:$DQ$24,1,DC282),0,IF(DC283=INDEX('Lease Cycles'!$DK$24:$DQ$24,1,DC282),1-INDEX('Lease Cycles'!$DR$24:$DX$24,1,DC282),1))-IF(DC283=0,INDEX('Lease Cycles'!$DD$24:$DJ$24,1,DC282),0))),0)</f>
        <v>0</v>
      </c>
      <c r="DD289" s="28">
        <f>IF(DD284=1,IF(INDEX('Lease Cycles'!$EF$24:$EL$24,1,DD282)=1,0,DD285*(1-IF(DD283&lt;INDEX('Lease Cycles'!$DK$24:$DQ$24,1,DD282),0,IF(DD283=INDEX('Lease Cycles'!$DK$24:$DQ$24,1,DD282),1-INDEX('Lease Cycles'!$DR$24:$DX$24,1,DD282),1))-IF(DD283=0,INDEX('Lease Cycles'!$DD$24:$DJ$24,1,DD282),0))),0)</f>
        <v>0</v>
      </c>
      <c r="DE289" s="28">
        <f>IF(DE284=1,IF(INDEX('Lease Cycles'!$EF$24:$EL$24,1,DE282)=1,0,DE285*(1-IF(DE283&lt;INDEX('Lease Cycles'!$DK$24:$DQ$24,1,DE282),0,IF(DE283=INDEX('Lease Cycles'!$DK$24:$DQ$24,1,DE282),1-INDEX('Lease Cycles'!$DR$24:$DX$24,1,DE282),1))-IF(DE283=0,INDEX('Lease Cycles'!$DD$24:$DJ$24,1,DE282),0))),0)</f>
        <v>0</v>
      </c>
      <c r="DF289" s="28">
        <f>IF(DF284=1,IF(INDEX('Lease Cycles'!$EF$24:$EL$24,1,DF282)=1,0,DF285*(1-IF(DF283&lt;INDEX('Lease Cycles'!$DK$24:$DQ$24,1,DF282),0,IF(DF283=INDEX('Lease Cycles'!$DK$24:$DQ$24,1,DF282),1-INDEX('Lease Cycles'!$DR$24:$DX$24,1,DF282),1))-IF(DF283=0,INDEX('Lease Cycles'!$DD$24:$DJ$24,1,DF282),0))),0)</f>
        <v>0</v>
      </c>
      <c r="DG289" s="28">
        <f>IF(DG284=1,IF(INDEX('Lease Cycles'!$EF$24:$EL$24,1,DG282)=1,0,DG285*(1-IF(DG283&lt;INDEX('Lease Cycles'!$DK$24:$DQ$24,1,DG282),0,IF(DG283=INDEX('Lease Cycles'!$DK$24:$DQ$24,1,DG282),1-INDEX('Lease Cycles'!$DR$24:$DX$24,1,DG282),1))-IF(DG283=0,INDEX('Lease Cycles'!$DD$24:$DJ$24,1,DG282),0))),0)</f>
        <v>0</v>
      </c>
      <c r="DH289" s="28">
        <f>IF(DH284=1,IF(INDEX('Lease Cycles'!$EF$24:$EL$24,1,DH282)=1,0,DH285*(1-IF(DH283&lt;INDEX('Lease Cycles'!$DK$24:$DQ$24,1,DH282),0,IF(DH283=INDEX('Lease Cycles'!$DK$24:$DQ$24,1,DH282),1-INDEX('Lease Cycles'!$DR$24:$DX$24,1,DH282),1))-IF(DH283=0,INDEX('Lease Cycles'!$DD$24:$DJ$24,1,DH282),0))),0)</f>
        <v>0</v>
      </c>
      <c r="DI289" s="28">
        <f>IF(DI284=1,IF(INDEX('Lease Cycles'!$EF$24:$EL$24,1,DI282)=1,0,DI285*(1-IF(DI283&lt;INDEX('Lease Cycles'!$DK$24:$DQ$24,1,DI282),0,IF(DI283=INDEX('Lease Cycles'!$DK$24:$DQ$24,1,DI282),1-INDEX('Lease Cycles'!$DR$24:$DX$24,1,DI282),1))-IF(DI283=0,INDEX('Lease Cycles'!$DD$24:$DJ$24,1,DI282),0))),0)</f>
        <v>0</v>
      </c>
      <c r="DJ289" s="28">
        <f>IF(DJ284=1,IF(INDEX('Lease Cycles'!$EF$24:$EL$24,1,DJ282)=1,0,DJ285*(1-IF(DJ283&lt;INDEX('Lease Cycles'!$DK$24:$DQ$24,1,DJ282),0,IF(DJ283=INDEX('Lease Cycles'!$DK$24:$DQ$24,1,DJ282),1-INDEX('Lease Cycles'!$DR$24:$DX$24,1,DJ282),1))-IF(DJ283=0,INDEX('Lease Cycles'!$DD$24:$DJ$24,1,DJ282),0))),0)</f>
        <v>0</v>
      </c>
      <c r="DK289" s="28">
        <f>IF(DK284=1,IF(INDEX('Lease Cycles'!$EF$24:$EL$24,1,DK282)=1,0,DK285*(1-IF(DK283&lt;INDEX('Lease Cycles'!$DK$24:$DQ$24,1,DK282),0,IF(DK283=INDEX('Lease Cycles'!$DK$24:$DQ$24,1,DK282),1-INDEX('Lease Cycles'!$DR$24:$DX$24,1,DK282),1))-IF(DK283=0,INDEX('Lease Cycles'!$DD$24:$DJ$24,1,DK282),0))),0)</f>
        <v>0</v>
      </c>
      <c r="DL289" s="28">
        <f>IF(DL284=1,IF(INDEX('Lease Cycles'!$EF$24:$EL$24,1,DL282)=1,0,DL285*(1-IF(DL283&lt;INDEX('Lease Cycles'!$DK$24:$DQ$24,1,DL282),0,IF(DL283=INDEX('Lease Cycles'!$DK$24:$DQ$24,1,DL282),1-INDEX('Lease Cycles'!$DR$24:$DX$24,1,DL282),1))-IF(DL283=0,INDEX('Lease Cycles'!$DD$24:$DJ$24,1,DL282),0))),0)</f>
        <v>0</v>
      </c>
      <c r="DM289" s="28">
        <f>IF(DM284=1,IF(INDEX('Lease Cycles'!$EF$24:$EL$24,1,DM282)=1,0,DM285*(1-IF(DM283&lt;INDEX('Lease Cycles'!$DK$24:$DQ$24,1,DM282),0,IF(DM283=INDEX('Lease Cycles'!$DK$24:$DQ$24,1,DM282),1-INDEX('Lease Cycles'!$DR$24:$DX$24,1,DM282),1))-IF(DM283=0,INDEX('Lease Cycles'!$DD$24:$DJ$24,1,DM282),0))),0)</f>
        <v>0</v>
      </c>
      <c r="DN289" s="28">
        <f>IF(DN284=1,IF(INDEX('Lease Cycles'!$EF$24:$EL$24,1,DN282)=1,0,DN285*(1-IF(DN283&lt;INDEX('Lease Cycles'!$DK$24:$DQ$24,1,DN282),0,IF(DN283=INDEX('Lease Cycles'!$DK$24:$DQ$24,1,DN282),1-INDEX('Lease Cycles'!$DR$24:$DX$24,1,DN282),1))-IF(DN283=0,INDEX('Lease Cycles'!$DD$24:$DJ$24,1,DN282),0))),0)</f>
        <v>0</v>
      </c>
      <c r="DO289" s="28">
        <f>IF(DO284=1,IF(INDEX('Lease Cycles'!$EF$24:$EL$24,1,DO282)=1,0,DO285*(1-IF(DO283&lt;INDEX('Lease Cycles'!$DK$24:$DQ$24,1,DO282),0,IF(DO283=INDEX('Lease Cycles'!$DK$24:$DQ$24,1,DO282),1-INDEX('Lease Cycles'!$DR$24:$DX$24,1,DO282),1))-IF(DO283=0,INDEX('Lease Cycles'!$DD$24:$DJ$24,1,DO282),0))),0)</f>
        <v>0</v>
      </c>
      <c r="DP289" s="28">
        <f>IF(DP284=1,IF(INDEX('Lease Cycles'!$EF$24:$EL$24,1,DP282)=1,0,DP285*(1-IF(DP283&lt;INDEX('Lease Cycles'!$DK$24:$DQ$24,1,DP282),0,IF(DP283=INDEX('Lease Cycles'!$DK$24:$DQ$24,1,DP282),1-INDEX('Lease Cycles'!$DR$24:$DX$24,1,DP282),1))-IF(DP283=0,INDEX('Lease Cycles'!$DD$24:$DJ$24,1,DP282),0))),0)</f>
        <v>0</v>
      </c>
      <c r="DQ289" s="28">
        <f>IF(DQ284=1,IF(INDEX('Lease Cycles'!$EF$24:$EL$24,1,DQ282)=1,0,DQ285*(1-IF(DQ283&lt;INDEX('Lease Cycles'!$DK$24:$DQ$24,1,DQ282),0,IF(DQ283=INDEX('Lease Cycles'!$DK$24:$DQ$24,1,DQ282),1-INDEX('Lease Cycles'!$DR$24:$DX$24,1,DQ282),1))-IF(DQ283=0,INDEX('Lease Cycles'!$DD$24:$DJ$24,1,DQ282),0))),0)</f>
        <v>0</v>
      </c>
      <c r="DR289" s="28">
        <f>IF(DR284=1,IF(INDEX('Lease Cycles'!$EF$24:$EL$24,1,DR282)=1,0,DR285*(1-IF(DR283&lt;INDEX('Lease Cycles'!$DK$24:$DQ$24,1,DR282),0,IF(DR283=INDEX('Lease Cycles'!$DK$24:$DQ$24,1,DR282),1-INDEX('Lease Cycles'!$DR$24:$DX$24,1,DR282),1))-IF(DR283=0,INDEX('Lease Cycles'!$DD$24:$DJ$24,1,DR282),0))),0)</f>
        <v>0</v>
      </c>
      <c r="DS289" s="28">
        <f>IF(DS284=1,IF(INDEX('Lease Cycles'!$EF$24:$EL$24,1,DS282)=1,0,DS285*(1-IF(DS283&lt;INDEX('Lease Cycles'!$DK$24:$DQ$24,1,DS282),0,IF(DS283=INDEX('Lease Cycles'!$DK$24:$DQ$24,1,DS282),1-INDEX('Lease Cycles'!$DR$24:$DX$24,1,DS282),1))-IF(DS283=0,INDEX('Lease Cycles'!$DD$24:$DJ$24,1,DS282),0))),0)</f>
        <v>0</v>
      </c>
      <c r="DT289" s="28">
        <f>IF(DT284=1,IF(INDEX('Lease Cycles'!$EF$24:$EL$24,1,DT282)=1,0,DT285*(1-IF(DT283&lt;INDEX('Lease Cycles'!$DK$24:$DQ$24,1,DT282),0,IF(DT283=INDEX('Lease Cycles'!$DK$24:$DQ$24,1,DT282),1-INDEX('Lease Cycles'!$DR$24:$DX$24,1,DT282),1))-IF(DT283=0,INDEX('Lease Cycles'!$DD$24:$DJ$24,1,DT282),0))),0)</f>
        <v>0</v>
      </c>
      <c r="DU289" s="28">
        <f>IF(DU284=1,IF(INDEX('Lease Cycles'!$EF$24:$EL$24,1,DU282)=1,0,DU285*(1-IF(DU283&lt;INDEX('Lease Cycles'!$DK$24:$DQ$24,1,DU282),0,IF(DU283=INDEX('Lease Cycles'!$DK$24:$DQ$24,1,DU282),1-INDEX('Lease Cycles'!$DR$24:$DX$24,1,DU282),1))-IF(DU283=0,INDEX('Lease Cycles'!$DD$24:$DJ$24,1,DU282),0))),0)</f>
        <v>0</v>
      </c>
      <c r="DV289" s="28">
        <f>IF(DV284=1,IF(INDEX('Lease Cycles'!$EF$24:$EL$24,1,DV282)=1,0,DV285*(1-IF(DV283&lt;INDEX('Lease Cycles'!$DK$24:$DQ$24,1,DV282),0,IF(DV283=INDEX('Lease Cycles'!$DK$24:$DQ$24,1,DV282),1-INDEX('Lease Cycles'!$DR$24:$DX$24,1,DV282),1))-IF(DV283=0,INDEX('Lease Cycles'!$DD$24:$DJ$24,1,DV282),0))),0)</f>
        <v>0</v>
      </c>
      <c r="DW289" s="28">
        <f>IF(DW284=1,IF(INDEX('Lease Cycles'!$EF$24:$EL$24,1,DW282)=1,0,DW285*(1-IF(DW283&lt;INDEX('Lease Cycles'!$DK$24:$DQ$24,1,DW282),0,IF(DW283=INDEX('Lease Cycles'!$DK$24:$DQ$24,1,DW282),1-INDEX('Lease Cycles'!$DR$24:$DX$24,1,DW282),1))-IF(DW283=0,INDEX('Lease Cycles'!$DD$24:$DJ$24,1,DW282),0))),0)</f>
        <v>0</v>
      </c>
      <c r="DX289" s="28">
        <f>IF(DX284=1,IF(INDEX('Lease Cycles'!$EF$24:$EL$24,1,DX282)=1,0,DX285*(1-IF(DX283&lt;INDEX('Lease Cycles'!$DK$24:$DQ$24,1,DX282),0,IF(DX283=INDEX('Lease Cycles'!$DK$24:$DQ$24,1,DX282),1-INDEX('Lease Cycles'!$DR$24:$DX$24,1,DX282),1))-IF(DX283=0,INDEX('Lease Cycles'!$DD$24:$DJ$24,1,DX282),0))),0)</f>
        <v>0</v>
      </c>
      <c r="DY289" s="28">
        <f>IF(DY284=1,IF(INDEX('Lease Cycles'!$EF$24:$EL$24,1,DY282)=1,0,DY285*(1-IF(DY283&lt;INDEX('Lease Cycles'!$DK$24:$DQ$24,1,DY282),0,IF(DY283=INDEX('Lease Cycles'!$DK$24:$DQ$24,1,DY282),1-INDEX('Lease Cycles'!$DR$24:$DX$24,1,DY282),1))-IF(DY283=0,INDEX('Lease Cycles'!$DD$24:$DJ$24,1,DY282),0))),0)</f>
        <v>0</v>
      </c>
      <c r="DZ289" s="28">
        <f>IF(DZ284=1,IF(INDEX('Lease Cycles'!$EF$24:$EL$24,1,DZ282)=1,0,DZ285*(1-IF(DZ283&lt;INDEX('Lease Cycles'!$DK$24:$DQ$24,1,DZ282),0,IF(DZ283=INDEX('Lease Cycles'!$DK$24:$DQ$24,1,DZ282),1-INDEX('Lease Cycles'!$DR$24:$DX$24,1,DZ282),1))-IF(DZ283=0,INDEX('Lease Cycles'!$DD$24:$DJ$24,1,DZ282),0))),0)</f>
        <v>0</v>
      </c>
      <c r="EA289" s="28">
        <f>IF(EA284=1,IF(INDEX('Lease Cycles'!$EF$24:$EL$24,1,EA282)=1,0,EA285*(1-IF(EA283&lt;INDEX('Lease Cycles'!$DK$24:$DQ$24,1,EA282),0,IF(EA283=INDEX('Lease Cycles'!$DK$24:$DQ$24,1,EA282),1-INDEX('Lease Cycles'!$DR$24:$DX$24,1,EA282),1))-IF(EA283=0,INDEX('Lease Cycles'!$DD$24:$DJ$24,1,EA282),0))),0)</f>
        <v>0</v>
      </c>
      <c r="EB289" s="28">
        <f>IF(EB284=1,IF(INDEX('Lease Cycles'!$EF$24:$EL$24,1,EB282)=1,0,EB285*(1-IF(EB283&lt;INDEX('Lease Cycles'!$DK$24:$DQ$24,1,EB282),0,IF(EB283=INDEX('Lease Cycles'!$DK$24:$DQ$24,1,EB282),1-INDEX('Lease Cycles'!$DR$24:$DX$24,1,EB282),1))-IF(EB283=0,INDEX('Lease Cycles'!$DD$24:$DJ$24,1,EB282),0))),0)</f>
        <v>0</v>
      </c>
      <c r="EC289" s="28">
        <f>IF(EC284=1,IF(INDEX('Lease Cycles'!$EF$24:$EL$24,1,EC282)=1,0,EC285*(1-IF(EC283&lt;INDEX('Lease Cycles'!$DK$24:$DQ$24,1,EC282),0,IF(EC283=INDEX('Lease Cycles'!$DK$24:$DQ$24,1,EC282),1-INDEX('Lease Cycles'!$DR$24:$DX$24,1,EC282),1))-IF(EC283=0,INDEX('Lease Cycles'!$DD$24:$DJ$24,1,EC282),0))),0)</f>
        <v>0</v>
      </c>
      <c r="ED289" s="28">
        <f>IF(ED284=1,IF(INDEX('Lease Cycles'!$EF$24:$EL$24,1,ED282)=1,0,ED285*(1-IF(ED283&lt;INDEX('Lease Cycles'!$DK$24:$DQ$24,1,ED282),0,IF(ED283=INDEX('Lease Cycles'!$DK$24:$DQ$24,1,ED282),1-INDEX('Lease Cycles'!$DR$24:$DX$24,1,ED282),1))-IF(ED283=0,INDEX('Lease Cycles'!$DD$24:$DJ$24,1,ED282),0))),0)</f>
        <v>0</v>
      </c>
      <c r="EE289" s="28">
        <f>IF(EE284=1,IF(INDEX('Lease Cycles'!$EF$24:$EL$24,1,EE282)=1,0,EE285*(1-IF(EE283&lt;INDEX('Lease Cycles'!$DK$24:$DQ$24,1,EE282),0,IF(EE283=INDEX('Lease Cycles'!$DK$24:$DQ$24,1,EE282),1-INDEX('Lease Cycles'!$DR$24:$DX$24,1,EE282),1))-IF(EE283=0,INDEX('Lease Cycles'!$DD$24:$DJ$24,1,EE282),0))),0)</f>
        <v>0</v>
      </c>
      <c r="EF289" s="28">
        <f>IF(EF284=1,IF(INDEX('Lease Cycles'!$EF$24:$EL$24,1,EF282)=1,0,EF285*(1-IF(EF283&lt;INDEX('Lease Cycles'!$DK$24:$DQ$24,1,EF282),0,IF(EF283=INDEX('Lease Cycles'!$DK$24:$DQ$24,1,EF282),1-INDEX('Lease Cycles'!$DR$24:$DX$24,1,EF282),1))-IF(EF283=0,INDEX('Lease Cycles'!$DD$24:$DJ$24,1,EF282),0))),0)</f>
        <v>0</v>
      </c>
      <c r="EG289" s="28">
        <f>IF(EG284=1,IF(INDEX('Lease Cycles'!$EF$24:$EL$24,1,EG282)=1,0,EG285*(1-IF(EG283&lt;INDEX('Lease Cycles'!$DK$24:$DQ$24,1,EG282),0,IF(EG283=INDEX('Lease Cycles'!$DK$24:$DQ$24,1,EG282),1-INDEX('Lease Cycles'!$DR$24:$DX$24,1,EG282),1))-IF(EG283=0,INDEX('Lease Cycles'!$DD$24:$DJ$24,1,EG282),0))),0)</f>
        <v>0</v>
      </c>
      <c r="EH289" s="28">
        <f>IF(EH284=1,IF(INDEX('Lease Cycles'!$EF$24:$EL$24,1,EH282)=1,0,EH285*(1-IF(EH283&lt;INDEX('Lease Cycles'!$DK$24:$DQ$24,1,EH282),0,IF(EH283=INDEX('Lease Cycles'!$DK$24:$DQ$24,1,EH282),1-INDEX('Lease Cycles'!$DR$24:$DX$24,1,EH282),1))-IF(EH283=0,INDEX('Lease Cycles'!$DD$24:$DJ$24,1,EH282),0))),0)</f>
        <v>0</v>
      </c>
      <c r="EI289" s="28">
        <f>IF(EI284=1,IF(INDEX('Lease Cycles'!$EF$24:$EL$24,1,EI282)=1,0,EI285*(1-IF(EI283&lt;INDEX('Lease Cycles'!$DK$24:$DQ$24,1,EI282),0,IF(EI283=INDEX('Lease Cycles'!$DK$24:$DQ$24,1,EI282),1-INDEX('Lease Cycles'!$DR$24:$DX$24,1,EI282),1))-IF(EI283=0,INDEX('Lease Cycles'!$DD$24:$DJ$24,1,EI282),0))),0)</f>
        <v>0</v>
      </c>
      <c r="EJ289" s="28">
        <f>IF(EJ284=1,IF(INDEX('Lease Cycles'!$EF$24:$EL$24,1,EJ282)=1,0,EJ285*(1-IF(EJ283&lt;INDEX('Lease Cycles'!$DK$24:$DQ$24,1,EJ282),0,IF(EJ283=INDEX('Lease Cycles'!$DK$24:$DQ$24,1,EJ282),1-INDEX('Lease Cycles'!$DR$24:$DX$24,1,EJ282),1))-IF(EJ283=0,INDEX('Lease Cycles'!$DD$24:$DJ$24,1,EJ282),0))),0)</f>
        <v>0</v>
      </c>
      <c r="EK289" s="28">
        <f>IF(EK284=1,IF(INDEX('Lease Cycles'!$EF$24:$EL$24,1,EK282)=1,0,EK285*(1-IF(EK283&lt;INDEX('Lease Cycles'!$DK$24:$DQ$24,1,EK282),0,IF(EK283=INDEX('Lease Cycles'!$DK$24:$DQ$24,1,EK282),1-INDEX('Lease Cycles'!$DR$24:$DX$24,1,EK282),1))-IF(EK283=0,INDEX('Lease Cycles'!$DD$24:$DJ$24,1,EK282),0))),0)</f>
        <v>0</v>
      </c>
      <c r="EL289" s="28">
        <f>IF(EL284=1,IF(INDEX('Lease Cycles'!$EF$24:$EL$24,1,EL282)=1,0,EL285*(1-IF(EL283&lt;INDEX('Lease Cycles'!$DK$24:$DQ$24,1,EL282),0,IF(EL283=INDEX('Lease Cycles'!$DK$24:$DQ$24,1,EL282),1-INDEX('Lease Cycles'!$DR$24:$DX$24,1,EL282),1))-IF(EL283=0,INDEX('Lease Cycles'!$DD$24:$DJ$24,1,EL282),0))),0)</f>
        <v>0</v>
      </c>
      <c r="EM289" s="28">
        <f>IF(EM284=1,IF(INDEX('Lease Cycles'!$EF$24:$EL$24,1,EM282)=1,0,EM285*(1-IF(EM283&lt;INDEX('Lease Cycles'!$DK$24:$DQ$24,1,EM282),0,IF(EM283=INDEX('Lease Cycles'!$DK$24:$DQ$24,1,EM282),1-INDEX('Lease Cycles'!$DR$24:$DX$24,1,EM282),1))-IF(EM283=0,INDEX('Lease Cycles'!$DD$24:$DJ$24,1,EM282),0))),0)</f>
        <v>0</v>
      </c>
      <c r="EN289" s="28">
        <f>IF(EN284=1,IF(INDEX('Lease Cycles'!$EF$24:$EL$24,1,EN282)=1,0,EN285*(1-IF(EN283&lt;INDEX('Lease Cycles'!$DK$24:$DQ$24,1,EN282),0,IF(EN283=INDEX('Lease Cycles'!$DK$24:$DQ$24,1,EN282),1-INDEX('Lease Cycles'!$DR$24:$DX$24,1,EN282),1))-IF(EN283=0,INDEX('Lease Cycles'!$DD$24:$DJ$24,1,EN282),0))),0)</f>
        <v>0</v>
      </c>
      <c r="EO289" s="28">
        <f>IF(EO284=1,IF(INDEX('Lease Cycles'!$EF$24:$EL$24,1,EO282)=1,0,EO285*(1-IF(EO283&lt;INDEX('Lease Cycles'!$DK$24:$DQ$24,1,EO282),0,IF(EO283=INDEX('Lease Cycles'!$DK$24:$DQ$24,1,EO282),1-INDEX('Lease Cycles'!$DR$24:$DX$24,1,EO282),1))-IF(EO283=0,INDEX('Lease Cycles'!$DD$24:$DJ$24,1,EO282),0))),0)</f>
        <v>0</v>
      </c>
      <c r="EP289" s="28">
        <f>IF(EP284=1,IF(INDEX('Lease Cycles'!$EF$24:$EL$24,1,EP282)=1,0,EP285*(1-IF(EP283&lt;INDEX('Lease Cycles'!$DK$24:$DQ$24,1,EP282),0,IF(EP283=INDEX('Lease Cycles'!$DK$24:$DQ$24,1,EP282),1-INDEX('Lease Cycles'!$DR$24:$DX$24,1,EP282),1))-IF(EP283=0,INDEX('Lease Cycles'!$DD$24:$DJ$24,1,EP282),0))),0)</f>
        <v>0</v>
      </c>
      <c r="EQ289" s="28">
        <f>IF(EQ284=1,IF(INDEX('Lease Cycles'!$EF$24:$EL$24,1,EQ282)=1,0,EQ285*(1-IF(EQ283&lt;INDEX('Lease Cycles'!$DK$24:$DQ$24,1,EQ282),0,IF(EQ283=INDEX('Lease Cycles'!$DK$24:$DQ$24,1,EQ282),1-INDEX('Lease Cycles'!$DR$24:$DX$24,1,EQ282),1))-IF(EQ283=0,INDEX('Lease Cycles'!$DD$24:$DJ$24,1,EQ282),0))),0)</f>
        <v>0</v>
      </c>
      <c r="ER289" s="28">
        <f>IF(ER284=1,IF(INDEX('Lease Cycles'!$EF$24:$EL$24,1,ER282)=1,0,ER285*(1-IF(ER283&lt;INDEX('Lease Cycles'!$DK$24:$DQ$24,1,ER282),0,IF(ER283=INDEX('Lease Cycles'!$DK$24:$DQ$24,1,ER282),1-INDEX('Lease Cycles'!$DR$24:$DX$24,1,ER282),1))-IF(ER283=0,INDEX('Lease Cycles'!$DD$24:$DJ$24,1,ER282),0))),0)</f>
        <v>0</v>
      </c>
      <c r="ES289" s="28">
        <f>IF(ES284=1,IF(INDEX('Lease Cycles'!$EF$24:$EL$24,1,ES282)=1,0,ES285*(1-IF(ES283&lt;INDEX('Lease Cycles'!$DK$24:$DQ$24,1,ES282),0,IF(ES283=INDEX('Lease Cycles'!$DK$24:$DQ$24,1,ES282),1-INDEX('Lease Cycles'!$DR$24:$DX$24,1,ES282),1))-IF(ES283=0,INDEX('Lease Cycles'!$DD$24:$DJ$24,1,ES282),0))),0)</f>
        <v>0</v>
      </c>
      <c r="ET289" s="28">
        <f>IF(ET284=1,IF(INDEX('Lease Cycles'!$EF$24:$EL$24,1,ET282)=1,0,ET285*(1-IF(ET283&lt;INDEX('Lease Cycles'!$DK$24:$DQ$24,1,ET282),0,IF(ET283=INDEX('Lease Cycles'!$DK$24:$DQ$24,1,ET282),1-INDEX('Lease Cycles'!$DR$24:$DX$24,1,ET282),1))-IF(ET283=0,INDEX('Lease Cycles'!$DD$24:$DJ$24,1,ET282),0))),0)</f>
        <v>0</v>
      </c>
    </row>
    <row r="290">
      <c r="A290" s="103">
        <v>17</v>
      </c>
      <c r="B290" s="23" t="str">
        <f>IF('Lease Cycles'!$B$24="","(empty slot)",'Lease Cycles'!$B$24)</f>
        <v>(empty slot)</v>
      </c>
      <c r="C290" s="23" t="s">
        <v>683</v>
      </c>
      <c r="D290" s="104" t="s">
        <v>684</v>
      </c>
      <c r="E290" s="25">
        <f>'Lease Cycles'!$AL$24</f>
        <v>0</v>
      </c>
      <c r="G290" s="24">
        <f>SUM(S290:AD290)</f>
        <v>0</v>
      </c>
      <c r="H290" s="24">
        <f>SUM(AE290:AP290)</f>
        <v>0</v>
      </c>
      <c r="I290" s="24">
        <f>SUM(AQ290:BB290)</f>
        <v>0</v>
      </c>
      <c r="J290" s="24">
        <f>SUM(BC290:BN290)</f>
        <v>0</v>
      </c>
      <c r="K290" s="24">
        <f>SUM(BO290:BZ290)</f>
        <v>0</v>
      </c>
      <c r="L290" s="24">
        <f>SUM(CA290:CL290)</f>
        <v>0</v>
      </c>
      <c r="M290" s="24">
        <f>SUM(CM290:CX290)</f>
        <v>0</v>
      </c>
      <c r="N290" s="24">
        <f>SUM(CY290:DJ290)</f>
        <v>0</v>
      </c>
      <c r="O290" s="24">
        <f>SUM(DK290:DV290)</f>
        <v>0</v>
      </c>
      <c r="P290" s="24">
        <f>SUM(DW290:EH290)</f>
        <v>0</v>
      </c>
      <c r="Q290" s="24">
        <f>SUM(EI290:ET290)</f>
        <v>0</v>
      </c>
      <c r="S290" s="24">
        <f>IF(S284=1,'Lease Cycles'!$D$24*IF(INDEX('Lease Cycles'!$EF$24:$EL$24,1,S282)=1,(1-'Lease Cycles'!$AJ$24)*INDEX('Lease Cycles'!$EM$24:$ES$24,1,S282)+(1-'Lease Cycles'!$BE$24)*IF(S283&lt;INDEX('Lease Cycles'!$FA$24:$FG$24,1,S282),0,1-INDEX('Lease Cycles'!$EM$24:$ES$24,1,S282)),IF(OR(INDEX('Lease Cycles'!$DY$24:$EE$24,1,S282)=1,S283&gt;0),1,1-INDEX('Lease Cycles'!$DD$24:$DJ$24,1,S282))*((1-'Lease Cycles'!$AJ$24)*INDEX('Lease Cycles'!$FO$24:$FU$24,1,S282)+(1-'Lease Cycles'!$BE$24)*(1-INDEX('Lease Cycles'!$FO$24:$FU$24,1,S282)))),0)</f>
        <v>0</v>
      </c>
      <c r="T290" s="24">
        <f>IF(T284=1,'Lease Cycles'!$D$24*IF(INDEX('Lease Cycles'!$EF$24:$EL$24,1,T282)=1,(1-'Lease Cycles'!$AJ$24)*INDEX('Lease Cycles'!$EM$24:$ES$24,1,T282)+(1-'Lease Cycles'!$BE$24)*IF(T283&lt;INDEX('Lease Cycles'!$FA$24:$FG$24,1,T282),0,1-INDEX('Lease Cycles'!$EM$24:$ES$24,1,T282)),IF(OR(INDEX('Lease Cycles'!$DY$24:$EE$24,1,T282)=1,T283&gt;0),1,1-INDEX('Lease Cycles'!$DD$24:$DJ$24,1,T282))*((1-'Lease Cycles'!$AJ$24)*INDEX('Lease Cycles'!$FO$24:$FU$24,1,T282)+(1-'Lease Cycles'!$BE$24)*(1-INDEX('Lease Cycles'!$FO$24:$FU$24,1,T282)))),0)</f>
        <v>0</v>
      </c>
      <c r="U290" s="24">
        <f>IF(U284=1,'Lease Cycles'!$D$24*IF(INDEX('Lease Cycles'!$EF$24:$EL$24,1,U282)=1,(1-'Lease Cycles'!$AJ$24)*INDEX('Lease Cycles'!$EM$24:$ES$24,1,U282)+(1-'Lease Cycles'!$BE$24)*IF(U283&lt;INDEX('Lease Cycles'!$FA$24:$FG$24,1,U282),0,1-INDEX('Lease Cycles'!$EM$24:$ES$24,1,U282)),IF(OR(INDEX('Lease Cycles'!$DY$24:$EE$24,1,U282)=1,U283&gt;0),1,1-INDEX('Lease Cycles'!$DD$24:$DJ$24,1,U282))*((1-'Lease Cycles'!$AJ$24)*INDEX('Lease Cycles'!$FO$24:$FU$24,1,U282)+(1-'Lease Cycles'!$BE$24)*(1-INDEX('Lease Cycles'!$FO$24:$FU$24,1,U282)))),0)</f>
        <v>0</v>
      </c>
      <c r="V290" s="24">
        <f>IF(V284=1,'Lease Cycles'!$D$24*IF(INDEX('Lease Cycles'!$EF$24:$EL$24,1,V282)=1,(1-'Lease Cycles'!$AJ$24)*INDEX('Lease Cycles'!$EM$24:$ES$24,1,V282)+(1-'Lease Cycles'!$BE$24)*IF(V283&lt;INDEX('Lease Cycles'!$FA$24:$FG$24,1,V282),0,1-INDEX('Lease Cycles'!$EM$24:$ES$24,1,V282)),IF(OR(INDEX('Lease Cycles'!$DY$24:$EE$24,1,V282)=1,V283&gt;0),1,1-INDEX('Lease Cycles'!$DD$24:$DJ$24,1,V282))*((1-'Lease Cycles'!$AJ$24)*INDEX('Lease Cycles'!$FO$24:$FU$24,1,V282)+(1-'Lease Cycles'!$BE$24)*(1-INDEX('Lease Cycles'!$FO$24:$FU$24,1,V282)))),0)</f>
        <v>0</v>
      </c>
      <c r="W290" s="24">
        <f>IF(W284=1,'Lease Cycles'!$D$24*IF(INDEX('Lease Cycles'!$EF$24:$EL$24,1,W282)=1,(1-'Lease Cycles'!$AJ$24)*INDEX('Lease Cycles'!$EM$24:$ES$24,1,W282)+(1-'Lease Cycles'!$BE$24)*IF(W283&lt;INDEX('Lease Cycles'!$FA$24:$FG$24,1,W282),0,1-INDEX('Lease Cycles'!$EM$24:$ES$24,1,W282)),IF(OR(INDEX('Lease Cycles'!$DY$24:$EE$24,1,W282)=1,W283&gt;0),1,1-INDEX('Lease Cycles'!$DD$24:$DJ$24,1,W282))*((1-'Lease Cycles'!$AJ$24)*INDEX('Lease Cycles'!$FO$24:$FU$24,1,W282)+(1-'Lease Cycles'!$BE$24)*(1-INDEX('Lease Cycles'!$FO$24:$FU$24,1,W282)))),0)</f>
        <v>0</v>
      </c>
      <c r="X290" s="24">
        <f>IF(X284=1,'Lease Cycles'!$D$24*IF(INDEX('Lease Cycles'!$EF$24:$EL$24,1,X282)=1,(1-'Lease Cycles'!$AJ$24)*INDEX('Lease Cycles'!$EM$24:$ES$24,1,X282)+(1-'Lease Cycles'!$BE$24)*IF(X283&lt;INDEX('Lease Cycles'!$FA$24:$FG$24,1,X282),0,1-INDEX('Lease Cycles'!$EM$24:$ES$24,1,X282)),IF(OR(INDEX('Lease Cycles'!$DY$24:$EE$24,1,X282)=1,X283&gt;0),1,1-INDEX('Lease Cycles'!$DD$24:$DJ$24,1,X282))*((1-'Lease Cycles'!$AJ$24)*INDEX('Lease Cycles'!$FO$24:$FU$24,1,X282)+(1-'Lease Cycles'!$BE$24)*(1-INDEX('Lease Cycles'!$FO$24:$FU$24,1,X282)))),0)</f>
        <v>0</v>
      </c>
      <c r="Y290" s="24">
        <f>IF(Y284=1,'Lease Cycles'!$D$24*IF(INDEX('Lease Cycles'!$EF$24:$EL$24,1,Y282)=1,(1-'Lease Cycles'!$AJ$24)*INDEX('Lease Cycles'!$EM$24:$ES$24,1,Y282)+(1-'Lease Cycles'!$BE$24)*IF(Y283&lt;INDEX('Lease Cycles'!$FA$24:$FG$24,1,Y282),0,1-INDEX('Lease Cycles'!$EM$24:$ES$24,1,Y282)),IF(OR(INDEX('Lease Cycles'!$DY$24:$EE$24,1,Y282)=1,Y283&gt;0),1,1-INDEX('Lease Cycles'!$DD$24:$DJ$24,1,Y282))*((1-'Lease Cycles'!$AJ$24)*INDEX('Lease Cycles'!$FO$24:$FU$24,1,Y282)+(1-'Lease Cycles'!$BE$24)*(1-INDEX('Lease Cycles'!$FO$24:$FU$24,1,Y282)))),0)</f>
        <v>0</v>
      </c>
      <c r="Z290" s="24">
        <f>IF(Z284=1,'Lease Cycles'!$D$24*IF(INDEX('Lease Cycles'!$EF$24:$EL$24,1,Z282)=1,(1-'Lease Cycles'!$AJ$24)*INDEX('Lease Cycles'!$EM$24:$ES$24,1,Z282)+(1-'Lease Cycles'!$BE$24)*IF(Z283&lt;INDEX('Lease Cycles'!$FA$24:$FG$24,1,Z282),0,1-INDEX('Lease Cycles'!$EM$24:$ES$24,1,Z282)),IF(OR(INDEX('Lease Cycles'!$DY$24:$EE$24,1,Z282)=1,Z283&gt;0),1,1-INDEX('Lease Cycles'!$DD$24:$DJ$24,1,Z282))*((1-'Lease Cycles'!$AJ$24)*INDEX('Lease Cycles'!$FO$24:$FU$24,1,Z282)+(1-'Lease Cycles'!$BE$24)*(1-INDEX('Lease Cycles'!$FO$24:$FU$24,1,Z282)))),0)</f>
        <v>0</v>
      </c>
      <c r="AA290" s="24">
        <f>IF(AA284=1,'Lease Cycles'!$D$24*IF(INDEX('Lease Cycles'!$EF$24:$EL$24,1,AA282)=1,(1-'Lease Cycles'!$AJ$24)*INDEX('Lease Cycles'!$EM$24:$ES$24,1,AA282)+(1-'Lease Cycles'!$BE$24)*IF(AA283&lt;INDEX('Lease Cycles'!$FA$24:$FG$24,1,AA282),0,1-INDEX('Lease Cycles'!$EM$24:$ES$24,1,AA282)),IF(OR(INDEX('Lease Cycles'!$DY$24:$EE$24,1,AA282)=1,AA283&gt;0),1,1-INDEX('Lease Cycles'!$DD$24:$DJ$24,1,AA282))*((1-'Lease Cycles'!$AJ$24)*INDEX('Lease Cycles'!$FO$24:$FU$24,1,AA282)+(1-'Lease Cycles'!$BE$24)*(1-INDEX('Lease Cycles'!$FO$24:$FU$24,1,AA282)))),0)</f>
        <v>0</v>
      </c>
      <c r="AB290" s="24">
        <f>IF(AB284=1,'Lease Cycles'!$D$24*IF(INDEX('Lease Cycles'!$EF$24:$EL$24,1,AB282)=1,(1-'Lease Cycles'!$AJ$24)*INDEX('Lease Cycles'!$EM$24:$ES$24,1,AB282)+(1-'Lease Cycles'!$BE$24)*IF(AB283&lt;INDEX('Lease Cycles'!$FA$24:$FG$24,1,AB282),0,1-INDEX('Lease Cycles'!$EM$24:$ES$24,1,AB282)),IF(OR(INDEX('Lease Cycles'!$DY$24:$EE$24,1,AB282)=1,AB283&gt;0),1,1-INDEX('Lease Cycles'!$DD$24:$DJ$24,1,AB282))*((1-'Lease Cycles'!$AJ$24)*INDEX('Lease Cycles'!$FO$24:$FU$24,1,AB282)+(1-'Lease Cycles'!$BE$24)*(1-INDEX('Lease Cycles'!$FO$24:$FU$24,1,AB282)))),0)</f>
        <v>0</v>
      </c>
      <c r="AC290" s="24">
        <f>IF(AC284=1,'Lease Cycles'!$D$24*IF(INDEX('Lease Cycles'!$EF$24:$EL$24,1,AC282)=1,(1-'Lease Cycles'!$AJ$24)*INDEX('Lease Cycles'!$EM$24:$ES$24,1,AC282)+(1-'Lease Cycles'!$BE$24)*IF(AC283&lt;INDEX('Lease Cycles'!$FA$24:$FG$24,1,AC282),0,1-INDEX('Lease Cycles'!$EM$24:$ES$24,1,AC282)),IF(OR(INDEX('Lease Cycles'!$DY$24:$EE$24,1,AC282)=1,AC283&gt;0),1,1-INDEX('Lease Cycles'!$DD$24:$DJ$24,1,AC282))*((1-'Lease Cycles'!$AJ$24)*INDEX('Lease Cycles'!$FO$24:$FU$24,1,AC282)+(1-'Lease Cycles'!$BE$24)*(1-INDEX('Lease Cycles'!$FO$24:$FU$24,1,AC282)))),0)</f>
        <v>0</v>
      </c>
      <c r="AD290" s="24">
        <f>IF(AD284=1,'Lease Cycles'!$D$24*IF(INDEX('Lease Cycles'!$EF$24:$EL$24,1,AD282)=1,(1-'Lease Cycles'!$AJ$24)*INDEX('Lease Cycles'!$EM$24:$ES$24,1,AD282)+(1-'Lease Cycles'!$BE$24)*IF(AD283&lt;INDEX('Lease Cycles'!$FA$24:$FG$24,1,AD282),0,1-INDEX('Lease Cycles'!$EM$24:$ES$24,1,AD282)),IF(OR(INDEX('Lease Cycles'!$DY$24:$EE$24,1,AD282)=1,AD283&gt;0),1,1-INDEX('Lease Cycles'!$DD$24:$DJ$24,1,AD282))*((1-'Lease Cycles'!$AJ$24)*INDEX('Lease Cycles'!$FO$24:$FU$24,1,AD282)+(1-'Lease Cycles'!$BE$24)*(1-INDEX('Lease Cycles'!$FO$24:$FU$24,1,AD282)))),0)</f>
        <v>0</v>
      </c>
      <c r="AE290" s="24">
        <f>IF(AE284=1,'Lease Cycles'!$D$24*IF(INDEX('Lease Cycles'!$EF$24:$EL$24,1,AE282)=1,(1-'Lease Cycles'!$AJ$24)*INDEX('Lease Cycles'!$EM$24:$ES$24,1,AE282)+(1-'Lease Cycles'!$BE$24)*IF(AE283&lt;INDEX('Lease Cycles'!$FA$24:$FG$24,1,AE282),0,1-INDEX('Lease Cycles'!$EM$24:$ES$24,1,AE282)),IF(OR(INDEX('Lease Cycles'!$DY$24:$EE$24,1,AE282)=1,AE283&gt;0),1,1-INDEX('Lease Cycles'!$DD$24:$DJ$24,1,AE282))*((1-'Lease Cycles'!$AJ$24)*INDEX('Lease Cycles'!$FO$24:$FU$24,1,AE282)+(1-'Lease Cycles'!$BE$24)*(1-INDEX('Lease Cycles'!$FO$24:$FU$24,1,AE282)))),0)</f>
        <v>0</v>
      </c>
      <c r="AF290" s="24">
        <f>IF(AF284=1,'Lease Cycles'!$D$24*IF(INDEX('Lease Cycles'!$EF$24:$EL$24,1,AF282)=1,(1-'Lease Cycles'!$AJ$24)*INDEX('Lease Cycles'!$EM$24:$ES$24,1,AF282)+(1-'Lease Cycles'!$BE$24)*IF(AF283&lt;INDEX('Lease Cycles'!$FA$24:$FG$24,1,AF282),0,1-INDEX('Lease Cycles'!$EM$24:$ES$24,1,AF282)),IF(OR(INDEX('Lease Cycles'!$DY$24:$EE$24,1,AF282)=1,AF283&gt;0),1,1-INDEX('Lease Cycles'!$DD$24:$DJ$24,1,AF282))*((1-'Lease Cycles'!$AJ$24)*INDEX('Lease Cycles'!$FO$24:$FU$24,1,AF282)+(1-'Lease Cycles'!$BE$24)*(1-INDEX('Lease Cycles'!$FO$24:$FU$24,1,AF282)))),0)</f>
        <v>0</v>
      </c>
      <c r="AG290" s="24">
        <f>IF(AG284=1,'Lease Cycles'!$D$24*IF(INDEX('Lease Cycles'!$EF$24:$EL$24,1,AG282)=1,(1-'Lease Cycles'!$AJ$24)*INDEX('Lease Cycles'!$EM$24:$ES$24,1,AG282)+(1-'Lease Cycles'!$BE$24)*IF(AG283&lt;INDEX('Lease Cycles'!$FA$24:$FG$24,1,AG282),0,1-INDEX('Lease Cycles'!$EM$24:$ES$24,1,AG282)),IF(OR(INDEX('Lease Cycles'!$DY$24:$EE$24,1,AG282)=1,AG283&gt;0),1,1-INDEX('Lease Cycles'!$DD$24:$DJ$24,1,AG282))*((1-'Lease Cycles'!$AJ$24)*INDEX('Lease Cycles'!$FO$24:$FU$24,1,AG282)+(1-'Lease Cycles'!$BE$24)*(1-INDEX('Lease Cycles'!$FO$24:$FU$24,1,AG282)))),0)</f>
        <v>0</v>
      </c>
      <c r="AH290" s="24">
        <f>IF(AH284=1,'Lease Cycles'!$D$24*IF(INDEX('Lease Cycles'!$EF$24:$EL$24,1,AH282)=1,(1-'Lease Cycles'!$AJ$24)*INDEX('Lease Cycles'!$EM$24:$ES$24,1,AH282)+(1-'Lease Cycles'!$BE$24)*IF(AH283&lt;INDEX('Lease Cycles'!$FA$24:$FG$24,1,AH282),0,1-INDEX('Lease Cycles'!$EM$24:$ES$24,1,AH282)),IF(OR(INDEX('Lease Cycles'!$DY$24:$EE$24,1,AH282)=1,AH283&gt;0),1,1-INDEX('Lease Cycles'!$DD$24:$DJ$24,1,AH282))*((1-'Lease Cycles'!$AJ$24)*INDEX('Lease Cycles'!$FO$24:$FU$24,1,AH282)+(1-'Lease Cycles'!$BE$24)*(1-INDEX('Lease Cycles'!$FO$24:$FU$24,1,AH282)))),0)</f>
        <v>0</v>
      </c>
      <c r="AI290" s="24">
        <f>IF(AI284=1,'Lease Cycles'!$D$24*IF(INDEX('Lease Cycles'!$EF$24:$EL$24,1,AI282)=1,(1-'Lease Cycles'!$AJ$24)*INDEX('Lease Cycles'!$EM$24:$ES$24,1,AI282)+(1-'Lease Cycles'!$BE$24)*IF(AI283&lt;INDEX('Lease Cycles'!$FA$24:$FG$24,1,AI282),0,1-INDEX('Lease Cycles'!$EM$24:$ES$24,1,AI282)),IF(OR(INDEX('Lease Cycles'!$DY$24:$EE$24,1,AI282)=1,AI283&gt;0),1,1-INDEX('Lease Cycles'!$DD$24:$DJ$24,1,AI282))*((1-'Lease Cycles'!$AJ$24)*INDEX('Lease Cycles'!$FO$24:$FU$24,1,AI282)+(1-'Lease Cycles'!$BE$24)*(1-INDEX('Lease Cycles'!$FO$24:$FU$24,1,AI282)))),0)</f>
        <v>0</v>
      </c>
      <c r="AJ290" s="24">
        <f>IF(AJ284=1,'Lease Cycles'!$D$24*IF(INDEX('Lease Cycles'!$EF$24:$EL$24,1,AJ282)=1,(1-'Lease Cycles'!$AJ$24)*INDEX('Lease Cycles'!$EM$24:$ES$24,1,AJ282)+(1-'Lease Cycles'!$BE$24)*IF(AJ283&lt;INDEX('Lease Cycles'!$FA$24:$FG$24,1,AJ282),0,1-INDEX('Lease Cycles'!$EM$24:$ES$24,1,AJ282)),IF(OR(INDEX('Lease Cycles'!$DY$24:$EE$24,1,AJ282)=1,AJ283&gt;0),1,1-INDEX('Lease Cycles'!$DD$24:$DJ$24,1,AJ282))*((1-'Lease Cycles'!$AJ$24)*INDEX('Lease Cycles'!$FO$24:$FU$24,1,AJ282)+(1-'Lease Cycles'!$BE$24)*(1-INDEX('Lease Cycles'!$FO$24:$FU$24,1,AJ282)))),0)</f>
        <v>0</v>
      </c>
      <c r="AK290" s="24">
        <f>IF(AK284=1,'Lease Cycles'!$D$24*IF(INDEX('Lease Cycles'!$EF$24:$EL$24,1,AK282)=1,(1-'Lease Cycles'!$AJ$24)*INDEX('Lease Cycles'!$EM$24:$ES$24,1,AK282)+(1-'Lease Cycles'!$BE$24)*IF(AK283&lt;INDEX('Lease Cycles'!$FA$24:$FG$24,1,AK282),0,1-INDEX('Lease Cycles'!$EM$24:$ES$24,1,AK282)),IF(OR(INDEX('Lease Cycles'!$DY$24:$EE$24,1,AK282)=1,AK283&gt;0),1,1-INDEX('Lease Cycles'!$DD$24:$DJ$24,1,AK282))*((1-'Lease Cycles'!$AJ$24)*INDEX('Lease Cycles'!$FO$24:$FU$24,1,AK282)+(1-'Lease Cycles'!$BE$24)*(1-INDEX('Lease Cycles'!$FO$24:$FU$24,1,AK282)))),0)</f>
        <v>0</v>
      </c>
      <c r="AL290" s="24">
        <f>IF(AL284=1,'Lease Cycles'!$D$24*IF(INDEX('Lease Cycles'!$EF$24:$EL$24,1,AL282)=1,(1-'Lease Cycles'!$AJ$24)*INDEX('Lease Cycles'!$EM$24:$ES$24,1,AL282)+(1-'Lease Cycles'!$BE$24)*IF(AL283&lt;INDEX('Lease Cycles'!$FA$24:$FG$24,1,AL282),0,1-INDEX('Lease Cycles'!$EM$24:$ES$24,1,AL282)),IF(OR(INDEX('Lease Cycles'!$DY$24:$EE$24,1,AL282)=1,AL283&gt;0),1,1-INDEX('Lease Cycles'!$DD$24:$DJ$24,1,AL282))*((1-'Lease Cycles'!$AJ$24)*INDEX('Lease Cycles'!$FO$24:$FU$24,1,AL282)+(1-'Lease Cycles'!$BE$24)*(1-INDEX('Lease Cycles'!$FO$24:$FU$24,1,AL282)))),0)</f>
        <v>0</v>
      </c>
      <c r="AM290" s="24">
        <f>IF(AM284=1,'Lease Cycles'!$D$24*IF(INDEX('Lease Cycles'!$EF$24:$EL$24,1,AM282)=1,(1-'Lease Cycles'!$AJ$24)*INDEX('Lease Cycles'!$EM$24:$ES$24,1,AM282)+(1-'Lease Cycles'!$BE$24)*IF(AM283&lt;INDEX('Lease Cycles'!$FA$24:$FG$24,1,AM282),0,1-INDEX('Lease Cycles'!$EM$24:$ES$24,1,AM282)),IF(OR(INDEX('Lease Cycles'!$DY$24:$EE$24,1,AM282)=1,AM283&gt;0),1,1-INDEX('Lease Cycles'!$DD$24:$DJ$24,1,AM282))*((1-'Lease Cycles'!$AJ$24)*INDEX('Lease Cycles'!$FO$24:$FU$24,1,AM282)+(1-'Lease Cycles'!$BE$24)*(1-INDEX('Lease Cycles'!$FO$24:$FU$24,1,AM282)))),0)</f>
        <v>0</v>
      </c>
      <c r="AN290" s="24">
        <f>IF(AN284=1,'Lease Cycles'!$D$24*IF(INDEX('Lease Cycles'!$EF$24:$EL$24,1,AN282)=1,(1-'Lease Cycles'!$AJ$24)*INDEX('Lease Cycles'!$EM$24:$ES$24,1,AN282)+(1-'Lease Cycles'!$BE$24)*IF(AN283&lt;INDEX('Lease Cycles'!$FA$24:$FG$24,1,AN282),0,1-INDEX('Lease Cycles'!$EM$24:$ES$24,1,AN282)),IF(OR(INDEX('Lease Cycles'!$DY$24:$EE$24,1,AN282)=1,AN283&gt;0),1,1-INDEX('Lease Cycles'!$DD$24:$DJ$24,1,AN282))*((1-'Lease Cycles'!$AJ$24)*INDEX('Lease Cycles'!$FO$24:$FU$24,1,AN282)+(1-'Lease Cycles'!$BE$24)*(1-INDEX('Lease Cycles'!$FO$24:$FU$24,1,AN282)))),0)</f>
        <v>0</v>
      </c>
      <c r="AO290" s="24">
        <f>IF(AO284=1,'Lease Cycles'!$D$24*IF(INDEX('Lease Cycles'!$EF$24:$EL$24,1,AO282)=1,(1-'Lease Cycles'!$AJ$24)*INDEX('Lease Cycles'!$EM$24:$ES$24,1,AO282)+(1-'Lease Cycles'!$BE$24)*IF(AO283&lt;INDEX('Lease Cycles'!$FA$24:$FG$24,1,AO282),0,1-INDEX('Lease Cycles'!$EM$24:$ES$24,1,AO282)),IF(OR(INDEX('Lease Cycles'!$DY$24:$EE$24,1,AO282)=1,AO283&gt;0),1,1-INDEX('Lease Cycles'!$DD$24:$DJ$24,1,AO282))*((1-'Lease Cycles'!$AJ$24)*INDEX('Lease Cycles'!$FO$24:$FU$24,1,AO282)+(1-'Lease Cycles'!$BE$24)*(1-INDEX('Lease Cycles'!$FO$24:$FU$24,1,AO282)))),0)</f>
        <v>0</v>
      </c>
      <c r="AP290" s="24">
        <f>IF(AP284=1,'Lease Cycles'!$D$24*IF(INDEX('Lease Cycles'!$EF$24:$EL$24,1,AP282)=1,(1-'Lease Cycles'!$AJ$24)*INDEX('Lease Cycles'!$EM$24:$ES$24,1,AP282)+(1-'Lease Cycles'!$BE$24)*IF(AP283&lt;INDEX('Lease Cycles'!$FA$24:$FG$24,1,AP282),0,1-INDEX('Lease Cycles'!$EM$24:$ES$24,1,AP282)),IF(OR(INDEX('Lease Cycles'!$DY$24:$EE$24,1,AP282)=1,AP283&gt;0),1,1-INDEX('Lease Cycles'!$DD$24:$DJ$24,1,AP282))*((1-'Lease Cycles'!$AJ$24)*INDEX('Lease Cycles'!$FO$24:$FU$24,1,AP282)+(1-'Lease Cycles'!$BE$24)*(1-INDEX('Lease Cycles'!$FO$24:$FU$24,1,AP282)))),0)</f>
        <v>0</v>
      </c>
      <c r="AQ290" s="24">
        <f>IF(AQ284=1,'Lease Cycles'!$D$24*IF(INDEX('Lease Cycles'!$EF$24:$EL$24,1,AQ282)=1,(1-'Lease Cycles'!$AJ$24)*INDEX('Lease Cycles'!$EM$24:$ES$24,1,AQ282)+(1-'Lease Cycles'!$BE$24)*IF(AQ283&lt;INDEX('Lease Cycles'!$FA$24:$FG$24,1,AQ282),0,1-INDEX('Lease Cycles'!$EM$24:$ES$24,1,AQ282)),IF(OR(INDEX('Lease Cycles'!$DY$24:$EE$24,1,AQ282)=1,AQ283&gt;0),1,1-INDEX('Lease Cycles'!$DD$24:$DJ$24,1,AQ282))*((1-'Lease Cycles'!$AJ$24)*INDEX('Lease Cycles'!$FO$24:$FU$24,1,AQ282)+(1-'Lease Cycles'!$BE$24)*(1-INDEX('Lease Cycles'!$FO$24:$FU$24,1,AQ282)))),0)</f>
        <v>0</v>
      </c>
      <c r="AR290" s="24">
        <f>IF(AR284=1,'Lease Cycles'!$D$24*IF(INDEX('Lease Cycles'!$EF$24:$EL$24,1,AR282)=1,(1-'Lease Cycles'!$AJ$24)*INDEX('Lease Cycles'!$EM$24:$ES$24,1,AR282)+(1-'Lease Cycles'!$BE$24)*IF(AR283&lt;INDEX('Lease Cycles'!$FA$24:$FG$24,1,AR282),0,1-INDEX('Lease Cycles'!$EM$24:$ES$24,1,AR282)),IF(OR(INDEX('Lease Cycles'!$DY$24:$EE$24,1,AR282)=1,AR283&gt;0),1,1-INDEX('Lease Cycles'!$DD$24:$DJ$24,1,AR282))*((1-'Lease Cycles'!$AJ$24)*INDEX('Lease Cycles'!$FO$24:$FU$24,1,AR282)+(1-'Lease Cycles'!$BE$24)*(1-INDEX('Lease Cycles'!$FO$24:$FU$24,1,AR282)))),0)</f>
        <v>0</v>
      </c>
      <c r="AS290" s="24">
        <f>IF(AS284=1,'Lease Cycles'!$D$24*IF(INDEX('Lease Cycles'!$EF$24:$EL$24,1,AS282)=1,(1-'Lease Cycles'!$AJ$24)*INDEX('Lease Cycles'!$EM$24:$ES$24,1,AS282)+(1-'Lease Cycles'!$BE$24)*IF(AS283&lt;INDEX('Lease Cycles'!$FA$24:$FG$24,1,AS282),0,1-INDEX('Lease Cycles'!$EM$24:$ES$24,1,AS282)),IF(OR(INDEX('Lease Cycles'!$DY$24:$EE$24,1,AS282)=1,AS283&gt;0),1,1-INDEX('Lease Cycles'!$DD$24:$DJ$24,1,AS282))*((1-'Lease Cycles'!$AJ$24)*INDEX('Lease Cycles'!$FO$24:$FU$24,1,AS282)+(1-'Lease Cycles'!$BE$24)*(1-INDEX('Lease Cycles'!$FO$24:$FU$24,1,AS282)))),0)</f>
        <v>0</v>
      </c>
      <c r="AT290" s="24">
        <f>IF(AT284=1,'Lease Cycles'!$D$24*IF(INDEX('Lease Cycles'!$EF$24:$EL$24,1,AT282)=1,(1-'Lease Cycles'!$AJ$24)*INDEX('Lease Cycles'!$EM$24:$ES$24,1,AT282)+(1-'Lease Cycles'!$BE$24)*IF(AT283&lt;INDEX('Lease Cycles'!$FA$24:$FG$24,1,AT282),0,1-INDEX('Lease Cycles'!$EM$24:$ES$24,1,AT282)),IF(OR(INDEX('Lease Cycles'!$DY$24:$EE$24,1,AT282)=1,AT283&gt;0),1,1-INDEX('Lease Cycles'!$DD$24:$DJ$24,1,AT282))*((1-'Lease Cycles'!$AJ$24)*INDEX('Lease Cycles'!$FO$24:$FU$24,1,AT282)+(1-'Lease Cycles'!$BE$24)*(1-INDEX('Lease Cycles'!$FO$24:$FU$24,1,AT282)))),0)</f>
        <v>0</v>
      </c>
      <c r="AU290" s="24">
        <f>IF(AU284=1,'Lease Cycles'!$D$24*IF(INDEX('Lease Cycles'!$EF$24:$EL$24,1,AU282)=1,(1-'Lease Cycles'!$AJ$24)*INDEX('Lease Cycles'!$EM$24:$ES$24,1,AU282)+(1-'Lease Cycles'!$BE$24)*IF(AU283&lt;INDEX('Lease Cycles'!$FA$24:$FG$24,1,AU282),0,1-INDEX('Lease Cycles'!$EM$24:$ES$24,1,AU282)),IF(OR(INDEX('Lease Cycles'!$DY$24:$EE$24,1,AU282)=1,AU283&gt;0),1,1-INDEX('Lease Cycles'!$DD$24:$DJ$24,1,AU282))*((1-'Lease Cycles'!$AJ$24)*INDEX('Lease Cycles'!$FO$24:$FU$24,1,AU282)+(1-'Lease Cycles'!$BE$24)*(1-INDEX('Lease Cycles'!$FO$24:$FU$24,1,AU282)))),0)</f>
        <v>0</v>
      </c>
      <c r="AV290" s="24">
        <f>IF(AV284=1,'Lease Cycles'!$D$24*IF(INDEX('Lease Cycles'!$EF$24:$EL$24,1,AV282)=1,(1-'Lease Cycles'!$AJ$24)*INDEX('Lease Cycles'!$EM$24:$ES$24,1,AV282)+(1-'Lease Cycles'!$BE$24)*IF(AV283&lt;INDEX('Lease Cycles'!$FA$24:$FG$24,1,AV282),0,1-INDEX('Lease Cycles'!$EM$24:$ES$24,1,AV282)),IF(OR(INDEX('Lease Cycles'!$DY$24:$EE$24,1,AV282)=1,AV283&gt;0),1,1-INDEX('Lease Cycles'!$DD$24:$DJ$24,1,AV282))*((1-'Lease Cycles'!$AJ$24)*INDEX('Lease Cycles'!$FO$24:$FU$24,1,AV282)+(1-'Lease Cycles'!$BE$24)*(1-INDEX('Lease Cycles'!$FO$24:$FU$24,1,AV282)))),0)</f>
        <v>0</v>
      </c>
      <c r="AW290" s="24">
        <f>IF(AW284=1,'Lease Cycles'!$D$24*IF(INDEX('Lease Cycles'!$EF$24:$EL$24,1,AW282)=1,(1-'Lease Cycles'!$AJ$24)*INDEX('Lease Cycles'!$EM$24:$ES$24,1,AW282)+(1-'Lease Cycles'!$BE$24)*IF(AW283&lt;INDEX('Lease Cycles'!$FA$24:$FG$24,1,AW282),0,1-INDEX('Lease Cycles'!$EM$24:$ES$24,1,AW282)),IF(OR(INDEX('Lease Cycles'!$DY$24:$EE$24,1,AW282)=1,AW283&gt;0),1,1-INDEX('Lease Cycles'!$DD$24:$DJ$24,1,AW282))*((1-'Lease Cycles'!$AJ$24)*INDEX('Lease Cycles'!$FO$24:$FU$24,1,AW282)+(1-'Lease Cycles'!$BE$24)*(1-INDEX('Lease Cycles'!$FO$24:$FU$24,1,AW282)))),0)</f>
        <v>0</v>
      </c>
      <c r="AX290" s="24">
        <f>IF(AX284=1,'Lease Cycles'!$D$24*IF(INDEX('Lease Cycles'!$EF$24:$EL$24,1,AX282)=1,(1-'Lease Cycles'!$AJ$24)*INDEX('Lease Cycles'!$EM$24:$ES$24,1,AX282)+(1-'Lease Cycles'!$BE$24)*IF(AX283&lt;INDEX('Lease Cycles'!$FA$24:$FG$24,1,AX282),0,1-INDEX('Lease Cycles'!$EM$24:$ES$24,1,AX282)),IF(OR(INDEX('Lease Cycles'!$DY$24:$EE$24,1,AX282)=1,AX283&gt;0),1,1-INDEX('Lease Cycles'!$DD$24:$DJ$24,1,AX282))*((1-'Lease Cycles'!$AJ$24)*INDEX('Lease Cycles'!$FO$24:$FU$24,1,AX282)+(1-'Lease Cycles'!$BE$24)*(1-INDEX('Lease Cycles'!$FO$24:$FU$24,1,AX282)))),0)</f>
        <v>0</v>
      </c>
      <c r="AY290" s="24">
        <f>IF(AY284=1,'Lease Cycles'!$D$24*IF(INDEX('Lease Cycles'!$EF$24:$EL$24,1,AY282)=1,(1-'Lease Cycles'!$AJ$24)*INDEX('Lease Cycles'!$EM$24:$ES$24,1,AY282)+(1-'Lease Cycles'!$BE$24)*IF(AY283&lt;INDEX('Lease Cycles'!$FA$24:$FG$24,1,AY282),0,1-INDEX('Lease Cycles'!$EM$24:$ES$24,1,AY282)),IF(OR(INDEX('Lease Cycles'!$DY$24:$EE$24,1,AY282)=1,AY283&gt;0),1,1-INDEX('Lease Cycles'!$DD$24:$DJ$24,1,AY282))*((1-'Lease Cycles'!$AJ$24)*INDEX('Lease Cycles'!$FO$24:$FU$24,1,AY282)+(1-'Lease Cycles'!$BE$24)*(1-INDEX('Lease Cycles'!$FO$24:$FU$24,1,AY282)))),0)</f>
        <v>0</v>
      </c>
      <c r="AZ290" s="24">
        <f>IF(AZ284=1,'Lease Cycles'!$D$24*IF(INDEX('Lease Cycles'!$EF$24:$EL$24,1,AZ282)=1,(1-'Lease Cycles'!$AJ$24)*INDEX('Lease Cycles'!$EM$24:$ES$24,1,AZ282)+(1-'Lease Cycles'!$BE$24)*IF(AZ283&lt;INDEX('Lease Cycles'!$FA$24:$FG$24,1,AZ282),0,1-INDEX('Lease Cycles'!$EM$24:$ES$24,1,AZ282)),IF(OR(INDEX('Lease Cycles'!$DY$24:$EE$24,1,AZ282)=1,AZ283&gt;0),1,1-INDEX('Lease Cycles'!$DD$24:$DJ$24,1,AZ282))*((1-'Lease Cycles'!$AJ$24)*INDEX('Lease Cycles'!$FO$24:$FU$24,1,AZ282)+(1-'Lease Cycles'!$BE$24)*(1-INDEX('Lease Cycles'!$FO$24:$FU$24,1,AZ282)))),0)</f>
        <v>0</v>
      </c>
      <c r="BA290" s="24">
        <f>IF(BA284=1,'Lease Cycles'!$D$24*IF(INDEX('Lease Cycles'!$EF$24:$EL$24,1,BA282)=1,(1-'Lease Cycles'!$AJ$24)*INDEX('Lease Cycles'!$EM$24:$ES$24,1,BA282)+(1-'Lease Cycles'!$BE$24)*IF(BA283&lt;INDEX('Lease Cycles'!$FA$24:$FG$24,1,BA282),0,1-INDEX('Lease Cycles'!$EM$24:$ES$24,1,BA282)),IF(OR(INDEX('Lease Cycles'!$DY$24:$EE$24,1,BA282)=1,BA283&gt;0),1,1-INDEX('Lease Cycles'!$DD$24:$DJ$24,1,BA282))*((1-'Lease Cycles'!$AJ$24)*INDEX('Lease Cycles'!$FO$24:$FU$24,1,BA282)+(1-'Lease Cycles'!$BE$24)*(1-INDEX('Lease Cycles'!$FO$24:$FU$24,1,BA282)))),0)</f>
        <v>0</v>
      </c>
      <c r="BB290" s="24">
        <f>IF(BB284=1,'Lease Cycles'!$D$24*IF(INDEX('Lease Cycles'!$EF$24:$EL$24,1,BB282)=1,(1-'Lease Cycles'!$AJ$24)*INDEX('Lease Cycles'!$EM$24:$ES$24,1,BB282)+(1-'Lease Cycles'!$BE$24)*IF(BB283&lt;INDEX('Lease Cycles'!$FA$24:$FG$24,1,BB282),0,1-INDEX('Lease Cycles'!$EM$24:$ES$24,1,BB282)),IF(OR(INDEX('Lease Cycles'!$DY$24:$EE$24,1,BB282)=1,BB283&gt;0),1,1-INDEX('Lease Cycles'!$DD$24:$DJ$24,1,BB282))*((1-'Lease Cycles'!$AJ$24)*INDEX('Lease Cycles'!$FO$24:$FU$24,1,BB282)+(1-'Lease Cycles'!$BE$24)*(1-INDEX('Lease Cycles'!$FO$24:$FU$24,1,BB282)))),0)</f>
        <v>0</v>
      </c>
      <c r="BC290" s="24">
        <f>IF(BC284=1,'Lease Cycles'!$D$24*IF(INDEX('Lease Cycles'!$EF$24:$EL$24,1,BC282)=1,(1-'Lease Cycles'!$AJ$24)*INDEX('Lease Cycles'!$EM$24:$ES$24,1,BC282)+(1-'Lease Cycles'!$BE$24)*IF(BC283&lt;INDEX('Lease Cycles'!$FA$24:$FG$24,1,BC282),0,1-INDEX('Lease Cycles'!$EM$24:$ES$24,1,BC282)),IF(OR(INDEX('Lease Cycles'!$DY$24:$EE$24,1,BC282)=1,BC283&gt;0),1,1-INDEX('Lease Cycles'!$DD$24:$DJ$24,1,BC282))*((1-'Lease Cycles'!$AJ$24)*INDEX('Lease Cycles'!$FO$24:$FU$24,1,BC282)+(1-'Lease Cycles'!$BE$24)*(1-INDEX('Lease Cycles'!$FO$24:$FU$24,1,BC282)))),0)</f>
        <v>0</v>
      </c>
      <c r="BD290" s="24">
        <f>IF(BD284=1,'Lease Cycles'!$D$24*IF(INDEX('Lease Cycles'!$EF$24:$EL$24,1,BD282)=1,(1-'Lease Cycles'!$AJ$24)*INDEX('Lease Cycles'!$EM$24:$ES$24,1,BD282)+(1-'Lease Cycles'!$BE$24)*IF(BD283&lt;INDEX('Lease Cycles'!$FA$24:$FG$24,1,BD282),0,1-INDEX('Lease Cycles'!$EM$24:$ES$24,1,BD282)),IF(OR(INDEX('Lease Cycles'!$DY$24:$EE$24,1,BD282)=1,BD283&gt;0),1,1-INDEX('Lease Cycles'!$DD$24:$DJ$24,1,BD282))*((1-'Lease Cycles'!$AJ$24)*INDEX('Lease Cycles'!$FO$24:$FU$24,1,BD282)+(1-'Lease Cycles'!$BE$24)*(1-INDEX('Lease Cycles'!$FO$24:$FU$24,1,BD282)))),0)</f>
        <v>0</v>
      </c>
      <c r="BE290" s="24">
        <f>IF(BE284=1,'Lease Cycles'!$D$24*IF(INDEX('Lease Cycles'!$EF$24:$EL$24,1,BE282)=1,(1-'Lease Cycles'!$AJ$24)*INDEX('Lease Cycles'!$EM$24:$ES$24,1,BE282)+(1-'Lease Cycles'!$BE$24)*IF(BE283&lt;INDEX('Lease Cycles'!$FA$24:$FG$24,1,BE282),0,1-INDEX('Lease Cycles'!$EM$24:$ES$24,1,BE282)),IF(OR(INDEX('Lease Cycles'!$DY$24:$EE$24,1,BE282)=1,BE283&gt;0),1,1-INDEX('Lease Cycles'!$DD$24:$DJ$24,1,BE282))*((1-'Lease Cycles'!$AJ$24)*INDEX('Lease Cycles'!$FO$24:$FU$24,1,BE282)+(1-'Lease Cycles'!$BE$24)*(1-INDEX('Lease Cycles'!$FO$24:$FU$24,1,BE282)))),0)</f>
        <v>0</v>
      </c>
      <c r="BF290" s="24">
        <f>IF(BF284=1,'Lease Cycles'!$D$24*IF(INDEX('Lease Cycles'!$EF$24:$EL$24,1,BF282)=1,(1-'Lease Cycles'!$AJ$24)*INDEX('Lease Cycles'!$EM$24:$ES$24,1,BF282)+(1-'Lease Cycles'!$BE$24)*IF(BF283&lt;INDEX('Lease Cycles'!$FA$24:$FG$24,1,BF282),0,1-INDEX('Lease Cycles'!$EM$24:$ES$24,1,BF282)),IF(OR(INDEX('Lease Cycles'!$DY$24:$EE$24,1,BF282)=1,BF283&gt;0),1,1-INDEX('Lease Cycles'!$DD$24:$DJ$24,1,BF282))*((1-'Lease Cycles'!$AJ$24)*INDEX('Lease Cycles'!$FO$24:$FU$24,1,BF282)+(1-'Lease Cycles'!$BE$24)*(1-INDEX('Lease Cycles'!$FO$24:$FU$24,1,BF282)))),0)</f>
        <v>0</v>
      </c>
      <c r="BG290" s="24">
        <f>IF(BG284=1,'Lease Cycles'!$D$24*IF(INDEX('Lease Cycles'!$EF$24:$EL$24,1,BG282)=1,(1-'Lease Cycles'!$AJ$24)*INDEX('Lease Cycles'!$EM$24:$ES$24,1,BG282)+(1-'Lease Cycles'!$BE$24)*IF(BG283&lt;INDEX('Lease Cycles'!$FA$24:$FG$24,1,BG282),0,1-INDEX('Lease Cycles'!$EM$24:$ES$24,1,BG282)),IF(OR(INDEX('Lease Cycles'!$DY$24:$EE$24,1,BG282)=1,BG283&gt;0),1,1-INDEX('Lease Cycles'!$DD$24:$DJ$24,1,BG282))*((1-'Lease Cycles'!$AJ$24)*INDEX('Lease Cycles'!$FO$24:$FU$24,1,BG282)+(1-'Lease Cycles'!$BE$24)*(1-INDEX('Lease Cycles'!$FO$24:$FU$24,1,BG282)))),0)</f>
        <v>0</v>
      </c>
      <c r="BH290" s="24">
        <f>IF(BH284=1,'Lease Cycles'!$D$24*IF(INDEX('Lease Cycles'!$EF$24:$EL$24,1,BH282)=1,(1-'Lease Cycles'!$AJ$24)*INDEX('Lease Cycles'!$EM$24:$ES$24,1,BH282)+(1-'Lease Cycles'!$BE$24)*IF(BH283&lt;INDEX('Lease Cycles'!$FA$24:$FG$24,1,BH282),0,1-INDEX('Lease Cycles'!$EM$24:$ES$24,1,BH282)),IF(OR(INDEX('Lease Cycles'!$DY$24:$EE$24,1,BH282)=1,BH283&gt;0),1,1-INDEX('Lease Cycles'!$DD$24:$DJ$24,1,BH282))*((1-'Lease Cycles'!$AJ$24)*INDEX('Lease Cycles'!$FO$24:$FU$24,1,BH282)+(1-'Lease Cycles'!$BE$24)*(1-INDEX('Lease Cycles'!$FO$24:$FU$24,1,BH282)))),0)</f>
        <v>0</v>
      </c>
      <c r="BI290" s="24">
        <f>IF(BI284=1,'Lease Cycles'!$D$24*IF(INDEX('Lease Cycles'!$EF$24:$EL$24,1,BI282)=1,(1-'Lease Cycles'!$AJ$24)*INDEX('Lease Cycles'!$EM$24:$ES$24,1,BI282)+(1-'Lease Cycles'!$BE$24)*IF(BI283&lt;INDEX('Lease Cycles'!$FA$24:$FG$24,1,BI282),0,1-INDEX('Lease Cycles'!$EM$24:$ES$24,1,BI282)),IF(OR(INDEX('Lease Cycles'!$DY$24:$EE$24,1,BI282)=1,BI283&gt;0),1,1-INDEX('Lease Cycles'!$DD$24:$DJ$24,1,BI282))*((1-'Lease Cycles'!$AJ$24)*INDEX('Lease Cycles'!$FO$24:$FU$24,1,BI282)+(1-'Lease Cycles'!$BE$24)*(1-INDEX('Lease Cycles'!$FO$24:$FU$24,1,BI282)))),0)</f>
        <v>0</v>
      </c>
      <c r="BJ290" s="24">
        <f>IF(BJ284=1,'Lease Cycles'!$D$24*IF(INDEX('Lease Cycles'!$EF$24:$EL$24,1,BJ282)=1,(1-'Lease Cycles'!$AJ$24)*INDEX('Lease Cycles'!$EM$24:$ES$24,1,BJ282)+(1-'Lease Cycles'!$BE$24)*IF(BJ283&lt;INDEX('Lease Cycles'!$FA$24:$FG$24,1,BJ282),0,1-INDEX('Lease Cycles'!$EM$24:$ES$24,1,BJ282)),IF(OR(INDEX('Lease Cycles'!$DY$24:$EE$24,1,BJ282)=1,BJ283&gt;0),1,1-INDEX('Lease Cycles'!$DD$24:$DJ$24,1,BJ282))*((1-'Lease Cycles'!$AJ$24)*INDEX('Lease Cycles'!$FO$24:$FU$24,1,BJ282)+(1-'Lease Cycles'!$BE$24)*(1-INDEX('Lease Cycles'!$FO$24:$FU$24,1,BJ282)))),0)</f>
        <v>0</v>
      </c>
      <c r="BK290" s="24">
        <f>IF(BK284=1,'Lease Cycles'!$D$24*IF(INDEX('Lease Cycles'!$EF$24:$EL$24,1,BK282)=1,(1-'Lease Cycles'!$AJ$24)*INDEX('Lease Cycles'!$EM$24:$ES$24,1,BK282)+(1-'Lease Cycles'!$BE$24)*IF(BK283&lt;INDEX('Lease Cycles'!$FA$24:$FG$24,1,BK282),0,1-INDEX('Lease Cycles'!$EM$24:$ES$24,1,BK282)),IF(OR(INDEX('Lease Cycles'!$DY$24:$EE$24,1,BK282)=1,BK283&gt;0),1,1-INDEX('Lease Cycles'!$DD$24:$DJ$24,1,BK282))*((1-'Lease Cycles'!$AJ$24)*INDEX('Lease Cycles'!$FO$24:$FU$24,1,BK282)+(1-'Lease Cycles'!$BE$24)*(1-INDEX('Lease Cycles'!$FO$24:$FU$24,1,BK282)))),0)</f>
        <v>0</v>
      </c>
      <c r="BL290" s="24">
        <f>IF(BL284=1,'Lease Cycles'!$D$24*IF(INDEX('Lease Cycles'!$EF$24:$EL$24,1,BL282)=1,(1-'Lease Cycles'!$AJ$24)*INDEX('Lease Cycles'!$EM$24:$ES$24,1,BL282)+(1-'Lease Cycles'!$BE$24)*IF(BL283&lt;INDEX('Lease Cycles'!$FA$24:$FG$24,1,BL282),0,1-INDEX('Lease Cycles'!$EM$24:$ES$24,1,BL282)),IF(OR(INDEX('Lease Cycles'!$DY$24:$EE$24,1,BL282)=1,BL283&gt;0),1,1-INDEX('Lease Cycles'!$DD$24:$DJ$24,1,BL282))*((1-'Lease Cycles'!$AJ$24)*INDEX('Lease Cycles'!$FO$24:$FU$24,1,BL282)+(1-'Lease Cycles'!$BE$24)*(1-INDEX('Lease Cycles'!$FO$24:$FU$24,1,BL282)))),0)</f>
        <v>0</v>
      </c>
      <c r="BM290" s="24">
        <f>IF(BM284=1,'Lease Cycles'!$D$24*IF(INDEX('Lease Cycles'!$EF$24:$EL$24,1,BM282)=1,(1-'Lease Cycles'!$AJ$24)*INDEX('Lease Cycles'!$EM$24:$ES$24,1,BM282)+(1-'Lease Cycles'!$BE$24)*IF(BM283&lt;INDEX('Lease Cycles'!$FA$24:$FG$24,1,BM282),0,1-INDEX('Lease Cycles'!$EM$24:$ES$24,1,BM282)),IF(OR(INDEX('Lease Cycles'!$DY$24:$EE$24,1,BM282)=1,BM283&gt;0),1,1-INDEX('Lease Cycles'!$DD$24:$DJ$24,1,BM282))*((1-'Lease Cycles'!$AJ$24)*INDEX('Lease Cycles'!$FO$24:$FU$24,1,BM282)+(1-'Lease Cycles'!$BE$24)*(1-INDEX('Lease Cycles'!$FO$24:$FU$24,1,BM282)))),0)</f>
        <v>0</v>
      </c>
      <c r="BN290" s="24">
        <f>IF(BN284=1,'Lease Cycles'!$D$24*IF(INDEX('Lease Cycles'!$EF$24:$EL$24,1,BN282)=1,(1-'Lease Cycles'!$AJ$24)*INDEX('Lease Cycles'!$EM$24:$ES$24,1,BN282)+(1-'Lease Cycles'!$BE$24)*IF(BN283&lt;INDEX('Lease Cycles'!$FA$24:$FG$24,1,BN282),0,1-INDEX('Lease Cycles'!$EM$24:$ES$24,1,BN282)),IF(OR(INDEX('Lease Cycles'!$DY$24:$EE$24,1,BN282)=1,BN283&gt;0),1,1-INDEX('Lease Cycles'!$DD$24:$DJ$24,1,BN282))*((1-'Lease Cycles'!$AJ$24)*INDEX('Lease Cycles'!$FO$24:$FU$24,1,BN282)+(1-'Lease Cycles'!$BE$24)*(1-INDEX('Lease Cycles'!$FO$24:$FU$24,1,BN282)))),0)</f>
        <v>0</v>
      </c>
      <c r="BO290" s="24">
        <f>IF(BO284=1,'Lease Cycles'!$D$24*IF(INDEX('Lease Cycles'!$EF$24:$EL$24,1,BO282)=1,(1-'Lease Cycles'!$AJ$24)*INDEX('Lease Cycles'!$EM$24:$ES$24,1,BO282)+(1-'Lease Cycles'!$BE$24)*IF(BO283&lt;INDEX('Lease Cycles'!$FA$24:$FG$24,1,BO282),0,1-INDEX('Lease Cycles'!$EM$24:$ES$24,1,BO282)),IF(OR(INDEX('Lease Cycles'!$DY$24:$EE$24,1,BO282)=1,BO283&gt;0),1,1-INDEX('Lease Cycles'!$DD$24:$DJ$24,1,BO282))*((1-'Lease Cycles'!$AJ$24)*INDEX('Lease Cycles'!$FO$24:$FU$24,1,BO282)+(1-'Lease Cycles'!$BE$24)*(1-INDEX('Lease Cycles'!$FO$24:$FU$24,1,BO282)))),0)</f>
        <v>0</v>
      </c>
      <c r="BP290" s="24">
        <f>IF(BP284=1,'Lease Cycles'!$D$24*IF(INDEX('Lease Cycles'!$EF$24:$EL$24,1,BP282)=1,(1-'Lease Cycles'!$AJ$24)*INDEX('Lease Cycles'!$EM$24:$ES$24,1,BP282)+(1-'Lease Cycles'!$BE$24)*IF(BP283&lt;INDEX('Lease Cycles'!$FA$24:$FG$24,1,BP282),0,1-INDEX('Lease Cycles'!$EM$24:$ES$24,1,BP282)),IF(OR(INDEX('Lease Cycles'!$DY$24:$EE$24,1,BP282)=1,BP283&gt;0),1,1-INDEX('Lease Cycles'!$DD$24:$DJ$24,1,BP282))*((1-'Lease Cycles'!$AJ$24)*INDEX('Lease Cycles'!$FO$24:$FU$24,1,BP282)+(1-'Lease Cycles'!$BE$24)*(1-INDEX('Lease Cycles'!$FO$24:$FU$24,1,BP282)))),0)</f>
        <v>0</v>
      </c>
      <c r="BQ290" s="24">
        <f>IF(BQ284=1,'Lease Cycles'!$D$24*IF(INDEX('Lease Cycles'!$EF$24:$EL$24,1,BQ282)=1,(1-'Lease Cycles'!$AJ$24)*INDEX('Lease Cycles'!$EM$24:$ES$24,1,BQ282)+(1-'Lease Cycles'!$BE$24)*IF(BQ283&lt;INDEX('Lease Cycles'!$FA$24:$FG$24,1,BQ282),0,1-INDEX('Lease Cycles'!$EM$24:$ES$24,1,BQ282)),IF(OR(INDEX('Lease Cycles'!$DY$24:$EE$24,1,BQ282)=1,BQ283&gt;0),1,1-INDEX('Lease Cycles'!$DD$24:$DJ$24,1,BQ282))*((1-'Lease Cycles'!$AJ$24)*INDEX('Lease Cycles'!$FO$24:$FU$24,1,BQ282)+(1-'Lease Cycles'!$BE$24)*(1-INDEX('Lease Cycles'!$FO$24:$FU$24,1,BQ282)))),0)</f>
        <v>0</v>
      </c>
      <c r="BR290" s="24">
        <f>IF(BR284=1,'Lease Cycles'!$D$24*IF(INDEX('Lease Cycles'!$EF$24:$EL$24,1,BR282)=1,(1-'Lease Cycles'!$AJ$24)*INDEX('Lease Cycles'!$EM$24:$ES$24,1,BR282)+(1-'Lease Cycles'!$BE$24)*IF(BR283&lt;INDEX('Lease Cycles'!$FA$24:$FG$24,1,BR282),0,1-INDEX('Lease Cycles'!$EM$24:$ES$24,1,BR282)),IF(OR(INDEX('Lease Cycles'!$DY$24:$EE$24,1,BR282)=1,BR283&gt;0),1,1-INDEX('Lease Cycles'!$DD$24:$DJ$24,1,BR282))*((1-'Lease Cycles'!$AJ$24)*INDEX('Lease Cycles'!$FO$24:$FU$24,1,BR282)+(1-'Lease Cycles'!$BE$24)*(1-INDEX('Lease Cycles'!$FO$24:$FU$24,1,BR282)))),0)</f>
        <v>0</v>
      </c>
      <c r="BS290" s="24">
        <f>IF(BS284=1,'Lease Cycles'!$D$24*IF(INDEX('Lease Cycles'!$EF$24:$EL$24,1,BS282)=1,(1-'Lease Cycles'!$AJ$24)*INDEX('Lease Cycles'!$EM$24:$ES$24,1,BS282)+(1-'Lease Cycles'!$BE$24)*IF(BS283&lt;INDEX('Lease Cycles'!$FA$24:$FG$24,1,BS282),0,1-INDEX('Lease Cycles'!$EM$24:$ES$24,1,BS282)),IF(OR(INDEX('Lease Cycles'!$DY$24:$EE$24,1,BS282)=1,BS283&gt;0),1,1-INDEX('Lease Cycles'!$DD$24:$DJ$24,1,BS282))*((1-'Lease Cycles'!$AJ$24)*INDEX('Lease Cycles'!$FO$24:$FU$24,1,BS282)+(1-'Lease Cycles'!$BE$24)*(1-INDEX('Lease Cycles'!$FO$24:$FU$24,1,BS282)))),0)</f>
        <v>0</v>
      </c>
      <c r="BT290" s="24">
        <f>IF(BT284=1,'Lease Cycles'!$D$24*IF(INDEX('Lease Cycles'!$EF$24:$EL$24,1,BT282)=1,(1-'Lease Cycles'!$AJ$24)*INDEX('Lease Cycles'!$EM$24:$ES$24,1,BT282)+(1-'Lease Cycles'!$BE$24)*IF(BT283&lt;INDEX('Lease Cycles'!$FA$24:$FG$24,1,BT282),0,1-INDEX('Lease Cycles'!$EM$24:$ES$24,1,BT282)),IF(OR(INDEX('Lease Cycles'!$DY$24:$EE$24,1,BT282)=1,BT283&gt;0),1,1-INDEX('Lease Cycles'!$DD$24:$DJ$24,1,BT282))*((1-'Lease Cycles'!$AJ$24)*INDEX('Lease Cycles'!$FO$24:$FU$24,1,BT282)+(1-'Lease Cycles'!$BE$24)*(1-INDEX('Lease Cycles'!$FO$24:$FU$24,1,BT282)))),0)</f>
        <v>0</v>
      </c>
      <c r="BU290" s="24">
        <f>IF(BU284=1,'Lease Cycles'!$D$24*IF(INDEX('Lease Cycles'!$EF$24:$EL$24,1,BU282)=1,(1-'Lease Cycles'!$AJ$24)*INDEX('Lease Cycles'!$EM$24:$ES$24,1,BU282)+(1-'Lease Cycles'!$BE$24)*IF(BU283&lt;INDEX('Lease Cycles'!$FA$24:$FG$24,1,BU282),0,1-INDEX('Lease Cycles'!$EM$24:$ES$24,1,BU282)),IF(OR(INDEX('Lease Cycles'!$DY$24:$EE$24,1,BU282)=1,BU283&gt;0),1,1-INDEX('Lease Cycles'!$DD$24:$DJ$24,1,BU282))*((1-'Lease Cycles'!$AJ$24)*INDEX('Lease Cycles'!$FO$24:$FU$24,1,BU282)+(1-'Lease Cycles'!$BE$24)*(1-INDEX('Lease Cycles'!$FO$24:$FU$24,1,BU282)))),0)</f>
        <v>0</v>
      </c>
      <c r="BV290" s="24">
        <f>IF(BV284=1,'Lease Cycles'!$D$24*IF(INDEX('Lease Cycles'!$EF$24:$EL$24,1,BV282)=1,(1-'Lease Cycles'!$AJ$24)*INDEX('Lease Cycles'!$EM$24:$ES$24,1,BV282)+(1-'Lease Cycles'!$BE$24)*IF(BV283&lt;INDEX('Lease Cycles'!$FA$24:$FG$24,1,BV282),0,1-INDEX('Lease Cycles'!$EM$24:$ES$24,1,BV282)),IF(OR(INDEX('Lease Cycles'!$DY$24:$EE$24,1,BV282)=1,BV283&gt;0),1,1-INDEX('Lease Cycles'!$DD$24:$DJ$24,1,BV282))*((1-'Lease Cycles'!$AJ$24)*INDEX('Lease Cycles'!$FO$24:$FU$24,1,BV282)+(1-'Lease Cycles'!$BE$24)*(1-INDEX('Lease Cycles'!$FO$24:$FU$24,1,BV282)))),0)</f>
        <v>0</v>
      </c>
      <c r="BW290" s="24">
        <f>IF(BW284=1,'Lease Cycles'!$D$24*IF(INDEX('Lease Cycles'!$EF$24:$EL$24,1,BW282)=1,(1-'Lease Cycles'!$AJ$24)*INDEX('Lease Cycles'!$EM$24:$ES$24,1,BW282)+(1-'Lease Cycles'!$BE$24)*IF(BW283&lt;INDEX('Lease Cycles'!$FA$24:$FG$24,1,BW282),0,1-INDEX('Lease Cycles'!$EM$24:$ES$24,1,BW282)),IF(OR(INDEX('Lease Cycles'!$DY$24:$EE$24,1,BW282)=1,BW283&gt;0),1,1-INDEX('Lease Cycles'!$DD$24:$DJ$24,1,BW282))*((1-'Lease Cycles'!$AJ$24)*INDEX('Lease Cycles'!$FO$24:$FU$24,1,BW282)+(1-'Lease Cycles'!$BE$24)*(1-INDEX('Lease Cycles'!$FO$24:$FU$24,1,BW282)))),0)</f>
        <v>0</v>
      </c>
      <c r="BX290" s="24">
        <f>IF(BX284=1,'Lease Cycles'!$D$24*IF(INDEX('Lease Cycles'!$EF$24:$EL$24,1,BX282)=1,(1-'Lease Cycles'!$AJ$24)*INDEX('Lease Cycles'!$EM$24:$ES$24,1,BX282)+(1-'Lease Cycles'!$BE$24)*IF(BX283&lt;INDEX('Lease Cycles'!$FA$24:$FG$24,1,BX282),0,1-INDEX('Lease Cycles'!$EM$24:$ES$24,1,BX282)),IF(OR(INDEX('Lease Cycles'!$DY$24:$EE$24,1,BX282)=1,BX283&gt;0),1,1-INDEX('Lease Cycles'!$DD$24:$DJ$24,1,BX282))*((1-'Lease Cycles'!$AJ$24)*INDEX('Lease Cycles'!$FO$24:$FU$24,1,BX282)+(1-'Lease Cycles'!$BE$24)*(1-INDEX('Lease Cycles'!$FO$24:$FU$24,1,BX282)))),0)</f>
        <v>0</v>
      </c>
      <c r="BY290" s="24">
        <f>IF(BY284=1,'Lease Cycles'!$D$24*IF(INDEX('Lease Cycles'!$EF$24:$EL$24,1,BY282)=1,(1-'Lease Cycles'!$AJ$24)*INDEX('Lease Cycles'!$EM$24:$ES$24,1,BY282)+(1-'Lease Cycles'!$BE$24)*IF(BY283&lt;INDEX('Lease Cycles'!$FA$24:$FG$24,1,BY282),0,1-INDEX('Lease Cycles'!$EM$24:$ES$24,1,BY282)),IF(OR(INDEX('Lease Cycles'!$DY$24:$EE$24,1,BY282)=1,BY283&gt;0),1,1-INDEX('Lease Cycles'!$DD$24:$DJ$24,1,BY282))*((1-'Lease Cycles'!$AJ$24)*INDEX('Lease Cycles'!$FO$24:$FU$24,1,BY282)+(1-'Lease Cycles'!$BE$24)*(1-INDEX('Lease Cycles'!$FO$24:$FU$24,1,BY282)))),0)</f>
        <v>0</v>
      </c>
      <c r="BZ290" s="24">
        <f>IF(BZ284=1,'Lease Cycles'!$D$24*IF(INDEX('Lease Cycles'!$EF$24:$EL$24,1,BZ282)=1,(1-'Lease Cycles'!$AJ$24)*INDEX('Lease Cycles'!$EM$24:$ES$24,1,BZ282)+(1-'Lease Cycles'!$BE$24)*IF(BZ283&lt;INDEX('Lease Cycles'!$FA$24:$FG$24,1,BZ282),0,1-INDEX('Lease Cycles'!$EM$24:$ES$24,1,BZ282)),IF(OR(INDEX('Lease Cycles'!$DY$24:$EE$24,1,BZ282)=1,BZ283&gt;0),1,1-INDEX('Lease Cycles'!$DD$24:$DJ$24,1,BZ282))*((1-'Lease Cycles'!$AJ$24)*INDEX('Lease Cycles'!$FO$24:$FU$24,1,BZ282)+(1-'Lease Cycles'!$BE$24)*(1-INDEX('Lease Cycles'!$FO$24:$FU$24,1,BZ282)))),0)</f>
        <v>0</v>
      </c>
      <c r="CA290" s="24">
        <f>IF(CA284=1,'Lease Cycles'!$D$24*IF(INDEX('Lease Cycles'!$EF$24:$EL$24,1,CA282)=1,(1-'Lease Cycles'!$AJ$24)*INDEX('Lease Cycles'!$EM$24:$ES$24,1,CA282)+(1-'Lease Cycles'!$BE$24)*IF(CA283&lt;INDEX('Lease Cycles'!$FA$24:$FG$24,1,CA282),0,1-INDEX('Lease Cycles'!$EM$24:$ES$24,1,CA282)),IF(OR(INDEX('Lease Cycles'!$DY$24:$EE$24,1,CA282)=1,CA283&gt;0),1,1-INDEX('Lease Cycles'!$DD$24:$DJ$24,1,CA282))*((1-'Lease Cycles'!$AJ$24)*INDEX('Lease Cycles'!$FO$24:$FU$24,1,CA282)+(1-'Lease Cycles'!$BE$24)*(1-INDEX('Lease Cycles'!$FO$24:$FU$24,1,CA282)))),0)</f>
        <v>0</v>
      </c>
      <c r="CB290" s="24">
        <f>IF(CB284=1,'Lease Cycles'!$D$24*IF(INDEX('Lease Cycles'!$EF$24:$EL$24,1,CB282)=1,(1-'Lease Cycles'!$AJ$24)*INDEX('Lease Cycles'!$EM$24:$ES$24,1,CB282)+(1-'Lease Cycles'!$BE$24)*IF(CB283&lt;INDEX('Lease Cycles'!$FA$24:$FG$24,1,CB282),0,1-INDEX('Lease Cycles'!$EM$24:$ES$24,1,CB282)),IF(OR(INDEX('Lease Cycles'!$DY$24:$EE$24,1,CB282)=1,CB283&gt;0),1,1-INDEX('Lease Cycles'!$DD$24:$DJ$24,1,CB282))*((1-'Lease Cycles'!$AJ$24)*INDEX('Lease Cycles'!$FO$24:$FU$24,1,CB282)+(1-'Lease Cycles'!$BE$24)*(1-INDEX('Lease Cycles'!$FO$24:$FU$24,1,CB282)))),0)</f>
        <v>0</v>
      </c>
      <c r="CC290" s="24">
        <f>IF(CC284=1,'Lease Cycles'!$D$24*IF(INDEX('Lease Cycles'!$EF$24:$EL$24,1,CC282)=1,(1-'Lease Cycles'!$AJ$24)*INDEX('Lease Cycles'!$EM$24:$ES$24,1,CC282)+(1-'Lease Cycles'!$BE$24)*IF(CC283&lt;INDEX('Lease Cycles'!$FA$24:$FG$24,1,CC282),0,1-INDEX('Lease Cycles'!$EM$24:$ES$24,1,CC282)),IF(OR(INDEX('Lease Cycles'!$DY$24:$EE$24,1,CC282)=1,CC283&gt;0),1,1-INDEX('Lease Cycles'!$DD$24:$DJ$24,1,CC282))*((1-'Lease Cycles'!$AJ$24)*INDEX('Lease Cycles'!$FO$24:$FU$24,1,CC282)+(1-'Lease Cycles'!$BE$24)*(1-INDEX('Lease Cycles'!$FO$24:$FU$24,1,CC282)))),0)</f>
        <v>0</v>
      </c>
      <c r="CD290" s="24">
        <f>IF(CD284=1,'Lease Cycles'!$D$24*IF(INDEX('Lease Cycles'!$EF$24:$EL$24,1,CD282)=1,(1-'Lease Cycles'!$AJ$24)*INDEX('Lease Cycles'!$EM$24:$ES$24,1,CD282)+(1-'Lease Cycles'!$BE$24)*IF(CD283&lt;INDEX('Lease Cycles'!$FA$24:$FG$24,1,CD282),0,1-INDEX('Lease Cycles'!$EM$24:$ES$24,1,CD282)),IF(OR(INDEX('Lease Cycles'!$DY$24:$EE$24,1,CD282)=1,CD283&gt;0),1,1-INDEX('Lease Cycles'!$DD$24:$DJ$24,1,CD282))*((1-'Lease Cycles'!$AJ$24)*INDEX('Lease Cycles'!$FO$24:$FU$24,1,CD282)+(1-'Lease Cycles'!$BE$24)*(1-INDEX('Lease Cycles'!$FO$24:$FU$24,1,CD282)))),0)</f>
        <v>0</v>
      </c>
      <c r="CE290" s="24">
        <f>IF(CE284=1,'Lease Cycles'!$D$24*IF(INDEX('Lease Cycles'!$EF$24:$EL$24,1,CE282)=1,(1-'Lease Cycles'!$AJ$24)*INDEX('Lease Cycles'!$EM$24:$ES$24,1,CE282)+(1-'Lease Cycles'!$BE$24)*IF(CE283&lt;INDEX('Lease Cycles'!$FA$24:$FG$24,1,CE282),0,1-INDEX('Lease Cycles'!$EM$24:$ES$24,1,CE282)),IF(OR(INDEX('Lease Cycles'!$DY$24:$EE$24,1,CE282)=1,CE283&gt;0),1,1-INDEX('Lease Cycles'!$DD$24:$DJ$24,1,CE282))*((1-'Lease Cycles'!$AJ$24)*INDEX('Lease Cycles'!$FO$24:$FU$24,1,CE282)+(1-'Lease Cycles'!$BE$24)*(1-INDEX('Lease Cycles'!$FO$24:$FU$24,1,CE282)))),0)</f>
        <v>0</v>
      </c>
      <c r="CF290" s="24">
        <f>IF(CF284=1,'Lease Cycles'!$D$24*IF(INDEX('Lease Cycles'!$EF$24:$EL$24,1,CF282)=1,(1-'Lease Cycles'!$AJ$24)*INDEX('Lease Cycles'!$EM$24:$ES$24,1,CF282)+(1-'Lease Cycles'!$BE$24)*IF(CF283&lt;INDEX('Lease Cycles'!$FA$24:$FG$24,1,CF282),0,1-INDEX('Lease Cycles'!$EM$24:$ES$24,1,CF282)),IF(OR(INDEX('Lease Cycles'!$DY$24:$EE$24,1,CF282)=1,CF283&gt;0),1,1-INDEX('Lease Cycles'!$DD$24:$DJ$24,1,CF282))*((1-'Lease Cycles'!$AJ$24)*INDEX('Lease Cycles'!$FO$24:$FU$24,1,CF282)+(1-'Lease Cycles'!$BE$24)*(1-INDEX('Lease Cycles'!$FO$24:$FU$24,1,CF282)))),0)</f>
        <v>0</v>
      </c>
      <c r="CG290" s="24">
        <f>IF(CG284=1,'Lease Cycles'!$D$24*IF(INDEX('Lease Cycles'!$EF$24:$EL$24,1,CG282)=1,(1-'Lease Cycles'!$AJ$24)*INDEX('Lease Cycles'!$EM$24:$ES$24,1,CG282)+(1-'Lease Cycles'!$BE$24)*IF(CG283&lt;INDEX('Lease Cycles'!$FA$24:$FG$24,1,CG282),0,1-INDEX('Lease Cycles'!$EM$24:$ES$24,1,CG282)),IF(OR(INDEX('Lease Cycles'!$DY$24:$EE$24,1,CG282)=1,CG283&gt;0),1,1-INDEX('Lease Cycles'!$DD$24:$DJ$24,1,CG282))*((1-'Lease Cycles'!$AJ$24)*INDEX('Lease Cycles'!$FO$24:$FU$24,1,CG282)+(1-'Lease Cycles'!$BE$24)*(1-INDEX('Lease Cycles'!$FO$24:$FU$24,1,CG282)))),0)</f>
        <v>0</v>
      </c>
      <c r="CH290" s="24">
        <f>IF(CH284=1,'Lease Cycles'!$D$24*IF(INDEX('Lease Cycles'!$EF$24:$EL$24,1,CH282)=1,(1-'Lease Cycles'!$AJ$24)*INDEX('Lease Cycles'!$EM$24:$ES$24,1,CH282)+(1-'Lease Cycles'!$BE$24)*IF(CH283&lt;INDEX('Lease Cycles'!$FA$24:$FG$24,1,CH282),0,1-INDEX('Lease Cycles'!$EM$24:$ES$24,1,CH282)),IF(OR(INDEX('Lease Cycles'!$DY$24:$EE$24,1,CH282)=1,CH283&gt;0),1,1-INDEX('Lease Cycles'!$DD$24:$DJ$24,1,CH282))*((1-'Lease Cycles'!$AJ$24)*INDEX('Lease Cycles'!$FO$24:$FU$24,1,CH282)+(1-'Lease Cycles'!$BE$24)*(1-INDEX('Lease Cycles'!$FO$24:$FU$24,1,CH282)))),0)</f>
        <v>0</v>
      </c>
      <c r="CI290" s="24">
        <f>IF(CI284=1,'Lease Cycles'!$D$24*IF(INDEX('Lease Cycles'!$EF$24:$EL$24,1,CI282)=1,(1-'Lease Cycles'!$AJ$24)*INDEX('Lease Cycles'!$EM$24:$ES$24,1,CI282)+(1-'Lease Cycles'!$BE$24)*IF(CI283&lt;INDEX('Lease Cycles'!$FA$24:$FG$24,1,CI282),0,1-INDEX('Lease Cycles'!$EM$24:$ES$24,1,CI282)),IF(OR(INDEX('Lease Cycles'!$DY$24:$EE$24,1,CI282)=1,CI283&gt;0),1,1-INDEX('Lease Cycles'!$DD$24:$DJ$24,1,CI282))*((1-'Lease Cycles'!$AJ$24)*INDEX('Lease Cycles'!$FO$24:$FU$24,1,CI282)+(1-'Lease Cycles'!$BE$24)*(1-INDEX('Lease Cycles'!$FO$24:$FU$24,1,CI282)))),0)</f>
        <v>0</v>
      </c>
      <c r="CJ290" s="24">
        <f>IF(CJ284=1,'Lease Cycles'!$D$24*IF(INDEX('Lease Cycles'!$EF$24:$EL$24,1,CJ282)=1,(1-'Lease Cycles'!$AJ$24)*INDEX('Lease Cycles'!$EM$24:$ES$24,1,CJ282)+(1-'Lease Cycles'!$BE$24)*IF(CJ283&lt;INDEX('Lease Cycles'!$FA$24:$FG$24,1,CJ282),0,1-INDEX('Lease Cycles'!$EM$24:$ES$24,1,CJ282)),IF(OR(INDEX('Lease Cycles'!$DY$24:$EE$24,1,CJ282)=1,CJ283&gt;0),1,1-INDEX('Lease Cycles'!$DD$24:$DJ$24,1,CJ282))*((1-'Lease Cycles'!$AJ$24)*INDEX('Lease Cycles'!$FO$24:$FU$24,1,CJ282)+(1-'Lease Cycles'!$BE$24)*(1-INDEX('Lease Cycles'!$FO$24:$FU$24,1,CJ282)))),0)</f>
        <v>0</v>
      </c>
      <c r="CK290" s="24">
        <f>IF(CK284=1,'Lease Cycles'!$D$24*IF(INDEX('Lease Cycles'!$EF$24:$EL$24,1,CK282)=1,(1-'Lease Cycles'!$AJ$24)*INDEX('Lease Cycles'!$EM$24:$ES$24,1,CK282)+(1-'Lease Cycles'!$BE$24)*IF(CK283&lt;INDEX('Lease Cycles'!$FA$24:$FG$24,1,CK282),0,1-INDEX('Lease Cycles'!$EM$24:$ES$24,1,CK282)),IF(OR(INDEX('Lease Cycles'!$DY$24:$EE$24,1,CK282)=1,CK283&gt;0),1,1-INDEX('Lease Cycles'!$DD$24:$DJ$24,1,CK282))*((1-'Lease Cycles'!$AJ$24)*INDEX('Lease Cycles'!$FO$24:$FU$24,1,CK282)+(1-'Lease Cycles'!$BE$24)*(1-INDEX('Lease Cycles'!$FO$24:$FU$24,1,CK282)))),0)</f>
        <v>0</v>
      </c>
      <c r="CL290" s="24">
        <f>IF(CL284=1,'Lease Cycles'!$D$24*IF(INDEX('Lease Cycles'!$EF$24:$EL$24,1,CL282)=1,(1-'Lease Cycles'!$AJ$24)*INDEX('Lease Cycles'!$EM$24:$ES$24,1,CL282)+(1-'Lease Cycles'!$BE$24)*IF(CL283&lt;INDEX('Lease Cycles'!$FA$24:$FG$24,1,CL282),0,1-INDEX('Lease Cycles'!$EM$24:$ES$24,1,CL282)),IF(OR(INDEX('Lease Cycles'!$DY$24:$EE$24,1,CL282)=1,CL283&gt;0),1,1-INDEX('Lease Cycles'!$DD$24:$DJ$24,1,CL282))*((1-'Lease Cycles'!$AJ$24)*INDEX('Lease Cycles'!$FO$24:$FU$24,1,CL282)+(1-'Lease Cycles'!$BE$24)*(1-INDEX('Lease Cycles'!$FO$24:$FU$24,1,CL282)))),0)</f>
        <v>0</v>
      </c>
      <c r="CM290" s="24">
        <f>IF(CM284=1,'Lease Cycles'!$D$24*IF(INDEX('Lease Cycles'!$EF$24:$EL$24,1,CM282)=1,(1-'Lease Cycles'!$AJ$24)*INDEX('Lease Cycles'!$EM$24:$ES$24,1,CM282)+(1-'Lease Cycles'!$BE$24)*IF(CM283&lt;INDEX('Lease Cycles'!$FA$24:$FG$24,1,CM282),0,1-INDEX('Lease Cycles'!$EM$24:$ES$24,1,CM282)),IF(OR(INDEX('Lease Cycles'!$DY$24:$EE$24,1,CM282)=1,CM283&gt;0),1,1-INDEX('Lease Cycles'!$DD$24:$DJ$24,1,CM282))*((1-'Lease Cycles'!$AJ$24)*INDEX('Lease Cycles'!$FO$24:$FU$24,1,CM282)+(1-'Lease Cycles'!$BE$24)*(1-INDEX('Lease Cycles'!$FO$24:$FU$24,1,CM282)))),0)</f>
        <v>0</v>
      </c>
      <c r="CN290" s="24">
        <f>IF(CN284=1,'Lease Cycles'!$D$24*IF(INDEX('Lease Cycles'!$EF$24:$EL$24,1,CN282)=1,(1-'Lease Cycles'!$AJ$24)*INDEX('Lease Cycles'!$EM$24:$ES$24,1,CN282)+(1-'Lease Cycles'!$BE$24)*IF(CN283&lt;INDEX('Lease Cycles'!$FA$24:$FG$24,1,CN282),0,1-INDEX('Lease Cycles'!$EM$24:$ES$24,1,CN282)),IF(OR(INDEX('Lease Cycles'!$DY$24:$EE$24,1,CN282)=1,CN283&gt;0),1,1-INDEX('Lease Cycles'!$DD$24:$DJ$24,1,CN282))*((1-'Lease Cycles'!$AJ$24)*INDEX('Lease Cycles'!$FO$24:$FU$24,1,CN282)+(1-'Lease Cycles'!$BE$24)*(1-INDEX('Lease Cycles'!$FO$24:$FU$24,1,CN282)))),0)</f>
        <v>0</v>
      </c>
      <c r="CO290" s="24">
        <f>IF(CO284=1,'Lease Cycles'!$D$24*IF(INDEX('Lease Cycles'!$EF$24:$EL$24,1,CO282)=1,(1-'Lease Cycles'!$AJ$24)*INDEX('Lease Cycles'!$EM$24:$ES$24,1,CO282)+(1-'Lease Cycles'!$BE$24)*IF(CO283&lt;INDEX('Lease Cycles'!$FA$24:$FG$24,1,CO282),0,1-INDEX('Lease Cycles'!$EM$24:$ES$24,1,CO282)),IF(OR(INDEX('Lease Cycles'!$DY$24:$EE$24,1,CO282)=1,CO283&gt;0),1,1-INDEX('Lease Cycles'!$DD$24:$DJ$24,1,CO282))*((1-'Lease Cycles'!$AJ$24)*INDEX('Lease Cycles'!$FO$24:$FU$24,1,CO282)+(1-'Lease Cycles'!$BE$24)*(1-INDEX('Lease Cycles'!$FO$24:$FU$24,1,CO282)))),0)</f>
        <v>0</v>
      </c>
      <c r="CP290" s="24">
        <f>IF(CP284=1,'Lease Cycles'!$D$24*IF(INDEX('Lease Cycles'!$EF$24:$EL$24,1,CP282)=1,(1-'Lease Cycles'!$AJ$24)*INDEX('Lease Cycles'!$EM$24:$ES$24,1,CP282)+(1-'Lease Cycles'!$BE$24)*IF(CP283&lt;INDEX('Lease Cycles'!$FA$24:$FG$24,1,CP282),0,1-INDEX('Lease Cycles'!$EM$24:$ES$24,1,CP282)),IF(OR(INDEX('Lease Cycles'!$DY$24:$EE$24,1,CP282)=1,CP283&gt;0),1,1-INDEX('Lease Cycles'!$DD$24:$DJ$24,1,CP282))*((1-'Lease Cycles'!$AJ$24)*INDEX('Lease Cycles'!$FO$24:$FU$24,1,CP282)+(1-'Lease Cycles'!$BE$24)*(1-INDEX('Lease Cycles'!$FO$24:$FU$24,1,CP282)))),0)</f>
        <v>0</v>
      </c>
      <c r="CQ290" s="24">
        <f>IF(CQ284=1,'Lease Cycles'!$D$24*IF(INDEX('Lease Cycles'!$EF$24:$EL$24,1,CQ282)=1,(1-'Lease Cycles'!$AJ$24)*INDEX('Lease Cycles'!$EM$24:$ES$24,1,CQ282)+(1-'Lease Cycles'!$BE$24)*IF(CQ283&lt;INDEX('Lease Cycles'!$FA$24:$FG$24,1,CQ282),0,1-INDEX('Lease Cycles'!$EM$24:$ES$24,1,CQ282)),IF(OR(INDEX('Lease Cycles'!$DY$24:$EE$24,1,CQ282)=1,CQ283&gt;0),1,1-INDEX('Lease Cycles'!$DD$24:$DJ$24,1,CQ282))*((1-'Lease Cycles'!$AJ$24)*INDEX('Lease Cycles'!$FO$24:$FU$24,1,CQ282)+(1-'Lease Cycles'!$BE$24)*(1-INDEX('Lease Cycles'!$FO$24:$FU$24,1,CQ282)))),0)</f>
        <v>0</v>
      </c>
      <c r="CR290" s="24">
        <f>IF(CR284=1,'Lease Cycles'!$D$24*IF(INDEX('Lease Cycles'!$EF$24:$EL$24,1,CR282)=1,(1-'Lease Cycles'!$AJ$24)*INDEX('Lease Cycles'!$EM$24:$ES$24,1,CR282)+(1-'Lease Cycles'!$BE$24)*IF(CR283&lt;INDEX('Lease Cycles'!$FA$24:$FG$24,1,CR282),0,1-INDEX('Lease Cycles'!$EM$24:$ES$24,1,CR282)),IF(OR(INDEX('Lease Cycles'!$DY$24:$EE$24,1,CR282)=1,CR283&gt;0),1,1-INDEX('Lease Cycles'!$DD$24:$DJ$24,1,CR282))*((1-'Lease Cycles'!$AJ$24)*INDEX('Lease Cycles'!$FO$24:$FU$24,1,CR282)+(1-'Lease Cycles'!$BE$24)*(1-INDEX('Lease Cycles'!$FO$24:$FU$24,1,CR282)))),0)</f>
        <v>0</v>
      </c>
      <c r="CS290" s="24">
        <f>IF(CS284=1,'Lease Cycles'!$D$24*IF(INDEX('Lease Cycles'!$EF$24:$EL$24,1,CS282)=1,(1-'Lease Cycles'!$AJ$24)*INDEX('Lease Cycles'!$EM$24:$ES$24,1,CS282)+(1-'Lease Cycles'!$BE$24)*IF(CS283&lt;INDEX('Lease Cycles'!$FA$24:$FG$24,1,CS282),0,1-INDEX('Lease Cycles'!$EM$24:$ES$24,1,CS282)),IF(OR(INDEX('Lease Cycles'!$DY$24:$EE$24,1,CS282)=1,CS283&gt;0),1,1-INDEX('Lease Cycles'!$DD$24:$DJ$24,1,CS282))*((1-'Lease Cycles'!$AJ$24)*INDEX('Lease Cycles'!$FO$24:$FU$24,1,CS282)+(1-'Lease Cycles'!$BE$24)*(1-INDEX('Lease Cycles'!$FO$24:$FU$24,1,CS282)))),0)</f>
        <v>0</v>
      </c>
      <c r="CT290" s="24">
        <f>IF(CT284=1,'Lease Cycles'!$D$24*IF(INDEX('Lease Cycles'!$EF$24:$EL$24,1,CT282)=1,(1-'Lease Cycles'!$AJ$24)*INDEX('Lease Cycles'!$EM$24:$ES$24,1,CT282)+(1-'Lease Cycles'!$BE$24)*IF(CT283&lt;INDEX('Lease Cycles'!$FA$24:$FG$24,1,CT282),0,1-INDEX('Lease Cycles'!$EM$24:$ES$24,1,CT282)),IF(OR(INDEX('Lease Cycles'!$DY$24:$EE$24,1,CT282)=1,CT283&gt;0),1,1-INDEX('Lease Cycles'!$DD$24:$DJ$24,1,CT282))*((1-'Lease Cycles'!$AJ$24)*INDEX('Lease Cycles'!$FO$24:$FU$24,1,CT282)+(1-'Lease Cycles'!$BE$24)*(1-INDEX('Lease Cycles'!$FO$24:$FU$24,1,CT282)))),0)</f>
        <v>0</v>
      </c>
      <c r="CU290" s="24">
        <f>IF(CU284=1,'Lease Cycles'!$D$24*IF(INDEX('Lease Cycles'!$EF$24:$EL$24,1,CU282)=1,(1-'Lease Cycles'!$AJ$24)*INDEX('Lease Cycles'!$EM$24:$ES$24,1,CU282)+(1-'Lease Cycles'!$BE$24)*IF(CU283&lt;INDEX('Lease Cycles'!$FA$24:$FG$24,1,CU282),0,1-INDEX('Lease Cycles'!$EM$24:$ES$24,1,CU282)),IF(OR(INDEX('Lease Cycles'!$DY$24:$EE$24,1,CU282)=1,CU283&gt;0),1,1-INDEX('Lease Cycles'!$DD$24:$DJ$24,1,CU282))*((1-'Lease Cycles'!$AJ$24)*INDEX('Lease Cycles'!$FO$24:$FU$24,1,CU282)+(1-'Lease Cycles'!$BE$24)*(1-INDEX('Lease Cycles'!$FO$24:$FU$24,1,CU282)))),0)</f>
        <v>0</v>
      </c>
      <c r="CV290" s="24">
        <f>IF(CV284=1,'Lease Cycles'!$D$24*IF(INDEX('Lease Cycles'!$EF$24:$EL$24,1,CV282)=1,(1-'Lease Cycles'!$AJ$24)*INDEX('Lease Cycles'!$EM$24:$ES$24,1,CV282)+(1-'Lease Cycles'!$BE$24)*IF(CV283&lt;INDEX('Lease Cycles'!$FA$24:$FG$24,1,CV282),0,1-INDEX('Lease Cycles'!$EM$24:$ES$24,1,CV282)),IF(OR(INDEX('Lease Cycles'!$DY$24:$EE$24,1,CV282)=1,CV283&gt;0),1,1-INDEX('Lease Cycles'!$DD$24:$DJ$24,1,CV282))*((1-'Lease Cycles'!$AJ$24)*INDEX('Lease Cycles'!$FO$24:$FU$24,1,CV282)+(1-'Lease Cycles'!$BE$24)*(1-INDEX('Lease Cycles'!$FO$24:$FU$24,1,CV282)))),0)</f>
        <v>0</v>
      </c>
      <c r="CW290" s="24">
        <f>IF(CW284=1,'Lease Cycles'!$D$24*IF(INDEX('Lease Cycles'!$EF$24:$EL$24,1,CW282)=1,(1-'Lease Cycles'!$AJ$24)*INDEX('Lease Cycles'!$EM$24:$ES$24,1,CW282)+(1-'Lease Cycles'!$BE$24)*IF(CW283&lt;INDEX('Lease Cycles'!$FA$24:$FG$24,1,CW282),0,1-INDEX('Lease Cycles'!$EM$24:$ES$24,1,CW282)),IF(OR(INDEX('Lease Cycles'!$DY$24:$EE$24,1,CW282)=1,CW283&gt;0),1,1-INDEX('Lease Cycles'!$DD$24:$DJ$24,1,CW282))*((1-'Lease Cycles'!$AJ$24)*INDEX('Lease Cycles'!$FO$24:$FU$24,1,CW282)+(1-'Lease Cycles'!$BE$24)*(1-INDEX('Lease Cycles'!$FO$24:$FU$24,1,CW282)))),0)</f>
        <v>0</v>
      </c>
      <c r="CX290" s="24">
        <f>IF(CX284=1,'Lease Cycles'!$D$24*IF(INDEX('Lease Cycles'!$EF$24:$EL$24,1,CX282)=1,(1-'Lease Cycles'!$AJ$24)*INDEX('Lease Cycles'!$EM$24:$ES$24,1,CX282)+(1-'Lease Cycles'!$BE$24)*IF(CX283&lt;INDEX('Lease Cycles'!$FA$24:$FG$24,1,CX282),0,1-INDEX('Lease Cycles'!$EM$24:$ES$24,1,CX282)),IF(OR(INDEX('Lease Cycles'!$DY$24:$EE$24,1,CX282)=1,CX283&gt;0),1,1-INDEX('Lease Cycles'!$DD$24:$DJ$24,1,CX282))*((1-'Lease Cycles'!$AJ$24)*INDEX('Lease Cycles'!$FO$24:$FU$24,1,CX282)+(1-'Lease Cycles'!$BE$24)*(1-INDEX('Lease Cycles'!$FO$24:$FU$24,1,CX282)))),0)</f>
        <v>0</v>
      </c>
      <c r="CY290" s="24">
        <f>IF(CY284=1,'Lease Cycles'!$D$24*IF(INDEX('Lease Cycles'!$EF$24:$EL$24,1,CY282)=1,(1-'Lease Cycles'!$AJ$24)*INDEX('Lease Cycles'!$EM$24:$ES$24,1,CY282)+(1-'Lease Cycles'!$BE$24)*IF(CY283&lt;INDEX('Lease Cycles'!$FA$24:$FG$24,1,CY282),0,1-INDEX('Lease Cycles'!$EM$24:$ES$24,1,CY282)),IF(OR(INDEX('Lease Cycles'!$DY$24:$EE$24,1,CY282)=1,CY283&gt;0),1,1-INDEX('Lease Cycles'!$DD$24:$DJ$24,1,CY282))*((1-'Lease Cycles'!$AJ$24)*INDEX('Lease Cycles'!$FO$24:$FU$24,1,CY282)+(1-'Lease Cycles'!$BE$24)*(1-INDEX('Lease Cycles'!$FO$24:$FU$24,1,CY282)))),0)</f>
        <v>0</v>
      </c>
      <c r="CZ290" s="24">
        <f>IF(CZ284=1,'Lease Cycles'!$D$24*IF(INDEX('Lease Cycles'!$EF$24:$EL$24,1,CZ282)=1,(1-'Lease Cycles'!$AJ$24)*INDEX('Lease Cycles'!$EM$24:$ES$24,1,CZ282)+(1-'Lease Cycles'!$BE$24)*IF(CZ283&lt;INDEX('Lease Cycles'!$FA$24:$FG$24,1,CZ282),0,1-INDEX('Lease Cycles'!$EM$24:$ES$24,1,CZ282)),IF(OR(INDEX('Lease Cycles'!$DY$24:$EE$24,1,CZ282)=1,CZ283&gt;0),1,1-INDEX('Lease Cycles'!$DD$24:$DJ$24,1,CZ282))*((1-'Lease Cycles'!$AJ$24)*INDEX('Lease Cycles'!$FO$24:$FU$24,1,CZ282)+(1-'Lease Cycles'!$BE$24)*(1-INDEX('Lease Cycles'!$FO$24:$FU$24,1,CZ282)))),0)</f>
        <v>0</v>
      </c>
      <c r="DA290" s="24">
        <f>IF(DA284=1,'Lease Cycles'!$D$24*IF(INDEX('Lease Cycles'!$EF$24:$EL$24,1,DA282)=1,(1-'Lease Cycles'!$AJ$24)*INDEX('Lease Cycles'!$EM$24:$ES$24,1,DA282)+(1-'Lease Cycles'!$BE$24)*IF(DA283&lt;INDEX('Lease Cycles'!$FA$24:$FG$24,1,DA282),0,1-INDEX('Lease Cycles'!$EM$24:$ES$24,1,DA282)),IF(OR(INDEX('Lease Cycles'!$DY$24:$EE$24,1,DA282)=1,DA283&gt;0),1,1-INDEX('Lease Cycles'!$DD$24:$DJ$24,1,DA282))*((1-'Lease Cycles'!$AJ$24)*INDEX('Lease Cycles'!$FO$24:$FU$24,1,DA282)+(1-'Lease Cycles'!$BE$24)*(1-INDEX('Lease Cycles'!$FO$24:$FU$24,1,DA282)))),0)</f>
        <v>0</v>
      </c>
      <c r="DB290" s="24">
        <f>IF(DB284=1,'Lease Cycles'!$D$24*IF(INDEX('Lease Cycles'!$EF$24:$EL$24,1,DB282)=1,(1-'Lease Cycles'!$AJ$24)*INDEX('Lease Cycles'!$EM$24:$ES$24,1,DB282)+(1-'Lease Cycles'!$BE$24)*IF(DB283&lt;INDEX('Lease Cycles'!$FA$24:$FG$24,1,DB282),0,1-INDEX('Lease Cycles'!$EM$24:$ES$24,1,DB282)),IF(OR(INDEX('Lease Cycles'!$DY$24:$EE$24,1,DB282)=1,DB283&gt;0),1,1-INDEX('Lease Cycles'!$DD$24:$DJ$24,1,DB282))*((1-'Lease Cycles'!$AJ$24)*INDEX('Lease Cycles'!$FO$24:$FU$24,1,DB282)+(1-'Lease Cycles'!$BE$24)*(1-INDEX('Lease Cycles'!$FO$24:$FU$24,1,DB282)))),0)</f>
        <v>0</v>
      </c>
      <c r="DC290" s="24">
        <f>IF(DC284=1,'Lease Cycles'!$D$24*IF(INDEX('Lease Cycles'!$EF$24:$EL$24,1,DC282)=1,(1-'Lease Cycles'!$AJ$24)*INDEX('Lease Cycles'!$EM$24:$ES$24,1,DC282)+(1-'Lease Cycles'!$BE$24)*IF(DC283&lt;INDEX('Lease Cycles'!$FA$24:$FG$24,1,DC282),0,1-INDEX('Lease Cycles'!$EM$24:$ES$24,1,DC282)),IF(OR(INDEX('Lease Cycles'!$DY$24:$EE$24,1,DC282)=1,DC283&gt;0),1,1-INDEX('Lease Cycles'!$DD$24:$DJ$24,1,DC282))*((1-'Lease Cycles'!$AJ$24)*INDEX('Lease Cycles'!$FO$24:$FU$24,1,DC282)+(1-'Lease Cycles'!$BE$24)*(1-INDEX('Lease Cycles'!$FO$24:$FU$24,1,DC282)))),0)</f>
        <v>0</v>
      </c>
      <c r="DD290" s="24">
        <f>IF(DD284=1,'Lease Cycles'!$D$24*IF(INDEX('Lease Cycles'!$EF$24:$EL$24,1,DD282)=1,(1-'Lease Cycles'!$AJ$24)*INDEX('Lease Cycles'!$EM$24:$ES$24,1,DD282)+(1-'Lease Cycles'!$BE$24)*IF(DD283&lt;INDEX('Lease Cycles'!$FA$24:$FG$24,1,DD282),0,1-INDEX('Lease Cycles'!$EM$24:$ES$24,1,DD282)),IF(OR(INDEX('Lease Cycles'!$DY$24:$EE$24,1,DD282)=1,DD283&gt;0),1,1-INDEX('Lease Cycles'!$DD$24:$DJ$24,1,DD282))*((1-'Lease Cycles'!$AJ$24)*INDEX('Lease Cycles'!$FO$24:$FU$24,1,DD282)+(1-'Lease Cycles'!$BE$24)*(1-INDEX('Lease Cycles'!$FO$24:$FU$24,1,DD282)))),0)</f>
        <v>0</v>
      </c>
      <c r="DE290" s="24">
        <f>IF(DE284=1,'Lease Cycles'!$D$24*IF(INDEX('Lease Cycles'!$EF$24:$EL$24,1,DE282)=1,(1-'Lease Cycles'!$AJ$24)*INDEX('Lease Cycles'!$EM$24:$ES$24,1,DE282)+(1-'Lease Cycles'!$BE$24)*IF(DE283&lt;INDEX('Lease Cycles'!$FA$24:$FG$24,1,DE282),0,1-INDEX('Lease Cycles'!$EM$24:$ES$24,1,DE282)),IF(OR(INDEX('Lease Cycles'!$DY$24:$EE$24,1,DE282)=1,DE283&gt;0),1,1-INDEX('Lease Cycles'!$DD$24:$DJ$24,1,DE282))*((1-'Lease Cycles'!$AJ$24)*INDEX('Lease Cycles'!$FO$24:$FU$24,1,DE282)+(1-'Lease Cycles'!$BE$24)*(1-INDEX('Lease Cycles'!$FO$24:$FU$24,1,DE282)))),0)</f>
        <v>0</v>
      </c>
      <c r="DF290" s="24">
        <f>IF(DF284=1,'Lease Cycles'!$D$24*IF(INDEX('Lease Cycles'!$EF$24:$EL$24,1,DF282)=1,(1-'Lease Cycles'!$AJ$24)*INDEX('Lease Cycles'!$EM$24:$ES$24,1,DF282)+(1-'Lease Cycles'!$BE$24)*IF(DF283&lt;INDEX('Lease Cycles'!$FA$24:$FG$24,1,DF282),0,1-INDEX('Lease Cycles'!$EM$24:$ES$24,1,DF282)),IF(OR(INDEX('Lease Cycles'!$DY$24:$EE$24,1,DF282)=1,DF283&gt;0),1,1-INDEX('Lease Cycles'!$DD$24:$DJ$24,1,DF282))*((1-'Lease Cycles'!$AJ$24)*INDEX('Lease Cycles'!$FO$24:$FU$24,1,DF282)+(1-'Lease Cycles'!$BE$24)*(1-INDEX('Lease Cycles'!$FO$24:$FU$24,1,DF282)))),0)</f>
        <v>0</v>
      </c>
      <c r="DG290" s="24">
        <f>IF(DG284=1,'Lease Cycles'!$D$24*IF(INDEX('Lease Cycles'!$EF$24:$EL$24,1,DG282)=1,(1-'Lease Cycles'!$AJ$24)*INDEX('Lease Cycles'!$EM$24:$ES$24,1,DG282)+(1-'Lease Cycles'!$BE$24)*IF(DG283&lt;INDEX('Lease Cycles'!$FA$24:$FG$24,1,DG282),0,1-INDEX('Lease Cycles'!$EM$24:$ES$24,1,DG282)),IF(OR(INDEX('Lease Cycles'!$DY$24:$EE$24,1,DG282)=1,DG283&gt;0),1,1-INDEX('Lease Cycles'!$DD$24:$DJ$24,1,DG282))*((1-'Lease Cycles'!$AJ$24)*INDEX('Lease Cycles'!$FO$24:$FU$24,1,DG282)+(1-'Lease Cycles'!$BE$24)*(1-INDEX('Lease Cycles'!$FO$24:$FU$24,1,DG282)))),0)</f>
        <v>0</v>
      </c>
      <c r="DH290" s="24">
        <f>IF(DH284=1,'Lease Cycles'!$D$24*IF(INDEX('Lease Cycles'!$EF$24:$EL$24,1,DH282)=1,(1-'Lease Cycles'!$AJ$24)*INDEX('Lease Cycles'!$EM$24:$ES$24,1,DH282)+(1-'Lease Cycles'!$BE$24)*IF(DH283&lt;INDEX('Lease Cycles'!$FA$24:$FG$24,1,DH282),0,1-INDEX('Lease Cycles'!$EM$24:$ES$24,1,DH282)),IF(OR(INDEX('Lease Cycles'!$DY$24:$EE$24,1,DH282)=1,DH283&gt;0),1,1-INDEX('Lease Cycles'!$DD$24:$DJ$24,1,DH282))*((1-'Lease Cycles'!$AJ$24)*INDEX('Lease Cycles'!$FO$24:$FU$24,1,DH282)+(1-'Lease Cycles'!$BE$24)*(1-INDEX('Lease Cycles'!$FO$24:$FU$24,1,DH282)))),0)</f>
        <v>0</v>
      </c>
      <c r="DI290" s="24">
        <f>IF(DI284=1,'Lease Cycles'!$D$24*IF(INDEX('Lease Cycles'!$EF$24:$EL$24,1,DI282)=1,(1-'Lease Cycles'!$AJ$24)*INDEX('Lease Cycles'!$EM$24:$ES$24,1,DI282)+(1-'Lease Cycles'!$BE$24)*IF(DI283&lt;INDEX('Lease Cycles'!$FA$24:$FG$24,1,DI282),0,1-INDEX('Lease Cycles'!$EM$24:$ES$24,1,DI282)),IF(OR(INDEX('Lease Cycles'!$DY$24:$EE$24,1,DI282)=1,DI283&gt;0),1,1-INDEX('Lease Cycles'!$DD$24:$DJ$24,1,DI282))*((1-'Lease Cycles'!$AJ$24)*INDEX('Lease Cycles'!$FO$24:$FU$24,1,DI282)+(1-'Lease Cycles'!$BE$24)*(1-INDEX('Lease Cycles'!$FO$24:$FU$24,1,DI282)))),0)</f>
        <v>0</v>
      </c>
      <c r="DJ290" s="24">
        <f>IF(DJ284=1,'Lease Cycles'!$D$24*IF(INDEX('Lease Cycles'!$EF$24:$EL$24,1,DJ282)=1,(1-'Lease Cycles'!$AJ$24)*INDEX('Lease Cycles'!$EM$24:$ES$24,1,DJ282)+(1-'Lease Cycles'!$BE$24)*IF(DJ283&lt;INDEX('Lease Cycles'!$FA$24:$FG$24,1,DJ282),0,1-INDEX('Lease Cycles'!$EM$24:$ES$24,1,DJ282)),IF(OR(INDEX('Lease Cycles'!$DY$24:$EE$24,1,DJ282)=1,DJ283&gt;0),1,1-INDEX('Lease Cycles'!$DD$24:$DJ$24,1,DJ282))*((1-'Lease Cycles'!$AJ$24)*INDEX('Lease Cycles'!$FO$24:$FU$24,1,DJ282)+(1-'Lease Cycles'!$BE$24)*(1-INDEX('Lease Cycles'!$FO$24:$FU$24,1,DJ282)))),0)</f>
        <v>0</v>
      </c>
      <c r="DK290" s="24">
        <f>IF(DK284=1,'Lease Cycles'!$D$24*IF(INDEX('Lease Cycles'!$EF$24:$EL$24,1,DK282)=1,(1-'Lease Cycles'!$AJ$24)*INDEX('Lease Cycles'!$EM$24:$ES$24,1,DK282)+(1-'Lease Cycles'!$BE$24)*IF(DK283&lt;INDEX('Lease Cycles'!$FA$24:$FG$24,1,DK282),0,1-INDEX('Lease Cycles'!$EM$24:$ES$24,1,DK282)),IF(OR(INDEX('Lease Cycles'!$DY$24:$EE$24,1,DK282)=1,DK283&gt;0),1,1-INDEX('Lease Cycles'!$DD$24:$DJ$24,1,DK282))*((1-'Lease Cycles'!$AJ$24)*INDEX('Lease Cycles'!$FO$24:$FU$24,1,DK282)+(1-'Lease Cycles'!$BE$24)*(1-INDEX('Lease Cycles'!$FO$24:$FU$24,1,DK282)))),0)</f>
        <v>0</v>
      </c>
      <c r="DL290" s="24">
        <f>IF(DL284=1,'Lease Cycles'!$D$24*IF(INDEX('Lease Cycles'!$EF$24:$EL$24,1,DL282)=1,(1-'Lease Cycles'!$AJ$24)*INDEX('Lease Cycles'!$EM$24:$ES$24,1,DL282)+(1-'Lease Cycles'!$BE$24)*IF(DL283&lt;INDEX('Lease Cycles'!$FA$24:$FG$24,1,DL282),0,1-INDEX('Lease Cycles'!$EM$24:$ES$24,1,DL282)),IF(OR(INDEX('Lease Cycles'!$DY$24:$EE$24,1,DL282)=1,DL283&gt;0),1,1-INDEX('Lease Cycles'!$DD$24:$DJ$24,1,DL282))*((1-'Lease Cycles'!$AJ$24)*INDEX('Lease Cycles'!$FO$24:$FU$24,1,DL282)+(1-'Lease Cycles'!$BE$24)*(1-INDEX('Lease Cycles'!$FO$24:$FU$24,1,DL282)))),0)</f>
        <v>0</v>
      </c>
      <c r="DM290" s="24">
        <f>IF(DM284=1,'Lease Cycles'!$D$24*IF(INDEX('Lease Cycles'!$EF$24:$EL$24,1,DM282)=1,(1-'Lease Cycles'!$AJ$24)*INDEX('Lease Cycles'!$EM$24:$ES$24,1,DM282)+(1-'Lease Cycles'!$BE$24)*IF(DM283&lt;INDEX('Lease Cycles'!$FA$24:$FG$24,1,DM282),0,1-INDEX('Lease Cycles'!$EM$24:$ES$24,1,DM282)),IF(OR(INDEX('Lease Cycles'!$DY$24:$EE$24,1,DM282)=1,DM283&gt;0),1,1-INDEX('Lease Cycles'!$DD$24:$DJ$24,1,DM282))*((1-'Lease Cycles'!$AJ$24)*INDEX('Lease Cycles'!$FO$24:$FU$24,1,DM282)+(1-'Lease Cycles'!$BE$24)*(1-INDEX('Lease Cycles'!$FO$24:$FU$24,1,DM282)))),0)</f>
        <v>0</v>
      </c>
      <c r="DN290" s="24">
        <f>IF(DN284=1,'Lease Cycles'!$D$24*IF(INDEX('Lease Cycles'!$EF$24:$EL$24,1,DN282)=1,(1-'Lease Cycles'!$AJ$24)*INDEX('Lease Cycles'!$EM$24:$ES$24,1,DN282)+(1-'Lease Cycles'!$BE$24)*IF(DN283&lt;INDEX('Lease Cycles'!$FA$24:$FG$24,1,DN282),0,1-INDEX('Lease Cycles'!$EM$24:$ES$24,1,DN282)),IF(OR(INDEX('Lease Cycles'!$DY$24:$EE$24,1,DN282)=1,DN283&gt;0),1,1-INDEX('Lease Cycles'!$DD$24:$DJ$24,1,DN282))*((1-'Lease Cycles'!$AJ$24)*INDEX('Lease Cycles'!$FO$24:$FU$24,1,DN282)+(1-'Lease Cycles'!$BE$24)*(1-INDEX('Lease Cycles'!$FO$24:$FU$24,1,DN282)))),0)</f>
        <v>0</v>
      </c>
      <c r="DO290" s="24">
        <f>IF(DO284=1,'Lease Cycles'!$D$24*IF(INDEX('Lease Cycles'!$EF$24:$EL$24,1,DO282)=1,(1-'Lease Cycles'!$AJ$24)*INDEX('Lease Cycles'!$EM$24:$ES$24,1,DO282)+(1-'Lease Cycles'!$BE$24)*IF(DO283&lt;INDEX('Lease Cycles'!$FA$24:$FG$24,1,DO282),0,1-INDEX('Lease Cycles'!$EM$24:$ES$24,1,DO282)),IF(OR(INDEX('Lease Cycles'!$DY$24:$EE$24,1,DO282)=1,DO283&gt;0),1,1-INDEX('Lease Cycles'!$DD$24:$DJ$24,1,DO282))*((1-'Lease Cycles'!$AJ$24)*INDEX('Lease Cycles'!$FO$24:$FU$24,1,DO282)+(1-'Lease Cycles'!$BE$24)*(1-INDEX('Lease Cycles'!$FO$24:$FU$24,1,DO282)))),0)</f>
        <v>0</v>
      </c>
      <c r="DP290" s="24">
        <f>IF(DP284=1,'Lease Cycles'!$D$24*IF(INDEX('Lease Cycles'!$EF$24:$EL$24,1,DP282)=1,(1-'Lease Cycles'!$AJ$24)*INDEX('Lease Cycles'!$EM$24:$ES$24,1,DP282)+(1-'Lease Cycles'!$BE$24)*IF(DP283&lt;INDEX('Lease Cycles'!$FA$24:$FG$24,1,DP282),0,1-INDEX('Lease Cycles'!$EM$24:$ES$24,1,DP282)),IF(OR(INDEX('Lease Cycles'!$DY$24:$EE$24,1,DP282)=1,DP283&gt;0),1,1-INDEX('Lease Cycles'!$DD$24:$DJ$24,1,DP282))*((1-'Lease Cycles'!$AJ$24)*INDEX('Lease Cycles'!$FO$24:$FU$24,1,DP282)+(1-'Lease Cycles'!$BE$24)*(1-INDEX('Lease Cycles'!$FO$24:$FU$24,1,DP282)))),0)</f>
        <v>0</v>
      </c>
      <c r="DQ290" s="24">
        <f>IF(DQ284=1,'Lease Cycles'!$D$24*IF(INDEX('Lease Cycles'!$EF$24:$EL$24,1,DQ282)=1,(1-'Lease Cycles'!$AJ$24)*INDEX('Lease Cycles'!$EM$24:$ES$24,1,DQ282)+(1-'Lease Cycles'!$BE$24)*IF(DQ283&lt;INDEX('Lease Cycles'!$FA$24:$FG$24,1,DQ282),0,1-INDEX('Lease Cycles'!$EM$24:$ES$24,1,DQ282)),IF(OR(INDEX('Lease Cycles'!$DY$24:$EE$24,1,DQ282)=1,DQ283&gt;0),1,1-INDEX('Lease Cycles'!$DD$24:$DJ$24,1,DQ282))*((1-'Lease Cycles'!$AJ$24)*INDEX('Lease Cycles'!$FO$24:$FU$24,1,DQ282)+(1-'Lease Cycles'!$BE$24)*(1-INDEX('Lease Cycles'!$FO$24:$FU$24,1,DQ282)))),0)</f>
        <v>0</v>
      </c>
      <c r="DR290" s="24">
        <f>IF(DR284=1,'Lease Cycles'!$D$24*IF(INDEX('Lease Cycles'!$EF$24:$EL$24,1,DR282)=1,(1-'Lease Cycles'!$AJ$24)*INDEX('Lease Cycles'!$EM$24:$ES$24,1,DR282)+(1-'Lease Cycles'!$BE$24)*IF(DR283&lt;INDEX('Lease Cycles'!$FA$24:$FG$24,1,DR282),0,1-INDEX('Lease Cycles'!$EM$24:$ES$24,1,DR282)),IF(OR(INDEX('Lease Cycles'!$DY$24:$EE$24,1,DR282)=1,DR283&gt;0),1,1-INDEX('Lease Cycles'!$DD$24:$DJ$24,1,DR282))*((1-'Lease Cycles'!$AJ$24)*INDEX('Lease Cycles'!$FO$24:$FU$24,1,DR282)+(1-'Lease Cycles'!$BE$24)*(1-INDEX('Lease Cycles'!$FO$24:$FU$24,1,DR282)))),0)</f>
        <v>0</v>
      </c>
      <c r="DS290" s="24">
        <f>IF(DS284=1,'Lease Cycles'!$D$24*IF(INDEX('Lease Cycles'!$EF$24:$EL$24,1,DS282)=1,(1-'Lease Cycles'!$AJ$24)*INDEX('Lease Cycles'!$EM$24:$ES$24,1,DS282)+(1-'Lease Cycles'!$BE$24)*IF(DS283&lt;INDEX('Lease Cycles'!$FA$24:$FG$24,1,DS282),0,1-INDEX('Lease Cycles'!$EM$24:$ES$24,1,DS282)),IF(OR(INDEX('Lease Cycles'!$DY$24:$EE$24,1,DS282)=1,DS283&gt;0),1,1-INDEX('Lease Cycles'!$DD$24:$DJ$24,1,DS282))*((1-'Lease Cycles'!$AJ$24)*INDEX('Lease Cycles'!$FO$24:$FU$24,1,DS282)+(1-'Lease Cycles'!$BE$24)*(1-INDEX('Lease Cycles'!$FO$24:$FU$24,1,DS282)))),0)</f>
        <v>0</v>
      </c>
      <c r="DT290" s="24">
        <f>IF(DT284=1,'Lease Cycles'!$D$24*IF(INDEX('Lease Cycles'!$EF$24:$EL$24,1,DT282)=1,(1-'Lease Cycles'!$AJ$24)*INDEX('Lease Cycles'!$EM$24:$ES$24,1,DT282)+(1-'Lease Cycles'!$BE$24)*IF(DT283&lt;INDEX('Lease Cycles'!$FA$24:$FG$24,1,DT282),0,1-INDEX('Lease Cycles'!$EM$24:$ES$24,1,DT282)),IF(OR(INDEX('Lease Cycles'!$DY$24:$EE$24,1,DT282)=1,DT283&gt;0),1,1-INDEX('Lease Cycles'!$DD$24:$DJ$24,1,DT282))*((1-'Lease Cycles'!$AJ$24)*INDEX('Lease Cycles'!$FO$24:$FU$24,1,DT282)+(1-'Lease Cycles'!$BE$24)*(1-INDEX('Lease Cycles'!$FO$24:$FU$24,1,DT282)))),0)</f>
        <v>0</v>
      </c>
      <c r="DU290" s="24">
        <f>IF(DU284=1,'Lease Cycles'!$D$24*IF(INDEX('Lease Cycles'!$EF$24:$EL$24,1,DU282)=1,(1-'Lease Cycles'!$AJ$24)*INDEX('Lease Cycles'!$EM$24:$ES$24,1,DU282)+(1-'Lease Cycles'!$BE$24)*IF(DU283&lt;INDEX('Lease Cycles'!$FA$24:$FG$24,1,DU282),0,1-INDEX('Lease Cycles'!$EM$24:$ES$24,1,DU282)),IF(OR(INDEX('Lease Cycles'!$DY$24:$EE$24,1,DU282)=1,DU283&gt;0),1,1-INDEX('Lease Cycles'!$DD$24:$DJ$24,1,DU282))*((1-'Lease Cycles'!$AJ$24)*INDEX('Lease Cycles'!$FO$24:$FU$24,1,DU282)+(1-'Lease Cycles'!$BE$24)*(1-INDEX('Lease Cycles'!$FO$24:$FU$24,1,DU282)))),0)</f>
        <v>0</v>
      </c>
      <c r="DV290" s="24">
        <f>IF(DV284=1,'Lease Cycles'!$D$24*IF(INDEX('Lease Cycles'!$EF$24:$EL$24,1,DV282)=1,(1-'Lease Cycles'!$AJ$24)*INDEX('Lease Cycles'!$EM$24:$ES$24,1,DV282)+(1-'Lease Cycles'!$BE$24)*IF(DV283&lt;INDEX('Lease Cycles'!$FA$24:$FG$24,1,DV282),0,1-INDEX('Lease Cycles'!$EM$24:$ES$24,1,DV282)),IF(OR(INDEX('Lease Cycles'!$DY$24:$EE$24,1,DV282)=1,DV283&gt;0),1,1-INDEX('Lease Cycles'!$DD$24:$DJ$24,1,DV282))*((1-'Lease Cycles'!$AJ$24)*INDEX('Lease Cycles'!$FO$24:$FU$24,1,DV282)+(1-'Lease Cycles'!$BE$24)*(1-INDEX('Lease Cycles'!$FO$24:$FU$24,1,DV282)))),0)</f>
        <v>0</v>
      </c>
      <c r="DW290" s="24">
        <f>IF(DW284=1,'Lease Cycles'!$D$24*IF(INDEX('Lease Cycles'!$EF$24:$EL$24,1,DW282)=1,(1-'Lease Cycles'!$AJ$24)*INDEX('Lease Cycles'!$EM$24:$ES$24,1,DW282)+(1-'Lease Cycles'!$BE$24)*IF(DW283&lt;INDEX('Lease Cycles'!$FA$24:$FG$24,1,DW282),0,1-INDEX('Lease Cycles'!$EM$24:$ES$24,1,DW282)),IF(OR(INDEX('Lease Cycles'!$DY$24:$EE$24,1,DW282)=1,DW283&gt;0),1,1-INDEX('Lease Cycles'!$DD$24:$DJ$24,1,DW282))*((1-'Lease Cycles'!$AJ$24)*INDEX('Lease Cycles'!$FO$24:$FU$24,1,DW282)+(1-'Lease Cycles'!$BE$24)*(1-INDEX('Lease Cycles'!$FO$24:$FU$24,1,DW282)))),0)</f>
        <v>0</v>
      </c>
      <c r="DX290" s="24">
        <f>IF(DX284=1,'Lease Cycles'!$D$24*IF(INDEX('Lease Cycles'!$EF$24:$EL$24,1,DX282)=1,(1-'Lease Cycles'!$AJ$24)*INDEX('Lease Cycles'!$EM$24:$ES$24,1,DX282)+(1-'Lease Cycles'!$BE$24)*IF(DX283&lt;INDEX('Lease Cycles'!$FA$24:$FG$24,1,DX282),0,1-INDEX('Lease Cycles'!$EM$24:$ES$24,1,DX282)),IF(OR(INDEX('Lease Cycles'!$DY$24:$EE$24,1,DX282)=1,DX283&gt;0),1,1-INDEX('Lease Cycles'!$DD$24:$DJ$24,1,DX282))*((1-'Lease Cycles'!$AJ$24)*INDEX('Lease Cycles'!$FO$24:$FU$24,1,DX282)+(1-'Lease Cycles'!$BE$24)*(1-INDEX('Lease Cycles'!$FO$24:$FU$24,1,DX282)))),0)</f>
        <v>0</v>
      </c>
      <c r="DY290" s="24">
        <f>IF(DY284=1,'Lease Cycles'!$D$24*IF(INDEX('Lease Cycles'!$EF$24:$EL$24,1,DY282)=1,(1-'Lease Cycles'!$AJ$24)*INDEX('Lease Cycles'!$EM$24:$ES$24,1,DY282)+(1-'Lease Cycles'!$BE$24)*IF(DY283&lt;INDEX('Lease Cycles'!$FA$24:$FG$24,1,DY282),0,1-INDEX('Lease Cycles'!$EM$24:$ES$24,1,DY282)),IF(OR(INDEX('Lease Cycles'!$DY$24:$EE$24,1,DY282)=1,DY283&gt;0),1,1-INDEX('Lease Cycles'!$DD$24:$DJ$24,1,DY282))*((1-'Lease Cycles'!$AJ$24)*INDEX('Lease Cycles'!$FO$24:$FU$24,1,DY282)+(1-'Lease Cycles'!$BE$24)*(1-INDEX('Lease Cycles'!$FO$24:$FU$24,1,DY282)))),0)</f>
        <v>0</v>
      </c>
      <c r="DZ290" s="24">
        <f>IF(DZ284=1,'Lease Cycles'!$D$24*IF(INDEX('Lease Cycles'!$EF$24:$EL$24,1,DZ282)=1,(1-'Lease Cycles'!$AJ$24)*INDEX('Lease Cycles'!$EM$24:$ES$24,1,DZ282)+(1-'Lease Cycles'!$BE$24)*IF(DZ283&lt;INDEX('Lease Cycles'!$FA$24:$FG$24,1,DZ282),0,1-INDEX('Lease Cycles'!$EM$24:$ES$24,1,DZ282)),IF(OR(INDEX('Lease Cycles'!$DY$24:$EE$24,1,DZ282)=1,DZ283&gt;0),1,1-INDEX('Lease Cycles'!$DD$24:$DJ$24,1,DZ282))*((1-'Lease Cycles'!$AJ$24)*INDEX('Lease Cycles'!$FO$24:$FU$24,1,DZ282)+(1-'Lease Cycles'!$BE$24)*(1-INDEX('Lease Cycles'!$FO$24:$FU$24,1,DZ282)))),0)</f>
        <v>0</v>
      </c>
      <c r="EA290" s="24">
        <f>IF(EA284=1,'Lease Cycles'!$D$24*IF(INDEX('Lease Cycles'!$EF$24:$EL$24,1,EA282)=1,(1-'Lease Cycles'!$AJ$24)*INDEX('Lease Cycles'!$EM$24:$ES$24,1,EA282)+(1-'Lease Cycles'!$BE$24)*IF(EA283&lt;INDEX('Lease Cycles'!$FA$24:$FG$24,1,EA282),0,1-INDEX('Lease Cycles'!$EM$24:$ES$24,1,EA282)),IF(OR(INDEX('Lease Cycles'!$DY$24:$EE$24,1,EA282)=1,EA283&gt;0),1,1-INDEX('Lease Cycles'!$DD$24:$DJ$24,1,EA282))*((1-'Lease Cycles'!$AJ$24)*INDEX('Lease Cycles'!$FO$24:$FU$24,1,EA282)+(1-'Lease Cycles'!$BE$24)*(1-INDEX('Lease Cycles'!$FO$24:$FU$24,1,EA282)))),0)</f>
        <v>0</v>
      </c>
      <c r="EB290" s="24">
        <f>IF(EB284=1,'Lease Cycles'!$D$24*IF(INDEX('Lease Cycles'!$EF$24:$EL$24,1,EB282)=1,(1-'Lease Cycles'!$AJ$24)*INDEX('Lease Cycles'!$EM$24:$ES$24,1,EB282)+(1-'Lease Cycles'!$BE$24)*IF(EB283&lt;INDEX('Lease Cycles'!$FA$24:$FG$24,1,EB282),0,1-INDEX('Lease Cycles'!$EM$24:$ES$24,1,EB282)),IF(OR(INDEX('Lease Cycles'!$DY$24:$EE$24,1,EB282)=1,EB283&gt;0),1,1-INDEX('Lease Cycles'!$DD$24:$DJ$24,1,EB282))*((1-'Lease Cycles'!$AJ$24)*INDEX('Lease Cycles'!$FO$24:$FU$24,1,EB282)+(1-'Lease Cycles'!$BE$24)*(1-INDEX('Lease Cycles'!$FO$24:$FU$24,1,EB282)))),0)</f>
        <v>0</v>
      </c>
      <c r="EC290" s="24">
        <f>IF(EC284=1,'Lease Cycles'!$D$24*IF(INDEX('Lease Cycles'!$EF$24:$EL$24,1,EC282)=1,(1-'Lease Cycles'!$AJ$24)*INDEX('Lease Cycles'!$EM$24:$ES$24,1,EC282)+(1-'Lease Cycles'!$BE$24)*IF(EC283&lt;INDEX('Lease Cycles'!$FA$24:$FG$24,1,EC282),0,1-INDEX('Lease Cycles'!$EM$24:$ES$24,1,EC282)),IF(OR(INDEX('Lease Cycles'!$DY$24:$EE$24,1,EC282)=1,EC283&gt;0),1,1-INDEX('Lease Cycles'!$DD$24:$DJ$24,1,EC282))*((1-'Lease Cycles'!$AJ$24)*INDEX('Lease Cycles'!$FO$24:$FU$24,1,EC282)+(1-'Lease Cycles'!$BE$24)*(1-INDEX('Lease Cycles'!$FO$24:$FU$24,1,EC282)))),0)</f>
        <v>0</v>
      </c>
      <c r="ED290" s="24">
        <f>IF(ED284=1,'Lease Cycles'!$D$24*IF(INDEX('Lease Cycles'!$EF$24:$EL$24,1,ED282)=1,(1-'Lease Cycles'!$AJ$24)*INDEX('Lease Cycles'!$EM$24:$ES$24,1,ED282)+(1-'Lease Cycles'!$BE$24)*IF(ED283&lt;INDEX('Lease Cycles'!$FA$24:$FG$24,1,ED282),0,1-INDEX('Lease Cycles'!$EM$24:$ES$24,1,ED282)),IF(OR(INDEX('Lease Cycles'!$DY$24:$EE$24,1,ED282)=1,ED283&gt;0),1,1-INDEX('Lease Cycles'!$DD$24:$DJ$24,1,ED282))*((1-'Lease Cycles'!$AJ$24)*INDEX('Lease Cycles'!$FO$24:$FU$24,1,ED282)+(1-'Lease Cycles'!$BE$24)*(1-INDEX('Lease Cycles'!$FO$24:$FU$24,1,ED282)))),0)</f>
        <v>0</v>
      </c>
      <c r="EE290" s="24">
        <f>IF(EE284=1,'Lease Cycles'!$D$24*IF(INDEX('Lease Cycles'!$EF$24:$EL$24,1,EE282)=1,(1-'Lease Cycles'!$AJ$24)*INDEX('Lease Cycles'!$EM$24:$ES$24,1,EE282)+(1-'Lease Cycles'!$BE$24)*IF(EE283&lt;INDEX('Lease Cycles'!$FA$24:$FG$24,1,EE282),0,1-INDEX('Lease Cycles'!$EM$24:$ES$24,1,EE282)),IF(OR(INDEX('Lease Cycles'!$DY$24:$EE$24,1,EE282)=1,EE283&gt;0),1,1-INDEX('Lease Cycles'!$DD$24:$DJ$24,1,EE282))*((1-'Lease Cycles'!$AJ$24)*INDEX('Lease Cycles'!$FO$24:$FU$24,1,EE282)+(1-'Lease Cycles'!$BE$24)*(1-INDEX('Lease Cycles'!$FO$24:$FU$24,1,EE282)))),0)</f>
        <v>0</v>
      </c>
      <c r="EF290" s="24">
        <f>IF(EF284=1,'Lease Cycles'!$D$24*IF(INDEX('Lease Cycles'!$EF$24:$EL$24,1,EF282)=1,(1-'Lease Cycles'!$AJ$24)*INDEX('Lease Cycles'!$EM$24:$ES$24,1,EF282)+(1-'Lease Cycles'!$BE$24)*IF(EF283&lt;INDEX('Lease Cycles'!$FA$24:$FG$24,1,EF282),0,1-INDEX('Lease Cycles'!$EM$24:$ES$24,1,EF282)),IF(OR(INDEX('Lease Cycles'!$DY$24:$EE$24,1,EF282)=1,EF283&gt;0),1,1-INDEX('Lease Cycles'!$DD$24:$DJ$24,1,EF282))*((1-'Lease Cycles'!$AJ$24)*INDEX('Lease Cycles'!$FO$24:$FU$24,1,EF282)+(1-'Lease Cycles'!$BE$24)*(1-INDEX('Lease Cycles'!$FO$24:$FU$24,1,EF282)))),0)</f>
        <v>0</v>
      </c>
      <c r="EG290" s="24">
        <f>IF(EG284=1,'Lease Cycles'!$D$24*IF(INDEX('Lease Cycles'!$EF$24:$EL$24,1,EG282)=1,(1-'Lease Cycles'!$AJ$24)*INDEX('Lease Cycles'!$EM$24:$ES$24,1,EG282)+(1-'Lease Cycles'!$BE$24)*IF(EG283&lt;INDEX('Lease Cycles'!$FA$24:$FG$24,1,EG282),0,1-INDEX('Lease Cycles'!$EM$24:$ES$24,1,EG282)),IF(OR(INDEX('Lease Cycles'!$DY$24:$EE$24,1,EG282)=1,EG283&gt;0),1,1-INDEX('Lease Cycles'!$DD$24:$DJ$24,1,EG282))*((1-'Lease Cycles'!$AJ$24)*INDEX('Lease Cycles'!$FO$24:$FU$24,1,EG282)+(1-'Lease Cycles'!$BE$24)*(1-INDEX('Lease Cycles'!$FO$24:$FU$24,1,EG282)))),0)</f>
        <v>0</v>
      </c>
      <c r="EH290" s="24">
        <f>IF(EH284=1,'Lease Cycles'!$D$24*IF(INDEX('Lease Cycles'!$EF$24:$EL$24,1,EH282)=1,(1-'Lease Cycles'!$AJ$24)*INDEX('Lease Cycles'!$EM$24:$ES$24,1,EH282)+(1-'Lease Cycles'!$BE$24)*IF(EH283&lt;INDEX('Lease Cycles'!$FA$24:$FG$24,1,EH282),0,1-INDEX('Lease Cycles'!$EM$24:$ES$24,1,EH282)),IF(OR(INDEX('Lease Cycles'!$DY$24:$EE$24,1,EH282)=1,EH283&gt;0),1,1-INDEX('Lease Cycles'!$DD$24:$DJ$24,1,EH282))*((1-'Lease Cycles'!$AJ$24)*INDEX('Lease Cycles'!$FO$24:$FU$24,1,EH282)+(1-'Lease Cycles'!$BE$24)*(1-INDEX('Lease Cycles'!$FO$24:$FU$24,1,EH282)))),0)</f>
        <v>0</v>
      </c>
      <c r="EI290" s="24">
        <f>IF(EI284=1,'Lease Cycles'!$D$24*IF(INDEX('Lease Cycles'!$EF$24:$EL$24,1,EI282)=1,(1-'Lease Cycles'!$AJ$24)*INDEX('Lease Cycles'!$EM$24:$ES$24,1,EI282)+(1-'Lease Cycles'!$BE$24)*IF(EI283&lt;INDEX('Lease Cycles'!$FA$24:$FG$24,1,EI282),0,1-INDEX('Lease Cycles'!$EM$24:$ES$24,1,EI282)),IF(OR(INDEX('Lease Cycles'!$DY$24:$EE$24,1,EI282)=1,EI283&gt;0),1,1-INDEX('Lease Cycles'!$DD$24:$DJ$24,1,EI282))*((1-'Lease Cycles'!$AJ$24)*INDEX('Lease Cycles'!$FO$24:$FU$24,1,EI282)+(1-'Lease Cycles'!$BE$24)*(1-INDEX('Lease Cycles'!$FO$24:$FU$24,1,EI282)))),0)</f>
        <v>0</v>
      </c>
      <c r="EJ290" s="24">
        <f>IF(EJ284=1,'Lease Cycles'!$D$24*IF(INDEX('Lease Cycles'!$EF$24:$EL$24,1,EJ282)=1,(1-'Lease Cycles'!$AJ$24)*INDEX('Lease Cycles'!$EM$24:$ES$24,1,EJ282)+(1-'Lease Cycles'!$BE$24)*IF(EJ283&lt;INDEX('Lease Cycles'!$FA$24:$FG$24,1,EJ282),0,1-INDEX('Lease Cycles'!$EM$24:$ES$24,1,EJ282)),IF(OR(INDEX('Lease Cycles'!$DY$24:$EE$24,1,EJ282)=1,EJ283&gt;0),1,1-INDEX('Lease Cycles'!$DD$24:$DJ$24,1,EJ282))*((1-'Lease Cycles'!$AJ$24)*INDEX('Lease Cycles'!$FO$24:$FU$24,1,EJ282)+(1-'Lease Cycles'!$BE$24)*(1-INDEX('Lease Cycles'!$FO$24:$FU$24,1,EJ282)))),0)</f>
        <v>0</v>
      </c>
      <c r="EK290" s="24">
        <f>IF(EK284=1,'Lease Cycles'!$D$24*IF(INDEX('Lease Cycles'!$EF$24:$EL$24,1,EK282)=1,(1-'Lease Cycles'!$AJ$24)*INDEX('Lease Cycles'!$EM$24:$ES$24,1,EK282)+(1-'Lease Cycles'!$BE$24)*IF(EK283&lt;INDEX('Lease Cycles'!$FA$24:$FG$24,1,EK282),0,1-INDEX('Lease Cycles'!$EM$24:$ES$24,1,EK282)),IF(OR(INDEX('Lease Cycles'!$DY$24:$EE$24,1,EK282)=1,EK283&gt;0),1,1-INDEX('Lease Cycles'!$DD$24:$DJ$24,1,EK282))*((1-'Lease Cycles'!$AJ$24)*INDEX('Lease Cycles'!$FO$24:$FU$24,1,EK282)+(1-'Lease Cycles'!$BE$24)*(1-INDEX('Lease Cycles'!$FO$24:$FU$24,1,EK282)))),0)</f>
        <v>0</v>
      </c>
      <c r="EL290" s="24">
        <f>IF(EL284=1,'Lease Cycles'!$D$24*IF(INDEX('Lease Cycles'!$EF$24:$EL$24,1,EL282)=1,(1-'Lease Cycles'!$AJ$24)*INDEX('Lease Cycles'!$EM$24:$ES$24,1,EL282)+(1-'Lease Cycles'!$BE$24)*IF(EL283&lt;INDEX('Lease Cycles'!$FA$24:$FG$24,1,EL282),0,1-INDEX('Lease Cycles'!$EM$24:$ES$24,1,EL282)),IF(OR(INDEX('Lease Cycles'!$DY$24:$EE$24,1,EL282)=1,EL283&gt;0),1,1-INDEX('Lease Cycles'!$DD$24:$DJ$24,1,EL282))*((1-'Lease Cycles'!$AJ$24)*INDEX('Lease Cycles'!$FO$24:$FU$24,1,EL282)+(1-'Lease Cycles'!$BE$24)*(1-INDEX('Lease Cycles'!$FO$24:$FU$24,1,EL282)))),0)</f>
        <v>0</v>
      </c>
      <c r="EM290" s="24">
        <f>IF(EM284=1,'Lease Cycles'!$D$24*IF(INDEX('Lease Cycles'!$EF$24:$EL$24,1,EM282)=1,(1-'Lease Cycles'!$AJ$24)*INDEX('Lease Cycles'!$EM$24:$ES$24,1,EM282)+(1-'Lease Cycles'!$BE$24)*IF(EM283&lt;INDEX('Lease Cycles'!$FA$24:$FG$24,1,EM282),0,1-INDEX('Lease Cycles'!$EM$24:$ES$24,1,EM282)),IF(OR(INDEX('Lease Cycles'!$DY$24:$EE$24,1,EM282)=1,EM283&gt;0),1,1-INDEX('Lease Cycles'!$DD$24:$DJ$24,1,EM282))*((1-'Lease Cycles'!$AJ$24)*INDEX('Lease Cycles'!$FO$24:$FU$24,1,EM282)+(1-'Lease Cycles'!$BE$24)*(1-INDEX('Lease Cycles'!$FO$24:$FU$24,1,EM282)))),0)</f>
        <v>0</v>
      </c>
      <c r="EN290" s="24">
        <f>IF(EN284=1,'Lease Cycles'!$D$24*IF(INDEX('Lease Cycles'!$EF$24:$EL$24,1,EN282)=1,(1-'Lease Cycles'!$AJ$24)*INDEX('Lease Cycles'!$EM$24:$ES$24,1,EN282)+(1-'Lease Cycles'!$BE$24)*IF(EN283&lt;INDEX('Lease Cycles'!$FA$24:$FG$24,1,EN282),0,1-INDEX('Lease Cycles'!$EM$24:$ES$24,1,EN282)),IF(OR(INDEX('Lease Cycles'!$DY$24:$EE$24,1,EN282)=1,EN283&gt;0),1,1-INDEX('Lease Cycles'!$DD$24:$DJ$24,1,EN282))*((1-'Lease Cycles'!$AJ$24)*INDEX('Lease Cycles'!$FO$24:$FU$24,1,EN282)+(1-'Lease Cycles'!$BE$24)*(1-INDEX('Lease Cycles'!$FO$24:$FU$24,1,EN282)))),0)</f>
        <v>0</v>
      </c>
      <c r="EO290" s="24">
        <f>IF(EO284=1,'Lease Cycles'!$D$24*IF(INDEX('Lease Cycles'!$EF$24:$EL$24,1,EO282)=1,(1-'Lease Cycles'!$AJ$24)*INDEX('Lease Cycles'!$EM$24:$ES$24,1,EO282)+(1-'Lease Cycles'!$BE$24)*IF(EO283&lt;INDEX('Lease Cycles'!$FA$24:$FG$24,1,EO282),0,1-INDEX('Lease Cycles'!$EM$24:$ES$24,1,EO282)),IF(OR(INDEX('Lease Cycles'!$DY$24:$EE$24,1,EO282)=1,EO283&gt;0),1,1-INDEX('Lease Cycles'!$DD$24:$DJ$24,1,EO282))*((1-'Lease Cycles'!$AJ$24)*INDEX('Lease Cycles'!$FO$24:$FU$24,1,EO282)+(1-'Lease Cycles'!$BE$24)*(1-INDEX('Lease Cycles'!$FO$24:$FU$24,1,EO282)))),0)</f>
        <v>0</v>
      </c>
      <c r="EP290" s="24">
        <f>IF(EP284=1,'Lease Cycles'!$D$24*IF(INDEX('Lease Cycles'!$EF$24:$EL$24,1,EP282)=1,(1-'Lease Cycles'!$AJ$24)*INDEX('Lease Cycles'!$EM$24:$ES$24,1,EP282)+(1-'Lease Cycles'!$BE$24)*IF(EP283&lt;INDEX('Lease Cycles'!$FA$24:$FG$24,1,EP282),0,1-INDEX('Lease Cycles'!$EM$24:$ES$24,1,EP282)),IF(OR(INDEX('Lease Cycles'!$DY$24:$EE$24,1,EP282)=1,EP283&gt;0),1,1-INDEX('Lease Cycles'!$DD$24:$DJ$24,1,EP282))*((1-'Lease Cycles'!$AJ$24)*INDEX('Lease Cycles'!$FO$24:$FU$24,1,EP282)+(1-'Lease Cycles'!$BE$24)*(1-INDEX('Lease Cycles'!$FO$24:$FU$24,1,EP282)))),0)</f>
        <v>0</v>
      </c>
      <c r="EQ290" s="24">
        <f>IF(EQ284=1,'Lease Cycles'!$D$24*IF(INDEX('Lease Cycles'!$EF$24:$EL$24,1,EQ282)=1,(1-'Lease Cycles'!$AJ$24)*INDEX('Lease Cycles'!$EM$24:$ES$24,1,EQ282)+(1-'Lease Cycles'!$BE$24)*IF(EQ283&lt;INDEX('Lease Cycles'!$FA$24:$FG$24,1,EQ282),0,1-INDEX('Lease Cycles'!$EM$24:$ES$24,1,EQ282)),IF(OR(INDEX('Lease Cycles'!$DY$24:$EE$24,1,EQ282)=1,EQ283&gt;0),1,1-INDEX('Lease Cycles'!$DD$24:$DJ$24,1,EQ282))*((1-'Lease Cycles'!$AJ$24)*INDEX('Lease Cycles'!$FO$24:$FU$24,1,EQ282)+(1-'Lease Cycles'!$BE$24)*(1-INDEX('Lease Cycles'!$FO$24:$FU$24,1,EQ282)))),0)</f>
        <v>0</v>
      </c>
      <c r="ER290" s="24">
        <f>IF(ER284=1,'Lease Cycles'!$D$24*IF(INDEX('Lease Cycles'!$EF$24:$EL$24,1,ER282)=1,(1-'Lease Cycles'!$AJ$24)*INDEX('Lease Cycles'!$EM$24:$ES$24,1,ER282)+(1-'Lease Cycles'!$BE$24)*IF(ER283&lt;INDEX('Lease Cycles'!$FA$24:$FG$24,1,ER282),0,1-INDEX('Lease Cycles'!$EM$24:$ES$24,1,ER282)),IF(OR(INDEX('Lease Cycles'!$DY$24:$EE$24,1,ER282)=1,ER283&gt;0),1,1-INDEX('Lease Cycles'!$DD$24:$DJ$24,1,ER282))*((1-'Lease Cycles'!$AJ$24)*INDEX('Lease Cycles'!$FO$24:$FU$24,1,ER282)+(1-'Lease Cycles'!$BE$24)*(1-INDEX('Lease Cycles'!$FO$24:$FU$24,1,ER282)))),0)</f>
        <v>0</v>
      </c>
      <c r="ES290" s="24">
        <f>IF(ES284=1,'Lease Cycles'!$D$24*IF(INDEX('Lease Cycles'!$EF$24:$EL$24,1,ES282)=1,(1-'Lease Cycles'!$AJ$24)*INDEX('Lease Cycles'!$EM$24:$ES$24,1,ES282)+(1-'Lease Cycles'!$BE$24)*IF(ES283&lt;INDEX('Lease Cycles'!$FA$24:$FG$24,1,ES282),0,1-INDEX('Lease Cycles'!$EM$24:$ES$24,1,ES282)),IF(OR(INDEX('Lease Cycles'!$DY$24:$EE$24,1,ES282)=1,ES283&gt;0),1,1-INDEX('Lease Cycles'!$DD$24:$DJ$24,1,ES282))*((1-'Lease Cycles'!$AJ$24)*INDEX('Lease Cycles'!$FO$24:$FU$24,1,ES282)+(1-'Lease Cycles'!$BE$24)*(1-INDEX('Lease Cycles'!$FO$24:$FU$24,1,ES282)))),0)</f>
        <v>0</v>
      </c>
      <c r="ET290" s="24">
        <f>IF(ET284=1,'Lease Cycles'!$D$24*IF(INDEX('Lease Cycles'!$EF$24:$EL$24,1,ET282)=1,(1-'Lease Cycles'!$AJ$24)*INDEX('Lease Cycles'!$EM$24:$ES$24,1,ET282)+(1-'Lease Cycles'!$BE$24)*IF(ET283&lt;INDEX('Lease Cycles'!$FA$24:$FG$24,1,ET282),0,1-INDEX('Lease Cycles'!$EM$24:$ES$24,1,ET282)),IF(OR(INDEX('Lease Cycles'!$DY$24:$EE$24,1,ET282)=1,ET283&gt;0),1,1-INDEX('Lease Cycles'!$DD$24:$DJ$24,1,ET282))*((1-'Lease Cycles'!$AJ$24)*INDEX('Lease Cycles'!$FO$24:$FU$24,1,ET282)+(1-'Lease Cycles'!$BE$24)*(1-INDEX('Lease Cycles'!$FO$24:$FU$24,1,ET282)))),0)</f>
        <v>0</v>
      </c>
    </row>
    <row r="291">
      <c r="A291" s="103">
        <v>17</v>
      </c>
      <c r="B291" s="23" t="str">
        <f>IF('Lease Cycles'!$B$24="","(empty slot)",'Lease Cycles'!$B$24)</f>
        <v>(empty slot)</v>
      </c>
      <c r="C291" s="23" t="s">
        <v>685</v>
      </c>
      <c r="D291" s="104" t="s">
        <v>686</v>
      </c>
      <c r="E291" s="25">
        <f>'Lease Cycles'!$AL$24</f>
        <v>0</v>
      </c>
      <c r="G291" s="24">
        <f>SUM(S291:AD291)</f>
        <v>0</v>
      </c>
      <c r="H291" s="24">
        <f>SUM(AE291:AP291)</f>
        <v>0</v>
      </c>
      <c r="I291" s="24">
        <f>SUM(AQ291:BB291)</f>
        <v>0</v>
      </c>
      <c r="J291" s="24">
        <f>SUM(BC291:BN291)</f>
        <v>0</v>
      </c>
      <c r="K291" s="24">
        <f>SUM(BO291:BZ291)</f>
        <v>0</v>
      </c>
      <c r="L291" s="24">
        <f>SUM(CA291:CL291)</f>
        <v>0</v>
      </c>
      <c r="M291" s="24">
        <f>SUM(CM291:CX291)</f>
        <v>0</v>
      </c>
      <c r="N291" s="24">
        <f>SUM(CY291:DJ291)</f>
        <v>0</v>
      </c>
      <c r="O291" s="24">
        <f>SUM(DK291:DV291)</f>
        <v>0</v>
      </c>
      <c r="P291" s="24">
        <f>SUM(DW291:EH291)</f>
        <v>0</v>
      </c>
      <c r="Q291" s="24">
        <f>SUM(EI291:ET291)</f>
        <v>0</v>
      </c>
      <c r="S291" s="24">
        <f>IF(S284=1,IF('Lease Cycles'!$AJ$24=1,0,'Lease Cycles'!$D$24*INDEX('Lease Cycles'!$FH$24:$FN$24,1,S282)*IF(INDEX('Lease Cycles'!$EF$24:$EL$24,1,S282)=1,1,IF(OR(INDEX('Lease Cycles'!$DY$24:$EE$24,1,S282)=1,S283&gt;0),1,1-INDEX('Lease Cycles'!$DD$24:$DJ$24,1,S282)))),0)</f>
        <v>0</v>
      </c>
      <c r="T291" s="24">
        <f>IF(T284=1,IF('Lease Cycles'!$AJ$24=1,0,'Lease Cycles'!$D$24*INDEX('Lease Cycles'!$FH$24:$FN$24,1,T282)*IF(INDEX('Lease Cycles'!$EF$24:$EL$24,1,T282)=1,1,IF(OR(INDEX('Lease Cycles'!$DY$24:$EE$24,1,T282)=1,T283&gt;0),1,1-INDEX('Lease Cycles'!$DD$24:$DJ$24,1,T282)))),0)</f>
        <v>0</v>
      </c>
      <c r="U291" s="24">
        <f>IF(U284=1,IF('Lease Cycles'!$AJ$24=1,0,'Lease Cycles'!$D$24*INDEX('Lease Cycles'!$FH$24:$FN$24,1,U282)*IF(INDEX('Lease Cycles'!$EF$24:$EL$24,1,U282)=1,1,IF(OR(INDEX('Lease Cycles'!$DY$24:$EE$24,1,U282)=1,U283&gt;0),1,1-INDEX('Lease Cycles'!$DD$24:$DJ$24,1,U282)))),0)</f>
        <v>0</v>
      </c>
      <c r="V291" s="24">
        <f>IF(V284=1,IF('Lease Cycles'!$AJ$24=1,0,'Lease Cycles'!$D$24*INDEX('Lease Cycles'!$FH$24:$FN$24,1,V282)*IF(INDEX('Lease Cycles'!$EF$24:$EL$24,1,V282)=1,1,IF(OR(INDEX('Lease Cycles'!$DY$24:$EE$24,1,V282)=1,V283&gt;0),1,1-INDEX('Lease Cycles'!$DD$24:$DJ$24,1,V282)))),0)</f>
        <v>0</v>
      </c>
      <c r="W291" s="24">
        <f>IF(W284=1,IF('Lease Cycles'!$AJ$24=1,0,'Lease Cycles'!$D$24*INDEX('Lease Cycles'!$FH$24:$FN$24,1,W282)*IF(INDEX('Lease Cycles'!$EF$24:$EL$24,1,W282)=1,1,IF(OR(INDEX('Lease Cycles'!$DY$24:$EE$24,1,W282)=1,W283&gt;0),1,1-INDEX('Lease Cycles'!$DD$24:$DJ$24,1,W282)))),0)</f>
        <v>0</v>
      </c>
      <c r="X291" s="24">
        <f>IF(X284=1,IF('Lease Cycles'!$AJ$24=1,0,'Lease Cycles'!$D$24*INDEX('Lease Cycles'!$FH$24:$FN$24,1,X282)*IF(INDEX('Lease Cycles'!$EF$24:$EL$24,1,X282)=1,1,IF(OR(INDEX('Lease Cycles'!$DY$24:$EE$24,1,X282)=1,X283&gt;0),1,1-INDEX('Lease Cycles'!$DD$24:$DJ$24,1,X282)))),0)</f>
        <v>0</v>
      </c>
      <c r="Y291" s="24">
        <f>IF(Y284=1,IF('Lease Cycles'!$AJ$24=1,0,'Lease Cycles'!$D$24*INDEX('Lease Cycles'!$FH$24:$FN$24,1,Y282)*IF(INDEX('Lease Cycles'!$EF$24:$EL$24,1,Y282)=1,1,IF(OR(INDEX('Lease Cycles'!$DY$24:$EE$24,1,Y282)=1,Y283&gt;0),1,1-INDEX('Lease Cycles'!$DD$24:$DJ$24,1,Y282)))),0)</f>
        <v>0</v>
      </c>
      <c r="Z291" s="24">
        <f>IF(Z284=1,IF('Lease Cycles'!$AJ$24=1,0,'Lease Cycles'!$D$24*INDEX('Lease Cycles'!$FH$24:$FN$24,1,Z282)*IF(INDEX('Lease Cycles'!$EF$24:$EL$24,1,Z282)=1,1,IF(OR(INDEX('Lease Cycles'!$DY$24:$EE$24,1,Z282)=1,Z283&gt;0),1,1-INDEX('Lease Cycles'!$DD$24:$DJ$24,1,Z282)))),0)</f>
        <v>0</v>
      </c>
      <c r="AA291" s="24">
        <f>IF(AA284=1,IF('Lease Cycles'!$AJ$24=1,0,'Lease Cycles'!$D$24*INDEX('Lease Cycles'!$FH$24:$FN$24,1,AA282)*IF(INDEX('Lease Cycles'!$EF$24:$EL$24,1,AA282)=1,1,IF(OR(INDEX('Lease Cycles'!$DY$24:$EE$24,1,AA282)=1,AA283&gt;0),1,1-INDEX('Lease Cycles'!$DD$24:$DJ$24,1,AA282)))),0)</f>
        <v>0</v>
      </c>
      <c r="AB291" s="24">
        <f>IF(AB284=1,IF('Lease Cycles'!$AJ$24=1,0,'Lease Cycles'!$D$24*INDEX('Lease Cycles'!$FH$24:$FN$24,1,AB282)*IF(INDEX('Lease Cycles'!$EF$24:$EL$24,1,AB282)=1,1,IF(OR(INDEX('Lease Cycles'!$DY$24:$EE$24,1,AB282)=1,AB283&gt;0),1,1-INDEX('Lease Cycles'!$DD$24:$DJ$24,1,AB282)))),0)</f>
        <v>0</v>
      </c>
      <c r="AC291" s="24">
        <f>IF(AC284=1,IF('Lease Cycles'!$AJ$24=1,0,'Lease Cycles'!$D$24*INDEX('Lease Cycles'!$FH$24:$FN$24,1,AC282)*IF(INDEX('Lease Cycles'!$EF$24:$EL$24,1,AC282)=1,1,IF(OR(INDEX('Lease Cycles'!$DY$24:$EE$24,1,AC282)=1,AC283&gt;0),1,1-INDEX('Lease Cycles'!$DD$24:$DJ$24,1,AC282)))),0)</f>
        <v>0</v>
      </c>
      <c r="AD291" s="24">
        <f>IF(AD284=1,IF('Lease Cycles'!$AJ$24=1,0,'Lease Cycles'!$D$24*INDEX('Lease Cycles'!$FH$24:$FN$24,1,AD282)*IF(INDEX('Lease Cycles'!$EF$24:$EL$24,1,AD282)=1,1,IF(OR(INDEX('Lease Cycles'!$DY$24:$EE$24,1,AD282)=1,AD283&gt;0),1,1-INDEX('Lease Cycles'!$DD$24:$DJ$24,1,AD282)))),0)</f>
        <v>0</v>
      </c>
      <c r="AE291" s="24">
        <f>IF(AE284=1,IF('Lease Cycles'!$AJ$24=1,0,'Lease Cycles'!$D$24*INDEX('Lease Cycles'!$FH$24:$FN$24,1,AE282)*IF(INDEX('Lease Cycles'!$EF$24:$EL$24,1,AE282)=1,1,IF(OR(INDEX('Lease Cycles'!$DY$24:$EE$24,1,AE282)=1,AE283&gt;0),1,1-INDEX('Lease Cycles'!$DD$24:$DJ$24,1,AE282)))),0)</f>
        <v>0</v>
      </c>
      <c r="AF291" s="24">
        <f>IF(AF284=1,IF('Lease Cycles'!$AJ$24=1,0,'Lease Cycles'!$D$24*INDEX('Lease Cycles'!$FH$24:$FN$24,1,AF282)*IF(INDEX('Lease Cycles'!$EF$24:$EL$24,1,AF282)=1,1,IF(OR(INDEX('Lease Cycles'!$DY$24:$EE$24,1,AF282)=1,AF283&gt;0),1,1-INDEX('Lease Cycles'!$DD$24:$DJ$24,1,AF282)))),0)</f>
        <v>0</v>
      </c>
      <c r="AG291" s="24">
        <f>IF(AG284=1,IF('Lease Cycles'!$AJ$24=1,0,'Lease Cycles'!$D$24*INDEX('Lease Cycles'!$FH$24:$FN$24,1,AG282)*IF(INDEX('Lease Cycles'!$EF$24:$EL$24,1,AG282)=1,1,IF(OR(INDEX('Lease Cycles'!$DY$24:$EE$24,1,AG282)=1,AG283&gt;0),1,1-INDEX('Lease Cycles'!$DD$24:$DJ$24,1,AG282)))),0)</f>
        <v>0</v>
      </c>
      <c r="AH291" s="24">
        <f>IF(AH284=1,IF('Lease Cycles'!$AJ$24=1,0,'Lease Cycles'!$D$24*INDEX('Lease Cycles'!$FH$24:$FN$24,1,AH282)*IF(INDEX('Lease Cycles'!$EF$24:$EL$24,1,AH282)=1,1,IF(OR(INDEX('Lease Cycles'!$DY$24:$EE$24,1,AH282)=1,AH283&gt;0),1,1-INDEX('Lease Cycles'!$DD$24:$DJ$24,1,AH282)))),0)</f>
        <v>0</v>
      </c>
      <c r="AI291" s="24">
        <f>IF(AI284=1,IF('Lease Cycles'!$AJ$24=1,0,'Lease Cycles'!$D$24*INDEX('Lease Cycles'!$FH$24:$FN$24,1,AI282)*IF(INDEX('Lease Cycles'!$EF$24:$EL$24,1,AI282)=1,1,IF(OR(INDEX('Lease Cycles'!$DY$24:$EE$24,1,AI282)=1,AI283&gt;0),1,1-INDEX('Lease Cycles'!$DD$24:$DJ$24,1,AI282)))),0)</f>
        <v>0</v>
      </c>
      <c r="AJ291" s="24">
        <f>IF(AJ284=1,IF('Lease Cycles'!$AJ$24=1,0,'Lease Cycles'!$D$24*INDEX('Lease Cycles'!$FH$24:$FN$24,1,AJ282)*IF(INDEX('Lease Cycles'!$EF$24:$EL$24,1,AJ282)=1,1,IF(OR(INDEX('Lease Cycles'!$DY$24:$EE$24,1,AJ282)=1,AJ283&gt;0),1,1-INDEX('Lease Cycles'!$DD$24:$DJ$24,1,AJ282)))),0)</f>
        <v>0</v>
      </c>
      <c r="AK291" s="24">
        <f>IF(AK284=1,IF('Lease Cycles'!$AJ$24=1,0,'Lease Cycles'!$D$24*INDEX('Lease Cycles'!$FH$24:$FN$24,1,AK282)*IF(INDEX('Lease Cycles'!$EF$24:$EL$24,1,AK282)=1,1,IF(OR(INDEX('Lease Cycles'!$DY$24:$EE$24,1,AK282)=1,AK283&gt;0),1,1-INDEX('Lease Cycles'!$DD$24:$DJ$24,1,AK282)))),0)</f>
        <v>0</v>
      </c>
      <c r="AL291" s="24">
        <f>IF(AL284=1,IF('Lease Cycles'!$AJ$24=1,0,'Lease Cycles'!$D$24*INDEX('Lease Cycles'!$FH$24:$FN$24,1,AL282)*IF(INDEX('Lease Cycles'!$EF$24:$EL$24,1,AL282)=1,1,IF(OR(INDEX('Lease Cycles'!$DY$24:$EE$24,1,AL282)=1,AL283&gt;0),1,1-INDEX('Lease Cycles'!$DD$24:$DJ$24,1,AL282)))),0)</f>
        <v>0</v>
      </c>
      <c r="AM291" s="24">
        <f>IF(AM284=1,IF('Lease Cycles'!$AJ$24=1,0,'Lease Cycles'!$D$24*INDEX('Lease Cycles'!$FH$24:$FN$24,1,AM282)*IF(INDEX('Lease Cycles'!$EF$24:$EL$24,1,AM282)=1,1,IF(OR(INDEX('Lease Cycles'!$DY$24:$EE$24,1,AM282)=1,AM283&gt;0),1,1-INDEX('Lease Cycles'!$DD$24:$DJ$24,1,AM282)))),0)</f>
        <v>0</v>
      </c>
      <c r="AN291" s="24">
        <f>IF(AN284=1,IF('Lease Cycles'!$AJ$24=1,0,'Lease Cycles'!$D$24*INDEX('Lease Cycles'!$FH$24:$FN$24,1,AN282)*IF(INDEX('Lease Cycles'!$EF$24:$EL$24,1,AN282)=1,1,IF(OR(INDEX('Lease Cycles'!$DY$24:$EE$24,1,AN282)=1,AN283&gt;0),1,1-INDEX('Lease Cycles'!$DD$24:$DJ$24,1,AN282)))),0)</f>
        <v>0</v>
      </c>
      <c r="AO291" s="24">
        <f>IF(AO284=1,IF('Lease Cycles'!$AJ$24=1,0,'Lease Cycles'!$D$24*INDEX('Lease Cycles'!$FH$24:$FN$24,1,AO282)*IF(INDEX('Lease Cycles'!$EF$24:$EL$24,1,AO282)=1,1,IF(OR(INDEX('Lease Cycles'!$DY$24:$EE$24,1,AO282)=1,AO283&gt;0),1,1-INDEX('Lease Cycles'!$DD$24:$DJ$24,1,AO282)))),0)</f>
        <v>0</v>
      </c>
      <c r="AP291" s="24">
        <f>IF(AP284=1,IF('Lease Cycles'!$AJ$24=1,0,'Lease Cycles'!$D$24*INDEX('Lease Cycles'!$FH$24:$FN$24,1,AP282)*IF(INDEX('Lease Cycles'!$EF$24:$EL$24,1,AP282)=1,1,IF(OR(INDEX('Lease Cycles'!$DY$24:$EE$24,1,AP282)=1,AP283&gt;0),1,1-INDEX('Lease Cycles'!$DD$24:$DJ$24,1,AP282)))),0)</f>
        <v>0</v>
      </c>
      <c r="AQ291" s="24">
        <f>IF(AQ284=1,IF('Lease Cycles'!$AJ$24=1,0,'Lease Cycles'!$D$24*INDEX('Lease Cycles'!$FH$24:$FN$24,1,AQ282)*IF(INDEX('Lease Cycles'!$EF$24:$EL$24,1,AQ282)=1,1,IF(OR(INDEX('Lease Cycles'!$DY$24:$EE$24,1,AQ282)=1,AQ283&gt;0),1,1-INDEX('Lease Cycles'!$DD$24:$DJ$24,1,AQ282)))),0)</f>
        <v>0</v>
      </c>
      <c r="AR291" s="24">
        <f>IF(AR284=1,IF('Lease Cycles'!$AJ$24=1,0,'Lease Cycles'!$D$24*INDEX('Lease Cycles'!$FH$24:$FN$24,1,AR282)*IF(INDEX('Lease Cycles'!$EF$24:$EL$24,1,AR282)=1,1,IF(OR(INDEX('Lease Cycles'!$DY$24:$EE$24,1,AR282)=1,AR283&gt;0),1,1-INDEX('Lease Cycles'!$DD$24:$DJ$24,1,AR282)))),0)</f>
        <v>0</v>
      </c>
      <c r="AS291" s="24">
        <f>IF(AS284=1,IF('Lease Cycles'!$AJ$24=1,0,'Lease Cycles'!$D$24*INDEX('Lease Cycles'!$FH$24:$FN$24,1,AS282)*IF(INDEX('Lease Cycles'!$EF$24:$EL$24,1,AS282)=1,1,IF(OR(INDEX('Lease Cycles'!$DY$24:$EE$24,1,AS282)=1,AS283&gt;0),1,1-INDEX('Lease Cycles'!$DD$24:$DJ$24,1,AS282)))),0)</f>
        <v>0</v>
      </c>
      <c r="AT291" s="24">
        <f>IF(AT284=1,IF('Lease Cycles'!$AJ$24=1,0,'Lease Cycles'!$D$24*INDEX('Lease Cycles'!$FH$24:$FN$24,1,AT282)*IF(INDEX('Lease Cycles'!$EF$24:$EL$24,1,AT282)=1,1,IF(OR(INDEX('Lease Cycles'!$DY$24:$EE$24,1,AT282)=1,AT283&gt;0),1,1-INDEX('Lease Cycles'!$DD$24:$DJ$24,1,AT282)))),0)</f>
        <v>0</v>
      </c>
      <c r="AU291" s="24">
        <f>IF(AU284=1,IF('Lease Cycles'!$AJ$24=1,0,'Lease Cycles'!$D$24*INDEX('Lease Cycles'!$FH$24:$FN$24,1,AU282)*IF(INDEX('Lease Cycles'!$EF$24:$EL$24,1,AU282)=1,1,IF(OR(INDEX('Lease Cycles'!$DY$24:$EE$24,1,AU282)=1,AU283&gt;0),1,1-INDEX('Lease Cycles'!$DD$24:$DJ$24,1,AU282)))),0)</f>
        <v>0</v>
      </c>
      <c r="AV291" s="24">
        <f>IF(AV284=1,IF('Lease Cycles'!$AJ$24=1,0,'Lease Cycles'!$D$24*INDEX('Lease Cycles'!$FH$24:$FN$24,1,AV282)*IF(INDEX('Lease Cycles'!$EF$24:$EL$24,1,AV282)=1,1,IF(OR(INDEX('Lease Cycles'!$DY$24:$EE$24,1,AV282)=1,AV283&gt;0),1,1-INDEX('Lease Cycles'!$DD$24:$DJ$24,1,AV282)))),0)</f>
        <v>0</v>
      </c>
      <c r="AW291" s="24">
        <f>IF(AW284=1,IF('Lease Cycles'!$AJ$24=1,0,'Lease Cycles'!$D$24*INDEX('Lease Cycles'!$FH$24:$FN$24,1,AW282)*IF(INDEX('Lease Cycles'!$EF$24:$EL$24,1,AW282)=1,1,IF(OR(INDEX('Lease Cycles'!$DY$24:$EE$24,1,AW282)=1,AW283&gt;0),1,1-INDEX('Lease Cycles'!$DD$24:$DJ$24,1,AW282)))),0)</f>
        <v>0</v>
      </c>
      <c r="AX291" s="24">
        <f>IF(AX284=1,IF('Lease Cycles'!$AJ$24=1,0,'Lease Cycles'!$D$24*INDEX('Lease Cycles'!$FH$24:$FN$24,1,AX282)*IF(INDEX('Lease Cycles'!$EF$24:$EL$24,1,AX282)=1,1,IF(OR(INDEX('Lease Cycles'!$DY$24:$EE$24,1,AX282)=1,AX283&gt;0),1,1-INDEX('Lease Cycles'!$DD$24:$DJ$24,1,AX282)))),0)</f>
        <v>0</v>
      </c>
      <c r="AY291" s="24">
        <f>IF(AY284=1,IF('Lease Cycles'!$AJ$24=1,0,'Lease Cycles'!$D$24*INDEX('Lease Cycles'!$FH$24:$FN$24,1,AY282)*IF(INDEX('Lease Cycles'!$EF$24:$EL$24,1,AY282)=1,1,IF(OR(INDEX('Lease Cycles'!$DY$24:$EE$24,1,AY282)=1,AY283&gt;0),1,1-INDEX('Lease Cycles'!$DD$24:$DJ$24,1,AY282)))),0)</f>
        <v>0</v>
      </c>
      <c r="AZ291" s="24">
        <f>IF(AZ284=1,IF('Lease Cycles'!$AJ$24=1,0,'Lease Cycles'!$D$24*INDEX('Lease Cycles'!$FH$24:$FN$24,1,AZ282)*IF(INDEX('Lease Cycles'!$EF$24:$EL$24,1,AZ282)=1,1,IF(OR(INDEX('Lease Cycles'!$DY$24:$EE$24,1,AZ282)=1,AZ283&gt;0),1,1-INDEX('Lease Cycles'!$DD$24:$DJ$24,1,AZ282)))),0)</f>
        <v>0</v>
      </c>
      <c r="BA291" s="24">
        <f>IF(BA284=1,IF('Lease Cycles'!$AJ$24=1,0,'Lease Cycles'!$D$24*INDEX('Lease Cycles'!$FH$24:$FN$24,1,BA282)*IF(INDEX('Lease Cycles'!$EF$24:$EL$24,1,BA282)=1,1,IF(OR(INDEX('Lease Cycles'!$DY$24:$EE$24,1,BA282)=1,BA283&gt;0),1,1-INDEX('Lease Cycles'!$DD$24:$DJ$24,1,BA282)))),0)</f>
        <v>0</v>
      </c>
      <c r="BB291" s="24">
        <f>IF(BB284=1,IF('Lease Cycles'!$AJ$24=1,0,'Lease Cycles'!$D$24*INDEX('Lease Cycles'!$FH$24:$FN$24,1,BB282)*IF(INDEX('Lease Cycles'!$EF$24:$EL$24,1,BB282)=1,1,IF(OR(INDEX('Lease Cycles'!$DY$24:$EE$24,1,BB282)=1,BB283&gt;0),1,1-INDEX('Lease Cycles'!$DD$24:$DJ$24,1,BB282)))),0)</f>
        <v>0</v>
      </c>
      <c r="BC291" s="24">
        <f>IF(BC284=1,IF('Lease Cycles'!$AJ$24=1,0,'Lease Cycles'!$D$24*INDEX('Lease Cycles'!$FH$24:$FN$24,1,BC282)*IF(INDEX('Lease Cycles'!$EF$24:$EL$24,1,BC282)=1,1,IF(OR(INDEX('Lease Cycles'!$DY$24:$EE$24,1,BC282)=1,BC283&gt;0),1,1-INDEX('Lease Cycles'!$DD$24:$DJ$24,1,BC282)))),0)</f>
        <v>0</v>
      </c>
      <c r="BD291" s="24">
        <f>IF(BD284=1,IF('Lease Cycles'!$AJ$24=1,0,'Lease Cycles'!$D$24*INDEX('Lease Cycles'!$FH$24:$FN$24,1,BD282)*IF(INDEX('Lease Cycles'!$EF$24:$EL$24,1,BD282)=1,1,IF(OR(INDEX('Lease Cycles'!$DY$24:$EE$24,1,BD282)=1,BD283&gt;0),1,1-INDEX('Lease Cycles'!$DD$24:$DJ$24,1,BD282)))),0)</f>
        <v>0</v>
      </c>
      <c r="BE291" s="24">
        <f>IF(BE284=1,IF('Lease Cycles'!$AJ$24=1,0,'Lease Cycles'!$D$24*INDEX('Lease Cycles'!$FH$24:$FN$24,1,BE282)*IF(INDEX('Lease Cycles'!$EF$24:$EL$24,1,BE282)=1,1,IF(OR(INDEX('Lease Cycles'!$DY$24:$EE$24,1,BE282)=1,BE283&gt;0),1,1-INDEX('Lease Cycles'!$DD$24:$DJ$24,1,BE282)))),0)</f>
        <v>0</v>
      </c>
      <c r="BF291" s="24">
        <f>IF(BF284=1,IF('Lease Cycles'!$AJ$24=1,0,'Lease Cycles'!$D$24*INDEX('Lease Cycles'!$FH$24:$FN$24,1,BF282)*IF(INDEX('Lease Cycles'!$EF$24:$EL$24,1,BF282)=1,1,IF(OR(INDEX('Lease Cycles'!$DY$24:$EE$24,1,BF282)=1,BF283&gt;0),1,1-INDEX('Lease Cycles'!$DD$24:$DJ$24,1,BF282)))),0)</f>
        <v>0</v>
      </c>
      <c r="BG291" s="24">
        <f>IF(BG284=1,IF('Lease Cycles'!$AJ$24=1,0,'Lease Cycles'!$D$24*INDEX('Lease Cycles'!$FH$24:$FN$24,1,BG282)*IF(INDEX('Lease Cycles'!$EF$24:$EL$24,1,BG282)=1,1,IF(OR(INDEX('Lease Cycles'!$DY$24:$EE$24,1,BG282)=1,BG283&gt;0),1,1-INDEX('Lease Cycles'!$DD$24:$DJ$24,1,BG282)))),0)</f>
        <v>0</v>
      </c>
      <c r="BH291" s="24">
        <f>IF(BH284=1,IF('Lease Cycles'!$AJ$24=1,0,'Lease Cycles'!$D$24*INDEX('Lease Cycles'!$FH$24:$FN$24,1,BH282)*IF(INDEX('Lease Cycles'!$EF$24:$EL$24,1,BH282)=1,1,IF(OR(INDEX('Lease Cycles'!$DY$24:$EE$24,1,BH282)=1,BH283&gt;0),1,1-INDEX('Lease Cycles'!$DD$24:$DJ$24,1,BH282)))),0)</f>
        <v>0</v>
      </c>
      <c r="BI291" s="24">
        <f>IF(BI284=1,IF('Lease Cycles'!$AJ$24=1,0,'Lease Cycles'!$D$24*INDEX('Lease Cycles'!$FH$24:$FN$24,1,BI282)*IF(INDEX('Lease Cycles'!$EF$24:$EL$24,1,BI282)=1,1,IF(OR(INDEX('Lease Cycles'!$DY$24:$EE$24,1,BI282)=1,BI283&gt;0),1,1-INDEX('Lease Cycles'!$DD$24:$DJ$24,1,BI282)))),0)</f>
        <v>0</v>
      </c>
      <c r="BJ291" s="24">
        <f>IF(BJ284=1,IF('Lease Cycles'!$AJ$24=1,0,'Lease Cycles'!$D$24*INDEX('Lease Cycles'!$FH$24:$FN$24,1,BJ282)*IF(INDEX('Lease Cycles'!$EF$24:$EL$24,1,BJ282)=1,1,IF(OR(INDEX('Lease Cycles'!$DY$24:$EE$24,1,BJ282)=1,BJ283&gt;0),1,1-INDEX('Lease Cycles'!$DD$24:$DJ$24,1,BJ282)))),0)</f>
        <v>0</v>
      </c>
      <c r="BK291" s="24">
        <f>IF(BK284=1,IF('Lease Cycles'!$AJ$24=1,0,'Lease Cycles'!$D$24*INDEX('Lease Cycles'!$FH$24:$FN$24,1,BK282)*IF(INDEX('Lease Cycles'!$EF$24:$EL$24,1,BK282)=1,1,IF(OR(INDEX('Lease Cycles'!$DY$24:$EE$24,1,BK282)=1,BK283&gt;0),1,1-INDEX('Lease Cycles'!$DD$24:$DJ$24,1,BK282)))),0)</f>
        <v>0</v>
      </c>
      <c r="BL291" s="24">
        <f>IF(BL284=1,IF('Lease Cycles'!$AJ$24=1,0,'Lease Cycles'!$D$24*INDEX('Lease Cycles'!$FH$24:$FN$24,1,BL282)*IF(INDEX('Lease Cycles'!$EF$24:$EL$24,1,BL282)=1,1,IF(OR(INDEX('Lease Cycles'!$DY$24:$EE$24,1,BL282)=1,BL283&gt;0),1,1-INDEX('Lease Cycles'!$DD$24:$DJ$24,1,BL282)))),0)</f>
        <v>0</v>
      </c>
      <c r="BM291" s="24">
        <f>IF(BM284=1,IF('Lease Cycles'!$AJ$24=1,0,'Lease Cycles'!$D$24*INDEX('Lease Cycles'!$FH$24:$FN$24,1,BM282)*IF(INDEX('Lease Cycles'!$EF$24:$EL$24,1,BM282)=1,1,IF(OR(INDEX('Lease Cycles'!$DY$24:$EE$24,1,BM282)=1,BM283&gt;0),1,1-INDEX('Lease Cycles'!$DD$24:$DJ$24,1,BM282)))),0)</f>
        <v>0</v>
      </c>
      <c r="BN291" s="24">
        <f>IF(BN284=1,IF('Lease Cycles'!$AJ$24=1,0,'Lease Cycles'!$D$24*INDEX('Lease Cycles'!$FH$24:$FN$24,1,BN282)*IF(INDEX('Lease Cycles'!$EF$24:$EL$24,1,BN282)=1,1,IF(OR(INDEX('Lease Cycles'!$DY$24:$EE$24,1,BN282)=1,BN283&gt;0),1,1-INDEX('Lease Cycles'!$DD$24:$DJ$24,1,BN282)))),0)</f>
        <v>0</v>
      </c>
      <c r="BO291" s="24">
        <f>IF(BO284=1,IF('Lease Cycles'!$AJ$24=1,0,'Lease Cycles'!$D$24*INDEX('Lease Cycles'!$FH$24:$FN$24,1,BO282)*IF(INDEX('Lease Cycles'!$EF$24:$EL$24,1,BO282)=1,1,IF(OR(INDEX('Lease Cycles'!$DY$24:$EE$24,1,BO282)=1,BO283&gt;0),1,1-INDEX('Lease Cycles'!$DD$24:$DJ$24,1,BO282)))),0)</f>
        <v>0</v>
      </c>
      <c r="BP291" s="24">
        <f>IF(BP284=1,IF('Lease Cycles'!$AJ$24=1,0,'Lease Cycles'!$D$24*INDEX('Lease Cycles'!$FH$24:$FN$24,1,BP282)*IF(INDEX('Lease Cycles'!$EF$24:$EL$24,1,BP282)=1,1,IF(OR(INDEX('Lease Cycles'!$DY$24:$EE$24,1,BP282)=1,BP283&gt;0),1,1-INDEX('Lease Cycles'!$DD$24:$DJ$24,1,BP282)))),0)</f>
        <v>0</v>
      </c>
      <c r="BQ291" s="24">
        <f>IF(BQ284=1,IF('Lease Cycles'!$AJ$24=1,0,'Lease Cycles'!$D$24*INDEX('Lease Cycles'!$FH$24:$FN$24,1,BQ282)*IF(INDEX('Lease Cycles'!$EF$24:$EL$24,1,BQ282)=1,1,IF(OR(INDEX('Lease Cycles'!$DY$24:$EE$24,1,BQ282)=1,BQ283&gt;0),1,1-INDEX('Lease Cycles'!$DD$24:$DJ$24,1,BQ282)))),0)</f>
        <v>0</v>
      </c>
      <c r="BR291" s="24">
        <f>IF(BR284=1,IF('Lease Cycles'!$AJ$24=1,0,'Lease Cycles'!$D$24*INDEX('Lease Cycles'!$FH$24:$FN$24,1,BR282)*IF(INDEX('Lease Cycles'!$EF$24:$EL$24,1,BR282)=1,1,IF(OR(INDEX('Lease Cycles'!$DY$24:$EE$24,1,BR282)=1,BR283&gt;0),1,1-INDEX('Lease Cycles'!$DD$24:$DJ$24,1,BR282)))),0)</f>
        <v>0</v>
      </c>
      <c r="BS291" s="24">
        <f>IF(BS284=1,IF('Lease Cycles'!$AJ$24=1,0,'Lease Cycles'!$D$24*INDEX('Lease Cycles'!$FH$24:$FN$24,1,BS282)*IF(INDEX('Lease Cycles'!$EF$24:$EL$24,1,BS282)=1,1,IF(OR(INDEX('Lease Cycles'!$DY$24:$EE$24,1,BS282)=1,BS283&gt;0),1,1-INDEX('Lease Cycles'!$DD$24:$DJ$24,1,BS282)))),0)</f>
        <v>0</v>
      </c>
      <c r="BT291" s="24">
        <f>IF(BT284=1,IF('Lease Cycles'!$AJ$24=1,0,'Lease Cycles'!$D$24*INDEX('Lease Cycles'!$FH$24:$FN$24,1,BT282)*IF(INDEX('Lease Cycles'!$EF$24:$EL$24,1,BT282)=1,1,IF(OR(INDEX('Lease Cycles'!$DY$24:$EE$24,1,BT282)=1,BT283&gt;0),1,1-INDEX('Lease Cycles'!$DD$24:$DJ$24,1,BT282)))),0)</f>
        <v>0</v>
      </c>
      <c r="BU291" s="24">
        <f>IF(BU284=1,IF('Lease Cycles'!$AJ$24=1,0,'Lease Cycles'!$D$24*INDEX('Lease Cycles'!$FH$24:$FN$24,1,BU282)*IF(INDEX('Lease Cycles'!$EF$24:$EL$24,1,BU282)=1,1,IF(OR(INDEX('Lease Cycles'!$DY$24:$EE$24,1,BU282)=1,BU283&gt;0),1,1-INDEX('Lease Cycles'!$DD$24:$DJ$24,1,BU282)))),0)</f>
        <v>0</v>
      </c>
      <c r="BV291" s="24">
        <f>IF(BV284=1,IF('Lease Cycles'!$AJ$24=1,0,'Lease Cycles'!$D$24*INDEX('Lease Cycles'!$FH$24:$FN$24,1,BV282)*IF(INDEX('Lease Cycles'!$EF$24:$EL$24,1,BV282)=1,1,IF(OR(INDEX('Lease Cycles'!$DY$24:$EE$24,1,BV282)=1,BV283&gt;0),1,1-INDEX('Lease Cycles'!$DD$24:$DJ$24,1,BV282)))),0)</f>
        <v>0</v>
      </c>
      <c r="BW291" s="24">
        <f>IF(BW284=1,IF('Lease Cycles'!$AJ$24=1,0,'Lease Cycles'!$D$24*INDEX('Lease Cycles'!$FH$24:$FN$24,1,BW282)*IF(INDEX('Lease Cycles'!$EF$24:$EL$24,1,BW282)=1,1,IF(OR(INDEX('Lease Cycles'!$DY$24:$EE$24,1,BW282)=1,BW283&gt;0),1,1-INDEX('Lease Cycles'!$DD$24:$DJ$24,1,BW282)))),0)</f>
        <v>0</v>
      </c>
      <c r="BX291" s="24">
        <f>IF(BX284=1,IF('Lease Cycles'!$AJ$24=1,0,'Lease Cycles'!$D$24*INDEX('Lease Cycles'!$FH$24:$FN$24,1,BX282)*IF(INDEX('Lease Cycles'!$EF$24:$EL$24,1,BX282)=1,1,IF(OR(INDEX('Lease Cycles'!$DY$24:$EE$24,1,BX282)=1,BX283&gt;0),1,1-INDEX('Lease Cycles'!$DD$24:$DJ$24,1,BX282)))),0)</f>
        <v>0</v>
      </c>
      <c r="BY291" s="24">
        <f>IF(BY284=1,IF('Lease Cycles'!$AJ$24=1,0,'Lease Cycles'!$D$24*INDEX('Lease Cycles'!$FH$24:$FN$24,1,BY282)*IF(INDEX('Lease Cycles'!$EF$24:$EL$24,1,BY282)=1,1,IF(OR(INDEX('Lease Cycles'!$DY$24:$EE$24,1,BY282)=1,BY283&gt;0),1,1-INDEX('Lease Cycles'!$DD$24:$DJ$24,1,BY282)))),0)</f>
        <v>0</v>
      </c>
      <c r="BZ291" s="24">
        <f>IF(BZ284=1,IF('Lease Cycles'!$AJ$24=1,0,'Lease Cycles'!$D$24*INDEX('Lease Cycles'!$FH$24:$FN$24,1,BZ282)*IF(INDEX('Lease Cycles'!$EF$24:$EL$24,1,BZ282)=1,1,IF(OR(INDEX('Lease Cycles'!$DY$24:$EE$24,1,BZ282)=1,BZ283&gt;0),1,1-INDEX('Lease Cycles'!$DD$24:$DJ$24,1,BZ282)))),0)</f>
        <v>0</v>
      </c>
      <c r="CA291" s="24">
        <f>IF(CA284=1,IF('Lease Cycles'!$AJ$24=1,0,'Lease Cycles'!$D$24*INDEX('Lease Cycles'!$FH$24:$FN$24,1,CA282)*IF(INDEX('Lease Cycles'!$EF$24:$EL$24,1,CA282)=1,1,IF(OR(INDEX('Lease Cycles'!$DY$24:$EE$24,1,CA282)=1,CA283&gt;0),1,1-INDEX('Lease Cycles'!$DD$24:$DJ$24,1,CA282)))),0)</f>
        <v>0</v>
      </c>
      <c r="CB291" s="24">
        <f>IF(CB284=1,IF('Lease Cycles'!$AJ$24=1,0,'Lease Cycles'!$D$24*INDEX('Lease Cycles'!$FH$24:$FN$24,1,CB282)*IF(INDEX('Lease Cycles'!$EF$24:$EL$24,1,CB282)=1,1,IF(OR(INDEX('Lease Cycles'!$DY$24:$EE$24,1,CB282)=1,CB283&gt;0),1,1-INDEX('Lease Cycles'!$DD$24:$DJ$24,1,CB282)))),0)</f>
        <v>0</v>
      </c>
      <c r="CC291" s="24">
        <f>IF(CC284=1,IF('Lease Cycles'!$AJ$24=1,0,'Lease Cycles'!$D$24*INDEX('Lease Cycles'!$FH$24:$FN$24,1,CC282)*IF(INDEX('Lease Cycles'!$EF$24:$EL$24,1,CC282)=1,1,IF(OR(INDEX('Lease Cycles'!$DY$24:$EE$24,1,CC282)=1,CC283&gt;0),1,1-INDEX('Lease Cycles'!$DD$24:$DJ$24,1,CC282)))),0)</f>
        <v>0</v>
      </c>
      <c r="CD291" s="24">
        <f>IF(CD284=1,IF('Lease Cycles'!$AJ$24=1,0,'Lease Cycles'!$D$24*INDEX('Lease Cycles'!$FH$24:$FN$24,1,CD282)*IF(INDEX('Lease Cycles'!$EF$24:$EL$24,1,CD282)=1,1,IF(OR(INDEX('Lease Cycles'!$DY$24:$EE$24,1,CD282)=1,CD283&gt;0),1,1-INDEX('Lease Cycles'!$DD$24:$DJ$24,1,CD282)))),0)</f>
        <v>0</v>
      </c>
      <c r="CE291" s="24">
        <f>IF(CE284=1,IF('Lease Cycles'!$AJ$24=1,0,'Lease Cycles'!$D$24*INDEX('Lease Cycles'!$FH$24:$FN$24,1,CE282)*IF(INDEX('Lease Cycles'!$EF$24:$EL$24,1,CE282)=1,1,IF(OR(INDEX('Lease Cycles'!$DY$24:$EE$24,1,CE282)=1,CE283&gt;0),1,1-INDEX('Lease Cycles'!$DD$24:$DJ$24,1,CE282)))),0)</f>
        <v>0</v>
      </c>
      <c r="CF291" s="24">
        <f>IF(CF284=1,IF('Lease Cycles'!$AJ$24=1,0,'Lease Cycles'!$D$24*INDEX('Lease Cycles'!$FH$24:$FN$24,1,CF282)*IF(INDEX('Lease Cycles'!$EF$24:$EL$24,1,CF282)=1,1,IF(OR(INDEX('Lease Cycles'!$DY$24:$EE$24,1,CF282)=1,CF283&gt;0),1,1-INDEX('Lease Cycles'!$DD$24:$DJ$24,1,CF282)))),0)</f>
        <v>0</v>
      </c>
      <c r="CG291" s="24">
        <f>IF(CG284=1,IF('Lease Cycles'!$AJ$24=1,0,'Lease Cycles'!$D$24*INDEX('Lease Cycles'!$FH$24:$FN$24,1,CG282)*IF(INDEX('Lease Cycles'!$EF$24:$EL$24,1,CG282)=1,1,IF(OR(INDEX('Lease Cycles'!$DY$24:$EE$24,1,CG282)=1,CG283&gt;0),1,1-INDEX('Lease Cycles'!$DD$24:$DJ$24,1,CG282)))),0)</f>
        <v>0</v>
      </c>
      <c r="CH291" s="24">
        <f>IF(CH284=1,IF('Lease Cycles'!$AJ$24=1,0,'Lease Cycles'!$D$24*INDEX('Lease Cycles'!$FH$24:$FN$24,1,CH282)*IF(INDEX('Lease Cycles'!$EF$24:$EL$24,1,CH282)=1,1,IF(OR(INDEX('Lease Cycles'!$DY$24:$EE$24,1,CH282)=1,CH283&gt;0),1,1-INDEX('Lease Cycles'!$DD$24:$DJ$24,1,CH282)))),0)</f>
        <v>0</v>
      </c>
      <c r="CI291" s="24">
        <f>IF(CI284=1,IF('Lease Cycles'!$AJ$24=1,0,'Lease Cycles'!$D$24*INDEX('Lease Cycles'!$FH$24:$FN$24,1,CI282)*IF(INDEX('Lease Cycles'!$EF$24:$EL$24,1,CI282)=1,1,IF(OR(INDEX('Lease Cycles'!$DY$24:$EE$24,1,CI282)=1,CI283&gt;0),1,1-INDEX('Lease Cycles'!$DD$24:$DJ$24,1,CI282)))),0)</f>
        <v>0</v>
      </c>
      <c r="CJ291" s="24">
        <f>IF(CJ284=1,IF('Lease Cycles'!$AJ$24=1,0,'Lease Cycles'!$D$24*INDEX('Lease Cycles'!$FH$24:$FN$24,1,CJ282)*IF(INDEX('Lease Cycles'!$EF$24:$EL$24,1,CJ282)=1,1,IF(OR(INDEX('Lease Cycles'!$DY$24:$EE$24,1,CJ282)=1,CJ283&gt;0),1,1-INDEX('Lease Cycles'!$DD$24:$DJ$24,1,CJ282)))),0)</f>
        <v>0</v>
      </c>
      <c r="CK291" s="24">
        <f>IF(CK284=1,IF('Lease Cycles'!$AJ$24=1,0,'Lease Cycles'!$D$24*INDEX('Lease Cycles'!$FH$24:$FN$24,1,CK282)*IF(INDEX('Lease Cycles'!$EF$24:$EL$24,1,CK282)=1,1,IF(OR(INDEX('Lease Cycles'!$DY$24:$EE$24,1,CK282)=1,CK283&gt;0),1,1-INDEX('Lease Cycles'!$DD$24:$DJ$24,1,CK282)))),0)</f>
        <v>0</v>
      </c>
      <c r="CL291" s="24">
        <f>IF(CL284=1,IF('Lease Cycles'!$AJ$24=1,0,'Lease Cycles'!$D$24*INDEX('Lease Cycles'!$FH$24:$FN$24,1,CL282)*IF(INDEX('Lease Cycles'!$EF$24:$EL$24,1,CL282)=1,1,IF(OR(INDEX('Lease Cycles'!$DY$24:$EE$24,1,CL282)=1,CL283&gt;0),1,1-INDEX('Lease Cycles'!$DD$24:$DJ$24,1,CL282)))),0)</f>
        <v>0</v>
      </c>
      <c r="CM291" s="24">
        <f>IF(CM284=1,IF('Lease Cycles'!$AJ$24=1,0,'Lease Cycles'!$D$24*INDEX('Lease Cycles'!$FH$24:$FN$24,1,CM282)*IF(INDEX('Lease Cycles'!$EF$24:$EL$24,1,CM282)=1,1,IF(OR(INDEX('Lease Cycles'!$DY$24:$EE$24,1,CM282)=1,CM283&gt;0),1,1-INDEX('Lease Cycles'!$DD$24:$DJ$24,1,CM282)))),0)</f>
        <v>0</v>
      </c>
      <c r="CN291" s="24">
        <f>IF(CN284=1,IF('Lease Cycles'!$AJ$24=1,0,'Lease Cycles'!$D$24*INDEX('Lease Cycles'!$FH$24:$FN$24,1,CN282)*IF(INDEX('Lease Cycles'!$EF$24:$EL$24,1,CN282)=1,1,IF(OR(INDEX('Lease Cycles'!$DY$24:$EE$24,1,CN282)=1,CN283&gt;0),1,1-INDEX('Lease Cycles'!$DD$24:$DJ$24,1,CN282)))),0)</f>
        <v>0</v>
      </c>
      <c r="CO291" s="24">
        <f>IF(CO284=1,IF('Lease Cycles'!$AJ$24=1,0,'Lease Cycles'!$D$24*INDEX('Lease Cycles'!$FH$24:$FN$24,1,CO282)*IF(INDEX('Lease Cycles'!$EF$24:$EL$24,1,CO282)=1,1,IF(OR(INDEX('Lease Cycles'!$DY$24:$EE$24,1,CO282)=1,CO283&gt;0),1,1-INDEX('Lease Cycles'!$DD$24:$DJ$24,1,CO282)))),0)</f>
        <v>0</v>
      </c>
      <c r="CP291" s="24">
        <f>IF(CP284=1,IF('Lease Cycles'!$AJ$24=1,0,'Lease Cycles'!$D$24*INDEX('Lease Cycles'!$FH$24:$FN$24,1,CP282)*IF(INDEX('Lease Cycles'!$EF$24:$EL$24,1,CP282)=1,1,IF(OR(INDEX('Lease Cycles'!$DY$24:$EE$24,1,CP282)=1,CP283&gt;0),1,1-INDEX('Lease Cycles'!$DD$24:$DJ$24,1,CP282)))),0)</f>
        <v>0</v>
      </c>
      <c r="CQ291" s="24">
        <f>IF(CQ284=1,IF('Lease Cycles'!$AJ$24=1,0,'Lease Cycles'!$D$24*INDEX('Lease Cycles'!$FH$24:$FN$24,1,CQ282)*IF(INDEX('Lease Cycles'!$EF$24:$EL$24,1,CQ282)=1,1,IF(OR(INDEX('Lease Cycles'!$DY$24:$EE$24,1,CQ282)=1,CQ283&gt;0),1,1-INDEX('Lease Cycles'!$DD$24:$DJ$24,1,CQ282)))),0)</f>
        <v>0</v>
      </c>
      <c r="CR291" s="24">
        <f>IF(CR284=1,IF('Lease Cycles'!$AJ$24=1,0,'Lease Cycles'!$D$24*INDEX('Lease Cycles'!$FH$24:$FN$24,1,CR282)*IF(INDEX('Lease Cycles'!$EF$24:$EL$24,1,CR282)=1,1,IF(OR(INDEX('Lease Cycles'!$DY$24:$EE$24,1,CR282)=1,CR283&gt;0),1,1-INDEX('Lease Cycles'!$DD$24:$DJ$24,1,CR282)))),0)</f>
        <v>0</v>
      </c>
      <c r="CS291" s="24">
        <f>IF(CS284=1,IF('Lease Cycles'!$AJ$24=1,0,'Lease Cycles'!$D$24*INDEX('Lease Cycles'!$FH$24:$FN$24,1,CS282)*IF(INDEX('Lease Cycles'!$EF$24:$EL$24,1,CS282)=1,1,IF(OR(INDEX('Lease Cycles'!$DY$24:$EE$24,1,CS282)=1,CS283&gt;0),1,1-INDEX('Lease Cycles'!$DD$24:$DJ$24,1,CS282)))),0)</f>
        <v>0</v>
      </c>
      <c r="CT291" s="24">
        <f>IF(CT284=1,IF('Lease Cycles'!$AJ$24=1,0,'Lease Cycles'!$D$24*INDEX('Lease Cycles'!$FH$24:$FN$24,1,CT282)*IF(INDEX('Lease Cycles'!$EF$24:$EL$24,1,CT282)=1,1,IF(OR(INDEX('Lease Cycles'!$DY$24:$EE$24,1,CT282)=1,CT283&gt;0),1,1-INDEX('Lease Cycles'!$DD$24:$DJ$24,1,CT282)))),0)</f>
        <v>0</v>
      </c>
      <c r="CU291" s="24">
        <f>IF(CU284=1,IF('Lease Cycles'!$AJ$24=1,0,'Lease Cycles'!$D$24*INDEX('Lease Cycles'!$FH$24:$FN$24,1,CU282)*IF(INDEX('Lease Cycles'!$EF$24:$EL$24,1,CU282)=1,1,IF(OR(INDEX('Lease Cycles'!$DY$24:$EE$24,1,CU282)=1,CU283&gt;0),1,1-INDEX('Lease Cycles'!$DD$24:$DJ$24,1,CU282)))),0)</f>
        <v>0</v>
      </c>
      <c r="CV291" s="24">
        <f>IF(CV284=1,IF('Lease Cycles'!$AJ$24=1,0,'Lease Cycles'!$D$24*INDEX('Lease Cycles'!$FH$24:$FN$24,1,CV282)*IF(INDEX('Lease Cycles'!$EF$24:$EL$24,1,CV282)=1,1,IF(OR(INDEX('Lease Cycles'!$DY$24:$EE$24,1,CV282)=1,CV283&gt;0),1,1-INDEX('Lease Cycles'!$DD$24:$DJ$24,1,CV282)))),0)</f>
        <v>0</v>
      </c>
      <c r="CW291" s="24">
        <f>IF(CW284=1,IF('Lease Cycles'!$AJ$24=1,0,'Lease Cycles'!$D$24*INDEX('Lease Cycles'!$FH$24:$FN$24,1,CW282)*IF(INDEX('Lease Cycles'!$EF$24:$EL$24,1,CW282)=1,1,IF(OR(INDEX('Lease Cycles'!$DY$24:$EE$24,1,CW282)=1,CW283&gt;0),1,1-INDEX('Lease Cycles'!$DD$24:$DJ$24,1,CW282)))),0)</f>
        <v>0</v>
      </c>
      <c r="CX291" s="24">
        <f>IF(CX284=1,IF('Lease Cycles'!$AJ$24=1,0,'Lease Cycles'!$D$24*INDEX('Lease Cycles'!$FH$24:$FN$24,1,CX282)*IF(INDEX('Lease Cycles'!$EF$24:$EL$24,1,CX282)=1,1,IF(OR(INDEX('Lease Cycles'!$DY$24:$EE$24,1,CX282)=1,CX283&gt;0),1,1-INDEX('Lease Cycles'!$DD$24:$DJ$24,1,CX282)))),0)</f>
        <v>0</v>
      </c>
      <c r="CY291" s="24">
        <f>IF(CY284=1,IF('Lease Cycles'!$AJ$24=1,0,'Lease Cycles'!$D$24*INDEX('Lease Cycles'!$FH$24:$FN$24,1,CY282)*IF(INDEX('Lease Cycles'!$EF$24:$EL$24,1,CY282)=1,1,IF(OR(INDEX('Lease Cycles'!$DY$24:$EE$24,1,CY282)=1,CY283&gt;0),1,1-INDEX('Lease Cycles'!$DD$24:$DJ$24,1,CY282)))),0)</f>
        <v>0</v>
      </c>
      <c r="CZ291" s="24">
        <f>IF(CZ284=1,IF('Lease Cycles'!$AJ$24=1,0,'Lease Cycles'!$D$24*INDEX('Lease Cycles'!$FH$24:$FN$24,1,CZ282)*IF(INDEX('Lease Cycles'!$EF$24:$EL$24,1,CZ282)=1,1,IF(OR(INDEX('Lease Cycles'!$DY$24:$EE$24,1,CZ282)=1,CZ283&gt;0),1,1-INDEX('Lease Cycles'!$DD$24:$DJ$24,1,CZ282)))),0)</f>
        <v>0</v>
      </c>
      <c r="DA291" s="24">
        <f>IF(DA284=1,IF('Lease Cycles'!$AJ$24=1,0,'Lease Cycles'!$D$24*INDEX('Lease Cycles'!$FH$24:$FN$24,1,DA282)*IF(INDEX('Lease Cycles'!$EF$24:$EL$24,1,DA282)=1,1,IF(OR(INDEX('Lease Cycles'!$DY$24:$EE$24,1,DA282)=1,DA283&gt;0),1,1-INDEX('Lease Cycles'!$DD$24:$DJ$24,1,DA282)))),0)</f>
        <v>0</v>
      </c>
      <c r="DB291" s="24">
        <f>IF(DB284=1,IF('Lease Cycles'!$AJ$24=1,0,'Lease Cycles'!$D$24*INDEX('Lease Cycles'!$FH$24:$FN$24,1,DB282)*IF(INDEX('Lease Cycles'!$EF$24:$EL$24,1,DB282)=1,1,IF(OR(INDEX('Lease Cycles'!$DY$24:$EE$24,1,DB282)=1,DB283&gt;0),1,1-INDEX('Lease Cycles'!$DD$24:$DJ$24,1,DB282)))),0)</f>
        <v>0</v>
      </c>
      <c r="DC291" s="24">
        <f>IF(DC284=1,IF('Lease Cycles'!$AJ$24=1,0,'Lease Cycles'!$D$24*INDEX('Lease Cycles'!$FH$24:$FN$24,1,DC282)*IF(INDEX('Lease Cycles'!$EF$24:$EL$24,1,DC282)=1,1,IF(OR(INDEX('Lease Cycles'!$DY$24:$EE$24,1,DC282)=1,DC283&gt;0),1,1-INDEX('Lease Cycles'!$DD$24:$DJ$24,1,DC282)))),0)</f>
        <v>0</v>
      </c>
      <c r="DD291" s="24">
        <f>IF(DD284=1,IF('Lease Cycles'!$AJ$24=1,0,'Lease Cycles'!$D$24*INDEX('Lease Cycles'!$FH$24:$FN$24,1,DD282)*IF(INDEX('Lease Cycles'!$EF$24:$EL$24,1,DD282)=1,1,IF(OR(INDEX('Lease Cycles'!$DY$24:$EE$24,1,DD282)=1,DD283&gt;0),1,1-INDEX('Lease Cycles'!$DD$24:$DJ$24,1,DD282)))),0)</f>
        <v>0</v>
      </c>
      <c r="DE291" s="24">
        <f>IF(DE284=1,IF('Lease Cycles'!$AJ$24=1,0,'Lease Cycles'!$D$24*INDEX('Lease Cycles'!$FH$24:$FN$24,1,DE282)*IF(INDEX('Lease Cycles'!$EF$24:$EL$24,1,DE282)=1,1,IF(OR(INDEX('Lease Cycles'!$DY$24:$EE$24,1,DE282)=1,DE283&gt;0),1,1-INDEX('Lease Cycles'!$DD$24:$DJ$24,1,DE282)))),0)</f>
        <v>0</v>
      </c>
      <c r="DF291" s="24">
        <f>IF(DF284=1,IF('Lease Cycles'!$AJ$24=1,0,'Lease Cycles'!$D$24*INDEX('Lease Cycles'!$FH$24:$FN$24,1,DF282)*IF(INDEX('Lease Cycles'!$EF$24:$EL$24,1,DF282)=1,1,IF(OR(INDEX('Lease Cycles'!$DY$24:$EE$24,1,DF282)=1,DF283&gt;0),1,1-INDEX('Lease Cycles'!$DD$24:$DJ$24,1,DF282)))),0)</f>
        <v>0</v>
      </c>
      <c r="DG291" s="24">
        <f>IF(DG284=1,IF('Lease Cycles'!$AJ$24=1,0,'Lease Cycles'!$D$24*INDEX('Lease Cycles'!$FH$24:$FN$24,1,DG282)*IF(INDEX('Lease Cycles'!$EF$24:$EL$24,1,DG282)=1,1,IF(OR(INDEX('Lease Cycles'!$DY$24:$EE$24,1,DG282)=1,DG283&gt;0),1,1-INDEX('Lease Cycles'!$DD$24:$DJ$24,1,DG282)))),0)</f>
        <v>0</v>
      </c>
      <c r="DH291" s="24">
        <f>IF(DH284=1,IF('Lease Cycles'!$AJ$24=1,0,'Lease Cycles'!$D$24*INDEX('Lease Cycles'!$FH$24:$FN$24,1,DH282)*IF(INDEX('Lease Cycles'!$EF$24:$EL$24,1,DH282)=1,1,IF(OR(INDEX('Lease Cycles'!$DY$24:$EE$24,1,DH282)=1,DH283&gt;0),1,1-INDEX('Lease Cycles'!$DD$24:$DJ$24,1,DH282)))),0)</f>
        <v>0</v>
      </c>
      <c r="DI291" s="24">
        <f>IF(DI284=1,IF('Lease Cycles'!$AJ$24=1,0,'Lease Cycles'!$D$24*INDEX('Lease Cycles'!$FH$24:$FN$24,1,DI282)*IF(INDEX('Lease Cycles'!$EF$24:$EL$24,1,DI282)=1,1,IF(OR(INDEX('Lease Cycles'!$DY$24:$EE$24,1,DI282)=1,DI283&gt;0),1,1-INDEX('Lease Cycles'!$DD$24:$DJ$24,1,DI282)))),0)</f>
        <v>0</v>
      </c>
      <c r="DJ291" s="24">
        <f>IF(DJ284=1,IF('Lease Cycles'!$AJ$24=1,0,'Lease Cycles'!$D$24*INDEX('Lease Cycles'!$FH$24:$FN$24,1,DJ282)*IF(INDEX('Lease Cycles'!$EF$24:$EL$24,1,DJ282)=1,1,IF(OR(INDEX('Lease Cycles'!$DY$24:$EE$24,1,DJ282)=1,DJ283&gt;0),1,1-INDEX('Lease Cycles'!$DD$24:$DJ$24,1,DJ282)))),0)</f>
        <v>0</v>
      </c>
      <c r="DK291" s="24">
        <f>IF(DK284=1,IF('Lease Cycles'!$AJ$24=1,0,'Lease Cycles'!$D$24*INDEX('Lease Cycles'!$FH$24:$FN$24,1,DK282)*IF(INDEX('Lease Cycles'!$EF$24:$EL$24,1,DK282)=1,1,IF(OR(INDEX('Lease Cycles'!$DY$24:$EE$24,1,DK282)=1,DK283&gt;0),1,1-INDEX('Lease Cycles'!$DD$24:$DJ$24,1,DK282)))),0)</f>
        <v>0</v>
      </c>
      <c r="DL291" s="24">
        <f>IF(DL284=1,IF('Lease Cycles'!$AJ$24=1,0,'Lease Cycles'!$D$24*INDEX('Lease Cycles'!$FH$24:$FN$24,1,DL282)*IF(INDEX('Lease Cycles'!$EF$24:$EL$24,1,DL282)=1,1,IF(OR(INDEX('Lease Cycles'!$DY$24:$EE$24,1,DL282)=1,DL283&gt;0),1,1-INDEX('Lease Cycles'!$DD$24:$DJ$24,1,DL282)))),0)</f>
        <v>0</v>
      </c>
      <c r="DM291" s="24">
        <f>IF(DM284=1,IF('Lease Cycles'!$AJ$24=1,0,'Lease Cycles'!$D$24*INDEX('Lease Cycles'!$FH$24:$FN$24,1,DM282)*IF(INDEX('Lease Cycles'!$EF$24:$EL$24,1,DM282)=1,1,IF(OR(INDEX('Lease Cycles'!$DY$24:$EE$24,1,DM282)=1,DM283&gt;0),1,1-INDEX('Lease Cycles'!$DD$24:$DJ$24,1,DM282)))),0)</f>
        <v>0</v>
      </c>
      <c r="DN291" s="24">
        <f>IF(DN284=1,IF('Lease Cycles'!$AJ$24=1,0,'Lease Cycles'!$D$24*INDEX('Lease Cycles'!$FH$24:$FN$24,1,DN282)*IF(INDEX('Lease Cycles'!$EF$24:$EL$24,1,DN282)=1,1,IF(OR(INDEX('Lease Cycles'!$DY$24:$EE$24,1,DN282)=1,DN283&gt;0),1,1-INDEX('Lease Cycles'!$DD$24:$DJ$24,1,DN282)))),0)</f>
        <v>0</v>
      </c>
      <c r="DO291" s="24">
        <f>IF(DO284=1,IF('Lease Cycles'!$AJ$24=1,0,'Lease Cycles'!$D$24*INDEX('Lease Cycles'!$FH$24:$FN$24,1,DO282)*IF(INDEX('Lease Cycles'!$EF$24:$EL$24,1,DO282)=1,1,IF(OR(INDEX('Lease Cycles'!$DY$24:$EE$24,1,DO282)=1,DO283&gt;0),1,1-INDEX('Lease Cycles'!$DD$24:$DJ$24,1,DO282)))),0)</f>
        <v>0</v>
      </c>
      <c r="DP291" s="24">
        <f>IF(DP284=1,IF('Lease Cycles'!$AJ$24=1,0,'Lease Cycles'!$D$24*INDEX('Lease Cycles'!$FH$24:$FN$24,1,DP282)*IF(INDEX('Lease Cycles'!$EF$24:$EL$24,1,DP282)=1,1,IF(OR(INDEX('Lease Cycles'!$DY$24:$EE$24,1,DP282)=1,DP283&gt;0),1,1-INDEX('Lease Cycles'!$DD$24:$DJ$24,1,DP282)))),0)</f>
        <v>0</v>
      </c>
      <c r="DQ291" s="24">
        <f>IF(DQ284=1,IF('Lease Cycles'!$AJ$24=1,0,'Lease Cycles'!$D$24*INDEX('Lease Cycles'!$FH$24:$FN$24,1,DQ282)*IF(INDEX('Lease Cycles'!$EF$24:$EL$24,1,DQ282)=1,1,IF(OR(INDEX('Lease Cycles'!$DY$24:$EE$24,1,DQ282)=1,DQ283&gt;0),1,1-INDEX('Lease Cycles'!$DD$24:$DJ$24,1,DQ282)))),0)</f>
        <v>0</v>
      </c>
      <c r="DR291" s="24">
        <f>IF(DR284=1,IF('Lease Cycles'!$AJ$24=1,0,'Lease Cycles'!$D$24*INDEX('Lease Cycles'!$FH$24:$FN$24,1,DR282)*IF(INDEX('Lease Cycles'!$EF$24:$EL$24,1,DR282)=1,1,IF(OR(INDEX('Lease Cycles'!$DY$24:$EE$24,1,DR282)=1,DR283&gt;0),1,1-INDEX('Lease Cycles'!$DD$24:$DJ$24,1,DR282)))),0)</f>
        <v>0</v>
      </c>
      <c r="DS291" s="24">
        <f>IF(DS284=1,IF('Lease Cycles'!$AJ$24=1,0,'Lease Cycles'!$D$24*INDEX('Lease Cycles'!$FH$24:$FN$24,1,DS282)*IF(INDEX('Lease Cycles'!$EF$24:$EL$24,1,DS282)=1,1,IF(OR(INDEX('Lease Cycles'!$DY$24:$EE$24,1,DS282)=1,DS283&gt;0),1,1-INDEX('Lease Cycles'!$DD$24:$DJ$24,1,DS282)))),0)</f>
        <v>0</v>
      </c>
      <c r="DT291" s="24">
        <f>IF(DT284=1,IF('Lease Cycles'!$AJ$24=1,0,'Lease Cycles'!$D$24*INDEX('Lease Cycles'!$FH$24:$FN$24,1,DT282)*IF(INDEX('Lease Cycles'!$EF$24:$EL$24,1,DT282)=1,1,IF(OR(INDEX('Lease Cycles'!$DY$24:$EE$24,1,DT282)=1,DT283&gt;0),1,1-INDEX('Lease Cycles'!$DD$24:$DJ$24,1,DT282)))),0)</f>
        <v>0</v>
      </c>
      <c r="DU291" s="24">
        <f>IF(DU284=1,IF('Lease Cycles'!$AJ$24=1,0,'Lease Cycles'!$D$24*INDEX('Lease Cycles'!$FH$24:$FN$24,1,DU282)*IF(INDEX('Lease Cycles'!$EF$24:$EL$24,1,DU282)=1,1,IF(OR(INDEX('Lease Cycles'!$DY$24:$EE$24,1,DU282)=1,DU283&gt;0),1,1-INDEX('Lease Cycles'!$DD$24:$DJ$24,1,DU282)))),0)</f>
        <v>0</v>
      </c>
      <c r="DV291" s="24">
        <f>IF(DV284=1,IF('Lease Cycles'!$AJ$24=1,0,'Lease Cycles'!$D$24*INDEX('Lease Cycles'!$FH$24:$FN$24,1,DV282)*IF(INDEX('Lease Cycles'!$EF$24:$EL$24,1,DV282)=1,1,IF(OR(INDEX('Lease Cycles'!$DY$24:$EE$24,1,DV282)=1,DV283&gt;0),1,1-INDEX('Lease Cycles'!$DD$24:$DJ$24,1,DV282)))),0)</f>
        <v>0</v>
      </c>
      <c r="DW291" s="24">
        <f>IF(DW284=1,IF('Lease Cycles'!$AJ$24=1,0,'Lease Cycles'!$D$24*INDEX('Lease Cycles'!$FH$24:$FN$24,1,DW282)*IF(INDEX('Lease Cycles'!$EF$24:$EL$24,1,DW282)=1,1,IF(OR(INDEX('Lease Cycles'!$DY$24:$EE$24,1,DW282)=1,DW283&gt;0),1,1-INDEX('Lease Cycles'!$DD$24:$DJ$24,1,DW282)))),0)</f>
        <v>0</v>
      </c>
      <c r="DX291" s="24">
        <f>IF(DX284=1,IF('Lease Cycles'!$AJ$24=1,0,'Lease Cycles'!$D$24*INDEX('Lease Cycles'!$FH$24:$FN$24,1,DX282)*IF(INDEX('Lease Cycles'!$EF$24:$EL$24,1,DX282)=1,1,IF(OR(INDEX('Lease Cycles'!$DY$24:$EE$24,1,DX282)=1,DX283&gt;0),1,1-INDEX('Lease Cycles'!$DD$24:$DJ$24,1,DX282)))),0)</f>
        <v>0</v>
      </c>
      <c r="DY291" s="24">
        <f>IF(DY284=1,IF('Lease Cycles'!$AJ$24=1,0,'Lease Cycles'!$D$24*INDEX('Lease Cycles'!$FH$24:$FN$24,1,DY282)*IF(INDEX('Lease Cycles'!$EF$24:$EL$24,1,DY282)=1,1,IF(OR(INDEX('Lease Cycles'!$DY$24:$EE$24,1,DY282)=1,DY283&gt;0),1,1-INDEX('Lease Cycles'!$DD$24:$DJ$24,1,DY282)))),0)</f>
        <v>0</v>
      </c>
      <c r="DZ291" s="24">
        <f>IF(DZ284=1,IF('Lease Cycles'!$AJ$24=1,0,'Lease Cycles'!$D$24*INDEX('Lease Cycles'!$FH$24:$FN$24,1,DZ282)*IF(INDEX('Lease Cycles'!$EF$24:$EL$24,1,DZ282)=1,1,IF(OR(INDEX('Lease Cycles'!$DY$24:$EE$24,1,DZ282)=1,DZ283&gt;0),1,1-INDEX('Lease Cycles'!$DD$24:$DJ$24,1,DZ282)))),0)</f>
        <v>0</v>
      </c>
      <c r="EA291" s="24">
        <f>IF(EA284=1,IF('Lease Cycles'!$AJ$24=1,0,'Lease Cycles'!$D$24*INDEX('Lease Cycles'!$FH$24:$FN$24,1,EA282)*IF(INDEX('Lease Cycles'!$EF$24:$EL$24,1,EA282)=1,1,IF(OR(INDEX('Lease Cycles'!$DY$24:$EE$24,1,EA282)=1,EA283&gt;0),1,1-INDEX('Lease Cycles'!$DD$24:$DJ$24,1,EA282)))),0)</f>
        <v>0</v>
      </c>
      <c r="EB291" s="24">
        <f>IF(EB284=1,IF('Lease Cycles'!$AJ$24=1,0,'Lease Cycles'!$D$24*INDEX('Lease Cycles'!$FH$24:$FN$24,1,EB282)*IF(INDEX('Lease Cycles'!$EF$24:$EL$24,1,EB282)=1,1,IF(OR(INDEX('Lease Cycles'!$DY$24:$EE$24,1,EB282)=1,EB283&gt;0),1,1-INDEX('Lease Cycles'!$DD$24:$DJ$24,1,EB282)))),0)</f>
        <v>0</v>
      </c>
      <c r="EC291" s="24">
        <f>IF(EC284=1,IF('Lease Cycles'!$AJ$24=1,0,'Lease Cycles'!$D$24*INDEX('Lease Cycles'!$FH$24:$FN$24,1,EC282)*IF(INDEX('Lease Cycles'!$EF$24:$EL$24,1,EC282)=1,1,IF(OR(INDEX('Lease Cycles'!$DY$24:$EE$24,1,EC282)=1,EC283&gt;0),1,1-INDEX('Lease Cycles'!$DD$24:$DJ$24,1,EC282)))),0)</f>
        <v>0</v>
      </c>
      <c r="ED291" s="24">
        <f>IF(ED284=1,IF('Lease Cycles'!$AJ$24=1,0,'Lease Cycles'!$D$24*INDEX('Lease Cycles'!$FH$24:$FN$24,1,ED282)*IF(INDEX('Lease Cycles'!$EF$24:$EL$24,1,ED282)=1,1,IF(OR(INDEX('Lease Cycles'!$DY$24:$EE$24,1,ED282)=1,ED283&gt;0),1,1-INDEX('Lease Cycles'!$DD$24:$DJ$24,1,ED282)))),0)</f>
        <v>0</v>
      </c>
      <c r="EE291" s="24">
        <f>IF(EE284=1,IF('Lease Cycles'!$AJ$24=1,0,'Lease Cycles'!$D$24*INDEX('Lease Cycles'!$FH$24:$FN$24,1,EE282)*IF(INDEX('Lease Cycles'!$EF$24:$EL$24,1,EE282)=1,1,IF(OR(INDEX('Lease Cycles'!$DY$24:$EE$24,1,EE282)=1,EE283&gt;0),1,1-INDEX('Lease Cycles'!$DD$24:$DJ$24,1,EE282)))),0)</f>
        <v>0</v>
      </c>
      <c r="EF291" s="24">
        <f>IF(EF284=1,IF('Lease Cycles'!$AJ$24=1,0,'Lease Cycles'!$D$24*INDEX('Lease Cycles'!$FH$24:$FN$24,1,EF282)*IF(INDEX('Lease Cycles'!$EF$24:$EL$24,1,EF282)=1,1,IF(OR(INDEX('Lease Cycles'!$DY$24:$EE$24,1,EF282)=1,EF283&gt;0),1,1-INDEX('Lease Cycles'!$DD$24:$DJ$24,1,EF282)))),0)</f>
        <v>0</v>
      </c>
      <c r="EG291" s="24">
        <f>IF(EG284=1,IF('Lease Cycles'!$AJ$24=1,0,'Lease Cycles'!$D$24*INDEX('Lease Cycles'!$FH$24:$FN$24,1,EG282)*IF(INDEX('Lease Cycles'!$EF$24:$EL$24,1,EG282)=1,1,IF(OR(INDEX('Lease Cycles'!$DY$24:$EE$24,1,EG282)=1,EG283&gt;0),1,1-INDEX('Lease Cycles'!$DD$24:$DJ$24,1,EG282)))),0)</f>
        <v>0</v>
      </c>
      <c r="EH291" s="24">
        <f>IF(EH284=1,IF('Lease Cycles'!$AJ$24=1,0,'Lease Cycles'!$D$24*INDEX('Lease Cycles'!$FH$24:$FN$24,1,EH282)*IF(INDEX('Lease Cycles'!$EF$24:$EL$24,1,EH282)=1,1,IF(OR(INDEX('Lease Cycles'!$DY$24:$EE$24,1,EH282)=1,EH283&gt;0),1,1-INDEX('Lease Cycles'!$DD$24:$DJ$24,1,EH282)))),0)</f>
        <v>0</v>
      </c>
      <c r="EI291" s="24">
        <f>IF(EI284=1,IF('Lease Cycles'!$AJ$24=1,0,'Lease Cycles'!$D$24*INDEX('Lease Cycles'!$FH$24:$FN$24,1,EI282)*IF(INDEX('Lease Cycles'!$EF$24:$EL$24,1,EI282)=1,1,IF(OR(INDEX('Lease Cycles'!$DY$24:$EE$24,1,EI282)=1,EI283&gt;0),1,1-INDEX('Lease Cycles'!$DD$24:$DJ$24,1,EI282)))),0)</f>
        <v>0</v>
      </c>
      <c r="EJ291" s="24">
        <f>IF(EJ284=1,IF('Lease Cycles'!$AJ$24=1,0,'Lease Cycles'!$D$24*INDEX('Lease Cycles'!$FH$24:$FN$24,1,EJ282)*IF(INDEX('Lease Cycles'!$EF$24:$EL$24,1,EJ282)=1,1,IF(OR(INDEX('Lease Cycles'!$DY$24:$EE$24,1,EJ282)=1,EJ283&gt;0),1,1-INDEX('Lease Cycles'!$DD$24:$DJ$24,1,EJ282)))),0)</f>
        <v>0</v>
      </c>
      <c r="EK291" s="24">
        <f>IF(EK284=1,IF('Lease Cycles'!$AJ$24=1,0,'Lease Cycles'!$D$24*INDEX('Lease Cycles'!$FH$24:$FN$24,1,EK282)*IF(INDEX('Lease Cycles'!$EF$24:$EL$24,1,EK282)=1,1,IF(OR(INDEX('Lease Cycles'!$DY$24:$EE$24,1,EK282)=1,EK283&gt;0),1,1-INDEX('Lease Cycles'!$DD$24:$DJ$24,1,EK282)))),0)</f>
        <v>0</v>
      </c>
      <c r="EL291" s="24">
        <f>IF(EL284=1,IF('Lease Cycles'!$AJ$24=1,0,'Lease Cycles'!$D$24*INDEX('Lease Cycles'!$FH$24:$FN$24,1,EL282)*IF(INDEX('Lease Cycles'!$EF$24:$EL$24,1,EL282)=1,1,IF(OR(INDEX('Lease Cycles'!$DY$24:$EE$24,1,EL282)=1,EL283&gt;0),1,1-INDEX('Lease Cycles'!$DD$24:$DJ$24,1,EL282)))),0)</f>
        <v>0</v>
      </c>
      <c r="EM291" s="24">
        <f>IF(EM284=1,IF('Lease Cycles'!$AJ$24=1,0,'Lease Cycles'!$D$24*INDEX('Lease Cycles'!$FH$24:$FN$24,1,EM282)*IF(INDEX('Lease Cycles'!$EF$24:$EL$24,1,EM282)=1,1,IF(OR(INDEX('Lease Cycles'!$DY$24:$EE$24,1,EM282)=1,EM283&gt;0),1,1-INDEX('Lease Cycles'!$DD$24:$DJ$24,1,EM282)))),0)</f>
        <v>0</v>
      </c>
      <c r="EN291" s="24">
        <f>IF(EN284=1,IF('Lease Cycles'!$AJ$24=1,0,'Lease Cycles'!$D$24*INDEX('Lease Cycles'!$FH$24:$FN$24,1,EN282)*IF(INDEX('Lease Cycles'!$EF$24:$EL$24,1,EN282)=1,1,IF(OR(INDEX('Lease Cycles'!$DY$24:$EE$24,1,EN282)=1,EN283&gt;0),1,1-INDEX('Lease Cycles'!$DD$24:$DJ$24,1,EN282)))),0)</f>
        <v>0</v>
      </c>
      <c r="EO291" s="24">
        <f>IF(EO284=1,IF('Lease Cycles'!$AJ$24=1,0,'Lease Cycles'!$D$24*INDEX('Lease Cycles'!$FH$24:$FN$24,1,EO282)*IF(INDEX('Lease Cycles'!$EF$24:$EL$24,1,EO282)=1,1,IF(OR(INDEX('Lease Cycles'!$DY$24:$EE$24,1,EO282)=1,EO283&gt;0),1,1-INDEX('Lease Cycles'!$DD$24:$DJ$24,1,EO282)))),0)</f>
        <v>0</v>
      </c>
      <c r="EP291" s="24">
        <f>IF(EP284=1,IF('Lease Cycles'!$AJ$24=1,0,'Lease Cycles'!$D$24*INDEX('Lease Cycles'!$FH$24:$FN$24,1,EP282)*IF(INDEX('Lease Cycles'!$EF$24:$EL$24,1,EP282)=1,1,IF(OR(INDEX('Lease Cycles'!$DY$24:$EE$24,1,EP282)=1,EP283&gt;0),1,1-INDEX('Lease Cycles'!$DD$24:$DJ$24,1,EP282)))),0)</f>
        <v>0</v>
      </c>
      <c r="EQ291" s="24">
        <f>IF(EQ284=1,IF('Lease Cycles'!$AJ$24=1,0,'Lease Cycles'!$D$24*INDEX('Lease Cycles'!$FH$24:$FN$24,1,EQ282)*IF(INDEX('Lease Cycles'!$EF$24:$EL$24,1,EQ282)=1,1,IF(OR(INDEX('Lease Cycles'!$DY$24:$EE$24,1,EQ282)=1,EQ283&gt;0),1,1-INDEX('Lease Cycles'!$DD$24:$DJ$24,1,EQ282)))),0)</f>
        <v>0</v>
      </c>
      <c r="ER291" s="24">
        <f>IF(ER284=1,IF('Lease Cycles'!$AJ$24=1,0,'Lease Cycles'!$D$24*INDEX('Lease Cycles'!$FH$24:$FN$24,1,ER282)*IF(INDEX('Lease Cycles'!$EF$24:$EL$24,1,ER282)=1,1,IF(OR(INDEX('Lease Cycles'!$DY$24:$EE$24,1,ER282)=1,ER283&gt;0),1,1-INDEX('Lease Cycles'!$DD$24:$DJ$24,1,ER282)))),0)</f>
        <v>0</v>
      </c>
      <c r="ES291" s="24">
        <f>IF(ES284=1,IF('Lease Cycles'!$AJ$24=1,0,'Lease Cycles'!$D$24*INDEX('Lease Cycles'!$FH$24:$FN$24,1,ES282)*IF(INDEX('Lease Cycles'!$EF$24:$EL$24,1,ES282)=1,1,IF(OR(INDEX('Lease Cycles'!$DY$24:$EE$24,1,ES282)=1,ES283&gt;0),1,1-INDEX('Lease Cycles'!$DD$24:$DJ$24,1,ES282)))),0)</f>
        <v>0</v>
      </c>
      <c r="ET291" s="24">
        <f>IF(ET284=1,IF('Lease Cycles'!$AJ$24=1,0,'Lease Cycles'!$D$24*INDEX('Lease Cycles'!$FH$24:$FN$24,1,ET282)*IF(INDEX('Lease Cycles'!$EF$24:$EL$24,1,ET282)=1,1,IF(OR(INDEX('Lease Cycles'!$DY$24:$EE$24,1,ET282)=1,ET283&gt;0),1,1-INDEX('Lease Cycles'!$DD$24:$DJ$24,1,ET282)))),0)</f>
        <v>0</v>
      </c>
    </row>
    <row r="292">
      <c r="A292" s="103">
        <v>17</v>
      </c>
      <c r="B292" s="23" t="str">
        <f>IF('Lease Cycles'!$B$24="","(empty slot)",'Lease Cycles'!$B$24)</f>
        <v>(empty slot)</v>
      </c>
      <c r="C292" s="23" t="s">
        <v>687</v>
      </c>
      <c r="D292" s="104" t="s">
        <v>688</v>
      </c>
      <c r="E292" s="25">
        <f>'Lease Cycles'!$AL$24</f>
        <v>0</v>
      </c>
      <c r="G292" s="24">
        <f>SUM(S292:AD292)</f>
        <v>0</v>
      </c>
      <c r="H292" s="24">
        <f>SUM(AE292:AP292)</f>
        <v>0</v>
      </c>
      <c r="I292" s="24">
        <f>SUM(AQ292:BB292)</f>
        <v>0</v>
      </c>
      <c r="J292" s="24">
        <f>SUM(BC292:BN292)</f>
        <v>0</v>
      </c>
      <c r="K292" s="24">
        <f>SUM(BO292:BZ292)</f>
        <v>0</v>
      </c>
      <c r="L292" s="24">
        <f>SUM(CA292:CL292)</f>
        <v>0</v>
      </c>
      <c r="M292" s="24">
        <f>SUM(CM292:CX292)</f>
        <v>0</v>
      </c>
      <c r="N292" s="24">
        <f>SUM(CY292:DJ292)</f>
        <v>0</v>
      </c>
      <c r="O292" s="24">
        <f>SUM(DK292:DV292)</f>
        <v>0</v>
      </c>
      <c r="P292" s="24">
        <f>SUM(DW292:EH292)</f>
        <v>0</v>
      </c>
      <c r="Q292" s="24">
        <f>SUM(EI292:ET292)</f>
        <v>0</v>
      </c>
      <c r="S292" s="24">
        <f>IF(S284=1,'Lease Cycles'!$D$24*IF(INDEX('Lease Cycles'!$EF$24:$EL$24,1,S282)=1,'Lease Cycles'!$AJ$24*INDEX('Lease Cycles'!$FO$24:$FU$24,1,S282)*INDEX('Lease Cycles'!$EM$24:$ES$24,1,S282)+'Lease Cycles'!$BE$24*IF(S283&lt;INDEX('Lease Cycles'!$FA$24:$FG$24,1,S282),0,1-INDEX('Lease Cycles'!$EM$24:$ES$24,1,S282)),IF(OR(INDEX('Lease Cycles'!$DY$24:$EE$24,1,S282)=1,S283&gt;0),1,1-INDEX('Lease Cycles'!$DD$24:$DJ$24,1,S282))*('Lease Cycles'!$AJ$24*INDEX('Lease Cycles'!$FO$24:$FU$24,1,S282)+'Lease Cycles'!$BE$24*(1-INDEX('Lease Cycles'!$FO$24:$FU$24,1,S282)))),0)</f>
        <v>0</v>
      </c>
      <c r="T292" s="24">
        <f>IF(T284=1,'Lease Cycles'!$D$24*IF(INDEX('Lease Cycles'!$EF$24:$EL$24,1,T282)=1,'Lease Cycles'!$AJ$24*INDEX('Lease Cycles'!$FO$24:$FU$24,1,T282)*INDEX('Lease Cycles'!$EM$24:$ES$24,1,T282)+'Lease Cycles'!$BE$24*IF(T283&lt;INDEX('Lease Cycles'!$FA$24:$FG$24,1,T282),0,1-INDEX('Lease Cycles'!$EM$24:$ES$24,1,T282)),IF(OR(INDEX('Lease Cycles'!$DY$24:$EE$24,1,T282)=1,T283&gt;0),1,1-INDEX('Lease Cycles'!$DD$24:$DJ$24,1,T282))*('Lease Cycles'!$AJ$24*INDEX('Lease Cycles'!$FO$24:$FU$24,1,T282)+'Lease Cycles'!$BE$24*(1-INDEX('Lease Cycles'!$FO$24:$FU$24,1,T282)))),0)</f>
        <v>0</v>
      </c>
      <c r="U292" s="24">
        <f>IF(U284=1,'Lease Cycles'!$D$24*IF(INDEX('Lease Cycles'!$EF$24:$EL$24,1,U282)=1,'Lease Cycles'!$AJ$24*INDEX('Lease Cycles'!$FO$24:$FU$24,1,U282)*INDEX('Lease Cycles'!$EM$24:$ES$24,1,U282)+'Lease Cycles'!$BE$24*IF(U283&lt;INDEX('Lease Cycles'!$FA$24:$FG$24,1,U282),0,1-INDEX('Lease Cycles'!$EM$24:$ES$24,1,U282)),IF(OR(INDEX('Lease Cycles'!$DY$24:$EE$24,1,U282)=1,U283&gt;0),1,1-INDEX('Lease Cycles'!$DD$24:$DJ$24,1,U282))*('Lease Cycles'!$AJ$24*INDEX('Lease Cycles'!$FO$24:$FU$24,1,U282)+'Lease Cycles'!$BE$24*(1-INDEX('Lease Cycles'!$FO$24:$FU$24,1,U282)))),0)</f>
        <v>0</v>
      </c>
      <c r="V292" s="24">
        <f>IF(V284=1,'Lease Cycles'!$D$24*IF(INDEX('Lease Cycles'!$EF$24:$EL$24,1,V282)=1,'Lease Cycles'!$AJ$24*INDEX('Lease Cycles'!$FO$24:$FU$24,1,V282)*INDEX('Lease Cycles'!$EM$24:$ES$24,1,V282)+'Lease Cycles'!$BE$24*IF(V283&lt;INDEX('Lease Cycles'!$FA$24:$FG$24,1,V282),0,1-INDEX('Lease Cycles'!$EM$24:$ES$24,1,V282)),IF(OR(INDEX('Lease Cycles'!$DY$24:$EE$24,1,V282)=1,V283&gt;0),1,1-INDEX('Lease Cycles'!$DD$24:$DJ$24,1,V282))*('Lease Cycles'!$AJ$24*INDEX('Lease Cycles'!$FO$24:$FU$24,1,V282)+'Lease Cycles'!$BE$24*(1-INDEX('Lease Cycles'!$FO$24:$FU$24,1,V282)))),0)</f>
        <v>0</v>
      </c>
      <c r="W292" s="24">
        <f>IF(W284=1,'Lease Cycles'!$D$24*IF(INDEX('Lease Cycles'!$EF$24:$EL$24,1,W282)=1,'Lease Cycles'!$AJ$24*INDEX('Lease Cycles'!$FO$24:$FU$24,1,W282)*INDEX('Lease Cycles'!$EM$24:$ES$24,1,W282)+'Lease Cycles'!$BE$24*IF(W283&lt;INDEX('Lease Cycles'!$FA$24:$FG$24,1,W282),0,1-INDEX('Lease Cycles'!$EM$24:$ES$24,1,W282)),IF(OR(INDEX('Lease Cycles'!$DY$24:$EE$24,1,W282)=1,W283&gt;0),1,1-INDEX('Lease Cycles'!$DD$24:$DJ$24,1,W282))*('Lease Cycles'!$AJ$24*INDEX('Lease Cycles'!$FO$24:$FU$24,1,W282)+'Lease Cycles'!$BE$24*(1-INDEX('Lease Cycles'!$FO$24:$FU$24,1,W282)))),0)</f>
        <v>0</v>
      </c>
      <c r="X292" s="24">
        <f>IF(X284=1,'Lease Cycles'!$D$24*IF(INDEX('Lease Cycles'!$EF$24:$EL$24,1,X282)=1,'Lease Cycles'!$AJ$24*INDEX('Lease Cycles'!$FO$24:$FU$24,1,X282)*INDEX('Lease Cycles'!$EM$24:$ES$24,1,X282)+'Lease Cycles'!$BE$24*IF(X283&lt;INDEX('Lease Cycles'!$FA$24:$FG$24,1,X282),0,1-INDEX('Lease Cycles'!$EM$24:$ES$24,1,X282)),IF(OR(INDEX('Lease Cycles'!$DY$24:$EE$24,1,X282)=1,X283&gt;0),1,1-INDEX('Lease Cycles'!$DD$24:$DJ$24,1,X282))*('Lease Cycles'!$AJ$24*INDEX('Lease Cycles'!$FO$24:$FU$24,1,X282)+'Lease Cycles'!$BE$24*(1-INDEX('Lease Cycles'!$FO$24:$FU$24,1,X282)))),0)</f>
        <v>0</v>
      </c>
      <c r="Y292" s="24">
        <f>IF(Y284=1,'Lease Cycles'!$D$24*IF(INDEX('Lease Cycles'!$EF$24:$EL$24,1,Y282)=1,'Lease Cycles'!$AJ$24*INDEX('Lease Cycles'!$FO$24:$FU$24,1,Y282)*INDEX('Lease Cycles'!$EM$24:$ES$24,1,Y282)+'Lease Cycles'!$BE$24*IF(Y283&lt;INDEX('Lease Cycles'!$FA$24:$FG$24,1,Y282),0,1-INDEX('Lease Cycles'!$EM$24:$ES$24,1,Y282)),IF(OR(INDEX('Lease Cycles'!$DY$24:$EE$24,1,Y282)=1,Y283&gt;0),1,1-INDEX('Lease Cycles'!$DD$24:$DJ$24,1,Y282))*('Lease Cycles'!$AJ$24*INDEX('Lease Cycles'!$FO$24:$FU$24,1,Y282)+'Lease Cycles'!$BE$24*(1-INDEX('Lease Cycles'!$FO$24:$FU$24,1,Y282)))),0)</f>
        <v>0</v>
      </c>
      <c r="Z292" s="24">
        <f>IF(Z284=1,'Lease Cycles'!$D$24*IF(INDEX('Lease Cycles'!$EF$24:$EL$24,1,Z282)=1,'Lease Cycles'!$AJ$24*INDEX('Lease Cycles'!$FO$24:$FU$24,1,Z282)*INDEX('Lease Cycles'!$EM$24:$ES$24,1,Z282)+'Lease Cycles'!$BE$24*IF(Z283&lt;INDEX('Lease Cycles'!$FA$24:$FG$24,1,Z282),0,1-INDEX('Lease Cycles'!$EM$24:$ES$24,1,Z282)),IF(OR(INDEX('Lease Cycles'!$DY$24:$EE$24,1,Z282)=1,Z283&gt;0),1,1-INDEX('Lease Cycles'!$DD$24:$DJ$24,1,Z282))*('Lease Cycles'!$AJ$24*INDEX('Lease Cycles'!$FO$24:$FU$24,1,Z282)+'Lease Cycles'!$BE$24*(1-INDEX('Lease Cycles'!$FO$24:$FU$24,1,Z282)))),0)</f>
        <v>0</v>
      </c>
      <c r="AA292" s="24">
        <f>IF(AA284=1,'Lease Cycles'!$D$24*IF(INDEX('Lease Cycles'!$EF$24:$EL$24,1,AA282)=1,'Lease Cycles'!$AJ$24*INDEX('Lease Cycles'!$FO$24:$FU$24,1,AA282)*INDEX('Lease Cycles'!$EM$24:$ES$24,1,AA282)+'Lease Cycles'!$BE$24*IF(AA283&lt;INDEX('Lease Cycles'!$FA$24:$FG$24,1,AA282),0,1-INDEX('Lease Cycles'!$EM$24:$ES$24,1,AA282)),IF(OR(INDEX('Lease Cycles'!$DY$24:$EE$24,1,AA282)=1,AA283&gt;0),1,1-INDEX('Lease Cycles'!$DD$24:$DJ$24,1,AA282))*('Lease Cycles'!$AJ$24*INDEX('Lease Cycles'!$FO$24:$FU$24,1,AA282)+'Lease Cycles'!$BE$24*(1-INDEX('Lease Cycles'!$FO$24:$FU$24,1,AA282)))),0)</f>
        <v>0</v>
      </c>
      <c r="AB292" s="24">
        <f>IF(AB284=1,'Lease Cycles'!$D$24*IF(INDEX('Lease Cycles'!$EF$24:$EL$24,1,AB282)=1,'Lease Cycles'!$AJ$24*INDEX('Lease Cycles'!$FO$24:$FU$24,1,AB282)*INDEX('Lease Cycles'!$EM$24:$ES$24,1,AB282)+'Lease Cycles'!$BE$24*IF(AB283&lt;INDEX('Lease Cycles'!$FA$24:$FG$24,1,AB282),0,1-INDEX('Lease Cycles'!$EM$24:$ES$24,1,AB282)),IF(OR(INDEX('Lease Cycles'!$DY$24:$EE$24,1,AB282)=1,AB283&gt;0),1,1-INDEX('Lease Cycles'!$DD$24:$DJ$24,1,AB282))*('Lease Cycles'!$AJ$24*INDEX('Lease Cycles'!$FO$24:$FU$24,1,AB282)+'Lease Cycles'!$BE$24*(1-INDEX('Lease Cycles'!$FO$24:$FU$24,1,AB282)))),0)</f>
        <v>0</v>
      </c>
      <c r="AC292" s="24">
        <f>IF(AC284=1,'Lease Cycles'!$D$24*IF(INDEX('Lease Cycles'!$EF$24:$EL$24,1,AC282)=1,'Lease Cycles'!$AJ$24*INDEX('Lease Cycles'!$FO$24:$FU$24,1,AC282)*INDEX('Lease Cycles'!$EM$24:$ES$24,1,AC282)+'Lease Cycles'!$BE$24*IF(AC283&lt;INDEX('Lease Cycles'!$FA$24:$FG$24,1,AC282),0,1-INDEX('Lease Cycles'!$EM$24:$ES$24,1,AC282)),IF(OR(INDEX('Lease Cycles'!$DY$24:$EE$24,1,AC282)=1,AC283&gt;0),1,1-INDEX('Lease Cycles'!$DD$24:$DJ$24,1,AC282))*('Lease Cycles'!$AJ$24*INDEX('Lease Cycles'!$FO$24:$FU$24,1,AC282)+'Lease Cycles'!$BE$24*(1-INDEX('Lease Cycles'!$FO$24:$FU$24,1,AC282)))),0)</f>
        <v>0</v>
      </c>
      <c r="AD292" s="24">
        <f>IF(AD284=1,'Lease Cycles'!$D$24*IF(INDEX('Lease Cycles'!$EF$24:$EL$24,1,AD282)=1,'Lease Cycles'!$AJ$24*INDEX('Lease Cycles'!$FO$24:$FU$24,1,AD282)*INDEX('Lease Cycles'!$EM$24:$ES$24,1,AD282)+'Lease Cycles'!$BE$24*IF(AD283&lt;INDEX('Lease Cycles'!$FA$24:$FG$24,1,AD282),0,1-INDEX('Lease Cycles'!$EM$24:$ES$24,1,AD282)),IF(OR(INDEX('Lease Cycles'!$DY$24:$EE$24,1,AD282)=1,AD283&gt;0),1,1-INDEX('Lease Cycles'!$DD$24:$DJ$24,1,AD282))*('Lease Cycles'!$AJ$24*INDEX('Lease Cycles'!$FO$24:$FU$24,1,AD282)+'Lease Cycles'!$BE$24*(1-INDEX('Lease Cycles'!$FO$24:$FU$24,1,AD282)))),0)</f>
        <v>0</v>
      </c>
      <c r="AE292" s="24">
        <f>IF(AE284=1,'Lease Cycles'!$D$24*IF(INDEX('Lease Cycles'!$EF$24:$EL$24,1,AE282)=1,'Lease Cycles'!$AJ$24*INDEX('Lease Cycles'!$FO$24:$FU$24,1,AE282)*INDEX('Lease Cycles'!$EM$24:$ES$24,1,AE282)+'Lease Cycles'!$BE$24*IF(AE283&lt;INDEX('Lease Cycles'!$FA$24:$FG$24,1,AE282),0,1-INDEX('Lease Cycles'!$EM$24:$ES$24,1,AE282)),IF(OR(INDEX('Lease Cycles'!$DY$24:$EE$24,1,AE282)=1,AE283&gt;0),1,1-INDEX('Lease Cycles'!$DD$24:$DJ$24,1,AE282))*('Lease Cycles'!$AJ$24*INDEX('Lease Cycles'!$FO$24:$FU$24,1,AE282)+'Lease Cycles'!$BE$24*(1-INDEX('Lease Cycles'!$FO$24:$FU$24,1,AE282)))),0)</f>
        <v>0</v>
      </c>
      <c r="AF292" s="24">
        <f>IF(AF284=1,'Lease Cycles'!$D$24*IF(INDEX('Lease Cycles'!$EF$24:$EL$24,1,AF282)=1,'Lease Cycles'!$AJ$24*INDEX('Lease Cycles'!$FO$24:$FU$24,1,AF282)*INDEX('Lease Cycles'!$EM$24:$ES$24,1,AF282)+'Lease Cycles'!$BE$24*IF(AF283&lt;INDEX('Lease Cycles'!$FA$24:$FG$24,1,AF282),0,1-INDEX('Lease Cycles'!$EM$24:$ES$24,1,AF282)),IF(OR(INDEX('Lease Cycles'!$DY$24:$EE$24,1,AF282)=1,AF283&gt;0),1,1-INDEX('Lease Cycles'!$DD$24:$DJ$24,1,AF282))*('Lease Cycles'!$AJ$24*INDEX('Lease Cycles'!$FO$24:$FU$24,1,AF282)+'Lease Cycles'!$BE$24*(1-INDEX('Lease Cycles'!$FO$24:$FU$24,1,AF282)))),0)</f>
        <v>0</v>
      </c>
      <c r="AG292" s="24">
        <f>IF(AG284=1,'Lease Cycles'!$D$24*IF(INDEX('Lease Cycles'!$EF$24:$EL$24,1,AG282)=1,'Lease Cycles'!$AJ$24*INDEX('Lease Cycles'!$FO$24:$FU$24,1,AG282)*INDEX('Lease Cycles'!$EM$24:$ES$24,1,AG282)+'Lease Cycles'!$BE$24*IF(AG283&lt;INDEX('Lease Cycles'!$FA$24:$FG$24,1,AG282),0,1-INDEX('Lease Cycles'!$EM$24:$ES$24,1,AG282)),IF(OR(INDEX('Lease Cycles'!$DY$24:$EE$24,1,AG282)=1,AG283&gt;0),1,1-INDEX('Lease Cycles'!$DD$24:$DJ$24,1,AG282))*('Lease Cycles'!$AJ$24*INDEX('Lease Cycles'!$FO$24:$FU$24,1,AG282)+'Lease Cycles'!$BE$24*(1-INDEX('Lease Cycles'!$FO$24:$FU$24,1,AG282)))),0)</f>
        <v>0</v>
      </c>
      <c r="AH292" s="24">
        <f>IF(AH284=1,'Lease Cycles'!$D$24*IF(INDEX('Lease Cycles'!$EF$24:$EL$24,1,AH282)=1,'Lease Cycles'!$AJ$24*INDEX('Lease Cycles'!$FO$24:$FU$24,1,AH282)*INDEX('Lease Cycles'!$EM$24:$ES$24,1,AH282)+'Lease Cycles'!$BE$24*IF(AH283&lt;INDEX('Lease Cycles'!$FA$24:$FG$24,1,AH282),0,1-INDEX('Lease Cycles'!$EM$24:$ES$24,1,AH282)),IF(OR(INDEX('Lease Cycles'!$DY$24:$EE$24,1,AH282)=1,AH283&gt;0),1,1-INDEX('Lease Cycles'!$DD$24:$DJ$24,1,AH282))*('Lease Cycles'!$AJ$24*INDEX('Lease Cycles'!$FO$24:$FU$24,1,AH282)+'Lease Cycles'!$BE$24*(1-INDEX('Lease Cycles'!$FO$24:$FU$24,1,AH282)))),0)</f>
        <v>0</v>
      </c>
      <c r="AI292" s="24">
        <f>IF(AI284=1,'Lease Cycles'!$D$24*IF(INDEX('Lease Cycles'!$EF$24:$EL$24,1,AI282)=1,'Lease Cycles'!$AJ$24*INDEX('Lease Cycles'!$FO$24:$FU$24,1,AI282)*INDEX('Lease Cycles'!$EM$24:$ES$24,1,AI282)+'Lease Cycles'!$BE$24*IF(AI283&lt;INDEX('Lease Cycles'!$FA$24:$FG$24,1,AI282),0,1-INDEX('Lease Cycles'!$EM$24:$ES$24,1,AI282)),IF(OR(INDEX('Lease Cycles'!$DY$24:$EE$24,1,AI282)=1,AI283&gt;0),1,1-INDEX('Lease Cycles'!$DD$24:$DJ$24,1,AI282))*('Lease Cycles'!$AJ$24*INDEX('Lease Cycles'!$FO$24:$FU$24,1,AI282)+'Lease Cycles'!$BE$24*(1-INDEX('Lease Cycles'!$FO$24:$FU$24,1,AI282)))),0)</f>
        <v>0</v>
      </c>
      <c r="AJ292" s="24">
        <f>IF(AJ284=1,'Lease Cycles'!$D$24*IF(INDEX('Lease Cycles'!$EF$24:$EL$24,1,AJ282)=1,'Lease Cycles'!$AJ$24*INDEX('Lease Cycles'!$FO$24:$FU$24,1,AJ282)*INDEX('Lease Cycles'!$EM$24:$ES$24,1,AJ282)+'Lease Cycles'!$BE$24*IF(AJ283&lt;INDEX('Lease Cycles'!$FA$24:$FG$24,1,AJ282),0,1-INDEX('Lease Cycles'!$EM$24:$ES$24,1,AJ282)),IF(OR(INDEX('Lease Cycles'!$DY$24:$EE$24,1,AJ282)=1,AJ283&gt;0),1,1-INDEX('Lease Cycles'!$DD$24:$DJ$24,1,AJ282))*('Lease Cycles'!$AJ$24*INDEX('Lease Cycles'!$FO$24:$FU$24,1,AJ282)+'Lease Cycles'!$BE$24*(1-INDEX('Lease Cycles'!$FO$24:$FU$24,1,AJ282)))),0)</f>
        <v>0</v>
      </c>
      <c r="AK292" s="24">
        <f>IF(AK284=1,'Lease Cycles'!$D$24*IF(INDEX('Lease Cycles'!$EF$24:$EL$24,1,AK282)=1,'Lease Cycles'!$AJ$24*INDEX('Lease Cycles'!$FO$24:$FU$24,1,AK282)*INDEX('Lease Cycles'!$EM$24:$ES$24,1,AK282)+'Lease Cycles'!$BE$24*IF(AK283&lt;INDEX('Lease Cycles'!$FA$24:$FG$24,1,AK282),0,1-INDEX('Lease Cycles'!$EM$24:$ES$24,1,AK282)),IF(OR(INDEX('Lease Cycles'!$DY$24:$EE$24,1,AK282)=1,AK283&gt;0),1,1-INDEX('Lease Cycles'!$DD$24:$DJ$24,1,AK282))*('Lease Cycles'!$AJ$24*INDEX('Lease Cycles'!$FO$24:$FU$24,1,AK282)+'Lease Cycles'!$BE$24*(1-INDEX('Lease Cycles'!$FO$24:$FU$24,1,AK282)))),0)</f>
        <v>0</v>
      </c>
      <c r="AL292" s="24">
        <f>IF(AL284=1,'Lease Cycles'!$D$24*IF(INDEX('Lease Cycles'!$EF$24:$EL$24,1,AL282)=1,'Lease Cycles'!$AJ$24*INDEX('Lease Cycles'!$FO$24:$FU$24,1,AL282)*INDEX('Lease Cycles'!$EM$24:$ES$24,1,AL282)+'Lease Cycles'!$BE$24*IF(AL283&lt;INDEX('Lease Cycles'!$FA$24:$FG$24,1,AL282),0,1-INDEX('Lease Cycles'!$EM$24:$ES$24,1,AL282)),IF(OR(INDEX('Lease Cycles'!$DY$24:$EE$24,1,AL282)=1,AL283&gt;0),1,1-INDEX('Lease Cycles'!$DD$24:$DJ$24,1,AL282))*('Lease Cycles'!$AJ$24*INDEX('Lease Cycles'!$FO$24:$FU$24,1,AL282)+'Lease Cycles'!$BE$24*(1-INDEX('Lease Cycles'!$FO$24:$FU$24,1,AL282)))),0)</f>
        <v>0</v>
      </c>
      <c r="AM292" s="24">
        <f>IF(AM284=1,'Lease Cycles'!$D$24*IF(INDEX('Lease Cycles'!$EF$24:$EL$24,1,AM282)=1,'Lease Cycles'!$AJ$24*INDEX('Lease Cycles'!$FO$24:$FU$24,1,AM282)*INDEX('Lease Cycles'!$EM$24:$ES$24,1,AM282)+'Lease Cycles'!$BE$24*IF(AM283&lt;INDEX('Lease Cycles'!$FA$24:$FG$24,1,AM282),0,1-INDEX('Lease Cycles'!$EM$24:$ES$24,1,AM282)),IF(OR(INDEX('Lease Cycles'!$DY$24:$EE$24,1,AM282)=1,AM283&gt;0),1,1-INDEX('Lease Cycles'!$DD$24:$DJ$24,1,AM282))*('Lease Cycles'!$AJ$24*INDEX('Lease Cycles'!$FO$24:$FU$24,1,AM282)+'Lease Cycles'!$BE$24*(1-INDEX('Lease Cycles'!$FO$24:$FU$24,1,AM282)))),0)</f>
        <v>0</v>
      </c>
      <c r="AN292" s="24">
        <f>IF(AN284=1,'Lease Cycles'!$D$24*IF(INDEX('Lease Cycles'!$EF$24:$EL$24,1,AN282)=1,'Lease Cycles'!$AJ$24*INDEX('Lease Cycles'!$FO$24:$FU$24,1,AN282)*INDEX('Lease Cycles'!$EM$24:$ES$24,1,AN282)+'Lease Cycles'!$BE$24*IF(AN283&lt;INDEX('Lease Cycles'!$FA$24:$FG$24,1,AN282),0,1-INDEX('Lease Cycles'!$EM$24:$ES$24,1,AN282)),IF(OR(INDEX('Lease Cycles'!$DY$24:$EE$24,1,AN282)=1,AN283&gt;0),1,1-INDEX('Lease Cycles'!$DD$24:$DJ$24,1,AN282))*('Lease Cycles'!$AJ$24*INDEX('Lease Cycles'!$FO$24:$FU$24,1,AN282)+'Lease Cycles'!$BE$24*(1-INDEX('Lease Cycles'!$FO$24:$FU$24,1,AN282)))),0)</f>
        <v>0</v>
      </c>
      <c r="AO292" s="24">
        <f>IF(AO284=1,'Lease Cycles'!$D$24*IF(INDEX('Lease Cycles'!$EF$24:$EL$24,1,AO282)=1,'Lease Cycles'!$AJ$24*INDEX('Lease Cycles'!$FO$24:$FU$24,1,AO282)*INDEX('Lease Cycles'!$EM$24:$ES$24,1,AO282)+'Lease Cycles'!$BE$24*IF(AO283&lt;INDEX('Lease Cycles'!$FA$24:$FG$24,1,AO282),0,1-INDEX('Lease Cycles'!$EM$24:$ES$24,1,AO282)),IF(OR(INDEX('Lease Cycles'!$DY$24:$EE$24,1,AO282)=1,AO283&gt;0),1,1-INDEX('Lease Cycles'!$DD$24:$DJ$24,1,AO282))*('Lease Cycles'!$AJ$24*INDEX('Lease Cycles'!$FO$24:$FU$24,1,AO282)+'Lease Cycles'!$BE$24*(1-INDEX('Lease Cycles'!$FO$24:$FU$24,1,AO282)))),0)</f>
        <v>0</v>
      </c>
      <c r="AP292" s="24">
        <f>IF(AP284=1,'Lease Cycles'!$D$24*IF(INDEX('Lease Cycles'!$EF$24:$EL$24,1,AP282)=1,'Lease Cycles'!$AJ$24*INDEX('Lease Cycles'!$FO$24:$FU$24,1,AP282)*INDEX('Lease Cycles'!$EM$24:$ES$24,1,AP282)+'Lease Cycles'!$BE$24*IF(AP283&lt;INDEX('Lease Cycles'!$FA$24:$FG$24,1,AP282),0,1-INDEX('Lease Cycles'!$EM$24:$ES$24,1,AP282)),IF(OR(INDEX('Lease Cycles'!$DY$24:$EE$24,1,AP282)=1,AP283&gt;0),1,1-INDEX('Lease Cycles'!$DD$24:$DJ$24,1,AP282))*('Lease Cycles'!$AJ$24*INDEX('Lease Cycles'!$FO$24:$FU$24,1,AP282)+'Lease Cycles'!$BE$24*(1-INDEX('Lease Cycles'!$FO$24:$FU$24,1,AP282)))),0)</f>
        <v>0</v>
      </c>
      <c r="AQ292" s="24">
        <f>IF(AQ284=1,'Lease Cycles'!$D$24*IF(INDEX('Lease Cycles'!$EF$24:$EL$24,1,AQ282)=1,'Lease Cycles'!$AJ$24*INDEX('Lease Cycles'!$FO$24:$FU$24,1,AQ282)*INDEX('Lease Cycles'!$EM$24:$ES$24,1,AQ282)+'Lease Cycles'!$BE$24*IF(AQ283&lt;INDEX('Lease Cycles'!$FA$24:$FG$24,1,AQ282),0,1-INDEX('Lease Cycles'!$EM$24:$ES$24,1,AQ282)),IF(OR(INDEX('Lease Cycles'!$DY$24:$EE$24,1,AQ282)=1,AQ283&gt;0),1,1-INDEX('Lease Cycles'!$DD$24:$DJ$24,1,AQ282))*('Lease Cycles'!$AJ$24*INDEX('Lease Cycles'!$FO$24:$FU$24,1,AQ282)+'Lease Cycles'!$BE$24*(1-INDEX('Lease Cycles'!$FO$24:$FU$24,1,AQ282)))),0)</f>
        <v>0</v>
      </c>
      <c r="AR292" s="24">
        <f>IF(AR284=1,'Lease Cycles'!$D$24*IF(INDEX('Lease Cycles'!$EF$24:$EL$24,1,AR282)=1,'Lease Cycles'!$AJ$24*INDEX('Lease Cycles'!$FO$24:$FU$24,1,AR282)*INDEX('Lease Cycles'!$EM$24:$ES$24,1,AR282)+'Lease Cycles'!$BE$24*IF(AR283&lt;INDEX('Lease Cycles'!$FA$24:$FG$24,1,AR282),0,1-INDEX('Lease Cycles'!$EM$24:$ES$24,1,AR282)),IF(OR(INDEX('Lease Cycles'!$DY$24:$EE$24,1,AR282)=1,AR283&gt;0),1,1-INDEX('Lease Cycles'!$DD$24:$DJ$24,1,AR282))*('Lease Cycles'!$AJ$24*INDEX('Lease Cycles'!$FO$24:$FU$24,1,AR282)+'Lease Cycles'!$BE$24*(1-INDEX('Lease Cycles'!$FO$24:$FU$24,1,AR282)))),0)</f>
        <v>0</v>
      </c>
      <c r="AS292" s="24">
        <f>IF(AS284=1,'Lease Cycles'!$D$24*IF(INDEX('Lease Cycles'!$EF$24:$EL$24,1,AS282)=1,'Lease Cycles'!$AJ$24*INDEX('Lease Cycles'!$FO$24:$FU$24,1,AS282)*INDEX('Lease Cycles'!$EM$24:$ES$24,1,AS282)+'Lease Cycles'!$BE$24*IF(AS283&lt;INDEX('Lease Cycles'!$FA$24:$FG$24,1,AS282),0,1-INDEX('Lease Cycles'!$EM$24:$ES$24,1,AS282)),IF(OR(INDEX('Lease Cycles'!$DY$24:$EE$24,1,AS282)=1,AS283&gt;0),1,1-INDEX('Lease Cycles'!$DD$24:$DJ$24,1,AS282))*('Lease Cycles'!$AJ$24*INDEX('Lease Cycles'!$FO$24:$FU$24,1,AS282)+'Lease Cycles'!$BE$24*(1-INDEX('Lease Cycles'!$FO$24:$FU$24,1,AS282)))),0)</f>
        <v>0</v>
      </c>
      <c r="AT292" s="24">
        <f>IF(AT284=1,'Lease Cycles'!$D$24*IF(INDEX('Lease Cycles'!$EF$24:$EL$24,1,AT282)=1,'Lease Cycles'!$AJ$24*INDEX('Lease Cycles'!$FO$24:$FU$24,1,AT282)*INDEX('Lease Cycles'!$EM$24:$ES$24,1,AT282)+'Lease Cycles'!$BE$24*IF(AT283&lt;INDEX('Lease Cycles'!$FA$24:$FG$24,1,AT282),0,1-INDEX('Lease Cycles'!$EM$24:$ES$24,1,AT282)),IF(OR(INDEX('Lease Cycles'!$DY$24:$EE$24,1,AT282)=1,AT283&gt;0),1,1-INDEX('Lease Cycles'!$DD$24:$DJ$24,1,AT282))*('Lease Cycles'!$AJ$24*INDEX('Lease Cycles'!$FO$24:$FU$24,1,AT282)+'Lease Cycles'!$BE$24*(1-INDEX('Lease Cycles'!$FO$24:$FU$24,1,AT282)))),0)</f>
        <v>0</v>
      </c>
      <c r="AU292" s="24">
        <f>IF(AU284=1,'Lease Cycles'!$D$24*IF(INDEX('Lease Cycles'!$EF$24:$EL$24,1,AU282)=1,'Lease Cycles'!$AJ$24*INDEX('Lease Cycles'!$FO$24:$FU$24,1,AU282)*INDEX('Lease Cycles'!$EM$24:$ES$24,1,AU282)+'Lease Cycles'!$BE$24*IF(AU283&lt;INDEX('Lease Cycles'!$FA$24:$FG$24,1,AU282),0,1-INDEX('Lease Cycles'!$EM$24:$ES$24,1,AU282)),IF(OR(INDEX('Lease Cycles'!$DY$24:$EE$24,1,AU282)=1,AU283&gt;0),1,1-INDEX('Lease Cycles'!$DD$24:$DJ$24,1,AU282))*('Lease Cycles'!$AJ$24*INDEX('Lease Cycles'!$FO$24:$FU$24,1,AU282)+'Lease Cycles'!$BE$24*(1-INDEX('Lease Cycles'!$FO$24:$FU$24,1,AU282)))),0)</f>
        <v>0</v>
      </c>
      <c r="AV292" s="24">
        <f>IF(AV284=1,'Lease Cycles'!$D$24*IF(INDEX('Lease Cycles'!$EF$24:$EL$24,1,AV282)=1,'Lease Cycles'!$AJ$24*INDEX('Lease Cycles'!$FO$24:$FU$24,1,AV282)*INDEX('Lease Cycles'!$EM$24:$ES$24,1,AV282)+'Lease Cycles'!$BE$24*IF(AV283&lt;INDEX('Lease Cycles'!$FA$24:$FG$24,1,AV282),0,1-INDEX('Lease Cycles'!$EM$24:$ES$24,1,AV282)),IF(OR(INDEX('Lease Cycles'!$DY$24:$EE$24,1,AV282)=1,AV283&gt;0),1,1-INDEX('Lease Cycles'!$DD$24:$DJ$24,1,AV282))*('Lease Cycles'!$AJ$24*INDEX('Lease Cycles'!$FO$24:$FU$24,1,AV282)+'Lease Cycles'!$BE$24*(1-INDEX('Lease Cycles'!$FO$24:$FU$24,1,AV282)))),0)</f>
        <v>0</v>
      </c>
      <c r="AW292" s="24">
        <f>IF(AW284=1,'Lease Cycles'!$D$24*IF(INDEX('Lease Cycles'!$EF$24:$EL$24,1,AW282)=1,'Lease Cycles'!$AJ$24*INDEX('Lease Cycles'!$FO$24:$FU$24,1,AW282)*INDEX('Lease Cycles'!$EM$24:$ES$24,1,AW282)+'Lease Cycles'!$BE$24*IF(AW283&lt;INDEX('Lease Cycles'!$FA$24:$FG$24,1,AW282),0,1-INDEX('Lease Cycles'!$EM$24:$ES$24,1,AW282)),IF(OR(INDEX('Lease Cycles'!$DY$24:$EE$24,1,AW282)=1,AW283&gt;0),1,1-INDEX('Lease Cycles'!$DD$24:$DJ$24,1,AW282))*('Lease Cycles'!$AJ$24*INDEX('Lease Cycles'!$FO$24:$FU$24,1,AW282)+'Lease Cycles'!$BE$24*(1-INDEX('Lease Cycles'!$FO$24:$FU$24,1,AW282)))),0)</f>
        <v>0</v>
      </c>
      <c r="AX292" s="24">
        <f>IF(AX284=1,'Lease Cycles'!$D$24*IF(INDEX('Lease Cycles'!$EF$24:$EL$24,1,AX282)=1,'Lease Cycles'!$AJ$24*INDEX('Lease Cycles'!$FO$24:$FU$24,1,AX282)*INDEX('Lease Cycles'!$EM$24:$ES$24,1,AX282)+'Lease Cycles'!$BE$24*IF(AX283&lt;INDEX('Lease Cycles'!$FA$24:$FG$24,1,AX282),0,1-INDEX('Lease Cycles'!$EM$24:$ES$24,1,AX282)),IF(OR(INDEX('Lease Cycles'!$DY$24:$EE$24,1,AX282)=1,AX283&gt;0),1,1-INDEX('Lease Cycles'!$DD$24:$DJ$24,1,AX282))*('Lease Cycles'!$AJ$24*INDEX('Lease Cycles'!$FO$24:$FU$24,1,AX282)+'Lease Cycles'!$BE$24*(1-INDEX('Lease Cycles'!$FO$24:$FU$24,1,AX282)))),0)</f>
        <v>0</v>
      </c>
      <c r="AY292" s="24">
        <f>IF(AY284=1,'Lease Cycles'!$D$24*IF(INDEX('Lease Cycles'!$EF$24:$EL$24,1,AY282)=1,'Lease Cycles'!$AJ$24*INDEX('Lease Cycles'!$FO$24:$FU$24,1,AY282)*INDEX('Lease Cycles'!$EM$24:$ES$24,1,AY282)+'Lease Cycles'!$BE$24*IF(AY283&lt;INDEX('Lease Cycles'!$FA$24:$FG$24,1,AY282),0,1-INDEX('Lease Cycles'!$EM$24:$ES$24,1,AY282)),IF(OR(INDEX('Lease Cycles'!$DY$24:$EE$24,1,AY282)=1,AY283&gt;0),1,1-INDEX('Lease Cycles'!$DD$24:$DJ$24,1,AY282))*('Lease Cycles'!$AJ$24*INDEX('Lease Cycles'!$FO$24:$FU$24,1,AY282)+'Lease Cycles'!$BE$24*(1-INDEX('Lease Cycles'!$FO$24:$FU$24,1,AY282)))),0)</f>
        <v>0</v>
      </c>
      <c r="AZ292" s="24">
        <f>IF(AZ284=1,'Lease Cycles'!$D$24*IF(INDEX('Lease Cycles'!$EF$24:$EL$24,1,AZ282)=1,'Lease Cycles'!$AJ$24*INDEX('Lease Cycles'!$FO$24:$FU$24,1,AZ282)*INDEX('Lease Cycles'!$EM$24:$ES$24,1,AZ282)+'Lease Cycles'!$BE$24*IF(AZ283&lt;INDEX('Lease Cycles'!$FA$24:$FG$24,1,AZ282),0,1-INDEX('Lease Cycles'!$EM$24:$ES$24,1,AZ282)),IF(OR(INDEX('Lease Cycles'!$DY$24:$EE$24,1,AZ282)=1,AZ283&gt;0),1,1-INDEX('Lease Cycles'!$DD$24:$DJ$24,1,AZ282))*('Lease Cycles'!$AJ$24*INDEX('Lease Cycles'!$FO$24:$FU$24,1,AZ282)+'Lease Cycles'!$BE$24*(1-INDEX('Lease Cycles'!$FO$24:$FU$24,1,AZ282)))),0)</f>
        <v>0</v>
      </c>
      <c r="BA292" s="24">
        <f>IF(BA284=1,'Lease Cycles'!$D$24*IF(INDEX('Lease Cycles'!$EF$24:$EL$24,1,BA282)=1,'Lease Cycles'!$AJ$24*INDEX('Lease Cycles'!$FO$24:$FU$24,1,BA282)*INDEX('Lease Cycles'!$EM$24:$ES$24,1,BA282)+'Lease Cycles'!$BE$24*IF(BA283&lt;INDEX('Lease Cycles'!$FA$24:$FG$24,1,BA282),0,1-INDEX('Lease Cycles'!$EM$24:$ES$24,1,BA282)),IF(OR(INDEX('Lease Cycles'!$DY$24:$EE$24,1,BA282)=1,BA283&gt;0),1,1-INDEX('Lease Cycles'!$DD$24:$DJ$24,1,BA282))*('Lease Cycles'!$AJ$24*INDEX('Lease Cycles'!$FO$24:$FU$24,1,BA282)+'Lease Cycles'!$BE$24*(1-INDEX('Lease Cycles'!$FO$24:$FU$24,1,BA282)))),0)</f>
        <v>0</v>
      </c>
      <c r="BB292" s="24">
        <f>IF(BB284=1,'Lease Cycles'!$D$24*IF(INDEX('Lease Cycles'!$EF$24:$EL$24,1,BB282)=1,'Lease Cycles'!$AJ$24*INDEX('Lease Cycles'!$FO$24:$FU$24,1,BB282)*INDEX('Lease Cycles'!$EM$24:$ES$24,1,BB282)+'Lease Cycles'!$BE$24*IF(BB283&lt;INDEX('Lease Cycles'!$FA$24:$FG$24,1,BB282),0,1-INDEX('Lease Cycles'!$EM$24:$ES$24,1,BB282)),IF(OR(INDEX('Lease Cycles'!$DY$24:$EE$24,1,BB282)=1,BB283&gt;0),1,1-INDEX('Lease Cycles'!$DD$24:$DJ$24,1,BB282))*('Lease Cycles'!$AJ$24*INDEX('Lease Cycles'!$FO$24:$FU$24,1,BB282)+'Lease Cycles'!$BE$24*(1-INDEX('Lease Cycles'!$FO$24:$FU$24,1,BB282)))),0)</f>
        <v>0</v>
      </c>
      <c r="BC292" s="24">
        <f>IF(BC284=1,'Lease Cycles'!$D$24*IF(INDEX('Lease Cycles'!$EF$24:$EL$24,1,BC282)=1,'Lease Cycles'!$AJ$24*INDEX('Lease Cycles'!$FO$24:$FU$24,1,BC282)*INDEX('Lease Cycles'!$EM$24:$ES$24,1,BC282)+'Lease Cycles'!$BE$24*IF(BC283&lt;INDEX('Lease Cycles'!$FA$24:$FG$24,1,BC282),0,1-INDEX('Lease Cycles'!$EM$24:$ES$24,1,BC282)),IF(OR(INDEX('Lease Cycles'!$DY$24:$EE$24,1,BC282)=1,BC283&gt;0),1,1-INDEX('Lease Cycles'!$DD$24:$DJ$24,1,BC282))*('Lease Cycles'!$AJ$24*INDEX('Lease Cycles'!$FO$24:$FU$24,1,BC282)+'Lease Cycles'!$BE$24*(1-INDEX('Lease Cycles'!$FO$24:$FU$24,1,BC282)))),0)</f>
        <v>0</v>
      </c>
      <c r="BD292" s="24">
        <f>IF(BD284=1,'Lease Cycles'!$D$24*IF(INDEX('Lease Cycles'!$EF$24:$EL$24,1,BD282)=1,'Lease Cycles'!$AJ$24*INDEX('Lease Cycles'!$FO$24:$FU$24,1,BD282)*INDEX('Lease Cycles'!$EM$24:$ES$24,1,BD282)+'Lease Cycles'!$BE$24*IF(BD283&lt;INDEX('Lease Cycles'!$FA$24:$FG$24,1,BD282),0,1-INDEX('Lease Cycles'!$EM$24:$ES$24,1,BD282)),IF(OR(INDEX('Lease Cycles'!$DY$24:$EE$24,1,BD282)=1,BD283&gt;0),1,1-INDEX('Lease Cycles'!$DD$24:$DJ$24,1,BD282))*('Lease Cycles'!$AJ$24*INDEX('Lease Cycles'!$FO$24:$FU$24,1,BD282)+'Lease Cycles'!$BE$24*(1-INDEX('Lease Cycles'!$FO$24:$FU$24,1,BD282)))),0)</f>
        <v>0</v>
      </c>
      <c r="BE292" s="24">
        <f>IF(BE284=1,'Lease Cycles'!$D$24*IF(INDEX('Lease Cycles'!$EF$24:$EL$24,1,BE282)=1,'Lease Cycles'!$AJ$24*INDEX('Lease Cycles'!$FO$24:$FU$24,1,BE282)*INDEX('Lease Cycles'!$EM$24:$ES$24,1,BE282)+'Lease Cycles'!$BE$24*IF(BE283&lt;INDEX('Lease Cycles'!$FA$24:$FG$24,1,BE282),0,1-INDEX('Lease Cycles'!$EM$24:$ES$24,1,BE282)),IF(OR(INDEX('Lease Cycles'!$DY$24:$EE$24,1,BE282)=1,BE283&gt;0),1,1-INDEX('Lease Cycles'!$DD$24:$DJ$24,1,BE282))*('Lease Cycles'!$AJ$24*INDEX('Lease Cycles'!$FO$24:$FU$24,1,BE282)+'Lease Cycles'!$BE$24*(1-INDEX('Lease Cycles'!$FO$24:$FU$24,1,BE282)))),0)</f>
        <v>0</v>
      </c>
      <c r="BF292" s="24">
        <f>IF(BF284=1,'Lease Cycles'!$D$24*IF(INDEX('Lease Cycles'!$EF$24:$EL$24,1,BF282)=1,'Lease Cycles'!$AJ$24*INDEX('Lease Cycles'!$FO$24:$FU$24,1,BF282)*INDEX('Lease Cycles'!$EM$24:$ES$24,1,BF282)+'Lease Cycles'!$BE$24*IF(BF283&lt;INDEX('Lease Cycles'!$FA$24:$FG$24,1,BF282),0,1-INDEX('Lease Cycles'!$EM$24:$ES$24,1,BF282)),IF(OR(INDEX('Lease Cycles'!$DY$24:$EE$24,1,BF282)=1,BF283&gt;0),1,1-INDEX('Lease Cycles'!$DD$24:$DJ$24,1,BF282))*('Lease Cycles'!$AJ$24*INDEX('Lease Cycles'!$FO$24:$FU$24,1,BF282)+'Lease Cycles'!$BE$24*(1-INDEX('Lease Cycles'!$FO$24:$FU$24,1,BF282)))),0)</f>
        <v>0</v>
      </c>
      <c r="BG292" s="24">
        <f>IF(BG284=1,'Lease Cycles'!$D$24*IF(INDEX('Lease Cycles'!$EF$24:$EL$24,1,BG282)=1,'Lease Cycles'!$AJ$24*INDEX('Lease Cycles'!$FO$24:$FU$24,1,BG282)*INDEX('Lease Cycles'!$EM$24:$ES$24,1,BG282)+'Lease Cycles'!$BE$24*IF(BG283&lt;INDEX('Lease Cycles'!$FA$24:$FG$24,1,BG282),0,1-INDEX('Lease Cycles'!$EM$24:$ES$24,1,BG282)),IF(OR(INDEX('Lease Cycles'!$DY$24:$EE$24,1,BG282)=1,BG283&gt;0),1,1-INDEX('Lease Cycles'!$DD$24:$DJ$24,1,BG282))*('Lease Cycles'!$AJ$24*INDEX('Lease Cycles'!$FO$24:$FU$24,1,BG282)+'Lease Cycles'!$BE$24*(1-INDEX('Lease Cycles'!$FO$24:$FU$24,1,BG282)))),0)</f>
        <v>0</v>
      </c>
      <c r="BH292" s="24">
        <f>IF(BH284=1,'Lease Cycles'!$D$24*IF(INDEX('Lease Cycles'!$EF$24:$EL$24,1,BH282)=1,'Lease Cycles'!$AJ$24*INDEX('Lease Cycles'!$FO$24:$FU$24,1,BH282)*INDEX('Lease Cycles'!$EM$24:$ES$24,1,BH282)+'Lease Cycles'!$BE$24*IF(BH283&lt;INDEX('Lease Cycles'!$FA$24:$FG$24,1,BH282),0,1-INDEX('Lease Cycles'!$EM$24:$ES$24,1,BH282)),IF(OR(INDEX('Lease Cycles'!$DY$24:$EE$24,1,BH282)=1,BH283&gt;0),1,1-INDEX('Lease Cycles'!$DD$24:$DJ$24,1,BH282))*('Lease Cycles'!$AJ$24*INDEX('Lease Cycles'!$FO$24:$FU$24,1,BH282)+'Lease Cycles'!$BE$24*(1-INDEX('Lease Cycles'!$FO$24:$FU$24,1,BH282)))),0)</f>
        <v>0</v>
      </c>
      <c r="BI292" s="24">
        <f>IF(BI284=1,'Lease Cycles'!$D$24*IF(INDEX('Lease Cycles'!$EF$24:$EL$24,1,BI282)=1,'Lease Cycles'!$AJ$24*INDEX('Lease Cycles'!$FO$24:$FU$24,1,BI282)*INDEX('Lease Cycles'!$EM$24:$ES$24,1,BI282)+'Lease Cycles'!$BE$24*IF(BI283&lt;INDEX('Lease Cycles'!$FA$24:$FG$24,1,BI282),0,1-INDEX('Lease Cycles'!$EM$24:$ES$24,1,BI282)),IF(OR(INDEX('Lease Cycles'!$DY$24:$EE$24,1,BI282)=1,BI283&gt;0),1,1-INDEX('Lease Cycles'!$DD$24:$DJ$24,1,BI282))*('Lease Cycles'!$AJ$24*INDEX('Lease Cycles'!$FO$24:$FU$24,1,BI282)+'Lease Cycles'!$BE$24*(1-INDEX('Lease Cycles'!$FO$24:$FU$24,1,BI282)))),0)</f>
        <v>0</v>
      </c>
      <c r="BJ292" s="24">
        <f>IF(BJ284=1,'Lease Cycles'!$D$24*IF(INDEX('Lease Cycles'!$EF$24:$EL$24,1,BJ282)=1,'Lease Cycles'!$AJ$24*INDEX('Lease Cycles'!$FO$24:$FU$24,1,BJ282)*INDEX('Lease Cycles'!$EM$24:$ES$24,1,BJ282)+'Lease Cycles'!$BE$24*IF(BJ283&lt;INDEX('Lease Cycles'!$FA$24:$FG$24,1,BJ282),0,1-INDEX('Lease Cycles'!$EM$24:$ES$24,1,BJ282)),IF(OR(INDEX('Lease Cycles'!$DY$24:$EE$24,1,BJ282)=1,BJ283&gt;0),1,1-INDEX('Lease Cycles'!$DD$24:$DJ$24,1,BJ282))*('Lease Cycles'!$AJ$24*INDEX('Lease Cycles'!$FO$24:$FU$24,1,BJ282)+'Lease Cycles'!$BE$24*(1-INDEX('Lease Cycles'!$FO$24:$FU$24,1,BJ282)))),0)</f>
        <v>0</v>
      </c>
      <c r="BK292" s="24">
        <f>IF(BK284=1,'Lease Cycles'!$D$24*IF(INDEX('Lease Cycles'!$EF$24:$EL$24,1,BK282)=1,'Lease Cycles'!$AJ$24*INDEX('Lease Cycles'!$FO$24:$FU$24,1,BK282)*INDEX('Lease Cycles'!$EM$24:$ES$24,1,BK282)+'Lease Cycles'!$BE$24*IF(BK283&lt;INDEX('Lease Cycles'!$FA$24:$FG$24,1,BK282),0,1-INDEX('Lease Cycles'!$EM$24:$ES$24,1,BK282)),IF(OR(INDEX('Lease Cycles'!$DY$24:$EE$24,1,BK282)=1,BK283&gt;0),1,1-INDEX('Lease Cycles'!$DD$24:$DJ$24,1,BK282))*('Lease Cycles'!$AJ$24*INDEX('Lease Cycles'!$FO$24:$FU$24,1,BK282)+'Lease Cycles'!$BE$24*(1-INDEX('Lease Cycles'!$FO$24:$FU$24,1,BK282)))),0)</f>
        <v>0</v>
      </c>
      <c r="BL292" s="24">
        <f>IF(BL284=1,'Lease Cycles'!$D$24*IF(INDEX('Lease Cycles'!$EF$24:$EL$24,1,BL282)=1,'Lease Cycles'!$AJ$24*INDEX('Lease Cycles'!$FO$24:$FU$24,1,BL282)*INDEX('Lease Cycles'!$EM$24:$ES$24,1,BL282)+'Lease Cycles'!$BE$24*IF(BL283&lt;INDEX('Lease Cycles'!$FA$24:$FG$24,1,BL282),0,1-INDEX('Lease Cycles'!$EM$24:$ES$24,1,BL282)),IF(OR(INDEX('Lease Cycles'!$DY$24:$EE$24,1,BL282)=1,BL283&gt;0),1,1-INDEX('Lease Cycles'!$DD$24:$DJ$24,1,BL282))*('Lease Cycles'!$AJ$24*INDEX('Lease Cycles'!$FO$24:$FU$24,1,BL282)+'Lease Cycles'!$BE$24*(1-INDEX('Lease Cycles'!$FO$24:$FU$24,1,BL282)))),0)</f>
        <v>0</v>
      </c>
      <c r="BM292" s="24">
        <f>IF(BM284=1,'Lease Cycles'!$D$24*IF(INDEX('Lease Cycles'!$EF$24:$EL$24,1,BM282)=1,'Lease Cycles'!$AJ$24*INDEX('Lease Cycles'!$FO$24:$FU$24,1,BM282)*INDEX('Lease Cycles'!$EM$24:$ES$24,1,BM282)+'Lease Cycles'!$BE$24*IF(BM283&lt;INDEX('Lease Cycles'!$FA$24:$FG$24,1,BM282),0,1-INDEX('Lease Cycles'!$EM$24:$ES$24,1,BM282)),IF(OR(INDEX('Lease Cycles'!$DY$24:$EE$24,1,BM282)=1,BM283&gt;0),1,1-INDEX('Lease Cycles'!$DD$24:$DJ$24,1,BM282))*('Lease Cycles'!$AJ$24*INDEX('Lease Cycles'!$FO$24:$FU$24,1,BM282)+'Lease Cycles'!$BE$24*(1-INDEX('Lease Cycles'!$FO$24:$FU$24,1,BM282)))),0)</f>
        <v>0</v>
      </c>
      <c r="BN292" s="24">
        <f>IF(BN284=1,'Lease Cycles'!$D$24*IF(INDEX('Lease Cycles'!$EF$24:$EL$24,1,BN282)=1,'Lease Cycles'!$AJ$24*INDEX('Lease Cycles'!$FO$24:$FU$24,1,BN282)*INDEX('Lease Cycles'!$EM$24:$ES$24,1,BN282)+'Lease Cycles'!$BE$24*IF(BN283&lt;INDEX('Lease Cycles'!$FA$24:$FG$24,1,BN282),0,1-INDEX('Lease Cycles'!$EM$24:$ES$24,1,BN282)),IF(OR(INDEX('Lease Cycles'!$DY$24:$EE$24,1,BN282)=1,BN283&gt;0),1,1-INDEX('Lease Cycles'!$DD$24:$DJ$24,1,BN282))*('Lease Cycles'!$AJ$24*INDEX('Lease Cycles'!$FO$24:$FU$24,1,BN282)+'Lease Cycles'!$BE$24*(1-INDEX('Lease Cycles'!$FO$24:$FU$24,1,BN282)))),0)</f>
        <v>0</v>
      </c>
      <c r="BO292" s="24">
        <f>IF(BO284=1,'Lease Cycles'!$D$24*IF(INDEX('Lease Cycles'!$EF$24:$EL$24,1,BO282)=1,'Lease Cycles'!$AJ$24*INDEX('Lease Cycles'!$FO$24:$FU$24,1,BO282)*INDEX('Lease Cycles'!$EM$24:$ES$24,1,BO282)+'Lease Cycles'!$BE$24*IF(BO283&lt;INDEX('Lease Cycles'!$FA$24:$FG$24,1,BO282),0,1-INDEX('Lease Cycles'!$EM$24:$ES$24,1,BO282)),IF(OR(INDEX('Lease Cycles'!$DY$24:$EE$24,1,BO282)=1,BO283&gt;0),1,1-INDEX('Lease Cycles'!$DD$24:$DJ$24,1,BO282))*('Lease Cycles'!$AJ$24*INDEX('Lease Cycles'!$FO$24:$FU$24,1,BO282)+'Lease Cycles'!$BE$24*(1-INDEX('Lease Cycles'!$FO$24:$FU$24,1,BO282)))),0)</f>
        <v>0</v>
      </c>
      <c r="BP292" s="24">
        <f>IF(BP284=1,'Lease Cycles'!$D$24*IF(INDEX('Lease Cycles'!$EF$24:$EL$24,1,BP282)=1,'Lease Cycles'!$AJ$24*INDEX('Lease Cycles'!$FO$24:$FU$24,1,BP282)*INDEX('Lease Cycles'!$EM$24:$ES$24,1,BP282)+'Lease Cycles'!$BE$24*IF(BP283&lt;INDEX('Lease Cycles'!$FA$24:$FG$24,1,BP282),0,1-INDEX('Lease Cycles'!$EM$24:$ES$24,1,BP282)),IF(OR(INDEX('Lease Cycles'!$DY$24:$EE$24,1,BP282)=1,BP283&gt;0),1,1-INDEX('Lease Cycles'!$DD$24:$DJ$24,1,BP282))*('Lease Cycles'!$AJ$24*INDEX('Lease Cycles'!$FO$24:$FU$24,1,BP282)+'Lease Cycles'!$BE$24*(1-INDEX('Lease Cycles'!$FO$24:$FU$24,1,BP282)))),0)</f>
        <v>0</v>
      </c>
      <c r="BQ292" s="24">
        <f>IF(BQ284=1,'Lease Cycles'!$D$24*IF(INDEX('Lease Cycles'!$EF$24:$EL$24,1,BQ282)=1,'Lease Cycles'!$AJ$24*INDEX('Lease Cycles'!$FO$24:$FU$24,1,BQ282)*INDEX('Lease Cycles'!$EM$24:$ES$24,1,BQ282)+'Lease Cycles'!$BE$24*IF(BQ283&lt;INDEX('Lease Cycles'!$FA$24:$FG$24,1,BQ282),0,1-INDEX('Lease Cycles'!$EM$24:$ES$24,1,BQ282)),IF(OR(INDEX('Lease Cycles'!$DY$24:$EE$24,1,BQ282)=1,BQ283&gt;0),1,1-INDEX('Lease Cycles'!$DD$24:$DJ$24,1,BQ282))*('Lease Cycles'!$AJ$24*INDEX('Lease Cycles'!$FO$24:$FU$24,1,BQ282)+'Lease Cycles'!$BE$24*(1-INDEX('Lease Cycles'!$FO$24:$FU$24,1,BQ282)))),0)</f>
        <v>0</v>
      </c>
      <c r="BR292" s="24">
        <f>IF(BR284=1,'Lease Cycles'!$D$24*IF(INDEX('Lease Cycles'!$EF$24:$EL$24,1,BR282)=1,'Lease Cycles'!$AJ$24*INDEX('Lease Cycles'!$FO$24:$FU$24,1,BR282)*INDEX('Lease Cycles'!$EM$24:$ES$24,1,BR282)+'Lease Cycles'!$BE$24*IF(BR283&lt;INDEX('Lease Cycles'!$FA$24:$FG$24,1,BR282),0,1-INDEX('Lease Cycles'!$EM$24:$ES$24,1,BR282)),IF(OR(INDEX('Lease Cycles'!$DY$24:$EE$24,1,BR282)=1,BR283&gt;0),1,1-INDEX('Lease Cycles'!$DD$24:$DJ$24,1,BR282))*('Lease Cycles'!$AJ$24*INDEX('Lease Cycles'!$FO$24:$FU$24,1,BR282)+'Lease Cycles'!$BE$24*(1-INDEX('Lease Cycles'!$FO$24:$FU$24,1,BR282)))),0)</f>
        <v>0</v>
      </c>
      <c r="BS292" s="24">
        <f>IF(BS284=1,'Lease Cycles'!$D$24*IF(INDEX('Lease Cycles'!$EF$24:$EL$24,1,BS282)=1,'Lease Cycles'!$AJ$24*INDEX('Lease Cycles'!$FO$24:$FU$24,1,BS282)*INDEX('Lease Cycles'!$EM$24:$ES$24,1,BS282)+'Lease Cycles'!$BE$24*IF(BS283&lt;INDEX('Lease Cycles'!$FA$24:$FG$24,1,BS282),0,1-INDEX('Lease Cycles'!$EM$24:$ES$24,1,BS282)),IF(OR(INDEX('Lease Cycles'!$DY$24:$EE$24,1,BS282)=1,BS283&gt;0),1,1-INDEX('Lease Cycles'!$DD$24:$DJ$24,1,BS282))*('Lease Cycles'!$AJ$24*INDEX('Lease Cycles'!$FO$24:$FU$24,1,BS282)+'Lease Cycles'!$BE$24*(1-INDEX('Lease Cycles'!$FO$24:$FU$24,1,BS282)))),0)</f>
        <v>0</v>
      </c>
      <c r="BT292" s="24">
        <f>IF(BT284=1,'Lease Cycles'!$D$24*IF(INDEX('Lease Cycles'!$EF$24:$EL$24,1,BT282)=1,'Lease Cycles'!$AJ$24*INDEX('Lease Cycles'!$FO$24:$FU$24,1,BT282)*INDEX('Lease Cycles'!$EM$24:$ES$24,1,BT282)+'Lease Cycles'!$BE$24*IF(BT283&lt;INDEX('Lease Cycles'!$FA$24:$FG$24,1,BT282),0,1-INDEX('Lease Cycles'!$EM$24:$ES$24,1,BT282)),IF(OR(INDEX('Lease Cycles'!$DY$24:$EE$24,1,BT282)=1,BT283&gt;0),1,1-INDEX('Lease Cycles'!$DD$24:$DJ$24,1,BT282))*('Lease Cycles'!$AJ$24*INDEX('Lease Cycles'!$FO$24:$FU$24,1,BT282)+'Lease Cycles'!$BE$24*(1-INDEX('Lease Cycles'!$FO$24:$FU$24,1,BT282)))),0)</f>
        <v>0</v>
      </c>
      <c r="BU292" s="24">
        <f>IF(BU284=1,'Lease Cycles'!$D$24*IF(INDEX('Lease Cycles'!$EF$24:$EL$24,1,BU282)=1,'Lease Cycles'!$AJ$24*INDEX('Lease Cycles'!$FO$24:$FU$24,1,BU282)*INDEX('Lease Cycles'!$EM$24:$ES$24,1,BU282)+'Lease Cycles'!$BE$24*IF(BU283&lt;INDEX('Lease Cycles'!$FA$24:$FG$24,1,BU282),0,1-INDEX('Lease Cycles'!$EM$24:$ES$24,1,BU282)),IF(OR(INDEX('Lease Cycles'!$DY$24:$EE$24,1,BU282)=1,BU283&gt;0),1,1-INDEX('Lease Cycles'!$DD$24:$DJ$24,1,BU282))*('Lease Cycles'!$AJ$24*INDEX('Lease Cycles'!$FO$24:$FU$24,1,BU282)+'Lease Cycles'!$BE$24*(1-INDEX('Lease Cycles'!$FO$24:$FU$24,1,BU282)))),0)</f>
        <v>0</v>
      </c>
      <c r="BV292" s="24">
        <f>IF(BV284=1,'Lease Cycles'!$D$24*IF(INDEX('Lease Cycles'!$EF$24:$EL$24,1,BV282)=1,'Lease Cycles'!$AJ$24*INDEX('Lease Cycles'!$FO$24:$FU$24,1,BV282)*INDEX('Lease Cycles'!$EM$24:$ES$24,1,BV282)+'Lease Cycles'!$BE$24*IF(BV283&lt;INDEX('Lease Cycles'!$FA$24:$FG$24,1,BV282),0,1-INDEX('Lease Cycles'!$EM$24:$ES$24,1,BV282)),IF(OR(INDEX('Lease Cycles'!$DY$24:$EE$24,1,BV282)=1,BV283&gt;0),1,1-INDEX('Lease Cycles'!$DD$24:$DJ$24,1,BV282))*('Lease Cycles'!$AJ$24*INDEX('Lease Cycles'!$FO$24:$FU$24,1,BV282)+'Lease Cycles'!$BE$24*(1-INDEX('Lease Cycles'!$FO$24:$FU$24,1,BV282)))),0)</f>
        <v>0</v>
      </c>
      <c r="BW292" s="24">
        <f>IF(BW284=1,'Lease Cycles'!$D$24*IF(INDEX('Lease Cycles'!$EF$24:$EL$24,1,BW282)=1,'Lease Cycles'!$AJ$24*INDEX('Lease Cycles'!$FO$24:$FU$24,1,BW282)*INDEX('Lease Cycles'!$EM$24:$ES$24,1,BW282)+'Lease Cycles'!$BE$24*IF(BW283&lt;INDEX('Lease Cycles'!$FA$24:$FG$24,1,BW282),0,1-INDEX('Lease Cycles'!$EM$24:$ES$24,1,BW282)),IF(OR(INDEX('Lease Cycles'!$DY$24:$EE$24,1,BW282)=1,BW283&gt;0),1,1-INDEX('Lease Cycles'!$DD$24:$DJ$24,1,BW282))*('Lease Cycles'!$AJ$24*INDEX('Lease Cycles'!$FO$24:$FU$24,1,BW282)+'Lease Cycles'!$BE$24*(1-INDEX('Lease Cycles'!$FO$24:$FU$24,1,BW282)))),0)</f>
        <v>0</v>
      </c>
      <c r="BX292" s="24">
        <f>IF(BX284=1,'Lease Cycles'!$D$24*IF(INDEX('Lease Cycles'!$EF$24:$EL$24,1,BX282)=1,'Lease Cycles'!$AJ$24*INDEX('Lease Cycles'!$FO$24:$FU$24,1,BX282)*INDEX('Lease Cycles'!$EM$24:$ES$24,1,BX282)+'Lease Cycles'!$BE$24*IF(BX283&lt;INDEX('Lease Cycles'!$FA$24:$FG$24,1,BX282),0,1-INDEX('Lease Cycles'!$EM$24:$ES$24,1,BX282)),IF(OR(INDEX('Lease Cycles'!$DY$24:$EE$24,1,BX282)=1,BX283&gt;0),1,1-INDEX('Lease Cycles'!$DD$24:$DJ$24,1,BX282))*('Lease Cycles'!$AJ$24*INDEX('Lease Cycles'!$FO$24:$FU$24,1,BX282)+'Lease Cycles'!$BE$24*(1-INDEX('Lease Cycles'!$FO$24:$FU$24,1,BX282)))),0)</f>
        <v>0</v>
      </c>
      <c r="BY292" s="24">
        <f>IF(BY284=1,'Lease Cycles'!$D$24*IF(INDEX('Lease Cycles'!$EF$24:$EL$24,1,BY282)=1,'Lease Cycles'!$AJ$24*INDEX('Lease Cycles'!$FO$24:$FU$24,1,BY282)*INDEX('Lease Cycles'!$EM$24:$ES$24,1,BY282)+'Lease Cycles'!$BE$24*IF(BY283&lt;INDEX('Lease Cycles'!$FA$24:$FG$24,1,BY282),0,1-INDEX('Lease Cycles'!$EM$24:$ES$24,1,BY282)),IF(OR(INDEX('Lease Cycles'!$DY$24:$EE$24,1,BY282)=1,BY283&gt;0),1,1-INDEX('Lease Cycles'!$DD$24:$DJ$24,1,BY282))*('Lease Cycles'!$AJ$24*INDEX('Lease Cycles'!$FO$24:$FU$24,1,BY282)+'Lease Cycles'!$BE$24*(1-INDEX('Lease Cycles'!$FO$24:$FU$24,1,BY282)))),0)</f>
        <v>0</v>
      </c>
      <c r="BZ292" s="24">
        <f>IF(BZ284=1,'Lease Cycles'!$D$24*IF(INDEX('Lease Cycles'!$EF$24:$EL$24,1,BZ282)=1,'Lease Cycles'!$AJ$24*INDEX('Lease Cycles'!$FO$24:$FU$24,1,BZ282)*INDEX('Lease Cycles'!$EM$24:$ES$24,1,BZ282)+'Lease Cycles'!$BE$24*IF(BZ283&lt;INDEX('Lease Cycles'!$FA$24:$FG$24,1,BZ282),0,1-INDEX('Lease Cycles'!$EM$24:$ES$24,1,BZ282)),IF(OR(INDEX('Lease Cycles'!$DY$24:$EE$24,1,BZ282)=1,BZ283&gt;0),1,1-INDEX('Lease Cycles'!$DD$24:$DJ$24,1,BZ282))*('Lease Cycles'!$AJ$24*INDEX('Lease Cycles'!$FO$24:$FU$24,1,BZ282)+'Lease Cycles'!$BE$24*(1-INDEX('Lease Cycles'!$FO$24:$FU$24,1,BZ282)))),0)</f>
        <v>0</v>
      </c>
      <c r="CA292" s="24">
        <f>IF(CA284=1,'Lease Cycles'!$D$24*IF(INDEX('Lease Cycles'!$EF$24:$EL$24,1,CA282)=1,'Lease Cycles'!$AJ$24*INDEX('Lease Cycles'!$FO$24:$FU$24,1,CA282)*INDEX('Lease Cycles'!$EM$24:$ES$24,1,CA282)+'Lease Cycles'!$BE$24*IF(CA283&lt;INDEX('Lease Cycles'!$FA$24:$FG$24,1,CA282),0,1-INDEX('Lease Cycles'!$EM$24:$ES$24,1,CA282)),IF(OR(INDEX('Lease Cycles'!$DY$24:$EE$24,1,CA282)=1,CA283&gt;0),1,1-INDEX('Lease Cycles'!$DD$24:$DJ$24,1,CA282))*('Lease Cycles'!$AJ$24*INDEX('Lease Cycles'!$FO$24:$FU$24,1,CA282)+'Lease Cycles'!$BE$24*(1-INDEX('Lease Cycles'!$FO$24:$FU$24,1,CA282)))),0)</f>
        <v>0</v>
      </c>
      <c r="CB292" s="24">
        <f>IF(CB284=1,'Lease Cycles'!$D$24*IF(INDEX('Lease Cycles'!$EF$24:$EL$24,1,CB282)=1,'Lease Cycles'!$AJ$24*INDEX('Lease Cycles'!$FO$24:$FU$24,1,CB282)*INDEX('Lease Cycles'!$EM$24:$ES$24,1,CB282)+'Lease Cycles'!$BE$24*IF(CB283&lt;INDEX('Lease Cycles'!$FA$24:$FG$24,1,CB282),0,1-INDEX('Lease Cycles'!$EM$24:$ES$24,1,CB282)),IF(OR(INDEX('Lease Cycles'!$DY$24:$EE$24,1,CB282)=1,CB283&gt;0),1,1-INDEX('Lease Cycles'!$DD$24:$DJ$24,1,CB282))*('Lease Cycles'!$AJ$24*INDEX('Lease Cycles'!$FO$24:$FU$24,1,CB282)+'Lease Cycles'!$BE$24*(1-INDEX('Lease Cycles'!$FO$24:$FU$24,1,CB282)))),0)</f>
        <v>0</v>
      </c>
      <c r="CC292" s="24">
        <f>IF(CC284=1,'Lease Cycles'!$D$24*IF(INDEX('Lease Cycles'!$EF$24:$EL$24,1,CC282)=1,'Lease Cycles'!$AJ$24*INDEX('Lease Cycles'!$FO$24:$FU$24,1,CC282)*INDEX('Lease Cycles'!$EM$24:$ES$24,1,CC282)+'Lease Cycles'!$BE$24*IF(CC283&lt;INDEX('Lease Cycles'!$FA$24:$FG$24,1,CC282),0,1-INDEX('Lease Cycles'!$EM$24:$ES$24,1,CC282)),IF(OR(INDEX('Lease Cycles'!$DY$24:$EE$24,1,CC282)=1,CC283&gt;0),1,1-INDEX('Lease Cycles'!$DD$24:$DJ$24,1,CC282))*('Lease Cycles'!$AJ$24*INDEX('Lease Cycles'!$FO$24:$FU$24,1,CC282)+'Lease Cycles'!$BE$24*(1-INDEX('Lease Cycles'!$FO$24:$FU$24,1,CC282)))),0)</f>
        <v>0</v>
      </c>
      <c r="CD292" s="24">
        <f>IF(CD284=1,'Lease Cycles'!$D$24*IF(INDEX('Lease Cycles'!$EF$24:$EL$24,1,CD282)=1,'Lease Cycles'!$AJ$24*INDEX('Lease Cycles'!$FO$24:$FU$24,1,CD282)*INDEX('Lease Cycles'!$EM$24:$ES$24,1,CD282)+'Lease Cycles'!$BE$24*IF(CD283&lt;INDEX('Lease Cycles'!$FA$24:$FG$24,1,CD282),0,1-INDEX('Lease Cycles'!$EM$24:$ES$24,1,CD282)),IF(OR(INDEX('Lease Cycles'!$DY$24:$EE$24,1,CD282)=1,CD283&gt;0),1,1-INDEX('Lease Cycles'!$DD$24:$DJ$24,1,CD282))*('Lease Cycles'!$AJ$24*INDEX('Lease Cycles'!$FO$24:$FU$24,1,CD282)+'Lease Cycles'!$BE$24*(1-INDEX('Lease Cycles'!$FO$24:$FU$24,1,CD282)))),0)</f>
        <v>0</v>
      </c>
      <c r="CE292" s="24">
        <f>IF(CE284=1,'Lease Cycles'!$D$24*IF(INDEX('Lease Cycles'!$EF$24:$EL$24,1,CE282)=1,'Lease Cycles'!$AJ$24*INDEX('Lease Cycles'!$FO$24:$FU$24,1,CE282)*INDEX('Lease Cycles'!$EM$24:$ES$24,1,CE282)+'Lease Cycles'!$BE$24*IF(CE283&lt;INDEX('Lease Cycles'!$FA$24:$FG$24,1,CE282),0,1-INDEX('Lease Cycles'!$EM$24:$ES$24,1,CE282)),IF(OR(INDEX('Lease Cycles'!$DY$24:$EE$24,1,CE282)=1,CE283&gt;0),1,1-INDEX('Lease Cycles'!$DD$24:$DJ$24,1,CE282))*('Lease Cycles'!$AJ$24*INDEX('Lease Cycles'!$FO$24:$FU$24,1,CE282)+'Lease Cycles'!$BE$24*(1-INDEX('Lease Cycles'!$FO$24:$FU$24,1,CE282)))),0)</f>
        <v>0</v>
      </c>
      <c r="CF292" s="24">
        <f>IF(CF284=1,'Lease Cycles'!$D$24*IF(INDEX('Lease Cycles'!$EF$24:$EL$24,1,CF282)=1,'Lease Cycles'!$AJ$24*INDEX('Lease Cycles'!$FO$24:$FU$24,1,CF282)*INDEX('Lease Cycles'!$EM$24:$ES$24,1,CF282)+'Lease Cycles'!$BE$24*IF(CF283&lt;INDEX('Lease Cycles'!$FA$24:$FG$24,1,CF282),0,1-INDEX('Lease Cycles'!$EM$24:$ES$24,1,CF282)),IF(OR(INDEX('Lease Cycles'!$DY$24:$EE$24,1,CF282)=1,CF283&gt;0),1,1-INDEX('Lease Cycles'!$DD$24:$DJ$24,1,CF282))*('Lease Cycles'!$AJ$24*INDEX('Lease Cycles'!$FO$24:$FU$24,1,CF282)+'Lease Cycles'!$BE$24*(1-INDEX('Lease Cycles'!$FO$24:$FU$24,1,CF282)))),0)</f>
        <v>0</v>
      </c>
      <c r="CG292" s="24">
        <f>IF(CG284=1,'Lease Cycles'!$D$24*IF(INDEX('Lease Cycles'!$EF$24:$EL$24,1,CG282)=1,'Lease Cycles'!$AJ$24*INDEX('Lease Cycles'!$FO$24:$FU$24,1,CG282)*INDEX('Lease Cycles'!$EM$24:$ES$24,1,CG282)+'Lease Cycles'!$BE$24*IF(CG283&lt;INDEX('Lease Cycles'!$FA$24:$FG$24,1,CG282),0,1-INDEX('Lease Cycles'!$EM$24:$ES$24,1,CG282)),IF(OR(INDEX('Lease Cycles'!$DY$24:$EE$24,1,CG282)=1,CG283&gt;0),1,1-INDEX('Lease Cycles'!$DD$24:$DJ$24,1,CG282))*('Lease Cycles'!$AJ$24*INDEX('Lease Cycles'!$FO$24:$FU$24,1,CG282)+'Lease Cycles'!$BE$24*(1-INDEX('Lease Cycles'!$FO$24:$FU$24,1,CG282)))),0)</f>
        <v>0</v>
      </c>
      <c r="CH292" s="24">
        <f>IF(CH284=1,'Lease Cycles'!$D$24*IF(INDEX('Lease Cycles'!$EF$24:$EL$24,1,CH282)=1,'Lease Cycles'!$AJ$24*INDEX('Lease Cycles'!$FO$24:$FU$24,1,CH282)*INDEX('Lease Cycles'!$EM$24:$ES$24,1,CH282)+'Lease Cycles'!$BE$24*IF(CH283&lt;INDEX('Lease Cycles'!$FA$24:$FG$24,1,CH282),0,1-INDEX('Lease Cycles'!$EM$24:$ES$24,1,CH282)),IF(OR(INDEX('Lease Cycles'!$DY$24:$EE$24,1,CH282)=1,CH283&gt;0),1,1-INDEX('Lease Cycles'!$DD$24:$DJ$24,1,CH282))*('Lease Cycles'!$AJ$24*INDEX('Lease Cycles'!$FO$24:$FU$24,1,CH282)+'Lease Cycles'!$BE$24*(1-INDEX('Lease Cycles'!$FO$24:$FU$24,1,CH282)))),0)</f>
        <v>0</v>
      </c>
      <c r="CI292" s="24">
        <f>IF(CI284=1,'Lease Cycles'!$D$24*IF(INDEX('Lease Cycles'!$EF$24:$EL$24,1,CI282)=1,'Lease Cycles'!$AJ$24*INDEX('Lease Cycles'!$FO$24:$FU$24,1,CI282)*INDEX('Lease Cycles'!$EM$24:$ES$24,1,CI282)+'Lease Cycles'!$BE$24*IF(CI283&lt;INDEX('Lease Cycles'!$FA$24:$FG$24,1,CI282),0,1-INDEX('Lease Cycles'!$EM$24:$ES$24,1,CI282)),IF(OR(INDEX('Lease Cycles'!$DY$24:$EE$24,1,CI282)=1,CI283&gt;0),1,1-INDEX('Lease Cycles'!$DD$24:$DJ$24,1,CI282))*('Lease Cycles'!$AJ$24*INDEX('Lease Cycles'!$FO$24:$FU$24,1,CI282)+'Lease Cycles'!$BE$24*(1-INDEX('Lease Cycles'!$FO$24:$FU$24,1,CI282)))),0)</f>
        <v>0</v>
      </c>
      <c r="CJ292" s="24">
        <f>IF(CJ284=1,'Lease Cycles'!$D$24*IF(INDEX('Lease Cycles'!$EF$24:$EL$24,1,CJ282)=1,'Lease Cycles'!$AJ$24*INDEX('Lease Cycles'!$FO$24:$FU$24,1,CJ282)*INDEX('Lease Cycles'!$EM$24:$ES$24,1,CJ282)+'Lease Cycles'!$BE$24*IF(CJ283&lt;INDEX('Lease Cycles'!$FA$24:$FG$24,1,CJ282),0,1-INDEX('Lease Cycles'!$EM$24:$ES$24,1,CJ282)),IF(OR(INDEX('Lease Cycles'!$DY$24:$EE$24,1,CJ282)=1,CJ283&gt;0),1,1-INDEX('Lease Cycles'!$DD$24:$DJ$24,1,CJ282))*('Lease Cycles'!$AJ$24*INDEX('Lease Cycles'!$FO$24:$FU$24,1,CJ282)+'Lease Cycles'!$BE$24*(1-INDEX('Lease Cycles'!$FO$24:$FU$24,1,CJ282)))),0)</f>
        <v>0</v>
      </c>
      <c r="CK292" s="24">
        <f>IF(CK284=1,'Lease Cycles'!$D$24*IF(INDEX('Lease Cycles'!$EF$24:$EL$24,1,CK282)=1,'Lease Cycles'!$AJ$24*INDEX('Lease Cycles'!$FO$24:$FU$24,1,CK282)*INDEX('Lease Cycles'!$EM$24:$ES$24,1,CK282)+'Lease Cycles'!$BE$24*IF(CK283&lt;INDEX('Lease Cycles'!$FA$24:$FG$24,1,CK282),0,1-INDEX('Lease Cycles'!$EM$24:$ES$24,1,CK282)),IF(OR(INDEX('Lease Cycles'!$DY$24:$EE$24,1,CK282)=1,CK283&gt;0),1,1-INDEX('Lease Cycles'!$DD$24:$DJ$24,1,CK282))*('Lease Cycles'!$AJ$24*INDEX('Lease Cycles'!$FO$24:$FU$24,1,CK282)+'Lease Cycles'!$BE$24*(1-INDEX('Lease Cycles'!$FO$24:$FU$24,1,CK282)))),0)</f>
        <v>0</v>
      </c>
      <c r="CL292" s="24">
        <f>IF(CL284=1,'Lease Cycles'!$D$24*IF(INDEX('Lease Cycles'!$EF$24:$EL$24,1,CL282)=1,'Lease Cycles'!$AJ$24*INDEX('Lease Cycles'!$FO$24:$FU$24,1,CL282)*INDEX('Lease Cycles'!$EM$24:$ES$24,1,CL282)+'Lease Cycles'!$BE$24*IF(CL283&lt;INDEX('Lease Cycles'!$FA$24:$FG$24,1,CL282),0,1-INDEX('Lease Cycles'!$EM$24:$ES$24,1,CL282)),IF(OR(INDEX('Lease Cycles'!$DY$24:$EE$24,1,CL282)=1,CL283&gt;0),1,1-INDEX('Lease Cycles'!$DD$24:$DJ$24,1,CL282))*('Lease Cycles'!$AJ$24*INDEX('Lease Cycles'!$FO$24:$FU$24,1,CL282)+'Lease Cycles'!$BE$24*(1-INDEX('Lease Cycles'!$FO$24:$FU$24,1,CL282)))),0)</f>
        <v>0</v>
      </c>
      <c r="CM292" s="24">
        <f>IF(CM284=1,'Lease Cycles'!$D$24*IF(INDEX('Lease Cycles'!$EF$24:$EL$24,1,CM282)=1,'Lease Cycles'!$AJ$24*INDEX('Lease Cycles'!$FO$24:$FU$24,1,CM282)*INDEX('Lease Cycles'!$EM$24:$ES$24,1,CM282)+'Lease Cycles'!$BE$24*IF(CM283&lt;INDEX('Lease Cycles'!$FA$24:$FG$24,1,CM282),0,1-INDEX('Lease Cycles'!$EM$24:$ES$24,1,CM282)),IF(OR(INDEX('Lease Cycles'!$DY$24:$EE$24,1,CM282)=1,CM283&gt;0),1,1-INDEX('Lease Cycles'!$DD$24:$DJ$24,1,CM282))*('Lease Cycles'!$AJ$24*INDEX('Lease Cycles'!$FO$24:$FU$24,1,CM282)+'Lease Cycles'!$BE$24*(1-INDEX('Lease Cycles'!$FO$24:$FU$24,1,CM282)))),0)</f>
        <v>0</v>
      </c>
      <c r="CN292" s="24">
        <f>IF(CN284=1,'Lease Cycles'!$D$24*IF(INDEX('Lease Cycles'!$EF$24:$EL$24,1,CN282)=1,'Lease Cycles'!$AJ$24*INDEX('Lease Cycles'!$FO$24:$FU$24,1,CN282)*INDEX('Lease Cycles'!$EM$24:$ES$24,1,CN282)+'Lease Cycles'!$BE$24*IF(CN283&lt;INDEX('Lease Cycles'!$FA$24:$FG$24,1,CN282),0,1-INDEX('Lease Cycles'!$EM$24:$ES$24,1,CN282)),IF(OR(INDEX('Lease Cycles'!$DY$24:$EE$24,1,CN282)=1,CN283&gt;0),1,1-INDEX('Lease Cycles'!$DD$24:$DJ$24,1,CN282))*('Lease Cycles'!$AJ$24*INDEX('Lease Cycles'!$FO$24:$FU$24,1,CN282)+'Lease Cycles'!$BE$24*(1-INDEX('Lease Cycles'!$FO$24:$FU$24,1,CN282)))),0)</f>
        <v>0</v>
      </c>
      <c r="CO292" s="24">
        <f>IF(CO284=1,'Lease Cycles'!$D$24*IF(INDEX('Lease Cycles'!$EF$24:$EL$24,1,CO282)=1,'Lease Cycles'!$AJ$24*INDEX('Lease Cycles'!$FO$24:$FU$24,1,CO282)*INDEX('Lease Cycles'!$EM$24:$ES$24,1,CO282)+'Lease Cycles'!$BE$24*IF(CO283&lt;INDEX('Lease Cycles'!$FA$24:$FG$24,1,CO282),0,1-INDEX('Lease Cycles'!$EM$24:$ES$24,1,CO282)),IF(OR(INDEX('Lease Cycles'!$DY$24:$EE$24,1,CO282)=1,CO283&gt;0),1,1-INDEX('Lease Cycles'!$DD$24:$DJ$24,1,CO282))*('Lease Cycles'!$AJ$24*INDEX('Lease Cycles'!$FO$24:$FU$24,1,CO282)+'Lease Cycles'!$BE$24*(1-INDEX('Lease Cycles'!$FO$24:$FU$24,1,CO282)))),0)</f>
        <v>0</v>
      </c>
      <c r="CP292" s="24">
        <f>IF(CP284=1,'Lease Cycles'!$D$24*IF(INDEX('Lease Cycles'!$EF$24:$EL$24,1,CP282)=1,'Lease Cycles'!$AJ$24*INDEX('Lease Cycles'!$FO$24:$FU$24,1,CP282)*INDEX('Lease Cycles'!$EM$24:$ES$24,1,CP282)+'Lease Cycles'!$BE$24*IF(CP283&lt;INDEX('Lease Cycles'!$FA$24:$FG$24,1,CP282),0,1-INDEX('Lease Cycles'!$EM$24:$ES$24,1,CP282)),IF(OR(INDEX('Lease Cycles'!$DY$24:$EE$24,1,CP282)=1,CP283&gt;0),1,1-INDEX('Lease Cycles'!$DD$24:$DJ$24,1,CP282))*('Lease Cycles'!$AJ$24*INDEX('Lease Cycles'!$FO$24:$FU$24,1,CP282)+'Lease Cycles'!$BE$24*(1-INDEX('Lease Cycles'!$FO$24:$FU$24,1,CP282)))),0)</f>
        <v>0</v>
      </c>
      <c r="CQ292" s="24">
        <f>IF(CQ284=1,'Lease Cycles'!$D$24*IF(INDEX('Lease Cycles'!$EF$24:$EL$24,1,CQ282)=1,'Lease Cycles'!$AJ$24*INDEX('Lease Cycles'!$FO$24:$FU$24,1,CQ282)*INDEX('Lease Cycles'!$EM$24:$ES$24,1,CQ282)+'Lease Cycles'!$BE$24*IF(CQ283&lt;INDEX('Lease Cycles'!$FA$24:$FG$24,1,CQ282),0,1-INDEX('Lease Cycles'!$EM$24:$ES$24,1,CQ282)),IF(OR(INDEX('Lease Cycles'!$DY$24:$EE$24,1,CQ282)=1,CQ283&gt;0),1,1-INDEX('Lease Cycles'!$DD$24:$DJ$24,1,CQ282))*('Lease Cycles'!$AJ$24*INDEX('Lease Cycles'!$FO$24:$FU$24,1,CQ282)+'Lease Cycles'!$BE$24*(1-INDEX('Lease Cycles'!$FO$24:$FU$24,1,CQ282)))),0)</f>
        <v>0</v>
      </c>
      <c r="CR292" s="24">
        <f>IF(CR284=1,'Lease Cycles'!$D$24*IF(INDEX('Lease Cycles'!$EF$24:$EL$24,1,CR282)=1,'Lease Cycles'!$AJ$24*INDEX('Lease Cycles'!$FO$24:$FU$24,1,CR282)*INDEX('Lease Cycles'!$EM$24:$ES$24,1,CR282)+'Lease Cycles'!$BE$24*IF(CR283&lt;INDEX('Lease Cycles'!$FA$24:$FG$24,1,CR282),0,1-INDEX('Lease Cycles'!$EM$24:$ES$24,1,CR282)),IF(OR(INDEX('Lease Cycles'!$DY$24:$EE$24,1,CR282)=1,CR283&gt;0),1,1-INDEX('Lease Cycles'!$DD$24:$DJ$24,1,CR282))*('Lease Cycles'!$AJ$24*INDEX('Lease Cycles'!$FO$24:$FU$24,1,CR282)+'Lease Cycles'!$BE$24*(1-INDEX('Lease Cycles'!$FO$24:$FU$24,1,CR282)))),0)</f>
        <v>0</v>
      </c>
      <c r="CS292" s="24">
        <f>IF(CS284=1,'Lease Cycles'!$D$24*IF(INDEX('Lease Cycles'!$EF$24:$EL$24,1,CS282)=1,'Lease Cycles'!$AJ$24*INDEX('Lease Cycles'!$FO$24:$FU$24,1,CS282)*INDEX('Lease Cycles'!$EM$24:$ES$24,1,CS282)+'Lease Cycles'!$BE$24*IF(CS283&lt;INDEX('Lease Cycles'!$FA$24:$FG$24,1,CS282),0,1-INDEX('Lease Cycles'!$EM$24:$ES$24,1,CS282)),IF(OR(INDEX('Lease Cycles'!$DY$24:$EE$24,1,CS282)=1,CS283&gt;0),1,1-INDEX('Lease Cycles'!$DD$24:$DJ$24,1,CS282))*('Lease Cycles'!$AJ$24*INDEX('Lease Cycles'!$FO$24:$FU$24,1,CS282)+'Lease Cycles'!$BE$24*(1-INDEX('Lease Cycles'!$FO$24:$FU$24,1,CS282)))),0)</f>
        <v>0</v>
      </c>
      <c r="CT292" s="24">
        <f>IF(CT284=1,'Lease Cycles'!$D$24*IF(INDEX('Lease Cycles'!$EF$24:$EL$24,1,CT282)=1,'Lease Cycles'!$AJ$24*INDEX('Lease Cycles'!$FO$24:$FU$24,1,CT282)*INDEX('Lease Cycles'!$EM$24:$ES$24,1,CT282)+'Lease Cycles'!$BE$24*IF(CT283&lt;INDEX('Lease Cycles'!$FA$24:$FG$24,1,CT282),0,1-INDEX('Lease Cycles'!$EM$24:$ES$24,1,CT282)),IF(OR(INDEX('Lease Cycles'!$DY$24:$EE$24,1,CT282)=1,CT283&gt;0),1,1-INDEX('Lease Cycles'!$DD$24:$DJ$24,1,CT282))*('Lease Cycles'!$AJ$24*INDEX('Lease Cycles'!$FO$24:$FU$24,1,CT282)+'Lease Cycles'!$BE$24*(1-INDEX('Lease Cycles'!$FO$24:$FU$24,1,CT282)))),0)</f>
        <v>0</v>
      </c>
      <c r="CU292" s="24">
        <f>IF(CU284=1,'Lease Cycles'!$D$24*IF(INDEX('Lease Cycles'!$EF$24:$EL$24,1,CU282)=1,'Lease Cycles'!$AJ$24*INDEX('Lease Cycles'!$FO$24:$FU$24,1,CU282)*INDEX('Lease Cycles'!$EM$24:$ES$24,1,CU282)+'Lease Cycles'!$BE$24*IF(CU283&lt;INDEX('Lease Cycles'!$FA$24:$FG$24,1,CU282),0,1-INDEX('Lease Cycles'!$EM$24:$ES$24,1,CU282)),IF(OR(INDEX('Lease Cycles'!$DY$24:$EE$24,1,CU282)=1,CU283&gt;0),1,1-INDEX('Lease Cycles'!$DD$24:$DJ$24,1,CU282))*('Lease Cycles'!$AJ$24*INDEX('Lease Cycles'!$FO$24:$FU$24,1,CU282)+'Lease Cycles'!$BE$24*(1-INDEX('Lease Cycles'!$FO$24:$FU$24,1,CU282)))),0)</f>
        <v>0</v>
      </c>
      <c r="CV292" s="24">
        <f>IF(CV284=1,'Lease Cycles'!$D$24*IF(INDEX('Lease Cycles'!$EF$24:$EL$24,1,CV282)=1,'Lease Cycles'!$AJ$24*INDEX('Lease Cycles'!$FO$24:$FU$24,1,CV282)*INDEX('Lease Cycles'!$EM$24:$ES$24,1,CV282)+'Lease Cycles'!$BE$24*IF(CV283&lt;INDEX('Lease Cycles'!$FA$24:$FG$24,1,CV282),0,1-INDEX('Lease Cycles'!$EM$24:$ES$24,1,CV282)),IF(OR(INDEX('Lease Cycles'!$DY$24:$EE$24,1,CV282)=1,CV283&gt;0),1,1-INDEX('Lease Cycles'!$DD$24:$DJ$24,1,CV282))*('Lease Cycles'!$AJ$24*INDEX('Lease Cycles'!$FO$24:$FU$24,1,CV282)+'Lease Cycles'!$BE$24*(1-INDEX('Lease Cycles'!$FO$24:$FU$24,1,CV282)))),0)</f>
        <v>0</v>
      </c>
      <c r="CW292" s="24">
        <f>IF(CW284=1,'Lease Cycles'!$D$24*IF(INDEX('Lease Cycles'!$EF$24:$EL$24,1,CW282)=1,'Lease Cycles'!$AJ$24*INDEX('Lease Cycles'!$FO$24:$FU$24,1,CW282)*INDEX('Lease Cycles'!$EM$24:$ES$24,1,CW282)+'Lease Cycles'!$BE$24*IF(CW283&lt;INDEX('Lease Cycles'!$FA$24:$FG$24,1,CW282),0,1-INDEX('Lease Cycles'!$EM$24:$ES$24,1,CW282)),IF(OR(INDEX('Lease Cycles'!$DY$24:$EE$24,1,CW282)=1,CW283&gt;0),1,1-INDEX('Lease Cycles'!$DD$24:$DJ$24,1,CW282))*('Lease Cycles'!$AJ$24*INDEX('Lease Cycles'!$FO$24:$FU$24,1,CW282)+'Lease Cycles'!$BE$24*(1-INDEX('Lease Cycles'!$FO$24:$FU$24,1,CW282)))),0)</f>
        <v>0</v>
      </c>
      <c r="CX292" s="24">
        <f>IF(CX284=1,'Lease Cycles'!$D$24*IF(INDEX('Lease Cycles'!$EF$24:$EL$24,1,CX282)=1,'Lease Cycles'!$AJ$24*INDEX('Lease Cycles'!$FO$24:$FU$24,1,CX282)*INDEX('Lease Cycles'!$EM$24:$ES$24,1,CX282)+'Lease Cycles'!$BE$24*IF(CX283&lt;INDEX('Lease Cycles'!$FA$24:$FG$24,1,CX282),0,1-INDEX('Lease Cycles'!$EM$24:$ES$24,1,CX282)),IF(OR(INDEX('Lease Cycles'!$DY$24:$EE$24,1,CX282)=1,CX283&gt;0),1,1-INDEX('Lease Cycles'!$DD$24:$DJ$24,1,CX282))*('Lease Cycles'!$AJ$24*INDEX('Lease Cycles'!$FO$24:$FU$24,1,CX282)+'Lease Cycles'!$BE$24*(1-INDEX('Lease Cycles'!$FO$24:$FU$24,1,CX282)))),0)</f>
        <v>0</v>
      </c>
      <c r="CY292" s="24">
        <f>IF(CY284=1,'Lease Cycles'!$D$24*IF(INDEX('Lease Cycles'!$EF$24:$EL$24,1,CY282)=1,'Lease Cycles'!$AJ$24*INDEX('Lease Cycles'!$FO$24:$FU$24,1,CY282)*INDEX('Lease Cycles'!$EM$24:$ES$24,1,CY282)+'Lease Cycles'!$BE$24*IF(CY283&lt;INDEX('Lease Cycles'!$FA$24:$FG$24,1,CY282),0,1-INDEX('Lease Cycles'!$EM$24:$ES$24,1,CY282)),IF(OR(INDEX('Lease Cycles'!$DY$24:$EE$24,1,CY282)=1,CY283&gt;0),1,1-INDEX('Lease Cycles'!$DD$24:$DJ$24,1,CY282))*('Lease Cycles'!$AJ$24*INDEX('Lease Cycles'!$FO$24:$FU$24,1,CY282)+'Lease Cycles'!$BE$24*(1-INDEX('Lease Cycles'!$FO$24:$FU$24,1,CY282)))),0)</f>
        <v>0</v>
      </c>
      <c r="CZ292" s="24">
        <f>IF(CZ284=1,'Lease Cycles'!$D$24*IF(INDEX('Lease Cycles'!$EF$24:$EL$24,1,CZ282)=1,'Lease Cycles'!$AJ$24*INDEX('Lease Cycles'!$FO$24:$FU$24,1,CZ282)*INDEX('Lease Cycles'!$EM$24:$ES$24,1,CZ282)+'Lease Cycles'!$BE$24*IF(CZ283&lt;INDEX('Lease Cycles'!$FA$24:$FG$24,1,CZ282),0,1-INDEX('Lease Cycles'!$EM$24:$ES$24,1,CZ282)),IF(OR(INDEX('Lease Cycles'!$DY$24:$EE$24,1,CZ282)=1,CZ283&gt;0),1,1-INDEX('Lease Cycles'!$DD$24:$DJ$24,1,CZ282))*('Lease Cycles'!$AJ$24*INDEX('Lease Cycles'!$FO$24:$FU$24,1,CZ282)+'Lease Cycles'!$BE$24*(1-INDEX('Lease Cycles'!$FO$24:$FU$24,1,CZ282)))),0)</f>
        <v>0</v>
      </c>
      <c r="DA292" s="24">
        <f>IF(DA284=1,'Lease Cycles'!$D$24*IF(INDEX('Lease Cycles'!$EF$24:$EL$24,1,DA282)=1,'Lease Cycles'!$AJ$24*INDEX('Lease Cycles'!$FO$24:$FU$24,1,DA282)*INDEX('Lease Cycles'!$EM$24:$ES$24,1,DA282)+'Lease Cycles'!$BE$24*IF(DA283&lt;INDEX('Lease Cycles'!$FA$24:$FG$24,1,DA282),0,1-INDEX('Lease Cycles'!$EM$24:$ES$24,1,DA282)),IF(OR(INDEX('Lease Cycles'!$DY$24:$EE$24,1,DA282)=1,DA283&gt;0),1,1-INDEX('Lease Cycles'!$DD$24:$DJ$24,1,DA282))*('Lease Cycles'!$AJ$24*INDEX('Lease Cycles'!$FO$24:$FU$24,1,DA282)+'Lease Cycles'!$BE$24*(1-INDEX('Lease Cycles'!$FO$24:$FU$24,1,DA282)))),0)</f>
        <v>0</v>
      </c>
      <c r="DB292" s="24">
        <f>IF(DB284=1,'Lease Cycles'!$D$24*IF(INDEX('Lease Cycles'!$EF$24:$EL$24,1,DB282)=1,'Lease Cycles'!$AJ$24*INDEX('Lease Cycles'!$FO$24:$FU$24,1,DB282)*INDEX('Lease Cycles'!$EM$24:$ES$24,1,DB282)+'Lease Cycles'!$BE$24*IF(DB283&lt;INDEX('Lease Cycles'!$FA$24:$FG$24,1,DB282),0,1-INDEX('Lease Cycles'!$EM$24:$ES$24,1,DB282)),IF(OR(INDEX('Lease Cycles'!$DY$24:$EE$24,1,DB282)=1,DB283&gt;0),1,1-INDEX('Lease Cycles'!$DD$24:$DJ$24,1,DB282))*('Lease Cycles'!$AJ$24*INDEX('Lease Cycles'!$FO$24:$FU$24,1,DB282)+'Lease Cycles'!$BE$24*(1-INDEX('Lease Cycles'!$FO$24:$FU$24,1,DB282)))),0)</f>
        <v>0</v>
      </c>
      <c r="DC292" s="24">
        <f>IF(DC284=1,'Lease Cycles'!$D$24*IF(INDEX('Lease Cycles'!$EF$24:$EL$24,1,DC282)=1,'Lease Cycles'!$AJ$24*INDEX('Lease Cycles'!$FO$24:$FU$24,1,DC282)*INDEX('Lease Cycles'!$EM$24:$ES$24,1,DC282)+'Lease Cycles'!$BE$24*IF(DC283&lt;INDEX('Lease Cycles'!$FA$24:$FG$24,1,DC282),0,1-INDEX('Lease Cycles'!$EM$24:$ES$24,1,DC282)),IF(OR(INDEX('Lease Cycles'!$DY$24:$EE$24,1,DC282)=1,DC283&gt;0),1,1-INDEX('Lease Cycles'!$DD$24:$DJ$24,1,DC282))*('Lease Cycles'!$AJ$24*INDEX('Lease Cycles'!$FO$24:$FU$24,1,DC282)+'Lease Cycles'!$BE$24*(1-INDEX('Lease Cycles'!$FO$24:$FU$24,1,DC282)))),0)</f>
        <v>0</v>
      </c>
      <c r="DD292" s="24">
        <f>IF(DD284=1,'Lease Cycles'!$D$24*IF(INDEX('Lease Cycles'!$EF$24:$EL$24,1,DD282)=1,'Lease Cycles'!$AJ$24*INDEX('Lease Cycles'!$FO$24:$FU$24,1,DD282)*INDEX('Lease Cycles'!$EM$24:$ES$24,1,DD282)+'Lease Cycles'!$BE$24*IF(DD283&lt;INDEX('Lease Cycles'!$FA$24:$FG$24,1,DD282),0,1-INDEX('Lease Cycles'!$EM$24:$ES$24,1,DD282)),IF(OR(INDEX('Lease Cycles'!$DY$24:$EE$24,1,DD282)=1,DD283&gt;0),1,1-INDEX('Lease Cycles'!$DD$24:$DJ$24,1,DD282))*('Lease Cycles'!$AJ$24*INDEX('Lease Cycles'!$FO$24:$FU$24,1,DD282)+'Lease Cycles'!$BE$24*(1-INDEX('Lease Cycles'!$FO$24:$FU$24,1,DD282)))),0)</f>
        <v>0</v>
      </c>
      <c r="DE292" s="24">
        <f>IF(DE284=1,'Lease Cycles'!$D$24*IF(INDEX('Lease Cycles'!$EF$24:$EL$24,1,DE282)=1,'Lease Cycles'!$AJ$24*INDEX('Lease Cycles'!$FO$24:$FU$24,1,DE282)*INDEX('Lease Cycles'!$EM$24:$ES$24,1,DE282)+'Lease Cycles'!$BE$24*IF(DE283&lt;INDEX('Lease Cycles'!$FA$24:$FG$24,1,DE282),0,1-INDEX('Lease Cycles'!$EM$24:$ES$24,1,DE282)),IF(OR(INDEX('Lease Cycles'!$DY$24:$EE$24,1,DE282)=1,DE283&gt;0),1,1-INDEX('Lease Cycles'!$DD$24:$DJ$24,1,DE282))*('Lease Cycles'!$AJ$24*INDEX('Lease Cycles'!$FO$24:$FU$24,1,DE282)+'Lease Cycles'!$BE$24*(1-INDEX('Lease Cycles'!$FO$24:$FU$24,1,DE282)))),0)</f>
        <v>0</v>
      </c>
      <c r="DF292" s="24">
        <f>IF(DF284=1,'Lease Cycles'!$D$24*IF(INDEX('Lease Cycles'!$EF$24:$EL$24,1,DF282)=1,'Lease Cycles'!$AJ$24*INDEX('Lease Cycles'!$FO$24:$FU$24,1,DF282)*INDEX('Lease Cycles'!$EM$24:$ES$24,1,DF282)+'Lease Cycles'!$BE$24*IF(DF283&lt;INDEX('Lease Cycles'!$FA$24:$FG$24,1,DF282),0,1-INDEX('Lease Cycles'!$EM$24:$ES$24,1,DF282)),IF(OR(INDEX('Lease Cycles'!$DY$24:$EE$24,1,DF282)=1,DF283&gt;0),1,1-INDEX('Lease Cycles'!$DD$24:$DJ$24,1,DF282))*('Lease Cycles'!$AJ$24*INDEX('Lease Cycles'!$FO$24:$FU$24,1,DF282)+'Lease Cycles'!$BE$24*(1-INDEX('Lease Cycles'!$FO$24:$FU$24,1,DF282)))),0)</f>
        <v>0</v>
      </c>
      <c r="DG292" s="24">
        <f>IF(DG284=1,'Lease Cycles'!$D$24*IF(INDEX('Lease Cycles'!$EF$24:$EL$24,1,DG282)=1,'Lease Cycles'!$AJ$24*INDEX('Lease Cycles'!$FO$24:$FU$24,1,DG282)*INDEX('Lease Cycles'!$EM$24:$ES$24,1,DG282)+'Lease Cycles'!$BE$24*IF(DG283&lt;INDEX('Lease Cycles'!$FA$24:$FG$24,1,DG282),0,1-INDEX('Lease Cycles'!$EM$24:$ES$24,1,DG282)),IF(OR(INDEX('Lease Cycles'!$DY$24:$EE$24,1,DG282)=1,DG283&gt;0),1,1-INDEX('Lease Cycles'!$DD$24:$DJ$24,1,DG282))*('Lease Cycles'!$AJ$24*INDEX('Lease Cycles'!$FO$24:$FU$24,1,DG282)+'Lease Cycles'!$BE$24*(1-INDEX('Lease Cycles'!$FO$24:$FU$24,1,DG282)))),0)</f>
        <v>0</v>
      </c>
      <c r="DH292" s="24">
        <f>IF(DH284=1,'Lease Cycles'!$D$24*IF(INDEX('Lease Cycles'!$EF$24:$EL$24,1,DH282)=1,'Lease Cycles'!$AJ$24*INDEX('Lease Cycles'!$FO$24:$FU$24,1,DH282)*INDEX('Lease Cycles'!$EM$24:$ES$24,1,DH282)+'Lease Cycles'!$BE$24*IF(DH283&lt;INDEX('Lease Cycles'!$FA$24:$FG$24,1,DH282),0,1-INDEX('Lease Cycles'!$EM$24:$ES$24,1,DH282)),IF(OR(INDEX('Lease Cycles'!$DY$24:$EE$24,1,DH282)=1,DH283&gt;0),1,1-INDEX('Lease Cycles'!$DD$24:$DJ$24,1,DH282))*('Lease Cycles'!$AJ$24*INDEX('Lease Cycles'!$FO$24:$FU$24,1,DH282)+'Lease Cycles'!$BE$24*(1-INDEX('Lease Cycles'!$FO$24:$FU$24,1,DH282)))),0)</f>
        <v>0</v>
      </c>
      <c r="DI292" s="24">
        <f>IF(DI284=1,'Lease Cycles'!$D$24*IF(INDEX('Lease Cycles'!$EF$24:$EL$24,1,DI282)=1,'Lease Cycles'!$AJ$24*INDEX('Lease Cycles'!$FO$24:$FU$24,1,DI282)*INDEX('Lease Cycles'!$EM$24:$ES$24,1,DI282)+'Lease Cycles'!$BE$24*IF(DI283&lt;INDEX('Lease Cycles'!$FA$24:$FG$24,1,DI282),0,1-INDEX('Lease Cycles'!$EM$24:$ES$24,1,DI282)),IF(OR(INDEX('Lease Cycles'!$DY$24:$EE$24,1,DI282)=1,DI283&gt;0),1,1-INDEX('Lease Cycles'!$DD$24:$DJ$24,1,DI282))*('Lease Cycles'!$AJ$24*INDEX('Lease Cycles'!$FO$24:$FU$24,1,DI282)+'Lease Cycles'!$BE$24*(1-INDEX('Lease Cycles'!$FO$24:$FU$24,1,DI282)))),0)</f>
        <v>0</v>
      </c>
      <c r="DJ292" s="24">
        <f>IF(DJ284=1,'Lease Cycles'!$D$24*IF(INDEX('Lease Cycles'!$EF$24:$EL$24,1,DJ282)=1,'Lease Cycles'!$AJ$24*INDEX('Lease Cycles'!$FO$24:$FU$24,1,DJ282)*INDEX('Lease Cycles'!$EM$24:$ES$24,1,DJ282)+'Lease Cycles'!$BE$24*IF(DJ283&lt;INDEX('Lease Cycles'!$FA$24:$FG$24,1,DJ282),0,1-INDEX('Lease Cycles'!$EM$24:$ES$24,1,DJ282)),IF(OR(INDEX('Lease Cycles'!$DY$24:$EE$24,1,DJ282)=1,DJ283&gt;0),1,1-INDEX('Lease Cycles'!$DD$24:$DJ$24,1,DJ282))*('Lease Cycles'!$AJ$24*INDEX('Lease Cycles'!$FO$24:$FU$24,1,DJ282)+'Lease Cycles'!$BE$24*(1-INDEX('Lease Cycles'!$FO$24:$FU$24,1,DJ282)))),0)</f>
        <v>0</v>
      </c>
      <c r="DK292" s="24">
        <f>IF(DK284=1,'Lease Cycles'!$D$24*IF(INDEX('Lease Cycles'!$EF$24:$EL$24,1,DK282)=1,'Lease Cycles'!$AJ$24*INDEX('Lease Cycles'!$FO$24:$FU$24,1,DK282)*INDEX('Lease Cycles'!$EM$24:$ES$24,1,DK282)+'Lease Cycles'!$BE$24*IF(DK283&lt;INDEX('Lease Cycles'!$FA$24:$FG$24,1,DK282),0,1-INDEX('Lease Cycles'!$EM$24:$ES$24,1,DK282)),IF(OR(INDEX('Lease Cycles'!$DY$24:$EE$24,1,DK282)=1,DK283&gt;0),1,1-INDEX('Lease Cycles'!$DD$24:$DJ$24,1,DK282))*('Lease Cycles'!$AJ$24*INDEX('Lease Cycles'!$FO$24:$FU$24,1,DK282)+'Lease Cycles'!$BE$24*(1-INDEX('Lease Cycles'!$FO$24:$FU$24,1,DK282)))),0)</f>
        <v>0</v>
      </c>
      <c r="DL292" s="24">
        <f>IF(DL284=1,'Lease Cycles'!$D$24*IF(INDEX('Lease Cycles'!$EF$24:$EL$24,1,DL282)=1,'Lease Cycles'!$AJ$24*INDEX('Lease Cycles'!$FO$24:$FU$24,1,DL282)*INDEX('Lease Cycles'!$EM$24:$ES$24,1,DL282)+'Lease Cycles'!$BE$24*IF(DL283&lt;INDEX('Lease Cycles'!$FA$24:$FG$24,1,DL282),0,1-INDEX('Lease Cycles'!$EM$24:$ES$24,1,DL282)),IF(OR(INDEX('Lease Cycles'!$DY$24:$EE$24,1,DL282)=1,DL283&gt;0),1,1-INDEX('Lease Cycles'!$DD$24:$DJ$24,1,DL282))*('Lease Cycles'!$AJ$24*INDEX('Lease Cycles'!$FO$24:$FU$24,1,DL282)+'Lease Cycles'!$BE$24*(1-INDEX('Lease Cycles'!$FO$24:$FU$24,1,DL282)))),0)</f>
        <v>0</v>
      </c>
      <c r="DM292" s="24">
        <f>IF(DM284=1,'Lease Cycles'!$D$24*IF(INDEX('Lease Cycles'!$EF$24:$EL$24,1,DM282)=1,'Lease Cycles'!$AJ$24*INDEX('Lease Cycles'!$FO$24:$FU$24,1,DM282)*INDEX('Lease Cycles'!$EM$24:$ES$24,1,DM282)+'Lease Cycles'!$BE$24*IF(DM283&lt;INDEX('Lease Cycles'!$FA$24:$FG$24,1,DM282),0,1-INDEX('Lease Cycles'!$EM$24:$ES$24,1,DM282)),IF(OR(INDEX('Lease Cycles'!$DY$24:$EE$24,1,DM282)=1,DM283&gt;0),1,1-INDEX('Lease Cycles'!$DD$24:$DJ$24,1,DM282))*('Lease Cycles'!$AJ$24*INDEX('Lease Cycles'!$FO$24:$FU$24,1,DM282)+'Lease Cycles'!$BE$24*(1-INDEX('Lease Cycles'!$FO$24:$FU$24,1,DM282)))),0)</f>
        <v>0</v>
      </c>
      <c r="DN292" s="24">
        <f>IF(DN284=1,'Lease Cycles'!$D$24*IF(INDEX('Lease Cycles'!$EF$24:$EL$24,1,DN282)=1,'Lease Cycles'!$AJ$24*INDEX('Lease Cycles'!$FO$24:$FU$24,1,DN282)*INDEX('Lease Cycles'!$EM$24:$ES$24,1,DN282)+'Lease Cycles'!$BE$24*IF(DN283&lt;INDEX('Lease Cycles'!$FA$24:$FG$24,1,DN282),0,1-INDEX('Lease Cycles'!$EM$24:$ES$24,1,DN282)),IF(OR(INDEX('Lease Cycles'!$DY$24:$EE$24,1,DN282)=1,DN283&gt;0),1,1-INDEX('Lease Cycles'!$DD$24:$DJ$24,1,DN282))*('Lease Cycles'!$AJ$24*INDEX('Lease Cycles'!$FO$24:$FU$24,1,DN282)+'Lease Cycles'!$BE$24*(1-INDEX('Lease Cycles'!$FO$24:$FU$24,1,DN282)))),0)</f>
        <v>0</v>
      </c>
      <c r="DO292" s="24">
        <f>IF(DO284=1,'Lease Cycles'!$D$24*IF(INDEX('Lease Cycles'!$EF$24:$EL$24,1,DO282)=1,'Lease Cycles'!$AJ$24*INDEX('Lease Cycles'!$FO$24:$FU$24,1,DO282)*INDEX('Lease Cycles'!$EM$24:$ES$24,1,DO282)+'Lease Cycles'!$BE$24*IF(DO283&lt;INDEX('Lease Cycles'!$FA$24:$FG$24,1,DO282),0,1-INDEX('Lease Cycles'!$EM$24:$ES$24,1,DO282)),IF(OR(INDEX('Lease Cycles'!$DY$24:$EE$24,1,DO282)=1,DO283&gt;0),1,1-INDEX('Lease Cycles'!$DD$24:$DJ$24,1,DO282))*('Lease Cycles'!$AJ$24*INDEX('Lease Cycles'!$FO$24:$FU$24,1,DO282)+'Lease Cycles'!$BE$24*(1-INDEX('Lease Cycles'!$FO$24:$FU$24,1,DO282)))),0)</f>
        <v>0</v>
      </c>
      <c r="DP292" s="24">
        <f>IF(DP284=1,'Lease Cycles'!$D$24*IF(INDEX('Lease Cycles'!$EF$24:$EL$24,1,DP282)=1,'Lease Cycles'!$AJ$24*INDEX('Lease Cycles'!$FO$24:$FU$24,1,DP282)*INDEX('Lease Cycles'!$EM$24:$ES$24,1,DP282)+'Lease Cycles'!$BE$24*IF(DP283&lt;INDEX('Lease Cycles'!$FA$24:$FG$24,1,DP282),0,1-INDEX('Lease Cycles'!$EM$24:$ES$24,1,DP282)),IF(OR(INDEX('Lease Cycles'!$DY$24:$EE$24,1,DP282)=1,DP283&gt;0),1,1-INDEX('Lease Cycles'!$DD$24:$DJ$24,1,DP282))*('Lease Cycles'!$AJ$24*INDEX('Lease Cycles'!$FO$24:$FU$24,1,DP282)+'Lease Cycles'!$BE$24*(1-INDEX('Lease Cycles'!$FO$24:$FU$24,1,DP282)))),0)</f>
        <v>0</v>
      </c>
      <c r="DQ292" s="24">
        <f>IF(DQ284=1,'Lease Cycles'!$D$24*IF(INDEX('Lease Cycles'!$EF$24:$EL$24,1,DQ282)=1,'Lease Cycles'!$AJ$24*INDEX('Lease Cycles'!$FO$24:$FU$24,1,DQ282)*INDEX('Lease Cycles'!$EM$24:$ES$24,1,DQ282)+'Lease Cycles'!$BE$24*IF(DQ283&lt;INDEX('Lease Cycles'!$FA$24:$FG$24,1,DQ282),0,1-INDEX('Lease Cycles'!$EM$24:$ES$24,1,DQ282)),IF(OR(INDEX('Lease Cycles'!$DY$24:$EE$24,1,DQ282)=1,DQ283&gt;0),1,1-INDEX('Lease Cycles'!$DD$24:$DJ$24,1,DQ282))*('Lease Cycles'!$AJ$24*INDEX('Lease Cycles'!$FO$24:$FU$24,1,DQ282)+'Lease Cycles'!$BE$24*(1-INDEX('Lease Cycles'!$FO$24:$FU$24,1,DQ282)))),0)</f>
        <v>0</v>
      </c>
      <c r="DR292" s="24">
        <f>IF(DR284=1,'Lease Cycles'!$D$24*IF(INDEX('Lease Cycles'!$EF$24:$EL$24,1,DR282)=1,'Lease Cycles'!$AJ$24*INDEX('Lease Cycles'!$FO$24:$FU$24,1,DR282)*INDEX('Lease Cycles'!$EM$24:$ES$24,1,DR282)+'Lease Cycles'!$BE$24*IF(DR283&lt;INDEX('Lease Cycles'!$FA$24:$FG$24,1,DR282),0,1-INDEX('Lease Cycles'!$EM$24:$ES$24,1,DR282)),IF(OR(INDEX('Lease Cycles'!$DY$24:$EE$24,1,DR282)=1,DR283&gt;0),1,1-INDEX('Lease Cycles'!$DD$24:$DJ$24,1,DR282))*('Lease Cycles'!$AJ$24*INDEX('Lease Cycles'!$FO$24:$FU$24,1,DR282)+'Lease Cycles'!$BE$24*(1-INDEX('Lease Cycles'!$FO$24:$FU$24,1,DR282)))),0)</f>
        <v>0</v>
      </c>
      <c r="DS292" s="24">
        <f>IF(DS284=1,'Lease Cycles'!$D$24*IF(INDEX('Lease Cycles'!$EF$24:$EL$24,1,DS282)=1,'Lease Cycles'!$AJ$24*INDEX('Lease Cycles'!$FO$24:$FU$24,1,DS282)*INDEX('Lease Cycles'!$EM$24:$ES$24,1,DS282)+'Lease Cycles'!$BE$24*IF(DS283&lt;INDEX('Lease Cycles'!$FA$24:$FG$24,1,DS282),0,1-INDEX('Lease Cycles'!$EM$24:$ES$24,1,DS282)),IF(OR(INDEX('Lease Cycles'!$DY$24:$EE$24,1,DS282)=1,DS283&gt;0),1,1-INDEX('Lease Cycles'!$DD$24:$DJ$24,1,DS282))*('Lease Cycles'!$AJ$24*INDEX('Lease Cycles'!$FO$24:$FU$24,1,DS282)+'Lease Cycles'!$BE$24*(1-INDEX('Lease Cycles'!$FO$24:$FU$24,1,DS282)))),0)</f>
        <v>0</v>
      </c>
      <c r="DT292" s="24">
        <f>IF(DT284=1,'Lease Cycles'!$D$24*IF(INDEX('Lease Cycles'!$EF$24:$EL$24,1,DT282)=1,'Lease Cycles'!$AJ$24*INDEX('Lease Cycles'!$FO$24:$FU$24,1,DT282)*INDEX('Lease Cycles'!$EM$24:$ES$24,1,DT282)+'Lease Cycles'!$BE$24*IF(DT283&lt;INDEX('Lease Cycles'!$FA$24:$FG$24,1,DT282),0,1-INDEX('Lease Cycles'!$EM$24:$ES$24,1,DT282)),IF(OR(INDEX('Lease Cycles'!$DY$24:$EE$24,1,DT282)=1,DT283&gt;0),1,1-INDEX('Lease Cycles'!$DD$24:$DJ$24,1,DT282))*('Lease Cycles'!$AJ$24*INDEX('Lease Cycles'!$FO$24:$FU$24,1,DT282)+'Lease Cycles'!$BE$24*(1-INDEX('Lease Cycles'!$FO$24:$FU$24,1,DT282)))),0)</f>
        <v>0</v>
      </c>
      <c r="DU292" s="24">
        <f>IF(DU284=1,'Lease Cycles'!$D$24*IF(INDEX('Lease Cycles'!$EF$24:$EL$24,1,DU282)=1,'Lease Cycles'!$AJ$24*INDEX('Lease Cycles'!$FO$24:$FU$24,1,DU282)*INDEX('Lease Cycles'!$EM$24:$ES$24,1,DU282)+'Lease Cycles'!$BE$24*IF(DU283&lt;INDEX('Lease Cycles'!$FA$24:$FG$24,1,DU282),0,1-INDEX('Lease Cycles'!$EM$24:$ES$24,1,DU282)),IF(OR(INDEX('Lease Cycles'!$DY$24:$EE$24,1,DU282)=1,DU283&gt;0),1,1-INDEX('Lease Cycles'!$DD$24:$DJ$24,1,DU282))*('Lease Cycles'!$AJ$24*INDEX('Lease Cycles'!$FO$24:$FU$24,1,DU282)+'Lease Cycles'!$BE$24*(1-INDEX('Lease Cycles'!$FO$24:$FU$24,1,DU282)))),0)</f>
        <v>0</v>
      </c>
      <c r="DV292" s="24">
        <f>IF(DV284=1,'Lease Cycles'!$D$24*IF(INDEX('Lease Cycles'!$EF$24:$EL$24,1,DV282)=1,'Lease Cycles'!$AJ$24*INDEX('Lease Cycles'!$FO$24:$FU$24,1,DV282)*INDEX('Lease Cycles'!$EM$24:$ES$24,1,DV282)+'Lease Cycles'!$BE$24*IF(DV283&lt;INDEX('Lease Cycles'!$FA$24:$FG$24,1,DV282),0,1-INDEX('Lease Cycles'!$EM$24:$ES$24,1,DV282)),IF(OR(INDEX('Lease Cycles'!$DY$24:$EE$24,1,DV282)=1,DV283&gt;0),1,1-INDEX('Lease Cycles'!$DD$24:$DJ$24,1,DV282))*('Lease Cycles'!$AJ$24*INDEX('Lease Cycles'!$FO$24:$FU$24,1,DV282)+'Lease Cycles'!$BE$24*(1-INDEX('Lease Cycles'!$FO$24:$FU$24,1,DV282)))),0)</f>
        <v>0</v>
      </c>
      <c r="DW292" s="24">
        <f>IF(DW284=1,'Lease Cycles'!$D$24*IF(INDEX('Lease Cycles'!$EF$24:$EL$24,1,DW282)=1,'Lease Cycles'!$AJ$24*INDEX('Lease Cycles'!$FO$24:$FU$24,1,DW282)*INDEX('Lease Cycles'!$EM$24:$ES$24,1,DW282)+'Lease Cycles'!$BE$24*IF(DW283&lt;INDEX('Lease Cycles'!$FA$24:$FG$24,1,DW282),0,1-INDEX('Lease Cycles'!$EM$24:$ES$24,1,DW282)),IF(OR(INDEX('Lease Cycles'!$DY$24:$EE$24,1,DW282)=1,DW283&gt;0),1,1-INDEX('Lease Cycles'!$DD$24:$DJ$24,1,DW282))*('Lease Cycles'!$AJ$24*INDEX('Lease Cycles'!$FO$24:$FU$24,1,DW282)+'Lease Cycles'!$BE$24*(1-INDEX('Lease Cycles'!$FO$24:$FU$24,1,DW282)))),0)</f>
        <v>0</v>
      </c>
      <c r="DX292" s="24">
        <f>IF(DX284=1,'Lease Cycles'!$D$24*IF(INDEX('Lease Cycles'!$EF$24:$EL$24,1,DX282)=1,'Lease Cycles'!$AJ$24*INDEX('Lease Cycles'!$FO$24:$FU$24,1,DX282)*INDEX('Lease Cycles'!$EM$24:$ES$24,1,DX282)+'Lease Cycles'!$BE$24*IF(DX283&lt;INDEX('Lease Cycles'!$FA$24:$FG$24,1,DX282),0,1-INDEX('Lease Cycles'!$EM$24:$ES$24,1,DX282)),IF(OR(INDEX('Lease Cycles'!$DY$24:$EE$24,1,DX282)=1,DX283&gt;0),1,1-INDEX('Lease Cycles'!$DD$24:$DJ$24,1,DX282))*('Lease Cycles'!$AJ$24*INDEX('Lease Cycles'!$FO$24:$FU$24,1,DX282)+'Lease Cycles'!$BE$24*(1-INDEX('Lease Cycles'!$FO$24:$FU$24,1,DX282)))),0)</f>
        <v>0</v>
      </c>
      <c r="DY292" s="24">
        <f>IF(DY284=1,'Lease Cycles'!$D$24*IF(INDEX('Lease Cycles'!$EF$24:$EL$24,1,DY282)=1,'Lease Cycles'!$AJ$24*INDEX('Lease Cycles'!$FO$24:$FU$24,1,DY282)*INDEX('Lease Cycles'!$EM$24:$ES$24,1,DY282)+'Lease Cycles'!$BE$24*IF(DY283&lt;INDEX('Lease Cycles'!$FA$24:$FG$24,1,DY282),0,1-INDEX('Lease Cycles'!$EM$24:$ES$24,1,DY282)),IF(OR(INDEX('Lease Cycles'!$DY$24:$EE$24,1,DY282)=1,DY283&gt;0),1,1-INDEX('Lease Cycles'!$DD$24:$DJ$24,1,DY282))*('Lease Cycles'!$AJ$24*INDEX('Lease Cycles'!$FO$24:$FU$24,1,DY282)+'Lease Cycles'!$BE$24*(1-INDEX('Lease Cycles'!$FO$24:$FU$24,1,DY282)))),0)</f>
        <v>0</v>
      </c>
      <c r="DZ292" s="24">
        <f>IF(DZ284=1,'Lease Cycles'!$D$24*IF(INDEX('Lease Cycles'!$EF$24:$EL$24,1,DZ282)=1,'Lease Cycles'!$AJ$24*INDEX('Lease Cycles'!$FO$24:$FU$24,1,DZ282)*INDEX('Lease Cycles'!$EM$24:$ES$24,1,DZ282)+'Lease Cycles'!$BE$24*IF(DZ283&lt;INDEX('Lease Cycles'!$FA$24:$FG$24,1,DZ282),0,1-INDEX('Lease Cycles'!$EM$24:$ES$24,1,DZ282)),IF(OR(INDEX('Lease Cycles'!$DY$24:$EE$24,1,DZ282)=1,DZ283&gt;0),1,1-INDEX('Lease Cycles'!$DD$24:$DJ$24,1,DZ282))*('Lease Cycles'!$AJ$24*INDEX('Lease Cycles'!$FO$24:$FU$24,1,DZ282)+'Lease Cycles'!$BE$24*(1-INDEX('Lease Cycles'!$FO$24:$FU$24,1,DZ282)))),0)</f>
        <v>0</v>
      </c>
      <c r="EA292" s="24">
        <f>IF(EA284=1,'Lease Cycles'!$D$24*IF(INDEX('Lease Cycles'!$EF$24:$EL$24,1,EA282)=1,'Lease Cycles'!$AJ$24*INDEX('Lease Cycles'!$FO$24:$FU$24,1,EA282)*INDEX('Lease Cycles'!$EM$24:$ES$24,1,EA282)+'Lease Cycles'!$BE$24*IF(EA283&lt;INDEX('Lease Cycles'!$FA$24:$FG$24,1,EA282),0,1-INDEX('Lease Cycles'!$EM$24:$ES$24,1,EA282)),IF(OR(INDEX('Lease Cycles'!$DY$24:$EE$24,1,EA282)=1,EA283&gt;0),1,1-INDEX('Lease Cycles'!$DD$24:$DJ$24,1,EA282))*('Lease Cycles'!$AJ$24*INDEX('Lease Cycles'!$FO$24:$FU$24,1,EA282)+'Lease Cycles'!$BE$24*(1-INDEX('Lease Cycles'!$FO$24:$FU$24,1,EA282)))),0)</f>
        <v>0</v>
      </c>
      <c r="EB292" s="24">
        <f>IF(EB284=1,'Lease Cycles'!$D$24*IF(INDEX('Lease Cycles'!$EF$24:$EL$24,1,EB282)=1,'Lease Cycles'!$AJ$24*INDEX('Lease Cycles'!$FO$24:$FU$24,1,EB282)*INDEX('Lease Cycles'!$EM$24:$ES$24,1,EB282)+'Lease Cycles'!$BE$24*IF(EB283&lt;INDEX('Lease Cycles'!$FA$24:$FG$24,1,EB282),0,1-INDEX('Lease Cycles'!$EM$24:$ES$24,1,EB282)),IF(OR(INDEX('Lease Cycles'!$DY$24:$EE$24,1,EB282)=1,EB283&gt;0),1,1-INDEX('Lease Cycles'!$DD$24:$DJ$24,1,EB282))*('Lease Cycles'!$AJ$24*INDEX('Lease Cycles'!$FO$24:$FU$24,1,EB282)+'Lease Cycles'!$BE$24*(1-INDEX('Lease Cycles'!$FO$24:$FU$24,1,EB282)))),0)</f>
        <v>0</v>
      </c>
      <c r="EC292" s="24">
        <f>IF(EC284=1,'Lease Cycles'!$D$24*IF(INDEX('Lease Cycles'!$EF$24:$EL$24,1,EC282)=1,'Lease Cycles'!$AJ$24*INDEX('Lease Cycles'!$FO$24:$FU$24,1,EC282)*INDEX('Lease Cycles'!$EM$24:$ES$24,1,EC282)+'Lease Cycles'!$BE$24*IF(EC283&lt;INDEX('Lease Cycles'!$FA$24:$FG$24,1,EC282),0,1-INDEX('Lease Cycles'!$EM$24:$ES$24,1,EC282)),IF(OR(INDEX('Lease Cycles'!$DY$24:$EE$24,1,EC282)=1,EC283&gt;0),1,1-INDEX('Lease Cycles'!$DD$24:$DJ$24,1,EC282))*('Lease Cycles'!$AJ$24*INDEX('Lease Cycles'!$FO$24:$FU$24,1,EC282)+'Lease Cycles'!$BE$24*(1-INDEX('Lease Cycles'!$FO$24:$FU$24,1,EC282)))),0)</f>
        <v>0</v>
      </c>
      <c r="ED292" s="24">
        <f>IF(ED284=1,'Lease Cycles'!$D$24*IF(INDEX('Lease Cycles'!$EF$24:$EL$24,1,ED282)=1,'Lease Cycles'!$AJ$24*INDEX('Lease Cycles'!$FO$24:$FU$24,1,ED282)*INDEX('Lease Cycles'!$EM$24:$ES$24,1,ED282)+'Lease Cycles'!$BE$24*IF(ED283&lt;INDEX('Lease Cycles'!$FA$24:$FG$24,1,ED282),0,1-INDEX('Lease Cycles'!$EM$24:$ES$24,1,ED282)),IF(OR(INDEX('Lease Cycles'!$DY$24:$EE$24,1,ED282)=1,ED283&gt;0),1,1-INDEX('Lease Cycles'!$DD$24:$DJ$24,1,ED282))*('Lease Cycles'!$AJ$24*INDEX('Lease Cycles'!$FO$24:$FU$24,1,ED282)+'Lease Cycles'!$BE$24*(1-INDEX('Lease Cycles'!$FO$24:$FU$24,1,ED282)))),0)</f>
        <v>0</v>
      </c>
      <c r="EE292" s="24">
        <f>IF(EE284=1,'Lease Cycles'!$D$24*IF(INDEX('Lease Cycles'!$EF$24:$EL$24,1,EE282)=1,'Lease Cycles'!$AJ$24*INDEX('Lease Cycles'!$FO$24:$FU$24,1,EE282)*INDEX('Lease Cycles'!$EM$24:$ES$24,1,EE282)+'Lease Cycles'!$BE$24*IF(EE283&lt;INDEX('Lease Cycles'!$FA$24:$FG$24,1,EE282),0,1-INDEX('Lease Cycles'!$EM$24:$ES$24,1,EE282)),IF(OR(INDEX('Lease Cycles'!$DY$24:$EE$24,1,EE282)=1,EE283&gt;0),1,1-INDEX('Lease Cycles'!$DD$24:$DJ$24,1,EE282))*('Lease Cycles'!$AJ$24*INDEX('Lease Cycles'!$FO$24:$FU$24,1,EE282)+'Lease Cycles'!$BE$24*(1-INDEX('Lease Cycles'!$FO$24:$FU$24,1,EE282)))),0)</f>
        <v>0</v>
      </c>
      <c r="EF292" s="24">
        <f>IF(EF284=1,'Lease Cycles'!$D$24*IF(INDEX('Lease Cycles'!$EF$24:$EL$24,1,EF282)=1,'Lease Cycles'!$AJ$24*INDEX('Lease Cycles'!$FO$24:$FU$24,1,EF282)*INDEX('Lease Cycles'!$EM$24:$ES$24,1,EF282)+'Lease Cycles'!$BE$24*IF(EF283&lt;INDEX('Lease Cycles'!$FA$24:$FG$24,1,EF282),0,1-INDEX('Lease Cycles'!$EM$24:$ES$24,1,EF282)),IF(OR(INDEX('Lease Cycles'!$DY$24:$EE$24,1,EF282)=1,EF283&gt;0),1,1-INDEX('Lease Cycles'!$DD$24:$DJ$24,1,EF282))*('Lease Cycles'!$AJ$24*INDEX('Lease Cycles'!$FO$24:$FU$24,1,EF282)+'Lease Cycles'!$BE$24*(1-INDEX('Lease Cycles'!$FO$24:$FU$24,1,EF282)))),0)</f>
        <v>0</v>
      </c>
      <c r="EG292" s="24">
        <f>IF(EG284=1,'Lease Cycles'!$D$24*IF(INDEX('Lease Cycles'!$EF$24:$EL$24,1,EG282)=1,'Lease Cycles'!$AJ$24*INDEX('Lease Cycles'!$FO$24:$FU$24,1,EG282)*INDEX('Lease Cycles'!$EM$24:$ES$24,1,EG282)+'Lease Cycles'!$BE$24*IF(EG283&lt;INDEX('Lease Cycles'!$FA$24:$FG$24,1,EG282),0,1-INDEX('Lease Cycles'!$EM$24:$ES$24,1,EG282)),IF(OR(INDEX('Lease Cycles'!$DY$24:$EE$24,1,EG282)=1,EG283&gt;0),1,1-INDEX('Lease Cycles'!$DD$24:$DJ$24,1,EG282))*('Lease Cycles'!$AJ$24*INDEX('Lease Cycles'!$FO$24:$FU$24,1,EG282)+'Lease Cycles'!$BE$24*(1-INDEX('Lease Cycles'!$FO$24:$FU$24,1,EG282)))),0)</f>
        <v>0</v>
      </c>
      <c r="EH292" s="24">
        <f>IF(EH284=1,'Lease Cycles'!$D$24*IF(INDEX('Lease Cycles'!$EF$24:$EL$24,1,EH282)=1,'Lease Cycles'!$AJ$24*INDEX('Lease Cycles'!$FO$24:$FU$24,1,EH282)*INDEX('Lease Cycles'!$EM$24:$ES$24,1,EH282)+'Lease Cycles'!$BE$24*IF(EH283&lt;INDEX('Lease Cycles'!$FA$24:$FG$24,1,EH282),0,1-INDEX('Lease Cycles'!$EM$24:$ES$24,1,EH282)),IF(OR(INDEX('Lease Cycles'!$DY$24:$EE$24,1,EH282)=1,EH283&gt;0),1,1-INDEX('Lease Cycles'!$DD$24:$DJ$24,1,EH282))*('Lease Cycles'!$AJ$24*INDEX('Lease Cycles'!$FO$24:$FU$24,1,EH282)+'Lease Cycles'!$BE$24*(1-INDEX('Lease Cycles'!$FO$24:$FU$24,1,EH282)))),0)</f>
        <v>0</v>
      </c>
      <c r="EI292" s="24">
        <f>IF(EI284=1,'Lease Cycles'!$D$24*IF(INDEX('Lease Cycles'!$EF$24:$EL$24,1,EI282)=1,'Lease Cycles'!$AJ$24*INDEX('Lease Cycles'!$FO$24:$FU$24,1,EI282)*INDEX('Lease Cycles'!$EM$24:$ES$24,1,EI282)+'Lease Cycles'!$BE$24*IF(EI283&lt;INDEX('Lease Cycles'!$FA$24:$FG$24,1,EI282),0,1-INDEX('Lease Cycles'!$EM$24:$ES$24,1,EI282)),IF(OR(INDEX('Lease Cycles'!$DY$24:$EE$24,1,EI282)=1,EI283&gt;0),1,1-INDEX('Lease Cycles'!$DD$24:$DJ$24,1,EI282))*('Lease Cycles'!$AJ$24*INDEX('Lease Cycles'!$FO$24:$FU$24,1,EI282)+'Lease Cycles'!$BE$24*(1-INDEX('Lease Cycles'!$FO$24:$FU$24,1,EI282)))),0)</f>
        <v>0</v>
      </c>
      <c r="EJ292" s="24">
        <f>IF(EJ284=1,'Lease Cycles'!$D$24*IF(INDEX('Lease Cycles'!$EF$24:$EL$24,1,EJ282)=1,'Lease Cycles'!$AJ$24*INDEX('Lease Cycles'!$FO$24:$FU$24,1,EJ282)*INDEX('Lease Cycles'!$EM$24:$ES$24,1,EJ282)+'Lease Cycles'!$BE$24*IF(EJ283&lt;INDEX('Lease Cycles'!$FA$24:$FG$24,1,EJ282),0,1-INDEX('Lease Cycles'!$EM$24:$ES$24,1,EJ282)),IF(OR(INDEX('Lease Cycles'!$DY$24:$EE$24,1,EJ282)=1,EJ283&gt;0),1,1-INDEX('Lease Cycles'!$DD$24:$DJ$24,1,EJ282))*('Lease Cycles'!$AJ$24*INDEX('Lease Cycles'!$FO$24:$FU$24,1,EJ282)+'Lease Cycles'!$BE$24*(1-INDEX('Lease Cycles'!$FO$24:$FU$24,1,EJ282)))),0)</f>
        <v>0</v>
      </c>
      <c r="EK292" s="24">
        <f>IF(EK284=1,'Lease Cycles'!$D$24*IF(INDEX('Lease Cycles'!$EF$24:$EL$24,1,EK282)=1,'Lease Cycles'!$AJ$24*INDEX('Lease Cycles'!$FO$24:$FU$24,1,EK282)*INDEX('Lease Cycles'!$EM$24:$ES$24,1,EK282)+'Lease Cycles'!$BE$24*IF(EK283&lt;INDEX('Lease Cycles'!$FA$24:$FG$24,1,EK282),0,1-INDEX('Lease Cycles'!$EM$24:$ES$24,1,EK282)),IF(OR(INDEX('Lease Cycles'!$DY$24:$EE$24,1,EK282)=1,EK283&gt;0),1,1-INDEX('Lease Cycles'!$DD$24:$DJ$24,1,EK282))*('Lease Cycles'!$AJ$24*INDEX('Lease Cycles'!$FO$24:$FU$24,1,EK282)+'Lease Cycles'!$BE$24*(1-INDEX('Lease Cycles'!$FO$24:$FU$24,1,EK282)))),0)</f>
        <v>0</v>
      </c>
      <c r="EL292" s="24">
        <f>IF(EL284=1,'Lease Cycles'!$D$24*IF(INDEX('Lease Cycles'!$EF$24:$EL$24,1,EL282)=1,'Lease Cycles'!$AJ$24*INDEX('Lease Cycles'!$FO$24:$FU$24,1,EL282)*INDEX('Lease Cycles'!$EM$24:$ES$24,1,EL282)+'Lease Cycles'!$BE$24*IF(EL283&lt;INDEX('Lease Cycles'!$FA$24:$FG$24,1,EL282),0,1-INDEX('Lease Cycles'!$EM$24:$ES$24,1,EL282)),IF(OR(INDEX('Lease Cycles'!$DY$24:$EE$24,1,EL282)=1,EL283&gt;0),1,1-INDEX('Lease Cycles'!$DD$24:$DJ$24,1,EL282))*('Lease Cycles'!$AJ$24*INDEX('Lease Cycles'!$FO$24:$FU$24,1,EL282)+'Lease Cycles'!$BE$24*(1-INDEX('Lease Cycles'!$FO$24:$FU$24,1,EL282)))),0)</f>
        <v>0</v>
      </c>
      <c r="EM292" s="24">
        <f>IF(EM284=1,'Lease Cycles'!$D$24*IF(INDEX('Lease Cycles'!$EF$24:$EL$24,1,EM282)=1,'Lease Cycles'!$AJ$24*INDEX('Lease Cycles'!$FO$24:$FU$24,1,EM282)*INDEX('Lease Cycles'!$EM$24:$ES$24,1,EM282)+'Lease Cycles'!$BE$24*IF(EM283&lt;INDEX('Lease Cycles'!$FA$24:$FG$24,1,EM282),0,1-INDEX('Lease Cycles'!$EM$24:$ES$24,1,EM282)),IF(OR(INDEX('Lease Cycles'!$DY$24:$EE$24,1,EM282)=1,EM283&gt;0),1,1-INDEX('Lease Cycles'!$DD$24:$DJ$24,1,EM282))*('Lease Cycles'!$AJ$24*INDEX('Lease Cycles'!$FO$24:$FU$24,1,EM282)+'Lease Cycles'!$BE$24*(1-INDEX('Lease Cycles'!$FO$24:$FU$24,1,EM282)))),0)</f>
        <v>0</v>
      </c>
      <c r="EN292" s="24">
        <f>IF(EN284=1,'Lease Cycles'!$D$24*IF(INDEX('Lease Cycles'!$EF$24:$EL$24,1,EN282)=1,'Lease Cycles'!$AJ$24*INDEX('Lease Cycles'!$FO$24:$FU$24,1,EN282)*INDEX('Lease Cycles'!$EM$24:$ES$24,1,EN282)+'Lease Cycles'!$BE$24*IF(EN283&lt;INDEX('Lease Cycles'!$FA$24:$FG$24,1,EN282),0,1-INDEX('Lease Cycles'!$EM$24:$ES$24,1,EN282)),IF(OR(INDEX('Lease Cycles'!$DY$24:$EE$24,1,EN282)=1,EN283&gt;0),1,1-INDEX('Lease Cycles'!$DD$24:$DJ$24,1,EN282))*('Lease Cycles'!$AJ$24*INDEX('Lease Cycles'!$FO$24:$FU$24,1,EN282)+'Lease Cycles'!$BE$24*(1-INDEX('Lease Cycles'!$FO$24:$FU$24,1,EN282)))),0)</f>
        <v>0</v>
      </c>
      <c r="EO292" s="24">
        <f>IF(EO284=1,'Lease Cycles'!$D$24*IF(INDEX('Lease Cycles'!$EF$24:$EL$24,1,EO282)=1,'Lease Cycles'!$AJ$24*INDEX('Lease Cycles'!$FO$24:$FU$24,1,EO282)*INDEX('Lease Cycles'!$EM$24:$ES$24,1,EO282)+'Lease Cycles'!$BE$24*IF(EO283&lt;INDEX('Lease Cycles'!$FA$24:$FG$24,1,EO282),0,1-INDEX('Lease Cycles'!$EM$24:$ES$24,1,EO282)),IF(OR(INDEX('Lease Cycles'!$DY$24:$EE$24,1,EO282)=1,EO283&gt;0),1,1-INDEX('Lease Cycles'!$DD$24:$DJ$24,1,EO282))*('Lease Cycles'!$AJ$24*INDEX('Lease Cycles'!$FO$24:$FU$24,1,EO282)+'Lease Cycles'!$BE$24*(1-INDEX('Lease Cycles'!$FO$24:$FU$24,1,EO282)))),0)</f>
        <v>0</v>
      </c>
      <c r="EP292" s="24">
        <f>IF(EP284=1,'Lease Cycles'!$D$24*IF(INDEX('Lease Cycles'!$EF$24:$EL$24,1,EP282)=1,'Lease Cycles'!$AJ$24*INDEX('Lease Cycles'!$FO$24:$FU$24,1,EP282)*INDEX('Lease Cycles'!$EM$24:$ES$24,1,EP282)+'Lease Cycles'!$BE$24*IF(EP283&lt;INDEX('Lease Cycles'!$FA$24:$FG$24,1,EP282),0,1-INDEX('Lease Cycles'!$EM$24:$ES$24,1,EP282)),IF(OR(INDEX('Lease Cycles'!$DY$24:$EE$24,1,EP282)=1,EP283&gt;0),1,1-INDEX('Lease Cycles'!$DD$24:$DJ$24,1,EP282))*('Lease Cycles'!$AJ$24*INDEX('Lease Cycles'!$FO$24:$FU$24,1,EP282)+'Lease Cycles'!$BE$24*(1-INDEX('Lease Cycles'!$FO$24:$FU$24,1,EP282)))),0)</f>
        <v>0</v>
      </c>
      <c r="EQ292" s="24">
        <f>IF(EQ284=1,'Lease Cycles'!$D$24*IF(INDEX('Lease Cycles'!$EF$24:$EL$24,1,EQ282)=1,'Lease Cycles'!$AJ$24*INDEX('Lease Cycles'!$FO$24:$FU$24,1,EQ282)*INDEX('Lease Cycles'!$EM$24:$ES$24,1,EQ282)+'Lease Cycles'!$BE$24*IF(EQ283&lt;INDEX('Lease Cycles'!$FA$24:$FG$24,1,EQ282),0,1-INDEX('Lease Cycles'!$EM$24:$ES$24,1,EQ282)),IF(OR(INDEX('Lease Cycles'!$DY$24:$EE$24,1,EQ282)=1,EQ283&gt;0),1,1-INDEX('Lease Cycles'!$DD$24:$DJ$24,1,EQ282))*('Lease Cycles'!$AJ$24*INDEX('Lease Cycles'!$FO$24:$FU$24,1,EQ282)+'Lease Cycles'!$BE$24*(1-INDEX('Lease Cycles'!$FO$24:$FU$24,1,EQ282)))),0)</f>
        <v>0</v>
      </c>
      <c r="ER292" s="24">
        <f>IF(ER284=1,'Lease Cycles'!$D$24*IF(INDEX('Lease Cycles'!$EF$24:$EL$24,1,ER282)=1,'Lease Cycles'!$AJ$24*INDEX('Lease Cycles'!$FO$24:$FU$24,1,ER282)*INDEX('Lease Cycles'!$EM$24:$ES$24,1,ER282)+'Lease Cycles'!$BE$24*IF(ER283&lt;INDEX('Lease Cycles'!$FA$24:$FG$24,1,ER282),0,1-INDEX('Lease Cycles'!$EM$24:$ES$24,1,ER282)),IF(OR(INDEX('Lease Cycles'!$DY$24:$EE$24,1,ER282)=1,ER283&gt;0),1,1-INDEX('Lease Cycles'!$DD$24:$DJ$24,1,ER282))*('Lease Cycles'!$AJ$24*INDEX('Lease Cycles'!$FO$24:$FU$24,1,ER282)+'Lease Cycles'!$BE$24*(1-INDEX('Lease Cycles'!$FO$24:$FU$24,1,ER282)))),0)</f>
        <v>0</v>
      </c>
      <c r="ES292" s="24">
        <f>IF(ES284=1,'Lease Cycles'!$D$24*IF(INDEX('Lease Cycles'!$EF$24:$EL$24,1,ES282)=1,'Lease Cycles'!$AJ$24*INDEX('Lease Cycles'!$FO$24:$FU$24,1,ES282)*INDEX('Lease Cycles'!$EM$24:$ES$24,1,ES282)+'Lease Cycles'!$BE$24*IF(ES283&lt;INDEX('Lease Cycles'!$FA$24:$FG$24,1,ES282),0,1-INDEX('Lease Cycles'!$EM$24:$ES$24,1,ES282)),IF(OR(INDEX('Lease Cycles'!$DY$24:$EE$24,1,ES282)=1,ES283&gt;0),1,1-INDEX('Lease Cycles'!$DD$24:$DJ$24,1,ES282))*('Lease Cycles'!$AJ$24*INDEX('Lease Cycles'!$FO$24:$FU$24,1,ES282)+'Lease Cycles'!$BE$24*(1-INDEX('Lease Cycles'!$FO$24:$FU$24,1,ES282)))),0)</f>
        <v>0</v>
      </c>
      <c r="ET292" s="24">
        <f>IF(ET284=1,'Lease Cycles'!$D$24*IF(INDEX('Lease Cycles'!$EF$24:$EL$24,1,ET282)=1,'Lease Cycles'!$AJ$24*INDEX('Lease Cycles'!$FO$24:$FU$24,1,ET282)*INDEX('Lease Cycles'!$EM$24:$ES$24,1,ET282)+'Lease Cycles'!$BE$24*IF(ET283&lt;INDEX('Lease Cycles'!$FA$24:$FG$24,1,ET282),0,1-INDEX('Lease Cycles'!$EM$24:$ES$24,1,ET282)),IF(OR(INDEX('Lease Cycles'!$DY$24:$EE$24,1,ET282)=1,ET283&gt;0),1,1-INDEX('Lease Cycles'!$DD$24:$DJ$24,1,ET282))*('Lease Cycles'!$AJ$24*INDEX('Lease Cycles'!$FO$24:$FU$24,1,ET282)+'Lease Cycles'!$BE$24*(1-INDEX('Lease Cycles'!$FO$24:$FU$24,1,ET282)))),0)</f>
        <v>0</v>
      </c>
    </row>
    <row r="293">
      <c r="A293" s="103">
        <v>17</v>
      </c>
      <c r="B293" s="23" t="str">
        <f>IF('Lease Cycles'!$B$24="","(empty slot)",'Lease Cycles'!$B$24)</f>
        <v>(empty slot)</v>
      </c>
      <c r="C293" s="23" t="s">
        <v>689</v>
      </c>
      <c r="D293" s="104" t="s">
        <v>690</v>
      </c>
      <c r="E293" s="25">
        <f>'Lease Cycles'!$AL$24</f>
        <v>0</v>
      </c>
      <c r="G293" s="28">
        <f>SUM(S293:AD293)</f>
        <v>0</v>
      </c>
      <c r="H293" s="28">
        <f>SUM(AE293:AP293)</f>
        <v>0</v>
      </c>
      <c r="I293" s="28">
        <f>SUM(AQ293:BB293)</f>
        <v>0</v>
      </c>
      <c r="J293" s="28">
        <f>SUM(BC293:BN293)</f>
        <v>0</v>
      </c>
      <c r="K293" s="28">
        <f>SUM(BO293:BZ293)</f>
        <v>0</v>
      </c>
      <c r="L293" s="28">
        <f>SUM(CA293:CL293)</f>
        <v>0</v>
      </c>
      <c r="M293" s="28">
        <f>SUM(CM293:CX293)</f>
        <v>0</v>
      </c>
      <c r="N293" s="28">
        <f>SUM(CY293:DJ293)</f>
        <v>0</v>
      </c>
      <c r="O293" s="28">
        <f>SUM(DK293:DV293)</f>
        <v>0</v>
      </c>
      <c r="P293" s="28">
        <f>SUM(DW293:EH293)</f>
        <v>0</v>
      </c>
      <c r="Q293" s="28">
        <f>SUM(EI293:ET293)</f>
        <v>0</v>
      </c>
      <c r="S293" s="28">
        <f>IF(S292=0,0,S292*MAX(0,(INDEX(c_CAMy,1,S$7)-INDEX(c_CAMy,1,INDEX('Lease Cycles'!$GC$24:$GI$24,1,S282)+1))*(1+'Lease Cycles'!$AK$24)+(INDEX(c_TAXy,1,S$7)-INDEX(c_TAXy,1,INDEX('Lease Cycles'!$GC$24:$GI$24,1,S282)+1))+(INDEX(c_INSy,1,S$7)-INDEX(c_INSy,1,INDEX('Lease Cycles'!$GC$24:$GI$24,1,S282)+1)))/12)</f>
        <v>0</v>
      </c>
      <c r="T293" s="28">
        <f>IF(T292=0,0,T292*MAX(0,(INDEX(c_CAMy,1,T$7)-INDEX(c_CAMy,1,INDEX('Lease Cycles'!$GC$24:$GI$24,1,T282)+1))*(1+'Lease Cycles'!$AK$24)+(INDEX(c_TAXy,1,T$7)-INDEX(c_TAXy,1,INDEX('Lease Cycles'!$GC$24:$GI$24,1,T282)+1))+(INDEX(c_INSy,1,T$7)-INDEX(c_INSy,1,INDEX('Lease Cycles'!$GC$24:$GI$24,1,T282)+1)))/12)</f>
        <v>0</v>
      </c>
      <c r="U293" s="28">
        <f>IF(U292=0,0,U292*MAX(0,(INDEX(c_CAMy,1,U$7)-INDEX(c_CAMy,1,INDEX('Lease Cycles'!$GC$24:$GI$24,1,U282)+1))*(1+'Lease Cycles'!$AK$24)+(INDEX(c_TAXy,1,U$7)-INDEX(c_TAXy,1,INDEX('Lease Cycles'!$GC$24:$GI$24,1,U282)+1))+(INDEX(c_INSy,1,U$7)-INDEX(c_INSy,1,INDEX('Lease Cycles'!$GC$24:$GI$24,1,U282)+1)))/12)</f>
        <v>0</v>
      </c>
      <c r="V293" s="28">
        <f>IF(V292=0,0,V292*MAX(0,(INDEX(c_CAMy,1,V$7)-INDEX(c_CAMy,1,INDEX('Lease Cycles'!$GC$24:$GI$24,1,V282)+1))*(1+'Lease Cycles'!$AK$24)+(INDEX(c_TAXy,1,V$7)-INDEX(c_TAXy,1,INDEX('Lease Cycles'!$GC$24:$GI$24,1,V282)+1))+(INDEX(c_INSy,1,V$7)-INDEX(c_INSy,1,INDEX('Lease Cycles'!$GC$24:$GI$24,1,V282)+1)))/12)</f>
        <v>0</v>
      </c>
      <c r="W293" s="28">
        <f>IF(W292=0,0,W292*MAX(0,(INDEX(c_CAMy,1,W$7)-INDEX(c_CAMy,1,INDEX('Lease Cycles'!$GC$24:$GI$24,1,W282)+1))*(1+'Lease Cycles'!$AK$24)+(INDEX(c_TAXy,1,W$7)-INDEX(c_TAXy,1,INDEX('Lease Cycles'!$GC$24:$GI$24,1,W282)+1))+(INDEX(c_INSy,1,W$7)-INDEX(c_INSy,1,INDEX('Lease Cycles'!$GC$24:$GI$24,1,W282)+1)))/12)</f>
        <v>0</v>
      </c>
      <c r="X293" s="28">
        <f>IF(X292=0,0,X292*MAX(0,(INDEX(c_CAMy,1,X$7)-INDEX(c_CAMy,1,INDEX('Lease Cycles'!$GC$24:$GI$24,1,X282)+1))*(1+'Lease Cycles'!$AK$24)+(INDEX(c_TAXy,1,X$7)-INDEX(c_TAXy,1,INDEX('Lease Cycles'!$GC$24:$GI$24,1,X282)+1))+(INDEX(c_INSy,1,X$7)-INDEX(c_INSy,1,INDEX('Lease Cycles'!$GC$24:$GI$24,1,X282)+1)))/12)</f>
        <v>0</v>
      </c>
      <c r="Y293" s="28">
        <f>IF(Y292=0,0,Y292*MAX(0,(INDEX(c_CAMy,1,Y$7)-INDEX(c_CAMy,1,INDEX('Lease Cycles'!$GC$24:$GI$24,1,Y282)+1))*(1+'Lease Cycles'!$AK$24)+(INDEX(c_TAXy,1,Y$7)-INDEX(c_TAXy,1,INDEX('Lease Cycles'!$GC$24:$GI$24,1,Y282)+1))+(INDEX(c_INSy,1,Y$7)-INDEX(c_INSy,1,INDEX('Lease Cycles'!$GC$24:$GI$24,1,Y282)+1)))/12)</f>
        <v>0</v>
      </c>
      <c r="Z293" s="28">
        <f>IF(Z292=0,0,Z292*MAX(0,(INDEX(c_CAMy,1,Z$7)-INDEX(c_CAMy,1,INDEX('Lease Cycles'!$GC$24:$GI$24,1,Z282)+1))*(1+'Lease Cycles'!$AK$24)+(INDEX(c_TAXy,1,Z$7)-INDEX(c_TAXy,1,INDEX('Lease Cycles'!$GC$24:$GI$24,1,Z282)+1))+(INDEX(c_INSy,1,Z$7)-INDEX(c_INSy,1,INDEX('Lease Cycles'!$GC$24:$GI$24,1,Z282)+1)))/12)</f>
        <v>0</v>
      </c>
      <c r="AA293" s="28">
        <f>IF(AA292=0,0,AA292*MAX(0,(INDEX(c_CAMy,1,AA$7)-INDEX(c_CAMy,1,INDEX('Lease Cycles'!$GC$24:$GI$24,1,AA282)+1))*(1+'Lease Cycles'!$AK$24)+(INDEX(c_TAXy,1,AA$7)-INDEX(c_TAXy,1,INDEX('Lease Cycles'!$GC$24:$GI$24,1,AA282)+1))+(INDEX(c_INSy,1,AA$7)-INDEX(c_INSy,1,INDEX('Lease Cycles'!$GC$24:$GI$24,1,AA282)+1)))/12)</f>
        <v>0</v>
      </c>
      <c r="AB293" s="28">
        <f>IF(AB292=0,0,AB292*MAX(0,(INDEX(c_CAMy,1,AB$7)-INDEX(c_CAMy,1,INDEX('Lease Cycles'!$GC$24:$GI$24,1,AB282)+1))*(1+'Lease Cycles'!$AK$24)+(INDEX(c_TAXy,1,AB$7)-INDEX(c_TAXy,1,INDEX('Lease Cycles'!$GC$24:$GI$24,1,AB282)+1))+(INDEX(c_INSy,1,AB$7)-INDEX(c_INSy,1,INDEX('Lease Cycles'!$GC$24:$GI$24,1,AB282)+1)))/12)</f>
        <v>0</v>
      </c>
      <c r="AC293" s="28">
        <f>IF(AC292=0,0,AC292*MAX(0,(INDEX(c_CAMy,1,AC$7)-INDEX(c_CAMy,1,INDEX('Lease Cycles'!$GC$24:$GI$24,1,AC282)+1))*(1+'Lease Cycles'!$AK$24)+(INDEX(c_TAXy,1,AC$7)-INDEX(c_TAXy,1,INDEX('Lease Cycles'!$GC$24:$GI$24,1,AC282)+1))+(INDEX(c_INSy,1,AC$7)-INDEX(c_INSy,1,INDEX('Lease Cycles'!$GC$24:$GI$24,1,AC282)+1)))/12)</f>
        <v>0</v>
      </c>
      <c r="AD293" s="28">
        <f>IF(AD292=0,0,AD292*MAX(0,(INDEX(c_CAMy,1,AD$7)-INDEX(c_CAMy,1,INDEX('Lease Cycles'!$GC$24:$GI$24,1,AD282)+1))*(1+'Lease Cycles'!$AK$24)+(INDEX(c_TAXy,1,AD$7)-INDEX(c_TAXy,1,INDEX('Lease Cycles'!$GC$24:$GI$24,1,AD282)+1))+(INDEX(c_INSy,1,AD$7)-INDEX(c_INSy,1,INDEX('Lease Cycles'!$GC$24:$GI$24,1,AD282)+1)))/12)</f>
        <v>0</v>
      </c>
      <c r="AE293" s="28">
        <f>IF(AE292=0,0,AE292*MAX(0,(INDEX(c_CAMy,1,AE$7)-INDEX(c_CAMy,1,INDEX('Lease Cycles'!$GC$24:$GI$24,1,AE282)+1))*(1+'Lease Cycles'!$AK$24)+(INDEX(c_TAXy,1,AE$7)-INDEX(c_TAXy,1,INDEX('Lease Cycles'!$GC$24:$GI$24,1,AE282)+1))+(INDEX(c_INSy,1,AE$7)-INDEX(c_INSy,1,INDEX('Lease Cycles'!$GC$24:$GI$24,1,AE282)+1)))/12)</f>
        <v>0</v>
      </c>
      <c r="AF293" s="28">
        <f>IF(AF292=0,0,AF292*MAX(0,(INDEX(c_CAMy,1,AF$7)-INDEX(c_CAMy,1,INDEX('Lease Cycles'!$GC$24:$GI$24,1,AF282)+1))*(1+'Lease Cycles'!$AK$24)+(INDEX(c_TAXy,1,AF$7)-INDEX(c_TAXy,1,INDEX('Lease Cycles'!$GC$24:$GI$24,1,AF282)+1))+(INDEX(c_INSy,1,AF$7)-INDEX(c_INSy,1,INDEX('Lease Cycles'!$GC$24:$GI$24,1,AF282)+1)))/12)</f>
        <v>0</v>
      </c>
      <c r="AG293" s="28">
        <f>IF(AG292=0,0,AG292*MAX(0,(INDEX(c_CAMy,1,AG$7)-INDEX(c_CAMy,1,INDEX('Lease Cycles'!$GC$24:$GI$24,1,AG282)+1))*(1+'Lease Cycles'!$AK$24)+(INDEX(c_TAXy,1,AG$7)-INDEX(c_TAXy,1,INDEX('Lease Cycles'!$GC$24:$GI$24,1,AG282)+1))+(INDEX(c_INSy,1,AG$7)-INDEX(c_INSy,1,INDEX('Lease Cycles'!$GC$24:$GI$24,1,AG282)+1)))/12)</f>
        <v>0</v>
      </c>
      <c r="AH293" s="28">
        <f>IF(AH292=0,0,AH292*MAX(0,(INDEX(c_CAMy,1,AH$7)-INDEX(c_CAMy,1,INDEX('Lease Cycles'!$GC$24:$GI$24,1,AH282)+1))*(1+'Lease Cycles'!$AK$24)+(INDEX(c_TAXy,1,AH$7)-INDEX(c_TAXy,1,INDEX('Lease Cycles'!$GC$24:$GI$24,1,AH282)+1))+(INDEX(c_INSy,1,AH$7)-INDEX(c_INSy,1,INDEX('Lease Cycles'!$GC$24:$GI$24,1,AH282)+1)))/12)</f>
        <v>0</v>
      </c>
      <c r="AI293" s="28">
        <f>IF(AI292=0,0,AI292*MAX(0,(INDEX(c_CAMy,1,AI$7)-INDEX(c_CAMy,1,INDEX('Lease Cycles'!$GC$24:$GI$24,1,AI282)+1))*(1+'Lease Cycles'!$AK$24)+(INDEX(c_TAXy,1,AI$7)-INDEX(c_TAXy,1,INDEX('Lease Cycles'!$GC$24:$GI$24,1,AI282)+1))+(INDEX(c_INSy,1,AI$7)-INDEX(c_INSy,1,INDEX('Lease Cycles'!$GC$24:$GI$24,1,AI282)+1)))/12)</f>
        <v>0</v>
      </c>
      <c r="AJ293" s="28">
        <f>IF(AJ292=0,0,AJ292*MAX(0,(INDEX(c_CAMy,1,AJ$7)-INDEX(c_CAMy,1,INDEX('Lease Cycles'!$GC$24:$GI$24,1,AJ282)+1))*(1+'Lease Cycles'!$AK$24)+(INDEX(c_TAXy,1,AJ$7)-INDEX(c_TAXy,1,INDEX('Lease Cycles'!$GC$24:$GI$24,1,AJ282)+1))+(INDEX(c_INSy,1,AJ$7)-INDEX(c_INSy,1,INDEX('Lease Cycles'!$GC$24:$GI$24,1,AJ282)+1)))/12)</f>
        <v>0</v>
      </c>
      <c r="AK293" s="28">
        <f>IF(AK292=0,0,AK292*MAX(0,(INDEX(c_CAMy,1,AK$7)-INDEX(c_CAMy,1,INDEX('Lease Cycles'!$GC$24:$GI$24,1,AK282)+1))*(1+'Lease Cycles'!$AK$24)+(INDEX(c_TAXy,1,AK$7)-INDEX(c_TAXy,1,INDEX('Lease Cycles'!$GC$24:$GI$24,1,AK282)+1))+(INDEX(c_INSy,1,AK$7)-INDEX(c_INSy,1,INDEX('Lease Cycles'!$GC$24:$GI$24,1,AK282)+1)))/12)</f>
        <v>0</v>
      </c>
      <c r="AL293" s="28">
        <f>IF(AL292=0,0,AL292*MAX(0,(INDEX(c_CAMy,1,AL$7)-INDEX(c_CAMy,1,INDEX('Lease Cycles'!$GC$24:$GI$24,1,AL282)+1))*(1+'Lease Cycles'!$AK$24)+(INDEX(c_TAXy,1,AL$7)-INDEX(c_TAXy,1,INDEX('Lease Cycles'!$GC$24:$GI$24,1,AL282)+1))+(INDEX(c_INSy,1,AL$7)-INDEX(c_INSy,1,INDEX('Lease Cycles'!$GC$24:$GI$24,1,AL282)+1)))/12)</f>
        <v>0</v>
      </c>
      <c r="AM293" s="28">
        <f>IF(AM292=0,0,AM292*MAX(0,(INDEX(c_CAMy,1,AM$7)-INDEX(c_CAMy,1,INDEX('Lease Cycles'!$GC$24:$GI$24,1,AM282)+1))*(1+'Lease Cycles'!$AK$24)+(INDEX(c_TAXy,1,AM$7)-INDEX(c_TAXy,1,INDEX('Lease Cycles'!$GC$24:$GI$24,1,AM282)+1))+(INDEX(c_INSy,1,AM$7)-INDEX(c_INSy,1,INDEX('Lease Cycles'!$GC$24:$GI$24,1,AM282)+1)))/12)</f>
        <v>0</v>
      </c>
      <c r="AN293" s="28">
        <f>IF(AN292=0,0,AN292*MAX(0,(INDEX(c_CAMy,1,AN$7)-INDEX(c_CAMy,1,INDEX('Lease Cycles'!$GC$24:$GI$24,1,AN282)+1))*(1+'Lease Cycles'!$AK$24)+(INDEX(c_TAXy,1,AN$7)-INDEX(c_TAXy,1,INDEX('Lease Cycles'!$GC$24:$GI$24,1,AN282)+1))+(INDEX(c_INSy,1,AN$7)-INDEX(c_INSy,1,INDEX('Lease Cycles'!$GC$24:$GI$24,1,AN282)+1)))/12)</f>
        <v>0</v>
      </c>
      <c r="AO293" s="28">
        <f>IF(AO292=0,0,AO292*MAX(0,(INDEX(c_CAMy,1,AO$7)-INDEX(c_CAMy,1,INDEX('Lease Cycles'!$GC$24:$GI$24,1,AO282)+1))*(1+'Lease Cycles'!$AK$24)+(INDEX(c_TAXy,1,AO$7)-INDEX(c_TAXy,1,INDEX('Lease Cycles'!$GC$24:$GI$24,1,AO282)+1))+(INDEX(c_INSy,1,AO$7)-INDEX(c_INSy,1,INDEX('Lease Cycles'!$GC$24:$GI$24,1,AO282)+1)))/12)</f>
        <v>0</v>
      </c>
      <c r="AP293" s="28">
        <f>IF(AP292=0,0,AP292*MAX(0,(INDEX(c_CAMy,1,AP$7)-INDEX(c_CAMy,1,INDEX('Lease Cycles'!$GC$24:$GI$24,1,AP282)+1))*(1+'Lease Cycles'!$AK$24)+(INDEX(c_TAXy,1,AP$7)-INDEX(c_TAXy,1,INDEX('Lease Cycles'!$GC$24:$GI$24,1,AP282)+1))+(INDEX(c_INSy,1,AP$7)-INDEX(c_INSy,1,INDEX('Lease Cycles'!$GC$24:$GI$24,1,AP282)+1)))/12)</f>
        <v>0</v>
      </c>
      <c r="AQ293" s="28">
        <f>IF(AQ292=0,0,AQ292*MAX(0,(INDEX(c_CAMy,1,AQ$7)-INDEX(c_CAMy,1,INDEX('Lease Cycles'!$GC$24:$GI$24,1,AQ282)+1))*(1+'Lease Cycles'!$AK$24)+(INDEX(c_TAXy,1,AQ$7)-INDEX(c_TAXy,1,INDEX('Lease Cycles'!$GC$24:$GI$24,1,AQ282)+1))+(INDEX(c_INSy,1,AQ$7)-INDEX(c_INSy,1,INDEX('Lease Cycles'!$GC$24:$GI$24,1,AQ282)+1)))/12)</f>
        <v>0</v>
      </c>
      <c r="AR293" s="28">
        <f>IF(AR292=0,0,AR292*MAX(0,(INDEX(c_CAMy,1,AR$7)-INDEX(c_CAMy,1,INDEX('Lease Cycles'!$GC$24:$GI$24,1,AR282)+1))*(1+'Lease Cycles'!$AK$24)+(INDEX(c_TAXy,1,AR$7)-INDEX(c_TAXy,1,INDEX('Lease Cycles'!$GC$24:$GI$24,1,AR282)+1))+(INDEX(c_INSy,1,AR$7)-INDEX(c_INSy,1,INDEX('Lease Cycles'!$GC$24:$GI$24,1,AR282)+1)))/12)</f>
        <v>0</v>
      </c>
      <c r="AS293" s="28">
        <f>IF(AS292=0,0,AS292*MAX(0,(INDEX(c_CAMy,1,AS$7)-INDEX(c_CAMy,1,INDEX('Lease Cycles'!$GC$24:$GI$24,1,AS282)+1))*(1+'Lease Cycles'!$AK$24)+(INDEX(c_TAXy,1,AS$7)-INDEX(c_TAXy,1,INDEX('Lease Cycles'!$GC$24:$GI$24,1,AS282)+1))+(INDEX(c_INSy,1,AS$7)-INDEX(c_INSy,1,INDEX('Lease Cycles'!$GC$24:$GI$24,1,AS282)+1)))/12)</f>
        <v>0</v>
      </c>
      <c r="AT293" s="28">
        <f>IF(AT292=0,0,AT292*MAX(0,(INDEX(c_CAMy,1,AT$7)-INDEX(c_CAMy,1,INDEX('Lease Cycles'!$GC$24:$GI$24,1,AT282)+1))*(1+'Lease Cycles'!$AK$24)+(INDEX(c_TAXy,1,AT$7)-INDEX(c_TAXy,1,INDEX('Lease Cycles'!$GC$24:$GI$24,1,AT282)+1))+(INDEX(c_INSy,1,AT$7)-INDEX(c_INSy,1,INDEX('Lease Cycles'!$GC$24:$GI$24,1,AT282)+1)))/12)</f>
        <v>0</v>
      </c>
      <c r="AU293" s="28">
        <f>IF(AU292=0,0,AU292*MAX(0,(INDEX(c_CAMy,1,AU$7)-INDEX(c_CAMy,1,INDEX('Lease Cycles'!$GC$24:$GI$24,1,AU282)+1))*(1+'Lease Cycles'!$AK$24)+(INDEX(c_TAXy,1,AU$7)-INDEX(c_TAXy,1,INDEX('Lease Cycles'!$GC$24:$GI$24,1,AU282)+1))+(INDEX(c_INSy,1,AU$7)-INDEX(c_INSy,1,INDEX('Lease Cycles'!$GC$24:$GI$24,1,AU282)+1)))/12)</f>
        <v>0</v>
      </c>
      <c r="AV293" s="28">
        <f>IF(AV292=0,0,AV292*MAX(0,(INDEX(c_CAMy,1,AV$7)-INDEX(c_CAMy,1,INDEX('Lease Cycles'!$GC$24:$GI$24,1,AV282)+1))*(1+'Lease Cycles'!$AK$24)+(INDEX(c_TAXy,1,AV$7)-INDEX(c_TAXy,1,INDEX('Lease Cycles'!$GC$24:$GI$24,1,AV282)+1))+(INDEX(c_INSy,1,AV$7)-INDEX(c_INSy,1,INDEX('Lease Cycles'!$GC$24:$GI$24,1,AV282)+1)))/12)</f>
        <v>0</v>
      </c>
      <c r="AW293" s="28">
        <f>IF(AW292=0,0,AW292*MAX(0,(INDEX(c_CAMy,1,AW$7)-INDEX(c_CAMy,1,INDEX('Lease Cycles'!$GC$24:$GI$24,1,AW282)+1))*(1+'Lease Cycles'!$AK$24)+(INDEX(c_TAXy,1,AW$7)-INDEX(c_TAXy,1,INDEX('Lease Cycles'!$GC$24:$GI$24,1,AW282)+1))+(INDEX(c_INSy,1,AW$7)-INDEX(c_INSy,1,INDEX('Lease Cycles'!$GC$24:$GI$24,1,AW282)+1)))/12)</f>
        <v>0</v>
      </c>
      <c r="AX293" s="28">
        <f>IF(AX292=0,0,AX292*MAX(0,(INDEX(c_CAMy,1,AX$7)-INDEX(c_CAMy,1,INDEX('Lease Cycles'!$GC$24:$GI$24,1,AX282)+1))*(1+'Lease Cycles'!$AK$24)+(INDEX(c_TAXy,1,AX$7)-INDEX(c_TAXy,1,INDEX('Lease Cycles'!$GC$24:$GI$24,1,AX282)+1))+(INDEX(c_INSy,1,AX$7)-INDEX(c_INSy,1,INDEX('Lease Cycles'!$GC$24:$GI$24,1,AX282)+1)))/12)</f>
        <v>0</v>
      </c>
      <c r="AY293" s="28">
        <f>IF(AY292=0,0,AY292*MAX(0,(INDEX(c_CAMy,1,AY$7)-INDEX(c_CAMy,1,INDEX('Lease Cycles'!$GC$24:$GI$24,1,AY282)+1))*(1+'Lease Cycles'!$AK$24)+(INDEX(c_TAXy,1,AY$7)-INDEX(c_TAXy,1,INDEX('Lease Cycles'!$GC$24:$GI$24,1,AY282)+1))+(INDEX(c_INSy,1,AY$7)-INDEX(c_INSy,1,INDEX('Lease Cycles'!$GC$24:$GI$24,1,AY282)+1)))/12)</f>
        <v>0</v>
      </c>
      <c r="AZ293" s="28">
        <f>IF(AZ292=0,0,AZ292*MAX(0,(INDEX(c_CAMy,1,AZ$7)-INDEX(c_CAMy,1,INDEX('Lease Cycles'!$GC$24:$GI$24,1,AZ282)+1))*(1+'Lease Cycles'!$AK$24)+(INDEX(c_TAXy,1,AZ$7)-INDEX(c_TAXy,1,INDEX('Lease Cycles'!$GC$24:$GI$24,1,AZ282)+1))+(INDEX(c_INSy,1,AZ$7)-INDEX(c_INSy,1,INDEX('Lease Cycles'!$GC$24:$GI$24,1,AZ282)+1)))/12)</f>
        <v>0</v>
      </c>
      <c r="BA293" s="28">
        <f>IF(BA292=0,0,BA292*MAX(0,(INDEX(c_CAMy,1,BA$7)-INDEX(c_CAMy,1,INDEX('Lease Cycles'!$GC$24:$GI$24,1,BA282)+1))*(1+'Lease Cycles'!$AK$24)+(INDEX(c_TAXy,1,BA$7)-INDEX(c_TAXy,1,INDEX('Lease Cycles'!$GC$24:$GI$24,1,BA282)+1))+(INDEX(c_INSy,1,BA$7)-INDEX(c_INSy,1,INDEX('Lease Cycles'!$GC$24:$GI$24,1,BA282)+1)))/12)</f>
        <v>0</v>
      </c>
      <c r="BB293" s="28">
        <f>IF(BB292=0,0,BB292*MAX(0,(INDEX(c_CAMy,1,BB$7)-INDEX(c_CAMy,1,INDEX('Lease Cycles'!$GC$24:$GI$24,1,BB282)+1))*(1+'Lease Cycles'!$AK$24)+(INDEX(c_TAXy,1,BB$7)-INDEX(c_TAXy,1,INDEX('Lease Cycles'!$GC$24:$GI$24,1,BB282)+1))+(INDEX(c_INSy,1,BB$7)-INDEX(c_INSy,1,INDEX('Lease Cycles'!$GC$24:$GI$24,1,BB282)+1)))/12)</f>
        <v>0</v>
      </c>
      <c r="BC293" s="28">
        <f>IF(BC292=0,0,BC292*MAX(0,(INDEX(c_CAMy,1,BC$7)-INDEX(c_CAMy,1,INDEX('Lease Cycles'!$GC$24:$GI$24,1,BC282)+1))*(1+'Lease Cycles'!$AK$24)+(INDEX(c_TAXy,1,BC$7)-INDEX(c_TAXy,1,INDEX('Lease Cycles'!$GC$24:$GI$24,1,BC282)+1))+(INDEX(c_INSy,1,BC$7)-INDEX(c_INSy,1,INDEX('Lease Cycles'!$GC$24:$GI$24,1,BC282)+1)))/12)</f>
        <v>0</v>
      </c>
      <c r="BD293" s="28">
        <f>IF(BD292=0,0,BD292*MAX(0,(INDEX(c_CAMy,1,BD$7)-INDEX(c_CAMy,1,INDEX('Lease Cycles'!$GC$24:$GI$24,1,BD282)+1))*(1+'Lease Cycles'!$AK$24)+(INDEX(c_TAXy,1,BD$7)-INDEX(c_TAXy,1,INDEX('Lease Cycles'!$GC$24:$GI$24,1,BD282)+1))+(INDEX(c_INSy,1,BD$7)-INDEX(c_INSy,1,INDEX('Lease Cycles'!$GC$24:$GI$24,1,BD282)+1)))/12)</f>
        <v>0</v>
      </c>
      <c r="BE293" s="28">
        <f>IF(BE292=0,0,BE292*MAX(0,(INDEX(c_CAMy,1,BE$7)-INDEX(c_CAMy,1,INDEX('Lease Cycles'!$GC$24:$GI$24,1,BE282)+1))*(1+'Lease Cycles'!$AK$24)+(INDEX(c_TAXy,1,BE$7)-INDEX(c_TAXy,1,INDEX('Lease Cycles'!$GC$24:$GI$24,1,BE282)+1))+(INDEX(c_INSy,1,BE$7)-INDEX(c_INSy,1,INDEX('Lease Cycles'!$GC$24:$GI$24,1,BE282)+1)))/12)</f>
        <v>0</v>
      </c>
      <c r="BF293" s="28">
        <f>IF(BF292=0,0,BF292*MAX(0,(INDEX(c_CAMy,1,BF$7)-INDEX(c_CAMy,1,INDEX('Lease Cycles'!$GC$24:$GI$24,1,BF282)+1))*(1+'Lease Cycles'!$AK$24)+(INDEX(c_TAXy,1,BF$7)-INDEX(c_TAXy,1,INDEX('Lease Cycles'!$GC$24:$GI$24,1,BF282)+1))+(INDEX(c_INSy,1,BF$7)-INDEX(c_INSy,1,INDEX('Lease Cycles'!$GC$24:$GI$24,1,BF282)+1)))/12)</f>
        <v>0</v>
      </c>
      <c r="BG293" s="28">
        <f>IF(BG292=0,0,BG292*MAX(0,(INDEX(c_CAMy,1,BG$7)-INDEX(c_CAMy,1,INDEX('Lease Cycles'!$GC$24:$GI$24,1,BG282)+1))*(1+'Lease Cycles'!$AK$24)+(INDEX(c_TAXy,1,BG$7)-INDEX(c_TAXy,1,INDEX('Lease Cycles'!$GC$24:$GI$24,1,BG282)+1))+(INDEX(c_INSy,1,BG$7)-INDEX(c_INSy,1,INDEX('Lease Cycles'!$GC$24:$GI$24,1,BG282)+1)))/12)</f>
        <v>0</v>
      </c>
      <c r="BH293" s="28">
        <f>IF(BH292=0,0,BH292*MAX(0,(INDEX(c_CAMy,1,BH$7)-INDEX(c_CAMy,1,INDEX('Lease Cycles'!$GC$24:$GI$24,1,BH282)+1))*(1+'Lease Cycles'!$AK$24)+(INDEX(c_TAXy,1,BH$7)-INDEX(c_TAXy,1,INDEX('Lease Cycles'!$GC$24:$GI$24,1,BH282)+1))+(INDEX(c_INSy,1,BH$7)-INDEX(c_INSy,1,INDEX('Lease Cycles'!$GC$24:$GI$24,1,BH282)+1)))/12)</f>
        <v>0</v>
      </c>
      <c r="BI293" s="28">
        <f>IF(BI292=0,0,BI292*MAX(0,(INDEX(c_CAMy,1,BI$7)-INDEX(c_CAMy,1,INDEX('Lease Cycles'!$GC$24:$GI$24,1,BI282)+1))*(1+'Lease Cycles'!$AK$24)+(INDEX(c_TAXy,1,BI$7)-INDEX(c_TAXy,1,INDEX('Lease Cycles'!$GC$24:$GI$24,1,BI282)+1))+(INDEX(c_INSy,1,BI$7)-INDEX(c_INSy,1,INDEX('Lease Cycles'!$GC$24:$GI$24,1,BI282)+1)))/12)</f>
        <v>0</v>
      </c>
      <c r="BJ293" s="28">
        <f>IF(BJ292=0,0,BJ292*MAX(0,(INDEX(c_CAMy,1,BJ$7)-INDEX(c_CAMy,1,INDEX('Lease Cycles'!$GC$24:$GI$24,1,BJ282)+1))*(1+'Lease Cycles'!$AK$24)+(INDEX(c_TAXy,1,BJ$7)-INDEX(c_TAXy,1,INDEX('Lease Cycles'!$GC$24:$GI$24,1,BJ282)+1))+(INDEX(c_INSy,1,BJ$7)-INDEX(c_INSy,1,INDEX('Lease Cycles'!$GC$24:$GI$24,1,BJ282)+1)))/12)</f>
        <v>0</v>
      </c>
      <c r="BK293" s="28">
        <f>IF(BK292=0,0,BK292*MAX(0,(INDEX(c_CAMy,1,BK$7)-INDEX(c_CAMy,1,INDEX('Lease Cycles'!$GC$24:$GI$24,1,BK282)+1))*(1+'Lease Cycles'!$AK$24)+(INDEX(c_TAXy,1,BK$7)-INDEX(c_TAXy,1,INDEX('Lease Cycles'!$GC$24:$GI$24,1,BK282)+1))+(INDEX(c_INSy,1,BK$7)-INDEX(c_INSy,1,INDEX('Lease Cycles'!$GC$24:$GI$24,1,BK282)+1)))/12)</f>
        <v>0</v>
      </c>
      <c r="BL293" s="28">
        <f>IF(BL292=0,0,BL292*MAX(0,(INDEX(c_CAMy,1,BL$7)-INDEX(c_CAMy,1,INDEX('Lease Cycles'!$GC$24:$GI$24,1,BL282)+1))*(1+'Lease Cycles'!$AK$24)+(INDEX(c_TAXy,1,BL$7)-INDEX(c_TAXy,1,INDEX('Lease Cycles'!$GC$24:$GI$24,1,BL282)+1))+(INDEX(c_INSy,1,BL$7)-INDEX(c_INSy,1,INDEX('Lease Cycles'!$GC$24:$GI$24,1,BL282)+1)))/12)</f>
        <v>0</v>
      </c>
      <c r="BM293" s="28">
        <f>IF(BM292=0,0,BM292*MAX(0,(INDEX(c_CAMy,1,BM$7)-INDEX(c_CAMy,1,INDEX('Lease Cycles'!$GC$24:$GI$24,1,BM282)+1))*(1+'Lease Cycles'!$AK$24)+(INDEX(c_TAXy,1,BM$7)-INDEX(c_TAXy,1,INDEX('Lease Cycles'!$GC$24:$GI$24,1,BM282)+1))+(INDEX(c_INSy,1,BM$7)-INDEX(c_INSy,1,INDEX('Lease Cycles'!$GC$24:$GI$24,1,BM282)+1)))/12)</f>
        <v>0</v>
      </c>
      <c r="BN293" s="28">
        <f>IF(BN292=0,0,BN292*MAX(0,(INDEX(c_CAMy,1,BN$7)-INDEX(c_CAMy,1,INDEX('Lease Cycles'!$GC$24:$GI$24,1,BN282)+1))*(1+'Lease Cycles'!$AK$24)+(INDEX(c_TAXy,1,BN$7)-INDEX(c_TAXy,1,INDEX('Lease Cycles'!$GC$24:$GI$24,1,BN282)+1))+(INDEX(c_INSy,1,BN$7)-INDEX(c_INSy,1,INDEX('Lease Cycles'!$GC$24:$GI$24,1,BN282)+1)))/12)</f>
        <v>0</v>
      </c>
      <c r="BO293" s="28">
        <f>IF(BO292=0,0,BO292*MAX(0,(INDEX(c_CAMy,1,BO$7)-INDEX(c_CAMy,1,INDEX('Lease Cycles'!$GC$24:$GI$24,1,BO282)+1))*(1+'Lease Cycles'!$AK$24)+(INDEX(c_TAXy,1,BO$7)-INDEX(c_TAXy,1,INDEX('Lease Cycles'!$GC$24:$GI$24,1,BO282)+1))+(INDEX(c_INSy,1,BO$7)-INDEX(c_INSy,1,INDEX('Lease Cycles'!$GC$24:$GI$24,1,BO282)+1)))/12)</f>
        <v>0</v>
      </c>
      <c r="BP293" s="28">
        <f>IF(BP292=0,0,BP292*MAX(0,(INDEX(c_CAMy,1,BP$7)-INDEX(c_CAMy,1,INDEX('Lease Cycles'!$GC$24:$GI$24,1,BP282)+1))*(1+'Lease Cycles'!$AK$24)+(INDEX(c_TAXy,1,BP$7)-INDEX(c_TAXy,1,INDEX('Lease Cycles'!$GC$24:$GI$24,1,BP282)+1))+(INDEX(c_INSy,1,BP$7)-INDEX(c_INSy,1,INDEX('Lease Cycles'!$GC$24:$GI$24,1,BP282)+1)))/12)</f>
        <v>0</v>
      </c>
      <c r="BQ293" s="28">
        <f>IF(BQ292=0,0,BQ292*MAX(0,(INDEX(c_CAMy,1,BQ$7)-INDEX(c_CAMy,1,INDEX('Lease Cycles'!$GC$24:$GI$24,1,BQ282)+1))*(1+'Lease Cycles'!$AK$24)+(INDEX(c_TAXy,1,BQ$7)-INDEX(c_TAXy,1,INDEX('Lease Cycles'!$GC$24:$GI$24,1,BQ282)+1))+(INDEX(c_INSy,1,BQ$7)-INDEX(c_INSy,1,INDEX('Lease Cycles'!$GC$24:$GI$24,1,BQ282)+1)))/12)</f>
        <v>0</v>
      </c>
      <c r="BR293" s="28">
        <f>IF(BR292=0,0,BR292*MAX(0,(INDEX(c_CAMy,1,BR$7)-INDEX(c_CAMy,1,INDEX('Lease Cycles'!$GC$24:$GI$24,1,BR282)+1))*(1+'Lease Cycles'!$AK$24)+(INDEX(c_TAXy,1,BR$7)-INDEX(c_TAXy,1,INDEX('Lease Cycles'!$GC$24:$GI$24,1,BR282)+1))+(INDEX(c_INSy,1,BR$7)-INDEX(c_INSy,1,INDEX('Lease Cycles'!$GC$24:$GI$24,1,BR282)+1)))/12)</f>
        <v>0</v>
      </c>
      <c r="BS293" s="28">
        <f>IF(BS292=0,0,BS292*MAX(0,(INDEX(c_CAMy,1,BS$7)-INDEX(c_CAMy,1,INDEX('Lease Cycles'!$GC$24:$GI$24,1,BS282)+1))*(1+'Lease Cycles'!$AK$24)+(INDEX(c_TAXy,1,BS$7)-INDEX(c_TAXy,1,INDEX('Lease Cycles'!$GC$24:$GI$24,1,BS282)+1))+(INDEX(c_INSy,1,BS$7)-INDEX(c_INSy,1,INDEX('Lease Cycles'!$GC$24:$GI$24,1,BS282)+1)))/12)</f>
        <v>0</v>
      </c>
      <c r="BT293" s="28">
        <f>IF(BT292=0,0,BT292*MAX(0,(INDEX(c_CAMy,1,BT$7)-INDEX(c_CAMy,1,INDEX('Lease Cycles'!$GC$24:$GI$24,1,BT282)+1))*(1+'Lease Cycles'!$AK$24)+(INDEX(c_TAXy,1,BT$7)-INDEX(c_TAXy,1,INDEX('Lease Cycles'!$GC$24:$GI$24,1,BT282)+1))+(INDEX(c_INSy,1,BT$7)-INDEX(c_INSy,1,INDEX('Lease Cycles'!$GC$24:$GI$24,1,BT282)+1)))/12)</f>
        <v>0</v>
      </c>
      <c r="BU293" s="28">
        <f>IF(BU292=0,0,BU292*MAX(0,(INDEX(c_CAMy,1,BU$7)-INDEX(c_CAMy,1,INDEX('Lease Cycles'!$GC$24:$GI$24,1,BU282)+1))*(1+'Lease Cycles'!$AK$24)+(INDEX(c_TAXy,1,BU$7)-INDEX(c_TAXy,1,INDEX('Lease Cycles'!$GC$24:$GI$24,1,BU282)+1))+(INDEX(c_INSy,1,BU$7)-INDEX(c_INSy,1,INDEX('Lease Cycles'!$GC$24:$GI$24,1,BU282)+1)))/12)</f>
        <v>0</v>
      </c>
      <c r="BV293" s="28">
        <f>IF(BV292=0,0,BV292*MAX(0,(INDEX(c_CAMy,1,BV$7)-INDEX(c_CAMy,1,INDEX('Lease Cycles'!$GC$24:$GI$24,1,BV282)+1))*(1+'Lease Cycles'!$AK$24)+(INDEX(c_TAXy,1,BV$7)-INDEX(c_TAXy,1,INDEX('Lease Cycles'!$GC$24:$GI$24,1,BV282)+1))+(INDEX(c_INSy,1,BV$7)-INDEX(c_INSy,1,INDEX('Lease Cycles'!$GC$24:$GI$24,1,BV282)+1)))/12)</f>
        <v>0</v>
      </c>
      <c r="BW293" s="28">
        <f>IF(BW292=0,0,BW292*MAX(0,(INDEX(c_CAMy,1,BW$7)-INDEX(c_CAMy,1,INDEX('Lease Cycles'!$GC$24:$GI$24,1,BW282)+1))*(1+'Lease Cycles'!$AK$24)+(INDEX(c_TAXy,1,BW$7)-INDEX(c_TAXy,1,INDEX('Lease Cycles'!$GC$24:$GI$24,1,BW282)+1))+(INDEX(c_INSy,1,BW$7)-INDEX(c_INSy,1,INDEX('Lease Cycles'!$GC$24:$GI$24,1,BW282)+1)))/12)</f>
        <v>0</v>
      </c>
      <c r="BX293" s="28">
        <f>IF(BX292=0,0,BX292*MAX(0,(INDEX(c_CAMy,1,BX$7)-INDEX(c_CAMy,1,INDEX('Lease Cycles'!$GC$24:$GI$24,1,BX282)+1))*(1+'Lease Cycles'!$AK$24)+(INDEX(c_TAXy,1,BX$7)-INDEX(c_TAXy,1,INDEX('Lease Cycles'!$GC$24:$GI$24,1,BX282)+1))+(INDEX(c_INSy,1,BX$7)-INDEX(c_INSy,1,INDEX('Lease Cycles'!$GC$24:$GI$24,1,BX282)+1)))/12)</f>
        <v>0</v>
      </c>
      <c r="BY293" s="28">
        <f>IF(BY292=0,0,BY292*MAX(0,(INDEX(c_CAMy,1,BY$7)-INDEX(c_CAMy,1,INDEX('Lease Cycles'!$GC$24:$GI$24,1,BY282)+1))*(1+'Lease Cycles'!$AK$24)+(INDEX(c_TAXy,1,BY$7)-INDEX(c_TAXy,1,INDEX('Lease Cycles'!$GC$24:$GI$24,1,BY282)+1))+(INDEX(c_INSy,1,BY$7)-INDEX(c_INSy,1,INDEX('Lease Cycles'!$GC$24:$GI$24,1,BY282)+1)))/12)</f>
        <v>0</v>
      </c>
      <c r="BZ293" s="28">
        <f>IF(BZ292=0,0,BZ292*MAX(0,(INDEX(c_CAMy,1,BZ$7)-INDEX(c_CAMy,1,INDEX('Lease Cycles'!$GC$24:$GI$24,1,BZ282)+1))*(1+'Lease Cycles'!$AK$24)+(INDEX(c_TAXy,1,BZ$7)-INDEX(c_TAXy,1,INDEX('Lease Cycles'!$GC$24:$GI$24,1,BZ282)+1))+(INDEX(c_INSy,1,BZ$7)-INDEX(c_INSy,1,INDEX('Lease Cycles'!$GC$24:$GI$24,1,BZ282)+1)))/12)</f>
        <v>0</v>
      </c>
      <c r="CA293" s="28">
        <f>IF(CA292=0,0,CA292*MAX(0,(INDEX(c_CAMy,1,CA$7)-INDEX(c_CAMy,1,INDEX('Lease Cycles'!$GC$24:$GI$24,1,CA282)+1))*(1+'Lease Cycles'!$AK$24)+(INDEX(c_TAXy,1,CA$7)-INDEX(c_TAXy,1,INDEX('Lease Cycles'!$GC$24:$GI$24,1,CA282)+1))+(INDEX(c_INSy,1,CA$7)-INDEX(c_INSy,1,INDEX('Lease Cycles'!$GC$24:$GI$24,1,CA282)+1)))/12)</f>
        <v>0</v>
      </c>
      <c r="CB293" s="28">
        <f>IF(CB292=0,0,CB292*MAX(0,(INDEX(c_CAMy,1,CB$7)-INDEX(c_CAMy,1,INDEX('Lease Cycles'!$GC$24:$GI$24,1,CB282)+1))*(1+'Lease Cycles'!$AK$24)+(INDEX(c_TAXy,1,CB$7)-INDEX(c_TAXy,1,INDEX('Lease Cycles'!$GC$24:$GI$24,1,CB282)+1))+(INDEX(c_INSy,1,CB$7)-INDEX(c_INSy,1,INDEX('Lease Cycles'!$GC$24:$GI$24,1,CB282)+1)))/12)</f>
        <v>0</v>
      </c>
      <c r="CC293" s="28">
        <f>IF(CC292=0,0,CC292*MAX(0,(INDEX(c_CAMy,1,CC$7)-INDEX(c_CAMy,1,INDEX('Lease Cycles'!$GC$24:$GI$24,1,CC282)+1))*(1+'Lease Cycles'!$AK$24)+(INDEX(c_TAXy,1,CC$7)-INDEX(c_TAXy,1,INDEX('Lease Cycles'!$GC$24:$GI$24,1,CC282)+1))+(INDEX(c_INSy,1,CC$7)-INDEX(c_INSy,1,INDEX('Lease Cycles'!$GC$24:$GI$24,1,CC282)+1)))/12)</f>
        <v>0</v>
      </c>
      <c r="CD293" s="28">
        <f>IF(CD292=0,0,CD292*MAX(0,(INDEX(c_CAMy,1,CD$7)-INDEX(c_CAMy,1,INDEX('Lease Cycles'!$GC$24:$GI$24,1,CD282)+1))*(1+'Lease Cycles'!$AK$24)+(INDEX(c_TAXy,1,CD$7)-INDEX(c_TAXy,1,INDEX('Lease Cycles'!$GC$24:$GI$24,1,CD282)+1))+(INDEX(c_INSy,1,CD$7)-INDEX(c_INSy,1,INDEX('Lease Cycles'!$GC$24:$GI$24,1,CD282)+1)))/12)</f>
        <v>0</v>
      </c>
      <c r="CE293" s="28">
        <f>IF(CE292=0,0,CE292*MAX(0,(INDEX(c_CAMy,1,CE$7)-INDEX(c_CAMy,1,INDEX('Lease Cycles'!$GC$24:$GI$24,1,CE282)+1))*(1+'Lease Cycles'!$AK$24)+(INDEX(c_TAXy,1,CE$7)-INDEX(c_TAXy,1,INDEX('Lease Cycles'!$GC$24:$GI$24,1,CE282)+1))+(INDEX(c_INSy,1,CE$7)-INDEX(c_INSy,1,INDEX('Lease Cycles'!$GC$24:$GI$24,1,CE282)+1)))/12)</f>
        <v>0</v>
      </c>
      <c r="CF293" s="28">
        <f>IF(CF292=0,0,CF292*MAX(0,(INDEX(c_CAMy,1,CF$7)-INDEX(c_CAMy,1,INDEX('Lease Cycles'!$GC$24:$GI$24,1,CF282)+1))*(1+'Lease Cycles'!$AK$24)+(INDEX(c_TAXy,1,CF$7)-INDEX(c_TAXy,1,INDEX('Lease Cycles'!$GC$24:$GI$24,1,CF282)+1))+(INDEX(c_INSy,1,CF$7)-INDEX(c_INSy,1,INDEX('Lease Cycles'!$GC$24:$GI$24,1,CF282)+1)))/12)</f>
        <v>0</v>
      </c>
      <c r="CG293" s="28">
        <f>IF(CG292=0,0,CG292*MAX(0,(INDEX(c_CAMy,1,CG$7)-INDEX(c_CAMy,1,INDEX('Lease Cycles'!$GC$24:$GI$24,1,CG282)+1))*(1+'Lease Cycles'!$AK$24)+(INDEX(c_TAXy,1,CG$7)-INDEX(c_TAXy,1,INDEX('Lease Cycles'!$GC$24:$GI$24,1,CG282)+1))+(INDEX(c_INSy,1,CG$7)-INDEX(c_INSy,1,INDEX('Lease Cycles'!$GC$24:$GI$24,1,CG282)+1)))/12)</f>
        <v>0</v>
      </c>
      <c r="CH293" s="28">
        <f>IF(CH292=0,0,CH292*MAX(0,(INDEX(c_CAMy,1,CH$7)-INDEX(c_CAMy,1,INDEX('Lease Cycles'!$GC$24:$GI$24,1,CH282)+1))*(1+'Lease Cycles'!$AK$24)+(INDEX(c_TAXy,1,CH$7)-INDEX(c_TAXy,1,INDEX('Lease Cycles'!$GC$24:$GI$24,1,CH282)+1))+(INDEX(c_INSy,1,CH$7)-INDEX(c_INSy,1,INDEX('Lease Cycles'!$GC$24:$GI$24,1,CH282)+1)))/12)</f>
        <v>0</v>
      </c>
      <c r="CI293" s="28">
        <f>IF(CI292=0,0,CI292*MAX(0,(INDEX(c_CAMy,1,CI$7)-INDEX(c_CAMy,1,INDEX('Lease Cycles'!$GC$24:$GI$24,1,CI282)+1))*(1+'Lease Cycles'!$AK$24)+(INDEX(c_TAXy,1,CI$7)-INDEX(c_TAXy,1,INDEX('Lease Cycles'!$GC$24:$GI$24,1,CI282)+1))+(INDEX(c_INSy,1,CI$7)-INDEX(c_INSy,1,INDEX('Lease Cycles'!$GC$24:$GI$24,1,CI282)+1)))/12)</f>
        <v>0</v>
      </c>
      <c r="CJ293" s="28">
        <f>IF(CJ292=0,0,CJ292*MAX(0,(INDEX(c_CAMy,1,CJ$7)-INDEX(c_CAMy,1,INDEX('Lease Cycles'!$GC$24:$GI$24,1,CJ282)+1))*(1+'Lease Cycles'!$AK$24)+(INDEX(c_TAXy,1,CJ$7)-INDEX(c_TAXy,1,INDEX('Lease Cycles'!$GC$24:$GI$24,1,CJ282)+1))+(INDEX(c_INSy,1,CJ$7)-INDEX(c_INSy,1,INDEX('Lease Cycles'!$GC$24:$GI$24,1,CJ282)+1)))/12)</f>
        <v>0</v>
      </c>
      <c r="CK293" s="28">
        <f>IF(CK292=0,0,CK292*MAX(0,(INDEX(c_CAMy,1,CK$7)-INDEX(c_CAMy,1,INDEX('Lease Cycles'!$GC$24:$GI$24,1,CK282)+1))*(1+'Lease Cycles'!$AK$24)+(INDEX(c_TAXy,1,CK$7)-INDEX(c_TAXy,1,INDEX('Lease Cycles'!$GC$24:$GI$24,1,CK282)+1))+(INDEX(c_INSy,1,CK$7)-INDEX(c_INSy,1,INDEX('Lease Cycles'!$GC$24:$GI$24,1,CK282)+1)))/12)</f>
        <v>0</v>
      </c>
      <c r="CL293" s="28">
        <f>IF(CL292=0,0,CL292*MAX(0,(INDEX(c_CAMy,1,CL$7)-INDEX(c_CAMy,1,INDEX('Lease Cycles'!$GC$24:$GI$24,1,CL282)+1))*(1+'Lease Cycles'!$AK$24)+(INDEX(c_TAXy,1,CL$7)-INDEX(c_TAXy,1,INDEX('Lease Cycles'!$GC$24:$GI$24,1,CL282)+1))+(INDEX(c_INSy,1,CL$7)-INDEX(c_INSy,1,INDEX('Lease Cycles'!$GC$24:$GI$24,1,CL282)+1)))/12)</f>
        <v>0</v>
      </c>
      <c r="CM293" s="28">
        <f>IF(CM292=0,0,CM292*MAX(0,(INDEX(c_CAMy,1,CM$7)-INDEX(c_CAMy,1,INDEX('Lease Cycles'!$GC$24:$GI$24,1,CM282)+1))*(1+'Lease Cycles'!$AK$24)+(INDEX(c_TAXy,1,CM$7)-INDEX(c_TAXy,1,INDEX('Lease Cycles'!$GC$24:$GI$24,1,CM282)+1))+(INDEX(c_INSy,1,CM$7)-INDEX(c_INSy,1,INDEX('Lease Cycles'!$GC$24:$GI$24,1,CM282)+1)))/12)</f>
        <v>0</v>
      </c>
      <c r="CN293" s="28">
        <f>IF(CN292=0,0,CN292*MAX(0,(INDEX(c_CAMy,1,CN$7)-INDEX(c_CAMy,1,INDEX('Lease Cycles'!$GC$24:$GI$24,1,CN282)+1))*(1+'Lease Cycles'!$AK$24)+(INDEX(c_TAXy,1,CN$7)-INDEX(c_TAXy,1,INDEX('Lease Cycles'!$GC$24:$GI$24,1,CN282)+1))+(INDEX(c_INSy,1,CN$7)-INDEX(c_INSy,1,INDEX('Lease Cycles'!$GC$24:$GI$24,1,CN282)+1)))/12)</f>
        <v>0</v>
      </c>
      <c r="CO293" s="28">
        <f>IF(CO292=0,0,CO292*MAX(0,(INDEX(c_CAMy,1,CO$7)-INDEX(c_CAMy,1,INDEX('Lease Cycles'!$GC$24:$GI$24,1,CO282)+1))*(1+'Lease Cycles'!$AK$24)+(INDEX(c_TAXy,1,CO$7)-INDEX(c_TAXy,1,INDEX('Lease Cycles'!$GC$24:$GI$24,1,CO282)+1))+(INDEX(c_INSy,1,CO$7)-INDEX(c_INSy,1,INDEX('Lease Cycles'!$GC$24:$GI$24,1,CO282)+1)))/12)</f>
        <v>0</v>
      </c>
      <c r="CP293" s="28">
        <f>IF(CP292=0,0,CP292*MAX(0,(INDEX(c_CAMy,1,CP$7)-INDEX(c_CAMy,1,INDEX('Lease Cycles'!$GC$24:$GI$24,1,CP282)+1))*(1+'Lease Cycles'!$AK$24)+(INDEX(c_TAXy,1,CP$7)-INDEX(c_TAXy,1,INDEX('Lease Cycles'!$GC$24:$GI$24,1,CP282)+1))+(INDEX(c_INSy,1,CP$7)-INDEX(c_INSy,1,INDEX('Lease Cycles'!$GC$24:$GI$24,1,CP282)+1)))/12)</f>
        <v>0</v>
      </c>
      <c r="CQ293" s="28">
        <f>IF(CQ292=0,0,CQ292*MAX(0,(INDEX(c_CAMy,1,CQ$7)-INDEX(c_CAMy,1,INDEX('Lease Cycles'!$GC$24:$GI$24,1,CQ282)+1))*(1+'Lease Cycles'!$AK$24)+(INDEX(c_TAXy,1,CQ$7)-INDEX(c_TAXy,1,INDEX('Lease Cycles'!$GC$24:$GI$24,1,CQ282)+1))+(INDEX(c_INSy,1,CQ$7)-INDEX(c_INSy,1,INDEX('Lease Cycles'!$GC$24:$GI$24,1,CQ282)+1)))/12)</f>
        <v>0</v>
      </c>
      <c r="CR293" s="28">
        <f>IF(CR292=0,0,CR292*MAX(0,(INDEX(c_CAMy,1,CR$7)-INDEX(c_CAMy,1,INDEX('Lease Cycles'!$GC$24:$GI$24,1,CR282)+1))*(1+'Lease Cycles'!$AK$24)+(INDEX(c_TAXy,1,CR$7)-INDEX(c_TAXy,1,INDEX('Lease Cycles'!$GC$24:$GI$24,1,CR282)+1))+(INDEX(c_INSy,1,CR$7)-INDEX(c_INSy,1,INDEX('Lease Cycles'!$GC$24:$GI$24,1,CR282)+1)))/12)</f>
        <v>0</v>
      </c>
      <c r="CS293" s="28">
        <f>IF(CS292=0,0,CS292*MAX(0,(INDEX(c_CAMy,1,CS$7)-INDEX(c_CAMy,1,INDEX('Lease Cycles'!$GC$24:$GI$24,1,CS282)+1))*(1+'Lease Cycles'!$AK$24)+(INDEX(c_TAXy,1,CS$7)-INDEX(c_TAXy,1,INDEX('Lease Cycles'!$GC$24:$GI$24,1,CS282)+1))+(INDEX(c_INSy,1,CS$7)-INDEX(c_INSy,1,INDEX('Lease Cycles'!$GC$24:$GI$24,1,CS282)+1)))/12)</f>
        <v>0</v>
      </c>
      <c r="CT293" s="28">
        <f>IF(CT292=0,0,CT292*MAX(0,(INDEX(c_CAMy,1,CT$7)-INDEX(c_CAMy,1,INDEX('Lease Cycles'!$GC$24:$GI$24,1,CT282)+1))*(1+'Lease Cycles'!$AK$24)+(INDEX(c_TAXy,1,CT$7)-INDEX(c_TAXy,1,INDEX('Lease Cycles'!$GC$24:$GI$24,1,CT282)+1))+(INDEX(c_INSy,1,CT$7)-INDEX(c_INSy,1,INDEX('Lease Cycles'!$GC$24:$GI$24,1,CT282)+1)))/12)</f>
        <v>0</v>
      </c>
      <c r="CU293" s="28">
        <f>IF(CU292=0,0,CU292*MAX(0,(INDEX(c_CAMy,1,CU$7)-INDEX(c_CAMy,1,INDEX('Lease Cycles'!$GC$24:$GI$24,1,CU282)+1))*(1+'Lease Cycles'!$AK$24)+(INDEX(c_TAXy,1,CU$7)-INDEX(c_TAXy,1,INDEX('Lease Cycles'!$GC$24:$GI$24,1,CU282)+1))+(INDEX(c_INSy,1,CU$7)-INDEX(c_INSy,1,INDEX('Lease Cycles'!$GC$24:$GI$24,1,CU282)+1)))/12)</f>
        <v>0</v>
      </c>
      <c r="CV293" s="28">
        <f>IF(CV292=0,0,CV292*MAX(0,(INDEX(c_CAMy,1,CV$7)-INDEX(c_CAMy,1,INDEX('Lease Cycles'!$GC$24:$GI$24,1,CV282)+1))*(1+'Lease Cycles'!$AK$24)+(INDEX(c_TAXy,1,CV$7)-INDEX(c_TAXy,1,INDEX('Lease Cycles'!$GC$24:$GI$24,1,CV282)+1))+(INDEX(c_INSy,1,CV$7)-INDEX(c_INSy,1,INDEX('Lease Cycles'!$GC$24:$GI$24,1,CV282)+1)))/12)</f>
        <v>0</v>
      </c>
      <c r="CW293" s="28">
        <f>IF(CW292=0,0,CW292*MAX(0,(INDEX(c_CAMy,1,CW$7)-INDEX(c_CAMy,1,INDEX('Lease Cycles'!$GC$24:$GI$24,1,CW282)+1))*(1+'Lease Cycles'!$AK$24)+(INDEX(c_TAXy,1,CW$7)-INDEX(c_TAXy,1,INDEX('Lease Cycles'!$GC$24:$GI$24,1,CW282)+1))+(INDEX(c_INSy,1,CW$7)-INDEX(c_INSy,1,INDEX('Lease Cycles'!$GC$24:$GI$24,1,CW282)+1)))/12)</f>
        <v>0</v>
      </c>
      <c r="CX293" s="28">
        <f>IF(CX292=0,0,CX292*MAX(0,(INDEX(c_CAMy,1,CX$7)-INDEX(c_CAMy,1,INDEX('Lease Cycles'!$GC$24:$GI$24,1,CX282)+1))*(1+'Lease Cycles'!$AK$24)+(INDEX(c_TAXy,1,CX$7)-INDEX(c_TAXy,1,INDEX('Lease Cycles'!$GC$24:$GI$24,1,CX282)+1))+(INDEX(c_INSy,1,CX$7)-INDEX(c_INSy,1,INDEX('Lease Cycles'!$GC$24:$GI$24,1,CX282)+1)))/12)</f>
        <v>0</v>
      </c>
      <c r="CY293" s="28">
        <f>IF(CY292=0,0,CY292*MAX(0,(INDEX(c_CAMy,1,CY$7)-INDEX(c_CAMy,1,INDEX('Lease Cycles'!$GC$24:$GI$24,1,CY282)+1))*(1+'Lease Cycles'!$AK$24)+(INDEX(c_TAXy,1,CY$7)-INDEX(c_TAXy,1,INDEX('Lease Cycles'!$GC$24:$GI$24,1,CY282)+1))+(INDEX(c_INSy,1,CY$7)-INDEX(c_INSy,1,INDEX('Lease Cycles'!$GC$24:$GI$24,1,CY282)+1)))/12)</f>
        <v>0</v>
      </c>
      <c r="CZ293" s="28">
        <f>IF(CZ292=0,0,CZ292*MAX(0,(INDEX(c_CAMy,1,CZ$7)-INDEX(c_CAMy,1,INDEX('Lease Cycles'!$GC$24:$GI$24,1,CZ282)+1))*(1+'Lease Cycles'!$AK$24)+(INDEX(c_TAXy,1,CZ$7)-INDEX(c_TAXy,1,INDEX('Lease Cycles'!$GC$24:$GI$24,1,CZ282)+1))+(INDEX(c_INSy,1,CZ$7)-INDEX(c_INSy,1,INDEX('Lease Cycles'!$GC$24:$GI$24,1,CZ282)+1)))/12)</f>
        <v>0</v>
      </c>
      <c r="DA293" s="28">
        <f>IF(DA292=0,0,DA292*MAX(0,(INDEX(c_CAMy,1,DA$7)-INDEX(c_CAMy,1,INDEX('Lease Cycles'!$GC$24:$GI$24,1,DA282)+1))*(1+'Lease Cycles'!$AK$24)+(INDEX(c_TAXy,1,DA$7)-INDEX(c_TAXy,1,INDEX('Lease Cycles'!$GC$24:$GI$24,1,DA282)+1))+(INDEX(c_INSy,1,DA$7)-INDEX(c_INSy,1,INDEX('Lease Cycles'!$GC$24:$GI$24,1,DA282)+1)))/12)</f>
        <v>0</v>
      </c>
      <c r="DB293" s="28">
        <f>IF(DB292=0,0,DB292*MAX(0,(INDEX(c_CAMy,1,DB$7)-INDEX(c_CAMy,1,INDEX('Lease Cycles'!$GC$24:$GI$24,1,DB282)+1))*(1+'Lease Cycles'!$AK$24)+(INDEX(c_TAXy,1,DB$7)-INDEX(c_TAXy,1,INDEX('Lease Cycles'!$GC$24:$GI$24,1,DB282)+1))+(INDEX(c_INSy,1,DB$7)-INDEX(c_INSy,1,INDEX('Lease Cycles'!$GC$24:$GI$24,1,DB282)+1)))/12)</f>
        <v>0</v>
      </c>
      <c r="DC293" s="28">
        <f>IF(DC292=0,0,DC292*MAX(0,(INDEX(c_CAMy,1,DC$7)-INDEX(c_CAMy,1,INDEX('Lease Cycles'!$GC$24:$GI$24,1,DC282)+1))*(1+'Lease Cycles'!$AK$24)+(INDEX(c_TAXy,1,DC$7)-INDEX(c_TAXy,1,INDEX('Lease Cycles'!$GC$24:$GI$24,1,DC282)+1))+(INDEX(c_INSy,1,DC$7)-INDEX(c_INSy,1,INDEX('Lease Cycles'!$GC$24:$GI$24,1,DC282)+1)))/12)</f>
        <v>0</v>
      </c>
      <c r="DD293" s="28">
        <f>IF(DD292=0,0,DD292*MAX(0,(INDEX(c_CAMy,1,DD$7)-INDEX(c_CAMy,1,INDEX('Lease Cycles'!$GC$24:$GI$24,1,DD282)+1))*(1+'Lease Cycles'!$AK$24)+(INDEX(c_TAXy,1,DD$7)-INDEX(c_TAXy,1,INDEX('Lease Cycles'!$GC$24:$GI$24,1,DD282)+1))+(INDEX(c_INSy,1,DD$7)-INDEX(c_INSy,1,INDEX('Lease Cycles'!$GC$24:$GI$24,1,DD282)+1)))/12)</f>
        <v>0</v>
      </c>
      <c r="DE293" s="28">
        <f>IF(DE292=0,0,DE292*MAX(0,(INDEX(c_CAMy,1,DE$7)-INDEX(c_CAMy,1,INDEX('Lease Cycles'!$GC$24:$GI$24,1,DE282)+1))*(1+'Lease Cycles'!$AK$24)+(INDEX(c_TAXy,1,DE$7)-INDEX(c_TAXy,1,INDEX('Lease Cycles'!$GC$24:$GI$24,1,DE282)+1))+(INDEX(c_INSy,1,DE$7)-INDEX(c_INSy,1,INDEX('Lease Cycles'!$GC$24:$GI$24,1,DE282)+1)))/12)</f>
        <v>0</v>
      </c>
      <c r="DF293" s="28">
        <f>IF(DF292=0,0,DF292*MAX(0,(INDEX(c_CAMy,1,DF$7)-INDEX(c_CAMy,1,INDEX('Lease Cycles'!$GC$24:$GI$24,1,DF282)+1))*(1+'Lease Cycles'!$AK$24)+(INDEX(c_TAXy,1,DF$7)-INDEX(c_TAXy,1,INDEX('Lease Cycles'!$GC$24:$GI$24,1,DF282)+1))+(INDEX(c_INSy,1,DF$7)-INDEX(c_INSy,1,INDEX('Lease Cycles'!$GC$24:$GI$24,1,DF282)+1)))/12)</f>
        <v>0</v>
      </c>
      <c r="DG293" s="28">
        <f>IF(DG292=0,0,DG292*MAX(0,(INDEX(c_CAMy,1,DG$7)-INDEX(c_CAMy,1,INDEX('Lease Cycles'!$GC$24:$GI$24,1,DG282)+1))*(1+'Lease Cycles'!$AK$24)+(INDEX(c_TAXy,1,DG$7)-INDEX(c_TAXy,1,INDEX('Lease Cycles'!$GC$24:$GI$24,1,DG282)+1))+(INDEX(c_INSy,1,DG$7)-INDEX(c_INSy,1,INDEX('Lease Cycles'!$GC$24:$GI$24,1,DG282)+1)))/12)</f>
        <v>0</v>
      </c>
      <c r="DH293" s="28">
        <f>IF(DH292=0,0,DH292*MAX(0,(INDEX(c_CAMy,1,DH$7)-INDEX(c_CAMy,1,INDEX('Lease Cycles'!$GC$24:$GI$24,1,DH282)+1))*(1+'Lease Cycles'!$AK$24)+(INDEX(c_TAXy,1,DH$7)-INDEX(c_TAXy,1,INDEX('Lease Cycles'!$GC$24:$GI$24,1,DH282)+1))+(INDEX(c_INSy,1,DH$7)-INDEX(c_INSy,1,INDEX('Lease Cycles'!$GC$24:$GI$24,1,DH282)+1)))/12)</f>
        <v>0</v>
      </c>
      <c r="DI293" s="28">
        <f>IF(DI292=0,0,DI292*MAX(0,(INDEX(c_CAMy,1,DI$7)-INDEX(c_CAMy,1,INDEX('Lease Cycles'!$GC$24:$GI$24,1,DI282)+1))*(1+'Lease Cycles'!$AK$24)+(INDEX(c_TAXy,1,DI$7)-INDEX(c_TAXy,1,INDEX('Lease Cycles'!$GC$24:$GI$24,1,DI282)+1))+(INDEX(c_INSy,1,DI$7)-INDEX(c_INSy,1,INDEX('Lease Cycles'!$GC$24:$GI$24,1,DI282)+1)))/12)</f>
        <v>0</v>
      </c>
      <c r="DJ293" s="28">
        <f>IF(DJ292=0,0,DJ292*MAX(0,(INDEX(c_CAMy,1,DJ$7)-INDEX(c_CAMy,1,INDEX('Lease Cycles'!$GC$24:$GI$24,1,DJ282)+1))*(1+'Lease Cycles'!$AK$24)+(INDEX(c_TAXy,1,DJ$7)-INDEX(c_TAXy,1,INDEX('Lease Cycles'!$GC$24:$GI$24,1,DJ282)+1))+(INDEX(c_INSy,1,DJ$7)-INDEX(c_INSy,1,INDEX('Lease Cycles'!$GC$24:$GI$24,1,DJ282)+1)))/12)</f>
        <v>0</v>
      </c>
      <c r="DK293" s="28">
        <f>IF(DK292=0,0,DK292*MAX(0,(INDEX(c_CAMy,1,DK$7)-INDEX(c_CAMy,1,INDEX('Lease Cycles'!$GC$24:$GI$24,1,DK282)+1))*(1+'Lease Cycles'!$AK$24)+(INDEX(c_TAXy,1,DK$7)-INDEX(c_TAXy,1,INDEX('Lease Cycles'!$GC$24:$GI$24,1,DK282)+1))+(INDEX(c_INSy,1,DK$7)-INDEX(c_INSy,1,INDEX('Lease Cycles'!$GC$24:$GI$24,1,DK282)+1)))/12)</f>
        <v>0</v>
      </c>
      <c r="DL293" s="28">
        <f>IF(DL292=0,0,DL292*MAX(0,(INDEX(c_CAMy,1,DL$7)-INDEX(c_CAMy,1,INDEX('Lease Cycles'!$GC$24:$GI$24,1,DL282)+1))*(1+'Lease Cycles'!$AK$24)+(INDEX(c_TAXy,1,DL$7)-INDEX(c_TAXy,1,INDEX('Lease Cycles'!$GC$24:$GI$24,1,DL282)+1))+(INDEX(c_INSy,1,DL$7)-INDEX(c_INSy,1,INDEX('Lease Cycles'!$GC$24:$GI$24,1,DL282)+1)))/12)</f>
        <v>0</v>
      </c>
      <c r="DM293" s="28">
        <f>IF(DM292=0,0,DM292*MAX(0,(INDEX(c_CAMy,1,DM$7)-INDEX(c_CAMy,1,INDEX('Lease Cycles'!$GC$24:$GI$24,1,DM282)+1))*(1+'Lease Cycles'!$AK$24)+(INDEX(c_TAXy,1,DM$7)-INDEX(c_TAXy,1,INDEX('Lease Cycles'!$GC$24:$GI$24,1,DM282)+1))+(INDEX(c_INSy,1,DM$7)-INDEX(c_INSy,1,INDEX('Lease Cycles'!$GC$24:$GI$24,1,DM282)+1)))/12)</f>
        <v>0</v>
      </c>
      <c r="DN293" s="28">
        <f>IF(DN292=0,0,DN292*MAX(0,(INDEX(c_CAMy,1,DN$7)-INDEX(c_CAMy,1,INDEX('Lease Cycles'!$GC$24:$GI$24,1,DN282)+1))*(1+'Lease Cycles'!$AK$24)+(INDEX(c_TAXy,1,DN$7)-INDEX(c_TAXy,1,INDEX('Lease Cycles'!$GC$24:$GI$24,1,DN282)+1))+(INDEX(c_INSy,1,DN$7)-INDEX(c_INSy,1,INDEX('Lease Cycles'!$GC$24:$GI$24,1,DN282)+1)))/12)</f>
        <v>0</v>
      </c>
      <c r="DO293" s="28">
        <f>IF(DO292=0,0,DO292*MAX(0,(INDEX(c_CAMy,1,DO$7)-INDEX(c_CAMy,1,INDEX('Lease Cycles'!$GC$24:$GI$24,1,DO282)+1))*(1+'Lease Cycles'!$AK$24)+(INDEX(c_TAXy,1,DO$7)-INDEX(c_TAXy,1,INDEX('Lease Cycles'!$GC$24:$GI$24,1,DO282)+1))+(INDEX(c_INSy,1,DO$7)-INDEX(c_INSy,1,INDEX('Lease Cycles'!$GC$24:$GI$24,1,DO282)+1)))/12)</f>
        <v>0</v>
      </c>
      <c r="DP293" s="28">
        <f>IF(DP292=0,0,DP292*MAX(0,(INDEX(c_CAMy,1,DP$7)-INDEX(c_CAMy,1,INDEX('Lease Cycles'!$GC$24:$GI$24,1,DP282)+1))*(1+'Lease Cycles'!$AK$24)+(INDEX(c_TAXy,1,DP$7)-INDEX(c_TAXy,1,INDEX('Lease Cycles'!$GC$24:$GI$24,1,DP282)+1))+(INDEX(c_INSy,1,DP$7)-INDEX(c_INSy,1,INDEX('Lease Cycles'!$GC$24:$GI$24,1,DP282)+1)))/12)</f>
        <v>0</v>
      </c>
      <c r="DQ293" s="28">
        <f>IF(DQ292=0,0,DQ292*MAX(0,(INDEX(c_CAMy,1,DQ$7)-INDEX(c_CAMy,1,INDEX('Lease Cycles'!$GC$24:$GI$24,1,DQ282)+1))*(1+'Lease Cycles'!$AK$24)+(INDEX(c_TAXy,1,DQ$7)-INDEX(c_TAXy,1,INDEX('Lease Cycles'!$GC$24:$GI$24,1,DQ282)+1))+(INDEX(c_INSy,1,DQ$7)-INDEX(c_INSy,1,INDEX('Lease Cycles'!$GC$24:$GI$24,1,DQ282)+1)))/12)</f>
        <v>0</v>
      </c>
      <c r="DR293" s="28">
        <f>IF(DR292=0,0,DR292*MAX(0,(INDEX(c_CAMy,1,DR$7)-INDEX(c_CAMy,1,INDEX('Lease Cycles'!$GC$24:$GI$24,1,DR282)+1))*(1+'Lease Cycles'!$AK$24)+(INDEX(c_TAXy,1,DR$7)-INDEX(c_TAXy,1,INDEX('Lease Cycles'!$GC$24:$GI$24,1,DR282)+1))+(INDEX(c_INSy,1,DR$7)-INDEX(c_INSy,1,INDEX('Lease Cycles'!$GC$24:$GI$24,1,DR282)+1)))/12)</f>
        <v>0</v>
      </c>
      <c r="DS293" s="28">
        <f>IF(DS292=0,0,DS292*MAX(0,(INDEX(c_CAMy,1,DS$7)-INDEX(c_CAMy,1,INDEX('Lease Cycles'!$GC$24:$GI$24,1,DS282)+1))*(1+'Lease Cycles'!$AK$24)+(INDEX(c_TAXy,1,DS$7)-INDEX(c_TAXy,1,INDEX('Lease Cycles'!$GC$24:$GI$24,1,DS282)+1))+(INDEX(c_INSy,1,DS$7)-INDEX(c_INSy,1,INDEX('Lease Cycles'!$GC$24:$GI$24,1,DS282)+1)))/12)</f>
        <v>0</v>
      </c>
      <c r="DT293" s="28">
        <f>IF(DT292=0,0,DT292*MAX(0,(INDEX(c_CAMy,1,DT$7)-INDEX(c_CAMy,1,INDEX('Lease Cycles'!$GC$24:$GI$24,1,DT282)+1))*(1+'Lease Cycles'!$AK$24)+(INDEX(c_TAXy,1,DT$7)-INDEX(c_TAXy,1,INDEX('Lease Cycles'!$GC$24:$GI$24,1,DT282)+1))+(INDEX(c_INSy,1,DT$7)-INDEX(c_INSy,1,INDEX('Lease Cycles'!$GC$24:$GI$24,1,DT282)+1)))/12)</f>
        <v>0</v>
      </c>
      <c r="DU293" s="28">
        <f>IF(DU292=0,0,DU292*MAX(0,(INDEX(c_CAMy,1,DU$7)-INDEX(c_CAMy,1,INDEX('Lease Cycles'!$GC$24:$GI$24,1,DU282)+1))*(1+'Lease Cycles'!$AK$24)+(INDEX(c_TAXy,1,DU$7)-INDEX(c_TAXy,1,INDEX('Lease Cycles'!$GC$24:$GI$24,1,DU282)+1))+(INDEX(c_INSy,1,DU$7)-INDEX(c_INSy,1,INDEX('Lease Cycles'!$GC$24:$GI$24,1,DU282)+1)))/12)</f>
        <v>0</v>
      </c>
      <c r="DV293" s="28">
        <f>IF(DV292=0,0,DV292*MAX(0,(INDEX(c_CAMy,1,DV$7)-INDEX(c_CAMy,1,INDEX('Lease Cycles'!$GC$24:$GI$24,1,DV282)+1))*(1+'Lease Cycles'!$AK$24)+(INDEX(c_TAXy,1,DV$7)-INDEX(c_TAXy,1,INDEX('Lease Cycles'!$GC$24:$GI$24,1,DV282)+1))+(INDEX(c_INSy,1,DV$7)-INDEX(c_INSy,1,INDEX('Lease Cycles'!$GC$24:$GI$24,1,DV282)+1)))/12)</f>
        <v>0</v>
      </c>
      <c r="DW293" s="28">
        <f>IF(DW292=0,0,DW292*MAX(0,(INDEX(c_CAMy,1,DW$7)-INDEX(c_CAMy,1,INDEX('Lease Cycles'!$GC$24:$GI$24,1,DW282)+1))*(1+'Lease Cycles'!$AK$24)+(INDEX(c_TAXy,1,DW$7)-INDEX(c_TAXy,1,INDEX('Lease Cycles'!$GC$24:$GI$24,1,DW282)+1))+(INDEX(c_INSy,1,DW$7)-INDEX(c_INSy,1,INDEX('Lease Cycles'!$GC$24:$GI$24,1,DW282)+1)))/12)</f>
        <v>0</v>
      </c>
      <c r="DX293" s="28">
        <f>IF(DX292=0,0,DX292*MAX(0,(INDEX(c_CAMy,1,DX$7)-INDEX(c_CAMy,1,INDEX('Lease Cycles'!$GC$24:$GI$24,1,DX282)+1))*(1+'Lease Cycles'!$AK$24)+(INDEX(c_TAXy,1,DX$7)-INDEX(c_TAXy,1,INDEX('Lease Cycles'!$GC$24:$GI$24,1,DX282)+1))+(INDEX(c_INSy,1,DX$7)-INDEX(c_INSy,1,INDEX('Lease Cycles'!$GC$24:$GI$24,1,DX282)+1)))/12)</f>
        <v>0</v>
      </c>
      <c r="DY293" s="28">
        <f>IF(DY292=0,0,DY292*MAX(0,(INDEX(c_CAMy,1,DY$7)-INDEX(c_CAMy,1,INDEX('Lease Cycles'!$GC$24:$GI$24,1,DY282)+1))*(1+'Lease Cycles'!$AK$24)+(INDEX(c_TAXy,1,DY$7)-INDEX(c_TAXy,1,INDEX('Lease Cycles'!$GC$24:$GI$24,1,DY282)+1))+(INDEX(c_INSy,1,DY$7)-INDEX(c_INSy,1,INDEX('Lease Cycles'!$GC$24:$GI$24,1,DY282)+1)))/12)</f>
        <v>0</v>
      </c>
      <c r="DZ293" s="28">
        <f>IF(DZ292=0,0,DZ292*MAX(0,(INDEX(c_CAMy,1,DZ$7)-INDEX(c_CAMy,1,INDEX('Lease Cycles'!$GC$24:$GI$24,1,DZ282)+1))*(1+'Lease Cycles'!$AK$24)+(INDEX(c_TAXy,1,DZ$7)-INDEX(c_TAXy,1,INDEX('Lease Cycles'!$GC$24:$GI$24,1,DZ282)+1))+(INDEX(c_INSy,1,DZ$7)-INDEX(c_INSy,1,INDEX('Lease Cycles'!$GC$24:$GI$24,1,DZ282)+1)))/12)</f>
        <v>0</v>
      </c>
      <c r="EA293" s="28">
        <f>IF(EA292=0,0,EA292*MAX(0,(INDEX(c_CAMy,1,EA$7)-INDEX(c_CAMy,1,INDEX('Lease Cycles'!$GC$24:$GI$24,1,EA282)+1))*(1+'Lease Cycles'!$AK$24)+(INDEX(c_TAXy,1,EA$7)-INDEX(c_TAXy,1,INDEX('Lease Cycles'!$GC$24:$GI$24,1,EA282)+1))+(INDEX(c_INSy,1,EA$7)-INDEX(c_INSy,1,INDEX('Lease Cycles'!$GC$24:$GI$24,1,EA282)+1)))/12)</f>
        <v>0</v>
      </c>
      <c r="EB293" s="28">
        <f>IF(EB292=0,0,EB292*MAX(0,(INDEX(c_CAMy,1,EB$7)-INDEX(c_CAMy,1,INDEX('Lease Cycles'!$GC$24:$GI$24,1,EB282)+1))*(1+'Lease Cycles'!$AK$24)+(INDEX(c_TAXy,1,EB$7)-INDEX(c_TAXy,1,INDEX('Lease Cycles'!$GC$24:$GI$24,1,EB282)+1))+(INDEX(c_INSy,1,EB$7)-INDEX(c_INSy,1,INDEX('Lease Cycles'!$GC$24:$GI$24,1,EB282)+1)))/12)</f>
        <v>0</v>
      </c>
      <c r="EC293" s="28">
        <f>IF(EC292=0,0,EC292*MAX(0,(INDEX(c_CAMy,1,EC$7)-INDEX(c_CAMy,1,INDEX('Lease Cycles'!$GC$24:$GI$24,1,EC282)+1))*(1+'Lease Cycles'!$AK$24)+(INDEX(c_TAXy,1,EC$7)-INDEX(c_TAXy,1,INDEX('Lease Cycles'!$GC$24:$GI$24,1,EC282)+1))+(INDEX(c_INSy,1,EC$7)-INDEX(c_INSy,1,INDEX('Lease Cycles'!$GC$24:$GI$24,1,EC282)+1)))/12)</f>
        <v>0</v>
      </c>
      <c r="ED293" s="28">
        <f>IF(ED292=0,0,ED292*MAX(0,(INDEX(c_CAMy,1,ED$7)-INDEX(c_CAMy,1,INDEX('Lease Cycles'!$GC$24:$GI$24,1,ED282)+1))*(1+'Lease Cycles'!$AK$24)+(INDEX(c_TAXy,1,ED$7)-INDEX(c_TAXy,1,INDEX('Lease Cycles'!$GC$24:$GI$24,1,ED282)+1))+(INDEX(c_INSy,1,ED$7)-INDEX(c_INSy,1,INDEX('Lease Cycles'!$GC$24:$GI$24,1,ED282)+1)))/12)</f>
        <v>0</v>
      </c>
      <c r="EE293" s="28">
        <f>IF(EE292=0,0,EE292*MAX(0,(INDEX(c_CAMy,1,EE$7)-INDEX(c_CAMy,1,INDEX('Lease Cycles'!$GC$24:$GI$24,1,EE282)+1))*(1+'Lease Cycles'!$AK$24)+(INDEX(c_TAXy,1,EE$7)-INDEX(c_TAXy,1,INDEX('Lease Cycles'!$GC$24:$GI$24,1,EE282)+1))+(INDEX(c_INSy,1,EE$7)-INDEX(c_INSy,1,INDEX('Lease Cycles'!$GC$24:$GI$24,1,EE282)+1)))/12)</f>
        <v>0</v>
      </c>
      <c r="EF293" s="28">
        <f>IF(EF292=0,0,EF292*MAX(0,(INDEX(c_CAMy,1,EF$7)-INDEX(c_CAMy,1,INDEX('Lease Cycles'!$GC$24:$GI$24,1,EF282)+1))*(1+'Lease Cycles'!$AK$24)+(INDEX(c_TAXy,1,EF$7)-INDEX(c_TAXy,1,INDEX('Lease Cycles'!$GC$24:$GI$24,1,EF282)+1))+(INDEX(c_INSy,1,EF$7)-INDEX(c_INSy,1,INDEX('Lease Cycles'!$GC$24:$GI$24,1,EF282)+1)))/12)</f>
        <v>0</v>
      </c>
      <c r="EG293" s="28">
        <f>IF(EG292=0,0,EG292*MAX(0,(INDEX(c_CAMy,1,EG$7)-INDEX(c_CAMy,1,INDEX('Lease Cycles'!$GC$24:$GI$24,1,EG282)+1))*(1+'Lease Cycles'!$AK$24)+(INDEX(c_TAXy,1,EG$7)-INDEX(c_TAXy,1,INDEX('Lease Cycles'!$GC$24:$GI$24,1,EG282)+1))+(INDEX(c_INSy,1,EG$7)-INDEX(c_INSy,1,INDEX('Lease Cycles'!$GC$24:$GI$24,1,EG282)+1)))/12)</f>
        <v>0</v>
      </c>
      <c r="EH293" s="28">
        <f>IF(EH292=0,0,EH292*MAX(0,(INDEX(c_CAMy,1,EH$7)-INDEX(c_CAMy,1,INDEX('Lease Cycles'!$GC$24:$GI$24,1,EH282)+1))*(1+'Lease Cycles'!$AK$24)+(INDEX(c_TAXy,1,EH$7)-INDEX(c_TAXy,1,INDEX('Lease Cycles'!$GC$24:$GI$24,1,EH282)+1))+(INDEX(c_INSy,1,EH$7)-INDEX(c_INSy,1,INDEX('Lease Cycles'!$GC$24:$GI$24,1,EH282)+1)))/12)</f>
        <v>0</v>
      </c>
      <c r="EI293" s="28">
        <f>IF(EI292=0,0,EI292*MAX(0,(INDEX(c_CAMy,1,EI$7)-INDEX(c_CAMy,1,INDEX('Lease Cycles'!$GC$24:$GI$24,1,EI282)+1))*(1+'Lease Cycles'!$AK$24)+(INDEX(c_TAXy,1,EI$7)-INDEX(c_TAXy,1,INDEX('Lease Cycles'!$GC$24:$GI$24,1,EI282)+1))+(INDEX(c_INSy,1,EI$7)-INDEX(c_INSy,1,INDEX('Lease Cycles'!$GC$24:$GI$24,1,EI282)+1)))/12)</f>
        <v>0</v>
      </c>
      <c r="EJ293" s="28">
        <f>IF(EJ292=0,0,EJ292*MAX(0,(INDEX(c_CAMy,1,EJ$7)-INDEX(c_CAMy,1,INDEX('Lease Cycles'!$GC$24:$GI$24,1,EJ282)+1))*(1+'Lease Cycles'!$AK$24)+(INDEX(c_TAXy,1,EJ$7)-INDEX(c_TAXy,1,INDEX('Lease Cycles'!$GC$24:$GI$24,1,EJ282)+1))+(INDEX(c_INSy,1,EJ$7)-INDEX(c_INSy,1,INDEX('Lease Cycles'!$GC$24:$GI$24,1,EJ282)+1)))/12)</f>
        <v>0</v>
      </c>
      <c r="EK293" s="28">
        <f>IF(EK292=0,0,EK292*MAX(0,(INDEX(c_CAMy,1,EK$7)-INDEX(c_CAMy,1,INDEX('Lease Cycles'!$GC$24:$GI$24,1,EK282)+1))*(1+'Lease Cycles'!$AK$24)+(INDEX(c_TAXy,1,EK$7)-INDEX(c_TAXy,1,INDEX('Lease Cycles'!$GC$24:$GI$24,1,EK282)+1))+(INDEX(c_INSy,1,EK$7)-INDEX(c_INSy,1,INDEX('Lease Cycles'!$GC$24:$GI$24,1,EK282)+1)))/12)</f>
        <v>0</v>
      </c>
      <c r="EL293" s="28">
        <f>IF(EL292=0,0,EL292*MAX(0,(INDEX(c_CAMy,1,EL$7)-INDEX(c_CAMy,1,INDEX('Lease Cycles'!$GC$24:$GI$24,1,EL282)+1))*(1+'Lease Cycles'!$AK$24)+(INDEX(c_TAXy,1,EL$7)-INDEX(c_TAXy,1,INDEX('Lease Cycles'!$GC$24:$GI$24,1,EL282)+1))+(INDEX(c_INSy,1,EL$7)-INDEX(c_INSy,1,INDEX('Lease Cycles'!$GC$24:$GI$24,1,EL282)+1)))/12)</f>
        <v>0</v>
      </c>
      <c r="EM293" s="28">
        <f>IF(EM292=0,0,EM292*MAX(0,(INDEX(c_CAMy,1,EM$7)-INDEX(c_CAMy,1,INDEX('Lease Cycles'!$GC$24:$GI$24,1,EM282)+1))*(1+'Lease Cycles'!$AK$24)+(INDEX(c_TAXy,1,EM$7)-INDEX(c_TAXy,1,INDEX('Lease Cycles'!$GC$24:$GI$24,1,EM282)+1))+(INDEX(c_INSy,1,EM$7)-INDEX(c_INSy,1,INDEX('Lease Cycles'!$GC$24:$GI$24,1,EM282)+1)))/12)</f>
        <v>0</v>
      </c>
      <c r="EN293" s="28">
        <f>IF(EN292=0,0,EN292*MAX(0,(INDEX(c_CAMy,1,EN$7)-INDEX(c_CAMy,1,INDEX('Lease Cycles'!$GC$24:$GI$24,1,EN282)+1))*(1+'Lease Cycles'!$AK$24)+(INDEX(c_TAXy,1,EN$7)-INDEX(c_TAXy,1,INDEX('Lease Cycles'!$GC$24:$GI$24,1,EN282)+1))+(INDEX(c_INSy,1,EN$7)-INDEX(c_INSy,1,INDEX('Lease Cycles'!$GC$24:$GI$24,1,EN282)+1)))/12)</f>
        <v>0</v>
      </c>
      <c r="EO293" s="28">
        <f>IF(EO292=0,0,EO292*MAX(0,(INDEX(c_CAMy,1,EO$7)-INDEX(c_CAMy,1,INDEX('Lease Cycles'!$GC$24:$GI$24,1,EO282)+1))*(1+'Lease Cycles'!$AK$24)+(INDEX(c_TAXy,1,EO$7)-INDEX(c_TAXy,1,INDEX('Lease Cycles'!$GC$24:$GI$24,1,EO282)+1))+(INDEX(c_INSy,1,EO$7)-INDEX(c_INSy,1,INDEX('Lease Cycles'!$GC$24:$GI$24,1,EO282)+1)))/12)</f>
        <v>0</v>
      </c>
      <c r="EP293" s="28">
        <f>IF(EP292=0,0,EP292*MAX(0,(INDEX(c_CAMy,1,EP$7)-INDEX(c_CAMy,1,INDEX('Lease Cycles'!$GC$24:$GI$24,1,EP282)+1))*(1+'Lease Cycles'!$AK$24)+(INDEX(c_TAXy,1,EP$7)-INDEX(c_TAXy,1,INDEX('Lease Cycles'!$GC$24:$GI$24,1,EP282)+1))+(INDEX(c_INSy,1,EP$7)-INDEX(c_INSy,1,INDEX('Lease Cycles'!$GC$24:$GI$24,1,EP282)+1)))/12)</f>
        <v>0</v>
      </c>
      <c r="EQ293" s="28">
        <f>IF(EQ292=0,0,EQ292*MAX(0,(INDEX(c_CAMy,1,EQ$7)-INDEX(c_CAMy,1,INDEX('Lease Cycles'!$GC$24:$GI$24,1,EQ282)+1))*(1+'Lease Cycles'!$AK$24)+(INDEX(c_TAXy,1,EQ$7)-INDEX(c_TAXy,1,INDEX('Lease Cycles'!$GC$24:$GI$24,1,EQ282)+1))+(INDEX(c_INSy,1,EQ$7)-INDEX(c_INSy,1,INDEX('Lease Cycles'!$GC$24:$GI$24,1,EQ282)+1)))/12)</f>
        <v>0</v>
      </c>
      <c r="ER293" s="28">
        <f>IF(ER292=0,0,ER292*MAX(0,(INDEX(c_CAMy,1,ER$7)-INDEX(c_CAMy,1,INDEX('Lease Cycles'!$GC$24:$GI$24,1,ER282)+1))*(1+'Lease Cycles'!$AK$24)+(INDEX(c_TAXy,1,ER$7)-INDEX(c_TAXy,1,INDEX('Lease Cycles'!$GC$24:$GI$24,1,ER282)+1))+(INDEX(c_INSy,1,ER$7)-INDEX(c_INSy,1,INDEX('Lease Cycles'!$GC$24:$GI$24,1,ER282)+1)))/12)</f>
        <v>0</v>
      </c>
      <c r="ES293" s="28">
        <f>IF(ES292=0,0,ES292*MAX(0,(INDEX(c_CAMy,1,ES$7)-INDEX(c_CAMy,1,INDEX('Lease Cycles'!$GC$24:$GI$24,1,ES282)+1))*(1+'Lease Cycles'!$AK$24)+(INDEX(c_TAXy,1,ES$7)-INDEX(c_TAXy,1,INDEX('Lease Cycles'!$GC$24:$GI$24,1,ES282)+1))+(INDEX(c_INSy,1,ES$7)-INDEX(c_INSy,1,INDEX('Lease Cycles'!$GC$24:$GI$24,1,ES282)+1)))/12)</f>
        <v>0</v>
      </c>
      <c r="ET293" s="28">
        <f>IF(ET292=0,0,ET292*MAX(0,(INDEX(c_CAMy,1,ET$7)-INDEX(c_CAMy,1,INDEX('Lease Cycles'!$GC$24:$GI$24,1,ET282)+1))*(1+'Lease Cycles'!$AK$24)+(INDEX(c_TAXy,1,ET$7)-INDEX(c_TAXy,1,INDEX('Lease Cycles'!$GC$24:$GI$24,1,ET282)+1))+(INDEX(c_INSy,1,ET$7)-INDEX(c_INSy,1,INDEX('Lease Cycles'!$GC$24:$GI$24,1,ET282)+1)))/12)</f>
        <v>0</v>
      </c>
    </row>
    <row r="294">
      <c r="A294" s="103">
        <v>17</v>
      </c>
      <c r="B294" s="23" t="str">
        <f>IF('Lease Cycles'!$B$24="","(empty slot)",'Lease Cycles'!$B$24)</f>
        <v>(empty slot)</v>
      </c>
      <c r="C294" s="23" t="s">
        <v>530</v>
      </c>
      <c r="D294" s="104" t="s">
        <v>531</v>
      </c>
      <c r="E294" s="25">
        <f>'Lease Cycles'!$AL$24</f>
        <v>0</v>
      </c>
      <c r="G294" s="28">
        <f>SUM(S294:AD294)</f>
        <v>0</v>
      </c>
      <c r="H294" s="28">
        <f>SUM(AE294:AP294)</f>
        <v>0</v>
      </c>
      <c r="I294" s="28">
        <f>SUM(AQ294:BB294)</f>
        <v>0</v>
      </c>
      <c r="J294" s="28">
        <f>SUM(BC294:BN294)</f>
        <v>0</v>
      </c>
      <c r="K294" s="28">
        <f>SUM(BO294:BZ294)</f>
        <v>0</v>
      </c>
      <c r="L294" s="28">
        <f>SUM(CA294:CL294)</f>
        <v>0</v>
      </c>
      <c r="M294" s="28">
        <f>SUM(CM294:CX294)</f>
        <v>0</v>
      </c>
      <c r="N294" s="28">
        <f>SUM(CY294:DJ294)</f>
        <v>0</v>
      </c>
      <c r="O294" s="28">
        <f>SUM(DK294:DV294)</f>
        <v>0</v>
      </c>
      <c r="P294" s="28">
        <f>SUM(DW294:EH294)</f>
        <v>0</v>
      </c>
      <c r="Q294" s="28">
        <f>SUM(EI294:ET294)</f>
        <v>0</v>
      </c>
      <c r="S294" s="28">
        <f>SUMIF('Lease Cycles'!$HL$24:$HR$24,S$6,'Lease Cycles'!$HS$24:$HY$24)</f>
        <v>0</v>
      </c>
      <c r="T294" s="28">
        <f>SUMIF('Lease Cycles'!$HL$24:$HR$24,T$6,'Lease Cycles'!$HS$24:$HY$24)</f>
        <v>0</v>
      </c>
      <c r="U294" s="28">
        <f>SUMIF('Lease Cycles'!$HL$24:$HR$24,U$6,'Lease Cycles'!$HS$24:$HY$24)</f>
        <v>0</v>
      </c>
      <c r="V294" s="28">
        <f>SUMIF('Lease Cycles'!$HL$24:$HR$24,V$6,'Lease Cycles'!$HS$24:$HY$24)</f>
        <v>0</v>
      </c>
      <c r="W294" s="28">
        <f>SUMIF('Lease Cycles'!$HL$24:$HR$24,W$6,'Lease Cycles'!$HS$24:$HY$24)</f>
        <v>0</v>
      </c>
      <c r="X294" s="28">
        <f>SUMIF('Lease Cycles'!$HL$24:$HR$24,X$6,'Lease Cycles'!$HS$24:$HY$24)</f>
        <v>0</v>
      </c>
      <c r="Y294" s="28">
        <f>SUMIF('Lease Cycles'!$HL$24:$HR$24,Y$6,'Lease Cycles'!$HS$24:$HY$24)</f>
        <v>0</v>
      </c>
      <c r="Z294" s="28">
        <f>SUMIF('Lease Cycles'!$HL$24:$HR$24,Z$6,'Lease Cycles'!$HS$24:$HY$24)</f>
        <v>0</v>
      </c>
      <c r="AA294" s="28">
        <f>SUMIF('Lease Cycles'!$HL$24:$HR$24,AA$6,'Lease Cycles'!$HS$24:$HY$24)</f>
        <v>0</v>
      </c>
      <c r="AB294" s="28">
        <f>SUMIF('Lease Cycles'!$HL$24:$HR$24,AB$6,'Lease Cycles'!$HS$24:$HY$24)</f>
        <v>0</v>
      </c>
      <c r="AC294" s="28">
        <f>SUMIF('Lease Cycles'!$HL$24:$HR$24,AC$6,'Lease Cycles'!$HS$24:$HY$24)</f>
        <v>0</v>
      </c>
      <c r="AD294" s="28">
        <f>SUMIF('Lease Cycles'!$HL$24:$HR$24,AD$6,'Lease Cycles'!$HS$24:$HY$24)</f>
        <v>0</v>
      </c>
      <c r="AE294" s="28">
        <f>SUMIF('Lease Cycles'!$HL$24:$HR$24,AE$6,'Lease Cycles'!$HS$24:$HY$24)</f>
        <v>0</v>
      </c>
      <c r="AF294" s="28">
        <f>SUMIF('Lease Cycles'!$HL$24:$HR$24,AF$6,'Lease Cycles'!$HS$24:$HY$24)</f>
        <v>0</v>
      </c>
      <c r="AG294" s="28">
        <f>SUMIF('Lease Cycles'!$HL$24:$HR$24,AG$6,'Lease Cycles'!$HS$24:$HY$24)</f>
        <v>0</v>
      </c>
      <c r="AH294" s="28">
        <f>SUMIF('Lease Cycles'!$HL$24:$HR$24,AH$6,'Lease Cycles'!$HS$24:$HY$24)</f>
        <v>0</v>
      </c>
      <c r="AI294" s="28">
        <f>SUMIF('Lease Cycles'!$HL$24:$HR$24,AI$6,'Lease Cycles'!$HS$24:$HY$24)</f>
        <v>0</v>
      </c>
      <c r="AJ294" s="28">
        <f>SUMIF('Lease Cycles'!$HL$24:$HR$24,AJ$6,'Lease Cycles'!$HS$24:$HY$24)</f>
        <v>0</v>
      </c>
      <c r="AK294" s="28">
        <f>SUMIF('Lease Cycles'!$HL$24:$HR$24,AK$6,'Lease Cycles'!$HS$24:$HY$24)</f>
        <v>0</v>
      </c>
      <c r="AL294" s="28">
        <f>SUMIF('Lease Cycles'!$HL$24:$HR$24,AL$6,'Lease Cycles'!$HS$24:$HY$24)</f>
        <v>0</v>
      </c>
      <c r="AM294" s="28">
        <f>SUMIF('Lease Cycles'!$HL$24:$HR$24,AM$6,'Lease Cycles'!$HS$24:$HY$24)</f>
        <v>0</v>
      </c>
      <c r="AN294" s="28">
        <f>SUMIF('Lease Cycles'!$HL$24:$HR$24,AN$6,'Lease Cycles'!$HS$24:$HY$24)</f>
        <v>0</v>
      </c>
      <c r="AO294" s="28">
        <f>SUMIF('Lease Cycles'!$HL$24:$HR$24,AO$6,'Lease Cycles'!$HS$24:$HY$24)</f>
        <v>0</v>
      </c>
      <c r="AP294" s="28">
        <f>SUMIF('Lease Cycles'!$HL$24:$HR$24,AP$6,'Lease Cycles'!$HS$24:$HY$24)</f>
        <v>0</v>
      </c>
      <c r="AQ294" s="28">
        <f>SUMIF('Lease Cycles'!$HL$24:$HR$24,AQ$6,'Lease Cycles'!$HS$24:$HY$24)</f>
        <v>0</v>
      </c>
      <c r="AR294" s="28">
        <f>SUMIF('Lease Cycles'!$HL$24:$HR$24,AR$6,'Lease Cycles'!$HS$24:$HY$24)</f>
        <v>0</v>
      </c>
      <c r="AS294" s="28">
        <f>SUMIF('Lease Cycles'!$HL$24:$HR$24,AS$6,'Lease Cycles'!$HS$24:$HY$24)</f>
        <v>0</v>
      </c>
      <c r="AT294" s="28">
        <f>SUMIF('Lease Cycles'!$HL$24:$HR$24,AT$6,'Lease Cycles'!$HS$24:$HY$24)</f>
        <v>0</v>
      </c>
      <c r="AU294" s="28">
        <f>SUMIF('Lease Cycles'!$HL$24:$HR$24,AU$6,'Lease Cycles'!$HS$24:$HY$24)</f>
        <v>0</v>
      </c>
      <c r="AV294" s="28">
        <f>SUMIF('Lease Cycles'!$HL$24:$HR$24,AV$6,'Lease Cycles'!$HS$24:$HY$24)</f>
        <v>0</v>
      </c>
      <c r="AW294" s="28">
        <f>SUMIF('Lease Cycles'!$HL$24:$HR$24,AW$6,'Lease Cycles'!$HS$24:$HY$24)</f>
        <v>0</v>
      </c>
      <c r="AX294" s="28">
        <f>SUMIF('Lease Cycles'!$HL$24:$HR$24,AX$6,'Lease Cycles'!$HS$24:$HY$24)</f>
        <v>0</v>
      </c>
      <c r="AY294" s="28">
        <f>SUMIF('Lease Cycles'!$HL$24:$HR$24,AY$6,'Lease Cycles'!$HS$24:$HY$24)</f>
        <v>0</v>
      </c>
      <c r="AZ294" s="28">
        <f>SUMIF('Lease Cycles'!$HL$24:$HR$24,AZ$6,'Lease Cycles'!$HS$24:$HY$24)</f>
        <v>0</v>
      </c>
      <c r="BA294" s="28">
        <f>SUMIF('Lease Cycles'!$HL$24:$HR$24,BA$6,'Lease Cycles'!$HS$24:$HY$24)</f>
        <v>0</v>
      </c>
      <c r="BB294" s="28">
        <f>SUMIF('Lease Cycles'!$HL$24:$HR$24,BB$6,'Lease Cycles'!$HS$24:$HY$24)</f>
        <v>0</v>
      </c>
      <c r="BC294" s="28">
        <f>SUMIF('Lease Cycles'!$HL$24:$HR$24,BC$6,'Lease Cycles'!$HS$24:$HY$24)</f>
        <v>0</v>
      </c>
      <c r="BD294" s="28">
        <f>SUMIF('Lease Cycles'!$HL$24:$HR$24,BD$6,'Lease Cycles'!$HS$24:$HY$24)</f>
        <v>0</v>
      </c>
      <c r="BE294" s="28">
        <f>SUMIF('Lease Cycles'!$HL$24:$HR$24,BE$6,'Lease Cycles'!$HS$24:$HY$24)</f>
        <v>0</v>
      </c>
      <c r="BF294" s="28">
        <f>SUMIF('Lease Cycles'!$HL$24:$HR$24,BF$6,'Lease Cycles'!$HS$24:$HY$24)</f>
        <v>0</v>
      </c>
      <c r="BG294" s="28">
        <f>SUMIF('Lease Cycles'!$HL$24:$HR$24,BG$6,'Lease Cycles'!$HS$24:$HY$24)</f>
        <v>0</v>
      </c>
      <c r="BH294" s="28">
        <f>SUMIF('Lease Cycles'!$HL$24:$HR$24,BH$6,'Lease Cycles'!$HS$24:$HY$24)</f>
        <v>0</v>
      </c>
      <c r="BI294" s="28">
        <f>SUMIF('Lease Cycles'!$HL$24:$HR$24,BI$6,'Lease Cycles'!$HS$24:$HY$24)</f>
        <v>0</v>
      </c>
      <c r="BJ294" s="28">
        <f>SUMIF('Lease Cycles'!$HL$24:$HR$24,BJ$6,'Lease Cycles'!$HS$24:$HY$24)</f>
        <v>0</v>
      </c>
      <c r="BK294" s="28">
        <f>SUMIF('Lease Cycles'!$HL$24:$HR$24,BK$6,'Lease Cycles'!$HS$24:$HY$24)</f>
        <v>0</v>
      </c>
      <c r="BL294" s="28">
        <f>SUMIF('Lease Cycles'!$HL$24:$HR$24,BL$6,'Lease Cycles'!$HS$24:$HY$24)</f>
        <v>0</v>
      </c>
      <c r="BM294" s="28">
        <f>SUMIF('Lease Cycles'!$HL$24:$HR$24,BM$6,'Lease Cycles'!$HS$24:$HY$24)</f>
        <v>0</v>
      </c>
      <c r="BN294" s="28">
        <f>SUMIF('Lease Cycles'!$HL$24:$HR$24,BN$6,'Lease Cycles'!$HS$24:$HY$24)</f>
        <v>0</v>
      </c>
      <c r="BO294" s="28">
        <f>SUMIF('Lease Cycles'!$HL$24:$HR$24,BO$6,'Lease Cycles'!$HS$24:$HY$24)</f>
        <v>0</v>
      </c>
      <c r="BP294" s="28">
        <f>SUMIF('Lease Cycles'!$HL$24:$HR$24,BP$6,'Lease Cycles'!$HS$24:$HY$24)</f>
        <v>0</v>
      </c>
      <c r="BQ294" s="28">
        <f>SUMIF('Lease Cycles'!$HL$24:$HR$24,BQ$6,'Lease Cycles'!$HS$24:$HY$24)</f>
        <v>0</v>
      </c>
      <c r="BR294" s="28">
        <f>SUMIF('Lease Cycles'!$HL$24:$HR$24,BR$6,'Lease Cycles'!$HS$24:$HY$24)</f>
        <v>0</v>
      </c>
      <c r="BS294" s="28">
        <f>SUMIF('Lease Cycles'!$HL$24:$HR$24,BS$6,'Lease Cycles'!$HS$24:$HY$24)</f>
        <v>0</v>
      </c>
      <c r="BT294" s="28">
        <f>SUMIF('Lease Cycles'!$HL$24:$HR$24,BT$6,'Lease Cycles'!$HS$24:$HY$24)</f>
        <v>0</v>
      </c>
      <c r="BU294" s="28">
        <f>SUMIF('Lease Cycles'!$HL$24:$HR$24,BU$6,'Lease Cycles'!$HS$24:$HY$24)</f>
        <v>0</v>
      </c>
      <c r="BV294" s="28">
        <f>SUMIF('Lease Cycles'!$HL$24:$HR$24,BV$6,'Lease Cycles'!$HS$24:$HY$24)</f>
        <v>0</v>
      </c>
      <c r="BW294" s="28">
        <f>SUMIF('Lease Cycles'!$HL$24:$HR$24,BW$6,'Lease Cycles'!$HS$24:$HY$24)</f>
        <v>0</v>
      </c>
      <c r="BX294" s="28">
        <f>SUMIF('Lease Cycles'!$HL$24:$HR$24,BX$6,'Lease Cycles'!$HS$24:$HY$24)</f>
        <v>0</v>
      </c>
      <c r="BY294" s="28">
        <f>SUMIF('Lease Cycles'!$HL$24:$HR$24,BY$6,'Lease Cycles'!$HS$24:$HY$24)</f>
        <v>0</v>
      </c>
      <c r="BZ294" s="28">
        <f>SUMIF('Lease Cycles'!$HL$24:$HR$24,BZ$6,'Lease Cycles'!$HS$24:$HY$24)</f>
        <v>0</v>
      </c>
      <c r="CA294" s="28">
        <f>SUMIF('Lease Cycles'!$HL$24:$HR$24,CA$6,'Lease Cycles'!$HS$24:$HY$24)</f>
        <v>0</v>
      </c>
      <c r="CB294" s="28">
        <f>SUMIF('Lease Cycles'!$HL$24:$HR$24,CB$6,'Lease Cycles'!$HS$24:$HY$24)</f>
        <v>0</v>
      </c>
      <c r="CC294" s="28">
        <f>SUMIF('Lease Cycles'!$HL$24:$HR$24,CC$6,'Lease Cycles'!$HS$24:$HY$24)</f>
        <v>0</v>
      </c>
      <c r="CD294" s="28">
        <f>SUMIF('Lease Cycles'!$HL$24:$HR$24,CD$6,'Lease Cycles'!$HS$24:$HY$24)</f>
        <v>0</v>
      </c>
      <c r="CE294" s="28">
        <f>SUMIF('Lease Cycles'!$HL$24:$HR$24,CE$6,'Lease Cycles'!$HS$24:$HY$24)</f>
        <v>0</v>
      </c>
      <c r="CF294" s="28">
        <f>SUMIF('Lease Cycles'!$HL$24:$HR$24,CF$6,'Lease Cycles'!$HS$24:$HY$24)</f>
        <v>0</v>
      </c>
      <c r="CG294" s="28">
        <f>SUMIF('Lease Cycles'!$HL$24:$HR$24,CG$6,'Lease Cycles'!$HS$24:$HY$24)</f>
        <v>0</v>
      </c>
      <c r="CH294" s="28">
        <f>SUMIF('Lease Cycles'!$HL$24:$HR$24,CH$6,'Lease Cycles'!$HS$24:$HY$24)</f>
        <v>0</v>
      </c>
      <c r="CI294" s="28">
        <f>SUMIF('Lease Cycles'!$HL$24:$HR$24,CI$6,'Lease Cycles'!$HS$24:$HY$24)</f>
        <v>0</v>
      </c>
      <c r="CJ294" s="28">
        <f>SUMIF('Lease Cycles'!$HL$24:$HR$24,CJ$6,'Lease Cycles'!$HS$24:$HY$24)</f>
        <v>0</v>
      </c>
      <c r="CK294" s="28">
        <f>SUMIF('Lease Cycles'!$HL$24:$HR$24,CK$6,'Lease Cycles'!$HS$24:$HY$24)</f>
        <v>0</v>
      </c>
      <c r="CL294" s="28">
        <f>SUMIF('Lease Cycles'!$HL$24:$HR$24,CL$6,'Lease Cycles'!$HS$24:$HY$24)</f>
        <v>0</v>
      </c>
      <c r="CM294" s="28">
        <f>SUMIF('Lease Cycles'!$HL$24:$HR$24,CM$6,'Lease Cycles'!$HS$24:$HY$24)</f>
        <v>0</v>
      </c>
      <c r="CN294" s="28">
        <f>SUMIF('Lease Cycles'!$HL$24:$HR$24,CN$6,'Lease Cycles'!$HS$24:$HY$24)</f>
        <v>0</v>
      </c>
      <c r="CO294" s="28">
        <f>SUMIF('Lease Cycles'!$HL$24:$HR$24,CO$6,'Lease Cycles'!$HS$24:$HY$24)</f>
        <v>0</v>
      </c>
      <c r="CP294" s="28">
        <f>SUMIF('Lease Cycles'!$HL$24:$HR$24,CP$6,'Lease Cycles'!$HS$24:$HY$24)</f>
        <v>0</v>
      </c>
      <c r="CQ294" s="28">
        <f>SUMIF('Lease Cycles'!$HL$24:$HR$24,CQ$6,'Lease Cycles'!$HS$24:$HY$24)</f>
        <v>0</v>
      </c>
      <c r="CR294" s="28">
        <f>SUMIF('Lease Cycles'!$HL$24:$HR$24,CR$6,'Lease Cycles'!$HS$24:$HY$24)</f>
        <v>0</v>
      </c>
      <c r="CS294" s="28">
        <f>SUMIF('Lease Cycles'!$HL$24:$HR$24,CS$6,'Lease Cycles'!$HS$24:$HY$24)</f>
        <v>0</v>
      </c>
      <c r="CT294" s="28">
        <f>SUMIF('Lease Cycles'!$HL$24:$HR$24,CT$6,'Lease Cycles'!$HS$24:$HY$24)</f>
        <v>0</v>
      </c>
      <c r="CU294" s="28">
        <f>SUMIF('Lease Cycles'!$HL$24:$HR$24,CU$6,'Lease Cycles'!$HS$24:$HY$24)</f>
        <v>0</v>
      </c>
      <c r="CV294" s="28">
        <f>SUMIF('Lease Cycles'!$HL$24:$HR$24,CV$6,'Lease Cycles'!$HS$24:$HY$24)</f>
        <v>0</v>
      </c>
      <c r="CW294" s="28">
        <f>SUMIF('Lease Cycles'!$HL$24:$HR$24,CW$6,'Lease Cycles'!$HS$24:$HY$24)</f>
        <v>0</v>
      </c>
      <c r="CX294" s="28">
        <f>SUMIF('Lease Cycles'!$HL$24:$HR$24,CX$6,'Lease Cycles'!$HS$24:$HY$24)</f>
        <v>0</v>
      </c>
      <c r="CY294" s="28">
        <f>SUMIF('Lease Cycles'!$HL$24:$HR$24,CY$6,'Lease Cycles'!$HS$24:$HY$24)</f>
        <v>0</v>
      </c>
      <c r="CZ294" s="28">
        <f>SUMIF('Lease Cycles'!$HL$24:$HR$24,CZ$6,'Lease Cycles'!$HS$24:$HY$24)</f>
        <v>0</v>
      </c>
      <c r="DA294" s="28">
        <f>SUMIF('Lease Cycles'!$HL$24:$HR$24,DA$6,'Lease Cycles'!$HS$24:$HY$24)</f>
        <v>0</v>
      </c>
      <c r="DB294" s="28">
        <f>SUMIF('Lease Cycles'!$HL$24:$HR$24,DB$6,'Lease Cycles'!$HS$24:$HY$24)</f>
        <v>0</v>
      </c>
      <c r="DC294" s="28">
        <f>SUMIF('Lease Cycles'!$HL$24:$HR$24,DC$6,'Lease Cycles'!$HS$24:$HY$24)</f>
        <v>0</v>
      </c>
      <c r="DD294" s="28">
        <f>SUMIF('Lease Cycles'!$HL$24:$HR$24,DD$6,'Lease Cycles'!$HS$24:$HY$24)</f>
        <v>0</v>
      </c>
      <c r="DE294" s="28">
        <f>SUMIF('Lease Cycles'!$HL$24:$HR$24,DE$6,'Lease Cycles'!$HS$24:$HY$24)</f>
        <v>0</v>
      </c>
      <c r="DF294" s="28">
        <f>SUMIF('Lease Cycles'!$HL$24:$HR$24,DF$6,'Lease Cycles'!$HS$24:$HY$24)</f>
        <v>0</v>
      </c>
      <c r="DG294" s="28">
        <f>SUMIF('Lease Cycles'!$HL$24:$HR$24,DG$6,'Lease Cycles'!$HS$24:$HY$24)</f>
        <v>0</v>
      </c>
      <c r="DH294" s="28">
        <f>SUMIF('Lease Cycles'!$HL$24:$HR$24,DH$6,'Lease Cycles'!$HS$24:$HY$24)</f>
        <v>0</v>
      </c>
      <c r="DI294" s="28">
        <f>SUMIF('Lease Cycles'!$HL$24:$HR$24,DI$6,'Lease Cycles'!$HS$24:$HY$24)</f>
        <v>0</v>
      </c>
      <c r="DJ294" s="28">
        <f>SUMIF('Lease Cycles'!$HL$24:$HR$24,DJ$6,'Lease Cycles'!$HS$24:$HY$24)</f>
        <v>0</v>
      </c>
      <c r="DK294" s="28">
        <f>SUMIF('Lease Cycles'!$HL$24:$HR$24,DK$6,'Lease Cycles'!$HS$24:$HY$24)</f>
        <v>0</v>
      </c>
      <c r="DL294" s="28">
        <f>SUMIF('Lease Cycles'!$HL$24:$HR$24,DL$6,'Lease Cycles'!$HS$24:$HY$24)</f>
        <v>0</v>
      </c>
      <c r="DM294" s="28">
        <f>SUMIF('Lease Cycles'!$HL$24:$HR$24,DM$6,'Lease Cycles'!$HS$24:$HY$24)</f>
        <v>0</v>
      </c>
      <c r="DN294" s="28">
        <f>SUMIF('Lease Cycles'!$HL$24:$HR$24,DN$6,'Lease Cycles'!$HS$24:$HY$24)</f>
        <v>0</v>
      </c>
      <c r="DO294" s="28">
        <f>SUMIF('Lease Cycles'!$HL$24:$HR$24,DO$6,'Lease Cycles'!$HS$24:$HY$24)</f>
        <v>0</v>
      </c>
      <c r="DP294" s="28">
        <f>SUMIF('Lease Cycles'!$HL$24:$HR$24,DP$6,'Lease Cycles'!$HS$24:$HY$24)</f>
        <v>0</v>
      </c>
      <c r="DQ294" s="28">
        <f>SUMIF('Lease Cycles'!$HL$24:$HR$24,DQ$6,'Lease Cycles'!$HS$24:$HY$24)</f>
        <v>0</v>
      </c>
      <c r="DR294" s="28">
        <f>SUMIF('Lease Cycles'!$HL$24:$HR$24,DR$6,'Lease Cycles'!$HS$24:$HY$24)</f>
        <v>0</v>
      </c>
      <c r="DS294" s="28">
        <f>SUMIF('Lease Cycles'!$HL$24:$HR$24,DS$6,'Lease Cycles'!$HS$24:$HY$24)</f>
        <v>0</v>
      </c>
      <c r="DT294" s="28">
        <f>SUMIF('Lease Cycles'!$HL$24:$HR$24,DT$6,'Lease Cycles'!$HS$24:$HY$24)</f>
        <v>0</v>
      </c>
      <c r="DU294" s="28">
        <f>SUMIF('Lease Cycles'!$HL$24:$HR$24,DU$6,'Lease Cycles'!$HS$24:$HY$24)</f>
        <v>0</v>
      </c>
      <c r="DV294" s="28">
        <f>SUMIF('Lease Cycles'!$HL$24:$HR$24,DV$6,'Lease Cycles'!$HS$24:$HY$24)</f>
        <v>0</v>
      </c>
      <c r="DW294" s="28">
        <f>SUMIF('Lease Cycles'!$HL$24:$HR$24,DW$6,'Lease Cycles'!$HS$24:$HY$24)</f>
        <v>0</v>
      </c>
      <c r="DX294" s="28">
        <f>SUMIF('Lease Cycles'!$HL$24:$HR$24,DX$6,'Lease Cycles'!$HS$24:$HY$24)</f>
        <v>0</v>
      </c>
      <c r="DY294" s="28">
        <f>SUMIF('Lease Cycles'!$HL$24:$HR$24,DY$6,'Lease Cycles'!$HS$24:$HY$24)</f>
        <v>0</v>
      </c>
      <c r="DZ294" s="28">
        <f>SUMIF('Lease Cycles'!$HL$24:$HR$24,DZ$6,'Lease Cycles'!$HS$24:$HY$24)</f>
        <v>0</v>
      </c>
      <c r="EA294" s="28">
        <f>SUMIF('Lease Cycles'!$HL$24:$HR$24,EA$6,'Lease Cycles'!$HS$24:$HY$24)</f>
        <v>0</v>
      </c>
      <c r="EB294" s="28">
        <f>SUMIF('Lease Cycles'!$HL$24:$HR$24,EB$6,'Lease Cycles'!$HS$24:$HY$24)</f>
        <v>0</v>
      </c>
      <c r="EC294" s="28">
        <f>SUMIF('Lease Cycles'!$HL$24:$HR$24,EC$6,'Lease Cycles'!$HS$24:$HY$24)</f>
        <v>0</v>
      </c>
      <c r="ED294" s="28">
        <f>SUMIF('Lease Cycles'!$HL$24:$HR$24,ED$6,'Lease Cycles'!$HS$24:$HY$24)</f>
        <v>0</v>
      </c>
      <c r="EE294" s="28">
        <f>SUMIF('Lease Cycles'!$HL$24:$HR$24,EE$6,'Lease Cycles'!$HS$24:$HY$24)</f>
        <v>0</v>
      </c>
      <c r="EF294" s="28">
        <f>SUMIF('Lease Cycles'!$HL$24:$HR$24,EF$6,'Lease Cycles'!$HS$24:$HY$24)</f>
        <v>0</v>
      </c>
      <c r="EG294" s="28">
        <f>SUMIF('Lease Cycles'!$HL$24:$HR$24,EG$6,'Lease Cycles'!$HS$24:$HY$24)</f>
        <v>0</v>
      </c>
      <c r="EH294" s="28">
        <f>SUMIF('Lease Cycles'!$HL$24:$HR$24,EH$6,'Lease Cycles'!$HS$24:$HY$24)</f>
        <v>0</v>
      </c>
      <c r="EI294" s="28">
        <f>SUMIF('Lease Cycles'!$HL$24:$HR$24,EI$6,'Lease Cycles'!$HS$24:$HY$24)</f>
        <v>0</v>
      </c>
      <c r="EJ294" s="28">
        <f>SUMIF('Lease Cycles'!$HL$24:$HR$24,EJ$6,'Lease Cycles'!$HS$24:$HY$24)</f>
        <v>0</v>
      </c>
      <c r="EK294" s="28">
        <f>SUMIF('Lease Cycles'!$HL$24:$HR$24,EK$6,'Lease Cycles'!$HS$24:$HY$24)</f>
        <v>0</v>
      </c>
      <c r="EL294" s="28">
        <f>SUMIF('Lease Cycles'!$HL$24:$HR$24,EL$6,'Lease Cycles'!$HS$24:$HY$24)</f>
        <v>0</v>
      </c>
      <c r="EM294" s="28">
        <f>SUMIF('Lease Cycles'!$HL$24:$HR$24,EM$6,'Lease Cycles'!$HS$24:$HY$24)</f>
        <v>0</v>
      </c>
      <c r="EN294" s="28">
        <f>SUMIF('Lease Cycles'!$HL$24:$HR$24,EN$6,'Lease Cycles'!$HS$24:$HY$24)</f>
        <v>0</v>
      </c>
      <c r="EO294" s="28">
        <f>SUMIF('Lease Cycles'!$HL$24:$HR$24,EO$6,'Lease Cycles'!$HS$24:$HY$24)</f>
        <v>0</v>
      </c>
      <c r="EP294" s="28">
        <f>SUMIF('Lease Cycles'!$HL$24:$HR$24,EP$6,'Lease Cycles'!$HS$24:$HY$24)</f>
        <v>0</v>
      </c>
      <c r="EQ294" s="28">
        <f>SUMIF('Lease Cycles'!$HL$24:$HR$24,EQ$6,'Lease Cycles'!$HS$24:$HY$24)</f>
        <v>0</v>
      </c>
      <c r="ER294" s="28">
        <f>SUMIF('Lease Cycles'!$HL$24:$HR$24,ER$6,'Lease Cycles'!$HS$24:$HY$24)</f>
        <v>0</v>
      </c>
      <c r="ES294" s="28">
        <f>SUMIF('Lease Cycles'!$HL$24:$HR$24,ES$6,'Lease Cycles'!$HS$24:$HY$24)</f>
        <v>0</v>
      </c>
      <c r="ET294" s="28">
        <f>SUMIF('Lease Cycles'!$HL$24:$HR$24,ET$6,'Lease Cycles'!$HS$24:$HY$24)</f>
        <v>0</v>
      </c>
    </row>
    <row r="295">
      <c r="A295" s="103">
        <v>17</v>
      </c>
      <c r="B295" s="23" t="str">
        <f>IF('Lease Cycles'!$B$24="","(empty slot)",'Lease Cycles'!$B$24)</f>
        <v>(empty slot)</v>
      </c>
      <c r="C295" s="23" t="s">
        <v>532</v>
      </c>
      <c r="D295" s="104" t="s">
        <v>533</v>
      </c>
      <c r="E295" s="25">
        <f>'Lease Cycles'!$AL$24</f>
        <v>0</v>
      </c>
      <c r="G295" s="28">
        <f>SUM(S295:AD295)</f>
        <v>0</v>
      </c>
      <c r="H295" s="28">
        <f>SUM(AE295:AP295)</f>
        <v>0</v>
      </c>
      <c r="I295" s="28">
        <f>SUM(AQ295:BB295)</f>
        <v>0</v>
      </c>
      <c r="J295" s="28">
        <f>SUM(BC295:BN295)</f>
        <v>0</v>
      </c>
      <c r="K295" s="28">
        <f>SUM(BO295:BZ295)</f>
        <v>0</v>
      </c>
      <c r="L295" s="28">
        <f>SUM(CA295:CL295)</f>
        <v>0</v>
      </c>
      <c r="M295" s="28">
        <f>SUM(CM295:CX295)</f>
        <v>0</v>
      </c>
      <c r="N295" s="28">
        <f>SUM(CY295:DJ295)</f>
        <v>0</v>
      </c>
      <c r="O295" s="28">
        <f>SUM(DK295:DV295)</f>
        <v>0</v>
      </c>
      <c r="P295" s="28">
        <f>SUM(DW295:EH295)</f>
        <v>0</v>
      </c>
      <c r="Q295" s="28">
        <f>SUM(EI295:ET295)</f>
        <v>0</v>
      </c>
      <c r="S295" s="28">
        <f>SUMIF('Lease Cycles'!$HL$24:$HR$24,S$6,'Lease Cycles'!$HZ$24:$IF$24)</f>
        <v>0</v>
      </c>
      <c r="T295" s="28">
        <f>SUMIF('Lease Cycles'!$HL$24:$HR$24,T$6,'Lease Cycles'!$HZ$24:$IF$24)</f>
        <v>0</v>
      </c>
      <c r="U295" s="28">
        <f>SUMIF('Lease Cycles'!$HL$24:$HR$24,U$6,'Lease Cycles'!$HZ$24:$IF$24)</f>
        <v>0</v>
      </c>
      <c r="V295" s="28">
        <f>SUMIF('Lease Cycles'!$HL$24:$HR$24,V$6,'Lease Cycles'!$HZ$24:$IF$24)</f>
        <v>0</v>
      </c>
      <c r="W295" s="28">
        <f>SUMIF('Lease Cycles'!$HL$24:$HR$24,W$6,'Lease Cycles'!$HZ$24:$IF$24)</f>
        <v>0</v>
      </c>
      <c r="X295" s="28">
        <f>SUMIF('Lease Cycles'!$HL$24:$HR$24,X$6,'Lease Cycles'!$HZ$24:$IF$24)</f>
        <v>0</v>
      </c>
      <c r="Y295" s="28">
        <f>SUMIF('Lease Cycles'!$HL$24:$HR$24,Y$6,'Lease Cycles'!$HZ$24:$IF$24)</f>
        <v>0</v>
      </c>
      <c r="Z295" s="28">
        <f>SUMIF('Lease Cycles'!$HL$24:$HR$24,Z$6,'Lease Cycles'!$HZ$24:$IF$24)</f>
        <v>0</v>
      </c>
      <c r="AA295" s="28">
        <f>SUMIF('Lease Cycles'!$HL$24:$HR$24,AA$6,'Lease Cycles'!$HZ$24:$IF$24)</f>
        <v>0</v>
      </c>
      <c r="AB295" s="28">
        <f>SUMIF('Lease Cycles'!$HL$24:$HR$24,AB$6,'Lease Cycles'!$HZ$24:$IF$24)</f>
        <v>0</v>
      </c>
      <c r="AC295" s="28">
        <f>SUMIF('Lease Cycles'!$HL$24:$HR$24,AC$6,'Lease Cycles'!$HZ$24:$IF$24)</f>
        <v>0</v>
      </c>
      <c r="AD295" s="28">
        <f>SUMIF('Lease Cycles'!$HL$24:$HR$24,AD$6,'Lease Cycles'!$HZ$24:$IF$24)</f>
        <v>0</v>
      </c>
      <c r="AE295" s="28">
        <f>SUMIF('Lease Cycles'!$HL$24:$HR$24,AE$6,'Lease Cycles'!$HZ$24:$IF$24)</f>
        <v>0</v>
      </c>
      <c r="AF295" s="28">
        <f>SUMIF('Lease Cycles'!$HL$24:$HR$24,AF$6,'Lease Cycles'!$HZ$24:$IF$24)</f>
        <v>0</v>
      </c>
      <c r="AG295" s="28">
        <f>SUMIF('Lease Cycles'!$HL$24:$HR$24,AG$6,'Lease Cycles'!$HZ$24:$IF$24)</f>
        <v>0</v>
      </c>
      <c r="AH295" s="28">
        <f>SUMIF('Lease Cycles'!$HL$24:$HR$24,AH$6,'Lease Cycles'!$HZ$24:$IF$24)</f>
        <v>0</v>
      </c>
      <c r="AI295" s="28">
        <f>SUMIF('Lease Cycles'!$HL$24:$HR$24,AI$6,'Lease Cycles'!$HZ$24:$IF$24)</f>
        <v>0</v>
      </c>
      <c r="AJ295" s="28">
        <f>SUMIF('Lease Cycles'!$HL$24:$HR$24,AJ$6,'Lease Cycles'!$HZ$24:$IF$24)</f>
        <v>0</v>
      </c>
      <c r="AK295" s="28">
        <f>SUMIF('Lease Cycles'!$HL$24:$HR$24,AK$6,'Lease Cycles'!$HZ$24:$IF$24)</f>
        <v>0</v>
      </c>
      <c r="AL295" s="28">
        <f>SUMIF('Lease Cycles'!$HL$24:$HR$24,AL$6,'Lease Cycles'!$HZ$24:$IF$24)</f>
        <v>0</v>
      </c>
      <c r="AM295" s="28">
        <f>SUMIF('Lease Cycles'!$HL$24:$HR$24,AM$6,'Lease Cycles'!$HZ$24:$IF$24)</f>
        <v>0</v>
      </c>
      <c r="AN295" s="28">
        <f>SUMIF('Lease Cycles'!$HL$24:$HR$24,AN$6,'Lease Cycles'!$HZ$24:$IF$24)</f>
        <v>0</v>
      </c>
      <c r="AO295" s="28">
        <f>SUMIF('Lease Cycles'!$HL$24:$HR$24,AO$6,'Lease Cycles'!$HZ$24:$IF$24)</f>
        <v>0</v>
      </c>
      <c r="AP295" s="28">
        <f>SUMIF('Lease Cycles'!$HL$24:$HR$24,AP$6,'Lease Cycles'!$HZ$24:$IF$24)</f>
        <v>0</v>
      </c>
      <c r="AQ295" s="28">
        <f>SUMIF('Lease Cycles'!$HL$24:$HR$24,AQ$6,'Lease Cycles'!$HZ$24:$IF$24)</f>
        <v>0</v>
      </c>
      <c r="AR295" s="28">
        <f>SUMIF('Lease Cycles'!$HL$24:$HR$24,AR$6,'Lease Cycles'!$HZ$24:$IF$24)</f>
        <v>0</v>
      </c>
      <c r="AS295" s="28">
        <f>SUMIF('Lease Cycles'!$HL$24:$HR$24,AS$6,'Lease Cycles'!$HZ$24:$IF$24)</f>
        <v>0</v>
      </c>
      <c r="AT295" s="28">
        <f>SUMIF('Lease Cycles'!$HL$24:$HR$24,AT$6,'Lease Cycles'!$HZ$24:$IF$24)</f>
        <v>0</v>
      </c>
      <c r="AU295" s="28">
        <f>SUMIF('Lease Cycles'!$HL$24:$HR$24,AU$6,'Lease Cycles'!$HZ$24:$IF$24)</f>
        <v>0</v>
      </c>
      <c r="AV295" s="28">
        <f>SUMIF('Lease Cycles'!$HL$24:$HR$24,AV$6,'Lease Cycles'!$HZ$24:$IF$24)</f>
        <v>0</v>
      </c>
      <c r="AW295" s="28">
        <f>SUMIF('Lease Cycles'!$HL$24:$HR$24,AW$6,'Lease Cycles'!$HZ$24:$IF$24)</f>
        <v>0</v>
      </c>
      <c r="AX295" s="28">
        <f>SUMIF('Lease Cycles'!$HL$24:$HR$24,AX$6,'Lease Cycles'!$HZ$24:$IF$24)</f>
        <v>0</v>
      </c>
      <c r="AY295" s="28">
        <f>SUMIF('Lease Cycles'!$HL$24:$HR$24,AY$6,'Lease Cycles'!$HZ$24:$IF$24)</f>
        <v>0</v>
      </c>
      <c r="AZ295" s="28">
        <f>SUMIF('Lease Cycles'!$HL$24:$HR$24,AZ$6,'Lease Cycles'!$HZ$24:$IF$24)</f>
        <v>0</v>
      </c>
      <c r="BA295" s="28">
        <f>SUMIF('Lease Cycles'!$HL$24:$HR$24,BA$6,'Lease Cycles'!$HZ$24:$IF$24)</f>
        <v>0</v>
      </c>
      <c r="BB295" s="28">
        <f>SUMIF('Lease Cycles'!$HL$24:$HR$24,BB$6,'Lease Cycles'!$HZ$24:$IF$24)</f>
        <v>0</v>
      </c>
      <c r="BC295" s="28">
        <f>SUMIF('Lease Cycles'!$HL$24:$HR$24,BC$6,'Lease Cycles'!$HZ$24:$IF$24)</f>
        <v>0</v>
      </c>
      <c r="BD295" s="28">
        <f>SUMIF('Lease Cycles'!$HL$24:$HR$24,BD$6,'Lease Cycles'!$HZ$24:$IF$24)</f>
        <v>0</v>
      </c>
      <c r="BE295" s="28">
        <f>SUMIF('Lease Cycles'!$HL$24:$HR$24,BE$6,'Lease Cycles'!$HZ$24:$IF$24)</f>
        <v>0</v>
      </c>
      <c r="BF295" s="28">
        <f>SUMIF('Lease Cycles'!$HL$24:$HR$24,BF$6,'Lease Cycles'!$HZ$24:$IF$24)</f>
        <v>0</v>
      </c>
      <c r="BG295" s="28">
        <f>SUMIF('Lease Cycles'!$HL$24:$HR$24,BG$6,'Lease Cycles'!$HZ$24:$IF$24)</f>
        <v>0</v>
      </c>
      <c r="BH295" s="28">
        <f>SUMIF('Lease Cycles'!$HL$24:$HR$24,BH$6,'Lease Cycles'!$HZ$24:$IF$24)</f>
        <v>0</v>
      </c>
      <c r="BI295" s="28">
        <f>SUMIF('Lease Cycles'!$HL$24:$HR$24,BI$6,'Lease Cycles'!$HZ$24:$IF$24)</f>
        <v>0</v>
      </c>
      <c r="BJ295" s="28">
        <f>SUMIF('Lease Cycles'!$HL$24:$HR$24,BJ$6,'Lease Cycles'!$HZ$24:$IF$24)</f>
        <v>0</v>
      </c>
      <c r="BK295" s="28">
        <f>SUMIF('Lease Cycles'!$HL$24:$HR$24,BK$6,'Lease Cycles'!$HZ$24:$IF$24)</f>
        <v>0</v>
      </c>
      <c r="BL295" s="28">
        <f>SUMIF('Lease Cycles'!$HL$24:$HR$24,BL$6,'Lease Cycles'!$HZ$24:$IF$24)</f>
        <v>0</v>
      </c>
      <c r="BM295" s="28">
        <f>SUMIF('Lease Cycles'!$HL$24:$HR$24,BM$6,'Lease Cycles'!$HZ$24:$IF$24)</f>
        <v>0</v>
      </c>
      <c r="BN295" s="28">
        <f>SUMIF('Lease Cycles'!$HL$24:$HR$24,BN$6,'Lease Cycles'!$HZ$24:$IF$24)</f>
        <v>0</v>
      </c>
      <c r="BO295" s="28">
        <f>SUMIF('Lease Cycles'!$HL$24:$HR$24,BO$6,'Lease Cycles'!$HZ$24:$IF$24)</f>
        <v>0</v>
      </c>
      <c r="BP295" s="28">
        <f>SUMIF('Lease Cycles'!$HL$24:$HR$24,BP$6,'Lease Cycles'!$HZ$24:$IF$24)</f>
        <v>0</v>
      </c>
      <c r="BQ295" s="28">
        <f>SUMIF('Lease Cycles'!$HL$24:$HR$24,BQ$6,'Lease Cycles'!$HZ$24:$IF$24)</f>
        <v>0</v>
      </c>
      <c r="BR295" s="28">
        <f>SUMIF('Lease Cycles'!$HL$24:$HR$24,BR$6,'Lease Cycles'!$HZ$24:$IF$24)</f>
        <v>0</v>
      </c>
      <c r="BS295" s="28">
        <f>SUMIF('Lease Cycles'!$HL$24:$HR$24,BS$6,'Lease Cycles'!$HZ$24:$IF$24)</f>
        <v>0</v>
      </c>
      <c r="BT295" s="28">
        <f>SUMIF('Lease Cycles'!$HL$24:$HR$24,BT$6,'Lease Cycles'!$HZ$24:$IF$24)</f>
        <v>0</v>
      </c>
      <c r="BU295" s="28">
        <f>SUMIF('Lease Cycles'!$HL$24:$HR$24,BU$6,'Lease Cycles'!$HZ$24:$IF$24)</f>
        <v>0</v>
      </c>
      <c r="BV295" s="28">
        <f>SUMIF('Lease Cycles'!$HL$24:$HR$24,BV$6,'Lease Cycles'!$HZ$24:$IF$24)</f>
        <v>0</v>
      </c>
      <c r="BW295" s="28">
        <f>SUMIF('Lease Cycles'!$HL$24:$HR$24,BW$6,'Lease Cycles'!$HZ$24:$IF$24)</f>
        <v>0</v>
      </c>
      <c r="BX295" s="28">
        <f>SUMIF('Lease Cycles'!$HL$24:$HR$24,BX$6,'Lease Cycles'!$HZ$24:$IF$24)</f>
        <v>0</v>
      </c>
      <c r="BY295" s="28">
        <f>SUMIF('Lease Cycles'!$HL$24:$HR$24,BY$6,'Lease Cycles'!$HZ$24:$IF$24)</f>
        <v>0</v>
      </c>
      <c r="BZ295" s="28">
        <f>SUMIF('Lease Cycles'!$HL$24:$HR$24,BZ$6,'Lease Cycles'!$HZ$24:$IF$24)</f>
        <v>0</v>
      </c>
      <c r="CA295" s="28">
        <f>SUMIF('Lease Cycles'!$HL$24:$HR$24,CA$6,'Lease Cycles'!$HZ$24:$IF$24)</f>
        <v>0</v>
      </c>
      <c r="CB295" s="28">
        <f>SUMIF('Lease Cycles'!$HL$24:$HR$24,CB$6,'Lease Cycles'!$HZ$24:$IF$24)</f>
        <v>0</v>
      </c>
      <c r="CC295" s="28">
        <f>SUMIF('Lease Cycles'!$HL$24:$HR$24,CC$6,'Lease Cycles'!$HZ$24:$IF$24)</f>
        <v>0</v>
      </c>
      <c r="CD295" s="28">
        <f>SUMIF('Lease Cycles'!$HL$24:$HR$24,CD$6,'Lease Cycles'!$HZ$24:$IF$24)</f>
        <v>0</v>
      </c>
      <c r="CE295" s="28">
        <f>SUMIF('Lease Cycles'!$HL$24:$HR$24,CE$6,'Lease Cycles'!$HZ$24:$IF$24)</f>
        <v>0</v>
      </c>
      <c r="CF295" s="28">
        <f>SUMIF('Lease Cycles'!$HL$24:$HR$24,CF$6,'Lease Cycles'!$HZ$24:$IF$24)</f>
        <v>0</v>
      </c>
      <c r="CG295" s="28">
        <f>SUMIF('Lease Cycles'!$HL$24:$HR$24,CG$6,'Lease Cycles'!$HZ$24:$IF$24)</f>
        <v>0</v>
      </c>
      <c r="CH295" s="28">
        <f>SUMIF('Lease Cycles'!$HL$24:$HR$24,CH$6,'Lease Cycles'!$HZ$24:$IF$24)</f>
        <v>0</v>
      </c>
      <c r="CI295" s="28">
        <f>SUMIF('Lease Cycles'!$HL$24:$HR$24,CI$6,'Lease Cycles'!$HZ$24:$IF$24)</f>
        <v>0</v>
      </c>
      <c r="CJ295" s="28">
        <f>SUMIF('Lease Cycles'!$HL$24:$HR$24,CJ$6,'Lease Cycles'!$HZ$24:$IF$24)</f>
        <v>0</v>
      </c>
      <c r="CK295" s="28">
        <f>SUMIF('Lease Cycles'!$HL$24:$HR$24,CK$6,'Lease Cycles'!$HZ$24:$IF$24)</f>
        <v>0</v>
      </c>
      <c r="CL295" s="28">
        <f>SUMIF('Lease Cycles'!$HL$24:$HR$24,CL$6,'Lease Cycles'!$HZ$24:$IF$24)</f>
        <v>0</v>
      </c>
      <c r="CM295" s="28">
        <f>SUMIF('Lease Cycles'!$HL$24:$HR$24,CM$6,'Lease Cycles'!$HZ$24:$IF$24)</f>
        <v>0</v>
      </c>
      <c r="CN295" s="28">
        <f>SUMIF('Lease Cycles'!$HL$24:$HR$24,CN$6,'Lease Cycles'!$HZ$24:$IF$24)</f>
        <v>0</v>
      </c>
      <c r="CO295" s="28">
        <f>SUMIF('Lease Cycles'!$HL$24:$HR$24,CO$6,'Lease Cycles'!$HZ$24:$IF$24)</f>
        <v>0</v>
      </c>
      <c r="CP295" s="28">
        <f>SUMIF('Lease Cycles'!$HL$24:$HR$24,CP$6,'Lease Cycles'!$HZ$24:$IF$24)</f>
        <v>0</v>
      </c>
      <c r="CQ295" s="28">
        <f>SUMIF('Lease Cycles'!$HL$24:$HR$24,CQ$6,'Lease Cycles'!$HZ$24:$IF$24)</f>
        <v>0</v>
      </c>
      <c r="CR295" s="28">
        <f>SUMIF('Lease Cycles'!$HL$24:$HR$24,CR$6,'Lease Cycles'!$HZ$24:$IF$24)</f>
        <v>0</v>
      </c>
      <c r="CS295" s="28">
        <f>SUMIF('Lease Cycles'!$HL$24:$HR$24,CS$6,'Lease Cycles'!$HZ$24:$IF$24)</f>
        <v>0</v>
      </c>
      <c r="CT295" s="28">
        <f>SUMIF('Lease Cycles'!$HL$24:$HR$24,CT$6,'Lease Cycles'!$HZ$24:$IF$24)</f>
        <v>0</v>
      </c>
      <c r="CU295" s="28">
        <f>SUMIF('Lease Cycles'!$HL$24:$HR$24,CU$6,'Lease Cycles'!$HZ$24:$IF$24)</f>
        <v>0</v>
      </c>
      <c r="CV295" s="28">
        <f>SUMIF('Lease Cycles'!$HL$24:$HR$24,CV$6,'Lease Cycles'!$HZ$24:$IF$24)</f>
        <v>0</v>
      </c>
      <c r="CW295" s="28">
        <f>SUMIF('Lease Cycles'!$HL$24:$HR$24,CW$6,'Lease Cycles'!$HZ$24:$IF$24)</f>
        <v>0</v>
      </c>
      <c r="CX295" s="28">
        <f>SUMIF('Lease Cycles'!$HL$24:$HR$24,CX$6,'Lease Cycles'!$HZ$24:$IF$24)</f>
        <v>0</v>
      </c>
      <c r="CY295" s="28">
        <f>SUMIF('Lease Cycles'!$HL$24:$HR$24,CY$6,'Lease Cycles'!$HZ$24:$IF$24)</f>
        <v>0</v>
      </c>
      <c r="CZ295" s="28">
        <f>SUMIF('Lease Cycles'!$HL$24:$HR$24,CZ$6,'Lease Cycles'!$HZ$24:$IF$24)</f>
        <v>0</v>
      </c>
      <c r="DA295" s="28">
        <f>SUMIF('Lease Cycles'!$HL$24:$HR$24,DA$6,'Lease Cycles'!$HZ$24:$IF$24)</f>
        <v>0</v>
      </c>
      <c r="DB295" s="28">
        <f>SUMIF('Lease Cycles'!$HL$24:$HR$24,DB$6,'Lease Cycles'!$HZ$24:$IF$24)</f>
        <v>0</v>
      </c>
      <c r="DC295" s="28">
        <f>SUMIF('Lease Cycles'!$HL$24:$HR$24,DC$6,'Lease Cycles'!$HZ$24:$IF$24)</f>
        <v>0</v>
      </c>
      <c r="DD295" s="28">
        <f>SUMIF('Lease Cycles'!$HL$24:$HR$24,DD$6,'Lease Cycles'!$HZ$24:$IF$24)</f>
        <v>0</v>
      </c>
      <c r="DE295" s="28">
        <f>SUMIF('Lease Cycles'!$HL$24:$HR$24,DE$6,'Lease Cycles'!$HZ$24:$IF$24)</f>
        <v>0</v>
      </c>
      <c r="DF295" s="28">
        <f>SUMIF('Lease Cycles'!$HL$24:$HR$24,DF$6,'Lease Cycles'!$HZ$24:$IF$24)</f>
        <v>0</v>
      </c>
      <c r="DG295" s="28">
        <f>SUMIF('Lease Cycles'!$HL$24:$HR$24,DG$6,'Lease Cycles'!$HZ$24:$IF$24)</f>
        <v>0</v>
      </c>
      <c r="DH295" s="28">
        <f>SUMIF('Lease Cycles'!$HL$24:$HR$24,DH$6,'Lease Cycles'!$HZ$24:$IF$24)</f>
        <v>0</v>
      </c>
      <c r="DI295" s="28">
        <f>SUMIF('Lease Cycles'!$HL$24:$HR$24,DI$6,'Lease Cycles'!$HZ$24:$IF$24)</f>
        <v>0</v>
      </c>
      <c r="DJ295" s="28">
        <f>SUMIF('Lease Cycles'!$HL$24:$HR$24,DJ$6,'Lease Cycles'!$HZ$24:$IF$24)</f>
        <v>0</v>
      </c>
      <c r="DK295" s="28">
        <f>SUMIF('Lease Cycles'!$HL$24:$HR$24,DK$6,'Lease Cycles'!$HZ$24:$IF$24)</f>
        <v>0</v>
      </c>
      <c r="DL295" s="28">
        <f>SUMIF('Lease Cycles'!$HL$24:$HR$24,DL$6,'Lease Cycles'!$HZ$24:$IF$24)</f>
        <v>0</v>
      </c>
      <c r="DM295" s="28">
        <f>SUMIF('Lease Cycles'!$HL$24:$HR$24,DM$6,'Lease Cycles'!$HZ$24:$IF$24)</f>
        <v>0</v>
      </c>
      <c r="DN295" s="28">
        <f>SUMIF('Lease Cycles'!$HL$24:$HR$24,DN$6,'Lease Cycles'!$HZ$24:$IF$24)</f>
        <v>0</v>
      </c>
      <c r="DO295" s="28">
        <f>SUMIF('Lease Cycles'!$HL$24:$HR$24,DO$6,'Lease Cycles'!$HZ$24:$IF$24)</f>
        <v>0</v>
      </c>
      <c r="DP295" s="28">
        <f>SUMIF('Lease Cycles'!$HL$24:$HR$24,DP$6,'Lease Cycles'!$HZ$24:$IF$24)</f>
        <v>0</v>
      </c>
      <c r="DQ295" s="28">
        <f>SUMIF('Lease Cycles'!$HL$24:$HR$24,DQ$6,'Lease Cycles'!$HZ$24:$IF$24)</f>
        <v>0</v>
      </c>
      <c r="DR295" s="28">
        <f>SUMIF('Lease Cycles'!$HL$24:$HR$24,DR$6,'Lease Cycles'!$HZ$24:$IF$24)</f>
        <v>0</v>
      </c>
      <c r="DS295" s="28">
        <f>SUMIF('Lease Cycles'!$HL$24:$HR$24,DS$6,'Lease Cycles'!$HZ$24:$IF$24)</f>
        <v>0</v>
      </c>
      <c r="DT295" s="28">
        <f>SUMIF('Lease Cycles'!$HL$24:$HR$24,DT$6,'Lease Cycles'!$HZ$24:$IF$24)</f>
        <v>0</v>
      </c>
      <c r="DU295" s="28">
        <f>SUMIF('Lease Cycles'!$HL$24:$HR$24,DU$6,'Lease Cycles'!$HZ$24:$IF$24)</f>
        <v>0</v>
      </c>
      <c r="DV295" s="28">
        <f>SUMIF('Lease Cycles'!$HL$24:$HR$24,DV$6,'Lease Cycles'!$HZ$24:$IF$24)</f>
        <v>0</v>
      </c>
      <c r="DW295" s="28">
        <f>SUMIF('Lease Cycles'!$HL$24:$HR$24,DW$6,'Lease Cycles'!$HZ$24:$IF$24)</f>
        <v>0</v>
      </c>
      <c r="DX295" s="28">
        <f>SUMIF('Lease Cycles'!$HL$24:$HR$24,DX$6,'Lease Cycles'!$HZ$24:$IF$24)</f>
        <v>0</v>
      </c>
      <c r="DY295" s="28">
        <f>SUMIF('Lease Cycles'!$HL$24:$HR$24,DY$6,'Lease Cycles'!$HZ$24:$IF$24)</f>
        <v>0</v>
      </c>
      <c r="DZ295" s="28">
        <f>SUMIF('Lease Cycles'!$HL$24:$HR$24,DZ$6,'Lease Cycles'!$HZ$24:$IF$24)</f>
        <v>0</v>
      </c>
      <c r="EA295" s="28">
        <f>SUMIF('Lease Cycles'!$HL$24:$HR$24,EA$6,'Lease Cycles'!$HZ$24:$IF$24)</f>
        <v>0</v>
      </c>
      <c r="EB295" s="28">
        <f>SUMIF('Lease Cycles'!$HL$24:$HR$24,EB$6,'Lease Cycles'!$HZ$24:$IF$24)</f>
        <v>0</v>
      </c>
      <c r="EC295" s="28">
        <f>SUMIF('Lease Cycles'!$HL$24:$HR$24,EC$6,'Lease Cycles'!$HZ$24:$IF$24)</f>
        <v>0</v>
      </c>
      <c r="ED295" s="28">
        <f>SUMIF('Lease Cycles'!$HL$24:$HR$24,ED$6,'Lease Cycles'!$HZ$24:$IF$24)</f>
        <v>0</v>
      </c>
      <c r="EE295" s="28">
        <f>SUMIF('Lease Cycles'!$HL$24:$HR$24,EE$6,'Lease Cycles'!$HZ$24:$IF$24)</f>
        <v>0</v>
      </c>
      <c r="EF295" s="28">
        <f>SUMIF('Lease Cycles'!$HL$24:$HR$24,EF$6,'Lease Cycles'!$HZ$24:$IF$24)</f>
        <v>0</v>
      </c>
      <c r="EG295" s="28">
        <f>SUMIF('Lease Cycles'!$HL$24:$HR$24,EG$6,'Lease Cycles'!$HZ$24:$IF$24)</f>
        <v>0</v>
      </c>
      <c r="EH295" s="28">
        <f>SUMIF('Lease Cycles'!$HL$24:$HR$24,EH$6,'Lease Cycles'!$HZ$24:$IF$24)</f>
        <v>0</v>
      </c>
      <c r="EI295" s="28">
        <f>SUMIF('Lease Cycles'!$HL$24:$HR$24,EI$6,'Lease Cycles'!$HZ$24:$IF$24)</f>
        <v>0</v>
      </c>
      <c r="EJ295" s="28">
        <f>SUMIF('Lease Cycles'!$HL$24:$HR$24,EJ$6,'Lease Cycles'!$HZ$24:$IF$24)</f>
        <v>0</v>
      </c>
      <c r="EK295" s="28">
        <f>SUMIF('Lease Cycles'!$HL$24:$HR$24,EK$6,'Lease Cycles'!$HZ$24:$IF$24)</f>
        <v>0</v>
      </c>
      <c r="EL295" s="28">
        <f>SUMIF('Lease Cycles'!$HL$24:$HR$24,EL$6,'Lease Cycles'!$HZ$24:$IF$24)</f>
        <v>0</v>
      </c>
      <c r="EM295" s="28">
        <f>SUMIF('Lease Cycles'!$HL$24:$HR$24,EM$6,'Lease Cycles'!$HZ$24:$IF$24)</f>
        <v>0</v>
      </c>
      <c r="EN295" s="28">
        <f>SUMIF('Lease Cycles'!$HL$24:$HR$24,EN$6,'Lease Cycles'!$HZ$24:$IF$24)</f>
        <v>0</v>
      </c>
      <c r="EO295" s="28">
        <f>SUMIF('Lease Cycles'!$HL$24:$HR$24,EO$6,'Lease Cycles'!$HZ$24:$IF$24)</f>
        <v>0</v>
      </c>
      <c r="EP295" s="28">
        <f>SUMIF('Lease Cycles'!$HL$24:$HR$24,EP$6,'Lease Cycles'!$HZ$24:$IF$24)</f>
        <v>0</v>
      </c>
      <c r="EQ295" s="28">
        <f>SUMIF('Lease Cycles'!$HL$24:$HR$24,EQ$6,'Lease Cycles'!$HZ$24:$IF$24)</f>
        <v>0</v>
      </c>
      <c r="ER295" s="28">
        <f>SUMIF('Lease Cycles'!$HL$24:$HR$24,ER$6,'Lease Cycles'!$HZ$24:$IF$24)</f>
        <v>0</v>
      </c>
      <c r="ES295" s="28">
        <f>SUMIF('Lease Cycles'!$HL$24:$HR$24,ES$6,'Lease Cycles'!$HZ$24:$IF$24)</f>
        <v>0</v>
      </c>
      <c r="ET295" s="28">
        <f>SUMIF('Lease Cycles'!$HL$24:$HR$24,ET$6,'Lease Cycles'!$HZ$24:$IF$24)</f>
        <v>0</v>
      </c>
    </row>
    <row r="296">
      <c r="A296" s="103">
        <v>17</v>
      </c>
      <c r="B296" s="23" t="str">
        <f>IF('Lease Cycles'!$B$24="","(empty slot)",'Lease Cycles'!$B$24)</f>
        <v>(empty slot)</v>
      </c>
      <c r="C296" s="23" t="s">
        <v>691</v>
      </c>
      <c r="D296" s="104" t="s">
        <v>692</v>
      </c>
      <c r="E296" s="25">
        <f>'Lease Cycles'!$AL$24</f>
        <v>0</v>
      </c>
      <c r="G296" s="28">
        <f>SUM(S296:AD296)</f>
        <v>0</v>
      </c>
      <c r="H296" s="28">
        <f>SUM(AE296:AP296)</f>
        <v>0</v>
      </c>
      <c r="I296" s="28">
        <f>SUM(AQ296:BB296)</f>
        <v>0</v>
      </c>
      <c r="J296" s="28">
        <f>SUM(BC296:BN296)</f>
        <v>0</v>
      </c>
      <c r="K296" s="28">
        <f>SUM(BO296:BZ296)</f>
        <v>0</v>
      </c>
      <c r="L296" s="28">
        <f>SUM(CA296:CL296)</f>
        <v>0</v>
      </c>
      <c r="M296" s="28">
        <f>SUM(CM296:CX296)</f>
        <v>0</v>
      </c>
      <c r="N296" s="28">
        <f>SUM(CY296:DJ296)</f>
        <v>0</v>
      </c>
      <c r="O296" s="28">
        <f>SUM(DK296:DV296)</f>
        <v>0</v>
      </c>
      <c r="P296" s="28">
        <f>SUM(DW296:EH296)</f>
        <v>0</v>
      </c>
      <c r="Q296" s="28">
        <f>SUM(EI296:ET296)</f>
        <v>0</v>
      </c>
      <c r="S296" s="28">
        <f>IF(S$6='Lease Cycles'!$HL$24,'Lease Cycles'!$HS$24+'Lease Cycles'!$HZ$24,0)</f>
        <v>0</v>
      </c>
      <c r="T296" s="28">
        <f>IF(T$6='Lease Cycles'!$HL$24,'Lease Cycles'!$HS$24+'Lease Cycles'!$HZ$24,0)</f>
        <v>0</v>
      </c>
      <c r="U296" s="28">
        <f>IF(U$6='Lease Cycles'!$HL$24,'Lease Cycles'!$HS$24+'Lease Cycles'!$HZ$24,0)</f>
        <v>0</v>
      </c>
      <c r="V296" s="28">
        <f>IF(V$6='Lease Cycles'!$HL$24,'Lease Cycles'!$HS$24+'Lease Cycles'!$HZ$24,0)</f>
        <v>0</v>
      </c>
      <c r="W296" s="28">
        <f>IF(W$6='Lease Cycles'!$HL$24,'Lease Cycles'!$HS$24+'Lease Cycles'!$HZ$24,0)</f>
        <v>0</v>
      </c>
      <c r="X296" s="28">
        <f>IF(X$6='Lease Cycles'!$HL$24,'Lease Cycles'!$HS$24+'Lease Cycles'!$HZ$24,0)</f>
        <v>0</v>
      </c>
      <c r="Y296" s="28">
        <f>IF(Y$6='Lease Cycles'!$HL$24,'Lease Cycles'!$HS$24+'Lease Cycles'!$HZ$24,0)</f>
        <v>0</v>
      </c>
      <c r="Z296" s="28">
        <f>IF(Z$6='Lease Cycles'!$HL$24,'Lease Cycles'!$HS$24+'Lease Cycles'!$HZ$24,0)</f>
        <v>0</v>
      </c>
      <c r="AA296" s="28">
        <f>IF(AA$6='Lease Cycles'!$HL$24,'Lease Cycles'!$HS$24+'Lease Cycles'!$HZ$24,0)</f>
        <v>0</v>
      </c>
      <c r="AB296" s="28">
        <f>IF(AB$6='Lease Cycles'!$HL$24,'Lease Cycles'!$HS$24+'Lease Cycles'!$HZ$24,0)</f>
        <v>0</v>
      </c>
      <c r="AC296" s="28">
        <f>IF(AC$6='Lease Cycles'!$HL$24,'Lease Cycles'!$HS$24+'Lease Cycles'!$HZ$24,0)</f>
        <v>0</v>
      </c>
      <c r="AD296" s="28">
        <f>IF(AD$6='Lease Cycles'!$HL$24,'Lease Cycles'!$HS$24+'Lease Cycles'!$HZ$24,0)</f>
        <v>0</v>
      </c>
      <c r="AE296" s="28">
        <f>IF(AE$6='Lease Cycles'!$HL$24,'Lease Cycles'!$HS$24+'Lease Cycles'!$HZ$24,0)</f>
        <v>0</v>
      </c>
      <c r="AF296" s="28">
        <f>IF(AF$6='Lease Cycles'!$HL$24,'Lease Cycles'!$HS$24+'Lease Cycles'!$HZ$24,0)</f>
        <v>0</v>
      </c>
      <c r="AG296" s="28">
        <f>IF(AG$6='Lease Cycles'!$HL$24,'Lease Cycles'!$HS$24+'Lease Cycles'!$HZ$24,0)</f>
        <v>0</v>
      </c>
      <c r="AH296" s="28">
        <f>IF(AH$6='Lease Cycles'!$HL$24,'Lease Cycles'!$HS$24+'Lease Cycles'!$HZ$24,0)</f>
        <v>0</v>
      </c>
      <c r="AI296" s="28">
        <f>IF(AI$6='Lease Cycles'!$HL$24,'Lease Cycles'!$HS$24+'Lease Cycles'!$HZ$24,0)</f>
        <v>0</v>
      </c>
      <c r="AJ296" s="28">
        <f>IF(AJ$6='Lease Cycles'!$HL$24,'Lease Cycles'!$HS$24+'Lease Cycles'!$HZ$24,0)</f>
        <v>0</v>
      </c>
      <c r="AK296" s="28">
        <f>IF(AK$6='Lease Cycles'!$HL$24,'Lease Cycles'!$HS$24+'Lease Cycles'!$HZ$24,0)</f>
        <v>0</v>
      </c>
      <c r="AL296" s="28">
        <f>IF(AL$6='Lease Cycles'!$HL$24,'Lease Cycles'!$HS$24+'Lease Cycles'!$HZ$24,0)</f>
        <v>0</v>
      </c>
      <c r="AM296" s="28">
        <f>IF(AM$6='Lease Cycles'!$HL$24,'Lease Cycles'!$HS$24+'Lease Cycles'!$HZ$24,0)</f>
        <v>0</v>
      </c>
      <c r="AN296" s="28">
        <f>IF(AN$6='Lease Cycles'!$HL$24,'Lease Cycles'!$HS$24+'Lease Cycles'!$HZ$24,0)</f>
        <v>0</v>
      </c>
      <c r="AO296" s="28">
        <f>IF(AO$6='Lease Cycles'!$HL$24,'Lease Cycles'!$HS$24+'Lease Cycles'!$HZ$24,0)</f>
        <v>0</v>
      </c>
      <c r="AP296" s="28">
        <f>IF(AP$6='Lease Cycles'!$HL$24,'Lease Cycles'!$HS$24+'Lease Cycles'!$HZ$24,0)</f>
        <v>0</v>
      </c>
      <c r="AQ296" s="28">
        <f>IF(AQ$6='Lease Cycles'!$HL$24,'Lease Cycles'!$HS$24+'Lease Cycles'!$HZ$24,0)</f>
        <v>0</v>
      </c>
      <c r="AR296" s="28">
        <f>IF(AR$6='Lease Cycles'!$HL$24,'Lease Cycles'!$HS$24+'Lease Cycles'!$HZ$24,0)</f>
        <v>0</v>
      </c>
      <c r="AS296" s="28">
        <f>IF(AS$6='Lease Cycles'!$HL$24,'Lease Cycles'!$HS$24+'Lease Cycles'!$HZ$24,0)</f>
        <v>0</v>
      </c>
      <c r="AT296" s="28">
        <f>IF(AT$6='Lease Cycles'!$HL$24,'Lease Cycles'!$HS$24+'Lease Cycles'!$HZ$24,0)</f>
        <v>0</v>
      </c>
      <c r="AU296" s="28">
        <f>IF(AU$6='Lease Cycles'!$HL$24,'Lease Cycles'!$HS$24+'Lease Cycles'!$HZ$24,0)</f>
        <v>0</v>
      </c>
      <c r="AV296" s="28">
        <f>IF(AV$6='Lease Cycles'!$HL$24,'Lease Cycles'!$HS$24+'Lease Cycles'!$HZ$24,0)</f>
        <v>0</v>
      </c>
      <c r="AW296" s="28">
        <f>IF(AW$6='Lease Cycles'!$HL$24,'Lease Cycles'!$HS$24+'Lease Cycles'!$HZ$24,0)</f>
        <v>0</v>
      </c>
      <c r="AX296" s="28">
        <f>IF(AX$6='Lease Cycles'!$HL$24,'Lease Cycles'!$HS$24+'Lease Cycles'!$HZ$24,0)</f>
        <v>0</v>
      </c>
      <c r="AY296" s="28">
        <f>IF(AY$6='Lease Cycles'!$HL$24,'Lease Cycles'!$HS$24+'Lease Cycles'!$HZ$24,0)</f>
        <v>0</v>
      </c>
      <c r="AZ296" s="28">
        <f>IF(AZ$6='Lease Cycles'!$HL$24,'Lease Cycles'!$HS$24+'Lease Cycles'!$HZ$24,0)</f>
        <v>0</v>
      </c>
      <c r="BA296" s="28">
        <f>IF(BA$6='Lease Cycles'!$HL$24,'Lease Cycles'!$HS$24+'Lease Cycles'!$HZ$24,0)</f>
        <v>0</v>
      </c>
      <c r="BB296" s="28">
        <f>IF(BB$6='Lease Cycles'!$HL$24,'Lease Cycles'!$HS$24+'Lease Cycles'!$HZ$24,0)</f>
        <v>0</v>
      </c>
      <c r="BC296" s="28">
        <f>IF(BC$6='Lease Cycles'!$HL$24,'Lease Cycles'!$HS$24+'Lease Cycles'!$HZ$24,0)</f>
        <v>0</v>
      </c>
      <c r="BD296" s="28">
        <f>IF(BD$6='Lease Cycles'!$HL$24,'Lease Cycles'!$HS$24+'Lease Cycles'!$HZ$24,0)</f>
        <v>0</v>
      </c>
      <c r="BE296" s="28">
        <f>IF(BE$6='Lease Cycles'!$HL$24,'Lease Cycles'!$HS$24+'Lease Cycles'!$HZ$24,0)</f>
        <v>0</v>
      </c>
      <c r="BF296" s="28">
        <f>IF(BF$6='Lease Cycles'!$HL$24,'Lease Cycles'!$HS$24+'Lease Cycles'!$HZ$24,0)</f>
        <v>0</v>
      </c>
      <c r="BG296" s="28">
        <f>IF(BG$6='Lease Cycles'!$HL$24,'Lease Cycles'!$HS$24+'Lease Cycles'!$HZ$24,0)</f>
        <v>0</v>
      </c>
      <c r="BH296" s="28">
        <f>IF(BH$6='Lease Cycles'!$HL$24,'Lease Cycles'!$HS$24+'Lease Cycles'!$HZ$24,0)</f>
        <v>0</v>
      </c>
      <c r="BI296" s="28">
        <f>IF(BI$6='Lease Cycles'!$HL$24,'Lease Cycles'!$HS$24+'Lease Cycles'!$HZ$24,0)</f>
        <v>0</v>
      </c>
      <c r="BJ296" s="28">
        <f>IF(BJ$6='Lease Cycles'!$HL$24,'Lease Cycles'!$HS$24+'Lease Cycles'!$HZ$24,0)</f>
        <v>0</v>
      </c>
      <c r="BK296" s="28">
        <f>IF(BK$6='Lease Cycles'!$HL$24,'Lease Cycles'!$HS$24+'Lease Cycles'!$HZ$24,0)</f>
        <v>0</v>
      </c>
      <c r="BL296" s="28">
        <f>IF(BL$6='Lease Cycles'!$HL$24,'Lease Cycles'!$HS$24+'Lease Cycles'!$HZ$24,0)</f>
        <v>0</v>
      </c>
      <c r="BM296" s="28">
        <f>IF(BM$6='Lease Cycles'!$HL$24,'Lease Cycles'!$HS$24+'Lease Cycles'!$HZ$24,0)</f>
        <v>0</v>
      </c>
      <c r="BN296" s="28">
        <f>IF(BN$6='Lease Cycles'!$HL$24,'Lease Cycles'!$HS$24+'Lease Cycles'!$HZ$24,0)</f>
        <v>0</v>
      </c>
      <c r="BO296" s="28">
        <f>IF(BO$6='Lease Cycles'!$HL$24,'Lease Cycles'!$HS$24+'Lease Cycles'!$HZ$24,0)</f>
        <v>0</v>
      </c>
      <c r="BP296" s="28">
        <f>IF(BP$6='Lease Cycles'!$HL$24,'Lease Cycles'!$HS$24+'Lease Cycles'!$HZ$24,0)</f>
        <v>0</v>
      </c>
      <c r="BQ296" s="28">
        <f>IF(BQ$6='Lease Cycles'!$HL$24,'Lease Cycles'!$HS$24+'Lease Cycles'!$HZ$24,0)</f>
        <v>0</v>
      </c>
      <c r="BR296" s="28">
        <f>IF(BR$6='Lease Cycles'!$HL$24,'Lease Cycles'!$HS$24+'Lease Cycles'!$HZ$24,0)</f>
        <v>0</v>
      </c>
      <c r="BS296" s="28">
        <f>IF(BS$6='Lease Cycles'!$HL$24,'Lease Cycles'!$HS$24+'Lease Cycles'!$HZ$24,0)</f>
        <v>0</v>
      </c>
      <c r="BT296" s="28">
        <f>IF(BT$6='Lease Cycles'!$HL$24,'Lease Cycles'!$HS$24+'Lease Cycles'!$HZ$24,0)</f>
        <v>0</v>
      </c>
      <c r="BU296" s="28">
        <f>IF(BU$6='Lease Cycles'!$HL$24,'Lease Cycles'!$HS$24+'Lease Cycles'!$HZ$24,0)</f>
        <v>0</v>
      </c>
      <c r="BV296" s="28">
        <f>IF(BV$6='Lease Cycles'!$HL$24,'Lease Cycles'!$HS$24+'Lease Cycles'!$HZ$24,0)</f>
        <v>0</v>
      </c>
      <c r="BW296" s="28">
        <f>IF(BW$6='Lease Cycles'!$HL$24,'Lease Cycles'!$HS$24+'Lease Cycles'!$HZ$24,0)</f>
        <v>0</v>
      </c>
      <c r="BX296" s="28">
        <f>IF(BX$6='Lease Cycles'!$HL$24,'Lease Cycles'!$HS$24+'Lease Cycles'!$HZ$24,0)</f>
        <v>0</v>
      </c>
      <c r="BY296" s="28">
        <f>IF(BY$6='Lease Cycles'!$HL$24,'Lease Cycles'!$HS$24+'Lease Cycles'!$HZ$24,0)</f>
        <v>0</v>
      </c>
      <c r="BZ296" s="28">
        <f>IF(BZ$6='Lease Cycles'!$HL$24,'Lease Cycles'!$HS$24+'Lease Cycles'!$HZ$24,0)</f>
        <v>0</v>
      </c>
      <c r="CA296" s="28">
        <f>IF(CA$6='Lease Cycles'!$HL$24,'Lease Cycles'!$HS$24+'Lease Cycles'!$HZ$24,0)</f>
        <v>0</v>
      </c>
      <c r="CB296" s="28">
        <f>IF(CB$6='Lease Cycles'!$HL$24,'Lease Cycles'!$HS$24+'Lease Cycles'!$HZ$24,0)</f>
        <v>0</v>
      </c>
      <c r="CC296" s="28">
        <f>IF(CC$6='Lease Cycles'!$HL$24,'Lease Cycles'!$HS$24+'Lease Cycles'!$HZ$24,0)</f>
        <v>0</v>
      </c>
      <c r="CD296" s="28">
        <f>IF(CD$6='Lease Cycles'!$HL$24,'Lease Cycles'!$HS$24+'Lease Cycles'!$HZ$24,0)</f>
        <v>0</v>
      </c>
      <c r="CE296" s="28">
        <f>IF(CE$6='Lease Cycles'!$HL$24,'Lease Cycles'!$HS$24+'Lease Cycles'!$HZ$24,0)</f>
        <v>0</v>
      </c>
      <c r="CF296" s="28">
        <f>IF(CF$6='Lease Cycles'!$HL$24,'Lease Cycles'!$HS$24+'Lease Cycles'!$HZ$24,0)</f>
        <v>0</v>
      </c>
      <c r="CG296" s="28">
        <f>IF(CG$6='Lease Cycles'!$HL$24,'Lease Cycles'!$HS$24+'Lease Cycles'!$HZ$24,0)</f>
        <v>0</v>
      </c>
      <c r="CH296" s="28">
        <f>IF(CH$6='Lease Cycles'!$HL$24,'Lease Cycles'!$HS$24+'Lease Cycles'!$HZ$24,0)</f>
        <v>0</v>
      </c>
      <c r="CI296" s="28">
        <f>IF(CI$6='Lease Cycles'!$HL$24,'Lease Cycles'!$HS$24+'Lease Cycles'!$HZ$24,0)</f>
        <v>0</v>
      </c>
      <c r="CJ296" s="28">
        <f>IF(CJ$6='Lease Cycles'!$HL$24,'Lease Cycles'!$HS$24+'Lease Cycles'!$HZ$24,0)</f>
        <v>0</v>
      </c>
      <c r="CK296" s="28">
        <f>IF(CK$6='Lease Cycles'!$HL$24,'Lease Cycles'!$HS$24+'Lease Cycles'!$HZ$24,0)</f>
        <v>0</v>
      </c>
      <c r="CL296" s="28">
        <f>IF(CL$6='Lease Cycles'!$HL$24,'Lease Cycles'!$HS$24+'Lease Cycles'!$HZ$24,0)</f>
        <v>0</v>
      </c>
      <c r="CM296" s="28">
        <f>IF(CM$6='Lease Cycles'!$HL$24,'Lease Cycles'!$HS$24+'Lease Cycles'!$HZ$24,0)</f>
        <v>0</v>
      </c>
      <c r="CN296" s="28">
        <f>IF(CN$6='Lease Cycles'!$HL$24,'Lease Cycles'!$HS$24+'Lease Cycles'!$HZ$24,0)</f>
        <v>0</v>
      </c>
      <c r="CO296" s="28">
        <f>IF(CO$6='Lease Cycles'!$HL$24,'Lease Cycles'!$HS$24+'Lease Cycles'!$HZ$24,0)</f>
        <v>0</v>
      </c>
      <c r="CP296" s="28">
        <f>IF(CP$6='Lease Cycles'!$HL$24,'Lease Cycles'!$HS$24+'Lease Cycles'!$HZ$24,0)</f>
        <v>0</v>
      </c>
      <c r="CQ296" s="28">
        <f>IF(CQ$6='Lease Cycles'!$HL$24,'Lease Cycles'!$HS$24+'Lease Cycles'!$HZ$24,0)</f>
        <v>0</v>
      </c>
      <c r="CR296" s="28">
        <f>IF(CR$6='Lease Cycles'!$HL$24,'Lease Cycles'!$HS$24+'Lease Cycles'!$HZ$24,0)</f>
        <v>0</v>
      </c>
      <c r="CS296" s="28">
        <f>IF(CS$6='Lease Cycles'!$HL$24,'Lease Cycles'!$HS$24+'Lease Cycles'!$HZ$24,0)</f>
        <v>0</v>
      </c>
      <c r="CT296" s="28">
        <f>IF(CT$6='Lease Cycles'!$HL$24,'Lease Cycles'!$HS$24+'Lease Cycles'!$HZ$24,0)</f>
        <v>0</v>
      </c>
      <c r="CU296" s="28">
        <f>IF(CU$6='Lease Cycles'!$HL$24,'Lease Cycles'!$HS$24+'Lease Cycles'!$HZ$24,0)</f>
        <v>0</v>
      </c>
      <c r="CV296" s="28">
        <f>IF(CV$6='Lease Cycles'!$HL$24,'Lease Cycles'!$HS$24+'Lease Cycles'!$HZ$24,0)</f>
        <v>0</v>
      </c>
      <c r="CW296" s="28">
        <f>IF(CW$6='Lease Cycles'!$HL$24,'Lease Cycles'!$HS$24+'Lease Cycles'!$HZ$24,0)</f>
        <v>0</v>
      </c>
      <c r="CX296" s="28">
        <f>IF(CX$6='Lease Cycles'!$HL$24,'Lease Cycles'!$HS$24+'Lease Cycles'!$HZ$24,0)</f>
        <v>0</v>
      </c>
      <c r="CY296" s="28">
        <f>IF(CY$6='Lease Cycles'!$HL$24,'Lease Cycles'!$HS$24+'Lease Cycles'!$HZ$24,0)</f>
        <v>0</v>
      </c>
      <c r="CZ296" s="28">
        <f>IF(CZ$6='Lease Cycles'!$HL$24,'Lease Cycles'!$HS$24+'Lease Cycles'!$HZ$24,0)</f>
        <v>0</v>
      </c>
      <c r="DA296" s="28">
        <f>IF(DA$6='Lease Cycles'!$HL$24,'Lease Cycles'!$HS$24+'Lease Cycles'!$HZ$24,0)</f>
        <v>0</v>
      </c>
      <c r="DB296" s="28">
        <f>IF(DB$6='Lease Cycles'!$HL$24,'Lease Cycles'!$HS$24+'Lease Cycles'!$HZ$24,0)</f>
        <v>0</v>
      </c>
      <c r="DC296" s="28">
        <f>IF(DC$6='Lease Cycles'!$HL$24,'Lease Cycles'!$HS$24+'Lease Cycles'!$HZ$24,0)</f>
        <v>0</v>
      </c>
      <c r="DD296" s="28">
        <f>IF(DD$6='Lease Cycles'!$HL$24,'Lease Cycles'!$HS$24+'Lease Cycles'!$HZ$24,0)</f>
        <v>0</v>
      </c>
      <c r="DE296" s="28">
        <f>IF(DE$6='Lease Cycles'!$HL$24,'Lease Cycles'!$HS$24+'Lease Cycles'!$HZ$24,0)</f>
        <v>0</v>
      </c>
      <c r="DF296" s="28">
        <f>IF(DF$6='Lease Cycles'!$HL$24,'Lease Cycles'!$HS$24+'Lease Cycles'!$HZ$24,0)</f>
        <v>0</v>
      </c>
      <c r="DG296" s="28">
        <f>IF(DG$6='Lease Cycles'!$HL$24,'Lease Cycles'!$HS$24+'Lease Cycles'!$HZ$24,0)</f>
        <v>0</v>
      </c>
      <c r="DH296" s="28">
        <f>IF(DH$6='Lease Cycles'!$HL$24,'Lease Cycles'!$HS$24+'Lease Cycles'!$HZ$24,0)</f>
        <v>0</v>
      </c>
      <c r="DI296" s="28">
        <f>IF(DI$6='Lease Cycles'!$HL$24,'Lease Cycles'!$HS$24+'Lease Cycles'!$HZ$24,0)</f>
        <v>0</v>
      </c>
      <c r="DJ296" s="28">
        <f>IF(DJ$6='Lease Cycles'!$HL$24,'Lease Cycles'!$HS$24+'Lease Cycles'!$HZ$24,0)</f>
        <v>0</v>
      </c>
      <c r="DK296" s="28">
        <f>IF(DK$6='Lease Cycles'!$HL$24,'Lease Cycles'!$HS$24+'Lease Cycles'!$HZ$24,0)</f>
        <v>0</v>
      </c>
      <c r="DL296" s="28">
        <f>IF(DL$6='Lease Cycles'!$HL$24,'Lease Cycles'!$HS$24+'Lease Cycles'!$HZ$24,0)</f>
        <v>0</v>
      </c>
      <c r="DM296" s="28">
        <f>IF(DM$6='Lease Cycles'!$HL$24,'Lease Cycles'!$HS$24+'Lease Cycles'!$HZ$24,0)</f>
        <v>0</v>
      </c>
      <c r="DN296" s="28">
        <f>IF(DN$6='Lease Cycles'!$HL$24,'Lease Cycles'!$HS$24+'Lease Cycles'!$HZ$24,0)</f>
        <v>0</v>
      </c>
      <c r="DO296" s="28">
        <f>IF(DO$6='Lease Cycles'!$HL$24,'Lease Cycles'!$HS$24+'Lease Cycles'!$HZ$24,0)</f>
        <v>0</v>
      </c>
      <c r="DP296" s="28">
        <f>IF(DP$6='Lease Cycles'!$HL$24,'Lease Cycles'!$HS$24+'Lease Cycles'!$HZ$24,0)</f>
        <v>0</v>
      </c>
      <c r="DQ296" s="28">
        <f>IF(DQ$6='Lease Cycles'!$HL$24,'Lease Cycles'!$HS$24+'Lease Cycles'!$HZ$24,0)</f>
        <v>0</v>
      </c>
      <c r="DR296" s="28">
        <f>IF(DR$6='Lease Cycles'!$HL$24,'Lease Cycles'!$HS$24+'Lease Cycles'!$HZ$24,0)</f>
        <v>0</v>
      </c>
      <c r="DS296" s="28">
        <f>IF(DS$6='Lease Cycles'!$HL$24,'Lease Cycles'!$HS$24+'Lease Cycles'!$HZ$24,0)</f>
        <v>0</v>
      </c>
      <c r="DT296" s="28">
        <f>IF(DT$6='Lease Cycles'!$HL$24,'Lease Cycles'!$HS$24+'Lease Cycles'!$HZ$24,0)</f>
        <v>0</v>
      </c>
      <c r="DU296" s="28">
        <f>IF(DU$6='Lease Cycles'!$HL$24,'Lease Cycles'!$HS$24+'Lease Cycles'!$HZ$24,0)</f>
        <v>0</v>
      </c>
      <c r="DV296" s="28">
        <f>IF(DV$6='Lease Cycles'!$HL$24,'Lease Cycles'!$HS$24+'Lease Cycles'!$HZ$24,0)</f>
        <v>0</v>
      </c>
      <c r="DW296" s="28">
        <f>IF(DW$6='Lease Cycles'!$HL$24,'Lease Cycles'!$HS$24+'Lease Cycles'!$HZ$24,0)</f>
        <v>0</v>
      </c>
      <c r="DX296" s="28">
        <f>IF(DX$6='Lease Cycles'!$HL$24,'Lease Cycles'!$HS$24+'Lease Cycles'!$HZ$24,0)</f>
        <v>0</v>
      </c>
      <c r="DY296" s="28">
        <f>IF(DY$6='Lease Cycles'!$HL$24,'Lease Cycles'!$HS$24+'Lease Cycles'!$HZ$24,0)</f>
        <v>0</v>
      </c>
      <c r="DZ296" s="28">
        <f>IF(DZ$6='Lease Cycles'!$HL$24,'Lease Cycles'!$HS$24+'Lease Cycles'!$HZ$24,0)</f>
        <v>0</v>
      </c>
      <c r="EA296" s="28">
        <f>IF(EA$6='Lease Cycles'!$HL$24,'Lease Cycles'!$HS$24+'Lease Cycles'!$HZ$24,0)</f>
        <v>0</v>
      </c>
      <c r="EB296" s="28">
        <f>IF(EB$6='Lease Cycles'!$HL$24,'Lease Cycles'!$HS$24+'Lease Cycles'!$HZ$24,0)</f>
        <v>0</v>
      </c>
      <c r="EC296" s="28">
        <f>IF(EC$6='Lease Cycles'!$HL$24,'Lease Cycles'!$HS$24+'Lease Cycles'!$HZ$24,0)</f>
        <v>0</v>
      </c>
      <c r="ED296" s="28">
        <f>IF(ED$6='Lease Cycles'!$HL$24,'Lease Cycles'!$HS$24+'Lease Cycles'!$HZ$24,0)</f>
        <v>0</v>
      </c>
      <c r="EE296" s="28">
        <f>IF(EE$6='Lease Cycles'!$HL$24,'Lease Cycles'!$HS$24+'Lease Cycles'!$HZ$24,0)</f>
        <v>0</v>
      </c>
      <c r="EF296" s="28">
        <f>IF(EF$6='Lease Cycles'!$HL$24,'Lease Cycles'!$HS$24+'Lease Cycles'!$HZ$24,0)</f>
        <v>0</v>
      </c>
      <c r="EG296" s="28">
        <f>IF(EG$6='Lease Cycles'!$HL$24,'Lease Cycles'!$HS$24+'Lease Cycles'!$HZ$24,0)</f>
        <v>0</v>
      </c>
      <c r="EH296" s="28">
        <f>IF(EH$6='Lease Cycles'!$HL$24,'Lease Cycles'!$HS$24+'Lease Cycles'!$HZ$24,0)</f>
        <v>0</v>
      </c>
      <c r="EI296" s="28">
        <f>IF(EI$6='Lease Cycles'!$HL$24,'Lease Cycles'!$HS$24+'Lease Cycles'!$HZ$24,0)</f>
        <v>0</v>
      </c>
      <c r="EJ296" s="28">
        <f>IF(EJ$6='Lease Cycles'!$HL$24,'Lease Cycles'!$HS$24+'Lease Cycles'!$HZ$24,0)</f>
        <v>0</v>
      </c>
      <c r="EK296" s="28">
        <f>IF(EK$6='Lease Cycles'!$HL$24,'Lease Cycles'!$HS$24+'Lease Cycles'!$HZ$24,0)</f>
        <v>0</v>
      </c>
      <c r="EL296" s="28">
        <f>IF(EL$6='Lease Cycles'!$HL$24,'Lease Cycles'!$HS$24+'Lease Cycles'!$HZ$24,0)</f>
        <v>0</v>
      </c>
      <c r="EM296" s="28">
        <f>IF(EM$6='Lease Cycles'!$HL$24,'Lease Cycles'!$HS$24+'Lease Cycles'!$HZ$24,0)</f>
        <v>0</v>
      </c>
      <c r="EN296" s="28">
        <f>IF(EN$6='Lease Cycles'!$HL$24,'Lease Cycles'!$HS$24+'Lease Cycles'!$HZ$24,0)</f>
        <v>0</v>
      </c>
      <c r="EO296" s="28">
        <f>IF(EO$6='Lease Cycles'!$HL$24,'Lease Cycles'!$HS$24+'Lease Cycles'!$HZ$24,0)</f>
        <v>0</v>
      </c>
      <c r="EP296" s="28">
        <f>IF(EP$6='Lease Cycles'!$HL$24,'Lease Cycles'!$HS$24+'Lease Cycles'!$HZ$24,0)</f>
        <v>0</v>
      </c>
      <c r="EQ296" s="28">
        <f>IF(EQ$6='Lease Cycles'!$HL$24,'Lease Cycles'!$HS$24+'Lease Cycles'!$HZ$24,0)</f>
        <v>0</v>
      </c>
      <c r="ER296" s="28">
        <f>IF(ER$6='Lease Cycles'!$HL$24,'Lease Cycles'!$HS$24+'Lease Cycles'!$HZ$24,0)</f>
        <v>0</v>
      </c>
      <c r="ES296" s="28">
        <f>IF(ES$6='Lease Cycles'!$HL$24,'Lease Cycles'!$HS$24+'Lease Cycles'!$HZ$24,0)</f>
        <v>0</v>
      </c>
      <c r="ET296" s="28">
        <f>IF(ET$6='Lease Cycles'!$HL$24,'Lease Cycles'!$HS$24+'Lease Cycles'!$HZ$24,0)</f>
        <v>0</v>
      </c>
    </row>
    <row r="297">
      <c r="A297" s="103">
        <v>17</v>
      </c>
      <c r="B297" s="23" t="str">
        <f>IF('Lease Cycles'!$B$24="","(empty slot)",'Lease Cycles'!$B$24)</f>
        <v>(empty slot)</v>
      </c>
      <c r="C297" s="23" t="s">
        <v>499</v>
      </c>
      <c r="D297" s="104" t="s">
        <v>500</v>
      </c>
      <c r="E297" s="25">
        <f>'Lease Cycles'!$AL$24</f>
        <v>0</v>
      </c>
      <c r="G297" s="28">
        <f>MAX(0,'Lease Cycles'!$AN$24*'Lease Cycles'!$C$24*'Lease Cycles'!$AM$24*(1+a_SalesGrowth)^(G$6-1)-G287)</f>
        <v>0</v>
      </c>
      <c r="H297" s="28">
        <f>MAX(0,'Lease Cycles'!$AN$24*'Lease Cycles'!$C$24*'Lease Cycles'!$AM$24*(1+a_SalesGrowth)^(H$6-1)-H287)</f>
        <v>0</v>
      </c>
      <c r="I297" s="28">
        <f>MAX(0,'Lease Cycles'!$AN$24*'Lease Cycles'!$C$24*'Lease Cycles'!$AM$24*(1+a_SalesGrowth)^(I$6-1)-I287)</f>
        <v>0</v>
      </c>
      <c r="J297" s="28">
        <f>MAX(0,'Lease Cycles'!$AN$24*'Lease Cycles'!$C$24*'Lease Cycles'!$AM$24*(1+a_SalesGrowth)^(J$6-1)-J287)</f>
        <v>0</v>
      </c>
      <c r="K297" s="28">
        <f>MAX(0,'Lease Cycles'!$AN$24*'Lease Cycles'!$C$24*'Lease Cycles'!$AM$24*(1+a_SalesGrowth)^(K$6-1)-K287)</f>
        <v>0</v>
      </c>
      <c r="L297" s="28">
        <f>MAX(0,'Lease Cycles'!$AN$24*'Lease Cycles'!$C$24*'Lease Cycles'!$AM$24*(1+a_SalesGrowth)^(L$6-1)-L287)</f>
        <v>0</v>
      </c>
      <c r="M297" s="28">
        <f>MAX(0,'Lease Cycles'!$AN$24*'Lease Cycles'!$C$24*'Lease Cycles'!$AM$24*(1+a_SalesGrowth)^(M$6-1)-M287)</f>
        <v>0</v>
      </c>
      <c r="N297" s="28">
        <f>MAX(0,'Lease Cycles'!$AN$24*'Lease Cycles'!$C$24*'Lease Cycles'!$AM$24*(1+a_SalesGrowth)^(N$6-1)-N287)</f>
        <v>0</v>
      </c>
      <c r="O297" s="28">
        <f>MAX(0,'Lease Cycles'!$AN$24*'Lease Cycles'!$C$24*'Lease Cycles'!$AM$24*(1+a_SalesGrowth)^(O$6-1)-O287)</f>
        <v>0</v>
      </c>
      <c r="P297" s="28">
        <f>MAX(0,'Lease Cycles'!$AN$24*'Lease Cycles'!$C$24*'Lease Cycles'!$AM$24*(1+a_SalesGrowth)^(P$6-1)-P287)</f>
        <v>0</v>
      </c>
      <c r="Q297" s="28">
        <f>MAX(0,'Lease Cycles'!$AN$24*'Lease Cycles'!$C$24*'Lease Cycles'!$AM$24*(1+a_SalesGrowth)^(Q$6-1)-Q287)</f>
        <v>0</v>
      </c>
    </row>
    <row r="299">
      <c r="A299" s="103">
        <v>18</v>
      </c>
      <c r="B299" s="23" t="str">
        <f>IF('Lease Cycles'!$B$25="","(empty slot)",'Lease Cycles'!$B$25)</f>
        <v>(empty slot)</v>
      </c>
      <c r="C299" s="23" t="s">
        <v>671</v>
      </c>
      <c r="D299" s="104" t="s">
        <v>672</v>
      </c>
      <c r="E299" s="25">
        <f>'Lease Cycles'!$AL$25</f>
        <v>0</v>
      </c>
      <c r="S299" s="25">
        <f>IF('Lease Cycles'!$C$25&gt;0,COUNTIF('Lease Cycles'!$BG$25:$BM$25,"&lt;="&amp;S$6),0)</f>
        <v>0</v>
      </c>
      <c r="T299" s="25">
        <f>IF('Lease Cycles'!$C$25&gt;0,COUNTIF('Lease Cycles'!$BG$25:$BM$25,"&lt;="&amp;T$6),0)</f>
        <v>0</v>
      </c>
      <c r="U299" s="25">
        <f>IF('Lease Cycles'!$C$25&gt;0,COUNTIF('Lease Cycles'!$BG$25:$BM$25,"&lt;="&amp;U$6),0)</f>
        <v>0</v>
      </c>
      <c r="V299" s="25">
        <f>IF('Lease Cycles'!$C$25&gt;0,COUNTIF('Lease Cycles'!$BG$25:$BM$25,"&lt;="&amp;V$6),0)</f>
        <v>0</v>
      </c>
      <c r="W299" s="25">
        <f>IF('Lease Cycles'!$C$25&gt;0,COUNTIF('Lease Cycles'!$BG$25:$BM$25,"&lt;="&amp;W$6),0)</f>
        <v>0</v>
      </c>
      <c r="X299" s="25">
        <f>IF('Lease Cycles'!$C$25&gt;0,COUNTIF('Lease Cycles'!$BG$25:$BM$25,"&lt;="&amp;X$6),0)</f>
        <v>0</v>
      </c>
      <c r="Y299" s="25">
        <f>IF('Lease Cycles'!$C$25&gt;0,COUNTIF('Lease Cycles'!$BG$25:$BM$25,"&lt;="&amp;Y$6),0)</f>
        <v>0</v>
      </c>
      <c r="Z299" s="25">
        <f>IF('Lease Cycles'!$C$25&gt;0,COUNTIF('Lease Cycles'!$BG$25:$BM$25,"&lt;="&amp;Z$6),0)</f>
        <v>0</v>
      </c>
      <c r="AA299" s="25">
        <f>IF('Lease Cycles'!$C$25&gt;0,COUNTIF('Lease Cycles'!$BG$25:$BM$25,"&lt;="&amp;AA$6),0)</f>
        <v>0</v>
      </c>
      <c r="AB299" s="25">
        <f>IF('Lease Cycles'!$C$25&gt;0,COUNTIF('Lease Cycles'!$BG$25:$BM$25,"&lt;="&amp;AB$6),0)</f>
        <v>0</v>
      </c>
      <c r="AC299" s="25">
        <f>IF('Lease Cycles'!$C$25&gt;0,COUNTIF('Lease Cycles'!$BG$25:$BM$25,"&lt;="&amp;AC$6),0)</f>
        <v>0</v>
      </c>
      <c r="AD299" s="25">
        <f>IF('Lease Cycles'!$C$25&gt;0,COUNTIF('Lease Cycles'!$BG$25:$BM$25,"&lt;="&amp;AD$6),0)</f>
        <v>0</v>
      </c>
      <c r="AE299" s="25">
        <f>IF('Lease Cycles'!$C$25&gt;0,COUNTIF('Lease Cycles'!$BG$25:$BM$25,"&lt;="&amp;AE$6),0)</f>
        <v>0</v>
      </c>
      <c r="AF299" s="25">
        <f>IF('Lease Cycles'!$C$25&gt;0,COUNTIF('Lease Cycles'!$BG$25:$BM$25,"&lt;="&amp;AF$6),0)</f>
        <v>0</v>
      </c>
      <c r="AG299" s="25">
        <f>IF('Lease Cycles'!$C$25&gt;0,COUNTIF('Lease Cycles'!$BG$25:$BM$25,"&lt;="&amp;AG$6),0)</f>
        <v>0</v>
      </c>
      <c r="AH299" s="25">
        <f>IF('Lease Cycles'!$C$25&gt;0,COUNTIF('Lease Cycles'!$BG$25:$BM$25,"&lt;="&amp;AH$6),0)</f>
        <v>0</v>
      </c>
      <c r="AI299" s="25">
        <f>IF('Lease Cycles'!$C$25&gt;0,COUNTIF('Lease Cycles'!$BG$25:$BM$25,"&lt;="&amp;AI$6),0)</f>
        <v>0</v>
      </c>
      <c r="AJ299" s="25">
        <f>IF('Lease Cycles'!$C$25&gt;0,COUNTIF('Lease Cycles'!$BG$25:$BM$25,"&lt;="&amp;AJ$6),0)</f>
        <v>0</v>
      </c>
      <c r="AK299" s="25">
        <f>IF('Lease Cycles'!$C$25&gt;0,COUNTIF('Lease Cycles'!$BG$25:$BM$25,"&lt;="&amp;AK$6),0)</f>
        <v>0</v>
      </c>
      <c r="AL299" s="25">
        <f>IF('Lease Cycles'!$C$25&gt;0,COUNTIF('Lease Cycles'!$BG$25:$BM$25,"&lt;="&amp;AL$6),0)</f>
        <v>0</v>
      </c>
      <c r="AM299" s="25">
        <f>IF('Lease Cycles'!$C$25&gt;0,COUNTIF('Lease Cycles'!$BG$25:$BM$25,"&lt;="&amp;AM$6),0)</f>
        <v>0</v>
      </c>
      <c r="AN299" s="25">
        <f>IF('Lease Cycles'!$C$25&gt;0,COUNTIF('Lease Cycles'!$BG$25:$BM$25,"&lt;="&amp;AN$6),0)</f>
        <v>0</v>
      </c>
      <c r="AO299" s="25">
        <f>IF('Lease Cycles'!$C$25&gt;0,COUNTIF('Lease Cycles'!$BG$25:$BM$25,"&lt;="&amp;AO$6),0)</f>
        <v>0</v>
      </c>
      <c r="AP299" s="25">
        <f>IF('Lease Cycles'!$C$25&gt;0,COUNTIF('Lease Cycles'!$BG$25:$BM$25,"&lt;="&amp;AP$6),0)</f>
        <v>0</v>
      </c>
      <c r="AQ299" s="25">
        <f>IF('Lease Cycles'!$C$25&gt;0,COUNTIF('Lease Cycles'!$BG$25:$BM$25,"&lt;="&amp;AQ$6),0)</f>
        <v>0</v>
      </c>
      <c r="AR299" s="25">
        <f>IF('Lease Cycles'!$C$25&gt;0,COUNTIF('Lease Cycles'!$BG$25:$BM$25,"&lt;="&amp;AR$6),0)</f>
        <v>0</v>
      </c>
      <c r="AS299" s="25">
        <f>IF('Lease Cycles'!$C$25&gt;0,COUNTIF('Lease Cycles'!$BG$25:$BM$25,"&lt;="&amp;AS$6),0)</f>
        <v>0</v>
      </c>
      <c r="AT299" s="25">
        <f>IF('Lease Cycles'!$C$25&gt;0,COUNTIF('Lease Cycles'!$BG$25:$BM$25,"&lt;="&amp;AT$6),0)</f>
        <v>0</v>
      </c>
      <c r="AU299" s="25">
        <f>IF('Lease Cycles'!$C$25&gt;0,COUNTIF('Lease Cycles'!$BG$25:$BM$25,"&lt;="&amp;AU$6),0)</f>
        <v>0</v>
      </c>
      <c r="AV299" s="25">
        <f>IF('Lease Cycles'!$C$25&gt;0,COUNTIF('Lease Cycles'!$BG$25:$BM$25,"&lt;="&amp;AV$6),0)</f>
        <v>0</v>
      </c>
      <c r="AW299" s="25">
        <f>IF('Lease Cycles'!$C$25&gt;0,COUNTIF('Lease Cycles'!$BG$25:$BM$25,"&lt;="&amp;AW$6),0)</f>
        <v>0</v>
      </c>
      <c r="AX299" s="25">
        <f>IF('Lease Cycles'!$C$25&gt;0,COUNTIF('Lease Cycles'!$BG$25:$BM$25,"&lt;="&amp;AX$6),0)</f>
        <v>0</v>
      </c>
      <c r="AY299" s="25">
        <f>IF('Lease Cycles'!$C$25&gt;0,COUNTIF('Lease Cycles'!$BG$25:$BM$25,"&lt;="&amp;AY$6),0)</f>
        <v>0</v>
      </c>
      <c r="AZ299" s="25">
        <f>IF('Lease Cycles'!$C$25&gt;0,COUNTIF('Lease Cycles'!$BG$25:$BM$25,"&lt;="&amp;AZ$6),0)</f>
        <v>0</v>
      </c>
      <c r="BA299" s="25">
        <f>IF('Lease Cycles'!$C$25&gt;0,COUNTIF('Lease Cycles'!$BG$25:$BM$25,"&lt;="&amp;BA$6),0)</f>
        <v>0</v>
      </c>
      <c r="BB299" s="25">
        <f>IF('Lease Cycles'!$C$25&gt;0,COUNTIF('Lease Cycles'!$BG$25:$BM$25,"&lt;="&amp;BB$6),0)</f>
        <v>0</v>
      </c>
      <c r="BC299" s="25">
        <f>IF('Lease Cycles'!$C$25&gt;0,COUNTIF('Lease Cycles'!$BG$25:$BM$25,"&lt;="&amp;BC$6),0)</f>
        <v>0</v>
      </c>
      <c r="BD299" s="25">
        <f>IF('Lease Cycles'!$C$25&gt;0,COUNTIF('Lease Cycles'!$BG$25:$BM$25,"&lt;="&amp;BD$6),0)</f>
        <v>0</v>
      </c>
      <c r="BE299" s="25">
        <f>IF('Lease Cycles'!$C$25&gt;0,COUNTIF('Lease Cycles'!$BG$25:$BM$25,"&lt;="&amp;BE$6),0)</f>
        <v>0</v>
      </c>
      <c r="BF299" s="25">
        <f>IF('Lease Cycles'!$C$25&gt;0,COUNTIF('Lease Cycles'!$BG$25:$BM$25,"&lt;="&amp;BF$6),0)</f>
        <v>0</v>
      </c>
      <c r="BG299" s="25">
        <f>IF('Lease Cycles'!$C$25&gt;0,COUNTIF('Lease Cycles'!$BG$25:$BM$25,"&lt;="&amp;BG$6),0)</f>
        <v>0</v>
      </c>
      <c r="BH299" s="25">
        <f>IF('Lease Cycles'!$C$25&gt;0,COUNTIF('Lease Cycles'!$BG$25:$BM$25,"&lt;="&amp;BH$6),0)</f>
        <v>0</v>
      </c>
      <c r="BI299" s="25">
        <f>IF('Lease Cycles'!$C$25&gt;0,COUNTIF('Lease Cycles'!$BG$25:$BM$25,"&lt;="&amp;BI$6),0)</f>
        <v>0</v>
      </c>
      <c r="BJ299" s="25">
        <f>IF('Lease Cycles'!$C$25&gt;0,COUNTIF('Lease Cycles'!$BG$25:$BM$25,"&lt;="&amp;BJ$6),0)</f>
        <v>0</v>
      </c>
      <c r="BK299" s="25">
        <f>IF('Lease Cycles'!$C$25&gt;0,COUNTIF('Lease Cycles'!$BG$25:$BM$25,"&lt;="&amp;BK$6),0)</f>
        <v>0</v>
      </c>
      <c r="BL299" s="25">
        <f>IF('Lease Cycles'!$C$25&gt;0,COUNTIF('Lease Cycles'!$BG$25:$BM$25,"&lt;="&amp;BL$6),0)</f>
        <v>0</v>
      </c>
      <c r="BM299" s="25">
        <f>IF('Lease Cycles'!$C$25&gt;0,COUNTIF('Lease Cycles'!$BG$25:$BM$25,"&lt;="&amp;BM$6),0)</f>
        <v>0</v>
      </c>
      <c r="BN299" s="25">
        <f>IF('Lease Cycles'!$C$25&gt;0,COUNTIF('Lease Cycles'!$BG$25:$BM$25,"&lt;="&amp;BN$6),0)</f>
        <v>0</v>
      </c>
      <c r="BO299" s="25">
        <f>IF('Lease Cycles'!$C$25&gt;0,COUNTIF('Lease Cycles'!$BG$25:$BM$25,"&lt;="&amp;BO$6),0)</f>
        <v>0</v>
      </c>
      <c r="BP299" s="25">
        <f>IF('Lease Cycles'!$C$25&gt;0,COUNTIF('Lease Cycles'!$BG$25:$BM$25,"&lt;="&amp;BP$6),0)</f>
        <v>0</v>
      </c>
      <c r="BQ299" s="25">
        <f>IF('Lease Cycles'!$C$25&gt;0,COUNTIF('Lease Cycles'!$BG$25:$BM$25,"&lt;="&amp;BQ$6),0)</f>
        <v>0</v>
      </c>
      <c r="BR299" s="25">
        <f>IF('Lease Cycles'!$C$25&gt;0,COUNTIF('Lease Cycles'!$BG$25:$BM$25,"&lt;="&amp;BR$6),0)</f>
        <v>0</v>
      </c>
      <c r="BS299" s="25">
        <f>IF('Lease Cycles'!$C$25&gt;0,COUNTIF('Lease Cycles'!$BG$25:$BM$25,"&lt;="&amp;BS$6),0)</f>
        <v>0</v>
      </c>
      <c r="BT299" s="25">
        <f>IF('Lease Cycles'!$C$25&gt;0,COUNTIF('Lease Cycles'!$BG$25:$BM$25,"&lt;="&amp;BT$6),0)</f>
        <v>0</v>
      </c>
      <c r="BU299" s="25">
        <f>IF('Lease Cycles'!$C$25&gt;0,COUNTIF('Lease Cycles'!$BG$25:$BM$25,"&lt;="&amp;BU$6),0)</f>
        <v>0</v>
      </c>
      <c r="BV299" s="25">
        <f>IF('Lease Cycles'!$C$25&gt;0,COUNTIF('Lease Cycles'!$BG$25:$BM$25,"&lt;="&amp;BV$6),0)</f>
        <v>0</v>
      </c>
      <c r="BW299" s="25">
        <f>IF('Lease Cycles'!$C$25&gt;0,COUNTIF('Lease Cycles'!$BG$25:$BM$25,"&lt;="&amp;BW$6),0)</f>
        <v>0</v>
      </c>
      <c r="BX299" s="25">
        <f>IF('Lease Cycles'!$C$25&gt;0,COUNTIF('Lease Cycles'!$BG$25:$BM$25,"&lt;="&amp;BX$6),0)</f>
        <v>0</v>
      </c>
      <c r="BY299" s="25">
        <f>IF('Lease Cycles'!$C$25&gt;0,COUNTIF('Lease Cycles'!$BG$25:$BM$25,"&lt;="&amp;BY$6),0)</f>
        <v>0</v>
      </c>
      <c r="BZ299" s="25">
        <f>IF('Lease Cycles'!$C$25&gt;0,COUNTIF('Lease Cycles'!$BG$25:$BM$25,"&lt;="&amp;BZ$6),0)</f>
        <v>0</v>
      </c>
      <c r="CA299" s="25">
        <f>IF('Lease Cycles'!$C$25&gt;0,COUNTIF('Lease Cycles'!$BG$25:$BM$25,"&lt;="&amp;CA$6),0)</f>
        <v>0</v>
      </c>
      <c r="CB299" s="25">
        <f>IF('Lease Cycles'!$C$25&gt;0,COUNTIF('Lease Cycles'!$BG$25:$BM$25,"&lt;="&amp;CB$6),0)</f>
        <v>0</v>
      </c>
      <c r="CC299" s="25">
        <f>IF('Lease Cycles'!$C$25&gt;0,COUNTIF('Lease Cycles'!$BG$25:$BM$25,"&lt;="&amp;CC$6),0)</f>
        <v>0</v>
      </c>
      <c r="CD299" s="25">
        <f>IF('Lease Cycles'!$C$25&gt;0,COUNTIF('Lease Cycles'!$BG$25:$BM$25,"&lt;="&amp;CD$6),0)</f>
        <v>0</v>
      </c>
      <c r="CE299" s="25">
        <f>IF('Lease Cycles'!$C$25&gt;0,COUNTIF('Lease Cycles'!$BG$25:$BM$25,"&lt;="&amp;CE$6),0)</f>
        <v>0</v>
      </c>
      <c r="CF299" s="25">
        <f>IF('Lease Cycles'!$C$25&gt;0,COUNTIF('Lease Cycles'!$BG$25:$BM$25,"&lt;="&amp;CF$6),0)</f>
        <v>0</v>
      </c>
      <c r="CG299" s="25">
        <f>IF('Lease Cycles'!$C$25&gt;0,COUNTIF('Lease Cycles'!$BG$25:$BM$25,"&lt;="&amp;CG$6),0)</f>
        <v>0</v>
      </c>
      <c r="CH299" s="25">
        <f>IF('Lease Cycles'!$C$25&gt;0,COUNTIF('Lease Cycles'!$BG$25:$BM$25,"&lt;="&amp;CH$6),0)</f>
        <v>0</v>
      </c>
      <c r="CI299" s="25">
        <f>IF('Lease Cycles'!$C$25&gt;0,COUNTIF('Lease Cycles'!$BG$25:$BM$25,"&lt;="&amp;CI$6),0)</f>
        <v>0</v>
      </c>
      <c r="CJ299" s="25">
        <f>IF('Lease Cycles'!$C$25&gt;0,COUNTIF('Lease Cycles'!$BG$25:$BM$25,"&lt;="&amp;CJ$6),0)</f>
        <v>0</v>
      </c>
      <c r="CK299" s="25">
        <f>IF('Lease Cycles'!$C$25&gt;0,COUNTIF('Lease Cycles'!$BG$25:$BM$25,"&lt;="&amp;CK$6),0)</f>
        <v>0</v>
      </c>
      <c r="CL299" s="25">
        <f>IF('Lease Cycles'!$C$25&gt;0,COUNTIF('Lease Cycles'!$BG$25:$BM$25,"&lt;="&amp;CL$6),0)</f>
        <v>0</v>
      </c>
      <c r="CM299" s="25">
        <f>IF('Lease Cycles'!$C$25&gt;0,COUNTIF('Lease Cycles'!$BG$25:$BM$25,"&lt;="&amp;CM$6),0)</f>
        <v>0</v>
      </c>
      <c r="CN299" s="25">
        <f>IF('Lease Cycles'!$C$25&gt;0,COUNTIF('Lease Cycles'!$BG$25:$BM$25,"&lt;="&amp;CN$6),0)</f>
        <v>0</v>
      </c>
      <c r="CO299" s="25">
        <f>IF('Lease Cycles'!$C$25&gt;0,COUNTIF('Lease Cycles'!$BG$25:$BM$25,"&lt;="&amp;CO$6),0)</f>
        <v>0</v>
      </c>
      <c r="CP299" s="25">
        <f>IF('Lease Cycles'!$C$25&gt;0,COUNTIF('Lease Cycles'!$BG$25:$BM$25,"&lt;="&amp;CP$6),0)</f>
        <v>0</v>
      </c>
      <c r="CQ299" s="25">
        <f>IF('Lease Cycles'!$C$25&gt;0,COUNTIF('Lease Cycles'!$BG$25:$BM$25,"&lt;="&amp;CQ$6),0)</f>
        <v>0</v>
      </c>
      <c r="CR299" s="25">
        <f>IF('Lease Cycles'!$C$25&gt;0,COUNTIF('Lease Cycles'!$BG$25:$BM$25,"&lt;="&amp;CR$6),0)</f>
        <v>0</v>
      </c>
      <c r="CS299" s="25">
        <f>IF('Lease Cycles'!$C$25&gt;0,COUNTIF('Lease Cycles'!$BG$25:$BM$25,"&lt;="&amp;CS$6),0)</f>
        <v>0</v>
      </c>
      <c r="CT299" s="25">
        <f>IF('Lease Cycles'!$C$25&gt;0,COUNTIF('Lease Cycles'!$BG$25:$BM$25,"&lt;="&amp;CT$6),0)</f>
        <v>0</v>
      </c>
      <c r="CU299" s="25">
        <f>IF('Lease Cycles'!$C$25&gt;0,COUNTIF('Lease Cycles'!$BG$25:$BM$25,"&lt;="&amp;CU$6),0)</f>
        <v>0</v>
      </c>
      <c r="CV299" s="25">
        <f>IF('Lease Cycles'!$C$25&gt;0,COUNTIF('Lease Cycles'!$BG$25:$BM$25,"&lt;="&amp;CV$6),0)</f>
        <v>0</v>
      </c>
      <c r="CW299" s="25">
        <f>IF('Lease Cycles'!$C$25&gt;0,COUNTIF('Lease Cycles'!$BG$25:$BM$25,"&lt;="&amp;CW$6),0)</f>
        <v>0</v>
      </c>
      <c r="CX299" s="25">
        <f>IF('Lease Cycles'!$C$25&gt;0,COUNTIF('Lease Cycles'!$BG$25:$BM$25,"&lt;="&amp;CX$6),0)</f>
        <v>0</v>
      </c>
      <c r="CY299" s="25">
        <f>IF('Lease Cycles'!$C$25&gt;0,COUNTIF('Lease Cycles'!$BG$25:$BM$25,"&lt;="&amp;CY$6),0)</f>
        <v>0</v>
      </c>
      <c r="CZ299" s="25">
        <f>IF('Lease Cycles'!$C$25&gt;0,COUNTIF('Lease Cycles'!$BG$25:$BM$25,"&lt;="&amp;CZ$6),0)</f>
        <v>0</v>
      </c>
      <c r="DA299" s="25">
        <f>IF('Lease Cycles'!$C$25&gt;0,COUNTIF('Lease Cycles'!$BG$25:$BM$25,"&lt;="&amp;DA$6),0)</f>
        <v>0</v>
      </c>
      <c r="DB299" s="25">
        <f>IF('Lease Cycles'!$C$25&gt;0,COUNTIF('Lease Cycles'!$BG$25:$BM$25,"&lt;="&amp;DB$6),0)</f>
        <v>0</v>
      </c>
      <c r="DC299" s="25">
        <f>IF('Lease Cycles'!$C$25&gt;0,COUNTIF('Lease Cycles'!$BG$25:$BM$25,"&lt;="&amp;DC$6),0)</f>
        <v>0</v>
      </c>
      <c r="DD299" s="25">
        <f>IF('Lease Cycles'!$C$25&gt;0,COUNTIF('Lease Cycles'!$BG$25:$BM$25,"&lt;="&amp;DD$6),0)</f>
        <v>0</v>
      </c>
      <c r="DE299" s="25">
        <f>IF('Lease Cycles'!$C$25&gt;0,COUNTIF('Lease Cycles'!$BG$25:$BM$25,"&lt;="&amp;DE$6),0)</f>
        <v>0</v>
      </c>
      <c r="DF299" s="25">
        <f>IF('Lease Cycles'!$C$25&gt;0,COUNTIF('Lease Cycles'!$BG$25:$BM$25,"&lt;="&amp;DF$6),0)</f>
        <v>0</v>
      </c>
      <c r="DG299" s="25">
        <f>IF('Lease Cycles'!$C$25&gt;0,COUNTIF('Lease Cycles'!$BG$25:$BM$25,"&lt;="&amp;DG$6),0)</f>
        <v>0</v>
      </c>
      <c r="DH299" s="25">
        <f>IF('Lease Cycles'!$C$25&gt;0,COUNTIF('Lease Cycles'!$BG$25:$BM$25,"&lt;="&amp;DH$6),0)</f>
        <v>0</v>
      </c>
      <c r="DI299" s="25">
        <f>IF('Lease Cycles'!$C$25&gt;0,COUNTIF('Lease Cycles'!$BG$25:$BM$25,"&lt;="&amp;DI$6),0)</f>
        <v>0</v>
      </c>
      <c r="DJ299" s="25">
        <f>IF('Lease Cycles'!$C$25&gt;0,COUNTIF('Lease Cycles'!$BG$25:$BM$25,"&lt;="&amp;DJ$6),0)</f>
        <v>0</v>
      </c>
      <c r="DK299" s="25">
        <f>IF('Lease Cycles'!$C$25&gt;0,COUNTIF('Lease Cycles'!$BG$25:$BM$25,"&lt;="&amp;DK$6),0)</f>
        <v>0</v>
      </c>
      <c r="DL299" s="25">
        <f>IF('Lease Cycles'!$C$25&gt;0,COUNTIF('Lease Cycles'!$BG$25:$BM$25,"&lt;="&amp;DL$6),0)</f>
        <v>0</v>
      </c>
      <c r="DM299" s="25">
        <f>IF('Lease Cycles'!$C$25&gt;0,COUNTIF('Lease Cycles'!$BG$25:$BM$25,"&lt;="&amp;DM$6),0)</f>
        <v>0</v>
      </c>
      <c r="DN299" s="25">
        <f>IF('Lease Cycles'!$C$25&gt;0,COUNTIF('Lease Cycles'!$BG$25:$BM$25,"&lt;="&amp;DN$6),0)</f>
        <v>0</v>
      </c>
      <c r="DO299" s="25">
        <f>IF('Lease Cycles'!$C$25&gt;0,COUNTIF('Lease Cycles'!$BG$25:$BM$25,"&lt;="&amp;DO$6),0)</f>
        <v>0</v>
      </c>
      <c r="DP299" s="25">
        <f>IF('Lease Cycles'!$C$25&gt;0,COUNTIF('Lease Cycles'!$BG$25:$BM$25,"&lt;="&amp;DP$6),0)</f>
        <v>0</v>
      </c>
      <c r="DQ299" s="25">
        <f>IF('Lease Cycles'!$C$25&gt;0,COUNTIF('Lease Cycles'!$BG$25:$BM$25,"&lt;="&amp;DQ$6),0)</f>
        <v>0</v>
      </c>
      <c r="DR299" s="25">
        <f>IF('Lease Cycles'!$C$25&gt;0,COUNTIF('Lease Cycles'!$BG$25:$BM$25,"&lt;="&amp;DR$6),0)</f>
        <v>0</v>
      </c>
      <c r="DS299" s="25">
        <f>IF('Lease Cycles'!$C$25&gt;0,COUNTIF('Lease Cycles'!$BG$25:$BM$25,"&lt;="&amp;DS$6),0)</f>
        <v>0</v>
      </c>
      <c r="DT299" s="25">
        <f>IF('Lease Cycles'!$C$25&gt;0,COUNTIF('Lease Cycles'!$BG$25:$BM$25,"&lt;="&amp;DT$6),0)</f>
        <v>0</v>
      </c>
      <c r="DU299" s="25">
        <f>IF('Lease Cycles'!$C$25&gt;0,COUNTIF('Lease Cycles'!$BG$25:$BM$25,"&lt;="&amp;DU$6),0)</f>
        <v>0</v>
      </c>
      <c r="DV299" s="25">
        <f>IF('Lease Cycles'!$C$25&gt;0,COUNTIF('Lease Cycles'!$BG$25:$BM$25,"&lt;="&amp;DV$6),0)</f>
        <v>0</v>
      </c>
      <c r="DW299" s="25">
        <f>IF('Lease Cycles'!$C$25&gt;0,COUNTIF('Lease Cycles'!$BG$25:$BM$25,"&lt;="&amp;DW$6),0)</f>
        <v>0</v>
      </c>
      <c r="DX299" s="25">
        <f>IF('Lease Cycles'!$C$25&gt;0,COUNTIF('Lease Cycles'!$BG$25:$BM$25,"&lt;="&amp;DX$6),0)</f>
        <v>0</v>
      </c>
      <c r="DY299" s="25">
        <f>IF('Lease Cycles'!$C$25&gt;0,COUNTIF('Lease Cycles'!$BG$25:$BM$25,"&lt;="&amp;DY$6),0)</f>
        <v>0</v>
      </c>
      <c r="DZ299" s="25">
        <f>IF('Lease Cycles'!$C$25&gt;0,COUNTIF('Lease Cycles'!$BG$25:$BM$25,"&lt;="&amp;DZ$6),0)</f>
        <v>0</v>
      </c>
      <c r="EA299" s="25">
        <f>IF('Lease Cycles'!$C$25&gt;0,COUNTIF('Lease Cycles'!$BG$25:$BM$25,"&lt;="&amp;EA$6),0)</f>
        <v>0</v>
      </c>
      <c r="EB299" s="25">
        <f>IF('Lease Cycles'!$C$25&gt;0,COUNTIF('Lease Cycles'!$BG$25:$BM$25,"&lt;="&amp;EB$6),0)</f>
        <v>0</v>
      </c>
      <c r="EC299" s="25">
        <f>IF('Lease Cycles'!$C$25&gt;0,COUNTIF('Lease Cycles'!$BG$25:$BM$25,"&lt;="&amp;EC$6),0)</f>
        <v>0</v>
      </c>
      <c r="ED299" s="25">
        <f>IF('Lease Cycles'!$C$25&gt;0,COUNTIF('Lease Cycles'!$BG$25:$BM$25,"&lt;="&amp;ED$6),0)</f>
        <v>0</v>
      </c>
      <c r="EE299" s="25">
        <f>IF('Lease Cycles'!$C$25&gt;0,COUNTIF('Lease Cycles'!$BG$25:$BM$25,"&lt;="&amp;EE$6),0)</f>
        <v>0</v>
      </c>
      <c r="EF299" s="25">
        <f>IF('Lease Cycles'!$C$25&gt;0,COUNTIF('Lease Cycles'!$BG$25:$BM$25,"&lt;="&amp;EF$6),0)</f>
        <v>0</v>
      </c>
      <c r="EG299" s="25">
        <f>IF('Lease Cycles'!$C$25&gt;0,COUNTIF('Lease Cycles'!$BG$25:$BM$25,"&lt;="&amp;EG$6),0)</f>
        <v>0</v>
      </c>
      <c r="EH299" s="25">
        <f>IF('Lease Cycles'!$C$25&gt;0,COUNTIF('Lease Cycles'!$BG$25:$BM$25,"&lt;="&amp;EH$6),0)</f>
        <v>0</v>
      </c>
      <c r="EI299" s="25">
        <f>IF('Lease Cycles'!$C$25&gt;0,COUNTIF('Lease Cycles'!$BG$25:$BM$25,"&lt;="&amp;EI$6),0)</f>
        <v>0</v>
      </c>
      <c r="EJ299" s="25">
        <f>IF('Lease Cycles'!$C$25&gt;0,COUNTIF('Lease Cycles'!$BG$25:$BM$25,"&lt;="&amp;EJ$6),0)</f>
        <v>0</v>
      </c>
      <c r="EK299" s="25">
        <f>IF('Lease Cycles'!$C$25&gt;0,COUNTIF('Lease Cycles'!$BG$25:$BM$25,"&lt;="&amp;EK$6),0)</f>
        <v>0</v>
      </c>
      <c r="EL299" s="25">
        <f>IF('Lease Cycles'!$C$25&gt;0,COUNTIF('Lease Cycles'!$BG$25:$BM$25,"&lt;="&amp;EL$6),0)</f>
        <v>0</v>
      </c>
      <c r="EM299" s="25">
        <f>IF('Lease Cycles'!$C$25&gt;0,COUNTIF('Lease Cycles'!$BG$25:$BM$25,"&lt;="&amp;EM$6),0)</f>
        <v>0</v>
      </c>
      <c r="EN299" s="25">
        <f>IF('Lease Cycles'!$C$25&gt;0,COUNTIF('Lease Cycles'!$BG$25:$BM$25,"&lt;="&amp;EN$6),0)</f>
        <v>0</v>
      </c>
      <c r="EO299" s="25">
        <f>IF('Lease Cycles'!$C$25&gt;0,COUNTIF('Lease Cycles'!$BG$25:$BM$25,"&lt;="&amp;EO$6),0)</f>
        <v>0</v>
      </c>
      <c r="EP299" s="25">
        <f>IF('Lease Cycles'!$C$25&gt;0,COUNTIF('Lease Cycles'!$BG$25:$BM$25,"&lt;="&amp;EP$6),0)</f>
        <v>0</v>
      </c>
      <c r="EQ299" s="25">
        <f>IF('Lease Cycles'!$C$25&gt;0,COUNTIF('Lease Cycles'!$BG$25:$BM$25,"&lt;="&amp;EQ$6),0)</f>
        <v>0</v>
      </c>
      <c r="ER299" s="25">
        <f>IF('Lease Cycles'!$C$25&gt;0,COUNTIF('Lease Cycles'!$BG$25:$BM$25,"&lt;="&amp;ER$6),0)</f>
        <v>0</v>
      </c>
      <c r="ES299" s="25">
        <f>IF('Lease Cycles'!$C$25&gt;0,COUNTIF('Lease Cycles'!$BG$25:$BM$25,"&lt;="&amp;ES$6),0)</f>
        <v>0</v>
      </c>
      <c r="ET299" s="25">
        <f>IF('Lease Cycles'!$C$25&gt;0,COUNTIF('Lease Cycles'!$BG$25:$BM$25,"&lt;="&amp;ET$6),0)</f>
        <v>0</v>
      </c>
    </row>
    <row r="300">
      <c r="A300" s="103">
        <v>18</v>
      </c>
      <c r="B300" s="23" t="str">
        <f>IF('Lease Cycles'!$B$25="","(empty slot)",'Lease Cycles'!$B$25)</f>
        <v>(empty slot)</v>
      </c>
      <c r="C300" s="23" t="s">
        <v>673</v>
      </c>
      <c r="D300" s="104" t="s">
        <v>674</v>
      </c>
      <c r="E300" s="25">
        <f>'Lease Cycles'!$AL$25</f>
        <v>0</v>
      </c>
      <c r="S300" s="25">
        <f>IF(S299=0,-1,S$6-INDEX('Lease Cycles'!$BG$25:$BM$25,1,S299))</f>
        <v>-1</v>
      </c>
      <c r="T300" s="25">
        <f>IF(T299=0,-1,T$6-INDEX('Lease Cycles'!$BG$25:$BM$25,1,T299))</f>
        <v>-1</v>
      </c>
      <c r="U300" s="25">
        <f>IF(U299=0,-1,U$6-INDEX('Lease Cycles'!$BG$25:$BM$25,1,U299))</f>
        <v>-1</v>
      </c>
      <c r="V300" s="25">
        <f>IF(V299=0,-1,V$6-INDEX('Lease Cycles'!$BG$25:$BM$25,1,V299))</f>
        <v>-1</v>
      </c>
      <c r="W300" s="25">
        <f>IF(W299=0,-1,W$6-INDEX('Lease Cycles'!$BG$25:$BM$25,1,W299))</f>
        <v>-1</v>
      </c>
      <c r="X300" s="25">
        <f>IF(X299=0,-1,X$6-INDEX('Lease Cycles'!$BG$25:$BM$25,1,X299))</f>
        <v>-1</v>
      </c>
      <c r="Y300" s="25">
        <f>IF(Y299=0,-1,Y$6-INDEX('Lease Cycles'!$BG$25:$BM$25,1,Y299))</f>
        <v>-1</v>
      </c>
      <c r="Z300" s="25">
        <f>IF(Z299=0,-1,Z$6-INDEX('Lease Cycles'!$BG$25:$BM$25,1,Z299))</f>
        <v>-1</v>
      </c>
      <c r="AA300" s="25">
        <f>IF(AA299=0,-1,AA$6-INDEX('Lease Cycles'!$BG$25:$BM$25,1,AA299))</f>
        <v>-1</v>
      </c>
      <c r="AB300" s="25">
        <f>IF(AB299=0,-1,AB$6-INDEX('Lease Cycles'!$BG$25:$BM$25,1,AB299))</f>
        <v>-1</v>
      </c>
      <c r="AC300" s="25">
        <f>IF(AC299=0,-1,AC$6-INDEX('Lease Cycles'!$BG$25:$BM$25,1,AC299))</f>
        <v>-1</v>
      </c>
      <c r="AD300" s="25">
        <f>IF(AD299=0,-1,AD$6-INDEX('Lease Cycles'!$BG$25:$BM$25,1,AD299))</f>
        <v>-1</v>
      </c>
      <c r="AE300" s="25">
        <f>IF(AE299=0,-1,AE$6-INDEX('Lease Cycles'!$BG$25:$BM$25,1,AE299))</f>
        <v>-1</v>
      </c>
      <c r="AF300" s="25">
        <f>IF(AF299=0,-1,AF$6-INDEX('Lease Cycles'!$BG$25:$BM$25,1,AF299))</f>
        <v>-1</v>
      </c>
      <c r="AG300" s="25">
        <f>IF(AG299=0,-1,AG$6-INDEX('Lease Cycles'!$BG$25:$BM$25,1,AG299))</f>
        <v>-1</v>
      </c>
      <c r="AH300" s="25">
        <f>IF(AH299=0,-1,AH$6-INDEX('Lease Cycles'!$BG$25:$BM$25,1,AH299))</f>
        <v>-1</v>
      </c>
      <c r="AI300" s="25">
        <f>IF(AI299=0,-1,AI$6-INDEX('Lease Cycles'!$BG$25:$BM$25,1,AI299))</f>
        <v>-1</v>
      </c>
      <c r="AJ300" s="25">
        <f>IF(AJ299=0,-1,AJ$6-INDEX('Lease Cycles'!$BG$25:$BM$25,1,AJ299))</f>
        <v>-1</v>
      </c>
      <c r="AK300" s="25">
        <f>IF(AK299=0,-1,AK$6-INDEX('Lease Cycles'!$BG$25:$BM$25,1,AK299))</f>
        <v>-1</v>
      </c>
      <c r="AL300" s="25">
        <f>IF(AL299=0,-1,AL$6-INDEX('Lease Cycles'!$BG$25:$BM$25,1,AL299))</f>
        <v>-1</v>
      </c>
      <c r="AM300" s="25">
        <f>IF(AM299=0,-1,AM$6-INDEX('Lease Cycles'!$BG$25:$BM$25,1,AM299))</f>
        <v>-1</v>
      </c>
      <c r="AN300" s="25">
        <f>IF(AN299=0,-1,AN$6-INDEX('Lease Cycles'!$BG$25:$BM$25,1,AN299))</f>
        <v>-1</v>
      </c>
      <c r="AO300" s="25">
        <f>IF(AO299=0,-1,AO$6-INDEX('Lease Cycles'!$BG$25:$BM$25,1,AO299))</f>
        <v>-1</v>
      </c>
      <c r="AP300" s="25">
        <f>IF(AP299=0,-1,AP$6-INDEX('Lease Cycles'!$BG$25:$BM$25,1,AP299))</f>
        <v>-1</v>
      </c>
      <c r="AQ300" s="25">
        <f>IF(AQ299=0,-1,AQ$6-INDEX('Lease Cycles'!$BG$25:$BM$25,1,AQ299))</f>
        <v>-1</v>
      </c>
      <c r="AR300" s="25">
        <f>IF(AR299=0,-1,AR$6-INDEX('Lease Cycles'!$BG$25:$BM$25,1,AR299))</f>
        <v>-1</v>
      </c>
      <c r="AS300" s="25">
        <f>IF(AS299=0,-1,AS$6-INDEX('Lease Cycles'!$BG$25:$BM$25,1,AS299))</f>
        <v>-1</v>
      </c>
      <c r="AT300" s="25">
        <f>IF(AT299=0,-1,AT$6-INDEX('Lease Cycles'!$BG$25:$BM$25,1,AT299))</f>
        <v>-1</v>
      </c>
      <c r="AU300" s="25">
        <f>IF(AU299=0,-1,AU$6-INDEX('Lease Cycles'!$BG$25:$BM$25,1,AU299))</f>
        <v>-1</v>
      </c>
      <c r="AV300" s="25">
        <f>IF(AV299=0,-1,AV$6-INDEX('Lease Cycles'!$BG$25:$BM$25,1,AV299))</f>
        <v>-1</v>
      </c>
      <c r="AW300" s="25">
        <f>IF(AW299=0,-1,AW$6-INDEX('Lease Cycles'!$BG$25:$BM$25,1,AW299))</f>
        <v>-1</v>
      </c>
      <c r="AX300" s="25">
        <f>IF(AX299=0,-1,AX$6-INDEX('Lease Cycles'!$BG$25:$BM$25,1,AX299))</f>
        <v>-1</v>
      </c>
      <c r="AY300" s="25">
        <f>IF(AY299=0,-1,AY$6-INDEX('Lease Cycles'!$BG$25:$BM$25,1,AY299))</f>
        <v>-1</v>
      </c>
      <c r="AZ300" s="25">
        <f>IF(AZ299=0,-1,AZ$6-INDEX('Lease Cycles'!$BG$25:$BM$25,1,AZ299))</f>
        <v>-1</v>
      </c>
      <c r="BA300" s="25">
        <f>IF(BA299=0,-1,BA$6-INDEX('Lease Cycles'!$BG$25:$BM$25,1,BA299))</f>
        <v>-1</v>
      </c>
      <c r="BB300" s="25">
        <f>IF(BB299=0,-1,BB$6-INDEX('Lease Cycles'!$BG$25:$BM$25,1,BB299))</f>
        <v>-1</v>
      </c>
      <c r="BC300" s="25">
        <f>IF(BC299=0,-1,BC$6-INDEX('Lease Cycles'!$BG$25:$BM$25,1,BC299))</f>
        <v>-1</v>
      </c>
      <c r="BD300" s="25">
        <f>IF(BD299=0,-1,BD$6-INDEX('Lease Cycles'!$BG$25:$BM$25,1,BD299))</f>
        <v>-1</v>
      </c>
      <c r="BE300" s="25">
        <f>IF(BE299=0,-1,BE$6-INDEX('Lease Cycles'!$BG$25:$BM$25,1,BE299))</f>
        <v>-1</v>
      </c>
      <c r="BF300" s="25">
        <f>IF(BF299=0,-1,BF$6-INDEX('Lease Cycles'!$BG$25:$BM$25,1,BF299))</f>
        <v>-1</v>
      </c>
      <c r="BG300" s="25">
        <f>IF(BG299=0,-1,BG$6-INDEX('Lease Cycles'!$BG$25:$BM$25,1,BG299))</f>
        <v>-1</v>
      </c>
      <c r="BH300" s="25">
        <f>IF(BH299=0,-1,BH$6-INDEX('Lease Cycles'!$BG$25:$BM$25,1,BH299))</f>
        <v>-1</v>
      </c>
      <c r="BI300" s="25">
        <f>IF(BI299=0,-1,BI$6-INDEX('Lease Cycles'!$BG$25:$BM$25,1,BI299))</f>
        <v>-1</v>
      </c>
      <c r="BJ300" s="25">
        <f>IF(BJ299=0,-1,BJ$6-INDEX('Lease Cycles'!$BG$25:$BM$25,1,BJ299))</f>
        <v>-1</v>
      </c>
      <c r="BK300" s="25">
        <f>IF(BK299=0,-1,BK$6-INDEX('Lease Cycles'!$BG$25:$BM$25,1,BK299))</f>
        <v>-1</v>
      </c>
      <c r="BL300" s="25">
        <f>IF(BL299=0,-1,BL$6-INDEX('Lease Cycles'!$BG$25:$BM$25,1,BL299))</f>
        <v>-1</v>
      </c>
      <c r="BM300" s="25">
        <f>IF(BM299=0,-1,BM$6-INDEX('Lease Cycles'!$BG$25:$BM$25,1,BM299))</f>
        <v>-1</v>
      </c>
      <c r="BN300" s="25">
        <f>IF(BN299=0,-1,BN$6-INDEX('Lease Cycles'!$BG$25:$BM$25,1,BN299))</f>
        <v>-1</v>
      </c>
      <c r="BO300" s="25">
        <f>IF(BO299=0,-1,BO$6-INDEX('Lease Cycles'!$BG$25:$BM$25,1,BO299))</f>
        <v>-1</v>
      </c>
      <c r="BP300" s="25">
        <f>IF(BP299=0,-1,BP$6-INDEX('Lease Cycles'!$BG$25:$BM$25,1,BP299))</f>
        <v>-1</v>
      </c>
      <c r="BQ300" s="25">
        <f>IF(BQ299=0,-1,BQ$6-INDEX('Lease Cycles'!$BG$25:$BM$25,1,BQ299))</f>
        <v>-1</v>
      </c>
      <c r="BR300" s="25">
        <f>IF(BR299=0,-1,BR$6-INDEX('Lease Cycles'!$BG$25:$BM$25,1,BR299))</f>
        <v>-1</v>
      </c>
      <c r="BS300" s="25">
        <f>IF(BS299=0,-1,BS$6-INDEX('Lease Cycles'!$BG$25:$BM$25,1,BS299))</f>
        <v>-1</v>
      </c>
      <c r="BT300" s="25">
        <f>IF(BT299=0,-1,BT$6-INDEX('Lease Cycles'!$BG$25:$BM$25,1,BT299))</f>
        <v>-1</v>
      </c>
      <c r="BU300" s="25">
        <f>IF(BU299=0,-1,BU$6-INDEX('Lease Cycles'!$BG$25:$BM$25,1,BU299))</f>
        <v>-1</v>
      </c>
      <c r="BV300" s="25">
        <f>IF(BV299=0,-1,BV$6-INDEX('Lease Cycles'!$BG$25:$BM$25,1,BV299))</f>
        <v>-1</v>
      </c>
      <c r="BW300" s="25">
        <f>IF(BW299=0,-1,BW$6-INDEX('Lease Cycles'!$BG$25:$BM$25,1,BW299))</f>
        <v>-1</v>
      </c>
      <c r="BX300" s="25">
        <f>IF(BX299=0,-1,BX$6-INDEX('Lease Cycles'!$BG$25:$BM$25,1,BX299))</f>
        <v>-1</v>
      </c>
      <c r="BY300" s="25">
        <f>IF(BY299=0,-1,BY$6-INDEX('Lease Cycles'!$BG$25:$BM$25,1,BY299))</f>
        <v>-1</v>
      </c>
      <c r="BZ300" s="25">
        <f>IF(BZ299=0,-1,BZ$6-INDEX('Lease Cycles'!$BG$25:$BM$25,1,BZ299))</f>
        <v>-1</v>
      </c>
      <c r="CA300" s="25">
        <f>IF(CA299=0,-1,CA$6-INDEX('Lease Cycles'!$BG$25:$BM$25,1,CA299))</f>
        <v>-1</v>
      </c>
      <c r="CB300" s="25">
        <f>IF(CB299=0,-1,CB$6-INDEX('Lease Cycles'!$BG$25:$BM$25,1,CB299))</f>
        <v>-1</v>
      </c>
      <c r="CC300" s="25">
        <f>IF(CC299=0,-1,CC$6-INDEX('Lease Cycles'!$BG$25:$BM$25,1,CC299))</f>
        <v>-1</v>
      </c>
      <c r="CD300" s="25">
        <f>IF(CD299=0,-1,CD$6-INDEX('Lease Cycles'!$BG$25:$BM$25,1,CD299))</f>
        <v>-1</v>
      </c>
      <c r="CE300" s="25">
        <f>IF(CE299=0,-1,CE$6-INDEX('Lease Cycles'!$BG$25:$BM$25,1,CE299))</f>
        <v>-1</v>
      </c>
      <c r="CF300" s="25">
        <f>IF(CF299=0,-1,CF$6-INDEX('Lease Cycles'!$BG$25:$BM$25,1,CF299))</f>
        <v>-1</v>
      </c>
      <c r="CG300" s="25">
        <f>IF(CG299=0,-1,CG$6-INDEX('Lease Cycles'!$BG$25:$BM$25,1,CG299))</f>
        <v>-1</v>
      </c>
      <c r="CH300" s="25">
        <f>IF(CH299=0,-1,CH$6-INDEX('Lease Cycles'!$BG$25:$BM$25,1,CH299))</f>
        <v>-1</v>
      </c>
      <c r="CI300" s="25">
        <f>IF(CI299=0,-1,CI$6-INDEX('Lease Cycles'!$BG$25:$BM$25,1,CI299))</f>
        <v>-1</v>
      </c>
      <c r="CJ300" s="25">
        <f>IF(CJ299=0,-1,CJ$6-INDEX('Lease Cycles'!$BG$25:$BM$25,1,CJ299))</f>
        <v>-1</v>
      </c>
      <c r="CK300" s="25">
        <f>IF(CK299=0,-1,CK$6-INDEX('Lease Cycles'!$BG$25:$BM$25,1,CK299))</f>
        <v>-1</v>
      </c>
      <c r="CL300" s="25">
        <f>IF(CL299=0,-1,CL$6-INDEX('Lease Cycles'!$BG$25:$BM$25,1,CL299))</f>
        <v>-1</v>
      </c>
      <c r="CM300" s="25">
        <f>IF(CM299=0,-1,CM$6-INDEX('Lease Cycles'!$BG$25:$BM$25,1,CM299))</f>
        <v>-1</v>
      </c>
      <c r="CN300" s="25">
        <f>IF(CN299=0,-1,CN$6-INDEX('Lease Cycles'!$BG$25:$BM$25,1,CN299))</f>
        <v>-1</v>
      </c>
      <c r="CO300" s="25">
        <f>IF(CO299=0,-1,CO$6-INDEX('Lease Cycles'!$BG$25:$BM$25,1,CO299))</f>
        <v>-1</v>
      </c>
      <c r="CP300" s="25">
        <f>IF(CP299=0,-1,CP$6-INDEX('Lease Cycles'!$BG$25:$BM$25,1,CP299))</f>
        <v>-1</v>
      </c>
      <c r="CQ300" s="25">
        <f>IF(CQ299=0,-1,CQ$6-INDEX('Lease Cycles'!$BG$25:$BM$25,1,CQ299))</f>
        <v>-1</v>
      </c>
      <c r="CR300" s="25">
        <f>IF(CR299=0,-1,CR$6-INDEX('Lease Cycles'!$BG$25:$BM$25,1,CR299))</f>
        <v>-1</v>
      </c>
      <c r="CS300" s="25">
        <f>IF(CS299=0,-1,CS$6-INDEX('Lease Cycles'!$BG$25:$BM$25,1,CS299))</f>
        <v>-1</v>
      </c>
      <c r="CT300" s="25">
        <f>IF(CT299=0,-1,CT$6-INDEX('Lease Cycles'!$BG$25:$BM$25,1,CT299))</f>
        <v>-1</v>
      </c>
      <c r="CU300" s="25">
        <f>IF(CU299=0,-1,CU$6-INDEX('Lease Cycles'!$BG$25:$BM$25,1,CU299))</f>
        <v>-1</v>
      </c>
      <c r="CV300" s="25">
        <f>IF(CV299=0,-1,CV$6-INDEX('Lease Cycles'!$BG$25:$BM$25,1,CV299))</f>
        <v>-1</v>
      </c>
      <c r="CW300" s="25">
        <f>IF(CW299=0,-1,CW$6-INDEX('Lease Cycles'!$BG$25:$BM$25,1,CW299))</f>
        <v>-1</v>
      </c>
      <c r="CX300" s="25">
        <f>IF(CX299=0,-1,CX$6-INDEX('Lease Cycles'!$BG$25:$BM$25,1,CX299))</f>
        <v>-1</v>
      </c>
      <c r="CY300" s="25">
        <f>IF(CY299=0,-1,CY$6-INDEX('Lease Cycles'!$BG$25:$BM$25,1,CY299))</f>
        <v>-1</v>
      </c>
      <c r="CZ300" s="25">
        <f>IF(CZ299=0,-1,CZ$6-INDEX('Lease Cycles'!$BG$25:$BM$25,1,CZ299))</f>
        <v>-1</v>
      </c>
      <c r="DA300" s="25">
        <f>IF(DA299=0,-1,DA$6-INDEX('Lease Cycles'!$BG$25:$BM$25,1,DA299))</f>
        <v>-1</v>
      </c>
      <c r="DB300" s="25">
        <f>IF(DB299=0,-1,DB$6-INDEX('Lease Cycles'!$BG$25:$BM$25,1,DB299))</f>
        <v>-1</v>
      </c>
      <c r="DC300" s="25">
        <f>IF(DC299=0,-1,DC$6-INDEX('Lease Cycles'!$BG$25:$BM$25,1,DC299))</f>
        <v>-1</v>
      </c>
      <c r="DD300" s="25">
        <f>IF(DD299=0,-1,DD$6-INDEX('Lease Cycles'!$BG$25:$BM$25,1,DD299))</f>
        <v>-1</v>
      </c>
      <c r="DE300" s="25">
        <f>IF(DE299=0,-1,DE$6-INDEX('Lease Cycles'!$BG$25:$BM$25,1,DE299))</f>
        <v>-1</v>
      </c>
      <c r="DF300" s="25">
        <f>IF(DF299=0,-1,DF$6-INDEX('Lease Cycles'!$BG$25:$BM$25,1,DF299))</f>
        <v>-1</v>
      </c>
      <c r="DG300" s="25">
        <f>IF(DG299=0,-1,DG$6-INDEX('Lease Cycles'!$BG$25:$BM$25,1,DG299))</f>
        <v>-1</v>
      </c>
      <c r="DH300" s="25">
        <f>IF(DH299=0,-1,DH$6-INDEX('Lease Cycles'!$BG$25:$BM$25,1,DH299))</f>
        <v>-1</v>
      </c>
      <c r="DI300" s="25">
        <f>IF(DI299=0,-1,DI$6-INDEX('Lease Cycles'!$BG$25:$BM$25,1,DI299))</f>
        <v>-1</v>
      </c>
      <c r="DJ300" s="25">
        <f>IF(DJ299=0,-1,DJ$6-INDEX('Lease Cycles'!$BG$25:$BM$25,1,DJ299))</f>
        <v>-1</v>
      </c>
      <c r="DK300" s="25">
        <f>IF(DK299=0,-1,DK$6-INDEX('Lease Cycles'!$BG$25:$BM$25,1,DK299))</f>
        <v>-1</v>
      </c>
      <c r="DL300" s="25">
        <f>IF(DL299=0,-1,DL$6-INDEX('Lease Cycles'!$BG$25:$BM$25,1,DL299))</f>
        <v>-1</v>
      </c>
      <c r="DM300" s="25">
        <f>IF(DM299=0,-1,DM$6-INDEX('Lease Cycles'!$BG$25:$BM$25,1,DM299))</f>
        <v>-1</v>
      </c>
      <c r="DN300" s="25">
        <f>IF(DN299=0,-1,DN$6-INDEX('Lease Cycles'!$BG$25:$BM$25,1,DN299))</f>
        <v>-1</v>
      </c>
      <c r="DO300" s="25">
        <f>IF(DO299=0,-1,DO$6-INDEX('Lease Cycles'!$BG$25:$BM$25,1,DO299))</f>
        <v>-1</v>
      </c>
      <c r="DP300" s="25">
        <f>IF(DP299=0,-1,DP$6-INDEX('Lease Cycles'!$BG$25:$BM$25,1,DP299))</f>
        <v>-1</v>
      </c>
      <c r="DQ300" s="25">
        <f>IF(DQ299=0,-1,DQ$6-INDEX('Lease Cycles'!$BG$25:$BM$25,1,DQ299))</f>
        <v>-1</v>
      </c>
      <c r="DR300" s="25">
        <f>IF(DR299=0,-1,DR$6-INDEX('Lease Cycles'!$BG$25:$BM$25,1,DR299))</f>
        <v>-1</v>
      </c>
      <c r="DS300" s="25">
        <f>IF(DS299=0,-1,DS$6-INDEX('Lease Cycles'!$BG$25:$BM$25,1,DS299))</f>
        <v>-1</v>
      </c>
      <c r="DT300" s="25">
        <f>IF(DT299=0,-1,DT$6-INDEX('Lease Cycles'!$BG$25:$BM$25,1,DT299))</f>
        <v>-1</v>
      </c>
      <c r="DU300" s="25">
        <f>IF(DU299=0,-1,DU$6-INDEX('Lease Cycles'!$BG$25:$BM$25,1,DU299))</f>
        <v>-1</v>
      </c>
      <c r="DV300" s="25">
        <f>IF(DV299=0,-1,DV$6-INDEX('Lease Cycles'!$BG$25:$BM$25,1,DV299))</f>
        <v>-1</v>
      </c>
      <c r="DW300" s="25">
        <f>IF(DW299=0,-1,DW$6-INDEX('Lease Cycles'!$BG$25:$BM$25,1,DW299))</f>
        <v>-1</v>
      </c>
      <c r="DX300" s="25">
        <f>IF(DX299=0,-1,DX$6-INDEX('Lease Cycles'!$BG$25:$BM$25,1,DX299))</f>
        <v>-1</v>
      </c>
      <c r="DY300" s="25">
        <f>IF(DY299=0,-1,DY$6-INDEX('Lease Cycles'!$BG$25:$BM$25,1,DY299))</f>
        <v>-1</v>
      </c>
      <c r="DZ300" s="25">
        <f>IF(DZ299=0,-1,DZ$6-INDEX('Lease Cycles'!$BG$25:$BM$25,1,DZ299))</f>
        <v>-1</v>
      </c>
      <c r="EA300" s="25">
        <f>IF(EA299=0,-1,EA$6-INDEX('Lease Cycles'!$BG$25:$BM$25,1,EA299))</f>
        <v>-1</v>
      </c>
      <c r="EB300" s="25">
        <f>IF(EB299=0,-1,EB$6-INDEX('Lease Cycles'!$BG$25:$BM$25,1,EB299))</f>
        <v>-1</v>
      </c>
      <c r="EC300" s="25">
        <f>IF(EC299=0,-1,EC$6-INDEX('Lease Cycles'!$BG$25:$BM$25,1,EC299))</f>
        <v>-1</v>
      </c>
      <c r="ED300" s="25">
        <f>IF(ED299=0,-1,ED$6-INDEX('Lease Cycles'!$BG$25:$BM$25,1,ED299))</f>
        <v>-1</v>
      </c>
      <c r="EE300" s="25">
        <f>IF(EE299=0,-1,EE$6-INDEX('Lease Cycles'!$BG$25:$BM$25,1,EE299))</f>
        <v>-1</v>
      </c>
      <c r="EF300" s="25">
        <f>IF(EF299=0,-1,EF$6-INDEX('Lease Cycles'!$BG$25:$BM$25,1,EF299))</f>
        <v>-1</v>
      </c>
      <c r="EG300" s="25">
        <f>IF(EG299=0,-1,EG$6-INDEX('Lease Cycles'!$BG$25:$BM$25,1,EG299))</f>
        <v>-1</v>
      </c>
      <c r="EH300" s="25">
        <f>IF(EH299=0,-1,EH$6-INDEX('Lease Cycles'!$BG$25:$BM$25,1,EH299))</f>
        <v>-1</v>
      </c>
      <c r="EI300" s="25">
        <f>IF(EI299=0,-1,EI$6-INDEX('Lease Cycles'!$BG$25:$BM$25,1,EI299))</f>
        <v>-1</v>
      </c>
      <c r="EJ300" s="25">
        <f>IF(EJ299=0,-1,EJ$6-INDEX('Lease Cycles'!$BG$25:$BM$25,1,EJ299))</f>
        <v>-1</v>
      </c>
      <c r="EK300" s="25">
        <f>IF(EK299=0,-1,EK$6-INDEX('Lease Cycles'!$BG$25:$BM$25,1,EK299))</f>
        <v>-1</v>
      </c>
      <c r="EL300" s="25">
        <f>IF(EL299=0,-1,EL$6-INDEX('Lease Cycles'!$BG$25:$BM$25,1,EL299))</f>
        <v>-1</v>
      </c>
      <c r="EM300" s="25">
        <f>IF(EM299=0,-1,EM$6-INDEX('Lease Cycles'!$BG$25:$BM$25,1,EM299))</f>
        <v>-1</v>
      </c>
      <c r="EN300" s="25">
        <f>IF(EN299=0,-1,EN$6-INDEX('Lease Cycles'!$BG$25:$BM$25,1,EN299))</f>
        <v>-1</v>
      </c>
      <c r="EO300" s="25">
        <f>IF(EO299=0,-1,EO$6-INDEX('Lease Cycles'!$BG$25:$BM$25,1,EO299))</f>
        <v>-1</v>
      </c>
      <c r="EP300" s="25">
        <f>IF(EP299=0,-1,EP$6-INDEX('Lease Cycles'!$BG$25:$BM$25,1,EP299))</f>
        <v>-1</v>
      </c>
      <c r="EQ300" s="25">
        <f>IF(EQ299=0,-1,EQ$6-INDEX('Lease Cycles'!$BG$25:$BM$25,1,EQ299))</f>
        <v>-1</v>
      </c>
      <c r="ER300" s="25">
        <f>IF(ER299=0,-1,ER$6-INDEX('Lease Cycles'!$BG$25:$BM$25,1,ER299))</f>
        <v>-1</v>
      </c>
      <c r="ES300" s="25">
        <f>IF(ES299=0,-1,ES$6-INDEX('Lease Cycles'!$BG$25:$BM$25,1,ES299))</f>
        <v>-1</v>
      </c>
      <c r="ET300" s="25">
        <f>IF(ET299=0,-1,ET$6-INDEX('Lease Cycles'!$BG$25:$BM$25,1,ET299))</f>
        <v>-1</v>
      </c>
    </row>
    <row r="301">
      <c r="A301" s="103">
        <v>18</v>
      </c>
      <c r="B301" s="23" t="str">
        <f>IF('Lease Cycles'!$B$25="","(empty slot)",'Lease Cycles'!$B$25)</f>
        <v>(empty slot)</v>
      </c>
      <c r="C301" s="23" t="s">
        <v>675</v>
      </c>
      <c r="D301" s="104" t="s">
        <v>676</v>
      </c>
      <c r="E301" s="25">
        <f>'Lease Cycles'!$AL$25</f>
        <v>0</v>
      </c>
      <c r="S301" s="25">
        <f>IF(S299=0,0,IF(S300&lt;INDEX('Lease Cycles'!$BN$25:$BT$25,1,S299),1,0))</f>
        <v>0</v>
      </c>
      <c r="T301" s="25">
        <f>IF(T299=0,0,IF(T300&lt;INDEX('Lease Cycles'!$BN$25:$BT$25,1,T299),1,0))</f>
        <v>0</v>
      </c>
      <c r="U301" s="25">
        <f>IF(U299=0,0,IF(U300&lt;INDEX('Lease Cycles'!$BN$25:$BT$25,1,U299),1,0))</f>
        <v>0</v>
      </c>
      <c r="V301" s="25">
        <f>IF(V299=0,0,IF(V300&lt;INDEX('Lease Cycles'!$BN$25:$BT$25,1,V299),1,0))</f>
        <v>0</v>
      </c>
      <c r="W301" s="25">
        <f>IF(W299=0,0,IF(W300&lt;INDEX('Lease Cycles'!$BN$25:$BT$25,1,W299),1,0))</f>
        <v>0</v>
      </c>
      <c r="X301" s="25">
        <f>IF(X299=0,0,IF(X300&lt;INDEX('Lease Cycles'!$BN$25:$BT$25,1,X299),1,0))</f>
        <v>0</v>
      </c>
      <c r="Y301" s="25">
        <f>IF(Y299=0,0,IF(Y300&lt;INDEX('Lease Cycles'!$BN$25:$BT$25,1,Y299),1,0))</f>
        <v>0</v>
      </c>
      <c r="Z301" s="25">
        <f>IF(Z299=0,0,IF(Z300&lt;INDEX('Lease Cycles'!$BN$25:$BT$25,1,Z299),1,0))</f>
        <v>0</v>
      </c>
      <c r="AA301" s="25">
        <f>IF(AA299=0,0,IF(AA300&lt;INDEX('Lease Cycles'!$BN$25:$BT$25,1,AA299),1,0))</f>
        <v>0</v>
      </c>
      <c r="AB301" s="25">
        <f>IF(AB299=0,0,IF(AB300&lt;INDEX('Lease Cycles'!$BN$25:$BT$25,1,AB299),1,0))</f>
        <v>0</v>
      </c>
      <c r="AC301" s="25">
        <f>IF(AC299=0,0,IF(AC300&lt;INDEX('Lease Cycles'!$BN$25:$BT$25,1,AC299),1,0))</f>
        <v>0</v>
      </c>
      <c r="AD301" s="25">
        <f>IF(AD299=0,0,IF(AD300&lt;INDEX('Lease Cycles'!$BN$25:$BT$25,1,AD299),1,0))</f>
        <v>0</v>
      </c>
      <c r="AE301" s="25">
        <f>IF(AE299=0,0,IF(AE300&lt;INDEX('Lease Cycles'!$BN$25:$BT$25,1,AE299),1,0))</f>
        <v>0</v>
      </c>
      <c r="AF301" s="25">
        <f>IF(AF299=0,0,IF(AF300&lt;INDEX('Lease Cycles'!$BN$25:$BT$25,1,AF299),1,0))</f>
        <v>0</v>
      </c>
      <c r="AG301" s="25">
        <f>IF(AG299=0,0,IF(AG300&lt;INDEX('Lease Cycles'!$BN$25:$BT$25,1,AG299),1,0))</f>
        <v>0</v>
      </c>
      <c r="AH301" s="25">
        <f>IF(AH299=0,0,IF(AH300&lt;INDEX('Lease Cycles'!$BN$25:$BT$25,1,AH299),1,0))</f>
        <v>0</v>
      </c>
      <c r="AI301" s="25">
        <f>IF(AI299=0,0,IF(AI300&lt;INDEX('Lease Cycles'!$BN$25:$BT$25,1,AI299),1,0))</f>
        <v>0</v>
      </c>
      <c r="AJ301" s="25">
        <f>IF(AJ299=0,0,IF(AJ300&lt;INDEX('Lease Cycles'!$BN$25:$BT$25,1,AJ299),1,0))</f>
        <v>0</v>
      </c>
      <c r="AK301" s="25">
        <f>IF(AK299=0,0,IF(AK300&lt;INDEX('Lease Cycles'!$BN$25:$BT$25,1,AK299),1,0))</f>
        <v>0</v>
      </c>
      <c r="AL301" s="25">
        <f>IF(AL299=0,0,IF(AL300&lt;INDEX('Lease Cycles'!$BN$25:$BT$25,1,AL299),1,0))</f>
        <v>0</v>
      </c>
      <c r="AM301" s="25">
        <f>IF(AM299=0,0,IF(AM300&lt;INDEX('Lease Cycles'!$BN$25:$BT$25,1,AM299),1,0))</f>
        <v>0</v>
      </c>
      <c r="AN301" s="25">
        <f>IF(AN299=0,0,IF(AN300&lt;INDEX('Lease Cycles'!$BN$25:$BT$25,1,AN299),1,0))</f>
        <v>0</v>
      </c>
      <c r="AO301" s="25">
        <f>IF(AO299=0,0,IF(AO300&lt;INDEX('Lease Cycles'!$BN$25:$BT$25,1,AO299),1,0))</f>
        <v>0</v>
      </c>
      <c r="AP301" s="25">
        <f>IF(AP299=0,0,IF(AP300&lt;INDEX('Lease Cycles'!$BN$25:$BT$25,1,AP299),1,0))</f>
        <v>0</v>
      </c>
      <c r="AQ301" s="25">
        <f>IF(AQ299=0,0,IF(AQ300&lt;INDEX('Lease Cycles'!$BN$25:$BT$25,1,AQ299),1,0))</f>
        <v>0</v>
      </c>
      <c r="AR301" s="25">
        <f>IF(AR299=0,0,IF(AR300&lt;INDEX('Lease Cycles'!$BN$25:$BT$25,1,AR299),1,0))</f>
        <v>0</v>
      </c>
      <c r="AS301" s="25">
        <f>IF(AS299=0,0,IF(AS300&lt;INDEX('Lease Cycles'!$BN$25:$BT$25,1,AS299),1,0))</f>
        <v>0</v>
      </c>
      <c r="AT301" s="25">
        <f>IF(AT299=0,0,IF(AT300&lt;INDEX('Lease Cycles'!$BN$25:$BT$25,1,AT299),1,0))</f>
        <v>0</v>
      </c>
      <c r="AU301" s="25">
        <f>IF(AU299=0,0,IF(AU300&lt;INDEX('Lease Cycles'!$BN$25:$BT$25,1,AU299),1,0))</f>
        <v>0</v>
      </c>
      <c r="AV301" s="25">
        <f>IF(AV299=0,0,IF(AV300&lt;INDEX('Lease Cycles'!$BN$25:$BT$25,1,AV299),1,0))</f>
        <v>0</v>
      </c>
      <c r="AW301" s="25">
        <f>IF(AW299=0,0,IF(AW300&lt;INDEX('Lease Cycles'!$BN$25:$BT$25,1,AW299),1,0))</f>
        <v>0</v>
      </c>
      <c r="AX301" s="25">
        <f>IF(AX299=0,0,IF(AX300&lt;INDEX('Lease Cycles'!$BN$25:$BT$25,1,AX299),1,0))</f>
        <v>0</v>
      </c>
      <c r="AY301" s="25">
        <f>IF(AY299=0,0,IF(AY300&lt;INDEX('Lease Cycles'!$BN$25:$BT$25,1,AY299),1,0))</f>
        <v>0</v>
      </c>
      <c r="AZ301" s="25">
        <f>IF(AZ299=0,0,IF(AZ300&lt;INDEX('Lease Cycles'!$BN$25:$BT$25,1,AZ299),1,0))</f>
        <v>0</v>
      </c>
      <c r="BA301" s="25">
        <f>IF(BA299=0,0,IF(BA300&lt;INDEX('Lease Cycles'!$BN$25:$BT$25,1,BA299),1,0))</f>
        <v>0</v>
      </c>
      <c r="BB301" s="25">
        <f>IF(BB299=0,0,IF(BB300&lt;INDEX('Lease Cycles'!$BN$25:$BT$25,1,BB299),1,0))</f>
        <v>0</v>
      </c>
      <c r="BC301" s="25">
        <f>IF(BC299=0,0,IF(BC300&lt;INDEX('Lease Cycles'!$BN$25:$BT$25,1,BC299),1,0))</f>
        <v>0</v>
      </c>
      <c r="BD301" s="25">
        <f>IF(BD299=0,0,IF(BD300&lt;INDEX('Lease Cycles'!$BN$25:$BT$25,1,BD299),1,0))</f>
        <v>0</v>
      </c>
      <c r="BE301" s="25">
        <f>IF(BE299=0,0,IF(BE300&lt;INDEX('Lease Cycles'!$BN$25:$BT$25,1,BE299),1,0))</f>
        <v>0</v>
      </c>
      <c r="BF301" s="25">
        <f>IF(BF299=0,0,IF(BF300&lt;INDEX('Lease Cycles'!$BN$25:$BT$25,1,BF299),1,0))</f>
        <v>0</v>
      </c>
      <c r="BG301" s="25">
        <f>IF(BG299=0,0,IF(BG300&lt;INDEX('Lease Cycles'!$BN$25:$BT$25,1,BG299),1,0))</f>
        <v>0</v>
      </c>
      <c r="BH301" s="25">
        <f>IF(BH299=0,0,IF(BH300&lt;INDEX('Lease Cycles'!$BN$25:$BT$25,1,BH299),1,0))</f>
        <v>0</v>
      </c>
      <c r="BI301" s="25">
        <f>IF(BI299=0,0,IF(BI300&lt;INDEX('Lease Cycles'!$BN$25:$BT$25,1,BI299),1,0))</f>
        <v>0</v>
      </c>
      <c r="BJ301" s="25">
        <f>IF(BJ299=0,0,IF(BJ300&lt;INDEX('Lease Cycles'!$BN$25:$BT$25,1,BJ299),1,0))</f>
        <v>0</v>
      </c>
      <c r="BK301" s="25">
        <f>IF(BK299=0,0,IF(BK300&lt;INDEX('Lease Cycles'!$BN$25:$BT$25,1,BK299),1,0))</f>
        <v>0</v>
      </c>
      <c r="BL301" s="25">
        <f>IF(BL299=0,0,IF(BL300&lt;INDEX('Lease Cycles'!$BN$25:$BT$25,1,BL299),1,0))</f>
        <v>0</v>
      </c>
      <c r="BM301" s="25">
        <f>IF(BM299=0,0,IF(BM300&lt;INDEX('Lease Cycles'!$BN$25:$BT$25,1,BM299),1,0))</f>
        <v>0</v>
      </c>
      <c r="BN301" s="25">
        <f>IF(BN299=0,0,IF(BN300&lt;INDEX('Lease Cycles'!$BN$25:$BT$25,1,BN299),1,0))</f>
        <v>0</v>
      </c>
      <c r="BO301" s="25">
        <f>IF(BO299=0,0,IF(BO300&lt;INDEX('Lease Cycles'!$BN$25:$BT$25,1,BO299),1,0))</f>
        <v>0</v>
      </c>
      <c r="BP301" s="25">
        <f>IF(BP299=0,0,IF(BP300&lt;INDEX('Lease Cycles'!$BN$25:$BT$25,1,BP299),1,0))</f>
        <v>0</v>
      </c>
      <c r="BQ301" s="25">
        <f>IF(BQ299=0,0,IF(BQ300&lt;INDEX('Lease Cycles'!$BN$25:$BT$25,1,BQ299),1,0))</f>
        <v>0</v>
      </c>
      <c r="BR301" s="25">
        <f>IF(BR299=0,0,IF(BR300&lt;INDEX('Lease Cycles'!$BN$25:$BT$25,1,BR299),1,0))</f>
        <v>0</v>
      </c>
      <c r="BS301" s="25">
        <f>IF(BS299=0,0,IF(BS300&lt;INDEX('Lease Cycles'!$BN$25:$BT$25,1,BS299),1,0))</f>
        <v>0</v>
      </c>
      <c r="BT301" s="25">
        <f>IF(BT299=0,0,IF(BT300&lt;INDEX('Lease Cycles'!$BN$25:$BT$25,1,BT299),1,0))</f>
        <v>0</v>
      </c>
      <c r="BU301" s="25">
        <f>IF(BU299=0,0,IF(BU300&lt;INDEX('Lease Cycles'!$BN$25:$BT$25,1,BU299),1,0))</f>
        <v>0</v>
      </c>
      <c r="BV301" s="25">
        <f>IF(BV299=0,0,IF(BV300&lt;INDEX('Lease Cycles'!$BN$25:$BT$25,1,BV299),1,0))</f>
        <v>0</v>
      </c>
      <c r="BW301" s="25">
        <f>IF(BW299=0,0,IF(BW300&lt;INDEX('Lease Cycles'!$BN$25:$BT$25,1,BW299),1,0))</f>
        <v>0</v>
      </c>
      <c r="BX301" s="25">
        <f>IF(BX299=0,0,IF(BX300&lt;INDEX('Lease Cycles'!$BN$25:$BT$25,1,BX299),1,0))</f>
        <v>0</v>
      </c>
      <c r="BY301" s="25">
        <f>IF(BY299=0,0,IF(BY300&lt;INDEX('Lease Cycles'!$BN$25:$BT$25,1,BY299),1,0))</f>
        <v>0</v>
      </c>
      <c r="BZ301" s="25">
        <f>IF(BZ299=0,0,IF(BZ300&lt;INDEX('Lease Cycles'!$BN$25:$BT$25,1,BZ299),1,0))</f>
        <v>0</v>
      </c>
      <c r="CA301" s="25">
        <f>IF(CA299=0,0,IF(CA300&lt;INDEX('Lease Cycles'!$BN$25:$BT$25,1,CA299),1,0))</f>
        <v>0</v>
      </c>
      <c r="CB301" s="25">
        <f>IF(CB299=0,0,IF(CB300&lt;INDEX('Lease Cycles'!$BN$25:$BT$25,1,CB299),1,0))</f>
        <v>0</v>
      </c>
      <c r="CC301" s="25">
        <f>IF(CC299=0,0,IF(CC300&lt;INDEX('Lease Cycles'!$BN$25:$BT$25,1,CC299),1,0))</f>
        <v>0</v>
      </c>
      <c r="CD301" s="25">
        <f>IF(CD299=0,0,IF(CD300&lt;INDEX('Lease Cycles'!$BN$25:$BT$25,1,CD299),1,0))</f>
        <v>0</v>
      </c>
      <c r="CE301" s="25">
        <f>IF(CE299=0,0,IF(CE300&lt;INDEX('Lease Cycles'!$BN$25:$BT$25,1,CE299),1,0))</f>
        <v>0</v>
      </c>
      <c r="CF301" s="25">
        <f>IF(CF299=0,0,IF(CF300&lt;INDEX('Lease Cycles'!$BN$25:$BT$25,1,CF299),1,0))</f>
        <v>0</v>
      </c>
      <c r="CG301" s="25">
        <f>IF(CG299=0,0,IF(CG300&lt;INDEX('Lease Cycles'!$BN$25:$BT$25,1,CG299),1,0))</f>
        <v>0</v>
      </c>
      <c r="CH301" s="25">
        <f>IF(CH299=0,0,IF(CH300&lt;INDEX('Lease Cycles'!$BN$25:$BT$25,1,CH299),1,0))</f>
        <v>0</v>
      </c>
      <c r="CI301" s="25">
        <f>IF(CI299=0,0,IF(CI300&lt;INDEX('Lease Cycles'!$BN$25:$BT$25,1,CI299),1,0))</f>
        <v>0</v>
      </c>
      <c r="CJ301" s="25">
        <f>IF(CJ299=0,0,IF(CJ300&lt;INDEX('Lease Cycles'!$BN$25:$BT$25,1,CJ299),1,0))</f>
        <v>0</v>
      </c>
      <c r="CK301" s="25">
        <f>IF(CK299=0,0,IF(CK300&lt;INDEX('Lease Cycles'!$BN$25:$BT$25,1,CK299),1,0))</f>
        <v>0</v>
      </c>
      <c r="CL301" s="25">
        <f>IF(CL299=0,0,IF(CL300&lt;INDEX('Lease Cycles'!$BN$25:$BT$25,1,CL299),1,0))</f>
        <v>0</v>
      </c>
      <c r="CM301" s="25">
        <f>IF(CM299=0,0,IF(CM300&lt;INDEX('Lease Cycles'!$BN$25:$BT$25,1,CM299),1,0))</f>
        <v>0</v>
      </c>
      <c r="CN301" s="25">
        <f>IF(CN299=0,0,IF(CN300&lt;INDEX('Lease Cycles'!$BN$25:$BT$25,1,CN299),1,0))</f>
        <v>0</v>
      </c>
      <c r="CO301" s="25">
        <f>IF(CO299=0,0,IF(CO300&lt;INDEX('Lease Cycles'!$BN$25:$BT$25,1,CO299),1,0))</f>
        <v>0</v>
      </c>
      <c r="CP301" s="25">
        <f>IF(CP299=0,0,IF(CP300&lt;INDEX('Lease Cycles'!$BN$25:$BT$25,1,CP299),1,0))</f>
        <v>0</v>
      </c>
      <c r="CQ301" s="25">
        <f>IF(CQ299=0,0,IF(CQ300&lt;INDEX('Lease Cycles'!$BN$25:$BT$25,1,CQ299),1,0))</f>
        <v>0</v>
      </c>
      <c r="CR301" s="25">
        <f>IF(CR299=0,0,IF(CR300&lt;INDEX('Lease Cycles'!$BN$25:$BT$25,1,CR299),1,0))</f>
        <v>0</v>
      </c>
      <c r="CS301" s="25">
        <f>IF(CS299=0,0,IF(CS300&lt;INDEX('Lease Cycles'!$BN$25:$BT$25,1,CS299),1,0))</f>
        <v>0</v>
      </c>
      <c r="CT301" s="25">
        <f>IF(CT299=0,0,IF(CT300&lt;INDEX('Lease Cycles'!$BN$25:$BT$25,1,CT299),1,0))</f>
        <v>0</v>
      </c>
      <c r="CU301" s="25">
        <f>IF(CU299=0,0,IF(CU300&lt;INDEX('Lease Cycles'!$BN$25:$BT$25,1,CU299),1,0))</f>
        <v>0</v>
      </c>
      <c r="CV301" s="25">
        <f>IF(CV299=0,0,IF(CV300&lt;INDEX('Lease Cycles'!$BN$25:$BT$25,1,CV299),1,0))</f>
        <v>0</v>
      </c>
      <c r="CW301" s="25">
        <f>IF(CW299=0,0,IF(CW300&lt;INDEX('Lease Cycles'!$BN$25:$BT$25,1,CW299),1,0))</f>
        <v>0</v>
      </c>
      <c r="CX301" s="25">
        <f>IF(CX299=0,0,IF(CX300&lt;INDEX('Lease Cycles'!$BN$25:$BT$25,1,CX299),1,0))</f>
        <v>0</v>
      </c>
      <c r="CY301" s="25">
        <f>IF(CY299=0,0,IF(CY300&lt;INDEX('Lease Cycles'!$BN$25:$BT$25,1,CY299),1,0))</f>
        <v>0</v>
      </c>
      <c r="CZ301" s="25">
        <f>IF(CZ299=0,0,IF(CZ300&lt;INDEX('Lease Cycles'!$BN$25:$BT$25,1,CZ299),1,0))</f>
        <v>0</v>
      </c>
      <c r="DA301" s="25">
        <f>IF(DA299=0,0,IF(DA300&lt;INDEX('Lease Cycles'!$BN$25:$BT$25,1,DA299),1,0))</f>
        <v>0</v>
      </c>
      <c r="DB301" s="25">
        <f>IF(DB299=0,0,IF(DB300&lt;INDEX('Lease Cycles'!$BN$25:$BT$25,1,DB299),1,0))</f>
        <v>0</v>
      </c>
      <c r="DC301" s="25">
        <f>IF(DC299=0,0,IF(DC300&lt;INDEX('Lease Cycles'!$BN$25:$BT$25,1,DC299),1,0))</f>
        <v>0</v>
      </c>
      <c r="DD301" s="25">
        <f>IF(DD299=0,0,IF(DD300&lt;INDEX('Lease Cycles'!$BN$25:$BT$25,1,DD299),1,0))</f>
        <v>0</v>
      </c>
      <c r="DE301" s="25">
        <f>IF(DE299=0,0,IF(DE300&lt;INDEX('Lease Cycles'!$BN$25:$BT$25,1,DE299),1,0))</f>
        <v>0</v>
      </c>
      <c r="DF301" s="25">
        <f>IF(DF299=0,0,IF(DF300&lt;INDEX('Lease Cycles'!$BN$25:$BT$25,1,DF299),1,0))</f>
        <v>0</v>
      </c>
      <c r="DG301" s="25">
        <f>IF(DG299=0,0,IF(DG300&lt;INDEX('Lease Cycles'!$BN$25:$BT$25,1,DG299),1,0))</f>
        <v>0</v>
      </c>
      <c r="DH301" s="25">
        <f>IF(DH299=0,0,IF(DH300&lt;INDEX('Lease Cycles'!$BN$25:$BT$25,1,DH299),1,0))</f>
        <v>0</v>
      </c>
      <c r="DI301" s="25">
        <f>IF(DI299=0,0,IF(DI300&lt;INDEX('Lease Cycles'!$BN$25:$BT$25,1,DI299),1,0))</f>
        <v>0</v>
      </c>
      <c r="DJ301" s="25">
        <f>IF(DJ299=0,0,IF(DJ300&lt;INDEX('Lease Cycles'!$BN$25:$BT$25,1,DJ299),1,0))</f>
        <v>0</v>
      </c>
      <c r="DK301" s="25">
        <f>IF(DK299=0,0,IF(DK300&lt;INDEX('Lease Cycles'!$BN$25:$BT$25,1,DK299),1,0))</f>
        <v>0</v>
      </c>
      <c r="DL301" s="25">
        <f>IF(DL299=0,0,IF(DL300&lt;INDEX('Lease Cycles'!$BN$25:$BT$25,1,DL299),1,0))</f>
        <v>0</v>
      </c>
      <c r="DM301" s="25">
        <f>IF(DM299=0,0,IF(DM300&lt;INDEX('Lease Cycles'!$BN$25:$BT$25,1,DM299),1,0))</f>
        <v>0</v>
      </c>
      <c r="DN301" s="25">
        <f>IF(DN299=0,0,IF(DN300&lt;INDEX('Lease Cycles'!$BN$25:$BT$25,1,DN299),1,0))</f>
        <v>0</v>
      </c>
      <c r="DO301" s="25">
        <f>IF(DO299=0,0,IF(DO300&lt;INDEX('Lease Cycles'!$BN$25:$BT$25,1,DO299),1,0))</f>
        <v>0</v>
      </c>
      <c r="DP301" s="25">
        <f>IF(DP299=0,0,IF(DP300&lt;INDEX('Lease Cycles'!$BN$25:$BT$25,1,DP299),1,0))</f>
        <v>0</v>
      </c>
      <c r="DQ301" s="25">
        <f>IF(DQ299=0,0,IF(DQ300&lt;INDEX('Lease Cycles'!$BN$25:$BT$25,1,DQ299),1,0))</f>
        <v>0</v>
      </c>
      <c r="DR301" s="25">
        <f>IF(DR299=0,0,IF(DR300&lt;INDEX('Lease Cycles'!$BN$25:$BT$25,1,DR299),1,0))</f>
        <v>0</v>
      </c>
      <c r="DS301" s="25">
        <f>IF(DS299=0,0,IF(DS300&lt;INDEX('Lease Cycles'!$BN$25:$BT$25,1,DS299),1,0))</f>
        <v>0</v>
      </c>
      <c r="DT301" s="25">
        <f>IF(DT299=0,0,IF(DT300&lt;INDEX('Lease Cycles'!$BN$25:$BT$25,1,DT299),1,0))</f>
        <v>0</v>
      </c>
      <c r="DU301" s="25">
        <f>IF(DU299=0,0,IF(DU300&lt;INDEX('Lease Cycles'!$BN$25:$BT$25,1,DU299),1,0))</f>
        <v>0</v>
      </c>
      <c r="DV301" s="25">
        <f>IF(DV299=0,0,IF(DV300&lt;INDEX('Lease Cycles'!$BN$25:$BT$25,1,DV299),1,0))</f>
        <v>0</v>
      </c>
      <c r="DW301" s="25">
        <f>IF(DW299=0,0,IF(DW300&lt;INDEX('Lease Cycles'!$BN$25:$BT$25,1,DW299),1,0))</f>
        <v>0</v>
      </c>
      <c r="DX301" s="25">
        <f>IF(DX299=0,0,IF(DX300&lt;INDEX('Lease Cycles'!$BN$25:$BT$25,1,DX299),1,0))</f>
        <v>0</v>
      </c>
      <c r="DY301" s="25">
        <f>IF(DY299=0,0,IF(DY300&lt;INDEX('Lease Cycles'!$BN$25:$BT$25,1,DY299),1,0))</f>
        <v>0</v>
      </c>
      <c r="DZ301" s="25">
        <f>IF(DZ299=0,0,IF(DZ300&lt;INDEX('Lease Cycles'!$BN$25:$BT$25,1,DZ299),1,0))</f>
        <v>0</v>
      </c>
      <c r="EA301" s="25">
        <f>IF(EA299=0,0,IF(EA300&lt;INDEX('Lease Cycles'!$BN$25:$BT$25,1,EA299),1,0))</f>
        <v>0</v>
      </c>
      <c r="EB301" s="25">
        <f>IF(EB299=0,0,IF(EB300&lt;INDEX('Lease Cycles'!$BN$25:$BT$25,1,EB299),1,0))</f>
        <v>0</v>
      </c>
      <c r="EC301" s="25">
        <f>IF(EC299=0,0,IF(EC300&lt;INDEX('Lease Cycles'!$BN$25:$BT$25,1,EC299),1,0))</f>
        <v>0</v>
      </c>
      <c r="ED301" s="25">
        <f>IF(ED299=0,0,IF(ED300&lt;INDEX('Lease Cycles'!$BN$25:$BT$25,1,ED299),1,0))</f>
        <v>0</v>
      </c>
      <c r="EE301" s="25">
        <f>IF(EE299=0,0,IF(EE300&lt;INDEX('Lease Cycles'!$BN$25:$BT$25,1,EE299),1,0))</f>
        <v>0</v>
      </c>
      <c r="EF301" s="25">
        <f>IF(EF299=0,0,IF(EF300&lt;INDEX('Lease Cycles'!$BN$25:$BT$25,1,EF299),1,0))</f>
        <v>0</v>
      </c>
      <c r="EG301" s="25">
        <f>IF(EG299=0,0,IF(EG300&lt;INDEX('Lease Cycles'!$BN$25:$BT$25,1,EG299),1,0))</f>
        <v>0</v>
      </c>
      <c r="EH301" s="25">
        <f>IF(EH299=0,0,IF(EH300&lt;INDEX('Lease Cycles'!$BN$25:$BT$25,1,EH299),1,0))</f>
        <v>0</v>
      </c>
      <c r="EI301" s="25">
        <f>IF(EI299=0,0,IF(EI300&lt;INDEX('Lease Cycles'!$BN$25:$BT$25,1,EI299),1,0))</f>
        <v>0</v>
      </c>
      <c r="EJ301" s="25">
        <f>IF(EJ299=0,0,IF(EJ300&lt;INDEX('Lease Cycles'!$BN$25:$BT$25,1,EJ299),1,0))</f>
        <v>0</v>
      </c>
      <c r="EK301" s="25">
        <f>IF(EK299=0,0,IF(EK300&lt;INDEX('Lease Cycles'!$BN$25:$BT$25,1,EK299),1,0))</f>
        <v>0</v>
      </c>
      <c r="EL301" s="25">
        <f>IF(EL299=0,0,IF(EL300&lt;INDEX('Lease Cycles'!$BN$25:$BT$25,1,EL299),1,0))</f>
        <v>0</v>
      </c>
      <c r="EM301" s="25">
        <f>IF(EM299=0,0,IF(EM300&lt;INDEX('Lease Cycles'!$BN$25:$BT$25,1,EM299),1,0))</f>
        <v>0</v>
      </c>
      <c r="EN301" s="25">
        <f>IF(EN299=0,0,IF(EN300&lt;INDEX('Lease Cycles'!$BN$25:$BT$25,1,EN299),1,0))</f>
        <v>0</v>
      </c>
      <c r="EO301" s="25">
        <f>IF(EO299=0,0,IF(EO300&lt;INDEX('Lease Cycles'!$BN$25:$BT$25,1,EO299),1,0))</f>
        <v>0</v>
      </c>
      <c r="EP301" s="25">
        <f>IF(EP299=0,0,IF(EP300&lt;INDEX('Lease Cycles'!$BN$25:$BT$25,1,EP299),1,0))</f>
        <v>0</v>
      </c>
      <c r="EQ301" s="25">
        <f>IF(EQ299=0,0,IF(EQ300&lt;INDEX('Lease Cycles'!$BN$25:$BT$25,1,EQ299),1,0))</f>
        <v>0</v>
      </c>
      <c r="ER301" s="25">
        <f>IF(ER299=0,0,IF(ER300&lt;INDEX('Lease Cycles'!$BN$25:$BT$25,1,ER299),1,0))</f>
        <v>0</v>
      </c>
      <c r="ES301" s="25">
        <f>IF(ES299=0,0,IF(ES300&lt;INDEX('Lease Cycles'!$BN$25:$BT$25,1,ES299),1,0))</f>
        <v>0</v>
      </c>
      <c r="ET301" s="25">
        <f>IF(ET299=0,0,IF(ET300&lt;INDEX('Lease Cycles'!$BN$25:$BT$25,1,ET299),1,0))</f>
        <v>0</v>
      </c>
    </row>
    <row r="302">
      <c r="A302" s="103">
        <v>18</v>
      </c>
      <c r="B302" s="23" t="str">
        <f>IF('Lease Cycles'!$B$25="","(empty slot)",'Lease Cycles'!$B$25)</f>
        <v>(empty slot)</v>
      </c>
      <c r="C302" s="23" t="s">
        <v>677</v>
      </c>
      <c r="D302" s="104" t="s">
        <v>678</v>
      </c>
      <c r="E302" s="25">
        <f>'Lease Cycles'!$AL$25</f>
        <v>0</v>
      </c>
      <c r="S302" s="28">
        <f>IF(S299=0,IF('Lease Cycles'!$F$25&gt;0,'Lease Cycles'!$C$25*'Lease Cycles'!$E$25/12,0),IF(S301=1,IF('Lease Cycles'!$AT$25&gt;=9999,'Lease Cycles'!$C$25*INDEX('Lease Cycles'!$CB$25:$CH$25,1,S299)*(1+INDEX('Lease Cycles'!$CI$25:$CO$25,1,S299))^INT(INT(S300/12)/INDEX('Lease Cycles'!$CP$25:$CV$25,1,S299))/12,IF(S299=1,IF(S300&gt;=INDEX('Lease Cycles'!$DK$25:$DQ$25,1,S299),IF(S$6&gt;='Lease Cycles'!$AZ$25,'Lease Cycles'!$C$25*'Lease Cycles'!$BA$25/12,IF(S$6&gt;='Lease Cycles'!$AX$25,'Lease Cycles'!$C$25*'Lease Cycles'!$AY$25/12,IF(S$6&gt;='Lease Cycles'!$AV$25,'Lease Cycles'!$C$25*'Lease Cycles'!$AW$25/12,IF(S$6&gt;='Lease Cycles'!$AT$25,'Lease Cycles'!$C$25*'Lease Cycles'!$AU$25/12,'Lease Cycles'!$C$25*INDEX('Lease Cycles'!$CB$25:$CH$25,1,S299)*(1+INDEX('Lease Cycles'!$CI$25:$CO$25,1,S299))^INT(INT(S300/12)/INDEX('Lease Cycles'!$CP$25:$CV$25,1,S299))/12)))),'Lease Cycles'!$C$25*INDEX('Lease Cycles'!$CB$25:$CH$25,1,S299)*(1+INDEX('Lease Cycles'!$CI$25:$CO$25,1,S299))^INT(INT(S300/12)/INDEX('Lease Cycles'!$CP$25:$CV$25,1,S299))/12),IF(INDEX('Lease Cycles'!$EF$25:$EL$25,1,S299)=1,IF(AND('Lease Cycles'!$AZ$25&gt;=INDEX('Lease Cycles'!$BG$25:$BM$25,1,S299),'Lease Cycles'!$AZ$25&lt;=S$6),'Lease Cycles'!$C$25*'Lease Cycles'!$BA$25/12,IF(AND('Lease Cycles'!$AX$25&gt;=INDEX('Lease Cycles'!$BG$25:$BM$25,1,S299),'Lease Cycles'!$AX$25&lt;=S$6),'Lease Cycles'!$C$25*'Lease Cycles'!$AY$25/12,IF(AND('Lease Cycles'!$AV$25&gt;=INDEX('Lease Cycles'!$BG$25:$BM$25,1,S299),'Lease Cycles'!$AV$25&lt;=S$6),'Lease Cycles'!$C$25*'Lease Cycles'!$AW$25/12,IF(AND('Lease Cycles'!$AT$25&gt;=INDEX('Lease Cycles'!$BG$25:$BM$25,1,S299),'Lease Cycles'!$AT$25&lt;=S$6),'Lease Cycles'!$C$25*'Lease Cycles'!$AU$25/12,'Lease Cycles'!$C$25*INDEX('Lease Cycles'!$CB$25:$CH$25,1,S299)*(1+INDEX('Lease Cycles'!$CI$25:$CO$25,1,S299))^INT(INT(S300/12)/INDEX('Lease Cycles'!$CP$25:$CV$25,1,S299))/12)))),'Lease Cycles'!$C$25*INDEX('Lease Cycles'!$CB$25:$CH$25,1,S299)*(1+INDEX('Lease Cycles'!$CI$25:$CO$25,1,S299))^INT(INT(S300/12)/INDEX('Lease Cycles'!$CP$25:$CV$25,1,S299))/12))),IF('Lease Cycles'!$N$25=1,'Lease Cycles'!$C$25*'Lease Cycles'!$E$25*INDEX('Lease Cycles'!$HE$25:$HK$25,1,S299)*(1+INDEX('Lease Cycles'!$GQ$25:$GW$25,1,S299))^INT(INT((S$6-INDEX('Lease Cycles'!$GJ$25:$GP$25,1,S299))/12)/INDEX('Lease Cycles'!$GX$25:$HD$25,1,S299))/12,0)))</f>
        <v>0</v>
      </c>
      <c r="T302" s="28">
        <f>IF(T299=0,IF('Lease Cycles'!$F$25&gt;0,'Lease Cycles'!$C$25*'Lease Cycles'!$E$25/12,0),IF(T301=1,IF('Lease Cycles'!$AT$25&gt;=9999,'Lease Cycles'!$C$25*INDEX('Lease Cycles'!$CB$25:$CH$25,1,T299)*(1+INDEX('Lease Cycles'!$CI$25:$CO$25,1,T299))^INT(INT(T300/12)/INDEX('Lease Cycles'!$CP$25:$CV$25,1,T299))/12,IF(T299=1,IF(T300&gt;=INDEX('Lease Cycles'!$DK$25:$DQ$25,1,T299),IF(T$6&gt;='Lease Cycles'!$AZ$25,'Lease Cycles'!$C$25*'Lease Cycles'!$BA$25/12,IF(T$6&gt;='Lease Cycles'!$AX$25,'Lease Cycles'!$C$25*'Lease Cycles'!$AY$25/12,IF(T$6&gt;='Lease Cycles'!$AV$25,'Lease Cycles'!$C$25*'Lease Cycles'!$AW$25/12,IF(T$6&gt;='Lease Cycles'!$AT$25,'Lease Cycles'!$C$25*'Lease Cycles'!$AU$25/12,'Lease Cycles'!$C$25*INDEX('Lease Cycles'!$CB$25:$CH$25,1,T299)*(1+INDEX('Lease Cycles'!$CI$25:$CO$25,1,T299))^INT(INT(T300/12)/INDEX('Lease Cycles'!$CP$25:$CV$25,1,T299))/12)))),'Lease Cycles'!$C$25*INDEX('Lease Cycles'!$CB$25:$CH$25,1,T299)*(1+INDEX('Lease Cycles'!$CI$25:$CO$25,1,T299))^INT(INT(T300/12)/INDEX('Lease Cycles'!$CP$25:$CV$25,1,T299))/12),IF(INDEX('Lease Cycles'!$EF$25:$EL$25,1,T299)=1,IF(AND('Lease Cycles'!$AZ$25&gt;=INDEX('Lease Cycles'!$BG$25:$BM$25,1,T299),'Lease Cycles'!$AZ$25&lt;=T$6),'Lease Cycles'!$C$25*'Lease Cycles'!$BA$25/12,IF(AND('Lease Cycles'!$AX$25&gt;=INDEX('Lease Cycles'!$BG$25:$BM$25,1,T299),'Lease Cycles'!$AX$25&lt;=T$6),'Lease Cycles'!$C$25*'Lease Cycles'!$AY$25/12,IF(AND('Lease Cycles'!$AV$25&gt;=INDEX('Lease Cycles'!$BG$25:$BM$25,1,T299),'Lease Cycles'!$AV$25&lt;=T$6),'Lease Cycles'!$C$25*'Lease Cycles'!$AW$25/12,IF(AND('Lease Cycles'!$AT$25&gt;=INDEX('Lease Cycles'!$BG$25:$BM$25,1,T299),'Lease Cycles'!$AT$25&lt;=T$6),'Lease Cycles'!$C$25*'Lease Cycles'!$AU$25/12,'Lease Cycles'!$C$25*INDEX('Lease Cycles'!$CB$25:$CH$25,1,T299)*(1+INDEX('Lease Cycles'!$CI$25:$CO$25,1,T299))^INT(INT(T300/12)/INDEX('Lease Cycles'!$CP$25:$CV$25,1,T299))/12)))),'Lease Cycles'!$C$25*INDEX('Lease Cycles'!$CB$25:$CH$25,1,T299)*(1+INDEX('Lease Cycles'!$CI$25:$CO$25,1,T299))^INT(INT(T300/12)/INDEX('Lease Cycles'!$CP$25:$CV$25,1,T299))/12))),IF('Lease Cycles'!$N$25=1,'Lease Cycles'!$C$25*'Lease Cycles'!$E$25*INDEX('Lease Cycles'!$HE$25:$HK$25,1,T299)*(1+INDEX('Lease Cycles'!$GQ$25:$GW$25,1,T299))^INT(INT((T$6-INDEX('Lease Cycles'!$GJ$25:$GP$25,1,T299))/12)/INDEX('Lease Cycles'!$GX$25:$HD$25,1,T299))/12,0)))</f>
        <v>0</v>
      </c>
      <c r="U302" s="28">
        <f>IF(U299=0,IF('Lease Cycles'!$F$25&gt;0,'Lease Cycles'!$C$25*'Lease Cycles'!$E$25/12,0),IF(U301=1,IF('Lease Cycles'!$AT$25&gt;=9999,'Lease Cycles'!$C$25*INDEX('Lease Cycles'!$CB$25:$CH$25,1,U299)*(1+INDEX('Lease Cycles'!$CI$25:$CO$25,1,U299))^INT(INT(U300/12)/INDEX('Lease Cycles'!$CP$25:$CV$25,1,U299))/12,IF(U299=1,IF(U300&gt;=INDEX('Lease Cycles'!$DK$25:$DQ$25,1,U299),IF(U$6&gt;='Lease Cycles'!$AZ$25,'Lease Cycles'!$C$25*'Lease Cycles'!$BA$25/12,IF(U$6&gt;='Lease Cycles'!$AX$25,'Lease Cycles'!$C$25*'Lease Cycles'!$AY$25/12,IF(U$6&gt;='Lease Cycles'!$AV$25,'Lease Cycles'!$C$25*'Lease Cycles'!$AW$25/12,IF(U$6&gt;='Lease Cycles'!$AT$25,'Lease Cycles'!$C$25*'Lease Cycles'!$AU$25/12,'Lease Cycles'!$C$25*INDEX('Lease Cycles'!$CB$25:$CH$25,1,U299)*(1+INDEX('Lease Cycles'!$CI$25:$CO$25,1,U299))^INT(INT(U300/12)/INDEX('Lease Cycles'!$CP$25:$CV$25,1,U299))/12)))),'Lease Cycles'!$C$25*INDEX('Lease Cycles'!$CB$25:$CH$25,1,U299)*(1+INDEX('Lease Cycles'!$CI$25:$CO$25,1,U299))^INT(INT(U300/12)/INDEX('Lease Cycles'!$CP$25:$CV$25,1,U299))/12),IF(INDEX('Lease Cycles'!$EF$25:$EL$25,1,U299)=1,IF(AND('Lease Cycles'!$AZ$25&gt;=INDEX('Lease Cycles'!$BG$25:$BM$25,1,U299),'Lease Cycles'!$AZ$25&lt;=U$6),'Lease Cycles'!$C$25*'Lease Cycles'!$BA$25/12,IF(AND('Lease Cycles'!$AX$25&gt;=INDEX('Lease Cycles'!$BG$25:$BM$25,1,U299),'Lease Cycles'!$AX$25&lt;=U$6),'Lease Cycles'!$C$25*'Lease Cycles'!$AY$25/12,IF(AND('Lease Cycles'!$AV$25&gt;=INDEX('Lease Cycles'!$BG$25:$BM$25,1,U299),'Lease Cycles'!$AV$25&lt;=U$6),'Lease Cycles'!$C$25*'Lease Cycles'!$AW$25/12,IF(AND('Lease Cycles'!$AT$25&gt;=INDEX('Lease Cycles'!$BG$25:$BM$25,1,U299),'Lease Cycles'!$AT$25&lt;=U$6),'Lease Cycles'!$C$25*'Lease Cycles'!$AU$25/12,'Lease Cycles'!$C$25*INDEX('Lease Cycles'!$CB$25:$CH$25,1,U299)*(1+INDEX('Lease Cycles'!$CI$25:$CO$25,1,U299))^INT(INT(U300/12)/INDEX('Lease Cycles'!$CP$25:$CV$25,1,U299))/12)))),'Lease Cycles'!$C$25*INDEX('Lease Cycles'!$CB$25:$CH$25,1,U299)*(1+INDEX('Lease Cycles'!$CI$25:$CO$25,1,U299))^INT(INT(U300/12)/INDEX('Lease Cycles'!$CP$25:$CV$25,1,U299))/12))),IF('Lease Cycles'!$N$25=1,'Lease Cycles'!$C$25*'Lease Cycles'!$E$25*INDEX('Lease Cycles'!$HE$25:$HK$25,1,U299)*(1+INDEX('Lease Cycles'!$GQ$25:$GW$25,1,U299))^INT(INT((U$6-INDEX('Lease Cycles'!$GJ$25:$GP$25,1,U299))/12)/INDEX('Lease Cycles'!$GX$25:$HD$25,1,U299))/12,0)))</f>
        <v>0</v>
      </c>
      <c r="V302" s="28">
        <f>IF(V299=0,IF('Lease Cycles'!$F$25&gt;0,'Lease Cycles'!$C$25*'Lease Cycles'!$E$25/12,0),IF(V301=1,IF('Lease Cycles'!$AT$25&gt;=9999,'Lease Cycles'!$C$25*INDEX('Lease Cycles'!$CB$25:$CH$25,1,V299)*(1+INDEX('Lease Cycles'!$CI$25:$CO$25,1,V299))^INT(INT(V300/12)/INDEX('Lease Cycles'!$CP$25:$CV$25,1,V299))/12,IF(V299=1,IF(V300&gt;=INDEX('Lease Cycles'!$DK$25:$DQ$25,1,V299),IF(V$6&gt;='Lease Cycles'!$AZ$25,'Lease Cycles'!$C$25*'Lease Cycles'!$BA$25/12,IF(V$6&gt;='Lease Cycles'!$AX$25,'Lease Cycles'!$C$25*'Lease Cycles'!$AY$25/12,IF(V$6&gt;='Lease Cycles'!$AV$25,'Lease Cycles'!$C$25*'Lease Cycles'!$AW$25/12,IF(V$6&gt;='Lease Cycles'!$AT$25,'Lease Cycles'!$C$25*'Lease Cycles'!$AU$25/12,'Lease Cycles'!$C$25*INDEX('Lease Cycles'!$CB$25:$CH$25,1,V299)*(1+INDEX('Lease Cycles'!$CI$25:$CO$25,1,V299))^INT(INT(V300/12)/INDEX('Lease Cycles'!$CP$25:$CV$25,1,V299))/12)))),'Lease Cycles'!$C$25*INDEX('Lease Cycles'!$CB$25:$CH$25,1,V299)*(1+INDEX('Lease Cycles'!$CI$25:$CO$25,1,V299))^INT(INT(V300/12)/INDEX('Lease Cycles'!$CP$25:$CV$25,1,V299))/12),IF(INDEX('Lease Cycles'!$EF$25:$EL$25,1,V299)=1,IF(AND('Lease Cycles'!$AZ$25&gt;=INDEX('Lease Cycles'!$BG$25:$BM$25,1,V299),'Lease Cycles'!$AZ$25&lt;=V$6),'Lease Cycles'!$C$25*'Lease Cycles'!$BA$25/12,IF(AND('Lease Cycles'!$AX$25&gt;=INDEX('Lease Cycles'!$BG$25:$BM$25,1,V299),'Lease Cycles'!$AX$25&lt;=V$6),'Lease Cycles'!$C$25*'Lease Cycles'!$AY$25/12,IF(AND('Lease Cycles'!$AV$25&gt;=INDEX('Lease Cycles'!$BG$25:$BM$25,1,V299),'Lease Cycles'!$AV$25&lt;=V$6),'Lease Cycles'!$C$25*'Lease Cycles'!$AW$25/12,IF(AND('Lease Cycles'!$AT$25&gt;=INDEX('Lease Cycles'!$BG$25:$BM$25,1,V299),'Lease Cycles'!$AT$25&lt;=V$6),'Lease Cycles'!$C$25*'Lease Cycles'!$AU$25/12,'Lease Cycles'!$C$25*INDEX('Lease Cycles'!$CB$25:$CH$25,1,V299)*(1+INDEX('Lease Cycles'!$CI$25:$CO$25,1,V299))^INT(INT(V300/12)/INDEX('Lease Cycles'!$CP$25:$CV$25,1,V299))/12)))),'Lease Cycles'!$C$25*INDEX('Lease Cycles'!$CB$25:$CH$25,1,V299)*(1+INDEX('Lease Cycles'!$CI$25:$CO$25,1,V299))^INT(INT(V300/12)/INDEX('Lease Cycles'!$CP$25:$CV$25,1,V299))/12))),IF('Lease Cycles'!$N$25=1,'Lease Cycles'!$C$25*'Lease Cycles'!$E$25*INDEX('Lease Cycles'!$HE$25:$HK$25,1,V299)*(1+INDEX('Lease Cycles'!$GQ$25:$GW$25,1,V299))^INT(INT((V$6-INDEX('Lease Cycles'!$GJ$25:$GP$25,1,V299))/12)/INDEX('Lease Cycles'!$GX$25:$HD$25,1,V299))/12,0)))</f>
        <v>0</v>
      </c>
      <c r="W302" s="28">
        <f>IF(W299=0,IF('Lease Cycles'!$F$25&gt;0,'Lease Cycles'!$C$25*'Lease Cycles'!$E$25/12,0),IF(W301=1,IF('Lease Cycles'!$AT$25&gt;=9999,'Lease Cycles'!$C$25*INDEX('Lease Cycles'!$CB$25:$CH$25,1,W299)*(1+INDEX('Lease Cycles'!$CI$25:$CO$25,1,W299))^INT(INT(W300/12)/INDEX('Lease Cycles'!$CP$25:$CV$25,1,W299))/12,IF(W299=1,IF(W300&gt;=INDEX('Lease Cycles'!$DK$25:$DQ$25,1,W299),IF(W$6&gt;='Lease Cycles'!$AZ$25,'Lease Cycles'!$C$25*'Lease Cycles'!$BA$25/12,IF(W$6&gt;='Lease Cycles'!$AX$25,'Lease Cycles'!$C$25*'Lease Cycles'!$AY$25/12,IF(W$6&gt;='Lease Cycles'!$AV$25,'Lease Cycles'!$C$25*'Lease Cycles'!$AW$25/12,IF(W$6&gt;='Lease Cycles'!$AT$25,'Lease Cycles'!$C$25*'Lease Cycles'!$AU$25/12,'Lease Cycles'!$C$25*INDEX('Lease Cycles'!$CB$25:$CH$25,1,W299)*(1+INDEX('Lease Cycles'!$CI$25:$CO$25,1,W299))^INT(INT(W300/12)/INDEX('Lease Cycles'!$CP$25:$CV$25,1,W299))/12)))),'Lease Cycles'!$C$25*INDEX('Lease Cycles'!$CB$25:$CH$25,1,W299)*(1+INDEX('Lease Cycles'!$CI$25:$CO$25,1,W299))^INT(INT(W300/12)/INDEX('Lease Cycles'!$CP$25:$CV$25,1,W299))/12),IF(INDEX('Lease Cycles'!$EF$25:$EL$25,1,W299)=1,IF(AND('Lease Cycles'!$AZ$25&gt;=INDEX('Lease Cycles'!$BG$25:$BM$25,1,W299),'Lease Cycles'!$AZ$25&lt;=W$6),'Lease Cycles'!$C$25*'Lease Cycles'!$BA$25/12,IF(AND('Lease Cycles'!$AX$25&gt;=INDEX('Lease Cycles'!$BG$25:$BM$25,1,W299),'Lease Cycles'!$AX$25&lt;=W$6),'Lease Cycles'!$C$25*'Lease Cycles'!$AY$25/12,IF(AND('Lease Cycles'!$AV$25&gt;=INDEX('Lease Cycles'!$BG$25:$BM$25,1,W299),'Lease Cycles'!$AV$25&lt;=W$6),'Lease Cycles'!$C$25*'Lease Cycles'!$AW$25/12,IF(AND('Lease Cycles'!$AT$25&gt;=INDEX('Lease Cycles'!$BG$25:$BM$25,1,W299),'Lease Cycles'!$AT$25&lt;=W$6),'Lease Cycles'!$C$25*'Lease Cycles'!$AU$25/12,'Lease Cycles'!$C$25*INDEX('Lease Cycles'!$CB$25:$CH$25,1,W299)*(1+INDEX('Lease Cycles'!$CI$25:$CO$25,1,W299))^INT(INT(W300/12)/INDEX('Lease Cycles'!$CP$25:$CV$25,1,W299))/12)))),'Lease Cycles'!$C$25*INDEX('Lease Cycles'!$CB$25:$CH$25,1,W299)*(1+INDEX('Lease Cycles'!$CI$25:$CO$25,1,W299))^INT(INT(W300/12)/INDEX('Lease Cycles'!$CP$25:$CV$25,1,W299))/12))),IF('Lease Cycles'!$N$25=1,'Lease Cycles'!$C$25*'Lease Cycles'!$E$25*INDEX('Lease Cycles'!$HE$25:$HK$25,1,W299)*(1+INDEX('Lease Cycles'!$GQ$25:$GW$25,1,W299))^INT(INT((W$6-INDEX('Lease Cycles'!$GJ$25:$GP$25,1,W299))/12)/INDEX('Lease Cycles'!$GX$25:$HD$25,1,W299))/12,0)))</f>
        <v>0</v>
      </c>
      <c r="X302" s="28">
        <f>IF(X299=0,IF('Lease Cycles'!$F$25&gt;0,'Lease Cycles'!$C$25*'Lease Cycles'!$E$25/12,0),IF(X301=1,IF('Lease Cycles'!$AT$25&gt;=9999,'Lease Cycles'!$C$25*INDEX('Lease Cycles'!$CB$25:$CH$25,1,X299)*(1+INDEX('Lease Cycles'!$CI$25:$CO$25,1,X299))^INT(INT(X300/12)/INDEX('Lease Cycles'!$CP$25:$CV$25,1,X299))/12,IF(X299=1,IF(X300&gt;=INDEX('Lease Cycles'!$DK$25:$DQ$25,1,X299),IF(X$6&gt;='Lease Cycles'!$AZ$25,'Lease Cycles'!$C$25*'Lease Cycles'!$BA$25/12,IF(X$6&gt;='Lease Cycles'!$AX$25,'Lease Cycles'!$C$25*'Lease Cycles'!$AY$25/12,IF(X$6&gt;='Lease Cycles'!$AV$25,'Lease Cycles'!$C$25*'Lease Cycles'!$AW$25/12,IF(X$6&gt;='Lease Cycles'!$AT$25,'Lease Cycles'!$C$25*'Lease Cycles'!$AU$25/12,'Lease Cycles'!$C$25*INDEX('Lease Cycles'!$CB$25:$CH$25,1,X299)*(1+INDEX('Lease Cycles'!$CI$25:$CO$25,1,X299))^INT(INT(X300/12)/INDEX('Lease Cycles'!$CP$25:$CV$25,1,X299))/12)))),'Lease Cycles'!$C$25*INDEX('Lease Cycles'!$CB$25:$CH$25,1,X299)*(1+INDEX('Lease Cycles'!$CI$25:$CO$25,1,X299))^INT(INT(X300/12)/INDEX('Lease Cycles'!$CP$25:$CV$25,1,X299))/12),IF(INDEX('Lease Cycles'!$EF$25:$EL$25,1,X299)=1,IF(AND('Lease Cycles'!$AZ$25&gt;=INDEX('Lease Cycles'!$BG$25:$BM$25,1,X299),'Lease Cycles'!$AZ$25&lt;=X$6),'Lease Cycles'!$C$25*'Lease Cycles'!$BA$25/12,IF(AND('Lease Cycles'!$AX$25&gt;=INDEX('Lease Cycles'!$BG$25:$BM$25,1,X299),'Lease Cycles'!$AX$25&lt;=X$6),'Lease Cycles'!$C$25*'Lease Cycles'!$AY$25/12,IF(AND('Lease Cycles'!$AV$25&gt;=INDEX('Lease Cycles'!$BG$25:$BM$25,1,X299),'Lease Cycles'!$AV$25&lt;=X$6),'Lease Cycles'!$C$25*'Lease Cycles'!$AW$25/12,IF(AND('Lease Cycles'!$AT$25&gt;=INDEX('Lease Cycles'!$BG$25:$BM$25,1,X299),'Lease Cycles'!$AT$25&lt;=X$6),'Lease Cycles'!$C$25*'Lease Cycles'!$AU$25/12,'Lease Cycles'!$C$25*INDEX('Lease Cycles'!$CB$25:$CH$25,1,X299)*(1+INDEX('Lease Cycles'!$CI$25:$CO$25,1,X299))^INT(INT(X300/12)/INDEX('Lease Cycles'!$CP$25:$CV$25,1,X299))/12)))),'Lease Cycles'!$C$25*INDEX('Lease Cycles'!$CB$25:$CH$25,1,X299)*(1+INDEX('Lease Cycles'!$CI$25:$CO$25,1,X299))^INT(INT(X300/12)/INDEX('Lease Cycles'!$CP$25:$CV$25,1,X299))/12))),IF('Lease Cycles'!$N$25=1,'Lease Cycles'!$C$25*'Lease Cycles'!$E$25*INDEX('Lease Cycles'!$HE$25:$HK$25,1,X299)*(1+INDEX('Lease Cycles'!$GQ$25:$GW$25,1,X299))^INT(INT((X$6-INDEX('Lease Cycles'!$GJ$25:$GP$25,1,X299))/12)/INDEX('Lease Cycles'!$GX$25:$HD$25,1,X299))/12,0)))</f>
        <v>0</v>
      </c>
      <c r="Y302" s="28">
        <f>IF(Y299=0,IF('Lease Cycles'!$F$25&gt;0,'Lease Cycles'!$C$25*'Lease Cycles'!$E$25/12,0),IF(Y301=1,IF('Lease Cycles'!$AT$25&gt;=9999,'Lease Cycles'!$C$25*INDEX('Lease Cycles'!$CB$25:$CH$25,1,Y299)*(1+INDEX('Lease Cycles'!$CI$25:$CO$25,1,Y299))^INT(INT(Y300/12)/INDEX('Lease Cycles'!$CP$25:$CV$25,1,Y299))/12,IF(Y299=1,IF(Y300&gt;=INDEX('Lease Cycles'!$DK$25:$DQ$25,1,Y299),IF(Y$6&gt;='Lease Cycles'!$AZ$25,'Lease Cycles'!$C$25*'Lease Cycles'!$BA$25/12,IF(Y$6&gt;='Lease Cycles'!$AX$25,'Lease Cycles'!$C$25*'Lease Cycles'!$AY$25/12,IF(Y$6&gt;='Lease Cycles'!$AV$25,'Lease Cycles'!$C$25*'Lease Cycles'!$AW$25/12,IF(Y$6&gt;='Lease Cycles'!$AT$25,'Lease Cycles'!$C$25*'Lease Cycles'!$AU$25/12,'Lease Cycles'!$C$25*INDEX('Lease Cycles'!$CB$25:$CH$25,1,Y299)*(1+INDEX('Lease Cycles'!$CI$25:$CO$25,1,Y299))^INT(INT(Y300/12)/INDEX('Lease Cycles'!$CP$25:$CV$25,1,Y299))/12)))),'Lease Cycles'!$C$25*INDEX('Lease Cycles'!$CB$25:$CH$25,1,Y299)*(1+INDEX('Lease Cycles'!$CI$25:$CO$25,1,Y299))^INT(INT(Y300/12)/INDEX('Lease Cycles'!$CP$25:$CV$25,1,Y299))/12),IF(INDEX('Lease Cycles'!$EF$25:$EL$25,1,Y299)=1,IF(AND('Lease Cycles'!$AZ$25&gt;=INDEX('Lease Cycles'!$BG$25:$BM$25,1,Y299),'Lease Cycles'!$AZ$25&lt;=Y$6),'Lease Cycles'!$C$25*'Lease Cycles'!$BA$25/12,IF(AND('Lease Cycles'!$AX$25&gt;=INDEX('Lease Cycles'!$BG$25:$BM$25,1,Y299),'Lease Cycles'!$AX$25&lt;=Y$6),'Lease Cycles'!$C$25*'Lease Cycles'!$AY$25/12,IF(AND('Lease Cycles'!$AV$25&gt;=INDEX('Lease Cycles'!$BG$25:$BM$25,1,Y299),'Lease Cycles'!$AV$25&lt;=Y$6),'Lease Cycles'!$C$25*'Lease Cycles'!$AW$25/12,IF(AND('Lease Cycles'!$AT$25&gt;=INDEX('Lease Cycles'!$BG$25:$BM$25,1,Y299),'Lease Cycles'!$AT$25&lt;=Y$6),'Lease Cycles'!$C$25*'Lease Cycles'!$AU$25/12,'Lease Cycles'!$C$25*INDEX('Lease Cycles'!$CB$25:$CH$25,1,Y299)*(1+INDEX('Lease Cycles'!$CI$25:$CO$25,1,Y299))^INT(INT(Y300/12)/INDEX('Lease Cycles'!$CP$25:$CV$25,1,Y299))/12)))),'Lease Cycles'!$C$25*INDEX('Lease Cycles'!$CB$25:$CH$25,1,Y299)*(1+INDEX('Lease Cycles'!$CI$25:$CO$25,1,Y299))^INT(INT(Y300/12)/INDEX('Lease Cycles'!$CP$25:$CV$25,1,Y299))/12))),IF('Lease Cycles'!$N$25=1,'Lease Cycles'!$C$25*'Lease Cycles'!$E$25*INDEX('Lease Cycles'!$HE$25:$HK$25,1,Y299)*(1+INDEX('Lease Cycles'!$GQ$25:$GW$25,1,Y299))^INT(INT((Y$6-INDEX('Lease Cycles'!$GJ$25:$GP$25,1,Y299))/12)/INDEX('Lease Cycles'!$GX$25:$HD$25,1,Y299))/12,0)))</f>
        <v>0</v>
      </c>
      <c r="Z302" s="28">
        <f>IF(Z299=0,IF('Lease Cycles'!$F$25&gt;0,'Lease Cycles'!$C$25*'Lease Cycles'!$E$25/12,0),IF(Z301=1,IF('Lease Cycles'!$AT$25&gt;=9999,'Lease Cycles'!$C$25*INDEX('Lease Cycles'!$CB$25:$CH$25,1,Z299)*(1+INDEX('Lease Cycles'!$CI$25:$CO$25,1,Z299))^INT(INT(Z300/12)/INDEX('Lease Cycles'!$CP$25:$CV$25,1,Z299))/12,IF(Z299=1,IF(Z300&gt;=INDEX('Lease Cycles'!$DK$25:$DQ$25,1,Z299),IF(Z$6&gt;='Lease Cycles'!$AZ$25,'Lease Cycles'!$C$25*'Lease Cycles'!$BA$25/12,IF(Z$6&gt;='Lease Cycles'!$AX$25,'Lease Cycles'!$C$25*'Lease Cycles'!$AY$25/12,IF(Z$6&gt;='Lease Cycles'!$AV$25,'Lease Cycles'!$C$25*'Lease Cycles'!$AW$25/12,IF(Z$6&gt;='Lease Cycles'!$AT$25,'Lease Cycles'!$C$25*'Lease Cycles'!$AU$25/12,'Lease Cycles'!$C$25*INDEX('Lease Cycles'!$CB$25:$CH$25,1,Z299)*(1+INDEX('Lease Cycles'!$CI$25:$CO$25,1,Z299))^INT(INT(Z300/12)/INDEX('Lease Cycles'!$CP$25:$CV$25,1,Z299))/12)))),'Lease Cycles'!$C$25*INDEX('Lease Cycles'!$CB$25:$CH$25,1,Z299)*(1+INDEX('Lease Cycles'!$CI$25:$CO$25,1,Z299))^INT(INT(Z300/12)/INDEX('Lease Cycles'!$CP$25:$CV$25,1,Z299))/12),IF(INDEX('Lease Cycles'!$EF$25:$EL$25,1,Z299)=1,IF(AND('Lease Cycles'!$AZ$25&gt;=INDEX('Lease Cycles'!$BG$25:$BM$25,1,Z299),'Lease Cycles'!$AZ$25&lt;=Z$6),'Lease Cycles'!$C$25*'Lease Cycles'!$BA$25/12,IF(AND('Lease Cycles'!$AX$25&gt;=INDEX('Lease Cycles'!$BG$25:$BM$25,1,Z299),'Lease Cycles'!$AX$25&lt;=Z$6),'Lease Cycles'!$C$25*'Lease Cycles'!$AY$25/12,IF(AND('Lease Cycles'!$AV$25&gt;=INDEX('Lease Cycles'!$BG$25:$BM$25,1,Z299),'Lease Cycles'!$AV$25&lt;=Z$6),'Lease Cycles'!$C$25*'Lease Cycles'!$AW$25/12,IF(AND('Lease Cycles'!$AT$25&gt;=INDEX('Lease Cycles'!$BG$25:$BM$25,1,Z299),'Lease Cycles'!$AT$25&lt;=Z$6),'Lease Cycles'!$C$25*'Lease Cycles'!$AU$25/12,'Lease Cycles'!$C$25*INDEX('Lease Cycles'!$CB$25:$CH$25,1,Z299)*(1+INDEX('Lease Cycles'!$CI$25:$CO$25,1,Z299))^INT(INT(Z300/12)/INDEX('Lease Cycles'!$CP$25:$CV$25,1,Z299))/12)))),'Lease Cycles'!$C$25*INDEX('Lease Cycles'!$CB$25:$CH$25,1,Z299)*(1+INDEX('Lease Cycles'!$CI$25:$CO$25,1,Z299))^INT(INT(Z300/12)/INDEX('Lease Cycles'!$CP$25:$CV$25,1,Z299))/12))),IF('Lease Cycles'!$N$25=1,'Lease Cycles'!$C$25*'Lease Cycles'!$E$25*INDEX('Lease Cycles'!$HE$25:$HK$25,1,Z299)*(1+INDEX('Lease Cycles'!$GQ$25:$GW$25,1,Z299))^INT(INT((Z$6-INDEX('Lease Cycles'!$GJ$25:$GP$25,1,Z299))/12)/INDEX('Lease Cycles'!$GX$25:$HD$25,1,Z299))/12,0)))</f>
        <v>0</v>
      </c>
      <c r="AA302" s="28">
        <f>IF(AA299=0,IF('Lease Cycles'!$F$25&gt;0,'Lease Cycles'!$C$25*'Lease Cycles'!$E$25/12,0),IF(AA301=1,IF('Lease Cycles'!$AT$25&gt;=9999,'Lease Cycles'!$C$25*INDEX('Lease Cycles'!$CB$25:$CH$25,1,AA299)*(1+INDEX('Lease Cycles'!$CI$25:$CO$25,1,AA299))^INT(INT(AA300/12)/INDEX('Lease Cycles'!$CP$25:$CV$25,1,AA299))/12,IF(AA299=1,IF(AA300&gt;=INDEX('Lease Cycles'!$DK$25:$DQ$25,1,AA299),IF(AA$6&gt;='Lease Cycles'!$AZ$25,'Lease Cycles'!$C$25*'Lease Cycles'!$BA$25/12,IF(AA$6&gt;='Lease Cycles'!$AX$25,'Lease Cycles'!$C$25*'Lease Cycles'!$AY$25/12,IF(AA$6&gt;='Lease Cycles'!$AV$25,'Lease Cycles'!$C$25*'Lease Cycles'!$AW$25/12,IF(AA$6&gt;='Lease Cycles'!$AT$25,'Lease Cycles'!$C$25*'Lease Cycles'!$AU$25/12,'Lease Cycles'!$C$25*INDEX('Lease Cycles'!$CB$25:$CH$25,1,AA299)*(1+INDEX('Lease Cycles'!$CI$25:$CO$25,1,AA299))^INT(INT(AA300/12)/INDEX('Lease Cycles'!$CP$25:$CV$25,1,AA299))/12)))),'Lease Cycles'!$C$25*INDEX('Lease Cycles'!$CB$25:$CH$25,1,AA299)*(1+INDEX('Lease Cycles'!$CI$25:$CO$25,1,AA299))^INT(INT(AA300/12)/INDEX('Lease Cycles'!$CP$25:$CV$25,1,AA299))/12),IF(INDEX('Lease Cycles'!$EF$25:$EL$25,1,AA299)=1,IF(AND('Lease Cycles'!$AZ$25&gt;=INDEX('Lease Cycles'!$BG$25:$BM$25,1,AA299),'Lease Cycles'!$AZ$25&lt;=AA$6),'Lease Cycles'!$C$25*'Lease Cycles'!$BA$25/12,IF(AND('Lease Cycles'!$AX$25&gt;=INDEX('Lease Cycles'!$BG$25:$BM$25,1,AA299),'Lease Cycles'!$AX$25&lt;=AA$6),'Lease Cycles'!$C$25*'Lease Cycles'!$AY$25/12,IF(AND('Lease Cycles'!$AV$25&gt;=INDEX('Lease Cycles'!$BG$25:$BM$25,1,AA299),'Lease Cycles'!$AV$25&lt;=AA$6),'Lease Cycles'!$C$25*'Lease Cycles'!$AW$25/12,IF(AND('Lease Cycles'!$AT$25&gt;=INDEX('Lease Cycles'!$BG$25:$BM$25,1,AA299),'Lease Cycles'!$AT$25&lt;=AA$6),'Lease Cycles'!$C$25*'Lease Cycles'!$AU$25/12,'Lease Cycles'!$C$25*INDEX('Lease Cycles'!$CB$25:$CH$25,1,AA299)*(1+INDEX('Lease Cycles'!$CI$25:$CO$25,1,AA299))^INT(INT(AA300/12)/INDEX('Lease Cycles'!$CP$25:$CV$25,1,AA299))/12)))),'Lease Cycles'!$C$25*INDEX('Lease Cycles'!$CB$25:$CH$25,1,AA299)*(1+INDEX('Lease Cycles'!$CI$25:$CO$25,1,AA299))^INT(INT(AA300/12)/INDEX('Lease Cycles'!$CP$25:$CV$25,1,AA299))/12))),IF('Lease Cycles'!$N$25=1,'Lease Cycles'!$C$25*'Lease Cycles'!$E$25*INDEX('Lease Cycles'!$HE$25:$HK$25,1,AA299)*(1+INDEX('Lease Cycles'!$GQ$25:$GW$25,1,AA299))^INT(INT((AA$6-INDEX('Lease Cycles'!$GJ$25:$GP$25,1,AA299))/12)/INDEX('Lease Cycles'!$GX$25:$HD$25,1,AA299))/12,0)))</f>
        <v>0</v>
      </c>
      <c r="AB302" s="28">
        <f>IF(AB299=0,IF('Lease Cycles'!$F$25&gt;0,'Lease Cycles'!$C$25*'Lease Cycles'!$E$25/12,0),IF(AB301=1,IF('Lease Cycles'!$AT$25&gt;=9999,'Lease Cycles'!$C$25*INDEX('Lease Cycles'!$CB$25:$CH$25,1,AB299)*(1+INDEX('Lease Cycles'!$CI$25:$CO$25,1,AB299))^INT(INT(AB300/12)/INDEX('Lease Cycles'!$CP$25:$CV$25,1,AB299))/12,IF(AB299=1,IF(AB300&gt;=INDEX('Lease Cycles'!$DK$25:$DQ$25,1,AB299),IF(AB$6&gt;='Lease Cycles'!$AZ$25,'Lease Cycles'!$C$25*'Lease Cycles'!$BA$25/12,IF(AB$6&gt;='Lease Cycles'!$AX$25,'Lease Cycles'!$C$25*'Lease Cycles'!$AY$25/12,IF(AB$6&gt;='Lease Cycles'!$AV$25,'Lease Cycles'!$C$25*'Lease Cycles'!$AW$25/12,IF(AB$6&gt;='Lease Cycles'!$AT$25,'Lease Cycles'!$C$25*'Lease Cycles'!$AU$25/12,'Lease Cycles'!$C$25*INDEX('Lease Cycles'!$CB$25:$CH$25,1,AB299)*(1+INDEX('Lease Cycles'!$CI$25:$CO$25,1,AB299))^INT(INT(AB300/12)/INDEX('Lease Cycles'!$CP$25:$CV$25,1,AB299))/12)))),'Lease Cycles'!$C$25*INDEX('Lease Cycles'!$CB$25:$CH$25,1,AB299)*(1+INDEX('Lease Cycles'!$CI$25:$CO$25,1,AB299))^INT(INT(AB300/12)/INDEX('Lease Cycles'!$CP$25:$CV$25,1,AB299))/12),IF(INDEX('Lease Cycles'!$EF$25:$EL$25,1,AB299)=1,IF(AND('Lease Cycles'!$AZ$25&gt;=INDEX('Lease Cycles'!$BG$25:$BM$25,1,AB299),'Lease Cycles'!$AZ$25&lt;=AB$6),'Lease Cycles'!$C$25*'Lease Cycles'!$BA$25/12,IF(AND('Lease Cycles'!$AX$25&gt;=INDEX('Lease Cycles'!$BG$25:$BM$25,1,AB299),'Lease Cycles'!$AX$25&lt;=AB$6),'Lease Cycles'!$C$25*'Lease Cycles'!$AY$25/12,IF(AND('Lease Cycles'!$AV$25&gt;=INDEX('Lease Cycles'!$BG$25:$BM$25,1,AB299),'Lease Cycles'!$AV$25&lt;=AB$6),'Lease Cycles'!$C$25*'Lease Cycles'!$AW$25/12,IF(AND('Lease Cycles'!$AT$25&gt;=INDEX('Lease Cycles'!$BG$25:$BM$25,1,AB299),'Lease Cycles'!$AT$25&lt;=AB$6),'Lease Cycles'!$C$25*'Lease Cycles'!$AU$25/12,'Lease Cycles'!$C$25*INDEX('Lease Cycles'!$CB$25:$CH$25,1,AB299)*(1+INDEX('Lease Cycles'!$CI$25:$CO$25,1,AB299))^INT(INT(AB300/12)/INDEX('Lease Cycles'!$CP$25:$CV$25,1,AB299))/12)))),'Lease Cycles'!$C$25*INDEX('Lease Cycles'!$CB$25:$CH$25,1,AB299)*(1+INDEX('Lease Cycles'!$CI$25:$CO$25,1,AB299))^INT(INT(AB300/12)/INDEX('Lease Cycles'!$CP$25:$CV$25,1,AB299))/12))),IF('Lease Cycles'!$N$25=1,'Lease Cycles'!$C$25*'Lease Cycles'!$E$25*INDEX('Lease Cycles'!$HE$25:$HK$25,1,AB299)*(1+INDEX('Lease Cycles'!$GQ$25:$GW$25,1,AB299))^INT(INT((AB$6-INDEX('Lease Cycles'!$GJ$25:$GP$25,1,AB299))/12)/INDEX('Lease Cycles'!$GX$25:$HD$25,1,AB299))/12,0)))</f>
        <v>0</v>
      </c>
      <c r="AC302" s="28">
        <f>IF(AC299=0,IF('Lease Cycles'!$F$25&gt;0,'Lease Cycles'!$C$25*'Lease Cycles'!$E$25/12,0),IF(AC301=1,IF('Lease Cycles'!$AT$25&gt;=9999,'Lease Cycles'!$C$25*INDEX('Lease Cycles'!$CB$25:$CH$25,1,AC299)*(1+INDEX('Lease Cycles'!$CI$25:$CO$25,1,AC299))^INT(INT(AC300/12)/INDEX('Lease Cycles'!$CP$25:$CV$25,1,AC299))/12,IF(AC299=1,IF(AC300&gt;=INDEX('Lease Cycles'!$DK$25:$DQ$25,1,AC299),IF(AC$6&gt;='Lease Cycles'!$AZ$25,'Lease Cycles'!$C$25*'Lease Cycles'!$BA$25/12,IF(AC$6&gt;='Lease Cycles'!$AX$25,'Lease Cycles'!$C$25*'Lease Cycles'!$AY$25/12,IF(AC$6&gt;='Lease Cycles'!$AV$25,'Lease Cycles'!$C$25*'Lease Cycles'!$AW$25/12,IF(AC$6&gt;='Lease Cycles'!$AT$25,'Lease Cycles'!$C$25*'Lease Cycles'!$AU$25/12,'Lease Cycles'!$C$25*INDEX('Lease Cycles'!$CB$25:$CH$25,1,AC299)*(1+INDEX('Lease Cycles'!$CI$25:$CO$25,1,AC299))^INT(INT(AC300/12)/INDEX('Lease Cycles'!$CP$25:$CV$25,1,AC299))/12)))),'Lease Cycles'!$C$25*INDEX('Lease Cycles'!$CB$25:$CH$25,1,AC299)*(1+INDEX('Lease Cycles'!$CI$25:$CO$25,1,AC299))^INT(INT(AC300/12)/INDEX('Lease Cycles'!$CP$25:$CV$25,1,AC299))/12),IF(INDEX('Lease Cycles'!$EF$25:$EL$25,1,AC299)=1,IF(AND('Lease Cycles'!$AZ$25&gt;=INDEX('Lease Cycles'!$BG$25:$BM$25,1,AC299),'Lease Cycles'!$AZ$25&lt;=AC$6),'Lease Cycles'!$C$25*'Lease Cycles'!$BA$25/12,IF(AND('Lease Cycles'!$AX$25&gt;=INDEX('Lease Cycles'!$BG$25:$BM$25,1,AC299),'Lease Cycles'!$AX$25&lt;=AC$6),'Lease Cycles'!$C$25*'Lease Cycles'!$AY$25/12,IF(AND('Lease Cycles'!$AV$25&gt;=INDEX('Lease Cycles'!$BG$25:$BM$25,1,AC299),'Lease Cycles'!$AV$25&lt;=AC$6),'Lease Cycles'!$C$25*'Lease Cycles'!$AW$25/12,IF(AND('Lease Cycles'!$AT$25&gt;=INDEX('Lease Cycles'!$BG$25:$BM$25,1,AC299),'Lease Cycles'!$AT$25&lt;=AC$6),'Lease Cycles'!$C$25*'Lease Cycles'!$AU$25/12,'Lease Cycles'!$C$25*INDEX('Lease Cycles'!$CB$25:$CH$25,1,AC299)*(1+INDEX('Lease Cycles'!$CI$25:$CO$25,1,AC299))^INT(INT(AC300/12)/INDEX('Lease Cycles'!$CP$25:$CV$25,1,AC299))/12)))),'Lease Cycles'!$C$25*INDEX('Lease Cycles'!$CB$25:$CH$25,1,AC299)*(1+INDEX('Lease Cycles'!$CI$25:$CO$25,1,AC299))^INT(INT(AC300/12)/INDEX('Lease Cycles'!$CP$25:$CV$25,1,AC299))/12))),IF('Lease Cycles'!$N$25=1,'Lease Cycles'!$C$25*'Lease Cycles'!$E$25*INDEX('Lease Cycles'!$HE$25:$HK$25,1,AC299)*(1+INDEX('Lease Cycles'!$GQ$25:$GW$25,1,AC299))^INT(INT((AC$6-INDEX('Lease Cycles'!$GJ$25:$GP$25,1,AC299))/12)/INDEX('Lease Cycles'!$GX$25:$HD$25,1,AC299))/12,0)))</f>
        <v>0</v>
      </c>
      <c r="AD302" s="28">
        <f>IF(AD299=0,IF('Lease Cycles'!$F$25&gt;0,'Lease Cycles'!$C$25*'Lease Cycles'!$E$25/12,0),IF(AD301=1,IF('Lease Cycles'!$AT$25&gt;=9999,'Lease Cycles'!$C$25*INDEX('Lease Cycles'!$CB$25:$CH$25,1,AD299)*(1+INDEX('Lease Cycles'!$CI$25:$CO$25,1,AD299))^INT(INT(AD300/12)/INDEX('Lease Cycles'!$CP$25:$CV$25,1,AD299))/12,IF(AD299=1,IF(AD300&gt;=INDEX('Lease Cycles'!$DK$25:$DQ$25,1,AD299),IF(AD$6&gt;='Lease Cycles'!$AZ$25,'Lease Cycles'!$C$25*'Lease Cycles'!$BA$25/12,IF(AD$6&gt;='Lease Cycles'!$AX$25,'Lease Cycles'!$C$25*'Lease Cycles'!$AY$25/12,IF(AD$6&gt;='Lease Cycles'!$AV$25,'Lease Cycles'!$C$25*'Lease Cycles'!$AW$25/12,IF(AD$6&gt;='Lease Cycles'!$AT$25,'Lease Cycles'!$C$25*'Lease Cycles'!$AU$25/12,'Lease Cycles'!$C$25*INDEX('Lease Cycles'!$CB$25:$CH$25,1,AD299)*(1+INDEX('Lease Cycles'!$CI$25:$CO$25,1,AD299))^INT(INT(AD300/12)/INDEX('Lease Cycles'!$CP$25:$CV$25,1,AD299))/12)))),'Lease Cycles'!$C$25*INDEX('Lease Cycles'!$CB$25:$CH$25,1,AD299)*(1+INDEX('Lease Cycles'!$CI$25:$CO$25,1,AD299))^INT(INT(AD300/12)/INDEX('Lease Cycles'!$CP$25:$CV$25,1,AD299))/12),IF(INDEX('Lease Cycles'!$EF$25:$EL$25,1,AD299)=1,IF(AND('Lease Cycles'!$AZ$25&gt;=INDEX('Lease Cycles'!$BG$25:$BM$25,1,AD299),'Lease Cycles'!$AZ$25&lt;=AD$6),'Lease Cycles'!$C$25*'Lease Cycles'!$BA$25/12,IF(AND('Lease Cycles'!$AX$25&gt;=INDEX('Lease Cycles'!$BG$25:$BM$25,1,AD299),'Lease Cycles'!$AX$25&lt;=AD$6),'Lease Cycles'!$C$25*'Lease Cycles'!$AY$25/12,IF(AND('Lease Cycles'!$AV$25&gt;=INDEX('Lease Cycles'!$BG$25:$BM$25,1,AD299),'Lease Cycles'!$AV$25&lt;=AD$6),'Lease Cycles'!$C$25*'Lease Cycles'!$AW$25/12,IF(AND('Lease Cycles'!$AT$25&gt;=INDEX('Lease Cycles'!$BG$25:$BM$25,1,AD299),'Lease Cycles'!$AT$25&lt;=AD$6),'Lease Cycles'!$C$25*'Lease Cycles'!$AU$25/12,'Lease Cycles'!$C$25*INDEX('Lease Cycles'!$CB$25:$CH$25,1,AD299)*(1+INDEX('Lease Cycles'!$CI$25:$CO$25,1,AD299))^INT(INT(AD300/12)/INDEX('Lease Cycles'!$CP$25:$CV$25,1,AD299))/12)))),'Lease Cycles'!$C$25*INDEX('Lease Cycles'!$CB$25:$CH$25,1,AD299)*(1+INDEX('Lease Cycles'!$CI$25:$CO$25,1,AD299))^INT(INT(AD300/12)/INDEX('Lease Cycles'!$CP$25:$CV$25,1,AD299))/12))),IF('Lease Cycles'!$N$25=1,'Lease Cycles'!$C$25*'Lease Cycles'!$E$25*INDEX('Lease Cycles'!$HE$25:$HK$25,1,AD299)*(1+INDEX('Lease Cycles'!$GQ$25:$GW$25,1,AD299))^INT(INT((AD$6-INDEX('Lease Cycles'!$GJ$25:$GP$25,1,AD299))/12)/INDEX('Lease Cycles'!$GX$25:$HD$25,1,AD299))/12,0)))</f>
        <v>0</v>
      </c>
      <c r="AE302" s="28">
        <f>IF(AE299=0,IF('Lease Cycles'!$F$25&gt;0,'Lease Cycles'!$C$25*'Lease Cycles'!$E$25/12,0),IF(AE301=1,IF('Lease Cycles'!$AT$25&gt;=9999,'Lease Cycles'!$C$25*INDEX('Lease Cycles'!$CB$25:$CH$25,1,AE299)*(1+INDEX('Lease Cycles'!$CI$25:$CO$25,1,AE299))^INT(INT(AE300/12)/INDEX('Lease Cycles'!$CP$25:$CV$25,1,AE299))/12,IF(AE299=1,IF(AE300&gt;=INDEX('Lease Cycles'!$DK$25:$DQ$25,1,AE299),IF(AE$6&gt;='Lease Cycles'!$AZ$25,'Lease Cycles'!$C$25*'Lease Cycles'!$BA$25/12,IF(AE$6&gt;='Lease Cycles'!$AX$25,'Lease Cycles'!$C$25*'Lease Cycles'!$AY$25/12,IF(AE$6&gt;='Lease Cycles'!$AV$25,'Lease Cycles'!$C$25*'Lease Cycles'!$AW$25/12,IF(AE$6&gt;='Lease Cycles'!$AT$25,'Lease Cycles'!$C$25*'Lease Cycles'!$AU$25/12,'Lease Cycles'!$C$25*INDEX('Lease Cycles'!$CB$25:$CH$25,1,AE299)*(1+INDEX('Lease Cycles'!$CI$25:$CO$25,1,AE299))^INT(INT(AE300/12)/INDEX('Lease Cycles'!$CP$25:$CV$25,1,AE299))/12)))),'Lease Cycles'!$C$25*INDEX('Lease Cycles'!$CB$25:$CH$25,1,AE299)*(1+INDEX('Lease Cycles'!$CI$25:$CO$25,1,AE299))^INT(INT(AE300/12)/INDEX('Lease Cycles'!$CP$25:$CV$25,1,AE299))/12),IF(INDEX('Lease Cycles'!$EF$25:$EL$25,1,AE299)=1,IF(AND('Lease Cycles'!$AZ$25&gt;=INDEX('Lease Cycles'!$BG$25:$BM$25,1,AE299),'Lease Cycles'!$AZ$25&lt;=AE$6),'Lease Cycles'!$C$25*'Lease Cycles'!$BA$25/12,IF(AND('Lease Cycles'!$AX$25&gt;=INDEX('Lease Cycles'!$BG$25:$BM$25,1,AE299),'Lease Cycles'!$AX$25&lt;=AE$6),'Lease Cycles'!$C$25*'Lease Cycles'!$AY$25/12,IF(AND('Lease Cycles'!$AV$25&gt;=INDEX('Lease Cycles'!$BG$25:$BM$25,1,AE299),'Lease Cycles'!$AV$25&lt;=AE$6),'Lease Cycles'!$C$25*'Lease Cycles'!$AW$25/12,IF(AND('Lease Cycles'!$AT$25&gt;=INDEX('Lease Cycles'!$BG$25:$BM$25,1,AE299),'Lease Cycles'!$AT$25&lt;=AE$6),'Lease Cycles'!$C$25*'Lease Cycles'!$AU$25/12,'Lease Cycles'!$C$25*INDEX('Lease Cycles'!$CB$25:$CH$25,1,AE299)*(1+INDEX('Lease Cycles'!$CI$25:$CO$25,1,AE299))^INT(INT(AE300/12)/INDEX('Lease Cycles'!$CP$25:$CV$25,1,AE299))/12)))),'Lease Cycles'!$C$25*INDEX('Lease Cycles'!$CB$25:$CH$25,1,AE299)*(1+INDEX('Lease Cycles'!$CI$25:$CO$25,1,AE299))^INT(INT(AE300/12)/INDEX('Lease Cycles'!$CP$25:$CV$25,1,AE299))/12))),IF('Lease Cycles'!$N$25=1,'Lease Cycles'!$C$25*'Lease Cycles'!$E$25*INDEX('Lease Cycles'!$HE$25:$HK$25,1,AE299)*(1+INDEX('Lease Cycles'!$GQ$25:$GW$25,1,AE299))^INT(INT((AE$6-INDEX('Lease Cycles'!$GJ$25:$GP$25,1,AE299))/12)/INDEX('Lease Cycles'!$GX$25:$HD$25,1,AE299))/12,0)))</f>
        <v>0</v>
      </c>
      <c r="AF302" s="28">
        <f>IF(AF299=0,IF('Lease Cycles'!$F$25&gt;0,'Lease Cycles'!$C$25*'Lease Cycles'!$E$25/12,0),IF(AF301=1,IF('Lease Cycles'!$AT$25&gt;=9999,'Lease Cycles'!$C$25*INDEX('Lease Cycles'!$CB$25:$CH$25,1,AF299)*(1+INDEX('Lease Cycles'!$CI$25:$CO$25,1,AF299))^INT(INT(AF300/12)/INDEX('Lease Cycles'!$CP$25:$CV$25,1,AF299))/12,IF(AF299=1,IF(AF300&gt;=INDEX('Lease Cycles'!$DK$25:$DQ$25,1,AF299),IF(AF$6&gt;='Lease Cycles'!$AZ$25,'Lease Cycles'!$C$25*'Lease Cycles'!$BA$25/12,IF(AF$6&gt;='Lease Cycles'!$AX$25,'Lease Cycles'!$C$25*'Lease Cycles'!$AY$25/12,IF(AF$6&gt;='Lease Cycles'!$AV$25,'Lease Cycles'!$C$25*'Lease Cycles'!$AW$25/12,IF(AF$6&gt;='Lease Cycles'!$AT$25,'Lease Cycles'!$C$25*'Lease Cycles'!$AU$25/12,'Lease Cycles'!$C$25*INDEX('Lease Cycles'!$CB$25:$CH$25,1,AF299)*(1+INDEX('Lease Cycles'!$CI$25:$CO$25,1,AF299))^INT(INT(AF300/12)/INDEX('Lease Cycles'!$CP$25:$CV$25,1,AF299))/12)))),'Lease Cycles'!$C$25*INDEX('Lease Cycles'!$CB$25:$CH$25,1,AF299)*(1+INDEX('Lease Cycles'!$CI$25:$CO$25,1,AF299))^INT(INT(AF300/12)/INDEX('Lease Cycles'!$CP$25:$CV$25,1,AF299))/12),IF(INDEX('Lease Cycles'!$EF$25:$EL$25,1,AF299)=1,IF(AND('Lease Cycles'!$AZ$25&gt;=INDEX('Lease Cycles'!$BG$25:$BM$25,1,AF299),'Lease Cycles'!$AZ$25&lt;=AF$6),'Lease Cycles'!$C$25*'Lease Cycles'!$BA$25/12,IF(AND('Lease Cycles'!$AX$25&gt;=INDEX('Lease Cycles'!$BG$25:$BM$25,1,AF299),'Lease Cycles'!$AX$25&lt;=AF$6),'Lease Cycles'!$C$25*'Lease Cycles'!$AY$25/12,IF(AND('Lease Cycles'!$AV$25&gt;=INDEX('Lease Cycles'!$BG$25:$BM$25,1,AF299),'Lease Cycles'!$AV$25&lt;=AF$6),'Lease Cycles'!$C$25*'Lease Cycles'!$AW$25/12,IF(AND('Lease Cycles'!$AT$25&gt;=INDEX('Lease Cycles'!$BG$25:$BM$25,1,AF299),'Lease Cycles'!$AT$25&lt;=AF$6),'Lease Cycles'!$C$25*'Lease Cycles'!$AU$25/12,'Lease Cycles'!$C$25*INDEX('Lease Cycles'!$CB$25:$CH$25,1,AF299)*(1+INDEX('Lease Cycles'!$CI$25:$CO$25,1,AF299))^INT(INT(AF300/12)/INDEX('Lease Cycles'!$CP$25:$CV$25,1,AF299))/12)))),'Lease Cycles'!$C$25*INDEX('Lease Cycles'!$CB$25:$CH$25,1,AF299)*(1+INDEX('Lease Cycles'!$CI$25:$CO$25,1,AF299))^INT(INT(AF300/12)/INDEX('Lease Cycles'!$CP$25:$CV$25,1,AF299))/12))),IF('Lease Cycles'!$N$25=1,'Lease Cycles'!$C$25*'Lease Cycles'!$E$25*INDEX('Lease Cycles'!$HE$25:$HK$25,1,AF299)*(1+INDEX('Lease Cycles'!$GQ$25:$GW$25,1,AF299))^INT(INT((AF$6-INDEX('Lease Cycles'!$GJ$25:$GP$25,1,AF299))/12)/INDEX('Lease Cycles'!$GX$25:$HD$25,1,AF299))/12,0)))</f>
        <v>0</v>
      </c>
      <c r="AG302" s="28">
        <f>IF(AG299=0,IF('Lease Cycles'!$F$25&gt;0,'Lease Cycles'!$C$25*'Lease Cycles'!$E$25/12,0),IF(AG301=1,IF('Lease Cycles'!$AT$25&gt;=9999,'Lease Cycles'!$C$25*INDEX('Lease Cycles'!$CB$25:$CH$25,1,AG299)*(1+INDEX('Lease Cycles'!$CI$25:$CO$25,1,AG299))^INT(INT(AG300/12)/INDEX('Lease Cycles'!$CP$25:$CV$25,1,AG299))/12,IF(AG299=1,IF(AG300&gt;=INDEX('Lease Cycles'!$DK$25:$DQ$25,1,AG299),IF(AG$6&gt;='Lease Cycles'!$AZ$25,'Lease Cycles'!$C$25*'Lease Cycles'!$BA$25/12,IF(AG$6&gt;='Lease Cycles'!$AX$25,'Lease Cycles'!$C$25*'Lease Cycles'!$AY$25/12,IF(AG$6&gt;='Lease Cycles'!$AV$25,'Lease Cycles'!$C$25*'Lease Cycles'!$AW$25/12,IF(AG$6&gt;='Lease Cycles'!$AT$25,'Lease Cycles'!$C$25*'Lease Cycles'!$AU$25/12,'Lease Cycles'!$C$25*INDEX('Lease Cycles'!$CB$25:$CH$25,1,AG299)*(1+INDEX('Lease Cycles'!$CI$25:$CO$25,1,AG299))^INT(INT(AG300/12)/INDEX('Lease Cycles'!$CP$25:$CV$25,1,AG299))/12)))),'Lease Cycles'!$C$25*INDEX('Lease Cycles'!$CB$25:$CH$25,1,AG299)*(1+INDEX('Lease Cycles'!$CI$25:$CO$25,1,AG299))^INT(INT(AG300/12)/INDEX('Lease Cycles'!$CP$25:$CV$25,1,AG299))/12),IF(INDEX('Lease Cycles'!$EF$25:$EL$25,1,AG299)=1,IF(AND('Lease Cycles'!$AZ$25&gt;=INDEX('Lease Cycles'!$BG$25:$BM$25,1,AG299),'Lease Cycles'!$AZ$25&lt;=AG$6),'Lease Cycles'!$C$25*'Lease Cycles'!$BA$25/12,IF(AND('Lease Cycles'!$AX$25&gt;=INDEX('Lease Cycles'!$BG$25:$BM$25,1,AG299),'Lease Cycles'!$AX$25&lt;=AG$6),'Lease Cycles'!$C$25*'Lease Cycles'!$AY$25/12,IF(AND('Lease Cycles'!$AV$25&gt;=INDEX('Lease Cycles'!$BG$25:$BM$25,1,AG299),'Lease Cycles'!$AV$25&lt;=AG$6),'Lease Cycles'!$C$25*'Lease Cycles'!$AW$25/12,IF(AND('Lease Cycles'!$AT$25&gt;=INDEX('Lease Cycles'!$BG$25:$BM$25,1,AG299),'Lease Cycles'!$AT$25&lt;=AG$6),'Lease Cycles'!$C$25*'Lease Cycles'!$AU$25/12,'Lease Cycles'!$C$25*INDEX('Lease Cycles'!$CB$25:$CH$25,1,AG299)*(1+INDEX('Lease Cycles'!$CI$25:$CO$25,1,AG299))^INT(INT(AG300/12)/INDEX('Lease Cycles'!$CP$25:$CV$25,1,AG299))/12)))),'Lease Cycles'!$C$25*INDEX('Lease Cycles'!$CB$25:$CH$25,1,AG299)*(1+INDEX('Lease Cycles'!$CI$25:$CO$25,1,AG299))^INT(INT(AG300/12)/INDEX('Lease Cycles'!$CP$25:$CV$25,1,AG299))/12))),IF('Lease Cycles'!$N$25=1,'Lease Cycles'!$C$25*'Lease Cycles'!$E$25*INDEX('Lease Cycles'!$HE$25:$HK$25,1,AG299)*(1+INDEX('Lease Cycles'!$GQ$25:$GW$25,1,AG299))^INT(INT((AG$6-INDEX('Lease Cycles'!$GJ$25:$GP$25,1,AG299))/12)/INDEX('Lease Cycles'!$GX$25:$HD$25,1,AG299))/12,0)))</f>
        <v>0</v>
      </c>
      <c r="AH302" s="28">
        <f>IF(AH299=0,IF('Lease Cycles'!$F$25&gt;0,'Lease Cycles'!$C$25*'Lease Cycles'!$E$25/12,0),IF(AH301=1,IF('Lease Cycles'!$AT$25&gt;=9999,'Lease Cycles'!$C$25*INDEX('Lease Cycles'!$CB$25:$CH$25,1,AH299)*(1+INDEX('Lease Cycles'!$CI$25:$CO$25,1,AH299))^INT(INT(AH300/12)/INDEX('Lease Cycles'!$CP$25:$CV$25,1,AH299))/12,IF(AH299=1,IF(AH300&gt;=INDEX('Lease Cycles'!$DK$25:$DQ$25,1,AH299),IF(AH$6&gt;='Lease Cycles'!$AZ$25,'Lease Cycles'!$C$25*'Lease Cycles'!$BA$25/12,IF(AH$6&gt;='Lease Cycles'!$AX$25,'Lease Cycles'!$C$25*'Lease Cycles'!$AY$25/12,IF(AH$6&gt;='Lease Cycles'!$AV$25,'Lease Cycles'!$C$25*'Lease Cycles'!$AW$25/12,IF(AH$6&gt;='Lease Cycles'!$AT$25,'Lease Cycles'!$C$25*'Lease Cycles'!$AU$25/12,'Lease Cycles'!$C$25*INDEX('Lease Cycles'!$CB$25:$CH$25,1,AH299)*(1+INDEX('Lease Cycles'!$CI$25:$CO$25,1,AH299))^INT(INT(AH300/12)/INDEX('Lease Cycles'!$CP$25:$CV$25,1,AH299))/12)))),'Lease Cycles'!$C$25*INDEX('Lease Cycles'!$CB$25:$CH$25,1,AH299)*(1+INDEX('Lease Cycles'!$CI$25:$CO$25,1,AH299))^INT(INT(AH300/12)/INDEX('Lease Cycles'!$CP$25:$CV$25,1,AH299))/12),IF(INDEX('Lease Cycles'!$EF$25:$EL$25,1,AH299)=1,IF(AND('Lease Cycles'!$AZ$25&gt;=INDEX('Lease Cycles'!$BG$25:$BM$25,1,AH299),'Lease Cycles'!$AZ$25&lt;=AH$6),'Lease Cycles'!$C$25*'Lease Cycles'!$BA$25/12,IF(AND('Lease Cycles'!$AX$25&gt;=INDEX('Lease Cycles'!$BG$25:$BM$25,1,AH299),'Lease Cycles'!$AX$25&lt;=AH$6),'Lease Cycles'!$C$25*'Lease Cycles'!$AY$25/12,IF(AND('Lease Cycles'!$AV$25&gt;=INDEX('Lease Cycles'!$BG$25:$BM$25,1,AH299),'Lease Cycles'!$AV$25&lt;=AH$6),'Lease Cycles'!$C$25*'Lease Cycles'!$AW$25/12,IF(AND('Lease Cycles'!$AT$25&gt;=INDEX('Lease Cycles'!$BG$25:$BM$25,1,AH299),'Lease Cycles'!$AT$25&lt;=AH$6),'Lease Cycles'!$C$25*'Lease Cycles'!$AU$25/12,'Lease Cycles'!$C$25*INDEX('Lease Cycles'!$CB$25:$CH$25,1,AH299)*(1+INDEX('Lease Cycles'!$CI$25:$CO$25,1,AH299))^INT(INT(AH300/12)/INDEX('Lease Cycles'!$CP$25:$CV$25,1,AH299))/12)))),'Lease Cycles'!$C$25*INDEX('Lease Cycles'!$CB$25:$CH$25,1,AH299)*(1+INDEX('Lease Cycles'!$CI$25:$CO$25,1,AH299))^INT(INT(AH300/12)/INDEX('Lease Cycles'!$CP$25:$CV$25,1,AH299))/12))),IF('Lease Cycles'!$N$25=1,'Lease Cycles'!$C$25*'Lease Cycles'!$E$25*INDEX('Lease Cycles'!$HE$25:$HK$25,1,AH299)*(1+INDEX('Lease Cycles'!$GQ$25:$GW$25,1,AH299))^INT(INT((AH$6-INDEX('Lease Cycles'!$GJ$25:$GP$25,1,AH299))/12)/INDEX('Lease Cycles'!$GX$25:$HD$25,1,AH299))/12,0)))</f>
        <v>0</v>
      </c>
      <c r="AI302" s="28">
        <f>IF(AI299=0,IF('Lease Cycles'!$F$25&gt;0,'Lease Cycles'!$C$25*'Lease Cycles'!$E$25/12,0),IF(AI301=1,IF('Lease Cycles'!$AT$25&gt;=9999,'Lease Cycles'!$C$25*INDEX('Lease Cycles'!$CB$25:$CH$25,1,AI299)*(1+INDEX('Lease Cycles'!$CI$25:$CO$25,1,AI299))^INT(INT(AI300/12)/INDEX('Lease Cycles'!$CP$25:$CV$25,1,AI299))/12,IF(AI299=1,IF(AI300&gt;=INDEX('Lease Cycles'!$DK$25:$DQ$25,1,AI299),IF(AI$6&gt;='Lease Cycles'!$AZ$25,'Lease Cycles'!$C$25*'Lease Cycles'!$BA$25/12,IF(AI$6&gt;='Lease Cycles'!$AX$25,'Lease Cycles'!$C$25*'Lease Cycles'!$AY$25/12,IF(AI$6&gt;='Lease Cycles'!$AV$25,'Lease Cycles'!$C$25*'Lease Cycles'!$AW$25/12,IF(AI$6&gt;='Lease Cycles'!$AT$25,'Lease Cycles'!$C$25*'Lease Cycles'!$AU$25/12,'Lease Cycles'!$C$25*INDEX('Lease Cycles'!$CB$25:$CH$25,1,AI299)*(1+INDEX('Lease Cycles'!$CI$25:$CO$25,1,AI299))^INT(INT(AI300/12)/INDEX('Lease Cycles'!$CP$25:$CV$25,1,AI299))/12)))),'Lease Cycles'!$C$25*INDEX('Lease Cycles'!$CB$25:$CH$25,1,AI299)*(1+INDEX('Lease Cycles'!$CI$25:$CO$25,1,AI299))^INT(INT(AI300/12)/INDEX('Lease Cycles'!$CP$25:$CV$25,1,AI299))/12),IF(INDEX('Lease Cycles'!$EF$25:$EL$25,1,AI299)=1,IF(AND('Lease Cycles'!$AZ$25&gt;=INDEX('Lease Cycles'!$BG$25:$BM$25,1,AI299),'Lease Cycles'!$AZ$25&lt;=AI$6),'Lease Cycles'!$C$25*'Lease Cycles'!$BA$25/12,IF(AND('Lease Cycles'!$AX$25&gt;=INDEX('Lease Cycles'!$BG$25:$BM$25,1,AI299),'Lease Cycles'!$AX$25&lt;=AI$6),'Lease Cycles'!$C$25*'Lease Cycles'!$AY$25/12,IF(AND('Lease Cycles'!$AV$25&gt;=INDEX('Lease Cycles'!$BG$25:$BM$25,1,AI299),'Lease Cycles'!$AV$25&lt;=AI$6),'Lease Cycles'!$C$25*'Lease Cycles'!$AW$25/12,IF(AND('Lease Cycles'!$AT$25&gt;=INDEX('Lease Cycles'!$BG$25:$BM$25,1,AI299),'Lease Cycles'!$AT$25&lt;=AI$6),'Lease Cycles'!$C$25*'Lease Cycles'!$AU$25/12,'Lease Cycles'!$C$25*INDEX('Lease Cycles'!$CB$25:$CH$25,1,AI299)*(1+INDEX('Lease Cycles'!$CI$25:$CO$25,1,AI299))^INT(INT(AI300/12)/INDEX('Lease Cycles'!$CP$25:$CV$25,1,AI299))/12)))),'Lease Cycles'!$C$25*INDEX('Lease Cycles'!$CB$25:$CH$25,1,AI299)*(1+INDEX('Lease Cycles'!$CI$25:$CO$25,1,AI299))^INT(INT(AI300/12)/INDEX('Lease Cycles'!$CP$25:$CV$25,1,AI299))/12))),IF('Lease Cycles'!$N$25=1,'Lease Cycles'!$C$25*'Lease Cycles'!$E$25*INDEX('Lease Cycles'!$HE$25:$HK$25,1,AI299)*(1+INDEX('Lease Cycles'!$GQ$25:$GW$25,1,AI299))^INT(INT((AI$6-INDEX('Lease Cycles'!$GJ$25:$GP$25,1,AI299))/12)/INDEX('Lease Cycles'!$GX$25:$HD$25,1,AI299))/12,0)))</f>
        <v>0</v>
      </c>
      <c r="AJ302" s="28">
        <f>IF(AJ299=0,IF('Lease Cycles'!$F$25&gt;0,'Lease Cycles'!$C$25*'Lease Cycles'!$E$25/12,0),IF(AJ301=1,IF('Lease Cycles'!$AT$25&gt;=9999,'Lease Cycles'!$C$25*INDEX('Lease Cycles'!$CB$25:$CH$25,1,AJ299)*(1+INDEX('Lease Cycles'!$CI$25:$CO$25,1,AJ299))^INT(INT(AJ300/12)/INDEX('Lease Cycles'!$CP$25:$CV$25,1,AJ299))/12,IF(AJ299=1,IF(AJ300&gt;=INDEX('Lease Cycles'!$DK$25:$DQ$25,1,AJ299),IF(AJ$6&gt;='Lease Cycles'!$AZ$25,'Lease Cycles'!$C$25*'Lease Cycles'!$BA$25/12,IF(AJ$6&gt;='Lease Cycles'!$AX$25,'Lease Cycles'!$C$25*'Lease Cycles'!$AY$25/12,IF(AJ$6&gt;='Lease Cycles'!$AV$25,'Lease Cycles'!$C$25*'Lease Cycles'!$AW$25/12,IF(AJ$6&gt;='Lease Cycles'!$AT$25,'Lease Cycles'!$C$25*'Lease Cycles'!$AU$25/12,'Lease Cycles'!$C$25*INDEX('Lease Cycles'!$CB$25:$CH$25,1,AJ299)*(1+INDEX('Lease Cycles'!$CI$25:$CO$25,1,AJ299))^INT(INT(AJ300/12)/INDEX('Lease Cycles'!$CP$25:$CV$25,1,AJ299))/12)))),'Lease Cycles'!$C$25*INDEX('Lease Cycles'!$CB$25:$CH$25,1,AJ299)*(1+INDEX('Lease Cycles'!$CI$25:$CO$25,1,AJ299))^INT(INT(AJ300/12)/INDEX('Lease Cycles'!$CP$25:$CV$25,1,AJ299))/12),IF(INDEX('Lease Cycles'!$EF$25:$EL$25,1,AJ299)=1,IF(AND('Lease Cycles'!$AZ$25&gt;=INDEX('Lease Cycles'!$BG$25:$BM$25,1,AJ299),'Lease Cycles'!$AZ$25&lt;=AJ$6),'Lease Cycles'!$C$25*'Lease Cycles'!$BA$25/12,IF(AND('Lease Cycles'!$AX$25&gt;=INDEX('Lease Cycles'!$BG$25:$BM$25,1,AJ299),'Lease Cycles'!$AX$25&lt;=AJ$6),'Lease Cycles'!$C$25*'Lease Cycles'!$AY$25/12,IF(AND('Lease Cycles'!$AV$25&gt;=INDEX('Lease Cycles'!$BG$25:$BM$25,1,AJ299),'Lease Cycles'!$AV$25&lt;=AJ$6),'Lease Cycles'!$C$25*'Lease Cycles'!$AW$25/12,IF(AND('Lease Cycles'!$AT$25&gt;=INDEX('Lease Cycles'!$BG$25:$BM$25,1,AJ299),'Lease Cycles'!$AT$25&lt;=AJ$6),'Lease Cycles'!$C$25*'Lease Cycles'!$AU$25/12,'Lease Cycles'!$C$25*INDEX('Lease Cycles'!$CB$25:$CH$25,1,AJ299)*(1+INDEX('Lease Cycles'!$CI$25:$CO$25,1,AJ299))^INT(INT(AJ300/12)/INDEX('Lease Cycles'!$CP$25:$CV$25,1,AJ299))/12)))),'Lease Cycles'!$C$25*INDEX('Lease Cycles'!$CB$25:$CH$25,1,AJ299)*(1+INDEX('Lease Cycles'!$CI$25:$CO$25,1,AJ299))^INT(INT(AJ300/12)/INDEX('Lease Cycles'!$CP$25:$CV$25,1,AJ299))/12))),IF('Lease Cycles'!$N$25=1,'Lease Cycles'!$C$25*'Lease Cycles'!$E$25*INDEX('Lease Cycles'!$HE$25:$HK$25,1,AJ299)*(1+INDEX('Lease Cycles'!$GQ$25:$GW$25,1,AJ299))^INT(INT((AJ$6-INDEX('Lease Cycles'!$GJ$25:$GP$25,1,AJ299))/12)/INDEX('Lease Cycles'!$GX$25:$HD$25,1,AJ299))/12,0)))</f>
        <v>0</v>
      </c>
      <c r="AK302" s="28">
        <f>IF(AK299=0,IF('Lease Cycles'!$F$25&gt;0,'Lease Cycles'!$C$25*'Lease Cycles'!$E$25/12,0),IF(AK301=1,IF('Lease Cycles'!$AT$25&gt;=9999,'Lease Cycles'!$C$25*INDEX('Lease Cycles'!$CB$25:$CH$25,1,AK299)*(1+INDEX('Lease Cycles'!$CI$25:$CO$25,1,AK299))^INT(INT(AK300/12)/INDEX('Lease Cycles'!$CP$25:$CV$25,1,AK299))/12,IF(AK299=1,IF(AK300&gt;=INDEX('Lease Cycles'!$DK$25:$DQ$25,1,AK299),IF(AK$6&gt;='Lease Cycles'!$AZ$25,'Lease Cycles'!$C$25*'Lease Cycles'!$BA$25/12,IF(AK$6&gt;='Lease Cycles'!$AX$25,'Lease Cycles'!$C$25*'Lease Cycles'!$AY$25/12,IF(AK$6&gt;='Lease Cycles'!$AV$25,'Lease Cycles'!$C$25*'Lease Cycles'!$AW$25/12,IF(AK$6&gt;='Lease Cycles'!$AT$25,'Lease Cycles'!$C$25*'Lease Cycles'!$AU$25/12,'Lease Cycles'!$C$25*INDEX('Lease Cycles'!$CB$25:$CH$25,1,AK299)*(1+INDEX('Lease Cycles'!$CI$25:$CO$25,1,AK299))^INT(INT(AK300/12)/INDEX('Lease Cycles'!$CP$25:$CV$25,1,AK299))/12)))),'Lease Cycles'!$C$25*INDEX('Lease Cycles'!$CB$25:$CH$25,1,AK299)*(1+INDEX('Lease Cycles'!$CI$25:$CO$25,1,AK299))^INT(INT(AK300/12)/INDEX('Lease Cycles'!$CP$25:$CV$25,1,AK299))/12),IF(INDEX('Lease Cycles'!$EF$25:$EL$25,1,AK299)=1,IF(AND('Lease Cycles'!$AZ$25&gt;=INDEX('Lease Cycles'!$BG$25:$BM$25,1,AK299),'Lease Cycles'!$AZ$25&lt;=AK$6),'Lease Cycles'!$C$25*'Lease Cycles'!$BA$25/12,IF(AND('Lease Cycles'!$AX$25&gt;=INDEX('Lease Cycles'!$BG$25:$BM$25,1,AK299),'Lease Cycles'!$AX$25&lt;=AK$6),'Lease Cycles'!$C$25*'Lease Cycles'!$AY$25/12,IF(AND('Lease Cycles'!$AV$25&gt;=INDEX('Lease Cycles'!$BG$25:$BM$25,1,AK299),'Lease Cycles'!$AV$25&lt;=AK$6),'Lease Cycles'!$C$25*'Lease Cycles'!$AW$25/12,IF(AND('Lease Cycles'!$AT$25&gt;=INDEX('Lease Cycles'!$BG$25:$BM$25,1,AK299),'Lease Cycles'!$AT$25&lt;=AK$6),'Lease Cycles'!$C$25*'Lease Cycles'!$AU$25/12,'Lease Cycles'!$C$25*INDEX('Lease Cycles'!$CB$25:$CH$25,1,AK299)*(1+INDEX('Lease Cycles'!$CI$25:$CO$25,1,AK299))^INT(INT(AK300/12)/INDEX('Lease Cycles'!$CP$25:$CV$25,1,AK299))/12)))),'Lease Cycles'!$C$25*INDEX('Lease Cycles'!$CB$25:$CH$25,1,AK299)*(1+INDEX('Lease Cycles'!$CI$25:$CO$25,1,AK299))^INT(INT(AK300/12)/INDEX('Lease Cycles'!$CP$25:$CV$25,1,AK299))/12))),IF('Lease Cycles'!$N$25=1,'Lease Cycles'!$C$25*'Lease Cycles'!$E$25*INDEX('Lease Cycles'!$HE$25:$HK$25,1,AK299)*(1+INDEX('Lease Cycles'!$GQ$25:$GW$25,1,AK299))^INT(INT((AK$6-INDEX('Lease Cycles'!$GJ$25:$GP$25,1,AK299))/12)/INDEX('Lease Cycles'!$GX$25:$HD$25,1,AK299))/12,0)))</f>
        <v>0</v>
      </c>
      <c r="AL302" s="28">
        <f>IF(AL299=0,IF('Lease Cycles'!$F$25&gt;0,'Lease Cycles'!$C$25*'Lease Cycles'!$E$25/12,0),IF(AL301=1,IF('Lease Cycles'!$AT$25&gt;=9999,'Lease Cycles'!$C$25*INDEX('Lease Cycles'!$CB$25:$CH$25,1,AL299)*(1+INDEX('Lease Cycles'!$CI$25:$CO$25,1,AL299))^INT(INT(AL300/12)/INDEX('Lease Cycles'!$CP$25:$CV$25,1,AL299))/12,IF(AL299=1,IF(AL300&gt;=INDEX('Lease Cycles'!$DK$25:$DQ$25,1,AL299),IF(AL$6&gt;='Lease Cycles'!$AZ$25,'Lease Cycles'!$C$25*'Lease Cycles'!$BA$25/12,IF(AL$6&gt;='Lease Cycles'!$AX$25,'Lease Cycles'!$C$25*'Lease Cycles'!$AY$25/12,IF(AL$6&gt;='Lease Cycles'!$AV$25,'Lease Cycles'!$C$25*'Lease Cycles'!$AW$25/12,IF(AL$6&gt;='Lease Cycles'!$AT$25,'Lease Cycles'!$C$25*'Lease Cycles'!$AU$25/12,'Lease Cycles'!$C$25*INDEX('Lease Cycles'!$CB$25:$CH$25,1,AL299)*(1+INDEX('Lease Cycles'!$CI$25:$CO$25,1,AL299))^INT(INT(AL300/12)/INDEX('Lease Cycles'!$CP$25:$CV$25,1,AL299))/12)))),'Lease Cycles'!$C$25*INDEX('Lease Cycles'!$CB$25:$CH$25,1,AL299)*(1+INDEX('Lease Cycles'!$CI$25:$CO$25,1,AL299))^INT(INT(AL300/12)/INDEX('Lease Cycles'!$CP$25:$CV$25,1,AL299))/12),IF(INDEX('Lease Cycles'!$EF$25:$EL$25,1,AL299)=1,IF(AND('Lease Cycles'!$AZ$25&gt;=INDEX('Lease Cycles'!$BG$25:$BM$25,1,AL299),'Lease Cycles'!$AZ$25&lt;=AL$6),'Lease Cycles'!$C$25*'Lease Cycles'!$BA$25/12,IF(AND('Lease Cycles'!$AX$25&gt;=INDEX('Lease Cycles'!$BG$25:$BM$25,1,AL299),'Lease Cycles'!$AX$25&lt;=AL$6),'Lease Cycles'!$C$25*'Lease Cycles'!$AY$25/12,IF(AND('Lease Cycles'!$AV$25&gt;=INDEX('Lease Cycles'!$BG$25:$BM$25,1,AL299),'Lease Cycles'!$AV$25&lt;=AL$6),'Lease Cycles'!$C$25*'Lease Cycles'!$AW$25/12,IF(AND('Lease Cycles'!$AT$25&gt;=INDEX('Lease Cycles'!$BG$25:$BM$25,1,AL299),'Lease Cycles'!$AT$25&lt;=AL$6),'Lease Cycles'!$C$25*'Lease Cycles'!$AU$25/12,'Lease Cycles'!$C$25*INDEX('Lease Cycles'!$CB$25:$CH$25,1,AL299)*(1+INDEX('Lease Cycles'!$CI$25:$CO$25,1,AL299))^INT(INT(AL300/12)/INDEX('Lease Cycles'!$CP$25:$CV$25,1,AL299))/12)))),'Lease Cycles'!$C$25*INDEX('Lease Cycles'!$CB$25:$CH$25,1,AL299)*(1+INDEX('Lease Cycles'!$CI$25:$CO$25,1,AL299))^INT(INT(AL300/12)/INDEX('Lease Cycles'!$CP$25:$CV$25,1,AL299))/12))),IF('Lease Cycles'!$N$25=1,'Lease Cycles'!$C$25*'Lease Cycles'!$E$25*INDEX('Lease Cycles'!$HE$25:$HK$25,1,AL299)*(1+INDEX('Lease Cycles'!$GQ$25:$GW$25,1,AL299))^INT(INT((AL$6-INDEX('Lease Cycles'!$GJ$25:$GP$25,1,AL299))/12)/INDEX('Lease Cycles'!$GX$25:$HD$25,1,AL299))/12,0)))</f>
        <v>0</v>
      </c>
      <c r="AM302" s="28">
        <f>IF(AM299=0,IF('Lease Cycles'!$F$25&gt;0,'Lease Cycles'!$C$25*'Lease Cycles'!$E$25/12,0),IF(AM301=1,IF('Lease Cycles'!$AT$25&gt;=9999,'Lease Cycles'!$C$25*INDEX('Lease Cycles'!$CB$25:$CH$25,1,AM299)*(1+INDEX('Lease Cycles'!$CI$25:$CO$25,1,AM299))^INT(INT(AM300/12)/INDEX('Lease Cycles'!$CP$25:$CV$25,1,AM299))/12,IF(AM299=1,IF(AM300&gt;=INDEX('Lease Cycles'!$DK$25:$DQ$25,1,AM299),IF(AM$6&gt;='Lease Cycles'!$AZ$25,'Lease Cycles'!$C$25*'Lease Cycles'!$BA$25/12,IF(AM$6&gt;='Lease Cycles'!$AX$25,'Lease Cycles'!$C$25*'Lease Cycles'!$AY$25/12,IF(AM$6&gt;='Lease Cycles'!$AV$25,'Lease Cycles'!$C$25*'Lease Cycles'!$AW$25/12,IF(AM$6&gt;='Lease Cycles'!$AT$25,'Lease Cycles'!$C$25*'Lease Cycles'!$AU$25/12,'Lease Cycles'!$C$25*INDEX('Lease Cycles'!$CB$25:$CH$25,1,AM299)*(1+INDEX('Lease Cycles'!$CI$25:$CO$25,1,AM299))^INT(INT(AM300/12)/INDEX('Lease Cycles'!$CP$25:$CV$25,1,AM299))/12)))),'Lease Cycles'!$C$25*INDEX('Lease Cycles'!$CB$25:$CH$25,1,AM299)*(1+INDEX('Lease Cycles'!$CI$25:$CO$25,1,AM299))^INT(INT(AM300/12)/INDEX('Lease Cycles'!$CP$25:$CV$25,1,AM299))/12),IF(INDEX('Lease Cycles'!$EF$25:$EL$25,1,AM299)=1,IF(AND('Lease Cycles'!$AZ$25&gt;=INDEX('Lease Cycles'!$BG$25:$BM$25,1,AM299),'Lease Cycles'!$AZ$25&lt;=AM$6),'Lease Cycles'!$C$25*'Lease Cycles'!$BA$25/12,IF(AND('Lease Cycles'!$AX$25&gt;=INDEX('Lease Cycles'!$BG$25:$BM$25,1,AM299),'Lease Cycles'!$AX$25&lt;=AM$6),'Lease Cycles'!$C$25*'Lease Cycles'!$AY$25/12,IF(AND('Lease Cycles'!$AV$25&gt;=INDEX('Lease Cycles'!$BG$25:$BM$25,1,AM299),'Lease Cycles'!$AV$25&lt;=AM$6),'Lease Cycles'!$C$25*'Lease Cycles'!$AW$25/12,IF(AND('Lease Cycles'!$AT$25&gt;=INDEX('Lease Cycles'!$BG$25:$BM$25,1,AM299),'Lease Cycles'!$AT$25&lt;=AM$6),'Lease Cycles'!$C$25*'Lease Cycles'!$AU$25/12,'Lease Cycles'!$C$25*INDEX('Lease Cycles'!$CB$25:$CH$25,1,AM299)*(1+INDEX('Lease Cycles'!$CI$25:$CO$25,1,AM299))^INT(INT(AM300/12)/INDEX('Lease Cycles'!$CP$25:$CV$25,1,AM299))/12)))),'Lease Cycles'!$C$25*INDEX('Lease Cycles'!$CB$25:$CH$25,1,AM299)*(1+INDEX('Lease Cycles'!$CI$25:$CO$25,1,AM299))^INT(INT(AM300/12)/INDEX('Lease Cycles'!$CP$25:$CV$25,1,AM299))/12))),IF('Lease Cycles'!$N$25=1,'Lease Cycles'!$C$25*'Lease Cycles'!$E$25*INDEX('Lease Cycles'!$HE$25:$HK$25,1,AM299)*(1+INDEX('Lease Cycles'!$GQ$25:$GW$25,1,AM299))^INT(INT((AM$6-INDEX('Lease Cycles'!$GJ$25:$GP$25,1,AM299))/12)/INDEX('Lease Cycles'!$GX$25:$HD$25,1,AM299))/12,0)))</f>
        <v>0</v>
      </c>
      <c r="AN302" s="28">
        <f>IF(AN299=0,IF('Lease Cycles'!$F$25&gt;0,'Lease Cycles'!$C$25*'Lease Cycles'!$E$25/12,0),IF(AN301=1,IF('Lease Cycles'!$AT$25&gt;=9999,'Lease Cycles'!$C$25*INDEX('Lease Cycles'!$CB$25:$CH$25,1,AN299)*(1+INDEX('Lease Cycles'!$CI$25:$CO$25,1,AN299))^INT(INT(AN300/12)/INDEX('Lease Cycles'!$CP$25:$CV$25,1,AN299))/12,IF(AN299=1,IF(AN300&gt;=INDEX('Lease Cycles'!$DK$25:$DQ$25,1,AN299),IF(AN$6&gt;='Lease Cycles'!$AZ$25,'Lease Cycles'!$C$25*'Lease Cycles'!$BA$25/12,IF(AN$6&gt;='Lease Cycles'!$AX$25,'Lease Cycles'!$C$25*'Lease Cycles'!$AY$25/12,IF(AN$6&gt;='Lease Cycles'!$AV$25,'Lease Cycles'!$C$25*'Lease Cycles'!$AW$25/12,IF(AN$6&gt;='Lease Cycles'!$AT$25,'Lease Cycles'!$C$25*'Lease Cycles'!$AU$25/12,'Lease Cycles'!$C$25*INDEX('Lease Cycles'!$CB$25:$CH$25,1,AN299)*(1+INDEX('Lease Cycles'!$CI$25:$CO$25,1,AN299))^INT(INT(AN300/12)/INDEX('Lease Cycles'!$CP$25:$CV$25,1,AN299))/12)))),'Lease Cycles'!$C$25*INDEX('Lease Cycles'!$CB$25:$CH$25,1,AN299)*(1+INDEX('Lease Cycles'!$CI$25:$CO$25,1,AN299))^INT(INT(AN300/12)/INDEX('Lease Cycles'!$CP$25:$CV$25,1,AN299))/12),IF(INDEX('Lease Cycles'!$EF$25:$EL$25,1,AN299)=1,IF(AND('Lease Cycles'!$AZ$25&gt;=INDEX('Lease Cycles'!$BG$25:$BM$25,1,AN299),'Lease Cycles'!$AZ$25&lt;=AN$6),'Lease Cycles'!$C$25*'Lease Cycles'!$BA$25/12,IF(AND('Lease Cycles'!$AX$25&gt;=INDEX('Lease Cycles'!$BG$25:$BM$25,1,AN299),'Lease Cycles'!$AX$25&lt;=AN$6),'Lease Cycles'!$C$25*'Lease Cycles'!$AY$25/12,IF(AND('Lease Cycles'!$AV$25&gt;=INDEX('Lease Cycles'!$BG$25:$BM$25,1,AN299),'Lease Cycles'!$AV$25&lt;=AN$6),'Lease Cycles'!$C$25*'Lease Cycles'!$AW$25/12,IF(AND('Lease Cycles'!$AT$25&gt;=INDEX('Lease Cycles'!$BG$25:$BM$25,1,AN299),'Lease Cycles'!$AT$25&lt;=AN$6),'Lease Cycles'!$C$25*'Lease Cycles'!$AU$25/12,'Lease Cycles'!$C$25*INDEX('Lease Cycles'!$CB$25:$CH$25,1,AN299)*(1+INDEX('Lease Cycles'!$CI$25:$CO$25,1,AN299))^INT(INT(AN300/12)/INDEX('Lease Cycles'!$CP$25:$CV$25,1,AN299))/12)))),'Lease Cycles'!$C$25*INDEX('Lease Cycles'!$CB$25:$CH$25,1,AN299)*(1+INDEX('Lease Cycles'!$CI$25:$CO$25,1,AN299))^INT(INT(AN300/12)/INDEX('Lease Cycles'!$CP$25:$CV$25,1,AN299))/12))),IF('Lease Cycles'!$N$25=1,'Lease Cycles'!$C$25*'Lease Cycles'!$E$25*INDEX('Lease Cycles'!$HE$25:$HK$25,1,AN299)*(1+INDEX('Lease Cycles'!$GQ$25:$GW$25,1,AN299))^INT(INT((AN$6-INDEX('Lease Cycles'!$GJ$25:$GP$25,1,AN299))/12)/INDEX('Lease Cycles'!$GX$25:$HD$25,1,AN299))/12,0)))</f>
        <v>0</v>
      </c>
      <c r="AO302" s="28">
        <f>IF(AO299=0,IF('Lease Cycles'!$F$25&gt;0,'Lease Cycles'!$C$25*'Lease Cycles'!$E$25/12,0),IF(AO301=1,IF('Lease Cycles'!$AT$25&gt;=9999,'Lease Cycles'!$C$25*INDEX('Lease Cycles'!$CB$25:$CH$25,1,AO299)*(1+INDEX('Lease Cycles'!$CI$25:$CO$25,1,AO299))^INT(INT(AO300/12)/INDEX('Lease Cycles'!$CP$25:$CV$25,1,AO299))/12,IF(AO299=1,IF(AO300&gt;=INDEX('Lease Cycles'!$DK$25:$DQ$25,1,AO299),IF(AO$6&gt;='Lease Cycles'!$AZ$25,'Lease Cycles'!$C$25*'Lease Cycles'!$BA$25/12,IF(AO$6&gt;='Lease Cycles'!$AX$25,'Lease Cycles'!$C$25*'Lease Cycles'!$AY$25/12,IF(AO$6&gt;='Lease Cycles'!$AV$25,'Lease Cycles'!$C$25*'Lease Cycles'!$AW$25/12,IF(AO$6&gt;='Lease Cycles'!$AT$25,'Lease Cycles'!$C$25*'Lease Cycles'!$AU$25/12,'Lease Cycles'!$C$25*INDEX('Lease Cycles'!$CB$25:$CH$25,1,AO299)*(1+INDEX('Lease Cycles'!$CI$25:$CO$25,1,AO299))^INT(INT(AO300/12)/INDEX('Lease Cycles'!$CP$25:$CV$25,1,AO299))/12)))),'Lease Cycles'!$C$25*INDEX('Lease Cycles'!$CB$25:$CH$25,1,AO299)*(1+INDEX('Lease Cycles'!$CI$25:$CO$25,1,AO299))^INT(INT(AO300/12)/INDEX('Lease Cycles'!$CP$25:$CV$25,1,AO299))/12),IF(INDEX('Lease Cycles'!$EF$25:$EL$25,1,AO299)=1,IF(AND('Lease Cycles'!$AZ$25&gt;=INDEX('Lease Cycles'!$BG$25:$BM$25,1,AO299),'Lease Cycles'!$AZ$25&lt;=AO$6),'Lease Cycles'!$C$25*'Lease Cycles'!$BA$25/12,IF(AND('Lease Cycles'!$AX$25&gt;=INDEX('Lease Cycles'!$BG$25:$BM$25,1,AO299),'Lease Cycles'!$AX$25&lt;=AO$6),'Lease Cycles'!$C$25*'Lease Cycles'!$AY$25/12,IF(AND('Lease Cycles'!$AV$25&gt;=INDEX('Lease Cycles'!$BG$25:$BM$25,1,AO299),'Lease Cycles'!$AV$25&lt;=AO$6),'Lease Cycles'!$C$25*'Lease Cycles'!$AW$25/12,IF(AND('Lease Cycles'!$AT$25&gt;=INDEX('Lease Cycles'!$BG$25:$BM$25,1,AO299),'Lease Cycles'!$AT$25&lt;=AO$6),'Lease Cycles'!$C$25*'Lease Cycles'!$AU$25/12,'Lease Cycles'!$C$25*INDEX('Lease Cycles'!$CB$25:$CH$25,1,AO299)*(1+INDEX('Lease Cycles'!$CI$25:$CO$25,1,AO299))^INT(INT(AO300/12)/INDEX('Lease Cycles'!$CP$25:$CV$25,1,AO299))/12)))),'Lease Cycles'!$C$25*INDEX('Lease Cycles'!$CB$25:$CH$25,1,AO299)*(1+INDEX('Lease Cycles'!$CI$25:$CO$25,1,AO299))^INT(INT(AO300/12)/INDEX('Lease Cycles'!$CP$25:$CV$25,1,AO299))/12))),IF('Lease Cycles'!$N$25=1,'Lease Cycles'!$C$25*'Lease Cycles'!$E$25*INDEX('Lease Cycles'!$HE$25:$HK$25,1,AO299)*(1+INDEX('Lease Cycles'!$GQ$25:$GW$25,1,AO299))^INT(INT((AO$6-INDEX('Lease Cycles'!$GJ$25:$GP$25,1,AO299))/12)/INDEX('Lease Cycles'!$GX$25:$HD$25,1,AO299))/12,0)))</f>
        <v>0</v>
      </c>
      <c r="AP302" s="28">
        <f>IF(AP299=0,IF('Lease Cycles'!$F$25&gt;0,'Lease Cycles'!$C$25*'Lease Cycles'!$E$25/12,0),IF(AP301=1,IF('Lease Cycles'!$AT$25&gt;=9999,'Lease Cycles'!$C$25*INDEX('Lease Cycles'!$CB$25:$CH$25,1,AP299)*(1+INDEX('Lease Cycles'!$CI$25:$CO$25,1,AP299))^INT(INT(AP300/12)/INDEX('Lease Cycles'!$CP$25:$CV$25,1,AP299))/12,IF(AP299=1,IF(AP300&gt;=INDEX('Lease Cycles'!$DK$25:$DQ$25,1,AP299),IF(AP$6&gt;='Lease Cycles'!$AZ$25,'Lease Cycles'!$C$25*'Lease Cycles'!$BA$25/12,IF(AP$6&gt;='Lease Cycles'!$AX$25,'Lease Cycles'!$C$25*'Lease Cycles'!$AY$25/12,IF(AP$6&gt;='Lease Cycles'!$AV$25,'Lease Cycles'!$C$25*'Lease Cycles'!$AW$25/12,IF(AP$6&gt;='Lease Cycles'!$AT$25,'Lease Cycles'!$C$25*'Lease Cycles'!$AU$25/12,'Lease Cycles'!$C$25*INDEX('Lease Cycles'!$CB$25:$CH$25,1,AP299)*(1+INDEX('Lease Cycles'!$CI$25:$CO$25,1,AP299))^INT(INT(AP300/12)/INDEX('Lease Cycles'!$CP$25:$CV$25,1,AP299))/12)))),'Lease Cycles'!$C$25*INDEX('Lease Cycles'!$CB$25:$CH$25,1,AP299)*(1+INDEX('Lease Cycles'!$CI$25:$CO$25,1,AP299))^INT(INT(AP300/12)/INDEX('Lease Cycles'!$CP$25:$CV$25,1,AP299))/12),IF(INDEX('Lease Cycles'!$EF$25:$EL$25,1,AP299)=1,IF(AND('Lease Cycles'!$AZ$25&gt;=INDEX('Lease Cycles'!$BG$25:$BM$25,1,AP299),'Lease Cycles'!$AZ$25&lt;=AP$6),'Lease Cycles'!$C$25*'Lease Cycles'!$BA$25/12,IF(AND('Lease Cycles'!$AX$25&gt;=INDEX('Lease Cycles'!$BG$25:$BM$25,1,AP299),'Lease Cycles'!$AX$25&lt;=AP$6),'Lease Cycles'!$C$25*'Lease Cycles'!$AY$25/12,IF(AND('Lease Cycles'!$AV$25&gt;=INDEX('Lease Cycles'!$BG$25:$BM$25,1,AP299),'Lease Cycles'!$AV$25&lt;=AP$6),'Lease Cycles'!$C$25*'Lease Cycles'!$AW$25/12,IF(AND('Lease Cycles'!$AT$25&gt;=INDEX('Lease Cycles'!$BG$25:$BM$25,1,AP299),'Lease Cycles'!$AT$25&lt;=AP$6),'Lease Cycles'!$C$25*'Lease Cycles'!$AU$25/12,'Lease Cycles'!$C$25*INDEX('Lease Cycles'!$CB$25:$CH$25,1,AP299)*(1+INDEX('Lease Cycles'!$CI$25:$CO$25,1,AP299))^INT(INT(AP300/12)/INDEX('Lease Cycles'!$CP$25:$CV$25,1,AP299))/12)))),'Lease Cycles'!$C$25*INDEX('Lease Cycles'!$CB$25:$CH$25,1,AP299)*(1+INDEX('Lease Cycles'!$CI$25:$CO$25,1,AP299))^INT(INT(AP300/12)/INDEX('Lease Cycles'!$CP$25:$CV$25,1,AP299))/12))),IF('Lease Cycles'!$N$25=1,'Lease Cycles'!$C$25*'Lease Cycles'!$E$25*INDEX('Lease Cycles'!$HE$25:$HK$25,1,AP299)*(1+INDEX('Lease Cycles'!$GQ$25:$GW$25,1,AP299))^INT(INT((AP$6-INDEX('Lease Cycles'!$GJ$25:$GP$25,1,AP299))/12)/INDEX('Lease Cycles'!$GX$25:$HD$25,1,AP299))/12,0)))</f>
        <v>0</v>
      </c>
      <c r="AQ302" s="28">
        <f>IF(AQ299=0,IF('Lease Cycles'!$F$25&gt;0,'Lease Cycles'!$C$25*'Lease Cycles'!$E$25/12,0),IF(AQ301=1,IF('Lease Cycles'!$AT$25&gt;=9999,'Lease Cycles'!$C$25*INDEX('Lease Cycles'!$CB$25:$CH$25,1,AQ299)*(1+INDEX('Lease Cycles'!$CI$25:$CO$25,1,AQ299))^INT(INT(AQ300/12)/INDEX('Lease Cycles'!$CP$25:$CV$25,1,AQ299))/12,IF(AQ299=1,IF(AQ300&gt;=INDEX('Lease Cycles'!$DK$25:$DQ$25,1,AQ299),IF(AQ$6&gt;='Lease Cycles'!$AZ$25,'Lease Cycles'!$C$25*'Lease Cycles'!$BA$25/12,IF(AQ$6&gt;='Lease Cycles'!$AX$25,'Lease Cycles'!$C$25*'Lease Cycles'!$AY$25/12,IF(AQ$6&gt;='Lease Cycles'!$AV$25,'Lease Cycles'!$C$25*'Lease Cycles'!$AW$25/12,IF(AQ$6&gt;='Lease Cycles'!$AT$25,'Lease Cycles'!$C$25*'Lease Cycles'!$AU$25/12,'Lease Cycles'!$C$25*INDEX('Lease Cycles'!$CB$25:$CH$25,1,AQ299)*(1+INDEX('Lease Cycles'!$CI$25:$CO$25,1,AQ299))^INT(INT(AQ300/12)/INDEX('Lease Cycles'!$CP$25:$CV$25,1,AQ299))/12)))),'Lease Cycles'!$C$25*INDEX('Lease Cycles'!$CB$25:$CH$25,1,AQ299)*(1+INDEX('Lease Cycles'!$CI$25:$CO$25,1,AQ299))^INT(INT(AQ300/12)/INDEX('Lease Cycles'!$CP$25:$CV$25,1,AQ299))/12),IF(INDEX('Lease Cycles'!$EF$25:$EL$25,1,AQ299)=1,IF(AND('Lease Cycles'!$AZ$25&gt;=INDEX('Lease Cycles'!$BG$25:$BM$25,1,AQ299),'Lease Cycles'!$AZ$25&lt;=AQ$6),'Lease Cycles'!$C$25*'Lease Cycles'!$BA$25/12,IF(AND('Lease Cycles'!$AX$25&gt;=INDEX('Lease Cycles'!$BG$25:$BM$25,1,AQ299),'Lease Cycles'!$AX$25&lt;=AQ$6),'Lease Cycles'!$C$25*'Lease Cycles'!$AY$25/12,IF(AND('Lease Cycles'!$AV$25&gt;=INDEX('Lease Cycles'!$BG$25:$BM$25,1,AQ299),'Lease Cycles'!$AV$25&lt;=AQ$6),'Lease Cycles'!$C$25*'Lease Cycles'!$AW$25/12,IF(AND('Lease Cycles'!$AT$25&gt;=INDEX('Lease Cycles'!$BG$25:$BM$25,1,AQ299),'Lease Cycles'!$AT$25&lt;=AQ$6),'Lease Cycles'!$C$25*'Lease Cycles'!$AU$25/12,'Lease Cycles'!$C$25*INDEX('Lease Cycles'!$CB$25:$CH$25,1,AQ299)*(1+INDEX('Lease Cycles'!$CI$25:$CO$25,1,AQ299))^INT(INT(AQ300/12)/INDEX('Lease Cycles'!$CP$25:$CV$25,1,AQ299))/12)))),'Lease Cycles'!$C$25*INDEX('Lease Cycles'!$CB$25:$CH$25,1,AQ299)*(1+INDEX('Lease Cycles'!$CI$25:$CO$25,1,AQ299))^INT(INT(AQ300/12)/INDEX('Lease Cycles'!$CP$25:$CV$25,1,AQ299))/12))),IF('Lease Cycles'!$N$25=1,'Lease Cycles'!$C$25*'Lease Cycles'!$E$25*INDEX('Lease Cycles'!$HE$25:$HK$25,1,AQ299)*(1+INDEX('Lease Cycles'!$GQ$25:$GW$25,1,AQ299))^INT(INT((AQ$6-INDEX('Lease Cycles'!$GJ$25:$GP$25,1,AQ299))/12)/INDEX('Lease Cycles'!$GX$25:$HD$25,1,AQ299))/12,0)))</f>
        <v>0</v>
      </c>
      <c r="AR302" s="28">
        <f>IF(AR299=0,IF('Lease Cycles'!$F$25&gt;0,'Lease Cycles'!$C$25*'Lease Cycles'!$E$25/12,0),IF(AR301=1,IF('Lease Cycles'!$AT$25&gt;=9999,'Lease Cycles'!$C$25*INDEX('Lease Cycles'!$CB$25:$CH$25,1,AR299)*(1+INDEX('Lease Cycles'!$CI$25:$CO$25,1,AR299))^INT(INT(AR300/12)/INDEX('Lease Cycles'!$CP$25:$CV$25,1,AR299))/12,IF(AR299=1,IF(AR300&gt;=INDEX('Lease Cycles'!$DK$25:$DQ$25,1,AR299),IF(AR$6&gt;='Lease Cycles'!$AZ$25,'Lease Cycles'!$C$25*'Lease Cycles'!$BA$25/12,IF(AR$6&gt;='Lease Cycles'!$AX$25,'Lease Cycles'!$C$25*'Lease Cycles'!$AY$25/12,IF(AR$6&gt;='Lease Cycles'!$AV$25,'Lease Cycles'!$C$25*'Lease Cycles'!$AW$25/12,IF(AR$6&gt;='Lease Cycles'!$AT$25,'Lease Cycles'!$C$25*'Lease Cycles'!$AU$25/12,'Lease Cycles'!$C$25*INDEX('Lease Cycles'!$CB$25:$CH$25,1,AR299)*(1+INDEX('Lease Cycles'!$CI$25:$CO$25,1,AR299))^INT(INT(AR300/12)/INDEX('Lease Cycles'!$CP$25:$CV$25,1,AR299))/12)))),'Lease Cycles'!$C$25*INDEX('Lease Cycles'!$CB$25:$CH$25,1,AR299)*(1+INDEX('Lease Cycles'!$CI$25:$CO$25,1,AR299))^INT(INT(AR300/12)/INDEX('Lease Cycles'!$CP$25:$CV$25,1,AR299))/12),IF(INDEX('Lease Cycles'!$EF$25:$EL$25,1,AR299)=1,IF(AND('Lease Cycles'!$AZ$25&gt;=INDEX('Lease Cycles'!$BG$25:$BM$25,1,AR299),'Lease Cycles'!$AZ$25&lt;=AR$6),'Lease Cycles'!$C$25*'Lease Cycles'!$BA$25/12,IF(AND('Lease Cycles'!$AX$25&gt;=INDEX('Lease Cycles'!$BG$25:$BM$25,1,AR299),'Lease Cycles'!$AX$25&lt;=AR$6),'Lease Cycles'!$C$25*'Lease Cycles'!$AY$25/12,IF(AND('Lease Cycles'!$AV$25&gt;=INDEX('Lease Cycles'!$BG$25:$BM$25,1,AR299),'Lease Cycles'!$AV$25&lt;=AR$6),'Lease Cycles'!$C$25*'Lease Cycles'!$AW$25/12,IF(AND('Lease Cycles'!$AT$25&gt;=INDEX('Lease Cycles'!$BG$25:$BM$25,1,AR299),'Lease Cycles'!$AT$25&lt;=AR$6),'Lease Cycles'!$C$25*'Lease Cycles'!$AU$25/12,'Lease Cycles'!$C$25*INDEX('Lease Cycles'!$CB$25:$CH$25,1,AR299)*(1+INDEX('Lease Cycles'!$CI$25:$CO$25,1,AR299))^INT(INT(AR300/12)/INDEX('Lease Cycles'!$CP$25:$CV$25,1,AR299))/12)))),'Lease Cycles'!$C$25*INDEX('Lease Cycles'!$CB$25:$CH$25,1,AR299)*(1+INDEX('Lease Cycles'!$CI$25:$CO$25,1,AR299))^INT(INT(AR300/12)/INDEX('Lease Cycles'!$CP$25:$CV$25,1,AR299))/12))),IF('Lease Cycles'!$N$25=1,'Lease Cycles'!$C$25*'Lease Cycles'!$E$25*INDEX('Lease Cycles'!$HE$25:$HK$25,1,AR299)*(1+INDEX('Lease Cycles'!$GQ$25:$GW$25,1,AR299))^INT(INT((AR$6-INDEX('Lease Cycles'!$GJ$25:$GP$25,1,AR299))/12)/INDEX('Lease Cycles'!$GX$25:$HD$25,1,AR299))/12,0)))</f>
        <v>0</v>
      </c>
      <c r="AS302" s="28">
        <f>IF(AS299=0,IF('Lease Cycles'!$F$25&gt;0,'Lease Cycles'!$C$25*'Lease Cycles'!$E$25/12,0),IF(AS301=1,IF('Lease Cycles'!$AT$25&gt;=9999,'Lease Cycles'!$C$25*INDEX('Lease Cycles'!$CB$25:$CH$25,1,AS299)*(1+INDEX('Lease Cycles'!$CI$25:$CO$25,1,AS299))^INT(INT(AS300/12)/INDEX('Lease Cycles'!$CP$25:$CV$25,1,AS299))/12,IF(AS299=1,IF(AS300&gt;=INDEX('Lease Cycles'!$DK$25:$DQ$25,1,AS299),IF(AS$6&gt;='Lease Cycles'!$AZ$25,'Lease Cycles'!$C$25*'Lease Cycles'!$BA$25/12,IF(AS$6&gt;='Lease Cycles'!$AX$25,'Lease Cycles'!$C$25*'Lease Cycles'!$AY$25/12,IF(AS$6&gt;='Lease Cycles'!$AV$25,'Lease Cycles'!$C$25*'Lease Cycles'!$AW$25/12,IF(AS$6&gt;='Lease Cycles'!$AT$25,'Lease Cycles'!$C$25*'Lease Cycles'!$AU$25/12,'Lease Cycles'!$C$25*INDEX('Lease Cycles'!$CB$25:$CH$25,1,AS299)*(1+INDEX('Lease Cycles'!$CI$25:$CO$25,1,AS299))^INT(INT(AS300/12)/INDEX('Lease Cycles'!$CP$25:$CV$25,1,AS299))/12)))),'Lease Cycles'!$C$25*INDEX('Lease Cycles'!$CB$25:$CH$25,1,AS299)*(1+INDEX('Lease Cycles'!$CI$25:$CO$25,1,AS299))^INT(INT(AS300/12)/INDEX('Lease Cycles'!$CP$25:$CV$25,1,AS299))/12),IF(INDEX('Lease Cycles'!$EF$25:$EL$25,1,AS299)=1,IF(AND('Lease Cycles'!$AZ$25&gt;=INDEX('Lease Cycles'!$BG$25:$BM$25,1,AS299),'Lease Cycles'!$AZ$25&lt;=AS$6),'Lease Cycles'!$C$25*'Lease Cycles'!$BA$25/12,IF(AND('Lease Cycles'!$AX$25&gt;=INDEX('Lease Cycles'!$BG$25:$BM$25,1,AS299),'Lease Cycles'!$AX$25&lt;=AS$6),'Lease Cycles'!$C$25*'Lease Cycles'!$AY$25/12,IF(AND('Lease Cycles'!$AV$25&gt;=INDEX('Lease Cycles'!$BG$25:$BM$25,1,AS299),'Lease Cycles'!$AV$25&lt;=AS$6),'Lease Cycles'!$C$25*'Lease Cycles'!$AW$25/12,IF(AND('Lease Cycles'!$AT$25&gt;=INDEX('Lease Cycles'!$BG$25:$BM$25,1,AS299),'Lease Cycles'!$AT$25&lt;=AS$6),'Lease Cycles'!$C$25*'Lease Cycles'!$AU$25/12,'Lease Cycles'!$C$25*INDEX('Lease Cycles'!$CB$25:$CH$25,1,AS299)*(1+INDEX('Lease Cycles'!$CI$25:$CO$25,1,AS299))^INT(INT(AS300/12)/INDEX('Lease Cycles'!$CP$25:$CV$25,1,AS299))/12)))),'Lease Cycles'!$C$25*INDEX('Lease Cycles'!$CB$25:$CH$25,1,AS299)*(1+INDEX('Lease Cycles'!$CI$25:$CO$25,1,AS299))^INT(INT(AS300/12)/INDEX('Lease Cycles'!$CP$25:$CV$25,1,AS299))/12))),IF('Lease Cycles'!$N$25=1,'Lease Cycles'!$C$25*'Lease Cycles'!$E$25*INDEX('Lease Cycles'!$HE$25:$HK$25,1,AS299)*(1+INDEX('Lease Cycles'!$GQ$25:$GW$25,1,AS299))^INT(INT((AS$6-INDEX('Lease Cycles'!$GJ$25:$GP$25,1,AS299))/12)/INDEX('Lease Cycles'!$GX$25:$HD$25,1,AS299))/12,0)))</f>
        <v>0</v>
      </c>
      <c r="AT302" s="28">
        <f>IF(AT299=0,IF('Lease Cycles'!$F$25&gt;0,'Lease Cycles'!$C$25*'Lease Cycles'!$E$25/12,0),IF(AT301=1,IF('Lease Cycles'!$AT$25&gt;=9999,'Lease Cycles'!$C$25*INDEX('Lease Cycles'!$CB$25:$CH$25,1,AT299)*(1+INDEX('Lease Cycles'!$CI$25:$CO$25,1,AT299))^INT(INT(AT300/12)/INDEX('Lease Cycles'!$CP$25:$CV$25,1,AT299))/12,IF(AT299=1,IF(AT300&gt;=INDEX('Lease Cycles'!$DK$25:$DQ$25,1,AT299),IF(AT$6&gt;='Lease Cycles'!$AZ$25,'Lease Cycles'!$C$25*'Lease Cycles'!$BA$25/12,IF(AT$6&gt;='Lease Cycles'!$AX$25,'Lease Cycles'!$C$25*'Lease Cycles'!$AY$25/12,IF(AT$6&gt;='Lease Cycles'!$AV$25,'Lease Cycles'!$C$25*'Lease Cycles'!$AW$25/12,IF(AT$6&gt;='Lease Cycles'!$AT$25,'Lease Cycles'!$C$25*'Lease Cycles'!$AU$25/12,'Lease Cycles'!$C$25*INDEX('Lease Cycles'!$CB$25:$CH$25,1,AT299)*(1+INDEX('Lease Cycles'!$CI$25:$CO$25,1,AT299))^INT(INT(AT300/12)/INDEX('Lease Cycles'!$CP$25:$CV$25,1,AT299))/12)))),'Lease Cycles'!$C$25*INDEX('Lease Cycles'!$CB$25:$CH$25,1,AT299)*(1+INDEX('Lease Cycles'!$CI$25:$CO$25,1,AT299))^INT(INT(AT300/12)/INDEX('Lease Cycles'!$CP$25:$CV$25,1,AT299))/12),IF(INDEX('Lease Cycles'!$EF$25:$EL$25,1,AT299)=1,IF(AND('Lease Cycles'!$AZ$25&gt;=INDEX('Lease Cycles'!$BG$25:$BM$25,1,AT299),'Lease Cycles'!$AZ$25&lt;=AT$6),'Lease Cycles'!$C$25*'Lease Cycles'!$BA$25/12,IF(AND('Lease Cycles'!$AX$25&gt;=INDEX('Lease Cycles'!$BG$25:$BM$25,1,AT299),'Lease Cycles'!$AX$25&lt;=AT$6),'Lease Cycles'!$C$25*'Lease Cycles'!$AY$25/12,IF(AND('Lease Cycles'!$AV$25&gt;=INDEX('Lease Cycles'!$BG$25:$BM$25,1,AT299),'Lease Cycles'!$AV$25&lt;=AT$6),'Lease Cycles'!$C$25*'Lease Cycles'!$AW$25/12,IF(AND('Lease Cycles'!$AT$25&gt;=INDEX('Lease Cycles'!$BG$25:$BM$25,1,AT299),'Lease Cycles'!$AT$25&lt;=AT$6),'Lease Cycles'!$C$25*'Lease Cycles'!$AU$25/12,'Lease Cycles'!$C$25*INDEX('Lease Cycles'!$CB$25:$CH$25,1,AT299)*(1+INDEX('Lease Cycles'!$CI$25:$CO$25,1,AT299))^INT(INT(AT300/12)/INDEX('Lease Cycles'!$CP$25:$CV$25,1,AT299))/12)))),'Lease Cycles'!$C$25*INDEX('Lease Cycles'!$CB$25:$CH$25,1,AT299)*(1+INDEX('Lease Cycles'!$CI$25:$CO$25,1,AT299))^INT(INT(AT300/12)/INDEX('Lease Cycles'!$CP$25:$CV$25,1,AT299))/12))),IF('Lease Cycles'!$N$25=1,'Lease Cycles'!$C$25*'Lease Cycles'!$E$25*INDEX('Lease Cycles'!$HE$25:$HK$25,1,AT299)*(1+INDEX('Lease Cycles'!$GQ$25:$GW$25,1,AT299))^INT(INT((AT$6-INDEX('Lease Cycles'!$GJ$25:$GP$25,1,AT299))/12)/INDEX('Lease Cycles'!$GX$25:$HD$25,1,AT299))/12,0)))</f>
        <v>0</v>
      </c>
      <c r="AU302" s="28">
        <f>IF(AU299=0,IF('Lease Cycles'!$F$25&gt;0,'Lease Cycles'!$C$25*'Lease Cycles'!$E$25/12,0),IF(AU301=1,IF('Lease Cycles'!$AT$25&gt;=9999,'Lease Cycles'!$C$25*INDEX('Lease Cycles'!$CB$25:$CH$25,1,AU299)*(1+INDEX('Lease Cycles'!$CI$25:$CO$25,1,AU299))^INT(INT(AU300/12)/INDEX('Lease Cycles'!$CP$25:$CV$25,1,AU299))/12,IF(AU299=1,IF(AU300&gt;=INDEX('Lease Cycles'!$DK$25:$DQ$25,1,AU299),IF(AU$6&gt;='Lease Cycles'!$AZ$25,'Lease Cycles'!$C$25*'Lease Cycles'!$BA$25/12,IF(AU$6&gt;='Lease Cycles'!$AX$25,'Lease Cycles'!$C$25*'Lease Cycles'!$AY$25/12,IF(AU$6&gt;='Lease Cycles'!$AV$25,'Lease Cycles'!$C$25*'Lease Cycles'!$AW$25/12,IF(AU$6&gt;='Lease Cycles'!$AT$25,'Lease Cycles'!$C$25*'Lease Cycles'!$AU$25/12,'Lease Cycles'!$C$25*INDEX('Lease Cycles'!$CB$25:$CH$25,1,AU299)*(1+INDEX('Lease Cycles'!$CI$25:$CO$25,1,AU299))^INT(INT(AU300/12)/INDEX('Lease Cycles'!$CP$25:$CV$25,1,AU299))/12)))),'Lease Cycles'!$C$25*INDEX('Lease Cycles'!$CB$25:$CH$25,1,AU299)*(1+INDEX('Lease Cycles'!$CI$25:$CO$25,1,AU299))^INT(INT(AU300/12)/INDEX('Lease Cycles'!$CP$25:$CV$25,1,AU299))/12),IF(INDEX('Lease Cycles'!$EF$25:$EL$25,1,AU299)=1,IF(AND('Lease Cycles'!$AZ$25&gt;=INDEX('Lease Cycles'!$BG$25:$BM$25,1,AU299),'Lease Cycles'!$AZ$25&lt;=AU$6),'Lease Cycles'!$C$25*'Lease Cycles'!$BA$25/12,IF(AND('Lease Cycles'!$AX$25&gt;=INDEX('Lease Cycles'!$BG$25:$BM$25,1,AU299),'Lease Cycles'!$AX$25&lt;=AU$6),'Lease Cycles'!$C$25*'Lease Cycles'!$AY$25/12,IF(AND('Lease Cycles'!$AV$25&gt;=INDEX('Lease Cycles'!$BG$25:$BM$25,1,AU299),'Lease Cycles'!$AV$25&lt;=AU$6),'Lease Cycles'!$C$25*'Lease Cycles'!$AW$25/12,IF(AND('Lease Cycles'!$AT$25&gt;=INDEX('Lease Cycles'!$BG$25:$BM$25,1,AU299),'Lease Cycles'!$AT$25&lt;=AU$6),'Lease Cycles'!$C$25*'Lease Cycles'!$AU$25/12,'Lease Cycles'!$C$25*INDEX('Lease Cycles'!$CB$25:$CH$25,1,AU299)*(1+INDEX('Lease Cycles'!$CI$25:$CO$25,1,AU299))^INT(INT(AU300/12)/INDEX('Lease Cycles'!$CP$25:$CV$25,1,AU299))/12)))),'Lease Cycles'!$C$25*INDEX('Lease Cycles'!$CB$25:$CH$25,1,AU299)*(1+INDEX('Lease Cycles'!$CI$25:$CO$25,1,AU299))^INT(INT(AU300/12)/INDEX('Lease Cycles'!$CP$25:$CV$25,1,AU299))/12))),IF('Lease Cycles'!$N$25=1,'Lease Cycles'!$C$25*'Lease Cycles'!$E$25*INDEX('Lease Cycles'!$HE$25:$HK$25,1,AU299)*(1+INDEX('Lease Cycles'!$GQ$25:$GW$25,1,AU299))^INT(INT((AU$6-INDEX('Lease Cycles'!$GJ$25:$GP$25,1,AU299))/12)/INDEX('Lease Cycles'!$GX$25:$HD$25,1,AU299))/12,0)))</f>
        <v>0</v>
      </c>
      <c r="AV302" s="28">
        <f>IF(AV299=0,IF('Lease Cycles'!$F$25&gt;0,'Lease Cycles'!$C$25*'Lease Cycles'!$E$25/12,0),IF(AV301=1,IF('Lease Cycles'!$AT$25&gt;=9999,'Lease Cycles'!$C$25*INDEX('Lease Cycles'!$CB$25:$CH$25,1,AV299)*(1+INDEX('Lease Cycles'!$CI$25:$CO$25,1,AV299))^INT(INT(AV300/12)/INDEX('Lease Cycles'!$CP$25:$CV$25,1,AV299))/12,IF(AV299=1,IF(AV300&gt;=INDEX('Lease Cycles'!$DK$25:$DQ$25,1,AV299),IF(AV$6&gt;='Lease Cycles'!$AZ$25,'Lease Cycles'!$C$25*'Lease Cycles'!$BA$25/12,IF(AV$6&gt;='Lease Cycles'!$AX$25,'Lease Cycles'!$C$25*'Lease Cycles'!$AY$25/12,IF(AV$6&gt;='Lease Cycles'!$AV$25,'Lease Cycles'!$C$25*'Lease Cycles'!$AW$25/12,IF(AV$6&gt;='Lease Cycles'!$AT$25,'Lease Cycles'!$C$25*'Lease Cycles'!$AU$25/12,'Lease Cycles'!$C$25*INDEX('Lease Cycles'!$CB$25:$CH$25,1,AV299)*(1+INDEX('Lease Cycles'!$CI$25:$CO$25,1,AV299))^INT(INT(AV300/12)/INDEX('Lease Cycles'!$CP$25:$CV$25,1,AV299))/12)))),'Lease Cycles'!$C$25*INDEX('Lease Cycles'!$CB$25:$CH$25,1,AV299)*(1+INDEX('Lease Cycles'!$CI$25:$CO$25,1,AV299))^INT(INT(AV300/12)/INDEX('Lease Cycles'!$CP$25:$CV$25,1,AV299))/12),IF(INDEX('Lease Cycles'!$EF$25:$EL$25,1,AV299)=1,IF(AND('Lease Cycles'!$AZ$25&gt;=INDEX('Lease Cycles'!$BG$25:$BM$25,1,AV299),'Lease Cycles'!$AZ$25&lt;=AV$6),'Lease Cycles'!$C$25*'Lease Cycles'!$BA$25/12,IF(AND('Lease Cycles'!$AX$25&gt;=INDEX('Lease Cycles'!$BG$25:$BM$25,1,AV299),'Lease Cycles'!$AX$25&lt;=AV$6),'Lease Cycles'!$C$25*'Lease Cycles'!$AY$25/12,IF(AND('Lease Cycles'!$AV$25&gt;=INDEX('Lease Cycles'!$BG$25:$BM$25,1,AV299),'Lease Cycles'!$AV$25&lt;=AV$6),'Lease Cycles'!$C$25*'Lease Cycles'!$AW$25/12,IF(AND('Lease Cycles'!$AT$25&gt;=INDEX('Lease Cycles'!$BG$25:$BM$25,1,AV299),'Lease Cycles'!$AT$25&lt;=AV$6),'Lease Cycles'!$C$25*'Lease Cycles'!$AU$25/12,'Lease Cycles'!$C$25*INDEX('Lease Cycles'!$CB$25:$CH$25,1,AV299)*(1+INDEX('Lease Cycles'!$CI$25:$CO$25,1,AV299))^INT(INT(AV300/12)/INDEX('Lease Cycles'!$CP$25:$CV$25,1,AV299))/12)))),'Lease Cycles'!$C$25*INDEX('Lease Cycles'!$CB$25:$CH$25,1,AV299)*(1+INDEX('Lease Cycles'!$CI$25:$CO$25,1,AV299))^INT(INT(AV300/12)/INDEX('Lease Cycles'!$CP$25:$CV$25,1,AV299))/12))),IF('Lease Cycles'!$N$25=1,'Lease Cycles'!$C$25*'Lease Cycles'!$E$25*INDEX('Lease Cycles'!$HE$25:$HK$25,1,AV299)*(1+INDEX('Lease Cycles'!$GQ$25:$GW$25,1,AV299))^INT(INT((AV$6-INDEX('Lease Cycles'!$GJ$25:$GP$25,1,AV299))/12)/INDEX('Lease Cycles'!$GX$25:$HD$25,1,AV299))/12,0)))</f>
        <v>0</v>
      </c>
      <c r="AW302" s="28">
        <f>IF(AW299=0,IF('Lease Cycles'!$F$25&gt;0,'Lease Cycles'!$C$25*'Lease Cycles'!$E$25/12,0),IF(AW301=1,IF('Lease Cycles'!$AT$25&gt;=9999,'Lease Cycles'!$C$25*INDEX('Lease Cycles'!$CB$25:$CH$25,1,AW299)*(1+INDEX('Lease Cycles'!$CI$25:$CO$25,1,AW299))^INT(INT(AW300/12)/INDEX('Lease Cycles'!$CP$25:$CV$25,1,AW299))/12,IF(AW299=1,IF(AW300&gt;=INDEX('Lease Cycles'!$DK$25:$DQ$25,1,AW299),IF(AW$6&gt;='Lease Cycles'!$AZ$25,'Lease Cycles'!$C$25*'Lease Cycles'!$BA$25/12,IF(AW$6&gt;='Lease Cycles'!$AX$25,'Lease Cycles'!$C$25*'Lease Cycles'!$AY$25/12,IF(AW$6&gt;='Lease Cycles'!$AV$25,'Lease Cycles'!$C$25*'Lease Cycles'!$AW$25/12,IF(AW$6&gt;='Lease Cycles'!$AT$25,'Lease Cycles'!$C$25*'Lease Cycles'!$AU$25/12,'Lease Cycles'!$C$25*INDEX('Lease Cycles'!$CB$25:$CH$25,1,AW299)*(1+INDEX('Lease Cycles'!$CI$25:$CO$25,1,AW299))^INT(INT(AW300/12)/INDEX('Lease Cycles'!$CP$25:$CV$25,1,AW299))/12)))),'Lease Cycles'!$C$25*INDEX('Lease Cycles'!$CB$25:$CH$25,1,AW299)*(1+INDEX('Lease Cycles'!$CI$25:$CO$25,1,AW299))^INT(INT(AW300/12)/INDEX('Lease Cycles'!$CP$25:$CV$25,1,AW299))/12),IF(INDEX('Lease Cycles'!$EF$25:$EL$25,1,AW299)=1,IF(AND('Lease Cycles'!$AZ$25&gt;=INDEX('Lease Cycles'!$BG$25:$BM$25,1,AW299),'Lease Cycles'!$AZ$25&lt;=AW$6),'Lease Cycles'!$C$25*'Lease Cycles'!$BA$25/12,IF(AND('Lease Cycles'!$AX$25&gt;=INDEX('Lease Cycles'!$BG$25:$BM$25,1,AW299),'Lease Cycles'!$AX$25&lt;=AW$6),'Lease Cycles'!$C$25*'Lease Cycles'!$AY$25/12,IF(AND('Lease Cycles'!$AV$25&gt;=INDEX('Lease Cycles'!$BG$25:$BM$25,1,AW299),'Lease Cycles'!$AV$25&lt;=AW$6),'Lease Cycles'!$C$25*'Lease Cycles'!$AW$25/12,IF(AND('Lease Cycles'!$AT$25&gt;=INDEX('Lease Cycles'!$BG$25:$BM$25,1,AW299),'Lease Cycles'!$AT$25&lt;=AW$6),'Lease Cycles'!$C$25*'Lease Cycles'!$AU$25/12,'Lease Cycles'!$C$25*INDEX('Lease Cycles'!$CB$25:$CH$25,1,AW299)*(1+INDEX('Lease Cycles'!$CI$25:$CO$25,1,AW299))^INT(INT(AW300/12)/INDEX('Lease Cycles'!$CP$25:$CV$25,1,AW299))/12)))),'Lease Cycles'!$C$25*INDEX('Lease Cycles'!$CB$25:$CH$25,1,AW299)*(1+INDEX('Lease Cycles'!$CI$25:$CO$25,1,AW299))^INT(INT(AW300/12)/INDEX('Lease Cycles'!$CP$25:$CV$25,1,AW299))/12))),IF('Lease Cycles'!$N$25=1,'Lease Cycles'!$C$25*'Lease Cycles'!$E$25*INDEX('Lease Cycles'!$HE$25:$HK$25,1,AW299)*(1+INDEX('Lease Cycles'!$GQ$25:$GW$25,1,AW299))^INT(INT((AW$6-INDEX('Lease Cycles'!$GJ$25:$GP$25,1,AW299))/12)/INDEX('Lease Cycles'!$GX$25:$HD$25,1,AW299))/12,0)))</f>
        <v>0</v>
      </c>
      <c r="AX302" s="28">
        <f>IF(AX299=0,IF('Lease Cycles'!$F$25&gt;0,'Lease Cycles'!$C$25*'Lease Cycles'!$E$25/12,0),IF(AX301=1,IF('Lease Cycles'!$AT$25&gt;=9999,'Lease Cycles'!$C$25*INDEX('Lease Cycles'!$CB$25:$CH$25,1,AX299)*(1+INDEX('Lease Cycles'!$CI$25:$CO$25,1,AX299))^INT(INT(AX300/12)/INDEX('Lease Cycles'!$CP$25:$CV$25,1,AX299))/12,IF(AX299=1,IF(AX300&gt;=INDEX('Lease Cycles'!$DK$25:$DQ$25,1,AX299),IF(AX$6&gt;='Lease Cycles'!$AZ$25,'Lease Cycles'!$C$25*'Lease Cycles'!$BA$25/12,IF(AX$6&gt;='Lease Cycles'!$AX$25,'Lease Cycles'!$C$25*'Lease Cycles'!$AY$25/12,IF(AX$6&gt;='Lease Cycles'!$AV$25,'Lease Cycles'!$C$25*'Lease Cycles'!$AW$25/12,IF(AX$6&gt;='Lease Cycles'!$AT$25,'Lease Cycles'!$C$25*'Lease Cycles'!$AU$25/12,'Lease Cycles'!$C$25*INDEX('Lease Cycles'!$CB$25:$CH$25,1,AX299)*(1+INDEX('Lease Cycles'!$CI$25:$CO$25,1,AX299))^INT(INT(AX300/12)/INDEX('Lease Cycles'!$CP$25:$CV$25,1,AX299))/12)))),'Lease Cycles'!$C$25*INDEX('Lease Cycles'!$CB$25:$CH$25,1,AX299)*(1+INDEX('Lease Cycles'!$CI$25:$CO$25,1,AX299))^INT(INT(AX300/12)/INDEX('Lease Cycles'!$CP$25:$CV$25,1,AX299))/12),IF(INDEX('Lease Cycles'!$EF$25:$EL$25,1,AX299)=1,IF(AND('Lease Cycles'!$AZ$25&gt;=INDEX('Lease Cycles'!$BG$25:$BM$25,1,AX299),'Lease Cycles'!$AZ$25&lt;=AX$6),'Lease Cycles'!$C$25*'Lease Cycles'!$BA$25/12,IF(AND('Lease Cycles'!$AX$25&gt;=INDEX('Lease Cycles'!$BG$25:$BM$25,1,AX299),'Lease Cycles'!$AX$25&lt;=AX$6),'Lease Cycles'!$C$25*'Lease Cycles'!$AY$25/12,IF(AND('Lease Cycles'!$AV$25&gt;=INDEX('Lease Cycles'!$BG$25:$BM$25,1,AX299),'Lease Cycles'!$AV$25&lt;=AX$6),'Lease Cycles'!$C$25*'Lease Cycles'!$AW$25/12,IF(AND('Lease Cycles'!$AT$25&gt;=INDEX('Lease Cycles'!$BG$25:$BM$25,1,AX299),'Lease Cycles'!$AT$25&lt;=AX$6),'Lease Cycles'!$C$25*'Lease Cycles'!$AU$25/12,'Lease Cycles'!$C$25*INDEX('Lease Cycles'!$CB$25:$CH$25,1,AX299)*(1+INDEX('Lease Cycles'!$CI$25:$CO$25,1,AX299))^INT(INT(AX300/12)/INDEX('Lease Cycles'!$CP$25:$CV$25,1,AX299))/12)))),'Lease Cycles'!$C$25*INDEX('Lease Cycles'!$CB$25:$CH$25,1,AX299)*(1+INDEX('Lease Cycles'!$CI$25:$CO$25,1,AX299))^INT(INT(AX300/12)/INDEX('Lease Cycles'!$CP$25:$CV$25,1,AX299))/12))),IF('Lease Cycles'!$N$25=1,'Lease Cycles'!$C$25*'Lease Cycles'!$E$25*INDEX('Lease Cycles'!$HE$25:$HK$25,1,AX299)*(1+INDEX('Lease Cycles'!$GQ$25:$GW$25,1,AX299))^INT(INT((AX$6-INDEX('Lease Cycles'!$GJ$25:$GP$25,1,AX299))/12)/INDEX('Lease Cycles'!$GX$25:$HD$25,1,AX299))/12,0)))</f>
        <v>0</v>
      </c>
      <c r="AY302" s="28">
        <f>IF(AY299=0,IF('Lease Cycles'!$F$25&gt;0,'Lease Cycles'!$C$25*'Lease Cycles'!$E$25/12,0),IF(AY301=1,IF('Lease Cycles'!$AT$25&gt;=9999,'Lease Cycles'!$C$25*INDEX('Lease Cycles'!$CB$25:$CH$25,1,AY299)*(1+INDEX('Lease Cycles'!$CI$25:$CO$25,1,AY299))^INT(INT(AY300/12)/INDEX('Lease Cycles'!$CP$25:$CV$25,1,AY299))/12,IF(AY299=1,IF(AY300&gt;=INDEX('Lease Cycles'!$DK$25:$DQ$25,1,AY299),IF(AY$6&gt;='Lease Cycles'!$AZ$25,'Lease Cycles'!$C$25*'Lease Cycles'!$BA$25/12,IF(AY$6&gt;='Lease Cycles'!$AX$25,'Lease Cycles'!$C$25*'Lease Cycles'!$AY$25/12,IF(AY$6&gt;='Lease Cycles'!$AV$25,'Lease Cycles'!$C$25*'Lease Cycles'!$AW$25/12,IF(AY$6&gt;='Lease Cycles'!$AT$25,'Lease Cycles'!$C$25*'Lease Cycles'!$AU$25/12,'Lease Cycles'!$C$25*INDEX('Lease Cycles'!$CB$25:$CH$25,1,AY299)*(1+INDEX('Lease Cycles'!$CI$25:$CO$25,1,AY299))^INT(INT(AY300/12)/INDEX('Lease Cycles'!$CP$25:$CV$25,1,AY299))/12)))),'Lease Cycles'!$C$25*INDEX('Lease Cycles'!$CB$25:$CH$25,1,AY299)*(1+INDEX('Lease Cycles'!$CI$25:$CO$25,1,AY299))^INT(INT(AY300/12)/INDEX('Lease Cycles'!$CP$25:$CV$25,1,AY299))/12),IF(INDEX('Lease Cycles'!$EF$25:$EL$25,1,AY299)=1,IF(AND('Lease Cycles'!$AZ$25&gt;=INDEX('Lease Cycles'!$BG$25:$BM$25,1,AY299),'Lease Cycles'!$AZ$25&lt;=AY$6),'Lease Cycles'!$C$25*'Lease Cycles'!$BA$25/12,IF(AND('Lease Cycles'!$AX$25&gt;=INDEX('Lease Cycles'!$BG$25:$BM$25,1,AY299),'Lease Cycles'!$AX$25&lt;=AY$6),'Lease Cycles'!$C$25*'Lease Cycles'!$AY$25/12,IF(AND('Lease Cycles'!$AV$25&gt;=INDEX('Lease Cycles'!$BG$25:$BM$25,1,AY299),'Lease Cycles'!$AV$25&lt;=AY$6),'Lease Cycles'!$C$25*'Lease Cycles'!$AW$25/12,IF(AND('Lease Cycles'!$AT$25&gt;=INDEX('Lease Cycles'!$BG$25:$BM$25,1,AY299),'Lease Cycles'!$AT$25&lt;=AY$6),'Lease Cycles'!$C$25*'Lease Cycles'!$AU$25/12,'Lease Cycles'!$C$25*INDEX('Lease Cycles'!$CB$25:$CH$25,1,AY299)*(1+INDEX('Lease Cycles'!$CI$25:$CO$25,1,AY299))^INT(INT(AY300/12)/INDEX('Lease Cycles'!$CP$25:$CV$25,1,AY299))/12)))),'Lease Cycles'!$C$25*INDEX('Lease Cycles'!$CB$25:$CH$25,1,AY299)*(1+INDEX('Lease Cycles'!$CI$25:$CO$25,1,AY299))^INT(INT(AY300/12)/INDEX('Lease Cycles'!$CP$25:$CV$25,1,AY299))/12))),IF('Lease Cycles'!$N$25=1,'Lease Cycles'!$C$25*'Lease Cycles'!$E$25*INDEX('Lease Cycles'!$HE$25:$HK$25,1,AY299)*(1+INDEX('Lease Cycles'!$GQ$25:$GW$25,1,AY299))^INT(INT((AY$6-INDEX('Lease Cycles'!$GJ$25:$GP$25,1,AY299))/12)/INDEX('Lease Cycles'!$GX$25:$HD$25,1,AY299))/12,0)))</f>
        <v>0</v>
      </c>
      <c r="AZ302" s="28">
        <f>IF(AZ299=0,IF('Lease Cycles'!$F$25&gt;0,'Lease Cycles'!$C$25*'Lease Cycles'!$E$25/12,0),IF(AZ301=1,IF('Lease Cycles'!$AT$25&gt;=9999,'Lease Cycles'!$C$25*INDEX('Lease Cycles'!$CB$25:$CH$25,1,AZ299)*(1+INDEX('Lease Cycles'!$CI$25:$CO$25,1,AZ299))^INT(INT(AZ300/12)/INDEX('Lease Cycles'!$CP$25:$CV$25,1,AZ299))/12,IF(AZ299=1,IF(AZ300&gt;=INDEX('Lease Cycles'!$DK$25:$DQ$25,1,AZ299),IF(AZ$6&gt;='Lease Cycles'!$AZ$25,'Lease Cycles'!$C$25*'Lease Cycles'!$BA$25/12,IF(AZ$6&gt;='Lease Cycles'!$AX$25,'Lease Cycles'!$C$25*'Lease Cycles'!$AY$25/12,IF(AZ$6&gt;='Lease Cycles'!$AV$25,'Lease Cycles'!$C$25*'Lease Cycles'!$AW$25/12,IF(AZ$6&gt;='Lease Cycles'!$AT$25,'Lease Cycles'!$C$25*'Lease Cycles'!$AU$25/12,'Lease Cycles'!$C$25*INDEX('Lease Cycles'!$CB$25:$CH$25,1,AZ299)*(1+INDEX('Lease Cycles'!$CI$25:$CO$25,1,AZ299))^INT(INT(AZ300/12)/INDEX('Lease Cycles'!$CP$25:$CV$25,1,AZ299))/12)))),'Lease Cycles'!$C$25*INDEX('Lease Cycles'!$CB$25:$CH$25,1,AZ299)*(1+INDEX('Lease Cycles'!$CI$25:$CO$25,1,AZ299))^INT(INT(AZ300/12)/INDEX('Lease Cycles'!$CP$25:$CV$25,1,AZ299))/12),IF(INDEX('Lease Cycles'!$EF$25:$EL$25,1,AZ299)=1,IF(AND('Lease Cycles'!$AZ$25&gt;=INDEX('Lease Cycles'!$BG$25:$BM$25,1,AZ299),'Lease Cycles'!$AZ$25&lt;=AZ$6),'Lease Cycles'!$C$25*'Lease Cycles'!$BA$25/12,IF(AND('Lease Cycles'!$AX$25&gt;=INDEX('Lease Cycles'!$BG$25:$BM$25,1,AZ299),'Lease Cycles'!$AX$25&lt;=AZ$6),'Lease Cycles'!$C$25*'Lease Cycles'!$AY$25/12,IF(AND('Lease Cycles'!$AV$25&gt;=INDEX('Lease Cycles'!$BG$25:$BM$25,1,AZ299),'Lease Cycles'!$AV$25&lt;=AZ$6),'Lease Cycles'!$C$25*'Lease Cycles'!$AW$25/12,IF(AND('Lease Cycles'!$AT$25&gt;=INDEX('Lease Cycles'!$BG$25:$BM$25,1,AZ299),'Lease Cycles'!$AT$25&lt;=AZ$6),'Lease Cycles'!$C$25*'Lease Cycles'!$AU$25/12,'Lease Cycles'!$C$25*INDEX('Lease Cycles'!$CB$25:$CH$25,1,AZ299)*(1+INDEX('Lease Cycles'!$CI$25:$CO$25,1,AZ299))^INT(INT(AZ300/12)/INDEX('Lease Cycles'!$CP$25:$CV$25,1,AZ299))/12)))),'Lease Cycles'!$C$25*INDEX('Lease Cycles'!$CB$25:$CH$25,1,AZ299)*(1+INDEX('Lease Cycles'!$CI$25:$CO$25,1,AZ299))^INT(INT(AZ300/12)/INDEX('Lease Cycles'!$CP$25:$CV$25,1,AZ299))/12))),IF('Lease Cycles'!$N$25=1,'Lease Cycles'!$C$25*'Lease Cycles'!$E$25*INDEX('Lease Cycles'!$HE$25:$HK$25,1,AZ299)*(1+INDEX('Lease Cycles'!$GQ$25:$GW$25,1,AZ299))^INT(INT((AZ$6-INDEX('Lease Cycles'!$GJ$25:$GP$25,1,AZ299))/12)/INDEX('Lease Cycles'!$GX$25:$HD$25,1,AZ299))/12,0)))</f>
        <v>0</v>
      </c>
      <c r="BA302" s="28">
        <f>IF(BA299=0,IF('Lease Cycles'!$F$25&gt;0,'Lease Cycles'!$C$25*'Lease Cycles'!$E$25/12,0),IF(BA301=1,IF('Lease Cycles'!$AT$25&gt;=9999,'Lease Cycles'!$C$25*INDEX('Lease Cycles'!$CB$25:$CH$25,1,BA299)*(1+INDEX('Lease Cycles'!$CI$25:$CO$25,1,BA299))^INT(INT(BA300/12)/INDEX('Lease Cycles'!$CP$25:$CV$25,1,BA299))/12,IF(BA299=1,IF(BA300&gt;=INDEX('Lease Cycles'!$DK$25:$DQ$25,1,BA299),IF(BA$6&gt;='Lease Cycles'!$AZ$25,'Lease Cycles'!$C$25*'Lease Cycles'!$BA$25/12,IF(BA$6&gt;='Lease Cycles'!$AX$25,'Lease Cycles'!$C$25*'Lease Cycles'!$AY$25/12,IF(BA$6&gt;='Lease Cycles'!$AV$25,'Lease Cycles'!$C$25*'Lease Cycles'!$AW$25/12,IF(BA$6&gt;='Lease Cycles'!$AT$25,'Lease Cycles'!$C$25*'Lease Cycles'!$AU$25/12,'Lease Cycles'!$C$25*INDEX('Lease Cycles'!$CB$25:$CH$25,1,BA299)*(1+INDEX('Lease Cycles'!$CI$25:$CO$25,1,BA299))^INT(INT(BA300/12)/INDEX('Lease Cycles'!$CP$25:$CV$25,1,BA299))/12)))),'Lease Cycles'!$C$25*INDEX('Lease Cycles'!$CB$25:$CH$25,1,BA299)*(1+INDEX('Lease Cycles'!$CI$25:$CO$25,1,BA299))^INT(INT(BA300/12)/INDEX('Lease Cycles'!$CP$25:$CV$25,1,BA299))/12),IF(INDEX('Lease Cycles'!$EF$25:$EL$25,1,BA299)=1,IF(AND('Lease Cycles'!$AZ$25&gt;=INDEX('Lease Cycles'!$BG$25:$BM$25,1,BA299),'Lease Cycles'!$AZ$25&lt;=BA$6),'Lease Cycles'!$C$25*'Lease Cycles'!$BA$25/12,IF(AND('Lease Cycles'!$AX$25&gt;=INDEX('Lease Cycles'!$BG$25:$BM$25,1,BA299),'Lease Cycles'!$AX$25&lt;=BA$6),'Lease Cycles'!$C$25*'Lease Cycles'!$AY$25/12,IF(AND('Lease Cycles'!$AV$25&gt;=INDEX('Lease Cycles'!$BG$25:$BM$25,1,BA299),'Lease Cycles'!$AV$25&lt;=BA$6),'Lease Cycles'!$C$25*'Lease Cycles'!$AW$25/12,IF(AND('Lease Cycles'!$AT$25&gt;=INDEX('Lease Cycles'!$BG$25:$BM$25,1,BA299),'Lease Cycles'!$AT$25&lt;=BA$6),'Lease Cycles'!$C$25*'Lease Cycles'!$AU$25/12,'Lease Cycles'!$C$25*INDEX('Lease Cycles'!$CB$25:$CH$25,1,BA299)*(1+INDEX('Lease Cycles'!$CI$25:$CO$25,1,BA299))^INT(INT(BA300/12)/INDEX('Lease Cycles'!$CP$25:$CV$25,1,BA299))/12)))),'Lease Cycles'!$C$25*INDEX('Lease Cycles'!$CB$25:$CH$25,1,BA299)*(1+INDEX('Lease Cycles'!$CI$25:$CO$25,1,BA299))^INT(INT(BA300/12)/INDEX('Lease Cycles'!$CP$25:$CV$25,1,BA299))/12))),IF('Lease Cycles'!$N$25=1,'Lease Cycles'!$C$25*'Lease Cycles'!$E$25*INDEX('Lease Cycles'!$HE$25:$HK$25,1,BA299)*(1+INDEX('Lease Cycles'!$GQ$25:$GW$25,1,BA299))^INT(INT((BA$6-INDEX('Lease Cycles'!$GJ$25:$GP$25,1,BA299))/12)/INDEX('Lease Cycles'!$GX$25:$HD$25,1,BA299))/12,0)))</f>
        <v>0</v>
      </c>
      <c r="BB302" s="28">
        <f>IF(BB299=0,IF('Lease Cycles'!$F$25&gt;0,'Lease Cycles'!$C$25*'Lease Cycles'!$E$25/12,0),IF(BB301=1,IF('Lease Cycles'!$AT$25&gt;=9999,'Lease Cycles'!$C$25*INDEX('Lease Cycles'!$CB$25:$CH$25,1,BB299)*(1+INDEX('Lease Cycles'!$CI$25:$CO$25,1,BB299))^INT(INT(BB300/12)/INDEX('Lease Cycles'!$CP$25:$CV$25,1,BB299))/12,IF(BB299=1,IF(BB300&gt;=INDEX('Lease Cycles'!$DK$25:$DQ$25,1,BB299),IF(BB$6&gt;='Lease Cycles'!$AZ$25,'Lease Cycles'!$C$25*'Lease Cycles'!$BA$25/12,IF(BB$6&gt;='Lease Cycles'!$AX$25,'Lease Cycles'!$C$25*'Lease Cycles'!$AY$25/12,IF(BB$6&gt;='Lease Cycles'!$AV$25,'Lease Cycles'!$C$25*'Lease Cycles'!$AW$25/12,IF(BB$6&gt;='Lease Cycles'!$AT$25,'Lease Cycles'!$C$25*'Lease Cycles'!$AU$25/12,'Lease Cycles'!$C$25*INDEX('Lease Cycles'!$CB$25:$CH$25,1,BB299)*(1+INDEX('Lease Cycles'!$CI$25:$CO$25,1,BB299))^INT(INT(BB300/12)/INDEX('Lease Cycles'!$CP$25:$CV$25,1,BB299))/12)))),'Lease Cycles'!$C$25*INDEX('Lease Cycles'!$CB$25:$CH$25,1,BB299)*(1+INDEX('Lease Cycles'!$CI$25:$CO$25,1,BB299))^INT(INT(BB300/12)/INDEX('Lease Cycles'!$CP$25:$CV$25,1,BB299))/12),IF(INDEX('Lease Cycles'!$EF$25:$EL$25,1,BB299)=1,IF(AND('Lease Cycles'!$AZ$25&gt;=INDEX('Lease Cycles'!$BG$25:$BM$25,1,BB299),'Lease Cycles'!$AZ$25&lt;=BB$6),'Lease Cycles'!$C$25*'Lease Cycles'!$BA$25/12,IF(AND('Lease Cycles'!$AX$25&gt;=INDEX('Lease Cycles'!$BG$25:$BM$25,1,BB299),'Lease Cycles'!$AX$25&lt;=BB$6),'Lease Cycles'!$C$25*'Lease Cycles'!$AY$25/12,IF(AND('Lease Cycles'!$AV$25&gt;=INDEX('Lease Cycles'!$BG$25:$BM$25,1,BB299),'Lease Cycles'!$AV$25&lt;=BB$6),'Lease Cycles'!$C$25*'Lease Cycles'!$AW$25/12,IF(AND('Lease Cycles'!$AT$25&gt;=INDEX('Lease Cycles'!$BG$25:$BM$25,1,BB299),'Lease Cycles'!$AT$25&lt;=BB$6),'Lease Cycles'!$C$25*'Lease Cycles'!$AU$25/12,'Lease Cycles'!$C$25*INDEX('Lease Cycles'!$CB$25:$CH$25,1,BB299)*(1+INDEX('Lease Cycles'!$CI$25:$CO$25,1,BB299))^INT(INT(BB300/12)/INDEX('Lease Cycles'!$CP$25:$CV$25,1,BB299))/12)))),'Lease Cycles'!$C$25*INDEX('Lease Cycles'!$CB$25:$CH$25,1,BB299)*(1+INDEX('Lease Cycles'!$CI$25:$CO$25,1,BB299))^INT(INT(BB300/12)/INDEX('Lease Cycles'!$CP$25:$CV$25,1,BB299))/12))),IF('Lease Cycles'!$N$25=1,'Lease Cycles'!$C$25*'Lease Cycles'!$E$25*INDEX('Lease Cycles'!$HE$25:$HK$25,1,BB299)*(1+INDEX('Lease Cycles'!$GQ$25:$GW$25,1,BB299))^INT(INT((BB$6-INDEX('Lease Cycles'!$GJ$25:$GP$25,1,BB299))/12)/INDEX('Lease Cycles'!$GX$25:$HD$25,1,BB299))/12,0)))</f>
        <v>0</v>
      </c>
      <c r="BC302" s="28">
        <f>IF(BC299=0,IF('Lease Cycles'!$F$25&gt;0,'Lease Cycles'!$C$25*'Lease Cycles'!$E$25/12,0),IF(BC301=1,IF('Lease Cycles'!$AT$25&gt;=9999,'Lease Cycles'!$C$25*INDEX('Lease Cycles'!$CB$25:$CH$25,1,BC299)*(1+INDEX('Lease Cycles'!$CI$25:$CO$25,1,BC299))^INT(INT(BC300/12)/INDEX('Lease Cycles'!$CP$25:$CV$25,1,BC299))/12,IF(BC299=1,IF(BC300&gt;=INDEX('Lease Cycles'!$DK$25:$DQ$25,1,BC299),IF(BC$6&gt;='Lease Cycles'!$AZ$25,'Lease Cycles'!$C$25*'Lease Cycles'!$BA$25/12,IF(BC$6&gt;='Lease Cycles'!$AX$25,'Lease Cycles'!$C$25*'Lease Cycles'!$AY$25/12,IF(BC$6&gt;='Lease Cycles'!$AV$25,'Lease Cycles'!$C$25*'Lease Cycles'!$AW$25/12,IF(BC$6&gt;='Lease Cycles'!$AT$25,'Lease Cycles'!$C$25*'Lease Cycles'!$AU$25/12,'Lease Cycles'!$C$25*INDEX('Lease Cycles'!$CB$25:$CH$25,1,BC299)*(1+INDEX('Lease Cycles'!$CI$25:$CO$25,1,BC299))^INT(INT(BC300/12)/INDEX('Lease Cycles'!$CP$25:$CV$25,1,BC299))/12)))),'Lease Cycles'!$C$25*INDEX('Lease Cycles'!$CB$25:$CH$25,1,BC299)*(1+INDEX('Lease Cycles'!$CI$25:$CO$25,1,BC299))^INT(INT(BC300/12)/INDEX('Lease Cycles'!$CP$25:$CV$25,1,BC299))/12),IF(INDEX('Lease Cycles'!$EF$25:$EL$25,1,BC299)=1,IF(AND('Lease Cycles'!$AZ$25&gt;=INDEX('Lease Cycles'!$BG$25:$BM$25,1,BC299),'Lease Cycles'!$AZ$25&lt;=BC$6),'Lease Cycles'!$C$25*'Lease Cycles'!$BA$25/12,IF(AND('Lease Cycles'!$AX$25&gt;=INDEX('Lease Cycles'!$BG$25:$BM$25,1,BC299),'Lease Cycles'!$AX$25&lt;=BC$6),'Lease Cycles'!$C$25*'Lease Cycles'!$AY$25/12,IF(AND('Lease Cycles'!$AV$25&gt;=INDEX('Lease Cycles'!$BG$25:$BM$25,1,BC299),'Lease Cycles'!$AV$25&lt;=BC$6),'Lease Cycles'!$C$25*'Lease Cycles'!$AW$25/12,IF(AND('Lease Cycles'!$AT$25&gt;=INDEX('Lease Cycles'!$BG$25:$BM$25,1,BC299),'Lease Cycles'!$AT$25&lt;=BC$6),'Lease Cycles'!$C$25*'Lease Cycles'!$AU$25/12,'Lease Cycles'!$C$25*INDEX('Lease Cycles'!$CB$25:$CH$25,1,BC299)*(1+INDEX('Lease Cycles'!$CI$25:$CO$25,1,BC299))^INT(INT(BC300/12)/INDEX('Lease Cycles'!$CP$25:$CV$25,1,BC299))/12)))),'Lease Cycles'!$C$25*INDEX('Lease Cycles'!$CB$25:$CH$25,1,BC299)*(1+INDEX('Lease Cycles'!$CI$25:$CO$25,1,BC299))^INT(INT(BC300/12)/INDEX('Lease Cycles'!$CP$25:$CV$25,1,BC299))/12))),IF('Lease Cycles'!$N$25=1,'Lease Cycles'!$C$25*'Lease Cycles'!$E$25*INDEX('Lease Cycles'!$HE$25:$HK$25,1,BC299)*(1+INDEX('Lease Cycles'!$GQ$25:$GW$25,1,BC299))^INT(INT((BC$6-INDEX('Lease Cycles'!$GJ$25:$GP$25,1,BC299))/12)/INDEX('Lease Cycles'!$GX$25:$HD$25,1,BC299))/12,0)))</f>
        <v>0</v>
      </c>
      <c r="BD302" s="28">
        <f>IF(BD299=0,IF('Lease Cycles'!$F$25&gt;0,'Lease Cycles'!$C$25*'Lease Cycles'!$E$25/12,0),IF(BD301=1,IF('Lease Cycles'!$AT$25&gt;=9999,'Lease Cycles'!$C$25*INDEX('Lease Cycles'!$CB$25:$CH$25,1,BD299)*(1+INDEX('Lease Cycles'!$CI$25:$CO$25,1,BD299))^INT(INT(BD300/12)/INDEX('Lease Cycles'!$CP$25:$CV$25,1,BD299))/12,IF(BD299=1,IF(BD300&gt;=INDEX('Lease Cycles'!$DK$25:$DQ$25,1,BD299),IF(BD$6&gt;='Lease Cycles'!$AZ$25,'Lease Cycles'!$C$25*'Lease Cycles'!$BA$25/12,IF(BD$6&gt;='Lease Cycles'!$AX$25,'Lease Cycles'!$C$25*'Lease Cycles'!$AY$25/12,IF(BD$6&gt;='Lease Cycles'!$AV$25,'Lease Cycles'!$C$25*'Lease Cycles'!$AW$25/12,IF(BD$6&gt;='Lease Cycles'!$AT$25,'Lease Cycles'!$C$25*'Lease Cycles'!$AU$25/12,'Lease Cycles'!$C$25*INDEX('Lease Cycles'!$CB$25:$CH$25,1,BD299)*(1+INDEX('Lease Cycles'!$CI$25:$CO$25,1,BD299))^INT(INT(BD300/12)/INDEX('Lease Cycles'!$CP$25:$CV$25,1,BD299))/12)))),'Lease Cycles'!$C$25*INDEX('Lease Cycles'!$CB$25:$CH$25,1,BD299)*(1+INDEX('Lease Cycles'!$CI$25:$CO$25,1,BD299))^INT(INT(BD300/12)/INDEX('Lease Cycles'!$CP$25:$CV$25,1,BD299))/12),IF(INDEX('Lease Cycles'!$EF$25:$EL$25,1,BD299)=1,IF(AND('Lease Cycles'!$AZ$25&gt;=INDEX('Lease Cycles'!$BG$25:$BM$25,1,BD299),'Lease Cycles'!$AZ$25&lt;=BD$6),'Lease Cycles'!$C$25*'Lease Cycles'!$BA$25/12,IF(AND('Lease Cycles'!$AX$25&gt;=INDEX('Lease Cycles'!$BG$25:$BM$25,1,BD299),'Lease Cycles'!$AX$25&lt;=BD$6),'Lease Cycles'!$C$25*'Lease Cycles'!$AY$25/12,IF(AND('Lease Cycles'!$AV$25&gt;=INDEX('Lease Cycles'!$BG$25:$BM$25,1,BD299),'Lease Cycles'!$AV$25&lt;=BD$6),'Lease Cycles'!$C$25*'Lease Cycles'!$AW$25/12,IF(AND('Lease Cycles'!$AT$25&gt;=INDEX('Lease Cycles'!$BG$25:$BM$25,1,BD299),'Lease Cycles'!$AT$25&lt;=BD$6),'Lease Cycles'!$C$25*'Lease Cycles'!$AU$25/12,'Lease Cycles'!$C$25*INDEX('Lease Cycles'!$CB$25:$CH$25,1,BD299)*(1+INDEX('Lease Cycles'!$CI$25:$CO$25,1,BD299))^INT(INT(BD300/12)/INDEX('Lease Cycles'!$CP$25:$CV$25,1,BD299))/12)))),'Lease Cycles'!$C$25*INDEX('Lease Cycles'!$CB$25:$CH$25,1,BD299)*(1+INDEX('Lease Cycles'!$CI$25:$CO$25,1,BD299))^INT(INT(BD300/12)/INDEX('Lease Cycles'!$CP$25:$CV$25,1,BD299))/12))),IF('Lease Cycles'!$N$25=1,'Lease Cycles'!$C$25*'Lease Cycles'!$E$25*INDEX('Lease Cycles'!$HE$25:$HK$25,1,BD299)*(1+INDEX('Lease Cycles'!$GQ$25:$GW$25,1,BD299))^INT(INT((BD$6-INDEX('Lease Cycles'!$GJ$25:$GP$25,1,BD299))/12)/INDEX('Lease Cycles'!$GX$25:$HD$25,1,BD299))/12,0)))</f>
        <v>0</v>
      </c>
      <c r="BE302" s="28">
        <f>IF(BE299=0,IF('Lease Cycles'!$F$25&gt;0,'Lease Cycles'!$C$25*'Lease Cycles'!$E$25/12,0),IF(BE301=1,IF('Lease Cycles'!$AT$25&gt;=9999,'Lease Cycles'!$C$25*INDEX('Lease Cycles'!$CB$25:$CH$25,1,BE299)*(1+INDEX('Lease Cycles'!$CI$25:$CO$25,1,BE299))^INT(INT(BE300/12)/INDEX('Lease Cycles'!$CP$25:$CV$25,1,BE299))/12,IF(BE299=1,IF(BE300&gt;=INDEX('Lease Cycles'!$DK$25:$DQ$25,1,BE299),IF(BE$6&gt;='Lease Cycles'!$AZ$25,'Lease Cycles'!$C$25*'Lease Cycles'!$BA$25/12,IF(BE$6&gt;='Lease Cycles'!$AX$25,'Lease Cycles'!$C$25*'Lease Cycles'!$AY$25/12,IF(BE$6&gt;='Lease Cycles'!$AV$25,'Lease Cycles'!$C$25*'Lease Cycles'!$AW$25/12,IF(BE$6&gt;='Lease Cycles'!$AT$25,'Lease Cycles'!$C$25*'Lease Cycles'!$AU$25/12,'Lease Cycles'!$C$25*INDEX('Lease Cycles'!$CB$25:$CH$25,1,BE299)*(1+INDEX('Lease Cycles'!$CI$25:$CO$25,1,BE299))^INT(INT(BE300/12)/INDEX('Lease Cycles'!$CP$25:$CV$25,1,BE299))/12)))),'Lease Cycles'!$C$25*INDEX('Lease Cycles'!$CB$25:$CH$25,1,BE299)*(1+INDEX('Lease Cycles'!$CI$25:$CO$25,1,BE299))^INT(INT(BE300/12)/INDEX('Lease Cycles'!$CP$25:$CV$25,1,BE299))/12),IF(INDEX('Lease Cycles'!$EF$25:$EL$25,1,BE299)=1,IF(AND('Lease Cycles'!$AZ$25&gt;=INDEX('Lease Cycles'!$BG$25:$BM$25,1,BE299),'Lease Cycles'!$AZ$25&lt;=BE$6),'Lease Cycles'!$C$25*'Lease Cycles'!$BA$25/12,IF(AND('Lease Cycles'!$AX$25&gt;=INDEX('Lease Cycles'!$BG$25:$BM$25,1,BE299),'Lease Cycles'!$AX$25&lt;=BE$6),'Lease Cycles'!$C$25*'Lease Cycles'!$AY$25/12,IF(AND('Lease Cycles'!$AV$25&gt;=INDEX('Lease Cycles'!$BG$25:$BM$25,1,BE299),'Lease Cycles'!$AV$25&lt;=BE$6),'Lease Cycles'!$C$25*'Lease Cycles'!$AW$25/12,IF(AND('Lease Cycles'!$AT$25&gt;=INDEX('Lease Cycles'!$BG$25:$BM$25,1,BE299),'Lease Cycles'!$AT$25&lt;=BE$6),'Lease Cycles'!$C$25*'Lease Cycles'!$AU$25/12,'Lease Cycles'!$C$25*INDEX('Lease Cycles'!$CB$25:$CH$25,1,BE299)*(1+INDEX('Lease Cycles'!$CI$25:$CO$25,1,BE299))^INT(INT(BE300/12)/INDEX('Lease Cycles'!$CP$25:$CV$25,1,BE299))/12)))),'Lease Cycles'!$C$25*INDEX('Lease Cycles'!$CB$25:$CH$25,1,BE299)*(1+INDEX('Lease Cycles'!$CI$25:$CO$25,1,BE299))^INT(INT(BE300/12)/INDEX('Lease Cycles'!$CP$25:$CV$25,1,BE299))/12))),IF('Lease Cycles'!$N$25=1,'Lease Cycles'!$C$25*'Lease Cycles'!$E$25*INDEX('Lease Cycles'!$HE$25:$HK$25,1,BE299)*(1+INDEX('Lease Cycles'!$GQ$25:$GW$25,1,BE299))^INT(INT((BE$6-INDEX('Lease Cycles'!$GJ$25:$GP$25,1,BE299))/12)/INDEX('Lease Cycles'!$GX$25:$HD$25,1,BE299))/12,0)))</f>
        <v>0</v>
      </c>
      <c r="BF302" s="28">
        <f>IF(BF299=0,IF('Lease Cycles'!$F$25&gt;0,'Lease Cycles'!$C$25*'Lease Cycles'!$E$25/12,0),IF(BF301=1,IF('Lease Cycles'!$AT$25&gt;=9999,'Lease Cycles'!$C$25*INDEX('Lease Cycles'!$CB$25:$CH$25,1,BF299)*(1+INDEX('Lease Cycles'!$CI$25:$CO$25,1,BF299))^INT(INT(BF300/12)/INDEX('Lease Cycles'!$CP$25:$CV$25,1,BF299))/12,IF(BF299=1,IF(BF300&gt;=INDEX('Lease Cycles'!$DK$25:$DQ$25,1,BF299),IF(BF$6&gt;='Lease Cycles'!$AZ$25,'Lease Cycles'!$C$25*'Lease Cycles'!$BA$25/12,IF(BF$6&gt;='Lease Cycles'!$AX$25,'Lease Cycles'!$C$25*'Lease Cycles'!$AY$25/12,IF(BF$6&gt;='Lease Cycles'!$AV$25,'Lease Cycles'!$C$25*'Lease Cycles'!$AW$25/12,IF(BF$6&gt;='Lease Cycles'!$AT$25,'Lease Cycles'!$C$25*'Lease Cycles'!$AU$25/12,'Lease Cycles'!$C$25*INDEX('Lease Cycles'!$CB$25:$CH$25,1,BF299)*(1+INDEX('Lease Cycles'!$CI$25:$CO$25,1,BF299))^INT(INT(BF300/12)/INDEX('Lease Cycles'!$CP$25:$CV$25,1,BF299))/12)))),'Lease Cycles'!$C$25*INDEX('Lease Cycles'!$CB$25:$CH$25,1,BF299)*(1+INDEX('Lease Cycles'!$CI$25:$CO$25,1,BF299))^INT(INT(BF300/12)/INDEX('Lease Cycles'!$CP$25:$CV$25,1,BF299))/12),IF(INDEX('Lease Cycles'!$EF$25:$EL$25,1,BF299)=1,IF(AND('Lease Cycles'!$AZ$25&gt;=INDEX('Lease Cycles'!$BG$25:$BM$25,1,BF299),'Lease Cycles'!$AZ$25&lt;=BF$6),'Lease Cycles'!$C$25*'Lease Cycles'!$BA$25/12,IF(AND('Lease Cycles'!$AX$25&gt;=INDEX('Lease Cycles'!$BG$25:$BM$25,1,BF299),'Lease Cycles'!$AX$25&lt;=BF$6),'Lease Cycles'!$C$25*'Lease Cycles'!$AY$25/12,IF(AND('Lease Cycles'!$AV$25&gt;=INDEX('Lease Cycles'!$BG$25:$BM$25,1,BF299),'Lease Cycles'!$AV$25&lt;=BF$6),'Lease Cycles'!$C$25*'Lease Cycles'!$AW$25/12,IF(AND('Lease Cycles'!$AT$25&gt;=INDEX('Lease Cycles'!$BG$25:$BM$25,1,BF299),'Lease Cycles'!$AT$25&lt;=BF$6),'Lease Cycles'!$C$25*'Lease Cycles'!$AU$25/12,'Lease Cycles'!$C$25*INDEX('Lease Cycles'!$CB$25:$CH$25,1,BF299)*(1+INDEX('Lease Cycles'!$CI$25:$CO$25,1,BF299))^INT(INT(BF300/12)/INDEX('Lease Cycles'!$CP$25:$CV$25,1,BF299))/12)))),'Lease Cycles'!$C$25*INDEX('Lease Cycles'!$CB$25:$CH$25,1,BF299)*(1+INDEX('Lease Cycles'!$CI$25:$CO$25,1,BF299))^INT(INT(BF300/12)/INDEX('Lease Cycles'!$CP$25:$CV$25,1,BF299))/12))),IF('Lease Cycles'!$N$25=1,'Lease Cycles'!$C$25*'Lease Cycles'!$E$25*INDEX('Lease Cycles'!$HE$25:$HK$25,1,BF299)*(1+INDEX('Lease Cycles'!$GQ$25:$GW$25,1,BF299))^INT(INT((BF$6-INDEX('Lease Cycles'!$GJ$25:$GP$25,1,BF299))/12)/INDEX('Lease Cycles'!$GX$25:$HD$25,1,BF299))/12,0)))</f>
        <v>0</v>
      </c>
      <c r="BG302" s="28">
        <f>IF(BG299=0,IF('Lease Cycles'!$F$25&gt;0,'Lease Cycles'!$C$25*'Lease Cycles'!$E$25/12,0),IF(BG301=1,IF('Lease Cycles'!$AT$25&gt;=9999,'Lease Cycles'!$C$25*INDEX('Lease Cycles'!$CB$25:$CH$25,1,BG299)*(1+INDEX('Lease Cycles'!$CI$25:$CO$25,1,BG299))^INT(INT(BG300/12)/INDEX('Lease Cycles'!$CP$25:$CV$25,1,BG299))/12,IF(BG299=1,IF(BG300&gt;=INDEX('Lease Cycles'!$DK$25:$DQ$25,1,BG299),IF(BG$6&gt;='Lease Cycles'!$AZ$25,'Lease Cycles'!$C$25*'Lease Cycles'!$BA$25/12,IF(BG$6&gt;='Lease Cycles'!$AX$25,'Lease Cycles'!$C$25*'Lease Cycles'!$AY$25/12,IF(BG$6&gt;='Lease Cycles'!$AV$25,'Lease Cycles'!$C$25*'Lease Cycles'!$AW$25/12,IF(BG$6&gt;='Lease Cycles'!$AT$25,'Lease Cycles'!$C$25*'Lease Cycles'!$AU$25/12,'Lease Cycles'!$C$25*INDEX('Lease Cycles'!$CB$25:$CH$25,1,BG299)*(1+INDEX('Lease Cycles'!$CI$25:$CO$25,1,BG299))^INT(INT(BG300/12)/INDEX('Lease Cycles'!$CP$25:$CV$25,1,BG299))/12)))),'Lease Cycles'!$C$25*INDEX('Lease Cycles'!$CB$25:$CH$25,1,BG299)*(1+INDEX('Lease Cycles'!$CI$25:$CO$25,1,BG299))^INT(INT(BG300/12)/INDEX('Lease Cycles'!$CP$25:$CV$25,1,BG299))/12),IF(INDEX('Lease Cycles'!$EF$25:$EL$25,1,BG299)=1,IF(AND('Lease Cycles'!$AZ$25&gt;=INDEX('Lease Cycles'!$BG$25:$BM$25,1,BG299),'Lease Cycles'!$AZ$25&lt;=BG$6),'Lease Cycles'!$C$25*'Lease Cycles'!$BA$25/12,IF(AND('Lease Cycles'!$AX$25&gt;=INDEX('Lease Cycles'!$BG$25:$BM$25,1,BG299),'Lease Cycles'!$AX$25&lt;=BG$6),'Lease Cycles'!$C$25*'Lease Cycles'!$AY$25/12,IF(AND('Lease Cycles'!$AV$25&gt;=INDEX('Lease Cycles'!$BG$25:$BM$25,1,BG299),'Lease Cycles'!$AV$25&lt;=BG$6),'Lease Cycles'!$C$25*'Lease Cycles'!$AW$25/12,IF(AND('Lease Cycles'!$AT$25&gt;=INDEX('Lease Cycles'!$BG$25:$BM$25,1,BG299),'Lease Cycles'!$AT$25&lt;=BG$6),'Lease Cycles'!$C$25*'Lease Cycles'!$AU$25/12,'Lease Cycles'!$C$25*INDEX('Lease Cycles'!$CB$25:$CH$25,1,BG299)*(1+INDEX('Lease Cycles'!$CI$25:$CO$25,1,BG299))^INT(INT(BG300/12)/INDEX('Lease Cycles'!$CP$25:$CV$25,1,BG299))/12)))),'Lease Cycles'!$C$25*INDEX('Lease Cycles'!$CB$25:$CH$25,1,BG299)*(1+INDEX('Lease Cycles'!$CI$25:$CO$25,1,BG299))^INT(INT(BG300/12)/INDEX('Lease Cycles'!$CP$25:$CV$25,1,BG299))/12))),IF('Lease Cycles'!$N$25=1,'Lease Cycles'!$C$25*'Lease Cycles'!$E$25*INDEX('Lease Cycles'!$HE$25:$HK$25,1,BG299)*(1+INDEX('Lease Cycles'!$GQ$25:$GW$25,1,BG299))^INT(INT((BG$6-INDEX('Lease Cycles'!$GJ$25:$GP$25,1,BG299))/12)/INDEX('Lease Cycles'!$GX$25:$HD$25,1,BG299))/12,0)))</f>
        <v>0</v>
      </c>
      <c r="BH302" s="28">
        <f>IF(BH299=0,IF('Lease Cycles'!$F$25&gt;0,'Lease Cycles'!$C$25*'Lease Cycles'!$E$25/12,0),IF(BH301=1,IF('Lease Cycles'!$AT$25&gt;=9999,'Lease Cycles'!$C$25*INDEX('Lease Cycles'!$CB$25:$CH$25,1,BH299)*(1+INDEX('Lease Cycles'!$CI$25:$CO$25,1,BH299))^INT(INT(BH300/12)/INDEX('Lease Cycles'!$CP$25:$CV$25,1,BH299))/12,IF(BH299=1,IF(BH300&gt;=INDEX('Lease Cycles'!$DK$25:$DQ$25,1,BH299),IF(BH$6&gt;='Lease Cycles'!$AZ$25,'Lease Cycles'!$C$25*'Lease Cycles'!$BA$25/12,IF(BH$6&gt;='Lease Cycles'!$AX$25,'Lease Cycles'!$C$25*'Lease Cycles'!$AY$25/12,IF(BH$6&gt;='Lease Cycles'!$AV$25,'Lease Cycles'!$C$25*'Lease Cycles'!$AW$25/12,IF(BH$6&gt;='Lease Cycles'!$AT$25,'Lease Cycles'!$C$25*'Lease Cycles'!$AU$25/12,'Lease Cycles'!$C$25*INDEX('Lease Cycles'!$CB$25:$CH$25,1,BH299)*(1+INDEX('Lease Cycles'!$CI$25:$CO$25,1,BH299))^INT(INT(BH300/12)/INDEX('Lease Cycles'!$CP$25:$CV$25,1,BH299))/12)))),'Lease Cycles'!$C$25*INDEX('Lease Cycles'!$CB$25:$CH$25,1,BH299)*(1+INDEX('Lease Cycles'!$CI$25:$CO$25,1,BH299))^INT(INT(BH300/12)/INDEX('Lease Cycles'!$CP$25:$CV$25,1,BH299))/12),IF(INDEX('Lease Cycles'!$EF$25:$EL$25,1,BH299)=1,IF(AND('Lease Cycles'!$AZ$25&gt;=INDEX('Lease Cycles'!$BG$25:$BM$25,1,BH299),'Lease Cycles'!$AZ$25&lt;=BH$6),'Lease Cycles'!$C$25*'Lease Cycles'!$BA$25/12,IF(AND('Lease Cycles'!$AX$25&gt;=INDEX('Lease Cycles'!$BG$25:$BM$25,1,BH299),'Lease Cycles'!$AX$25&lt;=BH$6),'Lease Cycles'!$C$25*'Lease Cycles'!$AY$25/12,IF(AND('Lease Cycles'!$AV$25&gt;=INDEX('Lease Cycles'!$BG$25:$BM$25,1,BH299),'Lease Cycles'!$AV$25&lt;=BH$6),'Lease Cycles'!$C$25*'Lease Cycles'!$AW$25/12,IF(AND('Lease Cycles'!$AT$25&gt;=INDEX('Lease Cycles'!$BG$25:$BM$25,1,BH299),'Lease Cycles'!$AT$25&lt;=BH$6),'Lease Cycles'!$C$25*'Lease Cycles'!$AU$25/12,'Lease Cycles'!$C$25*INDEX('Lease Cycles'!$CB$25:$CH$25,1,BH299)*(1+INDEX('Lease Cycles'!$CI$25:$CO$25,1,BH299))^INT(INT(BH300/12)/INDEX('Lease Cycles'!$CP$25:$CV$25,1,BH299))/12)))),'Lease Cycles'!$C$25*INDEX('Lease Cycles'!$CB$25:$CH$25,1,BH299)*(1+INDEX('Lease Cycles'!$CI$25:$CO$25,1,BH299))^INT(INT(BH300/12)/INDEX('Lease Cycles'!$CP$25:$CV$25,1,BH299))/12))),IF('Lease Cycles'!$N$25=1,'Lease Cycles'!$C$25*'Lease Cycles'!$E$25*INDEX('Lease Cycles'!$HE$25:$HK$25,1,BH299)*(1+INDEX('Lease Cycles'!$GQ$25:$GW$25,1,BH299))^INT(INT((BH$6-INDEX('Lease Cycles'!$GJ$25:$GP$25,1,BH299))/12)/INDEX('Lease Cycles'!$GX$25:$HD$25,1,BH299))/12,0)))</f>
        <v>0</v>
      </c>
      <c r="BI302" s="28">
        <f>IF(BI299=0,IF('Lease Cycles'!$F$25&gt;0,'Lease Cycles'!$C$25*'Lease Cycles'!$E$25/12,0),IF(BI301=1,IF('Lease Cycles'!$AT$25&gt;=9999,'Lease Cycles'!$C$25*INDEX('Lease Cycles'!$CB$25:$CH$25,1,BI299)*(1+INDEX('Lease Cycles'!$CI$25:$CO$25,1,BI299))^INT(INT(BI300/12)/INDEX('Lease Cycles'!$CP$25:$CV$25,1,BI299))/12,IF(BI299=1,IF(BI300&gt;=INDEX('Lease Cycles'!$DK$25:$DQ$25,1,BI299),IF(BI$6&gt;='Lease Cycles'!$AZ$25,'Lease Cycles'!$C$25*'Lease Cycles'!$BA$25/12,IF(BI$6&gt;='Lease Cycles'!$AX$25,'Lease Cycles'!$C$25*'Lease Cycles'!$AY$25/12,IF(BI$6&gt;='Lease Cycles'!$AV$25,'Lease Cycles'!$C$25*'Lease Cycles'!$AW$25/12,IF(BI$6&gt;='Lease Cycles'!$AT$25,'Lease Cycles'!$C$25*'Lease Cycles'!$AU$25/12,'Lease Cycles'!$C$25*INDEX('Lease Cycles'!$CB$25:$CH$25,1,BI299)*(1+INDEX('Lease Cycles'!$CI$25:$CO$25,1,BI299))^INT(INT(BI300/12)/INDEX('Lease Cycles'!$CP$25:$CV$25,1,BI299))/12)))),'Lease Cycles'!$C$25*INDEX('Lease Cycles'!$CB$25:$CH$25,1,BI299)*(1+INDEX('Lease Cycles'!$CI$25:$CO$25,1,BI299))^INT(INT(BI300/12)/INDEX('Lease Cycles'!$CP$25:$CV$25,1,BI299))/12),IF(INDEX('Lease Cycles'!$EF$25:$EL$25,1,BI299)=1,IF(AND('Lease Cycles'!$AZ$25&gt;=INDEX('Lease Cycles'!$BG$25:$BM$25,1,BI299),'Lease Cycles'!$AZ$25&lt;=BI$6),'Lease Cycles'!$C$25*'Lease Cycles'!$BA$25/12,IF(AND('Lease Cycles'!$AX$25&gt;=INDEX('Lease Cycles'!$BG$25:$BM$25,1,BI299),'Lease Cycles'!$AX$25&lt;=BI$6),'Lease Cycles'!$C$25*'Lease Cycles'!$AY$25/12,IF(AND('Lease Cycles'!$AV$25&gt;=INDEX('Lease Cycles'!$BG$25:$BM$25,1,BI299),'Lease Cycles'!$AV$25&lt;=BI$6),'Lease Cycles'!$C$25*'Lease Cycles'!$AW$25/12,IF(AND('Lease Cycles'!$AT$25&gt;=INDEX('Lease Cycles'!$BG$25:$BM$25,1,BI299),'Lease Cycles'!$AT$25&lt;=BI$6),'Lease Cycles'!$C$25*'Lease Cycles'!$AU$25/12,'Lease Cycles'!$C$25*INDEX('Lease Cycles'!$CB$25:$CH$25,1,BI299)*(1+INDEX('Lease Cycles'!$CI$25:$CO$25,1,BI299))^INT(INT(BI300/12)/INDEX('Lease Cycles'!$CP$25:$CV$25,1,BI299))/12)))),'Lease Cycles'!$C$25*INDEX('Lease Cycles'!$CB$25:$CH$25,1,BI299)*(1+INDEX('Lease Cycles'!$CI$25:$CO$25,1,BI299))^INT(INT(BI300/12)/INDEX('Lease Cycles'!$CP$25:$CV$25,1,BI299))/12))),IF('Lease Cycles'!$N$25=1,'Lease Cycles'!$C$25*'Lease Cycles'!$E$25*INDEX('Lease Cycles'!$HE$25:$HK$25,1,BI299)*(1+INDEX('Lease Cycles'!$GQ$25:$GW$25,1,BI299))^INT(INT((BI$6-INDEX('Lease Cycles'!$GJ$25:$GP$25,1,BI299))/12)/INDEX('Lease Cycles'!$GX$25:$HD$25,1,BI299))/12,0)))</f>
        <v>0</v>
      </c>
      <c r="BJ302" s="28">
        <f>IF(BJ299=0,IF('Lease Cycles'!$F$25&gt;0,'Lease Cycles'!$C$25*'Lease Cycles'!$E$25/12,0),IF(BJ301=1,IF('Lease Cycles'!$AT$25&gt;=9999,'Lease Cycles'!$C$25*INDEX('Lease Cycles'!$CB$25:$CH$25,1,BJ299)*(1+INDEX('Lease Cycles'!$CI$25:$CO$25,1,BJ299))^INT(INT(BJ300/12)/INDEX('Lease Cycles'!$CP$25:$CV$25,1,BJ299))/12,IF(BJ299=1,IF(BJ300&gt;=INDEX('Lease Cycles'!$DK$25:$DQ$25,1,BJ299),IF(BJ$6&gt;='Lease Cycles'!$AZ$25,'Lease Cycles'!$C$25*'Lease Cycles'!$BA$25/12,IF(BJ$6&gt;='Lease Cycles'!$AX$25,'Lease Cycles'!$C$25*'Lease Cycles'!$AY$25/12,IF(BJ$6&gt;='Lease Cycles'!$AV$25,'Lease Cycles'!$C$25*'Lease Cycles'!$AW$25/12,IF(BJ$6&gt;='Lease Cycles'!$AT$25,'Lease Cycles'!$C$25*'Lease Cycles'!$AU$25/12,'Lease Cycles'!$C$25*INDEX('Lease Cycles'!$CB$25:$CH$25,1,BJ299)*(1+INDEX('Lease Cycles'!$CI$25:$CO$25,1,BJ299))^INT(INT(BJ300/12)/INDEX('Lease Cycles'!$CP$25:$CV$25,1,BJ299))/12)))),'Lease Cycles'!$C$25*INDEX('Lease Cycles'!$CB$25:$CH$25,1,BJ299)*(1+INDEX('Lease Cycles'!$CI$25:$CO$25,1,BJ299))^INT(INT(BJ300/12)/INDEX('Lease Cycles'!$CP$25:$CV$25,1,BJ299))/12),IF(INDEX('Lease Cycles'!$EF$25:$EL$25,1,BJ299)=1,IF(AND('Lease Cycles'!$AZ$25&gt;=INDEX('Lease Cycles'!$BG$25:$BM$25,1,BJ299),'Lease Cycles'!$AZ$25&lt;=BJ$6),'Lease Cycles'!$C$25*'Lease Cycles'!$BA$25/12,IF(AND('Lease Cycles'!$AX$25&gt;=INDEX('Lease Cycles'!$BG$25:$BM$25,1,BJ299),'Lease Cycles'!$AX$25&lt;=BJ$6),'Lease Cycles'!$C$25*'Lease Cycles'!$AY$25/12,IF(AND('Lease Cycles'!$AV$25&gt;=INDEX('Lease Cycles'!$BG$25:$BM$25,1,BJ299),'Lease Cycles'!$AV$25&lt;=BJ$6),'Lease Cycles'!$C$25*'Lease Cycles'!$AW$25/12,IF(AND('Lease Cycles'!$AT$25&gt;=INDEX('Lease Cycles'!$BG$25:$BM$25,1,BJ299),'Lease Cycles'!$AT$25&lt;=BJ$6),'Lease Cycles'!$C$25*'Lease Cycles'!$AU$25/12,'Lease Cycles'!$C$25*INDEX('Lease Cycles'!$CB$25:$CH$25,1,BJ299)*(1+INDEX('Lease Cycles'!$CI$25:$CO$25,1,BJ299))^INT(INT(BJ300/12)/INDEX('Lease Cycles'!$CP$25:$CV$25,1,BJ299))/12)))),'Lease Cycles'!$C$25*INDEX('Lease Cycles'!$CB$25:$CH$25,1,BJ299)*(1+INDEX('Lease Cycles'!$CI$25:$CO$25,1,BJ299))^INT(INT(BJ300/12)/INDEX('Lease Cycles'!$CP$25:$CV$25,1,BJ299))/12))),IF('Lease Cycles'!$N$25=1,'Lease Cycles'!$C$25*'Lease Cycles'!$E$25*INDEX('Lease Cycles'!$HE$25:$HK$25,1,BJ299)*(1+INDEX('Lease Cycles'!$GQ$25:$GW$25,1,BJ299))^INT(INT((BJ$6-INDEX('Lease Cycles'!$GJ$25:$GP$25,1,BJ299))/12)/INDEX('Lease Cycles'!$GX$25:$HD$25,1,BJ299))/12,0)))</f>
        <v>0</v>
      </c>
      <c r="BK302" s="28">
        <f>IF(BK299=0,IF('Lease Cycles'!$F$25&gt;0,'Lease Cycles'!$C$25*'Lease Cycles'!$E$25/12,0),IF(BK301=1,IF('Lease Cycles'!$AT$25&gt;=9999,'Lease Cycles'!$C$25*INDEX('Lease Cycles'!$CB$25:$CH$25,1,BK299)*(1+INDEX('Lease Cycles'!$CI$25:$CO$25,1,BK299))^INT(INT(BK300/12)/INDEX('Lease Cycles'!$CP$25:$CV$25,1,BK299))/12,IF(BK299=1,IF(BK300&gt;=INDEX('Lease Cycles'!$DK$25:$DQ$25,1,BK299),IF(BK$6&gt;='Lease Cycles'!$AZ$25,'Lease Cycles'!$C$25*'Lease Cycles'!$BA$25/12,IF(BK$6&gt;='Lease Cycles'!$AX$25,'Lease Cycles'!$C$25*'Lease Cycles'!$AY$25/12,IF(BK$6&gt;='Lease Cycles'!$AV$25,'Lease Cycles'!$C$25*'Lease Cycles'!$AW$25/12,IF(BK$6&gt;='Lease Cycles'!$AT$25,'Lease Cycles'!$C$25*'Lease Cycles'!$AU$25/12,'Lease Cycles'!$C$25*INDEX('Lease Cycles'!$CB$25:$CH$25,1,BK299)*(1+INDEX('Lease Cycles'!$CI$25:$CO$25,1,BK299))^INT(INT(BK300/12)/INDEX('Lease Cycles'!$CP$25:$CV$25,1,BK299))/12)))),'Lease Cycles'!$C$25*INDEX('Lease Cycles'!$CB$25:$CH$25,1,BK299)*(1+INDEX('Lease Cycles'!$CI$25:$CO$25,1,BK299))^INT(INT(BK300/12)/INDEX('Lease Cycles'!$CP$25:$CV$25,1,BK299))/12),IF(INDEX('Lease Cycles'!$EF$25:$EL$25,1,BK299)=1,IF(AND('Lease Cycles'!$AZ$25&gt;=INDEX('Lease Cycles'!$BG$25:$BM$25,1,BK299),'Lease Cycles'!$AZ$25&lt;=BK$6),'Lease Cycles'!$C$25*'Lease Cycles'!$BA$25/12,IF(AND('Lease Cycles'!$AX$25&gt;=INDEX('Lease Cycles'!$BG$25:$BM$25,1,BK299),'Lease Cycles'!$AX$25&lt;=BK$6),'Lease Cycles'!$C$25*'Lease Cycles'!$AY$25/12,IF(AND('Lease Cycles'!$AV$25&gt;=INDEX('Lease Cycles'!$BG$25:$BM$25,1,BK299),'Lease Cycles'!$AV$25&lt;=BK$6),'Lease Cycles'!$C$25*'Lease Cycles'!$AW$25/12,IF(AND('Lease Cycles'!$AT$25&gt;=INDEX('Lease Cycles'!$BG$25:$BM$25,1,BK299),'Lease Cycles'!$AT$25&lt;=BK$6),'Lease Cycles'!$C$25*'Lease Cycles'!$AU$25/12,'Lease Cycles'!$C$25*INDEX('Lease Cycles'!$CB$25:$CH$25,1,BK299)*(1+INDEX('Lease Cycles'!$CI$25:$CO$25,1,BK299))^INT(INT(BK300/12)/INDEX('Lease Cycles'!$CP$25:$CV$25,1,BK299))/12)))),'Lease Cycles'!$C$25*INDEX('Lease Cycles'!$CB$25:$CH$25,1,BK299)*(1+INDEX('Lease Cycles'!$CI$25:$CO$25,1,BK299))^INT(INT(BK300/12)/INDEX('Lease Cycles'!$CP$25:$CV$25,1,BK299))/12))),IF('Lease Cycles'!$N$25=1,'Lease Cycles'!$C$25*'Lease Cycles'!$E$25*INDEX('Lease Cycles'!$HE$25:$HK$25,1,BK299)*(1+INDEX('Lease Cycles'!$GQ$25:$GW$25,1,BK299))^INT(INT((BK$6-INDEX('Lease Cycles'!$GJ$25:$GP$25,1,BK299))/12)/INDEX('Lease Cycles'!$GX$25:$HD$25,1,BK299))/12,0)))</f>
        <v>0</v>
      </c>
      <c r="BL302" s="28">
        <f>IF(BL299=0,IF('Lease Cycles'!$F$25&gt;0,'Lease Cycles'!$C$25*'Lease Cycles'!$E$25/12,0),IF(BL301=1,IF('Lease Cycles'!$AT$25&gt;=9999,'Lease Cycles'!$C$25*INDEX('Lease Cycles'!$CB$25:$CH$25,1,BL299)*(1+INDEX('Lease Cycles'!$CI$25:$CO$25,1,BL299))^INT(INT(BL300/12)/INDEX('Lease Cycles'!$CP$25:$CV$25,1,BL299))/12,IF(BL299=1,IF(BL300&gt;=INDEX('Lease Cycles'!$DK$25:$DQ$25,1,BL299),IF(BL$6&gt;='Lease Cycles'!$AZ$25,'Lease Cycles'!$C$25*'Lease Cycles'!$BA$25/12,IF(BL$6&gt;='Lease Cycles'!$AX$25,'Lease Cycles'!$C$25*'Lease Cycles'!$AY$25/12,IF(BL$6&gt;='Lease Cycles'!$AV$25,'Lease Cycles'!$C$25*'Lease Cycles'!$AW$25/12,IF(BL$6&gt;='Lease Cycles'!$AT$25,'Lease Cycles'!$C$25*'Lease Cycles'!$AU$25/12,'Lease Cycles'!$C$25*INDEX('Lease Cycles'!$CB$25:$CH$25,1,BL299)*(1+INDEX('Lease Cycles'!$CI$25:$CO$25,1,BL299))^INT(INT(BL300/12)/INDEX('Lease Cycles'!$CP$25:$CV$25,1,BL299))/12)))),'Lease Cycles'!$C$25*INDEX('Lease Cycles'!$CB$25:$CH$25,1,BL299)*(1+INDEX('Lease Cycles'!$CI$25:$CO$25,1,BL299))^INT(INT(BL300/12)/INDEX('Lease Cycles'!$CP$25:$CV$25,1,BL299))/12),IF(INDEX('Lease Cycles'!$EF$25:$EL$25,1,BL299)=1,IF(AND('Lease Cycles'!$AZ$25&gt;=INDEX('Lease Cycles'!$BG$25:$BM$25,1,BL299),'Lease Cycles'!$AZ$25&lt;=BL$6),'Lease Cycles'!$C$25*'Lease Cycles'!$BA$25/12,IF(AND('Lease Cycles'!$AX$25&gt;=INDEX('Lease Cycles'!$BG$25:$BM$25,1,BL299),'Lease Cycles'!$AX$25&lt;=BL$6),'Lease Cycles'!$C$25*'Lease Cycles'!$AY$25/12,IF(AND('Lease Cycles'!$AV$25&gt;=INDEX('Lease Cycles'!$BG$25:$BM$25,1,BL299),'Lease Cycles'!$AV$25&lt;=BL$6),'Lease Cycles'!$C$25*'Lease Cycles'!$AW$25/12,IF(AND('Lease Cycles'!$AT$25&gt;=INDEX('Lease Cycles'!$BG$25:$BM$25,1,BL299),'Lease Cycles'!$AT$25&lt;=BL$6),'Lease Cycles'!$C$25*'Lease Cycles'!$AU$25/12,'Lease Cycles'!$C$25*INDEX('Lease Cycles'!$CB$25:$CH$25,1,BL299)*(1+INDEX('Lease Cycles'!$CI$25:$CO$25,1,BL299))^INT(INT(BL300/12)/INDEX('Lease Cycles'!$CP$25:$CV$25,1,BL299))/12)))),'Lease Cycles'!$C$25*INDEX('Lease Cycles'!$CB$25:$CH$25,1,BL299)*(1+INDEX('Lease Cycles'!$CI$25:$CO$25,1,BL299))^INT(INT(BL300/12)/INDEX('Lease Cycles'!$CP$25:$CV$25,1,BL299))/12))),IF('Lease Cycles'!$N$25=1,'Lease Cycles'!$C$25*'Lease Cycles'!$E$25*INDEX('Lease Cycles'!$HE$25:$HK$25,1,BL299)*(1+INDEX('Lease Cycles'!$GQ$25:$GW$25,1,BL299))^INT(INT((BL$6-INDEX('Lease Cycles'!$GJ$25:$GP$25,1,BL299))/12)/INDEX('Lease Cycles'!$GX$25:$HD$25,1,BL299))/12,0)))</f>
        <v>0</v>
      </c>
      <c r="BM302" s="28">
        <f>IF(BM299=0,IF('Lease Cycles'!$F$25&gt;0,'Lease Cycles'!$C$25*'Lease Cycles'!$E$25/12,0),IF(BM301=1,IF('Lease Cycles'!$AT$25&gt;=9999,'Lease Cycles'!$C$25*INDEX('Lease Cycles'!$CB$25:$CH$25,1,BM299)*(1+INDEX('Lease Cycles'!$CI$25:$CO$25,1,BM299))^INT(INT(BM300/12)/INDEX('Lease Cycles'!$CP$25:$CV$25,1,BM299))/12,IF(BM299=1,IF(BM300&gt;=INDEX('Lease Cycles'!$DK$25:$DQ$25,1,BM299),IF(BM$6&gt;='Lease Cycles'!$AZ$25,'Lease Cycles'!$C$25*'Lease Cycles'!$BA$25/12,IF(BM$6&gt;='Lease Cycles'!$AX$25,'Lease Cycles'!$C$25*'Lease Cycles'!$AY$25/12,IF(BM$6&gt;='Lease Cycles'!$AV$25,'Lease Cycles'!$C$25*'Lease Cycles'!$AW$25/12,IF(BM$6&gt;='Lease Cycles'!$AT$25,'Lease Cycles'!$C$25*'Lease Cycles'!$AU$25/12,'Lease Cycles'!$C$25*INDEX('Lease Cycles'!$CB$25:$CH$25,1,BM299)*(1+INDEX('Lease Cycles'!$CI$25:$CO$25,1,BM299))^INT(INT(BM300/12)/INDEX('Lease Cycles'!$CP$25:$CV$25,1,BM299))/12)))),'Lease Cycles'!$C$25*INDEX('Lease Cycles'!$CB$25:$CH$25,1,BM299)*(1+INDEX('Lease Cycles'!$CI$25:$CO$25,1,BM299))^INT(INT(BM300/12)/INDEX('Lease Cycles'!$CP$25:$CV$25,1,BM299))/12),IF(INDEX('Lease Cycles'!$EF$25:$EL$25,1,BM299)=1,IF(AND('Lease Cycles'!$AZ$25&gt;=INDEX('Lease Cycles'!$BG$25:$BM$25,1,BM299),'Lease Cycles'!$AZ$25&lt;=BM$6),'Lease Cycles'!$C$25*'Lease Cycles'!$BA$25/12,IF(AND('Lease Cycles'!$AX$25&gt;=INDEX('Lease Cycles'!$BG$25:$BM$25,1,BM299),'Lease Cycles'!$AX$25&lt;=BM$6),'Lease Cycles'!$C$25*'Lease Cycles'!$AY$25/12,IF(AND('Lease Cycles'!$AV$25&gt;=INDEX('Lease Cycles'!$BG$25:$BM$25,1,BM299),'Lease Cycles'!$AV$25&lt;=BM$6),'Lease Cycles'!$C$25*'Lease Cycles'!$AW$25/12,IF(AND('Lease Cycles'!$AT$25&gt;=INDEX('Lease Cycles'!$BG$25:$BM$25,1,BM299),'Lease Cycles'!$AT$25&lt;=BM$6),'Lease Cycles'!$C$25*'Lease Cycles'!$AU$25/12,'Lease Cycles'!$C$25*INDEX('Lease Cycles'!$CB$25:$CH$25,1,BM299)*(1+INDEX('Lease Cycles'!$CI$25:$CO$25,1,BM299))^INT(INT(BM300/12)/INDEX('Lease Cycles'!$CP$25:$CV$25,1,BM299))/12)))),'Lease Cycles'!$C$25*INDEX('Lease Cycles'!$CB$25:$CH$25,1,BM299)*(1+INDEX('Lease Cycles'!$CI$25:$CO$25,1,BM299))^INT(INT(BM300/12)/INDEX('Lease Cycles'!$CP$25:$CV$25,1,BM299))/12))),IF('Lease Cycles'!$N$25=1,'Lease Cycles'!$C$25*'Lease Cycles'!$E$25*INDEX('Lease Cycles'!$HE$25:$HK$25,1,BM299)*(1+INDEX('Lease Cycles'!$GQ$25:$GW$25,1,BM299))^INT(INT((BM$6-INDEX('Lease Cycles'!$GJ$25:$GP$25,1,BM299))/12)/INDEX('Lease Cycles'!$GX$25:$HD$25,1,BM299))/12,0)))</f>
        <v>0</v>
      </c>
      <c r="BN302" s="28">
        <f>IF(BN299=0,IF('Lease Cycles'!$F$25&gt;0,'Lease Cycles'!$C$25*'Lease Cycles'!$E$25/12,0),IF(BN301=1,IF('Lease Cycles'!$AT$25&gt;=9999,'Lease Cycles'!$C$25*INDEX('Lease Cycles'!$CB$25:$CH$25,1,BN299)*(1+INDEX('Lease Cycles'!$CI$25:$CO$25,1,BN299))^INT(INT(BN300/12)/INDEX('Lease Cycles'!$CP$25:$CV$25,1,BN299))/12,IF(BN299=1,IF(BN300&gt;=INDEX('Lease Cycles'!$DK$25:$DQ$25,1,BN299),IF(BN$6&gt;='Lease Cycles'!$AZ$25,'Lease Cycles'!$C$25*'Lease Cycles'!$BA$25/12,IF(BN$6&gt;='Lease Cycles'!$AX$25,'Lease Cycles'!$C$25*'Lease Cycles'!$AY$25/12,IF(BN$6&gt;='Lease Cycles'!$AV$25,'Lease Cycles'!$C$25*'Lease Cycles'!$AW$25/12,IF(BN$6&gt;='Lease Cycles'!$AT$25,'Lease Cycles'!$C$25*'Lease Cycles'!$AU$25/12,'Lease Cycles'!$C$25*INDEX('Lease Cycles'!$CB$25:$CH$25,1,BN299)*(1+INDEX('Lease Cycles'!$CI$25:$CO$25,1,BN299))^INT(INT(BN300/12)/INDEX('Lease Cycles'!$CP$25:$CV$25,1,BN299))/12)))),'Lease Cycles'!$C$25*INDEX('Lease Cycles'!$CB$25:$CH$25,1,BN299)*(1+INDEX('Lease Cycles'!$CI$25:$CO$25,1,BN299))^INT(INT(BN300/12)/INDEX('Lease Cycles'!$CP$25:$CV$25,1,BN299))/12),IF(INDEX('Lease Cycles'!$EF$25:$EL$25,1,BN299)=1,IF(AND('Lease Cycles'!$AZ$25&gt;=INDEX('Lease Cycles'!$BG$25:$BM$25,1,BN299),'Lease Cycles'!$AZ$25&lt;=BN$6),'Lease Cycles'!$C$25*'Lease Cycles'!$BA$25/12,IF(AND('Lease Cycles'!$AX$25&gt;=INDEX('Lease Cycles'!$BG$25:$BM$25,1,BN299),'Lease Cycles'!$AX$25&lt;=BN$6),'Lease Cycles'!$C$25*'Lease Cycles'!$AY$25/12,IF(AND('Lease Cycles'!$AV$25&gt;=INDEX('Lease Cycles'!$BG$25:$BM$25,1,BN299),'Lease Cycles'!$AV$25&lt;=BN$6),'Lease Cycles'!$C$25*'Lease Cycles'!$AW$25/12,IF(AND('Lease Cycles'!$AT$25&gt;=INDEX('Lease Cycles'!$BG$25:$BM$25,1,BN299),'Lease Cycles'!$AT$25&lt;=BN$6),'Lease Cycles'!$C$25*'Lease Cycles'!$AU$25/12,'Lease Cycles'!$C$25*INDEX('Lease Cycles'!$CB$25:$CH$25,1,BN299)*(1+INDEX('Lease Cycles'!$CI$25:$CO$25,1,BN299))^INT(INT(BN300/12)/INDEX('Lease Cycles'!$CP$25:$CV$25,1,BN299))/12)))),'Lease Cycles'!$C$25*INDEX('Lease Cycles'!$CB$25:$CH$25,1,BN299)*(1+INDEX('Lease Cycles'!$CI$25:$CO$25,1,BN299))^INT(INT(BN300/12)/INDEX('Lease Cycles'!$CP$25:$CV$25,1,BN299))/12))),IF('Lease Cycles'!$N$25=1,'Lease Cycles'!$C$25*'Lease Cycles'!$E$25*INDEX('Lease Cycles'!$HE$25:$HK$25,1,BN299)*(1+INDEX('Lease Cycles'!$GQ$25:$GW$25,1,BN299))^INT(INT((BN$6-INDEX('Lease Cycles'!$GJ$25:$GP$25,1,BN299))/12)/INDEX('Lease Cycles'!$GX$25:$HD$25,1,BN299))/12,0)))</f>
        <v>0</v>
      </c>
      <c r="BO302" s="28">
        <f>IF(BO299=0,IF('Lease Cycles'!$F$25&gt;0,'Lease Cycles'!$C$25*'Lease Cycles'!$E$25/12,0),IF(BO301=1,IF('Lease Cycles'!$AT$25&gt;=9999,'Lease Cycles'!$C$25*INDEX('Lease Cycles'!$CB$25:$CH$25,1,BO299)*(1+INDEX('Lease Cycles'!$CI$25:$CO$25,1,BO299))^INT(INT(BO300/12)/INDEX('Lease Cycles'!$CP$25:$CV$25,1,BO299))/12,IF(BO299=1,IF(BO300&gt;=INDEX('Lease Cycles'!$DK$25:$DQ$25,1,BO299),IF(BO$6&gt;='Lease Cycles'!$AZ$25,'Lease Cycles'!$C$25*'Lease Cycles'!$BA$25/12,IF(BO$6&gt;='Lease Cycles'!$AX$25,'Lease Cycles'!$C$25*'Lease Cycles'!$AY$25/12,IF(BO$6&gt;='Lease Cycles'!$AV$25,'Lease Cycles'!$C$25*'Lease Cycles'!$AW$25/12,IF(BO$6&gt;='Lease Cycles'!$AT$25,'Lease Cycles'!$C$25*'Lease Cycles'!$AU$25/12,'Lease Cycles'!$C$25*INDEX('Lease Cycles'!$CB$25:$CH$25,1,BO299)*(1+INDEX('Lease Cycles'!$CI$25:$CO$25,1,BO299))^INT(INT(BO300/12)/INDEX('Lease Cycles'!$CP$25:$CV$25,1,BO299))/12)))),'Lease Cycles'!$C$25*INDEX('Lease Cycles'!$CB$25:$CH$25,1,BO299)*(1+INDEX('Lease Cycles'!$CI$25:$CO$25,1,BO299))^INT(INT(BO300/12)/INDEX('Lease Cycles'!$CP$25:$CV$25,1,BO299))/12),IF(INDEX('Lease Cycles'!$EF$25:$EL$25,1,BO299)=1,IF(AND('Lease Cycles'!$AZ$25&gt;=INDEX('Lease Cycles'!$BG$25:$BM$25,1,BO299),'Lease Cycles'!$AZ$25&lt;=BO$6),'Lease Cycles'!$C$25*'Lease Cycles'!$BA$25/12,IF(AND('Lease Cycles'!$AX$25&gt;=INDEX('Lease Cycles'!$BG$25:$BM$25,1,BO299),'Lease Cycles'!$AX$25&lt;=BO$6),'Lease Cycles'!$C$25*'Lease Cycles'!$AY$25/12,IF(AND('Lease Cycles'!$AV$25&gt;=INDEX('Lease Cycles'!$BG$25:$BM$25,1,BO299),'Lease Cycles'!$AV$25&lt;=BO$6),'Lease Cycles'!$C$25*'Lease Cycles'!$AW$25/12,IF(AND('Lease Cycles'!$AT$25&gt;=INDEX('Lease Cycles'!$BG$25:$BM$25,1,BO299),'Lease Cycles'!$AT$25&lt;=BO$6),'Lease Cycles'!$C$25*'Lease Cycles'!$AU$25/12,'Lease Cycles'!$C$25*INDEX('Lease Cycles'!$CB$25:$CH$25,1,BO299)*(1+INDEX('Lease Cycles'!$CI$25:$CO$25,1,BO299))^INT(INT(BO300/12)/INDEX('Lease Cycles'!$CP$25:$CV$25,1,BO299))/12)))),'Lease Cycles'!$C$25*INDEX('Lease Cycles'!$CB$25:$CH$25,1,BO299)*(1+INDEX('Lease Cycles'!$CI$25:$CO$25,1,BO299))^INT(INT(BO300/12)/INDEX('Lease Cycles'!$CP$25:$CV$25,1,BO299))/12))),IF('Lease Cycles'!$N$25=1,'Lease Cycles'!$C$25*'Lease Cycles'!$E$25*INDEX('Lease Cycles'!$HE$25:$HK$25,1,BO299)*(1+INDEX('Lease Cycles'!$GQ$25:$GW$25,1,BO299))^INT(INT((BO$6-INDEX('Lease Cycles'!$GJ$25:$GP$25,1,BO299))/12)/INDEX('Lease Cycles'!$GX$25:$HD$25,1,BO299))/12,0)))</f>
        <v>0</v>
      </c>
      <c r="BP302" s="28">
        <f>IF(BP299=0,IF('Lease Cycles'!$F$25&gt;0,'Lease Cycles'!$C$25*'Lease Cycles'!$E$25/12,0),IF(BP301=1,IF('Lease Cycles'!$AT$25&gt;=9999,'Lease Cycles'!$C$25*INDEX('Lease Cycles'!$CB$25:$CH$25,1,BP299)*(1+INDEX('Lease Cycles'!$CI$25:$CO$25,1,BP299))^INT(INT(BP300/12)/INDEX('Lease Cycles'!$CP$25:$CV$25,1,BP299))/12,IF(BP299=1,IF(BP300&gt;=INDEX('Lease Cycles'!$DK$25:$DQ$25,1,BP299),IF(BP$6&gt;='Lease Cycles'!$AZ$25,'Lease Cycles'!$C$25*'Lease Cycles'!$BA$25/12,IF(BP$6&gt;='Lease Cycles'!$AX$25,'Lease Cycles'!$C$25*'Lease Cycles'!$AY$25/12,IF(BP$6&gt;='Lease Cycles'!$AV$25,'Lease Cycles'!$C$25*'Lease Cycles'!$AW$25/12,IF(BP$6&gt;='Lease Cycles'!$AT$25,'Lease Cycles'!$C$25*'Lease Cycles'!$AU$25/12,'Lease Cycles'!$C$25*INDEX('Lease Cycles'!$CB$25:$CH$25,1,BP299)*(1+INDEX('Lease Cycles'!$CI$25:$CO$25,1,BP299))^INT(INT(BP300/12)/INDEX('Lease Cycles'!$CP$25:$CV$25,1,BP299))/12)))),'Lease Cycles'!$C$25*INDEX('Lease Cycles'!$CB$25:$CH$25,1,BP299)*(1+INDEX('Lease Cycles'!$CI$25:$CO$25,1,BP299))^INT(INT(BP300/12)/INDEX('Lease Cycles'!$CP$25:$CV$25,1,BP299))/12),IF(INDEX('Lease Cycles'!$EF$25:$EL$25,1,BP299)=1,IF(AND('Lease Cycles'!$AZ$25&gt;=INDEX('Lease Cycles'!$BG$25:$BM$25,1,BP299),'Lease Cycles'!$AZ$25&lt;=BP$6),'Lease Cycles'!$C$25*'Lease Cycles'!$BA$25/12,IF(AND('Lease Cycles'!$AX$25&gt;=INDEX('Lease Cycles'!$BG$25:$BM$25,1,BP299),'Lease Cycles'!$AX$25&lt;=BP$6),'Lease Cycles'!$C$25*'Lease Cycles'!$AY$25/12,IF(AND('Lease Cycles'!$AV$25&gt;=INDEX('Lease Cycles'!$BG$25:$BM$25,1,BP299),'Lease Cycles'!$AV$25&lt;=BP$6),'Lease Cycles'!$C$25*'Lease Cycles'!$AW$25/12,IF(AND('Lease Cycles'!$AT$25&gt;=INDEX('Lease Cycles'!$BG$25:$BM$25,1,BP299),'Lease Cycles'!$AT$25&lt;=BP$6),'Lease Cycles'!$C$25*'Lease Cycles'!$AU$25/12,'Lease Cycles'!$C$25*INDEX('Lease Cycles'!$CB$25:$CH$25,1,BP299)*(1+INDEX('Lease Cycles'!$CI$25:$CO$25,1,BP299))^INT(INT(BP300/12)/INDEX('Lease Cycles'!$CP$25:$CV$25,1,BP299))/12)))),'Lease Cycles'!$C$25*INDEX('Lease Cycles'!$CB$25:$CH$25,1,BP299)*(1+INDEX('Lease Cycles'!$CI$25:$CO$25,1,BP299))^INT(INT(BP300/12)/INDEX('Lease Cycles'!$CP$25:$CV$25,1,BP299))/12))),IF('Lease Cycles'!$N$25=1,'Lease Cycles'!$C$25*'Lease Cycles'!$E$25*INDEX('Lease Cycles'!$HE$25:$HK$25,1,BP299)*(1+INDEX('Lease Cycles'!$GQ$25:$GW$25,1,BP299))^INT(INT((BP$6-INDEX('Lease Cycles'!$GJ$25:$GP$25,1,BP299))/12)/INDEX('Lease Cycles'!$GX$25:$HD$25,1,BP299))/12,0)))</f>
        <v>0</v>
      </c>
      <c r="BQ302" s="28">
        <f>IF(BQ299=0,IF('Lease Cycles'!$F$25&gt;0,'Lease Cycles'!$C$25*'Lease Cycles'!$E$25/12,0),IF(BQ301=1,IF('Lease Cycles'!$AT$25&gt;=9999,'Lease Cycles'!$C$25*INDEX('Lease Cycles'!$CB$25:$CH$25,1,BQ299)*(1+INDEX('Lease Cycles'!$CI$25:$CO$25,1,BQ299))^INT(INT(BQ300/12)/INDEX('Lease Cycles'!$CP$25:$CV$25,1,BQ299))/12,IF(BQ299=1,IF(BQ300&gt;=INDEX('Lease Cycles'!$DK$25:$DQ$25,1,BQ299),IF(BQ$6&gt;='Lease Cycles'!$AZ$25,'Lease Cycles'!$C$25*'Lease Cycles'!$BA$25/12,IF(BQ$6&gt;='Lease Cycles'!$AX$25,'Lease Cycles'!$C$25*'Lease Cycles'!$AY$25/12,IF(BQ$6&gt;='Lease Cycles'!$AV$25,'Lease Cycles'!$C$25*'Lease Cycles'!$AW$25/12,IF(BQ$6&gt;='Lease Cycles'!$AT$25,'Lease Cycles'!$C$25*'Lease Cycles'!$AU$25/12,'Lease Cycles'!$C$25*INDEX('Lease Cycles'!$CB$25:$CH$25,1,BQ299)*(1+INDEX('Lease Cycles'!$CI$25:$CO$25,1,BQ299))^INT(INT(BQ300/12)/INDEX('Lease Cycles'!$CP$25:$CV$25,1,BQ299))/12)))),'Lease Cycles'!$C$25*INDEX('Lease Cycles'!$CB$25:$CH$25,1,BQ299)*(1+INDEX('Lease Cycles'!$CI$25:$CO$25,1,BQ299))^INT(INT(BQ300/12)/INDEX('Lease Cycles'!$CP$25:$CV$25,1,BQ299))/12),IF(INDEX('Lease Cycles'!$EF$25:$EL$25,1,BQ299)=1,IF(AND('Lease Cycles'!$AZ$25&gt;=INDEX('Lease Cycles'!$BG$25:$BM$25,1,BQ299),'Lease Cycles'!$AZ$25&lt;=BQ$6),'Lease Cycles'!$C$25*'Lease Cycles'!$BA$25/12,IF(AND('Lease Cycles'!$AX$25&gt;=INDEX('Lease Cycles'!$BG$25:$BM$25,1,BQ299),'Lease Cycles'!$AX$25&lt;=BQ$6),'Lease Cycles'!$C$25*'Lease Cycles'!$AY$25/12,IF(AND('Lease Cycles'!$AV$25&gt;=INDEX('Lease Cycles'!$BG$25:$BM$25,1,BQ299),'Lease Cycles'!$AV$25&lt;=BQ$6),'Lease Cycles'!$C$25*'Lease Cycles'!$AW$25/12,IF(AND('Lease Cycles'!$AT$25&gt;=INDEX('Lease Cycles'!$BG$25:$BM$25,1,BQ299),'Lease Cycles'!$AT$25&lt;=BQ$6),'Lease Cycles'!$C$25*'Lease Cycles'!$AU$25/12,'Lease Cycles'!$C$25*INDEX('Lease Cycles'!$CB$25:$CH$25,1,BQ299)*(1+INDEX('Lease Cycles'!$CI$25:$CO$25,1,BQ299))^INT(INT(BQ300/12)/INDEX('Lease Cycles'!$CP$25:$CV$25,1,BQ299))/12)))),'Lease Cycles'!$C$25*INDEX('Lease Cycles'!$CB$25:$CH$25,1,BQ299)*(1+INDEX('Lease Cycles'!$CI$25:$CO$25,1,BQ299))^INT(INT(BQ300/12)/INDEX('Lease Cycles'!$CP$25:$CV$25,1,BQ299))/12))),IF('Lease Cycles'!$N$25=1,'Lease Cycles'!$C$25*'Lease Cycles'!$E$25*INDEX('Lease Cycles'!$HE$25:$HK$25,1,BQ299)*(1+INDEX('Lease Cycles'!$GQ$25:$GW$25,1,BQ299))^INT(INT((BQ$6-INDEX('Lease Cycles'!$GJ$25:$GP$25,1,BQ299))/12)/INDEX('Lease Cycles'!$GX$25:$HD$25,1,BQ299))/12,0)))</f>
        <v>0</v>
      </c>
      <c r="BR302" s="28">
        <f>IF(BR299=0,IF('Lease Cycles'!$F$25&gt;0,'Lease Cycles'!$C$25*'Lease Cycles'!$E$25/12,0),IF(BR301=1,IF('Lease Cycles'!$AT$25&gt;=9999,'Lease Cycles'!$C$25*INDEX('Lease Cycles'!$CB$25:$CH$25,1,BR299)*(1+INDEX('Lease Cycles'!$CI$25:$CO$25,1,BR299))^INT(INT(BR300/12)/INDEX('Lease Cycles'!$CP$25:$CV$25,1,BR299))/12,IF(BR299=1,IF(BR300&gt;=INDEX('Lease Cycles'!$DK$25:$DQ$25,1,BR299),IF(BR$6&gt;='Lease Cycles'!$AZ$25,'Lease Cycles'!$C$25*'Lease Cycles'!$BA$25/12,IF(BR$6&gt;='Lease Cycles'!$AX$25,'Lease Cycles'!$C$25*'Lease Cycles'!$AY$25/12,IF(BR$6&gt;='Lease Cycles'!$AV$25,'Lease Cycles'!$C$25*'Lease Cycles'!$AW$25/12,IF(BR$6&gt;='Lease Cycles'!$AT$25,'Lease Cycles'!$C$25*'Lease Cycles'!$AU$25/12,'Lease Cycles'!$C$25*INDEX('Lease Cycles'!$CB$25:$CH$25,1,BR299)*(1+INDEX('Lease Cycles'!$CI$25:$CO$25,1,BR299))^INT(INT(BR300/12)/INDEX('Lease Cycles'!$CP$25:$CV$25,1,BR299))/12)))),'Lease Cycles'!$C$25*INDEX('Lease Cycles'!$CB$25:$CH$25,1,BR299)*(1+INDEX('Lease Cycles'!$CI$25:$CO$25,1,BR299))^INT(INT(BR300/12)/INDEX('Lease Cycles'!$CP$25:$CV$25,1,BR299))/12),IF(INDEX('Lease Cycles'!$EF$25:$EL$25,1,BR299)=1,IF(AND('Lease Cycles'!$AZ$25&gt;=INDEX('Lease Cycles'!$BG$25:$BM$25,1,BR299),'Lease Cycles'!$AZ$25&lt;=BR$6),'Lease Cycles'!$C$25*'Lease Cycles'!$BA$25/12,IF(AND('Lease Cycles'!$AX$25&gt;=INDEX('Lease Cycles'!$BG$25:$BM$25,1,BR299),'Lease Cycles'!$AX$25&lt;=BR$6),'Lease Cycles'!$C$25*'Lease Cycles'!$AY$25/12,IF(AND('Lease Cycles'!$AV$25&gt;=INDEX('Lease Cycles'!$BG$25:$BM$25,1,BR299),'Lease Cycles'!$AV$25&lt;=BR$6),'Lease Cycles'!$C$25*'Lease Cycles'!$AW$25/12,IF(AND('Lease Cycles'!$AT$25&gt;=INDEX('Lease Cycles'!$BG$25:$BM$25,1,BR299),'Lease Cycles'!$AT$25&lt;=BR$6),'Lease Cycles'!$C$25*'Lease Cycles'!$AU$25/12,'Lease Cycles'!$C$25*INDEX('Lease Cycles'!$CB$25:$CH$25,1,BR299)*(1+INDEX('Lease Cycles'!$CI$25:$CO$25,1,BR299))^INT(INT(BR300/12)/INDEX('Lease Cycles'!$CP$25:$CV$25,1,BR299))/12)))),'Lease Cycles'!$C$25*INDEX('Lease Cycles'!$CB$25:$CH$25,1,BR299)*(1+INDEX('Lease Cycles'!$CI$25:$CO$25,1,BR299))^INT(INT(BR300/12)/INDEX('Lease Cycles'!$CP$25:$CV$25,1,BR299))/12))),IF('Lease Cycles'!$N$25=1,'Lease Cycles'!$C$25*'Lease Cycles'!$E$25*INDEX('Lease Cycles'!$HE$25:$HK$25,1,BR299)*(1+INDEX('Lease Cycles'!$GQ$25:$GW$25,1,BR299))^INT(INT((BR$6-INDEX('Lease Cycles'!$GJ$25:$GP$25,1,BR299))/12)/INDEX('Lease Cycles'!$GX$25:$HD$25,1,BR299))/12,0)))</f>
        <v>0</v>
      </c>
      <c r="BS302" s="28">
        <f>IF(BS299=0,IF('Lease Cycles'!$F$25&gt;0,'Lease Cycles'!$C$25*'Lease Cycles'!$E$25/12,0),IF(BS301=1,IF('Lease Cycles'!$AT$25&gt;=9999,'Lease Cycles'!$C$25*INDEX('Lease Cycles'!$CB$25:$CH$25,1,BS299)*(1+INDEX('Lease Cycles'!$CI$25:$CO$25,1,BS299))^INT(INT(BS300/12)/INDEX('Lease Cycles'!$CP$25:$CV$25,1,BS299))/12,IF(BS299=1,IF(BS300&gt;=INDEX('Lease Cycles'!$DK$25:$DQ$25,1,BS299),IF(BS$6&gt;='Lease Cycles'!$AZ$25,'Lease Cycles'!$C$25*'Lease Cycles'!$BA$25/12,IF(BS$6&gt;='Lease Cycles'!$AX$25,'Lease Cycles'!$C$25*'Lease Cycles'!$AY$25/12,IF(BS$6&gt;='Lease Cycles'!$AV$25,'Lease Cycles'!$C$25*'Lease Cycles'!$AW$25/12,IF(BS$6&gt;='Lease Cycles'!$AT$25,'Lease Cycles'!$C$25*'Lease Cycles'!$AU$25/12,'Lease Cycles'!$C$25*INDEX('Lease Cycles'!$CB$25:$CH$25,1,BS299)*(1+INDEX('Lease Cycles'!$CI$25:$CO$25,1,BS299))^INT(INT(BS300/12)/INDEX('Lease Cycles'!$CP$25:$CV$25,1,BS299))/12)))),'Lease Cycles'!$C$25*INDEX('Lease Cycles'!$CB$25:$CH$25,1,BS299)*(1+INDEX('Lease Cycles'!$CI$25:$CO$25,1,BS299))^INT(INT(BS300/12)/INDEX('Lease Cycles'!$CP$25:$CV$25,1,BS299))/12),IF(INDEX('Lease Cycles'!$EF$25:$EL$25,1,BS299)=1,IF(AND('Lease Cycles'!$AZ$25&gt;=INDEX('Lease Cycles'!$BG$25:$BM$25,1,BS299),'Lease Cycles'!$AZ$25&lt;=BS$6),'Lease Cycles'!$C$25*'Lease Cycles'!$BA$25/12,IF(AND('Lease Cycles'!$AX$25&gt;=INDEX('Lease Cycles'!$BG$25:$BM$25,1,BS299),'Lease Cycles'!$AX$25&lt;=BS$6),'Lease Cycles'!$C$25*'Lease Cycles'!$AY$25/12,IF(AND('Lease Cycles'!$AV$25&gt;=INDEX('Lease Cycles'!$BG$25:$BM$25,1,BS299),'Lease Cycles'!$AV$25&lt;=BS$6),'Lease Cycles'!$C$25*'Lease Cycles'!$AW$25/12,IF(AND('Lease Cycles'!$AT$25&gt;=INDEX('Lease Cycles'!$BG$25:$BM$25,1,BS299),'Lease Cycles'!$AT$25&lt;=BS$6),'Lease Cycles'!$C$25*'Lease Cycles'!$AU$25/12,'Lease Cycles'!$C$25*INDEX('Lease Cycles'!$CB$25:$CH$25,1,BS299)*(1+INDEX('Lease Cycles'!$CI$25:$CO$25,1,BS299))^INT(INT(BS300/12)/INDEX('Lease Cycles'!$CP$25:$CV$25,1,BS299))/12)))),'Lease Cycles'!$C$25*INDEX('Lease Cycles'!$CB$25:$CH$25,1,BS299)*(1+INDEX('Lease Cycles'!$CI$25:$CO$25,1,BS299))^INT(INT(BS300/12)/INDEX('Lease Cycles'!$CP$25:$CV$25,1,BS299))/12))),IF('Lease Cycles'!$N$25=1,'Lease Cycles'!$C$25*'Lease Cycles'!$E$25*INDEX('Lease Cycles'!$HE$25:$HK$25,1,BS299)*(1+INDEX('Lease Cycles'!$GQ$25:$GW$25,1,BS299))^INT(INT((BS$6-INDEX('Lease Cycles'!$GJ$25:$GP$25,1,BS299))/12)/INDEX('Lease Cycles'!$GX$25:$HD$25,1,BS299))/12,0)))</f>
        <v>0</v>
      </c>
      <c r="BT302" s="28">
        <f>IF(BT299=0,IF('Lease Cycles'!$F$25&gt;0,'Lease Cycles'!$C$25*'Lease Cycles'!$E$25/12,0),IF(BT301=1,IF('Lease Cycles'!$AT$25&gt;=9999,'Lease Cycles'!$C$25*INDEX('Lease Cycles'!$CB$25:$CH$25,1,BT299)*(1+INDEX('Lease Cycles'!$CI$25:$CO$25,1,BT299))^INT(INT(BT300/12)/INDEX('Lease Cycles'!$CP$25:$CV$25,1,BT299))/12,IF(BT299=1,IF(BT300&gt;=INDEX('Lease Cycles'!$DK$25:$DQ$25,1,BT299),IF(BT$6&gt;='Lease Cycles'!$AZ$25,'Lease Cycles'!$C$25*'Lease Cycles'!$BA$25/12,IF(BT$6&gt;='Lease Cycles'!$AX$25,'Lease Cycles'!$C$25*'Lease Cycles'!$AY$25/12,IF(BT$6&gt;='Lease Cycles'!$AV$25,'Lease Cycles'!$C$25*'Lease Cycles'!$AW$25/12,IF(BT$6&gt;='Lease Cycles'!$AT$25,'Lease Cycles'!$C$25*'Lease Cycles'!$AU$25/12,'Lease Cycles'!$C$25*INDEX('Lease Cycles'!$CB$25:$CH$25,1,BT299)*(1+INDEX('Lease Cycles'!$CI$25:$CO$25,1,BT299))^INT(INT(BT300/12)/INDEX('Lease Cycles'!$CP$25:$CV$25,1,BT299))/12)))),'Lease Cycles'!$C$25*INDEX('Lease Cycles'!$CB$25:$CH$25,1,BT299)*(1+INDEX('Lease Cycles'!$CI$25:$CO$25,1,BT299))^INT(INT(BT300/12)/INDEX('Lease Cycles'!$CP$25:$CV$25,1,BT299))/12),IF(INDEX('Lease Cycles'!$EF$25:$EL$25,1,BT299)=1,IF(AND('Lease Cycles'!$AZ$25&gt;=INDEX('Lease Cycles'!$BG$25:$BM$25,1,BT299),'Lease Cycles'!$AZ$25&lt;=BT$6),'Lease Cycles'!$C$25*'Lease Cycles'!$BA$25/12,IF(AND('Lease Cycles'!$AX$25&gt;=INDEX('Lease Cycles'!$BG$25:$BM$25,1,BT299),'Lease Cycles'!$AX$25&lt;=BT$6),'Lease Cycles'!$C$25*'Lease Cycles'!$AY$25/12,IF(AND('Lease Cycles'!$AV$25&gt;=INDEX('Lease Cycles'!$BG$25:$BM$25,1,BT299),'Lease Cycles'!$AV$25&lt;=BT$6),'Lease Cycles'!$C$25*'Lease Cycles'!$AW$25/12,IF(AND('Lease Cycles'!$AT$25&gt;=INDEX('Lease Cycles'!$BG$25:$BM$25,1,BT299),'Lease Cycles'!$AT$25&lt;=BT$6),'Lease Cycles'!$C$25*'Lease Cycles'!$AU$25/12,'Lease Cycles'!$C$25*INDEX('Lease Cycles'!$CB$25:$CH$25,1,BT299)*(1+INDEX('Lease Cycles'!$CI$25:$CO$25,1,BT299))^INT(INT(BT300/12)/INDEX('Lease Cycles'!$CP$25:$CV$25,1,BT299))/12)))),'Lease Cycles'!$C$25*INDEX('Lease Cycles'!$CB$25:$CH$25,1,BT299)*(1+INDEX('Lease Cycles'!$CI$25:$CO$25,1,BT299))^INT(INT(BT300/12)/INDEX('Lease Cycles'!$CP$25:$CV$25,1,BT299))/12))),IF('Lease Cycles'!$N$25=1,'Lease Cycles'!$C$25*'Lease Cycles'!$E$25*INDEX('Lease Cycles'!$HE$25:$HK$25,1,BT299)*(1+INDEX('Lease Cycles'!$GQ$25:$GW$25,1,BT299))^INT(INT((BT$6-INDEX('Lease Cycles'!$GJ$25:$GP$25,1,BT299))/12)/INDEX('Lease Cycles'!$GX$25:$HD$25,1,BT299))/12,0)))</f>
        <v>0</v>
      </c>
      <c r="BU302" s="28">
        <f>IF(BU299=0,IF('Lease Cycles'!$F$25&gt;0,'Lease Cycles'!$C$25*'Lease Cycles'!$E$25/12,0),IF(BU301=1,IF('Lease Cycles'!$AT$25&gt;=9999,'Lease Cycles'!$C$25*INDEX('Lease Cycles'!$CB$25:$CH$25,1,BU299)*(1+INDEX('Lease Cycles'!$CI$25:$CO$25,1,BU299))^INT(INT(BU300/12)/INDEX('Lease Cycles'!$CP$25:$CV$25,1,BU299))/12,IF(BU299=1,IF(BU300&gt;=INDEX('Lease Cycles'!$DK$25:$DQ$25,1,BU299),IF(BU$6&gt;='Lease Cycles'!$AZ$25,'Lease Cycles'!$C$25*'Lease Cycles'!$BA$25/12,IF(BU$6&gt;='Lease Cycles'!$AX$25,'Lease Cycles'!$C$25*'Lease Cycles'!$AY$25/12,IF(BU$6&gt;='Lease Cycles'!$AV$25,'Lease Cycles'!$C$25*'Lease Cycles'!$AW$25/12,IF(BU$6&gt;='Lease Cycles'!$AT$25,'Lease Cycles'!$C$25*'Lease Cycles'!$AU$25/12,'Lease Cycles'!$C$25*INDEX('Lease Cycles'!$CB$25:$CH$25,1,BU299)*(1+INDEX('Lease Cycles'!$CI$25:$CO$25,1,BU299))^INT(INT(BU300/12)/INDEX('Lease Cycles'!$CP$25:$CV$25,1,BU299))/12)))),'Lease Cycles'!$C$25*INDEX('Lease Cycles'!$CB$25:$CH$25,1,BU299)*(1+INDEX('Lease Cycles'!$CI$25:$CO$25,1,BU299))^INT(INT(BU300/12)/INDEX('Lease Cycles'!$CP$25:$CV$25,1,BU299))/12),IF(INDEX('Lease Cycles'!$EF$25:$EL$25,1,BU299)=1,IF(AND('Lease Cycles'!$AZ$25&gt;=INDEX('Lease Cycles'!$BG$25:$BM$25,1,BU299),'Lease Cycles'!$AZ$25&lt;=BU$6),'Lease Cycles'!$C$25*'Lease Cycles'!$BA$25/12,IF(AND('Lease Cycles'!$AX$25&gt;=INDEX('Lease Cycles'!$BG$25:$BM$25,1,BU299),'Lease Cycles'!$AX$25&lt;=BU$6),'Lease Cycles'!$C$25*'Lease Cycles'!$AY$25/12,IF(AND('Lease Cycles'!$AV$25&gt;=INDEX('Lease Cycles'!$BG$25:$BM$25,1,BU299),'Lease Cycles'!$AV$25&lt;=BU$6),'Lease Cycles'!$C$25*'Lease Cycles'!$AW$25/12,IF(AND('Lease Cycles'!$AT$25&gt;=INDEX('Lease Cycles'!$BG$25:$BM$25,1,BU299),'Lease Cycles'!$AT$25&lt;=BU$6),'Lease Cycles'!$C$25*'Lease Cycles'!$AU$25/12,'Lease Cycles'!$C$25*INDEX('Lease Cycles'!$CB$25:$CH$25,1,BU299)*(1+INDEX('Lease Cycles'!$CI$25:$CO$25,1,BU299))^INT(INT(BU300/12)/INDEX('Lease Cycles'!$CP$25:$CV$25,1,BU299))/12)))),'Lease Cycles'!$C$25*INDEX('Lease Cycles'!$CB$25:$CH$25,1,BU299)*(1+INDEX('Lease Cycles'!$CI$25:$CO$25,1,BU299))^INT(INT(BU300/12)/INDEX('Lease Cycles'!$CP$25:$CV$25,1,BU299))/12))),IF('Lease Cycles'!$N$25=1,'Lease Cycles'!$C$25*'Lease Cycles'!$E$25*INDEX('Lease Cycles'!$HE$25:$HK$25,1,BU299)*(1+INDEX('Lease Cycles'!$GQ$25:$GW$25,1,BU299))^INT(INT((BU$6-INDEX('Lease Cycles'!$GJ$25:$GP$25,1,BU299))/12)/INDEX('Lease Cycles'!$GX$25:$HD$25,1,BU299))/12,0)))</f>
        <v>0</v>
      </c>
      <c r="BV302" s="28">
        <f>IF(BV299=0,IF('Lease Cycles'!$F$25&gt;0,'Lease Cycles'!$C$25*'Lease Cycles'!$E$25/12,0),IF(BV301=1,IF('Lease Cycles'!$AT$25&gt;=9999,'Lease Cycles'!$C$25*INDEX('Lease Cycles'!$CB$25:$CH$25,1,BV299)*(1+INDEX('Lease Cycles'!$CI$25:$CO$25,1,BV299))^INT(INT(BV300/12)/INDEX('Lease Cycles'!$CP$25:$CV$25,1,BV299))/12,IF(BV299=1,IF(BV300&gt;=INDEX('Lease Cycles'!$DK$25:$DQ$25,1,BV299),IF(BV$6&gt;='Lease Cycles'!$AZ$25,'Lease Cycles'!$C$25*'Lease Cycles'!$BA$25/12,IF(BV$6&gt;='Lease Cycles'!$AX$25,'Lease Cycles'!$C$25*'Lease Cycles'!$AY$25/12,IF(BV$6&gt;='Lease Cycles'!$AV$25,'Lease Cycles'!$C$25*'Lease Cycles'!$AW$25/12,IF(BV$6&gt;='Lease Cycles'!$AT$25,'Lease Cycles'!$C$25*'Lease Cycles'!$AU$25/12,'Lease Cycles'!$C$25*INDEX('Lease Cycles'!$CB$25:$CH$25,1,BV299)*(1+INDEX('Lease Cycles'!$CI$25:$CO$25,1,BV299))^INT(INT(BV300/12)/INDEX('Lease Cycles'!$CP$25:$CV$25,1,BV299))/12)))),'Lease Cycles'!$C$25*INDEX('Lease Cycles'!$CB$25:$CH$25,1,BV299)*(1+INDEX('Lease Cycles'!$CI$25:$CO$25,1,BV299))^INT(INT(BV300/12)/INDEX('Lease Cycles'!$CP$25:$CV$25,1,BV299))/12),IF(INDEX('Lease Cycles'!$EF$25:$EL$25,1,BV299)=1,IF(AND('Lease Cycles'!$AZ$25&gt;=INDEX('Lease Cycles'!$BG$25:$BM$25,1,BV299),'Lease Cycles'!$AZ$25&lt;=BV$6),'Lease Cycles'!$C$25*'Lease Cycles'!$BA$25/12,IF(AND('Lease Cycles'!$AX$25&gt;=INDEX('Lease Cycles'!$BG$25:$BM$25,1,BV299),'Lease Cycles'!$AX$25&lt;=BV$6),'Lease Cycles'!$C$25*'Lease Cycles'!$AY$25/12,IF(AND('Lease Cycles'!$AV$25&gt;=INDEX('Lease Cycles'!$BG$25:$BM$25,1,BV299),'Lease Cycles'!$AV$25&lt;=BV$6),'Lease Cycles'!$C$25*'Lease Cycles'!$AW$25/12,IF(AND('Lease Cycles'!$AT$25&gt;=INDEX('Lease Cycles'!$BG$25:$BM$25,1,BV299),'Lease Cycles'!$AT$25&lt;=BV$6),'Lease Cycles'!$C$25*'Lease Cycles'!$AU$25/12,'Lease Cycles'!$C$25*INDEX('Lease Cycles'!$CB$25:$CH$25,1,BV299)*(1+INDEX('Lease Cycles'!$CI$25:$CO$25,1,BV299))^INT(INT(BV300/12)/INDEX('Lease Cycles'!$CP$25:$CV$25,1,BV299))/12)))),'Lease Cycles'!$C$25*INDEX('Lease Cycles'!$CB$25:$CH$25,1,BV299)*(1+INDEX('Lease Cycles'!$CI$25:$CO$25,1,BV299))^INT(INT(BV300/12)/INDEX('Lease Cycles'!$CP$25:$CV$25,1,BV299))/12))),IF('Lease Cycles'!$N$25=1,'Lease Cycles'!$C$25*'Lease Cycles'!$E$25*INDEX('Lease Cycles'!$HE$25:$HK$25,1,BV299)*(1+INDEX('Lease Cycles'!$GQ$25:$GW$25,1,BV299))^INT(INT((BV$6-INDEX('Lease Cycles'!$GJ$25:$GP$25,1,BV299))/12)/INDEX('Lease Cycles'!$GX$25:$HD$25,1,BV299))/12,0)))</f>
        <v>0</v>
      </c>
      <c r="BW302" s="28">
        <f>IF(BW299=0,IF('Lease Cycles'!$F$25&gt;0,'Lease Cycles'!$C$25*'Lease Cycles'!$E$25/12,0),IF(BW301=1,IF('Lease Cycles'!$AT$25&gt;=9999,'Lease Cycles'!$C$25*INDEX('Lease Cycles'!$CB$25:$CH$25,1,BW299)*(1+INDEX('Lease Cycles'!$CI$25:$CO$25,1,BW299))^INT(INT(BW300/12)/INDEX('Lease Cycles'!$CP$25:$CV$25,1,BW299))/12,IF(BW299=1,IF(BW300&gt;=INDEX('Lease Cycles'!$DK$25:$DQ$25,1,BW299),IF(BW$6&gt;='Lease Cycles'!$AZ$25,'Lease Cycles'!$C$25*'Lease Cycles'!$BA$25/12,IF(BW$6&gt;='Lease Cycles'!$AX$25,'Lease Cycles'!$C$25*'Lease Cycles'!$AY$25/12,IF(BW$6&gt;='Lease Cycles'!$AV$25,'Lease Cycles'!$C$25*'Lease Cycles'!$AW$25/12,IF(BW$6&gt;='Lease Cycles'!$AT$25,'Lease Cycles'!$C$25*'Lease Cycles'!$AU$25/12,'Lease Cycles'!$C$25*INDEX('Lease Cycles'!$CB$25:$CH$25,1,BW299)*(1+INDEX('Lease Cycles'!$CI$25:$CO$25,1,BW299))^INT(INT(BW300/12)/INDEX('Lease Cycles'!$CP$25:$CV$25,1,BW299))/12)))),'Lease Cycles'!$C$25*INDEX('Lease Cycles'!$CB$25:$CH$25,1,BW299)*(1+INDEX('Lease Cycles'!$CI$25:$CO$25,1,BW299))^INT(INT(BW300/12)/INDEX('Lease Cycles'!$CP$25:$CV$25,1,BW299))/12),IF(INDEX('Lease Cycles'!$EF$25:$EL$25,1,BW299)=1,IF(AND('Lease Cycles'!$AZ$25&gt;=INDEX('Lease Cycles'!$BG$25:$BM$25,1,BW299),'Lease Cycles'!$AZ$25&lt;=BW$6),'Lease Cycles'!$C$25*'Lease Cycles'!$BA$25/12,IF(AND('Lease Cycles'!$AX$25&gt;=INDEX('Lease Cycles'!$BG$25:$BM$25,1,BW299),'Lease Cycles'!$AX$25&lt;=BW$6),'Lease Cycles'!$C$25*'Lease Cycles'!$AY$25/12,IF(AND('Lease Cycles'!$AV$25&gt;=INDEX('Lease Cycles'!$BG$25:$BM$25,1,BW299),'Lease Cycles'!$AV$25&lt;=BW$6),'Lease Cycles'!$C$25*'Lease Cycles'!$AW$25/12,IF(AND('Lease Cycles'!$AT$25&gt;=INDEX('Lease Cycles'!$BG$25:$BM$25,1,BW299),'Lease Cycles'!$AT$25&lt;=BW$6),'Lease Cycles'!$C$25*'Lease Cycles'!$AU$25/12,'Lease Cycles'!$C$25*INDEX('Lease Cycles'!$CB$25:$CH$25,1,BW299)*(1+INDEX('Lease Cycles'!$CI$25:$CO$25,1,BW299))^INT(INT(BW300/12)/INDEX('Lease Cycles'!$CP$25:$CV$25,1,BW299))/12)))),'Lease Cycles'!$C$25*INDEX('Lease Cycles'!$CB$25:$CH$25,1,BW299)*(1+INDEX('Lease Cycles'!$CI$25:$CO$25,1,BW299))^INT(INT(BW300/12)/INDEX('Lease Cycles'!$CP$25:$CV$25,1,BW299))/12))),IF('Lease Cycles'!$N$25=1,'Lease Cycles'!$C$25*'Lease Cycles'!$E$25*INDEX('Lease Cycles'!$HE$25:$HK$25,1,BW299)*(1+INDEX('Lease Cycles'!$GQ$25:$GW$25,1,BW299))^INT(INT((BW$6-INDEX('Lease Cycles'!$GJ$25:$GP$25,1,BW299))/12)/INDEX('Lease Cycles'!$GX$25:$HD$25,1,BW299))/12,0)))</f>
        <v>0</v>
      </c>
      <c r="BX302" s="28">
        <f>IF(BX299=0,IF('Lease Cycles'!$F$25&gt;0,'Lease Cycles'!$C$25*'Lease Cycles'!$E$25/12,0),IF(BX301=1,IF('Lease Cycles'!$AT$25&gt;=9999,'Lease Cycles'!$C$25*INDEX('Lease Cycles'!$CB$25:$CH$25,1,BX299)*(1+INDEX('Lease Cycles'!$CI$25:$CO$25,1,BX299))^INT(INT(BX300/12)/INDEX('Lease Cycles'!$CP$25:$CV$25,1,BX299))/12,IF(BX299=1,IF(BX300&gt;=INDEX('Lease Cycles'!$DK$25:$DQ$25,1,BX299),IF(BX$6&gt;='Lease Cycles'!$AZ$25,'Lease Cycles'!$C$25*'Lease Cycles'!$BA$25/12,IF(BX$6&gt;='Lease Cycles'!$AX$25,'Lease Cycles'!$C$25*'Lease Cycles'!$AY$25/12,IF(BX$6&gt;='Lease Cycles'!$AV$25,'Lease Cycles'!$C$25*'Lease Cycles'!$AW$25/12,IF(BX$6&gt;='Lease Cycles'!$AT$25,'Lease Cycles'!$C$25*'Lease Cycles'!$AU$25/12,'Lease Cycles'!$C$25*INDEX('Lease Cycles'!$CB$25:$CH$25,1,BX299)*(1+INDEX('Lease Cycles'!$CI$25:$CO$25,1,BX299))^INT(INT(BX300/12)/INDEX('Lease Cycles'!$CP$25:$CV$25,1,BX299))/12)))),'Lease Cycles'!$C$25*INDEX('Lease Cycles'!$CB$25:$CH$25,1,BX299)*(1+INDEX('Lease Cycles'!$CI$25:$CO$25,1,BX299))^INT(INT(BX300/12)/INDEX('Lease Cycles'!$CP$25:$CV$25,1,BX299))/12),IF(INDEX('Lease Cycles'!$EF$25:$EL$25,1,BX299)=1,IF(AND('Lease Cycles'!$AZ$25&gt;=INDEX('Lease Cycles'!$BG$25:$BM$25,1,BX299),'Lease Cycles'!$AZ$25&lt;=BX$6),'Lease Cycles'!$C$25*'Lease Cycles'!$BA$25/12,IF(AND('Lease Cycles'!$AX$25&gt;=INDEX('Lease Cycles'!$BG$25:$BM$25,1,BX299),'Lease Cycles'!$AX$25&lt;=BX$6),'Lease Cycles'!$C$25*'Lease Cycles'!$AY$25/12,IF(AND('Lease Cycles'!$AV$25&gt;=INDEX('Lease Cycles'!$BG$25:$BM$25,1,BX299),'Lease Cycles'!$AV$25&lt;=BX$6),'Lease Cycles'!$C$25*'Lease Cycles'!$AW$25/12,IF(AND('Lease Cycles'!$AT$25&gt;=INDEX('Lease Cycles'!$BG$25:$BM$25,1,BX299),'Lease Cycles'!$AT$25&lt;=BX$6),'Lease Cycles'!$C$25*'Lease Cycles'!$AU$25/12,'Lease Cycles'!$C$25*INDEX('Lease Cycles'!$CB$25:$CH$25,1,BX299)*(1+INDEX('Lease Cycles'!$CI$25:$CO$25,1,BX299))^INT(INT(BX300/12)/INDEX('Lease Cycles'!$CP$25:$CV$25,1,BX299))/12)))),'Lease Cycles'!$C$25*INDEX('Lease Cycles'!$CB$25:$CH$25,1,BX299)*(1+INDEX('Lease Cycles'!$CI$25:$CO$25,1,BX299))^INT(INT(BX300/12)/INDEX('Lease Cycles'!$CP$25:$CV$25,1,BX299))/12))),IF('Lease Cycles'!$N$25=1,'Lease Cycles'!$C$25*'Lease Cycles'!$E$25*INDEX('Lease Cycles'!$HE$25:$HK$25,1,BX299)*(1+INDEX('Lease Cycles'!$GQ$25:$GW$25,1,BX299))^INT(INT((BX$6-INDEX('Lease Cycles'!$GJ$25:$GP$25,1,BX299))/12)/INDEX('Lease Cycles'!$GX$25:$HD$25,1,BX299))/12,0)))</f>
        <v>0</v>
      </c>
      <c r="BY302" s="28">
        <f>IF(BY299=0,IF('Lease Cycles'!$F$25&gt;0,'Lease Cycles'!$C$25*'Lease Cycles'!$E$25/12,0),IF(BY301=1,IF('Lease Cycles'!$AT$25&gt;=9999,'Lease Cycles'!$C$25*INDEX('Lease Cycles'!$CB$25:$CH$25,1,BY299)*(1+INDEX('Lease Cycles'!$CI$25:$CO$25,1,BY299))^INT(INT(BY300/12)/INDEX('Lease Cycles'!$CP$25:$CV$25,1,BY299))/12,IF(BY299=1,IF(BY300&gt;=INDEX('Lease Cycles'!$DK$25:$DQ$25,1,BY299),IF(BY$6&gt;='Lease Cycles'!$AZ$25,'Lease Cycles'!$C$25*'Lease Cycles'!$BA$25/12,IF(BY$6&gt;='Lease Cycles'!$AX$25,'Lease Cycles'!$C$25*'Lease Cycles'!$AY$25/12,IF(BY$6&gt;='Lease Cycles'!$AV$25,'Lease Cycles'!$C$25*'Lease Cycles'!$AW$25/12,IF(BY$6&gt;='Lease Cycles'!$AT$25,'Lease Cycles'!$C$25*'Lease Cycles'!$AU$25/12,'Lease Cycles'!$C$25*INDEX('Lease Cycles'!$CB$25:$CH$25,1,BY299)*(1+INDEX('Lease Cycles'!$CI$25:$CO$25,1,BY299))^INT(INT(BY300/12)/INDEX('Lease Cycles'!$CP$25:$CV$25,1,BY299))/12)))),'Lease Cycles'!$C$25*INDEX('Lease Cycles'!$CB$25:$CH$25,1,BY299)*(1+INDEX('Lease Cycles'!$CI$25:$CO$25,1,BY299))^INT(INT(BY300/12)/INDEX('Lease Cycles'!$CP$25:$CV$25,1,BY299))/12),IF(INDEX('Lease Cycles'!$EF$25:$EL$25,1,BY299)=1,IF(AND('Lease Cycles'!$AZ$25&gt;=INDEX('Lease Cycles'!$BG$25:$BM$25,1,BY299),'Lease Cycles'!$AZ$25&lt;=BY$6),'Lease Cycles'!$C$25*'Lease Cycles'!$BA$25/12,IF(AND('Lease Cycles'!$AX$25&gt;=INDEX('Lease Cycles'!$BG$25:$BM$25,1,BY299),'Lease Cycles'!$AX$25&lt;=BY$6),'Lease Cycles'!$C$25*'Lease Cycles'!$AY$25/12,IF(AND('Lease Cycles'!$AV$25&gt;=INDEX('Lease Cycles'!$BG$25:$BM$25,1,BY299),'Lease Cycles'!$AV$25&lt;=BY$6),'Lease Cycles'!$C$25*'Lease Cycles'!$AW$25/12,IF(AND('Lease Cycles'!$AT$25&gt;=INDEX('Lease Cycles'!$BG$25:$BM$25,1,BY299),'Lease Cycles'!$AT$25&lt;=BY$6),'Lease Cycles'!$C$25*'Lease Cycles'!$AU$25/12,'Lease Cycles'!$C$25*INDEX('Lease Cycles'!$CB$25:$CH$25,1,BY299)*(1+INDEX('Lease Cycles'!$CI$25:$CO$25,1,BY299))^INT(INT(BY300/12)/INDEX('Lease Cycles'!$CP$25:$CV$25,1,BY299))/12)))),'Lease Cycles'!$C$25*INDEX('Lease Cycles'!$CB$25:$CH$25,1,BY299)*(1+INDEX('Lease Cycles'!$CI$25:$CO$25,1,BY299))^INT(INT(BY300/12)/INDEX('Lease Cycles'!$CP$25:$CV$25,1,BY299))/12))),IF('Lease Cycles'!$N$25=1,'Lease Cycles'!$C$25*'Lease Cycles'!$E$25*INDEX('Lease Cycles'!$HE$25:$HK$25,1,BY299)*(1+INDEX('Lease Cycles'!$GQ$25:$GW$25,1,BY299))^INT(INT((BY$6-INDEX('Lease Cycles'!$GJ$25:$GP$25,1,BY299))/12)/INDEX('Lease Cycles'!$GX$25:$HD$25,1,BY299))/12,0)))</f>
        <v>0</v>
      </c>
      <c r="BZ302" s="28">
        <f>IF(BZ299=0,IF('Lease Cycles'!$F$25&gt;0,'Lease Cycles'!$C$25*'Lease Cycles'!$E$25/12,0),IF(BZ301=1,IF('Lease Cycles'!$AT$25&gt;=9999,'Lease Cycles'!$C$25*INDEX('Lease Cycles'!$CB$25:$CH$25,1,BZ299)*(1+INDEX('Lease Cycles'!$CI$25:$CO$25,1,BZ299))^INT(INT(BZ300/12)/INDEX('Lease Cycles'!$CP$25:$CV$25,1,BZ299))/12,IF(BZ299=1,IF(BZ300&gt;=INDEX('Lease Cycles'!$DK$25:$DQ$25,1,BZ299),IF(BZ$6&gt;='Lease Cycles'!$AZ$25,'Lease Cycles'!$C$25*'Lease Cycles'!$BA$25/12,IF(BZ$6&gt;='Lease Cycles'!$AX$25,'Lease Cycles'!$C$25*'Lease Cycles'!$AY$25/12,IF(BZ$6&gt;='Lease Cycles'!$AV$25,'Lease Cycles'!$C$25*'Lease Cycles'!$AW$25/12,IF(BZ$6&gt;='Lease Cycles'!$AT$25,'Lease Cycles'!$C$25*'Lease Cycles'!$AU$25/12,'Lease Cycles'!$C$25*INDEX('Lease Cycles'!$CB$25:$CH$25,1,BZ299)*(1+INDEX('Lease Cycles'!$CI$25:$CO$25,1,BZ299))^INT(INT(BZ300/12)/INDEX('Lease Cycles'!$CP$25:$CV$25,1,BZ299))/12)))),'Lease Cycles'!$C$25*INDEX('Lease Cycles'!$CB$25:$CH$25,1,BZ299)*(1+INDEX('Lease Cycles'!$CI$25:$CO$25,1,BZ299))^INT(INT(BZ300/12)/INDEX('Lease Cycles'!$CP$25:$CV$25,1,BZ299))/12),IF(INDEX('Lease Cycles'!$EF$25:$EL$25,1,BZ299)=1,IF(AND('Lease Cycles'!$AZ$25&gt;=INDEX('Lease Cycles'!$BG$25:$BM$25,1,BZ299),'Lease Cycles'!$AZ$25&lt;=BZ$6),'Lease Cycles'!$C$25*'Lease Cycles'!$BA$25/12,IF(AND('Lease Cycles'!$AX$25&gt;=INDEX('Lease Cycles'!$BG$25:$BM$25,1,BZ299),'Lease Cycles'!$AX$25&lt;=BZ$6),'Lease Cycles'!$C$25*'Lease Cycles'!$AY$25/12,IF(AND('Lease Cycles'!$AV$25&gt;=INDEX('Lease Cycles'!$BG$25:$BM$25,1,BZ299),'Lease Cycles'!$AV$25&lt;=BZ$6),'Lease Cycles'!$C$25*'Lease Cycles'!$AW$25/12,IF(AND('Lease Cycles'!$AT$25&gt;=INDEX('Lease Cycles'!$BG$25:$BM$25,1,BZ299),'Lease Cycles'!$AT$25&lt;=BZ$6),'Lease Cycles'!$C$25*'Lease Cycles'!$AU$25/12,'Lease Cycles'!$C$25*INDEX('Lease Cycles'!$CB$25:$CH$25,1,BZ299)*(1+INDEX('Lease Cycles'!$CI$25:$CO$25,1,BZ299))^INT(INT(BZ300/12)/INDEX('Lease Cycles'!$CP$25:$CV$25,1,BZ299))/12)))),'Lease Cycles'!$C$25*INDEX('Lease Cycles'!$CB$25:$CH$25,1,BZ299)*(1+INDEX('Lease Cycles'!$CI$25:$CO$25,1,BZ299))^INT(INT(BZ300/12)/INDEX('Lease Cycles'!$CP$25:$CV$25,1,BZ299))/12))),IF('Lease Cycles'!$N$25=1,'Lease Cycles'!$C$25*'Lease Cycles'!$E$25*INDEX('Lease Cycles'!$HE$25:$HK$25,1,BZ299)*(1+INDEX('Lease Cycles'!$GQ$25:$GW$25,1,BZ299))^INT(INT((BZ$6-INDEX('Lease Cycles'!$GJ$25:$GP$25,1,BZ299))/12)/INDEX('Lease Cycles'!$GX$25:$HD$25,1,BZ299))/12,0)))</f>
        <v>0</v>
      </c>
      <c r="CA302" s="28">
        <f>IF(CA299=0,IF('Lease Cycles'!$F$25&gt;0,'Lease Cycles'!$C$25*'Lease Cycles'!$E$25/12,0),IF(CA301=1,IF('Lease Cycles'!$AT$25&gt;=9999,'Lease Cycles'!$C$25*INDEX('Lease Cycles'!$CB$25:$CH$25,1,CA299)*(1+INDEX('Lease Cycles'!$CI$25:$CO$25,1,CA299))^INT(INT(CA300/12)/INDEX('Lease Cycles'!$CP$25:$CV$25,1,CA299))/12,IF(CA299=1,IF(CA300&gt;=INDEX('Lease Cycles'!$DK$25:$DQ$25,1,CA299),IF(CA$6&gt;='Lease Cycles'!$AZ$25,'Lease Cycles'!$C$25*'Lease Cycles'!$BA$25/12,IF(CA$6&gt;='Lease Cycles'!$AX$25,'Lease Cycles'!$C$25*'Lease Cycles'!$AY$25/12,IF(CA$6&gt;='Lease Cycles'!$AV$25,'Lease Cycles'!$C$25*'Lease Cycles'!$AW$25/12,IF(CA$6&gt;='Lease Cycles'!$AT$25,'Lease Cycles'!$C$25*'Lease Cycles'!$AU$25/12,'Lease Cycles'!$C$25*INDEX('Lease Cycles'!$CB$25:$CH$25,1,CA299)*(1+INDEX('Lease Cycles'!$CI$25:$CO$25,1,CA299))^INT(INT(CA300/12)/INDEX('Lease Cycles'!$CP$25:$CV$25,1,CA299))/12)))),'Lease Cycles'!$C$25*INDEX('Lease Cycles'!$CB$25:$CH$25,1,CA299)*(1+INDEX('Lease Cycles'!$CI$25:$CO$25,1,CA299))^INT(INT(CA300/12)/INDEX('Lease Cycles'!$CP$25:$CV$25,1,CA299))/12),IF(INDEX('Lease Cycles'!$EF$25:$EL$25,1,CA299)=1,IF(AND('Lease Cycles'!$AZ$25&gt;=INDEX('Lease Cycles'!$BG$25:$BM$25,1,CA299),'Lease Cycles'!$AZ$25&lt;=CA$6),'Lease Cycles'!$C$25*'Lease Cycles'!$BA$25/12,IF(AND('Lease Cycles'!$AX$25&gt;=INDEX('Lease Cycles'!$BG$25:$BM$25,1,CA299),'Lease Cycles'!$AX$25&lt;=CA$6),'Lease Cycles'!$C$25*'Lease Cycles'!$AY$25/12,IF(AND('Lease Cycles'!$AV$25&gt;=INDEX('Lease Cycles'!$BG$25:$BM$25,1,CA299),'Lease Cycles'!$AV$25&lt;=CA$6),'Lease Cycles'!$C$25*'Lease Cycles'!$AW$25/12,IF(AND('Lease Cycles'!$AT$25&gt;=INDEX('Lease Cycles'!$BG$25:$BM$25,1,CA299),'Lease Cycles'!$AT$25&lt;=CA$6),'Lease Cycles'!$C$25*'Lease Cycles'!$AU$25/12,'Lease Cycles'!$C$25*INDEX('Lease Cycles'!$CB$25:$CH$25,1,CA299)*(1+INDEX('Lease Cycles'!$CI$25:$CO$25,1,CA299))^INT(INT(CA300/12)/INDEX('Lease Cycles'!$CP$25:$CV$25,1,CA299))/12)))),'Lease Cycles'!$C$25*INDEX('Lease Cycles'!$CB$25:$CH$25,1,CA299)*(1+INDEX('Lease Cycles'!$CI$25:$CO$25,1,CA299))^INT(INT(CA300/12)/INDEX('Lease Cycles'!$CP$25:$CV$25,1,CA299))/12))),IF('Lease Cycles'!$N$25=1,'Lease Cycles'!$C$25*'Lease Cycles'!$E$25*INDEX('Lease Cycles'!$HE$25:$HK$25,1,CA299)*(1+INDEX('Lease Cycles'!$GQ$25:$GW$25,1,CA299))^INT(INT((CA$6-INDEX('Lease Cycles'!$GJ$25:$GP$25,1,CA299))/12)/INDEX('Lease Cycles'!$GX$25:$HD$25,1,CA299))/12,0)))</f>
        <v>0</v>
      </c>
      <c r="CB302" s="28">
        <f>IF(CB299=0,IF('Lease Cycles'!$F$25&gt;0,'Lease Cycles'!$C$25*'Lease Cycles'!$E$25/12,0),IF(CB301=1,IF('Lease Cycles'!$AT$25&gt;=9999,'Lease Cycles'!$C$25*INDEX('Lease Cycles'!$CB$25:$CH$25,1,CB299)*(1+INDEX('Lease Cycles'!$CI$25:$CO$25,1,CB299))^INT(INT(CB300/12)/INDEX('Lease Cycles'!$CP$25:$CV$25,1,CB299))/12,IF(CB299=1,IF(CB300&gt;=INDEX('Lease Cycles'!$DK$25:$DQ$25,1,CB299),IF(CB$6&gt;='Lease Cycles'!$AZ$25,'Lease Cycles'!$C$25*'Lease Cycles'!$BA$25/12,IF(CB$6&gt;='Lease Cycles'!$AX$25,'Lease Cycles'!$C$25*'Lease Cycles'!$AY$25/12,IF(CB$6&gt;='Lease Cycles'!$AV$25,'Lease Cycles'!$C$25*'Lease Cycles'!$AW$25/12,IF(CB$6&gt;='Lease Cycles'!$AT$25,'Lease Cycles'!$C$25*'Lease Cycles'!$AU$25/12,'Lease Cycles'!$C$25*INDEX('Lease Cycles'!$CB$25:$CH$25,1,CB299)*(1+INDEX('Lease Cycles'!$CI$25:$CO$25,1,CB299))^INT(INT(CB300/12)/INDEX('Lease Cycles'!$CP$25:$CV$25,1,CB299))/12)))),'Lease Cycles'!$C$25*INDEX('Lease Cycles'!$CB$25:$CH$25,1,CB299)*(1+INDEX('Lease Cycles'!$CI$25:$CO$25,1,CB299))^INT(INT(CB300/12)/INDEX('Lease Cycles'!$CP$25:$CV$25,1,CB299))/12),IF(INDEX('Lease Cycles'!$EF$25:$EL$25,1,CB299)=1,IF(AND('Lease Cycles'!$AZ$25&gt;=INDEX('Lease Cycles'!$BG$25:$BM$25,1,CB299),'Lease Cycles'!$AZ$25&lt;=CB$6),'Lease Cycles'!$C$25*'Lease Cycles'!$BA$25/12,IF(AND('Lease Cycles'!$AX$25&gt;=INDEX('Lease Cycles'!$BG$25:$BM$25,1,CB299),'Lease Cycles'!$AX$25&lt;=CB$6),'Lease Cycles'!$C$25*'Lease Cycles'!$AY$25/12,IF(AND('Lease Cycles'!$AV$25&gt;=INDEX('Lease Cycles'!$BG$25:$BM$25,1,CB299),'Lease Cycles'!$AV$25&lt;=CB$6),'Lease Cycles'!$C$25*'Lease Cycles'!$AW$25/12,IF(AND('Lease Cycles'!$AT$25&gt;=INDEX('Lease Cycles'!$BG$25:$BM$25,1,CB299),'Lease Cycles'!$AT$25&lt;=CB$6),'Lease Cycles'!$C$25*'Lease Cycles'!$AU$25/12,'Lease Cycles'!$C$25*INDEX('Lease Cycles'!$CB$25:$CH$25,1,CB299)*(1+INDEX('Lease Cycles'!$CI$25:$CO$25,1,CB299))^INT(INT(CB300/12)/INDEX('Lease Cycles'!$CP$25:$CV$25,1,CB299))/12)))),'Lease Cycles'!$C$25*INDEX('Lease Cycles'!$CB$25:$CH$25,1,CB299)*(1+INDEX('Lease Cycles'!$CI$25:$CO$25,1,CB299))^INT(INT(CB300/12)/INDEX('Lease Cycles'!$CP$25:$CV$25,1,CB299))/12))),IF('Lease Cycles'!$N$25=1,'Lease Cycles'!$C$25*'Lease Cycles'!$E$25*INDEX('Lease Cycles'!$HE$25:$HK$25,1,CB299)*(1+INDEX('Lease Cycles'!$GQ$25:$GW$25,1,CB299))^INT(INT((CB$6-INDEX('Lease Cycles'!$GJ$25:$GP$25,1,CB299))/12)/INDEX('Lease Cycles'!$GX$25:$HD$25,1,CB299))/12,0)))</f>
        <v>0</v>
      </c>
      <c r="CC302" s="28">
        <f>IF(CC299=0,IF('Lease Cycles'!$F$25&gt;0,'Lease Cycles'!$C$25*'Lease Cycles'!$E$25/12,0),IF(CC301=1,IF('Lease Cycles'!$AT$25&gt;=9999,'Lease Cycles'!$C$25*INDEX('Lease Cycles'!$CB$25:$CH$25,1,CC299)*(1+INDEX('Lease Cycles'!$CI$25:$CO$25,1,CC299))^INT(INT(CC300/12)/INDEX('Lease Cycles'!$CP$25:$CV$25,1,CC299))/12,IF(CC299=1,IF(CC300&gt;=INDEX('Lease Cycles'!$DK$25:$DQ$25,1,CC299),IF(CC$6&gt;='Lease Cycles'!$AZ$25,'Lease Cycles'!$C$25*'Lease Cycles'!$BA$25/12,IF(CC$6&gt;='Lease Cycles'!$AX$25,'Lease Cycles'!$C$25*'Lease Cycles'!$AY$25/12,IF(CC$6&gt;='Lease Cycles'!$AV$25,'Lease Cycles'!$C$25*'Lease Cycles'!$AW$25/12,IF(CC$6&gt;='Lease Cycles'!$AT$25,'Lease Cycles'!$C$25*'Lease Cycles'!$AU$25/12,'Lease Cycles'!$C$25*INDEX('Lease Cycles'!$CB$25:$CH$25,1,CC299)*(1+INDEX('Lease Cycles'!$CI$25:$CO$25,1,CC299))^INT(INT(CC300/12)/INDEX('Lease Cycles'!$CP$25:$CV$25,1,CC299))/12)))),'Lease Cycles'!$C$25*INDEX('Lease Cycles'!$CB$25:$CH$25,1,CC299)*(1+INDEX('Lease Cycles'!$CI$25:$CO$25,1,CC299))^INT(INT(CC300/12)/INDEX('Lease Cycles'!$CP$25:$CV$25,1,CC299))/12),IF(INDEX('Lease Cycles'!$EF$25:$EL$25,1,CC299)=1,IF(AND('Lease Cycles'!$AZ$25&gt;=INDEX('Lease Cycles'!$BG$25:$BM$25,1,CC299),'Lease Cycles'!$AZ$25&lt;=CC$6),'Lease Cycles'!$C$25*'Lease Cycles'!$BA$25/12,IF(AND('Lease Cycles'!$AX$25&gt;=INDEX('Lease Cycles'!$BG$25:$BM$25,1,CC299),'Lease Cycles'!$AX$25&lt;=CC$6),'Lease Cycles'!$C$25*'Lease Cycles'!$AY$25/12,IF(AND('Lease Cycles'!$AV$25&gt;=INDEX('Lease Cycles'!$BG$25:$BM$25,1,CC299),'Lease Cycles'!$AV$25&lt;=CC$6),'Lease Cycles'!$C$25*'Lease Cycles'!$AW$25/12,IF(AND('Lease Cycles'!$AT$25&gt;=INDEX('Lease Cycles'!$BG$25:$BM$25,1,CC299),'Lease Cycles'!$AT$25&lt;=CC$6),'Lease Cycles'!$C$25*'Lease Cycles'!$AU$25/12,'Lease Cycles'!$C$25*INDEX('Lease Cycles'!$CB$25:$CH$25,1,CC299)*(1+INDEX('Lease Cycles'!$CI$25:$CO$25,1,CC299))^INT(INT(CC300/12)/INDEX('Lease Cycles'!$CP$25:$CV$25,1,CC299))/12)))),'Lease Cycles'!$C$25*INDEX('Lease Cycles'!$CB$25:$CH$25,1,CC299)*(1+INDEX('Lease Cycles'!$CI$25:$CO$25,1,CC299))^INT(INT(CC300/12)/INDEX('Lease Cycles'!$CP$25:$CV$25,1,CC299))/12))),IF('Lease Cycles'!$N$25=1,'Lease Cycles'!$C$25*'Lease Cycles'!$E$25*INDEX('Lease Cycles'!$HE$25:$HK$25,1,CC299)*(1+INDEX('Lease Cycles'!$GQ$25:$GW$25,1,CC299))^INT(INT((CC$6-INDEX('Lease Cycles'!$GJ$25:$GP$25,1,CC299))/12)/INDEX('Lease Cycles'!$GX$25:$HD$25,1,CC299))/12,0)))</f>
        <v>0</v>
      </c>
      <c r="CD302" s="28">
        <f>IF(CD299=0,IF('Lease Cycles'!$F$25&gt;0,'Lease Cycles'!$C$25*'Lease Cycles'!$E$25/12,0),IF(CD301=1,IF('Lease Cycles'!$AT$25&gt;=9999,'Lease Cycles'!$C$25*INDEX('Lease Cycles'!$CB$25:$CH$25,1,CD299)*(1+INDEX('Lease Cycles'!$CI$25:$CO$25,1,CD299))^INT(INT(CD300/12)/INDEX('Lease Cycles'!$CP$25:$CV$25,1,CD299))/12,IF(CD299=1,IF(CD300&gt;=INDEX('Lease Cycles'!$DK$25:$DQ$25,1,CD299),IF(CD$6&gt;='Lease Cycles'!$AZ$25,'Lease Cycles'!$C$25*'Lease Cycles'!$BA$25/12,IF(CD$6&gt;='Lease Cycles'!$AX$25,'Lease Cycles'!$C$25*'Lease Cycles'!$AY$25/12,IF(CD$6&gt;='Lease Cycles'!$AV$25,'Lease Cycles'!$C$25*'Lease Cycles'!$AW$25/12,IF(CD$6&gt;='Lease Cycles'!$AT$25,'Lease Cycles'!$C$25*'Lease Cycles'!$AU$25/12,'Lease Cycles'!$C$25*INDEX('Lease Cycles'!$CB$25:$CH$25,1,CD299)*(1+INDEX('Lease Cycles'!$CI$25:$CO$25,1,CD299))^INT(INT(CD300/12)/INDEX('Lease Cycles'!$CP$25:$CV$25,1,CD299))/12)))),'Lease Cycles'!$C$25*INDEX('Lease Cycles'!$CB$25:$CH$25,1,CD299)*(1+INDEX('Lease Cycles'!$CI$25:$CO$25,1,CD299))^INT(INT(CD300/12)/INDEX('Lease Cycles'!$CP$25:$CV$25,1,CD299))/12),IF(INDEX('Lease Cycles'!$EF$25:$EL$25,1,CD299)=1,IF(AND('Lease Cycles'!$AZ$25&gt;=INDEX('Lease Cycles'!$BG$25:$BM$25,1,CD299),'Lease Cycles'!$AZ$25&lt;=CD$6),'Lease Cycles'!$C$25*'Lease Cycles'!$BA$25/12,IF(AND('Lease Cycles'!$AX$25&gt;=INDEX('Lease Cycles'!$BG$25:$BM$25,1,CD299),'Lease Cycles'!$AX$25&lt;=CD$6),'Lease Cycles'!$C$25*'Lease Cycles'!$AY$25/12,IF(AND('Lease Cycles'!$AV$25&gt;=INDEX('Lease Cycles'!$BG$25:$BM$25,1,CD299),'Lease Cycles'!$AV$25&lt;=CD$6),'Lease Cycles'!$C$25*'Lease Cycles'!$AW$25/12,IF(AND('Lease Cycles'!$AT$25&gt;=INDEX('Lease Cycles'!$BG$25:$BM$25,1,CD299),'Lease Cycles'!$AT$25&lt;=CD$6),'Lease Cycles'!$C$25*'Lease Cycles'!$AU$25/12,'Lease Cycles'!$C$25*INDEX('Lease Cycles'!$CB$25:$CH$25,1,CD299)*(1+INDEX('Lease Cycles'!$CI$25:$CO$25,1,CD299))^INT(INT(CD300/12)/INDEX('Lease Cycles'!$CP$25:$CV$25,1,CD299))/12)))),'Lease Cycles'!$C$25*INDEX('Lease Cycles'!$CB$25:$CH$25,1,CD299)*(1+INDEX('Lease Cycles'!$CI$25:$CO$25,1,CD299))^INT(INT(CD300/12)/INDEX('Lease Cycles'!$CP$25:$CV$25,1,CD299))/12))),IF('Lease Cycles'!$N$25=1,'Lease Cycles'!$C$25*'Lease Cycles'!$E$25*INDEX('Lease Cycles'!$HE$25:$HK$25,1,CD299)*(1+INDEX('Lease Cycles'!$GQ$25:$GW$25,1,CD299))^INT(INT((CD$6-INDEX('Lease Cycles'!$GJ$25:$GP$25,1,CD299))/12)/INDEX('Lease Cycles'!$GX$25:$HD$25,1,CD299))/12,0)))</f>
        <v>0</v>
      </c>
      <c r="CE302" s="28">
        <f>IF(CE299=0,IF('Lease Cycles'!$F$25&gt;0,'Lease Cycles'!$C$25*'Lease Cycles'!$E$25/12,0),IF(CE301=1,IF('Lease Cycles'!$AT$25&gt;=9999,'Lease Cycles'!$C$25*INDEX('Lease Cycles'!$CB$25:$CH$25,1,CE299)*(1+INDEX('Lease Cycles'!$CI$25:$CO$25,1,CE299))^INT(INT(CE300/12)/INDEX('Lease Cycles'!$CP$25:$CV$25,1,CE299))/12,IF(CE299=1,IF(CE300&gt;=INDEX('Lease Cycles'!$DK$25:$DQ$25,1,CE299),IF(CE$6&gt;='Lease Cycles'!$AZ$25,'Lease Cycles'!$C$25*'Lease Cycles'!$BA$25/12,IF(CE$6&gt;='Lease Cycles'!$AX$25,'Lease Cycles'!$C$25*'Lease Cycles'!$AY$25/12,IF(CE$6&gt;='Lease Cycles'!$AV$25,'Lease Cycles'!$C$25*'Lease Cycles'!$AW$25/12,IF(CE$6&gt;='Lease Cycles'!$AT$25,'Lease Cycles'!$C$25*'Lease Cycles'!$AU$25/12,'Lease Cycles'!$C$25*INDEX('Lease Cycles'!$CB$25:$CH$25,1,CE299)*(1+INDEX('Lease Cycles'!$CI$25:$CO$25,1,CE299))^INT(INT(CE300/12)/INDEX('Lease Cycles'!$CP$25:$CV$25,1,CE299))/12)))),'Lease Cycles'!$C$25*INDEX('Lease Cycles'!$CB$25:$CH$25,1,CE299)*(1+INDEX('Lease Cycles'!$CI$25:$CO$25,1,CE299))^INT(INT(CE300/12)/INDEX('Lease Cycles'!$CP$25:$CV$25,1,CE299))/12),IF(INDEX('Lease Cycles'!$EF$25:$EL$25,1,CE299)=1,IF(AND('Lease Cycles'!$AZ$25&gt;=INDEX('Lease Cycles'!$BG$25:$BM$25,1,CE299),'Lease Cycles'!$AZ$25&lt;=CE$6),'Lease Cycles'!$C$25*'Lease Cycles'!$BA$25/12,IF(AND('Lease Cycles'!$AX$25&gt;=INDEX('Lease Cycles'!$BG$25:$BM$25,1,CE299),'Lease Cycles'!$AX$25&lt;=CE$6),'Lease Cycles'!$C$25*'Lease Cycles'!$AY$25/12,IF(AND('Lease Cycles'!$AV$25&gt;=INDEX('Lease Cycles'!$BG$25:$BM$25,1,CE299),'Lease Cycles'!$AV$25&lt;=CE$6),'Lease Cycles'!$C$25*'Lease Cycles'!$AW$25/12,IF(AND('Lease Cycles'!$AT$25&gt;=INDEX('Lease Cycles'!$BG$25:$BM$25,1,CE299),'Lease Cycles'!$AT$25&lt;=CE$6),'Lease Cycles'!$C$25*'Lease Cycles'!$AU$25/12,'Lease Cycles'!$C$25*INDEX('Lease Cycles'!$CB$25:$CH$25,1,CE299)*(1+INDEX('Lease Cycles'!$CI$25:$CO$25,1,CE299))^INT(INT(CE300/12)/INDEX('Lease Cycles'!$CP$25:$CV$25,1,CE299))/12)))),'Lease Cycles'!$C$25*INDEX('Lease Cycles'!$CB$25:$CH$25,1,CE299)*(1+INDEX('Lease Cycles'!$CI$25:$CO$25,1,CE299))^INT(INT(CE300/12)/INDEX('Lease Cycles'!$CP$25:$CV$25,1,CE299))/12))),IF('Lease Cycles'!$N$25=1,'Lease Cycles'!$C$25*'Lease Cycles'!$E$25*INDEX('Lease Cycles'!$HE$25:$HK$25,1,CE299)*(1+INDEX('Lease Cycles'!$GQ$25:$GW$25,1,CE299))^INT(INT((CE$6-INDEX('Lease Cycles'!$GJ$25:$GP$25,1,CE299))/12)/INDEX('Lease Cycles'!$GX$25:$HD$25,1,CE299))/12,0)))</f>
        <v>0</v>
      </c>
      <c r="CF302" s="28">
        <f>IF(CF299=0,IF('Lease Cycles'!$F$25&gt;0,'Lease Cycles'!$C$25*'Lease Cycles'!$E$25/12,0),IF(CF301=1,IF('Lease Cycles'!$AT$25&gt;=9999,'Lease Cycles'!$C$25*INDEX('Lease Cycles'!$CB$25:$CH$25,1,CF299)*(1+INDEX('Lease Cycles'!$CI$25:$CO$25,1,CF299))^INT(INT(CF300/12)/INDEX('Lease Cycles'!$CP$25:$CV$25,1,CF299))/12,IF(CF299=1,IF(CF300&gt;=INDEX('Lease Cycles'!$DK$25:$DQ$25,1,CF299),IF(CF$6&gt;='Lease Cycles'!$AZ$25,'Lease Cycles'!$C$25*'Lease Cycles'!$BA$25/12,IF(CF$6&gt;='Lease Cycles'!$AX$25,'Lease Cycles'!$C$25*'Lease Cycles'!$AY$25/12,IF(CF$6&gt;='Lease Cycles'!$AV$25,'Lease Cycles'!$C$25*'Lease Cycles'!$AW$25/12,IF(CF$6&gt;='Lease Cycles'!$AT$25,'Lease Cycles'!$C$25*'Lease Cycles'!$AU$25/12,'Lease Cycles'!$C$25*INDEX('Lease Cycles'!$CB$25:$CH$25,1,CF299)*(1+INDEX('Lease Cycles'!$CI$25:$CO$25,1,CF299))^INT(INT(CF300/12)/INDEX('Lease Cycles'!$CP$25:$CV$25,1,CF299))/12)))),'Lease Cycles'!$C$25*INDEX('Lease Cycles'!$CB$25:$CH$25,1,CF299)*(1+INDEX('Lease Cycles'!$CI$25:$CO$25,1,CF299))^INT(INT(CF300/12)/INDEX('Lease Cycles'!$CP$25:$CV$25,1,CF299))/12),IF(INDEX('Lease Cycles'!$EF$25:$EL$25,1,CF299)=1,IF(AND('Lease Cycles'!$AZ$25&gt;=INDEX('Lease Cycles'!$BG$25:$BM$25,1,CF299),'Lease Cycles'!$AZ$25&lt;=CF$6),'Lease Cycles'!$C$25*'Lease Cycles'!$BA$25/12,IF(AND('Lease Cycles'!$AX$25&gt;=INDEX('Lease Cycles'!$BG$25:$BM$25,1,CF299),'Lease Cycles'!$AX$25&lt;=CF$6),'Lease Cycles'!$C$25*'Lease Cycles'!$AY$25/12,IF(AND('Lease Cycles'!$AV$25&gt;=INDEX('Lease Cycles'!$BG$25:$BM$25,1,CF299),'Lease Cycles'!$AV$25&lt;=CF$6),'Lease Cycles'!$C$25*'Lease Cycles'!$AW$25/12,IF(AND('Lease Cycles'!$AT$25&gt;=INDEX('Lease Cycles'!$BG$25:$BM$25,1,CF299),'Lease Cycles'!$AT$25&lt;=CF$6),'Lease Cycles'!$C$25*'Lease Cycles'!$AU$25/12,'Lease Cycles'!$C$25*INDEX('Lease Cycles'!$CB$25:$CH$25,1,CF299)*(1+INDEX('Lease Cycles'!$CI$25:$CO$25,1,CF299))^INT(INT(CF300/12)/INDEX('Lease Cycles'!$CP$25:$CV$25,1,CF299))/12)))),'Lease Cycles'!$C$25*INDEX('Lease Cycles'!$CB$25:$CH$25,1,CF299)*(1+INDEX('Lease Cycles'!$CI$25:$CO$25,1,CF299))^INT(INT(CF300/12)/INDEX('Lease Cycles'!$CP$25:$CV$25,1,CF299))/12))),IF('Lease Cycles'!$N$25=1,'Lease Cycles'!$C$25*'Lease Cycles'!$E$25*INDEX('Lease Cycles'!$HE$25:$HK$25,1,CF299)*(1+INDEX('Lease Cycles'!$GQ$25:$GW$25,1,CF299))^INT(INT((CF$6-INDEX('Lease Cycles'!$GJ$25:$GP$25,1,CF299))/12)/INDEX('Lease Cycles'!$GX$25:$HD$25,1,CF299))/12,0)))</f>
        <v>0</v>
      </c>
      <c r="CG302" s="28">
        <f>IF(CG299=0,IF('Lease Cycles'!$F$25&gt;0,'Lease Cycles'!$C$25*'Lease Cycles'!$E$25/12,0),IF(CG301=1,IF('Lease Cycles'!$AT$25&gt;=9999,'Lease Cycles'!$C$25*INDEX('Lease Cycles'!$CB$25:$CH$25,1,CG299)*(1+INDEX('Lease Cycles'!$CI$25:$CO$25,1,CG299))^INT(INT(CG300/12)/INDEX('Lease Cycles'!$CP$25:$CV$25,1,CG299))/12,IF(CG299=1,IF(CG300&gt;=INDEX('Lease Cycles'!$DK$25:$DQ$25,1,CG299),IF(CG$6&gt;='Lease Cycles'!$AZ$25,'Lease Cycles'!$C$25*'Lease Cycles'!$BA$25/12,IF(CG$6&gt;='Lease Cycles'!$AX$25,'Lease Cycles'!$C$25*'Lease Cycles'!$AY$25/12,IF(CG$6&gt;='Lease Cycles'!$AV$25,'Lease Cycles'!$C$25*'Lease Cycles'!$AW$25/12,IF(CG$6&gt;='Lease Cycles'!$AT$25,'Lease Cycles'!$C$25*'Lease Cycles'!$AU$25/12,'Lease Cycles'!$C$25*INDEX('Lease Cycles'!$CB$25:$CH$25,1,CG299)*(1+INDEX('Lease Cycles'!$CI$25:$CO$25,1,CG299))^INT(INT(CG300/12)/INDEX('Lease Cycles'!$CP$25:$CV$25,1,CG299))/12)))),'Lease Cycles'!$C$25*INDEX('Lease Cycles'!$CB$25:$CH$25,1,CG299)*(1+INDEX('Lease Cycles'!$CI$25:$CO$25,1,CG299))^INT(INT(CG300/12)/INDEX('Lease Cycles'!$CP$25:$CV$25,1,CG299))/12),IF(INDEX('Lease Cycles'!$EF$25:$EL$25,1,CG299)=1,IF(AND('Lease Cycles'!$AZ$25&gt;=INDEX('Lease Cycles'!$BG$25:$BM$25,1,CG299),'Lease Cycles'!$AZ$25&lt;=CG$6),'Lease Cycles'!$C$25*'Lease Cycles'!$BA$25/12,IF(AND('Lease Cycles'!$AX$25&gt;=INDEX('Lease Cycles'!$BG$25:$BM$25,1,CG299),'Lease Cycles'!$AX$25&lt;=CG$6),'Lease Cycles'!$C$25*'Lease Cycles'!$AY$25/12,IF(AND('Lease Cycles'!$AV$25&gt;=INDEX('Lease Cycles'!$BG$25:$BM$25,1,CG299),'Lease Cycles'!$AV$25&lt;=CG$6),'Lease Cycles'!$C$25*'Lease Cycles'!$AW$25/12,IF(AND('Lease Cycles'!$AT$25&gt;=INDEX('Lease Cycles'!$BG$25:$BM$25,1,CG299),'Lease Cycles'!$AT$25&lt;=CG$6),'Lease Cycles'!$C$25*'Lease Cycles'!$AU$25/12,'Lease Cycles'!$C$25*INDEX('Lease Cycles'!$CB$25:$CH$25,1,CG299)*(1+INDEX('Lease Cycles'!$CI$25:$CO$25,1,CG299))^INT(INT(CG300/12)/INDEX('Lease Cycles'!$CP$25:$CV$25,1,CG299))/12)))),'Lease Cycles'!$C$25*INDEX('Lease Cycles'!$CB$25:$CH$25,1,CG299)*(1+INDEX('Lease Cycles'!$CI$25:$CO$25,1,CG299))^INT(INT(CG300/12)/INDEX('Lease Cycles'!$CP$25:$CV$25,1,CG299))/12))),IF('Lease Cycles'!$N$25=1,'Lease Cycles'!$C$25*'Lease Cycles'!$E$25*INDEX('Lease Cycles'!$HE$25:$HK$25,1,CG299)*(1+INDEX('Lease Cycles'!$GQ$25:$GW$25,1,CG299))^INT(INT((CG$6-INDEX('Lease Cycles'!$GJ$25:$GP$25,1,CG299))/12)/INDEX('Lease Cycles'!$GX$25:$HD$25,1,CG299))/12,0)))</f>
        <v>0</v>
      </c>
      <c r="CH302" s="28">
        <f>IF(CH299=0,IF('Lease Cycles'!$F$25&gt;0,'Lease Cycles'!$C$25*'Lease Cycles'!$E$25/12,0),IF(CH301=1,IF('Lease Cycles'!$AT$25&gt;=9999,'Lease Cycles'!$C$25*INDEX('Lease Cycles'!$CB$25:$CH$25,1,CH299)*(1+INDEX('Lease Cycles'!$CI$25:$CO$25,1,CH299))^INT(INT(CH300/12)/INDEX('Lease Cycles'!$CP$25:$CV$25,1,CH299))/12,IF(CH299=1,IF(CH300&gt;=INDEX('Lease Cycles'!$DK$25:$DQ$25,1,CH299),IF(CH$6&gt;='Lease Cycles'!$AZ$25,'Lease Cycles'!$C$25*'Lease Cycles'!$BA$25/12,IF(CH$6&gt;='Lease Cycles'!$AX$25,'Lease Cycles'!$C$25*'Lease Cycles'!$AY$25/12,IF(CH$6&gt;='Lease Cycles'!$AV$25,'Lease Cycles'!$C$25*'Lease Cycles'!$AW$25/12,IF(CH$6&gt;='Lease Cycles'!$AT$25,'Lease Cycles'!$C$25*'Lease Cycles'!$AU$25/12,'Lease Cycles'!$C$25*INDEX('Lease Cycles'!$CB$25:$CH$25,1,CH299)*(1+INDEX('Lease Cycles'!$CI$25:$CO$25,1,CH299))^INT(INT(CH300/12)/INDEX('Lease Cycles'!$CP$25:$CV$25,1,CH299))/12)))),'Lease Cycles'!$C$25*INDEX('Lease Cycles'!$CB$25:$CH$25,1,CH299)*(1+INDEX('Lease Cycles'!$CI$25:$CO$25,1,CH299))^INT(INT(CH300/12)/INDEX('Lease Cycles'!$CP$25:$CV$25,1,CH299))/12),IF(INDEX('Lease Cycles'!$EF$25:$EL$25,1,CH299)=1,IF(AND('Lease Cycles'!$AZ$25&gt;=INDEX('Lease Cycles'!$BG$25:$BM$25,1,CH299),'Lease Cycles'!$AZ$25&lt;=CH$6),'Lease Cycles'!$C$25*'Lease Cycles'!$BA$25/12,IF(AND('Lease Cycles'!$AX$25&gt;=INDEX('Lease Cycles'!$BG$25:$BM$25,1,CH299),'Lease Cycles'!$AX$25&lt;=CH$6),'Lease Cycles'!$C$25*'Lease Cycles'!$AY$25/12,IF(AND('Lease Cycles'!$AV$25&gt;=INDEX('Lease Cycles'!$BG$25:$BM$25,1,CH299),'Lease Cycles'!$AV$25&lt;=CH$6),'Lease Cycles'!$C$25*'Lease Cycles'!$AW$25/12,IF(AND('Lease Cycles'!$AT$25&gt;=INDEX('Lease Cycles'!$BG$25:$BM$25,1,CH299),'Lease Cycles'!$AT$25&lt;=CH$6),'Lease Cycles'!$C$25*'Lease Cycles'!$AU$25/12,'Lease Cycles'!$C$25*INDEX('Lease Cycles'!$CB$25:$CH$25,1,CH299)*(1+INDEX('Lease Cycles'!$CI$25:$CO$25,1,CH299))^INT(INT(CH300/12)/INDEX('Lease Cycles'!$CP$25:$CV$25,1,CH299))/12)))),'Lease Cycles'!$C$25*INDEX('Lease Cycles'!$CB$25:$CH$25,1,CH299)*(1+INDEX('Lease Cycles'!$CI$25:$CO$25,1,CH299))^INT(INT(CH300/12)/INDEX('Lease Cycles'!$CP$25:$CV$25,1,CH299))/12))),IF('Lease Cycles'!$N$25=1,'Lease Cycles'!$C$25*'Lease Cycles'!$E$25*INDEX('Lease Cycles'!$HE$25:$HK$25,1,CH299)*(1+INDEX('Lease Cycles'!$GQ$25:$GW$25,1,CH299))^INT(INT((CH$6-INDEX('Lease Cycles'!$GJ$25:$GP$25,1,CH299))/12)/INDEX('Lease Cycles'!$GX$25:$HD$25,1,CH299))/12,0)))</f>
        <v>0</v>
      </c>
      <c r="CI302" s="28">
        <f>IF(CI299=0,IF('Lease Cycles'!$F$25&gt;0,'Lease Cycles'!$C$25*'Lease Cycles'!$E$25/12,0),IF(CI301=1,IF('Lease Cycles'!$AT$25&gt;=9999,'Lease Cycles'!$C$25*INDEX('Lease Cycles'!$CB$25:$CH$25,1,CI299)*(1+INDEX('Lease Cycles'!$CI$25:$CO$25,1,CI299))^INT(INT(CI300/12)/INDEX('Lease Cycles'!$CP$25:$CV$25,1,CI299))/12,IF(CI299=1,IF(CI300&gt;=INDEX('Lease Cycles'!$DK$25:$DQ$25,1,CI299),IF(CI$6&gt;='Lease Cycles'!$AZ$25,'Lease Cycles'!$C$25*'Lease Cycles'!$BA$25/12,IF(CI$6&gt;='Lease Cycles'!$AX$25,'Lease Cycles'!$C$25*'Lease Cycles'!$AY$25/12,IF(CI$6&gt;='Lease Cycles'!$AV$25,'Lease Cycles'!$C$25*'Lease Cycles'!$AW$25/12,IF(CI$6&gt;='Lease Cycles'!$AT$25,'Lease Cycles'!$C$25*'Lease Cycles'!$AU$25/12,'Lease Cycles'!$C$25*INDEX('Lease Cycles'!$CB$25:$CH$25,1,CI299)*(1+INDEX('Lease Cycles'!$CI$25:$CO$25,1,CI299))^INT(INT(CI300/12)/INDEX('Lease Cycles'!$CP$25:$CV$25,1,CI299))/12)))),'Lease Cycles'!$C$25*INDEX('Lease Cycles'!$CB$25:$CH$25,1,CI299)*(1+INDEX('Lease Cycles'!$CI$25:$CO$25,1,CI299))^INT(INT(CI300/12)/INDEX('Lease Cycles'!$CP$25:$CV$25,1,CI299))/12),IF(INDEX('Lease Cycles'!$EF$25:$EL$25,1,CI299)=1,IF(AND('Lease Cycles'!$AZ$25&gt;=INDEX('Lease Cycles'!$BG$25:$BM$25,1,CI299),'Lease Cycles'!$AZ$25&lt;=CI$6),'Lease Cycles'!$C$25*'Lease Cycles'!$BA$25/12,IF(AND('Lease Cycles'!$AX$25&gt;=INDEX('Lease Cycles'!$BG$25:$BM$25,1,CI299),'Lease Cycles'!$AX$25&lt;=CI$6),'Lease Cycles'!$C$25*'Lease Cycles'!$AY$25/12,IF(AND('Lease Cycles'!$AV$25&gt;=INDEX('Lease Cycles'!$BG$25:$BM$25,1,CI299),'Lease Cycles'!$AV$25&lt;=CI$6),'Lease Cycles'!$C$25*'Lease Cycles'!$AW$25/12,IF(AND('Lease Cycles'!$AT$25&gt;=INDEX('Lease Cycles'!$BG$25:$BM$25,1,CI299),'Lease Cycles'!$AT$25&lt;=CI$6),'Lease Cycles'!$C$25*'Lease Cycles'!$AU$25/12,'Lease Cycles'!$C$25*INDEX('Lease Cycles'!$CB$25:$CH$25,1,CI299)*(1+INDEX('Lease Cycles'!$CI$25:$CO$25,1,CI299))^INT(INT(CI300/12)/INDEX('Lease Cycles'!$CP$25:$CV$25,1,CI299))/12)))),'Lease Cycles'!$C$25*INDEX('Lease Cycles'!$CB$25:$CH$25,1,CI299)*(1+INDEX('Lease Cycles'!$CI$25:$CO$25,1,CI299))^INT(INT(CI300/12)/INDEX('Lease Cycles'!$CP$25:$CV$25,1,CI299))/12))),IF('Lease Cycles'!$N$25=1,'Lease Cycles'!$C$25*'Lease Cycles'!$E$25*INDEX('Lease Cycles'!$HE$25:$HK$25,1,CI299)*(1+INDEX('Lease Cycles'!$GQ$25:$GW$25,1,CI299))^INT(INT((CI$6-INDEX('Lease Cycles'!$GJ$25:$GP$25,1,CI299))/12)/INDEX('Lease Cycles'!$GX$25:$HD$25,1,CI299))/12,0)))</f>
        <v>0</v>
      </c>
      <c r="CJ302" s="28">
        <f>IF(CJ299=0,IF('Lease Cycles'!$F$25&gt;0,'Lease Cycles'!$C$25*'Lease Cycles'!$E$25/12,0),IF(CJ301=1,IF('Lease Cycles'!$AT$25&gt;=9999,'Lease Cycles'!$C$25*INDEX('Lease Cycles'!$CB$25:$CH$25,1,CJ299)*(1+INDEX('Lease Cycles'!$CI$25:$CO$25,1,CJ299))^INT(INT(CJ300/12)/INDEX('Lease Cycles'!$CP$25:$CV$25,1,CJ299))/12,IF(CJ299=1,IF(CJ300&gt;=INDEX('Lease Cycles'!$DK$25:$DQ$25,1,CJ299),IF(CJ$6&gt;='Lease Cycles'!$AZ$25,'Lease Cycles'!$C$25*'Lease Cycles'!$BA$25/12,IF(CJ$6&gt;='Lease Cycles'!$AX$25,'Lease Cycles'!$C$25*'Lease Cycles'!$AY$25/12,IF(CJ$6&gt;='Lease Cycles'!$AV$25,'Lease Cycles'!$C$25*'Lease Cycles'!$AW$25/12,IF(CJ$6&gt;='Lease Cycles'!$AT$25,'Lease Cycles'!$C$25*'Lease Cycles'!$AU$25/12,'Lease Cycles'!$C$25*INDEX('Lease Cycles'!$CB$25:$CH$25,1,CJ299)*(1+INDEX('Lease Cycles'!$CI$25:$CO$25,1,CJ299))^INT(INT(CJ300/12)/INDEX('Lease Cycles'!$CP$25:$CV$25,1,CJ299))/12)))),'Lease Cycles'!$C$25*INDEX('Lease Cycles'!$CB$25:$CH$25,1,CJ299)*(1+INDEX('Lease Cycles'!$CI$25:$CO$25,1,CJ299))^INT(INT(CJ300/12)/INDEX('Lease Cycles'!$CP$25:$CV$25,1,CJ299))/12),IF(INDEX('Lease Cycles'!$EF$25:$EL$25,1,CJ299)=1,IF(AND('Lease Cycles'!$AZ$25&gt;=INDEX('Lease Cycles'!$BG$25:$BM$25,1,CJ299),'Lease Cycles'!$AZ$25&lt;=CJ$6),'Lease Cycles'!$C$25*'Lease Cycles'!$BA$25/12,IF(AND('Lease Cycles'!$AX$25&gt;=INDEX('Lease Cycles'!$BG$25:$BM$25,1,CJ299),'Lease Cycles'!$AX$25&lt;=CJ$6),'Lease Cycles'!$C$25*'Lease Cycles'!$AY$25/12,IF(AND('Lease Cycles'!$AV$25&gt;=INDEX('Lease Cycles'!$BG$25:$BM$25,1,CJ299),'Lease Cycles'!$AV$25&lt;=CJ$6),'Lease Cycles'!$C$25*'Lease Cycles'!$AW$25/12,IF(AND('Lease Cycles'!$AT$25&gt;=INDEX('Lease Cycles'!$BG$25:$BM$25,1,CJ299),'Lease Cycles'!$AT$25&lt;=CJ$6),'Lease Cycles'!$C$25*'Lease Cycles'!$AU$25/12,'Lease Cycles'!$C$25*INDEX('Lease Cycles'!$CB$25:$CH$25,1,CJ299)*(1+INDEX('Lease Cycles'!$CI$25:$CO$25,1,CJ299))^INT(INT(CJ300/12)/INDEX('Lease Cycles'!$CP$25:$CV$25,1,CJ299))/12)))),'Lease Cycles'!$C$25*INDEX('Lease Cycles'!$CB$25:$CH$25,1,CJ299)*(1+INDEX('Lease Cycles'!$CI$25:$CO$25,1,CJ299))^INT(INT(CJ300/12)/INDEX('Lease Cycles'!$CP$25:$CV$25,1,CJ299))/12))),IF('Lease Cycles'!$N$25=1,'Lease Cycles'!$C$25*'Lease Cycles'!$E$25*INDEX('Lease Cycles'!$HE$25:$HK$25,1,CJ299)*(1+INDEX('Lease Cycles'!$GQ$25:$GW$25,1,CJ299))^INT(INT((CJ$6-INDEX('Lease Cycles'!$GJ$25:$GP$25,1,CJ299))/12)/INDEX('Lease Cycles'!$GX$25:$HD$25,1,CJ299))/12,0)))</f>
        <v>0</v>
      </c>
      <c r="CK302" s="28">
        <f>IF(CK299=0,IF('Lease Cycles'!$F$25&gt;0,'Lease Cycles'!$C$25*'Lease Cycles'!$E$25/12,0),IF(CK301=1,IF('Lease Cycles'!$AT$25&gt;=9999,'Lease Cycles'!$C$25*INDEX('Lease Cycles'!$CB$25:$CH$25,1,CK299)*(1+INDEX('Lease Cycles'!$CI$25:$CO$25,1,CK299))^INT(INT(CK300/12)/INDEX('Lease Cycles'!$CP$25:$CV$25,1,CK299))/12,IF(CK299=1,IF(CK300&gt;=INDEX('Lease Cycles'!$DK$25:$DQ$25,1,CK299),IF(CK$6&gt;='Lease Cycles'!$AZ$25,'Lease Cycles'!$C$25*'Lease Cycles'!$BA$25/12,IF(CK$6&gt;='Lease Cycles'!$AX$25,'Lease Cycles'!$C$25*'Lease Cycles'!$AY$25/12,IF(CK$6&gt;='Lease Cycles'!$AV$25,'Lease Cycles'!$C$25*'Lease Cycles'!$AW$25/12,IF(CK$6&gt;='Lease Cycles'!$AT$25,'Lease Cycles'!$C$25*'Lease Cycles'!$AU$25/12,'Lease Cycles'!$C$25*INDEX('Lease Cycles'!$CB$25:$CH$25,1,CK299)*(1+INDEX('Lease Cycles'!$CI$25:$CO$25,1,CK299))^INT(INT(CK300/12)/INDEX('Lease Cycles'!$CP$25:$CV$25,1,CK299))/12)))),'Lease Cycles'!$C$25*INDEX('Lease Cycles'!$CB$25:$CH$25,1,CK299)*(1+INDEX('Lease Cycles'!$CI$25:$CO$25,1,CK299))^INT(INT(CK300/12)/INDEX('Lease Cycles'!$CP$25:$CV$25,1,CK299))/12),IF(INDEX('Lease Cycles'!$EF$25:$EL$25,1,CK299)=1,IF(AND('Lease Cycles'!$AZ$25&gt;=INDEX('Lease Cycles'!$BG$25:$BM$25,1,CK299),'Lease Cycles'!$AZ$25&lt;=CK$6),'Lease Cycles'!$C$25*'Lease Cycles'!$BA$25/12,IF(AND('Lease Cycles'!$AX$25&gt;=INDEX('Lease Cycles'!$BG$25:$BM$25,1,CK299),'Lease Cycles'!$AX$25&lt;=CK$6),'Lease Cycles'!$C$25*'Lease Cycles'!$AY$25/12,IF(AND('Lease Cycles'!$AV$25&gt;=INDEX('Lease Cycles'!$BG$25:$BM$25,1,CK299),'Lease Cycles'!$AV$25&lt;=CK$6),'Lease Cycles'!$C$25*'Lease Cycles'!$AW$25/12,IF(AND('Lease Cycles'!$AT$25&gt;=INDEX('Lease Cycles'!$BG$25:$BM$25,1,CK299),'Lease Cycles'!$AT$25&lt;=CK$6),'Lease Cycles'!$C$25*'Lease Cycles'!$AU$25/12,'Lease Cycles'!$C$25*INDEX('Lease Cycles'!$CB$25:$CH$25,1,CK299)*(1+INDEX('Lease Cycles'!$CI$25:$CO$25,1,CK299))^INT(INT(CK300/12)/INDEX('Lease Cycles'!$CP$25:$CV$25,1,CK299))/12)))),'Lease Cycles'!$C$25*INDEX('Lease Cycles'!$CB$25:$CH$25,1,CK299)*(1+INDEX('Lease Cycles'!$CI$25:$CO$25,1,CK299))^INT(INT(CK300/12)/INDEX('Lease Cycles'!$CP$25:$CV$25,1,CK299))/12))),IF('Lease Cycles'!$N$25=1,'Lease Cycles'!$C$25*'Lease Cycles'!$E$25*INDEX('Lease Cycles'!$HE$25:$HK$25,1,CK299)*(1+INDEX('Lease Cycles'!$GQ$25:$GW$25,1,CK299))^INT(INT((CK$6-INDEX('Lease Cycles'!$GJ$25:$GP$25,1,CK299))/12)/INDEX('Lease Cycles'!$GX$25:$HD$25,1,CK299))/12,0)))</f>
        <v>0</v>
      </c>
      <c r="CL302" s="28">
        <f>IF(CL299=0,IF('Lease Cycles'!$F$25&gt;0,'Lease Cycles'!$C$25*'Lease Cycles'!$E$25/12,0),IF(CL301=1,IF('Lease Cycles'!$AT$25&gt;=9999,'Lease Cycles'!$C$25*INDEX('Lease Cycles'!$CB$25:$CH$25,1,CL299)*(1+INDEX('Lease Cycles'!$CI$25:$CO$25,1,CL299))^INT(INT(CL300/12)/INDEX('Lease Cycles'!$CP$25:$CV$25,1,CL299))/12,IF(CL299=1,IF(CL300&gt;=INDEX('Lease Cycles'!$DK$25:$DQ$25,1,CL299),IF(CL$6&gt;='Lease Cycles'!$AZ$25,'Lease Cycles'!$C$25*'Lease Cycles'!$BA$25/12,IF(CL$6&gt;='Lease Cycles'!$AX$25,'Lease Cycles'!$C$25*'Lease Cycles'!$AY$25/12,IF(CL$6&gt;='Lease Cycles'!$AV$25,'Lease Cycles'!$C$25*'Lease Cycles'!$AW$25/12,IF(CL$6&gt;='Lease Cycles'!$AT$25,'Lease Cycles'!$C$25*'Lease Cycles'!$AU$25/12,'Lease Cycles'!$C$25*INDEX('Lease Cycles'!$CB$25:$CH$25,1,CL299)*(1+INDEX('Lease Cycles'!$CI$25:$CO$25,1,CL299))^INT(INT(CL300/12)/INDEX('Lease Cycles'!$CP$25:$CV$25,1,CL299))/12)))),'Lease Cycles'!$C$25*INDEX('Lease Cycles'!$CB$25:$CH$25,1,CL299)*(1+INDEX('Lease Cycles'!$CI$25:$CO$25,1,CL299))^INT(INT(CL300/12)/INDEX('Lease Cycles'!$CP$25:$CV$25,1,CL299))/12),IF(INDEX('Lease Cycles'!$EF$25:$EL$25,1,CL299)=1,IF(AND('Lease Cycles'!$AZ$25&gt;=INDEX('Lease Cycles'!$BG$25:$BM$25,1,CL299),'Lease Cycles'!$AZ$25&lt;=CL$6),'Lease Cycles'!$C$25*'Lease Cycles'!$BA$25/12,IF(AND('Lease Cycles'!$AX$25&gt;=INDEX('Lease Cycles'!$BG$25:$BM$25,1,CL299),'Lease Cycles'!$AX$25&lt;=CL$6),'Lease Cycles'!$C$25*'Lease Cycles'!$AY$25/12,IF(AND('Lease Cycles'!$AV$25&gt;=INDEX('Lease Cycles'!$BG$25:$BM$25,1,CL299),'Lease Cycles'!$AV$25&lt;=CL$6),'Lease Cycles'!$C$25*'Lease Cycles'!$AW$25/12,IF(AND('Lease Cycles'!$AT$25&gt;=INDEX('Lease Cycles'!$BG$25:$BM$25,1,CL299),'Lease Cycles'!$AT$25&lt;=CL$6),'Lease Cycles'!$C$25*'Lease Cycles'!$AU$25/12,'Lease Cycles'!$C$25*INDEX('Lease Cycles'!$CB$25:$CH$25,1,CL299)*(1+INDEX('Lease Cycles'!$CI$25:$CO$25,1,CL299))^INT(INT(CL300/12)/INDEX('Lease Cycles'!$CP$25:$CV$25,1,CL299))/12)))),'Lease Cycles'!$C$25*INDEX('Lease Cycles'!$CB$25:$CH$25,1,CL299)*(1+INDEX('Lease Cycles'!$CI$25:$CO$25,1,CL299))^INT(INT(CL300/12)/INDEX('Lease Cycles'!$CP$25:$CV$25,1,CL299))/12))),IF('Lease Cycles'!$N$25=1,'Lease Cycles'!$C$25*'Lease Cycles'!$E$25*INDEX('Lease Cycles'!$HE$25:$HK$25,1,CL299)*(1+INDEX('Lease Cycles'!$GQ$25:$GW$25,1,CL299))^INT(INT((CL$6-INDEX('Lease Cycles'!$GJ$25:$GP$25,1,CL299))/12)/INDEX('Lease Cycles'!$GX$25:$HD$25,1,CL299))/12,0)))</f>
        <v>0</v>
      </c>
      <c r="CM302" s="28">
        <f>IF(CM299=0,IF('Lease Cycles'!$F$25&gt;0,'Lease Cycles'!$C$25*'Lease Cycles'!$E$25/12,0),IF(CM301=1,IF('Lease Cycles'!$AT$25&gt;=9999,'Lease Cycles'!$C$25*INDEX('Lease Cycles'!$CB$25:$CH$25,1,CM299)*(1+INDEX('Lease Cycles'!$CI$25:$CO$25,1,CM299))^INT(INT(CM300/12)/INDEX('Lease Cycles'!$CP$25:$CV$25,1,CM299))/12,IF(CM299=1,IF(CM300&gt;=INDEX('Lease Cycles'!$DK$25:$DQ$25,1,CM299),IF(CM$6&gt;='Lease Cycles'!$AZ$25,'Lease Cycles'!$C$25*'Lease Cycles'!$BA$25/12,IF(CM$6&gt;='Lease Cycles'!$AX$25,'Lease Cycles'!$C$25*'Lease Cycles'!$AY$25/12,IF(CM$6&gt;='Lease Cycles'!$AV$25,'Lease Cycles'!$C$25*'Lease Cycles'!$AW$25/12,IF(CM$6&gt;='Lease Cycles'!$AT$25,'Lease Cycles'!$C$25*'Lease Cycles'!$AU$25/12,'Lease Cycles'!$C$25*INDEX('Lease Cycles'!$CB$25:$CH$25,1,CM299)*(1+INDEX('Lease Cycles'!$CI$25:$CO$25,1,CM299))^INT(INT(CM300/12)/INDEX('Lease Cycles'!$CP$25:$CV$25,1,CM299))/12)))),'Lease Cycles'!$C$25*INDEX('Lease Cycles'!$CB$25:$CH$25,1,CM299)*(1+INDEX('Lease Cycles'!$CI$25:$CO$25,1,CM299))^INT(INT(CM300/12)/INDEX('Lease Cycles'!$CP$25:$CV$25,1,CM299))/12),IF(INDEX('Lease Cycles'!$EF$25:$EL$25,1,CM299)=1,IF(AND('Lease Cycles'!$AZ$25&gt;=INDEX('Lease Cycles'!$BG$25:$BM$25,1,CM299),'Lease Cycles'!$AZ$25&lt;=CM$6),'Lease Cycles'!$C$25*'Lease Cycles'!$BA$25/12,IF(AND('Lease Cycles'!$AX$25&gt;=INDEX('Lease Cycles'!$BG$25:$BM$25,1,CM299),'Lease Cycles'!$AX$25&lt;=CM$6),'Lease Cycles'!$C$25*'Lease Cycles'!$AY$25/12,IF(AND('Lease Cycles'!$AV$25&gt;=INDEX('Lease Cycles'!$BG$25:$BM$25,1,CM299),'Lease Cycles'!$AV$25&lt;=CM$6),'Lease Cycles'!$C$25*'Lease Cycles'!$AW$25/12,IF(AND('Lease Cycles'!$AT$25&gt;=INDEX('Lease Cycles'!$BG$25:$BM$25,1,CM299),'Lease Cycles'!$AT$25&lt;=CM$6),'Lease Cycles'!$C$25*'Lease Cycles'!$AU$25/12,'Lease Cycles'!$C$25*INDEX('Lease Cycles'!$CB$25:$CH$25,1,CM299)*(1+INDEX('Lease Cycles'!$CI$25:$CO$25,1,CM299))^INT(INT(CM300/12)/INDEX('Lease Cycles'!$CP$25:$CV$25,1,CM299))/12)))),'Lease Cycles'!$C$25*INDEX('Lease Cycles'!$CB$25:$CH$25,1,CM299)*(1+INDEX('Lease Cycles'!$CI$25:$CO$25,1,CM299))^INT(INT(CM300/12)/INDEX('Lease Cycles'!$CP$25:$CV$25,1,CM299))/12))),IF('Lease Cycles'!$N$25=1,'Lease Cycles'!$C$25*'Lease Cycles'!$E$25*INDEX('Lease Cycles'!$HE$25:$HK$25,1,CM299)*(1+INDEX('Lease Cycles'!$GQ$25:$GW$25,1,CM299))^INT(INT((CM$6-INDEX('Lease Cycles'!$GJ$25:$GP$25,1,CM299))/12)/INDEX('Lease Cycles'!$GX$25:$HD$25,1,CM299))/12,0)))</f>
        <v>0</v>
      </c>
      <c r="CN302" s="28">
        <f>IF(CN299=0,IF('Lease Cycles'!$F$25&gt;0,'Lease Cycles'!$C$25*'Lease Cycles'!$E$25/12,0),IF(CN301=1,IF('Lease Cycles'!$AT$25&gt;=9999,'Lease Cycles'!$C$25*INDEX('Lease Cycles'!$CB$25:$CH$25,1,CN299)*(1+INDEX('Lease Cycles'!$CI$25:$CO$25,1,CN299))^INT(INT(CN300/12)/INDEX('Lease Cycles'!$CP$25:$CV$25,1,CN299))/12,IF(CN299=1,IF(CN300&gt;=INDEX('Lease Cycles'!$DK$25:$DQ$25,1,CN299),IF(CN$6&gt;='Lease Cycles'!$AZ$25,'Lease Cycles'!$C$25*'Lease Cycles'!$BA$25/12,IF(CN$6&gt;='Lease Cycles'!$AX$25,'Lease Cycles'!$C$25*'Lease Cycles'!$AY$25/12,IF(CN$6&gt;='Lease Cycles'!$AV$25,'Lease Cycles'!$C$25*'Lease Cycles'!$AW$25/12,IF(CN$6&gt;='Lease Cycles'!$AT$25,'Lease Cycles'!$C$25*'Lease Cycles'!$AU$25/12,'Lease Cycles'!$C$25*INDEX('Lease Cycles'!$CB$25:$CH$25,1,CN299)*(1+INDEX('Lease Cycles'!$CI$25:$CO$25,1,CN299))^INT(INT(CN300/12)/INDEX('Lease Cycles'!$CP$25:$CV$25,1,CN299))/12)))),'Lease Cycles'!$C$25*INDEX('Lease Cycles'!$CB$25:$CH$25,1,CN299)*(1+INDEX('Lease Cycles'!$CI$25:$CO$25,1,CN299))^INT(INT(CN300/12)/INDEX('Lease Cycles'!$CP$25:$CV$25,1,CN299))/12),IF(INDEX('Lease Cycles'!$EF$25:$EL$25,1,CN299)=1,IF(AND('Lease Cycles'!$AZ$25&gt;=INDEX('Lease Cycles'!$BG$25:$BM$25,1,CN299),'Lease Cycles'!$AZ$25&lt;=CN$6),'Lease Cycles'!$C$25*'Lease Cycles'!$BA$25/12,IF(AND('Lease Cycles'!$AX$25&gt;=INDEX('Lease Cycles'!$BG$25:$BM$25,1,CN299),'Lease Cycles'!$AX$25&lt;=CN$6),'Lease Cycles'!$C$25*'Lease Cycles'!$AY$25/12,IF(AND('Lease Cycles'!$AV$25&gt;=INDEX('Lease Cycles'!$BG$25:$BM$25,1,CN299),'Lease Cycles'!$AV$25&lt;=CN$6),'Lease Cycles'!$C$25*'Lease Cycles'!$AW$25/12,IF(AND('Lease Cycles'!$AT$25&gt;=INDEX('Lease Cycles'!$BG$25:$BM$25,1,CN299),'Lease Cycles'!$AT$25&lt;=CN$6),'Lease Cycles'!$C$25*'Lease Cycles'!$AU$25/12,'Lease Cycles'!$C$25*INDEX('Lease Cycles'!$CB$25:$CH$25,1,CN299)*(1+INDEX('Lease Cycles'!$CI$25:$CO$25,1,CN299))^INT(INT(CN300/12)/INDEX('Lease Cycles'!$CP$25:$CV$25,1,CN299))/12)))),'Lease Cycles'!$C$25*INDEX('Lease Cycles'!$CB$25:$CH$25,1,CN299)*(1+INDEX('Lease Cycles'!$CI$25:$CO$25,1,CN299))^INT(INT(CN300/12)/INDEX('Lease Cycles'!$CP$25:$CV$25,1,CN299))/12))),IF('Lease Cycles'!$N$25=1,'Lease Cycles'!$C$25*'Lease Cycles'!$E$25*INDEX('Lease Cycles'!$HE$25:$HK$25,1,CN299)*(1+INDEX('Lease Cycles'!$GQ$25:$GW$25,1,CN299))^INT(INT((CN$6-INDEX('Lease Cycles'!$GJ$25:$GP$25,1,CN299))/12)/INDEX('Lease Cycles'!$GX$25:$HD$25,1,CN299))/12,0)))</f>
        <v>0</v>
      </c>
      <c r="CO302" s="28">
        <f>IF(CO299=0,IF('Lease Cycles'!$F$25&gt;0,'Lease Cycles'!$C$25*'Lease Cycles'!$E$25/12,0),IF(CO301=1,IF('Lease Cycles'!$AT$25&gt;=9999,'Lease Cycles'!$C$25*INDEX('Lease Cycles'!$CB$25:$CH$25,1,CO299)*(1+INDEX('Lease Cycles'!$CI$25:$CO$25,1,CO299))^INT(INT(CO300/12)/INDEX('Lease Cycles'!$CP$25:$CV$25,1,CO299))/12,IF(CO299=1,IF(CO300&gt;=INDEX('Lease Cycles'!$DK$25:$DQ$25,1,CO299),IF(CO$6&gt;='Lease Cycles'!$AZ$25,'Lease Cycles'!$C$25*'Lease Cycles'!$BA$25/12,IF(CO$6&gt;='Lease Cycles'!$AX$25,'Lease Cycles'!$C$25*'Lease Cycles'!$AY$25/12,IF(CO$6&gt;='Lease Cycles'!$AV$25,'Lease Cycles'!$C$25*'Lease Cycles'!$AW$25/12,IF(CO$6&gt;='Lease Cycles'!$AT$25,'Lease Cycles'!$C$25*'Lease Cycles'!$AU$25/12,'Lease Cycles'!$C$25*INDEX('Lease Cycles'!$CB$25:$CH$25,1,CO299)*(1+INDEX('Lease Cycles'!$CI$25:$CO$25,1,CO299))^INT(INT(CO300/12)/INDEX('Lease Cycles'!$CP$25:$CV$25,1,CO299))/12)))),'Lease Cycles'!$C$25*INDEX('Lease Cycles'!$CB$25:$CH$25,1,CO299)*(1+INDEX('Lease Cycles'!$CI$25:$CO$25,1,CO299))^INT(INT(CO300/12)/INDEX('Lease Cycles'!$CP$25:$CV$25,1,CO299))/12),IF(INDEX('Lease Cycles'!$EF$25:$EL$25,1,CO299)=1,IF(AND('Lease Cycles'!$AZ$25&gt;=INDEX('Lease Cycles'!$BG$25:$BM$25,1,CO299),'Lease Cycles'!$AZ$25&lt;=CO$6),'Lease Cycles'!$C$25*'Lease Cycles'!$BA$25/12,IF(AND('Lease Cycles'!$AX$25&gt;=INDEX('Lease Cycles'!$BG$25:$BM$25,1,CO299),'Lease Cycles'!$AX$25&lt;=CO$6),'Lease Cycles'!$C$25*'Lease Cycles'!$AY$25/12,IF(AND('Lease Cycles'!$AV$25&gt;=INDEX('Lease Cycles'!$BG$25:$BM$25,1,CO299),'Lease Cycles'!$AV$25&lt;=CO$6),'Lease Cycles'!$C$25*'Lease Cycles'!$AW$25/12,IF(AND('Lease Cycles'!$AT$25&gt;=INDEX('Lease Cycles'!$BG$25:$BM$25,1,CO299),'Lease Cycles'!$AT$25&lt;=CO$6),'Lease Cycles'!$C$25*'Lease Cycles'!$AU$25/12,'Lease Cycles'!$C$25*INDEX('Lease Cycles'!$CB$25:$CH$25,1,CO299)*(1+INDEX('Lease Cycles'!$CI$25:$CO$25,1,CO299))^INT(INT(CO300/12)/INDEX('Lease Cycles'!$CP$25:$CV$25,1,CO299))/12)))),'Lease Cycles'!$C$25*INDEX('Lease Cycles'!$CB$25:$CH$25,1,CO299)*(1+INDEX('Lease Cycles'!$CI$25:$CO$25,1,CO299))^INT(INT(CO300/12)/INDEX('Lease Cycles'!$CP$25:$CV$25,1,CO299))/12))),IF('Lease Cycles'!$N$25=1,'Lease Cycles'!$C$25*'Lease Cycles'!$E$25*INDEX('Lease Cycles'!$HE$25:$HK$25,1,CO299)*(1+INDEX('Lease Cycles'!$GQ$25:$GW$25,1,CO299))^INT(INT((CO$6-INDEX('Lease Cycles'!$GJ$25:$GP$25,1,CO299))/12)/INDEX('Lease Cycles'!$GX$25:$HD$25,1,CO299))/12,0)))</f>
        <v>0</v>
      </c>
      <c r="CP302" s="28">
        <f>IF(CP299=0,IF('Lease Cycles'!$F$25&gt;0,'Lease Cycles'!$C$25*'Lease Cycles'!$E$25/12,0),IF(CP301=1,IF('Lease Cycles'!$AT$25&gt;=9999,'Lease Cycles'!$C$25*INDEX('Lease Cycles'!$CB$25:$CH$25,1,CP299)*(1+INDEX('Lease Cycles'!$CI$25:$CO$25,1,CP299))^INT(INT(CP300/12)/INDEX('Lease Cycles'!$CP$25:$CV$25,1,CP299))/12,IF(CP299=1,IF(CP300&gt;=INDEX('Lease Cycles'!$DK$25:$DQ$25,1,CP299),IF(CP$6&gt;='Lease Cycles'!$AZ$25,'Lease Cycles'!$C$25*'Lease Cycles'!$BA$25/12,IF(CP$6&gt;='Lease Cycles'!$AX$25,'Lease Cycles'!$C$25*'Lease Cycles'!$AY$25/12,IF(CP$6&gt;='Lease Cycles'!$AV$25,'Lease Cycles'!$C$25*'Lease Cycles'!$AW$25/12,IF(CP$6&gt;='Lease Cycles'!$AT$25,'Lease Cycles'!$C$25*'Lease Cycles'!$AU$25/12,'Lease Cycles'!$C$25*INDEX('Lease Cycles'!$CB$25:$CH$25,1,CP299)*(1+INDEX('Lease Cycles'!$CI$25:$CO$25,1,CP299))^INT(INT(CP300/12)/INDEX('Lease Cycles'!$CP$25:$CV$25,1,CP299))/12)))),'Lease Cycles'!$C$25*INDEX('Lease Cycles'!$CB$25:$CH$25,1,CP299)*(1+INDEX('Lease Cycles'!$CI$25:$CO$25,1,CP299))^INT(INT(CP300/12)/INDEX('Lease Cycles'!$CP$25:$CV$25,1,CP299))/12),IF(INDEX('Lease Cycles'!$EF$25:$EL$25,1,CP299)=1,IF(AND('Lease Cycles'!$AZ$25&gt;=INDEX('Lease Cycles'!$BG$25:$BM$25,1,CP299),'Lease Cycles'!$AZ$25&lt;=CP$6),'Lease Cycles'!$C$25*'Lease Cycles'!$BA$25/12,IF(AND('Lease Cycles'!$AX$25&gt;=INDEX('Lease Cycles'!$BG$25:$BM$25,1,CP299),'Lease Cycles'!$AX$25&lt;=CP$6),'Lease Cycles'!$C$25*'Lease Cycles'!$AY$25/12,IF(AND('Lease Cycles'!$AV$25&gt;=INDEX('Lease Cycles'!$BG$25:$BM$25,1,CP299),'Lease Cycles'!$AV$25&lt;=CP$6),'Lease Cycles'!$C$25*'Lease Cycles'!$AW$25/12,IF(AND('Lease Cycles'!$AT$25&gt;=INDEX('Lease Cycles'!$BG$25:$BM$25,1,CP299),'Lease Cycles'!$AT$25&lt;=CP$6),'Lease Cycles'!$C$25*'Lease Cycles'!$AU$25/12,'Lease Cycles'!$C$25*INDEX('Lease Cycles'!$CB$25:$CH$25,1,CP299)*(1+INDEX('Lease Cycles'!$CI$25:$CO$25,1,CP299))^INT(INT(CP300/12)/INDEX('Lease Cycles'!$CP$25:$CV$25,1,CP299))/12)))),'Lease Cycles'!$C$25*INDEX('Lease Cycles'!$CB$25:$CH$25,1,CP299)*(1+INDEX('Lease Cycles'!$CI$25:$CO$25,1,CP299))^INT(INT(CP300/12)/INDEX('Lease Cycles'!$CP$25:$CV$25,1,CP299))/12))),IF('Lease Cycles'!$N$25=1,'Lease Cycles'!$C$25*'Lease Cycles'!$E$25*INDEX('Lease Cycles'!$HE$25:$HK$25,1,CP299)*(1+INDEX('Lease Cycles'!$GQ$25:$GW$25,1,CP299))^INT(INT((CP$6-INDEX('Lease Cycles'!$GJ$25:$GP$25,1,CP299))/12)/INDEX('Lease Cycles'!$GX$25:$HD$25,1,CP299))/12,0)))</f>
        <v>0</v>
      </c>
      <c r="CQ302" s="28">
        <f>IF(CQ299=0,IF('Lease Cycles'!$F$25&gt;0,'Lease Cycles'!$C$25*'Lease Cycles'!$E$25/12,0),IF(CQ301=1,IF('Lease Cycles'!$AT$25&gt;=9999,'Lease Cycles'!$C$25*INDEX('Lease Cycles'!$CB$25:$CH$25,1,CQ299)*(1+INDEX('Lease Cycles'!$CI$25:$CO$25,1,CQ299))^INT(INT(CQ300/12)/INDEX('Lease Cycles'!$CP$25:$CV$25,1,CQ299))/12,IF(CQ299=1,IF(CQ300&gt;=INDEX('Lease Cycles'!$DK$25:$DQ$25,1,CQ299),IF(CQ$6&gt;='Lease Cycles'!$AZ$25,'Lease Cycles'!$C$25*'Lease Cycles'!$BA$25/12,IF(CQ$6&gt;='Lease Cycles'!$AX$25,'Lease Cycles'!$C$25*'Lease Cycles'!$AY$25/12,IF(CQ$6&gt;='Lease Cycles'!$AV$25,'Lease Cycles'!$C$25*'Lease Cycles'!$AW$25/12,IF(CQ$6&gt;='Lease Cycles'!$AT$25,'Lease Cycles'!$C$25*'Lease Cycles'!$AU$25/12,'Lease Cycles'!$C$25*INDEX('Lease Cycles'!$CB$25:$CH$25,1,CQ299)*(1+INDEX('Lease Cycles'!$CI$25:$CO$25,1,CQ299))^INT(INT(CQ300/12)/INDEX('Lease Cycles'!$CP$25:$CV$25,1,CQ299))/12)))),'Lease Cycles'!$C$25*INDEX('Lease Cycles'!$CB$25:$CH$25,1,CQ299)*(1+INDEX('Lease Cycles'!$CI$25:$CO$25,1,CQ299))^INT(INT(CQ300/12)/INDEX('Lease Cycles'!$CP$25:$CV$25,1,CQ299))/12),IF(INDEX('Lease Cycles'!$EF$25:$EL$25,1,CQ299)=1,IF(AND('Lease Cycles'!$AZ$25&gt;=INDEX('Lease Cycles'!$BG$25:$BM$25,1,CQ299),'Lease Cycles'!$AZ$25&lt;=CQ$6),'Lease Cycles'!$C$25*'Lease Cycles'!$BA$25/12,IF(AND('Lease Cycles'!$AX$25&gt;=INDEX('Lease Cycles'!$BG$25:$BM$25,1,CQ299),'Lease Cycles'!$AX$25&lt;=CQ$6),'Lease Cycles'!$C$25*'Lease Cycles'!$AY$25/12,IF(AND('Lease Cycles'!$AV$25&gt;=INDEX('Lease Cycles'!$BG$25:$BM$25,1,CQ299),'Lease Cycles'!$AV$25&lt;=CQ$6),'Lease Cycles'!$C$25*'Lease Cycles'!$AW$25/12,IF(AND('Lease Cycles'!$AT$25&gt;=INDEX('Lease Cycles'!$BG$25:$BM$25,1,CQ299),'Lease Cycles'!$AT$25&lt;=CQ$6),'Lease Cycles'!$C$25*'Lease Cycles'!$AU$25/12,'Lease Cycles'!$C$25*INDEX('Lease Cycles'!$CB$25:$CH$25,1,CQ299)*(1+INDEX('Lease Cycles'!$CI$25:$CO$25,1,CQ299))^INT(INT(CQ300/12)/INDEX('Lease Cycles'!$CP$25:$CV$25,1,CQ299))/12)))),'Lease Cycles'!$C$25*INDEX('Lease Cycles'!$CB$25:$CH$25,1,CQ299)*(1+INDEX('Lease Cycles'!$CI$25:$CO$25,1,CQ299))^INT(INT(CQ300/12)/INDEX('Lease Cycles'!$CP$25:$CV$25,1,CQ299))/12))),IF('Lease Cycles'!$N$25=1,'Lease Cycles'!$C$25*'Lease Cycles'!$E$25*INDEX('Lease Cycles'!$HE$25:$HK$25,1,CQ299)*(1+INDEX('Lease Cycles'!$GQ$25:$GW$25,1,CQ299))^INT(INT((CQ$6-INDEX('Lease Cycles'!$GJ$25:$GP$25,1,CQ299))/12)/INDEX('Lease Cycles'!$GX$25:$HD$25,1,CQ299))/12,0)))</f>
        <v>0</v>
      </c>
      <c r="CR302" s="28">
        <f>IF(CR299=0,IF('Lease Cycles'!$F$25&gt;0,'Lease Cycles'!$C$25*'Lease Cycles'!$E$25/12,0),IF(CR301=1,IF('Lease Cycles'!$AT$25&gt;=9999,'Lease Cycles'!$C$25*INDEX('Lease Cycles'!$CB$25:$CH$25,1,CR299)*(1+INDEX('Lease Cycles'!$CI$25:$CO$25,1,CR299))^INT(INT(CR300/12)/INDEX('Lease Cycles'!$CP$25:$CV$25,1,CR299))/12,IF(CR299=1,IF(CR300&gt;=INDEX('Lease Cycles'!$DK$25:$DQ$25,1,CR299),IF(CR$6&gt;='Lease Cycles'!$AZ$25,'Lease Cycles'!$C$25*'Lease Cycles'!$BA$25/12,IF(CR$6&gt;='Lease Cycles'!$AX$25,'Lease Cycles'!$C$25*'Lease Cycles'!$AY$25/12,IF(CR$6&gt;='Lease Cycles'!$AV$25,'Lease Cycles'!$C$25*'Lease Cycles'!$AW$25/12,IF(CR$6&gt;='Lease Cycles'!$AT$25,'Lease Cycles'!$C$25*'Lease Cycles'!$AU$25/12,'Lease Cycles'!$C$25*INDEX('Lease Cycles'!$CB$25:$CH$25,1,CR299)*(1+INDEX('Lease Cycles'!$CI$25:$CO$25,1,CR299))^INT(INT(CR300/12)/INDEX('Lease Cycles'!$CP$25:$CV$25,1,CR299))/12)))),'Lease Cycles'!$C$25*INDEX('Lease Cycles'!$CB$25:$CH$25,1,CR299)*(1+INDEX('Lease Cycles'!$CI$25:$CO$25,1,CR299))^INT(INT(CR300/12)/INDEX('Lease Cycles'!$CP$25:$CV$25,1,CR299))/12),IF(INDEX('Lease Cycles'!$EF$25:$EL$25,1,CR299)=1,IF(AND('Lease Cycles'!$AZ$25&gt;=INDEX('Lease Cycles'!$BG$25:$BM$25,1,CR299),'Lease Cycles'!$AZ$25&lt;=CR$6),'Lease Cycles'!$C$25*'Lease Cycles'!$BA$25/12,IF(AND('Lease Cycles'!$AX$25&gt;=INDEX('Lease Cycles'!$BG$25:$BM$25,1,CR299),'Lease Cycles'!$AX$25&lt;=CR$6),'Lease Cycles'!$C$25*'Lease Cycles'!$AY$25/12,IF(AND('Lease Cycles'!$AV$25&gt;=INDEX('Lease Cycles'!$BG$25:$BM$25,1,CR299),'Lease Cycles'!$AV$25&lt;=CR$6),'Lease Cycles'!$C$25*'Lease Cycles'!$AW$25/12,IF(AND('Lease Cycles'!$AT$25&gt;=INDEX('Lease Cycles'!$BG$25:$BM$25,1,CR299),'Lease Cycles'!$AT$25&lt;=CR$6),'Lease Cycles'!$C$25*'Lease Cycles'!$AU$25/12,'Lease Cycles'!$C$25*INDEX('Lease Cycles'!$CB$25:$CH$25,1,CR299)*(1+INDEX('Lease Cycles'!$CI$25:$CO$25,1,CR299))^INT(INT(CR300/12)/INDEX('Lease Cycles'!$CP$25:$CV$25,1,CR299))/12)))),'Lease Cycles'!$C$25*INDEX('Lease Cycles'!$CB$25:$CH$25,1,CR299)*(1+INDEX('Lease Cycles'!$CI$25:$CO$25,1,CR299))^INT(INT(CR300/12)/INDEX('Lease Cycles'!$CP$25:$CV$25,1,CR299))/12))),IF('Lease Cycles'!$N$25=1,'Lease Cycles'!$C$25*'Lease Cycles'!$E$25*INDEX('Lease Cycles'!$HE$25:$HK$25,1,CR299)*(1+INDEX('Lease Cycles'!$GQ$25:$GW$25,1,CR299))^INT(INT((CR$6-INDEX('Lease Cycles'!$GJ$25:$GP$25,1,CR299))/12)/INDEX('Lease Cycles'!$GX$25:$HD$25,1,CR299))/12,0)))</f>
        <v>0</v>
      </c>
      <c r="CS302" s="28">
        <f>IF(CS299=0,IF('Lease Cycles'!$F$25&gt;0,'Lease Cycles'!$C$25*'Lease Cycles'!$E$25/12,0),IF(CS301=1,IF('Lease Cycles'!$AT$25&gt;=9999,'Lease Cycles'!$C$25*INDEX('Lease Cycles'!$CB$25:$CH$25,1,CS299)*(1+INDEX('Lease Cycles'!$CI$25:$CO$25,1,CS299))^INT(INT(CS300/12)/INDEX('Lease Cycles'!$CP$25:$CV$25,1,CS299))/12,IF(CS299=1,IF(CS300&gt;=INDEX('Lease Cycles'!$DK$25:$DQ$25,1,CS299),IF(CS$6&gt;='Lease Cycles'!$AZ$25,'Lease Cycles'!$C$25*'Lease Cycles'!$BA$25/12,IF(CS$6&gt;='Lease Cycles'!$AX$25,'Lease Cycles'!$C$25*'Lease Cycles'!$AY$25/12,IF(CS$6&gt;='Lease Cycles'!$AV$25,'Lease Cycles'!$C$25*'Lease Cycles'!$AW$25/12,IF(CS$6&gt;='Lease Cycles'!$AT$25,'Lease Cycles'!$C$25*'Lease Cycles'!$AU$25/12,'Lease Cycles'!$C$25*INDEX('Lease Cycles'!$CB$25:$CH$25,1,CS299)*(1+INDEX('Lease Cycles'!$CI$25:$CO$25,1,CS299))^INT(INT(CS300/12)/INDEX('Lease Cycles'!$CP$25:$CV$25,1,CS299))/12)))),'Lease Cycles'!$C$25*INDEX('Lease Cycles'!$CB$25:$CH$25,1,CS299)*(1+INDEX('Lease Cycles'!$CI$25:$CO$25,1,CS299))^INT(INT(CS300/12)/INDEX('Lease Cycles'!$CP$25:$CV$25,1,CS299))/12),IF(INDEX('Lease Cycles'!$EF$25:$EL$25,1,CS299)=1,IF(AND('Lease Cycles'!$AZ$25&gt;=INDEX('Lease Cycles'!$BG$25:$BM$25,1,CS299),'Lease Cycles'!$AZ$25&lt;=CS$6),'Lease Cycles'!$C$25*'Lease Cycles'!$BA$25/12,IF(AND('Lease Cycles'!$AX$25&gt;=INDEX('Lease Cycles'!$BG$25:$BM$25,1,CS299),'Lease Cycles'!$AX$25&lt;=CS$6),'Lease Cycles'!$C$25*'Lease Cycles'!$AY$25/12,IF(AND('Lease Cycles'!$AV$25&gt;=INDEX('Lease Cycles'!$BG$25:$BM$25,1,CS299),'Lease Cycles'!$AV$25&lt;=CS$6),'Lease Cycles'!$C$25*'Lease Cycles'!$AW$25/12,IF(AND('Lease Cycles'!$AT$25&gt;=INDEX('Lease Cycles'!$BG$25:$BM$25,1,CS299),'Lease Cycles'!$AT$25&lt;=CS$6),'Lease Cycles'!$C$25*'Lease Cycles'!$AU$25/12,'Lease Cycles'!$C$25*INDEX('Lease Cycles'!$CB$25:$CH$25,1,CS299)*(1+INDEX('Lease Cycles'!$CI$25:$CO$25,1,CS299))^INT(INT(CS300/12)/INDEX('Lease Cycles'!$CP$25:$CV$25,1,CS299))/12)))),'Lease Cycles'!$C$25*INDEX('Lease Cycles'!$CB$25:$CH$25,1,CS299)*(1+INDEX('Lease Cycles'!$CI$25:$CO$25,1,CS299))^INT(INT(CS300/12)/INDEX('Lease Cycles'!$CP$25:$CV$25,1,CS299))/12))),IF('Lease Cycles'!$N$25=1,'Lease Cycles'!$C$25*'Lease Cycles'!$E$25*INDEX('Lease Cycles'!$HE$25:$HK$25,1,CS299)*(1+INDEX('Lease Cycles'!$GQ$25:$GW$25,1,CS299))^INT(INT((CS$6-INDEX('Lease Cycles'!$GJ$25:$GP$25,1,CS299))/12)/INDEX('Lease Cycles'!$GX$25:$HD$25,1,CS299))/12,0)))</f>
        <v>0</v>
      </c>
      <c r="CT302" s="28">
        <f>IF(CT299=0,IF('Lease Cycles'!$F$25&gt;0,'Lease Cycles'!$C$25*'Lease Cycles'!$E$25/12,0),IF(CT301=1,IF('Lease Cycles'!$AT$25&gt;=9999,'Lease Cycles'!$C$25*INDEX('Lease Cycles'!$CB$25:$CH$25,1,CT299)*(1+INDEX('Lease Cycles'!$CI$25:$CO$25,1,CT299))^INT(INT(CT300/12)/INDEX('Lease Cycles'!$CP$25:$CV$25,1,CT299))/12,IF(CT299=1,IF(CT300&gt;=INDEX('Lease Cycles'!$DK$25:$DQ$25,1,CT299),IF(CT$6&gt;='Lease Cycles'!$AZ$25,'Lease Cycles'!$C$25*'Lease Cycles'!$BA$25/12,IF(CT$6&gt;='Lease Cycles'!$AX$25,'Lease Cycles'!$C$25*'Lease Cycles'!$AY$25/12,IF(CT$6&gt;='Lease Cycles'!$AV$25,'Lease Cycles'!$C$25*'Lease Cycles'!$AW$25/12,IF(CT$6&gt;='Lease Cycles'!$AT$25,'Lease Cycles'!$C$25*'Lease Cycles'!$AU$25/12,'Lease Cycles'!$C$25*INDEX('Lease Cycles'!$CB$25:$CH$25,1,CT299)*(1+INDEX('Lease Cycles'!$CI$25:$CO$25,1,CT299))^INT(INT(CT300/12)/INDEX('Lease Cycles'!$CP$25:$CV$25,1,CT299))/12)))),'Lease Cycles'!$C$25*INDEX('Lease Cycles'!$CB$25:$CH$25,1,CT299)*(1+INDEX('Lease Cycles'!$CI$25:$CO$25,1,CT299))^INT(INT(CT300/12)/INDEX('Lease Cycles'!$CP$25:$CV$25,1,CT299))/12),IF(INDEX('Lease Cycles'!$EF$25:$EL$25,1,CT299)=1,IF(AND('Lease Cycles'!$AZ$25&gt;=INDEX('Lease Cycles'!$BG$25:$BM$25,1,CT299),'Lease Cycles'!$AZ$25&lt;=CT$6),'Lease Cycles'!$C$25*'Lease Cycles'!$BA$25/12,IF(AND('Lease Cycles'!$AX$25&gt;=INDEX('Lease Cycles'!$BG$25:$BM$25,1,CT299),'Lease Cycles'!$AX$25&lt;=CT$6),'Lease Cycles'!$C$25*'Lease Cycles'!$AY$25/12,IF(AND('Lease Cycles'!$AV$25&gt;=INDEX('Lease Cycles'!$BG$25:$BM$25,1,CT299),'Lease Cycles'!$AV$25&lt;=CT$6),'Lease Cycles'!$C$25*'Lease Cycles'!$AW$25/12,IF(AND('Lease Cycles'!$AT$25&gt;=INDEX('Lease Cycles'!$BG$25:$BM$25,1,CT299),'Lease Cycles'!$AT$25&lt;=CT$6),'Lease Cycles'!$C$25*'Lease Cycles'!$AU$25/12,'Lease Cycles'!$C$25*INDEX('Lease Cycles'!$CB$25:$CH$25,1,CT299)*(1+INDEX('Lease Cycles'!$CI$25:$CO$25,1,CT299))^INT(INT(CT300/12)/INDEX('Lease Cycles'!$CP$25:$CV$25,1,CT299))/12)))),'Lease Cycles'!$C$25*INDEX('Lease Cycles'!$CB$25:$CH$25,1,CT299)*(1+INDEX('Lease Cycles'!$CI$25:$CO$25,1,CT299))^INT(INT(CT300/12)/INDEX('Lease Cycles'!$CP$25:$CV$25,1,CT299))/12))),IF('Lease Cycles'!$N$25=1,'Lease Cycles'!$C$25*'Lease Cycles'!$E$25*INDEX('Lease Cycles'!$HE$25:$HK$25,1,CT299)*(1+INDEX('Lease Cycles'!$GQ$25:$GW$25,1,CT299))^INT(INT((CT$6-INDEX('Lease Cycles'!$GJ$25:$GP$25,1,CT299))/12)/INDEX('Lease Cycles'!$GX$25:$HD$25,1,CT299))/12,0)))</f>
        <v>0</v>
      </c>
      <c r="CU302" s="28">
        <f>IF(CU299=0,IF('Lease Cycles'!$F$25&gt;0,'Lease Cycles'!$C$25*'Lease Cycles'!$E$25/12,0),IF(CU301=1,IF('Lease Cycles'!$AT$25&gt;=9999,'Lease Cycles'!$C$25*INDEX('Lease Cycles'!$CB$25:$CH$25,1,CU299)*(1+INDEX('Lease Cycles'!$CI$25:$CO$25,1,CU299))^INT(INT(CU300/12)/INDEX('Lease Cycles'!$CP$25:$CV$25,1,CU299))/12,IF(CU299=1,IF(CU300&gt;=INDEX('Lease Cycles'!$DK$25:$DQ$25,1,CU299),IF(CU$6&gt;='Lease Cycles'!$AZ$25,'Lease Cycles'!$C$25*'Lease Cycles'!$BA$25/12,IF(CU$6&gt;='Lease Cycles'!$AX$25,'Lease Cycles'!$C$25*'Lease Cycles'!$AY$25/12,IF(CU$6&gt;='Lease Cycles'!$AV$25,'Lease Cycles'!$C$25*'Lease Cycles'!$AW$25/12,IF(CU$6&gt;='Lease Cycles'!$AT$25,'Lease Cycles'!$C$25*'Lease Cycles'!$AU$25/12,'Lease Cycles'!$C$25*INDEX('Lease Cycles'!$CB$25:$CH$25,1,CU299)*(1+INDEX('Lease Cycles'!$CI$25:$CO$25,1,CU299))^INT(INT(CU300/12)/INDEX('Lease Cycles'!$CP$25:$CV$25,1,CU299))/12)))),'Lease Cycles'!$C$25*INDEX('Lease Cycles'!$CB$25:$CH$25,1,CU299)*(1+INDEX('Lease Cycles'!$CI$25:$CO$25,1,CU299))^INT(INT(CU300/12)/INDEX('Lease Cycles'!$CP$25:$CV$25,1,CU299))/12),IF(INDEX('Lease Cycles'!$EF$25:$EL$25,1,CU299)=1,IF(AND('Lease Cycles'!$AZ$25&gt;=INDEX('Lease Cycles'!$BG$25:$BM$25,1,CU299),'Lease Cycles'!$AZ$25&lt;=CU$6),'Lease Cycles'!$C$25*'Lease Cycles'!$BA$25/12,IF(AND('Lease Cycles'!$AX$25&gt;=INDEX('Lease Cycles'!$BG$25:$BM$25,1,CU299),'Lease Cycles'!$AX$25&lt;=CU$6),'Lease Cycles'!$C$25*'Lease Cycles'!$AY$25/12,IF(AND('Lease Cycles'!$AV$25&gt;=INDEX('Lease Cycles'!$BG$25:$BM$25,1,CU299),'Lease Cycles'!$AV$25&lt;=CU$6),'Lease Cycles'!$C$25*'Lease Cycles'!$AW$25/12,IF(AND('Lease Cycles'!$AT$25&gt;=INDEX('Lease Cycles'!$BG$25:$BM$25,1,CU299),'Lease Cycles'!$AT$25&lt;=CU$6),'Lease Cycles'!$C$25*'Lease Cycles'!$AU$25/12,'Lease Cycles'!$C$25*INDEX('Lease Cycles'!$CB$25:$CH$25,1,CU299)*(1+INDEX('Lease Cycles'!$CI$25:$CO$25,1,CU299))^INT(INT(CU300/12)/INDEX('Lease Cycles'!$CP$25:$CV$25,1,CU299))/12)))),'Lease Cycles'!$C$25*INDEX('Lease Cycles'!$CB$25:$CH$25,1,CU299)*(1+INDEX('Lease Cycles'!$CI$25:$CO$25,1,CU299))^INT(INT(CU300/12)/INDEX('Lease Cycles'!$CP$25:$CV$25,1,CU299))/12))),IF('Lease Cycles'!$N$25=1,'Lease Cycles'!$C$25*'Lease Cycles'!$E$25*INDEX('Lease Cycles'!$HE$25:$HK$25,1,CU299)*(1+INDEX('Lease Cycles'!$GQ$25:$GW$25,1,CU299))^INT(INT((CU$6-INDEX('Lease Cycles'!$GJ$25:$GP$25,1,CU299))/12)/INDEX('Lease Cycles'!$GX$25:$HD$25,1,CU299))/12,0)))</f>
        <v>0</v>
      </c>
      <c r="CV302" s="28">
        <f>IF(CV299=0,IF('Lease Cycles'!$F$25&gt;0,'Lease Cycles'!$C$25*'Lease Cycles'!$E$25/12,0),IF(CV301=1,IF('Lease Cycles'!$AT$25&gt;=9999,'Lease Cycles'!$C$25*INDEX('Lease Cycles'!$CB$25:$CH$25,1,CV299)*(1+INDEX('Lease Cycles'!$CI$25:$CO$25,1,CV299))^INT(INT(CV300/12)/INDEX('Lease Cycles'!$CP$25:$CV$25,1,CV299))/12,IF(CV299=1,IF(CV300&gt;=INDEX('Lease Cycles'!$DK$25:$DQ$25,1,CV299),IF(CV$6&gt;='Lease Cycles'!$AZ$25,'Lease Cycles'!$C$25*'Lease Cycles'!$BA$25/12,IF(CV$6&gt;='Lease Cycles'!$AX$25,'Lease Cycles'!$C$25*'Lease Cycles'!$AY$25/12,IF(CV$6&gt;='Lease Cycles'!$AV$25,'Lease Cycles'!$C$25*'Lease Cycles'!$AW$25/12,IF(CV$6&gt;='Lease Cycles'!$AT$25,'Lease Cycles'!$C$25*'Lease Cycles'!$AU$25/12,'Lease Cycles'!$C$25*INDEX('Lease Cycles'!$CB$25:$CH$25,1,CV299)*(1+INDEX('Lease Cycles'!$CI$25:$CO$25,1,CV299))^INT(INT(CV300/12)/INDEX('Lease Cycles'!$CP$25:$CV$25,1,CV299))/12)))),'Lease Cycles'!$C$25*INDEX('Lease Cycles'!$CB$25:$CH$25,1,CV299)*(1+INDEX('Lease Cycles'!$CI$25:$CO$25,1,CV299))^INT(INT(CV300/12)/INDEX('Lease Cycles'!$CP$25:$CV$25,1,CV299))/12),IF(INDEX('Lease Cycles'!$EF$25:$EL$25,1,CV299)=1,IF(AND('Lease Cycles'!$AZ$25&gt;=INDEX('Lease Cycles'!$BG$25:$BM$25,1,CV299),'Lease Cycles'!$AZ$25&lt;=CV$6),'Lease Cycles'!$C$25*'Lease Cycles'!$BA$25/12,IF(AND('Lease Cycles'!$AX$25&gt;=INDEX('Lease Cycles'!$BG$25:$BM$25,1,CV299),'Lease Cycles'!$AX$25&lt;=CV$6),'Lease Cycles'!$C$25*'Lease Cycles'!$AY$25/12,IF(AND('Lease Cycles'!$AV$25&gt;=INDEX('Lease Cycles'!$BG$25:$BM$25,1,CV299),'Lease Cycles'!$AV$25&lt;=CV$6),'Lease Cycles'!$C$25*'Lease Cycles'!$AW$25/12,IF(AND('Lease Cycles'!$AT$25&gt;=INDEX('Lease Cycles'!$BG$25:$BM$25,1,CV299),'Lease Cycles'!$AT$25&lt;=CV$6),'Lease Cycles'!$C$25*'Lease Cycles'!$AU$25/12,'Lease Cycles'!$C$25*INDEX('Lease Cycles'!$CB$25:$CH$25,1,CV299)*(1+INDEX('Lease Cycles'!$CI$25:$CO$25,1,CV299))^INT(INT(CV300/12)/INDEX('Lease Cycles'!$CP$25:$CV$25,1,CV299))/12)))),'Lease Cycles'!$C$25*INDEX('Lease Cycles'!$CB$25:$CH$25,1,CV299)*(1+INDEX('Lease Cycles'!$CI$25:$CO$25,1,CV299))^INT(INT(CV300/12)/INDEX('Lease Cycles'!$CP$25:$CV$25,1,CV299))/12))),IF('Lease Cycles'!$N$25=1,'Lease Cycles'!$C$25*'Lease Cycles'!$E$25*INDEX('Lease Cycles'!$HE$25:$HK$25,1,CV299)*(1+INDEX('Lease Cycles'!$GQ$25:$GW$25,1,CV299))^INT(INT((CV$6-INDEX('Lease Cycles'!$GJ$25:$GP$25,1,CV299))/12)/INDEX('Lease Cycles'!$GX$25:$HD$25,1,CV299))/12,0)))</f>
        <v>0</v>
      </c>
      <c r="CW302" s="28">
        <f>IF(CW299=0,IF('Lease Cycles'!$F$25&gt;0,'Lease Cycles'!$C$25*'Lease Cycles'!$E$25/12,0),IF(CW301=1,IF('Lease Cycles'!$AT$25&gt;=9999,'Lease Cycles'!$C$25*INDEX('Lease Cycles'!$CB$25:$CH$25,1,CW299)*(1+INDEX('Lease Cycles'!$CI$25:$CO$25,1,CW299))^INT(INT(CW300/12)/INDEX('Lease Cycles'!$CP$25:$CV$25,1,CW299))/12,IF(CW299=1,IF(CW300&gt;=INDEX('Lease Cycles'!$DK$25:$DQ$25,1,CW299),IF(CW$6&gt;='Lease Cycles'!$AZ$25,'Lease Cycles'!$C$25*'Lease Cycles'!$BA$25/12,IF(CW$6&gt;='Lease Cycles'!$AX$25,'Lease Cycles'!$C$25*'Lease Cycles'!$AY$25/12,IF(CW$6&gt;='Lease Cycles'!$AV$25,'Lease Cycles'!$C$25*'Lease Cycles'!$AW$25/12,IF(CW$6&gt;='Lease Cycles'!$AT$25,'Lease Cycles'!$C$25*'Lease Cycles'!$AU$25/12,'Lease Cycles'!$C$25*INDEX('Lease Cycles'!$CB$25:$CH$25,1,CW299)*(1+INDEX('Lease Cycles'!$CI$25:$CO$25,1,CW299))^INT(INT(CW300/12)/INDEX('Lease Cycles'!$CP$25:$CV$25,1,CW299))/12)))),'Lease Cycles'!$C$25*INDEX('Lease Cycles'!$CB$25:$CH$25,1,CW299)*(1+INDEX('Lease Cycles'!$CI$25:$CO$25,1,CW299))^INT(INT(CW300/12)/INDEX('Lease Cycles'!$CP$25:$CV$25,1,CW299))/12),IF(INDEX('Lease Cycles'!$EF$25:$EL$25,1,CW299)=1,IF(AND('Lease Cycles'!$AZ$25&gt;=INDEX('Lease Cycles'!$BG$25:$BM$25,1,CW299),'Lease Cycles'!$AZ$25&lt;=CW$6),'Lease Cycles'!$C$25*'Lease Cycles'!$BA$25/12,IF(AND('Lease Cycles'!$AX$25&gt;=INDEX('Lease Cycles'!$BG$25:$BM$25,1,CW299),'Lease Cycles'!$AX$25&lt;=CW$6),'Lease Cycles'!$C$25*'Lease Cycles'!$AY$25/12,IF(AND('Lease Cycles'!$AV$25&gt;=INDEX('Lease Cycles'!$BG$25:$BM$25,1,CW299),'Lease Cycles'!$AV$25&lt;=CW$6),'Lease Cycles'!$C$25*'Lease Cycles'!$AW$25/12,IF(AND('Lease Cycles'!$AT$25&gt;=INDEX('Lease Cycles'!$BG$25:$BM$25,1,CW299),'Lease Cycles'!$AT$25&lt;=CW$6),'Lease Cycles'!$C$25*'Lease Cycles'!$AU$25/12,'Lease Cycles'!$C$25*INDEX('Lease Cycles'!$CB$25:$CH$25,1,CW299)*(1+INDEX('Lease Cycles'!$CI$25:$CO$25,1,CW299))^INT(INT(CW300/12)/INDEX('Lease Cycles'!$CP$25:$CV$25,1,CW299))/12)))),'Lease Cycles'!$C$25*INDEX('Lease Cycles'!$CB$25:$CH$25,1,CW299)*(1+INDEX('Lease Cycles'!$CI$25:$CO$25,1,CW299))^INT(INT(CW300/12)/INDEX('Lease Cycles'!$CP$25:$CV$25,1,CW299))/12))),IF('Lease Cycles'!$N$25=1,'Lease Cycles'!$C$25*'Lease Cycles'!$E$25*INDEX('Lease Cycles'!$HE$25:$HK$25,1,CW299)*(1+INDEX('Lease Cycles'!$GQ$25:$GW$25,1,CW299))^INT(INT((CW$6-INDEX('Lease Cycles'!$GJ$25:$GP$25,1,CW299))/12)/INDEX('Lease Cycles'!$GX$25:$HD$25,1,CW299))/12,0)))</f>
        <v>0</v>
      </c>
      <c r="CX302" s="28">
        <f>IF(CX299=0,IF('Lease Cycles'!$F$25&gt;0,'Lease Cycles'!$C$25*'Lease Cycles'!$E$25/12,0),IF(CX301=1,IF('Lease Cycles'!$AT$25&gt;=9999,'Lease Cycles'!$C$25*INDEX('Lease Cycles'!$CB$25:$CH$25,1,CX299)*(1+INDEX('Lease Cycles'!$CI$25:$CO$25,1,CX299))^INT(INT(CX300/12)/INDEX('Lease Cycles'!$CP$25:$CV$25,1,CX299))/12,IF(CX299=1,IF(CX300&gt;=INDEX('Lease Cycles'!$DK$25:$DQ$25,1,CX299),IF(CX$6&gt;='Lease Cycles'!$AZ$25,'Lease Cycles'!$C$25*'Lease Cycles'!$BA$25/12,IF(CX$6&gt;='Lease Cycles'!$AX$25,'Lease Cycles'!$C$25*'Lease Cycles'!$AY$25/12,IF(CX$6&gt;='Lease Cycles'!$AV$25,'Lease Cycles'!$C$25*'Lease Cycles'!$AW$25/12,IF(CX$6&gt;='Lease Cycles'!$AT$25,'Lease Cycles'!$C$25*'Lease Cycles'!$AU$25/12,'Lease Cycles'!$C$25*INDEX('Lease Cycles'!$CB$25:$CH$25,1,CX299)*(1+INDEX('Lease Cycles'!$CI$25:$CO$25,1,CX299))^INT(INT(CX300/12)/INDEX('Lease Cycles'!$CP$25:$CV$25,1,CX299))/12)))),'Lease Cycles'!$C$25*INDEX('Lease Cycles'!$CB$25:$CH$25,1,CX299)*(1+INDEX('Lease Cycles'!$CI$25:$CO$25,1,CX299))^INT(INT(CX300/12)/INDEX('Lease Cycles'!$CP$25:$CV$25,1,CX299))/12),IF(INDEX('Lease Cycles'!$EF$25:$EL$25,1,CX299)=1,IF(AND('Lease Cycles'!$AZ$25&gt;=INDEX('Lease Cycles'!$BG$25:$BM$25,1,CX299),'Lease Cycles'!$AZ$25&lt;=CX$6),'Lease Cycles'!$C$25*'Lease Cycles'!$BA$25/12,IF(AND('Lease Cycles'!$AX$25&gt;=INDEX('Lease Cycles'!$BG$25:$BM$25,1,CX299),'Lease Cycles'!$AX$25&lt;=CX$6),'Lease Cycles'!$C$25*'Lease Cycles'!$AY$25/12,IF(AND('Lease Cycles'!$AV$25&gt;=INDEX('Lease Cycles'!$BG$25:$BM$25,1,CX299),'Lease Cycles'!$AV$25&lt;=CX$6),'Lease Cycles'!$C$25*'Lease Cycles'!$AW$25/12,IF(AND('Lease Cycles'!$AT$25&gt;=INDEX('Lease Cycles'!$BG$25:$BM$25,1,CX299),'Lease Cycles'!$AT$25&lt;=CX$6),'Lease Cycles'!$C$25*'Lease Cycles'!$AU$25/12,'Lease Cycles'!$C$25*INDEX('Lease Cycles'!$CB$25:$CH$25,1,CX299)*(1+INDEX('Lease Cycles'!$CI$25:$CO$25,1,CX299))^INT(INT(CX300/12)/INDEX('Lease Cycles'!$CP$25:$CV$25,1,CX299))/12)))),'Lease Cycles'!$C$25*INDEX('Lease Cycles'!$CB$25:$CH$25,1,CX299)*(1+INDEX('Lease Cycles'!$CI$25:$CO$25,1,CX299))^INT(INT(CX300/12)/INDEX('Lease Cycles'!$CP$25:$CV$25,1,CX299))/12))),IF('Lease Cycles'!$N$25=1,'Lease Cycles'!$C$25*'Lease Cycles'!$E$25*INDEX('Lease Cycles'!$HE$25:$HK$25,1,CX299)*(1+INDEX('Lease Cycles'!$GQ$25:$GW$25,1,CX299))^INT(INT((CX$6-INDEX('Lease Cycles'!$GJ$25:$GP$25,1,CX299))/12)/INDEX('Lease Cycles'!$GX$25:$HD$25,1,CX299))/12,0)))</f>
        <v>0</v>
      </c>
      <c r="CY302" s="28">
        <f>IF(CY299=0,IF('Lease Cycles'!$F$25&gt;0,'Lease Cycles'!$C$25*'Lease Cycles'!$E$25/12,0),IF(CY301=1,IF('Lease Cycles'!$AT$25&gt;=9999,'Lease Cycles'!$C$25*INDEX('Lease Cycles'!$CB$25:$CH$25,1,CY299)*(1+INDEX('Lease Cycles'!$CI$25:$CO$25,1,CY299))^INT(INT(CY300/12)/INDEX('Lease Cycles'!$CP$25:$CV$25,1,CY299))/12,IF(CY299=1,IF(CY300&gt;=INDEX('Lease Cycles'!$DK$25:$DQ$25,1,CY299),IF(CY$6&gt;='Lease Cycles'!$AZ$25,'Lease Cycles'!$C$25*'Lease Cycles'!$BA$25/12,IF(CY$6&gt;='Lease Cycles'!$AX$25,'Lease Cycles'!$C$25*'Lease Cycles'!$AY$25/12,IF(CY$6&gt;='Lease Cycles'!$AV$25,'Lease Cycles'!$C$25*'Lease Cycles'!$AW$25/12,IF(CY$6&gt;='Lease Cycles'!$AT$25,'Lease Cycles'!$C$25*'Lease Cycles'!$AU$25/12,'Lease Cycles'!$C$25*INDEX('Lease Cycles'!$CB$25:$CH$25,1,CY299)*(1+INDEX('Lease Cycles'!$CI$25:$CO$25,1,CY299))^INT(INT(CY300/12)/INDEX('Lease Cycles'!$CP$25:$CV$25,1,CY299))/12)))),'Lease Cycles'!$C$25*INDEX('Lease Cycles'!$CB$25:$CH$25,1,CY299)*(1+INDEX('Lease Cycles'!$CI$25:$CO$25,1,CY299))^INT(INT(CY300/12)/INDEX('Lease Cycles'!$CP$25:$CV$25,1,CY299))/12),IF(INDEX('Lease Cycles'!$EF$25:$EL$25,1,CY299)=1,IF(AND('Lease Cycles'!$AZ$25&gt;=INDEX('Lease Cycles'!$BG$25:$BM$25,1,CY299),'Lease Cycles'!$AZ$25&lt;=CY$6),'Lease Cycles'!$C$25*'Lease Cycles'!$BA$25/12,IF(AND('Lease Cycles'!$AX$25&gt;=INDEX('Lease Cycles'!$BG$25:$BM$25,1,CY299),'Lease Cycles'!$AX$25&lt;=CY$6),'Lease Cycles'!$C$25*'Lease Cycles'!$AY$25/12,IF(AND('Lease Cycles'!$AV$25&gt;=INDEX('Lease Cycles'!$BG$25:$BM$25,1,CY299),'Lease Cycles'!$AV$25&lt;=CY$6),'Lease Cycles'!$C$25*'Lease Cycles'!$AW$25/12,IF(AND('Lease Cycles'!$AT$25&gt;=INDEX('Lease Cycles'!$BG$25:$BM$25,1,CY299),'Lease Cycles'!$AT$25&lt;=CY$6),'Lease Cycles'!$C$25*'Lease Cycles'!$AU$25/12,'Lease Cycles'!$C$25*INDEX('Lease Cycles'!$CB$25:$CH$25,1,CY299)*(1+INDEX('Lease Cycles'!$CI$25:$CO$25,1,CY299))^INT(INT(CY300/12)/INDEX('Lease Cycles'!$CP$25:$CV$25,1,CY299))/12)))),'Lease Cycles'!$C$25*INDEX('Lease Cycles'!$CB$25:$CH$25,1,CY299)*(1+INDEX('Lease Cycles'!$CI$25:$CO$25,1,CY299))^INT(INT(CY300/12)/INDEX('Lease Cycles'!$CP$25:$CV$25,1,CY299))/12))),IF('Lease Cycles'!$N$25=1,'Lease Cycles'!$C$25*'Lease Cycles'!$E$25*INDEX('Lease Cycles'!$HE$25:$HK$25,1,CY299)*(1+INDEX('Lease Cycles'!$GQ$25:$GW$25,1,CY299))^INT(INT((CY$6-INDEX('Lease Cycles'!$GJ$25:$GP$25,1,CY299))/12)/INDEX('Lease Cycles'!$GX$25:$HD$25,1,CY299))/12,0)))</f>
        <v>0</v>
      </c>
      <c r="CZ302" s="28">
        <f>IF(CZ299=0,IF('Lease Cycles'!$F$25&gt;0,'Lease Cycles'!$C$25*'Lease Cycles'!$E$25/12,0),IF(CZ301=1,IF('Lease Cycles'!$AT$25&gt;=9999,'Lease Cycles'!$C$25*INDEX('Lease Cycles'!$CB$25:$CH$25,1,CZ299)*(1+INDEX('Lease Cycles'!$CI$25:$CO$25,1,CZ299))^INT(INT(CZ300/12)/INDEX('Lease Cycles'!$CP$25:$CV$25,1,CZ299))/12,IF(CZ299=1,IF(CZ300&gt;=INDEX('Lease Cycles'!$DK$25:$DQ$25,1,CZ299),IF(CZ$6&gt;='Lease Cycles'!$AZ$25,'Lease Cycles'!$C$25*'Lease Cycles'!$BA$25/12,IF(CZ$6&gt;='Lease Cycles'!$AX$25,'Lease Cycles'!$C$25*'Lease Cycles'!$AY$25/12,IF(CZ$6&gt;='Lease Cycles'!$AV$25,'Lease Cycles'!$C$25*'Lease Cycles'!$AW$25/12,IF(CZ$6&gt;='Lease Cycles'!$AT$25,'Lease Cycles'!$C$25*'Lease Cycles'!$AU$25/12,'Lease Cycles'!$C$25*INDEX('Lease Cycles'!$CB$25:$CH$25,1,CZ299)*(1+INDEX('Lease Cycles'!$CI$25:$CO$25,1,CZ299))^INT(INT(CZ300/12)/INDEX('Lease Cycles'!$CP$25:$CV$25,1,CZ299))/12)))),'Lease Cycles'!$C$25*INDEX('Lease Cycles'!$CB$25:$CH$25,1,CZ299)*(1+INDEX('Lease Cycles'!$CI$25:$CO$25,1,CZ299))^INT(INT(CZ300/12)/INDEX('Lease Cycles'!$CP$25:$CV$25,1,CZ299))/12),IF(INDEX('Lease Cycles'!$EF$25:$EL$25,1,CZ299)=1,IF(AND('Lease Cycles'!$AZ$25&gt;=INDEX('Lease Cycles'!$BG$25:$BM$25,1,CZ299),'Lease Cycles'!$AZ$25&lt;=CZ$6),'Lease Cycles'!$C$25*'Lease Cycles'!$BA$25/12,IF(AND('Lease Cycles'!$AX$25&gt;=INDEX('Lease Cycles'!$BG$25:$BM$25,1,CZ299),'Lease Cycles'!$AX$25&lt;=CZ$6),'Lease Cycles'!$C$25*'Lease Cycles'!$AY$25/12,IF(AND('Lease Cycles'!$AV$25&gt;=INDEX('Lease Cycles'!$BG$25:$BM$25,1,CZ299),'Lease Cycles'!$AV$25&lt;=CZ$6),'Lease Cycles'!$C$25*'Lease Cycles'!$AW$25/12,IF(AND('Lease Cycles'!$AT$25&gt;=INDEX('Lease Cycles'!$BG$25:$BM$25,1,CZ299),'Lease Cycles'!$AT$25&lt;=CZ$6),'Lease Cycles'!$C$25*'Lease Cycles'!$AU$25/12,'Lease Cycles'!$C$25*INDEX('Lease Cycles'!$CB$25:$CH$25,1,CZ299)*(1+INDEX('Lease Cycles'!$CI$25:$CO$25,1,CZ299))^INT(INT(CZ300/12)/INDEX('Lease Cycles'!$CP$25:$CV$25,1,CZ299))/12)))),'Lease Cycles'!$C$25*INDEX('Lease Cycles'!$CB$25:$CH$25,1,CZ299)*(1+INDEX('Lease Cycles'!$CI$25:$CO$25,1,CZ299))^INT(INT(CZ300/12)/INDEX('Lease Cycles'!$CP$25:$CV$25,1,CZ299))/12))),IF('Lease Cycles'!$N$25=1,'Lease Cycles'!$C$25*'Lease Cycles'!$E$25*INDEX('Lease Cycles'!$HE$25:$HK$25,1,CZ299)*(1+INDEX('Lease Cycles'!$GQ$25:$GW$25,1,CZ299))^INT(INT((CZ$6-INDEX('Lease Cycles'!$GJ$25:$GP$25,1,CZ299))/12)/INDEX('Lease Cycles'!$GX$25:$HD$25,1,CZ299))/12,0)))</f>
        <v>0</v>
      </c>
      <c r="DA302" s="28">
        <f>IF(DA299=0,IF('Lease Cycles'!$F$25&gt;0,'Lease Cycles'!$C$25*'Lease Cycles'!$E$25/12,0),IF(DA301=1,IF('Lease Cycles'!$AT$25&gt;=9999,'Lease Cycles'!$C$25*INDEX('Lease Cycles'!$CB$25:$CH$25,1,DA299)*(1+INDEX('Lease Cycles'!$CI$25:$CO$25,1,DA299))^INT(INT(DA300/12)/INDEX('Lease Cycles'!$CP$25:$CV$25,1,DA299))/12,IF(DA299=1,IF(DA300&gt;=INDEX('Lease Cycles'!$DK$25:$DQ$25,1,DA299),IF(DA$6&gt;='Lease Cycles'!$AZ$25,'Lease Cycles'!$C$25*'Lease Cycles'!$BA$25/12,IF(DA$6&gt;='Lease Cycles'!$AX$25,'Lease Cycles'!$C$25*'Lease Cycles'!$AY$25/12,IF(DA$6&gt;='Lease Cycles'!$AV$25,'Lease Cycles'!$C$25*'Lease Cycles'!$AW$25/12,IF(DA$6&gt;='Lease Cycles'!$AT$25,'Lease Cycles'!$C$25*'Lease Cycles'!$AU$25/12,'Lease Cycles'!$C$25*INDEX('Lease Cycles'!$CB$25:$CH$25,1,DA299)*(1+INDEX('Lease Cycles'!$CI$25:$CO$25,1,DA299))^INT(INT(DA300/12)/INDEX('Lease Cycles'!$CP$25:$CV$25,1,DA299))/12)))),'Lease Cycles'!$C$25*INDEX('Lease Cycles'!$CB$25:$CH$25,1,DA299)*(1+INDEX('Lease Cycles'!$CI$25:$CO$25,1,DA299))^INT(INT(DA300/12)/INDEX('Lease Cycles'!$CP$25:$CV$25,1,DA299))/12),IF(INDEX('Lease Cycles'!$EF$25:$EL$25,1,DA299)=1,IF(AND('Lease Cycles'!$AZ$25&gt;=INDEX('Lease Cycles'!$BG$25:$BM$25,1,DA299),'Lease Cycles'!$AZ$25&lt;=DA$6),'Lease Cycles'!$C$25*'Lease Cycles'!$BA$25/12,IF(AND('Lease Cycles'!$AX$25&gt;=INDEX('Lease Cycles'!$BG$25:$BM$25,1,DA299),'Lease Cycles'!$AX$25&lt;=DA$6),'Lease Cycles'!$C$25*'Lease Cycles'!$AY$25/12,IF(AND('Lease Cycles'!$AV$25&gt;=INDEX('Lease Cycles'!$BG$25:$BM$25,1,DA299),'Lease Cycles'!$AV$25&lt;=DA$6),'Lease Cycles'!$C$25*'Lease Cycles'!$AW$25/12,IF(AND('Lease Cycles'!$AT$25&gt;=INDEX('Lease Cycles'!$BG$25:$BM$25,1,DA299),'Lease Cycles'!$AT$25&lt;=DA$6),'Lease Cycles'!$C$25*'Lease Cycles'!$AU$25/12,'Lease Cycles'!$C$25*INDEX('Lease Cycles'!$CB$25:$CH$25,1,DA299)*(1+INDEX('Lease Cycles'!$CI$25:$CO$25,1,DA299))^INT(INT(DA300/12)/INDEX('Lease Cycles'!$CP$25:$CV$25,1,DA299))/12)))),'Lease Cycles'!$C$25*INDEX('Lease Cycles'!$CB$25:$CH$25,1,DA299)*(1+INDEX('Lease Cycles'!$CI$25:$CO$25,1,DA299))^INT(INT(DA300/12)/INDEX('Lease Cycles'!$CP$25:$CV$25,1,DA299))/12))),IF('Lease Cycles'!$N$25=1,'Lease Cycles'!$C$25*'Lease Cycles'!$E$25*INDEX('Lease Cycles'!$HE$25:$HK$25,1,DA299)*(1+INDEX('Lease Cycles'!$GQ$25:$GW$25,1,DA299))^INT(INT((DA$6-INDEX('Lease Cycles'!$GJ$25:$GP$25,1,DA299))/12)/INDEX('Lease Cycles'!$GX$25:$HD$25,1,DA299))/12,0)))</f>
        <v>0</v>
      </c>
      <c r="DB302" s="28">
        <f>IF(DB299=0,IF('Lease Cycles'!$F$25&gt;0,'Lease Cycles'!$C$25*'Lease Cycles'!$E$25/12,0),IF(DB301=1,IF('Lease Cycles'!$AT$25&gt;=9999,'Lease Cycles'!$C$25*INDEX('Lease Cycles'!$CB$25:$CH$25,1,DB299)*(1+INDEX('Lease Cycles'!$CI$25:$CO$25,1,DB299))^INT(INT(DB300/12)/INDEX('Lease Cycles'!$CP$25:$CV$25,1,DB299))/12,IF(DB299=1,IF(DB300&gt;=INDEX('Lease Cycles'!$DK$25:$DQ$25,1,DB299),IF(DB$6&gt;='Lease Cycles'!$AZ$25,'Lease Cycles'!$C$25*'Lease Cycles'!$BA$25/12,IF(DB$6&gt;='Lease Cycles'!$AX$25,'Lease Cycles'!$C$25*'Lease Cycles'!$AY$25/12,IF(DB$6&gt;='Lease Cycles'!$AV$25,'Lease Cycles'!$C$25*'Lease Cycles'!$AW$25/12,IF(DB$6&gt;='Lease Cycles'!$AT$25,'Lease Cycles'!$C$25*'Lease Cycles'!$AU$25/12,'Lease Cycles'!$C$25*INDEX('Lease Cycles'!$CB$25:$CH$25,1,DB299)*(1+INDEX('Lease Cycles'!$CI$25:$CO$25,1,DB299))^INT(INT(DB300/12)/INDEX('Lease Cycles'!$CP$25:$CV$25,1,DB299))/12)))),'Lease Cycles'!$C$25*INDEX('Lease Cycles'!$CB$25:$CH$25,1,DB299)*(1+INDEX('Lease Cycles'!$CI$25:$CO$25,1,DB299))^INT(INT(DB300/12)/INDEX('Lease Cycles'!$CP$25:$CV$25,1,DB299))/12),IF(INDEX('Lease Cycles'!$EF$25:$EL$25,1,DB299)=1,IF(AND('Lease Cycles'!$AZ$25&gt;=INDEX('Lease Cycles'!$BG$25:$BM$25,1,DB299),'Lease Cycles'!$AZ$25&lt;=DB$6),'Lease Cycles'!$C$25*'Lease Cycles'!$BA$25/12,IF(AND('Lease Cycles'!$AX$25&gt;=INDEX('Lease Cycles'!$BG$25:$BM$25,1,DB299),'Lease Cycles'!$AX$25&lt;=DB$6),'Lease Cycles'!$C$25*'Lease Cycles'!$AY$25/12,IF(AND('Lease Cycles'!$AV$25&gt;=INDEX('Lease Cycles'!$BG$25:$BM$25,1,DB299),'Lease Cycles'!$AV$25&lt;=DB$6),'Lease Cycles'!$C$25*'Lease Cycles'!$AW$25/12,IF(AND('Lease Cycles'!$AT$25&gt;=INDEX('Lease Cycles'!$BG$25:$BM$25,1,DB299),'Lease Cycles'!$AT$25&lt;=DB$6),'Lease Cycles'!$C$25*'Lease Cycles'!$AU$25/12,'Lease Cycles'!$C$25*INDEX('Lease Cycles'!$CB$25:$CH$25,1,DB299)*(1+INDEX('Lease Cycles'!$CI$25:$CO$25,1,DB299))^INT(INT(DB300/12)/INDEX('Lease Cycles'!$CP$25:$CV$25,1,DB299))/12)))),'Lease Cycles'!$C$25*INDEX('Lease Cycles'!$CB$25:$CH$25,1,DB299)*(1+INDEX('Lease Cycles'!$CI$25:$CO$25,1,DB299))^INT(INT(DB300/12)/INDEX('Lease Cycles'!$CP$25:$CV$25,1,DB299))/12))),IF('Lease Cycles'!$N$25=1,'Lease Cycles'!$C$25*'Lease Cycles'!$E$25*INDEX('Lease Cycles'!$HE$25:$HK$25,1,DB299)*(1+INDEX('Lease Cycles'!$GQ$25:$GW$25,1,DB299))^INT(INT((DB$6-INDEX('Lease Cycles'!$GJ$25:$GP$25,1,DB299))/12)/INDEX('Lease Cycles'!$GX$25:$HD$25,1,DB299))/12,0)))</f>
        <v>0</v>
      </c>
      <c r="DC302" s="28">
        <f>IF(DC299=0,IF('Lease Cycles'!$F$25&gt;0,'Lease Cycles'!$C$25*'Lease Cycles'!$E$25/12,0),IF(DC301=1,IF('Lease Cycles'!$AT$25&gt;=9999,'Lease Cycles'!$C$25*INDEX('Lease Cycles'!$CB$25:$CH$25,1,DC299)*(1+INDEX('Lease Cycles'!$CI$25:$CO$25,1,DC299))^INT(INT(DC300/12)/INDEX('Lease Cycles'!$CP$25:$CV$25,1,DC299))/12,IF(DC299=1,IF(DC300&gt;=INDEX('Lease Cycles'!$DK$25:$DQ$25,1,DC299),IF(DC$6&gt;='Lease Cycles'!$AZ$25,'Lease Cycles'!$C$25*'Lease Cycles'!$BA$25/12,IF(DC$6&gt;='Lease Cycles'!$AX$25,'Lease Cycles'!$C$25*'Lease Cycles'!$AY$25/12,IF(DC$6&gt;='Lease Cycles'!$AV$25,'Lease Cycles'!$C$25*'Lease Cycles'!$AW$25/12,IF(DC$6&gt;='Lease Cycles'!$AT$25,'Lease Cycles'!$C$25*'Lease Cycles'!$AU$25/12,'Lease Cycles'!$C$25*INDEX('Lease Cycles'!$CB$25:$CH$25,1,DC299)*(1+INDEX('Lease Cycles'!$CI$25:$CO$25,1,DC299))^INT(INT(DC300/12)/INDEX('Lease Cycles'!$CP$25:$CV$25,1,DC299))/12)))),'Lease Cycles'!$C$25*INDEX('Lease Cycles'!$CB$25:$CH$25,1,DC299)*(1+INDEX('Lease Cycles'!$CI$25:$CO$25,1,DC299))^INT(INT(DC300/12)/INDEX('Lease Cycles'!$CP$25:$CV$25,1,DC299))/12),IF(INDEX('Lease Cycles'!$EF$25:$EL$25,1,DC299)=1,IF(AND('Lease Cycles'!$AZ$25&gt;=INDEX('Lease Cycles'!$BG$25:$BM$25,1,DC299),'Lease Cycles'!$AZ$25&lt;=DC$6),'Lease Cycles'!$C$25*'Lease Cycles'!$BA$25/12,IF(AND('Lease Cycles'!$AX$25&gt;=INDEX('Lease Cycles'!$BG$25:$BM$25,1,DC299),'Lease Cycles'!$AX$25&lt;=DC$6),'Lease Cycles'!$C$25*'Lease Cycles'!$AY$25/12,IF(AND('Lease Cycles'!$AV$25&gt;=INDEX('Lease Cycles'!$BG$25:$BM$25,1,DC299),'Lease Cycles'!$AV$25&lt;=DC$6),'Lease Cycles'!$C$25*'Lease Cycles'!$AW$25/12,IF(AND('Lease Cycles'!$AT$25&gt;=INDEX('Lease Cycles'!$BG$25:$BM$25,1,DC299),'Lease Cycles'!$AT$25&lt;=DC$6),'Lease Cycles'!$C$25*'Lease Cycles'!$AU$25/12,'Lease Cycles'!$C$25*INDEX('Lease Cycles'!$CB$25:$CH$25,1,DC299)*(1+INDEX('Lease Cycles'!$CI$25:$CO$25,1,DC299))^INT(INT(DC300/12)/INDEX('Lease Cycles'!$CP$25:$CV$25,1,DC299))/12)))),'Lease Cycles'!$C$25*INDEX('Lease Cycles'!$CB$25:$CH$25,1,DC299)*(1+INDEX('Lease Cycles'!$CI$25:$CO$25,1,DC299))^INT(INT(DC300/12)/INDEX('Lease Cycles'!$CP$25:$CV$25,1,DC299))/12))),IF('Lease Cycles'!$N$25=1,'Lease Cycles'!$C$25*'Lease Cycles'!$E$25*INDEX('Lease Cycles'!$HE$25:$HK$25,1,DC299)*(1+INDEX('Lease Cycles'!$GQ$25:$GW$25,1,DC299))^INT(INT((DC$6-INDEX('Lease Cycles'!$GJ$25:$GP$25,1,DC299))/12)/INDEX('Lease Cycles'!$GX$25:$HD$25,1,DC299))/12,0)))</f>
        <v>0</v>
      </c>
      <c r="DD302" s="28">
        <f>IF(DD299=0,IF('Lease Cycles'!$F$25&gt;0,'Lease Cycles'!$C$25*'Lease Cycles'!$E$25/12,0),IF(DD301=1,IF('Lease Cycles'!$AT$25&gt;=9999,'Lease Cycles'!$C$25*INDEX('Lease Cycles'!$CB$25:$CH$25,1,DD299)*(1+INDEX('Lease Cycles'!$CI$25:$CO$25,1,DD299))^INT(INT(DD300/12)/INDEX('Lease Cycles'!$CP$25:$CV$25,1,DD299))/12,IF(DD299=1,IF(DD300&gt;=INDEX('Lease Cycles'!$DK$25:$DQ$25,1,DD299),IF(DD$6&gt;='Lease Cycles'!$AZ$25,'Lease Cycles'!$C$25*'Lease Cycles'!$BA$25/12,IF(DD$6&gt;='Lease Cycles'!$AX$25,'Lease Cycles'!$C$25*'Lease Cycles'!$AY$25/12,IF(DD$6&gt;='Lease Cycles'!$AV$25,'Lease Cycles'!$C$25*'Lease Cycles'!$AW$25/12,IF(DD$6&gt;='Lease Cycles'!$AT$25,'Lease Cycles'!$C$25*'Lease Cycles'!$AU$25/12,'Lease Cycles'!$C$25*INDEX('Lease Cycles'!$CB$25:$CH$25,1,DD299)*(1+INDEX('Lease Cycles'!$CI$25:$CO$25,1,DD299))^INT(INT(DD300/12)/INDEX('Lease Cycles'!$CP$25:$CV$25,1,DD299))/12)))),'Lease Cycles'!$C$25*INDEX('Lease Cycles'!$CB$25:$CH$25,1,DD299)*(1+INDEX('Lease Cycles'!$CI$25:$CO$25,1,DD299))^INT(INT(DD300/12)/INDEX('Lease Cycles'!$CP$25:$CV$25,1,DD299))/12),IF(INDEX('Lease Cycles'!$EF$25:$EL$25,1,DD299)=1,IF(AND('Lease Cycles'!$AZ$25&gt;=INDEX('Lease Cycles'!$BG$25:$BM$25,1,DD299),'Lease Cycles'!$AZ$25&lt;=DD$6),'Lease Cycles'!$C$25*'Lease Cycles'!$BA$25/12,IF(AND('Lease Cycles'!$AX$25&gt;=INDEX('Lease Cycles'!$BG$25:$BM$25,1,DD299),'Lease Cycles'!$AX$25&lt;=DD$6),'Lease Cycles'!$C$25*'Lease Cycles'!$AY$25/12,IF(AND('Lease Cycles'!$AV$25&gt;=INDEX('Lease Cycles'!$BG$25:$BM$25,1,DD299),'Lease Cycles'!$AV$25&lt;=DD$6),'Lease Cycles'!$C$25*'Lease Cycles'!$AW$25/12,IF(AND('Lease Cycles'!$AT$25&gt;=INDEX('Lease Cycles'!$BG$25:$BM$25,1,DD299),'Lease Cycles'!$AT$25&lt;=DD$6),'Lease Cycles'!$C$25*'Lease Cycles'!$AU$25/12,'Lease Cycles'!$C$25*INDEX('Lease Cycles'!$CB$25:$CH$25,1,DD299)*(1+INDEX('Lease Cycles'!$CI$25:$CO$25,1,DD299))^INT(INT(DD300/12)/INDEX('Lease Cycles'!$CP$25:$CV$25,1,DD299))/12)))),'Lease Cycles'!$C$25*INDEX('Lease Cycles'!$CB$25:$CH$25,1,DD299)*(1+INDEX('Lease Cycles'!$CI$25:$CO$25,1,DD299))^INT(INT(DD300/12)/INDEX('Lease Cycles'!$CP$25:$CV$25,1,DD299))/12))),IF('Lease Cycles'!$N$25=1,'Lease Cycles'!$C$25*'Lease Cycles'!$E$25*INDEX('Lease Cycles'!$HE$25:$HK$25,1,DD299)*(1+INDEX('Lease Cycles'!$GQ$25:$GW$25,1,DD299))^INT(INT((DD$6-INDEX('Lease Cycles'!$GJ$25:$GP$25,1,DD299))/12)/INDEX('Lease Cycles'!$GX$25:$HD$25,1,DD299))/12,0)))</f>
        <v>0</v>
      </c>
      <c r="DE302" s="28">
        <f>IF(DE299=0,IF('Lease Cycles'!$F$25&gt;0,'Lease Cycles'!$C$25*'Lease Cycles'!$E$25/12,0),IF(DE301=1,IF('Lease Cycles'!$AT$25&gt;=9999,'Lease Cycles'!$C$25*INDEX('Lease Cycles'!$CB$25:$CH$25,1,DE299)*(1+INDEX('Lease Cycles'!$CI$25:$CO$25,1,DE299))^INT(INT(DE300/12)/INDEX('Lease Cycles'!$CP$25:$CV$25,1,DE299))/12,IF(DE299=1,IF(DE300&gt;=INDEX('Lease Cycles'!$DK$25:$DQ$25,1,DE299),IF(DE$6&gt;='Lease Cycles'!$AZ$25,'Lease Cycles'!$C$25*'Lease Cycles'!$BA$25/12,IF(DE$6&gt;='Lease Cycles'!$AX$25,'Lease Cycles'!$C$25*'Lease Cycles'!$AY$25/12,IF(DE$6&gt;='Lease Cycles'!$AV$25,'Lease Cycles'!$C$25*'Lease Cycles'!$AW$25/12,IF(DE$6&gt;='Lease Cycles'!$AT$25,'Lease Cycles'!$C$25*'Lease Cycles'!$AU$25/12,'Lease Cycles'!$C$25*INDEX('Lease Cycles'!$CB$25:$CH$25,1,DE299)*(1+INDEX('Lease Cycles'!$CI$25:$CO$25,1,DE299))^INT(INT(DE300/12)/INDEX('Lease Cycles'!$CP$25:$CV$25,1,DE299))/12)))),'Lease Cycles'!$C$25*INDEX('Lease Cycles'!$CB$25:$CH$25,1,DE299)*(1+INDEX('Lease Cycles'!$CI$25:$CO$25,1,DE299))^INT(INT(DE300/12)/INDEX('Lease Cycles'!$CP$25:$CV$25,1,DE299))/12),IF(INDEX('Lease Cycles'!$EF$25:$EL$25,1,DE299)=1,IF(AND('Lease Cycles'!$AZ$25&gt;=INDEX('Lease Cycles'!$BG$25:$BM$25,1,DE299),'Lease Cycles'!$AZ$25&lt;=DE$6),'Lease Cycles'!$C$25*'Lease Cycles'!$BA$25/12,IF(AND('Lease Cycles'!$AX$25&gt;=INDEX('Lease Cycles'!$BG$25:$BM$25,1,DE299),'Lease Cycles'!$AX$25&lt;=DE$6),'Lease Cycles'!$C$25*'Lease Cycles'!$AY$25/12,IF(AND('Lease Cycles'!$AV$25&gt;=INDEX('Lease Cycles'!$BG$25:$BM$25,1,DE299),'Lease Cycles'!$AV$25&lt;=DE$6),'Lease Cycles'!$C$25*'Lease Cycles'!$AW$25/12,IF(AND('Lease Cycles'!$AT$25&gt;=INDEX('Lease Cycles'!$BG$25:$BM$25,1,DE299),'Lease Cycles'!$AT$25&lt;=DE$6),'Lease Cycles'!$C$25*'Lease Cycles'!$AU$25/12,'Lease Cycles'!$C$25*INDEX('Lease Cycles'!$CB$25:$CH$25,1,DE299)*(1+INDEX('Lease Cycles'!$CI$25:$CO$25,1,DE299))^INT(INT(DE300/12)/INDEX('Lease Cycles'!$CP$25:$CV$25,1,DE299))/12)))),'Lease Cycles'!$C$25*INDEX('Lease Cycles'!$CB$25:$CH$25,1,DE299)*(1+INDEX('Lease Cycles'!$CI$25:$CO$25,1,DE299))^INT(INT(DE300/12)/INDEX('Lease Cycles'!$CP$25:$CV$25,1,DE299))/12))),IF('Lease Cycles'!$N$25=1,'Lease Cycles'!$C$25*'Lease Cycles'!$E$25*INDEX('Lease Cycles'!$HE$25:$HK$25,1,DE299)*(1+INDEX('Lease Cycles'!$GQ$25:$GW$25,1,DE299))^INT(INT((DE$6-INDEX('Lease Cycles'!$GJ$25:$GP$25,1,DE299))/12)/INDEX('Lease Cycles'!$GX$25:$HD$25,1,DE299))/12,0)))</f>
        <v>0</v>
      </c>
      <c r="DF302" s="28">
        <f>IF(DF299=0,IF('Lease Cycles'!$F$25&gt;0,'Lease Cycles'!$C$25*'Lease Cycles'!$E$25/12,0),IF(DF301=1,IF('Lease Cycles'!$AT$25&gt;=9999,'Lease Cycles'!$C$25*INDEX('Lease Cycles'!$CB$25:$CH$25,1,DF299)*(1+INDEX('Lease Cycles'!$CI$25:$CO$25,1,DF299))^INT(INT(DF300/12)/INDEX('Lease Cycles'!$CP$25:$CV$25,1,DF299))/12,IF(DF299=1,IF(DF300&gt;=INDEX('Lease Cycles'!$DK$25:$DQ$25,1,DF299),IF(DF$6&gt;='Lease Cycles'!$AZ$25,'Lease Cycles'!$C$25*'Lease Cycles'!$BA$25/12,IF(DF$6&gt;='Lease Cycles'!$AX$25,'Lease Cycles'!$C$25*'Lease Cycles'!$AY$25/12,IF(DF$6&gt;='Lease Cycles'!$AV$25,'Lease Cycles'!$C$25*'Lease Cycles'!$AW$25/12,IF(DF$6&gt;='Lease Cycles'!$AT$25,'Lease Cycles'!$C$25*'Lease Cycles'!$AU$25/12,'Lease Cycles'!$C$25*INDEX('Lease Cycles'!$CB$25:$CH$25,1,DF299)*(1+INDEX('Lease Cycles'!$CI$25:$CO$25,1,DF299))^INT(INT(DF300/12)/INDEX('Lease Cycles'!$CP$25:$CV$25,1,DF299))/12)))),'Lease Cycles'!$C$25*INDEX('Lease Cycles'!$CB$25:$CH$25,1,DF299)*(1+INDEX('Lease Cycles'!$CI$25:$CO$25,1,DF299))^INT(INT(DF300/12)/INDEX('Lease Cycles'!$CP$25:$CV$25,1,DF299))/12),IF(INDEX('Lease Cycles'!$EF$25:$EL$25,1,DF299)=1,IF(AND('Lease Cycles'!$AZ$25&gt;=INDEX('Lease Cycles'!$BG$25:$BM$25,1,DF299),'Lease Cycles'!$AZ$25&lt;=DF$6),'Lease Cycles'!$C$25*'Lease Cycles'!$BA$25/12,IF(AND('Lease Cycles'!$AX$25&gt;=INDEX('Lease Cycles'!$BG$25:$BM$25,1,DF299),'Lease Cycles'!$AX$25&lt;=DF$6),'Lease Cycles'!$C$25*'Lease Cycles'!$AY$25/12,IF(AND('Lease Cycles'!$AV$25&gt;=INDEX('Lease Cycles'!$BG$25:$BM$25,1,DF299),'Lease Cycles'!$AV$25&lt;=DF$6),'Lease Cycles'!$C$25*'Lease Cycles'!$AW$25/12,IF(AND('Lease Cycles'!$AT$25&gt;=INDEX('Lease Cycles'!$BG$25:$BM$25,1,DF299),'Lease Cycles'!$AT$25&lt;=DF$6),'Lease Cycles'!$C$25*'Lease Cycles'!$AU$25/12,'Lease Cycles'!$C$25*INDEX('Lease Cycles'!$CB$25:$CH$25,1,DF299)*(1+INDEX('Lease Cycles'!$CI$25:$CO$25,1,DF299))^INT(INT(DF300/12)/INDEX('Lease Cycles'!$CP$25:$CV$25,1,DF299))/12)))),'Lease Cycles'!$C$25*INDEX('Lease Cycles'!$CB$25:$CH$25,1,DF299)*(1+INDEX('Lease Cycles'!$CI$25:$CO$25,1,DF299))^INT(INT(DF300/12)/INDEX('Lease Cycles'!$CP$25:$CV$25,1,DF299))/12))),IF('Lease Cycles'!$N$25=1,'Lease Cycles'!$C$25*'Lease Cycles'!$E$25*INDEX('Lease Cycles'!$HE$25:$HK$25,1,DF299)*(1+INDEX('Lease Cycles'!$GQ$25:$GW$25,1,DF299))^INT(INT((DF$6-INDEX('Lease Cycles'!$GJ$25:$GP$25,1,DF299))/12)/INDEX('Lease Cycles'!$GX$25:$HD$25,1,DF299))/12,0)))</f>
        <v>0</v>
      </c>
      <c r="DG302" s="28">
        <f>IF(DG299=0,IF('Lease Cycles'!$F$25&gt;0,'Lease Cycles'!$C$25*'Lease Cycles'!$E$25/12,0),IF(DG301=1,IF('Lease Cycles'!$AT$25&gt;=9999,'Lease Cycles'!$C$25*INDEX('Lease Cycles'!$CB$25:$CH$25,1,DG299)*(1+INDEX('Lease Cycles'!$CI$25:$CO$25,1,DG299))^INT(INT(DG300/12)/INDEX('Lease Cycles'!$CP$25:$CV$25,1,DG299))/12,IF(DG299=1,IF(DG300&gt;=INDEX('Lease Cycles'!$DK$25:$DQ$25,1,DG299),IF(DG$6&gt;='Lease Cycles'!$AZ$25,'Lease Cycles'!$C$25*'Lease Cycles'!$BA$25/12,IF(DG$6&gt;='Lease Cycles'!$AX$25,'Lease Cycles'!$C$25*'Lease Cycles'!$AY$25/12,IF(DG$6&gt;='Lease Cycles'!$AV$25,'Lease Cycles'!$C$25*'Lease Cycles'!$AW$25/12,IF(DG$6&gt;='Lease Cycles'!$AT$25,'Lease Cycles'!$C$25*'Lease Cycles'!$AU$25/12,'Lease Cycles'!$C$25*INDEX('Lease Cycles'!$CB$25:$CH$25,1,DG299)*(1+INDEX('Lease Cycles'!$CI$25:$CO$25,1,DG299))^INT(INT(DG300/12)/INDEX('Lease Cycles'!$CP$25:$CV$25,1,DG299))/12)))),'Lease Cycles'!$C$25*INDEX('Lease Cycles'!$CB$25:$CH$25,1,DG299)*(1+INDEX('Lease Cycles'!$CI$25:$CO$25,1,DG299))^INT(INT(DG300/12)/INDEX('Lease Cycles'!$CP$25:$CV$25,1,DG299))/12),IF(INDEX('Lease Cycles'!$EF$25:$EL$25,1,DG299)=1,IF(AND('Lease Cycles'!$AZ$25&gt;=INDEX('Lease Cycles'!$BG$25:$BM$25,1,DG299),'Lease Cycles'!$AZ$25&lt;=DG$6),'Lease Cycles'!$C$25*'Lease Cycles'!$BA$25/12,IF(AND('Lease Cycles'!$AX$25&gt;=INDEX('Lease Cycles'!$BG$25:$BM$25,1,DG299),'Lease Cycles'!$AX$25&lt;=DG$6),'Lease Cycles'!$C$25*'Lease Cycles'!$AY$25/12,IF(AND('Lease Cycles'!$AV$25&gt;=INDEX('Lease Cycles'!$BG$25:$BM$25,1,DG299),'Lease Cycles'!$AV$25&lt;=DG$6),'Lease Cycles'!$C$25*'Lease Cycles'!$AW$25/12,IF(AND('Lease Cycles'!$AT$25&gt;=INDEX('Lease Cycles'!$BG$25:$BM$25,1,DG299),'Lease Cycles'!$AT$25&lt;=DG$6),'Lease Cycles'!$C$25*'Lease Cycles'!$AU$25/12,'Lease Cycles'!$C$25*INDEX('Lease Cycles'!$CB$25:$CH$25,1,DG299)*(1+INDEX('Lease Cycles'!$CI$25:$CO$25,1,DG299))^INT(INT(DG300/12)/INDEX('Lease Cycles'!$CP$25:$CV$25,1,DG299))/12)))),'Lease Cycles'!$C$25*INDEX('Lease Cycles'!$CB$25:$CH$25,1,DG299)*(1+INDEX('Lease Cycles'!$CI$25:$CO$25,1,DG299))^INT(INT(DG300/12)/INDEX('Lease Cycles'!$CP$25:$CV$25,1,DG299))/12))),IF('Lease Cycles'!$N$25=1,'Lease Cycles'!$C$25*'Lease Cycles'!$E$25*INDEX('Lease Cycles'!$HE$25:$HK$25,1,DG299)*(1+INDEX('Lease Cycles'!$GQ$25:$GW$25,1,DG299))^INT(INT((DG$6-INDEX('Lease Cycles'!$GJ$25:$GP$25,1,DG299))/12)/INDEX('Lease Cycles'!$GX$25:$HD$25,1,DG299))/12,0)))</f>
        <v>0</v>
      </c>
      <c r="DH302" s="28">
        <f>IF(DH299=0,IF('Lease Cycles'!$F$25&gt;0,'Lease Cycles'!$C$25*'Lease Cycles'!$E$25/12,0),IF(DH301=1,IF('Lease Cycles'!$AT$25&gt;=9999,'Lease Cycles'!$C$25*INDEX('Lease Cycles'!$CB$25:$CH$25,1,DH299)*(1+INDEX('Lease Cycles'!$CI$25:$CO$25,1,DH299))^INT(INT(DH300/12)/INDEX('Lease Cycles'!$CP$25:$CV$25,1,DH299))/12,IF(DH299=1,IF(DH300&gt;=INDEX('Lease Cycles'!$DK$25:$DQ$25,1,DH299),IF(DH$6&gt;='Lease Cycles'!$AZ$25,'Lease Cycles'!$C$25*'Lease Cycles'!$BA$25/12,IF(DH$6&gt;='Lease Cycles'!$AX$25,'Lease Cycles'!$C$25*'Lease Cycles'!$AY$25/12,IF(DH$6&gt;='Lease Cycles'!$AV$25,'Lease Cycles'!$C$25*'Lease Cycles'!$AW$25/12,IF(DH$6&gt;='Lease Cycles'!$AT$25,'Lease Cycles'!$C$25*'Lease Cycles'!$AU$25/12,'Lease Cycles'!$C$25*INDEX('Lease Cycles'!$CB$25:$CH$25,1,DH299)*(1+INDEX('Lease Cycles'!$CI$25:$CO$25,1,DH299))^INT(INT(DH300/12)/INDEX('Lease Cycles'!$CP$25:$CV$25,1,DH299))/12)))),'Lease Cycles'!$C$25*INDEX('Lease Cycles'!$CB$25:$CH$25,1,DH299)*(1+INDEX('Lease Cycles'!$CI$25:$CO$25,1,DH299))^INT(INT(DH300/12)/INDEX('Lease Cycles'!$CP$25:$CV$25,1,DH299))/12),IF(INDEX('Lease Cycles'!$EF$25:$EL$25,1,DH299)=1,IF(AND('Lease Cycles'!$AZ$25&gt;=INDEX('Lease Cycles'!$BG$25:$BM$25,1,DH299),'Lease Cycles'!$AZ$25&lt;=DH$6),'Lease Cycles'!$C$25*'Lease Cycles'!$BA$25/12,IF(AND('Lease Cycles'!$AX$25&gt;=INDEX('Lease Cycles'!$BG$25:$BM$25,1,DH299),'Lease Cycles'!$AX$25&lt;=DH$6),'Lease Cycles'!$C$25*'Lease Cycles'!$AY$25/12,IF(AND('Lease Cycles'!$AV$25&gt;=INDEX('Lease Cycles'!$BG$25:$BM$25,1,DH299),'Lease Cycles'!$AV$25&lt;=DH$6),'Lease Cycles'!$C$25*'Lease Cycles'!$AW$25/12,IF(AND('Lease Cycles'!$AT$25&gt;=INDEX('Lease Cycles'!$BG$25:$BM$25,1,DH299),'Lease Cycles'!$AT$25&lt;=DH$6),'Lease Cycles'!$C$25*'Lease Cycles'!$AU$25/12,'Lease Cycles'!$C$25*INDEX('Lease Cycles'!$CB$25:$CH$25,1,DH299)*(1+INDEX('Lease Cycles'!$CI$25:$CO$25,1,DH299))^INT(INT(DH300/12)/INDEX('Lease Cycles'!$CP$25:$CV$25,1,DH299))/12)))),'Lease Cycles'!$C$25*INDEX('Lease Cycles'!$CB$25:$CH$25,1,DH299)*(1+INDEX('Lease Cycles'!$CI$25:$CO$25,1,DH299))^INT(INT(DH300/12)/INDEX('Lease Cycles'!$CP$25:$CV$25,1,DH299))/12))),IF('Lease Cycles'!$N$25=1,'Lease Cycles'!$C$25*'Lease Cycles'!$E$25*INDEX('Lease Cycles'!$HE$25:$HK$25,1,DH299)*(1+INDEX('Lease Cycles'!$GQ$25:$GW$25,1,DH299))^INT(INT((DH$6-INDEX('Lease Cycles'!$GJ$25:$GP$25,1,DH299))/12)/INDEX('Lease Cycles'!$GX$25:$HD$25,1,DH299))/12,0)))</f>
        <v>0</v>
      </c>
      <c r="DI302" s="28">
        <f>IF(DI299=0,IF('Lease Cycles'!$F$25&gt;0,'Lease Cycles'!$C$25*'Lease Cycles'!$E$25/12,0),IF(DI301=1,IF('Lease Cycles'!$AT$25&gt;=9999,'Lease Cycles'!$C$25*INDEX('Lease Cycles'!$CB$25:$CH$25,1,DI299)*(1+INDEX('Lease Cycles'!$CI$25:$CO$25,1,DI299))^INT(INT(DI300/12)/INDEX('Lease Cycles'!$CP$25:$CV$25,1,DI299))/12,IF(DI299=1,IF(DI300&gt;=INDEX('Lease Cycles'!$DK$25:$DQ$25,1,DI299),IF(DI$6&gt;='Lease Cycles'!$AZ$25,'Lease Cycles'!$C$25*'Lease Cycles'!$BA$25/12,IF(DI$6&gt;='Lease Cycles'!$AX$25,'Lease Cycles'!$C$25*'Lease Cycles'!$AY$25/12,IF(DI$6&gt;='Lease Cycles'!$AV$25,'Lease Cycles'!$C$25*'Lease Cycles'!$AW$25/12,IF(DI$6&gt;='Lease Cycles'!$AT$25,'Lease Cycles'!$C$25*'Lease Cycles'!$AU$25/12,'Lease Cycles'!$C$25*INDEX('Lease Cycles'!$CB$25:$CH$25,1,DI299)*(1+INDEX('Lease Cycles'!$CI$25:$CO$25,1,DI299))^INT(INT(DI300/12)/INDEX('Lease Cycles'!$CP$25:$CV$25,1,DI299))/12)))),'Lease Cycles'!$C$25*INDEX('Lease Cycles'!$CB$25:$CH$25,1,DI299)*(1+INDEX('Lease Cycles'!$CI$25:$CO$25,1,DI299))^INT(INT(DI300/12)/INDEX('Lease Cycles'!$CP$25:$CV$25,1,DI299))/12),IF(INDEX('Lease Cycles'!$EF$25:$EL$25,1,DI299)=1,IF(AND('Lease Cycles'!$AZ$25&gt;=INDEX('Lease Cycles'!$BG$25:$BM$25,1,DI299),'Lease Cycles'!$AZ$25&lt;=DI$6),'Lease Cycles'!$C$25*'Lease Cycles'!$BA$25/12,IF(AND('Lease Cycles'!$AX$25&gt;=INDEX('Lease Cycles'!$BG$25:$BM$25,1,DI299),'Lease Cycles'!$AX$25&lt;=DI$6),'Lease Cycles'!$C$25*'Lease Cycles'!$AY$25/12,IF(AND('Lease Cycles'!$AV$25&gt;=INDEX('Lease Cycles'!$BG$25:$BM$25,1,DI299),'Lease Cycles'!$AV$25&lt;=DI$6),'Lease Cycles'!$C$25*'Lease Cycles'!$AW$25/12,IF(AND('Lease Cycles'!$AT$25&gt;=INDEX('Lease Cycles'!$BG$25:$BM$25,1,DI299),'Lease Cycles'!$AT$25&lt;=DI$6),'Lease Cycles'!$C$25*'Lease Cycles'!$AU$25/12,'Lease Cycles'!$C$25*INDEX('Lease Cycles'!$CB$25:$CH$25,1,DI299)*(1+INDEX('Lease Cycles'!$CI$25:$CO$25,1,DI299))^INT(INT(DI300/12)/INDEX('Lease Cycles'!$CP$25:$CV$25,1,DI299))/12)))),'Lease Cycles'!$C$25*INDEX('Lease Cycles'!$CB$25:$CH$25,1,DI299)*(1+INDEX('Lease Cycles'!$CI$25:$CO$25,1,DI299))^INT(INT(DI300/12)/INDEX('Lease Cycles'!$CP$25:$CV$25,1,DI299))/12))),IF('Lease Cycles'!$N$25=1,'Lease Cycles'!$C$25*'Lease Cycles'!$E$25*INDEX('Lease Cycles'!$HE$25:$HK$25,1,DI299)*(1+INDEX('Lease Cycles'!$GQ$25:$GW$25,1,DI299))^INT(INT((DI$6-INDEX('Lease Cycles'!$GJ$25:$GP$25,1,DI299))/12)/INDEX('Lease Cycles'!$GX$25:$HD$25,1,DI299))/12,0)))</f>
        <v>0</v>
      </c>
      <c r="DJ302" s="28">
        <f>IF(DJ299=0,IF('Lease Cycles'!$F$25&gt;0,'Lease Cycles'!$C$25*'Lease Cycles'!$E$25/12,0),IF(DJ301=1,IF('Lease Cycles'!$AT$25&gt;=9999,'Lease Cycles'!$C$25*INDEX('Lease Cycles'!$CB$25:$CH$25,1,DJ299)*(1+INDEX('Lease Cycles'!$CI$25:$CO$25,1,DJ299))^INT(INT(DJ300/12)/INDEX('Lease Cycles'!$CP$25:$CV$25,1,DJ299))/12,IF(DJ299=1,IF(DJ300&gt;=INDEX('Lease Cycles'!$DK$25:$DQ$25,1,DJ299),IF(DJ$6&gt;='Lease Cycles'!$AZ$25,'Lease Cycles'!$C$25*'Lease Cycles'!$BA$25/12,IF(DJ$6&gt;='Lease Cycles'!$AX$25,'Lease Cycles'!$C$25*'Lease Cycles'!$AY$25/12,IF(DJ$6&gt;='Lease Cycles'!$AV$25,'Lease Cycles'!$C$25*'Lease Cycles'!$AW$25/12,IF(DJ$6&gt;='Lease Cycles'!$AT$25,'Lease Cycles'!$C$25*'Lease Cycles'!$AU$25/12,'Lease Cycles'!$C$25*INDEX('Lease Cycles'!$CB$25:$CH$25,1,DJ299)*(1+INDEX('Lease Cycles'!$CI$25:$CO$25,1,DJ299))^INT(INT(DJ300/12)/INDEX('Lease Cycles'!$CP$25:$CV$25,1,DJ299))/12)))),'Lease Cycles'!$C$25*INDEX('Lease Cycles'!$CB$25:$CH$25,1,DJ299)*(1+INDEX('Lease Cycles'!$CI$25:$CO$25,1,DJ299))^INT(INT(DJ300/12)/INDEX('Lease Cycles'!$CP$25:$CV$25,1,DJ299))/12),IF(INDEX('Lease Cycles'!$EF$25:$EL$25,1,DJ299)=1,IF(AND('Lease Cycles'!$AZ$25&gt;=INDEX('Lease Cycles'!$BG$25:$BM$25,1,DJ299),'Lease Cycles'!$AZ$25&lt;=DJ$6),'Lease Cycles'!$C$25*'Lease Cycles'!$BA$25/12,IF(AND('Lease Cycles'!$AX$25&gt;=INDEX('Lease Cycles'!$BG$25:$BM$25,1,DJ299),'Lease Cycles'!$AX$25&lt;=DJ$6),'Lease Cycles'!$C$25*'Lease Cycles'!$AY$25/12,IF(AND('Lease Cycles'!$AV$25&gt;=INDEX('Lease Cycles'!$BG$25:$BM$25,1,DJ299),'Lease Cycles'!$AV$25&lt;=DJ$6),'Lease Cycles'!$C$25*'Lease Cycles'!$AW$25/12,IF(AND('Lease Cycles'!$AT$25&gt;=INDEX('Lease Cycles'!$BG$25:$BM$25,1,DJ299),'Lease Cycles'!$AT$25&lt;=DJ$6),'Lease Cycles'!$C$25*'Lease Cycles'!$AU$25/12,'Lease Cycles'!$C$25*INDEX('Lease Cycles'!$CB$25:$CH$25,1,DJ299)*(1+INDEX('Lease Cycles'!$CI$25:$CO$25,1,DJ299))^INT(INT(DJ300/12)/INDEX('Lease Cycles'!$CP$25:$CV$25,1,DJ299))/12)))),'Lease Cycles'!$C$25*INDEX('Lease Cycles'!$CB$25:$CH$25,1,DJ299)*(1+INDEX('Lease Cycles'!$CI$25:$CO$25,1,DJ299))^INT(INT(DJ300/12)/INDEX('Lease Cycles'!$CP$25:$CV$25,1,DJ299))/12))),IF('Lease Cycles'!$N$25=1,'Lease Cycles'!$C$25*'Lease Cycles'!$E$25*INDEX('Lease Cycles'!$HE$25:$HK$25,1,DJ299)*(1+INDEX('Lease Cycles'!$GQ$25:$GW$25,1,DJ299))^INT(INT((DJ$6-INDEX('Lease Cycles'!$GJ$25:$GP$25,1,DJ299))/12)/INDEX('Lease Cycles'!$GX$25:$HD$25,1,DJ299))/12,0)))</f>
        <v>0</v>
      </c>
      <c r="DK302" s="28">
        <f>IF(DK299=0,IF('Lease Cycles'!$F$25&gt;0,'Lease Cycles'!$C$25*'Lease Cycles'!$E$25/12,0),IF(DK301=1,IF('Lease Cycles'!$AT$25&gt;=9999,'Lease Cycles'!$C$25*INDEX('Lease Cycles'!$CB$25:$CH$25,1,DK299)*(1+INDEX('Lease Cycles'!$CI$25:$CO$25,1,DK299))^INT(INT(DK300/12)/INDEX('Lease Cycles'!$CP$25:$CV$25,1,DK299))/12,IF(DK299=1,IF(DK300&gt;=INDEX('Lease Cycles'!$DK$25:$DQ$25,1,DK299),IF(DK$6&gt;='Lease Cycles'!$AZ$25,'Lease Cycles'!$C$25*'Lease Cycles'!$BA$25/12,IF(DK$6&gt;='Lease Cycles'!$AX$25,'Lease Cycles'!$C$25*'Lease Cycles'!$AY$25/12,IF(DK$6&gt;='Lease Cycles'!$AV$25,'Lease Cycles'!$C$25*'Lease Cycles'!$AW$25/12,IF(DK$6&gt;='Lease Cycles'!$AT$25,'Lease Cycles'!$C$25*'Lease Cycles'!$AU$25/12,'Lease Cycles'!$C$25*INDEX('Lease Cycles'!$CB$25:$CH$25,1,DK299)*(1+INDEX('Lease Cycles'!$CI$25:$CO$25,1,DK299))^INT(INT(DK300/12)/INDEX('Lease Cycles'!$CP$25:$CV$25,1,DK299))/12)))),'Lease Cycles'!$C$25*INDEX('Lease Cycles'!$CB$25:$CH$25,1,DK299)*(1+INDEX('Lease Cycles'!$CI$25:$CO$25,1,DK299))^INT(INT(DK300/12)/INDEX('Lease Cycles'!$CP$25:$CV$25,1,DK299))/12),IF(INDEX('Lease Cycles'!$EF$25:$EL$25,1,DK299)=1,IF(AND('Lease Cycles'!$AZ$25&gt;=INDEX('Lease Cycles'!$BG$25:$BM$25,1,DK299),'Lease Cycles'!$AZ$25&lt;=DK$6),'Lease Cycles'!$C$25*'Lease Cycles'!$BA$25/12,IF(AND('Lease Cycles'!$AX$25&gt;=INDEX('Lease Cycles'!$BG$25:$BM$25,1,DK299),'Lease Cycles'!$AX$25&lt;=DK$6),'Lease Cycles'!$C$25*'Lease Cycles'!$AY$25/12,IF(AND('Lease Cycles'!$AV$25&gt;=INDEX('Lease Cycles'!$BG$25:$BM$25,1,DK299),'Lease Cycles'!$AV$25&lt;=DK$6),'Lease Cycles'!$C$25*'Lease Cycles'!$AW$25/12,IF(AND('Lease Cycles'!$AT$25&gt;=INDEX('Lease Cycles'!$BG$25:$BM$25,1,DK299),'Lease Cycles'!$AT$25&lt;=DK$6),'Lease Cycles'!$C$25*'Lease Cycles'!$AU$25/12,'Lease Cycles'!$C$25*INDEX('Lease Cycles'!$CB$25:$CH$25,1,DK299)*(1+INDEX('Lease Cycles'!$CI$25:$CO$25,1,DK299))^INT(INT(DK300/12)/INDEX('Lease Cycles'!$CP$25:$CV$25,1,DK299))/12)))),'Lease Cycles'!$C$25*INDEX('Lease Cycles'!$CB$25:$CH$25,1,DK299)*(1+INDEX('Lease Cycles'!$CI$25:$CO$25,1,DK299))^INT(INT(DK300/12)/INDEX('Lease Cycles'!$CP$25:$CV$25,1,DK299))/12))),IF('Lease Cycles'!$N$25=1,'Lease Cycles'!$C$25*'Lease Cycles'!$E$25*INDEX('Lease Cycles'!$HE$25:$HK$25,1,DK299)*(1+INDEX('Lease Cycles'!$GQ$25:$GW$25,1,DK299))^INT(INT((DK$6-INDEX('Lease Cycles'!$GJ$25:$GP$25,1,DK299))/12)/INDEX('Lease Cycles'!$GX$25:$HD$25,1,DK299))/12,0)))</f>
        <v>0</v>
      </c>
      <c r="DL302" s="28">
        <f>IF(DL299=0,IF('Lease Cycles'!$F$25&gt;0,'Lease Cycles'!$C$25*'Lease Cycles'!$E$25/12,0),IF(DL301=1,IF('Lease Cycles'!$AT$25&gt;=9999,'Lease Cycles'!$C$25*INDEX('Lease Cycles'!$CB$25:$CH$25,1,DL299)*(1+INDEX('Lease Cycles'!$CI$25:$CO$25,1,DL299))^INT(INT(DL300/12)/INDEX('Lease Cycles'!$CP$25:$CV$25,1,DL299))/12,IF(DL299=1,IF(DL300&gt;=INDEX('Lease Cycles'!$DK$25:$DQ$25,1,DL299),IF(DL$6&gt;='Lease Cycles'!$AZ$25,'Lease Cycles'!$C$25*'Lease Cycles'!$BA$25/12,IF(DL$6&gt;='Lease Cycles'!$AX$25,'Lease Cycles'!$C$25*'Lease Cycles'!$AY$25/12,IF(DL$6&gt;='Lease Cycles'!$AV$25,'Lease Cycles'!$C$25*'Lease Cycles'!$AW$25/12,IF(DL$6&gt;='Lease Cycles'!$AT$25,'Lease Cycles'!$C$25*'Lease Cycles'!$AU$25/12,'Lease Cycles'!$C$25*INDEX('Lease Cycles'!$CB$25:$CH$25,1,DL299)*(1+INDEX('Lease Cycles'!$CI$25:$CO$25,1,DL299))^INT(INT(DL300/12)/INDEX('Lease Cycles'!$CP$25:$CV$25,1,DL299))/12)))),'Lease Cycles'!$C$25*INDEX('Lease Cycles'!$CB$25:$CH$25,1,DL299)*(1+INDEX('Lease Cycles'!$CI$25:$CO$25,1,DL299))^INT(INT(DL300/12)/INDEX('Lease Cycles'!$CP$25:$CV$25,1,DL299))/12),IF(INDEX('Lease Cycles'!$EF$25:$EL$25,1,DL299)=1,IF(AND('Lease Cycles'!$AZ$25&gt;=INDEX('Lease Cycles'!$BG$25:$BM$25,1,DL299),'Lease Cycles'!$AZ$25&lt;=DL$6),'Lease Cycles'!$C$25*'Lease Cycles'!$BA$25/12,IF(AND('Lease Cycles'!$AX$25&gt;=INDEX('Lease Cycles'!$BG$25:$BM$25,1,DL299),'Lease Cycles'!$AX$25&lt;=DL$6),'Lease Cycles'!$C$25*'Lease Cycles'!$AY$25/12,IF(AND('Lease Cycles'!$AV$25&gt;=INDEX('Lease Cycles'!$BG$25:$BM$25,1,DL299),'Lease Cycles'!$AV$25&lt;=DL$6),'Lease Cycles'!$C$25*'Lease Cycles'!$AW$25/12,IF(AND('Lease Cycles'!$AT$25&gt;=INDEX('Lease Cycles'!$BG$25:$BM$25,1,DL299),'Lease Cycles'!$AT$25&lt;=DL$6),'Lease Cycles'!$C$25*'Lease Cycles'!$AU$25/12,'Lease Cycles'!$C$25*INDEX('Lease Cycles'!$CB$25:$CH$25,1,DL299)*(1+INDEX('Lease Cycles'!$CI$25:$CO$25,1,DL299))^INT(INT(DL300/12)/INDEX('Lease Cycles'!$CP$25:$CV$25,1,DL299))/12)))),'Lease Cycles'!$C$25*INDEX('Lease Cycles'!$CB$25:$CH$25,1,DL299)*(1+INDEX('Lease Cycles'!$CI$25:$CO$25,1,DL299))^INT(INT(DL300/12)/INDEX('Lease Cycles'!$CP$25:$CV$25,1,DL299))/12))),IF('Lease Cycles'!$N$25=1,'Lease Cycles'!$C$25*'Lease Cycles'!$E$25*INDEX('Lease Cycles'!$HE$25:$HK$25,1,DL299)*(1+INDEX('Lease Cycles'!$GQ$25:$GW$25,1,DL299))^INT(INT((DL$6-INDEX('Lease Cycles'!$GJ$25:$GP$25,1,DL299))/12)/INDEX('Lease Cycles'!$GX$25:$HD$25,1,DL299))/12,0)))</f>
        <v>0</v>
      </c>
      <c r="DM302" s="28">
        <f>IF(DM299=0,IF('Lease Cycles'!$F$25&gt;0,'Lease Cycles'!$C$25*'Lease Cycles'!$E$25/12,0),IF(DM301=1,IF('Lease Cycles'!$AT$25&gt;=9999,'Lease Cycles'!$C$25*INDEX('Lease Cycles'!$CB$25:$CH$25,1,DM299)*(1+INDEX('Lease Cycles'!$CI$25:$CO$25,1,DM299))^INT(INT(DM300/12)/INDEX('Lease Cycles'!$CP$25:$CV$25,1,DM299))/12,IF(DM299=1,IF(DM300&gt;=INDEX('Lease Cycles'!$DK$25:$DQ$25,1,DM299),IF(DM$6&gt;='Lease Cycles'!$AZ$25,'Lease Cycles'!$C$25*'Lease Cycles'!$BA$25/12,IF(DM$6&gt;='Lease Cycles'!$AX$25,'Lease Cycles'!$C$25*'Lease Cycles'!$AY$25/12,IF(DM$6&gt;='Lease Cycles'!$AV$25,'Lease Cycles'!$C$25*'Lease Cycles'!$AW$25/12,IF(DM$6&gt;='Lease Cycles'!$AT$25,'Lease Cycles'!$C$25*'Lease Cycles'!$AU$25/12,'Lease Cycles'!$C$25*INDEX('Lease Cycles'!$CB$25:$CH$25,1,DM299)*(1+INDEX('Lease Cycles'!$CI$25:$CO$25,1,DM299))^INT(INT(DM300/12)/INDEX('Lease Cycles'!$CP$25:$CV$25,1,DM299))/12)))),'Lease Cycles'!$C$25*INDEX('Lease Cycles'!$CB$25:$CH$25,1,DM299)*(1+INDEX('Lease Cycles'!$CI$25:$CO$25,1,DM299))^INT(INT(DM300/12)/INDEX('Lease Cycles'!$CP$25:$CV$25,1,DM299))/12),IF(INDEX('Lease Cycles'!$EF$25:$EL$25,1,DM299)=1,IF(AND('Lease Cycles'!$AZ$25&gt;=INDEX('Lease Cycles'!$BG$25:$BM$25,1,DM299),'Lease Cycles'!$AZ$25&lt;=DM$6),'Lease Cycles'!$C$25*'Lease Cycles'!$BA$25/12,IF(AND('Lease Cycles'!$AX$25&gt;=INDEX('Lease Cycles'!$BG$25:$BM$25,1,DM299),'Lease Cycles'!$AX$25&lt;=DM$6),'Lease Cycles'!$C$25*'Lease Cycles'!$AY$25/12,IF(AND('Lease Cycles'!$AV$25&gt;=INDEX('Lease Cycles'!$BG$25:$BM$25,1,DM299),'Lease Cycles'!$AV$25&lt;=DM$6),'Lease Cycles'!$C$25*'Lease Cycles'!$AW$25/12,IF(AND('Lease Cycles'!$AT$25&gt;=INDEX('Lease Cycles'!$BG$25:$BM$25,1,DM299),'Lease Cycles'!$AT$25&lt;=DM$6),'Lease Cycles'!$C$25*'Lease Cycles'!$AU$25/12,'Lease Cycles'!$C$25*INDEX('Lease Cycles'!$CB$25:$CH$25,1,DM299)*(1+INDEX('Lease Cycles'!$CI$25:$CO$25,1,DM299))^INT(INT(DM300/12)/INDEX('Lease Cycles'!$CP$25:$CV$25,1,DM299))/12)))),'Lease Cycles'!$C$25*INDEX('Lease Cycles'!$CB$25:$CH$25,1,DM299)*(1+INDEX('Lease Cycles'!$CI$25:$CO$25,1,DM299))^INT(INT(DM300/12)/INDEX('Lease Cycles'!$CP$25:$CV$25,1,DM299))/12))),IF('Lease Cycles'!$N$25=1,'Lease Cycles'!$C$25*'Lease Cycles'!$E$25*INDEX('Lease Cycles'!$HE$25:$HK$25,1,DM299)*(1+INDEX('Lease Cycles'!$GQ$25:$GW$25,1,DM299))^INT(INT((DM$6-INDEX('Lease Cycles'!$GJ$25:$GP$25,1,DM299))/12)/INDEX('Lease Cycles'!$GX$25:$HD$25,1,DM299))/12,0)))</f>
        <v>0</v>
      </c>
      <c r="DN302" s="28">
        <f>IF(DN299=0,IF('Lease Cycles'!$F$25&gt;0,'Lease Cycles'!$C$25*'Lease Cycles'!$E$25/12,0),IF(DN301=1,IF('Lease Cycles'!$AT$25&gt;=9999,'Lease Cycles'!$C$25*INDEX('Lease Cycles'!$CB$25:$CH$25,1,DN299)*(1+INDEX('Lease Cycles'!$CI$25:$CO$25,1,DN299))^INT(INT(DN300/12)/INDEX('Lease Cycles'!$CP$25:$CV$25,1,DN299))/12,IF(DN299=1,IF(DN300&gt;=INDEX('Lease Cycles'!$DK$25:$DQ$25,1,DN299),IF(DN$6&gt;='Lease Cycles'!$AZ$25,'Lease Cycles'!$C$25*'Lease Cycles'!$BA$25/12,IF(DN$6&gt;='Lease Cycles'!$AX$25,'Lease Cycles'!$C$25*'Lease Cycles'!$AY$25/12,IF(DN$6&gt;='Lease Cycles'!$AV$25,'Lease Cycles'!$C$25*'Lease Cycles'!$AW$25/12,IF(DN$6&gt;='Lease Cycles'!$AT$25,'Lease Cycles'!$C$25*'Lease Cycles'!$AU$25/12,'Lease Cycles'!$C$25*INDEX('Lease Cycles'!$CB$25:$CH$25,1,DN299)*(1+INDEX('Lease Cycles'!$CI$25:$CO$25,1,DN299))^INT(INT(DN300/12)/INDEX('Lease Cycles'!$CP$25:$CV$25,1,DN299))/12)))),'Lease Cycles'!$C$25*INDEX('Lease Cycles'!$CB$25:$CH$25,1,DN299)*(1+INDEX('Lease Cycles'!$CI$25:$CO$25,1,DN299))^INT(INT(DN300/12)/INDEX('Lease Cycles'!$CP$25:$CV$25,1,DN299))/12),IF(INDEX('Lease Cycles'!$EF$25:$EL$25,1,DN299)=1,IF(AND('Lease Cycles'!$AZ$25&gt;=INDEX('Lease Cycles'!$BG$25:$BM$25,1,DN299),'Lease Cycles'!$AZ$25&lt;=DN$6),'Lease Cycles'!$C$25*'Lease Cycles'!$BA$25/12,IF(AND('Lease Cycles'!$AX$25&gt;=INDEX('Lease Cycles'!$BG$25:$BM$25,1,DN299),'Lease Cycles'!$AX$25&lt;=DN$6),'Lease Cycles'!$C$25*'Lease Cycles'!$AY$25/12,IF(AND('Lease Cycles'!$AV$25&gt;=INDEX('Lease Cycles'!$BG$25:$BM$25,1,DN299),'Lease Cycles'!$AV$25&lt;=DN$6),'Lease Cycles'!$C$25*'Lease Cycles'!$AW$25/12,IF(AND('Lease Cycles'!$AT$25&gt;=INDEX('Lease Cycles'!$BG$25:$BM$25,1,DN299),'Lease Cycles'!$AT$25&lt;=DN$6),'Lease Cycles'!$C$25*'Lease Cycles'!$AU$25/12,'Lease Cycles'!$C$25*INDEX('Lease Cycles'!$CB$25:$CH$25,1,DN299)*(1+INDEX('Lease Cycles'!$CI$25:$CO$25,1,DN299))^INT(INT(DN300/12)/INDEX('Lease Cycles'!$CP$25:$CV$25,1,DN299))/12)))),'Lease Cycles'!$C$25*INDEX('Lease Cycles'!$CB$25:$CH$25,1,DN299)*(1+INDEX('Lease Cycles'!$CI$25:$CO$25,1,DN299))^INT(INT(DN300/12)/INDEX('Lease Cycles'!$CP$25:$CV$25,1,DN299))/12))),IF('Lease Cycles'!$N$25=1,'Lease Cycles'!$C$25*'Lease Cycles'!$E$25*INDEX('Lease Cycles'!$HE$25:$HK$25,1,DN299)*(1+INDEX('Lease Cycles'!$GQ$25:$GW$25,1,DN299))^INT(INT((DN$6-INDEX('Lease Cycles'!$GJ$25:$GP$25,1,DN299))/12)/INDEX('Lease Cycles'!$GX$25:$HD$25,1,DN299))/12,0)))</f>
        <v>0</v>
      </c>
      <c r="DO302" s="28">
        <f>IF(DO299=0,IF('Lease Cycles'!$F$25&gt;0,'Lease Cycles'!$C$25*'Lease Cycles'!$E$25/12,0),IF(DO301=1,IF('Lease Cycles'!$AT$25&gt;=9999,'Lease Cycles'!$C$25*INDEX('Lease Cycles'!$CB$25:$CH$25,1,DO299)*(1+INDEX('Lease Cycles'!$CI$25:$CO$25,1,DO299))^INT(INT(DO300/12)/INDEX('Lease Cycles'!$CP$25:$CV$25,1,DO299))/12,IF(DO299=1,IF(DO300&gt;=INDEX('Lease Cycles'!$DK$25:$DQ$25,1,DO299),IF(DO$6&gt;='Lease Cycles'!$AZ$25,'Lease Cycles'!$C$25*'Lease Cycles'!$BA$25/12,IF(DO$6&gt;='Lease Cycles'!$AX$25,'Lease Cycles'!$C$25*'Lease Cycles'!$AY$25/12,IF(DO$6&gt;='Lease Cycles'!$AV$25,'Lease Cycles'!$C$25*'Lease Cycles'!$AW$25/12,IF(DO$6&gt;='Lease Cycles'!$AT$25,'Lease Cycles'!$C$25*'Lease Cycles'!$AU$25/12,'Lease Cycles'!$C$25*INDEX('Lease Cycles'!$CB$25:$CH$25,1,DO299)*(1+INDEX('Lease Cycles'!$CI$25:$CO$25,1,DO299))^INT(INT(DO300/12)/INDEX('Lease Cycles'!$CP$25:$CV$25,1,DO299))/12)))),'Lease Cycles'!$C$25*INDEX('Lease Cycles'!$CB$25:$CH$25,1,DO299)*(1+INDEX('Lease Cycles'!$CI$25:$CO$25,1,DO299))^INT(INT(DO300/12)/INDEX('Lease Cycles'!$CP$25:$CV$25,1,DO299))/12),IF(INDEX('Lease Cycles'!$EF$25:$EL$25,1,DO299)=1,IF(AND('Lease Cycles'!$AZ$25&gt;=INDEX('Lease Cycles'!$BG$25:$BM$25,1,DO299),'Lease Cycles'!$AZ$25&lt;=DO$6),'Lease Cycles'!$C$25*'Lease Cycles'!$BA$25/12,IF(AND('Lease Cycles'!$AX$25&gt;=INDEX('Lease Cycles'!$BG$25:$BM$25,1,DO299),'Lease Cycles'!$AX$25&lt;=DO$6),'Lease Cycles'!$C$25*'Lease Cycles'!$AY$25/12,IF(AND('Lease Cycles'!$AV$25&gt;=INDEX('Lease Cycles'!$BG$25:$BM$25,1,DO299),'Lease Cycles'!$AV$25&lt;=DO$6),'Lease Cycles'!$C$25*'Lease Cycles'!$AW$25/12,IF(AND('Lease Cycles'!$AT$25&gt;=INDEX('Lease Cycles'!$BG$25:$BM$25,1,DO299),'Lease Cycles'!$AT$25&lt;=DO$6),'Lease Cycles'!$C$25*'Lease Cycles'!$AU$25/12,'Lease Cycles'!$C$25*INDEX('Lease Cycles'!$CB$25:$CH$25,1,DO299)*(1+INDEX('Lease Cycles'!$CI$25:$CO$25,1,DO299))^INT(INT(DO300/12)/INDEX('Lease Cycles'!$CP$25:$CV$25,1,DO299))/12)))),'Lease Cycles'!$C$25*INDEX('Lease Cycles'!$CB$25:$CH$25,1,DO299)*(1+INDEX('Lease Cycles'!$CI$25:$CO$25,1,DO299))^INT(INT(DO300/12)/INDEX('Lease Cycles'!$CP$25:$CV$25,1,DO299))/12))),IF('Lease Cycles'!$N$25=1,'Lease Cycles'!$C$25*'Lease Cycles'!$E$25*INDEX('Lease Cycles'!$HE$25:$HK$25,1,DO299)*(1+INDEX('Lease Cycles'!$GQ$25:$GW$25,1,DO299))^INT(INT((DO$6-INDEX('Lease Cycles'!$GJ$25:$GP$25,1,DO299))/12)/INDEX('Lease Cycles'!$GX$25:$HD$25,1,DO299))/12,0)))</f>
        <v>0</v>
      </c>
      <c r="DP302" s="28">
        <f>IF(DP299=0,IF('Lease Cycles'!$F$25&gt;0,'Lease Cycles'!$C$25*'Lease Cycles'!$E$25/12,0),IF(DP301=1,IF('Lease Cycles'!$AT$25&gt;=9999,'Lease Cycles'!$C$25*INDEX('Lease Cycles'!$CB$25:$CH$25,1,DP299)*(1+INDEX('Lease Cycles'!$CI$25:$CO$25,1,DP299))^INT(INT(DP300/12)/INDEX('Lease Cycles'!$CP$25:$CV$25,1,DP299))/12,IF(DP299=1,IF(DP300&gt;=INDEX('Lease Cycles'!$DK$25:$DQ$25,1,DP299),IF(DP$6&gt;='Lease Cycles'!$AZ$25,'Lease Cycles'!$C$25*'Lease Cycles'!$BA$25/12,IF(DP$6&gt;='Lease Cycles'!$AX$25,'Lease Cycles'!$C$25*'Lease Cycles'!$AY$25/12,IF(DP$6&gt;='Lease Cycles'!$AV$25,'Lease Cycles'!$C$25*'Lease Cycles'!$AW$25/12,IF(DP$6&gt;='Lease Cycles'!$AT$25,'Lease Cycles'!$C$25*'Lease Cycles'!$AU$25/12,'Lease Cycles'!$C$25*INDEX('Lease Cycles'!$CB$25:$CH$25,1,DP299)*(1+INDEX('Lease Cycles'!$CI$25:$CO$25,1,DP299))^INT(INT(DP300/12)/INDEX('Lease Cycles'!$CP$25:$CV$25,1,DP299))/12)))),'Lease Cycles'!$C$25*INDEX('Lease Cycles'!$CB$25:$CH$25,1,DP299)*(1+INDEX('Lease Cycles'!$CI$25:$CO$25,1,DP299))^INT(INT(DP300/12)/INDEX('Lease Cycles'!$CP$25:$CV$25,1,DP299))/12),IF(INDEX('Lease Cycles'!$EF$25:$EL$25,1,DP299)=1,IF(AND('Lease Cycles'!$AZ$25&gt;=INDEX('Lease Cycles'!$BG$25:$BM$25,1,DP299),'Lease Cycles'!$AZ$25&lt;=DP$6),'Lease Cycles'!$C$25*'Lease Cycles'!$BA$25/12,IF(AND('Lease Cycles'!$AX$25&gt;=INDEX('Lease Cycles'!$BG$25:$BM$25,1,DP299),'Lease Cycles'!$AX$25&lt;=DP$6),'Lease Cycles'!$C$25*'Lease Cycles'!$AY$25/12,IF(AND('Lease Cycles'!$AV$25&gt;=INDEX('Lease Cycles'!$BG$25:$BM$25,1,DP299),'Lease Cycles'!$AV$25&lt;=DP$6),'Lease Cycles'!$C$25*'Lease Cycles'!$AW$25/12,IF(AND('Lease Cycles'!$AT$25&gt;=INDEX('Lease Cycles'!$BG$25:$BM$25,1,DP299),'Lease Cycles'!$AT$25&lt;=DP$6),'Lease Cycles'!$C$25*'Lease Cycles'!$AU$25/12,'Lease Cycles'!$C$25*INDEX('Lease Cycles'!$CB$25:$CH$25,1,DP299)*(1+INDEX('Lease Cycles'!$CI$25:$CO$25,1,DP299))^INT(INT(DP300/12)/INDEX('Lease Cycles'!$CP$25:$CV$25,1,DP299))/12)))),'Lease Cycles'!$C$25*INDEX('Lease Cycles'!$CB$25:$CH$25,1,DP299)*(1+INDEX('Lease Cycles'!$CI$25:$CO$25,1,DP299))^INT(INT(DP300/12)/INDEX('Lease Cycles'!$CP$25:$CV$25,1,DP299))/12))),IF('Lease Cycles'!$N$25=1,'Lease Cycles'!$C$25*'Lease Cycles'!$E$25*INDEX('Lease Cycles'!$HE$25:$HK$25,1,DP299)*(1+INDEX('Lease Cycles'!$GQ$25:$GW$25,1,DP299))^INT(INT((DP$6-INDEX('Lease Cycles'!$GJ$25:$GP$25,1,DP299))/12)/INDEX('Lease Cycles'!$GX$25:$HD$25,1,DP299))/12,0)))</f>
        <v>0</v>
      </c>
      <c r="DQ302" s="28">
        <f>IF(DQ299=0,IF('Lease Cycles'!$F$25&gt;0,'Lease Cycles'!$C$25*'Lease Cycles'!$E$25/12,0),IF(DQ301=1,IF('Lease Cycles'!$AT$25&gt;=9999,'Lease Cycles'!$C$25*INDEX('Lease Cycles'!$CB$25:$CH$25,1,DQ299)*(1+INDEX('Lease Cycles'!$CI$25:$CO$25,1,DQ299))^INT(INT(DQ300/12)/INDEX('Lease Cycles'!$CP$25:$CV$25,1,DQ299))/12,IF(DQ299=1,IF(DQ300&gt;=INDEX('Lease Cycles'!$DK$25:$DQ$25,1,DQ299),IF(DQ$6&gt;='Lease Cycles'!$AZ$25,'Lease Cycles'!$C$25*'Lease Cycles'!$BA$25/12,IF(DQ$6&gt;='Lease Cycles'!$AX$25,'Lease Cycles'!$C$25*'Lease Cycles'!$AY$25/12,IF(DQ$6&gt;='Lease Cycles'!$AV$25,'Lease Cycles'!$C$25*'Lease Cycles'!$AW$25/12,IF(DQ$6&gt;='Lease Cycles'!$AT$25,'Lease Cycles'!$C$25*'Lease Cycles'!$AU$25/12,'Lease Cycles'!$C$25*INDEX('Lease Cycles'!$CB$25:$CH$25,1,DQ299)*(1+INDEX('Lease Cycles'!$CI$25:$CO$25,1,DQ299))^INT(INT(DQ300/12)/INDEX('Lease Cycles'!$CP$25:$CV$25,1,DQ299))/12)))),'Lease Cycles'!$C$25*INDEX('Lease Cycles'!$CB$25:$CH$25,1,DQ299)*(1+INDEX('Lease Cycles'!$CI$25:$CO$25,1,DQ299))^INT(INT(DQ300/12)/INDEX('Lease Cycles'!$CP$25:$CV$25,1,DQ299))/12),IF(INDEX('Lease Cycles'!$EF$25:$EL$25,1,DQ299)=1,IF(AND('Lease Cycles'!$AZ$25&gt;=INDEX('Lease Cycles'!$BG$25:$BM$25,1,DQ299),'Lease Cycles'!$AZ$25&lt;=DQ$6),'Lease Cycles'!$C$25*'Lease Cycles'!$BA$25/12,IF(AND('Lease Cycles'!$AX$25&gt;=INDEX('Lease Cycles'!$BG$25:$BM$25,1,DQ299),'Lease Cycles'!$AX$25&lt;=DQ$6),'Lease Cycles'!$C$25*'Lease Cycles'!$AY$25/12,IF(AND('Lease Cycles'!$AV$25&gt;=INDEX('Lease Cycles'!$BG$25:$BM$25,1,DQ299),'Lease Cycles'!$AV$25&lt;=DQ$6),'Lease Cycles'!$C$25*'Lease Cycles'!$AW$25/12,IF(AND('Lease Cycles'!$AT$25&gt;=INDEX('Lease Cycles'!$BG$25:$BM$25,1,DQ299),'Lease Cycles'!$AT$25&lt;=DQ$6),'Lease Cycles'!$C$25*'Lease Cycles'!$AU$25/12,'Lease Cycles'!$C$25*INDEX('Lease Cycles'!$CB$25:$CH$25,1,DQ299)*(1+INDEX('Lease Cycles'!$CI$25:$CO$25,1,DQ299))^INT(INT(DQ300/12)/INDEX('Lease Cycles'!$CP$25:$CV$25,1,DQ299))/12)))),'Lease Cycles'!$C$25*INDEX('Lease Cycles'!$CB$25:$CH$25,1,DQ299)*(1+INDEX('Lease Cycles'!$CI$25:$CO$25,1,DQ299))^INT(INT(DQ300/12)/INDEX('Lease Cycles'!$CP$25:$CV$25,1,DQ299))/12))),IF('Lease Cycles'!$N$25=1,'Lease Cycles'!$C$25*'Lease Cycles'!$E$25*INDEX('Lease Cycles'!$HE$25:$HK$25,1,DQ299)*(1+INDEX('Lease Cycles'!$GQ$25:$GW$25,1,DQ299))^INT(INT((DQ$6-INDEX('Lease Cycles'!$GJ$25:$GP$25,1,DQ299))/12)/INDEX('Lease Cycles'!$GX$25:$HD$25,1,DQ299))/12,0)))</f>
        <v>0</v>
      </c>
      <c r="DR302" s="28">
        <f>IF(DR299=0,IF('Lease Cycles'!$F$25&gt;0,'Lease Cycles'!$C$25*'Lease Cycles'!$E$25/12,0),IF(DR301=1,IF('Lease Cycles'!$AT$25&gt;=9999,'Lease Cycles'!$C$25*INDEX('Lease Cycles'!$CB$25:$CH$25,1,DR299)*(1+INDEX('Lease Cycles'!$CI$25:$CO$25,1,DR299))^INT(INT(DR300/12)/INDEX('Lease Cycles'!$CP$25:$CV$25,1,DR299))/12,IF(DR299=1,IF(DR300&gt;=INDEX('Lease Cycles'!$DK$25:$DQ$25,1,DR299),IF(DR$6&gt;='Lease Cycles'!$AZ$25,'Lease Cycles'!$C$25*'Lease Cycles'!$BA$25/12,IF(DR$6&gt;='Lease Cycles'!$AX$25,'Lease Cycles'!$C$25*'Lease Cycles'!$AY$25/12,IF(DR$6&gt;='Lease Cycles'!$AV$25,'Lease Cycles'!$C$25*'Lease Cycles'!$AW$25/12,IF(DR$6&gt;='Lease Cycles'!$AT$25,'Lease Cycles'!$C$25*'Lease Cycles'!$AU$25/12,'Lease Cycles'!$C$25*INDEX('Lease Cycles'!$CB$25:$CH$25,1,DR299)*(1+INDEX('Lease Cycles'!$CI$25:$CO$25,1,DR299))^INT(INT(DR300/12)/INDEX('Lease Cycles'!$CP$25:$CV$25,1,DR299))/12)))),'Lease Cycles'!$C$25*INDEX('Lease Cycles'!$CB$25:$CH$25,1,DR299)*(1+INDEX('Lease Cycles'!$CI$25:$CO$25,1,DR299))^INT(INT(DR300/12)/INDEX('Lease Cycles'!$CP$25:$CV$25,1,DR299))/12),IF(INDEX('Lease Cycles'!$EF$25:$EL$25,1,DR299)=1,IF(AND('Lease Cycles'!$AZ$25&gt;=INDEX('Lease Cycles'!$BG$25:$BM$25,1,DR299),'Lease Cycles'!$AZ$25&lt;=DR$6),'Lease Cycles'!$C$25*'Lease Cycles'!$BA$25/12,IF(AND('Lease Cycles'!$AX$25&gt;=INDEX('Lease Cycles'!$BG$25:$BM$25,1,DR299),'Lease Cycles'!$AX$25&lt;=DR$6),'Lease Cycles'!$C$25*'Lease Cycles'!$AY$25/12,IF(AND('Lease Cycles'!$AV$25&gt;=INDEX('Lease Cycles'!$BG$25:$BM$25,1,DR299),'Lease Cycles'!$AV$25&lt;=DR$6),'Lease Cycles'!$C$25*'Lease Cycles'!$AW$25/12,IF(AND('Lease Cycles'!$AT$25&gt;=INDEX('Lease Cycles'!$BG$25:$BM$25,1,DR299),'Lease Cycles'!$AT$25&lt;=DR$6),'Lease Cycles'!$C$25*'Lease Cycles'!$AU$25/12,'Lease Cycles'!$C$25*INDEX('Lease Cycles'!$CB$25:$CH$25,1,DR299)*(1+INDEX('Lease Cycles'!$CI$25:$CO$25,1,DR299))^INT(INT(DR300/12)/INDEX('Lease Cycles'!$CP$25:$CV$25,1,DR299))/12)))),'Lease Cycles'!$C$25*INDEX('Lease Cycles'!$CB$25:$CH$25,1,DR299)*(1+INDEX('Lease Cycles'!$CI$25:$CO$25,1,DR299))^INT(INT(DR300/12)/INDEX('Lease Cycles'!$CP$25:$CV$25,1,DR299))/12))),IF('Lease Cycles'!$N$25=1,'Lease Cycles'!$C$25*'Lease Cycles'!$E$25*INDEX('Lease Cycles'!$HE$25:$HK$25,1,DR299)*(1+INDEX('Lease Cycles'!$GQ$25:$GW$25,1,DR299))^INT(INT((DR$6-INDEX('Lease Cycles'!$GJ$25:$GP$25,1,DR299))/12)/INDEX('Lease Cycles'!$GX$25:$HD$25,1,DR299))/12,0)))</f>
        <v>0</v>
      </c>
      <c r="DS302" s="28">
        <f>IF(DS299=0,IF('Lease Cycles'!$F$25&gt;0,'Lease Cycles'!$C$25*'Lease Cycles'!$E$25/12,0),IF(DS301=1,IF('Lease Cycles'!$AT$25&gt;=9999,'Lease Cycles'!$C$25*INDEX('Lease Cycles'!$CB$25:$CH$25,1,DS299)*(1+INDEX('Lease Cycles'!$CI$25:$CO$25,1,DS299))^INT(INT(DS300/12)/INDEX('Lease Cycles'!$CP$25:$CV$25,1,DS299))/12,IF(DS299=1,IF(DS300&gt;=INDEX('Lease Cycles'!$DK$25:$DQ$25,1,DS299),IF(DS$6&gt;='Lease Cycles'!$AZ$25,'Lease Cycles'!$C$25*'Lease Cycles'!$BA$25/12,IF(DS$6&gt;='Lease Cycles'!$AX$25,'Lease Cycles'!$C$25*'Lease Cycles'!$AY$25/12,IF(DS$6&gt;='Lease Cycles'!$AV$25,'Lease Cycles'!$C$25*'Lease Cycles'!$AW$25/12,IF(DS$6&gt;='Lease Cycles'!$AT$25,'Lease Cycles'!$C$25*'Lease Cycles'!$AU$25/12,'Lease Cycles'!$C$25*INDEX('Lease Cycles'!$CB$25:$CH$25,1,DS299)*(1+INDEX('Lease Cycles'!$CI$25:$CO$25,1,DS299))^INT(INT(DS300/12)/INDEX('Lease Cycles'!$CP$25:$CV$25,1,DS299))/12)))),'Lease Cycles'!$C$25*INDEX('Lease Cycles'!$CB$25:$CH$25,1,DS299)*(1+INDEX('Lease Cycles'!$CI$25:$CO$25,1,DS299))^INT(INT(DS300/12)/INDEX('Lease Cycles'!$CP$25:$CV$25,1,DS299))/12),IF(INDEX('Lease Cycles'!$EF$25:$EL$25,1,DS299)=1,IF(AND('Lease Cycles'!$AZ$25&gt;=INDEX('Lease Cycles'!$BG$25:$BM$25,1,DS299),'Lease Cycles'!$AZ$25&lt;=DS$6),'Lease Cycles'!$C$25*'Lease Cycles'!$BA$25/12,IF(AND('Lease Cycles'!$AX$25&gt;=INDEX('Lease Cycles'!$BG$25:$BM$25,1,DS299),'Lease Cycles'!$AX$25&lt;=DS$6),'Lease Cycles'!$C$25*'Lease Cycles'!$AY$25/12,IF(AND('Lease Cycles'!$AV$25&gt;=INDEX('Lease Cycles'!$BG$25:$BM$25,1,DS299),'Lease Cycles'!$AV$25&lt;=DS$6),'Lease Cycles'!$C$25*'Lease Cycles'!$AW$25/12,IF(AND('Lease Cycles'!$AT$25&gt;=INDEX('Lease Cycles'!$BG$25:$BM$25,1,DS299),'Lease Cycles'!$AT$25&lt;=DS$6),'Lease Cycles'!$C$25*'Lease Cycles'!$AU$25/12,'Lease Cycles'!$C$25*INDEX('Lease Cycles'!$CB$25:$CH$25,1,DS299)*(1+INDEX('Lease Cycles'!$CI$25:$CO$25,1,DS299))^INT(INT(DS300/12)/INDEX('Lease Cycles'!$CP$25:$CV$25,1,DS299))/12)))),'Lease Cycles'!$C$25*INDEX('Lease Cycles'!$CB$25:$CH$25,1,DS299)*(1+INDEX('Lease Cycles'!$CI$25:$CO$25,1,DS299))^INT(INT(DS300/12)/INDEX('Lease Cycles'!$CP$25:$CV$25,1,DS299))/12))),IF('Lease Cycles'!$N$25=1,'Lease Cycles'!$C$25*'Lease Cycles'!$E$25*INDEX('Lease Cycles'!$HE$25:$HK$25,1,DS299)*(1+INDEX('Lease Cycles'!$GQ$25:$GW$25,1,DS299))^INT(INT((DS$6-INDEX('Lease Cycles'!$GJ$25:$GP$25,1,DS299))/12)/INDEX('Lease Cycles'!$GX$25:$HD$25,1,DS299))/12,0)))</f>
        <v>0</v>
      </c>
      <c r="DT302" s="28">
        <f>IF(DT299=0,IF('Lease Cycles'!$F$25&gt;0,'Lease Cycles'!$C$25*'Lease Cycles'!$E$25/12,0),IF(DT301=1,IF('Lease Cycles'!$AT$25&gt;=9999,'Lease Cycles'!$C$25*INDEX('Lease Cycles'!$CB$25:$CH$25,1,DT299)*(1+INDEX('Lease Cycles'!$CI$25:$CO$25,1,DT299))^INT(INT(DT300/12)/INDEX('Lease Cycles'!$CP$25:$CV$25,1,DT299))/12,IF(DT299=1,IF(DT300&gt;=INDEX('Lease Cycles'!$DK$25:$DQ$25,1,DT299),IF(DT$6&gt;='Lease Cycles'!$AZ$25,'Lease Cycles'!$C$25*'Lease Cycles'!$BA$25/12,IF(DT$6&gt;='Lease Cycles'!$AX$25,'Lease Cycles'!$C$25*'Lease Cycles'!$AY$25/12,IF(DT$6&gt;='Lease Cycles'!$AV$25,'Lease Cycles'!$C$25*'Lease Cycles'!$AW$25/12,IF(DT$6&gt;='Lease Cycles'!$AT$25,'Lease Cycles'!$C$25*'Lease Cycles'!$AU$25/12,'Lease Cycles'!$C$25*INDEX('Lease Cycles'!$CB$25:$CH$25,1,DT299)*(1+INDEX('Lease Cycles'!$CI$25:$CO$25,1,DT299))^INT(INT(DT300/12)/INDEX('Lease Cycles'!$CP$25:$CV$25,1,DT299))/12)))),'Lease Cycles'!$C$25*INDEX('Lease Cycles'!$CB$25:$CH$25,1,DT299)*(1+INDEX('Lease Cycles'!$CI$25:$CO$25,1,DT299))^INT(INT(DT300/12)/INDEX('Lease Cycles'!$CP$25:$CV$25,1,DT299))/12),IF(INDEX('Lease Cycles'!$EF$25:$EL$25,1,DT299)=1,IF(AND('Lease Cycles'!$AZ$25&gt;=INDEX('Lease Cycles'!$BG$25:$BM$25,1,DT299),'Lease Cycles'!$AZ$25&lt;=DT$6),'Lease Cycles'!$C$25*'Lease Cycles'!$BA$25/12,IF(AND('Lease Cycles'!$AX$25&gt;=INDEX('Lease Cycles'!$BG$25:$BM$25,1,DT299),'Lease Cycles'!$AX$25&lt;=DT$6),'Lease Cycles'!$C$25*'Lease Cycles'!$AY$25/12,IF(AND('Lease Cycles'!$AV$25&gt;=INDEX('Lease Cycles'!$BG$25:$BM$25,1,DT299),'Lease Cycles'!$AV$25&lt;=DT$6),'Lease Cycles'!$C$25*'Lease Cycles'!$AW$25/12,IF(AND('Lease Cycles'!$AT$25&gt;=INDEX('Lease Cycles'!$BG$25:$BM$25,1,DT299),'Lease Cycles'!$AT$25&lt;=DT$6),'Lease Cycles'!$C$25*'Lease Cycles'!$AU$25/12,'Lease Cycles'!$C$25*INDEX('Lease Cycles'!$CB$25:$CH$25,1,DT299)*(1+INDEX('Lease Cycles'!$CI$25:$CO$25,1,DT299))^INT(INT(DT300/12)/INDEX('Lease Cycles'!$CP$25:$CV$25,1,DT299))/12)))),'Lease Cycles'!$C$25*INDEX('Lease Cycles'!$CB$25:$CH$25,1,DT299)*(1+INDEX('Lease Cycles'!$CI$25:$CO$25,1,DT299))^INT(INT(DT300/12)/INDEX('Lease Cycles'!$CP$25:$CV$25,1,DT299))/12))),IF('Lease Cycles'!$N$25=1,'Lease Cycles'!$C$25*'Lease Cycles'!$E$25*INDEX('Lease Cycles'!$HE$25:$HK$25,1,DT299)*(1+INDEX('Lease Cycles'!$GQ$25:$GW$25,1,DT299))^INT(INT((DT$6-INDEX('Lease Cycles'!$GJ$25:$GP$25,1,DT299))/12)/INDEX('Lease Cycles'!$GX$25:$HD$25,1,DT299))/12,0)))</f>
        <v>0</v>
      </c>
      <c r="DU302" s="28">
        <f>IF(DU299=0,IF('Lease Cycles'!$F$25&gt;0,'Lease Cycles'!$C$25*'Lease Cycles'!$E$25/12,0),IF(DU301=1,IF('Lease Cycles'!$AT$25&gt;=9999,'Lease Cycles'!$C$25*INDEX('Lease Cycles'!$CB$25:$CH$25,1,DU299)*(1+INDEX('Lease Cycles'!$CI$25:$CO$25,1,DU299))^INT(INT(DU300/12)/INDEX('Lease Cycles'!$CP$25:$CV$25,1,DU299))/12,IF(DU299=1,IF(DU300&gt;=INDEX('Lease Cycles'!$DK$25:$DQ$25,1,DU299),IF(DU$6&gt;='Lease Cycles'!$AZ$25,'Lease Cycles'!$C$25*'Lease Cycles'!$BA$25/12,IF(DU$6&gt;='Lease Cycles'!$AX$25,'Lease Cycles'!$C$25*'Lease Cycles'!$AY$25/12,IF(DU$6&gt;='Lease Cycles'!$AV$25,'Lease Cycles'!$C$25*'Lease Cycles'!$AW$25/12,IF(DU$6&gt;='Lease Cycles'!$AT$25,'Lease Cycles'!$C$25*'Lease Cycles'!$AU$25/12,'Lease Cycles'!$C$25*INDEX('Lease Cycles'!$CB$25:$CH$25,1,DU299)*(1+INDEX('Lease Cycles'!$CI$25:$CO$25,1,DU299))^INT(INT(DU300/12)/INDEX('Lease Cycles'!$CP$25:$CV$25,1,DU299))/12)))),'Lease Cycles'!$C$25*INDEX('Lease Cycles'!$CB$25:$CH$25,1,DU299)*(1+INDEX('Lease Cycles'!$CI$25:$CO$25,1,DU299))^INT(INT(DU300/12)/INDEX('Lease Cycles'!$CP$25:$CV$25,1,DU299))/12),IF(INDEX('Lease Cycles'!$EF$25:$EL$25,1,DU299)=1,IF(AND('Lease Cycles'!$AZ$25&gt;=INDEX('Lease Cycles'!$BG$25:$BM$25,1,DU299),'Lease Cycles'!$AZ$25&lt;=DU$6),'Lease Cycles'!$C$25*'Lease Cycles'!$BA$25/12,IF(AND('Lease Cycles'!$AX$25&gt;=INDEX('Lease Cycles'!$BG$25:$BM$25,1,DU299),'Lease Cycles'!$AX$25&lt;=DU$6),'Lease Cycles'!$C$25*'Lease Cycles'!$AY$25/12,IF(AND('Lease Cycles'!$AV$25&gt;=INDEX('Lease Cycles'!$BG$25:$BM$25,1,DU299),'Lease Cycles'!$AV$25&lt;=DU$6),'Lease Cycles'!$C$25*'Lease Cycles'!$AW$25/12,IF(AND('Lease Cycles'!$AT$25&gt;=INDEX('Lease Cycles'!$BG$25:$BM$25,1,DU299),'Lease Cycles'!$AT$25&lt;=DU$6),'Lease Cycles'!$C$25*'Lease Cycles'!$AU$25/12,'Lease Cycles'!$C$25*INDEX('Lease Cycles'!$CB$25:$CH$25,1,DU299)*(1+INDEX('Lease Cycles'!$CI$25:$CO$25,1,DU299))^INT(INT(DU300/12)/INDEX('Lease Cycles'!$CP$25:$CV$25,1,DU299))/12)))),'Lease Cycles'!$C$25*INDEX('Lease Cycles'!$CB$25:$CH$25,1,DU299)*(1+INDEX('Lease Cycles'!$CI$25:$CO$25,1,DU299))^INT(INT(DU300/12)/INDEX('Lease Cycles'!$CP$25:$CV$25,1,DU299))/12))),IF('Lease Cycles'!$N$25=1,'Lease Cycles'!$C$25*'Lease Cycles'!$E$25*INDEX('Lease Cycles'!$HE$25:$HK$25,1,DU299)*(1+INDEX('Lease Cycles'!$GQ$25:$GW$25,1,DU299))^INT(INT((DU$6-INDEX('Lease Cycles'!$GJ$25:$GP$25,1,DU299))/12)/INDEX('Lease Cycles'!$GX$25:$HD$25,1,DU299))/12,0)))</f>
        <v>0</v>
      </c>
      <c r="DV302" s="28">
        <f>IF(DV299=0,IF('Lease Cycles'!$F$25&gt;0,'Lease Cycles'!$C$25*'Lease Cycles'!$E$25/12,0),IF(DV301=1,IF('Lease Cycles'!$AT$25&gt;=9999,'Lease Cycles'!$C$25*INDEX('Lease Cycles'!$CB$25:$CH$25,1,DV299)*(1+INDEX('Lease Cycles'!$CI$25:$CO$25,1,DV299))^INT(INT(DV300/12)/INDEX('Lease Cycles'!$CP$25:$CV$25,1,DV299))/12,IF(DV299=1,IF(DV300&gt;=INDEX('Lease Cycles'!$DK$25:$DQ$25,1,DV299),IF(DV$6&gt;='Lease Cycles'!$AZ$25,'Lease Cycles'!$C$25*'Lease Cycles'!$BA$25/12,IF(DV$6&gt;='Lease Cycles'!$AX$25,'Lease Cycles'!$C$25*'Lease Cycles'!$AY$25/12,IF(DV$6&gt;='Lease Cycles'!$AV$25,'Lease Cycles'!$C$25*'Lease Cycles'!$AW$25/12,IF(DV$6&gt;='Lease Cycles'!$AT$25,'Lease Cycles'!$C$25*'Lease Cycles'!$AU$25/12,'Lease Cycles'!$C$25*INDEX('Lease Cycles'!$CB$25:$CH$25,1,DV299)*(1+INDEX('Lease Cycles'!$CI$25:$CO$25,1,DV299))^INT(INT(DV300/12)/INDEX('Lease Cycles'!$CP$25:$CV$25,1,DV299))/12)))),'Lease Cycles'!$C$25*INDEX('Lease Cycles'!$CB$25:$CH$25,1,DV299)*(1+INDEX('Lease Cycles'!$CI$25:$CO$25,1,DV299))^INT(INT(DV300/12)/INDEX('Lease Cycles'!$CP$25:$CV$25,1,DV299))/12),IF(INDEX('Lease Cycles'!$EF$25:$EL$25,1,DV299)=1,IF(AND('Lease Cycles'!$AZ$25&gt;=INDEX('Lease Cycles'!$BG$25:$BM$25,1,DV299),'Lease Cycles'!$AZ$25&lt;=DV$6),'Lease Cycles'!$C$25*'Lease Cycles'!$BA$25/12,IF(AND('Lease Cycles'!$AX$25&gt;=INDEX('Lease Cycles'!$BG$25:$BM$25,1,DV299),'Lease Cycles'!$AX$25&lt;=DV$6),'Lease Cycles'!$C$25*'Lease Cycles'!$AY$25/12,IF(AND('Lease Cycles'!$AV$25&gt;=INDEX('Lease Cycles'!$BG$25:$BM$25,1,DV299),'Lease Cycles'!$AV$25&lt;=DV$6),'Lease Cycles'!$C$25*'Lease Cycles'!$AW$25/12,IF(AND('Lease Cycles'!$AT$25&gt;=INDEX('Lease Cycles'!$BG$25:$BM$25,1,DV299),'Lease Cycles'!$AT$25&lt;=DV$6),'Lease Cycles'!$C$25*'Lease Cycles'!$AU$25/12,'Lease Cycles'!$C$25*INDEX('Lease Cycles'!$CB$25:$CH$25,1,DV299)*(1+INDEX('Lease Cycles'!$CI$25:$CO$25,1,DV299))^INT(INT(DV300/12)/INDEX('Lease Cycles'!$CP$25:$CV$25,1,DV299))/12)))),'Lease Cycles'!$C$25*INDEX('Lease Cycles'!$CB$25:$CH$25,1,DV299)*(1+INDEX('Lease Cycles'!$CI$25:$CO$25,1,DV299))^INT(INT(DV300/12)/INDEX('Lease Cycles'!$CP$25:$CV$25,1,DV299))/12))),IF('Lease Cycles'!$N$25=1,'Lease Cycles'!$C$25*'Lease Cycles'!$E$25*INDEX('Lease Cycles'!$HE$25:$HK$25,1,DV299)*(1+INDEX('Lease Cycles'!$GQ$25:$GW$25,1,DV299))^INT(INT((DV$6-INDEX('Lease Cycles'!$GJ$25:$GP$25,1,DV299))/12)/INDEX('Lease Cycles'!$GX$25:$HD$25,1,DV299))/12,0)))</f>
        <v>0</v>
      </c>
      <c r="DW302" s="28">
        <f>IF(DW299=0,IF('Lease Cycles'!$F$25&gt;0,'Lease Cycles'!$C$25*'Lease Cycles'!$E$25/12,0),IF(DW301=1,IF('Lease Cycles'!$AT$25&gt;=9999,'Lease Cycles'!$C$25*INDEX('Lease Cycles'!$CB$25:$CH$25,1,DW299)*(1+INDEX('Lease Cycles'!$CI$25:$CO$25,1,DW299))^INT(INT(DW300/12)/INDEX('Lease Cycles'!$CP$25:$CV$25,1,DW299))/12,IF(DW299=1,IF(DW300&gt;=INDEX('Lease Cycles'!$DK$25:$DQ$25,1,DW299),IF(DW$6&gt;='Lease Cycles'!$AZ$25,'Lease Cycles'!$C$25*'Lease Cycles'!$BA$25/12,IF(DW$6&gt;='Lease Cycles'!$AX$25,'Lease Cycles'!$C$25*'Lease Cycles'!$AY$25/12,IF(DW$6&gt;='Lease Cycles'!$AV$25,'Lease Cycles'!$C$25*'Lease Cycles'!$AW$25/12,IF(DW$6&gt;='Lease Cycles'!$AT$25,'Lease Cycles'!$C$25*'Lease Cycles'!$AU$25/12,'Lease Cycles'!$C$25*INDEX('Lease Cycles'!$CB$25:$CH$25,1,DW299)*(1+INDEX('Lease Cycles'!$CI$25:$CO$25,1,DW299))^INT(INT(DW300/12)/INDEX('Lease Cycles'!$CP$25:$CV$25,1,DW299))/12)))),'Lease Cycles'!$C$25*INDEX('Lease Cycles'!$CB$25:$CH$25,1,DW299)*(1+INDEX('Lease Cycles'!$CI$25:$CO$25,1,DW299))^INT(INT(DW300/12)/INDEX('Lease Cycles'!$CP$25:$CV$25,1,DW299))/12),IF(INDEX('Lease Cycles'!$EF$25:$EL$25,1,DW299)=1,IF(AND('Lease Cycles'!$AZ$25&gt;=INDEX('Lease Cycles'!$BG$25:$BM$25,1,DW299),'Lease Cycles'!$AZ$25&lt;=DW$6),'Lease Cycles'!$C$25*'Lease Cycles'!$BA$25/12,IF(AND('Lease Cycles'!$AX$25&gt;=INDEX('Lease Cycles'!$BG$25:$BM$25,1,DW299),'Lease Cycles'!$AX$25&lt;=DW$6),'Lease Cycles'!$C$25*'Lease Cycles'!$AY$25/12,IF(AND('Lease Cycles'!$AV$25&gt;=INDEX('Lease Cycles'!$BG$25:$BM$25,1,DW299),'Lease Cycles'!$AV$25&lt;=DW$6),'Lease Cycles'!$C$25*'Lease Cycles'!$AW$25/12,IF(AND('Lease Cycles'!$AT$25&gt;=INDEX('Lease Cycles'!$BG$25:$BM$25,1,DW299),'Lease Cycles'!$AT$25&lt;=DW$6),'Lease Cycles'!$C$25*'Lease Cycles'!$AU$25/12,'Lease Cycles'!$C$25*INDEX('Lease Cycles'!$CB$25:$CH$25,1,DW299)*(1+INDEX('Lease Cycles'!$CI$25:$CO$25,1,DW299))^INT(INT(DW300/12)/INDEX('Lease Cycles'!$CP$25:$CV$25,1,DW299))/12)))),'Lease Cycles'!$C$25*INDEX('Lease Cycles'!$CB$25:$CH$25,1,DW299)*(1+INDEX('Lease Cycles'!$CI$25:$CO$25,1,DW299))^INT(INT(DW300/12)/INDEX('Lease Cycles'!$CP$25:$CV$25,1,DW299))/12))),IF('Lease Cycles'!$N$25=1,'Lease Cycles'!$C$25*'Lease Cycles'!$E$25*INDEX('Lease Cycles'!$HE$25:$HK$25,1,DW299)*(1+INDEX('Lease Cycles'!$GQ$25:$GW$25,1,DW299))^INT(INT((DW$6-INDEX('Lease Cycles'!$GJ$25:$GP$25,1,DW299))/12)/INDEX('Lease Cycles'!$GX$25:$HD$25,1,DW299))/12,0)))</f>
        <v>0</v>
      </c>
      <c r="DX302" s="28">
        <f>IF(DX299=0,IF('Lease Cycles'!$F$25&gt;0,'Lease Cycles'!$C$25*'Lease Cycles'!$E$25/12,0),IF(DX301=1,IF('Lease Cycles'!$AT$25&gt;=9999,'Lease Cycles'!$C$25*INDEX('Lease Cycles'!$CB$25:$CH$25,1,DX299)*(1+INDEX('Lease Cycles'!$CI$25:$CO$25,1,DX299))^INT(INT(DX300/12)/INDEX('Lease Cycles'!$CP$25:$CV$25,1,DX299))/12,IF(DX299=1,IF(DX300&gt;=INDEX('Lease Cycles'!$DK$25:$DQ$25,1,DX299),IF(DX$6&gt;='Lease Cycles'!$AZ$25,'Lease Cycles'!$C$25*'Lease Cycles'!$BA$25/12,IF(DX$6&gt;='Lease Cycles'!$AX$25,'Lease Cycles'!$C$25*'Lease Cycles'!$AY$25/12,IF(DX$6&gt;='Lease Cycles'!$AV$25,'Lease Cycles'!$C$25*'Lease Cycles'!$AW$25/12,IF(DX$6&gt;='Lease Cycles'!$AT$25,'Lease Cycles'!$C$25*'Lease Cycles'!$AU$25/12,'Lease Cycles'!$C$25*INDEX('Lease Cycles'!$CB$25:$CH$25,1,DX299)*(1+INDEX('Lease Cycles'!$CI$25:$CO$25,1,DX299))^INT(INT(DX300/12)/INDEX('Lease Cycles'!$CP$25:$CV$25,1,DX299))/12)))),'Lease Cycles'!$C$25*INDEX('Lease Cycles'!$CB$25:$CH$25,1,DX299)*(1+INDEX('Lease Cycles'!$CI$25:$CO$25,1,DX299))^INT(INT(DX300/12)/INDEX('Lease Cycles'!$CP$25:$CV$25,1,DX299))/12),IF(INDEX('Lease Cycles'!$EF$25:$EL$25,1,DX299)=1,IF(AND('Lease Cycles'!$AZ$25&gt;=INDEX('Lease Cycles'!$BG$25:$BM$25,1,DX299),'Lease Cycles'!$AZ$25&lt;=DX$6),'Lease Cycles'!$C$25*'Lease Cycles'!$BA$25/12,IF(AND('Lease Cycles'!$AX$25&gt;=INDEX('Lease Cycles'!$BG$25:$BM$25,1,DX299),'Lease Cycles'!$AX$25&lt;=DX$6),'Lease Cycles'!$C$25*'Lease Cycles'!$AY$25/12,IF(AND('Lease Cycles'!$AV$25&gt;=INDEX('Lease Cycles'!$BG$25:$BM$25,1,DX299),'Lease Cycles'!$AV$25&lt;=DX$6),'Lease Cycles'!$C$25*'Lease Cycles'!$AW$25/12,IF(AND('Lease Cycles'!$AT$25&gt;=INDEX('Lease Cycles'!$BG$25:$BM$25,1,DX299),'Lease Cycles'!$AT$25&lt;=DX$6),'Lease Cycles'!$C$25*'Lease Cycles'!$AU$25/12,'Lease Cycles'!$C$25*INDEX('Lease Cycles'!$CB$25:$CH$25,1,DX299)*(1+INDEX('Lease Cycles'!$CI$25:$CO$25,1,DX299))^INT(INT(DX300/12)/INDEX('Lease Cycles'!$CP$25:$CV$25,1,DX299))/12)))),'Lease Cycles'!$C$25*INDEX('Lease Cycles'!$CB$25:$CH$25,1,DX299)*(1+INDEX('Lease Cycles'!$CI$25:$CO$25,1,DX299))^INT(INT(DX300/12)/INDEX('Lease Cycles'!$CP$25:$CV$25,1,DX299))/12))),IF('Lease Cycles'!$N$25=1,'Lease Cycles'!$C$25*'Lease Cycles'!$E$25*INDEX('Lease Cycles'!$HE$25:$HK$25,1,DX299)*(1+INDEX('Lease Cycles'!$GQ$25:$GW$25,1,DX299))^INT(INT((DX$6-INDEX('Lease Cycles'!$GJ$25:$GP$25,1,DX299))/12)/INDEX('Lease Cycles'!$GX$25:$HD$25,1,DX299))/12,0)))</f>
        <v>0</v>
      </c>
      <c r="DY302" s="28">
        <f>IF(DY299=0,IF('Lease Cycles'!$F$25&gt;0,'Lease Cycles'!$C$25*'Lease Cycles'!$E$25/12,0),IF(DY301=1,IF('Lease Cycles'!$AT$25&gt;=9999,'Lease Cycles'!$C$25*INDEX('Lease Cycles'!$CB$25:$CH$25,1,DY299)*(1+INDEX('Lease Cycles'!$CI$25:$CO$25,1,DY299))^INT(INT(DY300/12)/INDEX('Lease Cycles'!$CP$25:$CV$25,1,DY299))/12,IF(DY299=1,IF(DY300&gt;=INDEX('Lease Cycles'!$DK$25:$DQ$25,1,DY299),IF(DY$6&gt;='Lease Cycles'!$AZ$25,'Lease Cycles'!$C$25*'Lease Cycles'!$BA$25/12,IF(DY$6&gt;='Lease Cycles'!$AX$25,'Lease Cycles'!$C$25*'Lease Cycles'!$AY$25/12,IF(DY$6&gt;='Lease Cycles'!$AV$25,'Lease Cycles'!$C$25*'Lease Cycles'!$AW$25/12,IF(DY$6&gt;='Lease Cycles'!$AT$25,'Lease Cycles'!$C$25*'Lease Cycles'!$AU$25/12,'Lease Cycles'!$C$25*INDEX('Lease Cycles'!$CB$25:$CH$25,1,DY299)*(1+INDEX('Lease Cycles'!$CI$25:$CO$25,1,DY299))^INT(INT(DY300/12)/INDEX('Lease Cycles'!$CP$25:$CV$25,1,DY299))/12)))),'Lease Cycles'!$C$25*INDEX('Lease Cycles'!$CB$25:$CH$25,1,DY299)*(1+INDEX('Lease Cycles'!$CI$25:$CO$25,1,DY299))^INT(INT(DY300/12)/INDEX('Lease Cycles'!$CP$25:$CV$25,1,DY299))/12),IF(INDEX('Lease Cycles'!$EF$25:$EL$25,1,DY299)=1,IF(AND('Lease Cycles'!$AZ$25&gt;=INDEX('Lease Cycles'!$BG$25:$BM$25,1,DY299),'Lease Cycles'!$AZ$25&lt;=DY$6),'Lease Cycles'!$C$25*'Lease Cycles'!$BA$25/12,IF(AND('Lease Cycles'!$AX$25&gt;=INDEX('Lease Cycles'!$BG$25:$BM$25,1,DY299),'Lease Cycles'!$AX$25&lt;=DY$6),'Lease Cycles'!$C$25*'Lease Cycles'!$AY$25/12,IF(AND('Lease Cycles'!$AV$25&gt;=INDEX('Lease Cycles'!$BG$25:$BM$25,1,DY299),'Lease Cycles'!$AV$25&lt;=DY$6),'Lease Cycles'!$C$25*'Lease Cycles'!$AW$25/12,IF(AND('Lease Cycles'!$AT$25&gt;=INDEX('Lease Cycles'!$BG$25:$BM$25,1,DY299),'Lease Cycles'!$AT$25&lt;=DY$6),'Lease Cycles'!$C$25*'Lease Cycles'!$AU$25/12,'Lease Cycles'!$C$25*INDEX('Lease Cycles'!$CB$25:$CH$25,1,DY299)*(1+INDEX('Lease Cycles'!$CI$25:$CO$25,1,DY299))^INT(INT(DY300/12)/INDEX('Lease Cycles'!$CP$25:$CV$25,1,DY299))/12)))),'Lease Cycles'!$C$25*INDEX('Lease Cycles'!$CB$25:$CH$25,1,DY299)*(1+INDEX('Lease Cycles'!$CI$25:$CO$25,1,DY299))^INT(INT(DY300/12)/INDEX('Lease Cycles'!$CP$25:$CV$25,1,DY299))/12))),IF('Lease Cycles'!$N$25=1,'Lease Cycles'!$C$25*'Lease Cycles'!$E$25*INDEX('Lease Cycles'!$HE$25:$HK$25,1,DY299)*(1+INDEX('Lease Cycles'!$GQ$25:$GW$25,1,DY299))^INT(INT((DY$6-INDEX('Lease Cycles'!$GJ$25:$GP$25,1,DY299))/12)/INDEX('Lease Cycles'!$GX$25:$HD$25,1,DY299))/12,0)))</f>
        <v>0</v>
      </c>
      <c r="DZ302" s="28">
        <f>IF(DZ299=0,IF('Lease Cycles'!$F$25&gt;0,'Lease Cycles'!$C$25*'Lease Cycles'!$E$25/12,0),IF(DZ301=1,IF('Lease Cycles'!$AT$25&gt;=9999,'Lease Cycles'!$C$25*INDEX('Lease Cycles'!$CB$25:$CH$25,1,DZ299)*(1+INDEX('Lease Cycles'!$CI$25:$CO$25,1,DZ299))^INT(INT(DZ300/12)/INDEX('Lease Cycles'!$CP$25:$CV$25,1,DZ299))/12,IF(DZ299=1,IF(DZ300&gt;=INDEX('Lease Cycles'!$DK$25:$DQ$25,1,DZ299),IF(DZ$6&gt;='Lease Cycles'!$AZ$25,'Lease Cycles'!$C$25*'Lease Cycles'!$BA$25/12,IF(DZ$6&gt;='Lease Cycles'!$AX$25,'Lease Cycles'!$C$25*'Lease Cycles'!$AY$25/12,IF(DZ$6&gt;='Lease Cycles'!$AV$25,'Lease Cycles'!$C$25*'Lease Cycles'!$AW$25/12,IF(DZ$6&gt;='Lease Cycles'!$AT$25,'Lease Cycles'!$C$25*'Lease Cycles'!$AU$25/12,'Lease Cycles'!$C$25*INDEX('Lease Cycles'!$CB$25:$CH$25,1,DZ299)*(1+INDEX('Lease Cycles'!$CI$25:$CO$25,1,DZ299))^INT(INT(DZ300/12)/INDEX('Lease Cycles'!$CP$25:$CV$25,1,DZ299))/12)))),'Lease Cycles'!$C$25*INDEX('Lease Cycles'!$CB$25:$CH$25,1,DZ299)*(1+INDEX('Lease Cycles'!$CI$25:$CO$25,1,DZ299))^INT(INT(DZ300/12)/INDEX('Lease Cycles'!$CP$25:$CV$25,1,DZ299))/12),IF(INDEX('Lease Cycles'!$EF$25:$EL$25,1,DZ299)=1,IF(AND('Lease Cycles'!$AZ$25&gt;=INDEX('Lease Cycles'!$BG$25:$BM$25,1,DZ299),'Lease Cycles'!$AZ$25&lt;=DZ$6),'Lease Cycles'!$C$25*'Lease Cycles'!$BA$25/12,IF(AND('Lease Cycles'!$AX$25&gt;=INDEX('Lease Cycles'!$BG$25:$BM$25,1,DZ299),'Lease Cycles'!$AX$25&lt;=DZ$6),'Lease Cycles'!$C$25*'Lease Cycles'!$AY$25/12,IF(AND('Lease Cycles'!$AV$25&gt;=INDEX('Lease Cycles'!$BG$25:$BM$25,1,DZ299),'Lease Cycles'!$AV$25&lt;=DZ$6),'Lease Cycles'!$C$25*'Lease Cycles'!$AW$25/12,IF(AND('Lease Cycles'!$AT$25&gt;=INDEX('Lease Cycles'!$BG$25:$BM$25,1,DZ299),'Lease Cycles'!$AT$25&lt;=DZ$6),'Lease Cycles'!$C$25*'Lease Cycles'!$AU$25/12,'Lease Cycles'!$C$25*INDEX('Lease Cycles'!$CB$25:$CH$25,1,DZ299)*(1+INDEX('Lease Cycles'!$CI$25:$CO$25,1,DZ299))^INT(INT(DZ300/12)/INDEX('Lease Cycles'!$CP$25:$CV$25,1,DZ299))/12)))),'Lease Cycles'!$C$25*INDEX('Lease Cycles'!$CB$25:$CH$25,1,DZ299)*(1+INDEX('Lease Cycles'!$CI$25:$CO$25,1,DZ299))^INT(INT(DZ300/12)/INDEX('Lease Cycles'!$CP$25:$CV$25,1,DZ299))/12))),IF('Lease Cycles'!$N$25=1,'Lease Cycles'!$C$25*'Lease Cycles'!$E$25*INDEX('Lease Cycles'!$HE$25:$HK$25,1,DZ299)*(1+INDEX('Lease Cycles'!$GQ$25:$GW$25,1,DZ299))^INT(INT((DZ$6-INDEX('Lease Cycles'!$GJ$25:$GP$25,1,DZ299))/12)/INDEX('Lease Cycles'!$GX$25:$HD$25,1,DZ299))/12,0)))</f>
        <v>0</v>
      </c>
      <c r="EA302" s="28">
        <f>IF(EA299=0,IF('Lease Cycles'!$F$25&gt;0,'Lease Cycles'!$C$25*'Lease Cycles'!$E$25/12,0),IF(EA301=1,IF('Lease Cycles'!$AT$25&gt;=9999,'Lease Cycles'!$C$25*INDEX('Lease Cycles'!$CB$25:$CH$25,1,EA299)*(1+INDEX('Lease Cycles'!$CI$25:$CO$25,1,EA299))^INT(INT(EA300/12)/INDEX('Lease Cycles'!$CP$25:$CV$25,1,EA299))/12,IF(EA299=1,IF(EA300&gt;=INDEX('Lease Cycles'!$DK$25:$DQ$25,1,EA299),IF(EA$6&gt;='Lease Cycles'!$AZ$25,'Lease Cycles'!$C$25*'Lease Cycles'!$BA$25/12,IF(EA$6&gt;='Lease Cycles'!$AX$25,'Lease Cycles'!$C$25*'Lease Cycles'!$AY$25/12,IF(EA$6&gt;='Lease Cycles'!$AV$25,'Lease Cycles'!$C$25*'Lease Cycles'!$AW$25/12,IF(EA$6&gt;='Lease Cycles'!$AT$25,'Lease Cycles'!$C$25*'Lease Cycles'!$AU$25/12,'Lease Cycles'!$C$25*INDEX('Lease Cycles'!$CB$25:$CH$25,1,EA299)*(1+INDEX('Lease Cycles'!$CI$25:$CO$25,1,EA299))^INT(INT(EA300/12)/INDEX('Lease Cycles'!$CP$25:$CV$25,1,EA299))/12)))),'Lease Cycles'!$C$25*INDEX('Lease Cycles'!$CB$25:$CH$25,1,EA299)*(1+INDEX('Lease Cycles'!$CI$25:$CO$25,1,EA299))^INT(INT(EA300/12)/INDEX('Lease Cycles'!$CP$25:$CV$25,1,EA299))/12),IF(INDEX('Lease Cycles'!$EF$25:$EL$25,1,EA299)=1,IF(AND('Lease Cycles'!$AZ$25&gt;=INDEX('Lease Cycles'!$BG$25:$BM$25,1,EA299),'Lease Cycles'!$AZ$25&lt;=EA$6),'Lease Cycles'!$C$25*'Lease Cycles'!$BA$25/12,IF(AND('Lease Cycles'!$AX$25&gt;=INDEX('Lease Cycles'!$BG$25:$BM$25,1,EA299),'Lease Cycles'!$AX$25&lt;=EA$6),'Lease Cycles'!$C$25*'Lease Cycles'!$AY$25/12,IF(AND('Lease Cycles'!$AV$25&gt;=INDEX('Lease Cycles'!$BG$25:$BM$25,1,EA299),'Lease Cycles'!$AV$25&lt;=EA$6),'Lease Cycles'!$C$25*'Lease Cycles'!$AW$25/12,IF(AND('Lease Cycles'!$AT$25&gt;=INDEX('Lease Cycles'!$BG$25:$BM$25,1,EA299),'Lease Cycles'!$AT$25&lt;=EA$6),'Lease Cycles'!$C$25*'Lease Cycles'!$AU$25/12,'Lease Cycles'!$C$25*INDEX('Lease Cycles'!$CB$25:$CH$25,1,EA299)*(1+INDEX('Lease Cycles'!$CI$25:$CO$25,1,EA299))^INT(INT(EA300/12)/INDEX('Lease Cycles'!$CP$25:$CV$25,1,EA299))/12)))),'Lease Cycles'!$C$25*INDEX('Lease Cycles'!$CB$25:$CH$25,1,EA299)*(1+INDEX('Lease Cycles'!$CI$25:$CO$25,1,EA299))^INT(INT(EA300/12)/INDEX('Lease Cycles'!$CP$25:$CV$25,1,EA299))/12))),IF('Lease Cycles'!$N$25=1,'Lease Cycles'!$C$25*'Lease Cycles'!$E$25*INDEX('Lease Cycles'!$HE$25:$HK$25,1,EA299)*(1+INDEX('Lease Cycles'!$GQ$25:$GW$25,1,EA299))^INT(INT((EA$6-INDEX('Lease Cycles'!$GJ$25:$GP$25,1,EA299))/12)/INDEX('Lease Cycles'!$GX$25:$HD$25,1,EA299))/12,0)))</f>
        <v>0</v>
      </c>
      <c r="EB302" s="28">
        <f>IF(EB299=0,IF('Lease Cycles'!$F$25&gt;0,'Lease Cycles'!$C$25*'Lease Cycles'!$E$25/12,0),IF(EB301=1,IF('Lease Cycles'!$AT$25&gt;=9999,'Lease Cycles'!$C$25*INDEX('Lease Cycles'!$CB$25:$CH$25,1,EB299)*(1+INDEX('Lease Cycles'!$CI$25:$CO$25,1,EB299))^INT(INT(EB300/12)/INDEX('Lease Cycles'!$CP$25:$CV$25,1,EB299))/12,IF(EB299=1,IF(EB300&gt;=INDEX('Lease Cycles'!$DK$25:$DQ$25,1,EB299),IF(EB$6&gt;='Lease Cycles'!$AZ$25,'Lease Cycles'!$C$25*'Lease Cycles'!$BA$25/12,IF(EB$6&gt;='Lease Cycles'!$AX$25,'Lease Cycles'!$C$25*'Lease Cycles'!$AY$25/12,IF(EB$6&gt;='Lease Cycles'!$AV$25,'Lease Cycles'!$C$25*'Lease Cycles'!$AW$25/12,IF(EB$6&gt;='Lease Cycles'!$AT$25,'Lease Cycles'!$C$25*'Lease Cycles'!$AU$25/12,'Lease Cycles'!$C$25*INDEX('Lease Cycles'!$CB$25:$CH$25,1,EB299)*(1+INDEX('Lease Cycles'!$CI$25:$CO$25,1,EB299))^INT(INT(EB300/12)/INDEX('Lease Cycles'!$CP$25:$CV$25,1,EB299))/12)))),'Lease Cycles'!$C$25*INDEX('Lease Cycles'!$CB$25:$CH$25,1,EB299)*(1+INDEX('Lease Cycles'!$CI$25:$CO$25,1,EB299))^INT(INT(EB300/12)/INDEX('Lease Cycles'!$CP$25:$CV$25,1,EB299))/12),IF(INDEX('Lease Cycles'!$EF$25:$EL$25,1,EB299)=1,IF(AND('Lease Cycles'!$AZ$25&gt;=INDEX('Lease Cycles'!$BG$25:$BM$25,1,EB299),'Lease Cycles'!$AZ$25&lt;=EB$6),'Lease Cycles'!$C$25*'Lease Cycles'!$BA$25/12,IF(AND('Lease Cycles'!$AX$25&gt;=INDEX('Lease Cycles'!$BG$25:$BM$25,1,EB299),'Lease Cycles'!$AX$25&lt;=EB$6),'Lease Cycles'!$C$25*'Lease Cycles'!$AY$25/12,IF(AND('Lease Cycles'!$AV$25&gt;=INDEX('Lease Cycles'!$BG$25:$BM$25,1,EB299),'Lease Cycles'!$AV$25&lt;=EB$6),'Lease Cycles'!$C$25*'Lease Cycles'!$AW$25/12,IF(AND('Lease Cycles'!$AT$25&gt;=INDEX('Lease Cycles'!$BG$25:$BM$25,1,EB299),'Lease Cycles'!$AT$25&lt;=EB$6),'Lease Cycles'!$C$25*'Lease Cycles'!$AU$25/12,'Lease Cycles'!$C$25*INDEX('Lease Cycles'!$CB$25:$CH$25,1,EB299)*(1+INDEX('Lease Cycles'!$CI$25:$CO$25,1,EB299))^INT(INT(EB300/12)/INDEX('Lease Cycles'!$CP$25:$CV$25,1,EB299))/12)))),'Lease Cycles'!$C$25*INDEX('Lease Cycles'!$CB$25:$CH$25,1,EB299)*(1+INDEX('Lease Cycles'!$CI$25:$CO$25,1,EB299))^INT(INT(EB300/12)/INDEX('Lease Cycles'!$CP$25:$CV$25,1,EB299))/12))),IF('Lease Cycles'!$N$25=1,'Lease Cycles'!$C$25*'Lease Cycles'!$E$25*INDEX('Lease Cycles'!$HE$25:$HK$25,1,EB299)*(1+INDEX('Lease Cycles'!$GQ$25:$GW$25,1,EB299))^INT(INT((EB$6-INDEX('Lease Cycles'!$GJ$25:$GP$25,1,EB299))/12)/INDEX('Lease Cycles'!$GX$25:$HD$25,1,EB299))/12,0)))</f>
        <v>0</v>
      </c>
      <c r="EC302" s="28">
        <f>IF(EC299=0,IF('Lease Cycles'!$F$25&gt;0,'Lease Cycles'!$C$25*'Lease Cycles'!$E$25/12,0),IF(EC301=1,IF('Lease Cycles'!$AT$25&gt;=9999,'Lease Cycles'!$C$25*INDEX('Lease Cycles'!$CB$25:$CH$25,1,EC299)*(1+INDEX('Lease Cycles'!$CI$25:$CO$25,1,EC299))^INT(INT(EC300/12)/INDEX('Lease Cycles'!$CP$25:$CV$25,1,EC299))/12,IF(EC299=1,IF(EC300&gt;=INDEX('Lease Cycles'!$DK$25:$DQ$25,1,EC299),IF(EC$6&gt;='Lease Cycles'!$AZ$25,'Lease Cycles'!$C$25*'Lease Cycles'!$BA$25/12,IF(EC$6&gt;='Lease Cycles'!$AX$25,'Lease Cycles'!$C$25*'Lease Cycles'!$AY$25/12,IF(EC$6&gt;='Lease Cycles'!$AV$25,'Lease Cycles'!$C$25*'Lease Cycles'!$AW$25/12,IF(EC$6&gt;='Lease Cycles'!$AT$25,'Lease Cycles'!$C$25*'Lease Cycles'!$AU$25/12,'Lease Cycles'!$C$25*INDEX('Lease Cycles'!$CB$25:$CH$25,1,EC299)*(1+INDEX('Lease Cycles'!$CI$25:$CO$25,1,EC299))^INT(INT(EC300/12)/INDEX('Lease Cycles'!$CP$25:$CV$25,1,EC299))/12)))),'Lease Cycles'!$C$25*INDEX('Lease Cycles'!$CB$25:$CH$25,1,EC299)*(1+INDEX('Lease Cycles'!$CI$25:$CO$25,1,EC299))^INT(INT(EC300/12)/INDEX('Lease Cycles'!$CP$25:$CV$25,1,EC299))/12),IF(INDEX('Lease Cycles'!$EF$25:$EL$25,1,EC299)=1,IF(AND('Lease Cycles'!$AZ$25&gt;=INDEX('Lease Cycles'!$BG$25:$BM$25,1,EC299),'Lease Cycles'!$AZ$25&lt;=EC$6),'Lease Cycles'!$C$25*'Lease Cycles'!$BA$25/12,IF(AND('Lease Cycles'!$AX$25&gt;=INDEX('Lease Cycles'!$BG$25:$BM$25,1,EC299),'Lease Cycles'!$AX$25&lt;=EC$6),'Lease Cycles'!$C$25*'Lease Cycles'!$AY$25/12,IF(AND('Lease Cycles'!$AV$25&gt;=INDEX('Lease Cycles'!$BG$25:$BM$25,1,EC299),'Lease Cycles'!$AV$25&lt;=EC$6),'Lease Cycles'!$C$25*'Lease Cycles'!$AW$25/12,IF(AND('Lease Cycles'!$AT$25&gt;=INDEX('Lease Cycles'!$BG$25:$BM$25,1,EC299),'Lease Cycles'!$AT$25&lt;=EC$6),'Lease Cycles'!$C$25*'Lease Cycles'!$AU$25/12,'Lease Cycles'!$C$25*INDEX('Lease Cycles'!$CB$25:$CH$25,1,EC299)*(1+INDEX('Lease Cycles'!$CI$25:$CO$25,1,EC299))^INT(INT(EC300/12)/INDEX('Lease Cycles'!$CP$25:$CV$25,1,EC299))/12)))),'Lease Cycles'!$C$25*INDEX('Lease Cycles'!$CB$25:$CH$25,1,EC299)*(1+INDEX('Lease Cycles'!$CI$25:$CO$25,1,EC299))^INT(INT(EC300/12)/INDEX('Lease Cycles'!$CP$25:$CV$25,1,EC299))/12))),IF('Lease Cycles'!$N$25=1,'Lease Cycles'!$C$25*'Lease Cycles'!$E$25*INDEX('Lease Cycles'!$HE$25:$HK$25,1,EC299)*(1+INDEX('Lease Cycles'!$GQ$25:$GW$25,1,EC299))^INT(INT((EC$6-INDEX('Lease Cycles'!$GJ$25:$GP$25,1,EC299))/12)/INDEX('Lease Cycles'!$GX$25:$HD$25,1,EC299))/12,0)))</f>
        <v>0</v>
      </c>
      <c r="ED302" s="28">
        <f>IF(ED299=0,IF('Lease Cycles'!$F$25&gt;0,'Lease Cycles'!$C$25*'Lease Cycles'!$E$25/12,0),IF(ED301=1,IF('Lease Cycles'!$AT$25&gt;=9999,'Lease Cycles'!$C$25*INDEX('Lease Cycles'!$CB$25:$CH$25,1,ED299)*(1+INDEX('Lease Cycles'!$CI$25:$CO$25,1,ED299))^INT(INT(ED300/12)/INDEX('Lease Cycles'!$CP$25:$CV$25,1,ED299))/12,IF(ED299=1,IF(ED300&gt;=INDEX('Lease Cycles'!$DK$25:$DQ$25,1,ED299),IF(ED$6&gt;='Lease Cycles'!$AZ$25,'Lease Cycles'!$C$25*'Lease Cycles'!$BA$25/12,IF(ED$6&gt;='Lease Cycles'!$AX$25,'Lease Cycles'!$C$25*'Lease Cycles'!$AY$25/12,IF(ED$6&gt;='Lease Cycles'!$AV$25,'Lease Cycles'!$C$25*'Lease Cycles'!$AW$25/12,IF(ED$6&gt;='Lease Cycles'!$AT$25,'Lease Cycles'!$C$25*'Lease Cycles'!$AU$25/12,'Lease Cycles'!$C$25*INDEX('Lease Cycles'!$CB$25:$CH$25,1,ED299)*(1+INDEX('Lease Cycles'!$CI$25:$CO$25,1,ED299))^INT(INT(ED300/12)/INDEX('Lease Cycles'!$CP$25:$CV$25,1,ED299))/12)))),'Lease Cycles'!$C$25*INDEX('Lease Cycles'!$CB$25:$CH$25,1,ED299)*(1+INDEX('Lease Cycles'!$CI$25:$CO$25,1,ED299))^INT(INT(ED300/12)/INDEX('Lease Cycles'!$CP$25:$CV$25,1,ED299))/12),IF(INDEX('Lease Cycles'!$EF$25:$EL$25,1,ED299)=1,IF(AND('Lease Cycles'!$AZ$25&gt;=INDEX('Lease Cycles'!$BG$25:$BM$25,1,ED299),'Lease Cycles'!$AZ$25&lt;=ED$6),'Lease Cycles'!$C$25*'Lease Cycles'!$BA$25/12,IF(AND('Lease Cycles'!$AX$25&gt;=INDEX('Lease Cycles'!$BG$25:$BM$25,1,ED299),'Lease Cycles'!$AX$25&lt;=ED$6),'Lease Cycles'!$C$25*'Lease Cycles'!$AY$25/12,IF(AND('Lease Cycles'!$AV$25&gt;=INDEX('Lease Cycles'!$BG$25:$BM$25,1,ED299),'Lease Cycles'!$AV$25&lt;=ED$6),'Lease Cycles'!$C$25*'Lease Cycles'!$AW$25/12,IF(AND('Lease Cycles'!$AT$25&gt;=INDEX('Lease Cycles'!$BG$25:$BM$25,1,ED299),'Lease Cycles'!$AT$25&lt;=ED$6),'Lease Cycles'!$C$25*'Lease Cycles'!$AU$25/12,'Lease Cycles'!$C$25*INDEX('Lease Cycles'!$CB$25:$CH$25,1,ED299)*(1+INDEX('Lease Cycles'!$CI$25:$CO$25,1,ED299))^INT(INT(ED300/12)/INDEX('Lease Cycles'!$CP$25:$CV$25,1,ED299))/12)))),'Lease Cycles'!$C$25*INDEX('Lease Cycles'!$CB$25:$CH$25,1,ED299)*(1+INDEX('Lease Cycles'!$CI$25:$CO$25,1,ED299))^INT(INT(ED300/12)/INDEX('Lease Cycles'!$CP$25:$CV$25,1,ED299))/12))),IF('Lease Cycles'!$N$25=1,'Lease Cycles'!$C$25*'Lease Cycles'!$E$25*INDEX('Lease Cycles'!$HE$25:$HK$25,1,ED299)*(1+INDEX('Lease Cycles'!$GQ$25:$GW$25,1,ED299))^INT(INT((ED$6-INDEX('Lease Cycles'!$GJ$25:$GP$25,1,ED299))/12)/INDEX('Lease Cycles'!$GX$25:$HD$25,1,ED299))/12,0)))</f>
        <v>0</v>
      </c>
      <c r="EE302" s="28">
        <f>IF(EE299=0,IF('Lease Cycles'!$F$25&gt;0,'Lease Cycles'!$C$25*'Lease Cycles'!$E$25/12,0),IF(EE301=1,IF('Lease Cycles'!$AT$25&gt;=9999,'Lease Cycles'!$C$25*INDEX('Lease Cycles'!$CB$25:$CH$25,1,EE299)*(1+INDEX('Lease Cycles'!$CI$25:$CO$25,1,EE299))^INT(INT(EE300/12)/INDEX('Lease Cycles'!$CP$25:$CV$25,1,EE299))/12,IF(EE299=1,IF(EE300&gt;=INDEX('Lease Cycles'!$DK$25:$DQ$25,1,EE299),IF(EE$6&gt;='Lease Cycles'!$AZ$25,'Lease Cycles'!$C$25*'Lease Cycles'!$BA$25/12,IF(EE$6&gt;='Lease Cycles'!$AX$25,'Lease Cycles'!$C$25*'Lease Cycles'!$AY$25/12,IF(EE$6&gt;='Lease Cycles'!$AV$25,'Lease Cycles'!$C$25*'Lease Cycles'!$AW$25/12,IF(EE$6&gt;='Lease Cycles'!$AT$25,'Lease Cycles'!$C$25*'Lease Cycles'!$AU$25/12,'Lease Cycles'!$C$25*INDEX('Lease Cycles'!$CB$25:$CH$25,1,EE299)*(1+INDEX('Lease Cycles'!$CI$25:$CO$25,1,EE299))^INT(INT(EE300/12)/INDEX('Lease Cycles'!$CP$25:$CV$25,1,EE299))/12)))),'Lease Cycles'!$C$25*INDEX('Lease Cycles'!$CB$25:$CH$25,1,EE299)*(1+INDEX('Lease Cycles'!$CI$25:$CO$25,1,EE299))^INT(INT(EE300/12)/INDEX('Lease Cycles'!$CP$25:$CV$25,1,EE299))/12),IF(INDEX('Lease Cycles'!$EF$25:$EL$25,1,EE299)=1,IF(AND('Lease Cycles'!$AZ$25&gt;=INDEX('Lease Cycles'!$BG$25:$BM$25,1,EE299),'Lease Cycles'!$AZ$25&lt;=EE$6),'Lease Cycles'!$C$25*'Lease Cycles'!$BA$25/12,IF(AND('Lease Cycles'!$AX$25&gt;=INDEX('Lease Cycles'!$BG$25:$BM$25,1,EE299),'Lease Cycles'!$AX$25&lt;=EE$6),'Lease Cycles'!$C$25*'Lease Cycles'!$AY$25/12,IF(AND('Lease Cycles'!$AV$25&gt;=INDEX('Lease Cycles'!$BG$25:$BM$25,1,EE299),'Lease Cycles'!$AV$25&lt;=EE$6),'Lease Cycles'!$C$25*'Lease Cycles'!$AW$25/12,IF(AND('Lease Cycles'!$AT$25&gt;=INDEX('Lease Cycles'!$BG$25:$BM$25,1,EE299),'Lease Cycles'!$AT$25&lt;=EE$6),'Lease Cycles'!$C$25*'Lease Cycles'!$AU$25/12,'Lease Cycles'!$C$25*INDEX('Lease Cycles'!$CB$25:$CH$25,1,EE299)*(1+INDEX('Lease Cycles'!$CI$25:$CO$25,1,EE299))^INT(INT(EE300/12)/INDEX('Lease Cycles'!$CP$25:$CV$25,1,EE299))/12)))),'Lease Cycles'!$C$25*INDEX('Lease Cycles'!$CB$25:$CH$25,1,EE299)*(1+INDEX('Lease Cycles'!$CI$25:$CO$25,1,EE299))^INT(INT(EE300/12)/INDEX('Lease Cycles'!$CP$25:$CV$25,1,EE299))/12))),IF('Lease Cycles'!$N$25=1,'Lease Cycles'!$C$25*'Lease Cycles'!$E$25*INDEX('Lease Cycles'!$HE$25:$HK$25,1,EE299)*(1+INDEX('Lease Cycles'!$GQ$25:$GW$25,1,EE299))^INT(INT((EE$6-INDEX('Lease Cycles'!$GJ$25:$GP$25,1,EE299))/12)/INDEX('Lease Cycles'!$GX$25:$HD$25,1,EE299))/12,0)))</f>
        <v>0</v>
      </c>
      <c r="EF302" s="28">
        <f>IF(EF299=0,IF('Lease Cycles'!$F$25&gt;0,'Lease Cycles'!$C$25*'Lease Cycles'!$E$25/12,0),IF(EF301=1,IF('Lease Cycles'!$AT$25&gt;=9999,'Lease Cycles'!$C$25*INDEX('Lease Cycles'!$CB$25:$CH$25,1,EF299)*(1+INDEX('Lease Cycles'!$CI$25:$CO$25,1,EF299))^INT(INT(EF300/12)/INDEX('Lease Cycles'!$CP$25:$CV$25,1,EF299))/12,IF(EF299=1,IF(EF300&gt;=INDEX('Lease Cycles'!$DK$25:$DQ$25,1,EF299),IF(EF$6&gt;='Lease Cycles'!$AZ$25,'Lease Cycles'!$C$25*'Lease Cycles'!$BA$25/12,IF(EF$6&gt;='Lease Cycles'!$AX$25,'Lease Cycles'!$C$25*'Lease Cycles'!$AY$25/12,IF(EF$6&gt;='Lease Cycles'!$AV$25,'Lease Cycles'!$C$25*'Lease Cycles'!$AW$25/12,IF(EF$6&gt;='Lease Cycles'!$AT$25,'Lease Cycles'!$C$25*'Lease Cycles'!$AU$25/12,'Lease Cycles'!$C$25*INDEX('Lease Cycles'!$CB$25:$CH$25,1,EF299)*(1+INDEX('Lease Cycles'!$CI$25:$CO$25,1,EF299))^INT(INT(EF300/12)/INDEX('Lease Cycles'!$CP$25:$CV$25,1,EF299))/12)))),'Lease Cycles'!$C$25*INDEX('Lease Cycles'!$CB$25:$CH$25,1,EF299)*(1+INDEX('Lease Cycles'!$CI$25:$CO$25,1,EF299))^INT(INT(EF300/12)/INDEX('Lease Cycles'!$CP$25:$CV$25,1,EF299))/12),IF(INDEX('Lease Cycles'!$EF$25:$EL$25,1,EF299)=1,IF(AND('Lease Cycles'!$AZ$25&gt;=INDEX('Lease Cycles'!$BG$25:$BM$25,1,EF299),'Lease Cycles'!$AZ$25&lt;=EF$6),'Lease Cycles'!$C$25*'Lease Cycles'!$BA$25/12,IF(AND('Lease Cycles'!$AX$25&gt;=INDEX('Lease Cycles'!$BG$25:$BM$25,1,EF299),'Lease Cycles'!$AX$25&lt;=EF$6),'Lease Cycles'!$C$25*'Lease Cycles'!$AY$25/12,IF(AND('Lease Cycles'!$AV$25&gt;=INDEX('Lease Cycles'!$BG$25:$BM$25,1,EF299),'Lease Cycles'!$AV$25&lt;=EF$6),'Lease Cycles'!$C$25*'Lease Cycles'!$AW$25/12,IF(AND('Lease Cycles'!$AT$25&gt;=INDEX('Lease Cycles'!$BG$25:$BM$25,1,EF299),'Lease Cycles'!$AT$25&lt;=EF$6),'Lease Cycles'!$C$25*'Lease Cycles'!$AU$25/12,'Lease Cycles'!$C$25*INDEX('Lease Cycles'!$CB$25:$CH$25,1,EF299)*(1+INDEX('Lease Cycles'!$CI$25:$CO$25,1,EF299))^INT(INT(EF300/12)/INDEX('Lease Cycles'!$CP$25:$CV$25,1,EF299))/12)))),'Lease Cycles'!$C$25*INDEX('Lease Cycles'!$CB$25:$CH$25,1,EF299)*(1+INDEX('Lease Cycles'!$CI$25:$CO$25,1,EF299))^INT(INT(EF300/12)/INDEX('Lease Cycles'!$CP$25:$CV$25,1,EF299))/12))),IF('Lease Cycles'!$N$25=1,'Lease Cycles'!$C$25*'Lease Cycles'!$E$25*INDEX('Lease Cycles'!$HE$25:$HK$25,1,EF299)*(1+INDEX('Lease Cycles'!$GQ$25:$GW$25,1,EF299))^INT(INT((EF$6-INDEX('Lease Cycles'!$GJ$25:$GP$25,1,EF299))/12)/INDEX('Lease Cycles'!$GX$25:$HD$25,1,EF299))/12,0)))</f>
        <v>0</v>
      </c>
      <c r="EG302" s="28">
        <f>IF(EG299=0,IF('Lease Cycles'!$F$25&gt;0,'Lease Cycles'!$C$25*'Lease Cycles'!$E$25/12,0),IF(EG301=1,IF('Lease Cycles'!$AT$25&gt;=9999,'Lease Cycles'!$C$25*INDEX('Lease Cycles'!$CB$25:$CH$25,1,EG299)*(1+INDEX('Lease Cycles'!$CI$25:$CO$25,1,EG299))^INT(INT(EG300/12)/INDEX('Lease Cycles'!$CP$25:$CV$25,1,EG299))/12,IF(EG299=1,IF(EG300&gt;=INDEX('Lease Cycles'!$DK$25:$DQ$25,1,EG299),IF(EG$6&gt;='Lease Cycles'!$AZ$25,'Lease Cycles'!$C$25*'Lease Cycles'!$BA$25/12,IF(EG$6&gt;='Lease Cycles'!$AX$25,'Lease Cycles'!$C$25*'Lease Cycles'!$AY$25/12,IF(EG$6&gt;='Lease Cycles'!$AV$25,'Lease Cycles'!$C$25*'Lease Cycles'!$AW$25/12,IF(EG$6&gt;='Lease Cycles'!$AT$25,'Lease Cycles'!$C$25*'Lease Cycles'!$AU$25/12,'Lease Cycles'!$C$25*INDEX('Lease Cycles'!$CB$25:$CH$25,1,EG299)*(1+INDEX('Lease Cycles'!$CI$25:$CO$25,1,EG299))^INT(INT(EG300/12)/INDEX('Lease Cycles'!$CP$25:$CV$25,1,EG299))/12)))),'Lease Cycles'!$C$25*INDEX('Lease Cycles'!$CB$25:$CH$25,1,EG299)*(1+INDEX('Lease Cycles'!$CI$25:$CO$25,1,EG299))^INT(INT(EG300/12)/INDEX('Lease Cycles'!$CP$25:$CV$25,1,EG299))/12),IF(INDEX('Lease Cycles'!$EF$25:$EL$25,1,EG299)=1,IF(AND('Lease Cycles'!$AZ$25&gt;=INDEX('Lease Cycles'!$BG$25:$BM$25,1,EG299),'Lease Cycles'!$AZ$25&lt;=EG$6),'Lease Cycles'!$C$25*'Lease Cycles'!$BA$25/12,IF(AND('Lease Cycles'!$AX$25&gt;=INDEX('Lease Cycles'!$BG$25:$BM$25,1,EG299),'Lease Cycles'!$AX$25&lt;=EG$6),'Lease Cycles'!$C$25*'Lease Cycles'!$AY$25/12,IF(AND('Lease Cycles'!$AV$25&gt;=INDEX('Lease Cycles'!$BG$25:$BM$25,1,EG299),'Lease Cycles'!$AV$25&lt;=EG$6),'Lease Cycles'!$C$25*'Lease Cycles'!$AW$25/12,IF(AND('Lease Cycles'!$AT$25&gt;=INDEX('Lease Cycles'!$BG$25:$BM$25,1,EG299),'Lease Cycles'!$AT$25&lt;=EG$6),'Lease Cycles'!$C$25*'Lease Cycles'!$AU$25/12,'Lease Cycles'!$C$25*INDEX('Lease Cycles'!$CB$25:$CH$25,1,EG299)*(1+INDEX('Lease Cycles'!$CI$25:$CO$25,1,EG299))^INT(INT(EG300/12)/INDEX('Lease Cycles'!$CP$25:$CV$25,1,EG299))/12)))),'Lease Cycles'!$C$25*INDEX('Lease Cycles'!$CB$25:$CH$25,1,EG299)*(1+INDEX('Lease Cycles'!$CI$25:$CO$25,1,EG299))^INT(INT(EG300/12)/INDEX('Lease Cycles'!$CP$25:$CV$25,1,EG299))/12))),IF('Lease Cycles'!$N$25=1,'Lease Cycles'!$C$25*'Lease Cycles'!$E$25*INDEX('Lease Cycles'!$HE$25:$HK$25,1,EG299)*(1+INDEX('Lease Cycles'!$GQ$25:$GW$25,1,EG299))^INT(INT((EG$6-INDEX('Lease Cycles'!$GJ$25:$GP$25,1,EG299))/12)/INDEX('Lease Cycles'!$GX$25:$HD$25,1,EG299))/12,0)))</f>
        <v>0</v>
      </c>
      <c r="EH302" s="28">
        <f>IF(EH299=0,IF('Lease Cycles'!$F$25&gt;0,'Lease Cycles'!$C$25*'Lease Cycles'!$E$25/12,0),IF(EH301=1,IF('Lease Cycles'!$AT$25&gt;=9999,'Lease Cycles'!$C$25*INDEX('Lease Cycles'!$CB$25:$CH$25,1,EH299)*(1+INDEX('Lease Cycles'!$CI$25:$CO$25,1,EH299))^INT(INT(EH300/12)/INDEX('Lease Cycles'!$CP$25:$CV$25,1,EH299))/12,IF(EH299=1,IF(EH300&gt;=INDEX('Lease Cycles'!$DK$25:$DQ$25,1,EH299),IF(EH$6&gt;='Lease Cycles'!$AZ$25,'Lease Cycles'!$C$25*'Lease Cycles'!$BA$25/12,IF(EH$6&gt;='Lease Cycles'!$AX$25,'Lease Cycles'!$C$25*'Lease Cycles'!$AY$25/12,IF(EH$6&gt;='Lease Cycles'!$AV$25,'Lease Cycles'!$C$25*'Lease Cycles'!$AW$25/12,IF(EH$6&gt;='Lease Cycles'!$AT$25,'Lease Cycles'!$C$25*'Lease Cycles'!$AU$25/12,'Lease Cycles'!$C$25*INDEX('Lease Cycles'!$CB$25:$CH$25,1,EH299)*(1+INDEX('Lease Cycles'!$CI$25:$CO$25,1,EH299))^INT(INT(EH300/12)/INDEX('Lease Cycles'!$CP$25:$CV$25,1,EH299))/12)))),'Lease Cycles'!$C$25*INDEX('Lease Cycles'!$CB$25:$CH$25,1,EH299)*(1+INDEX('Lease Cycles'!$CI$25:$CO$25,1,EH299))^INT(INT(EH300/12)/INDEX('Lease Cycles'!$CP$25:$CV$25,1,EH299))/12),IF(INDEX('Lease Cycles'!$EF$25:$EL$25,1,EH299)=1,IF(AND('Lease Cycles'!$AZ$25&gt;=INDEX('Lease Cycles'!$BG$25:$BM$25,1,EH299),'Lease Cycles'!$AZ$25&lt;=EH$6),'Lease Cycles'!$C$25*'Lease Cycles'!$BA$25/12,IF(AND('Lease Cycles'!$AX$25&gt;=INDEX('Lease Cycles'!$BG$25:$BM$25,1,EH299),'Lease Cycles'!$AX$25&lt;=EH$6),'Lease Cycles'!$C$25*'Lease Cycles'!$AY$25/12,IF(AND('Lease Cycles'!$AV$25&gt;=INDEX('Lease Cycles'!$BG$25:$BM$25,1,EH299),'Lease Cycles'!$AV$25&lt;=EH$6),'Lease Cycles'!$C$25*'Lease Cycles'!$AW$25/12,IF(AND('Lease Cycles'!$AT$25&gt;=INDEX('Lease Cycles'!$BG$25:$BM$25,1,EH299),'Lease Cycles'!$AT$25&lt;=EH$6),'Lease Cycles'!$C$25*'Lease Cycles'!$AU$25/12,'Lease Cycles'!$C$25*INDEX('Lease Cycles'!$CB$25:$CH$25,1,EH299)*(1+INDEX('Lease Cycles'!$CI$25:$CO$25,1,EH299))^INT(INT(EH300/12)/INDEX('Lease Cycles'!$CP$25:$CV$25,1,EH299))/12)))),'Lease Cycles'!$C$25*INDEX('Lease Cycles'!$CB$25:$CH$25,1,EH299)*(1+INDEX('Lease Cycles'!$CI$25:$CO$25,1,EH299))^INT(INT(EH300/12)/INDEX('Lease Cycles'!$CP$25:$CV$25,1,EH299))/12))),IF('Lease Cycles'!$N$25=1,'Lease Cycles'!$C$25*'Lease Cycles'!$E$25*INDEX('Lease Cycles'!$HE$25:$HK$25,1,EH299)*(1+INDEX('Lease Cycles'!$GQ$25:$GW$25,1,EH299))^INT(INT((EH$6-INDEX('Lease Cycles'!$GJ$25:$GP$25,1,EH299))/12)/INDEX('Lease Cycles'!$GX$25:$HD$25,1,EH299))/12,0)))</f>
        <v>0</v>
      </c>
      <c r="EI302" s="28">
        <f>IF(EI299=0,IF('Lease Cycles'!$F$25&gt;0,'Lease Cycles'!$C$25*'Lease Cycles'!$E$25/12,0),IF(EI301=1,IF('Lease Cycles'!$AT$25&gt;=9999,'Lease Cycles'!$C$25*INDEX('Lease Cycles'!$CB$25:$CH$25,1,EI299)*(1+INDEX('Lease Cycles'!$CI$25:$CO$25,1,EI299))^INT(INT(EI300/12)/INDEX('Lease Cycles'!$CP$25:$CV$25,1,EI299))/12,IF(EI299=1,IF(EI300&gt;=INDEX('Lease Cycles'!$DK$25:$DQ$25,1,EI299),IF(EI$6&gt;='Lease Cycles'!$AZ$25,'Lease Cycles'!$C$25*'Lease Cycles'!$BA$25/12,IF(EI$6&gt;='Lease Cycles'!$AX$25,'Lease Cycles'!$C$25*'Lease Cycles'!$AY$25/12,IF(EI$6&gt;='Lease Cycles'!$AV$25,'Lease Cycles'!$C$25*'Lease Cycles'!$AW$25/12,IF(EI$6&gt;='Lease Cycles'!$AT$25,'Lease Cycles'!$C$25*'Lease Cycles'!$AU$25/12,'Lease Cycles'!$C$25*INDEX('Lease Cycles'!$CB$25:$CH$25,1,EI299)*(1+INDEX('Lease Cycles'!$CI$25:$CO$25,1,EI299))^INT(INT(EI300/12)/INDEX('Lease Cycles'!$CP$25:$CV$25,1,EI299))/12)))),'Lease Cycles'!$C$25*INDEX('Lease Cycles'!$CB$25:$CH$25,1,EI299)*(1+INDEX('Lease Cycles'!$CI$25:$CO$25,1,EI299))^INT(INT(EI300/12)/INDEX('Lease Cycles'!$CP$25:$CV$25,1,EI299))/12),IF(INDEX('Lease Cycles'!$EF$25:$EL$25,1,EI299)=1,IF(AND('Lease Cycles'!$AZ$25&gt;=INDEX('Lease Cycles'!$BG$25:$BM$25,1,EI299),'Lease Cycles'!$AZ$25&lt;=EI$6),'Lease Cycles'!$C$25*'Lease Cycles'!$BA$25/12,IF(AND('Lease Cycles'!$AX$25&gt;=INDEX('Lease Cycles'!$BG$25:$BM$25,1,EI299),'Lease Cycles'!$AX$25&lt;=EI$6),'Lease Cycles'!$C$25*'Lease Cycles'!$AY$25/12,IF(AND('Lease Cycles'!$AV$25&gt;=INDEX('Lease Cycles'!$BG$25:$BM$25,1,EI299),'Lease Cycles'!$AV$25&lt;=EI$6),'Lease Cycles'!$C$25*'Lease Cycles'!$AW$25/12,IF(AND('Lease Cycles'!$AT$25&gt;=INDEX('Lease Cycles'!$BG$25:$BM$25,1,EI299),'Lease Cycles'!$AT$25&lt;=EI$6),'Lease Cycles'!$C$25*'Lease Cycles'!$AU$25/12,'Lease Cycles'!$C$25*INDEX('Lease Cycles'!$CB$25:$CH$25,1,EI299)*(1+INDEX('Lease Cycles'!$CI$25:$CO$25,1,EI299))^INT(INT(EI300/12)/INDEX('Lease Cycles'!$CP$25:$CV$25,1,EI299))/12)))),'Lease Cycles'!$C$25*INDEX('Lease Cycles'!$CB$25:$CH$25,1,EI299)*(1+INDEX('Lease Cycles'!$CI$25:$CO$25,1,EI299))^INT(INT(EI300/12)/INDEX('Lease Cycles'!$CP$25:$CV$25,1,EI299))/12))),IF('Lease Cycles'!$N$25=1,'Lease Cycles'!$C$25*'Lease Cycles'!$E$25*INDEX('Lease Cycles'!$HE$25:$HK$25,1,EI299)*(1+INDEX('Lease Cycles'!$GQ$25:$GW$25,1,EI299))^INT(INT((EI$6-INDEX('Lease Cycles'!$GJ$25:$GP$25,1,EI299))/12)/INDEX('Lease Cycles'!$GX$25:$HD$25,1,EI299))/12,0)))</f>
        <v>0</v>
      </c>
      <c r="EJ302" s="28">
        <f>IF(EJ299=0,IF('Lease Cycles'!$F$25&gt;0,'Lease Cycles'!$C$25*'Lease Cycles'!$E$25/12,0),IF(EJ301=1,IF('Lease Cycles'!$AT$25&gt;=9999,'Lease Cycles'!$C$25*INDEX('Lease Cycles'!$CB$25:$CH$25,1,EJ299)*(1+INDEX('Lease Cycles'!$CI$25:$CO$25,1,EJ299))^INT(INT(EJ300/12)/INDEX('Lease Cycles'!$CP$25:$CV$25,1,EJ299))/12,IF(EJ299=1,IF(EJ300&gt;=INDEX('Lease Cycles'!$DK$25:$DQ$25,1,EJ299),IF(EJ$6&gt;='Lease Cycles'!$AZ$25,'Lease Cycles'!$C$25*'Lease Cycles'!$BA$25/12,IF(EJ$6&gt;='Lease Cycles'!$AX$25,'Lease Cycles'!$C$25*'Lease Cycles'!$AY$25/12,IF(EJ$6&gt;='Lease Cycles'!$AV$25,'Lease Cycles'!$C$25*'Lease Cycles'!$AW$25/12,IF(EJ$6&gt;='Lease Cycles'!$AT$25,'Lease Cycles'!$C$25*'Lease Cycles'!$AU$25/12,'Lease Cycles'!$C$25*INDEX('Lease Cycles'!$CB$25:$CH$25,1,EJ299)*(1+INDEX('Lease Cycles'!$CI$25:$CO$25,1,EJ299))^INT(INT(EJ300/12)/INDEX('Lease Cycles'!$CP$25:$CV$25,1,EJ299))/12)))),'Lease Cycles'!$C$25*INDEX('Lease Cycles'!$CB$25:$CH$25,1,EJ299)*(1+INDEX('Lease Cycles'!$CI$25:$CO$25,1,EJ299))^INT(INT(EJ300/12)/INDEX('Lease Cycles'!$CP$25:$CV$25,1,EJ299))/12),IF(INDEX('Lease Cycles'!$EF$25:$EL$25,1,EJ299)=1,IF(AND('Lease Cycles'!$AZ$25&gt;=INDEX('Lease Cycles'!$BG$25:$BM$25,1,EJ299),'Lease Cycles'!$AZ$25&lt;=EJ$6),'Lease Cycles'!$C$25*'Lease Cycles'!$BA$25/12,IF(AND('Lease Cycles'!$AX$25&gt;=INDEX('Lease Cycles'!$BG$25:$BM$25,1,EJ299),'Lease Cycles'!$AX$25&lt;=EJ$6),'Lease Cycles'!$C$25*'Lease Cycles'!$AY$25/12,IF(AND('Lease Cycles'!$AV$25&gt;=INDEX('Lease Cycles'!$BG$25:$BM$25,1,EJ299),'Lease Cycles'!$AV$25&lt;=EJ$6),'Lease Cycles'!$C$25*'Lease Cycles'!$AW$25/12,IF(AND('Lease Cycles'!$AT$25&gt;=INDEX('Lease Cycles'!$BG$25:$BM$25,1,EJ299),'Lease Cycles'!$AT$25&lt;=EJ$6),'Lease Cycles'!$C$25*'Lease Cycles'!$AU$25/12,'Lease Cycles'!$C$25*INDEX('Lease Cycles'!$CB$25:$CH$25,1,EJ299)*(1+INDEX('Lease Cycles'!$CI$25:$CO$25,1,EJ299))^INT(INT(EJ300/12)/INDEX('Lease Cycles'!$CP$25:$CV$25,1,EJ299))/12)))),'Lease Cycles'!$C$25*INDEX('Lease Cycles'!$CB$25:$CH$25,1,EJ299)*(1+INDEX('Lease Cycles'!$CI$25:$CO$25,1,EJ299))^INT(INT(EJ300/12)/INDEX('Lease Cycles'!$CP$25:$CV$25,1,EJ299))/12))),IF('Lease Cycles'!$N$25=1,'Lease Cycles'!$C$25*'Lease Cycles'!$E$25*INDEX('Lease Cycles'!$HE$25:$HK$25,1,EJ299)*(1+INDEX('Lease Cycles'!$GQ$25:$GW$25,1,EJ299))^INT(INT((EJ$6-INDEX('Lease Cycles'!$GJ$25:$GP$25,1,EJ299))/12)/INDEX('Lease Cycles'!$GX$25:$HD$25,1,EJ299))/12,0)))</f>
        <v>0</v>
      </c>
      <c r="EK302" s="28">
        <f>IF(EK299=0,IF('Lease Cycles'!$F$25&gt;0,'Lease Cycles'!$C$25*'Lease Cycles'!$E$25/12,0),IF(EK301=1,IF('Lease Cycles'!$AT$25&gt;=9999,'Lease Cycles'!$C$25*INDEX('Lease Cycles'!$CB$25:$CH$25,1,EK299)*(1+INDEX('Lease Cycles'!$CI$25:$CO$25,1,EK299))^INT(INT(EK300/12)/INDEX('Lease Cycles'!$CP$25:$CV$25,1,EK299))/12,IF(EK299=1,IF(EK300&gt;=INDEX('Lease Cycles'!$DK$25:$DQ$25,1,EK299),IF(EK$6&gt;='Lease Cycles'!$AZ$25,'Lease Cycles'!$C$25*'Lease Cycles'!$BA$25/12,IF(EK$6&gt;='Lease Cycles'!$AX$25,'Lease Cycles'!$C$25*'Lease Cycles'!$AY$25/12,IF(EK$6&gt;='Lease Cycles'!$AV$25,'Lease Cycles'!$C$25*'Lease Cycles'!$AW$25/12,IF(EK$6&gt;='Lease Cycles'!$AT$25,'Lease Cycles'!$C$25*'Lease Cycles'!$AU$25/12,'Lease Cycles'!$C$25*INDEX('Lease Cycles'!$CB$25:$CH$25,1,EK299)*(1+INDEX('Lease Cycles'!$CI$25:$CO$25,1,EK299))^INT(INT(EK300/12)/INDEX('Lease Cycles'!$CP$25:$CV$25,1,EK299))/12)))),'Lease Cycles'!$C$25*INDEX('Lease Cycles'!$CB$25:$CH$25,1,EK299)*(1+INDEX('Lease Cycles'!$CI$25:$CO$25,1,EK299))^INT(INT(EK300/12)/INDEX('Lease Cycles'!$CP$25:$CV$25,1,EK299))/12),IF(INDEX('Lease Cycles'!$EF$25:$EL$25,1,EK299)=1,IF(AND('Lease Cycles'!$AZ$25&gt;=INDEX('Lease Cycles'!$BG$25:$BM$25,1,EK299),'Lease Cycles'!$AZ$25&lt;=EK$6),'Lease Cycles'!$C$25*'Lease Cycles'!$BA$25/12,IF(AND('Lease Cycles'!$AX$25&gt;=INDEX('Lease Cycles'!$BG$25:$BM$25,1,EK299),'Lease Cycles'!$AX$25&lt;=EK$6),'Lease Cycles'!$C$25*'Lease Cycles'!$AY$25/12,IF(AND('Lease Cycles'!$AV$25&gt;=INDEX('Lease Cycles'!$BG$25:$BM$25,1,EK299),'Lease Cycles'!$AV$25&lt;=EK$6),'Lease Cycles'!$C$25*'Lease Cycles'!$AW$25/12,IF(AND('Lease Cycles'!$AT$25&gt;=INDEX('Lease Cycles'!$BG$25:$BM$25,1,EK299),'Lease Cycles'!$AT$25&lt;=EK$6),'Lease Cycles'!$C$25*'Lease Cycles'!$AU$25/12,'Lease Cycles'!$C$25*INDEX('Lease Cycles'!$CB$25:$CH$25,1,EK299)*(1+INDEX('Lease Cycles'!$CI$25:$CO$25,1,EK299))^INT(INT(EK300/12)/INDEX('Lease Cycles'!$CP$25:$CV$25,1,EK299))/12)))),'Lease Cycles'!$C$25*INDEX('Lease Cycles'!$CB$25:$CH$25,1,EK299)*(1+INDEX('Lease Cycles'!$CI$25:$CO$25,1,EK299))^INT(INT(EK300/12)/INDEX('Lease Cycles'!$CP$25:$CV$25,1,EK299))/12))),IF('Lease Cycles'!$N$25=1,'Lease Cycles'!$C$25*'Lease Cycles'!$E$25*INDEX('Lease Cycles'!$HE$25:$HK$25,1,EK299)*(1+INDEX('Lease Cycles'!$GQ$25:$GW$25,1,EK299))^INT(INT((EK$6-INDEX('Lease Cycles'!$GJ$25:$GP$25,1,EK299))/12)/INDEX('Lease Cycles'!$GX$25:$HD$25,1,EK299))/12,0)))</f>
        <v>0</v>
      </c>
      <c r="EL302" s="28">
        <f>IF(EL299=0,IF('Lease Cycles'!$F$25&gt;0,'Lease Cycles'!$C$25*'Lease Cycles'!$E$25/12,0),IF(EL301=1,IF('Lease Cycles'!$AT$25&gt;=9999,'Lease Cycles'!$C$25*INDEX('Lease Cycles'!$CB$25:$CH$25,1,EL299)*(1+INDEX('Lease Cycles'!$CI$25:$CO$25,1,EL299))^INT(INT(EL300/12)/INDEX('Lease Cycles'!$CP$25:$CV$25,1,EL299))/12,IF(EL299=1,IF(EL300&gt;=INDEX('Lease Cycles'!$DK$25:$DQ$25,1,EL299),IF(EL$6&gt;='Lease Cycles'!$AZ$25,'Lease Cycles'!$C$25*'Lease Cycles'!$BA$25/12,IF(EL$6&gt;='Lease Cycles'!$AX$25,'Lease Cycles'!$C$25*'Lease Cycles'!$AY$25/12,IF(EL$6&gt;='Lease Cycles'!$AV$25,'Lease Cycles'!$C$25*'Lease Cycles'!$AW$25/12,IF(EL$6&gt;='Lease Cycles'!$AT$25,'Lease Cycles'!$C$25*'Lease Cycles'!$AU$25/12,'Lease Cycles'!$C$25*INDEX('Lease Cycles'!$CB$25:$CH$25,1,EL299)*(1+INDEX('Lease Cycles'!$CI$25:$CO$25,1,EL299))^INT(INT(EL300/12)/INDEX('Lease Cycles'!$CP$25:$CV$25,1,EL299))/12)))),'Lease Cycles'!$C$25*INDEX('Lease Cycles'!$CB$25:$CH$25,1,EL299)*(1+INDEX('Lease Cycles'!$CI$25:$CO$25,1,EL299))^INT(INT(EL300/12)/INDEX('Lease Cycles'!$CP$25:$CV$25,1,EL299))/12),IF(INDEX('Lease Cycles'!$EF$25:$EL$25,1,EL299)=1,IF(AND('Lease Cycles'!$AZ$25&gt;=INDEX('Lease Cycles'!$BG$25:$BM$25,1,EL299),'Lease Cycles'!$AZ$25&lt;=EL$6),'Lease Cycles'!$C$25*'Lease Cycles'!$BA$25/12,IF(AND('Lease Cycles'!$AX$25&gt;=INDEX('Lease Cycles'!$BG$25:$BM$25,1,EL299),'Lease Cycles'!$AX$25&lt;=EL$6),'Lease Cycles'!$C$25*'Lease Cycles'!$AY$25/12,IF(AND('Lease Cycles'!$AV$25&gt;=INDEX('Lease Cycles'!$BG$25:$BM$25,1,EL299),'Lease Cycles'!$AV$25&lt;=EL$6),'Lease Cycles'!$C$25*'Lease Cycles'!$AW$25/12,IF(AND('Lease Cycles'!$AT$25&gt;=INDEX('Lease Cycles'!$BG$25:$BM$25,1,EL299),'Lease Cycles'!$AT$25&lt;=EL$6),'Lease Cycles'!$C$25*'Lease Cycles'!$AU$25/12,'Lease Cycles'!$C$25*INDEX('Lease Cycles'!$CB$25:$CH$25,1,EL299)*(1+INDEX('Lease Cycles'!$CI$25:$CO$25,1,EL299))^INT(INT(EL300/12)/INDEX('Lease Cycles'!$CP$25:$CV$25,1,EL299))/12)))),'Lease Cycles'!$C$25*INDEX('Lease Cycles'!$CB$25:$CH$25,1,EL299)*(1+INDEX('Lease Cycles'!$CI$25:$CO$25,1,EL299))^INT(INT(EL300/12)/INDEX('Lease Cycles'!$CP$25:$CV$25,1,EL299))/12))),IF('Lease Cycles'!$N$25=1,'Lease Cycles'!$C$25*'Lease Cycles'!$E$25*INDEX('Lease Cycles'!$HE$25:$HK$25,1,EL299)*(1+INDEX('Lease Cycles'!$GQ$25:$GW$25,1,EL299))^INT(INT((EL$6-INDEX('Lease Cycles'!$GJ$25:$GP$25,1,EL299))/12)/INDEX('Lease Cycles'!$GX$25:$HD$25,1,EL299))/12,0)))</f>
        <v>0</v>
      </c>
      <c r="EM302" s="28">
        <f>IF(EM299=0,IF('Lease Cycles'!$F$25&gt;0,'Lease Cycles'!$C$25*'Lease Cycles'!$E$25/12,0),IF(EM301=1,IF('Lease Cycles'!$AT$25&gt;=9999,'Lease Cycles'!$C$25*INDEX('Lease Cycles'!$CB$25:$CH$25,1,EM299)*(1+INDEX('Lease Cycles'!$CI$25:$CO$25,1,EM299))^INT(INT(EM300/12)/INDEX('Lease Cycles'!$CP$25:$CV$25,1,EM299))/12,IF(EM299=1,IF(EM300&gt;=INDEX('Lease Cycles'!$DK$25:$DQ$25,1,EM299),IF(EM$6&gt;='Lease Cycles'!$AZ$25,'Lease Cycles'!$C$25*'Lease Cycles'!$BA$25/12,IF(EM$6&gt;='Lease Cycles'!$AX$25,'Lease Cycles'!$C$25*'Lease Cycles'!$AY$25/12,IF(EM$6&gt;='Lease Cycles'!$AV$25,'Lease Cycles'!$C$25*'Lease Cycles'!$AW$25/12,IF(EM$6&gt;='Lease Cycles'!$AT$25,'Lease Cycles'!$C$25*'Lease Cycles'!$AU$25/12,'Lease Cycles'!$C$25*INDEX('Lease Cycles'!$CB$25:$CH$25,1,EM299)*(1+INDEX('Lease Cycles'!$CI$25:$CO$25,1,EM299))^INT(INT(EM300/12)/INDEX('Lease Cycles'!$CP$25:$CV$25,1,EM299))/12)))),'Lease Cycles'!$C$25*INDEX('Lease Cycles'!$CB$25:$CH$25,1,EM299)*(1+INDEX('Lease Cycles'!$CI$25:$CO$25,1,EM299))^INT(INT(EM300/12)/INDEX('Lease Cycles'!$CP$25:$CV$25,1,EM299))/12),IF(INDEX('Lease Cycles'!$EF$25:$EL$25,1,EM299)=1,IF(AND('Lease Cycles'!$AZ$25&gt;=INDEX('Lease Cycles'!$BG$25:$BM$25,1,EM299),'Lease Cycles'!$AZ$25&lt;=EM$6),'Lease Cycles'!$C$25*'Lease Cycles'!$BA$25/12,IF(AND('Lease Cycles'!$AX$25&gt;=INDEX('Lease Cycles'!$BG$25:$BM$25,1,EM299),'Lease Cycles'!$AX$25&lt;=EM$6),'Lease Cycles'!$C$25*'Lease Cycles'!$AY$25/12,IF(AND('Lease Cycles'!$AV$25&gt;=INDEX('Lease Cycles'!$BG$25:$BM$25,1,EM299),'Lease Cycles'!$AV$25&lt;=EM$6),'Lease Cycles'!$C$25*'Lease Cycles'!$AW$25/12,IF(AND('Lease Cycles'!$AT$25&gt;=INDEX('Lease Cycles'!$BG$25:$BM$25,1,EM299),'Lease Cycles'!$AT$25&lt;=EM$6),'Lease Cycles'!$C$25*'Lease Cycles'!$AU$25/12,'Lease Cycles'!$C$25*INDEX('Lease Cycles'!$CB$25:$CH$25,1,EM299)*(1+INDEX('Lease Cycles'!$CI$25:$CO$25,1,EM299))^INT(INT(EM300/12)/INDEX('Lease Cycles'!$CP$25:$CV$25,1,EM299))/12)))),'Lease Cycles'!$C$25*INDEX('Lease Cycles'!$CB$25:$CH$25,1,EM299)*(1+INDEX('Lease Cycles'!$CI$25:$CO$25,1,EM299))^INT(INT(EM300/12)/INDEX('Lease Cycles'!$CP$25:$CV$25,1,EM299))/12))),IF('Lease Cycles'!$N$25=1,'Lease Cycles'!$C$25*'Lease Cycles'!$E$25*INDEX('Lease Cycles'!$HE$25:$HK$25,1,EM299)*(1+INDEX('Lease Cycles'!$GQ$25:$GW$25,1,EM299))^INT(INT((EM$6-INDEX('Lease Cycles'!$GJ$25:$GP$25,1,EM299))/12)/INDEX('Lease Cycles'!$GX$25:$HD$25,1,EM299))/12,0)))</f>
        <v>0</v>
      </c>
      <c r="EN302" s="28">
        <f>IF(EN299=0,IF('Lease Cycles'!$F$25&gt;0,'Lease Cycles'!$C$25*'Lease Cycles'!$E$25/12,0),IF(EN301=1,IF('Lease Cycles'!$AT$25&gt;=9999,'Lease Cycles'!$C$25*INDEX('Lease Cycles'!$CB$25:$CH$25,1,EN299)*(1+INDEX('Lease Cycles'!$CI$25:$CO$25,1,EN299))^INT(INT(EN300/12)/INDEX('Lease Cycles'!$CP$25:$CV$25,1,EN299))/12,IF(EN299=1,IF(EN300&gt;=INDEX('Lease Cycles'!$DK$25:$DQ$25,1,EN299),IF(EN$6&gt;='Lease Cycles'!$AZ$25,'Lease Cycles'!$C$25*'Lease Cycles'!$BA$25/12,IF(EN$6&gt;='Lease Cycles'!$AX$25,'Lease Cycles'!$C$25*'Lease Cycles'!$AY$25/12,IF(EN$6&gt;='Lease Cycles'!$AV$25,'Lease Cycles'!$C$25*'Lease Cycles'!$AW$25/12,IF(EN$6&gt;='Lease Cycles'!$AT$25,'Lease Cycles'!$C$25*'Lease Cycles'!$AU$25/12,'Lease Cycles'!$C$25*INDEX('Lease Cycles'!$CB$25:$CH$25,1,EN299)*(1+INDEX('Lease Cycles'!$CI$25:$CO$25,1,EN299))^INT(INT(EN300/12)/INDEX('Lease Cycles'!$CP$25:$CV$25,1,EN299))/12)))),'Lease Cycles'!$C$25*INDEX('Lease Cycles'!$CB$25:$CH$25,1,EN299)*(1+INDEX('Lease Cycles'!$CI$25:$CO$25,1,EN299))^INT(INT(EN300/12)/INDEX('Lease Cycles'!$CP$25:$CV$25,1,EN299))/12),IF(INDEX('Lease Cycles'!$EF$25:$EL$25,1,EN299)=1,IF(AND('Lease Cycles'!$AZ$25&gt;=INDEX('Lease Cycles'!$BG$25:$BM$25,1,EN299),'Lease Cycles'!$AZ$25&lt;=EN$6),'Lease Cycles'!$C$25*'Lease Cycles'!$BA$25/12,IF(AND('Lease Cycles'!$AX$25&gt;=INDEX('Lease Cycles'!$BG$25:$BM$25,1,EN299),'Lease Cycles'!$AX$25&lt;=EN$6),'Lease Cycles'!$C$25*'Lease Cycles'!$AY$25/12,IF(AND('Lease Cycles'!$AV$25&gt;=INDEX('Lease Cycles'!$BG$25:$BM$25,1,EN299),'Lease Cycles'!$AV$25&lt;=EN$6),'Lease Cycles'!$C$25*'Lease Cycles'!$AW$25/12,IF(AND('Lease Cycles'!$AT$25&gt;=INDEX('Lease Cycles'!$BG$25:$BM$25,1,EN299),'Lease Cycles'!$AT$25&lt;=EN$6),'Lease Cycles'!$C$25*'Lease Cycles'!$AU$25/12,'Lease Cycles'!$C$25*INDEX('Lease Cycles'!$CB$25:$CH$25,1,EN299)*(1+INDEX('Lease Cycles'!$CI$25:$CO$25,1,EN299))^INT(INT(EN300/12)/INDEX('Lease Cycles'!$CP$25:$CV$25,1,EN299))/12)))),'Lease Cycles'!$C$25*INDEX('Lease Cycles'!$CB$25:$CH$25,1,EN299)*(1+INDEX('Lease Cycles'!$CI$25:$CO$25,1,EN299))^INT(INT(EN300/12)/INDEX('Lease Cycles'!$CP$25:$CV$25,1,EN299))/12))),IF('Lease Cycles'!$N$25=1,'Lease Cycles'!$C$25*'Lease Cycles'!$E$25*INDEX('Lease Cycles'!$HE$25:$HK$25,1,EN299)*(1+INDEX('Lease Cycles'!$GQ$25:$GW$25,1,EN299))^INT(INT((EN$6-INDEX('Lease Cycles'!$GJ$25:$GP$25,1,EN299))/12)/INDEX('Lease Cycles'!$GX$25:$HD$25,1,EN299))/12,0)))</f>
        <v>0</v>
      </c>
      <c r="EO302" s="28">
        <f>IF(EO299=0,IF('Lease Cycles'!$F$25&gt;0,'Lease Cycles'!$C$25*'Lease Cycles'!$E$25/12,0),IF(EO301=1,IF('Lease Cycles'!$AT$25&gt;=9999,'Lease Cycles'!$C$25*INDEX('Lease Cycles'!$CB$25:$CH$25,1,EO299)*(1+INDEX('Lease Cycles'!$CI$25:$CO$25,1,EO299))^INT(INT(EO300/12)/INDEX('Lease Cycles'!$CP$25:$CV$25,1,EO299))/12,IF(EO299=1,IF(EO300&gt;=INDEX('Lease Cycles'!$DK$25:$DQ$25,1,EO299),IF(EO$6&gt;='Lease Cycles'!$AZ$25,'Lease Cycles'!$C$25*'Lease Cycles'!$BA$25/12,IF(EO$6&gt;='Lease Cycles'!$AX$25,'Lease Cycles'!$C$25*'Lease Cycles'!$AY$25/12,IF(EO$6&gt;='Lease Cycles'!$AV$25,'Lease Cycles'!$C$25*'Lease Cycles'!$AW$25/12,IF(EO$6&gt;='Lease Cycles'!$AT$25,'Lease Cycles'!$C$25*'Lease Cycles'!$AU$25/12,'Lease Cycles'!$C$25*INDEX('Lease Cycles'!$CB$25:$CH$25,1,EO299)*(1+INDEX('Lease Cycles'!$CI$25:$CO$25,1,EO299))^INT(INT(EO300/12)/INDEX('Lease Cycles'!$CP$25:$CV$25,1,EO299))/12)))),'Lease Cycles'!$C$25*INDEX('Lease Cycles'!$CB$25:$CH$25,1,EO299)*(1+INDEX('Lease Cycles'!$CI$25:$CO$25,1,EO299))^INT(INT(EO300/12)/INDEX('Lease Cycles'!$CP$25:$CV$25,1,EO299))/12),IF(INDEX('Lease Cycles'!$EF$25:$EL$25,1,EO299)=1,IF(AND('Lease Cycles'!$AZ$25&gt;=INDEX('Lease Cycles'!$BG$25:$BM$25,1,EO299),'Lease Cycles'!$AZ$25&lt;=EO$6),'Lease Cycles'!$C$25*'Lease Cycles'!$BA$25/12,IF(AND('Lease Cycles'!$AX$25&gt;=INDEX('Lease Cycles'!$BG$25:$BM$25,1,EO299),'Lease Cycles'!$AX$25&lt;=EO$6),'Lease Cycles'!$C$25*'Lease Cycles'!$AY$25/12,IF(AND('Lease Cycles'!$AV$25&gt;=INDEX('Lease Cycles'!$BG$25:$BM$25,1,EO299),'Lease Cycles'!$AV$25&lt;=EO$6),'Lease Cycles'!$C$25*'Lease Cycles'!$AW$25/12,IF(AND('Lease Cycles'!$AT$25&gt;=INDEX('Lease Cycles'!$BG$25:$BM$25,1,EO299),'Lease Cycles'!$AT$25&lt;=EO$6),'Lease Cycles'!$C$25*'Lease Cycles'!$AU$25/12,'Lease Cycles'!$C$25*INDEX('Lease Cycles'!$CB$25:$CH$25,1,EO299)*(1+INDEX('Lease Cycles'!$CI$25:$CO$25,1,EO299))^INT(INT(EO300/12)/INDEX('Lease Cycles'!$CP$25:$CV$25,1,EO299))/12)))),'Lease Cycles'!$C$25*INDEX('Lease Cycles'!$CB$25:$CH$25,1,EO299)*(1+INDEX('Lease Cycles'!$CI$25:$CO$25,1,EO299))^INT(INT(EO300/12)/INDEX('Lease Cycles'!$CP$25:$CV$25,1,EO299))/12))),IF('Lease Cycles'!$N$25=1,'Lease Cycles'!$C$25*'Lease Cycles'!$E$25*INDEX('Lease Cycles'!$HE$25:$HK$25,1,EO299)*(1+INDEX('Lease Cycles'!$GQ$25:$GW$25,1,EO299))^INT(INT((EO$6-INDEX('Lease Cycles'!$GJ$25:$GP$25,1,EO299))/12)/INDEX('Lease Cycles'!$GX$25:$HD$25,1,EO299))/12,0)))</f>
        <v>0</v>
      </c>
      <c r="EP302" s="28">
        <f>IF(EP299=0,IF('Lease Cycles'!$F$25&gt;0,'Lease Cycles'!$C$25*'Lease Cycles'!$E$25/12,0),IF(EP301=1,IF('Lease Cycles'!$AT$25&gt;=9999,'Lease Cycles'!$C$25*INDEX('Lease Cycles'!$CB$25:$CH$25,1,EP299)*(1+INDEX('Lease Cycles'!$CI$25:$CO$25,1,EP299))^INT(INT(EP300/12)/INDEX('Lease Cycles'!$CP$25:$CV$25,1,EP299))/12,IF(EP299=1,IF(EP300&gt;=INDEX('Lease Cycles'!$DK$25:$DQ$25,1,EP299),IF(EP$6&gt;='Lease Cycles'!$AZ$25,'Lease Cycles'!$C$25*'Lease Cycles'!$BA$25/12,IF(EP$6&gt;='Lease Cycles'!$AX$25,'Lease Cycles'!$C$25*'Lease Cycles'!$AY$25/12,IF(EP$6&gt;='Lease Cycles'!$AV$25,'Lease Cycles'!$C$25*'Lease Cycles'!$AW$25/12,IF(EP$6&gt;='Lease Cycles'!$AT$25,'Lease Cycles'!$C$25*'Lease Cycles'!$AU$25/12,'Lease Cycles'!$C$25*INDEX('Lease Cycles'!$CB$25:$CH$25,1,EP299)*(1+INDEX('Lease Cycles'!$CI$25:$CO$25,1,EP299))^INT(INT(EP300/12)/INDEX('Lease Cycles'!$CP$25:$CV$25,1,EP299))/12)))),'Lease Cycles'!$C$25*INDEX('Lease Cycles'!$CB$25:$CH$25,1,EP299)*(1+INDEX('Lease Cycles'!$CI$25:$CO$25,1,EP299))^INT(INT(EP300/12)/INDEX('Lease Cycles'!$CP$25:$CV$25,1,EP299))/12),IF(INDEX('Lease Cycles'!$EF$25:$EL$25,1,EP299)=1,IF(AND('Lease Cycles'!$AZ$25&gt;=INDEX('Lease Cycles'!$BG$25:$BM$25,1,EP299),'Lease Cycles'!$AZ$25&lt;=EP$6),'Lease Cycles'!$C$25*'Lease Cycles'!$BA$25/12,IF(AND('Lease Cycles'!$AX$25&gt;=INDEX('Lease Cycles'!$BG$25:$BM$25,1,EP299),'Lease Cycles'!$AX$25&lt;=EP$6),'Lease Cycles'!$C$25*'Lease Cycles'!$AY$25/12,IF(AND('Lease Cycles'!$AV$25&gt;=INDEX('Lease Cycles'!$BG$25:$BM$25,1,EP299),'Lease Cycles'!$AV$25&lt;=EP$6),'Lease Cycles'!$C$25*'Lease Cycles'!$AW$25/12,IF(AND('Lease Cycles'!$AT$25&gt;=INDEX('Lease Cycles'!$BG$25:$BM$25,1,EP299),'Lease Cycles'!$AT$25&lt;=EP$6),'Lease Cycles'!$C$25*'Lease Cycles'!$AU$25/12,'Lease Cycles'!$C$25*INDEX('Lease Cycles'!$CB$25:$CH$25,1,EP299)*(1+INDEX('Lease Cycles'!$CI$25:$CO$25,1,EP299))^INT(INT(EP300/12)/INDEX('Lease Cycles'!$CP$25:$CV$25,1,EP299))/12)))),'Lease Cycles'!$C$25*INDEX('Lease Cycles'!$CB$25:$CH$25,1,EP299)*(1+INDEX('Lease Cycles'!$CI$25:$CO$25,1,EP299))^INT(INT(EP300/12)/INDEX('Lease Cycles'!$CP$25:$CV$25,1,EP299))/12))),IF('Lease Cycles'!$N$25=1,'Lease Cycles'!$C$25*'Lease Cycles'!$E$25*INDEX('Lease Cycles'!$HE$25:$HK$25,1,EP299)*(1+INDEX('Lease Cycles'!$GQ$25:$GW$25,1,EP299))^INT(INT((EP$6-INDEX('Lease Cycles'!$GJ$25:$GP$25,1,EP299))/12)/INDEX('Lease Cycles'!$GX$25:$HD$25,1,EP299))/12,0)))</f>
        <v>0</v>
      </c>
      <c r="EQ302" s="28">
        <f>IF(EQ299=0,IF('Lease Cycles'!$F$25&gt;0,'Lease Cycles'!$C$25*'Lease Cycles'!$E$25/12,0),IF(EQ301=1,IF('Lease Cycles'!$AT$25&gt;=9999,'Lease Cycles'!$C$25*INDEX('Lease Cycles'!$CB$25:$CH$25,1,EQ299)*(1+INDEX('Lease Cycles'!$CI$25:$CO$25,1,EQ299))^INT(INT(EQ300/12)/INDEX('Lease Cycles'!$CP$25:$CV$25,1,EQ299))/12,IF(EQ299=1,IF(EQ300&gt;=INDEX('Lease Cycles'!$DK$25:$DQ$25,1,EQ299),IF(EQ$6&gt;='Lease Cycles'!$AZ$25,'Lease Cycles'!$C$25*'Lease Cycles'!$BA$25/12,IF(EQ$6&gt;='Lease Cycles'!$AX$25,'Lease Cycles'!$C$25*'Lease Cycles'!$AY$25/12,IF(EQ$6&gt;='Lease Cycles'!$AV$25,'Lease Cycles'!$C$25*'Lease Cycles'!$AW$25/12,IF(EQ$6&gt;='Lease Cycles'!$AT$25,'Lease Cycles'!$C$25*'Lease Cycles'!$AU$25/12,'Lease Cycles'!$C$25*INDEX('Lease Cycles'!$CB$25:$CH$25,1,EQ299)*(1+INDEX('Lease Cycles'!$CI$25:$CO$25,1,EQ299))^INT(INT(EQ300/12)/INDEX('Lease Cycles'!$CP$25:$CV$25,1,EQ299))/12)))),'Lease Cycles'!$C$25*INDEX('Lease Cycles'!$CB$25:$CH$25,1,EQ299)*(1+INDEX('Lease Cycles'!$CI$25:$CO$25,1,EQ299))^INT(INT(EQ300/12)/INDEX('Lease Cycles'!$CP$25:$CV$25,1,EQ299))/12),IF(INDEX('Lease Cycles'!$EF$25:$EL$25,1,EQ299)=1,IF(AND('Lease Cycles'!$AZ$25&gt;=INDEX('Lease Cycles'!$BG$25:$BM$25,1,EQ299),'Lease Cycles'!$AZ$25&lt;=EQ$6),'Lease Cycles'!$C$25*'Lease Cycles'!$BA$25/12,IF(AND('Lease Cycles'!$AX$25&gt;=INDEX('Lease Cycles'!$BG$25:$BM$25,1,EQ299),'Lease Cycles'!$AX$25&lt;=EQ$6),'Lease Cycles'!$C$25*'Lease Cycles'!$AY$25/12,IF(AND('Lease Cycles'!$AV$25&gt;=INDEX('Lease Cycles'!$BG$25:$BM$25,1,EQ299),'Lease Cycles'!$AV$25&lt;=EQ$6),'Lease Cycles'!$C$25*'Lease Cycles'!$AW$25/12,IF(AND('Lease Cycles'!$AT$25&gt;=INDEX('Lease Cycles'!$BG$25:$BM$25,1,EQ299),'Lease Cycles'!$AT$25&lt;=EQ$6),'Lease Cycles'!$C$25*'Lease Cycles'!$AU$25/12,'Lease Cycles'!$C$25*INDEX('Lease Cycles'!$CB$25:$CH$25,1,EQ299)*(1+INDEX('Lease Cycles'!$CI$25:$CO$25,1,EQ299))^INT(INT(EQ300/12)/INDEX('Lease Cycles'!$CP$25:$CV$25,1,EQ299))/12)))),'Lease Cycles'!$C$25*INDEX('Lease Cycles'!$CB$25:$CH$25,1,EQ299)*(1+INDEX('Lease Cycles'!$CI$25:$CO$25,1,EQ299))^INT(INT(EQ300/12)/INDEX('Lease Cycles'!$CP$25:$CV$25,1,EQ299))/12))),IF('Lease Cycles'!$N$25=1,'Lease Cycles'!$C$25*'Lease Cycles'!$E$25*INDEX('Lease Cycles'!$HE$25:$HK$25,1,EQ299)*(1+INDEX('Lease Cycles'!$GQ$25:$GW$25,1,EQ299))^INT(INT((EQ$6-INDEX('Lease Cycles'!$GJ$25:$GP$25,1,EQ299))/12)/INDEX('Lease Cycles'!$GX$25:$HD$25,1,EQ299))/12,0)))</f>
        <v>0</v>
      </c>
      <c r="ER302" s="28">
        <f>IF(ER299=0,IF('Lease Cycles'!$F$25&gt;0,'Lease Cycles'!$C$25*'Lease Cycles'!$E$25/12,0),IF(ER301=1,IF('Lease Cycles'!$AT$25&gt;=9999,'Lease Cycles'!$C$25*INDEX('Lease Cycles'!$CB$25:$CH$25,1,ER299)*(1+INDEX('Lease Cycles'!$CI$25:$CO$25,1,ER299))^INT(INT(ER300/12)/INDEX('Lease Cycles'!$CP$25:$CV$25,1,ER299))/12,IF(ER299=1,IF(ER300&gt;=INDEX('Lease Cycles'!$DK$25:$DQ$25,1,ER299),IF(ER$6&gt;='Lease Cycles'!$AZ$25,'Lease Cycles'!$C$25*'Lease Cycles'!$BA$25/12,IF(ER$6&gt;='Lease Cycles'!$AX$25,'Lease Cycles'!$C$25*'Lease Cycles'!$AY$25/12,IF(ER$6&gt;='Lease Cycles'!$AV$25,'Lease Cycles'!$C$25*'Lease Cycles'!$AW$25/12,IF(ER$6&gt;='Lease Cycles'!$AT$25,'Lease Cycles'!$C$25*'Lease Cycles'!$AU$25/12,'Lease Cycles'!$C$25*INDEX('Lease Cycles'!$CB$25:$CH$25,1,ER299)*(1+INDEX('Lease Cycles'!$CI$25:$CO$25,1,ER299))^INT(INT(ER300/12)/INDEX('Lease Cycles'!$CP$25:$CV$25,1,ER299))/12)))),'Lease Cycles'!$C$25*INDEX('Lease Cycles'!$CB$25:$CH$25,1,ER299)*(1+INDEX('Lease Cycles'!$CI$25:$CO$25,1,ER299))^INT(INT(ER300/12)/INDEX('Lease Cycles'!$CP$25:$CV$25,1,ER299))/12),IF(INDEX('Lease Cycles'!$EF$25:$EL$25,1,ER299)=1,IF(AND('Lease Cycles'!$AZ$25&gt;=INDEX('Lease Cycles'!$BG$25:$BM$25,1,ER299),'Lease Cycles'!$AZ$25&lt;=ER$6),'Lease Cycles'!$C$25*'Lease Cycles'!$BA$25/12,IF(AND('Lease Cycles'!$AX$25&gt;=INDEX('Lease Cycles'!$BG$25:$BM$25,1,ER299),'Lease Cycles'!$AX$25&lt;=ER$6),'Lease Cycles'!$C$25*'Lease Cycles'!$AY$25/12,IF(AND('Lease Cycles'!$AV$25&gt;=INDEX('Lease Cycles'!$BG$25:$BM$25,1,ER299),'Lease Cycles'!$AV$25&lt;=ER$6),'Lease Cycles'!$C$25*'Lease Cycles'!$AW$25/12,IF(AND('Lease Cycles'!$AT$25&gt;=INDEX('Lease Cycles'!$BG$25:$BM$25,1,ER299),'Lease Cycles'!$AT$25&lt;=ER$6),'Lease Cycles'!$C$25*'Lease Cycles'!$AU$25/12,'Lease Cycles'!$C$25*INDEX('Lease Cycles'!$CB$25:$CH$25,1,ER299)*(1+INDEX('Lease Cycles'!$CI$25:$CO$25,1,ER299))^INT(INT(ER300/12)/INDEX('Lease Cycles'!$CP$25:$CV$25,1,ER299))/12)))),'Lease Cycles'!$C$25*INDEX('Lease Cycles'!$CB$25:$CH$25,1,ER299)*(1+INDEX('Lease Cycles'!$CI$25:$CO$25,1,ER299))^INT(INT(ER300/12)/INDEX('Lease Cycles'!$CP$25:$CV$25,1,ER299))/12))),IF('Lease Cycles'!$N$25=1,'Lease Cycles'!$C$25*'Lease Cycles'!$E$25*INDEX('Lease Cycles'!$HE$25:$HK$25,1,ER299)*(1+INDEX('Lease Cycles'!$GQ$25:$GW$25,1,ER299))^INT(INT((ER$6-INDEX('Lease Cycles'!$GJ$25:$GP$25,1,ER299))/12)/INDEX('Lease Cycles'!$GX$25:$HD$25,1,ER299))/12,0)))</f>
        <v>0</v>
      </c>
      <c r="ES302" s="28">
        <f>IF(ES299=0,IF('Lease Cycles'!$F$25&gt;0,'Lease Cycles'!$C$25*'Lease Cycles'!$E$25/12,0),IF(ES301=1,IF('Lease Cycles'!$AT$25&gt;=9999,'Lease Cycles'!$C$25*INDEX('Lease Cycles'!$CB$25:$CH$25,1,ES299)*(1+INDEX('Lease Cycles'!$CI$25:$CO$25,1,ES299))^INT(INT(ES300/12)/INDEX('Lease Cycles'!$CP$25:$CV$25,1,ES299))/12,IF(ES299=1,IF(ES300&gt;=INDEX('Lease Cycles'!$DK$25:$DQ$25,1,ES299),IF(ES$6&gt;='Lease Cycles'!$AZ$25,'Lease Cycles'!$C$25*'Lease Cycles'!$BA$25/12,IF(ES$6&gt;='Lease Cycles'!$AX$25,'Lease Cycles'!$C$25*'Lease Cycles'!$AY$25/12,IF(ES$6&gt;='Lease Cycles'!$AV$25,'Lease Cycles'!$C$25*'Lease Cycles'!$AW$25/12,IF(ES$6&gt;='Lease Cycles'!$AT$25,'Lease Cycles'!$C$25*'Lease Cycles'!$AU$25/12,'Lease Cycles'!$C$25*INDEX('Lease Cycles'!$CB$25:$CH$25,1,ES299)*(1+INDEX('Lease Cycles'!$CI$25:$CO$25,1,ES299))^INT(INT(ES300/12)/INDEX('Lease Cycles'!$CP$25:$CV$25,1,ES299))/12)))),'Lease Cycles'!$C$25*INDEX('Lease Cycles'!$CB$25:$CH$25,1,ES299)*(1+INDEX('Lease Cycles'!$CI$25:$CO$25,1,ES299))^INT(INT(ES300/12)/INDEX('Lease Cycles'!$CP$25:$CV$25,1,ES299))/12),IF(INDEX('Lease Cycles'!$EF$25:$EL$25,1,ES299)=1,IF(AND('Lease Cycles'!$AZ$25&gt;=INDEX('Lease Cycles'!$BG$25:$BM$25,1,ES299),'Lease Cycles'!$AZ$25&lt;=ES$6),'Lease Cycles'!$C$25*'Lease Cycles'!$BA$25/12,IF(AND('Lease Cycles'!$AX$25&gt;=INDEX('Lease Cycles'!$BG$25:$BM$25,1,ES299),'Lease Cycles'!$AX$25&lt;=ES$6),'Lease Cycles'!$C$25*'Lease Cycles'!$AY$25/12,IF(AND('Lease Cycles'!$AV$25&gt;=INDEX('Lease Cycles'!$BG$25:$BM$25,1,ES299),'Lease Cycles'!$AV$25&lt;=ES$6),'Lease Cycles'!$C$25*'Lease Cycles'!$AW$25/12,IF(AND('Lease Cycles'!$AT$25&gt;=INDEX('Lease Cycles'!$BG$25:$BM$25,1,ES299),'Lease Cycles'!$AT$25&lt;=ES$6),'Lease Cycles'!$C$25*'Lease Cycles'!$AU$25/12,'Lease Cycles'!$C$25*INDEX('Lease Cycles'!$CB$25:$CH$25,1,ES299)*(1+INDEX('Lease Cycles'!$CI$25:$CO$25,1,ES299))^INT(INT(ES300/12)/INDEX('Lease Cycles'!$CP$25:$CV$25,1,ES299))/12)))),'Lease Cycles'!$C$25*INDEX('Lease Cycles'!$CB$25:$CH$25,1,ES299)*(1+INDEX('Lease Cycles'!$CI$25:$CO$25,1,ES299))^INT(INT(ES300/12)/INDEX('Lease Cycles'!$CP$25:$CV$25,1,ES299))/12))),IF('Lease Cycles'!$N$25=1,'Lease Cycles'!$C$25*'Lease Cycles'!$E$25*INDEX('Lease Cycles'!$HE$25:$HK$25,1,ES299)*(1+INDEX('Lease Cycles'!$GQ$25:$GW$25,1,ES299))^INT(INT((ES$6-INDEX('Lease Cycles'!$GJ$25:$GP$25,1,ES299))/12)/INDEX('Lease Cycles'!$GX$25:$HD$25,1,ES299))/12,0)))</f>
        <v>0</v>
      </c>
      <c r="ET302" s="28">
        <f>IF(ET299=0,IF('Lease Cycles'!$F$25&gt;0,'Lease Cycles'!$C$25*'Lease Cycles'!$E$25/12,0),IF(ET301=1,IF('Lease Cycles'!$AT$25&gt;=9999,'Lease Cycles'!$C$25*INDEX('Lease Cycles'!$CB$25:$CH$25,1,ET299)*(1+INDEX('Lease Cycles'!$CI$25:$CO$25,1,ET299))^INT(INT(ET300/12)/INDEX('Lease Cycles'!$CP$25:$CV$25,1,ET299))/12,IF(ET299=1,IF(ET300&gt;=INDEX('Lease Cycles'!$DK$25:$DQ$25,1,ET299),IF(ET$6&gt;='Lease Cycles'!$AZ$25,'Lease Cycles'!$C$25*'Lease Cycles'!$BA$25/12,IF(ET$6&gt;='Lease Cycles'!$AX$25,'Lease Cycles'!$C$25*'Lease Cycles'!$AY$25/12,IF(ET$6&gt;='Lease Cycles'!$AV$25,'Lease Cycles'!$C$25*'Lease Cycles'!$AW$25/12,IF(ET$6&gt;='Lease Cycles'!$AT$25,'Lease Cycles'!$C$25*'Lease Cycles'!$AU$25/12,'Lease Cycles'!$C$25*INDEX('Lease Cycles'!$CB$25:$CH$25,1,ET299)*(1+INDEX('Lease Cycles'!$CI$25:$CO$25,1,ET299))^INT(INT(ET300/12)/INDEX('Lease Cycles'!$CP$25:$CV$25,1,ET299))/12)))),'Lease Cycles'!$C$25*INDEX('Lease Cycles'!$CB$25:$CH$25,1,ET299)*(1+INDEX('Lease Cycles'!$CI$25:$CO$25,1,ET299))^INT(INT(ET300/12)/INDEX('Lease Cycles'!$CP$25:$CV$25,1,ET299))/12),IF(INDEX('Lease Cycles'!$EF$25:$EL$25,1,ET299)=1,IF(AND('Lease Cycles'!$AZ$25&gt;=INDEX('Lease Cycles'!$BG$25:$BM$25,1,ET299),'Lease Cycles'!$AZ$25&lt;=ET$6),'Lease Cycles'!$C$25*'Lease Cycles'!$BA$25/12,IF(AND('Lease Cycles'!$AX$25&gt;=INDEX('Lease Cycles'!$BG$25:$BM$25,1,ET299),'Lease Cycles'!$AX$25&lt;=ET$6),'Lease Cycles'!$C$25*'Lease Cycles'!$AY$25/12,IF(AND('Lease Cycles'!$AV$25&gt;=INDEX('Lease Cycles'!$BG$25:$BM$25,1,ET299),'Lease Cycles'!$AV$25&lt;=ET$6),'Lease Cycles'!$C$25*'Lease Cycles'!$AW$25/12,IF(AND('Lease Cycles'!$AT$25&gt;=INDEX('Lease Cycles'!$BG$25:$BM$25,1,ET299),'Lease Cycles'!$AT$25&lt;=ET$6),'Lease Cycles'!$C$25*'Lease Cycles'!$AU$25/12,'Lease Cycles'!$C$25*INDEX('Lease Cycles'!$CB$25:$CH$25,1,ET299)*(1+INDEX('Lease Cycles'!$CI$25:$CO$25,1,ET299))^INT(INT(ET300/12)/INDEX('Lease Cycles'!$CP$25:$CV$25,1,ET299))/12)))),'Lease Cycles'!$C$25*INDEX('Lease Cycles'!$CB$25:$CH$25,1,ET299)*(1+INDEX('Lease Cycles'!$CI$25:$CO$25,1,ET299))^INT(INT(ET300/12)/INDEX('Lease Cycles'!$CP$25:$CV$25,1,ET299))/12))),IF('Lease Cycles'!$N$25=1,'Lease Cycles'!$C$25*'Lease Cycles'!$E$25*INDEX('Lease Cycles'!$HE$25:$HK$25,1,ET299)*(1+INDEX('Lease Cycles'!$GQ$25:$GW$25,1,ET299))^INT(INT((ET$6-INDEX('Lease Cycles'!$GJ$25:$GP$25,1,ET299))/12)/INDEX('Lease Cycles'!$GX$25:$HD$25,1,ET299))/12,0)))</f>
        <v>0</v>
      </c>
    </row>
    <row r="303">
      <c r="A303" s="103">
        <v>18</v>
      </c>
      <c r="B303" s="23" t="str">
        <f>IF('Lease Cycles'!$B$25="","(empty slot)",'Lease Cycles'!$B$25)</f>
        <v>(empty slot)</v>
      </c>
      <c r="C303" s="23" t="s">
        <v>679</v>
      </c>
      <c r="D303" s="104" t="s">
        <v>680</v>
      </c>
      <c r="E303" s="25">
        <f>'Lease Cycles'!$AL$25</f>
        <v>0</v>
      </c>
      <c r="S303" s="28">
        <f>IF(S301=1,IF(INDEX('Lease Cycles'!$EF$25:$EL$25,1,S299)=1,'Lease Cycles'!$C$25*INDEX('Lease Cycles'!$ET$25:$EZ$25,1,S299)*(1+'Lease Cycles'!$V$25)^INT(INT(S300/12)/'Lease Cycles'!$W$25)/12,0),0)</f>
        <v>0</v>
      </c>
      <c r="T303" s="28">
        <f>IF(T301=1,IF(INDEX('Lease Cycles'!$EF$25:$EL$25,1,T299)=1,'Lease Cycles'!$C$25*INDEX('Lease Cycles'!$ET$25:$EZ$25,1,T299)*(1+'Lease Cycles'!$V$25)^INT(INT(T300/12)/'Lease Cycles'!$W$25)/12,0),0)</f>
        <v>0</v>
      </c>
      <c r="U303" s="28">
        <f>IF(U301=1,IF(INDEX('Lease Cycles'!$EF$25:$EL$25,1,U299)=1,'Lease Cycles'!$C$25*INDEX('Lease Cycles'!$ET$25:$EZ$25,1,U299)*(1+'Lease Cycles'!$V$25)^INT(INT(U300/12)/'Lease Cycles'!$W$25)/12,0),0)</f>
        <v>0</v>
      </c>
      <c r="V303" s="28">
        <f>IF(V301=1,IF(INDEX('Lease Cycles'!$EF$25:$EL$25,1,V299)=1,'Lease Cycles'!$C$25*INDEX('Lease Cycles'!$ET$25:$EZ$25,1,V299)*(1+'Lease Cycles'!$V$25)^INT(INT(V300/12)/'Lease Cycles'!$W$25)/12,0),0)</f>
        <v>0</v>
      </c>
      <c r="W303" s="28">
        <f>IF(W301=1,IF(INDEX('Lease Cycles'!$EF$25:$EL$25,1,W299)=1,'Lease Cycles'!$C$25*INDEX('Lease Cycles'!$ET$25:$EZ$25,1,W299)*(1+'Lease Cycles'!$V$25)^INT(INT(W300/12)/'Lease Cycles'!$W$25)/12,0),0)</f>
        <v>0</v>
      </c>
      <c r="X303" s="28">
        <f>IF(X301=1,IF(INDEX('Lease Cycles'!$EF$25:$EL$25,1,X299)=1,'Lease Cycles'!$C$25*INDEX('Lease Cycles'!$ET$25:$EZ$25,1,X299)*(1+'Lease Cycles'!$V$25)^INT(INT(X300/12)/'Lease Cycles'!$W$25)/12,0),0)</f>
        <v>0</v>
      </c>
      <c r="Y303" s="28">
        <f>IF(Y301=1,IF(INDEX('Lease Cycles'!$EF$25:$EL$25,1,Y299)=1,'Lease Cycles'!$C$25*INDEX('Lease Cycles'!$ET$25:$EZ$25,1,Y299)*(1+'Lease Cycles'!$V$25)^INT(INT(Y300/12)/'Lease Cycles'!$W$25)/12,0),0)</f>
        <v>0</v>
      </c>
      <c r="Z303" s="28">
        <f>IF(Z301=1,IF(INDEX('Lease Cycles'!$EF$25:$EL$25,1,Z299)=1,'Lease Cycles'!$C$25*INDEX('Lease Cycles'!$ET$25:$EZ$25,1,Z299)*(1+'Lease Cycles'!$V$25)^INT(INT(Z300/12)/'Lease Cycles'!$W$25)/12,0),0)</f>
        <v>0</v>
      </c>
      <c r="AA303" s="28">
        <f>IF(AA301=1,IF(INDEX('Lease Cycles'!$EF$25:$EL$25,1,AA299)=1,'Lease Cycles'!$C$25*INDEX('Lease Cycles'!$ET$25:$EZ$25,1,AA299)*(1+'Lease Cycles'!$V$25)^INT(INT(AA300/12)/'Lease Cycles'!$W$25)/12,0),0)</f>
        <v>0</v>
      </c>
      <c r="AB303" s="28">
        <f>IF(AB301=1,IF(INDEX('Lease Cycles'!$EF$25:$EL$25,1,AB299)=1,'Lease Cycles'!$C$25*INDEX('Lease Cycles'!$ET$25:$EZ$25,1,AB299)*(1+'Lease Cycles'!$V$25)^INT(INT(AB300/12)/'Lease Cycles'!$W$25)/12,0),0)</f>
        <v>0</v>
      </c>
      <c r="AC303" s="28">
        <f>IF(AC301=1,IF(INDEX('Lease Cycles'!$EF$25:$EL$25,1,AC299)=1,'Lease Cycles'!$C$25*INDEX('Lease Cycles'!$ET$25:$EZ$25,1,AC299)*(1+'Lease Cycles'!$V$25)^INT(INT(AC300/12)/'Lease Cycles'!$W$25)/12,0),0)</f>
        <v>0</v>
      </c>
      <c r="AD303" s="28">
        <f>IF(AD301=1,IF(INDEX('Lease Cycles'!$EF$25:$EL$25,1,AD299)=1,'Lease Cycles'!$C$25*INDEX('Lease Cycles'!$ET$25:$EZ$25,1,AD299)*(1+'Lease Cycles'!$V$25)^INT(INT(AD300/12)/'Lease Cycles'!$W$25)/12,0),0)</f>
        <v>0</v>
      </c>
      <c r="AE303" s="28">
        <f>IF(AE301=1,IF(INDEX('Lease Cycles'!$EF$25:$EL$25,1,AE299)=1,'Lease Cycles'!$C$25*INDEX('Lease Cycles'!$ET$25:$EZ$25,1,AE299)*(1+'Lease Cycles'!$V$25)^INT(INT(AE300/12)/'Lease Cycles'!$W$25)/12,0),0)</f>
        <v>0</v>
      </c>
      <c r="AF303" s="28">
        <f>IF(AF301=1,IF(INDEX('Lease Cycles'!$EF$25:$EL$25,1,AF299)=1,'Lease Cycles'!$C$25*INDEX('Lease Cycles'!$ET$25:$EZ$25,1,AF299)*(1+'Lease Cycles'!$V$25)^INT(INT(AF300/12)/'Lease Cycles'!$W$25)/12,0),0)</f>
        <v>0</v>
      </c>
      <c r="AG303" s="28">
        <f>IF(AG301=1,IF(INDEX('Lease Cycles'!$EF$25:$EL$25,1,AG299)=1,'Lease Cycles'!$C$25*INDEX('Lease Cycles'!$ET$25:$EZ$25,1,AG299)*(1+'Lease Cycles'!$V$25)^INT(INT(AG300/12)/'Lease Cycles'!$W$25)/12,0),0)</f>
        <v>0</v>
      </c>
      <c r="AH303" s="28">
        <f>IF(AH301=1,IF(INDEX('Lease Cycles'!$EF$25:$EL$25,1,AH299)=1,'Lease Cycles'!$C$25*INDEX('Lease Cycles'!$ET$25:$EZ$25,1,AH299)*(1+'Lease Cycles'!$V$25)^INT(INT(AH300/12)/'Lease Cycles'!$W$25)/12,0),0)</f>
        <v>0</v>
      </c>
      <c r="AI303" s="28">
        <f>IF(AI301=1,IF(INDEX('Lease Cycles'!$EF$25:$EL$25,1,AI299)=1,'Lease Cycles'!$C$25*INDEX('Lease Cycles'!$ET$25:$EZ$25,1,AI299)*(1+'Lease Cycles'!$V$25)^INT(INT(AI300/12)/'Lease Cycles'!$W$25)/12,0),0)</f>
        <v>0</v>
      </c>
      <c r="AJ303" s="28">
        <f>IF(AJ301=1,IF(INDEX('Lease Cycles'!$EF$25:$EL$25,1,AJ299)=1,'Lease Cycles'!$C$25*INDEX('Lease Cycles'!$ET$25:$EZ$25,1,AJ299)*(1+'Lease Cycles'!$V$25)^INT(INT(AJ300/12)/'Lease Cycles'!$W$25)/12,0),0)</f>
        <v>0</v>
      </c>
      <c r="AK303" s="28">
        <f>IF(AK301=1,IF(INDEX('Lease Cycles'!$EF$25:$EL$25,1,AK299)=1,'Lease Cycles'!$C$25*INDEX('Lease Cycles'!$ET$25:$EZ$25,1,AK299)*(1+'Lease Cycles'!$V$25)^INT(INT(AK300/12)/'Lease Cycles'!$W$25)/12,0),0)</f>
        <v>0</v>
      </c>
      <c r="AL303" s="28">
        <f>IF(AL301=1,IF(INDEX('Lease Cycles'!$EF$25:$EL$25,1,AL299)=1,'Lease Cycles'!$C$25*INDEX('Lease Cycles'!$ET$25:$EZ$25,1,AL299)*(1+'Lease Cycles'!$V$25)^INT(INT(AL300/12)/'Lease Cycles'!$W$25)/12,0),0)</f>
        <v>0</v>
      </c>
      <c r="AM303" s="28">
        <f>IF(AM301=1,IF(INDEX('Lease Cycles'!$EF$25:$EL$25,1,AM299)=1,'Lease Cycles'!$C$25*INDEX('Lease Cycles'!$ET$25:$EZ$25,1,AM299)*(1+'Lease Cycles'!$V$25)^INT(INT(AM300/12)/'Lease Cycles'!$W$25)/12,0),0)</f>
        <v>0</v>
      </c>
      <c r="AN303" s="28">
        <f>IF(AN301=1,IF(INDEX('Lease Cycles'!$EF$25:$EL$25,1,AN299)=1,'Lease Cycles'!$C$25*INDEX('Lease Cycles'!$ET$25:$EZ$25,1,AN299)*(1+'Lease Cycles'!$V$25)^INT(INT(AN300/12)/'Lease Cycles'!$W$25)/12,0),0)</f>
        <v>0</v>
      </c>
      <c r="AO303" s="28">
        <f>IF(AO301=1,IF(INDEX('Lease Cycles'!$EF$25:$EL$25,1,AO299)=1,'Lease Cycles'!$C$25*INDEX('Lease Cycles'!$ET$25:$EZ$25,1,AO299)*(1+'Lease Cycles'!$V$25)^INT(INT(AO300/12)/'Lease Cycles'!$W$25)/12,0),0)</f>
        <v>0</v>
      </c>
      <c r="AP303" s="28">
        <f>IF(AP301=1,IF(INDEX('Lease Cycles'!$EF$25:$EL$25,1,AP299)=1,'Lease Cycles'!$C$25*INDEX('Lease Cycles'!$ET$25:$EZ$25,1,AP299)*(1+'Lease Cycles'!$V$25)^INT(INT(AP300/12)/'Lease Cycles'!$W$25)/12,0),0)</f>
        <v>0</v>
      </c>
      <c r="AQ303" s="28">
        <f>IF(AQ301=1,IF(INDEX('Lease Cycles'!$EF$25:$EL$25,1,AQ299)=1,'Lease Cycles'!$C$25*INDEX('Lease Cycles'!$ET$25:$EZ$25,1,AQ299)*(1+'Lease Cycles'!$V$25)^INT(INT(AQ300/12)/'Lease Cycles'!$W$25)/12,0),0)</f>
        <v>0</v>
      </c>
      <c r="AR303" s="28">
        <f>IF(AR301=1,IF(INDEX('Lease Cycles'!$EF$25:$EL$25,1,AR299)=1,'Lease Cycles'!$C$25*INDEX('Lease Cycles'!$ET$25:$EZ$25,1,AR299)*(1+'Lease Cycles'!$V$25)^INT(INT(AR300/12)/'Lease Cycles'!$W$25)/12,0),0)</f>
        <v>0</v>
      </c>
      <c r="AS303" s="28">
        <f>IF(AS301=1,IF(INDEX('Lease Cycles'!$EF$25:$EL$25,1,AS299)=1,'Lease Cycles'!$C$25*INDEX('Lease Cycles'!$ET$25:$EZ$25,1,AS299)*(1+'Lease Cycles'!$V$25)^INT(INT(AS300/12)/'Lease Cycles'!$W$25)/12,0),0)</f>
        <v>0</v>
      </c>
      <c r="AT303" s="28">
        <f>IF(AT301=1,IF(INDEX('Lease Cycles'!$EF$25:$EL$25,1,AT299)=1,'Lease Cycles'!$C$25*INDEX('Lease Cycles'!$ET$25:$EZ$25,1,AT299)*(1+'Lease Cycles'!$V$25)^INT(INT(AT300/12)/'Lease Cycles'!$W$25)/12,0),0)</f>
        <v>0</v>
      </c>
      <c r="AU303" s="28">
        <f>IF(AU301=1,IF(INDEX('Lease Cycles'!$EF$25:$EL$25,1,AU299)=1,'Lease Cycles'!$C$25*INDEX('Lease Cycles'!$ET$25:$EZ$25,1,AU299)*(1+'Lease Cycles'!$V$25)^INT(INT(AU300/12)/'Lease Cycles'!$W$25)/12,0),0)</f>
        <v>0</v>
      </c>
      <c r="AV303" s="28">
        <f>IF(AV301=1,IF(INDEX('Lease Cycles'!$EF$25:$EL$25,1,AV299)=1,'Lease Cycles'!$C$25*INDEX('Lease Cycles'!$ET$25:$EZ$25,1,AV299)*(1+'Lease Cycles'!$V$25)^INT(INT(AV300/12)/'Lease Cycles'!$W$25)/12,0),0)</f>
        <v>0</v>
      </c>
      <c r="AW303" s="28">
        <f>IF(AW301=1,IF(INDEX('Lease Cycles'!$EF$25:$EL$25,1,AW299)=1,'Lease Cycles'!$C$25*INDEX('Lease Cycles'!$ET$25:$EZ$25,1,AW299)*(1+'Lease Cycles'!$V$25)^INT(INT(AW300/12)/'Lease Cycles'!$W$25)/12,0),0)</f>
        <v>0</v>
      </c>
      <c r="AX303" s="28">
        <f>IF(AX301=1,IF(INDEX('Lease Cycles'!$EF$25:$EL$25,1,AX299)=1,'Lease Cycles'!$C$25*INDEX('Lease Cycles'!$ET$25:$EZ$25,1,AX299)*(1+'Lease Cycles'!$V$25)^INT(INT(AX300/12)/'Lease Cycles'!$W$25)/12,0),0)</f>
        <v>0</v>
      </c>
      <c r="AY303" s="28">
        <f>IF(AY301=1,IF(INDEX('Lease Cycles'!$EF$25:$EL$25,1,AY299)=1,'Lease Cycles'!$C$25*INDEX('Lease Cycles'!$ET$25:$EZ$25,1,AY299)*(1+'Lease Cycles'!$V$25)^INT(INT(AY300/12)/'Lease Cycles'!$W$25)/12,0),0)</f>
        <v>0</v>
      </c>
      <c r="AZ303" s="28">
        <f>IF(AZ301=1,IF(INDEX('Lease Cycles'!$EF$25:$EL$25,1,AZ299)=1,'Lease Cycles'!$C$25*INDEX('Lease Cycles'!$ET$25:$EZ$25,1,AZ299)*(1+'Lease Cycles'!$V$25)^INT(INT(AZ300/12)/'Lease Cycles'!$W$25)/12,0),0)</f>
        <v>0</v>
      </c>
      <c r="BA303" s="28">
        <f>IF(BA301=1,IF(INDEX('Lease Cycles'!$EF$25:$EL$25,1,BA299)=1,'Lease Cycles'!$C$25*INDEX('Lease Cycles'!$ET$25:$EZ$25,1,BA299)*(1+'Lease Cycles'!$V$25)^INT(INT(BA300/12)/'Lease Cycles'!$W$25)/12,0),0)</f>
        <v>0</v>
      </c>
      <c r="BB303" s="28">
        <f>IF(BB301=1,IF(INDEX('Lease Cycles'!$EF$25:$EL$25,1,BB299)=1,'Lease Cycles'!$C$25*INDEX('Lease Cycles'!$ET$25:$EZ$25,1,BB299)*(1+'Lease Cycles'!$V$25)^INT(INT(BB300/12)/'Lease Cycles'!$W$25)/12,0),0)</f>
        <v>0</v>
      </c>
      <c r="BC303" s="28">
        <f>IF(BC301=1,IF(INDEX('Lease Cycles'!$EF$25:$EL$25,1,BC299)=1,'Lease Cycles'!$C$25*INDEX('Lease Cycles'!$ET$25:$EZ$25,1,BC299)*(1+'Lease Cycles'!$V$25)^INT(INT(BC300/12)/'Lease Cycles'!$W$25)/12,0),0)</f>
        <v>0</v>
      </c>
      <c r="BD303" s="28">
        <f>IF(BD301=1,IF(INDEX('Lease Cycles'!$EF$25:$EL$25,1,BD299)=1,'Lease Cycles'!$C$25*INDEX('Lease Cycles'!$ET$25:$EZ$25,1,BD299)*(1+'Lease Cycles'!$V$25)^INT(INT(BD300/12)/'Lease Cycles'!$W$25)/12,0),0)</f>
        <v>0</v>
      </c>
      <c r="BE303" s="28">
        <f>IF(BE301=1,IF(INDEX('Lease Cycles'!$EF$25:$EL$25,1,BE299)=1,'Lease Cycles'!$C$25*INDEX('Lease Cycles'!$ET$25:$EZ$25,1,BE299)*(1+'Lease Cycles'!$V$25)^INT(INT(BE300/12)/'Lease Cycles'!$W$25)/12,0),0)</f>
        <v>0</v>
      </c>
      <c r="BF303" s="28">
        <f>IF(BF301=1,IF(INDEX('Lease Cycles'!$EF$25:$EL$25,1,BF299)=1,'Lease Cycles'!$C$25*INDEX('Lease Cycles'!$ET$25:$EZ$25,1,BF299)*(1+'Lease Cycles'!$V$25)^INT(INT(BF300/12)/'Lease Cycles'!$W$25)/12,0),0)</f>
        <v>0</v>
      </c>
      <c r="BG303" s="28">
        <f>IF(BG301=1,IF(INDEX('Lease Cycles'!$EF$25:$EL$25,1,BG299)=1,'Lease Cycles'!$C$25*INDEX('Lease Cycles'!$ET$25:$EZ$25,1,BG299)*(1+'Lease Cycles'!$V$25)^INT(INT(BG300/12)/'Lease Cycles'!$W$25)/12,0),0)</f>
        <v>0</v>
      </c>
      <c r="BH303" s="28">
        <f>IF(BH301=1,IF(INDEX('Lease Cycles'!$EF$25:$EL$25,1,BH299)=1,'Lease Cycles'!$C$25*INDEX('Lease Cycles'!$ET$25:$EZ$25,1,BH299)*(1+'Lease Cycles'!$V$25)^INT(INT(BH300/12)/'Lease Cycles'!$W$25)/12,0),0)</f>
        <v>0</v>
      </c>
      <c r="BI303" s="28">
        <f>IF(BI301=1,IF(INDEX('Lease Cycles'!$EF$25:$EL$25,1,BI299)=1,'Lease Cycles'!$C$25*INDEX('Lease Cycles'!$ET$25:$EZ$25,1,BI299)*(1+'Lease Cycles'!$V$25)^INT(INT(BI300/12)/'Lease Cycles'!$W$25)/12,0),0)</f>
        <v>0</v>
      </c>
      <c r="BJ303" s="28">
        <f>IF(BJ301=1,IF(INDEX('Lease Cycles'!$EF$25:$EL$25,1,BJ299)=1,'Lease Cycles'!$C$25*INDEX('Lease Cycles'!$ET$25:$EZ$25,1,BJ299)*(1+'Lease Cycles'!$V$25)^INT(INT(BJ300/12)/'Lease Cycles'!$W$25)/12,0),0)</f>
        <v>0</v>
      </c>
      <c r="BK303" s="28">
        <f>IF(BK301=1,IF(INDEX('Lease Cycles'!$EF$25:$EL$25,1,BK299)=1,'Lease Cycles'!$C$25*INDEX('Lease Cycles'!$ET$25:$EZ$25,1,BK299)*(1+'Lease Cycles'!$V$25)^INT(INT(BK300/12)/'Lease Cycles'!$W$25)/12,0),0)</f>
        <v>0</v>
      </c>
      <c r="BL303" s="28">
        <f>IF(BL301=1,IF(INDEX('Lease Cycles'!$EF$25:$EL$25,1,BL299)=1,'Lease Cycles'!$C$25*INDEX('Lease Cycles'!$ET$25:$EZ$25,1,BL299)*(1+'Lease Cycles'!$V$25)^INT(INT(BL300/12)/'Lease Cycles'!$W$25)/12,0),0)</f>
        <v>0</v>
      </c>
      <c r="BM303" s="28">
        <f>IF(BM301=1,IF(INDEX('Lease Cycles'!$EF$25:$EL$25,1,BM299)=1,'Lease Cycles'!$C$25*INDEX('Lease Cycles'!$ET$25:$EZ$25,1,BM299)*(1+'Lease Cycles'!$V$25)^INT(INT(BM300/12)/'Lease Cycles'!$W$25)/12,0),0)</f>
        <v>0</v>
      </c>
      <c r="BN303" s="28">
        <f>IF(BN301=1,IF(INDEX('Lease Cycles'!$EF$25:$EL$25,1,BN299)=1,'Lease Cycles'!$C$25*INDEX('Lease Cycles'!$ET$25:$EZ$25,1,BN299)*(1+'Lease Cycles'!$V$25)^INT(INT(BN300/12)/'Lease Cycles'!$W$25)/12,0),0)</f>
        <v>0</v>
      </c>
      <c r="BO303" s="28">
        <f>IF(BO301=1,IF(INDEX('Lease Cycles'!$EF$25:$EL$25,1,BO299)=1,'Lease Cycles'!$C$25*INDEX('Lease Cycles'!$ET$25:$EZ$25,1,BO299)*(1+'Lease Cycles'!$V$25)^INT(INT(BO300/12)/'Lease Cycles'!$W$25)/12,0),0)</f>
        <v>0</v>
      </c>
      <c r="BP303" s="28">
        <f>IF(BP301=1,IF(INDEX('Lease Cycles'!$EF$25:$EL$25,1,BP299)=1,'Lease Cycles'!$C$25*INDEX('Lease Cycles'!$ET$25:$EZ$25,1,BP299)*(1+'Lease Cycles'!$V$25)^INT(INT(BP300/12)/'Lease Cycles'!$W$25)/12,0),0)</f>
        <v>0</v>
      </c>
      <c r="BQ303" s="28">
        <f>IF(BQ301=1,IF(INDEX('Lease Cycles'!$EF$25:$EL$25,1,BQ299)=1,'Lease Cycles'!$C$25*INDEX('Lease Cycles'!$ET$25:$EZ$25,1,BQ299)*(1+'Lease Cycles'!$V$25)^INT(INT(BQ300/12)/'Lease Cycles'!$W$25)/12,0),0)</f>
        <v>0</v>
      </c>
      <c r="BR303" s="28">
        <f>IF(BR301=1,IF(INDEX('Lease Cycles'!$EF$25:$EL$25,1,BR299)=1,'Lease Cycles'!$C$25*INDEX('Lease Cycles'!$ET$25:$EZ$25,1,BR299)*(1+'Lease Cycles'!$V$25)^INT(INT(BR300/12)/'Lease Cycles'!$W$25)/12,0),0)</f>
        <v>0</v>
      </c>
      <c r="BS303" s="28">
        <f>IF(BS301=1,IF(INDEX('Lease Cycles'!$EF$25:$EL$25,1,BS299)=1,'Lease Cycles'!$C$25*INDEX('Lease Cycles'!$ET$25:$EZ$25,1,BS299)*(1+'Lease Cycles'!$V$25)^INT(INT(BS300/12)/'Lease Cycles'!$W$25)/12,0),0)</f>
        <v>0</v>
      </c>
      <c r="BT303" s="28">
        <f>IF(BT301=1,IF(INDEX('Lease Cycles'!$EF$25:$EL$25,1,BT299)=1,'Lease Cycles'!$C$25*INDEX('Lease Cycles'!$ET$25:$EZ$25,1,BT299)*(1+'Lease Cycles'!$V$25)^INT(INT(BT300/12)/'Lease Cycles'!$W$25)/12,0),0)</f>
        <v>0</v>
      </c>
      <c r="BU303" s="28">
        <f>IF(BU301=1,IF(INDEX('Lease Cycles'!$EF$25:$EL$25,1,BU299)=1,'Lease Cycles'!$C$25*INDEX('Lease Cycles'!$ET$25:$EZ$25,1,BU299)*(1+'Lease Cycles'!$V$25)^INT(INT(BU300/12)/'Lease Cycles'!$W$25)/12,0),0)</f>
        <v>0</v>
      </c>
      <c r="BV303" s="28">
        <f>IF(BV301=1,IF(INDEX('Lease Cycles'!$EF$25:$EL$25,1,BV299)=1,'Lease Cycles'!$C$25*INDEX('Lease Cycles'!$ET$25:$EZ$25,1,BV299)*(1+'Lease Cycles'!$V$25)^INT(INT(BV300/12)/'Lease Cycles'!$W$25)/12,0),0)</f>
        <v>0</v>
      </c>
      <c r="BW303" s="28">
        <f>IF(BW301=1,IF(INDEX('Lease Cycles'!$EF$25:$EL$25,1,BW299)=1,'Lease Cycles'!$C$25*INDEX('Lease Cycles'!$ET$25:$EZ$25,1,BW299)*(1+'Lease Cycles'!$V$25)^INT(INT(BW300/12)/'Lease Cycles'!$W$25)/12,0),0)</f>
        <v>0</v>
      </c>
      <c r="BX303" s="28">
        <f>IF(BX301=1,IF(INDEX('Lease Cycles'!$EF$25:$EL$25,1,BX299)=1,'Lease Cycles'!$C$25*INDEX('Lease Cycles'!$ET$25:$EZ$25,1,BX299)*(1+'Lease Cycles'!$V$25)^INT(INT(BX300/12)/'Lease Cycles'!$W$25)/12,0),0)</f>
        <v>0</v>
      </c>
      <c r="BY303" s="28">
        <f>IF(BY301=1,IF(INDEX('Lease Cycles'!$EF$25:$EL$25,1,BY299)=1,'Lease Cycles'!$C$25*INDEX('Lease Cycles'!$ET$25:$EZ$25,1,BY299)*(1+'Lease Cycles'!$V$25)^INT(INT(BY300/12)/'Lease Cycles'!$W$25)/12,0),0)</f>
        <v>0</v>
      </c>
      <c r="BZ303" s="28">
        <f>IF(BZ301=1,IF(INDEX('Lease Cycles'!$EF$25:$EL$25,1,BZ299)=1,'Lease Cycles'!$C$25*INDEX('Lease Cycles'!$ET$25:$EZ$25,1,BZ299)*(1+'Lease Cycles'!$V$25)^INT(INT(BZ300/12)/'Lease Cycles'!$W$25)/12,0),0)</f>
        <v>0</v>
      </c>
      <c r="CA303" s="28">
        <f>IF(CA301=1,IF(INDEX('Lease Cycles'!$EF$25:$EL$25,1,CA299)=1,'Lease Cycles'!$C$25*INDEX('Lease Cycles'!$ET$25:$EZ$25,1,CA299)*(1+'Lease Cycles'!$V$25)^INT(INT(CA300/12)/'Lease Cycles'!$W$25)/12,0),0)</f>
        <v>0</v>
      </c>
      <c r="CB303" s="28">
        <f>IF(CB301=1,IF(INDEX('Lease Cycles'!$EF$25:$EL$25,1,CB299)=1,'Lease Cycles'!$C$25*INDEX('Lease Cycles'!$ET$25:$EZ$25,1,CB299)*(1+'Lease Cycles'!$V$25)^INT(INT(CB300/12)/'Lease Cycles'!$W$25)/12,0),0)</f>
        <v>0</v>
      </c>
      <c r="CC303" s="28">
        <f>IF(CC301=1,IF(INDEX('Lease Cycles'!$EF$25:$EL$25,1,CC299)=1,'Lease Cycles'!$C$25*INDEX('Lease Cycles'!$ET$25:$EZ$25,1,CC299)*(1+'Lease Cycles'!$V$25)^INT(INT(CC300/12)/'Lease Cycles'!$W$25)/12,0),0)</f>
        <v>0</v>
      </c>
      <c r="CD303" s="28">
        <f>IF(CD301=1,IF(INDEX('Lease Cycles'!$EF$25:$EL$25,1,CD299)=1,'Lease Cycles'!$C$25*INDEX('Lease Cycles'!$ET$25:$EZ$25,1,CD299)*(1+'Lease Cycles'!$V$25)^INT(INT(CD300/12)/'Lease Cycles'!$W$25)/12,0),0)</f>
        <v>0</v>
      </c>
      <c r="CE303" s="28">
        <f>IF(CE301=1,IF(INDEX('Lease Cycles'!$EF$25:$EL$25,1,CE299)=1,'Lease Cycles'!$C$25*INDEX('Lease Cycles'!$ET$25:$EZ$25,1,CE299)*(1+'Lease Cycles'!$V$25)^INT(INT(CE300/12)/'Lease Cycles'!$W$25)/12,0),0)</f>
        <v>0</v>
      </c>
      <c r="CF303" s="28">
        <f>IF(CF301=1,IF(INDEX('Lease Cycles'!$EF$25:$EL$25,1,CF299)=1,'Lease Cycles'!$C$25*INDEX('Lease Cycles'!$ET$25:$EZ$25,1,CF299)*(1+'Lease Cycles'!$V$25)^INT(INT(CF300/12)/'Lease Cycles'!$W$25)/12,0),0)</f>
        <v>0</v>
      </c>
      <c r="CG303" s="28">
        <f>IF(CG301=1,IF(INDEX('Lease Cycles'!$EF$25:$EL$25,1,CG299)=1,'Lease Cycles'!$C$25*INDEX('Lease Cycles'!$ET$25:$EZ$25,1,CG299)*(1+'Lease Cycles'!$V$25)^INT(INT(CG300/12)/'Lease Cycles'!$W$25)/12,0),0)</f>
        <v>0</v>
      </c>
      <c r="CH303" s="28">
        <f>IF(CH301=1,IF(INDEX('Lease Cycles'!$EF$25:$EL$25,1,CH299)=1,'Lease Cycles'!$C$25*INDEX('Lease Cycles'!$ET$25:$EZ$25,1,CH299)*(1+'Lease Cycles'!$V$25)^INT(INT(CH300/12)/'Lease Cycles'!$W$25)/12,0),0)</f>
        <v>0</v>
      </c>
      <c r="CI303" s="28">
        <f>IF(CI301=1,IF(INDEX('Lease Cycles'!$EF$25:$EL$25,1,CI299)=1,'Lease Cycles'!$C$25*INDEX('Lease Cycles'!$ET$25:$EZ$25,1,CI299)*(1+'Lease Cycles'!$V$25)^INT(INT(CI300/12)/'Lease Cycles'!$W$25)/12,0),0)</f>
        <v>0</v>
      </c>
      <c r="CJ303" s="28">
        <f>IF(CJ301=1,IF(INDEX('Lease Cycles'!$EF$25:$EL$25,1,CJ299)=1,'Lease Cycles'!$C$25*INDEX('Lease Cycles'!$ET$25:$EZ$25,1,CJ299)*(1+'Lease Cycles'!$V$25)^INT(INT(CJ300/12)/'Lease Cycles'!$W$25)/12,0),0)</f>
        <v>0</v>
      </c>
      <c r="CK303" s="28">
        <f>IF(CK301=1,IF(INDEX('Lease Cycles'!$EF$25:$EL$25,1,CK299)=1,'Lease Cycles'!$C$25*INDEX('Lease Cycles'!$ET$25:$EZ$25,1,CK299)*(1+'Lease Cycles'!$V$25)^INT(INT(CK300/12)/'Lease Cycles'!$W$25)/12,0),0)</f>
        <v>0</v>
      </c>
      <c r="CL303" s="28">
        <f>IF(CL301=1,IF(INDEX('Lease Cycles'!$EF$25:$EL$25,1,CL299)=1,'Lease Cycles'!$C$25*INDEX('Lease Cycles'!$ET$25:$EZ$25,1,CL299)*(1+'Lease Cycles'!$V$25)^INT(INT(CL300/12)/'Lease Cycles'!$W$25)/12,0),0)</f>
        <v>0</v>
      </c>
      <c r="CM303" s="28">
        <f>IF(CM301=1,IF(INDEX('Lease Cycles'!$EF$25:$EL$25,1,CM299)=1,'Lease Cycles'!$C$25*INDEX('Lease Cycles'!$ET$25:$EZ$25,1,CM299)*(1+'Lease Cycles'!$V$25)^INT(INT(CM300/12)/'Lease Cycles'!$W$25)/12,0),0)</f>
        <v>0</v>
      </c>
      <c r="CN303" s="28">
        <f>IF(CN301=1,IF(INDEX('Lease Cycles'!$EF$25:$EL$25,1,CN299)=1,'Lease Cycles'!$C$25*INDEX('Lease Cycles'!$ET$25:$EZ$25,1,CN299)*(1+'Lease Cycles'!$V$25)^INT(INT(CN300/12)/'Lease Cycles'!$W$25)/12,0),0)</f>
        <v>0</v>
      </c>
      <c r="CO303" s="28">
        <f>IF(CO301=1,IF(INDEX('Lease Cycles'!$EF$25:$EL$25,1,CO299)=1,'Lease Cycles'!$C$25*INDEX('Lease Cycles'!$ET$25:$EZ$25,1,CO299)*(1+'Lease Cycles'!$V$25)^INT(INT(CO300/12)/'Lease Cycles'!$W$25)/12,0),0)</f>
        <v>0</v>
      </c>
      <c r="CP303" s="28">
        <f>IF(CP301=1,IF(INDEX('Lease Cycles'!$EF$25:$EL$25,1,CP299)=1,'Lease Cycles'!$C$25*INDEX('Lease Cycles'!$ET$25:$EZ$25,1,CP299)*(1+'Lease Cycles'!$V$25)^INT(INT(CP300/12)/'Lease Cycles'!$W$25)/12,0),0)</f>
        <v>0</v>
      </c>
      <c r="CQ303" s="28">
        <f>IF(CQ301=1,IF(INDEX('Lease Cycles'!$EF$25:$EL$25,1,CQ299)=1,'Lease Cycles'!$C$25*INDEX('Lease Cycles'!$ET$25:$EZ$25,1,CQ299)*(1+'Lease Cycles'!$V$25)^INT(INT(CQ300/12)/'Lease Cycles'!$W$25)/12,0),0)</f>
        <v>0</v>
      </c>
      <c r="CR303" s="28">
        <f>IF(CR301=1,IF(INDEX('Lease Cycles'!$EF$25:$EL$25,1,CR299)=1,'Lease Cycles'!$C$25*INDEX('Lease Cycles'!$ET$25:$EZ$25,1,CR299)*(1+'Lease Cycles'!$V$25)^INT(INT(CR300/12)/'Lease Cycles'!$W$25)/12,0),0)</f>
        <v>0</v>
      </c>
      <c r="CS303" s="28">
        <f>IF(CS301=1,IF(INDEX('Lease Cycles'!$EF$25:$EL$25,1,CS299)=1,'Lease Cycles'!$C$25*INDEX('Lease Cycles'!$ET$25:$EZ$25,1,CS299)*(1+'Lease Cycles'!$V$25)^INT(INT(CS300/12)/'Lease Cycles'!$W$25)/12,0),0)</f>
        <v>0</v>
      </c>
      <c r="CT303" s="28">
        <f>IF(CT301=1,IF(INDEX('Lease Cycles'!$EF$25:$EL$25,1,CT299)=1,'Lease Cycles'!$C$25*INDEX('Lease Cycles'!$ET$25:$EZ$25,1,CT299)*(1+'Lease Cycles'!$V$25)^INT(INT(CT300/12)/'Lease Cycles'!$W$25)/12,0),0)</f>
        <v>0</v>
      </c>
      <c r="CU303" s="28">
        <f>IF(CU301=1,IF(INDEX('Lease Cycles'!$EF$25:$EL$25,1,CU299)=1,'Lease Cycles'!$C$25*INDEX('Lease Cycles'!$ET$25:$EZ$25,1,CU299)*(1+'Lease Cycles'!$V$25)^INT(INT(CU300/12)/'Lease Cycles'!$W$25)/12,0),0)</f>
        <v>0</v>
      </c>
      <c r="CV303" s="28">
        <f>IF(CV301=1,IF(INDEX('Lease Cycles'!$EF$25:$EL$25,1,CV299)=1,'Lease Cycles'!$C$25*INDEX('Lease Cycles'!$ET$25:$EZ$25,1,CV299)*(1+'Lease Cycles'!$V$25)^INT(INT(CV300/12)/'Lease Cycles'!$W$25)/12,0),0)</f>
        <v>0</v>
      </c>
      <c r="CW303" s="28">
        <f>IF(CW301=1,IF(INDEX('Lease Cycles'!$EF$25:$EL$25,1,CW299)=1,'Lease Cycles'!$C$25*INDEX('Lease Cycles'!$ET$25:$EZ$25,1,CW299)*(1+'Lease Cycles'!$V$25)^INT(INT(CW300/12)/'Lease Cycles'!$W$25)/12,0),0)</f>
        <v>0</v>
      </c>
      <c r="CX303" s="28">
        <f>IF(CX301=1,IF(INDEX('Lease Cycles'!$EF$25:$EL$25,1,CX299)=1,'Lease Cycles'!$C$25*INDEX('Lease Cycles'!$ET$25:$EZ$25,1,CX299)*(1+'Lease Cycles'!$V$25)^INT(INT(CX300/12)/'Lease Cycles'!$W$25)/12,0),0)</f>
        <v>0</v>
      </c>
      <c r="CY303" s="28">
        <f>IF(CY301=1,IF(INDEX('Lease Cycles'!$EF$25:$EL$25,1,CY299)=1,'Lease Cycles'!$C$25*INDEX('Lease Cycles'!$ET$25:$EZ$25,1,CY299)*(1+'Lease Cycles'!$V$25)^INT(INT(CY300/12)/'Lease Cycles'!$W$25)/12,0),0)</f>
        <v>0</v>
      </c>
      <c r="CZ303" s="28">
        <f>IF(CZ301=1,IF(INDEX('Lease Cycles'!$EF$25:$EL$25,1,CZ299)=1,'Lease Cycles'!$C$25*INDEX('Lease Cycles'!$ET$25:$EZ$25,1,CZ299)*(1+'Lease Cycles'!$V$25)^INT(INT(CZ300/12)/'Lease Cycles'!$W$25)/12,0),0)</f>
        <v>0</v>
      </c>
      <c r="DA303" s="28">
        <f>IF(DA301=1,IF(INDEX('Lease Cycles'!$EF$25:$EL$25,1,DA299)=1,'Lease Cycles'!$C$25*INDEX('Lease Cycles'!$ET$25:$EZ$25,1,DA299)*(1+'Lease Cycles'!$V$25)^INT(INT(DA300/12)/'Lease Cycles'!$W$25)/12,0),0)</f>
        <v>0</v>
      </c>
      <c r="DB303" s="28">
        <f>IF(DB301=1,IF(INDEX('Lease Cycles'!$EF$25:$EL$25,1,DB299)=1,'Lease Cycles'!$C$25*INDEX('Lease Cycles'!$ET$25:$EZ$25,1,DB299)*(1+'Lease Cycles'!$V$25)^INT(INT(DB300/12)/'Lease Cycles'!$W$25)/12,0),0)</f>
        <v>0</v>
      </c>
      <c r="DC303" s="28">
        <f>IF(DC301=1,IF(INDEX('Lease Cycles'!$EF$25:$EL$25,1,DC299)=1,'Lease Cycles'!$C$25*INDEX('Lease Cycles'!$ET$25:$EZ$25,1,DC299)*(1+'Lease Cycles'!$V$25)^INT(INT(DC300/12)/'Lease Cycles'!$W$25)/12,0),0)</f>
        <v>0</v>
      </c>
      <c r="DD303" s="28">
        <f>IF(DD301=1,IF(INDEX('Lease Cycles'!$EF$25:$EL$25,1,DD299)=1,'Lease Cycles'!$C$25*INDEX('Lease Cycles'!$ET$25:$EZ$25,1,DD299)*(1+'Lease Cycles'!$V$25)^INT(INT(DD300/12)/'Lease Cycles'!$W$25)/12,0),0)</f>
        <v>0</v>
      </c>
      <c r="DE303" s="28">
        <f>IF(DE301=1,IF(INDEX('Lease Cycles'!$EF$25:$EL$25,1,DE299)=1,'Lease Cycles'!$C$25*INDEX('Lease Cycles'!$ET$25:$EZ$25,1,DE299)*(1+'Lease Cycles'!$V$25)^INT(INT(DE300/12)/'Lease Cycles'!$W$25)/12,0),0)</f>
        <v>0</v>
      </c>
      <c r="DF303" s="28">
        <f>IF(DF301=1,IF(INDEX('Lease Cycles'!$EF$25:$EL$25,1,DF299)=1,'Lease Cycles'!$C$25*INDEX('Lease Cycles'!$ET$25:$EZ$25,1,DF299)*(1+'Lease Cycles'!$V$25)^INT(INT(DF300/12)/'Lease Cycles'!$W$25)/12,0),0)</f>
        <v>0</v>
      </c>
      <c r="DG303" s="28">
        <f>IF(DG301=1,IF(INDEX('Lease Cycles'!$EF$25:$EL$25,1,DG299)=1,'Lease Cycles'!$C$25*INDEX('Lease Cycles'!$ET$25:$EZ$25,1,DG299)*(1+'Lease Cycles'!$V$25)^INT(INT(DG300/12)/'Lease Cycles'!$W$25)/12,0),0)</f>
        <v>0</v>
      </c>
      <c r="DH303" s="28">
        <f>IF(DH301=1,IF(INDEX('Lease Cycles'!$EF$25:$EL$25,1,DH299)=1,'Lease Cycles'!$C$25*INDEX('Lease Cycles'!$ET$25:$EZ$25,1,DH299)*(1+'Lease Cycles'!$V$25)^INT(INT(DH300/12)/'Lease Cycles'!$W$25)/12,0),0)</f>
        <v>0</v>
      </c>
      <c r="DI303" s="28">
        <f>IF(DI301=1,IF(INDEX('Lease Cycles'!$EF$25:$EL$25,1,DI299)=1,'Lease Cycles'!$C$25*INDEX('Lease Cycles'!$ET$25:$EZ$25,1,DI299)*(1+'Lease Cycles'!$V$25)^INT(INT(DI300/12)/'Lease Cycles'!$W$25)/12,0),0)</f>
        <v>0</v>
      </c>
      <c r="DJ303" s="28">
        <f>IF(DJ301=1,IF(INDEX('Lease Cycles'!$EF$25:$EL$25,1,DJ299)=1,'Lease Cycles'!$C$25*INDEX('Lease Cycles'!$ET$25:$EZ$25,1,DJ299)*(1+'Lease Cycles'!$V$25)^INT(INT(DJ300/12)/'Lease Cycles'!$W$25)/12,0),0)</f>
        <v>0</v>
      </c>
      <c r="DK303" s="28">
        <f>IF(DK301=1,IF(INDEX('Lease Cycles'!$EF$25:$EL$25,1,DK299)=1,'Lease Cycles'!$C$25*INDEX('Lease Cycles'!$ET$25:$EZ$25,1,DK299)*(1+'Lease Cycles'!$V$25)^INT(INT(DK300/12)/'Lease Cycles'!$W$25)/12,0),0)</f>
        <v>0</v>
      </c>
      <c r="DL303" s="28">
        <f>IF(DL301=1,IF(INDEX('Lease Cycles'!$EF$25:$EL$25,1,DL299)=1,'Lease Cycles'!$C$25*INDEX('Lease Cycles'!$ET$25:$EZ$25,1,DL299)*(1+'Lease Cycles'!$V$25)^INT(INT(DL300/12)/'Lease Cycles'!$W$25)/12,0),0)</f>
        <v>0</v>
      </c>
      <c r="DM303" s="28">
        <f>IF(DM301=1,IF(INDEX('Lease Cycles'!$EF$25:$EL$25,1,DM299)=1,'Lease Cycles'!$C$25*INDEX('Lease Cycles'!$ET$25:$EZ$25,1,DM299)*(1+'Lease Cycles'!$V$25)^INT(INT(DM300/12)/'Lease Cycles'!$W$25)/12,0),0)</f>
        <v>0</v>
      </c>
      <c r="DN303" s="28">
        <f>IF(DN301=1,IF(INDEX('Lease Cycles'!$EF$25:$EL$25,1,DN299)=1,'Lease Cycles'!$C$25*INDEX('Lease Cycles'!$ET$25:$EZ$25,1,DN299)*(1+'Lease Cycles'!$V$25)^INT(INT(DN300/12)/'Lease Cycles'!$W$25)/12,0),0)</f>
        <v>0</v>
      </c>
      <c r="DO303" s="28">
        <f>IF(DO301=1,IF(INDEX('Lease Cycles'!$EF$25:$EL$25,1,DO299)=1,'Lease Cycles'!$C$25*INDEX('Lease Cycles'!$ET$25:$EZ$25,1,DO299)*(1+'Lease Cycles'!$V$25)^INT(INT(DO300/12)/'Lease Cycles'!$W$25)/12,0),0)</f>
        <v>0</v>
      </c>
      <c r="DP303" s="28">
        <f>IF(DP301=1,IF(INDEX('Lease Cycles'!$EF$25:$EL$25,1,DP299)=1,'Lease Cycles'!$C$25*INDEX('Lease Cycles'!$ET$25:$EZ$25,1,DP299)*(1+'Lease Cycles'!$V$25)^INT(INT(DP300/12)/'Lease Cycles'!$W$25)/12,0),0)</f>
        <v>0</v>
      </c>
      <c r="DQ303" s="28">
        <f>IF(DQ301=1,IF(INDEX('Lease Cycles'!$EF$25:$EL$25,1,DQ299)=1,'Lease Cycles'!$C$25*INDEX('Lease Cycles'!$ET$25:$EZ$25,1,DQ299)*(1+'Lease Cycles'!$V$25)^INT(INT(DQ300/12)/'Lease Cycles'!$W$25)/12,0),0)</f>
        <v>0</v>
      </c>
      <c r="DR303" s="28">
        <f>IF(DR301=1,IF(INDEX('Lease Cycles'!$EF$25:$EL$25,1,DR299)=1,'Lease Cycles'!$C$25*INDEX('Lease Cycles'!$ET$25:$EZ$25,1,DR299)*(1+'Lease Cycles'!$V$25)^INT(INT(DR300/12)/'Lease Cycles'!$W$25)/12,0),0)</f>
        <v>0</v>
      </c>
      <c r="DS303" s="28">
        <f>IF(DS301=1,IF(INDEX('Lease Cycles'!$EF$25:$EL$25,1,DS299)=1,'Lease Cycles'!$C$25*INDEX('Lease Cycles'!$ET$25:$EZ$25,1,DS299)*(1+'Lease Cycles'!$V$25)^INT(INT(DS300/12)/'Lease Cycles'!$W$25)/12,0),0)</f>
        <v>0</v>
      </c>
      <c r="DT303" s="28">
        <f>IF(DT301=1,IF(INDEX('Lease Cycles'!$EF$25:$EL$25,1,DT299)=1,'Lease Cycles'!$C$25*INDEX('Lease Cycles'!$ET$25:$EZ$25,1,DT299)*(1+'Lease Cycles'!$V$25)^INT(INT(DT300/12)/'Lease Cycles'!$W$25)/12,0),0)</f>
        <v>0</v>
      </c>
      <c r="DU303" s="28">
        <f>IF(DU301=1,IF(INDEX('Lease Cycles'!$EF$25:$EL$25,1,DU299)=1,'Lease Cycles'!$C$25*INDEX('Lease Cycles'!$ET$25:$EZ$25,1,DU299)*(1+'Lease Cycles'!$V$25)^INT(INT(DU300/12)/'Lease Cycles'!$W$25)/12,0),0)</f>
        <v>0</v>
      </c>
      <c r="DV303" s="28">
        <f>IF(DV301=1,IF(INDEX('Lease Cycles'!$EF$25:$EL$25,1,DV299)=1,'Lease Cycles'!$C$25*INDEX('Lease Cycles'!$ET$25:$EZ$25,1,DV299)*(1+'Lease Cycles'!$V$25)^INT(INT(DV300/12)/'Lease Cycles'!$W$25)/12,0),0)</f>
        <v>0</v>
      </c>
      <c r="DW303" s="28">
        <f>IF(DW301=1,IF(INDEX('Lease Cycles'!$EF$25:$EL$25,1,DW299)=1,'Lease Cycles'!$C$25*INDEX('Lease Cycles'!$ET$25:$EZ$25,1,DW299)*(1+'Lease Cycles'!$V$25)^INT(INT(DW300/12)/'Lease Cycles'!$W$25)/12,0),0)</f>
        <v>0</v>
      </c>
      <c r="DX303" s="28">
        <f>IF(DX301=1,IF(INDEX('Lease Cycles'!$EF$25:$EL$25,1,DX299)=1,'Lease Cycles'!$C$25*INDEX('Lease Cycles'!$ET$25:$EZ$25,1,DX299)*(1+'Lease Cycles'!$V$25)^INT(INT(DX300/12)/'Lease Cycles'!$W$25)/12,0),0)</f>
        <v>0</v>
      </c>
      <c r="DY303" s="28">
        <f>IF(DY301=1,IF(INDEX('Lease Cycles'!$EF$25:$EL$25,1,DY299)=1,'Lease Cycles'!$C$25*INDEX('Lease Cycles'!$ET$25:$EZ$25,1,DY299)*(1+'Lease Cycles'!$V$25)^INT(INT(DY300/12)/'Lease Cycles'!$W$25)/12,0),0)</f>
        <v>0</v>
      </c>
      <c r="DZ303" s="28">
        <f>IF(DZ301=1,IF(INDEX('Lease Cycles'!$EF$25:$EL$25,1,DZ299)=1,'Lease Cycles'!$C$25*INDEX('Lease Cycles'!$ET$25:$EZ$25,1,DZ299)*(1+'Lease Cycles'!$V$25)^INT(INT(DZ300/12)/'Lease Cycles'!$W$25)/12,0),0)</f>
        <v>0</v>
      </c>
      <c r="EA303" s="28">
        <f>IF(EA301=1,IF(INDEX('Lease Cycles'!$EF$25:$EL$25,1,EA299)=1,'Lease Cycles'!$C$25*INDEX('Lease Cycles'!$ET$25:$EZ$25,1,EA299)*(1+'Lease Cycles'!$V$25)^INT(INT(EA300/12)/'Lease Cycles'!$W$25)/12,0),0)</f>
        <v>0</v>
      </c>
      <c r="EB303" s="28">
        <f>IF(EB301=1,IF(INDEX('Lease Cycles'!$EF$25:$EL$25,1,EB299)=1,'Lease Cycles'!$C$25*INDEX('Lease Cycles'!$ET$25:$EZ$25,1,EB299)*(1+'Lease Cycles'!$V$25)^INT(INT(EB300/12)/'Lease Cycles'!$W$25)/12,0),0)</f>
        <v>0</v>
      </c>
      <c r="EC303" s="28">
        <f>IF(EC301=1,IF(INDEX('Lease Cycles'!$EF$25:$EL$25,1,EC299)=1,'Lease Cycles'!$C$25*INDEX('Lease Cycles'!$ET$25:$EZ$25,1,EC299)*(1+'Lease Cycles'!$V$25)^INT(INT(EC300/12)/'Lease Cycles'!$W$25)/12,0),0)</f>
        <v>0</v>
      </c>
      <c r="ED303" s="28">
        <f>IF(ED301=1,IF(INDEX('Lease Cycles'!$EF$25:$EL$25,1,ED299)=1,'Lease Cycles'!$C$25*INDEX('Lease Cycles'!$ET$25:$EZ$25,1,ED299)*(1+'Lease Cycles'!$V$25)^INT(INT(ED300/12)/'Lease Cycles'!$W$25)/12,0),0)</f>
        <v>0</v>
      </c>
      <c r="EE303" s="28">
        <f>IF(EE301=1,IF(INDEX('Lease Cycles'!$EF$25:$EL$25,1,EE299)=1,'Lease Cycles'!$C$25*INDEX('Lease Cycles'!$ET$25:$EZ$25,1,EE299)*(1+'Lease Cycles'!$V$25)^INT(INT(EE300/12)/'Lease Cycles'!$W$25)/12,0),0)</f>
        <v>0</v>
      </c>
      <c r="EF303" s="28">
        <f>IF(EF301=1,IF(INDEX('Lease Cycles'!$EF$25:$EL$25,1,EF299)=1,'Lease Cycles'!$C$25*INDEX('Lease Cycles'!$ET$25:$EZ$25,1,EF299)*(1+'Lease Cycles'!$V$25)^INT(INT(EF300/12)/'Lease Cycles'!$W$25)/12,0),0)</f>
        <v>0</v>
      </c>
      <c r="EG303" s="28">
        <f>IF(EG301=1,IF(INDEX('Lease Cycles'!$EF$25:$EL$25,1,EG299)=1,'Lease Cycles'!$C$25*INDEX('Lease Cycles'!$ET$25:$EZ$25,1,EG299)*(1+'Lease Cycles'!$V$25)^INT(INT(EG300/12)/'Lease Cycles'!$W$25)/12,0),0)</f>
        <v>0</v>
      </c>
      <c r="EH303" s="28">
        <f>IF(EH301=1,IF(INDEX('Lease Cycles'!$EF$25:$EL$25,1,EH299)=1,'Lease Cycles'!$C$25*INDEX('Lease Cycles'!$ET$25:$EZ$25,1,EH299)*(1+'Lease Cycles'!$V$25)^INT(INT(EH300/12)/'Lease Cycles'!$W$25)/12,0),0)</f>
        <v>0</v>
      </c>
      <c r="EI303" s="28">
        <f>IF(EI301=1,IF(INDEX('Lease Cycles'!$EF$25:$EL$25,1,EI299)=1,'Lease Cycles'!$C$25*INDEX('Lease Cycles'!$ET$25:$EZ$25,1,EI299)*(1+'Lease Cycles'!$V$25)^INT(INT(EI300/12)/'Lease Cycles'!$W$25)/12,0),0)</f>
        <v>0</v>
      </c>
      <c r="EJ303" s="28">
        <f>IF(EJ301=1,IF(INDEX('Lease Cycles'!$EF$25:$EL$25,1,EJ299)=1,'Lease Cycles'!$C$25*INDEX('Lease Cycles'!$ET$25:$EZ$25,1,EJ299)*(1+'Lease Cycles'!$V$25)^INT(INT(EJ300/12)/'Lease Cycles'!$W$25)/12,0),0)</f>
        <v>0</v>
      </c>
      <c r="EK303" s="28">
        <f>IF(EK301=1,IF(INDEX('Lease Cycles'!$EF$25:$EL$25,1,EK299)=1,'Lease Cycles'!$C$25*INDEX('Lease Cycles'!$ET$25:$EZ$25,1,EK299)*(1+'Lease Cycles'!$V$25)^INT(INT(EK300/12)/'Lease Cycles'!$W$25)/12,0),0)</f>
        <v>0</v>
      </c>
      <c r="EL303" s="28">
        <f>IF(EL301=1,IF(INDEX('Lease Cycles'!$EF$25:$EL$25,1,EL299)=1,'Lease Cycles'!$C$25*INDEX('Lease Cycles'!$ET$25:$EZ$25,1,EL299)*(1+'Lease Cycles'!$V$25)^INT(INT(EL300/12)/'Lease Cycles'!$W$25)/12,0),0)</f>
        <v>0</v>
      </c>
      <c r="EM303" s="28">
        <f>IF(EM301=1,IF(INDEX('Lease Cycles'!$EF$25:$EL$25,1,EM299)=1,'Lease Cycles'!$C$25*INDEX('Lease Cycles'!$ET$25:$EZ$25,1,EM299)*(1+'Lease Cycles'!$V$25)^INT(INT(EM300/12)/'Lease Cycles'!$W$25)/12,0),0)</f>
        <v>0</v>
      </c>
      <c r="EN303" s="28">
        <f>IF(EN301=1,IF(INDEX('Lease Cycles'!$EF$25:$EL$25,1,EN299)=1,'Lease Cycles'!$C$25*INDEX('Lease Cycles'!$ET$25:$EZ$25,1,EN299)*(1+'Lease Cycles'!$V$25)^INT(INT(EN300/12)/'Lease Cycles'!$W$25)/12,0),0)</f>
        <v>0</v>
      </c>
      <c r="EO303" s="28">
        <f>IF(EO301=1,IF(INDEX('Lease Cycles'!$EF$25:$EL$25,1,EO299)=1,'Lease Cycles'!$C$25*INDEX('Lease Cycles'!$ET$25:$EZ$25,1,EO299)*(1+'Lease Cycles'!$V$25)^INT(INT(EO300/12)/'Lease Cycles'!$W$25)/12,0),0)</f>
        <v>0</v>
      </c>
      <c r="EP303" s="28">
        <f>IF(EP301=1,IF(INDEX('Lease Cycles'!$EF$25:$EL$25,1,EP299)=1,'Lease Cycles'!$C$25*INDEX('Lease Cycles'!$ET$25:$EZ$25,1,EP299)*(1+'Lease Cycles'!$V$25)^INT(INT(EP300/12)/'Lease Cycles'!$W$25)/12,0),0)</f>
        <v>0</v>
      </c>
      <c r="EQ303" s="28">
        <f>IF(EQ301=1,IF(INDEX('Lease Cycles'!$EF$25:$EL$25,1,EQ299)=1,'Lease Cycles'!$C$25*INDEX('Lease Cycles'!$ET$25:$EZ$25,1,EQ299)*(1+'Lease Cycles'!$V$25)^INT(INT(EQ300/12)/'Lease Cycles'!$W$25)/12,0),0)</f>
        <v>0</v>
      </c>
      <c r="ER303" s="28">
        <f>IF(ER301=1,IF(INDEX('Lease Cycles'!$EF$25:$EL$25,1,ER299)=1,'Lease Cycles'!$C$25*INDEX('Lease Cycles'!$ET$25:$EZ$25,1,ER299)*(1+'Lease Cycles'!$V$25)^INT(INT(ER300/12)/'Lease Cycles'!$W$25)/12,0),0)</f>
        <v>0</v>
      </c>
      <c r="ES303" s="28">
        <f>IF(ES301=1,IF(INDEX('Lease Cycles'!$EF$25:$EL$25,1,ES299)=1,'Lease Cycles'!$C$25*INDEX('Lease Cycles'!$ET$25:$EZ$25,1,ES299)*(1+'Lease Cycles'!$V$25)^INT(INT(ES300/12)/'Lease Cycles'!$W$25)/12,0),0)</f>
        <v>0</v>
      </c>
      <c r="ET303" s="28">
        <f>IF(ET301=1,IF(INDEX('Lease Cycles'!$EF$25:$EL$25,1,ET299)=1,'Lease Cycles'!$C$25*INDEX('Lease Cycles'!$ET$25:$EZ$25,1,ET299)*(1+'Lease Cycles'!$V$25)^INT(INT(ET300/12)/'Lease Cycles'!$W$25)/12,0),0)</f>
        <v>0</v>
      </c>
    </row>
    <row r="304">
      <c r="A304" s="103">
        <v>18</v>
      </c>
      <c r="B304" s="23" t="str">
        <f>IF('Lease Cycles'!$B$25="","(empty slot)",'Lease Cycles'!$B$25)</f>
        <v>(empty slot)</v>
      </c>
      <c r="C304" s="23" t="s">
        <v>681</v>
      </c>
      <c r="D304" s="104" t="s">
        <v>490</v>
      </c>
      <c r="E304" s="25">
        <f>'Lease Cycles'!$AL$25</f>
        <v>0</v>
      </c>
      <c r="G304" s="28">
        <f>SUM(S304:AD304)</f>
        <v>0</v>
      </c>
      <c r="H304" s="28">
        <f>SUM(AE304:AP304)</f>
        <v>0</v>
      </c>
      <c r="I304" s="28">
        <f>SUM(AQ304:BB304)</f>
        <v>0</v>
      </c>
      <c r="J304" s="28">
        <f>SUM(BC304:BN304)</f>
        <v>0</v>
      </c>
      <c r="K304" s="28">
        <f>SUM(BO304:BZ304)</f>
        <v>0</v>
      </c>
      <c r="L304" s="28">
        <f>SUM(CA304:CL304)</f>
        <v>0</v>
      </c>
      <c r="M304" s="28">
        <f>SUM(CM304:CX304)</f>
        <v>0</v>
      </c>
      <c r="N304" s="28">
        <f>SUM(CY304:DJ304)</f>
        <v>0</v>
      </c>
      <c r="O304" s="28">
        <f>SUM(DK304:DV304)</f>
        <v>0</v>
      </c>
      <c r="P304" s="28">
        <f>SUM(DW304:EH304)</f>
        <v>0</v>
      </c>
      <c r="Q304" s="28">
        <f>SUM(EI304:ET304)</f>
        <v>0</v>
      </c>
      <c r="S304" s="28">
        <f>IF(S301=1,IF(INDEX('Lease Cycles'!$EF$25:$EL$25,1,S299)=1,S302*INDEX('Lease Cycles'!$EM$25:$ES$25,1,S299)+S303*(1-INDEX('Lease Cycles'!$EM$25:$ES$25,1,S299)),S302),S302)</f>
        <v>0</v>
      </c>
      <c r="T304" s="28">
        <f>IF(T301=1,IF(INDEX('Lease Cycles'!$EF$25:$EL$25,1,T299)=1,T302*INDEX('Lease Cycles'!$EM$25:$ES$25,1,T299)+T303*(1-INDEX('Lease Cycles'!$EM$25:$ES$25,1,T299)),T302),T302)</f>
        <v>0</v>
      </c>
      <c r="U304" s="28">
        <f>IF(U301=1,IF(INDEX('Lease Cycles'!$EF$25:$EL$25,1,U299)=1,U302*INDEX('Lease Cycles'!$EM$25:$ES$25,1,U299)+U303*(1-INDEX('Lease Cycles'!$EM$25:$ES$25,1,U299)),U302),U302)</f>
        <v>0</v>
      </c>
      <c r="V304" s="28">
        <f>IF(V301=1,IF(INDEX('Lease Cycles'!$EF$25:$EL$25,1,V299)=1,V302*INDEX('Lease Cycles'!$EM$25:$ES$25,1,V299)+V303*(1-INDEX('Lease Cycles'!$EM$25:$ES$25,1,V299)),V302),V302)</f>
        <v>0</v>
      </c>
      <c r="W304" s="28">
        <f>IF(W301=1,IF(INDEX('Lease Cycles'!$EF$25:$EL$25,1,W299)=1,W302*INDEX('Lease Cycles'!$EM$25:$ES$25,1,W299)+W303*(1-INDEX('Lease Cycles'!$EM$25:$ES$25,1,W299)),W302),W302)</f>
        <v>0</v>
      </c>
      <c r="X304" s="28">
        <f>IF(X301=1,IF(INDEX('Lease Cycles'!$EF$25:$EL$25,1,X299)=1,X302*INDEX('Lease Cycles'!$EM$25:$ES$25,1,X299)+X303*(1-INDEX('Lease Cycles'!$EM$25:$ES$25,1,X299)),X302),X302)</f>
        <v>0</v>
      </c>
      <c r="Y304" s="28">
        <f>IF(Y301=1,IF(INDEX('Lease Cycles'!$EF$25:$EL$25,1,Y299)=1,Y302*INDEX('Lease Cycles'!$EM$25:$ES$25,1,Y299)+Y303*(1-INDEX('Lease Cycles'!$EM$25:$ES$25,1,Y299)),Y302),Y302)</f>
        <v>0</v>
      </c>
      <c r="Z304" s="28">
        <f>IF(Z301=1,IF(INDEX('Lease Cycles'!$EF$25:$EL$25,1,Z299)=1,Z302*INDEX('Lease Cycles'!$EM$25:$ES$25,1,Z299)+Z303*(1-INDEX('Lease Cycles'!$EM$25:$ES$25,1,Z299)),Z302),Z302)</f>
        <v>0</v>
      </c>
      <c r="AA304" s="28">
        <f>IF(AA301=1,IF(INDEX('Lease Cycles'!$EF$25:$EL$25,1,AA299)=1,AA302*INDEX('Lease Cycles'!$EM$25:$ES$25,1,AA299)+AA303*(1-INDEX('Lease Cycles'!$EM$25:$ES$25,1,AA299)),AA302),AA302)</f>
        <v>0</v>
      </c>
      <c r="AB304" s="28">
        <f>IF(AB301=1,IF(INDEX('Lease Cycles'!$EF$25:$EL$25,1,AB299)=1,AB302*INDEX('Lease Cycles'!$EM$25:$ES$25,1,AB299)+AB303*(1-INDEX('Lease Cycles'!$EM$25:$ES$25,1,AB299)),AB302),AB302)</f>
        <v>0</v>
      </c>
      <c r="AC304" s="28">
        <f>IF(AC301=1,IF(INDEX('Lease Cycles'!$EF$25:$EL$25,1,AC299)=1,AC302*INDEX('Lease Cycles'!$EM$25:$ES$25,1,AC299)+AC303*(1-INDEX('Lease Cycles'!$EM$25:$ES$25,1,AC299)),AC302),AC302)</f>
        <v>0</v>
      </c>
      <c r="AD304" s="28">
        <f>IF(AD301=1,IF(INDEX('Lease Cycles'!$EF$25:$EL$25,1,AD299)=1,AD302*INDEX('Lease Cycles'!$EM$25:$ES$25,1,AD299)+AD303*(1-INDEX('Lease Cycles'!$EM$25:$ES$25,1,AD299)),AD302),AD302)</f>
        <v>0</v>
      </c>
      <c r="AE304" s="28">
        <f>IF(AE301=1,IF(INDEX('Lease Cycles'!$EF$25:$EL$25,1,AE299)=1,AE302*INDEX('Lease Cycles'!$EM$25:$ES$25,1,AE299)+AE303*(1-INDEX('Lease Cycles'!$EM$25:$ES$25,1,AE299)),AE302),AE302)</f>
        <v>0</v>
      </c>
      <c r="AF304" s="28">
        <f>IF(AF301=1,IF(INDEX('Lease Cycles'!$EF$25:$EL$25,1,AF299)=1,AF302*INDEX('Lease Cycles'!$EM$25:$ES$25,1,AF299)+AF303*(1-INDEX('Lease Cycles'!$EM$25:$ES$25,1,AF299)),AF302),AF302)</f>
        <v>0</v>
      </c>
      <c r="AG304" s="28">
        <f>IF(AG301=1,IF(INDEX('Lease Cycles'!$EF$25:$EL$25,1,AG299)=1,AG302*INDEX('Lease Cycles'!$EM$25:$ES$25,1,AG299)+AG303*(1-INDEX('Lease Cycles'!$EM$25:$ES$25,1,AG299)),AG302),AG302)</f>
        <v>0</v>
      </c>
      <c r="AH304" s="28">
        <f>IF(AH301=1,IF(INDEX('Lease Cycles'!$EF$25:$EL$25,1,AH299)=1,AH302*INDEX('Lease Cycles'!$EM$25:$ES$25,1,AH299)+AH303*(1-INDEX('Lease Cycles'!$EM$25:$ES$25,1,AH299)),AH302),AH302)</f>
        <v>0</v>
      </c>
      <c r="AI304" s="28">
        <f>IF(AI301=1,IF(INDEX('Lease Cycles'!$EF$25:$EL$25,1,AI299)=1,AI302*INDEX('Lease Cycles'!$EM$25:$ES$25,1,AI299)+AI303*(1-INDEX('Lease Cycles'!$EM$25:$ES$25,1,AI299)),AI302),AI302)</f>
        <v>0</v>
      </c>
      <c r="AJ304" s="28">
        <f>IF(AJ301=1,IF(INDEX('Lease Cycles'!$EF$25:$EL$25,1,AJ299)=1,AJ302*INDEX('Lease Cycles'!$EM$25:$ES$25,1,AJ299)+AJ303*(1-INDEX('Lease Cycles'!$EM$25:$ES$25,1,AJ299)),AJ302),AJ302)</f>
        <v>0</v>
      </c>
      <c r="AK304" s="28">
        <f>IF(AK301=1,IF(INDEX('Lease Cycles'!$EF$25:$EL$25,1,AK299)=1,AK302*INDEX('Lease Cycles'!$EM$25:$ES$25,1,AK299)+AK303*(1-INDEX('Lease Cycles'!$EM$25:$ES$25,1,AK299)),AK302),AK302)</f>
        <v>0</v>
      </c>
      <c r="AL304" s="28">
        <f>IF(AL301=1,IF(INDEX('Lease Cycles'!$EF$25:$EL$25,1,AL299)=1,AL302*INDEX('Lease Cycles'!$EM$25:$ES$25,1,AL299)+AL303*(1-INDEX('Lease Cycles'!$EM$25:$ES$25,1,AL299)),AL302),AL302)</f>
        <v>0</v>
      </c>
      <c r="AM304" s="28">
        <f>IF(AM301=1,IF(INDEX('Lease Cycles'!$EF$25:$EL$25,1,AM299)=1,AM302*INDEX('Lease Cycles'!$EM$25:$ES$25,1,AM299)+AM303*(1-INDEX('Lease Cycles'!$EM$25:$ES$25,1,AM299)),AM302),AM302)</f>
        <v>0</v>
      </c>
      <c r="AN304" s="28">
        <f>IF(AN301=1,IF(INDEX('Lease Cycles'!$EF$25:$EL$25,1,AN299)=1,AN302*INDEX('Lease Cycles'!$EM$25:$ES$25,1,AN299)+AN303*(1-INDEX('Lease Cycles'!$EM$25:$ES$25,1,AN299)),AN302),AN302)</f>
        <v>0</v>
      </c>
      <c r="AO304" s="28">
        <f>IF(AO301=1,IF(INDEX('Lease Cycles'!$EF$25:$EL$25,1,AO299)=1,AO302*INDEX('Lease Cycles'!$EM$25:$ES$25,1,AO299)+AO303*(1-INDEX('Lease Cycles'!$EM$25:$ES$25,1,AO299)),AO302),AO302)</f>
        <v>0</v>
      </c>
      <c r="AP304" s="28">
        <f>IF(AP301=1,IF(INDEX('Lease Cycles'!$EF$25:$EL$25,1,AP299)=1,AP302*INDEX('Lease Cycles'!$EM$25:$ES$25,1,AP299)+AP303*(1-INDEX('Lease Cycles'!$EM$25:$ES$25,1,AP299)),AP302),AP302)</f>
        <v>0</v>
      </c>
      <c r="AQ304" s="28">
        <f>IF(AQ301=1,IF(INDEX('Lease Cycles'!$EF$25:$EL$25,1,AQ299)=1,AQ302*INDEX('Lease Cycles'!$EM$25:$ES$25,1,AQ299)+AQ303*(1-INDEX('Lease Cycles'!$EM$25:$ES$25,1,AQ299)),AQ302),AQ302)</f>
        <v>0</v>
      </c>
      <c r="AR304" s="28">
        <f>IF(AR301=1,IF(INDEX('Lease Cycles'!$EF$25:$EL$25,1,AR299)=1,AR302*INDEX('Lease Cycles'!$EM$25:$ES$25,1,AR299)+AR303*(1-INDEX('Lease Cycles'!$EM$25:$ES$25,1,AR299)),AR302),AR302)</f>
        <v>0</v>
      </c>
      <c r="AS304" s="28">
        <f>IF(AS301=1,IF(INDEX('Lease Cycles'!$EF$25:$EL$25,1,AS299)=1,AS302*INDEX('Lease Cycles'!$EM$25:$ES$25,1,AS299)+AS303*(1-INDEX('Lease Cycles'!$EM$25:$ES$25,1,AS299)),AS302),AS302)</f>
        <v>0</v>
      </c>
      <c r="AT304" s="28">
        <f>IF(AT301=1,IF(INDEX('Lease Cycles'!$EF$25:$EL$25,1,AT299)=1,AT302*INDEX('Lease Cycles'!$EM$25:$ES$25,1,AT299)+AT303*(1-INDEX('Lease Cycles'!$EM$25:$ES$25,1,AT299)),AT302),AT302)</f>
        <v>0</v>
      </c>
      <c r="AU304" s="28">
        <f>IF(AU301=1,IF(INDEX('Lease Cycles'!$EF$25:$EL$25,1,AU299)=1,AU302*INDEX('Lease Cycles'!$EM$25:$ES$25,1,AU299)+AU303*(1-INDEX('Lease Cycles'!$EM$25:$ES$25,1,AU299)),AU302),AU302)</f>
        <v>0</v>
      </c>
      <c r="AV304" s="28">
        <f>IF(AV301=1,IF(INDEX('Lease Cycles'!$EF$25:$EL$25,1,AV299)=1,AV302*INDEX('Lease Cycles'!$EM$25:$ES$25,1,AV299)+AV303*(1-INDEX('Lease Cycles'!$EM$25:$ES$25,1,AV299)),AV302),AV302)</f>
        <v>0</v>
      </c>
      <c r="AW304" s="28">
        <f>IF(AW301=1,IF(INDEX('Lease Cycles'!$EF$25:$EL$25,1,AW299)=1,AW302*INDEX('Lease Cycles'!$EM$25:$ES$25,1,AW299)+AW303*(1-INDEX('Lease Cycles'!$EM$25:$ES$25,1,AW299)),AW302),AW302)</f>
        <v>0</v>
      </c>
      <c r="AX304" s="28">
        <f>IF(AX301=1,IF(INDEX('Lease Cycles'!$EF$25:$EL$25,1,AX299)=1,AX302*INDEX('Lease Cycles'!$EM$25:$ES$25,1,AX299)+AX303*(1-INDEX('Lease Cycles'!$EM$25:$ES$25,1,AX299)),AX302),AX302)</f>
        <v>0</v>
      </c>
      <c r="AY304" s="28">
        <f>IF(AY301=1,IF(INDEX('Lease Cycles'!$EF$25:$EL$25,1,AY299)=1,AY302*INDEX('Lease Cycles'!$EM$25:$ES$25,1,AY299)+AY303*(1-INDEX('Lease Cycles'!$EM$25:$ES$25,1,AY299)),AY302),AY302)</f>
        <v>0</v>
      </c>
      <c r="AZ304" s="28">
        <f>IF(AZ301=1,IF(INDEX('Lease Cycles'!$EF$25:$EL$25,1,AZ299)=1,AZ302*INDEX('Lease Cycles'!$EM$25:$ES$25,1,AZ299)+AZ303*(1-INDEX('Lease Cycles'!$EM$25:$ES$25,1,AZ299)),AZ302),AZ302)</f>
        <v>0</v>
      </c>
      <c r="BA304" s="28">
        <f>IF(BA301=1,IF(INDEX('Lease Cycles'!$EF$25:$EL$25,1,BA299)=1,BA302*INDEX('Lease Cycles'!$EM$25:$ES$25,1,BA299)+BA303*(1-INDEX('Lease Cycles'!$EM$25:$ES$25,1,BA299)),BA302),BA302)</f>
        <v>0</v>
      </c>
      <c r="BB304" s="28">
        <f>IF(BB301=1,IF(INDEX('Lease Cycles'!$EF$25:$EL$25,1,BB299)=1,BB302*INDEX('Lease Cycles'!$EM$25:$ES$25,1,BB299)+BB303*(1-INDEX('Lease Cycles'!$EM$25:$ES$25,1,BB299)),BB302),BB302)</f>
        <v>0</v>
      </c>
      <c r="BC304" s="28">
        <f>IF(BC301=1,IF(INDEX('Lease Cycles'!$EF$25:$EL$25,1,BC299)=1,BC302*INDEX('Lease Cycles'!$EM$25:$ES$25,1,BC299)+BC303*(1-INDEX('Lease Cycles'!$EM$25:$ES$25,1,BC299)),BC302),BC302)</f>
        <v>0</v>
      </c>
      <c r="BD304" s="28">
        <f>IF(BD301=1,IF(INDEX('Lease Cycles'!$EF$25:$EL$25,1,BD299)=1,BD302*INDEX('Lease Cycles'!$EM$25:$ES$25,1,BD299)+BD303*(1-INDEX('Lease Cycles'!$EM$25:$ES$25,1,BD299)),BD302),BD302)</f>
        <v>0</v>
      </c>
      <c r="BE304" s="28">
        <f>IF(BE301=1,IF(INDEX('Lease Cycles'!$EF$25:$EL$25,1,BE299)=1,BE302*INDEX('Lease Cycles'!$EM$25:$ES$25,1,BE299)+BE303*(1-INDEX('Lease Cycles'!$EM$25:$ES$25,1,BE299)),BE302),BE302)</f>
        <v>0</v>
      </c>
      <c r="BF304" s="28">
        <f>IF(BF301=1,IF(INDEX('Lease Cycles'!$EF$25:$EL$25,1,BF299)=1,BF302*INDEX('Lease Cycles'!$EM$25:$ES$25,1,BF299)+BF303*(1-INDEX('Lease Cycles'!$EM$25:$ES$25,1,BF299)),BF302),BF302)</f>
        <v>0</v>
      </c>
      <c r="BG304" s="28">
        <f>IF(BG301=1,IF(INDEX('Lease Cycles'!$EF$25:$EL$25,1,BG299)=1,BG302*INDEX('Lease Cycles'!$EM$25:$ES$25,1,BG299)+BG303*(1-INDEX('Lease Cycles'!$EM$25:$ES$25,1,BG299)),BG302),BG302)</f>
        <v>0</v>
      </c>
      <c r="BH304" s="28">
        <f>IF(BH301=1,IF(INDEX('Lease Cycles'!$EF$25:$EL$25,1,BH299)=1,BH302*INDEX('Lease Cycles'!$EM$25:$ES$25,1,BH299)+BH303*(1-INDEX('Lease Cycles'!$EM$25:$ES$25,1,BH299)),BH302),BH302)</f>
        <v>0</v>
      </c>
      <c r="BI304" s="28">
        <f>IF(BI301=1,IF(INDEX('Lease Cycles'!$EF$25:$EL$25,1,BI299)=1,BI302*INDEX('Lease Cycles'!$EM$25:$ES$25,1,BI299)+BI303*(1-INDEX('Lease Cycles'!$EM$25:$ES$25,1,BI299)),BI302),BI302)</f>
        <v>0</v>
      </c>
      <c r="BJ304" s="28">
        <f>IF(BJ301=1,IF(INDEX('Lease Cycles'!$EF$25:$EL$25,1,BJ299)=1,BJ302*INDEX('Lease Cycles'!$EM$25:$ES$25,1,BJ299)+BJ303*(1-INDEX('Lease Cycles'!$EM$25:$ES$25,1,BJ299)),BJ302),BJ302)</f>
        <v>0</v>
      </c>
      <c r="BK304" s="28">
        <f>IF(BK301=1,IF(INDEX('Lease Cycles'!$EF$25:$EL$25,1,BK299)=1,BK302*INDEX('Lease Cycles'!$EM$25:$ES$25,1,BK299)+BK303*(1-INDEX('Lease Cycles'!$EM$25:$ES$25,1,BK299)),BK302),BK302)</f>
        <v>0</v>
      </c>
      <c r="BL304" s="28">
        <f>IF(BL301=1,IF(INDEX('Lease Cycles'!$EF$25:$EL$25,1,BL299)=1,BL302*INDEX('Lease Cycles'!$EM$25:$ES$25,1,BL299)+BL303*(1-INDEX('Lease Cycles'!$EM$25:$ES$25,1,BL299)),BL302),BL302)</f>
        <v>0</v>
      </c>
      <c r="BM304" s="28">
        <f>IF(BM301=1,IF(INDEX('Lease Cycles'!$EF$25:$EL$25,1,BM299)=1,BM302*INDEX('Lease Cycles'!$EM$25:$ES$25,1,BM299)+BM303*(1-INDEX('Lease Cycles'!$EM$25:$ES$25,1,BM299)),BM302),BM302)</f>
        <v>0</v>
      </c>
      <c r="BN304" s="28">
        <f>IF(BN301=1,IF(INDEX('Lease Cycles'!$EF$25:$EL$25,1,BN299)=1,BN302*INDEX('Lease Cycles'!$EM$25:$ES$25,1,BN299)+BN303*(1-INDEX('Lease Cycles'!$EM$25:$ES$25,1,BN299)),BN302),BN302)</f>
        <v>0</v>
      </c>
      <c r="BO304" s="28">
        <f>IF(BO301=1,IF(INDEX('Lease Cycles'!$EF$25:$EL$25,1,BO299)=1,BO302*INDEX('Lease Cycles'!$EM$25:$ES$25,1,BO299)+BO303*(1-INDEX('Lease Cycles'!$EM$25:$ES$25,1,BO299)),BO302),BO302)</f>
        <v>0</v>
      </c>
      <c r="BP304" s="28">
        <f>IF(BP301=1,IF(INDEX('Lease Cycles'!$EF$25:$EL$25,1,BP299)=1,BP302*INDEX('Lease Cycles'!$EM$25:$ES$25,1,BP299)+BP303*(1-INDEX('Lease Cycles'!$EM$25:$ES$25,1,BP299)),BP302),BP302)</f>
        <v>0</v>
      </c>
      <c r="BQ304" s="28">
        <f>IF(BQ301=1,IF(INDEX('Lease Cycles'!$EF$25:$EL$25,1,BQ299)=1,BQ302*INDEX('Lease Cycles'!$EM$25:$ES$25,1,BQ299)+BQ303*(1-INDEX('Lease Cycles'!$EM$25:$ES$25,1,BQ299)),BQ302),BQ302)</f>
        <v>0</v>
      </c>
      <c r="BR304" s="28">
        <f>IF(BR301=1,IF(INDEX('Lease Cycles'!$EF$25:$EL$25,1,BR299)=1,BR302*INDEX('Lease Cycles'!$EM$25:$ES$25,1,BR299)+BR303*(1-INDEX('Lease Cycles'!$EM$25:$ES$25,1,BR299)),BR302),BR302)</f>
        <v>0</v>
      </c>
      <c r="BS304" s="28">
        <f>IF(BS301=1,IF(INDEX('Lease Cycles'!$EF$25:$EL$25,1,BS299)=1,BS302*INDEX('Lease Cycles'!$EM$25:$ES$25,1,BS299)+BS303*(1-INDEX('Lease Cycles'!$EM$25:$ES$25,1,BS299)),BS302),BS302)</f>
        <v>0</v>
      </c>
      <c r="BT304" s="28">
        <f>IF(BT301=1,IF(INDEX('Lease Cycles'!$EF$25:$EL$25,1,BT299)=1,BT302*INDEX('Lease Cycles'!$EM$25:$ES$25,1,BT299)+BT303*(1-INDEX('Lease Cycles'!$EM$25:$ES$25,1,BT299)),BT302),BT302)</f>
        <v>0</v>
      </c>
      <c r="BU304" s="28">
        <f>IF(BU301=1,IF(INDEX('Lease Cycles'!$EF$25:$EL$25,1,BU299)=1,BU302*INDEX('Lease Cycles'!$EM$25:$ES$25,1,BU299)+BU303*(1-INDEX('Lease Cycles'!$EM$25:$ES$25,1,BU299)),BU302),BU302)</f>
        <v>0</v>
      </c>
      <c r="BV304" s="28">
        <f>IF(BV301=1,IF(INDEX('Lease Cycles'!$EF$25:$EL$25,1,BV299)=1,BV302*INDEX('Lease Cycles'!$EM$25:$ES$25,1,BV299)+BV303*(1-INDEX('Lease Cycles'!$EM$25:$ES$25,1,BV299)),BV302),BV302)</f>
        <v>0</v>
      </c>
      <c r="BW304" s="28">
        <f>IF(BW301=1,IF(INDEX('Lease Cycles'!$EF$25:$EL$25,1,BW299)=1,BW302*INDEX('Lease Cycles'!$EM$25:$ES$25,1,BW299)+BW303*(1-INDEX('Lease Cycles'!$EM$25:$ES$25,1,BW299)),BW302),BW302)</f>
        <v>0</v>
      </c>
      <c r="BX304" s="28">
        <f>IF(BX301=1,IF(INDEX('Lease Cycles'!$EF$25:$EL$25,1,BX299)=1,BX302*INDEX('Lease Cycles'!$EM$25:$ES$25,1,BX299)+BX303*(1-INDEX('Lease Cycles'!$EM$25:$ES$25,1,BX299)),BX302),BX302)</f>
        <v>0</v>
      </c>
      <c r="BY304" s="28">
        <f>IF(BY301=1,IF(INDEX('Lease Cycles'!$EF$25:$EL$25,1,BY299)=1,BY302*INDEX('Lease Cycles'!$EM$25:$ES$25,1,BY299)+BY303*(1-INDEX('Lease Cycles'!$EM$25:$ES$25,1,BY299)),BY302),BY302)</f>
        <v>0</v>
      </c>
      <c r="BZ304" s="28">
        <f>IF(BZ301=1,IF(INDEX('Lease Cycles'!$EF$25:$EL$25,1,BZ299)=1,BZ302*INDEX('Lease Cycles'!$EM$25:$ES$25,1,BZ299)+BZ303*(1-INDEX('Lease Cycles'!$EM$25:$ES$25,1,BZ299)),BZ302),BZ302)</f>
        <v>0</v>
      </c>
      <c r="CA304" s="28">
        <f>IF(CA301=1,IF(INDEX('Lease Cycles'!$EF$25:$EL$25,1,CA299)=1,CA302*INDEX('Lease Cycles'!$EM$25:$ES$25,1,CA299)+CA303*(1-INDEX('Lease Cycles'!$EM$25:$ES$25,1,CA299)),CA302),CA302)</f>
        <v>0</v>
      </c>
      <c r="CB304" s="28">
        <f>IF(CB301=1,IF(INDEX('Lease Cycles'!$EF$25:$EL$25,1,CB299)=1,CB302*INDEX('Lease Cycles'!$EM$25:$ES$25,1,CB299)+CB303*(1-INDEX('Lease Cycles'!$EM$25:$ES$25,1,CB299)),CB302),CB302)</f>
        <v>0</v>
      </c>
      <c r="CC304" s="28">
        <f>IF(CC301=1,IF(INDEX('Lease Cycles'!$EF$25:$EL$25,1,CC299)=1,CC302*INDEX('Lease Cycles'!$EM$25:$ES$25,1,CC299)+CC303*(1-INDEX('Lease Cycles'!$EM$25:$ES$25,1,CC299)),CC302),CC302)</f>
        <v>0</v>
      </c>
      <c r="CD304" s="28">
        <f>IF(CD301=1,IF(INDEX('Lease Cycles'!$EF$25:$EL$25,1,CD299)=1,CD302*INDEX('Lease Cycles'!$EM$25:$ES$25,1,CD299)+CD303*(1-INDEX('Lease Cycles'!$EM$25:$ES$25,1,CD299)),CD302),CD302)</f>
        <v>0</v>
      </c>
      <c r="CE304" s="28">
        <f>IF(CE301=1,IF(INDEX('Lease Cycles'!$EF$25:$EL$25,1,CE299)=1,CE302*INDEX('Lease Cycles'!$EM$25:$ES$25,1,CE299)+CE303*(1-INDEX('Lease Cycles'!$EM$25:$ES$25,1,CE299)),CE302),CE302)</f>
        <v>0</v>
      </c>
      <c r="CF304" s="28">
        <f>IF(CF301=1,IF(INDEX('Lease Cycles'!$EF$25:$EL$25,1,CF299)=1,CF302*INDEX('Lease Cycles'!$EM$25:$ES$25,1,CF299)+CF303*(1-INDEX('Lease Cycles'!$EM$25:$ES$25,1,CF299)),CF302),CF302)</f>
        <v>0</v>
      </c>
      <c r="CG304" s="28">
        <f>IF(CG301=1,IF(INDEX('Lease Cycles'!$EF$25:$EL$25,1,CG299)=1,CG302*INDEX('Lease Cycles'!$EM$25:$ES$25,1,CG299)+CG303*(1-INDEX('Lease Cycles'!$EM$25:$ES$25,1,CG299)),CG302),CG302)</f>
        <v>0</v>
      </c>
      <c r="CH304" s="28">
        <f>IF(CH301=1,IF(INDEX('Lease Cycles'!$EF$25:$EL$25,1,CH299)=1,CH302*INDEX('Lease Cycles'!$EM$25:$ES$25,1,CH299)+CH303*(1-INDEX('Lease Cycles'!$EM$25:$ES$25,1,CH299)),CH302),CH302)</f>
        <v>0</v>
      </c>
      <c r="CI304" s="28">
        <f>IF(CI301=1,IF(INDEX('Lease Cycles'!$EF$25:$EL$25,1,CI299)=1,CI302*INDEX('Lease Cycles'!$EM$25:$ES$25,1,CI299)+CI303*(1-INDEX('Lease Cycles'!$EM$25:$ES$25,1,CI299)),CI302),CI302)</f>
        <v>0</v>
      </c>
      <c r="CJ304" s="28">
        <f>IF(CJ301=1,IF(INDEX('Lease Cycles'!$EF$25:$EL$25,1,CJ299)=1,CJ302*INDEX('Lease Cycles'!$EM$25:$ES$25,1,CJ299)+CJ303*(1-INDEX('Lease Cycles'!$EM$25:$ES$25,1,CJ299)),CJ302),CJ302)</f>
        <v>0</v>
      </c>
      <c r="CK304" s="28">
        <f>IF(CK301=1,IF(INDEX('Lease Cycles'!$EF$25:$EL$25,1,CK299)=1,CK302*INDEX('Lease Cycles'!$EM$25:$ES$25,1,CK299)+CK303*(1-INDEX('Lease Cycles'!$EM$25:$ES$25,1,CK299)),CK302),CK302)</f>
        <v>0</v>
      </c>
      <c r="CL304" s="28">
        <f>IF(CL301=1,IF(INDEX('Lease Cycles'!$EF$25:$EL$25,1,CL299)=1,CL302*INDEX('Lease Cycles'!$EM$25:$ES$25,1,CL299)+CL303*(1-INDEX('Lease Cycles'!$EM$25:$ES$25,1,CL299)),CL302),CL302)</f>
        <v>0</v>
      </c>
      <c r="CM304" s="28">
        <f>IF(CM301=1,IF(INDEX('Lease Cycles'!$EF$25:$EL$25,1,CM299)=1,CM302*INDEX('Lease Cycles'!$EM$25:$ES$25,1,CM299)+CM303*(1-INDEX('Lease Cycles'!$EM$25:$ES$25,1,CM299)),CM302),CM302)</f>
        <v>0</v>
      </c>
      <c r="CN304" s="28">
        <f>IF(CN301=1,IF(INDEX('Lease Cycles'!$EF$25:$EL$25,1,CN299)=1,CN302*INDEX('Lease Cycles'!$EM$25:$ES$25,1,CN299)+CN303*(1-INDEX('Lease Cycles'!$EM$25:$ES$25,1,CN299)),CN302),CN302)</f>
        <v>0</v>
      </c>
      <c r="CO304" s="28">
        <f>IF(CO301=1,IF(INDEX('Lease Cycles'!$EF$25:$EL$25,1,CO299)=1,CO302*INDEX('Lease Cycles'!$EM$25:$ES$25,1,CO299)+CO303*(1-INDEX('Lease Cycles'!$EM$25:$ES$25,1,CO299)),CO302),CO302)</f>
        <v>0</v>
      </c>
      <c r="CP304" s="28">
        <f>IF(CP301=1,IF(INDEX('Lease Cycles'!$EF$25:$EL$25,1,CP299)=1,CP302*INDEX('Lease Cycles'!$EM$25:$ES$25,1,CP299)+CP303*(1-INDEX('Lease Cycles'!$EM$25:$ES$25,1,CP299)),CP302),CP302)</f>
        <v>0</v>
      </c>
      <c r="CQ304" s="28">
        <f>IF(CQ301=1,IF(INDEX('Lease Cycles'!$EF$25:$EL$25,1,CQ299)=1,CQ302*INDEX('Lease Cycles'!$EM$25:$ES$25,1,CQ299)+CQ303*(1-INDEX('Lease Cycles'!$EM$25:$ES$25,1,CQ299)),CQ302),CQ302)</f>
        <v>0</v>
      </c>
      <c r="CR304" s="28">
        <f>IF(CR301=1,IF(INDEX('Lease Cycles'!$EF$25:$EL$25,1,CR299)=1,CR302*INDEX('Lease Cycles'!$EM$25:$ES$25,1,CR299)+CR303*(1-INDEX('Lease Cycles'!$EM$25:$ES$25,1,CR299)),CR302),CR302)</f>
        <v>0</v>
      </c>
      <c r="CS304" s="28">
        <f>IF(CS301=1,IF(INDEX('Lease Cycles'!$EF$25:$EL$25,1,CS299)=1,CS302*INDEX('Lease Cycles'!$EM$25:$ES$25,1,CS299)+CS303*(1-INDEX('Lease Cycles'!$EM$25:$ES$25,1,CS299)),CS302),CS302)</f>
        <v>0</v>
      </c>
      <c r="CT304" s="28">
        <f>IF(CT301=1,IF(INDEX('Lease Cycles'!$EF$25:$EL$25,1,CT299)=1,CT302*INDEX('Lease Cycles'!$EM$25:$ES$25,1,CT299)+CT303*(1-INDEX('Lease Cycles'!$EM$25:$ES$25,1,CT299)),CT302),CT302)</f>
        <v>0</v>
      </c>
      <c r="CU304" s="28">
        <f>IF(CU301=1,IF(INDEX('Lease Cycles'!$EF$25:$EL$25,1,CU299)=1,CU302*INDEX('Lease Cycles'!$EM$25:$ES$25,1,CU299)+CU303*(1-INDEX('Lease Cycles'!$EM$25:$ES$25,1,CU299)),CU302),CU302)</f>
        <v>0</v>
      </c>
      <c r="CV304" s="28">
        <f>IF(CV301=1,IF(INDEX('Lease Cycles'!$EF$25:$EL$25,1,CV299)=1,CV302*INDEX('Lease Cycles'!$EM$25:$ES$25,1,CV299)+CV303*(1-INDEX('Lease Cycles'!$EM$25:$ES$25,1,CV299)),CV302),CV302)</f>
        <v>0</v>
      </c>
      <c r="CW304" s="28">
        <f>IF(CW301=1,IF(INDEX('Lease Cycles'!$EF$25:$EL$25,1,CW299)=1,CW302*INDEX('Lease Cycles'!$EM$25:$ES$25,1,CW299)+CW303*(1-INDEX('Lease Cycles'!$EM$25:$ES$25,1,CW299)),CW302),CW302)</f>
        <v>0</v>
      </c>
      <c r="CX304" s="28">
        <f>IF(CX301=1,IF(INDEX('Lease Cycles'!$EF$25:$EL$25,1,CX299)=1,CX302*INDEX('Lease Cycles'!$EM$25:$ES$25,1,CX299)+CX303*(1-INDEX('Lease Cycles'!$EM$25:$ES$25,1,CX299)),CX302),CX302)</f>
        <v>0</v>
      </c>
      <c r="CY304" s="28">
        <f>IF(CY301=1,IF(INDEX('Lease Cycles'!$EF$25:$EL$25,1,CY299)=1,CY302*INDEX('Lease Cycles'!$EM$25:$ES$25,1,CY299)+CY303*(1-INDEX('Lease Cycles'!$EM$25:$ES$25,1,CY299)),CY302),CY302)</f>
        <v>0</v>
      </c>
      <c r="CZ304" s="28">
        <f>IF(CZ301=1,IF(INDEX('Lease Cycles'!$EF$25:$EL$25,1,CZ299)=1,CZ302*INDEX('Lease Cycles'!$EM$25:$ES$25,1,CZ299)+CZ303*(1-INDEX('Lease Cycles'!$EM$25:$ES$25,1,CZ299)),CZ302),CZ302)</f>
        <v>0</v>
      </c>
      <c r="DA304" s="28">
        <f>IF(DA301=1,IF(INDEX('Lease Cycles'!$EF$25:$EL$25,1,DA299)=1,DA302*INDEX('Lease Cycles'!$EM$25:$ES$25,1,DA299)+DA303*(1-INDEX('Lease Cycles'!$EM$25:$ES$25,1,DA299)),DA302),DA302)</f>
        <v>0</v>
      </c>
      <c r="DB304" s="28">
        <f>IF(DB301=1,IF(INDEX('Lease Cycles'!$EF$25:$EL$25,1,DB299)=1,DB302*INDEX('Lease Cycles'!$EM$25:$ES$25,1,DB299)+DB303*(1-INDEX('Lease Cycles'!$EM$25:$ES$25,1,DB299)),DB302),DB302)</f>
        <v>0</v>
      </c>
      <c r="DC304" s="28">
        <f>IF(DC301=1,IF(INDEX('Lease Cycles'!$EF$25:$EL$25,1,DC299)=1,DC302*INDEX('Lease Cycles'!$EM$25:$ES$25,1,DC299)+DC303*(1-INDEX('Lease Cycles'!$EM$25:$ES$25,1,DC299)),DC302),DC302)</f>
        <v>0</v>
      </c>
      <c r="DD304" s="28">
        <f>IF(DD301=1,IF(INDEX('Lease Cycles'!$EF$25:$EL$25,1,DD299)=1,DD302*INDEX('Lease Cycles'!$EM$25:$ES$25,1,DD299)+DD303*(1-INDEX('Lease Cycles'!$EM$25:$ES$25,1,DD299)),DD302),DD302)</f>
        <v>0</v>
      </c>
      <c r="DE304" s="28">
        <f>IF(DE301=1,IF(INDEX('Lease Cycles'!$EF$25:$EL$25,1,DE299)=1,DE302*INDEX('Lease Cycles'!$EM$25:$ES$25,1,DE299)+DE303*(1-INDEX('Lease Cycles'!$EM$25:$ES$25,1,DE299)),DE302),DE302)</f>
        <v>0</v>
      </c>
      <c r="DF304" s="28">
        <f>IF(DF301=1,IF(INDEX('Lease Cycles'!$EF$25:$EL$25,1,DF299)=1,DF302*INDEX('Lease Cycles'!$EM$25:$ES$25,1,DF299)+DF303*(1-INDEX('Lease Cycles'!$EM$25:$ES$25,1,DF299)),DF302),DF302)</f>
        <v>0</v>
      </c>
      <c r="DG304" s="28">
        <f>IF(DG301=1,IF(INDEX('Lease Cycles'!$EF$25:$EL$25,1,DG299)=1,DG302*INDEX('Lease Cycles'!$EM$25:$ES$25,1,DG299)+DG303*(1-INDEX('Lease Cycles'!$EM$25:$ES$25,1,DG299)),DG302),DG302)</f>
        <v>0</v>
      </c>
      <c r="DH304" s="28">
        <f>IF(DH301=1,IF(INDEX('Lease Cycles'!$EF$25:$EL$25,1,DH299)=1,DH302*INDEX('Lease Cycles'!$EM$25:$ES$25,1,DH299)+DH303*(1-INDEX('Lease Cycles'!$EM$25:$ES$25,1,DH299)),DH302),DH302)</f>
        <v>0</v>
      </c>
      <c r="DI304" s="28">
        <f>IF(DI301=1,IF(INDEX('Lease Cycles'!$EF$25:$EL$25,1,DI299)=1,DI302*INDEX('Lease Cycles'!$EM$25:$ES$25,1,DI299)+DI303*(1-INDEX('Lease Cycles'!$EM$25:$ES$25,1,DI299)),DI302),DI302)</f>
        <v>0</v>
      </c>
      <c r="DJ304" s="28">
        <f>IF(DJ301=1,IF(INDEX('Lease Cycles'!$EF$25:$EL$25,1,DJ299)=1,DJ302*INDEX('Lease Cycles'!$EM$25:$ES$25,1,DJ299)+DJ303*(1-INDEX('Lease Cycles'!$EM$25:$ES$25,1,DJ299)),DJ302),DJ302)</f>
        <v>0</v>
      </c>
      <c r="DK304" s="28">
        <f>IF(DK301=1,IF(INDEX('Lease Cycles'!$EF$25:$EL$25,1,DK299)=1,DK302*INDEX('Lease Cycles'!$EM$25:$ES$25,1,DK299)+DK303*(1-INDEX('Lease Cycles'!$EM$25:$ES$25,1,DK299)),DK302),DK302)</f>
        <v>0</v>
      </c>
      <c r="DL304" s="28">
        <f>IF(DL301=1,IF(INDEX('Lease Cycles'!$EF$25:$EL$25,1,DL299)=1,DL302*INDEX('Lease Cycles'!$EM$25:$ES$25,1,DL299)+DL303*(1-INDEX('Lease Cycles'!$EM$25:$ES$25,1,DL299)),DL302),DL302)</f>
        <v>0</v>
      </c>
      <c r="DM304" s="28">
        <f>IF(DM301=1,IF(INDEX('Lease Cycles'!$EF$25:$EL$25,1,DM299)=1,DM302*INDEX('Lease Cycles'!$EM$25:$ES$25,1,DM299)+DM303*(1-INDEX('Lease Cycles'!$EM$25:$ES$25,1,DM299)),DM302),DM302)</f>
        <v>0</v>
      </c>
      <c r="DN304" s="28">
        <f>IF(DN301=1,IF(INDEX('Lease Cycles'!$EF$25:$EL$25,1,DN299)=1,DN302*INDEX('Lease Cycles'!$EM$25:$ES$25,1,DN299)+DN303*(1-INDEX('Lease Cycles'!$EM$25:$ES$25,1,DN299)),DN302),DN302)</f>
        <v>0</v>
      </c>
      <c r="DO304" s="28">
        <f>IF(DO301=1,IF(INDEX('Lease Cycles'!$EF$25:$EL$25,1,DO299)=1,DO302*INDEX('Lease Cycles'!$EM$25:$ES$25,1,DO299)+DO303*(1-INDEX('Lease Cycles'!$EM$25:$ES$25,1,DO299)),DO302),DO302)</f>
        <v>0</v>
      </c>
      <c r="DP304" s="28">
        <f>IF(DP301=1,IF(INDEX('Lease Cycles'!$EF$25:$EL$25,1,DP299)=1,DP302*INDEX('Lease Cycles'!$EM$25:$ES$25,1,DP299)+DP303*(1-INDEX('Lease Cycles'!$EM$25:$ES$25,1,DP299)),DP302),DP302)</f>
        <v>0</v>
      </c>
      <c r="DQ304" s="28">
        <f>IF(DQ301=1,IF(INDEX('Lease Cycles'!$EF$25:$EL$25,1,DQ299)=1,DQ302*INDEX('Lease Cycles'!$EM$25:$ES$25,1,DQ299)+DQ303*(1-INDEX('Lease Cycles'!$EM$25:$ES$25,1,DQ299)),DQ302),DQ302)</f>
        <v>0</v>
      </c>
      <c r="DR304" s="28">
        <f>IF(DR301=1,IF(INDEX('Lease Cycles'!$EF$25:$EL$25,1,DR299)=1,DR302*INDEX('Lease Cycles'!$EM$25:$ES$25,1,DR299)+DR303*(1-INDEX('Lease Cycles'!$EM$25:$ES$25,1,DR299)),DR302),DR302)</f>
        <v>0</v>
      </c>
      <c r="DS304" s="28">
        <f>IF(DS301=1,IF(INDEX('Lease Cycles'!$EF$25:$EL$25,1,DS299)=1,DS302*INDEX('Lease Cycles'!$EM$25:$ES$25,1,DS299)+DS303*(1-INDEX('Lease Cycles'!$EM$25:$ES$25,1,DS299)),DS302),DS302)</f>
        <v>0</v>
      </c>
      <c r="DT304" s="28">
        <f>IF(DT301=1,IF(INDEX('Lease Cycles'!$EF$25:$EL$25,1,DT299)=1,DT302*INDEX('Lease Cycles'!$EM$25:$ES$25,1,DT299)+DT303*(1-INDEX('Lease Cycles'!$EM$25:$ES$25,1,DT299)),DT302),DT302)</f>
        <v>0</v>
      </c>
      <c r="DU304" s="28">
        <f>IF(DU301=1,IF(INDEX('Lease Cycles'!$EF$25:$EL$25,1,DU299)=1,DU302*INDEX('Lease Cycles'!$EM$25:$ES$25,1,DU299)+DU303*(1-INDEX('Lease Cycles'!$EM$25:$ES$25,1,DU299)),DU302),DU302)</f>
        <v>0</v>
      </c>
      <c r="DV304" s="28">
        <f>IF(DV301=1,IF(INDEX('Lease Cycles'!$EF$25:$EL$25,1,DV299)=1,DV302*INDEX('Lease Cycles'!$EM$25:$ES$25,1,DV299)+DV303*(1-INDEX('Lease Cycles'!$EM$25:$ES$25,1,DV299)),DV302),DV302)</f>
        <v>0</v>
      </c>
      <c r="DW304" s="28">
        <f>IF(DW301=1,IF(INDEX('Lease Cycles'!$EF$25:$EL$25,1,DW299)=1,DW302*INDEX('Lease Cycles'!$EM$25:$ES$25,1,DW299)+DW303*(1-INDEX('Lease Cycles'!$EM$25:$ES$25,1,DW299)),DW302),DW302)</f>
        <v>0</v>
      </c>
      <c r="DX304" s="28">
        <f>IF(DX301=1,IF(INDEX('Lease Cycles'!$EF$25:$EL$25,1,DX299)=1,DX302*INDEX('Lease Cycles'!$EM$25:$ES$25,1,DX299)+DX303*(1-INDEX('Lease Cycles'!$EM$25:$ES$25,1,DX299)),DX302),DX302)</f>
        <v>0</v>
      </c>
      <c r="DY304" s="28">
        <f>IF(DY301=1,IF(INDEX('Lease Cycles'!$EF$25:$EL$25,1,DY299)=1,DY302*INDEX('Lease Cycles'!$EM$25:$ES$25,1,DY299)+DY303*(1-INDEX('Lease Cycles'!$EM$25:$ES$25,1,DY299)),DY302),DY302)</f>
        <v>0</v>
      </c>
      <c r="DZ304" s="28">
        <f>IF(DZ301=1,IF(INDEX('Lease Cycles'!$EF$25:$EL$25,1,DZ299)=1,DZ302*INDEX('Lease Cycles'!$EM$25:$ES$25,1,DZ299)+DZ303*(1-INDEX('Lease Cycles'!$EM$25:$ES$25,1,DZ299)),DZ302),DZ302)</f>
        <v>0</v>
      </c>
      <c r="EA304" s="28">
        <f>IF(EA301=1,IF(INDEX('Lease Cycles'!$EF$25:$EL$25,1,EA299)=1,EA302*INDEX('Lease Cycles'!$EM$25:$ES$25,1,EA299)+EA303*(1-INDEX('Lease Cycles'!$EM$25:$ES$25,1,EA299)),EA302),EA302)</f>
        <v>0</v>
      </c>
      <c r="EB304" s="28">
        <f>IF(EB301=1,IF(INDEX('Lease Cycles'!$EF$25:$EL$25,1,EB299)=1,EB302*INDEX('Lease Cycles'!$EM$25:$ES$25,1,EB299)+EB303*(1-INDEX('Lease Cycles'!$EM$25:$ES$25,1,EB299)),EB302),EB302)</f>
        <v>0</v>
      </c>
      <c r="EC304" s="28">
        <f>IF(EC301=1,IF(INDEX('Lease Cycles'!$EF$25:$EL$25,1,EC299)=1,EC302*INDEX('Lease Cycles'!$EM$25:$ES$25,1,EC299)+EC303*(1-INDEX('Lease Cycles'!$EM$25:$ES$25,1,EC299)),EC302),EC302)</f>
        <v>0</v>
      </c>
      <c r="ED304" s="28">
        <f>IF(ED301=1,IF(INDEX('Lease Cycles'!$EF$25:$EL$25,1,ED299)=1,ED302*INDEX('Lease Cycles'!$EM$25:$ES$25,1,ED299)+ED303*(1-INDEX('Lease Cycles'!$EM$25:$ES$25,1,ED299)),ED302),ED302)</f>
        <v>0</v>
      </c>
      <c r="EE304" s="28">
        <f>IF(EE301=1,IF(INDEX('Lease Cycles'!$EF$25:$EL$25,1,EE299)=1,EE302*INDEX('Lease Cycles'!$EM$25:$ES$25,1,EE299)+EE303*(1-INDEX('Lease Cycles'!$EM$25:$ES$25,1,EE299)),EE302),EE302)</f>
        <v>0</v>
      </c>
      <c r="EF304" s="28">
        <f>IF(EF301=1,IF(INDEX('Lease Cycles'!$EF$25:$EL$25,1,EF299)=1,EF302*INDEX('Lease Cycles'!$EM$25:$ES$25,1,EF299)+EF303*(1-INDEX('Lease Cycles'!$EM$25:$ES$25,1,EF299)),EF302),EF302)</f>
        <v>0</v>
      </c>
      <c r="EG304" s="28">
        <f>IF(EG301=1,IF(INDEX('Lease Cycles'!$EF$25:$EL$25,1,EG299)=1,EG302*INDEX('Lease Cycles'!$EM$25:$ES$25,1,EG299)+EG303*(1-INDEX('Lease Cycles'!$EM$25:$ES$25,1,EG299)),EG302),EG302)</f>
        <v>0</v>
      </c>
      <c r="EH304" s="28">
        <f>IF(EH301=1,IF(INDEX('Lease Cycles'!$EF$25:$EL$25,1,EH299)=1,EH302*INDEX('Lease Cycles'!$EM$25:$ES$25,1,EH299)+EH303*(1-INDEX('Lease Cycles'!$EM$25:$ES$25,1,EH299)),EH302),EH302)</f>
        <v>0</v>
      </c>
      <c r="EI304" s="28">
        <f>IF(EI301=1,IF(INDEX('Lease Cycles'!$EF$25:$EL$25,1,EI299)=1,EI302*INDEX('Lease Cycles'!$EM$25:$ES$25,1,EI299)+EI303*(1-INDEX('Lease Cycles'!$EM$25:$ES$25,1,EI299)),EI302),EI302)</f>
        <v>0</v>
      </c>
      <c r="EJ304" s="28">
        <f>IF(EJ301=1,IF(INDEX('Lease Cycles'!$EF$25:$EL$25,1,EJ299)=1,EJ302*INDEX('Lease Cycles'!$EM$25:$ES$25,1,EJ299)+EJ303*(1-INDEX('Lease Cycles'!$EM$25:$ES$25,1,EJ299)),EJ302),EJ302)</f>
        <v>0</v>
      </c>
      <c r="EK304" s="28">
        <f>IF(EK301=1,IF(INDEX('Lease Cycles'!$EF$25:$EL$25,1,EK299)=1,EK302*INDEX('Lease Cycles'!$EM$25:$ES$25,1,EK299)+EK303*(1-INDEX('Lease Cycles'!$EM$25:$ES$25,1,EK299)),EK302),EK302)</f>
        <v>0</v>
      </c>
      <c r="EL304" s="28">
        <f>IF(EL301=1,IF(INDEX('Lease Cycles'!$EF$25:$EL$25,1,EL299)=1,EL302*INDEX('Lease Cycles'!$EM$25:$ES$25,1,EL299)+EL303*(1-INDEX('Lease Cycles'!$EM$25:$ES$25,1,EL299)),EL302),EL302)</f>
        <v>0</v>
      </c>
      <c r="EM304" s="28">
        <f>IF(EM301=1,IF(INDEX('Lease Cycles'!$EF$25:$EL$25,1,EM299)=1,EM302*INDEX('Lease Cycles'!$EM$25:$ES$25,1,EM299)+EM303*(1-INDEX('Lease Cycles'!$EM$25:$ES$25,1,EM299)),EM302),EM302)</f>
        <v>0</v>
      </c>
      <c r="EN304" s="28">
        <f>IF(EN301=1,IF(INDEX('Lease Cycles'!$EF$25:$EL$25,1,EN299)=1,EN302*INDEX('Lease Cycles'!$EM$25:$ES$25,1,EN299)+EN303*(1-INDEX('Lease Cycles'!$EM$25:$ES$25,1,EN299)),EN302),EN302)</f>
        <v>0</v>
      </c>
      <c r="EO304" s="28">
        <f>IF(EO301=1,IF(INDEX('Lease Cycles'!$EF$25:$EL$25,1,EO299)=1,EO302*INDEX('Lease Cycles'!$EM$25:$ES$25,1,EO299)+EO303*(1-INDEX('Lease Cycles'!$EM$25:$ES$25,1,EO299)),EO302),EO302)</f>
        <v>0</v>
      </c>
      <c r="EP304" s="28">
        <f>IF(EP301=1,IF(INDEX('Lease Cycles'!$EF$25:$EL$25,1,EP299)=1,EP302*INDEX('Lease Cycles'!$EM$25:$ES$25,1,EP299)+EP303*(1-INDEX('Lease Cycles'!$EM$25:$ES$25,1,EP299)),EP302),EP302)</f>
        <v>0</v>
      </c>
      <c r="EQ304" s="28">
        <f>IF(EQ301=1,IF(INDEX('Lease Cycles'!$EF$25:$EL$25,1,EQ299)=1,EQ302*INDEX('Lease Cycles'!$EM$25:$ES$25,1,EQ299)+EQ303*(1-INDEX('Lease Cycles'!$EM$25:$ES$25,1,EQ299)),EQ302),EQ302)</f>
        <v>0</v>
      </c>
      <c r="ER304" s="28">
        <f>IF(ER301=1,IF(INDEX('Lease Cycles'!$EF$25:$EL$25,1,ER299)=1,ER302*INDEX('Lease Cycles'!$EM$25:$ES$25,1,ER299)+ER303*(1-INDEX('Lease Cycles'!$EM$25:$ES$25,1,ER299)),ER302),ER302)</f>
        <v>0</v>
      </c>
      <c r="ES304" s="28">
        <f>IF(ES301=1,IF(INDEX('Lease Cycles'!$EF$25:$EL$25,1,ES299)=1,ES302*INDEX('Lease Cycles'!$EM$25:$ES$25,1,ES299)+ES303*(1-INDEX('Lease Cycles'!$EM$25:$ES$25,1,ES299)),ES302),ES302)</f>
        <v>0</v>
      </c>
      <c r="ET304" s="28">
        <f>IF(ET301=1,IF(INDEX('Lease Cycles'!$EF$25:$EL$25,1,ET299)=1,ET302*INDEX('Lease Cycles'!$EM$25:$ES$25,1,ET299)+ET303*(1-INDEX('Lease Cycles'!$EM$25:$ES$25,1,ET299)),ET302),ET302)</f>
        <v>0</v>
      </c>
    </row>
    <row r="305">
      <c r="A305" s="103">
        <v>18</v>
      </c>
      <c r="B305" s="23" t="str">
        <f>IF('Lease Cycles'!$B$25="","(empty slot)",'Lease Cycles'!$B$25)</f>
        <v>(empty slot)</v>
      </c>
      <c r="C305" s="23" t="s">
        <v>682</v>
      </c>
      <c r="D305" s="104" t="s">
        <v>495</v>
      </c>
      <c r="E305" s="25">
        <f>'Lease Cycles'!$AL$25</f>
        <v>0</v>
      </c>
      <c r="G305" s="28">
        <f>SUM(S305:AD305)</f>
        <v>0</v>
      </c>
      <c r="H305" s="28">
        <f>SUM(AE305:AP305)</f>
        <v>0</v>
      </c>
      <c r="I305" s="28">
        <f>SUM(AQ305:BB305)</f>
        <v>0</v>
      </c>
      <c r="J305" s="28">
        <f>SUM(BC305:BN305)</f>
        <v>0</v>
      </c>
      <c r="K305" s="28">
        <f>SUM(BO305:BZ305)</f>
        <v>0</v>
      </c>
      <c r="L305" s="28">
        <f>SUM(CA305:CL305)</f>
        <v>0</v>
      </c>
      <c r="M305" s="28">
        <f>SUM(CM305:CX305)</f>
        <v>0</v>
      </c>
      <c r="N305" s="28">
        <f>SUM(CY305:DJ305)</f>
        <v>0</v>
      </c>
      <c r="O305" s="28">
        <f>SUM(DK305:DV305)</f>
        <v>0</v>
      </c>
      <c r="P305" s="28">
        <f>SUM(DW305:EH305)</f>
        <v>0</v>
      </c>
      <c r="Q305" s="28">
        <f>SUM(EI305:ET305)</f>
        <v>0</v>
      </c>
      <c r="S305" s="28">
        <f>IF(S301=1,IF(INDEX('Lease Cycles'!$EF$25:$EL$25,1,S299)=1,S302*INDEX('Lease Cycles'!$EM$25:$ES$25,1,S299)+S303*IF(S300&lt;INDEX('Lease Cycles'!$FA$25:$FG$25,1,S299),0,1-INDEX('Lease Cycles'!$EM$25:$ES$25,1,S299)),S302*IF(S300&lt;INDEX('Lease Cycles'!$DK$25:$DQ$25,1,S299),0,IF(S300=INDEX('Lease Cycles'!$DK$25:$DQ$25,1,S299),1-INDEX('Lease Cycles'!$DR$25:$DX$25,1,S299),1))),0)</f>
        <v>0</v>
      </c>
      <c r="T305" s="28">
        <f>IF(T301=1,IF(INDEX('Lease Cycles'!$EF$25:$EL$25,1,T299)=1,T302*INDEX('Lease Cycles'!$EM$25:$ES$25,1,T299)+T303*IF(T300&lt;INDEX('Lease Cycles'!$FA$25:$FG$25,1,T299),0,1-INDEX('Lease Cycles'!$EM$25:$ES$25,1,T299)),T302*IF(T300&lt;INDEX('Lease Cycles'!$DK$25:$DQ$25,1,T299),0,IF(T300=INDEX('Lease Cycles'!$DK$25:$DQ$25,1,T299),1-INDEX('Lease Cycles'!$DR$25:$DX$25,1,T299),1))),0)</f>
        <v>0</v>
      </c>
      <c r="U305" s="28">
        <f>IF(U301=1,IF(INDEX('Lease Cycles'!$EF$25:$EL$25,1,U299)=1,U302*INDEX('Lease Cycles'!$EM$25:$ES$25,1,U299)+U303*IF(U300&lt;INDEX('Lease Cycles'!$FA$25:$FG$25,1,U299),0,1-INDEX('Lease Cycles'!$EM$25:$ES$25,1,U299)),U302*IF(U300&lt;INDEX('Lease Cycles'!$DK$25:$DQ$25,1,U299),0,IF(U300=INDEX('Lease Cycles'!$DK$25:$DQ$25,1,U299),1-INDEX('Lease Cycles'!$DR$25:$DX$25,1,U299),1))),0)</f>
        <v>0</v>
      </c>
      <c r="V305" s="28">
        <f>IF(V301=1,IF(INDEX('Lease Cycles'!$EF$25:$EL$25,1,V299)=1,V302*INDEX('Lease Cycles'!$EM$25:$ES$25,1,V299)+V303*IF(V300&lt;INDEX('Lease Cycles'!$FA$25:$FG$25,1,V299),0,1-INDEX('Lease Cycles'!$EM$25:$ES$25,1,V299)),V302*IF(V300&lt;INDEX('Lease Cycles'!$DK$25:$DQ$25,1,V299),0,IF(V300=INDEX('Lease Cycles'!$DK$25:$DQ$25,1,V299),1-INDEX('Lease Cycles'!$DR$25:$DX$25,1,V299),1))),0)</f>
        <v>0</v>
      </c>
      <c r="W305" s="28">
        <f>IF(W301=1,IF(INDEX('Lease Cycles'!$EF$25:$EL$25,1,W299)=1,W302*INDEX('Lease Cycles'!$EM$25:$ES$25,1,W299)+W303*IF(W300&lt;INDEX('Lease Cycles'!$FA$25:$FG$25,1,W299),0,1-INDEX('Lease Cycles'!$EM$25:$ES$25,1,W299)),W302*IF(W300&lt;INDEX('Lease Cycles'!$DK$25:$DQ$25,1,W299),0,IF(W300=INDEX('Lease Cycles'!$DK$25:$DQ$25,1,W299),1-INDEX('Lease Cycles'!$DR$25:$DX$25,1,W299),1))),0)</f>
        <v>0</v>
      </c>
      <c r="X305" s="28">
        <f>IF(X301=1,IF(INDEX('Lease Cycles'!$EF$25:$EL$25,1,X299)=1,X302*INDEX('Lease Cycles'!$EM$25:$ES$25,1,X299)+X303*IF(X300&lt;INDEX('Lease Cycles'!$FA$25:$FG$25,1,X299),0,1-INDEX('Lease Cycles'!$EM$25:$ES$25,1,X299)),X302*IF(X300&lt;INDEX('Lease Cycles'!$DK$25:$DQ$25,1,X299),0,IF(X300=INDEX('Lease Cycles'!$DK$25:$DQ$25,1,X299),1-INDEX('Lease Cycles'!$DR$25:$DX$25,1,X299),1))),0)</f>
        <v>0</v>
      </c>
      <c r="Y305" s="28">
        <f>IF(Y301=1,IF(INDEX('Lease Cycles'!$EF$25:$EL$25,1,Y299)=1,Y302*INDEX('Lease Cycles'!$EM$25:$ES$25,1,Y299)+Y303*IF(Y300&lt;INDEX('Lease Cycles'!$FA$25:$FG$25,1,Y299),0,1-INDEX('Lease Cycles'!$EM$25:$ES$25,1,Y299)),Y302*IF(Y300&lt;INDEX('Lease Cycles'!$DK$25:$DQ$25,1,Y299),0,IF(Y300=INDEX('Lease Cycles'!$DK$25:$DQ$25,1,Y299),1-INDEX('Lease Cycles'!$DR$25:$DX$25,1,Y299),1))),0)</f>
        <v>0</v>
      </c>
      <c r="Z305" s="28">
        <f>IF(Z301=1,IF(INDEX('Lease Cycles'!$EF$25:$EL$25,1,Z299)=1,Z302*INDEX('Lease Cycles'!$EM$25:$ES$25,1,Z299)+Z303*IF(Z300&lt;INDEX('Lease Cycles'!$FA$25:$FG$25,1,Z299),0,1-INDEX('Lease Cycles'!$EM$25:$ES$25,1,Z299)),Z302*IF(Z300&lt;INDEX('Lease Cycles'!$DK$25:$DQ$25,1,Z299),0,IF(Z300=INDEX('Lease Cycles'!$DK$25:$DQ$25,1,Z299),1-INDEX('Lease Cycles'!$DR$25:$DX$25,1,Z299),1))),0)</f>
        <v>0</v>
      </c>
      <c r="AA305" s="28">
        <f>IF(AA301=1,IF(INDEX('Lease Cycles'!$EF$25:$EL$25,1,AA299)=1,AA302*INDEX('Lease Cycles'!$EM$25:$ES$25,1,AA299)+AA303*IF(AA300&lt;INDEX('Lease Cycles'!$FA$25:$FG$25,1,AA299),0,1-INDEX('Lease Cycles'!$EM$25:$ES$25,1,AA299)),AA302*IF(AA300&lt;INDEX('Lease Cycles'!$DK$25:$DQ$25,1,AA299),0,IF(AA300=INDEX('Lease Cycles'!$DK$25:$DQ$25,1,AA299),1-INDEX('Lease Cycles'!$DR$25:$DX$25,1,AA299),1))),0)</f>
        <v>0</v>
      </c>
      <c r="AB305" s="28">
        <f>IF(AB301=1,IF(INDEX('Lease Cycles'!$EF$25:$EL$25,1,AB299)=1,AB302*INDEX('Lease Cycles'!$EM$25:$ES$25,1,AB299)+AB303*IF(AB300&lt;INDEX('Lease Cycles'!$FA$25:$FG$25,1,AB299),0,1-INDEX('Lease Cycles'!$EM$25:$ES$25,1,AB299)),AB302*IF(AB300&lt;INDEX('Lease Cycles'!$DK$25:$DQ$25,1,AB299),0,IF(AB300=INDEX('Lease Cycles'!$DK$25:$DQ$25,1,AB299),1-INDEX('Lease Cycles'!$DR$25:$DX$25,1,AB299),1))),0)</f>
        <v>0</v>
      </c>
      <c r="AC305" s="28">
        <f>IF(AC301=1,IF(INDEX('Lease Cycles'!$EF$25:$EL$25,1,AC299)=1,AC302*INDEX('Lease Cycles'!$EM$25:$ES$25,1,AC299)+AC303*IF(AC300&lt;INDEX('Lease Cycles'!$FA$25:$FG$25,1,AC299),0,1-INDEX('Lease Cycles'!$EM$25:$ES$25,1,AC299)),AC302*IF(AC300&lt;INDEX('Lease Cycles'!$DK$25:$DQ$25,1,AC299),0,IF(AC300=INDEX('Lease Cycles'!$DK$25:$DQ$25,1,AC299),1-INDEX('Lease Cycles'!$DR$25:$DX$25,1,AC299),1))),0)</f>
        <v>0</v>
      </c>
      <c r="AD305" s="28">
        <f>IF(AD301=1,IF(INDEX('Lease Cycles'!$EF$25:$EL$25,1,AD299)=1,AD302*INDEX('Lease Cycles'!$EM$25:$ES$25,1,AD299)+AD303*IF(AD300&lt;INDEX('Lease Cycles'!$FA$25:$FG$25,1,AD299),0,1-INDEX('Lease Cycles'!$EM$25:$ES$25,1,AD299)),AD302*IF(AD300&lt;INDEX('Lease Cycles'!$DK$25:$DQ$25,1,AD299),0,IF(AD300=INDEX('Lease Cycles'!$DK$25:$DQ$25,1,AD299),1-INDEX('Lease Cycles'!$DR$25:$DX$25,1,AD299),1))),0)</f>
        <v>0</v>
      </c>
      <c r="AE305" s="28">
        <f>IF(AE301=1,IF(INDEX('Lease Cycles'!$EF$25:$EL$25,1,AE299)=1,AE302*INDEX('Lease Cycles'!$EM$25:$ES$25,1,AE299)+AE303*IF(AE300&lt;INDEX('Lease Cycles'!$FA$25:$FG$25,1,AE299),0,1-INDEX('Lease Cycles'!$EM$25:$ES$25,1,AE299)),AE302*IF(AE300&lt;INDEX('Lease Cycles'!$DK$25:$DQ$25,1,AE299),0,IF(AE300=INDEX('Lease Cycles'!$DK$25:$DQ$25,1,AE299),1-INDEX('Lease Cycles'!$DR$25:$DX$25,1,AE299),1))),0)</f>
        <v>0</v>
      </c>
      <c r="AF305" s="28">
        <f>IF(AF301=1,IF(INDEX('Lease Cycles'!$EF$25:$EL$25,1,AF299)=1,AF302*INDEX('Lease Cycles'!$EM$25:$ES$25,1,AF299)+AF303*IF(AF300&lt;INDEX('Lease Cycles'!$FA$25:$FG$25,1,AF299),0,1-INDEX('Lease Cycles'!$EM$25:$ES$25,1,AF299)),AF302*IF(AF300&lt;INDEX('Lease Cycles'!$DK$25:$DQ$25,1,AF299),0,IF(AF300=INDEX('Lease Cycles'!$DK$25:$DQ$25,1,AF299),1-INDEX('Lease Cycles'!$DR$25:$DX$25,1,AF299),1))),0)</f>
        <v>0</v>
      </c>
      <c r="AG305" s="28">
        <f>IF(AG301=1,IF(INDEX('Lease Cycles'!$EF$25:$EL$25,1,AG299)=1,AG302*INDEX('Lease Cycles'!$EM$25:$ES$25,1,AG299)+AG303*IF(AG300&lt;INDEX('Lease Cycles'!$FA$25:$FG$25,1,AG299),0,1-INDEX('Lease Cycles'!$EM$25:$ES$25,1,AG299)),AG302*IF(AG300&lt;INDEX('Lease Cycles'!$DK$25:$DQ$25,1,AG299),0,IF(AG300=INDEX('Lease Cycles'!$DK$25:$DQ$25,1,AG299),1-INDEX('Lease Cycles'!$DR$25:$DX$25,1,AG299),1))),0)</f>
        <v>0</v>
      </c>
      <c r="AH305" s="28">
        <f>IF(AH301=1,IF(INDEX('Lease Cycles'!$EF$25:$EL$25,1,AH299)=1,AH302*INDEX('Lease Cycles'!$EM$25:$ES$25,1,AH299)+AH303*IF(AH300&lt;INDEX('Lease Cycles'!$FA$25:$FG$25,1,AH299),0,1-INDEX('Lease Cycles'!$EM$25:$ES$25,1,AH299)),AH302*IF(AH300&lt;INDEX('Lease Cycles'!$DK$25:$DQ$25,1,AH299),0,IF(AH300=INDEX('Lease Cycles'!$DK$25:$DQ$25,1,AH299),1-INDEX('Lease Cycles'!$DR$25:$DX$25,1,AH299),1))),0)</f>
        <v>0</v>
      </c>
      <c r="AI305" s="28">
        <f>IF(AI301=1,IF(INDEX('Lease Cycles'!$EF$25:$EL$25,1,AI299)=1,AI302*INDEX('Lease Cycles'!$EM$25:$ES$25,1,AI299)+AI303*IF(AI300&lt;INDEX('Lease Cycles'!$FA$25:$FG$25,1,AI299),0,1-INDEX('Lease Cycles'!$EM$25:$ES$25,1,AI299)),AI302*IF(AI300&lt;INDEX('Lease Cycles'!$DK$25:$DQ$25,1,AI299),0,IF(AI300=INDEX('Lease Cycles'!$DK$25:$DQ$25,1,AI299),1-INDEX('Lease Cycles'!$DR$25:$DX$25,1,AI299),1))),0)</f>
        <v>0</v>
      </c>
      <c r="AJ305" s="28">
        <f>IF(AJ301=1,IF(INDEX('Lease Cycles'!$EF$25:$EL$25,1,AJ299)=1,AJ302*INDEX('Lease Cycles'!$EM$25:$ES$25,1,AJ299)+AJ303*IF(AJ300&lt;INDEX('Lease Cycles'!$FA$25:$FG$25,1,AJ299),0,1-INDEX('Lease Cycles'!$EM$25:$ES$25,1,AJ299)),AJ302*IF(AJ300&lt;INDEX('Lease Cycles'!$DK$25:$DQ$25,1,AJ299),0,IF(AJ300=INDEX('Lease Cycles'!$DK$25:$DQ$25,1,AJ299),1-INDEX('Lease Cycles'!$DR$25:$DX$25,1,AJ299),1))),0)</f>
        <v>0</v>
      </c>
      <c r="AK305" s="28">
        <f>IF(AK301=1,IF(INDEX('Lease Cycles'!$EF$25:$EL$25,1,AK299)=1,AK302*INDEX('Lease Cycles'!$EM$25:$ES$25,1,AK299)+AK303*IF(AK300&lt;INDEX('Lease Cycles'!$FA$25:$FG$25,1,AK299),0,1-INDEX('Lease Cycles'!$EM$25:$ES$25,1,AK299)),AK302*IF(AK300&lt;INDEX('Lease Cycles'!$DK$25:$DQ$25,1,AK299),0,IF(AK300=INDEX('Lease Cycles'!$DK$25:$DQ$25,1,AK299),1-INDEX('Lease Cycles'!$DR$25:$DX$25,1,AK299),1))),0)</f>
        <v>0</v>
      </c>
      <c r="AL305" s="28">
        <f>IF(AL301=1,IF(INDEX('Lease Cycles'!$EF$25:$EL$25,1,AL299)=1,AL302*INDEX('Lease Cycles'!$EM$25:$ES$25,1,AL299)+AL303*IF(AL300&lt;INDEX('Lease Cycles'!$FA$25:$FG$25,1,AL299),0,1-INDEX('Lease Cycles'!$EM$25:$ES$25,1,AL299)),AL302*IF(AL300&lt;INDEX('Lease Cycles'!$DK$25:$DQ$25,1,AL299),0,IF(AL300=INDEX('Lease Cycles'!$DK$25:$DQ$25,1,AL299),1-INDEX('Lease Cycles'!$DR$25:$DX$25,1,AL299),1))),0)</f>
        <v>0</v>
      </c>
      <c r="AM305" s="28">
        <f>IF(AM301=1,IF(INDEX('Lease Cycles'!$EF$25:$EL$25,1,AM299)=1,AM302*INDEX('Lease Cycles'!$EM$25:$ES$25,1,AM299)+AM303*IF(AM300&lt;INDEX('Lease Cycles'!$FA$25:$FG$25,1,AM299),0,1-INDEX('Lease Cycles'!$EM$25:$ES$25,1,AM299)),AM302*IF(AM300&lt;INDEX('Lease Cycles'!$DK$25:$DQ$25,1,AM299),0,IF(AM300=INDEX('Lease Cycles'!$DK$25:$DQ$25,1,AM299),1-INDEX('Lease Cycles'!$DR$25:$DX$25,1,AM299),1))),0)</f>
        <v>0</v>
      </c>
      <c r="AN305" s="28">
        <f>IF(AN301=1,IF(INDEX('Lease Cycles'!$EF$25:$EL$25,1,AN299)=1,AN302*INDEX('Lease Cycles'!$EM$25:$ES$25,1,AN299)+AN303*IF(AN300&lt;INDEX('Lease Cycles'!$FA$25:$FG$25,1,AN299),0,1-INDEX('Lease Cycles'!$EM$25:$ES$25,1,AN299)),AN302*IF(AN300&lt;INDEX('Lease Cycles'!$DK$25:$DQ$25,1,AN299),0,IF(AN300=INDEX('Lease Cycles'!$DK$25:$DQ$25,1,AN299),1-INDEX('Lease Cycles'!$DR$25:$DX$25,1,AN299),1))),0)</f>
        <v>0</v>
      </c>
      <c r="AO305" s="28">
        <f>IF(AO301=1,IF(INDEX('Lease Cycles'!$EF$25:$EL$25,1,AO299)=1,AO302*INDEX('Lease Cycles'!$EM$25:$ES$25,1,AO299)+AO303*IF(AO300&lt;INDEX('Lease Cycles'!$FA$25:$FG$25,1,AO299),0,1-INDEX('Lease Cycles'!$EM$25:$ES$25,1,AO299)),AO302*IF(AO300&lt;INDEX('Lease Cycles'!$DK$25:$DQ$25,1,AO299),0,IF(AO300=INDEX('Lease Cycles'!$DK$25:$DQ$25,1,AO299),1-INDEX('Lease Cycles'!$DR$25:$DX$25,1,AO299),1))),0)</f>
        <v>0</v>
      </c>
      <c r="AP305" s="28">
        <f>IF(AP301=1,IF(INDEX('Lease Cycles'!$EF$25:$EL$25,1,AP299)=1,AP302*INDEX('Lease Cycles'!$EM$25:$ES$25,1,AP299)+AP303*IF(AP300&lt;INDEX('Lease Cycles'!$FA$25:$FG$25,1,AP299),0,1-INDEX('Lease Cycles'!$EM$25:$ES$25,1,AP299)),AP302*IF(AP300&lt;INDEX('Lease Cycles'!$DK$25:$DQ$25,1,AP299),0,IF(AP300=INDEX('Lease Cycles'!$DK$25:$DQ$25,1,AP299),1-INDEX('Lease Cycles'!$DR$25:$DX$25,1,AP299),1))),0)</f>
        <v>0</v>
      </c>
      <c r="AQ305" s="28">
        <f>IF(AQ301=1,IF(INDEX('Lease Cycles'!$EF$25:$EL$25,1,AQ299)=1,AQ302*INDEX('Lease Cycles'!$EM$25:$ES$25,1,AQ299)+AQ303*IF(AQ300&lt;INDEX('Lease Cycles'!$FA$25:$FG$25,1,AQ299),0,1-INDEX('Lease Cycles'!$EM$25:$ES$25,1,AQ299)),AQ302*IF(AQ300&lt;INDEX('Lease Cycles'!$DK$25:$DQ$25,1,AQ299),0,IF(AQ300=INDEX('Lease Cycles'!$DK$25:$DQ$25,1,AQ299),1-INDEX('Lease Cycles'!$DR$25:$DX$25,1,AQ299),1))),0)</f>
        <v>0</v>
      </c>
      <c r="AR305" s="28">
        <f>IF(AR301=1,IF(INDEX('Lease Cycles'!$EF$25:$EL$25,1,AR299)=1,AR302*INDEX('Lease Cycles'!$EM$25:$ES$25,1,AR299)+AR303*IF(AR300&lt;INDEX('Lease Cycles'!$FA$25:$FG$25,1,AR299),0,1-INDEX('Lease Cycles'!$EM$25:$ES$25,1,AR299)),AR302*IF(AR300&lt;INDEX('Lease Cycles'!$DK$25:$DQ$25,1,AR299),0,IF(AR300=INDEX('Lease Cycles'!$DK$25:$DQ$25,1,AR299),1-INDEX('Lease Cycles'!$DR$25:$DX$25,1,AR299),1))),0)</f>
        <v>0</v>
      </c>
      <c r="AS305" s="28">
        <f>IF(AS301=1,IF(INDEX('Lease Cycles'!$EF$25:$EL$25,1,AS299)=1,AS302*INDEX('Lease Cycles'!$EM$25:$ES$25,1,AS299)+AS303*IF(AS300&lt;INDEX('Lease Cycles'!$FA$25:$FG$25,1,AS299),0,1-INDEX('Lease Cycles'!$EM$25:$ES$25,1,AS299)),AS302*IF(AS300&lt;INDEX('Lease Cycles'!$DK$25:$DQ$25,1,AS299),0,IF(AS300=INDEX('Lease Cycles'!$DK$25:$DQ$25,1,AS299),1-INDEX('Lease Cycles'!$DR$25:$DX$25,1,AS299),1))),0)</f>
        <v>0</v>
      </c>
      <c r="AT305" s="28">
        <f>IF(AT301=1,IF(INDEX('Lease Cycles'!$EF$25:$EL$25,1,AT299)=1,AT302*INDEX('Lease Cycles'!$EM$25:$ES$25,1,AT299)+AT303*IF(AT300&lt;INDEX('Lease Cycles'!$FA$25:$FG$25,1,AT299),0,1-INDEX('Lease Cycles'!$EM$25:$ES$25,1,AT299)),AT302*IF(AT300&lt;INDEX('Lease Cycles'!$DK$25:$DQ$25,1,AT299),0,IF(AT300=INDEX('Lease Cycles'!$DK$25:$DQ$25,1,AT299),1-INDEX('Lease Cycles'!$DR$25:$DX$25,1,AT299),1))),0)</f>
        <v>0</v>
      </c>
      <c r="AU305" s="28">
        <f>IF(AU301=1,IF(INDEX('Lease Cycles'!$EF$25:$EL$25,1,AU299)=1,AU302*INDEX('Lease Cycles'!$EM$25:$ES$25,1,AU299)+AU303*IF(AU300&lt;INDEX('Lease Cycles'!$FA$25:$FG$25,1,AU299),0,1-INDEX('Lease Cycles'!$EM$25:$ES$25,1,AU299)),AU302*IF(AU300&lt;INDEX('Lease Cycles'!$DK$25:$DQ$25,1,AU299),0,IF(AU300=INDEX('Lease Cycles'!$DK$25:$DQ$25,1,AU299),1-INDEX('Lease Cycles'!$DR$25:$DX$25,1,AU299),1))),0)</f>
        <v>0</v>
      </c>
      <c r="AV305" s="28">
        <f>IF(AV301=1,IF(INDEX('Lease Cycles'!$EF$25:$EL$25,1,AV299)=1,AV302*INDEX('Lease Cycles'!$EM$25:$ES$25,1,AV299)+AV303*IF(AV300&lt;INDEX('Lease Cycles'!$FA$25:$FG$25,1,AV299),0,1-INDEX('Lease Cycles'!$EM$25:$ES$25,1,AV299)),AV302*IF(AV300&lt;INDEX('Lease Cycles'!$DK$25:$DQ$25,1,AV299),0,IF(AV300=INDEX('Lease Cycles'!$DK$25:$DQ$25,1,AV299),1-INDEX('Lease Cycles'!$DR$25:$DX$25,1,AV299),1))),0)</f>
        <v>0</v>
      </c>
      <c r="AW305" s="28">
        <f>IF(AW301=1,IF(INDEX('Lease Cycles'!$EF$25:$EL$25,1,AW299)=1,AW302*INDEX('Lease Cycles'!$EM$25:$ES$25,1,AW299)+AW303*IF(AW300&lt;INDEX('Lease Cycles'!$FA$25:$FG$25,1,AW299),0,1-INDEX('Lease Cycles'!$EM$25:$ES$25,1,AW299)),AW302*IF(AW300&lt;INDEX('Lease Cycles'!$DK$25:$DQ$25,1,AW299),0,IF(AW300=INDEX('Lease Cycles'!$DK$25:$DQ$25,1,AW299),1-INDEX('Lease Cycles'!$DR$25:$DX$25,1,AW299),1))),0)</f>
        <v>0</v>
      </c>
      <c r="AX305" s="28">
        <f>IF(AX301=1,IF(INDEX('Lease Cycles'!$EF$25:$EL$25,1,AX299)=1,AX302*INDEX('Lease Cycles'!$EM$25:$ES$25,1,AX299)+AX303*IF(AX300&lt;INDEX('Lease Cycles'!$FA$25:$FG$25,1,AX299),0,1-INDEX('Lease Cycles'!$EM$25:$ES$25,1,AX299)),AX302*IF(AX300&lt;INDEX('Lease Cycles'!$DK$25:$DQ$25,1,AX299),0,IF(AX300=INDEX('Lease Cycles'!$DK$25:$DQ$25,1,AX299),1-INDEX('Lease Cycles'!$DR$25:$DX$25,1,AX299),1))),0)</f>
        <v>0</v>
      </c>
      <c r="AY305" s="28">
        <f>IF(AY301=1,IF(INDEX('Lease Cycles'!$EF$25:$EL$25,1,AY299)=1,AY302*INDEX('Lease Cycles'!$EM$25:$ES$25,1,AY299)+AY303*IF(AY300&lt;INDEX('Lease Cycles'!$FA$25:$FG$25,1,AY299),0,1-INDEX('Lease Cycles'!$EM$25:$ES$25,1,AY299)),AY302*IF(AY300&lt;INDEX('Lease Cycles'!$DK$25:$DQ$25,1,AY299),0,IF(AY300=INDEX('Lease Cycles'!$DK$25:$DQ$25,1,AY299),1-INDEX('Lease Cycles'!$DR$25:$DX$25,1,AY299),1))),0)</f>
        <v>0</v>
      </c>
      <c r="AZ305" s="28">
        <f>IF(AZ301=1,IF(INDEX('Lease Cycles'!$EF$25:$EL$25,1,AZ299)=1,AZ302*INDEX('Lease Cycles'!$EM$25:$ES$25,1,AZ299)+AZ303*IF(AZ300&lt;INDEX('Lease Cycles'!$FA$25:$FG$25,1,AZ299),0,1-INDEX('Lease Cycles'!$EM$25:$ES$25,1,AZ299)),AZ302*IF(AZ300&lt;INDEX('Lease Cycles'!$DK$25:$DQ$25,1,AZ299),0,IF(AZ300=INDEX('Lease Cycles'!$DK$25:$DQ$25,1,AZ299),1-INDEX('Lease Cycles'!$DR$25:$DX$25,1,AZ299),1))),0)</f>
        <v>0</v>
      </c>
      <c r="BA305" s="28">
        <f>IF(BA301=1,IF(INDEX('Lease Cycles'!$EF$25:$EL$25,1,BA299)=1,BA302*INDEX('Lease Cycles'!$EM$25:$ES$25,1,BA299)+BA303*IF(BA300&lt;INDEX('Lease Cycles'!$FA$25:$FG$25,1,BA299),0,1-INDEX('Lease Cycles'!$EM$25:$ES$25,1,BA299)),BA302*IF(BA300&lt;INDEX('Lease Cycles'!$DK$25:$DQ$25,1,BA299),0,IF(BA300=INDEX('Lease Cycles'!$DK$25:$DQ$25,1,BA299),1-INDEX('Lease Cycles'!$DR$25:$DX$25,1,BA299),1))),0)</f>
        <v>0</v>
      </c>
      <c r="BB305" s="28">
        <f>IF(BB301=1,IF(INDEX('Lease Cycles'!$EF$25:$EL$25,1,BB299)=1,BB302*INDEX('Lease Cycles'!$EM$25:$ES$25,1,BB299)+BB303*IF(BB300&lt;INDEX('Lease Cycles'!$FA$25:$FG$25,1,BB299),0,1-INDEX('Lease Cycles'!$EM$25:$ES$25,1,BB299)),BB302*IF(BB300&lt;INDEX('Lease Cycles'!$DK$25:$DQ$25,1,BB299),0,IF(BB300=INDEX('Lease Cycles'!$DK$25:$DQ$25,1,BB299),1-INDEX('Lease Cycles'!$DR$25:$DX$25,1,BB299),1))),0)</f>
        <v>0</v>
      </c>
      <c r="BC305" s="28">
        <f>IF(BC301=1,IF(INDEX('Lease Cycles'!$EF$25:$EL$25,1,BC299)=1,BC302*INDEX('Lease Cycles'!$EM$25:$ES$25,1,BC299)+BC303*IF(BC300&lt;INDEX('Lease Cycles'!$FA$25:$FG$25,1,BC299),0,1-INDEX('Lease Cycles'!$EM$25:$ES$25,1,BC299)),BC302*IF(BC300&lt;INDEX('Lease Cycles'!$DK$25:$DQ$25,1,BC299),0,IF(BC300=INDEX('Lease Cycles'!$DK$25:$DQ$25,1,BC299),1-INDEX('Lease Cycles'!$DR$25:$DX$25,1,BC299),1))),0)</f>
        <v>0</v>
      </c>
      <c r="BD305" s="28">
        <f>IF(BD301=1,IF(INDEX('Lease Cycles'!$EF$25:$EL$25,1,BD299)=1,BD302*INDEX('Lease Cycles'!$EM$25:$ES$25,1,BD299)+BD303*IF(BD300&lt;INDEX('Lease Cycles'!$FA$25:$FG$25,1,BD299),0,1-INDEX('Lease Cycles'!$EM$25:$ES$25,1,BD299)),BD302*IF(BD300&lt;INDEX('Lease Cycles'!$DK$25:$DQ$25,1,BD299),0,IF(BD300=INDEX('Lease Cycles'!$DK$25:$DQ$25,1,BD299),1-INDEX('Lease Cycles'!$DR$25:$DX$25,1,BD299),1))),0)</f>
        <v>0</v>
      </c>
      <c r="BE305" s="28">
        <f>IF(BE301=1,IF(INDEX('Lease Cycles'!$EF$25:$EL$25,1,BE299)=1,BE302*INDEX('Lease Cycles'!$EM$25:$ES$25,1,BE299)+BE303*IF(BE300&lt;INDEX('Lease Cycles'!$FA$25:$FG$25,1,BE299),0,1-INDEX('Lease Cycles'!$EM$25:$ES$25,1,BE299)),BE302*IF(BE300&lt;INDEX('Lease Cycles'!$DK$25:$DQ$25,1,BE299),0,IF(BE300=INDEX('Lease Cycles'!$DK$25:$DQ$25,1,BE299),1-INDEX('Lease Cycles'!$DR$25:$DX$25,1,BE299),1))),0)</f>
        <v>0</v>
      </c>
      <c r="BF305" s="28">
        <f>IF(BF301=1,IF(INDEX('Lease Cycles'!$EF$25:$EL$25,1,BF299)=1,BF302*INDEX('Lease Cycles'!$EM$25:$ES$25,1,BF299)+BF303*IF(BF300&lt;INDEX('Lease Cycles'!$FA$25:$FG$25,1,BF299),0,1-INDEX('Lease Cycles'!$EM$25:$ES$25,1,BF299)),BF302*IF(BF300&lt;INDEX('Lease Cycles'!$DK$25:$DQ$25,1,BF299),0,IF(BF300=INDEX('Lease Cycles'!$DK$25:$DQ$25,1,BF299),1-INDEX('Lease Cycles'!$DR$25:$DX$25,1,BF299),1))),0)</f>
        <v>0</v>
      </c>
      <c r="BG305" s="28">
        <f>IF(BG301=1,IF(INDEX('Lease Cycles'!$EF$25:$EL$25,1,BG299)=1,BG302*INDEX('Lease Cycles'!$EM$25:$ES$25,1,BG299)+BG303*IF(BG300&lt;INDEX('Lease Cycles'!$FA$25:$FG$25,1,BG299),0,1-INDEX('Lease Cycles'!$EM$25:$ES$25,1,BG299)),BG302*IF(BG300&lt;INDEX('Lease Cycles'!$DK$25:$DQ$25,1,BG299),0,IF(BG300=INDEX('Lease Cycles'!$DK$25:$DQ$25,1,BG299),1-INDEX('Lease Cycles'!$DR$25:$DX$25,1,BG299),1))),0)</f>
        <v>0</v>
      </c>
      <c r="BH305" s="28">
        <f>IF(BH301=1,IF(INDEX('Lease Cycles'!$EF$25:$EL$25,1,BH299)=1,BH302*INDEX('Lease Cycles'!$EM$25:$ES$25,1,BH299)+BH303*IF(BH300&lt;INDEX('Lease Cycles'!$FA$25:$FG$25,1,BH299),0,1-INDEX('Lease Cycles'!$EM$25:$ES$25,1,BH299)),BH302*IF(BH300&lt;INDEX('Lease Cycles'!$DK$25:$DQ$25,1,BH299),0,IF(BH300=INDEX('Lease Cycles'!$DK$25:$DQ$25,1,BH299),1-INDEX('Lease Cycles'!$DR$25:$DX$25,1,BH299),1))),0)</f>
        <v>0</v>
      </c>
      <c r="BI305" s="28">
        <f>IF(BI301=1,IF(INDEX('Lease Cycles'!$EF$25:$EL$25,1,BI299)=1,BI302*INDEX('Lease Cycles'!$EM$25:$ES$25,1,BI299)+BI303*IF(BI300&lt;INDEX('Lease Cycles'!$FA$25:$FG$25,1,BI299),0,1-INDEX('Lease Cycles'!$EM$25:$ES$25,1,BI299)),BI302*IF(BI300&lt;INDEX('Lease Cycles'!$DK$25:$DQ$25,1,BI299),0,IF(BI300=INDEX('Lease Cycles'!$DK$25:$DQ$25,1,BI299),1-INDEX('Lease Cycles'!$DR$25:$DX$25,1,BI299),1))),0)</f>
        <v>0</v>
      </c>
      <c r="BJ305" s="28">
        <f>IF(BJ301=1,IF(INDEX('Lease Cycles'!$EF$25:$EL$25,1,BJ299)=1,BJ302*INDEX('Lease Cycles'!$EM$25:$ES$25,1,BJ299)+BJ303*IF(BJ300&lt;INDEX('Lease Cycles'!$FA$25:$FG$25,1,BJ299),0,1-INDEX('Lease Cycles'!$EM$25:$ES$25,1,BJ299)),BJ302*IF(BJ300&lt;INDEX('Lease Cycles'!$DK$25:$DQ$25,1,BJ299),0,IF(BJ300=INDEX('Lease Cycles'!$DK$25:$DQ$25,1,BJ299),1-INDEX('Lease Cycles'!$DR$25:$DX$25,1,BJ299),1))),0)</f>
        <v>0</v>
      </c>
      <c r="BK305" s="28">
        <f>IF(BK301=1,IF(INDEX('Lease Cycles'!$EF$25:$EL$25,1,BK299)=1,BK302*INDEX('Lease Cycles'!$EM$25:$ES$25,1,BK299)+BK303*IF(BK300&lt;INDEX('Lease Cycles'!$FA$25:$FG$25,1,BK299),0,1-INDEX('Lease Cycles'!$EM$25:$ES$25,1,BK299)),BK302*IF(BK300&lt;INDEX('Lease Cycles'!$DK$25:$DQ$25,1,BK299),0,IF(BK300=INDEX('Lease Cycles'!$DK$25:$DQ$25,1,BK299),1-INDEX('Lease Cycles'!$DR$25:$DX$25,1,BK299),1))),0)</f>
        <v>0</v>
      </c>
      <c r="BL305" s="28">
        <f>IF(BL301=1,IF(INDEX('Lease Cycles'!$EF$25:$EL$25,1,BL299)=1,BL302*INDEX('Lease Cycles'!$EM$25:$ES$25,1,BL299)+BL303*IF(BL300&lt;INDEX('Lease Cycles'!$FA$25:$FG$25,1,BL299),0,1-INDEX('Lease Cycles'!$EM$25:$ES$25,1,BL299)),BL302*IF(BL300&lt;INDEX('Lease Cycles'!$DK$25:$DQ$25,1,BL299),0,IF(BL300=INDEX('Lease Cycles'!$DK$25:$DQ$25,1,BL299),1-INDEX('Lease Cycles'!$DR$25:$DX$25,1,BL299),1))),0)</f>
        <v>0</v>
      </c>
      <c r="BM305" s="28">
        <f>IF(BM301=1,IF(INDEX('Lease Cycles'!$EF$25:$EL$25,1,BM299)=1,BM302*INDEX('Lease Cycles'!$EM$25:$ES$25,1,BM299)+BM303*IF(BM300&lt;INDEX('Lease Cycles'!$FA$25:$FG$25,1,BM299),0,1-INDEX('Lease Cycles'!$EM$25:$ES$25,1,BM299)),BM302*IF(BM300&lt;INDEX('Lease Cycles'!$DK$25:$DQ$25,1,BM299),0,IF(BM300=INDEX('Lease Cycles'!$DK$25:$DQ$25,1,BM299),1-INDEX('Lease Cycles'!$DR$25:$DX$25,1,BM299),1))),0)</f>
        <v>0</v>
      </c>
      <c r="BN305" s="28">
        <f>IF(BN301=1,IF(INDEX('Lease Cycles'!$EF$25:$EL$25,1,BN299)=1,BN302*INDEX('Lease Cycles'!$EM$25:$ES$25,1,BN299)+BN303*IF(BN300&lt;INDEX('Lease Cycles'!$FA$25:$FG$25,1,BN299),0,1-INDEX('Lease Cycles'!$EM$25:$ES$25,1,BN299)),BN302*IF(BN300&lt;INDEX('Lease Cycles'!$DK$25:$DQ$25,1,BN299),0,IF(BN300=INDEX('Lease Cycles'!$DK$25:$DQ$25,1,BN299),1-INDEX('Lease Cycles'!$DR$25:$DX$25,1,BN299),1))),0)</f>
        <v>0</v>
      </c>
      <c r="BO305" s="28">
        <f>IF(BO301=1,IF(INDEX('Lease Cycles'!$EF$25:$EL$25,1,BO299)=1,BO302*INDEX('Lease Cycles'!$EM$25:$ES$25,1,BO299)+BO303*IF(BO300&lt;INDEX('Lease Cycles'!$FA$25:$FG$25,1,BO299),0,1-INDEX('Lease Cycles'!$EM$25:$ES$25,1,BO299)),BO302*IF(BO300&lt;INDEX('Lease Cycles'!$DK$25:$DQ$25,1,BO299),0,IF(BO300=INDEX('Lease Cycles'!$DK$25:$DQ$25,1,BO299),1-INDEX('Lease Cycles'!$DR$25:$DX$25,1,BO299),1))),0)</f>
        <v>0</v>
      </c>
      <c r="BP305" s="28">
        <f>IF(BP301=1,IF(INDEX('Lease Cycles'!$EF$25:$EL$25,1,BP299)=1,BP302*INDEX('Lease Cycles'!$EM$25:$ES$25,1,BP299)+BP303*IF(BP300&lt;INDEX('Lease Cycles'!$FA$25:$FG$25,1,BP299),0,1-INDEX('Lease Cycles'!$EM$25:$ES$25,1,BP299)),BP302*IF(BP300&lt;INDEX('Lease Cycles'!$DK$25:$DQ$25,1,BP299),0,IF(BP300=INDEX('Lease Cycles'!$DK$25:$DQ$25,1,BP299),1-INDEX('Lease Cycles'!$DR$25:$DX$25,1,BP299),1))),0)</f>
        <v>0</v>
      </c>
      <c r="BQ305" s="28">
        <f>IF(BQ301=1,IF(INDEX('Lease Cycles'!$EF$25:$EL$25,1,BQ299)=1,BQ302*INDEX('Lease Cycles'!$EM$25:$ES$25,1,BQ299)+BQ303*IF(BQ300&lt;INDEX('Lease Cycles'!$FA$25:$FG$25,1,BQ299),0,1-INDEX('Lease Cycles'!$EM$25:$ES$25,1,BQ299)),BQ302*IF(BQ300&lt;INDEX('Lease Cycles'!$DK$25:$DQ$25,1,BQ299),0,IF(BQ300=INDEX('Lease Cycles'!$DK$25:$DQ$25,1,BQ299),1-INDEX('Lease Cycles'!$DR$25:$DX$25,1,BQ299),1))),0)</f>
        <v>0</v>
      </c>
      <c r="BR305" s="28">
        <f>IF(BR301=1,IF(INDEX('Lease Cycles'!$EF$25:$EL$25,1,BR299)=1,BR302*INDEX('Lease Cycles'!$EM$25:$ES$25,1,BR299)+BR303*IF(BR300&lt;INDEX('Lease Cycles'!$FA$25:$FG$25,1,BR299),0,1-INDEX('Lease Cycles'!$EM$25:$ES$25,1,BR299)),BR302*IF(BR300&lt;INDEX('Lease Cycles'!$DK$25:$DQ$25,1,BR299),0,IF(BR300=INDEX('Lease Cycles'!$DK$25:$DQ$25,1,BR299),1-INDEX('Lease Cycles'!$DR$25:$DX$25,1,BR299),1))),0)</f>
        <v>0</v>
      </c>
      <c r="BS305" s="28">
        <f>IF(BS301=1,IF(INDEX('Lease Cycles'!$EF$25:$EL$25,1,BS299)=1,BS302*INDEX('Lease Cycles'!$EM$25:$ES$25,1,BS299)+BS303*IF(BS300&lt;INDEX('Lease Cycles'!$FA$25:$FG$25,1,BS299),0,1-INDEX('Lease Cycles'!$EM$25:$ES$25,1,BS299)),BS302*IF(BS300&lt;INDEX('Lease Cycles'!$DK$25:$DQ$25,1,BS299),0,IF(BS300=INDEX('Lease Cycles'!$DK$25:$DQ$25,1,BS299),1-INDEX('Lease Cycles'!$DR$25:$DX$25,1,BS299),1))),0)</f>
        <v>0</v>
      </c>
      <c r="BT305" s="28">
        <f>IF(BT301=1,IF(INDEX('Lease Cycles'!$EF$25:$EL$25,1,BT299)=1,BT302*INDEX('Lease Cycles'!$EM$25:$ES$25,1,BT299)+BT303*IF(BT300&lt;INDEX('Lease Cycles'!$FA$25:$FG$25,1,BT299),0,1-INDEX('Lease Cycles'!$EM$25:$ES$25,1,BT299)),BT302*IF(BT300&lt;INDEX('Lease Cycles'!$DK$25:$DQ$25,1,BT299),0,IF(BT300=INDEX('Lease Cycles'!$DK$25:$DQ$25,1,BT299),1-INDEX('Lease Cycles'!$DR$25:$DX$25,1,BT299),1))),0)</f>
        <v>0</v>
      </c>
      <c r="BU305" s="28">
        <f>IF(BU301=1,IF(INDEX('Lease Cycles'!$EF$25:$EL$25,1,BU299)=1,BU302*INDEX('Lease Cycles'!$EM$25:$ES$25,1,BU299)+BU303*IF(BU300&lt;INDEX('Lease Cycles'!$FA$25:$FG$25,1,BU299),0,1-INDEX('Lease Cycles'!$EM$25:$ES$25,1,BU299)),BU302*IF(BU300&lt;INDEX('Lease Cycles'!$DK$25:$DQ$25,1,BU299),0,IF(BU300=INDEX('Lease Cycles'!$DK$25:$DQ$25,1,BU299),1-INDEX('Lease Cycles'!$DR$25:$DX$25,1,BU299),1))),0)</f>
        <v>0</v>
      </c>
      <c r="BV305" s="28">
        <f>IF(BV301=1,IF(INDEX('Lease Cycles'!$EF$25:$EL$25,1,BV299)=1,BV302*INDEX('Lease Cycles'!$EM$25:$ES$25,1,BV299)+BV303*IF(BV300&lt;INDEX('Lease Cycles'!$FA$25:$FG$25,1,BV299),0,1-INDEX('Lease Cycles'!$EM$25:$ES$25,1,BV299)),BV302*IF(BV300&lt;INDEX('Lease Cycles'!$DK$25:$DQ$25,1,BV299),0,IF(BV300=INDEX('Lease Cycles'!$DK$25:$DQ$25,1,BV299),1-INDEX('Lease Cycles'!$DR$25:$DX$25,1,BV299),1))),0)</f>
        <v>0</v>
      </c>
      <c r="BW305" s="28">
        <f>IF(BW301=1,IF(INDEX('Lease Cycles'!$EF$25:$EL$25,1,BW299)=1,BW302*INDEX('Lease Cycles'!$EM$25:$ES$25,1,BW299)+BW303*IF(BW300&lt;INDEX('Lease Cycles'!$FA$25:$FG$25,1,BW299),0,1-INDEX('Lease Cycles'!$EM$25:$ES$25,1,BW299)),BW302*IF(BW300&lt;INDEX('Lease Cycles'!$DK$25:$DQ$25,1,BW299),0,IF(BW300=INDEX('Lease Cycles'!$DK$25:$DQ$25,1,BW299),1-INDEX('Lease Cycles'!$DR$25:$DX$25,1,BW299),1))),0)</f>
        <v>0</v>
      </c>
      <c r="BX305" s="28">
        <f>IF(BX301=1,IF(INDEX('Lease Cycles'!$EF$25:$EL$25,1,BX299)=1,BX302*INDEX('Lease Cycles'!$EM$25:$ES$25,1,BX299)+BX303*IF(BX300&lt;INDEX('Lease Cycles'!$FA$25:$FG$25,1,BX299),0,1-INDEX('Lease Cycles'!$EM$25:$ES$25,1,BX299)),BX302*IF(BX300&lt;INDEX('Lease Cycles'!$DK$25:$DQ$25,1,BX299),0,IF(BX300=INDEX('Lease Cycles'!$DK$25:$DQ$25,1,BX299),1-INDEX('Lease Cycles'!$DR$25:$DX$25,1,BX299),1))),0)</f>
        <v>0</v>
      </c>
      <c r="BY305" s="28">
        <f>IF(BY301=1,IF(INDEX('Lease Cycles'!$EF$25:$EL$25,1,BY299)=1,BY302*INDEX('Lease Cycles'!$EM$25:$ES$25,1,BY299)+BY303*IF(BY300&lt;INDEX('Lease Cycles'!$FA$25:$FG$25,1,BY299),0,1-INDEX('Lease Cycles'!$EM$25:$ES$25,1,BY299)),BY302*IF(BY300&lt;INDEX('Lease Cycles'!$DK$25:$DQ$25,1,BY299),0,IF(BY300=INDEX('Lease Cycles'!$DK$25:$DQ$25,1,BY299),1-INDEX('Lease Cycles'!$DR$25:$DX$25,1,BY299),1))),0)</f>
        <v>0</v>
      </c>
      <c r="BZ305" s="28">
        <f>IF(BZ301=1,IF(INDEX('Lease Cycles'!$EF$25:$EL$25,1,BZ299)=1,BZ302*INDEX('Lease Cycles'!$EM$25:$ES$25,1,BZ299)+BZ303*IF(BZ300&lt;INDEX('Lease Cycles'!$FA$25:$FG$25,1,BZ299),0,1-INDEX('Lease Cycles'!$EM$25:$ES$25,1,BZ299)),BZ302*IF(BZ300&lt;INDEX('Lease Cycles'!$DK$25:$DQ$25,1,BZ299),0,IF(BZ300=INDEX('Lease Cycles'!$DK$25:$DQ$25,1,BZ299),1-INDEX('Lease Cycles'!$DR$25:$DX$25,1,BZ299),1))),0)</f>
        <v>0</v>
      </c>
      <c r="CA305" s="28">
        <f>IF(CA301=1,IF(INDEX('Lease Cycles'!$EF$25:$EL$25,1,CA299)=1,CA302*INDEX('Lease Cycles'!$EM$25:$ES$25,1,CA299)+CA303*IF(CA300&lt;INDEX('Lease Cycles'!$FA$25:$FG$25,1,CA299),0,1-INDEX('Lease Cycles'!$EM$25:$ES$25,1,CA299)),CA302*IF(CA300&lt;INDEX('Lease Cycles'!$DK$25:$DQ$25,1,CA299),0,IF(CA300=INDEX('Lease Cycles'!$DK$25:$DQ$25,1,CA299),1-INDEX('Lease Cycles'!$DR$25:$DX$25,1,CA299),1))),0)</f>
        <v>0</v>
      </c>
      <c r="CB305" s="28">
        <f>IF(CB301=1,IF(INDEX('Lease Cycles'!$EF$25:$EL$25,1,CB299)=1,CB302*INDEX('Lease Cycles'!$EM$25:$ES$25,1,CB299)+CB303*IF(CB300&lt;INDEX('Lease Cycles'!$FA$25:$FG$25,1,CB299),0,1-INDEX('Lease Cycles'!$EM$25:$ES$25,1,CB299)),CB302*IF(CB300&lt;INDEX('Lease Cycles'!$DK$25:$DQ$25,1,CB299),0,IF(CB300=INDEX('Lease Cycles'!$DK$25:$DQ$25,1,CB299),1-INDEX('Lease Cycles'!$DR$25:$DX$25,1,CB299),1))),0)</f>
        <v>0</v>
      </c>
      <c r="CC305" s="28">
        <f>IF(CC301=1,IF(INDEX('Lease Cycles'!$EF$25:$EL$25,1,CC299)=1,CC302*INDEX('Lease Cycles'!$EM$25:$ES$25,1,CC299)+CC303*IF(CC300&lt;INDEX('Lease Cycles'!$FA$25:$FG$25,1,CC299),0,1-INDEX('Lease Cycles'!$EM$25:$ES$25,1,CC299)),CC302*IF(CC300&lt;INDEX('Lease Cycles'!$DK$25:$DQ$25,1,CC299),0,IF(CC300=INDEX('Lease Cycles'!$DK$25:$DQ$25,1,CC299),1-INDEX('Lease Cycles'!$DR$25:$DX$25,1,CC299),1))),0)</f>
        <v>0</v>
      </c>
      <c r="CD305" s="28">
        <f>IF(CD301=1,IF(INDEX('Lease Cycles'!$EF$25:$EL$25,1,CD299)=1,CD302*INDEX('Lease Cycles'!$EM$25:$ES$25,1,CD299)+CD303*IF(CD300&lt;INDEX('Lease Cycles'!$FA$25:$FG$25,1,CD299),0,1-INDEX('Lease Cycles'!$EM$25:$ES$25,1,CD299)),CD302*IF(CD300&lt;INDEX('Lease Cycles'!$DK$25:$DQ$25,1,CD299),0,IF(CD300=INDEX('Lease Cycles'!$DK$25:$DQ$25,1,CD299),1-INDEX('Lease Cycles'!$DR$25:$DX$25,1,CD299),1))),0)</f>
        <v>0</v>
      </c>
      <c r="CE305" s="28">
        <f>IF(CE301=1,IF(INDEX('Lease Cycles'!$EF$25:$EL$25,1,CE299)=1,CE302*INDEX('Lease Cycles'!$EM$25:$ES$25,1,CE299)+CE303*IF(CE300&lt;INDEX('Lease Cycles'!$FA$25:$FG$25,1,CE299),0,1-INDEX('Lease Cycles'!$EM$25:$ES$25,1,CE299)),CE302*IF(CE300&lt;INDEX('Lease Cycles'!$DK$25:$DQ$25,1,CE299),0,IF(CE300=INDEX('Lease Cycles'!$DK$25:$DQ$25,1,CE299),1-INDEX('Lease Cycles'!$DR$25:$DX$25,1,CE299),1))),0)</f>
        <v>0</v>
      </c>
      <c r="CF305" s="28">
        <f>IF(CF301=1,IF(INDEX('Lease Cycles'!$EF$25:$EL$25,1,CF299)=1,CF302*INDEX('Lease Cycles'!$EM$25:$ES$25,1,CF299)+CF303*IF(CF300&lt;INDEX('Lease Cycles'!$FA$25:$FG$25,1,CF299),0,1-INDEX('Lease Cycles'!$EM$25:$ES$25,1,CF299)),CF302*IF(CF300&lt;INDEX('Lease Cycles'!$DK$25:$DQ$25,1,CF299),0,IF(CF300=INDEX('Lease Cycles'!$DK$25:$DQ$25,1,CF299),1-INDEX('Lease Cycles'!$DR$25:$DX$25,1,CF299),1))),0)</f>
        <v>0</v>
      </c>
      <c r="CG305" s="28">
        <f>IF(CG301=1,IF(INDEX('Lease Cycles'!$EF$25:$EL$25,1,CG299)=1,CG302*INDEX('Lease Cycles'!$EM$25:$ES$25,1,CG299)+CG303*IF(CG300&lt;INDEX('Lease Cycles'!$FA$25:$FG$25,1,CG299),0,1-INDEX('Lease Cycles'!$EM$25:$ES$25,1,CG299)),CG302*IF(CG300&lt;INDEX('Lease Cycles'!$DK$25:$DQ$25,1,CG299),0,IF(CG300=INDEX('Lease Cycles'!$DK$25:$DQ$25,1,CG299),1-INDEX('Lease Cycles'!$DR$25:$DX$25,1,CG299),1))),0)</f>
        <v>0</v>
      </c>
      <c r="CH305" s="28">
        <f>IF(CH301=1,IF(INDEX('Lease Cycles'!$EF$25:$EL$25,1,CH299)=1,CH302*INDEX('Lease Cycles'!$EM$25:$ES$25,1,CH299)+CH303*IF(CH300&lt;INDEX('Lease Cycles'!$FA$25:$FG$25,1,CH299),0,1-INDEX('Lease Cycles'!$EM$25:$ES$25,1,CH299)),CH302*IF(CH300&lt;INDEX('Lease Cycles'!$DK$25:$DQ$25,1,CH299),0,IF(CH300=INDEX('Lease Cycles'!$DK$25:$DQ$25,1,CH299),1-INDEX('Lease Cycles'!$DR$25:$DX$25,1,CH299),1))),0)</f>
        <v>0</v>
      </c>
      <c r="CI305" s="28">
        <f>IF(CI301=1,IF(INDEX('Lease Cycles'!$EF$25:$EL$25,1,CI299)=1,CI302*INDEX('Lease Cycles'!$EM$25:$ES$25,1,CI299)+CI303*IF(CI300&lt;INDEX('Lease Cycles'!$FA$25:$FG$25,1,CI299),0,1-INDEX('Lease Cycles'!$EM$25:$ES$25,1,CI299)),CI302*IF(CI300&lt;INDEX('Lease Cycles'!$DK$25:$DQ$25,1,CI299),0,IF(CI300=INDEX('Lease Cycles'!$DK$25:$DQ$25,1,CI299),1-INDEX('Lease Cycles'!$DR$25:$DX$25,1,CI299),1))),0)</f>
        <v>0</v>
      </c>
      <c r="CJ305" s="28">
        <f>IF(CJ301=1,IF(INDEX('Lease Cycles'!$EF$25:$EL$25,1,CJ299)=1,CJ302*INDEX('Lease Cycles'!$EM$25:$ES$25,1,CJ299)+CJ303*IF(CJ300&lt;INDEX('Lease Cycles'!$FA$25:$FG$25,1,CJ299),0,1-INDEX('Lease Cycles'!$EM$25:$ES$25,1,CJ299)),CJ302*IF(CJ300&lt;INDEX('Lease Cycles'!$DK$25:$DQ$25,1,CJ299),0,IF(CJ300=INDEX('Lease Cycles'!$DK$25:$DQ$25,1,CJ299),1-INDEX('Lease Cycles'!$DR$25:$DX$25,1,CJ299),1))),0)</f>
        <v>0</v>
      </c>
      <c r="CK305" s="28">
        <f>IF(CK301=1,IF(INDEX('Lease Cycles'!$EF$25:$EL$25,1,CK299)=1,CK302*INDEX('Lease Cycles'!$EM$25:$ES$25,1,CK299)+CK303*IF(CK300&lt;INDEX('Lease Cycles'!$FA$25:$FG$25,1,CK299),0,1-INDEX('Lease Cycles'!$EM$25:$ES$25,1,CK299)),CK302*IF(CK300&lt;INDEX('Lease Cycles'!$DK$25:$DQ$25,1,CK299),0,IF(CK300=INDEX('Lease Cycles'!$DK$25:$DQ$25,1,CK299),1-INDEX('Lease Cycles'!$DR$25:$DX$25,1,CK299),1))),0)</f>
        <v>0</v>
      </c>
      <c r="CL305" s="28">
        <f>IF(CL301=1,IF(INDEX('Lease Cycles'!$EF$25:$EL$25,1,CL299)=1,CL302*INDEX('Lease Cycles'!$EM$25:$ES$25,1,CL299)+CL303*IF(CL300&lt;INDEX('Lease Cycles'!$FA$25:$FG$25,1,CL299),0,1-INDEX('Lease Cycles'!$EM$25:$ES$25,1,CL299)),CL302*IF(CL300&lt;INDEX('Lease Cycles'!$DK$25:$DQ$25,1,CL299),0,IF(CL300=INDEX('Lease Cycles'!$DK$25:$DQ$25,1,CL299),1-INDEX('Lease Cycles'!$DR$25:$DX$25,1,CL299),1))),0)</f>
        <v>0</v>
      </c>
      <c r="CM305" s="28">
        <f>IF(CM301=1,IF(INDEX('Lease Cycles'!$EF$25:$EL$25,1,CM299)=1,CM302*INDEX('Lease Cycles'!$EM$25:$ES$25,1,CM299)+CM303*IF(CM300&lt;INDEX('Lease Cycles'!$FA$25:$FG$25,1,CM299),0,1-INDEX('Lease Cycles'!$EM$25:$ES$25,1,CM299)),CM302*IF(CM300&lt;INDEX('Lease Cycles'!$DK$25:$DQ$25,1,CM299),0,IF(CM300=INDEX('Lease Cycles'!$DK$25:$DQ$25,1,CM299),1-INDEX('Lease Cycles'!$DR$25:$DX$25,1,CM299),1))),0)</f>
        <v>0</v>
      </c>
      <c r="CN305" s="28">
        <f>IF(CN301=1,IF(INDEX('Lease Cycles'!$EF$25:$EL$25,1,CN299)=1,CN302*INDEX('Lease Cycles'!$EM$25:$ES$25,1,CN299)+CN303*IF(CN300&lt;INDEX('Lease Cycles'!$FA$25:$FG$25,1,CN299),0,1-INDEX('Lease Cycles'!$EM$25:$ES$25,1,CN299)),CN302*IF(CN300&lt;INDEX('Lease Cycles'!$DK$25:$DQ$25,1,CN299),0,IF(CN300=INDEX('Lease Cycles'!$DK$25:$DQ$25,1,CN299),1-INDEX('Lease Cycles'!$DR$25:$DX$25,1,CN299),1))),0)</f>
        <v>0</v>
      </c>
      <c r="CO305" s="28">
        <f>IF(CO301=1,IF(INDEX('Lease Cycles'!$EF$25:$EL$25,1,CO299)=1,CO302*INDEX('Lease Cycles'!$EM$25:$ES$25,1,CO299)+CO303*IF(CO300&lt;INDEX('Lease Cycles'!$FA$25:$FG$25,1,CO299),0,1-INDEX('Lease Cycles'!$EM$25:$ES$25,1,CO299)),CO302*IF(CO300&lt;INDEX('Lease Cycles'!$DK$25:$DQ$25,1,CO299),0,IF(CO300=INDEX('Lease Cycles'!$DK$25:$DQ$25,1,CO299),1-INDEX('Lease Cycles'!$DR$25:$DX$25,1,CO299),1))),0)</f>
        <v>0</v>
      </c>
      <c r="CP305" s="28">
        <f>IF(CP301=1,IF(INDEX('Lease Cycles'!$EF$25:$EL$25,1,CP299)=1,CP302*INDEX('Lease Cycles'!$EM$25:$ES$25,1,CP299)+CP303*IF(CP300&lt;INDEX('Lease Cycles'!$FA$25:$FG$25,1,CP299),0,1-INDEX('Lease Cycles'!$EM$25:$ES$25,1,CP299)),CP302*IF(CP300&lt;INDEX('Lease Cycles'!$DK$25:$DQ$25,1,CP299),0,IF(CP300=INDEX('Lease Cycles'!$DK$25:$DQ$25,1,CP299),1-INDEX('Lease Cycles'!$DR$25:$DX$25,1,CP299),1))),0)</f>
        <v>0</v>
      </c>
      <c r="CQ305" s="28">
        <f>IF(CQ301=1,IF(INDEX('Lease Cycles'!$EF$25:$EL$25,1,CQ299)=1,CQ302*INDEX('Lease Cycles'!$EM$25:$ES$25,1,CQ299)+CQ303*IF(CQ300&lt;INDEX('Lease Cycles'!$FA$25:$FG$25,1,CQ299),0,1-INDEX('Lease Cycles'!$EM$25:$ES$25,1,CQ299)),CQ302*IF(CQ300&lt;INDEX('Lease Cycles'!$DK$25:$DQ$25,1,CQ299),0,IF(CQ300=INDEX('Lease Cycles'!$DK$25:$DQ$25,1,CQ299),1-INDEX('Lease Cycles'!$DR$25:$DX$25,1,CQ299),1))),0)</f>
        <v>0</v>
      </c>
      <c r="CR305" s="28">
        <f>IF(CR301=1,IF(INDEX('Lease Cycles'!$EF$25:$EL$25,1,CR299)=1,CR302*INDEX('Lease Cycles'!$EM$25:$ES$25,1,CR299)+CR303*IF(CR300&lt;INDEX('Lease Cycles'!$FA$25:$FG$25,1,CR299),0,1-INDEX('Lease Cycles'!$EM$25:$ES$25,1,CR299)),CR302*IF(CR300&lt;INDEX('Lease Cycles'!$DK$25:$DQ$25,1,CR299),0,IF(CR300=INDEX('Lease Cycles'!$DK$25:$DQ$25,1,CR299),1-INDEX('Lease Cycles'!$DR$25:$DX$25,1,CR299),1))),0)</f>
        <v>0</v>
      </c>
      <c r="CS305" s="28">
        <f>IF(CS301=1,IF(INDEX('Lease Cycles'!$EF$25:$EL$25,1,CS299)=1,CS302*INDEX('Lease Cycles'!$EM$25:$ES$25,1,CS299)+CS303*IF(CS300&lt;INDEX('Lease Cycles'!$FA$25:$FG$25,1,CS299),0,1-INDEX('Lease Cycles'!$EM$25:$ES$25,1,CS299)),CS302*IF(CS300&lt;INDEX('Lease Cycles'!$DK$25:$DQ$25,1,CS299),0,IF(CS300=INDEX('Lease Cycles'!$DK$25:$DQ$25,1,CS299),1-INDEX('Lease Cycles'!$DR$25:$DX$25,1,CS299),1))),0)</f>
        <v>0</v>
      </c>
      <c r="CT305" s="28">
        <f>IF(CT301=1,IF(INDEX('Lease Cycles'!$EF$25:$EL$25,1,CT299)=1,CT302*INDEX('Lease Cycles'!$EM$25:$ES$25,1,CT299)+CT303*IF(CT300&lt;INDEX('Lease Cycles'!$FA$25:$FG$25,1,CT299),0,1-INDEX('Lease Cycles'!$EM$25:$ES$25,1,CT299)),CT302*IF(CT300&lt;INDEX('Lease Cycles'!$DK$25:$DQ$25,1,CT299),0,IF(CT300=INDEX('Lease Cycles'!$DK$25:$DQ$25,1,CT299),1-INDEX('Lease Cycles'!$DR$25:$DX$25,1,CT299),1))),0)</f>
        <v>0</v>
      </c>
      <c r="CU305" s="28">
        <f>IF(CU301=1,IF(INDEX('Lease Cycles'!$EF$25:$EL$25,1,CU299)=1,CU302*INDEX('Lease Cycles'!$EM$25:$ES$25,1,CU299)+CU303*IF(CU300&lt;INDEX('Lease Cycles'!$FA$25:$FG$25,1,CU299),0,1-INDEX('Lease Cycles'!$EM$25:$ES$25,1,CU299)),CU302*IF(CU300&lt;INDEX('Lease Cycles'!$DK$25:$DQ$25,1,CU299),0,IF(CU300=INDEX('Lease Cycles'!$DK$25:$DQ$25,1,CU299),1-INDEX('Lease Cycles'!$DR$25:$DX$25,1,CU299),1))),0)</f>
        <v>0</v>
      </c>
      <c r="CV305" s="28">
        <f>IF(CV301=1,IF(INDEX('Lease Cycles'!$EF$25:$EL$25,1,CV299)=1,CV302*INDEX('Lease Cycles'!$EM$25:$ES$25,1,CV299)+CV303*IF(CV300&lt;INDEX('Lease Cycles'!$FA$25:$FG$25,1,CV299),0,1-INDEX('Lease Cycles'!$EM$25:$ES$25,1,CV299)),CV302*IF(CV300&lt;INDEX('Lease Cycles'!$DK$25:$DQ$25,1,CV299),0,IF(CV300=INDEX('Lease Cycles'!$DK$25:$DQ$25,1,CV299),1-INDEX('Lease Cycles'!$DR$25:$DX$25,1,CV299),1))),0)</f>
        <v>0</v>
      </c>
      <c r="CW305" s="28">
        <f>IF(CW301=1,IF(INDEX('Lease Cycles'!$EF$25:$EL$25,1,CW299)=1,CW302*INDEX('Lease Cycles'!$EM$25:$ES$25,1,CW299)+CW303*IF(CW300&lt;INDEX('Lease Cycles'!$FA$25:$FG$25,1,CW299),0,1-INDEX('Lease Cycles'!$EM$25:$ES$25,1,CW299)),CW302*IF(CW300&lt;INDEX('Lease Cycles'!$DK$25:$DQ$25,1,CW299),0,IF(CW300=INDEX('Lease Cycles'!$DK$25:$DQ$25,1,CW299),1-INDEX('Lease Cycles'!$DR$25:$DX$25,1,CW299),1))),0)</f>
        <v>0</v>
      </c>
      <c r="CX305" s="28">
        <f>IF(CX301=1,IF(INDEX('Lease Cycles'!$EF$25:$EL$25,1,CX299)=1,CX302*INDEX('Lease Cycles'!$EM$25:$ES$25,1,CX299)+CX303*IF(CX300&lt;INDEX('Lease Cycles'!$FA$25:$FG$25,1,CX299),0,1-INDEX('Lease Cycles'!$EM$25:$ES$25,1,CX299)),CX302*IF(CX300&lt;INDEX('Lease Cycles'!$DK$25:$DQ$25,1,CX299),0,IF(CX300=INDEX('Lease Cycles'!$DK$25:$DQ$25,1,CX299),1-INDEX('Lease Cycles'!$DR$25:$DX$25,1,CX299),1))),0)</f>
        <v>0</v>
      </c>
      <c r="CY305" s="28">
        <f>IF(CY301=1,IF(INDEX('Lease Cycles'!$EF$25:$EL$25,1,CY299)=1,CY302*INDEX('Lease Cycles'!$EM$25:$ES$25,1,CY299)+CY303*IF(CY300&lt;INDEX('Lease Cycles'!$FA$25:$FG$25,1,CY299),0,1-INDEX('Lease Cycles'!$EM$25:$ES$25,1,CY299)),CY302*IF(CY300&lt;INDEX('Lease Cycles'!$DK$25:$DQ$25,1,CY299),0,IF(CY300=INDEX('Lease Cycles'!$DK$25:$DQ$25,1,CY299),1-INDEX('Lease Cycles'!$DR$25:$DX$25,1,CY299),1))),0)</f>
        <v>0</v>
      </c>
      <c r="CZ305" s="28">
        <f>IF(CZ301=1,IF(INDEX('Lease Cycles'!$EF$25:$EL$25,1,CZ299)=1,CZ302*INDEX('Lease Cycles'!$EM$25:$ES$25,1,CZ299)+CZ303*IF(CZ300&lt;INDEX('Lease Cycles'!$FA$25:$FG$25,1,CZ299),0,1-INDEX('Lease Cycles'!$EM$25:$ES$25,1,CZ299)),CZ302*IF(CZ300&lt;INDEX('Lease Cycles'!$DK$25:$DQ$25,1,CZ299),0,IF(CZ300=INDEX('Lease Cycles'!$DK$25:$DQ$25,1,CZ299),1-INDEX('Lease Cycles'!$DR$25:$DX$25,1,CZ299),1))),0)</f>
        <v>0</v>
      </c>
      <c r="DA305" s="28">
        <f>IF(DA301=1,IF(INDEX('Lease Cycles'!$EF$25:$EL$25,1,DA299)=1,DA302*INDEX('Lease Cycles'!$EM$25:$ES$25,1,DA299)+DA303*IF(DA300&lt;INDEX('Lease Cycles'!$FA$25:$FG$25,1,DA299),0,1-INDEX('Lease Cycles'!$EM$25:$ES$25,1,DA299)),DA302*IF(DA300&lt;INDEX('Lease Cycles'!$DK$25:$DQ$25,1,DA299),0,IF(DA300=INDEX('Lease Cycles'!$DK$25:$DQ$25,1,DA299),1-INDEX('Lease Cycles'!$DR$25:$DX$25,1,DA299),1))),0)</f>
        <v>0</v>
      </c>
      <c r="DB305" s="28">
        <f>IF(DB301=1,IF(INDEX('Lease Cycles'!$EF$25:$EL$25,1,DB299)=1,DB302*INDEX('Lease Cycles'!$EM$25:$ES$25,1,DB299)+DB303*IF(DB300&lt;INDEX('Lease Cycles'!$FA$25:$FG$25,1,DB299),0,1-INDEX('Lease Cycles'!$EM$25:$ES$25,1,DB299)),DB302*IF(DB300&lt;INDEX('Lease Cycles'!$DK$25:$DQ$25,1,DB299),0,IF(DB300=INDEX('Lease Cycles'!$DK$25:$DQ$25,1,DB299),1-INDEX('Lease Cycles'!$DR$25:$DX$25,1,DB299),1))),0)</f>
        <v>0</v>
      </c>
      <c r="DC305" s="28">
        <f>IF(DC301=1,IF(INDEX('Lease Cycles'!$EF$25:$EL$25,1,DC299)=1,DC302*INDEX('Lease Cycles'!$EM$25:$ES$25,1,DC299)+DC303*IF(DC300&lt;INDEX('Lease Cycles'!$FA$25:$FG$25,1,DC299),0,1-INDEX('Lease Cycles'!$EM$25:$ES$25,1,DC299)),DC302*IF(DC300&lt;INDEX('Lease Cycles'!$DK$25:$DQ$25,1,DC299),0,IF(DC300=INDEX('Lease Cycles'!$DK$25:$DQ$25,1,DC299),1-INDEX('Lease Cycles'!$DR$25:$DX$25,1,DC299),1))),0)</f>
        <v>0</v>
      </c>
      <c r="DD305" s="28">
        <f>IF(DD301=1,IF(INDEX('Lease Cycles'!$EF$25:$EL$25,1,DD299)=1,DD302*INDEX('Lease Cycles'!$EM$25:$ES$25,1,DD299)+DD303*IF(DD300&lt;INDEX('Lease Cycles'!$FA$25:$FG$25,1,DD299),0,1-INDEX('Lease Cycles'!$EM$25:$ES$25,1,DD299)),DD302*IF(DD300&lt;INDEX('Lease Cycles'!$DK$25:$DQ$25,1,DD299),0,IF(DD300=INDEX('Lease Cycles'!$DK$25:$DQ$25,1,DD299),1-INDEX('Lease Cycles'!$DR$25:$DX$25,1,DD299),1))),0)</f>
        <v>0</v>
      </c>
      <c r="DE305" s="28">
        <f>IF(DE301=1,IF(INDEX('Lease Cycles'!$EF$25:$EL$25,1,DE299)=1,DE302*INDEX('Lease Cycles'!$EM$25:$ES$25,1,DE299)+DE303*IF(DE300&lt;INDEX('Lease Cycles'!$FA$25:$FG$25,1,DE299),0,1-INDEX('Lease Cycles'!$EM$25:$ES$25,1,DE299)),DE302*IF(DE300&lt;INDEX('Lease Cycles'!$DK$25:$DQ$25,1,DE299),0,IF(DE300=INDEX('Lease Cycles'!$DK$25:$DQ$25,1,DE299),1-INDEX('Lease Cycles'!$DR$25:$DX$25,1,DE299),1))),0)</f>
        <v>0</v>
      </c>
      <c r="DF305" s="28">
        <f>IF(DF301=1,IF(INDEX('Lease Cycles'!$EF$25:$EL$25,1,DF299)=1,DF302*INDEX('Lease Cycles'!$EM$25:$ES$25,1,DF299)+DF303*IF(DF300&lt;INDEX('Lease Cycles'!$FA$25:$FG$25,1,DF299),0,1-INDEX('Lease Cycles'!$EM$25:$ES$25,1,DF299)),DF302*IF(DF300&lt;INDEX('Lease Cycles'!$DK$25:$DQ$25,1,DF299),0,IF(DF300=INDEX('Lease Cycles'!$DK$25:$DQ$25,1,DF299),1-INDEX('Lease Cycles'!$DR$25:$DX$25,1,DF299),1))),0)</f>
        <v>0</v>
      </c>
      <c r="DG305" s="28">
        <f>IF(DG301=1,IF(INDEX('Lease Cycles'!$EF$25:$EL$25,1,DG299)=1,DG302*INDEX('Lease Cycles'!$EM$25:$ES$25,1,DG299)+DG303*IF(DG300&lt;INDEX('Lease Cycles'!$FA$25:$FG$25,1,DG299),0,1-INDEX('Lease Cycles'!$EM$25:$ES$25,1,DG299)),DG302*IF(DG300&lt;INDEX('Lease Cycles'!$DK$25:$DQ$25,1,DG299),0,IF(DG300=INDEX('Lease Cycles'!$DK$25:$DQ$25,1,DG299),1-INDEX('Lease Cycles'!$DR$25:$DX$25,1,DG299),1))),0)</f>
        <v>0</v>
      </c>
      <c r="DH305" s="28">
        <f>IF(DH301=1,IF(INDEX('Lease Cycles'!$EF$25:$EL$25,1,DH299)=1,DH302*INDEX('Lease Cycles'!$EM$25:$ES$25,1,DH299)+DH303*IF(DH300&lt;INDEX('Lease Cycles'!$FA$25:$FG$25,1,DH299),0,1-INDEX('Lease Cycles'!$EM$25:$ES$25,1,DH299)),DH302*IF(DH300&lt;INDEX('Lease Cycles'!$DK$25:$DQ$25,1,DH299),0,IF(DH300=INDEX('Lease Cycles'!$DK$25:$DQ$25,1,DH299),1-INDEX('Lease Cycles'!$DR$25:$DX$25,1,DH299),1))),0)</f>
        <v>0</v>
      </c>
      <c r="DI305" s="28">
        <f>IF(DI301=1,IF(INDEX('Lease Cycles'!$EF$25:$EL$25,1,DI299)=1,DI302*INDEX('Lease Cycles'!$EM$25:$ES$25,1,DI299)+DI303*IF(DI300&lt;INDEX('Lease Cycles'!$FA$25:$FG$25,1,DI299),0,1-INDEX('Lease Cycles'!$EM$25:$ES$25,1,DI299)),DI302*IF(DI300&lt;INDEX('Lease Cycles'!$DK$25:$DQ$25,1,DI299),0,IF(DI300=INDEX('Lease Cycles'!$DK$25:$DQ$25,1,DI299),1-INDEX('Lease Cycles'!$DR$25:$DX$25,1,DI299),1))),0)</f>
        <v>0</v>
      </c>
      <c r="DJ305" s="28">
        <f>IF(DJ301=1,IF(INDEX('Lease Cycles'!$EF$25:$EL$25,1,DJ299)=1,DJ302*INDEX('Lease Cycles'!$EM$25:$ES$25,1,DJ299)+DJ303*IF(DJ300&lt;INDEX('Lease Cycles'!$FA$25:$FG$25,1,DJ299),0,1-INDEX('Lease Cycles'!$EM$25:$ES$25,1,DJ299)),DJ302*IF(DJ300&lt;INDEX('Lease Cycles'!$DK$25:$DQ$25,1,DJ299),0,IF(DJ300=INDEX('Lease Cycles'!$DK$25:$DQ$25,1,DJ299),1-INDEX('Lease Cycles'!$DR$25:$DX$25,1,DJ299),1))),0)</f>
        <v>0</v>
      </c>
      <c r="DK305" s="28">
        <f>IF(DK301=1,IF(INDEX('Lease Cycles'!$EF$25:$EL$25,1,DK299)=1,DK302*INDEX('Lease Cycles'!$EM$25:$ES$25,1,DK299)+DK303*IF(DK300&lt;INDEX('Lease Cycles'!$FA$25:$FG$25,1,DK299),0,1-INDEX('Lease Cycles'!$EM$25:$ES$25,1,DK299)),DK302*IF(DK300&lt;INDEX('Lease Cycles'!$DK$25:$DQ$25,1,DK299),0,IF(DK300=INDEX('Lease Cycles'!$DK$25:$DQ$25,1,DK299),1-INDEX('Lease Cycles'!$DR$25:$DX$25,1,DK299),1))),0)</f>
        <v>0</v>
      </c>
      <c r="DL305" s="28">
        <f>IF(DL301=1,IF(INDEX('Lease Cycles'!$EF$25:$EL$25,1,DL299)=1,DL302*INDEX('Lease Cycles'!$EM$25:$ES$25,1,DL299)+DL303*IF(DL300&lt;INDEX('Lease Cycles'!$FA$25:$FG$25,1,DL299),0,1-INDEX('Lease Cycles'!$EM$25:$ES$25,1,DL299)),DL302*IF(DL300&lt;INDEX('Lease Cycles'!$DK$25:$DQ$25,1,DL299),0,IF(DL300=INDEX('Lease Cycles'!$DK$25:$DQ$25,1,DL299),1-INDEX('Lease Cycles'!$DR$25:$DX$25,1,DL299),1))),0)</f>
        <v>0</v>
      </c>
      <c r="DM305" s="28">
        <f>IF(DM301=1,IF(INDEX('Lease Cycles'!$EF$25:$EL$25,1,DM299)=1,DM302*INDEX('Lease Cycles'!$EM$25:$ES$25,1,DM299)+DM303*IF(DM300&lt;INDEX('Lease Cycles'!$FA$25:$FG$25,1,DM299),0,1-INDEX('Lease Cycles'!$EM$25:$ES$25,1,DM299)),DM302*IF(DM300&lt;INDEX('Lease Cycles'!$DK$25:$DQ$25,1,DM299),0,IF(DM300=INDEX('Lease Cycles'!$DK$25:$DQ$25,1,DM299),1-INDEX('Lease Cycles'!$DR$25:$DX$25,1,DM299),1))),0)</f>
        <v>0</v>
      </c>
      <c r="DN305" s="28">
        <f>IF(DN301=1,IF(INDEX('Lease Cycles'!$EF$25:$EL$25,1,DN299)=1,DN302*INDEX('Lease Cycles'!$EM$25:$ES$25,1,DN299)+DN303*IF(DN300&lt;INDEX('Lease Cycles'!$FA$25:$FG$25,1,DN299),0,1-INDEX('Lease Cycles'!$EM$25:$ES$25,1,DN299)),DN302*IF(DN300&lt;INDEX('Lease Cycles'!$DK$25:$DQ$25,1,DN299),0,IF(DN300=INDEX('Lease Cycles'!$DK$25:$DQ$25,1,DN299),1-INDEX('Lease Cycles'!$DR$25:$DX$25,1,DN299),1))),0)</f>
        <v>0</v>
      </c>
      <c r="DO305" s="28">
        <f>IF(DO301=1,IF(INDEX('Lease Cycles'!$EF$25:$EL$25,1,DO299)=1,DO302*INDEX('Lease Cycles'!$EM$25:$ES$25,1,DO299)+DO303*IF(DO300&lt;INDEX('Lease Cycles'!$FA$25:$FG$25,1,DO299),0,1-INDEX('Lease Cycles'!$EM$25:$ES$25,1,DO299)),DO302*IF(DO300&lt;INDEX('Lease Cycles'!$DK$25:$DQ$25,1,DO299),0,IF(DO300=INDEX('Lease Cycles'!$DK$25:$DQ$25,1,DO299),1-INDEX('Lease Cycles'!$DR$25:$DX$25,1,DO299),1))),0)</f>
        <v>0</v>
      </c>
      <c r="DP305" s="28">
        <f>IF(DP301=1,IF(INDEX('Lease Cycles'!$EF$25:$EL$25,1,DP299)=1,DP302*INDEX('Lease Cycles'!$EM$25:$ES$25,1,DP299)+DP303*IF(DP300&lt;INDEX('Lease Cycles'!$FA$25:$FG$25,1,DP299),0,1-INDEX('Lease Cycles'!$EM$25:$ES$25,1,DP299)),DP302*IF(DP300&lt;INDEX('Lease Cycles'!$DK$25:$DQ$25,1,DP299),0,IF(DP300=INDEX('Lease Cycles'!$DK$25:$DQ$25,1,DP299),1-INDEX('Lease Cycles'!$DR$25:$DX$25,1,DP299),1))),0)</f>
        <v>0</v>
      </c>
      <c r="DQ305" s="28">
        <f>IF(DQ301=1,IF(INDEX('Lease Cycles'!$EF$25:$EL$25,1,DQ299)=1,DQ302*INDEX('Lease Cycles'!$EM$25:$ES$25,1,DQ299)+DQ303*IF(DQ300&lt;INDEX('Lease Cycles'!$FA$25:$FG$25,1,DQ299),0,1-INDEX('Lease Cycles'!$EM$25:$ES$25,1,DQ299)),DQ302*IF(DQ300&lt;INDEX('Lease Cycles'!$DK$25:$DQ$25,1,DQ299),0,IF(DQ300=INDEX('Lease Cycles'!$DK$25:$DQ$25,1,DQ299),1-INDEX('Lease Cycles'!$DR$25:$DX$25,1,DQ299),1))),0)</f>
        <v>0</v>
      </c>
      <c r="DR305" s="28">
        <f>IF(DR301=1,IF(INDEX('Lease Cycles'!$EF$25:$EL$25,1,DR299)=1,DR302*INDEX('Lease Cycles'!$EM$25:$ES$25,1,DR299)+DR303*IF(DR300&lt;INDEX('Lease Cycles'!$FA$25:$FG$25,1,DR299),0,1-INDEX('Lease Cycles'!$EM$25:$ES$25,1,DR299)),DR302*IF(DR300&lt;INDEX('Lease Cycles'!$DK$25:$DQ$25,1,DR299),0,IF(DR300=INDEX('Lease Cycles'!$DK$25:$DQ$25,1,DR299),1-INDEX('Lease Cycles'!$DR$25:$DX$25,1,DR299),1))),0)</f>
        <v>0</v>
      </c>
      <c r="DS305" s="28">
        <f>IF(DS301=1,IF(INDEX('Lease Cycles'!$EF$25:$EL$25,1,DS299)=1,DS302*INDEX('Lease Cycles'!$EM$25:$ES$25,1,DS299)+DS303*IF(DS300&lt;INDEX('Lease Cycles'!$FA$25:$FG$25,1,DS299),0,1-INDEX('Lease Cycles'!$EM$25:$ES$25,1,DS299)),DS302*IF(DS300&lt;INDEX('Lease Cycles'!$DK$25:$DQ$25,1,DS299),0,IF(DS300=INDEX('Lease Cycles'!$DK$25:$DQ$25,1,DS299),1-INDEX('Lease Cycles'!$DR$25:$DX$25,1,DS299),1))),0)</f>
        <v>0</v>
      </c>
      <c r="DT305" s="28">
        <f>IF(DT301=1,IF(INDEX('Lease Cycles'!$EF$25:$EL$25,1,DT299)=1,DT302*INDEX('Lease Cycles'!$EM$25:$ES$25,1,DT299)+DT303*IF(DT300&lt;INDEX('Lease Cycles'!$FA$25:$FG$25,1,DT299),0,1-INDEX('Lease Cycles'!$EM$25:$ES$25,1,DT299)),DT302*IF(DT300&lt;INDEX('Lease Cycles'!$DK$25:$DQ$25,1,DT299),0,IF(DT300=INDEX('Lease Cycles'!$DK$25:$DQ$25,1,DT299),1-INDEX('Lease Cycles'!$DR$25:$DX$25,1,DT299),1))),0)</f>
        <v>0</v>
      </c>
      <c r="DU305" s="28">
        <f>IF(DU301=1,IF(INDEX('Lease Cycles'!$EF$25:$EL$25,1,DU299)=1,DU302*INDEX('Lease Cycles'!$EM$25:$ES$25,1,DU299)+DU303*IF(DU300&lt;INDEX('Lease Cycles'!$FA$25:$FG$25,1,DU299),0,1-INDEX('Lease Cycles'!$EM$25:$ES$25,1,DU299)),DU302*IF(DU300&lt;INDEX('Lease Cycles'!$DK$25:$DQ$25,1,DU299),0,IF(DU300=INDEX('Lease Cycles'!$DK$25:$DQ$25,1,DU299),1-INDEX('Lease Cycles'!$DR$25:$DX$25,1,DU299),1))),0)</f>
        <v>0</v>
      </c>
      <c r="DV305" s="28">
        <f>IF(DV301=1,IF(INDEX('Lease Cycles'!$EF$25:$EL$25,1,DV299)=1,DV302*INDEX('Lease Cycles'!$EM$25:$ES$25,1,DV299)+DV303*IF(DV300&lt;INDEX('Lease Cycles'!$FA$25:$FG$25,1,DV299),0,1-INDEX('Lease Cycles'!$EM$25:$ES$25,1,DV299)),DV302*IF(DV300&lt;INDEX('Lease Cycles'!$DK$25:$DQ$25,1,DV299),0,IF(DV300=INDEX('Lease Cycles'!$DK$25:$DQ$25,1,DV299),1-INDEX('Lease Cycles'!$DR$25:$DX$25,1,DV299),1))),0)</f>
        <v>0</v>
      </c>
      <c r="DW305" s="28">
        <f>IF(DW301=1,IF(INDEX('Lease Cycles'!$EF$25:$EL$25,1,DW299)=1,DW302*INDEX('Lease Cycles'!$EM$25:$ES$25,1,DW299)+DW303*IF(DW300&lt;INDEX('Lease Cycles'!$FA$25:$FG$25,1,DW299),0,1-INDEX('Lease Cycles'!$EM$25:$ES$25,1,DW299)),DW302*IF(DW300&lt;INDEX('Lease Cycles'!$DK$25:$DQ$25,1,DW299),0,IF(DW300=INDEX('Lease Cycles'!$DK$25:$DQ$25,1,DW299),1-INDEX('Lease Cycles'!$DR$25:$DX$25,1,DW299),1))),0)</f>
        <v>0</v>
      </c>
      <c r="DX305" s="28">
        <f>IF(DX301=1,IF(INDEX('Lease Cycles'!$EF$25:$EL$25,1,DX299)=1,DX302*INDEX('Lease Cycles'!$EM$25:$ES$25,1,DX299)+DX303*IF(DX300&lt;INDEX('Lease Cycles'!$FA$25:$FG$25,1,DX299),0,1-INDEX('Lease Cycles'!$EM$25:$ES$25,1,DX299)),DX302*IF(DX300&lt;INDEX('Lease Cycles'!$DK$25:$DQ$25,1,DX299),0,IF(DX300=INDEX('Lease Cycles'!$DK$25:$DQ$25,1,DX299),1-INDEX('Lease Cycles'!$DR$25:$DX$25,1,DX299),1))),0)</f>
        <v>0</v>
      </c>
      <c r="DY305" s="28">
        <f>IF(DY301=1,IF(INDEX('Lease Cycles'!$EF$25:$EL$25,1,DY299)=1,DY302*INDEX('Lease Cycles'!$EM$25:$ES$25,1,DY299)+DY303*IF(DY300&lt;INDEX('Lease Cycles'!$FA$25:$FG$25,1,DY299),0,1-INDEX('Lease Cycles'!$EM$25:$ES$25,1,DY299)),DY302*IF(DY300&lt;INDEX('Lease Cycles'!$DK$25:$DQ$25,1,DY299),0,IF(DY300=INDEX('Lease Cycles'!$DK$25:$DQ$25,1,DY299),1-INDEX('Lease Cycles'!$DR$25:$DX$25,1,DY299),1))),0)</f>
        <v>0</v>
      </c>
      <c r="DZ305" s="28">
        <f>IF(DZ301=1,IF(INDEX('Lease Cycles'!$EF$25:$EL$25,1,DZ299)=1,DZ302*INDEX('Lease Cycles'!$EM$25:$ES$25,1,DZ299)+DZ303*IF(DZ300&lt;INDEX('Lease Cycles'!$FA$25:$FG$25,1,DZ299),0,1-INDEX('Lease Cycles'!$EM$25:$ES$25,1,DZ299)),DZ302*IF(DZ300&lt;INDEX('Lease Cycles'!$DK$25:$DQ$25,1,DZ299),0,IF(DZ300=INDEX('Lease Cycles'!$DK$25:$DQ$25,1,DZ299),1-INDEX('Lease Cycles'!$DR$25:$DX$25,1,DZ299),1))),0)</f>
        <v>0</v>
      </c>
      <c r="EA305" s="28">
        <f>IF(EA301=1,IF(INDEX('Lease Cycles'!$EF$25:$EL$25,1,EA299)=1,EA302*INDEX('Lease Cycles'!$EM$25:$ES$25,1,EA299)+EA303*IF(EA300&lt;INDEX('Lease Cycles'!$FA$25:$FG$25,1,EA299),0,1-INDEX('Lease Cycles'!$EM$25:$ES$25,1,EA299)),EA302*IF(EA300&lt;INDEX('Lease Cycles'!$DK$25:$DQ$25,1,EA299),0,IF(EA300=INDEX('Lease Cycles'!$DK$25:$DQ$25,1,EA299),1-INDEX('Lease Cycles'!$DR$25:$DX$25,1,EA299),1))),0)</f>
        <v>0</v>
      </c>
      <c r="EB305" s="28">
        <f>IF(EB301=1,IF(INDEX('Lease Cycles'!$EF$25:$EL$25,1,EB299)=1,EB302*INDEX('Lease Cycles'!$EM$25:$ES$25,1,EB299)+EB303*IF(EB300&lt;INDEX('Lease Cycles'!$FA$25:$FG$25,1,EB299),0,1-INDEX('Lease Cycles'!$EM$25:$ES$25,1,EB299)),EB302*IF(EB300&lt;INDEX('Lease Cycles'!$DK$25:$DQ$25,1,EB299),0,IF(EB300=INDEX('Lease Cycles'!$DK$25:$DQ$25,1,EB299),1-INDEX('Lease Cycles'!$DR$25:$DX$25,1,EB299),1))),0)</f>
        <v>0</v>
      </c>
      <c r="EC305" s="28">
        <f>IF(EC301=1,IF(INDEX('Lease Cycles'!$EF$25:$EL$25,1,EC299)=1,EC302*INDEX('Lease Cycles'!$EM$25:$ES$25,1,EC299)+EC303*IF(EC300&lt;INDEX('Lease Cycles'!$FA$25:$FG$25,1,EC299),0,1-INDEX('Lease Cycles'!$EM$25:$ES$25,1,EC299)),EC302*IF(EC300&lt;INDEX('Lease Cycles'!$DK$25:$DQ$25,1,EC299),0,IF(EC300=INDEX('Lease Cycles'!$DK$25:$DQ$25,1,EC299),1-INDEX('Lease Cycles'!$DR$25:$DX$25,1,EC299),1))),0)</f>
        <v>0</v>
      </c>
      <c r="ED305" s="28">
        <f>IF(ED301=1,IF(INDEX('Lease Cycles'!$EF$25:$EL$25,1,ED299)=1,ED302*INDEX('Lease Cycles'!$EM$25:$ES$25,1,ED299)+ED303*IF(ED300&lt;INDEX('Lease Cycles'!$FA$25:$FG$25,1,ED299),0,1-INDEX('Lease Cycles'!$EM$25:$ES$25,1,ED299)),ED302*IF(ED300&lt;INDEX('Lease Cycles'!$DK$25:$DQ$25,1,ED299),0,IF(ED300=INDEX('Lease Cycles'!$DK$25:$DQ$25,1,ED299),1-INDEX('Lease Cycles'!$DR$25:$DX$25,1,ED299),1))),0)</f>
        <v>0</v>
      </c>
      <c r="EE305" s="28">
        <f>IF(EE301=1,IF(INDEX('Lease Cycles'!$EF$25:$EL$25,1,EE299)=1,EE302*INDEX('Lease Cycles'!$EM$25:$ES$25,1,EE299)+EE303*IF(EE300&lt;INDEX('Lease Cycles'!$FA$25:$FG$25,1,EE299),0,1-INDEX('Lease Cycles'!$EM$25:$ES$25,1,EE299)),EE302*IF(EE300&lt;INDEX('Lease Cycles'!$DK$25:$DQ$25,1,EE299),0,IF(EE300=INDEX('Lease Cycles'!$DK$25:$DQ$25,1,EE299),1-INDEX('Lease Cycles'!$DR$25:$DX$25,1,EE299),1))),0)</f>
        <v>0</v>
      </c>
      <c r="EF305" s="28">
        <f>IF(EF301=1,IF(INDEX('Lease Cycles'!$EF$25:$EL$25,1,EF299)=1,EF302*INDEX('Lease Cycles'!$EM$25:$ES$25,1,EF299)+EF303*IF(EF300&lt;INDEX('Lease Cycles'!$FA$25:$FG$25,1,EF299),0,1-INDEX('Lease Cycles'!$EM$25:$ES$25,1,EF299)),EF302*IF(EF300&lt;INDEX('Lease Cycles'!$DK$25:$DQ$25,1,EF299),0,IF(EF300=INDEX('Lease Cycles'!$DK$25:$DQ$25,1,EF299),1-INDEX('Lease Cycles'!$DR$25:$DX$25,1,EF299),1))),0)</f>
        <v>0</v>
      </c>
      <c r="EG305" s="28">
        <f>IF(EG301=1,IF(INDEX('Lease Cycles'!$EF$25:$EL$25,1,EG299)=1,EG302*INDEX('Lease Cycles'!$EM$25:$ES$25,1,EG299)+EG303*IF(EG300&lt;INDEX('Lease Cycles'!$FA$25:$FG$25,1,EG299),0,1-INDEX('Lease Cycles'!$EM$25:$ES$25,1,EG299)),EG302*IF(EG300&lt;INDEX('Lease Cycles'!$DK$25:$DQ$25,1,EG299),0,IF(EG300=INDEX('Lease Cycles'!$DK$25:$DQ$25,1,EG299),1-INDEX('Lease Cycles'!$DR$25:$DX$25,1,EG299),1))),0)</f>
        <v>0</v>
      </c>
      <c r="EH305" s="28">
        <f>IF(EH301=1,IF(INDEX('Lease Cycles'!$EF$25:$EL$25,1,EH299)=1,EH302*INDEX('Lease Cycles'!$EM$25:$ES$25,1,EH299)+EH303*IF(EH300&lt;INDEX('Lease Cycles'!$FA$25:$FG$25,1,EH299),0,1-INDEX('Lease Cycles'!$EM$25:$ES$25,1,EH299)),EH302*IF(EH300&lt;INDEX('Lease Cycles'!$DK$25:$DQ$25,1,EH299),0,IF(EH300=INDEX('Lease Cycles'!$DK$25:$DQ$25,1,EH299),1-INDEX('Lease Cycles'!$DR$25:$DX$25,1,EH299),1))),0)</f>
        <v>0</v>
      </c>
      <c r="EI305" s="28">
        <f>IF(EI301=1,IF(INDEX('Lease Cycles'!$EF$25:$EL$25,1,EI299)=1,EI302*INDEX('Lease Cycles'!$EM$25:$ES$25,1,EI299)+EI303*IF(EI300&lt;INDEX('Lease Cycles'!$FA$25:$FG$25,1,EI299),0,1-INDEX('Lease Cycles'!$EM$25:$ES$25,1,EI299)),EI302*IF(EI300&lt;INDEX('Lease Cycles'!$DK$25:$DQ$25,1,EI299),0,IF(EI300=INDEX('Lease Cycles'!$DK$25:$DQ$25,1,EI299),1-INDEX('Lease Cycles'!$DR$25:$DX$25,1,EI299),1))),0)</f>
        <v>0</v>
      </c>
      <c r="EJ305" s="28">
        <f>IF(EJ301=1,IF(INDEX('Lease Cycles'!$EF$25:$EL$25,1,EJ299)=1,EJ302*INDEX('Lease Cycles'!$EM$25:$ES$25,1,EJ299)+EJ303*IF(EJ300&lt;INDEX('Lease Cycles'!$FA$25:$FG$25,1,EJ299),0,1-INDEX('Lease Cycles'!$EM$25:$ES$25,1,EJ299)),EJ302*IF(EJ300&lt;INDEX('Lease Cycles'!$DK$25:$DQ$25,1,EJ299),0,IF(EJ300=INDEX('Lease Cycles'!$DK$25:$DQ$25,1,EJ299),1-INDEX('Lease Cycles'!$DR$25:$DX$25,1,EJ299),1))),0)</f>
        <v>0</v>
      </c>
      <c r="EK305" s="28">
        <f>IF(EK301=1,IF(INDEX('Lease Cycles'!$EF$25:$EL$25,1,EK299)=1,EK302*INDEX('Lease Cycles'!$EM$25:$ES$25,1,EK299)+EK303*IF(EK300&lt;INDEX('Lease Cycles'!$FA$25:$FG$25,1,EK299),0,1-INDEX('Lease Cycles'!$EM$25:$ES$25,1,EK299)),EK302*IF(EK300&lt;INDEX('Lease Cycles'!$DK$25:$DQ$25,1,EK299),0,IF(EK300=INDEX('Lease Cycles'!$DK$25:$DQ$25,1,EK299),1-INDEX('Lease Cycles'!$DR$25:$DX$25,1,EK299),1))),0)</f>
        <v>0</v>
      </c>
      <c r="EL305" s="28">
        <f>IF(EL301=1,IF(INDEX('Lease Cycles'!$EF$25:$EL$25,1,EL299)=1,EL302*INDEX('Lease Cycles'!$EM$25:$ES$25,1,EL299)+EL303*IF(EL300&lt;INDEX('Lease Cycles'!$FA$25:$FG$25,1,EL299),0,1-INDEX('Lease Cycles'!$EM$25:$ES$25,1,EL299)),EL302*IF(EL300&lt;INDEX('Lease Cycles'!$DK$25:$DQ$25,1,EL299),0,IF(EL300=INDEX('Lease Cycles'!$DK$25:$DQ$25,1,EL299),1-INDEX('Lease Cycles'!$DR$25:$DX$25,1,EL299),1))),0)</f>
        <v>0</v>
      </c>
      <c r="EM305" s="28">
        <f>IF(EM301=1,IF(INDEX('Lease Cycles'!$EF$25:$EL$25,1,EM299)=1,EM302*INDEX('Lease Cycles'!$EM$25:$ES$25,1,EM299)+EM303*IF(EM300&lt;INDEX('Lease Cycles'!$FA$25:$FG$25,1,EM299),0,1-INDEX('Lease Cycles'!$EM$25:$ES$25,1,EM299)),EM302*IF(EM300&lt;INDEX('Lease Cycles'!$DK$25:$DQ$25,1,EM299),0,IF(EM300=INDEX('Lease Cycles'!$DK$25:$DQ$25,1,EM299),1-INDEX('Lease Cycles'!$DR$25:$DX$25,1,EM299),1))),0)</f>
        <v>0</v>
      </c>
      <c r="EN305" s="28">
        <f>IF(EN301=1,IF(INDEX('Lease Cycles'!$EF$25:$EL$25,1,EN299)=1,EN302*INDEX('Lease Cycles'!$EM$25:$ES$25,1,EN299)+EN303*IF(EN300&lt;INDEX('Lease Cycles'!$FA$25:$FG$25,1,EN299),0,1-INDEX('Lease Cycles'!$EM$25:$ES$25,1,EN299)),EN302*IF(EN300&lt;INDEX('Lease Cycles'!$DK$25:$DQ$25,1,EN299),0,IF(EN300=INDEX('Lease Cycles'!$DK$25:$DQ$25,1,EN299),1-INDEX('Lease Cycles'!$DR$25:$DX$25,1,EN299),1))),0)</f>
        <v>0</v>
      </c>
      <c r="EO305" s="28">
        <f>IF(EO301=1,IF(INDEX('Lease Cycles'!$EF$25:$EL$25,1,EO299)=1,EO302*INDEX('Lease Cycles'!$EM$25:$ES$25,1,EO299)+EO303*IF(EO300&lt;INDEX('Lease Cycles'!$FA$25:$FG$25,1,EO299),0,1-INDEX('Lease Cycles'!$EM$25:$ES$25,1,EO299)),EO302*IF(EO300&lt;INDEX('Lease Cycles'!$DK$25:$DQ$25,1,EO299),0,IF(EO300=INDEX('Lease Cycles'!$DK$25:$DQ$25,1,EO299),1-INDEX('Lease Cycles'!$DR$25:$DX$25,1,EO299),1))),0)</f>
        <v>0</v>
      </c>
      <c r="EP305" s="28">
        <f>IF(EP301=1,IF(INDEX('Lease Cycles'!$EF$25:$EL$25,1,EP299)=1,EP302*INDEX('Lease Cycles'!$EM$25:$ES$25,1,EP299)+EP303*IF(EP300&lt;INDEX('Lease Cycles'!$FA$25:$FG$25,1,EP299),0,1-INDEX('Lease Cycles'!$EM$25:$ES$25,1,EP299)),EP302*IF(EP300&lt;INDEX('Lease Cycles'!$DK$25:$DQ$25,1,EP299),0,IF(EP300=INDEX('Lease Cycles'!$DK$25:$DQ$25,1,EP299),1-INDEX('Lease Cycles'!$DR$25:$DX$25,1,EP299),1))),0)</f>
        <v>0</v>
      </c>
      <c r="EQ305" s="28">
        <f>IF(EQ301=1,IF(INDEX('Lease Cycles'!$EF$25:$EL$25,1,EQ299)=1,EQ302*INDEX('Lease Cycles'!$EM$25:$ES$25,1,EQ299)+EQ303*IF(EQ300&lt;INDEX('Lease Cycles'!$FA$25:$FG$25,1,EQ299),0,1-INDEX('Lease Cycles'!$EM$25:$ES$25,1,EQ299)),EQ302*IF(EQ300&lt;INDEX('Lease Cycles'!$DK$25:$DQ$25,1,EQ299),0,IF(EQ300=INDEX('Lease Cycles'!$DK$25:$DQ$25,1,EQ299),1-INDEX('Lease Cycles'!$DR$25:$DX$25,1,EQ299),1))),0)</f>
        <v>0</v>
      </c>
      <c r="ER305" s="28">
        <f>IF(ER301=1,IF(INDEX('Lease Cycles'!$EF$25:$EL$25,1,ER299)=1,ER302*INDEX('Lease Cycles'!$EM$25:$ES$25,1,ER299)+ER303*IF(ER300&lt;INDEX('Lease Cycles'!$FA$25:$FG$25,1,ER299),0,1-INDEX('Lease Cycles'!$EM$25:$ES$25,1,ER299)),ER302*IF(ER300&lt;INDEX('Lease Cycles'!$DK$25:$DQ$25,1,ER299),0,IF(ER300=INDEX('Lease Cycles'!$DK$25:$DQ$25,1,ER299),1-INDEX('Lease Cycles'!$DR$25:$DX$25,1,ER299),1))),0)</f>
        <v>0</v>
      </c>
      <c r="ES305" s="28">
        <f>IF(ES301=1,IF(INDEX('Lease Cycles'!$EF$25:$EL$25,1,ES299)=1,ES302*INDEX('Lease Cycles'!$EM$25:$ES$25,1,ES299)+ES303*IF(ES300&lt;INDEX('Lease Cycles'!$FA$25:$FG$25,1,ES299),0,1-INDEX('Lease Cycles'!$EM$25:$ES$25,1,ES299)),ES302*IF(ES300&lt;INDEX('Lease Cycles'!$DK$25:$DQ$25,1,ES299),0,IF(ES300=INDEX('Lease Cycles'!$DK$25:$DQ$25,1,ES299),1-INDEX('Lease Cycles'!$DR$25:$DX$25,1,ES299),1))),0)</f>
        <v>0</v>
      </c>
      <c r="ET305" s="28">
        <f>IF(ET301=1,IF(INDEX('Lease Cycles'!$EF$25:$EL$25,1,ET299)=1,ET302*INDEX('Lease Cycles'!$EM$25:$ES$25,1,ET299)+ET303*IF(ET300&lt;INDEX('Lease Cycles'!$FA$25:$FG$25,1,ET299),0,1-INDEX('Lease Cycles'!$EM$25:$ES$25,1,ET299)),ET302*IF(ET300&lt;INDEX('Lease Cycles'!$DK$25:$DQ$25,1,ET299),0,IF(ET300=INDEX('Lease Cycles'!$DK$25:$DQ$25,1,ET299),1-INDEX('Lease Cycles'!$DR$25:$DX$25,1,ET299),1))),0)</f>
        <v>0</v>
      </c>
    </row>
    <row r="306">
      <c r="A306" s="103">
        <v>18</v>
      </c>
      <c r="B306" s="23" t="str">
        <f>IF('Lease Cycles'!$B$25="","(empty slot)",'Lease Cycles'!$B$25)</f>
        <v>(empty slot)</v>
      </c>
      <c r="C306" s="23" t="s">
        <v>493</v>
      </c>
      <c r="D306" s="104" t="s">
        <v>494</v>
      </c>
      <c r="E306" s="25">
        <f>'Lease Cycles'!$AL$25</f>
        <v>0</v>
      </c>
      <c r="G306" s="28">
        <f>SUM(S306:AD306)</f>
        <v>0</v>
      </c>
      <c r="H306" s="28">
        <f>SUM(AE306:AP306)</f>
        <v>0</v>
      </c>
      <c r="I306" s="28">
        <f>SUM(AQ306:BB306)</f>
        <v>0</v>
      </c>
      <c r="J306" s="28">
        <f>SUM(BC306:BN306)</f>
        <v>0</v>
      </c>
      <c r="K306" s="28">
        <f>SUM(BO306:BZ306)</f>
        <v>0</v>
      </c>
      <c r="L306" s="28">
        <f>SUM(CA306:CL306)</f>
        <v>0</v>
      </c>
      <c r="M306" s="28">
        <f>SUM(CM306:CX306)</f>
        <v>0</v>
      </c>
      <c r="N306" s="28">
        <f>SUM(CY306:DJ306)</f>
        <v>0</v>
      </c>
      <c r="O306" s="28">
        <f>SUM(DK306:DV306)</f>
        <v>0</v>
      </c>
      <c r="P306" s="28">
        <f>SUM(DW306:EH306)</f>
        <v>0</v>
      </c>
      <c r="Q306" s="28">
        <f>SUM(EI306:ET306)</f>
        <v>0</v>
      </c>
      <c r="S306" s="28">
        <f>IF(S301=1,IF(INDEX('Lease Cycles'!$EF$25:$EL$25,1,S299)=1,0,S302*(1-IF(S300&lt;INDEX('Lease Cycles'!$DK$25:$DQ$25,1,S299),0,IF(S300=INDEX('Lease Cycles'!$DK$25:$DQ$25,1,S299),1-INDEX('Lease Cycles'!$DR$25:$DX$25,1,S299),1))-IF(S300=0,INDEX('Lease Cycles'!$DD$25:$DJ$25,1,S299),0))),0)</f>
        <v>0</v>
      </c>
      <c r="T306" s="28">
        <f>IF(T301=1,IF(INDEX('Lease Cycles'!$EF$25:$EL$25,1,T299)=1,0,T302*(1-IF(T300&lt;INDEX('Lease Cycles'!$DK$25:$DQ$25,1,T299),0,IF(T300=INDEX('Lease Cycles'!$DK$25:$DQ$25,1,T299),1-INDEX('Lease Cycles'!$DR$25:$DX$25,1,T299),1))-IF(T300=0,INDEX('Lease Cycles'!$DD$25:$DJ$25,1,T299),0))),0)</f>
        <v>0</v>
      </c>
      <c r="U306" s="28">
        <f>IF(U301=1,IF(INDEX('Lease Cycles'!$EF$25:$EL$25,1,U299)=1,0,U302*(1-IF(U300&lt;INDEX('Lease Cycles'!$DK$25:$DQ$25,1,U299),0,IF(U300=INDEX('Lease Cycles'!$DK$25:$DQ$25,1,U299),1-INDEX('Lease Cycles'!$DR$25:$DX$25,1,U299),1))-IF(U300=0,INDEX('Lease Cycles'!$DD$25:$DJ$25,1,U299),0))),0)</f>
        <v>0</v>
      </c>
      <c r="V306" s="28">
        <f>IF(V301=1,IF(INDEX('Lease Cycles'!$EF$25:$EL$25,1,V299)=1,0,V302*(1-IF(V300&lt;INDEX('Lease Cycles'!$DK$25:$DQ$25,1,V299),0,IF(V300=INDEX('Lease Cycles'!$DK$25:$DQ$25,1,V299),1-INDEX('Lease Cycles'!$DR$25:$DX$25,1,V299),1))-IF(V300=0,INDEX('Lease Cycles'!$DD$25:$DJ$25,1,V299),0))),0)</f>
        <v>0</v>
      </c>
      <c r="W306" s="28">
        <f>IF(W301=1,IF(INDEX('Lease Cycles'!$EF$25:$EL$25,1,W299)=1,0,W302*(1-IF(W300&lt;INDEX('Lease Cycles'!$DK$25:$DQ$25,1,W299),0,IF(W300=INDEX('Lease Cycles'!$DK$25:$DQ$25,1,W299),1-INDEX('Lease Cycles'!$DR$25:$DX$25,1,W299),1))-IF(W300=0,INDEX('Lease Cycles'!$DD$25:$DJ$25,1,W299),0))),0)</f>
        <v>0</v>
      </c>
      <c r="X306" s="28">
        <f>IF(X301=1,IF(INDEX('Lease Cycles'!$EF$25:$EL$25,1,X299)=1,0,X302*(1-IF(X300&lt;INDEX('Lease Cycles'!$DK$25:$DQ$25,1,X299),0,IF(X300=INDEX('Lease Cycles'!$DK$25:$DQ$25,1,X299),1-INDEX('Lease Cycles'!$DR$25:$DX$25,1,X299),1))-IF(X300=0,INDEX('Lease Cycles'!$DD$25:$DJ$25,1,X299),0))),0)</f>
        <v>0</v>
      </c>
      <c r="Y306" s="28">
        <f>IF(Y301=1,IF(INDEX('Lease Cycles'!$EF$25:$EL$25,1,Y299)=1,0,Y302*(1-IF(Y300&lt;INDEX('Lease Cycles'!$DK$25:$DQ$25,1,Y299),0,IF(Y300=INDEX('Lease Cycles'!$DK$25:$DQ$25,1,Y299),1-INDEX('Lease Cycles'!$DR$25:$DX$25,1,Y299),1))-IF(Y300=0,INDEX('Lease Cycles'!$DD$25:$DJ$25,1,Y299),0))),0)</f>
        <v>0</v>
      </c>
      <c r="Z306" s="28">
        <f>IF(Z301=1,IF(INDEX('Lease Cycles'!$EF$25:$EL$25,1,Z299)=1,0,Z302*(1-IF(Z300&lt;INDEX('Lease Cycles'!$DK$25:$DQ$25,1,Z299),0,IF(Z300=INDEX('Lease Cycles'!$DK$25:$DQ$25,1,Z299),1-INDEX('Lease Cycles'!$DR$25:$DX$25,1,Z299),1))-IF(Z300=0,INDEX('Lease Cycles'!$DD$25:$DJ$25,1,Z299),0))),0)</f>
        <v>0</v>
      </c>
      <c r="AA306" s="28">
        <f>IF(AA301=1,IF(INDEX('Lease Cycles'!$EF$25:$EL$25,1,AA299)=1,0,AA302*(1-IF(AA300&lt;INDEX('Lease Cycles'!$DK$25:$DQ$25,1,AA299),0,IF(AA300=INDEX('Lease Cycles'!$DK$25:$DQ$25,1,AA299),1-INDEX('Lease Cycles'!$DR$25:$DX$25,1,AA299),1))-IF(AA300=0,INDEX('Lease Cycles'!$DD$25:$DJ$25,1,AA299),0))),0)</f>
        <v>0</v>
      </c>
      <c r="AB306" s="28">
        <f>IF(AB301=1,IF(INDEX('Lease Cycles'!$EF$25:$EL$25,1,AB299)=1,0,AB302*(1-IF(AB300&lt;INDEX('Lease Cycles'!$DK$25:$DQ$25,1,AB299),0,IF(AB300=INDEX('Lease Cycles'!$DK$25:$DQ$25,1,AB299),1-INDEX('Lease Cycles'!$DR$25:$DX$25,1,AB299),1))-IF(AB300=0,INDEX('Lease Cycles'!$DD$25:$DJ$25,1,AB299),0))),0)</f>
        <v>0</v>
      </c>
      <c r="AC306" s="28">
        <f>IF(AC301=1,IF(INDEX('Lease Cycles'!$EF$25:$EL$25,1,AC299)=1,0,AC302*(1-IF(AC300&lt;INDEX('Lease Cycles'!$DK$25:$DQ$25,1,AC299),0,IF(AC300=INDEX('Lease Cycles'!$DK$25:$DQ$25,1,AC299),1-INDEX('Lease Cycles'!$DR$25:$DX$25,1,AC299),1))-IF(AC300=0,INDEX('Lease Cycles'!$DD$25:$DJ$25,1,AC299),0))),0)</f>
        <v>0</v>
      </c>
      <c r="AD306" s="28">
        <f>IF(AD301=1,IF(INDEX('Lease Cycles'!$EF$25:$EL$25,1,AD299)=1,0,AD302*(1-IF(AD300&lt;INDEX('Lease Cycles'!$DK$25:$DQ$25,1,AD299),0,IF(AD300=INDEX('Lease Cycles'!$DK$25:$DQ$25,1,AD299),1-INDEX('Lease Cycles'!$DR$25:$DX$25,1,AD299),1))-IF(AD300=0,INDEX('Lease Cycles'!$DD$25:$DJ$25,1,AD299),0))),0)</f>
        <v>0</v>
      </c>
      <c r="AE306" s="28">
        <f>IF(AE301=1,IF(INDEX('Lease Cycles'!$EF$25:$EL$25,1,AE299)=1,0,AE302*(1-IF(AE300&lt;INDEX('Lease Cycles'!$DK$25:$DQ$25,1,AE299),0,IF(AE300=INDEX('Lease Cycles'!$DK$25:$DQ$25,1,AE299),1-INDEX('Lease Cycles'!$DR$25:$DX$25,1,AE299),1))-IF(AE300=0,INDEX('Lease Cycles'!$DD$25:$DJ$25,1,AE299),0))),0)</f>
        <v>0</v>
      </c>
      <c r="AF306" s="28">
        <f>IF(AF301=1,IF(INDEX('Lease Cycles'!$EF$25:$EL$25,1,AF299)=1,0,AF302*(1-IF(AF300&lt;INDEX('Lease Cycles'!$DK$25:$DQ$25,1,AF299),0,IF(AF300=INDEX('Lease Cycles'!$DK$25:$DQ$25,1,AF299),1-INDEX('Lease Cycles'!$DR$25:$DX$25,1,AF299),1))-IF(AF300=0,INDEX('Lease Cycles'!$DD$25:$DJ$25,1,AF299),0))),0)</f>
        <v>0</v>
      </c>
      <c r="AG306" s="28">
        <f>IF(AG301=1,IF(INDEX('Lease Cycles'!$EF$25:$EL$25,1,AG299)=1,0,AG302*(1-IF(AG300&lt;INDEX('Lease Cycles'!$DK$25:$DQ$25,1,AG299),0,IF(AG300=INDEX('Lease Cycles'!$DK$25:$DQ$25,1,AG299),1-INDEX('Lease Cycles'!$DR$25:$DX$25,1,AG299),1))-IF(AG300=0,INDEX('Lease Cycles'!$DD$25:$DJ$25,1,AG299),0))),0)</f>
        <v>0</v>
      </c>
      <c r="AH306" s="28">
        <f>IF(AH301=1,IF(INDEX('Lease Cycles'!$EF$25:$EL$25,1,AH299)=1,0,AH302*(1-IF(AH300&lt;INDEX('Lease Cycles'!$DK$25:$DQ$25,1,AH299),0,IF(AH300=INDEX('Lease Cycles'!$DK$25:$DQ$25,1,AH299),1-INDEX('Lease Cycles'!$DR$25:$DX$25,1,AH299),1))-IF(AH300=0,INDEX('Lease Cycles'!$DD$25:$DJ$25,1,AH299),0))),0)</f>
        <v>0</v>
      </c>
      <c r="AI306" s="28">
        <f>IF(AI301=1,IF(INDEX('Lease Cycles'!$EF$25:$EL$25,1,AI299)=1,0,AI302*(1-IF(AI300&lt;INDEX('Lease Cycles'!$DK$25:$DQ$25,1,AI299),0,IF(AI300=INDEX('Lease Cycles'!$DK$25:$DQ$25,1,AI299),1-INDEX('Lease Cycles'!$DR$25:$DX$25,1,AI299),1))-IF(AI300=0,INDEX('Lease Cycles'!$DD$25:$DJ$25,1,AI299),0))),0)</f>
        <v>0</v>
      </c>
      <c r="AJ306" s="28">
        <f>IF(AJ301=1,IF(INDEX('Lease Cycles'!$EF$25:$EL$25,1,AJ299)=1,0,AJ302*(1-IF(AJ300&lt;INDEX('Lease Cycles'!$DK$25:$DQ$25,1,AJ299),0,IF(AJ300=INDEX('Lease Cycles'!$DK$25:$DQ$25,1,AJ299),1-INDEX('Lease Cycles'!$DR$25:$DX$25,1,AJ299),1))-IF(AJ300=0,INDEX('Lease Cycles'!$DD$25:$DJ$25,1,AJ299),0))),0)</f>
        <v>0</v>
      </c>
      <c r="AK306" s="28">
        <f>IF(AK301=1,IF(INDEX('Lease Cycles'!$EF$25:$EL$25,1,AK299)=1,0,AK302*(1-IF(AK300&lt;INDEX('Lease Cycles'!$DK$25:$DQ$25,1,AK299),0,IF(AK300=INDEX('Lease Cycles'!$DK$25:$DQ$25,1,AK299),1-INDEX('Lease Cycles'!$DR$25:$DX$25,1,AK299),1))-IF(AK300=0,INDEX('Lease Cycles'!$DD$25:$DJ$25,1,AK299),0))),0)</f>
        <v>0</v>
      </c>
      <c r="AL306" s="28">
        <f>IF(AL301=1,IF(INDEX('Lease Cycles'!$EF$25:$EL$25,1,AL299)=1,0,AL302*(1-IF(AL300&lt;INDEX('Lease Cycles'!$DK$25:$DQ$25,1,AL299),0,IF(AL300=INDEX('Lease Cycles'!$DK$25:$DQ$25,1,AL299),1-INDEX('Lease Cycles'!$DR$25:$DX$25,1,AL299),1))-IF(AL300=0,INDEX('Lease Cycles'!$DD$25:$DJ$25,1,AL299),0))),0)</f>
        <v>0</v>
      </c>
      <c r="AM306" s="28">
        <f>IF(AM301=1,IF(INDEX('Lease Cycles'!$EF$25:$EL$25,1,AM299)=1,0,AM302*(1-IF(AM300&lt;INDEX('Lease Cycles'!$DK$25:$DQ$25,1,AM299),0,IF(AM300=INDEX('Lease Cycles'!$DK$25:$DQ$25,1,AM299),1-INDEX('Lease Cycles'!$DR$25:$DX$25,1,AM299),1))-IF(AM300=0,INDEX('Lease Cycles'!$DD$25:$DJ$25,1,AM299),0))),0)</f>
        <v>0</v>
      </c>
      <c r="AN306" s="28">
        <f>IF(AN301=1,IF(INDEX('Lease Cycles'!$EF$25:$EL$25,1,AN299)=1,0,AN302*(1-IF(AN300&lt;INDEX('Lease Cycles'!$DK$25:$DQ$25,1,AN299),0,IF(AN300=INDEX('Lease Cycles'!$DK$25:$DQ$25,1,AN299),1-INDEX('Lease Cycles'!$DR$25:$DX$25,1,AN299),1))-IF(AN300=0,INDEX('Lease Cycles'!$DD$25:$DJ$25,1,AN299),0))),0)</f>
        <v>0</v>
      </c>
      <c r="AO306" s="28">
        <f>IF(AO301=1,IF(INDEX('Lease Cycles'!$EF$25:$EL$25,1,AO299)=1,0,AO302*(1-IF(AO300&lt;INDEX('Lease Cycles'!$DK$25:$DQ$25,1,AO299),0,IF(AO300=INDEX('Lease Cycles'!$DK$25:$DQ$25,1,AO299),1-INDEX('Lease Cycles'!$DR$25:$DX$25,1,AO299),1))-IF(AO300=0,INDEX('Lease Cycles'!$DD$25:$DJ$25,1,AO299),0))),0)</f>
        <v>0</v>
      </c>
      <c r="AP306" s="28">
        <f>IF(AP301=1,IF(INDEX('Lease Cycles'!$EF$25:$EL$25,1,AP299)=1,0,AP302*(1-IF(AP300&lt;INDEX('Lease Cycles'!$DK$25:$DQ$25,1,AP299),0,IF(AP300=INDEX('Lease Cycles'!$DK$25:$DQ$25,1,AP299),1-INDEX('Lease Cycles'!$DR$25:$DX$25,1,AP299),1))-IF(AP300=0,INDEX('Lease Cycles'!$DD$25:$DJ$25,1,AP299),0))),0)</f>
        <v>0</v>
      </c>
      <c r="AQ306" s="28">
        <f>IF(AQ301=1,IF(INDEX('Lease Cycles'!$EF$25:$EL$25,1,AQ299)=1,0,AQ302*(1-IF(AQ300&lt;INDEX('Lease Cycles'!$DK$25:$DQ$25,1,AQ299),0,IF(AQ300=INDEX('Lease Cycles'!$DK$25:$DQ$25,1,AQ299),1-INDEX('Lease Cycles'!$DR$25:$DX$25,1,AQ299),1))-IF(AQ300=0,INDEX('Lease Cycles'!$DD$25:$DJ$25,1,AQ299),0))),0)</f>
        <v>0</v>
      </c>
      <c r="AR306" s="28">
        <f>IF(AR301=1,IF(INDEX('Lease Cycles'!$EF$25:$EL$25,1,AR299)=1,0,AR302*(1-IF(AR300&lt;INDEX('Lease Cycles'!$DK$25:$DQ$25,1,AR299),0,IF(AR300=INDEX('Lease Cycles'!$DK$25:$DQ$25,1,AR299),1-INDEX('Lease Cycles'!$DR$25:$DX$25,1,AR299),1))-IF(AR300=0,INDEX('Lease Cycles'!$DD$25:$DJ$25,1,AR299),0))),0)</f>
        <v>0</v>
      </c>
      <c r="AS306" s="28">
        <f>IF(AS301=1,IF(INDEX('Lease Cycles'!$EF$25:$EL$25,1,AS299)=1,0,AS302*(1-IF(AS300&lt;INDEX('Lease Cycles'!$DK$25:$DQ$25,1,AS299),0,IF(AS300=INDEX('Lease Cycles'!$DK$25:$DQ$25,1,AS299),1-INDEX('Lease Cycles'!$DR$25:$DX$25,1,AS299),1))-IF(AS300=0,INDEX('Lease Cycles'!$DD$25:$DJ$25,1,AS299),0))),0)</f>
        <v>0</v>
      </c>
      <c r="AT306" s="28">
        <f>IF(AT301=1,IF(INDEX('Lease Cycles'!$EF$25:$EL$25,1,AT299)=1,0,AT302*(1-IF(AT300&lt;INDEX('Lease Cycles'!$DK$25:$DQ$25,1,AT299),0,IF(AT300=INDEX('Lease Cycles'!$DK$25:$DQ$25,1,AT299),1-INDEX('Lease Cycles'!$DR$25:$DX$25,1,AT299),1))-IF(AT300=0,INDEX('Lease Cycles'!$DD$25:$DJ$25,1,AT299),0))),0)</f>
        <v>0</v>
      </c>
      <c r="AU306" s="28">
        <f>IF(AU301=1,IF(INDEX('Lease Cycles'!$EF$25:$EL$25,1,AU299)=1,0,AU302*(1-IF(AU300&lt;INDEX('Lease Cycles'!$DK$25:$DQ$25,1,AU299),0,IF(AU300=INDEX('Lease Cycles'!$DK$25:$DQ$25,1,AU299),1-INDEX('Lease Cycles'!$DR$25:$DX$25,1,AU299),1))-IF(AU300=0,INDEX('Lease Cycles'!$DD$25:$DJ$25,1,AU299),0))),0)</f>
        <v>0</v>
      </c>
      <c r="AV306" s="28">
        <f>IF(AV301=1,IF(INDEX('Lease Cycles'!$EF$25:$EL$25,1,AV299)=1,0,AV302*(1-IF(AV300&lt;INDEX('Lease Cycles'!$DK$25:$DQ$25,1,AV299),0,IF(AV300=INDEX('Lease Cycles'!$DK$25:$DQ$25,1,AV299),1-INDEX('Lease Cycles'!$DR$25:$DX$25,1,AV299),1))-IF(AV300=0,INDEX('Lease Cycles'!$DD$25:$DJ$25,1,AV299),0))),0)</f>
        <v>0</v>
      </c>
      <c r="AW306" s="28">
        <f>IF(AW301=1,IF(INDEX('Lease Cycles'!$EF$25:$EL$25,1,AW299)=1,0,AW302*(1-IF(AW300&lt;INDEX('Lease Cycles'!$DK$25:$DQ$25,1,AW299),0,IF(AW300=INDEX('Lease Cycles'!$DK$25:$DQ$25,1,AW299),1-INDEX('Lease Cycles'!$DR$25:$DX$25,1,AW299),1))-IF(AW300=0,INDEX('Lease Cycles'!$DD$25:$DJ$25,1,AW299),0))),0)</f>
        <v>0</v>
      </c>
      <c r="AX306" s="28">
        <f>IF(AX301=1,IF(INDEX('Lease Cycles'!$EF$25:$EL$25,1,AX299)=1,0,AX302*(1-IF(AX300&lt;INDEX('Lease Cycles'!$DK$25:$DQ$25,1,AX299),0,IF(AX300=INDEX('Lease Cycles'!$DK$25:$DQ$25,1,AX299),1-INDEX('Lease Cycles'!$DR$25:$DX$25,1,AX299),1))-IF(AX300=0,INDEX('Lease Cycles'!$DD$25:$DJ$25,1,AX299),0))),0)</f>
        <v>0</v>
      </c>
      <c r="AY306" s="28">
        <f>IF(AY301=1,IF(INDEX('Lease Cycles'!$EF$25:$EL$25,1,AY299)=1,0,AY302*(1-IF(AY300&lt;INDEX('Lease Cycles'!$DK$25:$DQ$25,1,AY299),0,IF(AY300=INDEX('Lease Cycles'!$DK$25:$DQ$25,1,AY299),1-INDEX('Lease Cycles'!$DR$25:$DX$25,1,AY299),1))-IF(AY300=0,INDEX('Lease Cycles'!$DD$25:$DJ$25,1,AY299),0))),0)</f>
        <v>0</v>
      </c>
      <c r="AZ306" s="28">
        <f>IF(AZ301=1,IF(INDEX('Lease Cycles'!$EF$25:$EL$25,1,AZ299)=1,0,AZ302*(1-IF(AZ300&lt;INDEX('Lease Cycles'!$DK$25:$DQ$25,1,AZ299),0,IF(AZ300=INDEX('Lease Cycles'!$DK$25:$DQ$25,1,AZ299),1-INDEX('Lease Cycles'!$DR$25:$DX$25,1,AZ299),1))-IF(AZ300=0,INDEX('Lease Cycles'!$DD$25:$DJ$25,1,AZ299),0))),0)</f>
        <v>0</v>
      </c>
      <c r="BA306" s="28">
        <f>IF(BA301=1,IF(INDEX('Lease Cycles'!$EF$25:$EL$25,1,BA299)=1,0,BA302*(1-IF(BA300&lt;INDEX('Lease Cycles'!$DK$25:$DQ$25,1,BA299),0,IF(BA300=INDEX('Lease Cycles'!$DK$25:$DQ$25,1,BA299),1-INDEX('Lease Cycles'!$DR$25:$DX$25,1,BA299),1))-IF(BA300=0,INDEX('Lease Cycles'!$DD$25:$DJ$25,1,BA299),0))),0)</f>
        <v>0</v>
      </c>
      <c r="BB306" s="28">
        <f>IF(BB301=1,IF(INDEX('Lease Cycles'!$EF$25:$EL$25,1,BB299)=1,0,BB302*(1-IF(BB300&lt;INDEX('Lease Cycles'!$DK$25:$DQ$25,1,BB299),0,IF(BB300=INDEX('Lease Cycles'!$DK$25:$DQ$25,1,BB299),1-INDEX('Lease Cycles'!$DR$25:$DX$25,1,BB299),1))-IF(BB300=0,INDEX('Lease Cycles'!$DD$25:$DJ$25,1,BB299),0))),0)</f>
        <v>0</v>
      </c>
      <c r="BC306" s="28">
        <f>IF(BC301=1,IF(INDEX('Lease Cycles'!$EF$25:$EL$25,1,BC299)=1,0,BC302*(1-IF(BC300&lt;INDEX('Lease Cycles'!$DK$25:$DQ$25,1,BC299),0,IF(BC300=INDEX('Lease Cycles'!$DK$25:$DQ$25,1,BC299),1-INDEX('Lease Cycles'!$DR$25:$DX$25,1,BC299),1))-IF(BC300=0,INDEX('Lease Cycles'!$DD$25:$DJ$25,1,BC299),0))),0)</f>
        <v>0</v>
      </c>
      <c r="BD306" s="28">
        <f>IF(BD301=1,IF(INDEX('Lease Cycles'!$EF$25:$EL$25,1,BD299)=1,0,BD302*(1-IF(BD300&lt;INDEX('Lease Cycles'!$DK$25:$DQ$25,1,BD299),0,IF(BD300=INDEX('Lease Cycles'!$DK$25:$DQ$25,1,BD299),1-INDEX('Lease Cycles'!$DR$25:$DX$25,1,BD299),1))-IF(BD300=0,INDEX('Lease Cycles'!$DD$25:$DJ$25,1,BD299),0))),0)</f>
        <v>0</v>
      </c>
      <c r="BE306" s="28">
        <f>IF(BE301=1,IF(INDEX('Lease Cycles'!$EF$25:$EL$25,1,BE299)=1,0,BE302*(1-IF(BE300&lt;INDEX('Lease Cycles'!$DK$25:$DQ$25,1,BE299),0,IF(BE300=INDEX('Lease Cycles'!$DK$25:$DQ$25,1,BE299),1-INDEX('Lease Cycles'!$DR$25:$DX$25,1,BE299),1))-IF(BE300=0,INDEX('Lease Cycles'!$DD$25:$DJ$25,1,BE299),0))),0)</f>
        <v>0</v>
      </c>
      <c r="BF306" s="28">
        <f>IF(BF301=1,IF(INDEX('Lease Cycles'!$EF$25:$EL$25,1,BF299)=1,0,BF302*(1-IF(BF300&lt;INDEX('Lease Cycles'!$DK$25:$DQ$25,1,BF299),0,IF(BF300=INDEX('Lease Cycles'!$DK$25:$DQ$25,1,BF299),1-INDEX('Lease Cycles'!$DR$25:$DX$25,1,BF299),1))-IF(BF300=0,INDEX('Lease Cycles'!$DD$25:$DJ$25,1,BF299),0))),0)</f>
        <v>0</v>
      </c>
      <c r="BG306" s="28">
        <f>IF(BG301=1,IF(INDEX('Lease Cycles'!$EF$25:$EL$25,1,BG299)=1,0,BG302*(1-IF(BG300&lt;INDEX('Lease Cycles'!$DK$25:$DQ$25,1,BG299),0,IF(BG300=INDEX('Lease Cycles'!$DK$25:$DQ$25,1,BG299),1-INDEX('Lease Cycles'!$DR$25:$DX$25,1,BG299),1))-IF(BG300=0,INDEX('Lease Cycles'!$DD$25:$DJ$25,1,BG299),0))),0)</f>
        <v>0</v>
      </c>
      <c r="BH306" s="28">
        <f>IF(BH301=1,IF(INDEX('Lease Cycles'!$EF$25:$EL$25,1,BH299)=1,0,BH302*(1-IF(BH300&lt;INDEX('Lease Cycles'!$DK$25:$DQ$25,1,BH299),0,IF(BH300=INDEX('Lease Cycles'!$DK$25:$DQ$25,1,BH299),1-INDEX('Lease Cycles'!$DR$25:$DX$25,1,BH299),1))-IF(BH300=0,INDEX('Lease Cycles'!$DD$25:$DJ$25,1,BH299),0))),0)</f>
        <v>0</v>
      </c>
      <c r="BI306" s="28">
        <f>IF(BI301=1,IF(INDEX('Lease Cycles'!$EF$25:$EL$25,1,BI299)=1,0,BI302*(1-IF(BI300&lt;INDEX('Lease Cycles'!$DK$25:$DQ$25,1,BI299),0,IF(BI300=INDEX('Lease Cycles'!$DK$25:$DQ$25,1,BI299),1-INDEX('Lease Cycles'!$DR$25:$DX$25,1,BI299),1))-IF(BI300=0,INDEX('Lease Cycles'!$DD$25:$DJ$25,1,BI299),0))),0)</f>
        <v>0</v>
      </c>
      <c r="BJ306" s="28">
        <f>IF(BJ301=1,IF(INDEX('Lease Cycles'!$EF$25:$EL$25,1,BJ299)=1,0,BJ302*(1-IF(BJ300&lt;INDEX('Lease Cycles'!$DK$25:$DQ$25,1,BJ299),0,IF(BJ300=INDEX('Lease Cycles'!$DK$25:$DQ$25,1,BJ299),1-INDEX('Lease Cycles'!$DR$25:$DX$25,1,BJ299),1))-IF(BJ300=0,INDEX('Lease Cycles'!$DD$25:$DJ$25,1,BJ299),0))),0)</f>
        <v>0</v>
      </c>
      <c r="BK306" s="28">
        <f>IF(BK301=1,IF(INDEX('Lease Cycles'!$EF$25:$EL$25,1,BK299)=1,0,BK302*(1-IF(BK300&lt;INDEX('Lease Cycles'!$DK$25:$DQ$25,1,BK299),0,IF(BK300=INDEX('Lease Cycles'!$DK$25:$DQ$25,1,BK299),1-INDEX('Lease Cycles'!$DR$25:$DX$25,1,BK299),1))-IF(BK300=0,INDEX('Lease Cycles'!$DD$25:$DJ$25,1,BK299),0))),0)</f>
        <v>0</v>
      </c>
      <c r="BL306" s="28">
        <f>IF(BL301=1,IF(INDEX('Lease Cycles'!$EF$25:$EL$25,1,BL299)=1,0,BL302*(1-IF(BL300&lt;INDEX('Lease Cycles'!$DK$25:$DQ$25,1,BL299),0,IF(BL300=INDEX('Lease Cycles'!$DK$25:$DQ$25,1,BL299),1-INDEX('Lease Cycles'!$DR$25:$DX$25,1,BL299),1))-IF(BL300=0,INDEX('Lease Cycles'!$DD$25:$DJ$25,1,BL299),0))),0)</f>
        <v>0</v>
      </c>
      <c r="BM306" s="28">
        <f>IF(BM301=1,IF(INDEX('Lease Cycles'!$EF$25:$EL$25,1,BM299)=1,0,BM302*(1-IF(BM300&lt;INDEX('Lease Cycles'!$DK$25:$DQ$25,1,BM299),0,IF(BM300=INDEX('Lease Cycles'!$DK$25:$DQ$25,1,BM299),1-INDEX('Lease Cycles'!$DR$25:$DX$25,1,BM299),1))-IF(BM300=0,INDEX('Lease Cycles'!$DD$25:$DJ$25,1,BM299),0))),0)</f>
        <v>0</v>
      </c>
      <c r="BN306" s="28">
        <f>IF(BN301=1,IF(INDEX('Lease Cycles'!$EF$25:$EL$25,1,BN299)=1,0,BN302*(1-IF(BN300&lt;INDEX('Lease Cycles'!$DK$25:$DQ$25,1,BN299),0,IF(BN300=INDEX('Lease Cycles'!$DK$25:$DQ$25,1,BN299),1-INDEX('Lease Cycles'!$DR$25:$DX$25,1,BN299),1))-IF(BN300=0,INDEX('Lease Cycles'!$DD$25:$DJ$25,1,BN299),0))),0)</f>
        <v>0</v>
      </c>
      <c r="BO306" s="28">
        <f>IF(BO301=1,IF(INDEX('Lease Cycles'!$EF$25:$EL$25,1,BO299)=1,0,BO302*(1-IF(BO300&lt;INDEX('Lease Cycles'!$DK$25:$DQ$25,1,BO299),0,IF(BO300=INDEX('Lease Cycles'!$DK$25:$DQ$25,1,BO299),1-INDEX('Lease Cycles'!$DR$25:$DX$25,1,BO299),1))-IF(BO300=0,INDEX('Lease Cycles'!$DD$25:$DJ$25,1,BO299),0))),0)</f>
        <v>0</v>
      </c>
      <c r="BP306" s="28">
        <f>IF(BP301=1,IF(INDEX('Lease Cycles'!$EF$25:$EL$25,1,BP299)=1,0,BP302*(1-IF(BP300&lt;INDEX('Lease Cycles'!$DK$25:$DQ$25,1,BP299),0,IF(BP300=INDEX('Lease Cycles'!$DK$25:$DQ$25,1,BP299),1-INDEX('Lease Cycles'!$DR$25:$DX$25,1,BP299),1))-IF(BP300=0,INDEX('Lease Cycles'!$DD$25:$DJ$25,1,BP299),0))),0)</f>
        <v>0</v>
      </c>
      <c r="BQ306" s="28">
        <f>IF(BQ301=1,IF(INDEX('Lease Cycles'!$EF$25:$EL$25,1,BQ299)=1,0,BQ302*(1-IF(BQ300&lt;INDEX('Lease Cycles'!$DK$25:$DQ$25,1,BQ299),0,IF(BQ300=INDEX('Lease Cycles'!$DK$25:$DQ$25,1,BQ299),1-INDEX('Lease Cycles'!$DR$25:$DX$25,1,BQ299),1))-IF(BQ300=0,INDEX('Lease Cycles'!$DD$25:$DJ$25,1,BQ299),0))),0)</f>
        <v>0</v>
      </c>
      <c r="BR306" s="28">
        <f>IF(BR301=1,IF(INDEX('Lease Cycles'!$EF$25:$EL$25,1,BR299)=1,0,BR302*(1-IF(BR300&lt;INDEX('Lease Cycles'!$DK$25:$DQ$25,1,BR299),0,IF(BR300=INDEX('Lease Cycles'!$DK$25:$DQ$25,1,BR299),1-INDEX('Lease Cycles'!$DR$25:$DX$25,1,BR299),1))-IF(BR300=0,INDEX('Lease Cycles'!$DD$25:$DJ$25,1,BR299),0))),0)</f>
        <v>0</v>
      </c>
      <c r="BS306" s="28">
        <f>IF(BS301=1,IF(INDEX('Lease Cycles'!$EF$25:$EL$25,1,BS299)=1,0,BS302*(1-IF(BS300&lt;INDEX('Lease Cycles'!$DK$25:$DQ$25,1,BS299),0,IF(BS300=INDEX('Lease Cycles'!$DK$25:$DQ$25,1,BS299),1-INDEX('Lease Cycles'!$DR$25:$DX$25,1,BS299),1))-IF(BS300=0,INDEX('Lease Cycles'!$DD$25:$DJ$25,1,BS299),0))),0)</f>
        <v>0</v>
      </c>
      <c r="BT306" s="28">
        <f>IF(BT301=1,IF(INDEX('Lease Cycles'!$EF$25:$EL$25,1,BT299)=1,0,BT302*(1-IF(BT300&lt;INDEX('Lease Cycles'!$DK$25:$DQ$25,1,BT299),0,IF(BT300=INDEX('Lease Cycles'!$DK$25:$DQ$25,1,BT299),1-INDEX('Lease Cycles'!$DR$25:$DX$25,1,BT299),1))-IF(BT300=0,INDEX('Lease Cycles'!$DD$25:$DJ$25,1,BT299),0))),0)</f>
        <v>0</v>
      </c>
      <c r="BU306" s="28">
        <f>IF(BU301=1,IF(INDEX('Lease Cycles'!$EF$25:$EL$25,1,BU299)=1,0,BU302*(1-IF(BU300&lt;INDEX('Lease Cycles'!$DK$25:$DQ$25,1,BU299),0,IF(BU300=INDEX('Lease Cycles'!$DK$25:$DQ$25,1,BU299),1-INDEX('Lease Cycles'!$DR$25:$DX$25,1,BU299),1))-IF(BU300=0,INDEX('Lease Cycles'!$DD$25:$DJ$25,1,BU299),0))),0)</f>
        <v>0</v>
      </c>
      <c r="BV306" s="28">
        <f>IF(BV301=1,IF(INDEX('Lease Cycles'!$EF$25:$EL$25,1,BV299)=1,0,BV302*(1-IF(BV300&lt;INDEX('Lease Cycles'!$DK$25:$DQ$25,1,BV299),0,IF(BV300=INDEX('Lease Cycles'!$DK$25:$DQ$25,1,BV299),1-INDEX('Lease Cycles'!$DR$25:$DX$25,1,BV299),1))-IF(BV300=0,INDEX('Lease Cycles'!$DD$25:$DJ$25,1,BV299),0))),0)</f>
        <v>0</v>
      </c>
      <c r="BW306" s="28">
        <f>IF(BW301=1,IF(INDEX('Lease Cycles'!$EF$25:$EL$25,1,BW299)=1,0,BW302*(1-IF(BW300&lt;INDEX('Lease Cycles'!$DK$25:$DQ$25,1,BW299),0,IF(BW300=INDEX('Lease Cycles'!$DK$25:$DQ$25,1,BW299),1-INDEX('Lease Cycles'!$DR$25:$DX$25,1,BW299),1))-IF(BW300=0,INDEX('Lease Cycles'!$DD$25:$DJ$25,1,BW299),0))),0)</f>
        <v>0</v>
      </c>
      <c r="BX306" s="28">
        <f>IF(BX301=1,IF(INDEX('Lease Cycles'!$EF$25:$EL$25,1,BX299)=1,0,BX302*(1-IF(BX300&lt;INDEX('Lease Cycles'!$DK$25:$DQ$25,1,BX299),0,IF(BX300=INDEX('Lease Cycles'!$DK$25:$DQ$25,1,BX299),1-INDEX('Lease Cycles'!$DR$25:$DX$25,1,BX299),1))-IF(BX300=0,INDEX('Lease Cycles'!$DD$25:$DJ$25,1,BX299),0))),0)</f>
        <v>0</v>
      </c>
      <c r="BY306" s="28">
        <f>IF(BY301=1,IF(INDEX('Lease Cycles'!$EF$25:$EL$25,1,BY299)=1,0,BY302*(1-IF(BY300&lt;INDEX('Lease Cycles'!$DK$25:$DQ$25,1,BY299),0,IF(BY300=INDEX('Lease Cycles'!$DK$25:$DQ$25,1,BY299),1-INDEX('Lease Cycles'!$DR$25:$DX$25,1,BY299),1))-IF(BY300=0,INDEX('Lease Cycles'!$DD$25:$DJ$25,1,BY299),0))),0)</f>
        <v>0</v>
      </c>
      <c r="BZ306" s="28">
        <f>IF(BZ301=1,IF(INDEX('Lease Cycles'!$EF$25:$EL$25,1,BZ299)=1,0,BZ302*(1-IF(BZ300&lt;INDEX('Lease Cycles'!$DK$25:$DQ$25,1,BZ299),0,IF(BZ300=INDEX('Lease Cycles'!$DK$25:$DQ$25,1,BZ299),1-INDEX('Lease Cycles'!$DR$25:$DX$25,1,BZ299),1))-IF(BZ300=0,INDEX('Lease Cycles'!$DD$25:$DJ$25,1,BZ299),0))),0)</f>
        <v>0</v>
      </c>
      <c r="CA306" s="28">
        <f>IF(CA301=1,IF(INDEX('Lease Cycles'!$EF$25:$EL$25,1,CA299)=1,0,CA302*(1-IF(CA300&lt;INDEX('Lease Cycles'!$DK$25:$DQ$25,1,CA299),0,IF(CA300=INDEX('Lease Cycles'!$DK$25:$DQ$25,1,CA299),1-INDEX('Lease Cycles'!$DR$25:$DX$25,1,CA299),1))-IF(CA300=0,INDEX('Lease Cycles'!$DD$25:$DJ$25,1,CA299),0))),0)</f>
        <v>0</v>
      </c>
      <c r="CB306" s="28">
        <f>IF(CB301=1,IF(INDEX('Lease Cycles'!$EF$25:$EL$25,1,CB299)=1,0,CB302*(1-IF(CB300&lt;INDEX('Lease Cycles'!$DK$25:$DQ$25,1,CB299),0,IF(CB300=INDEX('Lease Cycles'!$DK$25:$DQ$25,1,CB299),1-INDEX('Lease Cycles'!$DR$25:$DX$25,1,CB299),1))-IF(CB300=0,INDEX('Lease Cycles'!$DD$25:$DJ$25,1,CB299),0))),0)</f>
        <v>0</v>
      </c>
      <c r="CC306" s="28">
        <f>IF(CC301=1,IF(INDEX('Lease Cycles'!$EF$25:$EL$25,1,CC299)=1,0,CC302*(1-IF(CC300&lt;INDEX('Lease Cycles'!$DK$25:$DQ$25,1,CC299),0,IF(CC300=INDEX('Lease Cycles'!$DK$25:$DQ$25,1,CC299),1-INDEX('Lease Cycles'!$DR$25:$DX$25,1,CC299),1))-IF(CC300=0,INDEX('Lease Cycles'!$DD$25:$DJ$25,1,CC299),0))),0)</f>
        <v>0</v>
      </c>
      <c r="CD306" s="28">
        <f>IF(CD301=1,IF(INDEX('Lease Cycles'!$EF$25:$EL$25,1,CD299)=1,0,CD302*(1-IF(CD300&lt;INDEX('Lease Cycles'!$DK$25:$DQ$25,1,CD299),0,IF(CD300=INDEX('Lease Cycles'!$DK$25:$DQ$25,1,CD299),1-INDEX('Lease Cycles'!$DR$25:$DX$25,1,CD299),1))-IF(CD300=0,INDEX('Lease Cycles'!$DD$25:$DJ$25,1,CD299),0))),0)</f>
        <v>0</v>
      </c>
      <c r="CE306" s="28">
        <f>IF(CE301=1,IF(INDEX('Lease Cycles'!$EF$25:$EL$25,1,CE299)=1,0,CE302*(1-IF(CE300&lt;INDEX('Lease Cycles'!$DK$25:$DQ$25,1,CE299),0,IF(CE300=INDEX('Lease Cycles'!$DK$25:$DQ$25,1,CE299),1-INDEX('Lease Cycles'!$DR$25:$DX$25,1,CE299),1))-IF(CE300=0,INDEX('Lease Cycles'!$DD$25:$DJ$25,1,CE299),0))),0)</f>
        <v>0</v>
      </c>
      <c r="CF306" s="28">
        <f>IF(CF301=1,IF(INDEX('Lease Cycles'!$EF$25:$EL$25,1,CF299)=1,0,CF302*(1-IF(CF300&lt;INDEX('Lease Cycles'!$DK$25:$DQ$25,1,CF299),0,IF(CF300=INDEX('Lease Cycles'!$DK$25:$DQ$25,1,CF299),1-INDEX('Lease Cycles'!$DR$25:$DX$25,1,CF299),1))-IF(CF300=0,INDEX('Lease Cycles'!$DD$25:$DJ$25,1,CF299),0))),0)</f>
        <v>0</v>
      </c>
      <c r="CG306" s="28">
        <f>IF(CG301=1,IF(INDEX('Lease Cycles'!$EF$25:$EL$25,1,CG299)=1,0,CG302*(1-IF(CG300&lt;INDEX('Lease Cycles'!$DK$25:$DQ$25,1,CG299),0,IF(CG300=INDEX('Lease Cycles'!$DK$25:$DQ$25,1,CG299),1-INDEX('Lease Cycles'!$DR$25:$DX$25,1,CG299),1))-IF(CG300=0,INDEX('Lease Cycles'!$DD$25:$DJ$25,1,CG299),0))),0)</f>
        <v>0</v>
      </c>
      <c r="CH306" s="28">
        <f>IF(CH301=1,IF(INDEX('Lease Cycles'!$EF$25:$EL$25,1,CH299)=1,0,CH302*(1-IF(CH300&lt;INDEX('Lease Cycles'!$DK$25:$DQ$25,1,CH299),0,IF(CH300=INDEX('Lease Cycles'!$DK$25:$DQ$25,1,CH299),1-INDEX('Lease Cycles'!$DR$25:$DX$25,1,CH299),1))-IF(CH300=0,INDEX('Lease Cycles'!$DD$25:$DJ$25,1,CH299),0))),0)</f>
        <v>0</v>
      </c>
      <c r="CI306" s="28">
        <f>IF(CI301=1,IF(INDEX('Lease Cycles'!$EF$25:$EL$25,1,CI299)=1,0,CI302*(1-IF(CI300&lt;INDEX('Lease Cycles'!$DK$25:$DQ$25,1,CI299),0,IF(CI300=INDEX('Lease Cycles'!$DK$25:$DQ$25,1,CI299),1-INDEX('Lease Cycles'!$DR$25:$DX$25,1,CI299),1))-IF(CI300=0,INDEX('Lease Cycles'!$DD$25:$DJ$25,1,CI299),0))),0)</f>
        <v>0</v>
      </c>
      <c r="CJ306" s="28">
        <f>IF(CJ301=1,IF(INDEX('Lease Cycles'!$EF$25:$EL$25,1,CJ299)=1,0,CJ302*(1-IF(CJ300&lt;INDEX('Lease Cycles'!$DK$25:$DQ$25,1,CJ299),0,IF(CJ300=INDEX('Lease Cycles'!$DK$25:$DQ$25,1,CJ299),1-INDEX('Lease Cycles'!$DR$25:$DX$25,1,CJ299),1))-IF(CJ300=0,INDEX('Lease Cycles'!$DD$25:$DJ$25,1,CJ299),0))),0)</f>
        <v>0</v>
      </c>
      <c r="CK306" s="28">
        <f>IF(CK301=1,IF(INDEX('Lease Cycles'!$EF$25:$EL$25,1,CK299)=1,0,CK302*(1-IF(CK300&lt;INDEX('Lease Cycles'!$DK$25:$DQ$25,1,CK299),0,IF(CK300=INDEX('Lease Cycles'!$DK$25:$DQ$25,1,CK299),1-INDEX('Lease Cycles'!$DR$25:$DX$25,1,CK299),1))-IF(CK300=0,INDEX('Lease Cycles'!$DD$25:$DJ$25,1,CK299),0))),0)</f>
        <v>0</v>
      </c>
      <c r="CL306" s="28">
        <f>IF(CL301=1,IF(INDEX('Lease Cycles'!$EF$25:$EL$25,1,CL299)=1,0,CL302*(1-IF(CL300&lt;INDEX('Lease Cycles'!$DK$25:$DQ$25,1,CL299),0,IF(CL300=INDEX('Lease Cycles'!$DK$25:$DQ$25,1,CL299),1-INDEX('Lease Cycles'!$DR$25:$DX$25,1,CL299),1))-IF(CL300=0,INDEX('Lease Cycles'!$DD$25:$DJ$25,1,CL299),0))),0)</f>
        <v>0</v>
      </c>
      <c r="CM306" s="28">
        <f>IF(CM301=1,IF(INDEX('Lease Cycles'!$EF$25:$EL$25,1,CM299)=1,0,CM302*(1-IF(CM300&lt;INDEX('Lease Cycles'!$DK$25:$DQ$25,1,CM299),0,IF(CM300=INDEX('Lease Cycles'!$DK$25:$DQ$25,1,CM299),1-INDEX('Lease Cycles'!$DR$25:$DX$25,1,CM299),1))-IF(CM300=0,INDEX('Lease Cycles'!$DD$25:$DJ$25,1,CM299),0))),0)</f>
        <v>0</v>
      </c>
      <c r="CN306" s="28">
        <f>IF(CN301=1,IF(INDEX('Lease Cycles'!$EF$25:$EL$25,1,CN299)=1,0,CN302*(1-IF(CN300&lt;INDEX('Lease Cycles'!$DK$25:$DQ$25,1,CN299),0,IF(CN300=INDEX('Lease Cycles'!$DK$25:$DQ$25,1,CN299),1-INDEX('Lease Cycles'!$DR$25:$DX$25,1,CN299),1))-IF(CN300=0,INDEX('Lease Cycles'!$DD$25:$DJ$25,1,CN299),0))),0)</f>
        <v>0</v>
      </c>
      <c r="CO306" s="28">
        <f>IF(CO301=1,IF(INDEX('Lease Cycles'!$EF$25:$EL$25,1,CO299)=1,0,CO302*(1-IF(CO300&lt;INDEX('Lease Cycles'!$DK$25:$DQ$25,1,CO299),0,IF(CO300=INDEX('Lease Cycles'!$DK$25:$DQ$25,1,CO299),1-INDEX('Lease Cycles'!$DR$25:$DX$25,1,CO299),1))-IF(CO300=0,INDEX('Lease Cycles'!$DD$25:$DJ$25,1,CO299),0))),0)</f>
        <v>0</v>
      </c>
      <c r="CP306" s="28">
        <f>IF(CP301=1,IF(INDEX('Lease Cycles'!$EF$25:$EL$25,1,CP299)=1,0,CP302*(1-IF(CP300&lt;INDEX('Lease Cycles'!$DK$25:$DQ$25,1,CP299),0,IF(CP300=INDEX('Lease Cycles'!$DK$25:$DQ$25,1,CP299),1-INDEX('Lease Cycles'!$DR$25:$DX$25,1,CP299),1))-IF(CP300=0,INDEX('Lease Cycles'!$DD$25:$DJ$25,1,CP299),0))),0)</f>
        <v>0</v>
      </c>
      <c r="CQ306" s="28">
        <f>IF(CQ301=1,IF(INDEX('Lease Cycles'!$EF$25:$EL$25,1,CQ299)=1,0,CQ302*(1-IF(CQ300&lt;INDEX('Lease Cycles'!$DK$25:$DQ$25,1,CQ299),0,IF(CQ300=INDEX('Lease Cycles'!$DK$25:$DQ$25,1,CQ299),1-INDEX('Lease Cycles'!$DR$25:$DX$25,1,CQ299),1))-IF(CQ300=0,INDEX('Lease Cycles'!$DD$25:$DJ$25,1,CQ299),0))),0)</f>
        <v>0</v>
      </c>
      <c r="CR306" s="28">
        <f>IF(CR301=1,IF(INDEX('Lease Cycles'!$EF$25:$EL$25,1,CR299)=1,0,CR302*(1-IF(CR300&lt;INDEX('Lease Cycles'!$DK$25:$DQ$25,1,CR299),0,IF(CR300=INDEX('Lease Cycles'!$DK$25:$DQ$25,1,CR299),1-INDEX('Lease Cycles'!$DR$25:$DX$25,1,CR299),1))-IF(CR300=0,INDEX('Lease Cycles'!$DD$25:$DJ$25,1,CR299),0))),0)</f>
        <v>0</v>
      </c>
      <c r="CS306" s="28">
        <f>IF(CS301=1,IF(INDEX('Lease Cycles'!$EF$25:$EL$25,1,CS299)=1,0,CS302*(1-IF(CS300&lt;INDEX('Lease Cycles'!$DK$25:$DQ$25,1,CS299),0,IF(CS300=INDEX('Lease Cycles'!$DK$25:$DQ$25,1,CS299),1-INDEX('Lease Cycles'!$DR$25:$DX$25,1,CS299),1))-IF(CS300=0,INDEX('Lease Cycles'!$DD$25:$DJ$25,1,CS299),0))),0)</f>
        <v>0</v>
      </c>
      <c r="CT306" s="28">
        <f>IF(CT301=1,IF(INDEX('Lease Cycles'!$EF$25:$EL$25,1,CT299)=1,0,CT302*(1-IF(CT300&lt;INDEX('Lease Cycles'!$DK$25:$DQ$25,1,CT299),0,IF(CT300=INDEX('Lease Cycles'!$DK$25:$DQ$25,1,CT299),1-INDEX('Lease Cycles'!$DR$25:$DX$25,1,CT299),1))-IF(CT300=0,INDEX('Lease Cycles'!$DD$25:$DJ$25,1,CT299),0))),0)</f>
        <v>0</v>
      </c>
      <c r="CU306" s="28">
        <f>IF(CU301=1,IF(INDEX('Lease Cycles'!$EF$25:$EL$25,1,CU299)=1,0,CU302*(1-IF(CU300&lt;INDEX('Lease Cycles'!$DK$25:$DQ$25,1,CU299),0,IF(CU300=INDEX('Lease Cycles'!$DK$25:$DQ$25,1,CU299),1-INDEX('Lease Cycles'!$DR$25:$DX$25,1,CU299),1))-IF(CU300=0,INDEX('Lease Cycles'!$DD$25:$DJ$25,1,CU299),0))),0)</f>
        <v>0</v>
      </c>
      <c r="CV306" s="28">
        <f>IF(CV301=1,IF(INDEX('Lease Cycles'!$EF$25:$EL$25,1,CV299)=1,0,CV302*(1-IF(CV300&lt;INDEX('Lease Cycles'!$DK$25:$DQ$25,1,CV299),0,IF(CV300=INDEX('Lease Cycles'!$DK$25:$DQ$25,1,CV299),1-INDEX('Lease Cycles'!$DR$25:$DX$25,1,CV299),1))-IF(CV300=0,INDEX('Lease Cycles'!$DD$25:$DJ$25,1,CV299),0))),0)</f>
        <v>0</v>
      </c>
      <c r="CW306" s="28">
        <f>IF(CW301=1,IF(INDEX('Lease Cycles'!$EF$25:$EL$25,1,CW299)=1,0,CW302*(1-IF(CW300&lt;INDEX('Lease Cycles'!$DK$25:$DQ$25,1,CW299),0,IF(CW300=INDEX('Lease Cycles'!$DK$25:$DQ$25,1,CW299),1-INDEX('Lease Cycles'!$DR$25:$DX$25,1,CW299),1))-IF(CW300=0,INDEX('Lease Cycles'!$DD$25:$DJ$25,1,CW299),0))),0)</f>
        <v>0</v>
      </c>
      <c r="CX306" s="28">
        <f>IF(CX301=1,IF(INDEX('Lease Cycles'!$EF$25:$EL$25,1,CX299)=1,0,CX302*(1-IF(CX300&lt;INDEX('Lease Cycles'!$DK$25:$DQ$25,1,CX299),0,IF(CX300=INDEX('Lease Cycles'!$DK$25:$DQ$25,1,CX299),1-INDEX('Lease Cycles'!$DR$25:$DX$25,1,CX299),1))-IF(CX300=0,INDEX('Lease Cycles'!$DD$25:$DJ$25,1,CX299),0))),0)</f>
        <v>0</v>
      </c>
      <c r="CY306" s="28">
        <f>IF(CY301=1,IF(INDEX('Lease Cycles'!$EF$25:$EL$25,1,CY299)=1,0,CY302*(1-IF(CY300&lt;INDEX('Lease Cycles'!$DK$25:$DQ$25,1,CY299),0,IF(CY300=INDEX('Lease Cycles'!$DK$25:$DQ$25,1,CY299),1-INDEX('Lease Cycles'!$DR$25:$DX$25,1,CY299),1))-IF(CY300=0,INDEX('Lease Cycles'!$DD$25:$DJ$25,1,CY299),0))),0)</f>
        <v>0</v>
      </c>
      <c r="CZ306" s="28">
        <f>IF(CZ301=1,IF(INDEX('Lease Cycles'!$EF$25:$EL$25,1,CZ299)=1,0,CZ302*(1-IF(CZ300&lt;INDEX('Lease Cycles'!$DK$25:$DQ$25,1,CZ299),0,IF(CZ300=INDEX('Lease Cycles'!$DK$25:$DQ$25,1,CZ299),1-INDEX('Lease Cycles'!$DR$25:$DX$25,1,CZ299),1))-IF(CZ300=0,INDEX('Lease Cycles'!$DD$25:$DJ$25,1,CZ299),0))),0)</f>
        <v>0</v>
      </c>
      <c r="DA306" s="28">
        <f>IF(DA301=1,IF(INDEX('Lease Cycles'!$EF$25:$EL$25,1,DA299)=1,0,DA302*(1-IF(DA300&lt;INDEX('Lease Cycles'!$DK$25:$DQ$25,1,DA299),0,IF(DA300=INDEX('Lease Cycles'!$DK$25:$DQ$25,1,DA299),1-INDEX('Lease Cycles'!$DR$25:$DX$25,1,DA299),1))-IF(DA300=0,INDEX('Lease Cycles'!$DD$25:$DJ$25,1,DA299),0))),0)</f>
        <v>0</v>
      </c>
      <c r="DB306" s="28">
        <f>IF(DB301=1,IF(INDEX('Lease Cycles'!$EF$25:$EL$25,1,DB299)=1,0,DB302*(1-IF(DB300&lt;INDEX('Lease Cycles'!$DK$25:$DQ$25,1,DB299),0,IF(DB300=INDEX('Lease Cycles'!$DK$25:$DQ$25,1,DB299),1-INDEX('Lease Cycles'!$DR$25:$DX$25,1,DB299),1))-IF(DB300=0,INDEX('Lease Cycles'!$DD$25:$DJ$25,1,DB299),0))),0)</f>
        <v>0</v>
      </c>
      <c r="DC306" s="28">
        <f>IF(DC301=1,IF(INDEX('Lease Cycles'!$EF$25:$EL$25,1,DC299)=1,0,DC302*(1-IF(DC300&lt;INDEX('Lease Cycles'!$DK$25:$DQ$25,1,DC299),0,IF(DC300=INDEX('Lease Cycles'!$DK$25:$DQ$25,1,DC299),1-INDEX('Lease Cycles'!$DR$25:$DX$25,1,DC299),1))-IF(DC300=0,INDEX('Lease Cycles'!$DD$25:$DJ$25,1,DC299),0))),0)</f>
        <v>0</v>
      </c>
      <c r="DD306" s="28">
        <f>IF(DD301=1,IF(INDEX('Lease Cycles'!$EF$25:$EL$25,1,DD299)=1,0,DD302*(1-IF(DD300&lt;INDEX('Lease Cycles'!$DK$25:$DQ$25,1,DD299),0,IF(DD300=INDEX('Lease Cycles'!$DK$25:$DQ$25,1,DD299),1-INDEX('Lease Cycles'!$DR$25:$DX$25,1,DD299),1))-IF(DD300=0,INDEX('Lease Cycles'!$DD$25:$DJ$25,1,DD299),0))),0)</f>
        <v>0</v>
      </c>
      <c r="DE306" s="28">
        <f>IF(DE301=1,IF(INDEX('Lease Cycles'!$EF$25:$EL$25,1,DE299)=1,0,DE302*(1-IF(DE300&lt;INDEX('Lease Cycles'!$DK$25:$DQ$25,1,DE299),0,IF(DE300=INDEX('Lease Cycles'!$DK$25:$DQ$25,1,DE299),1-INDEX('Lease Cycles'!$DR$25:$DX$25,1,DE299),1))-IF(DE300=0,INDEX('Lease Cycles'!$DD$25:$DJ$25,1,DE299),0))),0)</f>
        <v>0</v>
      </c>
      <c r="DF306" s="28">
        <f>IF(DF301=1,IF(INDEX('Lease Cycles'!$EF$25:$EL$25,1,DF299)=1,0,DF302*(1-IF(DF300&lt;INDEX('Lease Cycles'!$DK$25:$DQ$25,1,DF299),0,IF(DF300=INDEX('Lease Cycles'!$DK$25:$DQ$25,1,DF299),1-INDEX('Lease Cycles'!$DR$25:$DX$25,1,DF299),1))-IF(DF300=0,INDEX('Lease Cycles'!$DD$25:$DJ$25,1,DF299),0))),0)</f>
        <v>0</v>
      </c>
      <c r="DG306" s="28">
        <f>IF(DG301=1,IF(INDEX('Lease Cycles'!$EF$25:$EL$25,1,DG299)=1,0,DG302*(1-IF(DG300&lt;INDEX('Lease Cycles'!$DK$25:$DQ$25,1,DG299),0,IF(DG300=INDEX('Lease Cycles'!$DK$25:$DQ$25,1,DG299),1-INDEX('Lease Cycles'!$DR$25:$DX$25,1,DG299),1))-IF(DG300=0,INDEX('Lease Cycles'!$DD$25:$DJ$25,1,DG299),0))),0)</f>
        <v>0</v>
      </c>
      <c r="DH306" s="28">
        <f>IF(DH301=1,IF(INDEX('Lease Cycles'!$EF$25:$EL$25,1,DH299)=1,0,DH302*(1-IF(DH300&lt;INDEX('Lease Cycles'!$DK$25:$DQ$25,1,DH299),0,IF(DH300=INDEX('Lease Cycles'!$DK$25:$DQ$25,1,DH299),1-INDEX('Lease Cycles'!$DR$25:$DX$25,1,DH299),1))-IF(DH300=0,INDEX('Lease Cycles'!$DD$25:$DJ$25,1,DH299),0))),0)</f>
        <v>0</v>
      </c>
      <c r="DI306" s="28">
        <f>IF(DI301=1,IF(INDEX('Lease Cycles'!$EF$25:$EL$25,1,DI299)=1,0,DI302*(1-IF(DI300&lt;INDEX('Lease Cycles'!$DK$25:$DQ$25,1,DI299),0,IF(DI300=INDEX('Lease Cycles'!$DK$25:$DQ$25,1,DI299),1-INDEX('Lease Cycles'!$DR$25:$DX$25,1,DI299),1))-IF(DI300=0,INDEX('Lease Cycles'!$DD$25:$DJ$25,1,DI299),0))),0)</f>
        <v>0</v>
      </c>
      <c r="DJ306" s="28">
        <f>IF(DJ301=1,IF(INDEX('Lease Cycles'!$EF$25:$EL$25,1,DJ299)=1,0,DJ302*(1-IF(DJ300&lt;INDEX('Lease Cycles'!$DK$25:$DQ$25,1,DJ299),0,IF(DJ300=INDEX('Lease Cycles'!$DK$25:$DQ$25,1,DJ299),1-INDEX('Lease Cycles'!$DR$25:$DX$25,1,DJ299),1))-IF(DJ300=0,INDEX('Lease Cycles'!$DD$25:$DJ$25,1,DJ299),0))),0)</f>
        <v>0</v>
      </c>
      <c r="DK306" s="28">
        <f>IF(DK301=1,IF(INDEX('Lease Cycles'!$EF$25:$EL$25,1,DK299)=1,0,DK302*(1-IF(DK300&lt;INDEX('Lease Cycles'!$DK$25:$DQ$25,1,DK299),0,IF(DK300=INDEX('Lease Cycles'!$DK$25:$DQ$25,1,DK299),1-INDEX('Lease Cycles'!$DR$25:$DX$25,1,DK299),1))-IF(DK300=0,INDEX('Lease Cycles'!$DD$25:$DJ$25,1,DK299),0))),0)</f>
        <v>0</v>
      </c>
      <c r="DL306" s="28">
        <f>IF(DL301=1,IF(INDEX('Lease Cycles'!$EF$25:$EL$25,1,DL299)=1,0,DL302*(1-IF(DL300&lt;INDEX('Lease Cycles'!$DK$25:$DQ$25,1,DL299),0,IF(DL300=INDEX('Lease Cycles'!$DK$25:$DQ$25,1,DL299),1-INDEX('Lease Cycles'!$DR$25:$DX$25,1,DL299),1))-IF(DL300=0,INDEX('Lease Cycles'!$DD$25:$DJ$25,1,DL299),0))),0)</f>
        <v>0</v>
      </c>
      <c r="DM306" s="28">
        <f>IF(DM301=1,IF(INDEX('Lease Cycles'!$EF$25:$EL$25,1,DM299)=1,0,DM302*(1-IF(DM300&lt;INDEX('Lease Cycles'!$DK$25:$DQ$25,1,DM299),0,IF(DM300=INDEX('Lease Cycles'!$DK$25:$DQ$25,1,DM299),1-INDEX('Lease Cycles'!$DR$25:$DX$25,1,DM299),1))-IF(DM300=0,INDEX('Lease Cycles'!$DD$25:$DJ$25,1,DM299),0))),0)</f>
        <v>0</v>
      </c>
      <c r="DN306" s="28">
        <f>IF(DN301=1,IF(INDEX('Lease Cycles'!$EF$25:$EL$25,1,DN299)=1,0,DN302*(1-IF(DN300&lt;INDEX('Lease Cycles'!$DK$25:$DQ$25,1,DN299),0,IF(DN300=INDEX('Lease Cycles'!$DK$25:$DQ$25,1,DN299),1-INDEX('Lease Cycles'!$DR$25:$DX$25,1,DN299),1))-IF(DN300=0,INDEX('Lease Cycles'!$DD$25:$DJ$25,1,DN299),0))),0)</f>
        <v>0</v>
      </c>
      <c r="DO306" s="28">
        <f>IF(DO301=1,IF(INDEX('Lease Cycles'!$EF$25:$EL$25,1,DO299)=1,0,DO302*(1-IF(DO300&lt;INDEX('Lease Cycles'!$DK$25:$DQ$25,1,DO299),0,IF(DO300=INDEX('Lease Cycles'!$DK$25:$DQ$25,1,DO299),1-INDEX('Lease Cycles'!$DR$25:$DX$25,1,DO299),1))-IF(DO300=0,INDEX('Lease Cycles'!$DD$25:$DJ$25,1,DO299),0))),0)</f>
        <v>0</v>
      </c>
      <c r="DP306" s="28">
        <f>IF(DP301=1,IF(INDEX('Lease Cycles'!$EF$25:$EL$25,1,DP299)=1,0,DP302*(1-IF(DP300&lt;INDEX('Lease Cycles'!$DK$25:$DQ$25,1,DP299),0,IF(DP300=INDEX('Lease Cycles'!$DK$25:$DQ$25,1,DP299),1-INDEX('Lease Cycles'!$DR$25:$DX$25,1,DP299),1))-IF(DP300=0,INDEX('Lease Cycles'!$DD$25:$DJ$25,1,DP299),0))),0)</f>
        <v>0</v>
      </c>
      <c r="DQ306" s="28">
        <f>IF(DQ301=1,IF(INDEX('Lease Cycles'!$EF$25:$EL$25,1,DQ299)=1,0,DQ302*(1-IF(DQ300&lt;INDEX('Lease Cycles'!$DK$25:$DQ$25,1,DQ299),0,IF(DQ300=INDEX('Lease Cycles'!$DK$25:$DQ$25,1,DQ299),1-INDEX('Lease Cycles'!$DR$25:$DX$25,1,DQ299),1))-IF(DQ300=0,INDEX('Lease Cycles'!$DD$25:$DJ$25,1,DQ299),0))),0)</f>
        <v>0</v>
      </c>
      <c r="DR306" s="28">
        <f>IF(DR301=1,IF(INDEX('Lease Cycles'!$EF$25:$EL$25,1,DR299)=1,0,DR302*(1-IF(DR300&lt;INDEX('Lease Cycles'!$DK$25:$DQ$25,1,DR299),0,IF(DR300=INDEX('Lease Cycles'!$DK$25:$DQ$25,1,DR299),1-INDEX('Lease Cycles'!$DR$25:$DX$25,1,DR299),1))-IF(DR300=0,INDEX('Lease Cycles'!$DD$25:$DJ$25,1,DR299),0))),0)</f>
        <v>0</v>
      </c>
      <c r="DS306" s="28">
        <f>IF(DS301=1,IF(INDEX('Lease Cycles'!$EF$25:$EL$25,1,DS299)=1,0,DS302*(1-IF(DS300&lt;INDEX('Lease Cycles'!$DK$25:$DQ$25,1,DS299),0,IF(DS300=INDEX('Lease Cycles'!$DK$25:$DQ$25,1,DS299),1-INDEX('Lease Cycles'!$DR$25:$DX$25,1,DS299),1))-IF(DS300=0,INDEX('Lease Cycles'!$DD$25:$DJ$25,1,DS299),0))),0)</f>
        <v>0</v>
      </c>
      <c r="DT306" s="28">
        <f>IF(DT301=1,IF(INDEX('Lease Cycles'!$EF$25:$EL$25,1,DT299)=1,0,DT302*(1-IF(DT300&lt;INDEX('Lease Cycles'!$DK$25:$DQ$25,1,DT299),0,IF(DT300=INDEX('Lease Cycles'!$DK$25:$DQ$25,1,DT299),1-INDEX('Lease Cycles'!$DR$25:$DX$25,1,DT299),1))-IF(DT300=0,INDEX('Lease Cycles'!$DD$25:$DJ$25,1,DT299),0))),0)</f>
        <v>0</v>
      </c>
      <c r="DU306" s="28">
        <f>IF(DU301=1,IF(INDEX('Lease Cycles'!$EF$25:$EL$25,1,DU299)=1,0,DU302*(1-IF(DU300&lt;INDEX('Lease Cycles'!$DK$25:$DQ$25,1,DU299),0,IF(DU300=INDEX('Lease Cycles'!$DK$25:$DQ$25,1,DU299),1-INDEX('Lease Cycles'!$DR$25:$DX$25,1,DU299),1))-IF(DU300=0,INDEX('Lease Cycles'!$DD$25:$DJ$25,1,DU299),0))),0)</f>
        <v>0</v>
      </c>
      <c r="DV306" s="28">
        <f>IF(DV301=1,IF(INDEX('Lease Cycles'!$EF$25:$EL$25,1,DV299)=1,0,DV302*(1-IF(DV300&lt;INDEX('Lease Cycles'!$DK$25:$DQ$25,1,DV299),0,IF(DV300=INDEX('Lease Cycles'!$DK$25:$DQ$25,1,DV299),1-INDEX('Lease Cycles'!$DR$25:$DX$25,1,DV299),1))-IF(DV300=0,INDEX('Lease Cycles'!$DD$25:$DJ$25,1,DV299),0))),0)</f>
        <v>0</v>
      </c>
      <c r="DW306" s="28">
        <f>IF(DW301=1,IF(INDEX('Lease Cycles'!$EF$25:$EL$25,1,DW299)=1,0,DW302*(1-IF(DW300&lt;INDEX('Lease Cycles'!$DK$25:$DQ$25,1,DW299),0,IF(DW300=INDEX('Lease Cycles'!$DK$25:$DQ$25,1,DW299),1-INDEX('Lease Cycles'!$DR$25:$DX$25,1,DW299),1))-IF(DW300=0,INDEX('Lease Cycles'!$DD$25:$DJ$25,1,DW299),0))),0)</f>
        <v>0</v>
      </c>
      <c r="DX306" s="28">
        <f>IF(DX301=1,IF(INDEX('Lease Cycles'!$EF$25:$EL$25,1,DX299)=1,0,DX302*(1-IF(DX300&lt;INDEX('Lease Cycles'!$DK$25:$DQ$25,1,DX299),0,IF(DX300=INDEX('Lease Cycles'!$DK$25:$DQ$25,1,DX299),1-INDEX('Lease Cycles'!$DR$25:$DX$25,1,DX299),1))-IF(DX300=0,INDEX('Lease Cycles'!$DD$25:$DJ$25,1,DX299),0))),0)</f>
        <v>0</v>
      </c>
      <c r="DY306" s="28">
        <f>IF(DY301=1,IF(INDEX('Lease Cycles'!$EF$25:$EL$25,1,DY299)=1,0,DY302*(1-IF(DY300&lt;INDEX('Lease Cycles'!$DK$25:$DQ$25,1,DY299),0,IF(DY300=INDEX('Lease Cycles'!$DK$25:$DQ$25,1,DY299),1-INDEX('Lease Cycles'!$DR$25:$DX$25,1,DY299),1))-IF(DY300=0,INDEX('Lease Cycles'!$DD$25:$DJ$25,1,DY299),0))),0)</f>
        <v>0</v>
      </c>
      <c r="DZ306" s="28">
        <f>IF(DZ301=1,IF(INDEX('Lease Cycles'!$EF$25:$EL$25,1,DZ299)=1,0,DZ302*(1-IF(DZ300&lt;INDEX('Lease Cycles'!$DK$25:$DQ$25,1,DZ299),0,IF(DZ300=INDEX('Lease Cycles'!$DK$25:$DQ$25,1,DZ299),1-INDEX('Lease Cycles'!$DR$25:$DX$25,1,DZ299),1))-IF(DZ300=0,INDEX('Lease Cycles'!$DD$25:$DJ$25,1,DZ299),0))),0)</f>
        <v>0</v>
      </c>
      <c r="EA306" s="28">
        <f>IF(EA301=1,IF(INDEX('Lease Cycles'!$EF$25:$EL$25,1,EA299)=1,0,EA302*(1-IF(EA300&lt;INDEX('Lease Cycles'!$DK$25:$DQ$25,1,EA299),0,IF(EA300=INDEX('Lease Cycles'!$DK$25:$DQ$25,1,EA299),1-INDEX('Lease Cycles'!$DR$25:$DX$25,1,EA299),1))-IF(EA300=0,INDEX('Lease Cycles'!$DD$25:$DJ$25,1,EA299),0))),0)</f>
        <v>0</v>
      </c>
      <c r="EB306" s="28">
        <f>IF(EB301=1,IF(INDEX('Lease Cycles'!$EF$25:$EL$25,1,EB299)=1,0,EB302*(1-IF(EB300&lt;INDEX('Lease Cycles'!$DK$25:$DQ$25,1,EB299),0,IF(EB300=INDEX('Lease Cycles'!$DK$25:$DQ$25,1,EB299),1-INDEX('Lease Cycles'!$DR$25:$DX$25,1,EB299),1))-IF(EB300=0,INDEX('Lease Cycles'!$DD$25:$DJ$25,1,EB299),0))),0)</f>
        <v>0</v>
      </c>
      <c r="EC306" s="28">
        <f>IF(EC301=1,IF(INDEX('Lease Cycles'!$EF$25:$EL$25,1,EC299)=1,0,EC302*(1-IF(EC300&lt;INDEX('Lease Cycles'!$DK$25:$DQ$25,1,EC299),0,IF(EC300=INDEX('Lease Cycles'!$DK$25:$DQ$25,1,EC299),1-INDEX('Lease Cycles'!$DR$25:$DX$25,1,EC299),1))-IF(EC300=0,INDEX('Lease Cycles'!$DD$25:$DJ$25,1,EC299),0))),0)</f>
        <v>0</v>
      </c>
      <c r="ED306" s="28">
        <f>IF(ED301=1,IF(INDEX('Lease Cycles'!$EF$25:$EL$25,1,ED299)=1,0,ED302*(1-IF(ED300&lt;INDEX('Lease Cycles'!$DK$25:$DQ$25,1,ED299),0,IF(ED300=INDEX('Lease Cycles'!$DK$25:$DQ$25,1,ED299),1-INDEX('Lease Cycles'!$DR$25:$DX$25,1,ED299),1))-IF(ED300=0,INDEX('Lease Cycles'!$DD$25:$DJ$25,1,ED299),0))),0)</f>
        <v>0</v>
      </c>
      <c r="EE306" s="28">
        <f>IF(EE301=1,IF(INDEX('Lease Cycles'!$EF$25:$EL$25,1,EE299)=1,0,EE302*(1-IF(EE300&lt;INDEX('Lease Cycles'!$DK$25:$DQ$25,1,EE299),0,IF(EE300=INDEX('Lease Cycles'!$DK$25:$DQ$25,1,EE299),1-INDEX('Lease Cycles'!$DR$25:$DX$25,1,EE299),1))-IF(EE300=0,INDEX('Lease Cycles'!$DD$25:$DJ$25,1,EE299),0))),0)</f>
        <v>0</v>
      </c>
      <c r="EF306" s="28">
        <f>IF(EF301=1,IF(INDEX('Lease Cycles'!$EF$25:$EL$25,1,EF299)=1,0,EF302*(1-IF(EF300&lt;INDEX('Lease Cycles'!$DK$25:$DQ$25,1,EF299),0,IF(EF300=INDEX('Lease Cycles'!$DK$25:$DQ$25,1,EF299),1-INDEX('Lease Cycles'!$DR$25:$DX$25,1,EF299),1))-IF(EF300=0,INDEX('Lease Cycles'!$DD$25:$DJ$25,1,EF299),0))),0)</f>
        <v>0</v>
      </c>
      <c r="EG306" s="28">
        <f>IF(EG301=1,IF(INDEX('Lease Cycles'!$EF$25:$EL$25,1,EG299)=1,0,EG302*(1-IF(EG300&lt;INDEX('Lease Cycles'!$DK$25:$DQ$25,1,EG299),0,IF(EG300=INDEX('Lease Cycles'!$DK$25:$DQ$25,1,EG299),1-INDEX('Lease Cycles'!$DR$25:$DX$25,1,EG299),1))-IF(EG300=0,INDEX('Lease Cycles'!$DD$25:$DJ$25,1,EG299),0))),0)</f>
        <v>0</v>
      </c>
      <c r="EH306" s="28">
        <f>IF(EH301=1,IF(INDEX('Lease Cycles'!$EF$25:$EL$25,1,EH299)=1,0,EH302*(1-IF(EH300&lt;INDEX('Lease Cycles'!$DK$25:$DQ$25,1,EH299),0,IF(EH300=INDEX('Lease Cycles'!$DK$25:$DQ$25,1,EH299),1-INDEX('Lease Cycles'!$DR$25:$DX$25,1,EH299),1))-IF(EH300=0,INDEX('Lease Cycles'!$DD$25:$DJ$25,1,EH299),0))),0)</f>
        <v>0</v>
      </c>
      <c r="EI306" s="28">
        <f>IF(EI301=1,IF(INDEX('Lease Cycles'!$EF$25:$EL$25,1,EI299)=1,0,EI302*(1-IF(EI300&lt;INDEX('Lease Cycles'!$DK$25:$DQ$25,1,EI299),0,IF(EI300=INDEX('Lease Cycles'!$DK$25:$DQ$25,1,EI299),1-INDEX('Lease Cycles'!$DR$25:$DX$25,1,EI299),1))-IF(EI300=0,INDEX('Lease Cycles'!$DD$25:$DJ$25,1,EI299),0))),0)</f>
        <v>0</v>
      </c>
      <c r="EJ306" s="28">
        <f>IF(EJ301=1,IF(INDEX('Lease Cycles'!$EF$25:$EL$25,1,EJ299)=1,0,EJ302*(1-IF(EJ300&lt;INDEX('Lease Cycles'!$DK$25:$DQ$25,1,EJ299),0,IF(EJ300=INDEX('Lease Cycles'!$DK$25:$DQ$25,1,EJ299),1-INDEX('Lease Cycles'!$DR$25:$DX$25,1,EJ299),1))-IF(EJ300=0,INDEX('Lease Cycles'!$DD$25:$DJ$25,1,EJ299),0))),0)</f>
        <v>0</v>
      </c>
      <c r="EK306" s="28">
        <f>IF(EK301=1,IF(INDEX('Lease Cycles'!$EF$25:$EL$25,1,EK299)=1,0,EK302*(1-IF(EK300&lt;INDEX('Lease Cycles'!$DK$25:$DQ$25,1,EK299),0,IF(EK300=INDEX('Lease Cycles'!$DK$25:$DQ$25,1,EK299),1-INDEX('Lease Cycles'!$DR$25:$DX$25,1,EK299),1))-IF(EK300=0,INDEX('Lease Cycles'!$DD$25:$DJ$25,1,EK299),0))),0)</f>
        <v>0</v>
      </c>
      <c r="EL306" s="28">
        <f>IF(EL301=1,IF(INDEX('Lease Cycles'!$EF$25:$EL$25,1,EL299)=1,0,EL302*(1-IF(EL300&lt;INDEX('Lease Cycles'!$DK$25:$DQ$25,1,EL299),0,IF(EL300=INDEX('Lease Cycles'!$DK$25:$DQ$25,1,EL299),1-INDEX('Lease Cycles'!$DR$25:$DX$25,1,EL299),1))-IF(EL300=0,INDEX('Lease Cycles'!$DD$25:$DJ$25,1,EL299),0))),0)</f>
        <v>0</v>
      </c>
      <c r="EM306" s="28">
        <f>IF(EM301=1,IF(INDEX('Lease Cycles'!$EF$25:$EL$25,1,EM299)=1,0,EM302*(1-IF(EM300&lt;INDEX('Lease Cycles'!$DK$25:$DQ$25,1,EM299),0,IF(EM300=INDEX('Lease Cycles'!$DK$25:$DQ$25,1,EM299),1-INDEX('Lease Cycles'!$DR$25:$DX$25,1,EM299),1))-IF(EM300=0,INDEX('Lease Cycles'!$DD$25:$DJ$25,1,EM299),0))),0)</f>
        <v>0</v>
      </c>
      <c r="EN306" s="28">
        <f>IF(EN301=1,IF(INDEX('Lease Cycles'!$EF$25:$EL$25,1,EN299)=1,0,EN302*(1-IF(EN300&lt;INDEX('Lease Cycles'!$DK$25:$DQ$25,1,EN299),0,IF(EN300=INDEX('Lease Cycles'!$DK$25:$DQ$25,1,EN299),1-INDEX('Lease Cycles'!$DR$25:$DX$25,1,EN299),1))-IF(EN300=0,INDEX('Lease Cycles'!$DD$25:$DJ$25,1,EN299),0))),0)</f>
        <v>0</v>
      </c>
      <c r="EO306" s="28">
        <f>IF(EO301=1,IF(INDEX('Lease Cycles'!$EF$25:$EL$25,1,EO299)=1,0,EO302*(1-IF(EO300&lt;INDEX('Lease Cycles'!$DK$25:$DQ$25,1,EO299),0,IF(EO300=INDEX('Lease Cycles'!$DK$25:$DQ$25,1,EO299),1-INDEX('Lease Cycles'!$DR$25:$DX$25,1,EO299),1))-IF(EO300=0,INDEX('Lease Cycles'!$DD$25:$DJ$25,1,EO299),0))),0)</f>
        <v>0</v>
      </c>
      <c r="EP306" s="28">
        <f>IF(EP301=1,IF(INDEX('Lease Cycles'!$EF$25:$EL$25,1,EP299)=1,0,EP302*(1-IF(EP300&lt;INDEX('Lease Cycles'!$DK$25:$DQ$25,1,EP299),0,IF(EP300=INDEX('Lease Cycles'!$DK$25:$DQ$25,1,EP299),1-INDEX('Lease Cycles'!$DR$25:$DX$25,1,EP299),1))-IF(EP300=0,INDEX('Lease Cycles'!$DD$25:$DJ$25,1,EP299),0))),0)</f>
        <v>0</v>
      </c>
      <c r="EQ306" s="28">
        <f>IF(EQ301=1,IF(INDEX('Lease Cycles'!$EF$25:$EL$25,1,EQ299)=1,0,EQ302*(1-IF(EQ300&lt;INDEX('Lease Cycles'!$DK$25:$DQ$25,1,EQ299),0,IF(EQ300=INDEX('Lease Cycles'!$DK$25:$DQ$25,1,EQ299),1-INDEX('Lease Cycles'!$DR$25:$DX$25,1,EQ299),1))-IF(EQ300=0,INDEX('Lease Cycles'!$DD$25:$DJ$25,1,EQ299),0))),0)</f>
        <v>0</v>
      </c>
      <c r="ER306" s="28">
        <f>IF(ER301=1,IF(INDEX('Lease Cycles'!$EF$25:$EL$25,1,ER299)=1,0,ER302*(1-IF(ER300&lt;INDEX('Lease Cycles'!$DK$25:$DQ$25,1,ER299),0,IF(ER300=INDEX('Lease Cycles'!$DK$25:$DQ$25,1,ER299),1-INDEX('Lease Cycles'!$DR$25:$DX$25,1,ER299),1))-IF(ER300=0,INDEX('Lease Cycles'!$DD$25:$DJ$25,1,ER299),0))),0)</f>
        <v>0</v>
      </c>
      <c r="ES306" s="28">
        <f>IF(ES301=1,IF(INDEX('Lease Cycles'!$EF$25:$EL$25,1,ES299)=1,0,ES302*(1-IF(ES300&lt;INDEX('Lease Cycles'!$DK$25:$DQ$25,1,ES299),0,IF(ES300=INDEX('Lease Cycles'!$DK$25:$DQ$25,1,ES299),1-INDEX('Lease Cycles'!$DR$25:$DX$25,1,ES299),1))-IF(ES300=0,INDEX('Lease Cycles'!$DD$25:$DJ$25,1,ES299),0))),0)</f>
        <v>0</v>
      </c>
      <c r="ET306" s="28">
        <f>IF(ET301=1,IF(INDEX('Lease Cycles'!$EF$25:$EL$25,1,ET299)=1,0,ET302*(1-IF(ET300&lt;INDEX('Lease Cycles'!$DK$25:$DQ$25,1,ET299),0,IF(ET300=INDEX('Lease Cycles'!$DK$25:$DQ$25,1,ET299),1-INDEX('Lease Cycles'!$DR$25:$DX$25,1,ET299),1))-IF(ET300=0,INDEX('Lease Cycles'!$DD$25:$DJ$25,1,ET299),0))),0)</f>
        <v>0</v>
      </c>
    </row>
    <row r="307">
      <c r="A307" s="103">
        <v>18</v>
      </c>
      <c r="B307" s="23" t="str">
        <f>IF('Lease Cycles'!$B$25="","(empty slot)",'Lease Cycles'!$B$25)</f>
        <v>(empty slot)</v>
      </c>
      <c r="C307" s="23" t="s">
        <v>683</v>
      </c>
      <c r="D307" s="104" t="s">
        <v>684</v>
      </c>
      <c r="E307" s="25">
        <f>'Lease Cycles'!$AL$25</f>
        <v>0</v>
      </c>
      <c r="G307" s="24">
        <f>SUM(S307:AD307)</f>
        <v>0</v>
      </c>
      <c r="H307" s="24">
        <f>SUM(AE307:AP307)</f>
        <v>0</v>
      </c>
      <c r="I307" s="24">
        <f>SUM(AQ307:BB307)</f>
        <v>0</v>
      </c>
      <c r="J307" s="24">
        <f>SUM(BC307:BN307)</f>
        <v>0</v>
      </c>
      <c r="K307" s="24">
        <f>SUM(BO307:BZ307)</f>
        <v>0</v>
      </c>
      <c r="L307" s="24">
        <f>SUM(CA307:CL307)</f>
        <v>0</v>
      </c>
      <c r="M307" s="24">
        <f>SUM(CM307:CX307)</f>
        <v>0</v>
      </c>
      <c r="N307" s="24">
        <f>SUM(CY307:DJ307)</f>
        <v>0</v>
      </c>
      <c r="O307" s="24">
        <f>SUM(DK307:DV307)</f>
        <v>0</v>
      </c>
      <c r="P307" s="24">
        <f>SUM(DW307:EH307)</f>
        <v>0</v>
      </c>
      <c r="Q307" s="24">
        <f>SUM(EI307:ET307)</f>
        <v>0</v>
      </c>
      <c r="S307" s="24">
        <f>IF(S301=1,'Lease Cycles'!$D$25*IF(INDEX('Lease Cycles'!$EF$25:$EL$25,1,S299)=1,(1-'Lease Cycles'!$AJ$25)*INDEX('Lease Cycles'!$EM$25:$ES$25,1,S299)+(1-'Lease Cycles'!$BE$25)*IF(S300&lt;INDEX('Lease Cycles'!$FA$25:$FG$25,1,S299),0,1-INDEX('Lease Cycles'!$EM$25:$ES$25,1,S299)),IF(OR(INDEX('Lease Cycles'!$DY$25:$EE$25,1,S299)=1,S300&gt;0),1,1-INDEX('Lease Cycles'!$DD$25:$DJ$25,1,S299))*((1-'Lease Cycles'!$AJ$25)*INDEX('Lease Cycles'!$FO$25:$FU$25,1,S299)+(1-'Lease Cycles'!$BE$25)*(1-INDEX('Lease Cycles'!$FO$25:$FU$25,1,S299)))),0)</f>
        <v>0</v>
      </c>
      <c r="T307" s="24">
        <f>IF(T301=1,'Lease Cycles'!$D$25*IF(INDEX('Lease Cycles'!$EF$25:$EL$25,1,T299)=1,(1-'Lease Cycles'!$AJ$25)*INDEX('Lease Cycles'!$EM$25:$ES$25,1,T299)+(1-'Lease Cycles'!$BE$25)*IF(T300&lt;INDEX('Lease Cycles'!$FA$25:$FG$25,1,T299),0,1-INDEX('Lease Cycles'!$EM$25:$ES$25,1,T299)),IF(OR(INDEX('Lease Cycles'!$DY$25:$EE$25,1,T299)=1,T300&gt;0),1,1-INDEX('Lease Cycles'!$DD$25:$DJ$25,1,T299))*((1-'Lease Cycles'!$AJ$25)*INDEX('Lease Cycles'!$FO$25:$FU$25,1,T299)+(1-'Lease Cycles'!$BE$25)*(1-INDEX('Lease Cycles'!$FO$25:$FU$25,1,T299)))),0)</f>
        <v>0</v>
      </c>
      <c r="U307" s="24">
        <f>IF(U301=1,'Lease Cycles'!$D$25*IF(INDEX('Lease Cycles'!$EF$25:$EL$25,1,U299)=1,(1-'Lease Cycles'!$AJ$25)*INDEX('Lease Cycles'!$EM$25:$ES$25,1,U299)+(1-'Lease Cycles'!$BE$25)*IF(U300&lt;INDEX('Lease Cycles'!$FA$25:$FG$25,1,U299),0,1-INDEX('Lease Cycles'!$EM$25:$ES$25,1,U299)),IF(OR(INDEX('Lease Cycles'!$DY$25:$EE$25,1,U299)=1,U300&gt;0),1,1-INDEX('Lease Cycles'!$DD$25:$DJ$25,1,U299))*((1-'Lease Cycles'!$AJ$25)*INDEX('Lease Cycles'!$FO$25:$FU$25,1,U299)+(1-'Lease Cycles'!$BE$25)*(1-INDEX('Lease Cycles'!$FO$25:$FU$25,1,U299)))),0)</f>
        <v>0</v>
      </c>
      <c r="V307" s="24">
        <f>IF(V301=1,'Lease Cycles'!$D$25*IF(INDEX('Lease Cycles'!$EF$25:$EL$25,1,V299)=1,(1-'Lease Cycles'!$AJ$25)*INDEX('Lease Cycles'!$EM$25:$ES$25,1,V299)+(1-'Lease Cycles'!$BE$25)*IF(V300&lt;INDEX('Lease Cycles'!$FA$25:$FG$25,1,V299),0,1-INDEX('Lease Cycles'!$EM$25:$ES$25,1,V299)),IF(OR(INDEX('Lease Cycles'!$DY$25:$EE$25,1,V299)=1,V300&gt;0),1,1-INDEX('Lease Cycles'!$DD$25:$DJ$25,1,V299))*((1-'Lease Cycles'!$AJ$25)*INDEX('Lease Cycles'!$FO$25:$FU$25,1,V299)+(1-'Lease Cycles'!$BE$25)*(1-INDEX('Lease Cycles'!$FO$25:$FU$25,1,V299)))),0)</f>
        <v>0</v>
      </c>
      <c r="W307" s="24">
        <f>IF(W301=1,'Lease Cycles'!$D$25*IF(INDEX('Lease Cycles'!$EF$25:$EL$25,1,W299)=1,(1-'Lease Cycles'!$AJ$25)*INDEX('Lease Cycles'!$EM$25:$ES$25,1,W299)+(1-'Lease Cycles'!$BE$25)*IF(W300&lt;INDEX('Lease Cycles'!$FA$25:$FG$25,1,W299),0,1-INDEX('Lease Cycles'!$EM$25:$ES$25,1,W299)),IF(OR(INDEX('Lease Cycles'!$DY$25:$EE$25,1,W299)=1,W300&gt;0),1,1-INDEX('Lease Cycles'!$DD$25:$DJ$25,1,W299))*((1-'Lease Cycles'!$AJ$25)*INDEX('Lease Cycles'!$FO$25:$FU$25,1,W299)+(1-'Lease Cycles'!$BE$25)*(1-INDEX('Lease Cycles'!$FO$25:$FU$25,1,W299)))),0)</f>
        <v>0</v>
      </c>
      <c r="X307" s="24">
        <f>IF(X301=1,'Lease Cycles'!$D$25*IF(INDEX('Lease Cycles'!$EF$25:$EL$25,1,X299)=1,(1-'Lease Cycles'!$AJ$25)*INDEX('Lease Cycles'!$EM$25:$ES$25,1,X299)+(1-'Lease Cycles'!$BE$25)*IF(X300&lt;INDEX('Lease Cycles'!$FA$25:$FG$25,1,X299),0,1-INDEX('Lease Cycles'!$EM$25:$ES$25,1,X299)),IF(OR(INDEX('Lease Cycles'!$DY$25:$EE$25,1,X299)=1,X300&gt;0),1,1-INDEX('Lease Cycles'!$DD$25:$DJ$25,1,X299))*((1-'Lease Cycles'!$AJ$25)*INDEX('Lease Cycles'!$FO$25:$FU$25,1,X299)+(1-'Lease Cycles'!$BE$25)*(1-INDEX('Lease Cycles'!$FO$25:$FU$25,1,X299)))),0)</f>
        <v>0</v>
      </c>
      <c r="Y307" s="24">
        <f>IF(Y301=1,'Lease Cycles'!$D$25*IF(INDEX('Lease Cycles'!$EF$25:$EL$25,1,Y299)=1,(1-'Lease Cycles'!$AJ$25)*INDEX('Lease Cycles'!$EM$25:$ES$25,1,Y299)+(1-'Lease Cycles'!$BE$25)*IF(Y300&lt;INDEX('Lease Cycles'!$FA$25:$FG$25,1,Y299),0,1-INDEX('Lease Cycles'!$EM$25:$ES$25,1,Y299)),IF(OR(INDEX('Lease Cycles'!$DY$25:$EE$25,1,Y299)=1,Y300&gt;0),1,1-INDEX('Lease Cycles'!$DD$25:$DJ$25,1,Y299))*((1-'Lease Cycles'!$AJ$25)*INDEX('Lease Cycles'!$FO$25:$FU$25,1,Y299)+(1-'Lease Cycles'!$BE$25)*(1-INDEX('Lease Cycles'!$FO$25:$FU$25,1,Y299)))),0)</f>
        <v>0</v>
      </c>
      <c r="Z307" s="24">
        <f>IF(Z301=1,'Lease Cycles'!$D$25*IF(INDEX('Lease Cycles'!$EF$25:$EL$25,1,Z299)=1,(1-'Lease Cycles'!$AJ$25)*INDEX('Lease Cycles'!$EM$25:$ES$25,1,Z299)+(1-'Lease Cycles'!$BE$25)*IF(Z300&lt;INDEX('Lease Cycles'!$FA$25:$FG$25,1,Z299),0,1-INDEX('Lease Cycles'!$EM$25:$ES$25,1,Z299)),IF(OR(INDEX('Lease Cycles'!$DY$25:$EE$25,1,Z299)=1,Z300&gt;0),1,1-INDEX('Lease Cycles'!$DD$25:$DJ$25,1,Z299))*((1-'Lease Cycles'!$AJ$25)*INDEX('Lease Cycles'!$FO$25:$FU$25,1,Z299)+(1-'Lease Cycles'!$BE$25)*(1-INDEX('Lease Cycles'!$FO$25:$FU$25,1,Z299)))),0)</f>
        <v>0</v>
      </c>
      <c r="AA307" s="24">
        <f>IF(AA301=1,'Lease Cycles'!$D$25*IF(INDEX('Lease Cycles'!$EF$25:$EL$25,1,AA299)=1,(1-'Lease Cycles'!$AJ$25)*INDEX('Lease Cycles'!$EM$25:$ES$25,1,AA299)+(1-'Lease Cycles'!$BE$25)*IF(AA300&lt;INDEX('Lease Cycles'!$FA$25:$FG$25,1,AA299),0,1-INDEX('Lease Cycles'!$EM$25:$ES$25,1,AA299)),IF(OR(INDEX('Lease Cycles'!$DY$25:$EE$25,1,AA299)=1,AA300&gt;0),1,1-INDEX('Lease Cycles'!$DD$25:$DJ$25,1,AA299))*((1-'Lease Cycles'!$AJ$25)*INDEX('Lease Cycles'!$FO$25:$FU$25,1,AA299)+(1-'Lease Cycles'!$BE$25)*(1-INDEX('Lease Cycles'!$FO$25:$FU$25,1,AA299)))),0)</f>
        <v>0</v>
      </c>
      <c r="AB307" s="24">
        <f>IF(AB301=1,'Lease Cycles'!$D$25*IF(INDEX('Lease Cycles'!$EF$25:$EL$25,1,AB299)=1,(1-'Lease Cycles'!$AJ$25)*INDEX('Lease Cycles'!$EM$25:$ES$25,1,AB299)+(1-'Lease Cycles'!$BE$25)*IF(AB300&lt;INDEX('Lease Cycles'!$FA$25:$FG$25,1,AB299),0,1-INDEX('Lease Cycles'!$EM$25:$ES$25,1,AB299)),IF(OR(INDEX('Lease Cycles'!$DY$25:$EE$25,1,AB299)=1,AB300&gt;0),1,1-INDEX('Lease Cycles'!$DD$25:$DJ$25,1,AB299))*((1-'Lease Cycles'!$AJ$25)*INDEX('Lease Cycles'!$FO$25:$FU$25,1,AB299)+(1-'Lease Cycles'!$BE$25)*(1-INDEX('Lease Cycles'!$FO$25:$FU$25,1,AB299)))),0)</f>
        <v>0</v>
      </c>
      <c r="AC307" s="24">
        <f>IF(AC301=1,'Lease Cycles'!$D$25*IF(INDEX('Lease Cycles'!$EF$25:$EL$25,1,AC299)=1,(1-'Lease Cycles'!$AJ$25)*INDEX('Lease Cycles'!$EM$25:$ES$25,1,AC299)+(1-'Lease Cycles'!$BE$25)*IF(AC300&lt;INDEX('Lease Cycles'!$FA$25:$FG$25,1,AC299),0,1-INDEX('Lease Cycles'!$EM$25:$ES$25,1,AC299)),IF(OR(INDEX('Lease Cycles'!$DY$25:$EE$25,1,AC299)=1,AC300&gt;0),1,1-INDEX('Lease Cycles'!$DD$25:$DJ$25,1,AC299))*((1-'Lease Cycles'!$AJ$25)*INDEX('Lease Cycles'!$FO$25:$FU$25,1,AC299)+(1-'Lease Cycles'!$BE$25)*(1-INDEX('Lease Cycles'!$FO$25:$FU$25,1,AC299)))),0)</f>
        <v>0</v>
      </c>
      <c r="AD307" s="24">
        <f>IF(AD301=1,'Lease Cycles'!$D$25*IF(INDEX('Lease Cycles'!$EF$25:$EL$25,1,AD299)=1,(1-'Lease Cycles'!$AJ$25)*INDEX('Lease Cycles'!$EM$25:$ES$25,1,AD299)+(1-'Lease Cycles'!$BE$25)*IF(AD300&lt;INDEX('Lease Cycles'!$FA$25:$FG$25,1,AD299),0,1-INDEX('Lease Cycles'!$EM$25:$ES$25,1,AD299)),IF(OR(INDEX('Lease Cycles'!$DY$25:$EE$25,1,AD299)=1,AD300&gt;0),1,1-INDEX('Lease Cycles'!$DD$25:$DJ$25,1,AD299))*((1-'Lease Cycles'!$AJ$25)*INDEX('Lease Cycles'!$FO$25:$FU$25,1,AD299)+(1-'Lease Cycles'!$BE$25)*(1-INDEX('Lease Cycles'!$FO$25:$FU$25,1,AD299)))),0)</f>
        <v>0</v>
      </c>
      <c r="AE307" s="24">
        <f>IF(AE301=1,'Lease Cycles'!$D$25*IF(INDEX('Lease Cycles'!$EF$25:$EL$25,1,AE299)=1,(1-'Lease Cycles'!$AJ$25)*INDEX('Lease Cycles'!$EM$25:$ES$25,1,AE299)+(1-'Lease Cycles'!$BE$25)*IF(AE300&lt;INDEX('Lease Cycles'!$FA$25:$FG$25,1,AE299),0,1-INDEX('Lease Cycles'!$EM$25:$ES$25,1,AE299)),IF(OR(INDEX('Lease Cycles'!$DY$25:$EE$25,1,AE299)=1,AE300&gt;0),1,1-INDEX('Lease Cycles'!$DD$25:$DJ$25,1,AE299))*((1-'Lease Cycles'!$AJ$25)*INDEX('Lease Cycles'!$FO$25:$FU$25,1,AE299)+(1-'Lease Cycles'!$BE$25)*(1-INDEX('Lease Cycles'!$FO$25:$FU$25,1,AE299)))),0)</f>
        <v>0</v>
      </c>
      <c r="AF307" s="24">
        <f>IF(AF301=1,'Lease Cycles'!$D$25*IF(INDEX('Lease Cycles'!$EF$25:$EL$25,1,AF299)=1,(1-'Lease Cycles'!$AJ$25)*INDEX('Lease Cycles'!$EM$25:$ES$25,1,AF299)+(1-'Lease Cycles'!$BE$25)*IF(AF300&lt;INDEX('Lease Cycles'!$FA$25:$FG$25,1,AF299),0,1-INDEX('Lease Cycles'!$EM$25:$ES$25,1,AF299)),IF(OR(INDEX('Lease Cycles'!$DY$25:$EE$25,1,AF299)=1,AF300&gt;0),1,1-INDEX('Lease Cycles'!$DD$25:$DJ$25,1,AF299))*((1-'Lease Cycles'!$AJ$25)*INDEX('Lease Cycles'!$FO$25:$FU$25,1,AF299)+(1-'Lease Cycles'!$BE$25)*(1-INDEX('Lease Cycles'!$FO$25:$FU$25,1,AF299)))),0)</f>
        <v>0</v>
      </c>
      <c r="AG307" s="24">
        <f>IF(AG301=1,'Lease Cycles'!$D$25*IF(INDEX('Lease Cycles'!$EF$25:$EL$25,1,AG299)=1,(1-'Lease Cycles'!$AJ$25)*INDEX('Lease Cycles'!$EM$25:$ES$25,1,AG299)+(1-'Lease Cycles'!$BE$25)*IF(AG300&lt;INDEX('Lease Cycles'!$FA$25:$FG$25,1,AG299),0,1-INDEX('Lease Cycles'!$EM$25:$ES$25,1,AG299)),IF(OR(INDEX('Lease Cycles'!$DY$25:$EE$25,1,AG299)=1,AG300&gt;0),1,1-INDEX('Lease Cycles'!$DD$25:$DJ$25,1,AG299))*((1-'Lease Cycles'!$AJ$25)*INDEX('Lease Cycles'!$FO$25:$FU$25,1,AG299)+(1-'Lease Cycles'!$BE$25)*(1-INDEX('Lease Cycles'!$FO$25:$FU$25,1,AG299)))),0)</f>
        <v>0</v>
      </c>
      <c r="AH307" s="24">
        <f>IF(AH301=1,'Lease Cycles'!$D$25*IF(INDEX('Lease Cycles'!$EF$25:$EL$25,1,AH299)=1,(1-'Lease Cycles'!$AJ$25)*INDEX('Lease Cycles'!$EM$25:$ES$25,1,AH299)+(1-'Lease Cycles'!$BE$25)*IF(AH300&lt;INDEX('Lease Cycles'!$FA$25:$FG$25,1,AH299),0,1-INDEX('Lease Cycles'!$EM$25:$ES$25,1,AH299)),IF(OR(INDEX('Lease Cycles'!$DY$25:$EE$25,1,AH299)=1,AH300&gt;0),1,1-INDEX('Lease Cycles'!$DD$25:$DJ$25,1,AH299))*((1-'Lease Cycles'!$AJ$25)*INDEX('Lease Cycles'!$FO$25:$FU$25,1,AH299)+(1-'Lease Cycles'!$BE$25)*(1-INDEX('Lease Cycles'!$FO$25:$FU$25,1,AH299)))),0)</f>
        <v>0</v>
      </c>
      <c r="AI307" s="24">
        <f>IF(AI301=1,'Lease Cycles'!$D$25*IF(INDEX('Lease Cycles'!$EF$25:$EL$25,1,AI299)=1,(1-'Lease Cycles'!$AJ$25)*INDEX('Lease Cycles'!$EM$25:$ES$25,1,AI299)+(1-'Lease Cycles'!$BE$25)*IF(AI300&lt;INDEX('Lease Cycles'!$FA$25:$FG$25,1,AI299),0,1-INDEX('Lease Cycles'!$EM$25:$ES$25,1,AI299)),IF(OR(INDEX('Lease Cycles'!$DY$25:$EE$25,1,AI299)=1,AI300&gt;0),1,1-INDEX('Lease Cycles'!$DD$25:$DJ$25,1,AI299))*((1-'Lease Cycles'!$AJ$25)*INDEX('Lease Cycles'!$FO$25:$FU$25,1,AI299)+(1-'Lease Cycles'!$BE$25)*(1-INDEX('Lease Cycles'!$FO$25:$FU$25,1,AI299)))),0)</f>
        <v>0</v>
      </c>
      <c r="AJ307" s="24">
        <f>IF(AJ301=1,'Lease Cycles'!$D$25*IF(INDEX('Lease Cycles'!$EF$25:$EL$25,1,AJ299)=1,(1-'Lease Cycles'!$AJ$25)*INDEX('Lease Cycles'!$EM$25:$ES$25,1,AJ299)+(1-'Lease Cycles'!$BE$25)*IF(AJ300&lt;INDEX('Lease Cycles'!$FA$25:$FG$25,1,AJ299),0,1-INDEX('Lease Cycles'!$EM$25:$ES$25,1,AJ299)),IF(OR(INDEX('Lease Cycles'!$DY$25:$EE$25,1,AJ299)=1,AJ300&gt;0),1,1-INDEX('Lease Cycles'!$DD$25:$DJ$25,1,AJ299))*((1-'Lease Cycles'!$AJ$25)*INDEX('Lease Cycles'!$FO$25:$FU$25,1,AJ299)+(1-'Lease Cycles'!$BE$25)*(1-INDEX('Lease Cycles'!$FO$25:$FU$25,1,AJ299)))),0)</f>
        <v>0</v>
      </c>
      <c r="AK307" s="24">
        <f>IF(AK301=1,'Lease Cycles'!$D$25*IF(INDEX('Lease Cycles'!$EF$25:$EL$25,1,AK299)=1,(1-'Lease Cycles'!$AJ$25)*INDEX('Lease Cycles'!$EM$25:$ES$25,1,AK299)+(1-'Lease Cycles'!$BE$25)*IF(AK300&lt;INDEX('Lease Cycles'!$FA$25:$FG$25,1,AK299),0,1-INDEX('Lease Cycles'!$EM$25:$ES$25,1,AK299)),IF(OR(INDEX('Lease Cycles'!$DY$25:$EE$25,1,AK299)=1,AK300&gt;0),1,1-INDEX('Lease Cycles'!$DD$25:$DJ$25,1,AK299))*((1-'Lease Cycles'!$AJ$25)*INDEX('Lease Cycles'!$FO$25:$FU$25,1,AK299)+(1-'Lease Cycles'!$BE$25)*(1-INDEX('Lease Cycles'!$FO$25:$FU$25,1,AK299)))),0)</f>
        <v>0</v>
      </c>
      <c r="AL307" s="24">
        <f>IF(AL301=1,'Lease Cycles'!$D$25*IF(INDEX('Lease Cycles'!$EF$25:$EL$25,1,AL299)=1,(1-'Lease Cycles'!$AJ$25)*INDEX('Lease Cycles'!$EM$25:$ES$25,1,AL299)+(1-'Lease Cycles'!$BE$25)*IF(AL300&lt;INDEX('Lease Cycles'!$FA$25:$FG$25,1,AL299),0,1-INDEX('Lease Cycles'!$EM$25:$ES$25,1,AL299)),IF(OR(INDEX('Lease Cycles'!$DY$25:$EE$25,1,AL299)=1,AL300&gt;0),1,1-INDEX('Lease Cycles'!$DD$25:$DJ$25,1,AL299))*((1-'Lease Cycles'!$AJ$25)*INDEX('Lease Cycles'!$FO$25:$FU$25,1,AL299)+(1-'Lease Cycles'!$BE$25)*(1-INDEX('Lease Cycles'!$FO$25:$FU$25,1,AL299)))),0)</f>
        <v>0</v>
      </c>
      <c r="AM307" s="24">
        <f>IF(AM301=1,'Lease Cycles'!$D$25*IF(INDEX('Lease Cycles'!$EF$25:$EL$25,1,AM299)=1,(1-'Lease Cycles'!$AJ$25)*INDEX('Lease Cycles'!$EM$25:$ES$25,1,AM299)+(1-'Lease Cycles'!$BE$25)*IF(AM300&lt;INDEX('Lease Cycles'!$FA$25:$FG$25,1,AM299),0,1-INDEX('Lease Cycles'!$EM$25:$ES$25,1,AM299)),IF(OR(INDEX('Lease Cycles'!$DY$25:$EE$25,1,AM299)=1,AM300&gt;0),1,1-INDEX('Lease Cycles'!$DD$25:$DJ$25,1,AM299))*((1-'Lease Cycles'!$AJ$25)*INDEX('Lease Cycles'!$FO$25:$FU$25,1,AM299)+(1-'Lease Cycles'!$BE$25)*(1-INDEX('Lease Cycles'!$FO$25:$FU$25,1,AM299)))),0)</f>
        <v>0</v>
      </c>
      <c r="AN307" s="24">
        <f>IF(AN301=1,'Lease Cycles'!$D$25*IF(INDEX('Lease Cycles'!$EF$25:$EL$25,1,AN299)=1,(1-'Lease Cycles'!$AJ$25)*INDEX('Lease Cycles'!$EM$25:$ES$25,1,AN299)+(1-'Lease Cycles'!$BE$25)*IF(AN300&lt;INDEX('Lease Cycles'!$FA$25:$FG$25,1,AN299),0,1-INDEX('Lease Cycles'!$EM$25:$ES$25,1,AN299)),IF(OR(INDEX('Lease Cycles'!$DY$25:$EE$25,1,AN299)=1,AN300&gt;0),1,1-INDEX('Lease Cycles'!$DD$25:$DJ$25,1,AN299))*((1-'Lease Cycles'!$AJ$25)*INDEX('Lease Cycles'!$FO$25:$FU$25,1,AN299)+(1-'Lease Cycles'!$BE$25)*(1-INDEX('Lease Cycles'!$FO$25:$FU$25,1,AN299)))),0)</f>
        <v>0</v>
      </c>
      <c r="AO307" s="24">
        <f>IF(AO301=1,'Lease Cycles'!$D$25*IF(INDEX('Lease Cycles'!$EF$25:$EL$25,1,AO299)=1,(1-'Lease Cycles'!$AJ$25)*INDEX('Lease Cycles'!$EM$25:$ES$25,1,AO299)+(1-'Lease Cycles'!$BE$25)*IF(AO300&lt;INDEX('Lease Cycles'!$FA$25:$FG$25,1,AO299),0,1-INDEX('Lease Cycles'!$EM$25:$ES$25,1,AO299)),IF(OR(INDEX('Lease Cycles'!$DY$25:$EE$25,1,AO299)=1,AO300&gt;0),1,1-INDEX('Lease Cycles'!$DD$25:$DJ$25,1,AO299))*((1-'Lease Cycles'!$AJ$25)*INDEX('Lease Cycles'!$FO$25:$FU$25,1,AO299)+(1-'Lease Cycles'!$BE$25)*(1-INDEX('Lease Cycles'!$FO$25:$FU$25,1,AO299)))),0)</f>
        <v>0</v>
      </c>
      <c r="AP307" s="24">
        <f>IF(AP301=1,'Lease Cycles'!$D$25*IF(INDEX('Lease Cycles'!$EF$25:$EL$25,1,AP299)=1,(1-'Lease Cycles'!$AJ$25)*INDEX('Lease Cycles'!$EM$25:$ES$25,1,AP299)+(1-'Lease Cycles'!$BE$25)*IF(AP300&lt;INDEX('Lease Cycles'!$FA$25:$FG$25,1,AP299),0,1-INDEX('Lease Cycles'!$EM$25:$ES$25,1,AP299)),IF(OR(INDEX('Lease Cycles'!$DY$25:$EE$25,1,AP299)=1,AP300&gt;0),1,1-INDEX('Lease Cycles'!$DD$25:$DJ$25,1,AP299))*((1-'Lease Cycles'!$AJ$25)*INDEX('Lease Cycles'!$FO$25:$FU$25,1,AP299)+(1-'Lease Cycles'!$BE$25)*(1-INDEX('Lease Cycles'!$FO$25:$FU$25,1,AP299)))),0)</f>
        <v>0</v>
      </c>
      <c r="AQ307" s="24">
        <f>IF(AQ301=1,'Lease Cycles'!$D$25*IF(INDEX('Lease Cycles'!$EF$25:$EL$25,1,AQ299)=1,(1-'Lease Cycles'!$AJ$25)*INDEX('Lease Cycles'!$EM$25:$ES$25,1,AQ299)+(1-'Lease Cycles'!$BE$25)*IF(AQ300&lt;INDEX('Lease Cycles'!$FA$25:$FG$25,1,AQ299),0,1-INDEX('Lease Cycles'!$EM$25:$ES$25,1,AQ299)),IF(OR(INDEX('Lease Cycles'!$DY$25:$EE$25,1,AQ299)=1,AQ300&gt;0),1,1-INDEX('Lease Cycles'!$DD$25:$DJ$25,1,AQ299))*((1-'Lease Cycles'!$AJ$25)*INDEX('Lease Cycles'!$FO$25:$FU$25,1,AQ299)+(1-'Lease Cycles'!$BE$25)*(1-INDEX('Lease Cycles'!$FO$25:$FU$25,1,AQ299)))),0)</f>
        <v>0</v>
      </c>
      <c r="AR307" s="24">
        <f>IF(AR301=1,'Lease Cycles'!$D$25*IF(INDEX('Lease Cycles'!$EF$25:$EL$25,1,AR299)=1,(1-'Lease Cycles'!$AJ$25)*INDEX('Lease Cycles'!$EM$25:$ES$25,1,AR299)+(1-'Lease Cycles'!$BE$25)*IF(AR300&lt;INDEX('Lease Cycles'!$FA$25:$FG$25,1,AR299),0,1-INDEX('Lease Cycles'!$EM$25:$ES$25,1,AR299)),IF(OR(INDEX('Lease Cycles'!$DY$25:$EE$25,1,AR299)=1,AR300&gt;0),1,1-INDEX('Lease Cycles'!$DD$25:$DJ$25,1,AR299))*((1-'Lease Cycles'!$AJ$25)*INDEX('Lease Cycles'!$FO$25:$FU$25,1,AR299)+(1-'Lease Cycles'!$BE$25)*(1-INDEX('Lease Cycles'!$FO$25:$FU$25,1,AR299)))),0)</f>
        <v>0</v>
      </c>
      <c r="AS307" s="24">
        <f>IF(AS301=1,'Lease Cycles'!$D$25*IF(INDEX('Lease Cycles'!$EF$25:$EL$25,1,AS299)=1,(1-'Lease Cycles'!$AJ$25)*INDEX('Lease Cycles'!$EM$25:$ES$25,1,AS299)+(1-'Lease Cycles'!$BE$25)*IF(AS300&lt;INDEX('Lease Cycles'!$FA$25:$FG$25,1,AS299),0,1-INDEX('Lease Cycles'!$EM$25:$ES$25,1,AS299)),IF(OR(INDEX('Lease Cycles'!$DY$25:$EE$25,1,AS299)=1,AS300&gt;0),1,1-INDEX('Lease Cycles'!$DD$25:$DJ$25,1,AS299))*((1-'Lease Cycles'!$AJ$25)*INDEX('Lease Cycles'!$FO$25:$FU$25,1,AS299)+(1-'Lease Cycles'!$BE$25)*(1-INDEX('Lease Cycles'!$FO$25:$FU$25,1,AS299)))),0)</f>
        <v>0</v>
      </c>
      <c r="AT307" s="24">
        <f>IF(AT301=1,'Lease Cycles'!$D$25*IF(INDEX('Lease Cycles'!$EF$25:$EL$25,1,AT299)=1,(1-'Lease Cycles'!$AJ$25)*INDEX('Lease Cycles'!$EM$25:$ES$25,1,AT299)+(1-'Lease Cycles'!$BE$25)*IF(AT300&lt;INDEX('Lease Cycles'!$FA$25:$FG$25,1,AT299),0,1-INDEX('Lease Cycles'!$EM$25:$ES$25,1,AT299)),IF(OR(INDEX('Lease Cycles'!$DY$25:$EE$25,1,AT299)=1,AT300&gt;0),1,1-INDEX('Lease Cycles'!$DD$25:$DJ$25,1,AT299))*((1-'Lease Cycles'!$AJ$25)*INDEX('Lease Cycles'!$FO$25:$FU$25,1,AT299)+(1-'Lease Cycles'!$BE$25)*(1-INDEX('Lease Cycles'!$FO$25:$FU$25,1,AT299)))),0)</f>
        <v>0</v>
      </c>
      <c r="AU307" s="24">
        <f>IF(AU301=1,'Lease Cycles'!$D$25*IF(INDEX('Lease Cycles'!$EF$25:$EL$25,1,AU299)=1,(1-'Lease Cycles'!$AJ$25)*INDEX('Lease Cycles'!$EM$25:$ES$25,1,AU299)+(1-'Lease Cycles'!$BE$25)*IF(AU300&lt;INDEX('Lease Cycles'!$FA$25:$FG$25,1,AU299),0,1-INDEX('Lease Cycles'!$EM$25:$ES$25,1,AU299)),IF(OR(INDEX('Lease Cycles'!$DY$25:$EE$25,1,AU299)=1,AU300&gt;0),1,1-INDEX('Lease Cycles'!$DD$25:$DJ$25,1,AU299))*((1-'Lease Cycles'!$AJ$25)*INDEX('Lease Cycles'!$FO$25:$FU$25,1,AU299)+(1-'Lease Cycles'!$BE$25)*(1-INDEX('Lease Cycles'!$FO$25:$FU$25,1,AU299)))),0)</f>
        <v>0</v>
      </c>
      <c r="AV307" s="24">
        <f>IF(AV301=1,'Lease Cycles'!$D$25*IF(INDEX('Lease Cycles'!$EF$25:$EL$25,1,AV299)=1,(1-'Lease Cycles'!$AJ$25)*INDEX('Lease Cycles'!$EM$25:$ES$25,1,AV299)+(1-'Lease Cycles'!$BE$25)*IF(AV300&lt;INDEX('Lease Cycles'!$FA$25:$FG$25,1,AV299),0,1-INDEX('Lease Cycles'!$EM$25:$ES$25,1,AV299)),IF(OR(INDEX('Lease Cycles'!$DY$25:$EE$25,1,AV299)=1,AV300&gt;0),1,1-INDEX('Lease Cycles'!$DD$25:$DJ$25,1,AV299))*((1-'Lease Cycles'!$AJ$25)*INDEX('Lease Cycles'!$FO$25:$FU$25,1,AV299)+(1-'Lease Cycles'!$BE$25)*(1-INDEX('Lease Cycles'!$FO$25:$FU$25,1,AV299)))),0)</f>
        <v>0</v>
      </c>
      <c r="AW307" s="24">
        <f>IF(AW301=1,'Lease Cycles'!$D$25*IF(INDEX('Lease Cycles'!$EF$25:$EL$25,1,AW299)=1,(1-'Lease Cycles'!$AJ$25)*INDEX('Lease Cycles'!$EM$25:$ES$25,1,AW299)+(1-'Lease Cycles'!$BE$25)*IF(AW300&lt;INDEX('Lease Cycles'!$FA$25:$FG$25,1,AW299),0,1-INDEX('Lease Cycles'!$EM$25:$ES$25,1,AW299)),IF(OR(INDEX('Lease Cycles'!$DY$25:$EE$25,1,AW299)=1,AW300&gt;0),1,1-INDEX('Lease Cycles'!$DD$25:$DJ$25,1,AW299))*((1-'Lease Cycles'!$AJ$25)*INDEX('Lease Cycles'!$FO$25:$FU$25,1,AW299)+(1-'Lease Cycles'!$BE$25)*(1-INDEX('Lease Cycles'!$FO$25:$FU$25,1,AW299)))),0)</f>
        <v>0</v>
      </c>
      <c r="AX307" s="24">
        <f>IF(AX301=1,'Lease Cycles'!$D$25*IF(INDEX('Lease Cycles'!$EF$25:$EL$25,1,AX299)=1,(1-'Lease Cycles'!$AJ$25)*INDEX('Lease Cycles'!$EM$25:$ES$25,1,AX299)+(1-'Lease Cycles'!$BE$25)*IF(AX300&lt;INDEX('Lease Cycles'!$FA$25:$FG$25,1,AX299),0,1-INDEX('Lease Cycles'!$EM$25:$ES$25,1,AX299)),IF(OR(INDEX('Lease Cycles'!$DY$25:$EE$25,1,AX299)=1,AX300&gt;0),1,1-INDEX('Lease Cycles'!$DD$25:$DJ$25,1,AX299))*((1-'Lease Cycles'!$AJ$25)*INDEX('Lease Cycles'!$FO$25:$FU$25,1,AX299)+(1-'Lease Cycles'!$BE$25)*(1-INDEX('Lease Cycles'!$FO$25:$FU$25,1,AX299)))),0)</f>
        <v>0</v>
      </c>
      <c r="AY307" s="24">
        <f>IF(AY301=1,'Lease Cycles'!$D$25*IF(INDEX('Lease Cycles'!$EF$25:$EL$25,1,AY299)=1,(1-'Lease Cycles'!$AJ$25)*INDEX('Lease Cycles'!$EM$25:$ES$25,1,AY299)+(1-'Lease Cycles'!$BE$25)*IF(AY300&lt;INDEX('Lease Cycles'!$FA$25:$FG$25,1,AY299),0,1-INDEX('Lease Cycles'!$EM$25:$ES$25,1,AY299)),IF(OR(INDEX('Lease Cycles'!$DY$25:$EE$25,1,AY299)=1,AY300&gt;0),1,1-INDEX('Lease Cycles'!$DD$25:$DJ$25,1,AY299))*((1-'Lease Cycles'!$AJ$25)*INDEX('Lease Cycles'!$FO$25:$FU$25,1,AY299)+(1-'Lease Cycles'!$BE$25)*(1-INDEX('Lease Cycles'!$FO$25:$FU$25,1,AY299)))),0)</f>
        <v>0</v>
      </c>
      <c r="AZ307" s="24">
        <f>IF(AZ301=1,'Lease Cycles'!$D$25*IF(INDEX('Lease Cycles'!$EF$25:$EL$25,1,AZ299)=1,(1-'Lease Cycles'!$AJ$25)*INDEX('Lease Cycles'!$EM$25:$ES$25,1,AZ299)+(1-'Lease Cycles'!$BE$25)*IF(AZ300&lt;INDEX('Lease Cycles'!$FA$25:$FG$25,1,AZ299),0,1-INDEX('Lease Cycles'!$EM$25:$ES$25,1,AZ299)),IF(OR(INDEX('Lease Cycles'!$DY$25:$EE$25,1,AZ299)=1,AZ300&gt;0),1,1-INDEX('Lease Cycles'!$DD$25:$DJ$25,1,AZ299))*((1-'Lease Cycles'!$AJ$25)*INDEX('Lease Cycles'!$FO$25:$FU$25,1,AZ299)+(1-'Lease Cycles'!$BE$25)*(1-INDEX('Lease Cycles'!$FO$25:$FU$25,1,AZ299)))),0)</f>
        <v>0</v>
      </c>
      <c r="BA307" s="24">
        <f>IF(BA301=1,'Lease Cycles'!$D$25*IF(INDEX('Lease Cycles'!$EF$25:$EL$25,1,BA299)=1,(1-'Lease Cycles'!$AJ$25)*INDEX('Lease Cycles'!$EM$25:$ES$25,1,BA299)+(1-'Lease Cycles'!$BE$25)*IF(BA300&lt;INDEX('Lease Cycles'!$FA$25:$FG$25,1,BA299),0,1-INDEX('Lease Cycles'!$EM$25:$ES$25,1,BA299)),IF(OR(INDEX('Lease Cycles'!$DY$25:$EE$25,1,BA299)=1,BA300&gt;0),1,1-INDEX('Lease Cycles'!$DD$25:$DJ$25,1,BA299))*((1-'Lease Cycles'!$AJ$25)*INDEX('Lease Cycles'!$FO$25:$FU$25,1,BA299)+(1-'Lease Cycles'!$BE$25)*(1-INDEX('Lease Cycles'!$FO$25:$FU$25,1,BA299)))),0)</f>
        <v>0</v>
      </c>
      <c r="BB307" s="24">
        <f>IF(BB301=1,'Lease Cycles'!$D$25*IF(INDEX('Lease Cycles'!$EF$25:$EL$25,1,BB299)=1,(1-'Lease Cycles'!$AJ$25)*INDEX('Lease Cycles'!$EM$25:$ES$25,1,BB299)+(1-'Lease Cycles'!$BE$25)*IF(BB300&lt;INDEX('Lease Cycles'!$FA$25:$FG$25,1,BB299),0,1-INDEX('Lease Cycles'!$EM$25:$ES$25,1,BB299)),IF(OR(INDEX('Lease Cycles'!$DY$25:$EE$25,1,BB299)=1,BB300&gt;0),1,1-INDEX('Lease Cycles'!$DD$25:$DJ$25,1,BB299))*((1-'Lease Cycles'!$AJ$25)*INDEX('Lease Cycles'!$FO$25:$FU$25,1,BB299)+(1-'Lease Cycles'!$BE$25)*(1-INDEX('Lease Cycles'!$FO$25:$FU$25,1,BB299)))),0)</f>
        <v>0</v>
      </c>
      <c r="BC307" s="24">
        <f>IF(BC301=1,'Lease Cycles'!$D$25*IF(INDEX('Lease Cycles'!$EF$25:$EL$25,1,BC299)=1,(1-'Lease Cycles'!$AJ$25)*INDEX('Lease Cycles'!$EM$25:$ES$25,1,BC299)+(1-'Lease Cycles'!$BE$25)*IF(BC300&lt;INDEX('Lease Cycles'!$FA$25:$FG$25,1,BC299),0,1-INDEX('Lease Cycles'!$EM$25:$ES$25,1,BC299)),IF(OR(INDEX('Lease Cycles'!$DY$25:$EE$25,1,BC299)=1,BC300&gt;0),1,1-INDEX('Lease Cycles'!$DD$25:$DJ$25,1,BC299))*((1-'Lease Cycles'!$AJ$25)*INDEX('Lease Cycles'!$FO$25:$FU$25,1,BC299)+(1-'Lease Cycles'!$BE$25)*(1-INDEX('Lease Cycles'!$FO$25:$FU$25,1,BC299)))),0)</f>
        <v>0</v>
      </c>
      <c r="BD307" s="24">
        <f>IF(BD301=1,'Lease Cycles'!$D$25*IF(INDEX('Lease Cycles'!$EF$25:$EL$25,1,BD299)=1,(1-'Lease Cycles'!$AJ$25)*INDEX('Lease Cycles'!$EM$25:$ES$25,1,BD299)+(1-'Lease Cycles'!$BE$25)*IF(BD300&lt;INDEX('Lease Cycles'!$FA$25:$FG$25,1,BD299),0,1-INDEX('Lease Cycles'!$EM$25:$ES$25,1,BD299)),IF(OR(INDEX('Lease Cycles'!$DY$25:$EE$25,1,BD299)=1,BD300&gt;0),1,1-INDEX('Lease Cycles'!$DD$25:$DJ$25,1,BD299))*((1-'Lease Cycles'!$AJ$25)*INDEX('Lease Cycles'!$FO$25:$FU$25,1,BD299)+(1-'Lease Cycles'!$BE$25)*(1-INDEX('Lease Cycles'!$FO$25:$FU$25,1,BD299)))),0)</f>
        <v>0</v>
      </c>
      <c r="BE307" s="24">
        <f>IF(BE301=1,'Lease Cycles'!$D$25*IF(INDEX('Lease Cycles'!$EF$25:$EL$25,1,BE299)=1,(1-'Lease Cycles'!$AJ$25)*INDEX('Lease Cycles'!$EM$25:$ES$25,1,BE299)+(1-'Lease Cycles'!$BE$25)*IF(BE300&lt;INDEX('Lease Cycles'!$FA$25:$FG$25,1,BE299),0,1-INDEX('Lease Cycles'!$EM$25:$ES$25,1,BE299)),IF(OR(INDEX('Lease Cycles'!$DY$25:$EE$25,1,BE299)=1,BE300&gt;0),1,1-INDEX('Lease Cycles'!$DD$25:$DJ$25,1,BE299))*((1-'Lease Cycles'!$AJ$25)*INDEX('Lease Cycles'!$FO$25:$FU$25,1,BE299)+(1-'Lease Cycles'!$BE$25)*(1-INDEX('Lease Cycles'!$FO$25:$FU$25,1,BE299)))),0)</f>
        <v>0</v>
      </c>
      <c r="BF307" s="24">
        <f>IF(BF301=1,'Lease Cycles'!$D$25*IF(INDEX('Lease Cycles'!$EF$25:$EL$25,1,BF299)=1,(1-'Lease Cycles'!$AJ$25)*INDEX('Lease Cycles'!$EM$25:$ES$25,1,BF299)+(1-'Lease Cycles'!$BE$25)*IF(BF300&lt;INDEX('Lease Cycles'!$FA$25:$FG$25,1,BF299),0,1-INDEX('Lease Cycles'!$EM$25:$ES$25,1,BF299)),IF(OR(INDEX('Lease Cycles'!$DY$25:$EE$25,1,BF299)=1,BF300&gt;0),1,1-INDEX('Lease Cycles'!$DD$25:$DJ$25,1,BF299))*((1-'Lease Cycles'!$AJ$25)*INDEX('Lease Cycles'!$FO$25:$FU$25,1,BF299)+(1-'Lease Cycles'!$BE$25)*(1-INDEX('Lease Cycles'!$FO$25:$FU$25,1,BF299)))),0)</f>
        <v>0</v>
      </c>
      <c r="BG307" s="24">
        <f>IF(BG301=1,'Lease Cycles'!$D$25*IF(INDEX('Lease Cycles'!$EF$25:$EL$25,1,BG299)=1,(1-'Lease Cycles'!$AJ$25)*INDEX('Lease Cycles'!$EM$25:$ES$25,1,BG299)+(1-'Lease Cycles'!$BE$25)*IF(BG300&lt;INDEX('Lease Cycles'!$FA$25:$FG$25,1,BG299),0,1-INDEX('Lease Cycles'!$EM$25:$ES$25,1,BG299)),IF(OR(INDEX('Lease Cycles'!$DY$25:$EE$25,1,BG299)=1,BG300&gt;0),1,1-INDEX('Lease Cycles'!$DD$25:$DJ$25,1,BG299))*((1-'Lease Cycles'!$AJ$25)*INDEX('Lease Cycles'!$FO$25:$FU$25,1,BG299)+(1-'Lease Cycles'!$BE$25)*(1-INDEX('Lease Cycles'!$FO$25:$FU$25,1,BG299)))),0)</f>
        <v>0</v>
      </c>
      <c r="BH307" s="24">
        <f>IF(BH301=1,'Lease Cycles'!$D$25*IF(INDEX('Lease Cycles'!$EF$25:$EL$25,1,BH299)=1,(1-'Lease Cycles'!$AJ$25)*INDEX('Lease Cycles'!$EM$25:$ES$25,1,BH299)+(1-'Lease Cycles'!$BE$25)*IF(BH300&lt;INDEX('Lease Cycles'!$FA$25:$FG$25,1,BH299),0,1-INDEX('Lease Cycles'!$EM$25:$ES$25,1,BH299)),IF(OR(INDEX('Lease Cycles'!$DY$25:$EE$25,1,BH299)=1,BH300&gt;0),1,1-INDEX('Lease Cycles'!$DD$25:$DJ$25,1,BH299))*((1-'Lease Cycles'!$AJ$25)*INDEX('Lease Cycles'!$FO$25:$FU$25,1,BH299)+(1-'Lease Cycles'!$BE$25)*(1-INDEX('Lease Cycles'!$FO$25:$FU$25,1,BH299)))),0)</f>
        <v>0</v>
      </c>
      <c r="BI307" s="24">
        <f>IF(BI301=1,'Lease Cycles'!$D$25*IF(INDEX('Lease Cycles'!$EF$25:$EL$25,1,BI299)=1,(1-'Lease Cycles'!$AJ$25)*INDEX('Lease Cycles'!$EM$25:$ES$25,1,BI299)+(1-'Lease Cycles'!$BE$25)*IF(BI300&lt;INDEX('Lease Cycles'!$FA$25:$FG$25,1,BI299),0,1-INDEX('Lease Cycles'!$EM$25:$ES$25,1,BI299)),IF(OR(INDEX('Lease Cycles'!$DY$25:$EE$25,1,BI299)=1,BI300&gt;0),1,1-INDEX('Lease Cycles'!$DD$25:$DJ$25,1,BI299))*((1-'Lease Cycles'!$AJ$25)*INDEX('Lease Cycles'!$FO$25:$FU$25,1,BI299)+(1-'Lease Cycles'!$BE$25)*(1-INDEX('Lease Cycles'!$FO$25:$FU$25,1,BI299)))),0)</f>
        <v>0</v>
      </c>
      <c r="BJ307" s="24">
        <f>IF(BJ301=1,'Lease Cycles'!$D$25*IF(INDEX('Lease Cycles'!$EF$25:$EL$25,1,BJ299)=1,(1-'Lease Cycles'!$AJ$25)*INDEX('Lease Cycles'!$EM$25:$ES$25,1,BJ299)+(1-'Lease Cycles'!$BE$25)*IF(BJ300&lt;INDEX('Lease Cycles'!$FA$25:$FG$25,1,BJ299),0,1-INDEX('Lease Cycles'!$EM$25:$ES$25,1,BJ299)),IF(OR(INDEX('Lease Cycles'!$DY$25:$EE$25,1,BJ299)=1,BJ300&gt;0),1,1-INDEX('Lease Cycles'!$DD$25:$DJ$25,1,BJ299))*((1-'Lease Cycles'!$AJ$25)*INDEX('Lease Cycles'!$FO$25:$FU$25,1,BJ299)+(1-'Lease Cycles'!$BE$25)*(1-INDEX('Lease Cycles'!$FO$25:$FU$25,1,BJ299)))),0)</f>
        <v>0</v>
      </c>
      <c r="BK307" s="24">
        <f>IF(BK301=1,'Lease Cycles'!$D$25*IF(INDEX('Lease Cycles'!$EF$25:$EL$25,1,BK299)=1,(1-'Lease Cycles'!$AJ$25)*INDEX('Lease Cycles'!$EM$25:$ES$25,1,BK299)+(1-'Lease Cycles'!$BE$25)*IF(BK300&lt;INDEX('Lease Cycles'!$FA$25:$FG$25,1,BK299),0,1-INDEX('Lease Cycles'!$EM$25:$ES$25,1,BK299)),IF(OR(INDEX('Lease Cycles'!$DY$25:$EE$25,1,BK299)=1,BK300&gt;0),1,1-INDEX('Lease Cycles'!$DD$25:$DJ$25,1,BK299))*((1-'Lease Cycles'!$AJ$25)*INDEX('Lease Cycles'!$FO$25:$FU$25,1,BK299)+(1-'Lease Cycles'!$BE$25)*(1-INDEX('Lease Cycles'!$FO$25:$FU$25,1,BK299)))),0)</f>
        <v>0</v>
      </c>
      <c r="BL307" s="24">
        <f>IF(BL301=1,'Lease Cycles'!$D$25*IF(INDEX('Lease Cycles'!$EF$25:$EL$25,1,BL299)=1,(1-'Lease Cycles'!$AJ$25)*INDEX('Lease Cycles'!$EM$25:$ES$25,1,BL299)+(1-'Lease Cycles'!$BE$25)*IF(BL300&lt;INDEX('Lease Cycles'!$FA$25:$FG$25,1,BL299),0,1-INDEX('Lease Cycles'!$EM$25:$ES$25,1,BL299)),IF(OR(INDEX('Lease Cycles'!$DY$25:$EE$25,1,BL299)=1,BL300&gt;0),1,1-INDEX('Lease Cycles'!$DD$25:$DJ$25,1,BL299))*((1-'Lease Cycles'!$AJ$25)*INDEX('Lease Cycles'!$FO$25:$FU$25,1,BL299)+(1-'Lease Cycles'!$BE$25)*(1-INDEX('Lease Cycles'!$FO$25:$FU$25,1,BL299)))),0)</f>
        <v>0</v>
      </c>
      <c r="BM307" s="24">
        <f>IF(BM301=1,'Lease Cycles'!$D$25*IF(INDEX('Lease Cycles'!$EF$25:$EL$25,1,BM299)=1,(1-'Lease Cycles'!$AJ$25)*INDEX('Lease Cycles'!$EM$25:$ES$25,1,BM299)+(1-'Lease Cycles'!$BE$25)*IF(BM300&lt;INDEX('Lease Cycles'!$FA$25:$FG$25,1,BM299),0,1-INDEX('Lease Cycles'!$EM$25:$ES$25,1,BM299)),IF(OR(INDEX('Lease Cycles'!$DY$25:$EE$25,1,BM299)=1,BM300&gt;0),1,1-INDEX('Lease Cycles'!$DD$25:$DJ$25,1,BM299))*((1-'Lease Cycles'!$AJ$25)*INDEX('Lease Cycles'!$FO$25:$FU$25,1,BM299)+(1-'Lease Cycles'!$BE$25)*(1-INDEX('Lease Cycles'!$FO$25:$FU$25,1,BM299)))),0)</f>
        <v>0</v>
      </c>
      <c r="BN307" s="24">
        <f>IF(BN301=1,'Lease Cycles'!$D$25*IF(INDEX('Lease Cycles'!$EF$25:$EL$25,1,BN299)=1,(1-'Lease Cycles'!$AJ$25)*INDEX('Lease Cycles'!$EM$25:$ES$25,1,BN299)+(1-'Lease Cycles'!$BE$25)*IF(BN300&lt;INDEX('Lease Cycles'!$FA$25:$FG$25,1,BN299),0,1-INDEX('Lease Cycles'!$EM$25:$ES$25,1,BN299)),IF(OR(INDEX('Lease Cycles'!$DY$25:$EE$25,1,BN299)=1,BN300&gt;0),1,1-INDEX('Lease Cycles'!$DD$25:$DJ$25,1,BN299))*((1-'Lease Cycles'!$AJ$25)*INDEX('Lease Cycles'!$FO$25:$FU$25,1,BN299)+(1-'Lease Cycles'!$BE$25)*(1-INDEX('Lease Cycles'!$FO$25:$FU$25,1,BN299)))),0)</f>
        <v>0</v>
      </c>
      <c r="BO307" s="24">
        <f>IF(BO301=1,'Lease Cycles'!$D$25*IF(INDEX('Lease Cycles'!$EF$25:$EL$25,1,BO299)=1,(1-'Lease Cycles'!$AJ$25)*INDEX('Lease Cycles'!$EM$25:$ES$25,1,BO299)+(1-'Lease Cycles'!$BE$25)*IF(BO300&lt;INDEX('Lease Cycles'!$FA$25:$FG$25,1,BO299),0,1-INDEX('Lease Cycles'!$EM$25:$ES$25,1,BO299)),IF(OR(INDEX('Lease Cycles'!$DY$25:$EE$25,1,BO299)=1,BO300&gt;0),1,1-INDEX('Lease Cycles'!$DD$25:$DJ$25,1,BO299))*((1-'Lease Cycles'!$AJ$25)*INDEX('Lease Cycles'!$FO$25:$FU$25,1,BO299)+(1-'Lease Cycles'!$BE$25)*(1-INDEX('Lease Cycles'!$FO$25:$FU$25,1,BO299)))),0)</f>
        <v>0</v>
      </c>
      <c r="BP307" s="24">
        <f>IF(BP301=1,'Lease Cycles'!$D$25*IF(INDEX('Lease Cycles'!$EF$25:$EL$25,1,BP299)=1,(1-'Lease Cycles'!$AJ$25)*INDEX('Lease Cycles'!$EM$25:$ES$25,1,BP299)+(1-'Lease Cycles'!$BE$25)*IF(BP300&lt;INDEX('Lease Cycles'!$FA$25:$FG$25,1,BP299),0,1-INDEX('Lease Cycles'!$EM$25:$ES$25,1,BP299)),IF(OR(INDEX('Lease Cycles'!$DY$25:$EE$25,1,BP299)=1,BP300&gt;0),1,1-INDEX('Lease Cycles'!$DD$25:$DJ$25,1,BP299))*((1-'Lease Cycles'!$AJ$25)*INDEX('Lease Cycles'!$FO$25:$FU$25,1,BP299)+(1-'Lease Cycles'!$BE$25)*(1-INDEX('Lease Cycles'!$FO$25:$FU$25,1,BP299)))),0)</f>
        <v>0</v>
      </c>
      <c r="BQ307" s="24">
        <f>IF(BQ301=1,'Lease Cycles'!$D$25*IF(INDEX('Lease Cycles'!$EF$25:$EL$25,1,BQ299)=1,(1-'Lease Cycles'!$AJ$25)*INDEX('Lease Cycles'!$EM$25:$ES$25,1,BQ299)+(1-'Lease Cycles'!$BE$25)*IF(BQ300&lt;INDEX('Lease Cycles'!$FA$25:$FG$25,1,BQ299),0,1-INDEX('Lease Cycles'!$EM$25:$ES$25,1,BQ299)),IF(OR(INDEX('Lease Cycles'!$DY$25:$EE$25,1,BQ299)=1,BQ300&gt;0),1,1-INDEX('Lease Cycles'!$DD$25:$DJ$25,1,BQ299))*((1-'Lease Cycles'!$AJ$25)*INDEX('Lease Cycles'!$FO$25:$FU$25,1,BQ299)+(1-'Lease Cycles'!$BE$25)*(1-INDEX('Lease Cycles'!$FO$25:$FU$25,1,BQ299)))),0)</f>
        <v>0</v>
      </c>
      <c r="BR307" s="24">
        <f>IF(BR301=1,'Lease Cycles'!$D$25*IF(INDEX('Lease Cycles'!$EF$25:$EL$25,1,BR299)=1,(1-'Lease Cycles'!$AJ$25)*INDEX('Lease Cycles'!$EM$25:$ES$25,1,BR299)+(1-'Lease Cycles'!$BE$25)*IF(BR300&lt;INDEX('Lease Cycles'!$FA$25:$FG$25,1,BR299),0,1-INDEX('Lease Cycles'!$EM$25:$ES$25,1,BR299)),IF(OR(INDEX('Lease Cycles'!$DY$25:$EE$25,1,BR299)=1,BR300&gt;0),1,1-INDEX('Lease Cycles'!$DD$25:$DJ$25,1,BR299))*((1-'Lease Cycles'!$AJ$25)*INDEX('Lease Cycles'!$FO$25:$FU$25,1,BR299)+(1-'Lease Cycles'!$BE$25)*(1-INDEX('Lease Cycles'!$FO$25:$FU$25,1,BR299)))),0)</f>
        <v>0</v>
      </c>
      <c r="BS307" s="24">
        <f>IF(BS301=1,'Lease Cycles'!$D$25*IF(INDEX('Lease Cycles'!$EF$25:$EL$25,1,BS299)=1,(1-'Lease Cycles'!$AJ$25)*INDEX('Lease Cycles'!$EM$25:$ES$25,1,BS299)+(1-'Lease Cycles'!$BE$25)*IF(BS300&lt;INDEX('Lease Cycles'!$FA$25:$FG$25,1,BS299),0,1-INDEX('Lease Cycles'!$EM$25:$ES$25,1,BS299)),IF(OR(INDEX('Lease Cycles'!$DY$25:$EE$25,1,BS299)=1,BS300&gt;0),1,1-INDEX('Lease Cycles'!$DD$25:$DJ$25,1,BS299))*((1-'Lease Cycles'!$AJ$25)*INDEX('Lease Cycles'!$FO$25:$FU$25,1,BS299)+(1-'Lease Cycles'!$BE$25)*(1-INDEX('Lease Cycles'!$FO$25:$FU$25,1,BS299)))),0)</f>
        <v>0</v>
      </c>
      <c r="BT307" s="24">
        <f>IF(BT301=1,'Lease Cycles'!$D$25*IF(INDEX('Lease Cycles'!$EF$25:$EL$25,1,BT299)=1,(1-'Lease Cycles'!$AJ$25)*INDEX('Lease Cycles'!$EM$25:$ES$25,1,BT299)+(1-'Lease Cycles'!$BE$25)*IF(BT300&lt;INDEX('Lease Cycles'!$FA$25:$FG$25,1,BT299),0,1-INDEX('Lease Cycles'!$EM$25:$ES$25,1,BT299)),IF(OR(INDEX('Lease Cycles'!$DY$25:$EE$25,1,BT299)=1,BT300&gt;0),1,1-INDEX('Lease Cycles'!$DD$25:$DJ$25,1,BT299))*((1-'Lease Cycles'!$AJ$25)*INDEX('Lease Cycles'!$FO$25:$FU$25,1,BT299)+(1-'Lease Cycles'!$BE$25)*(1-INDEX('Lease Cycles'!$FO$25:$FU$25,1,BT299)))),0)</f>
        <v>0</v>
      </c>
      <c r="BU307" s="24">
        <f>IF(BU301=1,'Lease Cycles'!$D$25*IF(INDEX('Lease Cycles'!$EF$25:$EL$25,1,BU299)=1,(1-'Lease Cycles'!$AJ$25)*INDEX('Lease Cycles'!$EM$25:$ES$25,1,BU299)+(1-'Lease Cycles'!$BE$25)*IF(BU300&lt;INDEX('Lease Cycles'!$FA$25:$FG$25,1,BU299),0,1-INDEX('Lease Cycles'!$EM$25:$ES$25,1,BU299)),IF(OR(INDEX('Lease Cycles'!$DY$25:$EE$25,1,BU299)=1,BU300&gt;0),1,1-INDEX('Lease Cycles'!$DD$25:$DJ$25,1,BU299))*((1-'Lease Cycles'!$AJ$25)*INDEX('Lease Cycles'!$FO$25:$FU$25,1,BU299)+(1-'Lease Cycles'!$BE$25)*(1-INDEX('Lease Cycles'!$FO$25:$FU$25,1,BU299)))),0)</f>
        <v>0</v>
      </c>
      <c r="BV307" s="24">
        <f>IF(BV301=1,'Lease Cycles'!$D$25*IF(INDEX('Lease Cycles'!$EF$25:$EL$25,1,BV299)=1,(1-'Lease Cycles'!$AJ$25)*INDEX('Lease Cycles'!$EM$25:$ES$25,1,BV299)+(1-'Lease Cycles'!$BE$25)*IF(BV300&lt;INDEX('Lease Cycles'!$FA$25:$FG$25,1,BV299),0,1-INDEX('Lease Cycles'!$EM$25:$ES$25,1,BV299)),IF(OR(INDEX('Lease Cycles'!$DY$25:$EE$25,1,BV299)=1,BV300&gt;0),1,1-INDEX('Lease Cycles'!$DD$25:$DJ$25,1,BV299))*((1-'Lease Cycles'!$AJ$25)*INDEX('Lease Cycles'!$FO$25:$FU$25,1,BV299)+(1-'Lease Cycles'!$BE$25)*(1-INDEX('Lease Cycles'!$FO$25:$FU$25,1,BV299)))),0)</f>
        <v>0</v>
      </c>
      <c r="BW307" s="24">
        <f>IF(BW301=1,'Lease Cycles'!$D$25*IF(INDEX('Lease Cycles'!$EF$25:$EL$25,1,BW299)=1,(1-'Lease Cycles'!$AJ$25)*INDEX('Lease Cycles'!$EM$25:$ES$25,1,BW299)+(1-'Lease Cycles'!$BE$25)*IF(BW300&lt;INDEX('Lease Cycles'!$FA$25:$FG$25,1,BW299),0,1-INDEX('Lease Cycles'!$EM$25:$ES$25,1,BW299)),IF(OR(INDEX('Lease Cycles'!$DY$25:$EE$25,1,BW299)=1,BW300&gt;0),1,1-INDEX('Lease Cycles'!$DD$25:$DJ$25,1,BW299))*((1-'Lease Cycles'!$AJ$25)*INDEX('Lease Cycles'!$FO$25:$FU$25,1,BW299)+(1-'Lease Cycles'!$BE$25)*(1-INDEX('Lease Cycles'!$FO$25:$FU$25,1,BW299)))),0)</f>
        <v>0</v>
      </c>
      <c r="BX307" s="24">
        <f>IF(BX301=1,'Lease Cycles'!$D$25*IF(INDEX('Lease Cycles'!$EF$25:$EL$25,1,BX299)=1,(1-'Lease Cycles'!$AJ$25)*INDEX('Lease Cycles'!$EM$25:$ES$25,1,BX299)+(1-'Lease Cycles'!$BE$25)*IF(BX300&lt;INDEX('Lease Cycles'!$FA$25:$FG$25,1,BX299),0,1-INDEX('Lease Cycles'!$EM$25:$ES$25,1,BX299)),IF(OR(INDEX('Lease Cycles'!$DY$25:$EE$25,1,BX299)=1,BX300&gt;0),1,1-INDEX('Lease Cycles'!$DD$25:$DJ$25,1,BX299))*((1-'Lease Cycles'!$AJ$25)*INDEX('Lease Cycles'!$FO$25:$FU$25,1,BX299)+(1-'Lease Cycles'!$BE$25)*(1-INDEX('Lease Cycles'!$FO$25:$FU$25,1,BX299)))),0)</f>
        <v>0</v>
      </c>
      <c r="BY307" s="24">
        <f>IF(BY301=1,'Lease Cycles'!$D$25*IF(INDEX('Lease Cycles'!$EF$25:$EL$25,1,BY299)=1,(1-'Lease Cycles'!$AJ$25)*INDEX('Lease Cycles'!$EM$25:$ES$25,1,BY299)+(1-'Lease Cycles'!$BE$25)*IF(BY300&lt;INDEX('Lease Cycles'!$FA$25:$FG$25,1,BY299),0,1-INDEX('Lease Cycles'!$EM$25:$ES$25,1,BY299)),IF(OR(INDEX('Lease Cycles'!$DY$25:$EE$25,1,BY299)=1,BY300&gt;0),1,1-INDEX('Lease Cycles'!$DD$25:$DJ$25,1,BY299))*((1-'Lease Cycles'!$AJ$25)*INDEX('Lease Cycles'!$FO$25:$FU$25,1,BY299)+(1-'Lease Cycles'!$BE$25)*(1-INDEX('Lease Cycles'!$FO$25:$FU$25,1,BY299)))),0)</f>
        <v>0</v>
      </c>
      <c r="BZ307" s="24">
        <f>IF(BZ301=1,'Lease Cycles'!$D$25*IF(INDEX('Lease Cycles'!$EF$25:$EL$25,1,BZ299)=1,(1-'Lease Cycles'!$AJ$25)*INDEX('Lease Cycles'!$EM$25:$ES$25,1,BZ299)+(1-'Lease Cycles'!$BE$25)*IF(BZ300&lt;INDEX('Lease Cycles'!$FA$25:$FG$25,1,BZ299),0,1-INDEX('Lease Cycles'!$EM$25:$ES$25,1,BZ299)),IF(OR(INDEX('Lease Cycles'!$DY$25:$EE$25,1,BZ299)=1,BZ300&gt;0),1,1-INDEX('Lease Cycles'!$DD$25:$DJ$25,1,BZ299))*((1-'Lease Cycles'!$AJ$25)*INDEX('Lease Cycles'!$FO$25:$FU$25,1,BZ299)+(1-'Lease Cycles'!$BE$25)*(1-INDEX('Lease Cycles'!$FO$25:$FU$25,1,BZ299)))),0)</f>
        <v>0</v>
      </c>
      <c r="CA307" s="24">
        <f>IF(CA301=1,'Lease Cycles'!$D$25*IF(INDEX('Lease Cycles'!$EF$25:$EL$25,1,CA299)=1,(1-'Lease Cycles'!$AJ$25)*INDEX('Lease Cycles'!$EM$25:$ES$25,1,CA299)+(1-'Lease Cycles'!$BE$25)*IF(CA300&lt;INDEX('Lease Cycles'!$FA$25:$FG$25,1,CA299),0,1-INDEX('Lease Cycles'!$EM$25:$ES$25,1,CA299)),IF(OR(INDEX('Lease Cycles'!$DY$25:$EE$25,1,CA299)=1,CA300&gt;0),1,1-INDEX('Lease Cycles'!$DD$25:$DJ$25,1,CA299))*((1-'Lease Cycles'!$AJ$25)*INDEX('Lease Cycles'!$FO$25:$FU$25,1,CA299)+(1-'Lease Cycles'!$BE$25)*(1-INDEX('Lease Cycles'!$FO$25:$FU$25,1,CA299)))),0)</f>
        <v>0</v>
      </c>
      <c r="CB307" s="24">
        <f>IF(CB301=1,'Lease Cycles'!$D$25*IF(INDEX('Lease Cycles'!$EF$25:$EL$25,1,CB299)=1,(1-'Lease Cycles'!$AJ$25)*INDEX('Lease Cycles'!$EM$25:$ES$25,1,CB299)+(1-'Lease Cycles'!$BE$25)*IF(CB300&lt;INDEX('Lease Cycles'!$FA$25:$FG$25,1,CB299),0,1-INDEX('Lease Cycles'!$EM$25:$ES$25,1,CB299)),IF(OR(INDEX('Lease Cycles'!$DY$25:$EE$25,1,CB299)=1,CB300&gt;0),1,1-INDEX('Lease Cycles'!$DD$25:$DJ$25,1,CB299))*((1-'Lease Cycles'!$AJ$25)*INDEX('Lease Cycles'!$FO$25:$FU$25,1,CB299)+(1-'Lease Cycles'!$BE$25)*(1-INDEX('Lease Cycles'!$FO$25:$FU$25,1,CB299)))),0)</f>
        <v>0</v>
      </c>
      <c r="CC307" s="24">
        <f>IF(CC301=1,'Lease Cycles'!$D$25*IF(INDEX('Lease Cycles'!$EF$25:$EL$25,1,CC299)=1,(1-'Lease Cycles'!$AJ$25)*INDEX('Lease Cycles'!$EM$25:$ES$25,1,CC299)+(1-'Lease Cycles'!$BE$25)*IF(CC300&lt;INDEX('Lease Cycles'!$FA$25:$FG$25,1,CC299),0,1-INDEX('Lease Cycles'!$EM$25:$ES$25,1,CC299)),IF(OR(INDEX('Lease Cycles'!$DY$25:$EE$25,1,CC299)=1,CC300&gt;0),1,1-INDEX('Lease Cycles'!$DD$25:$DJ$25,1,CC299))*((1-'Lease Cycles'!$AJ$25)*INDEX('Lease Cycles'!$FO$25:$FU$25,1,CC299)+(1-'Lease Cycles'!$BE$25)*(1-INDEX('Lease Cycles'!$FO$25:$FU$25,1,CC299)))),0)</f>
        <v>0</v>
      </c>
      <c r="CD307" s="24">
        <f>IF(CD301=1,'Lease Cycles'!$D$25*IF(INDEX('Lease Cycles'!$EF$25:$EL$25,1,CD299)=1,(1-'Lease Cycles'!$AJ$25)*INDEX('Lease Cycles'!$EM$25:$ES$25,1,CD299)+(1-'Lease Cycles'!$BE$25)*IF(CD300&lt;INDEX('Lease Cycles'!$FA$25:$FG$25,1,CD299),0,1-INDEX('Lease Cycles'!$EM$25:$ES$25,1,CD299)),IF(OR(INDEX('Lease Cycles'!$DY$25:$EE$25,1,CD299)=1,CD300&gt;0),1,1-INDEX('Lease Cycles'!$DD$25:$DJ$25,1,CD299))*((1-'Lease Cycles'!$AJ$25)*INDEX('Lease Cycles'!$FO$25:$FU$25,1,CD299)+(1-'Lease Cycles'!$BE$25)*(1-INDEX('Lease Cycles'!$FO$25:$FU$25,1,CD299)))),0)</f>
        <v>0</v>
      </c>
      <c r="CE307" s="24">
        <f>IF(CE301=1,'Lease Cycles'!$D$25*IF(INDEX('Lease Cycles'!$EF$25:$EL$25,1,CE299)=1,(1-'Lease Cycles'!$AJ$25)*INDEX('Lease Cycles'!$EM$25:$ES$25,1,CE299)+(1-'Lease Cycles'!$BE$25)*IF(CE300&lt;INDEX('Lease Cycles'!$FA$25:$FG$25,1,CE299),0,1-INDEX('Lease Cycles'!$EM$25:$ES$25,1,CE299)),IF(OR(INDEX('Lease Cycles'!$DY$25:$EE$25,1,CE299)=1,CE300&gt;0),1,1-INDEX('Lease Cycles'!$DD$25:$DJ$25,1,CE299))*((1-'Lease Cycles'!$AJ$25)*INDEX('Lease Cycles'!$FO$25:$FU$25,1,CE299)+(1-'Lease Cycles'!$BE$25)*(1-INDEX('Lease Cycles'!$FO$25:$FU$25,1,CE299)))),0)</f>
        <v>0</v>
      </c>
      <c r="CF307" s="24">
        <f>IF(CF301=1,'Lease Cycles'!$D$25*IF(INDEX('Lease Cycles'!$EF$25:$EL$25,1,CF299)=1,(1-'Lease Cycles'!$AJ$25)*INDEX('Lease Cycles'!$EM$25:$ES$25,1,CF299)+(1-'Lease Cycles'!$BE$25)*IF(CF300&lt;INDEX('Lease Cycles'!$FA$25:$FG$25,1,CF299),0,1-INDEX('Lease Cycles'!$EM$25:$ES$25,1,CF299)),IF(OR(INDEX('Lease Cycles'!$DY$25:$EE$25,1,CF299)=1,CF300&gt;0),1,1-INDEX('Lease Cycles'!$DD$25:$DJ$25,1,CF299))*((1-'Lease Cycles'!$AJ$25)*INDEX('Lease Cycles'!$FO$25:$FU$25,1,CF299)+(1-'Lease Cycles'!$BE$25)*(1-INDEX('Lease Cycles'!$FO$25:$FU$25,1,CF299)))),0)</f>
        <v>0</v>
      </c>
      <c r="CG307" s="24">
        <f>IF(CG301=1,'Lease Cycles'!$D$25*IF(INDEX('Lease Cycles'!$EF$25:$EL$25,1,CG299)=1,(1-'Lease Cycles'!$AJ$25)*INDEX('Lease Cycles'!$EM$25:$ES$25,1,CG299)+(1-'Lease Cycles'!$BE$25)*IF(CG300&lt;INDEX('Lease Cycles'!$FA$25:$FG$25,1,CG299),0,1-INDEX('Lease Cycles'!$EM$25:$ES$25,1,CG299)),IF(OR(INDEX('Lease Cycles'!$DY$25:$EE$25,1,CG299)=1,CG300&gt;0),1,1-INDEX('Lease Cycles'!$DD$25:$DJ$25,1,CG299))*((1-'Lease Cycles'!$AJ$25)*INDEX('Lease Cycles'!$FO$25:$FU$25,1,CG299)+(1-'Lease Cycles'!$BE$25)*(1-INDEX('Lease Cycles'!$FO$25:$FU$25,1,CG299)))),0)</f>
        <v>0</v>
      </c>
      <c r="CH307" s="24">
        <f>IF(CH301=1,'Lease Cycles'!$D$25*IF(INDEX('Lease Cycles'!$EF$25:$EL$25,1,CH299)=1,(1-'Lease Cycles'!$AJ$25)*INDEX('Lease Cycles'!$EM$25:$ES$25,1,CH299)+(1-'Lease Cycles'!$BE$25)*IF(CH300&lt;INDEX('Lease Cycles'!$FA$25:$FG$25,1,CH299),0,1-INDEX('Lease Cycles'!$EM$25:$ES$25,1,CH299)),IF(OR(INDEX('Lease Cycles'!$DY$25:$EE$25,1,CH299)=1,CH300&gt;0),1,1-INDEX('Lease Cycles'!$DD$25:$DJ$25,1,CH299))*((1-'Lease Cycles'!$AJ$25)*INDEX('Lease Cycles'!$FO$25:$FU$25,1,CH299)+(1-'Lease Cycles'!$BE$25)*(1-INDEX('Lease Cycles'!$FO$25:$FU$25,1,CH299)))),0)</f>
        <v>0</v>
      </c>
      <c r="CI307" s="24">
        <f>IF(CI301=1,'Lease Cycles'!$D$25*IF(INDEX('Lease Cycles'!$EF$25:$EL$25,1,CI299)=1,(1-'Lease Cycles'!$AJ$25)*INDEX('Lease Cycles'!$EM$25:$ES$25,1,CI299)+(1-'Lease Cycles'!$BE$25)*IF(CI300&lt;INDEX('Lease Cycles'!$FA$25:$FG$25,1,CI299),0,1-INDEX('Lease Cycles'!$EM$25:$ES$25,1,CI299)),IF(OR(INDEX('Lease Cycles'!$DY$25:$EE$25,1,CI299)=1,CI300&gt;0),1,1-INDEX('Lease Cycles'!$DD$25:$DJ$25,1,CI299))*((1-'Lease Cycles'!$AJ$25)*INDEX('Lease Cycles'!$FO$25:$FU$25,1,CI299)+(1-'Lease Cycles'!$BE$25)*(1-INDEX('Lease Cycles'!$FO$25:$FU$25,1,CI299)))),0)</f>
        <v>0</v>
      </c>
      <c r="CJ307" s="24">
        <f>IF(CJ301=1,'Lease Cycles'!$D$25*IF(INDEX('Lease Cycles'!$EF$25:$EL$25,1,CJ299)=1,(1-'Lease Cycles'!$AJ$25)*INDEX('Lease Cycles'!$EM$25:$ES$25,1,CJ299)+(1-'Lease Cycles'!$BE$25)*IF(CJ300&lt;INDEX('Lease Cycles'!$FA$25:$FG$25,1,CJ299),0,1-INDEX('Lease Cycles'!$EM$25:$ES$25,1,CJ299)),IF(OR(INDEX('Lease Cycles'!$DY$25:$EE$25,1,CJ299)=1,CJ300&gt;0),1,1-INDEX('Lease Cycles'!$DD$25:$DJ$25,1,CJ299))*((1-'Lease Cycles'!$AJ$25)*INDEX('Lease Cycles'!$FO$25:$FU$25,1,CJ299)+(1-'Lease Cycles'!$BE$25)*(1-INDEX('Lease Cycles'!$FO$25:$FU$25,1,CJ299)))),0)</f>
        <v>0</v>
      </c>
      <c r="CK307" s="24">
        <f>IF(CK301=1,'Lease Cycles'!$D$25*IF(INDEX('Lease Cycles'!$EF$25:$EL$25,1,CK299)=1,(1-'Lease Cycles'!$AJ$25)*INDEX('Lease Cycles'!$EM$25:$ES$25,1,CK299)+(1-'Lease Cycles'!$BE$25)*IF(CK300&lt;INDEX('Lease Cycles'!$FA$25:$FG$25,1,CK299),0,1-INDEX('Lease Cycles'!$EM$25:$ES$25,1,CK299)),IF(OR(INDEX('Lease Cycles'!$DY$25:$EE$25,1,CK299)=1,CK300&gt;0),1,1-INDEX('Lease Cycles'!$DD$25:$DJ$25,1,CK299))*((1-'Lease Cycles'!$AJ$25)*INDEX('Lease Cycles'!$FO$25:$FU$25,1,CK299)+(1-'Lease Cycles'!$BE$25)*(1-INDEX('Lease Cycles'!$FO$25:$FU$25,1,CK299)))),0)</f>
        <v>0</v>
      </c>
      <c r="CL307" s="24">
        <f>IF(CL301=1,'Lease Cycles'!$D$25*IF(INDEX('Lease Cycles'!$EF$25:$EL$25,1,CL299)=1,(1-'Lease Cycles'!$AJ$25)*INDEX('Lease Cycles'!$EM$25:$ES$25,1,CL299)+(1-'Lease Cycles'!$BE$25)*IF(CL300&lt;INDEX('Lease Cycles'!$FA$25:$FG$25,1,CL299),0,1-INDEX('Lease Cycles'!$EM$25:$ES$25,1,CL299)),IF(OR(INDEX('Lease Cycles'!$DY$25:$EE$25,1,CL299)=1,CL300&gt;0),1,1-INDEX('Lease Cycles'!$DD$25:$DJ$25,1,CL299))*((1-'Lease Cycles'!$AJ$25)*INDEX('Lease Cycles'!$FO$25:$FU$25,1,CL299)+(1-'Lease Cycles'!$BE$25)*(1-INDEX('Lease Cycles'!$FO$25:$FU$25,1,CL299)))),0)</f>
        <v>0</v>
      </c>
      <c r="CM307" s="24">
        <f>IF(CM301=1,'Lease Cycles'!$D$25*IF(INDEX('Lease Cycles'!$EF$25:$EL$25,1,CM299)=1,(1-'Lease Cycles'!$AJ$25)*INDEX('Lease Cycles'!$EM$25:$ES$25,1,CM299)+(1-'Lease Cycles'!$BE$25)*IF(CM300&lt;INDEX('Lease Cycles'!$FA$25:$FG$25,1,CM299),0,1-INDEX('Lease Cycles'!$EM$25:$ES$25,1,CM299)),IF(OR(INDEX('Lease Cycles'!$DY$25:$EE$25,1,CM299)=1,CM300&gt;0),1,1-INDEX('Lease Cycles'!$DD$25:$DJ$25,1,CM299))*((1-'Lease Cycles'!$AJ$25)*INDEX('Lease Cycles'!$FO$25:$FU$25,1,CM299)+(1-'Lease Cycles'!$BE$25)*(1-INDEX('Lease Cycles'!$FO$25:$FU$25,1,CM299)))),0)</f>
        <v>0</v>
      </c>
      <c r="CN307" s="24">
        <f>IF(CN301=1,'Lease Cycles'!$D$25*IF(INDEX('Lease Cycles'!$EF$25:$EL$25,1,CN299)=1,(1-'Lease Cycles'!$AJ$25)*INDEX('Lease Cycles'!$EM$25:$ES$25,1,CN299)+(1-'Lease Cycles'!$BE$25)*IF(CN300&lt;INDEX('Lease Cycles'!$FA$25:$FG$25,1,CN299),0,1-INDEX('Lease Cycles'!$EM$25:$ES$25,1,CN299)),IF(OR(INDEX('Lease Cycles'!$DY$25:$EE$25,1,CN299)=1,CN300&gt;0),1,1-INDEX('Lease Cycles'!$DD$25:$DJ$25,1,CN299))*((1-'Lease Cycles'!$AJ$25)*INDEX('Lease Cycles'!$FO$25:$FU$25,1,CN299)+(1-'Lease Cycles'!$BE$25)*(1-INDEX('Lease Cycles'!$FO$25:$FU$25,1,CN299)))),0)</f>
        <v>0</v>
      </c>
      <c r="CO307" s="24">
        <f>IF(CO301=1,'Lease Cycles'!$D$25*IF(INDEX('Lease Cycles'!$EF$25:$EL$25,1,CO299)=1,(1-'Lease Cycles'!$AJ$25)*INDEX('Lease Cycles'!$EM$25:$ES$25,1,CO299)+(1-'Lease Cycles'!$BE$25)*IF(CO300&lt;INDEX('Lease Cycles'!$FA$25:$FG$25,1,CO299),0,1-INDEX('Lease Cycles'!$EM$25:$ES$25,1,CO299)),IF(OR(INDEX('Lease Cycles'!$DY$25:$EE$25,1,CO299)=1,CO300&gt;0),1,1-INDEX('Lease Cycles'!$DD$25:$DJ$25,1,CO299))*((1-'Lease Cycles'!$AJ$25)*INDEX('Lease Cycles'!$FO$25:$FU$25,1,CO299)+(1-'Lease Cycles'!$BE$25)*(1-INDEX('Lease Cycles'!$FO$25:$FU$25,1,CO299)))),0)</f>
        <v>0</v>
      </c>
      <c r="CP307" s="24">
        <f>IF(CP301=1,'Lease Cycles'!$D$25*IF(INDEX('Lease Cycles'!$EF$25:$EL$25,1,CP299)=1,(1-'Lease Cycles'!$AJ$25)*INDEX('Lease Cycles'!$EM$25:$ES$25,1,CP299)+(1-'Lease Cycles'!$BE$25)*IF(CP300&lt;INDEX('Lease Cycles'!$FA$25:$FG$25,1,CP299),0,1-INDEX('Lease Cycles'!$EM$25:$ES$25,1,CP299)),IF(OR(INDEX('Lease Cycles'!$DY$25:$EE$25,1,CP299)=1,CP300&gt;0),1,1-INDEX('Lease Cycles'!$DD$25:$DJ$25,1,CP299))*((1-'Lease Cycles'!$AJ$25)*INDEX('Lease Cycles'!$FO$25:$FU$25,1,CP299)+(1-'Lease Cycles'!$BE$25)*(1-INDEX('Lease Cycles'!$FO$25:$FU$25,1,CP299)))),0)</f>
        <v>0</v>
      </c>
      <c r="CQ307" s="24">
        <f>IF(CQ301=1,'Lease Cycles'!$D$25*IF(INDEX('Lease Cycles'!$EF$25:$EL$25,1,CQ299)=1,(1-'Lease Cycles'!$AJ$25)*INDEX('Lease Cycles'!$EM$25:$ES$25,1,CQ299)+(1-'Lease Cycles'!$BE$25)*IF(CQ300&lt;INDEX('Lease Cycles'!$FA$25:$FG$25,1,CQ299),0,1-INDEX('Lease Cycles'!$EM$25:$ES$25,1,CQ299)),IF(OR(INDEX('Lease Cycles'!$DY$25:$EE$25,1,CQ299)=1,CQ300&gt;0),1,1-INDEX('Lease Cycles'!$DD$25:$DJ$25,1,CQ299))*((1-'Lease Cycles'!$AJ$25)*INDEX('Lease Cycles'!$FO$25:$FU$25,1,CQ299)+(1-'Lease Cycles'!$BE$25)*(1-INDEX('Lease Cycles'!$FO$25:$FU$25,1,CQ299)))),0)</f>
        <v>0</v>
      </c>
      <c r="CR307" s="24">
        <f>IF(CR301=1,'Lease Cycles'!$D$25*IF(INDEX('Lease Cycles'!$EF$25:$EL$25,1,CR299)=1,(1-'Lease Cycles'!$AJ$25)*INDEX('Lease Cycles'!$EM$25:$ES$25,1,CR299)+(1-'Lease Cycles'!$BE$25)*IF(CR300&lt;INDEX('Lease Cycles'!$FA$25:$FG$25,1,CR299),0,1-INDEX('Lease Cycles'!$EM$25:$ES$25,1,CR299)),IF(OR(INDEX('Lease Cycles'!$DY$25:$EE$25,1,CR299)=1,CR300&gt;0),1,1-INDEX('Lease Cycles'!$DD$25:$DJ$25,1,CR299))*((1-'Lease Cycles'!$AJ$25)*INDEX('Lease Cycles'!$FO$25:$FU$25,1,CR299)+(1-'Lease Cycles'!$BE$25)*(1-INDEX('Lease Cycles'!$FO$25:$FU$25,1,CR299)))),0)</f>
        <v>0</v>
      </c>
      <c r="CS307" s="24">
        <f>IF(CS301=1,'Lease Cycles'!$D$25*IF(INDEX('Lease Cycles'!$EF$25:$EL$25,1,CS299)=1,(1-'Lease Cycles'!$AJ$25)*INDEX('Lease Cycles'!$EM$25:$ES$25,1,CS299)+(1-'Lease Cycles'!$BE$25)*IF(CS300&lt;INDEX('Lease Cycles'!$FA$25:$FG$25,1,CS299),0,1-INDEX('Lease Cycles'!$EM$25:$ES$25,1,CS299)),IF(OR(INDEX('Lease Cycles'!$DY$25:$EE$25,1,CS299)=1,CS300&gt;0),1,1-INDEX('Lease Cycles'!$DD$25:$DJ$25,1,CS299))*((1-'Lease Cycles'!$AJ$25)*INDEX('Lease Cycles'!$FO$25:$FU$25,1,CS299)+(1-'Lease Cycles'!$BE$25)*(1-INDEX('Lease Cycles'!$FO$25:$FU$25,1,CS299)))),0)</f>
        <v>0</v>
      </c>
      <c r="CT307" s="24">
        <f>IF(CT301=1,'Lease Cycles'!$D$25*IF(INDEX('Lease Cycles'!$EF$25:$EL$25,1,CT299)=1,(1-'Lease Cycles'!$AJ$25)*INDEX('Lease Cycles'!$EM$25:$ES$25,1,CT299)+(1-'Lease Cycles'!$BE$25)*IF(CT300&lt;INDEX('Lease Cycles'!$FA$25:$FG$25,1,CT299),0,1-INDEX('Lease Cycles'!$EM$25:$ES$25,1,CT299)),IF(OR(INDEX('Lease Cycles'!$DY$25:$EE$25,1,CT299)=1,CT300&gt;0),1,1-INDEX('Lease Cycles'!$DD$25:$DJ$25,1,CT299))*((1-'Lease Cycles'!$AJ$25)*INDEX('Lease Cycles'!$FO$25:$FU$25,1,CT299)+(1-'Lease Cycles'!$BE$25)*(1-INDEX('Lease Cycles'!$FO$25:$FU$25,1,CT299)))),0)</f>
        <v>0</v>
      </c>
      <c r="CU307" s="24">
        <f>IF(CU301=1,'Lease Cycles'!$D$25*IF(INDEX('Lease Cycles'!$EF$25:$EL$25,1,CU299)=1,(1-'Lease Cycles'!$AJ$25)*INDEX('Lease Cycles'!$EM$25:$ES$25,1,CU299)+(1-'Lease Cycles'!$BE$25)*IF(CU300&lt;INDEX('Lease Cycles'!$FA$25:$FG$25,1,CU299),0,1-INDEX('Lease Cycles'!$EM$25:$ES$25,1,CU299)),IF(OR(INDEX('Lease Cycles'!$DY$25:$EE$25,1,CU299)=1,CU300&gt;0),1,1-INDEX('Lease Cycles'!$DD$25:$DJ$25,1,CU299))*((1-'Lease Cycles'!$AJ$25)*INDEX('Lease Cycles'!$FO$25:$FU$25,1,CU299)+(1-'Lease Cycles'!$BE$25)*(1-INDEX('Lease Cycles'!$FO$25:$FU$25,1,CU299)))),0)</f>
        <v>0</v>
      </c>
      <c r="CV307" s="24">
        <f>IF(CV301=1,'Lease Cycles'!$D$25*IF(INDEX('Lease Cycles'!$EF$25:$EL$25,1,CV299)=1,(1-'Lease Cycles'!$AJ$25)*INDEX('Lease Cycles'!$EM$25:$ES$25,1,CV299)+(1-'Lease Cycles'!$BE$25)*IF(CV300&lt;INDEX('Lease Cycles'!$FA$25:$FG$25,1,CV299),0,1-INDEX('Lease Cycles'!$EM$25:$ES$25,1,CV299)),IF(OR(INDEX('Lease Cycles'!$DY$25:$EE$25,1,CV299)=1,CV300&gt;0),1,1-INDEX('Lease Cycles'!$DD$25:$DJ$25,1,CV299))*((1-'Lease Cycles'!$AJ$25)*INDEX('Lease Cycles'!$FO$25:$FU$25,1,CV299)+(1-'Lease Cycles'!$BE$25)*(1-INDEX('Lease Cycles'!$FO$25:$FU$25,1,CV299)))),0)</f>
        <v>0</v>
      </c>
      <c r="CW307" s="24">
        <f>IF(CW301=1,'Lease Cycles'!$D$25*IF(INDEX('Lease Cycles'!$EF$25:$EL$25,1,CW299)=1,(1-'Lease Cycles'!$AJ$25)*INDEX('Lease Cycles'!$EM$25:$ES$25,1,CW299)+(1-'Lease Cycles'!$BE$25)*IF(CW300&lt;INDEX('Lease Cycles'!$FA$25:$FG$25,1,CW299),0,1-INDEX('Lease Cycles'!$EM$25:$ES$25,1,CW299)),IF(OR(INDEX('Lease Cycles'!$DY$25:$EE$25,1,CW299)=1,CW300&gt;0),1,1-INDEX('Lease Cycles'!$DD$25:$DJ$25,1,CW299))*((1-'Lease Cycles'!$AJ$25)*INDEX('Lease Cycles'!$FO$25:$FU$25,1,CW299)+(1-'Lease Cycles'!$BE$25)*(1-INDEX('Lease Cycles'!$FO$25:$FU$25,1,CW299)))),0)</f>
        <v>0</v>
      </c>
      <c r="CX307" s="24">
        <f>IF(CX301=1,'Lease Cycles'!$D$25*IF(INDEX('Lease Cycles'!$EF$25:$EL$25,1,CX299)=1,(1-'Lease Cycles'!$AJ$25)*INDEX('Lease Cycles'!$EM$25:$ES$25,1,CX299)+(1-'Lease Cycles'!$BE$25)*IF(CX300&lt;INDEX('Lease Cycles'!$FA$25:$FG$25,1,CX299),0,1-INDEX('Lease Cycles'!$EM$25:$ES$25,1,CX299)),IF(OR(INDEX('Lease Cycles'!$DY$25:$EE$25,1,CX299)=1,CX300&gt;0),1,1-INDEX('Lease Cycles'!$DD$25:$DJ$25,1,CX299))*((1-'Lease Cycles'!$AJ$25)*INDEX('Lease Cycles'!$FO$25:$FU$25,1,CX299)+(1-'Lease Cycles'!$BE$25)*(1-INDEX('Lease Cycles'!$FO$25:$FU$25,1,CX299)))),0)</f>
        <v>0</v>
      </c>
      <c r="CY307" s="24">
        <f>IF(CY301=1,'Lease Cycles'!$D$25*IF(INDEX('Lease Cycles'!$EF$25:$EL$25,1,CY299)=1,(1-'Lease Cycles'!$AJ$25)*INDEX('Lease Cycles'!$EM$25:$ES$25,1,CY299)+(1-'Lease Cycles'!$BE$25)*IF(CY300&lt;INDEX('Lease Cycles'!$FA$25:$FG$25,1,CY299),0,1-INDEX('Lease Cycles'!$EM$25:$ES$25,1,CY299)),IF(OR(INDEX('Lease Cycles'!$DY$25:$EE$25,1,CY299)=1,CY300&gt;0),1,1-INDEX('Lease Cycles'!$DD$25:$DJ$25,1,CY299))*((1-'Lease Cycles'!$AJ$25)*INDEX('Lease Cycles'!$FO$25:$FU$25,1,CY299)+(1-'Lease Cycles'!$BE$25)*(1-INDEX('Lease Cycles'!$FO$25:$FU$25,1,CY299)))),0)</f>
        <v>0</v>
      </c>
      <c r="CZ307" s="24">
        <f>IF(CZ301=1,'Lease Cycles'!$D$25*IF(INDEX('Lease Cycles'!$EF$25:$EL$25,1,CZ299)=1,(1-'Lease Cycles'!$AJ$25)*INDEX('Lease Cycles'!$EM$25:$ES$25,1,CZ299)+(1-'Lease Cycles'!$BE$25)*IF(CZ300&lt;INDEX('Lease Cycles'!$FA$25:$FG$25,1,CZ299),0,1-INDEX('Lease Cycles'!$EM$25:$ES$25,1,CZ299)),IF(OR(INDEX('Lease Cycles'!$DY$25:$EE$25,1,CZ299)=1,CZ300&gt;0),1,1-INDEX('Lease Cycles'!$DD$25:$DJ$25,1,CZ299))*((1-'Lease Cycles'!$AJ$25)*INDEX('Lease Cycles'!$FO$25:$FU$25,1,CZ299)+(1-'Lease Cycles'!$BE$25)*(1-INDEX('Lease Cycles'!$FO$25:$FU$25,1,CZ299)))),0)</f>
        <v>0</v>
      </c>
      <c r="DA307" s="24">
        <f>IF(DA301=1,'Lease Cycles'!$D$25*IF(INDEX('Lease Cycles'!$EF$25:$EL$25,1,DA299)=1,(1-'Lease Cycles'!$AJ$25)*INDEX('Lease Cycles'!$EM$25:$ES$25,1,DA299)+(1-'Lease Cycles'!$BE$25)*IF(DA300&lt;INDEX('Lease Cycles'!$FA$25:$FG$25,1,DA299),0,1-INDEX('Lease Cycles'!$EM$25:$ES$25,1,DA299)),IF(OR(INDEX('Lease Cycles'!$DY$25:$EE$25,1,DA299)=1,DA300&gt;0),1,1-INDEX('Lease Cycles'!$DD$25:$DJ$25,1,DA299))*((1-'Lease Cycles'!$AJ$25)*INDEX('Lease Cycles'!$FO$25:$FU$25,1,DA299)+(1-'Lease Cycles'!$BE$25)*(1-INDEX('Lease Cycles'!$FO$25:$FU$25,1,DA299)))),0)</f>
        <v>0</v>
      </c>
      <c r="DB307" s="24">
        <f>IF(DB301=1,'Lease Cycles'!$D$25*IF(INDEX('Lease Cycles'!$EF$25:$EL$25,1,DB299)=1,(1-'Lease Cycles'!$AJ$25)*INDEX('Lease Cycles'!$EM$25:$ES$25,1,DB299)+(1-'Lease Cycles'!$BE$25)*IF(DB300&lt;INDEX('Lease Cycles'!$FA$25:$FG$25,1,DB299),0,1-INDEX('Lease Cycles'!$EM$25:$ES$25,1,DB299)),IF(OR(INDEX('Lease Cycles'!$DY$25:$EE$25,1,DB299)=1,DB300&gt;0),1,1-INDEX('Lease Cycles'!$DD$25:$DJ$25,1,DB299))*((1-'Lease Cycles'!$AJ$25)*INDEX('Lease Cycles'!$FO$25:$FU$25,1,DB299)+(1-'Lease Cycles'!$BE$25)*(1-INDEX('Lease Cycles'!$FO$25:$FU$25,1,DB299)))),0)</f>
        <v>0</v>
      </c>
      <c r="DC307" s="24">
        <f>IF(DC301=1,'Lease Cycles'!$D$25*IF(INDEX('Lease Cycles'!$EF$25:$EL$25,1,DC299)=1,(1-'Lease Cycles'!$AJ$25)*INDEX('Lease Cycles'!$EM$25:$ES$25,1,DC299)+(1-'Lease Cycles'!$BE$25)*IF(DC300&lt;INDEX('Lease Cycles'!$FA$25:$FG$25,1,DC299),0,1-INDEX('Lease Cycles'!$EM$25:$ES$25,1,DC299)),IF(OR(INDEX('Lease Cycles'!$DY$25:$EE$25,1,DC299)=1,DC300&gt;0),1,1-INDEX('Lease Cycles'!$DD$25:$DJ$25,1,DC299))*((1-'Lease Cycles'!$AJ$25)*INDEX('Lease Cycles'!$FO$25:$FU$25,1,DC299)+(1-'Lease Cycles'!$BE$25)*(1-INDEX('Lease Cycles'!$FO$25:$FU$25,1,DC299)))),0)</f>
        <v>0</v>
      </c>
      <c r="DD307" s="24">
        <f>IF(DD301=1,'Lease Cycles'!$D$25*IF(INDEX('Lease Cycles'!$EF$25:$EL$25,1,DD299)=1,(1-'Lease Cycles'!$AJ$25)*INDEX('Lease Cycles'!$EM$25:$ES$25,1,DD299)+(1-'Lease Cycles'!$BE$25)*IF(DD300&lt;INDEX('Lease Cycles'!$FA$25:$FG$25,1,DD299),0,1-INDEX('Lease Cycles'!$EM$25:$ES$25,1,DD299)),IF(OR(INDEX('Lease Cycles'!$DY$25:$EE$25,1,DD299)=1,DD300&gt;0),1,1-INDEX('Lease Cycles'!$DD$25:$DJ$25,1,DD299))*((1-'Lease Cycles'!$AJ$25)*INDEX('Lease Cycles'!$FO$25:$FU$25,1,DD299)+(1-'Lease Cycles'!$BE$25)*(1-INDEX('Lease Cycles'!$FO$25:$FU$25,1,DD299)))),0)</f>
        <v>0</v>
      </c>
      <c r="DE307" s="24">
        <f>IF(DE301=1,'Lease Cycles'!$D$25*IF(INDEX('Lease Cycles'!$EF$25:$EL$25,1,DE299)=1,(1-'Lease Cycles'!$AJ$25)*INDEX('Lease Cycles'!$EM$25:$ES$25,1,DE299)+(1-'Lease Cycles'!$BE$25)*IF(DE300&lt;INDEX('Lease Cycles'!$FA$25:$FG$25,1,DE299),0,1-INDEX('Lease Cycles'!$EM$25:$ES$25,1,DE299)),IF(OR(INDEX('Lease Cycles'!$DY$25:$EE$25,1,DE299)=1,DE300&gt;0),1,1-INDEX('Lease Cycles'!$DD$25:$DJ$25,1,DE299))*((1-'Lease Cycles'!$AJ$25)*INDEX('Lease Cycles'!$FO$25:$FU$25,1,DE299)+(1-'Lease Cycles'!$BE$25)*(1-INDEX('Lease Cycles'!$FO$25:$FU$25,1,DE299)))),0)</f>
        <v>0</v>
      </c>
      <c r="DF307" s="24">
        <f>IF(DF301=1,'Lease Cycles'!$D$25*IF(INDEX('Lease Cycles'!$EF$25:$EL$25,1,DF299)=1,(1-'Lease Cycles'!$AJ$25)*INDEX('Lease Cycles'!$EM$25:$ES$25,1,DF299)+(1-'Lease Cycles'!$BE$25)*IF(DF300&lt;INDEX('Lease Cycles'!$FA$25:$FG$25,1,DF299),0,1-INDEX('Lease Cycles'!$EM$25:$ES$25,1,DF299)),IF(OR(INDEX('Lease Cycles'!$DY$25:$EE$25,1,DF299)=1,DF300&gt;0),1,1-INDEX('Lease Cycles'!$DD$25:$DJ$25,1,DF299))*((1-'Lease Cycles'!$AJ$25)*INDEX('Lease Cycles'!$FO$25:$FU$25,1,DF299)+(1-'Lease Cycles'!$BE$25)*(1-INDEX('Lease Cycles'!$FO$25:$FU$25,1,DF299)))),0)</f>
        <v>0</v>
      </c>
      <c r="DG307" s="24">
        <f>IF(DG301=1,'Lease Cycles'!$D$25*IF(INDEX('Lease Cycles'!$EF$25:$EL$25,1,DG299)=1,(1-'Lease Cycles'!$AJ$25)*INDEX('Lease Cycles'!$EM$25:$ES$25,1,DG299)+(1-'Lease Cycles'!$BE$25)*IF(DG300&lt;INDEX('Lease Cycles'!$FA$25:$FG$25,1,DG299),0,1-INDEX('Lease Cycles'!$EM$25:$ES$25,1,DG299)),IF(OR(INDEX('Lease Cycles'!$DY$25:$EE$25,1,DG299)=1,DG300&gt;0),1,1-INDEX('Lease Cycles'!$DD$25:$DJ$25,1,DG299))*((1-'Lease Cycles'!$AJ$25)*INDEX('Lease Cycles'!$FO$25:$FU$25,1,DG299)+(1-'Lease Cycles'!$BE$25)*(1-INDEX('Lease Cycles'!$FO$25:$FU$25,1,DG299)))),0)</f>
        <v>0</v>
      </c>
      <c r="DH307" s="24">
        <f>IF(DH301=1,'Lease Cycles'!$D$25*IF(INDEX('Lease Cycles'!$EF$25:$EL$25,1,DH299)=1,(1-'Lease Cycles'!$AJ$25)*INDEX('Lease Cycles'!$EM$25:$ES$25,1,DH299)+(1-'Lease Cycles'!$BE$25)*IF(DH300&lt;INDEX('Lease Cycles'!$FA$25:$FG$25,1,DH299),0,1-INDEX('Lease Cycles'!$EM$25:$ES$25,1,DH299)),IF(OR(INDEX('Lease Cycles'!$DY$25:$EE$25,1,DH299)=1,DH300&gt;0),1,1-INDEX('Lease Cycles'!$DD$25:$DJ$25,1,DH299))*((1-'Lease Cycles'!$AJ$25)*INDEX('Lease Cycles'!$FO$25:$FU$25,1,DH299)+(1-'Lease Cycles'!$BE$25)*(1-INDEX('Lease Cycles'!$FO$25:$FU$25,1,DH299)))),0)</f>
        <v>0</v>
      </c>
      <c r="DI307" s="24">
        <f>IF(DI301=1,'Lease Cycles'!$D$25*IF(INDEX('Lease Cycles'!$EF$25:$EL$25,1,DI299)=1,(1-'Lease Cycles'!$AJ$25)*INDEX('Lease Cycles'!$EM$25:$ES$25,1,DI299)+(1-'Lease Cycles'!$BE$25)*IF(DI300&lt;INDEX('Lease Cycles'!$FA$25:$FG$25,1,DI299),0,1-INDEX('Lease Cycles'!$EM$25:$ES$25,1,DI299)),IF(OR(INDEX('Lease Cycles'!$DY$25:$EE$25,1,DI299)=1,DI300&gt;0),1,1-INDEX('Lease Cycles'!$DD$25:$DJ$25,1,DI299))*((1-'Lease Cycles'!$AJ$25)*INDEX('Lease Cycles'!$FO$25:$FU$25,1,DI299)+(1-'Lease Cycles'!$BE$25)*(1-INDEX('Lease Cycles'!$FO$25:$FU$25,1,DI299)))),0)</f>
        <v>0</v>
      </c>
      <c r="DJ307" s="24">
        <f>IF(DJ301=1,'Lease Cycles'!$D$25*IF(INDEX('Lease Cycles'!$EF$25:$EL$25,1,DJ299)=1,(1-'Lease Cycles'!$AJ$25)*INDEX('Lease Cycles'!$EM$25:$ES$25,1,DJ299)+(1-'Lease Cycles'!$BE$25)*IF(DJ300&lt;INDEX('Lease Cycles'!$FA$25:$FG$25,1,DJ299),0,1-INDEX('Lease Cycles'!$EM$25:$ES$25,1,DJ299)),IF(OR(INDEX('Lease Cycles'!$DY$25:$EE$25,1,DJ299)=1,DJ300&gt;0),1,1-INDEX('Lease Cycles'!$DD$25:$DJ$25,1,DJ299))*((1-'Lease Cycles'!$AJ$25)*INDEX('Lease Cycles'!$FO$25:$FU$25,1,DJ299)+(1-'Lease Cycles'!$BE$25)*(1-INDEX('Lease Cycles'!$FO$25:$FU$25,1,DJ299)))),0)</f>
        <v>0</v>
      </c>
      <c r="DK307" s="24">
        <f>IF(DK301=1,'Lease Cycles'!$D$25*IF(INDEX('Lease Cycles'!$EF$25:$EL$25,1,DK299)=1,(1-'Lease Cycles'!$AJ$25)*INDEX('Lease Cycles'!$EM$25:$ES$25,1,DK299)+(1-'Lease Cycles'!$BE$25)*IF(DK300&lt;INDEX('Lease Cycles'!$FA$25:$FG$25,1,DK299),0,1-INDEX('Lease Cycles'!$EM$25:$ES$25,1,DK299)),IF(OR(INDEX('Lease Cycles'!$DY$25:$EE$25,1,DK299)=1,DK300&gt;0),1,1-INDEX('Lease Cycles'!$DD$25:$DJ$25,1,DK299))*((1-'Lease Cycles'!$AJ$25)*INDEX('Lease Cycles'!$FO$25:$FU$25,1,DK299)+(1-'Lease Cycles'!$BE$25)*(1-INDEX('Lease Cycles'!$FO$25:$FU$25,1,DK299)))),0)</f>
        <v>0</v>
      </c>
      <c r="DL307" s="24">
        <f>IF(DL301=1,'Lease Cycles'!$D$25*IF(INDEX('Lease Cycles'!$EF$25:$EL$25,1,DL299)=1,(1-'Lease Cycles'!$AJ$25)*INDEX('Lease Cycles'!$EM$25:$ES$25,1,DL299)+(1-'Lease Cycles'!$BE$25)*IF(DL300&lt;INDEX('Lease Cycles'!$FA$25:$FG$25,1,DL299),0,1-INDEX('Lease Cycles'!$EM$25:$ES$25,1,DL299)),IF(OR(INDEX('Lease Cycles'!$DY$25:$EE$25,1,DL299)=1,DL300&gt;0),1,1-INDEX('Lease Cycles'!$DD$25:$DJ$25,1,DL299))*((1-'Lease Cycles'!$AJ$25)*INDEX('Lease Cycles'!$FO$25:$FU$25,1,DL299)+(1-'Lease Cycles'!$BE$25)*(1-INDEX('Lease Cycles'!$FO$25:$FU$25,1,DL299)))),0)</f>
        <v>0</v>
      </c>
      <c r="DM307" s="24">
        <f>IF(DM301=1,'Lease Cycles'!$D$25*IF(INDEX('Lease Cycles'!$EF$25:$EL$25,1,DM299)=1,(1-'Lease Cycles'!$AJ$25)*INDEX('Lease Cycles'!$EM$25:$ES$25,1,DM299)+(1-'Lease Cycles'!$BE$25)*IF(DM300&lt;INDEX('Lease Cycles'!$FA$25:$FG$25,1,DM299),0,1-INDEX('Lease Cycles'!$EM$25:$ES$25,1,DM299)),IF(OR(INDEX('Lease Cycles'!$DY$25:$EE$25,1,DM299)=1,DM300&gt;0),1,1-INDEX('Lease Cycles'!$DD$25:$DJ$25,1,DM299))*((1-'Lease Cycles'!$AJ$25)*INDEX('Lease Cycles'!$FO$25:$FU$25,1,DM299)+(1-'Lease Cycles'!$BE$25)*(1-INDEX('Lease Cycles'!$FO$25:$FU$25,1,DM299)))),0)</f>
        <v>0</v>
      </c>
      <c r="DN307" s="24">
        <f>IF(DN301=1,'Lease Cycles'!$D$25*IF(INDEX('Lease Cycles'!$EF$25:$EL$25,1,DN299)=1,(1-'Lease Cycles'!$AJ$25)*INDEX('Lease Cycles'!$EM$25:$ES$25,1,DN299)+(1-'Lease Cycles'!$BE$25)*IF(DN300&lt;INDEX('Lease Cycles'!$FA$25:$FG$25,1,DN299),0,1-INDEX('Lease Cycles'!$EM$25:$ES$25,1,DN299)),IF(OR(INDEX('Lease Cycles'!$DY$25:$EE$25,1,DN299)=1,DN300&gt;0),1,1-INDEX('Lease Cycles'!$DD$25:$DJ$25,1,DN299))*((1-'Lease Cycles'!$AJ$25)*INDEX('Lease Cycles'!$FO$25:$FU$25,1,DN299)+(1-'Lease Cycles'!$BE$25)*(1-INDEX('Lease Cycles'!$FO$25:$FU$25,1,DN299)))),0)</f>
        <v>0</v>
      </c>
      <c r="DO307" s="24">
        <f>IF(DO301=1,'Lease Cycles'!$D$25*IF(INDEX('Lease Cycles'!$EF$25:$EL$25,1,DO299)=1,(1-'Lease Cycles'!$AJ$25)*INDEX('Lease Cycles'!$EM$25:$ES$25,1,DO299)+(1-'Lease Cycles'!$BE$25)*IF(DO300&lt;INDEX('Lease Cycles'!$FA$25:$FG$25,1,DO299),0,1-INDEX('Lease Cycles'!$EM$25:$ES$25,1,DO299)),IF(OR(INDEX('Lease Cycles'!$DY$25:$EE$25,1,DO299)=1,DO300&gt;0),1,1-INDEX('Lease Cycles'!$DD$25:$DJ$25,1,DO299))*((1-'Lease Cycles'!$AJ$25)*INDEX('Lease Cycles'!$FO$25:$FU$25,1,DO299)+(1-'Lease Cycles'!$BE$25)*(1-INDEX('Lease Cycles'!$FO$25:$FU$25,1,DO299)))),0)</f>
        <v>0</v>
      </c>
      <c r="DP307" s="24">
        <f>IF(DP301=1,'Lease Cycles'!$D$25*IF(INDEX('Lease Cycles'!$EF$25:$EL$25,1,DP299)=1,(1-'Lease Cycles'!$AJ$25)*INDEX('Lease Cycles'!$EM$25:$ES$25,1,DP299)+(1-'Lease Cycles'!$BE$25)*IF(DP300&lt;INDEX('Lease Cycles'!$FA$25:$FG$25,1,DP299),0,1-INDEX('Lease Cycles'!$EM$25:$ES$25,1,DP299)),IF(OR(INDEX('Lease Cycles'!$DY$25:$EE$25,1,DP299)=1,DP300&gt;0),1,1-INDEX('Lease Cycles'!$DD$25:$DJ$25,1,DP299))*((1-'Lease Cycles'!$AJ$25)*INDEX('Lease Cycles'!$FO$25:$FU$25,1,DP299)+(1-'Lease Cycles'!$BE$25)*(1-INDEX('Lease Cycles'!$FO$25:$FU$25,1,DP299)))),0)</f>
        <v>0</v>
      </c>
      <c r="DQ307" s="24">
        <f>IF(DQ301=1,'Lease Cycles'!$D$25*IF(INDEX('Lease Cycles'!$EF$25:$EL$25,1,DQ299)=1,(1-'Lease Cycles'!$AJ$25)*INDEX('Lease Cycles'!$EM$25:$ES$25,1,DQ299)+(1-'Lease Cycles'!$BE$25)*IF(DQ300&lt;INDEX('Lease Cycles'!$FA$25:$FG$25,1,DQ299),0,1-INDEX('Lease Cycles'!$EM$25:$ES$25,1,DQ299)),IF(OR(INDEX('Lease Cycles'!$DY$25:$EE$25,1,DQ299)=1,DQ300&gt;0),1,1-INDEX('Lease Cycles'!$DD$25:$DJ$25,1,DQ299))*((1-'Lease Cycles'!$AJ$25)*INDEX('Lease Cycles'!$FO$25:$FU$25,1,DQ299)+(1-'Lease Cycles'!$BE$25)*(1-INDEX('Lease Cycles'!$FO$25:$FU$25,1,DQ299)))),0)</f>
        <v>0</v>
      </c>
      <c r="DR307" s="24">
        <f>IF(DR301=1,'Lease Cycles'!$D$25*IF(INDEX('Lease Cycles'!$EF$25:$EL$25,1,DR299)=1,(1-'Lease Cycles'!$AJ$25)*INDEX('Lease Cycles'!$EM$25:$ES$25,1,DR299)+(1-'Lease Cycles'!$BE$25)*IF(DR300&lt;INDEX('Lease Cycles'!$FA$25:$FG$25,1,DR299),0,1-INDEX('Lease Cycles'!$EM$25:$ES$25,1,DR299)),IF(OR(INDEX('Lease Cycles'!$DY$25:$EE$25,1,DR299)=1,DR300&gt;0),1,1-INDEX('Lease Cycles'!$DD$25:$DJ$25,1,DR299))*((1-'Lease Cycles'!$AJ$25)*INDEX('Lease Cycles'!$FO$25:$FU$25,1,DR299)+(1-'Lease Cycles'!$BE$25)*(1-INDEX('Lease Cycles'!$FO$25:$FU$25,1,DR299)))),0)</f>
        <v>0</v>
      </c>
      <c r="DS307" s="24">
        <f>IF(DS301=1,'Lease Cycles'!$D$25*IF(INDEX('Lease Cycles'!$EF$25:$EL$25,1,DS299)=1,(1-'Lease Cycles'!$AJ$25)*INDEX('Lease Cycles'!$EM$25:$ES$25,1,DS299)+(1-'Lease Cycles'!$BE$25)*IF(DS300&lt;INDEX('Lease Cycles'!$FA$25:$FG$25,1,DS299),0,1-INDEX('Lease Cycles'!$EM$25:$ES$25,1,DS299)),IF(OR(INDEX('Lease Cycles'!$DY$25:$EE$25,1,DS299)=1,DS300&gt;0),1,1-INDEX('Lease Cycles'!$DD$25:$DJ$25,1,DS299))*((1-'Lease Cycles'!$AJ$25)*INDEX('Lease Cycles'!$FO$25:$FU$25,1,DS299)+(1-'Lease Cycles'!$BE$25)*(1-INDEX('Lease Cycles'!$FO$25:$FU$25,1,DS299)))),0)</f>
        <v>0</v>
      </c>
      <c r="DT307" s="24">
        <f>IF(DT301=1,'Lease Cycles'!$D$25*IF(INDEX('Lease Cycles'!$EF$25:$EL$25,1,DT299)=1,(1-'Lease Cycles'!$AJ$25)*INDEX('Lease Cycles'!$EM$25:$ES$25,1,DT299)+(1-'Lease Cycles'!$BE$25)*IF(DT300&lt;INDEX('Lease Cycles'!$FA$25:$FG$25,1,DT299),0,1-INDEX('Lease Cycles'!$EM$25:$ES$25,1,DT299)),IF(OR(INDEX('Lease Cycles'!$DY$25:$EE$25,1,DT299)=1,DT300&gt;0),1,1-INDEX('Lease Cycles'!$DD$25:$DJ$25,1,DT299))*((1-'Lease Cycles'!$AJ$25)*INDEX('Lease Cycles'!$FO$25:$FU$25,1,DT299)+(1-'Lease Cycles'!$BE$25)*(1-INDEX('Lease Cycles'!$FO$25:$FU$25,1,DT299)))),0)</f>
        <v>0</v>
      </c>
      <c r="DU307" s="24">
        <f>IF(DU301=1,'Lease Cycles'!$D$25*IF(INDEX('Lease Cycles'!$EF$25:$EL$25,1,DU299)=1,(1-'Lease Cycles'!$AJ$25)*INDEX('Lease Cycles'!$EM$25:$ES$25,1,DU299)+(1-'Lease Cycles'!$BE$25)*IF(DU300&lt;INDEX('Lease Cycles'!$FA$25:$FG$25,1,DU299),0,1-INDEX('Lease Cycles'!$EM$25:$ES$25,1,DU299)),IF(OR(INDEX('Lease Cycles'!$DY$25:$EE$25,1,DU299)=1,DU300&gt;0),1,1-INDEX('Lease Cycles'!$DD$25:$DJ$25,1,DU299))*((1-'Lease Cycles'!$AJ$25)*INDEX('Lease Cycles'!$FO$25:$FU$25,1,DU299)+(1-'Lease Cycles'!$BE$25)*(1-INDEX('Lease Cycles'!$FO$25:$FU$25,1,DU299)))),0)</f>
        <v>0</v>
      </c>
      <c r="DV307" s="24">
        <f>IF(DV301=1,'Lease Cycles'!$D$25*IF(INDEX('Lease Cycles'!$EF$25:$EL$25,1,DV299)=1,(1-'Lease Cycles'!$AJ$25)*INDEX('Lease Cycles'!$EM$25:$ES$25,1,DV299)+(1-'Lease Cycles'!$BE$25)*IF(DV300&lt;INDEX('Lease Cycles'!$FA$25:$FG$25,1,DV299),0,1-INDEX('Lease Cycles'!$EM$25:$ES$25,1,DV299)),IF(OR(INDEX('Lease Cycles'!$DY$25:$EE$25,1,DV299)=1,DV300&gt;0),1,1-INDEX('Lease Cycles'!$DD$25:$DJ$25,1,DV299))*((1-'Lease Cycles'!$AJ$25)*INDEX('Lease Cycles'!$FO$25:$FU$25,1,DV299)+(1-'Lease Cycles'!$BE$25)*(1-INDEX('Lease Cycles'!$FO$25:$FU$25,1,DV299)))),0)</f>
        <v>0</v>
      </c>
      <c r="DW307" s="24">
        <f>IF(DW301=1,'Lease Cycles'!$D$25*IF(INDEX('Lease Cycles'!$EF$25:$EL$25,1,DW299)=1,(1-'Lease Cycles'!$AJ$25)*INDEX('Lease Cycles'!$EM$25:$ES$25,1,DW299)+(1-'Lease Cycles'!$BE$25)*IF(DW300&lt;INDEX('Lease Cycles'!$FA$25:$FG$25,1,DW299),0,1-INDEX('Lease Cycles'!$EM$25:$ES$25,1,DW299)),IF(OR(INDEX('Lease Cycles'!$DY$25:$EE$25,1,DW299)=1,DW300&gt;0),1,1-INDEX('Lease Cycles'!$DD$25:$DJ$25,1,DW299))*((1-'Lease Cycles'!$AJ$25)*INDEX('Lease Cycles'!$FO$25:$FU$25,1,DW299)+(1-'Lease Cycles'!$BE$25)*(1-INDEX('Lease Cycles'!$FO$25:$FU$25,1,DW299)))),0)</f>
        <v>0</v>
      </c>
      <c r="DX307" s="24">
        <f>IF(DX301=1,'Lease Cycles'!$D$25*IF(INDEX('Lease Cycles'!$EF$25:$EL$25,1,DX299)=1,(1-'Lease Cycles'!$AJ$25)*INDEX('Lease Cycles'!$EM$25:$ES$25,1,DX299)+(1-'Lease Cycles'!$BE$25)*IF(DX300&lt;INDEX('Lease Cycles'!$FA$25:$FG$25,1,DX299),0,1-INDEX('Lease Cycles'!$EM$25:$ES$25,1,DX299)),IF(OR(INDEX('Lease Cycles'!$DY$25:$EE$25,1,DX299)=1,DX300&gt;0),1,1-INDEX('Lease Cycles'!$DD$25:$DJ$25,1,DX299))*((1-'Lease Cycles'!$AJ$25)*INDEX('Lease Cycles'!$FO$25:$FU$25,1,DX299)+(1-'Lease Cycles'!$BE$25)*(1-INDEX('Lease Cycles'!$FO$25:$FU$25,1,DX299)))),0)</f>
        <v>0</v>
      </c>
      <c r="DY307" s="24">
        <f>IF(DY301=1,'Lease Cycles'!$D$25*IF(INDEX('Lease Cycles'!$EF$25:$EL$25,1,DY299)=1,(1-'Lease Cycles'!$AJ$25)*INDEX('Lease Cycles'!$EM$25:$ES$25,1,DY299)+(1-'Lease Cycles'!$BE$25)*IF(DY300&lt;INDEX('Lease Cycles'!$FA$25:$FG$25,1,DY299),0,1-INDEX('Lease Cycles'!$EM$25:$ES$25,1,DY299)),IF(OR(INDEX('Lease Cycles'!$DY$25:$EE$25,1,DY299)=1,DY300&gt;0),1,1-INDEX('Lease Cycles'!$DD$25:$DJ$25,1,DY299))*((1-'Lease Cycles'!$AJ$25)*INDEX('Lease Cycles'!$FO$25:$FU$25,1,DY299)+(1-'Lease Cycles'!$BE$25)*(1-INDEX('Lease Cycles'!$FO$25:$FU$25,1,DY299)))),0)</f>
        <v>0</v>
      </c>
      <c r="DZ307" s="24">
        <f>IF(DZ301=1,'Lease Cycles'!$D$25*IF(INDEX('Lease Cycles'!$EF$25:$EL$25,1,DZ299)=1,(1-'Lease Cycles'!$AJ$25)*INDEX('Lease Cycles'!$EM$25:$ES$25,1,DZ299)+(1-'Lease Cycles'!$BE$25)*IF(DZ300&lt;INDEX('Lease Cycles'!$FA$25:$FG$25,1,DZ299),0,1-INDEX('Lease Cycles'!$EM$25:$ES$25,1,DZ299)),IF(OR(INDEX('Lease Cycles'!$DY$25:$EE$25,1,DZ299)=1,DZ300&gt;0),1,1-INDEX('Lease Cycles'!$DD$25:$DJ$25,1,DZ299))*((1-'Lease Cycles'!$AJ$25)*INDEX('Lease Cycles'!$FO$25:$FU$25,1,DZ299)+(1-'Lease Cycles'!$BE$25)*(1-INDEX('Lease Cycles'!$FO$25:$FU$25,1,DZ299)))),0)</f>
        <v>0</v>
      </c>
      <c r="EA307" s="24">
        <f>IF(EA301=1,'Lease Cycles'!$D$25*IF(INDEX('Lease Cycles'!$EF$25:$EL$25,1,EA299)=1,(1-'Lease Cycles'!$AJ$25)*INDEX('Lease Cycles'!$EM$25:$ES$25,1,EA299)+(1-'Lease Cycles'!$BE$25)*IF(EA300&lt;INDEX('Lease Cycles'!$FA$25:$FG$25,1,EA299),0,1-INDEX('Lease Cycles'!$EM$25:$ES$25,1,EA299)),IF(OR(INDEX('Lease Cycles'!$DY$25:$EE$25,1,EA299)=1,EA300&gt;0),1,1-INDEX('Lease Cycles'!$DD$25:$DJ$25,1,EA299))*((1-'Lease Cycles'!$AJ$25)*INDEX('Lease Cycles'!$FO$25:$FU$25,1,EA299)+(1-'Lease Cycles'!$BE$25)*(1-INDEX('Lease Cycles'!$FO$25:$FU$25,1,EA299)))),0)</f>
        <v>0</v>
      </c>
      <c r="EB307" s="24">
        <f>IF(EB301=1,'Lease Cycles'!$D$25*IF(INDEX('Lease Cycles'!$EF$25:$EL$25,1,EB299)=1,(1-'Lease Cycles'!$AJ$25)*INDEX('Lease Cycles'!$EM$25:$ES$25,1,EB299)+(1-'Lease Cycles'!$BE$25)*IF(EB300&lt;INDEX('Lease Cycles'!$FA$25:$FG$25,1,EB299),0,1-INDEX('Lease Cycles'!$EM$25:$ES$25,1,EB299)),IF(OR(INDEX('Lease Cycles'!$DY$25:$EE$25,1,EB299)=1,EB300&gt;0),1,1-INDEX('Lease Cycles'!$DD$25:$DJ$25,1,EB299))*((1-'Lease Cycles'!$AJ$25)*INDEX('Lease Cycles'!$FO$25:$FU$25,1,EB299)+(1-'Lease Cycles'!$BE$25)*(1-INDEX('Lease Cycles'!$FO$25:$FU$25,1,EB299)))),0)</f>
        <v>0</v>
      </c>
      <c r="EC307" s="24">
        <f>IF(EC301=1,'Lease Cycles'!$D$25*IF(INDEX('Lease Cycles'!$EF$25:$EL$25,1,EC299)=1,(1-'Lease Cycles'!$AJ$25)*INDEX('Lease Cycles'!$EM$25:$ES$25,1,EC299)+(1-'Lease Cycles'!$BE$25)*IF(EC300&lt;INDEX('Lease Cycles'!$FA$25:$FG$25,1,EC299),0,1-INDEX('Lease Cycles'!$EM$25:$ES$25,1,EC299)),IF(OR(INDEX('Lease Cycles'!$DY$25:$EE$25,1,EC299)=1,EC300&gt;0),1,1-INDEX('Lease Cycles'!$DD$25:$DJ$25,1,EC299))*((1-'Lease Cycles'!$AJ$25)*INDEX('Lease Cycles'!$FO$25:$FU$25,1,EC299)+(1-'Lease Cycles'!$BE$25)*(1-INDEX('Lease Cycles'!$FO$25:$FU$25,1,EC299)))),0)</f>
        <v>0</v>
      </c>
      <c r="ED307" s="24">
        <f>IF(ED301=1,'Lease Cycles'!$D$25*IF(INDEX('Lease Cycles'!$EF$25:$EL$25,1,ED299)=1,(1-'Lease Cycles'!$AJ$25)*INDEX('Lease Cycles'!$EM$25:$ES$25,1,ED299)+(1-'Lease Cycles'!$BE$25)*IF(ED300&lt;INDEX('Lease Cycles'!$FA$25:$FG$25,1,ED299),0,1-INDEX('Lease Cycles'!$EM$25:$ES$25,1,ED299)),IF(OR(INDEX('Lease Cycles'!$DY$25:$EE$25,1,ED299)=1,ED300&gt;0),1,1-INDEX('Lease Cycles'!$DD$25:$DJ$25,1,ED299))*((1-'Lease Cycles'!$AJ$25)*INDEX('Lease Cycles'!$FO$25:$FU$25,1,ED299)+(1-'Lease Cycles'!$BE$25)*(1-INDEX('Lease Cycles'!$FO$25:$FU$25,1,ED299)))),0)</f>
        <v>0</v>
      </c>
      <c r="EE307" s="24">
        <f>IF(EE301=1,'Lease Cycles'!$D$25*IF(INDEX('Lease Cycles'!$EF$25:$EL$25,1,EE299)=1,(1-'Lease Cycles'!$AJ$25)*INDEX('Lease Cycles'!$EM$25:$ES$25,1,EE299)+(1-'Lease Cycles'!$BE$25)*IF(EE300&lt;INDEX('Lease Cycles'!$FA$25:$FG$25,1,EE299),0,1-INDEX('Lease Cycles'!$EM$25:$ES$25,1,EE299)),IF(OR(INDEX('Lease Cycles'!$DY$25:$EE$25,1,EE299)=1,EE300&gt;0),1,1-INDEX('Lease Cycles'!$DD$25:$DJ$25,1,EE299))*((1-'Lease Cycles'!$AJ$25)*INDEX('Lease Cycles'!$FO$25:$FU$25,1,EE299)+(1-'Lease Cycles'!$BE$25)*(1-INDEX('Lease Cycles'!$FO$25:$FU$25,1,EE299)))),0)</f>
        <v>0</v>
      </c>
      <c r="EF307" s="24">
        <f>IF(EF301=1,'Lease Cycles'!$D$25*IF(INDEX('Lease Cycles'!$EF$25:$EL$25,1,EF299)=1,(1-'Lease Cycles'!$AJ$25)*INDEX('Lease Cycles'!$EM$25:$ES$25,1,EF299)+(1-'Lease Cycles'!$BE$25)*IF(EF300&lt;INDEX('Lease Cycles'!$FA$25:$FG$25,1,EF299),0,1-INDEX('Lease Cycles'!$EM$25:$ES$25,1,EF299)),IF(OR(INDEX('Lease Cycles'!$DY$25:$EE$25,1,EF299)=1,EF300&gt;0),1,1-INDEX('Lease Cycles'!$DD$25:$DJ$25,1,EF299))*((1-'Lease Cycles'!$AJ$25)*INDEX('Lease Cycles'!$FO$25:$FU$25,1,EF299)+(1-'Lease Cycles'!$BE$25)*(1-INDEX('Lease Cycles'!$FO$25:$FU$25,1,EF299)))),0)</f>
        <v>0</v>
      </c>
      <c r="EG307" s="24">
        <f>IF(EG301=1,'Lease Cycles'!$D$25*IF(INDEX('Lease Cycles'!$EF$25:$EL$25,1,EG299)=1,(1-'Lease Cycles'!$AJ$25)*INDEX('Lease Cycles'!$EM$25:$ES$25,1,EG299)+(1-'Lease Cycles'!$BE$25)*IF(EG300&lt;INDEX('Lease Cycles'!$FA$25:$FG$25,1,EG299),0,1-INDEX('Lease Cycles'!$EM$25:$ES$25,1,EG299)),IF(OR(INDEX('Lease Cycles'!$DY$25:$EE$25,1,EG299)=1,EG300&gt;0),1,1-INDEX('Lease Cycles'!$DD$25:$DJ$25,1,EG299))*((1-'Lease Cycles'!$AJ$25)*INDEX('Lease Cycles'!$FO$25:$FU$25,1,EG299)+(1-'Lease Cycles'!$BE$25)*(1-INDEX('Lease Cycles'!$FO$25:$FU$25,1,EG299)))),0)</f>
        <v>0</v>
      </c>
      <c r="EH307" s="24">
        <f>IF(EH301=1,'Lease Cycles'!$D$25*IF(INDEX('Lease Cycles'!$EF$25:$EL$25,1,EH299)=1,(1-'Lease Cycles'!$AJ$25)*INDEX('Lease Cycles'!$EM$25:$ES$25,1,EH299)+(1-'Lease Cycles'!$BE$25)*IF(EH300&lt;INDEX('Lease Cycles'!$FA$25:$FG$25,1,EH299),0,1-INDEX('Lease Cycles'!$EM$25:$ES$25,1,EH299)),IF(OR(INDEX('Lease Cycles'!$DY$25:$EE$25,1,EH299)=1,EH300&gt;0),1,1-INDEX('Lease Cycles'!$DD$25:$DJ$25,1,EH299))*((1-'Lease Cycles'!$AJ$25)*INDEX('Lease Cycles'!$FO$25:$FU$25,1,EH299)+(1-'Lease Cycles'!$BE$25)*(1-INDEX('Lease Cycles'!$FO$25:$FU$25,1,EH299)))),0)</f>
        <v>0</v>
      </c>
      <c r="EI307" s="24">
        <f>IF(EI301=1,'Lease Cycles'!$D$25*IF(INDEX('Lease Cycles'!$EF$25:$EL$25,1,EI299)=1,(1-'Lease Cycles'!$AJ$25)*INDEX('Lease Cycles'!$EM$25:$ES$25,1,EI299)+(1-'Lease Cycles'!$BE$25)*IF(EI300&lt;INDEX('Lease Cycles'!$FA$25:$FG$25,1,EI299),0,1-INDEX('Lease Cycles'!$EM$25:$ES$25,1,EI299)),IF(OR(INDEX('Lease Cycles'!$DY$25:$EE$25,1,EI299)=1,EI300&gt;0),1,1-INDEX('Lease Cycles'!$DD$25:$DJ$25,1,EI299))*((1-'Lease Cycles'!$AJ$25)*INDEX('Lease Cycles'!$FO$25:$FU$25,1,EI299)+(1-'Lease Cycles'!$BE$25)*(1-INDEX('Lease Cycles'!$FO$25:$FU$25,1,EI299)))),0)</f>
        <v>0</v>
      </c>
      <c r="EJ307" s="24">
        <f>IF(EJ301=1,'Lease Cycles'!$D$25*IF(INDEX('Lease Cycles'!$EF$25:$EL$25,1,EJ299)=1,(1-'Lease Cycles'!$AJ$25)*INDEX('Lease Cycles'!$EM$25:$ES$25,1,EJ299)+(1-'Lease Cycles'!$BE$25)*IF(EJ300&lt;INDEX('Lease Cycles'!$FA$25:$FG$25,1,EJ299),0,1-INDEX('Lease Cycles'!$EM$25:$ES$25,1,EJ299)),IF(OR(INDEX('Lease Cycles'!$DY$25:$EE$25,1,EJ299)=1,EJ300&gt;0),1,1-INDEX('Lease Cycles'!$DD$25:$DJ$25,1,EJ299))*((1-'Lease Cycles'!$AJ$25)*INDEX('Lease Cycles'!$FO$25:$FU$25,1,EJ299)+(1-'Lease Cycles'!$BE$25)*(1-INDEX('Lease Cycles'!$FO$25:$FU$25,1,EJ299)))),0)</f>
        <v>0</v>
      </c>
      <c r="EK307" s="24">
        <f>IF(EK301=1,'Lease Cycles'!$D$25*IF(INDEX('Lease Cycles'!$EF$25:$EL$25,1,EK299)=1,(1-'Lease Cycles'!$AJ$25)*INDEX('Lease Cycles'!$EM$25:$ES$25,1,EK299)+(1-'Lease Cycles'!$BE$25)*IF(EK300&lt;INDEX('Lease Cycles'!$FA$25:$FG$25,1,EK299),0,1-INDEX('Lease Cycles'!$EM$25:$ES$25,1,EK299)),IF(OR(INDEX('Lease Cycles'!$DY$25:$EE$25,1,EK299)=1,EK300&gt;0),1,1-INDEX('Lease Cycles'!$DD$25:$DJ$25,1,EK299))*((1-'Lease Cycles'!$AJ$25)*INDEX('Lease Cycles'!$FO$25:$FU$25,1,EK299)+(1-'Lease Cycles'!$BE$25)*(1-INDEX('Lease Cycles'!$FO$25:$FU$25,1,EK299)))),0)</f>
        <v>0</v>
      </c>
      <c r="EL307" s="24">
        <f>IF(EL301=1,'Lease Cycles'!$D$25*IF(INDEX('Lease Cycles'!$EF$25:$EL$25,1,EL299)=1,(1-'Lease Cycles'!$AJ$25)*INDEX('Lease Cycles'!$EM$25:$ES$25,1,EL299)+(1-'Lease Cycles'!$BE$25)*IF(EL300&lt;INDEX('Lease Cycles'!$FA$25:$FG$25,1,EL299),0,1-INDEX('Lease Cycles'!$EM$25:$ES$25,1,EL299)),IF(OR(INDEX('Lease Cycles'!$DY$25:$EE$25,1,EL299)=1,EL300&gt;0),1,1-INDEX('Lease Cycles'!$DD$25:$DJ$25,1,EL299))*((1-'Lease Cycles'!$AJ$25)*INDEX('Lease Cycles'!$FO$25:$FU$25,1,EL299)+(1-'Lease Cycles'!$BE$25)*(1-INDEX('Lease Cycles'!$FO$25:$FU$25,1,EL299)))),0)</f>
        <v>0</v>
      </c>
      <c r="EM307" s="24">
        <f>IF(EM301=1,'Lease Cycles'!$D$25*IF(INDEX('Lease Cycles'!$EF$25:$EL$25,1,EM299)=1,(1-'Lease Cycles'!$AJ$25)*INDEX('Lease Cycles'!$EM$25:$ES$25,1,EM299)+(1-'Lease Cycles'!$BE$25)*IF(EM300&lt;INDEX('Lease Cycles'!$FA$25:$FG$25,1,EM299),0,1-INDEX('Lease Cycles'!$EM$25:$ES$25,1,EM299)),IF(OR(INDEX('Lease Cycles'!$DY$25:$EE$25,1,EM299)=1,EM300&gt;0),1,1-INDEX('Lease Cycles'!$DD$25:$DJ$25,1,EM299))*((1-'Lease Cycles'!$AJ$25)*INDEX('Lease Cycles'!$FO$25:$FU$25,1,EM299)+(1-'Lease Cycles'!$BE$25)*(1-INDEX('Lease Cycles'!$FO$25:$FU$25,1,EM299)))),0)</f>
        <v>0</v>
      </c>
      <c r="EN307" s="24">
        <f>IF(EN301=1,'Lease Cycles'!$D$25*IF(INDEX('Lease Cycles'!$EF$25:$EL$25,1,EN299)=1,(1-'Lease Cycles'!$AJ$25)*INDEX('Lease Cycles'!$EM$25:$ES$25,1,EN299)+(1-'Lease Cycles'!$BE$25)*IF(EN300&lt;INDEX('Lease Cycles'!$FA$25:$FG$25,1,EN299),0,1-INDEX('Lease Cycles'!$EM$25:$ES$25,1,EN299)),IF(OR(INDEX('Lease Cycles'!$DY$25:$EE$25,1,EN299)=1,EN300&gt;0),1,1-INDEX('Lease Cycles'!$DD$25:$DJ$25,1,EN299))*((1-'Lease Cycles'!$AJ$25)*INDEX('Lease Cycles'!$FO$25:$FU$25,1,EN299)+(1-'Lease Cycles'!$BE$25)*(1-INDEX('Lease Cycles'!$FO$25:$FU$25,1,EN299)))),0)</f>
        <v>0</v>
      </c>
      <c r="EO307" s="24">
        <f>IF(EO301=1,'Lease Cycles'!$D$25*IF(INDEX('Lease Cycles'!$EF$25:$EL$25,1,EO299)=1,(1-'Lease Cycles'!$AJ$25)*INDEX('Lease Cycles'!$EM$25:$ES$25,1,EO299)+(1-'Lease Cycles'!$BE$25)*IF(EO300&lt;INDEX('Lease Cycles'!$FA$25:$FG$25,1,EO299),0,1-INDEX('Lease Cycles'!$EM$25:$ES$25,1,EO299)),IF(OR(INDEX('Lease Cycles'!$DY$25:$EE$25,1,EO299)=1,EO300&gt;0),1,1-INDEX('Lease Cycles'!$DD$25:$DJ$25,1,EO299))*((1-'Lease Cycles'!$AJ$25)*INDEX('Lease Cycles'!$FO$25:$FU$25,1,EO299)+(1-'Lease Cycles'!$BE$25)*(1-INDEX('Lease Cycles'!$FO$25:$FU$25,1,EO299)))),0)</f>
        <v>0</v>
      </c>
      <c r="EP307" s="24">
        <f>IF(EP301=1,'Lease Cycles'!$D$25*IF(INDEX('Lease Cycles'!$EF$25:$EL$25,1,EP299)=1,(1-'Lease Cycles'!$AJ$25)*INDEX('Lease Cycles'!$EM$25:$ES$25,1,EP299)+(1-'Lease Cycles'!$BE$25)*IF(EP300&lt;INDEX('Lease Cycles'!$FA$25:$FG$25,1,EP299),0,1-INDEX('Lease Cycles'!$EM$25:$ES$25,1,EP299)),IF(OR(INDEX('Lease Cycles'!$DY$25:$EE$25,1,EP299)=1,EP300&gt;0),1,1-INDEX('Lease Cycles'!$DD$25:$DJ$25,1,EP299))*((1-'Lease Cycles'!$AJ$25)*INDEX('Lease Cycles'!$FO$25:$FU$25,1,EP299)+(1-'Lease Cycles'!$BE$25)*(1-INDEX('Lease Cycles'!$FO$25:$FU$25,1,EP299)))),0)</f>
        <v>0</v>
      </c>
      <c r="EQ307" s="24">
        <f>IF(EQ301=1,'Lease Cycles'!$D$25*IF(INDEX('Lease Cycles'!$EF$25:$EL$25,1,EQ299)=1,(1-'Lease Cycles'!$AJ$25)*INDEX('Lease Cycles'!$EM$25:$ES$25,1,EQ299)+(1-'Lease Cycles'!$BE$25)*IF(EQ300&lt;INDEX('Lease Cycles'!$FA$25:$FG$25,1,EQ299),0,1-INDEX('Lease Cycles'!$EM$25:$ES$25,1,EQ299)),IF(OR(INDEX('Lease Cycles'!$DY$25:$EE$25,1,EQ299)=1,EQ300&gt;0),1,1-INDEX('Lease Cycles'!$DD$25:$DJ$25,1,EQ299))*((1-'Lease Cycles'!$AJ$25)*INDEX('Lease Cycles'!$FO$25:$FU$25,1,EQ299)+(1-'Lease Cycles'!$BE$25)*(1-INDEX('Lease Cycles'!$FO$25:$FU$25,1,EQ299)))),0)</f>
        <v>0</v>
      </c>
      <c r="ER307" s="24">
        <f>IF(ER301=1,'Lease Cycles'!$D$25*IF(INDEX('Lease Cycles'!$EF$25:$EL$25,1,ER299)=1,(1-'Lease Cycles'!$AJ$25)*INDEX('Lease Cycles'!$EM$25:$ES$25,1,ER299)+(1-'Lease Cycles'!$BE$25)*IF(ER300&lt;INDEX('Lease Cycles'!$FA$25:$FG$25,1,ER299),0,1-INDEX('Lease Cycles'!$EM$25:$ES$25,1,ER299)),IF(OR(INDEX('Lease Cycles'!$DY$25:$EE$25,1,ER299)=1,ER300&gt;0),1,1-INDEX('Lease Cycles'!$DD$25:$DJ$25,1,ER299))*((1-'Lease Cycles'!$AJ$25)*INDEX('Lease Cycles'!$FO$25:$FU$25,1,ER299)+(1-'Lease Cycles'!$BE$25)*(1-INDEX('Lease Cycles'!$FO$25:$FU$25,1,ER299)))),0)</f>
        <v>0</v>
      </c>
      <c r="ES307" s="24">
        <f>IF(ES301=1,'Lease Cycles'!$D$25*IF(INDEX('Lease Cycles'!$EF$25:$EL$25,1,ES299)=1,(1-'Lease Cycles'!$AJ$25)*INDEX('Lease Cycles'!$EM$25:$ES$25,1,ES299)+(1-'Lease Cycles'!$BE$25)*IF(ES300&lt;INDEX('Lease Cycles'!$FA$25:$FG$25,1,ES299),0,1-INDEX('Lease Cycles'!$EM$25:$ES$25,1,ES299)),IF(OR(INDEX('Lease Cycles'!$DY$25:$EE$25,1,ES299)=1,ES300&gt;0),1,1-INDEX('Lease Cycles'!$DD$25:$DJ$25,1,ES299))*((1-'Lease Cycles'!$AJ$25)*INDEX('Lease Cycles'!$FO$25:$FU$25,1,ES299)+(1-'Lease Cycles'!$BE$25)*(1-INDEX('Lease Cycles'!$FO$25:$FU$25,1,ES299)))),0)</f>
        <v>0</v>
      </c>
      <c r="ET307" s="24">
        <f>IF(ET301=1,'Lease Cycles'!$D$25*IF(INDEX('Lease Cycles'!$EF$25:$EL$25,1,ET299)=1,(1-'Lease Cycles'!$AJ$25)*INDEX('Lease Cycles'!$EM$25:$ES$25,1,ET299)+(1-'Lease Cycles'!$BE$25)*IF(ET300&lt;INDEX('Lease Cycles'!$FA$25:$FG$25,1,ET299),0,1-INDEX('Lease Cycles'!$EM$25:$ES$25,1,ET299)),IF(OR(INDEX('Lease Cycles'!$DY$25:$EE$25,1,ET299)=1,ET300&gt;0),1,1-INDEX('Lease Cycles'!$DD$25:$DJ$25,1,ET299))*((1-'Lease Cycles'!$AJ$25)*INDEX('Lease Cycles'!$FO$25:$FU$25,1,ET299)+(1-'Lease Cycles'!$BE$25)*(1-INDEX('Lease Cycles'!$FO$25:$FU$25,1,ET299)))),0)</f>
        <v>0</v>
      </c>
    </row>
    <row r="308">
      <c r="A308" s="103">
        <v>18</v>
      </c>
      <c r="B308" s="23" t="str">
        <f>IF('Lease Cycles'!$B$25="","(empty slot)",'Lease Cycles'!$B$25)</f>
        <v>(empty slot)</v>
      </c>
      <c r="C308" s="23" t="s">
        <v>685</v>
      </c>
      <c r="D308" s="104" t="s">
        <v>686</v>
      </c>
      <c r="E308" s="25">
        <f>'Lease Cycles'!$AL$25</f>
        <v>0</v>
      </c>
      <c r="G308" s="24">
        <f>SUM(S308:AD308)</f>
        <v>0</v>
      </c>
      <c r="H308" s="24">
        <f>SUM(AE308:AP308)</f>
        <v>0</v>
      </c>
      <c r="I308" s="24">
        <f>SUM(AQ308:BB308)</f>
        <v>0</v>
      </c>
      <c r="J308" s="24">
        <f>SUM(BC308:BN308)</f>
        <v>0</v>
      </c>
      <c r="K308" s="24">
        <f>SUM(BO308:BZ308)</f>
        <v>0</v>
      </c>
      <c r="L308" s="24">
        <f>SUM(CA308:CL308)</f>
        <v>0</v>
      </c>
      <c r="M308" s="24">
        <f>SUM(CM308:CX308)</f>
        <v>0</v>
      </c>
      <c r="N308" s="24">
        <f>SUM(CY308:DJ308)</f>
        <v>0</v>
      </c>
      <c r="O308" s="24">
        <f>SUM(DK308:DV308)</f>
        <v>0</v>
      </c>
      <c r="P308" s="24">
        <f>SUM(DW308:EH308)</f>
        <v>0</v>
      </c>
      <c r="Q308" s="24">
        <f>SUM(EI308:ET308)</f>
        <v>0</v>
      </c>
      <c r="S308" s="24">
        <f>IF(S301=1,IF('Lease Cycles'!$AJ$25=1,0,'Lease Cycles'!$D$25*INDEX('Lease Cycles'!$FH$25:$FN$25,1,S299)*IF(INDEX('Lease Cycles'!$EF$25:$EL$25,1,S299)=1,1,IF(OR(INDEX('Lease Cycles'!$DY$25:$EE$25,1,S299)=1,S300&gt;0),1,1-INDEX('Lease Cycles'!$DD$25:$DJ$25,1,S299)))),0)</f>
        <v>0</v>
      </c>
      <c r="T308" s="24">
        <f>IF(T301=1,IF('Lease Cycles'!$AJ$25=1,0,'Lease Cycles'!$D$25*INDEX('Lease Cycles'!$FH$25:$FN$25,1,T299)*IF(INDEX('Lease Cycles'!$EF$25:$EL$25,1,T299)=1,1,IF(OR(INDEX('Lease Cycles'!$DY$25:$EE$25,1,T299)=1,T300&gt;0),1,1-INDEX('Lease Cycles'!$DD$25:$DJ$25,1,T299)))),0)</f>
        <v>0</v>
      </c>
      <c r="U308" s="24">
        <f>IF(U301=1,IF('Lease Cycles'!$AJ$25=1,0,'Lease Cycles'!$D$25*INDEX('Lease Cycles'!$FH$25:$FN$25,1,U299)*IF(INDEX('Lease Cycles'!$EF$25:$EL$25,1,U299)=1,1,IF(OR(INDEX('Lease Cycles'!$DY$25:$EE$25,1,U299)=1,U300&gt;0),1,1-INDEX('Lease Cycles'!$DD$25:$DJ$25,1,U299)))),0)</f>
        <v>0</v>
      </c>
      <c r="V308" s="24">
        <f>IF(V301=1,IF('Lease Cycles'!$AJ$25=1,0,'Lease Cycles'!$D$25*INDEX('Lease Cycles'!$FH$25:$FN$25,1,V299)*IF(INDEX('Lease Cycles'!$EF$25:$EL$25,1,V299)=1,1,IF(OR(INDEX('Lease Cycles'!$DY$25:$EE$25,1,V299)=1,V300&gt;0),1,1-INDEX('Lease Cycles'!$DD$25:$DJ$25,1,V299)))),0)</f>
        <v>0</v>
      </c>
      <c r="W308" s="24">
        <f>IF(W301=1,IF('Lease Cycles'!$AJ$25=1,0,'Lease Cycles'!$D$25*INDEX('Lease Cycles'!$FH$25:$FN$25,1,W299)*IF(INDEX('Lease Cycles'!$EF$25:$EL$25,1,W299)=1,1,IF(OR(INDEX('Lease Cycles'!$DY$25:$EE$25,1,W299)=1,W300&gt;0),1,1-INDEX('Lease Cycles'!$DD$25:$DJ$25,1,W299)))),0)</f>
        <v>0</v>
      </c>
      <c r="X308" s="24">
        <f>IF(X301=1,IF('Lease Cycles'!$AJ$25=1,0,'Lease Cycles'!$D$25*INDEX('Lease Cycles'!$FH$25:$FN$25,1,X299)*IF(INDEX('Lease Cycles'!$EF$25:$EL$25,1,X299)=1,1,IF(OR(INDEX('Lease Cycles'!$DY$25:$EE$25,1,X299)=1,X300&gt;0),1,1-INDEX('Lease Cycles'!$DD$25:$DJ$25,1,X299)))),0)</f>
        <v>0</v>
      </c>
      <c r="Y308" s="24">
        <f>IF(Y301=1,IF('Lease Cycles'!$AJ$25=1,0,'Lease Cycles'!$D$25*INDEX('Lease Cycles'!$FH$25:$FN$25,1,Y299)*IF(INDEX('Lease Cycles'!$EF$25:$EL$25,1,Y299)=1,1,IF(OR(INDEX('Lease Cycles'!$DY$25:$EE$25,1,Y299)=1,Y300&gt;0),1,1-INDEX('Lease Cycles'!$DD$25:$DJ$25,1,Y299)))),0)</f>
        <v>0</v>
      </c>
      <c r="Z308" s="24">
        <f>IF(Z301=1,IF('Lease Cycles'!$AJ$25=1,0,'Lease Cycles'!$D$25*INDEX('Lease Cycles'!$FH$25:$FN$25,1,Z299)*IF(INDEX('Lease Cycles'!$EF$25:$EL$25,1,Z299)=1,1,IF(OR(INDEX('Lease Cycles'!$DY$25:$EE$25,1,Z299)=1,Z300&gt;0),1,1-INDEX('Lease Cycles'!$DD$25:$DJ$25,1,Z299)))),0)</f>
        <v>0</v>
      </c>
      <c r="AA308" s="24">
        <f>IF(AA301=1,IF('Lease Cycles'!$AJ$25=1,0,'Lease Cycles'!$D$25*INDEX('Lease Cycles'!$FH$25:$FN$25,1,AA299)*IF(INDEX('Lease Cycles'!$EF$25:$EL$25,1,AA299)=1,1,IF(OR(INDEX('Lease Cycles'!$DY$25:$EE$25,1,AA299)=1,AA300&gt;0),1,1-INDEX('Lease Cycles'!$DD$25:$DJ$25,1,AA299)))),0)</f>
        <v>0</v>
      </c>
      <c r="AB308" s="24">
        <f>IF(AB301=1,IF('Lease Cycles'!$AJ$25=1,0,'Lease Cycles'!$D$25*INDEX('Lease Cycles'!$FH$25:$FN$25,1,AB299)*IF(INDEX('Lease Cycles'!$EF$25:$EL$25,1,AB299)=1,1,IF(OR(INDEX('Lease Cycles'!$DY$25:$EE$25,1,AB299)=1,AB300&gt;0),1,1-INDEX('Lease Cycles'!$DD$25:$DJ$25,1,AB299)))),0)</f>
        <v>0</v>
      </c>
      <c r="AC308" s="24">
        <f>IF(AC301=1,IF('Lease Cycles'!$AJ$25=1,0,'Lease Cycles'!$D$25*INDEX('Lease Cycles'!$FH$25:$FN$25,1,AC299)*IF(INDEX('Lease Cycles'!$EF$25:$EL$25,1,AC299)=1,1,IF(OR(INDEX('Lease Cycles'!$DY$25:$EE$25,1,AC299)=1,AC300&gt;0),1,1-INDEX('Lease Cycles'!$DD$25:$DJ$25,1,AC299)))),0)</f>
        <v>0</v>
      </c>
      <c r="AD308" s="24">
        <f>IF(AD301=1,IF('Lease Cycles'!$AJ$25=1,0,'Lease Cycles'!$D$25*INDEX('Lease Cycles'!$FH$25:$FN$25,1,AD299)*IF(INDEX('Lease Cycles'!$EF$25:$EL$25,1,AD299)=1,1,IF(OR(INDEX('Lease Cycles'!$DY$25:$EE$25,1,AD299)=1,AD300&gt;0),1,1-INDEX('Lease Cycles'!$DD$25:$DJ$25,1,AD299)))),0)</f>
        <v>0</v>
      </c>
      <c r="AE308" s="24">
        <f>IF(AE301=1,IF('Lease Cycles'!$AJ$25=1,0,'Lease Cycles'!$D$25*INDEX('Lease Cycles'!$FH$25:$FN$25,1,AE299)*IF(INDEX('Lease Cycles'!$EF$25:$EL$25,1,AE299)=1,1,IF(OR(INDEX('Lease Cycles'!$DY$25:$EE$25,1,AE299)=1,AE300&gt;0),1,1-INDEX('Lease Cycles'!$DD$25:$DJ$25,1,AE299)))),0)</f>
        <v>0</v>
      </c>
      <c r="AF308" s="24">
        <f>IF(AF301=1,IF('Lease Cycles'!$AJ$25=1,0,'Lease Cycles'!$D$25*INDEX('Lease Cycles'!$FH$25:$FN$25,1,AF299)*IF(INDEX('Lease Cycles'!$EF$25:$EL$25,1,AF299)=1,1,IF(OR(INDEX('Lease Cycles'!$DY$25:$EE$25,1,AF299)=1,AF300&gt;0),1,1-INDEX('Lease Cycles'!$DD$25:$DJ$25,1,AF299)))),0)</f>
        <v>0</v>
      </c>
      <c r="AG308" s="24">
        <f>IF(AG301=1,IF('Lease Cycles'!$AJ$25=1,0,'Lease Cycles'!$D$25*INDEX('Lease Cycles'!$FH$25:$FN$25,1,AG299)*IF(INDEX('Lease Cycles'!$EF$25:$EL$25,1,AG299)=1,1,IF(OR(INDEX('Lease Cycles'!$DY$25:$EE$25,1,AG299)=1,AG300&gt;0),1,1-INDEX('Lease Cycles'!$DD$25:$DJ$25,1,AG299)))),0)</f>
        <v>0</v>
      </c>
      <c r="AH308" s="24">
        <f>IF(AH301=1,IF('Lease Cycles'!$AJ$25=1,0,'Lease Cycles'!$D$25*INDEX('Lease Cycles'!$FH$25:$FN$25,1,AH299)*IF(INDEX('Lease Cycles'!$EF$25:$EL$25,1,AH299)=1,1,IF(OR(INDEX('Lease Cycles'!$DY$25:$EE$25,1,AH299)=1,AH300&gt;0),1,1-INDEX('Lease Cycles'!$DD$25:$DJ$25,1,AH299)))),0)</f>
        <v>0</v>
      </c>
      <c r="AI308" s="24">
        <f>IF(AI301=1,IF('Lease Cycles'!$AJ$25=1,0,'Lease Cycles'!$D$25*INDEX('Lease Cycles'!$FH$25:$FN$25,1,AI299)*IF(INDEX('Lease Cycles'!$EF$25:$EL$25,1,AI299)=1,1,IF(OR(INDEX('Lease Cycles'!$DY$25:$EE$25,1,AI299)=1,AI300&gt;0),1,1-INDEX('Lease Cycles'!$DD$25:$DJ$25,1,AI299)))),0)</f>
        <v>0</v>
      </c>
      <c r="AJ308" s="24">
        <f>IF(AJ301=1,IF('Lease Cycles'!$AJ$25=1,0,'Lease Cycles'!$D$25*INDEX('Lease Cycles'!$FH$25:$FN$25,1,AJ299)*IF(INDEX('Lease Cycles'!$EF$25:$EL$25,1,AJ299)=1,1,IF(OR(INDEX('Lease Cycles'!$DY$25:$EE$25,1,AJ299)=1,AJ300&gt;0),1,1-INDEX('Lease Cycles'!$DD$25:$DJ$25,1,AJ299)))),0)</f>
        <v>0</v>
      </c>
      <c r="AK308" s="24">
        <f>IF(AK301=1,IF('Lease Cycles'!$AJ$25=1,0,'Lease Cycles'!$D$25*INDEX('Lease Cycles'!$FH$25:$FN$25,1,AK299)*IF(INDEX('Lease Cycles'!$EF$25:$EL$25,1,AK299)=1,1,IF(OR(INDEX('Lease Cycles'!$DY$25:$EE$25,1,AK299)=1,AK300&gt;0),1,1-INDEX('Lease Cycles'!$DD$25:$DJ$25,1,AK299)))),0)</f>
        <v>0</v>
      </c>
      <c r="AL308" s="24">
        <f>IF(AL301=1,IF('Lease Cycles'!$AJ$25=1,0,'Lease Cycles'!$D$25*INDEX('Lease Cycles'!$FH$25:$FN$25,1,AL299)*IF(INDEX('Lease Cycles'!$EF$25:$EL$25,1,AL299)=1,1,IF(OR(INDEX('Lease Cycles'!$DY$25:$EE$25,1,AL299)=1,AL300&gt;0),1,1-INDEX('Lease Cycles'!$DD$25:$DJ$25,1,AL299)))),0)</f>
        <v>0</v>
      </c>
      <c r="AM308" s="24">
        <f>IF(AM301=1,IF('Lease Cycles'!$AJ$25=1,0,'Lease Cycles'!$D$25*INDEX('Lease Cycles'!$FH$25:$FN$25,1,AM299)*IF(INDEX('Lease Cycles'!$EF$25:$EL$25,1,AM299)=1,1,IF(OR(INDEX('Lease Cycles'!$DY$25:$EE$25,1,AM299)=1,AM300&gt;0),1,1-INDEX('Lease Cycles'!$DD$25:$DJ$25,1,AM299)))),0)</f>
        <v>0</v>
      </c>
      <c r="AN308" s="24">
        <f>IF(AN301=1,IF('Lease Cycles'!$AJ$25=1,0,'Lease Cycles'!$D$25*INDEX('Lease Cycles'!$FH$25:$FN$25,1,AN299)*IF(INDEX('Lease Cycles'!$EF$25:$EL$25,1,AN299)=1,1,IF(OR(INDEX('Lease Cycles'!$DY$25:$EE$25,1,AN299)=1,AN300&gt;0),1,1-INDEX('Lease Cycles'!$DD$25:$DJ$25,1,AN299)))),0)</f>
        <v>0</v>
      </c>
      <c r="AO308" s="24">
        <f>IF(AO301=1,IF('Lease Cycles'!$AJ$25=1,0,'Lease Cycles'!$D$25*INDEX('Lease Cycles'!$FH$25:$FN$25,1,AO299)*IF(INDEX('Lease Cycles'!$EF$25:$EL$25,1,AO299)=1,1,IF(OR(INDEX('Lease Cycles'!$DY$25:$EE$25,1,AO299)=1,AO300&gt;0),1,1-INDEX('Lease Cycles'!$DD$25:$DJ$25,1,AO299)))),0)</f>
        <v>0</v>
      </c>
      <c r="AP308" s="24">
        <f>IF(AP301=1,IF('Lease Cycles'!$AJ$25=1,0,'Lease Cycles'!$D$25*INDEX('Lease Cycles'!$FH$25:$FN$25,1,AP299)*IF(INDEX('Lease Cycles'!$EF$25:$EL$25,1,AP299)=1,1,IF(OR(INDEX('Lease Cycles'!$DY$25:$EE$25,1,AP299)=1,AP300&gt;0),1,1-INDEX('Lease Cycles'!$DD$25:$DJ$25,1,AP299)))),0)</f>
        <v>0</v>
      </c>
      <c r="AQ308" s="24">
        <f>IF(AQ301=1,IF('Lease Cycles'!$AJ$25=1,0,'Lease Cycles'!$D$25*INDEX('Lease Cycles'!$FH$25:$FN$25,1,AQ299)*IF(INDEX('Lease Cycles'!$EF$25:$EL$25,1,AQ299)=1,1,IF(OR(INDEX('Lease Cycles'!$DY$25:$EE$25,1,AQ299)=1,AQ300&gt;0),1,1-INDEX('Lease Cycles'!$DD$25:$DJ$25,1,AQ299)))),0)</f>
        <v>0</v>
      </c>
      <c r="AR308" s="24">
        <f>IF(AR301=1,IF('Lease Cycles'!$AJ$25=1,0,'Lease Cycles'!$D$25*INDEX('Lease Cycles'!$FH$25:$FN$25,1,AR299)*IF(INDEX('Lease Cycles'!$EF$25:$EL$25,1,AR299)=1,1,IF(OR(INDEX('Lease Cycles'!$DY$25:$EE$25,1,AR299)=1,AR300&gt;0),1,1-INDEX('Lease Cycles'!$DD$25:$DJ$25,1,AR299)))),0)</f>
        <v>0</v>
      </c>
      <c r="AS308" s="24">
        <f>IF(AS301=1,IF('Lease Cycles'!$AJ$25=1,0,'Lease Cycles'!$D$25*INDEX('Lease Cycles'!$FH$25:$FN$25,1,AS299)*IF(INDEX('Lease Cycles'!$EF$25:$EL$25,1,AS299)=1,1,IF(OR(INDEX('Lease Cycles'!$DY$25:$EE$25,1,AS299)=1,AS300&gt;0),1,1-INDEX('Lease Cycles'!$DD$25:$DJ$25,1,AS299)))),0)</f>
        <v>0</v>
      </c>
      <c r="AT308" s="24">
        <f>IF(AT301=1,IF('Lease Cycles'!$AJ$25=1,0,'Lease Cycles'!$D$25*INDEX('Lease Cycles'!$FH$25:$FN$25,1,AT299)*IF(INDEX('Lease Cycles'!$EF$25:$EL$25,1,AT299)=1,1,IF(OR(INDEX('Lease Cycles'!$DY$25:$EE$25,1,AT299)=1,AT300&gt;0),1,1-INDEX('Lease Cycles'!$DD$25:$DJ$25,1,AT299)))),0)</f>
        <v>0</v>
      </c>
      <c r="AU308" s="24">
        <f>IF(AU301=1,IF('Lease Cycles'!$AJ$25=1,0,'Lease Cycles'!$D$25*INDEX('Lease Cycles'!$FH$25:$FN$25,1,AU299)*IF(INDEX('Lease Cycles'!$EF$25:$EL$25,1,AU299)=1,1,IF(OR(INDEX('Lease Cycles'!$DY$25:$EE$25,1,AU299)=1,AU300&gt;0),1,1-INDEX('Lease Cycles'!$DD$25:$DJ$25,1,AU299)))),0)</f>
        <v>0</v>
      </c>
      <c r="AV308" s="24">
        <f>IF(AV301=1,IF('Lease Cycles'!$AJ$25=1,0,'Lease Cycles'!$D$25*INDEX('Lease Cycles'!$FH$25:$FN$25,1,AV299)*IF(INDEX('Lease Cycles'!$EF$25:$EL$25,1,AV299)=1,1,IF(OR(INDEX('Lease Cycles'!$DY$25:$EE$25,1,AV299)=1,AV300&gt;0),1,1-INDEX('Lease Cycles'!$DD$25:$DJ$25,1,AV299)))),0)</f>
        <v>0</v>
      </c>
      <c r="AW308" s="24">
        <f>IF(AW301=1,IF('Lease Cycles'!$AJ$25=1,0,'Lease Cycles'!$D$25*INDEX('Lease Cycles'!$FH$25:$FN$25,1,AW299)*IF(INDEX('Lease Cycles'!$EF$25:$EL$25,1,AW299)=1,1,IF(OR(INDEX('Lease Cycles'!$DY$25:$EE$25,1,AW299)=1,AW300&gt;0),1,1-INDEX('Lease Cycles'!$DD$25:$DJ$25,1,AW299)))),0)</f>
        <v>0</v>
      </c>
      <c r="AX308" s="24">
        <f>IF(AX301=1,IF('Lease Cycles'!$AJ$25=1,0,'Lease Cycles'!$D$25*INDEX('Lease Cycles'!$FH$25:$FN$25,1,AX299)*IF(INDEX('Lease Cycles'!$EF$25:$EL$25,1,AX299)=1,1,IF(OR(INDEX('Lease Cycles'!$DY$25:$EE$25,1,AX299)=1,AX300&gt;0),1,1-INDEX('Lease Cycles'!$DD$25:$DJ$25,1,AX299)))),0)</f>
        <v>0</v>
      </c>
      <c r="AY308" s="24">
        <f>IF(AY301=1,IF('Lease Cycles'!$AJ$25=1,0,'Lease Cycles'!$D$25*INDEX('Lease Cycles'!$FH$25:$FN$25,1,AY299)*IF(INDEX('Lease Cycles'!$EF$25:$EL$25,1,AY299)=1,1,IF(OR(INDEX('Lease Cycles'!$DY$25:$EE$25,1,AY299)=1,AY300&gt;0),1,1-INDEX('Lease Cycles'!$DD$25:$DJ$25,1,AY299)))),0)</f>
        <v>0</v>
      </c>
      <c r="AZ308" s="24">
        <f>IF(AZ301=1,IF('Lease Cycles'!$AJ$25=1,0,'Lease Cycles'!$D$25*INDEX('Lease Cycles'!$FH$25:$FN$25,1,AZ299)*IF(INDEX('Lease Cycles'!$EF$25:$EL$25,1,AZ299)=1,1,IF(OR(INDEX('Lease Cycles'!$DY$25:$EE$25,1,AZ299)=1,AZ300&gt;0),1,1-INDEX('Lease Cycles'!$DD$25:$DJ$25,1,AZ299)))),0)</f>
        <v>0</v>
      </c>
      <c r="BA308" s="24">
        <f>IF(BA301=1,IF('Lease Cycles'!$AJ$25=1,0,'Lease Cycles'!$D$25*INDEX('Lease Cycles'!$FH$25:$FN$25,1,BA299)*IF(INDEX('Lease Cycles'!$EF$25:$EL$25,1,BA299)=1,1,IF(OR(INDEX('Lease Cycles'!$DY$25:$EE$25,1,BA299)=1,BA300&gt;0),1,1-INDEX('Lease Cycles'!$DD$25:$DJ$25,1,BA299)))),0)</f>
        <v>0</v>
      </c>
      <c r="BB308" s="24">
        <f>IF(BB301=1,IF('Lease Cycles'!$AJ$25=1,0,'Lease Cycles'!$D$25*INDEX('Lease Cycles'!$FH$25:$FN$25,1,BB299)*IF(INDEX('Lease Cycles'!$EF$25:$EL$25,1,BB299)=1,1,IF(OR(INDEX('Lease Cycles'!$DY$25:$EE$25,1,BB299)=1,BB300&gt;0),1,1-INDEX('Lease Cycles'!$DD$25:$DJ$25,1,BB299)))),0)</f>
        <v>0</v>
      </c>
      <c r="BC308" s="24">
        <f>IF(BC301=1,IF('Lease Cycles'!$AJ$25=1,0,'Lease Cycles'!$D$25*INDEX('Lease Cycles'!$FH$25:$FN$25,1,BC299)*IF(INDEX('Lease Cycles'!$EF$25:$EL$25,1,BC299)=1,1,IF(OR(INDEX('Lease Cycles'!$DY$25:$EE$25,1,BC299)=1,BC300&gt;0),1,1-INDEX('Lease Cycles'!$DD$25:$DJ$25,1,BC299)))),0)</f>
        <v>0</v>
      </c>
      <c r="BD308" s="24">
        <f>IF(BD301=1,IF('Lease Cycles'!$AJ$25=1,0,'Lease Cycles'!$D$25*INDEX('Lease Cycles'!$FH$25:$FN$25,1,BD299)*IF(INDEX('Lease Cycles'!$EF$25:$EL$25,1,BD299)=1,1,IF(OR(INDEX('Lease Cycles'!$DY$25:$EE$25,1,BD299)=1,BD300&gt;0),1,1-INDEX('Lease Cycles'!$DD$25:$DJ$25,1,BD299)))),0)</f>
        <v>0</v>
      </c>
      <c r="BE308" s="24">
        <f>IF(BE301=1,IF('Lease Cycles'!$AJ$25=1,0,'Lease Cycles'!$D$25*INDEX('Lease Cycles'!$FH$25:$FN$25,1,BE299)*IF(INDEX('Lease Cycles'!$EF$25:$EL$25,1,BE299)=1,1,IF(OR(INDEX('Lease Cycles'!$DY$25:$EE$25,1,BE299)=1,BE300&gt;0),1,1-INDEX('Lease Cycles'!$DD$25:$DJ$25,1,BE299)))),0)</f>
        <v>0</v>
      </c>
      <c r="BF308" s="24">
        <f>IF(BF301=1,IF('Lease Cycles'!$AJ$25=1,0,'Lease Cycles'!$D$25*INDEX('Lease Cycles'!$FH$25:$FN$25,1,BF299)*IF(INDEX('Lease Cycles'!$EF$25:$EL$25,1,BF299)=1,1,IF(OR(INDEX('Lease Cycles'!$DY$25:$EE$25,1,BF299)=1,BF300&gt;0),1,1-INDEX('Lease Cycles'!$DD$25:$DJ$25,1,BF299)))),0)</f>
        <v>0</v>
      </c>
      <c r="BG308" s="24">
        <f>IF(BG301=1,IF('Lease Cycles'!$AJ$25=1,0,'Lease Cycles'!$D$25*INDEX('Lease Cycles'!$FH$25:$FN$25,1,BG299)*IF(INDEX('Lease Cycles'!$EF$25:$EL$25,1,BG299)=1,1,IF(OR(INDEX('Lease Cycles'!$DY$25:$EE$25,1,BG299)=1,BG300&gt;0),1,1-INDEX('Lease Cycles'!$DD$25:$DJ$25,1,BG299)))),0)</f>
        <v>0</v>
      </c>
      <c r="BH308" s="24">
        <f>IF(BH301=1,IF('Lease Cycles'!$AJ$25=1,0,'Lease Cycles'!$D$25*INDEX('Lease Cycles'!$FH$25:$FN$25,1,BH299)*IF(INDEX('Lease Cycles'!$EF$25:$EL$25,1,BH299)=1,1,IF(OR(INDEX('Lease Cycles'!$DY$25:$EE$25,1,BH299)=1,BH300&gt;0),1,1-INDEX('Lease Cycles'!$DD$25:$DJ$25,1,BH299)))),0)</f>
        <v>0</v>
      </c>
      <c r="BI308" s="24">
        <f>IF(BI301=1,IF('Lease Cycles'!$AJ$25=1,0,'Lease Cycles'!$D$25*INDEX('Lease Cycles'!$FH$25:$FN$25,1,BI299)*IF(INDEX('Lease Cycles'!$EF$25:$EL$25,1,BI299)=1,1,IF(OR(INDEX('Lease Cycles'!$DY$25:$EE$25,1,BI299)=1,BI300&gt;0),1,1-INDEX('Lease Cycles'!$DD$25:$DJ$25,1,BI299)))),0)</f>
        <v>0</v>
      </c>
      <c r="BJ308" s="24">
        <f>IF(BJ301=1,IF('Lease Cycles'!$AJ$25=1,0,'Lease Cycles'!$D$25*INDEX('Lease Cycles'!$FH$25:$FN$25,1,BJ299)*IF(INDEX('Lease Cycles'!$EF$25:$EL$25,1,BJ299)=1,1,IF(OR(INDEX('Lease Cycles'!$DY$25:$EE$25,1,BJ299)=1,BJ300&gt;0),1,1-INDEX('Lease Cycles'!$DD$25:$DJ$25,1,BJ299)))),0)</f>
        <v>0</v>
      </c>
      <c r="BK308" s="24">
        <f>IF(BK301=1,IF('Lease Cycles'!$AJ$25=1,0,'Lease Cycles'!$D$25*INDEX('Lease Cycles'!$FH$25:$FN$25,1,BK299)*IF(INDEX('Lease Cycles'!$EF$25:$EL$25,1,BK299)=1,1,IF(OR(INDEX('Lease Cycles'!$DY$25:$EE$25,1,BK299)=1,BK300&gt;0),1,1-INDEX('Lease Cycles'!$DD$25:$DJ$25,1,BK299)))),0)</f>
        <v>0</v>
      </c>
      <c r="BL308" s="24">
        <f>IF(BL301=1,IF('Lease Cycles'!$AJ$25=1,0,'Lease Cycles'!$D$25*INDEX('Lease Cycles'!$FH$25:$FN$25,1,BL299)*IF(INDEX('Lease Cycles'!$EF$25:$EL$25,1,BL299)=1,1,IF(OR(INDEX('Lease Cycles'!$DY$25:$EE$25,1,BL299)=1,BL300&gt;0),1,1-INDEX('Lease Cycles'!$DD$25:$DJ$25,1,BL299)))),0)</f>
        <v>0</v>
      </c>
      <c r="BM308" s="24">
        <f>IF(BM301=1,IF('Lease Cycles'!$AJ$25=1,0,'Lease Cycles'!$D$25*INDEX('Lease Cycles'!$FH$25:$FN$25,1,BM299)*IF(INDEX('Lease Cycles'!$EF$25:$EL$25,1,BM299)=1,1,IF(OR(INDEX('Lease Cycles'!$DY$25:$EE$25,1,BM299)=1,BM300&gt;0),1,1-INDEX('Lease Cycles'!$DD$25:$DJ$25,1,BM299)))),0)</f>
        <v>0</v>
      </c>
      <c r="BN308" s="24">
        <f>IF(BN301=1,IF('Lease Cycles'!$AJ$25=1,0,'Lease Cycles'!$D$25*INDEX('Lease Cycles'!$FH$25:$FN$25,1,BN299)*IF(INDEX('Lease Cycles'!$EF$25:$EL$25,1,BN299)=1,1,IF(OR(INDEX('Lease Cycles'!$DY$25:$EE$25,1,BN299)=1,BN300&gt;0),1,1-INDEX('Lease Cycles'!$DD$25:$DJ$25,1,BN299)))),0)</f>
        <v>0</v>
      </c>
      <c r="BO308" s="24">
        <f>IF(BO301=1,IF('Lease Cycles'!$AJ$25=1,0,'Lease Cycles'!$D$25*INDEX('Lease Cycles'!$FH$25:$FN$25,1,BO299)*IF(INDEX('Lease Cycles'!$EF$25:$EL$25,1,BO299)=1,1,IF(OR(INDEX('Lease Cycles'!$DY$25:$EE$25,1,BO299)=1,BO300&gt;0),1,1-INDEX('Lease Cycles'!$DD$25:$DJ$25,1,BO299)))),0)</f>
        <v>0</v>
      </c>
      <c r="BP308" s="24">
        <f>IF(BP301=1,IF('Lease Cycles'!$AJ$25=1,0,'Lease Cycles'!$D$25*INDEX('Lease Cycles'!$FH$25:$FN$25,1,BP299)*IF(INDEX('Lease Cycles'!$EF$25:$EL$25,1,BP299)=1,1,IF(OR(INDEX('Lease Cycles'!$DY$25:$EE$25,1,BP299)=1,BP300&gt;0),1,1-INDEX('Lease Cycles'!$DD$25:$DJ$25,1,BP299)))),0)</f>
        <v>0</v>
      </c>
      <c r="BQ308" s="24">
        <f>IF(BQ301=1,IF('Lease Cycles'!$AJ$25=1,0,'Lease Cycles'!$D$25*INDEX('Lease Cycles'!$FH$25:$FN$25,1,BQ299)*IF(INDEX('Lease Cycles'!$EF$25:$EL$25,1,BQ299)=1,1,IF(OR(INDEX('Lease Cycles'!$DY$25:$EE$25,1,BQ299)=1,BQ300&gt;0),1,1-INDEX('Lease Cycles'!$DD$25:$DJ$25,1,BQ299)))),0)</f>
        <v>0</v>
      </c>
      <c r="BR308" s="24">
        <f>IF(BR301=1,IF('Lease Cycles'!$AJ$25=1,0,'Lease Cycles'!$D$25*INDEX('Lease Cycles'!$FH$25:$FN$25,1,BR299)*IF(INDEX('Lease Cycles'!$EF$25:$EL$25,1,BR299)=1,1,IF(OR(INDEX('Lease Cycles'!$DY$25:$EE$25,1,BR299)=1,BR300&gt;0),1,1-INDEX('Lease Cycles'!$DD$25:$DJ$25,1,BR299)))),0)</f>
        <v>0</v>
      </c>
      <c r="BS308" s="24">
        <f>IF(BS301=1,IF('Lease Cycles'!$AJ$25=1,0,'Lease Cycles'!$D$25*INDEX('Lease Cycles'!$FH$25:$FN$25,1,BS299)*IF(INDEX('Lease Cycles'!$EF$25:$EL$25,1,BS299)=1,1,IF(OR(INDEX('Lease Cycles'!$DY$25:$EE$25,1,BS299)=1,BS300&gt;0),1,1-INDEX('Lease Cycles'!$DD$25:$DJ$25,1,BS299)))),0)</f>
        <v>0</v>
      </c>
      <c r="BT308" s="24">
        <f>IF(BT301=1,IF('Lease Cycles'!$AJ$25=1,0,'Lease Cycles'!$D$25*INDEX('Lease Cycles'!$FH$25:$FN$25,1,BT299)*IF(INDEX('Lease Cycles'!$EF$25:$EL$25,1,BT299)=1,1,IF(OR(INDEX('Lease Cycles'!$DY$25:$EE$25,1,BT299)=1,BT300&gt;0),1,1-INDEX('Lease Cycles'!$DD$25:$DJ$25,1,BT299)))),0)</f>
        <v>0</v>
      </c>
      <c r="BU308" s="24">
        <f>IF(BU301=1,IF('Lease Cycles'!$AJ$25=1,0,'Lease Cycles'!$D$25*INDEX('Lease Cycles'!$FH$25:$FN$25,1,BU299)*IF(INDEX('Lease Cycles'!$EF$25:$EL$25,1,BU299)=1,1,IF(OR(INDEX('Lease Cycles'!$DY$25:$EE$25,1,BU299)=1,BU300&gt;0),1,1-INDEX('Lease Cycles'!$DD$25:$DJ$25,1,BU299)))),0)</f>
        <v>0</v>
      </c>
      <c r="BV308" s="24">
        <f>IF(BV301=1,IF('Lease Cycles'!$AJ$25=1,0,'Lease Cycles'!$D$25*INDEX('Lease Cycles'!$FH$25:$FN$25,1,BV299)*IF(INDEX('Lease Cycles'!$EF$25:$EL$25,1,BV299)=1,1,IF(OR(INDEX('Lease Cycles'!$DY$25:$EE$25,1,BV299)=1,BV300&gt;0),1,1-INDEX('Lease Cycles'!$DD$25:$DJ$25,1,BV299)))),0)</f>
        <v>0</v>
      </c>
      <c r="BW308" s="24">
        <f>IF(BW301=1,IF('Lease Cycles'!$AJ$25=1,0,'Lease Cycles'!$D$25*INDEX('Lease Cycles'!$FH$25:$FN$25,1,BW299)*IF(INDEX('Lease Cycles'!$EF$25:$EL$25,1,BW299)=1,1,IF(OR(INDEX('Lease Cycles'!$DY$25:$EE$25,1,BW299)=1,BW300&gt;0),1,1-INDEX('Lease Cycles'!$DD$25:$DJ$25,1,BW299)))),0)</f>
        <v>0</v>
      </c>
      <c r="BX308" s="24">
        <f>IF(BX301=1,IF('Lease Cycles'!$AJ$25=1,0,'Lease Cycles'!$D$25*INDEX('Lease Cycles'!$FH$25:$FN$25,1,BX299)*IF(INDEX('Lease Cycles'!$EF$25:$EL$25,1,BX299)=1,1,IF(OR(INDEX('Lease Cycles'!$DY$25:$EE$25,1,BX299)=1,BX300&gt;0),1,1-INDEX('Lease Cycles'!$DD$25:$DJ$25,1,BX299)))),0)</f>
        <v>0</v>
      </c>
      <c r="BY308" s="24">
        <f>IF(BY301=1,IF('Lease Cycles'!$AJ$25=1,0,'Lease Cycles'!$D$25*INDEX('Lease Cycles'!$FH$25:$FN$25,1,BY299)*IF(INDEX('Lease Cycles'!$EF$25:$EL$25,1,BY299)=1,1,IF(OR(INDEX('Lease Cycles'!$DY$25:$EE$25,1,BY299)=1,BY300&gt;0),1,1-INDEX('Lease Cycles'!$DD$25:$DJ$25,1,BY299)))),0)</f>
        <v>0</v>
      </c>
      <c r="BZ308" s="24">
        <f>IF(BZ301=1,IF('Lease Cycles'!$AJ$25=1,0,'Lease Cycles'!$D$25*INDEX('Lease Cycles'!$FH$25:$FN$25,1,BZ299)*IF(INDEX('Lease Cycles'!$EF$25:$EL$25,1,BZ299)=1,1,IF(OR(INDEX('Lease Cycles'!$DY$25:$EE$25,1,BZ299)=1,BZ300&gt;0),1,1-INDEX('Lease Cycles'!$DD$25:$DJ$25,1,BZ299)))),0)</f>
        <v>0</v>
      </c>
      <c r="CA308" s="24">
        <f>IF(CA301=1,IF('Lease Cycles'!$AJ$25=1,0,'Lease Cycles'!$D$25*INDEX('Lease Cycles'!$FH$25:$FN$25,1,CA299)*IF(INDEX('Lease Cycles'!$EF$25:$EL$25,1,CA299)=1,1,IF(OR(INDEX('Lease Cycles'!$DY$25:$EE$25,1,CA299)=1,CA300&gt;0),1,1-INDEX('Lease Cycles'!$DD$25:$DJ$25,1,CA299)))),0)</f>
        <v>0</v>
      </c>
      <c r="CB308" s="24">
        <f>IF(CB301=1,IF('Lease Cycles'!$AJ$25=1,0,'Lease Cycles'!$D$25*INDEX('Lease Cycles'!$FH$25:$FN$25,1,CB299)*IF(INDEX('Lease Cycles'!$EF$25:$EL$25,1,CB299)=1,1,IF(OR(INDEX('Lease Cycles'!$DY$25:$EE$25,1,CB299)=1,CB300&gt;0),1,1-INDEX('Lease Cycles'!$DD$25:$DJ$25,1,CB299)))),0)</f>
        <v>0</v>
      </c>
      <c r="CC308" s="24">
        <f>IF(CC301=1,IF('Lease Cycles'!$AJ$25=1,0,'Lease Cycles'!$D$25*INDEX('Lease Cycles'!$FH$25:$FN$25,1,CC299)*IF(INDEX('Lease Cycles'!$EF$25:$EL$25,1,CC299)=1,1,IF(OR(INDEX('Lease Cycles'!$DY$25:$EE$25,1,CC299)=1,CC300&gt;0),1,1-INDEX('Lease Cycles'!$DD$25:$DJ$25,1,CC299)))),0)</f>
        <v>0</v>
      </c>
      <c r="CD308" s="24">
        <f>IF(CD301=1,IF('Lease Cycles'!$AJ$25=1,0,'Lease Cycles'!$D$25*INDEX('Lease Cycles'!$FH$25:$FN$25,1,CD299)*IF(INDEX('Lease Cycles'!$EF$25:$EL$25,1,CD299)=1,1,IF(OR(INDEX('Lease Cycles'!$DY$25:$EE$25,1,CD299)=1,CD300&gt;0),1,1-INDEX('Lease Cycles'!$DD$25:$DJ$25,1,CD299)))),0)</f>
        <v>0</v>
      </c>
      <c r="CE308" s="24">
        <f>IF(CE301=1,IF('Lease Cycles'!$AJ$25=1,0,'Lease Cycles'!$D$25*INDEX('Lease Cycles'!$FH$25:$FN$25,1,CE299)*IF(INDEX('Lease Cycles'!$EF$25:$EL$25,1,CE299)=1,1,IF(OR(INDEX('Lease Cycles'!$DY$25:$EE$25,1,CE299)=1,CE300&gt;0),1,1-INDEX('Lease Cycles'!$DD$25:$DJ$25,1,CE299)))),0)</f>
        <v>0</v>
      </c>
      <c r="CF308" s="24">
        <f>IF(CF301=1,IF('Lease Cycles'!$AJ$25=1,0,'Lease Cycles'!$D$25*INDEX('Lease Cycles'!$FH$25:$FN$25,1,CF299)*IF(INDEX('Lease Cycles'!$EF$25:$EL$25,1,CF299)=1,1,IF(OR(INDEX('Lease Cycles'!$DY$25:$EE$25,1,CF299)=1,CF300&gt;0),1,1-INDEX('Lease Cycles'!$DD$25:$DJ$25,1,CF299)))),0)</f>
        <v>0</v>
      </c>
      <c r="CG308" s="24">
        <f>IF(CG301=1,IF('Lease Cycles'!$AJ$25=1,0,'Lease Cycles'!$D$25*INDEX('Lease Cycles'!$FH$25:$FN$25,1,CG299)*IF(INDEX('Lease Cycles'!$EF$25:$EL$25,1,CG299)=1,1,IF(OR(INDEX('Lease Cycles'!$DY$25:$EE$25,1,CG299)=1,CG300&gt;0),1,1-INDEX('Lease Cycles'!$DD$25:$DJ$25,1,CG299)))),0)</f>
        <v>0</v>
      </c>
      <c r="CH308" s="24">
        <f>IF(CH301=1,IF('Lease Cycles'!$AJ$25=1,0,'Lease Cycles'!$D$25*INDEX('Lease Cycles'!$FH$25:$FN$25,1,CH299)*IF(INDEX('Lease Cycles'!$EF$25:$EL$25,1,CH299)=1,1,IF(OR(INDEX('Lease Cycles'!$DY$25:$EE$25,1,CH299)=1,CH300&gt;0),1,1-INDEX('Lease Cycles'!$DD$25:$DJ$25,1,CH299)))),0)</f>
        <v>0</v>
      </c>
      <c r="CI308" s="24">
        <f>IF(CI301=1,IF('Lease Cycles'!$AJ$25=1,0,'Lease Cycles'!$D$25*INDEX('Lease Cycles'!$FH$25:$FN$25,1,CI299)*IF(INDEX('Lease Cycles'!$EF$25:$EL$25,1,CI299)=1,1,IF(OR(INDEX('Lease Cycles'!$DY$25:$EE$25,1,CI299)=1,CI300&gt;0),1,1-INDEX('Lease Cycles'!$DD$25:$DJ$25,1,CI299)))),0)</f>
        <v>0</v>
      </c>
      <c r="CJ308" s="24">
        <f>IF(CJ301=1,IF('Lease Cycles'!$AJ$25=1,0,'Lease Cycles'!$D$25*INDEX('Lease Cycles'!$FH$25:$FN$25,1,CJ299)*IF(INDEX('Lease Cycles'!$EF$25:$EL$25,1,CJ299)=1,1,IF(OR(INDEX('Lease Cycles'!$DY$25:$EE$25,1,CJ299)=1,CJ300&gt;0),1,1-INDEX('Lease Cycles'!$DD$25:$DJ$25,1,CJ299)))),0)</f>
        <v>0</v>
      </c>
      <c r="CK308" s="24">
        <f>IF(CK301=1,IF('Lease Cycles'!$AJ$25=1,0,'Lease Cycles'!$D$25*INDEX('Lease Cycles'!$FH$25:$FN$25,1,CK299)*IF(INDEX('Lease Cycles'!$EF$25:$EL$25,1,CK299)=1,1,IF(OR(INDEX('Lease Cycles'!$DY$25:$EE$25,1,CK299)=1,CK300&gt;0),1,1-INDEX('Lease Cycles'!$DD$25:$DJ$25,1,CK299)))),0)</f>
        <v>0</v>
      </c>
      <c r="CL308" s="24">
        <f>IF(CL301=1,IF('Lease Cycles'!$AJ$25=1,0,'Lease Cycles'!$D$25*INDEX('Lease Cycles'!$FH$25:$FN$25,1,CL299)*IF(INDEX('Lease Cycles'!$EF$25:$EL$25,1,CL299)=1,1,IF(OR(INDEX('Lease Cycles'!$DY$25:$EE$25,1,CL299)=1,CL300&gt;0),1,1-INDEX('Lease Cycles'!$DD$25:$DJ$25,1,CL299)))),0)</f>
        <v>0</v>
      </c>
      <c r="CM308" s="24">
        <f>IF(CM301=1,IF('Lease Cycles'!$AJ$25=1,0,'Lease Cycles'!$D$25*INDEX('Lease Cycles'!$FH$25:$FN$25,1,CM299)*IF(INDEX('Lease Cycles'!$EF$25:$EL$25,1,CM299)=1,1,IF(OR(INDEX('Lease Cycles'!$DY$25:$EE$25,1,CM299)=1,CM300&gt;0),1,1-INDEX('Lease Cycles'!$DD$25:$DJ$25,1,CM299)))),0)</f>
        <v>0</v>
      </c>
      <c r="CN308" s="24">
        <f>IF(CN301=1,IF('Lease Cycles'!$AJ$25=1,0,'Lease Cycles'!$D$25*INDEX('Lease Cycles'!$FH$25:$FN$25,1,CN299)*IF(INDEX('Lease Cycles'!$EF$25:$EL$25,1,CN299)=1,1,IF(OR(INDEX('Lease Cycles'!$DY$25:$EE$25,1,CN299)=1,CN300&gt;0),1,1-INDEX('Lease Cycles'!$DD$25:$DJ$25,1,CN299)))),0)</f>
        <v>0</v>
      </c>
      <c r="CO308" s="24">
        <f>IF(CO301=1,IF('Lease Cycles'!$AJ$25=1,0,'Lease Cycles'!$D$25*INDEX('Lease Cycles'!$FH$25:$FN$25,1,CO299)*IF(INDEX('Lease Cycles'!$EF$25:$EL$25,1,CO299)=1,1,IF(OR(INDEX('Lease Cycles'!$DY$25:$EE$25,1,CO299)=1,CO300&gt;0),1,1-INDEX('Lease Cycles'!$DD$25:$DJ$25,1,CO299)))),0)</f>
        <v>0</v>
      </c>
      <c r="CP308" s="24">
        <f>IF(CP301=1,IF('Lease Cycles'!$AJ$25=1,0,'Lease Cycles'!$D$25*INDEX('Lease Cycles'!$FH$25:$FN$25,1,CP299)*IF(INDEX('Lease Cycles'!$EF$25:$EL$25,1,CP299)=1,1,IF(OR(INDEX('Lease Cycles'!$DY$25:$EE$25,1,CP299)=1,CP300&gt;0),1,1-INDEX('Lease Cycles'!$DD$25:$DJ$25,1,CP299)))),0)</f>
        <v>0</v>
      </c>
      <c r="CQ308" s="24">
        <f>IF(CQ301=1,IF('Lease Cycles'!$AJ$25=1,0,'Lease Cycles'!$D$25*INDEX('Lease Cycles'!$FH$25:$FN$25,1,CQ299)*IF(INDEX('Lease Cycles'!$EF$25:$EL$25,1,CQ299)=1,1,IF(OR(INDEX('Lease Cycles'!$DY$25:$EE$25,1,CQ299)=1,CQ300&gt;0),1,1-INDEX('Lease Cycles'!$DD$25:$DJ$25,1,CQ299)))),0)</f>
        <v>0</v>
      </c>
      <c r="CR308" s="24">
        <f>IF(CR301=1,IF('Lease Cycles'!$AJ$25=1,0,'Lease Cycles'!$D$25*INDEX('Lease Cycles'!$FH$25:$FN$25,1,CR299)*IF(INDEX('Lease Cycles'!$EF$25:$EL$25,1,CR299)=1,1,IF(OR(INDEX('Lease Cycles'!$DY$25:$EE$25,1,CR299)=1,CR300&gt;0),1,1-INDEX('Lease Cycles'!$DD$25:$DJ$25,1,CR299)))),0)</f>
        <v>0</v>
      </c>
      <c r="CS308" s="24">
        <f>IF(CS301=1,IF('Lease Cycles'!$AJ$25=1,0,'Lease Cycles'!$D$25*INDEX('Lease Cycles'!$FH$25:$FN$25,1,CS299)*IF(INDEX('Lease Cycles'!$EF$25:$EL$25,1,CS299)=1,1,IF(OR(INDEX('Lease Cycles'!$DY$25:$EE$25,1,CS299)=1,CS300&gt;0),1,1-INDEX('Lease Cycles'!$DD$25:$DJ$25,1,CS299)))),0)</f>
        <v>0</v>
      </c>
      <c r="CT308" s="24">
        <f>IF(CT301=1,IF('Lease Cycles'!$AJ$25=1,0,'Lease Cycles'!$D$25*INDEX('Lease Cycles'!$FH$25:$FN$25,1,CT299)*IF(INDEX('Lease Cycles'!$EF$25:$EL$25,1,CT299)=1,1,IF(OR(INDEX('Lease Cycles'!$DY$25:$EE$25,1,CT299)=1,CT300&gt;0),1,1-INDEX('Lease Cycles'!$DD$25:$DJ$25,1,CT299)))),0)</f>
        <v>0</v>
      </c>
      <c r="CU308" s="24">
        <f>IF(CU301=1,IF('Lease Cycles'!$AJ$25=1,0,'Lease Cycles'!$D$25*INDEX('Lease Cycles'!$FH$25:$FN$25,1,CU299)*IF(INDEX('Lease Cycles'!$EF$25:$EL$25,1,CU299)=1,1,IF(OR(INDEX('Lease Cycles'!$DY$25:$EE$25,1,CU299)=1,CU300&gt;0),1,1-INDEX('Lease Cycles'!$DD$25:$DJ$25,1,CU299)))),0)</f>
        <v>0</v>
      </c>
      <c r="CV308" s="24">
        <f>IF(CV301=1,IF('Lease Cycles'!$AJ$25=1,0,'Lease Cycles'!$D$25*INDEX('Lease Cycles'!$FH$25:$FN$25,1,CV299)*IF(INDEX('Lease Cycles'!$EF$25:$EL$25,1,CV299)=1,1,IF(OR(INDEX('Lease Cycles'!$DY$25:$EE$25,1,CV299)=1,CV300&gt;0),1,1-INDEX('Lease Cycles'!$DD$25:$DJ$25,1,CV299)))),0)</f>
        <v>0</v>
      </c>
      <c r="CW308" s="24">
        <f>IF(CW301=1,IF('Lease Cycles'!$AJ$25=1,0,'Lease Cycles'!$D$25*INDEX('Lease Cycles'!$FH$25:$FN$25,1,CW299)*IF(INDEX('Lease Cycles'!$EF$25:$EL$25,1,CW299)=1,1,IF(OR(INDEX('Lease Cycles'!$DY$25:$EE$25,1,CW299)=1,CW300&gt;0),1,1-INDEX('Lease Cycles'!$DD$25:$DJ$25,1,CW299)))),0)</f>
        <v>0</v>
      </c>
      <c r="CX308" s="24">
        <f>IF(CX301=1,IF('Lease Cycles'!$AJ$25=1,0,'Lease Cycles'!$D$25*INDEX('Lease Cycles'!$FH$25:$FN$25,1,CX299)*IF(INDEX('Lease Cycles'!$EF$25:$EL$25,1,CX299)=1,1,IF(OR(INDEX('Lease Cycles'!$DY$25:$EE$25,1,CX299)=1,CX300&gt;0),1,1-INDEX('Lease Cycles'!$DD$25:$DJ$25,1,CX299)))),0)</f>
        <v>0</v>
      </c>
      <c r="CY308" s="24">
        <f>IF(CY301=1,IF('Lease Cycles'!$AJ$25=1,0,'Lease Cycles'!$D$25*INDEX('Lease Cycles'!$FH$25:$FN$25,1,CY299)*IF(INDEX('Lease Cycles'!$EF$25:$EL$25,1,CY299)=1,1,IF(OR(INDEX('Lease Cycles'!$DY$25:$EE$25,1,CY299)=1,CY300&gt;0),1,1-INDEX('Lease Cycles'!$DD$25:$DJ$25,1,CY299)))),0)</f>
        <v>0</v>
      </c>
      <c r="CZ308" s="24">
        <f>IF(CZ301=1,IF('Lease Cycles'!$AJ$25=1,0,'Lease Cycles'!$D$25*INDEX('Lease Cycles'!$FH$25:$FN$25,1,CZ299)*IF(INDEX('Lease Cycles'!$EF$25:$EL$25,1,CZ299)=1,1,IF(OR(INDEX('Lease Cycles'!$DY$25:$EE$25,1,CZ299)=1,CZ300&gt;0),1,1-INDEX('Lease Cycles'!$DD$25:$DJ$25,1,CZ299)))),0)</f>
        <v>0</v>
      </c>
      <c r="DA308" s="24">
        <f>IF(DA301=1,IF('Lease Cycles'!$AJ$25=1,0,'Lease Cycles'!$D$25*INDEX('Lease Cycles'!$FH$25:$FN$25,1,DA299)*IF(INDEX('Lease Cycles'!$EF$25:$EL$25,1,DA299)=1,1,IF(OR(INDEX('Lease Cycles'!$DY$25:$EE$25,1,DA299)=1,DA300&gt;0),1,1-INDEX('Lease Cycles'!$DD$25:$DJ$25,1,DA299)))),0)</f>
        <v>0</v>
      </c>
      <c r="DB308" s="24">
        <f>IF(DB301=1,IF('Lease Cycles'!$AJ$25=1,0,'Lease Cycles'!$D$25*INDEX('Lease Cycles'!$FH$25:$FN$25,1,DB299)*IF(INDEX('Lease Cycles'!$EF$25:$EL$25,1,DB299)=1,1,IF(OR(INDEX('Lease Cycles'!$DY$25:$EE$25,1,DB299)=1,DB300&gt;0),1,1-INDEX('Lease Cycles'!$DD$25:$DJ$25,1,DB299)))),0)</f>
        <v>0</v>
      </c>
      <c r="DC308" s="24">
        <f>IF(DC301=1,IF('Lease Cycles'!$AJ$25=1,0,'Lease Cycles'!$D$25*INDEX('Lease Cycles'!$FH$25:$FN$25,1,DC299)*IF(INDEX('Lease Cycles'!$EF$25:$EL$25,1,DC299)=1,1,IF(OR(INDEX('Lease Cycles'!$DY$25:$EE$25,1,DC299)=1,DC300&gt;0),1,1-INDEX('Lease Cycles'!$DD$25:$DJ$25,1,DC299)))),0)</f>
        <v>0</v>
      </c>
      <c r="DD308" s="24">
        <f>IF(DD301=1,IF('Lease Cycles'!$AJ$25=1,0,'Lease Cycles'!$D$25*INDEX('Lease Cycles'!$FH$25:$FN$25,1,DD299)*IF(INDEX('Lease Cycles'!$EF$25:$EL$25,1,DD299)=1,1,IF(OR(INDEX('Lease Cycles'!$DY$25:$EE$25,1,DD299)=1,DD300&gt;0),1,1-INDEX('Lease Cycles'!$DD$25:$DJ$25,1,DD299)))),0)</f>
        <v>0</v>
      </c>
      <c r="DE308" s="24">
        <f>IF(DE301=1,IF('Lease Cycles'!$AJ$25=1,0,'Lease Cycles'!$D$25*INDEX('Lease Cycles'!$FH$25:$FN$25,1,DE299)*IF(INDEX('Lease Cycles'!$EF$25:$EL$25,1,DE299)=1,1,IF(OR(INDEX('Lease Cycles'!$DY$25:$EE$25,1,DE299)=1,DE300&gt;0),1,1-INDEX('Lease Cycles'!$DD$25:$DJ$25,1,DE299)))),0)</f>
        <v>0</v>
      </c>
      <c r="DF308" s="24">
        <f>IF(DF301=1,IF('Lease Cycles'!$AJ$25=1,0,'Lease Cycles'!$D$25*INDEX('Lease Cycles'!$FH$25:$FN$25,1,DF299)*IF(INDEX('Lease Cycles'!$EF$25:$EL$25,1,DF299)=1,1,IF(OR(INDEX('Lease Cycles'!$DY$25:$EE$25,1,DF299)=1,DF300&gt;0),1,1-INDEX('Lease Cycles'!$DD$25:$DJ$25,1,DF299)))),0)</f>
        <v>0</v>
      </c>
      <c r="DG308" s="24">
        <f>IF(DG301=1,IF('Lease Cycles'!$AJ$25=1,0,'Lease Cycles'!$D$25*INDEX('Lease Cycles'!$FH$25:$FN$25,1,DG299)*IF(INDEX('Lease Cycles'!$EF$25:$EL$25,1,DG299)=1,1,IF(OR(INDEX('Lease Cycles'!$DY$25:$EE$25,1,DG299)=1,DG300&gt;0),1,1-INDEX('Lease Cycles'!$DD$25:$DJ$25,1,DG299)))),0)</f>
        <v>0</v>
      </c>
      <c r="DH308" s="24">
        <f>IF(DH301=1,IF('Lease Cycles'!$AJ$25=1,0,'Lease Cycles'!$D$25*INDEX('Lease Cycles'!$FH$25:$FN$25,1,DH299)*IF(INDEX('Lease Cycles'!$EF$25:$EL$25,1,DH299)=1,1,IF(OR(INDEX('Lease Cycles'!$DY$25:$EE$25,1,DH299)=1,DH300&gt;0),1,1-INDEX('Lease Cycles'!$DD$25:$DJ$25,1,DH299)))),0)</f>
        <v>0</v>
      </c>
      <c r="DI308" s="24">
        <f>IF(DI301=1,IF('Lease Cycles'!$AJ$25=1,0,'Lease Cycles'!$D$25*INDEX('Lease Cycles'!$FH$25:$FN$25,1,DI299)*IF(INDEX('Lease Cycles'!$EF$25:$EL$25,1,DI299)=1,1,IF(OR(INDEX('Lease Cycles'!$DY$25:$EE$25,1,DI299)=1,DI300&gt;0),1,1-INDEX('Lease Cycles'!$DD$25:$DJ$25,1,DI299)))),0)</f>
        <v>0</v>
      </c>
      <c r="DJ308" s="24">
        <f>IF(DJ301=1,IF('Lease Cycles'!$AJ$25=1,0,'Lease Cycles'!$D$25*INDEX('Lease Cycles'!$FH$25:$FN$25,1,DJ299)*IF(INDEX('Lease Cycles'!$EF$25:$EL$25,1,DJ299)=1,1,IF(OR(INDEX('Lease Cycles'!$DY$25:$EE$25,1,DJ299)=1,DJ300&gt;0),1,1-INDEX('Lease Cycles'!$DD$25:$DJ$25,1,DJ299)))),0)</f>
        <v>0</v>
      </c>
      <c r="DK308" s="24">
        <f>IF(DK301=1,IF('Lease Cycles'!$AJ$25=1,0,'Lease Cycles'!$D$25*INDEX('Lease Cycles'!$FH$25:$FN$25,1,DK299)*IF(INDEX('Lease Cycles'!$EF$25:$EL$25,1,DK299)=1,1,IF(OR(INDEX('Lease Cycles'!$DY$25:$EE$25,1,DK299)=1,DK300&gt;0),1,1-INDEX('Lease Cycles'!$DD$25:$DJ$25,1,DK299)))),0)</f>
        <v>0</v>
      </c>
      <c r="DL308" s="24">
        <f>IF(DL301=1,IF('Lease Cycles'!$AJ$25=1,0,'Lease Cycles'!$D$25*INDEX('Lease Cycles'!$FH$25:$FN$25,1,DL299)*IF(INDEX('Lease Cycles'!$EF$25:$EL$25,1,DL299)=1,1,IF(OR(INDEX('Lease Cycles'!$DY$25:$EE$25,1,DL299)=1,DL300&gt;0),1,1-INDEX('Lease Cycles'!$DD$25:$DJ$25,1,DL299)))),0)</f>
        <v>0</v>
      </c>
      <c r="DM308" s="24">
        <f>IF(DM301=1,IF('Lease Cycles'!$AJ$25=1,0,'Lease Cycles'!$D$25*INDEX('Lease Cycles'!$FH$25:$FN$25,1,DM299)*IF(INDEX('Lease Cycles'!$EF$25:$EL$25,1,DM299)=1,1,IF(OR(INDEX('Lease Cycles'!$DY$25:$EE$25,1,DM299)=1,DM300&gt;0),1,1-INDEX('Lease Cycles'!$DD$25:$DJ$25,1,DM299)))),0)</f>
        <v>0</v>
      </c>
      <c r="DN308" s="24">
        <f>IF(DN301=1,IF('Lease Cycles'!$AJ$25=1,0,'Lease Cycles'!$D$25*INDEX('Lease Cycles'!$FH$25:$FN$25,1,DN299)*IF(INDEX('Lease Cycles'!$EF$25:$EL$25,1,DN299)=1,1,IF(OR(INDEX('Lease Cycles'!$DY$25:$EE$25,1,DN299)=1,DN300&gt;0),1,1-INDEX('Lease Cycles'!$DD$25:$DJ$25,1,DN299)))),0)</f>
        <v>0</v>
      </c>
      <c r="DO308" s="24">
        <f>IF(DO301=1,IF('Lease Cycles'!$AJ$25=1,0,'Lease Cycles'!$D$25*INDEX('Lease Cycles'!$FH$25:$FN$25,1,DO299)*IF(INDEX('Lease Cycles'!$EF$25:$EL$25,1,DO299)=1,1,IF(OR(INDEX('Lease Cycles'!$DY$25:$EE$25,1,DO299)=1,DO300&gt;0),1,1-INDEX('Lease Cycles'!$DD$25:$DJ$25,1,DO299)))),0)</f>
        <v>0</v>
      </c>
      <c r="DP308" s="24">
        <f>IF(DP301=1,IF('Lease Cycles'!$AJ$25=1,0,'Lease Cycles'!$D$25*INDEX('Lease Cycles'!$FH$25:$FN$25,1,DP299)*IF(INDEX('Lease Cycles'!$EF$25:$EL$25,1,DP299)=1,1,IF(OR(INDEX('Lease Cycles'!$DY$25:$EE$25,1,DP299)=1,DP300&gt;0),1,1-INDEX('Lease Cycles'!$DD$25:$DJ$25,1,DP299)))),0)</f>
        <v>0</v>
      </c>
      <c r="DQ308" s="24">
        <f>IF(DQ301=1,IF('Lease Cycles'!$AJ$25=1,0,'Lease Cycles'!$D$25*INDEX('Lease Cycles'!$FH$25:$FN$25,1,DQ299)*IF(INDEX('Lease Cycles'!$EF$25:$EL$25,1,DQ299)=1,1,IF(OR(INDEX('Lease Cycles'!$DY$25:$EE$25,1,DQ299)=1,DQ300&gt;0),1,1-INDEX('Lease Cycles'!$DD$25:$DJ$25,1,DQ299)))),0)</f>
        <v>0</v>
      </c>
      <c r="DR308" s="24">
        <f>IF(DR301=1,IF('Lease Cycles'!$AJ$25=1,0,'Lease Cycles'!$D$25*INDEX('Lease Cycles'!$FH$25:$FN$25,1,DR299)*IF(INDEX('Lease Cycles'!$EF$25:$EL$25,1,DR299)=1,1,IF(OR(INDEX('Lease Cycles'!$DY$25:$EE$25,1,DR299)=1,DR300&gt;0),1,1-INDEX('Lease Cycles'!$DD$25:$DJ$25,1,DR299)))),0)</f>
        <v>0</v>
      </c>
      <c r="DS308" s="24">
        <f>IF(DS301=1,IF('Lease Cycles'!$AJ$25=1,0,'Lease Cycles'!$D$25*INDEX('Lease Cycles'!$FH$25:$FN$25,1,DS299)*IF(INDEX('Lease Cycles'!$EF$25:$EL$25,1,DS299)=1,1,IF(OR(INDEX('Lease Cycles'!$DY$25:$EE$25,1,DS299)=1,DS300&gt;0),1,1-INDEX('Lease Cycles'!$DD$25:$DJ$25,1,DS299)))),0)</f>
        <v>0</v>
      </c>
      <c r="DT308" s="24">
        <f>IF(DT301=1,IF('Lease Cycles'!$AJ$25=1,0,'Lease Cycles'!$D$25*INDEX('Lease Cycles'!$FH$25:$FN$25,1,DT299)*IF(INDEX('Lease Cycles'!$EF$25:$EL$25,1,DT299)=1,1,IF(OR(INDEX('Lease Cycles'!$DY$25:$EE$25,1,DT299)=1,DT300&gt;0),1,1-INDEX('Lease Cycles'!$DD$25:$DJ$25,1,DT299)))),0)</f>
        <v>0</v>
      </c>
      <c r="DU308" s="24">
        <f>IF(DU301=1,IF('Lease Cycles'!$AJ$25=1,0,'Lease Cycles'!$D$25*INDEX('Lease Cycles'!$FH$25:$FN$25,1,DU299)*IF(INDEX('Lease Cycles'!$EF$25:$EL$25,1,DU299)=1,1,IF(OR(INDEX('Lease Cycles'!$DY$25:$EE$25,1,DU299)=1,DU300&gt;0),1,1-INDEX('Lease Cycles'!$DD$25:$DJ$25,1,DU299)))),0)</f>
        <v>0</v>
      </c>
      <c r="DV308" s="24">
        <f>IF(DV301=1,IF('Lease Cycles'!$AJ$25=1,0,'Lease Cycles'!$D$25*INDEX('Lease Cycles'!$FH$25:$FN$25,1,DV299)*IF(INDEX('Lease Cycles'!$EF$25:$EL$25,1,DV299)=1,1,IF(OR(INDEX('Lease Cycles'!$DY$25:$EE$25,1,DV299)=1,DV300&gt;0),1,1-INDEX('Lease Cycles'!$DD$25:$DJ$25,1,DV299)))),0)</f>
        <v>0</v>
      </c>
      <c r="DW308" s="24">
        <f>IF(DW301=1,IF('Lease Cycles'!$AJ$25=1,0,'Lease Cycles'!$D$25*INDEX('Lease Cycles'!$FH$25:$FN$25,1,DW299)*IF(INDEX('Lease Cycles'!$EF$25:$EL$25,1,DW299)=1,1,IF(OR(INDEX('Lease Cycles'!$DY$25:$EE$25,1,DW299)=1,DW300&gt;0),1,1-INDEX('Lease Cycles'!$DD$25:$DJ$25,1,DW299)))),0)</f>
        <v>0</v>
      </c>
      <c r="DX308" s="24">
        <f>IF(DX301=1,IF('Lease Cycles'!$AJ$25=1,0,'Lease Cycles'!$D$25*INDEX('Lease Cycles'!$FH$25:$FN$25,1,DX299)*IF(INDEX('Lease Cycles'!$EF$25:$EL$25,1,DX299)=1,1,IF(OR(INDEX('Lease Cycles'!$DY$25:$EE$25,1,DX299)=1,DX300&gt;0),1,1-INDEX('Lease Cycles'!$DD$25:$DJ$25,1,DX299)))),0)</f>
        <v>0</v>
      </c>
      <c r="DY308" s="24">
        <f>IF(DY301=1,IF('Lease Cycles'!$AJ$25=1,0,'Lease Cycles'!$D$25*INDEX('Lease Cycles'!$FH$25:$FN$25,1,DY299)*IF(INDEX('Lease Cycles'!$EF$25:$EL$25,1,DY299)=1,1,IF(OR(INDEX('Lease Cycles'!$DY$25:$EE$25,1,DY299)=1,DY300&gt;0),1,1-INDEX('Lease Cycles'!$DD$25:$DJ$25,1,DY299)))),0)</f>
        <v>0</v>
      </c>
      <c r="DZ308" s="24">
        <f>IF(DZ301=1,IF('Lease Cycles'!$AJ$25=1,0,'Lease Cycles'!$D$25*INDEX('Lease Cycles'!$FH$25:$FN$25,1,DZ299)*IF(INDEX('Lease Cycles'!$EF$25:$EL$25,1,DZ299)=1,1,IF(OR(INDEX('Lease Cycles'!$DY$25:$EE$25,1,DZ299)=1,DZ300&gt;0),1,1-INDEX('Lease Cycles'!$DD$25:$DJ$25,1,DZ299)))),0)</f>
        <v>0</v>
      </c>
      <c r="EA308" s="24">
        <f>IF(EA301=1,IF('Lease Cycles'!$AJ$25=1,0,'Lease Cycles'!$D$25*INDEX('Lease Cycles'!$FH$25:$FN$25,1,EA299)*IF(INDEX('Lease Cycles'!$EF$25:$EL$25,1,EA299)=1,1,IF(OR(INDEX('Lease Cycles'!$DY$25:$EE$25,1,EA299)=1,EA300&gt;0),1,1-INDEX('Lease Cycles'!$DD$25:$DJ$25,1,EA299)))),0)</f>
        <v>0</v>
      </c>
      <c r="EB308" s="24">
        <f>IF(EB301=1,IF('Lease Cycles'!$AJ$25=1,0,'Lease Cycles'!$D$25*INDEX('Lease Cycles'!$FH$25:$FN$25,1,EB299)*IF(INDEX('Lease Cycles'!$EF$25:$EL$25,1,EB299)=1,1,IF(OR(INDEX('Lease Cycles'!$DY$25:$EE$25,1,EB299)=1,EB300&gt;0),1,1-INDEX('Lease Cycles'!$DD$25:$DJ$25,1,EB299)))),0)</f>
        <v>0</v>
      </c>
      <c r="EC308" s="24">
        <f>IF(EC301=1,IF('Lease Cycles'!$AJ$25=1,0,'Lease Cycles'!$D$25*INDEX('Lease Cycles'!$FH$25:$FN$25,1,EC299)*IF(INDEX('Lease Cycles'!$EF$25:$EL$25,1,EC299)=1,1,IF(OR(INDEX('Lease Cycles'!$DY$25:$EE$25,1,EC299)=1,EC300&gt;0),1,1-INDEX('Lease Cycles'!$DD$25:$DJ$25,1,EC299)))),0)</f>
        <v>0</v>
      </c>
      <c r="ED308" s="24">
        <f>IF(ED301=1,IF('Lease Cycles'!$AJ$25=1,0,'Lease Cycles'!$D$25*INDEX('Lease Cycles'!$FH$25:$FN$25,1,ED299)*IF(INDEX('Lease Cycles'!$EF$25:$EL$25,1,ED299)=1,1,IF(OR(INDEX('Lease Cycles'!$DY$25:$EE$25,1,ED299)=1,ED300&gt;0),1,1-INDEX('Lease Cycles'!$DD$25:$DJ$25,1,ED299)))),0)</f>
        <v>0</v>
      </c>
      <c r="EE308" s="24">
        <f>IF(EE301=1,IF('Lease Cycles'!$AJ$25=1,0,'Lease Cycles'!$D$25*INDEX('Lease Cycles'!$FH$25:$FN$25,1,EE299)*IF(INDEX('Lease Cycles'!$EF$25:$EL$25,1,EE299)=1,1,IF(OR(INDEX('Lease Cycles'!$DY$25:$EE$25,1,EE299)=1,EE300&gt;0),1,1-INDEX('Lease Cycles'!$DD$25:$DJ$25,1,EE299)))),0)</f>
        <v>0</v>
      </c>
      <c r="EF308" s="24">
        <f>IF(EF301=1,IF('Lease Cycles'!$AJ$25=1,0,'Lease Cycles'!$D$25*INDEX('Lease Cycles'!$FH$25:$FN$25,1,EF299)*IF(INDEX('Lease Cycles'!$EF$25:$EL$25,1,EF299)=1,1,IF(OR(INDEX('Lease Cycles'!$DY$25:$EE$25,1,EF299)=1,EF300&gt;0),1,1-INDEX('Lease Cycles'!$DD$25:$DJ$25,1,EF299)))),0)</f>
        <v>0</v>
      </c>
      <c r="EG308" s="24">
        <f>IF(EG301=1,IF('Lease Cycles'!$AJ$25=1,0,'Lease Cycles'!$D$25*INDEX('Lease Cycles'!$FH$25:$FN$25,1,EG299)*IF(INDEX('Lease Cycles'!$EF$25:$EL$25,1,EG299)=1,1,IF(OR(INDEX('Lease Cycles'!$DY$25:$EE$25,1,EG299)=1,EG300&gt;0),1,1-INDEX('Lease Cycles'!$DD$25:$DJ$25,1,EG299)))),0)</f>
        <v>0</v>
      </c>
      <c r="EH308" s="24">
        <f>IF(EH301=1,IF('Lease Cycles'!$AJ$25=1,0,'Lease Cycles'!$D$25*INDEX('Lease Cycles'!$FH$25:$FN$25,1,EH299)*IF(INDEX('Lease Cycles'!$EF$25:$EL$25,1,EH299)=1,1,IF(OR(INDEX('Lease Cycles'!$DY$25:$EE$25,1,EH299)=1,EH300&gt;0),1,1-INDEX('Lease Cycles'!$DD$25:$DJ$25,1,EH299)))),0)</f>
        <v>0</v>
      </c>
      <c r="EI308" s="24">
        <f>IF(EI301=1,IF('Lease Cycles'!$AJ$25=1,0,'Lease Cycles'!$D$25*INDEX('Lease Cycles'!$FH$25:$FN$25,1,EI299)*IF(INDEX('Lease Cycles'!$EF$25:$EL$25,1,EI299)=1,1,IF(OR(INDEX('Lease Cycles'!$DY$25:$EE$25,1,EI299)=1,EI300&gt;0),1,1-INDEX('Lease Cycles'!$DD$25:$DJ$25,1,EI299)))),0)</f>
        <v>0</v>
      </c>
      <c r="EJ308" s="24">
        <f>IF(EJ301=1,IF('Lease Cycles'!$AJ$25=1,0,'Lease Cycles'!$D$25*INDEX('Lease Cycles'!$FH$25:$FN$25,1,EJ299)*IF(INDEX('Lease Cycles'!$EF$25:$EL$25,1,EJ299)=1,1,IF(OR(INDEX('Lease Cycles'!$DY$25:$EE$25,1,EJ299)=1,EJ300&gt;0),1,1-INDEX('Lease Cycles'!$DD$25:$DJ$25,1,EJ299)))),0)</f>
        <v>0</v>
      </c>
      <c r="EK308" s="24">
        <f>IF(EK301=1,IF('Lease Cycles'!$AJ$25=1,0,'Lease Cycles'!$D$25*INDEX('Lease Cycles'!$FH$25:$FN$25,1,EK299)*IF(INDEX('Lease Cycles'!$EF$25:$EL$25,1,EK299)=1,1,IF(OR(INDEX('Lease Cycles'!$DY$25:$EE$25,1,EK299)=1,EK300&gt;0),1,1-INDEX('Lease Cycles'!$DD$25:$DJ$25,1,EK299)))),0)</f>
        <v>0</v>
      </c>
      <c r="EL308" s="24">
        <f>IF(EL301=1,IF('Lease Cycles'!$AJ$25=1,0,'Lease Cycles'!$D$25*INDEX('Lease Cycles'!$FH$25:$FN$25,1,EL299)*IF(INDEX('Lease Cycles'!$EF$25:$EL$25,1,EL299)=1,1,IF(OR(INDEX('Lease Cycles'!$DY$25:$EE$25,1,EL299)=1,EL300&gt;0),1,1-INDEX('Lease Cycles'!$DD$25:$DJ$25,1,EL299)))),0)</f>
        <v>0</v>
      </c>
      <c r="EM308" s="24">
        <f>IF(EM301=1,IF('Lease Cycles'!$AJ$25=1,0,'Lease Cycles'!$D$25*INDEX('Lease Cycles'!$FH$25:$FN$25,1,EM299)*IF(INDEX('Lease Cycles'!$EF$25:$EL$25,1,EM299)=1,1,IF(OR(INDEX('Lease Cycles'!$DY$25:$EE$25,1,EM299)=1,EM300&gt;0),1,1-INDEX('Lease Cycles'!$DD$25:$DJ$25,1,EM299)))),0)</f>
        <v>0</v>
      </c>
      <c r="EN308" s="24">
        <f>IF(EN301=1,IF('Lease Cycles'!$AJ$25=1,0,'Lease Cycles'!$D$25*INDEX('Lease Cycles'!$FH$25:$FN$25,1,EN299)*IF(INDEX('Lease Cycles'!$EF$25:$EL$25,1,EN299)=1,1,IF(OR(INDEX('Lease Cycles'!$DY$25:$EE$25,1,EN299)=1,EN300&gt;0),1,1-INDEX('Lease Cycles'!$DD$25:$DJ$25,1,EN299)))),0)</f>
        <v>0</v>
      </c>
      <c r="EO308" s="24">
        <f>IF(EO301=1,IF('Lease Cycles'!$AJ$25=1,0,'Lease Cycles'!$D$25*INDEX('Lease Cycles'!$FH$25:$FN$25,1,EO299)*IF(INDEX('Lease Cycles'!$EF$25:$EL$25,1,EO299)=1,1,IF(OR(INDEX('Lease Cycles'!$DY$25:$EE$25,1,EO299)=1,EO300&gt;0),1,1-INDEX('Lease Cycles'!$DD$25:$DJ$25,1,EO299)))),0)</f>
        <v>0</v>
      </c>
      <c r="EP308" s="24">
        <f>IF(EP301=1,IF('Lease Cycles'!$AJ$25=1,0,'Lease Cycles'!$D$25*INDEX('Lease Cycles'!$FH$25:$FN$25,1,EP299)*IF(INDEX('Lease Cycles'!$EF$25:$EL$25,1,EP299)=1,1,IF(OR(INDEX('Lease Cycles'!$DY$25:$EE$25,1,EP299)=1,EP300&gt;0),1,1-INDEX('Lease Cycles'!$DD$25:$DJ$25,1,EP299)))),0)</f>
        <v>0</v>
      </c>
      <c r="EQ308" s="24">
        <f>IF(EQ301=1,IF('Lease Cycles'!$AJ$25=1,0,'Lease Cycles'!$D$25*INDEX('Lease Cycles'!$FH$25:$FN$25,1,EQ299)*IF(INDEX('Lease Cycles'!$EF$25:$EL$25,1,EQ299)=1,1,IF(OR(INDEX('Lease Cycles'!$DY$25:$EE$25,1,EQ299)=1,EQ300&gt;0),1,1-INDEX('Lease Cycles'!$DD$25:$DJ$25,1,EQ299)))),0)</f>
        <v>0</v>
      </c>
      <c r="ER308" s="24">
        <f>IF(ER301=1,IF('Lease Cycles'!$AJ$25=1,0,'Lease Cycles'!$D$25*INDEX('Lease Cycles'!$FH$25:$FN$25,1,ER299)*IF(INDEX('Lease Cycles'!$EF$25:$EL$25,1,ER299)=1,1,IF(OR(INDEX('Lease Cycles'!$DY$25:$EE$25,1,ER299)=1,ER300&gt;0),1,1-INDEX('Lease Cycles'!$DD$25:$DJ$25,1,ER299)))),0)</f>
        <v>0</v>
      </c>
      <c r="ES308" s="24">
        <f>IF(ES301=1,IF('Lease Cycles'!$AJ$25=1,0,'Lease Cycles'!$D$25*INDEX('Lease Cycles'!$FH$25:$FN$25,1,ES299)*IF(INDEX('Lease Cycles'!$EF$25:$EL$25,1,ES299)=1,1,IF(OR(INDEX('Lease Cycles'!$DY$25:$EE$25,1,ES299)=1,ES300&gt;0),1,1-INDEX('Lease Cycles'!$DD$25:$DJ$25,1,ES299)))),0)</f>
        <v>0</v>
      </c>
      <c r="ET308" s="24">
        <f>IF(ET301=1,IF('Lease Cycles'!$AJ$25=1,0,'Lease Cycles'!$D$25*INDEX('Lease Cycles'!$FH$25:$FN$25,1,ET299)*IF(INDEX('Lease Cycles'!$EF$25:$EL$25,1,ET299)=1,1,IF(OR(INDEX('Lease Cycles'!$DY$25:$EE$25,1,ET299)=1,ET300&gt;0),1,1-INDEX('Lease Cycles'!$DD$25:$DJ$25,1,ET299)))),0)</f>
        <v>0</v>
      </c>
    </row>
    <row r="309">
      <c r="A309" s="103">
        <v>18</v>
      </c>
      <c r="B309" s="23" t="str">
        <f>IF('Lease Cycles'!$B$25="","(empty slot)",'Lease Cycles'!$B$25)</f>
        <v>(empty slot)</v>
      </c>
      <c r="C309" s="23" t="s">
        <v>687</v>
      </c>
      <c r="D309" s="104" t="s">
        <v>688</v>
      </c>
      <c r="E309" s="25">
        <f>'Lease Cycles'!$AL$25</f>
        <v>0</v>
      </c>
      <c r="G309" s="24">
        <f>SUM(S309:AD309)</f>
        <v>0</v>
      </c>
      <c r="H309" s="24">
        <f>SUM(AE309:AP309)</f>
        <v>0</v>
      </c>
      <c r="I309" s="24">
        <f>SUM(AQ309:BB309)</f>
        <v>0</v>
      </c>
      <c r="J309" s="24">
        <f>SUM(BC309:BN309)</f>
        <v>0</v>
      </c>
      <c r="K309" s="24">
        <f>SUM(BO309:BZ309)</f>
        <v>0</v>
      </c>
      <c r="L309" s="24">
        <f>SUM(CA309:CL309)</f>
        <v>0</v>
      </c>
      <c r="M309" s="24">
        <f>SUM(CM309:CX309)</f>
        <v>0</v>
      </c>
      <c r="N309" s="24">
        <f>SUM(CY309:DJ309)</f>
        <v>0</v>
      </c>
      <c r="O309" s="24">
        <f>SUM(DK309:DV309)</f>
        <v>0</v>
      </c>
      <c r="P309" s="24">
        <f>SUM(DW309:EH309)</f>
        <v>0</v>
      </c>
      <c r="Q309" s="24">
        <f>SUM(EI309:ET309)</f>
        <v>0</v>
      </c>
      <c r="S309" s="24">
        <f>IF(S301=1,'Lease Cycles'!$D$25*IF(INDEX('Lease Cycles'!$EF$25:$EL$25,1,S299)=1,'Lease Cycles'!$AJ$25*INDEX('Lease Cycles'!$FO$25:$FU$25,1,S299)*INDEX('Lease Cycles'!$EM$25:$ES$25,1,S299)+'Lease Cycles'!$BE$25*IF(S300&lt;INDEX('Lease Cycles'!$FA$25:$FG$25,1,S299),0,1-INDEX('Lease Cycles'!$EM$25:$ES$25,1,S299)),IF(OR(INDEX('Lease Cycles'!$DY$25:$EE$25,1,S299)=1,S300&gt;0),1,1-INDEX('Lease Cycles'!$DD$25:$DJ$25,1,S299))*('Lease Cycles'!$AJ$25*INDEX('Lease Cycles'!$FO$25:$FU$25,1,S299)+'Lease Cycles'!$BE$25*(1-INDEX('Lease Cycles'!$FO$25:$FU$25,1,S299)))),0)</f>
        <v>0</v>
      </c>
      <c r="T309" s="24">
        <f>IF(T301=1,'Lease Cycles'!$D$25*IF(INDEX('Lease Cycles'!$EF$25:$EL$25,1,T299)=1,'Lease Cycles'!$AJ$25*INDEX('Lease Cycles'!$FO$25:$FU$25,1,T299)*INDEX('Lease Cycles'!$EM$25:$ES$25,1,T299)+'Lease Cycles'!$BE$25*IF(T300&lt;INDEX('Lease Cycles'!$FA$25:$FG$25,1,T299),0,1-INDEX('Lease Cycles'!$EM$25:$ES$25,1,T299)),IF(OR(INDEX('Lease Cycles'!$DY$25:$EE$25,1,T299)=1,T300&gt;0),1,1-INDEX('Lease Cycles'!$DD$25:$DJ$25,1,T299))*('Lease Cycles'!$AJ$25*INDEX('Lease Cycles'!$FO$25:$FU$25,1,T299)+'Lease Cycles'!$BE$25*(1-INDEX('Lease Cycles'!$FO$25:$FU$25,1,T299)))),0)</f>
        <v>0</v>
      </c>
      <c r="U309" s="24">
        <f>IF(U301=1,'Lease Cycles'!$D$25*IF(INDEX('Lease Cycles'!$EF$25:$EL$25,1,U299)=1,'Lease Cycles'!$AJ$25*INDEX('Lease Cycles'!$FO$25:$FU$25,1,U299)*INDEX('Lease Cycles'!$EM$25:$ES$25,1,U299)+'Lease Cycles'!$BE$25*IF(U300&lt;INDEX('Lease Cycles'!$FA$25:$FG$25,1,U299),0,1-INDEX('Lease Cycles'!$EM$25:$ES$25,1,U299)),IF(OR(INDEX('Lease Cycles'!$DY$25:$EE$25,1,U299)=1,U300&gt;0),1,1-INDEX('Lease Cycles'!$DD$25:$DJ$25,1,U299))*('Lease Cycles'!$AJ$25*INDEX('Lease Cycles'!$FO$25:$FU$25,1,U299)+'Lease Cycles'!$BE$25*(1-INDEX('Lease Cycles'!$FO$25:$FU$25,1,U299)))),0)</f>
        <v>0</v>
      </c>
      <c r="V309" s="24">
        <f>IF(V301=1,'Lease Cycles'!$D$25*IF(INDEX('Lease Cycles'!$EF$25:$EL$25,1,V299)=1,'Lease Cycles'!$AJ$25*INDEX('Lease Cycles'!$FO$25:$FU$25,1,V299)*INDEX('Lease Cycles'!$EM$25:$ES$25,1,V299)+'Lease Cycles'!$BE$25*IF(V300&lt;INDEX('Lease Cycles'!$FA$25:$FG$25,1,V299),0,1-INDEX('Lease Cycles'!$EM$25:$ES$25,1,V299)),IF(OR(INDEX('Lease Cycles'!$DY$25:$EE$25,1,V299)=1,V300&gt;0),1,1-INDEX('Lease Cycles'!$DD$25:$DJ$25,1,V299))*('Lease Cycles'!$AJ$25*INDEX('Lease Cycles'!$FO$25:$FU$25,1,V299)+'Lease Cycles'!$BE$25*(1-INDEX('Lease Cycles'!$FO$25:$FU$25,1,V299)))),0)</f>
        <v>0</v>
      </c>
      <c r="W309" s="24">
        <f>IF(W301=1,'Lease Cycles'!$D$25*IF(INDEX('Lease Cycles'!$EF$25:$EL$25,1,W299)=1,'Lease Cycles'!$AJ$25*INDEX('Lease Cycles'!$FO$25:$FU$25,1,W299)*INDEX('Lease Cycles'!$EM$25:$ES$25,1,W299)+'Lease Cycles'!$BE$25*IF(W300&lt;INDEX('Lease Cycles'!$FA$25:$FG$25,1,W299),0,1-INDEX('Lease Cycles'!$EM$25:$ES$25,1,W299)),IF(OR(INDEX('Lease Cycles'!$DY$25:$EE$25,1,W299)=1,W300&gt;0),1,1-INDEX('Lease Cycles'!$DD$25:$DJ$25,1,W299))*('Lease Cycles'!$AJ$25*INDEX('Lease Cycles'!$FO$25:$FU$25,1,W299)+'Lease Cycles'!$BE$25*(1-INDEX('Lease Cycles'!$FO$25:$FU$25,1,W299)))),0)</f>
        <v>0</v>
      </c>
      <c r="X309" s="24">
        <f>IF(X301=1,'Lease Cycles'!$D$25*IF(INDEX('Lease Cycles'!$EF$25:$EL$25,1,X299)=1,'Lease Cycles'!$AJ$25*INDEX('Lease Cycles'!$FO$25:$FU$25,1,X299)*INDEX('Lease Cycles'!$EM$25:$ES$25,1,X299)+'Lease Cycles'!$BE$25*IF(X300&lt;INDEX('Lease Cycles'!$FA$25:$FG$25,1,X299),0,1-INDEX('Lease Cycles'!$EM$25:$ES$25,1,X299)),IF(OR(INDEX('Lease Cycles'!$DY$25:$EE$25,1,X299)=1,X300&gt;0),1,1-INDEX('Lease Cycles'!$DD$25:$DJ$25,1,X299))*('Lease Cycles'!$AJ$25*INDEX('Lease Cycles'!$FO$25:$FU$25,1,X299)+'Lease Cycles'!$BE$25*(1-INDEX('Lease Cycles'!$FO$25:$FU$25,1,X299)))),0)</f>
        <v>0</v>
      </c>
      <c r="Y309" s="24">
        <f>IF(Y301=1,'Lease Cycles'!$D$25*IF(INDEX('Lease Cycles'!$EF$25:$EL$25,1,Y299)=1,'Lease Cycles'!$AJ$25*INDEX('Lease Cycles'!$FO$25:$FU$25,1,Y299)*INDEX('Lease Cycles'!$EM$25:$ES$25,1,Y299)+'Lease Cycles'!$BE$25*IF(Y300&lt;INDEX('Lease Cycles'!$FA$25:$FG$25,1,Y299),0,1-INDEX('Lease Cycles'!$EM$25:$ES$25,1,Y299)),IF(OR(INDEX('Lease Cycles'!$DY$25:$EE$25,1,Y299)=1,Y300&gt;0),1,1-INDEX('Lease Cycles'!$DD$25:$DJ$25,1,Y299))*('Lease Cycles'!$AJ$25*INDEX('Lease Cycles'!$FO$25:$FU$25,1,Y299)+'Lease Cycles'!$BE$25*(1-INDEX('Lease Cycles'!$FO$25:$FU$25,1,Y299)))),0)</f>
        <v>0</v>
      </c>
      <c r="Z309" s="24">
        <f>IF(Z301=1,'Lease Cycles'!$D$25*IF(INDEX('Lease Cycles'!$EF$25:$EL$25,1,Z299)=1,'Lease Cycles'!$AJ$25*INDEX('Lease Cycles'!$FO$25:$FU$25,1,Z299)*INDEX('Lease Cycles'!$EM$25:$ES$25,1,Z299)+'Lease Cycles'!$BE$25*IF(Z300&lt;INDEX('Lease Cycles'!$FA$25:$FG$25,1,Z299),0,1-INDEX('Lease Cycles'!$EM$25:$ES$25,1,Z299)),IF(OR(INDEX('Lease Cycles'!$DY$25:$EE$25,1,Z299)=1,Z300&gt;0),1,1-INDEX('Lease Cycles'!$DD$25:$DJ$25,1,Z299))*('Lease Cycles'!$AJ$25*INDEX('Lease Cycles'!$FO$25:$FU$25,1,Z299)+'Lease Cycles'!$BE$25*(1-INDEX('Lease Cycles'!$FO$25:$FU$25,1,Z299)))),0)</f>
        <v>0</v>
      </c>
      <c r="AA309" s="24">
        <f>IF(AA301=1,'Lease Cycles'!$D$25*IF(INDEX('Lease Cycles'!$EF$25:$EL$25,1,AA299)=1,'Lease Cycles'!$AJ$25*INDEX('Lease Cycles'!$FO$25:$FU$25,1,AA299)*INDEX('Lease Cycles'!$EM$25:$ES$25,1,AA299)+'Lease Cycles'!$BE$25*IF(AA300&lt;INDEX('Lease Cycles'!$FA$25:$FG$25,1,AA299),0,1-INDEX('Lease Cycles'!$EM$25:$ES$25,1,AA299)),IF(OR(INDEX('Lease Cycles'!$DY$25:$EE$25,1,AA299)=1,AA300&gt;0),1,1-INDEX('Lease Cycles'!$DD$25:$DJ$25,1,AA299))*('Lease Cycles'!$AJ$25*INDEX('Lease Cycles'!$FO$25:$FU$25,1,AA299)+'Lease Cycles'!$BE$25*(1-INDEX('Lease Cycles'!$FO$25:$FU$25,1,AA299)))),0)</f>
        <v>0</v>
      </c>
      <c r="AB309" s="24">
        <f>IF(AB301=1,'Lease Cycles'!$D$25*IF(INDEX('Lease Cycles'!$EF$25:$EL$25,1,AB299)=1,'Lease Cycles'!$AJ$25*INDEX('Lease Cycles'!$FO$25:$FU$25,1,AB299)*INDEX('Lease Cycles'!$EM$25:$ES$25,1,AB299)+'Lease Cycles'!$BE$25*IF(AB300&lt;INDEX('Lease Cycles'!$FA$25:$FG$25,1,AB299),0,1-INDEX('Lease Cycles'!$EM$25:$ES$25,1,AB299)),IF(OR(INDEX('Lease Cycles'!$DY$25:$EE$25,1,AB299)=1,AB300&gt;0),1,1-INDEX('Lease Cycles'!$DD$25:$DJ$25,1,AB299))*('Lease Cycles'!$AJ$25*INDEX('Lease Cycles'!$FO$25:$FU$25,1,AB299)+'Lease Cycles'!$BE$25*(1-INDEX('Lease Cycles'!$FO$25:$FU$25,1,AB299)))),0)</f>
        <v>0</v>
      </c>
      <c r="AC309" s="24">
        <f>IF(AC301=1,'Lease Cycles'!$D$25*IF(INDEX('Lease Cycles'!$EF$25:$EL$25,1,AC299)=1,'Lease Cycles'!$AJ$25*INDEX('Lease Cycles'!$FO$25:$FU$25,1,AC299)*INDEX('Lease Cycles'!$EM$25:$ES$25,1,AC299)+'Lease Cycles'!$BE$25*IF(AC300&lt;INDEX('Lease Cycles'!$FA$25:$FG$25,1,AC299),0,1-INDEX('Lease Cycles'!$EM$25:$ES$25,1,AC299)),IF(OR(INDEX('Lease Cycles'!$DY$25:$EE$25,1,AC299)=1,AC300&gt;0),1,1-INDEX('Lease Cycles'!$DD$25:$DJ$25,1,AC299))*('Lease Cycles'!$AJ$25*INDEX('Lease Cycles'!$FO$25:$FU$25,1,AC299)+'Lease Cycles'!$BE$25*(1-INDEX('Lease Cycles'!$FO$25:$FU$25,1,AC299)))),0)</f>
        <v>0</v>
      </c>
      <c r="AD309" s="24">
        <f>IF(AD301=1,'Lease Cycles'!$D$25*IF(INDEX('Lease Cycles'!$EF$25:$EL$25,1,AD299)=1,'Lease Cycles'!$AJ$25*INDEX('Lease Cycles'!$FO$25:$FU$25,1,AD299)*INDEX('Lease Cycles'!$EM$25:$ES$25,1,AD299)+'Lease Cycles'!$BE$25*IF(AD300&lt;INDEX('Lease Cycles'!$FA$25:$FG$25,1,AD299),0,1-INDEX('Lease Cycles'!$EM$25:$ES$25,1,AD299)),IF(OR(INDEX('Lease Cycles'!$DY$25:$EE$25,1,AD299)=1,AD300&gt;0),1,1-INDEX('Lease Cycles'!$DD$25:$DJ$25,1,AD299))*('Lease Cycles'!$AJ$25*INDEX('Lease Cycles'!$FO$25:$FU$25,1,AD299)+'Lease Cycles'!$BE$25*(1-INDEX('Lease Cycles'!$FO$25:$FU$25,1,AD299)))),0)</f>
        <v>0</v>
      </c>
      <c r="AE309" s="24">
        <f>IF(AE301=1,'Lease Cycles'!$D$25*IF(INDEX('Lease Cycles'!$EF$25:$EL$25,1,AE299)=1,'Lease Cycles'!$AJ$25*INDEX('Lease Cycles'!$FO$25:$FU$25,1,AE299)*INDEX('Lease Cycles'!$EM$25:$ES$25,1,AE299)+'Lease Cycles'!$BE$25*IF(AE300&lt;INDEX('Lease Cycles'!$FA$25:$FG$25,1,AE299),0,1-INDEX('Lease Cycles'!$EM$25:$ES$25,1,AE299)),IF(OR(INDEX('Lease Cycles'!$DY$25:$EE$25,1,AE299)=1,AE300&gt;0),1,1-INDEX('Lease Cycles'!$DD$25:$DJ$25,1,AE299))*('Lease Cycles'!$AJ$25*INDEX('Lease Cycles'!$FO$25:$FU$25,1,AE299)+'Lease Cycles'!$BE$25*(1-INDEX('Lease Cycles'!$FO$25:$FU$25,1,AE299)))),0)</f>
        <v>0</v>
      </c>
      <c r="AF309" s="24">
        <f>IF(AF301=1,'Lease Cycles'!$D$25*IF(INDEX('Lease Cycles'!$EF$25:$EL$25,1,AF299)=1,'Lease Cycles'!$AJ$25*INDEX('Lease Cycles'!$FO$25:$FU$25,1,AF299)*INDEX('Lease Cycles'!$EM$25:$ES$25,1,AF299)+'Lease Cycles'!$BE$25*IF(AF300&lt;INDEX('Lease Cycles'!$FA$25:$FG$25,1,AF299),0,1-INDEX('Lease Cycles'!$EM$25:$ES$25,1,AF299)),IF(OR(INDEX('Lease Cycles'!$DY$25:$EE$25,1,AF299)=1,AF300&gt;0),1,1-INDEX('Lease Cycles'!$DD$25:$DJ$25,1,AF299))*('Lease Cycles'!$AJ$25*INDEX('Lease Cycles'!$FO$25:$FU$25,1,AF299)+'Lease Cycles'!$BE$25*(1-INDEX('Lease Cycles'!$FO$25:$FU$25,1,AF299)))),0)</f>
        <v>0</v>
      </c>
      <c r="AG309" s="24">
        <f>IF(AG301=1,'Lease Cycles'!$D$25*IF(INDEX('Lease Cycles'!$EF$25:$EL$25,1,AG299)=1,'Lease Cycles'!$AJ$25*INDEX('Lease Cycles'!$FO$25:$FU$25,1,AG299)*INDEX('Lease Cycles'!$EM$25:$ES$25,1,AG299)+'Lease Cycles'!$BE$25*IF(AG300&lt;INDEX('Lease Cycles'!$FA$25:$FG$25,1,AG299),0,1-INDEX('Lease Cycles'!$EM$25:$ES$25,1,AG299)),IF(OR(INDEX('Lease Cycles'!$DY$25:$EE$25,1,AG299)=1,AG300&gt;0),1,1-INDEX('Lease Cycles'!$DD$25:$DJ$25,1,AG299))*('Lease Cycles'!$AJ$25*INDEX('Lease Cycles'!$FO$25:$FU$25,1,AG299)+'Lease Cycles'!$BE$25*(1-INDEX('Lease Cycles'!$FO$25:$FU$25,1,AG299)))),0)</f>
        <v>0</v>
      </c>
      <c r="AH309" s="24">
        <f>IF(AH301=1,'Lease Cycles'!$D$25*IF(INDEX('Lease Cycles'!$EF$25:$EL$25,1,AH299)=1,'Lease Cycles'!$AJ$25*INDEX('Lease Cycles'!$FO$25:$FU$25,1,AH299)*INDEX('Lease Cycles'!$EM$25:$ES$25,1,AH299)+'Lease Cycles'!$BE$25*IF(AH300&lt;INDEX('Lease Cycles'!$FA$25:$FG$25,1,AH299),0,1-INDEX('Lease Cycles'!$EM$25:$ES$25,1,AH299)),IF(OR(INDEX('Lease Cycles'!$DY$25:$EE$25,1,AH299)=1,AH300&gt;0),1,1-INDEX('Lease Cycles'!$DD$25:$DJ$25,1,AH299))*('Lease Cycles'!$AJ$25*INDEX('Lease Cycles'!$FO$25:$FU$25,1,AH299)+'Lease Cycles'!$BE$25*(1-INDEX('Lease Cycles'!$FO$25:$FU$25,1,AH299)))),0)</f>
        <v>0</v>
      </c>
      <c r="AI309" s="24">
        <f>IF(AI301=1,'Lease Cycles'!$D$25*IF(INDEX('Lease Cycles'!$EF$25:$EL$25,1,AI299)=1,'Lease Cycles'!$AJ$25*INDEX('Lease Cycles'!$FO$25:$FU$25,1,AI299)*INDEX('Lease Cycles'!$EM$25:$ES$25,1,AI299)+'Lease Cycles'!$BE$25*IF(AI300&lt;INDEX('Lease Cycles'!$FA$25:$FG$25,1,AI299),0,1-INDEX('Lease Cycles'!$EM$25:$ES$25,1,AI299)),IF(OR(INDEX('Lease Cycles'!$DY$25:$EE$25,1,AI299)=1,AI300&gt;0),1,1-INDEX('Lease Cycles'!$DD$25:$DJ$25,1,AI299))*('Lease Cycles'!$AJ$25*INDEX('Lease Cycles'!$FO$25:$FU$25,1,AI299)+'Lease Cycles'!$BE$25*(1-INDEX('Lease Cycles'!$FO$25:$FU$25,1,AI299)))),0)</f>
        <v>0</v>
      </c>
      <c r="AJ309" s="24">
        <f>IF(AJ301=1,'Lease Cycles'!$D$25*IF(INDEX('Lease Cycles'!$EF$25:$EL$25,1,AJ299)=1,'Lease Cycles'!$AJ$25*INDEX('Lease Cycles'!$FO$25:$FU$25,1,AJ299)*INDEX('Lease Cycles'!$EM$25:$ES$25,1,AJ299)+'Lease Cycles'!$BE$25*IF(AJ300&lt;INDEX('Lease Cycles'!$FA$25:$FG$25,1,AJ299),0,1-INDEX('Lease Cycles'!$EM$25:$ES$25,1,AJ299)),IF(OR(INDEX('Lease Cycles'!$DY$25:$EE$25,1,AJ299)=1,AJ300&gt;0),1,1-INDEX('Lease Cycles'!$DD$25:$DJ$25,1,AJ299))*('Lease Cycles'!$AJ$25*INDEX('Lease Cycles'!$FO$25:$FU$25,1,AJ299)+'Lease Cycles'!$BE$25*(1-INDEX('Lease Cycles'!$FO$25:$FU$25,1,AJ299)))),0)</f>
        <v>0</v>
      </c>
      <c r="AK309" s="24">
        <f>IF(AK301=1,'Lease Cycles'!$D$25*IF(INDEX('Lease Cycles'!$EF$25:$EL$25,1,AK299)=1,'Lease Cycles'!$AJ$25*INDEX('Lease Cycles'!$FO$25:$FU$25,1,AK299)*INDEX('Lease Cycles'!$EM$25:$ES$25,1,AK299)+'Lease Cycles'!$BE$25*IF(AK300&lt;INDEX('Lease Cycles'!$FA$25:$FG$25,1,AK299),0,1-INDEX('Lease Cycles'!$EM$25:$ES$25,1,AK299)),IF(OR(INDEX('Lease Cycles'!$DY$25:$EE$25,1,AK299)=1,AK300&gt;0),1,1-INDEX('Lease Cycles'!$DD$25:$DJ$25,1,AK299))*('Lease Cycles'!$AJ$25*INDEX('Lease Cycles'!$FO$25:$FU$25,1,AK299)+'Lease Cycles'!$BE$25*(1-INDEX('Lease Cycles'!$FO$25:$FU$25,1,AK299)))),0)</f>
        <v>0</v>
      </c>
      <c r="AL309" s="24">
        <f>IF(AL301=1,'Lease Cycles'!$D$25*IF(INDEX('Lease Cycles'!$EF$25:$EL$25,1,AL299)=1,'Lease Cycles'!$AJ$25*INDEX('Lease Cycles'!$FO$25:$FU$25,1,AL299)*INDEX('Lease Cycles'!$EM$25:$ES$25,1,AL299)+'Lease Cycles'!$BE$25*IF(AL300&lt;INDEX('Lease Cycles'!$FA$25:$FG$25,1,AL299),0,1-INDEX('Lease Cycles'!$EM$25:$ES$25,1,AL299)),IF(OR(INDEX('Lease Cycles'!$DY$25:$EE$25,1,AL299)=1,AL300&gt;0),1,1-INDEX('Lease Cycles'!$DD$25:$DJ$25,1,AL299))*('Lease Cycles'!$AJ$25*INDEX('Lease Cycles'!$FO$25:$FU$25,1,AL299)+'Lease Cycles'!$BE$25*(1-INDEX('Lease Cycles'!$FO$25:$FU$25,1,AL299)))),0)</f>
        <v>0</v>
      </c>
      <c r="AM309" s="24">
        <f>IF(AM301=1,'Lease Cycles'!$D$25*IF(INDEX('Lease Cycles'!$EF$25:$EL$25,1,AM299)=1,'Lease Cycles'!$AJ$25*INDEX('Lease Cycles'!$FO$25:$FU$25,1,AM299)*INDEX('Lease Cycles'!$EM$25:$ES$25,1,AM299)+'Lease Cycles'!$BE$25*IF(AM300&lt;INDEX('Lease Cycles'!$FA$25:$FG$25,1,AM299),0,1-INDEX('Lease Cycles'!$EM$25:$ES$25,1,AM299)),IF(OR(INDEX('Lease Cycles'!$DY$25:$EE$25,1,AM299)=1,AM300&gt;0),1,1-INDEX('Lease Cycles'!$DD$25:$DJ$25,1,AM299))*('Lease Cycles'!$AJ$25*INDEX('Lease Cycles'!$FO$25:$FU$25,1,AM299)+'Lease Cycles'!$BE$25*(1-INDEX('Lease Cycles'!$FO$25:$FU$25,1,AM299)))),0)</f>
        <v>0</v>
      </c>
      <c r="AN309" s="24">
        <f>IF(AN301=1,'Lease Cycles'!$D$25*IF(INDEX('Lease Cycles'!$EF$25:$EL$25,1,AN299)=1,'Lease Cycles'!$AJ$25*INDEX('Lease Cycles'!$FO$25:$FU$25,1,AN299)*INDEX('Lease Cycles'!$EM$25:$ES$25,1,AN299)+'Lease Cycles'!$BE$25*IF(AN300&lt;INDEX('Lease Cycles'!$FA$25:$FG$25,1,AN299),0,1-INDEX('Lease Cycles'!$EM$25:$ES$25,1,AN299)),IF(OR(INDEX('Lease Cycles'!$DY$25:$EE$25,1,AN299)=1,AN300&gt;0),1,1-INDEX('Lease Cycles'!$DD$25:$DJ$25,1,AN299))*('Lease Cycles'!$AJ$25*INDEX('Lease Cycles'!$FO$25:$FU$25,1,AN299)+'Lease Cycles'!$BE$25*(1-INDEX('Lease Cycles'!$FO$25:$FU$25,1,AN299)))),0)</f>
        <v>0</v>
      </c>
      <c r="AO309" s="24">
        <f>IF(AO301=1,'Lease Cycles'!$D$25*IF(INDEX('Lease Cycles'!$EF$25:$EL$25,1,AO299)=1,'Lease Cycles'!$AJ$25*INDEX('Lease Cycles'!$FO$25:$FU$25,1,AO299)*INDEX('Lease Cycles'!$EM$25:$ES$25,1,AO299)+'Lease Cycles'!$BE$25*IF(AO300&lt;INDEX('Lease Cycles'!$FA$25:$FG$25,1,AO299),0,1-INDEX('Lease Cycles'!$EM$25:$ES$25,1,AO299)),IF(OR(INDEX('Lease Cycles'!$DY$25:$EE$25,1,AO299)=1,AO300&gt;0),1,1-INDEX('Lease Cycles'!$DD$25:$DJ$25,1,AO299))*('Lease Cycles'!$AJ$25*INDEX('Lease Cycles'!$FO$25:$FU$25,1,AO299)+'Lease Cycles'!$BE$25*(1-INDEX('Lease Cycles'!$FO$25:$FU$25,1,AO299)))),0)</f>
        <v>0</v>
      </c>
      <c r="AP309" s="24">
        <f>IF(AP301=1,'Lease Cycles'!$D$25*IF(INDEX('Lease Cycles'!$EF$25:$EL$25,1,AP299)=1,'Lease Cycles'!$AJ$25*INDEX('Lease Cycles'!$FO$25:$FU$25,1,AP299)*INDEX('Lease Cycles'!$EM$25:$ES$25,1,AP299)+'Lease Cycles'!$BE$25*IF(AP300&lt;INDEX('Lease Cycles'!$FA$25:$FG$25,1,AP299),0,1-INDEX('Lease Cycles'!$EM$25:$ES$25,1,AP299)),IF(OR(INDEX('Lease Cycles'!$DY$25:$EE$25,1,AP299)=1,AP300&gt;0),1,1-INDEX('Lease Cycles'!$DD$25:$DJ$25,1,AP299))*('Lease Cycles'!$AJ$25*INDEX('Lease Cycles'!$FO$25:$FU$25,1,AP299)+'Lease Cycles'!$BE$25*(1-INDEX('Lease Cycles'!$FO$25:$FU$25,1,AP299)))),0)</f>
        <v>0</v>
      </c>
      <c r="AQ309" s="24">
        <f>IF(AQ301=1,'Lease Cycles'!$D$25*IF(INDEX('Lease Cycles'!$EF$25:$EL$25,1,AQ299)=1,'Lease Cycles'!$AJ$25*INDEX('Lease Cycles'!$FO$25:$FU$25,1,AQ299)*INDEX('Lease Cycles'!$EM$25:$ES$25,1,AQ299)+'Lease Cycles'!$BE$25*IF(AQ300&lt;INDEX('Lease Cycles'!$FA$25:$FG$25,1,AQ299),0,1-INDEX('Lease Cycles'!$EM$25:$ES$25,1,AQ299)),IF(OR(INDEX('Lease Cycles'!$DY$25:$EE$25,1,AQ299)=1,AQ300&gt;0),1,1-INDEX('Lease Cycles'!$DD$25:$DJ$25,1,AQ299))*('Lease Cycles'!$AJ$25*INDEX('Lease Cycles'!$FO$25:$FU$25,1,AQ299)+'Lease Cycles'!$BE$25*(1-INDEX('Lease Cycles'!$FO$25:$FU$25,1,AQ299)))),0)</f>
        <v>0</v>
      </c>
      <c r="AR309" s="24">
        <f>IF(AR301=1,'Lease Cycles'!$D$25*IF(INDEX('Lease Cycles'!$EF$25:$EL$25,1,AR299)=1,'Lease Cycles'!$AJ$25*INDEX('Lease Cycles'!$FO$25:$FU$25,1,AR299)*INDEX('Lease Cycles'!$EM$25:$ES$25,1,AR299)+'Lease Cycles'!$BE$25*IF(AR300&lt;INDEX('Lease Cycles'!$FA$25:$FG$25,1,AR299),0,1-INDEX('Lease Cycles'!$EM$25:$ES$25,1,AR299)),IF(OR(INDEX('Lease Cycles'!$DY$25:$EE$25,1,AR299)=1,AR300&gt;0),1,1-INDEX('Lease Cycles'!$DD$25:$DJ$25,1,AR299))*('Lease Cycles'!$AJ$25*INDEX('Lease Cycles'!$FO$25:$FU$25,1,AR299)+'Lease Cycles'!$BE$25*(1-INDEX('Lease Cycles'!$FO$25:$FU$25,1,AR299)))),0)</f>
        <v>0</v>
      </c>
      <c r="AS309" s="24">
        <f>IF(AS301=1,'Lease Cycles'!$D$25*IF(INDEX('Lease Cycles'!$EF$25:$EL$25,1,AS299)=1,'Lease Cycles'!$AJ$25*INDEX('Lease Cycles'!$FO$25:$FU$25,1,AS299)*INDEX('Lease Cycles'!$EM$25:$ES$25,1,AS299)+'Lease Cycles'!$BE$25*IF(AS300&lt;INDEX('Lease Cycles'!$FA$25:$FG$25,1,AS299),0,1-INDEX('Lease Cycles'!$EM$25:$ES$25,1,AS299)),IF(OR(INDEX('Lease Cycles'!$DY$25:$EE$25,1,AS299)=1,AS300&gt;0),1,1-INDEX('Lease Cycles'!$DD$25:$DJ$25,1,AS299))*('Lease Cycles'!$AJ$25*INDEX('Lease Cycles'!$FO$25:$FU$25,1,AS299)+'Lease Cycles'!$BE$25*(1-INDEX('Lease Cycles'!$FO$25:$FU$25,1,AS299)))),0)</f>
        <v>0</v>
      </c>
      <c r="AT309" s="24">
        <f>IF(AT301=1,'Lease Cycles'!$D$25*IF(INDEX('Lease Cycles'!$EF$25:$EL$25,1,AT299)=1,'Lease Cycles'!$AJ$25*INDEX('Lease Cycles'!$FO$25:$FU$25,1,AT299)*INDEX('Lease Cycles'!$EM$25:$ES$25,1,AT299)+'Lease Cycles'!$BE$25*IF(AT300&lt;INDEX('Lease Cycles'!$FA$25:$FG$25,1,AT299),0,1-INDEX('Lease Cycles'!$EM$25:$ES$25,1,AT299)),IF(OR(INDEX('Lease Cycles'!$DY$25:$EE$25,1,AT299)=1,AT300&gt;0),1,1-INDEX('Lease Cycles'!$DD$25:$DJ$25,1,AT299))*('Lease Cycles'!$AJ$25*INDEX('Lease Cycles'!$FO$25:$FU$25,1,AT299)+'Lease Cycles'!$BE$25*(1-INDEX('Lease Cycles'!$FO$25:$FU$25,1,AT299)))),0)</f>
        <v>0</v>
      </c>
      <c r="AU309" s="24">
        <f>IF(AU301=1,'Lease Cycles'!$D$25*IF(INDEX('Lease Cycles'!$EF$25:$EL$25,1,AU299)=1,'Lease Cycles'!$AJ$25*INDEX('Lease Cycles'!$FO$25:$FU$25,1,AU299)*INDEX('Lease Cycles'!$EM$25:$ES$25,1,AU299)+'Lease Cycles'!$BE$25*IF(AU300&lt;INDEX('Lease Cycles'!$FA$25:$FG$25,1,AU299),0,1-INDEX('Lease Cycles'!$EM$25:$ES$25,1,AU299)),IF(OR(INDEX('Lease Cycles'!$DY$25:$EE$25,1,AU299)=1,AU300&gt;0),1,1-INDEX('Lease Cycles'!$DD$25:$DJ$25,1,AU299))*('Lease Cycles'!$AJ$25*INDEX('Lease Cycles'!$FO$25:$FU$25,1,AU299)+'Lease Cycles'!$BE$25*(1-INDEX('Lease Cycles'!$FO$25:$FU$25,1,AU299)))),0)</f>
        <v>0</v>
      </c>
      <c r="AV309" s="24">
        <f>IF(AV301=1,'Lease Cycles'!$D$25*IF(INDEX('Lease Cycles'!$EF$25:$EL$25,1,AV299)=1,'Lease Cycles'!$AJ$25*INDEX('Lease Cycles'!$FO$25:$FU$25,1,AV299)*INDEX('Lease Cycles'!$EM$25:$ES$25,1,AV299)+'Lease Cycles'!$BE$25*IF(AV300&lt;INDEX('Lease Cycles'!$FA$25:$FG$25,1,AV299),0,1-INDEX('Lease Cycles'!$EM$25:$ES$25,1,AV299)),IF(OR(INDEX('Lease Cycles'!$DY$25:$EE$25,1,AV299)=1,AV300&gt;0),1,1-INDEX('Lease Cycles'!$DD$25:$DJ$25,1,AV299))*('Lease Cycles'!$AJ$25*INDEX('Lease Cycles'!$FO$25:$FU$25,1,AV299)+'Lease Cycles'!$BE$25*(1-INDEX('Lease Cycles'!$FO$25:$FU$25,1,AV299)))),0)</f>
        <v>0</v>
      </c>
      <c r="AW309" s="24">
        <f>IF(AW301=1,'Lease Cycles'!$D$25*IF(INDEX('Lease Cycles'!$EF$25:$EL$25,1,AW299)=1,'Lease Cycles'!$AJ$25*INDEX('Lease Cycles'!$FO$25:$FU$25,1,AW299)*INDEX('Lease Cycles'!$EM$25:$ES$25,1,AW299)+'Lease Cycles'!$BE$25*IF(AW300&lt;INDEX('Lease Cycles'!$FA$25:$FG$25,1,AW299),0,1-INDEX('Lease Cycles'!$EM$25:$ES$25,1,AW299)),IF(OR(INDEX('Lease Cycles'!$DY$25:$EE$25,1,AW299)=1,AW300&gt;0),1,1-INDEX('Lease Cycles'!$DD$25:$DJ$25,1,AW299))*('Lease Cycles'!$AJ$25*INDEX('Lease Cycles'!$FO$25:$FU$25,1,AW299)+'Lease Cycles'!$BE$25*(1-INDEX('Lease Cycles'!$FO$25:$FU$25,1,AW299)))),0)</f>
        <v>0</v>
      </c>
      <c r="AX309" s="24">
        <f>IF(AX301=1,'Lease Cycles'!$D$25*IF(INDEX('Lease Cycles'!$EF$25:$EL$25,1,AX299)=1,'Lease Cycles'!$AJ$25*INDEX('Lease Cycles'!$FO$25:$FU$25,1,AX299)*INDEX('Lease Cycles'!$EM$25:$ES$25,1,AX299)+'Lease Cycles'!$BE$25*IF(AX300&lt;INDEX('Lease Cycles'!$FA$25:$FG$25,1,AX299),0,1-INDEX('Lease Cycles'!$EM$25:$ES$25,1,AX299)),IF(OR(INDEX('Lease Cycles'!$DY$25:$EE$25,1,AX299)=1,AX300&gt;0),1,1-INDEX('Lease Cycles'!$DD$25:$DJ$25,1,AX299))*('Lease Cycles'!$AJ$25*INDEX('Lease Cycles'!$FO$25:$FU$25,1,AX299)+'Lease Cycles'!$BE$25*(1-INDEX('Lease Cycles'!$FO$25:$FU$25,1,AX299)))),0)</f>
        <v>0</v>
      </c>
      <c r="AY309" s="24">
        <f>IF(AY301=1,'Lease Cycles'!$D$25*IF(INDEX('Lease Cycles'!$EF$25:$EL$25,1,AY299)=1,'Lease Cycles'!$AJ$25*INDEX('Lease Cycles'!$FO$25:$FU$25,1,AY299)*INDEX('Lease Cycles'!$EM$25:$ES$25,1,AY299)+'Lease Cycles'!$BE$25*IF(AY300&lt;INDEX('Lease Cycles'!$FA$25:$FG$25,1,AY299),0,1-INDEX('Lease Cycles'!$EM$25:$ES$25,1,AY299)),IF(OR(INDEX('Lease Cycles'!$DY$25:$EE$25,1,AY299)=1,AY300&gt;0),1,1-INDEX('Lease Cycles'!$DD$25:$DJ$25,1,AY299))*('Lease Cycles'!$AJ$25*INDEX('Lease Cycles'!$FO$25:$FU$25,1,AY299)+'Lease Cycles'!$BE$25*(1-INDEX('Lease Cycles'!$FO$25:$FU$25,1,AY299)))),0)</f>
        <v>0</v>
      </c>
      <c r="AZ309" s="24">
        <f>IF(AZ301=1,'Lease Cycles'!$D$25*IF(INDEX('Lease Cycles'!$EF$25:$EL$25,1,AZ299)=1,'Lease Cycles'!$AJ$25*INDEX('Lease Cycles'!$FO$25:$FU$25,1,AZ299)*INDEX('Lease Cycles'!$EM$25:$ES$25,1,AZ299)+'Lease Cycles'!$BE$25*IF(AZ300&lt;INDEX('Lease Cycles'!$FA$25:$FG$25,1,AZ299),0,1-INDEX('Lease Cycles'!$EM$25:$ES$25,1,AZ299)),IF(OR(INDEX('Lease Cycles'!$DY$25:$EE$25,1,AZ299)=1,AZ300&gt;0),1,1-INDEX('Lease Cycles'!$DD$25:$DJ$25,1,AZ299))*('Lease Cycles'!$AJ$25*INDEX('Lease Cycles'!$FO$25:$FU$25,1,AZ299)+'Lease Cycles'!$BE$25*(1-INDEX('Lease Cycles'!$FO$25:$FU$25,1,AZ299)))),0)</f>
        <v>0</v>
      </c>
      <c r="BA309" s="24">
        <f>IF(BA301=1,'Lease Cycles'!$D$25*IF(INDEX('Lease Cycles'!$EF$25:$EL$25,1,BA299)=1,'Lease Cycles'!$AJ$25*INDEX('Lease Cycles'!$FO$25:$FU$25,1,BA299)*INDEX('Lease Cycles'!$EM$25:$ES$25,1,BA299)+'Lease Cycles'!$BE$25*IF(BA300&lt;INDEX('Lease Cycles'!$FA$25:$FG$25,1,BA299),0,1-INDEX('Lease Cycles'!$EM$25:$ES$25,1,BA299)),IF(OR(INDEX('Lease Cycles'!$DY$25:$EE$25,1,BA299)=1,BA300&gt;0),1,1-INDEX('Lease Cycles'!$DD$25:$DJ$25,1,BA299))*('Lease Cycles'!$AJ$25*INDEX('Lease Cycles'!$FO$25:$FU$25,1,BA299)+'Lease Cycles'!$BE$25*(1-INDEX('Lease Cycles'!$FO$25:$FU$25,1,BA299)))),0)</f>
        <v>0</v>
      </c>
      <c r="BB309" s="24">
        <f>IF(BB301=1,'Lease Cycles'!$D$25*IF(INDEX('Lease Cycles'!$EF$25:$EL$25,1,BB299)=1,'Lease Cycles'!$AJ$25*INDEX('Lease Cycles'!$FO$25:$FU$25,1,BB299)*INDEX('Lease Cycles'!$EM$25:$ES$25,1,BB299)+'Lease Cycles'!$BE$25*IF(BB300&lt;INDEX('Lease Cycles'!$FA$25:$FG$25,1,BB299),0,1-INDEX('Lease Cycles'!$EM$25:$ES$25,1,BB299)),IF(OR(INDEX('Lease Cycles'!$DY$25:$EE$25,1,BB299)=1,BB300&gt;0),1,1-INDEX('Lease Cycles'!$DD$25:$DJ$25,1,BB299))*('Lease Cycles'!$AJ$25*INDEX('Lease Cycles'!$FO$25:$FU$25,1,BB299)+'Lease Cycles'!$BE$25*(1-INDEX('Lease Cycles'!$FO$25:$FU$25,1,BB299)))),0)</f>
        <v>0</v>
      </c>
      <c r="BC309" s="24">
        <f>IF(BC301=1,'Lease Cycles'!$D$25*IF(INDEX('Lease Cycles'!$EF$25:$EL$25,1,BC299)=1,'Lease Cycles'!$AJ$25*INDEX('Lease Cycles'!$FO$25:$FU$25,1,BC299)*INDEX('Lease Cycles'!$EM$25:$ES$25,1,BC299)+'Lease Cycles'!$BE$25*IF(BC300&lt;INDEX('Lease Cycles'!$FA$25:$FG$25,1,BC299),0,1-INDEX('Lease Cycles'!$EM$25:$ES$25,1,BC299)),IF(OR(INDEX('Lease Cycles'!$DY$25:$EE$25,1,BC299)=1,BC300&gt;0),1,1-INDEX('Lease Cycles'!$DD$25:$DJ$25,1,BC299))*('Lease Cycles'!$AJ$25*INDEX('Lease Cycles'!$FO$25:$FU$25,1,BC299)+'Lease Cycles'!$BE$25*(1-INDEX('Lease Cycles'!$FO$25:$FU$25,1,BC299)))),0)</f>
        <v>0</v>
      </c>
      <c r="BD309" s="24">
        <f>IF(BD301=1,'Lease Cycles'!$D$25*IF(INDEX('Lease Cycles'!$EF$25:$EL$25,1,BD299)=1,'Lease Cycles'!$AJ$25*INDEX('Lease Cycles'!$FO$25:$FU$25,1,BD299)*INDEX('Lease Cycles'!$EM$25:$ES$25,1,BD299)+'Lease Cycles'!$BE$25*IF(BD300&lt;INDEX('Lease Cycles'!$FA$25:$FG$25,1,BD299),0,1-INDEX('Lease Cycles'!$EM$25:$ES$25,1,BD299)),IF(OR(INDEX('Lease Cycles'!$DY$25:$EE$25,1,BD299)=1,BD300&gt;0),1,1-INDEX('Lease Cycles'!$DD$25:$DJ$25,1,BD299))*('Lease Cycles'!$AJ$25*INDEX('Lease Cycles'!$FO$25:$FU$25,1,BD299)+'Lease Cycles'!$BE$25*(1-INDEX('Lease Cycles'!$FO$25:$FU$25,1,BD299)))),0)</f>
        <v>0</v>
      </c>
      <c r="BE309" s="24">
        <f>IF(BE301=1,'Lease Cycles'!$D$25*IF(INDEX('Lease Cycles'!$EF$25:$EL$25,1,BE299)=1,'Lease Cycles'!$AJ$25*INDEX('Lease Cycles'!$FO$25:$FU$25,1,BE299)*INDEX('Lease Cycles'!$EM$25:$ES$25,1,BE299)+'Lease Cycles'!$BE$25*IF(BE300&lt;INDEX('Lease Cycles'!$FA$25:$FG$25,1,BE299),0,1-INDEX('Lease Cycles'!$EM$25:$ES$25,1,BE299)),IF(OR(INDEX('Lease Cycles'!$DY$25:$EE$25,1,BE299)=1,BE300&gt;0),1,1-INDEX('Lease Cycles'!$DD$25:$DJ$25,1,BE299))*('Lease Cycles'!$AJ$25*INDEX('Lease Cycles'!$FO$25:$FU$25,1,BE299)+'Lease Cycles'!$BE$25*(1-INDEX('Lease Cycles'!$FO$25:$FU$25,1,BE299)))),0)</f>
        <v>0</v>
      </c>
      <c r="BF309" s="24">
        <f>IF(BF301=1,'Lease Cycles'!$D$25*IF(INDEX('Lease Cycles'!$EF$25:$EL$25,1,BF299)=1,'Lease Cycles'!$AJ$25*INDEX('Lease Cycles'!$FO$25:$FU$25,1,BF299)*INDEX('Lease Cycles'!$EM$25:$ES$25,1,BF299)+'Lease Cycles'!$BE$25*IF(BF300&lt;INDEX('Lease Cycles'!$FA$25:$FG$25,1,BF299),0,1-INDEX('Lease Cycles'!$EM$25:$ES$25,1,BF299)),IF(OR(INDEX('Lease Cycles'!$DY$25:$EE$25,1,BF299)=1,BF300&gt;0),1,1-INDEX('Lease Cycles'!$DD$25:$DJ$25,1,BF299))*('Lease Cycles'!$AJ$25*INDEX('Lease Cycles'!$FO$25:$FU$25,1,BF299)+'Lease Cycles'!$BE$25*(1-INDEX('Lease Cycles'!$FO$25:$FU$25,1,BF299)))),0)</f>
        <v>0</v>
      </c>
      <c r="BG309" s="24">
        <f>IF(BG301=1,'Lease Cycles'!$D$25*IF(INDEX('Lease Cycles'!$EF$25:$EL$25,1,BG299)=1,'Lease Cycles'!$AJ$25*INDEX('Lease Cycles'!$FO$25:$FU$25,1,BG299)*INDEX('Lease Cycles'!$EM$25:$ES$25,1,BG299)+'Lease Cycles'!$BE$25*IF(BG300&lt;INDEX('Lease Cycles'!$FA$25:$FG$25,1,BG299),0,1-INDEX('Lease Cycles'!$EM$25:$ES$25,1,BG299)),IF(OR(INDEX('Lease Cycles'!$DY$25:$EE$25,1,BG299)=1,BG300&gt;0),1,1-INDEX('Lease Cycles'!$DD$25:$DJ$25,1,BG299))*('Lease Cycles'!$AJ$25*INDEX('Lease Cycles'!$FO$25:$FU$25,1,BG299)+'Lease Cycles'!$BE$25*(1-INDEX('Lease Cycles'!$FO$25:$FU$25,1,BG299)))),0)</f>
        <v>0</v>
      </c>
      <c r="BH309" s="24">
        <f>IF(BH301=1,'Lease Cycles'!$D$25*IF(INDEX('Lease Cycles'!$EF$25:$EL$25,1,BH299)=1,'Lease Cycles'!$AJ$25*INDEX('Lease Cycles'!$FO$25:$FU$25,1,BH299)*INDEX('Lease Cycles'!$EM$25:$ES$25,1,BH299)+'Lease Cycles'!$BE$25*IF(BH300&lt;INDEX('Lease Cycles'!$FA$25:$FG$25,1,BH299),0,1-INDEX('Lease Cycles'!$EM$25:$ES$25,1,BH299)),IF(OR(INDEX('Lease Cycles'!$DY$25:$EE$25,1,BH299)=1,BH300&gt;0),1,1-INDEX('Lease Cycles'!$DD$25:$DJ$25,1,BH299))*('Lease Cycles'!$AJ$25*INDEX('Lease Cycles'!$FO$25:$FU$25,1,BH299)+'Lease Cycles'!$BE$25*(1-INDEX('Lease Cycles'!$FO$25:$FU$25,1,BH299)))),0)</f>
        <v>0</v>
      </c>
      <c r="BI309" s="24">
        <f>IF(BI301=1,'Lease Cycles'!$D$25*IF(INDEX('Lease Cycles'!$EF$25:$EL$25,1,BI299)=1,'Lease Cycles'!$AJ$25*INDEX('Lease Cycles'!$FO$25:$FU$25,1,BI299)*INDEX('Lease Cycles'!$EM$25:$ES$25,1,BI299)+'Lease Cycles'!$BE$25*IF(BI300&lt;INDEX('Lease Cycles'!$FA$25:$FG$25,1,BI299),0,1-INDEX('Lease Cycles'!$EM$25:$ES$25,1,BI299)),IF(OR(INDEX('Lease Cycles'!$DY$25:$EE$25,1,BI299)=1,BI300&gt;0),1,1-INDEX('Lease Cycles'!$DD$25:$DJ$25,1,BI299))*('Lease Cycles'!$AJ$25*INDEX('Lease Cycles'!$FO$25:$FU$25,1,BI299)+'Lease Cycles'!$BE$25*(1-INDEX('Lease Cycles'!$FO$25:$FU$25,1,BI299)))),0)</f>
        <v>0</v>
      </c>
      <c r="BJ309" s="24">
        <f>IF(BJ301=1,'Lease Cycles'!$D$25*IF(INDEX('Lease Cycles'!$EF$25:$EL$25,1,BJ299)=1,'Lease Cycles'!$AJ$25*INDEX('Lease Cycles'!$FO$25:$FU$25,1,BJ299)*INDEX('Lease Cycles'!$EM$25:$ES$25,1,BJ299)+'Lease Cycles'!$BE$25*IF(BJ300&lt;INDEX('Lease Cycles'!$FA$25:$FG$25,1,BJ299),0,1-INDEX('Lease Cycles'!$EM$25:$ES$25,1,BJ299)),IF(OR(INDEX('Lease Cycles'!$DY$25:$EE$25,1,BJ299)=1,BJ300&gt;0),1,1-INDEX('Lease Cycles'!$DD$25:$DJ$25,1,BJ299))*('Lease Cycles'!$AJ$25*INDEX('Lease Cycles'!$FO$25:$FU$25,1,BJ299)+'Lease Cycles'!$BE$25*(1-INDEX('Lease Cycles'!$FO$25:$FU$25,1,BJ299)))),0)</f>
        <v>0</v>
      </c>
      <c r="BK309" s="24">
        <f>IF(BK301=1,'Lease Cycles'!$D$25*IF(INDEX('Lease Cycles'!$EF$25:$EL$25,1,BK299)=1,'Lease Cycles'!$AJ$25*INDEX('Lease Cycles'!$FO$25:$FU$25,1,BK299)*INDEX('Lease Cycles'!$EM$25:$ES$25,1,BK299)+'Lease Cycles'!$BE$25*IF(BK300&lt;INDEX('Lease Cycles'!$FA$25:$FG$25,1,BK299),0,1-INDEX('Lease Cycles'!$EM$25:$ES$25,1,BK299)),IF(OR(INDEX('Lease Cycles'!$DY$25:$EE$25,1,BK299)=1,BK300&gt;0),1,1-INDEX('Lease Cycles'!$DD$25:$DJ$25,1,BK299))*('Lease Cycles'!$AJ$25*INDEX('Lease Cycles'!$FO$25:$FU$25,1,BK299)+'Lease Cycles'!$BE$25*(1-INDEX('Lease Cycles'!$FO$25:$FU$25,1,BK299)))),0)</f>
        <v>0</v>
      </c>
      <c r="BL309" s="24">
        <f>IF(BL301=1,'Lease Cycles'!$D$25*IF(INDEX('Lease Cycles'!$EF$25:$EL$25,1,BL299)=1,'Lease Cycles'!$AJ$25*INDEX('Lease Cycles'!$FO$25:$FU$25,1,BL299)*INDEX('Lease Cycles'!$EM$25:$ES$25,1,BL299)+'Lease Cycles'!$BE$25*IF(BL300&lt;INDEX('Lease Cycles'!$FA$25:$FG$25,1,BL299),0,1-INDEX('Lease Cycles'!$EM$25:$ES$25,1,BL299)),IF(OR(INDEX('Lease Cycles'!$DY$25:$EE$25,1,BL299)=1,BL300&gt;0),1,1-INDEX('Lease Cycles'!$DD$25:$DJ$25,1,BL299))*('Lease Cycles'!$AJ$25*INDEX('Lease Cycles'!$FO$25:$FU$25,1,BL299)+'Lease Cycles'!$BE$25*(1-INDEX('Lease Cycles'!$FO$25:$FU$25,1,BL299)))),0)</f>
        <v>0</v>
      </c>
      <c r="BM309" s="24">
        <f>IF(BM301=1,'Lease Cycles'!$D$25*IF(INDEX('Lease Cycles'!$EF$25:$EL$25,1,BM299)=1,'Lease Cycles'!$AJ$25*INDEX('Lease Cycles'!$FO$25:$FU$25,1,BM299)*INDEX('Lease Cycles'!$EM$25:$ES$25,1,BM299)+'Lease Cycles'!$BE$25*IF(BM300&lt;INDEX('Lease Cycles'!$FA$25:$FG$25,1,BM299),0,1-INDEX('Lease Cycles'!$EM$25:$ES$25,1,BM299)),IF(OR(INDEX('Lease Cycles'!$DY$25:$EE$25,1,BM299)=1,BM300&gt;0),1,1-INDEX('Lease Cycles'!$DD$25:$DJ$25,1,BM299))*('Lease Cycles'!$AJ$25*INDEX('Lease Cycles'!$FO$25:$FU$25,1,BM299)+'Lease Cycles'!$BE$25*(1-INDEX('Lease Cycles'!$FO$25:$FU$25,1,BM299)))),0)</f>
        <v>0</v>
      </c>
      <c r="BN309" s="24">
        <f>IF(BN301=1,'Lease Cycles'!$D$25*IF(INDEX('Lease Cycles'!$EF$25:$EL$25,1,BN299)=1,'Lease Cycles'!$AJ$25*INDEX('Lease Cycles'!$FO$25:$FU$25,1,BN299)*INDEX('Lease Cycles'!$EM$25:$ES$25,1,BN299)+'Lease Cycles'!$BE$25*IF(BN300&lt;INDEX('Lease Cycles'!$FA$25:$FG$25,1,BN299),0,1-INDEX('Lease Cycles'!$EM$25:$ES$25,1,BN299)),IF(OR(INDEX('Lease Cycles'!$DY$25:$EE$25,1,BN299)=1,BN300&gt;0),1,1-INDEX('Lease Cycles'!$DD$25:$DJ$25,1,BN299))*('Lease Cycles'!$AJ$25*INDEX('Lease Cycles'!$FO$25:$FU$25,1,BN299)+'Lease Cycles'!$BE$25*(1-INDEX('Lease Cycles'!$FO$25:$FU$25,1,BN299)))),0)</f>
        <v>0</v>
      </c>
      <c r="BO309" s="24">
        <f>IF(BO301=1,'Lease Cycles'!$D$25*IF(INDEX('Lease Cycles'!$EF$25:$EL$25,1,BO299)=1,'Lease Cycles'!$AJ$25*INDEX('Lease Cycles'!$FO$25:$FU$25,1,BO299)*INDEX('Lease Cycles'!$EM$25:$ES$25,1,BO299)+'Lease Cycles'!$BE$25*IF(BO300&lt;INDEX('Lease Cycles'!$FA$25:$FG$25,1,BO299),0,1-INDEX('Lease Cycles'!$EM$25:$ES$25,1,BO299)),IF(OR(INDEX('Lease Cycles'!$DY$25:$EE$25,1,BO299)=1,BO300&gt;0),1,1-INDEX('Lease Cycles'!$DD$25:$DJ$25,1,BO299))*('Lease Cycles'!$AJ$25*INDEX('Lease Cycles'!$FO$25:$FU$25,1,BO299)+'Lease Cycles'!$BE$25*(1-INDEX('Lease Cycles'!$FO$25:$FU$25,1,BO299)))),0)</f>
        <v>0</v>
      </c>
      <c r="BP309" s="24">
        <f>IF(BP301=1,'Lease Cycles'!$D$25*IF(INDEX('Lease Cycles'!$EF$25:$EL$25,1,BP299)=1,'Lease Cycles'!$AJ$25*INDEX('Lease Cycles'!$FO$25:$FU$25,1,BP299)*INDEX('Lease Cycles'!$EM$25:$ES$25,1,BP299)+'Lease Cycles'!$BE$25*IF(BP300&lt;INDEX('Lease Cycles'!$FA$25:$FG$25,1,BP299),0,1-INDEX('Lease Cycles'!$EM$25:$ES$25,1,BP299)),IF(OR(INDEX('Lease Cycles'!$DY$25:$EE$25,1,BP299)=1,BP300&gt;0),1,1-INDEX('Lease Cycles'!$DD$25:$DJ$25,1,BP299))*('Lease Cycles'!$AJ$25*INDEX('Lease Cycles'!$FO$25:$FU$25,1,BP299)+'Lease Cycles'!$BE$25*(1-INDEX('Lease Cycles'!$FO$25:$FU$25,1,BP299)))),0)</f>
        <v>0</v>
      </c>
      <c r="BQ309" s="24">
        <f>IF(BQ301=1,'Lease Cycles'!$D$25*IF(INDEX('Lease Cycles'!$EF$25:$EL$25,1,BQ299)=1,'Lease Cycles'!$AJ$25*INDEX('Lease Cycles'!$FO$25:$FU$25,1,BQ299)*INDEX('Lease Cycles'!$EM$25:$ES$25,1,BQ299)+'Lease Cycles'!$BE$25*IF(BQ300&lt;INDEX('Lease Cycles'!$FA$25:$FG$25,1,BQ299),0,1-INDEX('Lease Cycles'!$EM$25:$ES$25,1,BQ299)),IF(OR(INDEX('Lease Cycles'!$DY$25:$EE$25,1,BQ299)=1,BQ300&gt;0),1,1-INDEX('Lease Cycles'!$DD$25:$DJ$25,1,BQ299))*('Lease Cycles'!$AJ$25*INDEX('Lease Cycles'!$FO$25:$FU$25,1,BQ299)+'Lease Cycles'!$BE$25*(1-INDEX('Lease Cycles'!$FO$25:$FU$25,1,BQ299)))),0)</f>
        <v>0</v>
      </c>
      <c r="BR309" s="24">
        <f>IF(BR301=1,'Lease Cycles'!$D$25*IF(INDEX('Lease Cycles'!$EF$25:$EL$25,1,BR299)=1,'Lease Cycles'!$AJ$25*INDEX('Lease Cycles'!$FO$25:$FU$25,1,BR299)*INDEX('Lease Cycles'!$EM$25:$ES$25,1,BR299)+'Lease Cycles'!$BE$25*IF(BR300&lt;INDEX('Lease Cycles'!$FA$25:$FG$25,1,BR299),0,1-INDEX('Lease Cycles'!$EM$25:$ES$25,1,BR299)),IF(OR(INDEX('Lease Cycles'!$DY$25:$EE$25,1,BR299)=1,BR300&gt;0),1,1-INDEX('Lease Cycles'!$DD$25:$DJ$25,1,BR299))*('Lease Cycles'!$AJ$25*INDEX('Lease Cycles'!$FO$25:$FU$25,1,BR299)+'Lease Cycles'!$BE$25*(1-INDEX('Lease Cycles'!$FO$25:$FU$25,1,BR299)))),0)</f>
        <v>0</v>
      </c>
      <c r="BS309" s="24">
        <f>IF(BS301=1,'Lease Cycles'!$D$25*IF(INDEX('Lease Cycles'!$EF$25:$EL$25,1,BS299)=1,'Lease Cycles'!$AJ$25*INDEX('Lease Cycles'!$FO$25:$FU$25,1,BS299)*INDEX('Lease Cycles'!$EM$25:$ES$25,1,BS299)+'Lease Cycles'!$BE$25*IF(BS300&lt;INDEX('Lease Cycles'!$FA$25:$FG$25,1,BS299),0,1-INDEX('Lease Cycles'!$EM$25:$ES$25,1,BS299)),IF(OR(INDEX('Lease Cycles'!$DY$25:$EE$25,1,BS299)=1,BS300&gt;0),1,1-INDEX('Lease Cycles'!$DD$25:$DJ$25,1,BS299))*('Lease Cycles'!$AJ$25*INDEX('Lease Cycles'!$FO$25:$FU$25,1,BS299)+'Lease Cycles'!$BE$25*(1-INDEX('Lease Cycles'!$FO$25:$FU$25,1,BS299)))),0)</f>
        <v>0</v>
      </c>
      <c r="BT309" s="24">
        <f>IF(BT301=1,'Lease Cycles'!$D$25*IF(INDEX('Lease Cycles'!$EF$25:$EL$25,1,BT299)=1,'Lease Cycles'!$AJ$25*INDEX('Lease Cycles'!$FO$25:$FU$25,1,BT299)*INDEX('Lease Cycles'!$EM$25:$ES$25,1,BT299)+'Lease Cycles'!$BE$25*IF(BT300&lt;INDEX('Lease Cycles'!$FA$25:$FG$25,1,BT299),0,1-INDEX('Lease Cycles'!$EM$25:$ES$25,1,BT299)),IF(OR(INDEX('Lease Cycles'!$DY$25:$EE$25,1,BT299)=1,BT300&gt;0),1,1-INDEX('Lease Cycles'!$DD$25:$DJ$25,1,BT299))*('Lease Cycles'!$AJ$25*INDEX('Lease Cycles'!$FO$25:$FU$25,1,BT299)+'Lease Cycles'!$BE$25*(1-INDEX('Lease Cycles'!$FO$25:$FU$25,1,BT299)))),0)</f>
        <v>0</v>
      </c>
      <c r="BU309" s="24">
        <f>IF(BU301=1,'Lease Cycles'!$D$25*IF(INDEX('Lease Cycles'!$EF$25:$EL$25,1,BU299)=1,'Lease Cycles'!$AJ$25*INDEX('Lease Cycles'!$FO$25:$FU$25,1,BU299)*INDEX('Lease Cycles'!$EM$25:$ES$25,1,BU299)+'Lease Cycles'!$BE$25*IF(BU300&lt;INDEX('Lease Cycles'!$FA$25:$FG$25,1,BU299),0,1-INDEX('Lease Cycles'!$EM$25:$ES$25,1,BU299)),IF(OR(INDEX('Lease Cycles'!$DY$25:$EE$25,1,BU299)=1,BU300&gt;0),1,1-INDEX('Lease Cycles'!$DD$25:$DJ$25,1,BU299))*('Lease Cycles'!$AJ$25*INDEX('Lease Cycles'!$FO$25:$FU$25,1,BU299)+'Lease Cycles'!$BE$25*(1-INDEX('Lease Cycles'!$FO$25:$FU$25,1,BU299)))),0)</f>
        <v>0</v>
      </c>
      <c r="BV309" s="24">
        <f>IF(BV301=1,'Lease Cycles'!$D$25*IF(INDEX('Lease Cycles'!$EF$25:$EL$25,1,BV299)=1,'Lease Cycles'!$AJ$25*INDEX('Lease Cycles'!$FO$25:$FU$25,1,BV299)*INDEX('Lease Cycles'!$EM$25:$ES$25,1,BV299)+'Lease Cycles'!$BE$25*IF(BV300&lt;INDEX('Lease Cycles'!$FA$25:$FG$25,1,BV299),0,1-INDEX('Lease Cycles'!$EM$25:$ES$25,1,BV299)),IF(OR(INDEX('Lease Cycles'!$DY$25:$EE$25,1,BV299)=1,BV300&gt;0),1,1-INDEX('Lease Cycles'!$DD$25:$DJ$25,1,BV299))*('Lease Cycles'!$AJ$25*INDEX('Lease Cycles'!$FO$25:$FU$25,1,BV299)+'Lease Cycles'!$BE$25*(1-INDEX('Lease Cycles'!$FO$25:$FU$25,1,BV299)))),0)</f>
        <v>0</v>
      </c>
      <c r="BW309" s="24">
        <f>IF(BW301=1,'Lease Cycles'!$D$25*IF(INDEX('Lease Cycles'!$EF$25:$EL$25,1,BW299)=1,'Lease Cycles'!$AJ$25*INDEX('Lease Cycles'!$FO$25:$FU$25,1,BW299)*INDEX('Lease Cycles'!$EM$25:$ES$25,1,BW299)+'Lease Cycles'!$BE$25*IF(BW300&lt;INDEX('Lease Cycles'!$FA$25:$FG$25,1,BW299),0,1-INDEX('Lease Cycles'!$EM$25:$ES$25,1,BW299)),IF(OR(INDEX('Lease Cycles'!$DY$25:$EE$25,1,BW299)=1,BW300&gt;0),1,1-INDEX('Lease Cycles'!$DD$25:$DJ$25,1,BW299))*('Lease Cycles'!$AJ$25*INDEX('Lease Cycles'!$FO$25:$FU$25,1,BW299)+'Lease Cycles'!$BE$25*(1-INDEX('Lease Cycles'!$FO$25:$FU$25,1,BW299)))),0)</f>
        <v>0</v>
      </c>
      <c r="BX309" s="24">
        <f>IF(BX301=1,'Lease Cycles'!$D$25*IF(INDEX('Lease Cycles'!$EF$25:$EL$25,1,BX299)=1,'Lease Cycles'!$AJ$25*INDEX('Lease Cycles'!$FO$25:$FU$25,1,BX299)*INDEX('Lease Cycles'!$EM$25:$ES$25,1,BX299)+'Lease Cycles'!$BE$25*IF(BX300&lt;INDEX('Lease Cycles'!$FA$25:$FG$25,1,BX299),0,1-INDEX('Lease Cycles'!$EM$25:$ES$25,1,BX299)),IF(OR(INDEX('Lease Cycles'!$DY$25:$EE$25,1,BX299)=1,BX300&gt;0),1,1-INDEX('Lease Cycles'!$DD$25:$DJ$25,1,BX299))*('Lease Cycles'!$AJ$25*INDEX('Lease Cycles'!$FO$25:$FU$25,1,BX299)+'Lease Cycles'!$BE$25*(1-INDEX('Lease Cycles'!$FO$25:$FU$25,1,BX299)))),0)</f>
        <v>0</v>
      </c>
      <c r="BY309" s="24">
        <f>IF(BY301=1,'Lease Cycles'!$D$25*IF(INDEX('Lease Cycles'!$EF$25:$EL$25,1,BY299)=1,'Lease Cycles'!$AJ$25*INDEX('Lease Cycles'!$FO$25:$FU$25,1,BY299)*INDEX('Lease Cycles'!$EM$25:$ES$25,1,BY299)+'Lease Cycles'!$BE$25*IF(BY300&lt;INDEX('Lease Cycles'!$FA$25:$FG$25,1,BY299),0,1-INDEX('Lease Cycles'!$EM$25:$ES$25,1,BY299)),IF(OR(INDEX('Lease Cycles'!$DY$25:$EE$25,1,BY299)=1,BY300&gt;0),1,1-INDEX('Lease Cycles'!$DD$25:$DJ$25,1,BY299))*('Lease Cycles'!$AJ$25*INDEX('Lease Cycles'!$FO$25:$FU$25,1,BY299)+'Lease Cycles'!$BE$25*(1-INDEX('Lease Cycles'!$FO$25:$FU$25,1,BY299)))),0)</f>
        <v>0</v>
      </c>
      <c r="BZ309" s="24">
        <f>IF(BZ301=1,'Lease Cycles'!$D$25*IF(INDEX('Lease Cycles'!$EF$25:$EL$25,1,BZ299)=1,'Lease Cycles'!$AJ$25*INDEX('Lease Cycles'!$FO$25:$FU$25,1,BZ299)*INDEX('Lease Cycles'!$EM$25:$ES$25,1,BZ299)+'Lease Cycles'!$BE$25*IF(BZ300&lt;INDEX('Lease Cycles'!$FA$25:$FG$25,1,BZ299),0,1-INDEX('Lease Cycles'!$EM$25:$ES$25,1,BZ299)),IF(OR(INDEX('Lease Cycles'!$DY$25:$EE$25,1,BZ299)=1,BZ300&gt;0),1,1-INDEX('Lease Cycles'!$DD$25:$DJ$25,1,BZ299))*('Lease Cycles'!$AJ$25*INDEX('Lease Cycles'!$FO$25:$FU$25,1,BZ299)+'Lease Cycles'!$BE$25*(1-INDEX('Lease Cycles'!$FO$25:$FU$25,1,BZ299)))),0)</f>
        <v>0</v>
      </c>
      <c r="CA309" s="24">
        <f>IF(CA301=1,'Lease Cycles'!$D$25*IF(INDEX('Lease Cycles'!$EF$25:$EL$25,1,CA299)=1,'Lease Cycles'!$AJ$25*INDEX('Lease Cycles'!$FO$25:$FU$25,1,CA299)*INDEX('Lease Cycles'!$EM$25:$ES$25,1,CA299)+'Lease Cycles'!$BE$25*IF(CA300&lt;INDEX('Lease Cycles'!$FA$25:$FG$25,1,CA299),0,1-INDEX('Lease Cycles'!$EM$25:$ES$25,1,CA299)),IF(OR(INDEX('Lease Cycles'!$DY$25:$EE$25,1,CA299)=1,CA300&gt;0),1,1-INDEX('Lease Cycles'!$DD$25:$DJ$25,1,CA299))*('Lease Cycles'!$AJ$25*INDEX('Lease Cycles'!$FO$25:$FU$25,1,CA299)+'Lease Cycles'!$BE$25*(1-INDEX('Lease Cycles'!$FO$25:$FU$25,1,CA299)))),0)</f>
        <v>0</v>
      </c>
      <c r="CB309" s="24">
        <f>IF(CB301=1,'Lease Cycles'!$D$25*IF(INDEX('Lease Cycles'!$EF$25:$EL$25,1,CB299)=1,'Lease Cycles'!$AJ$25*INDEX('Lease Cycles'!$FO$25:$FU$25,1,CB299)*INDEX('Lease Cycles'!$EM$25:$ES$25,1,CB299)+'Lease Cycles'!$BE$25*IF(CB300&lt;INDEX('Lease Cycles'!$FA$25:$FG$25,1,CB299),0,1-INDEX('Lease Cycles'!$EM$25:$ES$25,1,CB299)),IF(OR(INDEX('Lease Cycles'!$DY$25:$EE$25,1,CB299)=1,CB300&gt;0),1,1-INDEX('Lease Cycles'!$DD$25:$DJ$25,1,CB299))*('Lease Cycles'!$AJ$25*INDEX('Lease Cycles'!$FO$25:$FU$25,1,CB299)+'Lease Cycles'!$BE$25*(1-INDEX('Lease Cycles'!$FO$25:$FU$25,1,CB299)))),0)</f>
        <v>0</v>
      </c>
      <c r="CC309" s="24">
        <f>IF(CC301=1,'Lease Cycles'!$D$25*IF(INDEX('Lease Cycles'!$EF$25:$EL$25,1,CC299)=1,'Lease Cycles'!$AJ$25*INDEX('Lease Cycles'!$FO$25:$FU$25,1,CC299)*INDEX('Lease Cycles'!$EM$25:$ES$25,1,CC299)+'Lease Cycles'!$BE$25*IF(CC300&lt;INDEX('Lease Cycles'!$FA$25:$FG$25,1,CC299),0,1-INDEX('Lease Cycles'!$EM$25:$ES$25,1,CC299)),IF(OR(INDEX('Lease Cycles'!$DY$25:$EE$25,1,CC299)=1,CC300&gt;0),1,1-INDEX('Lease Cycles'!$DD$25:$DJ$25,1,CC299))*('Lease Cycles'!$AJ$25*INDEX('Lease Cycles'!$FO$25:$FU$25,1,CC299)+'Lease Cycles'!$BE$25*(1-INDEX('Lease Cycles'!$FO$25:$FU$25,1,CC299)))),0)</f>
        <v>0</v>
      </c>
      <c r="CD309" s="24">
        <f>IF(CD301=1,'Lease Cycles'!$D$25*IF(INDEX('Lease Cycles'!$EF$25:$EL$25,1,CD299)=1,'Lease Cycles'!$AJ$25*INDEX('Lease Cycles'!$FO$25:$FU$25,1,CD299)*INDEX('Lease Cycles'!$EM$25:$ES$25,1,CD299)+'Lease Cycles'!$BE$25*IF(CD300&lt;INDEX('Lease Cycles'!$FA$25:$FG$25,1,CD299),0,1-INDEX('Lease Cycles'!$EM$25:$ES$25,1,CD299)),IF(OR(INDEX('Lease Cycles'!$DY$25:$EE$25,1,CD299)=1,CD300&gt;0),1,1-INDEX('Lease Cycles'!$DD$25:$DJ$25,1,CD299))*('Lease Cycles'!$AJ$25*INDEX('Lease Cycles'!$FO$25:$FU$25,1,CD299)+'Lease Cycles'!$BE$25*(1-INDEX('Lease Cycles'!$FO$25:$FU$25,1,CD299)))),0)</f>
        <v>0</v>
      </c>
      <c r="CE309" s="24">
        <f>IF(CE301=1,'Lease Cycles'!$D$25*IF(INDEX('Lease Cycles'!$EF$25:$EL$25,1,CE299)=1,'Lease Cycles'!$AJ$25*INDEX('Lease Cycles'!$FO$25:$FU$25,1,CE299)*INDEX('Lease Cycles'!$EM$25:$ES$25,1,CE299)+'Lease Cycles'!$BE$25*IF(CE300&lt;INDEX('Lease Cycles'!$FA$25:$FG$25,1,CE299),0,1-INDEX('Lease Cycles'!$EM$25:$ES$25,1,CE299)),IF(OR(INDEX('Lease Cycles'!$DY$25:$EE$25,1,CE299)=1,CE300&gt;0),1,1-INDEX('Lease Cycles'!$DD$25:$DJ$25,1,CE299))*('Lease Cycles'!$AJ$25*INDEX('Lease Cycles'!$FO$25:$FU$25,1,CE299)+'Lease Cycles'!$BE$25*(1-INDEX('Lease Cycles'!$FO$25:$FU$25,1,CE299)))),0)</f>
        <v>0</v>
      </c>
      <c r="CF309" s="24">
        <f>IF(CF301=1,'Lease Cycles'!$D$25*IF(INDEX('Lease Cycles'!$EF$25:$EL$25,1,CF299)=1,'Lease Cycles'!$AJ$25*INDEX('Lease Cycles'!$FO$25:$FU$25,1,CF299)*INDEX('Lease Cycles'!$EM$25:$ES$25,1,CF299)+'Lease Cycles'!$BE$25*IF(CF300&lt;INDEX('Lease Cycles'!$FA$25:$FG$25,1,CF299),0,1-INDEX('Lease Cycles'!$EM$25:$ES$25,1,CF299)),IF(OR(INDEX('Lease Cycles'!$DY$25:$EE$25,1,CF299)=1,CF300&gt;0),1,1-INDEX('Lease Cycles'!$DD$25:$DJ$25,1,CF299))*('Lease Cycles'!$AJ$25*INDEX('Lease Cycles'!$FO$25:$FU$25,1,CF299)+'Lease Cycles'!$BE$25*(1-INDEX('Lease Cycles'!$FO$25:$FU$25,1,CF299)))),0)</f>
        <v>0</v>
      </c>
      <c r="CG309" s="24">
        <f>IF(CG301=1,'Lease Cycles'!$D$25*IF(INDEX('Lease Cycles'!$EF$25:$EL$25,1,CG299)=1,'Lease Cycles'!$AJ$25*INDEX('Lease Cycles'!$FO$25:$FU$25,1,CG299)*INDEX('Lease Cycles'!$EM$25:$ES$25,1,CG299)+'Lease Cycles'!$BE$25*IF(CG300&lt;INDEX('Lease Cycles'!$FA$25:$FG$25,1,CG299),0,1-INDEX('Lease Cycles'!$EM$25:$ES$25,1,CG299)),IF(OR(INDEX('Lease Cycles'!$DY$25:$EE$25,1,CG299)=1,CG300&gt;0),1,1-INDEX('Lease Cycles'!$DD$25:$DJ$25,1,CG299))*('Lease Cycles'!$AJ$25*INDEX('Lease Cycles'!$FO$25:$FU$25,1,CG299)+'Lease Cycles'!$BE$25*(1-INDEX('Lease Cycles'!$FO$25:$FU$25,1,CG299)))),0)</f>
        <v>0</v>
      </c>
      <c r="CH309" s="24">
        <f>IF(CH301=1,'Lease Cycles'!$D$25*IF(INDEX('Lease Cycles'!$EF$25:$EL$25,1,CH299)=1,'Lease Cycles'!$AJ$25*INDEX('Lease Cycles'!$FO$25:$FU$25,1,CH299)*INDEX('Lease Cycles'!$EM$25:$ES$25,1,CH299)+'Lease Cycles'!$BE$25*IF(CH300&lt;INDEX('Lease Cycles'!$FA$25:$FG$25,1,CH299),0,1-INDEX('Lease Cycles'!$EM$25:$ES$25,1,CH299)),IF(OR(INDEX('Lease Cycles'!$DY$25:$EE$25,1,CH299)=1,CH300&gt;0),1,1-INDEX('Lease Cycles'!$DD$25:$DJ$25,1,CH299))*('Lease Cycles'!$AJ$25*INDEX('Lease Cycles'!$FO$25:$FU$25,1,CH299)+'Lease Cycles'!$BE$25*(1-INDEX('Lease Cycles'!$FO$25:$FU$25,1,CH299)))),0)</f>
        <v>0</v>
      </c>
      <c r="CI309" s="24">
        <f>IF(CI301=1,'Lease Cycles'!$D$25*IF(INDEX('Lease Cycles'!$EF$25:$EL$25,1,CI299)=1,'Lease Cycles'!$AJ$25*INDEX('Lease Cycles'!$FO$25:$FU$25,1,CI299)*INDEX('Lease Cycles'!$EM$25:$ES$25,1,CI299)+'Lease Cycles'!$BE$25*IF(CI300&lt;INDEX('Lease Cycles'!$FA$25:$FG$25,1,CI299),0,1-INDEX('Lease Cycles'!$EM$25:$ES$25,1,CI299)),IF(OR(INDEX('Lease Cycles'!$DY$25:$EE$25,1,CI299)=1,CI300&gt;0),1,1-INDEX('Lease Cycles'!$DD$25:$DJ$25,1,CI299))*('Lease Cycles'!$AJ$25*INDEX('Lease Cycles'!$FO$25:$FU$25,1,CI299)+'Lease Cycles'!$BE$25*(1-INDEX('Lease Cycles'!$FO$25:$FU$25,1,CI299)))),0)</f>
        <v>0</v>
      </c>
      <c r="CJ309" s="24">
        <f>IF(CJ301=1,'Lease Cycles'!$D$25*IF(INDEX('Lease Cycles'!$EF$25:$EL$25,1,CJ299)=1,'Lease Cycles'!$AJ$25*INDEX('Lease Cycles'!$FO$25:$FU$25,1,CJ299)*INDEX('Lease Cycles'!$EM$25:$ES$25,1,CJ299)+'Lease Cycles'!$BE$25*IF(CJ300&lt;INDEX('Lease Cycles'!$FA$25:$FG$25,1,CJ299),0,1-INDEX('Lease Cycles'!$EM$25:$ES$25,1,CJ299)),IF(OR(INDEX('Lease Cycles'!$DY$25:$EE$25,1,CJ299)=1,CJ300&gt;0),1,1-INDEX('Lease Cycles'!$DD$25:$DJ$25,1,CJ299))*('Lease Cycles'!$AJ$25*INDEX('Lease Cycles'!$FO$25:$FU$25,1,CJ299)+'Lease Cycles'!$BE$25*(1-INDEX('Lease Cycles'!$FO$25:$FU$25,1,CJ299)))),0)</f>
        <v>0</v>
      </c>
      <c r="CK309" s="24">
        <f>IF(CK301=1,'Lease Cycles'!$D$25*IF(INDEX('Lease Cycles'!$EF$25:$EL$25,1,CK299)=1,'Lease Cycles'!$AJ$25*INDEX('Lease Cycles'!$FO$25:$FU$25,1,CK299)*INDEX('Lease Cycles'!$EM$25:$ES$25,1,CK299)+'Lease Cycles'!$BE$25*IF(CK300&lt;INDEX('Lease Cycles'!$FA$25:$FG$25,1,CK299),0,1-INDEX('Lease Cycles'!$EM$25:$ES$25,1,CK299)),IF(OR(INDEX('Lease Cycles'!$DY$25:$EE$25,1,CK299)=1,CK300&gt;0),1,1-INDEX('Lease Cycles'!$DD$25:$DJ$25,1,CK299))*('Lease Cycles'!$AJ$25*INDEX('Lease Cycles'!$FO$25:$FU$25,1,CK299)+'Lease Cycles'!$BE$25*(1-INDEX('Lease Cycles'!$FO$25:$FU$25,1,CK299)))),0)</f>
        <v>0</v>
      </c>
      <c r="CL309" s="24">
        <f>IF(CL301=1,'Lease Cycles'!$D$25*IF(INDEX('Lease Cycles'!$EF$25:$EL$25,1,CL299)=1,'Lease Cycles'!$AJ$25*INDEX('Lease Cycles'!$FO$25:$FU$25,1,CL299)*INDEX('Lease Cycles'!$EM$25:$ES$25,1,CL299)+'Lease Cycles'!$BE$25*IF(CL300&lt;INDEX('Lease Cycles'!$FA$25:$FG$25,1,CL299),0,1-INDEX('Lease Cycles'!$EM$25:$ES$25,1,CL299)),IF(OR(INDEX('Lease Cycles'!$DY$25:$EE$25,1,CL299)=1,CL300&gt;0),1,1-INDEX('Lease Cycles'!$DD$25:$DJ$25,1,CL299))*('Lease Cycles'!$AJ$25*INDEX('Lease Cycles'!$FO$25:$FU$25,1,CL299)+'Lease Cycles'!$BE$25*(1-INDEX('Lease Cycles'!$FO$25:$FU$25,1,CL299)))),0)</f>
        <v>0</v>
      </c>
      <c r="CM309" s="24">
        <f>IF(CM301=1,'Lease Cycles'!$D$25*IF(INDEX('Lease Cycles'!$EF$25:$EL$25,1,CM299)=1,'Lease Cycles'!$AJ$25*INDEX('Lease Cycles'!$FO$25:$FU$25,1,CM299)*INDEX('Lease Cycles'!$EM$25:$ES$25,1,CM299)+'Lease Cycles'!$BE$25*IF(CM300&lt;INDEX('Lease Cycles'!$FA$25:$FG$25,1,CM299),0,1-INDEX('Lease Cycles'!$EM$25:$ES$25,1,CM299)),IF(OR(INDEX('Lease Cycles'!$DY$25:$EE$25,1,CM299)=1,CM300&gt;0),1,1-INDEX('Lease Cycles'!$DD$25:$DJ$25,1,CM299))*('Lease Cycles'!$AJ$25*INDEX('Lease Cycles'!$FO$25:$FU$25,1,CM299)+'Lease Cycles'!$BE$25*(1-INDEX('Lease Cycles'!$FO$25:$FU$25,1,CM299)))),0)</f>
        <v>0</v>
      </c>
      <c r="CN309" s="24">
        <f>IF(CN301=1,'Lease Cycles'!$D$25*IF(INDEX('Lease Cycles'!$EF$25:$EL$25,1,CN299)=1,'Lease Cycles'!$AJ$25*INDEX('Lease Cycles'!$FO$25:$FU$25,1,CN299)*INDEX('Lease Cycles'!$EM$25:$ES$25,1,CN299)+'Lease Cycles'!$BE$25*IF(CN300&lt;INDEX('Lease Cycles'!$FA$25:$FG$25,1,CN299),0,1-INDEX('Lease Cycles'!$EM$25:$ES$25,1,CN299)),IF(OR(INDEX('Lease Cycles'!$DY$25:$EE$25,1,CN299)=1,CN300&gt;0),1,1-INDEX('Lease Cycles'!$DD$25:$DJ$25,1,CN299))*('Lease Cycles'!$AJ$25*INDEX('Lease Cycles'!$FO$25:$FU$25,1,CN299)+'Lease Cycles'!$BE$25*(1-INDEX('Lease Cycles'!$FO$25:$FU$25,1,CN299)))),0)</f>
        <v>0</v>
      </c>
      <c r="CO309" s="24">
        <f>IF(CO301=1,'Lease Cycles'!$D$25*IF(INDEX('Lease Cycles'!$EF$25:$EL$25,1,CO299)=1,'Lease Cycles'!$AJ$25*INDEX('Lease Cycles'!$FO$25:$FU$25,1,CO299)*INDEX('Lease Cycles'!$EM$25:$ES$25,1,CO299)+'Lease Cycles'!$BE$25*IF(CO300&lt;INDEX('Lease Cycles'!$FA$25:$FG$25,1,CO299),0,1-INDEX('Lease Cycles'!$EM$25:$ES$25,1,CO299)),IF(OR(INDEX('Lease Cycles'!$DY$25:$EE$25,1,CO299)=1,CO300&gt;0),1,1-INDEX('Lease Cycles'!$DD$25:$DJ$25,1,CO299))*('Lease Cycles'!$AJ$25*INDEX('Lease Cycles'!$FO$25:$FU$25,1,CO299)+'Lease Cycles'!$BE$25*(1-INDEX('Lease Cycles'!$FO$25:$FU$25,1,CO299)))),0)</f>
        <v>0</v>
      </c>
      <c r="CP309" s="24">
        <f>IF(CP301=1,'Lease Cycles'!$D$25*IF(INDEX('Lease Cycles'!$EF$25:$EL$25,1,CP299)=1,'Lease Cycles'!$AJ$25*INDEX('Lease Cycles'!$FO$25:$FU$25,1,CP299)*INDEX('Lease Cycles'!$EM$25:$ES$25,1,CP299)+'Lease Cycles'!$BE$25*IF(CP300&lt;INDEX('Lease Cycles'!$FA$25:$FG$25,1,CP299),0,1-INDEX('Lease Cycles'!$EM$25:$ES$25,1,CP299)),IF(OR(INDEX('Lease Cycles'!$DY$25:$EE$25,1,CP299)=1,CP300&gt;0),1,1-INDEX('Lease Cycles'!$DD$25:$DJ$25,1,CP299))*('Lease Cycles'!$AJ$25*INDEX('Lease Cycles'!$FO$25:$FU$25,1,CP299)+'Lease Cycles'!$BE$25*(1-INDEX('Lease Cycles'!$FO$25:$FU$25,1,CP299)))),0)</f>
        <v>0</v>
      </c>
      <c r="CQ309" s="24">
        <f>IF(CQ301=1,'Lease Cycles'!$D$25*IF(INDEX('Lease Cycles'!$EF$25:$EL$25,1,CQ299)=1,'Lease Cycles'!$AJ$25*INDEX('Lease Cycles'!$FO$25:$FU$25,1,CQ299)*INDEX('Lease Cycles'!$EM$25:$ES$25,1,CQ299)+'Lease Cycles'!$BE$25*IF(CQ300&lt;INDEX('Lease Cycles'!$FA$25:$FG$25,1,CQ299),0,1-INDEX('Lease Cycles'!$EM$25:$ES$25,1,CQ299)),IF(OR(INDEX('Lease Cycles'!$DY$25:$EE$25,1,CQ299)=1,CQ300&gt;0),1,1-INDEX('Lease Cycles'!$DD$25:$DJ$25,1,CQ299))*('Lease Cycles'!$AJ$25*INDEX('Lease Cycles'!$FO$25:$FU$25,1,CQ299)+'Lease Cycles'!$BE$25*(1-INDEX('Lease Cycles'!$FO$25:$FU$25,1,CQ299)))),0)</f>
        <v>0</v>
      </c>
      <c r="CR309" s="24">
        <f>IF(CR301=1,'Lease Cycles'!$D$25*IF(INDEX('Lease Cycles'!$EF$25:$EL$25,1,CR299)=1,'Lease Cycles'!$AJ$25*INDEX('Lease Cycles'!$FO$25:$FU$25,1,CR299)*INDEX('Lease Cycles'!$EM$25:$ES$25,1,CR299)+'Lease Cycles'!$BE$25*IF(CR300&lt;INDEX('Lease Cycles'!$FA$25:$FG$25,1,CR299),0,1-INDEX('Lease Cycles'!$EM$25:$ES$25,1,CR299)),IF(OR(INDEX('Lease Cycles'!$DY$25:$EE$25,1,CR299)=1,CR300&gt;0),1,1-INDEX('Lease Cycles'!$DD$25:$DJ$25,1,CR299))*('Lease Cycles'!$AJ$25*INDEX('Lease Cycles'!$FO$25:$FU$25,1,CR299)+'Lease Cycles'!$BE$25*(1-INDEX('Lease Cycles'!$FO$25:$FU$25,1,CR299)))),0)</f>
        <v>0</v>
      </c>
      <c r="CS309" s="24">
        <f>IF(CS301=1,'Lease Cycles'!$D$25*IF(INDEX('Lease Cycles'!$EF$25:$EL$25,1,CS299)=1,'Lease Cycles'!$AJ$25*INDEX('Lease Cycles'!$FO$25:$FU$25,1,CS299)*INDEX('Lease Cycles'!$EM$25:$ES$25,1,CS299)+'Lease Cycles'!$BE$25*IF(CS300&lt;INDEX('Lease Cycles'!$FA$25:$FG$25,1,CS299),0,1-INDEX('Lease Cycles'!$EM$25:$ES$25,1,CS299)),IF(OR(INDEX('Lease Cycles'!$DY$25:$EE$25,1,CS299)=1,CS300&gt;0),1,1-INDEX('Lease Cycles'!$DD$25:$DJ$25,1,CS299))*('Lease Cycles'!$AJ$25*INDEX('Lease Cycles'!$FO$25:$FU$25,1,CS299)+'Lease Cycles'!$BE$25*(1-INDEX('Lease Cycles'!$FO$25:$FU$25,1,CS299)))),0)</f>
        <v>0</v>
      </c>
      <c r="CT309" s="24">
        <f>IF(CT301=1,'Lease Cycles'!$D$25*IF(INDEX('Lease Cycles'!$EF$25:$EL$25,1,CT299)=1,'Lease Cycles'!$AJ$25*INDEX('Lease Cycles'!$FO$25:$FU$25,1,CT299)*INDEX('Lease Cycles'!$EM$25:$ES$25,1,CT299)+'Lease Cycles'!$BE$25*IF(CT300&lt;INDEX('Lease Cycles'!$FA$25:$FG$25,1,CT299),0,1-INDEX('Lease Cycles'!$EM$25:$ES$25,1,CT299)),IF(OR(INDEX('Lease Cycles'!$DY$25:$EE$25,1,CT299)=1,CT300&gt;0),1,1-INDEX('Lease Cycles'!$DD$25:$DJ$25,1,CT299))*('Lease Cycles'!$AJ$25*INDEX('Lease Cycles'!$FO$25:$FU$25,1,CT299)+'Lease Cycles'!$BE$25*(1-INDEX('Lease Cycles'!$FO$25:$FU$25,1,CT299)))),0)</f>
        <v>0</v>
      </c>
      <c r="CU309" s="24">
        <f>IF(CU301=1,'Lease Cycles'!$D$25*IF(INDEX('Lease Cycles'!$EF$25:$EL$25,1,CU299)=1,'Lease Cycles'!$AJ$25*INDEX('Lease Cycles'!$FO$25:$FU$25,1,CU299)*INDEX('Lease Cycles'!$EM$25:$ES$25,1,CU299)+'Lease Cycles'!$BE$25*IF(CU300&lt;INDEX('Lease Cycles'!$FA$25:$FG$25,1,CU299),0,1-INDEX('Lease Cycles'!$EM$25:$ES$25,1,CU299)),IF(OR(INDEX('Lease Cycles'!$DY$25:$EE$25,1,CU299)=1,CU300&gt;0),1,1-INDEX('Lease Cycles'!$DD$25:$DJ$25,1,CU299))*('Lease Cycles'!$AJ$25*INDEX('Lease Cycles'!$FO$25:$FU$25,1,CU299)+'Lease Cycles'!$BE$25*(1-INDEX('Lease Cycles'!$FO$25:$FU$25,1,CU299)))),0)</f>
        <v>0</v>
      </c>
      <c r="CV309" s="24">
        <f>IF(CV301=1,'Lease Cycles'!$D$25*IF(INDEX('Lease Cycles'!$EF$25:$EL$25,1,CV299)=1,'Lease Cycles'!$AJ$25*INDEX('Lease Cycles'!$FO$25:$FU$25,1,CV299)*INDEX('Lease Cycles'!$EM$25:$ES$25,1,CV299)+'Lease Cycles'!$BE$25*IF(CV300&lt;INDEX('Lease Cycles'!$FA$25:$FG$25,1,CV299),0,1-INDEX('Lease Cycles'!$EM$25:$ES$25,1,CV299)),IF(OR(INDEX('Lease Cycles'!$DY$25:$EE$25,1,CV299)=1,CV300&gt;0),1,1-INDEX('Lease Cycles'!$DD$25:$DJ$25,1,CV299))*('Lease Cycles'!$AJ$25*INDEX('Lease Cycles'!$FO$25:$FU$25,1,CV299)+'Lease Cycles'!$BE$25*(1-INDEX('Lease Cycles'!$FO$25:$FU$25,1,CV299)))),0)</f>
        <v>0</v>
      </c>
      <c r="CW309" s="24">
        <f>IF(CW301=1,'Lease Cycles'!$D$25*IF(INDEX('Lease Cycles'!$EF$25:$EL$25,1,CW299)=1,'Lease Cycles'!$AJ$25*INDEX('Lease Cycles'!$FO$25:$FU$25,1,CW299)*INDEX('Lease Cycles'!$EM$25:$ES$25,1,CW299)+'Lease Cycles'!$BE$25*IF(CW300&lt;INDEX('Lease Cycles'!$FA$25:$FG$25,1,CW299),0,1-INDEX('Lease Cycles'!$EM$25:$ES$25,1,CW299)),IF(OR(INDEX('Lease Cycles'!$DY$25:$EE$25,1,CW299)=1,CW300&gt;0),1,1-INDEX('Lease Cycles'!$DD$25:$DJ$25,1,CW299))*('Lease Cycles'!$AJ$25*INDEX('Lease Cycles'!$FO$25:$FU$25,1,CW299)+'Lease Cycles'!$BE$25*(1-INDEX('Lease Cycles'!$FO$25:$FU$25,1,CW299)))),0)</f>
        <v>0</v>
      </c>
      <c r="CX309" s="24">
        <f>IF(CX301=1,'Lease Cycles'!$D$25*IF(INDEX('Lease Cycles'!$EF$25:$EL$25,1,CX299)=1,'Lease Cycles'!$AJ$25*INDEX('Lease Cycles'!$FO$25:$FU$25,1,CX299)*INDEX('Lease Cycles'!$EM$25:$ES$25,1,CX299)+'Lease Cycles'!$BE$25*IF(CX300&lt;INDEX('Lease Cycles'!$FA$25:$FG$25,1,CX299),0,1-INDEX('Lease Cycles'!$EM$25:$ES$25,1,CX299)),IF(OR(INDEX('Lease Cycles'!$DY$25:$EE$25,1,CX299)=1,CX300&gt;0),1,1-INDEX('Lease Cycles'!$DD$25:$DJ$25,1,CX299))*('Lease Cycles'!$AJ$25*INDEX('Lease Cycles'!$FO$25:$FU$25,1,CX299)+'Lease Cycles'!$BE$25*(1-INDEX('Lease Cycles'!$FO$25:$FU$25,1,CX299)))),0)</f>
        <v>0</v>
      </c>
      <c r="CY309" s="24">
        <f>IF(CY301=1,'Lease Cycles'!$D$25*IF(INDEX('Lease Cycles'!$EF$25:$EL$25,1,CY299)=1,'Lease Cycles'!$AJ$25*INDEX('Lease Cycles'!$FO$25:$FU$25,1,CY299)*INDEX('Lease Cycles'!$EM$25:$ES$25,1,CY299)+'Lease Cycles'!$BE$25*IF(CY300&lt;INDEX('Lease Cycles'!$FA$25:$FG$25,1,CY299),0,1-INDEX('Lease Cycles'!$EM$25:$ES$25,1,CY299)),IF(OR(INDEX('Lease Cycles'!$DY$25:$EE$25,1,CY299)=1,CY300&gt;0),1,1-INDEX('Lease Cycles'!$DD$25:$DJ$25,1,CY299))*('Lease Cycles'!$AJ$25*INDEX('Lease Cycles'!$FO$25:$FU$25,1,CY299)+'Lease Cycles'!$BE$25*(1-INDEX('Lease Cycles'!$FO$25:$FU$25,1,CY299)))),0)</f>
        <v>0</v>
      </c>
      <c r="CZ309" s="24">
        <f>IF(CZ301=1,'Lease Cycles'!$D$25*IF(INDEX('Lease Cycles'!$EF$25:$EL$25,1,CZ299)=1,'Lease Cycles'!$AJ$25*INDEX('Lease Cycles'!$FO$25:$FU$25,1,CZ299)*INDEX('Lease Cycles'!$EM$25:$ES$25,1,CZ299)+'Lease Cycles'!$BE$25*IF(CZ300&lt;INDEX('Lease Cycles'!$FA$25:$FG$25,1,CZ299),0,1-INDEX('Lease Cycles'!$EM$25:$ES$25,1,CZ299)),IF(OR(INDEX('Lease Cycles'!$DY$25:$EE$25,1,CZ299)=1,CZ300&gt;0),1,1-INDEX('Lease Cycles'!$DD$25:$DJ$25,1,CZ299))*('Lease Cycles'!$AJ$25*INDEX('Lease Cycles'!$FO$25:$FU$25,1,CZ299)+'Lease Cycles'!$BE$25*(1-INDEX('Lease Cycles'!$FO$25:$FU$25,1,CZ299)))),0)</f>
        <v>0</v>
      </c>
      <c r="DA309" s="24">
        <f>IF(DA301=1,'Lease Cycles'!$D$25*IF(INDEX('Lease Cycles'!$EF$25:$EL$25,1,DA299)=1,'Lease Cycles'!$AJ$25*INDEX('Lease Cycles'!$FO$25:$FU$25,1,DA299)*INDEX('Lease Cycles'!$EM$25:$ES$25,1,DA299)+'Lease Cycles'!$BE$25*IF(DA300&lt;INDEX('Lease Cycles'!$FA$25:$FG$25,1,DA299),0,1-INDEX('Lease Cycles'!$EM$25:$ES$25,1,DA299)),IF(OR(INDEX('Lease Cycles'!$DY$25:$EE$25,1,DA299)=1,DA300&gt;0),1,1-INDEX('Lease Cycles'!$DD$25:$DJ$25,1,DA299))*('Lease Cycles'!$AJ$25*INDEX('Lease Cycles'!$FO$25:$FU$25,1,DA299)+'Lease Cycles'!$BE$25*(1-INDEX('Lease Cycles'!$FO$25:$FU$25,1,DA299)))),0)</f>
        <v>0</v>
      </c>
      <c r="DB309" s="24">
        <f>IF(DB301=1,'Lease Cycles'!$D$25*IF(INDEX('Lease Cycles'!$EF$25:$EL$25,1,DB299)=1,'Lease Cycles'!$AJ$25*INDEX('Lease Cycles'!$FO$25:$FU$25,1,DB299)*INDEX('Lease Cycles'!$EM$25:$ES$25,1,DB299)+'Lease Cycles'!$BE$25*IF(DB300&lt;INDEX('Lease Cycles'!$FA$25:$FG$25,1,DB299),0,1-INDEX('Lease Cycles'!$EM$25:$ES$25,1,DB299)),IF(OR(INDEX('Lease Cycles'!$DY$25:$EE$25,1,DB299)=1,DB300&gt;0),1,1-INDEX('Lease Cycles'!$DD$25:$DJ$25,1,DB299))*('Lease Cycles'!$AJ$25*INDEX('Lease Cycles'!$FO$25:$FU$25,1,DB299)+'Lease Cycles'!$BE$25*(1-INDEX('Lease Cycles'!$FO$25:$FU$25,1,DB299)))),0)</f>
        <v>0</v>
      </c>
      <c r="DC309" s="24">
        <f>IF(DC301=1,'Lease Cycles'!$D$25*IF(INDEX('Lease Cycles'!$EF$25:$EL$25,1,DC299)=1,'Lease Cycles'!$AJ$25*INDEX('Lease Cycles'!$FO$25:$FU$25,1,DC299)*INDEX('Lease Cycles'!$EM$25:$ES$25,1,DC299)+'Lease Cycles'!$BE$25*IF(DC300&lt;INDEX('Lease Cycles'!$FA$25:$FG$25,1,DC299),0,1-INDEX('Lease Cycles'!$EM$25:$ES$25,1,DC299)),IF(OR(INDEX('Lease Cycles'!$DY$25:$EE$25,1,DC299)=1,DC300&gt;0),1,1-INDEX('Lease Cycles'!$DD$25:$DJ$25,1,DC299))*('Lease Cycles'!$AJ$25*INDEX('Lease Cycles'!$FO$25:$FU$25,1,DC299)+'Lease Cycles'!$BE$25*(1-INDEX('Lease Cycles'!$FO$25:$FU$25,1,DC299)))),0)</f>
        <v>0</v>
      </c>
      <c r="DD309" s="24">
        <f>IF(DD301=1,'Lease Cycles'!$D$25*IF(INDEX('Lease Cycles'!$EF$25:$EL$25,1,DD299)=1,'Lease Cycles'!$AJ$25*INDEX('Lease Cycles'!$FO$25:$FU$25,1,DD299)*INDEX('Lease Cycles'!$EM$25:$ES$25,1,DD299)+'Lease Cycles'!$BE$25*IF(DD300&lt;INDEX('Lease Cycles'!$FA$25:$FG$25,1,DD299),0,1-INDEX('Lease Cycles'!$EM$25:$ES$25,1,DD299)),IF(OR(INDEX('Lease Cycles'!$DY$25:$EE$25,1,DD299)=1,DD300&gt;0),1,1-INDEX('Lease Cycles'!$DD$25:$DJ$25,1,DD299))*('Lease Cycles'!$AJ$25*INDEX('Lease Cycles'!$FO$25:$FU$25,1,DD299)+'Lease Cycles'!$BE$25*(1-INDEX('Lease Cycles'!$FO$25:$FU$25,1,DD299)))),0)</f>
        <v>0</v>
      </c>
      <c r="DE309" s="24">
        <f>IF(DE301=1,'Lease Cycles'!$D$25*IF(INDEX('Lease Cycles'!$EF$25:$EL$25,1,DE299)=1,'Lease Cycles'!$AJ$25*INDEX('Lease Cycles'!$FO$25:$FU$25,1,DE299)*INDEX('Lease Cycles'!$EM$25:$ES$25,1,DE299)+'Lease Cycles'!$BE$25*IF(DE300&lt;INDEX('Lease Cycles'!$FA$25:$FG$25,1,DE299),0,1-INDEX('Lease Cycles'!$EM$25:$ES$25,1,DE299)),IF(OR(INDEX('Lease Cycles'!$DY$25:$EE$25,1,DE299)=1,DE300&gt;0),1,1-INDEX('Lease Cycles'!$DD$25:$DJ$25,1,DE299))*('Lease Cycles'!$AJ$25*INDEX('Lease Cycles'!$FO$25:$FU$25,1,DE299)+'Lease Cycles'!$BE$25*(1-INDEX('Lease Cycles'!$FO$25:$FU$25,1,DE299)))),0)</f>
        <v>0</v>
      </c>
      <c r="DF309" s="24">
        <f>IF(DF301=1,'Lease Cycles'!$D$25*IF(INDEX('Lease Cycles'!$EF$25:$EL$25,1,DF299)=1,'Lease Cycles'!$AJ$25*INDEX('Lease Cycles'!$FO$25:$FU$25,1,DF299)*INDEX('Lease Cycles'!$EM$25:$ES$25,1,DF299)+'Lease Cycles'!$BE$25*IF(DF300&lt;INDEX('Lease Cycles'!$FA$25:$FG$25,1,DF299),0,1-INDEX('Lease Cycles'!$EM$25:$ES$25,1,DF299)),IF(OR(INDEX('Lease Cycles'!$DY$25:$EE$25,1,DF299)=1,DF300&gt;0),1,1-INDEX('Lease Cycles'!$DD$25:$DJ$25,1,DF299))*('Lease Cycles'!$AJ$25*INDEX('Lease Cycles'!$FO$25:$FU$25,1,DF299)+'Lease Cycles'!$BE$25*(1-INDEX('Lease Cycles'!$FO$25:$FU$25,1,DF299)))),0)</f>
        <v>0</v>
      </c>
      <c r="DG309" s="24">
        <f>IF(DG301=1,'Lease Cycles'!$D$25*IF(INDEX('Lease Cycles'!$EF$25:$EL$25,1,DG299)=1,'Lease Cycles'!$AJ$25*INDEX('Lease Cycles'!$FO$25:$FU$25,1,DG299)*INDEX('Lease Cycles'!$EM$25:$ES$25,1,DG299)+'Lease Cycles'!$BE$25*IF(DG300&lt;INDEX('Lease Cycles'!$FA$25:$FG$25,1,DG299),0,1-INDEX('Lease Cycles'!$EM$25:$ES$25,1,DG299)),IF(OR(INDEX('Lease Cycles'!$DY$25:$EE$25,1,DG299)=1,DG300&gt;0),1,1-INDEX('Lease Cycles'!$DD$25:$DJ$25,1,DG299))*('Lease Cycles'!$AJ$25*INDEX('Lease Cycles'!$FO$25:$FU$25,1,DG299)+'Lease Cycles'!$BE$25*(1-INDEX('Lease Cycles'!$FO$25:$FU$25,1,DG299)))),0)</f>
        <v>0</v>
      </c>
      <c r="DH309" s="24">
        <f>IF(DH301=1,'Lease Cycles'!$D$25*IF(INDEX('Lease Cycles'!$EF$25:$EL$25,1,DH299)=1,'Lease Cycles'!$AJ$25*INDEX('Lease Cycles'!$FO$25:$FU$25,1,DH299)*INDEX('Lease Cycles'!$EM$25:$ES$25,1,DH299)+'Lease Cycles'!$BE$25*IF(DH300&lt;INDEX('Lease Cycles'!$FA$25:$FG$25,1,DH299),0,1-INDEX('Lease Cycles'!$EM$25:$ES$25,1,DH299)),IF(OR(INDEX('Lease Cycles'!$DY$25:$EE$25,1,DH299)=1,DH300&gt;0),1,1-INDEX('Lease Cycles'!$DD$25:$DJ$25,1,DH299))*('Lease Cycles'!$AJ$25*INDEX('Lease Cycles'!$FO$25:$FU$25,1,DH299)+'Lease Cycles'!$BE$25*(1-INDEX('Lease Cycles'!$FO$25:$FU$25,1,DH299)))),0)</f>
        <v>0</v>
      </c>
      <c r="DI309" s="24">
        <f>IF(DI301=1,'Lease Cycles'!$D$25*IF(INDEX('Lease Cycles'!$EF$25:$EL$25,1,DI299)=1,'Lease Cycles'!$AJ$25*INDEX('Lease Cycles'!$FO$25:$FU$25,1,DI299)*INDEX('Lease Cycles'!$EM$25:$ES$25,1,DI299)+'Lease Cycles'!$BE$25*IF(DI300&lt;INDEX('Lease Cycles'!$FA$25:$FG$25,1,DI299),0,1-INDEX('Lease Cycles'!$EM$25:$ES$25,1,DI299)),IF(OR(INDEX('Lease Cycles'!$DY$25:$EE$25,1,DI299)=1,DI300&gt;0),1,1-INDEX('Lease Cycles'!$DD$25:$DJ$25,1,DI299))*('Lease Cycles'!$AJ$25*INDEX('Lease Cycles'!$FO$25:$FU$25,1,DI299)+'Lease Cycles'!$BE$25*(1-INDEX('Lease Cycles'!$FO$25:$FU$25,1,DI299)))),0)</f>
        <v>0</v>
      </c>
      <c r="DJ309" s="24">
        <f>IF(DJ301=1,'Lease Cycles'!$D$25*IF(INDEX('Lease Cycles'!$EF$25:$EL$25,1,DJ299)=1,'Lease Cycles'!$AJ$25*INDEX('Lease Cycles'!$FO$25:$FU$25,1,DJ299)*INDEX('Lease Cycles'!$EM$25:$ES$25,1,DJ299)+'Lease Cycles'!$BE$25*IF(DJ300&lt;INDEX('Lease Cycles'!$FA$25:$FG$25,1,DJ299),0,1-INDEX('Lease Cycles'!$EM$25:$ES$25,1,DJ299)),IF(OR(INDEX('Lease Cycles'!$DY$25:$EE$25,1,DJ299)=1,DJ300&gt;0),1,1-INDEX('Lease Cycles'!$DD$25:$DJ$25,1,DJ299))*('Lease Cycles'!$AJ$25*INDEX('Lease Cycles'!$FO$25:$FU$25,1,DJ299)+'Lease Cycles'!$BE$25*(1-INDEX('Lease Cycles'!$FO$25:$FU$25,1,DJ299)))),0)</f>
        <v>0</v>
      </c>
      <c r="DK309" s="24">
        <f>IF(DK301=1,'Lease Cycles'!$D$25*IF(INDEX('Lease Cycles'!$EF$25:$EL$25,1,DK299)=1,'Lease Cycles'!$AJ$25*INDEX('Lease Cycles'!$FO$25:$FU$25,1,DK299)*INDEX('Lease Cycles'!$EM$25:$ES$25,1,DK299)+'Lease Cycles'!$BE$25*IF(DK300&lt;INDEX('Lease Cycles'!$FA$25:$FG$25,1,DK299),0,1-INDEX('Lease Cycles'!$EM$25:$ES$25,1,DK299)),IF(OR(INDEX('Lease Cycles'!$DY$25:$EE$25,1,DK299)=1,DK300&gt;0),1,1-INDEX('Lease Cycles'!$DD$25:$DJ$25,1,DK299))*('Lease Cycles'!$AJ$25*INDEX('Lease Cycles'!$FO$25:$FU$25,1,DK299)+'Lease Cycles'!$BE$25*(1-INDEX('Lease Cycles'!$FO$25:$FU$25,1,DK299)))),0)</f>
        <v>0</v>
      </c>
      <c r="DL309" s="24">
        <f>IF(DL301=1,'Lease Cycles'!$D$25*IF(INDEX('Lease Cycles'!$EF$25:$EL$25,1,DL299)=1,'Lease Cycles'!$AJ$25*INDEX('Lease Cycles'!$FO$25:$FU$25,1,DL299)*INDEX('Lease Cycles'!$EM$25:$ES$25,1,DL299)+'Lease Cycles'!$BE$25*IF(DL300&lt;INDEX('Lease Cycles'!$FA$25:$FG$25,1,DL299),0,1-INDEX('Lease Cycles'!$EM$25:$ES$25,1,DL299)),IF(OR(INDEX('Lease Cycles'!$DY$25:$EE$25,1,DL299)=1,DL300&gt;0),1,1-INDEX('Lease Cycles'!$DD$25:$DJ$25,1,DL299))*('Lease Cycles'!$AJ$25*INDEX('Lease Cycles'!$FO$25:$FU$25,1,DL299)+'Lease Cycles'!$BE$25*(1-INDEX('Lease Cycles'!$FO$25:$FU$25,1,DL299)))),0)</f>
        <v>0</v>
      </c>
      <c r="DM309" s="24">
        <f>IF(DM301=1,'Lease Cycles'!$D$25*IF(INDEX('Lease Cycles'!$EF$25:$EL$25,1,DM299)=1,'Lease Cycles'!$AJ$25*INDEX('Lease Cycles'!$FO$25:$FU$25,1,DM299)*INDEX('Lease Cycles'!$EM$25:$ES$25,1,DM299)+'Lease Cycles'!$BE$25*IF(DM300&lt;INDEX('Lease Cycles'!$FA$25:$FG$25,1,DM299),0,1-INDEX('Lease Cycles'!$EM$25:$ES$25,1,DM299)),IF(OR(INDEX('Lease Cycles'!$DY$25:$EE$25,1,DM299)=1,DM300&gt;0),1,1-INDEX('Lease Cycles'!$DD$25:$DJ$25,1,DM299))*('Lease Cycles'!$AJ$25*INDEX('Lease Cycles'!$FO$25:$FU$25,1,DM299)+'Lease Cycles'!$BE$25*(1-INDEX('Lease Cycles'!$FO$25:$FU$25,1,DM299)))),0)</f>
        <v>0</v>
      </c>
      <c r="DN309" s="24">
        <f>IF(DN301=1,'Lease Cycles'!$D$25*IF(INDEX('Lease Cycles'!$EF$25:$EL$25,1,DN299)=1,'Lease Cycles'!$AJ$25*INDEX('Lease Cycles'!$FO$25:$FU$25,1,DN299)*INDEX('Lease Cycles'!$EM$25:$ES$25,1,DN299)+'Lease Cycles'!$BE$25*IF(DN300&lt;INDEX('Lease Cycles'!$FA$25:$FG$25,1,DN299),0,1-INDEX('Lease Cycles'!$EM$25:$ES$25,1,DN299)),IF(OR(INDEX('Lease Cycles'!$DY$25:$EE$25,1,DN299)=1,DN300&gt;0),1,1-INDEX('Lease Cycles'!$DD$25:$DJ$25,1,DN299))*('Lease Cycles'!$AJ$25*INDEX('Lease Cycles'!$FO$25:$FU$25,1,DN299)+'Lease Cycles'!$BE$25*(1-INDEX('Lease Cycles'!$FO$25:$FU$25,1,DN299)))),0)</f>
        <v>0</v>
      </c>
      <c r="DO309" s="24">
        <f>IF(DO301=1,'Lease Cycles'!$D$25*IF(INDEX('Lease Cycles'!$EF$25:$EL$25,1,DO299)=1,'Lease Cycles'!$AJ$25*INDEX('Lease Cycles'!$FO$25:$FU$25,1,DO299)*INDEX('Lease Cycles'!$EM$25:$ES$25,1,DO299)+'Lease Cycles'!$BE$25*IF(DO300&lt;INDEX('Lease Cycles'!$FA$25:$FG$25,1,DO299),0,1-INDEX('Lease Cycles'!$EM$25:$ES$25,1,DO299)),IF(OR(INDEX('Lease Cycles'!$DY$25:$EE$25,1,DO299)=1,DO300&gt;0),1,1-INDEX('Lease Cycles'!$DD$25:$DJ$25,1,DO299))*('Lease Cycles'!$AJ$25*INDEX('Lease Cycles'!$FO$25:$FU$25,1,DO299)+'Lease Cycles'!$BE$25*(1-INDEX('Lease Cycles'!$FO$25:$FU$25,1,DO299)))),0)</f>
        <v>0</v>
      </c>
      <c r="DP309" s="24">
        <f>IF(DP301=1,'Lease Cycles'!$D$25*IF(INDEX('Lease Cycles'!$EF$25:$EL$25,1,DP299)=1,'Lease Cycles'!$AJ$25*INDEX('Lease Cycles'!$FO$25:$FU$25,1,DP299)*INDEX('Lease Cycles'!$EM$25:$ES$25,1,DP299)+'Lease Cycles'!$BE$25*IF(DP300&lt;INDEX('Lease Cycles'!$FA$25:$FG$25,1,DP299),0,1-INDEX('Lease Cycles'!$EM$25:$ES$25,1,DP299)),IF(OR(INDEX('Lease Cycles'!$DY$25:$EE$25,1,DP299)=1,DP300&gt;0),1,1-INDEX('Lease Cycles'!$DD$25:$DJ$25,1,DP299))*('Lease Cycles'!$AJ$25*INDEX('Lease Cycles'!$FO$25:$FU$25,1,DP299)+'Lease Cycles'!$BE$25*(1-INDEX('Lease Cycles'!$FO$25:$FU$25,1,DP299)))),0)</f>
        <v>0</v>
      </c>
      <c r="DQ309" s="24">
        <f>IF(DQ301=1,'Lease Cycles'!$D$25*IF(INDEX('Lease Cycles'!$EF$25:$EL$25,1,DQ299)=1,'Lease Cycles'!$AJ$25*INDEX('Lease Cycles'!$FO$25:$FU$25,1,DQ299)*INDEX('Lease Cycles'!$EM$25:$ES$25,1,DQ299)+'Lease Cycles'!$BE$25*IF(DQ300&lt;INDEX('Lease Cycles'!$FA$25:$FG$25,1,DQ299),0,1-INDEX('Lease Cycles'!$EM$25:$ES$25,1,DQ299)),IF(OR(INDEX('Lease Cycles'!$DY$25:$EE$25,1,DQ299)=1,DQ300&gt;0),1,1-INDEX('Lease Cycles'!$DD$25:$DJ$25,1,DQ299))*('Lease Cycles'!$AJ$25*INDEX('Lease Cycles'!$FO$25:$FU$25,1,DQ299)+'Lease Cycles'!$BE$25*(1-INDEX('Lease Cycles'!$FO$25:$FU$25,1,DQ299)))),0)</f>
        <v>0</v>
      </c>
      <c r="DR309" s="24">
        <f>IF(DR301=1,'Lease Cycles'!$D$25*IF(INDEX('Lease Cycles'!$EF$25:$EL$25,1,DR299)=1,'Lease Cycles'!$AJ$25*INDEX('Lease Cycles'!$FO$25:$FU$25,1,DR299)*INDEX('Lease Cycles'!$EM$25:$ES$25,1,DR299)+'Lease Cycles'!$BE$25*IF(DR300&lt;INDEX('Lease Cycles'!$FA$25:$FG$25,1,DR299),0,1-INDEX('Lease Cycles'!$EM$25:$ES$25,1,DR299)),IF(OR(INDEX('Lease Cycles'!$DY$25:$EE$25,1,DR299)=1,DR300&gt;0),1,1-INDEX('Lease Cycles'!$DD$25:$DJ$25,1,DR299))*('Lease Cycles'!$AJ$25*INDEX('Lease Cycles'!$FO$25:$FU$25,1,DR299)+'Lease Cycles'!$BE$25*(1-INDEX('Lease Cycles'!$FO$25:$FU$25,1,DR299)))),0)</f>
        <v>0</v>
      </c>
      <c r="DS309" s="24">
        <f>IF(DS301=1,'Lease Cycles'!$D$25*IF(INDEX('Lease Cycles'!$EF$25:$EL$25,1,DS299)=1,'Lease Cycles'!$AJ$25*INDEX('Lease Cycles'!$FO$25:$FU$25,1,DS299)*INDEX('Lease Cycles'!$EM$25:$ES$25,1,DS299)+'Lease Cycles'!$BE$25*IF(DS300&lt;INDEX('Lease Cycles'!$FA$25:$FG$25,1,DS299),0,1-INDEX('Lease Cycles'!$EM$25:$ES$25,1,DS299)),IF(OR(INDEX('Lease Cycles'!$DY$25:$EE$25,1,DS299)=1,DS300&gt;0),1,1-INDEX('Lease Cycles'!$DD$25:$DJ$25,1,DS299))*('Lease Cycles'!$AJ$25*INDEX('Lease Cycles'!$FO$25:$FU$25,1,DS299)+'Lease Cycles'!$BE$25*(1-INDEX('Lease Cycles'!$FO$25:$FU$25,1,DS299)))),0)</f>
        <v>0</v>
      </c>
      <c r="DT309" s="24">
        <f>IF(DT301=1,'Lease Cycles'!$D$25*IF(INDEX('Lease Cycles'!$EF$25:$EL$25,1,DT299)=1,'Lease Cycles'!$AJ$25*INDEX('Lease Cycles'!$FO$25:$FU$25,1,DT299)*INDEX('Lease Cycles'!$EM$25:$ES$25,1,DT299)+'Lease Cycles'!$BE$25*IF(DT300&lt;INDEX('Lease Cycles'!$FA$25:$FG$25,1,DT299),0,1-INDEX('Lease Cycles'!$EM$25:$ES$25,1,DT299)),IF(OR(INDEX('Lease Cycles'!$DY$25:$EE$25,1,DT299)=1,DT300&gt;0),1,1-INDEX('Lease Cycles'!$DD$25:$DJ$25,1,DT299))*('Lease Cycles'!$AJ$25*INDEX('Lease Cycles'!$FO$25:$FU$25,1,DT299)+'Lease Cycles'!$BE$25*(1-INDEX('Lease Cycles'!$FO$25:$FU$25,1,DT299)))),0)</f>
        <v>0</v>
      </c>
      <c r="DU309" s="24">
        <f>IF(DU301=1,'Lease Cycles'!$D$25*IF(INDEX('Lease Cycles'!$EF$25:$EL$25,1,DU299)=1,'Lease Cycles'!$AJ$25*INDEX('Lease Cycles'!$FO$25:$FU$25,1,DU299)*INDEX('Lease Cycles'!$EM$25:$ES$25,1,DU299)+'Lease Cycles'!$BE$25*IF(DU300&lt;INDEX('Lease Cycles'!$FA$25:$FG$25,1,DU299),0,1-INDEX('Lease Cycles'!$EM$25:$ES$25,1,DU299)),IF(OR(INDEX('Lease Cycles'!$DY$25:$EE$25,1,DU299)=1,DU300&gt;0),1,1-INDEX('Lease Cycles'!$DD$25:$DJ$25,1,DU299))*('Lease Cycles'!$AJ$25*INDEX('Lease Cycles'!$FO$25:$FU$25,1,DU299)+'Lease Cycles'!$BE$25*(1-INDEX('Lease Cycles'!$FO$25:$FU$25,1,DU299)))),0)</f>
        <v>0</v>
      </c>
      <c r="DV309" s="24">
        <f>IF(DV301=1,'Lease Cycles'!$D$25*IF(INDEX('Lease Cycles'!$EF$25:$EL$25,1,DV299)=1,'Lease Cycles'!$AJ$25*INDEX('Lease Cycles'!$FO$25:$FU$25,1,DV299)*INDEX('Lease Cycles'!$EM$25:$ES$25,1,DV299)+'Lease Cycles'!$BE$25*IF(DV300&lt;INDEX('Lease Cycles'!$FA$25:$FG$25,1,DV299),0,1-INDEX('Lease Cycles'!$EM$25:$ES$25,1,DV299)),IF(OR(INDEX('Lease Cycles'!$DY$25:$EE$25,1,DV299)=1,DV300&gt;0),1,1-INDEX('Lease Cycles'!$DD$25:$DJ$25,1,DV299))*('Lease Cycles'!$AJ$25*INDEX('Lease Cycles'!$FO$25:$FU$25,1,DV299)+'Lease Cycles'!$BE$25*(1-INDEX('Lease Cycles'!$FO$25:$FU$25,1,DV299)))),0)</f>
        <v>0</v>
      </c>
      <c r="DW309" s="24">
        <f>IF(DW301=1,'Lease Cycles'!$D$25*IF(INDEX('Lease Cycles'!$EF$25:$EL$25,1,DW299)=1,'Lease Cycles'!$AJ$25*INDEX('Lease Cycles'!$FO$25:$FU$25,1,DW299)*INDEX('Lease Cycles'!$EM$25:$ES$25,1,DW299)+'Lease Cycles'!$BE$25*IF(DW300&lt;INDEX('Lease Cycles'!$FA$25:$FG$25,1,DW299),0,1-INDEX('Lease Cycles'!$EM$25:$ES$25,1,DW299)),IF(OR(INDEX('Lease Cycles'!$DY$25:$EE$25,1,DW299)=1,DW300&gt;0),1,1-INDEX('Lease Cycles'!$DD$25:$DJ$25,1,DW299))*('Lease Cycles'!$AJ$25*INDEX('Lease Cycles'!$FO$25:$FU$25,1,DW299)+'Lease Cycles'!$BE$25*(1-INDEX('Lease Cycles'!$FO$25:$FU$25,1,DW299)))),0)</f>
        <v>0</v>
      </c>
      <c r="DX309" s="24">
        <f>IF(DX301=1,'Lease Cycles'!$D$25*IF(INDEX('Lease Cycles'!$EF$25:$EL$25,1,DX299)=1,'Lease Cycles'!$AJ$25*INDEX('Lease Cycles'!$FO$25:$FU$25,1,DX299)*INDEX('Lease Cycles'!$EM$25:$ES$25,1,DX299)+'Lease Cycles'!$BE$25*IF(DX300&lt;INDEX('Lease Cycles'!$FA$25:$FG$25,1,DX299),0,1-INDEX('Lease Cycles'!$EM$25:$ES$25,1,DX299)),IF(OR(INDEX('Lease Cycles'!$DY$25:$EE$25,1,DX299)=1,DX300&gt;0),1,1-INDEX('Lease Cycles'!$DD$25:$DJ$25,1,DX299))*('Lease Cycles'!$AJ$25*INDEX('Lease Cycles'!$FO$25:$FU$25,1,DX299)+'Lease Cycles'!$BE$25*(1-INDEX('Lease Cycles'!$FO$25:$FU$25,1,DX299)))),0)</f>
        <v>0</v>
      </c>
      <c r="DY309" s="24">
        <f>IF(DY301=1,'Lease Cycles'!$D$25*IF(INDEX('Lease Cycles'!$EF$25:$EL$25,1,DY299)=1,'Lease Cycles'!$AJ$25*INDEX('Lease Cycles'!$FO$25:$FU$25,1,DY299)*INDEX('Lease Cycles'!$EM$25:$ES$25,1,DY299)+'Lease Cycles'!$BE$25*IF(DY300&lt;INDEX('Lease Cycles'!$FA$25:$FG$25,1,DY299),0,1-INDEX('Lease Cycles'!$EM$25:$ES$25,1,DY299)),IF(OR(INDEX('Lease Cycles'!$DY$25:$EE$25,1,DY299)=1,DY300&gt;0),1,1-INDEX('Lease Cycles'!$DD$25:$DJ$25,1,DY299))*('Lease Cycles'!$AJ$25*INDEX('Lease Cycles'!$FO$25:$FU$25,1,DY299)+'Lease Cycles'!$BE$25*(1-INDEX('Lease Cycles'!$FO$25:$FU$25,1,DY299)))),0)</f>
        <v>0</v>
      </c>
      <c r="DZ309" s="24">
        <f>IF(DZ301=1,'Lease Cycles'!$D$25*IF(INDEX('Lease Cycles'!$EF$25:$EL$25,1,DZ299)=1,'Lease Cycles'!$AJ$25*INDEX('Lease Cycles'!$FO$25:$FU$25,1,DZ299)*INDEX('Lease Cycles'!$EM$25:$ES$25,1,DZ299)+'Lease Cycles'!$BE$25*IF(DZ300&lt;INDEX('Lease Cycles'!$FA$25:$FG$25,1,DZ299),0,1-INDEX('Lease Cycles'!$EM$25:$ES$25,1,DZ299)),IF(OR(INDEX('Lease Cycles'!$DY$25:$EE$25,1,DZ299)=1,DZ300&gt;0),1,1-INDEX('Lease Cycles'!$DD$25:$DJ$25,1,DZ299))*('Lease Cycles'!$AJ$25*INDEX('Lease Cycles'!$FO$25:$FU$25,1,DZ299)+'Lease Cycles'!$BE$25*(1-INDEX('Lease Cycles'!$FO$25:$FU$25,1,DZ299)))),0)</f>
        <v>0</v>
      </c>
      <c r="EA309" s="24">
        <f>IF(EA301=1,'Lease Cycles'!$D$25*IF(INDEX('Lease Cycles'!$EF$25:$EL$25,1,EA299)=1,'Lease Cycles'!$AJ$25*INDEX('Lease Cycles'!$FO$25:$FU$25,1,EA299)*INDEX('Lease Cycles'!$EM$25:$ES$25,1,EA299)+'Lease Cycles'!$BE$25*IF(EA300&lt;INDEX('Lease Cycles'!$FA$25:$FG$25,1,EA299),0,1-INDEX('Lease Cycles'!$EM$25:$ES$25,1,EA299)),IF(OR(INDEX('Lease Cycles'!$DY$25:$EE$25,1,EA299)=1,EA300&gt;0),1,1-INDEX('Lease Cycles'!$DD$25:$DJ$25,1,EA299))*('Lease Cycles'!$AJ$25*INDEX('Lease Cycles'!$FO$25:$FU$25,1,EA299)+'Lease Cycles'!$BE$25*(1-INDEX('Lease Cycles'!$FO$25:$FU$25,1,EA299)))),0)</f>
        <v>0</v>
      </c>
      <c r="EB309" s="24">
        <f>IF(EB301=1,'Lease Cycles'!$D$25*IF(INDEX('Lease Cycles'!$EF$25:$EL$25,1,EB299)=1,'Lease Cycles'!$AJ$25*INDEX('Lease Cycles'!$FO$25:$FU$25,1,EB299)*INDEX('Lease Cycles'!$EM$25:$ES$25,1,EB299)+'Lease Cycles'!$BE$25*IF(EB300&lt;INDEX('Lease Cycles'!$FA$25:$FG$25,1,EB299),0,1-INDEX('Lease Cycles'!$EM$25:$ES$25,1,EB299)),IF(OR(INDEX('Lease Cycles'!$DY$25:$EE$25,1,EB299)=1,EB300&gt;0),1,1-INDEX('Lease Cycles'!$DD$25:$DJ$25,1,EB299))*('Lease Cycles'!$AJ$25*INDEX('Lease Cycles'!$FO$25:$FU$25,1,EB299)+'Lease Cycles'!$BE$25*(1-INDEX('Lease Cycles'!$FO$25:$FU$25,1,EB299)))),0)</f>
        <v>0</v>
      </c>
      <c r="EC309" s="24">
        <f>IF(EC301=1,'Lease Cycles'!$D$25*IF(INDEX('Lease Cycles'!$EF$25:$EL$25,1,EC299)=1,'Lease Cycles'!$AJ$25*INDEX('Lease Cycles'!$FO$25:$FU$25,1,EC299)*INDEX('Lease Cycles'!$EM$25:$ES$25,1,EC299)+'Lease Cycles'!$BE$25*IF(EC300&lt;INDEX('Lease Cycles'!$FA$25:$FG$25,1,EC299),0,1-INDEX('Lease Cycles'!$EM$25:$ES$25,1,EC299)),IF(OR(INDEX('Lease Cycles'!$DY$25:$EE$25,1,EC299)=1,EC300&gt;0),1,1-INDEX('Lease Cycles'!$DD$25:$DJ$25,1,EC299))*('Lease Cycles'!$AJ$25*INDEX('Lease Cycles'!$FO$25:$FU$25,1,EC299)+'Lease Cycles'!$BE$25*(1-INDEX('Lease Cycles'!$FO$25:$FU$25,1,EC299)))),0)</f>
        <v>0</v>
      </c>
      <c r="ED309" s="24">
        <f>IF(ED301=1,'Lease Cycles'!$D$25*IF(INDEX('Lease Cycles'!$EF$25:$EL$25,1,ED299)=1,'Lease Cycles'!$AJ$25*INDEX('Lease Cycles'!$FO$25:$FU$25,1,ED299)*INDEX('Lease Cycles'!$EM$25:$ES$25,1,ED299)+'Lease Cycles'!$BE$25*IF(ED300&lt;INDEX('Lease Cycles'!$FA$25:$FG$25,1,ED299),0,1-INDEX('Lease Cycles'!$EM$25:$ES$25,1,ED299)),IF(OR(INDEX('Lease Cycles'!$DY$25:$EE$25,1,ED299)=1,ED300&gt;0),1,1-INDEX('Lease Cycles'!$DD$25:$DJ$25,1,ED299))*('Lease Cycles'!$AJ$25*INDEX('Lease Cycles'!$FO$25:$FU$25,1,ED299)+'Lease Cycles'!$BE$25*(1-INDEX('Lease Cycles'!$FO$25:$FU$25,1,ED299)))),0)</f>
        <v>0</v>
      </c>
      <c r="EE309" s="24">
        <f>IF(EE301=1,'Lease Cycles'!$D$25*IF(INDEX('Lease Cycles'!$EF$25:$EL$25,1,EE299)=1,'Lease Cycles'!$AJ$25*INDEX('Lease Cycles'!$FO$25:$FU$25,1,EE299)*INDEX('Lease Cycles'!$EM$25:$ES$25,1,EE299)+'Lease Cycles'!$BE$25*IF(EE300&lt;INDEX('Lease Cycles'!$FA$25:$FG$25,1,EE299),0,1-INDEX('Lease Cycles'!$EM$25:$ES$25,1,EE299)),IF(OR(INDEX('Lease Cycles'!$DY$25:$EE$25,1,EE299)=1,EE300&gt;0),1,1-INDEX('Lease Cycles'!$DD$25:$DJ$25,1,EE299))*('Lease Cycles'!$AJ$25*INDEX('Lease Cycles'!$FO$25:$FU$25,1,EE299)+'Lease Cycles'!$BE$25*(1-INDEX('Lease Cycles'!$FO$25:$FU$25,1,EE299)))),0)</f>
        <v>0</v>
      </c>
      <c r="EF309" s="24">
        <f>IF(EF301=1,'Lease Cycles'!$D$25*IF(INDEX('Lease Cycles'!$EF$25:$EL$25,1,EF299)=1,'Lease Cycles'!$AJ$25*INDEX('Lease Cycles'!$FO$25:$FU$25,1,EF299)*INDEX('Lease Cycles'!$EM$25:$ES$25,1,EF299)+'Lease Cycles'!$BE$25*IF(EF300&lt;INDEX('Lease Cycles'!$FA$25:$FG$25,1,EF299),0,1-INDEX('Lease Cycles'!$EM$25:$ES$25,1,EF299)),IF(OR(INDEX('Lease Cycles'!$DY$25:$EE$25,1,EF299)=1,EF300&gt;0),1,1-INDEX('Lease Cycles'!$DD$25:$DJ$25,1,EF299))*('Lease Cycles'!$AJ$25*INDEX('Lease Cycles'!$FO$25:$FU$25,1,EF299)+'Lease Cycles'!$BE$25*(1-INDEX('Lease Cycles'!$FO$25:$FU$25,1,EF299)))),0)</f>
        <v>0</v>
      </c>
      <c r="EG309" s="24">
        <f>IF(EG301=1,'Lease Cycles'!$D$25*IF(INDEX('Lease Cycles'!$EF$25:$EL$25,1,EG299)=1,'Lease Cycles'!$AJ$25*INDEX('Lease Cycles'!$FO$25:$FU$25,1,EG299)*INDEX('Lease Cycles'!$EM$25:$ES$25,1,EG299)+'Lease Cycles'!$BE$25*IF(EG300&lt;INDEX('Lease Cycles'!$FA$25:$FG$25,1,EG299),0,1-INDEX('Lease Cycles'!$EM$25:$ES$25,1,EG299)),IF(OR(INDEX('Lease Cycles'!$DY$25:$EE$25,1,EG299)=1,EG300&gt;0),1,1-INDEX('Lease Cycles'!$DD$25:$DJ$25,1,EG299))*('Lease Cycles'!$AJ$25*INDEX('Lease Cycles'!$FO$25:$FU$25,1,EG299)+'Lease Cycles'!$BE$25*(1-INDEX('Lease Cycles'!$FO$25:$FU$25,1,EG299)))),0)</f>
        <v>0</v>
      </c>
      <c r="EH309" s="24">
        <f>IF(EH301=1,'Lease Cycles'!$D$25*IF(INDEX('Lease Cycles'!$EF$25:$EL$25,1,EH299)=1,'Lease Cycles'!$AJ$25*INDEX('Lease Cycles'!$FO$25:$FU$25,1,EH299)*INDEX('Lease Cycles'!$EM$25:$ES$25,1,EH299)+'Lease Cycles'!$BE$25*IF(EH300&lt;INDEX('Lease Cycles'!$FA$25:$FG$25,1,EH299),0,1-INDEX('Lease Cycles'!$EM$25:$ES$25,1,EH299)),IF(OR(INDEX('Lease Cycles'!$DY$25:$EE$25,1,EH299)=1,EH300&gt;0),1,1-INDEX('Lease Cycles'!$DD$25:$DJ$25,1,EH299))*('Lease Cycles'!$AJ$25*INDEX('Lease Cycles'!$FO$25:$FU$25,1,EH299)+'Lease Cycles'!$BE$25*(1-INDEX('Lease Cycles'!$FO$25:$FU$25,1,EH299)))),0)</f>
        <v>0</v>
      </c>
      <c r="EI309" s="24">
        <f>IF(EI301=1,'Lease Cycles'!$D$25*IF(INDEX('Lease Cycles'!$EF$25:$EL$25,1,EI299)=1,'Lease Cycles'!$AJ$25*INDEX('Lease Cycles'!$FO$25:$FU$25,1,EI299)*INDEX('Lease Cycles'!$EM$25:$ES$25,1,EI299)+'Lease Cycles'!$BE$25*IF(EI300&lt;INDEX('Lease Cycles'!$FA$25:$FG$25,1,EI299),0,1-INDEX('Lease Cycles'!$EM$25:$ES$25,1,EI299)),IF(OR(INDEX('Lease Cycles'!$DY$25:$EE$25,1,EI299)=1,EI300&gt;0),1,1-INDEX('Lease Cycles'!$DD$25:$DJ$25,1,EI299))*('Lease Cycles'!$AJ$25*INDEX('Lease Cycles'!$FO$25:$FU$25,1,EI299)+'Lease Cycles'!$BE$25*(1-INDEX('Lease Cycles'!$FO$25:$FU$25,1,EI299)))),0)</f>
        <v>0</v>
      </c>
      <c r="EJ309" s="24">
        <f>IF(EJ301=1,'Lease Cycles'!$D$25*IF(INDEX('Lease Cycles'!$EF$25:$EL$25,1,EJ299)=1,'Lease Cycles'!$AJ$25*INDEX('Lease Cycles'!$FO$25:$FU$25,1,EJ299)*INDEX('Lease Cycles'!$EM$25:$ES$25,1,EJ299)+'Lease Cycles'!$BE$25*IF(EJ300&lt;INDEX('Lease Cycles'!$FA$25:$FG$25,1,EJ299),0,1-INDEX('Lease Cycles'!$EM$25:$ES$25,1,EJ299)),IF(OR(INDEX('Lease Cycles'!$DY$25:$EE$25,1,EJ299)=1,EJ300&gt;0),1,1-INDEX('Lease Cycles'!$DD$25:$DJ$25,1,EJ299))*('Lease Cycles'!$AJ$25*INDEX('Lease Cycles'!$FO$25:$FU$25,1,EJ299)+'Lease Cycles'!$BE$25*(1-INDEX('Lease Cycles'!$FO$25:$FU$25,1,EJ299)))),0)</f>
        <v>0</v>
      </c>
      <c r="EK309" s="24">
        <f>IF(EK301=1,'Lease Cycles'!$D$25*IF(INDEX('Lease Cycles'!$EF$25:$EL$25,1,EK299)=1,'Lease Cycles'!$AJ$25*INDEX('Lease Cycles'!$FO$25:$FU$25,1,EK299)*INDEX('Lease Cycles'!$EM$25:$ES$25,1,EK299)+'Lease Cycles'!$BE$25*IF(EK300&lt;INDEX('Lease Cycles'!$FA$25:$FG$25,1,EK299),0,1-INDEX('Lease Cycles'!$EM$25:$ES$25,1,EK299)),IF(OR(INDEX('Lease Cycles'!$DY$25:$EE$25,1,EK299)=1,EK300&gt;0),1,1-INDEX('Lease Cycles'!$DD$25:$DJ$25,1,EK299))*('Lease Cycles'!$AJ$25*INDEX('Lease Cycles'!$FO$25:$FU$25,1,EK299)+'Lease Cycles'!$BE$25*(1-INDEX('Lease Cycles'!$FO$25:$FU$25,1,EK299)))),0)</f>
        <v>0</v>
      </c>
      <c r="EL309" s="24">
        <f>IF(EL301=1,'Lease Cycles'!$D$25*IF(INDEX('Lease Cycles'!$EF$25:$EL$25,1,EL299)=1,'Lease Cycles'!$AJ$25*INDEX('Lease Cycles'!$FO$25:$FU$25,1,EL299)*INDEX('Lease Cycles'!$EM$25:$ES$25,1,EL299)+'Lease Cycles'!$BE$25*IF(EL300&lt;INDEX('Lease Cycles'!$FA$25:$FG$25,1,EL299),0,1-INDEX('Lease Cycles'!$EM$25:$ES$25,1,EL299)),IF(OR(INDEX('Lease Cycles'!$DY$25:$EE$25,1,EL299)=1,EL300&gt;0),1,1-INDEX('Lease Cycles'!$DD$25:$DJ$25,1,EL299))*('Lease Cycles'!$AJ$25*INDEX('Lease Cycles'!$FO$25:$FU$25,1,EL299)+'Lease Cycles'!$BE$25*(1-INDEX('Lease Cycles'!$FO$25:$FU$25,1,EL299)))),0)</f>
        <v>0</v>
      </c>
      <c r="EM309" s="24">
        <f>IF(EM301=1,'Lease Cycles'!$D$25*IF(INDEX('Lease Cycles'!$EF$25:$EL$25,1,EM299)=1,'Lease Cycles'!$AJ$25*INDEX('Lease Cycles'!$FO$25:$FU$25,1,EM299)*INDEX('Lease Cycles'!$EM$25:$ES$25,1,EM299)+'Lease Cycles'!$BE$25*IF(EM300&lt;INDEX('Lease Cycles'!$FA$25:$FG$25,1,EM299),0,1-INDEX('Lease Cycles'!$EM$25:$ES$25,1,EM299)),IF(OR(INDEX('Lease Cycles'!$DY$25:$EE$25,1,EM299)=1,EM300&gt;0),1,1-INDEX('Lease Cycles'!$DD$25:$DJ$25,1,EM299))*('Lease Cycles'!$AJ$25*INDEX('Lease Cycles'!$FO$25:$FU$25,1,EM299)+'Lease Cycles'!$BE$25*(1-INDEX('Lease Cycles'!$FO$25:$FU$25,1,EM299)))),0)</f>
        <v>0</v>
      </c>
      <c r="EN309" s="24">
        <f>IF(EN301=1,'Lease Cycles'!$D$25*IF(INDEX('Lease Cycles'!$EF$25:$EL$25,1,EN299)=1,'Lease Cycles'!$AJ$25*INDEX('Lease Cycles'!$FO$25:$FU$25,1,EN299)*INDEX('Lease Cycles'!$EM$25:$ES$25,1,EN299)+'Lease Cycles'!$BE$25*IF(EN300&lt;INDEX('Lease Cycles'!$FA$25:$FG$25,1,EN299),0,1-INDEX('Lease Cycles'!$EM$25:$ES$25,1,EN299)),IF(OR(INDEX('Lease Cycles'!$DY$25:$EE$25,1,EN299)=1,EN300&gt;0),1,1-INDEX('Lease Cycles'!$DD$25:$DJ$25,1,EN299))*('Lease Cycles'!$AJ$25*INDEX('Lease Cycles'!$FO$25:$FU$25,1,EN299)+'Lease Cycles'!$BE$25*(1-INDEX('Lease Cycles'!$FO$25:$FU$25,1,EN299)))),0)</f>
        <v>0</v>
      </c>
      <c r="EO309" s="24">
        <f>IF(EO301=1,'Lease Cycles'!$D$25*IF(INDEX('Lease Cycles'!$EF$25:$EL$25,1,EO299)=1,'Lease Cycles'!$AJ$25*INDEX('Lease Cycles'!$FO$25:$FU$25,1,EO299)*INDEX('Lease Cycles'!$EM$25:$ES$25,1,EO299)+'Lease Cycles'!$BE$25*IF(EO300&lt;INDEX('Lease Cycles'!$FA$25:$FG$25,1,EO299),0,1-INDEX('Lease Cycles'!$EM$25:$ES$25,1,EO299)),IF(OR(INDEX('Lease Cycles'!$DY$25:$EE$25,1,EO299)=1,EO300&gt;0),1,1-INDEX('Lease Cycles'!$DD$25:$DJ$25,1,EO299))*('Lease Cycles'!$AJ$25*INDEX('Lease Cycles'!$FO$25:$FU$25,1,EO299)+'Lease Cycles'!$BE$25*(1-INDEX('Lease Cycles'!$FO$25:$FU$25,1,EO299)))),0)</f>
        <v>0</v>
      </c>
      <c r="EP309" s="24">
        <f>IF(EP301=1,'Lease Cycles'!$D$25*IF(INDEX('Lease Cycles'!$EF$25:$EL$25,1,EP299)=1,'Lease Cycles'!$AJ$25*INDEX('Lease Cycles'!$FO$25:$FU$25,1,EP299)*INDEX('Lease Cycles'!$EM$25:$ES$25,1,EP299)+'Lease Cycles'!$BE$25*IF(EP300&lt;INDEX('Lease Cycles'!$FA$25:$FG$25,1,EP299),0,1-INDEX('Lease Cycles'!$EM$25:$ES$25,1,EP299)),IF(OR(INDEX('Lease Cycles'!$DY$25:$EE$25,1,EP299)=1,EP300&gt;0),1,1-INDEX('Lease Cycles'!$DD$25:$DJ$25,1,EP299))*('Lease Cycles'!$AJ$25*INDEX('Lease Cycles'!$FO$25:$FU$25,1,EP299)+'Lease Cycles'!$BE$25*(1-INDEX('Lease Cycles'!$FO$25:$FU$25,1,EP299)))),0)</f>
        <v>0</v>
      </c>
      <c r="EQ309" s="24">
        <f>IF(EQ301=1,'Lease Cycles'!$D$25*IF(INDEX('Lease Cycles'!$EF$25:$EL$25,1,EQ299)=1,'Lease Cycles'!$AJ$25*INDEX('Lease Cycles'!$FO$25:$FU$25,1,EQ299)*INDEX('Lease Cycles'!$EM$25:$ES$25,1,EQ299)+'Lease Cycles'!$BE$25*IF(EQ300&lt;INDEX('Lease Cycles'!$FA$25:$FG$25,1,EQ299),0,1-INDEX('Lease Cycles'!$EM$25:$ES$25,1,EQ299)),IF(OR(INDEX('Lease Cycles'!$DY$25:$EE$25,1,EQ299)=1,EQ300&gt;0),1,1-INDEX('Lease Cycles'!$DD$25:$DJ$25,1,EQ299))*('Lease Cycles'!$AJ$25*INDEX('Lease Cycles'!$FO$25:$FU$25,1,EQ299)+'Lease Cycles'!$BE$25*(1-INDEX('Lease Cycles'!$FO$25:$FU$25,1,EQ299)))),0)</f>
        <v>0</v>
      </c>
      <c r="ER309" s="24">
        <f>IF(ER301=1,'Lease Cycles'!$D$25*IF(INDEX('Lease Cycles'!$EF$25:$EL$25,1,ER299)=1,'Lease Cycles'!$AJ$25*INDEX('Lease Cycles'!$FO$25:$FU$25,1,ER299)*INDEX('Lease Cycles'!$EM$25:$ES$25,1,ER299)+'Lease Cycles'!$BE$25*IF(ER300&lt;INDEX('Lease Cycles'!$FA$25:$FG$25,1,ER299),0,1-INDEX('Lease Cycles'!$EM$25:$ES$25,1,ER299)),IF(OR(INDEX('Lease Cycles'!$DY$25:$EE$25,1,ER299)=1,ER300&gt;0),1,1-INDEX('Lease Cycles'!$DD$25:$DJ$25,1,ER299))*('Lease Cycles'!$AJ$25*INDEX('Lease Cycles'!$FO$25:$FU$25,1,ER299)+'Lease Cycles'!$BE$25*(1-INDEX('Lease Cycles'!$FO$25:$FU$25,1,ER299)))),0)</f>
        <v>0</v>
      </c>
      <c r="ES309" s="24">
        <f>IF(ES301=1,'Lease Cycles'!$D$25*IF(INDEX('Lease Cycles'!$EF$25:$EL$25,1,ES299)=1,'Lease Cycles'!$AJ$25*INDEX('Lease Cycles'!$FO$25:$FU$25,1,ES299)*INDEX('Lease Cycles'!$EM$25:$ES$25,1,ES299)+'Lease Cycles'!$BE$25*IF(ES300&lt;INDEX('Lease Cycles'!$FA$25:$FG$25,1,ES299),0,1-INDEX('Lease Cycles'!$EM$25:$ES$25,1,ES299)),IF(OR(INDEX('Lease Cycles'!$DY$25:$EE$25,1,ES299)=1,ES300&gt;0),1,1-INDEX('Lease Cycles'!$DD$25:$DJ$25,1,ES299))*('Lease Cycles'!$AJ$25*INDEX('Lease Cycles'!$FO$25:$FU$25,1,ES299)+'Lease Cycles'!$BE$25*(1-INDEX('Lease Cycles'!$FO$25:$FU$25,1,ES299)))),0)</f>
        <v>0</v>
      </c>
      <c r="ET309" s="24">
        <f>IF(ET301=1,'Lease Cycles'!$D$25*IF(INDEX('Lease Cycles'!$EF$25:$EL$25,1,ET299)=1,'Lease Cycles'!$AJ$25*INDEX('Lease Cycles'!$FO$25:$FU$25,1,ET299)*INDEX('Lease Cycles'!$EM$25:$ES$25,1,ET299)+'Lease Cycles'!$BE$25*IF(ET300&lt;INDEX('Lease Cycles'!$FA$25:$FG$25,1,ET299),0,1-INDEX('Lease Cycles'!$EM$25:$ES$25,1,ET299)),IF(OR(INDEX('Lease Cycles'!$DY$25:$EE$25,1,ET299)=1,ET300&gt;0),1,1-INDEX('Lease Cycles'!$DD$25:$DJ$25,1,ET299))*('Lease Cycles'!$AJ$25*INDEX('Lease Cycles'!$FO$25:$FU$25,1,ET299)+'Lease Cycles'!$BE$25*(1-INDEX('Lease Cycles'!$FO$25:$FU$25,1,ET299)))),0)</f>
        <v>0</v>
      </c>
    </row>
    <row r="310">
      <c r="A310" s="103">
        <v>18</v>
      </c>
      <c r="B310" s="23" t="str">
        <f>IF('Lease Cycles'!$B$25="","(empty slot)",'Lease Cycles'!$B$25)</f>
        <v>(empty slot)</v>
      </c>
      <c r="C310" s="23" t="s">
        <v>689</v>
      </c>
      <c r="D310" s="104" t="s">
        <v>690</v>
      </c>
      <c r="E310" s="25">
        <f>'Lease Cycles'!$AL$25</f>
        <v>0</v>
      </c>
      <c r="G310" s="28">
        <f>SUM(S310:AD310)</f>
        <v>0</v>
      </c>
      <c r="H310" s="28">
        <f>SUM(AE310:AP310)</f>
        <v>0</v>
      </c>
      <c r="I310" s="28">
        <f>SUM(AQ310:BB310)</f>
        <v>0</v>
      </c>
      <c r="J310" s="28">
        <f>SUM(BC310:BN310)</f>
        <v>0</v>
      </c>
      <c r="K310" s="28">
        <f>SUM(BO310:BZ310)</f>
        <v>0</v>
      </c>
      <c r="L310" s="28">
        <f>SUM(CA310:CL310)</f>
        <v>0</v>
      </c>
      <c r="M310" s="28">
        <f>SUM(CM310:CX310)</f>
        <v>0</v>
      </c>
      <c r="N310" s="28">
        <f>SUM(CY310:DJ310)</f>
        <v>0</v>
      </c>
      <c r="O310" s="28">
        <f>SUM(DK310:DV310)</f>
        <v>0</v>
      </c>
      <c r="P310" s="28">
        <f>SUM(DW310:EH310)</f>
        <v>0</v>
      </c>
      <c r="Q310" s="28">
        <f>SUM(EI310:ET310)</f>
        <v>0</v>
      </c>
      <c r="S310" s="28">
        <f>IF(S309=0,0,S309*MAX(0,(INDEX(c_CAMy,1,S$7)-INDEX(c_CAMy,1,INDEX('Lease Cycles'!$GC$25:$GI$25,1,S299)+1))*(1+'Lease Cycles'!$AK$25)+(INDEX(c_TAXy,1,S$7)-INDEX(c_TAXy,1,INDEX('Lease Cycles'!$GC$25:$GI$25,1,S299)+1))+(INDEX(c_INSy,1,S$7)-INDEX(c_INSy,1,INDEX('Lease Cycles'!$GC$25:$GI$25,1,S299)+1)))/12)</f>
        <v>0</v>
      </c>
      <c r="T310" s="28">
        <f>IF(T309=0,0,T309*MAX(0,(INDEX(c_CAMy,1,T$7)-INDEX(c_CAMy,1,INDEX('Lease Cycles'!$GC$25:$GI$25,1,T299)+1))*(1+'Lease Cycles'!$AK$25)+(INDEX(c_TAXy,1,T$7)-INDEX(c_TAXy,1,INDEX('Lease Cycles'!$GC$25:$GI$25,1,T299)+1))+(INDEX(c_INSy,1,T$7)-INDEX(c_INSy,1,INDEX('Lease Cycles'!$GC$25:$GI$25,1,T299)+1)))/12)</f>
        <v>0</v>
      </c>
      <c r="U310" s="28">
        <f>IF(U309=0,0,U309*MAX(0,(INDEX(c_CAMy,1,U$7)-INDEX(c_CAMy,1,INDEX('Lease Cycles'!$GC$25:$GI$25,1,U299)+1))*(1+'Lease Cycles'!$AK$25)+(INDEX(c_TAXy,1,U$7)-INDEX(c_TAXy,1,INDEX('Lease Cycles'!$GC$25:$GI$25,1,U299)+1))+(INDEX(c_INSy,1,U$7)-INDEX(c_INSy,1,INDEX('Lease Cycles'!$GC$25:$GI$25,1,U299)+1)))/12)</f>
        <v>0</v>
      </c>
      <c r="V310" s="28">
        <f>IF(V309=0,0,V309*MAX(0,(INDEX(c_CAMy,1,V$7)-INDEX(c_CAMy,1,INDEX('Lease Cycles'!$GC$25:$GI$25,1,V299)+1))*(1+'Lease Cycles'!$AK$25)+(INDEX(c_TAXy,1,V$7)-INDEX(c_TAXy,1,INDEX('Lease Cycles'!$GC$25:$GI$25,1,V299)+1))+(INDEX(c_INSy,1,V$7)-INDEX(c_INSy,1,INDEX('Lease Cycles'!$GC$25:$GI$25,1,V299)+1)))/12)</f>
        <v>0</v>
      </c>
      <c r="W310" s="28">
        <f>IF(W309=0,0,W309*MAX(0,(INDEX(c_CAMy,1,W$7)-INDEX(c_CAMy,1,INDEX('Lease Cycles'!$GC$25:$GI$25,1,W299)+1))*(1+'Lease Cycles'!$AK$25)+(INDEX(c_TAXy,1,W$7)-INDEX(c_TAXy,1,INDEX('Lease Cycles'!$GC$25:$GI$25,1,W299)+1))+(INDEX(c_INSy,1,W$7)-INDEX(c_INSy,1,INDEX('Lease Cycles'!$GC$25:$GI$25,1,W299)+1)))/12)</f>
        <v>0</v>
      </c>
      <c r="X310" s="28">
        <f>IF(X309=0,0,X309*MAX(0,(INDEX(c_CAMy,1,X$7)-INDEX(c_CAMy,1,INDEX('Lease Cycles'!$GC$25:$GI$25,1,X299)+1))*(1+'Lease Cycles'!$AK$25)+(INDEX(c_TAXy,1,X$7)-INDEX(c_TAXy,1,INDEX('Lease Cycles'!$GC$25:$GI$25,1,X299)+1))+(INDEX(c_INSy,1,X$7)-INDEX(c_INSy,1,INDEX('Lease Cycles'!$GC$25:$GI$25,1,X299)+1)))/12)</f>
        <v>0</v>
      </c>
      <c r="Y310" s="28">
        <f>IF(Y309=0,0,Y309*MAX(0,(INDEX(c_CAMy,1,Y$7)-INDEX(c_CAMy,1,INDEX('Lease Cycles'!$GC$25:$GI$25,1,Y299)+1))*(1+'Lease Cycles'!$AK$25)+(INDEX(c_TAXy,1,Y$7)-INDEX(c_TAXy,1,INDEX('Lease Cycles'!$GC$25:$GI$25,1,Y299)+1))+(INDEX(c_INSy,1,Y$7)-INDEX(c_INSy,1,INDEX('Lease Cycles'!$GC$25:$GI$25,1,Y299)+1)))/12)</f>
        <v>0</v>
      </c>
      <c r="Z310" s="28">
        <f>IF(Z309=0,0,Z309*MAX(0,(INDEX(c_CAMy,1,Z$7)-INDEX(c_CAMy,1,INDEX('Lease Cycles'!$GC$25:$GI$25,1,Z299)+1))*(1+'Lease Cycles'!$AK$25)+(INDEX(c_TAXy,1,Z$7)-INDEX(c_TAXy,1,INDEX('Lease Cycles'!$GC$25:$GI$25,1,Z299)+1))+(INDEX(c_INSy,1,Z$7)-INDEX(c_INSy,1,INDEX('Lease Cycles'!$GC$25:$GI$25,1,Z299)+1)))/12)</f>
        <v>0</v>
      </c>
      <c r="AA310" s="28">
        <f>IF(AA309=0,0,AA309*MAX(0,(INDEX(c_CAMy,1,AA$7)-INDEX(c_CAMy,1,INDEX('Lease Cycles'!$GC$25:$GI$25,1,AA299)+1))*(1+'Lease Cycles'!$AK$25)+(INDEX(c_TAXy,1,AA$7)-INDEX(c_TAXy,1,INDEX('Lease Cycles'!$GC$25:$GI$25,1,AA299)+1))+(INDEX(c_INSy,1,AA$7)-INDEX(c_INSy,1,INDEX('Lease Cycles'!$GC$25:$GI$25,1,AA299)+1)))/12)</f>
        <v>0</v>
      </c>
      <c r="AB310" s="28">
        <f>IF(AB309=0,0,AB309*MAX(0,(INDEX(c_CAMy,1,AB$7)-INDEX(c_CAMy,1,INDEX('Lease Cycles'!$GC$25:$GI$25,1,AB299)+1))*(1+'Lease Cycles'!$AK$25)+(INDEX(c_TAXy,1,AB$7)-INDEX(c_TAXy,1,INDEX('Lease Cycles'!$GC$25:$GI$25,1,AB299)+1))+(INDEX(c_INSy,1,AB$7)-INDEX(c_INSy,1,INDEX('Lease Cycles'!$GC$25:$GI$25,1,AB299)+1)))/12)</f>
        <v>0</v>
      </c>
      <c r="AC310" s="28">
        <f>IF(AC309=0,0,AC309*MAX(0,(INDEX(c_CAMy,1,AC$7)-INDEX(c_CAMy,1,INDEX('Lease Cycles'!$GC$25:$GI$25,1,AC299)+1))*(1+'Lease Cycles'!$AK$25)+(INDEX(c_TAXy,1,AC$7)-INDEX(c_TAXy,1,INDEX('Lease Cycles'!$GC$25:$GI$25,1,AC299)+1))+(INDEX(c_INSy,1,AC$7)-INDEX(c_INSy,1,INDEX('Lease Cycles'!$GC$25:$GI$25,1,AC299)+1)))/12)</f>
        <v>0</v>
      </c>
      <c r="AD310" s="28">
        <f>IF(AD309=0,0,AD309*MAX(0,(INDEX(c_CAMy,1,AD$7)-INDEX(c_CAMy,1,INDEX('Lease Cycles'!$GC$25:$GI$25,1,AD299)+1))*(1+'Lease Cycles'!$AK$25)+(INDEX(c_TAXy,1,AD$7)-INDEX(c_TAXy,1,INDEX('Lease Cycles'!$GC$25:$GI$25,1,AD299)+1))+(INDEX(c_INSy,1,AD$7)-INDEX(c_INSy,1,INDEX('Lease Cycles'!$GC$25:$GI$25,1,AD299)+1)))/12)</f>
        <v>0</v>
      </c>
      <c r="AE310" s="28">
        <f>IF(AE309=0,0,AE309*MAX(0,(INDEX(c_CAMy,1,AE$7)-INDEX(c_CAMy,1,INDEX('Lease Cycles'!$GC$25:$GI$25,1,AE299)+1))*(1+'Lease Cycles'!$AK$25)+(INDEX(c_TAXy,1,AE$7)-INDEX(c_TAXy,1,INDEX('Lease Cycles'!$GC$25:$GI$25,1,AE299)+1))+(INDEX(c_INSy,1,AE$7)-INDEX(c_INSy,1,INDEX('Lease Cycles'!$GC$25:$GI$25,1,AE299)+1)))/12)</f>
        <v>0</v>
      </c>
      <c r="AF310" s="28">
        <f>IF(AF309=0,0,AF309*MAX(0,(INDEX(c_CAMy,1,AF$7)-INDEX(c_CAMy,1,INDEX('Lease Cycles'!$GC$25:$GI$25,1,AF299)+1))*(1+'Lease Cycles'!$AK$25)+(INDEX(c_TAXy,1,AF$7)-INDEX(c_TAXy,1,INDEX('Lease Cycles'!$GC$25:$GI$25,1,AF299)+1))+(INDEX(c_INSy,1,AF$7)-INDEX(c_INSy,1,INDEX('Lease Cycles'!$GC$25:$GI$25,1,AF299)+1)))/12)</f>
        <v>0</v>
      </c>
      <c r="AG310" s="28">
        <f>IF(AG309=0,0,AG309*MAX(0,(INDEX(c_CAMy,1,AG$7)-INDEX(c_CAMy,1,INDEX('Lease Cycles'!$GC$25:$GI$25,1,AG299)+1))*(1+'Lease Cycles'!$AK$25)+(INDEX(c_TAXy,1,AG$7)-INDEX(c_TAXy,1,INDEX('Lease Cycles'!$GC$25:$GI$25,1,AG299)+1))+(INDEX(c_INSy,1,AG$7)-INDEX(c_INSy,1,INDEX('Lease Cycles'!$GC$25:$GI$25,1,AG299)+1)))/12)</f>
        <v>0</v>
      </c>
      <c r="AH310" s="28">
        <f>IF(AH309=0,0,AH309*MAX(0,(INDEX(c_CAMy,1,AH$7)-INDEX(c_CAMy,1,INDEX('Lease Cycles'!$GC$25:$GI$25,1,AH299)+1))*(1+'Lease Cycles'!$AK$25)+(INDEX(c_TAXy,1,AH$7)-INDEX(c_TAXy,1,INDEX('Lease Cycles'!$GC$25:$GI$25,1,AH299)+1))+(INDEX(c_INSy,1,AH$7)-INDEX(c_INSy,1,INDEX('Lease Cycles'!$GC$25:$GI$25,1,AH299)+1)))/12)</f>
        <v>0</v>
      </c>
      <c r="AI310" s="28">
        <f>IF(AI309=0,0,AI309*MAX(0,(INDEX(c_CAMy,1,AI$7)-INDEX(c_CAMy,1,INDEX('Lease Cycles'!$GC$25:$GI$25,1,AI299)+1))*(1+'Lease Cycles'!$AK$25)+(INDEX(c_TAXy,1,AI$7)-INDEX(c_TAXy,1,INDEX('Lease Cycles'!$GC$25:$GI$25,1,AI299)+1))+(INDEX(c_INSy,1,AI$7)-INDEX(c_INSy,1,INDEX('Lease Cycles'!$GC$25:$GI$25,1,AI299)+1)))/12)</f>
        <v>0</v>
      </c>
      <c r="AJ310" s="28">
        <f>IF(AJ309=0,0,AJ309*MAX(0,(INDEX(c_CAMy,1,AJ$7)-INDEX(c_CAMy,1,INDEX('Lease Cycles'!$GC$25:$GI$25,1,AJ299)+1))*(1+'Lease Cycles'!$AK$25)+(INDEX(c_TAXy,1,AJ$7)-INDEX(c_TAXy,1,INDEX('Lease Cycles'!$GC$25:$GI$25,1,AJ299)+1))+(INDEX(c_INSy,1,AJ$7)-INDEX(c_INSy,1,INDEX('Lease Cycles'!$GC$25:$GI$25,1,AJ299)+1)))/12)</f>
        <v>0</v>
      </c>
      <c r="AK310" s="28">
        <f>IF(AK309=0,0,AK309*MAX(0,(INDEX(c_CAMy,1,AK$7)-INDEX(c_CAMy,1,INDEX('Lease Cycles'!$GC$25:$GI$25,1,AK299)+1))*(1+'Lease Cycles'!$AK$25)+(INDEX(c_TAXy,1,AK$7)-INDEX(c_TAXy,1,INDEX('Lease Cycles'!$GC$25:$GI$25,1,AK299)+1))+(INDEX(c_INSy,1,AK$7)-INDEX(c_INSy,1,INDEX('Lease Cycles'!$GC$25:$GI$25,1,AK299)+1)))/12)</f>
        <v>0</v>
      </c>
      <c r="AL310" s="28">
        <f>IF(AL309=0,0,AL309*MAX(0,(INDEX(c_CAMy,1,AL$7)-INDEX(c_CAMy,1,INDEX('Lease Cycles'!$GC$25:$GI$25,1,AL299)+1))*(1+'Lease Cycles'!$AK$25)+(INDEX(c_TAXy,1,AL$7)-INDEX(c_TAXy,1,INDEX('Lease Cycles'!$GC$25:$GI$25,1,AL299)+1))+(INDEX(c_INSy,1,AL$7)-INDEX(c_INSy,1,INDEX('Lease Cycles'!$GC$25:$GI$25,1,AL299)+1)))/12)</f>
        <v>0</v>
      </c>
      <c r="AM310" s="28">
        <f>IF(AM309=0,0,AM309*MAX(0,(INDEX(c_CAMy,1,AM$7)-INDEX(c_CAMy,1,INDEX('Lease Cycles'!$GC$25:$GI$25,1,AM299)+1))*(1+'Lease Cycles'!$AK$25)+(INDEX(c_TAXy,1,AM$7)-INDEX(c_TAXy,1,INDEX('Lease Cycles'!$GC$25:$GI$25,1,AM299)+1))+(INDEX(c_INSy,1,AM$7)-INDEX(c_INSy,1,INDEX('Lease Cycles'!$GC$25:$GI$25,1,AM299)+1)))/12)</f>
        <v>0</v>
      </c>
      <c r="AN310" s="28">
        <f>IF(AN309=0,0,AN309*MAX(0,(INDEX(c_CAMy,1,AN$7)-INDEX(c_CAMy,1,INDEX('Lease Cycles'!$GC$25:$GI$25,1,AN299)+1))*(1+'Lease Cycles'!$AK$25)+(INDEX(c_TAXy,1,AN$7)-INDEX(c_TAXy,1,INDEX('Lease Cycles'!$GC$25:$GI$25,1,AN299)+1))+(INDEX(c_INSy,1,AN$7)-INDEX(c_INSy,1,INDEX('Lease Cycles'!$GC$25:$GI$25,1,AN299)+1)))/12)</f>
        <v>0</v>
      </c>
      <c r="AO310" s="28">
        <f>IF(AO309=0,0,AO309*MAX(0,(INDEX(c_CAMy,1,AO$7)-INDEX(c_CAMy,1,INDEX('Lease Cycles'!$GC$25:$GI$25,1,AO299)+1))*(1+'Lease Cycles'!$AK$25)+(INDEX(c_TAXy,1,AO$7)-INDEX(c_TAXy,1,INDEX('Lease Cycles'!$GC$25:$GI$25,1,AO299)+1))+(INDEX(c_INSy,1,AO$7)-INDEX(c_INSy,1,INDEX('Lease Cycles'!$GC$25:$GI$25,1,AO299)+1)))/12)</f>
        <v>0</v>
      </c>
      <c r="AP310" s="28">
        <f>IF(AP309=0,0,AP309*MAX(0,(INDEX(c_CAMy,1,AP$7)-INDEX(c_CAMy,1,INDEX('Lease Cycles'!$GC$25:$GI$25,1,AP299)+1))*(1+'Lease Cycles'!$AK$25)+(INDEX(c_TAXy,1,AP$7)-INDEX(c_TAXy,1,INDEX('Lease Cycles'!$GC$25:$GI$25,1,AP299)+1))+(INDEX(c_INSy,1,AP$7)-INDEX(c_INSy,1,INDEX('Lease Cycles'!$GC$25:$GI$25,1,AP299)+1)))/12)</f>
        <v>0</v>
      </c>
      <c r="AQ310" s="28">
        <f>IF(AQ309=0,0,AQ309*MAX(0,(INDEX(c_CAMy,1,AQ$7)-INDEX(c_CAMy,1,INDEX('Lease Cycles'!$GC$25:$GI$25,1,AQ299)+1))*(1+'Lease Cycles'!$AK$25)+(INDEX(c_TAXy,1,AQ$7)-INDEX(c_TAXy,1,INDEX('Lease Cycles'!$GC$25:$GI$25,1,AQ299)+1))+(INDEX(c_INSy,1,AQ$7)-INDEX(c_INSy,1,INDEX('Lease Cycles'!$GC$25:$GI$25,1,AQ299)+1)))/12)</f>
        <v>0</v>
      </c>
      <c r="AR310" s="28">
        <f>IF(AR309=0,0,AR309*MAX(0,(INDEX(c_CAMy,1,AR$7)-INDEX(c_CAMy,1,INDEX('Lease Cycles'!$GC$25:$GI$25,1,AR299)+1))*(1+'Lease Cycles'!$AK$25)+(INDEX(c_TAXy,1,AR$7)-INDEX(c_TAXy,1,INDEX('Lease Cycles'!$GC$25:$GI$25,1,AR299)+1))+(INDEX(c_INSy,1,AR$7)-INDEX(c_INSy,1,INDEX('Lease Cycles'!$GC$25:$GI$25,1,AR299)+1)))/12)</f>
        <v>0</v>
      </c>
      <c r="AS310" s="28">
        <f>IF(AS309=0,0,AS309*MAX(0,(INDEX(c_CAMy,1,AS$7)-INDEX(c_CAMy,1,INDEX('Lease Cycles'!$GC$25:$GI$25,1,AS299)+1))*(1+'Lease Cycles'!$AK$25)+(INDEX(c_TAXy,1,AS$7)-INDEX(c_TAXy,1,INDEX('Lease Cycles'!$GC$25:$GI$25,1,AS299)+1))+(INDEX(c_INSy,1,AS$7)-INDEX(c_INSy,1,INDEX('Lease Cycles'!$GC$25:$GI$25,1,AS299)+1)))/12)</f>
        <v>0</v>
      </c>
      <c r="AT310" s="28">
        <f>IF(AT309=0,0,AT309*MAX(0,(INDEX(c_CAMy,1,AT$7)-INDEX(c_CAMy,1,INDEX('Lease Cycles'!$GC$25:$GI$25,1,AT299)+1))*(1+'Lease Cycles'!$AK$25)+(INDEX(c_TAXy,1,AT$7)-INDEX(c_TAXy,1,INDEX('Lease Cycles'!$GC$25:$GI$25,1,AT299)+1))+(INDEX(c_INSy,1,AT$7)-INDEX(c_INSy,1,INDEX('Lease Cycles'!$GC$25:$GI$25,1,AT299)+1)))/12)</f>
        <v>0</v>
      </c>
      <c r="AU310" s="28">
        <f>IF(AU309=0,0,AU309*MAX(0,(INDEX(c_CAMy,1,AU$7)-INDEX(c_CAMy,1,INDEX('Lease Cycles'!$GC$25:$GI$25,1,AU299)+1))*(1+'Lease Cycles'!$AK$25)+(INDEX(c_TAXy,1,AU$7)-INDEX(c_TAXy,1,INDEX('Lease Cycles'!$GC$25:$GI$25,1,AU299)+1))+(INDEX(c_INSy,1,AU$7)-INDEX(c_INSy,1,INDEX('Lease Cycles'!$GC$25:$GI$25,1,AU299)+1)))/12)</f>
        <v>0</v>
      </c>
      <c r="AV310" s="28">
        <f>IF(AV309=0,0,AV309*MAX(0,(INDEX(c_CAMy,1,AV$7)-INDEX(c_CAMy,1,INDEX('Lease Cycles'!$GC$25:$GI$25,1,AV299)+1))*(1+'Lease Cycles'!$AK$25)+(INDEX(c_TAXy,1,AV$7)-INDEX(c_TAXy,1,INDEX('Lease Cycles'!$GC$25:$GI$25,1,AV299)+1))+(INDEX(c_INSy,1,AV$7)-INDEX(c_INSy,1,INDEX('Lease Cycles'!$GC$25:$GI$25,1,AV299)+1)))/12)</f>
        <v>0</v>
      </c>
      <c r="AW310" s="28">
        <f>IF(AW309=0,0,AW309*MAX(0,(INDEX(c_CAMy,1,AW$7)-INDEX(c_CAMy,1,INDEX('Lease Cycles'!$GC$25:$GI$25,1,AW299)+1))*(1+'Lease Cycles'!$AK$25)+(INDEX(c_TAXy,1,AW$7)-INDEX(c_TAXy,1,INDEX('Lease Cycles'!$GC$25:$GI$25,1,AW299)+1))+(INDEX(c_INSy,1,AW$7)-INDEX(c_INSy,1,INDEX('Lease Cycles'!$GC$25:$GI$25,1,AW299)+1)))/12)</f>
        <v>0</v>
      </c>
      <c r="AX310" s="28">
        <f>IF(AX309=0,0,AX309*MAX(0,(INDEX(c_CAMy,1,AX$7)-INDEX(c_CAMy,1,INDEX('Lease Cycles'!$GC$25:$GI$25,1,AX299)+1))*(1+'Lease Cycles'!$AK$25)+(INDEX(c_TAXy,1,AX$7)-INDEX(c_TAXy,1,INDEX('Lease Cycles'!$GC$25:$GI$25,1,AX299)+1))+(INDEX(c_INSy,1,AX$7)-INDEX(c_INSy,1,INDEX('Lease Cycles'!$GC$25:$GI$25,1,AX299)+1)))/12)</f>
        <v>0</v>
      </c>
      <c r="AY310" s="28">
        <f>IF(AY309=0,0,AY309*MAX(0,(INDEX(c_CAMy,1,AY$7)-INDEX(c_CAMy,1,INDEX('Lease Cycles'!$GC$25:$GI$25,1,AY299)+1))*(1+'Lease Cycles'!$AK$25)+(INDEX(c_TAXy,1,AY$7)-INDEX(c_TAXy,1,INDEX('Lease Cycles'!$GC$25:$GI$25,1,AY299)+1))+(INDEX(c_INSy,1,AY$7)-INDEX(c_INSy,1,INDEX('Lease Cycles'!$GC$25:$GI$25,1,AY299)+1)))/12)</f>
        <v>0</v>
      </c>
      <c r="AZ310" s="28">
        <f>IF(AZ309=0,0,AZ309*MAX(0,(INDEX(c_CAMy,1,AZ$7)-INDEX(c_CAMy,1,INDEX('Lease Cycles'!$GC$25:$GI$25,1,AZ299)+1))*(1+'Lease Cycles'!$AK$25)+(INDEX(c_TAXy,1,AZ$7)-INDEX(c_TAXy,1,INDEX('Lease Cycles'!$GC$25:$GI$25,1,AZ299)+1))+(INDEX(c_INSy,1,AZ$7)-INDEX(c_INSy,1,INDEX('Lease Cycles'!$GC$25:$GI$25,1,AZ299)+1)))/12)</f>
        <v>0</v>
      </c>
      <c r="BA310" s="28">
        <f>IF(BA309=0,0,BA309*MAX(0,(INDEX(c_CAMy,1,BA$7)-INDEX(c_CAMy,1,INDEX('Lease Cycles'!$GC$25:$GI$25,1,BA299)+1))*(1+'Lease Cycles'!$AK$25)+(INDEX(c_TAXy,1,BA$7)-INDEX(c_TAXy,1,INDEX('Lease Cycles'!$GC$25:$GI$25,1,BA299)+1))+(INDEX(c_INSy,1,BA$7)-INDEX(c_INSy,1,INDEX('Lease Cycles'!$GC$25:$GI$25,1,BA299)+1)))/12)</f>
        <v>0</v>
      </c>
      <c r="BB310" s="28">
        <f>IF(BB309=0,0,BB309*MAX(0,(INDEX(c_CAMy,1,BB$7)-INDEX(c_CAMy,1,INDEX('Lease Cycles'!$GC$25:$GI$25,1,BB299)+1))*(1+'Lease Cycles'!$AK$25)+(INDEX(c_TAXy,1,BB$7)-INDEX(c_TAXy,1,INDEX('Lease Cycles'!$GC$25:$GI$25,1,BB299)+1))+(INDEX(c_INSy,1,BB$7)-INDEX(c_INSy,1,INDEX('Lease Cycles'!$GC$25:$GI$25,1,BB299)+1)))/12)</f>
        <v>0</v>
      </c>
      <c r="BC310" s="28">
        <f>IF(BC309=0,0,BC309*MAX(0,(INDEX(c_CAMy,1,BC$7)-INDEX(c_CAMy,1,INDEX('Lease Cycles'!$GC$25:$GI$25,1,BC299)+1))*(1+'Lease Cycles'!$AK$25)+(INDEX(c_TAXy,1,BC$7)-INDEX(c_TAXy,1,INDEX('Lease Cycles'!$GC$25:$GI$25,1,BC299)+1))+(INDEX(c_INSy,1,BC$7)-INDEX(c_INSy,1,INDEX('Lease Cycles'!$GC$25:$GI$25,1,BC299)+1)))/12)</f>
        <v>0</v>
      </c>
      <c r="BD310" s="28">
        <f>IF(BD309=0,0,BD309*MAX(0,(INDEX(c_CAMy,1,BD$7)-INDEX(c_CAMy,1,INDEX('Lease Cycles'!$GC$25:$GI$25,1,BD299)+1))*(1+'Lease Cycles'!$AK$25)+(INDEX(c_TAXy,1,BD$7)-INDEX(c_TAXy,1,INDEX('Lease Cycles'!$GC$25:$GI$25,1,BD299)+1))+(INDEX(c_INSy,1,BD$7)-INDEX(c_INSy,1,INDEX('Lease Cycles'!$GC$25:$GI$25,1,BD299)+1)))/12)</f>
        <v>0</v>
      </c>
      <c r="BE310" s="28">
        <f>IF(BE309=0,0,BE309*MAX(0,(INDEX(c_CAMy,1,BE$7)-INDEX(c_CAMy,1,INDEX('Lease Cycles'!$GC$25:$GI$25,1,BE299)+1))*(1+'Lease Cycles'!$AK$25)+(INDEX(c_TAXy,1,BE$7)-INDEX(c_TAXy,1,INDEX('Lease Cycles'!$GC$25:$GI$25,1,BE299)+1))+(INDEX(c_INSy,1,BE$7)-INDEX(c_INSy,1,INDEX('Lease Cycles'!$GC$25:$GI$25,1,BE299)+1)))/12)</f>
        <v>0</v>
      </c>
      <c r="BF310" s="28">
        <f>IF(BF309=0,0,BF309*MAX(0,(INDEX(c_CAMy,1,BF$7)-INDEX(c_CAMy,1,INDEX('Lease Cycles'!$GC$25:$GI$25,1,BF299)+1))*(1+'Lease Cycles'!$AK$25)+(INDEX(c_TAXy,1,BF$7)-INDEX(c_TAXy,1,INDEX('Lease Cycles'!$GC$25:$GI$25,1,BF299)+1))+(INDEX(c_INSy,1,BF$7)-INDEX(c_INSy,1,INDEX('Lease Cycles'!$GC$25:$GI$25,1,BF299)+1)))/12)</f>
        <v>0</v>
      </c>
      <c r="BG310" s="28">
        <f>IF(BG309=0,0,BG309*MAX(0,(INDEX(c_CAMy,1,BG$7)-INDEX(c_CAMy,1,INDEX('Lease Cycles'!$GC$25:$GI$25,1,BG299)+1))*(1+'Lease Cycles'!$AK$25)+(INDEX(c_TAXy,1,BG$7)-INDEX(c_TAXy,1,INDEX('Lease Cycles'!$GC$25:$GI$25,1,BG299)+1))+(INDEX(c_INSy,1,BG$7)-INDEX(c_INSy,1,INDEX('Lease Cycles'!$GC$25:$GI$25,1,BG299)+1)))/12)</f>
        <v>0</v>
      </c>
      <c r="BH310" s="28">
        <f>IF(BH309=0,0,BH309*MAX(0,(INDEX(c_CAMy,1,BH$7)-INDEX(c_CAMy,1,INDEX('Lease Cycles'!$GC$25:$GI$25,1,BH299)+1))*(1+'Lease Cycles'!$AK$25)+(INDEX(c_TAXy,1,BH$7)-INDEX(c_TAXy,1,INDEX('Lease Cycles'!$GC$25:$GI$25,1,BH299)+1))+(INDEX(c_INSy,1,BH$7)-INDEX(c_INSy,1,INDEX('Lease Cycles'!$GC$25:$GI$25,1,BH299)+1)))/12)</f>
        <v>0</v>
      </c>
      <c r="BI310" s="28">
        <f>IF(BI309=0,0,BI309*MAX(0,(INDEX(c_CAMy,1,BI$7)-INDEX(c_CAMy,1,INDEX('Lease Cycles'!$GC$25:$GI$25,1,BI299)+1))*(1+'Lease Cycles'!$AK$25)+(INDEX(c_TAXy,1,BI$7)-INDEX(c_TAXy,1,INDEX('Lease Cycles'!$GC$25:$GI$25,1,BI299)+1))+(INDEX(c_INSy,1,BI$7)-INDEX(c_INSy,1,INDEX('Lease Cycles'!$GC$25:$GI$25,1,BI299)+1)))/12)</f>
        <v>0</v>
      </c>
      <c r="BJ310" s="28">
        <f>IF(BJ309=0,0,BJ309*MAX(0,(INDEX(c_CAMy,1,BJ$7)-INDEX(c_CAMy,1,INDEX('Lease Cycles'!$GC$25:$GI$25,1,BJ299)+1))*(1+'Lease Cycles'!$AK$25)+(INDEX(c_TAXy,1,BJ$7)-INDEX(c_TAXy,1,INDEX('Lease Cycles'!$GC$25:$GI$25,1,BJ299)+1))+(INDEX(c_INSy,1,BJ$7)-INDEX(c_INSy,1,INDEX('Lease Cycles'!$GC$25:$GI$25,1,BJ299)+1)))/12)</f>
        <v>0</v>
      </c>
      <c r="BK310" s="28">
        <f>IF(BK309=0,0,BK309*MAX(0,(INDEX(c_CAMy,1,BK$7)-INDEX(c_CAMy,1,INDEX('Lease Cycles'!$GC$25:$GI$25,1,BK299)+1))*(1+'Lease Cycles'!$AK$25)+(INDEX(c_TAXy,1,BK$7)-INDEX(c_TAXy,1,INDEX('Lease Cycles'!$GC$25:$GI$25,1,BK299)+1))+(INDEX(c_INSy,1,BK$7)-INDEX(c_INSy,1,INDEX('Lease Cycles'!$GC$25:$GI$25,1,BK299)+1)))/12)</f>
        <v>0</v>
      </c>
      <c r="BL310" s="28">
        <f>IF(BL309=0,0,BL309*MAX(0,(INDEX(c_CAMy,1,BL$7)-INDEX(c_CAMy,1,INDEX('Lease Cycles'!$GC$25:$GI$25,1,BL299)+1))*(1+'Lease Cycles'!$AK$25)+(INDEX(c_TAXy,1,BL$7)-INDEX(c_TAXy,1,INDEX('Lease Cycles'!$GC$25:$GI$25,1,BL299)+1))+(INDEX(c_INSy,1,BL$7)-INDEX(c_INSy,1,INDEX('Lease Cycles'!$GC$25:$GI$25,1,BL299)+1)))/12)</f>
        <v>0</v>
      </c>
      <c r="BM310" s="28">
        <f>IF(BM309=0,0,BM309*MAX(0,(INDEX(c_CAMy,1,BM$7)-INDEX(c_CAMy,1,INDEX('Lease Cycles'!$GC$25:$GI$25,1,BM299)+1))*(1+'Lease Cycles'!$AK$25)+(INDEX(c_TAXy,1,BM$7)-INDEX(c_TAXy,1,INDEX('Lease Cycles'!$GC$25:$GI$25,1,BM299)+1))+(INDEX(c_INSy,1,BM$7)-INDEX(c_INSy,1,INDEX('Lease Cycles'!$GC$25:$GI$25,1,BM299)+1)))/12)</f>
        <v>0</v>
      </c>
      <c r="BN310" s="28">
        <f>IF(BN309=0,0,BN309*MAX(0,(INDEX(c_CAMy,1,BN$7)-INDEX(c_CAMy,1,INDEX('Lease Cycles'!$GC$25:$GI$25,1,BN299)+1))*(1+'Lease Cycles'!$AK$25)+(INDEX(c_TAXy,1,BN$7)-INDEX(c_TAXy,1,INDEX('Lease Cycles'!$GC$25:$GI$25,1,BN299)+1))+(INDEX(c_INSy,1,BN$7)-INDEX(c_INSy,1,INDEX('Lease Cycles'!$GC$25:$GI$25,1,BN299)+1)))/12)</f>
        <v>0</v>
      </c>
      <c r="BO310" s="28">
        <f>IF(BO309=0,0,BO309*MAX(0,(INDEX(c_CAMy,1,BO$7)-INDEX(c_CAMy,1,INDEX('Lease Cycles'!$GC$25:$GI$25,1,BO299)+1))*(1+'Lease Cycles'!$AK$25)+(INDEX(c_TAXy,1,BO$7)-INDEX(c_TAXy,1,INDEX('Lease Cycles'!$GC$25:$GI$25,1,BO299)+1))+(INDEX(c_INSy,1,BO$7)-INDEX(c_INSy,1,INDEX('Lease Cycles'!$GC$25:$GI$25,1,BO299)+1)))/12)</f>
        <v>0</v>
      </c>
      <c r="BP310" s="28">
        <f>IF(BP309=0,0,BP309*MAX(0,(INDEX(c_CAMy,1,BP$7)-INDEX(c_CAMy,1,INDEX('Lease Cycles'!$GC$25:$GI$25,1,BP299)+1))*(1+'Lease Cycles'!$AK$25)+(INDEX(c_TAXy,1,BP$7)-INDEX(c_TAXy,1,INDEX('Lease Cycles'!$GC$25:$GI$25,1,BP299)+1))+(INDEX(c_INSy,1,BP$7)-INDEX(c_INSy,1,INDEX('Lease Cycles'!$GC$25:$GI$25,1,BP299)+1)))/12)</f>
        <v>0</v>
      </c>
      <c r="BQ310" s="28">
        <f>IF(BQ309=0,0,BQ309*MAX(0,(INDEX(c_CAMy,1,BQ$7)-INDEX(c_CAMy,1,INDEX('Lease Cycles'!$GC$25:$GI$25,1,BQ299)+1))*(1+'Lease Cycles'!$AK$25)+(INDEX(c_TAXy,1,BQ$7)-INDEX(c_TAXy,1,INDEX('Lease Cycles'!$GC$25:$GI$25,1,BQ299)+1))+(INDEX(c_INSy,1,BQ$7)-INDEX(c_INSy,1,INDEX('Lease Cycles'!$GC$25:$GI$25,1,BQ299)+1)))/12)</f>
        <v>0</v>
      </c>
      <c r="BR310" s="28">
        <f>IF(BR309=0,0,BR309*MAX(0,(INDEX(c_CAMy,1,BR$7)-INDEX(c_CAMy,1,INDEX('Lease Cycles'!$GC$25:$GI$25,1,BR299)+1))*(1+'Lease Cycles'!$AK$25)+(INDEX(c_TAXy,1,BR$7)-INDEX(c_TAXy,1,INDEX('Lease Cycles'!$GC$25:$GI$25,1,BR299)+1))+(INDEX(c_INSy,1,BR$7)-INDEX(c_INSy,1,INDEX('Lease Cycles'!$GC$25:$GI$25,1,BR299)+1)))/12)</f>
        <v>0</v>
      </c>
      <c r="BS310" s="28">
        <f>IF(BS309=0,0,BS309*MAX(0,(INDEX(c_CAMy,1,BS$7)-INDEX(c_CAMy,1,INDEX('Lease Cycles'!$GC$25:$GI$25,1,BS299)+1))*(1+'Lease Cycles'!$AK$25)+(INDEX(c_TAXy,1,BS$7)-INDEX(c_TAXy,1,INDEX('Lease Cycles'!$GC$25:$GI$25,1,BS299)+1))+(INDEX(c_INSy,1,BS$7)-INDEX(c_INSy,1,INDEX('Lease Cycles'!$GC$25:$GI$25,1,BS299)+1)))/12)</f>
        <v>0</v>
      </c>
      <c r="BT310" s="28">
        <f>IF(BT309=0,0,BT309*MAX(0,(INDEX(c_CAMy,1,BT$7)-INDEX(c_CAMy,1,INDEX('Lease Cycles'!$GC$25:$GI$25,1,BT299)+1))*(1+'Lease Cycles'!$AK$25)+(INDEX(c_TAXy,1,BT$7)-INDEX(c_TAXy,1,INDEX('Lease Cycles'!$GC$25:$GI$25,1,BT299)+1))+(INDEX(c_INSy,1,BT$7)-INDEX(c_INSy,1,INDEX('Lease Cycles'!$GC$25:$GI$25,1,BT299)+1)))/12)</f>
        <v>0</v>
      </c>
      <c r="BU310" s="28">
        <f>IF(BU309=0,0,BU309*MAX(0,(INDEX(c_CAMy,1,BU$7)-INDEX(c_CAMy,1,INDEX('Lease Cycles'!$GC$25:$GI$25,1,BU299)+1))*(1+'Lease Cycles'!$AK$25)+(INDEX(c_TAXy,1,BU$7)-INDEX(c_TAXy,1,INDEX('Lease Cycles'!$GC$25:$GI$25,1,BU299)+1))+(INDEX(c_INSy,1,BU$7)-INDEX(c_INSy,1,INDEX('Lease Cycles'!$GC$25:$GI$25,1,BU299)+1)))/12)</f>
        <v>0</v>
      </c>
      <c r="BV310" s="28">
        <f>IF(BV309=0,0,BV309*MAX(0,(INDEX(c_CAMy,1,BV$7)-INDEX(c_CAMy,1,INDEX('Lease Cycles'!$GC$25:$GI$25,1,BV299)+1))*(1+'Lease Cycles'!$AK$25)+(INDEX(c_TAXy,1,BV$7)-INDEX(c_TAXy,1,INDEX('Lease Cycles'!$GC$25:$GI$25,1,BV299)+1))+(INDEX(c_INSy,1,BV$7)-INDEX(c_INSy,1,INDEX('Lease Cycles'!$GC$25:$GI$25,1,BV299)+1)))/12)</f>
        <v>0</v>
      </c>
      <c r="BW310" s="28">
        <f>IF(BW309=0,0,BW309*MAX(0,(INDEX(c_CAMy,1,BW$7)-INDEX(c_CAMy,1,INDEX('Lease Cycles'!$GC$25:$GI$25,1,BW299)+1))*(1+'Lease Cycles'!$AK$25)+(INDEX(c_TAXy,1,BW$7)-INDEX(c_TAXy,1,INDEX('Lease Cycles'!$GC$25:$GI$25,1,BW299)+1))+(INDEX(c_INSy,1,BW$7)-INDEX(c_INSy,1,INDEX('Lease Cycles'!$GC$25:$GI$25,1,BW299)+1)))/12)</f>
        <v>0</v>
      </c>
      <c r="BX310" s="28">
        <f>IF(BX309=0,0,BX309*MAX(0,(INDEX(c_CAMy,1,BX$7)-INDEX(c_CAMy,1,INDEX('Lease Cycles'!$GC$25:$GI$25,1,BX299)+1))*(1+'Lease Cycles'!$AK$25)+(INDEX(c_TAXy,1,BX$7)-INDEX(c_TAXy,1,INDEX('Lease Cycles'!$GC$25:$GI$25,1,BX299)+1))+(INDEX(c_INSy,1,BX$7)-INDEX(c_INSy,1,INDEX('Lease Cycles'!$GC$25:$GI$25,1,BX299)+1)))/12)</f>
        <v>0</v>
      </c>
      <c r="BY310" s="28">
        <f>IF(BY309=0,0,BY309*MAX(0,(INDEX(c_CAMy,1,BY$7)-INDEX(c_CAMy,1,INDEX('Lease Cycles'!$GC$25:$GI$25,1,BY299)+1))*(1+'Lease Cycles'!$AK$25)+(INDEX(c_TAXy,1,BY$7)-INDEX(c_TAXy,1,INDEX('Lease Cycles'!$GC$25:$GI$25,1,BY299)+1))+(INDEX(c_INSy,1,BY$7)-INDEX(c_INSy,1,INDEX('Lease Cycles'!$GC$25:$GI$25,1,BY299)+1)))/12)</f>
        <v>0</v>
      </c>
      <c r="BZ310" s="28">
        <f>IF(BZ309=0,0,BZ309*MAX(0,(INDEX(c_CAMy,1,BZ$7)-INDEX(c_CAMy,1,INDEX('Lease Cycles'!$GC$25:$GI$25,1,BZ299)+1))*(1+'Lease Cycles'!$AK$25)+(INDEX(c_TAXy,1,BZ$7)-INDEX(c_TAXy,1,INDEX('Lease Cycles'!$GC$25:$GI$25,1,BZ299)+1))+(INDEX(c_INSy,1,BZ$7)-INDEX(c_INSy,1,INDEX('Lease Cycles'!$GC$25:$GI$25,1,BZ299)+1)))/12)</f>
        <v>0</v>
      </c>
      <c r="CA310" s="28">
        <f>IF(CA309=0,0,CA309*MAX(0,(INDEX(c_CAMy,1,CA$7)-INDEX(c_CAMy,1,INDEX('Lease Cycles'!$GC$25:$GI$25,1,CA299)+1))*(1+'Lease Cycles'!$AK$25)+(INDEX(c_TAXy,1,CA$7)-INDEX(c_TAXy,1,INDEX('Lease Cycles'!$GC$25:$GI$25,1,CA299)+1))+(INDEX(c_INSy,1,CA$7)-INDEX(c_INSy,1,INDEX('Lease Cycles'!$GC$25:$GI$25,1,CA299)+1)))/12)</f>
        <v>0</v>
      </c>
      <c r="CB310" s="28">
        <f>IF(CB309=0,0,CB309*MAX(0,(INDEX(c_CAMy,1,CB$7)-INDEX(c_CAMy,1,INDEX('Lease Cycles'!$GC$25:$GI$25,1,CB299)+1))*(1+'Lease Cycles'!$AK$25)+(INDEX(c_TAXy,1,CB$7)-INDEX(c_TAXy,1,INDEX('Lease Cycles'!$GC$25:$GI$25,1,CB299)+1))+(INDEX(c_INSy,1,CB$7)-INDEX(c_INSy,1,INDEX('Lease Cycles'!$GC$25:$GI$25,1,CB299)+1)))/12)</f>
        <v>0</v>
      </c>
      <c r="CC310" s="28">
        <f>IF(CC309=0,0,CC309*MAX(0,(INDEX(c_CAMy,1,CC$7)-INDEX(c_CAMy,1,INDEX('Lease Cycles'!$GC$25:$GI$25,1,CC299)+1))*(1+'Lease Cycles'!$AK$25)+(INDEX(c_TAXy,1,CC$7)-INDEX(c_TAXy,1,INDEX('Lease Cycles'!$GC$25:$GI$25,1,CC299)+1))+(INDEX(c_INSy,1,CC$7)-INDEX(c_INSy,1,INDEX('Lease Cycles'!$GC$25:$GI$25,1,CC299)+1)))/12)</f>
        <v>0</v>
      </c>
      <c r="CD310" s="28">
        <f>IF(CD309=0,0,CD309*MAX(0,(INDEX(c_CAMy,1,CD$7)-INDEX(c_CAMy,1,INDEX('Lease Cycles'!$GC$25:$GI$25,1,CD299)+1))*(1+'Lease Cycles'!$AK$25)+(INDEX(c_TAXy,1,CD$7)-INDEX(c_TAXy,1,INDEX('Lease Cycles'!$GC$25:$GI$25,1,CD299)+1))+(INDEX(c_INSy,1,CD$7)-INDEX(c_INSy,1,INDEX('Lease Cycles'!$GC$25:$GI$25,1,CD299)+1)))/12)</f>
        <v>0</v>
      </c>
      <c r="CE310" s="28">
        <f>IF(CE309=0,0,CE309*MAX(0,(INDEX(c_CAMy,1,CE$7)-INDEX(c_CAMy,1,INDEX('Lease Cycles'!$GC$25:$GI$25,1,CE299)+1))*(1+'Lease Cycles'!$AK$25)+(INDEX(c_TAXy,1,CE$7)-INDEX(c_TAXy,1,INDEX('Lease Cycles'!$GC$25:$GI$25,1,CE299)+1))+(INDEX(c_INSy,1,CE$7)-INDEX(c_INSy,1,INDEX('Lease Cycles'!$GC$25:$GI$25,1,CE299)+1)))/12)</f>
        <v>0</v>
      </c>
      <c r="CF310" s="28">
        <f>IF(CF309=0,0,CF309*MAX(0,(INDEX(c_CAMy,1,CF$7)-INDEX(c_CAMy,1,INDEX('Lease Cycles'!$GC$25:$GI$25,1,CF299)+1))*(1+'Lease Cycles'!$AK$25)+(INDEX(c_TAXy,1,CF$7)-INDEX(c_TAXy,1,INDEX('Lease Cycles'!$GC$25:$GI$25,1,CF299)+1))+(INDEX(c_INSy,1,CF$7)-INDEX(c_INSy,1,INDEX('Lease Cycles'!$GC$25:$GI$25,1,CF299)+1)))/12)</f>
        <v>0</v>
      </c>
      <c r="CG310" s="28">
        <f>IF(CG309=0,0,CG309*MAX(0,(INDEX(c_CAMy,1,CG$7)-INDEX(c_CAMy,1,INDEX('Lease Cycles'!$GC$25:$GI$25,1,CG299)+1))*(1+'Lease Cycles'!$AK$25)+(INDEX(c_TAXy,1,CG$7)-INDEX(c_TAXy,1,INDEX('Lease Cycles'!$GC$25:$GI$25,1,CG299)+1))+(INDEX(c_INSy,1,CG$7)-INDEX(c_INSy,1,INDEX('Lease Cycles'!$GC$25:$GI$25,1,CG299)+1)))/12)</f>
        <v>0</v>
      </c>
      <c r="CH310" s="28">
        <f>IF(CH309=0,0,CH309*MAX(0,(INDEX(c_CAMy,1,CH$7)-INDEX(c_CAMy,1,INDEX('Lease Cycles'!$GC$25:$GI$25,1,CH299)+1))*(1+'Lease Cycles'!$AK$25)+(INDEX(c_TAXy,1,CH$7)-INDEX(c_TAXy,1,INDEX('Lease Cycles'!$GC$25:$GI$25,1,CH299)+1))+(INDEX(c_INSy,1,CH$7)-INDEX(c_INSy,1,INDEX('Lease Cycles'!$GC$25:$GI$25,1,CH299)+1)))/12)</f>
        <v>0</v>
      </c>
      <c r="CI310" s="28">
        <f>IF(CI309=0,0,CI309*MAX(0,(INDEX(c_CAMy,1,CI$7)-INDEX(c_CAMy,1,INDEX('Lease Cycles'!$GC$25:$GI$25,1,CI299)+1))*(1+'Lease Cycles'!$AK$25)+(INDEX(c_TAXy,1,CI$7)-INDEX(c_TAXy,1,INDEX('Lease Cycles'!$GC$25:$GI$25,1,CI299)+1))+(INDEX(c_INSy,1,CI$7)-INDEX(c_INSy,1,INDEX('Lease Cycles'!$GC$25:$GI$25,1,CI299)+1)))/12)</f>
        <v>0</v>
      </c>
      <c r="CJ310" s="28">
        <f>IF(CJ309=0,0,CJ309*MAX(0,(INDEX(c_CAMy,1,CJ$7)-INDEX(c_CAMy,1,INDEX('Lease Cycles'!$GC$25:$GI$25,1,CJ299)+1))*(1+'Lease Cycles'!$AK$25)+(INDEX(c_TAXy,1,CJ$7)-INDEX(c_TAXy,1,INDEX('Lease Cycles'!$GC$25:$GI$25,1,CJ299)+1))+(INDEX(c_INSy,1,CJ$7)-INDEX(c_INSy,1,INDEX('Lease Cycles'!$GC$25:$GI$25,1,CJ299)+1)))/12)</f>
        <v>0</v>
      </c>
      <c r="CK310" s="28">
        <f>IF(CK309=0,0,CK309*MAX(0,(INDEX(c_CAMy,1,CK$7)-INDEX(c_CAMy,1,INDEX('Lease Cycles'!$GC$25:$GI$25,1,CK299)+1))*(1+'Lease Cycles'!$AK$25)+(INDEX(c_TAXy,1,CK$7)-INDEX(c_TAXy,1,INDEX('Lease Cycles'!$GC$25:$GI$25,1,CK299)+1))+(INDEX(c_INSy,1,CK$7)-INDEX(c_INSy,1,INDEX('Lease Cycles'!$GC$25:$GI$25,1,CK299)+1)))/12)</f>
        <v>0</v>
      </c>
      <c r="CL310" s="28">
        <f>IF(CL309=0,0,CL309*MAX(0,(INDEX(c_CAMy,1,CL$7)-INDEX(c_CAMy,1,INDEX('Lease Cycles'!$GC$25:$GI$25,1,CL299)+1))*(1+'Lease Cycles'!$AK$25)+(INDEX(c_TAXy,1,CL$7)-INDEX(c_TAXy,1,INDEX('Lease Cycles'!$GC$25:$GI$25,1,CL299)+1))+(INDEX(c_INSy,1,CL$7)-INDEX(c_INSy,1,INDEX('Lease Cycles'!$GC$25:$GI$25,1,CL299)+1)))/12)</f>
        <v>0</v>
      </c>
      <c r="CM310" s="28">
        <f>IF(CM309=0,0,CM309*MAX(0,(INDEX(c_CAMy,1,CM$7)-INDEX(c_CAMy,1,INDEX('Lease Cycles'!$GC$25:$GI$25,1,CM299)+1))*(1+'Lease Cycles'!$AK$25)+(INDEX(c_TAXy,1,CM$7)-INDEX(c_TAXy,1,INDEX('Lease Cycles'!$GC$25:$GI$25,1,CM299)+1))+(INDEX(c_INSy,1,CM$7)-INDEX(c_INSy,1,INDEX('Lease Cycles'!$GC$25:$GI$25,1,CM299)+1)))/12)</f>
        <v>0</v>
      </c>
      <c r="CN310" s="28">
        <f>IF(CN309=0,0,CN309*MAX(0,(INDEX(c_CAMy,1,CN$7)-INDEX(c_CAMy,1,INDEX('Lease Cycles'!$GC$25:$GI$25,1,CN299)+1))*(1+'Lease Cycles'!$AK$25)+(INDEX(c_TAXy,1,CN$7)-INDEX(c_TAXy,1,INDEX('Lease Cycles'!$GC$25:$GI$25,1,CN299)+1))+(INDEX(c_INSy,1,CN$7)-INDEX(c_INSy,1,INDEX('Lease Cycles'!$GC$25:$GI$25,1,CN299)+1)))/12)</f>
        <v>0</v>
      </c>
      <c r="CO310" s="28">
        <f>IF(CO309=0,0,CO309*MAX(0,(INDEX(c_CAMy,1,CO$7)-INDEX(c_CAMy,1,INDEX('Lease Cycles'!$GC$25:$GI$25,1,CO299)+1))*(1+'Lease Cycles'!$AK$25)+(INDEX(c_TAXy,1,CO$7)-INDEX(c_TAXy,1,INDEX('Lease Cycles'!$GC$25:$GI$25,1,CO299)+1))+(INDEX(c_INSy,1,CO$7)-INDEX(c_INSy,1,INDEX('Lease Cycles'!$GC$25:$GI$25,1,CO299)+1)))/12)</f>
        <v>0</v>
      </c>
      <c r="CP310" s="28">
        <f>IF(CP309=0,0,CP309*MAX(0,(INDEX(c_CAMy,1,CP$7)-INDEX(c_CAMy,1,INDEX('Lease Cycles'!$GC$25:$GI$25,1,CP299)+1))*(1+'Lease Cycles'!$AK$25)+(INDEX(c_TAXy,1,CP$7)-INDEX(c_TAXy,1,INDEX('Lease Cycles'!$GC$25:$GI$25,1,CP299)+1))+(INDEX(c_INSy,1,CP$7)-INDEX(c_INSy,1,INDEX('Lease Cycles'!$GC$25:$GI$25,1,CP299)+1)))/12)</f>
        <v>0</v>
      </c>
      <c r="CQ310" s="28">
        <f>IF(CQ309=0,0,CQ309*MAX(0,(INDEX(c_CAMy,1,CQ$7)-INDEX(c_CAMy,1,INDEX('Lease Cycles'!$GC$25:$GI$25,1,CQ299)+1))*(1+'Lease Cycles'!$AK$25)+(INDEX(c_TAXy,1,CQ$7)-INDEX(c_TAXy,1,INDEX('Lease Cycles'!$GC$25:$GI$25,1,CQ299)+1))+(INDEX(c_INSy,1,CQ$7)-INDEX(c_INSy,1,INDEX('Lease Cycles'!$GC$25:$GI$25,1,CQ299)+1)))/12)</f>
        <v>0</v>
      </c>
      <c r="CR310" s="28">
        <f>IF(CR309=0,0,CR309*MAX(0,(INDEX(c_CAMy,1,CR$7)-INDEX(c_CAMy,1,INDEX('Lease Cycles'!$GC$25:$GI$25,1,CR299)+1))*(1+'Lease Cycles'!$AK$25)+(INDEX(c_TAXy,1,CR$7)-INDEX(c_TAXy,1,INDEX('Lease Cycles'!$GC$25:$GI$25,1,CR299)+1))+(INDEX(c_INSy,1,CR$7)-INDEX(c_INSy,1,INDEX('Lease Cycles'!$GC$25:$GI$25,1,CR299)+1)))/12)</f>
        <v>0</v>
      </c>
      <c r="CS310" s="28">
        <f>IF(CS309=0,0,CS309*MAX(0,(INDEX(c_CAMy,1,CS$7)-INDEX(c_CAMy,1,INDEX('Lease Cycles'!$GC$25:$GI$25,1,CS299)+1))*(1+'Lease Cycles'!$AK$25)+(INDEX(c_TAXy,1,CS$7)-INDEX(c_TAXy,1,INDEX('Lease Cycles'!$GC$25:$GI$25,1,CS299)+1))+(INDEX(c_INSy,1,CS$7)-INDEX(c_INSy,1,INDEX('Lease Cycles'!$GC$25:$GI$25,1,CS299)+1)))/12)</f>
        <v>0</v>
      </c>
      <c r="CT310" s="28">
        <f>IF(CT309=0,0,CT309*MAX(0,(INDEX(c_CAMy,1,CT$7)-INDEX(c_CAMy,1,INDEX('Lease Cycles'!$GC$25:$GI$25,1,CT299)+1))*(1+'Lease Cycles'!$AK$25)+(INDEX(c_TAXy,1,CT$7)-INDEX(c_TAXy,1,INDEX('Lease Cycles'!$GC$25:$GI$25,1,CT299)+1))+(INDEX(c_INSy,1,CT$7)-INDEX(c_INSy,1,INDEX('Lease Cycles'!$GC$25:$GI$25,1,CT299)+1)))/12)</f>
        <v>0</v>
      </c>
      <c r="CU310" s="28">
        <f>IF(CU309=0,0,CU309*MAX(0,(INDEX(c_CAMy,1,CU$7)-INDEX(c_CAMy,1,INDEX('Lease Cycles'!$GC$25:$GI$25,1,CU299)+1))*(1+'Lease Cycles'!$AK$25)+(INDEX(c_TAXy,1,CU$7)-INDEX(c_TAXy,1,INDEX('Lease Cycles'!$GC$25:$GI$25,1,CU299)+1))+(INDEX(c_INSy,1,CU$7)-INDEX(c_INSy,1,INDEX('Lease Cycles'!$GC$25:$GI$25,1,CU299)+1)))/12)</f>
        <v>0</v>
      </c>
      <c r="CV310" s="28">
        <f>IF(CV309=0,0,CV309*MAX(0,(INDEX(c_CAMy,1,CV$7)-INDEX(c_CAMy,1,INDEX('Lease Cycles'!$GC$25:$GI$25,1,CV299)+1))*(1+'Lease Cycles'!$AK$25)+(INDEX(c_TAXy,1,CV$7)-INDEX(c_TAXy,1,INDEX('Lease Cycles'!$GC$25:$GI$25,1,CV299)+1))+(INDEX(c_INSy,1,CV$7)-INDEX(c_INSy,1,INDEX('Lease Cycles'!$GC$25:$GI$25,1,CV299)+1)))/12)</f>
        <v>0</v>
      </c>
      <c r="CW310" s="28">
        <f>IF(CW309=0,0,CW309*MAX(0,(INDEX(c_CAMy,1,CW$7)-INDEX(c_CAMy,1,INDEX('Lease Cycles'!$GC$25:$GI$25,1,CW299)+1))*(1+'Lease Cycles'!$AK$25)+(INDEX(c_TAXy,1,CW$7)-INDEX(c_TAXy,1,INDEX('Lease Cycles'!$GC$25:$GI$25,1,CW299)+1))+(INDEX(c_INSy,1,CW$7)-INDEX(c_INSy,1,INDEX('Lease Cycles'!$GC$25:$GI$25,1,CW299)+1)))/12)</f>
        <v>0</v>
      </c>
      <c r="CX310" s="28">
        <f>IF(CX309=0,0,CX309*MAX(0,(INDEX(c_CAMy,1,CX$7)-INDEX(c_CAMy,1,INDEX('Lease Cycles'!$GC$25:$GI$25,1,CX299)+1))*(1+'Lease Cycles'!$AK$25)+(INDEX(c_TAXy,1,CX$7)-INDEX(c_TAXy,1,INDEX('Lease Cycles'!$GC$25:$GI$25,1,CX299)+1))+(INDEX(c_INSy,1,CX$7)-INDEX(c_INSy,1,INDEX('Lease Cycles'!$GC$25:$GI$25,1,CX299)+1)))/12)</f>
        <v>0</v>
      </c>
      <c r="CY310" s="28">
        <f>IF(CY309=0,0,CY309*MAX(0,(INDEX(c_CAMy,1,CY$7)-INDEX(c_CAMy,1,INDEX('Lease Cycles'!$GC$25:$GI$25,1,CY299)+1))*(1+'Lease Cycles'!$AK$25)+(INDEX(c_TAXy,1,CY$7)-INDEX(c_TAXy,1,INDEX('Lease Cycles'!$GC$25:$GI$25,1,CY299)+1))+(INDEX(c_INSy,1,CY$7)-INDEX(c_INSy,1,INDEX('Lease Cycles'!$GC$25:$GI$25,1,CY299)+1)))/12)</f>
        <v>0</v>
      </c>
      <c r="CZ310" s="28">
        <f>IF(CZ309=0,0,CZ309*MAX(0,(INDEX(c_CAMy,1,CZ$7)-INDEX(c_CAMy,1,INDEX('Lease Cycles'!$GC$25:$GI$25,1,CZ299)+1))*(1+'Lease Cycles'!$AK$25)+(INDEX(c_TAXy,1,CZ$7)-INDEX(c_TAXy,1,INDEX('Lease Cycles'!$GC$25:$GI$25,1,CZ299)+1))+(INDEX(c_INSy,1,CZ$7)-INDEX(c_INSy,1,INDEX('Lease Cycles'!$GC$25:$GI$25,1,CZ299)+1)))/12)</f>
        <v>0</v>
      </c>
      <c r="DA310" s="28">
        <f>IF(DA309=0,0,DA309*MAX(0,(INDEX(c_CAMy,1,DA$7)-INDEX(c_CAMy,1,INDEX('Lease Cycles'!$GC$25:$GI$25,1,DA299)+1))*(1+'Lease Cycles'!$AK$25)+(INDEX(c_TAXy,1,DA$7)-INDEX(c_TAXy,1,INDEX('Lease Cycles'!$GC$25:$GI$25,1,DA299)+1))+(INDEX(c_INSy,1,DA$7)-INDEX(c_INSy,1,INDEX('Lease Cycles'!$GC$25:$GI$25,1,DA299)+1)))/12)</f>
        <v>0</v>
      </c>
      <c r="DB310" s="28">
        <f>IF(DB309=0,0,DB309*MAX(0,(INDEX(c_CAMy,1,DB$7)-INDEX(c_CAMy,1,INDEX('Lease Cycles'!$GC$25:$GI$25,1,DB299)+1))*(1+'Lease Cycles'!$AK$25)+(INDEX(c_TAXy,1,DB$7)-INDEX(c_TAXy,1,INDEX('Lease Cycles'!$GC$25:$GI$25,1,DB299)+1))+(INDEX(c_INSy,1,DB$7)-INDEX(c_INSy,1,INDEX('Lease Cycles'!$GC$25:$GI$25,1,DB299)+1)))/12)</f>
        <v>0</v>
      </c>
      <c r="DC310" s="28">
        <f>IF(DC309=0,0,DC309*MAX(0,(INDEX(c_CAMy,1,DC$7)-INDEX(c_CAMy,1,INDEX('Lease Cycles'!$GC$25:$GI$25,1,DC299)+1))*(1+'Lease Cycles'!$AK$25)+(INDEX(c_TAXy,1,DC$7)-INDEX(c_TAXy,1,INDEX('Lease Cycles'!$GC$25:$GI$25,1,DC299)+1))+(INDEX(c_INSy,1,DC$7)-INDEX(c_INSy,1,INDEX('Lease Cycles'!$GC$25:$GI$25,1,DC299)+1)))/12)</f>
        <v>0</v>
      </c>
      <c r="DD310" s="28">
        <f>IF(DD309=0,0,DD309*MAX(0,(INDEX(c_CAMy,1,DD$7)-INDEX(c_CAMy,1,INDEX('Lease Cycles'!$GC$25:$GI$25,1,DD299)+1))*(1+'Lease Cycles'!$AK$25)+(INDEX(c_TAXy,1,DD$7)-INDEX(c_TAXy,1,INDEX('Lease Cycles'!$GC$25:$GI$25,1,DD299)+1))+(INDEX(c_INSy,1,DD$7)-INDEX(c_INSy,1,INDEX('Lease Cycles'!$GC$25:$GI$25,1,DD299)+1)))/12)</f>
        <v>0</v>
      </c>
      <c r="DE310" s="28">
        <f>IF(DE309=0,0,DE309*MAX(0,(INDEX(c_CAMy,1,DE$7)-INDEX(c_CAMy,1,INDEX('Lease Cycles'!$GC$25:$GI$25,1,DE299)+1))*(1+'Lease Cycles'!$AK$25)+(INDEX(c_TAXy,1,DE$7)-INDEX(c_TAXy,1,INDEX('Lease Cycles'!$GC$25:$GI$25,1,DE299)+1))+(INDEX(c_INSy,1,DE$7)-INDEX(c_INSy,1,INDEX('Lease Cycles'!$GC$25:$GI$25,1,DE299)+1)))/12)</f>
        <v>0</v>
      </c>
      <c r="DF310" s="28">
        <f>IF(DF309=0,0,DF309*MAX(0,(INDEX(c_CAMy,1,DF$7)-INDEX(c_CAMy,1,INDEX('Lease Cycles'!$GC$25:$GI$25,1,DF299)+1))*(1+'Lease Cycles'!$AK$25)+(INDEX(c_TAXy,1,DF$7)-INDEX(c_TAXy,1,INDEX('Lease Cycles'!$GC$25:$GI$25,1,DF299)+1))+(INDEX(c_INSy,1,DF$7)-INDEX(c_INSy,1,INDEX('Lease Cycles'!$GC$25:$GI$25,1,DF299)+1)))/12)</f>
        <v>0</v>
      </c>
      <c r="DG310" s="28">
        <f>IF(DG309=0,0,DG309*MAX(0,(INDEX(c_CAMy,1,DG$7)-INDEX(c_CAMy,1,INDEX('Lease Cycles'!$GC$25:$GI$25,1,DG299)+1))*(1+'Lease Cycles'!$AK$25)+(INDEX(c_TAXy,1,DG$7)-INDEX(c_TAXy,1,INDEX('Lease Cycles'!$GC$25:$GI$25,1,DG299)+1))+(INDEX(c_INSy,1,DG$7)-INDEX(c_INSy,1,INDEX('Lease Cycles'!$GC$25:$GI$25,1,DG299)+1)))/12)</f>
        <v>0</v>
      </c>
      <c r="DH310" s="28">
        <f>IF(DH309=0,0,DH309*MAX(0,(INDEX(c_CAMy,1,DH$7)-INDEX(c_CAMy,1,INDEX('Lease Cycles'!$GC$25:$GI$25,1,DH299)+1))*(1+'Lease Cycles'!$AK$25)+(INDEX(c_TAXy,1,DH$7)-INDEX(c_TAXy,1,INDEX('Lease Cycles'!$GC$25:$GI$25,1,DH299)+1))+(INDEX(c_INSy,1,DH$7)-INDEX(c_INSy,1,INDEX('Lease Cycles'!$GC$25:$GI$25,1,DH299)+1)))/12)</f>
        <v>0</v>
      </c>
      <c r="DI310" s="28">
        <f>IF(DI309=0,0,DI309*MAX(0,(INDEX(c_CAMy,1,DI$7)-INDEX(c_CAMy,1,INDEX('Lease Cycles'!$GC$25:$GI$25,1,DI299)+1))*(1+'Lease Cycles'!$AK$25)+(INDEX(c_TAXy,1,DI$7)-INDEX(c_TAXy,1,INDEX('Lease Cycles'!$GC$25:$GI$25,1,DI299)+1))+(INDEX(c_INSy,1,DI$7)-INDEX(c_INSy,1,INDEX('Lease Cycles'!$GC$25:$GI$25,1,DI299)+1)))/12)</f>
        <v>0</v>
      </c>
      <c r="DJ310" s="28">
        <f>IF(DJ309=0,0,DJ309*MAX(0,(INDEX(c_CAMy,1,DJ$7)-INDEX(c_CAMy,1,INDEX('Lease Cycles'!$GC$25:$GI$25,1,DJ299)+1))*(1+'Lease Cycles'!$AK$25)+(INDEX(c_TAXy,1,DJ$7)-INDEX(c_TAXy,1,INDEX('Lease Cycles'!$GC$25:$GI$25,1,DJ299)+1))+(INDEX(c_INSy,1,DJ$7)-INDEX(c_INSy,1,INDEX('Lease Cycles'!$GC$25:$GI$25,1,DJ299)+1)))/12)</f>
        <v>0</v>
      </c>
      <c r="DK310" s="28">
        <f>IF(DK309=0,0,DK309*MAX(0,(INDEX(c_CAMy,1,DK$7)-INDEX(c_CAMy,1,INDEX('Lease Cycles'!$GC$25:$GI$25,1,DK299)+1))*(1+'Lease Cycles'!$AK$25)+(INDEX(c_TAXy,1,DK$7)-INDEX(c_TAXy,1,INDEX('Lease Cycles'!$GC$25:$GI$25,1,DK299)+1))+(INDEX(c_INSy,1,DK$7)-INDEX(c_INSy,1,INDEX('Lease Cycles'!$GC$25:$GI$25,1,DK299)+1)))/12)</f>
        <v>0</v>
      </c>
      <c r="DL310" s="28">
        <f>IF(DL309=0,0,DL309*MAX(0,(INDEX(c_CAMy,1,DL$7)-INDEX(c_CAMy,1,INDEX('Lease Cycles'!$GC$25:$GI$25,1,DL299)+1))*(1+'Lease Cycles'!$AK$25)+(INDEX(c_TAXy,1,DL$7)-INDEX(c_TAXy,1,INDEX('Lease Cycles'!$GC$25:$GI$25,1,DL299)+1))+(INDEX(c_INSy,1,DL$7)-INDEX(c_INSy,1,INDEX('Lease Cycles'!$GC$25:$GI$25,1,DL299)+1)))/12)</f>
        <v>0</v>
      </c>
      <c r="DM310" s="28">
        <f>IF(DM309=0,0,DM309*MAX(0,(INDEX(c_CAMy,1,DM$7)-INDEX(c_CAMy,1,INDEX('Lease Cycles'!$GC$25:$GI$25,1,DM299)+1))*(1+'Lease Cycles'!$AK$25)+(INDEX(c_TAXy,1,DM$7)-INDEX(c_TAXy,1,INDEX('Lease Cycles'!$GC$25:$GI$25,1,DM299)+1))+(INDEX(c_INSy,1,DM$7)-INDEX(c_INSy,1,INDEX('Lease Cycles'!$GC$25:$GI$25,1,DM299)+1)))/12)</f>
        <v>0</v>
      </c>
      <c r="DN310" s="28">
        <f>IF(DN309=0,0,DN309*MAX(0,(INDEX(c_CAMy,1,DN$7)-INDEX(c_CAMy,1,INDEX('Lease Cycles'!$GC$25:$GI$25,1,DN299)+1))*(1+'Lease Cycles'!$AK$25)+(INDEX(c_TAXy,1,DN$7)-INDEX(c_TAXy,1,INDEX('Lease Cycles'!$GC$25:$GI$25,1,DN299)+1))+(INDEX(c_INSy,1,DN$7)-INDEX(c_INSy,1,INDEX('Lease Cycles'!$GC$25:$GI$25,1,DN299)+1)))/12)</f>
        <v>0</v>
      </c>
      <c r="DO310" s="28">
        <f>IF(DO309=0,0,DO309*MAX(0,(INDEX(c_CAMy,1,DO$7)-INDEX(c_CAMy,1,INDEX('Lease Cycles'!$GC$25:$GI$25,1,DO299)+1))*(1+'Lease Cycles'!$AK$25)+(INDEX(c_TAXy,1,DO$7)-INDEX(c_TAXy,1,INDEX('Lease Cycles'!$GC$25:$GI$25,1,DO299)+1))+(INDEX(c_INSy,1,DO$7)-INDEX(c_INSy,1,INDEX('Lease Cycles'!$GC$25:$GI$25,1,DO299)+1)))/12)</f>
        <v>0</v>
      </c>
      <c r="DP310" s="28">
        <f>IF(DP309=0,0,DP309*MAX(0,(INDEX(c_CAMy,1,DP$7)-INDEX(c_CAMy,1,INDEX('Lease Cycles'!$GC$25:$GI$25,1,DP299)+1))*(1+'Lease Cycles'!$AK$25)+(INDEX(c_TAXy,1,DP$7)-INDEX(c_TAXy,1,INDEX('Lease Cycles'!$GC$25:$GI$25,1,DP299)+1))+(INDEX(c_INSy,1,DP$7)-INDEX(c_INSy,1,INDEX('Lease Cycles'!$GC$25:$GI$25,1,DP299)+1)))/12)</f>
        <v>0</v>
      </c>
      <c r="DQ310" s="28">
        <f>IF(DQ309=0,0,DQ309*MAX(0,(INDEX(c_CAMy,1,DQ$7)-INDEX(c_CAMy,1,INDEX('Lease Cycles'!$GC$25:$GI$25,1,DQ299)+1))*(1+'Lease Cycles'!$AK$25)+(INDEX(c_TAXy,1,DQ$7)-INDEX(c_TAXy,1,INDEX('Lease Cycles'!$GC$25:$GI$25,1,DQ299)+1))+(INDEX(c_INSy,1,DQ$7)-INDEX(c_INSy,1,INDEX('Lease Cycles'!$GC$25:$GI$25,1,DQ299)+1)))/12)</f>
        <v>0</v>
      </c>
      <c r="DR310" s="28">
        <f>IF(DR309=0,0,DR309*MAX(0,(INDEX(c_CAMy,1,DR$7)-INDEX(c_CAMy,1,INDEX('Lease Cycles'!$GC$25:$GI$25,1,DR299)+1))*(1+'Lease Cycles'!$AK$25)+(INDEX(c_TAXy,1,DR$7)-INDEX(c_TAXy,1,INDEX('Lease Cycles'!$GC$25:$GI$25,1,DR299)+1))+(INDEX(c_INSy,1,DR$7)-INDEX(c_INSy,1,INDEX('Lease Cycles'!$GC$25:$GI$25,1,DR299)+1)))/12)</f>
        <v>0</v>
      </c>
      <c r="DS310" s="28">
        <f>IF(DS309=0,0,DS309*MAX(0,(INDEX(c_CAMy,1,DS$7)-INDEX(c_CAMy,1,INDEX('Lease Cycles'!$GC$25:$GI$25,1,DS299)+1))*(1+'Lease Cycles'!$AK$25)+(INDEX(c_TAXy,1,DS$7)-INDEX(c_TAXy,1,INDEX('Lease Cycles'!$GC$25:$GI$25,1,DS299)+1))+(INDEX(c_INSy,1,DS$7)-INDEX(c_INSy,1,INDEX('Lease Cycles'!$GC$25:$GI$25,1,DS299)+1)))/12)</f>
        <v>0</v>
      </c>
      <c r="DT310" s="28">
        <f>IF(DT309=0,0,DT309*MAX(0,(INDEX(c_CAMy,1,DT$7)-INDEX(c_CAMy,1,INDEX('Lease Cycles'!$GC$25:$GI$25,1,DT299)+1))*(1+'Lease Cycles'!$AK$25)+(INDEX(c_TAXy,1,DT$7)-INDEX(c_TAXy,1,INDEX('Lease Cycles'!$GC$25:$GI$25,1,DT299)+1))+(INDEX(c_INSy,1,DT$7)-INDEX(c_INSy,1,INDEX('Lease Cycles'!$GC$25:$GI$25,1,DT299)+1)))/12)</f>
        <v>0</v>
      </c>
      <c r="DU310" s="28">
        <f>IF(DU309=0,0,DU309*MAX(0,(INDEX(c_CAMy,1,DU$7)-INDEX(c_CAMy,1,INDEX('Lease Cycles'!$GC$25:$GI$25,1,DU299)+1))*(1+'Lease Cycles'!$AK$25)+(INDEX(c_TAXy,1,DU$7)-INDEX(c_TAXy,1,INDEX('Lease Cycles'!$GC$25:$GI$25,1,DU299)+1))+(INDEX(c_INSy,1,DU$7)-INDEX(c_INSy,1,INDEX('Lease Cycles'!$GC$25:$GI$25,1,DU299)+1)))/12)</f>
        <v>0</v>
      </c>
      <c r="DV310" s="28">
        <f>IF(DV309=0,0,DV309*MAX(0,(INDEX(c_CAMy,1,DV$7)-INDEX(c_CAMy,1,INDEX('Lease Cycles'!$GC$25:$GI$25,1,DV299)+1))*(1+'Lease Cycles'!$AK$25)+(INDEX(c_TAXy,1,DV$7)-INDEX(c_TAXy,1,INDEX('Lease Cycles'!$GC$25:$GI$25,1,DV299)+1))+(INDEX(c_INSy,1,DV$7)-INDEX(c_INSy,1,INDEX('Lease Cycles'!$GC$25:$GI$25,1,DV299)+1)))/12)</f>
        <v>0</v>
      </c>
      <c r="DW310" s="28">
        <f>IF(DW309=0,0,DW309*MAX(0,(INDEX(c_CAMy,1,DW$7)-INDEX(c_CAMy,1,INDEX('Lease Cycles'!$GC$25:$GI$25,1,DW299)+1))*(1+'Lease Cycles'!$AK$25)+(INDEX(c_TAXy,1,DW$7)-INDEX(c_TAXy,1,INDEX('Lease Cycles'!$GC$25:$GI$25,1,DW299)+1))+(INDEX(c_INSy,1,DW$7)-INDEX(c_INSy,1,INDEX('Lease Cycles'!$GC$25:$GI$25,1,DW299)+1)))/12)</f>
        <v>0</v>
      </c>
      <c r="DX310" s="28">
        <f>IF(DX309=0,0,DX309*MAX(0,(INDEX(c_CAMy,1,DX$7)-INDEX(c_CAMy,1,INDEX('Lease Cycles'!$GC$25:$GI$25,1,DX299)+1))*(1+'Lease Cycles'!$AK$25)+(INDEX(c_TAXy,1,DX$7)-INDEX(c_TAXy,1,INDEX('Lease Cycles'!$GC$25:$GI$25,1,DX299)+1))+(INDEX(c_INSy,1,DX$7)-INDEX(c_INSy,1,INDEX('Lease Cycles'!$GC$25:$GI$25,1,DX299)+1)))/12)</f>
        <v>0</v>
      </c>
      <c r="DY310" s="28">
        <f>IF(DY309=0,0,DY309*MAX(0,(INDEX(c_CAMy,1,DY$7)-INDEX(c_CAMy,1,INDEX('Lease Cycles'!$GC$25:$GI$25,1,DY299)+1))*(1+'Lease Cycles'!$AK$25)+(INDEX(c_TAXy,1,DY$7)-INDEX(c_TAXy,1,INDEX('Lease Cycles'!$GC$25:$GI$25,1,DY299)+1))+(INDEX(c_INSy,1,DY$7)-INDEX(c_INSy,1,INDEX('Lease Cycles'!$GC$25:$GI$25,1,DY299)+1)))/12)</f>
        <v>0</v>
      </c>
      <c r="DZ310" s="28">
        <f>IF(DZ309=0,0,DZ309*MAX(0,(INDEX(c_CAMy,1,DZ$7)-INDEX(c_CAMy,1,INDEX('Lease Cycles'!$GC$25:$GI$25,1,DZ299)+1))*(1+'Lease Cycles'!$AK$25)+(INDEX(c_TAXy,1,DZ$7)-INDEX(c_TAXy,1,INDEX('Lease Cycles'!$GC$25:$GI$25,1,DZ299)+1))+(INDEX(c_INSy,1,DZ$7)-INDEX(c_INSy,1,INDEX('Lease Cycles'!$GC$25:$GI$25,1,DZ299)+1)))/12)</f>
        <v>0</v>
      </c>
      <c r="EA310" s="28">
        <f>IF(EA309=0,0,EA309*MAX(0,(INDEX(c_CAMy,1,EA$7)-INDEX(c_CAMy,1,INDEX('Lease Cycles'!$GC$25:$GI$25,1,EA299)+1))*(1+'Lease Cycles'!$AK$25)+(INDEX(c_TAXy,1,EA$7)-INDEX(c_TAXy,1,INDEX('Lease Cycles'!$GC$25:$GI$25,1,EA299)+1))+(INDEX(c_INSy,1,EA$7)-INDEX(c_INSy,1,INDEX('Lease Cycles'!$GC$25:$GI$25,1,EA299)+1)))/12)</f>
        <v>0</v>
      </c>
      <c r="EB310" s="28">
        <f>IF(EB309=0,0,EB309*MAX(0,(INDEX(c_CAMy,1,EB$7)-INDEX(c_CAMy,1,INDEX('Lease Cycles'!$GC$25:$GI$25,1,EB299)+1))*(1+'Lease Cycles'!$AK$25)+(INDEX(c_TAXy,1,EB$7)-INDEX(c_TAXy,1,INDEX('Lease Cycles'!$GC$25:$GI$25,1,EB299)+1))+(INDEX(c_INSy,1,EB$7)-INDEX(c_INSy,1,INDEX('Lease Cycles'!$GC$25:$GI$25,1,EB299)+1)))/12)</f>
        <v>0</v>
      </c>
      <c r="EC310" s="28">
        <f>IF(EC309=0,0,EC309*MAX(0,(INDEX(c_CAMy,1,EC$7)-INDEX(c_CAMy,1,INDEX('Lease Cycles'!$GC$25:$GI$25,1,EC299)+1))*(1+'Lease Cycles'!$AK$25)+(INDEX(c_TAXy,1,EC$7)-INDEX(c_TAXy,1,INDEX('Lease Cycles'!$GC$25:$GI$25,1,EC299)+1))+(INDEX(c_INSy,1,EC$7)-INDEX(c_INSy,1,INDEX('Lease Cycles'!$GC$25:$GI$25,1,EC299)+1)))/12)</f>
        <v>0</v>
      </c>
      <c r="ED310" s="28">
        <f>IF(ED309=0,0,ED309*MAX(0,(INDEX(c_CAMy,1,ED$7)-INDEX(c_CAMy,1,INDEX('Lease Cycles'!$GC$25:$GI$25,1,ED299)+1))*(1+'Lease Cycles'!$AK$25)+(INDEX(c_TAXy,1,ED$7)-INDEX(c_TAXy,1,INDEX('Lease Cycles'!$GC$25:$GI$25,1,ED299)+1))+(INDEX(c_INSy,1,ED$7)-INDEX(c_INSy,1,INDEX('Lease Cycles'!$GC$25:$GI$25,1,ED299)+1)))/12)</f>
        <v>0</v>
      </c>
      <c r="EE310" s="28">
        <f>IF(EE309=0,0,EE309*MAX(0,(INDEX(c_CAMy,1,EE$7)-INDEX(c_CAMy,1,INDEX('Lease Cycles'!$GC$25:$GI$25,1,EE299)+1))*(1+'Lease Cycles'!$AK$25)+(INDEX(c_TAXy,1,EE$7)-INDEX(c_TAXy,1,INDEX('Lease Cycles'!$GC$25:$GI$25,1,EE299)+1))+(INDEX(c_INSy,1,EE$7)-INDEX(c_INSy,1,INDEX('Lease Cycles'!$GC$25:$GI$25,1,EE299)+1)))/12)</f>
        <v>0</v>
      </c>
      <c r="EF310" s="28">
        <f>IF(EF309=0,0,EF309*MAX(0,(INDEX(c_CAMy,1,EF$7)-INDEX(c_CAMy,1,INDEX('Lease Cycles'!$GC$25:$GI$25,1,EF299)+1))*(1+'Lease Cycles'!$AK$25)+(INDEX(c_TAXy,1,EF$7)-INDEX(c_TAXy,1,INDEX('Lease Cycles'!$GC$25:$GI$25,1,EF299)+1))+(INDEX(c_INSy,1,EF$7)-INDEX(c_INSy,1,INDEX('Lease Cycles'!$GC$25:$GI$25,1,EF299)+1)))/12)</f>
        <v>0</v>
      </c>
      <c r="EG310" s="28">
        <f>IF(EG309=0,0,EG309*MAX(0,(INDEX(c_CAMy,1,EG$7)-INDEX(c_CAMy,1,INDEX('Lease Cycles'!$GC$25:$GI$25,1,EG299)+1))*(1+'Lease Cycles'!$AK$25)+(INDEX(c_TAXy,1,EG$7)-INDEX(c_TAXy,1,INDEX('Lease Cycles'!$GC$25:$GI$25,1,EG299)+1))+(INDEX(c_INSy,1,EG$7)-INDEX(c_INSy,1,INDEX('Lease Cycles'!$GC$25:$GI$25,1,EG299)+1)))/12)</f>
        <v>0</v>
      </c>
      <c r="EH310" s="28">
        <f>IF(EH309=0,0,EH309*MAX(0,(INDEX(c_CAMy,1,EH$7)-INDEX(c_CAMy,1,INDEX('Lease Cycles'!$GC$25:$GI$25,1,EH299)+1))*(1+'Lease Cycles'!$AK$25)+(INDEX(c_TAXy,1,EH$7)-INDEX(c_TAXy,1,INDEX('Lease Cycles'!$GC$25:$GI$25,1,EH299)+1))+(INDEX(c_INSy,1,EH$7)-INDEX(c_INSy,1,INDEX('Lease Cycles'!$GC$25:$GI$25,1,EH299)+1)))/12)</f>
        <v>0</v>
      </c>
      <c r="EI310" s="28">
        <f>IF(EI309=0,0,EI309*MAX(0,(INDEX(c_CAMy,1,EI$7)-INDEX(c_CAMy,1,INDEX('Lease Cycles'!$GC$25:$GI$25,1,EI299)+1))*(1+'Lease Cycles'!$AK$25)+(INDEX(c_TAXy,1,EI$7)-INDEX(c_TAXy,1,INDEX('Lease Cycles'!$GC$25:$GI$25,1,EI299)+1))+(INDEX(c_INSy,1,EI$7)-INDEX(c_INSy,1,INDEX('Lease Cycles'!$GC$25:$GI$25,1,EI299)+1)))/12)</f>
        <v>0</v>
      </c>
      <c r="EJ310" s="28">
        <f>IF(EJ309=0,0,EJ309*MAX(0,(INDEX(c_CAMy,1,EJ$7)-INDEX(c_CAMy,1,INDEX('Lease Cycles'!$GC$25:$GI$25,1,EJ299)+1))*(1+'Lease Cycles'!$AK$25)+(INDEX(c_TAXy,1,EJ$7)-INDEX(c_TAXy,1,INDEX('Lease Cycles'!$GC$25:$GI$25,1,EJ299)+1))+(INDEX(c_INSy,1,EJ$7)-INDEX(c_INSy,1,INDEX('Lease Cycles'!$GC$25:$GI$25,1,EJ299)+1)))/12)</f>
        <v>0</v>
      </c>
      <c r="EK310" s="28">
        <f>IF(EK309=0,0,EK309*MAX(0,(INDEX(c_CAMy,1,EK$7)-INDEX(c_CAMy,1,INDEX('Lease Cycles'!$GC$25:$GI$25,1,EK299)+1))*(1+'Lease Cycles'!$AK$25)+(INDEX(c_TAXy,1,EK$7)-INDEX(c_TAXy,1,INDEX('Lease Cycles'!$GC$25:$GI$25,1,EK299)+1))+(INDEX(c_INSy,1,EK$7)-INDEX(c_INSy,1,INDEX('Lease Cycles'!$GC$25:$GI$25,1,EK299)+1)))/12)</f>
        <v>0</v>
      </c>
      <c r="EL310" s="28">
        <f>IF(EL309=0,0,EL309*MAX(0,(INDEX(c_CAMy,1,EL$7)-INDEX(c_CAMy,1,INDEX('Lease Cycles'!$GC$25:$GI$25,1,EL299)+1))*(1+'Lease Cycles'!$AK$25)+(INDEX(c_TAXy,1,EL$7)-INDEX(c_TAXy,1,INDEX('Lease Cycles'!$GC$25:$GI$25,1,EL299)+1))+(INDEX(c_INSy,1,EL$7)-INDEX(c_INSy,1,INDEX('Lease Cycles'!$GC$25:$GI$25,1,EL299)+1)))/12)</f>
        <v>0</v>
      </c>
      <c r="EM310" s="28">
        <f>IF(EM309=0,0,EM309*MAX(0,(INDEX(c_CAMy,1,EM$7)-INDEX(c_CAMy,1,INDEX('Lease Cycles'!$GC$25:$GI$25,1,EM299)+1))*(1+'Lease Cycles'!$AK$25)+(INDEX(c_TAXy,1,EM$7)-INDEX(c_TAXy,1,INDEX('Lease Cycles'!$GC$25:$GI$25,1,EM299)+1))+(INDEX(c_INSy,1,EM$7)-INDEX(c_INSy,1,INDEX('Lease Cycles'!$GC$25:$GI$25,1,EM299)+1)))/12)</f>
        <v>0</v>
      </c>
      <c r="EN310" s="28">
        <f>IF(EN309=0,0,EN309*MAX(0,(INDEX(c_CAMy,1,EN$7)-INDEX(c_CAMy,1,INDEX('Lease Cycles'!$GC$25:$GI$25,1,EN299)+1))*(1+'Lease Cycles'!$AK$25)+(INDEX(c_TAXy,1,EN$7)-INDEX(c_TAXy,1,INDEX('Lease Cycles'!$GC$25:$GI$25,1,EN299)+1))+(INDEX(c_INSy,1,EN$7)-INDEX(c_INSy,1,INDEX('Lease Cycles'!$GC$25:$GI$25,1,EN299)+1)))/12)</f>
        <v>0</v>
      </c>
      <c r="EO310" s="28">
        <f>IF(EO309=0,0,EO309*MAX(0,(INDEX(c_CAMy,1,EO$7)-INDEX(c_CAMy,1,INDEX('Lease Cycles'!$GC$25:$GI$25,1,EO299)+1))*(1+'Lease Cycles'!$AK$25)+(INDEX(c_TAXy,1,EO$7)-INDEX(c_TAXy,1,INDEX('Lease Cycles'!$GC$25:$GI$25,1,EO299)+1))+(INDEX(c_INSy,1,EO$7)-INDEX(c_INSy,1,INDEX('Lease Cycles'!$GC$25:$GI$25,1,EO299)+1)))/12)</f>
        <v>0</v>
      </c>
      <c r="EP310" s="28">
        <f>IF(EP309=0,0,EP309*MAX(0,(INDEX(c_CAMy,1,EP$7)-INDEX(c_CAMy,1,INDEX('Lease Cycles'!$GC$25:$GI$25,1,EP299)+1))*(1+'Lease Cycles'!$AK$25)+(INDEX(c_TAXy,1,EP$7)-INDEX(c_TAXy,1,INDEX('Lease Cycles'!$GC$25:$GI$25,1,EP299)+1))+(INDEX(c_INSy,1,EP$7)-INDEX(c_INSy,1,INDEX('Lease Cycles'!$GC$25:$GI$25,1,EP299)+1)))/12)</f>
        <v>0</v>
      </c>
      <c r="EQ310" s="28">
        <f>IF(EQ309=0,0,EQ309*MAX(0,(INDEX(c_CAMy,1,EQ$7)-INDEX(c_CAMy,1,INDEX('Lease Cycles'!$GC$25:$GI$25,1,EQ299)+1))*(1+'Lease Cycles'!$AK$25)+(INDEX(c_TAXy,1,EQ$7)-INDEX(c_TAXy,1,INDEX('Lease Cycles'!$GC$25:$GI$25,1,EQ299)+1))+(INDEX(c_INSy,1,EQ$7)-INDEX(c_INSy,1,INDEX('Lease Cycles'!$GC$25:$GI$25,1,EQ299)+1)))/12)</f>
        <v>0</v>
      </c>
      <c r="ER310" s="28">
        <f>IF(ER309=0,0,ER309*MAX(0,(INDEX(c_CAMy,1,ER$7)-INDEX(c_CAMy,1,INDEX('Lease Cycles'!$GC$25:$GI$25,1,ER299)+1))*(1+'Lease Cycles'!$AK$25)+(INDEX(c_TAXy,1,ER$7)-INDEX(c_TAXy,1,INDEX('Lease Cycles'!$GC$25:$GI$25,1,ER299)+1))+(INDEX(c_INSy,1,ER$7)-INDEX(c_INSy,1,INDEX('Lease Cycles'!$GC$25:$GI$25,1,ER299)+1)))/12)</f>
        <v>0</v>
      </c>
      <c r="ES310" s="28">
        <f>IF(ES309=0,0,ES309*MAX(0,(INDEX(c_CAMy,1,ES$7)-INDEX(c_CAMy,1,INDEX('Lease Cycles'!$GC$25:$GI$25,1,ES299)+1))*(1+'Lease Cycles'!$AK$25)+(INDEX(c_TAXy,1,ES$7)-INDEX(c_TAXy,1,INDEX('Lease Cycles'!$GC$25:$GI$25,1,ES299)+1))+(INDEX(c_INSy,1,ES$7)-INDEX(c_INSy,1,INDEX('Lease Cycles'!$GC$25:$GI$25,1,ES299)+1)))/12)</f>
        <v>0</v>
      </c>
      <c r="ET310" s="28">
        <f>IF(ET309=0,0,ET309*MAX(0,(INDEX(c_CAMy,1,ET$7)-INDEX(c_CAMy,1,INDEX('Lease Cycles'!$GC$25:$GI$25,1,ET299)+1))*(1+'Lease Cycles'!$AK$25)+(INDEX(c_TAXy,1,ET$7)-INDEX(c_TAXy,1,INDEX('Lease Cycles'!$GC$25:$GI$25,1,ET299)+1))+(INDEX(c_INSy,1,ET$7)-INDEX(c_INSy,1,INDEX('Lease Cycles'!$GC$25:$GI$25,1,ET299)+1)))/12)</f>
        <v>0</v>
      </c>
    </row>
    <row r="311">
      <c r="A311" s="103">
        <v>18</v>
      </c>
      <c r="B311" s="23" t="str">
        <f>IF('Lease Cycles'!$B$25="","(empty slot)",'Lease Cycles'!$B$25)</f>
        <v>(empty slot)</v>
      </c>
      <c r="C311" s="23" t="s">
        <v>530</v>
      </c>
      <c r="D311" s="104" t="s">
        <v>531</v>
      </c>
      <c r="E311" s="25">
        <f>'Lease Cycles'!$AL$25</f>
        <v>0</v>
      </c>
      <c r="G311" s="28">
        <f>SUM(S311:AD311)</f>
        <v>0</v>
      </c>
      <c r="H311" s="28">
        <f>SUM(AE311:AP311)</f>
        <v>0</v>
      </c>
      <c r="I311" s="28">
        <f>SUM(AQ311:BB311)</f>
        <v>0</v>
      </c>
      <c r="J311" s="28">
        <f>SUM(BC311:BN311)</f>
        <v>0</v>
      </c>
      <c r="K311" s="28">
        <f>SUM(BO311:BZ311)</f>
        <v>0</v>
      </c>
      <c r="L311" s="28">
        <f>SUM(CA311:CL311)</f>
        <v>0</v>
      </c>
      <c r="M311" s="28">
        <f>SUM(CM311:CX311)</f>
        <v>0</v>
      </c>
      <c r="N311" s="28">
        <f>SUM(CY311:DJ311)</f>
        <v>0</v>
      </c>
      <c r="O311" s="28">
        <f>SUM(DK311:DV311)</f>
        <v>0</v>
      </c>
      <c r="P311" s="28">
        <f>SUM(DW311:EH311)</f>
        <v>0</v>
      </c>
      <c r="Q311" s="28">
        <f>SUM(EI311:ET311)</f>
        <v>0</v>
      </c>
      <c r="S311" s="28">
        <f>SUMIF('Lease Cycles'!$HL$25:$HR$25,S$6,'Lease Cycles'!$HS$25:$HY$25)</f>
        <v>0</v>
      </c>
      <c r="T311" s="28">
        <f>SUMIF('Lease Cycles'!$HL$25:$HR$25,T$6,'Lease Cycles'!$HS$25:$HY$25)</f>
        <v>0</v>
      </c>
      <c r="U311" s="28">
        <f>SUMIF('Lease Cycles'!$HL$25:$HR$25,U$6,'Lease Cycles'!$HS$25:$HY$25)</f>
        <v>0</v>
      </c>
      <c r="V311" s="28">
        <f>SUMIF('Lease Cycles'!$HL$25:$HR$25,V$6,'Lease Cycles'!$HS$25:$HY$25)</f>
        <v>0</v>
      </c>
      <c r="W311" s="28">
        <f>SUMIF('Lease Cycles'!$HL$25:$HR$25,W$6,'Lease Cycles'!$HS$25:$HY$25)</f>
        <v>0</v>
      </c>
      <c r="X311" s="28">
        <f>SUMIF('Lease Cycles'!$HL$25:$HR$25,X$6,'Lease Cycles'!$HS$25:$HY$25)</f>
        <v>0</v>
      </c>
      <c r="Y311" s="28">
        <f>SUMIF('Lease Cycles'!$HL$25:$HR$25,Y$6,'Lease Cycles'!$HS$25:$HY$25)</f>
        <v>0</v>
      </c>
      <c r="Z311" s="28">
        <f>SUMIF('Lease Cycles'!$HL$25:$HR$25,Z$6,'Lease Cycles'!$HS$25:$HY$25)</f>
        <v>0</v>
      </c>
      <c r="AA311" s="28">
        <f>SUMIF('Lease Cycles'!$HL$25:$HR$25,AA$6,'Lease Cycles'!$HS$25:$HY$25)</f>
        <v>0</v>
      </c>
      <c r="AB311" s="28">
        <f>SUMIF('Lease Cycles'!$HL$25:$HR$25,AB$6,'Lease Cycles'!$HS$25:$HY$25)</f>
        <v>0</v>
      </c>
      <c r="AC311" s="28">
        <f>SUMIF('Lease Cycles'!$HL$25:$HR$25,AC$6,'Lease Cycles'!$HS$25:$HY$25)</f>
        <v>0</v>
      </c>
      <c r="AD311" s="28">
        <f>SUMIF('Lease Cycles'!$HL$25:$HR$25,AD$6,'Lease Cycles'!$HS$25:$HY$25)</f>
        <v>0</v>
      </c>
      <c r="AE311" s="28">
        <f>SUMIF('Lease Cycles'!$HL$25:$HR$25,AE$6,'Lease Cycles'!$HS$25:$HY$25)</f>
        <v>0</v>
      </c>
      <c r="AF311" s="28">
        <f>SUMIF('Lease Cycles'!$HL$25:$HR$25,AF$6,'Lease Cycles'!$HS$25:$HY$25)</f>
        <v>0</v>
      </c>
      <c r="AG311" s="28">
        <f>SUMIF('Lease Cycles'!$HL$25:$HR$25,AG$6,'Lease Cycles'!$HS$25:$HY$25)</f>
        <v>0</v>
      </c>
      <c r="AH311" s="28">
        <f>SUMIF('Lease Cycles'!$HL$25:$HR$25,AH$6,'Lease Cycles'!$HS$25:$HY$25)</f>
        <v>0</v>
      </c>
      <c r="AI311" s="28">
        <f>SUMIF('Lease Cycles'!$HL$25:$HR$25,AI$6,'Lease Cycles'!$HS$25:$HY$25)</f>
        <v>0</v>
      </c>
      <c r="AJ311" s="28">
        <f>SUMIF('Lease Cycles'!$HL$25:$HR$25,AJ$6,'Lease Cycles'!$HS$25:$HY$25)</f>
        <v>0</v>
      </c>
      <c r="AK311" s="28">
        <f>SUMIF('Lease Cycles'!$HL$25:$HR$25,AK$6,'Lease Cycles'!$HS$25:$HY$25)</f>
        <v>0</v>
      </c>
      <c r="AL311" s="28">
        <f>SUMIF('Lease Cycles'!$HL$25:$HR$25,AL$6,'Lease Cycles'!$HS$25:$HY$25)</f>
        <v>0</v>
      </c>
      <c r="AM311" s="28">
        <f>SUMIF('Lease Cycles'!$HL$25:$HR$25,AM$6,'Lease Cycles'!$HS$25:$HY$25)</f>
        <v>0</v>
      </c>
      <c r="AN311" s="28">
        <f>SUMIF('Lease Cycles'!$HL$25:$HR$25,AN$6,'Lease Cycles'!$HS$25:$HY$25)</f>
        <v>0</v>
      </c>
      <c r="AO311" s="28">
        <f>SUMIF('Lease Cycles'!$HL$25:$HR$25,AO$6,'Lease Cycles'!$HS$25:$HY$25)</f>
        <v>0</v>
      </c>
      <c r="AP311" s="28">
        <f>SUMIF('Lease Cycles'!$HL$25:$HR$25,AP$6,'Lease Cycles'!$HS$25:$HY$25)</f>
        <v>0</v>
      </c>
      <c r="AQ311" s="28">
        <f>SUMIF('Lease Cycles'!$HL$25:$HR$25,AQ$6,'Lease Cycles'!$HS$25:$HY$25)</f>
        <v>0</v>
      </c>
      <c r="AR311" s="28">
        <f>SUMIF('Lease Cycles'!$HL$25:$HR$25,AR$6,'Lease Cycles'!$HS$25:$HY$25)</f>
        <v>0</v>
      </c>
      <c r="AS311" s="28">
        <f>SUMIF('Lease Cycles'!$HL$25:$HR$25,AS$6,'Lease Cycles'!$HS$25:$HY$25)</f>
        <v>0</v>
      </c>
      <c r="AT311" s="28">
        <f>SUMIF('Lease Cycles'!$HL$25:$HR$25,AT$6,'Lease Cycles'!$HS$25:$HY$25)</f>
        <v>0</v>
      </c>
      <c r="AU311" s="28">
        <f>SUMIF('Lease Cycles'!$HL$25:$HR$25,AU$6,'Lease Cycles'!$HS$25:$HY$25)</f>
        <v>0</v>
      </c>
      <c r="AV311" s="28">
        <f>SUMIF('Lease Cycles'!$HL$25:$HR$25,AV$6,'Lease Cycles'!$HS$25:$HY$25)</f>
        <v>0</v>
      </c>
      <c r="AW311" s="28">
        <f>SUMIF('Lease Cycles'!$HL$25:$HR$25,AW$6,'Lease Cycles'!$HS$25:$HY$25)</f>
        <v>0</v>
      </c>
      <c r="AX311" s="28">
        <f>SUMIF('Lease Cycles'!$HL$25:$HR$25,AX$6,'Lease Cycles'!$HS$25:$HY$25)</f>
        <v>0</v>
      </c>
      <c r="AY311" s="28">
        <f>SUMIF('Lease Cycles'!$HL$25:$HR$25,AY$6,'Lease Cycles'!$HS$25:$HY$25)</f>
        <v>0</v>
      </c>
      <c r="AZ311" s="28">
        <f>SUMIF('Lease Cycles'!$HL$25:$HR$25,AZ$6,'Lease Cycles'!$HS$25:$HY$25)</f>
        <v>0</v>
      </c>
      <c r="BA311" s="28">
        <f>SUMIF('Lease Cycles'!$HL$25:$HR$25,BA$6,'Lease Cycles'!$HS$25:$HY$25)</f>
        <v>0</v>
      </c>
      <c r="BB311" s="28">
        <f>SUMIF('Lease Cycles'!$HL$25:$HR$25,BB$6,'Lease Cycles'!$HS$25:$HY$25)</f>
        <v>0</v>
      </c>
      <c r="BC311" s="28">
        <f>SUMIF('Lease Cycles'!$HL$25:$HR$25,BC$6,'Lease Cycles'!$HS$25:$HY$25)</f>
        <v>0</v>
      </c>
      <c r="BD311" s="28">
        <f>SUMIF('Lease Cycles'!$HL$25:$HR$25,BD$6,'Lease Cycles'!$HS$25:$HY$25)</f>
        <v>0</v>
      </c>
      <c r="BE311" s="28">
        <f>SUMIF('Lease Cycles'!$HL$25:$HR$25,BE$6,'Lease Cycles'!$HS$25:$HY$25)</f>
        <v>0</v>
      </c>
      <c r="BF311" s="28">
        <f>SUMIF('Lease Cycles'!$HL$25:$HR$25,BF$6,'Lease Cycles'!$HS$25:$HY$25)</f>
        <v>0</v>
      </c>
      <c r="BG311" s="28">
        <f>SUMIF('Lease Cycles'!$HL$25:$HR$25,BG$6,'Lease Cycles'!$HS$25:$HY$25)</f>
        <v>0</v>
      </c>
      <c r="BH311" s="28">
        <f>SUMIF('Lease Cycles'!$HL$25:$HR$25,BH$6,'Lease Cycles'!$HS$25:$HY$25)</f>
        <v>0</v>
      </c>
      <c r="BI311" s="28">
        <f>SUMIF('Lease Cycles'!$HL$25:$HR$25,BI$6,'Lease Cycles'!$HS$25:$HY$25)</f>
        <v>0</v>
      </c>
      <c r="BJ311" s="28">
        <f>SUMIF('Lease Cycles'!$HL$25:$HR$25,BJ$6,'Lease Cycles'!$HS$25:$HY$25)</f>
        <v>0</v>
      </c>
      <c r="BK311" s="28">
        <f>SUMIF('Lease Cycles'!$HL$25:$HR$25,BK$6,'Lease Cycles'!$HS$25:$HY$25)</f>
        <v>0</v>
      </c>
      <c r="BL311" s="28">
        <f>SUMIF('Lease Cycles'!$HL$25:$HR$25,BL$6,'Lease Cycles'!$HS$25:$HY$25)</f>
        <v>0</v>
      </c>
      <c r="BM311" s="28">
        <f>SUMIF('Lease Cycles'!$HL$25:$HR$25,BM$6,'Lease Cycles'!$HS$25:$HY$25)</f>
        <v>0</v>
      </c>
      <c r="BN311" s="28">
        <f>SUMIF('Lease Cycles'!$HL$25:$HR$25,BN$6,'Lease Cycles'!$HS$25:$HY$25)</f>
        <v>0</v>
      </c>
      <c r="BO311" s="28">
        <f>SUMIF('Lease Cycles'!$HL$25:$HR$25,BO$6,'Lease Cycles'!$HS$25:$HY$25)</f>
        <v>0</v>
      </c>
      <c r="BP311" s="28">
        <f>SUMIF('Lease Cycles'!$HL$25:$HR$25,BP$6,'Lease Cycles'!$HS$25:$HY$25)</f>
        <v>0</v>
      </c>
      <c r="BQ311" s="28">
        <f>SUMIF('Lease Cycles'!$HL$25:$HR$25,BQ$6,'Lease Cycles'!$HS$25:$HY$25)</f>
        <v>0</v>
      </c>
      <c r="BR311" s="28">
        <f>SUMIF('Lease Cycles'!$HL$25:$HR$25,BR$6,'Lease Cycles'!$HS$25:$HY$25)</f>
        <v>0</v>
      </c>
      <c r="BS311" s="28">
        <f>SUMIF('Lease Cycles'!$HL$25:$HR$25,BS$6,'Lease Cycles'!$HS$25:$HY$25)</f>
        <v>0</v>
      </c>
      <c r="BT311" s="28">
        <f>SUMIF('Lease Cycles'!$HL$25:$HR$25,BT$6,'Lease Cycles'!$HS$25:$HY$25)</f>
        <v>0</v>
      </c>
      <c r="BU311" s="28">
        <f>SUMIF('Lease Cycles'!$HL$25:$HR$25,BU$6,'Lease Cycles'!$HS$25:$HY$25)</f>
        <v>0</v>
      </c>
      <c r="BV311" s="28">
        <f>SUMIF('Lease Cycles'!$HL$25:$HR$25,BV$6,'Lease Cycles'!$HS$25:$HY$25)</f>
        <v>0</v>
      </c>
      <c r="BW311" s="28">
        <f>SUMIF('Lease Cycles'!$HL$25:$HR$25,BW$6,'Lease Cycles'!$HS$25:$HY$25)</f>
        <v>0</v>
      </c>
      <c r="BX311" s="28">
        <f>SUMIF('Lease Cycles'!$HL$25:$HR$25,BX$6,'Lease Cycles'!$HS$25:$HY$25)</f>
        <v>0</v>
      </c>
      <c r="BY311" s="28">
        <f>SUMIF('Lease Cycles'!$HL$25:$HR$25,BY$6,'Lease Cycles'!$HS$25:$HY$25)</f>
        <v>0</v>
      </c>
      <c r="BZ311" s="28">
        <f>SUMIF('Lease Cycles'!$HL$25:$HR$25,BZ$6,'Lease Cycles'!$HS$25:$HY$25)</f>
        <v>0</v>
      </c>
      <c r="CA311" s="28">
        <f>SUMIF('Lease Cycles'!$HL$25:$HR$25,CA$6,'Lease Cycles'!$HS$25:$HY$25)</f>
        <v>0</v>
      </c>
      <c r="CB311" s="28">
        <f>SUMIF('Lease Cycles'!$HL$25:$HR$25,CB$6,'Lease Cycles'!$HS$25:$HY$25)</f>
        <v>0</v>
      </c>
      <c r="CC311" s="28">
        <f>SUMIF('Lease Cycles'!$HL$25:$HR$25,CC$6,'Lease Cycles'!$HS$25:$HY$25)</f>
        <v>0</v>
      </c>
      <c r="CD311" s="28">
        <f>SUMIF('Lease Cycles'!$HL$25:$HR$25,CD$6,'Lease Cycles'!$HS$25:$HY$25)</f>
        <v>0</v>
      </c>
      <c r="CE311" s="28">
        <f>SUMIF('Lease Cycles'!$HL$25:$HR$25,CE$6,'Lease Cycles'!$HS$25:$HY$25)</f>
        <v>0</v>
      </c>
      <c r="CF311" s="28">
        <f>SUMIF('Lease Cycles'!$HL$25:$HR$25,CF$6,'Lease Cycles'!$HS$25:$HY$25)</f>
        <v>0</v>
      </c>
      <c r="CG311" s="28">
        <f>SUMIF('Lease Cycles'!$HL$25:$HR$25,CG$6,'Lease Cycles'!$HS$25:$HY$25)</f>
        <v>0</v>
      </c>
      <c r="CH311" s="28">
        <f>SUMIF('Lease Cycles'!$HL$25:$HR$25,CH$6,'Lease Cycles'!$HS$25:$HY$25)</f>
        <v>0</v>
      </c>
      <c r="CI311" s="28">
        <f>SUMIF('Lease Cycles'!$HL$25:$HR$25,CI$6,'Lease Cycles'!$HS$25:$HY$25)</f>
        <v>0</v>
      </c>
      <c r="CJ311" s="28">
        <f>SUMIF('Lease Cycles'!$HL$25:$HR$25,CJ$6,'Lease Cycles'!$HS$25:$HY$25)</f>
        <v>0</v>
      </c>
      <c r="CK311" s="28">
        <f>SUMIF('Lease Cycles'!$HL$25:$HR$25,CK$6,'Lease Cycles'!$HS$25:$HY$25)</f>
        <v>0</v>
      </c>
      <c r="CL311" s="28">
        <f>SUMIF('Lease Cycles'!$HL$25:$HR$25,CL$6,'Lease Cycles'!$HS$25:$HY$25)</f>
        <v>0</v>
      </c>
      <c r="CM311" s="28">
        <f>SUMIF('Lease Cycles'!$HL$25:$HR$25,CM$6,'Lease Cycles'!$HS$25:$HY$25)</f>
        <v>0</v>
      </c>
      <c r="CN311" s="28">
        <f>SUMIF('Lease Cycles'!$HL$25:$HR$25,CN$6,'Lease Cycles'!$HS$25:$HY$25)</f>
        <v>0</v>
      </c>
      <c r="CO311" s="28">
        <f>SUMIF('Lease Cycles'!$HL$25:$HR$25,CO$6,'Lease Cycles'!$HS$25:$HY$25)</f>
        <v>0</v>
      </c>
      <c r="CP311" s="28">
        <f>SUMIF('Lease Cycles'!$HL$25:$HR$25,CP$6,'Lease Cycles'!$HS$25:$HY$25)</f>
        <v>0</v>
      </c>
      <c r="CQ311" s="28">
        <f>SUMIF('Lease Cycles'!$HL$25:$HR$25,CQ$6,'Lease Cycles'!$HS$25:$HY$25)</f>
        <v>0</v>
      </c>
      <c r="CR311" s="28">
        <f>SUMIF('Lease Cycles'!$HL$25:$HR$25,CR$6,'Lease Cycles'!$HS$25:$HY$25)</f>
        <v>0</v>
      </c>
      <c r="CS311" s="28">
        <f>SUMIF('Lease Cycles'!$HL$25:$HR$25,CS$6,'Lease Cycles'!$HS$25:$HY$25)</f>
        <v>0</v>
      </c>
      <c r="CT311" s="28">
        <f>SUMIF('Lease Cycles'!$HL$25:$HR$25,CT$6,'Lease Cycles'!$HS$25:$HY$25)</f>
        <v>0</v>
      </c>
      <c r="CU311" s="28">
        <f>SUMIF('Lease Cycles'!$HL$25:$HR$25,CU$6,'Lease Cycles'!$HS$25:$HY$25)</f>
        <v>0</v>
      </c>
      <c r="CV311" s="28">
        <f>SUMIF('Lease Cycles'!$HL$25:$HR$25,CV$6,'Lease Cycles'!$HS$25:$HY$25)</f>
        <v>0</v>
      </c>
      <c r="CW311" s="28">
        <f>SUMIF('Lease Cycles'!$HL$25:$HR$25,CW$6,'Lease Cycles'!$HS$25:$HY$25)</f>
        <v>0</v>
      </c>
      <c r="CX311" s="28">
        <f>SUMIF('Lease Cycles'!$HL$25:$HR$25,CX$6,'Lease Cycles'!$HS$25:$HY$25)</f>
        <v>0</v>
      </c>
      <c r="CY311" s="28">
        <f>SUMIF('Lease Cycles'!$HL$25:$HR$25,CY$6,'Lease Cycles'!$HS$25:$HY$25)</f>
        <v>0</v>
      </c>
      <c r="CZ311" s="28">
        <f>SUMIF('Lease Cycles'!$HL$25:$HR$25,CZ$6,'Lease Cycles'!$HS$25:$HY$25)</f>
        <v>0</v>
      </c>
      <c r="DA311" s="28">
        <f>SUMIF('Lease Cycles'!$HL$25:$HR$25,DA$6,'Lease Cycles'!$HS$25:$HY$25)</f>
        <v>0</v>
      </c>
      <c r="DB311" s="28">
        <f>SUMIF('Lease Cycles'!$HL$25:$HR$25,DB$6,'Lease Cycles'!$HS$25:$HY$25)</f>
        <v>0</v>
      </c>
      <c r="DC311" s="28">
        <f>SUMIF('Lease Cycles'!$HL$25:$HR$25,DC$6,'Lease Cycles'!$HS$25:$HY$25)</f>
        <v>0</v>
      </c>
      <c r="DD311" s="28">
        <f>SUMIF('Lease Cycles'!$HL$25:$HR$25,DD$6,'Lease Cycles'!$HS$25:$HY$25)</f>
        <v>0</v>
      </c>
      <c r="DE311" s="28">
        <f>SUMIF('Lease Cycles'!$HL$25:$HR$25,DE$6,'Lease Cycles'!$HS$25:$HY$25)</f>
        <v>0</v>
      </c>
      <c r="DF311" s="28">
        <f>SUMIF('Lease Cycles'!$HL$25:$HR$25,DF$6,'Lease Cycles'!$HS$25:$HY$25)</f>
        <v>0</v>
      </c>
      <c r="DG311" s="28">
        <f>SUMIF('Lease Cycles'!$HL$25:$HR$25,DG$6,'Lease Cycles'!$HS$25:$HY$25)</f>
        <v>0</v>
      </c>
      <c r="DH311" s="28">
        <f>SUMIF('Lease Cycles'!$HL$25:$HR$25,DH$6,'Lease Cycles'!$HS$25:$HY$25)</f>
        <v>0</v>
      </c>
      <c r="DI311" s="28">
        <f>SUMIF('Lease Cycles'!$HL$25:$HR$25,DI$6,'Lease Cycles'!$HS$25:$HY$25)</f>
        <v>0</v>
      </c>
      <c r="DJ311" s="28">
        <f>SUMIF('Lease Cycles'!$HL$25:$HR$25,DJ$6,'Lease Cycles'!$HS$25:$HY$25)</f>
        <v>0</v>
      </c>
      <c r="DK311" s="28">
        <f>SUMIF('Lease Cycles'!$HL$25:$HR$25,DK$6,'Lease Cycles'!$HS$25:$HY$25)</f>
        <v>0</v>
      </c>
      <c r="DL311" s="28">
        <f>SUMIF('Lease Cycles'!$HL$25:$HR$25,DL$6,'Lease Cycles'!$HS$25:$HY$25)</f>
        <v>0</v>
      </c>
      <c r="DM311" s="28">
        <f>SUMIF('Lease Cycles'!$HL$25:$HR$25,DM$6,'Lease Cycles'!$HS$25:$HY$25)</f>
        <v>0</v>
      </c>
      <c r="DN311" s="28">
        <f>SUMIF('Lease Cycles'!$HL$25:$HR$25,DN$6,'Lease Cycles'!$HS$25:$HY$25)</f>
        <v>0</v>
      </c>
      <c r="DO311" s="28">
        <f>SUMIF('Lease Cycles'!$HL$25:$HR$25,DO$6,'Lease Cycles'!$HS$25:$HY$25)</f>
        <v>0</v>
      </c>
      <c r="DP311" s="28">
        <f>SUMIF('Lease Cycles'!$HL$25:$HR$25,DP$6,'Lease Cycles'!$HS$25:$HY$25)</f>
        <v>0</v>
      </c>
      <c r="DQ311" s="28">
        <f>SUMIF('Lease Cycles'!$HL$25:$HR$25,DQ$6,'Lease Cycles'!$HS$25:$HY$25)</f>
        <v>0</v>
      </c>
      <c r="DR311" s="28">
        <f>SUMIF('Lease Cycles'!$HL$25:$HR$25,DR$6,'Lease Cycles'!$HS$25:$HY$25)</f>
        <v>0</v>
      </c>
      <c r="DS311" s="28">
        <f>SUMIF('Lease Cycles'!$HL$25:$HR$25,DS$6,'Lease Cycles'!$HS$25:$HY$25)</f>
        <v>0</v>
      </c>
      <c r="DT311" s="28">
        <f>SUMIF('Lease Cycles'!$HL$25:$HR$25,DT$6,'Lease Cycles'!$HS$25:$HY$25)</f>
        <v>0</v>
      </c>
      <c r="DU311" s="28">
        <f>SUMIF('Lease Cycles'!$HL$25:$HR$25,DU$6,'Lease Cycles'!$HS$25:$HY$25)</f>
        <v>0</v>
      </c>
      <c r="DV311" s="28">
        <f>SUMIF('Lease Cycles'!$HL$25:$HR$25,DV$6,'Lease Cycles'!$HS$25:$HY$25)</f>
        <v>0</v>
      </c>
      <c r="DW311" s="28">
        <f>SUMIF('Lease Cycles'!$HL$25:$HR$25,DW$6,'Lease Cycles'!$HS$25:$HY$25)</f>
        <v>0</v>
      </c>
      <c r="DX311" s="28">
        <f>SUMIF('Lease Cycles'!$HL$25:$HR$25,DX$6,'Lease Cycles'!$HS$25:$HY$25)</f>
        <v>0</v>
      </c>
      <c r="DY311" s="28">
        <f>SUMIF('Lease Cycles'!$HL$25:$HR$25,DY$6,'Lease Cycles'!$HS$25:$HY$25)</f>
        <v>0</v>
      </c>
      <c r="DZ311" s="28">
        <f>SUMIF('Lease Cycles'!$HL$25:$HR$25,DZ$6,'Lease Cycles'!$HS$25:$HY$25)</f>
        <v>0</v>
      </c>
      <c r="EA311" s="28">
        <f>SUMIF('Lease Cycles'!$HL$25:$HR$25,EA$6,'Lease Cycles'!$HS$25:$HY$25)</f>
        <v>0</v>
      </c>
      <c r="EB311" s="28">
        <f>SUMIF('Lease Cycles'!$HL$25:$HR$25,EB$6,'Lease Cycles'!$HS$25:$HY$25)</f>
        <v>0</v>
      </c>
      <c r="EC311" s="28">
        <f>SUMIF('Lease Cycles'!$HL$25:$HR$25,EC$6,'Lease Cycles'!$HS$25:$HY$25)</f>
        <v>0</v>
      </c>
      <c r="ED311" s="28">
        <f>SUMIF('Lease Cycles'!$HL$25:$HR$25,ED$6,'Lease Cycles'!$HS$25:$HY$25)</f>
        <v>0</v>
      </c>
      <c r="EE311" s="28">
        <f>SUMIF('Lease Cycles'!$HL$25:$HR$25,EE$6,'Lease Cycles'!$HS$25:$HY$25)</f>
        <v>0</v>
      </c>
      <c r="EF311" s="28">
        <f>SUMIF('Lease Cycles'!$HL$25:$HR$25,EF$6,'Lease Cycles'!$HS$25:$HY$25)</f>
        <v>0</v>
      </c>
      <c r="EG311" s="28">
        <f>SUMIF('Lease Cycles'!$HL$25:$HR$25,EG$6,'Lease Cycles'!$HS$25:$HY$25)</f>
        <v>0</v>
      </c>
      <c r="EH311" s="28">
        <f>SUMIF('Lease Cycles'!$HL$25:$HR$25,EH$6,'Lease Cycles'!$HS$25:$HY$25)</f>
        <v>0</v>
      </c>
      <c r="EI311" s="28">
        <f>SUMIF('Lease Cycles'!$HL$25:$HR$25,EI$6,'Lease Cycles'!$HS$25:$HY$25)</f>
        <v>0</v>
      </c>
      <c r="EJ311" s="28">
        <f>SUMIF('Lease Cycles'!$HL$25:$HR$25,EJ$6,'Lease Cycles'!$HS$25:$HY$25)</f>
        <v>0</v>
      </c>
      <c r="EK311" s="28">
        <f>SUMIF('Lease Cycles'!$HL$25:$HR$25,EK$6,'Lease Cycles'!$HS$25:$HY$25)</f>
        <v>0</v>
      </c>
      <c r="EL311" s="28">
        <f>SUMIF('Lease Cycles'!$HL$25:$HR$25,EL$6,'Lease Cycles'!$HS$25:$HY$25)</f>
        <v>0</v>
      </c>
      <c r="EM311" s="28">
        <f>SUMIF('Lease Cycles'!$HL$25:$HR$25,EM$6,'Lease Cycles'!$HS$25:$HY$25)</f>
        <v>0</v>
      </c>
      <c r="EN311" s="28">
        <f>SUMIF('Lease Cycles'!$HL$25:$HR$25,EN$6,'Lease Cycles'!$HS$25:$HY$25)</f>
        <v>0</v>
      </c>
      <c r="EO311" s="28">
        <f>SUMIF('Lease Cycles'!$HL$25:$HR$25,EO$6,'Lease Cycles'!$HS$25:$HY$25)</f>
        <v>0</v>
      </c>
      <c r="EP311" s="28">
        <f>SUMIF('Lease Cycles'!$HL$25:$HR$25,EP$6,'Lease Cycles'!$HS$25:$HY$25)</f>
        <v>0</v>
      </c>
      <c r="EQ311" s="28">
        <f>SUMIF('Lease Cycles'!$HL$25:$HR$25,EQ$6,'Lease Cycles'!$HS$25:$HY$25)</f>
        <v>0</v>
      </c>
      <c r="ER311" s="28">
        <f>SUMIF('Lease Cycles'!$HL$25:$HR$25,ER$6,'Lease Cycles'!$HS$25:$HY$25)</f>
        <v>0</v>
      </c>
      <c r="ES311" s="28">
        <f>SUMIF('Lease Cycles'!$HL$25:$HR$25,ES$6,'Lease Cycles'!$HS$25:$HY$25)</f>
        <v>0</v>
      </c>
      <c r="ET311" s="28">
        <f>SUMIF('Lease Cycles'!$HL$25:$HR$25,ET$6,'Lease Cycles'!$HS$25:$HY$25)</f>
        <v>0</v>
      </c>
    </row>
    <row r="312">
      <c r="A312" s="103">
        <v>18</v>
      </c>
      <c r="B312" s="23" t="str">
        <f>IF('Lease Cycles'!$B$25="","(empty slot)",'Lease Cycles'!$B$25)</f>
        <v>(empty slot)</v>
      </c>
      <c r="C312" s="23" t="s">
        <v>532</v>
      </c>
      <c r="D312" s="104" t="s">
        <v>533</v>
      </c>
      <c r="E312" s="25">
        <f>'Lease Cycles'!$AL$25</f>
        <v>0</v>
      </c>
      <c r="G312" s="28">
        <f>SUM(S312:AD312)</f>
        <v>0</v>
      </c>
      <c r="H312" s="28">
        <f>SUM(AE312:AP312)</f>
        <v>0</v>
      </c>
      <c r="I312" s="28">
        <f>SUM(AQ312:BB312)</f>
        <v>0</v>
      </c>
      <c r="J312" s="28">
        <f>SUM(BC312:BN312)</f>
        <v>0</v>
      </c>
      <c r="K312" s="28">
        <f>SUM(BO312:BZ312)</f>
        <v>0</v>
      </c>
      <c r="L312" s="28">
        <f>SUM(CA312:CL312)</f>
        <v>0</v>
      </c>
      <c r="M312" s="28">
        <f>SUM(CM312:CX312)</f>
        <v>0</v>
      </c>
      <c r="N312" s="28">
        <f>SUM(CY312:DJ312)</f>
        <v>0</v>
      </c>
      <c r="O312" s="28">
        <f>SUM(DK312:DV312)</f>
        <v>0</v>
      </c>
      <c r="P312" s="28">
        <f>SUM(DW312:EH312)</f>
        <v>0</v>
      </c>
      <c r="Q312" s="28">
        <f>SUM(EI312:ET312)</f>
        <v>0</v>
      </c>
      <c r="S312" s="28">
        <f>SUMIF('Lease Cycles'!$HL$25:$HR$25,S$6,'Lease Cycles'!$HZ$25:$IF$25)</f>
        <v>0</v>
      </c>
      <c r="T312" s="28">
        <f>SUMIF('Lease Cycles'!$HL$25:$HR$25,T$6,'Lease Cycles'!$HZ$25:$IF$25)</f>
        <v>0</v>
      </c>
      <c r="U312" s="28">
        <f>SUMIF('Lease Cycles'!$HL$25:$HR$25,U$6,'Lease Cycles'!$HZ$25:$IF$25)</f>
        <v>0</v>
      </c>
      <c r="V312" s="28">
        <f>SUMIF('Lease Cycles'!$HL$25:$HR$25,V$6,'Lease Cycles'!$HZ$25:$IF$25)</f>
        <v>0</v>
      </c>
      <c r="W312" s="28">
        <f>SUMIF('Lease Cycles'!$HL$25:$HR$25,W$6,'Lease Cycles'!$HZ$25:$IF$25)</f>
        <v>0</v>
      </c>
      <c r="X312" s="28">
        <f>SUMIF('Lease Cycles'!$HL$25:$HR$25,X$6,'Lease Cycles'!$HZ$25:$IF$25)</f>
        <v>0</v>
      </c>
      <c r="Y312" s="28">
        <f>SUMIF('Lease Cycles'!$HL$25:$HR$25,Y$6,'Lease Cycles'!$HZ$25:$IF$25)</f>
        <v>0</v>
      </c>
      <c r="Z312" s="28">
        <f>SUMIF('Lease Cycles'!$HL$25:$HR$25,Z$6,'Lease Cycles'!$HZ$25:$IF$25)</f>
        <v>0</v>
      </c>
      <c r="AA312" s="28">
        <f>SUMIF('Lease Cycles'!$HL$25:$HR$25,AA$6,'Lease Cycles'!$HZ$25:$IF$25)</f>
        <v>0</v>
      </c>
      <c r="AB312" s="28">
        <f>SUMIF('Lease Cycles'!$HL$25:$HR$25,AB$6,'Lease Cycles'!$HZ$25:$IF$25)</f>
        <v>0</v>
      </c>
      <c r="AC312" s="28">
        <f>SUMIF('Lease Cycles'!$HL$25:$HR$25,AC$6,'Lease Cycles'!$HZ$25:$IF$25)</f>
        <v>0</v>
      </c>
      <c r="AD312" s="28">
        <f>SUMIF('Lease Cycles'!$HL$25:$HR$25,AD$6,'Lease Cycles'!$HZ$25:$IF$25)</f>
        <v>0</v>
      </c>
      <c r="AE312" s="28">
        <f>SUMIF('Lease Cycles'!$HL$25:$HR$25,AE$6,'Lease Cycles'!$HZ$25:$IF$25)</f>
        <v>0</v>
      </c>
      <c r="AF312" s="28">
        <f>SUMIF('Lease Cycles'!$HL$25:$HR$25,AF$6,'Lease Cycles'!$HZ$25:$IF$25)</f>
        <v>0</v>
      </c>
      <c r="AG312" s="28">
        <f>SUMIF('Lease Cycles'!$HL$25:$HR$25,AG$6,'Lease Cycles'!$HZ$25:$IF$25)</f>
        <v>0</v>
      </c>
      <c r="AH312" s="28">
        <f>SUMIF('Lease Cycles'!$HL$25:$HR$25,AH$6,'Lease Cycles'!$HZ$25:$IF$25)</f>
        <v>0</v>
      </c>
      <c r="AI312" s="28">
        <f>SUMIF('Lease Cycles'!$HL$25:$HR$25,AI$6,'Lease Cycles'!$HZ$25:$IF$25)</f>
        <v>0</v>
      </c>
      <c r="AJ312" s="28">
        <f>SUMIF('Lease Cycles'!$HL$25:$HR$25,AJ$6,'Lease Cycles'!$HZ$25:$IF$25)</f>
        <v>0</v>
      </c>
      <c r="AK312" s="28">
        <f>SUMIF('Lease Cycles'!$HL$25:$HR$25,AK$6,'Lease Cycles'!$HZ$25:$IF$25)</f>
        <v>0</v>
      </c>
      <c r="AL312" s="28">
        <f>SUMIF('Lease Cycles'!$HL$25:$HR$25,AL$6,'Lease Cycles'!$HZ$25:$IF$25)</f>
        <v>0</v>
      </c>
      <c r="AM312" s="28">
        <f>SUMIF('Lease Cycles'!$HL$25:$HR$25,AM$6,'Lease Cycles'!$HZ$25:$IF$25)</f>
        <v>0</v>
      </c>
      <c r="AN312" s="28">
        <f>SUMIF('Lease Cycles'!$HL$25:$HR$25,AN$6,'Lease Cycles'!$HZ$25:$IF$25)</f>
        <v>0</v>
      </c>
      <c r="AO312" s="28">
        <f>SUMIF('Lease Cycles'!$HL$25:$HR$25,AO$6,'Lease Cycles'!$HZ$25:$IF$25)</f>
        <v>0</v>
      </c>
      <c r="AP312" s="28">
        <f>SUMIF('Lease Cycles'!$HL$25:$HR$25,AP$6,'Lease Cycles'!$HZ$25:$IF$25)</f>
        <v>0</v>
      </c>
      <c r="AQ312" s="28">
        <f>SUMIF('Lease Cycles'!$HL$25:$HR$25,AQ$6,'Lease Cycles'!$HZ$25:$IF$25)</f>
        <v>0</v>
      </c>
      <c r="AR312" s="28">
        <f>SUMIF('Lease Cycles'!$HL$25:$HR$25,AR$6,'Lease Cycles'!$HZ$25:$IF$25)</f>
        <v>0</v>
      </c>
      <c r="AS312" s="28">
        <f>SUMIF('Lease Cycles'!$HL$25:$HR$25,AS$6,'Lease Cycles'!$HZ$25:$IF$25)</f>
        <v>0</v>
      </c>
      <c r="AT312" s="28">
        <f>SUMIF('Lease Cycles'!$HL$25:$HR$25,AT$6,'Lease Cycles'!$HZ$25:$IF$25)</f>
        <v>0</v>
      </c>
      <c r="AU312" s="28">
        <f>SUMIF('Lease Cycles'!$HL$25:$HR$25,AU$6,'Lease Cycles'!$HZ$25:$IF$25)</f>
        <v>0</v>
      </c>
      <c r="AV312" s="28">
        <f>SUMIF('Lease Cycles'!$HL$25:$HR$25,AV$6,'Lease Cycles'!$HZ$25:$IF$25)</f>
        <v>0</v>
      </c>
      <c r="AW312" s="28">
        <f>SUMIF('Lease Cycles'!$HL$25:$HR$25,AW$6,'Lease Cycles'!$HZ$25:$IF$25)</f>
        <v>0</v>
      </c>
      <c r="AX312" s="28">
        <f>SUMIF('Lease Cycles'!$HL$25:$HR$25,AX$6,'Lease Cycles'!$HZ$25:$IF$25)</f>
        <v>0</v>
      </c>
      <c r="AY312" s="28">
        <f>SUMIF('Lease Cycles'!$HL$25:$HR$25,AY$6,'Lease Cycles'!$HZ$25:$IF$25)</f>
        <v>0</v>
      </c>
      <c r="AZ312" s="28">
        <f>SUMIF('Lease Cycles'!$HL$25:$HR$25,AZ$6,'Lease Cycles'!$HZ$25:$IF$25)</f>
        <v>0</v>
      </c>
      <c r="BA312" s="28">
        <f>SUMIF('Lease Cycles'!$HL$25:$HR$25,BA$6,'Lease Cycles'!$HZ$25:$IF$25)</f>
        <v>0</v>
      </c>
      <c r="BB312" s="28">
        <f>SUMIF('Lease Cycles'!$HL$25:$HR$25,BB$6,'Lease Cycles'!$HZ$25:$IF$25)</f>
        <v>0</v>
      </c>
      <c r="BC312" s="28">
        <f>SUMIF('Lease Cycles'!$HL$25:$HR$25,BC$6,'Lease Cycles'!$HZ$25:$IF$25)</f>
        <v>0</v>
      </c>
      <c r="BD312" s="28">
        <f>SUMIF('Lease Cycles'!$HL$25:$HR$25,BD$6,'Lease Cycles'!$HZ$25:$IF$25)</f>
        <v>0</v>
      </c>
      <c r="BE312" s="28">
        <f>SUMIF('Lease Cycles'!$HL$25:$HR$25,BE$6,'Lease Cycles'!$HZ$25:$IF$25)</f>
        <v>0</v>
      </c>
      <c r="BF312" s="28">
        <f>SUMIF('Lease Cycles'!$HL$25:$HR$25,BF$6,'Lease Cycles'!$HZ$25:$IF$25)</f>
        <v>0</v>
      </c>
      <c r="BG312" s="28">
        <f>SUMIF('Lease Cycles'!$HL$25:$HR$25,BG$6,'Lease Cycles'!$HZ$25:$IF$25)</f>
        <v>0</v>
      </c>
      <c r="BH312" s="28">
        <f>SUMIF('Lease Cycles'!$HL$25:$HR$25,BH$6,'Lease Cycles'!$HZ$25:$IF$25)</f>
        <v>0</v>
      </c>
      <c r="BI312" s="28">
        <f>SUMIF('Lease Cycles'!$HL$25:$HR$25,BI$6,'Lease Cycles'!$HZ$25:$IF$25)</f>
        <v>0</v>
      </c>
      <c r="BJ312" s="28">
        <f>SUMIF('Lease Cycles'!$HL$25:$HR$25,BJ$6,'Lease Cycles'!$HZ$25:$IF$25)</f>
        <v>0</v>
      </c>
      <c r="BK312" s="28">
        <f>SUMIF('Lease Cycles'!$HL$25:$HR$25,BK$6,'Lease Cycles'!$HZ$25:$IF$25)</f>
        <v>0</v>
      </c>
      <c r="BL312" s="28">
        <f>SUMIF('Lease Cycles'!$HL$25:$HR$25,BL$6,'Lease Cycles'!$HZ$25:$IF$25)</f>
        <v>0</v>
      </c>
      <c r="BM312" s="28">
        <f>SUMIF('Lease Cycles'!$HL$25:$HR$25,BM$6,'Lease Cycles'!$HZ$25:$IF$25)</f>
        <v>0</v>
      </c>
      <c r="BN312" s="28">
        <f>SUMIF('Lease Cycles'!$HL$25:$HR$25,BN$6,'Lease Cycles'!$HZ$25:$IF$25)</f>
        <v>0</v>
      </c>
      <c r="BO312" s="28">
        <f>SUMIF('Lease Cycles'!$HL$25:$HR$25,BO$6,'Lease Cycles'!$HZ$25:$IF$25)</f>
        <v>0</v>
      </c>
      <c r="BP312" s="28">
        <f>SUMIF('Lease Cycles'!$HL$25:$HR$25,BP$6,'Lease Cycles'!$HZ$25:$IF$25)</f>
        <v>0</v>
      </c>
      <c r="BQ312" s="28">
        <f>SUMIF('Lease Cycles'!$HL$25:$HR$25,BQ$6,'Lease Cycles'!$HZ$25:$IF$25)</f>
        <v>0</v>
      </c>
      <c r="BR312" s="28">
        <f>SUMIF('Lease Cycles'!$HL$25:$HR$25,BR$6,'Lease Cycles'!$HZ$25:$IF$25)</f>
        <v>0</v>
      </c>
      <c r="BS312" s="28">
        <f>SUMIF('Lease Cycles'!$HL$25:$HR$25,BS$6,'Lease Cycles'!$HZ$25:$IF$25)</f>
        <v>0</v>
      </c>
      <c r="BT312" s="28">
        <f>SUMIF('Lease Cycles'!$HL$25:$HR$25,BT$6,'Lease Cycles'!$HZ$25:$IF$25)</f>
        <v>0</v>
      </c>
      <c r="BU312" s="28">
        <f>SUMIF('Lease Cycles'!$HL$25:$HR$25,BU$6,'Lease Cycles'!$HZ$25:$IF$25)</f>
        <v>0</v>
      </c>
      <c r="BV312" s="28">
        <f>SUMIF('Lease Cycles'!$HL$25:$HR$25,BV$6,'Lease Cycles'!$HZ$25:$IF$25)</f>
        <v>0</v>
      </c>
      <c r="BW312" s="28">
        <f>SUMIF('Lease Cycles'!$HL$25:$HR$25,BW$6,'Lease Cycles'!$HZ$25:$IF$25)</f>
        <v>0</v>
      </c>
      <c r="BX312" s="28">
        <f>SUMIF('Lease Cycles'!$HL$25:$HR$25,BX$6,'Lease Cycles'!$HZ$25:$IF$25)</f>
        <v>0</v>
      </c>
      <c r="BY312" s="28">
        <f>SUMIF('Lease Cycles'!$HL$25:$HR$25,BY$6,'Lease Cycles'!$HZ$25:$IF$25)</f>
        <v>0</v>
      </c>
      <c r="BZ312" s="28">
        <f>SUMIF('Lease Cycles'!$HL$25:$HR$25,BZ$6,'Lease Cycles'!$HZ$25:$IF$25)</f>
        <v>0</v>
      </c>
      <c r="CA312" s="28">
        <f>SUMIF('Lease Cycles'!$HL$25:$HR$25,CA$6,'Lease Cycles'!$HZ$25:$IF$25)</f>
        <v>0</v>
      </c>
      <c r="CB312" s="28">
        <f>SUMIF('Lease Cycles'!$HL$25:$HR$25,CB$6,'Lease Cycles'!$HZ$25:$IF$25)</f>
        <v>0</v>
      </c>
      <c r="CC312" s="28">
        <f>SUMIF('Lease Cycles'!$HL$25:$HR$25,CC$6,'Lease Cycles'!$HZ$25:$IF$25)</f>
        <v>0</v>
      </c>
      <c r="CD312" s="28">
        <f>SUMIF('Lease Cycles'!$HL$25:$HR$25,CD$6,'Lease Cycles'!$HZ$25:$IF$25)</f>
        <v>0</v>
      </c>
      <c r="CE312" s="28">
        <f>SUMIF('Lease Cycles'!$HL$25:$HR$25,CE$6,'Lease Cycles'!$HZ$25:$IF$25)</f>
        <v>0</v>
      </c>
      <c r="CF312" s="28">
        <f>SUMIF('Lease Cycles'!$HL$25:$HR$25,CF$6,'Lease Cycles'!$HZ$25:$IF$25)</f>
        <v>0</v>
      </c>
      <c r="CG312" s="28">
        <f>SUMIF('Lease Cycles'!$HL$25:$HR$25,CG$6,'Lease Cycles'!$HZ$25:$IF$25)</f>
        <v>0</v>
      </c>
      <c r="CH312" s="28">
        <f>SUMIF('Lease Cycles'!$HL$25:$HR$25,CH$6,'Lease Cycles'!$HZ$25:$IF$25)</f>
        <v>0</v>
      </c>
      <c r="CI312" s="28">
        <f>SUMIF('Lease Cycles'!$HL$25:$HR$25,CI$6,'Lease Cycles'!$HZ$25:$IF$25)</f>
        <v>0</v>
      </c>
      <c r="CJ312" s="28">
        <f>SUMIF('Lease Cycles'!$HL$25:$HR$25,CJ$6,'Lease Cycles'!$HZ$25:$IF$25)</f>
        <v>0</v>
      </c>
      <c r="CK312" s="28">
        <f>SUMIF('Lease Cycles'!$HL$25:$HR$25,CK$6,'Lease Cycles'!$HZ$25:$IF$25)</f>
        <v>0</v>
      </c>
      <c r="CL312" s="28">
        <f>SUMIF('Lease Cycles'!$HL$25:$HR$25,CL$6,'Lease Cycles'!$HZ$25:$IF$25)</f>
        <v>0</v>
      </c>
      <c r="CM312" s="28">
        <f>SUMIF('Lease Cycles'!$HL$25:$HR$25,CM$6,'Lease Cycles'!$HZ$25:$IF$25)</f>
        <v>0</v>
      </c>
      <c r="CN312" s="28">
        <f>SUMIF('Lease Cycles'!$HL$25:$HR$25,CN$6,'Lease Cycles'!$HZ$25:$IF$25)</f>
        <v>0</v>
      </c>
      <c r="CO312" s="28">
        <f>SUMIF('Lease Cycles'!$HL$25:$HR$25,CO$6,'Lease Cycles'!$HZ$25:$IF$25)</f>
        <v>0</v>
      </c>
      <c r="CP312" s="28">
        <f>SUMIF('Lease Cycles'!$HL$25:$HR$25,CP$6,'Lease Cycles'!$HZ$25:$IF$25)</f>
        <v>0</v>
      </c>
      <c r="CQ312" s="28">
        <f>SUMIF('Lease Cycles'!$HL$25:$HR$25,CQ$6,'Lease Cycles'!$HZ$25:$IF$25)</f>
        <v>0</v>
      </c>
      <c r="CR312" s="28">
        <f>SUMIF('Lease Cycles'!$HL$25:$HR$25,CR$6,'Lease Cycles'!$HZ$25:$IF$25)</f>
        <v>0</v>
      </c>
      <c r="CS312" s="28">
        <f>SUMIF('Lease Cycles'!$HL$25:$HR$25,CS$6,'Lease Cycles'!$HZ$25:$IF$25)</f>
        <v>0</v>
      </c>
      <c r="CT312" s="28">
        <f>SUMIF('Lease Cycles'!$HL$25:$HR$25,CT$6,'Lease Cycles'!$HZ$25:$IF$25)</f>
        <v>0</v>
      </c>
      <c r="CU312" s="28">
        <f>SUMIF('Lease Cycles'!$HL$25:$HR$25,CU$6,'Lease Cycles'!$HZ$25:$IF$25)</f>
        <v>0</v>
      </c>
      <c r="CV312" s="28">
        <f>SUMIF('Lease Cycles'!$HL$25:$HR$25,CV$6,'Lease Cycles'!$HZ$25:$IF$25)</f>
        <v>0</v>
      </c>
      <c r="CW312" s="28">
        <f>SUMIF('Lease Cycles'!$HL$25:$HR$25,CW$6,'Lease Cycles'!$HZ$25:$IF$25)</f>
        <v>0</v>
      </c>
      <c r="CX312" s="28">
        <f>SUMIF('Lease Cycles'!$HL$25:$HR$25,CX$6,'Lease Cycles'!$HZ$25:$IF$25)</f>
        <v>0</v>
      </c>
      <c r="CY312" s="28">
        <f>SUMIF('Lease Cycles'!$HL$25:$HR$25,CY$6,'Lease Cycles'!$HZ$25:$IF$25)</f>
        <v>0</v>
      </c>
      <c r="CZ312" s="28">
        <f>SUMIF('Lease Cycles'!$HL$25:$HR$25,CZ$6,'Lease Cycles'!$HZ$25:$IF$25)</f>
        <v>0</v>
      </c>
      <c r="DA312" s="28">
        <f>SUMIF('Lease Cycles'!$HL$25:$HR$25,DA$6,'Lease Cycles'!$HZ$25:$IF$25)</f>
        <v>0</v>
      </c>
      <c r="DB312" s="28">
        <f>SUMIF('Lease Cycles'!$HL$25:$HR$25,DB$6,'Lease Cycles'!$HZ$25:$IF$25)</f>
        <v>0</v>
      </c>
      <c r="DC312" s="28">
        <f>SUMIF('Lease Cycles'!$HL$25:$HR$25,DC$6,'Lease Cycles'!$HZ$25:$IF$25)</f>
        <v>0</v>
      </c>
      <c r="DD312" s="28">
        <f>SUMIF('Lease Cycles'!$HL$25:$HR$25,DD$6,'Lease Cycles'!$HZ$25:$IF$25)</f>
        <v>0</v>
      </c>
      <c r="DE312" s="28">
        <f>SUMIF('Lease Cycles'!$HL$25:$HR$25,DE$6,'Lease Cycles'!$HZ$25:$IF$25)</f>
        <v>0</v>
      </c>
      <c r="DF312" s="28">
        <f>SUMIF('Lease Cycles'!$HL$25:$HR$25,DF$6,'Lease Cycles'!$HZ$25:$IF$25)</f>
        <v>0</v>
      </c>
      <c r="DG312" s="28">
        <f>SUMIF('Lease Cycles'!$HL$25:$HR$25,DG$6,'Lease Cycles'!$HZ$25:$IF$25)</f>
        <v>0</v>
      </c>
      <c r="DH312" s="28">
        <f>SUMIF('Lease Cycles'!$HL$25:$HR$25,DH$6,'Lease Cycles'!$HZ$25:$IF$25)</f>
        <v>0</v>
      </c>
      <c r="DI312" s="28">
        <f>SUMIF('Lease Cycles'!$HL$25:$HR$25,DI$6,'Lease Cycles'!$HZ$25:$IF$25)</f>
        <v>0</v>
      </c>
      <c r="DJ312" s="28">
        <f>SUMIF('Lease Cycles'!$HL$25:$HR$25,DJ$6,'Lease Cycles'!$HZ$25:$IF$25)</f>
        <v>0</v>
      </c>
      <c r="DK312" s="28">
        <f>SUMIF('Lease Cycles'!$HL$25:$HR$25,DK$6,'Lease Cycles'!$HZ$25:$IF$25)</f>
        <v>0</v>
      </c>
      <c r="DL312" s="28">
        <f>SUMIF('Lease Cycles'!$HL$25:$HR$25,DL$6,'Lease Cycles'!$HZ$25:$IF$25)</f>
        <v>0</v>
      </c>
      <c r="DM312" s="28">
        <f>SUMIF('Lease Cycles'!$HL$25:$HR$25,DM$6,'Lease Cycles'!$HZ$25:$IF$25)</f>
        <v>0</v>
      </c>
      <c r="DN312" s="28">
        <f>SUMIF('Lease Cycles'!$HL$25:$HR$25,DN$6,'Lease Cycles'!$HZ$25:$IF$25)</f>
        <v>0</v>
      </c>
      <c r="DO312" s="28">
        <f>SUMIF('Lease Cycles'!$HL$25:$HR$25,DO$6,'Lease Cycles'!$HZ$25:$IF$25)</f>
        <v>0</v>
      </c>
      <c r="DP312" s="28">
        <f>SUMIF('Lease Cycles'!$HL$25:$HR$25,DP$6,'Lease Cycles'!$HZ$25:$IF$25)</f>
        <v>0</v>
      </c>
      <c r="DQ312" s="28">
        <f>SUMIF('Lease Cycles'!$HL$25:$HR$25,DQ$6,'Lease Cycles'!$HZ$25:$IF$25)</f>
        <v>0</v>
      </c>
      <c r="DR312" s="28">
        <f>SUMIF('Lease Cycles'!$HL$25:$HR$25,DR$6,'Lease Cycles'!$HZ$25:$IF$25)</f>
        <v>0</v>
      </c>
      <c r="DS312" s="28">
        <f>SUMIF('Lease Cycles'!$HL$25:$HR$25,DS$6,'Lease Cycles'!$HZ$25:$IF$25)</f>
        <v>0</v>
      </c>
      <c r="DT312" s="28">
        <f>SUMIF('Lease Cycles'!$HL$25:$HR$25,DT$6,'Lease Cycles'!$HZ$25:$IF$25)</f>
        <v>0</v>
      </c>
      <c r="DU312" s="28">
        <f>SUMIF('Lease Cycles'!$HL$25:$HR$25,DU$6,'Lease Cycles'!$HZ$25:$IF$25)</f>
        <v>0</v>
      </c>
      <c r="DV312" s="28">
        <f>SUMIF('Lease Cycles'!$HL$25:$HR$25,DV$6,'Lease Cycles'!$HZ$25:$IF$25)</f>
        <v>0</v>
      </c>
      <c r="DW312" s="28">
        <f>SUMIF('Lease Cycles'!$HL$25:$HR$25,DW$6,'Lease Cycles'!$HZ$25:$IF$25)</f>
        <v>0</v>
      </c>
      <c r="DX312" s="28">
        <f>SUMIF('Lease Cycles'!$HL$25:$HR$25,DX$6,'Lease Cycles'!$HZ$25:$IF$25)</f>
        <v>0</v>
      </c>
      <c r="DY312" s="28">
        <f>SUMIF('Lease Cycles'!$HL$25:$HR$25,DY$6,'Lease Cycles'!$HZ$25:$IF$25)</f>
        <v>0</v>
      </c>
      <c r="DZ312" s="28">
        <f>SUMIF('Lease Cycles'!$HL$25:$HR$25,DZ$6,'Lease Cycles'!$HZ$25:$IF$25)</f>
        <v>0</v>
      </c>
      <c r="EA312" s="28">
        <f>SUMIF('Lease Cycles'!$HL$25:$HR$25,EA$6,'Lease Cycles'!$HZ$25:$IF$25)</f>
        <v>0</v>
      </c>
      <c r="EB312" s="28">
        <f>SUMIF('Lease Cycles'!$HL$25:$HR$25,EB$6,'Lease Cycles'!$HZ$25:$IF$25)</f>
        <v>0</v>
      </c>
      <c r="EC312" s="28">
        <f>SUMIF('Lease Cycles'!$HL$25:$HR$25,EC$6,'Lease Cycles'!$HZ$25:$IF$25)</f>
        <v>0</v>
      </c>
      <c r="ED312" s="28">
        <f>SUMIF('Lease Cycles'!$HL$25:$HR$25,ED$6,'Lease Cycles'!$HZ$25:$IF$25)</f>
        <v>0</v>
      </c>
      <c r="EE312" s="28">
        <f>SUMIF('Lease Cycles'!$HL$25:$HR$25,EE$6,'Lease Cycles'!$HZ$25:$IF$25)</f>
        <v>0</v>
      </c>
      <c r="EF312" s="28">
        <f>SUMIF('Lease Cycles'!$HL$25:$HR$25,EF$6,'Lease Cycles'!$HZ$25:$IF$25)</f>
        <v>0</v>
      </c>
      <c r="EG312" s="28">
        <f>SUMIF('Lease Cycles'!$HL$25:$HR$25,EG$6,'Lease Cycles'!$HZ$25:$IF$25)</f>
        <v>0</v>
      </c>
      <c r="EH312" s="28">
        <f>SUMIF('Lease Cycles'!$HL$25:$HR$25,EH$6,'Lease Cycles'!$HZ$25:$IF$25)</f>
        <v>0</v>
      </c>
      <c r="EI312" s="28">
        <f>SUMIF('Lease Cycles'!$HL$25:$HR$25,EI$6,'Lease Cycles'!$HZ$25:$IF$25)</f>
        <v>0</v>
      </c>
      <c r="EJ312" s="28">
        <f>SUMIF('Lease Cycles'!$HL$25:$HR$25,EJ$6,'Lease Cycles'!$HZ$25:$IF$25)</f>
        <v>0</v>
      </c>
      <c r="EK312" s="28">
        <f>SUMIF('Lease Cycles'!$HL$25:$HR$25,EK$6,'Lease Cycles'!$HZ$25:$IF$25)</f>
        <v>0</v>
      </c>
      <c r="EL312" s="28">
        <f>SUMIF('Lease Cycles'!$HL$25:$HR$25,EL$6,'Lease Cycles'!$HZ$25:$IF$25)</f>
        <v>0</v>
      </c>
      <c r="EM312" s="28">
        <f>SUMIF('Lease Cycles'!$HL$25:$HR$25,EM$6,'Lease Cycles'!$HZ$25:$IF$25)</f>
        <v>0</v>
      </c>
      <c r="EN312" s="28">
        <f>SUMIF('Lease Cycles'!$HL$25:$HR$25,EN$6,'Lease Cycles'!$HZ$25:$IF$25)</f>
        <v>0</v>
      </c>
      <c r="EO312" s="28">
        <f>SUMIF('Lease Cycles'!$HL$25:$HR$25,EO$6,'Lease Cycles'!$HZ$25:$IF$25)</f>
        <v>0</v>
      </c>
      <c r="EP312" s="28">
        <f>SUMIF('Lease Cycles'!$HL$25:$HR$25,EP$6,'Lease Cycles'!$HZ$25:$IF$25)</f>
        <v>0</v>
      </c>
      <c r="EQ312" s="28">
        <f>SUMIF('Lease Cycles'!$HL$25:$HR$25,EQ$6,'Lease Cycles'!$HZ$25:$IF$25)</f>
        <v>0</v>
      </c>
      <c r="ER312" s="28">
        <f>SUMIF('Lease Cycles'!$HL$25:$HR$25,ER$6,'Lease Cycles'!$HZ$25:$IF$25)</f>
        <v>0</v>
      </c>
      <c r="ES312" s="28">
        <f>SUMIF('Lease Cycles'!$HL$25:$HR$25,ES$6,'Lease Cycles'!$HZ$25:$IF$25)</f>
        <v>0</v>
      </c>
      <c r="ET312" s="28">
        <f>SUMIF('Lease Cycles'!$HL$25:$HR$25,ET$6,'Lease Cycles'!$HZ$25:$IF$25)</f>
        <v>0</v>
      </c>
    </row>
    <row r="313">
      <c r="A313" s="103">
        <v>18</v>
      </c>
      <c r="B313" s="23" t="str">
        <f>IF('Lease Cycles'!$B$25="","(empty slot)",'Lease Cycles'!$B$25)</f>
        <v>(empty slot)</v>
      </c>
      <c r="C313" s="23" t="s">
        <v>691</v>
      </c>
      <c r="D313" s="104" t="s">
        <v>692</v>
      </c>
      <c r="E313" s="25">
        <f>'Lease Cycles'!$AL$25</f>
        <v>0</v>
      </c>
      <c r="G313" s="28">
        <f>SUM(S313:AD313)</f>
        <v>0</v>
      </c>
      <c r="H313" s="28">
        <f>SUM(AE313:AP313)</f>
        <v>0</v>
      </c>
      <c r="I313" s="28">
        <f>SUM(AQ313:BB313)</f>
        <v>0</v>
      </c>
      <c r="J313" s="28">
        <f>SUM(BC313:BN313)</f>
        <v>0</v>
      </c>
      <c r="K313" s="28">
        <f>SUM(BO313:BZ313)</f>
        <v>0</v>
      </c>
      <c r="L313" s="28">
        <f>SUM(CA313:CL313)</f>
        <v>0</v>
      </c>
      <c r="M313" s="28">
        <f>SUM(CM313:CX313)</f>
        <v>0</v>
      </c>
      <c r="N313" s="28">
        <f>SUM(CY313:DJ313)</f>
        <v>0</v>
      </c>
      <c r="O313" s="28">
        <f>SUM(DK313:DV313)</f>
        <v>0</v>
      </c>
      <c r="P313" s="28">
        <f>SUM(DW313:EH313)</f>
        <v>0</v>
      </c>
      <c r="Q313" s="28">
        <f>SUM(EI313:ET313)</f>
        <v>0</v>
      </c>
      <c r="S313" s="28">
        <f>IF(S$6='Lease Cycles'!$HL$25,'Lease Cycles'!$HS$25+'Lease Cycles'!$HZ$25,0)</f>
        <v>0</v>
      </c>
      <c r="T313" s="28">
        <f>IF(T$6='Lease Cycles'!$HL$25,'Lease Cycles'!$HS$25+'Lease Cycles'!$HZ$25,0)</f>
        <v>0</v>
      </c>
      <c r="U313" s="28">
        <f>IF(U$6='Lease Cycles'!$HL$25,'Lease Cycles'!$HS$25+'Lease Cycles'!$HZ$25,0)</f>
        <v>0</v>
      </c>
      <c r="V313" s="28">
        <f>IF(V$6='Lease Cycles'!$HL$25,'Lease Cycles'!$HS$25+'Lease Cycles'!$HZ$25,0)</f>
        <v>0</v>
      </c>
      <c r="W313" s="28">
        <f>IF(W$6='Lease Cycles'!$HL$25,'Lease Cycles'!$HS$25+'Lease Cycles'!$HZ$25,0)</f>
        <v>0</v>
      </c>
      <c r="X313" s="28">
        <f>IF(X$6='Lease Cycles'!$HL$25,'Lease Cycles'!$HS$25+'Lease Cycles'!$HZ$25,0)</f>
        <v>0</v>
      </c>
      <c r="Y313" s="28">
        <f>IF(Y$6='Lease Cycles'!$HL$25,'Lease Cycles'!$HS$25+'Lease Cycles'!$HZ$25,0)</f>
        <v>0</v>
      </c>
      <c r="Z313" s="28">
        <f>IF(Z$6='Lease Cycles'!$HL$25,'Lease Cycles'!$HS$25+'Lease Cycles'!$HZ$25,0)</f>
        <v>0</v>
      </c>
      <c r="AA313" s="28">
        <f>IF(AA$6='Lease Cycles'!$HL$25,'Lease Cycles'!$HS$25+'Lease Cycles'!$HZ$25,0)</f>
        <v>0</v>
      </c>
      <c r="AB313" s="28">
        <f>IF(AB$6='Lease Cycles'!$HL$25,'Lease Cycles'!$HS$25+'Lease Cycles'!$HZ$25,0)</f>
        <v>0</v>
      </c>
      <c r="AC313" s="28">
        <f>IF(AC$6='Lease Cycles'!$HL$25,'Lease Cycles'!$HS$25+'Lease Cycles'!$HZ$25,0)</f>
        <v>0</v>
      </c>
      <c r="AD313" s="28">
        <f>IF(AD$6='Lease Cycles'!$HL$25,'Lease Cycles'!$HS$25+'Lease Cycles'!$HZ$25,0)</f>
        <v>0</v>
      </c>
      <c r="AE313" s="28">
        <f>IF(AE$6='Lease Cycles'!$HL$25,'Lease Cycles'!$HS$25+'Lease Cycles'!$HZ$25,0)</f>
        <v>0</v>
      </c>
      <c r="AF313" s="28">
        <f>IF(AF$6='Lease Cycles'!$HL$25,'Lease Cycles'!$HS$25+'Lease Cycles'!$HZ$25,0)</f>
        <v>0</v>
      </c>
      <c r="AG313" s="28">
        <f>IF(AG$6='Lease Cycles'!$HL$25,'Lease Cycles'!$HS$25+'Lease Cycles'!$HZ$25,0)</f>
        <v>0</v>
      </c>
      <c r="AH313" s="28">
        <f>IF(AH$6='Lease Cycles'!$HL$25,'Lease Cycles'!$HS$25+'Lease Cycles'!$HZ$25,0)</f>
        <v>0</v>
      </c>
      <c r="AI313" s="28">
        <f>IF(AI$6='Lease Cycles'!$HL$25,'Lease Cycles'!$HS$25+'Lease Cycles'!$HZ$25,0)</f>
        <v>0</v>
      </c>
      <c r="AJ313" s="28">
        <f>IF(AJ$6='Lease Cycles'!$HL$25,'Lease Cycles'!$HS$25+'Lease Cycles'!$HZ$25,0)</f>
        <v>0</v>
      </c>
      <c r="AK313" s="28">
        <f>IF(AK$6='Lease Cycles'!$HL$25,'Lease Cycles'!$HS$25+'Lease Cycles'!$HZ$25,0)</f>
        <v>0</v>
      </c>
      <c r="AL313" s="28">
        <f>IF(AL$6='Lease Cycles'!$HL$25,'Lease Cycles'!$HS$25+'Lease Cycles'!$HZ$25,0)</f>
        <v>0</v>
      </c>
      <c r="AM313" s="28">
        <f>IF(AM$6='Lease Cycles'!$HL$25,'Lease Cycles'!$HS$25+'Lease Cycles'!$HZ$25,0)</f>
        <v>0</v>
      </c>
      <c r="AN313" s="28">
        <f>IF(AN$6='Lease Cycles'!$HL$25,'Lease Cycles'!$HS$25+'Lease Cycles'!$HZ$25,0)</f>
        <v>0</v>
      </c>
      <c r="AO313" s="28">
        <f>IF(AO$6='Lease Cycles'!$HL$25,'Lease Cycles'!$HS$25+'Lease Cycles'!$HZ$25,0)</f>
        <v>0</v>
      </c>
      <c r="AP313" s="28">
        <f>IF(AP$6='Lease Cycles'!$HL$25,'Lease Cycles'!$HS$25+'Lease Cycles'!$HZ$25,0)</f>
        <v>0</v>
      </c>
      <c r="AQ313" s="28">
        <f>IF(AQ$6='Lease Cycles'!$HL$25,'Lease Cycles'!$HS$25+'Lease Cycles'!$HZ$25,0)</f>
        <v>0</v>
      </c>
      <c r="AR313" s="28">
        <f>IF(AR$6='Lease Cycles'!$HL$25,'Lease Cycles'!$HS$25+'Lease Cycles'!$HZ$25,0)</f>
        <v>0</v>
      </c>
      <c r="AS313" s="28">
        <f>IF(AS$6='Lease Cycles'!$HL$25,'Lease Cycles'!$HS$25+'Lease Cycles'!$HZ$25,0)</f>
        <v>0</v>
      </c>
      <c r="AT313" s="28">
        <f>IF(AT$6='Lease Cycles'!$HL$25,'Lease Cycles'!$HS$25+'Lease Cycles'!$HZ$25,0)</f>
        <v>0</v>
      </c>
      <c r="AU313" s="28">
        <f>IF(AU$6='Lease Cycles'!$HL$25,'Lease Cycles'!$HS$25+'Lease Cycles'!$HZ$25,0)</f>
        <v>0</v>
      </c>
      <c r="AV313" s="28">
        <f>IF(AV$6='Lease Cycles'!$HL$25,'Lease Cycles'!$HS$25+'Lease Cycles'!$HZ$25,0)</f>
        <v>0</v>
      </c>
      <c r="AW313" s="28">
        <f>IF(AW$6='Lease Cycles'!$HL$25,'Lease Cycles'!$HS$25+'Lease Cycles'!$HZ$25,0)</f>
        <v>0</v>
      </c>
      <c r="AX313" s="28">
        <f>IF(AX$6='Lease Cycles'!$HL$25,'Lease Cycles'!$HS$25+'Lease Cycles'!$HZ$25,0)</f>
        <v>0</v>
      </c>
      <c r="AY313" s="28">
        <f>IF(AY$6='Lease Cycles'!$HL$25,'Lease Cycles'!$HS$25+'Lease Cycles'!$HZ$25,0)</f>
        <v>0</v>
      </c>
      <c r="AZ313" s="28">
        <f>IF(AZ$6='Lease Cycles'!$HL$25,'Lease Cycles'!$HS$25+'Lease Cycles'!$HZ$25,0)</f>
        <v>0</v>
      </c>
      <c r="BA313" s="28">
        <f>IF(BA$6='Lease Cycles'!$HL$25,'Lease Cycles'!$HS$25+'Lease Cycles'!$HZ$25,0)</f>
        <v>0</v>
      </c>
      <c r="BB313" s="28">
        <f>IF(BB$6='Lease Cycles'!$HL$25,'Lease Cycles'!$HS$25+'Lease Cycles'!$HZ$25,0)</f>
        <v>0</v>
      </c>
      <c r="BC313" s="28">
        <f>IF(BC$6='Lease Cycles'!$HL$25,'Lease Cycles'!$HS$25+'Lease Cycles'!$HZ$25,0)</f>
        <v>0</v>
      </c>
      <c r="BD313" s="28">
        <f>IF(BD$6='Lease Cycles'!$HL$25,'Lease Cycles'!$HS$25+'Lease Cycles'!$HZ$25,0)</f>
        <v>0</v>
      </c>
      <c r="BE313" s="28">
        <f>IF(BE$6='Lease Cycles'!$HL$25,'Lease Cycles'!$HS$25+'Lease Cycles'!$HZ$25,0)</f>
        <v>0</v>
      </c>
      <c r="BF313" s="28">
        <f>IF(BF$6='Lease Cycles'!$HL$25,'Lease Cycles'!$HS$25+'Lease Cycles'!$HZ$25,0)</f>
        <v>0</v>
      </c>
      <c r="BG313" s="28">
        <f>IF(BG$6='Lease Cycles'!$HL$25,'Lease Cycles'!$HS$25+'Lease Cycles'!$HZ$25,0)</f>
        <v>0</v>
      </c>
      <c r="BH313" s="28">
        <f>IF(BH$6='Lease Cycles'!$HL$25,'Lease Cycles'!$HS$25+'Lease Cycles'!$HZ$25,0)</f>
        <v>0</v>
      </c>
      <c r="BI313" s="28">
        <f>IF(BI$6='Lease Cycles'!$HL$25,'Lease Cycles'!$HS$25+'Lease Cycles'!$HZ$25,0)</f>
        <v>0</v>
      </c>
      <c r="BJ313" s="28">
        <f>IF(BJ$6='Lease Cycles'!$HL$25,'Lease Cycles'!$HS$25+'Lease Cycles'!$HZ$25,0)</f>
        <v>0</v>
      </c>
      <c r="BK313" s="28">
        <f>IF(BK$6='Lease Cycles'!$HL$25,'Lease Cycles'!$HS$25+'Lease Cycles'!$HZ$25,0)</f>
        <v>0</v>
      </c>
      <c r="BL313" s="28">
        <f>IF(BL$6='Lease Cycles'!$HL$25,'Lease Cycles'!$HS$25+'Lease Cycles'!$HZ$25,0)</f>
        <v>0</v>
      </c>
      <c r="BM313" s="28">
        <f>IF(BM$6='Lease Cycles'!$HL$25,'Lease Cycles'!$HS$25+'Lease Cycles'!$HZ$25,0)</f>
        <v>0</v>
      </c>
      <c r="BN313" s="28">
        <f>IF(BN$6='Lease Cycles'!$HL$25,'Lease Cycles'!$HS$25+'Lease Cycles'!$HZ$25,0)</f>
        <v>0</v>
      </c>
      <c r="BO313" s="28">
        <f>IF(BO$6='Lease Cycles'!$HL$25,'Lease Cycles'!$HS$25+'Lease Cycles'!$HZ$25,0)</f>
        <v>0</v>
      </c>
      <c r="BP313" s="28">
        <f>IF(BP$6='Lease Cycles'!$HL$25,'Lease Cycles'!$HS$25+'Lease Cycles'!$HZ$25,0)</f>
        <v>0</v>
      </c>
      <c r="BQ313" s="28">
        <f>IF(BQ$6='Lease Cycles'!$HL$25,'Lease Cycles'!$HS$25+'Lease Cycles'!$HZ$25,0)</f>
        <v>0</v>
      </c>
      <c r="BR313" s="28">
        <f>IF(BR$6='Lease Cycles'!$HL$25,'Lease Cycles'!$HS$25+'Lease Cycles'!$HZ$25,0)</f>
        <v>0</v>
      </c>
      <c r="BS313" s="28">
        <f>IF(BS$6='Lease Cycles'!$HL$25,'Lease Cycles'!$HS$25+'Lease Cycles'!$HZ$25,0)</f>
        <v>0</v>
      </c>
      <c r="BT313" s="28">
        <f>IF(BT$6='Lease Cycles'!$HL$25,'Lease Cycles'!$HS$25+'Lease Cycles'!$HZ$25,0)</f>
        <v>0</v>
      </c>
      <c r="BU313" s="28">
        <f>IF(BU$6='Lease Cycles'!$HL$25,'Lease Cycles'!$HS$25+'Lease Cycles'!$HZ$25,0)</f>
        <v>0</v>
      </c>
      <c r="BV313" s="28">
        <f>IF(BV$6='Lease Cycles'!$HL$25,'Lease Cycles'!$HS$25+'Lease Cycles'!$HZ$25,0)</f>
        <v>0</v>
      </c>
      <c r="BW313" s="28">
        <f>IF(BW$6='Lease Cycles'!$HL$25,'Lease Cycles'!$HS$25+'Lease Cycles'!$HZ$25,0)</f>
        <v>0</v>
      </c>
      <c r="BX313" s="28">
        <f>IF(BX$6='Lease Cycles'!$HL$25,'Lease Cycles'!$HS$25+'Lease Cycles'!$HZ$25,0)</f>
        <v>0</v>
      </c>
      <c r="BY313" s="28">
        <f>IF(BY$6='Lease Cycles'!$HL$25,'Lease Cycles'!$HS$25+'Lease Cycles'!$HZ$25,0)</f>
        <v>0</v>
      </c>
      <c r="BZ313" s="28">
        <f>IF(BZ$6='Lease Cycles'!$HL$25,'Lease Cycles'!$HS$25+'Lease Cycles'!$HZ$25,0)</f>
        <v>0</v>
      </c>
      <c r="CA313" s="28">
        <f>IF(CA$6='Lease Cycles'!$HL$25,'Lease Cycles'!$HS$25+'Lease Cycles'!$HZ$25,0)</f>
        <v>0</v>
      </c>
      <c r="CB313" s="28">
        <f>IF(CB$6='Lease Cycles'!$HL$25,'Lease Cycles'!$HS$25+'Lease Cycles'!$HZ$25,0)</f>
        <v>0</v>
      </c>
      <c r="CC313" s="28">
        <f>IF(CC$6='Lease Cycles'!$HL$25,'Lease Cycles'!$HS$25+'Lease Cycles'!$HZ$25,0)</f>
        <v>0</v>
      </c>
      <c r="CD313" s="28">
        <f>IF(CD$6='Lease Cycles'!$HL$25,'Lease Cycles'!$HS$25+'Lease Cycles'!$HZ$25,0)</f>
        <v>0</v>
      </c>
      <c r="CE313" s="28">
        <f>IF(CE$6='Lease Cycles'!$HL$25,'Lease Cycles'!$HS$25+'Lease Cycles'!$HZ$25,0)</f>
        <v>0</v>
      </c>
      <c r="CF313" s="28">
        <f>IF(CF$6='Lease Cycles'!$HL$25,'Lease Cycles'!$HS$25+'Lease Cycles'!$HZ$25,0)</f>
        <v>0</v>
      </c>
      <c r="CG313" s="28">
        <f>IF(CG$6='Lease Cycles'!$HL$25,'Lease Cycles'!$HS$25+'Lease Cycles'!$HZ$25,0)</f>
        <v>0</v>
      </c>
      <c r="CH313" s="28">
        <f>IF(CH$6='Lease Cycles'!$HL$25,'Lease Cycles'!$HS$25+'Lease Cycles'!$HZ$25,0)</f>
        <v>0</v>
      </c>
      <c r="CI313" s="28">
        <f>IF(CI$6='Lease Cycles'!$HL$25,'Lease Cycles'!$HS$25+'Lease Cycles'!$HZ$25,0)</f>
        <v>0</v>
      </c>
      <c r="CJ313" s="28">
        <f>IF(CJ$6='Lease Cycles'!$HL$25,'Lease Cycles'!$HS$25+'Lease Cycles'!$HZ$25,0)</f>
        <v>0</v>
      </c>
      <c r="CK313" s="28">
        <f>IF(CK$6='Lease Cycles'!$HL$25,'Lease Cycles'!$HS$25+'Lease Cycles'!$HZ$25,0)</f>
        <v>0</v>
      </c>
      <c r="CL313" s="28">
        <f>IF(CL$6='Lease Cycles'!$HL$25,'Lease Cycles'!$HS$25+'Lease Cycles'!$HZ$25,0)</f>
        <v>0</v>
      </c>
      <c r="CM313" s="28">
        <f>IF(CM$6='Lease Cycles'!$HL$25,'Lease Cycles'!$HS$25+'Lease Cycles'!$HZ$25,0)</f>
        <v>0</v>
      </c>
      <c r="CN313" s="28">
        <f>IF(CN$6='Lease Cycles'!$HL$25,'Lease Cycles'!$HS$25+'Lease Cycles'!$HZ$25,0)</f>
        <v>0</v>
      </c>
      <c r="CO313" s="28">
        <f>IF(CO$6='Lease Cycles'!$HL$25,'Lease Cycles'!$HS$25+'Lease Cycles'!$HZ$25,0)</f>
        <v>0</v>
      </c>
      <c r="CP313" s="28">
        <f>IF(CP$6='Lease Cycles'!$HL$25,'Lease Cycles'!$HS$25+'Lease Cycles'!$HZ$25,0)</f>
        <v>0</v>
      </c>
      <c r="CQ313" s="28">
        <f>IF(CQ$6='Lease Cycles'!$HL$25,'Lease Cycles'!$HS$25+'Lease Cycles'!$HZ$25,0)</f>
        <v>0</v>
      </c>
      <c r="CR313" s="28">
        <f>IF(CR$6='Lease Cycles'!$HL$25,'Lease Cycles'!$HS$25+'Lease Cycles'!$HZ$25,0)</f>
        <v>0</v>
      </c>
      <c r="CS313" s="28">
        <f>IF(CS$6='Lease Cycles'!$HL$25,'Lease Cycles'!$HS$25+'Lease Cycles'!$HZ$25,0)</f>
        <v>0</v>
      </c>
      <c r="CT313" s="28">
        <f>IF(CT$6='Lease Cycles'!$HL$25,'Lease Cycles'!$HS$25+'Lease Cycles'!$HZ$25,0)</f>
        <v>0</v>
      </c>
      <c r="CU313" s="28">
        <f>IF(CU$6='Lease Cycles'!$HL$25,'Lease Cycles'!$HS$25+'Lease Cycles'!$HZ$25,0)</f>
        <v>0</v>
      </c>
      <c r="CV313" s="28">
        <f>IF(CV$6='Lease Cycles'!$HL$25,'Lease Cycles'!$HS$25+'Lease Cycles'!$HZ$25,0)</f>
        <v>0</v>
      </c>
      <c r="CW313" s="28">
        <f>IF(CW$6='Lease Cycles'!$HL$25,'Lease Cycles'!$HS$25+'Lease Cycles'!$HZ$25,0)</f>
        <v>0</v>
      </c>
      <c r="CX313" s="28">
        <f>IF(CX$6='Lease Cycles'!$HL$25,'Lease Cycles'!$HS$25+'Lease Cycles'!$HZ$25,0)</f>
        <v>0</v>
      </c>
      <c r="CY313" s="28">
        <f>IF(CY$6='Lease Cycles'!$HL$25,'Lease Cycles'!$HS$25+'Lease Cycles'!$HZ$25,0)</f>
        <v>0</v>
      </c>
      <c r="CZ313" s="28">
        <f>IF(CZ$6='Lease Cycles'!$HL$25,'Lease Cycles'!$HS$25+'Lease Cycles'!$HZ$25,0)</f>
        <v>0</v>
      </c>
      <c r="DA313" s="28">
        <f>IF(DA$6='Lease Cycles'!$HL$25,'Lease Cycles'!$HS$25+'Lease Cycles'!$HZ$25,0)</f>
        <v>0</v>
      </c>
      <c r="DB313" s="28">
        <f>IF(DB$6='Lease Cycles'!$HL$25,'Lease Cycles'!$HS$25+'Lease Cycles'!$HZ$25,0)</f>
        <v>0</v>
      </c>
      <c r="DC313" s="28">
        <f>IF(DC$6='Lease Cycles'!$HL$25,'Lease Cycles'!$HS$25+'Lease Cycles'!$HZ$25,0)</f>
        <v>0</v>
      </c>
      <c r="DD313" s="28">
        <f>IF(DD$6='Lease Cycles'!$HL$25,'Lease Cycles'!$HS$25+'Lease Cycles'!$HZ$25,0)</f>
        <v>0</v>
      </c>
      <c r="DE313" s="28">
        <f>IF(DE$6='Lease Cycles'!$HL$25,'Lease Cycles'!$HS$25+'Lease Cycles'!$HZ$25,0)</f>
        <v>0</v>
      </c>
      <c r="DF313" s="28">
        <f>IF(DF$6='Lease Cycles'!$HL$25,'Lease Cycles'!$HS$25+'Lease Cycles'!$HZ$25,0)</f>
        <v>0</v>
      </c>
      <c r="DG313" s="28">
        <f>IF(DG$6='Lease Cycles'!$HL$25,'Lease Cycles'!$HS$25+'Lease Cycles'!$HZ$25,0)</f>
        <v>0</v>
      </c>
      <c r="DH313" s="28">
        <f>IF(DH$6='Lease Cycles'!$HL$25,'Lease Cycles'!$HS$25+'Lease Cycles'!$HZ$25,0)</f>
        <v>0</v>
      </c>
      <c r="DI313" s="28">
        <f>IF(DI$6='Lease Cycles'!$HL$25,'Lease Cycles'!$HS$25+'Lease Cycles'!$HZ$25,0)</f>
        <v>0</v>
      </c>
      <c r="DJ313" s="28">
        <f>IF(DJ$6='Lease Cycles'!$HL$25,'Lease Cycles'!$HS$25+'Lease Cycles'!$HZ$25,0)</f>
        <v>0</v>
      </c>
      <c r="DK313" s="28">
        <f>IF(DK$6='Lease Cycles'!$HL$25,'Lease Cycles'!$HS$25+'Lease Cycles'!$HZ$25,0)</f>
        <v>0</v>
      </c>
      <c r="DL313" s="28">
        <f>IF(DL$6='Lease Cycles'!$HL$25,'Lease Cycles'!$HS$25+'Lease Cycles'!$HZ$25,0)</f>
        <v>0</v>
      </c>
      <c r="DM313" s="28">
        <f>IF(DM$6='Lease Cycles'!$HL$25,'Lease Cycles'!$HS$25+'Lease Cycles'!$HZ$25,0)</f>
        <v>0</v>
      </c>
      <c r="DN313" s="28">
        <f>IF(DN$6='Lease Cycles'!$HL$25,'Lease Cycles'!$HS$25+'Lease Cycles'!$HZ$25,0)</f>
        <v>0</v>
      </c>
      <c r="DO313" s="28">
        <f>IF(DO$6='Lease Cycles'!$HL$25,'Lease Cycles'!$HS$25+'Lease Cycles'!$HZ$25,0)</f>
        <v>0</v>
      </c>
      <c r="DP313" s="28">
        <f>IF(DP$6='Lease Cycles'!$HL$25,'Lease Cycles'!$HS$25+'Lease Cycles'!$HZ$25,0)</f>
        <v>0</v>
      </c>
      <c r="DQ313" s="28">
        <f>IF(DQ$6='Lease Cycles'!$HL$25,'Lease Cycles'!$HS$25+'Lease Cycles'!$HZ$25,0)</f>
        <v>0</v>
      </c>
      <c r="DR313" s="28">
        <f>IF(DR$6='Lease Cycles'!$HL$25,'Lease Cycles'!$HS$25+'Lease Cycles'!$HZ$25,0)</f>
        <v>0</v>
      </c>
      <c r="DS313" s="28">
        <f>IF(DS$6='Lease Cycles'!$HL$25,'Lease Cycles'!$HS$25+'Lease Cycles'!$HZ$25,0)</f>
        <v>0</v>
      </c>
      <c r="DT313" s="28">
        <f>IF(DT$6='Lease Cycles'!$HL$25,'Lease Cycles'!$HS$25+'Lease Cycles'!$HZ$25,0)</f>
        <v>0</v>
      </c>
      <c r="DU313" s="28">
        <f>IF(DU$6='Lease Cycles'!$HL$25,'Lease Cycles'!$HS$25+'Lease Cycles'!$HZ$25,0)</f>
        <v>0</v>
      </c>
      <c r="DV313" s="28">
        <f>IF(DV$6='Lease Cycles'!$HL$25,'Lease Cycles'!$HS$25+'Lease Cycles'!$HZ$25,0)</f>
        <v>0</v>
      </c>
      <c r="DW313" s="28">
        <f>IF(DW$6='Lease Cycles'!$HL$25,'Lease Cycles'!$HS$25+'Lease Cycles'!$HZ$25,0)</f>
        <v>0</v>
      </c>
      <c r="DX313" s="28">
        <f>IF(DX$6='Lease Cycles'!$HL$25,'Lease Cycles'!$HS$25+'Lease Cycles'!$HZ$25,0)</f>
        <v>0</v>
      </c>
      <c r="DY313" s="28">
        <f>IF(DY$6='Lease Cycles'!$HL$25,'Lease Cycles'!$HS$25+'Lease Cycles'!$HZ$25,0)</f>
        <v>0</v>
      </c>
      <c r="DZ313" s="28">
        <f>IF(DZ$6='Lease Cycles'!$HL$25,'Lease Cycles'!$HS$25+'Lease Cycles'!$HZ$25,0)</f>
        <v>0</v>
      </c>
      <c r="EA313" s="28">
        <f>IF(EA$6='Lease Cycles'!$HL$25,'Lease Cycles'!$HS$25+'Lease Cycles'!$HZ$25,0)</f>
        <v>0</v>
      </c>
      <c r="EB313" s="28">
        <f>IF(EB$6='Lease Cycles'!$HL$25,'Lease Cycles'!$HS$25+'Lease Cycles'!$HZ$25,0)</f>
        <v>0</v>
      </c>
      <c r="EC313" s="28">
        <f>IF(EC$6='Lease Cycles'!$HL$25,'Lease Cycles'!$HS$25+'Lease Cycles'!$HZ$25,0)</f>
        <v>0</v>
      </c>
      <c r="ED313" s="28">
        <f>IF(ED$6='Lease Cycles'!$HL$25,'Lease Cycles'!$HS$25+'Lease Cycles'!$HZ$25,0)</f>
        <v>0</v>
      </c>
      <c r="EE313" s="28">
        <f>IF(EE$6='Lease Cycles'!$HL$25,'Lease Cycles'!$HS$25+'Lease Cycles'!$HZ$25,0)</f>
        <v>0</v>
      </c>
      <c r="EF313" s="28">
        <f>IF(EF$6='Lease Cycles'!$HL$25,'Lease Cycles'!$HS$25+'Lease Cycles'!$HZ$25,0)</f>
        <v>0</v>
      </c>
      <c r="EG313" s="28">
        <f>IF(EG$6='Lease Cycles'!$HL$25,'Lease Cycles'!$HS$25+'Lease Cycles'!$HZ$25,0)</f>
        <v>0</v>
      </c>
      <c r="EH313" s="28">
        <f>IF(EH$6='Lease Cycles'!$HL$25,'Lease Cycles'!$HS$25+'Lease Cycles'!$HZ$25,0)</f>
        <v>0</v>
      </c>
      <c r="EI313" s="28">
        <f>IF(EI$6='Lease Cycles'!$HL$25,'Lease Cycles'!$HS$25+'Lease Cycles'!$HZ$25,0)</f>
        <v>0</v>
      </c>
      <c r="EJ313" s="28">
        <f>IF(EJ$6='Lease Cycles'!$HL$25,'Lease Cycles'!$HS$25+'Lease Cycles'!$HZ$25,0)</f>
        <v>0</v>
      </c>
      <c r="EK313" s="28">
        <f>IF(EK$6='Lease Cycles'!$HL$25,'Lease Cycles'!$HS$25+'Lease Cycles'!$HZ$25,0)</f>
        <v>0</v>
      </c>
      <c r="EL313" s="28">
        <f>IF(EL$6='Lease Cycles'!$HL$25,'Lease Cycles'!$HS$25+'Lease Cycles'!$HZ$25,0)</f>
        <v>0</v>
      </c>
      <c r="EM313" s="28">
        <f>IF(EM$6='Lease Cycles'!$HL$25,'Lease Cycles'!$HS$25+'Lease Cycles'!$HZ$25,0)</f>
        <v>0</v>
      </c>
      <c r="EN313" s="28">
        <f>IF(EN$6='Lease Cycles'!$HL$25,'Lease Cycles'!$HS$25+'Lease Cycles'!$HZ$25,0)</f>
        <v>0</v>
      </c>
      <c r="EO313" s="28">
        <f>IF(EO$6='Lease Cycles'!$HL$25,'Lease Cycles'!$HS$25+'Lease Cycles'!$HZ$25,0)</f>
        <v>0</v>
      </c>
      <c r="EP313" s="28">
        <f>IF(EP$6='Lease Cycles'!$HL$25,'Lease Cycles'!$HS$25+'Lease Cycles'!$HZ$25,0)</f>
        <v>0</v>
      </c>
      <c r="EQ313" s="28">
        <f>IF(EQ$6='Lease Cycles'!$HL$25,'Lease Cycles'!$HS$25+'Lease Cycles'!$HZ$25,0)</f>
        <v>0</v>
      </c>
      <c r="ER313" s="28">
        <f>IF(ER$6='Lease Cycles'!$HL$25,'Lease Cycles'!$HS$25+'Lease Cycles'!$HZ$25,0)</f>
        <v>0</v>
      </c>
      <c r="ES313" s="28">
        <f>IF(ES$6='Lease Cycles'!$HL$25,'Lease Cycles'!$HS$25+'Lease Cycles'!$HZ$25,0)</f>
        <v>0</v>
      </c>
      <c r="ET313" s="28">
        <f>IF(ET$6='Lease Cycles'!$HL$25,'Lease Cycles'!$HS$25+'Lease Cycles'!$HZ$25,0)</f>
        <v>0</v>
      </c>
    </row>
    <row r="314">
      <c r="A314" s="103">
        <v>18</v>
      </c>
      <c r="B314" s="23" t="str">
        <f>IF('Lease Cycles'!$B$25="","(empty slot)",'Lease Cycles'!$B$25)</f>
        <v>(empty slot)</v>
      </c>
      <c r="C314" s="23" t="s">
        <v>499</v>
      </c>
      <c r="D314" s="104" t="s">
        <v>500</v>
      </c>
      <c r="E314" s="25">
        <f>'Lease Cycles'!$AL$25</f>
        <v>0</v>
      </c>
      <c r="G314" s="28">
        <f>MAX(0,'Lease Cycles'!$AN$25*'Lease Cycles'!$C$25*'Lease Cycles'!$AM$25*(1+a_SalesGrowth)^(G$6-1)-G304)</f>
        <v>0</v>
      </c>
      <c r="H314" s="28">
        <f>MAX(0,'Lease Cycles'!$AN$25*'Lease Cycles'!$C$25*'Lease Cycles'!$AM$25*(1+a_SalesGrowth)^(H$6-1)-H304)</f>
        <v>0</v>
      </c>
      <c r="I314" s="28">
        <f>MAX(0,'Lease Cycles'!$AN$25*'Lease Cycles'!$C$25*'Lease Cycles'!$AM$25*(1+a_SalesGrowth)^(I$6-1)-I304)</f>
        <v>0</v>
      </c>
      <c r="J314" s="28">
        <f>MAX(0,'Lease Cycles'!$AN$25*'Lease Cycles'!$C$25*'Lease Cycles'!$AM$25*(1+a_SalesGrowth)^(J$6-1)-J304)</f>
        <v>0</v>
      </c>
      <c r="K314" s="28">
        <f>MAX(0,'Lease Cycles'!$AN$25*'Lease Cycles'!$C$25*'Lease Cycles'!$AM$25*(1+a_SalesGrowth)^(K$6-1)-K304)</f>
        <v>0</v>
      </c>
      <c r="L314" s="28">
        <f>MAX(0,'Lease Cycles'!$AN$25*'Lease Cycles'!$C$25*'Lease Cycles'!$AM$25*(1+a_SalesGrowth)^(L$6-1)-L304)</f>
        <v>0</v>
      </c>
      <c r="M314" s="28">
        <f>MAX(0,'Lease Cycles'!$AN$25*'Lease Cycles'!$C$25*'Lease Cycles'!$AM$25*(1+a_SalesGrowth)^(M$6-1)-M304)</f>
        <v>0</v>
      </c>
      <c r="N314" s="28">
        <f>MAX(0,'Lease Cycles'!$AN$25*'Lease Cycles'!$C$25*'Lease Cycles'!$AM$25*(1+a_SalesGrowth)^(N$6-1)-N304)</f>
        <v>0</v>
      </c>
      <c r="O314" s="28">
        <f>MAX(0,'Lease Cycles'!$AN$25*'Lease Cycles'!$C$25*'Lease Cycles'!$AM$25*(1+a_SalesGrowth)^(O$6-1)-O304)</f>
        <v>0</v>
      </c>
      <c r="P314" s="28">
        <f>MAX(0,'Lease Cycles'!$AN$25*'Lease Cycles'!$C$25*'Lease Cycles'!$AM$25*(1+a_SalesGrowth)^(P$6-1)-P304)</f>
        <v>0</v>
      </c>
      <c r="Q314" s="28">
        <f>MAX(0,'Lease Cycles'!$AN$25*'Lease Cycles'!$C$25*'Lease Cycles'!$AM$25*(1+a_SalesGrowth)^(Q$6-1)-Q304)</f>
        <v>0</v>
      </c>
    </row>
    <row r="316">
      <c r="A316" s="103">
        <v>19</v>
      </c>
      <c r="B316" s="23" t="str">
        <f>IF('Lease Cycles'!$B$26="","(empty slot)",'Lease Cycles'!$B$26)</f>
        <v>(empty slot)</v>
      </c>
      <c r="C316" s="23" t="s">
        <v>671</v>
      </c>
      <c r="D316" s="104" t="s">
        <v>672</v>
      </c>
      <c r="E316" s="25">
        <f>'Lease Cycles'!$AL$26</f>
        <v>0</v>
      </c>
      <c r="S316" s="25">
        <f>IF('Lease Cycles'!$C$26&gt;0,COUNTIF('Lease Cycles'!$BG$26:$BM$26,"&lt;="&amp;S$6),0)</f>
        <v>0</v>
      </c>
      <c r="T316" s="25">
        <f>IF('Lease Cycles'!$C$26&gt;0,COUNTIF('Lease Cycles'!$BG$26:$BM$26,"&lt;="&amp;T$6),0)</f>
        <v>0</v>
      </c>
      <c r="U316" s="25">
        <f>IF('Lease Cycles'!$C$26&gt;0,COUNTIF('Lease Cycles'!$BG$26:$BM$26,"&lt;="&amp;U$6),0)</f>
        <v>0</v>
      </c>
      <c r="V316" s="25">
        <f>IF('Lease Cycles'!$C$26&gt;0,COUNTIF('Lease Cycles'!$BG$26:$BM$26,"&lt;="&amp;V$6),0)</f>
        <v>0</v>
      </c>
      <c r="W316" s="25">
        <f>IF('Lease Cycles'!$C$26&gt;0,COUNTIF('Lease Cycles'!$BG$26:$BM$26,"&lt;="&amp;W$6),0)</f>
        <v>0</v>
      </c>
      <c r="X316" s="25">
        <f>IF('Lease Cycles'!$C$26&gt;0,COUNTIF('Lease Cycles'!$BG$26:$BM$26,"&lt;="&amp;X$6),0)</f>
        <v>0</v>
      </c>
      <c r="Y316" s="25">
        <f>IF('Lease Cycles'!$C$26&gt;0,COUNTIF('Lease Cycles'!$BG$26:$BM$26,"&lt;="&amp;Y$6),0)</f>
        <v>0</v>
      </c>
      <c r="Z316" s="25">
        <f>IF('Lease Cycles'!$C$26&gt;0,COUNTIF('Lease Cycles'!$BG$26:$BM$26,"&lt;="&amp;Z$6),0)</f>
        <v>0</v>
      </c>
      <c r="AA316" s="25">
        <f>IF('Lease Cycles'!$C$26&gt;0,COUNTIF('Lease Cycles'!$BG$26:$BM$26,"&lt;="&amp;AA$6),0)</f>
        <v>0</v>
      </c>
      <c r="AB316" s="25">
        <f>IF('Lease Cycles'!$C$26&gt;0,COUNTIF('Lease Cycles'!$BG$26:$BM$26,"&lt;="&amp;AB$6),0)</f>
        <v>0</v>
      </c>
      <c r="AC316" s="25">
        <f>IF('Lease Cycles'!$C$26&gt;0,COUNTIF('Lease Cycles'!$BG$26:$BM$26,"&lt;="&amp;AC$6),0)</f>
        <v>0</v>
      </c>
      <c r="AD316" s="25">
        <f>IF('Lease Cycles'!$C$26&gt;0,COUNTIF('Lease Cycles'!$BG$26:$BM$26,"&lt;="&amp;AD$6),0)</f>
        <v>0</v>
      </c>
      <c r="AE316" s="25">
        <f>IF('Lease Cycles'!$C$26&gt;0,COUNTIF('Lease Cycles'!$BG$26:$BM$26,"&lt;="&amp;AE$6),0)</f>
        <v>0</v>
      </c>
      <c r="AF316" s="25">
        <f>IF('Lease Cycles'!$C$26&gt;0,COUNTIF('Lease Cycles'!$BG$26:$BM$26,"&lt;="&amp;AF$6),0)</f>
        <v>0</v>
      </c>
      <c r="AG316" s="25">
        <f>IF('Lease Cycles'!$C$26&gt;0,COUNTIF('Lease Cycles'!$BG$26:$BM$26,"&lt;="&amp;AG$6),0)</f>
        <v>0</v>
      </c>
      <c r="AH316" s="25">
        <f>IF('Lease Cycles'!$C$26&gt;0,COUNTIF('Lease Cycles'!$BG$26:$BM$26,"&lt;="&amp;AH$6),0)</f>
        <v>0</v>
      </c>
      <c r="AI316" s="25">
        <f>IF('Lease Cycles'!$C$26&gt;0,COUNTIF('Lease Cycles'!$BG$26:$BM$26,"&lt;="&amp;AI$6),0)</f>
        <v>0</v>
      </c>
      <c r="AJ316" s="25">
        <f>IF('Lease Cycles'!$C$26&gt;0,COUNTIF('Lease Cycles'!$BG$26:$BM$26,"&lt;="&amp;AJ$6),0)</f>
        <v>0</v>
      </c>
      <c r="AK316" s="25">
        <f>IF('Lease Cycles'!$C$26&gt;0,COUNTIF('Lease Cycles'!$BG$26:$BM$26,"&lt;="&amp;AK$6),0)</f>
        <v>0</v>
      </c>
      <c r="AL316" s="25">
        <f>IF('Lease Cycles'!$C$26&gt;0,COUNTIF('Lease Cycles'!$BG$26:$BM$26,"&lt;="&amp;AL$6),0)</f>
        <v>0</v>
      </c>
      <c r="AM316" s="25">
        <f>IF('Lease Cycles'!$C$26&gt;0,COUNTIF('Lease Cycles'!$BG$26:$BM$26,"&lt;="&amp;AM$6),0)</f>
        <v>0</v>
      </c>
      <c r="AN316" s="25">
        <f>IF('Lease Cycles'!$C$26&gt;0,COUNTIF('Lease Cycles'!$BG$26:$BM$26,"&lt;="&amp;AN$6),0)</f>
        <v>0</v>
      </c>
      <c r="AO316" s="25">
        <f>IF('Lease Cycles'!$C$26&gt;0,COUNTIF('Lease Cycles'!$BG$26:$BM$26,"&lt;="&amp;AO$6),0)</f>
        <v>0</v>
      </c>
      <c r="AP316" s="25">
        <f>IF('Lease Cycles'!$C$26&gt;0,COUNTIF('Lease Cycles'!$BG$26:$BM$26,"&lt;="&amp;AP$6),0)</f>
        <v>0</v>
      </c>
      <c r="AQ316" s="25">
        <f>IF('Lease Cycles'!$C$26&gt;0,COUNTIF('Lease Cycles'!$BG$26:$BM$26,"&lt;="&amp;AQ$6),0)</f>
        <v>0</v>
      </c>
      <c r="AR316" s="25">
        <f>IF('Lease Cycles'!$C$26&gt;0,COUNTIF('Lease Cycles'!$BG$26:$BM$26,"&lt;="&amp;AR$6),0)</f>
        <v>0</v>
      </c>
      <c r="AS316" s="25">
        <f>IF('Lease Cycles'!$C$26&gt;0,COUNTIF('Lease Cycles'!$BG$26:$BM$26,"&lt;="&amp;AS$6),0)</f>
        <v>0</v>
      </c>
      <c r="AT316" s="25">
        <f>IF('Lease Cycles'!$C$26&gt;0,COUNTIF('Lease Cycles'!$BG$26:$BM$26,"&lt;="&amp;AT$6),0)</f>
        <v>0</v>
      </c>
      <c r="AU316" s="25">
        <f>IF('Lease Cycles'!$C$26&gt;0,COUNTIF('Lease Cycles'!$BG$26:$BM$26,"&lt;="&amp;AU$6),0)</f>
        <v>0</v>
      </c>
      <c r="AV316" s="25">
        <f>IF('Lease Cycles'!$C$26&gt;0,COUNTIF('Lease Cycles'!$BG$26:$BM$26,"&lt;="&amp;AV$6),0)</f>
        <v>0</v>
      </c>
      <c r="AW316" s="25">
        <f>IF('Lease Cycles'!$C$26&gt;0,COUNTIF('Lease Cycles'!$BG$26:$BM$26,"&lt;="&amp;AW$6),0)</f>
        <v>0</v>
      </c>
      <c r="AX316" s="25">
        <f>IF('Lease Cycles'!$C$26&gt;0,COUNTIF('Lease Cycles'!$BG$26:$BM$26,"&lt;="&amp;AX$6),0)</f>
        <v>0</v>
      </c>
      <c r="AY316" s="25">
        <f>IF('Lease Cycles'!$C$26&gt;0,COUNTIF('Lease Cycles'!$BG$26:$BM$26,"&lt;="&amp;AY$6),0)</f>
        <v>0</v>
      </c>
      <c r="AZ316" s="25">
        <f>IF('Lease Cycles'!$C$26&gt;0,COUNTIF('Lease Cycles'!$BG$26:$BM$26,"&lt;="&amp;AZ$6),0)</f>
        <v>0</v>
      </c>
      <c r="BA316" s="25">
        <f>IF('Lease Cycles'!$C$26&gt;0,COUNTIF('Lease Cycles'!$BG$26:$BM$26,"&lt;="&amp;BA$6),0)</f>
        <v>0</v>
      </c>
      <c r="BB316" s="25">
        <f>IF('Lease Cycles'!$C$26&gt;0,COUNTIF('Lease Cycles'!$BG$26:$BM$26,"&lt;="&amp;BB$6),0)</f>
        <v>0</v>
      </c>
      <c r="BC316" s="25">
        <f>IF('Lease Cycles'!$C$26&gt;0,COUNTIF('Lease Cycles'!$BG$26:$BM$26,"&lt;="&amp;BC$6),0)</f>
        <v>0</v>
      </c>
      <c r="BD316" s="25">
        <f>IF('Lease Cycles'!$C$26&gt;0,COUNTIF('Lease Cycles'!$BG$26:$BM$26,"&lt;="&amp;BD$6),0)</f>
        <v>0</v>
      </c>
      <c r="BE316" s="25">
        <f>IF('Lease Cycles'!$C$26&gt;0,COUNTIF('Lease Cycles'!$BG$26:$BM$26,"&lt;="&amp;BE$6),0)</f>
        <v>0</v>
      </c>
      <c r="BF316" s="25">
        <f>IF('Lease Cycles'!$C$26&gt;0,COUNTIF('Lease Cycles'!$BG$26:$BM$26,"&lt;="&amp;BF$6),0)</f>
        <v>0</v>
      </c>
      <c r="BG316" s="25">
        <f>IF('Lease Cycles'!$C$26&gt;0,COUNTIF('Lease Cycles'!$BG$26:$BM$26,"&lt;="&amp;BG$6),0)</f>
        <v>0</v>
      </c>
      <c r="BH316" s="25">
        <f>IF('Lease Cycles'!$C$26&gt;0,COUNTIF('Lease Cycles'!$BG$26:$BM$26,"&lt;="&amp;BH$6),0)</f>
        <v>0</v>
      </c>
      <c r="BI316" s="25">
        <f>IF('Lease Cycles'!$C$26&gt;0,COUNTIF('Lease Cycles'!$BG$26:$BM$26,"&lt;="&amp;BI$6),0)</f>
        <v>0</v>
      </c>
      <c r="BJ316" s="25">
        <f>IF('Lease Cycles'!$C$26&gt;0,COUNTIF('Lease Cycles'!$BG$26:$BM$26,"&lt;="&amp;BJ$6),0)</f>
        <v>0</v>
      </c>
      <c r="BK316" s="25">
        <f>IF('Lease Cycles'!$C$26&gt;0,COUNTIF('Lease Cycles'!$BG$26:$BM$26,"&lt;="&amp;BK$6),0)</f>
        <v>0</v>
      </c>
      <c r="BL316" s="25">
        <f>IF('Lease Cycles'!$C$26&gt;0,COUNTIF('Lease Cycles'!$BG$26:$BM$26,"&lt;="&amp;BL$6),0)</f>
        <v>0</v>
      </c>
      <c r="BM316" s="25">
        <f>IF('Lease Cycles'!$C$26&gt;0,COUNTIF('Lease Cycles'!$BG$26:$BM$26,"&lt;="&amp;BM$6),0)</f>
        <v>0</v>
      </c>
      <c r="BN316" s="25">
        <f>IF('Lease Cycles'!$C$26&gt;0,COUNTIF('Lease Cycles'!$BG$26:$BM$26,"&lt;="&amp;BN$6),0)</f>
        <v>0</v>
      </c>
      <c r="BO316" s="25">
        <f>IF('Lease Cycles'!$C$26&gt;0,COUNTIF('Lease Cycles'!$BG$26:$BM$26,"&lt;="&amp;BO$6),0)</f>
        <v>0</v>
      </c>
      <c r="BP316" s="25">
        <f>IF('Lease Cycles'!$C$26&gt;0,COUNTIF('Lease Cycles'!$BG$26:$BM$26,"&lt;="&amp;BP$6),0)</f>
        <v>0</v>
      </c>
      <c r="BQ316" s="25">
        <f>IF('Lease Cycles'!$C$26&gt;0,COUNTIF('Lease Cycles'!$BG$26:$BM$26,"&lt;="&amp;BQ$6),0)</f>
        <v>0</v>
      </c>
      <c r="BR316" s="25">
        <f>IF('Lease Cycles'!$C$26&gt;0,COUNTIF('Lease Cycles'!$BG$26:$BM$26,"&lt;="&amp;BR$6),0)</f>
        <v>0</v>
      </c>
      <c r="BS316" s="25">
        <f>IF('Lease Cycles'!$C$26&gt;0,COUNTIF('Lease Cycles'!$BG$26:$BM$26,"&lt;="&amp;BS$6),0)</f>
        <v>0</v>
      </c>
      <c r="BT316" s="25">
        <f>IF('Lease Cycles'!$C$26&gt;0,COUNTIF('Lease Cycles'!$BG$26:$BM$26,"&lt;="&amp;BT$6),0)</f>
        <v>0</v>
      </c>
      <c r="BU316" s="25">
        <f>IF('Lease Cycles'!$C$26&gt;0,COUNTIF('Lease Cycles'!$BG$26:$BM$26,"&lt;="&amp;BU$6),0)</f>
        <v>0</v>
      </c>
      <c r="BV316" s="25">
        <f>IF('Lease Cycles'!$C$26&gt;0,COUNTIF('Lease Cycles'!$BG$26:$BM$26,"&lt;="&amp;BV$6),0)</f>
        <v>0</v>
      </c>
      <c r="BW316" s="25">
        <f>IF('Lease Cycles'!$C$26&gt;0,COUNTIF('Lease Cycles'!$BG$26:$BM$26,"&lt;="&amp;BW$6),0)</f>
        <v>0</v>
      </c>
      <c r="BX316" s="25">
        <f>IF('Lease Cycles'!$C$26&gt;0,COUNTIF('Lease Cycles'!$BG$26:$BM$26,"&lt;="&amp;BX$6),0)</f>
        <v>0</v>
      </c>
      <c r="BY316" s="25">
        <f>IF('Lease Cycles'!$C$26&gt;0,COUNTIF('Lease Cycles'!$BG$26:$BM$26,"&lt;="&amp;BY$6),0)</f>
        <v>0</v>
      </c>
      <c r="BZ316" s="25">
        <f>IF('Lease Cycles'!$C$26&gt;0,COUNTIF('Lease Cycles'!$BG$26:$BM$26,"&lt;="&amp;BZ$6),0)</f>
        <v>0</v>
      </c>
      <c r="CA316" s="25">
        <f>IF('Lease Cycles'!$C$26&gt;0,COUNTIF('Lease Cycles'!$BG$26:$BM$26,"&lt;="&amp;CA$6),0)</f>
        <v>0</v>
      </c>
      <c r="CB316" s="25">
        <f>IF('Lease Cycles'!$C$26&gt;0,COUNTIF('Lease Cycles'!$BG$26:$BM$26,"&lt;="&amp;CB$6),0)</f>
        <v>0</v>
      </c>
      <c r="CC316" s="25">
        <f>IF('Lease Cycles'!$C$26&gt;0,COUNTIF('Lease Cycles'!$BG$26:$BM$26,"&lt;="&amp;CC$6),0)</f>
        <v>0</v>
      </c>
      <c r="CD316" s="25">
        <f>IF('Lease Cycles'!$C$26&gt;0,COUNTIF('Lease Cycles'!$BG$26:$BM$26,"&lt;="&amp;CD$6),0)</f>
        <v>0</v>
      </c>
      <c r="CE316" s="25">
        <f>IF('Lease Cycles'!$C$26&gt;0,COUNTIF('Lease Cycles'!$BG$26:$BM$26,"&lt;="&amp;CE$6),0)</f>
        <v>0</v>
      </c>
      <c r="CF316" s="25">
        <f>IF('Lease Cycles'!$C$26&gt;0,COUNTIF('Lease Cycles'!$BG$26:$BM$26,"&lt;="&amp;CF$6),0)</f>
        <v>0</v>
      </c>
      <c r="CG316" s="25">
        <f>IF('Lease Cycles'!$C$26&gt;0,COUNTIF('Lease Cycles'!$BG$26:$BM$26,"&lt;="&amp;CG$6),0)</f>
        <v>0</v>
      </c>
      <c r="CH316" s="25">
        <f>IF('Lease Cycles'!$C$26&gt;0,COUNTIF('Lease Cycles'!$BG$26:$BM$26,"&lt;="&amp;CH$6),0)</f>
        <v>0</v>
      </c>
      <c r="CI316" s="25">
        <f>IF('Lease Cycles'!$C$26&gt;0,COUNTIF('Lease Cycles'!$BG$26:$BM$26,"&lt;="&amp;CI$6),0)</f>
        <v>0</v>
      </c>
      <c r="CJ316" s="25">
        <f>IF('Lease Cycles'!$C$26&gt;0,COUNTIF('Lease Cycles'!$BG$26:$BM$26,"&lt;="&amp;CJ$6),0)</f>
        <v>0</v>
      </c>
      <c r="CK316" s="25">
        <f>IF('Lease Cycles'!$C$26&gt;0,COUNTIF('Lease Cycles'!$BG$26:$BM$26,"&lt;="&amp;CK$6),0)</f>
        <v>0</v>
      </c>
      <c r="CL316" s="25">
        <f>IF('Lease Cycles'!$C$26&gt;0,COUNTIF('Lease Cycles'!$BG$26:$BM$26,"&lt;="&amp;CL$6),0)</f>
        <v>0</v>
      </c>
      <c r="CM316" s="25">
        <f>IF('Lease Cycles'!$C$26&gt;0,COUNTIF('Lease Cycles'!$BG$26:$BM$26,"&lt;="&amp;CM$6),0)</f>
        <v>0</v>
      </c>
      <c r="CN316" s="25">
        <f>IF('Lease Cycles'!$C$26&gt;0,COUNTIF('Lease Cycles'!$BG$26:$BM$26,"&lt;="&amp;CN$6),0)</f>
        <v>0</v>
      </c>
      <c r="CO316" s="25">
        <f>IF('Lease Cycles'!$C$26&gt;0,COUNTIF('Lease Cycles'!$BG$26:$BM$26,"&lt;="&amp;CO$6),0)</f>
        <v>0</v>
      </c>
      <c r="CP316" s="25">
        <f>IF('Lease Cycles'!$C$26&gt;0,COUNTIF('Lease Cycles'!$BG$26:$BM$26,"&lt;="&amp;CP$6),0)</f>
        <v>0</v>
      </c>
      <c r="CQ316" s="25">
        <f>IF('Lease Cycles'!$C$26&gt;0,COUNTIF('Lease Cycles'!$BG$26:$BM$26,"&lt;="&amp;CQ$6),0)</f>
        <v>0</v>
      </c>
      <c r="CR316" s="25">
        <f>IF('Lease Cycles'!$C$26&gt;0,COUNTIF('Lease Cycles'!$BG$26:$BM$26,"&lt;="&amp;CR$6),0)</f>
        <v>0</v>
      </c>
      <c r="CS316" s="25">
        <f>IF('Lease Cycles'!$C$26&gt;0,COUNTIF('Lease Cycles'!$BG$26:$BM$26,"&lt;="&amp;CS$6),0)</f>
        <v>0</v>
      </c>
      <c r="CT316" s="25">
        <f>IF('Lease Cycles'!$C$26&gt;0,COUNTIF('Lease Cycles'!$BG$26:$BM$26,"&lt;="&amp;CT$6),0)</f>
        <v>0</v>
      </c>
      <c r="CU316" s="25">
        <f>IF('Lease Cycles'!$C$26&gt;0,COUNTIF('Lease Cycles'!$BG$26:$BM$26,"&lt;="&amp;CU$6),0)</f>
        <v>0</v>
      </c>
      <c r="CV316" s="25">
        <f>IF('Lease Cycles'!$C$26&gt;0,COUNTIF('Lease Cycles'!$BG$26:$BM$26,"&lt;="&amp;CV$6),0)</f>
        <v>0</v>
      </c>
      <c r="CW316" s="25">
        <f>IF('Lease Cycles'!$C$26&gt;0,COUNTIF('Lease Cycles'!$BG$26:$BM$26,"&lt;="&amp;CW$6),0)</f>
        <v>0</v>
      </c>
      <c r="CX316" s="25">
        <f>IF('Lease Cycles'!$C$26&gt;0,COUNTIF('Lease Cycles'!$BG$26:$BM$26,"&lt;="&amp;CX$6),0)</f>
        <v>0</v>
      </c>
      <c r="CY316" s="25">
        <f>IF('Lease Cycles'!$C$26&gt;0,COUNTIF('Lease Cycles'!$BG$26:$BM$26,"&lt;="&amp;CY$6),0)</f>
        <v>0</v>
      </c>
      <c r="CZ316" s="25">
        <f>IF('Lease Cycles'!$C$26&gt;0,COUNTIF('Lease Cycles'!$BG$26:$BM$26,"&lt;="&amp;CZ$6),0)</f>
        <v>0</v>
      </c>
      <c r="DA316" s="25">
        <f>IF('Lease Cycles'!$C$26&gt;0,COUNTIF('Lease Cycles'!$BG$26:$BM$26,"&lt;="&amp;DA$6),0)</f>
        <v>0</v>
      </c>
      <c r="DB316" s="25">
        <f>IF('Lease Cycles'!$C$26&gt;0,COUNTIF('Lease Cycles'!$BG$26:$BM$26,"&lt;="&amp;DB$6),0)</f>
        <v>0</v>
      </c>
      <c r="DC316" s="25">
        <f>IF('Lease Cycles'!$C$26&gt;0,COUNTIF('Lease Cycles'!$BG$26:$BM$26,"&lt;="&amp;DC$6),0)</f>
        <v>0</v>
      </c>
      <c r="DD316" s="25">
        <f>IF('Lease Cycles'!$C$26&gt;0,COUNTIF('Lease Cycles'!$BG$26:$BM$26,"&lt;="&amp;DD$6),0)</f>
        <v>0</v>
      </c>
      <c r="DE316" s="25">
        <f>IF('Lease Cycles'!$C$26&gt;0,COUNTIF('Lease Cycles'!$BG$26:$BM$26,"&lt;="&amp;DE$6),0)</f>
        <v>0</v>
      </c>
      <c r="DF316" s="25">
        <f>IF('Lease Cycles'!$C$26&gt;0,COUNTIF('Lease Cycles'!$BG$26:$BM$26,"&lt;="&amp;DF$6),0)</f>
        <v>0</v>
      </c>
      <c r="DG316" s="25">
        <f>IF('Lease Cycles'!$C$26&gt;0,COUNTIF('Lease Cycles'!$BG$26:$BM$26,"&lt;="&amp;DG$6),0)</f>
        <v>0</v>
      </c>
      <c r="DH316" s="25">
        <f>IF('Lease Cycles'!$C$26&gt;0,COUNTIF('Lease Cycles'!$BG$26:$BM$26,"&lt;="&amp;DH$6),0)</f>
        <v>0</v>
      </c>
      <c r="DI316" s="25">
        <f>IF('Lease Cycles'!$C$26&gt;0,COUNTIF('Lease Cycles'!$BG$26:$BM$26,"&lt;="&amp;DI$6),0)</f>
        <v>0</v>
      </c>
      <c r="DJ316" s="25">
        <f>IF('Lease Cycles'!$C$26&gt;0,COUNTIF('Lease Cycles'!$BG$26:$BM$26,"&lt;="&amp;DJ$6),0)</f>
        <v>0</v>
      </c>
      <c r="DK316" s="25">
        <f>IF('Lease Cycles'!$C$26&gt;0,COUNTIF('Lease Cycles'!$BG$26:$BM$26,"&lt;="&amp;DK$6),0)</f>
        <v>0</v>
      </c>
      <c r="DL316" s="25">
        <f>IF('Lease Cycles'!$C$26&gt;0,COUNTIF('Lease Cycles'!$BG$26:$BM$26,"&lt;="&amp;DL$6),0)</f>
        <v>0</v>
      </c>
      <c r="DM316" s="25">
        <f>IF('Lease Cycles'!$C$26&gt;0,COUNTIF('Lease Cycles'!$BG$26:$BM$26,"&lt;="&amp;DM$6),0)</f>
        <v>0</v>
      </c>
      <c r="DN316" s="25">
        <f>IF('Lease Cycles'!$C$26&gt;0,COUNTIF('Lease Cycles'!$BG$26:$BM$26,"&lt;="&amp;DN$6),0)</f>
        <v>0</v>
      </c>
      <c r="DO316" s="25">
        <f>IF('Lease Cycles'!$C$26&gt;0,COUNTIF('Lease Cycles'!$BG$26:$BM$26,"&lt;="&amp;DO$6),0)</f>
        <v>0</v>
      </c>
      <c r="DP316" s="25">
        <f>IF('Lease Cycles'!$C$26&gt;0,COUNTIF('Lease Cycles'!$BG$26:$BM$26,"&lt;="&amp;DP$6),0)</f>
        <v>0</v>
      </c>
      <c r="DQ316" s="25">
        <f>IF('Lease Cycles'!$C$26&gt;0,COUNTIF('Lease Cycles'!$BG$26:$BM$26,"&lt;="&amp;DQ$6),0)</f>
        <v>0</v>
      </c>
      <c r="DR316" s="25">
        <f>IF('Lease Cycles'!$C$26&gt;0,COUNTIF('Lease Cycles'!$BG$26:$BM$26,"&lt;="&amp;DR$6),0)</f>
        <v>0</v>
      </c>
      <c r="DS316" s="25">
        <f>IF('Lease Cycles'!$C$26&gt;0,COUNTIF('Lease Cycles'!$BG$26:$BM$26,"&lt;="&amp;DS$6),0)</f>
        <v>0</v>
      </c>
      <c r="DT316" s="25">
        <f>IF('Lease Cycles'!$C$26&gt;0,COUNTIF('Lease Cycles'!$BG$26:$BM$26,"&lt;="&amp;DT$6),0)</f>
        <v>0</v>
      </c>
      <c r="DU316" s="25">
        <f>IF('Lease Cycles'!$C$26&gt;0,COUNTIF('Lease Cycles'!$BG$26:$BM$26,"&lt;="&amp;DU$6),0)</f>
        <v>0</v>
      </c>
      <c r="DV316" s="25">
        <f>IF('Lease Cycles'!$C$26&gt;0,COUNTIF('Lease Cycles'!$BG$26:$BM$26,"&lt;="&amp;DV$6),0)</f>
        <v>0</v>
      </c>
      <c r="DW316" s="25">
        <f>IF('Lease Cycles'!$C$26&gt;0,COUNTIF('Lease Cycles'!$BG$26:$BM$26,"&lt;="&amp;DW$6),0)</f>
        <v>0</v>
      </c>
      <c r="DX316" s="25">
        <f>IF('Lease Cycles'!$C$26&gt;0,COUNTIF('Lease Cycles'!$BG$26:$BM$26,"&lt;="&amp;DX$6),0)</f>
        <v>0</v>
      </c>
      <c r="DY316" s="25">
        <f>IF('Lease Cycles'!$C$26&gt;0,COUNTIF('Lease Cycles'!$BG$26:$BM$26,"&lt;="&amp;DY$6),0)</f>
        <v>0</v>
      </c>
      <c r="DZ316" s="25">
        <f>IF('Lease Cycles'!$C$26&gt;0,COUNTIF('Lease Cycles'!$BG$26:$BM$26,"&lt;="&amp;DZ$6),0)</f>
        <v>0</v>
      </c>
      <c r="EA316" s="25">
        <f>IF('Lease Cycles'!$C$26&gt;0,COUNTIF('Lease Cycles'!$BG$26:$BM$26,"&lt;="&amp;EA$6),0)</f>
        <v>0</v>
      </c>
      <c r="EB316" s="25">
        <f>IF('Lease Cycles'!$C$26&gt;0,COUNTIF('Lease Cycles'!$BG$26:$BM$26,"&lt;="&amp;EB$6),0)</f>
        <v>0</v>
      </c>
      <c r="EC316" s="25">
        <f>IF('Lease Cycles'!$C$26&gt;0,COUNTIF('Lease Cycles'!$BG$26:$BM$26,"&lt;="&amp;EC$6),0)</f>
        <v>0</v>
      </c>
      <c r="ED316" s="25">
        <f>IF('Lease Cycles'!$C$26&gt;0,COUNTIF('Lease Cycles'!$BG$26:$BM$26,"&lt;="&amp;ED$6),0)</f>
        <v>0</v>
      </c>
      <c r="EE316" s="25">
        <f>IF('Lease Cycles'!$C$26&gt;0,COUNTIF('Lease Cycles'!$BG$26:$BM$26,"&lt;="&amp;EE$6),0)</f>
        <v>0</v>
      </c>
      <c r="EF316" s="25">
        <f>IF('Lease Cycles'!$C$26&gt;0,COUNTIF('Lease Cycles'!$BG$26:$BM$26,"&lt;="&amp;EF$6),0)</f>
        <v>0</v>
      </c>
      <c r="EG316" s="25">
        <f>IF('Lease Cycles'!$C$26&gt;0,COUNTIF('Lease Cycles'!$BG$26:$BM$26,"&lt;="&amp;EG$6),0)</f>
        <v>0</v>
      </c>
      <c r="EH316" s="25">
        <f>IF('Lease Cycles'!$C$26&gt;0,COUNTIF('Lease Cycles'!$BG$26:$BM$26,"&lt;="&amp;EH$6),0)</f>
        <v>0</v>
      </c>
      <c r="EI316" s="25">
        <f>IF('Lease Cycles'!$C$26&gt;0,COUNTIF('Lease Cycles'!$BG$26:$BM$26,"&lt;="&amp;EI$6),0)</f>
        <v>0</v>
      </c>
      <c r="EJ316" s="25">
        <f>IF('Lease Cycles'!$C$26&gt;0,COUNTIF('Lease Cycles'!$BG$26:$BM$26,"&lt;="&amp;EJ$6),0)</f>
        <v>0</v>
      </c>
      <c r="EK316" s="25">
        <f>IF('Lease Cycles'!$C$26&gt;0,COUNTIF('Lease Cycles'!$BG$26:$BM$26,"&lt;="&amp;EK$6),0)</f>
        <v>0</v>
      </c>
      <c r="EL316" s="25">
        <f>IF('Lease Cycles'!$C$26&gt;0,COUNTIF('Lease Cycles'!$BG$26:$BM$26,"&lt;="&amp;EL$6),0)</f>
        <v>0</v>
      </c>
      <c r="EM316" s="25">
        <f>IF('Lease Cycles'!$C$26&gt;0,COUNTIF('Lease Cycles'!$BG$26:$BM$26,"&lt;="&amp;EM$6),0)</f>
        <v>0</v>
      </c>
      <c r="EN316" s="25">
        <f>IF('Lease Cycles'!$C$26&gt;0,COUNTIF('Lease Cycles'!$BG$26:$BM$26,"&lt;="&amp;EN$6),0)</f>
        <v>0</v>
      </c>
      <c r="EO316" s="25">
        <f>IF('Lease Cycles'!$C$26&gt;0,COUNTIF('Lease Cycles'!$BG$26:$BM$26,"&lt;="&amp;EO$6),0)</f>
        <v>0</v>
      </c>
      <c r="EP316" s="25">
        <f>IF('Lease Cycles'!$C$26&gt;0,COUNTIF('Lease Cycles'!$BG$26:$BM$26,"&lt;="&amp;EP$6),0)</f>
        <v>0</v>
      </c>
      <c r="EQ316" s="25">
        <f>IF('Lease Cycles'!$C$26&gt;0,COUNTIF('Lease Cycles'!$BG$26:$BM$26,"&lt;="&amp;EQ$6),0)</f>
        <v>0</v>
      </c>
      <c r="ER316" s="25">
        <f>IF('Lease Cycles'!$C$26&gt;0,COUNTIF('Lease Cycles'!$BG$26:$BM$26,"&lt;="&amp;ER$6),0)</f>
        <v>0</v>
      </c>
      <c r="ES316" s="25">
        <f>IF('Lease Cycles'!$C$26&gt;0,COUNTIF('Lease Cycles'!$BG$26:$BM$26,"&lt;="&amp;ES$6),0)</f>
        <v>0</v>
      </c>
      <c r="ET316" s="25">
        <f>IF('Lease Cycles'!$C$26&gt;0,COUNTIF('Lease Cycles'!$BG$26:$BM$26,"&lt;="&amp;ET$6),0)</f>
        <v>0</v>
      </c>
    </row>
    <row r="317">
      <c r="A317" s="103">
        <v>19</v>
      </c>
      <c r="B317" s="23" t="str">
        <f>IF('Lease Cycles'!$B$26="","(empty slot)",'Lease Cycles'!$B$26)</f>
        <v>(empty slot)</v>
      </c>
      <c r="C317" s="23" t="s">
        <v>673</v>
      </c>
      <c r="D317" s="104" t="s">
        <v>674</v>
      </c>
      <c r="E317" s="25">
        <f>'Lease Cycles'!$AL$26</f>
        <v>0</v>
      </c>
      <c r="S317" s="25">
        <f>IF(S316=0,-1,S$6-INDEX('Lease Cycles'!$BG$26:$BM$26,1,S316))</f>
        <v>-1</v>
      </c>
      <c r="T317" s="25">
        <f>IF(T316=0,-1,T$6-INDEX('Lease Cycles'!$BG$26:$BM$26,1,T316))</f>
        <v>-1</v>
      </c>
      <c r="U317" s="25">
        <f>IF(U316=0,-1,U$6-INDEX('Lease Cycles'!$BG$26:$BM$26,1,U316))</f>
        <v>-1</v>
      </c>
      <c r="V317" s="25">
        <f>IF(V316=0,-1,V$6-INDEX('Lease Cycles'!$BG$26:$BM$26,1,V316))</f>
        <v>-1</v>
      </c>
      <c r="W317" s="25">
        <f>IF(W316=0,-1,W$6-INDEX('Lease Cycles'!$BG$26:$BM$26,1,W316))</f>
        <v>-1</v>
      </c>
      <c r="X317" s="25">
        <f>IF(X316=0,-1,X$6-INDEX('Lease Cycles'!$BG$26:$BM$26,1,X316))</f>
        <v>-1</v>
      </c>
      <c r="Y317" s="25">
        <f>IF(Y316=0,-1,Y$6-INDEX('Lease Cycles'!$BG$26:$BM$26,1,Y316))</f>
        <v>-1</v>
      </c>
      <c r="Z317" s="25">
        <f>IF(Z316=0,-1,Z$6-INDEX('Lease Cycles'!$BG$26:$BM$26,1,Z316))</f>
        <v>-1</v>
      </c>
      <c r="AA317" s="25">
        <f>IF(AA316=0,-1,AA$6-INDEX('Lease Cycles'!$BG$26:$BM$26,1,AA316))</f>
        <v>-1</v>
      </c>
      <c r="AB317" s="25">
        <f>IF(AB316=0,-1,AB$6-INDEX('Lease Cycles'!$BG$26:$BM$26,1,AB316))</f>
        <v>-1</v>
      </c>
      <c r="AC317" s="25">
        <f>IF(AC316=0,-1,AC$6-INDEX('Lease Cycles'!$BG$26:$BM$26,1,AC316))</f>
        <v>-1</v>
      </c>
      <c r="AD317" s="25">
        <f>IF(AD316=0,-1,AD$6-INDEX('Lease Cycles'!$BG$26:$BM$26,1,AD316))</f>
        <v>-1</v>
      </c>
      <c r="AE317" s="25">
        <f>IF(AE316=0,-1,AE$6-INDEX('Lease Cycles'!$BG$26:$BM$26,1,AE316))</f>
        <v>-1</v>
      </c>
      <c r="AF317" s="25">
        <f>IF(AF316=0,-1,AF$6-INDEX('Lease Cycles'!$BG$26:$BM$26,1,AF316))</f>
        <v>-1</v>
      </c>
      <c r="AG317" s="25">
        <f>IF(AG316=0,-1,AG$6-INDEX('Lease Cycles'!$BG$26:$BM$26,1,AG316))</f>
        <v>-1</v>
      </c>
      <c r="AH317" s="25">
        <f>IF(AH316=0,-1,AH$6-INDEX('Lease Cycles'!$BG$26:$BM$26,1,AH316))</f>
        <v>-1</v>
      </c>
      <c r="AI317" s="25">
        <f>IF(AI316=0,-1,AI$6-INDEX('Lease Cycles'!$BG$26:$BM$26,1,AI316))</f>
        <v>-1</v>
      </c>
      <c r="AJ317" s="25">
        <f>IF(AJ316=0,-1,AJ$6-INDEX('Lease Cycles'!$BG$26:$BM$26,1,AJ316))</f>
        <v>-1</v>
      </c>
      <c r="AK317" s="25">
        <f>IF(AK316=0,-1,AK$6-INDEX('Lease Cycles'!$BG$26:$BM$26,1,AK316))</f>
        <v>-1</v>
      </c>
      <c r="AL317" s="25">
        <f>IF(AL316=0,-1,AL$6-INDEX('Lease Cycles'!$BG$26:$BM$26,1,AL316))</f>
        <v>-1</v>
      </c>
      <c r="AM317" s="25">
        <f>IF(AM316=0,-1,AM$6-INDEX('Lease Cycles'!$BG$26:$BM$26,1,AM316))</f>
        <v>-1</v>
      </c>
      <c r="AN317" s="25">
        <f>IF(AN316=0,-1,AN$6-INDEX('Lease Cycles'!$BG$26:$BM$26,1,AN316))</f>
        <v>-1</v>
      </c>
      <c r="AO317" s="25">
        <f>IF(AO316=0,-1,AO$6-INDEX('Lease Cycles'!$BG$26:$BM$26,1,AO316))</f>
        <v>-1</v>
      </c>
      <c r="AP317" s="25">
        <f>IF(AP316=0,-1,AP$6-INDEX('Lease Cycles'!$BG$26:$BM$26,1,AP316))</f>
        <v>-1</v>
      </c>
      <c r="AQ317" s="25">
        <f>IF(AQ316=0,-1,AQ$6-INDEX('Lease Cycles'!$BG$26:$BM$26,1,AQ316))</f>
        <v>-1</v>
      </c>
      <c r="AR317" s="25">
        <f>IF(AR316=0,-1,AR$6-INDEX('Lease Cycles'!$BG$26:$BM$26,1,AR316))</f>
        <v>-1</v>
      </c>
      <c r="AS317" s="25">
        <f>IF(AS316=0,-1,AS$6-INDEX('Lease Cycles'!$BG$26:$BM$26,1,AS316))</f>
        <v>-1</v>
      </c>
      <c r="AT317" s="25">
        <f>IF(AT316=0,-1,AT$6-INDEX('Lease Cycles'!$BG$26:$BM$26,1,AT316))</f>
        <v>-1</v>
      </c>
      <c r="AU317" s="25">
        <f>IF(AU316=0,-1,AU$6-INDEX('Lease Cycles'!$BG$26:$BM$26,1,AU316))</f>
        <v>-1</v>
      </c>
      <c r="AV317" s="25">
        <f>IF(AV316=0,-1,AV$6-INDEX('Lease Cycles'!$BG$26:$BM$26,1,AV316))</f>
        <v>-1</v>
      </c>
      <c r="AW317" s="25">
        <f>IF(AW316=0,-1,AW$6-INDEX('Lease Cycles'!$BG$26:$BM$26,1,AW316))</f>
        <v>-1</v>
      </c>
      <c r="AX317" s="25">
        <f>IF(AX316=0,-1,AX$6-INDEX('Lease Cycles'!$BG$26:$BM$26,1,AX316))</f>
        <v>-1</v>
      </c>
      <c r="AY317" s="25">
        <f>IF(AY316=0,-1,AY$6-INDEX('Lease Cycles'!$BG$26:$BM$26,1,AY316))</f>
        <v>-1</v>
      </c>
      <c r="AZ317" s="25">
        <f>IF(AZ316=0,-1,AZ$6-INDEX('Lease Cycles'!$BG$26:$BM$26,1,AZ316))</f>
        <v>-1</v>
      </c>
      <c r="BA317" s="25">
        <f>IF(BA316=0,-1,BA$6-INDEX('Lease Cycles'!$BG$26:$BM$26,1,BA316))</f>
        <v>-1</v>
      </c>
      <c r="BB317" s="25">
        <f>IF(BB316=0,-1,BB$6-INDEX('Lease Cycles'!$BG$26:$BM$26,1,BB316))</f>
        <v>-1</v>
      </c>
      <c r="BC317" s="25">
        <f>IF(BC316=0,-1,BC$6-INDEX('Lease Cycles'!$BG$26:$BM$26,1,BC316))</f>
        <v>-1</v>
      </c>
      <c r="BD317" s="25">
        <f>IF(BD316=0,-1,BD$6-INDEX('Lease Cycles'!$BG$26:$BM$26,1,BD316))</f>
        <v>-1</v>
      </c>
      <c r="BE317" s="25">
        <f>IF(BE316=0,-1,BE$6-INDEX('Lease Cycles'!$BG$26:$BM$26,1,BE316))</f>
        <v>-1</v>
      </c>
      <c r="BF317" s="25">
        <f>IF(BF316=0,-1,BF$6-INDEX('Lease Cycles'!$BG$26:$BM$26,1,BF316))</f>
        <v>-1</v>
      </c>
      <c r="BG317" s="25">
        <f>IF(BG316=0,-1,BG$6-INDEX('Lease Cycles'!$BG$26:$BM$26,1,BG316))</f>
        <v>-1</v>
      </c>
      <c r="BH317" s="25">
        <f>IF(BH316=0,-1,BH$6-INDEX('Lease Cycles'!$BG$26:$BM$26,1,BH316))</f>
        <v>-1</v>
      </c>
      <c r="BI317" s="25">
        <f>IF(BI316=0,-1,BI$6-INDEX('Lease Cycles'!$BG$26:$BM$26,1,BI316))</f>
        <v>-1</v>
      </c>
      <c r="BJ317" s="25">
        <f>IF(BJ316=0,-1,BJ$6-INDEX('Lease Cycles'!$BG$26:$BM$26,1,BJ316))</f>
        <v>-1</v>
      </c>
      <c r="BK317" s="25">
        <f>IF(BK316=0,-1,BK$6-INDEX('Lease Cycles'!$BG$26:$BM$26,1,BK316))</f>
        <v>-1</v>
      </c>
      <c r="BL317" s="25">
        <f>IF(BL316=0,-1,BL$6-INDEX('Lease Cycles'!$BG$26:$BM$26,1,BL316))</f>
        <v>-1</v>
      </c>
      <c r="BM317" s="25">
        <f>IF(BM316=0,-1,BM$6-INDEX('Lease Cycles'!$BG$26:$BM$26,1,BM316))</f>
        <v>-1</v>
      </c>
      <c r="BN317" s="25">
        <f>IF(BN316=0,-1,BN$6-INDEX('Lease Cycles'!$BG$26:$BM$26,1,BN316))</f>
        <v>-1</v>
      </c>
      <c r="BO317" s="25">
        <f>IF(BO316=0,-1,BO$6-INDEX('Lease Cycles'!$BG$26:$BM$26,1,BO316))</f>
        <v>-1</v>
      </c>
      <c r="BP317" s="25">
        <f>IF(BP316=0,-1,BP$6-INDEX('Lease Cycles'!$BG$26:$BM$26,1,BP316))</f>
        <v>-1</v>
      </c>
      <c r="BQ317" s="25">
        <f>IF(BQ316=0,-1,BQ$6-INDEX('Lease Cycles'!$BG$26:$BM$26,1,BQ316))</f>
        <v>-1</v>
      </c>
      <c r="BR317" s="25">
        <f>IF(BR316=0,-1,BR$6-INDEX('Lease Cycles'!$BG$26:$BM$26,1,BR316))</f>
        <v>-1</v>
      </c>
      <c r="BS317" s="25">
        <f>IF(BS316=0,-1,BS$6-INDEX('Lease Cycles'!$BG$26:$BM$26,1,BS316))</f>
        <v>-1</v>
      </c>
      <c r="BT317" s="25">
        <f>IF(BT316=0,-1,BT$6-INDEX('Lease Cycles'!$BG$26:$BM$26,1,BT316))</f>
        <v>-1</v>
      </c>
      <c r="BU317" s="25">
        <f>IF(BU316=0,-1,BU$6-INDEX('Lease Cycles'!$BG$26:$BM$26,1,BU316))</f>
        <v>-1</v>
      </c>
      <c r="BV317" s="25">
        <f>IF(BV316=0,-1,BV$6-INDEX('Lease Cycles'!$BG$26:$BM$26,1,BV316))</f>
        <v>-1</v>
      </c>
      <c r="BW317" s="25">
        <f>IF(BW316=0,-1,BW$6-INDEX('Lease Cycles'!$BG$26:$BM$26,1,BW316))</f>
        <v>-1</v>
      </c>
      <c r="BX317" s="25">
        <f>IF(BX316=0,-1,BX$6-INDEX('Lease Cycles'!$BG$26:$BM$26,1,BX316))</f>
        <v>-1</v>
      </c>
      <c r="BY317" s="25">
        <f>IF(BY316=0,-1,BY$6-INDEX('Lease Cycles'!$BG$26:$BM$26,1,BY316))</f>
        <v>-1</v>
      </c>
      <c r="BZ317" s="25">
        <f>IF(BZ316=0,-1,BZ$6-INDEX('Lease Cycles'!$BG$26:$BM$26,1,BZ316))</f>
        <v>-1</v>
      </c>
      <c r="CA317" s="25">
        <f>IF(CA316=0,-1,CA$6-INDEX('Lease Cycles'!$BG$26:$BM$26,1,CA316))</f>
        <v>-1</v>
      </c>
      <c r="CB317" s="25">
        <f>IF(CB316=0,-1,CB$6-INDEX('Lease Cycles'!$BG$26:$BM$26,1,CB316))</f>
        <v>-1</v>
      </c>
      <c r="CC317" s="25">
        <f>IF(CC316=0,-1,CC$6-INDEX('Lease Cycles'!$BG$26:$BM$26,1,CC316))</f>
        <v>-1</v>
      </c>
      <c r="CD317" s="25">
        <f>IF(CD316=0,-1,CD$6-INDEX('Lease Cycles'!$BG$26:$BM$26,1,CD316))</f>
        <v>-1</v>
      </c>
      <c r="CE317" s="25">
        <f>IF(CE316=0,-1,CE$6-INDEX('Lease Cycles'!$BG$26:$BM$26,1,CE316))</f>
        <v>-1</v>
      </c>
      <c r="CF317" s="25">
        <f>IF(CF316=0,-1,CF$6-INDEX('Lease Cycles'!$BG$26:$BM$26,1,CF316))</f>
        <v>-1</v>
      </c>
      <c r="CG317" s="25">
        <f>IF(CG316=0,-1,CG$6-INDEX('Lease Cycles'!$BG$26:$BM$26,1,CG316))</f>
        <v>-1</v>
      </c>
      <c r="CH317" s="25">
        <f>IF(CH316=0,-1,CH$6-INDEX('Lease Cycles'!$BG$26:$BM$26,1,CH316))</f>
        <v>-1</v>
      </c>
      <c r="CI317" s="25">
        <f>IF(CI316=0,-1,CI$6-INDEX('Lease Cycles'!$BG$26:$BM$26,1,CI316))</f>
        <v>-1</v>
      </c>
      <c r="CJ317" s="25">
        <f>IF(CJ316=0,-1,CJ$6-INDEX('Lease Cycles'!$BG$26:$BM$26,1,CJ316))</f>
        <v>-1</v>
      </c>
      <c r="CK317" s="25">
        <f>IF(CK316=0,-1,CK$6-INDEX('Lease Cycles'!$BG$26:$BM$26,1,CK316))</f>
        <v>-1</v>
      </c>
      <c r="CL317" s="25">
        <f>IF(CL316=0,-1,CL$6-INDEX('Lease Cycles'!$BG$26:$BM$26,1,CL316))</f>
        <v>-1</v>
      </c>
      <c r="CM317" s="25">
        <f>IF(CM316=0,-1,CM$6-INDEX('Lease Cycles'!$BG$26:$BM$26,1,CM316))</f>
        <v>-1</v>
      </c>
      <c r="CN317" s="25">
        <f>IF(CN316=0,-1,CN$6-INDEX('Lease Cycles'!$BG$26:$BM$26,1,CN316))</f>
        <v>-1</v>
      </c>
      <c r="CO317" s="25">
        <f>IF(CO316=0,-1,CO$6-INDEX('Lease Cycles'!$BG$26:$BM$26,1,CO316))</f>
        <v>-1</v>
      </c>
      <c r="CP317" s="25">
        <f>IF(CP316=0,-1,CP$6-INDEX('Lease Cycles'!$BG$26:$BM$26,1,CP316))</f>
        <v>-1</v>
      </c>
      <c r="CQ317" s="25">
        <f>IF(CQ316=0,-1,CQ$6-INDEX('Lease Cycles'!$BG$26:$BM$26,1,CQ316))</f>
        <v>-1</v>
      </c>
      <c r="CR317" s="25">
        <f>IF(CR316=0,-1,CR$6-INDEX('Lease Cycles'!$BG$26:$BM$26,1,CR316))</f>
        <v>-1</v>
      </c>
      <c r="CS317" s="25">
        <f>IF(CS316=0,-1,CS$6-INDEX('Lease Cycles'!$BG$26:$BM$26,1,CS316))</f>
        <v>-1</v>
      </c>
      <c r="CT317" s="25">
        <f>IF(CT316=0,-1,CT$6-INDEX('Lease Cycles'!$BG$26:$BM$26,1,CT316))</f>
        <v>-1</v>
      </c>
      <c r="CU317" s="25">
        <f>IF(CU316=0,-1,CU$6-INDEX('Lease Cycles'!$BG$26:$BM$26,1,CU316))</f>
        <v>-1</v>
      </c>
      <c r="CV317" s="25">
        <f>IF(CV316=0,-1,CV$6-INDEX('Lease Cycles'!$BG$26:$BM$26,1,CV316))</f>
        <v>-1</v>
      </c>
      <c r="CW317" s="25">
        <f>IF(CW316=0,-1,CW$6-INDEX('Lease Cycles'!$BG$26:$BM$26,1,CW316))</f>
        <v>-1</v>
      </c>
      <c r="CX317" s="25">
        <f>IF(CX316=0,-1,CX$6-INDEX('Lease Cycles'!$BG$26:$BM$26,1,CX316))</f>
        <v>-1</v>
      </c>
      <c r="CY317" s="25">
        <f>IF(CY316=0,-1,CY$6-INDEX('Lease Cycles'!$BG$26:$BM$26,1,CY316))</f>
        <v>-1</v>
      </c>
      <c r="CZ317" s="25">
        <f>IF(CZ316=0,-1,CZ$6-INDEX('Lease Cycles'!$BG$26:$BM$26,1,CZ316))</f>
        <v>-1</v>
      </c>
      <c r="DA317" s="25">
        <f>IF(DA316=0,-1,DA$6-INDEX('Lease Cycles'!$BG$26:$BM$26,1,DA316))</f>
        <v>-1</v>
      </c>
      <c r="DB317" s="25">
        <f>IF(DB316=0,-1,DB$6-INDEX('Lease Cycles'!$BG$26:$BM$26,1,DB316))</f>
        <v>-1</v>
      </c>
      <c r="DC317" s="25">
        <f>IF(DC316=0,-1,DC$6-INDEX('Lease Cycles'!$BG$26:$BM$26,1,DC316))</f>
        <v>-1</v>
      </c>
      <c r="DD317" s="25">
        <f>IF(DD316=0,-1,DD$6-INDEX('Lease Cycles'!$BG$26:$BM$26,1,DD316))</f>
        <v>-1</v>
      </c>
      <c r="DE317" s="25">
        <f>IF(DE316=0,-1,DE$6-INDEX('Lease Cycles'!$BG$26:$BM$26,1,DE316))</f>
        <v>-1</v>
      </c>
      <c r="DF317" s="25">
        <f>IF(DF316=0,-1,DF$6-INDEX('Lease Cycles'!$BG$26:$BM$26,1,DF316))</f>
        <v>-1</v>
      </c>
      <c r="DG317" s="25">
        <f>IF(DG316=0,-1,DG$6-INDEX('Lease Cycles'!$BG$26:$BM$26,1,DG316))</f>
        <v>-1</v>
      </c>
      <c r="DH317" s="25">
        <f>IF(DH316=0,-1,DH$6-INDEX('Lease Cycles'!$BG$26:$BM$26,1,DH316))</f>
        <v>-1</v>
      </c>
      <c r="DI317" s="25">
        <f>IF(DI316=0,-1,DI$6-INDEX('Lease Cycles'!$BG$26:$BM$26,1,DI316))</f>
        <v>-1</v>
      </c>
      <c r="DJ317" s="25">
        <f>IF(DJ316=0,-1,DJ$6-INDEX('Lease Cycles'!$BG$26:$BM$26,1,DJ316))</f>
        <v>-1</v>
      </c>
      <c r="DK317" s="25">
        <f>IF(DK316=0,-1,DK$6-INDEX('Lease Cycles'!$BG$26:$BM$26,1,DK316))</f>
        <v>-1</v>
      </c>
      <c r="DL317" s="25">
        <f>IF(DL316=0,-1,DL$6-INDEX('Lease Cycles'!$BG$26:$BM$26,1,DL316))</f>
        <v>-1</v>
      </c>
      <c r="DM317" s="25">
        <f>IF(DM316=0,-1,DM$6-INDEX('Lease Cycles'!$BG$26:$BM$26,1,DM316))</f>
        <v>-1</v>
      </c>
      <c r="DN317" s="25">
        <f>IF(DN316=0,-1,DN$6-INDEX('Lease Cycles'!$BG$26:$BM$26,1,DN316))</f>
        <v>-1</v>
      </c>
      <c r="DO317" s="25">
        <f>IF(DO316=0,-1,DO$6-INDEX('Lease Cycles'!$BG$26:$BM$26,1,DO316))</f>
        <v>-1</v>
      </c>
      <c r="DP317" s="25">
        <f>IF(DP316=0,-1,DP$6-INDEX('Lease Cycles'!$BG$26:$BM$26,1,DP316))</f>
        <v>-1</v>
      </c>
      <c r="DQ317" s="25">
        <f>IF(DQ316=0,-1,DQ$6-INDEX('Lease Cycles'!$BG$26:$BM$26,1,DQ316))</f>
        <v>-1</v>
      </c>
      <c r="DR317" s="25">
        <f>IF(DR316=0,-1,DR$6-INDEX('Lease Cycles'!$BG$26:$BM$26,1,DR316))</f>
        <v>-1</v>
      </c>
      <c r="DS317" s="25">
        <f>IF(DS316=0,-1,DS$6-INDEX('Lease Cycles'!$BG$26:$BM$26,1,DS316))</f>
        <v>-1</v>
      </c>
      <c r="DT317" s="25">
        <f>IF(DT316=0,-1,DT$6-INDEX('Lease Cycles'!$BG$26:$BM$26,1,DT316))</f>
        <v>-1</v>
      </c>
      <c r="DU317" s="25">
        <f>IF(DU316=0,-1,DU$6-INDEX('Lease Cycles'!$BG$26:$BM$26,1,DU316))</f>
        <v>-1</v>
      </c>
      <c r="DV317" s="25">
        <f>IF(DV316=0,-1,DV$6-INDEX('Lease Cycles'!$BG$26:$BM$26,1,DV316))</f>
        <v>-1</v>
      </c>
      <c r="DW317" s="25">
        <f>IF(DW316=0,-1,DW$6-INDEX('Lease Cycles'!$BG$26:$BM$26,1,DW316))</f>
        <v>-1</v>
      </c>
      <c r="DX317" s="25">
        <f>IF(DX316=0,-1,DX$6-INDEX('Lease Cycles'!$BG$26:$BM$26,1,DX316))</f>
        <v>-1</v>
      </c>
      <c r="DY317" s="25">
        <f>IF(DY316=0,-1,DY$6-INDEX('Lease Cycles'!$BG$26:$BM$26,1,DY316))</f>
        <v>-1</v>
      </c>
      <c r="DZ317" s="25">
        <f>IF(DZ316=0,-1,DZ$6-INDEX('Lease Cycles'!$BG$26:$BM$26,1,DZ316))</f>
        <v>-1</v>
      </c>
      <c r="EA317" s="25">
        <f>IF(EA316=0,-1,EA$6-INDEX('Lease Cycles'!$BG$26:$BM$26,1,EA316))</f>
        <v>-1</v>
      </c>
      <c r="EB317" s="25">
        <f>IF(EB316=0,-1,EB$6-INDEX('Lease Cycles'!$BG$26:$BM$26,1,EB316))</f>
        <v>-1</v>
      </c>
      <c r="EC317" s="25">
        <f>IF(EC316=0,-1,EC$6-INDEX('Lease Cycles'!$BG$26:$BM$26,1,EC316))</f>
        <v>-1</v>
      </c>
      <c r="ED317" s="25">
        <f>IF(ED316=0,-1,ED$6-INDEX('Lease Cycles'!$BG$26:$BM$26,1,ED316))</f>
        <v>-1</v>
      </c>
      <c r="EE317" s="25">
        <f>IF(EE316=0,-1,EE$6-INDEX('Lease Cycles'!$BG$26:$BM$26,1,EE316))</f>
        <v>-1</v>
      </c>
      <c r="EF317" s="25">
        <f>IF(EF316=0,-1,EF$6-INDEX('Lease Cycles'!$BG$26:$BM$26,1,EF316))</f>
        <v>-1</v>
      </c>
      <c r="EG317" s="25">
        <f>IF(EG316=0,-1,EG$6-INDEX('Lease Cycles'!$BG$26:$BM$26,1,EG316))</f>
        <v>-1</v>
      </c>
      <c r="EH317" s="25">
        <f>IF(EH316=0,-1,EH$6-INDEX('Lease Cycles'!$BG$26:$BM$26,1,EH316))</f>
        <v>-1</v>
      </c>
      <c r="EI317" s="25">
        <f>IF(EI316=0,-1,EI$6-INDEX('Lease Cycles'!$BG$26:$BM$26,1,EI316))</f>
        <v>-1</v>
      </c>
      <c r="EJ317" s="25">
        <f>IF(EJ316=0,-1,EJ$6-INDEX('Lease Cycles'!$BG$26:$BM$26,1,EJ316))</f>
        <v>-1</v>
      </c>
      <c r="EK317" s="25">
        <f>IF(EK316=0,-1,EK$6-INDEX('Lease Cycles'!$BG$26:$BM$26,1,EK316))</f>
        <v>-1</v>
      </c>
      <c r="EL317" s="25">
        <f>IF(EL316=0,-1,EL$6-INDEX('Lease Cycles'!$BG$26:$BM$26,1,EL316))</f>
        <v>-1</v>
      </c>
      <c r="EM317" s="25">
        <f>IF(EM316=0,-1,EM$6-INDEX('Lease Cycles'!$BG$26:$BM$26,1,EM316))</f>
        <v>-1</v>
      </c>
      <c r="EN317" s="25">
        <f>IF(EN316=0,-1,EN$6-INDEX('Lease Cycles'!$BG$26:$BM$26,1,EN316))</f>
        <v>-1</v>
      </c>
      <c r="EO317" s="25">
        <f>IF(EO316=0,-1,EO$6-INDEX('Lease Cycles'!$BG$26:$BM$26,1,EO316))</f>
        <v>-1</v>
      </c>
      <c r="EP317" s="25">
        <f>IF(EP316=0,-1,EP$6-INDEX('Lease Cycles'!$BG$26:$BM$26,1,EP316))</f>
        <v>-1</v>
      </c>
      <c r="EQ317" s="25">
        <f>IF(EQ316=0,-1,EQ$6-INDEX('Lease Cycles'!$BG$26:$BM$26,1,EQ316))</f>
        <v>-1</v>
      </c>
      <c r="ER317" s="25">
        <f>IF(ER316=0,-1,ER$6-INDEX('Lease Cycles'!$BG$26:$BM$26,1,ER316))</f>
        <v>-1</v>
      </c>
      <c r="ES317" s="25">
        <f>IF(ES316=0,-1,ES$6-INDEX('Lease Cycles'!$BG$26:$BM$26,1,ES316))</f>
        <v>-1</v>
      </c>
      <c r="ET317" s="25">
        <f>IF(ET316=0,-1,ET$6-INDEX('Lease Cycles'!$BG$26:$BM$26,1,ET316))</f>
        <v>-1</v>
      </c>
    </row>
    <row r="318">
      <c r="A318" s="103">
        <v>19</v>
      </c>
      <c r="B318" s="23" t="str">
        <f>IF('Lease Cycles'!$B$26="","(empty slot)",'Lease Cycles'!$B$26)</f>
        <v>(empty slot)</v>
      </c>
      <c r="C318" s="23" t="s">
        <v>675</v>
      </c>
      <c r="D318" s="104" t="s">
        <v>676</v>
      </c>
      <c r="E318" s="25">
        <f>'Lease Cycles'!$AL$26</f>
        <v>0</v>
      </c>
      <c r="S318" s="25">
        <f>IF(S316=0,0,IF(S317&lt;INDEX('Lease Cycles'!$BN$26:$BT$26,1,S316),1,0))</f>
        <v>0</v>
      </c>
      <c r="T318" s="25">
        <f>IF(T316=0,0,IF(T317&lt;INDEX('Lease Cycles'!$BN$26:$BT$26,1,T316),1,0))</f>
        <v>0</v>
      </c>
      <c r="U318" s="25">
        <f>IF(U316=0,0,IF(U317&lt;INDEX('Lease Cycles'!$BN$26:$BT$26,1,U316),1,0))</f>
        <v>0</v>
      </c>
      <c r="V318" s="25">
        <f>IF(V316=0,0,IF(V317&lt;INDEX('Lease Cycles'!$BN$26:$BT$26,1,V316),1,0))</f>
        <v>0</v>
      </c>
      <c r="W318" s="25">
        <f>IF(W316=0,0,IF(W317&lt;INDEX('Lease Cycles'!$BN$26:$BT$26,1,W316),1,0))</f>
        <v>0</v>
      </c>
      <c r="X318" s="25">
        <f>IF(X316=0,0,IF(X317&lt;INDEX('Lease Cycles'!$BN$26:$BT$26,1,X316),1,0))</f>
        <v>0</v>
      </c>
      <c r="Y318" s="25">
        <f>IF(Y316=0,0,IF(Y317&lt;INDEX('Lease Cycles'!$BN$26:$BT$26,1,Y316),1,0))</f>
        <v>0</v>
      </c>
      <c r="Z318" s="25">
        <f>IF(Z316=0,0,IF(Z317&lt;INDEX('Lease Cycles'!$BN$26:$BT$26,1,Z316),1,0))</f>
        <v>0</v>
      </c>
      <c r="AA318" s="25">
        <f>IF(AA316=0,0,IF(AA317&lt;INDEX('Lease Cycles'!$BN$26:$BT$26,1,AA316),1,0))</f>
        <v>0</v>
      </c>
      <c r="AB318" s="25">
        <f>IF(AB316=0,0,IF(AB317&lt;INDEX('Lease Cycles'!$BN$26:$BT$26,1,AB316),1,0))</f>
        <v>0</v>
      </c>
      <c r="AC318" s="25">
        <f>IF(AC316=0,0,IF(AC317&lt;INDEX('Lease Cycles'!$BN$26:$BT$26,1,AC316),1,0))</f>
        <v>0</v>
      </c>
      <c r="AD318" s="25">
        <f>IF(AD316=0,0,IF(AD317&lt;INDEX('Lease Cycles'!$BN$26:$BT$26,1,AD316),1,0))</f>
        <v>0</v>
      </c>
      <c r="AE318" s="25">
        <f>IF(AE316=0,0,IF(AE317&lt;INDEX('Lease Cycles'!$BN$26:$BT$26,1,AE316),1,0))</f>
        <v>0</v>
      </c>
      <c r="AF318" s="25">
        <f>IF(AF316=0,0,IF(AF317&lt;INDEX('Lease Cycles'!$BN$26:$BT$26,1,AF316),1,0))</f>
        <v>0</v>
      </c>
      <c r="AG318" s="25">
        <f>IF(AG316=0,0,IF(AG317&lt;INDEX('Lease Cycles'!$BN$26:$BT$26,1,AG316),1,0))</f>
        <v>0</v>
      </c>
      <c r="AH318" s="25">
        <f>IF(AH316=0,0,IF(AH317&lt;INDEX('Lease Cycles'!$BN$26:$BT$26,1,AH316),1,0))</f>
        <v>0</v>
      </c>
      <c r="AI318" s="25">
        <f>IF(AI316=0,0,IF(AI317&lt;INDEX('Lease Cycles'!$BN$26:$BT$26,1,AI316),1,0))</f>
        <v>0</v>
      </c>
      <c r="AJ318" s="25">
        <f>IF(AJ316=0,0,IF(AJ317&lt;INDEX('Lease Cycles'!$BN$26:$BT$26,1,AJ316),1,0))</f>
        <v>0</v>
      </c>
      <c r="AK318" s="25">
        <f>IF(AK316=0,0,IF(AK317&lt;INDEX('Lease Cycles'!$BN$26:$BT$26,1,AK316),1,0))</f>
        <v>0</v>
      </c>
      <c r="AL318" s="25">
        <f>IF(AL316=0,0,IF(AL317&lt;INDEX('Lease Cycles'!$BN$26:$BT$26,1,AL316),1,0))</f>
        <v>0</v>
      </c>
      <c r="AM318" s="25">
        <f>IF(AM316=0,0,IF(AM317&lt;INDEX('Lease Cycles'!$BN$26:$BT$26,1,AM316),1,0))</f>
        <v>0</v>
      </c>
      <c r="AN318" s="25">
        <f>IF(AN316=0,0,IF(AN317&lt;INDEX('Lease Cycles'!$BN$26:$BT$26,1,AN316),1,0))</f>
        <v>0</v>
      </c>
      <c r="AO318" s="25">
        <f>IF(AO316=0,0,IF(AO317&lt;INDEX('Lease Cycles'!$BN$26:$BT$26,1,AO316),1,0))</f>
        <v>0</v>
      </c>
      <c r="AP318" s="25">
        <f>IF(AP316=0,0,IF(AP317&lt;INDEX('Lease Cycles'!$BN$26:$BT$26,1,AP316),1,0))</f>
        <v>0</v>
      </c>
      <c r="AQ318" s="25">
        <f>IF(AQ316=0,0,IF(AQ317&lt;INDEX('Lease Cycles'!$BN$26:$BT$26,1,AQ316),1,0))</f>
        <v>0</v>
      </c>
      <c r="AR318" s="25">
        <f>IF(AR316=0,0,IF(AR317&lt;INDEX('Lease Cycles'!$BN$26:$BT$26,1,AR316),1,0))</f>
        <v>0</v>
      </c>
      <c r="AS318" s="25">
        <f>IF(AS316=0,0,IF(AS317&lt;INDEX('Lease Cycles'!$BN$26:$BT$26,1,AS316),1,0))</f>
        <v>0</v>
      </c>
      <c r="AT318" s="25">
        <f>IF(AT316=0,0,IF(AT317&lt;INDEX('Lease Cycles'!$BN$26:$BT$26,1,AT316),1,0))</f>
        <v>0</v>
      </c>
      <c r="AU318" s="25">
        <f>IF(AU316=0,0,IF(AU317&lt;INDEX('Lease Cycles'!$BN$26:$BT$26,1,AU316),1,0))</f>
        <v>0</v>
      </c>
      <c r="AV318" s="25">
        <f>IF(AV316=0,0,IF(AV317&lt;INDEX('Lease Cycles'!$BN$26:$BT$26,1,AV316),1,0))</f>
        <v>0</v>
      </c>
      <c r="AW318" s="25">
        <f>IF(AW316=0,0,IF(AW317&lt;INDEX('Lease Cycles'!$BN$26:$BT$26,1,AW316),1,0))</f>
        <v>0</v>
      </c>
      <c r="AX318" s="25">
        <f>IF(AX316=0,0,IF(AX317&lt;INDEX('Lease Cycles'!$BN$26:$BT$26,1,AX316),1,0))</f>
        <v>0</v>
      </c>
      <c r="AY318" s="25">
        <f>IF(AY316=0,0,IF(AY317&lt;INDEX('Lease Cycles'!$BN$26:$BT$26,1,AY316),1,0))</f>
        <v>0</v>
      </c>
      <c r="AZ318" s="25">
        <f>IF(AZ316=0,0,IF(AZ317&lt;INDEX('Lease Cycles'!$BN$26:$BT$26,1,AZ316),1,0))</f>
        <v>0</v>
      </c>
      <c r="BA318" s="25">
        <f>IF(BA316=0,0,IF(BA317&lt;INDEX('Lease Cycles'!$BN$26:$BT$26,1,BA316),1,0))</f>
        <v>0</v>
      </c>
      <c r="BB318" s="25">
        <f>IF(BB316=0,0,IF(BB317&lt;INDEX('Lease Cycles'!$BN$26:$BT$26,1,BB316),1,0))</f>
        <v>0</v>
      </c>
      <c r="BC318" s="25">
        <f>IF(BC316=0,0,IF(BC317&lt;INDEX('Lease Cycles'!$BN$26:$BT$26,1,BC316),1,0))</f>
        <v>0</v>
      </c>
      <c r="BD318" s="25">
        <f>IF(BD316=0,0,IF(BD317&lt;INDEX('Lease Cycles'!$BN$26:$BT$26,1,BD316),1,0))</f>
        <v>0</v>
      </c>
      <c r="BE318" s="25">
        <f>IF(BE316=0,0,IF(BE317&lt;INDEX('Lease Cycles'!$BN$26:$BT$26,1,BE316),1,0))</f>
        <v>0</v>
      </c>
      <c r="BF318" s="25">
        <f>IF(BF316=0,0,IF(BF317&lt;INDEX('Lease Cycles'!$BN$26:$BT$26,1,BF316),1,0))</f>
        <v>0</v>
      </c>
      <c r="BG318" s="25">
        <f>IF(BG316=0,0,IF(BG317&lt;INDEX('Lease Cycles'!$BN$26:$BT$26,1,BG316),1,0))</f>
        <v>0</v>
      </c>
      <c r="BH318" s="25">
        <f>IF(BH316=0,0,IF(BH317&lt;INDEX('Lease Cycles'!$BN$26:$BT$26,1,BH316),1,0))</f>
        <v>0</v>
      </c>
      <c r="BI318" s="25">
        <f>IF(BI316=0,0,IF(BI317&lt;INDEX('Lease Cycles'!$BN$26:$BT$26,1,BI316),1,0))</f>
        <v>0</v>
      </c>
      <c r="BJ318" s="25">
        <f>IF(BJ316=0,0,IF(BJ317&lt;INDEX('Lease Cycles'!$BN$26:$BT$26,1,BJ316),1,0))</f>
        <v>0</v>
      </c>
      <c r="BK318" s="25">
        <f>IF(BK316=0,0,IF(BK317&lt;INDEX('Lease Cycles'!$BN$26:$BT$26,1,BK316),1,0))</f>
        <v>0</v>
      </c>
      <c r="BL318" s="25">
        <f>IF(BL316=0,0,IF(BL317&lt;INDEX('Lease Cycles'!$BN$26:$BT$26,1,BL316),1,0))</f>
        <v>0</v>
      </c>
      <c r="BM318" s="25">
        <f>IF(BM316=0,0,IF(BM317&lt;INDEX('Lease Cycles'!$BN$26:$BT$26,1,BM316),1,0))</f>
        <v>0</v>
      </c>
      <c r="BN318" s="25">
        <f>IF(BN316=0,0,IF(BN317&lt;INDEX('Lease Cycles'!$BN$26:$BT$26,1,BN316),1,0))</f>
        <v>0</v>
      </c>
      <c r="BO318" s="25">
        <f>IF(BO316=0,0,IF(BO317&lt;INDEX('Lease Cycles'!$BN$26:$BT$26,1,BO316),1,0))</f>
        <v>0</v>
      </c>
      <c r="BP318" s="25">
        <f>IF(BP316=0,0,IF(BP317&lt;INDEX('Lease Cycles'!$BN$26:$BT$26,1,BP316),1,0))</f>
        <v>0</v>
      </c>
      <c r="BQ318" s="25">
        <f>IF(BQ316=0,0,IF(BQ317&lt;INDEX('Lease Cycles'!$BN$26:$BT$26,1,BQ316),1,0))</f>
        <v>0</v>
      </c>
      <c r="BR318" s="25">
        <f>IF(BR316=0,0,IF(BR317&lt;INDEX('Lease Cycles'!$BN$26:$BT$26,1,BR316),1,0))</f>
        <v>0</v>
      </c>
      <c r="BS318" s="25">
        <f>IF(BS316=0,0,IF(BS317&lt;INDEX('Lease Cycles'!$BN$26:$BT$26,1,BS316),1,0))</f>
        <v>0</v>
      </c>
      <c r="BT318" s="25">
        <f>IF(BT316=0,0,IF(BT317&lt;INDEX('Lease Cycles'!$BN$26:$BT$26,1,BT316),1,0))</f>
        <v>0</v>
      </c>
      <c r="BU318" s="25">
        <f>IF(BU316=0,0,IF(BU317&lt;INDEX('Lease Cycles'!$BN$26:$BT$26,1,BU316),1,0))</f>
        <v>0</v>
      </c>
      <c r="BV318" s="25">
        <f>IF(BV316=0,0,IF(BV317&lt;INDEX('Lease Cycles'!$BN$26:$BT$26,1,BV316),1,0))</f>
        <v>0</v>
      </c>
      <c r="BW318" s="25">
        <f>IF(BW316=0,0,IF(BW317&lt;INDEX('Lease Cycles'!$BN$26:$BT$26,1,BW316),1,0))</f>
        <v>0</v>
      </c>
      <c r="BX318" s="25">
        <f>IF(BX316=0,0,IF(BX317&lt;INDEX('Lease Cycles'!$BN$26:$BT$26,1,BX316),1,0))</f>
        <v>0</v>
      </c>
      <c r="BY318" s="25">
        <f>IF(BY316=0,0,IF(BY317&lt;INDEX('Lease Cycles'!$BN$26:$BT$26,1,BY316),1,0))</f>
        <v>0</v>
      </c>
      <c r="BZ318" s="25">
        <f>IF(BZ316=0,0,IF(BZ317&lt;INDEX('Lease Cycles'!$BN$26:$BT$26,1,BZ316),1,0))</f>
        <v>0</v>
      </c>
      <c r="CA318" s="25">
        <f>IF(CA316=0,0,IF(CA317&lt;INDEX('Lease Cycles'!$BN$26:$BT$26,1,CA316),1,0))</f>
        <v>0</v>
      </c>
      <c r="CB318" s="25">
        <f>IF(CB316=0,0,IF(CB317&lt;INDEX('Lease Cycles'!$BN$26:$BT$26,1,CB316),1,0))</f>
        <v>0</v>
      </c>
      <c r="CC318" s="25">
        <f>IF(CC316=0,0,IF(CC317&lt;INDEX('Lease Cycles'!$BN$26:$BT$26,1,CC316),1,0))</f>
        <v>0</v>
      </c>
      <c r="CD318" s="25">
        <f>IF(CD316=0,0,IF(CD317&lt;INDEX('Lease Cycles'!$BN$26:$BT$26,1,CD316),1,0))</f>
        <v>0</v>
      </c>
      <c r="CE318" s="25">
        <f>IF(CE316=0,0,IF(CE317&lt;INDEX('Lease Cycles'!$BN$26:$BT$26,1,CE316),1,0))</f>
        <v>0</v>
      </c>
      <c r="CF318" s="25">
        <f>IF(CF316=0,0,IF(CF317&lt;INDEX('Lease Cycles'!$BN$26:$BT$26,1,CF316),1,0))</f>
        <v>0</v>
      </c>
      <c r="CG318" s="25">
        <f>IF(CG316=0,0,IF(CG317&lt;INDEX('Lease Cycles'!$BN$26:$BT$26,1,CG316),1,0))</f>
        <v>0</v>
      </c>
      <c r="CH318" s="25">
        <f>IF(CH316=0,0,IF(CH317&lt;INDEX('Lease Cycles'!$BN$26:$BT$26,1,CH316),1,0))</f>
        <v>0</v>
      </c>
      <c r="CI318" s="25">
        <f>IF(CI316=0,0,IF(CI317&lt;INDEX('Lease Cycles'!$BN$26:$BT$26,1,CI316),1,0))</f>
        <v>0</v>
      </c>
      <c r="CJ318" s="25">
        <f>IF(CJ316=0,0,IF(CJ317&lt;INDEX('Lease Cycles'!$BN$26:$BT$26,1,CJ316),1,0))</f>
        <v>0</v>
      </c>
      <c r="CK318" s="25">
        <f>IF(CK316=0,0,IF(CK317&lt;INDEX('Lease Cycles'!$BN$26:$BT$26,1,CK316),1,0))</f>
        <v>0</v>
      </c>
      <c r="CL318" s="25">
        <f>IF(CL316=0,0,IF(CL317&lt;INDEX('Lease Cycles'!$BN$26:$BT$26,1,CL316),1,0))</f>
        <v>0</v>
      </c>
      <c r="CM318" s="25">
        <f>IF(CM316=0,0,IF(CM317&lt;INDEX('Lease Cycles'!$BN$26:$BT$26,1,CM316),1,0))</f>
        <v>0</v>
      </c>
      <c r="CN318" s="25">
        <f>IF(CN316=0,0,IF(CN317&lt;INDEX('Lease Cycles'!$BN$26:$BT$26,1,CN316),1,0))</f>
        <v>0</v>
      </c>
      <c r="CO318" s="25">
        <f>IF(CO316=0,0,IF(CO317&lt;INDEX('Lease Cycles'!$BN$26:$BT$26,1,CO316),1,0))</f>
        <v>0</v>
      </c>
      <c r="CP318" s="25">
        <f>IF(CP316=0,0,IF(CP317&lt;INDEX('Lease Cycles'!$BN$26:$BT$26,1,CP316),1,0))</f>
        <v>0</v>
      </c>
      <c r="CQ318" s="25">
        <f>IF(CQ316=0,0,IF(CQ317&lt;INDEX('Lease Cycles'!$BN$26:$BT$26,1,CQ316),1,0))</f>
        <v>0</v>
      </c>
      <c r="CR318" s="25">
        <f>IF(CR316=0,0,IF(CR317&lt;INDEX('Lease Cycles'!$BN$26:$BT$26,1,CR316),1,0))</f>
        <v>0</v>
      </c>
      <c r="CS318" s="25">
        <f>IF(CS316=0,0,IF(CS317&lt;INDEX('Lease Cycles'!$BN$26:$BT$26,1,CS316),1,0))</f>
        <v>0</v>
      </c>
      <c r="CT318" s="25">
        <f>IF(CT316=0,0,IF(CT317&lt;INDEX('Lease Cycles'!$BN$26:$BT$26,1,CT316),1,0))</f>
        <v>0</v>
      </c>
      <c r="CU318" s="25">
        <f>IF(CU316=0,0,IF(CU317&lt;INDEX('Lease Cycles'!$BN$26:$BT$26,1,CU316),1,0))</f>
        <v>0</v>
      </c>
      <c r="CV318" s="25">
        <f>IF(CV316=0,0,IF(CV317&lt;INDEX('Lease Cycles'!$BN$26:$BT$26,1,CV316),1,0))</f>
        <v>0</v>
      </c>
      <c r="CW318" s="25">
        <f>IF(CW316=0,0,IF(CW317&lt;INDEX('Lease Cycles'!$BN$26:$BT$26,1,CW316),1,0))</f>
        <v>0</v>
      </c>
      <c r="CX318" s="25">
        <f>IF(CX316=0,0,IF(CX317&lt;INDEX('Lease Cycles'!$BN$26:$BT$26,1,CX316),1,0))</f>
        <v>0</v>
      </c>
      <c r="CY318" s="25">
        <f>IF(CY316=0,0,IF(CY317&lt;INDEX('Lease Cycles'!$BN$26:$BT$26,1,CY316),1,0))</f>
        <v>0</v>
      </c>
      <c r="CZ318" s="25">
        <f>IF(CZ316=0,0,IF(CZ317&lt;INDEX('Lease Cycles'!$BN$26:$BT$26,1,CZ316),1,0))</f>
        <v>0</v>
      </c>
      <c r="DA318" s="25">
        <f>IF(DA316=0,0,IF(DA317&lt;INDEX('Lease Cycles'!$BN$26:$BT$26,1,DA316),1,0))</f>
        <v>0</v>
      </c>
      <c r="DB318" s="25">
        <f>IF(DB316=0,0,IF(DB317&lt;INDEX('Lease Cycles'!$BN$26:$BT$26,1,DB316),1,0))</f>
        <v>0</v>
      </c>
      <c r="DC318" s="25">
        <f>IF(DC316=0,0,IF(DC317&lt;INDEX('Lease Cycles'!$BN$26:$BT$26,1,DC316),1,0))</f>
        <v>0</v>
      </c>
      <c r="DD318" s="25">
        <f>IF(DD316=0,0,IF(DD317&lt;INDEX('Lease Cycles'!$BN$26:$BT$26,1,DD316),1,0))</f>
        <v>0</v>
      </c>
      <c r="DE318" s="25">
        <f>IF(DE316=0,0,IF(DE317&lt;INDEX('Lease Cycles'!$BN$26:$BT$26,1,DE316),1,0))</f>
        <v>0</v>
      </c>
      <c r="DF318" s="25">
        <f>IF(DF316=0,0,IF(DF317&lt;INDEX('Lease Cycles'!$BN$26:$BT$26,1,DF316),1,0))</f>
        <v>0</v>
      </c>
      <c r="DG318" s="25">
        <f>IF(DG316=0,0,IF(DG317&lt;INDEX('Lease Cycles'!$BN$26:$BT$26,1,DG316),1,0))</f>
        <v>0</v>
      </c>
      <c r="DH318" s="25">
        <f>IF(DH316=0,0,IF(DH317&lt;INDEX('Lease Cycles'!$BN$26:$BT$26,1,DH316),1,0))</f>
        <v>0</v>
      </c>
      <c r="DI318" s="25">
        <f>IF(DI316=0,0,IF(DI317&lt;INDEX('Lease Cycles'!$BN$26:$BT$26,1,DI316),1,0))</f>
        <v>0</v>
      </c>
      <c r="DJ318" s="25">
        <f>IF(DJ316=0,0,IF(DJ317&lt;INDEX('Lease Cycles'!$BN$26:$BT$26,1,DJ316),1,0))</f>
        <v>0</v>
      </c>
      <c r="DK318" s="25">
        <f>IF(DK316=0,0,IF(DK317&lt;INDEX('Lease Cycles'!$BN$26:$BT$26,1,DK316),1,0))</f>
        <v>0</v>
      </c>
      <c r="DL318" s="25">
        <f>IF(DL316=0,0,IF(DL317&lt;INDEX('Lease Cycles'!$BN$26:$BT$26,1,DL316),1,0))</f>
        <v>0</v>
      </c>
      <c r="DM318" s="25">
        <f>IF(DM316=0,0,IF(DM317&lt;INDEX('Lease Cycles'!$BN$26:$BT$26,1,DM316),1,0))</f>
        <v>0</v>
      </c>
      <c r="DN318" s="25">
        <f>IF(DN316=0,0,IF(DN317&lt;INDEX('Lease Cycles'!$BN$26:$BT$26,1,DN316),1,0))</f>
        <v>0</v>
      </c>
      <c r="DO318" s="25">
        <f>IF(DO316=0,0,IF(DO317&lt;INDEX('Lease Cycles'!$BN$26:$BT$26,1,DO316),1,0))</f>
        <v>0</v>
      </c>
      <c r="DP318" s="25">
        <f>IF(DP316=0,0,IF(DP317&lt;INDEX('Lease Cycles'!$BN$26:$BT$26,1,DP316),1,0))</f>
        <v>0</v>
      </c>
      <c r="DQ318" s="25">
        <f>IF(DQ316=0,0,IF(DQ317&lt;INDEX('Lease Cycles'!$BN$26:$BT$26,1,DQ316),1,0))</f>
        <v>0</v>
      </c>
      <c r="DR318" s="25">
        <f>IF(DR316=0,0,IF(DR317&lt;INDEX('Lease Cycles'!$BN$26:$BT$26,1,DR316),1,0))</f>
        <v>0</v>
      </c>
      <c r="DS318" s="25">
        <f>IF(DS316=0,0,IF(DS317&lt;INDEX('Lease Cycles'!$BN$26:$BT$26,1,DS316),1,0))</f>
        <v>0</v>
      </c>
      <c r="DT318" s="25">
        <f>IF(DT316=0,0,IF(DT317&lt;INDEX('Lease Cycles'!$BN$26:$BT$26,1,DT316),1,0))</f>
        <v>0</v>
      </c>
      <c r="DU318" s="25">
        <f>IF(DU316=0,0,IF(DU317&lt;INDEX('Lease Cycles'!$BN$26:$BT$26,1,DU316),1,0))</f>
        <v>0</v>
      </c>
      <c r="DV318" s="25">
        <f>IF(DV316=0,0,IF(DV317&lt;INDEX('Lease Cycles'!$BN$26:$BT$26,1,DV316),1,0))</f>
        <v>0</v>
      </c>
      <c r="DW318" s="25">
        <f>IF(DW316=0,0,IF(DW317&lt;INDEX('Lease Cycles'!$BN$26:$BT$26,1,DW316),1,0))</f>
        <v>0</v>
      </c>
      <c r="DX318" s="25">
        <f>IF(DX316=0,0,IF(DX317&lt;INDEX('Lease Cycles'!$BN$26:$BT$26,1,DX316),1,0))</f>
        <v>0</v>
      </c>
      <c r="DY318" s="25">
        <f>IF(DY316=0,0,IF(DY317&lt;INDEX('Lease Cycles'!$BN$26:$BT$26,1,DY316),1,0))</f>
        <v>0</v>
      </c>
      <c r="DZ318" s="25">
        <f>IF(DZ316=0,0,IF(DZ317&lt;INDEX('Lease Cycles'!$BN$26:$BT$26,1,DZ316),1,0))</f>
        <v>0</v>
      </c>
      <c r="EA318" s="25">
        <f>IF(EA316=0,0,IF(EA317&lt;INDEX('Lease Cycles'!$BN$26:$BT$26,1,EA316),1,0))</f>
        <v>0</v>
      </c>
      <c r="EB318" s="25">
        <f>IF(EB316=0,0,IF(EB317&lt;INDEX('Lease Cycles'!$BN$26:$BT$26,1,EB316),1,0))</f>
        <v>0</v>
      </c>
      <c r="EC318" s="25">
        <f>IF(EC316=0,0,IF(EC317&lt;INDEX('Lease Cycles'!$BN$26:$BT$26,1,EC316),1,0))</f>
        <v>0</v>
      </c>
      <c r="ED318" s="25">
        <f>IF(ED316=0,0,IF(ED317&lt;INDEX('Lease Cycles'!$BN$26:$BT$26,1,ED316),1,0))</f>
        <v>0</v>
      </c>
      <c r="EE318" s="25">
        <f>IF(EE316=0,0,IF(EE317&lt;INDEX('Lease Cycles'!$BN$26:$BT$26,1,EE316),1,0))</f>
        <v>0</v>
      </c>
      <c r="EF318" s="25">
        <f>IF(EF316=0,0,IF(EF317&lt;INDEX('Lease Cycles'!$BN$26:$BT$26,1,EF316),1,0))</f>
        <v>0</v>
      </c>
      <c r="EG318" s="25">
        <f>IF(EG316=0,0,IF(EG317&lt;INDEX('Lease Cycles'!$BN$26:$BT$26,1,EG316),1,0))</f>
        <v>0</v>
      </c>
      <c r="EH318" s="25">
        <f>IF(EH316=0,0,IF(EH317&lt;INDEX('Lease Cycles'!$BN$26:$BT$26,1,EH316),1,0))</f>
        <v>0</v>
      </c>
      <c r="EI318" s="25">
        <f>IF(EI316=0,0,IF(EI317&lt;INDEX('Lease Cycles'!$BN$26:$BT$26,1,EI316),1,0))</f>
        <v>0</v>
      </c>
      <c r="EJ318" s="25">
        <f>IF(EJ316=0,0,IF(EJ317&lt;INDEX('Lease Cycles'!$BN$26:$BT$26,1,EJ316),1,0))</f>
        <v>0</v>
      </c>
      <c r="EK318" s="25">
        <f>IF(EK316=0,0,IF(EK317&lt;INDEX('Lease Cycles'!$BN$26:$BT$26,1,EK316),1,0))</f>
        <v>0</v>
      </c>
      <c r="EL318" s="25">
        <f>IF(EL316=0,0,IF(EL317&lt;INDEX('Lease Cycles'!$BN$26:$BT$26,1,EL316),1,0))</f>
        <v>0</v>
      </c>
      <c r="EM318" s="25">
        <f>IF(EM316=0,0,IF(EM317&lt;INDEX('Lease Cycles'!$BN$26:$BT$26,1,EM316),1,0))</f>
        <v>0</v>
      </c>
      <c r="EN318" s="25">
        <f>IF(EN316=0,0,IF(EN317&lt;INDEX('Lease Cycles'!$BN$26:$BT$26,1,EN316),1,0))</f>
        <v>0</v>
      </c>
      <c r="EO318" s="25">
        <f>IF(EO316=0,0,IF(EO317&lt;INDEX('Lease Cycles'!$BN$26:$BT$26,1,EO316),1,0))</f>
        <v>0</v>
      </c>
      <c r="EP318" s="25">
        <f>IF(EP316=0,0,IF(EP317&lt;INDEX('Lease Cycles'!$BN$26:$BT$26,1,EP316),1,0))</f>
        <v>0</v>
      </c>
      <c r="EQ318" s="25">
        <f>IF(EQ316=0,0,IF(EQ317&lt;INDEX('Lease Cycles'!$BN$26:$BT$26,1,EQ316),1,0))</f>
        <v>0</v>
      </c>
      <c r="ER318" s="25">
        <f>IF(ER316=0,0,IF(ER317&lt;INDEX('Lease Cycles'!$BN$26:$BT$26,1,ER316),1,0))</f>
        <v>0</v>
      </c>
      <c r="ES318" s="25">
        <f>IF(ES316=0,0,IF(ES317&lt;INDEX('Lease Cycles'!$BN$26:$BT$26,1,ES316),1,0))</f>
        <v>0</v>
      </c>
      <c r="ET318" s="25">
        <f>IF(ET316=0,0,IF(ET317&lt;INDEX('Lease Cycles'!$BN$26:$BT$26,1,ET316),1,0))</f>
        <v>0</v>
      </c>
    </row>
    <row r="319">
      <c r="A319" s="103">
        <v>19</v>
      </c>
      <c r="B319" s="23" t="str">
        <f>IF('Lease Cycles'!$B$26="","(empty slot)",'Lease Cycles'!$B$26)</f>
        <v>(empty slot)</v>
      </c>
      <c r="C319" s="23" t="s">
        <v>677</v>
      </c>
      <c r="D319" s="104" t="s">
        <v>678</v>
      </c>
      <c r="E319" s="25">
        <f>'Lease Cycles'!$AL$26</f>
        <v>0</v>
      </c>
      <c r="S319" s="28">
        <f>IF(S316=0,IF('Lease Cycles'!$F$26&gt;0,'Lease Cycles'!$C$26*'Lease Cycles'!$E$26/12,0),IF(S318=1,IF('Lease Cycles'!$AT$26&gt;=9999,'Lease Cycles'!$C$26*INDEX('Lease Cycles'!$CB$26:$CH$26,1,S316)*(1+INDEX('Lease Cycles'!$CI$26:$CO$26,1,S316))^INT(INT(S317/12)/INDEX('Lease Cycles'!$CP$26:$CV$26,1,S316))/12,IF(S316=1,IF(S317&gt;=INDEX('Lease Cycles'!$DK$26:$DQ$26,1,S316),IF(S$6&gt;='Lease Cycles'!$AZ$26,'Lease Cycles'!$C$26*'Lease Cycles'!$BA$26/12,IF(S$6&gt;='Lease Cycles'!$AX$26,'Lease Cycles'!$C$26*'Lease Cycles'!$AY$26/12,IF(S$6&gt;='Lease Cycles'!$AV$26,'Lease Cycles'!$C$26*'Lease Cycles'!$AW$26/12,IF(S$6&gt;='Lease Cycles'!$AT$26,'Lease Cycles'!$C$26*'Lease Cycles'!$AU$26/12,'Lease Cycles'!$C$26*INDEX('Lease Cycles'!$CB$26:$CH$26,1,S316)*(1+INDEX('Lease Cycles'!$CI$26:$CO$26,1,S316))^INT(INT(S317/12)/INDEX('Lease Cycles'!$CP$26:$CV$26,1,S316))/12)))),'Lease Cycles'!$C$26*INDEX('Lease Cycles'!$CB$26:$CH$26,1,S316)*(1+INDEX('Lease Cycles'!$CI$26:$CO$26,1,S316))^INT(INT(S317/12)/INDEX('Lease Cycles'!$CP$26:$CV$26,1,S316))/12),IF(INDEX('Lease Cycles'!$EF$26:$EL$26,1,S316)=1,IF(AND('Lease Cycles'!$AZ$26&gt;=INDEX('Lease Cycles'!$BG$26:$BM$26,1,S316),'Lease Cycles'!$AZ$26&lt;=S$6),'Lease Cycles'!$C$26*'Lease Cycles'!$BA$26/12,IF(AND('Lease Cycles'!$AX$26&gt;=INDEX('Lease Cycles'!$BG$26:$BM$26,1,S316),'Lease Cycles'!$AX$26&lt;=S$6),'Lease Cycles'!$C$26*'Lease Cycles'!$AY$26/12,IF(AND('Lease Cycles'!$AV$26&gt;=INDEX('Lease Cycles'!$BG$26:$BM$26,1,S316),'Lease Cycles'!$AV$26&lt;=S$6),'Lease Cycles'!$C$26*'Lease Cycles'!$AW$26/12,IF(AND('Lease Cycles'!$AT$26&gt;=INDEX('Lease Cycles'!$BG$26:$BM$26,1,S316),'Lease Cycles'!$AT$26&lt;=S$6),'Lease Cycles'!$C$26*'Lease Cycles'!$AU$26/12,'Lease Cycles'!$C$26*INDEX('Lease Cycles'!$CB$26:$CH$26,1,S316)*(1+INDEX('Lease Cycles'!$CI$26:$CO$26,1,S316))^INT(INT(S317/12)/INDEX('Lease Cycles'!$CP$26:$CV$26,1,S316))/12)))),'Lease Cycles'!$C$26*INDEX('Lease Cycles'!$CB$26:$CH$26,1,S316)*(1+INDEX('Lease Cycles'!$CI$26:$CO$26,1,S316))^INT(INT(S317/12)/INDEX('Lease Cycles'!$CP$26:$CV$26,1,S316))/12))),IF('Lease Cycles'!$N$26=1,'Lease Cycles'!$C$26*'Lease Cycles'!$E$26*INDEX('Lease Cycles'!$HE$26:$HK$26,1,S316)*(1+INDEX('Lease Cycles'!$GQ$26:$GW$26,1,S316))^INT(INT((S$6-INDEX('Lease Cycles'!$GJ$26:$GP$26,1,S316))/12)/INDEX('Lease Cycles'!$GX$26:$HD$26,1,S316))/12,0)))</f>
        <v>0</v>
      </c>
      <c r="T319" s="28">
        <f>IF(T316=0,IF('Lease Cycles'!$F$26&gt;0,'Lease Cycles'!$C$26*'Lease Cycles'!$E$26/12,0),IF(T318=1,IF('Lease Cycles'!$AT$26&gt;=9999,'Lease Cycles'!$C$26*INDEX('Lease Cycles'!$CB$26:$CH$26,1,T316)*(1+INDEX('Lease Cycles'!$CI$26:$CO$26,1,T316))^INT(INT(T317/12)/INDEX('Lease Cycles'!$CP$26:$CV$26,1,T316))/12,IF(T316=1,IF(T317&gt;=INDEX('Lease Cycles'!$DK$26:$DQ$26,1,T316),IF(T$6&gt;='Lease Cycles'!$AZ$26,'Lease Cycles'!$C$26*'Lease Cycles'!$BA$26/12,IF(T$6&gt;='Lease Cycles'!$AX$26,'Lease Cycles'!$C$26*'Lease Cycles'!$AY$26/12,IF(T$6&gt;='Lease Cycles'!$AV$26,'Lease Cycles'!$C$26*'Lease Cycles'!$AW$26/12,IF(T$6&gt;='Lease Cycles'!$AT$26,'Lease Cycles'!$C$26*'Lease Cycles'!$AU$26/12,'Lease Cycles'!$C$26*INDEX('Lease Cycles'!$CB$26:$CH$26,1,T316)*(1+INDEX('Lease Cycles'!$CI$26:$CO$26,1,T316))^INT(INT(T317/12)/INDEX('Lease Cycles'!$CP$26:$CV$26,1,T316))/12)))),'Lease Cycles'!$C$26*INDEX('Lease Cycles'!$CB$26:$CH$26,1,T316)*(1+INDEX('Lease Cycles'!$CI$26:$CO$26,1,T316))^INT(INT(T317/12)/INDEX('Lease Cycles'!$CP$26:$CV$26,1,T316))/12),IF(INDEX('Lease Cycles'!$EF$26:$EL$26,1,T316)=1,IF(AND('Lease Cycles'!$AZ$26&gt;=INDEX('Lease Cycles'!$BG$26:$BM$26,1,T316),'Lease Cycles'!$AZ$26&lt;=T$6),'Lease Cycles'!$C$26*'Lease Cycles'!$BA$26/12,IF(AND('Lease Cycles'!$AX$26&gt;=INDEX('Lease Cycles'!$BG$26:$BM$26,1,T316),'Lease Cycles'!$AX$26&lt;=T$6),'Lease Cycles'!$C$26*'Lease Cycles'!$AY$26/12,IF(AND('Lease Cycles'!$AV$26&gt;=INDEX('Lease Cycles'!$BG$26:$BM$26,1,T316),'Lease Cycles'!$AV$26&lt;=T$6),'Lease Cycles'!$C$26*'Lease Cycles'!$AW$26/12,IF(AND('Lease Cycles'!$AT$26&gt;=INDEX('Lease Cycles'!$BG$26:$BM$26,1,T316),'Lease Cycles'!$AT$26&lt;=T$6),'Lease Cycles'!$C$26*'Lease Cycles'!$AU$26/12,'Lease Cycles'!$C$26*INDEX('Lease Cycles'!$CB$26:$CH$26,1,T316)*(1+INDEX('Lease Cycles'!$CI$26:$CO$26,1,T316))^INT(INT(T317/12)/INDEX('Lease Cycles'!$CP$26:$CV$26,1,T316))/12)))),'Lease Cycles'!$C$26*INDEX('Lease Cycles'!$CB$26:$CH$26,1,T316)*(1+INDEX('Lease Cycles'!$CI$26:$CO$26,1,T316))^INT(INT(T317/12)/INDEX('Lease Cycles'!$CP$26:$CV$26,1,T316))/12))),IF('Lease Cycles'!$N$26=1,'Lease Cycles'!$C$26*'Lease Cycles'!$E$26*INDEX('Lease Cycles'!$HE$26:$HK$26,1,T316)*(1+INDEX('Lease Cycles'!$GQ$26:$GW$26,1,T316))^INT(INT((T$6-INDEX('Lease Cycles'!$GJ$26:$GP$26,1,T316))/12)/INDEX('Lease Cycles'!$GX$26:$HD$26,1,T316))/12,0)))</f>
        <v>0</v>
      </c>
      <c r="U319" s="28">
        <f>IF(U316=0,IF('Lease Cycles'!$F$26&gt;0,'Lease Cycles'!$C$26*'Lease Cycles'!$E$26/12,0),IF(U318=1,IF('Lease Cycles'!$AT$26&gt;=9999,'Lease Cycles'!$C$26*INDEX('Lease Cycles'!$CB$26:$CH$26,1,U316)*(1+INDEX('Lease Cycles'!$CI$26:$CO$26,1,U316))^INT(INT(U317/12)/INDEX('Lease Cycles'!$CP$26:$CV$26,1,U316))/12,IF(U316=1,IF(U317&gt;=INDEX('Lease Cycles'!$DK$26:$DQ$26,1,U316),IF(U$6&gt;='Lease Cycles'!$AZ$26,'Lease Cycles'!$C$26*'Lease Cycles'!$BA$26/12,IF(U$6&gt;='Lease Cycles'!$AX$26,'Lease Cycles'!$C$26*'Lease Cycles'!$AY$26/12,IF(U$6&gt;='Lease Cycles'!$AV$26,'Lease Cycles'!$C$26*'Lease Cycles'!$AW$26/12,IF(U$6&gt;='Lease Cycles'!$AT$26,'Lease Cycles'!$C$26*'Lease Cycles'!$AU$26/12,'Lease Cycles'!$C$26*INDEX('Lease Cycles'!$CB$26:$CH$26,1,U316)*(1+INDEX('Lease Cycles'!$CI$26:$CO$26,1,U316))^INT(INT(U317/12)/INDEX('Lease Cycles'!$CP$26:$CV$26,1,U316))/12)))),'Lease Cycles'!$C$26*INDEX('Lease Cycles'!$CB$26:$CH$26,1,U316)*(1+INDEX('Lease Cycles'!$CI$26:$CO$26,1,U316))^INT(INT(U317/12)/INDEX('Lease Cycles'!$CP$26:$CV$26,1,U316))/12),IF(INDEX('Lease Cycles'!$EF$26:$EL$26,1,U316)=1,IF(AND('Lease Cycles'!$AZ$26&gt;=INDEX('Lease Cycles'!$BG$26:$BM$26,1,U316),'Lease Cycles'!$AZ$26&lt;=U$6),'Lease Cycles'!$C$26*'Lease Cycles'!$BA$26/12,IF(AND('Lease Cycles'!$AX$26&gt;=INDEX('Lease Cycles'!$BG$26:$BM$26,1,U316),'Lease Cycles'!$AX$26&lt;=U$6),'Lease Cycles'!$C$26*'Lease Cycles'!$AY$26/12,IF(AND('Lease Cycles'!$AV$26&gt;=INDEX('Lease Cycles'!$BG$26:$BM$26,1,U316),'Lease Cycles'!$AV$26&lt;=U$6),'Lease Cycles'!$C$26*'Lease Cycles'!$AW$26/12,IF(AND('Lease Cycles'!$AT$26&gt;=INDEX('Lease Cycles'!$BG$26:$BM$26,1,U316),'Lease Cycles'!$AT$26&lt;=U$6),'Lease Cycles'!$C$26*'Lease Cycles'!$AU$26/12,'Lease Cycles'!$C$26*INDEX('Lease Cycles'!$CB$26:$CH$26,1,U316)*(1+INDEX('Lease Cycles'!$CI$26:$CO$26,1,U316))^INT(INT(U317/12)/INDEX('Lease Cycles'!$CP$26:$CV$26,1,U316))/12)))),'Lease Cycles'!$C$26*INDEX('Lease Cycles'!$CB$26:$CH$26,1,U316)*(1+INDEX('Lease Cycles'!$CI$26:$CO$26,1,U316))^INT(INT(U317/12)/INDEX('Lease Cycles'!$CP$26:$CV$26,1,U316))/12))),IF('Lease Cycles'!$N$26=1,'Lease Cycles'!$C$26*'Lease Cycles'!$E$26*INDEX('Lease Cycles'!$HE$26:$HK$26,1,U316)*(1+INDEX('Lease Cycles'!$GQ$26:$GW$26,1,U316))^INT(INT((U$6-INDEX('Lease Cycles'!$GJ$26:$GP$26,1,U316))/12)/INDEX('Lease Cycles'!$GX$26:$HD$26,1,U316))/12,0)))</f>
        <v>0</v>
      </c>
      <c r="V319" s="28">
        <f>IF(V316=0,IF('Lease Cycles'!$F$26&gt;0,'Lease Cycles'!$C$26*'Lease Cycles'!$E$26/12,0),IF(V318=1,IF('Lease Cycles'!$AT$26&gt;=9999,'Lease Cycles'!$C$26*INDEX('Lease Cycles'!$CB$26:$CH$26,1,V316)*(1+INDEX('Lease Cycles'!$CI$26:$CO$26,1,V316))^INT(INT(V317/12)/INDEX('Lease Cycles'!$CP$26:$CV$26,1,V316))/12,IF(V316=1,IF(V317&gt;=INDEX('Lease Cycles'!$DK$26:$DQ$26,1,V316),IF(V$6&gt;='Lease Cycles'!$AZ$26,'Lease Cycles'!$C$26*'Lease Cycles'!$BA$26/12,IF(V$6&gt;='Lease Cycles'!$AX$26,'Lease Cycles'!$C$26*'Lease Cycles'!$AY$26/12,IF(V$6&gt;='Lease Cycles'!$AV$26,'Lease Cycles'!$C$26*'Lease Cycles'!$AW$26/12,IF(V$6&gt;='Lease Cycles'!$AT$26,'Lease Cycles'!$C$26*'Lease Cycles'!$AU$26/12,'Lease Cycles'!$C$26*INDEX('Lease Cycles'!$CB$26:$CH$26,1,V316)*(1+INDEX('Lease Cycles'!$CI$26:$CO$26,1,V316))^INT(INT(V317/12)/INDEX('Lease Cycles'!$CP$26:$CV$26,1,V316))/12)))),'Lease Cycles'!$C$26*INDEX('Lease Cycles'!$CB$26:$CH$26,1,V316)*(1+INDEX('Lease Cycles'!$CI$26:$CO$26,1,V316))^INT(INT(V317/12)/INDEX('Lease Cycles'!$CP$26:$CV$26,1,V316))/12),IF(INDEX('Lease Cycles'!$EF$26:$EL$26,1,V316)=1,IF(AND('Lease Cycles'!$AZ$26&gt;=INDEX('Lease Cycles'!$BG$26:$BM$26,1,V316),'Lease Cycles'!$AZ$26&lt;=V$6),'Lease Cycles'!$C$26*'Lease Cycles'!$BA$26/12,IF(AND('Lease Cycles'!$AX$26&gt;=INDEX('Lease Cycles'!$BG$26:$BM$26,1,V316),'Lease Cycles'!$AX$26&lt;=V$6),'Lease Cycles'!$C$26*'Lease Cycles'!$AY$26/12,IF(AND('Lease Cycles'!$AV$26&gt;=INDEX('Lease Cycles'!$BG$26:$BM$26,1,V316),'Lease Cycles'!$AV$26&lt;=V$6),'Lease Cycles'!$C$26*'Lease Cycles'!$AW$26/12,IF(AND('Lease Cycles'!$AT$26&gt;=INDEX('Lease Cycles'!$BG$26:$BM$26,1,V316),'Lease Cycles'!$AT$26&lt;=V$6),'Lease Cycles'!$C$26*'Lease Cycles'!$AU$26/12,'Lease Cycles'!$C$26*INDEX('Lease Cycles'!$CB$26:$CH$26,1,V316)*(1+INDEX('Lease Cycles'!$CI$26:$CO$26,1,V316))^INT(INT(V317/12)/INDEX('Lease Cycles'!$CP$26:$CV$26,1,V316))/12)))),'Lease Cycles'!$C$26*INDEX('Lease Cycles'!$CB$26:$CH$26,1,V316)*(1+INDEX('Lease Cycles'!$CI$26:$CO$26,1,V316))^INT(INT(V317/12)/INDEX('Lease Cycles'!$CP$26:$CV$26,1,V316))/12))),IF('Lease Cycles'!$N$26=1,'Lease Cycles'!$C$26*'Lease Cycles'!$E$26*INDEX('Lease Cycles'!$HE$26:$HK$26,1,V316)*(1+INDEX('Lease Cycles'!$GQ$26:$GW$26,1,V316))^INT(INT((V$6-INDEX('Lease Cycles'!$GJ$26:$GP$26,1,V316))/12)/INDEX('Lease Cycles'!$GX$26:$HD$26,1,V316))/12,0)))</f>
        <v>0</v>
      </c>
      <c r="W319" s="28">
        <f>IF(W316=0,IF('Lease Cycles'!$F$26&gt;0,'Lease Cycles'!$C$26*'Lease Cycles'!$E$26/12,0),IF(W318=1,IF('Lease Cycles'!$AT$26&gt;=9999,'Lease Cycles'!$C$26*INDEX('Lease Cycles'!$CB$26:$CH$26,1,W316)*(1+INDEX('Lease Cycles'!$CI$26:$CO$26,1,W316))^INT(INT(W317/12)/INDEX('Lease Cycles'!$CP$26:$CV$26,1,W316))/12,IF(W316=1,IF(W317&gt;=INDEX('Lease Cycles'!$DK$26:$DQ$26,1,W316),IF(W$6&gt;='Lease Cycles'!$AZ$26,'Lease Cycles'!$C$26*'Lease Cycles'!$BA$26/12,IF(W$6&gt;='Lease Cycles'!$AX$26,'Lease Cycles'!$C$26*'Lease Cycles'!$AY$26/12,IF(W$6&gt;='Lease Cycles'!$AV$26,'Lease Cycles'!$C$26*'Lease Cycles'!$AW$26/12,IF(W$6&gt;='Lease Cycles'!$AT$26,'Lease Cycles'!$C$26*'Lease Cycles'!$AU$26/12,'Lease Cycles'!$C$26*INDEX('Lease Cycles'!$CB$26:$CH$26,1,W316)*(1+INDEX('Lease Cycles'!$CI$26:$CO$26,1,W316))^INT(INT(W317/12)/INDEX('Lease Cycles'!$CP$26:$CV$26,1,W316))/12)))),'Lease Cycles'!$C$26*INDEX('Lease Cycles'!$CB$26:$CH$26,1,W316)*(1+INDEX('Lease Cycles'!$CI$26:$CO$26,1,W316))^INT(INT(W317/12)/INDEX('Lease Cycles'!$CP$26:$CV$26,1,W316))/12),IF(INDEX('Lease Cycles'!$EF$26:$EL$26,1,W316)=1,IF(AND('Lease Cycles'!$AZ$26&gt;=INDEX('Lease Cycles'!$BG$26:$BM$26,1,W316),'Lease Cycles'!$AZ$26&lt;=W$6),'Lease Cycles'!$C$26*'Lease Cycles'!$BA$26/12,IF(AND('Lease Cycles'!$AX$26&gt;=INDEX('Lease Cycles'!$BG$26:$BM$26,1,W316),'Lease Cycles'!$AX$26&lt;=W$6),'Lease Cycles'!$C$26*'Lease Cycles'!$AY$26/12,IF(AND('Lease Cycles'!$AV$26&gt;=INDEX('Lease Cycles'!$BG$26:$BM$26,1,W316),'Lease Cycles'!$AV$26&lt;=W$6),'Lease Cycles'!$C$26*'Lease Cycles'!$AW$26/12,IF(AND('Lease Cycles'!$AT$26&gt;=INDEX('Lease Cycles'!$BG$26:$BM$26,1,W316),'Lease Cycles'!$AT$26&lt;=W$6),'Lease Cycles'!$C$26*'Lease Cycles'!$AU$26/12,'Lease Cycles'!$C$26*INDEX('Lease Cycles'!$CB$26:$CH$26,1,W316)*(1+INDEX('Lease Cycles'!$CI$26:$CO$26,1,W316))^INT(INT(W317/12)/INDEX('Lease Cycles'!$CP$26:$CV$26,1,W316))/12)))),'Lease Cycles'!$C$26*INDEX('Lease Cycles'!$CB$26:$CH$26,1,W316)*(1+INDEX('Lease Cycles'!$CI$26:$CO$26,1,W316))^INT(INT(W317/12)/INDEX('Lease Cycles'!$CP$26:$CV$26,1,W316))/12))),IF('Lease Cycles'!$N$26=1,'Lease Cycles'!$C$26*'Lease Cycles'!$E$26*INDEX('Lease Cycles'!$HE$26:$HK$26,1,W316)*(1+INDEX('Lease Cycles'!$GQ$26:$GW$26,1,W316))^INT(INT((W$6-INDEX('Lease Cycles'!$GJ$26:$GP$26,1,W316))/12)/INDEX('Lease Cycles'!$GX$26:$HD$26,1,W316))/12,0)))</f>
        <v>0</v>
      </c>
      <c r="X319" s="28">
        <f>IF(X316=0,IF('Lease Cycles'!$F$26&gt;0,'Lease Cycles'!$C$26*'Lease Cycles'!$E$26/12,0),IF(X318=1,IF('Lease Cycles'!$AT$26&gt;=9999,'Lease Cycles'!$C$26*INDEX('Lease Cycles'!$CB$26:$CH$26,1,X316)*(1+INDEX('Lease Cycles'!$CI$26:$CO$26,1,X316))^INT(INT(X317/12)/INDEX('Lease Cycles'!$CP$26:$CV$26,1,X316))/12,IF(X316=1,IF(X317&gt;=INDEX('Lease Cycles'!$DK$26:$DQ$26,1,X316),IF(X$6&gt;='Lease Cycles'!$AZ$26,'Lease Cycles'!$C$26*'Lease Cycles'!$BA$26/12,IF(X$6&gt;='Lease Cycles'!$AX$26,'Lease Cycles'!$C$26*'Lease Cycles'!$AY$26/12,IF(X$6&gt;='Lease Cycles'!$AV$26,'Lease Cycles'!$C$26*'Lease Cycles'!$AW$26/12,IF(X$6&gt;='Lease Cycles'!$AT$26,'Lease Cycles'!$C$26*'Lease Cycles'!$AU$26/12,'Lease Cycles'!$C$26*INDEX('Lease Cycles'!$CB$26:$CH$26,1,X316)*(1+INDEX('Lease Cycles'!$CI$26:$CO$26,1,X316))^INT(INT(X317/12)/INDEX('Lease Cycles'!$CP$26:$CV$26,1,X316))/12)))),'Lease Cycles'!$C$26*INDEX('Lease Cycles'!$CB$26:$CH$26,1,X316)*(1+INDEX('Lease Cycles'!$CI$26:$CO$26,1,X316))^INT(INT(X317/12)/INDEX('Lease Cycles'!$CP$26:$CV$26,1,X316))/12),IF(INDEX('Lease Cycles'!$EF$26:$EL$26,1,X316)=1,IF(AND('Lease Cycles'!$AZ$26&gt;=INDEX('Lease Cycles'!$BG$26:$BM$26,1,X316),'Lease Cycles'!$AZ$26&lt;=X$6),'Lease Cycles'!$C$26*'Lease Cycles'!$BA$26/12,IF(AND('Lease Cycles'!$AX$26&gt;=INDEX('Lease Cycles'!$BG$26:$BM$26,1,X316),'Lease Cycles'!$AX$26&lt;=X$6),'Lease Cycles'!$C$26*'Lease Cycles'!$AY$26/12,IF(AND('Lease Cycles'!$AV$26&gt;=INDEX('Lease Cycles'!$BG$26:$BM$26,1,X316),'Lease Cycles'!$AV$26&lt;=X$6),'Lease Cycles'!$C$26*'Lease Cycles'!$AW$26/12,IF(AND('Lease Cycles'!$AT$26&gt;=INDEX('Lease Cycles'!$BG$26:$BM$26,1,X316),'Lease Cycles'!$AT$26&lt;=X$6),'Lease Cycles'!$C$26*'Lease Cycles'!$AU$26/12,'Lease Cycles'!$C$26*INDEX('Lease Cycles'!$CB$26:$CH$26,1,X316)*(1+INDEX('Lease Cycles'!$CI$26:$CO$26,1,X316))^INT(INT(X317/12)/INDEX('Lease Cycles'!$CP$26:$CV$26,1,X316))/12)))),'Lease Cycles'!$C$26*INDEX('Lease Cycles'!$CB$26:$CH$26,1,X316)*(1+INDEX('Lease Cycles'!$CI$26:$CO$26,1,X316))^INT(INT(X317/12)/INDEX('Lease Cycles'!$CP$26:$CV$26,1,X316))/12))),IF('Lease Cycles'!$N$26=1,'Lease Cycles'!$C$26*'Lease Cycles'!$E$26*INDEX('Lease Cycles'!$HE$26:$HK$26,1,X316)*(1+INDEX('Lease Cycles'!$GQ$26:$GW$26,1,X316))^INT(INT((X$6-INDEX('Lease Cycles'!$GJ$26:$GP$26,1,X316))/12)/INDEX('Lease Cycles'!$GX$26:$HD$26,1,X316))/12,0)))</f>
        <v>0</v>
      </c>
      <c r="Y319" s="28">
        <f>IF(Y316=0,IF('Lease Cycles'!$F$26&gt;0,'Lease Cycles'!$C$26*'Lease Cycles'!$E$26/12,0),IF(Y318=1,IF('Lease Cycles'!$AT$26&gt;=9999,'Lease Cycles'!$C$26*INDEX('Lease Cycles'!$CB$26:$CH$26,1,Y316)*(1+INDEX('Lease Cycles'!$CI$26:$CO$26,1,Y316))^INT(INT(Y317/12)/INDEX('Lease Cycles'!$CP$26:$CV$26,1,Y316))/12,IF(Y316=1,IF(Y317&gt;=INDEX('Lease Cycles'!$DK$26:$DQ$26,1,Y316),IF(Y$6&gt;='Lease Cycles'!$AZ$26,'Lease Cycles'!$C$26*'Lease Cycles'!$BA$26/12,IF(Y$6&gt;='Lease Cycles'!$AX$26,'Lease Cycles'!$C$26*'Lease Cycles'!$AY$26/12,IF(Y$6&gt;='Lease Cycles'!$AV$26,'Lease Cycles'!$C$26*'Lease Cycles'!$AW$26/12,IF(Y$6&gt;='Lease Cycles'!$AT$26,'Lease Cycles'!$C$26*'Lease Cycles'!$AU$26/12,'Lease Cycles'!$C$26*INDEX('Lease Cycles'!$CB$26:$CH$26,1,Y316)*(1+INDEX('Lease Cycles'!$CI$26:$CO$26,1,Y316))^INT(INT(Y317/12)/INDEX('Lease Cycles'!$CP$26:$CV$26,1,Y316))/12)))),'Lease Cycles'!$C$26*INDEX('Lease Cycles'!$CB$26:$CH$26,1,Y316)*(1+INDEX('Lease Cycles'!$CI$26:$CO$26,1,Y316))^INT(INT(Y317/12)/INDEX('Lease Cycles'!$CP$26:$CV$26,1,Y316))/12),IF(INDEX('Lease Cycles'!$EF$26:$EL$26,1,Y316)=1,IF(AND('Lease Cycles'!$AZ$26&gt;=INDEX('Lease Cycles'!$BG$26:$BM$26,1,Y316),'Lease Cycles'!$AZ$26&lt;=Y$6),'Lease Cycles'!$C$26*'Lease Cycles'!$BA$26/12,IF(AND('Lease Cycles'!$AX$26&gt;=INDEX('Lease Cycles'!$BG$26:$BM$26,1,Y316),'Lease Cycles'!$AX$26&lt;=Y$6),'Lease Cycles'!$C$26*'Lease Cycles'!$AY$26/12,IF(AND('Lease Cycles'!$AV$26&gt;=INDEX('Lease Cycles'!$BG$26:$BM$26,1,Y316),'Lease Cycles'!$AV$26&lt;=Y$6),'Lease Cycles'!$C$26*'Lease Cycles'!$AW$26/12,IF(AND('Lease Cycles'!$AT$26&gt;=INDEX('Lease Cycles'!$BG$26:$BM$26,1,Y316),'Lease Cycles'!$AT$26&lt;=Y$6),'Lease Cycles'!$C$26*'Lease Cycles'!$AU$26/12,'Lease Cycles'!$C$26*INDEX('Lease Cycles'!$CB$26:$CH$26,1,Y316)*(1+INDEX('Lease Cycles'!$CI$26:$CO$26,1,Y316))^INT(INT(Y317/12)/INDEX('Lease Cycles'!$CP$26:$CV$26,1,Y316))/12)))),'Lease Cycles'!$C$26*INDEX('Lease Cycles'!$CB$26:$CH$26,1,Y316)*(1+INDEX('Lease Cycles'!$CI$26:$CO$26,1,Y316))^INT(INT(Y317/12)/INDEX('Lease Cycles'!$CP$26:$CV$26,1,Y316))/12))),IF('Lease Cycles'!$N$26=1,'Lease Cycles'!$C$26*'Lease Cycles'!$E$26*INDEX('Lease Cycles'!$HE$26:$HK$26,1,Y316)*(1+INDEX('Lease Cycles'!$GQ$26:$GW$26,1,Y316))^INT(INT((Y$6-INDEX('Lease Cycles'!$GJ$26:$GP$26,1,Y316))/12)/INDEX('Lease Cycles'!$GX$26:$HD$26,1,Y316))/12,0)))</f>
        <v>0</v>
      </c>
      <c r="Z319" s="28">
        <f>IF(Z316=0,IF('Lease Cycles'!$F$26&gt;0,'Lease Cycles'!$C$26*'Lease Cycles'!$E$26/12,0),IF(Z318=1,IF('Lease Cycles'!$AT$26&gt;=9999,'Lease Cycles'!$C$26*INDEX('Lease Cycles'!$CB$26:$CH$26,1,Z316)*(1+INDEX('Lease Cycles'!$CI$26:$CO$26,1,Z316))^INT(INT(Z317/12)/INDEX('Lease Cycles'!$CP$26:$CV$26,1,Z316))/12,IF(Z316=1,IF(Z317&gt;=INDEX('Lease Cycles'!$DK$26:$DQ$26,1,Z316),IF(Z$6&gt;='Lease Cycles'!$AZ$26,'Lease Cycles'!$C$26*'Lease Cycles'!$BA$26/12,IF(Z$6&gt;='Lease Cycles'!$AX$26,'Lease Cycles'!$C$26*'Lease Cycles'!$AY$26/12,IF(Z$6&gt;='Lease Cycles'!$AV$26,'Lease Cycles'!$C$26*'Lease Cycles'!$AW$26/12,IF(Z$6&gt;='Lease Cycles'!$AT$26,'Lease Cycles'!$C$26*'Lease Cycles'!$AU$26/12,'Lease Cycles'!$C$26*INDEX('Lease Cycles'!$CB$26:$CH$26,1,Z316)*(1+INDEX('Lease Cycles'!$CI$26:$CO$26,1,Z316))^INT(INT(Z317/12)/INDEX('Lease Cycles'!$CP$26:$CV$26,1,Z316))/12)))),'Lease Cycles'!$C$26*INDEX('Lease Cycles'!$CB$26:$CH$26,1,Z316)*(1+INDEX('Lease Cycles'!$CI$26:$CO$26,1,Z316))^INT(INT(Z317/12)/INDEX('Lease Cycles'!$CP$26:$CV$26,1,Z316))/12),IF(INDEX('Lease Cycles'!$EF$26:$EL$26,1,Z316)=1,IF(AND('Lease Cycles'!$AZ$26&gt;=INDEX('Lease Cycles'!$BG$26:$BM$26,1,Z316),'Lease Cycles'!$AZ$26&lt;=Z$6),'Lease Cycles'!$C$26*'Lease Cycles'!$BA$26/12,IF(AND('Lease Cycles'!$AX$26&gt;=INDEX('Lease Cycles'!$BG$26:$BM$26,1,Z316),'Lease Cycles'!$AX$26&lt;=Z$6),'Lease Cycles'!$C$26*'Lease Cycles'!$AY$26/12,IF(AND('Lease Cycles'!$AV$26&gt;=INDEX('Lease Cycles'!$BG$26:$BM$26,1,Z316),'Lease Cycles'!$AV$26&lt;=Z$6),'Lease Cycles'!$C$26*'Lease Cycles'!$AW$26/12,IF(AND('Lease Cycles'!$AT$26&gt;=INDEX('Lease Cycles'!$BG$26:$BM$26,1,Z316),'Lease Cycles'!$AT$26&lt;=Z$6),'Lease Cycles'!$C$26*'Lease Cycles'!$AU$26/12,'Lease Cycles'!$C$26*INDEX('Lease Cycles'!$CB$26:$CH$26,1,Z316)*(1+INDEX('Lease Cycles'!$CI$26:$CO$26,1,Z316))^INT(INT(Z317/12)/INDEX('Lease Cycles'!$CP$26:$CV$26,1,Z316))/12)))),'Lease Cycles'!$C$26*INDEX('Lease Cycles'!$CB$26:$CH$26,1,Z316)*(1+INDEX('Lease Cycles'!$CI$26:$CO$26,1,Z316))^INT(INT(Z317/12)/INDEX('Lease Cycles'!$CP$26:$CV$26,1,Z316))/12))),IF('Lease Cycles'!$N$26=1,'Lease Cycles'!$C$26*'Lease Cycles'!$E$26*INDEX('Lease Cycles'!$HE$26:$HK$26,1,Z316)*(1+INDEX('Lease Cycles'!$GQ$26:$GW$26,1,Z316))^INT(INT((Z$6-INDEX('Lease Cycles'!$GJ$26:$GP$26,1,Z316))/12)/INDEX('Lease Cycles'!$GX$26:$HD$26,1,Z316))/12,0)))</f>
        <v>0</v>
      </c>
      <c r="AA319" s="28">
        <f>IF(AA316=0,IF('Lease Cycles'!$F$26&gt;0,'Lease Cycles'!$C$26*'Lease Cycles'!$E$26/12,0),IF(AA318=1,IF('Lease Cycles'!$AT$26&gt;=9999,'Lease Cycles'!$C$26*INDEX('Lease Cycles'!$CB$26:$CH$26,1,AA316)*(1+INDEX('Lease Cycles'!$CI$26:$CO$26,1,AA316))^INT(INT(AA317/12)/INDEX('Lease Cycles'!$CP$26:$CV$26,1,AA316))/12,IF(AA316=1,IF(AA317&gt;=INDEX('Lease Cycles'!$DK$26:$DQ$26,1,AA316),IF(AA$6&gt;='Lease Cycles'!$AZ$26,'Lease Cycles'!$C$26*'Lease Cycles'!$BA$26/12,IF(AA$6&gt;='Lease Cycles'!$AX$26,'Lease Cycles'!$C$26*'Lease Cycles'!$AY$26/12,IF(AA$6&gt;='Lease Cycles'!$AV$26,'Lease Cycles'!$C$26*'Lease Cycles'!$AW$26/12,IF(AA$6&gt;='Lease Cycles'!$AT$26,'Lease Cycles'!$C$26*'Lease Cycles'!$AU$26/12,'Lease Cycles'!$C$26*INDEX('Lease Cycles'!$CB$26:$CH$26,1,AA316)*(1+INDEX('Lease Cycles'!$CI$26:$CO$26,1,AA316))^INT(INT(AA317/12)/INDEX('Lease Cycles'!$CP$26:$CV$26,1,AA316))/12)))),'Lease Cycles'!$C$26*INDEX('Lease Cycles'!$CB$26:$CH$26,1,AA316)*(1+INDEX('Lease Cycles'!$CI$26:$CO$26,1,AA316))^INT(INT(AA317/12)/INDEX('Lease Cycles'!$CP$26:$CV$26,1,AA316))/12),IF(INDEX('Lease Cycles'!$EF$26:$EL$26,1,AA316)=1,IF(AND('Lease Cycles'!$AZ$26&gt;=INDEX('Lease Cycles'!$BG$26:$BM$26,1,AA316),'Lease Cycles'!$AZ$26&lt;=AA$6),'Lease Cycles'!$C$26*'Lease Cycles'!$BA$26/12,IF(AND('Lease Cycles'!$AX$26&gt;=INDEX('Lease Cycles'!$BG$26:$BM$26,1,AA316),'Lease Cycles'!$AX$26&lt;=AA$6),'Lease Cycles'!$C$26*'Lease Cycles'!$AY$26/12,IF(AND('Lease Cycles'!$AV$26&gt;=INDEX('Lease Cycles'!$BG$26:$BM$26,1,AA316),'Lease Cycles'!$AV$26&lt;=AA$6),'Lease Cycles'!$C$26*'Lease Cycles'!$AW$26/12,IF(AND('Lease Cycles'!$AT$26&gt;=INDEX('Lease Cycles'!$BG$26:$BM$26,1,AA316),'Lease Cycles'!$AT$26&lt;=AA$6),'Lease Cycles'!$C$26*'Lease Cycles'!$AU$26/12,'Lease Cycles'!$C$26*INDEX('Lease Cycles'!$CB$26:$CH$26,1,AA316)*(1+INDEX('Lease Cycles'!$CI$26:$CO$26,1,AA316))^INT(INT(AA317/12)/INDEX('Lease Cycles'!$CP$26:$CV$26,1,AA316))/12)))),'Lease Cycles'!$C$26*INDEX('Lease Cycles'!$CB$26:$CH$26,1,AA316)*(1+INDEX('Lease Cycles'!$CI$26:$CO$26,1,AA316))^INT(INT(AA317/12)/INDEX('Lease Cycles'!$CP$26:$CV$26,1,AA316))/12))),IF('Lease Cycles'!$N$26=1,'Lease Cycles'!$C$26*'Lease Cycles'!$E$26*INDEX('Lease Cycles'!$HE$26:$HK$26,1,AA316)*(1+INDEX('Lease Cycles'!$GQ$26:$GW$26,1,AA316))^INT(INT((AA$6-INDEX('Lease Cycles'!$GJ$26:$GP$26,1,AA316))/12)/INDEX('Lease Cycles'!$GX$26:$HD$26,1,AA316))/12,0)))</f>
        <v>0</v>
      </c>
      <c r="AB319" s="28">
        <f>IF(AB316=0,IF('Lease Cycles'!$F$26&gt;0,'Lease Cycles'!$C$26*'Lease Cycles'!$E$26/12,0),IF(AB318=1,IF('Lease Cycles'!$AT$26&gt;=9999,'Lease Cycles'!$C$26*INDEX('Lease Cycles'!$CB$26:$CH$26,1,AB316)*(1+INDEX('Lease Cycles'!$CI$26:$CO$26,1,AB316))^INT(INT(AB317/12)/INDEX('Lease Cycles'!$CP$26:$CV$26,1,AB316))/12,IF(AB316=1,IF(AB317&gt;=INDEX('Lease Cycles'!$DK$26:$DQ$26,1,AB316),IF(AB$6&gt;='Lease Cycles'!$AZ$26,'Lease Cycles'!$C$26*'Lease Cycles'!$BA$26/12,IF(AB$6&gt;='Lease Cycles'!$AX$26,'Lease Cycles'!$C$26*'Lease Cycles'!$AY$26/12,IF(AB$6&gt;='Lease Cycles'!$AV$26,'Lease Cycles'!$C$26*'Lease Cycles'!$AW$26/12,IF(AB$6&gt;='Lease Cycles'!$AT$26,'Lease Cycles'!$C$26*'Lease Cycles'!$AU$26/12,'Lease Cycles'!$C$26*INDEX('Lease Cycles'!$CB$26:$CH$26,1,AB316)*(1+INDEX('Lease Cycles'!$CI$26:$CO$26,1,AB316))^INT(INT(AB317/12)/INDEX('Lease Cycles'!$CP$26:$CV$26,1,AB316))/12)))),'Lease Cycles'!$C$26*INDEX('Lease Cycles'!$CB$26:$CH$26,1,AB316)*(1+INDEX('Lease Cycles'!$CI$26:$CO$26,1,AB316))^INT(INT(AB317/12)/INDEX('Lease Cycles'!$CP$26:$CV$26,1,AB316))/12),IF(INDEX('Lease Cycles'!$EF$26:$EL$26,1,AB316)=1,IF(AND('Lease Cycles'!$AZ$26&gt;=INDEX('Lease Cycles'!$BG$26:$BM$26,1,AB316),'Lease Cycles'!$AZ$26&lt;=AB$6),'Lease Cycles'!$C$26*'Lease Cycles'!$BA$26/12,IF(AND('Lease Cycles'!$AX$26&gt;=INDEX('Lease Cycles'!$BG$26:$BM$26,1,AB316),'Lease Cycles'!$AX$26&lt;=AB$6),'Lease Cycles'!$C$26*'Lease Cycles'!$AY$26/12,IF(AND('Lease Cycles'!$AV$26&gt;=INDEX('Lease Cycles'!$BG$26:$BM$26,1,AB316),'Lease Cycles'!$AV$26&lt;=AB$6),'Lease Cycles'!$C$26*'Lease Cycles'!$AW$26/12,IF(AND('Lease Cycles'!$AT$26&gt;=INDEX('Lease Cycles'!$BG$26:$BM$26,1,AB316),'Lease Cycles'!$AT$26&lt;=AB$6),'Lease Cycles'!$C$26*'Lease Cycles'!$AU$26/12,'Lease Cycles'!$C$26*INDEX('Lease Cycles'!$CB$26:$CH$26,1,AB316)*(1+INDEX('Lease Cycles'!$CI$26:$CO$26,1,AB316))^INT(INT(AB317/12)/INDEX('Lease Cycles'!$CP$26:$CV$26,1,AB316))/12)))),'Lease Cycles'!$C$26*INDEX('Lease Cycles'!$CB$26:$CH$26,1,AB316)*(1+INDEX('Lease Cycles'!$CI$26:$CO$26,1,AB316))^INT(INT(AB317/12)/INDEX('Lease Cycles'!$CP$26:$CV$26,1,AB316))/12))),IF('Lease Cycles'!$N$26=1,'Lease Cycles'!$C$26*'Lease Cycles'!$E$26*INDEX('Lease Cycles'!$HE$26:$HK$26,1,AB316)*(1+INDEX('Lease Cycles'!$GQ$26:$GW$26,1,AB316))^INT(INT((AB$6-INDEX('Lease Cycles'!$GJ$26:$GP$26,1,AB316))/12)/INDEX('Lease Cycles'!$GX$26:$HD$26,1,AB316))/12,0)))</f>
        <v>0</v>
      </c>
      <c r="AC319" s="28">
        <f>IF(AC316=0,IF('Lease Cycles'!$F$26&gt;0,'Lease Cycles'!$C$26*'Lease Cycles'!$E$26/12,0),IF(AC318=1,IF('Lease Cycles'!$AT$26&gt;=9999,'Lease Cycles'!$C$26*INDEX('Lease Cycles'!$CB$26:$CH$26,1,AC316)*(1+INDEX('Lease Cycles'!$CI$26:$CO$26,1,AC316))^INT(INT(AC317/12)/INDEX('Lease Cycles'!$CP$26:$CV$26,1,AC316))/12,IF(AC316=1,IF(AC317&gt;=INDEX('Lease Cycles'!$DK$26:$DQ$26,1,AC316),IF(AC$6&gt;='Lease Cycles'!$AZ$26,'Lease Cycles'!$C$26*'Lease Cycles'!$BA$26/12,IF(AC$6&gt;='Lease Cycles'!$AX$26,'Lease Cycles'!$C$26*'Lease Cycles'!$AY$26/12,IF(AC$6&gt;='Lease Cycles'!$AV$26,'Lease Cycles'!$C$26*'Lease Cycles'!$AW$26/12,IF(AC$6&gt;='Lease Cycles'!$AT$26,'Lease Cycles'!$C$26*'Lease Cycles'!$AU$26/12,'Lease Cycles'!$C$26*INDEX('Lease Cycles'!$CB$26:$CH$26,1,AC316)*(1+INDEX('Lease Cycles'!$CI$26:$CO$26,1,AC316))^INT(INT(AC317/12)/INDEX('Lease Cycles'!$CP$26:$CV$26,1,AC316))/12)))),'Lease Cycles'!$C$26*INDEX('Lease Cycles'!$CB$26:$CH$26,1,AC316)*(1+INDEX('Lease Cycles'!$CI$26:$CO$26,1,AC316))^INT(INT(AC317/12)/INDEX('Lease Cycles'!$CP$26:$CV$26,1,AC316))/12),IF(INDEX('Lease Cycles'!$EF$26:$EL$26,1,AC316)=1,IF(AND('Lease Cycles'!$AZ$26&gt;=INDEX('Lease Cycles'!$BG$26:$BM$26,1,AC316),'Lease Cycles'!$AZ$26&lt;=AC$6),'Lease Cycles'!$C$26*'Lease Cycles'!$BA$26/12,IF(AND('Lease Cycles'!$AX$26&gt;=INDEX('Lease Cycles'!$BG$26:$BM$26,1,AC316),'Lease Cycles'!$AX$26&lt;=AC$6),'Lease Cycles'!$C$26*'Lease Cycles'!$AY$26/12,IF(AND('Lease Cycles'!$AV$26&gt;=INDEX('Lease Cycles'!$BG$26:$BM$26,1,AC316),'Lease Cycles'!$AV$26&lt;=AC$6),'Lease Cycles'!$C$26*'Lease Cycles'!$AW$26/12,IF(AND('Lease Cycles'!$AT$26&gt;=INDEX('Lease Cycles'!$BG$26:$BM$26,1,AC316),'Lease Cycles'!$AT$26&lt;=AC$6),'Lease Cycles'!$C$26*'Lease Cycles'!$AU$26/12,'Lease Cycles'!$C$26*INDEX('Lease Cycles'!$CB$26:$CH$26,1,AC316)*(1+INDEX('Lease Cycles'!$CI$26:$CO$26,1,AC316))^INT(INT(AC317/12)/INDEX('Lease Cycles'!$CP$26:$CV$26,1,AC316))/12)))),'Lease Cycles'!$C$26*INDEX('Lease Cycles'!$CB$26:$CH$26,1,AC316)*(1+INDEX('Lease Cycles'!$CI$26:$CO$26,1,AC316))^INT(INT(AC317/12)/INDEX('Lease Cycles'!$CP$26:$CV$26,1,AC316))/12))),IF('Lease Cycles'!$N$26=1,'Lease Cycles'!$C$26*'Lease Cycles'!$E$26*INDEX('Lease Cycles'!$HE$26:$HK$26,1,AC316)*(1+INDEX('Lease Cycles'!$GQ$26:$GW$26,1,AC316))^INT(INT((AC$6-INDEX('Lease Cycles'!$GJ$26:$GP$26,1,AC316))/12)/INDEX('Lease Cycles'!$GX$26:$HD$26,1,AC316))/12,0)))</f>
        <v>0</v>
      </c>
      <c r="AD319" s="28">
        <f>IF(AD316=0,IF('Lease Cycles'!$F$26&gt;0,'Lease Cycles'!$C$26*'Lease Cycles'!$E$26/12,0),IF(AD318=1,IF('Lease Cycles'!$AT$26&gt;=9999,'Lease Cycles'!$C$26*INDEX('Lease Cycles'!$CB$26:$CH$26,1,AD316)*(1+INDEX('Lease Cycles'!$CI$26:$CO$26,1,AD316))^INT(INT(AD317/12)/INDEX('Lease Cycles'!$CP$26:$CV$26,1,AD316))/12,IF(AD316=1,IF(AD317&gt;=INDEX('Lease Cycles'!$DK$26:$DQ$26,1,AD316),IF(AD$6&gt;='Lease Cycles'!$AZ$26,'Lease Cycles'!$C$26*'Lease Cycles'!$BA$26/12,IF(AD$6&gt;='Lease Cycles'!$AX$26,'Lease Cycles'!$C$26*'Lease Cycles'!$AY$26/12,IF(AD$6&gt;='Lease Cycles'!$AV$26,'Lease Cycles'!$C$26*'Lease Cycles'!$AW$26/12,IF(AD$6&gt;='Lease Cycles'!$AT$26,'Lease Cycles'!$C$26*'Lease Cycles'!$AU$26/12,'Lease Cycles'!$C$26*INDEX('Lease Cycles'!$CB$26:$CH$26,1,AD316)*(1+INDEX('Lease Cycles'!$CI$26:$CO$26,1,AD316))^INT(INT(AD317/12)/INDEX('Lease Cycles'!$CP$26:$CV$26,1,AD316))/12)))),'Lease Cycles'!$C$26*INDEX('Lease Cycles'!$CB$26:$CH$26,1,AD316)*(1+INDEX('Lease Cycles'!$CI$26:$CO$26,1,AD316))^INT(INT(AD317/12)/INDEX('Lease Cycles'!$CP$26:$CV$26,1,AD316))/12),IF(INDEX('Lease Cycles'!$EF$26:$EL$26,1,AD316)=1,IF(AND('Lease Cycles'!$AZ$26&gt;=INDEX('Lease Cycles'!$BG$26:$BM$26,1,AD316),'Lease Cycles'!$AZ$26&lt;=AD$6),'Lease Cycles'!$C$26*'Lease Cycles'!$BA$26/12,IF(AND('Lease Cycles'!$AX$26&gt;=INDEX('Lease Cycles'!$BG$26:$BM$26,1,AD316),'Lease Cycles'!$AX$26&lt;=AD$6),'Lease Cycles'!$C$26*'Lease Cycles'!$AY$26/12,IF(AND('Lease Cycles'!$AV$26&gt;=INDEX('Lease Cycles'!$BG$26:$BM$26,1,AD316),'Lease Cycles'!$AV$26&lt;=AD$6),'Lease Cycles'!$C$26*'Lease Cycles'!$AW$26/12,IF(AND('Lease Cycles'!$AT$26&gt;=INDEX('Lease Cycles'!$BG$26:$BM$26,1,AD316),'Lease Cycles'!$AT$26&lt;=AD$6),'Lease Cycles'!$C$26*'Lease Cycles'!$AU$26/12,'Lease Cycles'!$C$26*INDEX('Lease Cycles'!$CB$26:$CH$26,1,AD316)*(1+INDEX('Lease Cycles'!$CI$26:$CO$26,1,AD316))^INT(INT(AD317/12)/INDEX('Lease Cycles'!$CP$26:$CV$26,1,AD316))/12)))),'Lease Cycles'!$C$26*INDEX('Lease Cycles'!$CB$26:$CH$26,1,AD316)*(1+INDEX('Lease Cycles'!$CI$26:$CO$26,1,AD316))^INT(INT(AD317/12)/INDEX('Lease Cycles'!$CP$26:$CV$26,1,AD316))/12))),IF('Lease Cycles'!$N$26=1,'Lease Cycles'!$C$26*'Lease Cycles'!$E$26*INDEX('Lease Cycles'!$HE$26:$HK$26,1,AD316)*(1+INDEX('Lease Cycles'!$GQ$26:$GW$26,1,AD316))^INT(INT((AD$6-INDEX('Lease Cycles'!$GJ$26:$GP$26,1,AD316))/12)/INDEX('Lease Cycles'!$GX$26:$HD$26,1,AD316))/12,0)))</f>
        <v>0</v>
      </c>
      <c r="AE319" s="28">
        <f>IF(AE316=0,IF('Lease Cycles'!$F$26&gt;0,'Lease Cycles'!$C$26*'Lease Cycles'!$E$26/12,0),IF(AE318=1,IF('Lease Cycles'!$AT$26&gt;=9999,'Lease Cycles'!$C$26*INDEX('Lease Cycles'!$CB$26:$CH$26,1,AE316)*(1+INDEX('Lease Cycles'!$CI$26:$CO$26,1,AE316))^INT(INT(AE317/12)/INDEX('Lease Cycles'!$CP$26:$CV$26,1,AE316))/12,IF(AE316=1,IF(AE317&gt;=INDEX('Lease Cycles'!$DK$26:$DQ$26,1,AE316),IF(AE$6&gt;='Lease Cycles'!$AZ$26,'Lease Cycles'!$C$26*'Lease Cycles'!$BA$26/12,IF(AE$6&gt;='Lease Cycles'!$AX$26,'Lease Cycles'!$C$26*'Lease Cycles'!$AY$26/12,IF(AE$6&gt;='Lease Cycles'!$AV$26,'Lease Cycles'!$C$26*'Lease Cycles'!$AW$26/12,IF(AE$6&gt;='Lease Cycles'!$AT$26,'Lease Cycles'!$C$26*'Lease Cycles'!$AU$26/12,'Lease Cycles'!$C$26*INDEX('Lease Cycles'!$CB$26:$CH$26,1,AE316)*(1+INDEX('Lease Cycles'!$CI$26:$CO$26,1,AE316))^INT(INT(AE317/12)/INDEX('Lease Cycles'!$CP$26:$CV$26,1,AE316))/12)))),'Lease Cycles'!$C$26*INDEX('Lease Cycles'!$CB$26:$CH$26,1,AE316)*(1+INDEX('Lease Cycles'!$CI$26:$CO$26,1,AE316))^INT(INT(AE317/12)/INDEX('Lease Cycles'!$CP$26:$CV$26,1,AE316))/12),IF(INDEX('Lease Cycles'!$EF$26:$EL$26,1,AE316)=1,IF(AND('Lease Cycles'!$AZ$26&gt;=INDEX('Lease Cycles'!$BG$26:$BM$26,1,AE316),'Lease Cycles'!$AZ$26&lt;=AE$6),'Lease Cycles'!$C$26*'Lease Cycles'!$BA$26/12,IF(AND('Lease Cycles'!$AX$26&gt;=INDEX('Lease Cycles'!$BG$26:$BM$26,1,AE316),'Lease Cycles'!$AX$26&lt;=AE$6),'Lease Cycles'!$C$26*'Lease Cycles'!$AY$26/12,IF(AND('Lease Cycles'!$AV$26&gt;=INDEX('Lease Cycles'!$BG$26:$BM$26,1,AE316),'Lease Cycles'!$AV$26&lt;=AE$6),'Lease Cycles'!$C$26*'Lease Cycles'!$AW$26/12,IF(AND('Lease Cycles'!$AT$26&gt;=INDEX('Lease Cycles'!$BG$26:$BM$26,1,AE316),'Lease Cycles'!$AT$26&lt;=AE$6),'Lease Cycles'!$C$26*'Lease Cycles'!$AU$26/12,'Lease Cycles'!$C$26*INDEX('Lease Cycles'!$CB$26:$CH$26,1,AE316)*(1+INDEX('Lease Cycles'!$CI$26:$CO$26,1,AE316))^INT(INT(AE317/12)/INDEX('Lease Cycles'!$CP$26:$CV$26,1,AE316))/12)))),'Lease Cycles'!$C$26*INDEX('Lease Cycles'!$CB$26:$CH$26,1,AE316)*(1+INDEX('Lease Cycles'!$CI$26:$CO$26,1,AE316))^INT(INT(AE317/12)/INDEX('Lease Cycles'!$CP$26:$CV$26,1,AE316))/12))),IF('Lease Cycles'!$N$26=1,'Lease Cycles'!$C$26*'Lease Cycles'!$E$26*INDEX('Lease Cycles'!$HE$26:$HK$26,1,AE316)*(1+INDEX('Lease Cycles'!$GQ$26:$GW$26,1,AE316))^INT(INT((AE$6-INDEX('Lease Cycles'!$GJ$26:$GP$26,1,AE316))/12)/INDEX('Lease Cycles'!$GX$26:$HD$26,1,AE316))/12,0)))</f>
        <v>0</v>
      </c>
      <c r="AF319" s="28">
        <f>IF(AF316=0,IF('Lease Cycles'!$F$26&gt;0,'Lease Cycles'!$C$26*'Lease Cycles'!$E$26/12,0),IF(AF318=1,IF('Lease Cycles'!$AT$26&gt;=9999,'Lease Cycles'!$C$26*INDEX('Lease Cycles'!$CB$26:$CH$26,1,AF316)*(1+INDEX('Lease Cycles'!$CI$26:$CO$26,1,AF316))^INT(INT(AF317/12)/INDEX('Lease Cycles'!$CP$26:$CV$26,1,AF316))/12,IF(AF316=1,IF(AF317&gt;=INDEX('Lease Cycles'!$DK$26:$DQ$26,1,AF316),IF(AF$6&gt;='Lease Cycles'!$AZ$26,'Lease Cycles'!$C$26*'Lease Cycles'!$BA$26/12,IF(AF$6&gt;='Lease Cycles'!$AX$26,'Lease Cycles'!$C$26*'Lease Cycles'!$AY$26/12,IF(AF$6&gt;='Lease Cycles'!$AV$26,'Lease Cycles'!$C$26*'Lease Cycles'!$AW$26/12,IF(AF$6&gt;='Lease Cycles'!$AT$26,'Lease Cycles'!$C$26*'Lease Cycles'!$AU$26/12,'Lease Cycles'!$C$26*INDEX('Lease Cycles'!$CB$26:$CH$26,1,AF316)*(1+INDEX('Lease Cycles'!$CI$26:$CO$26,1,AF316))^INT(INT(AF317/12)/INDEX('Lease Cycles'!$CP$26:$CV$26,1,AF316))/12)))),'Lease Cycles'!$C$26*INDEX('Lease Cycles'!$CB$26:$CH$26,1,AF316)*(1+INDEX('Lease Cycles'!$CI$26:$CO$26,1,AF316))^INT(INT(AF317/12)/INDEX('Lease Cycles'!$CP$26:$CV$26,1,AF316))/12),IF(INDEX('Lease Cycles'!$EF$26:$EL$26,1,AF316)=1,IF(AND('Lease Cycles'!$AZ$26&gt;=INDEX('Lease Cycles'!$BG$26:$BM$26,1,AF316),'Lease Cycles'!$AZ$26&lt;=AF$6),'Lease Cycles'!$C$26*'Lease Cycles'!$BA$26/12,IF(AND('Lease Cycles'!$AX$26&gt;=INDEX('Lease Cycles'!$BG$26:$BM$26,1,AF316),'Lease Cycles'!$AX$26&lt;=AF$6),'Lease Cycles'!$C$26*'Lease Cycles'!$AY$26/12,IF(AND('Lease Cycles'!$AV$26&gt;=INDEX('Lease Cycles'!$BG$26:$BM$26,1,AF316),'Lease Cycles'!$AV$26&lt;=AF$6),'Lease Cycles'!$C$26*'Lease Cycles'!$AW$26/12,IF(AND('Lease Cycles'!$AT$26&gt;=INDEX('Lease Cycles'!$BG$26:$BM$26,1,AF316),'Lease Cycles'!$AT$26&lt;=AF$6),'Lease Cycles'!$C$26*'Lease Cycles'!$AU$26/12,'Lease Cycles'!$C$26*INDEX('Lease Cycles'!$CB$26:$CH$26,1,AF316)*(1+INDEX('Lease Cycles'!$CI$26:$CO$26,1,AF316))^INT(INT(AF317/12)/INDEX('Lease Cycles'!$CP$26:$CV$26,1,AF316))/12)))),'Lease Cycles'!$C$26*INDEX('Lease Cycles'!$CB$26:$CH$26,1,AF316)*(1+INDEX('Lease Cycles'!$CI$26:$CO$26,1,AF316))^INT(INT(AF317/12)/INDEX('Lease Cycles'!$CP$26:$CV$26,1,AF316))/12))),IF('Lease Cycles'!$N$26=1,'Lease Cycles'!$C$26*'Lease Cycles'!$E$26*INDEX('Lease Cycles'!$HE$26:$HK$26,1,AF316)*(1+INDEX('Lease Cycles'!$GQ$26:$GW$26,1,AF316))^INT(INT((AF$6-INDEX('Lease Cycles'!$GJ$26:$GP$26,1,AF316))/12)/INDEX('Lease Cycles'!$GX$26:$HD$26,1,AF316))/12,0)))</f>
        <v>0</v>
      </c>
      <c r="AG319" s="28">
        <f>IF(AG316=0,IF('Lease Cycles'!$F$26&gt;0,'Lease Cycles'!$C$26*'Lease Cycles'!$E$26/12,0),IF(AG318=1,IF('Lease Cycles'!$AT$26&gt;=9999,'Lease Cycles'!$C$26*INDEX('Lease Cycles'!$CB$26:$CH$26,1,AG316)*(1+INDEX('Lease Cycles'!$CI$26:$CO$26,1,AG316))^INT(INT(AG317/12)/INDEX('Lease Cycles'!$CP$26:$CV$26,1,AG316))/12,IF(AG316=1,IF(AG317&gt;=INDEX('Lease Cycles'!$DK$26:$DQ$26,1,AG316),IF(AG$6&gt;='Lease Cycles'!$AZ$26,'Lease Cycles'!$C$26*'Lease Cycles'!$BA$26/12,IF(AG$6&gt;='Lease Cycles'!$AX$26,'Lease Cycles'!$C$26*'Lease Cycles'!$AY$26/12,IF(AG$6&gt;='Lease Cycles'!$AV$26,'Lease Cycles'!$C$26*'Lease Cycles'!$AW$26/12,IF(AG$6&gt;='Lease Cycles'!$AT$26,'Lease Cycles'!$C$26*'Lease Cycles'!$AU$26/12,'Lease Cycles'!$C$26*INDEX('Lease Cycles'!$CB$26:$CH$26,1,AG316)*(1+INDEX('Lease Cycles'!$CI$26:$CO$26,1,AG316))^INT(INT(AG317/12)/INDEX('Lease Cycles'!$CP$26:$CV$26,1,AG316))/12)))),'Lease Cycles'!$C$26*INDEX('Lease Cycles'!$CB$26:$CH$26,1,AG316)*(1+INDEX('Lease Cycles'!$CI$26:$CO$26,1,AG316))^INT(INT(AG317/12)/INDEX('Lease Cycles'!$CP$26:$CV$26,1,AG316))/12),IF(INDEX('Lease Cycles'!$EF$26:$EL$26,1,AG316)=1,IF(AND('Lease Cycles'!$AZ$26&gt;=INDEX('Lease Cycles'!$BG$26:$BM$26,1,AG316),'Lease Cycles'!$AZ$26&lt;=AG$6),'Lease Cycles'!$C$26*'Lease Cycles'!$BA$26/12,IF(AND('Lease Cycles'!$AX$26&gt;=INDEX('Lease Cycles'!$BG$26:$BM$26,1,AG316),'Lease Cycles'!$AX$26&lt;=AG$6),'Lease Cycles'!$C$26*'Lease Cycles'!$AY$26/12,IF(AND('Lease Cycles'!$AV$26&gt;=INDEX('Lease Cycles'!$BG$26:$BM$26,1,AG316),'Lease Cycles'!$AV$26&lt;=AG$6),'Lease Cycles'!$C$26*'Lease Cycles'!$AW$26/12,IF(AND('Lease Cycles'!$AT$26&gt;=INDEX('Lease Cycles'!$BG$26:$BM$26,1,AG316),'Lease Cycles'!$AT$26&lt;=AG$6),'Lease Cycles'!$C$26*'Lease Cycles'!$AU$26/12,'Lease Cycles'!$C$26*INDEX('Lease Cycles'!$CB$26:$CH$26,1,AG316)*(1+INDEX('Lease Cycles'!$CI$26:$CO$26,1,AG316))^INT(INT(AG317/12)/INDEX('Lease Cycles'!$CP$26:$CV$26,1,AG316))/12)))),'Lease Cycles'!$C$26*INDEX('Lease Cycles'!$CB$26:$CH$26,1,AG316)*(1+INDEX('Lease Cycles'!$CI$26:$CO$26,1,AG316))^INT(INT(AG317/12)/INDEX('Lease Cycles'!$CP$26:$CV$26,1,AG316))/12))),IF('Lease Cycles'!$N$26=1,'Lease Cycles'!$C$26*'Lease Cycles'!$E$26*INDEX('Lease Cycles'!$HE$26:$HK$26,1,AG316)*(1+INDEX('Lease Cycles'!$GQ$26:$GW$26,1,AG316))^INT(INT((AG$6-INDEX('Lease Cycles'!$GJ$26:$GP$26,1,AG316))/12)/INDEX('Lease Cycles'!$GX$26:$HD$26,1,AG316))/12,0)))</f>
        <v>0</v>
      </c>
      <c r="AH319" s="28">
        <f>IF(AH316=0,IF('Lease Cycles'!$F$26&gt;0,'Lease Cycles'!$C$26*'Lease Cycles'!$E$26/12,0),IF(AH318=1,IF('Lease Cycles'!$AT$26&gt;=9999,'Lease Cycles'!$C$26*INDEX('Lease Cycles'!$CB$26:$CH$26,1,AH316)*(1+INDEX('Lease Cycles'!$CI$26:$CO$26,1,AH316))^INT(INT(AH317/12)/INDEX('Lease Cycles'!$CP$26:$CV$26,1,AH316))/12,IF(AH316=1,IF(AH317&gt;=INDEX('Lease Cycles'!$DK$26:$DQ$26,1,AH316),IF(AH$6&gt;='Lease Cycles'!$AZ$26,'Lease Cycles'!$C$26*'Lease Cycles'!$BA$26/12,IF(AH$6&gt;='Lease Cycles'!$AX$26,'Lease Cycles'!$C$26*'Lease Cycles'!$AY$26/12,IF(AH$6&gt;='Lease Cycles'!$AV$26,'Lease Cycles'!$C$26*'Lease Cycles'!$AW$26/12,IF(AH$6&gt;='Lease Cycles'!$AT$26,'Lease Cycles'!$C$26*'Lease Cycles'!$AU$26/12,'Lease Cycles'!$C$26*INDEX('Lease Cycles'!$CB$26:$CH$26,1,AH316)*(1+INDEX('Lease Cycles'!$CI$26:$CO$26,1,AH316))^INT(INT(AH317/12)/INDEX('Lease Cycles'!$CP$26:$CV$26,1,AH316))/12)))),'Lease Cycles'!$C$26*INDEX('Lease Cycles'!$CB$26:$CH$26,1,AH316)*(1+INDEX('Lease Cycles'!$CI$26:$CO$26,1,AH316))^INT(INT(AH317/12)/INDEX('Lease Cycles'!$CP$26:$CV$26,1,AH316))/12),IF(INDEX('Lease Cycles'!$EF$26:$EL$26,1,AH316)=1,IF(AND('Lease Cycles'!$AZ$26&gt;=INDEX('Lease Cycles'!$BG$26:$BM$26,1,AH316),'Lease Cycles'!$AZ$26&lt;=AH$6),'Lease Cycles'!$C$26*'Lease Cycles'!$BA$26/12,IF(AND('Lease Cycles'!$AX$26&gt;=INDEX('Lease Cycles'!$BG$26:$BM$26,1,AH316),'Lease Cycles'!$AX$26&lt;=AH$6),'Lease Cycles'!$C$26*'Lease Cycles'!$AY$26/12,IF(AND('Lease Cycles'!$AV$26&gt;=INDEX('Lease Cycles'!$BG$26:$BM$26,1,AH316),'Lease Cycles'!$AV$26&lt;=AH$6),'Lease Cycles'!$C$26*'Lease Cycles'!$AW$26/12,IF(AND('Lease Cycles'!$AT$26&gt;=INDEX('Lease Cycles'!$BG$26:$BM$26,1,AH316),'Lease Cycles'!$AT$26&lt;=AH$6),'Lease Cycles'!$C$26*'Lease Cycles'!$AU$26/12,'Lease Cycles'!$C$26*INDEX('Lease Cycles'!$CB$26:$CH$26,1,AH316)*(1+INDEX('Lease Cycles'!$CI$26:$CO$26,1,AH316))^INT(INT(AH317/12)/INDEX('Lease Cycles'!$CP$26:$CV$26,1,AH316))/12)))),'Lease Cycles'!$C$26*INDEX('Lease Cycles'!$CB$26:$CH$26,1,AH316)*(1+INDEX('Lease Cycles'!$CI$26:$CO$26,1,AH316))^INT(INT(AH317/12)/INDEX('Lease Cycles'!$CP$26:$CV$26,1,AH316))/12))),IF('Lease Cycles'!$N$26=1,'Lease Cycles'!$C$26*'Lease Cycles'!$E$26*INDEX('Lease Cycles'!$HE$26:$HK$26,1,AH316)*(1+INDEX('Lease Cycles'!$GQ$26:$GW$26,1,AH316))^INT(INT((AH$6-INDEX('Lease Cycles'!$GJ$26:$GP$26,1,AH316))/12)/INDEX('Lease Cycles'!$GX$26:$HD$26,1,AH316))/12,0)))</f>
        <v>0</v>
      </c>
      <c r="AI319" s="28">
        <f>IF(AI316=0,IF('Lease Cycles'!$F$26&gt;0,'Lease Cycles'!$C$26*'Lease Cycles'!$E$26/12,0),IF(AI318=1,IF('Lease Cycles'!$AT$26&gt;=9999,'Lease Cycles'!$C$26*INDEX('Lease Cycles'!$CB$26:$CH$26,1,AI316)*(1+INDEX('Lease Cycles'!$CI$26:$CO$26,1,AI316))^INT(INT(AI317/12)/INDEX('Lease Cycles'!$CP$26:$CV$26,1,AI316))/12,IF(AI316=1,IF(AI317&gt;=INDEX('Lease Cycles'!$DK$26:$DQ$26,1,AI316),IF(AI$6&gt;='Lease Cycles'!$AZ$26,'Lease Cycles'!$C$26*'Lease Cycles'!$BA$26/12,IF(AI$6&gt;='Lease Cycles'!$AX$26,'Lease Cycles'!$C$26*'Lease Cycles'!$AY$26/12,IF(AI$6&gt;='Lease Cycles'!$AV$26,'Lease Cycles'!$C$26*'Lease Cycles'!$AW$26/12,IF(AI$6&gt;='Lease Cycles'!$AT$26,'Lease Cycles'!$C$26*'Lease Cycles'!$AU$26/12,'Lease Cycles'!$C$26*INDEX('Lease Cycles'!$CB$26:$CH$26,1,AI316)*(1+INDEX('Lease Cycles'!$CI$26:$CO$26,1,AI316))^INT(INT(AI317/12)/INDEX('Lease Cycles'!$CP$26:$CV$26,1,AI316))/12)))),'Lease Cycles'!$C$26*INDEX('Lease Cycles'!$CB$26:$CH$26,1,AI316)*(1+INDEX('Lease Cycles'!$CI$26:$CO$26,1,AI316))^INT(INT(AI317/12)/INDEX('Lease Cycles'!$CP$26:$CV$26,1,AI316))/12),IF(INDEX('Lease Cycles'!$EF$26:$EL$26,1,AI316)=1,IF(AND('Lease Cycles'!$AZ$26&gt;=INDEX('Lease Cycles'!$BG$26:$BM$26,1,AI316),'Lease Cycles'!$AZ$26&lt;=AI$6),'Lease Cycles'!$C$26*'Lease Cycles'!$BA$26/12,IF(AND('Lease Cycles'!$AX$26&gt;=INDEX('Lease Cycles'!$BG$26:$BM$26,1,AI316),'Lease Cycles'!$AX$26&lt;=AI$6),'Lease Cycles'!$C$26*'Lease Cycles'!$AY$26/12,IF(AND('Lease Cycles'!$AV$26&gt;=INDEX('Lease Cycles'!$BG$26:$BM$26,1,AI316),'Lease Cycles'!$AV$26&lt;=AI$6),'Lease Cycles'!$C$26*'Lease Cycles'!$AW$26/12,IF(AND('Lease Cycles'!$AT$26&gt;=INDEX('Lease Cycles'!$BG$26:$BM$26,1,AI316),'Lease Cycles'!$AT$26&lt;=AI$6),'Lease Cycles'!$C$26*'Lease Cycles'!$AU$26/12,'Lease Cycles'!$C$26*INDEX('Lease Cycles'!$CB$26:$CH$26,1,AI316)*(1+INDEX('Lease Cycles'!$CI$26:$CO$26,1,AI316))^INT(INT(AI317/12)/INDEX('Lease Cycles'!$CP$26:$CV$26,1,AI316))/12)))),'Lease Cycles'!$C$26*INDEX('Lease Cycles'!$CB$26:$CH$26,1,AI316)*(1+INDEX('Lease Cycles'!$CI$26:$CO$26,1,AI316))^INT(INT(AI317/12)/INDEX('Lease Cycles'!$CP$26:$CV$26,1,AI316))/12))),IF('Lease Cycles'!$N$26=1,'Lease Cycles'!$C$26*'Lease Cycles'!$E$26*INDEX('Lease Cycles'!$HE$26:$HK$26,1,AI316)*(1+INDEX('Lease Cycles'!$GQ$26:$GW$26,1,AI316))^INT(INT((AI$6-INDEX('Lease Cycles'!$GJ$26:$GP$26,1,AI316))/12)/INDEX('Lease Cycles'!$GX$26:$HD$26,1,AI316))/12,0)))</f>
        <v>0</v>
      </c>
      <c r="AJ319" s="28">
        <f>IF(AJ316=0,IF('Lease Cycles'!$F$26&gt;0,'Lease Cycles'!$C$26*'Lease Cycles'!$E$26/12,0),IF(AJ318=1,IF('Lease Cycles'!$AT$26&gt;=9999,'Lease Cycles'!$C$26*INDEX('Lease Cycles'!$CB$26:$CH$26,1,AJ316)*(1+INDEX('Lease Cycles'!$CI$26:$CO$26,1,AJ316))^INT(INT(AJ317/12)/INDEX('Lease Cycles'!$CP$26:$CV$26,1,AJ316))/12,IF(AJ316=1,IF(AJ317&gt;=INDEX('Lease Cycles'!$DK$26:$DQ$26,1,AJ316),IF(AJ$6&gt;='Lease Cycles'!$AZ$26,'Lease Cycles'!$C$26*'Lease Cycles'!$BA$26/12,IF(AJ$6&gt;='Lease Cycles'!$AX$26,'Lease Cycles'!$C$26*'Lease Cycles'!$AY$26/12,IF(AJ$6&gt;='Lease Cycles'!$AV$26,'Lease Cycles'!$C$26*'Lease Cycles'!$AW$26/12,IF(AJ$6&gt;='Lease Cycles'!$AT$26,'Lease Cycles'!$C$26*'Lease Cycles'!$AU$26/12,'Lease Cycles'!$C$26*INDEX('Lease Cycles'!$CB$26:$CH$26,1,AJ316)*(1+INDEX('Lease Cycles'!$CI$26:$CO$26,1,AJ316))^INT(INT(AJ317/12)/INDEX('Lease Cycles'!$CP$26:$CV$26,1,AJ316))/12)))),'Lease Cycles'!$C$26*INDEX('Lease Cycles'!$CB$26:$CH$26,1,AJ316)*(1+INDEX('Lease Cycles'!$CI$26:$CO$26,1,AJ316))^INT(INT(AJ317/12)/INDEX('Lease Cycles'!$CP$26:$CV$26,1,AJ316))/12),IF(INDEX('Lease Cycles'!$EF$26:$EL$26,1,AJ316)=1,IF(AND('Lease Cycles'!$AZ$26&gt;=INDEX('Lease Cycles'!$BG$26:$BM$26,1,AJ316),'Lease Cycles'!$AZ$26&lt;=AJ$6),'Lease Cycles'!$C$26*'Lease Cycles'!$BA$26/12,IF(AND('Lease Cycles'!$AX$26&gt;=INDEX('Lease Cycles'!$BG$26:$BM$26,1,AJ316),'Lease Cycles'!$AX$26&lt;=AJ$6),'Lease Cycles'!$C$26*'Lease Cycles'!$AY$26/12,IF(AND('Lease Cycles'!$AV$26&gt;=INDEX('Lease Cycles'!$BG$26:$BM$26,1,AJ316),'Lease Cycles'!$AV$26&lt;=AJ$6),'Lease Cycles'!$C$26*'Lease Cycles'!$AW$26/12,IF(AND('Lease Cycles'!$AT$26&gt;=INDEX('Lease Cycles'!$BG$26:$BM$26,1,AJ316),'Lease Cycles'!$AT$26&lt;=AJ$6),'Lease Cycles'!$C$26*'Lease Cycles'!$AU$26/12,'Lease Cycles'!$C$26*INDEX('Lease Cycles'!$CB$26:$CH$26,1,AJ316)*(1+INDEX('Lease Cycles'!$CI$26:$CO$26,1,AJ316))^INT(INT(AJ317/12)/INDEX('Lease Cycles'!$CP$26:$CV$26,1,AJ316))/12)))),'Lease Cycles'!$C$26*INDEX('Lease Cycles'!$CB$26:$CH$26,1,AJ316)*(1+INDEX('Lease Cycles'!$CI$26:$CO$26,1,AJ316))^INT(INT(AJ317/12)/INDEX('Lease Cycles'!$CP$26:$CV$26,1,AJ316))/12))),IF('Lease Cycles'!$N$26=1,'Lease Cycles'!$C$26*'Lease Cycles'!$E$26*INDEX('Lease Cycles'!$HE$26:$HK$26,1,AJ316)*(1+INDEX('Lease Cycles'!$GQ$26:$GW$26,1,AJ316))^INT(INT((AJ$6-INDEX('Lease Cycles'!$GJ$26:$GP$26,1,AJ316))/12)/INDEX('Lease Cycles'!$GX$26:$HD$26,1,AJ316))/12,0)))</f>
        <v>0</v>
      </c>
      <c r="AK319" s="28">
        <f>IF(AK316=0,IF('Lease Cycles'!$F$26&gt;0,'Lease Cycles'!$C$26*'Lease Cycles'!$E$26/12,0),IF(AK318=1,IF('Lease Cycles'!$AT$26&gt;=9999,'Lease Cycles'!$C$26*INDEX('Lease Cycles'!$CB$26:$CH$26,1,AK316)*(1+INDEX('Lease Cycles'!$CI$26:$CO$26,1,AK316))^INT(INT(AK317/12)/INDEX('Lease Cycles'!$CP$26:$CV$26,1,AK316))/12,IF(AK316=1,IF(AK317&gt;=INDEX('Lease Cycles'!$DK$26:$DQ$26,1,AK316),IF(AK$6&gt;='Lease Cycles'!$AZ$26,'Lease Cycles'!$C$26*'Lease Cycles'!$BA$26/12,IF(AK$6&gt;='Lease Cycles'!$AX$26,'Lease Cycles'!$C$26*'Lease Cycles'!$AY$26/12,IF(AK$6&gt;='Lease Cycles'!$AV$26,'Lease Cycles'!$C$26*'Lease Cycles'!$AW$26/12,IF(AK$6&gt;='Lease Cycles'!$AT$26,'Lease Cycles'!$C$26*'Lease Cycles'!$AU$26/12,'Lease Cycles'!$C$26*INDEX('Lease Cycles'!$CB$26:$CH$26,1,AK316)*(1+INDEX('Lease Cycles'!$CI$26:$CO$26,1,AK316))^INT(INT(AK317/12)/INDEX('Lease Cycles'!$CP$26:$CV$26,1,AK316))/12)))),'Lease Cycles'!$C$26*INDEX('Lease Cycles'!$CB$26:$CH$26,1,AK316)*(1+INDEX('Lease Cycles'!$CI$26:$CO$26,1,AK316))^INT(INT(AK317/12)/INDEX('Lease Cycles'!$CP$26:$CV$26,1,AK316))/12),IF(INDEX('Lease Cycles'!$EF$26:$EL$26,1,AK316)=1,IF(AND('Lease Cycles'!$AZ$26&gt;=INDEX('Lease Cycles'!$BG$26:$BM$26,1,AK316),'Lease Cycles'!$AZ$26&lt;=AK$6),'Lease Cycles'!$C$26*'Lease Cycles'!$BA$26/12,IF(AND('Lease Cycles'!$AX$26&gt;=INDEX('Lease Cycles'!$BG$26:$BM$26,1,AK316),'Lease Cycles'!$AX$26&lt;=AK$6),'Lease Cycles'!$C$26*'Lease Cycles'!$AY$26/12,IF(AND('Lease Cycles'!$AV$26&gt;=INDEX('Lease Cycles'!$BG$26:$BM$26,1,AK316),'Lease Cycles'!$AV$26&lt;=AK$6),'Lease Cycles'!$C$26*'Lease Cycles'!$AW$26/12,IF(AND('Lease Cycles'!$AT$26&gt;=INDEX('Lease Cycles'!$BG$26:$BM$26,1,AK316),'Lease Cycles'!$AT$26&lt;=AK$6),'Lease Cycles'!$C$26*'Lease Cycles'!$AU$26/12,'Lease Cycles'!$C$26*INDEX('Lease Cycles'!$CB$26:$CH$26,1,AK316)*(1+INDEX('Lease Cycles'!$CI$26:$CO$26,1,AK316))^INT(INT(AK317/12)/INDEX('Lease Cycles'!$CP$26:$CV$26,1,AK316))/12)))),'Lease Cycles'!$C$26*INDEX('Lease Cycles'!$CB$26:$CH$26,1,AK316)*(1+INDEX('Lease Cycles'!$CI$26:$CO$26,1,AK316))^INT(INT(AK317/12)/INDEX('Lease Cycles'!$CP$26:$CV$26,1,AK316))/12))),IF('Lease Cycles'!$N$26=1,'Lease Cycles'!$C$26*'Lease Cycles'!$E$26*INDEX('Lease Cycles'!$HE$26:$HK$26,1,AK316)*(1+INDEX('Lease Cycles'!$GQ$26:$GW$26,1,AK316))^INT(INT((AK$6-INDEX('Lease Cycles'!$GJ$26:$GP$26,1,AK316))/12)/INDEX('Lease Cycles'!$GX$26:$HD$26,1,AK316))/12,0)))</f>
        <v>0</v>
      </c>
      <c r="AL319" s="28">
        <f>IF(AL316=0,IF('Lease Cycles'!$F$26&gt;0,'Lease Cycles'!$C$26*'Lease Cycles'!$E$26/12,0),IF(AL318=1,IF('Lease Cycles'!$AT$26&gt;=9999,'Lease Cycles'!$C$26*INDEX('Lease Cycles'!$CB$26:$CH$26,1,AL316)*(1+INDEX('Lease Cycles'!$CI$26:$CO$26,1,AL316))^INT(INT(AL317/12)/INDEX('Lease Cycles'!$CP$26:$CV$26,1,AL316))/12,IF(AL316=1,IF(AL317&gt;=INDEX('Lease Cycles'!$DK$26:$DQ$26,1,AL316),IF(AL$6&gt;='Lease Cycles'!$AZ$26,'Lease Cycles'!$C$26*'Lease Cycles'!$BA$26/12,IF(AL$6&gt;='Lease Cycles'!$AX$26,'Lease Cycles'!$C$26*'Lease Cycles'!$AY$26/12,IF(AL$6&gt;='Lease Cycles'!$AV$26,'Lease Cycles'!$C$26*'Lease Cycles'!$AW$26/12,IF(AL$6&gt;='Lease Cycles'!$AT$26,'Lease Cycles'!$C$26*'Lease Cycles'!$AU$26/12,'Lease Cycles'!$C$26*INDEX('Lease Cycles'!$CB$26:$CH$26,1,AL316)*(1+INDEX('Lease Cycles'!$CI$26:$CO$26,1,AL316))^INT(INT(AL317/12)/INDEX('Lease Cycles'!$CP$26:$CV$26,1,AL316))/12)))),'Lease Cycles'!$C$26*INDEX('Lease Cycles'!$CB$26:$CH$26,1,AL316)*(1+INDEX('Lease Cycles'!$CI$26:$CO$26,1,AL316))^INT(INT(AL317/12)/INDEX('Lease Cycles'!$CP$26:$CV$26,1,AL316))/12),IF(INDEX('Lease Cycles'!$EF$26:$EL$26,1,AL316)=1,IF(AND('Lease Cycles'!$AZ$26&gt;=INDEX('Lease Cycles'!$BG$26:$BM$26,1,AL316),'Lease Cycles'!$AZ$26&lt;=AL$6),'Lease Cycles'!$C$26*'Lease Cycles'!$BA$26/12,IF(AND('Lease Cycles'!$AX$26&gt;=INDEX('Lease Cycles'!$BG$26:$BM$26,1,AL316),'Lease Cycles'!$AX$26&lt;=AL$6),'Lease Cycles'!$C$26*'Lease Cycles'!$AY$26/12,IF(AND('Lease Cycles'!$AV$26&gt;=INDEX('Lease Cycles'!$BG$26:$BM$26,1,AL316),'Lease Cycles'!$AV$26&lt;=AL$6),'Lease Cycles'!$C$26*'Lease Cycles'!$AW$26/12,IF(AND('Lease Cycles'!$AT$26&gt;=INDEX('Lease Cycles'!$BG$26:$BM$26,1,AL316),'Lease Cycles'!$AT$26&lt;=AL$6),'Lease Cycles'!$C$26*'Lease Cycles'!$AU$26/12,'Lease Cycles'!$C$26*INDEX('Lease Cycles'!$CB$26:$CH$26,1,AL316)*(1+INDEX('Lease Cycles'!$CI$26:$CO$26,1,AL316))^INT(INT(AL317/12)/INDEX('Lease Cycles'!$CP$26:$CV$26,1,AL316))/12)))),'Lease Cycles'!$C$26*INDEX('Lease Cycles'!$CB$26:$CH$26,1,AL316)*(1+INDEX('Lease Cycles'!$CI$26:$CO$26,1,AL316))^INT(INT(AL317/12)/INDEX('Lease Cycles'!$CP$26:$CV$26,1,AL316))/12))),IF('Lease Cycles'!$N$26=1,'Lease Cycles'!$C$26*'Lease Cycles'!$E$26*INDEX('Lease Cycles'!$HE$26:$HK$26,1,AL316)*(1+INDEX('Lease Cycles'!$GQ$26:$GW$26,1,AL316))^INT(INT((AL$6-INDEX('Lease Cycles'!$GJ$26:$GP$26,1,AL316))/12)/INDEX('Lease Cycles'!$GX$26:$HD$26,1,AL316))/12,0)))</f>
        <v>0</v>
      </c>
      <c r="AM319" s="28">
        <f>IF(AM316=0,IF('Lease Cycles'!$F$26&gt;0,'Lease Cycles'!$C$26*'Lease Cycles'!$E$26/12,0),IF(AM318=1,IF('Lease Cycles'!$AT$26&gt;=9999,'Lease Cycles'!$C$26*INDEX('Lease Cycles'!$CB$26:$CH$26,1,AM316)*(1+INDEX('Lease Cycles'!$CI$26:$CO$26,1,AM316))^INT(INT(AM317/12)/INDEX('Lease Cycles'!$CP$26:$CV$26,1,AM316))/12,IF(AM316=1,IF(AM317&gt;=INDEX('Lease Cycles'!$DK$26:$DQ$26,1,AM316),IF(AM$6&gt;='Lease Cycles'!$AZ$26,'Lease Cycles'!$C$26*'Lease Cycles'!$BA$26/12,IF(AM$6&gt;='Lease Cycles'!$AX$26,'Lease Cycles'!$C$26*'Lease Cycles'!$AY$26/12,IF(AM$6&gt;='Lease Cycles'!$AV$26,'Lease Cycles'!$C$26*'Lease Cycles'!$AW$26/12,IF(AM$6&gt;='Lease Cycles'!$AT$26,'Lease Cycles'!$C$26*'Lease Cycles'!$AU$26/12,'Lease Cycles'!$C$26*INDEX('Lease Cycles'!$CB$26:$CH$26,1,AM316)*(1+INDEX('Lease Cycles'!$CI$26:$CO$26,1,AM316))^INT(INT(AM317/12)/INDEX('Lease Cycles'!$CP$26:$CV$26,1,AM316))/12)))),'Lease Cycles'!$C$26*INDEX('Lease Cycles'!$CB$26:$CH$26,1,AM316)*(1+INDEX('Lease Cycles'!$CI$26:$CO$26,1,AM316))^INT(INT(AM317/12)/INDEX('Lease Cycles'!$CP$26:$CV$26,1,AM316))/12),IF(INDEX('Lease Cycles'!$EF$26:$EL$26,1,AM316)=1,IF(AND('Lease Cycles'!$AZ$26&gt;=INDEX('Lease Cycles'!$BG$26:$BM$26,1,AM316),'Lease Cycles'!$AZ$26&lt;=AM$6),'Lease Cycles'!$C$26*'Lease Cycles'!$BA$26/12,IF(AND('Lease Cycles'!$AX$26&gt;=INDEX('Lease Cycles'!$BG$26:$BM$26,1,AM316),'Lease Cycles'!$AX$26&lt;=AM$6),'Lease Cycles'!$C$26*'Lease Cycles'!$AY$26/12,IF(AND('Lease Cycles'!$AV$26&gt;=INDEX('Lease Cycles'!$BG$26:$BM$26,1,AM316),'Lease Cycles'!$AV$26&lt;=AM$6),'Lease Cycles'!$C$26*'Lease Cycles'!$AW$26/12,IF(AND('Lease Cycles'!$AT$26&gt;=INDEX('Lease Cycles'!$BG$26:$BM$26,1,AM316),'Lease Cycles'!$AT$26&lt;=AM$6),'Lease Cycles'!$C$26*'Lease Cycles'!$AU$26/12,'Lease Cycles'!$C$26*INDEX('Lease Cycles'!$CB$26:$CH$26,1,AM316)*(1+INDEX('Lease Cycles'!$CI$26:$CO$26,1,AM316))^INT(INT(AM317/12)/INDEX('Lease Cycles'!$CP$26:$CV$26,1,AM316))/12)))),'Lease Cycles'!$C$26*INDEX('Lease Cycles'!$CB$26:$CH$26,1,AM316)*(1+INDEX('Lease Cycles'!$CI$26:$CO$26,1,AM316))^INT(INT(AM317/12)/INDEX('Lease Cycles'!$CP$26:$CV$26,1,AM316))/12))),IF('Lease Cycles'!$N$26=1,'Lease Cycles'!$C$26*'Lease Cycles'!$E$26*INDEX('Lease Cycles'!$HE$26:$HK$26,1,AM316)*(1+INDEX('Lease Cycles'!$GQ$26:$GW$26,1,AM316))^INT(INT((AM$6-INDEX('Lease Cycles'!$GJ$26:$GP$26,1,AM316))/12)/INDEX('Lease Cycles'!$GX$26:$HD$26,1,AM316))/12,0)))</f>
        <v>0</v>
      </c>
      <c r="AN319" s="28">
        <f>IF(AN316=0,IF('Lease Cycles'!$F$26&gt;0,'Lease Cycles'!$C$26*'Lease Cycles'!$E$26/12,0),IF(AN318=1,IF('Lease Cycles'!$AT$26&gt;=9999,'Lease Cycles'!$C$26*INDEX('Lease Cycles'!$CB$26:$CH$26,1,AN316)*(1+INDEX('Lease Cycles'!$CI$26:$CO$26,1,AN316))^INT(INT(AN317/12)/INDEX('Lease Cycles'!$CP$26:$CV$26,1,AN316))/12,IF(AN316=1,IF(AN317&gt;=INDEX('Lease Cycles'!$DK$26:$DQ$26,1,AN316),IF(AN$6&gt;='Lease Cycles'!$AZ$26,'Lease Cycles'!$C$26*'Lease Cycles'!$BA$26/12,IF(AN$6&gt;='Lease Cycles'!$AX$26,'Lease Cycles'!$C$26*'Lease Cycles'!$AY$26/12,IF(AN$6&gt;='Lease Cycles'!$AV$26,'Lease Cycles'!$C$26*'Lease Cycles'!$AW$26/12,IF(AN$6&gt;='Lease Cycles'!$AT$26,'Lease Cycles'!$C$26*'Lease Cycles'!$AU$26/12,'Lease Cycles'!$C$26*INDEX('Lease Cycles'!$CB$26:$CH$26,1,AN316)*(1+INDEX('Lease Cycles'!$CI$26:$CO$26,1,AN316))^INT(INT(AN317/12)/INDEX('Lease Cycles'!$CP$26:$CV$26,1,AN316))/12)))),'Lease Cycles'!$C$26*INDEX('Lease Cycles'!$CB$26:$CH$26,1,AN316)*(1+INDEX('Lease Cycles'!$CI$26:$CO$26,1,AN316))^INT(INT(AN317/12)/INDEX('Lease Cycles'!$CP$26:$CV$26,1,AN316))/12),IF(INDEX('Lease Cycles'!$EF$26:$EL$26,1,AN316)=1,IF(AND('Lease Cycles'!$AZ$26&gt;=INDEX('Lease Cycles'!$BG$26:$BM$26,1,AN316),'Lease Cycles'!$AZ$26&lt;=AN$6),'Lease Cycles'!$C$26*'Lease Cycles'!$BA$26/12,IF(AND('Lease Cycles'!$AX$26&gt;=INDEX('Lease Cycles'!$BG$26:$BM$26,1,AN316),'Lease Cycles'!$AX$26&lt;=AN$6),'Lease Cycles'!$C$26*'Lease Cycles'!$AY$26/12,IF(AND('Lease Cycles'!$AV$26&gt;=INDEX('Lease Cycles'!$BG$26:$BM$26,1,AN316),'Lease Cycles'!$AV$26&lt;=AN$6),'Lease Cycles'!$C$26*'Lease Cycles'!$AW$26/12,IF(AND('Lease Cycles'!$AT$26&gt;=INDEX('Lease Cycles'!$BG$26:$BM$26,1,AN316),'Lease Cycles'!$AT$26&lt;=AN$6),'Lease Cycles'!$C$26*'Lease Cycles'!$AU$26/12,'Lease Cycles'!$C$26*INDEX('Lease Cycles'!$CB$26:$CH$26,1,AN316)*(1+INDEX('Lease Cycles'!$CI$26:$CO$26,1,AN316))^INT(INT(AN317/12)/INDEX('Lease Cycles'!$CP$26:$CV$26,1,AN316))/12)))),'Lease Cycles'!$C$26*INDEX('Lease Cycles'!$CB$26:$CH$26,1,AN316)*(1+INDEX('Lease Cycles'!$CI$26:$CO$26,1,AN316))^INT(INT(AN317/12)/INDEX('Lease Cycles'!$CP$26:$CV$26,1,AN316))/12))),IF('Lease Cycles'!$N$26=1,'Lease Cycles'!$C$26*'Lease Cycles'!$E$26*INDEX('Lease Cycles'!$HE$26:$HK$26,1,AN316)*(1+INDEX('Lease Cycles'!$GQ$26:$GW$26,1,AN316))^INT(INT((AN$6-INDEX('Lease Cycles'!$GJ$26:$GP$26,1,AN316))/12)/INDEX('Lease Cycles'!$GX$26:$HD$26,1,AN316))/12,0)))</f>
        <v>0</v>
      </c>
      <c r="AO319" s="28">
        <f>IF(AO316=0,IF('Lease Cycles'!$F$26&gt;0,'Lease Cycles'!$C$26*'Lease Cycles'!$E$26/12,0),IF(AO318=1,IF('Lease Cycles'!$AT$26&gt;=9999,'Lease Cycles'!$C$26*INDEX('Lease Cycles'!$CB$26:$CH$26,1,AO316)*(1+INDEX('Lease Cycles'!$CI$26:$CO$26,1,AO316))^INT(INT(AO317/12)/INDEX('Lease Cycles'!$CP$26:$CV$26,1,AO316))/12,IF(AO316=1,IF(AO317&gt;=INDEX('Lease Cycles'!$DK$26:$DQ$26,1,AO316),IF(AO$6&gt;='Lease Cycles'!$AZ$26,'Lease Cycles'!$C$26*'Lease Cycles'!$BA$26/12,IF(AO$6&gt;='Lease Cycles'!$AX$26,'Lease Cycles'!$C$26*'Lease Cycles'!$AY$26/12,IF(AO$6&gt;='Lease Cycles'!$AV$26,'Lease Cycles'!$C$26*'Lease Cycles'!$AW$26/12,IF(AO$6&gt;='Lease Cycles'!$AT$26,'Lease Cycles'!$C$26*'Lease Cycles'!$AU$26/12,'Lease Cycles'!$C$26*INDEX('Lease Cycles'!$CB$26:$CH$26,1,AO316)*(1+INDEX('Lease Cycles'!$CI$26:$CO$26,1,AO316))^INT(INT(AO317/12)/INDEX('Lease Cycles'!$CP$26:$CV$26,1,AO316))/12)))),'Lease Cycles'!$C$26*INDEX('Lease Cycles'!$CB$26:$CH$26,1,AO316)*(1+INDEX('Lease Cycles'!$CI$26:$CO$26,1,AO316))^INT(INT(AO317/12)/INDEX('Lease Cycles'!$CP$26:$CV$26,1,AO316))/12),IF(INDEX('Lease Cycles'!$EF$26:$EL$26,1,AO316)=1,IF(AND('Lease Cycles'!$AZ$26&gt;=INDEX('Lease Cycles'!$BG$26:$BM$26,1,AO316),'Lease Cycles'!$AZ$26&lt;=AO$6),'Lease Cycles'!$C$26*'Lease Cycles'!$BA$26/12,IF(AND('Lease Cycles'!$AX$26&gt;=INDEX('Lease Cycles'!$BG$26:$BM$26,1,AO316),'Lease Cycles'!$AX$26&lt;=AO$6),'Lease Cycles'!$C$26*'Lease Cycles'!$AY$26/12,IF(AND('Lease Cycles'!$AV$26&gt;=INDEX('Lease Cycles'!$BG$26:$BM$26,1,AO316),'Lease Cycles'!$AV$26&lt;=AO$6),'Lease Cycles'!$C$26*'Lease Cycles'!$AW$26/12,IF(AND('Lease Cycles'!$AT$26&gt;=INDEX('Lease Cycles'!$BG$26:$BM$26,1,AO316),'Lease Cycles'!$AT$26&lt;=AO$6),'Lease Cycles'!$C$26*'Lease Cycles'!$AU$26/12,'Lease Cycles'!$C$26*INDEX('Lease Cycles'!$CB$26:$CH$26,1,AO316)*(1+INDEX('Lease Cycles'!$CI$26:$CO$26,1,AO316))^INT(INT(AO317/12)/INDEX('Lease Cycles'!$CP$26:$CV$26,1,AO316))/12)))),'Lease Cycles'!$C$26*INDEX('Lease Cycles'!$CB$26:$CH$26,1,AO316)*(1+INDEX('Lease Cycles'!$CI$26:$CO$26,1,AO316))^INT(INT(AO317/12)/INDEX('Lease Cycles'!$CP$26:$CV$26,1,AO316))/12))),IF('Lease Cycles'!$N$26=1,'Lease Cycles'!$C$26*'Lease Cycles'!$E$26*INDEX('Lease Cycles'!$HE$26:$HK$26,1,AO316)*(1+INDEX('Lease Cycles'!$GQ$26:$GW$26,1,AO316))^INT(INT((AO$6-INDEX('Lease Cycles'!$GJ$26:$GP$26,1,AO316))/12)/INDEX('Lease Cycles'!$GX$26:$HD$26,1,AO316))/12,0)))</f>
        <v>0</v>
      </c>
      <c r="AP319" s="28">
        <f>IF(AP316=0,IF('Lease Cycles'!$F$26&gt;0,'Lease Cycles'!$C$26*'Lease Cycles'!$E$26/12,0),IF(AP318=1,IF('Lease Cycles'!$AT$26&gt;=9999,'Lease Cycles'!$C$26*INDEX('Lease Cycles'!$CB$26:$CH$26,1,AP316)*(1+INDEX('Lease Cycles'!$CI$26:$CO$26,1,AP316))^INT(INT(AP317/12)/INDEX('Lease Cycles'!$CP$26:$CV$26,1,AP316))/12,IF(AP316=1,IF(AP317&gt;=INDEX('Lease Cycles'!$DK$26:$DQ$26,1,AP316),IF(AP$6&gt;='Lease Cycles'!$AZ$26,'Lease Cycles'!$C$26*'Lease Cycles'!$BA$26/12,IF(AP$6&gt;='Lease Cycles'!$AX$26,'Lease Cycles'!$C$26*'Lease Cycles'!$AY$26/12,IF(AP$6&gt;='Lease Cycles'!$AV$26,'Lease Cycles'!$C$26*'Lease Cycles'!$AW$26/12,IF(AP$6&gt;='Lease Cycles'!$AT$26,'Lease Cycles'!$C$26*'Lease Cycles'!$AU$26/12,'Lease Cycles'!$C$26*INDEX('Lease Cycles'!$CB$26:$CH$26,1,AP316)*(1+INDEX('Lease Cycles'!$CI$26:$CO$26,1,AP316))^INT(INT(AP317/12)/INDEX('Lease Cycles'!$CP$26:$CV$26,1,AP316))/12)))),'Lease Cycles'!$C$26*INDEX('Lease Cycles'!$CB$26:$CH$26,1,AP316)*(1+INDEX('Lease Cycles'!$CI$26:$CO$26,1,AP316))^INT(INT(AP317/12)/INDEX('Lease Cycles'!$CP$26:$CV$26,1,AP316))/12),IF(INDEX('Lease Cycles'!$EF$26:$EL$26,1,AP316)=1,IF(AND('Lease Cycles'!$AZ$26&gt;=INDEX('Lease Cycles'!$BG$26:$BM$26,1,AP316),'Lease Cycles'!$AZ$26&lt;=AP$6),'Lease Cycles'!$C$26*'Lease Cycles'!$BA$26/12,IF(AND('Lease Cycles'!$AX$26&gt;=INDEX('Lease Cycles'!$BG$26:$BM$26,1,AP316),'Lease Cycles'!$AX$26&lt;=AP$6),'Lease Cycles'!$C$26*'Lease Cycles'!$AY$26/12,IF(AND('Lease Cycles'!$AV$26&gt;=INDEX('Lease Cycles'!$BG$26:$BM$26,1,AP316),'Lease Cycles'!$AV$26&lt;=AP$6),'Lease Cycles'!$C$26*'Lease Cycles'!$AW$26/12,IF(AND('Lease Cycles'!$AT$26&gt;=INDEX('Lease Cycles'!$BG$26:$BM$26,1,AP316),'Lease Cycles'!$AT$26&lt;=AP$6),'Lease Cycles'!$C$26*'Lease Cycles'!$AU$26/12,'Lease Cycles'!$C$26*INDEX('Lease Cycles'!$CB$26:$CH$26,1,AP316)*(1+INDEX('Lease Cycles'!$CI$26:$CO$26,1,AP316))^INT(INT(AP317/12)/INDEX('Lease Cycles'!$CP$26:$CV$26,1,AP316))/12)))),'Lease Cycles'!$C$26*INDEX('Lease Cycles'!$CB$26:$CH$26,1,AP316)*(1+INDEX('Lease Cycles'!$CI$26:$CO$26,1,AP316))^INT(INT(AP317/12)/INDEX('Lease Cycles'!$CP$26:$CV$26,1,AP316))/12))),IF('Lease Cycles'!$N$26=1,'Lease Cycles'!$C$26*'Lease Cycles'!$E$26*INDEX('Lease Cycles'!$HE$26:$HK$26,1,AP316)*(1+INDEX('Lease Cycles'!$GQ$26:$GW$26,1,AP316))^INT(INT((AP$6-INDEX('Lease Cycles'!$GJ$26:$GP$26,1,AP316))/12)/INDEX('Lease Cycles'!$GX$26:$HD$26,1,AP316))/12,0)))</f>
        <v>0</v>
      </c>
      <c r="AQ319" s="28">
        <f>IF(AQ316=0,IF('Lease Cycles'!$F$26&gt;0,'Lease Cycles'!$C$26*'Lease Cycles'!$E$26/12,0),IF(AQ318=1,IF('Lease Cycles'!$AT$26&gt;=9999,'Lease Cycles'!$C$26*INDEX('Lease Cycles'!$CB$26:$CH$26,1,AQ316)*(1+INDEX('Lease Cycles'!$CI$26:$CO$26,1,AQ316))^INT(INT(AQ317/12)/INDEX('Lease Cycles'!$CP$26:$CV$26,1,AQ316))/12,IF(AQ316=1,IF(AQ317&gt;=INDEX('Lease Cycles'!$DK$26:$DQ$26,1,AQ316),IF(AQ$6&gt;='Lease Cycles'!$AZ$26,'Lease Cycles'!$C$26*'Lease Cycles'!$BA$26/12,IF(AQ$6&gt;='Lease Cycles'!$AX$26,'Lease Cycles'!$C$26*'Lease Cycles'!$AY$26/12,IF(AQ$6&gt;='Lease Cycles'!$AV$26,'Lease Cycles'!$C$26*'Lease Cycles'!$AW$26/12,IF(AQ$6&gt;='Lease Cycles'!$AT$26,'Lease Cycles'!$C$26*'Lease Cycles'!$AU$26/12,'Lease Cycles'!$C$26*INDEX('Lease Cycles'!$CB$26:$CH$26,1,AQ316)*(1+INDEX('Lease Cycles'!$CI$26:$CO$26,1,AQ316))^INT(INT(AQ317/12)/INDEX('Lease Cycles'!$CP$26:$CV$26,1,AQ316))/12)))),'Lease Cycles'!$C$26*INDEX('Lease Cycles'!$CB$26:$CH$26,1,AQ316)*(1+INDEX('Lease Cycles'!$CI$26:$CO$26,1,AQ316))^INT(INT(AQ317/12)/INDEX('Lease Cycles'!$CP$26:$CV$26,1,AQ316))/12),IF(INDEX('Lease Cycles'!$EF$26:$EL$26,1,AQ316)=1,IF(AND('Lease Cycles'!$AZ$26&gt;=INDEX('Lease Cycles'!$BG$26:$BM$26,1,AQ316),'Lease Cycles'!$AZ$26&lt;=AQ$6),'Lease Cycles'!$C$26*'Lease Cycles'!$BA$26/12,IF(AND('Lease Cycles'!$AX$26&gt;=INDEX('Lease Cycles'!$BG$26:$BM$26,1,AQ316),'Lease Cycles'!$AX$26&lt;=AQ$6),'Lease Cycles'!$C$26*'Lease Cycles'!$AY$26/12,IF(AND('Lease Cycles'!$AV$26&gt;=INDEX('Lease Cycles'!$BG$26:$BM$26,1,AQ316),'Lease Cycles'!$AV$26&lt;=AQ$6),'Lease Cycles'!$C$26*'Lease Cycles'!$AW$26/12,IF(AND('Lease Cycles'!$AT$26&gt;=INDEX('Lease Cycles'!$BG$26:$BM$26,1,AQ316),'Lease Cycles'!$AT$26&lt;=AQ$6),'Lease Cycles'!$C$26*'Lease Cycles'!$AU$26/12,'Lease Cycles'!$C$26*INDEX('Lease Cycles'!$CB$26:$CH$26,1,AQ316)*(1+INDEX('Lease Cycles'!$CI$26:$CO$26,1,AQ316))^INT(INT(AQ317/12)/INDEX('Lease Cycles'!$CP$26:$CV$26,1,AQ316))/12)))),'Lease Cycles'!$C$26*INDEX('Lease Cycles'!$CB$26:$CH$26,1,AQ316)*(1+INDEX('Lease Cycles'!$CI$26:$CO$26,1,AQ316))^INT(INT(AQ317/12)/INDEX('Lease Cycles'!$CP$26:$CV$26,1,AQ316))/12))),IF('Lease Cycles'!$N$26=1,'Lease Cycles'!$C$26*'Lease Cycles'!$E$26*INDEX('Lease Cycles'!$HE$26:$HK$26,1,AQ316)*(1+INDEX('Lease Cycles'!$GQ$26:$GW$26,1,AQ316))^INT(INT((AQ$6-INDEX('Lease Cycles'!$GJ$26:$GP$26,1,AQ316))/12)/INDEX('Lease Cycles'!$GX$26:$HD$26,1,AQ316))/12,0)))</f>
        <v>0</v>
      </c>
      <c r="AR319" s="28">
        <f>IF(AR316=0,IF('Lease Cycles'!$F$26&gt;0,'Lease Cycles'!$C$26*'Lease Cycles'!$E$26/12,0),IF(AR318=1,IF('Lease Cycles'!$AT$26&gt;=9999,'Lease Cycles'!$C$26*INDEX('Lease Cycles'!$CB$26:$CH$26,1,AR316)*(1+INDEX('Lease Cycles'!$CI$26:$CO$26,1,AR316))^INT(INT(AR317/12)/INDEX('Lease Cycles'!$CP$26:$CV$26,1,AR316))/12,IF(AR316=1,IF(AR317&gt;=INDEX('Lease Cycles'!$DK$26:$DQ$26,1,AR316),IF(AR$6&gt;='Lease Cycles'!$AZ$26,'Lease Cycles'!$C$26*'Lease Cycles'!$BA$26/12,IF(AR$6&gt;='Lease Cycles'!$AX$26,'Lease Cycles'!$C$26*'Lease Cycles'!$AY$26/12,IF(AR$6&gt;='Lease Cycles'!$AV$26,'Lease Cycles'!$C$26*'Lease Cycles'!$AW$26/12,IF(AR$6&gt;='Lease Cycles'!$AT$26,'Lease Cycles'!$C$26*'Lease Cycles'!$AU$26/12,'Lease Cycles'!$C$26*INDEX('Lease Cycles'!$CB$26:$CH$26,1,AR316)*(1+INDEX('Lease Cycles'!$CI$26:$CO$26,1,AR316))^INT(INT(AR317/12)/INDEX('Lease Cycles'!$CP$26:$CV$26,1,AR316))/12)))),'Lease Cycles'!$C$26*INDEX('Lease Cycles'!$CB$26:$CH$26,1,AR316)*(1+INDEX('Lease Cycles'!$CI$26:$CO$26,1,AR316))^INT(INT(AR317/12)/INDEX('Lease Cycles'!$CP$26:$CV$26,1,AR316))/12),IF(INDEX('Lease Cycles'!$EF$26:$EL$26,1,AR316)=1,IF(AND('Lease Cycles'!$AZ$26&gt;=INDEX('Lease Cycles'!$BG$26:$BM$26,1,AR316),'Lease Cycles'!$AZ$26&lt;=AR$6),'Lease Cycles'!$C$26*'Lease Cycles'!$BA$26/12,IF(AND('Lease Cycles'!$AX$26&gt;=INDEX('Lease Cycles'!$BG$26:$BM$26,1,AR316),'Lease Cycles'!$AX$26&lt;=AR$6),'Lease Cycles'!$C$26*'Lease Cycles'!$AY$26/12,IF(AND('Lease Cycles'!$AV$26&gt;=INDEX('Lease Cycles'!$BG$26:$BM$26,1,AR316),'Lease Cycles'!$AV$26&lt;=AR$6),'Lease Cycles'!$C$26*'Lease Cycles'!$AW$26/12,IF(AND('Lease Cycles'!$AT$26&gt;=INDEX('Lease Cycles'!$BG$26:$BM$26,1,AR316),'Lease Cycles'!$AT$26&lt;=AR$6),'Lease Cycles'!$C$26*'Lease Cycles'!$AU$26/12,'Lease Cycles'!$C$26*INDEX('Lease Cycles'!$CB$26:$CH$26,1,AR316)*(1+INDEX('Lease Cycles'!$CI$26:$CO$26,1,AR316))^INT(INT(AR317/12)/INDEX('Lease Cycles'!$CP$26:$CV$26,1,AR316))/12)))),'Lease Cycles'!$C$26*INDEX('Lease Cycles'!$CB$26:$CH$26,1,AR316)*(1+INDEX('Lease Cycles'!$CI$26:$CO$26,1,AR316))^INT(INT(AR317/12)/INDEX('Lease Cycles'!$CP$26:$CV$26,1,AR316))/12))),IF('Lease Cycles'!$N$26=1,'Lease Cycles'!$C$26*'Lease Cycles'!$E$26*INDEX('Lease Cycles'!$HE$26:$HK$26,1,AR316)*(1+INDEX('Lease Cycles'!$GQ$26:$GW$26,1,AR316))^INT(INT((AR$6-INDEX('Lease Cycles'!$GJ$26:$GP$26,1,AR316))/12)/INDEX('Lease Cycles'!$GX$26:$HD$26,1,AR316))/12,0)))</f>
        <v>0</v>
      </c>
      <c r="AS319" s="28">
        <f>IF(AS316=0,IF('Lease Cycles'!$F$26&gt;0,'Lease Cycles'!$C$26*'Lease Cycles'!$E$26/12,0),IF(AS318=1,IF('Lease Cycles'!$AT$26&gt;=9999,'Lease Cycles'!$C$26*INDEX('Lease Cycles'!$CB$26:$CH$26,1,AS316)*(1+INDEX('Lease Cycles'!$CI$26:$CO$26,1,AS316))^INT(INT(AS317/12)/INDEX('Lease Cycles'!$CP$26:$CV$26,1,AS316))/12,IF(AS316=1,IF(AS317&gt;=INDEX('Lease Cycles'!$DK$26:$DQ$26,1,AS316),IF(AS$6&gt;='Lease Cycles'!$AZ$26,'Lease Cycles'!$C$26*'Lease Cycles'!$BA$26/12,IF(AS$6&gt;='Lease Cycles'!$AX$26,'Lease Cycles'!$C$26*'Lease Cycles'!$AY$26/12,IF(AS$6&gt;='Lease Cycles'!$AV$26,'Lease Cycles'!$C$26*'Lease Cycles'!$AW$26/12,IF(AS$6&gt;='Lease Cycles'!$AT$26,'Lease Cycles'!$C$26*'Lease Cycles'!$AU$26/12,'Lease Cycles'!$C$26*INDEX('Lease Cycles'!$CB$26:$CH$26,1,AS316)*(1+INDEX('Lease Cycles'!$CI$26:$CO$26,1,AS316))^INT(INT(AS317/12)/INDEX('Lease Cycles'!$CP$26:$CV$26,1,AS316))/12)))),'Lease Cycles'!$C$26*INDEX('Lease Cycles'!$CB$26:$CH$26,1,AS316)*(1+INDEX('Lease Cycles'!$CI$26:$CO$26,1,AS316))^INT(INT(AS317/12)/INDEX('Lease Cycles'!$CP$26:$CV$26,1,AS316))/12),IF(INDEX('Lease Cycles'!$EF$26:$EL$26,1,AS316)=1,IF(AND('Lease Cycles'!$AZ$26&gt;=INDEX('Lease Cycles'!$BG$26:$BM$26,1,AS316),'Lease Cycles'!$AZ$26&lt;=AS$6),'Lease Cycles'!$C$26*'Lease Cycles'!$BA$26/12,IF(AND('Lease Cycles'!$AX$26&gt;=INDEX('Lease Cycles'!$BG$26:$BM$26,1,AS316),'Lease Cycles'!$AX$26&lt;=AS$6),'Lease Cycles'!$C$26*'Lease Cycles'!$AY$26/12,IF(AND('Lease Cycles'!$AV$26&gt;=INDEX('Lease Cycles'!$BG$26:$BM$26,1,AS316),'Lease Cycles'!$AV$26&lt;=AS$6),'Lease Cycles'!$C$26*'Lease Cycles'!$AW$26/12,IF(AND('Lease Cycles'!$AT$26&gt;=INDEX('Lease Cycles'!$BG$26:$BM$26,1,AS316),'Lease Cycles'!$AT$26&lt;=AS$6),'Lease Cycles'!$C$26*'Lease Cycles'!$AU$26/12,'Lease Cycles'!$C$26*INDEX('Lease Cycles'!$CB$26:$CH$26,1,AS316)*(1+INDEX('Lease Cycles'!$CI$26:$CO$26,1,AS316))^INT(INT(AS317/12)/INDEX('Lease Cycles'!$CP$26:$CV$26,1,AS316))/12)))),'Lease Cycles'!$C$26*INDEX('Lease Cycles'!$CB$26:$CH$26,1,AS316)*(1+INDEX('Lease Cycles'!$CI$26:$CO$26,1,AS316))^INT(INT(AS317/12)/INDEX('Lease Cycles'!$CP$26:$CV$26,1,AS316))/12))),IF('Lease Cycles'!$N$26=1,'Lease Cycles'!$C$26*'Lease Cycles'!$E$26*INDEX('Lease Cycles'!$HE$26:$HK$26,1,AS316)*(1+INDEX('Lease Cycles'!$GQ$26:$GW$26,1,AS316))^INT(INT((AS$6-INDEX('Lease Cycles'!$GJ$26:$GP$26,1,AS316))/12)/INDEX('Lease Cycles'!$GX$26:$HD$26,1,AS316))/12,0)))</f>
        <v>0</v>
      </c>
      <c r="AT319" s="28">
        <f>IF(AT316=0,IF('Lease Cycles'!$F$26&gt;0,'Lease Cycles'!$C$26*'Lease Cycles'!$E$26/12,0),IF(AT318=1,IF('Lease Cycles'!$AT$26&gt;=9999,'Lease Cycles'!$C$26*INDEX('Lease Cycles'!$CB$26:$CH$26,1,AT316)*(1+INDEX('Lease Cycles'!$CI$26:$CO$26,1,AT316))^INT(INT(AT317/12)/INDEX('Lease Cycles'!$CP$26:$CV$26,1,AT316))/12,IF(AT316=1,IF(AT317&gt;=INDEX('Lease Cycles'!$DK$26:$DQ$26,1,AT316),IF(AT$6&gt;='Lease Cycles'!$AZ$26,'Lease Cycles'!$C$26*'Lease Cycles'!$BA$26/12,IF(AT$6&gt;='Lease Cycles'!$AX$26,'Lease Cycles'!$C$26*'Lease Cycles'!$AY$26/12,IF(AT$6&gt;='Lease Cycles'!$AV$26,'Lease Cycles'!$C$26*'Lease Cycles'!$AW$26/12,IF(AT$6&gt;='Lease Cycles'!$AT$26,'Lease Cycles'!$C$26*'Lease Cycles'!$AU$26/12,'Lease Cycles'!$C$26*INDEX('Lease Cycles'!$CB$26:$CH$26,1,AT316)*(1+INDEX('Lease Cycles'!$CI$26:$CO$26,1,AT316))^INT(INT(AT317/12)/INDEX('Lease Cycles'!$CP$26:$CV$26,1,AT316))/12)))),'Lease Cycles'!$C$26*INDEX('Lease Cycles'!$CB$26:$CH$26,1,AT316)*(1+INDEX('Lease Cycles'!$CI$26:$CO$26,1,AT316))^INT(INT(AT317/12)/INDEX('Lease Cycles'!$CP$26:$CV$26,1,AT316))/12),IF(INDEX('Lease Cycles'!$EF$26:$EL$26,1,AT316)=1,IF(AND('Lease Cycles'!$AZ$26&gt;=INDEX('Lease Cycles'!$BG$26:$BM$26,1,AT316),'Lease Cycles'!$AZ$26&lt;=AT$6),'Lease Cycles'!$C$26*'Lease Cycles'!$BA$26/12,IF(AND('Lease Cycles'!$AX$26&gt;=INDEX('Lease Cycles'!$BG$26:$BM$26,1,AT316),'Lease Cycles'!$AX$26&lt;=AT$6),'Lease Cycles'!$C$26*'Lease Cycles'!$AY$26/12,IF(AND('Lease Cycles'!$AV$26&gt;=INDEX('Lease Cycles'!$BG$26:$BM$26,1,AT316),'Lease Cycles'!$AV$26&lt;=AT$6),'Lease Cycles'!$C$26*'Lease Cycles'!$AW$26/12,IF(AND('Lease Cycles'!$AT$26&gt;=INDEX('Lease Cycles'!$BG$26:$BM$26,1,AT316),'Lease Cycles'!$AT$26&lt;=AT$6),'Lease Cycles'!$C$26*'Lease Cycles'!$AU$26/12,'Lease Cycles'!$C$26*INDEX('Lease Cycles'!$CB$26:$CH$26,1,AT316)*(1+INDEX('Lease Cycles'!$CI$26:$CO$26,1,AT316))^INT(INT(AT317/12)/INDEX('Lease Cycles'!$CP$26:$CV$26,1,AT316))/12)))),'Lease Cycles'!$C$26*INDEX('Lease Cycles'!$CB$26:$CH$26,1,AT316)*(1+INDEX('Lease Cycles'!$CI$26:$CO$26,1,AT316))^INT(INT(AT317/12)/INDEX('Lease Cycles'!$CP$26:$CV$26,1,AT316))/12))),IF('Lease Cycles'!$N$26=1,'Lease Cycles'!$C$26*'Lease Cycles'!$E$26*INDEX('Lease Cycles'!$HE$26:$HK$26,1,AT316)*(1+INDEX('Lease Cycles'!$GQ$26:$GW$26,1,AT316))^INT(INT((AT$6-INDEX('Lease Cycles'!$GJ$26:$GP$26,1,AT316))/12)/INDEX('Lease Cycles'!$GX$26:$HD$26,1,AT316))/12,0)))</f>
        <v>0</v>
      </c>
      <c r="AU319" s="28">
        <f>IF(AU316=0,IF('Lease Cycles'!$F$26&gt;0,'Lease Cycles'!$C$26*'Lease Cycles'!$E$26/12,0),IF(AU318=1,IF('Lease Cycles'!$AT$26&gt;=9999,'Lease Cycles'!$C$26*INDEX('Lease Cycles'!$CB$26:$CH$26,1,AU316)*(1+INDEX('Lease Cycles'!$CI$26:$CO$26,1,AU316))^INT(INT(AU317/12)/INDEX('Lease Cycles'!$CP$26:$CV$26,1,AU316))/12,IF(AU316=1,IF(AU317&gt;=INDEX('Lease Cycles'!$DK$26:$DQ$26,1,AU316),IF(AU$6&gt;='Lease Cycles'!$AZ$26,'Lease Cycles'!$C$26*'Lease Cycles'!$BA$26/12,IF(AU$6&gt;='Lease Cycles'!$AX$26,'Lease Cycles'!$C$26*'Lease Cycles'!$AY$26/12,IF(AU$6&gt;='Lease Cycles'!$AV$26,'Lease Cycles'!$C$26*'Lease Cycles'!$AW$26/12,IF(AU$6&gt;='Lease Cycles'!$AT$26,'Lease Cycles'!$C$26*'Lease Cycles'!$AU$26/12,'Lease Cycles'!$C$26*INDEX('Lease Cycles'!$CB$26:$CH$26,1,AU316)*(1+INDEX('Lease Cycles'!$CI$26:$CO$26,1,AU316))^INT(INT(AU317/12)/INDEX('Lease Cycles'!$CP$26:$CV$26,1,AU316))/12)))),'Lease Cycles'!$C$26*INDEX('Lease Cycles'!$CB$26:$CH$26,1,AU316)*(1+INDEX('Lease Cycles'!$CI$26:$CO$26,1,AU316))^INT(INT(AU317/12)/INDEX('Lease Cycles'!$CP$26:$CV$26,1,AU316))/12),IF(INDEX('Lease Cycles'!$EF$26:$EL$26,1,AU316)=1,IF(AND('Lease Cycles'!$AZ$26&gt;=INDEX('Lease Cycles'!$BG$26:$BM$26,1,AU316),'Lease Cycles'!$AZ$26&lt;=AU$6),'Lease Cycles'!$C$26*'Lease Cycles'!$BA$26/12,IF(AND('Lease Cycles'!$AX$26&gt;=INDEX('Lease Cycles'!$BG$26:$BM$26,1,AU316),'Lease Cycles'!$AX$26&lt;=AU$6),'Lease Cycles'!$C$26*'Lease Cycles'!$AY$26/12,IF(AND('Lease Cycles'!$AV$26&gt;=INDEX('Lease Cycles'!$BG$26:$BM$26,1,AU316),'Lease Cycles'!$AV$26&lt;=AU$6),'Lease Cycles'!$C$26*'Lease Cycles'!$AW$26/12,IF(AND('Lease Cycles'!$AT$26&gt;=INDEX('Lease Cycles'!$BG$26:$BM$26,1,AU316),'Lease Cycles'!$AT$26&lt;=AU$6),'Lease Cycles'!$C$26*'Lease Cycles'!$AU$26/12,'Lease Cycles'!$C$26*INDEX('Lease Cycles'!$CB$26:$CH$26,1,AU316)*(1+INDEX('Lease Cycles'!$CI$26:$CO$26,1,AU316))^INT(INT(AU317/12)/INDEX('Lease Cycles'!$CP$26:$CV$26,1,AU316))/12)))),'Lease Cycles'!$C$26*INDEX('Lease Cycles'!$CB$26:$CH$26,1,AU316)*(1+INDEX('Lease Cycles'!$CI$26:$CO$26,1,AU316))^INT(INT(AU317/12)/INDEX('Lease Cycles'!$CP$26:$CV$26,1,AU316))/12))),IF('Lease Cycles'!$N$26=1,'Lease Cycles'!$C$26*'Lease Cycles'!$E$26*INDEX('Lease Cycles'!$HE$26:$HK$26,1,AU316)*(1+INDEX('Lease Cycles'!$GQ$26:$GW$26,1,AU316))^INT(INT((AU$6-INDEX('Lease Cycles'!$GJ$26:$GP$26,1,AU316))/12)/INDEX('Lease Cycles'!$GX$26:$HD$26,1,AU316))/12,0)))</f>
        <v>0</v>
      </c>
      <c r="AV319" s="28">
        <f>IF(AV316=0,IF('Lease Cycles'!$F$26&gt;0,'Lease Cycles'!$C$26*'Lease Cycles'!$E$26/12,0),IF(AV318=1,IF('Lease Cycles'!$AT$26&gt;=9999,'Lease Cycles'!$C$26*INDEX('Lease Cycles'!$CB$26:$CH$26,1,AV316)*(1+INDEX('Lease Cycles'!$CI$26:$CO$26,1,AV316))^INT(INT(AV317/12)/INDEX('Lease Cycles'!$CP$26:$CV$26,1,AV316))/12,IF(AV316=1,IF(AV317&gt;=INDEX('Lease Cycles'!$DK$26:$DQ$26,1,AV316),IF(AV$6&gt;='Lease Cycles'!$AZ$26,'Lease Cycles'!$C$26*'Lease Cycles'!$BA$26/12,IF(AV$6&gt;='Lease Cycles'!$AX$26,'Lease Cycles'!$C$26*'Lease Cycles'!$AY$26/12,IF(AV$6&gt;='Lease Cycles'!$AV$26,'Lease Cycles'!$C$26*'Lease Cycles'!$AW$26/12,IF(AV$6&gt;='Lease Cycles'!$AT$26,'Lease Cycles'!$C$26*'Lease Cycles'!$AU$26/12,'Lease Cycles'!$C$26*INDEX('Lease Cycles'!$CB$26:$CH$26,1,AV316)*(1+INDEX('Lease Cycles'!$CI$26:$CO$26,1,AV316))^INT(INT(AV317/12)/INDEX('Lease Cycles'!$CP$26:$CV$26,1,AV316))/12)))),'Lease Cycles'!$C$26*INDEX('Lease Cycles'!$CB$26:$CH$26,1,AV316)*(1+INDEX('Lease Cycles'!$CI$26:$CO$26,1,AV316))^INT(INT(AV317/12)/INDEX('Lease Cycles'!$CP$26:$CV$26,1,AV316))/12),IF(INDEX('Lease Cycles'!$EF$26:$EL$26,1,AV316)=1,IF(AND('Lease Cycles'!$AZ$26&gt;=INDEX('Lease Cycles'!$BG$26:$BM$26,1,AV316),'Lease Cycles'!$AZ$26&lt;=AV$6),'Lease Cycles'!$C$26*'Lease Cycles'!$BA$26/12,IF(AND('Lease Cycles'!$AX$26&gt;=INDEX('Lease Cycles'!$BG$26:$BM$26,1,AV316),'Lease Cycles'!$AX$26&lt;=AV$6),'Lease Cycles'!$C$26*'Lease Cycles'!$AY$26/12,IF(AND('Lease Cycles'!$AV$26&gt;=INDEX('Lease Cycles'!$BG$26:$BM$26,1,AV316),'Lease Cycles'!$AV$26&lt;=AV$6),'Lease Cycles'!$C$26*'Lease Cycles'!$AW$26/12,IF(AND('Lease Cycles'!$AT$26&gt;=INDEX('Lease Cycles'!$BG$26:$BM$26,1,AV316),'Lease Cycles'!$AT$26&lt;=AV$6),'Lease Cycles'!$C$26*'Lease Cycles'!$AU$26/12,'Lease Cycles'!$C$26*INDEX('Lease Cycles'!$CB$26:$CH$26,1,AV316)*(1+INDEX('Lease Cycles'!$CI$26:$CO$26,1,AV316))^INT(INT(AV317/12)/INDEX('Lease Cycles'!$CP$26:$CV$26,1,AV316))/12)))),'Lease Cycles'!$C$26*INDEX('Lease Cycles'!$CB$26:$CH$26,1,AV316)*(1+INDEX('Lease Cycles'!$CI$26:$CO$26,1,AV316))^INT(INT(AV317/12)/INDEX('Lease Cycles'!$CP$26:$CV$26,1,AV316))/12))),IF('Lease Cycles'!$N$26=1,'Lease Cycles'!$C$26*'Lease Cycles'!$E$26*INDEX('Lease Cycles'!$HE$26:$HK$26,1,AV316)*(1+INDEX('Lease Cycles'!$GQ$26:$GW$26,1,AV316))^INT(INT((AV$6-INDEX('Lease Cycles'!$GJ$26:$GP$26,1,AV316))/12)/INDEX('Lease Cycles'!$GX$26:$HD$26,1,AV316))/12,0)))</f>
        <v>0</v>
      </c>
      <c r="AW319" s="28">
        <f>IF(AW316=0,IF('Lease Cycles'!$F$26&gt;0,'Lease Cycles'!$C$26*'Lease Cycles'!$E$26/12,0),IF(AW318=1,IF('Lease Cycles'!$AT$26&gt;=9999,'Lease Cycles'!$C$26*INDEX('Lease Cycles'!$CB$26:$CH$26,1,AW316)*(1+INDEX('Lease Cycles'!$CI$26:$CO$26,1,AW316))^INT(INT(AW317/12)/INDEX('Lease Cycles'!$CP$26:$CV$26,1,AW316))/12,IF(AW316=1,IF(AW317&gt;=INDEX('Lease Cycles'!$DK$26:$DQ$26,1,AW316),IF(AW$6&gt;='Lease Cycles'!$AZ$26,'Lease Cycles'!$C$26*'Lease Cycles'!$BA$26/12,IF(AW$6&gt;='Lease Cycles'!$AX$26,'Lease Cycles'!$C$26*'Lease Cycles'!$AY$26/12,IF(AW$6&gt;='Lease Cycles'!$AV$26,'Lease Cycles'!$C$26*'Lease Cycles'!$AW$26/12,IF(AW$6&gt;='Lease Cycles'!$AT$26,'Lease Cycles'!$C$26*'Lease Cycles'!$AU$26/12,'Lease Cycles'!$C$26*INDEX('Lease Cycles'!$CB$26:$CH$26,1,AW316)*(1+INDEX('Lease Cycles'!$CI$26:$CO$26,1,AW316))^INT(INT(AW317/12)/INDEX('Lease Cycles'!$CP$26:$CV$26,1,AW316))/12)))),'Lease Cycles'!$C$26*INDEX('Lease Cycles'!$CB$26:$CH$26,1,AW316)*(1+INDEX('Lease Cycles'!$CI$26:$CO$26,1,AW316))^INT(INT(AW317/12)/INDEX('Lease Cycles'!$CP$26:$CV$26,1,AW316))/12),IF(INDEX('Lease Cycles'!$EF$26:$EL$26,1,AW316)=1,IF(AND('Lease Cycles'!$AZ$26&gt;=INDEX('Lease Cycles'!$BG$26:$BM$26,1,AW316),'Lease Cycles'!$AZ$26&lt;=AW$6),'Lease Cycles'!$C$26*'Lease Cycles'!$BA$26/12,IF(AND('Lease Cycles'!$AX$26&gt;=INDEX('Lease Cycles'!$BG$26:$BM$26,1,AW316),'Lease Cycles'!$AX$26&lt;=AW$6),'Lease Cycles'!$C$26*'Lease Cycles'!$AY$26/12,IF(AND('Lease Cycles'!$AV$26&gt;=INDEX('Lease Cycles'!$BG$26:$BM$26,1,AW316),'Lease Cycles'!$AV$26&lt;=AW$6),'Lease Cycles'!$C$26*'Lease Cycles'!$AW$26/12,IF(AND('Lease Cycles'!$AT$26&gt;=INDEX('Lease Cycles'!$BG$26:$BM$26,1,AW316),'Lease Cycles'!$AT$26&lt;=AW$6),'Lease Cycles'!$C$26*'Lease Cycles'!$AU$26/12,'Lease Cycles'!$C$26*INDEX('Lease Cycles'!$CB$26:$CH$26,1,AW316)*(1+INDEX('Lease Cycles'!$CI$26:$CO$26,1,AW316))^INT(INT(AW317/12)/INDEX('Lease Cycles'!$CP$26:$CV$26,1,AW316))/12)))),'Lease Cycles'!$C$26*INDEX('Lease Cycles'!$CB$26:$CH$26,1,AW316)*(1+INDEX('Lease Cycles'!$CI$26:$CO$26,1,AW316))^INT(INT(AW317/12)/INDEX('Lease Cycles'!$CP$26:$CV$26,1,AW316))/12))),IF('Lease Cycles'!$N$26=1,'Lease Cycles'!$C$26*'Lease Cycles'!$E$26*INDEX('Lease Cycles'!$HE$26:$HK$26,1,AW316)*(1+INDEX('Lease Cycles'!$GQ$26:$GW$26,1,AW316))^INT(INT((AW$6-INDEX('Lease Cycles'!$GJ$26:$GP$26,1,AW316))/12)/INDEX('Lease Cycles'!$GX$26:$HD$26,1,AW316))/12,0)))</f>
        <v>0</v>
      </c>
      <c r="AX319" s="28">
        <f>IF(AX316=0,IF('Lease Cycles'!$F$26&gt;0,'Lease Cycles'!$C$26*'Lease Cycles'!$E$26/12,0),IF(AX318=1,IF('Lease Cycles'!$AT$26&gt;=9999,'Lease Cycles'!$C$26*INDEX('Lease Cycles'!$CB$26:$CH$26,1,AX316)*(1+INDEX('Lease Cycles'!$CI$26:$CO$26,1,AX316))^INT(INT(AX317/12)/INDEX('Lease Cycles'!$CP$26:$CV$26,1,AX316))/12,IF(AX316=1,IF(AX317&gt;=INDEX('Lease Cycles'!$DK$26:$DQ$26,1,AX316),IF(AX$6&gt;='Lease Cycles'!$AZ$26,'Lease Cycles'!$C$26*'Lease Cycles'!$BA$26/12,IF(AX$6&gt;='Lease Cycles'!$AX$26,'Lease Cycles'!$C$26*'Lease Cycles'!$AY$26/12,IF(AX$6&gt;='Lease Cycles'!$AV$26,'Lease Cycles'!$C$26*'Lease Cycles'!$AW$26/12,IF(AX$6&gt;='Lease Cycles'!$AT$26,'Lease Cycles'!$C$26*'Lease Cycles'!$AU$26/12,'Lease Cycles'!$C$26*INDEX('Lease Cycles'!$CB$26:$CH$26,1,AX316)*(1+INDEX('Lease Cycles'!$CI$26:$CO$26,1,AX316))^INT(INT(AX317/12)/INDEX('Lease Cycles'!$CP$26:$CV$26,1,AX316))/12)))),'Lease Cycles'!$C$26*INDEX('Lease Cycles'!$CB$26:$CH$26,1,AX316)*(1+INDEX('Lease Cycles'!$CI$26:$CO$26,1,AX316))^INT(INT(AX317/12)/INDEX('Lease Cycles'!$CP$26:$CV$26,1,AX316))/12),IF(INDEX('Lease Cycles'!$EF$26:$EL$26,1,AX316)=1,IF(AND('Lease Cycles'!$AZ$26&gt;=INDEX('Lease Cycles'!$BG$26:$BM$26,1,AX316),'Lease Cycles'!$AZ$26&lt;=AX$6),'Lease Cycles'!$C$26*'Lease Cycles'!$BA$26/12,IF(AND('Lease Cycles'!$AX$26&gt;=INDEX('Lease Cycles'!$BG$26:$BM$26,1,AX316),'Lease Cycles'!$AX$26&lt;=AX$6),'Lease Cycles'!$C$26*'Lease Cycles'!$AY$26/12,IF(AND('Lease Cycles'!$AV$26&gt;=INDEX('Lease Cycles'!$BG$26:$BM$26,1,AX316),'Lease Cycles'!$AV$26&lt;=AX$6),'Lease Cycles'!$C$26*'Lease Cycles'!$AW$26/12,IF(AND('Lease Cycles'!$AT$26&gt;=INDEX('Lease Cycles'!$BG$26:$BM$26,1,AX316),'Lease Cycles'!$AT$26&lt;=AX$6),'Lease Cycles'!$C$26*'Lease Cycles'!$AU$26/12,'Lease Cycles'!$C$26*INDEX('Lease Cycles'!$CB$26:$CH$26,1,AX316)*(1+INDEX('Lease Cycles'!$CI$26:$CO$26,1,AX316))^INT(INT(AX317/12)/INDEX('Lease Cycles'!$CP$26:$CV$26,1,AX316))/12)))),'Lease Cycles'!$C$26*INDEX('Lease Cycles'!$CB$26:$CH$26,1,AX316)*(1+INDEX('Lease Cycles'!$CI$26:$CO$26,1,AX316))^INT(INT(AX317/12)/INDEX('Lease Cycles'!$CP$26:$CV$26,1,AX316))/12))),IF('Lease Cycles'!$N$26=1,'Lease Cycles'!$C$26*'Lease Cycles'!$E$26*INDEX('Lease Cycles'!$HE$26:$HK$26,1,AX316)*(1+INDEX('Lease Cycles'!$GQ$26:$GW$26,1,AX316))^INT(INT((AX$6-INDEX('Lease Cycles'!$GJ$26:$GP$26,1,AX316))/12)/INDEX('Lease Cycles'!$GX$26:$HD$26,1,AX316))/12,0)))</f>
        <v>0</v>
      </c>
      <c r="AY319" s="28">
        <f>IF(AY316=0,IF('Lease Cycles'!$F$26&gt;0,'Lease Cycles'!$C$26*'Lease Cycles'!$E$26/12,0),IF(AY318=1,IF('Lease Cycles'!$AT$26&gt;=9999,'Lease Cycles'!$C$26*INDEX('Lease Cycles'!$CB$26:$CH$26,1,AY316)*(1+INDEX('Lease Cycles'!$CI$26:$CO$26,1,AY316))^INT(INT(AY317/12)/INDEX('Lease Cycles'!$CP$26:$CV$26,1,AY316))/12,IF(AY316=1,IF(AY317&gt;=INDEX('Lease Cycles'!$DK$26:$DQ$26,1,AY316),IF(AY$6&gt;='Lease Cycles'!$AZ$26,'Lease Cycles'!$C$26*'Lease Cycles'!$BA$26/12,IF(AY$6&gt;='Lease Cycles'!$AX$26,'Lease Cycles'!$C$26*'Lease Cycles'!$AY$26/12,IF(AY$6&gt;='Lease Cycles'!$AV$26,'Lease Cycles'!$C$26*'Lease Cycles'!$AW$26/12,IF(AY$6&gt;='Lease Cycles'!$AT$26,'Lease Cycles'!$C$26*'Lease Cycles'!$AU$26/12,'Lease Cycles'!$C$26*INDEX('Lease Cycles'!$CB$26:$CH$26,1,AY316)*(1+INDEX('Lease Cycles'!$CI$26:$CO$26,1,AY316))^INT(INT(AY317/12)/INDEX('Lease Cycles'!$CP$26:$CV$26,1,AY316))/12)))),'Lease Cycles'!$C$26*INDEX('Lease Cycles'!$CB$26:$CH$26,1,AY316)*(1+INDEX('Lease Cycles'!$CI$26:$CO$26,1,AY316))^INT(INT(AY317/12)/INDEX('Lease Cycles'!$CP$26:$CV$26,1,AY316))/12),IF(INDEX('Lease Cycles'!$EF$26:$EL$26,1,AY316)=1,IF(AND('Lease Cycles'!$AZ$26&gt;=INDEX('Lease Cycles'!$BG$26:$BM$26,1,AY316),'Lease Cycles'!$AZ$26&lt;=AY$6),'Lease Cycles'!$C$26*'Lease Cycles'!$BA$26/12,IF(AND('Lease Cycles'!$AX$26&gt;=INDEX('Lease Cycles'!$BG$26:$BM$26,1,AY316),'Lease Cycles'!$AX$26&lt;=AY$6),'Lease Cycles'!$C$26*'Lease Cycles'!$AY$26/12,IF(AND('Lease Cycles'!$AV$26&gt;=INDEX('Lease Cycles'!$BG$26:$BM$26,1,AY316),'Lease Cycles'!$AV$26&lt;=AY$6),'Lease Cycles'!$C$26*'Lease Cycles'!$AW$26/12,IF(AND('Lease Cycles'!$AT$26&gt;=INDEX('Lease Cycles'!$BG$26:$BM$26,1,AY316),'Lease Cycles'!$AT$26&lt;=AY$6),'Lease Cycles'!$C$26*'Lease Cycles'!$AU$26/12,'Lease Cycles'!$C$26*INDEX('Lease Cycles'!$CB$26:$CH$26,1,AY316)*(1+INDEX('Lease Cycles'!$CI$26:$CO$26,1,AY316))^INT(INT(AY317/12)/INDEX('Lease Cycles'!$CP$26:$CV$26,1,AY316))/12)))),'Lease Cycles'!$C$26*INDEX('Lease Cycles'!$CB$26:$CH$26,1,AY316)*(1+INDEX('Lease Cycles'!$CI$26:$CO$26,1,AY316))^INT(INT(AY317/12)/INDEX('Lease Cycles'!$CP$26:$CV$26,1,AY316))/12))),IF('Lease Cycles'!$N$26=1,'Lease Cycles'!$C$26*'Lease Cycles'!$E$26*INDEX('Lease Cycles'!$HE$26:$HK$26,1,AY316)*(1+INDEX('Lease Cycles'!$GQ$26:$GW$26,1,AY316))^INT(INT((AY$6-INDEX('Lease Cycles'!$GJ$26:$GP$26,1,AY316))/12)/INDEX('Lease Cycles'!$GX$26:$HD$26,1,AY316))/12,0)))</f>
        <v>0</v>
      </c>
      <c r="AZ319" s="28">
        <f>IF(AZ316=0,IF('Lease Cycles'!$F$26&gt;0,'Lease Cycles'!$C$26*'Lease Cycles'!$E$26/12,0),IF(AZ318=1,IF('Lease Cycles'!$AT$26&gt;=9999,'Lease Cycles'!$C$26*INDEX('Lease Cycles'!$CB$26:$CH$26,1,AZ316)*(1+INDEX('Lease Cycles'!$CI$26:$CO$26,1,AZ316))^INT(INT(AZ317/12)/INDEX('Lease Cycles'!$CP$26:$CV$26,1,AZ316))/12,IF(AZ316=1,IF(AZ317&gt;=INDEX('Lease Cycles'!$DK$26:$DQ$26,1,AZ316),IF(AZ$6&gt;='Lease Cycles'!$AZ$26,'Lease Cycles'!$C$26*'Lease Cycles'!$BA$26/12,IF(AZ$6&gt;='Lease Cycles'!$AX$26,'Lease Cycles'!$C$26*'Lease Cycles'!$AY$26/12,IF(AZ$6&gt;='Lease Cycles'!$AV$26,'Lease Cycles'!$C$26*'Lease Cycles'!$AW$26/12,IF(AZ$6&gt;='Lease Cycles'!$AT$26,'Lease Cycles'!$C$26*'Lease Cycles'!$AU$26/12,'Lease Cycles'!$C$26*INDEX('Lease Cycles'!$CB$26:$CH$26,1,AZ316)*(1+INDEX('Lease Cycles'!$CI$26:$CO$26,1,AZ316))^INT(INT(AZ317/12)/INDEX('Lease Cycles'!$CP$26:$CV$26,1,AZ316))/12)))),'Lease Cycles'!$C$26*INDEX('Lease Cycles'!$CB$26:$CH$26,1,AZ316)*(1+INDEX('Lease Cycles'!$CI$26:$CO$26,1,AZ316))^INT(INT(AZ317/12)/INDEX('Lease Cycles'!$CP$26:$CV$26,1,AZ316))/12),IF(INDEX('Lease Cycles'!$EF$26:$EL$26,1,AZ316)=1,IF(AND('Lease Cycles'!$AZ$26&gt;=INDEX('Lease Cycles'!$BG$26:$BM$26,1,AZ316),'Lease Cycles'!$AZ$26&lt;=AZ$6),'Lease Cycles'!$C$26*'Lease Cycles'!$BA$26/12,IF(AND('Lease Cycles'!$AX$26&gt;=INDEX('Lease Cycles'!$BG$26:$BM$26,1,AZ316),'Lease Cycles'!$AX$26&lt;=AZ$6),'Lease Cycles'!$C$26*'Lease Cycles'!$AY$26/12,IF(AND('Lease Cycles'!$AV$26&gt;=INDEX('Lease Cycles'!$BG$26:$BM$26,1,AZ316),'Lease Cycles'!$AV$26&lt;=AZ$6),'Lease Cycles'!$C$26*'Lease Cycles'!$AW$26/12,IF(AND('Lease Cycles'!$AT$26&gt;=INDEX('Lease Cycles'!$BG$26:$BM$26,1,AZ316),'Lease Cycles'!$AT$26&lt;=AZ$6),'Lease Cycles'!$C$26*'Lease Cycles'!$AU$26/12,'Lease Cycles'!$C$26*INDEX('Lease Cycles'!$CB$26:$CH$26,1,AZ316)*(1+INDEX('Lease Cycles'!$CI$26:$CO$26,1,AZ316))^INT(INT(AZ317/12)/INDEX('Lease Cycles'!$CP$26:$CV$26,1,AZ316))/12)))),'Lease Cycles'!$C$26*INDEX('Lease Cycles'!$CB$26:$CH$26,1,AZ316)*(1+INDEX('Lease Cycles'!$CI$26:$CO$26,1,AZ316))^INT(INT(AZ317/12)/INDEX('Lease Cycles'!$CP$26:$CV$26,1,AZ316))/12))),IF('Lease Cycles'!$N$26=1,'Lease Cycles'!$C$26*'Lease Cycles'!$E$26*INDEX('Lease Cycles'!$HE$26:$HK$26,1,AZ316)*(1+INDEX('Lease Cycles'!$GQ$26:$GW$26,1,AZ316))^INT(INT((AZ$6-INDEX('Lease Cycles'!$GJ$26:$GP$26,1,AZ316))/12)/INDEX('Lease Cycles'!$GX$26:$HD$26,1,AZ316))/12,0)))</f>
        <v>0</v>
      </c>
      <c r="BA319" s="28">
        <f>IF(BA316=0,IF('Lease Cycles'!$F$26&gt;0,'Lease Cycles'!$C$26*'Lease Cycles'!$E$26/12,0),IF(BA318=1,IF('Lease Cycles'!$AT$26&gt;=9999,'Lease Cycles'!$C$26*INDEX('Lease Cycles'!$CB$26:$CH$26,1,BA316)*(1+INDEX('Lease Cycles'!$CI$26:$CO$26,1,BA316))^INT(INT(BA317/12)/INDEX('Lease Cycles'!$CP$26:$CV$26,1,BA316))/12,IF(BA316=1,IF(BA317&gt;=INDEX('Lease Cycles'!$DK$26:$DQ$26,1,BA316),IF(BA$6&gt;='Lease Cycles'!$AZ$26,'Lease Cycles'!$C$26*'Lease Cycles'!$BA$26/12,IF(BA$6&gt;='Lease Cycles'!$AX$26,'Lease Cycles'!$C$26*'Lease Cycles'!$AY$26/12,IF(BA$6&gt;='Lease Cycles'!$AV$26,'Lease Cycles'!$C$26*'Lease Cycles'!$AW$26/12,IF(BA$6&gt;='Lease Cycles'!$AT$26,'Lease Cycles'!$C$26*'Lease Cycles'!$AU$26/12,'Lease Cycles'!$C$26*INDEX('Lease Cycles'!$CB$26:$CH$26,1,BA316)*(1+INDEX('Lease Cycles'!$CI$26:$CO$26,1,BA316))^INT(INT(BA317/12)/INDEX('Lease Cycles'!$CP$26:$CV$26,1,BA316))/12)))),'Lease Cycles'!$C$26*INDEX('Lease Cycles'!$CB$26:$CH$26,1,BA316)*(1+INDEX('Lease Cycles'!$CI$26:$CO$26,1,BA316))^INT(INT(BA317/12)/INDEX('Lease Cycles'!$CP$26:$CV$26,1,BA316))/12),IF(INDEX('Lease Cycles'!$EF$26:$EL$26,1,BA316)=1,IF(AND('Lease Cycles'!$AZ$26&gt;=INDEX('Lease Cycles'!$BG$26:$BM$26,1,BA316),'Lease Cycles'!$AZ$26&lt;=BA$6),'Lease Cycles'!$C$26*'Lease Cycles'!$BA$26/12,IF(AND('Lease Cycles'!$AX$26&gt;=INDEX('Lease Cycles'!$BG$26:$BM$26,1,BA316),'Lease Cycles'!$AX$26&lt;=BA$6),'Lease Cycles'!$C$26*'Lease Cycles'!$AY$26/12,IF(AND('Lease Cycles'!$AV$26&gt;=INDEX('Lease Cycles'!$BG$26:$BM$26,1,BA316),'Lease Cycles'!$AV$26&lt;=BA$6),'Lease Cycles'!$C$26*'Lease Cycles'!$AW$26/12,IF(AND('Lease Cycles'!$AT$26&gt;=INDEX('Lease Cycles'!$BG$26:$BM$26,1,BA316),'Lease Cycles'!$AT$26&lt;=BA$6),'Lease Cycles'!$C$26*'Lease Cycles'!$AU$26/12,'Lease Cycles'!$C$26*INDEX('Lease Cycles'!$CB$26:$CH$26,1,BA316)*(1+INDEX('Lease Cycles'!$CI$26:$CO$26,1,BA316))^INT(INT(BA317/12)/INDEX('Lease Cycles'!$CP$26:$CV$26,1,BA316))/12)))),'Lease Cycles'!$C$26*INDEX('Lease Cycles'!$CB$26:$CH$26,1,BA316)*(1+INDEX('Lease Cycles'!$CI$26:$CO$26,1,BA316))^INT(INT(BA317/12)/INDEX('Lease Cycles'!$CP$26:$CV$26,1,BA316))/12))),IF('Lease Cycles'!$N$26=1,'Lease Cycles'!$C$26*'Lease Cycles'!$E$26*INDEX('Lease Cycles'!$HE$26:$HK$26,1,BA316)*(1+INDEX('Lease Cycles'!$GQ$26:$GW$26,1,BA316))^INT(INT((BA$6-INDEX('Lease Cycles'!$GJ$26:$GP$26,1,BA316))/12)/INDEX('Lease Cycles'!$GX$26:$HD$26,1,BA316))/12,0)))</f>
        <v>0</v>
      </c>
      <c r="BB319" s="28">
        <f>IF(BB316=0,IF('Lease Cycles'!$F$26&gt;0,'Lease Cycles'!$C$26*'Lease Cycles'!$E$26/12,0),IF(BB318=1,IF('Lease Cycles'!$AT$26&gt;=9999,'Lease Cycles'!$C$26*INDEX('Lease Cycles'!$CB$26:$CH$26,1,BB316)*(1+INDEX('Lease Cycles'!$CI$26:$CO$26,1,BB316))^INT(INT(BB317/12)/INDEX('Lease Cycles'!$CP$26:$CV$26,1,BB316))/12,IF(BB316=1,IF(BB317&gt;=INDEX('Lease Cycles'!$DK$26:$DQ$26,1,BB316),IF(BB$6&gt;='Lease Cycles'!$AZ$26,'Lease Cycles'!$C$26*'Lease Cycles'!$BA$26/12,IF(BB$6&gt;='Lease Cycles'!$AX$26,'Lease Cycles'!$C$26*'Lease Cycles'!$AY$26/12,IF(BB$6&gt;='Lease Cycles'!$AV$26,'Lease Cycles'!$C$26*'Lease Cycles'!$AW$26/12,IF(BB$6&gt;='Lease Cycles'!$AT$26,'Lease Cycles'!$C$26*'Lease Cycles'!$AU$26/12,'Lease Cycles'!$C$26*INDEX('Lease Cycles'!$CB$26:$CH$26,1,BB316)*(1+INDEX('Lease Cycles'!$CI$26:$CO$26,1,BB316))^INT(INT(BB317/12)/INDEX('Lease Cycles'!$CP$26:$CV$26,1,BB316))/12)))),'Lease Cycles'!$C$26*INDEX('Lease Cycles'!$CB$26:$CH$26,1,BB316)*(1+INDEX('Lease Cycles'!$CI$26:$CO$26,1,BB316))^INT(INT(BB317/12)/INDEX('Lease Cycles'!$CP$26:$CV$26,1,BB316))/12),IF(INDEX('Lease Cycles'!$EF$26:$EL$26,1,BB316)=1,IF(AND('Lease Cycles'!$AZ$26&gt;=INDEX('Lease Cycles'!$BG$26:$BM$26,1,BB316),'Lease Cycles'!$AZ$26&lt;=BB$6),'Lease Cycles'!$C$26*'Lease Cycles'!$BA$26/12,IF(AND('Lease Cycles'!$AX$26&gt;=INDEX('Lease Cycles'!$BG$26:$BM$26,1,BB316),'Lease Cycles'!$AX$26&lt;=BB$6),'Lease Cycles'!$C$26*'Lease Cycles'!$AY$26/12,IF(AND('Lease Cycles'!$AV$26&gt;=INDEX('Lease Cycles'!$BG$26:$BM$26,1,BB316),'Lease Cycles'!$AV$26&lt;=BB$6),'Lease Cycles'!$C$26*'Lease Cycles'!$AW$26/12,IF(AND('Lease Cycles'!$AT$26&gt;=INDEX('Lease Cycles'!$BG$26:$BM$26,1,BB316),'Lease Cycles'!$AT$26&lt;=BB$6),'Lease Cycles'!$C$26*'Lease Cycles'!$AU$26/12,'Lease Cycles'!$C$26*INDEX('Lease Cycles'!$CB$26:$CH$26,1,BB316)*(1+INDEX('Lease Cycles'!$CI$26:$CO$26,1,BB316))^INT(INT(BB317/12)/INDEX('Lease Cycles'!$CP$26:$CV$26,1,BB316))/12)))),'Lease Cycles'!$C$26*INDEX('Lease Cycles'!$CB$26:$CH$26,1,BB316)*(1+INDEX('Lease Cycles'!$CI$26:$CO$26,1,BB316))^INT(INT(BB317/12)/INDEX('Lease Cycles'!$CP$26:$CV$26,1,BB316))/12))),IF('Lease Cycles'!$N$26=1,'Lease Cycles'!$C$26*'Lease Cycles'!$E$26*INDEX('Lease Cycles'!$HE$26:$HK$26,1,BB316)*(1+INDEX('Lease Cycles'!$GQ$26:$GW$26,1,BB316))^INT(INT((BB$6-INDEX('Lease Cycles'!$GJ$26:$GP$26,1,BB316))/12)/INDEX('Lease Cycles'!$GX$26:$HD$26,1,BB316))/12,0)))</f>
        <v>0</v>
      </c>
      <c r="BC319" s="28">
        <f>IF(BC316=0,IF('Lease Cycles'!$F$26&gt;0,'Lease Cycles'!$C$26*'Lease Cycles'!$E$26/12,0),IF(BC318=1,IF('Lease Cycles'!$AT$26&gt;=9999,'Lease Cycles'!$C$26*INDEX('Lease Cycles'!$CB$26:$CH$26,1,BC316)*(1+INDEX('Lease Cycles'!$CI$26:$CO$26,1,BC316))^INT(INT(BC317/12)/INDEX('Lease Cycles'!$CP$26:$CV$26,1,BC316))/12,IF(BC316=1,IF(BC317&gt;=INDEX('Lease Cycles'!$DK$26:$DQ$26,1,BC316),IF(BC$6&gt;='Lease Cycles'!$AZ$26,'Lease Cycles'!$C$26*'Lease Cycles'!$BA$26/12,IF(BC$6&gt;='Lease Cycles'!$AX$26,'Lease Cycles'!$C$26*'Lease Cycles'!$AY$26/12,IF(BC$6&gt;='Lease Cycles'!$AV$26,'Lease Cycles'!$C$26*'Lease Cycles'!$AW$26/12,IF(BC$6&gt;='Lease Cycles'!$AT$26,'Lease Cycles'!$C$26*'Lease Cycles'!$AU$26/12,'Lease Cycles'!$C$26*INDEX('Lease Cycles'!$CB$26:$CH$26,1,BC316)*(1+INDEX('Lease Cycles'!$CI$26:$CO$26,1,BC316))^INT(INT(BC317/12)/INDEX('Lease Cycles'!$CP$26:$CV$26,1,BC316))/12)))),'Lease Cycles'!$C$26*INDEX('Lease Cycles'!$CB$26:$CH$26,1,BC316)*(1+INDEX('Lease Cycles'!$CI$26:$CO$26,1,BC316))^INT(INT(BC317/12)/INDEX('Lease Cycles'!$CP$26:$CV$26,1,BC316))/12),IF(INDEX('Lease Cycles'!$EF$26:$EL$26,1,BC316)=1,IF(AND('Lease Cycles'!$AZ$26&gt;=INDEX('Lease Cycles'!$BG$26:$BM$26,1,BC316),'Lease Cycles'!$AZ$26&lt;=BC$6),'Lease Cycles'!$C$26*'Lease Cycles'!$BA$26/12,IF(AND('Lease Cycles'!$AX$26&gt;=INDEX('Lease Cycles'!$BG$26:$BM$26,1,BC316),'Lease Cycles'!$AX$26&lt;=BC$6),'Lease Cycles'!$C$26*'Lease Cycles'!$AY$26/12,IF(AND('Lease Cycles'!$AV$26&gt;=INDEX('Lease Cycles'!$BG$26:$BM$26,1,BC316),'Lease Cycles'!$AV$26&lt;=BC$6),'Lease Cycles'!$C$26*'Lease Cycles'!$AW$26/12,IF(AND('Lease Cycles'!$AT$26&gt;=INDEX('Lease Cycles'!$BG$26:$BM$26,1,BC316),'Lease Cycles'!$AT$26&lt;=BC$6),'Lease Cycles'!$C$26*'Lease Cycles'!$AU$26/12,'Lease Cycles'!$C$26*INDEX('Lease Cycles'!$CB$26:$CH$26,1,BC316)*(1+INDEX('Lease Cycles'!$CI$26:$CO$26,1,BC316))^INT(INT(BC317/12)/INDEX('Lease Cycles'!$CP$26:$CV$26,1,BC316))/12)))),'Lease Cycles'!$C$26*INDEX('Lease Cycles'!$CB$26:$CH$26,1,BC316)*(1+INDEX('Lease Cycles'!$CI$26:$CO$26,1,BC316))^INT(INT(BC317/12)/INDEX('Lease Cycles'!$CP$26:$CV$26,1,BC316))/12))),IF('Lease Cycles'!$N$26=1,'Lease Cycles'!$C$26*'Lease Cycles'!$E$26*INDEX('Lease Cycles'!$HE$26:$HK$26,1,BC316)*(1+INDEX('Lease Cycles'!$GQ$26:$GW$26,1,BC316))^INT(INT((BC$6-INDEX('Lease Cycles'!$GJ$26:$GP$26,1,BC316))/12)/INDEX('Lease Cycles'!$GX$26:$HD$26,1,BC316))/12,0)))</f>
        <v>0</v>
      </c>
      <c r="BD319" s="28">
        <f>IF(BD316=0,IF('Lease Cycles'!$F$26&gt;0,'Lease Cycles'!$C$26*'Lease Cycles'!$E$26/12,0),IF(BD318=1,IF('Lease Cycles'!$AT$26&gt;=9999,'Lease Cycles'!$C$26*INDEX('Lease Cycles'!$CB$26:$CH$26,1,BD316)*(1+INDEX('Lease Cycles'!$CI$26:$CO$26,1,BD316))^INT(INT(BD317/12)/INDEX('Lease Cycles'!$CP$26:$CV$26,1,BD316))/12,IF(BD316=1,IF(BD317&gt;=INDEX('Lease Cycles'!$DK$26:$DQ$26,1,BD316),IF(BD$6&gt;='Lease Cycles'!$AZ$26,'Lease Cycles'!$C$26*'Lease Cycles'!$BA$26/12,IF(BD$6&gt;='Lease Cycles'!$AX$26,'Lease Cycles'!$C$26*'Lease Cycles'!$AY$26/12,IF(BD$6&gt;='Lease Cycles'!$AV$26,'Lease Cycles'!$C$26*'Lease Cycles'!$AW$26/12,IF(BD$6&gt;='Lease Cycles'!$AT$26,'Lease Cycles'!$C$26*'Lease Cycles'!$AU$26/12,'Lease Cycles'!$C$26*INDEX('Lease Cycles'!$CB$26:$CH$26,1,BD316)*(1+INDEX('Lease Cycles'!$CI$26:$CO$26,1,BD316))^INT(INT(BD317/12)/INDEX('Lease Cycles'!$CP$26:$CV$26,1,BD316))/12)))),'Lease Cycles'!$C$26*INDEX('Lease Cycles'!$CB$26:$CH$26,1,BD316)*(1+INDEX('Lease Cycles'!$CI$26:$CO$26,1,BD316))^INT(INT(BD317/12)/INDEX('Lease Cycles'!$CP$26:$CV$26,1,BD316))/12),IF(INDEX('Lease Cycles'!$EF$26:$EL$26,1,BD316)=1,IF(AND('Lease Cycles'!$AZ$26&gt;=INDEX('Lease Cycles'!$BG$26:$BM$26,1,BD316),'Lease Cycles'!$AZ$26&lt;=BD$6),'Lease Cycles'!$C$26*'Lease Cycles'!$BA$26/12,IF(AND('Lease Cycles'!$AX$26&gt;=INDEX('Lease Cycles'!$BG$26:$BM$26,1,BD316),'Lease Cycles'!$AX$26&lt;=BD$6),'Lease Cycles'!$C$26*'Lease Cycles'!$AY$26/12,IF(AND('Lease Cycles'!$AV$26&gt;=INDEX('Lease Cycles'!$BG$26:$BM$26,1,BD316),'Lease Cycles'!$AV$26&lt;=BD$6),'Lease Cycles'!$C$26*'Lease Cycles'!$AW$26/12,IF(AND('Lease Cycles'!$AT$26&gt;=INDEX('Lease Cycles'!$BG$26:$BM$26,1,BD316),'Lease Cycles'!$AT$26&lt;=BD$6),'Lease Cycles'!$C$26*'Lease Cycles'!$AU$26/12,'Lease Cycles'!$C$26*INDEX('Lease Cycles'!$CB$26:$CH$26,1,BD316)*(1+INDEX('Lease Cycles'!$CI$26:$CO$26,1,BD316))^INT(INT(BD317/12)/INDEX('Lease Cycles'!$CP$26:$CV$26,1,BD316))/12)))),'Lease Cycles'!$C$26*INDEX('Lease Cycles'!$CB$26:$CH$26,1,BD316)*(1+INDEX('Lease Cycles'!$CI$26:$CO$26,1,BD316))^INT(INT(BD317/12)/INDEX('Lease Cycles'!$CP$26:$CV$26,1,BD316))/12))),IF('Lease Cycles'!$N$26=1,'Lease Cycles'!$C$26*'Lease Cycles'!$E$26*INDEX('Lease Cycles'!$HE$26:$HK$26,1,BD316)*(1+INDEX('Lease Cycles'!$GQ$26:$GW$26,1,BD316))^INT(INT((BD$6-INDEX('Lease Cycles'!$GJ$26:$GP$26,1,BD316))/12)/INDEX('Lease Cycles'!$GX$26:$HD$26,1,BD316))/12,0)))</f>
        <v>0</v>
      </c>
      <c r="BE319" s="28">
        <f>IF(BE316=0,IF('Lease Cycles'!$F$26&gt;0,'Lease Cycles'!$C$26*'Lease Cycles'!$E$26/12,0),IF(BE318=1,IF('Lease Cycles'!$AT$26&gt;=9999,'Lease Cycles'!$C$26*INDEX('Lease Cycles'!$CB$26:$CH$26,1,BE316)*(1+INDEX('Lease Cycles'!$CI$26:$CO$26,1,BE316))^INT(INT(BE317/12)/INDEX('Lease Cycles'!$CP$26:$CV$26,1,BE316))/12,IF(BE316=1,IF(BE317&gt;=INDEX('Lease Cycles'!$DK$26:$DQ$26,1,BE316),IF(BE$6&gt;='Lease Cycles'!$AZ$26,'Lease Cycles'!$C$26*'Lease Cycles'!$BA$26/12,IF(BE$6&gt;='Lease Cycles'!$AX$26,'Lease Cycles'!$C$26*'Lease Cycles'!$AY$26/12,IF(BE$6&gt;='Lease Cycles'!$AV$26,'Lease Cycles'!$C$26*'Lease Cycles'!$AW$26/12,IF(BE$6&gt;='Lease Cycles'!$AT$26,'Lease Cycles'!$C$26*'Lease Cycles'!$AU$26/12,'Lease Cycles'!$C$26*INDEX('Lease Cycles'!$CB$26:$CH$26,1,BE316)*(1+INDEX('Lease Cycles'!$CI$26:$CO$26,1,BE316))^INT(INT(BE317/12)/INDEX('Lease Cycles'!$CP$26:$CV$26,1,BE316))/12)))),'Lease Cycles'!$C$26*INDEX('Lease Cycles'!$CB$26:$CH$26,1,BE316)*(1+INDEX('Lease Cycles'!$CI$26:$CO$26,1,BE316))^INT(INT(BE317/12)/INDEX('Lease Cycles'!$CP$26:$CV$26,1,BE316))/12),IF(INDEX('Lease Cycles'!$EF$26:$EL$26,1,BE316)=1,IF(AND('Lease Cycles'!$AZ$26&gt;=INDEX('Lease Cycles'!$BG$26:$BM$26,1,BE316),'Lease Cycles'!$AZ$26&lt;=BE$6),'Lease Cycles'!$C$26*'Lease Cycles'!$BA$26/12,IF(AND('Lease Cycles'!$AX$26&gt;=INDEX('Lease Cycles'!$BG$26:$BM$26,1,BE316),'Lease Cycles'!$AX$26&lt;=BE$6),'Lease Cycles'!$C$26*'Lease Cycles'!$AY$26/12,IF(AND('Lease Cycles'!$AV$26&gt;=INDEX('Lease Cycles'!$BG$26:$BM$26,1,BE316),'Lease Cycles'!$AV$26&lt;=BE$6),'Lease Cycles'!$C$26*'Lease Cycles'!$AW$26/12,IF(AND('Lease Cycles'!$AT$26&gt;=INDEX('Lease Cycles'!$BG$26:$BM$26,1,BE316),'Lease Cycles'!$AT$26&lt;=BE$6),'Lease Cycles'!$C$26*'Lease Cycles'!$AU$26/12,'Lease Cycles'!$C$26*INDEX('Lease Cycles'!$CB$26:$CH$26,1,BE316)*(1+INDEX('Lease Cycles'!$CI$26:$CO$26,1,BE316))^INT(INT(BE317/12)/INDEX('Lease Cycles'!$CP$26:$CV$26,1,BE316))/12)))),'Lease Cycles'!$C$26*INDEX('Lease Cycles'!$CB$26:$CH$26,1,BE316)*(1+INDEX('Lease Cycles'!$CI$26:$CO$26,1,BE316))^INT(INT(BE317/12)/INDEX('Lease Cycles'!$CP$26:$CV$26,1,BE316))/12))),IF('Lease Cycles'!$N$26=1,'Lease Cycles'!$C$26*'Lease Cycles'!$E$26*INDEX('Lease Cycles'!$HE$26:$HK$26,1,BE316)*(1+INDEX('Lease Cycles'!$GQ$26:$GW$26,1,BE316))^INT(INT((BE$6-INDEX('Lease Cycles'!$GJ$26:$GP$26,1,BE316))/12)/INDEX('Lease Cycles'!$GX$26:$HD$26,1,BE316))/12,0)))</f>
        <v>0</v>
      </c>
      <c r="BF319" s="28">
        <f>IF(BF316=0,IF('Lease Cycles'!$F$26&gt;0,'Lease Cycles'!$C$26*'Lease Cycles'!$E$26/12,0),IF(BF318=1,IF('Lease Cycles'!$AT$26&gt;=9999,'Lease Cycles'!$C$26*INDEX('Lease Cycles'!$CB$26:$CH$26,1,BF316)*(1+INDEX('Lease Cycles'!$CI$26:$CO$26,1,BF316))^INT(INT(BF317/12)/INDEX('Lease Cycles'!$CP$26:$CV$26,1,BF316))/12,IF(BF316=1,IF(BF317&gt;=INDEX('Lease Cycles'!$DK$26:$DQ$26,1,BF316),IF(BF$6&gt;='Lease Cycles'!$AZ$26,'Lease Cycles'!$C$26*'Lease Cycles'!$BA$26/12,IF(BF$6&gt;='Lease Cycles'!$AX$26,'Lease Cycles'!$C$26*'Lease Cycles'!$AY$26/12,IF(BF$6&gt;='Lease Cycles'!$AV$26,'Lease Cycles'!$C$26*'Lease Cycles'!$AW$26/12,IF(BF$6&gt;='Lease Cycles'!$AT$26,'Lease Cycles'!$C$26*'Lease Cycles'!$AU$26/12,'Lease Cycles'!$C$26*INDEX('Lease Cycles'!$CB$26:$CH$26,1,BF316)*(1+INDEX('Lease Cycles'!$CI$26:$CO$26,1,BF316))^INT(INT(BF317/12)/INDEX('Lease Cycles'!$CP$26:$CV$26,1,BF316))/12)))),'Lease Cycles'!$C$26*INDEX('Lease Cycles'!$CB$26:$CH$26,1,BF316)*(1+INDEX('Lease Cycles'!$CI$26:$CO$26,1,BF316))^INT(INT(BF317/12)/INDEX('Lease Cycles'!$CP$26:$CV$26,1,BF316))/12),IF(INDEX('Lease Cycles'!$EF$26:$EL$26,1,BF316)=1,IF(AND('Lease Cycles'!$AZ$26&gt;=INDEX('Lease Cycles'!$BG$26:$BM$26,1,BF316),'Lease Cycles'!$AZ$26&lt;=BF$6),'Lease Cycles'!$C$26*'Lease Cycles'!$BA$26/12,IF(AND('Lease Cycles'!$AX$26&gt;=INDEX('Lease Cycles'!$BG$26:$BM$26,1,BF316),'Lease Cycles'!$AX$26&lt;=BF$6),'Lease Cycles'!$C$26*'Lease Cycles'!$AY$26/12,IF(AND('Lease Cycles'!$AV$26&gt;=INDEX('Lease Cycles'!$BG$26:$BM$26,1,BF316),'Lease Cycles'!$AV$26&lt;=BF$6),'Lease Cycles'!$C$26*'Lease Cycles'!$AW$26/12,IF(AND('Lease Cycles'!$AT$26&gt;=INDEX('Lease Cycles'!$BG$26:$BM$26,1,BF316),'Lease Cycles'!$AT$26&lt;=BF$6),'Lease Cycles'!$C$26*'Lease Cycles'!$AU$26/12,'Lease Cycles'!$C$26*INDEX('Lease Cycles'!$CB$26:$CH$26,1,BF316)*(1+INDEX('Lease Cycles'!$CI$26:$CO$26,1,BF316))^INT(INT(BF317/12)/INDEX('Lease Cycles'!$CP$26:$CV$26,1,BF316))/12)))),'Lease Cycles'!$C$26*INDEX('Lease Cycles'!$CB$26:$CH$26,1,BF316)*(1+INDEX('Lease Cycles'!$CI$26:$CO$26,1,BF316))^INT(INT(BF317/12)/INDEX('Lease Cycles'!$CP$26:$CV$26,1,BF316))/12))),IF('Lease Cycles'!$N$26=1,'Lease Cycles'!$C$26*'Lease Cycles'!$E$26*INDEX('Lease Cycles'!$HE$26:$HK$26,1,BF316)*(1+INDEX('Lease Cycles'!$GQ$26:$GW$26,1,BF316))^INT(INT((BF$6-INDEX('Lease Cycles'!$GJ$26:$GP$26,1,BF316))/12)/INDEX('Lease Cycles'!$GX$26:$HD$26,1,BF316))/12,0)))</f>
        <v>0</v>
      </c>
      <c r="BG319" s="28">
        <f>IF(BG316=0,IF('Lease Cycles'!$F$26&gt;0,'Lease Cycles'!$C$26*'Lease Cycles'!$E$26/12,0),IF(BG318=1,IF('Lease Cycles'!$AT$26&gt;=9999,'Lease Cycles'!$C$26*INDEX('Lease Cycles'!$CB$26:$CH$26,1,BG316)*(1+INDEX('Lease Cycles'!$CI$26:$CO$26,1,BG316))^INT(INT(BG317/12)/INDEX('Lease Cycles'!$CP$26:$CV$26,1,BG316))/12,IF(BG316=1,IF(BG317&gt;=INDEX('Lease Cycles'!$DK$26:$DQ$26,1,BG316),IF(BG$6&gt;='Lease Cycles'!$AZ$26,'Lease Cycles'!$C$26*'Lease Cycles'!$BA$26/12,IF(BG$6&gt;='Lease Cycles'!$AX$26,'Lease Cycles'!$C$26*'Lease Cycles'!$AY$26/12,IF(BG$6&gt;='Lease Cycles'!$AV$26,'Lease Cycles'!$C$26*'Lease Cycles'!$AW$26/12,IF(BG$6&gt;='Lease Cycles'!$AT$26,'Lease Cycles'!$C$26*'Lease Cycles'!$AU$26/12,'Lease Cycles'!$C$26*INDEX('Lease Cycles'!$CB$26:$CH$26,1,BG316)*(1+INDEX('Lease Cycles'!$CI$26:$CO$26,1,BG316))^INT(INT(BG317/12)/INDEX('Lease Cycles'!$CP$26:$CV$26,1,BG316))/12)))),'Lease Cycles'!$C$26*INDEX('Lease Cycles'!$CB$26:$CH$26,1,BG316)*(1+INDEX('Lease Cycles'!$CI$26:$CO$26,1,BG316))^INT(INT(BG317/12)/INDEX('Lease Cycles'!$CP$26:$CV$26,1,BG316))/12),IF(INDEX('Lease Cycles'!$EF$26:$EL$26,1,BG316)=1,IF(AND('Lease Cycles'!$AZ$26&gt;=INDEX('Lease Cycles'!$BG$26:$BM$26,1,BG316),'Lease Cycles'!$AZ$26&lt;=BG$6),'Lease Cycles'!$C$26*'Lease Cycles'!$BA$26/12,IF(AND('Lease Cycles'!$AX$26&gt;=INDEX('Lease Cycles'!$BG$26:$BM$26,1,BG316),'Lease Cycles'!$AX$26&lt;=BG$6),'Lease Cycles'!$C$26*'Lease Cycles'!$AY$26/12,IF(AND('Lease Cycles'!$AV$26&gt;=INDEX('Lease Cycles'!$BG$26:$BM$26,1,BG316),'Lease Cycles'!$AV$26&lt;=BG$6),'Lease Cycles'!$C$26*'Lease Cycles'!$AW$26/12,IF(AND('Lease Cycles'!$AT$26&gt;=INDEX('Lease Cycles'!$BG$26:$BM$26,1,BG316),'Lease Cycles'!$AT$26&lt;=BG$6),'Lease Cycles'!$C$26*'Lease Cycles'!$AU$26/12,'Lease Cycles'!$C$26*INDEX('Lease Cycles'!$CB$26:$CH$26,1,BG316)*(1+INDEX('Lease Cycles'!$CI$26:$CO$26,1,BG316))^INT(INT(BG317/12)/INDEX('Lease Cycles'!$CP$26:$CV$26,1,BG316))/12)))),'Lease Cycles'!$C$26*INDEX('Lease Cycles'!$CB$26:$CH$26,1,BG316)*(1+INDEX('Lease Cycles'!$CI$26:$CO$26,1,BG316))^INT(INT(BG317/12)/INDEX('Lease Cycles'!$CP$26:$CV$26,1,BG316))/12))),IF('Lease Cycles'!$N$26=1,'Lease Cycles'!$C$26*'Lease Cycles'!$E$26*INDEX('Lease Cycles'!$HE$26:$HK$26,1,BG316)*(1+INDEX('Lease Cycles'!$GQ$26:$GW$26,1,BG316))^INT(INT((BG$6-INDEX('Lease Cycles'!$GJ$26:$GP$26,1,BG316))/12)/INDEX('Lease Cycles'!$GX$26:$HD$26,1,BG316))/12,0)))</f>
        <v>0</v>
      </c>
      <c r="BH319" s="28">
        <f>IF(BH316=0,IF('Lease Cycles'!$F$26&gt;0,'Lease Cycles'!$C$26*'Lease Cycles'!$E$26/12,0),IF(BH318=1,IF('Lease Cycles'!$AT$26&gt;=9999,'Lease Cycles'!$C$26*INDEX('Lease Cycles'!$CB$26:$CH$26,1,BH316)*(1+INDEX('Lease Cycles'!$CI$26:$CO$26,1,BH316))^INT(INT(BH317/12)/INDEX('Lease Cycles'!$CP$26:$CV$26,1,BH316))/12,IF(BH316=1,IF(BH317&gt;=INDEX('Lease Cycles'!$DK$26:$DQ$26,1,BH316),IF(BH$6&gt;='Lease Cycles'!$AZ$26,'Lease Cycles'!$C$26*'Lease Cycles'!$BA$26/12,IF(BH$6&gt;='Lease Cycles'!$AX$26,'Lease Cycles'!$C$26*'Lease Cycles'!$AY$26/12,IF(BH$6&gt;='Lease Cycles'!$AV$26,'Lease Cycles'!$C$26*'Lease Cycles'!$AW$26/12,IF(BH$6&gt;='Lease Cycles'!$AT$26,'Lease Cycles'!$C$26*'Lease Cycles'!$AU$26/12,'Lease Cycles'!$C$26*INDEX('Lease Cycles'!$CB$26:$CH$26,1,BH316)*(1+INDEX('Lease Cycles'!$CI$26:$CO$26,1,BH316))^INT(INT(BH317/12)/INDEX('Lease Cycles'!$CP$26:$CV$26,1,BH316))/12)))),'Lease Cycles'!$C$26*INDEX('Lease Cycles'!$CB$26:$CH$26,1,BH316)*(1+INDEX('Lease Cycles'!$CI$26:$CO$26,1,BH316))^INT(INT(BH317/12)/INDEX('Lease Cycles'!$CP$26:$CV$26,1,BH316))/12),IF(INDEX('Lease Cycles'!$EF$26:$EL$26,1,BH316)=1,IF(AND('Lease Cycles'!$AZ$26&gt;=INDEX('Lease Cycles'!$BG$26:$BM$26,1,BH316),'Lease Cycles'!$AZ$26&lt;=BH$6),'Lease Cycles'!$C$26*'Lease Cycles'!$BA$26/12,IF(AND('Lease Cycles'!$AX$26&gt;=INDEX('Lease Cycles'!$BG$26:$BM$26,1,BH316),'Lease Cycles'!$AX$26&lt;=BH$6),'Lease Cycles'!$C$26*'Lease Cycles'!$AY$26/12,IF(AND('Lease Cycles'!$AV$26&gt;=INDEX('Lease Cycles'!$BG$26:$BM$26,1,BH316),'Lease Cycles'!$AV$26&lt;=BH$6),'Lease Cycles'!$C$26*'Lease Cycles'!$AW$26/12,IF(AND('Lease Cycles'!$AT$26&gt;=INDEX('Lease Cycles'!$BG$26:$BM$26,1,BH316),'Lease Cycles'!$AT$26&lt;=BH$6),'Lease Cycles'!$C$26*'Lease Cycles'!$AU$26/12,'Lease Cycles'!$C$26*INDEX('Lease Cycles'!$CB$26:$CH$26,1,BH316)*(1+INDEX('Lease Cycles'!$CI$26:$CO$26,1,BH316))^INT(INT(BH317/12)/INDEX('Lease Cycles'!$CP$26:$CV$26,1,BH316))/12)))),'Lease Cycles'!$C$26*INDEX('Lease Cycles'!$CB$26:$CH$26,1,BH316)*(1+INDEX('Lease Cycles'!$CI$26:$CO$26,1,BH316))^INT(INT(BH317/12)/INDEX('Lease Cycles'!$CP$26:$CV$26,1,BH316))/12))),IF('Lease Cycles'!$N$26=1,'Lease Cycles'!$C$26*'Lease Cycles'!$E$26*INDEX('Lease Cycles'!$HE$26:$HK$26,1,BH316)*(1+INDEX('Lease Cycles'!$GQ$26:$GW$26,1,BH316))^INT(INT((BH$6-INDEX('Lease Cycles'!$GJ$26:$GP$26,1,BH316))/12)/INDEX('Lease Cycles'!$GX$26:$HD$26,1,BH316))/12,0)))</f>
        <v>0</v>
      </c>
      <c r="BI319" s="28">
        <f>IF(BI316=0,IF('Lease Cycles'!$F$26&gt;0,'Lease Cycles'!$C$26*'Lease Cycles'!$E$26/12,0),IF(BI318=1,IF('Lease Cycles'!$AT$26&gt;=9999,'Lease Cycles'!$C$26*INDEX('Lease Cycles'!$CB$26:$CH$26,1,BI316)*(1+INDEX('Lease Cycles'!$CI$26:$CO$26,1,BI316))^INT(INT(BI317/12)/INDEX('Lease Cycles'!$CP$26:$CV$26,1,BI316))/12,IF(BI316=1,IF(BI317&gt;=INDEX('Lease Cycles'!$DK$26:$DQ$26,1,BI316),IF(BI$6&gt;='Lease Cycles'!$AZ$26,'Lease Cycles'!$C$26*'Lease Cycles'!$BA$26/12,IF(BI$6&gt;='Lease Cycles'!$AX$26,'Lease Cycles'!$C$26*'Lease Cycles'!$AY$26/12,IF(BI$6&gt;='Lease Cycles'!$AV$26,'Lease Cycles'!$C$26*'Lease Cycles'!$AW$26/12,IF(BI$6&gt;='Lease Cycles'!$AT$26,'Lease Cycles'!$C$26*'Lease Cycles'!$AU$26/12,'Lease Cycles'!$C$26*INDEX('Lease Cycles'!$CB$26:$CH$26,1,BI316)*(1+INDEX('Lease Cycles'!$CI$26:$CO$26,1,BI316))^INT(INT(BI317/12)/INDEX('Lease Cycles'!$CP$26:$CV$26,1,BI316))/12)))),'Lease Cycles'!$C$26*INDEX('Lease Cycles'!$CB$26:$CH$26,1,BI316)*(1+INDEX('Lease Cycles'!$CI$26:$CO$26,1,BI316))^INT(INT(BI317/12)/INDEX('Lease Cycles'!$CP$26:$CV$26,1,BI316))/12),IF(INDEX('Lease Cycles'!$EF$26:$EL$26,1,BI316)=1,IF(AND('Lease Cycles'!$AZ$26&gt;=INDEX('Lease Cycles'!$BG$26:$BM$26,1,BI316),'Lease Cycles'!$AZ$26&lt;=BI$6),'Lease Cycles'!$C$26*'Lease Cycles'!$BA$26/12,IF(AND('Lease Cycles'!$AX$26&gt;=INDEX('Lease Cycles'!$BG$26:$BM$26,1,BI316),'Lease Cycles'!$AX$26&lt;=BI$6),'Lease Cycles'!$C$26*'Lease Cycles'!$AY$26/12,IF(AND('Lease Cycles'!$AV$26&gt;=INDEX('Lease Cycles'!$BG$26:$BM$26,1,BI316),'Lease Cycles'!$AV$26&lt;=BI$6),'Lease Cycles'!$C$26*'Lease Cycles'!$AW$26/12,IF(AND('Lease Cycles'!$AT$26&gt;=INDEX('Lease Cycles'!$BG$26:$BM$26,1,BI316),'Lease Cycles'!$AT$26&lt;=BI$6),'Lease Cycles'!$C$26*'Lease Cycles'!$AU$26/12,'Lease Cycles'!$C$26*INDEX('Lease Cycles'!$CB$26:$CH$26,1,BI316)*(1+INDEX('Lease Cycles'!$CI$26:$CO$26,1,BI316))^INT(INT(BI317/12)/INDEX('Lease Cycles'!$CP$26:$CV$26,1,BI316))/12)))),'Lease Cycles'!$C$26*INDEX('Lease Cycles'!$CB$26:$CH$26,1,BI316)*(1+INDEX('Lease Cycles'!$CI$26:$CO$26,1,BI316))^INT(INT(BI317/12)/INDEX('Lease Cycles'!$CP$26:$CV$26,1,BI316))/12))),IF('Lease Cycles'!$N$26=1,'Lease Cycles'!$C$26*'Lease Cycles'!$E$26*INDEX('Lease Cycles'!$HE$26:$HK$26,1,BI316)*(1+INDEX('Lease Cycles'!$GQ$26:$GW$26,1,BI316))^INT(INT((BI$6-INDEX('Lease Cycles'!$GJ$26:$GP$26,1,BI316))/12)/INDEX('Lease Cycles'!$GX$26:$HD$26,1,BI316))/12,0)))</f>
        <v>0</v>
      </c>
      <c r="BJ319" s="28">
        <f>IF(BJ316=0,IF('Lease Cycles'!$F$26&gt;0,'Lease Cycles'!$C$26*'Lease Cycles'!$E$26/12,0),IF(BJ318=1,IF('Lease Cycles'!$AT$26&gt;=9999,'Lease Cycles'!$C$26*INDEX('Lease Cycles'!$CB$26:$CH$26,1,BJ316)*(1+INDEX('Lease Cycles'!$CI$26:$CO$26,1,BJ316))^INT(INT(BJ317/12)/INDEX('Lease Cycles'!$CP$26:$CV$26,1,BJ316))/12,IF(BJ316=1,IF(BJ317&gt;=INDEX('Lease Cycles'!$DK$26:$DQ$26,1,BJ316),IF(BJ$6&gt;='Lease Cycles'!$AZ$26,'Lease Cycles'!$C$26*'Lease Cycles'!$BA$26/12,IF(BJ$6&gt;='Lease Cycles'!$AX$26,'Lease Cycles'!$C$26*'Lease Cycles'!$AY$26/12,IF(BJ$6&gt;='Lease Cycles'!$AV$26,'Lease Cycles'!$C$26*'Lease Cycles'!$AW$26/12,IF(BJ$6&gt;='Lease Cycles'!$AT$26,'Lease Cycles'!$C$26*'Lease Cycles'!$AU$26/12,'Lease Cycles'!$C$26*INDEX('Lease Cycles'!$CB$26:$CH$26,1,BJ316)*(1+INDEX('Lease Cycles'!$CI$26:$CO$26,1,BJ316))^INT(INT(BJ317/12)/INDEX('Lease Cycles'!$CP$26:$CV$26,1,BJ316))/12)))),'Lease Cycles'!$C$26*INDEX('Lease Cycles'!$CB$26:$CH$26,1,BJ316)*(1+INDEX('Lease Cycles'!$CI$26:$CO$26,1,BJ316))^INT(INT(BJ317/12)/INDEX('Lease Cycles'!$CP$26:$CV$26,1,BJ316))/12),IF(INDEX('Lease Cycles'!$EF$26:$EL$26,1,BJ316)=1,IF(AND('Lease Cycles'!$AZ$26&gt;=INDEX('Lease Cycles'!$BG$26:$BM$26,1,BJ316),'Lease Cycles'!$AZ$26&lt;=BJ$6),'Lease Cycles'!$C$26*'Lease Cycles'!$BA$26/12,IF(AND('Lease Cycles'!$AX$26&gt;=INDEX('Lease Cycles'!$BG$26:$BM$26,1,BJ316),'Lease Cycles'!$AX$26&lt;=BJ$6),'Lease Cycles'!$C$26*'Lease Cycles'!$AY$26/12,IF(AND('Lease Cycles'!$AV$26&gt;=INDEX('Lease Cycles'!$BG$26:$BM$26,1,BJ316),'Lease Cycles'!$AV$26&lt;=BJ$6),'Lease Cycles'!$C$26*'Lease Cycles'!$AW$26/12,IF(AND('Lease Cycles'!$AT$26&gt;=INDEX('Lease Cycles'!$BG$26:$BM$26,1,BJ316),'Lease Cycles'!$AT$26&lt;=BJ$6),'Lease Cycles'!$C$26*'Lease Cycles'!$AU$26/12,'Lease Cycles'!$C$26*INDEX('Lease Cycles'!$CB$26:$CH$26,1,BJ316)*(1+INDEX('Lease Cycles'!$CI$26:$CO$26,1,BJ316))^INT(INT(BJ317/12)/INDEX('Lease Cycles'!$CP$26:$CV$26,1,BJ316))/12)))),'Lease Cycles'!$C$26*INDEX('Lease Cycles'!$CB$26:$CH$26,1,BJ316)*(1+INDEX('Lease Cycles'!$CI$26:$CO$26,1,BJ316))^INT(INT(BJ317/12)/INDEX('Lease Cycles'!$CP$26:$CV$26,1,BJ316))/12))),IF('Lease Cycles'!$N$26=1,'Lease Cycles'!$C$26*'Lease Cycles'!$E$26*INDEX('Lease Cycles'!$HE$26:$HK$26,1,BJ316)*(1+INDEX('Lease Cycles'!$GQ$26:$GW$26,1,BJ316))^INT(INT((BJ$6-INDEX('Lease Cycles'!$GJ$26:$GP$26,1,BJ316))/12)/INDEX('Lease Cycles'!$GX$26:$HD$26,1,BJ316))/12,0)))</f>
        <v>0</v>
      </c>
      <c r="BK319" s="28">
        <f>IF(BK316=0,IF('Lease Cycles'!$F$26&gt;0,'Lease Cycles'!$C$26*'Lease Cycles'!$E$26/12,0),IF(BK318=1,IF('Lease Cycles'!$AT$26&gt;=9999,'Lease Cycles'!$C$26*INDEX('Lease Cycles'!$CB$26:$CH$26,1,BK316)*(1+INDEX('Lease Cycles'!$CI$26:$CO$26,1,BK316))^INT(INT(BK317/12)/INDEX('Lease Cycles'!$CP$26:$CV$26,1,BK316))/12,IF(BK316=1,IF(BK317&gt;=INDEX('Lease Cycles'!$DK$26:$DQ$26,1,BK316),IF(BK$6&gt;='Lease Cycles'!$AZ$26,'Lease Cycles'!$C$26*'Lease Cycles'!$BA$26/12,IF(BK$6&gt;='Lease Cycles'!$AX$26,'Lease Cycles'!$C$26*'Lease Cycles'!$AY$26/12,IF(BK$6&gt;='Lease Cycles'!$AV$26,'Lease Cycles'!$C$26*'Lease Cycles'!$AW$26/12,IF(BK$6&gt;='Lease Cycles'!$AT$26,'Lease Cycles'!$C$26*'Lease Cycles'!$AU$26/12,'Lease Cycles'!$C$26*INDEX('Lease Cycles'!$CB$26:$CH$26,1,BK316)*(1+INDEX('Lease Cycles'!$CI$26:$CO$26,1,BK316))^INT(INT(BK317/12)/INDEX('Lease Cycles'!$CP$26:$CV$26,1,BK316))/12)))),'Lease Cycles'!$C$26*INDEX('Lease Cycles'!$CB$26:$CH$26,1,BK316)*(1+INDEX('Lease Cycles'!$CI$26:$CO$26,1,BK316))^INT(INT(BK317/12)/INDEX('Lease Cycles'!$CP$26:$CV$26,1,BK316))/12),IF(INDEX('Lease Cycles'!$EF$26:$EL$26,1,BK316)=1,IF(AND('Lease Cycles'!$AZ$26&gt;=INDEX('Lease Cycles'!$BG$26:$BM$26,1,BK316),'Lease Cycles'!$AZ$26&lt;=BK$6),'Lease Cycles'!$C$26*'Lease Cycles'!$BA$26/12,IF(AND('Lease Cycles'!$AX$26&gt;=INDEX('Lease Cycles'!$BG$26:$BM$26,1,BK316),'Lease Cycles'!$AX$26&lt;=BK$6),'Lease Cycles'!$C$26*'Lease Cycles'!$AY$26/12,IF(AND('Lease Cycles'!$AV$26&gt;=INDEX('Lease Cycles'!$BG$26:$BM$26,1,BK316),'Lease Cycles'!$AV$26&lt;=BK$6),'Lease Cycles'!$C$26*'Lease Cycles'!$AW$26/12,IF(AND('Lease Cycles'!$AT$26&gt;=INDEX('Lease Cycles'!$BG$26:$BM$26,1,BK316),'Lease Cycles'!$AT$26&lt;=BK$6),'Lease Cycles'!$C$26*'Lease Cycles'!$AU$26/12,'Lease Cycles'!$C$26*INDEX('Lease Cycles'!$CB$26:$CH$26,1,BK316)*(1+INDEX('Lease Cycles'!$CI$26:$CO$26,1,BK316))^INT(INT(BK317/12)/INDEX('Lease Cycles'!$CP$26:$CV$26,1,BK316))/12)))),'Lease Cycles'!$C$26*INDEX('Lease Cycles'!$CB$26:$CH$26,1,BK316)*(1+INDEX('Lease Cycles'!$CI$26:$CO$26,1,BK316))^INT(INT(BK317/12)/INDEX('Lease Cycles'!$CP$26:$CV$26,1,BK316))/12))),IF('Lease Cycles'!$N$26=1,'Lease Cycles'!$C$26*'Lease Cycles'!$E$26*INDEX('Lease Cycles'!$HE$26:$HK$26,1,BK316)*(1+INDEX('Lease Cycles'!$GQ$26:$GW$26,1,BK316))^INT(INT((BK$6-INDEX('Lease Cycles'!$GJ$26:$GP$26,1,BK316))/12)/INDEX('Lease Cycles'!$GX$26:$HD$26,1,BK316))/12,0)))</f>
        <v>0</v>
      </c>
      <c r="BL319" s="28">
        <f>IF(BL316=0,IF('Lease Cycles'!$F$26&gt;0,'Lease Cycles'!$C$26*'Lease Cycles'!$E$26/12,0),IF(BL318=1,IF('Lease Cycles'!$AT$26&gt;=9999,'Lease Cycles'!$C$26*INDEX('Lease Cycles'!$CB$26:$CH$26,1,BL316)*(1+INDEX('Lease Cycles'!$CI$26:$CO$26,1,BL316))^INT(INT(BL317/12)/INDEX('Lease Cycles'!$CP$26:$CV$26,1,BL316))/12,IF(BL316=1,IF(BL317&gt;=INDEX('Lease Cycles'!$DK$26:$DQ$26,1,BL316),IF(BL$6&gt;='Lease Cycles'!$AZ$26,'Lease Cycles'!$C$26*'Lease Cycles'!$BA$26/12,IF(BL$6&gt;='Lease Cycles'!$AX$26,'Lease Cycles'!$C$26*'Lease Cycles'!$AY$26/12,IF(BL$6&gt;='Lease Cycles'!$AV$26,'Lease Cycles'!$C$26*'Lease Cycles'!$AW$26/12,IF(BL$6&gt;='Lease Cycles'!$AT$26,'Lease Cycles'!$C$26*'Lease Cycles'!$AU$26/12,'Lease Cycles'!$C$26*INDEX('Lease Cycles'!$CB$26:$CH$26,1,BL316)*(1+INDEX('Lease Cycles'!$CI$26:$CO$26,1,BL316))^INT(INT(BL317/12)/INDEX('Lease Cycles'!$CP$26:$CV$26,1,BL316))/12)))),'Lease Cycles'!$C$26*INDEX('Lease Cycles'!$CB$26:$CH$26,1,BL316)*(1+INDEX('Lease Cycles'!$CI$26:$CO$26,1,BL316))^INT(INT(BL317/12)/INDEX('Lease Cycles'!$CP$26:$CV$26,1,BL316))/12),IF(INDEX('Lease Cycles'!$EF$26:$EL$26,1,BL316)=1,IF(AND('Lease Cycles'!$AZ$26&gt;=INDEX('Lease Cycles'!$BG$26:$BM$26,1,BL316),'Lease Cycles'!$AZ$26&lt;=BL$6),'Lease Cycles'!$C$26*'Lease Cycles'!$BA$26/12,IF(AND('Lease Cycles'!$AX$26&gt;=INDEX('Lease Cycles'!$BG$26:$BM$26,1,BL316),'Lease Cycles'!$AX$26&lt;=BL$6),'Lease Cycles'!$C$26*'Lease Cycles'!$AY$26/12,IF(AND('Lease Cycles'!$AV$26&gt;=INDEX('Lease Cycles'!$BG$26:$BM$26,1,BL316),'Lease Cycles'!$AV$26&lt;=BL$6),'Lease Cycles'!$C$26*'Lease Cycles'!$AW$26/12,IF(AND('Lease Cycles'!$AT$26&gt;=INDEX('Lease Cycles'!$BG$26:$BM$26,1,BL316),'Lease Cycles'!$AT$26&lt;=BL$6),'Lease Cycles'!$C$26*'Lease Cycles'!$AU$26/12,'Lease Cycles'!$C$26*INDEX('Lease Cycles'!$CB$26:$CH$26,1,BL316)*(1+INDEX('Lease Cycles'!$CI$26:$CO$26,1,BL316))^INT(INT(BL317/12)/INDEX('Lease Cycles'!$CP$26:$CV$26,1,BL316))/12)))),'Lease Cycles'!$C$26*INDEX('Lease Cycles'!$CB$26:$CH$26,1,BL316)*(1+INDEX('Lease Cycles'!$CI$26:$CO$26,1,BL316))^INT(INT(BL317/12)/INDEX('Lease Cycles'!$CP$26:$CV$26,1,BL316))/12))),IF('Lease Cycles'!$N$26=1,'Lease Cycles'!$C$26*'Lease Cycles'!$E$26*INDEX('Lease Cycles'!$HE$26:$HK$26,1,BL316)*(1+INDEX('Lease Cycles'!$GQ$26:$GW$26,1,BL316))^INT(INT((BL$6-INDEX('Lease Cycles'!$GJ$26:$GP$26,1,BL316))/12)/INDEX('Lease Cycles'!$GX$26:$HD$26,1,BL316))/12,0)))</f>
        <v>0</v>
      </c>
      <c r="BM319" s="28">
        <f>IF(BM316=0,IF('Lease Cycles'!$F$26&gt;0,'Lease Cycles'!$C$26*'Lease Cycles'!$E$26/12,0),IF(BM318=1,IF('Lease Cycles'!$AT$26&gt;=9999,'Lease Cycles'!$C$26*INDEX('Lease Cycles'!$CB$26:$CH$26,1,BM316)*(1+INDEX('Lease Cycles'!$CI$26:$CO$26,1,BM316))^INT(INT(BM317/12)/INDEX('Lease Cycles'!$CP$26:$CV$26,1,BM316))/12,IF(BM316=1,IF(BM317&gt;=INDEX('Lease Cycles'!$DK$26:$DQ$26,1,BM316),IF(BM$6&gt;='Lease Cycles'!$AZ$26,'Lease Cycles'!$C$26*'Lease Cycles'!$BA$26/12,IF(BM$6&gt;='Lease Cycles'!$AX$26,'Lease Cycles'!$C$26*'Lease Cycles'!$AY$26/12,IF(BM$6&gt;='Lease Cycles'!$AV$26,'Lease Cycles'!$C$26*'Lease Cycles'!$AW$26/12,IF(BM$6&gt;='Lease Cycles'!$AT$26,'Lease Cycles'!$C$26*'Lease Cycles'!$AU$26/12,'Lease Cycles'!$C$26*INDEX('Lease Cycles'!$CB$26:$CH$26,1,BM316)*(1+INDEX('Lease Cycles'!$CI$26:$CO$26,1,BM316))^INT(INT(BM317/12)/INDEX('Lease Cycles'!$CP$26:$CV$26,1,BM316))/12)))),'Lease Cycles'!$C$26*INDEX('Lease Cycles'!$CB$26:$CH$26,1,BM316)*(1+INDEX('Lease Cycles'!$CI$26:$CO$26,1,BM316))^INT(INT(BM317/12)/INDEX('Lease Cycles'!$CP$26:$CV$26,1,BM316))/12),IF(INDEX('Lease Cycles'!$EF$26:$EL$26,1,BM316)=1,IF(AND('Lease Cycles'!$AZ$26&gt;=INDEX('Lease Cycles'!$BG$26:$BM$26,1,BM316),'Lease Cycles'!$AZ$26&lt;=BM$6),'Lease Cycles'!$C$26*'Lease Cycles'!$BA$26/12,IF(AND('Lease Cycles'!$AX$26&gt;=INDEX('Lease Cycles'!$BG$26:$BM$26,1,BM316),'Lease Cycles'!$AX$26&lt;=BM$6),'Lease Cycles'!$C$26*'Lease Cycles'!$AY$26/12,IF(AND('Lease Cycles'!$AV$26&gt;=INDEX('Lease Cycles'!$BG$26:$BM$26,1,BM316),'Lease Cycles'!$AV$26&lt;=BM$6),'Lease Cycles'!$C$26*'Lease Cycles'!$AW$26/12,IF(AND('Lease Cycles'!$AT$26&gt;=INDEX('Lease Cycles'!$BG$26:$BM$26,1,BM316),'Lease Cycles'!$AT$26&lt;=BM$6),'Lease Cycles'!$C$26*'Lease Cycles'!$AU$26/12,'Lease Cycles'!$C$26*INDEX('Lease Cycles'!$CB$26:$CH$26,1,BM316)*(1+INDEX('Lease Cycles'!$CI$26:$CO$26,1,BM316))^INT(INT(BM317/12)/INDEX('Lease Cycles'!$CP$26:$CV$26,1,BM316))/12)))),'Lease Cycles'!$C$26*INDEX('Lease Cycles'!$CB$26:$CH$26,1,BM316)*(1+INDEX('Lease Cycles'!$CI$26:$CO$26,1,BM316))^INT(INT(BM317/12)/INDEX('Lease Cycles'!$CP$26:$CV$26,1,BM316))/12))),IF('Lease Cycles'!$N$26=1,'Lease Cycles'!$C$26*'Lease Cycles'!$E$26*INDEX('Lease Cycles'!$HE$26:$HK$26,1,BM316)*(1+INDEX('Lease Cycles'!$GQ$26:$GW$26,1,BM316))^INT(INT((BM$6-INDEX('Lease Cycles'!$GJ$26:$GP$26,1,BM316))/12)/INDEX('Lease Cycles'!$GX$26:$HD$26,1,BM316))/12,0)))</f>
        <v>0</v>
      </c>
      <c r="BN319" s="28">
        <f>IF(BN316=0,IF('Lease Cycles'!$F$26&gt;0,'Lease Cycles'!$C$26*'Lease Cycles'!$E$26/12,0),IF(BN318=1,IF('Lease Cycles'!$AT$26&gt;=9999,'Lease Cycles'!$C$26*INDEX('Lease Cycles'!$CB$26:$CH$26,1,BN316)*(1+INDEX('Lease Cycles'!$CI$26:$CO$26,1,BN316))^INT(INT(BN317/12)/INDEX('Lease Cycles'!$CP$26:$CV$26,1,BN316))/12,IF(BN316=1,IF(BN317&gt;=INDEX('Lease Cycles'!$DK$26:$DQ$26,1,BN316),IF(BN$6&gt;='Lease Cycles'!$AZ$26,'Lease Cycles'!$C$26*'Lease Cycles'!$BA$26/12,IF(BN$6&gt;='Lease Cycles'!$AX$26,'Lease Cycles'!$C$26*'Lease Cycles'!$AY$26/12,IF(BN$6&gt;='Lease Cycles'!$AV$26,'Lease Cycles'!$C$26*'Lease Cycles'!$AW$26/12,IF(BN$6&gt;='Lease Cycles'!$AT$26,'Lease Cycles'!$C$26*'Lease Cycles'!$AU$26/12,'Lease Cycles'!$C$26*INDEX('Lease Cycles'!$CB$26:$CH$26,1,BN316)*(1+INDEX('Lease Cycles'!$CI$26:$CO$26,1,BN316))^INT(INT(BN317/12)/INDEX('Lease Cycles'!$CP$26:$CV$26,1,BN316))/12)))),'Lease Cycles'!$C$26*INDEX('Lease Cycles'!$CB$26:$CH$26,1,BN316)*(1+INDEX('Lease Cycles'!$CI$26:$CO$26,1,BN316))^INT(INT(BN317/12)/INDEX('Lease Cycles'!$CP$26:$CV$26,1,BN316))/12),IF(INDEX('Lease Cycles'!$EF$26:$EL$26,1,BN316)=1,IF(AND('Lease Cycles'!$AZ$26&gt;=INDEX('Lease Cycles'!$BG$26:$BM$26,1,BN316),'Lease Cycles'!$AZ$26&lt;=BN$6),'Lease Cycles'!$C$26*'Lease Cycles'!$BA$26/12,IF(AND('Lease Cycles'!$AX$26&gt;=INDEX('Lease Cycles'!$BG$26:$BM$26,1,BN316),'Lease Cycles'!$AX$26&lt;=BN$6),'Lease Cycles'!$C$26*'Lease Cycles'!$AY$26/12,IF(AND('Lease Cycles'!$AV$26&gt;=INDEX('Lease Cycles'!$BG$26:$BM$26,1,BN316),'Lease Cycles'!$AV$26&lt;=BN$6),'Lease Cycles'!$C$26*'Lease Cycles'!$AW$26/12,IF(AND('Lease Cycles'!$AT$26&gt;=INDEX('Lease Cycles'!$BG$26:$BM$26,1,BN316),'Lease Cycles'!$AT$26&lt;=BN$6),'Lease Cycles'!$C$26*'Lease Cycles'!$AU$26/12,'Lease Cycles'!$C$26*INDEX('Lease Cycles'!$CB$26:$CH$26,1,BN316)*(1+INDEX('Lease Cycles'!$CI$26:$CO$26,1,BN316))^INT(INT(BN317/12)/INDEX('Lease Cycles'!$CP$26:$CV$26,1,BN316))/12)))),'Lease Cycles'!$C$26*INDEX('Lease Cycles'!$CB$26:$CH$26,1,BN316)*(1+INDEX('Lease Cycles'!$CI$26:$CO$26,1,BN316))^INT(INT(BN317/12)/INDEX('Lease Cycles'!$CP$26:$CV$26,1,BN316))/12))),IF('Lease Cycles'!$N$26=1,'Lease Cycles'!$C$26*'Lease Cycles'!$E$26*INDEX('Lease Cycles'!$HE$26:$HK$26,1,BN316)*(1+INDEX('Lease Cycles'!$GQ$26:$GW$26,1,BN316))^INT(INT((BN$6-INDEX('Lease Cycles'!$GJ$26:$GP$26,1,BN316))/12)/INDEX('Lease Cycles'!$GX$26:$HD$26,1,BN316))/12,0)))</f>
        <v>0</v>
      </c>
      <c r="BO319" s="28">
        <f>IF(BO316=0,IF('Lease Cycles'!$F$26&gt;0,'Lease Cycles'!$C$26*'Lease Cycles'!$E$26/12,0),IF(BO318=1,IF('Lease Cycles'!$AT$26&gt;=9999,'Lease Cycles'!$C$26*INDEX('Lease Cycles'!$CB$26:$CH$26,1,BO316)*(1+INDEX('Lease Cycles'!$CI$26:$CO$26,1,BO316))^INT(INT(BO317/12)/INDEX('Lease Cycles'!$CP$26:$CV$26,1,BO316))/12,IF(BO316=1,IF(BO317&gt;=INDEX('Lease Cycles'!$DK$26:$DQ$26,1,BO316),IF(BO$6&gt;='Lease Cycles'!$AZ$26,'Lease Cycles'!$C$26*'Lease Cycles'!$BA$26/12,IF(BO$6&gt;='Lease Cycles'!$AX$26,'Lease Cycles'!$C$26*'Lease Cycles'!$AY$26/12,IF(BO$6&gt;='Lease Cycles'!$AV$26,'Lease Cycles'!$C$26*'Lease Cycles'!$AW$26/12,IF(BO$6&gt;='Lease Cycles'!$AT$26,'Lease Cycles'!$C$26*'Lease Cycles'!$AU$26/12,'Lease Cycles'!$C$26*INDEX('Lease Cycles'!$CB$26:$CH$26,1,BO316)*(1+INDEX('Lease Cycles'!$CI$26:$CO$26,1,BO316))^INT(INT(BO317/12)/INDEX('Lease Cycles'!$CP$26:$CV$26,1,BO316))/12)))),'Lease Cycles'!$C$26*INDEX('Lease Cycles'!$CB$26:$CH$26,1,BO316)*(1+INDEX('Lease Cycles'!$CI$26:$CO$26,1,BO316))^INT(INT(BO317/12)/INDEX('Lease Cycles'!$CP$26:$CV$26,1,BO316))/12),IF(INDEX('Lease Cycles'!$EF$26:$EL$26,1,BO316)=1,IF(AND('Lease Cycles'!$AZ$26&gt;=INDEX('Lease Cycles'!$BG$26:$BM$26,1,BO316),'Lease Cycles'!$AZ$26&lt;=BO$6),'Lease Cycles'!$C$26*'Lease Cycles'!$BA$26/12,IF(AND('Lease Cycles'!$AX$26&gt;=INDEX('Lease Cycles'!$BG$26:$BM$26,1,BO316),'Lease Cycles'!$AX$26&lt;=BO$6),'Lease Cycles'!$C$26*'Lease Cycles'!$AY$26/12,IF(AND('Lease Cycles'!$AV$26&gt;=INDEX('Lease Cycles'!$BG$26:$BM$26,1,BO316),'Lease Cycles'!$AV$26&lt;=BO$6),'Lease Cycles'!$C$26*'Lease Cycles'!$AW$26/12,IF(AND('Lease Cycles'!$AT$26&gt;=INDEX('Lease Cycles'!$BG$26:$BM$26,1,BO316),'Lease Cycles'!$AT$26&lt;=BO$6),'Lease Cycles'!$C$26*'Lease Cycles'!$AU$26/12,'Lease Cycles'!$C$26*INDEX('Lease Cycles'!$CB$26:$CH$26,1,BO316)*(1+INDEX('Lease Cycles'!$CI$26:$CO$26,1,BO316))^INT(INT(BO317/12)/INDEX('Lease Cycles'!$CP$26:$CV$26,1,BO316))/12)))),'Lease Cycles'!$C$26*INDEX('Lease Cycles'!$CB$26:$CH$26,1,BO316)*(1+INDEX('Lease Cycles'!$CI$26:$CO$26,1,BO316))^INT(INT(BO317/12)/INDEX('Lease Cycles'!$CP$26:$CV$26,1,BO316))/12))),IF('Lease Cycles'!$N$26=1,'Lease Cycles'!$C$26*'Lease Cycles'!$E$26*INDEX('Lease Cycles'!$HE$26:$HK$26,1,BO316)*(1+INDEX('Lease Cycles'!$GQ$26:$GW$26,1,BO316))^INT(INT((BO$6-INDEX('Lease Cycles'!$GJ$26:$GP$26,1,BO316))/12)/INDEX('Lease Cycles'!$GX$26:$HD$26,1,BO316))/12,0)))</f>
        <v>0</v>
      </c>
      <c r="BP319" s="28">
        <f>IF(BP316=0,IF('Lease Cycles'!$F$26&gt;0,'Lease Cycles'!$C$26*'Lease Cycles'!$E$26/12,0),IF(BP318=1,IF('Lease Cycles'!$AT$26&gt;=9999,'Lease Cycles'!$C$26*INDEX('Lease Cycles'!$CB$26:$CH$26,1,BP316)*(1+INDEX('Lease Cycles'!$CI$26:$CO$26,1,BP316))^INT(INT(BP317/12)/INDEX('Lease Cycles'!$CP$26:$CV$26,1,BP316))/12,IF(BP316=1,IF(BP317&gt;=INDEX('Lease Cycles'!$DK$26:$DQ$26,1,BP316),IF(BP$6&gt;='Lease Cycles'!$AZ$26,'Lease Cycles'!$C$26*'Lease Cycles'!$BA$26/12,IF(BP$6&gt;='Lease Cycles'!$AX$26,'Lease Cycles'!$C$26*'Lease Cycles'!$AY$26/12,IF(BP$6&gt;='Lease Cycles'!$AV$26,'Lease Cycles'!$C$26*'Lease Cycles'!$AW$26/12,IF(BP$6&gt;='Lease Cycles'!$AT$26,'Lease Cycles'!$C$26*'Lease Cycles'!$AU$26/12,'Lease Cycles'!$C$26*INDEX('Lease Cycles'!$CB$26:$CH$26,1,BP316)*(1+INDEX('Lease Cycles'!$CI$26:$CO$26,1,BP316))^INT(INT(BP317/12)/INDEX('Lease Cycles'!$CP$26:$CV$26,1,BP316))/12)))),'Lease Cycles'!$C$26*INDEX('Lease Cycles'!$CB$26:$CH$26,1,BP316)*(1+INDEX('Lease Cycles'!$CI$26:$CO$26,1,BP316))^INT(INT(BP317/12)/INDEX('Lease Cycles'!$CP$26:$CV$26,1,BP316))/12),IF(INDEX('Lease Cycles'!$EF$26:$EL$26,1,BP316)=1,IF(AND('Lease Cycles'!$AZ$26&gt;=INDEX('Lease Cycles'!$BG$26:$BM$26,1,BP316),'Lease Cycles'!$AZ$26&lt;=BP$6),'Lease Cycles'!$C$26*'Lease Cycles'!$BA$26/12,IF(AND('Lease Cycles'!$AX$26&gt;=INDEX('Lease Cycles'!$BG$26:$BM$26,1,BP316),'Lease Cycles'!$AX$26&lt;=BP$6),'Lease Cycles'!$C$26*'Lease Cycles'!$AY$26/12,IF(AND('Lease Cycles'!$AV$26&gt;=INDEX('Lease Cycles'!$BG$26:$BM$26,1,BP316),'Lease Cycles'!$AV$26&lt;=BP$6),'Lease Cycles'!$C$26*'Lease Cycles'!$AW$26/12,IF(AND('Lease Cycles'!$AT$26&gt;=INDEX('Lease Cycles'!$BG$26:$BM$26,1,BP316),'Lease Cycles'!$AT$26&lt;=BP$6),'Lease Cycles'!$C$26*'Lease Cycles'!$AU$26/12,'Lease Cycles'!$C$26*INDEX('Lease Cycles'!$CB$26:$CH$26,1,BP316)*(1+INDEX('Lease Cycles'!$CI$26:$CO$26,1,BP316))^INT(INT(BP317/12)/INDEX('Lease Cycles'!$CP$26:$CV$26,1,BP316))/12)))),'Lease Cycles'!$C$26*INDEX('Lease Cycles'!$CB$26:$CH$26,1,BP316)*(1+INDEX('Lease Cycles'!$CI$26:$CO$26,1,BP316))^INT(INT(BP317/12)/INDEX('Lease Cycles'!$CP$26:$CV$26,1,BP316))/12))),IF('Lease Cycles'!$N$26=1,'Lease Cycles'!$C$26*'Lease Cycles'!$E$26*INDEX('Lease Cycles'!$HE$26:$HK$26,1,BP316)*(1+INDEX('Lease Cycles'!$GQ$26:$GW$26,1,BP316))^INT(INT((BP$6-INDEX('Lease Cycles'!$GJ$26:$GP$26,1,BP316))/12)/INDEX('Lease Cycles'!$GX$26:$HD$26,1,BP316))/12,0)))</f>
        <v>0</v>
      </c>
      <c r="BQ319" s="28">
        <f>IF(BQ316=0,IF('Lease Cycles'!$F$26&gt;0,'Lease Cycles'!$C$26*'Lease Cycles'!$E$26/12,0),IF(BQ318=1,IF('Lease Cycles'!$AT$26&gt;=9999,'Lease Cycles'!$C$26*INDEX('Lease Cycles'!$CB$26:$CH$26,1,BQ316)*(1+INDEX('Lease Cycles'!$CI$26:$CO$26,1,BQ316))^INT(INT(BQ317/12)/INDEX('Lease Cycles'!$CP$26:$CV$26,1,BQ316))/12,IF(BQ316=1,IF(BQ317&gt;=INDEX('Lease Cycles'!$DK$26:$DQ$26,1,BQ316),IF(BQ$6&gt;='Lease Cycles'!$AZ$26,'Lease Cycles'!$C$26*'Lease Cycles'!$BA$26/12,IF(BQ$6&gt;='Lease Cycles'!$AX$26,'Lease Cycles'!$C$26*'Lease Cycles'!$AY$26/12,IF(BQ$6&gt;='Lease Cycles'!$AV$26,'Lease Cycles'!$C$26*'Lease Cycles'!$AW$26/12,IF(BQ$6&gt;='Lease Cycles'!$AT$26,'Lease Cycles'!$C$26*'Lease Cycles'!$AU$26/12,'Lease Cycles'!$C$26*INDEX('Lease Cycles'!$CB$26:$CH$26,1,BQ316)*(1+INDEX('Lease Cycles'!$CI$26:$CO$26,1,BQ316))^INT(INT(BQ317/12)/INDEX('Lease Cycles'!$CP$26:$CV$26,1,BQ316))/12)))),'Lease Cycles'!$C$26*INDEX('Lease Cycles'!$CB$26:$CH$26,1,BQ316)*(1+INDEX('Lease Cycles'!$CI$26:$CO$26,1,BQ316))^INT(INT(BQ317/12)/INDEX('Lease Cycles'!$CP$26:$CV$26,1,BQ316))/12),IF(INDEX('Lease Cycles'!$EF$26:$EL$26,1,BQ316)=1,IF(AND('Lease Cycles'!$AZ$26&gt;=INDEX('Lease Cycles'!$BG$26:$BM$26,1,BQ316),'Lease Cycles'!$AZ$26&lt;=BQ$6),'Lease Cycles'!$C$26*'Lease Cycles'!$BA$26/12,IF(AND('Lease Cycles'!$AX$26&gt;=INDEX('Lease Cycles'!$BG$26:$BM$26,1,BQ316),'Lease Cycles'!$AX$26&lt;=BQ$6),'Lease Cycles'!$C$26*'Lease Cycles'!$AY$26/12,IF(AND('Lease Cycles'!$AV$26&gt;=INDEX('Lease Cycles'!$BG$26:$BM$26,1,BQ316),'Lease Cycles'!$AV$26&lt;=BQ$6),'Lease Cycles'!$C$26*'Lease Cycles'!$AW$26/12,IF(AND('Lease Cycles'!$AT$26&gt;=INDEX('Lease Cycles'!$BG$26:$BM$26,1,BQ316),'Lease Cycles'!$AT$26&lt;=BQ$6),'Lease Cycles'!$C$26*'Lease Cycles'!$AU$26/12,'Lease Cycles'!$C$26*INDEX('Lease Cycles'!$CB$26:$CH$26,1,BQ316)*(1+INDEX('Lease Cycles'!$CI$26:$CO$26,1,BQ316))^INT(INT(BQ317/12)/INDEX('Lease Cycles'!$CP$26:$CV$26,1,BQ316))/12)))),'Lease Cycles'!$C$26*INDEX('Lease Cycles'!$CB$26:$CH$26,1,BQ316)*(1+INDEX('Lease Cycles'!$CI$26:$CO$26,1,BQ316))^INT(INT(BQ317/12)/INDEX('Lease Cycles'!$CP$26:$CV$26,1,BQ316))/12))),IF('Lease Cycles'!$N$26=1,'Lease Cycles'!$C$26*'Lease Cycles'!$E$26*INDEX('Lease Cycles'!$HE$26:$HK$26,1,BQ316)*(1+INDEX('Lease Cycles'!$GQ$26:$GW$26,1,BQ316))^INT(INT((BQ$6-INDEX('Lease Cycles'!$GJ$26:$GP$26,1,BQ316))/12)/INDEX('Lease Cycles'!$GX$26:$HD$26,1,BQ316))/12,0)))</f>
        <v>0</v>
      </c>
      <c r="BR319" s="28">
        <f>IF(BR316=0,IF('Lease Cycles'!$F$26&gt;0,'Lease Cycles'!$C$26*'Lease Cycles'!$E$26/12,0),IF(BR318=1,IF('Lease Cycles'!$AT$26&gt;=9999,'Lease Cycles'!$C$26*INDEX('Lease Cycles'!$CB$26:$CH$26,1,BR316)*(1+INDEX('Lease Cycles'!$CI$26:$CO$26,1,BR316))^INT(INT(BR317/12)/INDEX('Lease Cycles'!$CP$26:$CV$26,1,BR316))/12,IF(BR316=1,IF(BR317&gt;=INDEX('Lease Cycles'!$DK$26:$DQ$26,1,BR316),IF(BR$6&gt;='Lease Cycles'!$AZ$26,'Lease Cycles'!$C$26*'Lease Cycles'!$BA$26/12,IF(BR$6&gt;='Lease Cycles'!$AX$26,'Lease Cycles'!$C$26*'Lease Cycles'!$AY$26/12,IF(BR$6&gt;='Lease Cycles'!$AV$26,'Lease Cycles'!$C$26*'Lease Cycles'!$AW$26/12,IF(BR$6&gt;='Lease Cycles'!$AT$26,'Lease Cycles'!$C$26*'Lease Cycles'!$AU$26/12,'Lease Cycles'!$C$26*INDEX('Lease Cycles'!$CB$26:$CH$26,1,BR316)*(1+INDEX('Lease Cycles'!$CI$26:$CO$26,1,BR316))^INT(INT(BR317/12)/INDEX('Lease Cycles'!$CP$26:$CV$26,1,BR316))/12)))),'Lease Cycles'!$C$26*INDEX('Lease Cycles'!$CB$26:$CH$26,1,BR316)*(1+INDEX('Lease Cycles'!$CI$26:$CO$26,1,BR316))^INT(INT(BR317/12)/INDEX('Lease Cycles'!$CP$26:$CV$26,1,BR316))/12),IF(INDEX('Lease Cycles'!$EF$26:$EL$26,1,BR316)=1,IF(AND('Lease Cycles'!$AZ$26&gt;=INDEX('Lease Cycles'!$BG$26:$BM$26,1,BR316),'Lease Cycles'!$AZ$26&lt;=BR$6),'Lease Cycles'!$C$26*'Lease Cycles'!$BA$26/12,IF(AND('Lease Cycles'!$AX$26&gt;=INDEX('Lease Cycles'!$BG$26:$BM$26,1,BR316),'Lease Cycles'!$AX$26&lt;=BR$6),'Lease Cycles'!$C$26*'Lease Cycles'!$AY$26/12,IF(AND('Lease Cycles'!$AV$26&gt;=INDEX('Lease Cycles'!$BG$26:$BM$26,1,BR316),'Lease Cycles'!$AV$26&lt;=BR$6),'Lease Cycles'!$C$26*'Lease Cycles'!$AW$26/12,IF(AND('Lease Cycles'!$AT$26&gt;=INDEX('Lease Cycles'!$BG$26:$BM$26,1,BR316),'Lease Cycles'!$AT$26&lt;=BR$6),'Lease Cycles'!$C$26*'Lease Cycles'!$AU$26/12,'Lease Cycles'!$C$26*INDEX('Lease Cycles'!$CB$26:$CH$26,1,BR316)*(1+INDEX('Lease Cycles'!$CI$26:$CO$26,1,BR316))^INT(INT(BR317/12)/INDEX('Lease Cycles'!$CP$26:$CV$26,1,BR316))/12)))),'Lease Cycles'!$C$26*INDEX('Lease Cycles'!$CB$26:$CH$26,1,BR316)*(1+INDEX('Lease Cycles'!$CI$26:$CO$26,1,BR316))^INT(INT(BR317/12)/INDEX('Lease Cycles'!$CP$26:$CV$26,1,BR316))/12))),IF('Lease Cycles'!$N$26=1,'Lease Cycles'!$C$26*'Lease Cycles'!$E$26*INDEX('Lease Cycles'!$HE$26:$HK$26,1,BR316)*(1+INDEX('Lease Cycles'!$GQ$26:$GW$26,1,BR316))^INT(INT((BR$6-INDEX('Lease Cycles'!$GJ$26:$GP$26,1,BR316))/12)/INDEX('Lease Cycles'!$GX$26:$HD$26,1,BR316))/12,0)))</f>
        <v>0</v>
      </c>
      <c r="BS319" s="28">
        <f>IF(BS316=0,IF('Lease Cycles'!$F$26&gt;0,'Lease Cycles'!$C$26*'Lease Cycles'!$E$26/12,0),IF(BS318=1,IF('Lease Cycles'!$AT$26&gt;=9999,'Lease Cycles'!$C$26*INDEX('Lease Cycles'!$CB$26:$CH$26,1,BS316)*(1+INDEX('Lease Cycles'!$CI$26:$CO$26,1,BS316))^INT(INT(BS317/12)/INDEX('Lease Cycles'!$CP$26:$CV$26,1,BS316))/12,IF(BS316=1,IF(BS317&gt;=INDEX('Lease Cycles'!$DK$26:$DQ$26,1,BS316),IF(BS$6&gt;='Lease Cycles'!$AZ$26,'Lease Cycles'!$C$26*'Lease Cycles'!$BA$26/12,IF(BS$6&gt;='Lease Cycles'!$AX$26,'Lease Cycles'!$C$26*'Lease Cycles'!$AY$26/12,IF(BS$6&gt;='Lease Cycles'!$AV$26,'Lease Cycles'!$C$26*'Lease Cycles'!$AW$26/12,IF(BS$6&gt;='Lease Cycles'!$AT$26,'Lease Cycles'!$C$26*'Lease Cycles'!$AU$26/12,'Lease Cycles'!$C$26*INDEX('Lease Cycles'!$CB$26:$CH$26,1,BS316)*(1+INDEX('Lease Cycles'!$CI$26:$CO$26,1,BS316))^INT(INT(BS317/12)/INDEX('Lease Cycles'!$CP$26:$CV$26,1,BS316))/12)))),'Lease Cycles'!$C$26*INDEX('Lease Cycles'!$CB$26:$CH$26,1,BS316)*(1+INDEX('Lease Cycles'!$CI$26:$CO$26,1,BS316))^INT(INT(BS317/12)/INDEX('Lease Cycles'!$CP$26:$CV$26,1,BS316))/12),IF(INDEX('Lease Cycles'!$EF$26:$EL$26,1,BS316)=1,IF(AND('Lease Cycles'!$AZ$26&gt;=INDEX('Lease Cycles'!$BG$26:$BM$26,1,BS316),'Lease Cycles'!$AZ$26&lt;=BS$6),'Lease Cycles'!$C$26*'Lease Cycles'!$BA$26/12,IF(AND('Lease Cycles'!$AX$26&gt;=INDEX('Lease Cycles'!$BG$26:$BM$26,1,BS316),'Lease Cycles'!$AX$26&lt;=BS$6),'Lease Cycles'!$C$26*'Lease Cycles'!$AY$26/12,IF(AND('Lease Cycles'!$AV$26&gt;=INDEX('Lease Cycles'!$BG$26:$BM$26,1,BS316),'Lease Cycles'!$AV$26&lt;=BS$6),'Lease Cycles'!$C$26*'Lease Cycles'!$AW$26/12,IF(AND('Lease Cycles'!$AT$26&gt;=INDEX('Lease Cycles'!$BG$26:$BM$26,1,BS316),'Lease Cycles'!$AT$26&lt;=BS$6),'Lease Cycles'!$C$26*'Lease Cycles'!$AU$26/12,'Lease Cycles'!$C$26*INDEX('Lease Cycles'!$CB$26:$CH$26,1,BS316)*(1+INDEX('Lease Cycles'!$CI$26:$CO$26,1,BS316))^INT(INT(BS317/12)/INDEX('Lease Cycles'!$CP$26:$CV$26,1,BS316))/12)))),'Lease Cycles'!$C$26*INDEX('Lease Cycles'!$CB$26:$CH$26,1,BS316)*(1+INDEX('Lease Cycles'!$CI$26:$CO$26,1,BS316))^INT(INT(BS317/12)/INDEX('Lease Cycles'!$CP$26:$CV$26,1,BS316))/12))),IF('Lease Cycles'!$N$26=1,'Lease Cycles'!$C$26*'Lease Cycles'!$E$26*INDEX('Lease Cycles'!$HE$26:$HK$26,1,BS316)*(1+INDEX('Lease Cycles'!$GQ$26:$GW$26,1,BS316))^INT(INT((BS$6-INDEX('Lease Cycles'!$GJ$26:$GP$26,1,BS316))/12)/INDEX('Lease Cycles'!$GX$26:$HD$26,1,BS316))/12,0)))</f>
        <v>0</v>
      </c>
      <c r="BT319" s="28">
        <f>IF(BT316=0,IF('Lease Cycles'!$F$26&gt;0,'Lease Cycles'!$C$26*'Lease Cycles'!$E$26/12,0),IF(BT318=1,IF('Lease Cycles'!$AT$26&gt;=9999,'Lease Cycles'!$C$26*INDEX('Lease Cycles'!$CB$26:$CH$26,1,BT316)*(1+INDEX('Lease Cycles'!$CI$26:$CO$26,1,BT316))^INT(INT(BT317/12)/INDEX('Lease Cycles'!$CP$26:$CV$26,1,BT316))/12,IF(BT316=1,IF(BT317&gt;=INDEX('Lease Cycles'!$DK$26:$DQ$26,1,BT316),IF(BT$6&gt;='Lease Cycles'!$AZ$26,'Lease Cycles'!$C$26*'Lease Cycles'!$BA$26/12,IF(BT$6&gt;='Lease Cycles'!$AX$26,'Lease Cycles'!$C$26*'Lease Cycles'!$AY$26/12,IF(BT$6&gt;='Lease Cycles'!$AV$26,'Lease Cycles'!$C$26*'Lease Cycles'!$AW$26/12,IF(BT$6&gt;='Lease Cycles'!$AT$26,'Lease Cycles'!$C$26*'Lease Cycles'!$AU$26/12,'Lease Cycles'!$C$26*INDEX('Lease Cycles'!$CB$26:$CH$26,1,BT316)*(1+INDEX('Lease Cycles'!$CI$26:$CO$26,1,BT316))^INT(INT(BT317/12)/INDEX('Lease Cycles'!$CP$26:$CV$26,1,BT316))/12)))),'Lease Cycles'!$C$26*INDEX('Lease Cycles'!$CB$26:$CH$26,1,BT316)*(1+INDEX('Lease Cycles'!$CI$26:$CO$26,1,BT316))^INT(INT(BT317/12)/INDEX('Lease Cycles'!$CP$26:$CV$26,1,BT316))/12),IF(INDEX('Lease Cycles'!$EF$26:$EL$26,1,BT316)=1,IF(AND('Lease Cycles'!$AZ$26&gt;=INDEX('Lease Cycles'!$BG$26:$BM$26,1,BT316),'Lease Cycles'!$AZ$26&lt;=BT$6),'Lease Cycles'!$C$26*'Lease Cycles'!$BA$26/12,IF(AND('Lease Cycles'!$AX$26&gt;=INDEX('Lease Cycles'!$BG$26:$BM$26,1,BT316),'Lease Cycles'!$AX$26&lt;=BT$6),'Lease Cycles'!$C$26*'Lease Cycles'!$AY$26/12,IF(AND('Lease Cycles'!$AV$26&gt;=INDEX('Lease Cycles'!$BG$26:$BM$26,1,BT316),'Lease Cycles'!$AV$26&lt;=BT$6),'Lease Cycles'!$C$26*'Lease Cycles'!$AW$26/12,IF(AND('Lease Cycles'!$AT$26&gt;=INDEX('Lease Cycles'!$BG$26:$BM$26,1,BT316),'Lease Cycles'!$AT$26&lt;=BT$6),'Lease Cycles'!$C$26*'Lease Cycles'!$AU$26/12,'Lease Cycles'!$C$26*INDEX('Lease Cycles'!$CB$26:$CH$26,1,BT316)*(1+INDEX('Lease Cycles'!$CI$26:$CO$26,1,BT316))^INT(INT(BT317/12)/INDEX('Lease Cycles'!$CP$26:$CV$26,1,BT316))/12)))),'Lease Cycles'!$C$26*INDEX('Lease Cycles'!$CB$26:$CH$26,1,BT316)*(1+INDEX('Lease Cycles'!$CI$26:$CO$26,1,BT316))^INT(INT(BT317/12)/INDEX('Lease Cycles'!$CP$26:$CV$26,1,BT316))/12))),IF('Lease Cycles'!$N$26=1,'Lease Cycles'!$C$26*'Lease Cycles'!$E$26*INDEX('Lease Cycles'!$HE$26:$HK$26,1,BT316)*(1+INDEX('Lease Cycles'!$GQ$26:$GW$26,1,BT316))^INT(INT((BT$6-INDEX('Lease Cycles'!$GJ$26:$GP$26,1,BT316))/12)/INDEX('Lease Cycles'!$GX$26:$HD$26,1,BT316))/12,0)))</f>
        <v>0</v>
      </c>
      <c r="BU319" s="28">
        <f>IF(BU316=0,IF('Lease Cycles'!$F$26&gt;0,'Lease Cycles'!$C$26*'Lease Cycles'!$E$26/12,0),IF(BU318=1,IF('Lease Cycles'!$AT$26&gt;=9999,'Lease Cycles'!$C$26*INDEX('Lease Cycles'!$CB$26:$CH$26,1,BU316)*(1+INDEX('Lease Cycles'!$CI$26:$CO$26,1,BU316))^INT(INT(BU317/12)/INDEX('Lease Cycles'!$CP$26:$CV$26,1,BU316))/12,IF(BU316=1,IF(BU317&gt;=INDEX('Lease Cycles'!$DK$26:$DQ$26,1,BU316),IF(BU$6&gt;='Lease Cycles'!$AZ$26,'Lease Cycles'!$C$26*'Lease Cycles'!$BA$26/12,IF(BU$6&gt;='Lease Cycles'!$AX$26,'Lease Cycles'!$C$26*'Lease Cycles'!$AY$26/12,IF(BU$6&gt;='Lease Cycles'!$AV$26,'Lease Cycles'!$C$26*'Lease Cycles'!$AW$26/12,IF(BU$6&gt;='Lease Cycles'!$AT$26,'Lease Cycles'!$C$26*'Lease Cycles'!$AU$26/12,'Lease Cycles'!$C$26*INDEX('Lease Cycles'!$CB$26:$CH$26,1,BU316)*(1+INDEX('Lease Cycles'!$CI$26:$CO$26,1,BU316))^INT(INT(BU317/12)/INDEX('Lease Cycles'!$CP$26:$CV$26,1,BU316))/12)))),'Lease Cycles'!$C$26*INDEX('Lease Cycles'!$CB$26:$CH$26,1,BU316)*(1+INDEX('Lease Cycles'!$CI$26:$CO$26,1,BU316))^INT(INT(BU317/12)/INDEX('Lease Cycles'!$CP$26:$CV$26,1,BU316))/12),IF(INDEX('Lease Cycles'!$EF$26:$EL$26,1,BU316)=1,IF(AND('Lease Cycles'!$AZ$26&gt;=INDEX('Lease Cycles'!$BG$26:$BM$26,1,BU316),'Lease Cycles'!$AZ$26&lt;=BU$6),'Lease Cycles'!$C$26*'Lease Cycles'!$BA$26/12,IF(AND('Lease Cycles'!$AX$26&gt;=INDEX('Lease Cycles'!$BG$26:$BM$26,1,BU316),'Lease Cycles'!$AX$26&lt;=BU$6),'Lease Cycles'!$C$26*'Lease Cycles'!$AY$26/12,IF(AND('Lease Cycles'!$AV$26&gt;=INDEX('Lease Cycles'!$BG$26:$BM$26,1,BU316),'Lease Cycles'!$AV$26&lt;=BU$6),'Lease Cycles'!$C$26*'Lease Cycles'!$AW$26/12,IF(AND('Lease Cycles'!$AT$26&gt;=INDEX('Lease Cycles'!$BG$26:$BM$26,1,BU316),'Lease Cycles'!$AT$26&lt;=BU$6),'Lease Cycles'!$C$26*'Lease Cycles'!$AU$26/12,'Lease Cycles'!$C$26*INDEX('Lease Cycles'!$CB$26:$CH$26,1,BU316)*(1+INDEX('Lease Cycles'!$CI$26:$CO$26,1,BU316))^INT(INT(BU317/12)/INDEX('Lease Cycles'!$CP$26:$CV$26,1,BU316))/12)))),'Lease Cycles'!$C$26*INDEX('Lease Cycles'!$CB$26:$CH$26,1,BU316)*(1+INDEX('Lease Cycles'!$CI$26:$CO$26,1,BU316))^INT(INT(BU317/12)/INDEX('Lease Cycles'!$CP$26:$CV$26,1,BU316))/12))),IF('Lease Cycles'!$N$26=1,'Lease Cycles'!$C$26*'Lease Cycles'!$E$26*INDEX('Lease Cycles'!$HE$26:$HK$26,1,BU316)*(1+INDEX('Lease Cycles'!$GQ$26:$GW$26,1,BU316))^INT(INT((BU$6-INDEX('Lease Cycles'!$GJ$26:$GP$26,1,BU316))/12)/INDEX('Lease Cycles'!$GX$26:$HD$26,1,BU316))/12,0)))</f>
        <v>0</v>
      </c>
      <c r="BV319" s="28">
        <f>IF(BV316=0,IF('Lease Cycles'!$F$26&gt;0,'Lease Cycles'!$C$26*'Lease Cycles'!$E$26/12,0),IF(BV318=1,IF('Lease Cycles'!$AT$26&gt;=9999,'Lease Cycles'!$C$26*INDEX('Lease Cycles'!$CB$26:$CH$26,1,BV316)*(1+INDEX('Lease Cycles'!$CI$26:$CO$26,1,BV316))^INT(INT(BV317/12)/INDEX('Lease Cycles'!$CP$26:$CV$26,1,BV316))/12,IF(BV316=1,IF(BV317&gt;=INDEX('Lease Cycles'!$DK$26:$DQ$26,1,BV316),IF(BV$6&gt;='Lease Cycles'!$AZ$26,'Lease Cycles'!$C$26*'Lease Cycles'!$BA$26/12,IF(BV$6&gt;='Lease Cycles'!$AX$26,'Lease Cycles'!$C$26*'Lease Cycles'!$AY$26/12,IF(BV$6&gt;='Lease Cycles'!$AV$26,'Lease Cycles'!$C$26*'Lease Cycles'!$AW$26/12,IF(BV$6&gt;='Lease Cycles'!$AT$26,'Lease Cycles'!$C$26*'Lease Cycles'!$AU$26/12,'Lease Cycles'!$C$26*INDEX('Lease Cycles'!$CB$26:$CH$26,1,BV316)*(1+INDEX('Lease Cycles'!$CI$26:$CO$26,1,BV316))^INT(INT(BV317/12)/INDEX('Lease Cycles'!$CP$26:$CV$26,1,BV316))/12)))),'Lease Cycles'!$C$26*INDEX('Lease Cycles'!$CB$26:$CH$26,1,BV316)*(1+INDEX('Lease Cycles'!$CI$26:$CO$26,1,BV316))^INT(INT(BV317/12)/INDEX('Lease Cycles'!$CP$26:$CV$26,1,BV316))/12),IF(INDEX('Lease Cycles'!$EF$26:$EL$26,1,BV316)=1,IF(AND('Lease Cycles'!$AZ$26&gt;=INDEX('Lease Cycles'!$BG$26:$BM$26,1,BV316),'Lease Cycles'!$AZ$26&lt;=BV$6),'Lease Cycles'!$C$26*'Lease Cycles'!$BA$26/12,IF(AND('Lease Cycles'!$AX$26&gt;=INDEX('Lease Cycles'!$BG$26:$BM$26,1,BV316),'Lease Cycles'!$AX$26&lt;=BV$6),'Lease Cycles'!$C$26*'Lease Cycles'!$AY$26/12,IF(AND('Lease Cycles'!$AV$26&gt;=INDEX('Lease Cycles'!$BG$26:$BM$26,1,BV316),'Lease Cycles'!$AV$26&lt;=BV$6),'Lease Cycles'!$C$26*'Lease Cycles'!$AW$26/12,IF(AND('Lease Cycles'!$AT$26&gt;=INDEX('Lease Cycles'!$BG$26:$BM$26,1,BV316),'Lease Cycles'!$AT$26&lt;=BV$6),'Lease Cycles'!$C$26*'Lease Cycles'!$AU$26/12,'Lease Cycles'!$C$26*INDEX('Lease Cycles'!$CB$26:$CH$26,1,BV316)*(1+INDEX('Lease Cycles'!$CI$26:$CO$26,1,BV316))^INT(INT(BV317/12)/INDEX('Lease Cycles'!$CP$26:$CV$26,1,BV316))/12)))),'Lease Cycles'!$C$26*INDEX('Lease Cycles'!$CB$26:$CH$26,1,BV316)*(1+INDEX('Lease Cycles'!$CI$26:$CO$26,1,BV316))^INT(INT(BV317/12)/INDEX('Lease Cycles'!$CP$26:$CV$26,1,BV316))/12))),IF('Lease Cycles'!$N$26=1,'Lease Cycles'!$C$26*'Lease Cycles'!$E$26*INDEX('Lease Cycles'!$HE$26:$HK$26,1,BV316)*(1+INDEX('Lease Cycles'!$GQ$26:$GW$26,1,BV316))^INT(INT((BV$6-INDEX('Lease Cycles'!$GJ$26:$GP$26,1,BV316))/12)/INDEX('Lease Cycles'!$GX$26:$HD$26,1,BV316))/12,0)))</f>
        <v>0</v>
      </c>
      <c r="BW319" s="28">
        <f>IF(BW316=0,IF('Lease Cycles'!$F$26&gt;0,'Lease Cycles'!$C$26*'Lease Cycles'!$E$26/12,0),IF(BW318=1,IF('Lease Cycles'!$AT$26&gt;=9999,'Lease Cycles'!$C$26*INDEX('Lease Cycles'!$CB$26:$CH$26,1,BW316)*(1+INDEX('Lease Cycles'!$CI$26:$CO$26,1,BW316))^INT(INT(BW317/12)/INDEX('Lease Cycles'!$CP$26:$CV$26,1,BW316))/12,IF(BW316=1,IF(BW317&gt;=INDEX('Lease Cycles'!$DK$26:$DQ$26,1,BW316),IF(BW$6&gt;='Lease Cycles'!$AZ$26,'Lease Cycles'!$C$26*'Lease Cycles'!$BA$26/12,IF(BW$6&gt;='Lease Cycles'!$AX$26,'Lease Cycles'!$C$26*'Lease Cycles'!$AY$26/12,IF(BW$6&gt;='Lease Cycles'!$AV$26,'Lease Cycles'!$C$26*'Lease Cycles'!$AW$26/12,IF(BW$6&gt;='Lease Cycles'!$AT$26,'Lease Cycles'!$C$26*'Lease Cycles'!$AU$26/12,'Lease Cycles'!$C$26*INDEX('Lease Cycles'!$CB$26:$CH$26,1,BW316)*(1+INDEX('Lease Cycles'!$CI$26:$CO$26,1,BW316))^INT(INT(BW317/12)/INDEX('Lease Cycles'!$CP$26:$CV$26,1,BW316))/12)))),'Lease Cycles'!$C$26*INDEX('Lease Cycles'!$CB$26:$CH$26,1,BW316)*(1+INDEX('Lease Cycles'!$CI$26:$CO$26,1,BW316))^INT(INT(BW317/12)/INDEX('Lease Cycles'!$CP$26:$CV$26,1,BW316))/12),IF(INDEX('Lease Cycles'!$EF$26:$EL$26,1,BW316)=1,IF(AND('Lease Cycles'!$AZ$26&gt;=INDEX('Lease Cycles'!$BG$26:$BM$26,1,BW316),'Lease Cycles'!$AZ$26&lt;=BW$6),'Lease Cycles'!$C$26*'Lease Cycles'!$BA$26/12,IF(AND('Lease Cycles'!$AX$26&gt;=INDEX('Lease Cycles'!$BG$26:$BM$26,1,BW316),'Lease Cycles'!$AX$26&lt;=BW$6),'Lease Cycles'!$C$26*'Lease Cycles'!$AY$26/12,IF(AND('Lease Cycles'!$AV$26&gt;=INDEX('Lease Cycles'!$BG$26:$BM$26,1,BW316),'Lease Cycles'!$AV$26&lt;=BW$6),'Lease Cycles'!$C$26*'Lease Cycles'!$AW$26/12,IF(AND('Lease Cycles'!$AT$26&gt;=INDEX('Lease Cycles'!$BG$26:$BM$26,1,BW316),'Lease Cycles'!$AT$26&lt;=BW$6),'Lease Cycles'!$C$26*'Lease Cycles'!$AU$26/12,'Lease Cycles'!$C$26*INDEX('Lease Cycles'!$CB$26:$CH$26,1,BW316)*(1+INDEX('Lease Cycles'!$CI$26:$CO$26,1,BW316))^INT(INT(BW317/12)/INDEX('Lease Cycles'!$CP$26:$CV$26,1,BW316))/12)))),'Lease Cycles'!$C$26*INDEX('Lease Cycles'!$CB$26:$CH$26,1,BW316)*(1+INDEX('Lease Cycles'!$CI$26:$CO$26,1,BW316))^INT(INT(BW317/12)/INDEX('Lease Cycles'!$CP$26:$CV$26,1,BW316))/12))),IF('Lease Cycles'!$N$26=1,'Lease Cycles'!$C$26*'Lease Cycles'!$E$26*INDEX('Lease Cycles'!$HE$26:$HK$26,1,BW316)*(1+INDEX('Lease Cycles'!$GQ$26:$GW$26,1,BW316))^INT(INT((BW$6-INDEX('Lease Cycles'!$GJ$26:$GP$26,1,BW316))/12)/INDEX('Lease Cycles'!$GX$26:$HD$26,1,BW316))/12,0)))</f>
        <v>0</v>
      </c>
      <c r="BX319" s="28">
        <f>IF(BX316=0,IF('Lease Cycles'!$F$26&gt;0,'Lease Cycles'!$C$26*'Lease Cycles'!$E$26/12,0),IF(BX318=1,IF('Lease Cycles'!$AT$26&gt;=9999,'Lease Cycles'!$C$26*INDEX('Lease Cycles'!$CB$26:$CH$26,1,BX316)*(1+INDEX('Lease Cycles'!$CI$26:$CO$26,1,BX316))^INT(INT(BX317/12)/INDEX('Lease Cycles'!$CP$26:$CV$26,1,BX316))/12,IF(BX316=1,IF(BX317&gt;=INDEX('Lease Cycles'!$DK$26:$DQ$26,1,BX316),IF(BX$6&gt;='Lease Cycles'!$AZ$26,'Lease Cycles'!$C$26*'Lease Cycles'!$BA$26/12,IF(BX$6&gt;='Lease Cycles'!$AX$26,'Lease Cycles'!$C$26*'Lease Cycles'!$AY$26/12,IF(BX$6&gt;='Lease Cycles'!$AV$26,'Lease Cycles'!$C$26*'Lease Cycles'!$AW$26/12,IF(BX$6&gt;='Lease Cycles'!$AT$26,'Lease Cycles'!$C$26*'Lease Cycles'!$AU$26/12,'Lease Cycles'!$C$26*INDEX('Lease Cycles'!$CB$26:$CH$26,1,BX316)*(1+INDEX('Lease Cycles'!$CI$26:$CO$26,1,BX316))^INT(INT(BX317/12)/INDEX('Lease Cycles'!$CP$26:$CV$26,1,BX316))/12)))),'Lease Cycles'!$C$26*INDEX('Lease Cycles'!$CB$26:$CH$26,1,BX316)*(1+INDEX('Lease Cycles'!$CI$26:$CO$26,1,BX316))^INT(INT(BX317/12)/INDEX('Lease Cycles'!$CP$26:$CV$26,1,BX316))/12),IF(INDEX('Lease Cycles'!$EF$26:$EL$26,1,BX316)=1,IF(AND('Lease Cycles'!$AZ$26&gt;=INDEX('Lease Cycles'!$BG$26:$BM$26,1,BX316),'Lease Cycles'!$AZ$26&lt;=BX$6),'Lease Cycles'!$C$26*'Lease Cycles'!$BA$26/12,IF(AND('Lease Cycles'!$AX$26&gt;=INDEX('Lease Cycles'!$BG$26:$BM$26,1,BX316),'Lease Cycles'!$AX$26&lt;=BX$6),'Lease Cycles'!$C$26*'Lease Cycles'!$AY$26/12,IF(AND('Lease Cycles'!$AV$26&gt;=INDEX('Lease Cycles'!$BG$26:$BM$26,1,BX316),'Lease Cycles'!$AV$26&lt;=BX$6),'Lease Cycles'!$C$26*'Lease Cycles'!$AW$26/12,IF(AND('Lease Cycles'!$AT$26&gt;=INDEX('Lease Cycles'!$BG$26:$BM$26,1,BX316),'Lease Cycles'!$AT$26&lt;=BX$6),'Lease Cycles'!$C$26*'Lease Cycles'!$AU$26/12,'Lease Cycles'!$C$26*INDEX('Lease Cycles'!$CB$26:$CH$26,1,BX316)*(1+INDEX('Lease Cycles'!$CI$26:$CO$26,1,BX316))^INT(INT(BX317/12)/INDEX('Lease Cycles'!$CP$26:$CV$26,1,BX316))/12)))),'Lease Cycles'!$C$26*INDEX('Lease Cycles'!$CB$26:$CH$26,1,BX316)*(1+INDEX('Lease Cycles'!$CI$26:$CO$26,1,BX316))^INT(INT(BX317/12)/INDEX('Lease Cycles'!$CP$26:$CV$26,1,BX316))/12))),IF('Lease Cycles'!$N$26=1,'Lease Cycles'!$C$26*'Lease Cycles'!$E$26*INDEX('Lease Cycles'!$HE$26:$HK$26,1,BX316)*(1+INDEX('Lease Cycles'!$GQ$26:$GW$26,1,BX316))^INT(INT((BX$6-INDEX('Lease Cycles'!$GJ$26:$GP$26,1,BX316))/12)/INDEX('Lease Cycles'!$GX$26:$HD$26,1,BX316))/12,0)))</f>
        <v>0</v>
      </c>
      <c r="BY319" s="28">
        <f>IF(BY316=0,IF('Lease Cycles'!$F$26&gt;0,'Lease Cycles'!$C$26*'Lease Cycles'!$E$26/12,0),IF(BY318=1,IF('Lease Cycles'!$AT$26&gt;=9999,'Lease Cycles'!$C$26*INDEX('Lease Cycles'!$CB$26:$CH$26,1,BY316)*(1+INDEX('Lease Cycles'!$CI$26:$CO$26,1,BY316))^INT(INT(BY317/12)/INDEX('Lease Cycles'!$CP$26:$CV$26,1,BY316))/12,IF(BY316=1,IF(BY317&gt;=INDEX('Lease Cycles'!$DK$26:$DQ$26,1,BY316),IF(BY$6&gt;='Lease Cycles'!$AZ$26,'Lease Cycles'!$C$26*'Lease Cycles'!$BA$26/12,IF(BY$6&gt;='Lease Cycles'!$AX$26,'Lease Cycles'!$C$26*'Lease Cycles'!$AY$26/12,IF(BY$6&gt;='Lease Cycles'!$AV$26,'Lease Cycles'!$C$26*'Lease Cycles'!$AW$26/12,IF(BY$6&gt;='Lease Cycles'!$AT$26,'Lease Cycles'!$C$26*'Lease Cycles'!$AU$26/12,'Lease Cycles'!$C$26*INDEX('Lease Cycles'!$CB$26:$CH$26,1,BY316)*(1+INDEX('Lease Cycles'!$CI$26:$CO$26,1,BY316))^INT(INT(BY317/12)/INDEX('Lease Cycles'!$CP$26:$CV$26,1,BY316))/12)))),'Lease Cycles'!$C$26*INDEX('Lease Cycles'!$CB$26:$CH$26,1,BY316)*(1+INDEX('Lease Cycles'!$CI$26:$CO$26,1,BY316))^INT(INT(BY317/12)/INDEX('Lease Cycles'!$CP$26:$CV$26,1,BY316))/12),IF(INDEX('Lease Cycles'!$EF$26:$EL$26,1,BY316)=1,IF(AND('Lease Cycles'!$AZ$26&gt;=INDEX('Lease Cycles'!$BG$26:$BM$26,1,BY316),'Lease Cycles'!$AZ$26&lt;=BY$6),'Lease Cycles'!$C$26*'Lease Cycles'!$BA$26/12,IF(AND('Lease Cycles'!$AX$26&gt;=INDEX('Lease Cycles'!$BG$26:$BM$26,1,BY316),'Lease Cycles'!$AX$26&lt;=BY$6),'Lease Cycles'!$C$26*'Lease Cycles'!$AY$26/12,IF(AND('Lease Cycles'!$AV$26&gt;=INDEX('Lease Cycles'!$BG$26:$BM$26,1,BY316),'Lease Cycles'!$AV$26&lt;=BY$6),'Lease Cycles'!$C$26*'Lease Cycles'!$AW$26/12,IF(AND('Lease Cycles'!$AT$26&gt;=INDEX('Lease Cycles'!$BG$26:$BM$26,1,BY316),'Lease Cycles'!$AT$26&lt;=BY$6),'Lease Cycles'!$C$26*'Lease Cycles'!$AU$26/12,'Lease Cycles'!$C$26*INDEX('Lease Cycles'!$CB$26:$CH$26,1,BY316)*(1+INDEX('Lease Cycles'!$CI$26:$CO$26,1,BY316))^INT(INT(BY317/12)/INDEX('Lease Cycles'!$CP$26:$CV$26,1,BY316))/12)))),'Lease Cycles'!$C$26*INDEX('Lease Cycles'!$CB$26:$CH$26,1,BY316)*(1+INDEX('Lease Cycles'!$CI$26:$CO$26,1,BY316))^INT(INT(BY317/12)/INDEX('Lease Cycles'!$CP$26:$CV$26,1,BY316))/12))),IF('Lease Cycles'!$N$26=1,'Lease Cycles'!$C$26*'Lease Cycles'!$E$26*INDEX('Lease Cycles'!$HE$26:$HK$26,1,BY316)*(1+INDEX('Lease Cycles'!$GQ$26:$GW$26,1,BY316))^INT(INT((BY$6-INDEX('Lease Cycles'!$GJ$26:$GP$26,1,BY316))/12)/INDEX('Lease Cycles'!$GX$26:$HD$26,1,BY316))/12,0)))</f>
        <v>0</v>
      </c>
      <c r="BZ319" s="28">
        <f>IF(BZ316=0,IF('Lease Cycles'!$F$26&gt;0,'Lease Cycles'!$C$26*'Lease Cycles'!$E$26/12,0),IF(BZ318=1,IF('Lease Cycles'!$AT$26&gt;=9999,'Lease Cycles'!$C$26*INDEX('Lease Cycles'!$CB$26:$CH$26,1,BZ316)*(1+INDEX('Lease Cycles'!$CI$26:$CO$26,1,BZ316))^INT(INT(BZ317/12)/INDEX('Lease Cycles'!$CP$26:$CV$26,1,BZ316))/12,IF(BZ316=1,IF(BZ317&gt;=INDEX('Lease Cycles'!$DK$26:$DQ$26,1,BZ316),IF(BZ$6&gt;='Lease Cycles'!$AZ$26,'Lease Cycles'!$C$26*'Lease Cycles'!$BA$26/12,IF(BZ$6&gt;='Lease Cycles'!$AX$26,'Lease Cycles'!$C$26*'Lease Cycles'!$AY$26/12,IF(BZ$6&gt;='Lease Cycles'!$AV$26,'Lease Cycles'!$C$26*'Lease Cycles'!$AW$26/12,IF(BZ$6&gt;='Lease Cycles'!$AT$26,'Lease Cycles'!$C$26*'Lease Cycles'!$AU$26/12,'Lease Cycles'!$C$26*INDEX('Lease Cycles'!$CB$26:$CH$26,1,BZ316)*(1+INDEX('Lease Cycles'!$CI$26:$CO$26,1,BZ316))^INT(INT(BZ317/12)/INDEX('Lease Cycles'!$CP$26:$CV$26,1,BZ316))/12)))),'Lease Cycles'!$C$26*INDEX('Lease Cycles'!$CB$26:$CH$26,1,BZ316)*(1+INDEX('Lease Cycles'!$CI$26:$CO$26,1,BZ316))^INT(INT(BZ317/12)/INDEX('Lease Cycles'!$CP$26:$CV$26,1,BZ316))/12),IF(INDEX('Lease Cycles'!$EF$26:$EL$26,1,BZ316)=1,IF(AND('Lease Cycles'!$AZ$26&gt;=INDEX('Lease Cycles'!$BG$26:$BM$26,1,BZ316),'Lease Cycles'!$AZ$26&lt;=BZ$6),'Lease Cycles'!$C$26*'Lease Cycles'!$BA$26/12,IF(AND('Lease Cycles'!$AX$26&gt;=INDEX('Lease Cycles'!$BG$26:$BM$26,1,BZ316),'Lease Cycles'!$AX$26&lt;=BZ$6),'Lease Cycles'!$C$26*'Lease Cycles'!$AY$26/12,IF(AND('Lease Cycles'!$AV$26&gt;=INDEX('Lease Cycles'!$BG$26:$BM$26,1,BZ316),'Lease Cycles'!$AV$26&lt;=BZ$6),'Lease Cycles'!$C$26*'Lease Cycles'!$AW$26/12,IF(AND('Lease Cycles'!$AT$26&gt;=INDEX('Lease Cycles'!$BG$26:$BM$26,1,BZ316),'Lease Cycles'!$AT$26&lt;=BZ$6),'Lease Cycles'!$C$26*'Lease Cycles'!$AU$26/12,'Lease Cycles'!$C$26*INDEX('Lease Cycles'!$CB$26:$CH$26,1,BZ316)*(1+INDEX('Lease Cycles'!$CI$26:$CO$26,1,BZ316))^INT(INT(BZ317/12)/INDEX('Lease Cycles'!$CP$26:$CV$26,1,BZ316))/12)))),'Lease Cycles'!$C$26*INDEX('Lease Cycles'!$CB$26:$CH$26,1,BZ316)*(1+INDEX('Lease Cycles'!$CI$26:$CO$26,1,BZ316))^INT(INT(BZ317/12)/INDEX('Lease Cycles'!$CP$26:$CV$26,1,BZ316))/12))),IF('Lease Cycles'!$N$26=1,'Lease Cycles'!$C$26*'Lease Cycles'!$E$26*INDEX('Lease Cycles'!$HE$26:$HK$26,1,BZ316)*(1+INDEX('Lease Cycles'!$GQ$26:$GW$26,1,BZ316))^INT(INT((BZ$6-INDEX('Lease Cycles'!$GJ$26:$GP$26,1,BZ316))/12)/INDEX('Lease Cycles'!$GX$26:$HD$26,1,BZ316))/12,0)))</f>
        <v>0</v>
      </c>
      <c r="CA319" s="28">
        <f>IF(CA316=0,IF('Lease Cycles'!$F$26&gt;0,'Lease Cycles'!$C$26*'Lease Cycles'!$E$26/12,0),IF(CA318=1,IF('Lease Cycles'!$AT$26&gt;=9999,'Lease Cycles'!$C$26*INDEX('Lease Cycles'!$CB$26:$CH$26,1,CA316)*(1+INDEX('Lease Cycles'!$CI$26:$CO$26,1,CA316))^INT(INT(CA317/12)/INDEX('Lease Cycles'!$CP$26:$CV$26,1,CA316))/12,IF(CA316=1,IF(CA317&gt;=INDEX('Lease Cycles'!$DK$26:$DQ$26,1,CA316),IF(CA$6&gt;='Lease Cycles'!$AZ$26,'Lease Cycles'!$C$26*'Lease Cycles'!$BA$26/12,IF(CA$6&gt;='Lease Cycles'!$AX$26,'Lease Cycles'!$C$26*'Lease Cycles'!$AY$26/12,IF(CA$6&gt;='Lease Cycles'!$AV$26,'Lease Cycles'!$C$26*'Lease Cycles'!$AW$26/12,IF(CA$6&gt;='Lease Cycles'!$AT$26,'Lease Cycles'!$C$26*'Lease Cycles'!$AU$26/12,'Lease Cycles'!$C$26*INDEX('Lease Cycles'!$CB$26:$CH$26,1,CA316)*(1+INDEX('Lease Cycles'!$CI$26:$CO$26,1,CA316))^INT(INT(CA317/12)/INDEX('Lease Cycles'!$CP$26:$CV$26,1,CA316))/12)))),'Lease Cycles'!$C$26*INDEX('Lease Cycles'!$CB$26:$CH$26,1,CA316)*(1+INDEX('Lease Cycles'!$CI$26:$CO$26,1,CA316))^INT(INT(CA317/12)/INDEX('Lease Cycles'!$CP$26:$CV$26,1,CA316))/12),IF(INDEX('Lease Cycles'!$EF$26:$EL$26,1,CA316)=1,IF(AND('Lease Cycles'!$AZ$26&gt;=INDEX('Lease Cycles'!$BG$26:$BM$26,1,CA316),'Lease Cycles'!$AZ$26&lt;=CA$6),'Lease Cycles'!$C$26*'Lease Cycles'!$BA$26/12,IF(AND('Lease Cycles'!$AX$26&gt;=INDEX('Lease Cycles'!$BG$26:$BM$26,1,CA316),'Lease Cycles'!$AX$26&lt;=CA$6),'Lease Cycles'!$C$26*'Lease Cycles'!$AY$26/12,IF(AND('Lease Cycles'!$AV$26&gt;=INDEX('Lease Cycles'!$BG$26:$BM$26,1,CA316),'Lease Cycles'!$AV$26&lt;=CA$6),'Lease Cycles'!$C$26*'Lease Cycles'!$AW$26/12,IF(AND('Lease Cycles'!$AT$26&gt;=INDEX('Lease Cycles'!$BG$26:$BM$26,1,CA316),'Lease Cycles'!$AT$26&lt;=CA$6),'Lease Cycles'!$C$26*'Lease Cycles'!$AU$26/12,'Lease Cycles'!$C$26*INDEX('Lease Cycles'!$CB$26:$CH$26,1,CA316)*(1+INDEX('Lease Cycles'!$CI$26:$CO$26,1,CA316))^INT(INT(CA317/12)/INDEX('Lease Cycles'!$CP$26:$CV$26,1,CA316))/12)))),'Lease Cycles'!$C$26*INDEX('Lease Cycles'!$CB$26:$CH$26,1,CA316)*(1+INDEX('Lease Cycles'!$CI$26:$CO$26,1,CA316))^INT(INT(CA317/12)/INDEX('Lease Cycles'!$CP$26:$CV$26,1,CA316))/12))),IF('Lease Cycles'!$N$26=1,'Lease Cycles'!$C$26*'Lease Cycles'!$E$26*INDEX('Lease Cycles'!$HE$26:$HK$26,1,CA316)*(1+INDEX('Lease Cycles'!$GQ$26:$GW$26,1,CA316))^INT(INT((CA$6-INDEX('Lease Cycles'!$GJ$26:$GP$26,1,CA316))/12)/INDEX('Lease Cycles'!$GX$26:$HD$26,1,CA316))/12,0)))</f>
        <v>0</v>
      </c>
      <c r="CB319" s="28">
        <f>IF(CB316=0,IF('Lease Cycles'!$F$26&gt;0,'Lease Cycles'!$C$26*'Lease Cycles'!$E$26/12,0),IF(CB318=1,IF('Lease Cycles'!$AT$26&gt;=9999,'Lease Cycles'!$C$26*INDEX('Lease Cycles'!$CB$26:$CH$26,1,CB316)*(1+INDEX('Lease Cycles'!$CI$26:$CO$26,1,CB316))^INT(INT(CB317/12)/INDEX('Lease Cycles'!$CP$26:$CV$26,1,CB316))/12,IF(CB316=1,IF(CB317&gt;=INDEX('Lease Cycles'!$DK$26:$DQ$26,1,CB316),IF(CB$6&gt;='Lease Cycles'!$AZ$26,'Lease Cycles'!$C$26*'Lease Cycles'!$BA$26/12,IF(CB$6&gt;='Lease Cycles'!$AX$26,'Lease Cycles'!$C$26*'Lease Cycles'!$AY$26/12,IF(CB$6&gt;='Lease Cycles'!$AV$26,'Lease Cycles'!$C$26*'Lease Cycles'!$AW$26/12,IF(CB$6&gt;='Lease Cycles'!$AT$26,'Lease Cycles'!$C$26*'Lease Cycles'!$AU$26/12,'Lease Cycles'!$C$26*INDEX('Lease Cycles'!$CB$26:$CH$26,1,CB316)*(1+INDEX('Lease Cycles'!$CI$26:$CO$26,1,CB316))^INT(INT(CB317/12)/INDEX('Lease Cycles'!$CP$26:$CV$26,1,CB316))/12)))),'Lease Cycles'!$C$26*INDEX('Lease Cycles'!$CB$26:$CH$26,1,CB316)*(1+INDEX('Lease Cycles'!$CI$26:$CO$26,1,CB316))^INT(INT(CB317/12)/INDEX('Lease Cycles'!$CP$26:$CV$26,1,CB316))/12),IF(INDEX('Lease Cycles'!$EF$26:$EL$26,1,CB316)=1,IF(AND('Lease Cycles'!$AZ$26&gt;=INDEX('Lease Cycles'!$BG$26:$BM$26,1,CB316),'Lease Cycles'!$AZ$26&lt;=CB$6),'Lease Cycles'!$C$26*'Lease Cycles'!$BA$26/12,IF(AND('Lease Cycles'!$AX$26&gt;=INDEX('Lease Cycles'!$BG$26:$BM$26,1,CB316),'Lease Cycles'!$AX$26&lt;=CB$6),'Lease Cycles'!$C$26*'Lease Cycles'!$AY$26/12,IF(AND('Lease Cycles'!$AV$26&gt;=INDEX('Lease Cycles'!$BG$26:$BM$26,1,CB316),'Lease Cycles'!$AV$26&lt;=CB$6),'Lease Cycles'!$C$26*'Lease Cycles'!$AW$26/12,IF(AND('Lease Cycles'!$AT$26&gt;=INDEX('Lease Cycles'!$BG$26:$BM$26,1,CB316),'Lease Cycles'!$AT$26&lt;=CB$6),'Lease Cycles'!$C$26*'Lease Cycles'!$AU$26/12,'Lease Cycles'!$C$26*INDEX('Lease Cycles'!$CB$26:$CH$26,1,CB316)*(1+INDEX('Lease Cycles'!$CI$26:$CO$26,1,CB316))^INT(INT(CB317/12)/INDEX('Lease Cycles'!$CP$26:$CV$26,1,CB316))/12)))),'Lease Cycles'!$C$26*INDEX('Lease Cycles'!$CB$26:$CH$26,1,CB316)*(1+INDEX('Lease Cycles'!$CI$26:$CO$26,1,CB316))^INT(INT(CB317/12)/INDEX('Lease Cycles'!$CP$26:$CV$26,1,CB316))/12))),IF('Lease Cycles'!$N$26=1,'Lease Cycles'!$C$26*'Lease Cycles'!$E$26*INDEX('Lease Cycles'!$HE$26:$HK$26,1,CB316)*(1+INDEX('Lease Cycles'!$GQ$26:$GW$26,1,CB316))^INT(INT((CB$6-INDEX('Lease Cycles'!$GJ$26:$GP$26,1,CB316))/12)/INDEX('Lease Cycles'!$GX$26:$HD$26,1,CB316))/12,0)))</f>
        <v>0</v>
      </c>
      <c r="CC319" s="28">
        <f>IF(CC316=0,IF('Lease Cycles'!$F$26&gt;0,'Lease Cycles'!$C$26*'Lease Cycles'!$E$26/12,0),IF(CC318=1,IF('Lease Cycles'!$AT$26&gt;=9999,'Lease Cycles'!$C$26*INDEX('Lease Cycles'!$CB$26:$CH$26,1,CC316)*(1+INDEX('Lease Cycles'!$CI$26:$CO$26,1,CC316))^INT(INT(CC317/12)/INDEX('Lease Cycles'!$CP$26:$CV$26,1,CC316))/12,IF(CC316=1,IF(CC317&gt;=INDEX('Lease Cycles'!$DK$26:$DQ$26,1,CC316),IF(CC$6&gt;='Lease Cycles'!$AZ$26,'Lease Cycles'!$C$26*'Lease Cycles'!$BA$26/12,IF(CC$6&gt;='Lease Cycles'!$AX$26,'Lease Cycles'!$C$26*'Lease Cycles'!$AY$26/12,IF(CC$6&gt;='Lease Cycles'!$AV$26,'Lease Cycles'!$C$26*'Lease Cycles'!$AW$26/12,IF(CC$6&gt;='Lease Cycles'!$AT$26,'Lease Cycles'!$C$26*'Lease Cycles'!$AU$26/12,'Lease Cycles'!$C$26*INDEX('Lease Cycles'!$CB$26:$CH$26,1,CC316)*(1+INDEX('Lease Cycles'!$CI$26:$CO$26,1,CC316))^INT(INT(CC317/12)/INDEX('Lease Cycles'!$CP$26:$CV$26,1,CC316))/12)))),'Lease Cycles'!$C$26*INDEX('Lease Cycles'!$CB$26:$CH$26,1,CC316)*(1+INDEX('Lease Cycles'!$CI$26:$CO$26,1,CC316))^INT(INT(CC317/12)/INDEX('Lease Cycles'!$CP$26:$CV$26,1,CC316))/12),IF(INDEX('Lease Cycles'!$EF$26:$EL$26,1,CC316)=1,IF(AND('Lease Cycles'!$AZ$26&gt;=INDEX('Lease Cycles'!$BG$26:$BM$26,1,CC316),'Lease Cycles'!$AZ$26&lt;=CC$6),'Lease Cycles'!$C$26*'Lease Cycles'!$BA$26/12,IF(AND('Lease Cycles'!$AX$26&gt;=INDEX('Lease Cycles'!$BG$26:$BM$26,1,CC316),'Lease Cycles'!$AX$26&lt;=CC$6),'Lease Cycles'!$C$26*'Lease Cycles'!$AY$26/12,IF(AND('Lease Cycles'!$AV$26&gt;=INDEX('Lease Cycles'!$BG$26:$BM$26,1,CC316),'Lease Cycles'!$AV$26&lt;=CC$6),'Lease Cycles'!$C$26*'Lease Cycles'!$AW$26/12,IF(AND('Lease Cycles'!$AT$26&gt;=INDEX('Lease Cycles'!$BG$26:$BM$26,1,CC316),'Lease Cycles'!$AT$26&lt;=CC$6),'Lease Cycles'!$C$26*'Lease Cycles'!$AU$26/12,'Lease Cycles'!$C$26*INDEX('Lease Cycles'!$CB$26:$CH$26,1,CC316)*(1+INDEX('Lease Cycles'!$CI$26:$CO$26,1,CC316))^INT(INT(CC317/12)/INDEX('Lease Cycles'!$CP$26:$CV$26,1,CC316))/12)))),'Lease Cycles'!$C$26*INDEX('Lease Cycles'!$CB$26:$CH$26,1,CC316)*(1+INDEX('Lease Cycles'!$CI$26:$CO$26,1,CC316))^INT(INT(CC317/12)/INDEX('Lease Cycles'!$CP$26:$CV$26,1,CC316))/12))),IF('Lease Cycles'!$N$26=1,'Lease Cycles'!$C$26*'Lease Cycles'!$E$26*INDEX('Lease Cycles'!$HE$26:$HK$26,1,CC316)*(1+INDEX('Lease Cycles'!$GQ$26:$GW$26,1,CC316))^INT(INT((CC$6-INDEX('Lease Cycles'!$GJ$26:$GP$26,1,CC316))/12)/INDEX('Lease Cycles'!$GX$26:$HD$26,1,CC316))/12,0)))</f>
        <v>0</v>
      </c>
      <c r="CD319" s="28">
        <f>IF(CD316=0,IF('Lease Cycles'!$F$26&gt;0,'Lease Cycles'!$C$26*'Lease Cycles'!$E$26/12,0),IF(CD318=1,IF('Lease Cycles'!$AT$26&gt;=9999,'Lease Cycles'!$C$26*INDEX('Lease Cycles'!$CB$26:$CH$26,1,CD316)*(1+INDEX('Lease Cycles'!$CI$26:$CO$26,1,CD316))^INT(INT(CD317/12)/INDEX('Lease Cycles'!$CP$26:$CV$26,1,CD316))/12,IF(CD316=1,IF(CD317&gt;=INDEX('Lease Cycles'!$DK$26:$DQ$26,1,CD316),IF(CD$6&gt;='Lease Cycles'!$AZ$26,'Lease Cycles'!$C$26*'Lease Cycles'!$BA$26/12,IF(CD$6&gt;='Lease Cycles'!$AX$26,'Lease Cycles'!$C$26*'Lease Cycles'!$AY$26/12,IF(CD$6&gt;='Lease Cycles'!$AV$26,'Lease Cycles'!$C$26*'Lease Cycles'!$AW$26/12,IF(CD$6&gt;='Lease Cycles'!$AT$26,'Lease Cycles'!$C$26*'Lease Cycles'!$AU$26/12,'Lease Cycles'!$C$26*INDEX('Lease Cycles'!$CB$26:$CH$26,1,CD316)*(1+INDEX('Lease Cycles'!$CI$26:$CO$26,1,CD316))^INT(INT(CD317/12)/INDEX('Lease Cycles'!$CP$26:$CV$26,1,CD316))/12)))),'Lease Cycles'!$C$26*INDEX('Lease Cycles'!$CB$26:$CH$26,1,CD316)*(1+INDEX('Lease Cycles'!$CI$26:$CO$26,1,CD316))^INT(INT(CD317/12)/INDEX('Lease Cycles'!$CP$26:$CV$26,1,CD316))/12),IF(INDEX('Lease Cycles'!$EF$26:$EL$26,1,CD316)=1,IF(AND('Lease Cycles'!$AZ$26&gt;=INDEX('Lease Cycles'!$BG$26:$BM$26,1,CD316),'Lease Cycles'!$AZ$26&lt;=CD$6),'Lease Cycles'!$C$26*'Lease Cycles'!$BA$26/12,IF(AND('Lease Cycles'!$AX$26&gt;=INDEX('Lease Cycles'!$BG$26:$BM$26,1,CD316),'Lease Cycles'!$AX$26&lt;=CD$6),'Lease Cycles'!$C$26*'Lease Cycles'!$AY$26/12,IF(AND('Lease Cycles'!$AV$26&gt;=INDEX('Lease Cycles'!$BG$26:$BM$26,1,CD316),'Lease Cycles'!$AV$26&lt;=CD$6),'Lease Cycles'!$C$26*'Lease Cycles'!$AW$26/12,IF(AND('Lease Cycles'!$AT$26&gt;=INDEX('Lease Cycles'!$BG$26:$BM$26,1,CD316),'Lease Cycles'!$AT$26&lt;=CD$6),'Lease Cycles'!$C$26*'Lease Cycles'!$AU$26/12,'Lease Cycles'!$C$26*INDEX('Lease Cycles'!$CB$26:$CH$26,1,CD316)*(1+INDEX('Lease Cycles'!$CI$26:$CO$26,1,CD316))^INT(INT(CD317/12)/INDEX('Lease Cycles'!$CP$26:$CV$26,1,CD316))/12)))),'Lease Cycles'!$C$26*INDEX('Lease Cycles'!$CB$26:$CH$26,1,CD316)*(1+INDEX('Lease Cycles'!$CI$26:$CO$26,1,CD316))^INT(INT(CD317/12)/INDEX('Lease Cycles'!$CP$26:$CV$26,1,CD316))/12))),IF('Lease Cycles'!$N$26=1,'Lease Cycles'!$C$26*'Lease Cycles'!$E$26*INDEX('Lease Cycles'!$HE$26:$HK$26,1,CD316)*(1+INDEX('Lease Cycles'!$GQ$26:$GW$26,1,CD316))^INT(INT((CD$6-INDEX('Lease Cycles'!$GJ$26:$GP$26,1,CD316))/12)/INDEX('Lease Cycles'!$GX$26:$HD$26,1,CD316))/12,0)))</f>
        <v>0</v>
      </c>
      <c r="CE319" s="28">
        <f>IF(CE316=0,IF('Lease Cycles'!$F$26&gt;0,'Lease Cycles'!$C$26*'Lease Cycles'!$E$26/12,0),IF(CE318=1,IF('Lease Cycles'!$AT$26&gt;=9999,'Lease Cycles'!$C$26*INDEX('Lease Cycles'!$CB$26:$CH$26,1,CE316)*(1+INDEX('Lease Cycles'!$CI$26:$CO$26,1,CE316))^INT(INT(CE317/12)/INDEX('Lease Cycles'!$CP$26:$CV$26,1,CE316))/12,IF(CE316=1,IF(CE317&gt;=INDEX('Lease Cycles'!$DK$26:$DQ$26,1,CE316),IF(CE$6&gt;='Lease Cycles'!$AZ$26,'Lease Cycles'!$C$26*'Lease Cycles'!$BA$26/12,IF(CE$6&gt;='Lease Cycles'!$AX$26,'Lease Cycles'!$C$26*'Lease Cycles'!$AY$26/12,IF(CE$6&gt;='Lease Cycles'!$AV$26,'Lease Cycles'!$C$26*'Lease Cycles'!$AW$26/12,IF(CE$6&gt;='Lease Cycles'!$AT$26,'Lease Cycles'!$C$26*'Lease Cycles'!$AU$26/12,'Lease Cycles'!$C$26*INDEX('Lease Cycles'!$CB$26:$CH$26,1,CE316)*(1+INDEX('Lease Cycles'!$CI$26:$CO$26,1,CE316))^INT(INT(CE317/12)/INDEX('Lease Cycles'!$CP$26:$CV$26,1,CE316))/12)))),'Lease Cycles'!$C$26*INDEX('Lease Cycles'!$CB$26:$CH$26,1,CE316)*(1+INDEX('Lease Cycles'!$CI$26:$CO$26,1,CE316))^INT(INT(CE317/12)/INDEX('Lease Cycles'!$CP$26:$CV$26,1,CE316))/12),IF(INDEX('Lease Cycles'!$EF$26:$EL$26,1,CE316)=1,IF(AND('Lease Cycles'!$AZ$26&gt;=INDEX('Lease Cycles'!$BG$26:$BM$26,1,CE316),'Lease Cycles'!$AZ$26&lt;=CE$6),'Lease Cycles'!$C$26*'Lease Cycles'!$BA$26/12,IF(AND('Lease Cycles'!$AX$26&gt;=INDEX('Lease Cycles'!$BG$26:$BM$26,1,CE316),'Lease Cycles'!$AX$26&lt;=CE$6),'Lease Cycles'!$C$26*'Lease Cycles'!$AY$26/12,IF(AND('Lease Cycles'!$AV$26&gt;=INDEX('Lease Cycles'!$BG$26:$BM$26,1,CE316),'Lease Cycles'!$AV$26&lt;=CE$6),'Lease Cycles'!$C$26*'Lease Cycles'!$AW$26/12,IF(AND('Lease Cycles'!$AT$26&gt;=INDEX('Lease Cycles'!$BG$26:$BM$26,1,CE316),'Lease Cycles'!$AT$26&lt;=CE$6),'Lease Cycles'!$C$26*'Lease Cycles'!$AU$26/12,'Lease Cycles'!$C$26*INDEX('Lease Cycles'!$CB$26:$CH$26,1,CE316)*(1+INDEX('Lease Cycles'!$CI$26:$CO$26,1,CE316))^INT(INT(CE317/12)/INDEX('Lease Cycles'!$CP$26:$CV$26,1,CE316))/12)))),'Lease Cycles'!$C$26*INDEX('Lease Cycles'!$CB$26:$CH$26,1,CE316)*(1+INDEX('Lease Cycles'!$CI$26:$CO$26,1,CE316))^INT(INT(CE317/12)/INDEX('Lease Cycles'!$CP$26:$CV$26,1,CE316))/12))),IF('Lease Cycles'!$N$26=1,'Lease Cycles'!$C$26*'Lease Cycles'!$E$26*INDEX('Lease Cycles'!$HE$26:$HK$26,1,CE316)*(1+INDEX('Lease Cycles'!$GQ$26:$GW$26,1,CE316))^INT(INT((CE$6-INDEX('Lease Cycles'!$GJ$26:$GP$26,1,CE316))/12)/INDEX('Lease Cycles'!$GX$26:$HD$26,1,CE316))/12,0)))</f>
        <v>0</v>
      </c>
      <c r="CF319" s="28">
        <f>IF(CF316=0,IF('Lease Cycles'!$F$26&gt;0,'Lease Cycles'!$C$26*'Lease Cycles'!$E$26/12,0),IF(CF318=1,IF('Lease Cycles'!$AT$26&gt;=9999,'Lease Cycles'!$C$26*INDEX('Lease Cycles'!$CB$26:$CH$26,1,CF316)*(1+INDEX('Lease Cycles'!$CI$26:$CO$26,1,CF316))^INT(INT(CF317/12)/INDEX('Lease Cycles'!$CP$26:$CV$26,1,CF316))/12,IF(CF316=1,IF(CF317&gt;=INDEX('Lease Cycles'!$DK$26:$DQ$26,1,CF316),IF(CF$6&gt;='Lease Cycles'!$AZ$26,'Lease Cycles'!$C$26*'Lease Cycles'!$BA$26/12,IF(CF$6&gt;='Lease Cycles'!$AX$26,'Lease Cycles'!$C$26*'Lease Cycles'!$AY$26/12,IF(CF$6&gt;='Lease Cycles'!$AV$26,'Lease Cycles'!$C$26*'Lease Cycles'!$AW$26/12,IF(CF$6&gt;='Lease Cycles'!$AT$26,'Lease Cycles'!$C$26*'Lease Cycles'!$AU$26/12,'Lease Cycles'!$C$26*INDEX('Lease Cycles'!$CB$26:$CH$26,1,CF316)*(1+INDEX('Lease Cycles'!$CI$26:$CO$26,1,CF316))^INT(INT(CF317/12)/INDEX('Lease Cycles'!$CP$26:$CV$26,1,CF316))/12)))),'Lease Cycles'!$C$26*INDEX('Lease Cycles'!$CB$26:$CH$26,1,CF316)*(1+INDEX('Lease Cycles'!$CI$26:$CO$26,1,CF316))^INT(INT(CF317/12)/INDEX('Lease Cycles'!$CP$26:$CV$26,1,CF316))/12),IF(INDEX('Lease Cycles'!$EF$26:$EL$26,1,CF316)=1,IF(AND('Lease Cycles'!$AZ$26&gt;=INDEX('Lease Cycles'!$BG$26:$BM$26,1,CF316),'Lease Cycles'!$AZ$26&lt;=CF$6),'Lease Cycles'!$C$26*'Lease Cycles'!$BA$26/12,IF(AND('Lease Cycles'!$AX$26&gt;=INDEX('Lease Cycles'!$BG$26:$BM$26,1,CF316),'Lease Cycles'!$AX$26&lt;=CF$6),'Lease Cycles'!$C$26*'Lease Cycles'!$AY$26/12,IF(AND('Lease Cycles'!$AV$26&gt;=INDEX('Lease Cycles'!$BG$26:$BM$26,1,CF316),'Lease Cycles'!$AV$26&lt;=CF$6),'Lease Cycles'!$C$26*'Lease Cycles'!$AW$26/12,IF(AND('Lease Cycles'!$AT$26&gt;=INDEX('Lease Cycles'!$BG$26:$BM$26,1,CF316),'Lease Cycles'!$AT$26&lt;=CF$6),'Lease Cycles'!$C$26*'Lease Cycles'!$AU$26/12,'Lease Cycles'!$C$26*INDEX('Lease Cycles'!$CB$26:$CH$26,1,CF316)*(1+INDEX('Lease Cycles'!$CI$26:$CO$26,1,CF316))^INT(INT(CF317/12)/INDEX('Lease Cycles'!$CP$26:$CV$26,1,CF316))/12)))),'Lease Cycles'!$C$26*INDEX('Lease Cycles'!$CB$26:$CH$26,1,CF316)*(1+INDEX('Lease Cycles'!$CI$26:$CO$26,1,CF316))^INT(INT(CF317/12)/INDEX('Lease Cycles'!$CP$26:$CV$26,1,CF316))/12))),IF('Lease Cycles'!$N$26=1,'Lease Cycles'!$C$26*'Lease Cycles'!$E$26*INDEX('Lease Cycles'!$HE$26:$HK$26,1,CF316)*(1+INDEX('Lease Cycles'!$GQ$26:$GW$26,1,CF316))^INT(INT((CF$6-INDEX('Lease Cycles'!$GJ$26:$GP$26,1,CF316))/12)/INDEX('Lease Cycles'!$GX$26:$HD$26,1,CF316))/12,0)))</f>
        <v>0</v>
      </c>
      <c r="CG319" s="28">
        <f>IF(CG316=0,IF('Lease Cycles'!$F$26&gt;0,'Lease Cycles'!$C$26*'Lease Cycles'!$E$26/12,0),IF(CG318=1,IF('Lease Cycles'!$AT$26&gt;=9999,'Lease Cycles'!$C$26*INDEX('Lease Cycles'!$CB$26:$CH$26,1,CG316)*(1+INDEX('Lease Cycles'!$CI$26:$CO$26,1,CG316))^INT(INT(CG317/12)/INDEX('Lease Cycles'!$CP$26:$CV$26,1,CG316))/12,IF(CG316=1,IF(CG317&gt;=INDEX('Lease Cycles'!$DK$26:$DQ$26,1,CG316),IF(CG$6&gt;='Lease Cycles'!$AZ$26,'Lease Cycles'!$C$26*'Lease Cycles'!$BA$26/12,IF(CG$6&gt;='Lease Cycles'!$AX$26,'Lease Cycles'!$C$26*'Lease Cycles'!$AY$26/12,IF(CG$6&gt;='Lease Cycles'!$AV$26,'Lease Cycles'!$C$26*'Lease Cycles'!$AW$26/12,IF(CG$6&gt;='Lease Cycles'!$AT$26,'Lease Cycles'!$C$26*'Lease Cycles'!$AU$26/12,'Lease Cycles'!$C$26*INDEX('Lease Cycles'!$CB$26:$CH$26,1,CG316)*(1+INDEX('Lease Cycles'!$CI$26:$CO$26,1,CG316))^INT(INT(CG317/12)/INDEX('Lease Cycles'!$CP$26:$CV$26,1,CG316))/12)))),'Lease Cycles'!$C$26*INDEX('Lease Cycles'!$CB$26:$CH$26,1,CG316)*(1+INDEX('Lease Cycles'!$CI$26:$CO$26,1,CG316))^INT(INT(CG317/12)/INDEX('Lease Cycles'!$CP$26:$CV$26,1,CG316))/12),IF(INDEX('Lease Cycles'!$EF$26:$EL$26,1,CG316)=1,IF(AND('Lease Cycles'!$AZ$26&gt;=INDEX('Lease Cycles'!$BG$26:$BM$26,1,CG316),'Lease Cycles'!$AZ$26&lt;=CG$6),'Lease Cycles'!$C$26*'Lease Cycles'!$BA$26/12,IF(AND('Lease Cycles'!$AX$26&gt;=INDEX('Lease Cycles'!$BG$26:$BM$26,1,CG316),'Lease Cycles'!$AX$26&lt;=CG$6),'Lease Cycles'!$C$26*'Lease Cycles'!$AY$26/12,IF(AND('Lease Cycles'!$AV$26&gt;=INDEX('Lease Cycles'!$BG$26:$BM$26,1,CG316),'Lease Cycles'!$AV$26&lt;=CG$6),'Lease Cycles'!$C$26*'Lease Cycles'!$AW$26/12,IF(AND('Lease Cycles'!$AT$26&gt;=INDEX('Lease Cycles'!$BG$26:$BM$26,1,CG316),'Lease Cycles'!$AT$26&lt;=CG$6),'Lease Cycles'!$C$26*'Lease Cycles'!$AU$26/12,'Lease Cycles'!$C$26*INDEX('Lease Cycles'!$CB$26:$CH$26,1,CG316)*(1+INDEX('Lease Cycles'!$CI$26:$CO$26,1,CG316))^INT(INT(CG317/12)/INDEX('Lease Cycles'!$CP$26:$CV$26,1,CG316))/12)))),'Lease Cycles'!$C$26*INDEX('Lease Cycles'!$CB$26:$CH$26,1,CG316)*(1+INDEX('Lease Cycles'!$CI$26:$CO$26,1,CG316))^INT(INT(CG317/12)/INDEX('Lease Cycles'!$CP$26:$CV$26,1,CG316))/12))),IF('Lease Cycles'!$N$26=1,'Lease Cycles'!$C$26*'Lease Cycles'!$E$26*INDEX('Lease Cycles'!$HE$26:$HK$26,1,CG316)*(1+INDEX('Lease Cycles'!$GQ$26:$GW$26,1,CG316))^INT(INT((CG$6-INDEX('Lease Cycles'!$GJ$26:$GP$26,1,CG316))/12)/INDEX('Lease Cycles'!$GX$26:$HD$26,1,CG316))/12,0)))</f>
        <v>0</v>
      </c>
      <c r="CH319" s="28">
        <f>IF(CH316=0,IF('Lease Cycles'!$F$26&gt;0,'Lease Cycles'!$C$26*'Lease Cycles'!$E$26/12,0),IF(CH318=1,IF('Lease Cycles'!$AT$26&gt;=9999,'Lease Cycles'!$C$26*INDEX('Lease Cycles'!$CB$26:$CH$26,1,CH316)*(1+INDEX('Lease Cycles'!$CI$26:$CO$26,1,CH316))^INT(INT(CH317/12)/INDEX('Lease Cycles'!$CP$26:$CV$26,1,CH316))/12,IF(CH316=1,IF(CH317&gt;=INDEX('Lease Cycles'!$DK$26:$DQ$26,1,CH316),IF(CH$6&gt;='Lease Cycles'!$AZ$26,'Lease Cycles'!$C$26*'Lease Cycles'!$BA$26/12,IF(CH$6&gt;='Lease Cycles'!$AX$26,'Lease Cycles'!$C$26*'Lease Cycles'!$AY$26/12,IF(CH$6&gt;='Lease Cycles'!$AV$26,'Lease Cycles'!$C$26*'Lease Cycles'!$AW$26/12,IF(CH$6&gt;='Lease Cycles'!$AT$26,'Lease Cycles'!$C$26*'Lease Cycles'!$AU$26/12,'Lease Cycles'!$C$26*INDEX('Lease Cycles'!$CB$26:$CH$26,1,CH316)*(1+INDEX('Lease Cycles'!$CI$26:$CO$26,1,CH316))^INT(INT(CH317/12)/INDEX('Lease Cycles'!$CP$26:$CV$26,1,CH316))/12)))),'Lease Cycles'!$C$26*INDEX('Lease Cycles'!$CB$26:$CH$26,1,CH316)*(1+INDEX('Lease Cycles'!$CI$26:$CO$26,1,CH316))^INT(INT(CH317/12)/INDEX('Lease Cycles'!$CP$26:$CV$26,1,CH316))/12),IF(INDEX('Lease Cycles'!$EF$26:$EL$26,1,CH316)=1,IF(AND('Lease Cycles'!$AZ$26&gt;=INDEX('Lease Cycles'!$BG$26:$BM$26,1,CH316),'Lease Cycles'!$AZ$26&lt;=CH$6),'Lease Cycles'!$C$26*'Lease Cycles'!$BA$26/12,IF(AND('Lease Cycles'!$AX$26&gt;=INDEX('Lease Cycles'!$BG$26:$BM$26,1,CH316),'Lease Cycles'!$AX$26&lt;=CH$6),'Lease Cycles'!$C$26*'Lease Cycles'!$AY$26/12,IF(AND('Lease Cycles'!$AV$26&gt;=INDEX('Lease Cycles'!$BG$26:$BM$26,1,CH316),'Lease Cycles'!$AV$26&lt;=CH$6),'Lease Cycles'!$C$26*'Lease Cycles'!$AW$26/12,IF(AND('Lease Cycles'!$AT$26&gt;=INDEX('Lease Cycles'!$BG$26:$BM$26,1,CH316),'Lease Cycles'!$AT$26&lt;=CH$6),'Lease Cycles'!$C$26*'Lease Cycles'!$AU$26/12,'Lease Cycles'!$C$26*INDEX('Lease Cycles'!$CB$26:$CH$26,1,CH316)*(1+INDEX('Lease Cycles'!$CI$26:$CO$26,1,CH316))^INT(INT(CH317/12)/INDEX('Lease Cycles'!$CP$26:$CV$26,1,CH316))/12)))),'Lease Cycles'!$C$26*INDEX('Lease Cycles'!$CB$26:$CH$26,1,CH316)*(1+INDEX('Lease Cycles'!$CI$26:$CO$26,1,CH316))^INT(INT(CH317/12)/INDEX('Lease Cycles'!$CP$26:$CV$26,1,CH316))/12))),IF('Lease Cycles'!$N$26=1,'Lease Cycles'!$C$26*'Lease Cycles'!$E$26*INDEX('Lease Cycles'!$HE$26:$HK$26,1,CH316)*(1+INDEX('Lease Cycles'!$GQ$26:$GW$26,1,CH316))^INT(INT((CH$6-INDEX('Lease Cycles'!$GJ$26:$GP$26,1,CH316))/12)/INDEX('Lease Cycles'!$GX$26:$HD$26,1,CH316))/12,0)))</f>
        <v>0</v>
      </c>
      <c r="CI319" s="28">
        <f>IF(CI316=0,IF('Lease Cycles'!$F$26&gt;0,'Lease Cycles'!$C$26*'Lease Cycles'!$E$26/12,0),IF(CI318=1,IF('Lease Cycles'!$AT$26&gt;=9999,'Lease Cycles'!$C$26*INDEX('Lease Cycles'!$CB$26:$CH$26,1,CI316)*(1+INDEX('Lease Cycles'!$CI$26:$CO$26,1,CI316))^INT(INT(CI317/12)/INDEX('Lease Cycles'!$CP$26:$CV$26,1,CI316))/12,IF(CI316=1,IF(CI317&gt;=INDEX('Lease Cycles'!$DK$26:$DQ$26,1,CI316),IF(CI$6&gt;='Lease Cycles'!$AZ$26,'Lease Cycles'!$C$26*'Lease Cycles'!$BA$26/12,IF(CI$6&gt;='Lease Cycles'!$AX$26,'Lease Cycles'!$C$26*'Lease Cycles'!$AY$26/12,IF(CI$6&gt;='Lease Cycles'!$AV$26,'Lease Cycles'!$C$26*'Lease Cycles'!$AW$26/12,IF(CI$6&gt;='Lease Cycles'!$AT$26,'Lease Cycles'!$C$26*'Lease Cycles'!$AU$26/12,'Lease Cycles'!$C$26*INDEX('Lease Cycles'!$CB$26:$CH$26,1,CI316)*(1+INDEX('Lease Cycles'!$CI$26:$CO$26,1,CI316))^INT(INT(CI317/12)/INDEX('Lease Cycles'!$CP$26:$CV$26,1,CI316))/12)))),'Lease Cycles'!$C$26*INDEX('Lease Cycles'!$CB$26:$CH$26,1,CI316)*(1+INDEX('Lease Cycles'!$CI$26:$CO$26,1,CI316))^INT(INT(CI317/12)/INDEX('Lease Cycles'!$CP$26:$CV$26,1,CI316))/12),IF(INDEX('Lease Cycles'!$EF$26:$EL$26,1,CI316)=1,IF(AND('Lease Cycles'!$AZ$26&gt;=INDEX('Lease Cycles'!$BG$26:$BM$26,1,CI316),'Lease Cycles'!$AZ$26&lt;=CI$6),'Lease Cycles'!$C$26*'Lease Cycles'!$BA$26/12,IF(AND('Lease Cycles'!$AX$26&gt;=INDEX('Lease Cycles'!$BG$26:$BM$26,1,CI316),'Lease Cycles'!$AX$26&lt;=CI$6),'Lease Cycles'!$C$26*'Lease Cycles'!$AY$26/12,IF(AND('Lease Cycles'!$AV$26&gt;=INDEX('Lease Cycles'!$BG$26:$BM$26,1,CI316),'Lease Cycles'!$AV$26&lt;=CI$6),'Lease Cycles'!$C$26*'Lease Cycles'!$AW$26/12,IF(AND('Lease Cycles'!$AT$26&gt;=INDEX('Lease Cycles'!$BG$26:$BM$26,1,CI316),'Lease Cycles'!$AT$26&lt;=CI$6),'Lease Cycles'!$C$26*'Lease Cycles'!$AU$26/12,'Lease Cycles'!$C$26*INDEX('Lease Cycles'!$CB$26:$CH$26,1,CI316)*(1+INDEX('Lease Cycles'!$CI$26:$CO$26,1,CI316))^INT(INT(CI317/12)/INDEX('Lease Cycles'!$CP$26:$CV$26,1,CI316))/12)))),'Lease Cycles'!$C$26*INDEX('Lease Cycles'!$CB$26:$CH$26,1,CI316)*(1+INDEX('Lease Cycles'!$CI$26:$CO$26,1,CI316))^INT(INT(CI317/12)/INDEX('Lease Cycles'!$CP$26:$CV$26,1,CI316))/12))),IF('Lease Cycles'!$N$26=1,'Lease Cycles'!$C$26*'Lease Cycles'!$E$26*INDEX('Lease Cycles'!$HE$26:$HK$26,1,CI316)*(1+INDEX('Lease Cycles'!$GQ$26:$GW$26,1,CI316))^INT(INT((CI$6-INDEX('Lease Cycles'!$GJ$26:$GP$26,1,CI316))/12)/INDEX('Lease Cycles'!$GX$26:$HD$26,1,CI316))/12,0)))</f>
        <v>0</v>
      </c>
      <c r="CJ319" s="28">
        <f>IF(CJ316=0,IF('Lease Cycles'!$F$26&gt;0,'Lease Cycles'!$C$26*'Lease Cycles'!$E$26/12,0),IF(CJ318=1,IF('Lease Cycles'!$AT$26&gt;=9999,'Lease Cycles'!$C$26*INDEX('Lease Cycles'!$CB$26:$CH$26,1,CJ316)*(1+INDEX('Lease Cycles'!$CI$26:$CO$26,1,CJ316))^INT(INT(CJ317/12)/INDEX('Lease Cycles'!$CP$26:$CV$26,1,CJ316))/12,IF(CJ316=1,IF(CJ317&gt;=INDEX('Lease Cycles'!$DK$26:$DQ$26,1,CJ316),IF(CJ$6&gt;='Lease Cycles'!$AZ$26,'Lease Cycles'!$C$26*'Lease Cycles'!$BA$26/12,IF(CJ$6&gt;='Lease Cycles'!$AX$26,'Lease Cycles'!$C$26*'Lease Cycles'!$AY$26/12,IF(CJ$6&gt;='Lease Cycles'!$AV$26,'Lease Cycles'!$C$26*'Lease Cycles'!$AW$26/12,IF(CJ$6&gt;='Lease Cycles'!$AT$26,'Lease Cycles'!$C$26*'Lease Cycles'!$AU$26/12,'Lease Cycles'!$C$26*INDEX('Lease Cycles'!$CB$26:$CH$26,1,CJ316)*(1+INDEX('Lease Cycles'!$CI$26:$CO$26,1,CJ316))^INT(INT(CJ317/12)/INDEX('Lease Cycles'!$CP$26:$CV$26,1,CJ316))/12)))),'Lease Cycles'!$C$26*INDEX('Lease Cycles'!$CB$26:$CH$26,1,CJ316)*(1+INDEX('Lease Cycles'!$CI$26:$CO$26,1,CJ316))^INT(INT(CJ317/12)/INDEX('Lease Cycles'!$CP$26:$CV$26,1,CJ316))/12),IF(INDEX('Lease Cycles'!$EF$26:$EL$26,1,CJ316)=1,IF(AND('Lease Cycles'!$AZ$26&gt;=INDEX('Lease Cycles'!$BG$26:$BM$26,1,CJ316),'Lease Cycles'!$AZ$26&lt;=CJ$6),'Lease Cycles'!$C$26*'Lease Cycles'!$BA$26/12,IF(AND('Lease Cycles'!$AX$26&gt;=INDEX('Lease Cycles'!$BG$26:$BM$26,1,CJ316),'Lease Cycles'!$AX$26&lt;=CJ$6),'Lease Cycles'!$C$26*'Lease Cycles'!$AY$26/12,IF(AND('Lease Cycles'!$AV$26&gt;=INDEX('Lease Cycles'!$BG$26:$BM$26,1,CJ316),'Lease Cycles'!$AV$26&lt;=CJ$6),'Lease Cycles'!$C$26*'Lease Cycles'!$AW$26/12,IF(AND('Lease Cycles'!$AT$26&gt;=INDEX('Lease Cycles'!$BG$26:$BM$26,1,CJ316),'Lease Cycles'!$AT$26&lt;=CJ$6),'Lease Cycles'!$C$26*'Lease Cycles'!$AU$26/12,'Lease Cycles'!$C$26*INDEX('Lease Cycles'!$CB$26:$CH$26,1,CJ316)*(1+INDEX('Lease Cycles'!$CI$26:$CO$26,1,CJ316))^INT(INT(CJ317/12)/INDEX('Lease Cycles'!$CP$26:$CV$26,1,CJ316))/12)))),'Lease Cycles'!$C$26*INDEX('Lease Cycles'!$CB$26:$CH$26,1,CJ316)*(1+INDEX('Lease Cycles'!$CI$26:$CO$26,1,CJ316))^INT(INT(CJ317/12)/INDEX('Lease Cycles'!$CP$26:$CV$26,1,CJ316))/12))),IF('Lease Cycles'!$N$26=1,'Lease Cycles'!$C$26*'Lease Cycles'!$E$26*INDEX('Lease Cycles'!$HE$26:$HK$26,1,CJ316)*(1+INDEX('Lease Cycles'!$GQ$26:$GW$26,1,CJ316))^INT(INT((CJ$6-INDEX('Lease Cycles'!$GJ$26:$GP$26,1,CJ316))/12)/INDEX('Lease Cycles'!$GX$26:$HD$26,1,CJ316))/12,0)))</f>
        <v>0</v>
      </c>
      <c r="CK319" s="28">
        <f>IF(CK316=0,IF('Lease Cycles'!$F$26&gt;0,'Lease Cycles'!$C$26*'Lease Cycles'!$E$26/12,0),IF(CK318=1,IF('Lease Cycles'!$AT$26&gt;=9999,'Lease Cycles'!$C$26*INDEX('Lease Cycles'!$CB$26:$CH$26,1,CK316)*(1+INDEX('Lease Cycles'!$CI$26:$CO$26,1,CK316))^INT(INT(CK317/12)/INDEX('Lease Cycles'!$CP$26:$CV$26,1,CK316))/12,IF(CK316=1,IF(CK317&gt;=INDEX('Lease Cycles'!$DK$26:$DQ$26,1,CK316),IF(CK$6&gt;='Lease Cycles'!$AZ$26,'Lease Cycles'!$C$26*'Lease Cycles'!$BA$26/12,IF(CK$6&gt;='Lease Cycles'!$AX$26,'Lease Cycles'!$C$26*'Lease Cycles'!$AY$26/12,IF(CK$6&gt;='Lease Cycles'!$AV$26,'Lease Cycles'!$C$26*'Lease Cycles'!$AW$26/12,IF(CK$6&gt;='Lease Cycles'!$AT$26,'Lease Cycles'!$C$26*'Lease Cycles'!$AU$26/12,'Lease Cycles'!$C$26*INDEX('Lease Cycles'!$CB$26:$CH$26,1,CK316)*(1+INDEX('Lease Cycles'!$CI$26:$CO$26,1,CK316))^INT(INT(CK317/12)/INDEX('Lease Cycles'!$CP$26:$CV$26,1,CK316))/12)))),'Lease Cycles'!$C$26*INDEX('Lease Cycles'!$CB$26:$CH$26,1,CK316)*(1+INDEX('Lease Cycles'!$CI$26:$CO$26,1,CK316))^INT(INT(CK317/12)/INDEX('Lease Cycles'!$CP$26:$CV$26,1,CK316))/12),IF(INDEX('Lease Cycles'!$EF$26:$EL$26,1,CK316)=1,IF(AND('Lease Cycles'!$AZ$26&gt;=INDEX('Lease Cycles'!$BG$26:$BM$26,1,CK316),'Lease Cycles'!$AZ$26&lt;=CK$6),'Lease Cycles'!$C$26*'Lease Cycles'!$BA$26/12,IF(AND('Lease Cycles'!$AX$26&gt;=INDEX('Lease Cycles'!$BG$26:$BM$26,1,CK316),'Lease Cycles'!$AX$26&lt;=CK$6),'Lease Cycles'!$C$26*'Lease Cycles'!$AY$26/12,IF(AND('Lease Cycles'!$AV$26&gt;=INDEX('Lease Cycles'!$BG$26:$BM$26,1,CK316),'Lease Cycles'!$AV$26&lt;=CK$6),'Lease Cycles'!$C$26*'Lease Cycles'!$AW$26/12,IF(AND('Lease Cycles'!$AT$26&gt;=INDEX('Lease Cycles'!$BG$26:$BM$26,1,CK316),'Lease Cycles'!$AT$26&lt;=CK$6),'Lease Cycles'!$C$26*'Lease Cycles'!$AU$26/12,'Lease Cycles'!$C$26*INDEX('Lease Cycles'!$CB$26:$CH$26,1,CK316)*(1+INDEX('Lease Cycles'!$CI$26:$CO$26,1,CK316))^INT(INT(CK317/12)/INDEX('Lease Cycles'!$CP$26:$CV$26,1,CK316))/12)))),'Lease Cycles'!$C$26*INDEX('Lease Cycles'!$CB$26:$CH$26,1,CK316)*(1+INDEX('Lease Cycles'!$CI$26:$CO$26,1,CK316))^INT(INT(CK317/12)/INDEX('Lease Cycles'!$CP$26:$CV$26,1,CK316))/12))),IF('Lease Cycles'!$N$26=1,'Lease Cycles'!$C$26*'Lease Cycles'!$E$26*INDEX('Lease Cycles'!$HE$26:$HK$26,1,CK316)*(1+INDEX('Lease Cycles'!$GQ$26:$GW$26,1,CK316))^INT(INT((CK$6-INDEX('Lease Cycles'!$GJ$26:$GP$26,1,CK316))/12)/INDEX('Lease Cycles'!$GX$26:$HD$26,1,CK316))/12,0)))</f>
        <v>0</v>
      </c>
      <c r="CL319" s="28">
        <f>IF(CL316=0,IF('Lease Cycles'!$F$26&gt;0,'Lease Cycles'!$C$26*'Lease Cycles'!$E$26/12,0),IF(CL318=1,IF('Lease Cycles'!$AT$26&gt;=9999,'Lease Cycles'!$C$26*INDEX('Lease Cycles'!$CB$26:$CH$26,1,CL316)*(1+INDEX('Lease Cycles'!$CI$26:$CO$26,1,CL316))^INT(INT(CL317/12)/INDEX('Lease Cycles'!$CP$26:$CV$26,1,CL316))/12,IF(CL316=1,IF(CL317&gt;=INDEX('Lease Cycles'!$DK$26:$DQ$26,1,CL316),IF(CL$6&gt;='Lease Cycles'!$AZ$26,'Lease Cycles'!$C$26*'Lease Cycles'!$BA$26/12,IF(CL$6&gt;='Lease Cycles'!$AX$26,'Lease Cycles'!$C$26*'Lease Cycles'!$AY$26/12,IF(CL$6&gt;='Lease Cycles'!$AV$26,'Lease Cycles'!$C$26*'Lease Cycles'!$AW$26/12,IF(CL$6&gt;='Lease Cycles'!$AT$26,'Lease Cycles'!$C$26*'Lease Cycles'!$AU$26/12,'Lease Cycles'!$C$26*INDEX('Lease Cycles'!$CB$26:$CH$26,1,CL316)*(1+INDEX('Lease Cycles'!$CI$26:$CO$26,1,CL316))^INT(INT(CL317/12)/INDEX('Lease Cycles'!$CP$26:$CV$26,1,CL316))/12)))),'Lease Cycles'!$C$26*INDEX('Lease Cycles'!$CB$26:$CH$26,1,CL316)*(1+INDEX('Lease Cycles'!$CI$26:$CO$26,1,CL316))^INT(INT(CL317/12)/INDEX('Lease Cycles'!$CP$26:$CV$26,1,CL316))/12),IF(INDEX('Lease Cycles'!$EF$26:$EL$26,1,CL316)=1,IF(AND('Lease Cycles'!$AZ$26&gt;=INDEX('Lease Cycles'!$BG$26:$BM$26,1,CL316),'Lease Cycles'!$AZ$26&lt;=CL$6),'Lease Cycles'!$C$26*'Lease Cycles'!$BA$26/12,IF(AND('Lease Cycles'!$AX$26&gt;=INDEX('Lease Cycles'!$BG$26:$BM$26,1,CL316),'Lease Cycles'!$AX$26&lt;=CL$6),'Lease Cycles'!$C$26*'Lease Cycles'!$AY$26/12,IF(AND('Lease Cycles'!$AV$26&gt;=INDEX('Lease Cycles'!$BG$26:$BM$26,1,CL316),'Lease Cycles'!$AV$26&lt;=CL$6),'Lease Cycles'!$C$26*'Lease Cycles'!$AW$26/12,IF(AND('Lease Cycles'!$AT$26&gt;=INDEX('Lease Cycles'!$BG$26:$BM$26,1,CL316),'Lease Cycles'!$AT$26&lt;=CL$6),'Lease Cycles'!$C$26*'Lease Cycles'!$AU$26/12,'Lease Cycles'!$C$26*INDEX('Lease Cycles'!$CB$26:$CH$26,1,CL316)*(1+INDEX('Lease Cycles'!$CI$26:$CO$26,1,CL316))^INT(INT(CL317/12)/INDEX('Lease Cycles'!$CP$26:$CV$26,1,CL316))/12)))),'Lease Cycles'!$C$26*INDEX('Lease Cycles'!$CB$26:$CH$26,1,CL316)*(1+INDEX('Lease Cycles'!$CI$26:$CO$26,1,CL316))^INT(INT(CL317/12)/INDEX('Lease Cycles'!$CP$26:$CV$26,1,CL316))/12))),IF('Lease Cycles'!$N$26=1,'Lease Cycles'!$C$26*'Lease Cycles'!$E$26*INDEX('Lease Cycles'!$HE$26:$HK$26,1,CL316)*(1+INDEX('Lease Cycles'!$GQ$26:$GW$26,1,CL316))^INT(INT((CL$6-INDEX('Lease Cycles'!$GJ$26:$GP$26,1,CL316))/12)/INDEX('Lease Cycles'!$GX$26:$HD$26,1,CL316))/12,0)))</f>
        <v>0</v>
      </c>
      <c r="CM319" s="28">
        <f>IF(CM316=0,IF('Lease Cycles'!$F$26&gt;0,'Lease Cycles'!$C$26*'Lease Cycles'!$E$26/12,0),IF(CM318=1,IF('Lease Cycles'!$AT$26&gt;=9999,'Lease Cycles'!$C$26*INDEX('Lease Cycles'!$CB$26:$CH$26,1,CM316)*(1+INDEX('Lease Cycles'!$CI$26:$CO$26,1,CM316))^INT(INT(CM317/12)/INDEX('Lease Cycles'!$CP$26:$CV$26,1,CM316))/12,IF(CM316=1,IF(CM317&gt;=INDEX('Lease Cycles'!$DK$26:$DQ$26,1,CM316),IF(CM$6&gt;='Lease Cycles'!$AZ$26,'Lease Cycles'!$C$26*'Lease Cycles'!$BA$26/12,IF(CM$6&gt;='Lease Cycles'!$AX$26,'Lease Cycles'!$C$26*'Lease Cycles'!$AY$26/12,IF(CM$6&gt;='Lease Cycles'!$AV$26,'Lease Cycles'!$C$26*'Lease Cycles'!$AW$26/12,IF(CM$6&gt;='Lease Cycles'!$AT$26,'Lease Cycles'!$C$26*'Lease Cycles'!$AU$26/12,'Lease Cycles'!$C$26*INDEX('Lease Cycles'!$CB$26:$CH$26,1,CM316)*(1+INDEX('Lease Cycles'!$CI$26:$CO$26,1,CM316))^INT(INT(CM317/12)/INDEX('Lease Cycles'!$CP$26:$CV$26,1,CM316))/12)))),'Lease Cycles'!$C$26*INDEX('Lease Cycles'!$CB$26:$CH$26,1,CM316)*(1+INDEX('Lease Cycles'!$CI$26:$CO$26,1,CM316))^INT(INT(CM317/12)/INDEX('Lease Cycles'!$CP$26:$CV$26,1,CM316))/12),IF(INDEX('Lease Cycles'!$EF$26:$EL$26,1,CM316)=1,IF(AND('Lease Cycles'!$AZ$26&gt;=INDEX('Lease Cycles'!$BG$26:$BM$26,1,CM316),'Lease Cycles'!$AZ$26&lt;=CM$6),'Lease Cycles'!$C$26*'Lease Cycles'!$BA$26/12,IF(AND('Lease Cycles'!$AX$26&gt;=INDEX('Lease Cycles'!$BG$26:$BM$26,1,CM316),'Lease Cycles'!$AX$26&lt;=CM$6),'Lease Cycles'!$C$26*'Lease Cycles'!$AY$26/12,IF(AND('Lease Cycles'!$AV$26&gt;=INDEX('Lease Cycles'!$BG$26:$BM$26,1,CM316),'Lease Cycles'!$AV$26&lt;=CM$6),'Lease Cycles'!$C$26*'Lease Cycles'!$AW$26/12,IF(AND('Lease Cycles'!$AT$26&gt;=INDEX('Lease Cycles'!$BG$26:$BM$26,1,CM316),'Lease Cycles'!$AT$26&lt;=CM$6),'Lease Cycles'!$C$26*'Lease Cycles'!$AU$26/12,'Lease Cycles'!$C$26*INDEX('Lease Cycles'!$CB$26:$CH$26,1,CM316)*(1+INDEX('Lease Cycles'!$CI$26:$CO$26,1,CM316))^INT(INT(CM317/12)/INDEX('Lease Cycles'!$CP$26:$CV$26,1,CM316))/12)))),'Lease Cycles'!$C$26*INDEX('Lease Cycles'!$CB$26:$CH$26,1,CM316)*(1+INDEX('Lease Cycles'!$CI$26:$CO$26,1,CM316))^INT(INT(CM317/12)/INDEX('Lease Cycles'!$CP$26:$CV$26,1,CM316))/12))),IF('Lease Cycles'!$N$26=1,'Lease Cycles'!$C$26*'Lease Cycles'!$E$26*INDEX('Lease Cycles'!$HE$26:$HK$26,1,CM316)*(1+INDEX('Lease Cycles'!$GQ$26:$GW$26,1,CM316))^INT(INT((CM$6-INDEX('Lease Cycles'!$GJ$26:$GP$26,1,CM316))/12)/INDEX('Lease Cycles'!$GX$26:$HD$26,1,CM316))/12,0)))</f>
        <v>0</v>
      </c>
      <c r="CN319" s="28">
        <f>IF(CN316=0,IF('Lease Cycles'!$F$26&gt;0,'Lease Cycles'!$C$26*'Lease Cycles'!$E$26/12,0),IF(CN318=1,IF('Lease Cycles'!$AT$26&gt;=9999,'Lease Cycles'!$C$26*INDEX('Lease Cycles'!$CB$26:$CH$26,1,CN316)*(1+INDEX('Lease Cycles'!$CI$26:$CO$26,1,CN316))^INT(INT(CN317/12)/INDEX('Lease Cycles'!$CP$26:$CV$26,1,CN316))/12,IF(CN316=1,IF(CN317&gt;=INDEX('Lease Cycles'!$DK$26:$DQ$26,1,CN316),IF(CN$6&gt;='Lease Cycles'!$AZ$26,'Lease Cycles'!$C$26*'Lease Cycles'!$BA$26/12,IF(CN$6&gt;='Lease Cycles'!$AX$26,'Lease Cycles'!$C$26*'Lease Cycles'!$AY$26/12,IF(CN$6&gt;='Lease Cycles'!$AV$26,'Lease Cycles'!$C$26*'Lease Cycles'!$AW$26/12,IF(CN$6&gt;='Lease Cycles'!$AT$26,'Lease Cycles'!$C$26*'Lease Cycles'!$AU$26/12,'Lease Cycles'!$C$26*INDEX('Lease Cycles'!$CB$26:$CH$26,1,CN316)*(1+INDEX('Lease Cycles'!$CI$26:$CO$26,1,CN316))^INT(INT(CN317/12)/INDEX('Lease Cycles'!$CP$26:$CV$26,1,CN316))/12)))),'Lease Cycles'!$C$26*INDEX('Lease Cycles'!$CB$26:$CH$26,1,CN316)*(1+INDEX('Lease Cycles'!$CI$26:$CO$26,1,CN316))^INT(INT(CN317/12)/INDEX('Lease Cycles'!$CP$26:$CV$26,1,CN316))/12),IF(INDEX('Lease Cycles'!$EF$26:$EL$26,1,CN316)=1,IF(AND('Lease Cycles'!$AZ$26&gt;=INDEX('Lease Cycles'!$BG$26:$BM$26,1,CN316),'Lease Cycles'!$AZ$26&lt;=CN$6),'Lease Cycles'!$C$26*'Lease Cycles'!$BA$26/12,IF(AND('Lease Cycles'!$AX$26&gt;=INDEX('Lease Cycles'!$BG$26:$BM$26,1,CN316),'Lease Cycles'!$AX$26&lt;=CN$6),'Lease Cycles'!$C$26*'Lease Cycles'!$AY$26/12,IF(AND('Lease Cycles'!$AV$26&gt;=INDEX('Lease Cycles'!$BG$26:$BM$26,1,CN316),'Lease Cycles'!$AV$26&lt;=CN$6),'Lease Cycles'!$C$26*'Lease Cycles'!$AW$26/12,IF(AND('Lease Cycles'!$AT$26&gt;=INDEX('Lease Cycles'!$BG$26:$BM$26,1,CN316),'Lease Cycles'!$AT$26&lt;=CN$6),'Lease Cycles'!$C$26*'Lease Cycles'!$AU$26/12,'Lease Cycles'!$C$26*INDEX('Lease Cycles'!$CB$26:$CH$26,1,CN316)*(1+INDEX('Lease Cycles'!$CI$26:$CO$26,1,CN316))^INT(INT(CN317/12)/INDEX('Lease Cycles'!$CP$26:$CV$26,1,CN316))/12)))),'Lease Cycles'!$C$26*INDEX('Lease Cycles'!$CB$26:$CH$26,1,CN316)*(1+INDEX('Lease Cycles'!$CI$26:$CO$26,1,CN316))^INT(INT(CN317/12)/INDEX('Lease Cycles'!$CP$26:$CV$26,1,CN316))/12))),IF('Lease Cycles'!$N$26=1,'Lease Cycles'!$C$26*'Lease Cycles'!$E$26*INDEX('Lease Cycles'!$HE$26:$HK$26,1,CN316)*(1+INDEX('Lease Cycles'!$GQ$26:$GW$26,1,CN316))^INT(INT((CN$6-INDEX('Lease Cycles'!$GJ$26:$GP$26,1,CN316))/12)/INDEX('Lease Cycles'!$GX$26:$HD$26,1,CN316))/12,0)))</f>
        <v>0</v>
      </c>
      <c r="CO319" s="28">
        <f>IF(CO316=0,IF('Lease Cycles'!$F$26&gt;0,'Lease Cycles'!$C$26*'Lease Cycles'!$E$26/12,0),IF(CO318=1,IF('Lease Cycles'!$AT$26&gt;=9999,'Lease Cycles'!$C$26*INDEX('Lease Cycles'!$CB$26:$CH$26,1,CO316)*(1+INDEX('Lease Cycles'!$CI$26:$CO$26,1,CO316))^INT(INT(CO317/12)/INDEX('Lease Cycles'!$CP$26:$CV$26,1,CO316))/12,IF(CO316=1,IF(CO317&gt;=INDEX('Lease Cycles'!$DK$26:$DQ$26,1,CO316),IF(CO$6&gt;='Lease Cycles'!$AZ$26,'Lease Cycles'!$C$26*'Lease Cycles'!$BA$26/12,IF(CO$6&gt;='Lease Cycles'!$AX$26,'Lease Cycles'!$C$26*'Lease Cycles'!$AY$26/12,IF(CO$6&gt;='Lease Cycles'!$AV$26,'Lease Cycles'!$C$26*'Lease Cycles'!$AW$26/12,IF(CO$6&gt;='Lease Cycles'!$AT$26,'Lease Cycles'!$C$26*'Lease Cycles'!$AU$26/12,'Lease Cycles'!$C$26*INDEX('Lease Cycles'!$CB$26:$CH$26,1,CO316)*(1+INDEX('Lease Cycles'!$CI$26:$CO$26,1,CO316))^INT(INT(CO317/12)/INDEX('Lease Cycles'!$CP$26:$CV$26,1,CO316))/12)))),'Lease Cycles'!$C$26*INDEX('Lease Cycles'!$CB$26:$CH$26,1,CO316)*(1+INDEX('Lease Cycles'!$CI$26:$CO$26,1,CO316))^INT(INT(CO317/12)/INDEX('Lease Cycles'!$CP$26:$CV$26,1,CO316))/12),IF(INDEX('Lease Cycles'!$EF$26:$EL$26,1,CO316)=1,IF(AND('Lease Cycles'!$AZ$26&gt;=INDEX('Lease Cycles'!$BG$26:$BM$26,1,CO316),'Lease Cycles'!$AZ$26&lt;=CO$6),'Lease Cycles'!$C$26*'Lease Cycles'!$BA$26/12,IF(AND('Lease Cycles'!$AX$26&gt;=INDEX('Lease Cycles'!$BG$26:$BM$26,1,CO316),'Lease Cycles'!$AX$26&lt;=CO$6),'Lease Cycles'!$C$26*'Lease Cycles'!$AY$26/12,IF(AND('Lease Cycles'!$AV$26&gt;=INDEX('Lease Cycles'!$BG$26:$BM$26,1,CO316),'Lease Cycles'!$AV$26&lt;=CO$6),'Lease Cycles'!$C$26*'Lease Cycles'!$AW$26/12,IF(AND('Lease Cycles'!$AT$26&gt;=INDEX('Lease Cycles'!$BG$26:$BM$26,1,CO316),'Lease Cycles'!$AT$26&lt;=CO$6),'Lease Cycles'!$C$26*'Lease Cycles'!$AU$26/12,'Lease Cycles'!$C$26*INDEX('Lease Cycles'!$CB$26:$CH$26,1,CO316)*(1+INDEX('Lease Cycles'!$CI$26:$CO$26,1,CO316))^INT(INT(CO317/12)/INDEX('Lease Cycles'!$CP$26:$CV$26,1,CO316))/12)))),'Lease Cycles'!$C$26*INDEX('Lease Cycles'!$CB$26:$CH$26,1,CO316)*(1+INDEX('Lease Cycles'!$CI$26:$CO$26,1,CO316))^INT(INT(CO317/12)/INDEX('Lease Cycles'!$CP$26:$CV$26,1,CO316))/12))),IF('Lease Cycles'!$N$26=1,'Lease Cycles'!$C$26*'Lease Cycles'!$E$26*INDEX('Lease Cycles'!$HE$26:$HK$26,1,CO316)*(1+INDEX('Lease Cycles'!$GQ$26:$GW$26,1,CO316))^INT(INT((CO$6-INDEX('Lease Cycles'!$GJ$26:$GP$26,1,CO316))/12)/INDEX('Lease Cycles'!$GX$26:$HD$26,1,CO316))/12,0)))</f>
        <v>0</v>
      </c>
      <c r="CP319" s="28">
        <f>IF(CP316=0,IF('Lease Cycles'!$F$26&gt;0,'Lease Cycles'!$C$26*'Lease Cycles'!$E$26/12,0),IF(CP318=1,IF('Lease Cycles'!$AT$26&gt;=9999,'Lease Cycles'!$C$26*INDEX('Lease Cycles'!$CB$26:$CH$26,1,CP316)*(1+INDEX('Lease Cycles'!$CI$26:$CO$26,1,CP316))^INT(INT(CP317/12)/INDEX('Lease Cycles'!$CP$26:$CV$26,1,CP316))/12,IF(CP316=1,IF(CP317&gt;=INDEX('Lease Cycles'!$DK$26:$DQ$26,1,CP316),IF(CP$6&gt;='Lease Cycles'!$AZ$26,'Lease Cycles'!$C$26*'Lease Cycles'!$BA$26/12,IF(CP$6&gt;='Lease Cycles'!$AX$26,'Lease Cycles'!$C$26*'Lease Cycles'!$AY$26/12,IF(CP$6&gt;='Lease Cycles'!$AV$26,'Lease Cycles'!$C$26*'Lease Cycles'!$AW$26/12,IF(CP$6&gt;='Lease Cycles'!$AT$26,'Lease Cycles'!$C$26*'Lease Cycles'!$AU$26/12,'Lease Cycles'!$C$26*INDEX('Lease Cycles'!$CB$26:$CH$26,1,CP316)*(1+INDEX('Lease Cycles'!$CI$26:$CO$26,1,CP316))^INT(INT(CP317/12)/INDEX('Lease Cycles'!$CP$26:$CV$26,1,CP316))/12)))),'Lease Cycles'!$C$26*INDEX('Lease Cycles'!$CB$26:$CH$26,1,CP316)*(1+INDEX('Lease Cycles'!$CI$26:$CO$26,1,CP316))^INT(INT(CP317/12)/INDEX('Lease Cycles'!$CP$26:$CV$26,1,CP316))/12),IF(INDEX('Lease Cycles'!$EF$26:$EL$26,1,CP316)=1,IF(AND('Lease Cycles'!$AZ$26&gt;=INDEX('Lease Cycles'!$BG$26:$BM$26,1,CP316),'Lease Cycles'!$AZ$26&lt;=CP$6),'Lease Cycles'!$C$26*'Lease Cycles'!$BA$26/12,IF(AND('Lease Cycles'!$AX$26&gt;=INDEX('Lease Cycles'!$BG$26:$BM$26,1,CP316),'Lease Cycles'!$AX$26&lt;=CP$6),'Lease Cycles'!$C$26*'Lease Cycles'!$AY$26/12,IF(AND('Lease Cycles'!$AV$26&gt;=INDEX('Lease Cycles'!$BG$26:$BM$26,1,CP316),'Lease Cycles'!$AV$26&lt;=CP$6),'Lease Cycles'!$C$26*'Lease Cycles'!$AW$26/12,IF(AND('Lease Cycles'!$AT$26&gt;=INDEX('Lease Cycles'!$BG$26:$BM$26,1,CP316),'Lease Cycles'!$AT$26&lt;=CP$6),'Lease Cycles'!$C$26*'Lease Cycles'!$AU$26/12,'Lease Cycles'!$C$26*INDEX('Lease Cycles'!$CB$26:$CH$26,1,CP316)*(1+INDEX('Lease Cycles'!$CI$26:$CO$26,1,CP316))^INT(INT(CP317/12)/INDEX('Lease Cycles'!$CP$26:$CV$26,1,CP316))/12)))),'Lease Cycles'!$C$26*INDEX('Lease Cycles'!$CB$26:$CH$26,1,CP316)*(1+INDEX('Lease Cycles'!$CI$26:$CO$26,1,CP316))^INT(INT(CP317/12)/INDEX('Lease Cycles'!$CP$26:$CV$26,1,CP316))/12))),IF('Lease Cycles'!$N$26=1,'Lease Cycles'!$C$26*'Lease Cycles'!$E$26*INDEX('Lease Cycles'!$HE$26:$HK$26,1,CP316)*(1+INDEX('Lease Cycles'!$GQ$26:$GW$26,1,CP316))^INT(INT((CP$6-INDEX('Lease Cycles'!$GJ$26:$GP$26,1,CP316))/12)/INDEX('Lease Cycles'!$GX$26:$HD$26,1,CP316))/12,0)))</f>
        <v>0</v>
      </c>
      <c r="CQ319" s="28">
        <f>IF(CQ316=0,IF('Lease Cycles'!$F$26&gt;0,'Lease Cycles'!$C$26*'Lease Cycles'!$E$26/12,0),IF(CQ318=1,IF('Lease Cycles'!$AT$26&gt;=9999,'Lease Cycles'!$C$26*INDEX('Lease Cycles'!$CB$26:$CH$26,1,CQ316)*(1+INDEX('Lease Cycles'!$CI$26:$CO$26,1,CQ316))^INT(INT(CQ317/12)/INDEX('Lease Cycles'!$CP$26:$CV$26,1,CQ316))/12,IF(CQ316=1,IF(CQ317&gt;=INDEX('Lease Cycles'!$DK$26:$DQ$26,1,CQ316),IF(CQ$6&gt;='Lease Cycles'!$AZ$26,'Lease Cycles'!$C$26*'Lease Cycles'!$BA$26/12,IF(CQ$6&gt;='Lease Cycles'!$AX$26,'Lease Cycles'!$C$26*'Lease Cycles'!$AY$26/12,IF(CQ$6&gt;='Lease Cycles'!$AV$26,'Lease Cycles'!$C$26*'Lease Cycles'!$AW$26/12,IF(CQ$6&gt;='Lease Cycles'!$AT$26,'Lease Cycles'!$C$26*'Lease Cycles'!$AU$26/12,'Lease Cycles'!$C$26*INDEX('Lease Cycles'!$CB$26:$CH$26,1,CQ316)*(1+INDEX('Lease Cycles'!$CI$26:$CO$26,1,CQ316))^INT(INT(CQ317/12)/INDEX('Lease Cycles'!$CP$26:$CV$26,1,CQ316))/12)))),'Lease Cycles'!$C$26*INDEX('Lease Cycles'!$CB$26:$CH$26,1,CQ316)*(1+INDEX('Lease Cycles'!$CI$26:$CO$26,1,CQ316))^INT(INT(CQ317/12)/INDEX('Lease Cycles'!$CP$26:$CV$26,1,CQ316))/12),IF(INDEX('Lease Cycles'!$EF$26:$EL$26,1,CQ316)=1,IF(AND('Lease Cycles'!$AZ$26&gt;=INDEX('Lease Cycles'!$BG$26:$BM$26,1,CQ316),'Lease Cycles'!$AZ$26&lt;=CQ$6),'Lease Cycles'!$C$26*'Lease Cycles'!$BA$26/12,IF(AND('Lease Cycles'!$AX$26&gt;=INDEX('Lease Cycles'!$BG$26:$BM$26,1,CQ316),'Lease Cycles'!$AX$26&lt;=CQ$6),'Lease Cycles'!$C$26*'Lease Cycles'!$AY$26/12,IF(AND('Lease Cycles'!$AV$26&gt;=INDEX('Lease Cycles'!$BG$26:$BM$26,1,CQ316),'Lease Cycles'!$AV$26&lt;=CQ$6),'Lease Cycles'!$C$26*'Lease Cycles'!$AW$26/12,IF(AND('Lease Cycles'!$AT$26&gt;=INDEX('Lease Cycles'!$BG$26:$BM$26,1,CQ316),'Lease Cycles'!$AT$26&lt;=CQ$6),'Lease Cycles'!$C$26*'Lease Cycles'!$AU$26/12,'Lease Cycles'!$C$26*INDEX('Lease Cycles'!$CB$26:$CH$26,1,CQ316)*(1+INDEX('Lease Cycles'!$CI$26:$CO$26,1,CQ316))^INT(INT(CQ317/12)/INDEX('Lease Cycles'!$CP$26:$CV$26,1,CQ316))/12)))),'Lease Cycles'!$C$26*INDEX('Lease Cycles'!$CB$26:$CH$26,1,CQ316)*(1+INDEX('Lease Cycles'!$CI$26:$CO$26,1,CQ316))^INT(INT(CQ317/12)/INDEX('Lease Cycles'!$CP$26:$CV$26,1,CQ316))/12))),IF('Lease Cycles'!$N$26=1,'Lease Cycles'!$C$26*'Lease Cycles'!$E$26*INDEX('Lease Cycles'!$HE$26:$HK$26,1,CQ316)*(1+INDEX('Lease Cycles'!$GQ$26:$GW$26,1,CQ316))^INT(INT((CQ$6-INDEX('Lease Cycles'!$GJ$26:$GP$26,1,CQ316))/12)/INDEX('Lease Cycles'!$GX$26:$HD$26,1,CQ316))/12,0)))</f>
        <v>0</v>
      </c>
      <c r="CR319" s="28">
        <f>IF(CR316=0,IF('Lease Cycles'!$F$26&gt;0,'Lease Cycles'!$C$26*'Lease Cycles'!$E$26/12,0),IF(CR318=1,IF('Lease Cycles'!$AT$26&gt;=9999,'Lease Cycles'!$C$26*INDEX('Lease Cycles'!$CB$26:$CH$26,1,CR316)*(1+INDEX('Lease Cycles'!$CI$26:$CO$26,1,CR316))^INT(INT(CR317/12)/INDEX('Lease Cycles'!$CP$26:$CV$26,1,CR316))/12,IF(CR316=1,IF(CR317&gt;=INDEX('Lease Cycles'!$DK$26:$DQ$26,1,CR316),IF(CR$6&gt;='Lease Cycles'!$AZ$26,'Lease Cycles'!$C$26*'Lease Cycles'!$BA$26/12,IF(CR$6&gt;='Lease Cycles'!$AX$26,'Lease Cycles'!$C$26*'Lease Cycles'!$AY$26/12,IF(CR$6&gt;='Lease Cycles'!$AV$26,'Lease Cycles'!$C$26*'Lease Cycles'!$AW$26/12,IF(CR$6&gt;='Lease Cycles'!$AT$26,'Lease Cycles'!$C$26*'Lease Cycles'!$AU$26/12,'Lease Cycles'!$C$26*INDEX('Lease Cycles'!$CB$26:$CH$26,1,CR316)*(1+INDEX('Lease Cycles'!$CI$26:$CO$26,1,CR316))^INT(INT(CR317/12)/INDEX('Lease Cycles'!$CP$26:$CV$26,1,CR316))/12)))),'Lease Cycles'!$C$26*INDEX('Lease Cycles'!$CB$26:$CH$26,1,CR316)*(1+INDEX('Lease Cycles'!$CI$26:$CO$26,1,CR316))^INT(INT(CR317/12)/INDEX('Lease Cycles'!$CP$26:$CV$26,1,CR316))/12),IF(INDEX('Lease Cycles'!$EF$26:$EL$26,1,CR316)=1,IF(AND('Lease Cycles'!$AZ$26&gt;=INDEX('Lease Cycles'!$BG$26:$BM$26,1,CR316),'Lease Cycles'!$AZ$26&lt;=CR$6),'Lease Cycles'!$C$26*'Lease Cycles'!$BA$26/12,IF(AND('Lease Cycles'!$AX$26&gt;=INDEX('Lease Cycles'!$BG$26:$BM$26,1,CR316),'Lease Cycles'!$AX$26&lt;=CR$6),'Lease Cycles'!$C$26*'Lease Cycles'!$AY$26/12,IF(AND('Lease Cycles'!$AV$26&gt;=INDEX('Lease Cycles'!$BG$26:$BM$26,1,CR316),'Lease Cycles'!$AV$26&lt;=CR$6),'Lease Cycles'!$C$26*'Lease Cycles'!$AW$26/12,IF(AND('Lease Cycles'!$AT$26&gt;=INDEX('Lease Cycles'!$BG$26:$BM$26,1,CR316),'Lease Cycles'!$AT$26&lt;=CR$6),'Lease Cycles'!$C$26*'Lease Cycles'!$AU$26/12,'Lease Cycles'!$C$26*INDEX('Lease Cycles'!$CB$26:$CH$26,1,CR316)*(1+INDEX('Lease Cycles'!$CI$26:$CO$26,1,CR316))^INT(INT(CR317/12)/INDEX('Lease Cycles'!$CP$26:$CV$26,1,CR316))/12)))),'Lease Cycles'!$C$26*INDEX('Lease Cycles'!$CB$26:$CH$26,1,CR316)*(1+INDEX('Lease Cycles'!$CI$26:$CO$26,1,CR316))^INT(INT(CR317/12)/INDEX('Lease Cycles'!$CP$26:$CV$26,1,CR316))/12))),IF('Lease Cycles'!$N$26=1,'Lease Cycles'!$C$26*'Lease Cycles'!$E$26*INDEX('Lease Cycles'!$HE$26:$HK$26,1,CR316)*(1+INDEX('Lease Cycles'!$GQ$26:$GW$26,1,CR316))^INT(INT((CR$6-INDEX('Lease Cycles'!$GJ$26:$GP$26,1,CR316))/12)/INDEX('Lease Cycles'!$GX$26:$HD$26,1,CR316))/12,0)))</f>
        <v>0</v>
      </c>
      <c r="CS319" s="28">
        <f>IF(CS316=0,IF('Lease Cycles'!$F$26&gt;0,'Lease Cycles'!$C$26*'Lease Cycles'!$E$26/12,0),IF(CS318=1,IF('Lease Cycles'!$AT$26&gt;=9999,'Lease Cycles'!$C$26*INDEX('Lease Cycles'!$CB$26:$CH$26,1,CS316)*(1+INDEX('Lease Cycles'!$CI$26:$CO$26,1,CS316))^INT(INT(CS317/12)/INDEX('Lease Cycles'!$CP$26:$CV$26,1,CS316))/12,IF(CS316=1,IF(CS317&gt;=INDEX('Lease Cycles'!$DK$26:$DQ$26,1,CS316),IF(CS$6&gt;='Lease Cycles'!$AZ$26,'Lease Cycles'!$C$26*'Lease Cycles'!$BA$26/12,IF(CS$6&gt;='Lease Cycles'!$AX$26,'Lease Cycles'!$C$26*'Lease Cycles'!$AY$26/12,IF(CS$6&gt;='Lease Cycles'!$AV$26,'Lease Cycles'!$C$26*'Lease Cycles'!$AW$26/12,IF(CS$6&gt;='Lease Cycles'!$AT$26,'Lease Cycles'!$C$26*'Lease Cycles'!$AU$26/12,'Lease Cycles'!$C$26*INDEX('Lease Cycles'!$CB$26:$CH$26,1,CS316)*(1+INDEX('Lease Cycles'!$CI$26:$CO$26,1,CS316))^INT(INT(CS317/12)/INDEX('Lease Cycles'!$CP$26:$CV$26,1,CS316))/12)))),'Lease Cycles'!$C$26*INDEX('Lease Cycles'!$CB$26:$CH$26,1,CS316)*(1+INDEX('Lease Cycles'!$CI$26:$CO$26,1,CS316))^INT(INT(CS317/12)/INDEX('Lease Cycles'!$CP$26:$CV$26,1,CS316))/12),IF(INDEX('Lease Cycles'!$EF$26:$EL$26,1,CS316)=1,IF(AND('Lease Cycles'!$AZ$26&gt;=INDEX('Lease Cycles'!$BG$26:$BM$26,1,CS316),'Lease Cycles'!$AZ$26&lt;=CS$6),'Lease Cycles'!$C$26*'Lease Cycles'!$BA$26/12,IF(AND('Lease Cycles'!$AX$26&gt;=INDEX('Lease Cycles'!$BG$26:$BM$26,1,CS316),'Lease Cycles'!$AX$26&lt;=CS$6),'Lease Cycles'!$C$26*'Lease Cycles'!$AY$26/12,IF(AND('Lease Cycles'!$AV$26&gt;=INDEX('Lease Cycles'!$BG$26:$BM$26,1,CS316),'Lease Cycles'!$AV$26&lt;=CS$6),'Lease Cycles'!$C$26*'Lease Cycles'!$AW$26/12,IF(AND('Lease Cycles'!$AT$26&gt;=INDEX('Lease Cycles'!$BG$26:$BM$26,1,CS316),'Lease Cycles'!$AT$26&lt;=CS$6),'Lease Cycles'!$C$26*'Lease Cycles'!$AU$26/12,'Lease Cycles'!$C$26*INDEX('Lease Cycles'!$CB$26:$CH$26,1,CS316)*(1+INDEX('Lease Cycles'!$CI$26:$CO$26,1,CS316))^INT(INT(CS317/12)/INDEX('Lease Cycles'!$CP$26:$CV$26,1,CS316))/12)))),'Lease Cycles'!$C$26*INDEX('Lease Cycles'!$CB$26:$CH$26,1,CS316)*(1+INDEX('Lease Cycles'!$CI$26:$CO$26,1,CS316))^INT(INT(CS317/12)/INDEX('Lease Cycles'!$CP$26:$CV$26,1,CS316))/12))),IF('Lease Cycles'!$N$26=1,'Lease Cycles'!$C$26*'Lease Cycles'!$E$26*INDEX('Lease Cycles'!$HE$26:$HK$26,1,CS316)*(1+INDEX('Lease Cycles'!$GQ$26:$GW$26,1,CS316))^INT(INT((CS$6-INDEX('Lease Cycles'!$GJ$26:$GP$26,1,CS316))/12)/INDEX('Lease Cycles'!$GX$26:$HD$26,1,CS316))/12,0)))</f>
        <v>0</v>
      </c>
      <c r="CT319" s="28">
        <f>IF(CT316=0,IF('Lease Cycles'!$F$26&gt;0,'Lease Cycles'!$C$26*'Lease Cycles'!$E$26/12,0),IF(CT318=1,IF('Lease Cycles'!$AT$26&gt;=9999,'Lease Cycles'!$C$26*INDEX('Lease Cycles'!$CB$26:$CH$26,1,CT316)*(1+INDEX('Lease Cycles'!$CI$26:$CO$26,1,CT316))^INT(INT(CT317/12)/INDEX('Lease Cycles'!$CP$26:$CV$26,1,CT316))/12,IF(CT316=1,IF(CT317&gt;=INDEX('Lease Cycles'!$DK$26:$DQ$26,1,CT316),IF(CT$6&gt;='Lease Cycles'!$AZ$26,'Lease Cycles'!$C$26*'Lease Cycles'!$BA$26/12,IF(CT$6&gt;='Lease Cycles'!$AX$26,'Lease Cycles'!$C$26*'Lease Cycles'!$AY$26/12,IF(CT$6&gt;='Lease Cycles'!$AV$26,'Lease Cycles'!$C$26*'Lease Cycles'!$AW$26/12,IF(CT$6&gt;='Lease Cycles'!$AT$26,'Lease Cycles'!$C$26*'Lease Cycles'!$AU$26/12,'Lease Cycles'!$C$26*INDEX('Lease Cycles'!$CB$26:$CH$26,1,CT316)*(1+INDEX('Lease Cycles'!$CI$26:$CO$26,1,CT316))^INT(INT(CT317/12)/INDEX('Lease Cycles'!$CP$26:$CV$26,1,CT316))/12)))),'Lease Cycles'!$C$26*INDEX('Lease Cycles'!$CB$26:$CH$26,1,CT316)*(1+INDEX('Lease Cycles'!$CI$26:$CO$26,1,CT316))^INT(INT(CT317/12)/INDEX('Lease Cycles'!$CP$26:$CV$26,1,CT316))/12),IF(INDEX('Lease Cycles'!$EF$26:$EL$26,1,CT316)=1,IF(AND('Lease Cycles'!$AZ$26&gt;=INDEX('Lease Cycles'!$BG$26:$BM$26,1,CT316),'Lease Cycles'!$AZ$26&lt;=CT$6),'Lease Cycles'!$C$26*'Lease Cycles'!$BA$26/12,IF(AND('Lease Cycles'!$AX$26&gt;=INDEX('Lease Cycles'!$BG$26:$BM$26,1,CT316),'Lease Cycles'!$AX$26&lt;=CT$6),'Lease Cycles'!$C$26*'Lease Cycles'!$AY$26/12,IF(AND('Lease Cycles'!$AV$26&gt;=INDEX('Lease Cycles'!$BG$26:$BM$26,1,CT316),'Lease Cycles'!$AV$26&lt;=CT$6),'Lease Cycles'!$C$26*'Lease Cycles'!$AW$26/12,IF(AND('Lease Cycles'!$AT$26&gt;=INDEX('Lease Cycles'!$BG$26:$BM$26,1,CT316),'Lease Cycles'!$AT$26&lt;=CT$6),'Lease Cycles'!$C$26*'Lease Cycles'!$AU$26/12,'Lease Cycles'!$C$26*INDEX('Lease Cycles'!$CB$26:$CH$26,1,CT316)*(1+INDEX('Lease Cycles'!$CI$26:$CO$26,1,CT316))^INT(INT(CT317/12)/INDEX('Lease Cycles'!$CP$26:$CV$26,1,CT316))/12)))),'Lease Cycles'!$C$26*INDEX('Lease Cycles'!$CB$26:$CH$26,1,CT316)*(1+INDEX('Lease Cycles'!$CI$26:$CO$26,1,CT316))^INT(INT(CT317/12)/INDEX('Lease Cycles'!$CP$26:$CV$26,1,CT316))/12))),IF('Lease Cycles'!$N$26=1,'Lease Cycles'!$C$26*'Lease Cycles'!$E$26*INDEX('Lease Cycles'!$HE$26:$HK$26,1,CT316)*(1+INDEX('Lease Cycles'!$GQ$26:$GW$26,1,CT316))^INT(INT((CT$6-INDEX('Lease Cycles'!$GJ$26:$GP$26,1,CT316))/12)/INDEX('Lease Cycles'!$GX$26:$HD$26,1,CT316))/12,0)))</f>
        <v>0</v>
      </c>
      <c r="CU319" s="28">
        <f>IF(CU316=0,IF('Lease Cycles'!$F$26&gt;0,'Lease Cycles'!$C$26*'Lease Cycles'!$E$26/12,0),IF(CU318=1,IF('Lease Cycles'!$AT$26&gt;=9999,'Lease Cycles'!$C$26*INDEX('Lease Cycles'!$CB$26:$CH$26,1,CU316)*(1+INDEX('Lease Cycles'!$CI$26:$CO$26,1,CU316))^INT(INT(CU317/12)/INDEX('Lease Cycles'!$CP$26:$CV$26,1,CU316))/12,IF(CU316=1,IF(CU317&gt;=INDEX('Lease Cycles'!$DK$26:$DQ$26,1,CU316),IF(CU$6&gt;='Lease Cycles'!$AZ$26,'Lease Cycles'!$C$26*'Lease Cycles'!$BA$26/12,IF(CU$6&gt;='Lease Cycles'!$AX$26,'Lease Cycles'!$C$26*'Lease Cycles'!$AY$26/12,IF(CU$6&gt;='Lease Cycles'!$AV$26,'Lease Cycles'!$C$26*'Lease Cycles'!$AW$26/12,IF(CU$6&gt;='Lease Cycles'!$AT$26,'Lease Cycles'!$C$26*'Lease Cycles'!$AU$26/12,'Lease Cycles'!$C$26*INDEX('Lease Cycles'!$CB$26:$CH$26,1,CU316)*(1+INDEX('Lease Cycles'!$CI$26:$CO$26,1,CU316))^INT(INT(CU317/12)/INDEX('Lease Cycles'!$CP$26:$CV$26,1,CU316))/12)))),'Lease Cycles'!$C$26*INDEX('Lease Cycles'!$CB$26:$CH$26,1,CU316)*(1+INDEX('Lease Cycles'!$CI$26:$CO$26,1,CU316))^INT(INT(CU317/12)/INDEX('Lease Cycles'!$CP$26:$CV$26,1,CU316))/12),IF(INDEX('Lease Cycles'!$EF$26:$EL$26,1,CU316)=1,IF(AND('Lease Cycles'!$AZ$26&gt;=INDEX('Lease Cycles'!$BG$26:$BM$26,1,CU316),'Lease Cycles'!$AZ$26&lt;=CU$6),'Lease Cycles'!$C$26*'Lease Cycles'!$BA$26/12,IF(AND('Lease Cycles'!$AX$26&gt;=INDEX('Lease Cycles'!$BG$26:$BM$26,1,CU316),'Lease Cycles'!$AX$26&lt;=CU$6),'Lease Cycles'!$C$26*'Lease Cycles'!$AY$26/12,IF(AND('Lease Cycles'!$AV$26&gt;=INDEX('Lease Cycles'!$BG$26:$BM$26,1,CU316),'Lease Cycles'!$AV$26&lt;=CU$6),'Lease Cycles'!$C$26*'Lease Cycles'!$AW$26/12,IF(AND('Lease Cycles'!$AT$26&gt;=INDEX('Lease Cycles'!$BG$26:$BM$26,1,CU316),'Lease Cycles'!$AT$26&lt;=CU$6),'Lease Cycles'!$C$26*'Lease Cycles'!$AU$26/12,'Lease Cycles'!$C$26*INDEX('Lease Cycles'!$CB$26:$CH$26,1,CU316)*(1+INDEX('Lease Cycles'!$CI$26:$CO$26,1,CU316))^INT(INT(CU317/12)/INDEX('Lease Cycles'!$CP$26:$CV$26,1,CU316))/12)))),'Lease Cycles'!$C$26*INDEX('Lease Cycles'!$CB$26:$CH$26,1,CU316)*(1+INDEX('Lease Cycles'!$CI$26:$CO$26,1,CU316))^INT(INT(CU317/12)/INDEX('Lease Cycles'!$CP$26:$CV$26,1,CU316))/12))),IF('Lease Cycles'!$N$26=1,'Lease Cycles'!$C$26*'Lease Cycles'!$E$26*INDEX('Lease Cycles'!$HE$26:$HK$26,1,CU316)*(1+INDEX('Lease Cycles'!$GQ$26:$GW$26,1,CU316))^INT(INT((CU$6-INDEX('Lease Cycles'!$GJ$26:$GP$26,1,CU316))/12)/INDEX('Lease Cycles'!$GX$26:$HD$26,1,CU316))/12,0)))</f>
        <v>0</v>
      </c>
      <c r="CV319" s="28">
        <f>IF(CV316=0,IF('Lease Cycles'!$F$26&gt;0,'Lease Cycles'!$C$26*'Lease Cycles'!$E$26/12,0),IF(CV318=1,IF('Lease Cycles'!$AT$26&gt;=9999,'Lease Cycles'!$C$26*INDEX('Lease Cycles'!$CB$26:$CH$26,1,CV316)*(1+INDEX('Lease Cycles'!$CI$26:$CO$26,1,CV316))^INT(INT(CV317/12)/INDEX('Lease Cycles'!$CP$26:$CV$26,1,CV316))/12,IF(CV316=1,IF(CV317&gt;=INDEX('Lease Cycles'!$DK$26:$DQ$26,1,CV316),IF(CV$6&gt;='Lease Cycles'!$AZ$26,'Lease Cycles'!$C$26*'Lease Cycles'!$BA$26/12,IF(CV$6&gt;='Lease Cycles'!$AX$26,'Lease Cycles'!$C$26*'Lease Cycles'!$AY$26/12,IF(CV$6&gt;='Lease Cycles'!$AV$26,'Lease Cycles'!$C$26*'Lease Cycles'!$AW$26/12,IF(CV$6&gt;='Lease Cycles'!$AT$26,'Lease Cycles'!$C$26*'Lease Cycles'!$AU$26/12,'Lease Cycles'!$C$26*INDEX('Lease Cycles'!$CB$26:$CH$26,1,CV316)*(1+INDEX('Lease Cycles'!$CI$26:$CO$26,1,CV316))^INT(INT(CV317/12)/INDEX('Lease Cycles'!$CP$26:$CV$26,1,CV316))/12)))),'Lease Cycles'!$C$26*INDEX('Lease Cycles'!$CB$26:$CH$26,1,CV316)*(1+INDEX('Lease Cycles'!$CI$26:$CO$26,1,CV316))^INT(INT(CV317/12)/INDEX('Lease Cycles'!$CP$26:$CV$26,1,CV316))/12),IF(INDEX('Lease Cycles'!$EF$26:$EL$26,1,CV316)=1,IF(AND('Lease Cycles'!$AZ$26&gt;=INDEX('Lease Cycles'!$BG$26:$BM$26,1,CV316),'Lease Cycles'!$AZ$26&lt;=CV$6),'Lease Cycles'!$C$26*'Lease Cycles'!$BA$26/12,IF(AND('Lease Cycles'!$AX$26&gt;=INDEX('Lease Cycles'!$BG$26:$BM$26,1,CV316),'Lease Cycles'!$AX$26&lt;=CV$6),'Lease Cycles'!$C$26*'Lease Cycles'!$AY$26/12,IF(AND('Lease Cycles'!$AV$26&gt;=INDEX('Lease Cycles'!$BG$26:$BM$26,1,CV316),'Lease Cycles'!$AV$26&lt;=CV$6),'Lease Cycles'!$C$26*'Lease Cycles'!$AW$26/12,IF(AND('Lease Cycles'!$AT$26&gt;=INDEX('Lease Cycles'!$BG$26:$BM$26,1,CV316),'Lease Cycles'!$AT$26&lt;=CV$6),'Lease Cycles'!$C$26*'Lease Cycles'!$AU$26/12,'Lease Cycles'!$C$26*INDEX('Lease Cycles'!$CB$26:$CH$26,1,CV316)*(1+INDEX('Lease Cycles'!$CI$26:$CO$26,1,CV316))^INT(INT(CV317/12)/INDEX('Lease Cycles'!$CP$26:$CV$26,1,CV316))/12)))),'Lease Cycles'!$C$26*INDEX('Lease Cycles'!$CB$26:$CH$26,1,CV316)*(1+INDEX('Lease Cycles'!$CI$26:$CO$26,1,CV316))^INT(INT(CV317/12)/INDEX('Lease Cycles'!$CP$26:$CV$26,1,CV316))/12))),IF('Lease Cycles'!$N$26=1,'Lease Cycles'!$C$26*'Lease Cycles'!$E$26*INDEX('Lease Cycles'!$HE$26:$HK$26,1,CV316)*(1+INDEX('Lease Cycles'!$GQ$26:$GW$26,1,CV316))^INT(INT((CV$6-INDEX('Lease Cycles'!$GJ$26:$GP$26,1,CV316))/12)/INDEX('Lease Cycles'!$GX$26:$HD$26,1,CV316))/12,0)))</f>
        <v>0</v>
      </c>
      <c r="CW319" s="28">
        <f>IF(CW316=0,IF('Lease Cycles'!$F$26&gt;0,'Lease Cycles'!$C$26*'Lease Cycles'!$E$26/12,0),IF(CW318=1,IF('Lease Cycles'!$AT$26&gt;=9999,'Lease Cycles'!$C$26*INDEX('Lease Cycles'!$CB$26:$CH$26,1,CW316)*(1+INDEX('Lease Cycles'!$CI$26:$CO$26,1,CW316))^INT(INT(CW317/12)/INDEX('Lease Cycles'!$CP$26:$CV$26,1,CW316))/12,IF(CW316=1,IF(CW317&gt;=INDEX('Lease Cycles'!$DK$26:$DQ$26,1,CW316),IF(CW$6&gt;='Lease Cycles'!$AZ$26,'Lease Cycles'!$C$26*'Lease Cycles'!$BA$26/12,IF(CW$6&gt;='Lease Cycles'!$AX$26,'Lease Cycles'!$C$26*'Lease Cycles'!$AY$26/12,IF(CW$6&gt;='Lease Cycles'!$AV$26,'Lease Cycles'!$C$26*'Lease Cycles'!$AW$26/12,IF(CW$6&gt;='Lease Cycles'!$AT$26,'Lease Cycles'!$C$26*'Lease Cycles'!$AU$26/12,'Lease Cycles'!$C$26*INDEX('Lease Cycles'!$CB$26:$CH$26,1,CW316)*(1+INDEX('Lease Cycles'!$CI$26:$CO$26,1,CW316))^INT(INT(CW317/12)/INDEX('Lease Cycles'!$CP$26:$CV$26,1,CW316))/12)))),'Lease Cycles'!$C$26*INDEX('Lease Cycles'!$CB$26:$CH$26,1,CW316)*(1+INDEX('Lease Cycles'!$CI$26:$CO$26,1,CW316))^INT(INT(CW317/12)/INDEX('Lease Cycles'!$CP$26:$CV$26,1,CW316))/12),IF(INDEX('Lease Cycles'!$EF$26:$EL$26,1,CW316)=1,IF(AND('Lease Cycles'!$AZ$26&gt;=INDEX('Lease Cycles'!$BG$26:$BM$26,1,CW316),'Lease Cycles'!$AZ$26&lt;=CW$6),'Lease Cycles'!$C$26*'Lease Cycles'!$BA$26/12,IF(AND('Lease Cycles'!$AX$26&gt;=INDEX('Lease Cycles'!$BG$26:$BM$26,1,CW316),'Lease Cycles'!$AX$26&lt;=CW$6),'Lease Cycles'!$C$26*'Lease Cycles'!$AY$26/12,IF(AND('Lease Cycles'!$AV$26&gt;=INDEX('Lease Cycles'!$BG$26:$BM$26,1,CW316),'Lease Cycles'!$AV$26&lt;=CW$6),'Lease Cycles'!$C$26*'Lease Cycles'!$AW$26/12,IF(AND('Lease Cycles'!$AT$26&gt;=INDEX('Lease Cycles'!$BG$26:$BM$26,1,CW316),'Lease Cycles'!$AT$26&lt;=CW$6),'Lease Cycles'!$C$26*'Lease Cycles'!$AU$26/12,'Lease Cycles'!$C$26*INDEX('Lease Cycles'!$CB$26:$CH$26,1,CW316)*(1+INDEX('Lease Cycles'!$CI$26:$CO$26,1,CW316))^INT(INT(CW317/12)/INDEX('Lease Cycles'!$CP$26:$CV$26,1,CW316))/12)))),'Lease Cycles'!$C$26*INDEX('Lease Cycles'!$CB$26:$CH$26,1,CW316)*(1+INDEX('Lease Cycles'!$CI$26:$CO$26,1,CW316))^INT(INT(CW317/12)/INDEX('Lease Cycles'!$CP$26:$CV$26,1,CW316))/12))),IF('Lease Cycles'!$N$26=1,'Lease Cycles'!$C$26*'Lease Cycles'!$E$26*INDEX('Lease Cycles'!$HE$26:$HK$26,1,CW316)*(1+INDEX('Lease Cycles'!$GQ$26:$GW$26,1,CW316))^INT(INT((CW$6-INDEX('Lease Cycles'!$GJ$26:$GP$26,1,CW316))/12)/INDEX('Lease Cycles'!$GX$26:$HD$26,1,CW316))/12,0)))</f>
        <v>0</v>
      </c>
      <c r="CX319" s="28">
        <f>IF(CX316=0,IF('Lease Cycles'!$F$26&gt;0,'Lease Cycles'!$C$26*'Lease Cycles'!$E$26/12,0),IF(CX318=1,IF('Lease Cycles'!$AT$26&gt;=9999,'Lease Cycles'!$C$26*INDEX('Lease Cycles'!$CB$26:$CH$26,1,CX316)*(1+INDEX('Lease Cycles'!$CI$26:$CO$26,1,CX316))^INT(INT(CX317/12)/INDEX('Lease Cycles'!$CP$26:$CV$26,1,CX316))/12,IF(CX316=1,IF(CX317&gt;=INDEX('Lease Cycles'!$DK$26:$DQ$26,1,CX316),IF(CX$6&gt;='Lease Cycles'!$AZ$26,'Lease Cycles'!$C$26*'Lease Cycles'!$BA$26/12,IF(CX$6&gt;='Lease Cycles'!$AX$26,'Lease Cycles'!$C$26*'Lease Cycles'!$AY$26/12,IF(CX$6&gt;='Lease Cycles'!$AV$26,'Lease Cycles'!$C$26*'Lease Cycles'!$AW$26/12,IF(CX$6&gt;='Lease Cycles'!$AT$26,'Lease Cycles'!$C$26*'Lease Cycles'!$AU$26/12,'Lease Cycles'!$C$26*INDEX('Lease Cycles'!$CB$26:$CH$26,1,CX316)*(1+INDEX('Lease Cycles'!$CI$26:$CO$26,1,CX316))^INT(INT(CX317/12)/INDEX('Lease Cycles'!$CP$26:$CV$26,1,CX316))/12)))),'Lease Cycles'!$C$26*INDEX('Lease Cycles'!$CB$26:$CH$26,1,CX316)*(1+INDEX('Lease Cycles'!$CI$26:$CO$26,1,CX316))^INT(INT(CX317/12)/INDEX('Lease Cycles'!$CP$26:$CV$26,1,CX316))/12),IF(INDEX('Lease Cycles'!$EF$26:$EL$26,1,CX316)=1,IF(AND('Lease Cycles'!$AZ$26&gt;=INDEX('Lease Cycles'!$BG$26:$BM$26,1,CX316),'Lease Cycles'!$AZ$26&lt;=CX$6),'Lease Cycles'!$C$26*'Lease Cycles'!$BA$26/12,IF(AND('Lease Cycles'!$AX$26&gt;=INDEX('Lease Cycles'!$BG$26:$BM$26,1,CX316),'Lease Cycles'!$AX$26&lt;=CX$6),'Lease Cycles'!$C$26*'Lease Cycles'!$AY$26/12,IF(AND('Lease Cycles'!$AV$26&gt;=INDEX('Lease Cycles'!$BG$26:$BM$26,1,CX316),'Lease Cycles'!$AV$26&lt;=CX$6),'Lease Cycles'!$C$26*'Lease Cycles'!$AW$26/12,IF(AND('Lease Cycles'!$AT$26&gt;=INDEX('Lease Cycles'!$BG$26:$BM$26,1,CX316),'Lease Cycles'!$AT$26&lt;=CX$6),'Lease Cycles'!$C$26*'Lease Cycles'!$AU$26/12,'Lease Cycles'!$C$26*INDEX('Lease Cycles'!$CB$26:$CH$26,1,CX316)*(1+INDEX('Lease Cycles'!$CI$26:$CO$26,1,CX316))^INT(INT(CX317/12)/INDEX('Lease Cycles'!$CP$26:$CV$26,1,CX316))/12)))),'Lease Cycles'!$C$26*INDEX('Lease Cycles'!$CB$26:$CH$26,1,CX316)*(1+INDEX('Lease Cycles'!$CI$26:$CO$26,1,CX316))^INT(INT(CX317/12)/INDEX('Lease Cycles'!$CP$26:$CV$26,1,CX316))/12))),IF('Lease Cycles'!$N$26=1,'Lease Cycles'!$C$26*'Lease Cycles'!$E$26*INDEX('Lease Cycles'!$HE$26:$HK$26,1,CX316)*(1+INDEX('Lease Cycles'!$GQ$26:$GW$26,1,CX316))^INT(INT((CX$6-INDEX('Lease Cycles'!$GJ$26:$GP$26,1,CX316))/12)/INDEX('Lease Cycles'!$GX$26:$HD$26,1,CX316))/12,0)))</f>
        <v>0</v>
      </c>
      <c r="CY319" s="28">
        <f>IF(CY316=0,IF('Lease Cycles'!$F$26&gt;0,'Lease Cycles'!$C$26*'Lease Cycles'!$E$26/12,0),IF(CY318=1,IF('Lease Cycles'!$AT$26&gt;=9999,'Lease Cycles'!$C$26*INDEX('Lease Cycles'!$CB$26:$CH$26,1,CY316)*(1+INDEX('Lease Cycles'!$CI$26:$CO$26,1,CY316))^INT(INT(CY317/12)/INDEX('Lease Cycles'!$CP$26:$CV$26,1,CY316))/12,IF(CY316=1,IF(CY317&gt;=INDEX('Lease Cycles'!$DK$26:$DQ$26,1,CY316),IF(CY$6&gt;='Lease Cycles'!$AZ$26,'Lease Cycles'!$C$26*'Lease Cycles'!$BA$26/12,IF(CY$6&gt;='Lease Cycles'!$AX$26,'Lease Cycles'!$C$26*'Lease Cycles'!$AY$26/12,IF(CY$6&gt;='Lease Cycles'!$AV$26,'Lease Cycles'!$C$26*'Lease Cycles'!$AW$26/12,IF(CY$6&gt;='Lease Cycles'!$AT$26,'Lease Cycles'!$C$26*'Lease Cycles'!$AU$26/12,'Lease Cycles'!$C$26*INDEX('Lease Cycles'!$CB$26:$CH$26,1,CY316)*(1+INDEX('Lease Cycles'!$CI$26:$CO$26,1,CY316))^INT(INT(CY317/12)/INDEX('Lease Cycles'!$CP$26:$CV$26,1,CY316))/12)))),'Lease Cycles'!$C$26*INDEX('Lease Cycles'!$CB$26:$CH$26,1,CY316)*(1+INDEX('Lease Cycles'!$CI$26:$CO$26,1,CY316))^INT(INT(CY317/12)/INDEX('Lease Cycles'!$CP$26:$CV$26,1,CY316))/12),IF(INDEX('Lease Cycles'!$EF$26:$EL$26,1,CY316)=1,IF(AND('Lease Cycles'!$AZ$26&gt;=INDEX('Lease Cycles'!$BG$26:$BM$26,1,CY316),'Lease Cycles'!$AZ$26&lt;=CY$6),'Lease Cycles'!$C$26*'Lease Cycles'!$BA$26/12,IF(AND('Lease Cycles'!$AX$26&gt;=INDEX('Lease Cycles'!$BG$26:$BM$26,1,CY316),'Lease Cycles'!$AX$26&lt;=CY$6),'Lease Cycles'!$C$26*'Lease Cycles'!$AY$26/12,IF(AND('Lease Cycles'!$AV$26&gt;=INDEX('Lease Cycles'!$BG$26:$BM$26,1,CY316),'Lease Cycles'!$AV$26&lt;=CY$6),'Lease Cycles'!$C$26*'Lease Cycles'!$AW$26/12,IF(AND('Lease Cycles'!$AT$26&gt;=INDEX('Lease Cycles'!$BG$26:$BM$26,1,CY316),'Lease Cycles'!$AT$26&lt;=CY$6),'Lease Cycles'!$C$26*'Lease Cycles'!$AU$26/12,'Lease Cycles'!$C$26*INDEX('Lease Cycles'!$CB$26:$CH$26,1,CY316)*(1+INDEX('Lease Cycles'!$CI$26:$CO$26,1,CY316))^INT(INT(CY317/12)/INDEX('Lease Cycles'!$CP$26:$CV$26,1,CY316))/12)))),'Lease Cycles'!$C$26*INDEX('Lease Cycles'!$CB$26:$CH$26,1,CY316)*(1+INDEX('Lease Cycles'!$CI$26:$CO$26,1,CY316))^INT(INT(CY317/12)/INDEX('Lease Cycles'!$CP$26:$CV$26,1,CY316))/12))),IF('Lease Cycles'!$N$26=1,'Lease Cycles'!$C$26*'Lease Cycles'!$E$26*INDEX('Lease Cycles'!$HE$26:$HK$26,1,CY316)*(1+INDEX('Lease Cycles'!$GQ$26:$GW$26,1,CY316))^INT(INT((CY$6-INDEX('Lease Cycles'!$GJ$26:$GP$26,1,CY316))/12)/INDEX('Lease Cycles'!$GX$26:$HD$26,1,CY316))/12,0)))</f>
        <v>0</v>
      </c>
      <c r="CZ319" s="28">
        <f>IF(CZ316=0,IF('Lease Cycles'!$F$26&gt;0,'Lease Cycles'!$C$26*'Lease Cycles'!$E$26/12,0),IF(CZ318=1,IF('Lease Cycles'!$AT$26&gt;=9999,'Lease Cycles'!$C$26*INDEX('Lease Cycles'!$CB$26:$CH$26,1,CZ316)*(1+INDEX('Lease Cycles'!$CI$26:$CO$26,1,CZ316))^INT(INT(CZ317/12)/INDEX('Lease Cycles'!$CP$26:$CV$26,1,CZ316))/12,IF(CZ316=1,IF(CZ317&gt;=INDEX('Lease Cycles'!$DK$26:$DQ$26,1,CZ316),IF(CZ$6&gt;='Lease Cycles'!$AZ$26,'Lease Cycles'!$C$26*'Lease Cycles'!$BA$26/12,IF(CZ$6&gt;='Lease Cycles'!$AX$26,'Lease Cycles'!$C$26*'Lease Cycles'!$AY$26/12,IF(CZ$6&gt;='Lease Cycles'!$AV$26,'Lease Cycles'!$C$26*'Lease Cycles'!$AW$26/12,IF(CZ$6&gt;='Lease Cycles'!$AT$26,'Lease Cycles'!$C$26*'Lease Cycles'!$AU$26/12,'Lease Cycles'!$C$26*INDEX('Lease Cycles'!$CB$26:$CH$26,1,CZ316)*(1+INDEX('Lease Cycles'!$CI$26:$CO$26,1,CZ316))^INT(INT(CZ317/12)/INDEX('Lease Cycles'!$CP$26:$CV$26,1,CZ316))/12)))),'Lease Cycles'!$C$26*INDEX('Lease Cycles'!$CB$26:$CH$26,1,CZ316)*(1+INDEX('Lease Cycles'!$CI$26:$CO$26,1,CZ316))^INT(INT(CZ317/12)/INDEX('Lease Cycles'!$CP$26:$CV$26,1,CZ316))/12),IF(INDEX('Lease Cycles'!$EF$26:$EL$26,1,CZ316)=1,IF(AND('Lease Cycles'!$AZ$26&gt;=INDEX('Lease Cycles'!$BG$26:$BM$26,1,CZ316),'Lease Cycles'!$AZ$26&lt;=CZ$6),'Lease Cycles'!$C$26*'Lease Cycles'!$BA$26/12,IF(AND('Lease Cycles'!$AX$26&gt;=INDEX('Lease Cycles'!$BG$26:$BM$26,1,CZ316),'Lease Cycles'!$AX$26&lt;=CZ$6),'Lease Cycles'!$C$26*'Lease Cycles'!$AY$26/12,IF(AND('Lease Cycles'!$AV$26&gt;=INDEX('Lease Cycles'!$BG$26:$BM$26,1,CZ316),'Lease Cycles'!$AV$26&lt;=CZ$6),'Lease Cycles'!$C$26*'Lease Cycles'!$AW$26/12,IF(AND('Lease Cycles'!$AT$26&gt;=INDEX('Lease Cycles'!$BG$26:$BM$26,1,CZ316),'Lease Cycles'!$AT$26&lt;=CZ$6),'Lease Cycles'!$C$26*'Lease Cycles'!$AU$26/12,'Lease Cycles'!$C$26*INDEX('Lease Cycles'!$CB$26:$CH$26,1,CZ316)*(1+INDEX('Lease Cycles'!$CI$26:$CO$26,1,CZ316))^INT(INT(CZ317/12)/INDEX('Lease Cycles'!$CP$26:$CV$26,1,CZ316))/12)))),'Lease Cycles'!$C$26*INDEX('Lease Cycles'!$CB$26:$CH$26,1,CZ316)*(1+INDEX('Lease Cycles'!$CI$26:$CO$26,1,CZ316))^INT(INT(CZ317/12)/INDEX('Lease Cycles'!$CP$26:$CV$26,1,CZ316))/12))),IF('Lease Cycles'!$N$26=1,'Lease Cycles'!$C$26*'Lease Cycles'!$E$26*INDEX('Lease Cycles'!$HE$26:$HK$26,1,CZ316)*(1+INDEX('Lease Cycles'!$GQ$26:$GW$26,1,CZ316))^INT(INT((CZ$6-INDEX('Lease Cycles'!$GJ$26:$GP$26,1,CZ316))/12)/INDEX('Lease Cycles'!$GX$26:$HD$26,1,CZ316))/12,0)))</f>
        <v>0</v>
      </c>
      <c r="DA319" s="28">
        <f>IF(DA316=0,IF('Lease Cycles'!$F$26&gt;0,'Lease Cycles'!$C$26*'Lease Cycles'!$E$26/12,0),IF(DA318=1,IF('Lease Cycles'!$AT$26&gt;=9999,'Lease Cycles'!$C$26*INDEX('Lease Cycles'!$CB$26:$CH$26,1,DA316)*(1+INDEX('Lease Cycles'!$CI$26:$CO$26,1,DA316))^INT(INT(DA317/12)/INDEX('Lease Cycles'!$CP$26:$CV$26,1,DA316))/12,IF(DA316=1,IF(DA317&gt;=INDEX('Lease Cycles'!$DK$26:$DQ$26,1,DA316),IF(DA$6&gt;='Lease Cycles'!$AZ$26,'Lease Cycles'!$C$26*'Lease Cycles'!$BA$26/12,IF(DA$6&gt;='Lease Cycles'!$AX$26,'Lease Cycles'!$C$26*'Lease Cycles'!$AY$26/12,IF(DA$6&gt;='Lease Cycles'!$AV$26,'Lease Cycles'!$C$26*'Lease Cycles'!$AW$26/12,IF(DA$6&gt;='Lease Cycles'!$AT$26,'Lease Cycles'!$C$26*'Lease Cycles'!$AU$26/12,'Lease Cycles'!$C$26*INDEX('Lease Cycles'!$CB$26:$CH$26,1,DA316)*(1+INDEX('Lease Cycles'!$CI$26:$CO$26,1,DA316))^INT(INT(DA317/12)/INDEX('Lease Cycles'!$CP$26:$CV$26,1,DA316))/12)))),'Lease Cycles'!$C$26*INDEX('Lease Cycles'!$CB$26:$CH$26,1,DA316)*(1+INDEX('Lease Cycles'!$CI$26:$CO$26,1,DA316))^INT(INT(DA317/12)/INDEX('Lease Cycles'!$CP$26:$CV$26,1,DA316))/12),IF(INDEX('Lease Cycles'!$EF$26:$EL$26,1,DA316)=1,IF(AND('Lease Cycles'!$AZ$26&gt;=INDEX('Lease Cycles'!$BG$26:$BM$26,1,DA316),'Lease Cycles'!$AZ$26&lt;=DA$6),'Lease Cycles'!$C$26*'Lease Cycles'!$BA$26/12,IF(AND('Lease Cycles'!$AX$26&gt;=INDEX('Lease Cycles'!$BG$26:$BM$26,1,DA316),'Lease Cycles'!$AX$26&lt;=DA$6),'Lease Cycles'!$C$26*'Lease Cycles'!$AY$26/12,IF(AND('Lease Cycles'!$AV$26&gt;=INDEX('Lease Cycles'!$BG$26:$BM$26,1,DA316),'Lease Cycles'!$AV$26&lt;=DA$6),'Lease Cycles'!$C$26*'Lease Cycles'!$AW$26/12,IF(AND('Lease Cycles'!$AT$26&gt;=INDEX('Lease Cycles'!$BG$26:$BM$26,1,DA316),'Lease Cycles'!$AT$26&lt;=DA$6),'Lease Cycles'!$C$26*'Lease Cycles'!$AU$26/12,'Lease Cycles'!$C$26*INDEX('Lease Cycles'!$CB$26:$CH$26,1,DA316)*(1+INDEX('Lease Cycles'!$CI$26:$CO$26,1,DA316))^INT(INT(DA317/12)/INDEX('Lease Cycles'!$CP$26:$CV$26,1,DA316))/12)))),'Lease Cycles'!$C$26*INDEX('Lease Cycles'!$CB$26:$CH$26,1,DA316)*(1+INDEX('Lease Cycles'!$CI$26:$CO$26,1,DA316))^INT(INT(DA317/12)/INDEX('Lease Cycles'!$CP$26:$CV$26,1,DA316))/12))),IF('Lease Cycles'!$N$26=1,'Lease Cycles'!$C$26*'Lease Cycles'!$E$26*INDEX('Lease Cycles'!$HE$26:$HK$26,1,DA316)*(1+INDEX('Lease Cycles'!$GQ$26:$GW$26,1,DA316))^INT(INT((DA$6-INDEX('Lease Cycles'!$GJ$26:$GP$26,1,DA316))/12)/INDEX('Lease Cycles'!$GX$26:$HD$26,1,DA316))/12,0)))</f>
        <v>0</v>
      </c>
      <c r="DB319" s="28">
        <f>IF(DB316=0,IF('Lease Cycles'!$F$26&gt;0,'Lease Cycles'!$C$26*'Lease Cycles'!$E$26/12,0),IF(DB318=1,IF('Lease Cycles'!$AT$26&gt;=9999,'Lease Cycles'!$C$26*INDEX('Lease Cycles'!$CB$26:$CH$26,1,DB316)*(1+INDEX('Lease Cycles'!$CI$26:$CO$26,1,DB316))^INT(INT(DB317/12)/INDEX('Lease Cycles'!$CP$26:$CV$26,1,DB316))/12,IF(DB316=1,IF(DB317&gt;=INDEX('Lease Cycles'!$DK$26:$DQ$26,1,DB316),IF(DB$6&gt;='Lease Cycles'!$AZ$26,'Lease Cycles'!$C$26*'Lease Cycles'!$BA$26/12,IF(DB$6&gt;='Lease Cycles'!$AX$26,'Lease Cycles'!$C$26*'Lease Cycles'!$AY$26/12,IF(DB$6&gt;='Lease Cycles'!$AV$26,'Lease Cycles'!$C$26*'Lease Cycles'!$AW$26/12,IF(DB$6&gt;='Lease Cycles'!$AT$26,'Lease Cycles'!$C$26*'Lease Cycles'!$AU$26/12,'Lease Cycles'!$C$26*INDEX('Lease Cycles'!$CB$26:$CH$26,1,DB316)*(1+INDEX('Lease Cycles'!$CI$26:$CO$26,1,DB316))^INT(INT(DB317/12)/INDEX('Lease Cycles'!$CP$26:$CV$26,1,DB316))/12)))),'Lease Cycles'!$C$26*INDEX('Lease Cycles'!$CB$26:$CH$26,1,DB316)*(1+INDEX('Lease Cycles'!$CI$26:$CO$26,1,DB316))^INT(INT(DB317/12)/INDEX('Lease Cycles'!$CP$26:$CV$26,1,DB316))/12),IF(INDEX('Lease Cycles'!$EF$26:$EL$26,1,DB316)=1,IF(AND('Lease Cycles'!$AZ$26&gt;=INDEX('Lease Cycles'!$BG$26:$BM$26,1,DB316),'Lease Cycles'!$AZ$26&lt;=DB$6),'Lease Cycles'!$C$26*'Lease Cycles'!$BA$26/12,IF(AND('Lease Cycles'!$AX$26&gt;=INDEX('Lease Cycles'!$BG$26:$BM$26,1,DB316),'Lease Cycles'!$AX$26&lt;=DB$6),'Lease Cycles'!$C$26*'Lease Cycles'!$AY$26/12,IF(AND('Lease Cycles'!$AV$26&gt;=INDEX('Lease Cycles'!$BG$26:$BM$26,1,DB316),'Lease Cycles'!$AV$26&lt;=DB$6),'Lease Cycles'!$C$26*'Lease Cycles'!$AW$26/12,IF(AND('Lease Cycles'!$AT$26&gt;=INDEX('Lease Cycles'!$BG$26:$BM$26,1,DB316),'Lease Cycles'!$AT$26&lt;=DB$6),'Lease Cycles'!$C$26*'Lease Cycles'!$AU$26/12,'Lease Cycles'!$C$26*INDEX('Lease Cycles'!$CB$26:$CH$26,1,DB316)*(1+INDEX('Lease Cycles'!$CI$26:$CO$26,1,DB316))^INT(INT(DB317/12)/INDEX('Lease Cycles'!$CP$26:$CV$26,1,DB316))/12)))),'Lease Cycles'!$C$26*INDEX('Lease Cycles'!$CB$26:$CH$26,1,DB316)*(1+INDEX('Lease Cycles'!$CI$26:$CO$26,1,DB316))^INT(INT(DB317/12)/INDEX('Lease Cycles'!$CP$26:$CV$26,1,DB316))/12))),IF('Lease Cycles'!$N$26=1,'Lease Cycles'!$C$26*'Lease Cycles'!$E$26*INDEX('Lease Cycles'!$HE$26:$HK$26,1,DB316)*(1+INDEX('Lease Cycles'!$GQ$26:$GW$26,1,DB316))^INT(INT((DB$6-INDEX('Lease Cycles'!$GJ$26:$GP$26,1,DB316))/12)/INDEX('Lease Cycles'!$GX$26:$HD$26,1,DB316))/12,0)))</f>
        <v>0</v>
      </c>
      <c r="DC319" s="28">
        <f>IF(DC316=0,IF('Lease Cycles'!$F$26&gt;0,'Lease Cycles'!$C$26*'Lease Cycles'!$E$26/12,0),IF(DC318=1,IF('Lease Cycles'!$AT$26&gt;=9999,'Lease Cycles'!$C$26*INDEX('Lease Cycles'!$CB$26:$CH$26,1,DC316)*(1+INDEX('Lease Cycles'!$CI$26:$CO$26,1,DC316))^INT(INT(DC317/12)/INDEX('Lease Cycles'!$CP$26:$CV$26,1,DC316))/12,IF(DC316=1,IF(DC317&gt;=INDEX('Lease Cycles'!$DK$26:$DQ$26,1,DC316),IF(DC$6&gt;='Lease Cycles'!$AZ$26,'Lease Cycles'!$C$26*'Lease Cycles'!$BA$26/12,IF(DC$6&gt;='Lease Cycles'!$AX$26,'Lease Cycles'!$C$26*'Lease Cycles'!$AY$26/12,IF(DC$6&gt;='Lease Cycles'!$AV$26,'Lease Cycles'!$C$26*'Lease Cycles'!$AW$26/12,IF(DC$6&gt;='Lease Cycles'!$AT$26,'Lease Cycles'!$C$26*'Lease Cycles'!$AU$26/12,'Lease Cycles'!$C$26*INDEX('Lease Cycles'!$CB$26:$CH$26,1,DC316)*(1+INDEX('Lease Cycles'!$CI$26:$CO$26,1,DC316))^INT(INT(DC317/12)/INDEX('Lease Cycles'!$CP$26:$CV$26,1,DC316))/12)))),'Lease Cycles'!$C$26*INDEX('Lease Cycles'!$CB$26:$CH$26,1,DC316)*(1+INDEX('Lease Cycles'!$CI$26:$CO$26,1,DC316))^INT(INT(DC317/12)/INDEX('Lease Cycles'!$CP$26:$CV$26,1,DC316))/12),IF(INDEX('Lease Cycles'!$EF$26:$EL$26,1,DC316)=1,IF(AND('Lease Cycles'!$AZ$26&gt;=INDEX('Lease Cycles'!$BG$26:$BM$26,1,DC316),'Lease Cycles'!$AZ$26&lt;=DC$6),'Lease Cycles'!$C$26*'Lease Cycles'!$BA$26/12,IF(AND('Lease Cycles'!$AX$26&gt;=INDEX('Lease Cycles'!$BG$26:$BM$26,1,DC316),'Lease Cycles'!$AX$26&lt;=DC$6),'Lease Cycles'!$C$26*'Lease Cycles'!$AY$26/12,IF(AND('Lease Cycles'!$AV$26&gt;=INDEX('Lease Cycles'!$BG$26:$BM$26,1,DC316),'Lease Cycles'!$AV$26&lt;=DC$6),'Lease Cycles'!$C$26*'Lease Cycles'!$AW$26/12,IF(AND('Lease Cycles'!$AT$26&gt;=INDEX('Lease Cycles'!$BG$26:$BM$26,1,DC316),'Lease Cycles'!$AT$26&lt;=DC$6),'Lease Cycles'!$C$26*'Lease Cycles'!$AU$26/12,'Lease Cycles'!$C$26*INDEX('Lease Cycles'!$CB$26:$CH$26,1,DC316)*(1+INDEX('Lease Cycles'!$CI$26:$CO$26,1,DC316))^INT(INT(DC317/12)/INDEX('Lease Cycles'!$CP$26:$CV$26,1,DC316))/12)))),'Lease Cycles'!$C$26*INDEX('Lease Cycles'!$CB$26:$CH$26,1,DC316)*(1+INDEX('Lease Cycles'!$CI$26:$CO$26,1,DC316))^INT(INT(DC317/12)/INDEX('Lease Cycles'!$CP$26:$CV$26,1,DC316))/12))),IF('Lease Cycles'!$N$26=1,'Lease Cycles'!$C$26*'Lease Cycles'!$E$26*INDEX('Lease Cycles'!$HE$26:$HK$26,1,DC316)*(1+INDEX('Lease Cycles'!$GQ$26:$GW$26,1,DC316))^INT(INT((DC$6-INDEX('Lease Cycles'!$GJ$26:$GP$26,1,DC316))/12)/INDEX('Lease Cycles'!$GX$26:$HD$26,1,DC316))/12,0)))</f>
        <v>0</v>
      </c>
      <c r="DD319" s="28">
        <f>IF(DD316=0,IF('Lease Cycles'!$F$26&gt;0,'Lease Cycles'!$C$26*'Lease Cycles'!$E$26/12,0),IF(DD318=1,IF('Lease Cycles'!$AT$26&gt;=9999,'Lease Cycles'!$C$26*INDEX('Lease Cycles'!$CB$26:$CH$26,1,DD316)*(1+INDEX('Lease Cycles'!$CI$26:$CO$26,1,DD316))^INT(INT(DD317/12)/INDEX('Lease Cycles'!$CP$26:$CV$26,1,DD316))/12,IF(DD316=1,IF(DD317&gt;=INDEX('Lease Cycles'!$DK$26:$DQ$26,1,DD316),IF(DD$6&gt;='Lease Cycles'!$AZ$26,'Lease Cycles'!$C$26*'Lease Cycles'!$BA$26/12,IF(DD$6&gt;='Lease Cycles'!$AX$26,'Lease Cycles'!$C$26*'Lease Cycles'!$AY$26/12,IF(DD$6&gt;='Lease Cycles'!$AV$26,'Lease Cycles'!$C$26*'Lease Cycles'!$AW$26/12,IF(DD$6&gt;='Lease Cycles'!$AT$26,'Lease Cycles'!$C$26*'Lease Cycles'!$AU$26/12,'Lease Cycles'!$C$26*INDEX('Lease Cycles'!$CB$26:$CH$26,1,DD316)*(1+INDEX('Lease Cycles'!$CI$26:$CO$26,1,DD316))^INT(INT(DD317/12)/INDEX('Lease Cycles'!$CP$26:$CV$26,1,DD316))/12)))),'Lease Cycles'!$C$26*INDEX('Lease Cycles'!$CB$26:$CH$26,1,DD316)*(1+INDEX('Lease Cycles'!$CI$26:$CO$26,1,DD316))^INT(INT(DD317/12)/INDEX('Lease Cycles'!$CP$26:$CV$26,1,DD316))/12),IF(INDEX('Lease Cycles'!$EF$26:$EL$26,1,DD316)=1,IF(AND('Lease Cycles'!$AZ$26&gt;=INDEX('Lease Cycles'!$BG$26:$BM$26,1,DD316),'Lease Cycles'!$AZ$26&lt;=DD$6),'Lease Cycles'!$C$26*'Lease Cycles'!$BA$26/12,IF(AND('Lease Cycles'!$AX$26&gt;=INDEX('Lease Cycles'!$BG$26:$BM$26,1,DD316),'Lease Cycles'!$AX$26&lt;=DD$6),'Lease Cycles'!$C$26*'Lease Cycles'!$AY$26/12,IF(AND('Lease Cycles'!$AV$26&gt;=INDEX('Lease Cycles'!$BG$26:$BM$26,1,DD316),'Lease Cycles'!$AV$26&lt;=DD$6),'Lease Cycles'!$C$26*'Lease Cycles'!$AW$26/12,IF(AND('Lease Cycles'!$AT$26&gt;=INDEX('Lease Cycles'!$BG$26:$BM$26,1,DD316),'Lease Cycles'!$AT$26&lt;=DD$6),'Lease Cycles'!$C$26*'Lease Cycles'!$AU$26/12,'Lease Cycles'!$C$26*INDEX('Lease Cycles'!$CB$26:$CH$26,1,DD316)*(1+INDEX('Lease Cycles'!$CI$26:$CO$26,1,DD316))^INT(INT(DD317/12)/INDEX('Lease Cycles'!$CP$26:$CV$26,1,DD316))/12)))),'Lease Cycles'!$C$26*INDEX('Lease Cycles'!$CB$26:$CH$26,1,DD316)*(1+INDEX('Lease Cycles'!$CI$26:$CO$26,1,DD316))^INT(INT(DD317/12)/INDEX('Lease Cycles'!$CP$26:$CV$26,1,DD316))/12))),IF('Lease Cycles'!$N$26=1,'Lease Cycles'!$C$26*'Lease Cycles'!$E$26*INDEX('Lease Cycles'!$HE$26:$HK$26,1,DD316)*(1+INDEX('Lease Cycles'!$GQ$26:$GW$26,1,DD316))^INT(INT((DD$6-INDEX('Lease Cycles'!$GJ$26:$GP$26,1,DD316))/12)/INDEX('Lease Cycles'!$GX$26:$HD$26,1,DD316))/12,0)))</f>
        <v>0</v>
      </c>
      <c r="DE319" s="28">
        <f>IF(DE316=0,IF('Lease Cycles'!$F$26&gt;0,'Lease Cycles'!$C$26*'Lease Cycles'!$E$26/12,0),IF(DE318=1,IF('Lease Cycles'!$AT$26&gt;=9999,'Lease Cycles'!$C$26*INDEX('Lease Cycles'!$CB$26:$CH$26,1,DE316)*(1+INDEX('Lease Cycles'!$CI$26:$CO$26,1,DE316))^INT(INT(DE317/12)/INDEX('Lease Cycles'!$CP$26:$CV$26,1,DE316))/12,IF(DE316=1,IF(DE317&gt;=INDEX('Lease Cycles'!$DK$26:$DQ$26,1,DE316),IF(DE$6&gt;='Lease Cycles'!$AZ$26,'Lease Cycles'!$C$26*'Lease Cycles'!$BA$26/12,IF(DE$6&gt;='Lease Cycles'!$AX$26,'Lease Cycles'!$C$26*'Lease Cycles'!$AY$26/12,IF(DE$6&gt;='Lease Cycles'!$AV$26,'Lease Cycles'!$C$26*'Lease Cycles'!$AW$26/12,IF(DE$6&gt;='Lease Cycles'!$AT$26,'Lease Cycles'!$C$26*'Lease Cycles'!$AU$26/12,'Lease Cycles'!$C$26*INDEX('Lease Cycles'!$CB$26:$CH$26,1,DE316)*(1+INDEX('Lease Cycles'!$CI$26:$CO$26,1,DE316))^INT(INT(DE317/12)/INDEX('Lease Cycles'!$CP$26:$CV$26,1,DE316))/12)))),'Lease Cycles'!$C$26*INDEX('Lease Cycles'!$CB$26:$CH$26,1,DE316)*(1+INDEX('Lease Cycles'!$CI$26:$CO$26,1,DE316))^INT(INT(DE317/12)/INDEX('Lease Cycles'!$CP$26:$CV$26,1,DE316))/12),IF(INDEX('Lease Cycles'!$EF$26:$EL$26,1,DE316)=1,IF(AND('Lease Cycles'!$AZ$26&gt;=INDEX('Lease Cycles'!$BG$26:$BM$26,1,DE316),'Lease Cycles'!$AZ$26&lt;=DE$6),'Lease Cycles'!$C$26*'Lease Cycles'!$BA$26/12,IF(AND('Lease Cycles'!$AX$26&gt;=INDEX('Lease Cycles'!$BG$26:$BM$26,1,DE316),'Lease Cycles'!$AX$26&lt;=DE$6),'Lease Cycles'!$C$26*'Lease Cycles'!$AY$26/12,IF(AND('Lease Cycles'!$AV$26&gt;=INDEX('Lease Cycles'!$BG$26:$BM$26,1,DE316),'Lease Cycles'!$AV$26&lt;=DE$6),'Lease Cycles'!$C$26*'Lease Cycles'!$AW$26/12,IF(AND('Lease Cycles'!$AT$26&gt;=INDEX('Lease Cycles'!$BG$26:$BM$26,1,DE316),'Lease Cycles'!$AT$26&lt;=DE$6),'Lease Cycles'!$C$26*'Lease Cycles'!$AU$26/12,'Lease Cycles'!$C$26*INDEX('Lease Cycles'!$CB$26:$CH$26,1,DE316)*(1+INDEX('Lease Cycles'!$CI$26:$CO$26,1,DE316))^INT(INT(DE317/12)/INDEX('Lease Cycles'!$CP$26:$CV$26,1,DE316))/12)))),'Lease Cycles'!$C$26*INDEX('Lease Cycles'!$CB$26:$CH$26,1,DE316)*(1+INDEX('Lease Cycles'!$CI$26:$CO$26,1,DE316))^INT(INT(DE317/12)/INDEX('Lease Cycles'!$CP$26:$CV$26,1,DE316))/12))),IF('Lease Cycles'!$N$26=1,'Lease Cycles'!$C$26*'Lease Cycles'!$E$26*INDEX('Lease Cycles'!$HE$26:$HK$26,1,DE316)*(1+INDEX('Lease Cycles'!$GQ$26:$GW$26,1,DE316))^INT(INT((DE$6-INDEX('Lease Cycles'!$GJ$26:$GP$26,1,DE316))/12)/INDEX('Lease Cycles'!$GX$26:$HD$26,1,DE316))/12,0)))</f>
        <v>0</v>
      </c>
      <c r="DF319" s="28">
        <f>IF(DF316=0,IF('Lease Cycles'!$F$26&gt;0,'Lease Cycles'!$C$26*'Lease Cycles'!$E$26/12,0),IF(DF318=1,IF('Lease Cycles'!$AT$26&gt;=9999,'Lease Cycles'!$C$26*INDEX('Lease Cycles'!$CB$26:$CH$26,1,DF316)*(1+INDEX('Lease Cycles'!$CI$26:$CO$26,1,DF316))^INT(INT(DF317/12)/INDEX('Lease Cycles'!$CP$26:$CV$26,1,DF316))/12,IF(DF316=1,IF(DF317&gt;=INDEX('Lease Cycles'!$DK$26:$DQ$26,1,DF316),IF(DF$6&gt;='Lease Cycles'!$AZ$26,'Lease Cycles'!$C$26*'Lease Cycles'!$BA$26/12,IF(DF$6&gt;='Lease Cycles'!$AX$26,'Lease Cycles'!$C$26*'Lease Cycles'!$AY$26/12,IF(DF$6&gt;='Lease Cycles'!$AV$26,'Lease Cycles'!$C$26*'Lease Cycles'!$AW$26/12,IF(DF$6&gt;='Lease Cycles'!$AT$26,'Lease Cycles'!$C$26*'Lease Cycles'!$AU$26/12,'Lease Cycles'!$C$26*INDEX('Lease Cycles'!$CB$26:$CH$26,1,DF316)*(1+INDEX('Lease Cycles'!$CI$26:$CO$26,1,DF316))^INT(INT(DF317/12)/INDEX('Lease Cycles'!$CP$26:$CV$26,1,DF316))/12)))),'Lease Cycles'!$C$26*INDEX('Lease Cycles'!$CB$26:$CH$26,1,DF316)*(1+INDEX('Lease Cycles'!$CI$26:$CO$26,1,DF316))^INT(INT(DF317/12)/INDEX('Lease Cycles'!$CP$26:$CV$26,1,DF316))/12),IF(INDEX('Lease Cycles'!$EF$26:$EL$26,1,DF316)=1,IF(AND('Lease Cycles'!$AZ$26&gt;=INDEX('Lease Cycles'!$BG$26:$BM$26,1,DF316),'Lease Cycles'!$AZ$26&lt;=DF$6),'Lease Cycles'!$C$26*'Lease Cycles'!$BA$26/12,IF(AND('Lease Cycles'!$AX$26&gt;=INDEX('Lease Cycles'!$BG$26:$BM$26,1,DF316),'Lease Cycles'!$AX$26&lt;=DF$6),'Lease Cycles'!$C$26*'Lease Cycles'!$AY$26/12,IF(AND('Lease Cycles'!$AV$26&gt;=INDEX('Lease Cycles'!$BG$26:$BM$26,1,DF316),'Lease Cycles'!$AV$26&lt;=DF$6),'Lease Cycles'!$C$26*'Lease Cycles'!$AW$26/12,IF(AND('Lease Cycles'!$AT$26&gt;=INDEX('Lease Cycles'!$BG$26:$BM$26,1,DF316),'Lease Cycles'!$AT$26&lt;=DF$6),'Lease Cycles'!$C$26*'Lease Cycles'!$AU$26/12,'Lease Cycles'!$C$26*INDEX('Lease Cycles'!$CB$26:$CH$26,1,DF316)*(1+INDEX('Lease Cycles'!$CI$26:$CO$26,1,DF316))^INT(INT(DF317/12)/INDEX('Lease Cycles'!$CP$26:$CV$26,1,DF316))/12)))),'Lease Cycles'!$C$26*INDEX('Lease Cycles'!$CB$26:$CH$26,1,DF316)*(1+INDEX('Lease Cycles'!$CI$26:$CO$26,1,DF316))^INT(INT(DF317/12)/INDEX('Lease Cycles'!$CP$26:$CV$26,1,DF316))/12))),IF('Lease Cycles'!$N$26=1,'Lease Cycles'!$C$26*'Lease Cycles'!$E$26*INDEX('Lease Cycles'!$HE$26:$HK$26,1,DF316)*(1+INDEX('Lease Cycles'!$GQ$26:$GW$26,1,DF316))^INT(INT((DF$6-INDEX('Lease Cycles'!$GJ$26:$GP$26,1,DF316))/12)/INDEX('Lease Cycles'!$GX$26:$HD$26,1,DF316))/12,0)))</f>
        <v>0</v>
      </c>
      <c r="DG319" s="28">
        <f>IF(DG316=0,IF('Lease Cycles'!$F$26&gt;0,'Lease Cycles'!$C$26*'Lease Cycles'!$E$26/12,0),IF(DG318=1,IF('Lease Cycles'!$AT$26&gt;=9999,'Lease Cycles'!$C$26*INDEX('Lease Cycles'!$CB$26:$CH$26,1,DG316)*(1+INDEX('Lease Cycles'!$CI$26:$CO$26,1,DG316))^INT(INT(DG317/12)/INDEX('Lease Cycles'!$CP$26:$CV$26,1,DG316))/12,IF(DG316=1,IF(DG317&gt;=INDEX('Lease Cycles'!$DK$26:$DQ$26,1,DG316),IF(DG$6&gt;='Lease Cycles'!$AZ$26,'Lease Cycles'!$C$26*'Lease Cycles'!$BA$26/12,IF(DG$6&gt;='Lease Cycles'!$AX$26,'Lease Cycles'!$C$26*'Lease Cycles'!$AY$26/12,IF(DG$6&gt;='Lease Cycles'!$AV$26,'Lease Cycles'!$C$26*'Lease Cycles'!$AW$26/12,IF(DG$6&gt;='Lease Cycles'!$AT$26,'Lease Cycles'!$C$26*'Lease Cycles'!$AU$26/12,'Lease Cycles'!$C$26*INDEX('Lease Cycles'!$CB$26:$CH$26,1,DG316)*(1+INDEX('Lease Cycles'!$CI$26:$CO$26,1,DG316))^INT(INT(DG317/12)/INDEX('Lease Cycles'!$CP$26:$CV$26,1,DG316))/12)))),'Lease Cycles'!$C$26*INDEX('Lease Cycles'!$CB$26:$CH$26,1,DG316)*(1+INDEX('Lease Cycles'!$CI$26:$CO$26,1,DG316))^INT(INT(DG317/12)/INDEX('Lease Cycles'!$CP$26:$CV$26,1,DG316))/12),IF(INDEX('Lease Cycles'!$EF$26:$EL$26,1,DG316)=1,IF(AND('Lease Cycles'!$AZ$26&gt;=INDEX('Lease Cycles'!$BG$26:$BM$26,1,DG316),'Lease Cycles'!$AZ$26&lt;=DG$6),'Lease Cycles'!$C$26*'Lease Cycles'!$BA$26/12,IF(AND('Lease Cycles'!$AX$26&gt;=INDEX('Lease Cycles'!$BG$26:$BM$26,1,DG316),'Lease Cycles'!$AX$26&lt;=DG$6),'Lease Cycles'!$C$26*'Lease Cycles'!$AY$26/12,IF(AND('Lease Cycles'!$AV$26&gt;=INDEX('Lease Cycles'!$BG$26:$BM$26,1,DG316),'Lease Cycles'!$AV$26&lt;=DG$6),'Lease Cycles'!$C$26*'Lease Cycles'!$AW$26/12,IF(AND('Lease Cycles'!$AT$26&gt;=INDEX('Lease Cycles'!$BG$26:$BM$26,1,DG316),'Lease Cycles'!$AT$26&lt;=DG$6),'Lease Cycles'!$C$26*'Lease Cycles'!$AU$26/12,'Lease Cycles'!$C$26*INDEX('Lease Cycles'!$CB$26:$CH$26,1,DG316)*(1+INDEX('Lease Cycles'!$CI$26:$CO$26,1,DG316))^INT(INT(DG317/12)/INDEX('Lease Cycles'!$CP$26:$CV$26,1,DG316))/12)))),'Lease Cycles'!$C$26*INDEX('Lease Cycles'!$CB$26:$CH$26,1,DG316)*(1+INDEX('Lease Cycles'!$CI$26:$CO$26,1,DG316))^INT(INT(DG317/12)/INDEX('Lease Cycles'!$CP$26:$CV$26,1,DG316))/12))),IF('Lease Cycles'!$N$26=1,'Lease Cycles'!$C$26*'Lease Cycles'!$E$26*INDEX('Lease Cycles'!$HE$26:$HK$26,1,DG316)*(1+INDEX('Lease Cycles'!$GQ$26:$GW$26,1,DG316))^INT(INT((DG$6-INDEX('Lease Cycles'!$GJ$26:$GP$26,1,DG316))/12)/INDEX('Lease Cycles'!$GX$26:$HD$26,1,DG316))/12,0)))</f>
        <v>0</v>
      </c>
      <c r="DH319" s="28">
        <f>IF(DH316=0,IF('Lease Cycles'!$F$26&gt;0,'Lease Cycles'!$C$26*'Lease Cycles'!$E$26/12,0),IF(DH318=1,IF('Lease Cycles'!$AT$26&gt;=9999,'Lease Cycles'!$C$26*INDEX('Lease Cycles'!$CB$26:$CH$26,1,DH316)*(1+INDEX('Lease Cycles'!$CI$26:$CO$26,1,DH316))^INT(INT(DH317/12)/INDEX('Lease Cycles'!$CP$26:$CV$26,1,DH316))/12,IF(DH316=1,IF(DH317&gt;=INDEX('Lease Cycles'!$DK$26:$DQ$26,1,DH316),IF(DH$6&gt;='Lease Cycles'!$AZ$26,'Lease Cycles'!$C$26*'Lease Cycles'!$BA$26/12,IF(DH$6&gt;='Lease Cycles'!$AX$26,'Lease Cycles'!$C$26*'Lease Cycles'!$AY$26/12,IF(DH$6&gt;='Lease Cycles'!$AV$26,'Lease Cycles'!$C$26*'Lease Cycles'!$AW$26/12,IF(DH$6&gt;='Lease Cycles'!$AT$26,'Lease Cycles'!$C$26*'Lease Cycles'!$AU$26/12,'Lease Cycles'!$C$26*INDEX('Lease Cycles'!$CB$26:$CH$26,1,DH316)*(1+INDEX('Lease Cycles'!$CI$26:$CO$26,1,DH316))^INT(INT(DH317/12)/INDEX('Lease Cycles'!$CP$26:$CV$26,1,DH316))/12)))),'Lease Cycles'!$C$26*INDEX('Lease Cycles'!$CB$26:$CH$26,1,DH316)*(1+INDEX('Lease Cycles'!$CI$26:$CO$26,1,DH316))^INT(INT(DH317/12)/INDEX('Lease Cycles'!$CP$26:$CV$26,1,DH316))/12),IF(INDEX('Lease Cycles'!$EF$26:$EL$26,1,DH316)=1,IF(AND('Lease Cycles'!$AZ$26&gt;=INDEX('Lease Cycles'!$BG$26:$BM$26,1,DH316),'Lease Cycles'!$AZ$26&lt;=DH$6),'Lease Cycles'!$C$26*'Lease Cycles'!$BA$26/12,IF(AND('Lease Cycles'!$AX$26&gt;=INDEX('Lease Cycles'!$BG$26:$BM$26,1,DH316),'Lease Cycles'!$AX$26&lt;=DH$6),'Lease Cycles'!$C$26*'Lease Cycles'!$AY$26/12,IF(AND('Lease Cycles'!$AV$26&gt;=INDEX('Lease Cycles'!$BG$26:$BM$26,1,DH316),'Lease Cycles'!$AV$26&lt;=DH$6),'Lease Cycles'!$C$26*'Lease Cycles'!$AW$26/12,IF(AND('Lease Cycles'!$AT$26&gt;=INDEX('Lease Cycles'!$BG$26:$BM$26,1,DH316),'Lease Cycles'!$AT$26&lt;=DH$6),'Lease Cycles'!$C$26*'Lease Cycles'!$AU$26/12,'Lease Cycles'!$C$26*INDEX('Lease Cycles'!$CB$26:$CH$26,1,DH316)*(1+INDEX('Lease Cycles'!$CI$26:$CO$26,1,DH316))^INT(INT(DH317/12)/INDEX('Lease Cycles'!$CP$26:$CV$26,1,DH316))/12)))),'Lease Cycles'!$C$26*INDEX('Lease Cycles'!$CB$26:$CH$26,1,DH316)*(1+INDEX('Lease Cycles'!$CI$26:$CO$26,1,DH316))^INT(INT(DH317/12)/INDEX('Lease Cycles'!$CP$26:$CV$26,1,DH316))/12))),IF('Lease Cycles'!$N$26=1,'Lease Cycles'!$C$26*'Lease Cycles'!$E$26*INDEX('Lease Cycles'!$HE$26:$HK$26,1,DH316)*(1+INDEX('Lease Cycles'!$GQ$26:$GW$26,1,DH316))^INT(INT((DH$6-INDEX('Lease Cycles'!$GJ$26:$GP$26,1,DH316))/12)/INDEX('Lease Cycles'!$GX$26:$HD$26,1,DH316))/12,0)))</f>
        <v>0</v>
      </c>
      <c r="DI319" s="28">
        <f>IF(DI316=0,IF('Lease Cycles'!$F$26&gt;0,'Lease Cycles'!$C$26*'Lease Cycles'!$E$26/12,0),IF(DI318=1,IF('Lease Cycles'!$AT$26&gt;=9999,'Lease Cycles'!$C$26*INDEX('Lease Cycles'!$CB$26:$CH$26,1,DI316)*(1+INDEX('Lease Cycles'!$CI$26:$CO$26,1,DI316))^INT(INT(DI317/12)/INDEX('Lease Cycles'!$CP$26:$CV$26,1,DI316))/12,IF(DI316=1,IF(DI317&gt;=INDEX('Lease Cycles'!$DK$26:$DQ$26,1,DI316),IF(DI$6&gt;='Lease Cycles'!$AZ$26,'Lease Cycles'!$C$26*'Lease Cycles'!$BA$26/12,IF(DI$6&gt;='Lease Cycles'!$AX$26,'Lease Cycles'!$C$26*'Lease Cycles'!$AY$26/12,IF(DI$6&gt;='Lease Cycles'!$AV$26,'Lease Cycles'!$C$26*'Lease Cycles'!$AW$26/12,IF(DI$6&gt;='Lease Cycles'!$AT$26,'Lease Cycles'!$C$26*'Lease Cycles'!$AU$26/12,'Lease Cycles'!$C$26*INDEX('Lease Cycles'!$CB$26:$CH$26,1,DI316)*(1+INDEX('Lease Cycles'!$CI$26:$CO$26,1,DI316))^INT(INT(DI317/12)/INDEX('Lease Cycles'!$CP$26:$CV$26,1,DI316))/12)))),'Lease Cycles'!$C$26*INDEX('Lease Cycles'!$CB$26:$CH$26,1,DI316)*(1+INDEX('Lease Cycles'!$CI$26:$CO$26,1,DI316))^INT(INT(DI317/12)/INDEX('Lease Cycles'!$CP$26:$CV$26,1,DI316))/12),IF(INDEX('Lease Cycles'!$EF$26:$EL$26,1,DI316)=1,IF(AND('Lease Cycles'!$AZ$26&gt;=INDEX('Lease Cycles'!$BG$26:$BM$26,1,DI316),'Lease Cycles'!$AZ$26&lt;=DI$6),'Lease Cycles'!$C$26*'Lease Cycles'!$BA$26/12,IF(AND('Lease Cycles'!$AX$26&gt;=INDEX('Lease Cycles'!$BG$26:$BM$26,1,DI316),'Lease Cycles'!$AX$26&lt;=DI$6),'Lease Cycles'!$C$26*'Lease Cycles'!$AY$26/12,IF(AND('Lease Cycles'!$AV$26&gt;=INDEX('Lease Cycles'!$BG$26:$BM$26,1,DI316),'Lease Cycles'!$AV$26&lt;=DI$6),'Lease Cycles'!$C$26*'Lease Cycles'!$AW$26/12,IF(AND('Lease Cycles'!$AT$26&gt;=INDEX('Lease Cycles'!$BG$26:$BM$26,1,DI316),'Lease Cycles'!$AT$26&lt;=DI$6),'Lease Cycles'!$C$26*'Lease Cycles'!$AU$26/12,'Lease Cycles'!$C$26*INDEX('Lease Cycles'!$CB$26:$CH$26,1,DI316)*(1+INDEX('Lease Cycles'!$CI$26:$CO$26,1,DI316))^INT(INT(DI317/12)/INDEX('Lease Cycles'!$CP$26:$CV$26,1,DI316))/12)))),'Lease Cycles'!$C$26*INDEX('Lease Cycles'!$CB$26:$CH$26,1,DI316)*(1+INDEX('Lease Cycles'!$CI$26:$CO$26,1,DI316))^INT(INT(DI317/12)/INDEX('Lease Cycles'!$CP$26:$CV$26,1,DI316))/12))),IF('Lease Cycles'!$N$26=1,'Lease Cycles'!$C$26*'Lease Cycles'!$E$26*INDEX('Lease Cycles'!$HE$26:$HK$26,1,DI316)*(1+INDEX('Lease Cycles'!$GQ$26:$GW$26,1,DI316))^INT(INT((DI$6-INDEX('Lease Cycles'!$GJ$26:$GP$26,1,DI316))/12)/INDEX('Lease Cycles'!$GX$26:$HD$26,1,DI316))/12,0)))</f>
        <v>0</v>
      </c>
      <c r="DJ319" s="28">
        <f>IF(DJ316=0,IF('Lease Cycles'!$F$26&gt;0,'Lease Cycles'!$C$26*'Lease Cycles'!$E$26/12,0),IF(DJ318=1,IF('Lease Cycles'!$AT$26&gt;=9999,'Lease Cycles'!$C$26*INDEX('Lease Cycles'!$CB$26:$CH$26,1,DJ316)*(1+INDEX('Lease Cycles'!$CI$26:$CO$26,1,DJ316))^INT(INT(DJ317/12)/INDEX('Lease Cycles'!$CP$26:$CV$26,1,DJ316))/12,IF(DJ316=1,IF(DJ317&gt;=INDEX('Lease Cycles'!$DK$26:$DQ$26,1,DJ316),IF(DJ$6&gt;='Lease Cycles'!$AZ$26,'Lease Cycles'!$C$26*'Lease Cycles'!$BA$26/12,IF(DJ$6&gt;='Lease Cycles'!$AX$26,'Lease Cycles'!$C$26*'Lease Cycles'!$AY$26/12,IF(DJ$6&gt;='Lease Cycles'!$AV$26,'Lease Cycles'!$C$26*'Lease Cycles'!$AW$26/12,IF(DJ$6&gt;='Lease Cycles'!$AT$26,'Lease Cycles'!$C$26*'Lease Cycles'!$AU$26/12,'Lease Cycles'!$C$26*INDEX('Lease Cycles'!$CB$26:$CH$26,1,DJ316)*(1+INDEX('Lease Cycles'!$CI$26:$CO$26,1,DJ316))^INT(INT(DJ317/12)/INDEX('Lease Cycles'!$CP$26:$CV$26,1,DJ316))/12)))),'Lease Cycles'!$C$26*INDEX('Lease Cycles'!$CB$26:$CH$26,1,DJ316)*(1+INDEX('Lease Cycles'!$CI$26:$CO$26,1,DJ316))^INT(INT(DJ317/12)/INDEX('Lease Cycles'!$CP$26:$CV$26,1,DJ316))/12),IF(INDEX('Lease Cycles'!$EF$26:$EL$26,1,DJ316)=1,IF(AND('Lease Cycles'!$AZ$26&gt;=INDEX('Lease Cycles'!$BG$26:$BM$26,1,DJ316),'Lease Cycles'!$AZ$26&lt;=DJ$6),'Lease Cycles'!$C$26*'Lease Cycles'!$BA$26/12,IF(AND('Lease Cycles'!$AX$26&gt;=INDEX('Lease Cycles'!$BG$26:$BM$26,1,DJ316),'Lease Cycles'!$AX$26&lt;=DJ$6),'Lease Cycles'!$C$26*'Lease Cycles'!$AY$26/12,IF(AND('Lease Cycles'!$AV$26&gt;=INDEX('Lease Cycles'!$BG$26:$BM$26,1,DJ316),'Lease Cycles'!$AV$26&lt;=DJ$6),'Lease Cycles'!$C$26*'Lease Cycles'!$AW$26/12,IF(AND('Lease Cycles'!$AT$26&gt;=INDEX('Lease Cycles'!$BG$26:$BM$26,1,DJ316),'Lease Cycles'!$AT$26&lt;=DJ$6),'Lease Cycles'!$C$26*'Lease Cycles'!$AU$26/12,'Lease Cycles'!$C$26*INDEX('Lease Cycles'!$CB$26:$CH$26,1,DJ316)*(1+INDEX('Lease Cycles'!$CI$26:$CO$26,1,DJ316))^INT(INT(DJ317/12)/INDEX('Lease Cycles'!$CP$26:$CV$26,1,DJ316))/12)))),'Lease Cycles'!$C$26*INDEX('Lease Cycles'!$CB$26:$CH$26,1,DJ316)*(1+INDEX('Lease Cycles'!$CI$26:$CO$26,1,DJ316))^INT(INT(DJ317/12)/INDEX('Lease Cycles'!$CP$26:$CV$26,1,DJ316))/12))),IF('Lease Cycles'!$N$26=1,'Lease Cycles'!$C$26*'Lease Cycles'!$E$26*INDEX('Lease Cycles'!$HE$26:$HK$26,1,DJ316)*(1+INDEX('Lease Cycles'!$GQ$26:$GW$26,1,DJ316))^INT(INT((DJ$6-INDEX('Lease Cycles'!$GJ$26:$GP$26,1,DJ316))/12)/INDEX('Lease Cycles'!$GX$26:$HD$26,1,DJ316))/12,0)))</f>
        <v>0</v>
      </c>
      <c r="DK319" s="28">
        <f>IF(DK316=0,IF('Lease Cycles'!$F$26&gt;0,'Lease Cycles'!$C$26*'Lease Cycles'!$E$26/12,0),IF(DK318=1,IF('Lease Cycles'!$AT$26&gt;=9999,'Lease Cycles'!$C$26*INDEX('Lease Cycles'!$CB$26:$CH$26,1,DK316)*(1+INDEX('Lease Cycles'!$CI$26:$CO$26,1,DK316))^INT(INT(DK317/12)/INDEX('Lease Cycles'!$CP$26:$CV$26,1,DK316))/12,IF(DK316=1,IF(DK317&gt;=INDEX('Lease Cycles'!$DK$26:$DQ$26,1,DK316),IF(DK$6&gt;='Lease Cycles'!$AZ$26,'Lease Cycles'!$C$26*'Lease Cycles'!$BA$26/12,IF(DK$6&gt;='Lease Cycles'!$AX$26,'Lease Cycles'!$C$26*'Lease Cycles'!$AY$26/12,IF(DK$6&gt;='Lease Cycles'!$AV$26,'Lease Cycles'!$C$26*'Lease Cycles'!$AW$26/12,IF(DK$6&gt;='Lease Cycles'!$AT$26,'Lease Cycles'!$C$26*'Lease Cycles'!$AU$26/12,'Lease Cycles'!$C$26*INDEX('Lease Cycles'!$CB$26:$CH$26,1,DK316)*(1+INDEX('Lease Cycles'!$CI$26:$CO$26,1,DK316))^INT(INT(DK317/12)/INDEX('Lease Cycles'!$CP$26:$CV$26,1,DK316))/12)))),'Lease Cycles'!$C$26*INDEX('Lease Cycles'!$CB$26:$CH$26,1,DK316)*(1+INDEX('Lease Cycles'!$CI$26:$CO$26,1,DK316))^INT(INT(DK317/12)/INDEX('Lease Cycles'!$CP$26:$CV$26,1,DK316))/12),IF(INDEX('Lease Cycles'!$EF$26:$EL$26,1,DK316)=1,IF(AND('Lease Cycles'!$AZ$26&gt;=INDEX('Lease Cycles'!$BG$26:$BM$26,1,DK316),'Lease Cycles'!$AZ$26&lt;=DK$6),'Lease Cycles'!$C$26*'Lease Cycles'!$BA$26/12,IF(AND('Lease Cycles'!$AX$26&gt;=INDEX('Lease Cycles'!$BG$26:$BM$26,1,DK316),'Lease Cycles'!$AX$26&lt;=DK$6),'Lease Cycles'!$C$26*'Lease Cycles'!$AY$26/12,IF(AND('Lease Cycles'!$AV$26&gt;=INDEX('Lease Cycles'!$BG$26:$BM$26,1,DK316),'Lease Cycles'!$AV$26&lt;=DK$6),'Lease Cycles'!$C$26*'Lease Cycles'!$AW$26/12,IF(AND('Lease Cycles'!$AT$26&gt;=INDEX('Lease Cycles'!$BG$26:$BM$26,1,DK316),'Lease Cycles'!$AT$26&lt;=DK$6),'Lease Cycles'!$C$26*'Lease Cycles'!$AU$26/12,'Lease Cycles'!$C$26*INDEX('Lease Cycles'!$CB$26:$CH$26,1,DK316)*(1+INDEX('Lease Cycles'!$CI$26:$CO$26,1,DK316))^INT(INT(DK317/12)/INDEX('Lease Cycles'!$CP$26:$CV$26,1,DK316))/12)))),'Lease Cycles'!$C$26*INDEX('Lease Cycles'!$CB$26:$CH$26,1,DK316)*(1+INDEX('Lease Cycles'!$CI$26:$CO$26,1,DK316))^INT(INT(DK317/12)/INDEX('Lease Cycles'!$CP$26:$CV$26,1,DK316))/12))),IF('Lease Cycles'!$N$26=1,'Lease Cycles'!$C$26*'Lease Cycles'!$E$26*INDEX('Lease Cycles'!$HE$26:$HK$26,1,DK316)*(1+INDEX('Lease Cycles'!$GQ$26:$GW$26,1,DK316))^INT(INT((DK$6-INDEX('Lease Cycles'!$GJ$26:$GP$26,1,DK316))/12)/INDEX('Lease Cycles'!$GX$26:$HD$26,1,DK316))/12,0)))</f>
        <v>0</v>
      </c>
      <c r="DL319" s="28">
        <f>IF(DL316=0,IF('Lease Cycles'!$F$26&gt;0,'Lease Cycles'!$C$26*'Lease Cycles'!$E$26/12,0),IF(DL318=1,IF('Lease Cycles'!$AT$26&gt;=9999,'Lease Cycles'!$C$26*INDEX('Lease Cycles'!$CB$26:$CH$26,1,DL316)*(1+INDEX('Lease Cycles'!$CI$26:$CO$26,1,DL316))^INT(INT(DL317/12)/INDEX('Lease Cycles'!$CP$26:$CV$26,1,DL316))/12,IF(DL316=1,IF(DL317&gt;=INDEX('Lease Cycles'!$DK$26:$DQ$26,1,DL316),IF(DL$6&gt;='Lease Cycles'!$AZ$26,'Lease Cycles'!$C$26*'Lease Cycles'!$BA$26/12,IF(DL$6&gt;='Lease Cycles'!$AX$26,'Lease Cycles'!$C$26*'Lease Cycles'!$AY$26/12,IF(DL$6&gt;='Lease Cycles'!$AV$26,'Lease Cycles'!$C$26*'Lease Cycles'!$AW$26/12,IF(DL$6&gt;='Lease Cycles'!$AT$26,'Lease Cycles'!$C$26*'Lease Cycles'!$AU$26/12,'Lease Cycles'!$C$26*INDEX('Lease Cycles'!$CB$26:$CH$26,1,DL316)*(1+INDEX('Lease Cycles'!$CI$26:$CO$26,1,DL316))^INT(INT(DL317/12)/INDEX('Lease Cycles'!$CP$26:$CV$26,1,DL316))/12)))),'Lease Cycles'!$C$26*INDEX('Lease Cycles'!$CB$26:$CH$26,1,DL316)*(1+INDEX('Lease Cycles'!$CI$26:$CO$26,1,DL316))^INT(INT(DL317/12)/INDEX('Lease Cycles'!$CP$26:$CV$26,1,DL316))/12),IF(INDEX('Lease Cycles'!$EF$26:$EL$26,1,DL316)=1,IF(AND('Lease Cycles'!$AZ$26&gt;=INDEX('Lease Cycles'!$BG$26:$BM$26,1,DL316),'Lease Cycles'!$AZ$26&lt;=DL$6),'Lease Cycles'!$C$26*'Lease Cycles'!$BA$26/12,IF(AND('Lease Cycles'!$AX$26&gt;=INDEX('Lease Cycles'!$BG$26:$BM$26,1,DL316),'Lease Cycles'!$AX$26&lt;=DL$6),'Lease Cycles'!$C$26*'Lease Cycles'!$AY$26/12,IF(AND('Lease Cycles'!$AV$26&gt;=INDEX('Lease Cycles'!$BG$26:$BM$26,1,DL316),'Lease Cycles'!$AV$26&lt;=DL$6),'Lease Cycles'!$C$26*'Lease Cycles'!$AW$26/12,IF(AND('Lease Cycles'!$AT$26&gt;=INDEX('Lease Cycles'!$BG$26:$BM$26,1,DL316),'Lease Cycles'!$AT$26&lt;=DL$6),'Lease Cycles'!$C$26*'Lease Cycles'!$AU$26/12,'Lease Cycles'!$C$26*INDEX('Lease Cycles'!$CB$26:$CH$26,1,DL316)*(1+INDEX('Lease Cycles'!$CI$26:$CO$26,1,DL316))^INT(INT(DL317/12)/INDEX('Lease Cycles'!$CP$26:$CV$26,1,DL316))/12)))),'Lease Cycles'!$C$26*INDEX('Lease Cycles'!$CB$26:$CH$26,1,DL316)*(1+INDEX('Lease Cycles'!$CI$26:$CO$26,1,DL316))^INT(INT(DL317/12)/INDEX('Lease Cycles'!$CP$26:$CV$26,1,DL316))/12))),IF('Lease Cycles'!$N$26=1,'Lease Cycles'!$C$26*'Lease Cycles'!$E$26*INDEX('Lease Cycles'!$HE$26:$HK$26,1,DL316)*(1+INDEX('Lease Cycles'!$GQ$26:$GW$26,1,DL316))^INT(INT((DL$6-INDEX('Lease Cycles'!$GJ$26:$GP$26,1,DL316))/12)/INDEX('Lease Cycles'!$GX$26:$HD$26,1,DL316))/12,0)))</f>
        <v>0</v>
      </c>
      <c r="DM319" s="28">
        <f>IF(DM316=0,IF('Lease Cycles'!$F$26&gt;0,'Lease Cycles'!$C$26*'Lease Cycles'!$E$26/12,0),IF(DM318=1,IF('Lease Cycles'!$AT$26&gt;=9999,'Lease Cycles'!$C$26*INDEX('Lease Cycles'!$CB$26:$CH$26,1,DM316)*(1+INDEX('Lease Cycles'!$CI$26:$CO$26,1,DM316))^INT(INT(DM317/12)/INDEX('Lease Cycles'!$CP$26:$CV$26,1,DM316))/12,IF(DM316=1,IF(DM317&gt;=INDEX('Lease Cycles'!$DK$26:$DQ$26,1,DM316),IF(DM$6&gt;='Lease Cycles'!$AZ$26,'Lease Cycles'!$C$26*'Lease Cycles'!$BA$26/12,IF(DM$6&gt;='Lease Cycles'!$AX$26,'Lease Cycles'!$C$26*'Lease Cycles'!$AY$26/12,IF(DM$6&gt;='Lease Cycles'!$AV$26,'Lease Cycles'!$C$26*'Lease Cycles'!$AW$26/12,IF(DM$6&gt;='Lease Cycles'!$AT$26,'Lease Cycles'!$C$26*'Lease Cycles'!$AU$26/12,'Lease Cycles'!$C$26*INDEX('Lease Cycles'!$CB$26:$CH$26,1,DM316)*(1+INDEX('Lease Cycles'!$CI$26:$CO$26,1,DM316))^INT(INT(DM317/12)/INDEX('Lease Cycles'!$CP$26:$CV$26,1,DM316))/12)))),'Lease Cycles'!$C$26*INDEX('Lease Cycles'!$CB$26:$CH$26,1,DM316)*(1+INDEX('Lease Cycles'!$CI$26:$CO$26,1,DM316))^INT(INT(DM317/12)/INDEX('Lease Cycles'!$CP$26:$CV$26,1,DM316))/12),IF(INDEX('Lease Cycles'!$EF$26:$EL$26,1,DM316)=1,IF(AND('Lease Cycles'!$AZ$26&gt;=INDEX('Lease Cycles'!$BG$26:$BM$26,1,DM316),'Lease Cycles'!$AZ$26&lt;=DM$6),'Lease Cycles'!$C$26*'Lease Cycles'!$BA$26/12,IF(AND('Lease Cycles'!$AX$26&gt;=INDEX('Lease Cycles'!$BG$26:$BM$26,1,DM316),'Lease Cycles'!$AX$26&lt;=DM$6),'Lease Cycles'!$C$26*'Lease Cycles'!$AY$26/12,IF(AND('Lease Cycles'!$AV$26&gt;=INDEX('Lease Cycles'!$BG$26:$BM$26,1,DM316),'Lease Cycles'!$AV$26&lt;=DM$6),'Lease Cycles'!$C$26*'Lease Cycles'!$AW$26/12,IF(AND('Lease Cycles'!$AT$26&gt;=INDEX('Lease Cycles'!$BG$26:$BM$26,1,DM316),'Lease Cycles'!$AT$26&lt;=DM$6),'Lease Cycles'!$C$26*'Lease Cycles'!$AU$26/12,'Lease Cycles'!$C$26*INDEX('Lease Cycles'!$CB$26:$CH$26,1,DM316)*(1+INDEX('Lease Cycles'!$CI$26:$CO$26,1,DM316))^INT(INT(DM317/12)/INDEX('Lease Cycles'!$CP$26:$CV$26,1,DM316))/12)))),'Lease Cycles'!$C$26*INDEX('Lease Cycles'!$CB$26:$CH$26,1,DM316)*(1+INDEX('Lease Cycles'!$CI$26:$CO$26,1,DM316))^INT(INT(DM317/12)/INDEX('Lease Cycles'!$CP$26:$CV$26,1,DM316))/12))),IF('Lease Cycles'!$N$26=1,'Lease Cycles'!$C$26*'Lease Cycles'!$E$26*INDEX('Lease Cycles'!$HE$26:$HK$26,1,DM316)*(1+INDEX('Lease Cycles'!$GQ$26:$GW$26,1,DM316))^INT(INT((DM$6-INDEX('Lease Cycles'!$GJ$26:$GP$26,1,DM316))/12)/INDEX('Lease Cycles'!$GX$26:$HD$26,1,DM316))/12,0)))</f>
        <v>0</v>
      </c>
      <c r="DN319" s="28">
        <f>IF(DN316=0,IF('Lease Cycles'!$F$26&gt;0,'Lease Cycles'!$C$26*'Lease Cycles'!$E$26/12,0),IF(DN318=1,IF('Lease Cycles'!$AT$26&gt;=9999,'Lease Cycles'!$C$26*INDEX('Lease Cycles'!$CB$26:$CH$26,1,DN316)*(1+INDEX('Lease Cycles'!$CI$26:$CO$26,1,DN316))^INT(INT(DN317/12)/INDEX('Lease Cycles'!$CP$26:$CV$26,1,DN316))/12,IF(DN316=1,IF(DN317&gt;=INDEX('Lease Cycles'!$DK$26:$DQ$26,1,DN316),IF(DN$6&gt;='Lease Cycles'!$AZ$26,'Lease Cycles'!$C$26*'Lease Cycles'!$BA$26/12,IF(DN$6&gt;='Lease Cycles'!$AX$26,'Lease Cycles'!$C$26*'Lease Cycles'!$AY$26/12,IF(DN$6&gt;='Lease Cycles'!$AV$26,'Lease Cycles'!$C$26*'Lease Cycles'!$AW$26/12,IF(DN$6&gt;='Lease Cycles'!$AT$26,'Lease Cycles'!$C$26*'Lease Cycles'!$AU$26/12,'Lease Cycles'!$C$26*INDEX('Lease Cycles'!$CB$26:$CH$26,1,DN316)*(1+INDEX('Lease Cycles'!$CI$26:$CO$26,1,DN316))^INT(INT(DN317/12)/INDEX('Lease Cycles'!$CP$26:$CV$26,1,DN316))/12)))),'Lease Cycles'!$C$26*INDEX('Lease Cycles'!$CB$26:$CH$26,1,DN316)*(1+INDEX('Lease Cycles'!$CI$26:$CO$26,1,DN316))^INT(INT(DN317/12)/INDEX('Lease Cycles'!$CP$26:$CV$26,1,DN316))/12),IF(INDEX('Lease Cycles'!$EF$26:$EL$26,1,DN316)=1,IF(AND('Lease Cycles'!$AZ$26&gt;=INDEX('Lease Cycles'!$BG$26:$BM$26,1,DN316),'Lease Cycles'!$AZ$26&lt;=DN$6),'Lease Cycles'!$C$26*'Lease Cycles'!$BA$26/12,IF(AND('Lease Cycles'!$AX$26&gt;=INDEX('Lease Cycles'!$BG$26:$BM$26,1,DN316),'Lease Cycles'!$AX$26&lt;=DN$6),'Lease Cycles'!$C$26*'Lease Cycles'!$AY$26/12,IF(AND('Lease Cycles'!$AV$26&gt;=INDEX('Lease Cycles'!$BG$26:$BM$26,1,DN316),'Lease Cycles'!$AV$26&lt;=DN$6),'Lease Cycles'!$C$26*'Lease Cycles'!$AW$26/12,IF(AND('Lease Cycles'!$AT$26&gt;=INDEX('Lease Cycles'!$BG$26:$BM$26,1,DN316),'Lease Cycles'!$AT$26&lt;=DN$6),'Lease Cycles'!$C$26*'Lease Cycles'!$AU$26/12,'Lease Cycles'!$C$26*INDEX('Lease Cycles'!$CB$26:$CH$26,1,DN316)*(1+INDEX('Lease Cycles'!$CI$26:$CO$26,1,DN316))^INT(INT(DN317/12)/INDEX('Lease Cycles'!$CP$26:$CV$26,1,DN316))/12)))),'Lease Cycles'!$C$26*INDEX('Lease Cycles'!$CB$26:$CH$26,1,DN316)*(1+INDEX('Lease Cycles'!$CI$26:$CO$26,1,DN316))^INT(INT(DN317/12)/INDEX('Lease Cycles'!$CP$26:$CV$26,1,DN316))/12))),IF('Lease Cycles'!$N$26=1,'Lease Cycles'!$C$26*'Lease Cycles'!$E$26*INDEX('Lease Cycles'!$HE$26:$HK$26,1,DN316)*(1+INDEX('Lease Cycles'!$GQ$26:$GW$26,1,DN316))^INT(INT((DN$6-INDEX('Lease Cycles'!$GJ$26:$GP$26,1,DN316))/12)/INDEX('Lease Cycles'!$GX$26:$HD$26,1,DN316))/12,0)))</f>
        <v>0</v>
      </c>
      <c r="DO319" s="28">
        <f>IF(DO316=0,IF('Lease Cycles'!$F$26&gt;0,'Lease Cycles'!$C$26*'Lease Cycles'!$E$26/12,0),IF(DO318=1,IF('Lease Cycles'!$AT$26&gt;=9999,'Lease Cycles'!$C$26*INDEX('Lease Cycles'!$CB$26:$CH$26,1,DO316)*(1+INDEX('Lease Cycles'!$CI$26:$CO$26,1,DO316))^INT(INT(DO317/12)/INDEX('Lease Cycles'!$CP$26:$CV$26,1,DO316))/12,IF(DO316=1,IF(DO317&gt;=INDEX('Lease Cycles'!$DK$26:$DQ$26,1,DO316),IF(DO$6&gt;='Lease Cycles'!$AZ$26,'Lease Cycles'!$C$26*'Lease Cycles'!$BA$26/12,IF(DO$6&gt;='Lease Cycles'!$AX$26,'Lease Cycles'!$C$26*'Lease Cycles'!$AY$26/12,IF(DO$6&gt;='Lease Cycles'!$AV$26,'Lease Cycles'!$C$26*'Lease Cycles'!$AW$26/12,IF(DO$6&gt;='Lease Cycles'!$AT$26,'Lease Cycles'!$C$26*'Lease Cycles'!$AU$26/12,'Lease Cycles'!$C$26*INDEX('Lease Cycles'!$CB$26:$CH$26,1,DO316)*(1+INDEX('Lease Cycles'!$CI$26:$CO$26,1,DO316))^INT(INT(DO317/12)/INDEX('Lease Cycles'!$CP$26:$CV$26,1,DO316))/12)))),'Lease Cycles'!$C$26*INDEX('Lease Cycles'!$CB$26:$CH$26,1,DO316)*(1+INDEX('Lease Cycles'!$CI$26:$CO$26,1,DO316))^INT(INT(DO317/12)/INDEX('Lease Cycles'!$CP$26:$CV$26,1,DO316))/12),IF(INDEX('Lease Cycles'!$EF$26:$EL$26,1,DO316)=1,IF(AND('Lease Cycles'!$AZ$26&gt;=INDEX('Lease Cycles'!$BG$26:$BM$26,1,DO316),'Lease Cycles'!$AZ$26&lt;=DO$6),'Lease Cycles'!$C$26*'Lease Cycles'!$BA$26/12,IF(AND('Lease Cycles'!$AX$26&gt;=INDEX('Lease Cycles'!$BG$26:$BM$26,1,DO316),'Lease Cycles'!$AX$26&lt;=DO$6),'Lease Cycles'!$C$26*'Lease Cycles'!$AY$26/12,IF(AND('Lease Cycles'!$AV$26&gt;=INDEX('Lease Cycles'!$BG$26:$BM$26,1,DO316),'Lease Cycles'!$AV$26&lt;=DO$6),'Lease Cycles'!$C$26*'Lease Cycles'!$AW$26/12,IF(AND('Lease Cycles'!$AT$26&gt;=INDEX('Lease Cycles'!$BG$26:$BM$26,1,DO316),'Lease Cycles'!$AT$26&lt;=DO$6),'Lease Cycles'!$C$26*'Lease Cycles'!$AU$26/12,'Lease Cycles'!$C$26*INDEX('Lease Cycles'!$CB$26:$CH$26,1,DO316)*(1+INDEX('Lease Cycles'!$CI$26:$CO$26,1,DO316))^INT(INT(DO317/12)/INDEX('Lease Cycles'!$CP$26:$CV$26,1,DO316))/12)))),'Lease Cycles'!$C$26*INDEX('Lease Cycles'!$CB$26:$CH$26,1,DO316)*(1+INDEX('Lease Cycles'!$CI$26:$CO$26,1,DO316))^INT(INT(DO317/12)/INDEX('Lease Cycles'!$CP$26:$CV$26,1,DO316))/12))),IF('Lease Cycles'!$N$26=1,'Lease Cycles'!$C$26*'Lease Cycles'!$E$26*INDEX('Lease Cycles'!$HE$26:$HK$26,1,DO316)*(1+INDEX('Lease Cycles'!$GQ$26:$GW$26,1,DO316))^INT(INT((DO$6-INDEX('Lease Cycles'!$GJ$26:$GP$26,1,DO316))/12)/INDEX('Lease Cycles'!$GX$26:$HD$26,1,DO316))/12,0)))</f>
        <v>0</v>
      </c>
      <c r="DP319" s="28">
        <f>IF(DP316=0,IF('Lease Cycles'!$F$26&gt;0,'Lease Cycles'!$C$26*'Lease Cycles'!$E$26/12,0),IF(DP318=1,IF('Lease Cycles'!$AT$26&gt;=9999,'Lease Cycles'!$C$26*INDEX('Lease Cycles'!$CB$26:$CH$26,1,DP316)*(1+INDEX('Lease Cycles'!$CI$26:$CO$26,1,DP316))^INT(INT(DP317/12)/INDEX('Lease Cycles'!$CP$26:$CV$26,1,DP316))/12,IF(DP316=1,IF(DP317&gt;=INDEX('Lease Cycles'!$DK$26:$DQ$26,1,DP316),IF(DP$6&gt;='Lease Cycles'!$AZ$26,'Lease Cycles'!$C$26*'Lease Cycles'!$BA$26/12,IF(DP$6&gt;='Lease Cycles'!$AX$26,'Lease Cycles'!$C$26*'Lease Cycles'!$AY$26/12,IF(DP$6&gt;='Lease Cycles'!$AV$26,'Lease Cycles'!$C$26*'Lease Cycles'!$AW$26/12,IF(DP$6&gt;='Lease Cycles'!$AT$26,'Lease Cycles'!$C$26*'Lease Cycles'!$AU$26/12,'Lease Cycles'!$C$26*INDEX('Lease Cycles'!$CB$26:$CH$26,1,DP316)*(1+INDEX('Lease Cycles'!$CI$26:$CO$26,1,DP316))^INT(INT(DP317/12)/INDEX('Lease Cycles'!$CP$26:$CV$26,1,DP316))/12)))),'Lease Cycles'!$C$26*INDEX('Lease Cycles'!$CB$26:$CH$26,1,DP316)*(1+INDEX('Lease Cycles'!$CI$26:$CO$26,1,DP316))^INT(INT(DP317/12)/INDEX('Lease Cycles'!$CP$26:$CV$26,1,DP316))/12),IF(INDEX('Lease Cycles'!$EF$26:$EL$26,1,DP316)=1,IF(AND('Lease Cycles'!$AZ$26&gt;=INDEX('Lease Cycles'!$BG$26:$BM$26,1,DP316),'Lease Cycles'!$AZ$26&lt;=DP$6),'Lease Cycles'!$C$26*'Lease Cycles'!$BA$26/12,IF(AND('Lease Cycles'!$AX$26&gt;=INDEX('Lease Cycles'!$BG$26:$BM$26,1,DP316),'Lease Cycles'!$AX$26&lt;=DP$6),'Lease Cycles'!$C$26*'Lease Cycles'!$AY$26/12,IF(AND('Lease Cycles'!$AV$26&gt;=INDEX('Lease Cycles'!$BG$26:$BM$26,1,DP316),'Lease Cycles'!$AV$26&lt;=DP$6),'Lease Cycles'!$C$26*'Lease Cycles'!$AW$26/12,IF(AND('Lease Cycles'!$AT$26&gt;=INDEX('Lease Cycles'!$BG$26:$BM$26,1,DP316),'Lease Cycles'!$AT$26&lt;=DP$6),'Lease Cycles'!$C$26*'Lease Cycles'!$AU$26/12,'Lease Cycles'!$C$26*INDEX('Lease Cycles'!$CB$26:$CH$26,1,DP316)*(1+INDEX('Lease Cycles'!$CI$26:$CO$26,1,DP316))^INT(INT(DP317/12)/INDEX('Lease Cycles'!$CP$26:$CV$26,1,DP316))/12)))),'Lease Cycles'!$C$26*INDEX('Lease Cycles'!$CB$26:$CH$26,1,DP316)*(1+INDEX('Lease Cycles'!$CI$26:$CO$26,1,DP316))^INT(INT(DP317/12)/INDEX('Lease Cycles'!$CP$26:$CV$26,1,DP316))/12))),IF('Lease Cycles'!$N$26=1,'Lease Cycles'!$C$26*'Lease Cycles'!$E$26*INDEX('Lease Cycles'!$HE$26:$HK$26,1,DP316)*(1+INDEX('Lease Cycles'!$GQ$26:$GW$26,1,DP316))^INT(INT((DP$6-INDEX('Lease Cycles'!$GJ$26:$GP$26,1,DP316))/12)/INDEX('Lease Cycles'!$GX$26:$HD$26,1,DP316))/12,0)))</f>
        <v>0</v>
      </c>
      <c r="DQ319" s="28">
        <f>IF(DQ316=0,IF('Lease Cycles'!$F$26&gt;0,'Lease Cycles'!$C$26*'Lease Cycles'!$E$26/12,0),IF(DQ318=1,IF('Lease Cycles'!$AT$26&gt;=9999,'Lease Cycles'!$C$26*INDEX('Lease Cycles'!$CB$26:$CH$26,1,DQ316)*(1+INDEX('Lease Cycles'!$CI$26:$CO$26,1,DQ316))^INT(INT(DQ317/12)/INDEX('Lease Cycles'!$CP$26:$CV$26,1,DQ316))/12,IF(DQ316=1,IF(DQ317&gt;=INDEX('Lease Cycles'!$DK$26:$DQ$26,1,DQ316),IF(DQ$6&gt;='Lease Cycles'!$AZ$26,'Lease Cycles'!$C$26*'Lease Cycles'!$BA$26/12,IF(DQ$6&gt;='Lease Cycles'!$AX$26,'Lease Cycles'!$C$26*'Lease Cycles'!$AY$26/12,IF(DQ$6&gt;='Lease Cycles'!$AV$26,'Lease Cycles'!$C$26*'Lease Cycles'!$AW$26/12,IF(DQ$6&gt;='Lease Cycles'!$AT$26,'Lease Cycles'!$C$26*'Lease Cycles'!$AU$26/12,'Lease Cycles'!$C$26*INDEX('Lease Cycles'!$CB$26:$CH$26,1,DQ316)*(1+INDEX('Lease Cycles'!$CI$26:$CO$26,1,DQ316))^INT(INT(DQ317/12)/INDEX('Lease Cycles'!$CP$26:$CV$26,1,DQ316))/12)))),'Lease Cycles'!$C$26*INDEX('Lease Cycles'!$CB$26:$CH$26,1,DQ316)*(1+INDEX('Lease Cycles'!$CI$26:$CO$26,1,DQ316))^INT(INT(DQ317/12)/INDEX('Lease Cycles'!$CP$26:$CV$26,1,DQ316))/12),IF(INDEX('Lease Cycles'!$EF$26:$EL$26,1,DQ316)=1,IF(AND('Lease Cycles'!$AZ$26&gt;=INDEX('Lease Cycles'!$BG$26:$BM$26,1,DQ316),'Lease Cycles'!$AZ$26&lt;=DQ$6),'Lease Cycles'!$C$26*'Lease Cycles'!$BA$26/12,IF(AND('Lease Cycles'!$AX$26&gt;=INDEX('Lease Cycles'!$BG$26:$BM$26,1,DQ316),'Lease Cycles'!$AX$26&lt;=DQ$6),'Lease Cycles'!$C$26*'Lease Cycles'!$AY$26/12,IF(AND('Lease Cycles'!$AV$26&gt;=INDEX('Lease Cycles'!$BG$26:$BM$26,1,DQ316),'Lease Cycles'!$AV$26&lt;=DQ$6),'Lease Cycles'!$C$26*'Lease Cycles'!$AW$26/12,IF(AND('Lease Cycles'!$AT$26&gt;=INDEX('Lease Cycles'!$BG$26:$BM$26,1,DQ316),'Lease Cycles'!$AT$26&lt;=DQ$6),'Lease Cycles'!$C$26*'Lease Cycles'!$AU$26/12,'Lease Cycles'!$C$26*INDEX('Lease Cycles'!$CB$26:$CH$26,1,DQ316)*(1+INDEX('Lease Cycles'!$CI$26:$CO$26,1,DQ316))^INT(INT(DQ317/12)/INDEX('Lease Cycles'!$CP$26:$CV$26,1,DQ316))/12)))),'Lease Cycles'!$C$26*INDEX('Lease Cycles'!$CB$26:$CH$26,1,DQ316)*(1+INDEX('Lease Cycles'!$CI$26:$CO$26,1,DQ316))^INT(INT(DQ317/12)/INDEX('Lease Cycles'!$CP$26:$CV$26,1,DQ316))/12))),IF('Lease Cycles'!$N$26=1,'Lease Cycles'!$C$26*'Lease Cycles'!$E$26*INDEX('Lease Cycles'!$HE$26:$HK$26,1,DQ316)*(1+INDEX('Lease Cycles'!$GQ$26:$GW$26,1,DQ316))^INT(INT((DQ$6-INDEX('Lease Cycles'!$GJ$26:$GP$26,1,DQ316))/12)/INDEX('Lease Cycles'!$GX$26:$HD$26,1,DQ316))/12,0)))</f>
        <v>0</v>
      </c>
      <c r="DR319" s="28">
        <f>IF(DR316=0,IF('Lease Cycles'!$F$26&gt;0,'Lease Cycles'!$C$26*'Lease Cycles'!$E$26/12,0),IF(DR318=1,IF('Lease Cycles'!$AT$26&gt;=9999,'Lease Cycles'!$C$26*INDEX('Lease Cycles'!$CB$26:$CH$26,1,DR316)*(1+INDEX('Lease Cycles'!$CI$26:$CO$26,1,DR316))^INT(INT(DR317/12)/INDEX('Lease Cycles'!$CP$26:$CV$26,1,DR316))/12,IF(DR316=1,IF(DR317&gt;=INDEX('Lease Cycles'!$DK$26:$DQ$26,1,DR316),IF(DR$6&gt;='Lease Cycles'!$AZ$26,'Lease Cycles'!$C$26*'Lease Cycles'!$BA$26/12,IF(DR$6&gt;='Lease Cycles'!$AX$26,'Lease Cycles'!$C$26*'Lease Cycles'!$AY$26/12,IF(DR$6&gt;='Lease Cycles'!$AV$26,'Lease Cycles'!$C$26*'Lease Cycles'!$AW$26/12,IF(DR$6&gt;='Lease Cycles'!$AT$26,'Lease Cycles'!$C$26*'Lease Cycles'!$AU$26/12,'Lease Cycles'!$C$26*INDEX('Lease Cycles'!$CB$26:$CH$26,1,DR316)*(1+INDEX('Lease Cycles'!$CI$26:$CO$26,1,DR316))^INT(INT(DR317/12)/INDEX('Lease Cycles'!$CP$26:$CV$26,1,DR316))/12)))),'Lease Cycles'!$C$26*INDEX('Lease Cycles'!$CB$26:$CH$26,1,DR316)*(1+INDEX('Lease Cycles'!$CI$26:$CO$26,1,DR316))^INT(INT(DR317/12)/INDEX('Lease Cycles'!$CP$26:$CV$26,1,DR316))/12),IF(INDEX('Lease Cycles'!$EF$26:$EL$26,1,DR316)=1,IF(AND('Lease Cycles'!$AZ$26&gt;=INDEX('Lease Cycles'!$BG$26:$BM$26,1,DR316),'Lease Cycles'!$AZ$26&lt;=DR$6),'Lease Cycles'!$C$26*'Lease Cycles'!$BA$26/12,IF(AND('Lease Cycles'!$AX$26&gt;=INDEX('Lease Cycles'!$BG$26:$BM$26,1,DR316),'Lease Cycles'!$AX$26&lt;=DR$6),'Lease Cycles'!$C$26*'Lease Cycles'!$AY$26/12,IF(AND('Lease Cycles'!$AV$26&gt;=INDEX('Lease Cycles'!$BG$26:$BM$26,1,DR316),'Lease Cycles'!$AV$26&lt;=DR$6),'Lease Cycles'!$C$26*'Lease Cycles'!$AW$26/12,IF(AND('Lease Cycles'!$AT$26&gt;=INDEX('Lease Cycles'!$BG$26:$BM$26,1,DR316),'Lease Cycles'!$AT$26&lt;=DR$6),'Lease Cycles'!$C$26*'Lease Cycles'!$AU$26/12,'Lease Cycles'!$C$26*INDEX('Lease Cycles'!$CB$26:$CH$26,1,DR316)*(1+INDEX('Lease Cycles'!$CI$26:$CO$26,1,DR316))^INT(INT(DR317/12)/INDEX('Lease Cycles'!$CP$26:$CV$26,1,DR316))/12)))),'Lease Cycles'!$C$26*INDEX('Lease Cycles'!$CB$26:$CH$26,1,DR316)*(1+INDEX('Lease Cycles'!$CI$26:$CO$26,1,DR316))^INT(INT(DR317/12)/INDEX('Lease Cycles'!$CP$26:$CV$26,1,DR316))/12))),IF('Lease Cycles'!$N$26=1,'Lease Cycles'!$C$26*'Lease Cycles'!$E$26*INDEX('Lease Cycles'!$HE$26:$HK$26,1,DR316)*(1+INDEX('Lease Cycles'!$GQ$26:$GW$26,1,DR316))^INT(INT((DR$6-INDEX('Lease Cycles'!$GJ$26:$GP$26,1,DR316))/12)/INDEX('Lease Cycles'!$GX$26:$HD$26,1,DR316))/12,0)))</f>
        <v>0</v>
      </c>
      <c r="DS319" s="28">
        <f>IF(DS316=0,IF('Lease Cycles'!$F$26&gt;0,'Lease Cycles'!$C$26*'Lease Cycles'!$E$26/12,0),IF(DS318=1,IF('Lease Cycles'!$AT$26&gt;=9999,'Lease Cycles'!$C$26*INDEX('Lease Cycles'!$CB$26:$CH$26,1,DS316)*(1+INDEX('Lease Cycles'!$CI$26:$CO$26,1,DS316))^INT(INT(DS317/12)/INDEX('Lease Cycles'!$CP$26:$CV$26,1,DS316))/12,IF(DS316=1,IF(DS317&gt;=INDEX('Lease Cycles'!$DK$26:$DQ$26,1,DS316),IF(DS$6&gt;='Lease Cycles'!$AZ$26,'Lease Cycles'!$C$26*'Lease Cycles'!$BA$26/12,IF(DS$6&gt;='Lease Cycles'!$AX$26,'Lease Cycles'!$C$26*'Lease Cycles'!$AY$26/12,IF(DS$6&gt;='Lease Cycles'!$AV$26,'Lease Cycles'!$C$26*'Lease Cycles'!$AW$26/12,IF(DS$6&gt;='Lease Cycles'!$AT$26,'Lease Cycles'!$C$26*'Lease Cycles'!$AU$26/12,'Lease Cycles'!$C$26*INDEX('Lease Cycles'!$CB$26:$CH$26,1,DS316)*(1+INDEX('Lease Cycles'!$CI$26:$CO$26,1,DS316))^INT(INT(DS317/12)/INDEX('Lease Cycles'!$CP$26:$CV$26,1,DS316))/12)))),'Lease Cycles'!$C$26*INDEX('Lease Cycles'!$CB$26:$CH$26,1,DS316)*(1+INDEX('Lease Cycles'!$CI$26:$CO$26,1,DS316))^INT(INT(DS317/12)/INDEX('Lease Cycles'!$CP$26:$CV$26,1,DS316))/12),IF(INDEX('Lease Cycles'!$EF$26:$EL$26,1,DS316)=1,IF(AND('Lease Cycles'!$AZ$26&gt;=INDEX('Lease Cycles'!$BG$26:$BM$26,1,DS316),'Lease Cycles'!$AZ$26&lt;=DS$6),'Lease Cycles'!$C$26*'Lease Cycles'!$BA$26/12,IF(AND('Lease Cycles'!$AX$26&gt;=INDEX('Lease Cycles'!$BG$26:$BM$26,1,DS316),'Lease Cycles'!$AX$26&lt;=DS$6),'Lease Cycles'!$C$26*'Lease Cycles'!$AY$26/12,IF(AND('Lease Cycles'!$AV$26&gt;=INDEX('Lease Cycles'!$BG$26:$BM$26,1,DS316),'Lease Cycles'!$AV$26&lt;=DS$6),'Lease Cycles'!$C$26*'Lease Cycles'!$AW$26/12,IF(AND('Lease Cycles'!$AT$26&gt;=INDEX('Lease Cycles'!$BG$26:$BM$26,1,DS316),'Lease Cycles'!$AT$26&lt;=DS$6),'Lease Cycles'!$C$26*'Lease Cycles'!$AU$26/12,'Lease Cycles'!$C$26*INDEX('Lease Cycles'!$CB$26:$CH$26,1,DS316)*(1+INDEX('Lease Cycles'!$CI$26:$CO$26,1,DS316))^INT(INT(DS317/12)/INDEX('Lease Cycles'!$CP$26:$CV$26,1,DS316))/12)))),'Lease Cycles'!$C$26*INDEX('Lease Cycles'!$CB$26:$CH$26,1,DS316)*(1+INDEX('Lease Cycles'!$CI$26:$CO$26,1,DS316))^INT(INT(DS317/12)/INDEX('Lease Cycles'!$CP$26:$CV$26,1,DS316))/12))),IF('Lease Cycles'!$N$26=1,'Lease Cycles'!$C$26*'Lease Cycles'!$E$26*INDEX('Lease Cycles'!$HE$26:$HK$26,1,DS316)*(1+INDEX('Lease Cycles'!$GQ$26:$GW$26,1,DS316))^INT(INT((DS$6-INDEX('Lease Cycles'!$GJ$26:$GP$26,1,DS316))/12)/INDEX('Lease Cycles'!$GX$26:$HD$26,1,DS316))/12,0)))</f>
        <v>0</v>
      </c>
      <c r="DT319" s="28">
        <f>IF(DT316=0,IF('Lease Cycles'!$F$26&gt;0,'Lease Cycles'!$C$26*'Lease Cycles'!$E$26/12,0),IF(DT318=1,IF('Lease Cycles'!$AT$26&gt;=9999,'Lease Cycles'!$C$26*INDEX('Lease Cycles'!$CB$26:$CH$26,1,DT316)*(1+INDEX('Lease Cycles'!$CI$26:$CO$26,1,DT316))^INT(INT(DT317/12)/INDEX('Lease Cycles'!$CP$26:$CV$26,1,DT316))/12,IF(DT316=1,IF(DT317&gt;=INDEX('Lease Cycles'!$DK$26:$DQ$26,1,DT316),IF(DT$6&gt;='Lease Cycles'!$AZ$26,'Lease Cycles'!$C$26*'Lease Cycles'!$BA$26/12,IF(DT$6&gt;='Lease Cycles'!$AX$26,'Lease Cycles'!$C$26*'Lease Cycles'!$AY$26/12,IF(DT$6&gt;='Lease Cycles'!$AV$26,'Lease Cycles'!$C$26*'Lease Cycles'!$AW$26/12,IF(DT$6&gt;='Lease Cycles'!$AT$26,'Lease Cycles'!$C$26*'Lease Cycles'!$AU$26/12,'Lease Cycles'!$C$26*INDEX('Lease Cycles'!$CB$26:$CH$26,1,DT316)*(1+INDEX('Lease Cycles'!$CI$26:$CO$26,1,DT316))^INT(INT(DT317/12)/INDEX('Lease Cycles'!$CP$26:$CV$26,1,DT316))/12)))),'Lease Cycles'!$C$26*INDEX('Lease Cycles'!$CB$26:$CH$26,1,DT316)*(1+INDEX('Lease Cycles'!$CI$26:$CO$26,1,DT316))^INT(INT(DT317/12)/INDEX('Lease Cycles'!$CP$26:$CV$26,1,DT316))/12),IF(INDEX('Lease Cycles'!$EF$26:$EL$26,1,DT316)=1,IF(AND('Lease Cycles'!$AZ$26&gt;=INDEX('Lease Cycles'!$BG$26:$BM$26,1,DT316),'Lease Cycles'!$AZ$26&lt;=DT$6),'Lease Cycles'!$C$26*'Lease Cycles'!$BA$26/12,IF(AND('Lease Cycles'!$AX$26&gt;=INDEX('Lease Cycles'!$BG$26:$BM$26,1,DT316),'Lease Cycles'!$AX$26&lt;=DT$6),'Lease Cycles'!$C$26*'Lease Cycles'!$AY$26/12,IF(AND('Lease Cycles'!$AV$26&gt;=INDEX('Lease Cycles'!$BG$26:$BM$26,1,DT316),'Lease Cycles'!$AV$26&lt;=DT$6),'Lease Cycles'!$C$26*'Lease Cycles'!$AW$26/12,IF(AND('Lease Cycles'!$AT$26&gt;=INDEX('Lease Cycles'!$BG$26:$BM$26,1,DT316),'Lease Cycles'!$AT$26&lt;=DT$6),'Lease Cycles'!$C$26*'Lease Cycles'!$AU$26/12,'Lease Cycles'!$C$26*INDEX('Lease Cycles'!$CB$26:$CH$26,1,DT316)*(1+INDEX('Lease Cycles'!$CI$26:$CO$26,1,DT316))^INT(INT(DT317/12)/INDEX('Lease Cycles'!$CP$26:$CV$26,1,DT316))/12)))),'Lease Cycles'!$C$26*INDEX('Lease Cycles'!$CB$26:$CH$26,1,DT316)*(1+INDEX('Lease Cycles'!$CI$26:$CO$26,1,DT316))^INT(INT(DT317/12)/INDEX('Lease Cycles'!$CP$26:$CV$26,1,DT316))/12))),IF('Lease Cycles'!$N$26=1,'Lease Cycles'!$C$26*'Lease Cycles'!$E$26*INDEX('Lease Cycles'!$HE$26:$HK$26,1,DT316)*(1+INDEX('Lease Cycles'!$GQ$26:$GW$26,1,DT316))^INT(INT((DT$6-INDEX('Lease Cycles'!$GJ$26:$GP$26,1,DT316))/12)/INDEX('Lease Cycles'!$GX$26:$HD$26,1,DT316))/12,0)))</f>
        <v>0</v>
      </c>
      <c r="DU319" s="28">
        <f>IF(DU316=0,IF('Lease Cycles'!$F$26&gt;0,'Lease Cycles'!$C$26*'Lease Cycles'!$E$26/12,0),IF(DU318=1,IF('Lease Cycles'!$AT$26&gt;=9999,'Lease Cycles'!$C$26*INDEX('Lease Cycles'!$CB$26:$CH$26,1,DU316)*(1+INDEX('Lease Cycles'!$CI$26:$CO$26,1,DU316))^INT(INT(DU317/12)/INDEX('Lease Cycles'!$CP$26:$CV$26,1,DU316))/12,IF(DU316=1,IF(DU317&gt;=INDEX('Lease Cycles'!$DK$26:$DQ$26,1,DU316),IF(DU$6&gt;='Lease Cycles'!$AZ$26,'Lease Cycles'!$C$26*'Lease Cycles'!$BA$26/12,IF(DU$6&gt;='Lease Cycles'!$AX$26,'Lease Cycles'!$C$26*'Lease Cycles'!$AY$26/12,IF(DU$6&gt;='Lease Cycles'!$AV$26,'Lease Cycles'!$C$26*'Lease Cycles'!$AW$26/12,IF(DU$6&gt;='Lease Cycles'!$AT$26,'Lease Cycles'!$C$26*'Lease Cycles'!$AU$26/12,'Lease Cycles'!$C$26*INDEX('Lease Cycles'!$CB$26:$CH$26,1,DU316)*(1+INDEX('Lease Cycles'!$CI$26:$CO$26,1,DU316))^INT(INT(DU317/12)/INDEX('Lease Cycles'!$CP$26:$CV$26,1,DU316))/12)))),'Lease Cycles'!$C$26*INDEX('Lease Cycles'!$CB$26:$CH$26,1,DU316)*(1+INDEX('Lease Cycles'!$CI$26:$CO$26,1,DU316))^INT(INT(DU317/12)/INDEX('Lease Cycles'!$CP$26:$CV$26,1,DU316))/12),IF(INDEX('Lease Cycles'!$EF$26:$EL$26,1,DU316)=1,IF(AND('Lease Cycles'!$AZ$26&gt;=INDEX('Lease Cycles'!$BG$26:$BM$26,1,DU316),'Lease Cycles'!$AZ$26&lt;=DU$6),'Lease Cycles'!$C$26*'Lease Cycles'!$BA$26/12,IF(AND('Lease Cycles'!$AX$26&gt;=INDEX('Lease Cycles'!$BG$26:$BM$26,1,DU316),'Lease Cycles'!$AX$26&lt;=DU$6),'Lease Cycles'!$C$26*'Lease Cycles'!$AY$26/12,IF(AND('Lease Cycles'!$AV$26&gt;=INDEX('Lease Cycles'!$BG$26:$BM$26,1,DU316),'Lease Cycles'!$AV$26&lt;=DU$6),'Lease Cycles'!$C$26*'Lease Cycles'!$AW$26/12,IF(AND('Lease Cycles'!$AT$26&gt;=INDEX('Lease Cycles'!$BG$26:$BM$26,1,DU316),'Lease Cycles'!$AT$26&lt;=DU$6),'Lease Cycles'!$C$26*'Lease Cycles'!$AU$26/12,'Lease Cycles'!$C$26*INDEX('Lease Cycles'!$CB$26:$CH$26,1,DU316)*(1+INDEX('Lease Cycles'!$CI$26:$CO$26,1,DU316))^INT(INT(DU317/12)/INDEX('Lease Cycles'!$CP$26:$CV$26,1,DU316))/12)))),'Lease Cycles'!$C$26*INDEX('Lease Cycles'!$CB$26:$CH$26,1,DU316)*(1+INDEX('Lease Cycles'!$CI$26:$CO$26,1,DU316))^INT(INT(DU317/12)/INDEX('Lease Cycles'!$CP$26:$CV$26,1,DU316))/12))),IF('Lease Cycles'!$N$26=1,'Lease Cycles'!$C$26*'Lease Cycles'!$E$26*INDEX('Lease Cycles'!$HE$26:$HK$26,1,DU316)*(1+INDEX('Lease Cycles'!$GQ$26:$GW$26,1,DU316))^INT(INT((DU$6-INDEX('Lease Cycles'!$GJ$26:$GP$26,1,DU316))/12)/INDEX('Lease Cycles'!$GX$26:$HD$26,1,DU316))/12,0)))</f>
        <v>0</v>
      </c>
      <c r="DV319" s="28">
        <f>IF(DV316=0,IF('Lease Cycles'!$F$26&gt;0,'Lease Cycles'!$C$26*'Lease Cycles'!$E$26/12,0),IF(DV318=1,IF('Lease Cycles'!$AT$26&gt;=9999,'Lease Cycles'!$C$26*INDEX('Lease Cycles'!$CB$26:$CH$26,1,DV316)*(1+INDEX('Lease Cycles'!$CI$26:$CO$26,1,DV316))^INT(INT(DV317/12)/INDEX('Lease Cycles'!$CP$26:$CV$26,1,DV316))/12,IF(DV316=1,IF(DV317&gt;=INDEX('Lease Cycles'!$DK$26:$DQ$26,1,DV316),IF(DV$6&gt;='Lease Cycles'!$AZ$26,'Lease Cycles'!$C$26*'Lease Cycles'!$BA$26/12,IF(DV$6&gt;='Lease Cycles'!$AX$26,'Lease Cycles'!$C$26*'Lease Cycles'!$AY$26/12,IF(DV$6&gt;='Lease Cycles'!$AV$26,'Lease Cycles'!$C$26*'Lease Cycles'!$AW$26/12,IF(DV$6&gt;='Lease Cycles'!$AT$26,'Lease Cycles'!$C$26*'Lease Cycles'!$AU$26/12,'Lease Cycles'!$C$26*INDEX('Lease Cycles'!$CB$26:$CH$26,1,DV316)*(1+INDEX('Lease Cycles'!$CI$26:$CO$26,1,DV316))^INT(INT(DV317/12)/INDEX('Lease Cycles'!$CP$26:$CV$26,1,DV316))/12)))),'Lease Cycles'!$C$26*INDEX('Lease Cycles'!$CB$26:$CH$26,1,DV316)*(1+INDEX('Lease Cycles'!$CI$26:$CO$26,1,DV316))^INT(INT(DV317/12)/INDEX('Lease Cycles'!$CP$26:$CV$26,1,DV316))/12),IF(INDEX('Lease Cycles'!$EF$26:$EL$26,1,DV316)=1,IF(AND('Lease Cycles'!$AZ$26&gt;=INDEX('Lease Cycles'!$BG$26:$BM$26,1,DV316),'Lease Cycles'!$AZ$26&lt;=DV$6),'Lease Cycles'!$C$26*'Lease Cycles'!$BA$26/12,IF(AND('Lease Cycles'!$AX$26&gt;=INDEX('Lease Cycles'!$BG$26:$BM$26,1,DV316),'Lease Cycles'!$AX$26&lt;=DV$6),'Lease Cycles'!$C$26*'Lease Cycles'!$AY$26/12,IF(AND('Lease Cycles'!$AV$26&gt;=INDEX('Lease Cycles'!$BG$26:$BM$26,1,DV316),'Lease Cycles'!$AV$26&lt;=DV$6),'Lease Cycles'!$C$26*'Lease Cycles'!$AW$26/12,IF(AND('Lease Cycles'!$AT$26&gt;=INDEX('Lease Cycles'!$BG$26:$BM$26,1,DV316),'Lease Cycles'!$AT$26&lt;=DV$6),'Lease Cycles'!$C$26*'Lease Cycles'!$AU$26/12,'Lease Cycles'!$C$26*INDEX('Lease Cycles'!$CB$26:$CH$26,1,DV316)*(1+INDEX('Lease Cycles'!$CI$26:$CO$26,1,DV316))^INT(INT(DV317/12)/INDEX('Lease Cycles'!$CP$26:$CV$26,1,DV316))/12)))),'Lease Cycles'!$C$26*INDEX('Lease Cycles'!$CB$26:$CH$26,1,DV316)*(1+INDEX('Lease Cycles'!$CI$26:$CO$26,1,DV316))^INT(INT(DV317/12)/INDEX('Lease Cycles'!$CP$26:$CV$26,1,DV316))/12))),IF('Lease Cycles'!$N$26=1,'Lease Cycles'!$C$26*'Lease Cycles'!$E$26*INDEX('Lease Cycles'!$HE$26:$HK$26,1,DV316)*(1+INDEX('Lease Cycles'!$GQ$26:$GW$26,1,DV316))^INT(INT((DV$6-INDEX('Lease Cycles'!$GJ$26:$GP$26,1,DV316))/12)/INDEX('Lease Cycles'!$GX$26:$HD$26,1,DV316))/12,0)))</f>
        <v>0</v>
      </c>
      <c r="DW319" s="28">
        <f>IF(DW316=0,IF('Lease Cycles'!$F$26&gt;0,'Lease Cycles'!$C$26*'Lease Cycles'!$E$26/12,0),IF(DW318=1,IF('Lease Cycles'!$AT$26&gt;=9999,'Lease Cycles'!$C$26*INDEX('Lease Cycles'!$CB$26:$CH$26,1,DW316)*(1+INDEX('Lease Cycles'!$CI$26:$CO$26,1,DW316))^INT(INT(DW317/12)/INDEX('Lease Cycles'!$CP$26:$CV$26,1,DW316))/12,IF(DW316=1,IF(DW317&gt;=INDEX('Lease Cycles'!$DK$26:$DQ$26,1,DW316),IF(DW$6&gt;='Lease Cycles'!$AZ$26,'Lease Cycles'!$C$26*'Lease Cycles'!$BA$26/12,IF(DW$6&gt;='Lease Cycles'!$AX$26,'Lease Cycles'!$C$26*'Lease Cycles'!$AY$26/12,IF(DW$6&gt;='Lease Cycles'!$AV$26,'Lease Cycles'!$C$26*'Lease Cycles'!$AW$26/12,IF(DW$6&gt;='Lease Cycles'!$AT$26,'Lease Cycles'!$C$26*'Lease Cycles'!$AU$26/12,'Lease Cycles'!$C$26*INDEX('Lease Cycles'!$CB$26:$CH$26,1,DW316)*(1+INDEX('Lease Cycles'!$CI$26:$CO$26,1,DW316))^INT(INT(DW317/12)/INDEX('Lease Cycles'!$CP$26:$CV$26,1,DW316))/12)))),'Lease Cycles'!$C$26*INDEX('Lease Cycles'!$CB$26:$CH$26,1,DW316)*(1+INDEX('Lease Cycles'!$CI$26:$CO$26,1,DW316))^INT(INT(DW317/12)/INDEX('Lease Cycles'!$CP$26:$CV$26,1,DW316))/12),IF(INDEX('Lease Cycles'!$EF$26:$EL$26,1,DW316)=1,IF(AND('Lease Cycles'!$AZ$26&gt;=INDEX('Lease Cycles'!$BG$26:$BM$26,1,DW316),'Lease Cycles'!$AZ$26&lt;=DW$6),'Lease Cycles'!$C$26*'Lease Cycles'!$BA$26/12,IF(AND('Lease Cycles'!$AX$26&gt;=INDEX('Lease Cycles'!$BG$26:$BM$26,1,DW316),'Lease Cycles'!$AX$26&lt;=DW$6),'Lease Cycles'!$C$26*'Lease Cycles'!$AY$26/12,IF(AND('Lease Cycles'!$AV$26&gt;=INDEX('Lease Cycles'!$BG$26:$BM$26,1,DW316),'Lease Cycles'!$AV$26&lt;=DW$6),'Lease Cycles'!$C$26*'Lease Cycles'!$AW$26/12,IF(AND('Lease Cycles'!$AT$26&gt;=INDEX('Lease Cycles'!$BG$26:$BM$26,1,DW316),'Lease Cycles'!$AT$26&lt;=DW$6),'Lease Cycles'!$C$26*'Lease Cycles'!$AU$26/12,'Lease Cycles'!$C$26*INDEX('Lease Cycles'!$CB$26:$CH$26,1,DW316)*(1+INDEX('Lease Cycles'!$CI$26:$CO$26,1,DW316))^INT(INT(DW317/12)/INDEX('Lease Cycles'!$CP$26:$CV$26,1,DW316))/12)))),'Lease Cycles'!$C$26*INDEX('Lease Cycles'!$CB$26:$CH$26,1,DW316)*(1+INDEX('Lease Cycles'!$CI$26:$CO$26,1,DW316))^INT(INT(DW317/12)/INDEX('Lease Cycles'!$CP$26:$CV$26,1,DW316))/12))),IF('Lease Cycles'!$N$26=1,'Lease Cycles'!$C$26*'Lease Cycles'!$E$26*INDEX('Lease Cycles'!$HE$26:$HK$26,1,DW316)*(1+INDEX('Lease Cycles'!$GQ$26:$GW$26,1,DW316))^INT(INT((DW$6-INDEX('Lease Cycles'!$GJ$26:$GP$26,1,DW316))/12)/INDEX('Lease Cycles'!$GX$26:$HD$26,1,DW316))/12,0)))</f>
        <v>0</v>
      </c>
      <c r="DX319" s="28">
        <f>IF(DX316=0,IF('Lease Cycles'!$F$26&gt;0,'Lease Cycles'!$C$26*'Lease Cycles'!$E$26/12,0),IF(DX318=1,IF('Lease Cycles'!$AT$26&gt;=9999,'Lease Cycles'!$C$26*INDEX('Lease Cycles'!$CB$26:$CH$26,1,DX316)*(1+INDEX('Lease Cycles'!$CI$26:$CO$26,1,DX316))^INT(INT(DX317/12)/INDEX('Lease Cycles'!$CP$26:$CV$26,1,DX316))/12,IF(DX316=1,IF(DX317&gt;=INDEX('Lease Cycles'!$DK$26:$DQ$26,1,DX316),IF(DX$6&gt;='Lease Cycles'!$AZ$26,'Lease Cycles'!$C$26*'Lease Cycles'!$BA$26/12,IF(DX$6&gt;='Lease Cycles'!$AX$26,'Lease Cycles'!$C$26*'Lease Cycles'!$AY$26/12,IF(DX$6&gt;='Lease Cycles'!$AV$26,'Lease Cycles'!$C$26*'Lease Cycles'!$AW$26/12,IF(DX$6&gt;='Lease Cycles'!$AT$26,'Lease Cycles'!$C$26*'Lease Cycles'!$AU$26/12,'Lease Cycles'!$C$26*INDEX('Lease Cycles'!$CB$26:$CH$26,1,DX316)*(1+INDEX('Lease Cycles'!$CI$26:$CO$26,1,DX316))^INT(INT(DX317/12)/INDEX('Lease Cycles'!$CP$26:$CV$26,1,DX316))/12)))),'Lease Cycles'!$C$26*INDEX('Lease Cycles'!$CB$26:$CH$26,1,DX316)*(1+INDEX('Lease Cycles'!$CI$26:$CO$26,1,DX316))^INT(INT(DX317/12)/INDEX('Lease Cycles'!$CP$26:$CV$26,1,DX316))/12),IF(INDEX('Lease Cycles'!$EF$26:$EL$26,1,DX316)=1,IF(AND('Lease Cycles'!$AZ$26&gt;=INDEX('Lease Cycles'!$BG$26:$BM$26,1,DX316),'Lease Cycles'!$AZ$26&lt;=DX$6),'Lease Cycles'!$C$26*'Lease Cycles'!$BA$26/12,IF(AND('Lease Cycles'!$AX$26&gt;=INDEX('Lease Cycles'!$BG$26:$BM$26,1,DX316),'Lease Cycles'!$AX$26&lt;=DX$6),'Lease Cycles'!$C$26*'Lease Cycles'!$AY$26/12,IF(AND('Lease Cycles'!$AV$26&gt;=INDEX('Lease Cycles'!$BG$26:$BM$26,1,DX316),'Lease Cycles'!$AV$26&lt;=DX$6),'Lease Cycles'!$C$26*'Lease Cycles'!$AW$26/12,IF(AND('Lease Cycles'!$AT$26&gt;=INDEX('Lease Cycles'!$BG$26:$BM$26,1,DX316),'Lease Cycles'!$AT$26&lt;=DX$6),'Lease Cycles'!$C$26*'Lease Cycles'!$AU$26/12,'Lease Cycles'!$C$26*INDEX('Lease Cycles'!$CB$26:$CH$26,1,DX316)*(1+INDEX('Lease Cycles'!$CI$26:$CO$26,1,DX316))^INT(INT(DX317/12)/INDEX('Lease Cycles'!$CP$26:$CV$26,1,DX316))/12)))),'Lease Cycles'!$C$26*INDEX('Lease Cycles'!$CB$26:$CH$26,1,DX316)*(1+INDEX('Lease Cycles'!$CI$26:$CO$26,1,DX316))^INT(INT(DX317/12)/INDEX('Lease Cycles'!$CP$26:$CV$26,1,DX316))/12))),IF('Lease Cycles'!$N$26=1,'Lease Cycles'!$C$26*'Lease Cycles'!$E$26*INDEX('Lease Cycles'!$HE$26:$HK$26,1,DX316)*(1+INDEX('Lease Cycles'!$GQ$26:$GW$26,1,DX316))^INT(INT((DX$6-INDEX('Lease Cycles'!$GJ$26:$GP$26,1,DX316))/12)/INDEX('Lease Cycles'!$GX$26:$HD$26,1,DX316))/12,0)))</f>
        <v>0</v>
      </c>
      <c r="DY319" s="28">
        <f>IF(DY316=0,IF('Lease Cycles'!$F$26&gt;0,'Lease Cycles'!$C$26*'Lease Cycles'!$E$26/12,0),IF(DY318=1,IF('Lease Cycles'!$AT$26&gt;=9999,'Lease Cycles'!$C$26*INDEX('Lease Cycles'!$CB$26:$CH$26,1,DY316)*(1+INDEX('Lease Cycles'!$CI$26:$CO$26,1,DY316))^INT(INT(DY317/12)/INDEX('Lease Cycles'!$CP$26:$CV$26,1,DY316))/12,IF(DY316=1,IF(DY317&gt;=INDEX('Lease Cycles'!$DK$26:$DQ$26,1,DY316),IF(DY$6&gt;='Lease Cycles'!$AZ$26,'Lease Cycles'!$C$26*'Lease Cycles'!$BA$26/12,IF(DY$6&gt;='Lease Cycles'!$AX$26,'Lease Cycles'!$C$26*'Lease Cycles'!$AY$26/12,IF(DY$6&gt;='Lease Cycles'!$AV$26,'Lease Cycles'!$C$26*'Lease Cycles'!$AW$26/12,IF(DY$6&gt;='Lease Cycles'!$AT$26,'Lease Cycles'!$C$26*'Lease Cycles'!$AU$26/12,'Lease Cycles'!$C$26*INDEX('Lease Cycles'!$CB$26:$CH$26,1,DY316)*(1+INDEX('Lease Cycles'!$CI$26:$CO$26,1,DY316))^INT(INT(DY317/12)/INDEX('Lease Cycles'!$CP$26:$CV$26,1,DY316))/12)))),'Lease Cycles'!$C$26*INDEX('Lease Cycles'!$CB$26:$CH$26,1,DY316)*(1+INDEX('Lease Cycles'!$CI$26:$CO$26,1,DY316))^INT(INT(DY317/12)/INDEX('Lease Cycles'!$CP$26:$CV$26,1,DY316))/12),IF(INDEX('Lease Cycles'!$EF$26:$EL$26,1,DY316)=1,IF(AND('Lease Cycles'!$AZ$26&gt;=INDEX('Lease Cycles'!$BG$26:$BM$26,1,DY316),'Lease Cycles'!$AZ$26&lt;=DY$6),'Lease Cycles'!$C$26*'Lease Cycles'!$BA$26/12,IF(AND('Lease Cycles'!$AX$26&gt;=INDEX('Lease Cycles'!$BG$26:$BM$26,1,DY316),'Lease Cycles'!$AX$26&lt;=DY$6),'Lease Cycles'!$C$26*'Lease Cycles'!$AY$26/12,IF(AND('Lease Cycles'!$AV$26&gt;=INDEX('Lease Cycles'!$BG$26:$BM$26,1,DY316),'Lease Cycles'!$AV$26&lt;=DY$6),'Lease Cycles'!$C$26*'Lease Cycles'!$AW$26/12,IF(AND('Lease Cycles'!$AT$26&gt;=INDEX('Lease Cycles'!$BG$26:$BM$26,1,DY316),'Lease Cycles'!$AT$26&lt;=DY$6),'Lease Cycles'!$C$26*'Lease Cycles'!$AU$26/12,'Lease Cycles'!$C$26*INDEX('Lease Cycles'!$CB$26:$CH$26,1,DY316)*(1+INDEX('Lease Cycles'!$CI$26:$CO$26,1,DY316))^INT(INT(DY317/12)/INDEX('Lease Cycles'!$CP$26:$CV$26,1,DY316))/12)))),'Lease Cycles'!$C$26*INDEX('Lease Cycles'!$CB$26:$CH$26,1,DY316)*(1+INDEX('Lease Cycles'!$CI$26:$CO$26,1,DY316))^INT(INT(DY317/12)/INDEX('Lease Cycles'!$CP$26:$CV$26,1,DY316))/12))),IF('Lease Cycles'!$N$26=1,'Lease Cycles'!$C$26*'Lease Cycles'!$E$26*INDEX('Lease Cycles'!$HE$26:$HK$26,1,DY316)*(1+INDEX('Lease Cycles'!$GQ$26:$GW$26,1,DY316))^INT(INT((DY$6-INDEX('Lease Cycles'!$GJ$26:$GP$26,1,DY316))/12)/INDEX('Lease Cycles'!$GX$26:$HD$26,1,DY316))/12,0)))</f>
        <v>0</v>
      </c>
      <c r="DZ319" s="28">
        <f>IF(DZ316=0,IF('Lease Cycles'!$F$26&gt;0,'Lease Cycles'!$C$26*'Lease Cycles'!$E$26/12,0),IF(DZ318=1,IF('Lease Cycles'!$AT$26&gt;=9999,'Lease Cycles'!$C$26*INDEX('Lease Cycles'!$CB$26:$CH$26,1,DZ316)*(1+INDEX('Lease Cycles'!$CI$26:$CO$26,1,DZ316))^INT(INT(DZ317/12)/INDEX('Lease Cycles'!$CP$26:$CV$26,1,DZ316))/12,IF(DZ316=1,IF(DZ317&gt;=INDEX('Lease Cycles'!$DK$26:$DQ$26,1,DZ316),IF(DZ$6&gt;='Lease Cycles'!$AZ$26,'Lease Cycles'!$C$26*'Lease Cycles'!$BA$26/12,IF(DZ$6&gt;='Lease Cycles'!$AX$26,'Lease Cycles'!$C$26*'Lease Cycles'!$AY$26/12,IF(DZ$6&gt;='Lease Cycles'!$AV$26,'Lease Cycles'!$C$26*'Lease Cycles'!$AW$26/12,IF(DZ$6&gt;='Lease Cycles'!$AT$26,'Lease Cycles'!$C$26*'Lease Cycles'!$AU$26/12,'Lease Cycles'!$C$26*INDEX('Lease Cycles'!$CB$26:$CH$26,1,DZ316)*(1+INDEX('Lease Cycles'!$CI$26:$CO$26,1,DZ316))^INT(INT(DZ317/12)/INDEX('Lease Cycles'!$CP$26:$CV$26,1,DZ316))/12)))),'Lease Cycles'!$C$26*INDEX('Lease Cycles'!$CB$26:$CH$26,1,DZ316)*(1+INDEX('Lease Cycles'!$CI$26:$CO$26,1,DZ316))^INT(INT(DZ317/12)/INDEX('Lease Cycles'!$CP$26:$CV$26,1,DZ316))/12),IF(INDEX('Lease Cycles'!$EF$26:$EL$26,1,DZ316)=1,IF(AND('Lease Cycles'!$AZ$26&gt;=INDEX('Lease Cycles'!$BG$26:$BM$26,1,DZ316),'Lease Cycles'!$AZ$26&lt;=DZ$6),'Lease Cycles'!$C$26*'Lease Cycles'!$BA$26/12,IF(AND('Lease Cycles'!$AX$26&gt;=INDEX('Lease Cycles'!$BG$26:$BM$26,1,DZ316),'Lease Cycles'!$AX$26&lt;=DZ$6),'Lease Cycles'!$C$26*'Lease Cycles'!$AY$26/12,IF(AND('Lease Cycles'!$AV$26&gt;=INDEX('Lease Cycles'!$BG$26:$BM$26,1,DZ316),'Lease Cycles'!$AV$26&lt;=DZ$6),'Lease Cycles'!$C$26*'Lease Cycles'!$AW$26/12,IF(AND('Lease Cycles'!$AT$26&gt;=INDEX('Lease Cycles'!$BG$26:$BM$26,1,DZ316),'Lease Cycles'!$AT$26&lt;=DZ$6),'Lease Cycles'!$C$26*'Lease Cycles'!$AU$26/12,'Lease Cycles'!$C$26*INDEX('Lease Cycles'!$CB$26:$CH$26,1,DZ316)*(1+INDEX('Lease Cycles'!$CI$26:$CO$26,1,DZ316))^INT(INT(DZ317/12)/INDEX('Lease Cycles'!$CP$26:$CV$26,1,DZ316))/12)))),'Lease Cycles'!$C$26*INDEX('Lease Cycles'!$CB$26:$CH$26,1,DZ316)*(1+INDEX('Lease Cycles'!$CI$26:$CO$26,1,DZ316))^INT(INT(DZ317/12)/INDEX('Lease Cycles'!$CP$26:$CV$26,1,DZ316))/12))),IF('Lease Cycles'!$N$26=1,'Lease Cycles'!$C$26*'Lease Cycles'!$E$26*INDEX('Lease Cycles'!$HE$26:$HK$26,1,DZ316)*(1+INDEX('Lease Cycles'!$GQ$26:$GW$26,1,DZ316))^INT(INT((DZ$6-INDEX('Lease Cycles'!$GJ$26:$GP$26,1,DZ316))/12)/INDEX('Lease Cycles'!$GX$26:$HD$26,1,DZ316))/12,0)))</f>
        <v>0</v>
      </c>
      <c r="EA319" s="28">
        <f>IF(EA316=0,IF('Lease Cycles'!$F$26&gt;0,'Lease Cycles'!$C$26*'Lease Cycles'!$E$26/12,0),IF(EA318=1,IF('Lease Cycles'!$AT$26&gt;=9999,'Lease Cycles'!$C$26*INDEX('Lease Cycles'!$CB$26:$CH$26,1,EA316)*(1+INDEX('Lease Cycles'!$CI$26:$CO$26,1,EA316))^INT(INT(EA317/12)/INDEX('Lease Cycles'!$CP$26:$CV$26,1,EA316))/12,IF(EA316=1,IF(EA317&gt;=INDEX('Lease Cycles'!$DK$26:$DQ$26,1,EA316),IF(EA$6&gt;='Lease Cycles'!$AZ$26,'Lease Cycles'!$C$26*'Lease Cycles'!$BA$26/12,IF(EA$6&gt;='Lease Cycles'!$AX$26,'Lease Cycles'!$C$26*'Lease Cycles'!$AY$26/12,IF(EA$6&gt;='Lease Cycles'!$AV$26,'Lease Cycles'!$C$26*'Lease Cycles'!$AW$26/12,IF(EA$6&gt;='Lease Cycles'!$AT$26,'Lease Cycles'!$C$26*'Lease Cycles'!$AU$26/12,'Lease Cycles'!$C$26*INDEX('Lease Cycles'!$CB$26:$CH$26,1,EA316)*(1+INDEX('Lease Cycles'!$CI$26:$CO$26,1,EA316))^INT(INT(EA317/12)/INDEX('Lease Cycles'!$CP$26:$CV$26,1,EA316))/12)))),'Lease Cycles'!$C$26*INDEX('Lease Cycles'!$CB$26:$CH$26,1,EA316)*(1+INDEX('Lease Cycles'!$CI$26:$CO$26,1,EA316))^INT(INT(EA317/12)/INDEX('Lease Cycles'!$CP$26:$CV$26,1,EA316))/12),IF(INDEX('Lease Cycles'!$EF$26:$EL$26,1,EA316)=1,IF(AND('Lease Cycles'!$AZ$26&gt;=INDEX('Lease Cycles'!$BG$26:$BM$26,1,EA316),'Lease Cycles'!$AZ$26&lt;=EA$6),'Lease Cycles'!$C$26*'Lease Cycles'!$BA$26/12,IF(AND('Lease Cycles'!$AX$26&gt;=INDEX('Lease Cycles'!$BG$26:$BM$26,1,EA316),'Lease Cycles'!$AX$26&lt;=EA$6),'Lease Cycles'!$C$26*'Lease Cycles'!$AY$26/12,IF(AND('Lease Cycles'!$AV$26&gt;=INDEX('Lease Cycles'!$BG$26:$BM$26,1,EA316),'Lease Cycles'!$AV$26&lt;=EA$6),'Lease Cycles'!$C$26*'Lease Cycles'!$AW$26/12,IF(AND('Lease Cycles'!$AT$26&gt;=INDEX('Lease Cycles'!$BG$26:$BM$26,1,EA316),'Lease Cycles'!$AT$26&lt;=EA$6),'Lease Cycles'!$C$26*'Lease Cycles'!$AU$26/12,'Lease Cycles'!$C$26*INDEX('Lease Cycles'!$CB$26:$CH$26,1,EA316)*(1+INDEX('Lease Cycles'!$CI$26:$CO$26,1,EA316))^INT(INT(EA317/12)/INDEX('Lease Cycles'!$CP$26:$CV$26,1,EA316))/12)))),'Lease Cycles'!$C$26*INDEX('Lease Cycles'!$CB$26:$CH$26,1,EA316)*(1+INDEX('Lease Cycles'!$CI$26:$CO$26,1,EA316))^INT(INT(EA317/12)/INDEX('Lease Cycles'!$CP$26:$CV$26,1,EA316))/12))),IF('Lease Cycles'!$N$26=1,'Lease Cycles'!$C$26*'Lease Cycles'!$E$26*INDEX('Lease Cycles'!$HE$26:$HK$26,1,EA316)*(1+INDEX('Lease Cycles'!$GQ$26:$GW$26,1,EA316))^INT(INT((EA$6-INDEX('Lease Cycles'!$GJ$26:$GP$26,1,EA316))/12)/INDEX('Lease Cycles'!$GX$26:$HD$26,1,EA316))/12,0)))</f>
        <v>0</v>
      </c>
      <c r="EB319" s="28">
        <f>IF(EB316=0,IF('Lease Cycles'!$F$26&gt;0,'Lease Cycles'!$C$26*'Lease Cycles'!$E$26/12,0),IF(EB318=1,IF('Lease Cycles'!$AT$26&gt;=9999,'Lease Cycles'!$C$26*INDEX('Lease Cycles'!$CB$26:$CH$26,1,EB316)*(1+INDEX('Lease Cycles'!$CI$26:$CO$26,1,EB316))^INT(INT(EB317/12)/INDEX('Lease Cycles'!$CP$26:$CV$26,1,EB316))/12,IF(EB316=1,IF(EB317&gt;=INDEX('Lease Cycles'!$DK$26:$DQ$26,1,EB316),IF(EB$6&gt;='Lease Cycles'!$AZ$26,'Lease Cycles'!$C$26*'Lease Cycles'!$BA$26/12,IF(EB$6&gt;='Lease Cycles'!$AX$26,'Lease Cycles'!$C$26*'Lease Cycles'!$AY$26/12,IF(EB$6&gt;='Lease Cycles'!$AV$26,'Lease Cycles'!$C$26*'Lease Cycles'!$AW$26/12,IF(EB$6&gt;='Lease Cycles'!$AT$26,'Lease Cycles'!$C$26*'Lease Cycles'!$AU$26/12,'Lease Cycles'!$C$26*INDEX('Lease Cycles'!$CB$26:$CH$26,1,EB316)*(1+INDEX('Lease Cycles'!$CI$26:$CO$26,1,EB316))^INT(INT(EB317/12)/INDEX('Lease Cycles'!$CP$26:$CV$26,1,EB316))/12)))),'Lease Cycles'!$C$26*INDEX('Lease Cycles'!$CB$26:$CH$26,1,EB316)*(1+INDEX('Lease Cycles'!$CI$26:$CO$26,1,EB316))^INT(INT(EB317/12)/INDEX('Lease Cycles'!$CP$26:$CV$26,1,EB316))/12),IF(INDEX('Lease Cycles'!$EF$26:$EL$26,1,EB316)=1,IF(AND('Lease Cycles'!$AZ$26&gt;=INDEX('Lease Cycles'!$BG$26:$BM$26,1,EB316),'Lease Cycles'!$AZ$26&lt;=EB$6),'Lease Cycles'!$C$26*'Lease Cycles'!$BA$26/12,IF(AND('Lease Cycles'!$AX$26&gt;=INDEX('Lease Cycles'!$BG$26:$BM$26,1,EB316),'Lease Cycles'!$AX$26&lt;=EB$6),'Lease Cycles'!$C$26*'Lease Cycles'!$AY$26/12,IF(AND('Lease Cycles'!$AV$26&gt;=INDEX('Lease Cycles'!$BG$26:$BM$26,1,EB316),'Lease Cycles'!$AV$26&lt;=EB$6),'Lease Cycles'!$C$26*'Lease Cycles'!$AW$26/12,IF(AND('Lease Cycles'!$AT$26&gt;=INDEX('Lease Cycles'!$BG$26:$BM$26,1,EB316),'Lease Cycles'!$AT$26&lt;=EB$6),'Lease Cycles'!$C$26*'Lease Cycles'!$AU$26/12,'Lease Cycles'!$C$26*INDEX('Lease Cycles'!$CB$26:$CH$26,1,EB316)*(1+INDEX('Lease Cycles'!$CI$26:$CO$26,1,EB316))^INT(INT(EB317/12)/INDEX('Lease Cycles'!$CP$26:$CV$26,1,EB316))/12)))),'Lease Cycles'!$C$26*INDEX('Lease Cycles'!$CB$26:$CH$26,1,EB316)*(1+INDEX('Lease Cycles'!$CI$26:$CO$26,1,EB316))^INT(INT(EB317/12)/INDEX('Lease Cycles'!$CP$26:$CV$26,1,EB316))/12))),IF('Lease Cycles'!$N$26=1,'Lease Cycles'!$C$26*'Lease Cycles'!$E$26*INDEX('Lease Cycles'!$HE$26:$HK$26,1,EB316)*(1+INDEX('Lease Cycles'!$GQ$26:$GW$26,1,EB316))^INT(INT((EB$6-INDEX('Lease Cycles'!$GJ$26:$GP$26,1,EB316))/12)/INDEX('Lease Cycles'!$GX$26:$HD$26,1,EB316))/12,0)))</f>
        <v>0</v>
      </c>
      <c r="EC319" s="28">
        <f>IF(EC316=0,IF('Lease Cycles'!$F$26&gt;0,'Lease Cycles'!$C$26*'Lease Cycles'!$E$26/12,0),IF(EC318=1,IF('Lease Cycles'!$AT$26&gt;=9999,'Lease Cycles'!$C$26*INDEX('Lease Cycles'!$CB$26:$CH$26,1,EC316)*(1+INDEX('Lease Cycles'!$CI$26:$CO$26,1,EC316))^INT(INT(EC317/12)/INDEX('Lease Cycles'!$CP$26:$CV$26,1,EC316))/12,IF(EC316=1,IF(EC317&gt;=INDEX('Lease Cycles'!$DK$26:$DQ$26,1,EC316),IF(EC$6&gt;='Lease Cycles'!$AZ$26,'Lease Cycles'!$C$26*'Lease Cycles'!$BA$26/12,IF(EC$6&gt;='Lease Cycles'!$AX$26,'Lease Cycles'!$C$26*'Lease Cycles'!$AY$26/12,IF(EC$6&gt;='Lease Cycles'!$AV$26,'Lease Cycles'!$C$26*'Lease Cycles'!$AW$26/12,IF(EC$6&gt;='Lease Cycles'!$AT$26,'Lease Cycles'!$C$26*'Lease Cycles'!$AU$26/12,'Lease Cycles'!$C$26*INDEX('Lease Cycles'!$CB$26:$CH$26,1,EC316)*(1+INDEX('Lease Cycles'!$CI$26:$CO$26,1,EC316))^INT(INT(EC317/12)/INDEX('Lease Cycles'!$CP$26:$CV$26,1,EC316))/12)))),'Lease Cycles'!$C$26*INDEX('Lease Cycles'!$CB$26:$CH$26,1,EC316)*(1+INDEX('Lease Cycles'!$CI$26:$CO$26,1,EC316))^INT(INT(EC317/12)/INDEX('Lease Cycles'!$CP$26:$CV$26,1,EC316))/12),IF(INDEX('Lease Cycles'!$EF$26:$EL$26,1,EC316)=1,IF(AND('Lease Cycles'!$AZ$26&gt;=INDEX('Lease Cycles'!$BG$26:$BM$26,1,EC316),'Lease Cycles'!$AZ$26&lt;=EC$6),'Lease Cycles'!$C$26*'Lease Cycles'!$BA$26/12,IF(AND('Lease Cycles'!$AX$26&gt;=INDEX('Lease Cycles'!$BG$26:$BM$26,1,EC316),'Lease Cycles'!$AX$26&lt;=EC$6),'Lease Cycles'!$C$26*'Lease Cycles'!$AY$26/12,IF(AND('Lease Cycles'!$AV$26&gt;=INDEX('Lease Cycles'!$BG$26:$BM$26,1,EC316),'Lease Cycles'!$AV$26&lt;=EC$6),'Lease Cycles'!$C$26*'Lease Cycles'!$AW$26/12,IF(AND('Lease Cycles'!$AT$26&gt;=INDEX('Lease Cycles'!$BG$26:$BM$26,1,EC316),'Lease Cycles'!$AT$26&lt;=EC$6),'Lease Cycles'!$C$26*'Lease Cycles'!$AU$26/12,'Lease Cycles'!$C$26*INDEX('Lease Cycles'!$CB$26:$CH$26,1,EC316)*(1+INDEX('Lease Cycles'!$CI$26:$CO$26,1,EC316))^INT(INT(EC317/12)/INDEX('Lease Cycles'!$CP$26:$CV$26,1,EC316))/12)))),'Lease Cycles'!$C$26*INDEX('Lease Cycles'!$CB$26:$CH$26,1,EC316)*(1+INDEX('Lease Cycles'!$CI$26:$CO$26,1,EC316))^INT(INT(EC317/12)/INDEX('Lease Cycles'!$CP$26:$CV$26,1,EC316))/12))),IF('Lease Cycles'!$N$26=1,'Lease Cycles'!$C$26*'Lease Cycles'!$E$26*INDEX('Lease Cycles'!$HE$26:$HK$26,1,EC316)*(1+INDEX('Lease Cycles'!$GQ$26:$GW$26,1,EC316))^INT(INT((EC$6-INDEX('Lease Cycles'!$GJ$26:$GP$26,1,EC316))/12)/INDEX('Lease Cycles'!$GX$26:$HD$26,1,EC316))/12,0)))</f>
        <v>0</v>
      </c>
      <c r="ED319" s="28">
        <f>IF(ED316=0,IF('Lease Cycles'!$F$26&gt;0,'Lease Cycles'!$C$26*'Lease Cycles'!$E$26/12,0),IF(ED318=1,IF('Lease Cycles'!$AT$26&gt;=9999,'Lease Cycles'!$C$26*INDEX('Lease Cycles'!$CB$26:$CH$26,1,ED316)*(1+INDEX('Lease Cycles'!$CI$26:$CO$26,1,ED316))^INT(INT(ED317/12)/INDEX('Lease Cycles'!$CP$26:$CV$26,1,ED316))/12,IF(ED316=1,IF(ED317&gt;=INDEX('Lease Cycles'!$DK$26:$DQ$26,1,ED316),IF(ED$6&gt;='Lease Cycles'!$AZ$26,'Lease Cycles'!$C$26*'Lease Cycles'!$BA$26/12,IF(ED$6&gt;='Lease Cycles'!$AX$26,'Lease Cycles'!$C$26*'Lease Cycles'!$AY$26/12,IF(ED$6&gt;='Lease Cycles'!$AV$26,'Lease Cycles'!$C$26*'Lease Cycles'!$AW$26/12,IF(ED$6&gt;='Lease Cycles'!$AT$26,'Lease Cycles'!$C$26*'Lease Cycles'!$AU$26/12,'Lease Cycles'!$C$26*INDEX('Lease Cycles'!$CB$26:$CH$26,1,ED316)*(1+INDEX('Lease Cycles'!$CI$26:$CO$26,1,ED316))^INT(INT(ED317/12)/INDEX('Lease Cycles'!$CP$26:$CV$26,1,ED316))/12)))),'Lease Cycles'!$C$26*INDEX('Lease Cycles'!$CB$26:$CH$26,1,ED316)*(1+INDEX('Lease Cycles'!$CI$26:$CO$26,1,ED316))^INT(INT(ED317/12)/INDEX('Lease Cycles'!$CP$26:$CV$26,1,ED316))/12),IF(INDEX('Lease Cycles'!$EF$26:$EL$26,1,ED316)=1,IF(AND('Lease Cycles'!$AZ$26&gt;=INDEX('Lease Cycles'!$BG$26:$BM$26,1,ED316),'Lease Cycles'!$AZ$26&lt;=ED$6),'Lease Cycles'!$C$26*'Lease Cycles'!$BA$26/12,IF(AND('Lease Cycles'!$AX$26&gt;=INDEX('Lease Cycles'!$BG$26:$BM$26,1,ED316),'Lease Cycles'!$AX$26&lt;=ED$6),'Lease Cycles'!$C$26*'Lease Cycles'!$AY$26/12,IF(AND('Lease Cycles'!$AV$26&gt;=INDEX('Lease Cycles'!$BG$26:$BM$26,1,ED316),'Lease Cycles'!$AV$26&lt;=ED$6),'Lease Cycles'!$C$26*'Lease Cycles'!$AW$26/12,IF(AND('Lease Cycles'!$AT$26&gt;=INDEX('Lease Cycles'!$BG$26:$BM$26,1,ED316),'Lease Cycles'!$AT$26&lt;=ED$6),'Lease Cycles'!$C$26*'Lease Cycles'!$AU$26/12,'Lease Cycles'!$C$26*INDEX('Lease Cycles'!$CB$26:$CH$26,1,ED316)*(1+INDEX('Lease Cycles'!$CI$26:$CO$26,1,ED316))^INT(INT(ED317/12)/INDEX('Lease Cycles'!$CP$26:$CV$26,1,ED316))/12)))),'Lease Cycles'!$C$26*INDEX('Lease Cycles'!$CB$26:$CH$26,1,ED316)*(1+INDEX('Lease Cycles'!$CI$26:$CO$26,1,ED316))^INT(INT(ED317/12)/INDEX('Lease Cycles'!$CP$26:$CV$26,1,ED316))/12))),IF('Lease Cycles'!$N$26=1,'Lease Cycles'!$C$26*'Lease Cycles'!$E$26*INDEX('Lease Cycles'!$HE$26:$HK$26,1,ED316)*(1+INDEX('Lease Cycles'!$GQ$26:$GW$26,1,ED316))^INT(INT((ED$6-INDEX('Lease Cycles'!$GJ$26:$GP$26,1,ED316))/12)/INDEX('Lease Cycles'!$GX$26:$HD$26,1,ED316))/12,0)))</f>
        <v>0</v>
      </c>
      <c r="EE319" s="28">
        <f>IF(EE316=0,IF('Lease Cycles'!$F$26&gt;0,'Lease Cycles'!$C$26*'Lease Cycles'!$E$26/12,0),IF(EE318=1,IF('Lease Cycles'!$AT$26&gt;=9999,'Lease Cycles'!$C$26*INDEX('Lease Cycles'!$CB$26:$CH$26,1,EE316)*(1+INDEX('Lease Cycles'!$CI$26:$CO$26,1,EE316))^INT(INT(EE317/12)/INDEX('Lease Cycles'!$CP$26:$CV$26,1,EE316))/12,IF(EE316=1,IF(EE317&gt;=INDEX('Lease Cycles'!$DK$26:$DQ$26,1,EE316),IF(EE$6&gt;='Lease Cycles'!$AZ$26,'Lease Cycles'!$C$26*'Lease Cycles'!$BA$26/12,IF(EE$6&gt;='Lease Cycles'!$AX$26,'Lease Cycles'!$C$26*'Lease Cycles'!$AY$26/12,IF(EE$6&gt;='Lease Cycles'!$AV$26,'Lease Cycles'!$C$26*'Lease Cycles'!$AW$26/12,IF(EE$6&gt;='Lease Cycles'!$AT$26,'Lease Cycles'!$C$26*'Lease Cycles'!$AU$26/12,'Lease Cycles'!$C$26*INDEX('Lease Cycles'!$CB$26:$CH$26,1,EE316)*(1+INDEX('Lease Cycles'!$CI$26:$CO$26,1,EE316))^INT(INT(EE317/12)/INDEX('Lease Cycles'!$CP$26:$CV$26,1,EE316))/12)))),'Lease Cycles'!$C$26*INDEX('Lease Cycles'!$CB$26:$CH$26,1,EE316)*(1+INDEX('Lease Cycles'!$CI$26:$CO$26,1,EE316))^INT(INT(EE317/12)/INDEX('Lease Cycles'!$CP$26:$CV$26,1,EE316))/12),IF(INDEX('Lease Cycles'!$EF$26:$EL$26,1,EE316)=1,IF(AND('Lease Cycles'!$AZ$26&gt;=INDEX('Lease Cycles'!$BG$26:$BM$26,1,EE316),'Lease Cycles'!$AZ$26&lt;=EE$6),'Lease Cycles'!$C$26*'Lease Cycles'!$BA$26/12,IF(AND('Lease Cycles'!$AX$26&gt;=INDEX('Lease Cycles'!$BG$26:$BM$26,1,EE316),'Lease Cycles'!$AX$26&lt;=EE$6),'Lease Cycles'!$C$26*'Lease Cycles'!$AY$26/12,IF(AND('Lease Cycles'!$AV$26&gt;=INDEX('Lease Cycles'!$BG$26:$BM$26,1,EE316),'Lease Cycles'!$AV$26&lt;=EE$6),'Lease Cycles'!$C$26*'Lease Cycles'!$AW$26/12,IF(AND('Lease Cycles'!$AT$26&gt;=INDEX('Lease Cycles'!$BG$26:$BM$26,1,EE316),'Lease Cycles'!$AT$26&lt;=EE$6),'Lease Cycles'!$C$26*'Lease Cycles'!$AU$26/12,'Lease Cycles'!$C$26*INDEX('Lease Cycles'!$CB$26:$CH$26,1,EE316)*(1+INDEX('Lease Cycles'!$CI$26:$CO$26,1,EE316))^INT(INT(EE317/12)/INDEX('Lease Cycles'!$CP$26:$CV$26,1,EE316))/12)))),'Lease Cycles'!$C$26*INDEX('Lease Cycles'!$CB$26:$CH$26,1,EE316)*(1+INDEX('Lease Cycles'!$CI$26:$CO$26,1,EE316))^INT(INT(EE317/12)/INDEX('Lease Cycles'!$CP$26:$CV$26,1,EE316))/12))),IF('Lease Cycles'!$N$26=1,'Lease Cycles'!$C$26*'Lease Cycles'!$E$26*INDEX('Lease Cycles'!$HE$26:$HK$26,1,EE316)*(1+INDEX('Lease Cycles'!$GQ$26:$GW$26,1,EE316))^INT(INT((EE$6-INDEX('Lease Cycles'!$GJ$26:$GP$26,1,EE316))/12)/INDEX('Lease Cycles'!$GX$26:$HD$26,1,EE316))/12,0)))</f>
        <v>0</v>
      </c>
      <c r="EF319" s="28">
        <f>IF(EF316=0,IF('Lease Cycles'!$F$26&gt;0,'Lease Cycles'!$C$26*'Lease Cycles'!$E$26/12,0),IF(EF318=1,IF('Lease Cycles'!$AT$26&gt;=9999,'Lease Cycles'!$C$26*INDEX('Lease Cycles'!$CB$26:$CH$26,1,EF316)*(1+INDEX('Lease Cycles'!$CI$26:$CO$26,1,EF316))^INT(INT(EF317/12)/INDEX('Lease Cycles'!$CP$26:$CV$26,1,EF316))/12,IF(EF316=1,IF(EF317&gt;=INDEX('Lease Cycles'!$DK$26:$DQ$26,1,EF316),IF(EF$6&gt;='Lease Cycles'!$AZ$26,'Lease Cycles'!$C$26*'Lease Cycles'!$BA$26/12,IF(EF$6&gt;='Lease Cycles'!$AX$26,'Lease Cycles'!$C$26*'Lease Cycles'!$AY$26/12,IF(EF$6&gt;='Lease Cycles'!$AV$26,'Lease Cycles'!$C$26*'Lease Cycles'!$AW$26/12,IF(EF$6&gt;='Lease Cycles'!$AT$26,'Lease Cycles'!$C$26*'Lease Cycles'!$AU$26/12,'Lease Cycles'!$C$26*INDEX('Lease Cycles'!$CB$26:$CH$26,1,EF316)*(1+INDEX('Lease Cycles'!$CI$26:$CO$26,1,EF316))^INT(INT(EF317/12)/INDEX('Lease Cycles'!$CP$26:$CV$26,1,EF316))/12)))),'Lease Cycles'!$C$26*INDEX('Lease Cycles'!$CB$26:$CH$26,1,EF316)*(1+INDEX('Lease Cycles'!$CI$26:$CO$26,1,EF316))^INT(INT(EF317/12)/INDEX('Lease Cycles'!$CP$26:$CV$26,1,EF316))/12),IF(INDEX('Lease Cycles'!$EF$26:$EL$26,1,EF316)=1,IF(AND('Lease Cycles'!$AZ$26&gt;=INDEX('Lease Cycles'!$BG$26:$BM$26,1,EF316),'Lease Cycles'!$AZ$26&lt;=EF$6),'Lease Cycles'!$C$26*'Lease Cycles'!$BA$26/12,IF(AND('Lease Cycles'!$AX$26&gt;=INDEX('Lease Cycles'!$BG$26:$BM$26,1,EF316),'Lease Cycles'!$AX$26&lt;=EF$6),'Lease Cycles'!$C$26*'Lease Cycles'!$AY$26/12,IF(AND('Lease Cycles'!$AV$26&gt;=INDEX('Lease Cycles'!$BG$26:$BM$26,1,EF316),'Lease Cycles'!$AV$26&lt;=EF$6),'Lease Cycles'!$C$26*'Lease Cycles'!$AW$26/12,IF(AND('Lease Cycles'!$AT$26&gt;=INDEX('Lease Cycles'!$BG$26:$BM$26,1,EF316),'Lease Cycles'!$AT$26&lt;=EF$6),'Lease Cycles'!$C$26*'Lease Cycles'!$AU$26/12,'Lease Cycles'!$C$26*INDEX('Lease Cycles'!$CB$26:$CH$26,1,EF316)*(1+INDEX('Lease Cycles'!$CI$26:$CO$26,1,EF316))^INT(INT(EF317/12)/INDEX('Lease Cycles'!$CP$26:$CV$26,1,EF316))/12)))),'Lease Cycles'!$C$26*INDEX('Lease Cycles'!$CB$26:$CH$26,1,EF316)*(1+INDEX('Lease Cycles'!$CI$26:$CO$26,1,EF316))^INT(INT(EF317/12)/INDEX('Lease Cycles'!$CP$26:$CV$26,1,EF316))/12))),IF('Lease Cycles'!$N$26=1,'Lease Cycles'!$C$26*'Lease Cycles'!$E$26*INDEX('Lease Cycles'!$HE$26:$HK$26,1,EF316)*(1+INDEX('Lease Cycles'!$GQ$26:$GW$26,1,EF316))^INT(INT((EF$6-INDEX('Lease Cycles'!$GJ$26:$GP$26,1,EF316))/12)/INDEX('Lease Cycles'!$GX$26:$HD$26,1,EF316))/12,0)))</f>
        <v>0</v>
      </c>
      <c r="EG319" s="28">
        <f>IF(EG316=0,IF('Lease Cycles'!$F$26&gt;0,'Lease Cycles'!$C$26*'Lease Cycles'!$E$26/12,0),IF(EG318=1,IF('Lease Cycles'!$AT$26&gt;=9999,'Lease Cycles'!$C$26*INDEX('Lease Cycles'!$CB$26:$CH$26,1,EG316)*(1+INDEX('Lease Cycles'!$CI$26:$CO$26,1,EG316))^INT(INT(EG317/12)/INDEX('Lease Cycles'!$CP$26:$CV$26,1,EG316))/12,IF(EG316=1,IF(EG317&gt;=INDEX('Lease Cycles'!$DK$26:$DQ$26,1,EG316),IF(EG$6&gt;='Lease Cycles'!$AZ$26,'Lease Cycles'!$C$26*'Lease Cycles'!$BA$26/12,IF(EG$6&gt;='Lease Cycles'!$AX$26,'Lease Cycles'!$C$26*'Lease Cycles'!$AY$26/12,IF(EG$6&gt;='Lease Cycles'!$AV$26,'Lease Cycles'!$C$26*'Lease Cycles'!$AW$26/12,IF(EG$6&gt;='Lease Cycles'!$AT$26,'Lease Cycles'!$C$26*'Lease Cycles'!$AU$26/12,'Lease Cycles'!$C$26*INDEX('Lease Cycles'!$CB$26:$CH$26,1,EG316)*(1+INDEX('Lease Cycles'!$CI$26:$CO$26,1,EG316))^INT(INT(EG317/12)/INDEX('Lease Cycles'!$CP$26:$CV$26,1,EG316))/12)))),'Lease Cycles'!$C$26*INDEX('Lease Cycles'!$CB$26:$CH$26,1,EG316)*(1+INDEX('Lease Cycles'!$CI$26:$CO$26,1,EG316))^INT(INT(EG317/12)/INDEX('Lease Cycles'!$CP$26:$CV$26,1,EG316))/12),IF(INDEX('Lease Cycles'!$EF$26:$EL$26,1,EG316)=1,IF(AND('Lease Cycles'!$AZ$26&gt;=INDEX('Lease Cycles'!$BG$26:$BM$26,1,EG316),'Lease Cycles'!$AZ$26&lt;=EG$6),'Lease Cycles'!$C$26*'Lease Cycles'!$BA$26/12,IF(AND('Lease Cycles'!$AX$26&gt;=INDEX('Lease Cycles'!$BG$26:$BM$26,1,EG316),'Lease Cycles'!$AX$26&lt;=EG$6),'Lease Cycles'!$C$26*'Lease Cycles'!$AY$26/12,IF(AND('Lease Cycles'!$AV$26&gt;=INDEX('Lease Cycles'!$BG$26:$BM$26,1,EG316),'Lease Cycles'!$AV$26&lt;=EG$6),'Lease Cycles'!$C$26*'Lease Cycles'!$AW$26/12,IF(AND('Lease Cycles'!$AT$26&gt;=INDEX('Lease Cycles'!$BG$26:$BM$26,1,EG316),'Lease Cycles'!$AT$26&lt;=EG$6),'Lease Cycles'!$C$26*'Lease Cycles'!$AU$26/12,'Lease Cycles'!$C$26*INDEX('Lease Cycles'!$CB$26:$CH$26,1,EG316)*(1+INDEX('Lease Cycles'!$CI$26:$CO$26,1,EG316))^INT(INT(EG317/12)/INDEX('Lease Cycles'!$CP$26:$CV$26,1,EG316))/12)))),'Lease Cycles'!$C$26*INDEX('Lease Cycles'!$CB$26:$CH$26,1,EG316)*(1+INDEX('Lease Cycles'!$CI$26:$CO$26,1,EG316))^INT(INT(EG317/12)/INDEX('Lease Cycles'!$CP$26:$CV$26,1,EG316))/12))),IF('Lease Cycles'!$N$26=1,'Lease Cycles'!$C$26*'Lease Cycles'!$E$26*INDEX('Lease Cycles'!$HE$26:$HK$26,1,EG316)*(1+INDEX('Lease Cycles'!$GQ$26:$GW$26,1,EG316))^INT(INT((EG$6-INDEX('Lease Cycles'!$GJ$26:$GP$26,1,EG316))/12)/INDEX('Lease Cycles'!$GX$26:$HD$26,1,EG316))/12,0)))</f>
        <v>0</v>
      </c>
      <c r="EH319" s="28">
        <f>IF(EH316=0,IF('Lease Cycles'!$F$26&gt;0,'Lease Cycles'!$C$26*'Lease Cycles'!$E$26/12,0),IF(EH318=1,IF('Lease Cycles'!$AT$26&gt;=9999,'Lease Cycles'!$C$26*INDEX('Lease Cycles'!$CB$26:$CH$26,1,EH316)*(1+INDEX('Lease Cycles'!$CI$26:$CO$26,1,EH316))^INT(INT(EH317/12)/INDEX('Lease Cycles'!$CP$26:$CV$26,1,EH316))/12,IF(EH316=1,IF(EH317&gt;=INDEX('Lease Cycles'!$DK$26:$DQ$26,1,EH316),IF(EH$6&gt;='Lease Cycles'!$AZ$26,'Lease Cycles'!$C$26*'Lease Cycles'!$BA$26/12,IF(EH$6&gt;='Lease Cycles'!$AX$26,'Lease Cycles'!$C$26*'Lease Cycles'!$AY$26/12,IF(EH$6&gt;='Lease Cycles'!$AV$26,'Lease Cycles'!$C$26*'Lease Cycles'!$AW$26/12,IF(EH$6&gt;='Lease Cycles'!$AT$26,'Lease Cycles'!$C$26*'Lease Cycles'!$AU$26/12,'Lease Cycles'!$C$26*INDEX('Lease Cycles'!$CB$26:$CH$26,1,EH316)*(1+INDEX('Lease Cycles'!$CI$26:$CO$26,1,EH316))^INT(INT(EH317/12)/INDEX('Lease Cycles'!$CP$26:$CV$26,1,EH316))/12)))),'Lease Cycles'!$C$26*INDEX('Lease Cycles'!$CB$26:$CH$26,1,EH316)*(1+INDEX('Lease Cycles'!$CI$26:$CO$26,1,EH316))^INT(INT(EH317/12)/INDEX('Lease Cycles'!$CP$26:$CV$26,1,EH316))/12),IF(INDEX('Lease Cycles'!$EF$26:$EL$26,1,EH316)=1,IF(AND('Lease Cycles'!$AZ$26&gt;=INDEX('Lease Cycles'!$BG$26:$BM$26,1,EH316),'Lease Cycles'!$AZ$26&lt;=EH$6),'Lease Cycles'!$C$26*'Lease Cycles'!$BA$26/12,IF(AND('Lease Cycles'!$AX$26&gt;=INDEX('Lease Cycles'!$BG$26:$BM$26,1,EH316),'Lease Cycles'!$AX$26&lt;=EH$6),'Lease Cycles'!$C$26*'Lease Cycles'!$AY$26/12,IF(AND('Lease Cycles'!$AV$26&gt;=INDEX('Lease Cycles'!$BG$26:$BM$26,1,EH316),'Lease Cycles'!$AV$26&lt;=EH$6),'Lease Cycles'!$C$26*'Lease Cycles'!$AW$26/12,IF(AND('Lease Cycles'!$AT$26&gt;=INDEX('Lease Cycles'!$BG$26:$BM$26,1,EH316),'Lease Cycles'!$AT$26&lt;=EH$6),'Lease Cycles'!$C$26*'Lease Cycles'!$AU$26/12,'Lease Cycles'!$C$26*INDEX('Lease Cycles'!$CB$26:$CH$26,1,EH316)*(1+INDEX('Lease Cycles'!$CI$26:$CO$26,1,EH316))^INT(INT(EH317/12)/INDEX('Lease Cycles'!$CP$26:$CV$26,1,EH316))/12)))),'Lease Cycles'!$C$26*INDEX('Lease Cycles'!$CB$26:$CH$26,1,EH316)*(1+INDEX('Lease Cycles'!$CI$26:$CO$26,1,EH316))^INT(INT(EH317/12)/INDEX('Lease Cycles'!$CP$26:$CV$26,1,EH316))/12))),IF('Lease Cycles'!$N$26=1,'Lease Cycles'!$C$26*'Lease Cycles'!$E$26*INDEX('Lease Cycles'!$HE$26:$HK$26,1,EH316)*(1+INDEX('Lease Cycles'!$GQ$26:$GW$26,1,EH316))^INT(INT((EH$6-INDEX('Lease Cycles'!$GJ$26:$GP$26,1,EH316))/12)/INDEX('Lease Cycles'!$GX$26:$HD$26,1,EH316))/12,0)))</f>
        <v>0</v>
      </c>
      <c r="EI319" s="28">
        <f>IF(EI316=0,IF('Lease Cycles'!$F$26&gt;0,'Lease Cycles'!$C$26*'Lease Cycles'!$E$26/12,0),IF(EI318=1,IF('Lease Cycles'!$AT$26&gt;=9999,'Lease Cycles'!$C$26*INDEX('Lease Cycles'!$CB$26:$CH$26,1,EI316)*(1+INDEX('Lease Cycles'!$CI$26:$CO$26,1,EI316))^INT(INT(EI317/12)/INDEX('Lease Cycles'!$CP$26:$CV$26,1,EI316))/12,IF(EI316=1,IF(EI317&gt;=INDEX('Lease Cycles'!$DK$26:$DQ$26,1,EI316),IF(EI$6&gt;='Lease Cycles'!$AZ$26,'Lease Cycles'!$C$26*'Lease Cycles'!$BA$26/12,IF(EI$6&gt;='Lease Cycles'!$AX$26,'Lease Cycles'!$C$26*'Lease Cycles'!$AY$26/12,IF(EI$6&gt;='Lease Cycles'!$AV$26,'Lease Cycles'!$C$26*'Lease Cycles'!$AW$26/12,IF(EI$6&gt;='Lease Cycles'!$AT$26,'Lease Cycles'!$C$26*'Lease Cycles'!$AU$26/12,'Lease Cycles'!$C$26*INDEX('Lease Cycles'!$CB$26:$CH$26,1,EI316)*(1+INDEX('Lease Cycles'!$CI$26:$CO$26,1,EI316))^INT(INT(EI317/12)/INDEX('Lease Cycles'!$CP$26:$CV$26,1,EI316))/12)))),'Lease Cycles'!$C$26*INDEX('Lease Cycles'!$CB$26:$CH$26,1,EI316)*(1+INDEX('Lease Cycles'!$CI$26:$CO$26,1,EI316))^INT(INT(EI317/12)/INDEX('Lease Cycles'!$CP$26:$CV$26,1,EI316))/12),IF(INDEX('Lease Cycles'!$EF$26:$EL$26,1,EI316)=1,IF(AND('Lease Cycles'!$AZ$26&gt;=INDEX('Lease Cycles'!$BG$26:$BM$26,1,EI316),'Lease Cycles'!$AZ$26&lt;=EI$6),'Lease Cycles'!$C$26*'Lease Cycles'!$BA$26/12,IF(AND('Lease Cycles'!$AX$26&gt;=INDEX('Lease Cycles'!$BG$26:$BM$26,1,EI316),'Lease Cycles'!$AX$26&lt;=EI$6),'Lease Cycles'!$C$26*'Lease Cycles'!$AY$26/12,IF(AND('Lease Cycles'!$AV$26&gt;=INDEX('Lease Cycles'!$BG$26:$BM$26,1,EI316),'Lease Cycles'!$AV$26&lt;=EI$6),'Lease Cycles'!$C$26*'Lease Cycles'!$AW$26/12,IF(AND('Lease Cycles'!$AT$26&gt;=INDEX('Lease Cycles'!$BG$26:$BM$26,1,EI316),'Lease Cycles'!$AT$26&lt;=EI$6),'Lease Cycles'!$C$26*'Lease Cycles'!$AU$26/12,'Lease Cycles'!$C$26*INDEX('Lease Cycles'!$CB$26:$CH$26,1,EI316)*(1+INDEX('Lease Cycles'!$CI$26:$CO$26,1,EI316))^INT(INT(EI317/12)/INDEX('Lease Cycles'!$CP$26:$CV$26,1,EI316))/12)))),'Lease Cycles'!$C$26*INDEX('Lease Cycles'!$CB$26:$CH$26,1,EI316)*(1+INDEX('Lease Cycles'!$CI$26:$CO$26,1,EI316))^INT(INT(EI317/12)/INDEX('Lease Cycles'!$CP$26:$CV$26,1,EI316))/12))),IF('Lease Cycles'!$N$26=1,'Lease Cycles'!$C$26*'Lease Cycles'!$E$26*INDEX('Lease Cycles'!$HE$26:$HK$26,1,EI316)*(1+INDEX('Lease Cycles'!$GQ$26:$GW$26,1,EI316))^INT(INT((EI$6-INDEX('Lease Cycles'!$GJ$26:$GP$26,1,EI316))/12)/INDEX('Lease Cycles'!$GX$26:$HD$26,1,EI316))/12,0)))</f>
        <v>0</v>
      </c>
      <c r="EJ319" s="28">
        <f>IF(EJ316=0,IF('Lease Cycles'!$F$26&gt;0,'Lease Cycles'!$C$26*'Lease Cycles'!$E$26/12,0),IF(EJ318=1,IF('Lease Cycles'!$AT$26&gt;=9999,'Lease Cycles'!$C$26*INDEX('Lease Cycles'!$CB$26:$CH$26,1,EJ316)*(1+INDEX('Lease Cycles'!$CI$26:$CO$26,1,EJ316))^INT(INT(EJ317/12)/INDEX('Lease Cycles'!$CP$26:$CV$26,1,EJ316))/12,IF(EJ316=1,IF(EJ317&gt;=INDEX('Lease Cycles'!$DK$26:$DQ$26,1,EJ316),IF(EJ$6&gt;='Lease Cycles'!$AZ$26,'Lease Cycles'!$C$26*'Lease Cycles'!$BA$26/12,IF(EJ$6&gt;='Lease Cycles'!$AX$26,'Lease Cycles'!$C$26*'Lease Cycles'!$AY$26/12,IF(EJ$6&gt;='Lease Cycles'!$AV$26,'Lease Cycles'!$C$26*'Lease Cycles'!$AW$26/12,IF(EJ$6&gt;='Lease Cycles'!$AT$26,'Lease Cycles'!$C$26*'Lease Cycles'!$AU$26/12,'Lease Cycles'!$C$26*INDEX('Lease Cycles'!$CB$26:$CH$26,1,EJ316)*(1+INDEX('Lease Cycles'!$CI$26:$CO$26,1,EJ316))^INT(INT(EJ317/12)/INDEX('Lease Cycles'!$CP$26:$CV$26,1,EJ316))/12)))),'Lease Cycles'!$C$26*INDEX('Lease Cycles'!$CB$26:$CH$26,1,EJ316)*(1+INDEX('Lease Cycles'!$CI$26:$CO$26,1,EJ316))^INT(INT(EJ317/12)/INDEX('Lease Cycles'!$CP$26:$CV$26,1,EJ316))/12),IF(INDEX('Lease Cycles'!$EF$26:$EL$26,1,EJ316)=1,IF(AND('Lease Cycles'!$AZ$26&gt;=INDEX('Lease Cycles'!$BG$26:$BM$26,1,EJ316),'Lease Cycles'!$AZ$26&lt;=EJ$6),'Lease Cycles'!$C$26*'Lease Cycles'!$BA$26/12,IF(AND('Lease Cycles'!$AX$26&gt;=INDEX('Lease Cycles'!$BG$26:$BM$26,1,EJ316),'Lease Cycles'!$AX$26&lt;=EJ$6),'Lease Cycles'!$C$26*'Lease Cycles'!$AY$26/12,IF(AND('Lease Cycles'!$AV$26&gt;=INDEX('Lease Cycles'!$BG$26:$BM$26,1,EJ316),'Lease Cycles'!$AV$26&lt;=EJ$6),'Lease Cycles'!$C$26*'Lease Cycles'!$AW$26/12,IF(AND('Lease Cycles'!$AT$26&gt;=INDEX('Lease Cycles'!$BG$26:$BM$26,1,EJ316),'Lease Cycles'!$AT$26&lt;=EJ$6),'Lease Cycles'!$C$26*'Lease Cycles'!$AU$26/12,'Lease Cycles'!$C$26*INDEX('Lease Cycles'!$CB$26:$CH$26,1,EJ316)*(1+INDEX('Lease Cycles'!$CI$26:$CO$26,1,EJ316))^INT(INT(EJ317/12)/INDEX('Lease Cycles'!$CP$26:$CV$26,1,EJ316))/12)))),'Lease Cycles'!$C$26*INDEX('Lease Cycles'!$CB$26:$CH$26,1,EJ316)*(1+INDEX('Lease Cycles'!$CI$26:$CO$26,1,EJ316))^INT(INT(EJ317/12)/INDEX('Lease Cycles'!$CP$26:$CV$26,1,EJ316))/12))),IF('Lease Cycles'!$N$26=1,'Lease Cycles'!$C$26*'Lease Cycles'!$E$26*INDEX('Lease Cycles'!$HE$26:$HK$26,1,EJ316)*(1+INDEX('Lease Cycles'!$GQ$26:$GW$26,1,EJ316))^INT(INT((EJ$6-INDEX('Lease Cycles'!$GJ$26:$GP$26,1,EJ316))/12)/INDEX('Lease Cycles'!$GX$26:$HD$26,1,EJ316))/12,0)))</f>
        <v>0</v>
      </c>
      <c r="EK319" s="28">
        <f>IF(EK316=0,IF('Lease Cycles'!$F$26&gt;0,'Lease Cycles'!$C$26*'Lease Cycles'!$E$26/12,0),IF(EK318=1,IF('Lease Cycles'!$AT$26&gt;=9999,'Lease Cycles'!$C$26*INDEX('Lease Cycles'!$CB$26:$CH$26,1,EK316)*(1+INDEX('Lease Cycles'!$CI$26:$CO$26,1,EK316))^INT(INT(EK317/12)/INDEX('Lease Cycles'!$CP$26:$CV$26,1,EK316))/12,IF(EK316=1,IF(EK317&gt;=INDEX('Lease Cycles'!$DK$26:$DQ$26,1,EK316),IF(EK$6&gt;='Lease Cycles'!$AZ$26,'Lease Cycles'!$C$26*'Lease Cycles'!$BA$26/12,IF(EK$6&gt;='Lease Cycles'!$AX$26,'Lease Cycles'!$C$26*'Lease Cycles'!$AY$26/12,IF(EK$6&gt;='Lease Cycles'!$AV$26,'Lease Cycles'!$C$26*'Lease Cycles'!$AW$26/12,IF(EK$6&gt;='Lease Cycles'!$AT$26,'Lease Cycles'!$C$26*'Lease Cycles'!$AU$26/12,'Lease Cycles'!$C$26*INDEX('Lease Cycles'!$CB$26:$CH$26,1,EK316)*(1+INDEX('Lease Cycles'!$CI$26:$CO$26,1,EK316))^INT(INT(EK317/12)/INDEX('Lease Cycles'!$CP$26:$CV$26,1,EK316))/12)))),'Lease Cycles'!$C$26*INDEX('Lease Cycles'!$CB$26:$CH$26,1,EK316)*(1+INDEX('Lease Cycles'!$CI$26:$CO$26,1,EK316))^INT(INT(EK317/12)/INDEX('Lease Cycles'!$CP$26:$CV$26,1,EK316))/12),IF(INDEX('Lease Cycles'!$EF$26:$EL$26,1,EK316)=1,IF(AND('Lease Cycles'!$AZ$26&gt;=INDEX('Lease Cycles'!$BG$26:$BM$26,1,EK316),'Lease Cycles'!$AZ$26&lt;=EK$6),'Lease Cycles'!$C$26*'Lease Cycles'!$BA$26/12,IF(AND('Lease Cycles'!$AX$26&gt;=INDEX('Lease Cycles'!$BG$26:$BM$26,1,EK316),'Lease Cycles'!$AX$26&lt;=EK$6),'Lease Cycles'!$C$26*'Lease Cycles'!$AY$26/12,IF(AND('Lease Cycles'!$AV$26&gt;=INDEX('Lease Cycles'!$BG$26:$BM$26,1,EK316),'Lease Cycles'!$AV$26&lt;=EK$6),'Lease Cycles'!$C$26*'Lease Cycles'!$AW$26/12,IF(AND('Lease Cycles'!$AT$26&gt;=INDEX('Lease Cycles'!$BG$26:$BM$26,1,EK316),'Lease Cycles'!$AT$26&lt;=EK$6),'Lease Cycles'!$C$26*'Lease Cycles'!$AU$26/12,'Lease Cycles'!$C$26*INDEX('Lease Cycles'!$CB$26:$CH$26,1,EK316)*(1+INDEX('Lease Cycles'!$CI$26:$CO$26,1,EK316))^INT(INT(EK317/12)/INDEX('Lease Cycles'!$CP$26:$CV$26,1,EK316))/12)))),'Lease Cycles'!$C$26*INDEX('Lease Cycles'!$CB$26:$CH$26,1,EK316)*(1+INDEX('Lease Cycles'!$CI$26:$CO$26,1,EK316))^INT(INT(EK317/12)/INDEX('Lease Cycles'!$CP$26:$CV$26,1,EK316))/12))),IF('Lease Cycles'!$N$26=1,'Lease Cycles'!$C$26*'Lease Cycles'!$E$26*INDEX('Lease Cycles'!$HE$26:$HK$26,1,EK316)*(1+INDEX('Lease Cycles'!$GQ$26:$GW$26,1,EK316))^INT(INT((EK$6-INDEX('Lease Cycles'!$GJ$26:$GP$26,1,EK316))/12)/INDEX('Lease Cycles'!$GX$26:$HD$26,1,EK316))/12,0)))</f>
        <v>0</v>
      </c>
      <c r="EL319" s="28">
        <f>IF(EL316=0,IF('Lease Cycles'!$F$26&gt;0,'Lease Cycles'!$C$26*'Lease Cycles'!$E$26/12,0),IF(EL318=1,IF('Lease Cycles'!$AT$26&gt;=9999,'Lease Cycles'!$C$26*INDEX('Lease Cycles'!$CB$26:$CH$26,1,EL316)*(1+INDEX('Lease Cycles'!$CI$26:$CO$26,1,EL316))^INT(INT(EL317/12)/INDEX('Lease Cycles'!$CP$26:$CV$26,1,EL316))/12,IF(EL316=1,IF(EL317&gt;=INDEX('Lease Cycles'!$DK$26:$DQ$26,1,EL316),IF(EL$6&gt;='Lease Cycles'!$AZ$26,'Lease Cycles'!$C$26*'Lease Cycles'!$BA$26/12,IF(EL$6&gt;='Lease Cycles'!$AX$26,'Lease Cycles'!$C$26*'Lease Cycles'!$AY$26/12,IF(EL$6&gt;='Lease Cycles'!$AV$26,'Lease Cycles'!$C$26*'Lease Cycles'!$AW$26/12,IF(EL$6&gt;='Lease Cycles'!$AT$26,'Lease Cycles'!$C$26*'Lease Cycles'!$AU$26/12,'Lease Cycles'!$C$26*INDEX('Lease Cycles'!$CB$26:$CH$26,1,EL316)*(1+INDEX('Lease Cycles'!$CI$26:$CO$26,1,EL316))^INT(INT(EL317/12)/INDEX('Lease Cycles'!$CP$26:$CV$26,1,EL316))/12)))),'Lease Cycles'!$C$26*INDEX('Lease Cycles'!$CB$26:$CH$26,1,EL316)*(1+INDEX('Lease Cycles'!$CI$26:$CO$26,1,EL316))^INT(INT(EL317/12)/INDEX('Lease Cycles'!$CP$26:$CV$26,1,EL316))/12),IF(INDEX('Lease Cycles'!$EF$26:$EL$26,1,EL316)=1,IF(AND('Lease Cycles'!$AZ$26&gt;=INDEX('Lease Cycles'!$BG$26:$BM$26,1,EL316),'Lease Cycles'!$AZ$26&lt;=EL$6),'Lease Cycles'!$C$26*'Lease Cycles'!$BA$26/12,IF(AND('Lease Cycles'!$AX$26&gt;=INDEX('Lease Cycles'!$BG$26:$BM$26,1,EL316),'Lease Cycles'!$AX$26&lt;=EL$6),'Lease Cycles'!$C$26*'Lease Cycles'!$AY$26/12,IF(AND('Lease Cycles'!$AV$26&gt;=INDEX('Lease Cycles'!$BG$26:$BM$26,1,EL316),'Lease Cycles'!$AV$26&lt;=EL$6),'Lease Cycles'!$C$26*'Lease Cycles'!$AW$26/12,IF(AND('Lease Cycles'!$AT$26&gt;=INDEX('Lease Cycles'!$BG$26:$BM$26,1,EL316),'Lease Cycles'!$AT$26&lt;=EL$6),'Lease Cycles'!$C$26*'Lease Cycles'!$AU$26/12,'Lease Cycles'!$C$26*INDEX('Lease Cycles'!$CB$26:$CH$26,1,EL316)*(1+INDEX('Lease Cycles'!$CI$26:$CO$26,1,EL316))^INT(INT(EL317/12)/INDEX('Lease Cycles'!$CP$26:$CV$26,1,EL316))/12)))),'Lease Cycles'!$C$26*INDEX('Lease Cycles'!$CB$26:$CH$26,1,EL316)*(1+INDEX('Lease Cycles'!$CI$26:$CO$26,1,EL316))^INT(INT(EL317/12)/INDEX('Lease Cycles'!$CP$26:$CV$26,1,EL316))/12))),IF('Lease Cycles'!$N$26=1,'Lease Cycles'!$C$26*'Lease Cycles'!$E$26*INDEX('Lease Cycles'!$HE$26:$HK$26,1,EL316)*(1+INDEX('Lease Cycles'!$GQ$26:$GW$26,1,EL316))^INT(INT((EL$6-INDEX('Lease Cycles'!$GJ$26:$GP$26,1,EL316))/12)/INDEX('Lease Cycles'!$GX$26:$HD$26,1,EL316))/12,0)))</f>
        <v>0</v>
      </c>
      <c r="EM319" s="28">
        <f>IF(EM316=0,IF('Lease Cycles'!$F$26&gt;0,'Lease Cycles'!$C$26*'Lease Cycles'!$E$26/12,0),IF(EM318=1,IF('Lease Cycles'!$AT$26&gt;=9999,'Lease Cycles'!$C$26*INDEX('Lease Cycles'!$CB$26:$CH$26,1,EM316)*(1+INDEX('Lease Cycles'!$CI$26:$CO$26,1,EM316))^INT(INT(EM317/12)/INDEX('Lease Cycles'!$CP$26:$CV$26,1,EM316))/12,IF(EM316=1,IF(EM317&gt;=INDEX('Lease Cycles'!$DK$26:$DQ$26,1,EM316),IF(EM$6&gt;='Lease Cycles'!$AZ$26,'Lease Cycles'!$C$26*'Lease Cycles'!$BA$26/12,IF(EM$6&gt;='Lease Cycles'!$AX$26,'Lease Cycles'!$C$26*'Lease Cycles'!$AY$26/12,IF(EM$6&gt;='Lease Cycles'!$AV$26,'Lease Cycles'!$C$26*'Lease Cycles'!$AW$26/12,IF(EM$6&gt;='Lease Cycles'!$AT$26,'Lease Cycles'!$C$26*'Lease Cycles'!$AU$26/12,'Lease Cycles'!$C$26*INDEX('Lease Cycles'!$CB$26:$CH$26,1,EM316)*(1+INDEX('Lease Cycles'!$CI$26:$CO$26,1,EM316))^INT(INT(EM317/12)/INDEX('Lease Cycles'!$CP$26:$CV$26,1,EM316))/12)))),'Lease Cycles'!$C$26*INDEX('Lease Cycles'!$CB$26:$CH$26,1,EM316)*(1+INDEX('Lease Cycles'!$CI$26:$CO$26,1,EM316))^INT(INT(EM317/12)/INDEX('Lease Cycles'!$CP$26:$CV$26,1,EM316))/12),IF(INDEX('Lease Cycles'!$EF$26:$EL$26,1,EM316)=1,IF(AND('Lease Cycles'!$AZ$26&gt;=INDEX('Lease Cycles'!$BG$26:$BM$26,1,EM316),'Lease Cycles'!$AZ$26&lt;=EM$6),'Lease Cycles'!$C$26*'Lease Cycles'!$BA$26/12,IF(AND('Lease Cycles'!$AX$26&gt;=INDEX('Lease Cycles'!$BG$26:$BM$26,1,EM316),'Lease Cycles'!$AX$26&lt;=EM$6),'Lease Cycles'!$C$26*'Lease Cycles'!$AY$26/12,IF(AND('Lease Cycles'!$AV$26&gt;=INDEX('Lease Cycles'!$BG$26:$BM$26,1,EM316),'Lease Cycles'!$AV$26&lt;=EM$6),'Lease Cycles'!$C$26*'Lease Cycles'!$AW$26/12,IF(AND('Lease Cycles'!$AT$26&gt;=INDEX('Lease Cycles'!$BG$26:$BM$26,1,EM316),'Lease Cycles'!$AT$26&lt;=EM$6),'Lease Cycles'!$C$26*'Lease Cycles'!$AU$26/12,'Lease Cycles'!$C$26*INDEX('Lease Cycles'!$CB$26:$CH$26,1,EM316)*(1+INDEX('Lease Cycles'!$CI$26:$CO$26,1,EM316))^INT(INT(EM317/12)/INDEX('Lease Cycles'!$CP$26:$CV$26,1,EM316))/12)))),'Lease Cycles'!$C$26*INDEX('Lease Cycles'!$CB$26:$CH$26,1,EM316)*(1+INDEX('Lease Cycles'!$CI$26:$CO$26,1,EM316))^INT(INT(EM317/12)/INDEX('Lease Cycles'!$CP$26:$CV$26,1,EM316))/12))),IF('Lease Cycles'!$N$26=1,'Lease Cycles'!$C$26*'Lease Cycles'!$E$26*INDEX('Lease Cycles'!$HE$26:$HK$26,1,EM316)*(1+INDEX('Lease Cycles'!$GQ$26:$GW$26,1,EM316))^INT(INT((EM$6-INDEX('Lease Cycles'!$GJ$26:$GP$26,1,EM316))/12)/INDEX('Lease Cycles'!$GX$26:$HD$26,1,EM316))/12,0)))</f>
        <v>0</v>
      </c>
      <c r="EN319" s="28">
        <f>IF(EN316=0,IF('Lease Cycles'!$F$26&gt;0,'Lease Cycles'!$C$26*'Lease Cycles'!$E$26/12,0),IF(EN318=1,IF('Lease Cycles'!$AT$26&gt;=9999,'Lease Cycles'!$C$26*INDEX('Lease Cycles'!$CB$26:$CH$26,1,EN316)*(1+INDEX('Lease Cycles'!$CI$26:$CO$26,1,EN316))^INT(INT(EN317/12)/INDEX('Lease Cycles'!$CP$26:$CV$26,1,EN316))/12,IF(EN316=1,IF(EN317&gt;=INDEX('Lease Cycles'!$DK$26:$DQ$26,1,EN316),IF(EN$6&gt;='Lease Cycles'!$AZ$26,'Lease Cycles'!$C$26*'Lease Cycles'!$BA$26/12,IF(EN$6&gt;='Lease Cycles'!$AX$26,'Lease Cycles'!$C$26*'Lease Cycles'!$AY$26/12,IF(EN$6&gt;='Lease Cycles'!$AV$26,'Lease Cycles'!$C$26*'Lease Cycles'!$AW$26/12,IF(EN$6&gt;='Lease Cycles'!$AT$26,'Lease Cycles'!$C$26*'Lease Cycles'!$AU$26/12,'Lease Cycles'!$C$26*INDEX('Lease Cycles'!$CB$26:$CH$26,1,EN316)*(1+INDEX('Lease Cycles'!$CI$26:$CO$26,1,EN316))^INT(INT(EN317/12)/INDEX('Lease Cycles'!$CP$26:$CV$26,1,EN316))/12)))),'Lease Cycles'!$C$26*INDEX('Lease Cycles'!$CB$26:$CH$26,1,EN316)*(1+INDEX('Lease Cycles'!$CI$26:$CO$26,1,EN316))^INT(INT(EN317/12)/INDEX('Lease Cycles'!$CP$26:$CV$26,1,EN316))/12),IF(INDEX('Lease Cycles'!$EF$26:$EL$26,1,EN316)=1,IF(AND('Lease Cycles'!$AZ$26&gt;=INDEX('Lease Cycles'!$BG$26:$BM$26,1,EN316),'Lease Cycles'!$AZ$26&lt;=EN$6),'Lease Cycles'!$C$26*'Lease Cycles'!$BA$26/12,IF(AND('Lease Cycles'!$AX$26&gt;=INDEX('Lease Cycles'!$BG$26:$BM$26,1,EN316),'Lease Cycles'!$AX$26&lt;=EN$6),'Lease Cycles'!$C$26*'Lease Cycles'!$AY$26/12,IF(AND('Lease Cycles'!$AV$26&gt;=INDEX('Lease Cycles'!$BG$26:$BM$26,1,EN316),'Lease Cycles'!$AV$26&lt;=EN$6),'Lease Cycles'!$C$26*'Lease Cycles'!$AW$26/12,IF(AND('Lease Cycles'!$AT$26&gt;=INDEX('Lease Cycles'!$BG$26:$BM$26,1,EN316),'Lease Cycles'!$AT$26&lt;=EN$6),'Lease Cycles'!$C$26*'Lease Cycles'!$AU$26/12,'Lease Cycles'!$C$26*INDEX('Lease Cycles'!$CB$26:$CH$26,1,EN316)*(1+INDEX('Lease Cycles'!$CI$26:$CO$26,1,EN316))^INT(INT(EN317/12)/INDEX('Lease Cycles'!$CP$26:$CV$26,1,EN316))/12)))),'Lease Cycles'!$C$26*INDEX('Lease Cycles'!$CB$26:$CH$26,1,EN316)*(1+INDEX('Lease Cycles'!$CI$26:$CO$26,1,EN316))^INT(INT(EN317/12)/INDEX('Lease Cycles'!$CP$26:$CV$26,1,EN316))/12))),IF('Lease Cycles'!$N$26=1,'Lease Cycles'!$C$26*'Lease Cycles'!$E$26*INDEX('Lease Cycles'!$HE$26:$HK$26,1,EN316)*(1+INDEX('Lease Cycles'!$GQ$26:$GW$26,1,EN316))^INT(INT((EN$6-INDEX('Lease Cycles'!$GJ$26:$GP$26,1,EN316))/12)/INDEX('Lease Cycles'!$GX$26:$HD$26,1,EN316))/12,0)))</f>
        <v>0</v>
      </c>
      <c r="EO319" s="28">
        <f>IF(EO316=0,IF('Lease Cycles'!$F$26&gt;0,'Lease Cycles'!$C$26*'Lease Cycles'!$E$26/12,0),IF(EO318=1,IF('Lease Cycles'!$AT$26&gt;=9999,'Lease Cycles'!$C$26*INDEX('Lease Cycles'!$CB$26:$CH$26,1,EO316)*(1+INDEX('Lease Cycles'!$CI$26:$CO$26,1,EO316))^INT(INT(EO317/12)/INDEX('Lease Cycles'!$CP$26:$CV$26,1,EO316))/12,IF(EO316=1,IF(EO317&gt;=INDEX('Lease Cycles'!$DK$26:$DQ$26,1,EO316),IF(EO$6&gt;='Lease Cycles'!$AZ$26,'Lease Cycles'!$C$26*'Lease Cycles'!$BA$26/12,IF(EO$6&gt;='Lease Cycles'!$AX$26,'Lease Cycles'!$C$26*'Lease Cycles'!$AY$26/12,IF(EO$6&gt;='Lease Cycles'!$AV$26,'Lease Cycles'!$C$26*'Lease Cycles'!$AW$26/12,IF(EO$6&gt;='Lease Cycles'!$AT$26,'Lease Cycles'!$C$26*'Lease Cycles'!$AU$26/12,'Lease Cycles'!$C$26*INDEX('Lease Cycles'!$CB$26:$CH$26,1,EO316)*(1+INDEX('Lease Cycles'!$CI$26:$CO$26,1,EO316))^INT(INT(EO317/12)/INDEX('Lease Cycles'!$CP$26:$CV$26,1,EO316))/12)))),'Lease Cycles'!$C$26*INDEX('Lease Cycles'!$CB$26:$CH$26,1,EO316)*(1+INDEX('Lease Cycles'!$CI$26:$CO$26,1,EO316))^INT(INT(EO317/12)/INDEX('Lease Cycles'!$CP$26:$CV$26,1,EO316))/12),IF(INDEX('Lease Cycles'!$EF$26:$EL$26,1,EO316)=1,IF(AND('Lease Cycles'!$AZ$26&gt;=INDEX('Lease Cycles'!$BG$26:$BM$26,1,EO316),'Lease Cycles'!$AZ$26&lt;=EO$6),'Lease Cycles'!$C$26*'Lease Cycles'!$BA$26/12,IF(AND('Lease Cycles'!$AX$26&gt;=INDEX('Lease Cycles'!$BG$26:$BM$26,1,EO316),'Lease Cycles'!$AX$26&lt;=EO$6),'Lease Cycles'!$C$26*'Lease Cycles'!$AY$26/12,IF(AND('Lease Cycles'!$AV$26&gt;=INDEX('Lease Cycles'!$BG$26:$BM$26,1,EO316),'Lease Cycles'!$AV$26&lt;=EO$6),'Lease Cycles'!$C$26*'Lease Cycles'!$AW$26/12,IF(AND('Lease Cycles'!$AT$26&gt;=INDEX('Lease Cycles'!$BG$26:$BM$26,1,EO316),'Lease Cycles'!$AT$26&lt;=EO$6),'Lease Cycles'!$C$26*'Lease Cycles'!$AU$26/12,'Lease Cycles'!$C$26*INDEX('Lease Cycles'!$CB$26:$CH$26,1,EO316)*(1+INDEX('Lease Cycles'!$CI$26:$CO$26,1,EO316))^INT(INT(EO317/12)/INDEX('Lease Cycles'!$CP$26:$CV$26,1,EO316))/12)))),'Lease Cycles'!$C$26*INDEX('Lease Cycles'!$CB$26:$CH$26,1,EO316)*(1+INDEX('Lease Cycles'!$CI$26:$CO$26,1,EO316))^INT(INT(EO317/12)/INDEX('Lease Cycles'!$CP$26:$CV$26,1,EO316))/12))),IF('Lease Cycles'!$N$26=1,'Lease Cycles'!$C$26*'Lease Cycles'!$E$26*INDEX('Lease Cycles'!$HE$26:$HK$26,1,EO316)*(1+INDEX('Lease Cycles'!$GQ$26:$GW$26,1,EO316))^INT(INT((EO$6-INDEX('Lease Cycles'!$GJ$26:$GP$26,1,EO316))/12)/INDEX('Lease Cycles'!$GX$26:$HD$26,1,EO316))/12,0)))</f>
        <v>0</v>
      </c>
      <c r="EP319" s="28">
        <f>IF(EP316=0,IF('Lease Cycles'!$F$26&gt;0,'Lease Cycles'!$C$26*'Lease Cycles'!$E$26/12,0),IF(EP318=1,IF('Lease Cycles'!$AT$26&gt;=9999,'Lease Cycles'!$C$26*INDEX('Lease Cycles'!$CB$26:$CH$26,1,EP316)*(1+INDEX('Lease Cycles'!$CI$26:$CO$26,1,EP316))^INT(INT(EP317/12)/INDEX('Lease Cycles'!$CP$26:$CV$26,1,EP316))/12,IF(EP316=1,IF(EP317&gt;=INDEX('Lease Cycles'!$DK$26:$DQ$26,1,EP316),IF(EP$6&gt;='Lease Cycles'!$AZ$26,'Lease Cycles'!$C$26*'Lease Cycles'!$BA$26/12,IF(EP$6&gt;='Lease Cycles'!$AX$26,'Lease Cycles'!$C$26*'Lease Cycles'!$AY$26/12,IF(EP$6&gt;='Lease Cycles'!$AV$26,'Lease Cycles'!$C$26*'Lease Cycles'!$AW$26/12,IF(EP$6&gt;='Lease Cycles'!$AT$26,'Lease Cycles'!$C$26*'Lease Cycles'!$AU$26/12,'Lease Cycles'!$C$26*INDEX('Lease Cycles'!$CB$26:$CH$26,1,EP316)*(1+INDEX('Lease Cycles'!$CI$26:$CO$26,1,EP316))^INT(INT(EP317/12)/INDEX('Lease Cycles'!$CP$26:$CV$26,1,EP316))/12)))),'Lease Cycles'!$C$26*INDEX('Lease Cycles'!$CB$26:$CH$26,1,EP316)*(1+INDEX('Lease Cycles'!$CI$26:$CO$26,1,EP316))^INT(INT(EP317/12)/INDEX('Lease Cycles'!$CP$26:$CV$26,1,EP316))/12),IF(INDEX('Lease Cycles'!$EF$26:$EL$26,1,EP316)=1,IF(AND('Lease Cycles'!$AZ$26&gt;=INDEX('Lease Cycles'!$BG$26:$BM$26,1,EP316),'Lease Cycles'!$AZ$26&lt;=EP$6),'Lease Cycles'!$C$26*'Lease Cycles'!$BA$26/12,IF(AND('Lease Cycles'!$AX$26&gt;=INDEX('Lease Cycles'!$BG$26:$BM$26,1,EP316),'Lease Cycles'!$AX$26&lt;=EP$6),'Lease Cycles'!$C$26*'Lease Cycles'!$AY$26/12,IF(AND('Lease Cycles'!$AV$26&gt;=INDEX('Lease Cycles'!$BG$26:$BM$26,1,EP316),'Lease Cycles'!$AV$26&lt;=EP$6),'Lease Cycles'!$C$26*'Lease Cycles'!$AW$26/12,IF(AND('Lease Cycles'!$AT$26&gt;=INDEX('Lease Cycles'!$BG$26:$BM$26,1,EP316),'Lease Cycles'!$AT$26&lt;=EP$6),'Lease Cycles'!$C$26*'Lease Cycles'!$AU$26/12,'Lease Cycles'!$C$26*INDEX('Lease Cycles'!$CB$26:$CH$26,1,EP316)*(1+INDEX('Lease Cycles'!$CI$26:$CO$26,1,EP316))^INT(INT(EP317/12)/INDEX('Lease Cycles'!$CP$26:$CV$26,1,EP316))/12)))),'Lease Cycles'!$C$26*INDEX('Lease Cycles'!$CB$26:$CH$26,1,EP316)*(1+INDEX('Lease Cycles'!$CI$26:$CO$26,1,EP316))^INT(INT(EP317/12)/INDEX('Lease Cycles'!$CP$26:$CV$26,1,EP316))/12))),IF('Lease Cycles'!$N$26=1,'Lease Cycles'!$C$26*'Lease Cycles'!$E$26*INDEX('Lease Cycles'!$HE$26:$HK$26,1,EP316)*(1+INDEX('Lease Cycles'!$GQ$26:$GW$26,1,EP316))^INT(INT((EP$6-INDEX('Lease Cycles'!$GJ$26:$GP$26,1,EP316))/12)/INDEX('Lease Cycles'!$GX$26:$HD$26,1,EP316))/12,0)))</f>
        <v>0</v>
      </c>
      <c r="EQ319" s="28">
        <f>IF(EQ316=0,IF('Lease Cycles'!$F$26&gt;0,'Lease Cycles'!$C$26*'Lease Cycles'!$E$26/12,0),IF(EQ318=1,IF('Lease Cycles'!$AT$26&gt;=9999,'Lease Cycles'!$C$26*INDEX('Lease Cycles'!$CB$26:$CH$26,1,EQ316)*(1+INDEX('Lease Cycles'!$CI$26:$CO$26,1,EQ316))^INT(INT(EQ317/12)/INDEX('Lease Cycles'!$CP$26:$CV$26,1,EQ316))/12,IF(EQ316=1,IF(EQ317&gt;=INDEX('Lease Cycles'!$DK$26:$DQ$26,1,EQ316),IF(EQ$6&gt;='Lease Cycles'!$AZ$26,'Lease Cycles'!$C$26*'Lease Cycles'!$BA$26/12,IF(EQ$6&gt;='Lease Cycles'!$AX$26,'Lease Cycles'!$C$26*'Lease Cycles'!$AY$26/12,IF(EQ$6&gt;='Lease Cycles'!$AV$26,'Lease Cycles'!$C$26*'Lease Cycles'!$AW$26/12,IF(EQ$6&gt;='Lease Cycles'!$AT$26,'Lease Cycles'!$C$26*'Lease Cycles'!$AU$26/12,'Lease Cycles'!$C$26*INDEX('Lease Cycles'!$CB$26:$CH$26,1,EQ316)*(1+INDEX('Lease Cycles'!$CI$26:$CO$26,1,EQ316))^INT(INT(EQ317/12)/INDEX('Lease Cycles'!$CP$26:$CV$26,1,EQ316))/12)))),'Lease Cycles'!$C$26*INDEX('Lease Cycles'!$CB$26:$CH$26,1,EQ316)*(1+INDEX('Lease Cycles'!$CI$26:$CO$26,1,EQ316))^INT(INT(EQ317/12)/INDEX('Lease Cycles'!$CP$26:$CV$26,1,EQ316))/12),IF(INDEX('Lease Cycles'!$EF$26:$EL$26,1,EQ316)=1,IF(AND('Lease Cycles'!$AZ$26&gt;=INDEX('Lease Cycles'!$BG$26:$BM$26,1,EQ316),'Lease Cycles'!$AZ$26&lt;=EQ$6),'Lease Cycles'!$C$26*'Lease Cycles'!$BA$26/12,IF(AND('Lease Cycles'!$AX$26&gt;=INDEX('Lease Cycles'!$BG$26:$BM$26,1,EQ316),'Lease Cycles'!$AX$26&lt;=EQ$6),'Lease Cycles'!$C$26*'Lease Cycles'!$AY$26/12,IF(AND('Lease Cycles'!$AV$26&gt;=INDEX('Lease Cycles'!$BG$26:$BM$26,1,EQ316),'Lease Cycles'!$AV$26&lt;=EQ$6),'Lease Cycles'!$C$26*'Lease Cycles'!$AW$26/12,IF(AND('Lease Cycles'!$AT$26&gt;=INDEX('Lease Cycles'!$BG$26:$BM$26,1,EQ316),'Lease Cycles'!$AT$26&lt;=EQ$6),'Lease Cycles'!$C$26*'Lease Cycles'!$AU$26/12,'Lease Cycles'!$C$26*INDEX('Lease Cycles'!$CB$26:$CH$26,1,EQ316)*(1+INDEX('Lease Cycles'!$CI$26:$CO$26,1,EQ316))^INT(INT(EQ317/12)/INDEX('Lease Cycles'!$CP$26:$CV$26,1,EQ316))/12)))),'Lease Cycles'!$C$26*INDEX('Lease Cycles'!$CB$26:$CH$26,1,EQ316)*(1+INDEX('Lease Cycles'!$CI$26:$CO$26,1,EQ316))^INT(INT(EQ317/12)/INDEX('Lease Cycles'!$CP$26:$CV$26,1,EQ316))/12))),IF('Lease Cycles'!$N$26=1,'Lease Cycles'!$C$26*'Lease Cycles'!$E$26*INDEX('Lease Cycles'!$HE$26:$HK$26,1,EQ316)*(1+INDEX('Lease Cycles'!$GQ$26:$GW$26,1,EQ316))^INT(INT((EQ$6-INDEX('Lease Cycles'!$GJ$26:$GP$26,1,EQ316))/12)/INDEX('Lease Cycles'!$GX$26:$HD$26,1,EQ316))/12,0)))</f>
        <v>0</v>
      </c>
      <c r="ER319" s="28">
        <f>IF(ER316=0,IF('Lease Cycles'!$F$26&gt;0,'Lease Cycles'!$C$26*'Lease Cycles'!$E$26/12,0),IF(ER318=1,IF('Lease Cycles'!$AT$26&gt;=9999,'Lease Cycles'!$C$26*INDEX('Lease Cycles'!$CB$26:$CH$26,1,ER316)*(1+INDEX('Lease Cycles'!$CI$26:$CO$26,1,ER316))^INT(INT(ER317/12)/INDEX('Lease Cycles'!$CP$26:$CV$26,1,ER316))/12,IF(ER316=1,IF(ER317&gt;=INDEX('Lease Cycles'!$DK$26:$DQ$26,1,ER316),IF(ER$6&gt;='Lease Cycles'!$AZ$26,'Lease Cycles'!$C$26*'Lease Cycles'!$BA$26/12,IF(ER$6&gt;='Lease Cycles'!$AX$26,'Lease Cycles'!$C$26*'Lease Cycles'!$AY$26/12,IF(ER$6&gt;='Lease Cycles'!$AV$26,'Lease Cycles'!$C$26*'Lease Cycles'!$AW$26/12,IF(ER$6&gt;='Lease Cycles'!$AT$26,'Lease Cycles'!$C$26*'Lease Cycles'!$AU$26/12,'Lease Cycles'!$C$26*INDEX('Lease Cycles'!$CB$26:$CH$26,1,ER316)*(1+INDEX('Lease Cycles'!$CI$26:$CO$26,1,ER316))^INT(INT(ER317/12)/INDEX('Lease Cycles'!$CP$26:$CV$26,1,ER316))/12)))),'Lease Cycles'!$C$26*INDEX('Lease Cycles'!$CB$26:$CH$26,1,ER316)*(1+INDEX('Lease Cycles'!$CI$26:$CO$26,1,ER316))^INT(INT(ER317/12)/INDEX('Lease Cycles'!$CP$26:$CV$26,1,ER316))/12),IF(INDEX('Lease Cycles'!$EF$26:$EL$26,1,ER316)=1,IF(AND('Lease Cycles'!$AZ$26&gt;=INDEX('Lease Cycles'!$BG$26:$BM$26,1,ER316),'Lease Cycles'!$AZ$26&lt;=ER$6),'Lease Cycles'!$C$26*'Lease Cycles'!$BA$26/12,IF(AND('Lease Cycles'!$AX$26&gt;=INDEX('Lease Cycles'!$BG$26:$BM$26,1,ER316),'Lease Cycles'!$AX$26&lt;=ER$6),'Lease Cycles'!$C$26*'Lease Cycles'!$AY$26/12,IF(AND('Lease Cycles'!$AV$26&gt;=INDEX('Lease Cycles'!$BG$26:$BM$26,1,ER316),'Lease Cycles'!$AV$26&lt;=ER$6),'Lease Cycles'!$C$26*'Lease Cycles'!$AW$26/12,IF(AND('Lease Cycles'!$AT$26&gt;=INDEX('Lease Cycles'!$BG$26:$BM$26,1,ER316),'Lease Cycles'!$AT$26&lt;=ER$6),'Lease Cycles'!$C$26*'Lease Cycles'!$AU$26/12,'Lease Cycles'!$C$26*INDEX('Lease Cycles'!$CB$26:$CH$26,1,ER316)*(1+INDEX('Lease Cycles'!$CI$26:$CO$26,1,ER316))^INT(INT(ER317/12)/INDEX('Lease Cycles'!$CP$26:$CV$26,1,ER316))/12)))),'Lease Cycles'!$C$26*INDEX('Lease Cycles'!$CB$26:$CH$26,1,ER316)*(1+INDEX('Lease Cycles'!$CI$26:$CO$26,1,ER316))^INT(INT(ER317/12)/INDEX('Lease Cycles'!$CP$26:$CV$26,1,ER316))/12))),IF('Lease Cycles'!$N$26=1,'Lease Cycles'!$C$26*'Lease Cycles'!$E$26*INDEX('Lease Cycles'!$HE$26:$HK$26,1,ER316)*(1+INDEX('Lease Cycles'!$GQ$26:$GW$26,1,ER316))^INT(INT((ER$6-INDEX('Lease Cycles'!$GJ$26:$GP$26,1,ER316))/12)/INDEX('Lease Cycles'!$GX$26:$HD$26,1,ER316))/12,0)))</f>
        <v>0</v>
      </c>
      <c r="ES319" s="28">
        <f>IF(ES316=0,IF('Lease Cycles'!$F$26&gt;0,'Lease Cycles'!$C$26*'Lease Cycles'!$E$26/12,0),IF(ES318=1,IF('Lease Cycles'!$AT$26&gt;=9999,'Lease Cycles'!$C$26*INDEX('Lease Cycles'!$CB$26:$CH$26,1,ES316)*(1+INDEX('Lease Cycles'!$CI$26:$CO$26,1,ES316))^INT(INT(ES317/12)/INDEX('Lease Cycles'!$CP$26:$CV$26,1,ES316))/12,IF(ES316=1,IF(ES317&gt;=INDEX('Lease Cycles'!$DK$26:$DQ$26,1,ES316),IF(ES$6&gt;='Lease Cycles'!$AZ$26,'Lease Cycles'!$C$26*'Lease Cycles'!$BA$26/12,IF(ES$6&gt;='Lease Cycles'!$AX$26,'Lease Cycles'!$C$26*'Lease Cycles'!$AY$26/12,IF(ES$6&gt;='Lease Cycles'!$AV$26,'Lease Cycles'!$C$26*'Lease Cycles'!$AW$26/12,IF(ES$6&gt;='Lease Cycles'!$AT$26,'Lease Cycles'!$C$26*'Lease Cycles'!$AU$26/12,'Lease Cycles'!$C$26*INDEX('Lease Cycles'!$CB$26:$CH$26,1,ES316)*(1+INDEX('Lease Cycles'!$CI$26:$CO$26,1,ES316))^INT(INT(ES317/12)/INDEX('Lease Cycles'!$CP$26:$CV$26,1,ES316))/12)))),'Lease Cycles'!$C$26*INDEX('Lease Cycles'!$CB$26:$CH$26,1,ES316)*(1+INDEX('Lease Cycles'!$CI$26:$CO$26,1,ES316))^INT(INT(ES317/12)/INDEX('Lease Cycles'!$CP$26:$CV$26,1,ES316))/12),IF(INDEX('Lease Cycles'!$EF$26:$EL$26,1,ES316)=1,IF(AND('Lease Cycles'!$AZ$26&gt;=INDEX('Lease Cycles'!$BG$26:$BM$26,1,ES316),'Lease Cycles'!$AZ$26&lt;=ES$6),'Lease Cycles'!$C$26*'Lease Cycles'!$BA$26/12,IF(AND('Lease Cycles'!$AX$26&gt;=INDEX('Lease Cycles'!$BG$26:$BM$26,1,ES316),'Lease Cycles'!$AX$26&lt;=ES$6),'Lease Cycles'!$C$26*'Lease Cycles'!$AY$26/12,IF(AND('Lease Cycles'!$AV$26&gt;=INDEX('Lease Cycles'!$BG$26:$BM$26,1,ES316),'Lease Cycles'!$AV$26&lt;=ES$6),'Lease Cycles'!$C$26*'Lease Cycles'!$AW$26/12,IF(AND('Lease Cycles'!$AT$26&gt;=INDEX('Lease Cycles'!$BG$26:$BM$26,1,ES316),'Lease Cycles'!$AT$26&lt;=ES$6),'Lease Cycles'!$C$26*'Lease Cycles'!$AU$26/12,'Lease Cycles'!$C$26*INDEX('Lease Cycles'!$CB$26:$CH$26,1,ES316)*(1+INDEX('Lease Cycles'!$CI$26:$CO$26,1,ES316))^INT(INT(ES317/12)/INDEX('Lease Cycles'!$CP$26:$CV$26,1,ES316))/12)))),'Lease Cycles'!$C$26*INDEX('Lease Cycles'!$CB$26:$CH$26,1,ES316)*(1+INDEX('Lease Cycles'!$CI$26:$CO$26,1,ES316))^INT(INT(ES317/12)/INDEX('Lease Cycles'!$CP$26:$CV$26,1,ES316))/12))),IF('Lease Cycles'!$N$26=1,'Lease Cycles'!$C$26*'Lease Cycles'!$E$26*INDEX('Lease Cycles'!$HE$26:$HK$26,1,ES316)*(1+INDEX('Lease Cycles'!$GQ$26:$GW$26,1,ES316))^INT(INT((ES$6-INDEX('Lease Cycles'!$GJ$26:$GP$26,1,ES316))/12)/INDEX('Lease Cycles'!$GX$26:$HD$26,1,ES316))/12,0)))</f>
        <v>0</v>
      </c>
      <c r="ET319" s="28">
        <f>IF(ET316=0,IF('Lease Cycles'!$F$26&gt;0,'Lease Cycles'!$C$26*'Lease Cycles'!$E$26/12,0),IF(ET318=1,IF('Lease Cycles'!$AT$26&gt;=9999,'Lease Cycles'!$C$26*INDEX('Lease Cycles'!$CB$26:$CH$26,1,ET316)*(1+INDEX('Lease Cycles'!$CI$26:$CO$26,1,ET316))^INT(INT(ET317/12)/INDEX('Lease Cycles'!$CP$26:$CV$26,1,ET316))/12,IF(ET316=1,IF(ET317&gt;=INDEX('Lease Cycles'!$DK$26:$DQ$26,1,ET316),IF(ET$6&gt;='Lease Cycles'!$AZ$26,'Lease Cycles'!$C$26*'Lease Cycles'!$BA$26/12,IF(ET$6&gt;='Lease Cycles'!$AX$26,'Lease Cycles'!$C$26*'Lease Cycles'!$AY$26/12,IF(ET$6&gt;='Lease Cycles'!$AV$26,'Lease Cycles'!$C$26*'Lease Cycles'!$AW$26/12,IF(ET$6&gt;='Lease Cycles'!$AT$26,'Lease Cycles'!$C$26*'Lease Cycles'!$AU$26/12,'Lease Cycles'!$C$26*INDEX('Lease Cycles'!$CB$26:$CH$26,1,ET316)*(1+INDEX('Lease Cycles'!$CI$26:$CO$26,1,ET316))^INT(INT(ET317/12)/INDEX('Lease Cycles'!$CP$26:$CV$26,1,ET316))/12)))),'Lease Cycles'!$C$26*INDEX('Lease Cycles'!$CB$26:$CH$26,1,ET316)*(1+INDEX('Lease Cycles'!$CI$26:$CO$26,1,ET316))^INT(INT(ET317/12)/INDEX('Lease Cycles'!$CP$26:$CV$26,1,ET316))/12),IF(INDEX('Lease Cycles'!$EF$26:$EL$26,1,ET316)=1,IF(AND('Lease Cycles'!$AZ$26&gt;=INDEX('Lease Cycles'!$BG$26:$BM$26,1,ET316),'Lease Cycles'!$AZ$26&lt;=ET$6),'Lease Cycles'!$C$26*'Lease Cycles'!$BA$26/12,IF(AND('Lease Cycles'!$AX$26&gt;=INDEX('Lease Cycles'!$BG$26:$BM$26,1,ET316),'Lease Cycles'!$AX$26&lt;=ET$6),'Lease Cycles'!$C$26*'Lease Cycles'!$AY$26/12,IF(AND('Lease Cycles'!$AV$26&gt;=INDEX('Lease Cycles'!$BG$26:$BM$26,1,ET316),'Lease Cycles'!$AV$26&lt;=ET$6),'Lease Cycles'!$C$26*'Lease Cycles'!$AW$26/12,IF(AND('Lease Cycles'!$AT$26&gt;=INDEX('Lease Cycles'!$BG$26:$BM$26,1,ET316),'Lease Cycles'!$AT$26&lt;=ET$6),'Lease Cycles'!$C$26*'Lease Cycles'!$AU$26/12,'Lease Cycles'!$C$26*INDEX('Lease Cycles'!$CB$26:$CH$26,1,ET316)*(1+INDEX('Lease Cycles'!$CI$26:$CO$26,1,ET316))^INT(INT(ET317/12)/INDEX('Lease Cycles'!$CP$26:$CV$26,1,ET316))/12)))),'Lease Cycles'!$C$26*INDEX('Lease Cycles'!$CB$26:$CH$26,1,ET316)*(1+INDEX('Lease Cycles'!$CI$26:$CO$26,1,ET316))^INT(INT(ET317/12)/INDEX('Lease Cycles'!$CP$26:$CV$26,1,ET316))/12))),IF('Lease Cycles'!$N$26=1,'Lease Cycles'!$C$26*'Lease Cycles'!$E$26*INDEX('Lease Cycles'!$HE$26:$HK$26,1,ET316)*(1+INDEX('Lease Cycles'!$GQ$26:$GW$26,1,ET316))^INT(INT((ET$6-INDEX('Lease Cycles'!$GJ$26:$GP$26,1,ET316))/12)/INDEX('Lease Cycles'!$GX$26:$HD$26,1,ET316))/12,0)))</f>
        <v>0</v>
      </c>
    </row>
    <row r="320">
      <c r="A320" s="103">
        <v>19</v>
      </c>
      <c r="B320" s="23" t="str">
        <f>IF('Lease Cycles'!$B$26="","(empty slot)",'Lease Cycles'!$B$26)</f>
        <v>(empty slot)</v>
      </c>
      <c r="C320" s="23" t="s">
        <v>679</v>
      </c>
      <c r="D320" s="104" t="s">
        <v>680</v>
      </c>
      <c r="E320" s="25">
        <f>'Lease Cycles'!$AL$26</f>
        <v>0</v>
      </c>
      <c r="S320" s="28">
        <f>IF(S318=1,IF(INDEX('Lease Cycles'!$EF$26:$EL$26,1,S316)=1,'Lease Cycles'!$C$26*INDEX('Lease Cycles'!$ET$26:$EZ$26,1,S316)*(1+'Lease Cycles'!$V$26)^INT(INT(S317/12)/'Lease Cycles'!$W$26)/12,0),0)</f>
        <v>0</v>
      </c>
      <c r="T320" s="28">
        <f>IF(T318=1,IF(INDEX('Lease Cycles'!$EF$26:$EL$26,1,T316)=1,'Lease Cycles'!$C$26*INDEX('Lease Cycles'!$ET$26:$EZ$26,1,T316)*(1+'Lease Cycles'!$V$26)^INT(INT(T317/12)/'Lease Cycles'!$W$26)/12,0),0)</f>
        <v>0</v>
      </c>
      <c r="U320" s="28">
        <f>IF(U318=1,IF(INDEX('Lease Cycles'!$EF$26:$EL$26,1,U316)=1,'Lease Cycles'!$C$26*INDEX('Lease Cycles'!$ET$26:$EZ$26,1,U316)*(1+'Lease Cycles'!$V$26)^INT(INT(U317/12)/'Lease Cycles'!$W$26)/12,0),0)</f>
        <v>0</v>
      </c>
      <c r="V320" s="28">
        <f>IF(V318=1,IF(INDEX('Lease Cycles'!$EF$26:$EL$26,1,V316)=1,'Lease Cycles'!$C$26*INDEX('Lease Cycles'!$ET$26:$EZ$26,1,V316)*(1+'Lease Cycles'!$V$26)^INT(INT(V317/12)/'Lease Cycles'!$W$26)/12,0),0)</f>
        <v>0</v>
      </c>
      <c r="W320" s="28">
        <f>IF(W318=1,IF(INDEX('Lease Cycles'!$EF$26:$EL$26,1,W316)=1,'Lease Cycles'!$C$26*INDEX('Lease Cycles'!$ET$26:$EZ$26,1,W316)*(1+'Lease Cycles'!$V$26)^INT(INT(W317/12)/'Lease Cycles'!$W$26)/12,0),0)</f>
        <v>0</v>
      </c>
      <c r="X320" s="28">
        <f>IF(X318=1,IF(INDEX('Lease Cycles'!$EF$26:$EL$26,1,X316)=1,'Lease Cycles'!$C$26*INDEX('Lease Cycles'!$ET$26:$EZ$26,1,X316)*(1+'Lease Cycles'!$V$26)^INT(INT(X317/12)/'Lease Cycles'!$W$26)/12,0),0)</f>
        <v>0</v>
      </c>
      <c r="Y320" s="28">
        <f>IF(Y318=1,IF(INDEX('Lease Cycles'!$EF$26:$EL$26,1,Y316)=1,'Lease Cycles'!$C$26*INDEX('Lease Cycles'!$ET$26:$EZ$26,1,Y316)*(1+'Lease Cycles'!$V$26)^INT(INT(Y317/12)/'Lease Cycles'!$W$26)/12,0),0)</f>
        <v>0</v>
      </c>
      <c r="Z320" s="28">
        <f>IF(Z318=1,IF(INDEX('Lease Cycles'!$EF$26:$EL$26,1,Z316)=1,'Lease Cycles'!$C$26*INDEX('Lease Cycles'!$ET$26:$EZ$26,1,Z316)*(1+'Lease Cycles'!$V$26)^INT(INT(Z317/12)/'Lease Cycles'!$W$26)/12,0),0)</f>
        <v>0</v>
      </c>
      <c r="AA320" s="28">
        <f>IF(AA318=1,IF(INDEX('Lease Cycles'!$EF$26:$EL$26,1,AA316)=1,'Lease Cycles'!$C$26*INDEX('Lease Cycles'!$ET$26:$EZ$26,1,AA316)*(1+'Lease Cycles'!$V$26)^INT(INT(AA317/12)/'Lease Cycles'!$W$26)/12,0),0)</f>
        <v>0</v>
      </c>
      <c r="AB320" s="28">
        <f>IF(AB318=1,IF(INDEX('Lease Cycles'!$EF$26:$EL$26,1,AB316)=1,'Lease Cycles'!$C$26*INDEX('Lease Cycles'!$ET$26:$EZ$26,1,AB316)*(1+'Lease Cycles'!$V$26)^INT(INT(AB317/12)/'Lease Cycles'!$W$26)/12,0),0)</f>
        <v>0</v>
      </c>
      <c r="AC320" s="28">
        <f>IF(AC318=1,IF(INDEX('Lease Cycles'!$EF$26:$EL$26,1,AC316)=1,'Lease Cycles'!$C$26*INDEX('Lease Cycles'!$ET$26:$EZ$26,1,AC316)*(1+'Lease Cycles'!$V$26)^INT(INT(AC317/12)/'Lease Cycles'!$W$26)/12,0),0)</f>
        <v>0</v>
      </c>
      <c r="AD320" s="28">
        <f>IF(AD318=1,IF(INDEX('Lease Cycles'!$EF$26:$EL$26,1,AD316)=1,'Lease Cycles'!$C$26*INDEX('Lease Cycles'!$ET$26:$EZ$26,1,AD316)*(1+'Lease Cycles'!$V$26)^INT(INT(AD317/12)/'Lease Cycles'!$W$26)/12,0),0)</f>
        <v>0</v>
      </c>
      <c r="AE320" s="28">
        <f>IF(AE318=1,IF(INDEX('Lease Cycles'!$EF$26:$EL$26,1,AE316)=1,'Lease Cycles'!$C$26*INDEX('Lease Cycles'!$ET$26:$EZ$26,1,AE316)*(1+'Lease Cycles'!$V$26)^INT(INT(AE317/12)/'Lease Cycles'!$W$26)/12,0),0)</f>
        <v>0</v>
      </c>
      <c r="AF320" s="28">
        <f>IF(AF318=1,IF(INDEX('Lease Cycles'!$EF$26:$EL$26,1,AF316)=1,'Lease Cycles'!$C$26*INDEX('Lease Cycles'!$ET$26:$EZ$26,1,AF316)*(1+'Lease Cycles'!$V$26)^INT(INT(AF317/12)/'Lease Cycles'!$W$26)/12,0),0)</f>
        <v>0</v>
      </c>
      <c r="AG320" s="28">
        <f>IF(AG318=1,IF(INDEX('Lease Cycles'!$EF$26:$EL$26,1,AG316)=1,'Lease Cycles'!$C$26*INDEX('Lease Cycles'!$ET$26:$EZ$26,1,AG316)*(1+'Lease Cycles'!$V$26)^INT(INT(AG317/12)/'Lease Cycles'!$W$26)/12,0),0)</f>
        <v>0</v>
      </c>
      <c r="AH320" s="28">
        <f>IF(AH318=1,IF(INDEX('Lease Cycles'!$EF$26:$EL$26,1,AH316)=1,'Lease Cycles'!$C$26*INDEX('Lease Cycles'!$ET$26:$EZ$26,1,AH316)*(1+'Lease Cycles'!$V$26)^INT(INT(AH317/12)/'Lease Cycles'!$W$26)/12,0),0)</f>
        <v>0</v>
      </c>
      <c r="AI320" s="28">
        <f>IF(AI318=1,IF(INDEX('Lease Cycles'!$EF$26:$EL$26,1,AI316)=1,'Lease Cycles'!$C$26*INDEX('Lease Cycles'!$ET$26:$EZ$26,1,AI316)*(1+'Lease Cycles'!$V$26)^INT(INT(AI317/12)/'Lease Cycles'!$W$26)/12,0),0)</f>
        <v>0</v>
      </c>
      <c r="AJ320" s="28">
        <f>IF(AJ318=1,IF(INDEX('Lease Cycles'!$EF$26:$EL$26,1,AJ316)=1,'Lease Cycles'!$C$26*INDEX('Lease Cycles'!$ET$26:$EZ$26,1,AJ316)*(1+'Lease Cycles'!$V$26)^INT(INT(AJ317/12)/'Lease Cycles'!$W$26)/12,0),0)</f>
        <v>0</v>
      </c>
      <c r="AK320" s="28">
        <f>IF(AK318=1,IF(INDEX('Lease Cycles'!$EF$26:$EL$26,1,AK316)=1,'Lease Cycles'!$C$26*INDEX('Lease Cycles'!$ET$26:$EZ$26,1,AK316)*(1+'Lease Cycles'!$V$26)^INT(INT(AK317/12)/'Lease Cycles'!$W$26)/12,0),0)</f>
        <v>0</v>
      </c>
      <c r="AL320" s="28">
        <f>IF(AL318=1,IF(INDEX('Lease Cycles'!$EF$26:$EL$26,1,AL316)=1,'Lease Cycles'!$C$26*INDEX('Lease Cycles'!$ET$26:$EZ$26,1,AL316)*(1+'Lease Cycles'!$V$26)^INT(INT(AL317/12)/'Lease Cycles'!$W$26)/12,0),0)</f>
        <v>0</v>
      </c>
      <c r="AM320" s="28">
        <f>IF(AM318=1,IF(INDEX('Lease Cycles'!$EF$26:$EL$26,1,AM316)=1,'Lease Cycles'!$C$26*INDEX('Lease Cycles'!$ET$26:$EZ$26,1,AM316)*(1+'Lease Cycles'!$V$26)^INT(INT(AM317/12)/'Lease Cycles'!$W$26)/12,0),0)</f>
        <v>0</v>
      </c>
      <c r="AN320" s="28">
        <f>IF(AN318=1,IF(INDEX('Lease Cycles'!$EF$26:$EL$26,1,AN316)=1,'Lease Cycles'!$C$26*INDEX('Lease Cycles'!$ET$26:$EZ$26,1,AN316)*(1+'Lease Cycles'!$V$26)^INT(INT(AN317/12)/'Lease Cycles'!$W$26)/12,0),0)</f>
        <v>0</v>
      </c>
      <c r="AO320" s="28">
        <f>IF(AO318=1,IF(INDEX('Lease Cycles'!$EF$26:$EL$26,1,AO316)=1,'Lease Cycles'!$C$26*INDEX('Lease Cycles'!$ET$26:$EZ$26,1,AO316)*(1+'Lease Cycles'!$V$26)^INT(INT(AO317/12)/'Lease Cycles'!$W$26)/12,0),0)</f>
        <v>0</v>
      </c>
      <c r="AP320" s="28">
        <f>IF(AP318=1,IF(INDEX('Lease Cycles'!$EF$26:$EL$26,1,AP316)=1,'Lease Cycles'!$C$26*INDEX('Lease Cycles'!$ET$26:$EZ$26,1,AP316)*(1+'Lease Cycles'!$V$26)^INT(INT(AP317/12)/'Lease Cycles'!$W$26)/12,0),0)</f>
        <v>0</v>
      </c>
      <c r="AQ320" s="28">
        <f>IF(AQ318=1,IF(INDEX('Lease Cycles'!$EF$26:$EL$26,1,AQ316)=1,'Lease Cycles'!$C$26*INDEX('Lease Cycles'!$ET$26:$EZ$26,1,AQ316)*(1+'Lease Cycles'!$V$26)^INT(INT(AQ317/12)/'Lease Cycles'!$W$26)/12,0),0)</f>
        <v>0</v>
      </c>
      <c r="AR320" s="28">
        <f>IF(AR318=1,IF(INDEX('Lease Cycles'!$EF$26:$EL$26,1,AR316)=1,'Lease Cycles'!$C$26*INDEX('Lease Cycles'!$ET$26:$EZ$26,1,AR316)*(1+'Lease Cycles'!$V$26)^INT(INT(AR317/12)/'Lease Cycles'!$W$26)/12,0),0)</f>
        <v>0</v>
      </c>
      <c r="AS320" s="28">
        <f>IF(AS318=1,IF(INDEX('Lease Cycles'!$EF$26:$EL$26,1,AS316)=1,'Lease Cycles'!$C$26*INDEX('Lease Cycles'!$ET$26:$EZ$26,1,AS316)*(1+'Lease Cycles'!$V$26)^INT(INT(AS317/12)/'Lease Cycles'!$W$26)/12,0),0)</f>
        <v>0</v>
      </c>
      <c r="AT320" s="28">
        <f>IF(AT318=1,IF(INDEX('Lease Cycles'!$EF$26:$EL$26,1,AT316)=1,'Lease Cycles'!$C$26*INDEX('Lease Cycles'!$ET$26:$EZ$26,1,AT316)*(1+'Lease Cycles'!$V$26)^INT(INT(AT317/12)/'Lease Cycles'!$W$26)/12,0),0)</f>
        <v>0</v>
      </c>
      <c r="AU320" s="28">
        <f>IF(AU318=1,IF(INDEX('Lease Cycles'!$EF$26:$EL$26,1,AU316)=1,'Lease Cycles'!$C$26*INDEX('Lease Cycles'!$ET$26:$EZ$26,1,AU316)*(1+'Lease Cycles'!$V$26)^INT(INT(AU317/12)/'Lease Cycles'!$W$26)/12,0),0)</f>
        <v>0</v>
      </c>
      <c r="AV320" s="28">
        <f>IF(AV318=1,IF(INDEX('Lease Cycles'!$EF$26:$EL$26,1,AV316)=1,'Lease Cycles'!$C$26*INDEX('Lease Cycles'!$ET$26:$EZ$26,1,AV316)*(1+'Lease Cycles'!$V$26)^INT(INT(AV317/12)/'Lease Cycles'!$W$26)/12,0),0)</f>
        <v>0</v>
      </c>
      <c r="AW320" s="28">
        <f>IF(AW318=1,IF(INDEX('Lease Cycles'!$EF$26:$EL$26,1,AW316)=1,'Lease Cycles'!$C$26*INDEX('Lease Cycles'!$ET$26:$EZ$26,1,AW316)*(1+'Lease Cycles'!$V$26)^INT(INT(AW317/12)/'Lease Cycles'!$W$26)/12,0),0)</f>
        <v>0</v>
      </c>
      <c r="AX320" s="28">
        <f>IF(AX318=1,IF(INDEX('Lease Cycles'!$EF$26:$EL$26,1,AX316)=1,'Lease Cycles'!$C$26*INDEX('Lease Cycles'!$ET$26:$EZ$26,1,AX316)*(1+'Lease Cycles'!$V$26)^INT(INT(AX317/12)/'Lease Cycles'!$W$26)/12,0),0)</f>
        <v>0</v>
      </c>
      <c r="AY320" s="28">
        <f>IF(AY318=1,IF(INDEX('Lease Cycles'!$EF$26:$EL$26,1,AY316)=1,'Lease Cycles'!$C$26*INDEX('Lease Cycles'!$ET$26:$EZ$26,1,AY316)*(1+'Lease Cycles'!$V$26)^INT(INT(AY317/12)/'Lease Cycles'!$W$26)/12,0),0)</f>
        <v>0</v>
      </c>
      <c r="AZ320" s="28">
        <f>IF(AZ318=1,IF(INDEX('Lease Cycles'!$EF$26:$EL$26,1,AZ316)=1,'Lease Cycles'!$C$26*INDEX('Lease Cycles'!$ET$26:$EZ$26,1,AZ316)*(1+'Lease Cycles'!$V$26)^INT(INT(AZ317/12)/'Lease Cycles'!$W$26)/12,0),0)</f>
        <v>0</v>
      </c>
      <c r="BA320" s="28">
        <f>IF(BA318=1,IF(INDEX('Lease Cycles'!$EF$26:$EL$26,1,BA316)=1,'Lease Cycles'!$C$26*INDEX('Lease Cycles'!$ET$26:$EZ$26,1,BA316)*(1+'Lease Cycles'!$V$26)^INT(INT(BA317/12)/'Lease Cycles'!$W$26)/12,0),0)</f>
        <v>0</v>
      </c>
      <c r="BB320" s="28">
        <f>IF(BB318=1,IF(INDEX('Lease Cycles'!$EF$26:$EL$26,1,BB316)=1,'Lease Cycles'!$C$26*INDEX('Lease Cycles'!$ET$26:$EZ$26,1,BB316)*(1+'Lease Cycles'!$V$26)^INT(INT(BB317/12)/'Lease Cycles'!$W$26)/12,0),0)</f>
        <v>0</v>
      </c>
      <c r="BC320" s="28">
        <f>IF(BC318=1,IF(INDEX('Lease Cycles'!$EF$26:$EL$26,1,BC316)=1,'Lease Cycles'!$C$26*INDEX('Lease Cycles'!$ET$26:$EZ$26,1,BC316)*(1+'Lease Cycles'!$V$26)^INT(INT(BC317/12)/'Lease Cycles'!$W$26)/12,0),0)</f>
        <v>0</v>
      </c>
      <c r="BD320" s="28">
        <f>IF(BD318=1,IF(INDEX('Lease Cycles'!$EF$26:$EL$26,1,BD316)=1,'Lease Cycles'!$C$26*INDEX('Lease Cycles'!$ET$26:$EZ$26,1,BD316)*(1+'Lease Cycles'!$V$26)^INT(INT(BD317/12)/'Lease Cycles'!$W$26)/12,0),0)</f>
        <v>0</v>
      </c>
      <c r="BE320" s="28">
        <f>IF(BE318=1,IF(INDEX('Lease Cycles'!$EF$26:$EL$26,1,BE316)=1,'Lease Cycles'!$C$26*INDEX('Lease Cycles'!$ET$26:$EZ$26,1,BE316)*(1+'Lease Cycles'!$V$26)^INT(INT(BE317/12)/'Lease Cycles'!$W$26)/12,0),0)</f>
        <v>0</v>
      </c>
      <c r="BF320" s="28">
        <f>IF(BF318=1,IF(INDEX('Lease Cycles'!$EF$26:$EL$26,1,BF316)=1,'Lease Cycles'!$C$26*INDEX('Lease Cycles'!$ET$26:$EZ$26,1,BF316)*(1+'Lease Cycles'!$V$26)^INT(INT(BF317/12)/'Lease Cycles'!$W$26)/12,0),0)</f>
        <v>0</v>
      </c>
      <c r="BG320" s="28">
        <f>IF(BG318=1,IF(INDEX('Lease Cycles'!$EF$26:$EL$26,1,BG316)=1,'Lease Cycles'!$C$26*INDEX('Lease Cycles'!$ET$26:$EZ$26,1,BG316)*(1+'Lease Cycles'!$V$26)^INT(INT(BG317/12)/'Lease Cycles'!$W$26)/12,0),0)</f>
        <v>0</v>
      </c>
      <c r="BH320" s="28">
        <f>IF(BH318=1,IF(INDEX('Lease Cycles'!$EF$26:$EL$26,1,BH316)=1,'Lease Cycles'!$C$26*INDEX('Lease Cycles'!$ET$26:$EZ$26,1,BH316)*(1+'Lease Cycles'!$V$26)^INT(INT(BH317/12)/'Lease Cycles'!$W$26)/12,0),0)</f>
        <v>0</v>
      </c>
      <c r="BI320" s="28">
        <f>IF(BI318=1,IF(INDEX('Lease Cycles'!$EF$26:$EL$26,1,BI316)=1,'Lease Cycles'!$C$26*INDEX('Lease Cycles'!$ET$26:$EZ$26,1,BI316)*(1+'Lease Cycles'!$V$26)^INT(INT(BI317/12)/'Lease Cycles'!$W$26)/12,0),0)</f>
        <v>0</v>
      </c>
      <c r="BJ320" s="28">
        <f>IF(BJ318=1,IF(INDEX('Lease Cycles'!$EF$26:$EL$26,1,BJ316)=1,'Lease Cycles'!$C$26*INDEX('Lease Cycles'!$ET$26:$EZ$26,1,BJ316)*(1+'Lease Cycles'!$V$26)^INT(INT(BJ317/12)/'Lease Cycles'!$W$26)/12,0),0)</f>
        <v>0</v>
      </c>
      <c r="BK320" s="28">
        <f>IF(BK318=1,IF(INDEX('Lease Cycles'!$EF$26:$EL$26,1,BK316)=1,'Lease Cycles'!$C$26*INDEX('Lease Cycles'!$ET$26:$EZ$26,1,BK316)*(1+'Lease Cycles'!$V$26)^INT(INT(BK317/12)/'Lease Cycles'!$W$26)/12,0),0)</f>
        <v>0</v>
      </c>
      <c r="BL320" s="28">
        <f>IF(BL318=1,IF(INDEX('Lease Cycles'!$EF$26:$EL$26,1,BL316)=1,'Lease Cycles'!$C$26*INDEX('Lease Cycles'!$ET$26:$EZ$26,1,BL316)*(1+'Lease Cycles'!$V$26)^INT(INT(BL317/12)/'Lease Cycles'!$W$26)/12,0),0)</f>
        <v>0</v>
      </c>
      <c r="BM320" s="28">
        <f>IF(BM318=1,IF(INDEX('Lease Cycles'!$EF$26:$EL$26,1,BM316)=1,'Lease Cycles'!$C$26*INDEX('Lease Cycles'!$ET$26:$EZ$26,1,BM316)*(1+'Lease Cycles'!$V$26)^INT(INT(BM317/12)/'Lease Cycles'!$W$26)/12,0),0)</f>
        <v>0</v>
      </c>
      <c r="BN320" s="28">
        <f>IF(BN318=1,IF(INDEX('Lease Cycles'!$EF$26:$EL$26,1,BN316)=1,'Lease Cycles'!$C$26*INDEX('Lease Cycles'!$ET$26:$EZ$26,1,BN316)*(1+'Lease Cycles'!$V$26)^INT(INT(BN317/12)/'Lease Cycles'!$W$26)/12,0),0)</f>
        <v>0</v>
      </c>
      <c r="BO320" s="28">
        <f>IF(BO318=1,IF(INDEX('Lease Cycles'!$EF$26:$EL$26,1,BO316)=1,'Lease Cycles'!$C$26*INDEX('Lease Cycles'!$ET$26:$EZ$26,1,BO316)*(1+'Lease Cycles'!$V$26)^INT(INT(BO317/12)/'Lease Cycles'!$W$26)/12,0),0)</f>
        <v>0</v>
      </c>
      <c r="BP320" s="28">
        <f>IF(BP318=1,IF(INDEX('Lease Cycles'!$EF$26:$EL$26,1,BP316)=1,'Lease Cycles'!$C$26*INDEX('Lease Cycles'!$ET$26:$EZ$26,1,BP316)*(1+'Lease Cycles'!$V$26)^INT(INT(BP317/12)/'Lease Cycles'!$W$26)/12,0),0)</f>
        <v>0</v>
      </c>
      <c r="BQ320" s="28">
        <f>IF(BQ318=1,IF(INDEX('Lease Cycles'!$EF$26:$EL$26,1,BQ316)=1,'Lease Cycles'!$C$26*INDEX('Lease Cycles'!$ET$26:$EZ$26,1,BQ316)*(1+'Lease Cycles'!$V$26)^INT(INT(BQ317/12)/'Lease Cycles'!$W$26)/12,0),0)</f>
        <v>0</v>
      </c>
      <c r="BR320" s="28">
        <f>IF(BR318=1,IF(INDEX('Lease Cycles'!$EF$26:$EL$26,1,BR316)=1,'Lease Cycles'!$C$26*INDEX('Lease Cycles'!$ET$26:$EZ$26,1,BR316)*(1+'Lease Cycles'!$V$26)^INT(INT(BR317/12)/'Lease Cycles'!$W$26)/12,0),0)</f>
        <v>0</v>
      </c>
      <c r="BS320" s="28">
        <f>IF(BS318=1,IF(INDEX('Lease Cycles'!$EF$26:$EL$26,1,BS316)=1,'Lease Cycles'!$C$26*INDEX('Lease Cycles'!$ET$26:$EZ$26,1,BS316)*(1+'Lease Cycles'!$V$26)^INT(INT(BS317/12)/'Lease Cycles'!$W$26)/12,0),0)</f>
        <v>0</v>
      </c>
      <c r="BT320" s="28">
        <f>IF(BT318=1,IF(INDEX('Lease Cycles'!$EF$26:$EL$26,1,BT316)=1,'Lease Cycles'!$C$26*INDEX('Lease Cycles'!$ET$26:$EZ$26,1,BT316)*(1+'Lease Cycles'!$V$26)^INT(INT(BT317/12)/'Lease Cycles'!$W$26)/12,0),0)</f>
        <v>0</v>
      </c>
      <c r="BU320" s="28">
        <f>IF(BU318=1,IF(INDEX('Lease Cycles'!$EF$26:$EL$26,1,BU316)=1,'Lease Cycles'!$C$26*INDEX('Lease Cycles'!$ET$26:$EZ$26,1,BU316)*(1+'Lease Cycles'!$V$26)^INT(INT(BU317/12)/'Lease Cycles'!$W$26)/12,0),0)</f>
        <v>0</v>
      </c>
      <c r="BV320" s="28">
        <f>IF(BV318=1,IF(INDEX('Lease Cycles'!$EF$26:$EL$26,1,BV316)=1,'Lease Cycles'!$C$26*INDEX('Lease Cycles'!$ET$26:$EZ$26,1,BV316)*(1+'Lease Cycles'!$V$26)^INT(INT(BV317/12)/'Lease Cycles'!$W$26)/12,0),0)</f>
        <v>0</v>
      </c>
      <c r="BW320" s="28">
        <f>IF(BW318=1,IF(INDEX('Lease Cycles'!$EF$26:$EL$26,1,BW316)=1,'Lease Cycles'!$C$26*INDEX('Lease Cycles'!$ET$26:$EZ$26,1,BW316)*(1+'Lease Cycles'!$V$26)^INT(INT(BW317/12)/'Lease Cycles'!$W$26)/12,0),0)</f>
        <v>0</v>
      </c>
      <c r="BX320" s="28">
        <f>IF(BX318=1,IF(INDEX('Lease Cycles'!$EF$26:$EL$26,1,BX316)=1,'Lease Cycles'!$C$26*INDEX('Lease Cycles'!$ET$26:$EZ$26,1,BX316)*(1+'Lease Cycles'!$V$26)^INT(INT(BX317/12)/'Lease Cycles'!$W$26)/12,0),0)</f>
        <v>0</v>
      </c>
      <c r="BY320" s="28">
        <f>IF(BY318=1,IF(INDEX('Lease Cycles'!$EF$26:$EL$26,1,BY316)=1,'Lease Cycles'!$C$26*INDEX('Lease Cycles'!$ET$26:$EZ$26,1,BY316)*(1+'Lease Cycles'!$V$26)^INT(INT(BY317/12)/'Lease Cycles'!$W$26)/12,0),0)</f>
        <v>0</v>
      </c>
      <c r="BZ320" s="28">
        <f>IF(BZ318=1,IF(INDEX('Lease Cycles'!$EF$26:$EL$26,1,BZ316)=1,'Lease Cycles'!$C$26*INDEX('Lease Cycles'!$ET$26:$EZ$26,1,BZ316)*(1+'Lease Cycles'!$V$26)^INT(INT(BZ317/12)/'Lease Cycles'!$W$26)/12,0),0)</f>
        <v>0</v>
      </c>
      <c r="CA320" s="28">
        <f>IF(CA318=1,IF(INDEX('Lease Cycles'!$EF$26:$EL$26,1,CA316)=1,'Lease Cycles'!$C$26*INDEX('Lease Cycles'!$ET$26:$EZ$26,1,CA316)*(1+'Lease Cycles'!$V$26)^INT(INT(CA317/12)/'Lease Cycles'!$W$26)/12,0),0)</f>
        <v>0</v>
      </c>
      <c r="CB320" s="28">
        <f>IF(CB318=1,IF(INDEX('Lease Cycles'!$EF$26:$EL$26,1,CB316)=1,'Lease Cycles'!$C$26*INDEX('Lease Cycles'!$ET$26:$EZ$26,1,CB316)*(1+'Lease Cycles'!$V$26)^INT(INT(CB317/12)/'Lease Cycles'!$W$26)/12,0),0)</f>
        <v>0</v>
      </c>
      <c r="CC320" s="28">
        <f>IF(CC318=1,IF(INDEX('Lease Cycles'!$EF$26:$EL$26,1,CC316)=1,'Lease Cycles'!$C$26*INDEX('Lease Cycles'!$ET$26:$EZ$26,1,CC316)*(1+'Lease Cycles'!$V$26)^INT(INT(CC317/12)/'Lease Cycles'!$W$26)/12,0),0)</f>
        <v>0</v>
      </c>
      <c r="CD320" s="28">
        <f>IF(CD318=1,IF(INDEX('Lease Cycles'!$EF$26:$EL$26,1,CD316)=1,'Lease Cycles'!$C$26*INDEX('Lease Cycles'!$ET$26:$EZ$26,1,CD316)*(1+'Lease Cycles'!$V$26)^INT(INT(CD317/12)/'Lease Cycles'!$W$26)/12,0),0)</f>
        <v>0</v>
      </c>
      <c r="CE320" s="28">
        <f>IF(CE318=1,IF(INDEX('Lease Cycles'!$EF$26:$EL$26,1,CE316)=1,'Lease Cycles'!$C$26*INDEX('Lease Cycles'!$ET$26:$EZ$26,1,CE316)*(1+'Lease Cycles'!$V$26)^INT(INT(CE317/12)/'Lease Cycles'!$W$26)/12,0),0)</f>
        <v>0</v>
      </c>
      <c r="CF320" s="28">
        <f>IF(CF318=1,IF(INDEX('Lease Cycles'!$EF$26:$EL$26,1,CF316)=1,'Lease Cycles'!$C$26*INDEX('Lease Cycles'!$ET$26:$EZ$26,1,CF316)*(1+'Lease Cycles'!$V$26)^INT(INT(CF317/12)/'Lease Cycles'!$W$26)/12,0),0)</f>
        <v>0</v>
      </c>
      <c r="CG320" s="28">
        <f>IF(CG318=1,IF(INDEX('Lease Cycles'!$EF$26:$EL$26,1,CG316)=1,'Lease Cycles'!$C$26*INDEX('Lease Cycles'!$ET$26:$EZ$26,1,CG316)*(1+'Lease Cycles'!$V$26)^INT(INT(CG317/12)/'Lease Cycles'!$W$26)/12,0),0)</f>
        <v>0</v>
      </c>
      <c r="CH320" s="28">
        <f>IF(CH318=1,IF(INDEX('Lease Cycles'!$EF$26:$EL$26,1,CH316)=1,'Lease Cycles'!$C$26*INDEX('Lease Cycles'!$ET$26:$EZ$26,1,CH316)*(1+'Lease Cycles'!$V$26)^INT(INT(CH317/12)/'Lease Cycles'!$W$26)/12,0),0)</f>
        <v>0</v>
      </c>
      <c r="CI320" s="28">
        <f>IF(CI318=1,IF(INDEX('Lease Cycles'!$EF$26:$EL$26,1,CI316)=1,'Lease Cycles'!$C$26*INDEX('Lease Cycles'!$ET$26:$EZ$26,1,CI316)*(1+'Lease Cycles'!$V$26)^INT(INT(CI317/12)/'Lease Cycles'!$W$26)/12,0),0)</f>
        <v>0</v>
      </c>
      <c r="CJ320" s="28">
        <f>IF(CJ318=1,IF(INDEX('Lease Cycles'!$EF$26:$EL$26,1,CJ316)=1,'Lease Cycles'!$C$26*INDEX('Lease Cycles'!$ET$26:$EZ$26,1,CJ316)*(1+'Lease Cycles'!$V$26)^INT(INT(CJ317/12)/'Lease Cycles'!$W$26)/12,0),0)</f>
        <v>0</v>
      </c>
      <c r="CK320" s="28">
        <f>IF(CK318=1,IF(INDEX('Lease Cycles'!$EF$26:$EL$26,1,CK316)=1,'Lease Cycles'!$C$26*INDEX('Lease Cycles'!$ET$26:$EZ$26,1,CK316)*(1+'Lease Cycles'!$V$26)^INT(INT(CK317/12)/'Lease Cycles'!$W$26)/12,0),0)</f>
        <v>0</v>
      </c>
      <c r="CL320" s="28">
        <f>IF(CL318=1,IF(INDEX('Lease Cycles'!$EF$26:$EL$26,1,CL316)=1,'Lease Cycles'!$C$26*INDEX('Lease Cycles'!$ET$26:$EZ$26,1,CL316)*(1+'Lease Cycles'!$V$26)^INT(INT(CL317/12)/'Lease Cycles'!$W$26)/12,0),0)</f>
        <v>0</v>
      </c>
      <c r="CM320" s="28">
        <f>IF(CM318=1,IF(INDEX('Lease Cycles'!$EF$26:$EL$26,1,CM316)=1,'Lease Cycles'!$C$26*INDEX('Lease Cycles'!$ET$26:$EZ$26,1,CM316)*(1+'Lease Cycles'!$V$26)^INT(INT(CM317/12)/'Lease Cycles'!$W$26)/12,0),0)</f>
        <v>0</v>
      </c>
      <c r="CN320" s="28">
        <f>IF(CN318=1,IF(INDEX('Lease Cycles'!$EF$26:$EL$26,1,CN316)=1,'Lease Cycles'!$C$26*INDEX('Lease Cycles'!$ET$26:$EZ$26,1,CN316)*(1+'Lease Cycles'!$V$26)^INT(INT(CN317/12)/'Lease Cycles'!$W$26)/12,0),0)</f>
        <v>0</v>
      </c>
      <c r="CO320" s="28">
        <f>IF(CO318=1,IF(INDEX('Lease Cycles'!$EF$26:$EL$26,1,CO316)=1,'Lease Cycles'!$C$26*INDEX('Lease Cycles'!$ET$26:$EZ$26,1,CO316)*(1+'Lease Cycles'!$V$26)^INT(INT(CO317/12)/'Lease Cycles'!$W$26)/12,0),0)</f>
        <v>0</v>
      </c>
      <c r="CP320" s="28">
        <f>IF(CP318=1,IF(INDEX('Lease Cycles'!$EF$26:$EL$26,1,CP316)=1,'Lease Cycles'!$C$26*INDEX('Lease Cycles'!$ET$26:$EZ$26,1,CP316)*(1+'Lease Cycles'!$V$26)^INT(INT(CP317/12)/'Lease Cycles'!$W$26)/12,0),0)</f>
        <v>0</v>
      </c>
      <c r="CQ320" s="28">
        <f>IF(CQ318=1,IF(INDEX('Lease Cycles'!$EF$26:$EL$26,1,CQ316)=1,'Lease Cycles'!$C$26*INDEX('Lease Cycles'!$ET$26:$EZ$26,1,CQ316)*(1+'Lease Cycles'!$V$26)^INT(INT(CQ317/12)/'Lease Cycles'!$W$26)/12,0),0)</f>
        <v>0</v>
      </c>
      <c r="CR320" s="28">
        <f>IF(CR318=1,IF(INDEX('Lease Cycles'!$EF$26:$EL$26,1,CR316)=1,'Lease Cycles'!$C$26*INDEX('Lease Cycles'!$ET$26:$EZ$26,1,CR316)*(1+'Lease Cycles'!$V$26)^INT(INT(CR317/12)/'Lease Cycles'!$W$26)/12,0),0)</f>
        <v>0</v>
      </c>
      <c r="CS320" s="28">
        <f>IF(CS318=1,IF(INDEX('Lease Cycles'!$EF$26:$EL$26,1,CS316)=1,'Lease Cycles'!$C$26*INDEX('Lease Cycles'!$ET$26:$EZ$26,1,CS316)*(1+'Lease Cycles'!$V$26)^INT(INT(CS317/12)/'Lease Cycles'!$W$26)/12,0),0)</f>
        <v>0</v>
      </c>
      <c r="CT320" s="28">
        <f>IF(CT318=1,IF(INDEX('Lease Cycles'!$EF$26:$EL$26,1,CT316)=1,'Lease Cycles'!$C$26*INDEX('Lease Cycles'!$ET$26:$EZ$26,1,CT316)*(1+'Lease Cycles'!$V$26)^INT(INT(CT317/12)/'Lease Cycles'!$W$26)/12,0),0)</f>
        <v>0</v>
      </c>
      <c r="CU320" s="28">
        <f>IF(CU318=1,IF(INDEX('Lease Cycles'!$EF$26:$EL$26,1,CU316)=1,'Lease Cycles'!$C$26*INDEX('Lease Cycles'!$ET$26:$EZ$26,1,CU316)*(1+'Lease Cycles'!$V$26)^INT(INT(CU317/12)/'Lease Cycles'!$W$26)/12,0),0)</f>
        <v>0</v>
      </c>
      <c r="CV320" s="28">
        <f>IF(CV318=1,IF(INDEX('Lease Cycles'!$EF$26:$EL$26,1,CV316)=1,'Lease Cycles'!$C$26*INDEX('Lease Cycles'!$ET$26:$EZ$26,1,CV316)*(1+'Lease Cycles'!$V$26)^INT(INT(CV317/12)/'Lease Cycles'!$W$26)/12,0),0)</f>
        <v>0</v>
      </c>
      <c r="CW320" s="28">
        <f>IF(CW318=1,IF(INDEX('Lease Cycles'!$EF$26:$EL$26,1,CW316)=1,'Lease Cycles'!$C$26*INDEX('Lease Cycles'!$ET$26:$EZ$26,1,CW316)*(1+'Lease Cycles'!$V$26)^INT(INT(CW317/12)/'Lease Cycles'!$W$26)/12,0),0)</f>
        <v>0</v>
      </c>
      <c r="CX320" s="28">
        <f>IF(CX318=1,IF(INDEX('Lease Cycles'!$EF$26:$EL$26,1,CX316)=1,'Lease Cycles'!$C$26*INDEX('Lease Cycles'!$ET$26:$EZ$26,1,CX316)*(1+'Lease Cycles'!$V$26)^INT(INT(CX317/12)/'Lease Cycles'!$W$26)/12,0),0)</f>
        <v>0</v>
      </c>
      <c r="CY320" s="28">
        <f>IF(CY318=1,IF(INDEX('Lease Cycles'!$EF$26:$EL$26,1,CY316)=1,'Lease Cycles'!$C$26*INDEX('Lease Cycles'!$ET$26:$EZ$26,1,CY316)*(1+'Lease Cycles'!$V$26)^INT(INT(CY317/12)/'Lease Cycles'!$W$26)/12,0),0)</f>
        <v>0</v>
      </c>
      <c r="CZ320" s="28">
        <f>IF(CZ318=1,IF(INDEX('Lease Cycles'!$EF$26:$EL$26,1,CZ316)=1,'Lease Cycles'!$C$26*INDEX('Lease Cycles'!$ET$26:$EZ$26,1,CZ316)*(1+'Lease Cycles'!$V$26)^INT(INT(CZ317/12)/'Lease Cycles'!$W$26)/12,0),0)</f>
        <v>0</v>
      </c>
      <c r="DA320" s="28">
        <f>IF(DA318=1,IF(INDEX('Lease Cycles'!$EF$26:$EL$26,1,DA316)=1,'Lease Cycles'!$C$26*INDEX('Lease Cycles'!$ET$26:$EZ$26,1,DA316)*(1+'Lease Cycles'!$V$26)^INT(INT(DA317/12)/'Lease Cycles'!$W$26)/12,0),0)</f>
        <v>0</v>
      </c>
      <c r="DB320" s="28">
        <f>IF(DB318=1,IF(INDEX('Lease Cycles'!$EF$26:$EL$26,1,DB316)=1,'Lease Cycles'!$C$26*INDEX('Lease Cycles'!$ET$26:$EZ$26,1,DB316)*(1+'Lease Cycles'!$V$26)^INT(INT(DB317/12)/'Lease Cycles'!$W$26)/12,0),0)</f>
        <v>0</v>
      </c>
      <c r="DC320" s="28">
        <f>IF(DC318=1,IF(INDEX('Lease Cycles'!$EF$26:$EL$26,1,DC316)=1,'Lease Cycles'!$C$26*INDEX('Lease Cycles'!$ET$26:$EZ$26,1,DC316)*(1+'Lease Cycles'!$V$26)^INT(INT(DC317/12)/'Lease Cycles'!$W$26)/12,0),0)</f>
        <v>0</v>
      </c>
      <c r="DD320" s="28">
        <f>IF(DD318=1,IF(INDEX('Lease Cycles'!$EF$26:$EL$26,1,DD316)=1,'Lease Cycles'!$C$26*INDEX('Lease Cycles'!$ET$26:$EZ$26,1,DD316)*(1+'Lease Cycles'!$V$26)^INT(INT(DD317/12)/'Lease Cycles'!$W$26)/12,0),0)</f>
        <v>0</v>
      </c>
      <c r="DE320" s="28">
        <f>IF(DE318=1,IF(INDEX('Lease Cycles'!$EF$26:$EL$26,1,DE316)=1,'Lease Cycles'!$C$26*INDEX('Lease Cycles'!$ET$26:$EZ$26,1,DE316)*(1+'Lease Cycles'!$V$26)^INT(INT(DE317/12)/'Lease Cycles'!$W$26)/12,0),0)</f>
        <v>0</v>
      </c>
      <c r="DF320" s="28">
        <f>IF(DF318=1,IF(INDEX('Lease Cycles'!$EF$26:$EL$26,1,DF316)=1,'Lease Cycles'!$C$26*INDEX('Lease Cycles'!$ET$26:$EZ$26,1,DF316)*(1+'Lease Cycles'!$V$26)^INT(INT(DF317/12)/'Lease Cycles'!$W$26)/12,0),0)</f>
        <v>0</v>
      </c>
      <c r="DG320" s="28">
        <f>IF(DG318=1,IF(INDEX('Lease Cycles'!$EF$26:$EL$26,1,DG316)=1,'Lease Cycles'!$C$26*INDEX('Lease Cycles'!$ET$26:$EZ$26,1,DG316)*(1+'Lease Cycles'!$V$26)^INT(INT(DG317/12)/'Lease Cycles'!$W$26)/12,0),0)</f>
        <v>0</v>
      </c>
      <c r="DH320" s="28">
        <f>IF(DH318=1,IF(INDEX('Lease Cycles'!$EF$26:$EL$26,1,DH316)=1,'Lease Cycles'!$C$26*INDEX('Lease Cycles'!$ET$26:$EZ$26,1,DH316)*(1+'Lease Cycles'!$V$26)^INT(INT(DH317/12)/'Lease Cycles'!$W$26)/12,0),0)</f>
        <v>0</v>
      </c>
      <c r="DI320" s="28">
        <f>IF(DI318=1,IF(INDEX('Lease Cycles'!$EF$26:$EL$26,1,DI316)=1,'Lease Cycles'!$C$26*INDEX('Lease Cycles'!$ET$26:$EZ$26,1,DI316)*(1+'Lease Cycles'!$V$26)^INT(INT(DI317/12)/'Lease Cycles'!$W$26)/12,0),0)</f>
        <v>0</v>
      </c>
      <c r="DJ320" s="28">
        <f>IF(DJ318=1,IF(INDEX('Lease Cycles'!$EF$26:$EL$26,1,DJ316)=1,'Lease Cycles'!$C$26*INDEX('Lease Cycles'!$ET$26:$EZ$26,1,DJ316)*(1+'Lease Cycles'!$V$26)^INT(INT(DJ317/12)/'Lease Cycles'!$W$26)/12,0),0)</f>
        <v>0</v>
      </c>
      <c r="DK320" s="28">
        <f>IF(DK318=1,IF(INDEX('Lease Cycles'!$EF$26:$EL$26,1,DK316)=1,'Lease Cycles'!$C$26*INDEX('Lease Cycles'!$ET$26:$EZ$26,1,DK316)*(1+'Lease Cycles'!$V$26)^INT(INT(DK317/12)/'Lease Cycles'!$W$26)/12,0),0)</f>
        <v>0</v>
      </c>
      <c r="DL320" s="28">
        <f>IF(DL318=1,IF(INDEX('Lease Cycles'!$EF$26:$EL$26,1,DL316)=1,'Lease Cycles'!$C$26*INDEX('Lease Cycles'!$ET$26:$EZ$26,1,DL316)*(1+'Lease Cycles'!$V$26)^INT(INT(DL317/12)/'Lease Cycles'!$W$26)/12,0),0)</f>
        <v>0</v>
      </c>
      <c r="DM320" s="28">
        <f>IF(DM318=1,IF(INDEX('Lease Cycles'!$EF$26:$EL$26,1,DM316)=1,'Lease Cycles'!$C$26*INDEX('Lease Cycles'!$ET$26:$EZ$26,1,DM316)*(1+'Lease Cycles'!$V$26)^INT(INT(DM317/12)/'Lease Cycles'!$W$26)/12,0),0)</f>
        <v>0</v>
      </c>
      <c r="DN320" s="28">
        <f>IF(DN318=1,IF(INDEX('Lease Cycles'!$EF$26:$EL$26,1,DN316)=1,'Lease Cycles'!$C$26*INDEX('Lease Cycles'!$ET$26:$EZ$26,1,DN316)*(1+'Lease Cycles'!$V$26)^INT(INT(DN317/12)/'Lease Cycles'!$W$26)/12,0),0)</f>
        <v>0</v>
      </c>
      <c r="DO320" s="28">
        <f>IF(DO318=1,IF(INDEX('Lease Cycles'!$EF$26:$EL$26,1,DO316)=1,'Lease Cycles'!$C$26*INDEX('Lease Cycles'!$ET$26:$EZ$26,1,DO316)*(1+'Lease Cycles'!$V$26)^INT(INT(DO317/12)/'Lease Cycles'!$W$26)/12,0),0)</f>
        <v>0</v>
      </c>
      <c r="DP320" s="28">
        <f>IF(DP318=1,IF(INDEX('Lease Cycles'!$EF$26:$EL$26,1,DP316)=1,'Lease Cycles'!$C$26*INDEX('Lease Cycles'!$ET$26:$EZ$26,1,DP316)*(1+'Lease Cycles'!$V$26)^INT(INT(DP317/12)/'Lease Cycles'!$W$26)/12,0),0)</f>
        <v>0</v>
      </c>
      <c r="DQ320" s="28">
        <f>IF(DQ318=1,IF(INDEX('Lease Cycles'!$EF$26:$EL$26,1,DQ316)=1,'Lease Cycles'!$C$26*INDEX('Lease Cycles'!$ET$26:$EZ$26,1,DQ316)*(1+'Lease Cycles'!$V$26)^INT(INT(DQ317/12)/'Lease Cycles'!$W$26)/12,0),0)</f>
        <v>0</v>
      </c>
      <c r="DR320" s="28">
        <f>IF(DR318=1,IF(INDEX('Lease Cycles'!$EF$26:$EL$26,1,DR316)=1,'Lease Cycles'!$C$26*INDEX('Lease Cycles'!$ET$26:$EZ$26,1,DR316)*(1+'Lease Cycles'!$V$26)^INT(INT(DR317/12)/'Lease Cycles'!$W$26)/12,0),0)</f>
        <v>0</v>
      </c>
      <c r="DS320" s="28">
        <f>IF(DS318=1,IF(INDEX('Lease Cycles'!$EF$26:$EL$26,1,DS316)=1,'Lease Cycles'!$C$26*INDEX('Lease Cycles'!$ET$26:$EZ$26,1,DS316)*(1+'Lease Cycles'!$V$26)^INT(INT(DS317/12)/'Lease Cycles'!$W$26)/12,0),0)</f>
        <v>0</v>
      </c>
      <c r="DT320" s="28">
        <f>IF(DT318=1,IF(INDEX('Lease Cycles'!$EF$26:$EL$26,1,DT316)=1,'Lease Cycles'!$C$26*INDEX('Lease Cycles'!$ET$26:$EZ$26,1,DT316)*(1+'Lease Cycles'!$V$26)^INT(INT(DT317/12)/'Lease Cycles'!$W$26)/12,0),0)</f>
        <v>0</v>
      </c>
      <c r="DU320" s="28">
        <f>IF(DU318=1,IF(INDEX('Lease Cycles'!$EF$26:$EL$26,1,DU316)=1,'Lease Cycles'!$C$26*INDEX('Lease Cycles'!$ET$26:$EZ$26,1,DU316)*(1+'Lease Cycles'!$V$26)^INT(INT(DU317/12)/'Lease Cycles'!$W$26)/12,0),0)</f>
        <v>0</v>
      </c>
      <c r="DV320" s="28">
        <f>IF(DV318=1,IF(INDEX('Lease Cycles'!$EF$26:$EL$26,1,DV316)=1,'Lease Cycles'!$C$26*INDEX('Lease Cycles'!$ET$26:$EZ$26,1,DV316)*(1+'Lease Cycles'!$V$26)^INT(INT(DV317/12)/'Lease Cycles'!$W$26)/12,0),0)</f>
        <v>0</v>
      </c>
      <c r="DW320" s="28">
        <f>IF(DW318=1,IF(INDEX('Lease Cycles'!$EF$26:$EL$26,1,DW316)=1,'Lease Cycles'!$C$26*INDEX('Lease Cycles'!$ET$26:$EZ$26,1,DW316)*(1+'Lease Cycles'!$V$26)^INT(INT(DW317/12)/'Lease Cycles'!$W$26)/12,0),0)</f>
        <v>0</v>
      </c>
      <c r="DX320" s="28">
        <f>IF(DX318=1,IF(INDEX('Lease Cycles'!$EF$26:$EL$26,1,DX316)=1,'Lease Cycles'!$C$26*INDEX('Lease Cycles'!$ET$26:$EZ$26,1,DX316)*(1+'Lease Cycles'!$V$26)^INT(INT(DX317/12)/'Lease Cycles'!$W$26)/12,0),0)</f>
        <v>0</v>
      </c>
      <c r="DY320" s="28">
        <f>IF(DY318=1,IF(INDEX('Lease Cycles'!$EF$26:$EL$26,1,DY316)=1,'Lease Cycles'!$C$26*INDEX('Lease Cycles'!$ET$26:$EZ$26,1,DY316)*(1+'Lease Cycles'!$V$26)^INT(INT(DY317/12)/'Lease Cycles'!$W$26)/12,0),0)</f>
        <v>0</v>
      </c>
      <c r="DZ320" s="28">
        <f>IF(DZ318=1,IF(INDEX('Lease Cycles'!$EF$26:$EL$26,1,DZ316)=1,'Lease Cycles'!$C$26*INDEX('Lease Cycles'!$ET$26:$EZ$26,1,DZ316)*(1+'Lease Cycles'!$V$26)^INT(INT(DZ317/12)/'Lease Cycles'!$W$26)/12,0),0)</f>
        <v>0</v>
      </c>
      <c r="EA320" s="28">
        <f>IF(EA318=1,IF(INDEX('Lease Cycles'!$EF$26:$EL$26,1,EA316)=1,'Lease Cycles'!$C$26*INDEX('Lease Cycles'!$ET$26:$EZ$26,1,EA316)*(1+'Lease Cycles'!$V$26)^INT(INT(EA317/12)/'Lease Cycles'!$W$26)/12,0),0)</f>
        <v>0</v>
      </c>
      <c r="EB320" s="28">
        <f>IF(EB318=1,IF(INDEX('Lease Cycles'!$EF$26:$EL$26,1,EB316)=1,'Lease Cycles'!$C$26*INDEX('Lease Cycles'!$ET$26:$EZ$26,1,EB316)*(1+'Lease Cycles'!$V$26)^INT(INT(EB317/12)/'Lease Cycles'!$W$26)/12,0),0)</f>
        <v>0</v>
      </c>
      <c r="EC320" s="28">
        <f>IF(EC318=1,IF(INDEX('Lease Cycles'!$EF$26:$EL$26,1,EC316)=1,'Lease Cycles'!$C$26*INDEX('Lease Cycles'!$ET$26:$EZ$26,1,EC316)*(1+'Lease Cycles'!$V$26)^INT(INT(EC317/12)/'Lease Cycles'!$W$26)/12,0),0)</f>
        <v>0</v>
      </c>
      <c r="ED320" s="28">
        <f>IF(ED318=1,IF(INDEX('Lease Cycles'!$EF$26:$EL$26,1,ED316)=1,'Lease Cycles'!$C$26*INDEX('Lease Cycles'!$ET$26:$EZ$26,1,ED316)*(1+'Lease Cycles'!$V$26)^INT(INT(ED317/12)/'Lease Cycles'!$W$26)/12,0),0)</f>
        <v>0</v>
      </c>
      <c r="EE320" s="28">
        <f>IF(EE318=1,IF(INDEX('Lease Cycles'!$EF$26:$EL$26,1,EE316)=1,'Lease Cycles'!$C$26*INDEX('Lease Cycles'!$ET$26:$EZ$26,1,EE316)*(1+'Lease Cycles'!$V$26)^INT(INT(EE317/12)/'Lease Cycles'!$W$26)/12,0),0)</f>
        <v>0</v>
      </c>
      <c r="EF320" s="28">
        <f>IF(EF318=1,IF(INDEX('Lease Cycles'!$EF$26:$EL$26,1,EF316)=1,'Lease Cycles'!$C$26*INDEX('Lease Cycles'!$ET$26:$EZ$26,1,EF316)*(1+'Lease Cycles'!$V$26)^INT(INT(EF317/12)/'Lease Cycles'!$W$26)/12,0),0)</f>
        <v>0</v>
      </c>
      <c r="EG320" s="28">
        <f>IF(EG318=1,IF(INDEX('Lease Cycles'!$EF$26:$EL$26,1,EG316)=1,'Lease Cycles'!$C$26*INDEX('Lease Cycles'!$ET$26:$EZ$26,1,EG316)*(1+'Lease Cycles'!$V$26)^INT(INT(EG317/12)/'Lease Cycles'!$W$26)/12,0),0)</f>
        <v>0</v>
      </c>
      <c r="EH320" s="28">
        <f>IF(EH318=1,IF(INDEX('Lease Cycles'!$EF$26:$EL$26,1,EH316)=1,'Lease Cycles'!$C$26*INDEX('Lease Cycles'!$ET$26:$EZ$26,1,EH316)*(1+'Lease Cycles'!$V$26)^INT(INT(EH317/12)/'Lease Cycles'!$W$26)/12,0),0)</f>
        <v>0</v>
      </c>
      <c r="EI320" s="28">
        <f>IF(EI318=1,IF(INDEX('Lease Cycles'!$EF$26:$EL$26,1,EI316)=1,'Lease Cycles'!$C$26*INDEX('Lease Cycles'!$ET$26:$EZ$26,1,EI316)*(1+'Lease Cycles'!$V$26)^INT(INT(EI317/12)/'Lease Cycles'!$W$26)/12,0),0)</f>
        <v>0</v>
      </c>
      <c r="EJ320" s="28">
        <f>IF(EJ318=1,IF(INDEX('Lease Cycles'!$EF$26:$EL$26,1,EJ316)=1,'Lease Cycles'!$C$26*INDEX('Lease Cycles'!$ET$26:$EZ$26,1,EJ316)*(1+'Lease Cycles'!$V$26)^INT(INT(EJ317/12)/'Lease Cycles'!$W$26)/12,0),0)</f>
        <v>0</v>
      </c>
      <c r="EK320" s="28">
        <f>IF(EK318=1,IF(INDEX('Lease Cycles'!$EF$26:$EL$26,1,EK316)=1,'Lease Cycles'!$C$26*INDEX('Lease Cycles'!$ET$26:$EZ$26,1,EK316)*(1+'Lease Cycles'!$V$26)^INT(INT(EK317/12)/'Lease Cycles'!$W$26)/12,0),0)</f>
        <v>0</v>
      </c>
      <c r="EL320" s="28">
        <f>IF(EL318=1,IF(INDEX('Lease Cycles'!$EF$26:$EL$26,1,EL316)=1,'Lease Cycles'!$C$26*INDEX('Lease Cycles'!$ET$26:$EZ$26,1,EL316)*(1+'Lease Cycles'!$V$26)^INT(INT(EL317/12)/'Lease Cycles'!$W$26)/12,0),0)</f>
        <v>0</v>
      </c>
      <c r="EM320" s="28">
        <f>IF(EM318=1,IF(INDEX('Lease Cycles'!$EF$26:$EL$26,1,EM316)=1,'Lease Cycles'!$C$26*INDEX('Lease Cycles'!$ET$26:$EZ$26,1,EM316)*(1+'Lease Cycles'!$V$26)^INT(INT(EM317/12)/'Lease Cycles'!$W$26)/12,0),0)</f>
        <v>0</v>
      </c>
      <c r="EN320" s="28">
        <f>IF(EN318=1,IF(INDEX('Lease Cycles'!$EF$26:$EL$26,1,EN316)=1,'Lease Cycles'!$C$26*INDEX('Lease Cycles'!$ET$26:$EZ$26,1,EN316)*(1+'Lease Cycles'!$V$26)^INT(INT(EN317/12)/'Lease Cycles'!$W$26)/12,0),0)</f>
        <v>0</v>
      </c>
      <c r="EO320" s="28">
        <f>IF(EO318=1,IF(INDEX('Lease Cycles'!$EF$26:$EL$26,1,EO316)=1,'Lease Cycles'!$C$26*INDEX('Lease Cycles'!$ET$26:$EZ$26,1,EO316)*(1+'Lease Cycles'!$V$26)^INT(INT(EO317/12)/'Lease Cycles'!$W$26)/12,0),0)</f>
        <v>0</v>
      </c>
      <c r="EP320" s="28">
        <f>IF(EP318=1,IF(INDEX('Lease Cycles'!$EF$26:$EL$26,1,EP316)=1,'Lease Cycles'!$C$26*INDEX('Lease Cycles'!$ET$26:$EZ$26,1,EP316)*(1+'Lease Cycles'!$V$26)^INT(INT(EP317/12)/'Lease Cycles'!$W$26)/12,0),0)</f>
        <v>0</v>
      </c>
      <c r="EQ320" s="28">
        <f>IF(EQ318=1,IF(INDEX('Lease Cycles'!$EF$26:$EL$26,1,EQ316)=1,'Lease Cycles'!$C$26*INDEX('Lease Cycles'!$ET$26:$EZ$26,1,EQ316)*(1+'Lease Cycles'!$V$26)^INT(INT(EQ317/12)/'Lease Cycles'!$W$26)/12,0),0)</f>
        <v>0</v>
      </c>
      <c r="ER320" s="28">
        <f>IF(ER318=1,IF(INDEX('Lease Cycles'!$EF$26:$EL$26,1,ER316)=1,'Lease Cycles'!$C$26*INDEX('Lease Cycles'!$ET$26:$EZ$26,1,ER316)*(1+'Lease Cycles'!$V$26)^INT(INT(ER317/12)/'Lease Cycles'!$W$26)/12,0),0)</f>
        <v>0</v>
      </c>
      <c r="ES320" s="28">
        <f>IF(ES318=1,IF(INDEX('Lease Cycles'!$EF$26:$EL$26,1,ES316)=1,'Lease Cycles'!$C$26*INDEX('Lease Cycles'!$ET$26:$EZ$26,1,ES316)*(1+'Lease Cycles'!$V$26)^INT(INT(ES317/12)/'Lease Cycles'!$W$26)/12,0),0)</f>
        <v>0</v>
      </c>
      <c r="ET320" s="28">
        <f>IF(ET318=1,IF(INDEX('Lease Cycles'!$EF$26:$EL$26,1,ET316)=1,'Lease Cycles'!$C$26*INDEX('Lease Cycles'!$ET$26:$EZ$26,1,ET316)*(1+'Lease Cycles'!$V$26)^INT(INT(ET317/12)/'Lease Cycles'!$W$26)/12,0),0)</f>
        <v>0</v>
      </c>
    </row>
    <row r="321">
      <c r="A321" s="103">
        <v>19</v>
      </c>
      <c r="B321" s="23" t="str">
        <f>IF('Lease Cycles'!$B$26="","(empty slot)",'Lease Cycles'!$B$26)</f>
        <v>(empty slot)</v>
      </c>
      <c r="C321" s="23" t="s">
        <v>681</v>
      </c>
      <c r="D321" s="104" t="s">
        <v>490</v>
      </c>
      <c r="E321" s="25">
        <f>'Lease Cycles'!$AL$26</f>
        <v>0</v>
      </c>
      <c r="G321" s="28">
        <f>SUM(S321:AD321)</f>
        <v>0</v>
      </c>
      <c r="H321" s="28">
        <f>SUM(AE321:AP321)</f>
        <v>0</v>
      </c>
      <c r="I321" s="28">
        <f>SUM(AQ321:BB321)</f>
        <v>0</v>
      </c>
      <c r="J321" s="28">
        <f>SUM(BC321:BN321)</f>
        <v>0</v>
      </c>
      <c r="K321" s="28">
        <f>SUM(BO321:BZ321)</f>
        <v>0</v>
      </c>
      <c r="L321" s="28">
        <f>SUM(CA321:CL321)</f>
        <v>0</v>
      </c>
      <c r="M321" s="28">
        <f>SUM(CM321:CX321)</f>
        <v>0</v>
      </c>
      <c r="N321" s="28">
        <f>SUM(CY321:DJ321)</f>
        <v>0</v>
      </c>
      <c r="O321" s="28">
        <f>SUM(DK321:DV321)</f>
        <v>0</v>
      </c>
      <c r="P321" s="28">
        <f>SUM(DW321:EH321)</f>
        <v>0</v>
      </c>
      <c r="Q321" s="28">
        <f>SUM(EI321:ET321)</f>
        <v>0</v>
      </c>
      <c r="S321" s="28">
        <f>IF(S318=1,IF(INDEX('Lease Cycles'!$EF$26:$EL$26,1,S316)=1,S319*INDEX('Lease Cycles'!$EM$26:$ES$26,1,S316)+S320*(1-INDEX('Lease Cycles'!$EM$26:$ES$26,1,S316)),S319),S319)</f>
        <v>0</v>
      </c>
      <c r="T321" s="28">
        <f>IF(T318=1,IF(INDEX('Lease Cycles'!$EF$26:$EL$26,1,T316)=1,T319*INDEX('Lease Cycles'!$EM$26:$ES$26,1,T316)+T320*(1-INDEX('Lease Cycles'!$EM$26:$ES$26,1,T316)),T319),T319)</f>
        <v>0</v>
      </c>
      <c r="U321" s="28">
        <f>IF(U318=1,IF(INDEX('Lease Cycles'!$EF$26:$EL$26,1,U316)=1,U319*INDEX('Lease Cycles'!$EM$26:$ES$26,1,U316)+U320*(1-INDEX('Lease Cycles'!$EM$26:$ES$26,1,U316)),U319),U319)</f>
        <v>0</v>
      </c>
      <c r="V321" s="28">
        <f>IF(V318=1,IF(INDEX('Lease Cycles'!$EF$26:$EL$26,1,V316)=1,V319*INDEX('Lease Cycles'!$EM$26:$ES$26,1,V316)+V320*(1-INDEX('Lease Cycles'!$EM$26:$ES$26,1,V316)),V319),V319)</f>
        <v>0</v>
      </c>
      <c r="W321" s="28">
        <f>IF(W318=1,IF(INDEX('Lease Cycles'!$EF$26:$EL$26,1,W316)=1,W319*INDEX('Lease Cycles'!$EM$26:$ES$26,1,W316)+W320*(1-INDEX('Lease Cycles'!$EM$26:$ES$26,1,W316)),W319),W319)</f>
        <v>0</v>
      </c>
      <c r="X321" s="28">
        <f>IF(X318=1,IF(INDEX('Lease Cycles'!$EF$26:$EL$26,1,X316)=1,X319*INDEX('Lease Cycles'!$EM$26:$ES$26,1,X316)+X320*(1-INDEX('Lease Cycles'!$EM$26:$ES$26,1,X316)),X319),X319)</f>
        <v>0</v>
      </c>
      <c r="Y321" s="28">
        <f>IF(Y318=1,IF(INDEX('Lease Cycles'!$EF$26:$EL$26,1,Y316)=1,Y319*INDEX('Lease Cycles'!$EM$26:$ES$26,1,Y316)+Y320*(1-INDEX('Lease Cycles'!$EM$26:$ES$26,1,Y316)),Y319),Y319)</f>
        <v>0</v>
      </c>
      <c r="Z321" s="28">
        <f>IF(Z318=1,IF(INDEX('Lease Cycles'!$EF$26:$EL$26,1,Z316)=1,Z319*INDEX('Lease Cycles'!$EM$26:$ES$26,1,Z316)+Z320*(1-INDEX('Lease Cycles'!$EM$26:$ES$26,1,Z316)),Z319),Z319)</f>
        <v>0</v>
      </c>
      <c r="AA321" s="28">
        <f>IF(AA318=1,IF(INDEX('Lease Cycles'!$EF$26:$EL$26,1,AA316)=1,AA319*INDEX('Lease Cycles'!$EM$26:$ES$26,1,AA316)+AA320*(1-INDEX('Lease Cycles'!$EM$26:$ES$26,1,AA316)),AA319),AA319)</f>
        <v>0</v>
      </c>
      <c r="AB321" s="28">
        <f>IF(AB318=1,IF(INDEX('Lease Cycles'!$EF$26:$EL$26,1,AB316)=1,AB319*INDEX('Lease Cycles'!$EM$26:$ES$26,1,AB316)+AB320*(1-INDEX('Lease Cycles'!$EM$26:$ES$26,1,AB316)),AB319),AB319)</f>
        <v>0</v>
      </c>
      <c r="AC321" s="28">
        <f>IF(AC318=1,IF(INDEX('Lease Cycles'!$EF$26:$EL$26,1,AC316)=1,AC319*INDEX('Lease Cycles'!$EM$26:$ES$26,1,AC316)+AC320*(1-INDEX('Lease Cycles'!$EM$26:$ES$26,1,AC316)),AC319),AC319)</f>
        <v>0</v>
      </c>
      <c r="AD321" s="28">
        <f>IF(AD318=1,IF(INDEX('Lease Cycles'!$EF$26:$EL$26,1,AD316)=1,AD319*INDEX('Lease Cycles'!$EM$26:$ES$26,1,AD316)+AD320*(1-INDEX('Lease Cycles'!$EM$26:$ES$26,1,AD316)),AD319),AD319)</f>
        <v>0</v>
      </c>
      <c r="AE321" s="28">
        <f>IF(AE318=1,IF(INDEX('Lease Cycles'!$EF$26:$EL$26,1,AE316)=1,AE319*INDEX('Lease Cycles'!$EM$26:$ES$26,1,AE316)+AE320*(1-INDEX('Lease Cycles'!$EM$26:$ES$26,1,AE316)),AE319),AE319)</f>
        <v>0</v>
      </c>
      <c r="AF321" s="28">
        <f>IF(AF318=1,IF(INDEX('Lease Cycles'!$EF$26:$EL$26,1,AF316)=1,AF319*INDEX('Lease Cycles'!$EM$26:$ES$26,1,AF316)+AF320*(1-INDEX('Lease Cycles'!$EM$26:$ES$26,1,AF316)),AF319),AF319)</f>
        <v>0</v>
      </c>
      <c r="AG321" s="28">
        <f>IF(AG318=1,IF(INDEX('Lease Cycles'!$EF$26:$EL$26,1,AG316)=1,AG319*INDEX('Lease Cycles'!$EM$26:$ES$26,1,AG316)+AG320*(1-INDEX('Lease Cycles'!$EM$26:$ES$26,1,AG316)),AG319),AG319)</f>
        <v>0</v>
      </c>
      <c r="AH321" s="28">
        <f>IF(AH318=1,IF(INDEX('Lease Cycles'!$EF$26:$EL$26,1,AH316)=1,AH319*INDEX('Lease Cycles'!$EM$26:$ES$26,1,AH316)+AH320*(1-INDEX('Lease Cycles'!$EM$26:$ES$26,1,AH316)),AH319),AH319)</f>
        <v>0</v>
      </c>
      <c r="AI321" s="28">
        <f>IF(AI318=1,IF(INDEX('Lease Cycles'!$EF$26:$EL$26,1,AI316)=1,AI319*INDEX('Lease Cycles'!$EM$26:$ES$26,1,AI316)+AI320*(1-INDEX('Lease Cycles'!$EM$26:$ES$26,1,AI316)),AI319),AI319)</f>
        <v>0</v>
      </c>
      <c r="AJ321" s="28">
        <f>IF(AJ318=1,IF(INDEX('Lease Cycles'!$EF$26:$EL$26,1,AJ316)=1,AJ319*INDEX('Lease Cycles'!$EM$26:$ES$26,1,AJ316)+AJ320*(1-INDEX('Lease Cycles'!$EM$26:$ES$26,1,AJ316)),AJ319),AJ319)</f>
        <v>0</v>
      </c>
      <c r="AK321" s="28">
        <f>IF(AK318=1,IF(INDEX('Lease Cycles'!$EF$26:$EL$26,1,AK316)=1,AK319*INDEX('Lease Cycles'!$EM$26:$ES$26,1,AK316)+AK320*(1-INDEX('Lease Cycles'!$EM$26:$ES$26,1,AK316)),AK319),AK319)</f>
        <v>0</v>
      </c>
      <c r="AL321" s="28">
        <f>IF(AL318=1,IF(INDEX('Lease Cycles'!$EF$26:$EL$26,1,AL316)=1,AL319*INDEX('Lease Cycles'!$EM$26:$ES$26,1,AL316)+AL320*(1-INDEX('Lease Cycles'!$EM$26:$ES$26,1,AL316)),AL319),AL319)</f>
        <v>0</v>
      </c>
      <c r="AM321" s="28">
        <f>IF(AM318=1,IF(INDEX('Lease Cycles'!$EF$26:$EL$26,1,AM316)=1,AM319*INDEX('Lease Cycles'!$EM$26:$ES$26,1,AM316)+AM320*(1-INDEX('Lease Cycles'!$EM$26:$ES$26,1,AM316)),AM319),AM319)</f>
        <v>0</v>
      </c>
      <c r="AN321" s="28">
        <f>IF(AN318=1,IF(INDEX('Lease Cycles'!$EF$26:$EL$26,1,AN316)=1,AN319*INDEX('Lease Cycles'!$EM$26:$ES$26,1,AN316)+AN320*(1-INDEX('Lease Cycles'!$EM$26:$ES$26,1,AN316)),AN319),AN319)</f>
        <v>0</v>
      </c>
      <c r="AO321" s="28">
        <f>IF(AO318=1,IF(INDEX('Lease Cycles'!$EF$26:$EL$26,1,AO316)=1,AO319*INDEX('Lease Cycles'!$EM$26:$ES$26,1,AO316)+AO320*(1-INDEX('Lease Cycles'!$EM$26:$ES$26,1,AO316)),AO319),AO319)</f>
        <v>0</v>
      </c>
      <c r="AP321" s="28">
        <f>IF(AP318=1,IF(INDEX('Lease Cycles'!$EF$26:$EL$26,1,AP316)=1,AP319*INDEX('Lease Cycles'!$EM$26:$ES$26,1,AP316)+AP320*(1-INDEX('Lease Cycles'!$EM$26:$ES$26,1,AP316)),AP319),AP319)</f>
        <v>0</v>
      </c>
      <c r="AQ321" s="28">
        <f>IF(AQ318=1,IF(INDEX('Lease Cycles'!$EF$26:$EL$26,1,AQ316)=1,AQ319*INDEX('Lease Cycles'!$EM$26:$ES$26,1,AQ316)+AQ320*(1-INDEX('Lease Cycles'!$EM$26:$ES$26,1,AQ316)),AQ319),AQ319)</f>
        <v>0</v>
      </c>
      <c r="AR321" s="28">
        <f>IF(AR318=1,IF(INDEX('Lease Cycles'!$EF$26:$EL$26,1,AR316)=1,AR319*INDEX('Lease Cycles'!$EM$26:$ES$26,1,AR316)+AR320*(1-INDEX('Lease Cycles'!$EM$26:$ES$26,1,AR316)),AR319),AR319)</f>
        <v>0</v>
      </c>
      <c r="AS321" s="28">
        <f>IF(AS318=1,IF(INDEX('Lease Cycles'!$EF$26:$EL$26,1,AS316)=1,AS319*INDEX('Lease Cycles'!$EM$26:$ES$26,1,AS316)+AS320*(1-INDEX('Lease Cycles'!$EM$26:$ES$26,1,AS316)),AS319),AS319)</f>
        <v>0</v>
      </c>
      <c r="AT321" s="28">
        <f>IF(AT318=1,IF(INDEX('Lease Cycles'!$EF$26:$EL$26,1,AT316)=1,AT319*INDEX('Lease Cycles'!$EM$26:$ES$26,1,AT316)+AT320*(1-INDEX('Lease Cycles'!$EM$26:$ES$26,1,AT316)),AT319),AT319)</f>
        <v>0</v>
      </c>
      <c r="AU321" s="28">
        <f>IF(AU318=1,IF(INDEX('Lease Cycles'!$EF$26:$EL$26,1,AU316)=1,AU319*INDEX('Lease Cycles'!$EM$26:$ES$26,1,AU316)+AU320*(1-INDEX('Lease Cycles'!$EM$26:$ES$26,1,AU316)),AU319),AU319)</f>
        <v>0</v>
      </c>
      <c r="AV321" s="28">
        <f>IF(AV318=1,IF(INDEX('Lease Cycles'!$EF$26:$EL$26,1,AV316)=1,AV319*INDEX('Lease Cycles'!$EM$26:$ES$26,1,AV316)+AV320*(1-INDEX('Lease Cycles'!$EM$26:$ES$26,1,AV316)),AV319),AV319)</f>
        <v>0</v>
      </c>
      <c r="AW321" s="28">
        <f>IF(AW318=1,IF(INDEX('Lease Cycles'!$EF$26:$EL$26,1,AW316)=1,AW319*INDEX('Lease Cycles'!$EM$26:$ES$26,1,AW316)+AW320*(1-INDEX('Lease Cycles'!$EM$26:$ES$26,1,AW316)),AW319),AW319)</f>
        <v>0</v>
      </c>
      <c r="AX321" s="28">
        <f>IF(AX318=1,IF(INDEX('Lease Cycles'!$EF$26:$EL$26,1,AX316)=1,AX319*INDEX('Lease Cycles'!$EM$26:$ES$26,1,AX316)+AX320*(1-INDEX('Lease Cycles'!$EM$26:$ES$26,1,AX316)),AX319),AX319)</f>
        <v>0</v>
      </c>
      <c r="AY321" s="28">
        <f>IF(AY318=1,IF(INDEX('Lease Cycles'!$EF$26:$EL$26,1,AY316)=1,AY319*INDEX('Lease Cycles'!$EM$26:$ES$26,1,AY316)+AY320*(1-INDEX('Lease Cycles'!$EM$26:$ES$26,1,AY316)),AY319),AY319)</f>
        <v>0</v>
      </c>
      <c r="AZ321" s="28">
        <f>IF(AZ318=1,IF(INDEX('Lease Cycles'!$EF$26:$EL$26,1,AZ316)=1,AZ319*INDEX('Lease Cycles'!$EM$26:$ES$26,1,AZ316)+AZ320*(1-INDEX('Lease Cycles'!$EM$26:$ES$26,1,AZ316)),AZ319),AZ319)</f>
        <v>0</v>
      </c>
      <c r="BA321" s="28">
        <f>IF(BA318=1,IF(INDEX('Lease Cycles'!$EF$26:$EL$26,1,BA316)=1,BA319*INDEX('Lease Cycles'!$EM$26:$ES$26,1,BA316)+BA320*(1-INDEX('Lease Cycles'!$EM$26:$ES$26,1,BA316)),BA319),BA319)</f>
        <v>0</v>
      </c>
      <c r="BB321" s="28">
        <f>IF(BB318=1,IF(INDEX('Lease Cycles'!$EF$26:$EL$26,1,BB316)=1,BB319*INDEX('Lease Cycles'!$EM$26:$ES$26,1,BB316)+BB320*(1-INDEX('Lease Cycles'!$EM$26:$ES$26,1,BB316)),BB319),BB319)</f>
        <v>0</v>
      </c>
      <c r="BC321" s="28">
        <f>IF(BC318=1,IF(INDEX('Lease Cycles'!$EF$26:$EL$26,1,BC316)=1,BC319*INDEX('Lease Cycles'!$EM$26:$ES$26,1,BC316)+BC320*(1-INDEX('Lease Cycles'!$EM$26:$ES$26,1,BC316)),BC319),BC319)</f>
        <v>0</v>
      </c>
      <c r="BD321" s="28">
        <f>IF(BD318=1,IF(INDEX('Lease Cycles'!$EF$26:$EL$26,1,BD316)=1,BD319*INDEX('Lease Cycles'!$EM$26:$ES$26,1,BD316)+BD320*(1-INDEX('Lease Cycles'!$EM$26:$ES$26,1,BD316)),BD319),BD319)</f>
        <v>0</v>
      </c>
      <c r="BE321" s="28">
        <f>IF(BE318=1,IF(INDEX('Lease Cycles'!$EF$26:$EL$26,1,BE316)=1,BE319*INDEX('Lease Cycles'!$EM$26:$ES$26,1,BE316)+BE320*(1-INDEX('Lease Cycles'!$EM$26:$ES$26,1,BE316)),BE319),BE319)</f>
        <v>0</v>
      </c>
      <c r="BF321" s="28">
        <f>IF(BF318=1,IF(INDEX('Lease Cycles'!$EF$26:$EL$26,1,BF316)=1,BF319*INDEX('Lease Cycles'!$EM$26:$ES$26,1,BF316)+BF320*(1-INDEX('Lease Cycles'!$EM$26:$ES$26,1,BF316)),BF319),BF319)</f>
        <v>0</v>
      </c>
      <c r="BG321" s="28">
        <f>IF(BG318=1,IF(INDEX('Lease Cycles'!$EF$26:$EL$26,1,BG316)=1,BG319*INDEX('Lease Cycles'!$EM$26:$ES$26,1,BG316)+BG320*(1-INDEX('Lease Cycles'!$EM$26:$ES$26,1,BG316)),BG319),BG319)</f>
        <v>0</v>
      </c>
      <c r="BH321" s="28">
        <f>IF(BH318=1,IF(INDEX('Lease Cycles'!$EF$26:$EL$26,1,BH316)=1,BH319*INDEX('Lease Cycles'!$EM$26:$ES$26,1,BH316)+BH320*(1-INDEX('Lease Cycles'!$EM$26:$ES$26,1,BH316)),BH319),BH319)</f>
        <v>0</v>
      </c>
      <c r="BI321" s="28">
        <f>IF(BI318=1,IF(INDEX('Lease Cycles'!$EF$26:$EL$26,1,BI316)=1,BI319*INDEX('Lease Cycles'!$EM$26:$ES$26,1,BI316)+BI320*(1-INDEX('Lease Cycles'!$EM$26:$ES$26,1,BI316)),BI319),BI319)</f>
        <v>0</v>
      </c>
      <c r="BJ321" s="28">
        <f>IF(BJ318=1,IF(INDEX('Lease Cycles'!$EF$26:$EL$26,1,BJ316)=1,BJ319*INDEX('Lease Cycles'!$EM$26:$ES$26,1,BJ316)+BJ320*(1-INDEX('Lease Cycles'!$EM$26:$ES$26,1,BJ316)),BJ319),BJ319)</f>
        <v>0</v>
      </c>
      <c r="BK321" s="28">
        <f>IF(BK318=1,IF(INDEX('Lease Cycles'!$EF$26:$EL$26,1,BK316)=1,BK319*INDEX('Lease Cycles'!$EM$26:$ES$26,1,BK316)+BK320*(1-INDEX('Lease Cycles'!$EM$26:$ES$26,1,BK316)),BK319),BK319)</f>
        <v>0</v>
      </c>
      <c r="BL321" s="28">
        <f>IF(BL318=1,IF(INDEX('Lease Cycles'!$EF$26:$EL$26,1,BL316)=1,BL319*INDEX('Lease Cycles'!$EM$26:$ES$26,1,BL316)+BL320*(1-INDEX('Lease Cycles'!$EM$26:$ES$26,1,BL316)),BL319),BL319)</f>
        <v>0</v>
      </c>
      <c r="BM321" s="28">
        <f>IF(BM318=1,IF(INDEX('Lease Cycles'!$EF$26:$EL$26,1,BM316)=1,BM319*INDEX('Lease Cycles'!$EM$26:$ES$26,1,BM316)+BM320*(1-INDEX('Lease Cycles'!$EM$26:$ES$26,1,BM316)),BM319),BM319)</f>
        <v>0</v>
      </c>
      <c r="BN321" s="28">
        <f>IF(BN318=1,IF(INDEX('Lease Cycles'!$EF$26:$EL$26,1,BN316)=1,BN319*INDEX('Lease Cycles'!$EM$26:$ES$26,1,BN316)+BN320*(1-INDEX('Lease Cycles'!$EM$26:$ES$26,1,BN316)),BN319),BN319)</f>
        <v>0</v>
      </c>
      <c r="BO321" s="28">
        <f>IF(BO318=1,IF(INDEX('Lease Cycles'!$EF$26:$EL$26,1,BO316)=1,BO319*INDEX('Lease Cycles'!$EM$26:$ES$26,1,BO316)+BO320*(1-INDEX('Lease Cycles'!$EM$26:$ES$26,1,BO316)),BO319),BO319)</f>
        <v>0</v>
      </c>
      <c r="BP321" s="28">
        <f>IF(BP318=1,IF(INDEX('Lease Cycles'!$EF$26:$EL$26,1,BP316)=1,BP319*INDEX('Lease Cycles'!$EM$26:$ES$26,1,BP316)+BP320*(1-INDEX('Lease Cycles'!$EM$26:$ES$26,1,BP316)),BP319),BP319)</f>
        <v>0</v>
      </c>
      <c r="BQ321" s="28">
        <f>IF(BQ318=1,IF(INDEX('Lease Cycles'!$EF$26:$EL$26,1,BQ316)=1,BQ319*INDEX('Lease Cycles'!$EM$26:$ES$26,1,BQ316)+BQ320*(1-INDEX('Lease Cycles'!$EM$26:$ES$26,1,BQ316)),BQ319),BQ319)</f>
        <v>0</v>
      </c>
      <c r="BR321" s="28">
        <f>IF(BR318=1,IF(INDEX('Lease Cycles'!$EF$26:$EL$26,1,BR316)=1,BR319*INDEX('Lease Cycles'!$EM$26:$ES$26,1,BR316)+BR320*(1-INDEX('Lease Cycles'!$EM$26:$ES$26,1,BR316)),BR319),BR319)</f>
        <v>0</v>
      </c>
      <c r="BS321" s="28">
        <f>IF(BS318=1,IF(INDEX('Lease Cycles'!$EF$26:$EL$26,1,BS316)=1,BS319*INDEX('Lease Cycles'!$EM$26:$ES$26,1,BS316)+BS320*(1-INDEX('Lease Cycles'!$EM$26:$ES$26,1,BS316)),BS319),BS319)</f>
        <v>0</v>
      </c>
      <c r="BT321" s="28">
        <f>IF(BT318=1,IF(INDEX('Lease Cycles'!$EF$26:$EL$26,1,BT316)=1,BT319*INDEX('Lease Cycles'!$EM$26:$ES$26,1,BT316)+BT320*(1-INDEX('Lease Cycles'!$EM$26:$ES$26,1,BT316)),BT319),BT319)</f>
        <v>0</v>
      </c>
      <c r="BU321" s="28">
        <f>IF(BU318=1,IF(INDEX('Lease Cycles'!$EF$26:$EL$26,1,BU316)=1,BU319*INDEX('Lease Cycles'!$EM$26:$ES$26,1,BU316)+BU320*(1-INDEX('Lease Cycles'!$EM$26:$ES$26,1,BU316)),BU319),BU319)</f>
        <v>0</v>
      </c>
      <c r="BV321" s="28">
        <f>IF(BV318=1,IF(INDEX('Lease Cycles'!$EF$26:$EL$26,1,BV316)=1,BV319*INDEX('Lease Cycles'!$EM$26:$ES$26,1,BV316)+BV320*(1-INDEX('Lease Cycles'!$EM$26:$ES$26,1,BV316)),BV319),BV319)</f>
        <v>0</v>
      </c>
      <c r="BW321" s="28">
        <f>IF(BW318=1,IF(INDEX('Lease Cycles'!$EF$26:$EL$26,1,BW316)=1,BW319*INDEX('Lease Cycles'!$EM$26:$ES$26,1,BW316)+BW320*(1-INDEX('Lease Cycles'!$EM$26:$ES$26,1,BW316)),BW319),BW319)</f>
        <v>0</v>
      </c>
      <c r="BX321" s="28">
        <f>IF(BX318=1,IF(INDEX('Lease Cycles'!$EF$26:$EL$26,1,BX316)=1,BX319*INDEX('Lease Cycles'!$EM$26:$ES$26,1,BX316)+BX320*(1-INDEX('Lease Cycles'!$EM$26:$ES$26,1,BX316)),BX319),BX319)</f>
        <v>0</v>
      </c>
      <c r="BY321" s="28">
        <f>IF(BY318=1,IF(INDEX('Lease Cycles'!$EF$26:$EL$26,1,BY316)=1,BY319*INDEX('Lease Cycles'!$EM$26:$ES$26,1,BY316)+BY320*(1-INDEX('Lease Cycles'!$EM$26:$ES$26,1,BY316)),BY319),BY319)</f>
        <v>0</v>
      </c>
      <c r="BZ321" s="28">
        <f>IF(BZ318=1,IF(INDEX('Lease Cycles'!$EF$26:$EL$26,1,BZ316)=1,BZ319*INDEX('Lease Cycles'!$EM$26:$ES$26,1,BZ316)+BZ320*(1-INDEX('Lease Cycles'!$EM$26:$ES$26,1,BZ316)),BZ319),BZ319)</f>
        <v>0</v>
      </c>
      <c r="CA321" s="28">
        <f>IF(CA318=1,IF(INDEX('Lease Cycles'!$EF$26:$EL$26,1,CA316)=1,CA319*INDEX('Lease Cycles'!$EM$26:$ES$26,1,CA316)+CA320*(1-INDEX('Lease Cycles'!$EM$26:$ES$26,1,CA316)),CA319),CA319)</f>
        <v>0</v>
      </c>
      <c r="CB321" s="28">
        <f>IF(CB318=1,IF(INDEX('Lease Cycles'!$EF$26:$EL$26,1,CB316)=1,CB319*INDEX('Lease Cycles'!$EM$26:$ES$26,1,CB316)+CB320*(1-INDEX('Lease Cycles'!$EM$26:$ES$26,1,CB316)),CB319),CB319)</f>
        <v>0</v>
      </c>
      <c r="CC321" s="28">
        <f>IF(CC318=1,IF(INDEX('Lease Cycles'!$EF$26:$EL$26,1,CC316)=1,CC319*INDEX('Lease Cycles'!$EM$26:$ES$26,1,CC316)+CC320*(1-INDEX('Lease Cycles'!$EM$26:$ES$26,1,CC316)),CC319),CC319)</f>
        <v>0</v>
      </c>
      <c r="CD321" s="28">
        <f>IF(CD318=1,IF(INDEX('Lease Cycles'!$EF$26:$EL$26,1,CD316)=1,CD319*INDEX('Lease Cycles'!$EM$26:$ES$26,1,CD316)+CD320*(1-INDEX('Lease Cycles'!$EM$26:$ES$26,1,CD316)),CD319),CD319)</f>
        <v>0</v>
      </c>
      <c r="CE321" s="28">
        <f>IF(CE318=1,IF(INDEX('Lease Cycles'!$EF$26:$EL$26,1,CE316)=1,CE319*INDEX('Lease Cycles'!$EM$26:$ES$26,1,CE316)+CE320*(1-INDEX('Lease Cycles'!$EM$26:$ES$26,1,CE316)),CE319),CE319)</f>
        <v>0</v>
      </c>
      <c r="CF321" s="28">
        <f>IF(CF318=1,IF(INDEX('Lease Cycles'!$EF$26:$EL$26,1,CF316)=1,CF319*INDEX('Lease Cycles'!$EM$26:$ES$26,1,CF316)+CF320*(1-INDEX('Lease Cycles'!$EM$26:$ES$26,1,CF316)),CF319),CF319)</f>
        <v>0</v>
      </c>
      <c r="CG321" s="28">
        <f>IF(CG318=1,IF(INDEX('Lease Cycles'!$EF$26:$EL$26,1,CG316)=1,CG319*INDEX('Lease Cycles'!$EM$26:$ES$26,1,CG316)+CG320*(1-INDEX('Lease Cycles'!$EM$26:$ES$26,1,CG316)),CG319),CG319)</f>
        <v>0</v>
      </c>
      <c r="CH321" s="28">
        <f>IF(CH318=1,IF(INDEX('Lease Cycles'!$EF$26:$EL$26,1,CH316)=1,CH319*INDEX('Lease Cycles'!$EM$26:$ES$26,1,CH316)+CH320*(1-INDEX('Lease Cycles'!$EM$26:$ES$26,1,CH316)),CH319),CH319)</f>
        <v>0</v>
      </c>
      <c r="CI321" s="28">
        <f>IF(CI318=1,IF(INDEX('Lease Cycles'!$EF$26:$EL$26,1,CI316)=1,CI319*INDEX('Lease Cycles'!$EM$26:$ES$26,1,CI316)+CI320*(1-INDEX('Lease Cycles'!$EM$26:$ES$26,1,CI316)),CI319),CI319)</f>
        <v>0</v>
      </c>
      <c r="CJ321" s="28">
        <f>IF(CJ318=1,IF(INDEX('Lease Cycles'!$EF$26:$EL$26,1,CJ316)=1,CJ319*INDEX('Lease Cycles'!$EM$26:$ES$26,1,CJ316)+CJ320*(1-INDEX('Lease Cycles'!$EM$26:$ES$26,1,CJ316)),CJ319),CJ319)</f>
        <v>0</v>
      </c>
      <c r="CK321" s="28">
        <f>IF(CK318=1,IF(INDEX('Lease Cycles'!$EF$26:$EL$26,1,CK316)=1,CK319*INDEX('Lease Cycles'!$EM$26:$ES$26,1,CK316)+CK320*(1-INDEX('Lease Cycles'!$EM$26:$ES$26,1,CK316)),CK319),CK319)</f>
        <v>0</v>
      </c>
      <c r="CL321" s="28">
        <f>IF(CL318=1,IF(INDEX('Lease Cycles'!$EF$26:$EL$26,1,CL316)=1,CL319*INDEX('Lease Cycles'!$EM$26:$ES$26,1,CL316)+CL320*(1-INDEX('Lease Cycles'!$EM$26:$ES$26,1,CL316)),CL319),CL319)</f>
        <v>0</v>
      </c>
      <c r="CM321" s="28">
        <f>IF(CM318=1,IF(INDEX('Lease Cycles'!$EF$26:$EL$26,1,CM316)=1,CM319*INDEX('Lease Cycles'!$EM$26:$ES$26,1,CM316)+CM320*(1-INDEX('Lease Cycles'!$EM$26:$ES$26,1,CM316)),CM319),CM319)</f>
        <v>0</v>
      </c>
      <c r="CN321" s="28">
        <f>IF(CN318=1,IF(INDEX('Lease Cycles'!$EF$26:$EL$26,1,CN316)=1,CN319*INDEX('Lease Cycles'!$EM$26:$ES$26,1,CN316)+CN320*(1-INDEX('Lease Cycles'!$EM$26:$ES$26,1,CN316)),CN319),CN319)</f>
        <v>0</v>
      </c>
      <c r="CO321" s="28">
        <f>IF(CO318=1,IF(INDEX('Lease Cycles'!$EF$26:$EL$26,1,CO316)=1,CO319*INDEX('Lease Cycles'!$EM$26:$ES$26,1,CO316)+CO320*(1-INDEX('Lease Cycles'!$EM$26:$ES$26,1,CO316)),CO319),CO319)</f>
        <v>0</v>
      </c>
      <c r="CP321" s="28">
        <f>IF(CP318=1,IF(INDEX('Lease Cycles'!$EF$26:$EL$26,1,CP316)=1,CP319*INDEX('Lease Cycles'!$EM$26:$ES$26,1,CP316)+CP320*(1-INDEX('Lease Cycles'!$EM$26:$ES$26,1,CP316)),CP319),CP319)</f>
        <v>0</v>
      </c>
      <c r="CQ321" s="28">
        <f>IF(CQ318=1,IF(INDEX('Lease Cycles'!$EF$26:$EL$26,1,CQ316)=1,CQ319*INDEX('Lease Cycles'!$EM$26:$ES$26,1,CQ316)+CQ320*(1-INDEX('Lease Cycles'!$EM$26:$ES$26,1,CQ316)),CQ319),CQ319)</f>
        <v>0</v>
      </c>
      <c r="CR321" s="28">
        <f>IF(CR318=1,IF(INDEX('Lease Cycles'!$EF$26:$EL$26,1,CR316)=1,CR319*INDEX('Lease Cycles'!$EM$26:$ES$26,1,CR316)+CR320*(1-INDEX('Lease Cycles'!$EM$26:$ES$26,1,CR316)),CR319),CR319)</f>
        <v>0</v>
      </c>
      <c r="CS321" s="28">
        <f>IF(CS318=1,IF(INDEX('Lease Cycles'!$EF$26:$EL$26,1,CS316)=1,CS319*INDEX('Lease Cycles'!$EM$26:$ES$26,1,CS316)+CS320*(1-INDEX('Lease Cycles'!$EM$26:$ES$26,1,CS316)),CS319),CS319)</f>
        <v>0</v>
      </c>
      <c r="CT321" s="28">
        <f>IF(CT318=1,IF(INDEX('Lease Cycles'!$EF$26:$EL$26,1,CT316)=1,CT319*INDEX('Lease Cycles'!$EM$26:$ES$26,1,CT316)+CT320*(1-INDEX('Lease Cycles'!$EM$26:$ES$26,1,CT316)),CT319),CT319)</f>
        <v>0</v>
      </c>
      <c r="CU321" s="28">
        <f>IF(CU318=1,IF(INDEX('Lease Cycles'!$EF$26:$EL$26,1,CU316)=1,CU319*INDEX('Lease Cycles'!$EM$26:$ES$26,1,CU316)+CU320*(1-INDEX('Lease Cycles'!$EM$26:$ES$26,1,CU316)),CU319),CU319)</f>
        <v>0</v>
      </c>
      <c r="CV321" s="28">
        <f>IF(CV318=1,IF(INDEX('Lease Cycles'!$EF$26:$EL$26,1,CV316)=1,CV319*INDEX('Lease Cycles'!$EM$26:$ES$26,1,CV316)+CV320*(1-INDEX('Lease Cycles'!$EM$26:$ES$26,1,CV316)),CV319),CV319)</f>
        <v>0</v>
      </c>
      <c r="CW321" s="28">
        <f>IF(CW318=1,IF(INDEX('Lease Cycles'!$EF$26:$EL$26,1,CW316)=1,CW319*INDEX('Lease Cycles'!$EM$26:$ES$26,1,CW316)+CW320*(1-INDEX('Lease Cycles'!$EM$26:$ES$26,1,CW316)),CW319),CW319)</f>
        <v>0</v>
      </c>
      <c r="CX321" s="28">
        <f>IF(CX318=1,IF(INDEX('Lease Cycles'!$EF$26:$EL$26,1,CX316)=1,CX319*INDEX('Lease Cycles'!$EM$26:$ES$26,1,CX316)+CX320*(1-INDEX('Lease Cycles'!$EM$26:$ES$26,1,CX316)),CX319),CX319)</f>
        <v>0</v>
      </c>
      <c r="CY321" s="28">
        <f>IF(CY318=1,IF(INDEX('Lease Cycles'!$EF$26:$EL$26,1,CY316)=1,CY319*INDEX('Lease Cycles'!$EM$26:$ES$26,1,CY316)+CY320*(1-INDEX('Lease Cycles'!$EM$26:$ES$26,1,CY316)),CY319),CY319)</f>
        <v>0</v>
      </c>
      <c r="CZ321" s="28">
        <f>IF(CZ318=1,IF(INDEX('Lease Cycles'!$EF$26:$EL$26,1,CZ316)=1,CZ319*INDEX('Lease Cycles'!$EM$26:$ES$26,1,CZ316)+CZ320*(1-INDEX('Lease Cycles'!$EM$26:$ES$26,1,CZ316)),CZ319),CZ319)</f>
        <v>0</v>
      </c>
      <c r="DA321" s="28">
        <f>IF(DA318=1,IF(INDEX('Lease Cycles'!$EF$26:$EL$26,1,DA316)=1,DA319*INDEX('Lease Cycles'!$EM$26:$ES$26,1,DA316)+DA320*(1-INDEX('Lease Cycles'!$EM$26:$ES$26,1,DA316)),DA319),DA319)</f>
        <v>0</v>
      </c>
      <c r="DB321" s="28">
        <f>IF(DB318=1,IF(INDEX('Lease Cycles'!$EF$26:$EL$26,1,DB316)=1,DB319*INDEX('Lease Cycles'!$EM$26:$ES$26,1,DB316)+DB320*(1-INDEX('Lease Cycles'!$EM$26:$ES$26,1,DB316)),DB319),DB319)</f>
        <v>0</v>
      </c>
      <c r="DC321" s="28">
        <f>IF(DC318=1,IF(INDEX('Lease Cycles'!$EF$26:$EL$26,1,DC316)=1,DC319*INDEX('Lease Cycles'!$EM$26:$ES$26,1,DC316)+DC320*(1-INDEX('Lease Cycles'!$EM$26:$ES$26,1,DC316)),DC319),DC319)</f>
        <v>0</v>
      </c>
      <c r="DD321" s="28">
        <f>IF(DD318=1,IF(INDEX('Lease Cycles'!$EF$26:$EL$26,1,DD316)=1,DD319*INDEX('Lease Cycles'!$EM$26:$ES$26,1,DD316)+DD320*(1-INDEX('Lease Cycles'!$EM$26:$ES$26,1,DD316)),DD319),DD319)</f>
        <v>0</v>
      </c>
      <c r="DE321" s="28">
        <f>IF(DE318=1,IF(INDEX('Lease Cycles'!$EF$26:$EL$26,1,DE316)=1,DE319*INDEX('Lease Cycles'!$EM$26:$ES$26,1,DE316)+DE320*(1-INDEX('Lease Cycles'!$EM$26:$ES$26,1,DE316)),DE319),DE319)</f>
        <v>0</v>
      </c>
      <c r="DF321" s="28">
        <f>IF(DF318=1,IF(INDEX('Lease Cycles'!$EF$26:$EL$26,1,DF316)=1,DF319*INDEX('Lease Cycles'!$EM$26:$ES$26,1,DF316)+DF320*(1-INDEX('Lease Cycles'!$EM$26:$ES$26,1,DF316)),DF319),DF319)</f>
        <v>0</v>
      </c>
      <c r="DG321" s="28">
        <f>IF(DG318=1,IF(INDEX('Lease Cycles'!$EF$26:$EL$26,1,DG316)=1,DG319*INDEX('Lease Cycles'!$EM$26:$ES$26,1,DG316)+DG320*(1-INDEX('Lease Cycles'!$EM$26:$ES$26,1,DG316)),DG319),DG319)</f>
        <v>0</v>
      </c>
      <c r="DH321" s="28">
        <f>IF(DH318=1,IF(INDEX('Lease Cycles'!$EF$26:$EL$26,1,DH316)=1,DH319*INDEX('Lease Cycles'!$EM$26:$ES$26,1,DH316)+DH320*(1-INDEX('Lease Cycles'!$EM$26:$ES$26,1,DH316)),DH319),DH319)</f>
        <v>0</v>
      </c>
      <c r="DI321" s="28">
        <f>IF(DI318=1,IF(INDEX('Lease Cycles'!$EF$26:$EL$26,1,DI316)=1,DI319*INDEX('Lease Cycles'!$EM$26:$ES$26,1,DI316)+DI320*(1-INDEX('Lease Cycles'!$EM$26:$ES$26,1,DI316)),DI319),DI319)</f>
        <v>0</v>
      </c>
      <c r="DJ321" s="28">
        <f>IF(DJ318=1,IF(INDEX('Lease Cycles'!$EF$26:$EL$26,1,DJ316)=1,DJ319*INDEX('Lease Cycles'!$EM$26:$ES$26,1,DJ316)+DJ320*(1-INDEX('Lease Cycles'!$EM$26:$ES$26,1,DJ316)),DJ319),DJ319)</f>
        <v>0</v>
      </c>
      <c r="DK321" s="28">
        <f>IF(DK318=1,IF(INDEX('Lease Cycles'!$EF$26:$EL$26,1,DK316)=1,DK319*INDEX('Lease Cycles'!$EM$26:$ES$26,1,DK316)+DK320*(1-INDEX('Lease Cycles'!$EM$26:$ES$26,1,DK316)),DK319),DK319)</f>
        <v>0</v>
      </c>
      <c r="DL321" s="28">
        <f>IF(DL318=1,IF(INDEX('Lease Cycles'!$EF$26:$EL$26,1,DL316)=1,DL319*INDEX('Lease Cycles'!$EM$26:$ES$26,1,DL316)+DL320*(1-INDEX('Lease Cycles'!$EM$26:$ES$26,1,DL316)),DL319),DL319)</f>
        <v>0</v>
      </c>
      <c r="DM321" s="28">
        <f>IF(DM318=1,IF(INDEX('Lease Cycles'!$EF$26:$EL$26,1,DM316)=1,DM319*INDEX('Lease Cycles'!$EM$26:$ES$26,1,DM316)+DM320*(1-INDEX('Lease Cycles'!$EM$26:$ES$26,1,DM316)),DM319),DM319)</f>
        <v>0</v>
      </c>
      <c r="DN321" s="28">
        <f>IF(DN318=1,IF(INDEX('Lease Cycles'!$EF$26:$EL$26,1,DN316)=1,DN319*INDEX('Lease Cycles'!$EM$26:$ES$26,1,DN316)+DN320*(1-INDEX('Lease Cycles'!$EM$26:$ES$26,1,DN316)),DN319),DN319)</f>
        <v>0</v>
      </c>
      <c r="DO321" s="28">
        <f>IF(DO318=1,IF(INDEX('Lease Cycles'!$EF$26:$EL$26,1,DO316)=1,DO319*INDEX('Lease Cycles'!$EM$26:$ES$26,1,DO316)+DO320*(1-INDEX('Lease Cycles'!$EM$26:$ES$26,1,DO316)),DO319),DO319)</f>
        <v>0</v>
      </c>
      <c r="DP321" s="28">
        <f>IF(DP318=1,IF(INDEX('Lease Cycles'!$EF$26:$EL$26,1,DP316)=1,DP319*INDEX('Lease Cycles'!$EM$26:$ES$26,1,DP316)+DP320*(1-INDEX('Lease Cycles'!$EM$26:$ES$26,1,DP316)),DP319),DP319)</f>
        <v>0</v>
      </c>
      <c r="DQ321" s="28">
        <f>IF(DQ318=1,IF(INDEX('Lease Cycles'!$EF$26:$EL$26,1,DQ316)=1,DQ319*INDEX('Lease Cycles'!$EM$26:$ES$26,1,DQ316)+DQ320*(1-INDEX('Lease Cycles'!$EM$26:$ES$26,1,DQ316)),DQ319),DQ319)</f>
        <v>0</v>
      </c>
      <c r="DR321" s="28">
        <f>IF(DR318=1,IF(INDEX('Lease Cycles'!$EF$26:$EL$26,1,DR316)=1,DR319*INDEX('Lease Cycles'!$EM$26:$ES$26,1,DR316)+DR320*(1-INDEX('Lease Cycles'!$EM$26:$ES$26,1,DR316)),DR319),DR319)</f>
        <v>0</v>
      </c>
      <c r="DS321" s="28">
        <f>IF(DS318=1,IF(INDEX('Lease Cycles'!$EF$26:$EL$26,1,DS316)=1,DS319*INDEX('Lease Cycles'!$EM$26:$ES$26,1,DS316)+DS320*(1-INDEX('Lease Cycles'!$EM$26:$ES$26,1,DS316)),DS319),DS319)</f>
        <v>0</v>
      </c>
      <c r="DT321" s="28">
        <f>IF(DT318=1,IF(INDEX('Lease Cycles'!$EF$26:$EL$26,1,DT316)=1,DT319*INDEX('Lease Cycles'!$EM$26:$ES$26,1,DT316)+DT320*(1-INDEX('Lease Cycles'!$EM$26:$ES$26,1,DT316)),DT319),DT319)</f>
        <v>0</v>
      </c>
      <c r="DU321" s="28">
        <f>IF(DU318=1,IF(INDEX('Lease Cycles'!$EF$26:$EL$26,1,DU316)=1,DU319*INDEX('Lease Cycles'!$EM$26:$ES$26,1,DU316)+DU320*(1-INDEX('Lease Cycles'!$EM$26:$ES$26,1,DU316)),DU319),DU319)</f>
        <v>0</v>
      </c>
      <c r="DV321" s="28">
        <f>IF(DV318=1,IF(INDEX('Lease Cycles'!$EF$26:$EL$26,1,DV316)=1,DV319*INDEX('Lease Cycles'!$EM$26:$ES$26,1,DV316)+DV320*(1-INDEX('Lease Cycles'!$EM$26:$ES$26,1,DV316)),DV319),DV319)</f>
        <v>0</v>
      </c>
      <c r="DW321" s="28">
        <f>IF(DW318=1,IF(INDEX('Lease Cycles'!$EF$26:$EL$26,1,DW316)=1,DW319*INDEX('Lease Cycles'!$EM$26:$ES$26,1,DW316)+DW320*(1-INDEX('Lease Cycles'!$EM$26:$ES$26,1,DW316)),DW319),DW319)</f>
        <v>0</v>
      </c>
      <c r="DX321" s="28">
        <f>IF(DX318=1,IF(INDEX('Lease Cycles'!$EF$26:$EL$26,1,DX316)=1,DX319*INDEX('Lease Cycles'!$EM$26:$ES$26,1,DX316)+DX320*(1-INDEX('Lease Cycles'!$EM$26:$ES$26,1,DX316)),DX319),DX319)</f>
        <v>0</v>
      </c>
      <c r="DY321" s="28">
        <f>IF(DY318=1,IF(INDEX('Lease Cycles'!$EF$26:$EL$26,1,DY316)=1,DY319*INDEX('Lease Cycles'!$EM$26:$ES$26,1,DY316)+DY320*(1-INDEX('Lease Cycles'!$EM$26:$ES$26,1,DY316)),DY319),DY319)</f>
        <v>0</v>
      </c>
      <c r="DZ321" s="28">
        <f>IF(DZ318=1,IF(INDEX('Lease Cycles'!$EF$26:$EL$26,1,DZ316)=1,DZ319*INDEX('Lease Cycles'!$EM$26:$ES$26,1,DZ316)+DZ320*(1-INDEX('Lease Cycles'!$EM$26:$ES$26,1,DZ316)),DZ319),DZ319)</f>
        <v>0</v>
      </c>
      <c r="EA321" s="28">
        <f>IF(EA318=1,IF(INDEX('Lease Cycles'!$EF$26:$EL$26,1,EA316)=1,EA319*INDEX('Lease Cycles'!$EM$26:$ES$26,1,EA316)+EA320*(1-INDEX('Lease Cycles'!$EM$26:$ES$26,1,EA316)),EA319),EA319)</f>
        <v>0</v>
      </c>
      <c r="EB321" s="28">
        <f>IF(EB318=1,IF(INDEX('Lease Cycles'!$EF$26:$EL$26,1,EB316)=1,EB319*INDEX('Lease Cycles'!$EM$26:$ES$26,1,EB316)+EB320*(1-INDEX('Lease Cycles'!$EM$26:$ES$26,1,EB316)),EB319),EB319)</f>
        <v>0</v>
      </c>
      <c r="EC321" s="28">
        <f>IF(EC318=1,IF(INDEX('Lease Cycles'!$EF$26:$EL$26,1,EC316)=1,EC319*INDEX('Lease Cycles'!$EM$26:$ES$26,1,EC316)+EC320*(1-INDEX('Lease Cycles'!$EM$26:$ES$26,1,EC316)),EC319),EC319)</f>
        <v>0</v>
      </c>
      <c r="ED321" s="28">
        <f>IF(ED318=1,IF(INDEX('Lease Cycles'!$EF$26:$EL$26,1,ED316)=1,ED319*INDEX('Lease Cycles'!$EM$26:$ES$26,1,ED316)+ED320*(1-INDEX('Lease Cycles'!$EM$26:$ES$26,1,ED316)),ED319),ED319)</f>
        <v>0</v>
      </c>
      <c r="EE321" s="28">
        <f>IF(EE318=1,IF(INDEX('Lease Cycles'!$EF$26:$EL$26,1,EE316)=1,EE319*INDEX('Lease Cycles'!$EM$26:$ES$26,1,EE316)+EE320*(1-INDEX('Lease Cycles'!$EM$26:$ES$26,1,EE316)),EE319),EE319)</f>
        <v>0</v>
      </c>
      <c r="EF321" s="28">
        <f>IF(EF318=1,IF(INDEX('Lease Cycles'!$EF$26:$EL$26,1,EF316)=1,EF319*INDEX('Lease Cycles'!$EM$26:$ES$26,1,EF316)+EF320*(1-INDEX('Lease Cycles'!$EM$26:$ES$26,1,EF316)),EF319),EF319)</f>
        <v>0</v>
      </c>
      <c r="EG321" s="28">
        <f>IF(EG318=1,IF(INDEX('Lease Cycles'!$EF$26:$EL$26,1,EG316)=1,EG319*INDEX('Lease Cycles'!$EM$26:$ES$26,1,EG316)+EG320*(1-INDEX('Lease Cycles'!$EM$26:$ES$26,1,EG316)),EG319),EG319)</f>
        <v>0</v>
      </c>
      <c r="EH321" s="28">
        <f>IF(EH318=1,IF(INDEX('Lease Cycles'!$EF$26:$EL$26,1,EH316)=1,EH319*INDEX('Lease Cycles'!$EM$26:$ES$26,1,EH316)+EH320*(1-INDEX('Lease Cycles'!$EM$26:$ES$26,1,EH316)),EH319),EH319)</f>
        <v>0</v>
      </c>
      <c r="EI321" s="28">
        <f>IF(EI318=1,IF(INDEX('Lease Cycles'!$EF$26:$EL$26,1,EI316)=1,EI319*INDEX('Lease Cycles'!$EM$26:$ES$26,1,EI316)+EI320*(1-INDEX('Lease Cycles'!$EM$26:$ES$26,1,EI316)),EI319),EI319)</f>
        <v>0</v>
      </c>
      <c r="EJ321" s="28">
        <f>IF(EJ318=1,IF(INDEX('Lease Cycles'!$EF$26:$EL$26,1,EJ316)=1,EJ319*INDEX('Lease Cycles'!$EM$26:$ES$26,1,EJ316)+EJ320*(1-INDEX('Lease Cycles'!$EM$26:$ES$26,1,EJ316)),EJ319),EJ319)</f>
        <v>0</v>
      </c>
      <c r="EK321" s="28">
        <f>IF(EK318=1,IF(INDEX('Lease Cycles'!$EF$26:$EL$26,1,EK316)=1,EK319*INDEX('Lease Cycles'!$EM$26:$ES$26,1,EK316)+EK320*(1-INDEX('Lease Cycles'!$EM$26:$ES$26,1,EK316)),EK319),EK319)</f>
        <v>0</v>
      </c>
      <c r="EL321" s="28">
        <f>IF(EL318=1,IF(INDEX('Lease Cycles'!$EF$26:$EL$26,1,EL316)=1,EL319*INDEX('Lease Cycles'!$EM$26:$ES$26,1,EL316)+EL320*(1-INDEX('Lease Cycles'!$EM$26:$ES$26,1,EL316)),EL319),EL319)</f>
        <v>0</v>
      </c>
      <c r="EM321" s="28">
        <f>IF(EM318=1,IF(INDEX('Lease Cycles'!$EF$26:$EL$26,1,EM316)=1,EM319*INDEX('Lease Cycles'!$EM$26:$ES$26,1,EM316)+EM320*(1-INDEX('Lease Cycles'!$EM$26:$ES$26,1,EM316)),EM319),EM319)</f>
        <v>0</v>
      </c>
      <c r="EN321" s="28">
        <f>IF(EN318=1,IF(INDEX('Lease Cycles'!$EF$26:$EL$26,1,EN316)=1,EN319*INDEX('Lease Cycles'!$EM$26:$ES$26,1,EN316)+EN320*(1-INDEX('Lease Cycles'!$EM$26:$ES$26,1,EN316)),EN319),EN319)</f>
        <v>0</v>
      </c>
      <c r="EO321" s="28">
        <f>IF(EO318=1,IF(INDEX('Lease Cycles'!$EF$26:$EL$26,1,EO316)=1,EO319*INDEX('Lease Cycles'!$EM$26:$ES$26,1,EO316)+EO320*(1-INDEX('Lease Cycles'!$EM$26:$ES$26,1,EO316)),EO319),EO319)</f>
        <v>0</v>
      </c>
      <c r="EP321" s="28">
        <f>IF(EP318=1,IF(INDEX('Lease Cycles'!$EF$26:$EL$26,1,EP316)=1,EP319*INDEX('Lease Cycles'!$EM$26:$ES$26,1,EP316)+EP320*(1-INDEX('Lease Cycles'!$EM$26:$ES$26,1,EP316)),EP319),EP319)</f>
        <v>0</v>
      </c>
      <c r="EQ321" s="28">
        <f>IF(EQ318=1,IF(INDEX('Lease Cycles'!$EF$26:$EL$26,1,EQ316)=1,EQ319*INDEX('Lease Cycles'!$EM$26:$ES$26,1,EQ316)+EQ320*(1-INDEX('Lease Cycles'!$EM$26:$ES$26,1,EQ316)),EQ319),EQ319)</f>
        <v>0</v>
      </c>
      <c r="ER321" s="28">
        <f>IF(ER318=1,IF(INDEX('Lease Cycles'!$EF$26:$EL$26,1,ER316)=1,ER319*INDEX('Lease Cycles'!$EM$26:$ES$26,1,ER316)+ER320*(1-INDEX('Lease Cycles'!$EM$26:$ES$26,1,ER316)),ER319),ER319)</f>
        <v>0</v>
      </c>
      <c r="ES321" s="28">
        <f>IF(ES318=1,IF(INDEX('Lease Cycles'!$EF$26:$EL$26,1,ES316)=1,ES319*INDEX('Lease Cycles'!$EM$26:$ES$26,1,ES316)+ES320*(1-INDEX('Lease Cycles'!$EM$26:$ES$26,1,ES316)),ES319),ES319)</f>
        <v>0</v>
      </c>
      <c r="ET321" s="28">
        <f>IF(ET318=1,IF(INDEX('Lease Cycles'!$EF$26:$EL$26,1,ET316)=1,ET319*INDEX('Lease Cycles'!$EM$26:$ES$26,1,ET316)+ET320*(1-INDEX('Lease Cycles'!$EM$26:$ES$26,1,ET316)),ET319),ET319)</f>
        <v>0</v>
      </c>
    </row>
    <row r="322">
      <c r="A322" s="103">
        <v>19</v>
      </c>
      <c r="B322" s="23" t="str">
        <f>IF('Lease Cycles'!$B$26="","(empty slot)",'Lease Cycles'!$B$26)</f>
        <v>(empty slot)</v>
      </c>
      <c r="C322" s="23" t="s">
        <v>682</v>
      </c>
      <c r="D322" s="104" t="s">
        <v>495</v>
      </c>
      <c r="E322" s="25">
        <f>'Lease Cycles'!$AL$26</f>
        <v>0</v>
      </c>
      <c r="G322" s="28">
        <f>SUM(S322:AD322)</f>
        <v>0</v>
      </c>
      <c r="H322" s="28">
        <f>SUM(AE322:AP322)</f>
        <v>0</v>
      </c>
      <c r="I322" s="28">
        <f>SUM(AQ322:BB322)</f>
        <v>0</v>
      </c>
      <c r="J322" s="28">
        <f>SUM(BC322:BN322)</f>
        <v>0</v>
      </c>
      <c r="K322" s="28">
        <f>SUM(BO322:BZ322)</f>
        <v>0</v>
      </c>
      <c r="L322" s="28">
        <f>SUM(CA322:CL322)</f>
        <v>0</v>
      </c>
      <c r="M322" s="28">
        <f>SUM(CM322:CX322)</f>
        <v>0</v>
      </c>
      <c r="N322" s="28">
        <f>SUM(CY322:DJ322)</f>
        <v>0</v>
      </c>
      <c r="O322" s="28">
        <f>SUM(DK322:DV322)</f>
        <v>0</v>
      </c>
      <c r="P322" s="28">
        <f>SUM(DW322:EH322)</f>
        <v>0</v>
      </c>
      <c r="Q322" s="28">
        <f>SUM(EI322:ET322)</f>
        <v>0</v>
      </c>
      <c r="S322" s="28">
        <f>IF(S318=1,IF(INDEX('Lease Cycles'!$EF$26:$EL$26,1,S316)=1,S319*INDEX('Lease Cycles'!$EM$26:$ES$26,1,S316)+S320*IF(S317&lt;INDEX('Lease Cycles'!$FA$26:$FG$26,1,S316),0,1-INDEX('Lease Cycles'!$EM$26:$ES$26,1,S316)),S319*IF(S317&lt;INDEX('Lease Cycles'!$DK$26:$DQ$26,1,S316),0,IF(S317=INDEX('Lease Cycles'!$DK$26:$DQ$26,1,S316),1-INDEX('Lease Cycles'!$DR$26:$DX$26,1,S316),1))),0)</f>
        <v>0</v>
      </c>
      <c r="T322" s="28">
        <f>IF(T318=1,IF(INDEX('Lease Cycles'!$EF$26:$EL$26,1,T316)=1,T319*INDEX('Lease Cycles'!$EM$26:$ES$26,1,T316)+T320*IF(T317&lt;INDEX('Lease Cycles'!$FA$26:$FG$26,1,T316),0,1-INDEX('Lease Cycles'!$EM$26:$ES$26,1,T316)),T319*IF(T317&lt;INDEX('Lease Cycles'!$DK$26:$DQ$26,1,T316),0,IF(T317=INDEX('Lease Cycles'!$DK$26:$DQ$26,1,T316),1-INDEX('Lease Cycles'!$DR$26:$DX$26,1,T316),1))),0)</f>
        <v>0</v>
      </c>
      <c r="U322" s="28">
        <f>IF(U318=1,IF(INDEX('Lease Cycles'!$EF$26:$EL$26,1,U316)=1,U319*INDEX('Lease Cycles'!$EM$26:$ES$26,1,U316)+U320*IF(U317&lt;INDEX('Lease Cycles'!$FA$26:$FG$26,1,U316),0,1-INDEX('Lease Cycles'!$EM$26:$ES$26,1,U316)),U319*IF(U317&lt;INDEX('Lease Cycles'!$DK$26:$DQ$26,1,U316),0,IF(U317=INDEX('Lease Cycles'!$DK$26:$DQ$26,1,U316),1-INDEX('Lease Cycles'!$DR$26:$DX$26,1,U316),1))),0)</f>
        <v>0</v>
      </c>
      <c r="V322" s="28">
        <f>IF(V318=1,IF(INDEX('Lease Cycles'!$EF$26:$EL$26,1,V316)=1,V319*INDEX('Lease Cycles'!$EM$26:$ES$26,1,V316)+V320*IF(V317&lt;INDEX('Lease Cycles'!$FA$26:$FG$26,1,V316),0,1-INDEX('Lease Cycles'!$EM$26:$ES$26,1,V316)),V319*IF(V317&lt;INDEX('Lease Cycles'!$DK$26:$DQ$26,1,V316),0,IF(V317=INDEX('Lease Cycles'!$DK$26:$DQ$26,1,V316),1-INDEX('Lease Cycles'!$DR$26:$DX$26,1,V316),1))),0)</f>
        <v>0</v>
      </c>
      <c r="W322" s="28">
        <f>IF(W318=1,IF(INDEX('Lease Cycles'!$EF$26:$EL$26,1,W316)=1,W319*INDEX('Lease Cycles'!$EM$26:$ES$26,1,W316)+W320*IF(W317&lt;INDEX('Lease Cycles'!$FA$26:$FG$26,1,W316),0,1-INDEX('Lease Cycles'!$EM$26:$ES$26,1,W316)),W319*IF(W317&lt;INDEX('Lease Cycles'!$DK$26:$DQ$26,1,W316),0,IF(W317=INDEX('Lease Cycles'!$DK$26:$DQ$26,1,W316),1-INDEX('Lease Cycles'!$DR$26:$DX$26,1,W316),1))),0)</f>
        <v>0</v>
      </c>
      <c r="X322" s="28">
        <f>IF(X318=1,IF(INDEX('Lease Cycles'!$EF$26:$EL$26,1,X316)=1,X319*INDEX('Lease Cycles'!$EM$26:$ES$26,1,X316)+X320*IF(X317&lt;INDEX('Lease Cycles'!$FA$26:$FG$26,1,X316),0,1-INDEX('Lease Cycles'!$EM$26:$ES$26,1,X316)),X319*IF(X317&lt;INDEX('Lease Cycles'!$DK$26:$DQ$26,1,X316),0,IF(X317=INDEX('Lease Cycles'!$DK$26:$DQ$26,1,X316),1-INDEX('Lease Cycles'!$DR$26:$DX$26,1,X316),1))),0)</f>
        <v>0</v>
      </c>
      <c r="Y322" s="28">
        <f>IF(Y318=1,IF(INDEX('Lease Cycles'!$EF$26:$EL$26,1,Y316)=1,Y319*INDEX('Lease Cycles'!$EM$26:$ES$26,1,Y316)+Y320*IF(Y317&lt;INDEX('Lease Cycles'!$FA$26:$FG$26,1,Y316),0,1-INDEX('Lease Cycles'!$EM$26:$ES$26,1,Y316)),Y319*IF(Y317&lt;INDEX('Lease Cycles'!$DK$26:$DQ$26,1,Y316),0,IF(Y317=INDEX('Lease Cycles'!$DK$26:$DQ$26,1,Y316),1-INDEX('Lease Cycles'!$DR$26:$DX$26,1,Y316),1))),0)</f>
        <v>0</v>
      </c>
      <c r="Z322" s="28">
        <f>IF(Z318=1,IF(INDEX('Lease Cycles'!$EF$26:$EL$26,1,Z316)=1,Z319*INDEX('Lease Cycles'!$EM$26:$ES$26,1,Z316)+Z320*IF(Z317&lt;INDEX('Lease Cycles'!$FA$26:$FG$26,1,Z316),0,1-INDEX('Lease Cycles'!$EM$26:$ES$26,1,Z316)),Z319*IF(Z317&lt;INDEX('Lease Cycles'!$DK$26:$DQ$26,1,Z316),0,IF(Z317=INDEX('Lease Cycles'!$DK$26:$DQ$26,1,Z316),1-INDEX('Lease Cycles'!$DR$26:$DX$26,1,Z316),1))),0)</f>
        <v>0</v>
      </c>
      <c r="AA322" s="28">
        <f>IF(AA318=1,IF(INDEX('Lease Cycles'!$EF$26:$EL$26,1,AA316)=1,AA319*INDEX('Lease Cycles'!$EM$26:$ES$26,1,AA316)+AA320*IF(AA317&lt;INDEX('Lease Cycles'!$FA$26:$FG$26,1,AA316),0,1-INDEX('Lease Cycles'!$EM$26:$ES$26,1,AA316)),AA319*IF(AA317&lt;INDEX('Lease Cycles'!$DK$26:$DQ$26,1,AA316),0,IF(AA317=INDEX('Lease Cycles'!$DK$26:$DQ$26,1,AA316),1-INDEX('Lease Cycles'!$DR$26:$DX$26,1,AA316),1))),0)</f>
        <v>0</v>
      </c>
      <c r="AB322" s="28">
        <f>IF(AB318=1,IF(INDEX('Lease Cycles'!$EF$26:$EL$26,1,AB316)=1,AB319*INDEX('Lease Cycles'!$EM$26:$ES$26,1,AB316)+AB320*IF(AB317&lt;INDEX('Lease Cycles'!$FA$26:$FG$26,1,AB316),0,1-INDEX('Lease Cycles'!$EM$26:$ES$26,1,AB316)),AB319*IF(AB317&lt;INDEX('Lease Cycles'!$DK$26:$DQ$26,1,AB316),0,IF(AB317=INDEX('Lease Cycles'!$DK$26:$DQ$26,1,AB316),1-INDEX('Lease Cycles'!$DR$26:$DX$26,1,AB316),1))),0)</f>
        <v>0</v>
      </c>
      <c r="AC322" s="28">
        <f>IF(AC318=1,IF(INDEX('Lease Cycles'!$EF$26:$EL$26,1,AC316)=1,AC319*INDEX('Lease Cycles'!$EM$26:$ES$26,1,AC316)+AC320*IF(AC317&lt;INDEX('Lease Cycles'!$FA$26:$FG$26,1,AC316),0,1-INDEX('Lease Cycles'!$EM$26:$ES$26,1,AC316)),AC319*IF(AC317&lt;INDEX('Lease Cycles'!$DK$26:$DQ$26,1,AC316),0,IF(AC317=INDEX('Lease Cycles'!$DK$26:$DQ$26,1,AC316),1-INDEX('Lease Cycles'!$DR$26:$DX$26,1,AC316),1))),0)</f>
        <v>0</v>
      </c>
      <c r="AD322" s="28">
        <f>IF(AD318=1,IF(INDEX('Lease Cycles'!$EF$26:$EL$26,1,AD316)=1,AD319*INDEX('Lease Cycles'!$EM$26:$ES$26,1,AD316)+AD320*IF(AD317&lt;INDEX('Lease Cycles'!$FA$26:$FG$26,1,AD316),0,1-INDEX('Lease Cycles'!$EM$26:$ES$26,1,AD316)),AD319*IF(AD317&lt;INDEX('Lease Cycles'!$DK$26:$DQ$26,1,AD316),0,IF(AD317=INDEX('Lease Cycles'!$DK$26:$DQ$26,1,AD316),1-INDEX('Lease Cycles'!$DR$26:$DX$26,1,AD316),1))),0)</f>
        <v>0</v>
      </c>
      <c r="AE322" s="28">
        <f>IF(AE318=1,IF(INDEX('Lease Cycles'!$EF$26:$EL$26,1,AE316)=1,AE319*INDEX('Lease Cycles'!$EM$26:$ES$26,1,AE316)+AE320*IF(AE317&lt;INDEX('Lease Cycles'!$FA$26:$FG$26,1,AE316),0,1-INDEX('Lease Cycles'!$EM$26:$ES$26,1,AE316)),AE319*IF(AE317&lt;INDEX('Lease Cycles'!$DK$26:$DQ$26,1,AE316),0,IF(AE317=INDEX('Lease Cycles'!$DK$26:$DQ$26,1,AE316),1-INDEX('Lease Cycles'!$DR$26:$DX$26,1,AE316),1))),0)</f>
        <v>0</v>
      </c>
      <c r="AF322" s="28">
        <f>IF(AF318=1,IF(INDEX('Lease Cycles'!$EF$26:$EL$26,1,AF316)=1,AF319*INDEX('Lease Cycles'!$EM$26:$ES$26,1,AF316)+AF320*IF(AF317&lt;INDEX('Lease Cycles'!$FA$26:$FG$26,1,AF316),0,1-INDEX('Lease Cycles'!$EM$26:$ES$26,1,AF316)),AF319*IF(AF317&lt;INDEX('Lease Cycles'!$DK$26:$DQ$26,1,AF316),0,IF(AF317=INDEX('Lease Cycles'!$DK$26:$DQ$26,1,AF316),1-INDEX('Lease Cycles'!$DR$26:$DX$26,1,AF316),1))),0)</f>
        <v>0</v>
      </c>
      <c r="AG322" s="28">
        <f>IF(AG318=1,IF(INDEX('Lease Cycles'!$EF$26:$EL$26,1,AG316)=1,AG319*INDEX('Lease Cycles'!$EM$26:$ES$26,1,AG316)+AG320*IF(AG317&lt;INDEX('Lease Cycles'!$FA$26:$FG$26,1,AG316),0,1-INDEX('Lease Cycles'!$EM$26:$ES$26,1,AG316)),AG319*IF(AG317&lt;INDEX('Lease Cycles'!$DK$26:$DQ$26,1,AG316),0,IF(AG317=INDEX('Lease Cycles'!$DK$26:$DQ$26,1,AG316),1-INDEX('Lease Cycles'!$DR$26:$DX$26,1,AG316),1))),0)</f>
        <v>0</v>
      </c>
      <c r="AH322" s="28">
        <f>IF(AH318=1,IF(INDEX('Lease Cycles'!$EF$26:$EL$26,1,AH316)=1,AH319*INDEX('Lease Cycles'!$EM$26:$ES$26,1,AH316)+AH320*IF(AH317&lt;INDEX('Lease Cycles'!$FA$26:$FG$26,1,AH316),0,1-INDEX('Lease Cycles'!$EM$26:$ES$26,1,AH316)),AH319*IF(AH317&lt;INDEX('Lease Cycles'!$DK$26:$DQ$26,1,AH316),0,IF(AH317=INDEX('Lease Cycles'!$DK$26:$DQ$26,1,AH316),1-INDEX('Lease Cycles'!$DR$26:$DX$26,1,AH316),1))),0)</f>
        <v>0</v>
      </c>
      <c r="AI322" s="28">
        <f>IF(AI318=1,IF(INDEX('Lease Cycles'!$EF$26:$EL$26,1,AI316)=1,AI319*INDEX('Lease Cycles'!$EM$26:$ES$26,1,AI316)+AI320*IF(AI317&lt;INDEX('Lease Cycles'!$FA$26:$FG$26,1,AI316),0,1-INDEX('Lease Cycles'!$EM$26:$ES$26,1,AI316)),AI319*IF(AI317&lt;INDEX('Lease Cycles'!$DK$26:$DQ$26,1,AI316),0,IF(AI317=INDEX('Lease Cycles'!$DK$26:$DQ$26,1,AI316),1-INDEX('Lease Cycles'!$DR$26:$DX$26,1,AI316),1))),0)</f>
        <v>0</v>
      </c>
      <c r="AJ322" s="28">
        <f>IF(AJ318=1,IF(INDEX('Lease Cycles'!$EF$26:$EL$26,1,AJ316)=1,AJ319*INDEX('Lease Cycles'!$EM$26:$ES$26,1,AJ316)+AJ320*IF(AJ317&lt;INDEX('Lease Cycles'!$FA$26:$FG$26,1,AJ316),0,1-INDEX('Lease Cycles'!$EM$26:$ES$26,1,AJ316)),AJ319*IF(AJ317&lt;INDEX('Lease Cycles'!$DK$26:$DQ$26,1,AJ316),0,IF(AJ317=INDEX('Lease Cycles'!$DK$26:$DQ$26,1,AJ316),1-INDEX('Lease Cycles'!$DR$26:$DX$26,1,AJ316),1))),0)</f>
        <v>0</v>
      </c>
      <c r="AK322" s="28">
        <f>IF(AK318=1,IF(INDEX('Lease Cycles'!$EF$26:$EL$26,1,AK316)=1,AK319*INDEX('Lease Cycles'!$EM$26:$ES$26,1,AK316)+AK320*IF(AK317&lt;INDEX('Lease Cycles'!$FA$26:$FG$26,1,AK316),0,1-INDEX('Lease Cycles'!$EM$26:$ES$26,1,AK316)),AK319*IF(AK317&lt;INDEX('Lease Cycles'!$DK$26:$DQ$26,1,AK316),0,IF(AK317=INDEX('Lease Cycles'!$DK$26:$DQ$26,1,AK316),1-INDEX('Lease Cycles'!$DR$26:$DX$26,1,AK316),1))),0)</f>
        <v>0</v>
      </c>
      <c r="AL322" s="28">
        <f>IF(AL318=1,IF(INDEX('Lease Cycles'!$EF$26:$EL$26,1,AL316)=1,AL319*INDEX('Lease Cycles'!$EM$26:$ES$26,1,AL316)+AL320*IF(AL317&lt;INDEX('Lease Cycles'!$FA$26:$FG$26,1,AL316),0,1-INDEX('Lease Cycles'!$EM$26:$ES$26,1,AL316)),AL319*IF(AL317&lt;INDEX('Lease Cycles'!$DK$26:$DQ$26,1,AL316),0,IF(AL317=INDEX('Lease Cycles'!$DK$26:$DQ$26,1,AL316),1-INDEX('Lease Cycles'!$DR$26:$DX$26,1,AL316),1))),0)</f>
        <v>0</v>
      </c>
      <c r="AM322" s="28">
        <f>IF(AM318=1,IF(INDEX('Lease Cycles'!$EF$26:$EL$26,1,AM316)=1,AM319*INDEX('Lease Cycles'!$EM$26:$ES$26,1,AM316)+AM320*IF(AM317&lt;INDEX('Lease Cycles'!$FA$26:$FG$26,1,AM316),0,1-INDEX('Lease Cycles'!$EM$26:$ES$26,1,AM316)),AM319*IF(AM317&lt;INDEX('Lease Cycles'!$DK$26:$DQ$26,1,AM316),0,IF(AM317=INDEX('Lease Cycles'!$DK$26:$DQ$26,1,AM316),1-INDEX('Lease Cycles'!$DR$26:$DX$26,1,AM316),1))),0)</f>
        <v>0</v>
      </c>
      <c r="AN322" s="28">
        <f>IF(AN318=1,IF(INDEX('Lease Cycles'!$EF$26:$EL$26,1,AN316)=1,AN319*INDEX('Lease Cycles'!$EM$26:$ES$26,1,AN316)+AN320*IF(AN317&lt;INDEX('Lease Cycles'!$FA$26:$FG$26,1,AN316),0,1-INDEX('Lease Cycles'!$EM$26:$ES$26,1,AN316)),AN319*IF(AN317&lt;INDEX('Lease Cycles'!$DK$26:$DQ$26,1,AN316),0,IF(AN317=INDEX('Lease Cycles'!$DK$26:$DQ$26,1,AN316),1-INDEX('Lease Cycles'!$DR$26:$DX$26,1,AN316),1))),0)</f>
        <v>0</v>
      </c>
      <c r="AO322" s="28">
        <f>IF(AO318=1,IF(INDEX('Lease Cycles'!$EF$26:$EL$26,1,AO316)=1,AO319*INDEX('Lease Cycles'!$EM$26:$ES$26,1,AO316)+AO320*IF(AO317&lt;INDEX('Lease Cycles'!$FA$26:$FG$26,1,AO316),0,1-INDEX('Lease Cycles'!$EM$26:$ES$26,1,AO316)),AO319*IF(AO317&lt;INDEX('Lease Cycles'!$DK$26:$DQ$26,1,AO316),0,IF(AO317=INDEX('Lease Cycles'!$DK$26:$DQ$26,1,AO316),1-INDEX('Lease Cycles'!$DR$26:$DX$26,1,AO316),1))),0)</f>
        <v>0</v>
      </c>
      <c r="AP322" s="28">
        <f>IF(AP318=1,IF(INDEX('Lease Cycles'!$EF$26:$EL$26,1,AP316)=1,AP319*INDEX('Lease Cycles'!$EM$26:$ES$26,1,AP316)+AP320*IF(AP317&lt;INDEX('Lease Cycles'!$FA$26:$FG$26,1,AP316),0,1-INDEX('Lease Cycles'!$EM$26:$ES$26,1,AP316)),AP319*IF(AP317&lt;INDEX('Lease Cycles'!$DK$26:$DQ$26,1,AP316),0,IF(AP317=INDEX('Lease Cycles'!$DK$26:$DQ$26,1,AP316),1-INDEX('Lease Cycles'!$DR$26:$DX$26,1,AP316),1))),0)</f>
        <v>0</v>
      </c>
      <c r="AQ322" s="28">
        <f>IF(AQ318=1,IF(INDEX('Lease Cycles'!$EF$26:$EL$26,1,AQ316)=1,AQ319*INDEX('Lease Cycles'!$EM$26:$ES$26,1,AQ316)+AQ320*IF(AQ317&lt;INDEX('Lease Cycles'!$FA$26:$FG$26,1,AQ316),0,1-INDEX('Lease Cycles'!$EM$26:$ES$26,1,AQ316)),AQ319*IF(AQ317&lt;INDEX('Lease Cycles'!$DK$26:$DQ$26,1,AQ316),0,IF(AQ317=INDEX('Lease Cycles'!$DK$26:$DQ$26,1,AQ316),1-INDEX('Lease Cycles'!$DR$26:$DX$26,1,AQ316),1))),0)</f>
        <v>0</v>
      </c>
      <c r="AR322" s="28">
        <f>IF(AR318=1,IF(INDEX('Lease Cycles'!$EF$26:$EL$26,1,AR316)=1,AR319*INDEX('Lease Cycles'!$EM$26:$ES$26,1,AR316)+AR320*IF(AR317&lt;INDEX('Lease Cycles'!$FA$26:$FG$26,1,AR316),0,1-INDEX('Lease Cycles'!$EM$26:$ES$26,1,AR316)),AR319*IF(AR317&lt;INDEX('Lease Cycles'!$DK$26:$DQ$26,1,AR316),0,IF(AR317=INDEX('Lease Cycles'!$DK$26:$DQ$26,1,AR316),1-INDEX('Lease Cycles'!$DR$26:$DX$26,1,AR316),1))),0)</f>
        <v>0</v>
      </c>
      <c r="AS322" s="28">
        <f>IF(AS318=1,IF(INDEX('Lease Cycles'!$EF$26:$EL$26,1,AS316)=1,AS319*INDEX('Lease Cycles'!$EM$26:$ES$26,1,AS316)+AS320*IF(AS317&lt;INDEX('Lease Cycles'!$FA$26:$FG$26,1,AS316),0,1-INDEX('Lease Cycles'!$EM$26:$ES$26,1,AS316)),AS319*IF(AS317&lt;INDEX('Lease Cycles'!$DK$26:$DQ$26,1,AS316),0,IF(AS317=INDEX('Lease Cycles'!$DK$26:$DQ$26,1,AS316),1-INDEX('Lease Cycles'!$DR$26:$DX$26,1,AS316),1))),0)</f>
        <v>0</v>
      </c>
      <c r="AT322" s="28">
        <f>IF(AT318=1,IF(INDEX('Lease Cycles'!$EF$26:$EL$26,1,AT316)=1,AT319*INDEX('Lease Cycles'!$EM$26:$ES$26,1,AT316)+AT320*IF(AT317&lt;INDEX('Lease Cycles'!$FA$26:$FG$26,1,AT316),0,1-INDEX('Lease Cycles'!$EM$26:$ES$26,1,AT316)),AT319*IF(AT317&lt;INDEX('Lease Cycles'!$DK$26:$DQ$26,1,AT316),0,IF(AT317=INDEX('Lease Cycles'!$DK$26:$DQ$26,1,AT316),1-INDEX('Lease Cycles'!$DR$26:$DX$26,1,AT316),1))),0)</f>
        <v>0</v>
      </c>
      <c r="AU322" s="28">
        <f>IF(AU318=1,IF(INDEX('Lease Cycles'!$EF$26:$EL$26,1,AU316)=1,AU319*INDEX('Lease Cycles'!$EM$26:$ES$26,1,AU316)+AU320*IF(AU317&lt;INDEX('Lease Cycles'!$FA$26:$FG$26,1,AU316),0,1-INDEX('Lease Cycles'!$EM$26:$ES$26,1,AU316)),AU319*IF(AU317&lt;INDEX('Lease Cycles'!$DK$26:$DQ$26,1,AU316),0,IF(AU317=INDEX('Lease Cycles'!$DK$26:$DQ$26,1,AU316),1-INDEX('Lease Cycles'!$DR$26:$DX$26,1,AU316),1))),0)</f>
        <v>0</v>
      </c>
      <c r="AV322" s="28">
        <f>IF(AV318=1,IF(INDEX('Lease Cycles'!$EF$26:$EL$26,1,AV316)=1,AV319*INDEX('Lease Cycles'!$EM$26:$ES$26,1,AV316)+AV320*IF(AV317&lt;INDEX('Lease Cycles'!$FA$26:$FG$26,1,AV316),0,1-INDEX('Lease Cycles'!$EM$26:$ES$26,1,AV316)),AV319*IF(AV317&lt;INDEX('Lease Cycles'!$DK$26:$DQ$26,1,AV316),0,IF(AV317=INDEX('Lease Cycles'!$DK$26:$DQ$26,1,AV316),1-INDEX('Lease Cycles'!$DR$26:$DX$26,1,AV316),1))),0)</f>
        <v>0</v>
      </c>
      <c r="AW322" s="28">
        <f>IF(AW318=1,IF(INDEX('Lease Cycles'!$EF$26:$EL$26,1,AW316)=1,AW319*INDEX('Lease Cycles'!$EM$26:$ES$26,1,AW316)+AW320*IF(AW317&lt;INDEX('Lease Cycles'!$FA$26:$FG$26,1,AW316),0,1-INDEX('Lease Cycles'!$EM$26:$ES$26,1,AW316)),AW319*IF(AW317&lt;INDEX('Lease Cycles'!$DK$26:$DQ$26,1,AW316),0,IF(AW317=INDEX('Lease Cycles'!$DK$26:$DQ$26,1,AW316),1-INDEX('Lease Cycles'!$DR$26:$DX$26,1,AW316),1))),0)</f>
        <v>0</v>
      </c>
      <c r="AX322" s="28">
        <f>IF(AX318=1,IF(INDEX('Lease Cycles'!$EF$26:$EL$26,1,AX316)=1,AX319*INDEX('Lease Cycles'!$EM$26:$ES$26,1,AX316)+AX320*IF(AX317&lt;INDEX('Lease Cycles'!$FA$26:$FG$26,1,AX316),0,1-INDEX('Lease Cycles'!$EM$26:$ES$26,1,AX316)),AX319*IF(AX317&lt;INDEX('Lease Cycles'!$DK$26:$DQ$26,1,AX316),0,IF(AX317=INDEX('Lease Cycles'!$DK$26:$DQ$26,1,AX316),1-INDEX('Lease Cycles'!$DR$26:$DX$26,1,AX316),1))),0)</f>
        <v>0</v>
      </c>
      <c r="AY322" s="28">
        <f>IF(AY318=1,IF(INDEX('Lease Cycles'!$EF$26:$EL$26,1,AY316)=1,AY319*INDEX('Lease Cycles'!$EM$26:$ES$26,1,AY316)+AY320*IF(AY317&lt;INDEX('Lease Cycles'!$FA$26:$FG$26,1,AY316),0,1-INDEX('Lease Cycles'!$EM$26:$ES$26,1,AY316)),AY319*IF(AY317&lt;INDEX('Lease Cycles'!$DK$26:$DQ$26,1,AY316),0,IF(AY317=INDEX('Lease Cycles'!$DK$26:$DQ$26,1,AY316),1-INDEX('Lease Cycles'!$DR$26:$DX$26,1,AY316),1))),0)</f>
        <v>0</v>
      </c>
      <c r="AZ322" s="28">
        <f>IF(AZ318=1,IF(INDEX('Lease Cycles'!$EF$26:$EL$26,1,AZ316)=1,AZ319*INDEX('Lease Cycles'!$EM$26:$ES$26,1,AZ316)+AZ320*IF(AZ317&lt;INDEX('Lease Cycles'!$FA$26:$FG$26,1,AZ316),0,1-INDEX('Lease Cycles'!$EM$26:$ES$26,1,AZ316)),AZ319*IF(AZ317&lt;INDEX('Lease Cycles'!$DK$26:$DQ$26,1,AZ316),0,IF(AZ317=INDEX('Lease Cycles'!$DK$26:$DQ$26,1,AZ316),1-INDEX('Lease Cycles'!$DR$26:$DX$26,1,AZ316),1))),0)</f>
        <v>0</v>
      </c>
      <c r="BA322" s="28">
        <f>IF(BA318=1,IF(INDEX('Lease Cycles'!$EF$26:$EL$26,1,BA316)=1,BA319*INDEX('Lease Cycles'!$EM$26:$ES$26,1,BA316)+BA320*IF(BA317&lt;INDEX('Lease Cycles'!$FA$26:$FG$26,1,BA316),0,1-INDEX('Lease Cycles'!$EM$26:$ES$26,1,BA316)),BA319*IF(BA317&lt;INDEX('Lease Cycles'!$DK$26:$DQ$26,1,BA316),0,IF(BA317=INDEX('Lease Cycles'!$DK$26:$DQ$26,1,BA316),1-INDEX('Lease Cycles'!$DR$26:$DX$26,1,BA316),1))),0)</f>
        <v>0</v>
      </c>
      <c r="BB322" s="28">
        <f>IF(BB318=1,IF(INDEX('Lease Cycles'!$EF$26:$EL$26,1,BB316)=1,BB319*INDEX('Lease Cycles'!$EM$26:$ES$26,1,BB316)+BB320*IF(BB317&lt;INDEX('Lease Cycles'!$FA$26:$FG$26,1,BB316),0,1-INDEX('Lease Cycles'!$EM$26:$ES$26,1,BB316)),BB319*IF(BB317&lt;INDEX('Lease Cycles'!$DK$26:$DQ$26,1,BB316),0,IF(BB317=INDEX('Lease Cycles'!$DK$26:$DQ$26,1,BB316),1-INDEX('Lease Cycles'!$DR$26:$DX$26,1,BB316),1))),0)</f>
        <v>0</v>
      </c>
      <c r="BC322" s="28">
        <f>IF(BC318=1,IF(INDEX('Lease Cycles'!$EF$26:$EL$26,1,BC316)=1,BC319*INDEX('Lease Cycles'!$EM$26:$ES$26,1,BC316)+BC320*IF(BC317&lt;INDEX('Lease Cycles'!$FA$26:$FG$26,1,BC316),0,1-INDEX('Lease Cycles'!$EM$26:$ES$26,1,BC316)),BC319*IF(BC317&lt;INDEX('Lease Cycles'!$DK$26:$DQ$26,1,BC316),0,IF(BC317=INDEX('Lease Cycles'!$DK$26:$DQ$26,1,BC316),1-INDEX('Lease Cycles'!$DR$26:$DX$26,1,BC316),1))),0)</f>
        <v>0</v>
      </c>
      <c r="BD322" s="28">
        <f>IF(BD318=1,IF(INDEX('Lease Cycles'!$EF$26:$EL$26,1,BD316)=1,BD319*INDEX('Lease Cycles'!$EM$26:$ES$26,1,BD316)+BD320*IF(BD317&lt;INDEX('Lease Cycles'!$FA$26:$FG$26,1,BD316),0,1-INDEX('Lease Cycles'!$EM$26:$ES$26,1,BD316)),BD319*IF(BD317&lt;INDEX('Lease Cycles'!$DK$26:$DQ$26,1,BD316),0,IF(BD317=INDEX('Lease Cycles'!$DK$26:$DQ$26,1,BD316),1-INDEX('Lease Cycles'!$DR$26:$DX$26,1,BD316),1))),0)</f>
        <v>0</v>
      </c>
      <c r="BE322" s="28">
        <f>IF(BE318=1,IF(INDEX('Lease Cycles'!$EF$26:$EL$26,1,BE316)=1,BE319*INDEX('Lease Cycles'!$EM$26:$ES$26,1,BE316)+BE320*IF(BE317&lt;INDEX('Lease Cycles'!$FA$26:$FG$26,1,BE316),0,1-INDEX('Lease Cycles'!$EM$26:$ES$26,1,BE316)),BE319*IF(BE317&lt;INDEX('Lease Cycles'!$DK$26:$DQ$26,1,BE316),0,IF(BE317=INDEX('Lease Cycles'!$DK$26:$DQ$26,1,BE316),1-INDEX('Lease Cycles'!$DR$26:$DX$26,1,BE316),1))),0)</f>
        <v>0</v>
      </c>
      <c r="BF322" s="28">
        <f>IF(BF318=1,IF(INDEX('Lease Cycles'!$EF$26:$EL$26,1,BF316)=1,BF319*INDEX('Lease Cycles'!$EM$26:$ES$26,1,BF316)+BF320*IF(BF317&lt;INDEX('Lease Cycles'!$FA$26:$FG$26,1,BF316),0,1-INDEX('Lease Cycles'!$EM$26:$ES$26,1,BF316)),BF319*IF(BF317&lt;INDEX('Lease Cycles'!$DK$26:$DQ$26,1,BF316),0,IF(BF317=INDEX('Lease Cycles'!$DK$26:$DQ$26,1,BF316),1-INDEX('Lease Cycles'!$DR$26:$DX$26,1,BF316),1))),0)</f>
        <v>0</v>
      </c>
      <c r="BG322" s="28">
        <f>IF(BG318=1,IF(INDEX('Lease Cycles'!$EF$26:$EL$26,1,BG316)=1,BG319*INDEX('Lease Cycles'!$EM$26:$ES$26,1,BG316)+BG320*IF(BG317&lt;INDEX('Lease Cycles'!$FA$26:$FG$26,1,BG316),0,1-INDEX('Lease Cycles'!$EM$26:$ES$26,1,BG316)),BG319*IF(BG317&lt;INDEX('Lease Cycles'!$DK$26:$DQ$26,1,BG316),0,IF(BG317=INDEX('Lease Cycles'!$DK$26:$DQ$26,1,BG316),1-INDEX('Lease Cycles'!$DR$26:$DX$26,1,BG316),1))),0)</f>
        <v>0</v>
      </c>
      <c r="BH322" s="28">
        <f>IF(BH318=1,IF(INDEX('Lease Cycles'!$EF$26:$EL$26,1,BH316)=1,BH319*INDEX('Lease Cycles'!$EM$26:$ES$26,1,BH316)+BH320*IF(BH317&lt;INDEX('Lease Cycles'!$FA$26:$FG$26,1,BH316),0,1-INDEX('Lease Cycles'!$EM$26:$ES$26,1,BH316)),BH319*IF(BH317&lt;INDEX('Lease Cycles'!$DK$26:$DQ$26,1,BH316),0,IF(BH317=INDEX('Lease Cycles'!$DK$26:$DQ$26,1,BH316),1-INDEX('Lease Cycles'!$DR$26:$DX$26,1,BH316),1))),0)</f>
        <v>0</v>
      </c>
      <c r="BI322" s="28">
        <f>IF(BI318=1,IF(INDEX('Lease Cycles'!$EF$26:$EL$26,1,BI316)=1,BI319*INDEX('Lease Cycles'!$EM$26:$ES$26,1,BI316)+BI320*IF(BI317&lt;INDEX('Lease Cycles'!$FA$26:$FG$26,1,BI316),0,1-INDEX('Lease Cycles'!$EM$26:$ES$26,1,BI316)),BI319*IF(BI317&lt;INDEX('Lease Cycles'!$DK$26:$DQ$26,1,BI316),0,IF(BI317=INDEX('Lease Cycles'!$DK$26:$DQ$26,1,BI316),1-INDEX('Lease Cycles'!$DR$26:$DX$26,1,BI316),1))),0)</f>
        <v>0</v>
      </c>
      <c r="BJ322" s="28">
        <f>IF(BJ318=1,IF(INDEX('Lease Cycles'!$EF$26:$EL$26,1,BJ316)=1,BJ319*INDEX('Lease Cycles'!$EM$26:$ES$26,1,BJ316)+BJ320*IF(BJ317&lt;INDEX('Lease Cycles'!$FA$26:$FG$26,1,BJ316),0,1-INDEX('Lease Cycles'!$EM$26:$ES$26,1,BJ316)),BJ319*IF(BJ317&lt;INDEX('Lease Cycles'!$DK$26:$DQ$26,1,BJ316),0,IF(BJ317=INDEX('Lease Cycles'!$DK$26:$DQ$26,1,BJ316),1-INDEX('Lease Cycles'!$DR$26:$DX$26,1,BJ316),1))),0)</f>
        <v>0</v>
      </c>
      <c r="BK322" s="28">
        <f>IF(BK318=1,IF(INDEX('Lease Cycles'!$EF$26:$EL$26,1,BK316)=1,BK319*INDEX('Lease Cycles'!$EM$26:$ES$26,1,BK316)+BK320*IF(BK317&lt;INDEX('Lease Cycles'!$FA$26:$FG$26,1,BK316),0,1-INDEX('Lease Cycles'!$EM$26:$ES$26,1,BK316)),BK319*IF(BK317&lt;INDEX('Lease Cycles'!$DK$26:$DQ$26,1,BK316),0,IF(BK317=INDEX('Lease Cycles'!$DK$26:$DQ$26,1,BK316),1-INDEX('Lease Cycles'!$DR$26:$DX$26,1,BK316),1))),0)</f>
        <v>0</v>
      </c>
      <c r="BL322" s="28">
        <f>IF(BL318=1,IF(INDEX('Lease Cycles'!$EF$26:$EL$26,1,BL316)=1,BL319*INDEX('Lease Cycles'!$EM$26:$ES$26,1,BL316)+BL320*IF(BL317&lt;INDEX('Lease Cycles'!$FA$26:$FG$26,1,BL316),0,1-INDEX('Lease Cycles'!$EM$26:$ES$26,1,BL316)),BL319*IF(BL317&lt;INDEX('Lease Cycles'!$DK$26:$DQ$26,1,BL316),0,IF(BL317=INDEX('Lease Cycles'!$DK$26:$DQ$26,1,BL316),1-INDEX('Lease Cycles'!$DR$26:$DX$26,1,BL316),1))),0)</f>
        <v>0</v>
      </c>
      <c r="BM322" s="28">
        <f>IF(BM318=1,IF(INDEX('Lease Cycles'!$EF$26:$EL$26,1,BM316)=1,BM319*INDEX('Lease Cycles'!$EM$26:$ES$26,1,BM316)+BM320*IF(BM317&lt;INDEX('Lease Cycles'!$FA$26:$FG$26,1,BM316),0,1-INDEX('Lease Cycles'!$EM$26:$ES$26,1,BM316)),BM319*IF(BM317&lt;INDEX('Lease Cycles'!$DK$26:$DQ$26,1,BM316),0,IF(BM317=INDEX('Lease Cycles'!$DK$26:$DQ$26,1,BM316),1-INDEX('Lease Cycles'!$DR$26:$DX$26,1,BM316),1))),0)</f>
        <v>0</v>
      </c>
      <c r="BN322" s="28">
        <f>IF(BN318=1,IF(INDEX('Lease Cycles'!$EF$26:$EL$26,1,BN316)=1,BN319*INDEX('Lease Cycles'!$EM$26:$ES$26,1,BN316)+BN320*IF(BN317&lt;INDEX('Lease Cycles'!$FA$26:$FG$26,1,BN316),0,1-INDEX('Lease Cycles'!$EM$26:$ES$26,1,BN316)),BN319*IF(BN317&lt;INDEX('Lease Cycles'!$DK$26:$DQ$26,1,BN316),0,IF(BN317=INDEX('Lease Cycles'!$DK$26:$DQ$26,1,BN316),1-INDEX('Lease Cycles'!$DR$26:$DX$26,1,BN316),1))),0)</f>
        <v>0</v>
      </c>
      <c r="BO322" s="28">
        <f>IF(BO318=1,IF(INDEX('Lease Cycles'!$EF$26:$EL$26,1,BO316)=1,BO319*INDEX('Lease Cycles'!$EM$26:$ES$26,1,BO316)+BO320*IF(BO317&lt;INDEX('Lease Cycles'!$FA$26:$FG$26,1,BO316),0,1-INDEX('Lease Cycles'!$EM$26:$ES$26,1,BO316)),BO319*IF(BO317&lt;INDEX('Lease Cycles'!$DK$26:$DQ$26,1,BO316),0,IF(BO317=INDEX('Lease Cycles'!$DK$26:$DQ$26,1,BO316),1-INDEX('Lease Cycles'!$DR$26:$DX$26,1,BO316),1))),0)</f>
        <v>0</v>
      </c>
      <c r="BP322" s="28">
        <f>IF(BP318=1,IF(INDEX('Lease Cycles'!$EF$26:$EL$26,1,BP316)=1,BP319*INDEX('Lease Cycles'!$EM$26:$ES$26,1,BP316)+BP320*IF(BP317&lt;INDEX('Lease Cycles'!$FA$26:$FG$26,1,BP316),0,1-INDEX('Lease Cycles'!$EM$26:$ES$26,1,BP316)),BP319*IF(BP317&lt;INDEX('Lease Cycles'!$DK$26:$DQ$26,1,BP316),0,IF(BP317=INDEX('Lease Cycles'!$DK$26:$DQ$26,1,BP316),1-INDEX('Lease Cycles'!$DR$26:$DX$26,1,BP316),1))),0)</f>
        <v>0</v>
      </c>
      <c r="BQ322" s="28">
        <f>IF(BQ318=1,IF(INDEX('Lease Cycles'!$EF$26:$EL$26,1,BQ316)=1,BQ319*INDEX('Lease Cycles'!$EM$26:$ES$26,1,BQ316)+BQ320*IF(BQ317&lt;INDEX('Lease Cycles'!$FA$26:$FG$26,1,BQ316),0,1-INDEX('Lease Cycles'!$EM$26:$ES$26,1,BQ316)),BQ319*IF(BQ317&lt;INDEX('Lease Cycles'!$DK$26:$DQ$26,1,BQ316),0,IF(BQ317=INDEX('Lease Cycles'!$DK$26:$DQ$26,1,BQ316),1-INDEX('Lease Cycles'!$DR$26:$DX$26,1,BQ316),1))),0)</f>
        <v>0</v>
      </c>
      <c r="BR322" s="28">
        <f>IF(BR318=1,IF(INDEX('Lease Cycles'!$EF$26:$EL$26,1,BR316)=1,BR319*INDEX('Lease Cycles'!$EM$26:$ES$26,1,BR316)+BR320*IF(BR317&lt;INDEX('Lease Cycles'!$FA$26:$FG$26,1,BR316),0,1-INDEX('Lease Cycles'!$EM$26:$ES$26,1,BR316)),BR319*IF(BR317&lt;INDEX('Lease Cycles'!$DK$26:$DQ$26,1,BR316),0,IF(BR317=INDEX('Lease Cycles'!$DK$26:$DQ$26,1,BR316),1-INDEX('Lease Cycles'!$DR$26:$DX$26,1,BR316),1))),0)</f>
        <v>0</v>
      </c>
      <c r="BS322" s="28">
        <f>IF(BS318=1,IF(INDEX('Lease Cycles'!$EF$26:$EL$26,1,BS316)=1,BS319*INDEX('Lease Cycles'!$EM$26:$ES$26,1,BS316)+BS320*IF(BS317&lt;INDEX('Lease Cycles'!$FA$26:$FG$26,1,BS316),0,1-INDEX('Lease Cycles'!$EM$26:$ES$26,1,BS316)),BS319*IF(BS317&lt;INDEX('Lease Cycles'!$DK$26:$DQ$26,1,BS316),0,IF(BS317=INDEX('Lease Cycles'!$DK$26:$DQ$26,1,BS316),1-INDEX('Lease Cycles'!$DR$26:$DX$26,1,BS316),1))),0)</f>
        <v>0</v>
      </c>
      <c r="BT322" s="28">
        <f>IF(BT318=1,IF(INDEX('Lease Cycles'!$EF$26:$EL$26,1,BT316)=1,BT319*INDEX('Lease Cycles'!$EM$26:$ES$26,1,BT316)+BT320*IF(BT317&lt;INDEX('Lease Cycles'!$FA$26:$FG$26,1,BT316),0,1-INDEX('Lease Cycles'!$EM$26:$ES$26,1,BT316)),BT319*IF(BT317&lt;INDEX('Lease Cycles'!$DK$26:$DQ$26,1,BT316),0,IF(BT317=INDEX('Lease Cycles'!$DK$26:$DQ$26,1,BT316),1-INDEX('Lease Cycles'!$DR$26:$DX$26,1,BT316),1))),0)</f>
        <v>0</v>
      </c>
      <c r="BU322" s="28">
        <f>IF(BU318=1,IF(INDEX('Lease Cycles'!$EF$26:$EL$26,1,BU316)=1,BU319*INDEX('Lease Cycles'!$EM$26:$ES$26,1,BU316)+BU320*IF(BU317&lt;INDEX('Lease Cycles'!$FA$26:$FG$26,1,BU316),0,1-INDEX('Lease Cycles'!$EM$26:$ES$26,1,BU316)),BU319*IF(BU317&lt;INDEX('Lease Cycles'!$DK$26:$DQ$26,1,BU316),0,IF(BU317=INDEX('Lease Cycles'!$DK$26:$DQ$26,1,BU316),1-INDEX('Lease Cycles'!$DR$26:$DX$26,1,BU316),1))),0)</f>
        <v>0</v>
      </c>
      <c r="BV322" s="28">
        <f>IF(BV318=1,IF(INDEX('Lease Cycles'!$EF$26:$EL$26,1,BV316)=1,BV319*INDEX('Lease Cycles'!$EM$26:$ES$26,1,BV316)+BV320*IF(BV317&lt;INDEX('Lease Cycles'!$FA$26:$FG$26,1,BV316),0,1-INDEX('Lease Cycles'!$EM$26:$ES$26,1,BV316)),BV319*IF(BV317&lt;INDEX('Lease Cycles'!$DK$26:$DQ$26,1,BV316),0,IF(BV317=INDEX('Lease Cycles'!$DK$26:$DQ$26,1,BV316),1-INDEX('Lease Cycles'!$DR$26:$DX$26,1,BV316),1))),0)</f>
        <v>0</v>
      </c>
      <c r="BW322" s="28">
        <f>IF(BW318=1,IF(INDEX('Lease Cycles'!$EF$26:$EL$26,1,BW316)=1,BW319*INDEX('Lease Cycles'!$EM$26:$ES$26,1,BW316)+BW320*IF(BW317&lt;INDEX('Lease Cycles'!$FA$26:$FG$26,1,BW316),0,1-INDEX('Lease Cycles'!$EM$26:$ES$26,1,BW316)),BW319*IF(BW317&lt;INDEX('Lease Cycles'!$DK$26:$DQ$26,1,BW316),0,IF(BW317=INDEX('Lease Cycles'!$DK$26:$DQ$26,1,BW316),1-INDEX('Lease Cycles'!$DR$26:$DX$26,1,BW316),1))),0)</f>
        <v>0</v>
      </c>
      <c r="BX322" s="28">
        <f>IF(BX318=1,IF(INDEX('Lease Cycles'!$EF$26:$EL$26,1,BX316)=1,BX319*INDEX('Lease Cycles'!$EM$26:$ES$26,1,BX316)+BX320*IF(BX317&lt;INDEX('Lease Cycles'!$FA$26:$FG$26,1,BX316),0,1-INDEX('Lease Cycles'!$EM$26:$ES$26,1,BX316)),BX319*IF(BX317&lt;INDEX('Lease Cycles'!$DK$26:$DQ$26,1,BX316),0,IF(BX317=INDEX('Lease Cycles'!$DK$26:$DQ$26,1,BX316),1-INDEX('Lease Cycles'!$DR$26:$DX$26,1,BX316),1))),0)</f>
        <v>0</v>
      </c>
      <c r="BY322" s="28">
        <f>IF(BY318=1,IF(INDEX('Lease Cycles'!$EF$26:$EL$26,1,BY316)=1,BY319*INDEX('Lease Cycles'!$EM$26:$ES$26,1,BY316)+BY320*IF(BY317&lt;INDEX('Lease Cycles'!$FA$26:$FG$26,1,BY316),0,1-INDEX('Lease Cycles'!$EM$26:$ES$26,1,BY316)),BY319*IF(BY317&lt;INDEX('Lease Cycles'!$DK$26:$DQ$26,1,BY316),0,IF(BY317=INDEX('Lease Cycles'!$DK$26:$DQ$26,1,BY316),1-INDEX('Lease Cycles'!$DR$26:$DX$26,1,BY316),1))),0)</f>
        <v>0</v>
      </c>
      <c r="BZ322" s="28">
        <f>IF(BZ318=1,IF(INDEX('Lease Cycles'!$EF$26:$EL$26,1,BZ316)=1,BZ319*INDEX('Lease Cycles'!$EM$26:$ES$26,1,BZ316)+BZ320*IF(BZ317&lt;INDEX('Lease Cycles'!$FA$26:$FG$26,1,BZ316),0,1-INDEX('Lease Cycles'!$EM$26:$ES$26,1,BZ316)),BZ319*IF(BZ317&lt;INDEX('Lease Cycles'!$DK$26:$DQ$26,1,BZ316),0,IF(BZ317=INDEX('Lease Cycles'!$DK$26:$DQ$26,1,BZ316),1-INDEX('Lease Cycles'!$DR$26:$DX$26,1,BZ316),1))),0)</f>
        <v>0</v>
      </c>
      <c r="CA322" s="28">
        <f>IF(CA318=1,IF(INDEX('Lease Cycles'!$EF$26:$EL$26,1,CA316)=1,CA319*INDEX('Lease Cycles'!$EM$26:$ES$26,1,CA316)+CA320*IF(CA317&lt;INDEX('Lease Cycles'!$FA$26:$FG$26,1,CA316),0,1-INDEX('Lease Cycles'!$EM$26:$ES$26,1,CA316)),CA319*IF(CA317&lt;INDEX('Lease Cycles'!$DK$26:$DQ$26,1,CA316),0,IF(CA317=INDEX('Lease Cycles'!$DK$26:$DQ$26,1,CA316),1-INDEX('Lease Cycles'!$DR$26:$DX$26,1,CA316),1))),0)</f>
        <v>0</v>
      </c>
      <c r="CB322" s="28">
        <f>IF(CB318=1,IF(INDEX('Lease Cycles'!$EF$26:$EL$26,1,CB316)=1,CB319*INDEX('Lease Cycles'!$EM$26:$ES$26,1,CB316)+CB320*IF(CB317&lt;INDEX('Lease Cycles'!$FA$26:$FG$26,1,CB316),0,1-INDEX('Lease Cycles'!$EM$26:$ES$26,1,CB316)),CB319*IF(CB317&lt;INDEX('Lease Cycles'!$DK$26:$DQ$26,1,CB316),0,IF(CB317=INDEX('Lease Cycles'!$DK$26:$DQ$26,1,CB316),1-INDEX('Lease Cycles'!$DR$26:$DX$26,1,CB316),1))),0)</f>
        <v>0</v>
      </c>
      <c r="CC322" s="28">
        <f>IF(CC318=1,IF(INDEX('Lease Cycles'!$EF$26:$EL$26,1,CC316)=1,CC319*INDEX('Lease Cycles'!$EM$26:$ES$26,1,CC316)+CC320*IF(CC317&lt;INDEX('Lease Cycles'!$FA$26:$FG$26,1,CC316),0,1-INDEX('Lease Cycles'!$EM$26:$ES$26,1,CC316)),CC319*IF(CC317&lt;INDEX('Lease Cycles'!$DK$26:$DQ$26,1,CC316),0,IF(CC317=INDEX('Lease Cycles'!$DK$26:$DQ$26,1,CC316),1-INDEX('Lease Cycles'!$DR$26:$DX$26,1,CC316),1))),0)</f>
        <v>0</v>
      </c>
      <c r="CD322" s="28">
        <f>IF(CD318=1,IF(INDEX('Lease Cycles'!$EF$26:$EL$26,1,CD316)=1,CD319*INDEX('Lease Cycles'!$EM$26:$ES$26,1,CD316)+CD320*IF(CD317&lt;INDEX('Lease Cycles'!$FA$26:$FG$26,1,CD316),0,1-INDEX('Lease Cycles'!$EM$26:$ES$26,1,CD316)),CD319*IF(CD317&lt;INDEX('Lease Cycles'!$DK$26:$DQ$26,1,CD316),0,IF(CD317=INDEX('Lease Cycles'!$DK$26:$DQ$26,1,CD316),1-INDEX('Lease Cycles'!$DR$26:$DX$26,1,CD316),1))),0)</f>
        <v>0</v>
      </c>
      <c r="CE322" s="28">
        <f>IF(CE318=1,IF(INDEX('Lease Cycles'!$EF$26:$EL$26,1,CE316)=1,CE319*INDEX('Lease Cycles'!$EM$26:$ES$26,1,CE316)+CE320*IF(CE317&lt;INDEX('Lease Cycles'!$FA$26:$FG$26,1,CE316),0,1-INDEX('Lease Cycles'!$EM$26:$ES$26,1,CE316)),CE319*IF(CE317&lt;INDEX('Lease Cycles'!$DK$26:$DQ$26,1,CE316),0,IF(CE317=INDEX('Lease Cycles'!$DK$26:$DQ$26,1,CE316),1-INDEX('Lease Cycles'!$DR$26:$DX$26,1,CE316),1))),0)</f>
        <v>0</v>
      </c>
      <c r="CF322" s="28">
        <f>IF(CF318=1,IF(INDEX('Lease Cycles'!$EF$26:$EL$26,1,CF316)=1,CF319*INDEX('Lease Cycles'!$EM$26:$ES$26,1,CF316)+CF320*IF(CF317&lt;INDEX('Lease Cycles'!$FA$26:$FG$26,1,CF316),0,1-INDEX('Lease Cycles'!$EM$26:$ES$26,1,CF316)),CF319*IF(CF317&lt;INDEX('Lease Cycles'!$DK$26:$DQ$26,1,CF316),0,IF(CF317=INDEX('Lease Cycles'!$DK$26:$DQ$26,1,CF316),1-INDEX('Lease Cycles'!$DR$26:$DX$26,1,CF316),1))),0)</f>
        <v>0</v>
      </c>
      <c r="CG322" s="28">
        <f>IF(CG318=1,IF(INDEX('Lease Cycles'!$EF$26:$EL$26,1,CG316)=1,CG319*INDEX('Lease Cycles'!$EM$26:$ES$26,1,CG316)+CG320*IF(CG317&lt;INDEX('Lease Cycles'!$FA$26:$FG$26,1,CG316),0,1-INDEX('Lease Cycles'!$EM$26:$ES$26,1,CG316)),CG319*IF(CG317&lt;INDEX('Lease Cycles'!$DK$26:$DQ$26,1,CG316),0,IF(CG317=INDEX('Lease Cycles'!$DK$26:$DQ$26,1,CG316),1-INDEX('Lease Cycles'!$DR$26:$DX$26,1,CG316),1))),0)</f>
        <v>0</v>
      </c>
      <c r="CH322" s="28">
        <f>IF(CH318=1,IF(INDEX('Lease Cycles'!$EF$26:$EL$26,1,CH316)=1,CH319*INDEX('Lease Cycles'!$EM$26:$ES$26,1,CH316)+CH320*IF(CH317&lt;INDEX('Lease Cycles'!$FA$26:$FG$26,1,CH316),0,1-INDEX('Lease Cycles'!$EM$26:$ES$26,1,CH316)),CH319*IF(CH317&lt;INDEX('Lease Cycles'!$DK$26:$DQ$26,1,CH316),0,IF(CH317=INDEX('Lease Cycles'!$DK$26:$DQ$26,1,CH316),1-INDEX('Lease Cycles'!$DR$26:$DX$26,1,CH316),1))),0)</f>
        <v>0</v>
      </c>
      <c r="CI322" s="28">
        <f>IF(CI318=1,IF(INDEX('Lease Cycles'!$EF$26:$EL$26,1,CI316)=1,CI319*INDEX('Lease Cycles'!$EM$26:$ES$26,1,CI316)+CI320*IF(CI317&lt;INDEX('Lease Cycles'!$FA$26:$FG$26,1,CI316),0,1-INDEX('Lease Cycles'!$EM$26:$ES$26,1,CI316)),CI319*IF(CI317&lt;INDEX('Lease Cycles'!$DK$26:$DQ$26,1,CI316),0,IF(CI317=INDEX('Lease Cycles'!$DK$26:$DQ$26,1,CI316),1-INDEX('Lease Cycles'!$DR$26:$DX$26,1,CI316),1))),0)</f>
        <v>0</v>
      </c>
      <c r="CJ322" s="28">
        <f>IF(CJ318=1,IF(INDEX('Lease Cycles'!$EF$26:$EL$26,1,CJ316)=1,CJ319*INDEX('Lease Cycles'!$EM$26:$ES$26,1,CJ316)+CJ320*IF(CJ317&lt;INDEX('Lease Cycles'!$FA$26:$FG$26,1,CJ316),0,1-INDEX('Lease Cycles'!$EM$26:$ES$26,1,CJ316)),CJ319*IF(CJ317&lt;INDEX('Lease Cycles'!$DK$26:$DQ$26,1,CJ316),0,IF(CJ317=INDEX('Lease Cycles'!$DK$26:$DQ$26,1,CJ316),1-INDEX('Lease Cycles'!$DR$26:$DX$26,1,CJ316),1))),0)</f>
        <v>0</v>
      </c>
      <c r="CK322" s="28">
        <f>IF(CK318=1,IF(INDEX('Lease Cycles'!$EF$26:$EL$26,1,CK316)=1,CK319*INDEX('Lease Cycles'!$EM$26:$ES$26,1,CK316)+CK320*IF(CK317&lt;INDEX('Lease Cycles'!$FA$26:$FG$26,1,CK316),0,1-INDEX('Lease Cycles'!$EM$26:$ES$26,1,CK316)),CK319*IF(CK317&lt;INDEX('Lease Cycles'!$DK$26:$DQ$26,1,CK316),0,IF(CK317=INDEX('Lease Cycles'!$DK$26:$DQ$26,1,CK316),1-INDEX('Lease Cycles'!$DR$26:$DX$26,1,CK316),1))),0)</f>
        <v>0</v>
      </c>
      <c r="CL322" s="28">
        <f>IF(CL318=1,IF(INDEX('Lease Cycles'!$EF$26:$EL$26,1,CL316)=1,CL319*INDEX('Lease Cycles'!$EM$26:$ES$26,1,CL316)+CL320*IF(CL317&lt;INDEX('Lease Cycles'!$FA$26:$FG$26,1,CL316),0,1-INDEX('Lease Cycles'!$EM$26:$ES$26,1,CL316)),CL319*IF(CL317&lt;INDEX('Lease Cycles'!$DK$26:$DQ$26,1,CL316),0,IF(CL317=INDEX('Lease Cycles'!$DK$26:$DQ$26,1,CL316),1-INDEX('Lease Cycles'!$DR$26:$DX$26,1,CL316),1))),0)</f>
        <v>0</v>
      </c>
      <c r="CM322" s="28">
        <f>IF(CM318=1,IF(INDEX('Lease Cycles'!$EF$26:$EL$26,1,CM316)=1,CM319*INDEX('Lease Cycles'!$EM$26:$ES$26,1,CM316)+CM320*IF(CM317&lt;INDEX('Lease Cycles'!$FA$26:$FG$26,1,CM316),0,1-INDEX('Lease Cycles'!$EM$26:$ES$26,1,CM316)),CM319*IF(CM317&lt;INDEX('Lease Cycles'!$DK$26:$DQ$26,1,CM316),0,IF(CM317=INDEX('Lease Cycles'!$DK$26:$DQ$26,1,CM316),1-INDEX('Lease Cycles'!$DR$26:$DX$26,1,CM316),1))),0)</f>
        <v>0</v>
      </c>
      <c r="CN322" s="28">
        <f>IF(CN318=1,IF(INDEX('Lease Cycles'!$EF$26:$EL$26,1,CN316)=1,CN319*INDEX('Lease Cycles'!$EM$26:$ES$26,1,CN316)+CN320*IF(CN317&lt;INDEX('Lease Cycles'!$FA$26:$FG$26,1,CN316),0,1-INDEX('Lease Cycles'!$EM$26:$ES$26,1,CN316)),CN319*IF(CN317&lt;INDEX('Lease Cycles'!$DK$26:$DQ$26,1,CN316),0,IF(CN317=INDEX('Lease Cycles'!$DK$26:$DQ$26,1,CN316),1-INDEX('Lease Cycles'!$DR$26:$DX$26,1,CN316),1))),0)</f>
        <v>0</v>
      </c>
      <c r="CO322" s="28">
        <f>IF(CO318=1,IF(INDEX('Lease Cycles'!$EF$26:$EL$26,1,CO316)=1,CO319*INDEX('Lease Cycles'!$EM$26:$ES$26,1,CO316)+CO320*IF(CO317&lt;INDEX('Lease Cycles'!$FA$26:$FG$26,1,CO316),0,1-INDEX('Lease Cycles'!$EM$26:$ES$26,1,CO316)),CO319*IF(CO317&lt;INDEX('Lease Cycles'!$DK$26:$DQ$26,1,CO316),0,IF(CO317=INDEX('Lease Cycles'!$DK$26:$DQ$26,1,CO316),1-INDEX('Lease Cycles'!$DR$26:$DX$26,1,CO316),1))),0)</f>
        <v>0</v>
      </c>
      <c r="CP322" s="28">
        <f>IF(CP318=1,IF(INDEX('Lease Cycles'!$EF$26:$EL$26,1,CP316)=1,CP319*INDEX('Lease Cycles'!$EM$26:$ES$26,1,CP316)+CP320*IF(CP317&lt;INDEX('Lease Cycles'!$FA$26:$FG$26,1,CP316),0,1-INDEX('Lease Cycles'!$EM$26:$ES$26,1,CP316)),CP319*IF(CP317&lt;INDEX('Lease Cycles'!$DK$26:$DQ$26,1,CP316),0,IF(CP317=INDEX('Lease Cycles'!$DK$26:$DQ$26,1,CP316),1-INDEX('Lease Cycles'!$DR$26:$DX$26,1,CP316),1))),0)</f>
        <v>0</v>
      </c>
      <c r="CQ322" s="28">
        <f>IF(CQ318=1,IF(INDEX('Lease Cycles'!$EF$26:$EL$26,1,CQ316)=1,CQ319*INDEX('Lease Cycles'!$EM$26:$ES$26,1,CQ316)+CQ320*IF(CQ317&lt;INDEX('Lease Cycles'!$FA$26:$FG$26,1,CQ316),0,1-INDEX('Lease Cycles'!$EM$26:$ES$26,1,CQ316)),CQ319*IF(CQ317&lt;INDEX('Lease Cycles'!$DK$26:$DQ$26,1,CQ316),0,IF(CQ317=INDEX('Lease Cycles'!$DK$26:$DQ$26,1,CQ316),1-INDEX('Lease Cycles'!$DR$26:$DX$26,1,CQ316),1))),0)</f>
        <v>0</v>
      </c>
      <c r="CR322" s="28">
        <f>IF(CR318=1,IF(INDEX('Lease Cycles'!$EF$26:$EL$26,1,CR316)=1,CR319*INDEX('Lease Cycles'!$EM$26:$ES$26,1,CR316)+CR320*IF(CR317&lt;INDEX('Lease Cycles'!$FA$26:$FG$26,1,CR316),0,1-INDEX('Lease Cycles'!$EM$26:$ES$26,1,CR316)),CR319*IF(CR317&lt;INDEX('Lease Cycles'!$DK$26:$DQ$26,1,CR316),0,IF(CR317=INDEX('Lease Cycles'!$DK$26:$DQ$26,1,CR316),1-INDEX('Lease Cycles'!$DR$26:$DX$26,1,CR316),1))),0)</f>
        <v>0</v>
      </c>
      <c r="CS322" s="28">
        <f>IF(CS318=1,IF(INDEX('Lease Cycles'!$EF$26:$EL$26,1,CS316)=1,CS319*INDEX('Lease Cycles'!$EM$26:$ES$26,1,CS316)+CS320*IF(CS317&lt;INDEX('Lease Cycles'!$FA$26:$FG$26,1,CS316),0,1-INDEX('Lease Cycles'!$EM$26:$ES$26,1,CS316)),CS319*IF(CS317&lt;INDEX('Lease Cycles'!$DK$26:$DQ$26,1,CS316),0,IF(CS317=INDEX('Lease Cycles'!$DK$26:$DQ$26,1,CS316),1-INDEX('Lease Cycles'!$DR$26:$DX$26,1,CS316),1))),0)</f>
        <v>0</v>
      </c>
      <c r="CT322" s="28">
        <f>IF(CT318=1,IF(INDEX('Lease Cycles'!$EF$26:$EL$26,1,CT316)=1,CT319*INDEX('Lease Cycles'!$EM$26:$ES$26,1,CT316)+CT320*IF(CT317&lt;INDEX('Lease Cycles'!$FA$26:$FG$26,1,CT316),0,1-INDEX('Lease Cycles'!$EM$26:$ES$26,1,CT316)),CT319*IF(CT317&lt;INDEX('Lease Cycles'!$DK$26:$DQ$26,1,CT316),0,IF(CT317=INDEX('Lease Cycles'!$DK$26:$DQ$26,1,CT316),1-INDEX('Lease Cycles'!$DR$26:$DX$26,1,CT316),1))),0)</f>
        <v>0</v>
      </c>
      <c r="CU322" s="28">
        <f>IF(CU318=1,IF(INDEX('Lease Cycles'!$EF$26:$EL$26,1,CU316)=1,CU319*INDEX('Lease Cycles'!$EM$26:$ES$26,1,CU316)+CU320*IF(CU317&lt;INDEX('Lease Cycles'!$FA$26:$FG$26,1,CU316),0,1-INDEX('Lease Cycles'!$EM$26:$ES$26,1,CU316)),CU319*IF(CU317&lt;INDEX('Lease Cycles'!$DK$26:$DQ$26,1,CU316),0,IF(CU317=INDEX('Lease Cycles'!$DK$26:$DQ$26,1,CU316),1-INDEX('Lease Cycles'!$DR$26:$DX$26,1,CU316),1))),0)</f>
        <v>0</v>
      </c>
      <c r="CV322" s="28">
        <f>IF(CV318=1,IF(INDEX('Lease Cycles'!$EF$26:$EL$26,1,CV316)=1,CV319*INDEX('Lease Cycles'!$EM$26:$ES$26,1,CV316)+CV320*IF(CV317&lt;INDEX('Lease Cycles'!$FA$26:$FG$26,1,CV316),0,1-INDEX('Lease Cycles'!$EM$26:$ES$26,1,CV316)),CV319*IF(CV317&lt;INDEX('Lease Cycles'!$DK$26:$DQ$26,1,CV316),0,IF(CV317=INDEX('Lease Cycles'!$DK$26:$DQ$26,1,CV316),1-INDEX('Lease Cycles'!$DR$26:$DX$26,1,CV316),1))),0)</f>
        <v>0</v>
      </c>
      <c r="CW322" s="28">
        <f>IF(CW318=1,IF(INDEX('Lease Cycles'!$EF$26:$EL$26,1,CW316)=1,CW319*INDEX('Lease Cycles'!$EM$26:$ES$26,1,CW316)+CW320*IF(CW317&lt;INDEX('Lease Cycles'!$FA$26:$FG$26,1,CW316),0,1-INDEX('Lease Cycles'!$EM$26:$ES$26,1,CW316)),CW319*IF(CW317&lt;INDEX('Lease Cycles'!$DK$26:$DQ$26,1,CW316),0,IF(CW317=INDEX('Lease Cycles'!$DK$26:$DQ$26,1,CW316),1-INDEX('Lease Cycles'!$DR$26:$DX$26,1,CW316),1))),0)</f>
        <v>0</v>
      </c>
      <c r="CX322" s="28">
        <f>IF(CX318=1,IF(INDEX('Lease Cycles'!$EF$26:$EL$26,1,CX316)=1,CX319*INDEX('Lease Cycles'!$EM$26:$ES$26,1,CX316)+CX320*IF(CX317&lt;INDEX('Lease Cycles'!$FA$26:$FG$26,1,CX316),0,1-INDEX('Lease Cycles'!$EM$26:$ES$26,1,CX316)),CX319*IF(CX317&lt;INDEX('Lease Cycles'!$DK$26:$DQ$26,1,CX316),0,IF(CX317=INDEX('Lease Cycles'!$DK$26:$DQ$26,1,CX316),1-INDEX('Lease Cycles'!$DR$26:$DX$26,1,CX316),1))),0)</f>
        <v>0</v>
      </c>
      <c r="CY322" s="28">
        <f>IF(CY318=1,IF(INDEX('Lease Cycles'!$EF$26:$EL$26,1,CY316)=1,CY319*INDEX('Lease Cycles'!$EM$26:$ES$26,1,CY316)+CY320*IF(CY317&lt;INDEX('Lease Cycles'!$FA$26:$FG$26,1,CY316),0,1-INDEX('Lease Cycles'!$EM$26:$ES$26,1,CY316)),CY319*IF(CY317&lt;INDEX('Lease Cycles'!$DK$26:$DQ$26,1,CY316),0,IF(CY317=INDEX('Lease Cycles'!$DK$26:$DQ$26,1,CY316),1-INDEX('Lease Cycles'!$DR$26:$DX$26,1,CY316),1))),0)</f>
        <v>0</v>
      </c>
      <c r="CZ322" s="28">
        <f>IF(CZ318=1,IF(INDEX('Lease Cycles'!$EF$26:$EL$26,1,CZ316)=1,CZ319*INDEX('Lease Cycles'!$EM$26:$ES$26,1,CZ316)+CZ320*IF(CZ317&lt;INDEX('Lease Cycles'!$FA$26:$FG$26,1,CZ316),0,1-INDEX('Lease Cycles'!$EM$26:$ES$26,1,CZ316)),CZ319*IF(CZ317&lt;INDEX('Lease Cycles'!$DK$26:$DQ$26,1,CZ316),0,IF(CZ317=INDEX('Lease Cycles'!$DK$26:$DQ$26,1,CZ316),1-INDEX('Lease Cycles'!$DR$26:$DX$26,1,CZ316),1))),0)</f>
        <v>0</v>
      </c>
      <c r="DA322" s="28">
        <f>IF(DA318=1,IF(INDEX('Lease Cycles'!$EF$26:$EL$26,1,DA316)=1,DA319*INDEX('Lease Cycles'!$EM$26:$ES$26,1,DA316)+DA320*IF(DA317&lt;INDEX('Lease Cycles'!$FA$26:$FG$26,1,DA316),0,1-INDEX('Lease Cycles'!$EM$26:$ES$26,1,DA316)),DA319*IF(DA317&lt;INDEX('Lease Cycles'!$DK$26:$DQ$26,1,DA316),0,IF(DA317=INDEX('Lease Cycles'!$DK$26:$DQ$26,1,DA316),1-INDEX('Lease Cycles'!$DR$26:$DX$26,1,DA316),1))),0)</f>
        <v>0</v>
      </c>
      <c r="DB322" s="28">
        <f>IF(DB318=1,IF(INDEX('Lease Cycles'!$EF$26:$EL$26,1,DB316)=1,DB319*INDEX('Lease Cycles'!$EM$26:$ES$26,1,DB316)+DB320*IF(DB317&lt;INDEX('Lease Cycles'!$FA$26:$FG$26,1,DB316),0,1-INDEX('Lease Cycles'!$EM$26:$ES$26,1,DB316)),DB319*IF(DB317&lt;INDEX('Lease Cycles'!$DK$26:$DQ$26,1,DB316),0,IF(DB317=INDEX('Lease Cycles'!$DK$26:$DQ$26,1,DB316),1-INDEX('Lease Cycles'!$DR$26:$DX$26,1,DB316),1))),0)</f>
        <v>0</v>
      </c>
      <c r="DC322" s="28">
        <f>IF(DC318=1,IF(INDEX('Lease Cycles'!$EF$26:$EL$26,1,DC316)=1,DC319*INDEX('Lease Cycles'!$EM$26:$ES$26,1,DC316)+DC320*IF(DC317&lt;INDEX('Lease Cycles'!$FA$26:$FG$26,1,DC316),0,1-INDEX('Lease Cycles'!$EM$26:$ES$26,1,DC316)),DC319*IF(DC317&lt;INDEX('Lease Cycles'!$DK$26:$DQ$26,1,DC316),0,IF(DC317=INDEX('Lease Cycles'!$DK$26:$DQ$26,1,DC316),1-INDEX('Lease Cycles'!$DR$26:$DX$26,1,DC316),1))),0)</f>
        <v>0</v>
      </c>
      <c r="DD322" s="28">
        <f>IF(DD318=1,IF(INDEX('Lease Cycles'!$EF$26:$EL$26,1,DD316)=1,DD319*INDEX('Lease Cycles'!$EM$26:$ES$26,1,DD316)+DD320*IF(DD317&lt;INDEX('Lease Cycles'!$FA$26:$FG$26,1,DD316),0,1-INDEX('Lease Cycles'!$EM$26:$ES$26,1,DD316)),DD319*IF(DD317&lt;INDEX('Lease Cycles'!$DK$26:$DQ$26,1,DD316),0,IF(DD317=INDEX('Lease Cycles'!$DK$26:$DQ$26,1,DD316),1-INDEX('Lease Cycles'!$DR$26:$DX$26,1,DD316),1))),0)</f>
        <v>0</v>
      </c>
      <c r="DE322" s="28">
        <f>IF(DE318=1,IF(INDEX('Lease Cycles'!$EF$26:$EL$26,1,DE316)=1,DE319*INDEX('Lease Cycles'!$EM$26:$ES$26,1,DE316)+DE320*IF(DE317&lt;INDEX('Lease Cycles'!$FA$26:$FG$26,1,DE316),0,1-INDEX('Lease Cycles'!$EM$26:$ES$26,1,DE316)),DE319*IF(DE317&lt;INDEX('Lease Cycles'!$DK$26:$DQ$26,1,DE316),0,IF(DE317=INDEX('Lease Cycles'!$DK$26:$DQ$26,1,DE316),1-INDEX('Lease Cycles'!$DR$26:$DX$26,1,DE316),1))),0)</f>
        <v>0</v>
      </c>
      <c r="DF322" s="28">
        <f>IF(DF318=1,IF(INDEX('Lease Cycles'!$EF$26:$EL$26,1,DF316)=1,DF319*INDEX('Lease Cycles'!$EM$26:$ES$26,1,DF316)+DF320*IF(DF317&lt;INDEX('Lease Cycles'!$FA$26:$FG$26,1,DF316),0,1-INDEX('Lease Cycles'!$EM$26:$ES$26,1,DF316)),DF319*IF(DF317&lt;INDEX('Lease Cycles'!$DK$26:$DQ$26,1,DF316),0,IF(DF317=INDEX('Lease Cycles'!$DK$26:$DQ$26,1,DF316),1-INDEX('Lease Cycles'!$DR$26:$DX$26,1,DF316),1))),0)</f>
        <v>0</v>
      </c>
      <c r="DG322" s="28">
        <f>IF(DG318=1,IF(INDEX('Lease Cycles'!$EF$26:$EL$26,1,DG316)=1,DG319*INDEX('Lease Cycles'!$EM$26:$ES$26,1,DG316)+DG320*IF(DG317&lt;INDEX('Lease Cycles'!$FA$26:$FG$26,1,DG316),0,1-INDEX('Lease Cycles'!$EM$26:$ES$26,1,DG316)),DG319*IF(DG317&lt;INDEX('Lease Cycles'!$DK$26:$DQ$26,1,DG316),0,IF(DG317=INDEX('Lease Cycles'!$DK$26:$DQ$26,1,DG316),1-INDEX('Lease Cycles'!$DR$26:$DX$26,1,DG316),1))),0)</f>
        <v>0</v>
      </c>
      <c r="DH322" s="28">
        <f>IF(DH318=1,IF(INDEX('Lease Cycles'!$EF$26:$EL$26,1,DH316)=1,DH319*INDEX('Lease Cycles'!$EM$26:$ES$26,1,DH316)+DH320*IF(DH317&lt;INDEX('Lease Cycles'!$FA$26:$FG$26,1,DH316),0,1-INDEX('Lease Cycles'!$EM$26:$ES$26,1,DH316)),DH319*IF(DH317&lt;INDEX('Lease Cycles'!$DK$26:$DQ$26,1,DH316),0,IF(DH317=INDEX('Lease Cycles'!$DK$26:$DQ$26,1,DH316),1-INDEX('Lease Cycles'!$DR$26:$DX$26,1,DH316),1))),0)</f>
        <v>0</v>
      </c>
      <c r="DI322" s="28">
        <f>IF(DI318=1,IF(INDEX('Lease Cycles'!$EF$26:$EL$26,1,DI316)=1,DI319*INDEX('Lease Cycles'!$EM$26:$ES$26,1,DI316)+DI320*IF(DI317&lt;INDEX('Lease Cycles'!$FA$26:$FG$26,1,DI316),0,1-INDEX('Lease Cycles'!$EM$26:$ES$26,1,DI316)),DI319*IF(DI317&lt;INDEX('Lease Cycles'!$DK$26:$DQ$26,1,DI316),0,IF(DI317=INDEX('Lease Cycles'!$DK$26:$DQ$26,1,DI316),1-INDEX('Lease Cycles'!$DR$26:$DX$26,1,DI316),1))),0)</f>
        <v>0</v>
      </c>
      <c r="DJ322" s="28">
        <f>IF(DJ318=1,IF(INDEX('Lease Cycles'!$EF$26:$EL$26,1,DJ316)=1,DJ319*INDEX('Lease Cycles'!$EM$26:$ES$26,1,DJ316)+DJ320*IF(DJ317&lt;INDEX('Lease Cycles'!$FA$26:$FG$26,1,DJ316),0,1-INDEX('Lease Cycles'!$EM$26:$ES$26,1,DJ316)),DJ319*IF(DJ317&lt;INDEX('Lease Cycles'!$DK$26:$DQ$26,1,DJ316),0,IF(DJ317=INDEX('Lease Cycles'!$DK$26:$DQ$26,1,DJ316),1-INDEX('Lease Cycles'!$DR$26:$DX$26,1,DJ316),1))),0)</f>
        <v>0</v>
      </c>
      <c r="DK322" s="28">
        <f>IF(DK318=1,IF(INDEX('Lease Cycles'!$EF$26:$EL$26,1,DK316)=1,DK319*INDEX('Lease Cycles'!$EM$26:$ES$26,1,DK316)+DK320*IF(DK317&lt;INDEX('Lease Cycles'!$FA$26:$FG$26,1,DK316),0,1-INDEX('Lease Cycles'!$EM$26:$ES$26,1,DK316)),DK319*IF(DK317&lt;INDEX('Lease Cycles'!$DK$26:$DQ$26,1,DK316),0,IF(DK317=INDEX('Lease Cycles'!$DK$26:$DQ$26,1,DK316),1-INDEX('Lease Cycles'!$DR$26:$DX$26,1,DK316),1))),0)</f>
        <v>0</v>
      </c>
      <c r="DL322" s="28">
        <f>IF(DL318=1,IF(INDEX('Lease Cycles'!$EF$26:$EL$26,1,DL316)=1,DL319*INDEX('Lease Cycles'!$EM$26:$ES$26,1,DL316)+DL320*IF(DL317&lt;INDEX('Lease Cycles'!$FA$26:$FG$26,1,DL316),0,1-INDEX('Lease Cycles'!$EM$26:$ES$26,1,DL316)),DL319*IF(DL317&lt;INDEX('Lease Cycles'!$DK$26:$DQ$26,1,DL316),0,IF(DL317=INDEX('Lease Cycles'!$DK$26:$DQ$26,1,DL316),1-INDEX('Lease Cycles'!$DR$26:$DX$26,1,DL316),1))),0)</f>
        <v>0</v>
      </c>
      <c r="DM322" s="28">
        <f>IF(DM318=1,IF(INDEX('Lease Cycles'!$EF$26:$EL$26,1,DM316)=1,DM319*INDEX('Lease Cycles'!$EM$26:$ES$26,1,DM316)+DM320*IF(DM317&lt;INDEX('Lease Cycles'!$FA$26:$FG$26,1,DM316),0,1-INDEX('Lease Cycles'!$EM$26:$ES$26,1,DM316)),DM319*IF(DM317&lt;INDEX('Lease Cycles'!$DK$26:$DQ$26,1,DM316),0,IF(DM317=INDEX('Lease Cycles'!$DK$26:$DQ$26,1,DM316),1-INDEX('Lease Cycles'!$DR$26:$DX$26,1,DM316),1))),0)</f>
        <v>0</v>
      </c>
      <c r="DN322" s="28">
        <f>IF(DN318=1,IF(INDEX('Lease Cycles'!$EF$26:$EL$26,1,DN316)=1,DN319*INDEX('Lease Cycles'!$EM$26:$ES$26,1,DN316)+DN320*IF(DN317&lt;INDEX('Lease Cycles'!$FA$26:$FG$26,1,DN316),0,1-INDEX('Lease Cycles'!$EM$26:$ES$26,1,DN316)),DN319*IF(DN317&lt;INDEX('Lease Cycles'!$DK$26:$DQ$26,1,DN316),0,IF(DN317=INDEX('Lease Cycles'!$DK$26:$DQ$26,1,DN316),1-INDEX('Lease Cycles'!$DR$26:$DX$26,1,DN316),1))),0)</f>
        <v>0</v>
      </c>
      <c r="DO322" s="28">
        <f>IF(DO318=1,IF(INDEX('Lease Cycles'!$EF$26:$EL$26,1,DO316)=1,DO319*INDEX('Lease Cycles'!$EM$26:$ES$26,1,DO316)+DO320*IF(DO317&lt;INDEX('Lease Cycles'!$FA$26:$FG$26,1,DO316),0,1-INDEX('Lease Cycles'!$EM$26:$ES$26,1,DO316)),DO319*IF(DO317&lt;INDEX('Lease Cycles'!$DK$26:$DQ$26,1,DO316),0,IF(DO317=INDEX('Lease Cycles'!$DK$26:$DQ$26,1,DO316),1-INDEX('Lease Cycles'!$DR$26:$DX$26,1,DO316),1))),0)</f>
        <v>0</v>
      </c>
      <c r="DP322" s="28">
        <f>IF(DP318=1,IF(INDEX('Lease Cycles'!$EF$26:$EL$26,1,DP316)=1,DP319*INDEX('Lease Cycles'!$EM$26:$ES$26,1,DP316)+DP320*IF(DP317&lt;INDEX('Lease Cycles'!$FA$26:$FG$26,1,DP316),0,1-INDEX('Lease Cycles'!$EM$26:$ES$26,1,DP316)),DP319*IF(DP317&lt;INDEX('Lease Cycles'!$DK$26:$DQ$26,1,DP316),0,IF(DP317=INDEX('Lease Cycles'!$DK$26:$DQ$26,1,DP316),1-INDEX('Lease Cycles'!$DR$26:$DX$26,1,DP316),1))),0)</f>
        <v>0</v>
      </c>
      <c r="DQ322" s="28">
        <f>IF(DQ318=1,IF(INDEX('Lease Cycles'!$EF$26:$EL$26,1,DQ316)=1,DQ319*INDEX('Lease Cycles'!$EM$26:$ES$26,1,DQ316)+DQ320*IF(DQ317&lt;INDEX('Lease Cycles'!$FA$26:$FG$26,1,DQ316),0,1-INDEX('Lease Cycles'!$EM$26:$ES$26,1,DQ316)),DQ319*IF(DQ317&lt;INDEX('Lease Cycles'!$DK$26:$DQ$26,1,DQ316),0,IF(DQ317=INDEX('Lease Cycles'!$DK$26:$DQ$26,1,DQ316),1-INDEX('Lease Cycles'!$DR$26:$DX$26,1,DQ316),1))),0)</f>
        <v>0</v>
      </c>
      <c r="DR322" s="28">
        <f>IF(DR318=1,IF(INDEX('Lease Cycles'!$EF$26:$EL$26,1,DR316)=1,DR319*INDEX('Lease Cycles'!$EM$26:$ES$26,1,DR316)+DR320*IF(DR317&lt;INDEX('Lease Cycles'!$FA$26:$FG$26,1,DR316),0,1-INDEX('Lease Cycles'!$EM$26:$ES$26,1,DR316)),DR319*IF(DR317&lt;INDEX('Lease Cycles'!$DK$26:$DQ$26,1,DR316),0,IF(DR317=INDEX('Lease Cycles'!$DK$26:$DQ$26,1,DR316),1-INDEX('Lease Cycles'!$DR$26:$DX$26,1,DR316),1))),0)</f>
        <v>0</v>
      </c>
      <c r="DS322" s="28">
        <f>IF(DS318=1,IF(INDEX('Lease Cycles'!$EF$26:$EL$26,1,DS316)=1,DS319*INDEX('Lease Cycles'!$EM$26:$ES$26,1,DS316)+DS320*IF(DS317&lt;INDEX('Lease Cycles'!$FA$26:$FG$26,1,DS316),0,1-INDEX('Lease Cycles'!$EM$26:$ES$26,1,DS316)),DS319*IF(DS317&lt;INDEX('Lease Cycles'!$DK$26:$DQ$26,1,DS316),0,IF(DS317=INDEX('Lease Cycles'!$DK$26:$DQ$26,1,DS316),1-INDEX('Lease Cycles'!$DR$26:$DX$26,1,DS316),1))),0)</f>
        <v>0</v>
      </c>
      <c r="DT322" s="28">
        <f>IF(DT318=1,IF(INDEX('Lease Cycles'!$EF$26:$EL$26,1,DT316)=1,DT319*INDEX('Lease Cycles'!$EM$26:$ES$26,1,DT316)+DT320*IF(DT317&lt;INDEX('Lease Cycles'!$FA$26:$FG$26,1,DT316),0,1-INDEX('Lease Cycles'!$EM$26:$ES$26,1,DT316)),DT319*IF(DT317&lt;INDEX('Lease Cycles'!$DK$26:$DQ$26,1,DT316),0,IF(DT317=INDEX('Lease Cycles'!$DK$26:$DQ$26,1,DT316),1-INDEX('Lease Cycles'!$DR$26:$DX$26,1,DT316),1))),0)</f>
        <v>0</v>
      </c>
      <c r="DU322" s="28">
        <f>IF(DU318=1,IF(INDEX('Lease Cycles'!$EF$26:$EL$26,1,DU316)=1,DU319*INDEX('Lease Cycles'!$EM$26:$ES$26,1,DU316)+DU320*IF(DU317&lt;INDEX('Lease Cycles'!$FA$26:$FG$26,1,DU316),0,1-INDEX('Lease Cycles'!$EM$26:$ES$26,1,DU316)),DU319*IF(DU317&lt;INDEX('Lease Cycles'!$DK$26:$DQ$26,1,DU316),0,IF(DU317=INDEX('Lease Cycles'!$DK$26:$DQ$26,1,DU316),1-INDEX('Lease Cycles'!$DR$26:$DX$26,1,DU316),1))),0)</f>
        <v>0</v>
      </c>
      <c r="DV322" s="28">
        <f>IF(DV318=1,IF(INDEX('Lease Cycles'!$EF$26:$EL$26,1,DV316)=1,DV319*INDEX('Lease Cycles'!$EM$26:$ES$26,1,DV316)+DV320*IF(DV317&lt;INDEX('Lease Cycles'!$FA$26:$FG$26,1,DV316),0,1-INDEX('Lease Cycles'!$EM$26:$ES$26,1,DV316)),DV319*IF(DV317&lt;INDEX('Lease Cycles'!$DK$26:$DQ$26,1,DV316),0,IF(DV317=INDEX('Lease Cycles'!$DK$26:$DQ$26,1,DV316),1-INDEX('Lease Cycles'!$DR$26:$DX$26,1,DV316),1))),0)</f>
        <v>0</v>
      </c>
      <c r="DW322" s="28">
        <f>IF(DW318=1,IF(INDEX('Lease Cycles'!$EF$26:$EL$26,1,DW316)=1,DW319*INDEX('Lease Cycles'!$EM$26:$ES$26,1,DW316)+DW320*IF(DW317&lt;INDEX('Lease Cycles'!$FA$26:$FG$26,1,DW316),0,1-INDEX('Lease Cycles'!$EM$26:$ES$26,1,DW316)),DW319*IF(DW317&lt;INDEX('Lease Cycles'!$DK$26:$DQ$26,1,DW316),0,IF(DW317=INDEX('Lease Cycles'!$DK$26:$DQ$26,1,DW316),1-INDEX('Lease Cycles'!$DR$26:$DX$26,1,DW316),1))),0)</f>
        <v>0</v>
      </c>
      <c r="DX322" s="28">
        <f>IF(DX318=1,IF(INDEX('Lease Cycles'!$EF$26:$EL$26,1,DX316)=1,DX319*INDEX('Lease Cycles'!$EM$26:$ES$26,1,DX316)+DX320*IF(DX317&lt;INDEX('Lease Cycles'!$FA$26:$FG$26,1,DX316),0,1-INDEX('Lease Cycles'!$EM$26:$ES$26,1,DX316)),DX319*IF(DX317&lt;INDEX('Lease Cycles'!$DK$26:$DQ$26,1,DX316),0,IF(DX317=INDEX('Lease Cycles'!$DK$26:$DQ$26,1,DX316),1-INDEX('Lease Cycles'!$DR$26:$DX$26,1,DX316),1))),0)</f>
        <v>0</v>
      </c>
      <c r="DY322" s="28">
        <f>IF(DY318=1,IF(INDEX('Lease Cycles'!$EF$26:$EL$26,1,DY316)=1,DY319*INDEX('Lease Cycles'!$EM$26:$ES$26,1,DY316)+DY320*IF(DY317&lt;INDEX('Lease Cycles'!$FA$26:$FG$26,1,DY316),0,1-INDEX('Lease Cycles'!$EM$26:$ES$26,1,DY316)),DY319*IF(DY317&lt;INDEX('Lease Cycles'!$DK$26:$DQ$26,1,DY316),0,IF(DY317=INDEX('Lease Cycles'!$DK$26:$DQ$26,1,DY316),1-INDEX('Lease Cycles'!$DR$26:$DX$26,1,DY316),1))),0)</f>
        <v>0</v>
      </c>
      <c r="DZ322" s="28">
        <f>IF(DZ318=1,IF(INDEX('Lease Cycles'!$EF$26:$EL$26,1,DZ316)=1,DZ319*INDEX('Lease Cycles'!$EM$26:$ES$26,1,DZ316)+DZ320*IF(DZ317&lt;INDEX('Lease Cycles'!$FA$26:$FG$26,1,DZ316),0,1-INDEX('Lease Cycles'!$EM$26:$ES$26,1,DZ316)),DZ319*IF(DZ317&lt;INDEX('Lease Cycles'!$DK$26:$DQ$26,1,DZ316),0,IF(DZ317=INDEX('Lease Cycles'!$DK$26:$DQ$26,1,DZ316),1-INDEX('Lease Cycles'!$DR$26:$DX$26,1,DZ316),1))),0)</f>
        <v>0</v>
      </c>
      <c r="EA322" s="28">
        <f>IF(EA318=1,IF(INDEX('Lease Cycles'!$EF$26:$EL$26,1,EA316)=1,EA319*INDEX('Lease Cycles'!$EM$26:$ES$26,1,EA316)+EA320*IF(EA317&lt;INDEX('Lease Cycles'!$FA$26:$FG$26,1,EA316),0,1-INDEX('Lease Cycles'!$EM$26:$ES$26,1,EA316)),EA319*IF(EA317&lt;INDEX('Lease Cycles'!$DK$26:$DQ$26,1,EA316),0,IF(EA317=INDEX('Lease Cycles'!$DK$26:$DQ$26,1,EA316),1-INDEX('Lease Cycles'!$DR$26:$DX$26,1,EA316),1))),0)</f>
        <v>0</v>
      </c>
      <c r="EB322" s="28">
        <f>IF(EB318=1,IF(INDEX('Lease Cycles'!$EF$26:$EL$26,1,EB316)=1,EB319*INDEX('Lease Cycles'!$EM$26:$ES$26,1,EB316)+EB320*IF(EB317&lt;INDEX('Lease Cycles'!$FA$26:$FG$26,1,EB316),0,1-INDEX('Lease Cycles'!$EM$26:$ES$26,1,EB316)),EB319*IF(EB317&lt;INDEX('Lease Cycles'!$DK$26:$DQ$26,1,EB316),0,IF(EB317=INDEX('Lease Cycles'!$DK$26:$DQ$26,1,EB316),1-INDEX('Lease Cycles'!$DR$26:$DX$26,1,EB316),1))),0)</f>
        <v>0</v>
      </c>
      <c r="EC322" s="28">
        <f>IF(EC318=1,IF(INDEX('Lease Cycles'!$EF$26:$EL$26,1,EC316)=1,EC319*INDEX('Lease Cycles'!$EM$26:$ES$26,1,EC316)+EC320*IF(EC317&lt;INDEX('Lease Cycles'!$FA$26:$FG$26,1,EC316),0,1-INDEX('Lease Cycles'!$EM$26:$ES$26,1,EC316)),EC319*IF(EC317&lt;INDEX('Lease Cycles'!$DK$26:$DQ$26,1,EC316),0,IF(EC317=INDEX('Lease Cycles'!$DK$26:$DQ$26,1,EC316),1-INDEX('Lease Cycles'!$DR$26:$DX$26,1,EC316),1))),0)</f>
        <v>0</v>
      </c>
      <c r="ED322" s="28">
        <f>IF(ED318=1,IF(INDEX('Lease Cycles'!$EF$26:$EL$26,1,ED316)=1,ED319*INDEX('Lease Cycles'!$EM$26:$ES$26,1,ED316)+ED320*IF(ED317&lt;INDEX('Lease Cycles'!$FA$26:$FG$26,1,ED316),0,1-INDEX('Lease Cycles'!$EM$26:$ES$26,1,ED316)),ED319*IF(ED317&lt;INDEX('Lease Cycles'!$DK$26:$DQ$26,1,ED316),0,IF(ED317=INDEX('Lease Cycles'!$DK$26:$DQ$26,1,ED316),1-INDEX('Lease Cycles'!$DR$26:$DX$26,1,ED316),1))),0)</f>
        <v>0</v>
      </c>
      <c r="EE322" s="28">
        <f>IF(EE318=1,IF(INDEX('Lease Cycles'!$EF$26:$EL$26,1,EE316)=1,EE319*INDEX('Lease Cycles'!$EM$26:$ES$26,1,EE316)+EE320*IF(EE317&lt;INDEX('Lease Cycles'!$FA$26:$FG$26,1,EE316),0,1-INDEX('Lease Cycles'!$EM$26:$ES$26,1,EE316)),EE319*IF(EE317&lt;INDEX('Lease Cycles'!$DK$26:$DQ$26,1,EE316),0,IF(EE317=INDEX('Lease Cycles'!$DK$26:$DQ$26,1,EE316),1-INDEX('Lease Cycles'!$DR$26:$DX$26,1,EE316),1))),0)</f>
        <v>0</v>
      </c>
      <c r="EF322" s="28">
        <f>IF(EF318=1,IF(INDEX('Lease Cycles'!$EF$26:$EL$26,1,EF316)=1,EF319*INDEX('Lease Cycles'!$EM$26:$ES$26,1,EF316)+EF320*IF(EF317&lt;INDEX('Lease Cycles'!$FA$26:$FG$26,1,EF316),0,1-INDEX('Lease Cycles'!$EM$26:$ES$26,1,EF316)),EF319*IF(EF317&lt;INDEX('Lease Cycles'!$DK$26:$DQ$26,1,EF316),0,IF(EF317=INDEX('Lease Cycles'!$DK$26:$DQ$26,1,EF316),1-INDEX('Lease Cycles'!$DR$26:$DX$26,1,EF316),1))),0)</f>
        <v>0</v>
      </c>
      <c r="EG322" s="28">
        <f>IF(EG318=1,IF(INDEX('Lease Cycles'!$EF$26:$EL$26,1,EG316)=1,EG319*INDEX('Lease Cycles'!$EM$26:$ES$26,1,EG316)+EG320*IF(EG317&lt;INDEX('Lease Cycles'!$FA$26:$FG$26,1,EG316),0,1-INDEX('Lease Cycles'!$EM$26:$ES$26,1,EG316)),EG319*IF(EG317&lt;INDEX('Lease Cycles'!$DK$26:$DQ$26,1,EG316),0,IF(EG317=INDEX('Lease Cycles'!$DK$26:$DQ$26,1,EG316),1-INDEX('Lease Cycles'!$DR$26:$DX$26,1,EG316),1))),0)</f>
        <v>0</v>
      </c>
      <c r="EH322" s="28">
        <f>IF(EH318=1,IF(INDEX('Lease Cycles'!$EF$26:$EL$26,1,EH316)=1,EH319*INDEX('Lease Cycles'!$EM$26:$ES$26,1,EH316)+EH320*IF(EH317&lt;INDEX('Lease Cycles'!$FA$26:$FG$26,1,EH316),0,1-INDEX('Lease Cycles'!$EM$26:$ES$26,1,EH316)),EH319*IF(EH317&lt;INDEX('Lease Cycles'!$DK$26:$DQ$26,1,EH316),0,IF(EH317=INDEX('Lease Cycles'!$DK$26:$DQ$26,1,EH316),1-INDEX('Lease Cycles'!$DR$26:$DX$26,1,EH316),1))),0)</f>
        <v>0</v>
      </c>
      <c r="EI322" s="28">
        <f>IF(EI318=1,IF(INDEX('Lease Cycles'!$EF$26:$EL$26,1,EI316)=1,EI319*INDEX('Lease Cycles'!$EM$26:$ES$26,1,EI316)+EI320*IF(EI317&lt;INDEX('Lease Cycles'!$FA$26:$FG$26,1,EI316),0,1-INDEX('Lease Cycles'!$EM$26:$ES$26,1,EI316)),EI319*IF(EI317&lt;INDEX('Lease Cycles'!$DK$26:$DQ$26,1,EI316),0,IF(EI317=INDEX('Lease Cycles'!$DK$26:$DQ$26,1,EI316),1-INDEX('Lease Cycles'!$DR$26:$DX$26,1,EI316),1))),0)</f>
        <v>0</v>
      </c>
      <c r="EJ322" s="28">
        <f>IF(EJ318=1,IF(INDEX('Lease Cycles'!$EF$26:$EL$26,1,EJ316)=1,EJ319*INDEX('Lease Cycles'!$EM$26:$ES$26,1,EJ316)+EJ320*IF(EJ317&lt;INDEX('Lease Cycles'!$FA$26:$FG$26,1,EJ316),0,1-INDEX('Lease Cycles'!$EM$26:$ES$26,1,EJ316)),EJ319*IF(EJ317&lt;INDEX('Lease Cycles'!$DK$26:$DQ$26,1,EJ316),0,IF(EJ317=INDEX('Lease Cycles'!$DK$26:$DQ$26,1,EJ316),1-INDEX('Lease Cycles'!$DR$26:$DX$26,1,EJ316),1))),0)</f>
        <v>0</v>
      </c>
      <c r="EK322" s="28">
        <f>IF(EK318=1,IF(INDEX('Lease Cycles'!$EF$26:$EL$26,1,EK316)=1,EK319*INDEX('Lease Cycles'!$EM$26:$ES$26,1,EK316)+EK320*IF(EK317&lt;INDEX('Lease Cycles'!$FA$26:$FG$26,1,EK316),0,1-INDEX('Lease Cycles'!$EM$26:$ES$26,1,EK316)),EK319*IF(EK317&lt;INDEX('Lease Cycles'!$DK$26:$DQ$26,1,EK316),0,IF(EK317=INDEX('Lease Cycles'!$DK$26:$DQ$26,1,EK316),1-INDEX('Lease Cycles'!$DR$26:$DX$26,1,EK316),1))),0)</f>
        <v>0</v>
      </c>
      <c r="EL322" s="28">
        <f>IF(EL318=1,IF(INDEX('Lease Cycles'!$EF$26:$EL$26,1,EL316)=1,EL319*INDEX('Lease Cycles'!$EM$26:$ES$26,1,EL316)+EL320*IF(EL317&lt;INDEX('Lease Cycles'!$FA$26:$FG$26,1,EL316),0,1-INDEX('Lease Cycles'!$EM$26:$ES$26,1,EL316)),EL319*IF(EL317&lt;INDEX('Lease Cycles'!$DK$26:$DQ$26,1,EL316),0,IF(EL317=INDEX('Lease Cycles'!$DK$26:$DQ$26,1,EL316),1-INDEX('Lease Cycles'!$DR$26:$DX$26,1,EL316),1))),0)</f>
        <v>0</v>
      </c>
      <c r="EM322" s="28">
        <f>IF(EM318=1,IF(INDEX('Lease Cycles'!$EF$26:$EL$26,1,EM316)=1,EM319*INDEX('Lease Cycles'!$EM$26:$ES$26,1,EM316)+EM320*IF(EM317&lt;INDEX('Lease Cycles'!$FA$26:$FG$26,1,EM316),0,1-INDEX('Lease Cycles'!$EM$26:$ES$26,1,EM316)),EM319*IF(EM317&lt;INDEX('Lease Cycles'!$DK$26:$DQ$26,1,EM316),0,IF(EM317=INDEX('Lease Cycles'!$DK$26:$DQ$26,1,EM316),1-INDEX('Lease Cycles'!$DR$26:$DX$26,1,EM316),1))),0)</f>
        <v>0</v>
      </c>
      <c r="EN322" s="28">
        <f>IF(EN318=1,IF(INDEX('Lease Cycles'!$EF$26:$EL$26,1,EN316)=1,EN319*INDEX('Lease Cycles'!$EM$26:$ES$26,1,EN316)+EN320*IF(EN317&lt;INDEX('Lease Cycles'!$FA$26:$FG$26,1,EN316),0,1-INDEX('Lease Cycles'!$EM$26:$ES$26,1,EN316)),EN319*IF(EN317&lt;INDEX('Lease Cycles'!$DK$26:$DQ$26,1,EN316),0,IF(EN317=INDEX('Lease Cycles'!$DK$26:$DQ$26,1,EN316),1-INDEX('Lease Cycles'!$DR$26:$DX$26,1,EN316),1))),0)</f>
        <v>0</v>
      </c>
      <c r="EO322" s="28">
        <f>IF(EO318=1,IF(INDEX('Lease Cycles'!$EF$26:$EL$26,1,EO316)=1,EO319*INDEX('Lease Cycles'!$EM$26:$ES$26,1,EO316)+EO320*IF(EO317&lt;INDEX('Lease Cycles'!$FA$26:$FG$26,1,EO316),0,1-INDEX('Lease Cycles'!$EM$26:$ES$26,1,EO316)),EO319*IF(EO317&lt;INDEX('Lease Cycles'!$DK$26:$DQ$26,1,EO316),0,IF(EO317=INDEX('Lease Cycles'!$DK$26:$DQ$26,1,EO316),1-INDEX('Lease Cycles'!$DR$26:$DX$26,1,EO316),1))),0)</f>
        <v>0</v>
      </c>
      <c r="EP322" s="28">
        <f>IF(EP318=1,IF(INDEX('Lease Cycles'!$EF$26:$EL$26,1,EP316)=1,EP319*INDEX('Lease Cycles'!$EM$26:$ES$26,1,EP316)+EP320*IF(EP317&lt;INDEX('Lease Cycles'!$FA$26:$FG$26,1,EP316),0,1-INDEX('Lease Cycles'!$EM$26:$ES$26,1,EP316)),EP319*IF(EP317&lt;INDEX('Lease Cycles'!$DK$26:$DQ$26,1,EP316),0,IF(EP317=INDEX('Lease Cycles'!$DK$26:$DQ$26,1,EP316),1-INDEX('Lease Cycles'!$DR$26:$DX$26,1,EP316),1))),0)</f>
        <v>0</v>
      </c>
      <c r="EQ322" s="28">
        <f>IF(EQ318=1,IF(INDEX('Lease Cycles'!$EF$26:$EL$26,1,EQ316)=1,EQ319*INDEX('Lease Cycles'!$EM$26:$ES$26,1,EQ316)+EQ320*IF(EQ317&lt;INDEX('Lease Cycles'!$FA$26:$FG$26,1,EQ316),0,1-INDEX('Lease Cycles'!$EM$26:$ES$26,1,EQ316)),EQ319*IF(EQ317&lt;INDEX('Lease Cycles'!$DK$26:$DQ$26,1,EQ316),0,IF(EQ317=INDEX('Lease Cycles'!$DK$26:$DQ$26,1,EQ316),1-INDEX('Lease Cycles'!$DR$26:$DX$26,1,EQ316),1))),0)</f>
        <v>0</v>
      </c>
      <c r="ER322" s="28">
        <f>IF(ER318=1,IF(INDEX('Lease Cycles'!$EF$26:$EL$26,1,ER316)=1,ER319*INDEX('Lease Cycles'!$EM$26:$ES$26,1,ER316)+ER320*IF(ER317&lt;INDEX('Lease Cycles'!$FA$26:$FG$26,1,ER316),0,1-INDEX('Lease Cycles'!$EM$26:$ES$26,1,ER316)),ER319*IF(ER317&lt;INDEX('Lease Cycles'!$DK$26:$DQ$26,1,ER316),0,IF(ER317=INDEX('Lease Cycles'!$DK$26:$DQ$26,1,ER316),1-INDEX('Lease Cycles'!$DR$26:$DX$26,1,ER316),1))),0)</f>
        <v>0</v>
      </c>
      <c r="ES322" s="28">
        <f>IF(ES318=1,IF(INDEX('Lease Cycles'!$EF$26:$EL$26,1,ES316)=1,ES319*INDEX('Lease Cycles'!$EM$26:$ES$26,1,ES316)+ES320*IF(ES317&lt;INDEX('Lease Cycles'!$FA$26:$FG$26,1,ES316),0,1-INDEX('Lease Cycles'!$EM$26:$ES$26,1,ES316)),ES319*IF(ES317&lt;INDEX('Lease Cycles'!$DK$26:$DQ$26,1,ES316),0,IF(ES317=INDEX('Lease Cycles'!$DK$26:$DQ$26,1,ES316),1-INDEX('Lease Cycles'!$DR$26:$DX$26,1,ES316),1))),0)</f>
        <v>0</v>
      </c>
      <c r="ET322" s="28">
        <f>IF(ET318=1,IF(INDEX('Lease Cycles'!$EF$26:$EL$26,1,ET316)=1,ET319*INDEX('Lease Cycles'!$EM$26:$ES$26,1,ET316)+ET320*IF(ET317&lt;INDEX('Lease Cycles'!$FA$26:$FG$26,1,ET316),0,1-INDEX('Lease Cycles'!$EM$26:$ES$26,1,ET316)),ET319*IF(ET317&lt;INDEX('Lease Cycles'!$DK$26:$DQ$26,1,ET316),0,IF(ET317=INDEX('Lease Cycles'!$DK$26:$DQ$26,1,ET316),1-INDEX('Lease Cycles'!$DR$26:$DX$26,1,ET316),1))),0)</f>
        <v>0</v>
      </c>
    </row>
    <row r="323">
      <c r="A323" s="103">
        <v>19</v>
      </c>
      <c r="B323" s="23" t="str">
        <f>IF('Lease Cycles'!$B$26="","(empty slot)",'Lease Cycles'!$B$26)</f>
        <v>(empty slot)</v>
      </c>
      <c r="C323" s="23" t="s">
        <v>493</v>
      </c>
      <c r="D323" s="104" t="s">
        <v>494</v>
      </c>
      <c r="E323" s="25">
        <f>'Lease Cycles'!$AL$26</f>
        <v>0</v>
      </c>
      <c r="G323" s="28">
        <f>SUM(S323:AD323)</f>
        <v>0</v>
      </c>
      <c r="H323" s="28">
        <f>SUM(AE323:AP323)</f>
        <v>0</v>
      </c>
      <c r="I323" s="28">
        <f>SUM(AQ323:BB323)</f>
        <v>0</v>
      </c>
      <c r="J323" s="28">
        <f>SUM(BC323:BN323)</f>
        <v>0</v>
      </c>
      <c r="K323" s="28">
        <f>SUM(BO323:BZ323)</f>
        <v>0</v>
      </c>
      <c r="L323" s="28">
        <f>SUM(CA323:CL323)</f>
        <v>0</v>
      </c>
      <c r="M323" s="28">
        <f>SUM(CM323:CX323)</f>
        <v>0</v>
      </c>
      <c r="N323" s="28">
        <f>SUM(CY323:DJ323)</f>
        <v>0</v>
      </c>
      <c r="O323" s="28">
        <f>SUM(DK323:DV323)</f>
        <v>0</v>
      </c>
      <c r="P323" s="28">
        <f>SUM(DW323:EH323)</f>
        <v>0</v>
      </c>
      <c r="Q323" s="28">
        <f>SUM(EI323:ET323)</f>
        <v>0</v>
      </c>
      <c r="S323" s="28">
        <f>IF(S318=1,IF(INDEX('Lease Cycles'!$EF$26:$EL$26,1,S316)=1,0,S319*(1-IF(S317&lt;INDEX('Lease Cycles'!$DK$26:$DQ$26,1,S316),0,IF(S317=INDEX('Lease Cycles'!$DK$26:$DQ$26,1,S316),1-INDEX('Lease Cycles'!$DR$26:$DX$26,1,S316),1))-IF(S317=0,INDEX('Lease Cycles'!$DD$26:$DJ$26,1,S316),0))),0)</f>
        <v>0</v>
      </c>
      <c r="T323" s="28">
        <f>IF(T318=1,IF(INDEX('Lease Cycles'!$EF$26:$EL$26,1,T316)=1,0,T319*(1-IF(T317&lt;INDEX('Lease Cycles'!$DK$26:$DQ$26,1,T316),0,IF(T317=INDEX('Lease Cycles'!$DK$26:$DQ$26,1,T316),1-INDEX('Lease Cycles'!$DR$26:$DX$26,1,T316),1))-IF(T317=0,INDEX('Lease Cycles'!$DD$26:$DJ$26,1,T316),0))),0)</f>
        <v>0</v>
      </c>
      <c r="U323" s="28">
        <f>IF(U318=1,IF(INDEX('Lease Cycles'!$EF$26:$EL$26,1,U316)=1,0,U319*(1-IF(U317&lt;INDEX('Lease Cycles'!$DK$26:$DQ$26,1,U316),0,IF(U317=INDEX('Lease Cycles'!$DK$26:$DQ$26,1,U316),1-INDEX('Lease Cycles'!$DR$26:$DX$26,1,U316),1))-IF(U317=0,INDEX('Lease Cycles'!$DD$26:$DJ$26,1,U316),0))),0)</f>
        <v>0</v>
      </c>
      <c r="V323" s="28">
        <f>IF(V318=1,IF(INDEX('Lease Cycles'!$EF$26:$EL$26,1,V316)=1,0,V319*(1-IF(V317&lt;INDEX('Lease Cycles'!$DK$26:$DQ$26,1,V316),0,IF(V317=INDEX('Lease Cycles'!$DK$26:$DQ$26,1,V316),1-INDEX('Lease Cycles'!$DR$26:$DX$26,1,V316),1))-IF(V317=0,INDEX('Lease Cycles'!$DD$26:$DJ$26,1,V316),0))),0)</f>
        <v>0</v>
      </c>
      <c r="W323" s="28">
        <f>IF(W318=1,IF(INDEX('Lease Cycles'!$EF$26:$EL$26,1,W316)=1,0,W319*(1-IF(W317&lt;INDEX('Lease Cycles'!$DK$26:$DQ$26,1,W316),0,IF(W317=INDEX('Lease Cycles'!$DK$26:$DQ$26,1,W316),1-INDEX('Lease Cycles'!$DR$26:$DX$26,1,W316),1))-IF(W317=0,INDEX('Lease Cycles'!$DD$26:$DJ$26,1,W316),0))),0)</f>
        <v>0</v>
      </c>
      <c r="X323" s="28">
        <f>IF(X318=1,IF(INDEX('Lease Cycles'!$EF$26:$EL$26,1,X316)=1,0,X319*(1-IF(X317&lt;INDEX('Lease Cycles'!$DK$26:$DQ$26,1,X316),0,IF(X317=INDEX('Lease Cycles'!$DK$26:$DQ$26,1,X316),1-INDEX('Lease Cycles'!$DR$26:$DX$26,1,X316),1))-IF(X317=0,INDEX('Lease Cycles'!$DD$26:$DJ$26,1,X316),0))),0)</f>
        <v>0</v>
      </c>
      <c r="Y323" s="28">
        <f>IF(Y318=1,IF(INDEX('Lease Cycles'!$EF$26:$EL$26,1,Y316)=1,0,Y319*(1-IF(Y317&lt;INDEX('Lease Cycles'!$DK$26:$DQ$26,1,Y316),0,IF(Y317=INDEX('Lease Cycles'!$DK$26:$DQ$26,1,Y316),1-INDEX('Lease Cycles'!$DR$26:$DX$26,1,Y316),1))-IF(Y317=0,INDEX('Lease Cycles'!$DD$26:$DJ$26,1,Y316),0))),0)</f>
        <v>0</v>
      </c>
      <c r="Z323" s="28">
        <f>IF(Z318=1,IF(INDEX('Lease Cycles'!$EF$26:$EL$26,1,Z316)=1,0,Z319*(1-IF(Z317&lt;INDEX('Lease Cycles'!$DK$26:$DQ$26,1,Z316),0,IF(Z317=INDEX('Lease Cycles'!$DK$26:$DQ$26,1,Z316),1-INDEX('Lease Cycles'!$DR$26:$DX$26,1,Z316),1))-IF(Z317=0,INDEX('Lease Cycles'!$DD$26:$DJ$26,1,Z316),0))),0)</f>
        <v>0</v>
      </c>
      <c r="AA323" s="28">
        <f>IF(AA318=1,IF(INDEX('Lease Cycles'!$EF$26:$EL$26,1,AA316)=1,0,AA319*(1-IF(AA317&lt;INDEX('Lease Cycles'!$DK$26:$DQ$26,1,AA316),0,IF(AA317=INDEX('Lease Cycles'!$DK$26:$DQ$26,1,AA316),1-INDEX('Lease Cycles'!$DR$26:$DX$26,1,AA316),1))-IF(AA317=0,INDEX('Lease Cycles'!$DD$26:$DJ$26,1,AA316),0))),0)</f>
        <v>0</v>
      </c>
      <c r="AB323" s="28">
        <f>IF(AB318=1,IF(INDEX('Lease Cycles'!$EF$26:$EL$26,1,AB316)=1,0,AB319*(1-IF(AB317&lt;INDEX('Lease Cycles'!$DK$26:$DQ$26,1,AB316),0,IF(AB317=INDEX('Lease Cycles'!$DK$26:$DQ$26,1,AB316),1-INDEX('Lease Cycles'!$DR$26:$DX$26,1,AB316),1))-IF(AB317=0,INDEX('Lease Cycles'!$DD$26:$DJ$26,1,AB316),0))),0)</f>
        <v>0</v>
      </c>
      <c r="AC323" s="28">
        <f>IF(AC318=1,IF(INDEX('Lease Cycles'!$EF$26:$EL$26,1,AC316)=1,0,AC319*(1-IF(AC317&lt;INDEX('Lease Cycles'!$DK$26:$DQ$26,1,AC316),0,IF(AC317=INDEX('Lease Cycles'!$DK$26:$DQ$26,1,AC316),1-INDEX('Lease Cycles'!$DR$26:$DX$26,1,AC316),1))-IF(AC317=0,INDEX('Lease Cycles'!$DD$26:$DJ$26,1,AC316),0))),0)</f>
        <v>0</v>
      </c>
      <c r="AD323" s="28">
        <f>IF(AD318=1,IF(INDEX('Lease Cycles'!$EF$26:$EL$26,1,AD316)=1,0,AD319*(1-IF(AD317&lt;INDEX('Lease Cycles'!$DK$26:$DQ$26,1,AD316),0,IF(AD317=INDEX('Lease Cycles'!$DK$26:$DQ$26,1,AD316),1-INDEX('Lease Cycles'!$DR$26:$DX$26,1,AD316),1))-IF(AD317=0,INDEX('Lease Cycles'!$DD$26:$DJ$26,1,AD316),0))),0)</f>
        <v>0</v>
      </c>
      <c r="AE323" s="28">
        <f>IF(AE318=1,IF(INDEX('Lease Cycles'!$EF$26:$EL$26,1,AE316)=1,0,AE319*(1-IF(AE317&lt;INDEX('Lease Cycles'!$DK$26:$DQ$26,1,AE316),0,IF(AE317=INDEX('Lease Cycles'!$DK$26:$DQ$26,1,AE316),1-INDEX('Lease Cycles'!$DR$26:$DX$26,1,AE316),1))-IF(AE317=0,INDEX('Lease Cycles'!$DD$26:$DJ$26,1,AE316),0))),0)</f>
        <v>0</v>
      </c>
      <c r="AF323" s="28">
        <f>IF(AF318=1,IF(INDEX('Lease Cycles'!$EF$26:$EL$26,1,AF316)=1,0,AF319*(1-IF(AF317&lt;INDEX('Lease Cycles'!$DK$26:$DQ$26,1,AF316),0,IF(AF317=INDEX('Lease Cycles'!$DK$26:$DQ$26,1,AF316),1-INDEX('Lease Cycles'!$DR$26:$DX$26,1,AF316),1))-IF(AF317=0,INDEX('Lease Cycles'!$DD$26:$DJ$26,1,AF316),0))),0)</f>
        <v>0</v>
      </c>
      <c r="AG323" s="28">
        <f>IF(AG318=1,IF(INDEX('Lease Cycles'!$EF$26:$EL$26,1,AG316)=1,0,AG319*(1-IF(AG317&lt;INDEX('Lease Cycles'!$DK$26:$DQ$26,1,AG316),0,IF(AG317=INDEX('Lease Cycles'!$DK$26:$DQ$26,1,AG316),1-INDEX('Lease Cycles'!$DR$26:$DX$26,1,AG316),1))-IF(AG317=0,INDEX('Lease Cycles'!$DD$26:$DJ$26,1,AG316),0))),0)</f>
        <v>0</v>
      </c>
      <c r="AH323" s="28">
        <f>IF(AH318=1,IF(INDEX('Lease Cycles'!$EF$26:$EL$26,1,AH316)=1,0,AH319*(1-IF(AH317&lt;INDEX('Lease Cycles'!$DK$26:$DQ$26,1,AH316),0,IF(AH317=INDEX('Lease Cycles'!$DK$26:$DQ$26,1,AH316),1-INDEX('Lease Cycles'!$DR$26:$DX$26,1,AH316),1))-IF(AH317=0,INDEX('Lease Cycles'!$DD$26:$DJ$26,1,AH316),0))),0)</f>
        <v>0</v>
      </c>
      <c r="AI323" s="28">
        <f>IF(AI318=1,IF(INDEX('Lease Cycles'!$EF$26:$EL$26,1,AI316)=1,0,AI319*(1-IF(AI317&lt;INDEX('Lease Cycles'!$DK$26:$DQ$26,1,AI316),0,IF(AI317=INDEX('Lease Cycles'!$DK$26:$DQ$26,1,AI316),1-INDEX('Lease Cycles'!$DR$26:$DX$26,1,AI316),1))-IF(AI317=0,INDEX('Lease Cycles'!$DD$26:$DJ$26,1,AI316),0))),0)</f>
        <v>0</v>
      </c>
      <c r="AJ323" s="28">
        <f>IF(AJ318=1,IF(INDEX('Lease Cycles'!$EF$26:$EL$26,1,AJ316)=1,0,AJ319*(1-IF(AJ317&lt;INDEX('Lease Cycles'!$DK$26:$DQ$26,1,AJ316),0,IF(AJ317=INDEX('Lease Cycles'!$DK$26:$DQ$26,1,AJ316),1-INDEX('Lease Cycles'!$DR$26:$DX$26,1,AJ316),1))-IF(AJ317=0,INDEX('Lease Cycles'!$DD$26:$DJ$26,1,AJ316),0))),0)</f>
        <v>0</v>
      </c>
      <c r="AK323" s="28">
        <f>IF(AK318=1,IF(INDEX('Lease Cycles'!$EF$26:$EL$26,1,AK316)=1,0,AK319*(1-IF(AK317&lt;INDEX('Lease Cycles'!$DK$26:$DQ$26,1,AK316),0,IF(AK317=INDEX('Lease Cycles'!$DK$26:$DQ$26,1,AK316),1-INDEX('Lease Cycles'!$DR$26:$DX$26,1,AK316),1))-IF(AK317=0,INDEX('Lease Cycles'!$DD$26:$DJ$26,1,AK316),0))),0)</f>
        <v>0</v>
      </c>
      <c r="AL323" s="28">
        <f>IF(AL318=1,IF(INDEX('Lease Cycles'!$EF$26:$EL$26,1,AL316)=1,0,AL319*(1-IF(AL317&lt;INDEX('Lease Cycles'!$DK$26:$DQ$26,1,AL316),0,IF(AL317=INDEX('Lease Cycles'!$DK$26:$DQ$26,1,AL316),1-INDEX('Lease Cycles'!$DR$26:$DX$26,1,AL316),1))-IF(AL317=0,INDEX('Lease Cycles'!$DD$26:$DJ$26,1,AL316),0))),0)</f>
        <v>0</v>
      </c>
      <c r="AM323" s="28">
        <f>IF(AM318=1,IF(INDEX('Lease Cycles'!$EF$26:$EL$26,1,AM316)=1,0,AM319*(1-IF(AM317&lt;INDEX('Lease Cycles'!$DK$26:$DQ$26,1,AM316),0,IF(AM317=INDEX('Lease Cycles'!$DK$26:$DQ$26,1,AM316),1-INDEX('Lease Cycles'!$DR$26:$DX$26,1,AM316),1))-IF(AM317=0,INDEX('Lease Cycles'!$DD$26:$DJ$26,1,AM316),0))),0)</f>
        <v>0</v>
      </c>
      <c r="AN323" s="28">
        <f>IF(AN318=1,IF(INDEX('Lease Cycles'!$EF$26:$EL$26,1,AN316)=1,0,AN319*(1-IF(AN317&lt;INDEX('Lease Cycles'!$DK$26:$DQ$26,1,AN316),0,IF(AN317=INDEX('Lease Cycles'!$DK$26:$DQ$26,1,AN316),1-INDEX('Lease Cycles'!$DR$26:$DX$26,1,AN316),1))-IF(AN317=0,INDEX('Lease Cycles'!$DD$26:$DJ$26,1,AN316),0))),0)</f>
        <v>0</v>
      </c>
      <c r="AO323" s="28">
        <f>IF(AO318=1,IF(INDEX('Lease Cycles'!$EF$26:$EL$26,1,AO316)=1,0,AO319*(1-IF(AO317&lt;INDEX('Lease Cycles'!$DK$26:$DQ$26,1,AO316),0,IF(AO317=INDEX('Lease Cycles'!$DK$26:$DQ$26,1,AO316),1-INDEX('Lease Cycles'!$DR$26:$DX$26,1,AO316),1))-IF(AO317=0,INDEX('Lease Cycles'!$DD$26:$DJ$26,1,AO316),0))),0)</f>
        <v>0</v>
      </c>
      <c r="AP323" s="28">
        <f>IF(AP318=1,IF(INDEX('Lease Cycles'!$EF$26:$EL$26,1,AP316)=1,0,AP319*(1-IF(AP317&lt;INDEX('Lease Cycles'!$DK$26:$DQ$26,1,AP316),0,IF(AP317=INDEX('Lease Cycles'!$DK$26:$DQ$26,1,AP316),1-INDEX('Lease Cycles'!$DR$26:$DX$26,1,AP316),1))-IF(AP317=0,INDEX('Lease Cycles'!$DD$26:$DJ$26,1,AP316),0))),0)</f>
        <v>0</v>
      </c>
      <c r="AQ323" s="28">
        <f>IF(AQ318=1,IF(INDEX('Lease Cycles'!$EF$26:$EL$26,1,AQ316)=1,0,AQ319*(1-IF(AQ317&lt;INDEX('Lease Cycles'!$DK$26:$DQ$26,1,AQ316),0,IF(AQ317=INDEX('Lease Cycles'!$DK$26:$DQ$26,1,AQ316),1-INDEX('Lease Cycles'!$DR$26:$DX$26,1,AQ316),1))-IF(AQ317=0,INDEX('Lease Cycles'!$DD$26:$DJ$26,1,AQ316),0))),0)</f>
        <v>0</v>
      </c>
      <c r="AR323" s="28">
        <f>IF(AR318=1,IF(INDEX('Lease Cycles'!$EF$26:$EL$26,1,AR316)=1,0,AR319*(1-IF(AR317&lt;INDEX('Lease Cycles'!$DK$26:$DQ$26,1,AR316),0,IF(AR317=INDEX('Lease Cycles'!$DK$26:$DQ$26,1,AR316),1-INDEX('Lease Cycles'!$DR$26:$DX$26,1,AR316),1))-IF(AR317=0,INDEX('Lease Cycles'!$DD$26:$DJ$26,1,AR316),0))),0)</f>
        <v>0</v>
      </c>
      <c r="AS323" s="28">
        <f>IF(AS318=1,IF(INDEX('Lease Cycles'!$EF$26:$EL$26,1,AS316)=1,0,AS319*(1-IF(AS317&lt;INDEX('Lease Cycles'!$DK$26:$DQ$26,1,AS316),0,IF(AS317=INDEX('Lease Cycles'!$DK$26:$DQ$26,1,AS316),1-INDEX('Lease Cycles'!$DR$26:$DX$26,1,AS316),1))-IF(AS317=0,INDEX('Lease Cycles'!$DD$26:$DJ$26,1,AS316),0))),0)</f>
        <v>0</v>
      </c>
      <c r="AT323" s="28">
        <f>IF(AT318=1,IF(INDEX('Lease Cycles'!$EF$26:$EL$26,1,AT316)=1,0,AT319*(1-IF(AT317&lt;INDEX('Lease Cycles'!$DK$26:$DQ$26,1,AT316),0,IF(AT317=INDEX('Lease Cycles'!$DK$26:$DQ$26,1,AT316),1-INDEX('Lease Cycles'!$DR$26:$DX$26,1,AT316),1))-IF(AT317=0,INDEX('Lease Cycles'!$DD$26:$DJ$26,1,AT316),0))),0)</f>
        <v>0</v>
      </c>
      <c r="AU323" s="28">
        <f>IF(AU318=1,IF(INDEX('Lease Cycles'!$EF$26:$EL$26,1,AU316)=1,0,AU319*(1-IF(AU317&lt;INDEX('Lease Cycles'!$DK$26:$DQ$26,1,AU316),0,IF(AU317=INDEX('Lease Cycles'!$DK$26:$DQ$26,1,AU316),1-INDEX('Lease Cycles'!$DR$26:$DX$26,1,AU316),1))-IF(AU317=0,INDEX('Lease Cycles'!$DD$26:$DJ$26,1,AU316),0))),0)</f>
        <v>0</v>
      </c>
      <c r="AV323" s="28">
        <f>IF(AV318=1,IF(INDEX('Lease Cycles'!$EF$26:$EL$26,1,AV316)=1,0,AV319*(1-IF(AV317&lt;INDEX('Lease Cycles'!$DK$26:$DQ$26,1,AV316),0,IF(AV317=INDEX('Lease Cycles'!$DK$26:$DQ$26,1,AV316),1-INDEX('Lease Cycles'!$DR$26:$DX$26,1,AV316),1))-IF(AV317=0,INDEX('Lease Cycles'!$DD$26:$DJ$26,1,AV316),0))),0)</f>
        <v>0</v>
      </c>
      <c r="AW323" s="28">
        <f>IF(AW318=1,IF(INDEX('Lease Cycles'!$EF$26:$EL$26,1,AW316)=1,0,AW319*(1-IF(AW317&lt;INDEX('Lease Cycles'!$DK$26:$DQ$26,1,AW316),0,IF(AW317=INDEX('Lease Cycles'!$DK$26:$DQ$26,1,AW316),1-INDEX('Lease Cycles'!$DR$26:$DX$26,1,AW316),1))-IF(AW317=0,INDEX('Lease Cycles'!$DD$26:$DJ$26,1,AW316),0))),0)</f>
        <v>0</v>
      </c>
      <c r="AX323" s="28">
        <f>IF(AX318=1,IF(INDEX('Lease Cycles'!$EF$26:$EL$26,1,AX316)=1,0,AX319*(1-IF(AX317&lt;INDEX('Lease Cycles'!$DK$26:$DQ$26,1,AX316),0,IF(AX317=INDEX('Lease Cycles'!$DK$26:$DQ$26,1,AX316),1-INDEX('Lease Cycles'!$DR$26:$DX$26,1,AX316),1))-IF(AX317=0,INDEX('Lease Cycles'!$DD$26:$DJ$26,1,AX316),0))),0)</f>
        <v>0</v>
      </c>
      <c r="AY323" s="28">
        <f>IF(AY318=1,IF(INDEX('Lease Cycles'!$EF$26:$EL$26,1,AY316)=1,0,AY319*(1-IF(AY317&lt;INDEX('Lease Cycles'!$DK$26:$DQ$26,1,AY316),0,IF(AY317=INDEX('Lease Cycles'!$DK$26:$DQ$26,1,AY316),1-INDEX('Lease Cycles'!$DR$26:$DX$26,1,AY316),1))-IF(AY317=0,INDEX('Lease Cycles'!$DD$26:$DJ$26,1,AY316),0))),0)</f>
        <v>0</v>
      </c>
      <c r="AZ323" s="28">
        <f>IF(AZ318=1,IF(INDEX('Lease Cycles'!$EF$26:$EL$26,1,AZ316)=1,0,AZ319*(1-IF(AZ317&lt;INDEX('Lease Cycles'!$DK$26:$DQ$26,1,AZ316),0,IF(AZ317=INDEX('Lease Cycles'!$DK$26:$DQ$26,1,AZ316),1-INDEX('Lease Cycles'!$DR$26:$DX$26,1,AZ316),1))-IF(AZ317=0,INDEX('Lease Cycles'!$DD$26:$DJ$26,1,AZ316),0))),0)</f>
        <v>0</v>
      </c>
      <c r="BA323" s="28">
        <f>IF(BA318=1,IF(INDEX('Lease Cycles'!$EF$26:$EL$26,1,BA316)=1,0,BA319*(1-IF(BA317&lt;INDEX('Lease Cycles'!$DK$26:$DQ$26,1,BA316),0,IF(BA317=INDEX('Lease Cycles'!$DK$26:$DQ$26,1,BA316),1-INDEX('Lease Cycles'!$DR$26:$DX$26,1,BA316),1))-IF(BA317=0,INDEX('Lease Cycles'!$DD$26:$DJ$26,1,BA316),0))),0)</f>
        <v>0</v>
      </c>
      <c r="BB323" s="28">
        <f>IF(BB318=1,IF(INDEX('Lease Cycles'!$EF$26:$EL$26,1,BB316)=1,0,BB319*(1-IF(BB317&lt;INDEX('Lease Cycles'!$DK$26:$DQ$26,1,BB316),0,IF(BB317=INDEX('Lease Cycles'!$DK$26:$DQ$26,1,BB316),1-INDEX('Lease Cycles'!$DR$26:$DX$26,1,BB316),1))-IF(BB317=0,INDEX('Lease Cycles'!$DD$26:$DJ$26,1,BB316),0))),0)</f>
        <v>0</v>
      </c>
      <c r="BC323" s="28">
        <f>IF(BC318=1,IF(INDEX('Lease Cycles'!$EF$26:$EL$26,1,BC316)=1,0,BC319*(1-IF(BC317&lt;INDEX('Lease Cycles'!$DK$26:$DQ$26,1,BC316),0,IF(BC317=INDEX('Lease Cycles'!$DK$26:$DQ$26,1,BC316),1-INDEX('Lease Cycles'!$DR$26:$DX$26,1,BC316),1))-IF(BC317=0,INDEX('Lease Cycles'!$DD$26:$DJ$26,1,BC316),0))),0)</f>
        <v>0</v>
      </c>
      <c r="BD323" s="28">
        <f>IF(BD318=1,IF(INDEX('Lease Cycles'!$EF$26:$EL$26,1,BD316)=1,0,BD319*(1-IF(BD317&lt;INDEX('Lease Cycles'!$DK$26:$DQ$26,1,BD316),0,IF(BD317=INDEX('Lease Cycles'!$DK$26:$DQ$26,1,BD316),1-INDEX('Lease Cycles'!$DR$26:$DX$26,1,BD316),1))-IF(BD317=0,INDEX('Lease Cycles'!$DD$26:$DJ$26,1,BD316),0))),0)</f>
        <v>0</v>
      </c>
      <c r="BE323" s="28">
        <f>IF(BE318=1,IF(INDEX('Lease Cycles'!$EF$26:$EL$26,1,BE316)=1,0,BE319*(1-IF(BE317&lt;INDEX('Lease Cycles'!$DK$26:$DQ$26,1,BE316),0,IF(BE317=INDEX('Lease Cycles'!$DK$26:$DQ$26,1,BE316),1-INDEX('Lease Cycles'!$DR$26:$DX$26,1,BE316),1))-IF(BE317=0,INDEX('Lease Cycles'!$DD$26:$DJ$26,1,BE316),0))),0)</f>
        <v>0</v>
      </c>
      <c r="BF323" s="28">
        <f>IF(BF318=1,IF(INDEX('Lease Cycles'!$EF$26:$EL$26,1,BF316)=1,0,BF319*(1-IF(BF317&lt;INDEX('Lease Cycles'!$DK$26:$DQ$26,1,BF316),0,IF(BF317=INDEX('Lease Cycles'!$DK$26:$DQ$26,1,BF316),1-INDEX('Lease Cycles'!$DR$26:$DX$26,1,BF316),1))-IF(BF317=0,INDEX('Lease Cycles'!$DD$26:$DJ$26,1,BF316),0))),0)</f>
        <v>0</v>
      </c>
      <c r="BG323" s="28">
        <f>IF(BG318=1,IF(INDEX('Lease Cycles'!$EF$26:$EL$26,1,BG316)=1,0,BG319*(1-IF(BG317&lt;INDEX('Lease Cycles'!$DK$26:$DQ$26,1,BG316),0,IF(BG317=INDEX('Lease Cycles'!$DK$26:$DQ$26,1,BG316),1-INDEX('Lease Cycles'!$DR$26:$DX$26,1,BG316),1))-IF(BG317=0,INDEX('Lease Cycles'!$DD$26:$DJ$26,1,BG316),0))),0)</f>
        <v>0</v>
      </c>
      <c r="BH323" s="28">
        <f>IF(BH318=1,IF(INDEX('Lease Cycles'!$EF$26:$EL$26,1,BH316)=1,0,BH319*(1-IF(BH317&lt;INDEX('Lease Cycles'!$DK$26:$DQ$26,1,BH316),0,IF(BH317=INDEX('Lease Cycles'!$DK$26:$DQ$26,1,BH316),1-INDEX('Lease Cycles'!$DR$26:$DX$26,1,BH316),1))-IF(BH317=0,INDEX('Lease Cycles'!$DD$26:$DJ$26,1,BH316),0))),0)</f>
        <v>0</v>
      </c>
      <c r="BI323" s="28">
        <f>IF(BI318=1,IF(INDEX('Lease Cycles'!$EF$26:$EL$26,1,BI316)=1,0,BI319*(1-IF(BI317&lt;INDEX('Lease Cycles'!$DK$26:$DQ$26,1,BI316),0,IF(BI317=INDEX('Lease Cycles'!$DK$26:$DQ$26,1,BI316),1-INDEX('Lease Cycles'!$DR$26:$DX$26,1,BI316),1))-IF(BI317=0,INDEX('Lease Cycles'!$DD$26:$DJ$26,1,BI316),0))),0)</f>
        <v>0</v>
      </c>
      <c r="BJ323" s="28">
        <f>IF(BJ318=1,IF(INDEX('Lease Cycles'!$EF$26:$EL$26,1,BJ316)=1,0,BJ319*(1-IF(BJ317&lt;INDEX('Lease Cycles'!$DK$26:$DQ$26,1,BJ316),0,IF(BJ317=INDEX('Lease Cycles'!$DK$26:$DQ$26,1,BJ316),1-INDEX('Lease Cycles'!$DR$26:$DX$26,1,BJ316),1))-IF(BJ317=0,INDEX('Lease Cycles'!$DD$26:$DJ$26,1,BJ316),0))),0)</f>
        <v>0</v>
      </c>
      <c r="BK323" s="28">
        <f>IF(BK318=1,IF(INDEX('Lease Cycles'!$EF$26:$EL$26,1,BK316)=1,0,BK319*(1-IF(BK317&lt;INDEX('Lease Cycles'!$DK$26:$DQ$26,1,BK316),0,IF(BK317=INDEX('Lease Cycles'!$DK$26:$DQ$26,1,BK316),1-INDEX('Lease Cycles'!$DR$26:$DX$26,1,BK316),1))-IF(BK317=0,INDEX('Lease Cycles'!$DD$26:$DJ$26,1,BK316),0))),0)</f>
        <v>0</v>
      </c>
      <c r="BL323" s="28">
        <f>IF(BL318=1,IF(INDEX('Lease Cycles'!$EF$26:$EL$26,1,BL316)=1,0,BL319*(1-IF(BL317&lt;INDEX('Lease Cycles'!$DK$26:$DQ$26,1,BL316),0,IF(BL317=INDEX('Lease Cycles'!$DK$26:$DQ$26,1,BL316),1-INDEX('Lease Cycles'!$DR$26:$DX$26,1,BL316),1))-IF(BL317=0,INDEX('Lease Cycles'!$DD$26:$DJ$26,1,BL316),0))),0)</f>
        <v>0</v>
      </c>
      <c r="BM323" s="28">
        <f>IF(BM318=1,IF(INDEX('Lease Cycles'!$EF$26:$EL$26,1,BM316)=1,0,BM319*(1-IF(BM317&lt;INDEX('Lease Cycles'!$DK$26:$DQ$26,1,BM316),0,IF(BM317=INDEX('Lease Cycles'!$DK$26:$DQ$26,1,BM316),1-INDEX('Lease Cycles'!$DR$26:$DX$26,1,BM316),1))-IF(BM317=0,INDEX('Lease Cycles'!$DD$26:$DJ$26,1,BM316),0))),0)</f>
        <v>0</v>
      </c>
      <c r="BN323" s="28">
        <f>IF(BN318=1,IF(INDEX('Lease Cycles'!$EF$26:$EL$26,1,BN316)=1,0,BN319*(1-IF(BN317&lt;INDEX('Lease Cycles'!$DK$26:$DQ$26,1,BN316),0,IF(BN317=INDEX('Lease Cycles'!$DK$26:$DQ$26,1,BN316),1-INDEX('Lease Cycles'!$DR$26:$DX$26,1,BN316),1))-IF(BN317=0,INDEX('Lease Cycles'!$DD$26:$DJ$26,1,BN316),0))),0)</f>
        <v>0</v>
      </c>
      <c r="BO323" s="28">
        <f>IF(BO318=1,IF(INDEX('Lease Cycles'!$EF$26:$EL$26,1,BO316)=1,0,BO319*(1-IF(BO317&lt;INDEX('Lease Cycles'!$DK$26:$DQ$26,1,BO316),0,IF(BO317=INDEX('Lease Cycles'!$DK$26:$DQ$26,1,BO316),1-INDEX('Lease Cycles'!$DR$26:$DX$26,1,BO316),1))-IF(BO317=0,INDEX('Lease Cycles'!$DD$26:$DJ$26,1,BO316),0))),0)</f>
        <v>0</v>
      </c>
      <c r="BP323" s="28">
        <f>IF(BP318=1,IF(INDEX('Lease Cycles'!$EF$26:$EL$26,1,BP316)=1,0,BP319*(1-IF(BP317&lt;INDEX('Lease Cycles'!$DK$26:$DQ$26,1,BP316),0,IF(BP317=INDEX('Lease Cycles'!$DK$26:$DQ$26,1,BP316),1-INDEX('Lease Cycles'!$DR$26:$DX$26,1,BP316),1))-IF(BP317=0,INDEX('Lease Cycles'!$DD$26:$DJ$26,1,BP316),0))),0)</f>
        <v>0</v>
      </c>
      <c r="BQ323" s="28">
        <f>IF(BQ318=1,IF(INDEX('Lease Cycles'!$EF$26:$EL$26,1,BQ316)=1,0,BQ319*(1-IF(BQ317&lt;INDEX('Lease Cycles'!$DK$26:$DQ$26,1,BQ316),0,IF(BQ317=INDEX('Lease Cycles'!$DK$26:$DQ$26,1,BQ316),1-INDEX('Lease Cycles'!$DR$26:$DX$26,1,BQ316),1))-IF(BQ317=0,INDEX('Lease Cycles'!$DD$26:$DJ$26,1,BQ316),0))),0)</f>
        <v>0</v>
      </c>
      <c r="BR323" s="28">
        <f>IF(BR318=1,IF(INDEX('Lease Cycles'!$EF$26:$EL$26,1,BR316)=1,0,BR319*(1-IF(BR317&lt;INDEX('Lease Cycles'!$DK$26:$DQ$26,1,BR316),0,IF(BR317=INDEX('Lease Cycles'!$DK$26:$DQ$26,1,BR316),1-INDEX('Lease Cycles'!$DR$26:$DX$26,1,BR316),1))-IF(BR317=0,INDEX('Lease Cycles'!$DD$26:$DJ$26,1,BR316),0))),0)</f>
        <v>0</v>
      </c>
      <c r="BS323" s="28">
        <f>IF(BS318=1,IF(INDEX('Lease Cycles'!$EF$26:$EL$26,1,BS316)=1,0,BS319*(1-IF(BS317&lt;INDEX('Lease Cycles'!$DK$26:$DQ$26,1,BS316),0,IF(BS317=INDEX('Lease Cycles'!$DK$26:$DQ$26,1,BS316),1-INDEX('Lease Cycles'!$DR$26:$DX$26,1,BS316),1))-IF(BS317=0,INDEX('Lease Cycles'!$DD$26:$DJ$26,1,BS316),0))),0)</f>
        <v>0</v>
      </c>
      <c r="BT323" s="28">
        <f>IF(BT318=1,IF(INDEX('Lease Cycles'!$EF$26:$EL$26,1,BT316)=1,0,BT319*(1-IF(BT317&lt;INDEX('Lease Cycles'!$DK$26:$DQ$26,1,BT316),0,IF(BT317=INDEX('Lease Cycles'!$DK$26:$DQ$26,1,BT316),1-INDEX('Lease Cycles'!$DR$26:$DX$26,1,BT316),1))-IF(BT317=0,INDEX('Lease Cycles'!$DD$26:$DJ$26,1,BT316),0))),0)</f>
        <v>0</v>
      </c>
      <c r="BU323" s="28">
        <f>IF(BU318=1,IF(INDEX('Lease Cycles'!$EF$26:$EL$26,1,BU316)=1,0,BU319*(1-IF(BU317&lt;INDEX('Lease Cycles'!$DK$26:$DQ$26,1,BU316),0,IF(BU317=INDEX('Lease Cycles'!$DK$26:$DQ$26,1,BU316),1-INDEX('Lease Cycles'!$DR$26:$DX$26,1,BU316),1))-IF(BU317=0,INDEX('Lease Cycles'!$DD$26:$DJ$26,1,BU316),0))),0)</f>
        <v>0</v>
      </c>
      <c r="BV323" s="28">
        <f>IF(BV318=1,IF(INDEX('Lease Cycles'!$EF$26:$EL$26,1,BV316)=1,0,BV319*(1-IF(BV317&lt;INDEX('Lease Cycles'!$DK$26:$DQ$26,1,BV316),0,IF(BV317=INDEX('Lease Cycles'!$DK$26:$DQ$26,1,BV316),1-INDEX('Lease Cycles'!$DR$26:$DX$26,1,BV316),1))-IF(BV317=0,INDEX('Lease Cycles'!$DD$26:$DJ$26,1,BV316),0))),0)</f>
        <v>0</v>
      </c>
      <c r="BW323" s="28">
        <f>IF(BW318=1,IF(INDEX('Lease Cycles'!$EF$26:$EL$26,1,BW316)=1,0,BW319*(1-IF(BW317&lt;INDEX('Lease Cycles'!$DK$26:$DQ$26,1,BW316),0,IF(BW317=INDEX('Lease Cycles'!$DK$26:$DQ$26,1,BW316),1-INDEX('Lease Cycles'!$DR$26:$DX$26,1,BW316),1))-IF(BW317=0,INDEX('Lease Cycles'!$DD$26:$DJ$26,1,BW316),0))),0)</f>
        <v>0</v>
      </c>
      <c r="BX323" s="28">
        <f>IF(BX318=1,IF(INDEX('Lease Cycles'!$EF$26:$EL$26,1,BX316)=1,0,BX319*(1-IF(BX317&lt;INDEX('Lease Cycles'!$DK$26:$DQ$26,1,BX316),0,IF(BX317=INDEX('Lease Cycles'!$DK$26:$DQ$26,1,BX316),1-INDEX('Lease Cycles'!$DR$26:$DX$26,1,BX316),1))-IF(BX317=0,INDEX('Lease Cycles'!$DD$26:$DJ$26,1,BX316),0))),0)</f>
        <v>0</v>
      </c>
      <c r="BY323" s="28">
        <f>IF(BY318=1,IF(INDEX('Lease Cycles'!$EF$26:$EL$26,1,BY316)=1,0,BY319*(1-IF(BY317&lt;INDEX('Lease Cycles'!$DK$26:$DQ$26,1,BY316),0,IF(BY317=INDEX('Lease Cycles'!$DK$26:$DQ$26,1,BY316),1-INDEX('Lease Cycles'!$DR$26:$DX$26,1,BY316),1))-IF(BY317=0,INDEX('Lease Cycles'!$DD$26:$DJ$26,1,BY316),0))),0)</f>
        <v>0</v>
      </c>
      <c r="BZ323" s="28">
        <f>IF(BZ318=1,IF(INDEX('Lease Cycles'!$EF$26:$EL$26,1,BZ316)=1,0,BZ319*(1-IF(BZ317&lt;INDEX('Lease Cycles'!$DK$26:$DQ$26,1,BZ316),0,IF(BZ317=INDEX('Lease Cycles'!$DK$26:$DQ$26,1,BZ316),1-INDEX('Lease Cycles'!$DR$26:$DX$26,1,BZ316),1))-IF(BZ317=0,INDEX('Lease Cycles'!$DD$26:$DJ$26,1,BZ316),0))),0)</f>
        <v>0</v>
      </c>
      <c r="CA323" s="28">
        <f>IF(CA318=1,IF(INDEX('Lease Cycles'!$EF$26:$EL$26,1,CA316)=1,0,CA319*(1-IF(CA317&lt;INDEX('Lease Cycles'!$DK$26:$DQ$26,1,CA316),0,IF(CA317=INDEX('Lease Cycles'!$DK$26:$DQ$26,1,CA316),1-INDEX('Lease Cycles'!$DR$26:$DX$26,1,CA316),1))-IF(CA317=0,INDEX('Lease Cycles'!$DD$26:$DJ$26,1,CA316),0))),0)</f>
        <v>0</v>
      </c>
      <c r="CB323" s="28">
        <f>IF(CB318=1,IF(INDEX('Lease Cycles'!$EF$26:$EL$26,1,CB316)=1,0,CB319*(1-IF(CB317&lt;INDEX('Lease Cycles'!$DK$26:$DQ$26,1,CB316),0,IF(CB317=INDEX('Lease Cycles'!$DK$26:$DQ$26,1,CB316),1-INDEX('Lease Cycles'!$DR$26:$DX$26,1,CB316),1))-IF(CB317=0,INDEX('Lease Cycles'!$DD$26:$DJ$26,1,CB316),0))),0)</f>
        <v>0</v>
      </c>
      <c r="CC323" s="28">
        <f>IF(CC318=1,IF(INDEX('Lease Cycles'!$EF$26:$EL$26,1,CC316)=1,0,CC319*(1-IF(CC317&lt;INDEX('Lease Cycles'!$DK$26:$DQ$26,1,CC316),0,IF(CC317=INDEX('Lease Cycles'!$DK$26:$DQ$26,1,CC316),1-INDEX('Lease Cycles'!$DR$26:$DX$26,1,CC316),1))-IF(CC317=0,INDEX('Lease Cycles'!$DD$26:$DJ$26,1,CC316),0))),0)</f>
        <v>0</v>
      </c>
      <c r="CD323" s="28">
        <f>IF(CD318=1,IF(INDEX('Lease Cycles'!$EF$26:$EL$26,1,CD316)=1,0,CD319*(1-IF(CD317&lt;INDEX('Lease Cycles'!$DK$26:$DQ$26,1,CD316),0,IF(CD317=INDEX('Lease Cycles'!$DK$26:$DQ$26,1,CD316),1-INDEX('Lease Cycles'!$DR$26:$DX$26,1,CD316),1))-IF(CD317=0,INDEX('Lease Cycles'!$DD$26:$DJ$26,1,CD316),0))),0)</f>
        <v>0</v>
      </c>
      <c r="CE323" s="28">
        <f>IF(CE318=1,IF(INDEX('Lease Cycles'!$EF$26:$EL$26,1,CE316)=1,0,CE319*(1-IF(CE317&lt;INDEX('Lease Cycles'!$DK$26:$DQ$26,1,CE316),0,IF(CE317=INDEX('Lease Cycles'!$DK$26:$DQ$26,1,CE316),1-INDEX('Lease Cycles'!$DR$26:$DX$26,1,CE316),1))-IF(CE317=0,INDEX('Lease Cycles'!$DD$26:$DJ$26,1,CE316),0))),0)</f>
        <v>0</v>
      </c>
      <c r="CF323" s="28">
        <f>IF(CF318=1,IF(INDEX('Lease Cycles'!$EF$26:$EL$26,1,CF316)=1,0,CF319*(1-IF(CF317&lt;INDEX('Lease Cycles'!$DK$26:$DQ$26,1,CF316),0,IF(CF317=INDEX('Lease Cycles'!$DK$26:$DQ$26,1,CF316),1-INDEX('Lease Cycles'!$DR$26:$DX$26,1,CF316),1))-IF(CF317=0,INDEX('Lease Cycles'!$DD$26:$DJ$26,1,CF316),0))),0)</f>
        <v>0</v>
      </c>
      <c r="CG323" s="28">
        <f>IF(CG318=1,IF(INDEX('Lease Cycles'!$EF$26:$EL$26,1,CG316)=1,0,CG319*(1-IF(CG317&lt;INDEX('Lease Cycles'!$DK$26:$DQ$26,1,CG316),0,IF(CG317=INDEX('Lease Cycles'!$DK$26:$DQ$26,1,CG316),1-INDEX('Lease Cycles'!$DR$26:$DX$26,1,CG316),1))-IF(CG317=0,INDEX('Lease Cycles'!$DD$26:$DJ$26,1,CG316),0))),0)</f>
        <v>0</v>
      </c>
      <c r="CH323" s="28">
        <f>IF(CH318=1,IF(INDEX('Lease Cycles'!$EF$26:$EL$26,1,CH316)=1,0,CH319*(1-IF(CH317&lt;INDEX('Lease Cycles'!$DK$26:$DQ$26,1,CH316),0,IF(CH317=INDEX('Lease Cycles'!$DK$26:$DQ$26,1,CH316),1-INDEX('Lease Cycles'!$DR$26:$DX$26,1,CH316),1))-IF(CH317=0,INDEX('Lease Cycles'!$DD$26:$DJ$26,1,CH316),0))),0)</f>
        <v>0</v>
      </c>
      <c r="CI323" s="28">
        <f>IF(CI318=1,IF(INDEX('Lease Cycles'!$EF$26:$EL$26,1,CI316)=1,0,CI319*(1-IF(CI317&lt;INDEX('Lease Cycles'!$DK$26:$DQ$26,1,CI316),0,IF(CI317=INDEX('Lease Cycles'!$DK$26:$DQ$26,1,CI316),1-INDEX('Lease Cycles'!$DR$26:$DX$26,1,CI316),1))-IF(CI317=0,INDEX('Lease Cycles'!$DD$26:$DJ$26,1,CI316),0))),0)</f>
        <v>0</v>
      </c>
      <c r="CJ323" s="28">
        <f>IF(CJ318=1,IF(INDEX('Lease Cycles'!$EF$26:$EL$26,1,CJ316)=1,0,CJ319*(1-IF(CJ317&lt;INDEX('Lease Cycles'!$DK$26:$DQ$26,1,CJ316),0,IF(CJ317=INDEX('Lease Cycles'!$DK$26:$DQ$26,1,CJ316),1-INDEX('Lease Cycles'!$DR$26:$DX$26,1,CJ316),1))-IF(CJ317=0,INDEX('Lease Cycles'!$DD$26:$DJ$26,1,CJ316),0))),0)</f>
        <v>0</v>
      </c>
      <c r="CK323" s="28">
        <f>IF(CK318=1,IF(INDEX('Lease Cycles'!$EF$26:$EL$26,1,CK316)=1,0,CK319*(1-IF(CK317&lt;INDEX('Lease Cycles'!$DK$26:$DQ$26,1,CK316),0,IF(CK317=INDEX('Lease Cycles'!$DK$26:$DQ$26,1,CK316),1-INDEX('Lease Cycles'!$DR$26:$DX$26,1,CK316),1))-IF(CK317=0,INDEX('Lease Cycles'!$DD$26:$DJ$26,1,CK316),0))),0)</f>
        <v>0</v>
      </c>
      <c r="CL323" s="28">
        <f>IF(CL318=1,IF(INDEX('Lease Cycles'!$EF$26:$EL$26,1,CL316)=1,0,CL319*(1-IF(CL317&lt;INDEX('Lease Cycles'!$DK$26:$DQ$26,1,CL316),0,IF(CL317=INDEX('Lease Cycles'!$DK$26:$DQ$26,1,CL316),1-INDEX('Lease Cycles'!$DR$26:$DX$26,1,CL316),1))-IF(CL317=0,INDEX('Lease Cycles'!$DD$26:$DJ$26,1,CL316),0))),0)</f>
        <v>0</v>
      </c>
      <c r="CM323" s="28">
        <f>IF(CM318=1,IF(INDEX('Lease Cycles'!$EF$26:$EL$26,1,CM316)=1,0,CM319*(1-IF(CM317&lt;INDEX('Lease Cycles'!$DK$26:$DQ$26,1,CM316),0,IF(CM317=INDEX('Lease Cycles'!$DK$26:$DQ$26,1,CM316),1-INDEX('Lease Cycles'!$DR$26:$DX$26,1,CM316),1))-IF(CM317=0,INDEX('Lease Cycles'!$DD$26:$DJ$26,1,CM316),0))),0)</f>
        <v>0</v>
      </c>
      <c r="CN323" s="28">
        <f>IF(CN318=1,IF(INDEX('Lease Cycles'!$EF$26:$EL$26,1,CN316)=1,0,CN319*(1-IF(CN317&lt;INDEX('Lease Cycles'!$DK$26:$DQ$26,1,CN316),0,IF(CN317=INDEX('Lease Cycles'!$DK$26:$DQ$26,1,CN316),1-INDEX('Lease Cycles'!$DR$26:$DX$26,1,CN316),1))-IF(CN317=0,INDEX('Lease Cycles'!$DD$26:$DJ$26,1,CN316),0))),0)</f>
        <v>0</v>
      </c>
      <c r="CO323" s="28">
        <f>IF(CO318=1,IF(INDEX('Lease Cycles'!$EF$26:$EL$26,1,CO316)=1,0,CO319*(1-IF(CO317&lt;INDEX('Lease Cycles'!$DK$26:$DQ$26,1,CO316),0,IF(CO317=INDEX('Lease Cycles'!$DK$26:$DQ$26,1,CO316),1-INDEX('Lease Cycles'!$DR$26:$DX$26,1,CO316),1))-IF(CO317=0,INDEX('Lease Cycles'!$DD$26:$DJ$26,1,CO316),0))),0)</f>
        <v>0</v>
      </c>
      <c r="CP323" s="28">
        <f>IF(CP318=1,IF(INDEX('Lease Cycles'!$EF$26:$EL$26,1,CP316)=1,0,CP319*(1-IF(CP317&lt;INDEX('Lease Cycles'!$DK$26:$DQ$26,1,CP316),0,IF(CP317=INDEX('Lease Cycles'!$DK$26:$DQ$26,1,CP316),1-INDEX('Lease Cycles'!$DR$26:$DX$26,1,CP316),1))-IF(CP317=0,INDEX('Lease Cycles'!$DD$26:$DJ$26,1,CP316),0))),0)</f>
        <v>0</v>
      </c>
      <c r="CQ323" s="28">
        <f>IF(CQ318=1,IF(INDEX('Lease Cycles'!$EF$26:$EL$26,1,CQ316)=1,0,CQ319*(1-IF(CQ317&lt;INDEX('Lease Cycles'!$DK$26:$DQ$26,1,CQ316),0,IF(CQ317=INDEX('Lease Cycles'!$DK$26:$DQ$26,1,CQ316),1-INDEX('Lease Cycles'!$DR$26:$DX$26,1,CQ316),1))-IF(CQ317=0,INDEX('Lease Cycles'!$DD$26:$DJ$26,1,CQ316),0))),0)</f>
        <v>0</v>
      </c>
      <c r="CR323" s="28">
        <f>IF(CR318=1,IF(INDEX('Lease Cycles'!$EF$26:$EL$26,1,CR316)=1,0,CR319*(1-IF(CR317&lt;INDEX('Lease Cycles'!$DK$26:$DQ$26,1,CR316),0,IF(CR317=INDEX('Lease Cycles'!$DK$26:$DQ$26,1,CR316),1-INDEX('Lease Cycles'!$DR$26:$DX$26,1,CR316),1))-IF(CR317=0,INDEX('Lease Cycles'!$DD$26:$DJ$26,1,CR316),0))),0)</f>
        <v>0</v>
      </c>
      <c r="CS323" s="28">
        <f>IF(CS318=1,IF(INDEX('Lease Cycles'!$EF$26:$EL$26,1,CS316)=1,0,CS319*(1-IF(CS317&lt;INDEX('Lease Cycles'!$DK$26:$DQ$26,1,CS316),0,IF(CS317=INDEX('Lease Cycles'!$DK$26:$DQ$26,1,CS316),1-INDEX('Lease Cycles'!$DR$26:$DX$26,1,CS316),1))-IF(CS317=0,INDEX('Lease Cycles'!$DD$26:$DJ$26,1,CS316),0))),0)</f>
        <v>0</v>
      </c>
      <c r="CT323" s="28">
        <f>IF(CT318=1,IF(INDEX('Lease Cycles'!$EF$26:$EL$26,1,CT316)=1,0,CT319*(1-IF(CT317&lt;INDEX('Lease Cycles'!$DK$26:$DQ$26,1,CT316),0,IF(CT317=INDEX('Lease Cycles'!$DK$26:$DQ$26,1,CT316),1-INDEX('Lease Cycles'!$DR$26:$DX$26,1,CT316),1))-IF(CT317=0,INDEX('Lease Cycles'!$DD$26:$DJ$26,1,CT316),0))),0)</f>
        <v>0</v>
      </c>
      <c r="CU323" s="28">
        <f>IF(CU318=1,IF(INDEX('Lease Cycles'!$EF$26:$EL$26,1,CU316)=1,0,CU319*(1-IF(CU317&lt;INDEX('Lease Cycles'!$DK$26:$DQ$26,1,CU316),0,IF(CU317=INDEX('Lease Cycles'!$DK$26:$DQ$26,1,CU316),1-INDEX('Lease Cycles'!$DR$26:$DX$26,1,CU316),1))-IF(CU317=0,INDEX('Lease Cycles'!$DD$26:$DJ$26,1,CU316),0))),0)</f>
        <v>0</v>
      </c>
      <c r="CV323" s="28">
        <f>IF(CV318=1,IF(INDEX('Lease Cycles'!$EF$26:$EL$26,1,CV316)=1,0,CV319*(1-IF(CV317&lt;INDEX('Lease Cycles'!$DK$26:$DQ$26,1,CV316),0,IF(CV317=INDEX('Lease Cycles'!$DK$26:$DQ$26,1,CV316),1-INDEX('Lease Cycles'!$DR$26:$DX$26,1,CV316),1))-IF(CV317=0,INDEX('Lease Cycles'!$DD$26:$DJ$26,1,CV316),0))),0)</f>
        <v>0</v>
      </c>
      <c r="CW323" s="28">
        <f>IF(CW318=1,IF(INDEX('Lease Cycles'!$EF$26:$EL$26,1,CW316)=1,0,CW319*(1-IF(CW317&lt;INDEX('Lease Cycles'!$DK$26:$DQ$26,1,CW316),0,IF(CW317=INDEX('Lease Cycles'!$DK$26:$DQ$26,1,CW316),1-INDEX('Lease Cycles'!$DR$26:$DX$26,1,CW316),1))-IF(CW317=0,INDEX('Lease Cycles'!$DD$26:$DJ$26,1,CW316),0))),0)</f>
        <v>0</v>
      </c>
      <c r="CX323" s="28">
        <f>IF(CX318=1,IF(INDEX('Lease Cycles'!$EF$26:$EL$26,1,CX316)=1,0,CX319*(1-IF(CX317&lt;INDEX('Lease Cycles'!$DK$26:$DQ$26,1,CX316),0,IF(CX317=INDEX('Lease Cycles'!$DK$26:$DQ$26,1,CX316),1-INDEX('Lease Cycles'!$DR$26:$DX$26,1,CX316),1))-IF(CX317=0,INDEX('Lease Cycles'!$DD$26:$DJ$26,1,CX316),0))),0)</f>
        <v>0</v>
      </c>
      <c r="CY323" s="28">
        <f>IF(CY318=1,IF(INDEX('Lease Cycles'!$EF$26:$EL$26,1,CY316)=1,0,CY319*(1-IF(CY317&lt;INDEX('Lease Cycles'!$DK$26:$DQ$26,1,CY316),0,IF(CY317=INDEX('Lease Cycles'!$DK$26:$DQ$26,1,CY316),1-INDEX('Lease Cycles'!$DR$26:$DX$26,1,CY316),1))-IF(CY317=0,INDEX('Lease Cycles'!$DD$26:$DJ$26,1,CY316),0))),0)</f>
        <v>0</v>
      </c>
      <c r="CZ323" s="28">
        <f>IF(CZ318=1,IF(INDEX('Lease Cycles'!$EF$26:$EL$26,1,CZ316)=1,0,CZ319*(1-IF(CZ317&lt;INDEX('Lease Cycles'!$DK$26:$DQ$26,1,CZ316),0,IF(CZ317=INDEX('Lease Cycles'!$DK$26:$DQ$26,1,CZ316),1-INDEX('Lease Cycles'!$DR$26:$DX$26,1,CZ316),1))-IF(CZ317=0,INDEX('Lease Cycles'!$DD$26:$DJ$26,1,CZ316),0))),0)</f>
        <v>0</v>
      </c>
      <c r="DA323" s="28">
        <f>IF(DA318=1,IF(INDEX('Lease Cycles'!$EF$26:$EL$26,1,DA316)=1,0,DA319*(1-IF(DA317&lt;INDEX('Lease Cycles'!$DK$26:$DQ$26,1,DA316),0,IF(DA317=INDEX('Lease Cycles'!$DK$26:$DQ$26,1,DA316),1-INDEX('Lease Cycles'!$DR$26:$DX$26,1,DA316),1))-IF(DA317=0,INDEX('Lease Cycles'!$DD$26:$DJ$26,1,DA316),0))),0)</f>
        <v>0</v>
      </c>
      <c r="DB323" s="28">
        <f>IF(DB318=1,IF(INDEX('Lease Cycles'!$EF$26:$EL$26,1,DB316)=1,0,DB319*(1-IF(DB317&lt;INDEX('Lease Cycles'!$DK$26:$DQ$26,1,DB316),0,IF(DB317=INDEX('Lease Cycles'!$DK$26:$DQ$26,1,DB316),1-INDEX('Lease Cycles'!$DR$26:$DX$26,1,DB316),1))-IF(DB317=0,INDEX('Lease Cycles'!$DD$26:$DJ$26,1,DB316),0))),0)</f>
        <v>0</v>
      </c>
      <c r="DC323" s="28">
        <f>IF(DC318=1,IF(INDEX('Lease Cycles'!$EF$26:$EL$26,1,DC316)=1,0,DC319*(1-IF(DC317&lt;INDEX('Lease Cycles'!$DK$26:$DQ$26,1,DC316),0,IF(DC317=INDEX('Lease Cycles'!$DK$26:$DQ$26,1,DC316),1-INDEX('Lease Cycles'!$DR$26:$DX$26,1,DC316),1))-IF(DC317=0,INDEX('Lease Cycles'!$DD$26:$DJ$26,1,DC316),0))),0)</f>
        <v>0</v>
      </c>
      <c r="DD323" s="28">
        <f>IF(DD318=1,IF(INDEX('Lease Cycles'!$EF$26:$EL$26,1,DD316)=1,0,DD319*(1-IF(DD317&lt;INDEX('Lease Cycles'!$DK$26:$DQ$26,1,DD316),0,IF(DD317=INDEX('Lease Cycles'!$DK$26:$DQ$26,1,DD316),1-INDEX('Lease Cycles'!$DR$26:$DX$26,1,DD316),1))-IF(DD317=0,INDEX('Lease Cycles'!$DD$26:$DJ$26,1,DD316),0))),0)</f>
        <v>0</v>
      </c>
      <c r="DE323" s="28">
        <f>IF(DE318=1,IF(INDEX('Lease Cycles'!$EF$26:$EL$26,1,DE316)=1,0,DE319*(1-IF(DE317&lt;INDEX('Lease Cycles'!$DK$26:$DQ$26,1,DE316),0,IF(DE317=INDEX('Lease Cycles'!$DK$26:$DQ$26,1,DE316),1-INDEX('Lease Cycles'!$DR$26:$DX$26,1,DE316),1))-IF(DE317=0,INDEX('Lease Cycles'!$DD$26:$DJ$26,1,DE316),0))),0)</f>
        <v>0</v>
      </c>
      <c r="DF323" s="28">
        <f>IF(DF318=1,IF(INDEX('Lease Cycles'!$EF$26:$EL$26,1,DF316)=1,0,DF319*(1-IF(DF317&lt;INDEX('Lease Cycles'!$DK$26:$DQ$26,1,DF316),0,IF(DF317=INDEX('Lease Cycles'!$DK$26:$DQ$26,1,DF316),1-INDEX('Lease Cycles'!$DR$26:$DX$26,1,DF316),1))-IF(DF317=0,INDEX('Lease Cycles'!$DD$26:$DJ$26,1,DF316),0))),0)</f>
        <v>0</v>
      </c>
      <c r="DG323" s="28">
        <f>IF(DG318=1,IF(INDEX('Lease Cycles'!$EF$26:$EL$26,1,DG316)=1,0,DG319*(1-IF(DG317&lt;INDEX('Lease Cycles'!$DK$26:$DQ$26,1,DG316),0,IF(DG317=INDEX('Lease Cycles'!$DK$26:$DQ$26,1,DG316),1-INDEX('Lease Cycles'!$DR$26:$DX$26,1,DG316),1))-IF(DG317=0,INDEX('Lease Cycles'!$DD$26:$DJ$26,1,DG316),0))),0)</f>
        <v>0</v>
      </c>
      <c r="DH323" s="28">
        <f>IF(DH318=1,IF(INDEX('Lease Cycles'!$EF$26:$EL$26,1,DH316)=1,0,DH319*(1-IF(DH317&lt;INDEX('Lease Cycles'!$DK$26:$DQ$26,1,DH316),0,IF(DH317=INDEX('Lease Cycles'!$DK$26:$DQ$26,1,DH316),1-INDEX('Lease Cycles'!$DR$26:$DX$26,1,DH316),1))-IF(DH317=0,INDEX('Lease Cycles'!$DD$26:$DJ$26,1,DH316),0))),0)</f>
        <v>0</v>
      </c>
      <c r="DI323" s="28">
        <f>IF(DI318=1,IF(INDEX('Lease Cycles'!$EF$26:$EL$26,1,DI316)=1,0,DI319*(1-IF(DI317&lt;INDEX('Lease Cycles'!$DK$26:$DQ$26,1,DI316),0,IF(DI317=INDEX('Lease Cycles'!$DK$26:$DQ$26,1,DI316),1-INDEX('Lease Cycles'!$DR$26:$DX$26,1,DI316),1))-IF(DI317=0,INDEX('Lease Cycles'!$DD$26:$DJ$26,1,DI316),0))),0)</f>
        <v>0</v>
      </c>
      <c r="DJ323" s="28">
        <f>IF(DJ318=1,IF(INDEX('Lease Cycles'!$EF$26:$EL$26,1,DJ316)=1,0,DJ319*(1-IF(DJ317&lt;INDEX('Lease Cycles'!$DK$26:$DQ$26,1,DJ316),0,IF(DJ317=INDEX('Lease Cycles'!$DK$26:$DQ$26,1,DJ316),1-INDEX('Lease Cycles'!$DR$26:$DX$26,1,DJ316),1))-IF(DJ317=0,INDEX('Lease Cycles'!$DD$26:$DJ$26,1,DJ316),0))),0)</f>
        <v>0</v>
      </c>
      <c r="DK323" s="28">
        <f>IF(DK318=1,IF(INDEX('Lease Cycles'!$EF$26:$EL$26,1,DK316)=1,0,DK319*(1-IF(DK317&lt;INDEX('Lease Cycles'!$DK$26:$DQ$26,1,DK316),0,IF(DK317=INDEX('Lease Cycles'!$DK$26:$DQ$26,1,DK316),1-INDEX('Lease Cycles'!$DR$26:$DX$26,1,DK316),1))-IF(DK317=0,INDEX('Lease Cycles'!$DD$26:$DJ$26,1,DK316),0))),0)</f>
        <v>0</v>
      </c>
      <c r="DL323" s="28">
        <f>IF(DL318=1,IF(INDEX('Lease Cycles'!$EF$26:$EL$26,1,DL316)=1,0,DL319*(1-IF(DL317&lt;INDEX('Lease Cycles'!$DK$26:$DQ$26,1,DL316),0,IF(DL317=INDEX('Lease Cycles'!$DK$26:$DQ$26,1,DL316),1-INDEX('Lease Cycles'!$DR$26:$DX$26,1,DL316),1))-IF(DL317=0,INDEX('Lease Cycles'!$DD$26:$DJ$26,1,DL316),0))),0)</f>
        <v>0</v>
      </c>
      <c r="DM323" s="28">
        <f>IF(DM318=1,IF(INDEX('Lease Cycles'!$EF$26:$EL$26,1,DM316)=1,0,DM319*(1-IF(DM317&lt;INDEX('Lease Cycles'!$DK$26:$DQ$26,1,DM316),0,IF(DM317=INDEX('Lease Cycles'!$DK$26:$DQ$26,1,DM316),1-INDEX('Lease Cycles'!$DR$26:$DX$26,1,DM316),1))-IF(DM317=0,INDEX('Lease Cycles'!$DD$26:$DJ$26,1,DM316),0))),0)</f>
        <v>0</v>
      </c>
      <c r="DN323" s="28">
        <f>IF(DN318=1,IF(INDEX('Lease Cycles'!$EF$26:$EL$26,1,DN316)=1,0,DN319*(1-IF(DN317&lt;INDEX('Lease Cycles'!$DK$26:$DQ$26,1,DN316),0,IF(DN317=INDEX('Lease Cycles'!$DK$26:$DQ$26,1,DN316),1-INDEX('Lease Cycles'!$DR$26:$DX$26,1,DN316),1))-IF(DN317=0,INDEX('Lease Cycles'!$DD$26:$DJ$26,1,DN316),0))),0)</f>
        <v>0</v>
      </c>
      <c r="DO323" s="28">
        <f>IF(DO318=1,IF(INDEX('Lease Cycles'!$EF$26:$EL$26,1,DO316)=1,0,DO319*(1-IF(DO317&lt;INDEX('Lease Cycles'!$DK$26:$DQ$26,1,DO316),0,IF(DO317=INDEX('Lease Cycles'!$DK$26:$DQ$26,1,DO316),1-INDEX('Lease Cycles'!$DR$26:$DX$26,1,DO316),1))-IF(DO317=0,INDEX('Lease Cycles'!$DD$26:$DJ$26,1,DO316),0))),0)</f>
        <v>0</v>
      </c>
      <c r="DP323" s="28">
        <f>IF(DP318=1,IF(INDEX('Lease Cycles'!$EF$26:$EL$26,1,DP316)=1,0,DP319*(1-IF(DP317&lt;INDEX('Lease Cycles'!$DK$26:$DQ$26,1,DP316),0,IF(DP317=INDEX('Lease Cycles'!$DK$26:$DQ$26,1,DP316),1-INDEX('Lease Cycles'!$DR$26:$DX$26,1,DP316),1))-IF(DP317=0,INDEX('Lease Cycles'!$DD$26:$DJ$26,1,DP316),0))),0)</f>
        <v>0</v>
      </c>
      <c r="DQ323" s="28">
        <f>IF(DQ318=1,IF(INDEX('Lease Cycles'!$EF$26:$EL$26,1,DQ316)=1,0,DQ319*(1-IF(DQ317&lt;INDEX('Lease Cycles'!$DK$26:$DQ$26,1,DQ316),0,IF(DQ317=INDEX('Lease Cycles'!$DK$26:$DQ$26,1,DQ316),1-INDEX('Lease Cycles'!$DR$26:$DX$26,1,DQ316),1))-IF(DQ317=0,INDEX('Lease Cycles'!$DD$26:$DJ$26,1,DQ316),0))),0)</f>
        <v>0</v>
      </c>
      <c r="DR323" s="28">
        <f>IF(DR318=1,IF(INDEX('Lease Cycles'!$EF$26:$EL$26,1,DR316)=1,0,DR319*(1-IF(DR317&lt;INDEX('Lease Cycles'!$DK$26:$DQ$26,1,DR316),0,IF(DR317=INDEX('Lease Cycles'!$DK$26:$DQ$26,1,DR316),1-INDEX('Lease Cycles'!$DR$26:$DX$26,1,DR316),1))-IF(DR317=0,INDEX('Lease Cycles'!$DD$26:$DJ$26,1,DR316),0))),0)</f>
        <v>0</v>
      </c>
      <c r="DS323" s="28">
        <f>IF(DS318=1,IF(INDEX('Lease Cycles'!$EF$26:$EL$26,1,DS316)=1,0,DS319*(1-IF(DS317&lt;INDEX('Lease Cycles'!$DK$26:$DQ$26,1,DS316),0,IF(DS317=INDEX('Lease Cycles'!$DK$26:$DQ$26,1,DS316),1-INDEX('Lease Cycles'!$DR$26:$DX$26,1,DS316),1))-IF(DS317=0,INDEX('Lease Cycles'!$DD$26:$DJ$26,1,DS316),0))),0)</f>
        <v>0</v>
      </c>
      <c r="DT323" s="28">
        <f>IF(DT318=1,IF(INDEX('Lease Cycles'!$EF$26:$EL$26,1,DT316)=1,0,DT319*(1-IF(DT317&lt;INDEX('Lease Cycles'!$DK$26:$DQ$26,1,DT316),0,IF(DT317=INDEX('Lease Cycles'!$DK$26:$DQ$26,1,DT316),1-INDEX('Lease Cycles'!$DR$26:$DX$26,1,DT316),1))-IF(DT317=0,INDEX('Lease Cycles'!$DD$26:$DJ$26,1,DT316),0))),0)</f>
        <v>0</v>
      </c>
      <c r="DU323" s="28">
        <f>IF(DU318=1,IF(INDEX('Lease Cycles'!$EF$26:$EL$26,1,DU316)=1,0,DU319*(1-IF(DU317&lt;INDEX('Lease Cycles'!$DK$26:$DQ$26,1,DU316),0,IF(DU317=INDEX('Lease Cycles'!$DK$26:$DQ$26,1,DU316),1-INDEX('Lease Cycles'!$DR$26:$DX$26,1,DU316),1))-IF(DU317=0,INDEX('Lease Cycles'!$DD$26:$DJ$26,1,DU316),0))),0)</f>
        <v>0</v>
      </c>
      <c r="DV323" s="28">
        <f>IF(DV318=1,IF(INDEX('Lease Cycles'!$EF$26:$EL$26,1,DV316)=1,0,DV319*(1-IF(DV317&lt;INDEX('Lease Cycles'!$DK$26:$DQ$26,1,DV316),0,IF(DV317=INDEX('Lease Cycles'!$DK$26:$DQ$26,1,DV316),1-INDEX('Lease Cycles'!$DR$26:$DX$26,1,DV316),1))-IF(DV317=0,INDEX('Lease Cycles'!$DD$26:$DJ$26,1,DV316),0))),0)</f>
        <v>0</v>
      </c>
      <c r="DW323" s="28">
        <f>IF(DW318=1,IF(INDEX('Lease Cycles'!$EF$26:$EL$26,1,DW316)=1,0,DW319*(1-IF(DW317&lt;INDEX('Lease Cycles'!$DK$26:$DQ$26,1,DW316),0,IF(DW317=INDEX('Lease Cycles'!$DK$26:$DQ$26,1,DW316),1-INDEX('Lease Cycles'!$DR$26:$DX$26,1,DW316),1))-IF(DW317=0,INDEX('Lease Cycles'!$DD$26:$DJ$26,1,DW316),0))),0)</f>
        <v>0</v>
      </c>
      <c r="DX323" s="28">
        <f>IF(DX318=1,IF(INDEX('Lease Cycles'!$EF$26:$EL$26,1,DX316)=1,0,DX319*(1-IF(DX317&lt;INDEX('Lease Cycles'!$DK$26:$DQ$26,1,DX316),0,IF(DX317=INDEX('Lease Cycles'!$DK$26:$DQ$26,1,DX316),1-INDEX('Lease Cycles'!$DR$26:$DX$26,1,DX316),1))-IF(DX317=0,INDEX('Lease Cycles'!$DD$26:$DJ$26,1,DX316),0))),0)</f>
        <v>0</v>
      </c>
      <c r="DY323" s="28">
        <f>IF(DY318=1,IF(INDEX('Lease Cycles'!$EF$26:$EL$26,1,DY316)=1,0,DY319*(1-IF(DY317&lt;INDEX('Lease Cycles'!$DK$26:$DQ$26,1,DY316),0,IF(DY317=INDEX('Lease Cycles'!$DK$26:$DQ$26,1,DY316),1-INDEX('Lease Cycles'!$DR$26:$DX$26,1,DY316),1))-IF(DY317=0,INDEX('Lease Cycles'!$DD$26:$DJ$26,1,DY316),0))),0)</f>
        <v>0</v>
      </c>
      <c r="DZ323" s="28">
        <f>IF(DZ318=1,IF(INDEX('Lease Cycles'!$EF$26:$EL$26,1,DZ316)=1,0,DZ319*(1-IF(DZ317&lt;INDEX('Lease Cycles'!$DK$26:$DQ$26,1,DZ316),0,IF(DZ317=INDEX('Lease Cycles'!$DK$26:$DQ$26,1,DZ316),1-INDEX('Lease Cycles'!$DR$26:$DX$26,1,DZ316),1))-IF(DZ317=0,INDEX('Lease Cycles'!$DD$26:$DJ$26,1,DZ316),0))),0)</f>
        <v>0</v>
      </c>
      <c r="EA323" s="28">
        <f>IF(EA318=1,IF(INDEX('Lease Cycles'!$EF$26:$EL$26,1,EA316)=1,0,EA319*(1-IF(EA317&lt;INDEX('Lease Cycles'!$DK$26:$DQ$26,1,EA316),0,IF(EA317=INDEX('Lease Cycles'!$DK$26:$DQ$26,1,EA316),1-INDEX('Lease Cycles'!$DR$26:$DX$26,1,EA316),1))-IF(EA317=0,INDEX('Lease Cycles'!$DD$26:$DJ$26,1,EA316),0))),0)</f>
        <v>0</v>
      </c>
      <c r="EB323" s="28">
        <f>IF(EB318=1,IF(INDEX('Lease Cycles'!$EF$26:$EL$26,1,EB316)=1,0,EB319*(1-IF(EB317&lt;INDEX('Lease Cycles'!$DK$26:$DQ$26,1,EB316),0,IF(EB317=INDEX('Lease Cycles'!$DK$26:$DQ$26,1,EB316),1-INDEX('Lease Cycles'!$DR$26:$DX$26,1,EB316),1))-IF(EB317=0,INDEX('Lease Cycles'!$DD$26:$DJ$26,1,EB316),0))),0)</f>
        <v>0</v>
      </c>
      <c r="EC323" s="28">
        <f>IF(EC318=1,IF(INDEX('Lease Cycles'!$EF$26:$EL$26,1,EC316)=1,0,EC319*(1-IF(EC317&lt;INDEX('Lease Cycles'!$DK$26:$DQ$26,1,EC316),0,IF(EC317=INDEX('Lease Cycles'!$DK$26:$DQ$26,1,EC316),1-INDEX('Lease Cycles'!$DR$26:$DX$26,1,EC316),1))-IF(EC317=0,INDEX('Lease Cycles'!$DD$26:$DJ$26,1,EC316),0))),0)</f>
        <v>0</v>
      </c>
      <c r="ED323" s="28">
        <f>IF(ED318=1,IF(INDEX('Lease Cycles'!$EF$26:$EL$26,1,ED316)=1,0,ED319*(1-IF(ED317&lt;INDEX('Lease Cycles'!$DK$26:$DQ$26,1,ED316),0,IF(ED317=INDEX('Lease Cycles'!$DK$26:$DQ$26,1,ED316),1-INDEX('Lease Cycles'!$DR$26:$DX$26,1,ED316),1))-IF(ED317=0,INDEX('Lease Cycles'!$DD$26:$DJ$26,1,ED316),0))),0)</f>
        <v>0</v>
      </c>
      <c r="EE323" s="28">
        <f>IF(EE318=1,IF(INDEX('Lease Cycles'!$EF$26:$EL$26,1,EE316)=1,0,EE319*(1-IF(EE317&lt;INDEX('Lease Cycles'!$DK$26:$DQ$26,1,EE316),0,IF(EE317=INDEX('Lease Cycles'!$DK$26:$DQ$26,1,EE316),1-INDEX('Lease Cycles'!$DR$26:$DX$26,1,EE316),1))-IF(EE317=0,INDEX('Lease Cycles'!$DD$26:$DJ$26,1,EE316),0))),0)</f>
        <v>0</v>
      </c>
      <c r="EF323" s="28">
        <f>IF(EF318=1,IF(INDEX('Lease Cycles'!$EF$26:$EL$26,1,EF316)=1,0,EF319*(1-IF(EF317&lt;INDEX('Lease Cycles'!$DK$26:$DQ$26,1,EF316),0,IF(EF317=INDEX('Lease Cycles'!$DK$26:$DQ$26,1,EF316),1-INDEX('Lease Cycles'!$DR$26:$DX$26,1,EF316),1))-IF(EF317=0,INDEX('Lease Cycles'!$DD$26:$DJ$26,1,EF316),0))),0)</f>
        <v>0</v>
      </c>
      <c r="EG323" s="28">
        <f>IF(EG318=1,IF(INDEX('Lease Cycles'!$EF$26:$EL$26,1,EG316)=1,0,EG319*(1-IF(EG317&lt;INDEX('Lease Cycles'!$DK$26:$DQ$26,1,EG316),0,IF(EG317=INDEX('Lease Cycles'!$DK$26:$DQ$26,1,EG316),1-INDEX('Lease Cycles'!$DR$26:$DX$26,1,EG316),1))-IF(EG317=0,INDEX('Lease Cycles'!$DD$26:$DJ$26,1,EG316),0))),0)</f>
        <v>0</v>
      </c>
      <c r="EH323" s="28">
        <f>IF(EH318=1,IF(INDEX('Lease Cycles'!$EF$26:$EL$26,1,EH316)=1,0,EH319*(1-IF(EH317&lt;INDEX('Lease Cycles'!$DK$26:$DQ$26,1,EH316),0,IF(EH317=INDEX('Lease Cycles'!$DK$26:$DQ$26,1,EH316),1-INDEX('Lease Cycles'!$DR$26:$DX$26,1,EH316),1))-IF(EH317=0,INDEX('Lease Cycles'!$DD$26:$DJ$26,1,EH316),0))),0)</f>
        <v>0</v>
      </c>
      <c r="EI323" s="28">
        <f>IF(EI318=1,IF(INDEX('Lease Cycles'!$EF$26:$EL$26,1,EI316)=1,0,EI319*(1-IF(EI317&lt;INDEX('Lease Cycles'!$DK$26:$DQ$26,1,EI316),0,IF(EI317=INDEX('Lease Cycles'!$DK$26:$DQ$26,1,EI316),1-INDEX('Lease Cycles'!$DR$26:$DX$26,1,EI316),1))-IF(EI317=0,INDEX('Lease Cycles'!$DD$26:$DJ$26,1,EI316),0))),0)</f>
        <v>0</v>
      </c>
      <c r="EJ323" s="28">
        <f>IF(EJ318=1,IF(INDEX('Lease Cycles'!$EF$26:$EL$26,1,EJ316)=1,0,EJ319*(1-IF(EJ317&lt;INDEX('Lease Cycles'!$DK$26:$DQ$26,1,EJ316),0,IF(EJ317=INDEX('Lease Cycles'!$DK$26:$DQ$26,1,EJ316),1-INDEX('Lease Cycles'!$DR$26:$DX$26,1,EJ316),1))-IF(EJ317=0,INDEX('Lease Cycles'!$DD$26:$DJ$26,1,EJ316),0))),0)</f>
        <v>0</v>
      </c>
      <c r="EK323" s="28">
        <f>IF(EK318=1,IF(INDEX('Lease Cycles'!$EF$26:$EL$26,1,EK316)=1,0,EK319*(1-IF(EK317&lt;INDEX('Lease Cycles'!$DK$26:$DQ$26,1,EK316),0,IF(EK317=INDEX('Lease Cycles'!$DK$26:$DQ$26,1,EK316),1-INDEX('Lease Cycles'!$DR$26:$DX$26,1,EK316),1))-IF(EK317=0,INDEX('Lease Cycles'!$DD$26:$DJ$26,1,EK316),0))),0)</f>
        <v>0</v>
      </c>
      <c r="EL323" s="28">
        <f>IF(EL318=1,IF(INDEX('Lease Cycles'!$EF$26:$EL$26,1,EL316)=1,0,EL319*(1-IF(EL317&lt;INDEX('Lease Cycles'!$DK$26:$DQ$26,1,EL316),0,IF(EL317=INDEX('Lease Cycles'!$DK$26:$DQ$26,1,EL316),1-INDEX('Lease Cycles'!$DR$26:$DX$26,1,EL316),1))-IF(EL317=0,INDEX('Lease Cycles'!$DD$26:$DJ$26,1,EL316),0))),0)</f>
        <v>0</v>
      </c>
      <c r="EM323" s="28">
        <f>IF(EM318=1,IF(INDEX('Lease Cycles'!$EF$26:$EL$26,1,EM316)=1,0,EM319*(1-IF(EM317&lt;INDEX('Lease Cycles'!$DK$26:$DQ$26,1,EM316),0,IF(EM317=INDEX('Lease Cycles'!$DK$26:$DQ$26,1,EM316),1-INDEX('Lease Cycles'!$DR$26:$DX$26,1,EM316),1))-IF(EM317=0,INDEX('Lease Cycles'!$DD$26:$DJ$26,1,EM316),0))),0)</f>
        <v>0</v>
      </c>
      <c r="EN323" s="28">
        <f>IF(EN318=1,IF(INDEX('Lease Cycles'!$EF$26:$EL$26,1,EN316)=1,0,EN319*(1-IF(EN317&lt;INDEX('Lease Cycles'!$DK$26:$DQ$26,1,EN316),0,IF(EN317=INDEX('Lease Cycles'!$DK$26:$DQ$26,1,EN316),1-INDEX('Lease Cycles'!$DR$26:$DX$26,1,EN316),1))-IF(EN317=0,INDEX('Lease Cycles'!$DD$26:$DJ$26,1,EN316),0))),0)</f>
        <v>0</v>
      </c>
      <c r="EO323" s="28">
        <f>IF(EO318=1,IF(INDEX('Lease Cycles'!$EF$26:$EL$26,1,EO316)=1,0,EO319*(1-IF(EO317&lt;INDEX('Lease Cycles'!$DK$26:$DQ$26,1,EO316),0,IF(EO317=INDEX('Lease Cycles'!$DK$26:$DQ$26,1,EO316),1-INDEX('Lease Cycles'!$DR$26:$DX$26,1,EO316),1))-IF(EO317=0,INDEX('Lease Cycles'!$DD$26:$DJ$26,1,EO316),0))),0)</f>
        <v>0</v>
      </c>
      <c r="EP323" s="28">
        <f>IF(EP318=1,IF(INDEX('Lease Cycles'!$EF$26:$EL$26,1,EP316)=1,0,EP319*(1-IF(EP317&lt;INDEX('Lease Cycles'!$DK$26:$DQ$26,1,EP316),0,IF(EP317=INDEX('Lease Cycles'!$DK$26:$DQ$26,1,EP316),1-INDEX('Lease Cycles'!$DR$26:$DX$26,1,EP316),1))-IF(EP317=0,INDEX('Lease Cycles'!$DD$26:$DJ$26,1,EP316),0))),0)</f>
        <v>0</v>
      </c>
      <c r="EQ323" s="28">
        <f>IF(EQ318=1,IF(INDEX('Lease Cycles'!$EF$26:$EL$26,1,EQ316)=1,0,EQ319*(1-IF(EQ317&lt;INDEX('Lease Cycles'!$DK$26:$DQ$26,1,EQ316),0,IF(EQ317=INDEX('Lease Cycles'!$DK$26:$DQ$26,1,EQ316),1-INDEX('Lease Cycles'!$DR$26:$DX$26,1,EQ316),1))-IF(EQ317=0,INDEX('Lease Cycles'!$DD$26:$DJ$26,1,EQ316),0))),0)</f>
        <v>0</v>
      </c>
      <c r="ER323" s="28">
        <f>IF(ER318=1,IF(INDEX('Lease Cycles'!$EF$26:$EL$26,1,ER316)=1,0,ER319*(1-IF(ER317&lt;INDEX('Lease Cycles'!$DK$26:$DQ$26,1,ER316),0,IF(ER317=INDEX('Lease Cycles'!$DK$26:$DQ$26,1,ER316),1-INDEX('Lease Cycles'!$DR$26:$DX$26,1,ER316),1))-IF(ER317=0,INDEX('Lease Cycles'!$DD$26:$DJ$26,1,ER316),0))),0)</f>
        <v>0</v>
      </c>
      <c r="ES323" s="28">
        <f>IF(ES318=1,IF(INDEX('Lease Cycles'!$EF$26:$EL$26,1,ES316)=1,0,ES319*(1-IF(ES317&lt;INDEX('Lease Cycles'!$DK$26:$DQ$26,1,ES316),0,IF(ES317=INDEX('Lease Cycles'!$DK$26:$DQ$26,1,ES316),1-INDEX('Lease Cycles'!$DR$26:$DX$26,1,ES316),1))-IF(ES317=0,INDEX('Lease Cycles'!$DD$26:$DJ$26,1,ES316),0))),0)</f>
        <v>0</v>
      </c>
      <c r="ET323" s="28">
        <f>IF(ET318=1,IF(INDEX('Lease Cycles'!$EF$26:$EL$26,1,ET316)=1,0,ET319*(1-IF(ET317&lt;INDEX('Lease Cycles'!$DK$26:$DQ$26,1,ET316),0,IF(ET317=INDEX('Lease Cycles'!$DK$26:$DQ$26,1,ET316),1-INDEX('Lease Cycles'!$DR$26:$DX$26,1,ET316),1))-IF(ET317=0,INDEX('Lease Cycles'!$DD$26:$DJ$26,1,ET316),0))),0)</f>
        <v>0</v>
      </c>
    </row>
    <row r="324">
      <c r="A324" s="103">
        <v>19</v>
      </c>
      <c r="B324" s="23" t="str">
        <f>IF('Lease Cycles'!$B$26="","(empty slot)",'Lease Cycles'!$B$26)</f>
        <v>(empty slot)</v>
      </c>
      <c r="C324" s="23" t="s">
        <v>683</v>
      </c>
      <c r="D324" s="104" t="s">
        <v>684</v>
      </c>
      <c r="E324" s="25">
        <f>'Lease Cycles'!$AL$26</f>
        <v>0</v>
      </c>
      <c r="G324" s="24">
        <f>SUM(S324:AD324)</f>
        <v>0</v>
      </c>
      <c r="H324" s="24">
        <f>SUM(AE324:AP324)</f>
        <v>0</v>
      </c>
      <c r="I324" s="24">
        <f>SUM(AQ324:BB324)</f>
        <v>0</v>
      </c>
      <c r="J324" s="24">
        <f>SUM(BC324:BN324)</f>
        <v>0</v>
      </c>
      <c r="K324" s="24">
        <f>SUM(BO324:BZ324)</f>
        <v>0</v>
      </c>
      <c r="L324" s="24">
        <f>SUM(CA324:CL324)</f>
        <v>0</v>
      </c>
      <c r="M324" s="24">
        <f>SUM(CM324:CX324)</f>
        <v>0</v>
      </c>
      <c r="N324" s="24">
        <f>SUM(CY324:DJ324)</f>
        <v>0</v>
      </c>
      <c r="O324" s="24">
        <f>SUM(DK324:DV324)</f>
        <v>0</v>
      </c>
      <c r="P324" s="24">
        <f>SUM(DW324:EH324)</f>
        <v>0</v>
      </c>
      <c r="Q324" s="24">
        <f>SUM(EI324:ET324)</f>
        <v>0</v>
      </c>
      <c r="S324" s="24">
        <f>IF(S318=1,'Lease Cycles'!$D$26*IF(INDEX('Lease Cycles'!$EF$26:$EL$26,1,S316)=1,(1-'Lease Cycles'!$AJ$26)*INDEX('Lease Cycles'!$EM$26:$ES$26,1,S316)+(1-'Lease Cycles'!$BE$26)*IF(S317&lt;INDEX('Lease Cycles'!$FA$26:$FG$26,1,S316),0,1-INDEX('Lease Cycles'!$EM$26:$ES$26,1,S316)),IF(OR(INDEX('Lease Cycles'!$DY$26:$EE$26,1,S316)=1,S317&gt;0),1,1-INDEX('Lease Cycles'!$DD$26:$DJ$26,1,S316))*((1-'Lease Cycles'!$AJ$26)*INDEX('Lease Cycles'!$FO$26:$FU$26,1,S316)+(1-'Lease Cycles'!$BE$26)*(1-INDEX('Lease Cycles'!$FO$26:$FU$26,1,S316)))),0)</f>
        <v>0</v>
      </c>
      <c r="T324" s="24">
        <f>IF(T318=1,'Lease Cycles'!$D$26*IF(INDEX('Lease Cycles'!$EF$26:$EL$26,1,T316)=1,(1-'Lease Cycles'!$AJ$26)*INDEX('Lease Cycles'!$EM$26:$ES$26,1,T316)+(1-'Lease Cycles'!$BE$26)*IF(T317&lt;INDEX('Lease Cycles'!$FA$26:$FG$26,1,T316),0,1-INDEX('Lease Cycles'!$EM$26:$ES$26,1,T316)),IF(OR(INDEX('Lease Cycles'!$DY$26:$EE$26,1,T316)=1,T317&gt;0),1,1-INDEX('Lease Cycles'!$DD$26:$DJ$26,1,T316))*((1-'Lease Cycles'!$AJ$26)*INDEX('Lease Cycles'!$FO$26:$FU$26,1,T316)+(1-'Lease Cycles'!$BE$26)*(1-INDEX('Lease Cycles'!$FO$26:$FU$26,1,T316)))),0)</f>
        <v>0</v>
      </c>
      <c r="U324" s="24">
        <f>IF(U318=1,'Lease Cycles'!$D$26*IF(INDEX('Lease Cycles'!$EF$26:$EL$26,1,U316)=1,(1-'Lease Cycles'!$AJ$26)*INDEX('Lease Cycles'!$EM$26:$ES$26,1,U316)+(1-'Lease Cycles'!$BE$26)*IF(U317&lt;INDEX('Lease Cycles'!$FA$26:$FG$26,1,U316),0,1-INDEX('Lease Cycles'!$EM$26:$ES$26,1,U316)),IF(OR(INDEX('Lease Cycles'!$DY$26:$EE$26,1,U316)=1,U317&gt;0),1,1-INDEX('Lease Cycles'!$DD$26:$DJ$26,1,U316))*((1-'Lease Cycles'!$AJ$26)*INDEX('Lease Cycles'!$FO$26:$FU$26,1,U316)+(1-'Lease Cycles'!$BE$26)*(1-INDEX('Lease Cycles'!$FO$26:$FU$26,1,U316)))),0)</f>
        <v>0</v>
      </c>
      <c r="V324" s="24">
        <f>IF(V318=1,'Lease Cycles'!$D$26*IF(INDEX('Lease Cycles'!$EF$26:$EL$26,1,V316)=1,(1-'Lease Cycles'!$AJ$26)*INDEX('Lease Cycles'!$EM$26:$ES$26,1,V316)+(1-'Lease Cycles'!$BE$26)*IF(V317&lt;INDEX('Lease Cycles'!$FA$26:$FG$26,1,V316),0,1-INDEX('Lease Cycles'!$EM$26:$ES$26,1,V316)),IF(OR(INDEX('Lease Cycles'!$DY$26:$EE$26,1,V316)=1,V317&gt;0),1,1-INDEX('Lease Cycles'!$DD$26:$DJ$26,1,V316))*((1-'Lease Cycles'!$AJ$26)*INDEX('Lease Cycles'!$FO$26:$FU$26,1,V316)+(1-'Lease Cycles'!$BE$26)*(1-INDEX('Lease Cycles'!$FO$26:$FU$26,1,V316)))),0)</f>
        <v>0</v>
      </c>
      <c r="W324" s="24">
        <f>IF(W318=1,'Lease Cycles'!$D$26*IF(INDEX('Lease Cycles'!$EF$26:$EL$26,1,W316)=1,(1-'Lease Cycles'!$AJ$26)*INDEX('Lease Cycles'!$EM$26:$ES$26,1,W316)+(1-'Lease Cycles'!$BE$26)*IF(W317&lt;INDEX('Lease Cycles'!$FA$26:$FG$26,1,W316),0,1-INDEX('Lease Cycles'!$EM$26:$ES$26,1,W316)),IF(OR(INDEX('Lease Cycles'!$DY$26:$EE$26,1,W316)=1,W317&gt;0),1,1-INDEX('Lease Cycles'!$DD$26:$DJ$26,1,W316))*((1-'Lease Cycles'!$AJ$26)*INDEX('Lease Cycles'!$FO$26:$FU$26,1,W316)+(1-'Lease Cycles'!$BE$26)*(1-INDEX('Lease Cycles'!$FO$26:$FU$26,1,W316)))),0)</f>
        <v>0</v>
      </c>
      <c r="X324" s="24">
        <f>IF(X318=1,'Lease Cycles'!$D$26*IF(INDEX('Lease Cycles'!$EF$26:$EL$26,1,X316)=1,(1-'Lease Cycles'!$AJ$26)*INDEX('Lease Cycles'!$EM$26:$ES$26,1,X316)+(1-'Lease Cycles'!$BE$26)*IF(X317&lt;INDEX('Lease Cycles'!$FA$26:$FG$26,1,X316),0,1-INDEX('Lease Cycles'!$EM$26:$ES$26,1,X316)),IF(OR(INDEX('Lease Cycles'!$DY$26:$EE$26,1,X316)=1,X317&gt;0),1,1-INDEX('Lease Cycles'!$DD$26:$DJ$26,1,X316))*((1-'Lease Cycles'!$AJ$26)*INDEX('Lease Cycles'!$FO$26:$FU$26,1,X316)+(1-'Lease Cycles'!$BE$26)*(1-INDEX('Lease Cycles'!$FO$26:$FU$26,1,X316)))),0)</f>
        <v>0</v>
      </c>
      <c r="Y324" s="24">
        <f>IF(Y318=1,'Lease Cycles'!$D$26*IF(INDEX('Lease Cycles'!$EF$26:$EL$26,1,Y316)=1,(1-'Lease Cycles'!$AJ$26)*INDEX('Lease Cycles'!$EM$26:$ES$26,1,Y316)+(1-'Lease Cycles'!$BE$26)*IF(Y317&lt;INDEX('Lease Cycles'!$FA$26:$FG$26,1,Y316),0,1-INDEX('Lease Cycles'!$EM$26:$ES$26,1,Y316)),IF(OR(INDEX('Lease Cycles'!$DY$26:$EE$26,1,Y316)=1,Y317&gt;0),1,1-INDEX('Lease Cycles'!$DD$26:$DJ$26,1,Y316))*((1-'Lease Cycles'!$AJ$26)*INDEX('Lease Cycles'!$FO$26:$FU$26,1,Y316)+(1-'Lease Cycles'!$BE$26)*(1-INDEX('Lease Cycles'!$FO$26:$FU$26,1,Y316)))),0)</f>
        <v>0</v>
      </c>
      <c r="Z324" s="24">
        <f>IF(Z318=1,'Lease Cycles'!$D$26*IF(INDEX('Lease Cycles'!$EF$26:$EL$26,1,Z316)=1,(1-'Lease Cycles'!$AJ$26)*INDEX('Lease Cycles'!$EM$26:$ES$26,1,Z316)+(1-'Lease Cycles'!$BE$26)*IF(Z317&lt;INDEX('Lease Cycles'!$FA$26:$FG$26,1,Z316),0,1-INDEX('Lease Cycles'!$EM$26:$ES$26,1,Z316)),IF(OR(INDEX('Lease Cycles'!$DY$26:$EE$26,1,Z316)=1,Z317&gt;0),1,1-INDEX('Lease Cycles'!$DD$26:$DJ$26,1,Z316))*((1-'Lease Cycles'!$AJ$26)*INDEX('Lease Cycles'!$FO$26:$FU$26,1,Z316)+(1-'Lease Cycles'!$BE$26)*(1-INDEX('Lease Cycles'!$FO$26:$FU$26,1,Z316)))),0)</f>
        <v>0</v>
      </c>
      <c r="AA324" s="24">
        <f>IF(AA318=1,'Lease Cycles'!$D$26*IF(INDEX('Lease Cycles'!$EF$26:$EL$26,1,AA316)=1,(1-'Lease Cycles'!$AJ$26)*INDEX('Lease Cycles'!$EM$26:$ES$26,1,AA316)+(1-'Lease Cycles'!$BE$26)*IF(AA317&lt;INDEX('Lease Cycles'!$FA$26:$FG$26,1,AA316),0,1-INDEX('Lease Cycles'!$EM$26:$ES$26,1,AA316)),IF(OR(INDEX('Lease Cycles'!$DY$26:$EE$26,1,AA316)=1,AA317&gt;0),1,1-INDEX('Lease Cycles'!$DD$26:$DJ$26,1,AA316))*((1-'Lease Cycles'!$AJ$26)*INDEX('Lease Cycles'!$FO$26:$FU$26,1,AA316)+(1-'Lease Cycles'!$BE$26)*(1-INDEX('Lease Cycles'!$FO$26:$FU$26,1,AA316)))),0)</f>
        <v>0</v>
      </c>
      <c r="AB324" s="24">
        <f>IF(AB318=1,'Lease Cycles'!$D$26*IF(INDEX('Lease Cycles'!$EF$26:$EL$26,1,AB316)=1,(1-'Lease Cycles'!$AJ$26)*INDEX('Lease Cycles'!$EM$26:$ES$26,1,AB316)+(1-'Lease Cycles'!$BE$26)*IF(AB317&lt;INDEX('Lease Cycles'!$FA$26:$FG$26,1,AB316),0,1-INDEX('Lease Cycles'!$EM$26:$ES$26,1,AB316)),IF(OR(INDEX('Lease Cycles'!$DY$26:$EE$26,1,AB316)=1,AB317&gt;0),1,1-INDEX('Lease Cycles'!$DD$26:$DJ$26,1,AB316))*((1-'Lease Cycles'!$AJ$26)*INDEX('Lease Cycles'!$FO$26:$FU$26,1,AB316)+(1-'Lease Cycles'!$BE$26)*(1-INDEX('Lease Cycles'!$FO$26:$FU$26,1,AB316)))),0)</f>
        <v>0</v>
      </c>
      <c r="AC324" s="24">
        <f>IF(AC318=1,'Lease Cycles'!$D$26*IF(INDEX('Lease Cycles'!$EF$26:$EL$26,1,AC316)=1,(1-'Lease Cycles'!$AJ$26)*INDEX('Lease Cycles'!$EM$26:$ES$26,1,AC316)+(1-'Lease Cycles'!$BE$26)*IF(AC317&lt;INDEX('Lease Cycles'!$FA$26:$FG$26,1,AC316),0,1-INDEX('Lease Cycles'!$EM$26:$ES$26,1,AC316)),IF(OR(INDEX('Lease Cycles'!$DY$26:$EE$26,1,AC316)=1,AC317&gt;0),1,1-INDEX('Lease Cycles'!$DD$26:$DJ$26,1,AC316))*((1-'Lease Cycles'!$AJ$26)*INDEX('Lease Cycles'!$FO$26:$FU$26,1,AC316)+(1-'Lease Cycles'!$BE$26)*(1-INDEX('Lease Cycles'!$FO$26:$FU$26,1,AC316)))),0)</f>
        <v>0</v>
      </c>
      <c r="AD324" s="24">
        <f>IF(AD318=1,'Lease Cycles'!$D$26*IF(INDEX('Lease Cycles'!$EF$26:$EL$26,1,AD316)=1,(1-'Lease Cycles'!$AJ$26)*INDEX('Lease Cycles'!$EM$26:$ES$26,1,AD316)+(1-'Lease Cycles'!$BE$26)*IF(AD317&lt;INDEX('Lease Cycles'!$FA$26:$FG$26,1,AD316),0,1-INDEX('Lease Cycles'!$EM$26:$ES$26,1,AD316)),IF(OR(INDEX('Lease Cycles'!$DY$26:$EE$26,1,AD316)=1,AD317&gt;0),1,1-INDEX('Lease Cycles'!$DD$26:$DJ$26,1,AD316))*((1-'Lease Cycles'!$AJ$26)*INDEX('Lease Cycles'!$FO$26:$FU$26,1,AD316)+(1-'Lease Cycles'!$BE$26)*(1-INDEX('Lease Cycles'!$FO$26:$FU$26,1,AD316)))),0)</f>
        <v>0</v>
      </c>
      <c r="AE324" s="24">
        <f>IF(AE318=1,'Lease Cycles'!$D$26*IF(INDEX('Lease Cycles'!$EF$26:$EL$26,1,AE316)=1,(1-'Lease Cycles'!$AJ$26)*INDEX('Lease Cycles'!$EM$26:$ES$26,1,AE316)+(1-'Lease Cycles'!$BE$26)*IF(AE317&lt;INDEX('Lease Cycles'!$FA$26:$FG$26,1,AE316),0,1-INDEX('Lease Cycles'!$EM$26:$ES$26,1,AE316)),IF(OR(INDEX('Lease Cycles'!$DY$26:$EE$26,1,AE316)=1,AE317&gt;0),1,1-INDEX('Lease Cycles'!$DD$26:$DJ$26,1,AE316))*((1-'Lease Cycles'!$AJ$26)*INDEX('Lease Cycles'!$FO$26:$FU$26,1,AE316)+(1-'Lease Cycles'!$BE$26)*(1-INDEX('Lease Cycles'!$FO$26:$FU$26,1,AE316)))),0)</f>
        <v>0</v>
      </c>
      <c r="AF324" s="24">
        <f>IF(AF318=1,'Lease Cycles'!$D$26*IF(INDEX('Lease Cycles'!$EF$26:$EL$26,1,AF316)=1,(1-'Lease Cycles'!$AJ$26)*INDEX('Lease Cycles'!$EM$26:$ES$26,1,AF316)+(1-'Lease Cycles'!$BE$26)*IF(AF317&lt;INDEX('Lease Cycles'!$FA$26:$FG$26,1,AF316),0,1-INDEX('Lease Cycles'!$EM$26:$ES$26,1,AF316)),IF(OR(INDEX('Lease Cycles'!$DY$26:$EE$26,1,AF316)=1,AF317&gt;0),1,1-INDEX('Lease Cycles'!$DD$26:$DJ$26,1,AF316))*((1-'Lease Cycles'!$AJ$26)*INDEX('Lease Cycles'!$FO$26:$FU$26,1,AF316)+(1-'Lease Cycles'!$BE$26)*(1-INDEX('Lease Cycles'!$FO$26:$FU$26,1,AF316)))),0)</f>
        <v>0</v>
      </c>
      <c r="AG324" s="24">
        <f>IF(AG318=1,'Lease Cycles'!$D$26*IF(INDEX('Lease Cycles'!$EF$26:$EL$26,1,AG316)=1,(1-'Lease Cycles'!$AJ$26)*INDEX('Lease Cycles'!$EM$26:$ES$26,1,AG316)+(1-'Lease Cycles'!$BE$26)*IF(AG317&lt;INDEX('Lease Cycles'!$FA$26:$FG$26,1,AG316),0,1-INDEX('Lease Cycles'!$EM$26:$ES$26,1,AG316)),IF(OR(INDEX('Lease Cycles'!$DY$26:$EE$26,1,AG316)=1,AG317&gt;0),1,1-INDEX('Lease Cycles'!$DD$26:$DJ$26,1,AG316))*((1-'Lease Cycles'!$AJ$26)*INDEX('Lease Cycles'!$FO$26:$FU$26,1,AG316)+(1-'Lease Cycles'!$BE$26)*(1-INDEX('Lease Cycles'!$FO$26:$FU$26,1,AG316)))),0)</f>
        <v>0</v>
      </c>
      <c r="AH324" s="24">
        <f>IF(AH318=1,'Lease Cycles'!$D$26*IF(INDEX('Lease Cycles'!$EF$26:$EL$26,1,AH316)=1,(1-'Lease Cycles'!$AJ$26)*INDEX('Lease Cycles'!$EM$26:$ES$26,1,AH316)+(1-'Lease Cycles'!$BE$26)*IF(AH317&lt;INDEX('Lease Cycles'!$FA$26:$FG$26,1,AH316),0,1-INDEX('Lease Cycles'!$EM$26:$ES$26,1,AH316)),IF(OR(INDEX('Lease Cycles'!$DY$26:$EE$26,1,AH316)=1,AH317&gt;0),1,1-INDEX('Lease Cycles'!$DD$26:$DJ$26,1,AH316))*((1-'Lease Cycles'!$AJ$26)*INDEX('Lease Cycles'!$FO$26:$FU$26,1,AH316)+(1-'Lease Cycles'!$BE$26)*(1-INDEX('Lease Cycles'!$FO$26:$FU$26,1,AH316)))),0)</f>
        <v>0</v>
      </c>
      <c r="AI324" s="24">
        <f>IF(AI318=1,'Lease Cycles'!$D$26*IF(INDEX('Lease Cycles'!$EF$26:$EL$26,1,AI316)=1,(1-'Lease Cycles'!$AJ$26)*INDEX('Lease Cycles'!$EM$26:$ES$26,1,AI316)+(1-'Lease Cycles'!$BE$26)*IF(AI317&lt;INDEX('Lease Cycles'!$FA$26:$FG$26,1,AI316),0,1-INDEX('Lease Cycles'!$EM$26:$ES$26,1,AI316)),IF(OR(INDEX('Lease Cycles'!$DY$26:$EE$26,1,AI316)=1,AI317&gt;0),1,1-INDEX('Lease Cycles'!$DD$26:$DJ$26,1,AI316))*((1-'Lease Cycles'!$AJ$26)*INDEX('Lease Cycles'!$FO$26:$FU$26,1,AI316)+(1-'Lease Cycles'!$BE$26)*(1-INDEX('Lease Cycles'!$FO$26:$FU$26,1,AI316)))),0)</f>
        <v>0</v>
      </c>
      <c r="AJ324" s="24">
        <f>IF(AJ318=1,'Lease Cycles'!$D$26*IF(INDEX('Lease Cycles'!$EF$26:$EL$26,1,AJ316)=1,(1-'Lease Cycles'!$AJ$26)*INDEX('Lease Cycles'!$EM$26:$ES$26,1,AJ316)+(1-'Lease Cycles'!$BE$26)*IF(AJ317&lt;INDEX('Lease Cycles'!$FA$26:$FG$26,1,AJ316),0,1-INDEX('Lease Cycles'!$EM$26:$ES$26,1,AJ316)),IF(OR(INDEX('Lease Cycles'!$DY$26:$EE$26,1,AJ316)=1,AJ317&gt;0),1,1-INDEX('Lease Cycles'!$DD$26:$DJ$26,1,AJ316))*((1-'Lease Cycles'!$AJ$26)*INDEX('Lease Cycles'!$FO$26:$FU$26,1,AJ316)+(1-'Lease Cycles'!$BE$26)*(1-INDEX('Lease Cycles'!$FO$26:$FU$26,1,AJ316)))),0)</f>
        <v>0</v>
      </c>
      <c r="AK324" s="24">
        <f>IF(AK318=1,'Lease Cycles'!$D$26*IF(INDEX('Lease Cycles'!$EF$26:$EL$26,1,AK316)=1,(1-'Lease Cycles'!$AJ$26)*INDEX('Lease Cycles'!$EM$26:$ES$26,1,AK316)+(1-'Lease Cycles'!$BE$26)*IF(AK317&lt;INDEX('Lease Cycles'!$FA$26:$FG$26,1,AK316),0,1-INDEX('Lease Cycles'!$EM$26:$ES$26,1,AK316)),IF(OR(INDEX('Lease Cycles'!$DY$26:$EE$26,1,AK316)=1,AK317&gt;0),1,1-INDEX('Lease Cycles'!$DD$26:$DJ$26,1,AK316))*((1-'Lease Cycles'!$AJ$26)*INDEX('Lease Cycles'!$FO$26:$FU$26,1,AK316)+(1-'Lease Cycles'!$BE$26)*(1-INDEX('Lease Cycles'!$FO$26:$FU$26,1,AK316)))),0)</f>
        <v>0</v>
      </c>
      <c r="AL324" s="24">
        <f>IF(AL318=1,'Lease Cycles'!$D$26*IF(INDEX('Lease Cycles'!$EF$26:$EL$26,1,AL316)=1,(1-'Lease Cycles'!$AJ$26)*INDEX('Lease Cycles'!$EM$26:$ES$26,1,AL316)+(1-'Lease Cycles'!$BE$26)*IF(AL317&lt;INDEX('Lease Cycles'!$FA$26:$FG$26,1,AL316),0,1-INDEX('Lease Cycles'!$EM$26:$ES$26,1,AL316)),IF(OR(INDEX('Lease Cycles'!$DY$26:$EE$26,1,AL316)=1,AL317&gt;0),1,1-INDEX('Lease Cycles'!$DD$26:$DJ$26,1,AL316))*((1-'Lease Cycles'!$AJ$26)*INDEX('Lease Cycles'!$FO$26:$FU$26,1,AL316)+(1-'Lease Cycles'!$BE$26)*(1-INDEX('Lease Cycles'!$FO$26:$FU$26,1,AL316)))),0)</f>
        <v>0</v>
      </c>
      <c r="AM324" s="24">
        <f>IF(AM318=1,'Lease Cycles'!$D$26*IF(INDEX('Lease Cycles'!$EF$26:$EL$26,1,AM316)=1,(1-'Lease Cycles'!$AJ$26)*INDEX('Lease Cycles'!$EM$26:$ES$26,1,AM316)+(1-'Lease Cycles'!$BE$26)*IF(AM317&lt;INDEX('Lease Cycles'!$FA$26:$FG$26,1,AM316),0,1-INDEX('Lease Cycles'!$EM$26:$ES$26,1,AM316)),IF(OR(INDEX('Lease Cycles'!$DY$26:$EE$26,1,AM316)=1,AM317&gt;0),1,1-INDEX('Lease Cycles'!$DD$26:$DJ$26,1,AM316))*((1-'Lease Cycles'!$AJ$26)*INDEX('Lease Cycles'!$FO$26:$FU$26,1,AM316)+(1-'Lease Cycles'!$BE$26)*(1-INDEX('Lease Cycles'!$FO$26:$FU$26,1,AM316)))),0)</f>
        <v>0</v>
      </c>
      <c r="AN324" s="24">
        <f>IF(AN318=1,'Lease Cycles'!$D$26*IF(INDEX('Lease Cycles'!$EF$26:$EL$26,1,AN316)=1,(1-'Lease Cycles'!$AJ$26)*INDEX('Lease Cycles'!$EM$26:$ES$26,1,AN316)+(1-'Lease Cycles'!$BE$26)*IF(AN317&lt;INDEX('Lease Cycles'!$FA$26:$FG$26,1,AN316),0,1-INDEX('Lease Cycles'!$EM$26:$ES$26,1,AN316)),IF(OR(INDEX('Lease Cycles'!$DY$26:$EE$26,1,AN316)=1,AN317&gt;0),1,1-INDEX('Lease Cycles'!$DD$26:$DJ$26,1,AN316))*((1-'Lease Cycles'!$AJ$26)*INDEX('Lease Cycles'!$FO$26:$FU$26,1,AN316)+(1-'Lease Cycles'!$BE$26)*(1-INDEX('Lease Cycles'!$FO$26:$FU$26,1,AN316)))),0)</f>
        <v>0</v>
      </c>
      <c r="AO324" s="24">
        <f>IF(AO318=1,'Lease Cycles'!$D$26*IF(INDEX('Lease Cycles'!$EF$26:$EL$26,1,AO316)=1,(1-'Lease Cycles'!$AJ$26)*INDEX('Lease Cycles'!$EM$26:$ES$26,1,AO316)+(1-'Lease Cycles'!$BE$26)*IF(AO317&lt;INDEX('Lease Cycles'!$FA$26:$FG$26,1,AO316),0,1-INDEX('Lease Cycles'!$EM$26:$ES$26,1,AO316)),IF(OR(INDEX('Lease Cycles'!$DY$26:$EE$26,1,AO316)=1,AO317&gt;0),1,1-INDEX('Lease Cycles'!$DD$26:$DJ$26,1,AO316))*((1-'Lease Cycles'!$AJ$26)*INDEX('Lease Cycles'!$FO$26:$FU$26,1,AO316)+(1-'Lease Cycles'!$BE$26)*(1-INDEX('Lease Cycles'!$FO$26:$FU$26,1,AO316)))),0)</f>
        <v>0</v>
      </c>
      <c r="AP324" s="24">
        <f>IF(AP318=1,'Lease Cycles'!$D$26*IF(INDEX('Lease Cycles'!$EF$26:$EL$26,1,AP316)=1,(1-'Lease Cycles'!$AJ$26)*INDEX('Lease Cycles'!$EM$26:$ES$26,1,AP316)+(1-'Lease Cycles'!$BE$26)*IF(AP317&lt;INDEX('Lease Cycles'!$FA$26:$FG$26,1,AP316),0,1-INDEX('Lease Cycles'!$EM$26:$ES$26,1,AP316)),IF(OR(INDEX('Lease Cycles'!$DY$26:$EE$26,1,AP316)=1,AP317&gt;0),1,1-INDEX('Lease Cycles'!$DD$26:$DJ$26,1,AP316))*((1-'Lease Cycles'!$AJ$26)*INDEX('Lease Cycles'!$FO$26:$FU$26,1,AP316)+(1-'Lease Cycles'!$BE$26)*(1-INDEX('Lease Cycles'!$FO$26:$FU$26,1,AP316)))),0)</f>
        <v>0</v>
      </c>
      <c r="AQ324" s="24">
        <f>IF(AQ318=1,'Lease Cycles'!$D$26*IF(INDEX('Lease Cycles'!$EF$26:$EL$26,1,AQ316)=1,(1-'Lease Cycles'!$AJ$26)*INDEX('Lease Cycles'!$EM$26:$ES$26,1,AQ316)+(1-'Lease Cycles'!$BE$26)*IF(AQ317&lt;INDEX('Lease Cycles'!$FA$26:$FG$26,1,AQ316),0,1-INDEX('Lease Cycles'!$EM$26:$ES$26,1,AQ316)),IF(OR(INDEX('Lease Cycles'!$DY$26:$EE$26,1,AQ316)=1,AQ317&gt;0),1,1-INDEX('Lease Cycles'!$DD$26:$DJ$26,1,AQ316))*((1-'Lease Cycles'!$AJ$26)*INDEX('Lease Cycles'!$FO$26:$FU$26,1,AQ316)+(1-'Lease Cycles'!$BE$26)*(1-INDEX('Lease Cycles'!$FO$26:$FU$26,1,AQ316)))),0)</f>
        <v>0</v>
      </c>
      <c r="AR324" s="24">
        <f>IF(AR318=1,'Lease Cycles'!$D$26*IF(INDEX('Lease Cycles'!$EF$26:$EL$26,1,AR316)=1,(1-'Lease Cycles'!$AJ$26)*INDEX('Lease Cycles'!$EM$26:$ES$26,1,AR316)+(1-'Lease Cycles'!$BE$26)*IF(AR317&lt;INDEX('Lease Cycles'!$FA$26:$FG$26,1,AR316),0,1-INDEX('Lease Cycles'!$EM$26:$ES$26,1,AR316)),IF(OR(INDEX('Lease Cycles'!$DY$26:$EE$26,1,AR316)=1,AR317&gt;0),1,1-INDEX('Lease Cycles'!$DD$26:$DJ$26,1,AR316))*((1-'Lease Cycles'!$AJ$26)*INDEX('Lease Cycles'!$FO$26:$FU$26,1,AR316)+(1-'Lease Cycles'!$BE$26)*(1-INDEX('Lease Cycles'!$FO$26:$FU$26,1,AR316)))),0)</f>
        <v>0</v>
      </c>
      <c r="AS324" s="24">
        <f>IF(AS318=1,'Lease Cycles'!$D$26*IF(INDEX('Lease Cycles'!$EF$26:$EL$26,1,AS316)=1,(1-'Lease Cycles'!$AJ$26)*INDEX('Lease Cycles'!$EM$26:$ES$26,1,AS316)+(1-'Lease Cycles'!$BE$26)*IF(AS317&lt;INDEX('Lease Cycles'!$FA$26:$FG$26,1,AS316),0,1-INDEX('Lease Cycles'!$EM$26:$ES$26,1,AS316)),IF(OR(INDEX('Lease Cycles'!$DY$26:$EE$26,1,AS316)=1,AS317&gt;0),1,1-INDEX('Lease Cycles'!$DD$26:$DJ$26,1,AS316))*((1-'Lease Cycles'!$AJ$26)*INDEX('Lease Cycles'!$FO$26:$FU$26,1,AS316)+(1-'Lease Cycles'!$BE$26)*(1-INDEX('Lease Cycles'!$FO$26:$FU$26,1,AS316)))),0)</f>
        <v>0</v>
      </c>
      <c r="AT324" s="24">
        <f>IF(AT318=1,'Lease Cycles'!$D$26*IF(INDEX('Lease Cycles'!$EF$26:$EL$26,1,AT316)=1,(1-'Lease Cycles'!$AJ$26)*INDEX('Lease Cycles'!$EM$26:$ES$26,1,AT316)+(1-'Lease Cycles'!$BE$26)*IF(AT317&lt;INDEX('Lease Cycles'!$FA$26:$FG$26,1,AT316),0,1-INDEX('Lease Cycles'!$EM$26:$ES$26,1,AT316)),IF(OR(INDEX('Lease Cycles'!$DY$26:$EE$26,1,AT316)=1,AT317&gt;0),1,1-INDEX('Lease Cycles'!$DD$26:$DJ$26,1,AT316))*((1-'Lease Cycles'!$AJ$26)*INDEX('Lease Cycles'!$FO$26:$FU$26,1,AT316)+(1-'Lease Cycles'!$BE$26)*(1-INDEX('Lease Cycles'!$FO$26:$FU$26,1,AT316)))),0)</f>
        <v>0</v>
      </c>
      <c r="AU324" s="24">
        <f>IF(AU318=1,'Lease Cycles'!$D$26*IF(INDEX('Lease Cycles'!$EF$26:$EL$26,1,AU316)=1,(1-'Lease Cycles'!$AJ$26)*INDEX('Lease Cycles'!$EM$26:$ES$26,1,AU316)+(1-'Lease Cycles'!$BE$26)*IF(AU317&lt;INDEX('Lease Cycles'!$FA$26:$FG$26,1,AU316),0,1-INDEX('Lease Cycles'!$EM$26:$ES$26,1,AU316)),IF(OR(INDEX('Lease Cycles'!$DY$26:$EE$26,1,AU316)=1,AU317&gt;0),1,1-INDEX('Lease Cycles'!$DD$26:$DJ$26,1,AU316))*((1-'Lease Cycles'!$AJ$26)*INDEX('Lease Cycles'!$FO$26:$FU$26,1,AU316)+(1-'Lease Cycles'!$BE$26)*(1-INDEX('Lease Cycles'!$FO$26:$FU$26,1,AU316)))),0)</f>
        <v>0</v>
      </c>
      <c r="AV324" s="24">
        <f>IF(AV318=1,'Lease Cycles'!$D$26*IF(INDEX('Lease Cycles'!$EF$26:$EL$26,1,AV316)=1,(1-'Lease Cycles'!$AJ$26)*INDEX('Lease Cycles'!$EM$26:$ES$26,1,AV316)+(1-'Lease Cycles'!$BE$26)*IF(AV317&lt;INDEX('Lease Cycles'!$FA$26:$FG$26,1,AV316),0,1-INDEX('Lease Cycles'!$EM$26:$ES$26,1,AV316)),IF(OR(INDEX('Lease Cycles'!$DY$26:$EE$26,1,AV316)=1,AV317&gt;0),1,1-INDEX('Lease Cycles'!$DD$26:$DJ$26,1,AV316))*((1-'Lease Cycles'!$AJ$26)*INDEX('Lease Cycles'!$FO$26:$FU$26,1,AV316)+(1-'Lease Cycles'!$BE$26)*(1-INDEX('Lease Cycles'!$FO$26:$FU$26,1,AV316)))),0)</f>
        <v>0</v>
      </c>
      <c r="AW324" s="24">
        <f>IF(AW318=1,'Lease Cycles'!$D$26*IF(INDEX('Lease Cycles'!$EF$26:$EL$26,1,AW316)=1,(1-'Lease Cycles'!$AJ$26)*INDEX('Lease Cycles'!$EM$26:$ES$26,1,AW316)+(1-'Lease Cycles'!$BE$26)*IF(AW317&lt;INDEX('Lease Cycles'!$FA$26:$FG$26,1,AW316),0,1-INDEX('Lease Cycles'!$EM$26:$ES$26,1,AW316)),IF(OR(INDEX('Lease Cycles'!$DY$26:$EE$26,1,AW316)=1,AW317&gt;0),1,1-INDEX('Lease Cycles'!$DD$26:$DJ$26,1,AW316))*((1-'Lease Cycles'!$AJ$26)*INDEX('Lease Cycles'!$FO$26:$FU$26,1,AW316)+(1-'Lease Cycles'!$BE$26)*(1-INDEX('Lease Cycles'!$FO$26:$FU$26,1,AW316)))),0)</f>
        <v>0</v>
      </c>
      <c r="AX324" s="24">
        <f>IF(AX318=1,'Lease Cycles'!$D$26*IF(INDEX('Lease Cycles'!$EF$26:$EL$26,1,AX316)=1,(1-'Lease Cycles'!$AJ$26)*INDEX('Lease Cycles'!$EM$26:$ES$26,1,AX316)+(1-'Lease Cycles'!$BE$26)*IF(AX317&lt;INDEX('Lease Cycles'!$FA$26:$FG$26,1,AX316),0,1-INDEX('Lease Cycles'!$EM$26:$ES$26,1,AX316)),IF(OR(INDEX('Lease Cycles'!$DY$26:$EE$26,1,AX316)=1,AX317&gt;0),1,1-INDEX('Lease Cycles'!$DD$26:$DJ$26,1,AX316))*((1-'Lease Cycles'!$AJ$26)*INDEX('Lease Cycles'!$FO$26:$FU$26,1,AX316)+(1-'Lease Cycles'!$BE$26)*(1-INDEX('Lease Cycles'!$FO$26:$FU$26,1,AX316)))),0)</f>
        <v>0</v>
      </c>
      <c r="AY324" s="24">
        <f>IF(AY318=1,'Lease Cycles'!$D$26*IF(INDEX('Lease Cycles'!$EF$26:$EL$26,1,AY316)=1,(1-'Lease Cycles'!$AJ$26)*INDEX('Lease Cycles'!$EM$26:$ES$26,1,AY316)+(1-'Lease Cycles'!$BE$26)*IF(AY317&lt;INDEX('Lease Cycles'!$FA$26:$FG$26,1,AY316),0,1-INDEX('Lease Cycles'!$EM$26:$ES$26,1,AY316)),IF(OR(INDEX('Lease Cycles'!$DY$26:$EE$26,1,AY316)=1,AY317&gt;0),1,1-INDEX('Lease Cycles'!$DD$26:$DJ$26,1,AY316))*((1-'Lease Cycles'!$AJ$26)*INDEX('Lease Cycles'!$FO$26:$FU$26,1,AY316)+(1-'Lease Cycles'!$BE$26)*(1-INDEX('Lease Cycles'!$FO$26:$FU$26,1,AY316)))),0)</f>
        <v>0</v>
      </c>
      <c r="AZ324" s="24">
        <f>IF(AZ318=1,'Lease Cycles'!$D$26*IF(INDEX('Lease Cycles'!$EF$26:$EL$26,1,AZ316)=1,(1-'Lease Cycles'!$AJ$26)*INDEX('Lease Cycles'!$EM$26:$ES$26,1,AZ316)+(1-'Lease Cycles'!$BE$26)*IF(AZ317&lt;INDEX('Lease Cycles'!$FA$26:$FG$26,1,AZ316),0,1-INDEX('Lease Cycles'!$EM$26:$ES$26,1,AZ316)),IF(OR(INDEX('Lease Cycles'!$DY$26:$EE$26,1,AZ316)=1,AZ317&gt;0),1,1-INDEX('Lease Cycles'!$DD$26:$DJ$26,1,AZ316))*((1-'Lease Cycles'!$AJ$26)*INDEX('Lease Cycles'!$FO$26:$FU$26,1,AZ316)+(1-'Lease Cycles'!$BE$26)*(1-INDEX('Lease Cycles'!$FO$26:$FU$26,1,AZ316)))),0)</f>
        <v>0</v>
      </c>
      <c r="BA324" s="24">
        <f>IF(BA318=1,'Lease Cycles'!$D$26*IF(INDEX('Lease Cycles'!$EF$26:$EL$26,1,BA316)=1,(1-'Lease Cycles'!$AJ$26)*INDEX('Lease Cycles'!$EM$26:$ES$26,1,BA316)+(1-'Lease Cycles'!$BE$26)*IF(BA317&lt;INDEX('Lease Cycles'!$FA$26:$FG$26,1,BA316),0,1-INDEX('Lease Cycles'!$EM$26:$ES$26,1,BA316)),IF(OR(INDEX('Lease Cycles'!$DY$26:$EE$26,1,BA316)=1,BA317&gt;0),1,1-INDEX('Lease Cycles'!$DD$26:$DJ$26,1,BA316))*((1-'Lease Cycles'!$AJ$26)*INDEX('Lease Cycles'!$FO$26:$FU$26,1,BA316)+(1-'Lease Cycles'!$BE$26)*(1-INDEX('Lease Cycles'!$FO$26:$FU$26,1,BA316)))),0)</f>
        <v>0</v>
      </c>
      <c r="BB324" s="24">
        <f>IF(BB318=1,'Lease Cycles'!$D$26*IF(INDEX('Lease Cycles'!$EF$26:$EL$26,1,BB316)=1,(1-'Lease Cycles'!$AJ$26)*INDEX('Lease Cycles'!$EM$26:$ES$26,1,BB316)+(1-'Lease Cycles'!$BE$26)*IF(BB317&lt;INDEX('Lease Cycles'!$FA$26:$FG$26,1,BB316),0,1-INDEX('Lease Cycles'!$EM$26:$ES$26,1,BB316)),IF(OR(INDEX('Lease Cycles'!$DY$26:$EE$26,1,BB316)=1,BB317&gt;0),1,1-INDEX('Lease Cycles'!$DD$26:$DJ$26,1,BB316))*((1-'Lease Cycles'!$AJ$26)*INDEX('Lease Cycles'!$FO$26:$FU$26,1,BB316)+(1-'Lease Cycles'!$BE$26)*(1-INDEX('Lease Cycles'!$FO$26:$FU$26,1,BB316)))),0)</f>
        <v>0</v>
      </c>
      <c r="BC324" s="24">
        <f>IF(BC318=1,'Lease Cycles'!$D$26*IF(INDEX('Lease Cycles'!$EF$26:$EL$26,1,BC316)=1,(1-'Lease Cycles'!$AJ$26)*INDEX('Lease Cycles'!$EM$26:$ES$26,1,BC316)+(1-'Lease Cycles'!$BE$26)*IF(BC317&lt;INDEX('Lease Cycles'!$FA$26:$FG$26,1,BC316),0,1-INDEX('Lease Cycles'!$EM$26:$ES$26,1,BC316)),IF(OR(INDEX('Lease Cycles'!$DY$26:$EE$26,1,BC316)=1,BC317&gt;0),1,1-INDEX('Lease Cycles'!$DD$26:$DJ$26,1,BC316))*((1-'Lease Cycles'!$AJ$26)*INDEX('Lease Cycles'!$FO$26:$FU$26,1,BC316)+(1-'Lease Cycles'!$BE$26)*(1-INDEX('Lease Cycles'!$FO$26:$FU$26,1,BC316)))),0)</f>
        <v>0</v>
      </c>
      <c r="BD324" s="24">
        <f>IF(BD318=1,'Lease Cycles'!$D$26*IF(INDEX('Lease Cycles'!$EF$26:$EL$26,1,BD316)=1,(1-'Lease Cycles'!$AJ$26)*INDEX('Lease Cycles'!$EM$26:$ES$26,1,BD316)+(1-'Lease Cycles'!$BE$26)*IF(BD317&lt;INDEX('Lease Cycles'!$FA$26:$FG$26,1,BD316),0,1-INDEX('Lease Cycles'!$EM$26:$ES$26,1,BD316)),IF(OR(INDEX('Lease Cycles'!$DY$26:$EE$26,1,BD316)=1,BD317&gt;0),1,1-INDEX('Lease Cycles'!$DD$26:$DJ$26,1,BD316))*((1-'Lease Cycles'!$AJ$26)*INDEX('Lease Cycles'!$FO$26:$FU$26,1,BD316)+(1-'Lease Cycles'!$BE$26)*(1-INDEX('Lease Cycles'!$FO$26:$FU$26,1,BD316)))),0)</f>
        <v>0</v>
      </c>
      <c r="BE324" s="24">
        <f>IF(BE318=1,'Lease Cycles'!$D$26*IF(INDEX('Lease Cycles'!$EF$26:$EL$26,1,BE316)=1,(1-'Lease Cycles'!$AJ$26)*INDEX('Lease Cycles'!$EM$26:$ES$26,1,BE316)+(1-'Lease Cycles'!$BE$26)*IF(BE317&lt;INDEX('Lease Cycles'!$FA$26:$FG$26,1,BE316),0,1-INDEX('Lease Cycles'!$EM$26:$ES$26,1,BE316)),IF(OR(INDEX('Lease Cycles'!$DY$26:$EE$26,1,BE316)=1,BE317&gt;0),1,1-INDEX('Lease Cycles'!$DD$26:$DJ$26,1,BE316))*((1-'Lease Cycles'!$AJ$26)*INDEX('Lease Cycles'!$FO$26:$FU$26,1,BE316)+(1-'Lease Cycles'!$BE$26)*(1-INDEX('Lease Cycles'!$FO$26:$FU$26,1,BE316)))),0)</f>
        <v>0</v>
      </c>
      <c r="BF324" s="24">
        <f>IF(BF318=1,'Lease Cycles'!$D$26*IF(INDEX('Lease Cycles'!$EF$26:$EL$26,1,BF316)=1,(1-'Lease Cycles'!$AJ$26)*INDEX('Lease Cycles'!$EM$26:$ES$26,1,BF316)+(1-'Lease Cycles'!$BE$26)*IF(BF317&lt;INDEX('Lease Cycles'!$FA$26:$FG$26,1,BF316),0,1-INDEX('Lease Cycles'!$EM$26:$ES$26,1,BF316)),IF(OR(INDEX('Lease Cycles'!$DY$26:$EE$26,1,BF316)=1,BF317&gt;0),1,1-INDEX('Lease Cycles'!$DD$26:$DJ$26,1,BF316))*((1-'Lease Cycles'!$AJ$26)*INDEX('Lease Cycles'!$FO$26:$FU$26,1,BF316)+(1-'Lease Cycles'!$BE$26)*(1-INDEX('Lease Cycles'!$FO$26:$FU$26,1,BF316)))),0)</f>
        <v>0</v>
      </c>
      <c r="BG324" s="24">
        <f>IF(BG318=1,'Lease Cycles'!$D$26*IF(INDEX('Lease Cycles'!$EF$26:$EL$26,1,BG316)=1,(1-'Lease Cycles'!$AJ$26)*INDEX('Lease Cycles'!$EM$26:$ES$26,1,BG316)+(1-'Lease Cycles'!$BE$26)*IF(BG317&lt;INDEX('Lease Cycles'!$FA$26:$FG$26,1,BG316),0,1-INDEX('Lease Cycles'!$EM$26:$ES$26,1,BG316)),IF(OR(INDEX('Lease Cycles'!$DY$26:$EE$26,1,BG316)=1,BG317&gt;0),1,1-INDEX('Lease Cycles'!$DD$26:$DJ$26,1,BG316))*((1-'Lease Cycles'!$AJ$26)*INDEX('Lease Cycles'!$FO$26:$FU$26,1,BG316)+(1-'Lease Cycles'!$BE$26)*(1-INDEX('Lease Cycles'!$FO$26:$FU$26,1,BG316)))),0)</f>
        <v>0</v>
      </c>
      <c r="BH324" s="24">
        <f>IF(BH318=1,'Lease Cycles'!$D$26*IF(INDEX('Lease Cycles'!$EF$26:$EL$26,1,BH316)=1,(1-'Lease Cycles'!$AJ$26)*INDEX('Lease Cycles'!$EM$26:$ES$26,1,BH316)+(1-'Lease Cycles'!$BE$26)*IF(BH317&lt;INDEX('Lease Cycles'!$FA$26:$FG$26,1,BH316),0,1-INDEX('Lease Cycles'!$EM$26:$ES$26,1,BH316)),IF(OR(INDEX('Lease Cycles'!$DY$26:$EE$26,1,BH316)=1,BH317&gt;0),1,1-INDEX('Lease Cycles'!$DD$26:$DJ$26,1,BH316))*((1-'Lease Cycles'!$AJ$26)*INDEX('Lease Cycles'!$FO$26:$FU$26,1,BH316)+(1-'Lease Cycles'!$BE$26)*(1-INDEX('Lease Cycles'!$FO$26:$FU$26,1,BH316)))),0)</f>
        <v>0</v>
      </c>
      <c r="BI324" s="24">
        <f>IF(BI318=1,'Lease Cycles'!$D$26*IF(INDEX('Lease Cycles'!$EF$26:$EL$26,1,BI316)=1,(1-'Lease Cycles'!$AJ$26)*INDEX('Lease Cycles'!$EM$26:$ES$26,1,BI316)+(1-'Lease Cycles'!$BE$26)*IF(BI317&lt;INDEX('Lease Cycles'!$FA$26:$FG$26,1,BI316),0,1-INDEX('Lease Cycles'!$EM$26:$ES$26,1,BI316)),IF(OR(INDEX('Lease Cycles'!$DY$26:$EE$26,1,BI316)=1,BI317&gt;0),1,1-INDEX('Lease Cycles'!$DD$26:$DJ$26,1,BI316))*((1-'Lease Cycles'!$AJ$26)*INDEX('Lease Cycles'!$FO$26:$FU$26,1,BI316)+(1-'Lease Cycles'!$BE$26)*(1-INDEX('Lease Cycles'!$FO$26:$FU$26,1,BI316)))),0)</f>
        <v>0</v>
      </c>
      <c r="BJ324" s="24">
        <f>IF(BJ318=1,'Lease Cycles'!$D$26*IF(INDEX('Lease Cycles'!$EF$26:$EL$26,1,BJ316)=1,(1-'Lease Cycles'!$AJ$26)*INDEX('Lease Cycles'!$EM$26:$ES$26,1,BJ316)+(1-'Lease Cycles'!$BE$26)*IF(BJ317&lt;INDEX('Lease Cycles'!$FA$26:$FG$26,1,BJ316),0,1-INDEX('Lease Cycles'!$EM$26:$ES$26,1,BJ316)),IF(OR(INDEX('Lease Cycles'!$DY$26:$EE$26,1,BJ316)=1,BJ317&gt;0),1,1-INDEX('Lease Cycles'!$DD$26:$DJ$26,1,BJ316))*((1-'Lease Cycles'!$AJ$26)*INDEX('Lease Cycles'!$FO$26:$FU$26,1,BJ316)+(1-'Lease Cycles'!$BE$26)*(1-INDEX('Lease Cycles'!$FO$26:$FU$26,1,BJ316)))),0)</f>
        <v>0</v>
      </c>
      <c r="BK324" s="24">
        <f>IF(BK318=1,'Lease Cycles'!$D$26*IF(INDEX('Lease Cycles'!$EF$26:$EL$26,1,BK316)=1,(1-'Lease Cycles'!$AJ$26)*INDEX('Lease Cycles'!$EM$26:$ES$26,1,BK316)+(1-'Lease Cycles'!$BE$26)*IF(BK317&lt;INDEX('Lease Cycles'!$FA$26:$FG$26,1,BK316),0,1-INDEX('Lease Cycles'!$EM$26:$ES$26,1,BK316)),IF(OR(INDEX('Lease Cycles'!$DY$26:$EE$26,1,BK316)=1,BK317&gt;0),1,1-INDEX('Lease Cycles'!$DD$26:$DJ$26,1,BK316))*((1-'Lease Cycles'!$AJ$26)*INDEX('Lease Cycles'!$FO$26:$FU$26,1,BK316)+(1-'Lease Cycles'!$BE$26)*(1-INDEX('Lease Cycles'!$FO$26:$FU$26,1,BK316)))),0)</f>
        <v>0</v>
      </c>
      <c r="BL324" s="24">
        <f>IF(BL318=1,'Lease Cycles'!$D$26*IF(INDEX('Lease Cycles'!$EF$26:$EL$26,1,BL316)=1,(1-'Lease Cycles'!$AJ$26)*INDEX('Lease Cycles'!$EM$26:$ES$26,1,BL316)+(1-'Lease Cycles'!$BE$26)*IF(BL317&lt;INDEX('Lease Cycles'!$FA$26:$FG$26,1,BL316),0,1-INDEX('Lease Cycles'!$EM$26:$ES$26,1,BL316)),IF(OR(INDEX('Lease Cycles'!$DY$26:$EE$26,1,BL316)=1,BL317&gt;0),1,1-INDEX('Lease Cycles'!$DD$26:$DJ$26,1,BL316))*((1-'Lease Cycles'!$AJ$26)*INDEX('Lease Cycles'!$FO$26:$FU$26,1,BL316)+(1-'Lease Cycles'!$BE$26)*(1-INDEX('Lease Cycles'!$FO$26:$FU$26,1,BL316)))),0)</f>
        <v>0</v>
      </c>
      <c r="BM324" s="24">
        <f>IF(BM318=1,'Lease Cycles'!$D$26*IF(INDEX('Lease Cycles'!$EF$26:$EL$26,1,BM316)=1,(1-'Lease Cycles'!$AJ$26)*INDEX('Lease Cycles'!$EM$26:$ES$26,1,BM316)+(1-'Lease Cycles'!$BE$26)*IF(BM317&lt;INDEX('Lease Cycles'!$FA$26:$FG$26,1,BM316),0,1-INDEX('Lease Cycles'!$EM$26:$ES$26,1,BM316)),IF(OR(INDEX('Lease Cycles'!$DY$26:$EE$26,1,BM316)=1,BM317&gt;0),1,1-INDEX('Lease Cycles'!$DD$26:$DJ$26,1,BM316))*((1-'Lease Cycles'!$AJ$26)*INDEX('Lease Cycles'!$FO$26:$FU$26,1,BM316)+(1-'Lease Cycles'!$BE$26)*(1-INDEX('Lease Cycles'!$FO$26:$FU$26,1,BM316)))),0)</f>
        <v>0</v>
      </c>
      <c r="BN324" s="24">
        <f>IF(BN318=1,'Lease Cycles'!$D$26*IF(INDEX('Lease Cycles'!$EF$26:$EL$26,1,BN316)=1,(1-'Lease Cycles'!$AJ$26)*INDEX('Lease Cycles'!$EM$26:$ES$26,1,BN316)+(1-'Lease Cycles'!$BE$26)*IF(BN317&lt;INDEX('Lease Cycles'!$FA$26:$FG$26,1,BN316),0,1-INDEX('Lease Cycles'!$EM$26:$ES$26,1,BN316)),IF(OR(INDEX('Lease Cycles'!$DY$26:$EE$26,1,BN316)=1,BN317&gt;0),1,1-INDEX('Lease Cycles'!$DD$26:$DJ$26,1,BN316))*((1-'Lease Cycles'!$AJ$26)*INDEX('Lease Cycles'!$FO$26:$FU$26,1,BN316)+(1-'Lease Cycles'!$BE$26)*(1-INDEX('Lease Cycles'!$FO$26:$FU$26,1,BN316)))),0)</f>
        <v>0</v>
      </c>
      <c r="BO324" s="24">
        <f>IF(BO318=1,'Lease Cycles'!$D$26*IF(INDEX('Lease Cycles'!$EF$26:$EL$26,1,BO316)=1,(1-'Lease Cycles'!$AJ$26)*INDEX('Lease Cycles'!$EM$26:$ES$26,1,BO316)+(1-'Lease Cycles'!$BE$26)*IF(BO317&lt;INDEX('Lease Cycles'!$FA$26:$FG$26,1,BO316),0,1-INDEX('Lease Cycles'!$EM$26:$ES$26,1,BO316)),IF(OR(INDEX('Lease Cycles'!$DY$26:$EE$26,1,BO316)=1,BO317&gt;0),1,1-INDEX('Lease Cycles'!$DD$26:$DJ$26,1,BO316))*((1-'Lease Cycles'!$AJ$26)*INDEX('Lease Cycles'!$FO$26:$FU$26,1,BO316)+(1-'Lease Cycles'!$BE$26)*(1-INDEX('Lease Cycles'!$FO$26:$FU$26,1,BO316)))),0)</f>
        <v>0</v>
      </c>
      <c r="BP324" s="24">
        <f>IF(BP318=1,'Lease Cycles'!$D$26*IF(INDEX('Lease Cycles'!$EF$26:$EL$26,1,BP316)=1,(1-'Lease Cycles'!$AJ$26)*INDEX('Lease Cycles'!$EM$26:$ES$26,1,BP316)+(1-'Lease Cycles'!$BE$26)*IF(BP317&lt;INDEX('Lease Cycles'!$FA$26:$FG$26,1,BP316),0,1-INDEX('Lease Cycles'!$EM$26:$ES$26,1,BP316)),IF(OR(INDEX('Lease Cycles'!$DY$26:$EE$26,1,BP316)=1,BP317&gt;0),1,1-INDEX('Lease Cycles'!$DD$26:$DJ$26,1,BP316))*((1-'Lease Cycles'!$AJ$26)*INDEX('Lease Cycles'!$FO$26:$FU$26,1,BP316)+(1-'Lease Cycles'!$BE$26)*(1-INDEX('Lease Cycles'!$FO$26:$FU$26,1,BP316)))),0)</f>
        <v>0</v>
      </c>
      <c r="BQ324" s="24">
        <f>IF(BQ318=1,'Lease Cycles'!$D$26*IF(INDEX('Lease Cycles'!$EF$26:$EL$26,1,BQ316)=1,(1-'Lease Cycles'!$AJ$26)*INDEX('Lease Cycles'!$EM$26:$ES$26,1,BQ316)+(1-'Lease Cycles'!$BE$26)*IF(BQ317&lt;INDEX('Lease Cycles'!$FA$26:$FG$26,1,BQ316),0,1-INDEX('Lease Cycles'!$EM$26:$ES$26,1,BQ316)),IF(OR(INDEX('Lease Cycles'!$DY$26:$EE$26,1,BQ316)=1,BQ317&gt;0),1,1-INDEX('Lease Cycles'!$DD$26:$DJ$26,1,BQ316))*((1-'Lease Cycles'!$AJ$26)*INDEX('Lease Cycles'!$FO$26:$FU$26,1,BQ316)+(1-'Lease Cycles'!$BE$26)*(1-INDEX('Lease Cycles'!$FO$26:$FU$26,1,BQ316)))),0)</f>
        <v>0</v>
      </c>
      <c r="BR324" s="24">
        <f>IF(BR318=1,'Lease Cycles'!$D$26*IF(INDEX('Lease Cycles'!$EF$26:$EL$26,1,BR316)=1,(1-'Lease Cycles'!$AJ$26)*INDEX('Lease Cycles'!$EM$26:$ES$26,1,BR316)+(1-'Lease Cycles'!$BE$26)*IF(BR317&lt;INDEX('Lease Cycles'!$FA$26:$FG$26,1,BR316),0,1-INDEX('Lease Cycles'!$EM$26:$ES$26,1,BR316)),IF(OR(INDEX('Lease Cycles'!$DY$26:$EE$26,1,BR316)=1,BR317&gt;0),1,1-INDEX('Lease Cycles'!$DD$26:$DJ$26,1,BR316))*((1-'Lease Cycles'!$AJ$26)*INDEX('Lease Cycles'!$FO$26:$FU$26,1,BR316)+(1-'Lease Cycles'!$BE$26)*(1-INDEX('Lease Cycles'!$FO$26:$FU$26,1,BR316)))),0)</f>
        <v>0</v>
      </c>
      <c r="BS324" s="24">
        <f>IF(BS318=1,'Lease Cycles'!$D$26*IF(INDEX('Lease Cycles'!$EF$26:$EL$26,1,BS316)=1,(1-'Lease Cycles'!$AJ$26)*INDEX('Lease Cycles'!$EM$26:$ES$26,1,BS316)+(1-'Lease Cycles'!$BE$26)*IF(BS317&lt;INDEX('Lease Cycles'!$FA$26:$FG$26,1,BS316),0,1-INDEX('Lease Cycles'!$EM$26:$ES$26,1,BS316)),IF(OR(INDEX('Lease Cycles'!$DY$26:$EE$26,1,BS316)=1,BS317&gt;0),1,1-INDEX('Lease Cycles'!$DD$26:$DJ$26,1,BS316))*((1-'Lease Cycles'!$AJ$26)*INDEX('Lease Cycles'!$FO$26:$FU$26,1,BS316)+(1-'Lease Cycles'!$BE$26)*(1-INDEX('Lease Cycles'!$FO$26:$FU$26,1,BS316)))),0)</f>
        <v>0</v>
      </c>
      <c r="BT324" s="24">
        <f>IF(BT318=1,'Lease Cycles'!$D$26*IF(INDEX('Lease Cycles'!$EF$26:$EL$26,1,BT316)=1,(1-'Lease Cycles'!$AJ$26)*INDEX('Lease Cycles'!$EM$26:$ES$26,1,BT316)+(1-'Lease Cycles'!$BE$26)*IF(BT317&lt;INDEX('Lease Cycles'!$FA$26:$FG$26,1,BT316),0,1-INDEX('Lease Cycles'!$EM$26:$ES$26,1,BT316)),IF(OR(INDEX('Lease Cycles'!$DY$26:$EE$26,1,BT316)=1,BT317&gt;0),1,1-INDEX('Lease Cycles'!$DD$26:$DJ$26,1,BT316))*((1-'Lease Cycles'!$AJ$26)*INDEX('Lease Cycles'!$FO$26:$FU$26,1,BT316)+(1-'Lease Cycles'!$BE$26)*(1-INDEX('Lease Cycles'!$FO$26:$FU$26,1,BT316)))),0)</f>
        <v>0</v>
      </c>
      <c r="BU324" s="24">
        <f>IF(BU318=1,'Lease Cycles'!$D$26*IF(INDEX('Lease Cycles'!$EF$26:$EL$26,1,BU316)=1,(1-'Lease Cycles'!$AJ$26)*INDEX('Lease Cycles'!$EM$26:$ES$26,1,BU316)+(1-'Lease Cycles'!$BE$26)*IF(BU317&lt;INDEX('Lease Cycles'!$FA$26:$FG$26,1,BU316),0,1-INDEX('Lease Cycles'!$EM$26:$ES$26,1,BU316)),IF(OR(INDEX('Lease Cycles'!$DY$26:$EE$26,1,BU316)=1,BU317&gt;0),1,1-INDEX('Lease Cycles'!$DD$26:$DJ$26,1,BU316))*((1-'Lease Cycles'!$AJ$26)*INDEX('Lease Cycles'!$FO$26:$FU$26,1,BU316)+(1-'Lease Cycles'!$BE$26)*(1-INDEX('Lease Cycles'!$FO$26:$FU$26,1,BU316)))),0)</f>
        <v>0</v>
      </c>
      <c r="BV324" s="24">
        <f>IF(BV318=1,'Lease Cycles'!$D$26*IF(INDEX('Lease Cycles'!$EF$26:$EL$26,1,BV316)=1,(1-'Lease Cycles'!$AJ$26)*INDEX('Lease Cycles'!$EM$26:$ES$26,1,BV316)+(1-'Lease Cycles'!$BE$26)*IF(BV317&lt;INDEX('Lease Cycles'!$FA$26:$FG$26,1,BV316),0,1-INDEX('Lease Cycles'!$EM$26:$ES$26,1,BV316)),IF(OR(INDEX('Lease Cycles'!$DY$26:$EE$26,1,BV316)=1,BV317&gt;0),1,1-INDEX('Lease Cycles'!$DD$26:$DJ$26,1,BV316))*((1-'Lease Cycles'!$AJ$26)*INDEX('Lease Cycles'!$FO$26:$FU$26,1,BV316)+(1-'Lease Cycles'!$BE$26)*(1-INDEX('Lease Cycles'!$FO$26:$FU$26,1,BV316)))),0)</f>
        <v>0</v>
      </c>
      <c r="BW324" s="24">
        <f>IF(BW318=1,'Lease Cycles'!$D$26*IF(INDEX('Lease Cycles'!$EF$26:$EL$26,1,BW316)=1,(1-'Lease Cycles'!$AJ$26)*INDEX('Lease Cycles'!$EM$26:$ES$26,1,BW316)+(1-'Lease Cycles'!$BE$26)*IF(BW317&lt;INDEX('Lease Cycles'!$FA$26:$FG$26,1,BW316),0,1-INDEX('Lease Cycles'!$EM$26:$ES$26,1,BW316)),IF(OR(INDEX('Lease Cycles'!$DY$26:$EE$26,1,BW316)=1,BW317&gt;0),1,1-INDEX('Lease Cycles'!$DD$26:$DJ$26,1,BW316))*((1-'Lease Cycles'!$AJ$26)*INDEX('Lease Cycles'!$FO$26:$FU$26,1,BW316)+(1-'Lease Cycles'!$BE$26)*(1-INDEX('Lease Cycles'!$FO$26:$FU$26,1,BW316)))),0)</f>
        <v>0</v>
      </c>
      <c r="BX324" s="24">
        <f>IF(BX318=1,'Lease Cycles'!$D$26*IF(INDEX('Lease Cycles'!$EF$26:$EL$26,1,BX316)=1,(1-'Lease Cycles'!$AJ$26)*INDEX('Lease Cycles'!$EM$26:$ES$26,1,BX316)+(1-'Lease Cycles'!$BE$26)*IF(BX317&lt;INDEX('Lease Cycles'!$FA$26:$FG$26,1,BX316),0,1-INDEX('Lease Cycles'!$EM$26:$ES$26,1,BX316)),IF(OR(INDEX('Lease Cycles'!$DY$26:$EE$26,1,BX316)=1,BX317&gt;0),1,1-INDEX('Lease Cycles'!$DD$26:$DJ$26,1,BX316))*((1-'Lease Cycles'!$AJ$26)*INDEX('Lease Cycles'!$FO$26:$FU$26,1,BX316)+(1-'Lease Cycles'!$BE$26)*(1-INDEX('Lease Cycles'!$FO$26:$FU$26,1,BX316)))),0)</f>
        <v>0</v>
      </c>
      <c r="BY324" s="24">
        <f>IF(BY318=1,'Lease Cycles'!$D$26*IF(INDEX('Lease Cycles'!$EF$26:$EL$26,1,BY316)=1,(1-'Lease Cycles'!$AJ$26)*INDEX('Lease Cycles'!$EM$26:$ES$26,1,BY316)+(1-'Lease Cycles'!$BE$26)*IF(BY317&lt;INDEX('Lease Cycles'!$FA$26:$FG$26,1,BY316),0,1-INDEX('Lease Cycles'!$EM$26:$ES$26,1,BY316)),IF(OR(INDEX('Lease Cycles'!$DY$26:$EE$26,1,BY316)=1,BY317&gt;0),1,1-INDEX('Lease Cycles'!$DD$26:$DJ$26,1,BY316))*((1-'Lease Cycles'!$AJ$26)*INDEX('Lease Cycles'!$FO$26:$FU$26,1,BY316)+(1-'Lease Cycles'!$BE$26)*(1-INDEX('Lease Cycles'!$FO$26:$FU$26,1,BY316)))),0)</f>
        <v>0</v>
      </c>
      <c r="BZ324" s="24">
        <f>IF(BZ318=1,'Lease Cycles'!$D$26*IF(INDEX('Lease Cycles'!$EF$26:$EL$26,1,BZ316)=1,(1-'Lease Cycles'!$AJ$26)*INDEX('Lease Cycles'!$EM$26:$ES$26,1,BZ316)+(1-'Lease Cycles'!$BE$26)*IF(BZ317&lt;INDEX('Lease Cycles'!$FA$26:$FG$26,1,BZ316),0,1-INDEX('Lease Cycles'!$EM$26:$ES$26,1,BZ316)),IF(OR(INDEX('Lease Cycles'!$DY$26:$EE$26,1,BZ316)=1,BZ317&gt;0),1,1-INDEX('Lease Cycles'!$DD$26:$DJ$26,1,BZ316))*((1-'Lease Cycles'!$AJ$26)*INDEX('Lease Cycles'!$FO$26:$FU$26,1,BZ316)+(1-'Lease Cycles'!$BE$26)*(1-INDEX('Lease Cycles'!$FO$26:$FU$26,1,BZ316)))),0)</f>
        <v>0</v>
      </c>
      <c r="CA324" s="24">
        <f>IF(CA318=1,'Lease Cycles'!$D$26*IF(INDEX('Lease Cycles'!$EF$26:$EL$26,1,CA316)=1,(1-'Lease Cycles'!$AJ$26)*INDEX('Lease Cycles'!$EM$26:$ES$26,1,CA316)+(1-'Lease Cycles'!$BE$26)*IF(CA317&lt;INDEX('Lease Cycles'!$FA$26:$FG$26,1,CA316),0,1-INDEX('Lease Cycles'!$EM$26:$ES$26,1,CA316)),IF(OR(INDEX('Lease Cycles'!$DY$26:$EE$26,1,CA316)=1,CA317&gt;0),1,1-INDEX('Lease Cycles'!$DD$26:$DJ$26,1,CA316))*((1-'Lease Cycles'!$AJ$26)*INDEX('Lease Cycles'!$FO$26:$FU$26,1,CA316)+(1-'Lease Cycles'!$BE$26)*(1-INDEX('Lease Cycles'!$FO$26:$FU$26,1,CA316)))),0)</f>
        <v>0</v>
      </c>
      <c r="CB324" s="24">
        <f>IF(CB318=1,'Lease Cycles'!$D$26*IF(INDEX('Lease Cycles'!$EF$26:$EL$26,1,CB316)=1,(1-'Lease Cycles'!$AJ$26)*INDEX('Lease Cycles'!$EM$26:$ES$26,1,CB316)+(1-'Lease Cycles'!$BE$26)*IF(CB317&lt;INDEX('Lease Cycles'!$FA$26:$FG$26,1,CB316),0,1-INDEX('Lease Cycles'!$EM$26:$ES$26,1,CB316)),IF(OR(INDEX('Lease Cycles'!$DY$26:$EE$26,1,CB316)=1,CB317&gt;0),1,1-INDEX('Lease Cycles'!$DD$26:$DJ$26,1,CB316))*((1-'Lease Cycles'!$AJ$26)*INDEX('Lease Cycles'!$FO$26:$FU$26,1,CB316)+(1-'Lease Cycles'!$BE$26)*(1-INDEX('Lease Cycles'!$FO$26:$FU$26,1,CB316)))),0)</f>
        <v>0</v>
      </c>
      <c r="CC324" s="24">
        <f>IF(CC318=1,'Lease Cycles'!$D$26*IF(INDEX('Lease Cycles'!$EF$26:$EL$26,1,CC316)=1,(1-'Lease Cycles'!$AJ$26)*INDEX('Lease Cycles'!$EM$26:$ES$26,1,CC316)+(1-'Lease Cycles'!$BE$26)*IF(CC317&lt;INDEX('Lease Cycles'!$FA$26:$FG$26,1,CC316),0,1-INDEX('Lease Cycles'!$EM$26:$ES$26,1,CC316)),IF(OR(INDEX('Lease Cycles'!$DY$26:$EE$26,1,CC316)=1,CC317&gt;0),1,1-INDEX('Lease Cycles'!$DD$26:$DJ$26,1,CC316))*((1-'Lease Cycles'!$AJ$26)*INDEX('Lease Cycles'!$FO$26:$FU$26,1,CC316)+(1-'Lease Cycles'!$BE$26)*(1-INDEX('Lease Cycles'!$FO$26:$FU$26,1,CC316)))),0)</f>
        <v>0</v>
      </c>
      <c r="CD324" s="24">
        <f>IF(CD318=1,'Lease Cycles'!$D$26*IF(INDEX('Lease Cycles'!$EF$26:$EL$26,1,CD316)=1,(1-'Lease Cycles'!$AJ$26)*INDEX('Lease Cycles'!$EM$26:$ES$26,1,CD316)+(1-'Lease Cycles'!$BE$26)*IF(CD317&lt;INDEX('Lease Cycles'!$FA$26:$FG$26,1,CD316),0,1-INDEX('Lease Cycles'!$EM$26:$ES$26,1,CD316)),IF(OR(INDEX('Lease Cycles'!$DY$26:$EE$26,1,CD316)=1,CD317&gt;0),1,1-INDEX('Lease Cycles'!$DD$26:$DJ$26,1,CD316))*((1-'Lease Cycles'!$AJ$26)*INDEX('Lease Cycles'!$FO$26:$FU$26,1,CD316)+(1-'Lease Cycles'!$BE$26)*(1-INDEX('Lease Cycles'!$FO$26:$FU$26,1,CD316)))),0)</f>
        <v>0</v>
      </c>
      <c r="CE324" s="24">
        <f>IF(CE318=1,'Lease Cycles'!$D$26*IF(INDEX('Lease Cycles'!$EF$26:$EL$26,1,CE316)=1,(1-'Lease Cycles'!$AJ$26)*INDEX('Lease Cycles'!$EM$26:$ES$26,1,CE316)+(1-'Lease Cycles'!$BE$26)*IF(CE317&lt;INDEX('Lease Cycles'!$FA$26:$FG$26,1,CE316),0,1-INDEX('Lease Cycles'!$EM$26:$ES$26,1,CE316)),IF(OR(INDEX('Lease Cycles'!$DY$26:$EE$26,1,CE316)=1,CE317&gt;0),1,1-INDEX('Lease Cycles'!$DD$26:$DJ$26,1,CE316))*((1-'Lease Cycles'!$AJ$26)*INDEX('Lease Cycles'!$FO$26:$FU$26,1,CE316)+(1-'Lease Cycles'!$BE$26)*(1-INDEX('Lease Cycles'!$FO$26:$FU$26,1,CE316)))),0)</f>
        <v>0</v>
      </c>
      <c r="CF324" s="24">
        <f>IF(CF318=1,'Lease Cycles'!$D$26*IF(INDEX('Lease Cycles'!$EF$26:$EL$26,1,CF316)=1,(1-'Lease Cycles'!$AJ$26)*INDEX('Lease Cycles'!$EM$26:$ES$26,1,CF316)+(1-'Lease Cycles'!$BE$26)*IF(CF317&lt;INDEX('Lease Cycles'!$FA$26:$FG$26,1,CF316),0,1-INDEX('Lease Cycles'!$EM$26:$ES$26,1,CF316)),IF(OR(INDEX('Lease Cycles'!$DY$26:$EE$26,1,CF316)=1,CF317&gt;0),1,1-INDEX('Lease Cycles'!$DD$26:$DJ$26,1,CF316))*((1-'Lease Cycles'!$AJ$26)*INDEX('Lease Cycles'!$FO$26:$FU$26,1,CF316)+(1-'Lease Cycles'!$BE$26)*(1-INDEX('Lease Cycles'!$FO$26:$FU$26,1,CF316)))),0)</f>
        <v>0</v>
      </c>
      <c r="CG324" s="24">
        <f>IF(CG318=1,'Lease Cycles'!$D$26*IF(INDEX('Lease Cycles'!$EF$26:$EL$26,1,CG316)=1,(1-'Lease Cycles'!$AJ$26)*INDEX('Lease Cycles'!$EM$26:$ES$26,1,CG316)+(1-'Lease Cycles'!$BE$26)*IF(CG317&lt;INDEX('Lease Cycles'!$FA$26:$FG$26,1,CG316),0,1-INDEX('Lease Cycles'!$EM$26:$ES$26,1,CG316)),IF(OR(INDEX('Lease Cycles'!$DY$26:$EE$26,1,CG316)=1,CG317&gt;0),1,1-INDEX('Lease Cycles'!$DD$26:$DJ$26,1,CG316))*((1-'Lease Cycles'!$AJ$26)*INDEX('Lease Cycles'!$FO$26:$FU$26,1,CG316)+(1-'Lease Cycles'!$BE$26)*(1-INDEX('Lease Cycles'!$FO$26:$FU$26,1,CG316)))),0)</f>
        <v>0</v>
      </c>
      <c r="CH324" s="24">
        <f>IF(CH318=1,'Lease Cycles'!$D$26*IF(INDEX('Lease Cycles'!$EF$26:$EL$26,1,CH316)=1,(1-'Lease Cycles'!$AJ$26)*INDEX('Lease Cycles'!$EM$26:$ES$26,1,CH316)+(1-'Lease Cycles'!$BE$26)*IF(CH317&lt;INDEX('Lease Cycles'!$FA$26:$FG$26,1,CH316),0,1-INDEX('Lease Cycles'!$EM$26:$ES$26,1,CH316)),IF(OR(INDEX('Lease Cycles'!$DY$26:$EE$26,1,CH316)=1,CH317&gt;0),1,1-INDEX('Lease Cycles'!$DD$26:$DJ$26,1,CH316))*((1-'Lease Cycles'!$AJ$26)*INDEX('Lease Cycles'!$FO$26:$FU$26,1,CH316)+(1-'Lease Cycles'!$BE$26)*(1-INDEX('Lease Cycles'!$FO$26:$FU$26,1,CH316)))),0)</f>
        <v>0</v>
      </c>
      <c r="CI324" s="24">
        <f>IF(CI318=1,'Lease Cycles'!$D$26*IF(INDEX('Lease Cycles'!$EF$26:$EL$26,1,CI316)=1,(1-'Lease Cycles'!$AJ$26)*INDEX('Lease Cycles'!$EM$26:$ES$26,1,CI316)+(1-'Lease Cycles'!$BE$26)*IF(CI317&lt;INDEX('Lease Cycles'!$FA$26:$FG$26,1,CI316),0,1-INDEX('Lease Cycles'!$EM$26:$ES$26,1,CI316)),IF(OR(INDEX('Lease Cycles'!$DY$26:$EE$26,1,CI316)=1,CI317&gt;0),1,1-INDEX('Lease Cycles'!$DD$26:$DJ$26,1,CI316))*((1-'Lease Cycles'!$AJ$26)*INDEX('Lease Cycles'!$FO$26:$FU$26,1,CI316)+(1-'Lease Cycles'!$BE$26)*(1-INDEX('Lease Cycles'!$FO$26:$FU$26,1,CI316)))),0)</f>
        <v>0</v>
      </c>
      <c r="CJ324" s="24">
        <f>IF(CJ318=1,'Lease Cycles'!$D$26*IF(INDEX('Lease Cycles'!$EF$26:$EL$26,1,CJ316)=1,(1-'Lease Cycles'!$AJ$26)*INDEX('Lease Cycles'!$EM$26:$ES$26,1,CJ316)+(1-'Lease Cycles'!$BE$26)*IF(CJ317&lt;INDEX('Lease Cycles'!$FA$26:$FG$26,1,CJ316),0,1-INDEX('Lease Cycles'!$EM$26:$ES$26,1,CJ316)),IF(OR(INDEX('Lease Cycles'!$DY$26:$EE$26,1,CJ316)=1,CJ317&gt;0),1,1-INDEX('Lease Cycles'!$DD$26:$DJ$26,1,CJ316))*((1-'Lease Cycles'!$AJ$26)*INDEX('Lease Cycles'!$FO$26:$FU$26,1,CJ316)+(1-'Lease Cycles'!$BE$26)*(1-INDEX('Lease Cycles'!$FO$26:$FU$26,1,CJ316)))),0)</f>
        <v>0</v>
      </c>
      <c r="CK324" s="24">
        <f>IF(CK318=1,'Lease Cycles'!$D$26*IF(INDEX('Lease Cycles'!$EF$26:$EL$26,1,CK316)=1,(1-'Lease Cycles'!$AJ$26)*INDEX('Lease Cycles'!$EM$26:$ES$26,1,CK316)+(1-'Lease Cycles'!$BE$26)*IF(CK317&lt;INDEX('Lease Cycles'!$FA$26:$FG$26,1,CK316),0,1-INDEX('Lease Cycles'!$EM$26:$ES$26,1,CK316)),IF(OR(INDEX('Lease Cycles'!$DY$26:$EE$26,1,CK316)=1,CK317&gt;0),1,1-INDEX('Lease Cycles'!$DD$26:$DJ$26,1,CK316))*((1-'Lease Cycles'!$AJ$26)*INDEX('Lease Cycles'!$FO$26:$FU$26,1,CK316)+(1-'Lease Cycles'!$BE$26)*(1-INDEX('Lease Cycles'!$FO$26:$FU$26,1,CK316)))),0)</f>
        <v>0</v>
      </c>
      <c r="CL324" s="24">
        <f>IF(CL318=1,'Lease Cycles'!$D$26*IF(INDEX('Lease Cycles'!$EF$26:$EL$26,1,CL316)=1,(1-'Lease Cycles'!$AJ$26)*INDEX('Lease Cycles'!$EM$26:$ES$26,1,CL316)+(1-'Lease Cycles'!$BE$26)*IF(CL317&lt;INDEX('Lease Cycles'!$FA$26:$FG$26,1,CL316),0,1-INDEX('Lease Cycles'!$EM$26:$ES$26,1,CL316)),IF(OR(INDEX('Lease Cycles'!$DY$26:$EE$26,1,CL316)=1,CL317&gt;0),1,1-INDEX('Lease Cycles'!$DD$26:$DJ$26,1,CL316))*((1-'Lease Cycles'!$AJ$26)*INDEX('Lease Cycles'!$FO$26:$FU$26,1,CL316)+(1-'Lease Cycles'!$BE$26)*(1-INDEX('Lease Cycles'!$FO$26:$FU$26,1,CL316)))),0)</f>
        <v>0</v>
      </c>
      <c r="CM324" s="24">
        <f>IF(CM318=1,'Lease Cycles'!$D$26*IF(INDEX('Lease Cycles'!$EF$26:$EL$26,1,CM316)=1,(1-'Lease Cycles'!$AJ$26)*INDEX('Lease Cycles'!$EM$26:$ES$26,1,CM316)+(1-'Lease Cycles'!$BE$26)*IF(CM317&lt;INDEX('Lease Cycles'!$FA$26:$FG$26,1,CM316),0,1-INDEX('Lease Cycles'!$EM$26:$ES$26,1,CM316)),IF(OR(INDEX('Lease Cycles'!$DY$26:$EE$26,1,CM316)=1,CM317&gt;0),1,1-INDEX('Lease Cycles'!$DD$26:$DJ$26,1,CM316))*((1-'Lease Cycles'!$AJ$26)*INDEX('Lease Cycles'!$FO$26:$FU$26,1,CM316)+(1-'Lease Cycles'!$BE$26)*(1-INDEX('Lease Cycles'!$FO$26:$FU$26,1,CM316)))),0)</f>
        <v>0</v>
      </c>
      <c r="CN324" s="24">
        <f>IF(CN318=1,'Lease Cycles'!$D$26*IF(INDEX('Lease Cycles'!$EF$26:$EL$26,1,CN316)=1,(1-'Lease Cycles'!$AJ$26)*INDEX('Lease Cycles'!$EM$26:$ES$26,1,CN316)+(1-'Lease Cycles'!$BE$26)*IF(CN317&lt;INDEX('Lease Cycles'!$FA$26:$FG$26,1,CN316),0,1-INDEX('Lease Cycles'!$EM$26:$ES$26,1,CN316)),IF(OR(INDEX('Lease Cycles'!$DY$26:$EE$26,1,CN316)=1,CN317&gt;0),1,1-INDEX('Lease Cycles'!$DD$26:$DJ$26,1,CN316))*((1-'Lease Cycles'!$AJ$26)*INDEX('Lease Cycles'!$FO$26:$FU$26,1,CN316)+(1-'Lease Cycles'!$BE$26)*(1-INDEX('Lease Cycles'!$FO$26:$FU$26,1,CN316)))),0)</f>
        <v>0</v>
      </c>
      <c r="CO324" s="24">
        <f>IF(CO318=1,'Lease Cycles'!$D$26*IF(INDEX('Lease Cycles'!$EF$26:$EL$26,1,CO316)=1,(1-'Lease Cycles'!$AJ$26)*INDEX('Lease Cycles'!$EM$26:$ES$26,1,CO316)+(1-'Lease Cycles'!$BE$26)*IF(CO317&lt;INDEX('Lease Cycles'!$FA$26:$FG$26,1,CO316),0,1-INDEX('Lease Cycles'!$EM$26:$ES$26,1,CO316)),IF(OR(INDEX('Lease Cycles'!$DY$26:$EE$26,1,CO316)=1,CO317&gt;0),1,1-INDEX('Lease Cycles'!$DD$26:$DJ$26,1,CO316))*((1-'Lease Cycles'!$AJ$26)*INDEX('Lease Cycles'!$FO$26:$FU$26,1,CO316)+(1-'Lease Cycles'!$BE$26)*(1-INDEX('Lease Cycles'!$FO$26:$FU$26,1,CO316)))),0)</f>
        <v>0</v>
      </c>
      <c r="CP324" s="24">
        <f>IF(CP318=1,'Lease Cycles'!$D$26*IF(INDEX('Lease Cycles'!$EF$26:$EL$26,1,CP316)=1,(1-'Lease Cycles'!$AJ$26)*INDEX('Lease Cycles'!$EM$26:$ES$26,1,CP316)+(1-'Lease Cycles'!$BE$26)*IF(CP317&lt;INDEX('Lease Cycles'!$FA$26:$FG$26,1,CP316),0,1-INDEX('Lease Cycles'!$EM$26:$ES$26,1,CP316)),IF(OR(INDEX('Lease Cycles'!$DY$26:$EE$26,1,CP316)=1,CP317&gt;0),1,1-INDEX('Lease Cycles'!$DD$26:$DJ$26,1,CP316))*((1-'Lease Cycles'!$AJ$26)*INDEX('Lease Cycles'!$FO$26:$FU$26,1,CP316)+(1-'Lease Cycles'!$BE$26)*(1-INDEX('Lease Cycles'!$FO$26:$FU$26,1,CP316)))),0)</f>
        <v>0</v>
      </c>
      <c r="CQ324" s="24">
        <f>IF(CQ318=1,'Lease Cycles'!$D$26*IF(INDEX('Lease Cycles'!$EF$26:$EL$26,1,CQ316)=1,(1-'Lease Cycles'!$AJ$26)*INDEX('Lease Cycles'!$EM$26:$ES$26,1,CQ316)+(1-'Lease Cycles'!$BE$26)*IF(CQ317&lt;INDEX('Lease Cycles'!$FA$26:$FG$26,1,CQ316),0,1-INDEX('Lease Cycles'!$EM$26:$ES$26,1,CQ316)),IF(OR(INDEX('Lease Cycles'!$DY$26:$EE$26,1,CQ316)=1,CQ317&gt;0),1,1-INDEX('Lease Cycles'!$DD$26:$DJ$26,1,CQ316))*((1-'Lease Cycles'!$AJ$26)*INDEX('Lease Cycles'!$FO$26:$FU$26,1,CQ316)+(1-'Lease Cycles'!$BE$26)*(1-INDEX('Lease Cycles'!$FO$26:$FU$26,1,CQ316)))),0)</f>
        <v>0</v>
      </c>
      <c r="CR324" s="24">
        <f>IF(CR318=1,'Lease Cycles'!$D$26*IF(INDEX('Lease Cycles'!$EF$26:$EL$26,1,CR316)=1,(1-'Lease Cycles'!$AJ$26)*INDEX('Lease Cycles'!$EM$26:$ES$26,1,CR316)+(1-'Lease Cycles'!$BE$26)*IF(CR317&lt;INDEX('Lease Cycles'!$FA$26:$FG$26,1,CR316),0,1-INDEX('Lease Cycles'!$EM$26:$ES$26,1,CR316)),IF(OR(INDEX('Lease Cycles'!$DY$26:$EE$26,1,CR316)=1,CR317&gt;0),1,1-INDEX('Lease Cycles'!$DD$26:$DJ$26,1,CR316))*((1-'Lease Cycles'!$AJ$26)*INDEX('Lease Cycles'!$FO$26:$FU$26,1,CR316)+(1-'Lease Cycles'!$BE$26)*(1-INDEX('Lease Cycles'!$FO$26:$FU$26,1,CR316)))),0)</f>
        <v>0</v>
      </c>
      <c r="CS324" s="24">
        <f>IF(CS318=1,'Lease Cycles'!$D$26*IF(INDEX('Lease Cycles'!$EF$26:$EL$26,1,CS316)=1,(1-'Lease Cycles'!$AJ$26)*INDEX('Lease Cycles'!$EM$26:$ES$26,1,CS316)+(1-'Lease Cycles'!$BE$26)*IF(CS317&lt;INDEX('Lease Cycles'!$FA$26:$FG$26,1,CS316),0,1-INDEX('Lease Cycles'!$EM$26:$ES$26,1,CS316)),IF(OR(INDEX('Lease Cycles'!$DY$26:$EE$26,1,CS316)=1,CS317&gt;0),1,1-INDEX('Lease Cycles'!$DD$26:$DJ$26,1,CS316))*((1-'Lease Cycles'!$AJ$26)*INDEX('Lease Cycles'!$FO$26:$FU$26,1,CS316)+(1-'Lease Cycles'!$BE$26)*(1-INDEX('Lease Cycles'!$FO$26:$FU$26,1,CS316)))),0)</f>
        <v>0</v>
      </c>
      <c r="CT324" s="24">
        <f>IF(CT318=1,'Lease Cycles'!$D$26*IF(INDEX('Lease Cycles'!$EF$26:$EL$26,1,CT316)=1,(1-'Lease Cycles'!$AJ$26)*INDEX('Lease Cycles'!$EM$26:$ES$26,1,CT316)+(1-'Lease Cycles'!$BE$26)*IF(CT317&lt;INDEX('Lease Cycles'!$FA$26:$FG$26,1,CT316),0,1-INDEX('Lease Cycles'!$EM$26:$ES$26,1,CT316)),IF(OR(INDEX('Lease Cycles'!$DY$26:$EE$26,1,CT316)=1,CT317&gt;0),1,1-INDEX('Lease Cycles'!$DD$26:$DJ$26,1,CT316))*((1-'Lease Cycles'!$AJ$26)*INDEX('Lease Cycles'!$FO$26:$FU$26,1,CT316)+(1-'Lease Cycles'!$BE$26)*(1-INDEX('Lease Cycles'!$FO$26:$FU$26,1,CT316)))),0)</f>
        <v>0</v>
      </c>
      <c r="CU324" s="24">
        <f>IF(CU318=1,'Lease Cycles'!$D$26*IF(INDEX('Lease Cycles'!$EF$26:$EL$26,1,CU316)=1,(1-'Lease Cycles'!$AJ$26)*INDEX('Lease Cycles'!$EM$26:$ES$26,1,CU316)+(1-'Lease Cycles'!$BE$26)*IF(CU317&lt;INDEX('Lease Cycles'!$FA$26:$FG$26,1,CU316),0,1-INDEX('Lease Cycles'!$EM$26:$ES$26,1,CU316)),IF(OR(INDEX('Lease Cycles'!$DY$26:$EE$26,1,CU316)=1,CU317&gt;0),1,1-INDEX('Lease Cycles'!$DD$26:$DJ$26,1,CU316))*((1-'Lease Cycles'!$AJ$26)*INDEX('Lease Cycles'!$FO$26:$FU$26,1,CU316)+(1-'Lease Cycles'!$BE$26)*(1-INDEX('Lease Cycles'!$FO$26:$FU$26,1,CU316)))),0)</f>
        <v>0</v>
      </c>
      <c r="CV324" s="24">
        <f>IF(CV318=1,'Lease Cycles'!$D$26*IF(INDEX('Lease Cycles'!$EF$26:$EL$26,1,CV316)=1,(1-'Lease Cycles'!$AJ$26)*INDEX('Lease Cycles'!$EM$26:$ES$26,1,CV316)+(1-'Lease Cycles'!$BE$26)*IF(CV317&lt;INDEX('Lease Cycles'!$FA$26:$FG$26,1,CV316),0,1-INDEX('Lease Cycles'!$EM$26:$ES$26,1,CV316)),IF(OR(INDEX('Lease Cycles'!$DY$26:$EE$26,1,CV316)=1,CV317&gt;0),1,1-INDEX('Lease Cycles'!$DD$26:$DJ$26,1,CV316))*((1-'Lease Cycles'!$AJ$26)*INDEX('Lease Cycles'!$FO$26:$FU$26,1,CV316)+(1-'Lease Cycles'!$BE$26)*(1-INDEX('Lease Cycles'!$FO$26:$FU$26,1,CV316)))),0)</f>
        <v>0</v>
      </c>
      <c r="CW324" s="24">
        <f>IF(CW318=1,'Lease Cycles'!$D$26*IF(INDEX('Lease Cycles'!$EF$26:$EL$26,1,CW316)=1,(1-'Lease Cycles'!$AJ$26)*INDEX('Lease Cycles'!$EM$26:$ES$26,1,CW316)+(1-'Lease Cycles'!$BE$26)*IF(CW317&lt;INDEX('Lease Cycles'!$FA$26:$FG$26,1,CW316),0,1-INDEX('Lease Cycles'!$EM$26:$ES$26,1,CW316)),IF(OR(INDEX('Lease Cycles'!$DY$26:$EE$26,1,CW316)=1,CW317&gt;0),1,1-INDEX('Lease Cycles'!$DD$26:$DJ$26,1,CW316))*((1-'Lease Cycles'!$AJ$26)*INDEX('Lease Cycles'!$FO$26:$FU$26,1,CW316)+(1-'Lease Cycles'!$BE$26)*(1-INDEX('Lease Cycles'!$FO$26:$FU$26,1,CW316)))),0)</f>
        <v>0</v>
      </c>
      <c r="CX324" s="24">
        <f>IF(CX318=1,'Lease Cycles'!$D$26*IF(INDEX('Lease Cycles'!$EF$26:$EL$26,1,CX316)=1,(1-'Lease Cycles'!$AJ$26)*INDEX('Lease Cycles'!$EM$26:$ES$26,1,CX316)+(1-'Lease Cycles'!$BE$26)*IF(CX317&lt;INDEX('Lease Cycles'!$FA$26:$FG$26,1,CX316),0,1-INDEX('Lease Cycles'!$EM$26:$ES$26,1,CX316)),IF(OR(INDEX('Lease Cycles'!$DY$26:$EE$26,1,CX316)=1,CX317&gt;0),1,1-INDEX('Lease Cycles'!$DD$26:$DJ$26,1,CX316))*((1-'Lease Cycles'!$AJ$26)*INDEX('Lease Cycles'!$FO$26:$FU$26,1,CX316)+(1-'Lease Cycles'!$BE$26)*(1-INDEX('Lease Cycles'!$FO$26:$FU$26,1,CX316)))),0)</f>
        <v>0</v>
      </c>
      <c r="CY324" s="24">
        <f>IF(CY318=1,'Lease Cycles'!$D$26*IF(INDEX('Lease Cycles'!$EF$26:$EL$26,1,CY316)=1,(1-'Lease Cycles'!$AJ$26)*INDEX('Lease Cycles'!$EM$26:$ES$26,1,CY316)+(1-'Lease Cycles'!$BE$26)*IF(CY317&lt;INDEX('Lease Cycles'!$FA$26:$FG$26,1,CY316),0,1-INDEX('Lease Cycles'!$EM$26:$ES$26,1,CY316)),IF(OR(INDEX('Lease Cycles'!$DY$26:$EE$26,1,CY316)=1,CY317&gt;0),1,1-INDEX('Lease Cycles'!$DD$26:$DJ$26,1,CY316))*((1-'Lease Cycles'!$AJ$26)*INDEX('Lease Cycles'!$FO$26:$FU$26,1,CY316)+(1-'Lease Cycles'!$BE$26)*(1-INDEX('Lease Cycles'!$FO$26:$FU$26,1,CY316)))),0)</f>
        <v>0</v>
      </c>
      <c r="CZ324" s="24">
        <f>IF(CZ318=1,'Lease Cycles'!$D$26*IF(INDEX('Lease Cycles'!$EF$26:$EL$26,1,CZ316)=1,(1-'Lease Cycles'!$AJ$26)*INDEX('Lease Cycles'!$EM$26:$ES$26,1,CZ316)+(1-'Lease Cycles'!$BE$26)*IF(CZ317&lt;INDEX('Lease Cycles'!$FA$26:$FG$26,1,CZ316),0,1-INDEX('Lease Cycles'!$EM$26:$ES$26,1,CZ316)),IF(OR(INDEX('Lease Cycles'!$DY$26:$EE$26,1,CZ316)=1,CZ317&gt;0),1,1-INDEX('Lease Cycles'!$DD$26:$DJ$26,1,CZ316))*((1-'Lease Cycles'!$AJ$26)*INDEX('Lease Cycles'!$FO$26:$FU$26,1,CZ316)+(1-'Lease Cycles'!$BE$26)*(1-INDEX('Lease Cycles'!$FO$26:$FU$26,1,CZ316)))),0)</f>
        <v>0</v>
      </c>
      <c r="DA324" s="24">
        <f>IF(DA318=1,'Lease Cycles'!$D$26*IF(INDEX('Lease Cycles'!$EF$26:$EL$26,1,DA316)=1,(1-'Lease Cycles'!$AJ$26)*INDEX('Lease Cycles'!$EM$26:$ES$26,1,DA316)+(1-'Lease Cycles'!$BE$26)*IF(DA317&lt;INDEX('Lease Cycles'!$FA$26:$FG$26,1,DA316),0,1-INDEX('Lease Cycles'!$EM$26:$ES$26,1,DA316)),IF(OR(INDEX('Lease Cycles'!$DY$26:$EE$26,1,DA316)=1,DA317&gt;0),1,1-INDEX('Lease Cycles'!$DD$26:$DJ$26,1,DA316))*((1-'Lease Cycles'!$AJ$26)*INDEX('Lease Cycles'!$FO$26:$FU$26,1,DA316)+(1-'Lease Cycles'!$BE$26)*(1-INDEX('Lease Cycles'!$FO$26:$FU$26,1,DA316)))),0)</f>
        <v>0</v>
      </c>
      <c r="DB324" s="24">
        <f>IF(DB318=1,'Lease Cycles'!$D$26*IF(INDEX('Lease Cycles'!$EF$26:$EL$26,1,DB316)=1,(1-'Lease Cycles'!$AJ$26)*INDEX('Lease Cycles'!$EM$26:$ES$26,1,DB316)+(1-'Lease Cycles'!$BE$26)*IF(DB317&lt;INDEX('Lease Cycles'!$FA$26:$FG$26,1,DB316),0,1-INDEX('Lease Cycles'!$EM$26:$ES$26,1,DB316)),IF(OR(INDEX('Lease Cycles'!$DY$26:$EE$26,1,DB316)=1,DB317&gt;0),1,1-INDEX('Lease Cycles'!$DD$26:$DJ$26,1,DB316))*((1-'Lease Cycles'!$AJ$26)*INDEX('Lease Cycles'!$FO$26:$FU$26,1,DB316)+(1-'Lease Cycles'!$BE$26)*(1-INDEX('Lease Cycles'!$FO$26:$FU$26,1,DB316)))),0)</f>
        <v>0</v>
      </c>
      <c r="DC324" s="24">
        <f>IF(DC318=1,'Lease Cycles'!$D$26*IF(INDEX('Lease Cycles'!$EF$26:$EL$26,1,DC316)=1,(1-'Lease Cycles'!$AJ$26)*INDEX('Lease Cycles'!$EM$26:$ES$26,1,DC316)+(1-'Lease Cycles'!$BE$26)*IF(DC317&lt;INDEX('Lease Cycles'!$FA$26:$FG$26,1,DC316),0,1-INDEX('Lease Cycles'!$EM$26:$ES$26,1,DC316)),IF(OR(INDEX('Lease Cycles'!$DY$26:$EE$26,1,DC316)=1,DC317&gt;0),1,1-INDEX('Lease Cycles'!$DD$26:$DJ$26,1,DC316))*((1-'Lease Cycles'!$AJ$26)*INDEX('Lease Cycles'!$FO$26:$FU$26,1,DC316)+(1-'Lease Cycles'!$BE$26)*(1-INDEX('Lease Cycles'!$FO$26:$FU$26,1,DC316)))),0)</f>
        <v>0</v>
      </c>
      <c r="DD324" s="24">
        <f>IF(DD318=1,'Lease Cycles'!$D$26*IF(INDEX('Lease Cycles'!$EF$26:$EL$26,1,DD316)=1,(1-'Lease Cycles'!$AJ$26)*INDEX('Lease Cycles'!$EM$26:$ES$26,1,DD316)+(1-'Lease Cycles'!$BE$26)*IF(DD317&lt;INDEX('Lease Cycles'!$FA$26:$FG$26,1,DD316),0,1-INDEX('Lease Cycles'!$EM$26:$ES$26,1,DD316)),IF(OR(INDEX('Lease Cycles'!$DY$26:$EE$26,1,DD316)=1,DD317&gt;0),1,1-INDEX('Lease Cycles'!$DD$26:$DJ$26,1,DD316))*((1-'Lease Cycles'!$AJ$26)*INDEX('Lease Cycles'!$FO$26:$FU$26,1,DD316)+(1-'Lease Cycles'!$BE$26)*(1-INDEX('Lease Cycles'!$FO$26:$FU$26,1,DD316)))),0)</f>
        <v>0</v>
      </c>
      <c r="DE324" s="24">
        <f>IF(DE318=1,'Lease Cycles'!$D$26*IF(INDEX('Lease Cycles'!$EF$26:$EL$26,1,DE316)=1,(1-'Lease Cycles'!$AJ$26)*INDEX('Lease Cycles'!$EM$26:$ES$26,1,DE316)+(1-'Lease Cycles'!$BE$26)*IF(DE317&lt;INDEX('Lease Cycles'!$FA$26:$FG$26,1,DE316),0,1-INDEX('Lease Cycles'!$EM$26:$ES$26,1,DE316)),IF(OR(INDEX('Lease Cycles'!$DY$26:$EE$26,1,DE316)=1,DE317&gt;0),1,1-INDEX('Lease Cycles'!$DD$26:$DJ$26,1,DE316))*((1-'Lease Cycles'!$AJ$26)*INDEX('Lease Cycles'!$FO$26:$FU$26,1,DE316)+(1-'Lease Cycles'!$BE$26)*(1-INDEX('Lease Cycles'!$FO$26:$FU$26,1,DE316)))),0)</f>
        <v>0</v>
      </c>
      <c r="DF324" s="24">
        <f>IF(DF318=1,'Lease Cycles'!$D$26*IF(INDEX('Lease Cycles'!$EF$26:$EL$26,1,DF316)=1,(1-'Lease Cycles'!$AJ$26)*INDEX('Lease Cycles'!$EM$26:$ES$26,1,DF316)+(1-'Lease Cycles'!$BE$26)*IF(DF317&lt;INDEX('Lease Cycles'!$FA$26:$FG$26,1,DF316),0,1-INDEX('Lease Cycles'!$EM$26:$ES$26,1,DF316)),IF(OR(INDEX('Lease Cycles'!$DY$26:$EE$26,1,DF316)=1,DF317&gt;0),1,1-INDEX('Lease Cycles'!$DD$26:$DJ$26,1,DF316))*((1-'Lease Cycles'!$AJ$26)*INDEX('Lease Cycles'!$FO$26:$FU$26,1,DF316)+(1-'Lease Cycles'!$BE$26)*(1-INDEX('Lease Cycles'!$FO$26:$FU$26,1,DF316)))),0)</f>
        <v>0</v>
      </c>
      <c r="DG324" s="24">
        <f>IF(DG318=1,'Lease Cycles'!$D$26*IF(INDEX('Lease Cycles'!$EF$26:$EL$26,1,DG316)=1,(1-'Lease Cycles'!$AJ$26)*INDEX('Lease Cycles'!$EM$26:$ES$26,1,DG316)+(1-'Lease Cycles'!$BE$26)*IF(DG317&lt;INDEX('Lease Cycles'!$FA$26:$FG$26,1,DG316),0,1-INDEX('Lease Cycles'!$EM$26:$ES$26,1,DG316)),IF(OR(INDEX('Lease Cycles'!$DY$26:$EE$26,1,DG316)=1,DG317&gt;0),1,1-INDEX('Lease Cycles'!$DD$26:$DJ$26,1,DG316))*((1-'Lease Cycles'!$AJ$26)*INDEX('Lease Cycles'!$FO$26:$FU$26,1,DG316)+(1-'Lease Cycles'!$BE$26)*(1-INDEX('Lease Cycles'!$FO$26:$FU$26,1,DG316)))),0)</f>
        <v>0</v>
      </c>
      <c r="DH324" s="24">
        <f>IF(DH318=1,'Lease Cycles'!$D$26*IF(INDEX('Lease Cycles'!$EF$26:$EL$26,1,DH316)=1,(1-'Lease Cycles'!$AJ$26)*INDEX('Lease Cycles'!$EM$26:$ES$26,1,DH316)+(1-'Lease Cycles'!$BE$26)*IF(DH317&lt;INDEX('Lease Cycles'!$FA$26:$FG$26,1,DH316),0,1-INDEX('Lease Cycles'!$EM$26:$ES$26,1,DH316)),IF(OR(INDEX('Lease Cycles'!$DY$26:$EE$26,1,DH316)=1,DH317&gt;0),1,1-INDEX('Lease Cycles'!$DD$26:$DJ$26,1,DH316))*((1-'Lease Cycles'!$AJ$26)*INDEX('Lease Cycles'!$FO$26:$FU$26,1,DH316)+(1-'Lease Cycles'!$BE$26)*(1-INDEX('Lease Cycles'!$FO$26:$FU$26,1,DH316)))),0)</f>
        <v>0</v>
      </c>
      <c r="DI324" s="24">
        <f>IF(DI318=1,'Lease Cycles'!$D$26*IF(INDEX('Lease Cycles'!$EF$26:$EL$26,1,DI316)=1,(1-'Lease Cycles'!$AJ$26)*INDEX('Lease Cycles'!$EM$26:$ES$26,1,DI316)+(1-'Lease Cycles'!$BE$26)*IF(DI317&lt;INDEX('Lease Cycles'!$FA$26:$FG$26,1,DI316),0,1-INDEX('Lease Cycles'!$EM$26:$ES$26,1,DI316)),IF(OR(INDEX('Lease Cycles'!$DY$26:$EE$26,1,DI316)=1,DI317&gt;0),1,1-INDEX('Lease Cycles'!$DD$26:$DJ$26,1,DI316))*((1-'Lease Cycles'!$AJ$26)*INDEX('Lease Cycles'!$FO$26:$FU$26,1,DI316)+(1-'Lease Cycles'!$BE$26)*(1-INDEX('Lease Cycles'!$FO$26:$FU$26,1,DI316)))),0)</f>
        <v>0</v>
      </c>
      <c r="DJ324" s="24">
        <f>IF(DJ318=1,'Lease Cycles'!$D$26*IF(INDEX('Lease Cycles'!$EF$26:$EL$26,1,DJ316)=1,(1-'Lease Cycles'!$AJ$26)*INDEX('Lease Cycles'!$EM$26:$ES$26,1,DJ316)+(1-'Lease Cycles'!$BE$26)*IF(DJ317&lt;INDEX('Lease Cycles'!$FA$26:$FG$26,1,DJ316),0,1-INDEX('Lease Cycles'!$EM$26:$ES$26,1,DJ316)),IF(OR(INDEX('Lease Cycles'!$DY$26:$EE$26,1,DJ316)=1,DJ317&gt;0),1,1-INDEX('Lease Cycles'!$DD$26:$DJ$26,1,DJ316))*((1-'Lease Cycles'!$AJ$26)*INDEX('Lease Cycles'!$FO$26:$FU$26,1,DJ316)+(1-'Lease Cycles'!$BE$26)*(1-INDEX('Lease Cycles'!$FO$26:$FU$26,1,DJ316)))),0)</f>
        <v>0</v>
      </c>
      <c r="DK324" s="24">
        <f>IF(DK318=1,'Lease Cycles'!$D$26*IF(INDEX('Lease Cycles'!$EF$26:$EL$26,1,DK316)=1,(1-'Lease Cycles'!$AJ$26)*INDEX('Lease Cycles'!$EM$26:$ES$26,1,DK316)+(1-'Lease Cycles'!$BE$26)*IF(DK317&lt;INDEX('Lease Cycles'!$FA$26:$FG$26,1,DK316),0,1-INDEX('Lease Cycles'!$EM$26:$ES$26,1,DK316)),IF(OR(INDEX('Lease Cycles'!$DY$26:$EE$26,1,DK316)=1,DK317&gt;0),1,1-INDEX('Lease Cycles'!$DD$26:$DJ$26,1,DK316))*((1-'Lease Cycles'!$AJ$26)*INDEX('Lease Cycles'!$FO$26:$FU$26,1,DK316)+(1-'Lease Cycles'!$BE$26)*(1-INDEX('Lease Cycles'!$FO$26:$FU$26,1,DK316)))),0)</f>
        <v>0</v>
      </c>
      <c r="DL324" s="24">
        <f>IF(DL318=1,'Lease Cycles'!$D$26*IF(INDEX('Lease Cycles'!$EF$26:$EL$26,1,DL316)=1,(1-'Lease Cycles'!$AJ$26)*INDEX('Lease Cycles'!$EM$26:$ES$26,1,DL316)+(1-'Lease Cycles'!$BE$26)*IF(DL317&lt;INDEX('Lease Cycles'!$FA$26:$FG$26,1,DL316),0,1-INDEX('Lease Cycles'!$EM$26:$ES$26,1,DL316)),IF(OR(INDEX('Lease Cycles'!$DY$26:$EE$26,1,DL316)=1,DL317&gt;0),1,1-INDEX('Lease Cycles'!$DD$26:$DJ$26,1,DL316))*((1-'Lease Cycles'!$AJ$26)*INDEX('Lease Cycles'!$FO$26:$FU$26,1,DL316)+(1-'Lease Cycles'!$BE$26)*(1-INDEX('Lease Cycles'!$FO$26:$FU$26,1,DL316)))),0)</f>
        <v>0</v>
      </c>
      <c r="DM324" s="24">
        <f>IF(DM318=1,'Lease Cycles'!$D$26*IF(INDEX('Lease Cycles'!$EF$26:$EL$26,1,DM316)=1,(1-'Lease Cycles'!$AJ$26)*INDEX('Lease Cycles'!$EM$26:$ES$26,1,DM316)+(1-'Lease Cycles'!$BE$26)*IF(DM317&lt;INDEX('Lease Cycles'!$FA$26:$FG$26,1,DM316),0,1-INDEX('Lease Cycles'!$EM$26:$ES$26,1,DM316)),IF(OR(INDEX('Lease Cycles'!$DY$26:$EE$26,1,DM316)=1,DM317&gt;0),1,1-INDEX('Lease Cycles'!$DD$26:$DJ$26,1,DM316))*((1-'Lease Cycles'!$AJ$26)*INDEX('Lease Cycles'!$FO$26:$FU$26,1,DM316)+(1-'Lease Cycles'!$BE$26)*(1-INDEX('Lease Cycles'!$FO$26:$FU$26,1,DM316)))),0)</f>
        <v>0</v>
      </c>
      <c r="DN324" s="24">
        <f>IF(DN318=1,'Lease Cycles'!$D$26*IF(INDEX('Lease Cycles'!$EF$26:$EL$26,1,DN316)=1,(1-'Lease Cycles'!$AJ$26)*INDEX('Lease Cycles'!$EM$26:$ES$26,1,DN316)+(1-'Lease Cycles'!$BE$26)*IF(DN317&lt;INDEX('Lease Cycles'!$FA$26:$FG$26,1,DN316),0,1-INDEX('Lease Cycles'!$EM$26:$ES$26,1,DN316)),IF(OR(INDEX('Lease Cycles'!$DY$26:$EE$26,1,DN316)=1,DN317&gt;0),1,1-INDEX('Lease Cycles'!$DD$26:$DJ$26,1,DN316))*((1-'Lease Cycles'!$AJ$26)*INDEX('Lease Cycles'!$FO$26:$FU$26,1,DN316)+(1-'Lease Cycles'!$BE$26)*(1-INDEX('Lease Cycles'!$FO$26:$FU$26,1,DN316)))),0)</f>
        <v>0</v>
      </c>
      <c r="DO324" s="24">
        <f>IF(DO318=1,'Lease Cycles'!$D$26*IF(INDEX('Lease Cycles'!$EF$26:$EL$26,1,DO316)=1,(1-'Lease Cycles'!$AJ$26)*INDEX('Lease Cycles'!$EM$26:$ES$26,1,DO316)+(1-'Lease Cycles'!$BE$26)*IF(DO317&lt;INDEX('Lease Cycles'!$FA$26:$FG$26,1,DO316),0,1-INDEX('Lease Cycles'!$EM$26:$ES$26,1,DO316)),IF(OR(INDEX('Lease Cycles'!$DY$26:$EE$26,1,DO316)=1,DO317&gt;0),1,1-INDEX('Lease Cycles'!$DD$26:$DJ$26,1,DO316))*((1-'Lease Cycles'!$AJ$26)*INDEX('Lease Cycles'!$FO$26:$FU$26,1,DO316)+(1-'Lease Cycles'!$BE$26)*(1-INDEX('Lease Cycles'!$FO$26:$FU$26,1,DO316)))),0)</f>
        <v>0</v>
      </c>
      <c r="DP324" s="24">
        <f>IF(DP318=1,'Lease Cycles'!$D$26*IF(INDEX('Lease Cycles'!$EF$26:$EL$26,1,DP316)=1,(1-'Lease Cycles'!$AJ$26)*INDEX('Lease Cycles'!$EM$26:$ES$26,1,DP316)+(1-'Lease Cycles'!$BE$26)*IF(DP317&lt;INDEX('Lease Cycles'!$FA$26:$FG$26,1,DP316),0,1-INDEX('Lease Cycles'!$EM$26:$ES$26,1,DP316)),IF(OR(INDEX('Lease Cycles'!$DY$26:$EE$26,1,DP316)=1,DP317&gt;0),1,1-INDEX('Lease Cycles'!$DD$26:$DJ$26,1,DP316))*((1-'Lease Cycles'!$AJ$26)*INDEX('Lease Cycles'!$FO$26:$FU$26,1,DP316)+(1-'Lease Cycles'!$BE$26)*(1-INDEX('Lease Cycles'!$FO$26:$FU$26,1,DP316)))),0)</f>
        <v>0</v>
      </c>
      <c r="DQ324" s="24">
        <f>IF(DQ318=1,'Lease Cycles'!$D$26*IF(INDEX('Lease Cycles'!$EF$26:$EL$26,1,DQ316)=1,(1-'Lease Cycles'!$AJ$26)*INDEX('Lease Cycles'!$EM$26:$ES$26,1,DQ316)+(1-'Lease Cycles'!$BE$26)*IF(DQ317&lt;INDEX('Lease Cycles'!$FA$26:$FG$26,1,DQ316),0,1-INDEX('Lease Cycles'!$EM$26:$ES$26,1,DQ316)),IF(OR(INDEX('Lease Cycles'!$DY$26:$EE$26,1,DQ316)=1,DQ317&gt;0),1,1-INDEX('Lease Cycles'!$DD$26:$DJ$26,1,DQ316))*((1-'Lease Cycles'!$AJ$26)*INDEX('Lease Cycles'!$FO$26:$FU$26,1,DQ316)+(1-'Lease Cycles'!$BE$26)*(1-INDEX('Lease Cycles'!$FO$26:$FU$26,1,DQ316)))),0)</f>
        <v>0</v>
      </c>
      <c r="DR324" s="24">
        <f>IF(DR318=1,'Lease Cycles'!$D$26*IF(INDEX('Lease Cycles'!$EF$26:$EL$26,1,DR316)=1,(1-'Lease Cycles'!$AJ$26)*INDEX('Lease Cycles'!$EM$26:$ES$26,1,DR316)+(1-'Lease Cycles'!$BE$26)*IF(DR317&lt;INDEX('Lease Cycles'!$FA$26:$FG$26,1,DR316),0,1-INDEX('Lease Cycles'!$EM$26:$ES$26,1,DR316)),IF(OR(INDEX('Lease Cycles'!$DY$26:$EE$26,1,DR316)=1,DR317&gt;0),1,1-INDEX('Lease Cycles'!$DD$26:$DJ$26,1,DR316))*((1-'Lease Cycles'!$AJ$26)*INDEX('Lease Cycles'!$FO$26:$FU$26,1,DR316)+(1-'Lease Cycles'!$BE$26)*(1-INDEX('Lease Cycles'!$FO$26:$FU$26,1,DR316)))),0)</f>
        <v>0</v>
      </c>
      <c r="DS324" s="24">
        <f>IF(DS318=1,'Lease Cycles'!$D$26*IF(INDEX('Lease Cycles'!$EF$26:$EL$26,1,DS316)=1,(1-'Lease Cycles'!$AJ$26)*INDEX('Lease Cycles'!$EM$26:$ES$26,1,DS316)+(1-'Lease Cycles'!$BE$26)*IF(DS317&lt;INDEX('Lease Cycles'!$FA$26:$FG$26,1,DS316),0,1-INDEX('Lease Cycles'!$EM$26:$ES$26,1,DS316)),IF(OR(INDEX('Lease Cycles'!$DY$26:$EE$26,1,DS316)=1,DS317&gt;0),1,1-INDEX('Lease Cycles'!$DD$26:$DJ$26,1,DS316))*((1-'Lease Cycles'!$AJ$26)*INDEX('Lease Cycles'!$FO$26:$FU$26,1,DS316)+(1-'Lease Cycles'!$BE$26)*(1-INDEX('Lease Cycles'!$FO$26:$FU$26,1,DS316)))),0)</f>
        <v>0</v>
      </c>
      <c r="DT324" s="24">
        <f>IF(DT318=1,'Lease Cycles'!$D$26*IF(INDEX('Lease Cycles'!$EF$26:$EL$26,1,DT316)=1,(1-'Lease Cycles'!$AJ$26)*INDEX('Lease Cycles'!$EM$26:$ES$26,1,DT316)+(1-'Lease Cycles'!$BE$26)*IF(DT317&lt;INDEX('Lease Cycles'!$FA$26:$FG$26,1,DT316),0,1-INDEX('Lease Cycles'!$EM$26:$ES$26,1,DT316)),IF(OR(INDEX('Lease Cycles'!$DY$26:$EE$26,1,DT316)=1,DT317&gt;0),1,1-INDEX('Lease Cycles'!$DD$26:$DJ$26,1,DT316))*((1-'Lease Cycles'!$AJ$26)*INDEX('Lease Cycles'!$FO$26:$FU$26,1,DT316)+(1-'Lease Cycles'!$BE$26)*(1-INDEX('Lease Cycles'!$FO$26:$FU$26,1,DT316)))),0)</f>
        <v>0</v>
      </c>
      <c r="DU324" s="24">
        <f>IF(DU318=1,'Lease Cycles'!$D$26*IF(INDEX('Lease Cycles'!$EF$26:$EL$26,1,DU316)=1,(1-'Lease Cycles'!$AJ$26)*INDEX('Lease Cycles'!$EM$26:$ES$26,1,DU316)+(1-'Lease Cycles'!$BE$26)*IF(DU317&lt;INDEX('Lease Cycles'!$FA$26:$FG$26,1,DU316),0,1-INDEX('Lease Cycles'!$EM$26:$ES$26,1,DU316)),IF(OR(INDEX('Lease Cycles'!$DY$26:$EE$26,1,DU316)=1,DU317&gt;0),1,1-INDEX('Lease Cycles'!$DD$26:$DJ$26,1,DU316))*((1-'Lease Cycles'!$AJ$26)*INDEX('Lease Cycles'!$FO$26:$FU$26,1,DU316)+(1-'Lease Cycles'!$BE$26)*(1-INDEX('Lease Cycles'!$FO$26:$FU$26,1,DU316)))),0)</f>
        <v>0</v>
      </c>
      <c r="DV324" s="24">
        <f>IF(DV318=1,'Lease Cycles'!$D$26*IF(INDEX('Lease Cycles'!$EF$26:$EL$26,1,DV316)=1,(1-'Lease Cycles'!$AJ$26)*INDEX('Lease Cycles'!$EM$26:$ES$26,1,DV316)+(1-'Lease Cycles'!$BE$26)*IF(DV317&lt;INDEX('Lease Cycles'!$FA$26:$FG$26,1,DV316),0,1-INDEX('Lease Cycles'!$EM$26:$ES$26,1,DV316)),IF(OR(INDEX('Lease Cycles'!$DY$26:$EE$26,1,DV316)=1,DV317&gt;0),1,1-INDEX('Lease Cycles'!$DD$26:$DJ$26,1,DV316))*((1-'Lease Cycles'!$AJ$26)*INDEX('Lease Cycles'!$FO$26:$FU$26,1,DV316)+(1-'Lease Cycles'!$BE$26)*(1-INDEX('Lease Cycles'!$FO$26:$FU$26,1,DV316)))),0)</f>
        <v>0</v>
      </c>
      <c r="DW324" s="24">
        <f>IF(DW318=1,'Lease Cycles'!$D$26*IF(INDEX('Lease Cycles'!$EF$26:$EL$26,1,DW316)=1,(1-'Lease Cycles'!$AJ$26)*INDEX('Lease Cycles'!$EM$26:$ES$26,1,DW316)+(1-'Lease Cycles'!$BE$26)*IF(DW317&lt;INDEX('Lease Cycles'!$FA$26:$FG$26,1,DW316),0,1-INDEX('Lease Cycles'!$EM$26:$ES$26,1,DW316)),IF(OR(INDEX('Lease Cycles'!$DY$26:$EE$26,1,DW316)=1,DW317&gt;0),1,1-INDEX('Lease Cycles'!$DD$26:$DJ$26,1,DW316))*((1-'Lease Cycles'!$AJ$26)*INDEX('Lease Cycles'!$FO$26:$FU$26,1,DW316)+(1-'Lease Cycles'!$BE$26)*(1-INDEX('Lease Cycles'!$FO$26:$FU$26,1,DW316)))),0)</f>
        <v>0</v>
      </c>
      <c r="DX324" s="24">
        <f>IF(DX318=1,'Lease Cycles'!$D$26*IF(INDEX('Lease Cycles'!$EF$26:$EL$26,1,DX316)=1,(1-'Lease Cycles'!$AJ$26)*INDEX('Lease Cycles'!$EM$26:$ES$26,1,DX316)+(1-'Lease Cycles'!$BE$26)*IF(DX317&lt;INDEX('Lease Cycles'!$FA$26:$FG$26,1,DX316),0,1-INDEX('Lease Cycles'!$EM$26:$ES$26,1,DX316)),IF(OR(INDEX('Lease Cycles'!$DY$26:$EE$26,1,DX316)=1,DX317&gt;0),1,1-INDEX('Lease Cycles'!$DD$26:$DJ$26,1,DX316))*((1-'Lease Cycles'!$AJ$26)*INDEX('Lease Cycles'!$FO$26:$FU$26,1,DX316)+(1-'Lease Cycles'!$BE$26)*(1-INDEX('Lease Cycles'!$FO$26:$FU$26,1,DX316)))),0)</f>
        <v>0</v>
      </c>
      <c r="DY324" s="24">
        <f>IF(DY318=1,'Lease Cycles'!$D$26*IF(INDEX('Lease Cycles'!$EF$26:$EL$26,1,DY316)=1,(1-'Lease Cycles'!$AJ$26)*INDEX('Lease Cycles'!$EM$26:$ES$26,1,DY316)+(1-'Lease Cycles'!$BE$26)*IF(DY317&lt;INDEX('Lease Cycles'!$FA$26:$FG$26,1,DY316),0,1-INDEX('Lease Cycles'!$EM$26:$ES$26,1,DY316)),IF(OR(INDEX('Lease Cycles'!$DY$26:$EE$26,1,DY316)=1,DY317&gt;0),1,1-INDEX('Lease Cycles'!$DD$26:$DJ$26,1,DY316))*((1-'Lease Cycles'!$AJ$26)*INDEX('Lease Cycles'!$FO$26:$FU$26,1,DY316)+(1-'Lease Cycles'!$BE$26)*(1-INDEX('Lease Cycles'!$FO$26:$FU$26,1,DY316)))),0)</f>
        <v>0</v>
      </c>
      <c r="DZ324" s="24">
        <f>IF(DZ318=1,'Lease Cycles'!$D$26*IF(INDEX('Lease Cycles'!$EF$26:$EL$26,1,DZ316)=1,(1-'Lease Cycles'!$AJ$26)*INDEX('Lease Cycles'!$EM$26:$ES$26,1,DZ316)+(1-'Lease Cycles'!$BE$26)*IF(DZ317&lt;INDEX('Lease Cycles'!$FA$26:$FG$26,1,DZ316),0,1-INDEX('Lease Cycles'!$EM$26:$ES$26,1,DZ316)),IF(OR(INDEX('Lease Cycles'!$DY$26:$EE$26,1,DZ316)=1,DZ317&gt;0),1,1-INDEX('Lease Cycles'!$DD$26:$DJ$26,1,DZ316))*((1-'Lease Cycles'!$AJ$26)*INDEX('Lease Cycles'!$FO$26:$FU$26,1,DZ316)+(1-'Lease Cycles'!$BE$26)*(1-INDEX('Lease Cycles'!$FO$26:$FU$26,1,DZ316)))),0)</f>
        <v>0</v>
      </c>
      <c r="EA324" s="24">
        <f>IF(EA318=1,'Lease Cycles'!$D$26*IF(INDEX('Lease Cycles'!$EF$26:$EL$26,1,EA316)=1,(1-'Lease Cycles'!$AJ$26)*INDEX('Lease Cycles'!$EM$26:$ES$26,1,EA316)+(1-'Lease Cycles'!$BE$26)*IF(EA317&lt;INDEX('Lease Cycles'!$FA$26:$FG$26,1,EA316),0,1-INDEX('Lease Cycles'!$EM$26:$ES$26,1,EA316)),IF(OR(INDEX('Lease Cycles'!$DY$26:$EE$26,1,EA316)=1,EA317&gt;0),1,1-INDEX('Lease Cycles'!$DD$26:$DJ$26,1,EA316))*((1-'Lease Cycles'!$AJ$26)*INDEX('Lease Cycles'!$FO$26:$FU$26,1,EA316)+(1-'Lease Cycles'!$BE$26)*(1-INDEX('Lease Cycles'!$FO$26:$FU$26,1,EA316)))),0)</f>
        <v>0</v>
      </c>
      <c r="EB324" s="24">
        <f>IF(EB318=1,'Lease Cycles'!$D$26*IF(INDEX('Lease Cycles'!$EF$26:$EL$26,1,EB316)=1,(1-'Lease Cycles'!$AJ$26)*INDEX('Lease Cycles'!$EM$26:$ES$26,1,EB316)+(1-'Lease Cycles'!$BE$26)*IF(EB317&lt;INDEX('Lease Cycles'!$FA$26:$FG$26,1,EB316),0,1-INDEX('Lease Cycles'!$EM$26:$ES$26,1,EB316)),IF(OR(INDEX('Lease Cycles'!$DY$26:$EE$26,1,EB316)=1,EB317&gt;0),1,1-INDEX('Lease Cycles'!$DD$26:$DJ$26,1,EB316))*((1-'Lease Cycles'!$AJ$26)*INDEX('Lease Cycles'!$FO$26:$FU$26,1,EB316)+(1-'Lease Cycles'!$BE$26)*(1-INDEX('Lease Cycles'!$FO$26:$FU$26,1,EB316)))),0)</f>
        <v>0</v>
      </c>
      <c r="EC324" s="24">
        <f>IF(EC318=1,'Lease Cycles'!$D$26*IF(INDEX('Lease Cycles'!$EF$26:$EL$26,1,EC316)=1,(1-'Lease Cycles'!$AJ$26)*INDEX('Lease Cycles'!$EM$26:$ES$26,1,EC316)+(1-'Lease Cycles'!$BE$26)*IF(EC317&lt;INDEX('Lease Cycles'!$FA$26:$FG$26,1,EC316),0,1-INDEX('Lease Cycles'!$EM$26:$ES$26,1,EC316)),IF(OR(INDEX('Lease Cycles'!$DY$26:$EE$26,1,EC316)=1,EC317&gt;0),1,1-INDEX('Lease Cycles'!$DD$26:$DJ$26,1,EC316))*((1-'Lease Cycles'!$AJ$26)*INDEX('Lease Cycles'!$FO$26:$FU$26,1,EC316)+(1-'Lease Cycles'!$BE$26)*(1-INDEX('Lease Cycles'!$FO$26:$FU$26,1,EC316)))),0)</f>
        <v>0</v>
      </c>
      <c r="ED324" s="24">
        <f>IF(ED318=1,'Lease Cycles'!$D$26*IF(INDEX('Lease Cycles'!$EF$26:$EL$26,1,ED316)=1,(1-'Lease Cycles'!$AJ$26)*INDEX('Lease Cycles'!$EM$26:$ES$26,1,ED316)+(1-'Lease Cycles'!$BE$26)*IF(ED317&lt;INDEX('Lease Cycles'!$FA$26:$FG$26,1,ED316),0,1-INDEX('Lease Cycles'!$EM$26:$ES$26,1,ED316)),IF(OR(INDEX('Lease Cycles'!$DY$26:$EE$26,1,ED316)=1,ED317&gt;0),1,1-INDEX('Lease Cycles'!$DD$26:$DJ$26,1,ED316))*((1-'Lease Cycles'!$AJ$26)*INDEX('Lease Cycles'!$FO$26:$FU$26,1,ED316)+(1-'Lease Cycles'!$BE$26)*(1-INDEX('Lease Cycles'!$FO$26:$FU$26,1,ED316)))),0)</f>
        <v>0</v>
      </c>
      <c r="EE324" s="24">
        <f>IF(EE318=1,'Lease Cycles'!$D$26*IF(INDEX('Lease Cycles'!$EF$26:$EL$26,1,EE316)=1,(1-'Lease Cycles'!$AJ$26)*INDEX('Lease Cycles'!$EM$26:$ES$26,1,EE316)+(1-'Lease Cycles'!$BE$26)*IF(EE317&lt;INDEX('Lease Cycles'!$FA$26:$FG$26,1,EE316),0,1-INDEX('Lease Cycles'!$EM$26:$ES$26,1,EE316)),IF(OR(INDEX('Lease Cycles'!$DY$26:$EE$26,1,EE316)=1,EE317&gt;0),1,1-INDEX('Lease Cycles'!$DD$26:$DJ$26,1,EE316))*((1-'Lease Cycles'!$AJ$26)*INDEX('Lease Cycles'!$FO$26:$FU$26,1,EE316)+(1-'Lease Cycles'!$BE$26)*(1-INDEX('Lease Cycles'!$FO$26:$FU$26,1,EE316)))),0)</f>
        <v>0</v>
      </c>
      <c r="EF324" s="24">
        <f>IF(EF318=1,'Lease Cycles'!$D$26*IF(INDEX('Lease Cycles'!$EF$26:$EL$26,1,EF316)=1,(1-'Lease Cycles'!$AJ$26)*INDEX('Lease Cycles'!$EM$26:$ES$26,1,EF316)+(1-'Lease Cycles'!$BE$26)*IF(EF317&lt;INDEX('Lease Cycles'!$FA$26:$FG$26,1,EF316),0,1-INDEX('Lease Cycles'!$EM$26:$ES$26,1,EF316)),IF(OR(INDEX('Lease Cycles'!$DY$26:$EE$26,1,EF316)=1,EF317&gt;0),1,1-INDEX('Lease Cycles'!$DD$26:$DJ$26,1,EF316))*((1-'Lease Cycles'!$AJ$26)*INDEX('Lease Cycles'!$FO$26:$FU$26,1,EF316)+(1-'Lease Cycles'!$BE$26)*(1-INDEX('Lease Cycles'!$FO$26:$FU$26,1,EF316)))),0)</f>
        <v>0</v>
      </c>
      <c r="EG324" s="24">
        <f>IF(EG318=1,'Lease Cycles'!$D$26*IF(INDEX('Lease Cycles'!$EF$26:$EL$26,1,EG316)=1,(1-'Lease Cycles'!$AJ$26)*INDEX('Lease Cycles'!$EM$26:$ES$26,1,EG316)+(1-'Lease Cycles'!$BE$26)*IF(EG317&lt;INDEX('Lease Cycles'!$FA$26:$FG$26,1,EG316),0,1-INDEX('Lease Cycles'!$EM$26:$ES$26,1,EG316)),IF(OR(INDEX('Lease Cycles'!$DY$26:$EE$26,1,EG316)=1,EG317&gt;0),1,1-INDEX('Lease Cycles'!$DD$26:$DJ$26,1,EG316))*((1-'Lease Cycles'!$AJ$26)*INDEX('Lease Cycles'!$FO$26:$FU$26,1,EG316)+(1-'Lease Cycles'!$BE$26)*(1-INDEX('Lease Cycles'!$FO$26:$FU$26,1,EG316)))),0)</f>
        <v>0</v>
      </c>
      <c r="EH324" s="24">
        <f>IF(EH318=1,'Lease Cycles'!$D$26*IF(INDEX('Lease Cycles'!$EF$26:$EL$26,1,EH316)=1,(1-'Lease Cycles'!$AJ$26)*INDEX('Lease Cycles'!$EM$26:$ES$26,1,EH316)+(1-'Lease Cycles'!$BE$26)*IF(EH317&lt;INDEX('Lease Cycles'!$FA$26:$FG$26,1,EH316),0,1-INDEX('Lease Cycles'!$EM$26:$ES$26,1,EH316)),IF(OR(INDEX('Lease Cycles'!$DY$26:$EE$26,1,EH316)=1,EH317&gt;0),1,1-INDEX('Lease Cycles'!$DD$26:$DJ$26,1,EH316))*((1-'Lease Cycles'!$AJ$26)*INDEX('Lease Cycles'!$FO$26:$FU$26,1,EH316)+(1-'Lease Cycles'!$BE$26)*(1-INDEX('Lease Cycles'!$FO$26:$FU$26,1,EH316)))),0)</f>
        <v>0</v>
      </c>
      <c r="EI324" s="24">
        <f>IF(EI318=1,'Lease Cycles'!$D$26*IF(INDEX('Lease Cycles'!$EF$26:$EL$26,1,EI316)=1,(1-'Lease Cycles'!$AJ$26)*INDEX('Lease Cycles'!$EM$26:$ES$26,1,EI316)+(1-'Lease Cycles'!$BE$26)*IF(EI317&lt;INDEX('Lease Cycles'!$FA$26:$FG$26,1,EI316),0,1-INDEX('Lease Cycles'!$EM$26:$ES$26,1,EI316)),IF(OR(INDEX('Lease Cycles'!$DY$26:$EE$26,1,EI316)=1,EI317&gt;0),1,1-INDEX('Lease Cycles'!$DD$26:$DJ$26,1,EI316))*((1-'Lease Cycles'!$AJ$26)*INDEX('Lease Cycles'!$FO$26:$FU$26,1,EI316)+(1-'Lease Cycles'!$BE$26)*(1-INDEX('Lease Cycles'!$FO$26:$FU$26,1,EI316)))),0)</f>
        <v>0</v>
      </c>
      <c r="EJ324" s="24">
        <f>IF(EJ318=1,'Lease Cycles'!$D$26*IF(INDEX('Lease Cycles'!$EF$26:$EL$26,1,EJ316)=1,(1-'Lease Cycles'!$AJ$26)*INDEX('Lease Cycles'!$EM$26:$ES$26,1,EJ316)+(1-'Lease Cycles'!$BE$26)*IF(EJ317&lt;INDEX('Lease Cycles'!$FA$26:$FG$26,1,EJ316),0,1-INDEX('Lease Cycles'!$EM$26:$ES$26,1,EJ316)),IF(OR(INDEX('Lease Cycles'!$DY$26:$EE$26,1,EJ316)=1,EJ317&gt;0),1,1-INDEX('Lease Cycles'!$DD$26:$DJ$26,1,EJ316))*((1-'Lease Cycles'!$AJ$26)*INDEX('Lease Cycles'!$FO$26:$FU$26,1,EJ316)+(1-'Lease Cycles'!$BE$26)*(1-INDEX('Lease Cycles'!$FO$26:$FU$26,1,EJ316)))),0)</f>
        <v>0</v>
      </c>
      <c r="EK324" s="24">
        <f>IF(EK318=1,'Lease Cycles'!$D$26*IF(INDEX('Lease Cycles'!$EF$26:$EL$26,1,EK316)=1,(1-'Lease Cycles'!$AJ$26)*INDEX('Lease Cycles'!$EM$26:$ES$26,1,EK316)+(1-'Lease Cycles'!$BE$26)*IF(EK317&lt;INDEX('Lease Cycles'!$FA$26:$FG$26,1,EK316),0,1-INDEX('Lease Cycles'!$EM$26:$ES$26,1,EK316)),IF(OR(INDEX('Lease Cycles'!$DY$26:$EE$26,1,EK316)=1,EK317&gt;0),1,1-INDEX('Lease Cycles'!$DD$26:$DJ$26,1,EK316))*((1-'Lease Cycles'!$AJ$26)*INDEX('Lease Cycles'!$FO$26:$FU$26,1,EK316)+(1-'Lease Cycles'!$BE$26)*(1-INDEX('Lease Cycles'!$FO$26:$FU$26,1,EK316)))),0)</f>
        <v>0</v>
      </c>
      <c r="EL324" s="24">
        <f>IF(EL318=1,'Lease Cycles'!$D$26*IF(INDEX('Lease Cycles'!$EF$26:$EL$26,1,EL316)=1,(1-'Lease Cycles'!$AJ$26)*INDEX('Lease Cycles'!$EM$26:$ES$26,1,EL316)+(1-'Lease Cycles'!$BE$26)*IF(EL317&lt;INDEX('Lease Cycles'!$FA$26:$FG$26,1,EL316),0,1-INDEX('Lease Cycles'!$EM$26:$ES$26,1,EL316)),IF(OR(INDEX('Lease Cycles'!$DY$26:$EE$26,1,EL316)=1,EL317&gt;0),1,1-INDEX('Lease Cycles'!$DD$26:$DJ$26,1,EL316))*((1-'Lease Cycles'!$AJ$26)*INDEX('Lease Cycles'!$FO$26:$FU$26,1,EL316)+(1-'Lease Cycles'!$BE$26)*(1-INDEX('Lease Cycles'!$FO$26:$FU$26,1,EL316)))),0)</f>
        <v>0</v>
      </c>
      <c r="EM324" s="24">
        <f>IF(EM318=1,'Lease Cycles'!$D$26*IF(INDEX('Lease Cycles'!$EF$26:$EL$26,1,EM316)=1,(1-'Lease Cycles'!$AJ$26)*INDEX('Lease Cycles'!$EM$26:$ES$26,1,EM316)+(1-'Lease Cycles'!$BE$26)*IF(EM317&lt;INDEX('Lease Cycles'!$FA$26:$FG$26,1,EM316),0,1-INDEX('Lease Cycles'!$EM$26:$ES$26,1,EM316)),IF(OR(INDEX('Lease Cycles'!$DY$26:$EE$26,1,EM316)=1,EM317&gt;0),1,1-INDEX('Lease Cycles'!$DD$26:$DJ$26,1,EM316))*((1-'Lease Cycles'!$AJ$26)*INDEX('Lease Cycles'!$FO$26:$FU$26,1,EM316)+(1-'Lease Cycles'!$BE$26)*(1-INDEX('Lease Cycles'!$FO$26:$FU$26,1,EM316)))),0)</f>
        <v>0</v>
      </c>
      <c r="EN324" s="24">
        <f>IF(EN318=1,'Lease Cycles'!$D$26*IF(INDEX('Lease Cycles'!$EF$26:$EL$26,1,EN316)=1,(1-'Lease Cycles'!$AJ$26)*INDEX('Lease Cycles'!$EM$26:$ES$26,1,EN316)+(1-'Lease Cycles'!$BE$26)*IF(EN317&lt;INDEX('Lease Cycles'!$FA$26:$FG$26,1,EN316),0,1-INDEX('Lease Cycles'!$EM$26:$ES$26,1,EN316)),IF(OR(INDEX('Lease Cycles'!$DY$26:$EE$26,1,EN316)=1,EN317&gt;0),1,1-INDEX('Lease Cycles'!$DD$26:$DJ$26,1,EN316))*((1-'Lease Cycles'!$AJ$26)*INDEX('Lease Cycles'!$FO$26:$FU$26,1,EN316)+(1-'Lease Cycles'!$BE$26)*(1-INDEX('Lease Cycles'!$FO$26:$FU$26,1,EN316)))),0)</f>
        <v>0</v>
      </c>
      <c r="EO324" s="24">
        <f>IF(EO318=1,'Lease Cycles'!$D$26*IF(INDEX('Lease Cycles'!$EF$26:$EL$26,1,EO316)=1,(1-'Lease Cycles'!$AJ$26)*INDEX('Lease Cycles'!$EM$26:$ES$26,1,EO316)+(1-'Lease Cycles'!$BE$26)*IF(EO317&lt;INDEX('Lease Cycles'!$FA$26:$FG$26,1,EO316),0,1-INDEX('Lease Cycles'!$EM$26:$ES$26,1,EO316)),IF(OR(INDEX('Lease Cycles'!$DY$26:$EE$26,1,EO316)=1,EO317&gt;0),1,1-INDEX('Lease Cycles'!$DD$26:$DJ$26,1,EO316))*((1-'Lease Cycles'!$AJ$26)*INDEX('Lease Cycles'!$FO$26:$FU$26,1,EO316)+(1-'Lease Cycles'!$BE$26)*(1-INDEX('Lease Cycles'!$FO$26:$FU$26,1,EO316)))),0)</f>
        <v>0</v>
      </c>
      <c r="EP324" s="24">
        <f>IF(EP318=1,'Lease Cycles'!$D$26*IF(INDEX('Lease Cycles'!$EF$26:$EL$26,1,EP316)=1,(1-'Lease Cycles'!$AJ$26)*INDEX('Lease Cycles'!$EM$26:$ES$26,1,EP316)+(1-'Lease Cycles'!$BE$26)*IF(EP317&lt;INDEX('Lease Cycles'!$FA$26:$FG$26,1,EP316),0,1-INDEX('Lease Cycles'!$EM$26:$ES$26,1,EP316)),IF(OR(INDEX('Lease Cycles'!$DY$26:$EE$26,1,EP316)=1,EP317&gt;0),1,1-INDEX('Lease Cycles'!$DD$26:$DJ$26,1,EP316))*((1-'Lease Cycles'!$AJ$26)*INDEX('Lease Cycles'!$FO$26:$FU$26,1,EP316)+(1-'Lease Cycles'!$BE$26)*(1-INDEX('Lease Cycles'!$FO$26:$FU$26,1,EP316)))),0)</f>
        <v>0</v>
      </c>
      <c r="EQ324" s="24">
        <f>IF(EQ318=1,'Lease Cycles'!$D$26*IF(INDEX('Lease Cycles'!$EF$26:$EL$26,1,EQ316)=1,(1-'Lease Cycles'!$AJ$26)*INDEX('Lease Cycles'!$EM$26:$ES$26,1,EQ316)+(1-'Lease Cycles'!$BE$26)*IF(EQ317&lt;INDEX('Lease Cycles'!$FA$26:$FG$26,1,EQ316),0,1-INDEX('Lease Cycles'!$EM$26:$ES$26,1,EQ316)),IF(OR(INDEX('Lease Cycles'!$DY$26:$EE$26,1,EQ316)=1,EQ317&gt;0),1,1-INDEX('Lease Cycles'!$DD$26:$DJ$26,1,EQ316))*((1-'Lease Cycles'!$AJ$26)*INDEX('Lease Cycles'!$FO$26:$FU$26,1,EQ316)+(1-'Lease Cycles'!$BE$26)*(1-INDEX('Lease Cycles'!$FO$26:$FU$26,1,EQ316)))),0)</f>
        <v>0</v>
      </c>
      <c r="ER324" s="24">
        <f>IF(ER318=1,'Lease Cycles'!$D$26*IF(INDEX('Lease Cycles'!$EF$26:$EL$26,1,ER316)=1,(1-'Lease Cycles'!$AJ$26)*INDEX('Lease Cycles'!$EM$26:$ES$26,1,ER316)+(1-'Lease Cycles'!$BE$26)*IF(ER317&lt;INDEX('Lease Cycles'!$FA$26:$FG$26,1,ER316),0,1-INDEX('Lease Cycles'!$EM$26:$ES$26,1,ER316)),IF(OR(INDEX('Lease Cycles'!$DY$26:$EE$26,1,ER316)=1,ER317&gt;0),1,1-INDEX('Lease Cycles'!$DD$26:$DJ$26,1,ER316))*((1-'Lease Cycles'!$AJ$26)*INDEX('Lease Cycles'!$FO$26:$FU$26,1,ER316)+(1-'Lease Cycles'!$BE$26)*(1-INDEX('Lease Cycles'!$FO$26:$FU$26,1,ER316)))),0)</f>
        <v>0</v>
      </c>
      <c r="ES324" s="24">
        <f>IF(ES318=1,'Lease Cycles'!$D$26*IF(INDEX('Lease Cycles'!$EF$26:$EL$26,1,ES316)=1,(1-'Lease Cycles'!$AJ$26)*INDEX('Lease Cycles'!$EM$26:$ES$26,1,ES316)+(1-'Lease Cycles'!$BE$26)*IF(ES317&lt;INDEX('Lease Cycles'!$FA$26:$FG$26,1,ES316),0,1-INDEX('Lease Cycles'!$EM$26:$ES$26,1,ES316)),IF(OR(INDEX('Lease Cycles'!$DY$26:$EE$26,1,ES316)=1,ES317&gt;0),1,1-INDEX('Lease Cycles'!$DD$26:$DJ$26,1,ES316))*((1-'Lease Cycles'!$AJ$26)*INDEX('Lease Cycles'!$FO$26:$FU$26,1,ES316)+(1-'Lease Cycles'!$BE$26)*(1-INDEX('Lease Cycles'!$FO$26:$FU$26,1,ES316)))),0)</f>
        <v>0</v>
      </c>
      <c r="ET324" s="24">
        <f>IF(ET318=1,'Lease Cycles'!$D$26*IF(INDEX('Lease Cycles'!$EF$26:$EL$26,1,ET316)=1,(1-'Lease Cycles'!$AJ$26)*INDEX('Lease Cycles'!$EM$26:$ES$26,1,ET316)+(1-'Lease Cycles'!$BE$26)*IF(ET317&lt;INDEX('Lease Cycles'!$FA$26:$FG$26,1,ET316),0,1-INDEX('Lease Cycles'!$EM$26:$ES$26,1,ET316)),IF(OR(INDEX('Lease Cycles'!$DY$26:$EE$26,1,ET316)=1,ET317&gt;0),1,1-INDEX('Lease Cycles'!$DD$26:$DJ$26,1,ET316))*((1-'Lease Cycles'!$AJ$26)*INDEX('Lease Cycles'!$FO$26:$FU$26,1,ET316)+(1-'Lease Cycles'!$BE$26)*(1-INDEX('Lease Cycles'!$FO$26:$FU$26,1,ET316)))),0)</f>
        <v>0</v>
      </c>
    </row>
    <row r="325">
      <c r="A325" s="103">
        <v>19</v>
      </c>
      <c r="B325" s="23" t="str">
        <f>IF('Lease Cycles'!$B$26="","(empty slot)",'Lease Cycles'!$B$26)</f>
        <v>(empty slot)</v>
      </c>
      <c r="C325" s="23" t="s">
        <v>685</v>
      </c>
      <c r="D325" s="104" t="s">
        <v>686</v>
      </c>
      <c r="E325" s="25">
        <f>'Lease Cycles'!$AL$26</f>
        <v>0</v>
      </c>
      <c r="G325" s="24">
        <f>SUM(S325:AD325)</f>
        <v>0</v>
      </c>
      <c r="H325" s="24">
        <f>SUM(AE325:AP325)</f>
        <v>0</v>
      </c>
      <c r="I325" s="24">
        <f>SUM(AQ325:BB325)</f>
        <v>0</v>
      </c>
      <c r="J325" s="24">
        <f>SUM(BC325:BN325)</f>
        <v>0</v>
      </c>
      <c r="K325" s="24">
        <f>SUM(BO325:BZ325)</f>
        <v>0</v>
      </c>
      <c r="L325" s="24">
        <f>SUM(CA325:CL325)</f>
        <v>0</v>
      </c>
      <c r="M325" s="24">
        <f>SUM(CM325:CX325)</f>
        <v>0</v>
      </c>
      <c r="N325" s="24">
        <f>SUM(CY325:DJ325)</f>
        <v>0</v>
      </c>
      <c r="O325" s="24">
        <f>SUM(DK325:DV325)</f>
        <v>0</v>
      </c>
      <c r="P325" s="24">
        <f>SUM(DW325:EH325)</f>
        <v>0</v>
      </c>
      <c r="Q325" s="24">
        <f>SUM(EI325:ET325)</f>
        <v>0</v>
      </c>
      <c r="S325" s="24">
        <f>IF(S318=1,IF('Lease Cycles'!$AJ$26=1,0,'Lease Cycles'!$D$26*INDEX('Lease Cycles'!$FH$26:$FN$26,1,S316)*IF(INDEX('Lease Cycles'!$EF$26:$EL$26,1,S316)=1,1,IF(OR(INDEX('Lease Cycles'!$DY$26:$EE$26,1,S316)=1,S317&gt;0),1,1-INDEX('Lease Cycles'!$DD$26:$DJ$26,1,S316)))),0)</f>
        <v>0</v>
      </c>
      <c r="T325" s="24">
        <f>IF(T318=1,IF('Lease Cycles'!$AJ$26=1,0,'Lease Cycles'!$D$26*INDEX('Lease Cycles'!$FH$26:$FN$26,1,T316)*IF(INDEX('Lease Cycles'!$EF$26:$EL$26,1,T316)=1,1,IF(OR(INDEX('Lease Cycles'!$DY$26:$EE$26,1,T316)=1,T317&gt;0),1,1-INDEX('Lease Cycles'!$DD$26:$DJ$26,1,T316)))),0)</f>
        <v>0</v>
      </c>
      <c r="U325" s="24">
        <f>IF(U318=1,IF('Lease Cycles'!$AJ$26=1,0,'Lease Cycles'!$D$26*INDEX('Lease Cycles'!$FH$26:$FN$26,1,U316)*IF(INDEX('Lease Cycles'!$EF$26:$EL$26,1,U316)=1,1,IF(OR(INDEX('Lease Cycles'!$DY$26:$EE$26,1,U316)=1,U317&gt;0),1,1-INDEX('Lease Cycles'!$DD$26:$DJ$26,1,U316)))),0)</f>
        <v>0</v>
      </c>
      <c r="V325" s="24">
        <f>IF(V318=1,IF('Lease Cycles'!$AJ$26=1,0,'Lease Cycles'!$D$26*INDEX('Lease Cycles'!$FH$26:$FN$26,1,V316)*IF(INDEX('Lease Cycles'!$EF$26:$EL$26,1,V316)=1,1,IF(OR(INDEX('Lease Cycles'!$DY$26:$EE$26,1,V316)=1,V317&gt;0),1,1-INDEX('Lease Cycles'!$DD$26:$DJ$26,1,V316)))),0)</f>
        <v>0</v>
      </c>
      <c r="W325" s="24">
        <f>IF(W318=1,IF('Lease Cycles'!$AJ$26=1,0,'Lease Cycles'!$D$26*INDEX('Lease Cycles'!$FH$26:$FN$26,1,W316)*IF(INDEX('Lease Cycles'!$EF$26:$EL$26,1,W316)=1,1,IF(OR(INDEX('Lease Cycles'!$DY$26:$EE$26,1,W316)=1,W317&gt;0),1,1-INDEX('Lease Cycles'!$DD$26:$DJ$26,1,W316)))),0)</f>
        <v>0</v>
      </c>
      <c r="X325" s="24">
        <f>IF(X318=1,IF('Lease Cycles'!$AJ$26=1,0,'Lease Cycles'!$D$26*INDEX('Lease Cycles'!$FH$26:$FN$26,1,X316)*IF(INDEX('Lease Cycles'!$EF$26:$EL$26,1,X316)=1,1,IF(OR(INDEX('Lease Cycles'!$DY$26:$EE$26,1,X316)=1,X317&gt;0),1,1-INDEX('Lease Cycles'!$DD$26:$DJ$26,1,X316)))),0)</f>
        <v>0</v>
      </c>
      <c r="Y325" s="24">
        <f>IF(Y318=1,IF('Lease Cycles'!$AJ$26=1,0,'Lease Cycles'!$D$26*INDEX('Lease Cycles'!$FH$26:$FN$26,1,Y316)*IF(INDEX('Lease Cycles'!$EF$26:$EL$26,1,Y316)=1,1,IF(OR(INDEX('Lease Cycles'!$DY$26:$EE$26,1,Y316)=1,Y317&gt;0),1,1-INDEX('Lease Cycles'!$DD$26:$DJ$26,1,Y316)))),0)</f>
        <v>0</v>
      </c>
      <c r="Z325" s="24">
        <f>IF(Z318=1,IF('Lease Cycles'!$AJ$26=1,0,'Lease Cycles'!$D$26*INDEX('Lease Cycles'!$FH$26:$FN$26,1,Z316)*IF(INDEX('Lease Cycles'!$EF$26:$EL$26,1,Z316)=1,1,IF(OR(INDEX('Lease Cycles'!$DY$26:$EE$26,1,Z316)=1,Z317&gt;0),1,1-INDEX('Lease Cycles'!$DD$26:$DJ$26,1,Z316)))),0)</f>
        <v>0</v>
      </c>
      <c r="AA325" s="24">
        <f>IF(AA318=1,IF('Lease Cycles'!$AJ$26=1,0,'Lease Cycles'!$D$26*INDEX('Lease Cycles'!$FH$26:$FN$26,1,AA316)*IF(INDEX('Lease Cycles'!$EF$26:$EL$26,1,AA316)=1,1,IF(OR(INDEX('Lease Cycles'!$DY$26:$EE$26,1,AA316)=1,AA317&gt;0),1,1-INDEX('Lease Cycles'!$DD$26:$DJ$26,1,AA316)))),0)</f>
        <v>0</v>
      </c>
      <c r="AB325" s="24">
        <f>IF(AB318=1,IF('Lease Cycles'!$AJ$26=1,0,'Lease Cycles'!$D$26*INDEX('Lease Cycles'!$FH$26:$FN$26,1,AB316)*IF(INDEX('Lease Cycles'!$EF$26:$EL$26,1,AB316)=1,1,IF(OR(INDEX('Lease Cycles'!$DY$26:$EE$26,1,AB316)=1,AB317&gt;0),1,1-INDEX('Lease Cycles'!$DD$26:$DJ$26,1,AB316)))),0)</f>
        <v>0</v>
      </c>
      <c r="AC325" s="24">
        <f>IF(AC318=1,IF('Lease Cycles'!$AJ$26=1,0,'Lease Cycles'!$D$26*INDEX('Lease Cycles'!$FH$26:$FN$26,1,AC316)*IF(INDEX('Lease Cycles'!$EF$26:$EL$26,1,AC316)=1,1,IF(OR(INDEX('Lease Cycles'!$DY$26:$EE$26,1,AC316)=1,AC317&gt;0),1,1-INDEX('Lease Cycles'!$DD$26:$DJ$26,1,AC316)))),0)</f>
        <v>0</v>
      </c>
      <c r="AD325" s="24">
        <f>IF(AD318=1,IF('Lease Cycles'!$AJ$26=1,0,'Lease Cycles'!$D$26*INDEX('Lease Cycles'!$FH$26:$FN$26,1,AD316)*IF(INDEX('Lease Cycles'!$EF$26:$EL$26,1,AD316)=1,1,IF(OR(INDEX('Lease Cycles'!$DY$26:$EE$26,1,AD316)=1,AD317&gt;0),1,1-INDEX('Lease Cycles'!$DD$26:$DJ$26,1,AD316)))),0)</f>
        <v>0</v>
      </c>
      <c r="AE325" s="24">
        <f>IF(AE318=1,IF('Lease Cycles'!$AJ$26=1,0,'Lease Cycles'!$D$26*INDEX('Lease Cycles'!$FH$26:$FN$26,1,AE316)*IF(INDEX('Lease Cycles'!$EF$26:$EL$26,1,AE316)=1,1,IF(OR(INDEX('Lease Cycles'!$DY$26:$EE$26,1,AE316)=1,AE317&gt;0),1,1-INDEX('Lease Cycles'!$DD$26:$DJ$26,1,AE316)))),0)</f>
        <v>0</v>
      </c>
      <c r="AF325" s="24">
        <f>IF(AF318=1,IF('Lease Cycles'!$AJ$26=1,0,'Lease Cycles'!$D$26*INDEX('Lease Cycles'!$FH$26:$FN$26,1,AF316)*IF(INDEX('Lease Cycles'!$EF$26:$EL$26,1,AF316)=1,1,IF(OR(INDEX('Lease Cycles'!$DY$26:$EE$26,1,AF316)=1,AF317&gt;0),1,1-INDEX('Lease Cycles'!$DD$26:$DJ$26,1,AF316)))),0)</f>
        <v>0</v>
      </c>
      <c r="AG325" s="24">
        <f>IF(AG318=1,IF('Lease Cycles'!$AJ$26=1,0,'Lease Cycles'!$D$26*INDEX('Lease Cycles'!$FH$26:$FN$26,1,AG316)*IF(INDEX('Lease Cycles'!$EF$26:$EL$26,1,AG316)=1,1,IF(OR(INDEX('Lease Cycles'!$DY$26:$EE$26,1,AG316)=1,AG317&gt;0),1,1-INDEX('Lease Cycles'!$DD$26:$DJ$26,1,AG316)))),0)</f>
        <v>0</v>
      </c>
      <c r="AH325" s="24">
        <f>IF(AH318=1,IF('Lease Cycles'!$AJ$26=1,0,'Lease Cycles'!$D$26*INDEX('Lease Cycles'!$FH$26:$FN$26,1,AH316)*IF(INDEX('Lease Cycles'!$EF$26:$EL$26,1,AH316)=1,1,IF(OR(INDEX('Lease Cycles'!$DY$26:$EE$26,1,AH316)=1,AH317&gt;0),1,1-INDEX('Lease Cycles'!$DD$26:$DJ$26,1,AH316)))),0)</f>
        <v>0</v>
      </c>
      <c r="AI325" s="24">
        <f>IF(AI318=1,IF('Lease Cycles'!$AJ$26=1,0,'Lease Cycles'!$D$26*INDEX('Lease Cycles'!$FH$26:$FN$26,1,AI316)*IF(INDEX('Lease Cycles'!$EF$26:$EL$26,1,AI316)=1,1,IF(OR(INDEX('Lease Cycles'!$DY$26:$EE$26,1,AI316)=1,AI317&gt;0),1,1-INDEX('Lease Cycles'!$DD$26:$DJ$26,1,AI316)))),0)</f>
        <v>0</v>
      </c>
      <c r="AJ325" s="24">
        <f>IF(AJ318=1,IF('Lease Cycles'!$AJ$26=1,0,'Lease Cycles'!$D$26*INDEX('Lease Cycles'!$FH$26:$FN$26,1,AJ316)*IF(INDEX('Lease Cycles'!$EF$26:$EL$26,1,AJ316)=1,1,IF(OR(INDEX('Lease Cycles'!$DY$26:$EE$26,1,AJ316)=1,AJ317&gt;0),1,1-INDEX('Lease Cycles'!$DD$26:$DJ$26,1,AJ316)))),0)</f>
        <v>0</v>
      </c>
      <c r="AK325" s="24">
        <f>IF(AK318=1,IF('Lease Cycles'!$AJ$26=1,0,'Lease Cycles'!$D$26*INDEX('Lease Cycles'!$FH$26:$FN$26,1,AK316)*IF(INDEX('Lease Cycles'!$EF$26:$EL$26,1,AK316)=1,1,IF(OR(INDEX('Lease Cycles'!$DY$26:$EE$26,1,AK316)=1,AK317&gt;0),1,1-INDEX('Lease Cycles'!$DD$26:$DJ$26,1,AK316)))),0)</f>
        <v>0</v>
      </c>
      <c r="AL325" s="24">
        <f>IF(AL318=1,IF('Lease Cycles'!$AJ$26=1,0,'Lease Cycles'!$D$26*INDEX('Lease Cycles'!$FH$26:$FN$26,1,AL316)*IF(INDEX('Lease Cycles'!$EF$26:$EL$26,1,AL316)=1,1,IF(OR(INDEX('Lease Cycles'!$DY$26:$EE$26,1,AL316)=1,AL317&gt;0),1,1-INDEX('Lease Cycles'!$DD$26:$DJ$26,1,AL316)))),0)</f>
        <v>0</v>
      </c>
      <c r="AM325" s="24">
        <f>IF(AM318=1,IF('Lease Cycles'!$AJ$26=1,0,'Lease Cycles'!$D$26*INDEX('Lease Cycles'!$FH$26:$FN$26,1,AM316)*IF(INDEX('Lease Cycles'!$EF$26:$EL$26,1,AM316)=1,1,IF(OR(INDEX('Lease Cycles'!$DY$26:$EE$26,1,AM316)=1,AM317&gt;0),1,1-INDEX('Lease Cycles'!$DD$26:$DJ$26,1,AM316)))),0)</f>
        <v>0</v>
      </c>
      <c r="AN325" s="24">
        <f>IF(AN318=1,IF('Lease Cycles'!$AJ$26=1,0,'Lease Cycles'!$D$26*INDEX('Lease Cycles'!$FH$26:$FN$26,1,AN316)*IF(INDEX('Lease Cycles'!$EF$26:$EL$26,1,AN316)=1,1,IF(OR(INDEX('Lease Cycles'!$DY$26:$EE$26,1,AN316)=1,AN317&gt;0),1,1-INDEX('Lease Cycles'!$DD$26:$DJ$26,1,AN316)))),0)</f>
        <v>0</v>
      </c>
      <c r="AO325" s="24">
        <f>IF(AO318=1,IF('Lease Cycles'!$AJ$26=1,0,'Lease Cycles'!$D$26*INDEX('Lease Cycles'!$FH$26:$FN$26,1,AO316)*IF(INDEX('Lease Cycles'!$EF$26:$EL$26,1,AO316)=1,1,IF(OR(INDEX('Lease Cycles'!$DY$26:$EE$26,1,AO316)=1,AO317&gt;0),1,1-INDEX('Lease Cycles'!$DD$26:$DJ$26,1,AO316)))),0)</f>
        <v>0</v>
      </c>
      <c r="AP325" s="24">
        <f>IF(AP318=1,IF('Lease Cycles'!$AJ$26=1,0,'Lease Cycles'!$D$26*INDEX('Lease Cycles'!$FH$26:$FN$26,1,AP316)*IF(INDEX('Lease Cycles'!$EF$26:$EL$26,1,AP316)=1,1,IF(OR(INDEX('Lease Cycles'!$DY$26:$EE$26,1,AP316)=1,AP317&gt;0),1,1-INDEX('Lease Cycles'!$DD$26:$DJ$26,1,AP316)))),0)</f>
        <v>0</v>
      </c>
      <c r="AQ325" s="24">
        <f>IF(AQ318=1,IF('Lease Cycles'!$AJ$26=1,0,'Lease Cycles'!$D$26*INDEX('Lease Cycles'!$FH$26:$FN$26,1,AQ316)*IF(INDEX('Lease Cycles'!$EF$26:$EL$26,1,AQ316)=1,1,IF(OR(INDEX('Lease Cycles'!$DY$26:$EE$26,1,AQ316)=1,AQ317&gt;0),1,1-INDEX('Lease Cycles'!$DD$26:$DJ$26,1,AQ316)))),0)</f>
        <v>0</v>
      </c>
      <c r="AR325" s="24">
        <f>IF(AR318=1,IF('Lease Cycles'!$AJ$26=1,0,'Lease Cycles'!$D$26*INDEX('Lease Cycles'!$FH$26:$FN$26,1,AR316)*IF(INDEX('Lease Cycles'!$EF$26:$EL$26,1,AR316)=1,1,IF(OR(INDEX('Lease Cycles'!$DY$26:$EE$26,1,AR316)=1,AR317&gt;0),1,1-INDEX('Lease Cycles'!$DD$26:$DJ$26,1,AR316)))),0)</f>
        <v>0</v>
      </c>
      <c r="AS325" s="24">
        <f>IF(AS318=1,IF('Lease Cycles'!$AJ$26=1,0,'Lease Cycles'!$D$26*INDEX('Lease Cycles'!$FH$26:$FN$26,1,AS316)*IF(INDEX('Lease Cycles'!$EF$26:$EL$26,1,AS316)=1,1,IF(OR(INDEX('Lease Cycles'!$DY$26:$EE$26,1,AS316)=1,AS317&gt;0),1,1-INDEX('Lease Cycles'!$DD$26:$DJ$26,1,AS316)))),0)</f>
        <v>0</v>
      </c>
      <c r="AT325" s="24">
        <f>IF(AT318=1,IF('Lease Cycles'!$AJ$26=1,0,'Lease Cycles'!$D$26*INDEX('Lease Cycles'!$FH$26:$FN$26,1,AT316)*IF(INDEX('Lease Cycles'!$EF$26:$EL$26,1,AT316)=1,1,IF(OR(INDEX('Lease Cycles'!$DY$26:$EE$26,1,AT316)=1,AT317&gt;0),1,1-INDEX('Lease Cycles'!$DD$26:$DJ$26,1,AT316)))),0)</f>
        <v>0</v>
      </c>
      <c r="AU325" s="24">
        <f>IF(AU318=1,IF('Lease Cycles'!$AJ$26=1,0,'Lease Cycles'!$D$26*INDEX('Lease Cycles'!$FH$26:$FN$26,1,AU316)*IF(INDEX('Lease Cycles'!$EF$26:$EL$26,1,AU316)=1,1,IF(OR(INDEX('Lease Cycles'!$DY$26:$EE$26,1,AU316)=1,AU317&gt;0),1,1-INDEX('Lease Cycles'!$DD$26:$DJ$26,1,AU316)))),0)</f>
        <v>0</v>
      </c>
      <c r="AV325" s="24">
        <f>IF(AV318=1,IF('Lease Cycles'!$AJ$26=1,0,'Lease Cycles'!$D$26*INDEX('Lease Cycles'!$FH$26:$FN$26,1,AV316)*IF(INDEX('Lease Cycles'!$EF$26:$EL$26,1,AV316)=1,1,IF(OR(INDEX('Lease Cycles'!$DY$26:$EE$26,1,AV316)=1,AV317&gt;0),1,1-INDEX('Lease Cycles'!$DD$26:$DJ$26,1,AV316)))),0)</f>
        <v>0</v>
      </c>
      <c r="AW325" s="24">
        <f>IF(AW318=1,IF('Lease Cycles'!$AJ$26=1,0,'Lease Cycles'!$D$26*INDEX('Lease Cycles'!$FH$26:$FN$26,1,AW316)*IF(INDEX('Lease Cycles'!$EF$26:$EL$26,1,AW316)=1,1,IF(OR(INDEX('Lease Cycles'!$DY$26:$EE$26,1,AW316)=1,AW317&gt;0),1,1-INDEX('Lease Cycles'!$DD$26:$DJ$26,1,AW316)))),0)</f>
        <v>0</v>
      </c>
      <c r="AX325" s="24">
        <f>IF(AX318=1,IF('Lease Cycles'!$AJ$26=1,0,'Lease Cycles'!$D$26*INDEX('Lease Cycles'!$FH$26:$FN$26,1,AX316)*IF(INDEX('Lease Cycles'!$EF$26:$EL$26,1,AX316)=1,1,IF(OR(INDEX('Lease Cycles'!$DY$26:$EE$26,1,AX316)=1,AX317&gt;0),1,1-INDEX('Lease Cycles'!$DD$26:$DJ$26,1,AX316)))),0)</f>
        <v>0</v>
      </c>
      <c r="AY325" s="24">
        <f>IF(AY318=1,IF('Lease Cycles'!$AJ$26=1,0,'Lease Cycles'!$D$26*INDEX('Lease Cycles'!$FH$26:$FN$26,1,AY316)*IF(INDEX('Lease Cycles'!$EF$26:$EL$26,1,AY316)=1,1,IF(OR(INDEX('Lease Cycles'!$DY$26:$EE$26,1,AY316)=1,AY317&gt;0),1,1-INDEX('Lease Cycles'!$DD$26:$DJ$26,1,AY316)))),0)</f>
        <v>0</v>
      </c>
      <c r="AZ325" s="24">
        <f>IF(AZ318=1,IF('Lease Cycles'!$AJ$26=1,0,'Lease Cycles'!$D$26*INDEX('Lease Cycles'!$FH$26:$FN$26,1,AZ316)*IF(INDEX('Lease Cycles'!$EF$26:$EL$26,1,AZ316)=1,1,IF(OR(INDEX('Lease Cycles'!$DY$26:$EE$26,1,AZ316)=1,AZ317&gt;0),1,1-INDEX('Lease Cycles'!$DD$26:$DJ$26,1,AZ316)))),0)</f>
        <v>0</v>
      </c>
      <c r="BA325" s="24">
        <f>IF(BA318=1,IF('Lease Cycles'!$AJ$26=1,0,'Lease Cycles'!$D$26*INDEX('Lease Cycles'!$FH$26:$FN$26,1,BA316)*IF(INDEX('Lease Cycles'!$EF$26:$EL$26,1,BA316)=1,1,IF(OR(INDEX('Lease Cycles'!$DY$26:$EE$26,1,BA316)=1,BA317&gt;0),1,1-INDEX('Lease Cycles'!$DD$26:$DJ$26,1,BA316)))),0)</f>
        <v>0</v>
      </c>
      <c r="BB325" s="24">
        <f>IF(BB318=1,IF('Lease Cycles'!$AJ$26=1,0,'Lease Cycles'!$D$26*INDEX('Lease Cycles'!$FH$26:$FN$26,1,BB316)*IF(INDEX('Lease Cycles'!$EF$26:$EL$26,1,BB316)=1,1,IF(OR(INDEX('Lease Cycles'!$DY$26:$EE$26,1,BB316)=1,BB317&gt;0),1,1-INDEX('Lease Cycles'!$DD$26:$DJ$26,1,BB316)))),0)</f>
        <v>0</v>
      </c>
      <c r="BC325" s="24">
        <f>IF(BC318=1,IF('Lease Cycles'!$AJ$26=1,0,'Lease Cycles'!$D$26*INDEX('Lease Cycles'!$FH$26:$FN$26,1,BC316)*IF(INDEX('Lease Cycles'!$EF$26:$EL$26,1,BC316)=1,1,IF(OR(INDEX('Lease Cycles'!$DY$26:$EE$26,1,BC316)=1,BC317&gt;0),1,1-INDEX('Lease Cycles'!$DD$26:$DJ$26,1,BC316)))),0)</f>
        <v>0</v>
      </c>
      <c r="BD325" s="24">
        <f>IF(BD318=1,IF('Lease Cycles'!$AJ$26=1,0,'Lease Cycles'!$D$26*INDEX('Lease Cycles'!$FH$26:$FN$26,1,BD316)*IF(INDEX('Lease Cycles'!$EF$26:$EL$26,1,BD316)=1,1,IF(OR(INDEX('Lease Cycles'!$DY$26:$EE$26,1,BD316)=1,BD317&gt;0),1,1-INDEX('Lease Cycles'!$DD$26:$DJ$26,1,BD316)))),0)</f>
        <v>0</v>
      </c>
      <c r="BE325" s="24">
        <f>IF(BE318=1,IF('Lease Cycles'!$AJ$26=1,0,'Lease Cycles'!$D$26*INDEX('Lease Cycles'!$FH$26:$FN$26,1,BE316)*IF(INDEX('Lease Cycles'!$EF$26:$EL$26,1,BE316)=1,1,IF(OR(INDEX('Lease Cycles'!$DY$26:$EE$26,1,BE316)=1,BE317&gt;0),1,1-INDEX('Lease Cycles'!$DD$26:$DJ$26,1,BE316)))),0)</f>
        <v>0</v>
      </c>
      <c r="BF325" s="24">
        <f>IF(BF318=1,IF('Lease Cycles'!$AJ$26=1,0,'Lease Cycles'!$D$26*INDEX('Lease Cycles'!$FH$26:$FN$26,1,BF316)*IF(INDEX('Lease Cycles'!$EF$26:$EL$26,1,BF316)=1,1,IF(OR(INDEX('Lease Cycles'!$DY$26:$EE$26,1,BF316)=1,BF317&gt;0),1,1-INDEX('Lease Cycles'!$DD$26:$DJ$26,1,BF316)))),0)</f>
        <v>0</v>
      </c>
      <c r="BG325" s="24">
        <f>IF(BG318=1,IF('Lease Cycles'!$AJ$26=1,0,'Lease Cycles'!$D$26*INDEX('Lease Cycles'!$FH$26:$FN$26,1,BG316)*IF(INDEX('Lease Cycles'!$EF$26:$EL$26,1,BG316)=1,1,IF(OR(INDEX('Lease Cycles'!$DY$26:$EE$26,1,BG316)=1,BG317&gt;0),1,1-INDEX('Lease Cycles'!$DD$26:$DJ$26,1,BG316)))),0)</f>
        <v>0</v>
      </c>
      <c r="BH325" s="24">
        <f>IF(BH318=1,IF('Lease Cycles'!$AJ$26=1,0,'Lease Cycles'!$D$26*INDEX('Lease Cycles'!$FH$26:$FN$26,1,BH316)*IF(INDEX('Lease Cycles'!$EF$26:$EL$26,1,BH316)=1,1,IF(OR(INDEX('Lease Cycles'!$DY$26:$EE$26,1,BH316)=1,BH317&gt;0),1,1-INDEX('Lease Cycles'!$DD$26:$DJ$26,1,BH316)))),0)</f>
        <v>0</v>
      </c>
      <c r="BI325" s="24">
        <f>IF(BI318=1,IF('Lease Cycles'!$AJ$26=1,0,'Lease Cycles'!$D$26*INDEX('Lease Cycles'!$FH$26:$FN$26,1,BI316)*IF(INDEX('Lease Cycles'!$EF$26:$EL$26,1,BI316)=1,1,IF(OR(INDEX('Lease Cycles'!$DY$26:$EE$26,1,BI316)=1,BI317&gt;0),1,1-INDEX('Lease Cycles'!$DD$26:$DJ$26,1,BI316)))),0)</f>
        <v>0</v>
      </c>
      <c r="BJ325" s="24">
        <f>IF(BJ318=1,IF('Lease Cycles'!$AJ$26=1,0,'Lease Cycles'!$D$26*INDEX('Lease Cycles'!$FH$26:$FN$26,1,BJ316)*IF(INDEX('Lease Cycles'!$EF$26:$EL$26,1,BJ316)=1,1,IF(OR(INDEX('Lease Cycles'!$DY$26:$EE$26,1,BJ316)=1,BJ317&gt;0),1,1-INDEX('Lease Cycles'!$DD$26:$DJ$26,1,BJ316)))),0)</f>
        <v>0</v>
      </c>
      <c r="BK325" s="24">
        <f>IF(BK318=1,IF('Lease Cycles'!$AJ$26=1,0,'Lease Cycles'!$D$26*INDEX('Lease Cycles'!$FH$26:$FN$26,1,BK316)*IF(INDEX('Lease Cycles'!$EF$26:$EL$26,1,BK316)=1,1,IF(OR(INDEX('Lease Cycles'!$DY$26:$EE$26,1,BK316)=1,BK317&gt;0),1,1-INDEX('Lease Cycles'!$DD$26:$DJ$26,1,BK316)))),0)</f>
        <v>0</v>
      </c>
      <c r="BL325" s="24">
        <f>IF(BL318=1,IF('Lease Cycles'!$AJ$26=1,0,'Lease Cycles'!$D$26*INDEX('Lease Cycles'!$FH$26:$FN$26,1,BL316)*IF(INDEX('Lease Cycles'!$EF$26:$EL$26,1,BL316)=1,1,IF(OR(INDEX('Lease Cycles'!$DY$26:$EE$26,1,BL316)=1,BL317&gt;0),1,1-INDEX('Lease Cycles'!$DD$26:$DJ$26,1,BL316)))),0)</f>
        <v>0</v>
      </c>
      <c r="BM325" s="24">
        <f>IF(BM318=1,IF('Lease Cycles'!$AJ$26=1,0,'Lease Cycles'!$D$26*INDEX('Lease Cycles'!$FH$26:$FN$26,1,BM316)*IF(INDEX('Lease Cycles'!$EF$26:$EL$26,1,BM316)=1,1,IF(OR(INDEX('Lease Cycles'!$DY$26:$EE$26,1,BM316)=1,BM317&gt;0),1,1-INDEX('Lease Cycles'!$DD$26:$DJ$26,1,BM316)))),0)</f>
        <v>0</v>
      </c>
      <c r="BN325" s="24">
        <f>IF(BN318=1,IF('Lease Cycles'!$AJ$26=1,0,'Lease Cycles'!$D$26*INDEX('Lease Cycles'!$FH$26:$FN$26,1,BN316)*IF(INDEX('Lease Cycles'!$EF$26:$EL$26,1,BN316)=1,1,IF(OR(INDEX('Lease Cycles'!$DY$26:$EE$26,1,BN316)=1,BN317&gt;0),1,1-INDEX('Lease Cycles'!$DD$26:$DJ$26,1,BN316)))),0)</f>
        <v>0</v>
      </c>
      <c r="BO325" s="24">
        <f>IF(BO318=1,IF('Lease Cycles'!$AJ$26=1,0,'Lease Cycles'!$D$26*INDEX('Lease Cycles'!$FH$26:$FN$26,1,BO316)*IF(INDEX('Lease Cycles'!$EF$26:$EL$26,1,BO316)=1,1,IF(OR(INDEX('Lease Cycles'!$DY$26:$EE$26,1,BO316)=1,BO317&gt;0),1,1-INDEX('Lease Cycles'!$DD$26:$DJ$26,1,BO316)))),0)</f>
        <v>0</v>
      </c>
      <c r="BP325" s="24">
        <f>IF(BP318=1,IF('Lease Cycles'!$AJ$26=1,0,'Lease Cycles'!$D$26*INDEX('Lease Cycles'!$FH$26:$FN$26,1,BP316)*IF(INDEX('Lease Cycles'!$EF$26:$EL$26,1,BP316)=1,1,IF(OR(INDEX('Lease Cycles'!$DY$26:$EE$26,1,BP316)=1,BP317&gt;0),1,1-INDEX('Lease Cycles'!$DD$26:$DJ$26,1,BP316)))),0)</f>
        <v>0</v>
      </c>
      <c r="BQ325" s="24">
        <f>IF(BQ318=1,IF('Lease Cycles'!$AJ$26=1,0,'Lease Cycles'!$D$26*INDEX('Lease Cycles'!$FH$26:$FN$26,1,BQ316)*IF(INDEX('Lease Cycles'!$EF$26:$EL$26,1,BQ316)=1,1,IF(OR(INDEX('Lease Cycles'!$DY$26:$EE$26,1,BQ316)=1,BQ317&gt;0),1,1-INDEX('Lease Cycles'!$DD$26:$DJ$26,1,BQ316)))),0)</f>
        <v>0</v>
      </c>
      <c r="BR325" s="24">
        <f>IF(BR318=1,IF('Lease Cycles'!$AJ$26=1,0,'Lease Cycles'!$D$26*INDEX('Lease Cycles'!$FH$26:$FN$26,1,BR316)*IF(INDEX('Lease Cycles'!$EF$26:$EL$26,1,BR316)=1,1,IF(OR(INDEX('Lease Cycles'!$DY$26:$EE$26,1,BR316)=1,BR317&gt;0),1,1-INDEX('Lease Cycles'!$DD$26:$DJ$26,1,BR316)))),0)</f>
        <v>0</v>
      </c>
      <c r="BS325" s="24">
        <f>IF(BS318=1,IF('Lease Cycles'!$AJ$26=1,0,'Lease Cycles'!$D$26*INDEX('Lease Cycles'!$FH$26:$FN$26,1,BS316)*IF(INDEX('Lease Cycles'!$EF$26:$EL$26,1,BS316)=1,1,IF(OR(INDEX('Lease Cycles'!$DY$26:$EE$26,1,BS316)=1,BS317&gt;0),1,1-INDEX('Lease Cycles'!$DD$26:$DJ$26,1,BS316)))),0)</f>
        <v>0</v>
      </c>
      <c r="BT325" s="24">
        <f>IF(BT318=1,IF('Lease Cycles'!$AJ$26=1,0,'Lease Cycles'!$D$26*INDEX('Lease Cycles'!$FH$26:$FN$26,1,BT316)*IF(INDEX('Lease Cycles'!$EF$26:$EL$26,1,BT316)=1,1,IF(OR(INDEX('Lease Cycles'!$DY$26:$EE$26,1,BT316)=1,BT317&gt;0),1,1-INDEX('Lease Cycles'!$DD$26:$DJ$26,1,BT316)))),0)</f>
        <v>0</v>
      </c>
      <c r="BU325" s="24">
        <f>IF(BU318=1,IF('Lease Cycles'!$AJ$26=1,0,'Lease Cycles'!$D$26*INDEX('Lease Cycles'!$FH$26:$FN$26,1,BU316)*IF(INDEX('Lease Cycles'!$EF$26:$EL$26,1,BU316)=1,1,IF(OR(INDEX('Lease Cycles'!$DY$26:$EE$26,1,BU316)=1,BU317&gt;0),1,1-INDEX('Lease Cycles'!$DD$26:$DJ$26,1,BU316)))),0)</f>
        <v>0</v>
      </c>
      <c r="BV325" s="24">
        <f>IF(BV318=1,IF('Lease Cycles'!$AJ$26=1,0,'Lease Cycles'!$D$26*INDEX('Lease Cycles'!$FH$26:$FN$26,1,BV316)*IF(INDEX('Lease Cycles'!$EF$26:$EL$26,1,BV316)=1,1,IF(OR(INDEX('Lease Cycles'!$DY$26:$EE$26,1,BV316)=1,BV317&gt;0),1,1-INDEX('Lease Cycles'!$DD$26:$DJ$26,1,BV316)))),0)</f>
        <v>0</v>
      </c>
      <c r="BW325" s="24">
        <f>IF(BW318=1,IF('Lease Cycles'!$AJ$26=1,0,'Lease Cycles'!$D$26*INDEX('Lease Cycles'!$FH$26:$FN$26,1,BW316)*IF(INDEX('Lease Cycles'!$EF$26:$EL$26,1,BW316)=1,1,IF(OR(INDEX('Lease Cycles'!$DY$26:$EE$26,1,BW316)=1,BW317&gt;0),1,1-INDEX('Lease Cycles'!$DD$26:$DJ$26,1,BW316)))),0)</f>
        <v>0</v>
      </c>
      <c r="BX325" s="24">
        <f>IF(BX318=1,IF('Lease Cycles'!$AJ$26=1,0,'Lease Cycles'!$D$26*INDEX('Lease Cycles'!$FH$26:$FN$26,1,BX316)*IF(INDEX('Lease Cycles'!$EF$26:$EL$26,1,BX316)=1,1,IF(OR(INDEX('Lease Cycles'!$DY$26:$EE$26,1,BX316)=1,BX317&gt;0),1,1-INDEX('Lease Cycles'!$DD$26:$DJ$26,1,BX316)))),0)</f>
        <v>0</v>
      </c>
      <c r="BY325" s="24">
        <f>IF(BY318=1,IF('Lease Cycles'!$AJ$26=1,0,'Lease Cycles'!$D$26*INDEX('Lease Cycles'!$FH$26:$FN$26,1,BY316)*IF(INDEX('Lease Cycles'!$EF$26:$EL$26,1,BY316)=1,1,IF(OR(INDEX('Lease Cycles'!$DY$26:$EE$26,1,BY316)=1,BY317&gt;0),1,1-INDEX('Lease Cycles'!$DD$26:$DJ$26,1,BY316)))),0)</f>
        <v>0</v>
      </c>
      <c r="BZ325" s="24">
        <f>IF(BZ318=1,IF('Lease Cycles'!$AJ$26=1,0,'Lease Cycles'!$D$26*INDEX('Lease Cycles'!$FH$26:$FN$26,1,BZ316)*IF(INDEX('Lease Cycles'!$EF$26:$EL$26,1,BZ316)=1,1,IF(OR(INDEX('Lease Cycles'!$DY$26:$EE$26,1,BZ316)=1,BZ317&gt;0),1,1-INDEX('Lease Cycles'!$DD$26:$DJ$26,1,BZ316)))),0)</f>
        <v>0</v>
      </c>
      <c r="CA325" s="24">
        <f>IF(CA318=1,IF('Lease Cycles'!$AJ$26=1,0,'Lease Cycles'!$D$26*INDEX('Lease Cycles'!$FH$26:$FN$26,1,CA316)*IF(INDEX('Lease Cycles'!$EF$26:$EL$26,1,CA316)=1,1,IF(OR(INDEX('Lease Cycles'!$DY$26:$EE$26,1,CA316)=1,CA317&gt;0),1,1-INDEX('Lease Cycles'!$DD$26:$DJ$26,1,CA316)))),0)</f>
        <v>0</v>
      </c>
      <c r="CB325" s="24">
        <f>IF(CB318=1,IF('Lease Cycles'!$AJ$26=1,0,'Lease Cycles'!$D$26*INDEX('Lease Cycles'!$FH$26:$FN$26,1,CB316)*IF(INDEX('Lease Cycles'!$EF$26:$EL$26,1,CB316)=1,1,IF(OR(INDEX('Lease Cycles'!$DY$26:$EE$26,1,CB316)=1,CB317&gt;0),1,1-INDEX('Lease Cycles'!$DD$26:$DJ$26,1,CB316)))),0)</f>
        <v>0</v>
      </c>
      <c r="CC325" s="24">
        <f>IF(CC318=1,IF('Lease Cycles'!$AJ$26=1,0,'Lease Cycles'!$D$26*INDEX('Lease Cycles'!$FH$26:$FN$26,1,CC316)*IF(INDEX('Lease Cycles'!$EF$26:$EL$26,1,CC316)=1,1,IF(OR(INDEX('Lease Cycles'!$DY$26:$EE$26,1,CC316)=1,CC317&gt;0),1,1-INDEX('Lease Cycles'!$DD$26:$DJ$26,1,CC316)))),0)</f>
        <v>0</v>
      </c>
      <c r="CD325" s="24">
        <f>IF(CD318=1,IF('Lease Cycles'!$AJ$26=1,0,'Lease Cycles'!$D$26*INDEX('Lease Cycles'!$FH$26:$FN$26,1,CD316)*IF(INDEX('Lease Cycles'!$EF$26:$EL$26,1,CD316)=1,1,IF(OR(INDEX('Lease Cycles'!$DY$26:$EE$26,1,CD316)=1,CD317&gt;0),1,1-INDEX('Lease Cycles'!$DD$26:$DJ$26,1,CD316)))),0)</f>
        <v>0</v>
      </c>
      <c r="CE325" s="24">
        <f>IF(CE318=1,IF('Lease Cycles'!$AJ$26=1,0,'Lease Cycles'!$D$26*INDEX('Lease Cycles'!$FH$26:$FN$26,1,CE316)*IF(INDEX('Lease Cycles'!$EF$26:$EL$26,1,CE316)=1,1,IF(OR(INDEX('Lease Cycles'!$DY$26:$EE$26,1,CE316)=1,CE317&gt;0),1,1-INDEX('Lease Cycles'!$DD$26:$DJ$26,1,CE316)))),0)</f>
        <v>0</v>
      </c>
      <c r="CF325" s="24">
        <f>IF(CF318=1,IF('Lease Cycles'!$AJ$26=1,0,'Lease Cycles'!$D$26*INDEX('Lease Cycles'!$FH$26:$FN$26,1,CF316)*IF(INDEX('Lease Cycles'!$EF$26:$EL$26,1,CF316)=1,1,IF(OR(INDEX('Lease Cycles'!$DY$26:$EE$26,1,CF316)=1,CF317&gt;0),1,1-INDEX('Lease Cycles'!$DD$26:$DJ$26,1,CF316)))),0)</f>
        <v>0</v>
      </c>
      <c r="CG325" s="24">
        <f>IF(CG318=1,IF('Lease Cycles'!$AJ$26=1,0,'Lease Cycles'!$D$26*INDEX('Lease Cycles'!$FH$26:$FN$26,1,CG316)*IF(INDEX('Lease Cycles'!$EF$26:$EL$26,1,CG316)=1,1,IF(OR(INDEX('Lease Cycles'!$DY$26:$EE$26,1,CG316)=1,CG317&gt;0),1,1-INDEX('Lease Cycles'!$DD$26:$DJ$26,1,CG316)))),0)</f>
        <v>0</v>
      </c>
      <c r="CH325" s="24">
        <f>IF(CH318=1,IF('Lease Cycles'!$AJ$26=1,0,'Lease Cycles'!$D$26*INDEX('Lease Cycles'!$FH$26:$FN$26,1,CH316)*IF(INDEX('Lease Cycles'!$EF$26:$EL$26,1,CH316)=1,1,IF(OR(INDEX('Lease Cycles'!$DY$26:$EE$26,1,CH316)=1,CH317&gt;0),1,1-INDEX('Lease Cycles'!$DD$26:$DJ$26,1,CH316)))),0)</f>
        <v>0</v>
      </c>
      <c r="CI325" s="24">
        <f>IF(CI318=1,IF('Lease Cycles'!$AJ$26=1,0,'Lease Cycles'!$D$26*INDEX('Lease Cycles'!$FH$26:$FN$26,1,CI316)*IF(INDEX('Lease Cycles'!$EF$26:$EL$26,1,CI316)=1,1,IF(OR(INDEX('Lease Cycles'!$DY$26:$EE$26,1,CI316)=1,CI317&gt;0),1,1-INDEX('Lease Cycles'!$DD$26:$DJ$26,1,CI316)))),0)</f>
        <v>0</v>
      </c>
      <c r="CJ325" s="24">
        <f>IF(CJ318=1,IF('Lease Cycles'!$AJ$26=1,0,'Lease Cycles'!$D$26*INDEX('Lease Cycles'!$FH$26:$FN$26,1,CJ316)*IF(INDEX('Lease Cycles'!$EF$26:$EL$26,1,CJ316)=1,1,IF(OR(INDEX('Lease Cycles'!$DY$26:$EE$26,1,CJ316)=1,CJ317&gt;0),1,1-INDEX('Lease Cycles'!$DD$26:$DJ$26,1,CJ316)))),0)</f>
        <v>0</v>
      </c>
      <c r="CK325" s="24">
        <f>IF(CK318=1,IF('Lease Cycles'!$AJ$26=1,0,'Lease Cycles'!$D$26*INDEX('Lease Cycles'!$FH$26:$FN$26,1,CK316)*IF(INDEX('Lease Cycles'!$EF$26:$EL$26,1,CK316)=1,1,IF(OR(INDEX('Lease Cycles'!$DY$26:$EE$26,1,CK316)=1,CK317&gt;0),1,1-INDEX('Lease Cycles'!$DD$26:$DJ$26,1,CK316)))),0)</f>
        <v>0</v>
      </c>
      <c r="CL325" s="24">
        <f>IF(CL318=1,IF('Lease Cycles'!$AJ$26=1,0,'Lease Cycles'!$D$26*INDEX('Lease Cycles'!$FH$26:$FN$26,1,CL316)*IF(INDEX('Lease Cycles'!$EF$26:$EL$26,1,CL316)=1,1,IF(OR(INDEX('Lease Cycles'!$DY$26:$EE$26,1,CL316)=1,CL317&gt;0),1,1-INDEX('Lease Cycles'!$DD$26:$DJ$26,1,CL316)))),0)</f>
        <v>0</v>
      </c>
      <c r="CM325" s="24">
        <f>IF(CM318=1,IF('Lease Cycles'!$AJ$26=1,0,'Lease Cycles'!$D$26*INDEX('Lease Cycles'!$FH$26:$FN$26,1,CM316)*IF(INDEX('Lease Cycles'!$EF$26:$EL$26,1,CM316)=1,1,IF(OR(INDEX('Lease Cycles'!$DY$26:$EE$26,1,CM316)=1,CM317&gt;0),1,1-INDEX('Lease Cycles'!$DD$26:$DJ$26,1,CM316)))),0)</f>
        <v>0</v>
      </c>
      <c r="CN325" s="24">
        <f>IF(CN318=1,IF('Lease Cycles'!$AJ$26=1,0,'Lease Cycles'!$D$26*INDEX('Lease Cycles'!$FH$26:$FN$26,1,CN316)*IF(INDEX('Lease Cycles'!$EF$26:$EL$26,1,CN316)=1,1,IF(OR(INDEX('Lease Cycles'!$DY$26:$EE$26,1,CN316)=1,CN317&gt;0),1,1-INDEX('Lease Cycles'!$DD$26:$DJ$26,1,CN316)))),0)</f>
        <v>0</v>
      </c>
      <c r="CO325" s="24">
        <f>IF(CO318=1,IF('Lease Cycles'!$AJ$26=1,0,'Lease Cycles'!$D$26*INDEX('Lease Cycles'!$FH$26:$FN$26,1,CO316)*IF(INDEX('Lease Cycles'!$EF$26:$EL$26,1,CO316)=1,1,IF(OR(INDEX('Lease Cycles'!$DY$26:$EE$26,1,CO316)=1,CO317&gt;0),1,1-INDEX('Lease Cycles'!$DD$26:$DJ$26,1,CO316)))),0)</f>
        <v>0</v>
      </c>
      <c r="CP325" s="24">
        <f>IF(CP318=1,IF('Lease Cycles'!$AJ$26=1,0,'Lease Cycles'!$D$26*INDEX('Lease Cycles'!$FH$26:$FN$26,1,CP316)*IF(INDEX('Lease Cycles'!$EF$26:$EL$26,1,CP316)=1,1,IF(OR(INDEX('Lease Cycles'!$DY$26:$EE$26,1,CP316)=1,CP317&gt;0),1,1-INDEX('Lease Cycles'!$DD$26:$DJ$26,1,CP316)))),0)</f>
        <v>0</v>
      </c>
      <c r="CQ325" s="24">
        <f>IF(CQ318=1,IF('Lease Cycles'!$AJ$26=1,0,'Lease Cycles'!$D$26*INDEX('Lease Cycles'!$FH$26:$FN$26,1,CQ316)*IF(INDEX('Lease Cycles'!$EF$26:$EL$26,1,CQ316)=1,1,IF(OR(INDEX('Lease Cycles'!$DY$26:$EE$26,1,CQ316)=1,CQ317&gt;0),1,1-INDEX('Lease Cycles'!$DD$26:$DJ$26,1,CQ316)))),0)</f>
        <v>0</v>
      </c>
      <c r="CR325" s="24">
        <f>IF(CR318=1,IF('Lease Cycles'!$AJ$26=1,0,'Lease Cycles'!$D$26*INDEX('Lease Cycles'!$FH$26:$FN$26,1,CR316)*IF(INDEX('Lease Cycles'!$EF$26:$EL$26,1,CR316)=1,1,IF(OR(INDEX('Lease Cycles'!$DY$26:$EE$26,1,CR316)=1,CR317&gt;0),1,1-INDEX('Lease Cycles'!$DD$26:$DJ$26,1,CR316)))),0)</f>
        <v>0</v>
      </c>
      <c r="CS325" s="24">
        <f>IF(CS318=1,IF('Lease Cycles'!$AJ$26=1,0,'Lease Cycles'!$D$26*INDEX('Lease Cycles'!$FH$26:$FN$26,1,CS316)*IF(INDEX('Lease Cycles'!$EF$26:$EL$26,1,CS316)=1,1,IF(OR(INDEX('Lease Cycles'!$DY$26:$EE$26,1,CS316)=1,CS317&gt;0),1,1-INDEX('Lease Cycles'!$DD$26:$DJ$26,1,CS316)))),0)</f>
        <v>0</v>
      </c>
      <c r="CT325" s="24">
        <f>IF(CT318=1,IF('Lease Cycles'!$AJ$26=1,0,'Lease Cycles'!$D$26*INDEX('Lease Cycles'!$FH$26:$FN$26,1,CT316)*IF(INDEX('Lease Cycles'!$EF$26:$EL$26,1,CT316)=1,1,IF(OR(INDEX('Lease Cycles'!$DY$26:$EE$26,1,CT316)=1,CT317&gt;0),1,1-INDEX('Lease Cycles'!$DD$26:$DJ$26,1,CT316)))),0)</f>
        <v>0</v>
      </c>
      <c r="CU325" s="24">
        <f>IF(CU318=1,IF('Lease Cycles'!$AJ$26=1,0,'Lease Cycles'!$D$26*INDEX('Lease Cycles'!$FH$26:$FN$26,1,CU316)*IF(INDEX('Lease Cycles'!$EF$26:$EL$26,1,CU316)=1,1,IF(OR(INDEX('Lease Cycles'!$DY$26:$EE$26,1,CU316)=1,CU317&gt;0),1,1-INDEX('Lease Cycles'!$DD$26:$DJ$26,1,CU316)))),0)</f>
        <v>0</v>
      </c>
      <c r="CV325" s="24">
        <f>IF(CV318=1,IF('Lease Cycles'!$AJ$26=1,0,'Lease Cycles'!$D$26*INDEX('Lease Cycles'!$FH$26:$FN$26,1,CV316)*IF(INDEX('Lease Cycles'!$EF$26:$EL$26,1,CV316)=1,1,IF(OR(INDEX('Lease Cycles'!$DY$26:$EE$26,1,CV316)=1,CV317&gt;0),1,1-INDEX('Lease Cycles'!$DD$26:$DJ$26,1,CV316)))),0)</f>
        <v>0</v>
      </c>
      <c r="CW325" s="24">
        <f>IF(CW318=1,IF('Lease Cycles'!$AJ$26=1,0,'Lease Cycles'!$D$26*INDEX('Lease Cycles'!$FH$26:$FN$26,1,CW316)*IF(INDEX('Lease Cycles'!$EF$26:$EL$26,1,CW316)=1,1,IF(OR(INDEX('Lease Cycles'!$DY$26:$EE$26,1,CW316)=1,CW317&gt;0),1,1-INDEX('Lease Cycles'!$DD$26:$DJ$26,1,CW316)))),0)</f>
        <v>0</v>
      </c>
      <c r="CX325" s="24">
        <f>IF(CX318=1,IF('Lease Cycles'!$AJ$26=1,0,'Lease Cycles'!$D$26*INDEX('Lease Cycles'!$FH$26:$FN$26,1,CX316)*IF(INDEX('Lease Cycles'!$EF$26:$EL$26,1,CX316)=1,1,IF(OR(INDEX('Lease Cycles'!$DY$26:$EE$26,1,CX316)=1,CX317&gt;0),1,1-INDEX('Lease Cycles'!$DD$26:$DJ$26,1,CX316)))),0)</f>
        <v>0</v>
      </c>
      <c r="CY325" s="24">
        <f>IF(CY318=1,IF('Lease Cycles'!$AJ$26=1,0,'Lease Cycles'!$D$26*INDEX('Lease Cycles'!$FH$26:$FN$26,1,CY316)*IF(INDEX('Lease Cycles'!$EF$26:$EL$26,1,CY316)=1,1,IF(OR(INDEX('Lease Cycles'!$DY$26:$EE$26,1,CY316)=1,CY317&gt;0),1,1-INDEX('Lease Cycles'!$DD$26:$DJ$26,1,CY316)))),0)</f>
        <v>0</v>
      </c>
      <c r="CZ325" s="24">
        <f>IF(CZ318=1,IF('Lease Cycles'!$AJ$26=1,0,'Lease Cycles'!$D$26*INDEX('Lease Cycles'!$FH$26:$FN$26,1,CZ316)*IF(INDEX('Lease Cycles'!$EF$26:$EL$26,1,CZ316)=1,1,IF(OR(INDEX('Lease Cycles'!$DY$26:$EE$26,1,CZ316)=1,CZ317&gt;0),1,1-INDEX('Lease Cycles'!$DD$26:$DJ$26,1,CZ316)))),0)</f>
        <v>0</v>
      </c>
      <c r="DA325" s="24">
        <f>IF(DA318=1,IF('Lease Cycles'!$AJ$26=1,0,'Lease Cycles'!$D$26*INDEX('Lease Cycles'!$FH$26:$FN$26,1,DA316)*IF(INDEX('Lease Cycles'!$EF$26:$EL$26,1,DA316)=1,1,IF(OR(INDEX('Lease Cycles'!$DY$26:$EE$26,1,DA316)=1,DA317&gt;0),1,1-INDEX('Lease Cycles'!$DD$26:$DJ$26,1,DA316)))),0)</f>
        <v>0</v>
      </c>
      <c r="DB325" s="24">
        <f>IF(DB318=1,IF('Lease Cycles'!$AJ$26=1,0,'Lease Cycles'!$D$26*INDEX('Lease Cycles'!$FH$26:$FN$26,1,DB316)*IF(INDEX('Lease Cycles'!$EF$26:$EL$26,1,DB316)=1,1,IF(OR(INDEX('Lease Cycles'!$DY$26:$EE$26,1,DB316)=1,DB317&gt;0),1,1-INDEX('Lease Cycles'!$DD$26:$DJ$26,1,DB316)))),0)</f>
        <v>0</v>
      </c>
      <c r="DC325" s="24">
        <f>IF(DC318=1,IF('Lease Cycles'!$AJ$26=1,0,'Lease Cycles'!$D$26*INDEX('Lease Cycles'!$FH$26:$FN$26,1,DC316)*IF(INDEX('Lease Cycles'!$EF$26:$EL$26,1,DC316)=1,1,IF(OR(INDEX('Lease Cycles'!$DY$26:$EE$26,1,DC316)=1,DC317&gt;0),1,1-INDEX('Lease Cycles'!$DD$26:$DJ$26,1,DC316)))),0)</f>
        <v>0</v>
      </c>
      <c r="DD325" s="24">
        <f>IF(DD318=1,IF('Lease Cycles'!$AJ$26=1,0,'Lease Cycles'!$D$26*INDEX('Lease Cycles'!$FH$26:$FN$26,1,DD316)*IF(INDEX('Lease Cycles'!$EF$26:$EL$26,1,DD316)=1,1,IF(OR(INDEX('Lease Cycles'!$DY$26:$EE$26,1,DD316)=1,DD317&gt;0),1,1-INDEX('Lease Cycles'!$DD$26:$DJ$26,1,DD316)))),0)</f>
        <v>0</v>
      </c>
      <c r="DE325" s="24">
        <f>IF(DE318=1,IF('Lease Cycles'!$AJ$26=1,0,'Lease Cycles'!$D$26*INDEX('Lease Cycles'!$FH$26:$FN$26,1,DE316)*IF(INDEX('Lease Cycles'!$EF$26:$EL$26,1,DE316)=1,1,IF(OR(INDEX('Lease Cycles'!$DY$26:$EE$26,1,DE316)=1,DE317&gt;0),1,1-INDEX('Lease Cycles'!$DD$26:$DJ$26,1,DE316)))),0)</f>
        <v>0</v>
      </c>
      <c r="DF325" s="24">
        <f>IF(DF318=1,IF('Lease Cycles'!$AJ$26=1,0,'Lease Cycles'!$D$26*INDEX('Lease Cycles'!$FH$26:$FN$26,1,DF316)*IF(INDEX('Lease Cycles'!$EF$26:$EL$26,1,DF316)=1,1,IF(OR(INDEX('Lease Cycles'!$DY$26:$EE$26,1,DF316)=1,DF317&gt;0),1,1-INDEX('Lease Cycles'!$DD$26:$DJ$26,1,DF316)))),0)</f>
        <v>0</v>
      </c>
      <c r="DG325" s="24">
        <f>IF(DG318=1,IF('Lease Cycles'!$AJ$26=1,0,'Lease Cycles'!$D$26*INDEX('Lease Cycles'!$FH$26:$FN$26,1,DG316)*IF(INDEX('Lease Cycles'!$EF$26:$EL$26,1,DG316)=1,1,IF(OR(INDEX('Lease Cycles'!$DY$26:$EE$26,1,DG316)=1,DG317&gt;0),1,1-INDEX('Lease Cycles'!$DD$26:$DJ$26,1,DG316)))),0)</f>
        <v>0</v>
      </c>
      <c r="DH325" s="24">
        <f>IF(DH318=1,IF('Lease Cycles'!$AJ$26=1,0,'Lease Cycles'!$D$26*INDEX('Lease Cycles'!$FH$26:$FN$26,1,DH316)*IF(INDEX('Lease Cycles'!$EF$26:$EL$26,1,DH316)=1,1,IF(OR(INDEX('Lease Cycles'!$DY$26:$EE$26,1,DH316)=1,DH317&gt;0),1,1-INDEX('Lease Cycles'!$DD$26:$DJ$26,1,DH316)))),0)</f>
        <v>0</v>
      </c>
      <c r="DI325" s="24">
        <f>IF(DI318=1,IF('Lease Cycles'!$AJ$26=1,0,'Lease Cycles'!$D$26*INDEX('Lease Cycles'!$FH$26:$FN$26,1,DI316)*IF(INDEX('Lease Cycles'!$EF$26:$EL$26,1,DI316)=1,1,IF(OR(INDEX('Lease Cycles'!$DY$26:$EE$26,1,DI316)=1,DI317&gt;0),1,1-INDEX('Lease Cycles'!$DD$26:$DJ$26,1,DI316)))),0)</f>
        <v>0</v>
      </c>
      <c r="DJ325" s="24">
        <f>IF(DJ318=1,IF('Lease Cycles'!$AJ$26=1,0,'Lease Cycles'!$D$26*INDEX('Lease Cycles'!$FH$26:$FN$26,1,DJ316)*IF(INDEX('Lease Cycles'!$EF$26:$EL$26,1,DJ316)=1,1,IF(OR(INDEX('Lease Cycles'!$DY$26:$EE$26,1,DJ316)=1,DJ317&gt;0),1,1-INDEX('Lease Cycles'!$DD$26:$DJ$26,1,DJ316)))),0)</f>
        <v>0</v>
      </c>
      <c r="DK325" s="24">
        <f>IF(DK318=1,IF('Lease Cycles'!$AJ$26=1,0,'Lease Cycles'!$D$26*INDEX('Lease Cycles'!$FH$26:$FN$26,1,DK316)*IF(INDEX('Lease Cycles'!$EF$26:$EL$26,1,DK316)=1,1,IF(OR(INDEX('Lease Cycles'!$DY$26:$EE$26,1,DK316)=1,DK317&gt;0),1,1-INDEX('Lease Cycles'!$DD$26:$DJ$26,1,DK316)))),0)</f>
        <v>0</v>
      </c>
      <c r="DL325" s="24">
        <f>IF(DL318=1,IF('Lease Cycles'!$AJ$26=1,0,'Lease Cycles'!$D$26*INDEX('Lease Cycles'!$FH$26:$FN$26,1,DL316)*IF(INDEX('Lease Cycles'!$EF$26:$EL$26,1,DL316)=1,1,IF(OR(INDEX('Lease Cycles'!$DY$26:$EE$26,1,DL316)=1,DL317&gt;0),1,1-INDEX('Lease Cycles'!$DD$26:$DJ$26,1,DL316)))),0)</f>
        <v>0</v>
      </c>
      <c r="DM325" s="24">
        <f>IF(DM318=1,IF('Lease Cycles'!$AJ$26=1,0,'Lease Cycles'!$D$26*INDEX('Lease Cycles'!$FH$26:$FN$26,1,DM316)*IF(INDEX('Lease Cycles'!$EF$26:$EL$26,1,DM316)=1,1,IF(OR(INDEX('Lease Cycles'!$DY$26:$EE$26,1,DM316)=1,DM317&gt;0),1,1-INDEX('Lease Cycles'!$DD$26:$DJ$26,1,DM316)))),0)</f>
        <v>0</v>
      </c>
      <c r="DN325" s="24">
        <f>IF(DN318=1,IF('Lease Cycles'!$AJ$26=1,0,'Lease Cycles'!$D$26*INDEX('Lease Cycles'!$FH$26:$FN$26,1,DN316)*IF(INDEX('Lease Cycles'!$EF$26:$EL$26,1,DN316)=1,1,IF(OR(INDEX('Lease Cycles'!$DY$26:$EE$26,1,DN316)=1,DN317&gt;0),1,1-INDEX('Lease Cycles'!$DD$26:$DJ$26,1,DN316)))),0)</f>
        <v>0</v>
      </c>
      <c r="DO325" s="24">
        <f>IF(DO318=1,IF('Lease Cycles'!$AJ$26=1,0,'Lease Cycles'!$D$26*INDEX('Lease Cycles'!$FH$26:$FN$26,1,DO316)*IF(INDEX('Lease Cycles'!$EF$26:$EL$26,1,DO316)=1,1,IF(OR(INDEX('Lease Cycles'!$DY$26:$EE$26,1,DO316)=1,DO317&gt;0),1,1-INDEX('Lease Cycles'!$DD$26:$DJ$26,1,DO316)))),0)</f>
        <v>0</v>
      </c>
      <c r="DP325" s="24">
        <f>IF(DP318=1,IF('Lease Cycles'!$AJ$26=1,0,'Lease Cycles'!$D$26*INDEX('Lease Cycles'!$FH$26:$FN$26,1,DP316)*IF(INDEX('Lease Cycles'!$EF$26:$EL$26,1,DP316)=1,1,IF(OR(INDEX('Lease Cycles'!$DY$26:$EE$26,1,DP316)=1,DP317&gt;0),1,1-INDEX('Lease Cycles'!$DD$26:$DJ$26,1,DP316)))),0)</f>
        <v>0</v>
      </c>
      <c r="DQ325" s="24">
        <f>IF(DQ318=1,IF('Lease Cycles'!$AJ$26=1,0,'Lease Cycles'!$D$26*INDEX('Lease Cycles'!$FH$26:$FN$26,1,DQ316)*IF(INDEX('Lease Cycles'!$EF$26:$EL$26,1,DQ316)=1,1,IF(OR(INDEX('Lease Cycles'!$DY$26:$EE$26,1,DQ316)=1,DQ317&gt;0),1,1-INDEX('Lease Cycles'!$DD$26:$DJ$26,1,DQ316)))),0)</f>
        <v>0</v>
      </c>
      <c r="DR325" s="24">
        <f>IF(DR318=1,IF('Lease Cycles'!$AJ$26=1,0,'Lease Cycles'!$D$26*INDEX('Lease Cycles'!$FH$26:$FN$26,1,DR316)*IF(INDEX('Lease Cycles'!$EF$26:$EL$26,1,DR316)=1,1,IF(OR(INDEX('Lease Cycles'!$DY$26:$EE$26,1,DR316)=1,DR317&gt;0),1,1-INDEX('Lease Cycles'!$DD$26:$DJ$26,1,DR316)))),0)</f>
        <v>0</v>
      </c>
      <c r="DS325" s="24">
        <f>IF(DS318=1,IF('Lease Cycles'!$AJ$26=1,0,'Lease Cycles'!$D$26*INDEX('Lease Cycles'!$FH$26:$FN$26,1,DS316)*IF(INDEX('Lease Cycles'!$EF$26:$EL$26,1,DS316)=1,1,IF(OR(INDEX('Lease Cycles'!$DY$26:$EE$26,1,DS316)=1,DS317&gt;0),1,1-INDEX('Lease Cycles'!$DD$26:$DJ$26,1,DS316)))),0)</f>
        <v>0</v>
      </c>
      <c r="DT325" s="24">
        <f>IF(DT318=1,IF('Lease Cycles'!$AJ$26=1,0,'Lease Cycles'!$D$26*INDEX('Lease Cycles'!$FH$26:$FN$26,1,DT316)*IF(INDEX('Lease Cycles'!$EF$26:$EL$26,1,DT316)=1,1,IF(OR(INDEX('Lease Cycles'!$DY$26:$EE$26,1,DT316)=1,DT317&gt;0),1,1-INDEX('Lease Cycles'!$DD$26:$DJ$26,1,DT316)))),0)</f>
        <v>0</v>
      </c>
      <c r="DU325" s="24">
        <f>IF(DU318=1,IF('Lease Cycles'!$AJ$26=1,0,'Lease Cycles'!$D$26*INDEX('Lease Cycles'!$FH$26:$FN$26,1,DU316)*IF(INDEX('Lease Cycles'!$EF$26:$EL$26,1,DU316)=1,1,IF(OR(INDEX('Lease Cycles'!$DY$26:$EE$26,1,DU316)=1,DU317&gt;0),1,1-INDEX('Lease Cycles'!$DD$26:$DJ$26,1,DU316)))),0)</f>
        <v>0</v>
      </c>
      <c r="DV325" s="24">
        <f>IF(DV318=1,IF('Lease Cycles'!$AJ$26=1,0,'Lease Cycles'!$D$26*INDEX('Lease Cycles'!$FH$26:$FN$26,1,DV316)*IF(INDEX('Lease Cycles'!$EF$26:$EL$26,1,DV316)=1,1,IF(OR(INDEX('Lease Cycles'!$DY$26:$EE$26,1,DV316)=1,DV317&gt;0),1,1-INDEX('Lease Cycles'!$DD$26:$DJ$26,1,DV316)))),0)</f>
        <v>0</v>
      </c>
      <c r="DW325" s="24">
        <f>IF(DW318=1,IF('Lease Cycles'!$AJ$26=1,0,'Lease Cycles'!$D$26*INDEX('Lease Cycles'!$FH$26:$FN$26,1,DW316)*IF(INDEX('Lease Cycles'!$EF$26:$EL$26,1,DW316)=1,1,IF(OR(INDEX('Lease Cycles'!$DY$26:$EE$26,1,DW316)=1,DW317&gt;0),1,1-INDEX('Lease Cycles'!$DD$26:$DJ$26,1,DW316)))),0)</f>
        <v>0</v>
      </c>
      <c r="DX325" s="24">
        <f>IF(DX318=1,IF('Lease Cycles'!$AJ$26=1,0,'Lease Cycles'!$D$26*INDEX('Lease Cycles'!$FH$26:$FN$26,1,DX316)*IF(INDEX('Lease Cycles'!$EF$26:$EL$26,1,DX316)=1,1,IF(OR(INDEX('Lease Cycles'!$DY$26:$EE$26,1,DX316)=1,DX317&gt;0),1,1-INDEX('Lease Cycles'!$DD$26:$DJ$26,1,DX316)))),0)</f>
        <v>0</v>
      </c>
      <c r="DY325" s="24">
        <f>IF(DY318=1,IF('Lease Cycles'!$AJ$26=1,0,'Lease Cycles'!$D$26*INDEX('Lease Cycles'!$FH$26:$FN$26,1,DY316)*IF(INDEX('Lease Cycles'!$EF$26:$EL$26,1,DY316)=1,1,IF(OR(INDEX('Lease Cycles'!$DY$26:$EE$26,1,DY316)=1,DY317&gt;0),1,1-INDEX('Lease Cycles'!$DD$26:$DJ$26,1,DY316)))),0)</f>
        <v>0</v>
      </c>
      <c r="DZ325" s="24">
        <f>IF(DZ318=1,IF('Lease Cycles'!$AJ$26=1,0,'Lease Cycles'!$D$26*INDEX('Lease Cycles'!$FH$26:$FN$26,1,DZ316)*IF(INDEX('Lease Cycles'!$EF$26:$EL$26,1,DZ316)=1,1,IF(OR(INDEX('Lease Cycles'!$DY$26:$EE$26,1,DZ316)=1,DZ317&gt;0),1,1-INDEX('Lease Cycles'!$DD$26:$DJ$26,1,DZ316)))),0)</f>
        <v>0</v>
      </c>
      <c r="EA325" s="24">
        <f>IF(EA318=1,IF('Lease Cycles'!$AJ$26=1,0,'Lease Cycles'!$D$26*INDEX('Lease Cycles'!$FH$26:$FN$26,1,EA316)*IF(INDEX('Lease Cycles'!$EF$26:$EL$26,1,EA316)=1,1,IF(OR(INDEX('Lease Cycles'!$DY$26:$EE$26,1,EA316)=1,EA317&gt;0),1,1-INDEX('Lease Cycles'!$DD$26:$DJ$26,1,EA316)))),0)</f>
        <v>0</v>
      </c>
      <c r="EB325" s="24">
        <f>IF(EB318=1,IF('Lease Cycles'!$AJ$26=1,0,'Lease Cycles'!$D$26*INDEX('Lease Cycles'!$FH$26:$FN$26,1,EB316)*IF(INDEX('Lease Cycles'!$EF$26:$EL$26,1,EB316)=1,1,IF(OR(INDEX('Lease Cycles'!$DY$26:$EE$26,1,EB316)=1,EB317&gt;0),1,1-INDEX('Lease Cycles'!$DD$26:$DJ$26,1,EB316)))),0)</f>
        <v>0</v>
      </c>
      <c r="EC325" s="24">
        <f>IF(EC318=1,IF('Lease Cycles'!$AJ$26=1,0,'Lease Cycles'!$D$26*INDEX('Lease Cycles'!$FH$26:$FN$26,1,EC316)*IF(INDEX('Lease Cycles'!$EF$26:$EL$26,1,EC316)=1,1,IF(OR(INDEX('Lease Cycles'!$DY$26:$EE$26,1,EC316)=1,EC317&gt;0),1,1-INDEX('Lease Cycles'!$DD$26:$DJ$26,1,EC316)))),0)</f>
        <v>0</v>
      </c>
      <c r="ED325" s="24">
        <f>IF(ED318=1,IF('Lease Cycles'!$AJ$26=1,0,'Lease Cycles'!$D$26*INDEX('Lease Cycles'!$FH$26:$FN$26,1,ED316)*IF(INDEX('Lease Cycles'!$EF$26:$EL$26,1,ED316)=1,1,IF(OR(INDEX('Lease Cycles'!$DY$26:$EE$26,1,ED316)=1,ED317&gt;0),1,1-INDEX('Lease Cycles'!$DD$26:$DJ$26,1,ED316)))),0)</f>
        <v>0</v>
      </c>
      <c r="EE325" s="24">
        <f>IF(EE318=1,IF('Lease Cycles'!$AJ$26=1,0,'Lease Cycles'!$D$26*INDEX('Lease Cycles'!$FH$26:$FN$26,1,EE316)*IF(INDEX('Lease Cycles'!$EF$26:$EL$26,1,EE316)=1,1,IF(OR(INDEX('Lease Cycles'!$DY$26:$EE$26,1,EE316)=1,EE317&gt;0),1,1-INDEX('Lease Cycles'!$DD$26:$DJ$26,1,EE316)))),0)</f>
        <v>0</v>
      </c>
      <c r="EF325" s="24">
        <f>IF(EF318=1,IF('Lease Cycles'!$AJ$26=1,0,'Lease Cycles'!$D$26*INDEX('Lease Cycles'!$FH$26:$FN$26,1,EF316)*IF(INDEX('Lease Cycles'!$EF$26:$EL$26,1,EF316)=1,1,IF(OR(INDEX('Lease Cycles'!$DY$26:$EE$26,1,EF316)=1,EF317&gt;0),1,1-INDEX('Lease Cycles'!$DD$26:$DJ$26,1,EF316)))),0)</f>
        <v>0</v>
      </c>
      <c r="EG325" s="24">
        <f>IF(EG318=1,IF('Lease Cycles'!$AJ$26=1,0,'Lease Cycles'!$D$26*INDEX('Lease Cycles'!$FH$26:$FN$26,1,EG316)*IF(INDEX('Lease Cycles'!$EF$26:$EL$26,1,EG316)=1,1,IF(OR(INDEX('Lease Cycles'!$DY$26:$EE$26,1,EG316)=1,EG317&gt;0),1,1-INDEX('Lease Cycles'!$DD$26:$DJ$26,1,EG316)))),0)</f>
        <v>0</v>
      </c>
      <c r="EH325" s="24">
        <f>IF(EH318=1,IF('Lease Cycles'!$AJ$26=1,0,'Lease Cycles'!$D$26*INDEX('Lease Cycles'!$FH$26:$FN$26,1,EH316)*IF(INDEX('Lease Cycles'!$EF$26:$EL$26,1,EH316)=1,1,IF(OR(INDEX('Lease Cycles'!$DY$26:$EE$26,1,EH316)=1,EH317&gt;0),1,1-INDEX('Lease Cycles'!$DD$26:$DJ$26,1,EH316)))),0)</f>
        <v>0</v>
      </c>
      <c r="EI325" s="24">
        <f>IF(EI318=1,IF('Lease Cycles'!$AJ$26=1,0,'Lease Cycles'!$D$26*INDEX('Lease Cycles'!$FH$26:$FN$26,1,EI316)*IF(INDEX('Lease Cycles'!$EF$26:$EL$26,1,EI316)=1,1,IF(OR(INDEX('Lease Cycles'!$DY$26:$EE$26,1,EI316)=1,EI317&gt;0),1,1-INDEX('Lease Cycles'!$DD$26:$DJ$26,1,EI316)))),0)</f>
        <v>0</v>
      </c>
      <c r="EJ325" s="24">
        <f>IF(EJ318=1,IF('Lease Cycles'!$AJ$26=1,0,'Lease Cycles'!$D$26*INDEX('Lease Cycles'!$FH$26:$FN$26,1,EJ316)*IF(INDEX('Lease Cycles'!$EF$26:$EL$26,1,EJ316)=1,1,IF(OR(INDEX('Lease Cycles'!$DY$26:$EE$26,1,EJ316)=1,EJ317&gt;0),1,1-INDEX('Lease Cycles'!$DD$26:$DJ$26,1,EJ316)))),0)</f>
        <v>0</v>
      </c>
      <c r="EK325" s="24">
        <f>IF(EK318=1,IF('Lease Cycles'!$AJ$26=1,0,'Lease Cycles'!$D$26*INDEX('Lease Cycles'!$FH$26:$FN$26,1,EK316)*IF(INDEX('Lease Cycles'!$EF$26:$EL$26,1,EK316)=1,1,IF(OR(INDEX('Lease Cycles'!$DY$26:$EE$26,1,EK316)=1,EK317&gt;0),1,1-INDEX('Lease Cycles'!$DD$26:$DJ$26,1,EK316)))),0)</f>
        <v>0</v>
      </c>
      <c r="EL325" s="24">
        <f>IF(EL318=1,IF('Lease Cycles'!$AJ$26=1,0,'Lease Cycles'!$D$26*INDEX('Lease Cycles'!$FH$26:$FN$26,1,EL316)*IF(INDEX('Lease Cycles'!$EF$26:$EL$26,1,EL316)=1,1,IF(OR(INDEX('Lease Cycles'!$DY$26:$EE$26,1,EL316)=1,EL317&gt;0),1,1-INDEX('Lease Cycles'!$DD$26:$DJ$26,1,EL316)))),0)</f>
        <v>0</v>
      </c>
      <c r="EM325" s="24">
        <f>IF(EM318=1,IF('Lease Cycles'!$AJ$26=1,0,'Lease Cycles'!$D$26*INDEX('Lease Cycles'!$FH$26:$FN$26,1,EM316)*IF(INDEX('Lease Cycles'!$EF$26:$EL$26,1,EM316)=1,1,IF(OR(INDEX('Lease Cycles'!$DY$26:$EE$26,1,EM316)=1,EM317&gt;0),1,1-INDEX('Lease Cycles'!$DD$26:$DJ$26,1,EM316)))),0)</f>
        <v>0</v>
      </c>
      <c r="EN325" s="24">
        <f>IF(EN318=1,IF('Lease Cycles'!$AJ$26=1,0,'Lease Cycles'!$D$26*INDEX('Lease Cycles'!$FH$26:$FN$26,1,EN316)*IF(INDEX('Lease Cycles'!$EF$26:$EL$26,1,EN316)=1,1,IF(OR(INDEX('Lease Cycles'!$DY$26:$EE$26,1,EN316)=1,EN317&gt;0),1,1-INDEX('Lease Cycles'!$DD$26:$DJ$26,1,EN316)))),0)</f>
        <v>0</v>
      </c>
      <c r="EO325" s="24">
        <f>IF(EO318=1,IF('Lease Cycles'!$AJ$26=1,0,'Lease Cycles'!$D$26*INDEX('Lease Cycles'!$FH$26:$FN$26,1,EO316)*IF(INDEX('Lease Cycles'!$EF$26:$EL$26,1,EO316)=1,1,IF(OR(INDEX('Lease Cycles'!$DY$26:$EE$26,1,EO316)=1,EO317&gt;0),1,1-INDEX('Lease Cycles'!$DD$26:$DJ$26,1,EO316)))),0)</f>
        <v>0</v>
      </c>
      <c r="EP325" s="24">
        <f>IF(EP318=1,IF('Lease Cycles'!$AJ$26=1,0,'Lease Cycles'!$D$26*INDEX('Lease Cycles'!$FH$26:$FN$26,1,EP316)*IF(INDEX('Lease Cycles'!$EF$26:$EL$26,1,EP316)=1,1,IF(OR(INDEX('Lease Cycles'!$DY$26:$EE$26,1,EP316)=1,EP317&gt;0),1,1-INDEX('Lease Cycles'!$DD$26:$DJ$26,1,EP316)))),0)</f>
        <v>0</v>
      </c>
      <c r="EQ325" s="24">
        <f>IF(EQ318=1,IF('Lease Cycles'!$AJ$26=1,0,'Lease Cycles'!$D$26*INDEX('Lease Cycles'!$FH$26:$FN$26,1,EQ316)*IF(INDEX('Lease Cycles'!$EF$26:$EL$26,1,EQ316)=1,1,IF(OR(INDEX('Lease Cycles'!$DY$26:$EE$26,1,EQ316)=1,EQ317&gt;0),1,1-INDEX('Lease Cycles'!$DD$26:$DJ$26,1,EQ316)))),0)</f>
        <v>0</v>
      </c>
      <c r="ER325" s="24">
        <f>IF(ER318=1,IF('Lease Cycles'!$AJ$26=1,0,'Lease Cycles'!$D$26*INDEX('Lease Cycles'!$FH$26:$FN$26,1,ER316)*IF(INDEX('Lease Cycles'!$EF$26:$EL$26,1,ER316)=1,1,IF(OR(INDEX('Lease Cycles'!$DY$26:$EE$26,1,ER316)=1,ER317&gt;0),1,1-INDEX('Lease Cycles'!$DD$26:$DJ$26,1,ER316)))),0)</f>
        <v>0</v>
      </c>
      <c r="ES325" s="24">
        <f>IF(ES318=1,IF('Lease Cycles'!$AJ$26=1,0,'Lease Cycles'!$D$26*INDEX('Lease Cycles'!$FH$26:$FN$26,1,ES316)*IF(INDEX('Lease Cycles'!$EF$26:$EL$26,1,ES316)=1,1,IF(OR(INDEX('Lease Cycles'!$DY$26:$EE$26,1,ES316)=1,ES317&gt;0),1,1-INDEX('Lease Cycles'!$DD$26:$DJ$26,1,ES316)))),0)</f>
        <v>0</v>
      </c>
      <c r="ET325" s="24">
        <f>IF(ET318=1,IF('Lease Cycles'!$AJ$26=1,0,'Lease Cycles'!$D$26*INDEX('Lease Cycles'!$FH$26:$FN$26,1,ET316)*IF(INDEX('Lease Cycles'!$EF$26:$EL$26,1,ET316)=1,1,IF(OR(INDEX('Lease Cycles'!$DY$26:$EE$26,1,ET316)=1,ET317&gt;0),1,1-INDEX('Lease Cycles'!$DD$26:$DJ$26,1,ET316)))),0)</f>
        <v>0</v>
      </c>
    </row>
    <row r="326">
      <c r="A326" s="103">
        <v>19</v>
      </c>
      <c r="B326" s="23" t="str">
        <f>IF('Lease Cycles'!$B$26="","(empty slot)",'Lease Cycles'!$B$26)</f>
        <v>(empty slot)</v>
      </c>
      <c r="C326" s="23" t="s">
        <v>687</v>
      </c>
      <c r="D326" s="104" t="s">
        <v>688</v>
      </c>
      <c r="E326" s="25">
        <f>'Lease Cycles'!$AL$26</f>
        <v>0</v>
      </c>
      <c r="G326" s="24">
        <f>SUM(S326:AD326)</f>
        <v>0</v>
      </c>
      <c r="H326" s="24">
        <f>SUM(AE326:AP326)</f>
        <v>0</v>
      </c>
      <c r="I326" s="24">
        <f>SUM(AQ326:BB326)</f>
        <v>0</v>
      </c>
      <c r="J326" s="24">
        <f>SUM(BC326:BN326)</f>
        <v>0</v>
      </c>
      <c r="K326" s="24">
        <f>SUM(BO326:BZ326)</f>
        <v>0</v>
      </c>
      <c r="L326" s="24">
        <f>SUM(CA326:CL326)</f>
        <v>0</v>
      </c>
      <c r="M326" s="24">
        <f>SUM(CM326:CX326)</f>
        <v>0</v>
      </c>
      <c r="N326" s="24">
        <f>SUM(CY326:DJ326)</f>
        <v>0</v>
      </c>
      <c r="O326" s="24">
        <f>SUM(DK326:DV326)</f>
        <v>0</v>
      </c>
      <c r="P326" s="24">
        <f>SUM(DW326:EH326)</f>
        <v>0</v>
      </c>
      <c r="Q326" s="24">
        <f>SUM(EI326:ET326)</f>
        <v>0</v>
      </c>
      <c r="S326" s="24">
        <f>IF(S318=1,'Lease Cycles'!$D$26*IF(INDEX('Lease Cycles'!$EF$26:$EL$26,1,S316)=1,'Lease Cycles'!$AJ$26*INDEX('Lease Cycles'!$FO$26:$FU$26,1,S316)*INDEX('Lease Cycles'!$EM$26:$ES$26,1,S316)+'Lease Cycles'!$BE$26*IF(S317&lt;INDEX('Lease Cycles'!$FA$26:$FG$26,1,S316),0,1-INDEX('Lease Cycles'!$EM$26:$ES$26,1,S316)),IF(OR(INDEX('Lease Cycles'!$DY$26:$EE$26,1,S316)=1,S317&gt;0),1,1-INDEX('Lease Cycles'!$DD$26:$DJ$26,1,S316))*('Lease Cycles'!$AJ$26*INDEX('Lease Cycles'!$FO$26:$FU$26,1,S316)+'Lease Cycles'!$BE$26*(1-INDEX('Lease Cycles'!$FO$26:$FU$26,1,S316)))),0)</f>
        <v>0</v>
      </c>
      <c r="T326" s="24">
        <f>IF(T318=1,'Lease Cycles'!$D$26*IF(INDEX('Lease Cycles'!$EF$26:$EL$26,1,T316)=1,'Lease Cycles'!$AJ$26*INDEX('Lease Cycles'!$FO$26:$FU$26,1,T316)*INDEX('Lease Cycles'!$EM$26:$ES$26,1,T316)+'Lease Cycles'!$BE$26*IF(T317&lt;INDEX('Lease Cycles'!$FA$26:$FG$26,1,T316),0,1-INDEX('Lease Cycles'!$EM$26:$ES$26,1,T316)),IF(OR(INDEX('Lease Cycles'!$DY$26:$EE$26,1,T316)=1,T317&gt;0),1,1-INDEX('Lease Cycles'!$DD$26:$DJ$26,1,T316))*('Lease Cycles'!$AJ$26*INDEX('Lease Cycles'!$FO$26:$FU$26,1,T316)+'Lease Cycles'!$BE$26*(1-INDEX('Lease Cycles'!$FO$26:$FU$26,1,T316)))),0)</f>
        <v>0</v>
      </c>
      <c r="U326" s="24">
        <f>IF(U318=1,'Lease Cycles'!$D$26*IF(INDEX('Lease Cycles'!$EF$26:$EL$26,1,U316)=1,'Lease Cycles'!$AJ$26*INDEX('Lease Cycles'!$FO$26:$FU$26,1,U316)*INDEX('Lease Cycles'!$EM$26:$ES$26,1,U316)+'Lease Cycles'!$BE$26*IF(U317&lt;INDEX('Lease Cycles'!$FA$26:$FG$26,1,U316),0,1-INDEX('Lease Cycles'!$EM$26:$ES$26,1,U316)),IF(OR(INDEX('Lease Cycles'!$DY$26:$EE$26,1,U316)=1,U317&gt;0),1,1-INDEX('Lease Cycles'!$DD$26:$DJ$26,1,U316))*('Lease Cycles'!$AJ$26*INDEX('Lease Cycles'!$FO$26:$FU$26,1,U316)+'Lease Cycles'!$BE$26*(1-INDEX('Lease Cycles'!$FO$26:$FU$26,1,U316)))),0)</f>
        <v>0</v>
      </c>
      <c r="V326" s="24">
        <f>IF(V318=1,'Lease Cycles'!$D$26*IF(INDEX('Lease Cycles'!$EF$26:$EL$26,1,V316)=1,'Lease Cycles'!$AJ$26*INDEX('Lease Cycles'!$FO$26:$FU$26,1,V316)*INDEX('Lease Cycles'!$EM$26:$ES$26,1,V316)+'Lease Cycles'!$BE$26*IF(V317&lt;INDEX('Lease Cycles'!$FA$26:$FG$26,1,V316),0,1-INDEX('Lease Cycles'!$EM$26:$ES$26,1,V316)),IF(OR(INDEX('Lease Cycles'!$DY$26:$EE$26,1,V316)=1,V317&gt;0),1,1-INDEX('Lease Cycles'!$DD$26:$DJ$26,1,V316))*('Lease Cycles'!$AJ$26*INDEX('Lease Cycles'!$FO$26:$FU$26,1,V316)+'Lease Cycles'!$BE$26*(1-INDEX('Lease Cycles'!$FO$26:$FU$26,1,V316)))),0)</f>
        <v>0</v>
      </c>
      <c r="W326" s="24">
        <f>IF(W318=1,'Lease Cycles'!$D$26*IF(INDEX('Lease Cycles'!$EF$26:$EL$26,1,W316)=1,'Lease Cycles'!$AJ$26*INDEX('Lease Cycles'!$FO$26:$FU$26,1,W316)*INDEX('Lease Cycles'!$EM$26:$ES$26,1,W316)+'Lease Cycles'!$BE$26*IF(W317&lt;INDEX('Lease Cycles'!$FA$26:$FG$26,1,W316),0,1-INDEX('Lease Cycles'!$EM$26:$ES$26,1,W316)),IF(OR(INDEX('Lease Cycles'!$DY$26:$EE$26,1,W316)=1,W317&gt;0),1,1-INDEX('Lease Cycles'!$DD$26:$DJ$26,1,W316))*('Lease Cycles'!$AJ$26*INDEX('Lease Cycles'!$FO$26:$FU$26,1,W316)+'Lease Cycles'!$BE$26*(1-INDEX('Lease Cycles'!$FO$26:$FU$26,1,W316)))),0)</f>
        <v>0</v>
      </c>
      <c r="X326" s="24">
        <f>IF(X318=1,'Lease Cycles'!$D$26*IF(INDEX('Lease Cycles'!$EF$26:$EL$26,1,X316)=1,'Lease Cycles'!$AJ$26*INDEX('Lease Cycles'!$FO$26:$FU$26,1,X316)*INDEX('Lease Cycles'!$EM$26:$ES$26,1,X316)+'Lease Cycles'!$BE$26*IF(X317&lt;INDEX('Lease Cycles'!$FA$26:$FG$26,1,X316),0,1-INDEX('Lease Cycles'!$EM$26:$ES$26,1,X316)),IF(OR(INDEX('Lease Cycles'!$DY$26:$EE$26,1,X316)=1,X317&gt;0),1,1-INDEX('Lease Cycles'!$DD$26:$DJ$26,1,X316))*('Lease Cycles'!$AJ$26*INDEX('Lease Cycles'!$FO$26:$FU$26,1,X316)+'Lease Cycles'!$BE$26*(1-INDEX('Lease Cycles'!$FO$26:$FU$26,1,X316)))),0)</f>
        <v>0</v>
      </c>
      <c r="Y326" s="24">
        <f>IF(Y318=1,'Lease Cycles'!$D$26*IF(INDEX('Lease Cycles'!$EF$26:$EL$26,1,Y316)=1,'Lease Cycles'!$AJ$26*INDEX('Lease Cycles'!$FO$26:$FU$26,1,Y316)*INDEX('Lease Cycles'!$EM$26:$ES$26,1,Y316)+'Lease Cycles'!$BE$26*IF(Y317&lt;INDEX('Lease Cycles'!$FA$26:$FG$26,1,Y316),0,1-INDEX('Lease Cycles'!$EM$26:$ES$26,1,Y316)),IF(OR(INDEX('Lease Cycles'!$DY$26:$EE$26,1,Y316)=1,Y317&gt;0),1,1-INDEX('Lease Cycles'!$DD$26:$DJ$26,1,Y316))*('Lease Cycles'!$AJ$26*INDEX('Lease Cycles'!$FO$26:$FU$26,1,Y316)+'Lease Cycles'!$BE$26*(1-INDEX('Lease Cycles'!$FO$26:$FU$26,1,Y316)))),0)</f>
        <v>0</v>
      </c>
      <c r="Z326" s="24">
        <f>IF(Z318=1,'Lease Cycles'!$D$26*IF(INDEX('Lease Cycles'!$EF$26:$EL$26,1,Z316)=1,'Lease Cycles'!$AJ$26*INDEX('Lease Cycles'!$FO$26:$FU$26,1,Z316)*INDEX('Lease Cycles'!$EM$26:$ES$26,1,Z316)+'Lease Cycles'!$BE$26*IF(Z317&lt;INDEX('Lease Cycles'!$FA$26:$FG$26,1,Z316),0,1-INDEX('Lease Cycles'!$EM$26:$ES$26,1,Z316)),IF(OR(INDEX('Lease Cycles'!$DY$26:$EE$26,1,Z316)=1,Z317&gt;0),1,1-INDEX('Lease Cycles'!$DD$26:$DJ$26,1,Z316))*('Lease Cycles'!$AJ$26*INDEX('Lease Cycles'!$FO$26:$FU$26,1,Z316)+'Lease Cycles'!$BE$26*(1-INDEX('Lease Cycles'!$FO$26:$FU$26,1,Z316)))),0)</f>
        <v>0</v>
      </c>
      <c r="AA326" s="24">
        <f>IF(AA318=1,'Lease Cycles'!$D$26*IF(INDEX('Lease Cycles'!$EF$26:$EL$26,1,AA316)=1,'Lease Cycles'!$AJ$26*INDEX('Lease Cycles'!$FO$26:$FU$26,1,AA316)*INDEX('Lease Cycles'!$EM$26:$ES$26,1,AA316)+'Lease Cycles'!$BE$26*IF(AA317&lt;INDEX('Lease Cycles'!$FA$26:$FG$26,1,AA316),0,1-INDEX('Lease Cycles'!$EM$26:$ES$26,1,AA316)),IF(OR(INDEX('Lease Cycles'!$DY$26:$EE$26,1,AA316)=1,AA317&gt;0),1,1-INDEX('Lease Cycles'!$DD$26:$DJ$26,1,AA316))*('Lease Cycles'!$AJ$26*INDEX('Lease Cycles'!$FO$26:$FU$26,1,AA316)+'Lease Cycles'!$BE$26*(1-INDEX('Lease Cycles'!$FO$26:$FU$26,1,AA316)))),0)</f>
        <v>0</v>
      </c>
      <c r="AB326" s="24">
        <f>IF(AB318=1,'Lease Cycles'!$D$26*IF(INDEX('Lease Cycles'!$EF$26:$EL$26,1,AB316)=1,'Lease Cycles'!$AJ$26*INDEX('Lease Cycles'!$FO$26:$FU$26,1,AB316)*INDEX('Lease Cycles'!$EM$26:$ES$26,1,AB316)+'Lease Cycles'!$BE$26*IF(AB317&lt;INDEX('Lease Cycles'!$FA$26:$FG$26,1,AB316),0,1-INDEX('Lease Cycles'!$EM$26:$ES$26,1,AB316)),IF(OR(INDEX('Lease Cycles'!$DY$26:$EE$26,1,AB316)=1,AB317&gt;0),1,1-INDEX('Lease Cycles'!$DD$26:$DJ$26,1,AB316))*('Lease Cycles'!$AJ$26*INDEX('Lease Cycles'!$FO$26:$FU$26,1,AB316)+'Lease Cycles'!$BE$26*(1-INDEX('Lease Cycles'!$FO$26:$FU$26,1,AB316)))),0)</f>
        <v>0</v>
      </c>
      <c r="AC326" s="24">
        <f>IF(AC318=1,'Lease Cycles'!$D$26*IF(INDEX('Lease Cycles'!$EF$26:$EL$26,1,AC316)=1,'Lease Cycles'!$AJ$26*INDEX('Lease Cycles'!$FO$26:$FU$26,1,AC316)*INDEX('Lease Cycles'!$EM$26:$ES$26,1,AC316)+'Lease Cycles'!$BE$26*IF(AC317&lt;INDEX('Lease Cycles'!$FA$26:$FG$26,1,AC316),0,1-INDEX('Lease Cycles'!$EM$26:$ES$26,1,AC316)),IF(OR(INDEX('Lease Cycles'!$DY$26:$EE$26,1,AC316)=1,AC317&gt;0),1,1-INDEX('Lease Cycles'!$DD$26:$DJ$26,1,AC316))*('Lease Cycles'!$AJ$26*INDEX('Lease Cycles'!$FO$26:$FU$26,1,AC316)+'Lease Cycles'!$BE$26*(1-INDEX('Lease Cycles'!$FO$26:$FU$26,1,AC316)))),0)</f>
        <v>0</v>
      </c>
      <c r="AD326" s="24">
        <f>IF(AD318=1,'Lease Cycles'!$D$26*IF(INDEX('Lease Cycles'!$EF$26:$EL$26,1,AD316)=1,'Lease Cycles'!$AJ$26*INDEX('Lease Cycles'!$FO$26:$FU$26,1,AD316)*INDEX('Lease Cycles'!$EM$26:$ES$26,1,AD316)+'Lease Cycles'!$BE$26*IF(AD317&lt;INDEX('Lease Cycles'!$FA$26:$FG$26,1,AD316),0,1-INDEX('Lease Cycles'!$EM$26:$ES$26,1,AD316)),IF(OR(INDEX('Lease Cycles'!$DY$26:$EE$26,1,AD316)=1,AD317&gt;0),1,1-INDEX('Lease Cycles'!$DD$26:$DJ$26,1,AD316))*('Lease Cycles'!$AJ$26*INDEX('Lease Cycles'!$FO$26:$FU$26,1,AD316)+'Lease Cycles'!$BE$26*(1-INDEX('Lease Cycles'!$FO$26:$FU$26,1,AD316)))),0)</f>
        <v>0</v>
      </c>
      <c r="AE326" s="24">
        <f>IF(AE318=1,'Lease Cycles'!$D$26*IF(INDEX('Lease Cycles'!$EF$26:$EL$26,1,AE316)=1,'Lease Cycles'!$AJ$26*INDEX('Lease Cycles'!$FO$26:$FU$26,1,AE316)*INDEX('Lease Cycles'!$EM$26:$ES$26,1,AE316)+'Lease Cycles'!$BE$26*IF(AE317&lt;INDEX('Lease Cycles'!$FA$26:$FG$26,1,AE316),0,1-INDEX('Lease Cycles'!$EM$26:$ES$26,1,AE316)),IF(OR(INDEX('Lease Cycles'!$DY$26:$EE$26,1,AE316)=1,AE317&gt;0),1,1-INDEX('Lease Cycles'!$DD$26:$DJ$26,1,AE316))*('Lease Cycles'!$AJ$26*INDEX('Lease Cycles'!$FO$26:$FU$26,1,AE316)+'Lease Cycles'!$BE$26*(1-INDEX('Lease Cycles'!$FO$26:$FU$26,1,AE316)))),0)</f>
        <v>0</v>
      </c>
      <c r="AF326" s="24">
        <f>IF(AF318=1,'Lease Cycles'!$D$26*IF(INDEX('Lease Cycles'!$EF$26:$EL$26,1,AF316)=1,'Lease Cycles'!$AJ$26*INDEX('Lease Cycles'!$FO$26:$FU$26,1,AF316)*INDEX('Lease Cycles'!$EM$26:$ES$26,1,AF316)+'Lease Cycles'!$BE$26*IF(AF317&lt;INDEX('Lease Cycles'!$FA$26:$FG$26,1,AF316),0,1-INDEX('Lease Cycles'!$EM$26:$ES$26,1,AF316)),IF(OR(INDEX('Lease Cycles'!$DY$26:$EE$26,1,AF316)=1,AF317&gt;0),1,1-INDEX('Lease Cycles'!$DD$26:$DJ$26,1,AF316))*('Lease Cycles'!$AJ$26*INDEX('Lease Cycles'!$FO$26:$FU$26,1,AF316)+'Lease Cycles'!$BE$26*(1-INDEX('Lease Cycles'!$FO$26:$FU$26,1,AF316)))),0)</f>
        <v>0</v>
      </c>
      <c r="AG326" s="24">
        <f>IF(AG318=1,'Lease Cycles'!$D$26*IF(INDEX('Lease Cycles'!$EF$26:$EL$26,1,AG316)=1,'Lease Cycles'!$AJ$26*INDEX('Lease Cycles'!$FO$26:$FU$26,1,AG316)*INDEX('Lease Cycles'!$EM$26:$ES$26,1,AG316)+'Lease Cycles'!$BE$26*IF(AG317&lt;INDEX('Lease Cycles'!$FA$26:$FG$26,1,AG316),0,1-INDEX('Lease Cycles'!$EM$26:$ES$26,1,AG316)),IF(OR(INDEX('Lease Cycles'!$DY$26:$EE$26,1,AG316)=1,AG317&gt;0),1,1-INDEX('Lease Cycles'!$DD$26:$DJ$26,1,AG316))*('Lease Cycles'!$AJ$26*INDEX('Lease Cycles'!$FO$26:$FU$26,1,AG316)+'Lease Cycles'!$BE$26*(1-INDEX('Lease Cycles'!$FO$26:$FU$26,1,AG316)))),0)</f>
        <v>0</v>
      </c>
      <c r="AH326" s="24">
        <f>IF(AH318=1,'Lease Cycles'!$D$26*IF(INDEX('Lease Cycles'!$EF$26:$EL$26,1,AH316)=1,'Lease Cycles'!$AJ$26*INDEX('Lease Cycles'!$FO$26:$FU$26,1,AH316)*INDEX('Lease Cycles'!$EM$26:$ES$26,1,AH316)+'Lease Cycles'!$BE$26*IF(AH317&lt;INDEX('Lease Cycles'!$FA$26:$FG$26,1,AH316),0,1-INDEX('Lease Cycles'!$EM$26:$ES$26,1,AH316)),IF(OR(INDEX('Lease Cycles'!$DY$26:$EE$26,1,AH316)=1,AH317&gt;0),1,1-INDEX('Lease Cycles'!$DD$26:$DJ$26,1,AH316))*('Lease Cycles'!$AJ$26*INDEX('Lease Cycles'!$FO$26:$FU$26,1,AH316)+'Lease Cycles'!$BE$26*(1-INDEX('Lease Cycles'!$FO$26:$FU$26,1,AH316)))),0)</f>
        <v>0</v>
      </c>
      <c r="AI326" s="24">
        <f>IF(AI318=1,'Lease Cycles'!$D$26*IF(INDEX('Lease Cycles'!$EF$26:$EL$26,1,AI316)=1,'Lease Cycles'!$AJ$26*INDEX('Lease Cycles'!$FO$26:$FU$26,1,AI316)*INDEX('Lease Cycles'!$EM$26:$ES$26,1,AI316)+'Lease Cycles'!$BE$26*IF(AI317&lt;INDEX('Lease Cycles'!$FA$26:$FG$26,1,AI316),0,1-INDEX('Lease Cycles'!$EM$26:$ES$26,1,AI316)),IF(OR(INDEX('Lease Cycles'!$DY$26:$EE$26,1,AI316)=1,AI317&gt;0),1,1-INDEX('Lease Cycles'!$DD$26:$DJ$26,1,AI316))*('Lease Cycles'!$AJ$26*INDEX('Lease Cycles'!$FO$26:$FU$26,1,AI316)+'Lease Cycles'!$BE$26*(1-INDEX('Lease Cycles'!$FO$26:$FU$26,1,AI316)))),0)</f>
        <v>0</v>
      </c>
      <c r="AJ326" s="24">
        <f>IF(AJ318=1,'Lease Cycles'!$D$26*IF(INDEX('Lease Cycles'!$EF$26:$EL$26,1,AJ316)=1,'Lease Cycles'!$AJ$26*INDEX('Lease Cycles'!$FO$26:$FU$26,1,AJ316)*INDEX('Lease Cycles'!$EM$26:$ES$26,1,AJ316)+'Lease Cycles'!$BE$26*IF(AJ317&lt;INDEX('Lease Cycles'!$FA$26:$FG$26,1,AJ316),0,1-INDEX('Lease Cycles'!$EM$26:$ES$26,1,AJ316)),IF(OR(INDEX('Lease Cycles'!$DY$26:$EE$26,1,AJ316)=1,AJ317&gt;0),1,1-INDEX('Lease Cycles'!$DD$26:$DJ$26,1,AJ316))*('Lease Cycles'!$AJ$26*INDEX('Lease Cycles'!$FO$26:$FU$26,1,AJ316)+'Lease Cycles'!$BE$26*(1-INDEX('Lease Cycles'!$FO$26:$FU$26,1,AJ316)))),0)</f>
        <v>0</v>
      </c>
      <c r="AK326" s="24">
        <f>IF(AK318=1,'Lease Cycles'!$D$26*IF(INDEX('Lease Cycles'!$EF$26:$EL$26,1,AK316)=1,'Lease Cycles'!$AJ$26*INDEX('Lease Cycles'!$FO$26:$FU$26,1,AK316)*INDEX('Lease Cycles'!$EM$26:$ES$26,1,AK316)+'Lease Cycles'!$BE$26*IF(AK317&lt;INDEX('Lease Cycles'!$FA$26:$FG$26,1,AK316),0,1-INDEX('Lease Cycles'!$EM$26:$ES$26,1,AK316)),IF(OR(INDEX('Lease Cycles'!$DY$26:$EE$26,1,AK316)=1,AK317&gt;0),1,1-INDEX('Lease Cycles'!$DD$26:$DJ$26,1,AK316))*('Lease Cycles'!$AJ$26*INDEX('Lease Cycles'!$FO$26:$FU$26,1,AK316)+'Lease Cycles'!$BE$26*(1-INDEX('Lease Cycles'!$FO$26:$FU$26,1,AK316)))),0)</f>
        <v>0</v>
      </c>
      <c r="AL326" s="24">
        <f>IF(AL318=1,'Lease Cycles'!$D$26*IF(INDEX('Lease Cycles'!$EF$26:$EL$26,1,AL316)=1,'Lease Cycles'!$AJ$26*INDEX('Lease Cycles'!$FO$26:$FU$26,1,AL316)*INDEX('Lease Cycles'!$EM$26:$ES$26,1,AL316)+'Lease Cycles'!$BE$26*IF(AL317&lt;INDEX('Lease Cycles'!$FA$26:$FG$26,1,AL316),0,1-INDEX('Lease Cycles'!$EM$26:$ES$26,1,AL316)),IF(OR(INDEX('Lease Cycles'!$DY$26:$EE$26,1,AL316)=1,AL317&gt;0),1,1-INDEX('Lease Cycles'!$DD$26:$DJ$26,1,AL316))*('Lease Cycles'!$AJ$26*INDEX('Lease Cycles'!$FO$26:$FU$26,1,AL316)+'Lease Cycles'!$BE$26*(1-INDEX('Lease Cycles'!$FO$26:$FU$26,1,AL316)))),0)</f>
        <v>0</v>
      </c>
      <c r="AM326" s="24">
        <f>IF(AM318=1,'Lease Cycles'!$D$26*IF(INDEX('Lease Cycles'!$EF$26:$EL$26,1,AM316)=1,'Lease Cycles'!$AJ$26*INDEX('Lease Cycles'!$FO$26:$FU$26,1,AM316)*INDEX('Lease Cycles'!$EM$26:$ES$26,1,AM316)+'Lease Cycles'!$BE$26*IF(AM317&lt;INDEX('Lease Cycles'!$FA$26:$FG$26,1,AM316),0,1-INDEX('Lease Cycles'!$EM$26:$ES$26,1,AM316)),IF(OR(INDEX('Lease Cycles'!$DY$26:$EE$26,1,AM316)=1,AM317&gt;0),1,1-INDEX('Lease Cycles'!$DD$26:$DJ$26,1,AM316))*('Lease Cycles'!$AJ$26*INDEX('Lease Cycles'!$FO$26:$FU$26,1,AM316)+'Lease Cycles'!$BE$26*(1-INDEX('Lease Cycles'!$FO$26:$FU$26,1,AM316)))),0)</f>
        <v>0</v>
      </c>
      <c r="AN326" s="24">
        <f>IF(AN318=1,'Lease Cycles'!$D$26*IF(INDEX('Lease Cycles'!$EF$26:$EL$26,1,AN316)=1,'Lease Cycles'!$AJ$26*INDEX('Lease Cycles'!$FO$26:$FU$26,1,AN316)*INDEX('Lease Cycles'!$EM$26:$ES$26,1,AN316)+'Lease Cycles'!$BE$26*IF(AN317&lt;INDEX('Lease Cycles'!$FA$26:$FG$26,1,AN316),0,1-INDEX('Lease Cycles'!$EM$26:$ES$26,1,AN316)),IF(OR(INDEX('Lease Cycles'!$DY$26:$EE$26,1,AN316)=1,AN317&gt;0),1,1-INDEX('Lease Cycles'!$DD$26:$DJ$26,1,AN316))*('Lease Cycles'!$AJ$26*INDEX('Lease Cycles'!$FO$26:$FU$26,1,AN316)+'Lease Cycles'!$BE$26*(1-INDEX('Lease Cycles'!$FO$26:$FU$26,1,AN316)))),0)</f>
        <v>0</v>
      </c>
      <c r="AO326" s="24">
        <f>IF(AO318=1,'Lease Cycles'!$D$26*IF(INDEX('Lease Cycles'!$EF$26:$EL$26,1,AO316)=1,'Lease Cycles'!$AJ$26*INDEX('Lease Cycles'!$FO$26:$FU$26,1,AO316)*INDEX('Lease Cycles'!$EM$26:$ES$26,1,AO316)+'Lease Cycles'!$BE$26*IF(AO317&lt;INDEX('Lease Cycles'!$FA$26:$FG$26,1,AO316),0,1-INDEX('Lease Cycles'!$EM$26:$ES$26,1,AO316)),IF(OR(INDEX('Lease Cycles'!$DY$26:$EE$26,1,AO316)=1,AO317&gt;0),1,1-INDEX('Lease Cycles'!$DD$26:$DJ$26,1,AO316))*('Lease Cycles'!$AJ$26*INDEX('Lease Cycles'!$FO$26:$FU$26,1,AO316)+'Lease Cycles'!$BE$26*(1-INDEX('Lease Cycles'!$FO$26:$FU$26,1,AO316)))),0)</f>
        <v>0</v>
      </c>
      <c r="AP326" s="24">
        <f>IF(AP318=1,'Lease Cycles'!$D$26*IF(INDEX('Lease Cycles'!$EF$26:$EL$26,1,AP316)=1,'Lease Cycles'!$AJ$26*INDEX('Lease Cycles'!$FO$26:$FU$26,1,AP316)*INDEX('Lease Cycles'!$EM$26:$ES$26,1,AP316)+'Lease Cycles'!$BE$26*IF(AP317&lt;INDEX('Lease Cycles'!$FA$26:$FG$26,1,AP316),0,1-INDEX('Lease Cycles'!$EM$26:$ES$26,1,AP316)),IF(OR(INDEX('Lease Cycles'!$DY$26:$EE$26,1,AP316)=1,AP317&gt;0),1,1-INDEX('Lease Cycles'!$DD$26:$DJ$26,1,AP316))*('Lease Cycles'!$AJ$26*INDEX('Lease Cycles'!$FO$26:$FU$26,1,AP316)+'Lease Cycles'!$BE$26*(1-INDEX('Lease Cycles'!$FO$26:$FU$26,1,AP316)))),0)</f>
        <v>0</v>
      </c>
      <c r="AQ326" s="24">
        <f>IF(AQ318=1,'Lease Cycles'!$D$26*IF(INDEX('Lease Cycles'!$EF$26:$EL$26,1,AQ316)=1,'Lease Cycles'!$AJ$26*INDEX('Lease Cycles'!$FO$26:$FU$26,1,AQ316)*INDEX('Lease Cycles'!$EM$26:$ES$26,1,AQ316)+'Lease Cycles'!$BE$26*IF(AQ317&lt;INDEX('Lease Cycles'!$FA$26:$FG$26,1,AQ316),0,1-INDEX('Lease Cycles'!$EM$26:$ES$26,1,AQ316)),IF(OR(INDEX('Lease Cycles'!$DY$26:$EE$26,1,AQ316)=1,AQ317&gt;0),1,1-INDEX('Lease Cycles'!$DD$26:$DJ$26,1,AQ316))*('Lease Cycles'!$AJ$26*INDEX('Lease Cycles'!$FO$26:$FU$26,1,AQ316)+'Lease Cycles'!$BE$26*(1-INDEX('Lease Cycles'!$FO$26:$FU$26,1,AQ316)))),0)</f>
        <v>0</v>
      </c>
      <c r="AR326" s="24">
        <f>IF(AR318=1,'Lease Cycles'!$D$26*IF(INDEX('Lease Cycles'!$EF$26:$EL$26,1,AR316)=1,'Lease Cycles'!$AJ$26*INDEX('Lease Cycles'!$FO$26:$FU$26,1,AR316)*INDEX('Lease Cycles'!$EM$26:$ES$26,1,AR316)+'Lease Cycles'!$BE$26*IF(AR317&lt;INDEX('Lease Cycles'!$FA$26:$FG$26,1,AR316),0,1-INDEX('Lease Cycles'!$EM$26:$ES$26,1,AR316)),IF(OR(INDEX('Lease Cycles'!$DY$26:$EE$26,1,AR316)=1,AR317&gt;0),1,1-INDEX('Lease Cycles'!$DD$26:$DJ$26,1,AR316))*('Lease Cycles'!$AJ$26*INDEX('Lease Cycles'!$FO$26:$FU$26,1,AR316)+'Lease Cycles'!$BE$26*(1-INDEX('Lease Cycles'!$FO$26:$FU$26,1,AR316)))),0)</f>
        <v>0</v>
      </c>
      <c r="AS326" s="24">
        <f>IF(AS318=1,'Lease Cycles'!$D$26*IF(INDEX('Lease Cycles'!$EF$26:$EL$26,1,AS316)=1,'Lease Cycles'!$AJ$26*INDEX('Lease Cycles'!$FO$26:$FU$26,1,AS316)*INDEX('Lease Cycles'!$EM$26:$ES$26,1,AS316)+'Lease Cycles'!$BE$26*IF(AS317&lt;INDEX('Lease Cycles'!$FA$26:$FG$26,1,AS316),0,1-INDEX('Lease Cycles'!$EM$26:$ES$26,1,AS316)),IF(OR(INDEX('Lease Cycles'!$DY$26:$EE$26,1,AS316)=1,AS317&gt;0),1,1-INDEX('Lease Cycles'!$DD$26:$DJ$26,1,AS316))*('Lease Cycles'!$AJ$26*INDEX('Lease Cycles'!$FO$26:$FU$26,1,AS316)+'Lease Cycles'!$BE$26*(1-INDEX('Lease Cycles'!$FO$26:$FU$26,1,AS316)))),0)</f>
        <v>0</v>
      </c>
      <c r="AT326" s="24">
        <f>IF(AT318=1,'Lease Cycles'!$D$26*IF(INDEX('Lease Cycles'!$EF$26:$EL$26,1,AT316)=1,'Lease Cycles'!$AJ$26*INDEX('Lease Cycles'!$FO$26:$FU$26,1,AT316)*INDEX('Lease Cycles'!$EM$26:$ES$26,1,AT316)+'Lease Cycles'!$BE$26*IF(AT317&lt;INDEX('Lease Cycles'!$FA$26:$FG$26,1,AT316),0,1-INDEX('Lease Cycles'!$EM$26:$ES$26,1,AT316)),IF(OR(INDEX('Lease Cycles'!$DY$26:$EE$26,1,AT316)=1,AT317&gt;0),1,1-INDEX('Lease Cycles'!$DD$26:$DJ$26,1,AT316))*('Lease Cycles'!$AJ$26*INDEX('Lease Cycles'!$FO$26:$FU$26,1,AT316)+'Lease Cycles'!$BE$26*(1-INDEX('Lease Cycles'!$FO$26:$FU$26,1,AT316)))),0)</f>
        <v>0</v>
      </c>
      <c r="AU326" s="24">
        <f>IF(AU318=1,'Lease Cycles'!$D$26*IF(INDEX('Lease Cycles'!$EF$26:$EL$26,1,AU316)=1,'Lease Cycles'!$AJ$26*INDEX('Lease Cycles'!$FO$26:$FU$26,1,AU316)*INDEX('Lease Cycles'!$EM$26:$ES$26,1,AU316)+'Lease Cycles'!$BE$26*IF(AU317&lt;INDEX('Lease Cycles'!$FA$26:$FG$26,1,AU316),0,1-INDEX('Lease Cycles'!$EM$26:$ES$26,1,AU316)),IF(OR(INDEX('Lease Cycles'!$DY$26:$EE$26,1,AU316)=1,AU317&gt;0),1,1-INDEX('Lease Cycles'!$DD$26:$DJ$26,1,AU316))*('Lease Cycles'!$AJ$26*INDEX('Lease Cycles'!$FO$26:$FU$26,1,AU316)+'Lease Cycles'!$BE$26*(1-INDEX('Lease Cycles'!$FO$26:$FU$26,1,AU316)))),0)</f>
        <v>0</v>
      </c>
      <c r="AV326" s="24">
        <f>IF(AV318=1,'Lease Cycles'!$D$26*IF(INDEX('Lease Cycles'!$EF$26:$EL$26,1,AV316)=1,'Lease Cycles'!$AJ$26*INDEX('Lease Cycles'!$FO$26:$FU$26,1,AV316)*INDEX('Lease Cycles'!$EM$26:$ES$26,1,AV316)+'Lease Cycles'!$BE$26*IF(AV317&lt;INDEX('Lease Cycles'!$FA$26:$FG$26,1,AV316),0,1-INDEX('Lease Cycles'!$EM$26:$ES$26,1,AV316)),IF(OR(INDEX('Lease Cycles'!$DY$26:$EE$26,1,AV316)=1,AV317&gt;0),1,1-INDEX('Lease Cycles'!$DD$26:$DJ$26,1,AV316))*('Lease Cycles'!$AJ$26*INDEX('Lease Cycles'!$FO$26:$FU$26,1,AV316)+'Lease Cycles'!$BE$26*(1-INDEX('Lease Cycles'!$FO$26:$FU$26,1,AV316)))),0)</f>
        <v>0</v>
      </c>
      <c r="AW326" s="24">
        <f>IF(AW318=1,'Lease Cycles'!$D$26*IF(INDEX('Lease Cycles'!$EF$26:$EL$26,1,AW316)=1,'Lease Cycles'!$AJ$26*INDEX('Lease Cycles'!$FO$26:$FU$26,1,AW316)*INDEX('Lease Cycles'!$EM$26:$ES$26,1,AW316)+'Lease Cycles'!$BE$26*IF(AW317&lt;INDEX('Lease Cycles'!$FA$26:$FG$26,1,AW316),0,1-INDEX('Lease Cycles'!$EM$26:$ES$26,1,AW316)),IF(OR(INDEX('Lease Cycles'!$DY$26:$EE$26,1,AW316)=1,AW317&gt;0),1,1-INDEX('Lease Cycles'!$DD$26:$DJ$26,1,AW316))*('Lease Cycles'!$AJ$26*INDEX('Lease Cycles'!$FO$26:$FU$26,1,AW316)+'Lease Cycles'!$BE$26*(1-INDEX('Lease Cycles'!$FO$26:$FU$26,1,AW316)))),0)</f>
        <v>0</v>
      </c>
      <c r="AX326" s="24">
        <f>IF(AX318=1,'Lease Cycles'!$D$26*IF(INDEX('Lease Cycles'!$EF$26:$EL$26,1,AX316)=1,'Lease Cycles'!$AJ$26*INDEX('Lease Cycles'!$FO$26:$FU$26,1,AX316)*INDEX('Lease Cycles'!$EM$26:$ES$26,1,AX316)+'Lease Cycles'!$BE$26*IF(AX317&lt;INDEX('Lease Cycles'!$FA$26:$FG$26,1,AX316),0,1-INDEX('Lease Cycles'!$EM$26:$ES$26,1,AX316)),IF(OR(INDEX('Lease Cycles'!$DY$26:$EE$26,1,AX316)=1,AX317&gt;0),1,1-INDEX('Lease Cycles'!$DD$26:$DJ$26,1,AX316))*('Lease Cycles'!$AJ$26*INDEX('Lease Cycles'!$FO$26:$FU$26,1,AX316)+'Lease Cycles'!$BE$26*(1-INDEX('Lease Cycles'!$FO$26:$FU$26,1,AX316)))),0)</f>
        <v>0</v>
      </c>
      <c r="AY326" s="24">
        <f>IF(AY318=1,'Lease Cycles'!$D$26*IF(INDEX('Lease Cycles'!$EF$26:$EL$26,1,AY316)=1,'Lease Cycles'!$AJ$26*INDEX('Lease Cycles'!$FO$26:$FU$26,1,AY316)*INDEX('Lease Cycles'!$EM$26:$ES$26,1,AY316)+'Lease Cycles'!$BE$26*IF(AY317&lt;INDEX('Lease Cycles'!$FA$26:$FG$26,1,AY316),0,1-INDEX('Lease Cycles'!$EM$26:$ES$26,1,AY316)),IF(OR(INDEX('Lease Cycles'!$DY$26:$EE$26,1,AY316)=1,AY317&gt;0),1,1-INDEX('Lease Cycles'!$DD$26:$DJ$26,1,AY316))*('Lease Cycles'!$AJ$26*INDEX('Lease Cycles'!$FO$26:$FU$26,1,AY316)+'Lease Cycles'!$BE$26*(1-INDEX('Lease Cycles'!$FO$26:$FU$26,1,AY316)))),0)</f>
        <v>0</v>
      </c>
      <c r="AZ326" s="24">
        <f>IF(AZ318=1,'Lease Cycles'!$D$26*IF(INDEX('Lease Cycles'!$EF$26:$EL$26,1,AZ316)=1,'Lease Cycles'!$AJ$26*INDEX('Lease Cycles'!$FO$26:$FU$26,1,AZ316)*INDEX('Lease Cycles'!$EM$26:$ES$26,1,AZ316)+'Lease Cycles'!$BE$26*IF(AZ317&lt;INDEX('Lease Cycles'!$FA$26:$FG$26,1,AZ316),0,1-INDEX('Lease Cycles'!$EM$26:$ES$26,1,AZ316)),IF(OR(INDEX('Lease Cycles'!$DY$26:$EE$26,1,AZ316)=1,AZ317&gt;0),1,1-INDEX('Lease Cycles'!$DD$26:$DJ$26,1,AZ316))*('Lease Cycles'!$AJ$26*INDEX('Lease Cycles'!$FO$26:$FU$26,1,AZ316)+'Lease Cycles'!$BE$26*(1-INDEX('Lease Cycles'!$FO$26:$FU$26,1,AZ316)))),0)</f>
        <v>0</v>
      </c>
      <c r="BA326" s="24">
        <f>IF(BA318=1,'Lease Cycles'!$D$26*IF(INDEX('Lease Cycles'!$EF$26:$EL$26,1,BA316)=1,'Lease Cycles'!$AJ$26*INDEX('Lease Cycles'!$FO$26:$FU$26,1,BA316)*INDEX('Lease Cycles'!$EM$26:$ES$26,1,BA316)+'Lease Cycles'!$BE$26*IF(BA317&lt;INDEX('Lease Cycles'!$FA$26:$FG$26,1,BA316),0,1-INDEX('Lease Cycles'!$EM$26:$ES$26,1,BA316)),IF(OR(INDEX('Lease Cycles'!$DY$26:$EE$26,1,BA316)=1,BA317&gt;0),1,1-INDEX('Lease Cycles'!$DD$26:$DJ$26,1,BA316))*('Lease Cycles'!$AJ$26*INDEX('Lease Cycles'!$FO$26:$FU$26,1,BA316)+'Lease Cycles'!$BE$26*(1-INDEX('Lease Cycles'!$FO$26:$FU$26,1,BA316)))),0)</f>
        <v>0</v>
      </c>
      <c r="BB326" s="24">
        <f>IF(BB318=1,'Lease Cycles'!$D$26*IF(INDEX('Lease Cycles'!$EF$26:$EL$26,1,BB316)=1,'Lease Cycles'!$AJ$26*INDEX('Lease Cycles'!$FO$26:$FU$26,1,BB316)*INDEX('Lease Cycles'!$EM$26:$ES$26,1,BB316)+'Lease Cycles'!$BE$26*IF(BB317&lt;INDEX('Lease Cycles'!$FA$26:$FG$26,1,BB316),0,1-INDEX('Lease Cycles'!$EM$26:$ES$26,1,BB316)),IF(OR(INDEX('Lease Cycles'!$DY$26:$EE$26,1,BB316)=1,BB317&gt;0),1,1-INDEX('Lease Cycles'!$DD$26:$DJ$26,1,BB316))*('Lease Cycles'!$AJ$26*INDEX('Lease Cycles'!$FO$26:$FU$26,1,BB316)+'Lease Cycles'!$BE$26*(1-INDEX('Lease Cycles'!$FO$26:$FU$26,1,BB316)))),0)</f>
        <v>0</v>
      </c>
      <c r="BC326" s="24">
        <f>IF(BC318=1,'Lease Cycles'!$D$26*IF(INDEX('Lease Cycles'!$EF$26:$EL$26,1,BC316)=1,'Lease Cycles'!$AJ$26*INDEX('Lease Cycles'!$FO$26:$FU$26,1,BC316)*INDEX('Lease Cycles'!$EM$26:$ES$26,1,BC316)+'Lease Cycles'!$BE$26*IF(BC317&lt;INDEX('Lease Cycles'!$FA$26:$FG$26,1,BC316),0,1-INDEX('Lease Cycles'!$EM$26:$ES$26,1,BC316)),IF(OR(INDEX('Lease Cycles'!$DY$26:$EE$26,1,BC316)=1,BC317&gt;0),1,1-INDEX('Lease Cycles'!$DD$26:$DJ$26,1,BC316))*('Lease Cycles'!$AJ$26*INDEX('Lease Cycles'!$FO$26:$FU$26,1,BC316)+'Lease Cycles'!$BE$26*(1-INDEX('Lease Cycles'!$FO$26:$FU$26,1,BC316)))),0)</f>
        <v>0</v>
      </c>
      <c r="BD326" s="24">
        <f>IF(BD318=1,'Lease Cycles'!$D$26*IF(INDEX('Lease Cycles'!$EF$26:$EL$26,1,BD316)=1,'Lease Cycles'!$AJ$26*INDEX('Lease Cycles'!$FO$26:$FU$26,1,BD316)*INDEX('Lease Cycles'!$EM$26:$ES$26,1,BD316)+'Lease Cycles'!$BE$26*IF(BD317&lt;INDEX('Lease Cycles'!$FA$26:$FG$26,1,BD316),0,1-INDEX('Lease Cycles'!$EM$26:$ES$26,1,BD316)),IF(OR(INDEX('Lease Cycles'!$DY$26:$EE$26,1,BD316)=1,BD317&gt;0),1,1-INDEX('Lease Cycles'!$DD$26:$DJ$26,1,BD316))*('Lease Cycles'!$AJ$26*INDEX('Lease Cycles'!$FO$26:$FU$26,1,BD316)+'Lease Cycles'!$BE$26*(1-INDEX('Lease Cycles'!$FO$26:$FU$26,1,BD316)))),0)</f>
        <v>0</v>
      </c>
      <c r="BE326" s="24">
        <f>IF(BE318=1,'Lease Cycles'!$D$26*IF(INDEX('Lease Cycles'!$EF$26:$EL$26,1,BE316)=1,'Lease Cycles'!$AJ$26*INDEX('Lease Cycles'!$FO$26:$FU$26,1,BE316)*INDEX('Lease Cycles'!$EM$26:$ES$26,1,BE316)+'Lease Cycles'!$BE$26*IF(BE317&lt;INDEX('Lease Cycles'!$FA$26:$FG$26,1,BE316),0,1-INDEX('Lease Cycles'!$EM$26:$ES$26,1,BE316)),IF(OR(INDEX('Lease Cycles'!$DY$26:$EE$26,1,BE316)=1,BE317&gt;0),1,1-INDEX('Lease Cycles'!$DD$26:$DJ$26,1,BE316))*('Lease Cycles'!$AJ$26*INDEX('Lease Cycles'!$FO$26:$FU$26,1,BE316)+'Lease Cycles'!$BE$26*(1-INDEX('Lease Cycles'!$FO$26:$FU$26,1,BE316)))),0)</f>
        <v>0</v>
      </c>
      <c r="BF326" s="24">
        <f>IF(BF318=1,'Lease Cycles'!$D$26*IF(INDEX('Lease Cycles'!$EF$26:$EL$26,1,BF316)=1,'Lease Cycles'!$AJ$26*INDEX('Lease Cycles'!$FO$26:$FU$26,1,BF316)*INDEX('Lease Cycles'!$EM$26:$ES$26,1,BF316)+'Lease Cycles'!$BE$26*IF(BF317&lt;INDEX('Lease Cycles'!$FA$26:$FG$26,1,BF316),0,1-INDEX('Lease Cycles'!$EM$26:$ES$26,1,BF316)),IF(OR(INDEX('Lease Cycles'!$DY$26:$EE$26,1,BF316)=1,BF317&gt;0),1,1-INDEX('Lease Cycles'!$DD$26:$DJ$26,1,BF316))*('Lease Cycles'!$AJ$26*INDEX('Lease Cycles'!$FO$26:$FU$26,1,BF316)+'Lease Cycles'!$BE$26*(1-INDEX('Lease Cycles'!$FO$26:$FU$26,1,BF316)))),0)</f>
        <v>0</v>
      </c>
      <c r="BG326" s="24">
        <f>IF(BG318=1,'Lease Cycles'!$D$26*IF(INDEX('Lease Cycles'!$EF$26:$EL$26,1,BG316)=1,'Lease Cycles'!$AJ$26*INDEX('Lease Cycles'!$FO$26:$FU$26,1,BG316)*INDEX('Lease Cycles'!$EM$26:$ES$26,1,BG316)+'Lease Cycles'!$BE$26*IF(BG317&lt;INDEX('Lease Cycles'!$FA$26:$FG$26,1,BG316),0,1-INDEX('Lease Cycles'!$EM$26:$ES$26,1,BG316)),IF(OR(INDEX('Lease Cycles'!$DY$26:$EE$26,1,BG316)=1,BG317&gt;0),1,1-INDEX('Lease Cycles'!$DD$26:$DJ$26,1,BG316))*('Lease Cycles'!$AJ$26*INDEX('Lease Cycles'!$FO$26:$FU$26,1,BG316)+'Lease Cycles'!$BE$26*(1-INDEX('Lease Cycles'!$FO$26:$FU$26,1,BG316)))),0)</f>
        <v>0</v>
      </c>
      <c r="BH326" s="24">
        <f>IF(BH318=1,'Lease Cycles'!$D$26*IF(INDEX('Lease Cycles'!$EF$26:$EL$26,1,BH316)=1,'Lease Cycles'!$AJ$26*INDEX('Lease Cycles'!$FO$26:$FU$26,1,BH316)*INDEX('Lease Cycles'!$EM$26:$ES$26,1,BH316)+'Lease Cycles'!$BE$26*IF(BH317&lt;INDEX('Lease Cycles'!$FA$26:$FG$26,1,BH316),0,1-INDEX('Lease Cycles'!$EM$26:$ES$26,1,BH316)),IF(OR(INDEX('Lease Cycles'!$DY$26:$EE$26,1,BH316)=1,BH317&gt;0),1,1-INDEX('Lease Cycles'!$DD$26:$DJ$26,1,BH316))*('Lease Cycles'!$AJ$26*INDEX('Lease Cycles'!$FO$26:$FU$26,1,BH316)+'Lease Cycles'!$BE$26*(1-INDEX('Lease Cycles'!$FO$26:$FU$26,1,BH316)))),0)</f>
        <v>0</v>
      </c>
      <c r="BI326" s="24">
        <f>IF(BI318=1,'Lease Cycles'!$D$26*IF(INDEX('Lease Cycles'!$EF$26:$EL$26,1,BI316)=1,'Lease Cycles'!$AJ$26*INDEX('Lease Cycles'!$FO$26:$FU$26,1,BI316)*INDEX('Lease Cycles'!$EM$26:$ES$26,1,BI316)+'Lease Cycles'!$BE$26*IF(BI317&lt;INDEX('Lease Cycles'!$FA$26:$FG$26,1,BI316),0,1-INDEX('Lease Cycles'!$EM$26:$ES$26,1,BI316)),IF(OR(INDEX('Lease Cycles'!$DY$26:$EE$26,1,BI316)=1,BI317&gt;0),1,1-INDEX('Lease Cycles'!$DD$26:$DJ$26,1,BI316))*('Lease Cycles'!$AJ$26*INDEX('Lease Cycles'!$FO$26:$FU$26,1,BI316)+'Lease Cycles'!$BE$26*(1-INDEX('Lease Cycles'!$FO$26:$FU$26,1,BI316)))),0)</f>
        <v>0</v>
      </c>
      <c r="BJ326" s="24">
        <f>IF(BJ318=1,'Lease Cycles'!$D$26*IF(INDEX('Lease Cycles'!$EF$26:$EL$26,1,BJ316)=1,'Lease Cycles'!$AJ$26*INDEX('Lease Cycles'!$FO$26:$FU$26,1,BJ316)*INDEX('Lease Cycles'!$EM$26:$ES$26,1,BJ316)+'Lease Cycles'!$BE$26*IF(BJ317&lt;INDEX('Lease Cycles'!$FA$26:$FG$26,1,BJ316),0,1-INDEX('Lease Cycles'!$EM$26:$ES$26,1,BJ316)),IF(OR(INDEX('Lease Cycles'!$DY$26:$EE$26,1,BJ316)=1,BJ317&gt;0),1,1-INDEX('Lease Cycles'!$DD$26:$DJ$26,1,BJ316))*('Lease Cycles'!$AJ$26*INDEX('Lease Cycles'!$FO$26:$FU$26,1,BJ316)+'Lease Cycles'!$BE$26*(1-INDEX('Lease Cycles'!$FO$26:$FU$26,1,BJ316)))),0)</f>
        <v>0</v>
      </c>
      <c r="BK326" s="24">
        <f>IF(BK318=1,'Lease Cycles'!$D$26*IF(INDEX('Lease Cycles'!$EF$26:$EL$26,1,BK316)=1,'Lease Cycles'!$AJ$26*INDEX('Lease Cycles'!$FO$26:$FU$26,1,BK316)*INDEX('Lease Cycles'!$EM$26:$ES$26,1,BK316)+'Lease Cycles'!$BE$26*IF(BK317&lt;INDEX('Lease Cycles'!$FA$26:$FG$26,1,BK316),0,1-INDEX('Lease Cycles'!$EM$26:$ES$26,1,BK316)),IF(OR(INDEX('Lease Cycles'!$DY$26:$EE$26,1,BK316)=1,BK317&gt;0),1,1-INDEX('Lease Cycles'!$DD$26:$DJ$26,1,BK316))*('Lease Cycles'!$AJ$26*INDEX('Lease Cycles'!$FO$26:$FU$26,1,BK316)+'Lease Cycles'!$BE$26*(1-INDEX('Lease Cycles'!$FO$26:$FU$26,1,BK316)))),0)</f>
        <v>0</v>
      </c>
      <c r="BL326" s="24">
        <f>IF(BL318=1,'Lease Cycles'!$D$26*IF(INDEX('Lease Cycles'!$EF$26:$EL$26,1,BL316)=1,'Lease Cycles'!$AJ$26*INDEX('Lease Cycles'!$FO$26:$FU$26,1,BL316)*INDEX('Lease Cycles'!$EM$26:$ES$26,1,BL316)+'Lease Cycles'!$BE$26*IF(BL317&lt;INDEX('Lease Cycles'!$FA$26:$FG$26,1,BL316),0,1-INDEX('Lease Cycles'!$EM$26:$ES$26,1,BL316)),IF(OR(INDEX('Lease Cycles'!$DY$26:$EE$26,1,BL316)=1,BL317&gt;0),1,1-INDEX('Lease Cycles'!$DD$26:$DJ$26,1,BL316))*('Lease Cycles'!$AJ$26*INDEX('Lease Cycles'!$FO$26:$FU$26,1,BL316)+'Lease Cycles'!$BE$26*(1-INDEX('Lease Cycles'!$FO$26:$FU$26,1,BL316)))),0)</f>
        <v>0</v>
      </c>
      <c r="BM326" s="24">
        <f>IF(BM318=1,'Lease Cycles'!$D$26*IF(INDEX('Lease Cycles'!$EF$26:$EL$26,1,BM316)=1,'Lease Cycles'!$AJ$26*INDEX('Lease Cycles'!$FO$26:$FU$26,1,BM316)*INDEX('Lease Cycles'!$EM$26:$ES$26,1,BM316)+'Lease Cycles'!$BE$26*IF(BM317&lt;INDEX('Lease Cycles'!$FA$26:$FG$26,1,BM316),0,1-INDEX('Lease Cycles'!$EM$26:$ES$26,1,BM316)),IF(OR(INDEX('Lease Cycles'!$DY$26:$EE$26,1,BM316)=1,BM317&gt;0),1,1-INDEX('Lease Cycles'!$DD$26:$DJ$26,1,BM316))*('Lease Cycles'!$AJ$26*INDEX('Lease Cycles'!$FO$26:$FU$26,1,BM316)+'Lease Cycles'!$BE$26*(1-INDEX('Lease Cycles'!$FO$26:$FU$26,1,BM316)))),0)</f>
        <v>0</v>
      </c>
      <c r="BN326" s="24">
        <f>IF(BN318=1,'Lease Cycles'!$D$26*IF(INDEX('Lease Cycles'!$EF$26:$EL$26,1,BN316)=1,'Lease Cycles'!$AJ$26*INDEX('Lease Cycles'!$FO$26:$FU$26,1,BN316)*INDEX('Lease Cycles'!$EM$26:$ES$26,1,BN316)+'Lease Cycles'!$BE$26*IF(BN317&lt;INDEX('Lease Cycles'!$FA$26:$FG$26,1,BN316),0,1-INDEX('Lease Cycles'!$EM$26:$ES$26,1,BN316)),IF(OR(INDEX('Lease Cycles'!$DY$26:$EE$26,1,BN316)=1,BN317&gt;0),1,1-INDEX('Lease Cycles'!$DD$26:$DJ$26,1,BN316))*('Lease Cycles'!$AJ$26*INDEX('Lease Cycles'!$FO$26:$FU$26,1,BN316)+'Lease Cycles'!$BE$26*(1-INDEX('Lease Cycles'!$FO$26:$FU$26,1,BN316)))),0)</f>
        <v>0</v>
      </c>
      <c r="BO326" s="24">
        <f>IF(BO318=1,'Lease Cycles'!$D$26*IF(INDEX('Lease Cycles'!$EF$26:$EL$26,1,BO316)=1,'Lease Cycles'!$AJ$26*INDEX('Lease Cycles'!$FO$26:$FU$26,1,BO316)*INDEX('Lease Cycles'!$EM$26:$ES$26,1,BO316)+'Lease Cycles'!$BE$26*IF(BO317&lt;INDEX('Lease Cycles'!$FA$26:$FG$26,1,BO316),0,1-INDEX('Lease Cycles'!$EM$26:$ES$26,1,BO316)),IF(OR(INDEX('Lease Cycles'!$DY$26:$EE$26,1,BO316)=1,BO317&gt;0),1,1-INDEX('Lease Cycles'!$DD$26:$DJ$26,1,BO316))*('Lease Cycles'!$AJ$26*INDEX('Lease Cycles'!$FO$26:$FU$26,1,BO316)+'Lease Cycles'!$BE$26*(1-INDEX('Lease Cycles'!$FO$26:$FU$26,1,BO316)))),0)</f>
        <v>0</v>
      </c>
      <c r="BP326" s="24">
        <f>IF(BP318=1,'Lease Cycles'!$D$26*IF(INDEX('Lease Cycles'!$EF$26:$EL$26,1,BP316)=1,'Lease Cycles'!$AJ$26*INDEX('Lease Cycles'!$FO$26:$FU$26,1,BP316)*INDEX('Lease Cycles'!$EM$26:$ES$26,1,BP316)+'Lease Cycles'!$BE$26*IF(BP317&lt;INDEX('Lease Cycles'!$FA$26:$FG$26,1,BP316),0,1-INDEX('Lease Cycles'!$EM$26:$ES$26,1,BP316)),IF(OR(INDEX('Lease Cycles'!$DY$26:$EE$26,1,BP316)=1,BP317&gt;0),1,1-INDEX('Lease Cycles'!$DD$26:$DJ$26,1,BP316))*('Lease Cycles'!$AJ$26*INDEX('Lease Cycles'!$FO$26:$FU$26,1,BP316)+'Lease Cycles'!$BE$26*(1-INDEX('Lease Cycles'!$FO$26:$FU$26,1,BP316)))),0)</f>
        <v>0</v>
      </c>
      <c r="BQ326" s="24">
        <f>IF(BQ318=1,'Lease Cycles'!$D$26*IF(INDEX('Lease Cycles'!$EF$26:$EL$26,1,BQ316)=1,'Lease Cycles'!$AJ$26*INDEX('Lease Cycles'!$FO$26:$FU$26,1,BQ316)*INDEX('Lease Cycles'!$EM$26:$ES$26,1,BQ316)+'Lease Cycles'!$BE$26*IF(BQ317&lt;INDEX('Lease Cycles'!$FA$26:$FG$26,1,BQ316),0,1-INDEX('Lease Cycles'!$EM$26:$ES$26,1,BQ316)),IF(OR(INDEX('Lease Cycles'!$DY$26:$EE$26,1,BQ316)=1,BQ317&gt;0),1,1-INDEX('Lease Cycles'!$DD$26:$DJ$26,1,BQ316))*('Lease Cycles'!$AJ$26*INDEX('Lease Cycles'!$FO$26:$FU$26,1,BQ316)+'Lease Cycles'!$BE$26*(1-INDEX('Lease Cycles'!$FO$26:$FU$26,1,BQ316)))),0)</f>
        <v>0</v>
      </c>
      <c r="BR326" s="24">
        <f>IF(BR318=1,'Lease Cycles'!$D$26*IF(INDEX('Lease Cycles'!$EF$26:$EL$26,1,BR316)=1,'Lease Cycles'!$AJ$26*INDEX('Lease Cycles'!$FO$26:$FU$26,1,BR316)*INDEX('Lease Cycles'!$EM$26:$ES$26,1,BR316)+'Lease Cycles'!$BE$26*IF(BR317&lt;INDEX('Lease Cycles'!$FA$26:$FG$26,1,BR316),0,1-INDEX('Lease Cycles'!$EM$26:$ES$26,1,BR316)),IF(OR(INDEX('Lease Cycles'!$DY$26:$EE$26,1,BR316)=1,BR317&gt;0),1,1-INDEX('Lease Cycles'!$DD$26:$DJ$26,1,BR316))*('Lease Cycles'!$AJ$26*INDEX('Lease Cycles'!$FO$26:$FU$26,1,BR316)+'Lease Cycles'!$BE$26*(1-INDEX('Lease Cycles'!$FO$26:$FU$26,1,BR316)))),0)</f>
        <v>0</v>
      </c>
      <c r="BS326" s="24">
        <f>IF(BS318=1,'Lease Cycles'!$D$26*IF(INDEX('Lease Cycles'!$EF$26:$EL$26,1,BS316)=1,'Lease Cycles'!$AJ$26*INDEX('Lease Cycles'!$FO$26:$FU$26,1,BS316)*INDEX('Lease Cycles'!$EM$26:$ES$26,1,BS316)+'Lease Cycles'!$BE$26*IF(BS317&lt;INDEX('Lease Cycles'!$FA$26:$FG$26,1,BS316),0,1-INDEX('Lease Cycles'!$EM$26:$ES$26,1,BS316)),IF(OR(INDEX('Lease Cycles'!$DY$26:$EE$26,1,BS316)=1,BS317&gt;0),1,1-INDEX('Lease Cycles'!$DD$26:$DJ$26,1,BS316))*('Lease Cycles'!$AJ$26*INDEX('Lease Cycles'!$FO$26:$FU$26,1,BS316)+'Lease Cycles'!$BE$26*(1-INDEX('Lease Cycles'!$FO$26:$FU$26,1,BS316)))),0)</f>
        <v>0</v>
      </c>
      <c r="BT326" s="24">
        <f>IF(BT318=1,'Lease Cycles'!$D$26*IF(INDEX('Lease Cycles'!$EF$26:$EL$26,1,BT316)=1,'Lease Cycles'!$AJ$26*INDEX('Lease Cycles'!$FO$26:$FU$26,1,BT316)*INDEX('Lease Cycles'!$EM$26:$ES$26,1,BT316)+'Lease Cycles'!$BE$26*IF(BT317&lt;INDEX('Lease Cycles'!$FA$26:$FG$26,1,BT316),0,1-INDEX('Lease Cycles'!$EM$26:$ES$26,1,BT316)),IF(OR(INDEX('Lease Cycles'!$DY$26:$EE$26,1,BT316)=1,BT317&gt;0),1,1-INDEX('Lease Cycles'!$DD$26:$DJ$26,1,BT316))*('Lease Cycles'!$AJ$26*INDEX('Lease Cycles'!$FO$26:$FU$26,1,BT316)+'Lease Cycles'!$BE$26*(1-INDEX('Lease Cycles'!$FO$26:$FU$26,1,BT316)))),0)</f>
        <v>0</v>
      </c>
      <c r="BU326" s="24">
        <f>IF(BU318=1,'Lease Cycles'!$D$26*IF(INDEX('Lease Cycles'!$EF$26:$EL$26,1,BU316)=1,'Lease Cycles'!$AJ$26*INDEX('Lease Cycles'!$FO$26:$FU$26,1,BU316)*INDEX('Lease Cycles'!$EM$26:$ES$26,1,BU316)+'Lease Cycles'!$BE$26*IF(BU317&lt;INDEX('Lease Cycles'!$FA$26:$FG$26,1,BU316),0,1-INDEX('Lease Cycles'!$EM$26:$ES$26,1,BU316)),IF(OR(INDEX('Lease Cycles'!$DY$26:$EE$26,1,BU316)=1,BU317&gt;0),1,1-INDEX('Lease Cycles'!$DD$26:$DJ$26,1,BU316))*('Lease Cycles'!$AJ$26*INDEX('Lease Cycles'!$FO$26:$FU$26,1,BU316)+'Lease Cycles'!$BE$26*(1-INDEX('Lease Cycles'!$FO$26:$FU$26,1,BU316)))),0)</f>
        <v>0</v>
      </c>
      <c r="BV326" s="24">
        <f>IF(BV318=1,'Lease Cycles'!$D$26*IF(INDEX('Lease Cycles'!$EF$26:$EL$26,1,BV316)=1,'Lease Cycles'!$AJ$26*INDEX('Lease Cycles'!$FO$26:$FU$26,1,BV316)*INDEX('Lease Cycles'!$EM$26:$ES$26,1,BV316)+'Lease Cycles'!$BE$26*IF(BV317&lt;INDEX('Lease Cycles'!$FA$26:$FG$26,1,BV316),0,1-INDEX('Lease Cycles'!$EM$26:$ES$26,1,BV316)),IF(OR(INDEX('Lease Cycles'!$DY$26:$EE$26,1,BV316)=1,BV317&gt;0),1,1-INDEX('Lease Cycles'!$DD$26:$DJ$26,1,BV316))*('Lease Cycles'!$AJ$26*INDEX('Lease Cycles'!$FO$26:$FU$26,1,BV316)+'Lease Cycles'!$BE$26*(1-INDEX('Lease Cycles'!$FO$26:$FU$26,1,BV316)))),0)</f>
        <v>0</v>
      </c>
      <c r="BW326" s="24">
        <f>IF(BW318=1,'Lease Cycles'!$D$26*IF(INDEX('Lease Cycles'!$EF$26:$EL$26,1,BW316)=1,'Lease Cycles'!$AJ$26*INDEX('Lease Cycles'!$FO$26:$FU$26,1,BW316)*INDEX('Lease Cycles'!$EM$26:$ES$26,1,BW316)+'Lease Cycles'!$BE$26*IF(BW317&lt;INDEX('Lease Cycles'!$FA$26:$FG$26,1,BW316),0,1-INDEX('Lease Cycles'!$EM$26:$ES$26,1,BW316)),IF(OR(INDEX('Lease Cycles'!$DY$26:$EE$26,1,BW316)=1,BW317&gt;0),1,1-INDEX('Lease Cycles'!$DD$26:$DJ$26,1,BW316))*('Lease Cycles'!$AJ$26*INDEX('Lease Cycles'!$FO$26:$FU$26,1,BW316)+'Lease Cycles'!$BE$26*(1-INDEX('Lease Cycles'!$FO$26:$FU$26,1,BW316)))),0)</f>
        <v>0</v>
      </c>
      <c r="BX326" s="24">
        <f>IF(BX318=1,'Lease Cycles'!$D$26*IF(INDEX('Lease Cycles'!$EF$26:$EL$26,1,BX316)=1,'Lease Cycles'!$AJ$26*INDEX('Lease Cycles'!$FO$26:$FU$26,1,BX316)*INDEX('Lease Cycles'!$EM$26:$ES$26,1,BX316)+'Lease Cycles'!$BE$26*IF(BX317&lt;INDEX('Lease Cycles'!$FA$26:$FG$26,1,BX316),0,1-INDEX('Lease Cycles'!$EM$26:$ES$26,1,BX316)),IF(OR(INDEX('Lease Cycles'!$DY$26:$EE$26,1,BX316)=1,BX317&gt;0),1,1-INDEX('Lease Cycles'!$DD$26:$DJ$26,1,BX316))*('Lease Cycles'!$AJ$26*INDEX('Lease Cycles'!$FO$26:$FU$26,1,BX316)+'Lease Cycles'!$BE$26*(1-INDEX('Lease Cycles'!$FO$26:$FU$26,1,BX316)))),0)</f>
        <v>0</v>
      </c>
      <c r="BY326" s="24">
        <f>IF(BY318=1,'Lease Cycles'!$D$26*IF(INDEX('Lease Cycles'!$EF$26:$EL$26,1,BY316)=1,'Lease Cycles'!$AJ$26*INDEX('Lease Cycles'!$FO$26:$FU$26,1,BY316)*INDEX('Lease Cycles'!$EM$26:$ES$26,1,BY316)+'Lease Cycles'!$BE$26*IF(BY317&lt;INDEX('Lease Cycles'!$FA$26:$FG$26,1,BY316),0,1-INDEX('Lease Cycles'!$EM$26:$ES$26,1,BY316)),IF(OR(INDEX('Lease Cycles'!$DY$26:$EE$26,1,BY316)=1,BY317&gt;0),1,1-INDEX('Lease Cycles'!$DD$26:$DJ$26,1,BY316))*('Lease Cycles'!$AJ$26*INDEX('Lease Cycles'!$FO$26:$FU$26,1,BY316)+'Lease Cycles'!$BE$26*(1-INDEX('Lease Cycles'!$FO$26:$FU$26,1,BY316)))),0)</f>
        <v>0</v>
      </c>
      <c r="BZ326" s="24">
        <f>IF(BZ318=1,'Lease Cycles'!$D$26*IF(INDEX('Lease Cycles'!$EF$26:$EL$26,1,BZ316)=1,'Lease Cycles'!$AJ$26*INDEX('Lease Cycles'!$FO$26:$FU$26,1,BZ316)*INDEX('Lease Cycles'!$EM$26:$ES$26,1,BZ316)+'Lease Cycles'!$BE$26*IF(BZ317&lt;INDEX('Lease Cycles'!$FA$26:$FG$26,1,BZ316),0,1-INDEX('Lease Cycles'!$EM$26:$ES$26,1,BZ316)),IF(OR(INDEX('Lease Cycles'!$DY$26:$EE$26,1,BZ316)=1,BZ317&gt;0),1,1-INDEX('Lease Cycles'!$DD$26:$DJ$26,1,BZ316))*('Lease Cycles'!$AJ$26*INDEX('Lease Cycles'!$FO$26:$FU$26,1,BZ316)+'Lease Cycles'!$BE$26*(1-INDEX('Lease Cycles'!$FO$26:$FU$26,1,BZ316)))),0)</f>
        <v>0</v>
      </c>
      <c r="CA326" s="24">
        <f>IF(CA318=1,'Lease Cycles'!$D$26*IF(INDEX('Lease Cycles'!$EF$26:$EL$26,1,CA316)=1,'Lease Cycles'!$AJ$26*INDEX('Lease Cycles'!$FO$26:$FU$26,1,CA316)*INDEX('Lease Cycles'!$EM$26:$ES$26,1,CA316)+'Lease Cycles'!$BE$26*IF(CA317&lt;INDEX('Lease Cycles'!$FA$26:$FG$26,1,CA316),0,1-INDEX('Lease Cycles'!$EM$26:$ES$26,1,CA316)),IF(OR(INDEX('Lease Cycles'!$DY$26:$EE$26,1,CA316)=1,CA317&gt;0),1,1-INDEX('Lease Cycles'!$DD$26:$DJ$26,1,CA316))*('Lease Cycles'!$AJ$26*INDEX('Lease Cycles'!$FO$26:$FU$26,1,CA316)+'Lease Cycles'!$BE$26*(1-INDEX('Lease Cycles'!$FO$26:$FU$26,1,CA316)))),0)</f>
        <v>0</v>
      </c>
      <c r="CB326" s="24">
        <f>IF(CB318=1,'Lease Cycles'!$D$26*IF(INDEX('Lease Cycles'!$EF$26:$EL$26,1,CB316)=1,'Lease Cycles'!$AJ$26*INDEX('Lease Cycles'!$FO$26:$FU$26,1,CB316)*INDEX('Lease Cycles'!$EM$26:$ES$26,1,CB316)+'Lease Cycles'!$BE$26*IF(CB317&lt;INDEX('Lease Cycles'!$FA$26:$FG$26,1,CB316),0,1-INDEX('Lease Cycles'!$EM$26:$ES$26,1,CB316)),IF(OR(INDEX('Lease Cycles'!$DY$26:$EE$26,1,CB316)=1,CB317&gt;0),1,1-INDEX('Lease Cycles'!$DD$26:$DJ$26,1,CB316))*('Lease Cycles'!$AJ$26*INDEX('Lease Cycles'!$FO$26:$FU$26,1,CB316)+'Lease Cycles'!$BE$26*(1-INDEX('Lease Cycles'!$FO$26:$FU$26,1,CB316)))),0)</f>
        <v>0</v>
      </c>
      <c r="CC326" s="24">
        <f>IF(CC318=1,'Lease Cycles'!$D$26*IF(INDEX('Lease Cycles'!$EF$26:$EL$26,1,CC316)=1,'Lease Cycles'!$AJ$26*INDEX('Lease Cycles'!$FO$26:$FU$26,1,CC316)*INDEX('Lease Cycles'!$EM$26:$ES$26,1,CC316)+'Lease Cycles'!$BE$26*IF(CC317&lt;INDEX('Lease Cycles'!$FA$26:$FG$26,1,CC316),0,1-INDEX('Lease Cycles'!$EM$26:$ES$26,1,CC316)),IF(OR(INDEX('Lease Cycles'!$DY$26:$EE$26,1,CC316)=1,CC317&gt;0),1,1-INDEX('Lease Cycles'!$DD$26:$DJ$26,1,CC316))*('Lease Cycles'!$AJ$26*INDEX('Lease Cycles'!$FO$26:$FU$26,1,CC316)+'Lease Cycles'!$BE$26*(1-INDEX('Lease Cycles'!$FO$26:$FU$26,1,CC316)))),0)</f>
        <v>0</v>
      </c>
      <c r="CD326" s="24">
        <f>IF(CD318=1,'Lease Cycles'!$D$26*IF(INDEX('Lease Cycles'!$EF$26:$EL$26,1,CD316)=1,'Lease Cycles'!$AJ$26*INDEX('Lease Cycles'!$FO$26:$FU$26,1,CD316)*INDEX('Lease Cycles'!$EM$26:$ES$26,1,CD316)+'Lease Cycles'!$BE$26*IF(CD317&lt;INDEX('Lease Cycles'!$FA$26:$FG$26,1,CD316),0,1-INDEX('Lease Cycles'!$EM$26:$ES$26,1,CD316)),IF(OR(INDEX('Lease Cycles'!$DY$26:$EE$26,1,CD316)=1,CD317&gt;0),1,1-INDEX('Lease Cycles'!$DD$26:$DJ$26,1,CD316))*('Lease Cycles'!$AJ$26*INDEX('Lease Cycles'!$FO$26:$FU$26,1,CD316)+'Lease Cycles'!$BE$26*(1-INDEX('Lease Cycles'!$FO$26:$FU$26,1,CD316)))),0)</f>
        <v>0</v>
      </c>
      <c r="CE326" s="24">
        <f>IF(CE318=1,'Lease Cycles'!$D$26*IF(INDEX('Lease Cycles'!$EF$26:$EL$26,1,CE316)=1,'Lease Cycles'!$AJ$26*INDEX('Lease Cycles'!$FO$26:$FU$26,1,CE316)*INDEX('Lease Cycles'!$EM$26:$ES$26,1,CE316)+'Lease Cycles'!$BE$26*IF(CE317&lt;INDEX('Lease Cycles'!$FA$26:$FG$26,1,CE316),0,1-INDEX('Lease Cycles'!$EM$26:$ES$26,1,CE316)),IF(OR(INDEX('Lease Cycles'!$DY$26:$EE$26,1,CE316)=1,CE317&gt;0),1,1-INDEX('Lease Cycles'!$DD$26:$DJ$26,1,CE316))*('Lease Cycles'!$AJ$26*INDEX('Lease Cycles'!$FO$26:$FU$26,1,CE316)+'Lease Cycles'!$BE$26*(1-INDEX('Lease Cycles'!$FO$26:$FU$26,1,CE316)))),0)</f>
        <v>0</v>
      </c>
      <c r="CF326" s="24">
        <f>IF(CF318=1,'Lease Cycles'!$D$26*IF(INDEX('Lease Cycles'!$EF$26:$EL$26,1,CF316)=1,'Lease Cycles'!$AJ$26*INDEX('Lease Cycles'!$FO$26:$FU$26,1,CF316)*INDEX('Lease Cycles'!$EM$26:$ES$26,1,CF316)+'Lease Cycles'!$BE$26*IF(CF317&lt;INDEX('Lease Cycles'!$FA$26:$FG$26,1,CF316),0,1-INDEX('Lease Cycles'!$EM$26:$ES$26,1,CF316)),IF(OR(INDEX('Lease Cycles'!$DY$26:$EE$26,1,CF316)=1,CF317&gt;0),1,1-INDEX('Lease Cycles'!$DD$26:$DJ$26,1,CF316))*('Lease Cycles'!$AJ$26*INDEX('Lease Cycles'!$FO$26:$FU$26,1,CF316)+'Lease Cycles'!$BE$26*(1-INDEX('Lease Cycles'!$FO$26:$FU$26,1,CF316)))),0)</f>
        <v>0</v>
      </c>
      <c r="CG326" s="24">
        <f>IF(CG318=1,'Lease Cycles'!$D$26*IF(INDEX('Lease Cycles'!$EF$26:$EL$26,1,CG316)=1,'Lease Cycles'!$AJ$26*INDEX('Lease Cycles'!$FO$26:$FU$26,1,CG316)*INDEX('Lease Cycles'!$EM$26:$ES$26,1,CG316)+'Lease Cycles'!$BE$26*IF(CG317&lt;INDEX('Lease Cycles'!$FA$26:$FG$26,1,CG316),0,1-INDEX('Lease Cycles'!$EM$26:$ES$26,1,CG316)),IF(OR(INDEX('Lease Cycles'!$DY$26:$EE$26,1,CG316)=1,CG317&gt;0),1,1-INDEX('Lease Cycles'!$DD$26:$DJ$26,1,CG316))*('Lease Cycles'!$AJ$26*INDEX('Lease Cycles'!$FO$26:$FU$26,1,CG316)+'Lease Cycles'!$BE$26*(1-INDEX('Lease Cycles'!$FO$26:$FU$26,1,CG316)))),0)</f>
        <v>0</v>
      </c>
      <c r="CH326" s="24">
        <f>IF(CH318=1,'Lease Cycles'!$D$26*IF(INDEX('Lease Cycles'!$EF$26:$EL$26,1,CH316)=1,'Lease Cycles'!$AJ$26*INDEX('Lease Cycles'!$FO$26:$FU$26,1,CH316)*INDEX('Lease Cycles'!$EM$26:$ES$26,1,CH316)+'Lease Cycles'!$BE$26*IF(CH317&lt;INDEX('Lease Cycles'!$FA$26:$FG$26,1,CH316),0,1-INDEX('Lease Cycles'!$EM$26:$ES$26,1,CH316)),IF(OR(INDEX('Lease Cycles'!$DY$26:$EE$26,1,CH316)=1,CH317&gt;0),1,1-INDEX('Lease Cycles'!$DD$26:$DJ$26,1,CH316))*('Lease Cycles'!$AJ$26*INDEX('Lease Cycles'!$FO$26:$FU$26,1,CH316)+'Lease Cycles'!$BE$26*(1-INDEX('Lease Cycles'!$FO$26:$FU$26,1,CH316)))),0)</f>
        <v>0</v>
      </c>
      <c r="CI326" s="24">
        <f>IF(CI318=1,'Lease Cycles'!$D$26*IF(INDEX('Lease Cycles'!$EF$26:$EL$26,1,CI316)=1,'Lease Cycles'!$AJ$26*INDEX('Lease Cycles'!$FO$26:$FU$26,1,CI316)*INDEX('Lease Cycles'!$EM$26:$ES$26,1,CI316)+'Lease Cycles'!$BE$26*IF(CI317&lt;INDEX('Lease Cycles'!$FA$26:$FG$26,1,CI316),0,1-INDEX('Lease Cycles'!$EM$26:$ES$26,1,CI316)),IF(OR(INDEX('Lease Cycles'!$DY$26:$EE$26,1,CI316)=1,CI317&gt;0),1,1-INDEX('Lease Cycles'!$DD$26:$DJ$26,1,CI316))*('Lease Cycles'!$AJ$26*INDEX('Lease Cycles'!$FO$26:$FU$26,1,CI316)+'Lease Cycles'!$BE$26*(1-INDEX('Lease Cycles'!$FO$26:$FU$26,1,CI316)))),0)</f>
        <v>0</v>
      </c>
      <c r="CJ326" s="24">
        <f>IF(CJ318=1,'Lease Cycles'!$D$26*IF(INDEX('Lease Cycles'!$EF$26:$EL$26,1,CJ316)=1,'Lease Cycles'!$AJ$26*INDEX('Lease Cycles'!$FO$26:$FU$26,1,CJ316)*INDEX('Lease Cycles'!$EM$26:$ES$26,1,CJ316)+'Lease Cycles'!$BE$26*IF(CJ317&lt;INDEX('Lease Cycles'!$FA$26:$FG$26,1,CJ316),0,1-INDEX('Lease Cycles'!$EM$26:$ES$26,1,CJ316)),IF(OR(INDEX('Lease Cycles'!$DY$26:$EE$26,1,CJ316)=1,CJ317&gt;0),1,1-INDEX('Lease Cycles'!$DD$26:$DJ$26,1,CJ316))*('Lease Cycles'!$AJ$26*INDEX('Lease Cycles'!$FO$26:$FU$26,1,CJ316)+'Lease Cycles'!$BE$26*(1-INDEX('Lease Cycles'!$FO$26:$FU$26,1,CJ316)))),0)</f>
        <v>0</v>
      </c>
      <c r="CK326" s="24">
        <f>IF(CK318=1,'Lease Cycles'!$D$26*IF(INDEX('Lease Cycles'!$EF$26:$EL$26,1,CK316)=1,'Lease Cycles'!$AJ$26*INDEX('Lease Cycles'!$FO$26:$FU$26,1,CK316)*INDEX('Lease Cycles'!$EM$26:$ES$26,1,CK316)+'Lease Cycles'!$BE$26*IF(CK317&lt;INDEX('Lease Cycles'!$FA$26:$FG$26,1,CK316),0,1-INDEX('Lease Cycles'!$EM$26:$ES$26,1,CK316)),IF(OR(INDEX('Lease Cycles'!$DY$26:$EE$26,1,CK316)=1,CK317&gt;0),1,1-INDEX('Lease Cycles'!$DD$26:$DJ$26,1,CK316))*('Lease Cycles'!$AJ$26*INDEX('Lease Cycles'!$FO$26:$FU$26,1,CK316)+'Lease Cycles'!$BE$26*(1-INDEX('Lease Cycles'!$FO$26:$FU$26,1,CK316)))),0)</f>
        <v>0</v>
      </c>
      <c r="CL326" s="24">
        <f>IF(CL318=1,'Lease Cycles'!$D$26*IF(INDEX('Lease Cycles'!$EF$26:$EL$26,1,CL316)=1,'Lease Cycles'!$AJ$26*INDEX('Lease Cycles'!$FO$26:$FU$26,1,CL316)*INDEX('Lease Cycles'!$EM$26:$ES$26,1,CL316)+'Lease Cycles'!$BE$26*IF(CL317&lt;INDEX('Lease Cycles'!$FA$26:$FG$26,1,CL316),0,1-INDEX('Lease Cycles'!$EM$26:$ES$26,1,CL316)),IF(OR(INDEX('Lease Cycles'!$DY$26:$EE$26,1,CL316)=1,CL317&gt;0),1,1-INDEX('Lease Cycles'!$DD$26:$DJ$26,1,CL316))*('Lease Cycles'!$AJ$26*INDEX('Lease Cycles'!$FO$26:$FU$26,1,CL316)+'Lease Cycles'!$BE$26*(1-INDEX('Lease Cycles'!$FO$26:$FU$26,1,CL316)))),0)</f>
        <v>0</v>
      </c>
      <c r="CM326" s="24">
        <f>IF(CM318=1,'Lease Cycles'!$D$26*IF(INDEX('Lease Cycles'!$EF$26:$EL$26,1,CM316)=1,'Lease Cycles'!$AJ$26*INDEX('Lease Cycles'!$FO$26:$FU$26,1,CM316)*INDEX('Lease Cycles'!$EM$26:$ES$26,1,CM316)+'Lease Cycles'!$BE$26*IF(CM317&lt;INDEX('Lease Cycles'!$FA$26:$FG$26,1,CM316),0,1-INDEX('Lease Cycles'!$EM$26:$ES$26,1,CM316)),IF(OR(INDEX('Lease Cycles'!$DY$26:$EE$26,1,CM316)=1,CM317&gt;0),1,1-INDEX('Lease Cycles'!$DD$26:$DJ$26,1,CM316))*('Lease Cycles'!$AJ$26*INDEX('Lease Cycles'!$FO$26:$FU$26,1,CM316)+'Lease Cycles'!$BE$26*(1-INDEX('Lease Cycles'!$FO$26:$FU$26,1,CM316)))),0)</f>
        <v>0</v>
      </c>
      <c r="CN326" s="24">
        <f>IF(CN318=1,'Lease Cycles'!$D$26*IF(INDEX('Lease Cycles'!$EF$26:$EL$26,1,CN316)=1,'Lease Cycles'!$AJ$26*INDEX('Lease Cycles'!$FO$26:$FU$26,1,CN316)*INDEX('Lease Cycles'!$EM$26:$ES$26,1,CN316)+'Lease Cycles'!$BE$26*IF(CN317&lt;INDEX('Lease Cycles'!$FA$26:$FG$26,1,CN316),0,1-INDEX('Lease Cycles'!$EM$26:$ES$26,1,CN316)),IF(OR(INDEX('Lease Cycles'!$DY$26:$EE$26,1,CN316)=1,CN317&gt;0),1,1-INDEX('Lease Cycles'!$DD$26:$DJ$26,1,CN316))*('Lease Cycles'!$AJ$26*INDEX('Lease Cycles'!$FO$26:$FU$26,1,CN316)+'Lease Cycles'!$BE$26*(1-INDEX('Lease Cycles'!$FO$26:$FU$26,1,CN316)))),0)</f>
        <v>0</v>
      </c>
      <c r="CO326" s="24">
        <f>IF(CO318=1,'Lease Cycles'!$D$26*IF(INDEX('Lease Cycles'!$EF$26:$EL$26,1,CO316)=1,'Lease Cycles'!$AJ$26*INDEX('Lease Cycles'!$FO$26:$FU$26,1,CO316)*INDEX('Lease Cycles'!$EM$26:$ES$26,1,CO316)+'Lease Cycles'!$BE$26*IF(CO317&lt;INDEX('Lease Cycles'!$FA$26:$FG$26,1,CO316),0,1-INDEX('Lease Cycles'!$EM$26:$ES$26,1,CO316)),IF(OR(INDEX('Lease Cycles'!$DY$26:$EE$26,1,CO316)=1,CO317&gt;0),1,1-INDEX('Lease Cycles'!$DD$26:$DJ$26,1,CO316))*('Lease Cycles'!$AJ$26*INDEX('Lease Cycles'!$FO$26:$FU$26,1,CO316)+'Lease Cycles'!$BE$26*(1-INDEX('Lease Cycles'!$FO$26:$FU$26,1,CO316)))),0)</f>
        <v>0</v>
      </c>
      <c r="CP326" s="24">
        <f>IF(CP318=1,'Lease Cycles'!$D$26*IF(INDEX('Lease Cycles'!$EF$26:$EL$26,1,CP316)=1,'Lease Cycles'!$AJ$26*INDEX('Lease Cycles'!$FO$26:$FU$26,1,CP316)*INDEX('Lease Cycles'!$EM$26:$ES$26,1,CP316)+'Lease Cycles'!$BE$26*IF(CP317&lt;INDEX('Lease Cycles'!$FA$26:$FG$26,1,CP316),0,1-INDEX('Lease Cycles'!$EM$26:$ES$26,1,CP316)),IF(OR(INDEX('Lease Cycles'!$DY$26:$EE$26,1,CP316)=1,CP317&gt;0),1,1-INDEX('Lease Cycles'!$DD$26:$DJ$26,1,CP316))*('Lease Cycles'!$AJ$26*INDEX('Lease Cycles'!$FO$26:$FU$26,1,CP316)+'Lease Cycles'!$BE$26*(1-INDEX('Lease Cycles'!$FO$26:$FU$26,1,CP316)))),0)</f>
        <v>0</v>
      </c>
      <c r="CQ326" s="24">
        <f>IF(CQ318=1,'Lease Cycles'!$D$26*IF(INDEX('Lease Cycles'!$EF$26:$EL$26,1,CQ316)=1,'Lease Cycles'!$AJ$26*INDEX('Lease Cycles'!$FO$26:$FU$26,1,CQ316)*INDEX('Lease Cycles'!$EM$26:$ES$26,1,CQ316)+'Lease Cycles'!$BE$26*IF(CQ317&lt;INDEX('Lease Cycles'!$FA$26:$FG$26,1,CQ316),0,1-INDEX('Lease Cycles'!$EM$26:$ES$26,1,CQ316)),IF(OR(INDEX('Lease Cycles'!$DY$26:$EE$26,1,CQ316)=1,CQ317&gt;0),1,1-INDEX('Lease Cycles'!$DD$26:$DJ$26,1,CQ316))*('Lease Cycles'!$AJ$26*INDEX('Lease Cycles'!$FO$26:$FU$26,1,CQ316)+'Lease Cycles'!$BE$26*(1-INDEX('Lease Cycles'!$FO$26:$FU$26,1,CQ316)))),0)</f>
        <v>0</v>
      </c>
      <c r="CR326" s="24">
        <f>IF(CR318=1,'Lease Cycles'!$D$26*IF(INDEX('Lease Cycles'!$EF$26:$EL$26,1,CR316)=1,'Lease Cycles'!$AJ$26*INDEX('Lease Cycles'!$FO$26:$FU$26,1,CR316)*INDEX('Lease Cycles'!$EM$26:$ES$26,1,CR316)+'Lease Cycles'!$BE$26*IF(CR317&lt;INDEX('Lease Cycles'!$FA$26:$FG$26,1,CR316),0,1-INDEX('Lease Cycles'!$EM$26:$ES$26,1,CR316)),IF(OR(INDEX('Lease Cycles'!$DY$26:$EE$26,1,CR316)=1,CR317&gt;0),1,1-INDEX('Lease Cycles'!$DD$26:$DJ$26,1,CR316))*('Lease Cycles'!$AJ$26*INDEX('Lease Cycles'!$FO$26:$FU$26,1,CR316)+'Lease Cycles'!$BE$26*(1-INDEX('Lease Cycles'!$FO$26:$FU$26,1,CR316)))),0)</f>
        <v>0</v>
      </c>
      <c r="CS326" s="24">
        <f>IF(CS318=1,'Lease Cycles'!$D$26*IF(INDEX('Lease Cycles'!$EF$26:$EL$26,1,CS316)=1,'Lease Cycles'!$AJ$26*INDEX('Lease Cycles'!$FO$26:$FU$26,1,CS316)*INDEX('Lease Cycles'!$EM$26:$ES$26,1,CS316)+'Lease Cycles'!$BE$26*IF(CS317&lt;INDEX('Lease Cycles'!$FA$26:$FG$26,1,CS316),0,1-INDEX('Lease Cycles'!$EM$26:$ES$26,1,CS316)),IF(OR(INDEX('Lease Cycles'!$DY$26:$EE$26,1,CS316)=1,CS317&gt;0),1,1-INDEX('Lease Cycles'!$DD$26:$DJ$26,1,CS316))*('Lease Cycles'!$AJ$26*INDEX('Lease Cycles'!$FO$26:$FU$26,1,CS316)+'Lease Cycles'!$BE$26*(1-INDEX('Lease Cycles'!$FO$26:$FU$26,1,CS316)))),0)</f>
        <v>0</v>
      </c>
      <c r="CT326" s="24">
        <f>IF(CT318=1,'Lease Cycles'!$D$26*IF(INDEX('Lease Cycles'!$EF$26:$EL$26,1,CT316)=1,'Lease Cycles'!$AJ$26*INDEX('Lease Cycles'!$FO$26:$FU$26,1,CT316)*INDEX('Lease Cycles'!$EM$26:$ES$26,1,CT316)+'Lease Cycles'!$BE$26*IF(CT317&lt;INDEX('Lease Cycles'!$FA$26:$FG$26,1,CT316),0,1-INDEX('Lease Cycles'!$EM$26:$ES$26,1,CT316)),IF(OR(INDEX('Lease Cycles'!$DY$26:$EE$26,1,CT316)=1,CT317&gt;0),1,1-INDEX('Lease Cycles'!$DD$26:$DJ$26,1,CT316))*('Lease Cycles'!$AJ$26*INDEX('Lease Cycles'!$FO$26:$FU$26,1,CT316)+'Lease Cycles'!$BE$26*(1-INDEX('Lease Cycles'!$FO$26:$FU$26,1,CT316)))),0)</f>
        <v>0</v>
      </c>
      <c r="CU326" s="24">
        <f>IF(CU318=1,'Lease Cycles'!$D$26*IF(INDEX('Lease Cycles'!$EF$26:$EL$26,1,CU316)=1,'Lease Cycles'!$AJ$26*INDEX('Lease Cycles'!$FO$26:$FU$26,1,CU316)*INDEX('Lease Cycles'!$EM$26:$ES$26,1,CU316)+'Lease Cycles'!$BE$26*IF(CU317&lt;INDEX('Lease Cycles'!$FA$26:$FG$26,1,CU316),0,1-INDEX('Lease Cycles'!$EM$26:$ES$26,1,CU316)),IF(OR(INDEX('Lease Cycles'!$DY$26:$EE$26,1,CU316)=1,CU317&gt;0),1,1-INDEX('Lease Cycles'!$DD$26:$DJ$26,1,CU316))*('Lease Cycles'!$AJ$26*INDEX('Lease Cycles'!$FO$26:$FU$26,1,CU316)+'Lease Cycles'!$BE$26*(1-INDEX('Lease Cycles'!$FO$26:$FU$26,1,CU316)))),0)</f>
        <v>0</v>
      </c>
      <c r="CV326" s="24">
        <f>IF(CV318=1,'Lease Cycles'!$D$26*IF(INDEX('Lease Cycles'!$EF$26:$EL$26,1,CV316)=1,'Lease Cycles'!$AJ$26*INDEX('Lease Cycles'!$FO$26:$FU$26,1,CV316)*INDEX('Lease Cycles'!$EM$26:$ES$26,1,CV316)+'Lease Cycles'!$BE$26*IF(CV317&lt;INDEX('Lease Cycles'!$FA$26:$FG$26,1,CV316),0,1-INDEX('Lease Cycles'!$EM$26:$ES$26,1,CV316)),IF(OR(INDEX('Lease Cycles'!$DY$26:$EE$26,1,CV316)=1,CV317&gt;0),1,1-INDEX('Lease Cycles'!$DD$26:$DJ$26,1,CV316))*('Lease Cycles'!$AJ$26*INDEX('Lease Cycles'!$FO$26:$FU$26,1,CV316)+'Lease Cycles'!$BE$26*(1-INDEX('Lease Cycles'!$FO$26:$FU$26,1,CV316)))),0)</f>
        <v>0</v>
      </c>
      <c r="CW326" s="24">
        <f>IF(CW318=1,'Lease Cycles'!$D$26*IF(INDEX('Lease Cycles'!$EF$26:$EL$26,1,CW316)=1,'Lease Cycles'!$AJ$26*INDEX('Lease Cycles'!$FO$26:$FU$26,1,CW316)*INDEX('Lease Cycles'!$EM$26:$ES$26,1,CW316)+'Lease Cycles'!$BE$26*IF(CW317&lt;INDEX('Lease Cycles'!$FA$26:$FG$26,1,CW316),0,1-INDEX('Lease Cycles'!$EM$26:$ES$26,1,CW316)),IF(OR(INDEX('Lease Cycles'!$DY$26:$EE$26,1,CW316)=1,CW317&gt;0),1,1-INDEX('Lease Cycles'!$DD$26:$DJ$26,1,CW316))*('Lease Cycles'!$AJ$26*INDEX('Lease Cycles'!$FO$26:$FU$26,1,CW316)+'Lease Cycles'!$BE$26*(1-INDEX('Lease Cycles'!$FO$26:$FU$26,1,CW316)))),0)</f>
        <v>0</v>
      </c>
      <c r="CX326" s="24">
        <f>IF(CX318=1,'Lease Cycles'!$D$26*IF(INDEX('Lease Cycles'!$EF$26:$EL$26,1,CX316)=1,'Lease Cycles'!$AJ$26*INDEX('Lease Cycles'!$FO$26:$FU$26,1,CX316)*INDEX('Lease Cycles'!$EM$26:$ES$26,1,CX316)+'Lease Cycles'!$BE$26*IF(CX317&lt;INDEX('Lease Cycles'!$FA$26:$FG$26,1,CX316),0,1-INDEX('Lease Cycles'!$EM$26:$ES$26,1,CX316)),IF(OR(INDEX('Lease Cycles'!$DY$26:$EE$26,1,CX316)=1,CX317&gt;0),1,1-INDEX('Lease Cycles'!$DD$26:$DJ$26,1,CX316))*('Lease Cycles'!$AJ$26*INDEX('Lease Cycles'!$FO$26:$FU$26,1,CX316)+'Lease Cycles'!$BE$26*(1-INDEX('Lease Cycles'!$FO$26:$FU$26,1,CX316)))),0)</f>
        <v>0</v>
      </c>
      <c r="CY326" s="24">
        <f>IF(CY318=1,'Lease Cycles'!$D$26*IF(INDEX('Lease Cycles'!$EF$26:$EL$26,1,CY316)=1,'Lease Cycles'!$AJ$26*INDEX('Lease Cycles'!$FO$26:$FU$26,1,CY316)*INDEX('Lease Cycles'!$EM$26:$ES$26,1,CY316)+'Lease Cycles'!$BE$26*IF(CY317&lt;INDEX('Lease Cycles'!$FA$26:$FG$26,1,CY316),0,1-INDEX('Lease Cycles'!$EM$26:$ES$26,1,CY316)),IF(OR(INDEX('Lease Cycles'!$DY$26:$EE$26,1,CY316)=1,CY317&gt;0),1,1-INDEX('Lease Cycles'!$DD$26:$DJ$26,1,CY316))*('Lease Cycles'!$AJ$26*INDEX('Lease Cycles'!$FO$26:$FU$26,1,CY316)+'Lease Cycles'!$BE$26*(1-INDEX('Lease Cycles'!$FO$26:$FU$26,1,CY316)))),0)</f>
        <v>0</v>
      </c>
      <c r="CZ326" s="24">
        <f>IF(CZ318=1,'Lease Cycles'!$D$26*IF(INDEX('Lease Cycles'!$EF$26:$EL$26,1,CZ316)=1,'Lease Cycles'!$AJ$26*INDEX('Lease Cycles'!$FO$26:$FU$26,1,CZ316)*INDEX('Lease Cycles'!$EM$26:$ES$26,1,CZ316)+'Lease Cycles'!$BE$26*IF(CZ317&lt;INDEX('Lease Cycles'!$FA$26:$FG$26,1,CZ316),0,1-INDEX('Lease Cycles'!$EM$26:$ES$26,1,CZ316)),IF(OR(INDEX('Lease Cycles'!$DY$26:$EE$26,1,CZ316)=1,CZ317&gt;0),1,1-INDEX('Lease Cycles'!$DD$26:$DJ$26,1,CZ316))*('Lease Cycles'!$AJ$26*INDEX('Lease Cycles'!$FO$26:$FU$26,1,CZ316)+'Lease Cycles'!$BE$26*(1-INDEX('Lease Cycles'!$FO$26:$FU$26,1,CZ316)))),0)</f>
        <v>0</v>
      </c>
      <c r="DA326" s="24">
        <f>IF(DA318=1,'Lease Cycles'!$D$26*IF(INDEX('Lease Cycles'!$EF$26:$EL$26,1,DA316)=1,'Lease Cycles'!$AJ$26*INDEX('Lease Cycles'!$FO$26:$FU$26,1,DA316)*INDEX('Lease Cycles'!$EM$26:$ES$26,1,DA316)+'Lease Cycles'!$BE$26*IF(DA317&lt;INDEX('Lease Cycles'!$FA$26:$FG$26,1,DA316),0,1-INDEX('Lease Cycles'!$EM$26:$ES$26,1,DA316)),IF(OR(INDEX('Lease Cycles'!$DY$26:$EE$26,1,DA316)=1,DA317&gt;0),1,1-INDEX('Lease Cycles'!$DD$26:$DJ$26,1,DA316))*('Lease Cycles'!$AJ$26*INDEX('Lease Cycles'!$FO$26:$FU$26,1,DA316)+'Lease Cycles'!$BE$26*(1-INDEX('Lease Cycles'!$FO$26:$FU$26,1,DA316)))),0)</f>
        <v>0</v>
      </c>
      <c r="DB326" s="24">
        <f>IF(DB318=1,'Lease Cycles'!$D$26*IF(INDEX('Lease Cycles'!$EF$26:$EL$26,1,DB316)=1,'Lease Cycles'!$AJ$26*INDEX('Lease Cycles'!$FO$26:$FU$26,1,DB316)*INDEX('Lease Cycles'!$EM$26:$ES$26,1,DB316)+'Lease Cycles'!$BE$26*IF(DB317&lt;INDEX('Lease Cycles'!$FA$26:$FG$26,1,DB316),0,1-INDEX('Lease Cycles'!$EM$26:$ES$26,1,DB316)),IF(OR(INDEX('Lease Cycles'!$DY$26:$EE$26,1,DB316)=1,DB317&gt;0),1,1-INDEX('Lease Cycles'!$DD$26:$DJ$26,1,DB316))*('Lease Cycles'!$AJ$26*INDEX('Lease Cycles'!$FO$26:$FU$26,1,DB316)+'Lease Cycles'!$BE$26*(1-INDEX('Lease Cycles'!$FO$26:$FU$26,1,DB316)))),0)</f>
        <v>0</v>
      </c>
      <c r="DC326" s="24">
        <f>IF(DC318=1,'Lease Cycles'!$D$26*IF(INDEX('Lease Cycles'!$EF$26:$EL$26,1,DC316)=1,'Lease Cycles'!$AJ$26*INDEX('Lease Cycles'!$FO$26:$FU$26,1,DC316)*INDEX('Lease Cycles'!$EM$26:$ES$26,1,DC316)+'Lease Cycles'!$BE$26*IF(DC317&lt;INDEX('Lease Cycles'!$FA$26:$FG$26,1,DC316),0,1-INDEX('Lease Cycles'!$EM$26:$ES$26,1,DC316)),IF(OR(INDEX('Lease Cycles'!$DY$26:$EE$26,1,DC316)=1,DC317&gt;0),1,1-INDEX('Lease Cycles'!$DD$26:$DJ$26,1,DC316))*('Lease Cycles'!$AJ$26*INDEX('Lease Cycles'!$FO$26:$FU$26,1,DC316)+'Lease Cycles'!$BE$26*(1-INDEX('Lease Cycles'!$FO$26:$FU$26,1,DC316)))),0)</f>
        <v>0</v>
      </c>
      <c r="DD326" s="24">
        <f>IF(DD318=1,'Lease Cycles'!$D$26*IF(INDEX('Lease Cycles'!$EF$26:$EL$26,1,DD316)=1,'Lease Cycles'!$AJ$26*INDEX('Lease Cycles'!$FO$26:$FU$26,1,DD316)*INDEX('Lease Cycles'!$EM$26:$ES$26,1,DD316)+'Lease Cycles'!$BE$26*IF(DD317&lt;INDEX('Lease Cycles'!$FA$26:$FG$26,1,DD316),0,1-INDEX('Lease Cycles'!$EM$26:$ES$26,1,DD316)),IF(OR(INDEX('Lease Cycles'!$DY$26:$EE$26,1,DD316)=1,DD317&gt;0),1,1-INDEX('Lease Cycles'!$DD$26:$DJ$26,1,DD316))*('Lease Cycles'!$AJ$26*INDEX('Lease Cycles'!$FO$26:$FU$26,1,DD316)+'Lease Cycles'!$BE$26*(1-INDEX('Lease Cycles'!$FO$26:$FU$26,1,DD316)))),0)</f>
        <v>0</v>
      </c>
      <c r="DE326" s="24">
        <f>IF(DE318=1,'Lease Cycles'!$D$26*IF(INDEX('Lease Cycles'!$EF$26:$EL$26,1,DE316)=1,'Lease Cycles'!$AJ$26*INDEX('Lease Cycles'!$FO$26:$FU$26,1,DE316)*INDEX('Lease Cycles'!$EM$26:$ES$26,1,DE316)+'Lease Cycles'!$BE$26*IF(DE317&lt;INDEX('Lease Cycles'!$FA$26:$FG$26,1,DE316),0,1-INDEX('Lease Cycles'!$EM$26:$ES$26,1,DE316)),IF(OR(INDEX('Lease Cycles'!$DY$26:$EE$26,1,DE316)=1,DE317&gt;0),1,1-INDEX('Lease Cycles'!$DD$26:$DJ$26,1,DE316))*('Lease Cycles'!$AJ$26*INDEX('Lease Cycles'!$FO$26:$FU$26,1,DE316)+'Lease Cycles'!$BE$26*(1-INDEX('Lease Cycles'!$FO$26:$FU$26,1,DE316)))),0)</f>
        <v>0</v>
      </c>
      <c r="DF326" s="24">
        <f>IF(DF318=1,'Lease Cycles'!$D$26*IF(INDEX('Lease Cycles'!$EF$26:$EL$26,1,DF316)=1,'Lease Cycles'!$AJ$26*INDEX('Lease Cycles'!$FO$26:$FU$26,1,DF316)*INDEX('Lease Cycles'!$EM$26:$ES$26,1,DF316)+'Lease Cycles'!$BE$26*IF(DF317&lt;INDEX('Lease Cycles'!$FA$26:$FG$26,1,DF316),0,1-INDEX('Lease Cycles'!$EM$26:$ES$26,1,DF316)),IF(OR(INDEX('Lease Cycles'!$DY$26:$EE$26,1,DF316)=1,DF317&gt;0),1,1-INDEX('Lease Cycles'!$DD$26:$DJ$26,1,DF316))*('Lease Cycles'!$AJ$26*INDEX('Lease Cycles'!$FO$26:$FU$26,1,DF316)+'Lease Cycles'!$BE$26*(1-INDEX('Lease Cycles'!$FO$26:$FU$26,1,DF316)))),0)</f>
        <v>0</v>
      </c>
      <c r="DG326" s="24">
        <f>IF(DG318=1,'Lease Cycles'!$D$26*IF(INDEX('Lease Cycles'!$EF$26:$EL$26,1,DG316)=1,'Lease Cycles'!$AJ$26*INDEX('Lease Cycles'!$FO$26:$FU$26,1,DG316)*INDEX('Lease Cycles'!$EM$26:$ES$26,1,DG316)+'Lease Cycles'!$BE$26*IF(DG317&lt;INDEX('Lease Cycles'!$FA$26:$FG$26,1,DG316),0,1-INDEX('Lease Cycles'!$EM$26:$ES$26,1,DG316)),IF(OR(INDEX('Lease Cycles'!$DY$26:$EE$26,1,DG316)=1,DG317&gt;0),1,1-INDEX('Lease Cycles'!$DD$26:$DJ$26,1,DG316))*('Lease Cycles'!$AJ$26*INDEX('Lease Cycles'!$FO$26:$FU$26,1,DG316)+'Lease Cycles'!$BE$26*(1-INDEX('Lease Cycles'!$FO$26:$FU$26,1,DG316)))),0)</f>
        <v>0</v>
      </c>
      <c r="DH326" s="24">
        <f>IF(DH318=1,'Lease Cycles'!$D$26*IF(INDEX('Lease Cycles'!$EF$26:$EL$26,1,DH316)=1,'Lease Cycles'!$AJ$26*INDEX('Lease Cycles'!$FO$26:$FU$26,1,DH316)*INDEX('Lease Cycles'!$EM$26:$ES$26,1,DH316)+'Lease Cycles'!$BE$26*IF(DH317&lt;INDEX('Lease Cycles'!$FA$26:$FG$26,1,DH316),0,1-INDEX('Lease Cycles'!$EM$26:$ES$26,1,DH316)),IF(OR(INDEX('Lease Cycles'!$DY$26:$EE$26,1,DH316)=1,DH317&gt;0),1,1-INDEX('Lease Cycles'!$DD$26:$DJ$26,1,DH316))*('Lease Cycles'!$AJ$26*INDEX('Lease Cycles'!$FO$26:$FU$26,1,DH316)+'Lease Cycles'!$BE$26*(1-INDEX('Lease Cycles'!$FO$26:$FU$26,1,DH316)))),0)</f>
        <v>0</v>
      </c>
      <c r="DI326" s="24">
        <f>IF(DI318=1,'Lease Cycles'!$D$26*IF(INDEX('Lease Cycles'!$EF$26:$EL$26,1,DI316)=1,'Lease Cycles'!$AJ$26*INDEX('Lease Cycles'!$FO$26:$FU$26,1,DI316)*INDEX('Lease Cycles'!$EM$26:$ES$26,1,DI316)+'Lease Cycles'!$BE$26*IF(DI317&lt;INDEX('Lease Cycles'!$FA$26:$FG$26,1,DI316),0,1-INDEX('Lease Cycles'!$EM$26:$ES$26,1,DI316)),IF(OR(INDEX('Lease Cycles'!$DY$26:$EE$26,1,DI316)=1,DI317&gt;0),1,1-INDEX('Lease Cycles'!$DD$26:$DJ$26,1,DI316))*('Lease Cycles'!$AJ$26*INDEX('Lease Cycles'!$FO$26:$FU$26,1,DI316)+'Lease Cycles'!$BE$26*(1-INDEX('Lease Cycles'!$FO$26:$FU$26,1,DI316)))),0)</f>
        <v>0</v>
      </c>
      <c r="DJ326" s="24">
        <f>IF(DJ318=1,'Lease Cycles'!$D$26*IF(INDEX('Lease Cycles'!$EF$26:$EL$26,1,DJ316)=1,'Lease Cycles'!$AJ$26*INDEX('Lease Cycles'!$FO$26:$FU$26,1,DJ316)*INDEX('Lease Cycles'!$EM$26:$ES$26,1,DJ316)+'Lease Cycles'!$BE$26*IF(DJ317&lt;INDEX('Lease Cycles'!$FA$26:$FG$26,1,DJ316),0,1-INDEX('Lease Cycles'!$EM$26:$ES$26,1,DJ316)),IF(OR(INDEX('Lease Cycles'!$DY$26:$EE$26,1,DJ316)=1,DJ317&gt;0),1,1-INDEX('Lease Cycles'!$DD$26:$DJ$26,1,DJ316))*('Lease Cycles'!$AJ$26*INDEX('Lease Cycles'!$FO$26:$FU$26,1,DJ316)+'Lease Cycles'!$BE$26*(1-INDEX('Lease Cycles'!$FO$26:$FU$26,1,DJ316)))),0)</f>
        <v>0</v>
      </c>
      <c r="DK326" s="24">
        <f>IF(DK318=1,'Lease Cycles'!$D$26*IF(INDEX('Lease Cycles'!$EF$26:$EL$26,1,DK316)=1,'Lease Cycles'!$AJ$26*INDEX('Lease Cycles'!$FO$26:$FU$26,1,DK316)*INDEX('Lease Cycles'!$EM$26:$ES$26,1,DK316)+'Lease Cycles'!$BE$26*IF(DK317&lt;INDEX('Lease Cycles'!$FA$26:$FG$26,1,DK316),0,1-INDEX('Lease Cycles'!$EM$26:$ES$26,1,DK316)),IF(OR(INDEX('Lease Cycles'!$DY$26:$EE$26,1,DK316)=1,DK317&gt;0),1,1-INDEX('Lease Cycles'!$DD$26:$DJ$26,1,DK316))*('Lease Cycles'!$AJ$26*INDEX('Lease Cycles'!$FO$26:$FU$26,1,DK316)+'Lease Cycles'!$BE$26*(1-INDEX('Lease Cycles'!$FO$26:$FU$26,1,DK316)))),0)</f>
        <v>0</v>
      </c>
      <c r="DL326" s="24">
        <f>IF(DL318=1,'Lease Cycles'!$D$26*IF(INDEX('Lease Cycles'!$EF$26:$EL$26,1,DL316)=1,'Lease Cycles'!$AJ$26*INDEX('Lease Cycles'!$FO$26:$FU$26,1,DL316)*INDEX('Lease Cycles'!$EM$26:$ES$26,1,DL316)+'Lease Cycles'!$BE$26*IF(DL317&lt;INDEX('Lease Cycles'!$FA$26:$FG$26,1,DL316),0,1-INDEX('Lease Cycles'!$EM$26:$ES$26,1,DL316)),IF(OR(INDEX('Lease Cycles'!$DY$26:$EE$26,1,DL316)=1,DL317&gt;0),1,1-INDEX('Lease Cycles'!$DD$26:$DJ$26,1,DL316))*('Lease Cycles'!$AJ$26*INDEX('Lease Cycles'!$FO$26:$FU$26,1,DL316)+'Lease Cycles'!$BE$26*(1-INDEX('Lease Cycles'!$FO$26:$FU$26,1,DL316)))),0)</f>
        <v>0</v>
      </c>
      <c r="DM326" s="24">
        <f>IF(DM318=1,'Lease Cycles'!$D$26*IF(INDEX('Lease Cycles'!$EF$26:$EL$26,1,DM316)=1,'Lease Cycles'!$AJ$26*INDEX('Lease Cycles'!$FO$26:$FU$26,1,DM316)*INDEX('Lease Cycles'!$EM$26:$ES$26,1,DM316)+'Lease Cycles'!$BE$26*IF(DM317&lt;INDEX('Lease Cycles'!$FA$26:$FG$26,1,DM316),0,1-INDEX('Lease Cycles'!$EM$26:$ES$26,1,DM316)),IF(OR(INDEX('Lease Cycles'!$DY$26:$EE$26,1,DM316)=1,DM317&gt;0),1,1-INDEX('Lease Cycles'!$DD$26:$DJ$26,1,DM316))*('Lease Cycles'!$AJ$26*INDEX('Lease Cycles'!$FO$26:$FU$26,1,DM316)+'Lease Cycles'!$BE$26*(1-INDEX('Lease Cycles'!$FO$26:$FU$26,1,DM316)))),0)</f>
        <v>0</v>
      </c>
      <c r="DN326" s="24">
        <f>IF(DN318=1,'Lease Cycles'!$D$26*IF(INDEX('Lease Cycles'!$EF$26:$EL$26,1,DN316)=1,'Lease Cycles'!$AJ$26*INDEX('Lease Cycles'!$FO$26:$FU$26,1,DN316)*INDEX('Lease Cycles'!$EM$26:$ES$26,1,DN316)+'Lease Cycles'!$BE$26*IF(DN317&lt;INDEX('Lease Cycles'!$FA$26:$FG$26,1,DN316),0,1-INDEX('Lease Cycles'!$EM$26:$ES$26,1,DN316)),IF(OR(INDEX('Lease Cycles'!$DY$26:$EE$26,1,DN316)=1,DN317&gt;0),1,1-INDEX('Lease Cycles'!$DD$26:$DJ$26,1,DN316))*('Lease Cycles'!$AJ$26*INDEX('Lease Cycles'!$FO$26:$FU$26,1,DN316)+'Lease Cycles'!$BE$26*(1-INDEX('Lease Cycles'!$FO$26:$FU$26,1,DN316)))),0)</f>
        <v>0</v>
      </c>
      <c r="DO326" s="24">
        <f>IF(DO318=1,'Lease Cycles'!$D$26*IF(INDEX('Lease Cycles'!$EF$26:$EL$26,1,DO316)=1,'Lease Cycles'!$AJ$26*INDEX('Lease Cycles'!$FO$26:$FU$26,1,DO316)*INDEX('Lease Cycles'!$EM$26:$ES$26,1,DO316)+'Lease Cycles'!$BE$26*IF(DO317&lt;INDEX('Lease Cycles'!$FA$26:$FG$26,1,DO316),0,1-INDEX('Lease Cycles'!$EM$26:$ES$26,1,DO316)),IF(OR(INDEX('Lease Cycles'!$DY$26:$EE$26,1,DO316)=1,DO317&gt;0),1,1-INDEX('Lease Cycles'!$DD$26:$DJ$26,1,DO316))*('Lease Cycles'!$AJ$26*INDEX('Lease Cycles'!$FO$26:$FU$26,1,DO316)+'Lease Cycles'!$BE$26*(1-INDEX('Lease Cycles'!$FO$26:$FU$26,1,DO316)))),0)</f>
        <v>0</v>
      </c>
      <c r="DP326" s="24">
        <f>IF(DP318=1,'Lease Cycles'!$D$26*IF(INDEX('Lease Cycles'!$EF$26:$EL$26,1,DP316)=1,'Lease Cycles'!$AJ$26*INDEX('Lease Cycles'!$FO$26:$FU$26,1,DP316)*INDEX('Lease Cycles'!$EM$26:$ES$26,1,DP316)+'Lease Cycles'!$BE$26*IF(DP317&lt;INDEX('Lease Cycles'!$FA$26:$FG$26,1,DP316),0,1-INDEX('Lease Cycles'!$EM$26:$ES$26,1,DP316)),IF(OR(INDEX('Lease Cycles'!$DY$26:$EE$26,1,DP316)=1,DP317&gt;0),1,1-INDEX('Lease Cycles'!$DD$26:$DJ$26,1,DP316))*('Lease Cycles'!$AJ$26*INDEX('Lease Cycles'!$FO$26:$FU$26,1,DP316)+'Lease Cycles'!$BE$26*(1-INDEX('Lease Cycles'!$FO$26:$FU$26,1,DP316)))),0)</f>
        <v>0</v>
      </c>
      <c r="DQ326" s="24">
        <f>IF(DQ318=1,'Lease Cycles'!$D$26*IF(INDEX('Lease Cycles'!$EF$26:$EL$26,1,DQ316)=1,'Lease Cycles'!$AJ$26*INDEX('Lease Cycles'!$FO$26:$FU$26,1,DQ316)*INDEX('Lease Cycles'!$EM$26:$ES$26,1,DQ316)+'Lease Cycles'!$BE$26*IF(DQ317&lt;INDEX('Lease Cycles'!$FA$26:$FG$26,1,DQ316),0,1-INDEX('Lease Cycles'!$EM$26:$ES$26,1,DQ316)),IF(OR(INDEX('Lease Cycles'!$DY$26:$EE$26,1,DQ316)=1,DQ317&gt;0),1,1-INDEX('Lease Cycles'!$DD$26:$DJ$26,1,DQ316))*('Lease Cycles'!$AJ$26*INDEX('Lease Cycles'!$FO$26:$FU$26,1,DQ316)+'Lease Cycles'!$BE$26*(1-INDEX('Lease Cycles'!$FO$26:$FU$26,1,DQ316)))),0)</f>
        <v>0</v>
      </c>
      <c r="DR326" s="24">
        <f>IF(DR318=1,'Lease Cycles'!$D$26*IF(INDEX('Lease Cycles'!$EF$26:$EL$26,1,DR316)=1,'Lease Cycles'!$AJ$26*INDEX('Lease Cycles'!$FO$26:$FU$26,1,DR316)*INDEX('Lease Cycles'!$EM$26:$ES$26,1,DR316)+'Lease Cycles'!$BE$26*IF(DR317&lt;INDEX('Lease Cycles'!$FA$26:$FG$26,1,DR316),0,1-INDEX('Lease Cycles'!$EM$26:$ES$26,1,DR316)),IF(OR(INDEX('Lease Cycles'!$DY$26:$EE$26,1,DR316)=1,DR317&gt;0),1,1-INDEX('Lease Cycles'!$DD$26:$DJ$26,1,DR316))*('Lease Cycles'!$AJ$26*INDEX('Lease Cycles'!$FO$26:$FU$26,1,DR316)+'Lease Cycles'!$BE$26*(1-INDEX('Lease Cycles'!$FO$26:$FU$26,1,DR316)))),0)</f>
        <v>0</v>
      </c>
      <c r="DS326" s="24">
        <f>IF(DS318=1,'Lease Cycles'!$D$26*IF(INDEX('Lease Cycles'!$EF$26:$EL$26,1,DS316)=1,'Lease Cycles'!$AJ$26*INDEX('Lease Cycles'!$FO$26:$FU$26,1,DS316)*INDEX('Lease Cycles'!$EM$26:$ES$26,1,DS316)+'Lease Cycles'!$BE$26*IF(DS317&lt;INDEX('Lease Cycles'!$FA$26:$FG$26,1,DS316),0,1-INDEX('Lease Cycles'!$EM$26:$ES$26,1,DS316)),IF(OR(INDEX('Lease Cycles'!$DY$26:$EE$26,1,DS316)=1,DS317&gt;0),1,1-INDEX('Lease Cycles'!$DD$26:$DJ$26,1,DS316))*('Lease Cycles'!$AJ$26*INDEX('Lease Cycles'!$FO$26:$FU$26,1,DS316)+'Lease Cycles'!$BE$26*(1-INDEX('Lease Cycles'!$FO$26:$FU$26,1,DS316)))),0)</f>
        <v>0</v>
      </c>
      <c r="DT326" s="24">
        <f>IF(DT318=1,'Lease Cycles'!$D$26*IF(INDEX('Lease Cycles'!$EF$26:$EL$26,1,DT316)=1,'Lease Cycles'!$AJ$26*INDEX('Lease Cycles'!$FO$26:$FU$26,1,DT316)*INDEX('Lease Cycles'!$EM$26:$ES$26,1,DT316)+'Lease Cycles'!$BE$26*IF(DT317&lt;INDEX('Lease Cycles'!$FA$26:$FG$26,1,DT316),0,1-INDEX('Lease Cycles'!$EM$26:$ES$26,1,DT316)),IF(OR(INDEX('Lease Cycles'!$DY$26:$EE$26,1,DT316)=1,DT317&gt;0),1,1-INDEX('Lease Cycles'!$DD$26:$DJ$26,1,DT316))*('Lease Cycles'!$AJ$26*INDEX('Lease Cycles'!$FO$26:$FU$26,1,DT316)+'Lease Cycles'!$BE$26*(1-INDEX('Lease Cycles'!$FO$26:$FU$26,1,DT316)))),0)</f>
        <v>0</v>
      </c>
      <c r="DU326" s="24">
        <f>IF(DU318=1,'Lease Cycles'!$D$26*IF(INDEX('Lease Cycles'!$EF$26:$EL$26,1,DU316)=1,'Lease Cycles'!$AJ$26*INDEX('Lease Cycles'!$FO$26:$FU$26,1,DU316)*INDEX('Lease Cycles'!$EM$26:$ES$26,1,DU316)+'Lease Cycles'!$BE$26*IF(DU317&lt;INDEX('Lease Cycles'!$FA$26:$FG$26,1,DU316),0,1-INDEX('Lease Cycles'!$EM$26:$ES$26,1,DU316)),IF(OR(INDEX('Lease Cycles'!$DY$26:$EE$26,1,DU316)=1,DU317&gt;0),1,1-INDEX('Lease Cycles'!$DD$26:$DJ$26,1,DU316))*('Lease Cycles'!$AJ$26*INDEX('Lease Cycles'!$FO$26:$FU$26,1,DU316)+'Lease Cycles'!$BE$26*(1-INDEX('Lease Cycles'!$FO$26:$FU$26,1,DU316)))),0)</f>
        <v>0</v>
      </c>
      <c r="DV326" s="24">
        <f>IF(DV318=1,'Lease Cycles'!$D$26*IF(INDEX('Lease Cycles'!$EF$26:$EL$26,1,DV316)=1,'Lease Cycles'!$AJ$26*INDEX('Lease Cycles'!$FO$26:$FU$26,1,DV316)*INDEX('Lease Cycles'!$EM$26:$ES$26,1,DV316)+'Lease Cycles'!$BE$26*IF(DV317&lt;INDEX('Lease Cycles'!$FA$26:$FG$26,1,DV316),0,1-INDEX('Lease Cycles'!$EM$26:$ES$26,1,DV316)),IF(OR(INDEX('Lease Cycles'!$DY$26:$EE$26,1,DV316)=1,DV317&gt;0),1,1-INDEX('Lease Cycles'!$DD$26:$DJ$26,1,DV316))*('Lease Cycles'!$AJ$26*INDEX('Lease Cycles'!$FO$26:$FU$26,1,DV316)+'Lease Cycles'!$BE$26*(1-INDEX('Lease Cycles'!$FO$26:$FU$26,1,DV316)))),0)</f>
        <v>0</v>
      </c>
      <c r="DW326" s="24">
        <f>IF(DW318=1,'Lease Cycles'!$D$26*IF(INDEX('Lease Cycles'!$EF$26:$EL$26,1,DW316)=1,'Lease Cycles'!$AJ$26*INDEX('Lease Cycles'!$FO$26:$FU$26,1,DW316)*INDEX('Lease Cycles'!$EM$26:$ES$26,1,DW316)+'Lease Cycles'!$BE$26*IF(DW317&lt;INDEX('Lease Cycles'!$FA$26:$FG$26,1,DW316),0,1-INDEX('Lease Cycles'!$EM$26:$ES$26,1,DW316)),IF(OR(INDEX('Lease Cycles'!$DY$26:$EE$26,1,DW316)=1,DW317&gt;0),1,1-INDEX('Lease Cycles'!$DD$26:$DJ$26,1,DW316))*('Lease Cycles'!$AJ$26*INDEX('Lease Cycles'!$FO$26:$FU$26,1,DW316)+'Lease Cycles'!$BE$26*(1-INDEX('Lease Cycles'!$FO$26:$FU$26,1,DW316)))),0)</f>
        <v>0</v>
      </c>
      <c r="DX326" s="24">
        <f>IF(DX318=1,'Lease Cycles'!$D$26*IF(INDEX('Lease Cycles'!$EF$26:$EL$26,1,DX316)=1,'Lease Cycles'!$AJ$26*INDEX('Lease Cycles'!$FO$26:$FU$26,1,DX316)*INDEX('Lease Cycles'!$EM$26:$ES$26,1,DX316)+'Lease Cycles'!$BE$26*IF(DX317&lt;INDEX('Lease Cycles'!$FA$26:$FG$26,1,DX316),0,1-INDEX('Lease Cycles'!$EM$26:$ES$26,1,DX316)),IF(OR(INDEX('Lease Cycles'!$DY$26:$EE$26,1,DX316)=1,DX317&gt;0),1,1-INDEX('Lease Cycles'!$DD$26:$DJ$26,1,DX316))*('Lease Cycles'!$AJ$26*INDEX('Lease Cycles'!$FO$26:$FU$26,1,DX316)+'Lease Cycles'!$BE$26*(1-INDEX('Lease Cycles'!$FO$26:$FU$26,1,DX316)))),0)</f>
        <v>0</v>
      </c>
      <c r="DY326" s="24">
        <f>IF(DY318=1,'Lease Cycles'!$D$26*IF(INDEX('Lease Cycles'!$EF$26:$EL$26,1,DY316)=1,'Lease Cycles'!$AJ$26*INDEX('Lease Cycles'!$FO$26:$FU$26,1,DY316)*INDEX('Lease Cycles'!$EM$26:$ES$26,1,DY316)+'Lease Cycles'!$BE$26*IF(DY317&lt;INDEX('Lease Cycles'!$FA$26:$FG$26,1,DY316),0,1-INDEX('Lease Cycles'!$EM$26:$ES$26,1,DY316)),IF(OR(INDEX('Lease Cycles'!$DY$26:$EE$26,1,DY316)=1,DY317&gt;0),1,1-INDEX('Lease Cycles'!$DD$26:$DJ$26,1,DY316))*('Lease Cycles'!$AJ$26*INDEX('Lease Cycles'!$FO$26:$FU$26,1,DY316)+'Lease Cycles'!$BE$26*(1-INDEX('Lease Cycles'!$FO$26:$FU$26,1,DY316)))),0)</f>
        <v>0</v>
      </c>
      <c r="DZ326" s="24">
        <f>IF(DZ318=1,'Lease Cycles'!$D$26*IF(INDEX('Lease Cycles'!$EF$26:$EL$26,1,DZ316)=1,'Lease Cycles'!$AJ$26*INDEX('Lease Cycles'!$FO$26:$FU$26,1,DZ316)*INDEX('Lease Cycles'!$EM$26:$ES$26,1,DZ316)+'Lease Cycles'!$BE$26*IF(DZ317&lt;INDEX('Lease Cycles'!$FA$26:$FG$26,1,DZ316),0,1-INDEX('Lease Cycles'!$EM$26:$ES$26,1,DZ316)),IF(OR(INDEX('Lease Cycles'!$DY$26:$EE$26,1,DZ316)=1,DZ317&gt;0),1,1-INDEX('Lease Cycles'!$DD$26:$DJ$26,1,DZ316))*('Lease Cycles'!$AJ$26*INDEX('Lease Cycles'!$FO$26:$FU$26,1,DZ316)+'Lease Cycles'!$BE$26*(1-INDEX('Lease Cycles'!$FO$26:$FU$26,1,DZ316)))),0)</f>
        <v>0</v>
      </c>
      <c r="EA326" s="24">
        <f>IF(EA318=1,'Lease Cycles'!$D$26*IF(INDEX('Lease Cycles'!$EF$26:$EL$26,1,EA316)=1,'Lease Cycles'!$AJ$26*INDEX('Lease Cycles'!$FO$26:$FU$26,1,EA316)*INDEX('Lease Cycles'!$EM$26:$ES$26,1,EA316)+'Lease Cycles'!$BE$26*IF(EA317&lt;INDEX('Lease Cycles'!$FA$26:$FG$26,1,EA316),0,1-INDEX('Lease Cycles'!$EM$26:$ES$26,1,EA316)),IF(OR(INDEX('Lease Cycles'!$DY$26:$EE$26,1,EA316)=1,EA317&gt;0),1,1-INDEX('Lease Cycles'!$DD$26:$DJ$26,1,EA316))*('Lease Cycles'!$AJ$26*INDEX('Lease Cycles'!$FO$26:$FU$26,1,EA316)+'Lease Cycles'!$BE$26*(1-INDEX('Lease Cycles'!$FO$26:$FU$26,1,EA316)))),0)</f>
        <v>0</v>
      </c>
      <c r="EB326" s="24">
        <f>IF(EB318=1,'Lease Cycles'!$D$26*IF(INDEX('Lease Cycles'!$EF$26:$EL$26,1,EB316)=1,'Lease Cycles'!$AJ$26*INDEX('Lease Cycles'!$FO$26:$FU$26,1,EB316)*INDEX('Lease Cycles'!$EM$26:$ES$26,1,EB316)+'Lease Cycles'!$BE$26*IF(EB317&lt;INDEX('Lease Cycles'!$FA$26:$FG$26,1,EB316),0,1-INDEX('Lease Cycles'!$EM$26:$ES$26,1,EB316)),IF(OR(INDEX('Lease Cycles'!$DY$26:$EE$26,1,EB316)=1,EB317&gt;0),1,1-INDEX('Lease Cycles'!$DD$26:$DJ$26,1,EB316))*('Lease Cycles'!$AJ$26*INDEX('Lease Cycles'!$FO$26:$FU$26,1,EB316)+'Lease Cycles'!$BE$26*(1-INDEX('Lease Cycles'!$FO$26:$FU$26,1,EB316)))),0)</f>
        <v>0</v>
      </c>
      <c r="EC326" s="24">
        <f>IF(EC318=1,'Lease Cycles'!$D$26*IF(INDEX('Lease Cycles'!$EF$26:$EL$26,1,EC316)=1,'Lease Cycles'!$AJ$26*INDEX('Lease Cycles'!$FO$26:$FU$26,1,EC316)*INDEX('Lease Cycles'!$EM$26:$ES$26,1,EC316)+'Lease Cycles'!$BE$26*IF(EC317&lt;INDEX('Lease Cycles'!$FA$26:$FG$26,1,EC316),0,1-INDEX('Lease Cycles'!$EM$26:$ES$26,1,EC316)),IF(OR(INDEX('Lease Cycles'!$DY$26:$EE$26,1,EC316)=1,EC317&gt;0),1,1-INDEX('Lease Cycles'!$DD$26:$DJ$26,1,EC316))*('Lease Cycles'!$AJ$26*INDEX('Lease Cycles'!$FO$26:$FU$26,1,EC316)+'Lease Cycles'!$BE$26*(1-INDEX('Lease Cycles'!$FO$26:$FU$26,1,EC316)))),0)</f>
        <v>0</v>
      </c>
      <c r="ED326" s="24">
        <f>IF(ED318=1,'Lease Cycles'!$D$26*IF(INDEX('Lease Cycles'!$EF$26:$EL$26,1,ED316)=1,'Lease Cycles'!$AJ$26*INDEX('Lease Cycles'!$FO$26:$FU$26,1,ED316)*INDEX('Lease Cycles'!$EM$26:$ES$26,1,ED316)+'Lease Cycles'!$BE$26*IF(ED317&lt;INDEX('Lease Cycles'!$FA$26:$FG$26,1,ED316),0,1-INDEX('Lease Cycles'!$EM$26:$ES$26,1,ED316)),IF(OR(INDEX('Lease Cycles'!$DY$26:$EE$26,1,ED316)=1,ED317&gt;0),1,1-INDEX('Lease Cycles'!$DD$26:$DJ$26,1,ED316))*('Lease Cycles'!$AJ$26*INDEX('Lease Cycles'!$FO$26:$FU$26,1,ED316)+'Lease Cycles'!$BE$26*(1-INDEX('Lease Cycles'!$FO$26:$FU$26,1,ED316)))),0)</f>
        <v>0</v>
      </c>
      <c r="EE326" s="24">
        <f>IF(EE318=1,'Lease Cycles'!$D$26*IF(INDEX('Lease Cycles'!$EF$26:$EL$26,1,EE316)=1,'Lease Cycles'!$AJ$26*INDEX('Lease Cycles'!$FO$26:$FU$26,1,EE316)*INDEX('Lease Cycles'!$EM$26:$ES$26,1,EE316)+'Lease Cycles'!$BE$26*IF(EE317&lt;INDEX('Lease Cycles'!$FA$26:$FG$26,1,EE316),0,1-INDEX('Lease Cycles'!$EM$26:$ES$26,1,EE316)),IF(OR(INDEX('Lease Cycles'!$DY$26:$EE$26,1,EE316)=1,EE317&gt;0),1,1-INDEX('Lease Cycles'!$DD$26:$DJ$26,1,EE316))*('Lease Cycles'!$AJ$26*INDEX('Lease Cycles'!$FO$26:$FU$26,1,EE316)+'Lease Cycles'!$BE$26*(1-INDEX('Lease Cycles'!$FO$26:$FU$26,1,EE316)))),0)</f>
        <v>0</v>
      </c>
      <c r="EF326" s="24">
        <f>IF(EF318=1,'Lease Cycles'!$D$26*IF(INDEX('Lease Cycles'!$EF$26:$EL$26,1,EF316)=1,'Lease Cycles'!$AJ$26*INDEX('Lease Cycles'!$FO$26:$FU$26,1,EF316)*INDEX('Lease Cycles'!$EM$26:$ES$26,1,EF316)+'Lease Cycles'!$BE$26*IF(EF317&lt;INDEX('Lease Cycles'!$FA$26:$FG$26,1,EF316),0,1-INDEX('Lease Cycles'!$EM$26:$ES$26,1,EF316)),IF(OR(INDEX('Lease Cycles'!$DY$26:$EE$26,1,EF316)=1,EF317&gt;0),1,1-INDEX('Lease Cycles'!$DD$26:$DJ$26,1,EF316))*('Lease Cycles'!$AJ$26*INDEX('Lease Cycles'!$FO$26:$FU$26,1,EF316)+'Lease Cycles'!$BE$26*(1-INDEX('Lease Cycles'!$FO$26:$FU$26,1,EF316)))),0)</f>
        <v>0</v>
      </c>
      <c r="EG326" s="24">
        <f>IF(EG318=1,'Lease Cycles'!$D$26*IF(INDEX('Lease Cycles'!$EF$26:$EL$26,1,EG316)=1,'Lease Cycles'!$AJ$26*INDEX('Lease Cycles'!$FO$26:$FU$26,1,EG316)*INDEX('Lease Cycles'!$EM$26:$ES$26,1,EG316)+'Lease Cycles'!$BE$26*IF(EG317&lt;INDEX('Lease Cycles'!$FA$26:$FG$26,1,EG316),0,1-INDEX('Lease Cycles'!$EM$26:$ES$26,1,EG316)),IF(OR(INDEX('Lease Cycles'!$DY$26:$EE$26,1,EG316)=1,EG317&gt;0),1,1-INDEX('Lease Cycles'!$DD$26:$DJ$26,1,EG316))*('Lease Cycles'!$AJ$26*INDEX('Lease Cycles'!$FO$26:$FU$26,1,EG316)+'Lease Cycles'!$BE$26*(1-INDEX('Lease Cycles'!$FO$26:$FU$26,1,EG316)))),0)</f>
        <v>0</v>
      </c>
      <c r="EH326" s="24">
        <f>IF(EH318=1,'Lease Cycles'!$D$26*IF(INDEX('Lease Cycles'!$EF$26:$EL$26,1,EH316)=1,'Lease Cycles'!$AJ$26*INDEX('Lease Cycles'!$FO$26:$FU$26,1,EH316)*INDEX('Lease Cycles'!$EM$26:$ES$26,1,EH316)+'Lease Cycles'!$BE$26*IF(EH317&lt;INDEX('Lease Cycles'!$FA$26:$FG$26,1,EH316),0,1-INDEX('Lease Cycles'!$EM$26:$ES$26,1,EH316)),IF(OR(INDEX('Lease Cycles'!$DY$26:$EE$26,1,EH316)=1,EH317&gt;0),1,1-INDEX('Lease Cycles'!$DD$26:$DJ$26,1,EH316))*('Lease Cycles'!$AJ$26*INDEX('Lease Cycles'!$FO$26:$FU$26,1,EH316)+'Lease Cycles'!$BE$26*(1-INDEX('Lease Cycles'!$FO$26:$FU$26,1,EH316)))),0)</f>
        <v>0</v>
      </c>
      <c r="EI326" s="24">
        <f>IF(EI318=1,'Lease Cycles'!$D$26*IF(INDEX('Lease Cycles'!$EF$26:$EL$26,1,EI316)=1,'Lease Cycles'!$AJ$26*INDEX('Lease Cycles'!$FO$26:$FU$26,1,EI316)*INDEX('Lease Cycles'!$EM$26:$ES$26,1,EI316)+'Lease Cycles'!$BE$26*IF(EI317&lt;INDEX('Lease Cycles'!$FA$26:$FG$26,1,EI316),0,1-INDEX('Lease Cycles'!$EM$26:$ES$26,1,EI316)),IF(OR(INDEX('Lease Cycles'!$DY$26:$EE$26,1,EI316)=1,EI317&gt;0),1,1-INDEX('Lease Cycles'!$DD$26:$DJ$26,1,EI316))*('Lease Cycles'!$AJ$26*INDEX('Lease Cycles'!$FO$26:$FU$26,1,EI316)+'Lease Cycles'!$BE$26*(1-INDEX('Lease Cycles'!$FO$26:$FU$26,1,EI316)))),0)</f>
        <v>0</v>
      </c>
      <c r="EJ326" s="24">
        <f>IF(EJ318=1,'Lease Cycles'!$D$26*IF(INDEX('Lease Cycles'!$EF$26:$EL$26,1,EJ316)=1,'Lease Cycles'!$AJ$26*INDEX('Lease Cycles'!$FO$26:$FU$26,1,EJ316)*INDEX('Lease Cycles'!$EM$26:$ES$26,1,EJ316)+'Lease Cycles'!$BE$26*IF(EJ317&lt;INDEX('Lease Cycles'!$FA$26:$FG$26,1,EJ316),0,1-INDEX('Lease Cycles'!$EM$26:$ES$26,1,EJ316)),IF(OR(INDEX('Lease Cycles'!$DY$26:$EE$26,1,EJ316)=1,EJ317&gt;0),1,1-INDEX('Lease Cycles'!$DD$26:$DJ$26,1,EJ316))*('Lease Cycles'!$AJ$26*INDEX('Lease Cycles'!$FO$26:$FU$26,1,EJ316)+'Lease Cycles'!$BE$26*(1-INDEX('Lease Cycles'!$FO$26:$FU$26,1,EJ316)))),0)</f>
        <v>0</v>
      </c>
      <c r="EK326" s="24">
        <f>IF(EK318=1,'Lease Cycles'!$D$26*IF(INDEX('Lease Cycles'!$EF$26:$EL$26,1,EK316)=1,'Lease Cycles'!$AJ$26*INDEX('Lease Cycles'!$FO$26:$FU$26,1,EK316)*INDEX('Lease Cycles'!$EM$26:$ES$26,1,EK316)+'Lease Cycles'!$BE$26*IF(EK317&lt;INDEX('Lease Cycles'!$FA$26:$FG$26,1,EK316),0,1-INDEX('Lease Cycles'!$EM$26:$ES$26,1,EK316)),IF(OR(INDEX('Lease Cycles'!$DY$26:$EE$26,1,EK316)=1,EK317&gt;0),1,1-INDEX('Lease Cycles'!$DD$26:$DJ$26,1,EK316))*('Lease Cycles'!$AJ$26*INDEX('Lease Cycles'!$FO$26:$FU$26,1,EK316)+'Lease Cycles'!$BE$26*(1-INDEX('Lease Cycles'!$FO$26:$FU$26,1,EK316)))),0)</f>
        <v>0</v>
      </c>
      <c r="EL326" s="24">
        <f>IF(EL318=1,'Lease Cycles'!$D$26*IF(INDEX('Lease Cycles'!$EF$26:$EL$26,1,EL316)=1,'Lease Cycles'!$AJ$26*INDEX('Lease Cycles'!$FO$26:$FU$26,1,EL316)*INDEX('Lease Cycles'!$EM$26:$ES$26,1,EL316)+'Lease Cycles'!$BE$26*IF(EL317&lt;INDEX('Lease Cycles'!$FA$26:$FG$26,1,EL316),0,1-INDEX('Lease Cycles'!$EM$26:$ES$26,1,EL316)),IF(OR(INDEX('Lease Cycles'!$DY$26:$EE$26,1,EL316)=1,EL317&gt;0),1,1-INDEX('Lease Cycles'!$DD$26:$DJ$26,1,EL316))*('Lease Cycles'!$AJ$26*INDEX('Lease Cycles'!$FO$26:$FU$26,1,EL316)+'Lease Cycles'!$BE$26*(1-INDEX('Lease Cycles'!$FO$26:$FU$26,1,EL316)))),0)</f>
        <v>0</v>
      </c>
      <c r="EM326" s="24">
        <f>IF(EM318=1,'Lease Cycles'!$D$26*IF(INDEX('Lease Cycles'!$EF$26:$EL$26,1,EM316)=1,'Lease Cycles'!$AJ$26*INDEX('Lease Cycles'!$FO$26:$FU$26,1,EM316)*INDEX('Lease Cycles'!$EM$26:$ES$26,1,EM316)+'Lease Cycles'!$BE$26*IF(EM317&lt;INDEX('Lease Cycles'!$FA$26:$FG$26,1,EM316),0,1-INDEX('Lease Cycles'!$EM$26:$ES$26,1,EM316)),IF(OR(INDEX('Lease Cycles'!$DY$26:$EE$26,1,EM316)=1,EM317&gt;0),1,1-INDEX('Lease Cycles'!$DD$26:$DJ$26,1,EM316))*('Lease Cycles'!$AJ$26*INDEX('Lease Cycles'!$FO$26:$FU$26,1,EM316)+'Lease Cycles'!$BE$26*(1-INDEX('Lease Cycles'!$FO$26:$FU$26,1,EM316)))),0)</f>
        <v>0</v>
      </c>
      <c r="EN326" s="24">
        <f>IF(EN318=1,'Lease Cycles'!$D$26*IF(INDEX('Lease Cycles'!$EF$26:$EL$26,1,EN316)=1,'Lease Cycles'!$AJ$26*INDEX('Lease Cycles'!$FO$26:$FU$26,1,EN316)*INDEX('Lease Cycles'!$EM$26:$ES$26,1,EN316)+'Lease Cycles'!$BE$26*IF(EN317&lt;INDEX('Lease Cycles'!$FA$26:$FG$26,1,EN316),0,1-INDEX('Lease Cycles'!$EM$26:$ES$26,1,EN316)),IF(OR(INDEX('Lease Cycles'!$DY$26:$EE$26,1,EN316)=1,EN317&gt;0),1,1-INDEX('Lease Cycles'!$DD$26:$DJ$26,1,EN316))*('Lease Cycles'!$AJ$26*INDEX('Lease Cycles'!$FO$26:$FU$26,1,EN316)+'Lease Cycles'!$BE$26*(1-INDEX('Lease Cycles'!$FO$26:$FU$26,1,EN316)))),0)</f>
        <v>0</v>
      </c>
      <c r="EO326" s="24">
        <f>IF(EO318=1,'Lease Cycles'!$D$26*IF(INDEX('Lease Cycles'!$EF$26:$EL$26,1,EO316)=1,'Lease Cycles'!$AJ$26*INDEX('Lease Cycles'!$FO$26:$FU$26,1,EO316)*INDEX('Lease Cycles'!$EM$26:$ES$26,1,EO316)+'Lease Cycles'!$BE$26*IF(EO317&lt;INDEX('Lease Cycles'!$FA$26:$FG$26,1,EO316),0,1-INDEX('Lease Cycles'!$EM$26:$ES$26,1,EO316)),IF(OR(INDEX('Lease Cycles'!$DY$26:$EE$26,1,EO316)=1,EO317&gt;0),1,1-INDEX('Lease Cycles'!$DD$26:$DJ$26,1,EO316))*('Lease Cycles'!$AJ$26*INDEX('Lease Cycles'!$FO$26:$FU$26,1,EO316)+'Lease Cycles'!$BE$26*(1-INDEX('Lease Cycles'!$FO$26:$FU$26,1,EO316)))),0)</f>
        <v>0</v>
      </c>
      <c r="EP326" s="24">
        <f>IF(EP318=1,'Lease Cycles'!$D$26*IF(INDEX('Lease Cycles'!$EF$26:$EL$26,1,EP316)=1,'Lease Cycles'!$AJ$26*INDEX('Lease Cycles'!$FO$26:$FU$26,1,EP316)*INDEX('Lease Cycles'!$EM$26:$ES$26,1,EP316)+'Lease Cycles'!$BE$26*IF(EP317&lt;INDEX('Lease Cycles'!$FA$26:$FG$26,1,EP316),0,1-INDEX('Lease Cycles'!$EM$26:$ES$26,1,EP316)),IF(OR(INDEX('Lease Cycles'!$DY$26:$EE$26,1,EP316)=1,EP317&gt;0),1,1-INDEX('Lease Cycles'!$DD$26:$DJ$26,1,EP316))*('Lease Cycles'!$AJ$26*INDEX('Lease Cycles'!$FO$26:$FU$26,1,EP316)+'Lease Cycles'!$BE$26*(1-INDEX('Lease Cycles'!$FO$26:$FU$26,1,EP316)))),0)</f>
        <v>0</v>
      </c>
      <c r="EQ326" s="24">
        <f>IF(EQ318=1,'Lease Cycles'!$D$26*IF(INDEX('Lease Cycles'!$EF$26:$EL$26,1,EQ316)=1,'Lease Cycles'!$AJ$26*INDEX('Lease Cycles'!$FO$26:$FU$26,1,EQ316)*INDEX('Lease Cycles'!$EM$26:$ES$26,1,EQ316)+'Lease Cycles'!$BE$26*IF(EQ317&lt;INDEX('Lease Cycles'!$FA$26:$FG$26,1,EQ316),0,1-INDEX('Lease Cycles'!$EM$26:$ES$26,1,EQ316)),IF(OR(INDEX('Lease Cycles'!$DY$26:$EE$26,1,EQ316)=1,EQ317&gt;0),1,1-INDEX('Lease Cycles'!$DD$26:$DJ$26,1,EQ316))*('Lease Cycles'!$AJ$26*INDEX('Lease Cycles'!$FO$26:$FU$26,1,EQ316)+'Lease Cycles'!$BE$26*(1-INDEX('Lease Cycles'!$FO$26:$FU$26,1,EQ316)))),0)</f>
        <v>0</v>
      </c>
      <c r="ER326" s="24">
        <f>IF(ER318=1,'Lease Cycles'!$D$26*IF(INDEX('Lease Cycles'!$EF$26:$EL$26,1,ER316)=1,'Lease Cycles'!$AJ$26*INDEX('Lease Cycles'!$FO$26:$FU$26,1,ER316)*INDEX('Lease Cycles'!$EM$26:$ES$26,1,ER316)+'Lease Cycles'!$BE$26*IF(ER317&lt;INDEX('Lease Cycles'!$FA$26:$FG$26,1,ER316),0,1-INDEX('Lease Cycles'!$EM$26:$ES$26,1,ER316)),IF(OR(INDEX('Lease Cycles'!$DY$26:$EE$26,1,ER316)=1,ER317&gt;0),1,1-INDEX('Lease Cycles'!$DD$26:$DJ$26,1,ER316))*('Lease Cycles'!$AJ$26*INDEX('Lease Cycles'!$FO$26:$FU$26,1,ER316)+'Lease Cycles'!$BE$26*(1-INDEX('Lease Cycles'!$FO$26:$FU$26,1,ER316)))),0)</f>
        <v>0</v>
      </c>
      <c r="ES326" s="24">
        <f>IF(ES318=1,'Lease Cycles'!$D$26*IF(INDEX('Lease Cycles'!$EF$26:$EL$26,1,ES316)=1,'Lease Cycles'!$AJ$26*INDEX('Lease Cycles'!$FO$26:$FU$26,1,ES316)*INDEX('Lease Cycles'!$EM$26:$ES$26,1,ES316)+'Lease Cycles'!$BE$26*IF(ES317&lt;INDEX('Lease Cycles'!$FA$26:$FG$26,1,ES316),0,1-INDEX('Lease Cycles'!$EM$26:$ES$26,1,ES316)),IF(OR(INDEX('Lease Cycles'!$DY$26:$EE$26,1,ES316)=1,ES317&gt;0),1,1-INDEX('Lease Cycles'!$DD$26:$DJ$26,1,ES316))*('Lease Cycles'!$AJ$26*INDEX('Lease Cycles'!$FO$26:$FU$26,1,ES316)+'Lease Cycles'!$BE$26*(1-INDEX('Lease Cycles'!$FO$26:$FU$26,1,ES316)))),0)</f>
        <v>0</v>
      </c>
      <c r="ET326" s="24">
        <f>IF(ET318=1,'Lease Cycles'!$D$26*IF(INDEX('Lease Cycles'!$EF$26:$EL$26,1,ET316)=1,'Lease Cycles'!$AJ$26*INDEX('Lease Cycles'!$FO$26:$FU$26,1,ET316)*INDEX('Lease Cycles'!$EM$26:$ES$26,1,ET316)+'Lease Cycles'!$BE$26*IF(ET317&lt;INDEX('Lease Cycles'!$FA$26:$FG$26,1,ET316),0,1-INDEX('Lease Cycles'!$EM$26:$ES$26,1,ET316)),IF(OR(INDEX('Lease Cycles'!$DY$26:$EE$26,1,ET316)=1,ET317&gt;0),1,1-INDEX('Lease Cycles'!$DD$26:$DJ$26,1,ET316))*('Lease Cycles'!$AJ$26*INDEX('Lease Cycles'!$FO$26:$FU$26,1,ET316)+'Lease Cycles'!$BE$26*(1-INDEX('Lease Cycles'!$FO$26:$FU$26,1,ET316)))),0)</f>
        <v>0</v>
      </c>
    </row>
    <row r="327">
      <c r="A327" s="103">
        <v>19</v>
      </c>
      <c r="B327" s="23" t="str">
        <f>IF('Lease Cycles'!$B$26="","(empty slot)",'Lease Cycles'!$B$26)</f>
        <v>(empty slot)</v>
      </c>
      <c r="C327" s="23" t="s">
        <v>689</v>
      </c>
      <c r="D327" s="104" t="s">
        <v>690</v>
      </c>
      <c r="E327" s="25">
        <f>'Lease Cycles'!$AL$26</f>
        <v>0</v>
      </c>
      <c r="G327" s="28">
        <f>SUM(S327:AD327)</f>
        <v>0</v>
      </c>
      <c r="H327" s="28">
        <f>SUM(AE327:AP327)</f>
        <v>0</v>
      </c>
      <c r="I327" s="28">
        <f>SUM(AQ327:BB327)</f>
        <v>0</v>
      </c>
      <c r="J327" s="28">
        <f>SUM(BC327:BN327)</f>
        <v>0</v>
      </c>
      <c r="K327" s="28">
        <f>SUM(BO327:BZ327)</f>
        <v>0</v>
      </c>
      <c r="L327" s="28">
        <f>SUM(CA327:CL327)</f>
        <v>0</v>
      </c>
      <c r="M327" s="28">
        <f>SUM(CM327:CX327)</f>
        <v>0</v>
      </c>
      <c r="N327" s="28">
        <f>SUM(CY327:DJ327)</f>
        <v>0</v>
      </c>
      <c r="O327" s="28">
        <f>SUM(DK327:DV327)</f>
        <v>0</v>
      </c>
      <c r="P327" s="28">
        <f>SUM(DW327:EH327)</f>
        <v>0</v>
      </c>
      <c r="Q327" s="28">
        <f>SUM(EI327:ET327)</f>
        <v>0</v>
      </c>
      <c r="S327" s="28">
        <f>IF(S326=0,0,S326*MAX(0,(INDEX(c_CAMy,1,S$7)-INDEX(c_CAMy,1,INDEX('Lease Cycles'!$GC$26:$GI$26,1,S316)+1))*(1+'Lease Cycles'!$AK$26)+(INDEX(c_TAXy,1,S$7)-INDEX(c_TAXy,1,INDEX('Lease Cycles'!$GC$26:$GI$26,1,S316)+1))+(INDEX(c_INSy,1,S$7)-INDEX(c_INSy,1,INDEX('Lease Cycles'!$GC$26:$GI$26,1,S316)+1)))/12)</f>
        <v>0</v>
      </c>
      <c r="T327" s="28">
        <f>IF(T326=0,0,T326*MAX(0,(INDEX(c_CAMy,1,T$7)-INDEX(c_CAMy,1,INDEX('Lease Cycles'!$GC$26:$GI$26,1,T316)+1))*(1+'Lease Cycles'!$AK$26)+(INDEX(c_TAXy,1,T$7)-INDEX(c_TAXy,1,INDEX('Lease Cycles'!$GC$26:$GI$26,1,T316)+1))+(INDEX(c_INSy,1,T$7)-INDEX(c_INSy,1,INDEX('Lease Cycles'!$GC$26:$GI$26,1,T316)+1)))/12)</f>
        <v>0</v>
      </c>
      <c r="U327" s="28">
        <f>IF(U326=0,0,U326*MAX(0,(INDEX(c_CAMy,1,U$7)-INDEX(c_CAMy,1,INDEX('Lease Cycles'!$GC$26:$GI$26,1,U316)+1))*(1+'Lease Cycles'!$AK$26)+(INDEX(c_TAXy,1,U$7)-INDEX(c_TAXy,1,INDEX('Lease Cycles'!$GC$26:$GI$26,1,U316)+1))+(INDEX(c_INSy,1,U$7)-INDEX(c_INSy,1,INDEX('Lease Cycles'!$GC$26:$GI$26,1,U316)+1)))/12)</f>
        <v>0</v>
      </c>
      <c r="V327" s="28">
        <f>IF(V326=0,0,V326*MAX(0,(INDEX(c_CAMy,1,V$7)-INDEX(c_CAMy,1,INDEX('Lease Cycles'!$GC$26:$GI$26,1,V316)+1))*(1+'Lease Cycles'!$AK$26)+(INDEX(c_TAXy,1,V$7)-INDEX(c_TAXy,1,INDEX('Lease Cycles'!$GC$26:$GI$26,1,V316)+1))+(INDEX(c_INSy,1,V$7)-INDEX(c_INSy,1,INDEX('Lease Cycles'!$GC$26:$GI$26,1,V316)+1)))/12)</f>
        <v>0</v>
      </c>
      <c r="W327" s="28">
        <f>IF(W326=0,0,W326*MAX(0,(INDEX(c_CAMy,1,W$7)-INDEX(c_CAMy,1,INDEX('Lease Cycles'!$GC$26:$GI$26,1,W316)+1))*(1+'Lease Cycles'!$AK$26)+(INDEX(c_TAXy,1,W$7)-INDEX(c_TAXy,1,INDEX('Lease Cycles'!$GC$26:$GI$26,1,W316)+1))+(INDEX(c_INSy,1,W$7)-INDEX(c_INSy,1,INDEX('Lease Cycles'!$GC$26:$GI$26,1,W316)+1)))/12)</f>
        <v>0</v>
      </c>
      <c r="X327" s="28">
        <f>IF(X326=0,0,X326*MAX(0,(INDEX(c_CAMy,1,X$7)-INDEX(c_CAMy,1,INDEX('Lease Cycles'!$GC$26:$GI$26,1,X316)+1))*(1+'Lease Cycles'!$AK$26)+(INDEX(c_TAXy,1,X$7)-INDEX(c_TAXy,1,INDEX('Lease Cycles'!$GC$26:$GI$26,1,X316)+1))+(INDEX(c_INSy,1,X$7)-INDEX(c_INSy,1,INDEX('Lease Cycles'!$GC$26:$GI$26,1,X316)+1)))/12)</f>
        <v>0</v>
      </c>
      <c r="Y327" s="28">
        <f>IF(Y326=0,0,Y326*MAX(0,(INDEX(c_CAMy,1,Y$7)-INDEX(c_CAMy,1,INDEX('Lease Cycles'!$GC$26:$GI$26,1,Y316)+1))*(1+'Lease Cycles'!$AK$26)+(INDEX(c_TAXy,1,Y$7)-INDEX(c_TAXy,1,INDEX('Lease Cycles'!$GC$26:$GI$26,1,Y316)+1))+(INDEX(c_INSy,1,Y$7)-INDEX(c_INSy,1,INDEX('Lease Cycles'!$GC$26:$GI$26,1,Y316)+1)))/12)</f>
        <v>0</v>
      </c>
      <c r="Z327" s="28">
        <f>IF(Z326=0,0,Z326*MAX(0,(INDEX(c_CAMy,1,Z$7)-INDEX(c_CAMy,1,INDEX('Lease Cycles'!$GC$26:$GI$26,1,Z316)+1))*(1+'Lease Cycles'!$AK$26)+(INDEX(c_TAXy,1,Z$7)-INDEX(c_TAXy,1,INDEX('Lease Cycles'!$GC$26:$GI$26,1,Z316)+1))+(INDEX(c_INSy,1,Z$7)-INDEX(c_INSy,1,INDEX('Lease Cycles'!$GC$26:$GI$26,1,Z316)+1)))/12)</f>
        <v>0</v>
      </c>
      <c r="AA327" s="28">
        <f>IF(AA326=0,0,AA326*MAX(0,(INDEX(c_CAMy,1,AA$7)-INDEX(c_CAMy,1,INDEX('Lease Cycles'!$GC$26:$GI$26,1,AA316)+1))*(1+'Lease Cycles'!$AK$26)+(INDEX(c_TAXy,1,AA$7)-INDEX(c_TAXy,1,INDEX('Lease Cycles'!$GC$26:$GI$26,1,AA316)+1))+(INDEX(c_INSy,1,AA$7)-INDEX(c_INSy,1,INDEX('Lease Cycles'!$GC$26:$GI$26,1,AA316)+1)))/12)</f>
        <v>0</v>
      </c>
      <c r="AB327" s="28">
        <f>IF(AB326=0,0,AB326*MAX(0,(INDEX(c_CAMy,1,AB$7)-INDEX(c_CAMy,1,INDEX('Lease Cycles'!$GC$26:$GI$26,1,AB316)+1))*(1+'Lease Cycles'!$AK$26)+(INDEX(c_TAXy,1,AB$7)-INDEX(c_TAXy,1,INDEX('Lease Cycles'!$GC$26:$GI$26,1,AB316)+1))+(INDEX(c_INSy,1,AB$7)-INDEX(c_INSy,1,INDEX('Lease Cycles'!$GC$26:$GI$26,1,AB316)+1)))/12)</f>
        <v>0</v>
      </c>
      <c r="AC327" s="28">
        <f>IF(AC326=0,0,AC326*MAX(0,(INDEX(c_CAMy,1,AC$7)-INDEX(c_CAMy,1,INDEX('Lease Cycles'!$GC$26:$GI$26,1,AC316)+1))*(1+'Lease Cycles'!$AK$26)+(INDEX(c_TAXy,1,AC$7)-INDEX(c_TAXy,1,INDEX('Lease Cycles'!$GC$26:$GI$26,1,AC316)+1))+(INDEX(c_INSy,1,AC$7)-INDEX(c_INSy,1,INDEX('Lease Cycles'!$GC$26:$GI$26,1,AC316)+1)))/12)</f>
        <v>0</v>
      </c>
      <c r="AD327" s="28">
        <f>IF(AD326=0,0,AD326*MAX(0,(INDEX(c_CAMy,1,AD$7)-INDEX(c_CAMy,1,INDEX('Lease Cycles'!$GC$26:$GI$26,1,AD316)+1))*(1+'Lease Cycles'!$AK$26)+(INDEX(c_TAXy,1,AD$7)-INDEX(c_TAXy,1,INDEX('Lease Cycles'!$GC$26:$GI$26,1,AD316)+1))+(INDEX(c_INSy,1,AD$7)-INDEX(c_INSy,1,INDEX('Lease Cycles'!$GC$26:$GI$26,1,AD316)+1)))/12)</f>
        <v>0</v>
      </c>
      <c r="AE327" s="28">
        <f>IF(AE326=0,0,AE326*MAX(0,(INDEX(c_CAMy,1,AE$7)-INDEX(c_CAMy,1,INDEX('Lease Cycles'!$GC$26:$GI$26,1,AE316)+1))*(1+'Lease Cycles'!$AK$26)+(INDEX(c_TAXy,1,AE$7)-INDEX(c_TAXy,1,INDEX('Lease Cycles'!$GC$26:$GI$26,1,AE316)+1))+(INDEX(c_INSy,1,AE$7)-INDEX(c_INSy,1,INDEX('Lease Cycles'!$GC$26:$GI$26,1,AE316)+1)))/12)</f>
        <v>0</v>
      </c>
      <c r="AF327" s="28">
        <f>IF(AF326=0,0,AF326*MAX(0,(INDEX(c_CAMy,1,AF$7)-INDEX(c_CAMy,1,INDEX('Lease Cycles'!$GC$26:$GI$26,1,AF316)+1))*(1+'Lease Cycles'!$AK$26)+(INDEX(c_TAXy,1,AF$7)-INDEX(c_TAXy,1,INDEX('Lease Cycles'!$GC$26:$GI$26,1,AF316)+1))+(INDEX(c_INSy,1,AF$7)-INDEX(c_INSy,1,INDEX('Lease Cycles'!$GC$26:$GI$26,1,AF316)+1)))/12)</f>
        <v>0</v>
      </c>
      <c r="AG327" s="28">
        <f>IF(AG326=0,0,AG326*MAX(0,(INDEX(c_CAMy,1,AG$7)-INDEX(c_CAMy,1,INDEX('Lease Cycles'!$GC$26:$GI$26,1,AG316)+1))*(1+'Lease Cycles'!$AK$26)+(INDEX(c_TAXy,1,AG$7)-INDEX(c_TAXy,1,INDEX('Lease Cycles'!$GC$26:$GI$26,1,AG316)+1))+(INDEX(c_INSy,1,AG$7)-INDEX(c_INSy,1,INDEX('Lease Cycles'!$GC$26:$GI$26,1,AG316)+1)))/12)</f>
        <v>0</v>
      </c>
      <c r="AH327" s="28">
        <f>IF(AH326=0,0,AH326*MAX(0,(INDEX(c_CAMy,1,AH$7)-INDEX(c_CAMy,1,INDEX('Lease Cycles'!$GC$26:$GI$26,1,AH316)+1))*(1+'Lease Cycles'!$AK$26)+(INDEX(c_TAXy,1,AH$7)-INDEX(c_TAXy,1,INDEX('Lease Cycles'!$GC$26:$GI$26,1,AH316)+1))+(INDEX(c_INSy,1,AH$7)-INDEX(c_INSy,1,INDEX('Lease Cycles'!$GC$26:$GI$26,1,AH316)+1)))/12)</f>
        <v>0</v>
      </c>
      <c r="AI327" s="28">
        <f>IF(AI326=0,0,AI326*MAX(0,(INDEX(c_CAMy,1,AI$7)-INDEX(c_CAMy,1,INDEX('Lease Cycles'!$GC$26:$GI$26,1,AI316)+1))*(1+'Lease Cycles'!$AK$26)+(INDEX(c_TAXy,1,AI$7)-INDEX(c_TAXy,1,INDEX('Lease Cycles'!$GC$26:$GI$26,1,AI316)+1))+(INDEX(c_INSy,1,AI$7)-INDEX(c_INSy,1,INDEX('Lease Cycles'!$GC$26:$GI$26,1,AI316)+1)))/12)</f>
        <v>0</v>
      </c>
      <c r="AJ327" s="28">
        <f>IF(AJ326=0,0,AJ326*MAX(0,(INDEX(c_CAMy,1,AJ$7)-INDEX(c_CAMy,1,INDEX('Lease Cycles'!$GC$26:$GI$26,1,AJ316)+1))*(1+'Lease Cycles'!$AK$26)+(INDEX(c_TAXy,1,AJ$7)-INDEX(c_TAXy,1,INDEX('Lease Cycles'!$GC$26:$GI$26,1,AJ316)+1))+(INDEX(c_INSy,1,AJ$7)-INDEX(c_INSy,1,INDEX('Lease Cycles'!$GC$26:$GI$26,1,AJ316)+1)))/12)</f>
        <v>0</v>
      </c>
      <c r="AK327" s="28">
        <f>IF(AK326=0,0,AK326*MAX(0,(INDEX(c_CAMy,1,AK$7)-INDEX(c_CAMy,1,INDEX('Lease Cycles'!$GC$26:$GI$26,1,AK316)+1))*(1+'Lease Cycles'!$AK$26)+(INDEX(c_TAXy,1,AK$7)-INDEX(c_TAXy,1,INDEX('Lease Cycles'!$GC$26:$GI$26,1,AK316)+1))+(INDEX(c_INSy,1,AK$7)-INDEX(c_INSy,1,INDEX('Lease Cycles'!$GC$26:$GI$26,1,AK316)+1)))/12)</f>
        <v>0</v>
      </c>
      <c r="AL327" s="28">
        <f>IF(AL326=0,0,AL326*MAX(0,(INDEX(c_CAMy,1,AL$7)-INDEX(c_CAMy,1,INDEX('Lease Cycles'!$GC$26:$GI$26,1,AL316)+1))*(1+'Lease Cycles'!$AK$26)+(INDEX(c_TAXy,1,AL$7)-INDEX(c_TAXy,1,INDEX('Lease Cycles'!$GC$26:$GI$26,1,AL316)+1))+(INDEX(c_INSy,1,AL$7)-INDEX(c_INSy,1,INDEX('Lease Cycles'!$GC$26:$GI$26,1,AL316)+1)))/12)</f>
        <v>0</v>
      </c>
      <c r="AM327" s="28">
        <f>IF(AM326=0,0,AM326*MAX(0,(INDEX(c_CAMy,1,AM$7)-INDEX(c_CAMy,1,INDEX('Lease Cycles'!$GC$26:$GI$26,1,AM316)+1))*(1+'Lease Cycles'!$AK$26)+(INDEX(c_TAXy,1,AM$7)-INDEX(c_TAXy,1,INDEX('Lease Cycles'!$GC$26:$GI$26,1,AM316)+1))+(INDEX(c_INSy,1,AM$7)-INDEX(c_INSy,1,INDEX('Lease Cycles'!$GC$26:$GI$26,1,AM316)+1)))/12)</f>
        <v>0</v>
      </c>
      <c r="AN327" s="28">
        <f>IF(AN326=0,0,AN326*MAX(0,(INDEX(c_CAMy,1,AN$7)-INDEX(c_CAMy,1,INDEX('Lease Cycles'!$GC$26:$GI$26,1,AN316)+1))*(1+'Lease Cycles'!$AK$26)+(INDEX(c_TAXy,1,AN$7)-INDEX(c_TAXy,1,INDEX('Lease Cycles'!$GC$26:$GI$26,1,AN316)+1))+(INDEX(c_INSy,1,AN$7)-INDEX(c_INSy,1,INDEX('Lease Cycles'!$GC$26:$GI$26,1,AN316)+1)))/12)</f>
        <v>0</v>
      </c>
      <c r="AO327" s="28">
        <f>IF(AO326=0,0,AO326*MAX(0,(INDEX(c_CAMy,1,AO$7)-INDEX(c_CAMy,1,INDEX('Lease Cycles'!$GC$26:$GI$26,1,AO316)+1))*(1+'Lease Cycles'!$AK$26)+(INDEX(c_TAXy,1,AO$7)-INDEX(c_TAXy,1,INDEX('Lease Cycles'!$GC$26:$GI$26,1,AO316)+1))+(INDEX(c_INSy,1,AO$7)-INDEX(c_INSy,1,INDEX('Lease Cycles'!$GC$26:$GI$26,1,AO316)+1)))/12)</f>
        <v>0</v>
      </c>
      <c r="AP327" s="28">
        <f>IF(AP326=0,0,AP326*MAX(0,(INDEX(c_CAMy,1,AP$7)-INDEX(c_CAMy,1,INDEX('Lease Cycles'!$GC$26:$GI$26,1,AP316)+1))*(1+'Lease Cycles'!$AK$26)+(INDEX(c_TAXy,1,AP$7)-INDEX(c_TAXy,1,INDEX('Lease Cycles'!$GC$26:$GI$26,1,AP316)+1))+(INDEX(c_INSy,1,AP$7)-INDEX(c_INSy,1,INDEX('Lease Cycles'!$GC$26:$GI$26,1,AP316)+1)))/12)</f>
        <v>0</v>
      </c>
      <c r="AQ327" s="28">
        <f>IF(AQ326=0,0,AQ326*MAX(0,(INDEX(c_CAMy,1,AQ$7)-INDEX(c_CAMy,1,INDEX('Lease Cycles'!$GC$26:$GI$26,1,AQ316)+1))*(1+'Lease Cycles'!$AK$26)+(INDEX(c_TAXy,1,AQ$7)-INDEX(c_TAXy,1,INDEX('Lease Cycles'!$GC$26:$GI$26,1,AQ316)+1))+(INDEX(c_INSy,1,AQ$7)-INDEX(c_INSy,1,INDEX('Lease Cycles'!$GC$26:$GI$26,1,AQ316)+1)))/12)</f>
        <v>0</v>
      </c>
      <c r="AR327" s="28">
        <f>IF(AR326=0,0,AR326*MAX(0,(INDEX(c_CAMy,1,AR$7)-INDEX(c_CAMy,1,INDEX('Lease Cycles'!$GC$26:$GI$26,1,AR316)+1))*(1+'Lease Cycles'!$AK$26)+(INDEX(c_TAXy,1,AR$7)-INDEX(c_TAXy,1,INDEX('Lease Cycles'!$GC$26:$GI$26,1,AR316)+1))+(INDEX(c_INSy,1,AR$7)-INDEX(c_INSy,1,INDEX('Lease Cycles'!$GC$26:$GI$26,1,AR316)+1)))/12)</f>
        <v>0</v>
      </c>
      <c r="AS327" s="28">
        <f>IF(AS326=0,0,AS326*MAX(0,(INDEX(c_CAMy,1,AS$7)-INDEX(c_CAMy,1,INDEX('Lease Cycles'!$GC$26:$GI$26,1,AS316)+1))*(1+'Lease Cycles'!$AK$26)+(INDEX(c_TAXy,1,AS$7)-INDEX(c_TAXy,1,INDEX('Lease Cycles'!$GC$26:$GI$26,1,AS316)+1))+(INDEX(c_INSy,1,AS$7)-INDEX(c_INSy,1,INDEX('Lease Cycles'!$GC$26:$GI$26,1,AS316)+1)))/12)</f>
        <v>0</v>
      </c>
      <c r="AT327" s="28">
        <f>IF(AT326=0,0,AT326*MAX(0,(INDEX(c_CAMy,1,AT$7)-INDEX(c_CAMy,1,INDEX('Lease Cycles'!$GC$26:$GI$26,1,AT316)+1))*(1+'Lease Cycles'!$AK$26)+(INDEX(c_TAXy,1,AT$7)-INDEX(c_TAXy,1,INDEX('Lease Cycles'!$GC$26:$GI$26,1,AT316)+1))+(INDEX(c_INSy,1,AT$7)-INDEX(c_INSy,1,INDEX('Lease Cycles'!$GC$26:$GI$26,1,AT316)+1)))/12)</f>
        <v>0</v>
      </c>
      <c r="AU327" s="28">
        <f>IF(AU326=0,0,AU326*MAX(0,(INDEX(c_CAMy,1,AU$7)-INDEX(c_CAMy,1,INDEX('Lease Cycles'!$GC$26:$GI$26,1,AU316)+1))*(1+'Lease Cycles'!$AK$26)+(INDEX(c_TAXy,1,AU$7)-INDEX(c_TAXy,1,INDEX('Lease Cycles'!$GC$26:$GI$26,1,AU316)+1))+(INDEX(c_INSy,1,AU$7)-INDEX(c_INSy,1,INDEX('Lease Cycles'!$GC$26:$GI$26,1,AU316)+1)))/12)</f>
        <v>0</v>
      </c>
      <c r="AV327" s="28">
        <f>IF(AV326=0,0,AV326*MAX(0,(INDEX(c_CAMy,1,AV$7)-INDEX(c_CAMy,1,INDEX('Lease Cycles'!$GC$26:$GI$26,1,AV316)+1))*(1+'Lease Cycles'!$AK$26)+(INDEX(c_TAXy,1,AV$7)-INDEX(c_TAXy,1,INDEX('Lease Cycles'!$GC$26:$GI$26,1,AV316)+1))+(INDEX(c_INSy,1,AV$7)-INDEX(c_INSy,1,INDEX('Lease Cycles'!$GC$26:$GI$26,1,AV316)+1)))/12)</f>
        <v>0</v>
      </c>
      <c r="AW327" s="28">
        <f>IF(AW326=0,0,AW326*MAX(0,(INDEX(c_CAMy,1,AW$7)-INDEX(c_CAMy,1,INDEX('Lease Cycles'!$GC$26:$GI$26,1,AW316)+1))*(1+'Lease Cycles'!$AK$26)+(INDEX(c_TAXy,1,AW$7)-INDEX(c_TAXy,1,INDEX('Lease Cycles'!$GC$26:$GI$26,1,AW316)+1))+(INDEX(c_INSy,1,AW$7)-INDEX(c_INSy,1,INDEX('Lease Cycles'!$GC$26:$GI$26,1,AW316)+1)))/12)</f>
        <v>0</v>
      </c>
      <c r="AX327" s="28">
        <f>IF(AX326=0,0,AX326*MAX(0,(INDEX(c_CAMy,1,AX$7)-INDEX(c_CAMy,1,INDEX('Lease Cycles'!$GC$26:$GI$26,1,AX316)+1))*(1+'Lease Cycles'!$AK$26)+(INDEX(c_TAXy,1,AX$7)-INDEX(c_TAXy,1,INDEX('Lease Cycles'!$GC$26:$GI$26,1,AX316)+1))+(INDEX(c_INSy,1,AX$7)-INDEX(c_INSy,1,INDEX('Lease Cycles'!$GC$26:$GI$26,1,AX316)+1)))/12)</f>
        <v>0</v>
      </c>
      <c r="AY327" s="28">
        <f>IF(AY326=0,0,AY326*MAX(0,(INDEX(c_CAMy,1,AY$7)-INDEX(c_CAMy,1,INDEX('Lease Cycles'!$GC$26:$GI$26,1,AY316)+1))*(1+'Lease Cycles'!$AK$26)+(INDEX(c_TAXy,1,AY$7)-INDEX(c_TAXy,1,INDEX('Lease Cycles'!$GC$26:$GI$26,1,AY316)+1))+(INDEX(c_INSy,1,AY$7)-INDEX(c_INSy,1,INDEX('Lease Cycles'!$GC$26:$GI$26,1,AY316)+1)))/12)</f>
        <v>0</v>
      </c>
      <c r="AZ327" s="28">
        <f>IF(AZ326=0,0,AZ326*MAX(0,(INDEX(c_CAMy,1,AZ$7)-INDEX(c_CAMy,1,INDEX('Lease Cycles'!$GC$26:$GI$26,1,AZ316)+1))*(1+'Lease Cycles'!$AK$26)+(INDEX(c_TAXy,1,AZ$7)-INDEX(c_TAXy,1,INDEX('Lease Cycles'!$GC$26:$GI$26,1,AZ316)+1))+(INDEX(c_INSy,1,AZ$7)-INDEX(c_INSy,1,INDEX('Lease Cycles'!$GC$26:$GI$26,1,AZ316)+1)))/12)</f>
        <v>0</v>
      </c>
      <c r="BA327" s="28">
        <f>IF(BA326=0,0,BA326*MAX(0,(INDEX(c_CAMy,1,BA$7)-INDEX(c_CAMy,1,INDEX('Lease Cycles'!$GC$26:$GI$26,1,BA316)+1))*(1+'Lease Cycles'!$AK$26)+(INDEX(c_TAXy,1,BA$7)-INDEX(c_TAXy,1,INDEX('Lease Cycles'!$GC$26:$GI$26,1,BA316)+1))+(INDEX(c_INSy,1,BA$7)-INDEX(c_INSy,1,INDEX('Lease Cycles'!$GC$26:$GI$26,1,BA316)+1)))/12)</f>
        <v>0</v>
      </c>
      <c r="BB327" s="28">
        <f>IF(BB326=0,0,BB326*MAX(0,(INDEX(c_CAMy,1,BB$7)-INDEX(c_CAMy,1,INDEX('Lease Cycles'!$GC$26:$GI$26,1,BB316)+1))*(1+'Lease Cycles'!$AK$26)+(INDEX(c_TAXy,1,BB$7)-INDEX(c_TAXy,1,INDEX('Lease Cycles'!$GC$26:$GI$26,1,BB316)+1))+(INDEX(c_INSy,1,BB$7)-INDEX(c_INSy,1,INDEX('Lease Cycles'!$GC$26:$GI$26,1,BB316)+1)))/12)</f>
        <v>0</v>
      </c>
      <c r="BC327" s="28">
        <f>IF(BC326=0,0,BC326*MAX(0,(INDEX(c_CAMy,1,BC$7)-INDEX(c_CAMy,1,INDEX('Lease Cycles'!$GC$26:$GI$26,1,BC316)+1))*(1+'Lease Cycles'!$AK$26)+(INDEX(c_TAXy,1,BC$7)-INDEX(c_TAXy,1,INDEX('Lease Cycles'!$GC$26:$GI$26,1,BC316)+1))+(INDEX(c_INSy,1,BC$7)-INDEX(c_INSy,1,INDEX('Lease Cycles'!$GC$26:$GI$26,1,BC316)+1)))/12)</f>
        <v>0</v>
      </c>
      <c r="BD327" s="28">
        <f>IF(BD326=0,0,BD326*MAX(0,(INDEX(c_CAMy,1,BD$7)-INDEX(c_CAMy,1,INDEX('Lease Cycles'!$GC$26:$GI$26,1,BD316)+1))*(1+'Lease Cycles'!$AK$26)+(INDEX(c_TAXy,1,BD$7)-INDEX(c_TAXy,1,INDEX('Lease Cycles'!$GC$26:$GI$26,1,BD316)+1))+(INDEX(c_INSy,1,BD$7)-INDEX(c_INSy,1,INDEX('Lease Cycles'!$GC$26:$GI$26,1,BD316)+1)))/12)</f>
        <v>0</v>
      </c>
      <c r="BE327" s="28">
        <f>IF(BE326=0,0,BE326*MAX(0,(INDEX(c_CAMy,1,BE$7)-INDEX(c_CAMy,1,INDEX('Lease Cycles'!$GC$26:$GI$26,1,BE316)+1))*(1+'Lease Cycles'!$AK$26)+(INDEX(c_TAXy,1,BE$7)-INDEX(c_TAXy,1,INDEX('Lease Cycles'!$GC$26:$GI$26,1,BE316)+1))+(INDEX(c_INSy,1,BE$7)-INDEX(c_INSy,1,INDEX('Lease Cycles'!$GC$26:$GI$26,1,BE316)+1)))/12)</f>
        <v>0</v>
      </c>
      <c r="BF327" s="28">
        <f>IF(BF326=0,0,BF326*MAX(0,(INDEX(c_CAMy,1,BF$7)-INDEX(c_CAMy,1,INDEX('Lease Cycles'!$GC$26:$GI$26,1,BF316)+1))*(1+'Lease Cycles'!$AK$26)+(INDEX(c_TAXy,1,BF$7)-INDEX(c_TAXy,1,INDEX('Lease Cycles'!$GC$26:$GI$26,1,BF316)+1))+(INDEX(c_INSy,1,BF$7)-INDEX(c_INSy,1,INDEX('Lease Cycles'!$GC$26:$GI$26,1,BF316)+1)))/12)</f>
        <v>0</v>
      </c>
      <c r="BG327" s="28">
        <f>IF(BG326=0,0,BG326*MAX(0,(INDEX(c_CAMy,1,BG$7)-INDEX(c_CAMy,1,INDEX('Lease Cycles'!$GC$26:$GI$26,1,BG316)+1))*(1+'Lease Cycles'!$AK$26)+(INDEX(c_TAXy,1,BG$7)-INDEX(c_TAXy,1,INDEX('Lease Cycles'!$GC$26:$GI$26,1,BG316)+1))+(INDEX(c_INSy,1,BG$7)-INDEX(c_INSy,1,INDEX('Lease Cycles'!$GC$26:$GI$26,1,BG316)+1)))/12)</f>
        <v>0</v>
      </c>
      <c r="BH327" s="28">
        <f>IF(BH326=0,0,BH326*MAX(0,(INDEX(c_CAMy,1,BH$7)-INDEX(c_CAMy,1,INDEX('Lease Cycles'!$GC$26:$GI$26,1,BH316)+1))*(1+'Lease Cycles'!$AK$26)+(INDEX(c_TAXy,1,BH$7)-INDEX(c_TAXy,1,INDEX('Lease Cycles'!$GC$26:$GI$26,1,BH316)+1))+(INDEX(c_INSy,1,BH$7)-INDEX(c_INSy,1,INDEX('Lease Cycles'!$GC$26:$GI$26,1,BH316)+1)))/12)</f>
        <v>0</v>
      </c>
      <c r="BI327" s="28">
        <f>IF(BI326=0,0,BI326*MAX(0,(INDEX(c_CAMy,1,BI$7)-INDEX(c_CAMy,1,INDEX('Lease Cycles'!$GC$26:$GI$26,1,BI316)+1))*(1+'Lease Cycles'!$AK$26)+(INDEX(c_TAXy,1,BI$7)-INDEX(c_TAXy,1,INDEX('Lease Cycles'!$GC$26:$GI$26,1,BI316)+1))+(INDEX(c_INSy,1,BI$7)-INDEX(c_INSy,1,INDEX('Lease Cycles'!$GC$26:$GI$26,1,BI316)+1)))/12)</f>
        <v>0</v>
      </c>
      <c r="BJ327" s="28">
        <f>IF(BJ326=0,0,BJ326*MAX(0,(INDEX(c_CAMy,1,BJ$7)-INDEX(c_CAMy,1,INDEX('Lease Cycles'!$GC$26:$GI$26,1,BJ316)+1))*(1+'Lease Cycles'!$AK$26)+(INDEX(c_TAXy,1,BJ$7)-INDEX(c_TAXy,1,INDEX('Lease Cycles'!$GC$26:$GI$26,1,BJ316)+1))+(INDEX(c_INSy,1,BJ$7)-INDEX(c_INSy,1,INDEX('Lease Cycles'!$GC$26:$GI$26,1,BJ316)+1)))/12)</f>
        <v>0</v>
      </c>
      <c r="BK327" s="28">
        <f>IF(BK326=0,0,BK326*MAX(0,(INDEX(c_CAMy,1,BK$7)-INDEX(c_CAMy,1,INDEX('Lease Cycles'!$GC$26:$GI$26,1,BK316)+1))*(1+'Lease Cycles'!$AK$26)+(INDEX(c_TAXy,1,BK$7)-INDEX(c_TAXy,1,INDEX('Lease Cycles'!$GC$26:$GI$26,1,BK316)+1))+(INDEX(c_INSy,1,BK$7)-INDEX(c_INSy,1,INDEX('Lease Cycles'!$GC$26:$GI$26,1,BK316)+1)))/12)</f>
        <v>0</v>
      </c>
      <c r="BL327" s="28">
        <f>IF(BL326=0,0,BL326*MAX(0,(INDEX(c_CAMy,1,BL$7)-INDEX(c_CAMy,1,INDEX('Lease Cycles'!$GC$26:$GI$26,1,BL316)+1))*(1+'Lease Cycles'!$AK$26)+(INDEX(c_TAXy,1,BL$7)-INDEX(c_TAXy,1,INDEX('Lease Cycles'!$GC$26:$GI$26,1,BL316)+1))+(INDEX(c_INSy,1,BL$7)-INDEX(c_INSy,1,INDEX('Lease Cycles'!$GC$26:$GI$26,1,BL316)+1)))/12)</f>
        <v>0</v>
      </c>
      <c r="BM327" s="28">
        <f>IF(BM326=0,0,BM326*MAX(0,(INDEX(c_CAMy,1,BM$7)-INDEX(c_CAMy,1,INDEX('Lease Cycles'!$GC$26:$GI$26,1,BM316)+1))*(1+'Lease Cycles'!$AK$26)+(INDEX(c_TAXy,1,BM$7)-INDEX(c_TAXy,1,INDEX('Lease Cycles'!$GC$26:$GI$26,1,BM316)+1))+(INDEX(c_INSy,1,BM$7)-INDEX(c_INSy,1,INDEX('Lease Cycles'!$GC$26:$GI$26,1,BM316)+1)))/12)</f>
        <v>0</v>
      </c>
      <c r="BN327" s="28">
        <f>IF(BN326=0,0,BN326*MAX(0,(INDEX(c_CAMy,1,BN$7)-INDEX(c_CAMy,1,INDEX('Lease Cycles'!$GC$26:$GI$26,1,BN316)+1))*(1+'Lease Cycles'!$AK$26)+(INDEX(c_TAXy,1,BN$7)-INDEX(c_TAXy,1,INDEX('Lease Cycles'!$GC$26:$GI$26,1,BN316)+1))+(INDEX(c_INSy,1,BN$7)-INDEX(c_INSy,1,INDEX('Lease Cycles'!$GC$26:$GI$26,1,BN316)+1)))/12)</f>
        <v>0</v>
      </c>
      <c r="BO327" s="28">
        <f>IF(BO326=0,0,BO326*MAX(0,(INDEX(c_CAMy,1,BO$7)-INDEX(c_CAMy,1,INDEX('Lease Cycles'!$GC$26:$GI$26,1,BO316)+1))*(1+'Lease Cycles'!$AK$26)+(INDEX(c_TAXy,1,BO$7)-INDEX(c_TAXy,1,INDEX('Lease Cycles'!$GC$26:$GI$26,1,BO316)+1))+(INDEX(c_INSy,1,BO$7)-INDEX(c_INSy,1,INDEX('Lease Cycles'!$GC$26:$GI$26,1,BO316)+1)))/12)</f>
        <v>0</v>
      </c>
      <c r="BP327" s="28">
        <f>IF(BP326=0,0,BP326*MAX(0,(INDEX(c_CAMy,1,BP$7)-INDEX(c_CAMy,1,INDEX('Lease Cycles'!$GC$26:$GI$26,1,BP316)+1))*(1+'Lease Cycles'!$AK$26)+(INDEX(c_TAXy,1,BP$7)-INDEX(c_TAXy,1,INDEX('Lease Cycles'!$GC$26:$GI$26,1,BP316)+1))+(INDEX(c_INSy,1,BP$7)-INDEX(c_INSy,1,INDEX('Lease Cycles'!$GC$26:$GI$26,1,BP316)+1)))/12)</f>
        <v>0</v>
      </c>
      <c r="BQ327" s="28">
        <f>IF(BQ326=0,0,BQ326*MAX(0,(INDEX(c_CAMy,1,BQ$7)-INDEX(c_CAMy,1,INDEX('Lease Cycles'!$GC$26:$GI$26,1,BQ316)+1))*(1+'Lease Cycles'!$AK$26)+(INDEX(c_TAXy,1,BQ$7)-INDEX(c_TAXy,1,INDEX('Lease Cycles'!$GC$26:$GI$26,1,BQ316)+1))+(INDEX(c_INSy,1,BQ$7)-INDEX(c_INSy,1,INDEX('Lease Cycles'!$GC$26:$GI$26,1,BQ316)+1)))/12)</f>
        <v>0</v>
      </c>
      <c r="BR327" s="28">
        <f>IF(BR326=0,0,BR326*MAX(0,(INDEX(c_CAMy,1,BR$7)-INDEX(c_CAMy,1,INDEX('Lease Cycles'!$GC$26:$GI$26,1,BR316)+1))*(1+'Lease Cycles'!$AK$26)+(INDEX(c_TAXy,1,BR$7)-INDEX(c_TAXy,1,INDEX('Lease Cycles'!$GC$26:$GI$26,1,BR316)+1))+(INDEX(c_INSy,1,BR$7)-INDEX(c_INSy,1,INDEX('Lease Cycles'!$GC$26:$GI$26,1,BR316)+1)))/12)</f>
        <v>0</v>
      </c>
      <c r="BS327" s="28">
        <f>IF(BS326=0,0,BS326*MAX(0,(INDEX(c_CAMy,1,BS$7)-INDEX(c_CAMy,1,INDEX('Lease Cycles'!$GC$26:$GI$26,1,BS316)+1))*(1+'Lease Cycles'!$AK$26)+(INDEX(c_TAXy,1,BS$7)-INDEX(c_TAXy,1,INDEX('Lease Cycles'!$GC$26:$GI$26,1,BS316)+1))+(INDEX(c_INSy,1,BS$7)-INDEX(c_INSy,1,INDEX('Lease Cycles'!$GC$26:$GI$26,1,BS316)+1)))/12)</f>
        <v>0</v>
      </c>
      <c r="BT327" s="28">
        <f>IF(BT326=0,0,BT326*MAX(0,(INDEX(c_CAMy,1,BT$7)-INDEX(c_CAMy,1,INDEX('Lease Cycles'!$GC$26:$GI$26,1,BT316)+1))*(1+'Lease Cycles'!$AK$26)+(INDEX(c_TAXy,1,BT$7)-INDEX(c_TAXy,1,INDEX('Lease Cycles'!$GC$26:$GI$26,1,BT316)+1))+(INDEX(c_INSy,1,BT$7)-INDEX(c_INSy,1,INDEX('Lease Cycles'!$GC$26:$GI$26,1,BT316)+1)))/12)</f>
        <v>0</v>
      </c>
      <c r="BU327" s="28">
        <f>IF(BU326=0,0,BU326*MAX(0,(INDEX(c_CAMy,1,BU$7)-INDEX(c_CAMy,1,INDEX('Lease Cycles'!$GC$26:$GI$26,1,BU316)+1))*(1+'Lease Cycles'!$AK$26)+(INDEX(c_TAXy,1,BU$7)-INDEX(c_TAXy,1,INDEX('Lease Cycles'!$GC$26:$GI$26,1,BU316)+1))+(INDEX(c_INSy,1,BU$7)-INDEX(c_INSy,1,INDEX('Lease Cycles'!$GC$26:$GI$26,1,BU316)+1)))/12)</f>
        <v>0</v>
      </c>
      <c r="BV327" s="28">
        <f>IF(BV326=0,0,BV326*MAX(0,(INDEX(c_CAMy,1,BV$7)-INDEX(c_CAMy,1,INDEX('Lease Cycles'!$GC$26:$GI$26,1,BV316)+1))*(1+'Lease Cycles'!$AK$26)+(INDEX(c_TAXy,1,BV$7)-INDEX(c_TAXy,1,INDEX('Lease Cycles'!$GC$26:$GI$26,1,BV316)+1))+(INDEX(c_INSy,1,BV$7)-INDEX(c_INSy,1,INDEX('Lease Cycles'!$GC$26:$GI$26,1,BV316)+1)))/12)</f>
        <v>0</v>
      </c>
      <c r="BW327" s="28">
        <f>IF(BW326=0,0,BW326*MAX(0,(INDEX(c_CAMy,1,BW$7)-INDEX(c_CAMy,1,INDEX('Lease Cycles'!$GC$26:$GI$26,1,BW316)+1))*(1+'Lease Cycles'!$AK$26)+(INDEX(c_TAXy,1,BW$7)-INDEX(c_TAXy,1,INDEX('Lease Cycles'!$GC$26:$GI$26,1,BW316)+1))+(INDEX(c_INSy,1,BW$7)-INDEX(c_INSy,1,INDEX('Lease Cycles'!$GC$26:$GI$26,1,BW316)+1)))/12)</f>
        <v>0</v>
      </c>
      <c r="BX327" s="28">
        <f>IF(BX326=0,0,BX326*MAX(0,(INDEX(c_CAMy,1,BX$7)-INDEX(c_CAMy,1,INDEX('Lease Cycles'!$GC$26:$GI$26,1,BX316)+1))*(1+'Lease Cycles'!$AK$26)+(INDEX(c_TAXy,1,BX$7)-INDEX(c_TAXy,1,INDEX('Lease Cycles'!$GC$26:$GI$26,1,BX316)+1))+(INDEX(c_INSy,1,BX$7)-INDEX(c_INSy,1,INDEX('Lease Cycles'!$GC$26:$GI$26,1,BX316)+1)))/12)</f>
        <v>0</v>
      </c>
      <c r="BY327" s="28">
        <f>IF(BY326=0,0,BY326*MAX(0,(INDEX(c_CAMy,1,BY$7)-INDEX(c_CAMy,1,INDEX('Lease Cycles'!$GC$26:$GI$26,1,BY316)+1))*(1+'Lease Cycles'!$AK$26)+(INDEX(c_TAXy,1,BY$7)-INDEX(c_TAXy,1,INDEX('Lease Cycles'!$GC$26:$GI$26,1,BY316)+1))+(INDEX(c_INSy,1,BY$7)-INDEX(c_INSy,1,INDEX('Lease Cycles'!$GC$26:$GI$26,1,BY316)+1)))/12)</f>
        <v>0</v>
      </c>
      <c r="BZ327" s="28">
        <f>IF(BZ326=0,0,BZ326*MAX(0,(INDEX(c_CAMy,1,BZ$7)-INDEX(c_CAMy,1,INDEX('Lease Cycles'!$GC$26:$GI$26,1,BZ316)+1))*(1+'Lease Cycles'!$AK$26)+(INDEX(c_TAXy,1,BZ$7)-INDEX(c_TAXy,1,INDEX('Lease Cycles'!$GC$26:$GI$26,1,BZ316)+1))+(INDEX(c_INSy,1,BZ$7)-INDEX(c_INSy,1,INDEX('Lease Cycles'!$GC$26:$GI$26,1,BZ316)+1)))/12)</f>
        <v>0</v>
      </c>
      <c r="CA327" s="28">
        <f>IF(CA326=0,0,CA326*MAX(0,(INDEX(c_CAMy,1,CA$7)-INDEX(c_CAMy,1,INDEX('Lease Cycles'!$GC$26:$GI$26,1,CA316)+1))*(1+'Lease Cycles'!$AK$26)+(INDEX(c_TAXy,1,CA$7)-INDEX(c_TAXy,1,INDEX('Lease Cycles'!$GC$26:$GI$26,1,CA316)+1))+(INDEX(c_INSy,1,CA$7)-INDEX(c_INSy,1,INDEX('Lease Cycles'!$GC$26:$GI$26,1,CA316)+1)))/12)</f>
        <v>0</v>
      </c>
      <c r="CB327" s="28">
        <f>IF(CB326=0,0,CB326*MAX(0,(INDEX(c_CAMy,1,CB$7)-INDEX(c_CAMy,1,INDEX('Lease Cycles'!$GC$26:$GI$26,1,CB316)+1))*(1+'Lease Cycles'!$AK$26)+(INDEX(c_TAXy,1,CB$7)-INDEX(c_TAXy,1,INDEX('Lease Cycles'!$GC$26:$GI$26,1,CB316)+1))+(INDEX(c_INSy,1,CB$7)-INDEX(c_INSy,1,INDEX('Lease Cycles'!$GC$26:$GI$26,1,CB316)+1)))/12)</f>
        <v>0</v>
      </c>
      <c r="CC327" s="28">
        <f>IF(CC326=0,0,CC326*MAX(0,(INDEX(c_CAMy,1,CC$7)-INDEX(c_CAMy,1,INDEX('Lease Cycles'!$GC$26:$GI$26,1,CC316)+1))*(1+'Lease Cycles'!$AK$26)+(INDEX(c_TAXy,1,CC$7)-INDEX(c_TAXy,1,INDEX('Lease Cycles'!$GC$26:$GI$26,1,CC316)+1))+(INDEX(c_INSy,1,CC$7)-INDEX(c_INSy,1,INDEX('Lease Cycles'!$GC$26:$GI$26,1,CC316)+1)))/12)</f>
        <v>0</v>
      </c>
      <c r="CD327" s="28">
        <f>IF(CD326=0,0,CD326*MAX(0,(INDEX(c_CAMy,1,CD$7)-INDEX(c_CAMy,1,INDEX('Lease Cycles'!$GC$26:$GI$26,1,CD316)+1))*(1+'Lease Cycles'!$AK$26)+(INDEX(c_TAXy,1,CD$7)-INDEX(c_TAXy,1,INDEX('Lease Cycles'!$GC$26:$GI$26,1,CD316)+1))+(INDEX(c_INSy,1,CD$7)-INDEX(c_INSy,1,INDEX('Lease Cycles'!$GC$26:$GI$26,1,CD316)+1)))/12)</f>
        <v>0</v>
      </c>
      <c r="CE327" s="28">
        <f>IF(CE326=0,0,CE326*MAX(0,(INDEX(c_CAMy,1,CE$7)-INDEX(c_CAMy,1,INDEX('Lease Cycles'!$GC$26:$GI$26,1,CE316)+1))*(1+'Lease Cycles'!$AK$26)+(INDEX(c_TAXy,1,CE$7)-INDEX(c_TAXy,1,INDEX('Lease Cycles'!$GC$26:$GI$26,1,CE316)+1))+(INDEX(c_INSy,1,CE$7)-INDEX(c_INSy,1,INDEX('Lease Cycles'!$GC$26:$GI$26,1,CE316)+1)))/12)</f>
        <v>0</v>
      </c>
      <c r="CF327" s="28">
        <f>IF(CF326=0,0,CF326*MAX(0,(INDEX(c_CAMy,1,CF$7)-INDEX(c_CAMy,1,INDEX('Lease Cycles'!$GC$26:$GI$26,1,CF316)+1))*(1+'Lease Cycles'!$AK$26)+(INDEX(c_TAXy,1,CF$7)-INDEX(c_TAXy,1,INDEX('Lease Cycles'!$GC$26:$GI$26,1,CF316)+1))+(INDEX(c_INSy,1,CF$7)-INDEX(c_INSy,1,INDEX('Lease Cycles'!$GC$26:$GI$26,1,CF316)+1)))/12)</f>
        <v>0</v>
      </c>
      <c r="CG327" s="28">
        <f>IF(CG326=0,0,CG326*MAX(0,(INDEX(c_CAMy,1,CG$7)-INDEX(c_CAMy,1,INDEX('Lease Cycles'!$GC$26:$GI$26,1,CG316)+1))*(1+'Lease Cycles'!$AK$26)+(INDEX(c_TAXy,1,CG$7)-INDEX(c_TAXy,1,INDEX('Lease Cycles'!$GC$26:$GI$26,1,CG316)+1))+(INDEX(c_INSy,1,CG$7)-INDEX(c_INSy,1,INDEX('Lease Cycles'!$GC$26:$GI$26,1,CG316)+1)))/12)</f>
        <v>0</v>
      </c>
      <c r="CH327" s="28">
        <f>IF(CH326=0,0,CH326*MAX(0,(INDEX(c_CAMy,1,CH$7)-INDEX(c_CAMy,1,INDEX('Lease Cycles'!$GC$26:$GI$26,1,CH316)+1))*(1+'Lease Cycles'!$AK$26)+(INDEX(c_TAXy,1,CH$7)-INDEX(c_TAXy,1,INDEX('Lease Cycles'!$GC$26:$GI$26,1,CH316)+1))+(INDEX(c_INSy,1,CH$7)-INDEX(c_INSy,1,INDEX('Lease Cycles'!$GC$26:$GI$26,1,CH316)+1)))/12)</f>
        <v>0</v>
      </c>
      <c r="CI327" s="28">
        <f>IF(CI326=0,0,CI326*MAX(0,(INDEX(c_CAMy,1,CI$7)-INDEX(c_CAMy,1,INDEX('Lease Cycles'!$GC$26:$GI$26,1,CI316)+1))*(1+'Lease Cycles'!$AK$26)+(INDEX(c_TAXy,1,CI$7)-INDEX(c_TAXy,1,INDEX('Lease Cycles'!$GC$26:$GI$26,1,CI316)+1))+(INDEX(c_INSy,1,CI$7)-INDEX(c_INSy,1,INDEX('Lease Cycles'!$GC$26:$GI$26,1,CI316)+1)))/12)</f>
        <v>0</v>
      </c>
      <c r="CJ327" s="28">
        <f>IF(CJ326=0,0,CJ326*MAX(0,(INDEX(c_CAMy,1,CJ$7)-INDEX(c_CAMy,1,INDEX('Lease Cycles'!$GC$26:$GI$26,1,CJ316)+1))*(1+'Lease Cycles'!$AK$26)+(INDEX(c_TAXy,1,CJ$7)-INDEX(c_TAXy,1,INDEX('Lease Cycles'!$GC$26:$GI$26,1,CJ316)+1))+(INDEX(c_INSy,1,CJ$7)-INDEX(c_INSy,1,INDEX('Lease Cycles'!$GC$26:$GI$26,1,CJ316)+1)))/12)</f>
        <v>0</v>
      </c>
      <c r="CK327" s="28">
        <f>IF(CK326=0,0,CK326*MAX(0,(INDEX(c_CAMy,1,CK$7)-INDEX(c_CAMy,1,INDEX('Lease Cycles'!$GC$26:$GI$26,1,CK316)+1))*(1+'Lease Cycles'!$AK$26)+(INDEX(c_TAXy,1,CK$7)-INDEX(c_TAXy,1,INDEX('Lease Cycles'!$GC$26:$GI$26,1,CK316)+1))+(INDEX(c_INSy,1,CK$7)-INDEX(c_INSy,1,INDEX('Lease Cycles'!$GC$26:$GI$26,1,CK316)+1)))/12)</f>
        <v>0</v>
      </c>
      <c r="CL327" s="28">
        <f>IF(CL326=0,0,CL326*MAX(0,(INDEX(c_CAMy,1,CL$7)-INDEX(c_CAMy,1,INDEX('Lease Cycles'!$GC$26:$GI$26,1,CL316)+1))*(1+'Lease Cycles'!$AK$26)+(INDEX(c_TAXy,1,CL$7)-INDEX(c_TAXy,1,INDEX('Lease Cycles'!$GC$26:$GI$26,1,CL316)+1))+(INDEX(c_INSy,1,CL$7)-INDEX(c_INSy,1,INDEX('Lease Cycles'!$GC$26:$GI$26,1,CL316)+1)))/12)</f>
        <v>0</v>
      </c>
      <c r="CM327" s="28">
        <f>IF(CM326=0,0,CM326*MAX(0,(INDEX(c_CAMy,1,CM$7)-INDEX(c_CAMy,1,INDEX('Lease Cycles'!$GC$26:$GI$26,1,CM316)+1))*(1+'Lease Cycles'!$AK$26)+(INDEX(c_TAXy,1,CM$7)-INDEX(c_TAXy,1,INDEX('Lease Cycles'!$GC$26:$GI$26,1,CM316)+1))+(INDEX(c_INSy,1,CM$7)-INDEX(c_INSy,1,INDEX('Lease Cycles'!$GC$26:$GI$26,1,CM316)+1)))/12)</f>
        <v>0</v>
      </c>
      <c r="CN327" s="28">
        <f>IF(CN326=0,0,CN326*MAX(0,(INDEX(c_CAMy,1,CN$7)-INDEX(c_CAMy,1,INDEX('Lease Cycles'!$GC$26:$GI$26,1,CN316)+1))*(1+'Lease Cycles'!$AK$26)+(INDEX(c_TAXy,1,CN$7)-INDEX(c_TAXy,1,INDEX('Lease Cycles'!$GC$26:$GI$26,1,CN316)+1))+(INDEX(c_INSy,1,CN$7)-INDEX(c_INSy,1,INDEX('Lease Cycles'!$GC$26:$GI$26,1,CN316)+1)))/12)</f>
        <v>0</v>
      </c>
      <c r="CO327" s="28">
        <f>IF(CO326=0,0,CO326*MAX(0,(INDEX(c_CAMy,1,CO$7)-INDEX(c_CAMy,1,INDEX('Lease Cycles'!$GC$26:$GI$26,1,CO316)+1))*(1+'Lease Cycles'!$AK$26)+(INDEX(c_TAXy,1,CO$7)-INDEX(c_TAXy,1,INDEX('Lease Cycles'!$GC$26:$GI$26,1,CO316)+1))+(INDEX(c_INSy,1,CO$7)-INDEX(c_INSy,1,INDEX('Lease Cycles'!$GC$26:$GI$26,1,CO316)+1)))/12)</f>
        <v>0</v>
      </c>
      <c r="CP327" s="28">
        <f>IF(CP326=0,0,CP326*MAX(0,(INDEX(c_CAMy,1,CP$7)-INDEX(c_CAMy,1,INDEX('Lease Cycles'!$GC$26:$GI$26,1,CP316)+1))*(1+'Lease Cycles'!$AK$26)+(INDEX(c_TAXy,1,CP$7)-INDEX(c_TAXy,1,INDEX('Lease Cycles'!$GC$26:$GI$26,1,CP316)+1))+(INDEX(c_INSy,1,CP$7)-INDEX(c_INSy,1,INDEX('Lease Cycles'!$GC$26:$GI$26,1,CP316)+1)))/12)</f>
        <v>0</v>
      </c>
      <c r="CQ327" s="28">
        <f>IF(CQ326=0,0,CQ326*MAX(0,(INDEX(c_CAMy,1,CQ$7)-INDEX(c_CAMy,1,INDEX('Lease Cycles'!$GC$26:$GI$26,1,CQ316)+1))*(1+'Lease Cycles'!$AK$26)+(INDEX(c_TAXy,1,CQ$7)-INDEX(c_TAXy,1,INDEX('Lease Cycles'!$GC$26:$GI$26,1,CQ316)+1))+(INDEX(c_INSy,1,CQ$7)-INDEX(c_INSy,1,INDEX('Lease Cycles'!$GC$26:$GI$26,1,CQ316)+1)))/12)</f>
        <v>0</v>
      </c>
      <c r="CR327" s="28">
        <f>IF(CR326=0,0,CR326*MAX(0,(INDEX(c_CAMy,1,CR$7)-INDEX(c_CAMy,1,INDEX('Lease Cycles'!$GC$26:$GI$26,1,CR316)+1))*(1+'Lease Cycles'!$AK$26)+(INDEX(c_TAXy,1,CR$7)-INDEX(c_TAXy,1,INDEX('Lease Cycles'!$GC$26:$GI$26,1,CR316)+1))+(INDEX(c_INSy,1,CR$7)-INDEX(c_INSy,1,INDEX('Lease Cycles'!$GC$26:$GI$26,1,CR316)+1)))/12)</f>
        <v>0</v>
      </c>
      <c r="CS327" s="28">
        <f>IF(CS326=0,0,CS326*MAX(0,(INDEX(c_CAMy,1,CS$7)-INDEX(c_CAMy,1,INDEX('Lease Cycles'!$GC$26:$GI$26,1,CS316)+1))*(1+'Lease Cycles'!$AK$26)+(INDEX(c_TAXy,1,CS$7)-INDEX(c_TAXy,1,INDEX('Lease Cycles'!$GC$26:$GI$26,1,CS316)+1))+(INDEX(c_INSy,1,CS$7)-INDEX(c_INSy,1,INDEX('Lease Cycles'!$GC$26:$GI$26,1,CS316)+1)))/12)</f>
        <v>0</v>
      </c>
      <c r="CT327" s="28">
        <f>IF(CT326=0,0,CT326*MAX(0,(INDEX(c_CAMy,1,CT$7)-INDEX(c_CAMy,1,INDEX('Lease Cycles'!$GC$26:$GI$26,1,CT316)+1))*(1+'Lease Cycles'!$AK$26)+(INDEX(c_TAXy,1,CT$7)-INDEX(c_TAXy,1,INDEX('Lease Cycles'!$GC$26:$GI$26,1,CT316)+1))+(INDEX(c_INSy,1,CT$7)-INDEX(c_INSy,1,INDEX('Lease Cycles'!$GC$26:$GI$26,1,CT316)+1)))/12)</f>
        <v>0</v>
      </c>
      <c r="CU327" s="28">
        <f>IF(CU326=0,0,CU326*MAX(0,(INDEX(c_CAMy,1,CU$7)-INDEX(c_CAMy,1,INDEX('Lease Cycles'!$GC$26:$GI$26,1,CU316)+1))*(1+'Lease Cycles'!$AK$26)+(INDEX(c_TAXy,1,CU$7)-INDEX(c_TAXy,1,INDEX('Lease Cycles'!$GC$26:$GI$26,1,CU316)+1))+(INDEX(c_INSy,1,CU$7)-INDEX(c_INSy,1,INDEX('Lease Cycles'!$GC$26:$GI$26,1,CU316)+1)))/12)</f>
        <v>0</v>
      </c>
      <c r="CV327" s="28">
        <f>IF(CV326=0,0,CV326*MAX(0,(INDEX(c_CAMy,1,CV$7)-INDEX(c_CAMy,1,INDEX('Lease Cycles'!$GC$26:$GI$26,1,CV316)+1))*(1+'Lease Cycles'!$AK$26)+(INDEX(c_TAXy,1,CV$7)-INDEX(c_TAXy,1,INDEX('Lease Cycles'!$GC$26:$GI$26,1,CV316)+1))+(INDEX(c_INSy,1,CV$7)-INDEX(c_INSy,1,INDEX('Lease Cycles'!$GC$26:$GI$26,1,CV316)+1)))/12)</f>
        <v>0</v>
      </c>
      <c r="CW327" s="28">
        <f>IF(CW326=0,0,CW326*MAX(0,(INDEX(c_CAMy,1,CW$7)-INDEX(c_CAMy,1,INDEX('Lease Cycles'!$GC$26:$GI$26,1,CW316)+1))*(1+'Lease Cycles'!$AK$26)+(INDEX(c_TAXy,1,CW$7)-INDEX(c_TAXy,1,INDEX('Lease Cycles'!$GC$26:$GI$26,1,CW316)+1))+(INDEX(c_INSy,1,CW$7)-INDEX(c_INSy,1,INDEX('Lease Cycles'!$GC$26:$GI$26,1,CW316)+1)))/12)</f>
        <v>0</v>
      </c>
      <c r="CX327" s="28">
        <f>IF(CX326=0,0,CX326*MAX(0,(INDEX(c_CAMy,1,CX$7)-INDEX(c_CAMy,1,INDEX('Lease Cycles'!$GC$26:$GI$26,1,CX316)+1))*(1+'Lease Cycles'!$AK$26)+(INDEX(c_TAXy,1,CX$7)-INDEX(c_TAXy,1,INDEX('Lease Cycles'!$GC$26:$GI$26,1,CX316)+1))+(INDEX(c_INSy,1,CX$7)-INDEX(c_INSy,1,INDEX('Lease Cycles'!$GC$26:$GI$26,1,CX316)+1)))/12)</f>
        <v>0</v>
      </c>
      <c r="CY327" s="28">
        <f>IF(CY326=0,0,CY326*MAX(0,(INDEX(c_CAMy,1,CY$7)-INDEX(c_CAMy,1,INDEX('Lease Cycles'!$GC$26:$GI$26,1,CY316)+1))*(1+'Lease Cycles'!$AK$26)+(INDEX(c_TAXy,1,CY$7)-INDEX(c_TAXy,1,INDEX('Lease Cycles'!$GC$26:$GI$26,1,CY316)+1))+(INDEX(c_INSy,1,CY$7)-INDEX(c_INSy,1,INDEX('Lease Cycles'!$GC$26:$GI$26,1,CY316)+1)))/12)</f>
        <v>0</v>
      </c>
      <c r="CZ327" s="28">
        <f>IF(CZ326=0,0,CZ326*MAX(0,(INDEX(c_CAMy,1,CZ$7)-INDEX(c_CAMy,1,INDEX('Lease Cycles'!$GC$26:$GI$26,1,CZ316)+1))*(1+'Lease Cycles'!$AK$26)+(INDEX(c_TAXy,1,CZ$7)-INDEX(c_TAXy,1,INDEX('Lease Cycles'!$GC$26:$GI$26,1,CZ316)+1))+(INDEX(c_INSy,1,CZ$7)-INDEX(c_INSy,1,INDEX('Lease Cycles'!$GC$26:$GI$26,1,CZ316)+1)))/12)</f>
        <v>0</v>
      </c>
      <c r="DA327" s="28">
        <f>IF(DA326=0,0,DA326*MAX(0,(INDEX(c_CAMy,1,DA$7)-INDEX(c_CAMy,1,INDEX('Lease Cycles'!$GC$26:$GI$26,1,DA316)+1))*(1+'Lease Cycles'!$AK$26)+(INDEX(c_TAXy,1,DA$7)-INDEX(c_TAXy,1,INDEX('Lease Cycles'!$GC$26:$GI$26,1,DA316)+1))+(INDEX(c_INSy,1,DA$7)-INDEX(c_INSy,1,INDEX('Lease Cycles'!$GC$26:$GI$26,1,DA316)+1)))/12)</f>
        <v>0</v>
      </c>
      <c r="DB327" s="28">
        <f>IF(DB326=0,0,DB326*MAX(0,(INDEX(c_CAMy,1,DB$7)-INDEX(c_CAMy,1,INDEX('Lease Cycles'!$GC$26:$GI$26,1,DB316)+1))*(1+'Lease Cycles'!$AK$26)+(INDEX(c_TAXy,1,DB$7)-INDEX(c_TAXy,1,INDEX('Lease Cycles'!$GC$26:$GI$26,1,DB316)+1))+(INDEX(c_INSy,1,DB$7)-INDEX(c_INSy,1,INDEX('Lease Cycles'!$GC$26:$GI$26,1,DB316)+1)))/12)</f>
        <v>0</v>
      </c>
      <c r="DC327" s="28">
        <f>IF(DC326=0,0,DC326*MAX(0,(INDEX(c_CAMy,1,DC$7)-INDEX(c_CAMy,1,INDEX('Lease Cycles'!$GC$26:$GI$26,1,DC316)+1))*(1+'Lease Cycles'!$AK$26)+(INDEX(c_TAXy,1,DC$7)-INDEX(c_TAXy,1,INDEX('Lease Cycles'!$GC$26:$GI$26,1,DC316)+1))+(INDEX(c_INSy,1,DC$7)-INDEX(c_INSy,1,INDEX('Lease Cycles'!$GC$26:$GI$26,1,DC316)+1)))/12)</f>
        <v>0</v>
      </c>
      <c r="DD327" s="28">
        <f>IF(DD326=0,0,DD326*MAX(0,(INDEX(c_CAMy,1,DD$7)-INDEX(c_CAMy,1,INDEX('Lease Cycles'!$GC$26:$GI$26,1,DD316)+1))*(1+'Lease Cycles'!$AK$26)+(INDEX(c_TAXy,1,DD$7)-INDEX(c_TAXy,1,INDEX('Lease Cycles'!$GC$26:$GI$26,1,DD316)+1))+(INDEX(c_INSy,1,DD$7)-INDEX(c_INSy,1,INDEX('Lease Cycles'!$GC$26:$GI$26,1,DD316)+1)))/12)</f>
        <v>0</v>
      </c>
      <c r="DE327" s="28">
        <f>IF(DE326=0,0,DE326*MAX(0,(INDEX(c_CAMy,1,DE$7)-INDEX(c_CAMy,1,INDEX('Lease Cycles'!$GC$26:$GI$26,1,DE316)+1))*(1+'Lease Cycles'!$AK$26)+(INDEX(c_TAXy,1,DE$7)-INDEX(c_TAXy,1,INDEX('Lease Cycles'!$GC$26:$GI$26,1,DE316)+1))+(INDEX(c_INSy,1,DE$7)-INDEX(c_INSy,1,INDEX('Lease Cycles'!$GC$26:$GI$26,1,DE316)+1)))/12)</f>
        <v>0</v>
      </c>
      <c r="DF327" s="28">
        <f>IF(DF326=0,0,DF326*MAX(0,(INDEX(c_CAMy,1,DF$7)-INDEX(c_CAMy,1,INDEX('Lease Cycles'!$GC$26:$GI$26,1,DF316)+1))*(1+'Lease Cycles'!$AK$26)+(INDEX(c_TAXy,1,DF$7)-INDEX(c_TAXy,1,INDEX('Lease Cycles'!$GC$26:$GI$26,1,DF316)+1))+(INDEX(c_INSy,1,DF$7)-INDEX(c_INSy,1,INDEX('Lease Cycles'!$GC$26:$GI$26,1,DF316)+1)))/12)</f>
        <v>0</v>
      </c>
      <c r="DG327" s="28">
        <f>IF(DG326=0,0,DG326*MAX(0,(INDEX(c_CAMy,1,DG$7)-INDEX(c_CAMy,1,INDEX('Lease Cycles'!$GC$26:$GI$26,1,DG316)+1))*(1+'Lease Cycles'!$AK$26)+(INDEX(c_TAXy,1,DG$7)-INDEX(c_TAXy,1,INDEX('Lease Cycles'!$GC$26:$GI$26,1,DG316)+1))+(INDEX(c_INSy,1,DG$7)-INDEX(c_INSy,1,INDEX('Lease Cycles'!$GC$26:$GI$26,1,DG316)+1)))/12)</f>
        <v>0</v>
      </c>
      <c r="DH327" s="28">
        <f>IF(DH326=0,0,DH326*MAX(0,(INDEX(c_CAMy,1,DH$7)-INDEX(c_CAMy,1,INDEX('Lease Cycles'!$GC$26:$GI$26,1,DH316)+1))*(1+'Lease Cycles'!$AK$26)+(INDEX(c_TAXy,1,DH$7)-INDEX(c_TAXy,1,INDEX('Lease Cycles'!$GC$26:$GI$26,1,DH316)+1))+(INDEX(c_INSy,1,DH$7)-INDEX(c_INSy,1,INDEX('Lease Cycles'!$GC$26:$GI$26,1,DH316)+1)))/12)</f>
        <v>0</v>
      </c>
      <c r="DI327" s="28">
        <f>IF(DI326=0,0,DI326*MAX(0,(INDEX(c_CAMy,1,DI$7)-INDEX(c_CAMy,1,INDEX('Lease Cycles'!$GC$26:$GI$26,1,DI316)+1))*(1+'Lease Cycles'!$AK$26)+(INDEX(c_TAXy,1,DI$7)-INDEX(c_TAXy,1,INDEX('Lease Cycles'!$GC$26:$GI$26,1,DI316)+1))+(INDEX(c_INSy,1,DI$7)-INDEX(c_INSy,1,INDEX('Lease Cycles'!$GC$26:$GI$26,1,DI316)+1)))/12)</f>
        <v>0</v>
      </c>
      <c r="DJ327" s="28">
        <f>IF(DJ326=0,0,DJ326*MAX(0,(INDEX(c_CAMy,1,DJ$7)-INDEX(c_CAMy,1,INDEX('Lease Cycles'!$GC$26:$GI$26,1,DJ316)+1))*(1+'Lease Cycles'!$AK$26)+(INDEX(c_TAXy,1,DJ$7)-INDEX(c_TAXy,1,INDEX('Lease Cycles'!$GC$26:$GI$26,1,DJ316)+1))+(INDEX(c_INSy,1,DJ$7)-INDEX(c_INSy,1,INDEX('Lease Cycles'!$GC$26:$GI$26,1,DJ316)+1)))/12)</f>
        <v>0</v>
      </c>
      <c r="DK327" s="28">
        <f>IF(DK326=0,0,DK326*MAX(0,(INDEX(c_CAMy,1,DK$7)-INDEX(c_CAMy,1,INDEX('Lease Cycles'!$GC$26:$GI$26,1,DK316)+1))*(1+'Lease Cycles'!$AK$26)+(INDEX(c_TAXy,1,DK$7)-INDEX(c_TAXy,1,INDEX('Lease Cycles'!$GC$26:$GI$26,1,DK316)+1))+(INDEX(c_INSy,1,DK$7)-INDEX(c_INSy,1,INDEX('Lease Cycles'!$GC$26:$GI$26,1,DK316)+1)))/12)</f>
        <v>0</v>
      </c>
      <c r="DL327" s="28">
        <f>IF(DL326=0,0,DL326*MAX(0,(INDEX(c_CAMy,1,DL$7)-INDEX(c_CAMy,1,INDEX('Lease Cycles'!$GC$26:$GI$26,1,DL316)+1))*(1+'Lease Cycles'!$AK$26)+(INDEX(c_TAXy,1,DL$7)-INDEX(c_TAXy,1,INDEX('Lease Cycles'!$GC$26:$GI$26,1,DL316)+1))+(INDEX(c_INSy,1,DL$7)-INDEX(c_INSy,1,INDEX('Lease Cycles'!$GC$26:$GI$26,1,DL316)+1)))/12)</f>
        <v>0</v>
      </c>
      <c r="DM327" s="28">
        <f>IF(DM326=0,0,DM326*MAX(0,(INDEX(c_CAMy,1,DM$7)-INDEX(c_CAMy,1,INDEX('Lease Cycles'!$GC$26:$GI$26,1,DM316)+1))*(1+'Lease Cycles'!$AK$26)+(INDEX(c_TAXy,1,DM$7)-INDEX(c_TAXy,1,INDEX('Lease Cycles'!$GC$26:$GI$26,1,DM316)+1))+(INDEX(c_INSy,1,DM$7)-INDEX(c_INSy,1,INDEX('Lease Cycles'!$GC$26:$GI$26,1,DM316)+1)))/12)</f>
        <v>0</v>
      </c>
      <c r="DN327" s="28">
        <f>IF(DN326=0,0,DN326*MAX(0,(INDEX(c_CAMy,1,DN$7)-INDEX(c_CAMy,1,INDEX('Lease Cycles'!$GC$26:$GI$26,1,DN316)+1))*(1+'Lease Cycles'!$AK$26)+(INDEX(c_TAXy,1,DN$7)-INDEX(c_TAXy,1,INDEX('Lease Cycles'!$GC$26:$GI$26,1,DN316)+1))+(INDEX(c_INSy,1,DN$7)-INDEX(c_INSy,1,INDEX('Lease Cycles'!$GC$26:$GI$26,1,DN316)+1)))/12)</f>
        <v>0</v>
      </c>
      <c r="DO327" s="28">
        <f>IF(DO326=0,0,DO326*MAX(0,(INDEX(c_CAMy,1,DO$7)-INDEX(c_CAMy,1,INDEX('Lease Cycles'!$GC$26:$GI$26,1,DO316)+1))*(1+'Lease Cycles'!$AK$26)+(INDEX(c_TAXy,1,DO$7)-INDEX(c_TAXy,1,INDEX('Lease Cycles'!$GC$26:$GI$26,1,DO316)+1))+(INDEX(c_INSy,1,DO$7)-INDEX(c_INSy,1,INDEX('Lease Cycles'!$GC$26:$GI$26,1,DO316)+1)))/12)</f>
        <v>0</v>
      </c>
      <c r="DP327" s="28">
        <f>IF(DP326=0,0,DP326*MAX(0,(INDEX(c_CAMy,1,DP$7)-INDEX(c_CAMy,1,INDEX('Lease Cycles'!$GC$26:$GI$26,1,DP316)+1))*(1+'Lease Cycles'!$AK$26)+(INDEX(c_TAXy,1,DP$7)-INDEX(c_TAXy,1,INDEX('Lease Cycles'!$GC$26:$GI$26,1,DP316)+1))+(INDEX(c_INSy,1,DP$7)-INDEX(c_INSy,1,INDEX('Lease Cycles'!$GC$26:$GI$26,1,DP316)+1)))/12)</f>
        <v>0</v>
      </c>
      <c r="DQ327" s="28">
        <f>IF(DQ326=0,0,DQ326*MAX(0,(INDEX(c_CAMy,1,DQ$7)-INDEX(c_CAMy,1,INDEX('Lease Cycles'!$GC$26:$GI$26,1,DQ316)+1))*(1+'Lease Cycles'!$AK$26)+(INDEX(c_TAXy,1,DQ$7)-INDEX(c_TAXy,1,INDEX('Lease Cycles'!$GC$26:$GI$26,1,DQ316)+1))+(INDEX(c_INSy,1,DQ$7)-INDEX(c_INSy,1,INDEX('Lease Cycles'!$GC$26:$GI$26,1,DQ316)+1)))/12)</f>
        <v>0</v>
      </c>
      <c r="DR327" s="28">
        <f>IF(DR326=0,0,DR326*MAX(0,(INDEX(c_CAMy,1,DR$7)-INDEX(c_CAMy,1,INDEX('Lease Cycles'!$GC$26:$GI$26,1,DR316)+1))*(1+'Lease Cycles'!$AK$26)+(INDEX(c_TAXy,1,DR$7)-INDEX(c_TAXy,1,INDEX('Lease Cycles'!$GC$26:$GI$26,1,DR316)+1))+(INDEX(c_INSy,1,DR$7)-INDEX(c_INSy,1,INDEX('Lease Cycles'!$GC$26:$GI$26,1,DR316)+1)))/12)</f>
        <v>0</v>
      </c>
      <c r="DS327" s="28">
        <f>IF(DS326=0,0,DS326*MAX(0,(INDEX(c_CAMy,1,DS$7)-INDEX(c_CAMy,1,INDEX('Lease Cycles'!$GC$26:$GI$26,1,DS316)+1))*(1+'Lease Cycles'!$AK$26)+(INDEX(c_TAXy,1,DS$7)-INDEX(c_TAXy,1,INDEX('Lease Cycles'!$GC$26:$GI$26,1,DS316)+1))+(INDEX(c_INSy,1,DS$7)-INDEX(c_INSy,1,INDEX('Lease Cycles'!$GC$26:$GI$26,1,DS316)+1)))/12)</f>
        <v>0</v>
      </c>
      <c r="DT327" s="28">
        <f>IF(DT326=0,0,DT326*MAX(0,(INDEX(c_CAMy,1,DT$7)-INDEX(c_CAMy,1,INDEX('Lease Cycles'!$GC$26:$GI$26,1,DT316)+1))*(1+'Lease Cycles'!$AK$26)+(INDEX(c_TAXy,1,DT$7)-INDEX(c_TAXy,1,INDEX('Lease Cycles'!$GC$26:$GI$26,1,DT316)+1))+(INDEX(c_INSy,1,DT$7)-INDEX(c_INSy,1,INDEX('Lease Cycles'!$GC$26:$GI$26,1,DT316)+1)))/12)</f>
        <v>0</v>
      </c>
      <c r="DU327" s="28">
        <f>IF(DU326=0,0,DU326*MAX(0,(INDEX(c_CAMy,1,DU$7)-INDEX(c_CAMy,1,INDEX('Lease Cycles'!$GC$26:$GI$26,1,DU316)+1))*(1+'Lease Cycles'!$AK$26)+(INDEX(c_TAXy,1,DU$7)-INDEX(c_TAXy,1,INDEX('Lease Cycles'!$GC$26:$GI$26,1,DU316)+1))+(INDEX(c_INSy,1,DU$7)-INDEX(c_INSy,1,INDEX('Lease Cycles'!$GC$26:$GI$26,1,DU316)+1)))/12)</f>
        <v>0</v>
      </c>
      <c r="DV327" s="28">
        <f>IF(DV326=0,0,DV326*MAX(0,(INDEX(c_CAMy,1,DV$7)-INDEX(c_CAMy,1,INDEX('Lease Cycles'!$GC$26:$GI$26,1,DV316)+1))*(1+'Lease Cycles'!$AK$26)+(INDEX(c_TAXy,1,DV$7)-INDEX(c_TAXy,1,INDEX('Lease Cycles'!$GC$26:$GI$26,1,DV316)+1))+(INDEX(c_INSy,1,DV$7)-INDEX(c_INSy,1,INDEX('Lease Cycles'!$GC$26:$GI$26,1,DV316)+1)))/12)</f>
        <v>0</v>
      </c>
      <c r="DW327" s="28">
        <f>IF(DW326=0,0,DW326*MAX(0,(INDEX(c_CAMy,1,DW$7)-INDEX(c_CAMy,1,INDEX('Lease Cycles'!$GC$26:$GI$26,1,DW316)+1))*(1+'Lease Cycles'!$AK$26)+(INDEX(c_TAXy,1,DW$7)-INDEX(c_TAXy,1,INDEX('Lease Cycles'!$GC$26:$GI$26,1,DW316)+1))+(INDEX(c_INSy,1,DW$7)-INDEX(c_INSy,1,INDEX('Lease Cycles'!$GC$26:$GI$26,1,DW316)+1)))/12)</f>
        <v>0</v>
      </c>
      <c r="DX327" s="28">
        <f>IF(DX326=0,0,DX326*MAX(0,(INDEX(c_CAMy,1,DX$7)-INDEX(c_CAMy,1,INDEX('Lease Cycles'!$GC$26:$GI$26,1,DX316)+1))*(1+'Lease Cycles'!$AK$26)+(INDEX(c_TAXy,1,DX$7)-INDEX(c_TAXy,1,INDEX('Lease Cycles'!$GC$26:$GI$26,1,DX316)+1))+(INDEX(c_INSy,1,DX$7)-INDEX(c_INSy,1,INDEX('Lease Cycles'!$GC$26:$GI$26,1,DX316)+1)))/12)</f>
        <v>0</v>
      </c>
      <c r="DY327" s="28">
        <f>IF(DY326=0,0,DY326*MAX(0,(INDEX(c_CAMy,1,DY$7)-INDEX(c_CAMy,1,INDEX('Lease Cycles'!$GC$26:$GI$26,1,DY316)+1))*(1+'Lease Cycles'!$AK$26)+(INDEX(c_TAXy,1,DY$7)-INDEX(c_TAXy,1,INDEX('Lease Cycles'!$GC$26:$GI$26,1,DY316)+1))+(INDEX(c_INSy,1,DY$7)-INDEX(c_INSy,1,INDEX('Lease Cycles'!$GC$26:$GI$26,1,DY316)+1)))/12)</f>
        <v>0</v>
      </c>
      <c r="DZ327" s="28">
        <f>IF(DZ326=0,0,DZ326*MAX(0,(INDEX(c_CAMy,1,DZ$7)-INDEX(c_CAMy,1,INDEX('Lease Cycles'!$GC$26:$GI$26,1,DZ316)+1))*(1+'Lease Cycles'!$AK$26)+(INDEX(c_TAXy,1,DZ$7)-INDEX(c_TAXy,1,INDEX('Lease Cycles'!$GC$26:$GI$26,1,DZ316)+1))+(INDEX(c_INSy,1,DZ$7)-INDEX(c_INSy,1,INDEX('Lease Cycles'!$GC$26:$GI$26,1,DZ316)+1)))/12)</f>
        <v>0</v>
      </c>
      <c r="EA327" s="28">
        <f>IF(EA326=0,0,EA326*MAX(0,(INDEX(c_CAMy,1,EA$7)-INDEX(c_CAMy,1,INDEX('Lease Cycles'!$GC$26:$GI$26,1,EA316)+1))*(1+'Lease Cycles'!$AK$26)+(INDEX(c_TAXy,1,EA$7)-INDEX(c_TAXy,1,INDEX('Lease Cycles'!$GC$26:$GI$26,1,EA316)+1))+(INDEX(c_INSy,1,EA$7)-INDEX(c_INSy,1,INDEX('Lease Cycles'!$GC$26:$GI$26,1,EA316)+1)))/12)</f>
        <v>0</v>
      </c>
      <c r="EB327" s="28">
        <f>IF(EB326=0,0,EB326*MAX(0,(INDEX(c_CAMy,1,EB$7)-INDEX(c_CAMy,1,INDEX('Lease Cycles'!$GC$26:$GI$26,1,EB316)+1))*(1+'Lease Cycles'!$AK$26)+(INDEX(c_TAXy,1,EB$7)-INDEX(c_TAXy,1,INDEX('Lease Cycles'!$GC$26:$GI$26,1,EB316)+1))+(INDEX(c_INSy,1,EB$7)-INDEX(c_INSy,1,INDEX('Lease Cycles'!$GC$26:$GI$26,1,EB316)+1)))/12)</f>
        <v>0</v>
      </c>
      <c r="EC327" s="28">
        <f>IF(EC326=0,0,EC326*MAX(0,(INDEX(c_CAMy,1,EC$7)-INDEX(c_CAMy,1,INDEX('Lease Cycles'!$GC$26:$GI$26,1,EC316)+1))*(1+'Lease Cycles'!$AK$26)+(INDEX(c_TAXy,1,EC$7)-INDEX(c_TAXy,1,INDEX('Lease Cycles'!$GC$26:$GI$26,1,EC316)+1))+(INDEX(c_INSy,1,EC$7)-INDEX(c_INSy,1,INDEX('Lease Cycles'!$GC$26:$GI$26,1,EC316)+1)))/12)</f>
        <v>0</v>
      </c>
      <c r="ED327" s="28">
        <f>IF(ED326=0,0,ED326*MAX(0,(INDEX(c_CAMy,1,ED$7)-INDEX(c_CAMy,1,INDEX('Lease Cycles'!$GC$26:$GI$26,1,ED316)+1))*(1+'Lease Cycles'!$AK$26)+(INDEX(c_TAXy,1,ED$7)-INDEX(c_TAXy,1,INDEX('Lease Cycles'!$GC$26:$GI$26,1,ED316)+1))+(INDEX(c_INSy,1,ED$7)-INDEX(c_INSy,1,INDEX('Lease Cycles'!$GC$26:$GI$26,1,ED316)+1)))/12)</f>
        <v>0</v>
      </c>
      <c r="EE327" s="28">
        <f>IF(EE326=0,0,EE326*MAX(0,(INDEX(c_CAMy,1,EE$7)-INDEX(c_CAMy,1,INDEX('Lease Cycles'!$GC$26:$GI$26,1,EE316)+1))*(1+'Lease Cycles'!$AK$26)+(INDEX(c_TAXy,1,EE$7)-INDEX(c_TAXy,1,INDEX('Lease Cycles'!$GC$26:$GI$26,1,EE316)+1))+(INDEX(c_INSy,1,EE$7)-INDEX(c_INSy,1,INDEX('Lease Cycles'!$GC$26:$GI$26,1,EE316)+1)))/12)</f>
        <v>0</v>
      </c>
      <c r="EF327" s="28">
        <f>IF(EF326=0,0,EF326*MAX(0,(INDEX(c_CAMy,1,EF$7)-INDEX(c_CAMy,1,INDEX('Lease Cycles'!$GC$26:$GI$26,1,EF316)+1))*(1+'Lease Cycles'!$AK$26)+(INDEX(c_TAXy,1,EF$7)-INDEX(c_TAXy,1,INDEX('Lease Cycles'!$GC$26:$GI$26,1,EF316)+1))+(INDEX(c_INSy,1,EF$7)-INDEX(c_INSy,1,INDEX('Lease Cycles'!$GC$26:$GI$26,1,EF316)+1)))/12)</f>
        <v>0</v>
      </c>
      <c r="EG327" s="28">
        <f>IF(EG326=0,0,EG326*MAX(0,(INDEX(c_CAMy,1,EG$7)-INDEX(c_CAMy,1,INDEX('Lease Cycles'!$GC$26:$GI$26,1,EG316)+1))*(1+'Lease Cycles'!$AK$26)+(INDEX(c_TAXy,1,EG$7)-INDEX(c_TAXy,1,INDEX('Lease Cycles'!$GC$26:$GI$26,1,EG316)+1))+(INDEX(c_INSy,1,EG$7)-INDEX(c_INSy,1,INDEX('Lease Cycles'!$GC$26:$GI$26,1,EG316)+1)))/12)</f>
        <v>0</v>
      </c>
      <c r="EH327" s="28">
        <f>IF(EH326=0,0,EH326*MAX(0,(INDEX(c_CAMy,1,EH$7)-INDEX(c_CAMy,1,INDEX('Lease Cycles'!$GC$26:$GI$26,1,EH316)+1))*(1+'Lease Cycles'!$AK$26)+(INDEX(c_TAXy,1,EH$7)-INDEX(c_TAXy,1,INDEX('Lease Cycles'!$GC$26:$GI$26,1,EH316)+1))+(INDEX(c_INSy,1,EH$7)-INDEX(c_INSy,1,INDEX('Lease Cycles'!$GC$26:$GI$26,1,EH316)+1)))/12)</f>
        <v>0</v>
      </c>
      <c r="EI327" s="28">
        <f>IF(EI326=0,0,EI326*MAX(0,(INDEX(c_CAMy,1,EI$7)-INDEX(c_CAMy,1,INDEX('Lease Cycles'!$GC$26:$GI$26,1,EI316)+1))*(1+'Lease Cycles'!$AK$26)+(INDEX(c_TAXy,1,EI$7)-INDEX(c_TAXy,1,INDEX('Lease Cycles'!$GC$26:$GI$26,1,EI316)+1))+(INDEX(c_INSy,1,EI$7)-INDEX(c_INSy,1,INDEX('Lease Cycles'!$GC$26:$GI$26,1,EI316)+1)))/12)</f>
        <v>0</v>
      </c>
      <c r="EJ327" s="28">
        <f>IF(EJ326=0,0,EJ326*MAX(0,(INDEX(c_CAMy,1,EJ$7)-INDEX(c_CAMy,1,INDEX('Lease Cycles'!$GC$26:$GI$26,1,EJ316)+1))*(1+'Lease Cycles'!$AK$26)+(INDEX(c_TAXy,1,EJ$7)-INDEX(c_TAXy,1,INDEX('Lease Cycles'!$GC$26:$GI$26,1,EJ316)+1))+(INDEX(c_INSy,1,EJ$7)-INDEX(c_INSy,1,INDEX('Lease Cycles'!$GC$26:$GI$26,1,EJ316)+1)))/12)</f>
        <v>0</v>
      </c>
      <c r="EK327" s="28">
        <f>IF(EK326=0,0,EK326*MAX(0,(INDEX(c_CAMy,1,EK$7)-INDEX(c_CAMy,1,INDEX('Lease Cycles'!$GC$26:$GI$26,1,EK316)+1))*(1+'Lease Cycles'!$AK$26)+(INDEX(c_TAXy,1,EK$7)-INDEX(c_TAXy,1,INDEX('Lease Cycles'!$GC$26:$GI$26,1,EK316)+1))+(INDEX(c_INSy,1,EK$7)-INDEX(c_INSy,1,INDEX('Lease Cycles'!$GC$26:$GI$26,1,EK316)+1)))/12)</f>
        <v>0</v>
      </c>
      <c r="EL327" s="28">
        <f>IF(EL326=0,0,EL326*MAX(0,(INDEX(c_CAMy,1,EL$7)-INDEX(c_CAMy,1,INDEX('Lease Cycles'!$GC$26:$GI$26,1,EL316)+1))*(1+'Lease Cycles'!$AK$26)+(INDEX(c_TAXy,1,EL$7)-INDEX(c_TAXy,1,INDEX('Lease Cycles'!$GC$26:$GI$26,1,EL316)+1))+(INDEX(c_INSy,1,EL$7)-INDEX(c_INSy,1,INDEX('Lease Cycles'!$GC$26:$GI$26,1,EL316)+1)))/12)</f>
        <v>0</v>
      </c>
      <c r="EM327" s="28">
        <f>IF(EM326=0,0,EM326*MAX(0,(INDEX(c_CAMy,1,EM$7)-INDEX(c_CAMy,1,INDEX('Lease Cycles'!$GC$26:$GI$26,1,EM316)+1))*(1+'Lease Cycles'!$AK$26)+(INDEX(c_TAXy,1,EM$7)-INDEX(c_TAXy,1,INDEX('Lease Cycles'!$GC$26:$GI$26,1,EM316)+1))+(INDEX(c_INSy,1,EM$7)-INDEX(c_INSy,1,INDEX('Lease Cycles'!$GC$26:$GI$26,1,EM316)+1)))/12)</f>
        <v>0</v>
      </c>
      <c r="EN327" s="28">
        <f>IF(EN326=0,0,EN326*MAX(0,(INDEX(c_CAMy,1,EN$7)-INDEX(c_CAMy,1,INDEX('Lease Cycles'!$GC$26:$GI$26,1,EN316)+1))*(1+'Lease Cycles'!$AK$26)+(INDEX(c_TAXy,1,EN$7)-INDEX(c_TAXy,1,INDEX('Lease Cycles'!$GC$26:$GI$26,1,EN316)+1))+(INDEX(c_INSy,1,EN$7)-INDEX(c_INSy,1,INDEX('Lease Cycles'!$GC$26:$GI$26,1,EN316)+1)))/12)</f>
        <v>0</v>
      </c>
      <c r="EO327" s="28">
        <f>IF(EO326=0,0,EO326*MAX(0,(INDEX(c_CAMy,1,EO$7)-INDEX(c_CAMy,1,INDEX('Lease Cycles'!$GC$26:$GI$26,1,EO316)+1))*(1+'Lease Cycles'!$AK$26)+(INDEX(c_TAXy,1,EO$7)-INDEX(c_TAXy,1,INDEX('Lease Cycles'!$GC$26:$GI$26,1,EO316)+1))+(INDEX(c_INSy,1,EO$7)-INDEX(c_INSy,1,INDEX('Lease Cycles'!$GC$26:$GI$26,1,EO316)+1)))/12)</f>
        <v>0</v>
      </c>
      <c r="EP327" s="28">
        <f>IF(EP326=0,0,EP326*MAX(0,(INDEX(c_CAMy,1,EP$7)-INDEX(c_CAMy,1,INDEX('Lease Cycles'!$GC$26:$GI$26,1,EP316)+1))*(1+'Lease Cycles'!$AK$26)+(INDEX(c_TAXy,1,EP$7)-INDEX(c_TAXy,1,INDEX('Lease Cycles'!$GC$26:$GI$26,1,EP316)+1))+(INDEX(c_INSy,1,EP$7)-INDEX(c_INSy,1,INDEX('Lease Cycles'!$GC$26:$GI$26,1,EP316)+1)))/12)</f>
        <v>0</v>
      </c>
      <c r="EQ327" s="28">
        <f>IF(EQ326=0,0,EQ326*MAX(0,(INDEX(c_CAMy,1,EQ$7)-INDEX(c_CAMy,1,INDEX('Lease Cycles'!$GC$26:$GI$26,1,EQ316)+1))*(1+'Lease Cycles'!$AK$26)+(INDEX(c_TAXy,1,EQ$7)-INDEX(c_TAXy,1,INDEX('Lease Cycles'!$GC$26:$GI$26,1,EQ316)+1))+(INDEX(c_INSy,1,EQ$7)-INDEX(c_INSy,1,INDEX('Lease Cycles'!$GC$26:$GI$26,1,EQ316)+1)))/12)</f>
        <v>0</v>
      </c>
      <c r="ER327" s="28">
        <f>IF(ER326=0,0,ER326*MAX(0,(INDEX(c_CAMy,1,ER$7)-INDEX(c_CAMy,1,INDEX('Lease Cycles'!$GC$26:$GI$26,1,ER316)+1))*(1+'Lease Cycles'!$AK$26)+(INDEX(c_TAXy,1,ER$7)-INDEX(c_TAXy,1,INDEX('Lease Cycles'!$GC$26:$GI$26,1,ER316)+1))+(INDEX(c_INSy,1,ER$7)-INDEX(c_INSy,1,INDEX('Lease Cycles'!$GC$26:$GI$26,1,ER316)+1)))/12)</f>
        <v>0</v>
      </c>
      <c r="ES327" s="28">
        <f>IF(ES326=0,0,ES326*MAX(0,(INDEX(c_CAMy,1,ES$7)-INDEX(c_CAMy,1,INDEX('Lease Cycles'!$GC$26:$GI$26,1,ES316)+1))*(1+'Lease Cycles'!$AK$26)+(INDEX(c_TAXy,1,ES$7)-INDEX(c_TAXy,1,INDEX('Lease Cycles'!$GC$26:$GI$26,1,ES316)+1))+(INDEX(c_INSy,1,ES$7)-INDEX(c_INSy,1,INDEX('Lease Cycles'!$GC$26:$GI$26,1,ES316)+1)))/12)</f>
        <v>0</v>
      </c>
      <c r="ET327" s="28">
        <f>IF(ET326=0,0,ET326*MAX(0,(INDEX(c_CAMy,1,ET$7)-INDEX(c_CAMy,1,INDEX('Lease Cycles'!$GC$26:$GI$26,1,ET316)+1))*(1+'Lease Cycles'!$AK$26)+(INDEX(c_TAXy,1,ET$7)-INDEX(c_TAXy,1,INDEX('Lease Cycles'!$GC$26:$GI$26,1,ET316)+1))+(INDEX(c_INSy,1,ET$7)-INDEX(c_INSy,1,INDEX('Lease Cycles'!$GC$26:$GI$26,1,ET316)+1)))/12)</f>
        <v>0</v>
      </c>
    </row>
    <row r="328">
      <c r="A328" s="103">
        <v>19</v>
      </c>
      <c r="B328" s="23" t="str">
        <f>IF('Lease Cycles'!$B$26="","(empty slot)",'Lease Cycles'!$B$26)</f>
        <v>(empty slot)</v>
      </c>
      <c r="C328" s="23" t="s">
        <v>530</v>
      </c>
      <c r="D328" s="104" t="s">
        <v>531</v>
      </c>
      <c r="E328" s="25">
        <f>'Lease Cycles'!$AL$26</f>
        <v>0</v>
      </c>
      <c r="G328" s="28">
        <f>SUM(S328:AD328)</f>
        <v>0</v>
      </c>
      <c r="H328" s="28">
        <f>SUM(AE328:AP328)</f>
        <v>0</v>
      </c>
      <c r="I328" s="28">
        <f>SUM(AQ328:BB328)</f>
        <v>0</v>
      </c>
      <c r="J328" s="28">
        <f>SUM(BC328:BN328)</f>
        <v>0</v>
      </c>
      <c r="K328" s="28">
        <f>SUM(BO328:BZ328)</f>
        <v>0</v>
      </c>
      <c r="L328" s="28">
        <f>SUM(CA328:CL328)</f>
        <v>0</v>
      </c>
      <c r="M328" s="28">
        <f>SUM(CM328:CX328)</f>
        <v>0</v>
      </c>
      <c r="N328" s="28">
        <f>SUM(CY328:DJ328)</f>
        <v>0</v>
      </c>
      <c r="O328" s="28">
        <f>SUM(DK328:DV328)</f>
        <v>0</v>
      </c>
      <c r="P328" s="28">
        <f>SUM(DW328:EH328)</f>
        <v>0</v>
      </c>
      <c r="Q328" s="28">
        <f>SUM(EI328:ET328)</f>
        <v>0</v>
      </c>
      <c r="S328" s="28">
        <f>SUMIF('Lease Cycles'!$HL$26:$HR$26,S$6,'Lease Cycles'!$HS$26:$HY$26)</f>
        <v>0</v>
      </c>
      <c r="T328" s="28">
        <f>SUMIF('Lease Cycles'!$HL$26:$HR$26,T$6,'Lease Cycles'!$HS$26:$HY$26)</f>
        <v>0</v>
      </c>
      <c r="U328" s="28">
        <f>SUMIF('Lease Cycles'!$HL$26:$HR$26,U$6,'Lease Cycles'!$HS$26:$HY$26)</f>
        <v>0</v>
      </c>
      <c r="V328" s="28">
        <f>SUMIF('Lease Cycles'!$HL$26:$HR$26,V$6,'Lease Cycles'!$HS$26:$HY$26)</f>
        <v>0</v>
      </c>
      <c r="W328" s="28">
        <f>SUMIF('Lease Cycles'!$HL$26:$HR$26,W$6,'Lease Cycles'!$HS$26:$HY$26)</f>
        <v>0</v>
      </c>
      <c r="X328" s="28">
        <f>SUMIF('Lease Cycles'!$HL$26:$HR$26,X$6,'Lease Cycles'!$HS$26:$HY$26)</f>
        <v>0</v>
      </c>
      <c r="Y328" s="28">
        <f>SUMIF('Lease Cycles'!$HL$26:$HR$26,Y$6,'Lease Cycles'!$HS$26:$HY$26)</f>
        <v>0</v>
      </c>
      <c r="Z328" s="28">
        <f>SUMIF('Lease Cycles'!$HL$26:$HR$26,Z$6,'Lease Cycles'!$HS$26:$HY$26)</f>
        <v>0</v>
      </c>
      <c r="AA328" s="28">
        <f>SUMIF('Lease Cycles'!$HL$26:$HR$26,AA$6,'Lease Cycles'!$HS$26:$HY$26)</f>
        <v>0</v>
      </c>
      <c r="AB328" s="28">
        <f>SUMIF('Lease Cycles'!$HL$26:$HR$26,AB$6,'Lease Cycles'!$HS$26:$HY$26)</f>
        <v>0</v>
      </c>
      <c r="AC328" s="28">
        <f>SUMIF('Lease Cycles'!$HL$26:$HR$26,AC$6,'Lease Cycles'!$HS$26:$HY$26)</f>
        <v>0</v>
      </c>
      <c r="AD328" s="28">
        <f>SUMIF('Lease Cycles'!$HL$26:$HR$26,AD$6,'Lease Cycles'!$HS$26:$HY$26)</f>
        <v>0</v>
      </c>
      <c r="AE328" s="28">
        <f>SUMIF('Lease Cycles'!$HL$26:$HR$26,AE$6,'Lease Cycles'!$HS$26:$HY$26)</f>
        <v>0</v>
      </c>
      <c r="AF328" s="28">
        <f>SUMIF('Lease Cycles'!$HL$26:$HR$26,AF$6,'Lease Cycles'!$HS$26:$HY$26)</f>
        <v>0</v>
      </c>
      <c r="AG328" s="28">
        <f>SUMIF('Lease Cycles'!$HL$26:$HR$26,AG$6,'Lease Cycles'!$HS$26:$HY$26)</f>
        <v>0</v>
      </c>
      <c r="AH328" s="28">
        <f>SUMIF('Lease Cycles'!$HL$26:$HR$26,AH$6,'Lease Cycles'!$HS$26:$HY$26)</f>
        <v>0</v>
      </c>
      <c r="AI328" s="28">
        <f>SUMIF('Lease Cycles'!$HL$26:$HR$26,AI$6,'Lease Cycles'!$HS$26:$HY$26)</f>
        <v>0</v>
      </c>
      <c r="AJ328" s="28">
        <f>SUMIF('Lease Cycles'!$HL$26:$HR$26,AJ$6,'Lease Cycles'!$HS$26:$HY$26)</f>
        <v>0</v>
      </c>
      <c r="AK328" s="28">
        <f>SUMIF('Lease Cycles'!$HL$26:$HR$26,AK$6,'Lease Cycles'!$HS$26:$HY$26)</f>
        <v>0</v>
      </c>
      <c r="AL328" s="28">
        <f>SUMIF('Lease Cycles'!$HL$26:$HR$26,AL$6,'Lease Cycles'!$HS$26:$HY$26)</f>
        <v>0</v>
      </c>
      <c r="AM328" s="28">
        <f>SUMIF('Lease Cycles'!$HL$26:$HR$26,AM$6,'Lease Cycles'!$HS$26:$HY$26)</f>
        <v>0</v>
      </c>
      <c r="AN328" s="28">
        <f>SUMIF('Lease Cycles'!$HL$26:$HR$26,AN$6,'Lease Cycles'!$HS$26:$HY$26)</f>
        <v>0</v>
      </c>
      <c r="AO328" s="28">
        <f>SUMIF('Lease Cycles'!$HL$26:$HR$26,AO$6,'Lease Cycles'!$HS$26:$HY$26)</f>
        <v>0</v>
      </c>
      <c r="AP328" s="28">
        <f>SUMIF('Lease Cycles'!$HL$26:$HR$26,AP$6,'Lease Cycles'!$HS$26:$HY$26)</f>
        <v>0</v>
      </c>
      <c r="AQ328" s="28">
        <f>SUMIF('Lease Cycles'!$HL$26:$HR$26,AQ$6,'Lease Cycles'!$HS$26:$HY$26)</f>
        <v>0</v>
      </c>
      <c r="AR328" s="28">
        <f>SUMIF('Lease Cycles'!$HL$26:$HR$26,AR$6,'Lease Cycles'!$HS$26:$HY$26)</f>
        <v>0</v>
      </c>
      <c r="AS328" s="28">
        <f>SUMIF('Lease Cycles'!$HL$26:$HR$26,AS$6,'Lease Cycles'!$HS$26:$HY$26)</f>
        <v>0</v>
      </c>
      <c r="AT328" s="28">
        <f>SUMIF('Lease Cycles'!$HL$26:$HR$26,AT$6,'Lease Cycles'!$HS$26:$HY$26)</f>
        <v>0</v>
      </c>
      <c r="AU328" s="28">
        <f>SUMIF('Lease Cycles'!$HL$26:$HR$26,AU$6,'Lease Cycles'!$HS$26:$HY$26)</f>
        <v>0</v>
      </c>
      <c r="AV328" s="28">
        <f>SUMIF('Lease Cycles'!$HL$26:$HR$26,AV$6,'Lease Cycles'!$HS$26:$HY$26)</f>
        <v>0</v>
      </c>
      <c r="AW328" s="28">
        <f>SUMIF('Lease Cycles'!$HL$26:$HR$26,AW$6,'Lease Cycles'!$HS$26:$HY$26)</f>
        <v>0</v>
      </c>
      <c r="AX328" s="28">
        <f>SUMIF('Lease Cycles'!$HL$26:$HR$26,AX$6,'Lease Cycles'!$HS$26:$HY$26)</f>
        <v>0</v>
      </c>
      <c r="AY328" s="28">
        <f>SUMIF('Lease Cycles'!$HL$26:$HR$26,AY$6,'Lease Cycles'!$HS$26:$HY$26)</f>
        <v>0</v>
      </c>
      <c r="AZ328" s="28">
        <f>SUMIF('Lease Cycles'!$HL$26:$HR$26,AZ$6,'Lease Cycles'!$HS$26:$HY$26)</f>
        <v>0</v>
      </c>
      <c r="BA328" s="28">
        <f>SUMIF('Lease Cycles'!$HL$26:$HR$26,BA$6,'Lease Cycles'!$HS$26:$HY$26)</f>
        <v>0</v>
      </c>
      <c r="BB328" s="28">
        <f>SUMIF('Lease Cycles'!$HL$26:$HR$26,BB$6,'Lease Cycles'!$HS$26:$HY$26)</f>
        <v>0</v>
      </c>
      <c r="BC328" s="28">
        <f>SUMIF('Lease Cycles'!$HL$26:$HR$26,BC$6,'Lease Cycles'!$HS$26:$HY$26)</f>
        <v>0</v>
      </c>
      <c r="BD328" s="28">
        <f>SUMIF('Lease Cycles'!$HL$26:$HR$26,BD$6,'Lease Cycles'!$HS$26:$HY$26)</f>
        <v>0</v>
      </c>
      <c r="BE328" s="28">
        <f>SUMIF('Lease Cycles'!$HL$26:$HR$26,BE$6,'Lease Cycles'!$HS$26:$HY$26)</f>
        <v>0</v>
      </c>
      <c r="BF328" s="28">
        <f>SUMIF('Lease Cycles'!$HL$26:$HR$26,BF$6,'Lease Cycles'!$HS$26:$HY$26)</f>
        <v>0</v>
      </c>
      <c r="BG328" s="28">
        <f>SUMIF('Lease Cycles'!$HL$26:$HR$26,BG$6,'Lease Cycles'!$HS$26:$HY$26)</f>
        <v>0</v>
      </c>
      <c r="BH328" s="28">
        <f>SUMIF('Lease Cycles'!$HL$26:$HR$26,BH$6,'Lease Cycles'!$HS$26:$HY$26)</f>
        <v>0</v>
      </c>
      <c r="BI328" s="28">
        <f>SUMIF('Lease Cycles'!$HL$26:$HR$26,BI$6,'Lease Cycles'!$HS$26:$HY$26)</f>
        <v>0</v>
      </c>
      <c r="BJ328" s="28">
        <f>SUMIF('Lease Cycles'!$HL$26:$HR$26,BJ$6,'Lease Cycles'!$HS$26:$HY$26)</f>
        <v>0</v>
      </c>
      <c r="BK328" s="28">
        <f>SUMIF('Lease Cycles'!$HL$26:$HR$26,BK$6,'Lease Cycles'!$HS$26:$HY$26)</f>
        <v>0</v>
      </c>
      <c r="BL328" s="28">
        <f>SUMIF('Lease Cycles'!$HL$26:$HR$26,BL$6,'Lease Cycles'!$HS$26:$HY$26)</f>
        <v>0</v>
      </c>
      <c r="BM328" s="28">
        <f>SUMIF('Lease Cycles'!$HL$26:$HR$26,BM$6,'Lease Cycles'!$HS$26:$HY$26)</f>
        <v>0</v>
      </c>
      <c r="BN328" s="28">
        <f>SUMIF('Lease Cycles'!$HL$26:$HR$26,BN$6,'Lease Cycles'!$HS$26:$HY$26)</f>
        <v>0</v>
      </c>
      <c r="BO328" s="28">
        <f>SUMIF('Lease Cycles'!$HL$26:$HR$26,BO$6,'Lease Cycles'!$HS$26:$HY$26)</f>
        <v>0</v>
      </c>
      <c r="BP328" s="28">
        <f>SUMIF('Lease Cycles'!$HL$26:$HR$26,BP$6,'Lease Cycles'!$HS$26:$HY$26)</f>
        <v>0</v>
      </c>
      <c r="BQ328" s="28">
        <f>SUMIF('Lease Cycles'!$HL$26:$HR$26,BQ$6,'Lease Cycles'!$HS$26:$HY$26)</f>
        <v>0</v>
      </c>
      <c r="BR328" s="28">
        <f>SUMIF('Lease Cycles'!$HL$26:$HR$26,BR$6,'Lease Cycles'!$HS$26:$HY$26)</f>
        <v>0</v>
      </c>
      <c r="BS328" s="28">
        <f>SUMIF('Lease Cycles'!$HL$26:$HR$26,BS$6,'Lease Cycles'!$HS$26:$HY$26)</f>
        <v>0</v>
      </c>
      <c r="BT328" s="28">
        <f>SUMIF('Lease Cycles'!$HL$26:$HR$26,BT$6,'Lease Cycles'!$HS$26:$HY$26)</f>
        <v>0</v>
      </c>
      <c r="BU328" s="28">
        <f>SUMIF('Lease Cycles'!$HL$26:$HR$26,BU$6,'Lease Cycles'!$HS$26:$HY$26)</f>
        <v>0</v>
      </c>
      <c r="BV328" s="28">
        <f>SUMIF('Lease Cycles'!$HL$26:$HR$26,BV$6,'Lease Cycles'!$HS$26:$HY$26)</f>
        <v>0</v>
      </c>
      <c r="BW328" s="28">
        <f>SUMIF('Lease Cycles'!$HL$26:$HR$26,BW$6,'Lease Cycles'!$HS$26:$HY$26)</f>
        <v>0</v>
      </c>
      <c r="BX328" s="28">
        <f>SUMIF('Lease Cycles'!$HL$26:$HR$26,BX$6,'Lease Cycles'!$HS$26:$HY$26)</f>
        <v>0</v>
      </c>
      <c r="BY328" s="28">
        <f>SUMIF('Lease Cycles'!$HL$26:$HR$26,BY$6,'Lease Cycles'!$HS$26:$HY$26)</f>
        <v>0</v>
      </c>
      <c r="BZ328" s="28">
        <f>SUMIF('Lease Cycles'!$HL$26:$HR$26,BZ$6,'Lease Cycles'!$HS$26:$HY$26)</f>
        <v>0</v>
      </c>
      <c r="CA328" s="28">
        <f>SUMIF('Lease Cycles'!$HL$26:$HR$26,CA$6,'Lease Cycles'!$HS$26:$HY$26)</f>
        <v>0</v>
      </c>
      <c r="CB328" s="28">
        <f>SUMIF('Lease Cycles'!$HL$26:$HR$26,CB$6,'Lease Cycles'!$HS$26:$HY$26)</f>
        <v>0</v>
      </c>
      <c r="CC328" s="28">
        <f>SUMIF('Lease Cycles'!$HL$26:$HR$26,CC$6,'Lease Cycles'!$HS$26:$HY$26)</f>
        <v>0</v>
      </c>
      <c r="CD328" s="28">
        <f>SUMIF('Lease Cycles'!$HL$26:$HR$26,CD$6,'Lease Cycles'!$HS$26:$HY$26)</f>
        <v>0</v>
      </c>
      <c r="CE328" s="28">
        <f>SUMIF('Lease Cycles'!$HL$26:$HR$26,CE$6,'Lease Cycles'!$HS$26:$HY$26)</f>
        <v>0</v>
      </c>
      <c r="CF328" s="28">
        <f>SUMIF('Lease Cycles'!$HL$26:$HR$26,CF$6,'Lease Cycles'!$HS$26:$HY$26)</f>
        <v>0</v>
      </c>
      <c r="CG328" s="28">
        <f>SUMIF('Lease Cycles'!$HL$26:$HR$26,CG$6,'Lease Cycles'!$HS$26:$HY$26)</f>
        <v>0</v>
      </c>
      <c r="CH328" s="28">
        <f>SUMIF('Lease Cycles'!$HL$26:$HR$26,CH$6,'Lease Cycles'!$HS$26:$HY$26)</f>
        <v>0</v>
      </c>
      <c r="CI328" s="28">
        <f>SUMIF('Lease Cycles'!$HL$26:$HR$26,CI$6,'Lease Cycles'!$HS$26:$HY$26)</f>
        <v>0</v>
      </c>
      <c r="CJ328" s="28">
        <f>SUMIF('Lease Cycles'!$HL$26:$HR$26,CJ$6,'Lease Cycles'!$HS$26:$HY$26)</f>
        <v>0</v>
      </c>
      <c r="CK328" s="28">
        <f>SUMIF('Lease Cycles'!$HL$26:$HR$26,CK$6,'Lease Cycles'!$HS$26:$HY$26)</f>
        <v>0</v>
      </c>
      <c r="CL328" s="28">
        <f>SUMIF('Lease Cycles'!$HL$26:$HR$26,CL$6,'Lease Cycles'!$HS$26:$HY$26)</f>
        <v>0</v>
      </c>
      <c r="CM328" s="28">
        <f>SUMIF('Lease Cycles'!$HL$26:$HR$26,CM$6,'Lease Cycles'!$HS$26:$HY$26)</f>
        <v>0</v>
      </c>
      <c r="CN328" s="28">
        <f>SUMIF('Lease Cycles'!$HL$26:$HR$26,CN$6,'Lease Cycles'!$HS$26:$HY$26)</f>
        <v>0</v>
      </c>
      <c r="CO328" s="28">
        <f>SUMIF('Lease Cycles'!$HL$26:$HR$26,CO$6,'Lease Cycles'!$HS$26:$HY$26)</f>
        <v>0</v>
      </c>
      <c r="CP328" s="28">
        <f>SUMIF('Lease Cycles'!$HL$26:$HR$26,CP$6,'Lease Cycles'!$HS$26:$HY$26)</f>
        <v>0</v>
      </c>
      <c r="CQ328" s="28">
        <f>SUMIF('Lease Cycles'!$HL$26:$HR$26,CQ$6,'Lease Cycles'!$HS$26:$HY$26)</f>
        <v>0</v>
      </c>
      <c r="CR328" s="28">
        <f>SUMIF('Lease Cycles'!$HL$26:$HR$26,CR$6,'Lease Cycles'!$HS$26:$HY$26)</f>
        <v>0</v>
      </c>
      <c r="CS328" s="28">
        <f>SUMIF('Lease Cycles'!$HL$26:$HR$26,CS$6,'Lease Cycles'!$HS$26:$HY$26)</f>
        <v>0</v>
      </c>
      <c r="CT328" s="28">
        <f>SUMIF('Lease Cycles'!$HL$26:$HR$26,CT$6,'Lease Cycles'!$HS$26:$HY$26)</f>
        <v>0</v>
      </c>
      <c r="CU328" s="28">
        <f>SUMIF('Lease Cycles'!$HL$26:$HR$26,CU$6,'Lease Cycles'!$HS$26:$HY$26)</f>
        <v>0</v>
      </c>
      <c r="CV328" s="28">
        <f>SUMIF('Lease Cycles'!$HL$26:$HR$26,CV$6,'Lease Cycles'!$HS$26:$HY$26)</f>
        <v>0</v>
      </c>
      <c r="CW328" s="28">
        <f>SUMIF('Lease Cycles'!$HL$26:$HR$26,CW$6,'Lease Cycles'!$HS$26:$HY$26)</f>
        <v>0</v>
      </c>
      <c r="CX328" s="28">
        <f>SUMIF('Lease Cycles'!$HL$26:$HR$26,CX$6,'Lease Cycles'!$HS$26:$HY$26)</f>
        <v>0</v>
      </c>
      <c r="CY328" s="28">
        <f>SUMIF('Lease Cycles'!$HL$26:$HR$26,CY$6,'Lease Cycles'!$HS$26:$HY$26)</f>
        <v>0</v>
      </c>
      <c r="CZ328" s="28">
        <f>SUMIF('Lease Cycles'!$HL$26:$HR$26,CZ$6,'Lease Cycles'!$HS$26:$HY$26)</f>
        <v>0</v>
      </c>
      <c r="DA328" s="28">
        <f>SUMIF('Lease Cycles'!$HL$26:$HR$26,DA$6,'Lease Cycles'!$HS$26:$HY$26)</f>
        <v>0</v>
      </c>
      <c r="DB328" s="28">
        <f>SUMIF('Lease Cycles'!$HL$26:$HR$26,DB$6,'Lease Cycles'!$HS$26:$HY$26)</f>
        <v>0</v>
      </c>
      <c r="DC328" s="28">
        <f>SUMIF('Lease Cycles'!$HL$26:$HR$26,DC$6,'Lease Cycles'!$HS$26:$HY$26)</f>
        <v>0</v>
      </c>
      <c r="DD328" s="28">
        <f>SUMIF('Lease Cycles'!$HL$26:$HR$26,DD$6,'Lease Cycles'!$HS$26:$HY$26)</f>
        <v>0</v>
      </c>
      <c r="DE328" s="28">
        <f>SUMIF('Lease Cycles'!$HL$26:$HR$26,DE$6,'Lease Cycles'!$HS$26:$HY$26)</f>
        <v>0</v>
      </c>
      <c r="DF328" s="28">
        <f>SUMIF('Lease Cycles'!$HL$26:$HR$26,DF$6,'Lease Cycles'!$HS$26:$HY$26)</f>
        <v>0</v>
      </c>
      <c r="DG328" s="28">
        <f>SUMIF('Lease Cycles'!$HL$26:$HR$26,DG$6,'Lease Cycles'!$HS$26:$HY$26)</f>
        <v>0</v>
      </c>
      <c r="DH328" s="28">
        <f>SUMIF('Lease Cycles'!$HL$26:$HR$26,DH$6,'Lease Cycles'!$HS$26:$HY$26)</f>
        <v>0</v>
      </c>
      <c r="DI328" s="28">
        <f>SUMIF('Lease Cycles'!$HL$26:$HR$26,DI$6,'Lease Cycles'!$HS$26:$HY$26)</f>
        <v>0</v>
      </c>
      <c r="DJ328" s="28">
        <f>SUMIF('Lease Cycles'!$HL$26:$HR$26,DJ$6,'Lease Cycles'!$HS$26:$HY$26)</f>
        <v>0</v>
      </c>
      <c r="DK328" s="28">
        <f>SUMIF('Lease Cycles'!$HL$26:$HR$26,DK$6,'Lease Cycles'!$HS$26:$HY$26)</f>
        <v>0</v>
      </c>
      <c r="DL328" s="28">
        <f>SUMIF('Lease Cycles'!$HL$26:$HR$26,DL$6,'Lease Cycles'!$HS$26:$HY$26)</f>
        <v>0</v>
      </c>
      <c r="DM328" s="28">
        <f>SUMIF('Lease Cycles'!$HL$26:$HR$26,DM$6,'Lease Cycles'!$HS$26:$HY$26)</f>
        <v>0</v>
      </c>
      <c r="DN328" s="28">
        <f>SUMIF('Lease Cycles'!$HL$26:$HR$26,DN$6,'Lease Cycles'!$HS$26:$HY$26)</f>
        <v>0</v>
      </c>
      <c r="DO328" s="28">
        <f>SUMIF('Lease Cycles'!$HL$26:$HR$26,DO$6,'Lease Cycles'!$HS$26:$HY$26)</f>
        <v>0</v>
      </c>
      <c r="DP328" s="28">
        <f>SUMIF('Lease Cycles'!$HL$26:$HR$26,DP$6,'Lease Cycles'!$HS$26:$HY$26)</f>
        <v>0</v>
      </c>
      <c r="DQ328" s="28">
        <f>SUMIF('Lease Cycles'!$HL$26:$HR$26,DQ$6,'Lease Cycles'!$HS$26:$HY$26)</f>
        <v>0</v>
      </c>
      <c r="DR328" s="28">
        <f>SUMIF('Lease Cycles'!$HL$26:$HR$26,DR$6,'Lease Cycles'!$HS$26:$HY$26)</f>
        <v>0</v>
      </c>
      <c r="DS328" s="28">
        <f>SUMIF('Lease Cycles'!$HL$26:$HR$26,DS$6,'Lease Cycles'!$HS$26:$HY$26)</f>
        <v>0</v>
      </c>
      <c r="DT328" s="28">
        <f>SUMIF('Lease Cycles'!$HL$26:$HR$26,DT$6,'Lease Cycles'!$HS$26:$HY$26)</f>
        <v>0</v>
      </c>
      <c r="DU328" s="28">
        <f>SUMIF('Lease Cycles'!$HL$26:$HR$26,DU$6,'Lease Cycles'!$HS$26:$HY$26)</f>
        <v>0</v>
      </c>
      <c r="DV328" s="28">
        <f>SUMIF('Lease Cycles'!$HL$26:$HR$26,DV$6,'Lease Cycles'!$HS$26:$HY$26)</f>
        <v>0</v>
      </c>
      <c r="DW328" s="28">
        <f>SUMIF('Lease Cycles'!$HL$26:$HR$26,DW$6,'Lease Cycles'!$HS$26:$HY$26)</f>
        <v>0</v>
      </c>
      <c r="DX328" s="28">
        <f>SUMIF('Lease Cycles'!$HL$26:$HR$26,DX$6,'Lease Cycles'!$HS$26:$HY$26)</f>
        <v>0</v>
      </c>
      <c r="DY328" s="28">
        <f>SUMIF('Lease Cycles'!$HL$26:$HR$26,DY$6,'Lease Cycles'!$HS$26:$HY$26)</f>
        <v>0</v>
      </c>
      <c r="DZ328" s="28">
        <f>SUMIF('Lease Cycles'!$HL$26:$HR$26,DZ$6,'Lease Cycles'!$HS$26:$HY$26)</f>
        <v>0</v>
      </c>
      <c r="EA328" s="28">
        <f>SUMIF('Lease Cycles'!$HL$26:$HR$26,EA$6,'Lease Cycles'!$HS$26:$HY$26)</f>
        <v>0</v>
      </c>
      <c r="EB328" s="28">
        <f>SUMIF('Lease Cycles'!$HL$26:$HR$26,EB$6,'Lease Cycles'!$HS$26:$HY$26)</f>
        <v>0</v>
      </c>
      <c r="EC328" s="28">
        <f>SUMIF('Lease Cycles'!$HL$26:$HR$26,EC$6,'Lease Cycles'!$HS$26:$HY$26)</f>
        <v>0</v>
      </c>
      <c r="ED328" s="28">
        <f>SUMIF('Lease Cycles'!$HL$26:$HR$26,ED$6,'Lease Cycles'!$HS$26:$HY$26)</f>
        <v>0</v>
      </c>
      <c r="EE328" s="28">
        <f>SUMIF('Lease Cycles'!$HL$26:$HR$26,EE$6,'Lease Cycles'!$HS$26:$HY$26)</f>
        <v>0</v>
      </c>
      <c r="EF328" s="28">
        <f>SUMIF('Lease Cycles'!$HL$26:$HR$26,EF$6,'Lease Cycles'!$HS$26:$HY$26)</f>
        <v>0</v>
      </c>
      <c r="EG328" s="28">
        <f>SUMIF('Lease Cycles'!$HL$26:$HR$26,EG$6,'Lease Cycles'!$HS$26:$HY$26)</f>
        <v>0</v>
      </c>
      <c r="EH328" s="28">
        <f>SUMIF('Lease Cycles'!$HL$26:$HR$26,EH$6,'Lease Cycles'!$HS$26:$HY$26)</f>
        <v>0</v>
      </c>
      <c r="EI328" s="28">
        <f>SUMIF('Lease Cycles'!$HL$26:$HR$26,EI$6,'Lease Cycles'!$HS$26:$HY$26)</f>
        <v>0</v>
      </c>
      <c r="EJ328" s="28">
        <f>SUMIF('Lease Cycles'!$HL$26:$HR$26,EJ$6,'Lease Cycles'!$HS$26:$HY$26)</f>
        <v>0</v>
      </c>
      <c r="EK328" s="28">
        <f>SUMIF('Lease Cycles'!$HL$26:$HR$26,EK$6,'Lease Cycles'!$HS$26:$HY$26)</f>
        <v>0</v>
      </c>
      <c r="EL328" s="28">
        <f>SUMIF('Lease Cycles'!$HL$26:$HR$26,EL$6,'Lease Cycles'!$HS$26:$HY$26)</f>
        <v>0</v>
      </c>
      <c r="EM328" s="28">
        <f>SUMIF('Lease Cycles'!$HL$26:$HR$26,EM$6,'Lease Cycles'!$HS$26:$HY$26)</f>
        <v>0</v>
      </c>
      <c r="EN328" s="28">
        <f>SUMIF('Lease Cycles'!$HL$26:$HR$26,EN$6,'Lease Cycles'!$HS$26:$HY$26)</f>
        <v>0</v>
      </c>
      <c r="EO328" s="28">
        <f>SUMIF('Lease Cycles'!$HL$26:$HR$26,EO$6,'Lease Cycles'!$HS$26:$HY$26)</f>
        <v>0</v>
      </c>
      <c r="EP328" s="28">
        <f>SUMIF('Lease Cycles'!$HL$26:$HR$26,EP$6,'Lease Cycles'!$HS$26:$HY$26)</f>
        <v>0</v>
      </c>
      <c r="EQ328" s="28">
        <f>SUMIF('Lease Cycles'!$HL$26:$HR$26,EQ$6,'Lease Cycles'!$HS$26:$HY$26)</f>
        <v>0</v>
      </c>
      <c r="ER328" s="28">
        <f>SUMIF('Lease Cycles'!$HL$26:$HR$26,ER$6,'Lease Cycles'!$HS$26:$HY$26)</f>
        <v>0</v>
      </c>
      <c r="ES328" s="28">
        <f>SUMIF('Lease Cycles'!$HL$26:$HR$26,ES$6,'Lease Cycles'!$HS$26:$HY$26)</f>
        <v>0</v>
      </c>
      <c r="ET328" s="28">
        <f>SUMIF('Lease Cycles'!$HL$26:$HR$26,ET$6,'Lease Cycles'!$HS$26:$HY$26)</f>
        <v>0</v>
      </c>
    </row>
    <row r="329">
      <c r="A329" s="103">
        <v>19</v>
      </c>
      <c r="B329" s="23" t="str">
        <f>IF('Lease Cycles'!$B$26="","(empty slot)",'Lease Cycles'!$B$26)</f>
        <v>(empty slot)</v>
      </c>
      <c r="C329" s="23" t="s">
        <v>532</v>
      </c>
      <c r="D329" s="104" t="s">
        <v>533</v>
      </c>
      <c r="E329" s="25">
        <f>'Lease Cycles'!$AL$26</f>
        <v>0</v>
      </c>
      <c r="G329" s="28">
        <f>SUM(S329:AD329)</f>
        <v>0</v>
      </c>
      <c r="H329" s="28">
        <f>SUM(AE329:AP329)</f>
        <v>0</v>
      </c>
      <c r="I329" s="28">
        <f>SUM(AQ329:BB329)</f>
        <v>0</v>
      </c>
      <c r="J329" s="28">
        <f>SUM(BC329:BN329)</f>
        <v>0</v>
      </c>
      <c r="K329" s="28">
        <f>SUM(BO329:BZ329)</f>
        <v>0</v>
      </c>
      <c r="L329" s="28">
        <f>SUM(CA329:CL329)</f>
        <v>0</v>
      </c>
      <c r="M329" s="28">
        <f>SUM(CM329:CX329)</f>
        <v>0</v>
      </c>
      <c r="N329" s="28">
        <f>SUM(CY329:DJ329)</f>
        <v>0</v>
      </c>
      <c r="O329" s="28">
        <f>SUM(DK329:DV329)</f>
        <v>0</v>
      </c>
      <c r="P329" s="28">
        <f>SUM(DW329:EH329)</f>
        <v>0</v>
      </c>
      <c r="Q329" s="28">
        <f>SUM(EI329:ET329)</f>
        <v>0</v>
      </c>
      <c r="S329" s="28">
        <f>SUMIF('Lease Cycles'!$HL$26:$HR$26,S$6,'Lease Cycles'!$HZ$26:$IF$26)</f>
        <v>0</v>
      </c>
      <c r="T329" s="28">
        <f>SUMIF('Lease Cycles'!$HL$26:$HR$26,T$6,'Lease Cycles'!$HZ$26:$IF$26)</f>
        <v>0</v>
      </c>
      <c r="U329" s="28">
        <f>SUMIF('Lease Cycles'!$HL$26:$HR$26,U$6,'Lease Cycles'!$HZ$26:$IF$26)</f>
        <v>0</v>
      </c>
      <c r="V329" s="28">
        <f>SUMIF('Lease Cycles'!$HL$26:$HR$26,V$6,'Lease Cycles'!$HZ$26:$IF$26)</f>
        <v>0</v>
      </c>
      <c r="W329" s="28">
        <f>SUMIF('Lease Cycles'!$HL$26:$HR$26,W$6,'Lease Cycles'!$HZ$26:$IF$26)</f>
        <v>0</v>
      </c>
      <c r="X329" s="28">
        <f>SUMIF('Lease Cycles'!$HL$26:$HR$26,X$6,'Lease Cycles'!$HZ$26:$IF$26)</f>
        <v>0</v>
      </c>
      <c r="Y329" s="28">
        <f>SUMIF('Lease Cycles'!$HL$26:$HR$26,Y$6,'Lease Cycles'!$HZ$26:$IF$26)</f>
        <v>0</v>
      </c>
      <c r="Z329" s="28">
        <f>SUMIF('Lease Cycles'!$HL$26:$HR$26,Z$6,'Lease Cycles'!$HZ$26:$IF$26)</f>
        <v>0</v>
      </c>
      <c r="AA329" s="28">
        <f>SUMIF('Lease Cycles'!$HL$26:$HR$26,AA$6,'Lease Cycles'!$HZ$26:$IF$26)</f>
        <v>0</v>
      </c>
      <c r="AB329" s="28">
        <f>SUMIF('Lease Cycles'!$HL$26:$HR$26,AB$6,'Lease Cycles'!$HZ$26:$IF$26)</f>
        <v>0</v>
      </c>
      <c r="AC329" s="28">
        <f>SUMIF('Lease Cycles'!$HL$26:$HR$26,AC$6,'Lease Cycles'!$HZ$26:$IF$26)</f>
        <v>0</v>
      </c>
      <c r="AD329" s="28">
        <f>SUMIF('Lease Cycles'!$HL$26:$HR$26,AD$6,'Lease Cycles'!$HZ$26:$IF$26)</f>
        <v>0</v>
      </c>
      <c r="AE329" s="28">
        <f>SUMIF('Lease Cycles'!$HL$26:$HR$26,AE$6,'Lease Cycles'!$HZ$26:$IF$26)</f>
        <v>0</v>
      </c>
      <c r="AF329" s="28">
        <f>SUMIF('Lease Cycles'!$HL$26:$HR$26,AF$6,'Lease Cycles'!$HZ$26:$IF$26)</f>
        <v>0</v>
      </c>
      <c r="AG329" s="28">
        <f>SUMIF('Lease Cycles'!$HL$26:$HR$26,AG$6,'Lease Cycles'!$HZ$26:$IF$26)</f>
        <v>0</v>
      </c>
      <c r="AH329" s="28">
        <f>SUMIF('Lease Cycles'!$HL$26:$HR$26,AH$6,'Lease Cycles'!$HZ$26:$IF$26)</f>
        <v>0</v>
      </c>
      <c r="AI329" s="28">
        <f>SUMIF('Lease Cycles'!$HL$26:$HR$26,AI$6,'Lease Cycles'!$HZ$26:$IF$26)</f>
        <v>0</v>
      </c>
      <c r="AJ329" s="28">
        <f>SUMIF('Lease Cycles'!$HL$26:$HR$26,AJ$6,'Lease Cycles'!$HZ$26:$IF$26)</f>
        <v>0</v>
      </c>
      <c r="AK329" s="28">
        <f>SUMIF('Lease Cycles'!$HL$26:$HR$26,AK$6,'Lease Cycles'!$HZ$26:$IF$26)</f>
        <v>0</v>
      </c>
      <c r="AL329" s="28">
        <f>SUMIF('Lease Cycles'!$HL$26:$HR$26,AL$6,'Lease Cycles'!$HZ$26:$IF$26)</f>
        <v>0</v>
      </c>
      <c r="AM329" s="28">
        <f>SUMIF('Lease Cycles'!$HL$26:$HR$26,AM$6,'Lease Cycles'!$HZ$26:$IF$26)</f>
        <v>0</v>
      </c>
      <c r="AN329" s="28">
        <f>SUMIF('Lease Cycles'!$HL$26:$HR$26,AN$6,'Lease Cycles'!$HZ$26:$IF$26)</f>
        <v>0</v>
      </c>
      <c r="AO329" s="28">
        <f>SUMIF('Lease Cycles'!$HL$26:$HR$26,AO$6,'Lease Cycles'!$HZ$26:$IF$26)</f>
        <v>0</v>
      </c>
      <c r="AP329" s="28">
        <f>SUMIF('Lease Cycles'!$HL$26:$HR$26,AP$6,'Lease Cycles'!$HZ$26:$IF$26)</f>
        <v>0</v>
      </c>
      <c r="AQ329" s="28">
        <f>SUMIF('Lease Cycles'!$HL$26:$HR$26,AQ$6,'Lease Cycles'!$HZ$26:$IF$26)</f>
        <v>0</v>
      </c>
      <c r="AR329" s="28">
        <f>SUMIF('Lease Cycles'!$HL$26:$HR$26,AR$6,'Lease Cycles'!$HZ$26:$IF$26)</f>
        <v>0</v>
      </c>
      <c r="AS329" s="28">
        <f>SUMIF('Lease Cycles'!$HL$26:$HR$26,AS$6,'Lease Cycles'!$HZ$26:$IF$26)</f>
        <v>0</v>
      </c>
      <c r="AT329" s="28">
        <f>SUMIF('Lease Cycles'!$HL$26:$HR$26,AT$6,'Lease Cycles'!$HZ$26:$IF$26)</f>
        <v>0</v>
      </c>
      <c r="AU329" s="28">
        <f>SUMIF('Lease Cycles'!$HL$26:$HR$26,AU$6,'Lease Cycles'!$HZ$26:$IF$26)</f>
        <v>0</v>
      </c>
      <c r="AV329" s="28">
        <f>SUMIF('Lease Cycles'!$HL$26:$HR$26,AV$6,'Lease Cycles'!$HZ$26:$IF$26)</f>
        <v>0</v>
      </c>
      <c r="AW329" s="28">
        <f>SUMIF('Lease Cycles'!$HL$26:$HR$26,AW$6,'Lease Cycles'!$HZ$26:$IF$26)</f>
        <v>0</v>
      </c>
      <c r="AX329" s="28">
        <f>SUMIF('Lease Cycles'!$HL$26:$HR$26,AX$6,'Lease Cycles'!$HZ$26:$IF$26)</f>
        <v>0</v>
      </c>
      <c r="AY329" s="28">
        <f>SUMIF('Lease Cycles'!$HL$26:$HR$26,AY$6,'Lease Cycles'!$HZ$26:$IF$26)</f>
        <v>0</v>
      </c>
      <c r="AZ329" s="28">
        <f>SUMIF('Lease Cycles'!$HL$26:$HR$26,AZ$6,'Lease Cycles'!$HZ$26:$IF$26)</f>
        <v>0</v>
      </c>
      <c r="BA329" s="28">
        <f>SUMIF('Lease Cycles'!$HL$26:$HR$26,BA$6,'Lease Cycles'!$HZ$26:$IF$26)</f>
        <v>0</v>
      </c>
      <c r="BB329" s="28">
        <f>SUMIF('Lease Cycles'!$HL$26:$HR$26,BB$6,'Lease Cycles'!$HZ$26:$IF$26)</f>
        <v>0</v>
      </c>
      <c r="BC329" s="28">
        <f>SUMIF('Lease Cycles'!$HL$26:$HR$26,BC$6,'Lease Cycles'!$HZ$26:$IF$26)</f>
        <v>0</v>
      </c>
      <c r="BD329" s="28">
        <f>SUMIF('Lease Cycles'!$HL$26:$HR$26,BD$6,'Lease Cycles'!$HZ$26:$IF$26)</f>
        <v>0</v>
      </c>
      <c r="BE329" s="28">
        <f>SUMIF('Lease Cycles'!$HL$26:$HR$26,BE$6,'Lease Cycles'!$HZ$26:$IF$26)</f>
        <v>0</v>
      </c>
      <c r="BF329" s="28">
        <f>SUMIF('Lease Cycles'!$HL$26:$HR$26,BF$6,'Lease Cycles'!$HZ$26:$IF$26)</f>
        <v>0</v>
      </c>
      <c r="BG329" s="28">
        <f>SUMIF('Lease Cycles'!$HL$26:$HR$26,BG$6,'Lease Cycles'!$HZ$26:$IF$26)</f>
        <v>0</v>
      </c>
      <c r="BH329" s="28">
        <f>SUMIF('Lease Cycles'!$HL$26:$HR$26,BH$6,'Lease Cycles'!$HZ$26:$IF$26)</f>
        <v>0</v>
      </c>
      <c r="BI329" s="28">
        <f>SUMIF('Lease Cycles'!$HL$26:$HR$26,BI$6,'Lease Cycles'!$HZ$26:$IF$26)</f>
        <v>0</v>
      </c>
      <c r="BJ329" s="28">
        <f>SUMIF('Lease Cycles'!$HL$26:$HR$26,BJ$6,'Lease Cycles'!$HZ$26:$IF$26)</f>
        <v>0</v>
      </c>
      <c r="BK329" s="28">
        <f>SUMIF('Lease Cycles'!$HL$26:$HR$26,BK$6,'Lease Cycles'!$HZ$26:$IF$26)</f>
        <v>0</v>
      </c>
      <c r="BL329" s="28">
        <f>SUMIF('Lease Cycles'!$HL$26:$HR$26,BL$6,'Lease Cycles'!$HZ$26:$IF$26)</f>
        <v>0</v>
      </c>
      <c r="BM329" s="28">
        <f>SUMIF('Lease Cycles'!$HL$26:$HR$26,BM$6,'Lease Cycles'!$HZ$26:$IF$26)</f>
        <v>0</v>
      </c>
      <c r="BN329" s="28">
        <f>SUMIF('Lease Cycles'!$HL$26:$HR$26,BN$6,'Lease Cycles'!$HZ$26:$IF$26)</f>
        <v>0</v>
      </c>
      <c r="BO329" s="28">
        <f>SUMIF('Lease Cycles'!$HL$26:$HR$26,BO$6,'Lease Cycles'!$HZ$26:$IF$26)</f>
        <v>0</v>
      </c>
      <c r="BP329" s="28">
        <f>SUMIF('Lease Cycles'!$HL$26:$HR$26,BP$6,'Lease Cycles'!$HZ$26:$IF$26)</f>
        <v>0</v>
      </c>
      <c r="BQ329" s="28">
        <f>SUMIF('Lease Cycles'!$HL$26:$HR$26,BQ$6,'Lease Cycles'!$HZ$26:$IF$26)</f>
        <v>0</v>
      </c>
      <c r="BR329" s="28">
        <f>SUMIF('Lease Cycles'!$HL$26:$HR$26,BR$6,'Lease Cycles'!$HZ$26:$IF$26)</f>
        <v>0</v>
      </c>
      <c r="BS329" s="28">
        <f>SUMIF('Lease Cycles'!$HL$26:$HR$26,BS$6,'Lease Cycles'!$HZ$26:$IF$26)</f>
        <v>0</v>
      </c>
      <c r="BT329" s="28">
        <f>SUMIF('Lease Cycles'!$HL$26:$HR$26,BT$6,'Lease Cycles'!$HZ$26:$IF$26)</f>
        <v>0</v>
      </c>
      <c r="BU329" s="28">
        <f>SUMIF('Lease Cycles'!$HL$26:$HR$26,BU$6,'Lease Cycles'!$HZ$26:$IF$26)</f>
        <v>0</v>
      </c>
      <c r="BV329" s="28">
        <f>SUMIF('Lease Cycles'!$HL$26:$HR$26,BV$6,'Lease Cycles'!$HZ$26:$IF$26)</f>
        <v>0</v>
      </c>
      <c r="BW329" s="28">
        <f>SUMIF('Lease Cycles'!$HL$26:$HR$26,BW$6,'Lease Cycles'!$HZ$26:$IF$26)</f>
        <v>0</v>
      </c>
      <c r="BX329" s="28">
        <f>SUMIF('Lease Cycles'!$HL$26:$HR$26,BX$6,'Lease Cycles'!$HZ$26:$IF$26)</f>
        <v>0</v>
      </c>
      <c r="BY329" s="28">
        <f>SUMIF('Lease Cycles'!$HL$26:$HR$26,BY$6,'Lease Cycles'!$HZ$26:$IF$26)</f>
        <v>0</v>
      </c>
      <c r="BZ329" s="28">
        <f>SUMIF('Lease Cycles'!$HL$26:$HR$26,BZ$6,'Lease Cycles'!$HZ$26:$IF$26)</f>
        <v>0</v>
      </c>
      <c r="CA329" s="28">
        <f>SUMIF('Lease Cycles'!$HL$26:$HR$26,CA$6,'Lease Cycles'!$HZ$26:$IF$26)</f>
        <v>0</v>
      </c>
      <c r="CB329" s="28">
        <f>SUMIF('Lease Cycles'!$HL$26:$HR$26,CB$6,'Lease Cycles'!$HZ$26:$IF$26)</f>
        <v>0</v>
      </c>
      <c r="CC329" s="28">
        <f>SUMIF('Lease Cycles'!$HL$26:$HR$26,CC$6,'Lease Cycles'!$HZ$26:$IF$26)</f>
        <v>0</v>
      </c>
      <c r="CD329" s="28">
        <f>SUMIF('Lease Cycles'!$HL$26:$HR$26,CD$6,'Lease Cycles'!$HZ$26:$IF$26)</f>
        <v>0</v>
      </c>
      <c r="CE329" s="28">
        <f>SUMIF('Lease Cycles'!$HL$26:$HR$26,CE$6,'Lease Cycles'!$HZ$26:$IF$26)</f>
        <v>0</v>
      </c>
      <c r="CF329" s="28">
        <f>SUMIF('Lease Cycles'!$HL$26:$HR$26,CF$6,'Lease Cycles'!$HZ$26:$IF$26)</f>
        <v>0</v>
      </c>
      <c r="CG329" s="28">
        <f>SUMIF('Lease Cycles'!$HL$26:$HR$26,CG$6,'Lease Cycles'!$HZ$26:$IF$26)</f>
        <v>0</v>
      </c>
      <c r="CH329" s="28">
        <f>SUMIF('Lease Cycles'!$HL$26:$HR$26,CH$6,'Lease Cycles'!$HZ$26:$IF$26)</f>
        <v>0</v>
      </c>
      <c r="CI329" s="28">
        <f>SUMIF('Lease Cycles'!$HL$26:$HR$26,CI$6,'Lease Cycles'!$HZ$26:$IF$26)</f>
        <v>0</v>
      </c>
      <c r="CJ329" s="28">
        <f>SUMIF('Lease Cycles'!$HL$26:$HR$26,CJ$6,'Lease Cycles'!$HZ$26:$IF$26)</f>
        <v>0</v>
      </c>
      <c r="CK329" s="28">
        <f>SUMIF('Lease Cycles'!$HL$26:$HR$26,CK$6,'Lease Cycles'!$HZ$26:$IF$26)</f>
        <v>0</v>
      </c>
      <c r="CL329" s="28">
        <f>SUMIF('Lease Cycles'!$HL$26:$HR$26,CL$6,'Lease Cycles'!$HZ$26:$IF$26)</f>
        <v>0</v>
      </c>
      <c r="CM329" s="28">
        <f>SUMIF('Lease Cycles'!$HL$26:$HR$26,CM$6,'Lease Cycles'!$HZ$26:$IF$26)</f>
        <v>0</v>
      </c>
      <c r="CN329" s="28">
        <f>SUMIF('Lease Cycles'!$HL$26:$HR$26,CN$6,'Lease Cycles'!$HZ$26:$IF$26)</f>
        <v>0</v>
      </c>
      <c r="CO329" s="28">
        <f>SUMIF('Lease Cycles'!$HL$26:$HR$26,CO$6,'Lease Cycles'!$HZ$26:$IF$26)</f>
        <v>0</v>
      </c>
      <c r="CP329" s="28">
        <f>SUMIF('Lease Cycles'!$HL$26:$HR$26,CP$6,'Lease Cycles'!$HZ$26:$IF$26)</f>
        <v>0</v>
      </c>
      <c r="CQ329" s="28">
        <f>SUMIF('Lease Cycles'!$HL$26:$HR$26,CQ$6,'Lease Cycles'!$HZ$26:$IF$26)</f>
        <v>0</v>
      </c>
      <c r="CR329" s="28">
        <f>SUMIF('Lease Cycles'!$HL$26:$HR$26,CR$6,'Lease Cycles'!$HZ$26:$IF$26)</f>
        <v>0</v>
      </c>
      <c r="CS329" s="28">
        <f>SUMIF('Lease Cycles'!$HL$26:$HR$26,CS$6,'Lease Cycles'!$HZ$26:$IF$26)</f>
        <v>0</v>
      </c>
      <c r="CT329" s="28">
        <f>SUMIF('Lease Cycles'!$HL$26:$HR$26,CT$6,'Lease Cycles'!$HZ$26:$IF$26)</f>
        <v>0</v>
      </c>
      <c r="CU329" s="28">
        <f>SUMIF('Lease Cycles'!$HL$26:$HR$26,CU$6,'Lease Cycles'!$HZ$26:$IF$26)</f>
        <v>0</v>
      </c>
      <c r="CV329" s="28">
        <f>SUMIF('Lease Cycles'!$HL$26:$HR$26,CV$6,'Lease Cycles'!$HZ$26:$IF$26)</f>
        <v>0</v>
      </c>
      <c r="CW329" s="28">
        <f>SUMIF('Lease Cycles'!$HL$26:$HR$26,CW$6,'Lease Cycles'!$HZ$26:$IF$26)</f>
        <v>0</v>
      </c>
      <c r="CX329" s="28">
        <f>SUMIF('Lease Cycles'!$HL$26:$HR$26,CX$6,'Lease Cycles'!$HZ$26:$IF$26)</f>
        <v>0</v>
      </c>
      <c r="CY329" s="28">
        <f>SUMIF('Lease Cycles'!$HL$26:$HR$26,CY$6,'Lease Cycles'!$HZ$26:$IF$26)</f>
        <v>0</v>
      </c>
      <c r="CZ329" s="28">
        <f>SUMIF('Lease Cycles'!$HL$26:$HR$26,CZ$6,'Lease Cycles'!$HZ$26:$IF$26)</f>
        <v>0</v>
      </c>
      <c r="DA329" s="28">
        <f>SUMIF('Lease Cycles'!$HL$26:$HR$26,DA$6,'Lease Cycles'!$HZ$26:$IF$26)</f>
        <v>0</v>
      </c>
      <c r="DB329" s="28">
        <f>SUMIF('Lease Cycles'!$HL$26:$HR$26,DB$6,'Lease Cycles'!$HZ$26:$IF$26)</f>
        <v>0</v>
      </c>
      <c r="DC329" s="28">
        <f>SUMIF('Lease Cycles'!$HL$26:$HR$26,DC$6,'Lease Cycles'!$HZ$26:$IF$26)</f>
        <v>0</v>
      </c>
      <c r="DD329" s="28">
        <f>SUMIF('Lease Cycles'!$HL$26:$HR$26,DD$6,'Lease Cycles'!$HZ$26:$IF$26)</f>
        <v>0</v>
      </c>
      <c r="DE329" s="28">
        <f>SUMIF('Lease Cycles'!$HL$26:$HR$26,DE$6,'Lease Cycles'!$HZ$26:$IF$26)</f>
        <v>0</v>
      </c>
      <c r="DF329" s="28">
        <f>SUMIF('Lease Cycles'!$HL$26:$HR$26,DF$6,'Lease Cycles'!$HZ$26:$IF$26)</f>
        <v>0</v>
      </c>
      <c r="DG329" s="28">
        <f>SUMIF('Lease Cycles'!$HL$26:$HR$26,DG$6,'Lease Cycles'!$HZ$26:$IF$26)</f>
        <v>0</v>
      </c>
      <c r="DH329" s="28">
        <f>SUMIF('Lease Cycles'!$HL$26:$HR$26,DH$6,'Lease Cycles'!$HZ$26:$IF$26)</f>
        <v>0</v>
      </c>
      <c r="DI329" s="28">
        <f>SUMIF('Lease Cycles'!$HL$26:$HR$26,DI$6,'Lease Cycles'!$HZ$26:$IF$26)</f>
        <v>0</v>
      </c>
      <c r="DJ329" s="28">
        <f>SUMIF('Lease Cycles'!$HL$26:$HR$26,DJ$6,'Lease Cycles'!$HZ$26:$IF$26)</f>
        <v>0</v>
      </c>
      <c r="DK329" s="28">
        <f>SUMIF('Lease Cycles'!$HL$26:$HR$26,DK$6,'Lease Cycles'!$HZ$26:$IF$26)</f>
        <v>0</v>
      </c>
      <c r="DL329" s="28">
        <f>SUMIF('Lease Cycles'!$HL$26:$HR$26,DL$6,'Lease Cycles'!$HZ$26:$IF$26)</f>
        <v>0</v>
      </c>
      <c r="DM329" s="28">
        <f>SUMIF('Lease Cycles'!$HL$26:$HR$26,DM$6,'Lease Cycles'!$HZ$26:$IF$26)</f>
        <v>0</v>
      </c>
      <c r="DN329" s="28">
        <f>SUMIF('Lease Cycles'!$HL$26:$HR$26,DN$6,'Lease Cycles'!$HZ$26:$IF$26)</f>
        <v>0</v>
      </c>
      <c r="DO329" s="28">
        <f>SUMIF('Lease Cycles'!$HL$26:$HR$26,DO$6,'Lease Cycles'!$HZ$26:$IF$26)</f>
        <v>0</v>
      </c>
      <c r="DP329" s="28">
        <f>SUMIF('Lease Cycles'!$HL$26:$HR$26,DP$6,'Lease Cycles'!$HZ$26:$IF$26)</f>
        <v>0</v>
      </c>
      <c r="DQ329" s="28">
        <f>SUMIF('Lease Cycles'!$HL$26:$HR$26,DQ$6,'Lease Cycles'!$HZ$26:$IF$26)</f>
        <v>0</v>
      </c>
      <c r="DR329" s="28">
        <f>SUMIF('Lease Cycles'!$HL$26:$HR$26,DR$6,'Lease Cycles'!$HZ$26:$IF$26)</f>
        <v>0</v>
      </c>
      <c r="DS329" s="28">
        <f>SUMIF('Lease Cycles'!$HL$26:$HR$26,DS$6,'Lease Cycles'!$HZ$26:$IF$26)</f>
        <v>0</v>
      </c>
      <c r="DT329" s="28">
        <f>SUMIF('Lease Cycles'!$HL$26:$HR$26,DT$6,'Lease Cycles'!$HZ$26:$IF$26)</f>
        <v>0</v>
      </c>
      <c r="DU329" s="28">
        <f>SUMIF('Lease Cycles'!$HL$26:$HR$26,DU$6,'Lease Cycles'!$HZ$26:$IF$26)</f>
        <v>0</v>
      </c>
      <c r="DV329" s="28">
        <f>SUMIF('Lease Cycles'!$HL$26:$HR$26,DV$6,'Lease Cycles'!$HZ$26:$IF$26)</f>
        <v>0</v>
      </c>
      <c r="DW329" s="28">
        <f>SUMIF('Lease Cycles'!$HL$26:$HR$26,DW$6,'Lease Cycles'!$HZ$26:$IF$26)</f>
        <v>0</v>
      </c>
      <c r="DX329" s="28">
        <f>SUMIF('Lease Cycles'!$HL$26:$HR$26,DX$6,'Lease Cycles'!$HZ$26:$IF$26)</f>
        <v>0</v>
      </c>
      <c r="DY329" s="28">
        <f>SUMIF('Lease Cycles'!$HL$26:$HR$26,DY$6,'Lease Cycles'!$HZ$26:$IF$26)</f>
        <v>0</v>
      </c>
      <c r="DZ329" s="28">
        <f>SUMIF('Lease Cycles'!$HL$26:$HR$26,DZ$6,'Lease Cycles'!$HZ$26:$IF$26)</f>
        <v>0</v>
      </c>
      <c r="EA329" s="28">
        <f>SUMIF('Lease Cycles'!$HL$26:$HR$26,EA$6,'Lease Cycles'!$HZ$26:$IF$26)</f>
        <v>0</v>
      </c>
      <c r="EB329" s="28">
        <f>SUMIF('Lease Cycles'!$HL$26:$HR$26,EB$6,'Lease Cycles'!$HZ$26:$IF$26)</f>
        <v>0</v>
      </c>
      <c r="EC329" s="28">
        <f>SUMIF('Lease Cycles'!$HL$26:$HR$26,EC$6,'Lease Cycles'!$HZ$26:$IF$26)</f>
        <v>0</v>
      </c>
      <c r="ED329" s="28">
        <f>SUMIF('Lease Cycles'!$HL$26:$HR$26,ED$6,'Lease Cycles'!$HZ$26:$IF$26)</f>
        <v>0</v>
      </c>
      <c r="EE329" s="28">
        <f>SUMIF('Lease Cycles'!$HL$26:$HR$26,EE$6,'Lease Cycles'!$HZ$26:$IF$26)</f>
        <v>0</v>
      </c>
      <c r="EF329" s="28">
        <f>SUMIF('Lease Cycles'!$HL$26:$HR$26,EF$6,'Lease Cycles'!$HZ$26:$IF$26)</f>
        <v>0</v>
      </c>
      <c r="EG329" s="28">
        <f>SUMIF('Lease Cycles'!$HL$26:$HR$26,EG$6,'Lease Cycles'!$HZ$26:$IF$26)</f>
        <v>0</v>
      </c>
      <c r="EH329" s="28">
        <f>SUMIF('Lease Cycles'!$HL$26:$HR$26,EH$6,'Lease Cycles'!$HZ$26:$IF$26)</f>
        <v>0</v>
      </c>
      <c r="EI329" s="28">
        <f>SUMIF('Lease Cycles'!$HL$26:$HR$26,EI$6,'Lease Cycles'!$HZ$26:$IF$26)</f>
        <v>0</v>
      </c>
      <c r="EJ329" s="28">
        <f>SUMIF('Lease Cycles'!$HL$26:$HR$26,EJ$6,'Lease Cycles'!$HZ$26:$IF$26)</f>
        <v>0</v>
      </c>
      <c r="EK329" s="28">
        <f>SUMIF('Lease Cycles'!$HL$26:$HR$26,EK$6,'Lease Cycles'!$HZ$26:$IF$26)</f>
        <v>0</v>
      </c>
      <c r="EL329" s="28">
        <f>SUMIF('Lease Cycles'!$HL$26:$HR$26,EL$6,'Lease Cycles'!$HZ$26:$IF$26)</f>
        <v>0</v>
      </c>
      <c r="EM329" s="28">
        <f>SUMIF('Lease Cycles'!$HL$26:$HR$26,EM$6,'Lease Cycles'!$HZ$26:$IF$26)</f>
        <v>0</v>
      </c>
      <c r="EN329" s="28">
        <f>SUMIF('Lease Cycles'!$HL$26:$HR$26,EN$6,'Lease Cycles'!$HZ$26:$IF$26)</f>
        <v>0</v>
      </c>
      <c r="EO329" s="28">
        <f>SUMIF('Lease Cycles'!$HL$26:$HR$26,EO$6,'Lease Cycles'!$HZ$26:$IF$26)</f>
        <v>0</v>
      </c>
      <c r="EP329" s="28">
        <f>SUMIF('Lease Cycles'!$HL$26:$HR$26,EP$6,'Lease Cycles'!$HZ$26:$IF$26)</f>
        <v>0</v>
      </c>
      <c r="EQ329" s="28">
        <f>SUMIF('Lease Cycles'!$HL$26:$HR$26,EQ$6,'Lease Cycles'!$HZ$26:$IF$26)</f>
        <v>0</v>
      </c>
      <c r="ER329" s="28">
        <f>SUMIF('Lease Cycles'!$HL$26:$HR$26,ER$6,'Lease Cycles'!$HZ$26:$IF$26)</f>
        <v>0</v>
      </c>
      <c r="ES329" s="28">
        <f>SUMIF('Lease Cycles'!$HL$26:$HR$26,ES$6,'Lease Cycles'!$HZ$26:$IF$26)</f>
        <v>0</v>
      </c>
      <c r="ET329" s="28">
        <f>SUMIF('Lease Cycles'!$HL$26:$HR$26,ET$6,'Lease Cycles'!$HZ$26:$IF$26)</f>
        <v>0</v>
      </c>
    </row>
    <row r="330">
      <c r="A330" s="103">
        <v>19</v>
      </c>
      <c r="B330" s="23" t="str">
        <f>IF('Lease Cycles'!$B$26="","(empty slot)",'Lease Cycles'!$B$26)</f>
        <v>(empty slot)</v>
      </c>
      <c r="C330" s="23" t="s">
        <v>691</v>
      </c>
      <c r="D330" s="104" t="s">
        <v>692</v>
      </c>
      <c r="E330" s="25">
        <f>'Lease Cycles'!$AL$26</f>
        <v>0</v>
      </c>
      <c r="G330" s="28">
        <f>SUM(S330:AD330)</f>
        <v>0</v>
      </c>
      <c r="H330" s="28">
        <f>SUM(AE330:AP330)</f>
        <v>0</v>
      </c>
      <c r="I330" s="28">
        <f>SUM(AQ330:BB330)</f>
        <v>0</v>
      </c>
      <c r="J330" s="28">
        <f>SUM(BC330:BN330)</f>
        <v>0</v>
      </c>
      <c r="K330" s="28">
        <f>SUM(BO330:BZ330)</f>
        <v>0</v>
      </c>
      <c r="L330" s="28">
        <f>SUM(CA330:CL330)</f>
        <v>0</v>
      </c>
      <c r="M330" s="28">
        <f>SUM(CM330:CX330)</f>
        <v>0</v>
      </c>
      <c r="N330" s="28">
        <f>SUM(CY330:DJ330)</f>
        <v>0</v>
      </c>
      <c r="O330" s="28">
        <f>SUM(DK330:DV330)</f>
        <v>0</v>
      </c>
      <c r="P330" s="28">
        <f>SUM(DW330:EH330)</f>
        <v>0</v>
      </c>
      <c r="Q330" s="28">
        <f>SUM(EI330:ET330)</f>
        <v>0</v>
      </c>
      <c r="S330" s="28">
        <f>IF(S$6='Lease Cycles'!$HL$26,'Lease Cycles'!$HS$26+'Lease Cycles'!$HZ$26,0)</f>
        <v>0</v>
      </c>
      <c r="T330" s="28">
        <f>IF(T$6='Lease Cycles'!$HL$26,'Lease Cycles'!$HS$26+'Lease Cycles'!$HZ$26,0)</f>
        <v>0</v>
      </c>
      <c r="U330" s="28">
        <f>IF(U$6='Lease Cycles'!$HL$26,'Lease Cycles'!$HS$26+'Lease Cycles'!$HZ$26,0)</f>
        <v>0</v>
      </c>
      <c r="V330" s="28">
        <f>IF(V$6='Lease Cycles'!$HL$26,'Lease Cycles'!$HS$26+'Lease Cycles'!$HZ$26,0)</f>
        <v>0</v>
      </c>
      <c r="W330" s="28">
        <f>IF(W$6='Lease Cycles'!$HL$26,'Lease Cycles'!$HS$26+'Lease Cycles'!$HZ$26,0)</f>
        <v>0</v>
      </c>
      <c r="X330" s="28">
        <f>IF(X$6='Lease Cycles'!$HL$26,'Lease Cycles'!$HS$26+'Lease Cycles'!$HZ$26,0)</f>
        <v>0</v>
      </c>
      <c r="Y330" s="28">
        <f>IF(Y$6='Lease Cycles'!$HL$26,'Lease Cycles'!$HS$26+'Lease Cycles'!$HZ$26,0)</f>
        <v>0</v>
      </c>
      <c r="Z330" s="28">
        <f>IF(Z$6='Lease Cycles'!$HL$26,'Lease Cycles'!$HS$26+'Lease Cycles'!$HZ$26,0)</f>
        <v>0</v>
      </c>
      <c r="AA330" s="28">
        <f>IF(AA$6='Lease Cycles'!$HL$26,'Lease Cycles'!$HS$26+'Lease Cycles'!$HZ$26,0)</f>
        <v>0</v>
      </c>
      <c r="AB330" s="28">
        <f>IF(AB$6='Lease Cycles'!$HL$26,'Lease Cycles'!$HS$26+'Lease Cycles'!$HZ$26,0)</f>
        <v>0</v>
      </c>
      <c r="AC330" s="28">
        <f>IF(AC$6='Lease Cycles'!$HL$26,'Lease Cycles'!$HS$26+'Lease Cycles'!$HZ$26,0)</f>
        <v>0</v>
      </c>
      <c r="AD330" s="28">
        <f>IF(AD$6='Lease Cycles'!$HL$26,'Lease Cycles'!$HS$26+'Lease Cycles'!$HZ$26,0)</f>
        <v>0</v>
      </c>
      <c r="AE330" s="28">
        <f>IF(AE$6='Lease Cycles'!$HL$26,'Lease Cycles'!$HS$26+'Lease Cycles'!$HZ$26,0)</f>
        <v>0</v>
      </c>
      <c r="AF330" s="28">
        <f>IF(AF$6='Lease Cycles'!$HL$26,'Lease Cycles'!$HS$26+'Lease Cycles'!$HZ$26,0)</f>
        <v>0</v>
      </c>
      <c r="AG330" s="28">
        <f>IF(AG$6='Lease Cycles'!$HL$26,'Lease Cycles'!$HS$26+'Lease Cycles'!$HZ$26,0)</f>
        <v>0</v>
      </c>
      <c r="AH330" s="28">
        <f>IF(AH$6='Lease Cycles'!$HL$26,'Lease Cycles'!$HS$26+'Lease Cycles'!$HZ$26,0)</f>
        <v>0</v>
      </c>
      <c r="AI330" s="28">
        <f>IF(AI$6='Lease Cycles'!$HL$26,'Lease Cycles'!$HS$26+'Lease Cycles'!$HZ$26,0)</f>
        <v>0</v>
      </c>
      <c r="AJ330" s="28">
        <f>IF(AJ$6='Lease Cycles'!$HL$26,'Lease Cycles'!$HS$26+'Lease Cycles'!$HZ$26,0)</f>
        <v>0</v>
      </c>
      <c r="AK330" s="28">
        <f>IF(AK$6='Lease Cycles'!$HL$26,'Lease Cycles'!$HS$26+'Lease Cycles'!$HZ$26,0)</f>
        <v>0</v>
      </c>
      <c r="AL330" s="28">
        <f>IF(AL$6='Lease Cycles'!$HL$26,'Lease Cycles'!$HS$26+'Lease Cycles'!$HZ$26,0)</f>
        <v>0</v>
      </c>
      <c r="AM330" s="28">
        <f>IF(AM$6='Lease Cycles'!$HL$26,'Lease Cycles'!$HS$26+'Lease Cycles'!$HZ$26,0)</f>
        <v>0</v>
      </c>
      <c r="AN330" s="28">
        <f>IF(AN$6='Lease Cycles'!$HL$26,'Lease Cycles'!$HS$26+'Lease Cycles'!$HZ$26,0)</f>
        <v>0</v>
      </c>
      <c r="AO330" s="28">
        <f>IF(AO$6='Lease Cycles'!$HL$26,'Lease Cycles'!$HS$26+'Lease Cycles'!$HZ$26,0)</f>
        <v>0</v>
      </c>
      <c r="AP330" s="28">
        <f>IF(AP$6='Lease Cycles'!$HL$26,'Lease Cycles'!$HS$26+'Lease Cycles'!$HZ$26,0)</f>
        <v>0</v>
      </c>
      <c r="AQ330" s="28">
        <f>IF(AQ$6='Lease Cycles'!$HL$26,'Lease Cycles'!$HS$26+'Lease Cycles'!$HZ$26,0)</f>
        <v>0</v>
      </c>
      <c r="AR330" s="28">
        <f>IF(AR$6='Lease Cycles'!$HL$26,'Lease Cycles'!$HS$26+'Lease Cycles'!$HZ$26,0)</f>
        <v>0</v>
      </c>
      <c r="AS330" s="28">
        <f>IF(AS$6='Lease Cycles'!$HL$26,'Lease Cycles'!$HS$26+'Lease Cycles'!$HZ$26,0)</f>
        <v>0</v>
      </c>
      <c r="AT330" s="28">
        <f>IF(AT$6='Lease Cycles'!$HL$26,'Lease Cycles'!$HS$26+'Lease Cycles'!$HZ$26,0)</f>
        <v>0</v>
      </c>
      <c r="AU330" s="28">
        <f>IF(AU$6='Lease Cycles'!$HL$26,'Lease Cycles'!$HS$26+'Lease Cycles'!$HZ$26,0)</f>
        <v>0</v>
      </c>
      <c r="AV330" s="28">
        <f>IF(AV$6='Lease Cycles'!$HL$26,'Lease Cycles'!$HS$26+'Lease Cycles'!$HZ$26,0)</f>
        <v>0</v>
      </c>
      <c r="AW330" s="28">
        <f>IF(AW$6='Lease Cycles'!$HL$26,'Lease Cycles'!$HS$26+'Lease Cycles'!$HZ$26,0)</f>
        <v>0</v>
      </c>
      <c r="AX330" s="28">
        <f>IF(AX$6='Lease Cycles'!$HL$26,'Lease Cycles'!$HS$26+'Lease Cycles'!$HZ$26,0)</f>
        <v>0</v>
      </c>
      <c r="AY330" s="28">
        <f>IF(AY$6='Lease Cycles'!$HL$26,'Lease Cycles'!$HS$26+'Lease Cycles'!$HZ$26,0)</f>
        <v>0</v>
      </c>
      <c r="AZ330" s="28">
        <f>IF(AZ$6='Lease Cycles'!$HL$26,'Lease Cycles'!$HS$26+'Lease Cycles'!$HZ$26,0)</f>
        <v>0</v>
      </c>
      <c r="BA330" s="28">
        <f>IF(BA$6='Lease Cycles'!$HL$26,'Lease Cycles'!$HS$26+'Lease Cycles'!$HZ$26,0)</f>
        <v>0</v>
      </c>
      <c r="BB330" s="28">
        <f>IF(BB$6='Lease Cycles'!$HL$26,'Lease Cycles'!$HS$26+'Lease Cycles'!$HZ$26,0)</f>
        <v>0</v>
      </c>
      <c r="BC330" s="28">
        <f>IF(BC$6='Lease Cycles'!$HL$26,'Lease Cycles'!$HS$26+'Lease Cycles'!$HZ$26,0)</f>
        <v>0</v>
      </c>
      <c r="BD330" s="28">
        <f>IF(BD$6='Lease Cycles'!$HL$26,'Lease Cycles'!$HS$26+'Lease Cycles'!$HZ$26,0)</f>
        <v>0</v>
      </c>
      <c r="BE330" s="28">
        <f>IF(BE$6='Lease Cycles'!$HL$26,'Lease Cycles'!$HS$26+'Lease Cycles'!$HZ$26,0)</f>
        <v>0</v>
      </c>
      <c r="BF330" s="28">
        <f>IF(BF$6='Lease Cycles'!$HL$26,'Lease Cycles'!$HS$26+'Lease Cycles'!$HZ$26,0)</f>
        <v>0</v>
      </c>
      <c r="BG330" s="28">
        <f>IF(BG$6='Lease Cycles'!$HL$26,'Lease Cycles'!$HS$26+'Lease Cycles'!$HZ$26,0)</f>
        <v>0</v>
      </c>
      <c r="BH330" s="28">
        <f>IF(BH$6='Lease Cycles'!$HL$26,'Lease Cycles'!$HS$26+'Lease Cycles'!$HZ$26,0)</f>
        <v>0</v>
      </c>
      <c r="BI330" s="28">
        <f>IF(BI$6='Lease Cycles'!$HL$26,'Lease Cycles'!$HS$26+'Lease Cycles'!$HZ$26,0)</f>
        <v>0</v>
      </c>
      <c r="BJ330" s="28">
        <f>IF(BJ$6='Lease Cycles'!$HL$26,'Lease Cycles'!$HS$26+'Lease Cycles'!$HZ$26,0)</f>
        <v>0</v>
      </c>
      <c r="BK330" s="28">
        <f>IF(BK$6='Lease Cycles'!$HL$26,'Lease Cycles'!$HS$26+'Lease Cycles'!$HZ$26,0)</f>
        <v>0</v>
      </c>
      <c r="BL330" s="28">
        <f>IF(BL$6='Lease Cycles'!$HL$26,'Lease Cycles'!$HS$26+'Lease Cycles'!$HZ$26,0)</f>
        <v>0</v>
      </c>
      <c r="BM330" s="28">
        <f>IF(BM$6='Lease Cycles'!$HL$26,'Lease Cycles'!$HS$26+'Lease Cycles'!$HZ$26,0)</f>
        <v>0</v>
      </c>
      <c r="BN330" s="28">
        <f>IF(BN$6='Lease Cycles'!$HL$26,'Lease Cycles'!$HS$26+'Lease Cycles'!$HZ$26,0)</f>
        <v>0</v>
      </c>
      <c r="BO330" s="28">
        <f>IF(BO$6='Lease Cycles'!$HL$26,'Lease Cycles'!$HS$26+'Lease Cycles'!$HZ$26,0)</f>
        <v>0</v>
      </c>
      <c r="BP330" s="28">
        <f>IF(BP$6='Lease Cycles'!$HL$26,'Lease Cycles'!$HS$26+'Lease Cycles'!$HZ$26,0)</f>
        <v>0</v>
      </c>
      <c r="BQ330" s="28">
        <f>IF(BQ$6='Lease Cycles'!$HL$26,'Lease Cycles'!$HS$26+'Lease Cycles'!$HZ$26,0)</f>
        <v>0</v>
      </c>
      <c r="BR330" s="28">
        <f>IF(BR$6='Lease Cycles'!$HL$26,'Lease Cycles'!$HS$26+'Lease Cycles'!$HZ$26,0)</f>
        <v>0</v>
      </c>
      <c r="BS330" s="28">
        <f>IF(BS$6='Lease Cycles'!$HL$26,'Lease Cycles'!$HS$26+'Lease Cycles'!$HZ$26,0)</f>
        <v>0</v>
      </c>
      <c r="BT330" s="28">
        <f>IF(BT$6='Lease Cycles'!$HL$26,'Lease Cycles'!$HS$26+'Lease Cycles'!$HZ$26,0)</f>
        <v>0</v>
      </c>
      <c r="BU330" s="28">
        <f>IF(BU$6='Lease Cycles'!$HL$26,'Lease Cycles'!$HS$26+'Lease Cycles'!$HZ$26,0)</f>
        <v>0</v>
      </c>
      <c r="BV330" s="28">
        <f>IF(BV$6='Lease Cycles'!$HL$26,'Lease Cycles'!$HS$26+'Lease Cycles'!$HZ$26,0)</f>
        <v>0</v>
      </c>
      <c r="BW330" s="28">
        <f>IF(BW$6='Lease Cycles'!$HL$26,'Lease Cycles'!$HS$26+'Lease Cycles'!$HZ$26,0)</f>
        <v>0</v>
      </c>
      <c r="BX330" s="28">
        <f>IF(BX$6='Lease Cycles'!$HL$26,'Lease Cycles'!$HS$26+'Lease Cycles'!$HZ$26,0)</f>
        <v>0</v>
      </c>
      <c r="BY330" s="28">
        <f>IF(BY$6='Lease Cycles'!$HL$26,'Lease Cycles'!$HS$26+'Lease Cycles'!$HZ$26,0)</f>
        <v>0</v>
      </c>
      <c r="BZ330" s="28">
        <f>IF(BZ$6='Lease Cycles'!$HL$26,'Lease Cycles'!$HS$26+'Lease Cycles'!$HZ$26,0)</f>
        <v>0</v>
      </c>
      <c r="CA330" s="28">
        <f>IF(CA$6='Lease Cycles'!$HL$26,'Lease Cycles'!$HS$26+'Lease Cycles'!$HZ$26,0)</f>
        <v>0</v>
      </c>
      <c r="CB330" s="28">
        <f>IF(CB$6='Lease Cycles'!$HL$26,'Lease Cycles'!$HS$26+'Lease Cycles'!$HZ$26,0)</f>
        <v>0</v>
      </c>
      <c r="CC330" s="28">
        <f>IF(CC$6='Lease Cycles'!$HL$26,'Lease Cycles'!$HS$26+'Lease Cycles'!$HZ$26,0)</f>
        <v>0</v>
      </c>
      <c r="CD330" s="28">
        <f>IF(CD$6='Lease Cycles'!$HL$26,'Lease Cycles'!$HS$26+'Lease Cycles'!$HZ$26,0)</f>
        <v>0</v>
      </c>
      <c r="CE330" s="28">
        <f>IF(CE$6='Lease Cycles'!$HL$26,'Lease Cycles'!$HS$26+'Lease Cycles'!$HZ$26,0)</f>
        <v>0</v>
      </c>
      <c r="CF330" s="28">
        <f>IF(CF$6='Lease Cycles'!$HL$26,'Lease Cycles'!$HS$26+'Lease Cycles'!$HZ$26,0)</f>
        <v>0</v>
      </c>
      <c r="CG330" s="28">
        <f>IF(CG$6='Lease Cycles'!$HL$26,'Lease Cycles'!$HS$26+'Lease Cycles'!$HZ$26,0)</f>
        <v>0</v>
      </c>
      <c r="CH330" s="28">
        <f>IF(CH$6='Lease Cycles'!$HL$26,'Lease Cycles'!$HS$26+'Lease Cycles'!$HZ$26,0)</f>
        <v>0</v>
      </c>
      <c r="CI330" s="28">
        <f>IF(CI$6='Lease Cycles'!$HL$26,'Lease Cycles'!$HS$26+'Lease Cycles'!$HZ$26,0)</f>
        <v>0</v>
      </c>
      <c r="CJ330" s="28">
        <f>IF(CJ$6='Lease Cycles'!$HL$26,'Lease Cycles'!$HS$26+'Lease Cycles'!$HZ$26,0)</f>
        <v>0</v>
      </c>
      <c r="CK330" s="28">
        <f>IF(CK$6='Lease Cycles'!$HL$26,'Lease Cycles'!$HS$26+'Lease Cycles'!$HZ$26,0)</f>
        <v>0</v>
      </c>
      <c r="CL330" s="28">
        <f>IF(CL$6='Lease Cycles'!$HL$26,'Lease Cycles'!$HS$26+'Lease Cycles'!$HZ$26,0)</f>
        <v>0</v>
      </c>
      <c r="CM330" s="28">
        <f>IF(CM$6='Lease Cycles'!$HL$26,'Lease Cycles'!$HS$26+'Lease Cycles'!$HZ$26,0)</f>
        <v>0</v>
      </c>
      <c r="CN330" s="28">
        <f>IF(CN$6='Lease Cycles'!$HL$26,'Lease Cycles'!$HS$26+'Lease Cycles'!$HZ$26,0)</f>
        <v>0</v>
      </c>
      <c r="CO330" s="28">
        <f>IF(CO$6='Lease Cycles'!$HL$26,'Lease Cycles'!$HS$26+'Lease Cycles'!$HZ$26,0)</f>
        <v>0</v>
      </c>
      <c r="CP330" s="28">
        <f>IF(CP$6='Lease Cycles'!$HL$26,'Lease Cycles'!$HS$26+'Lease Cycles'!$HZ$26,0)</f>
        <v>0</v>
      </c>
      <c r="CQ330" s="28">
        <f>IF(CQ$6='Lease Cycles'!$HL$26,'Lease Cycles'!$HS$26+'Lease Cycles'!$HZ$26,0)</f>
        <v>0</v>
      </c>
      <c r="CR330" s="28">
        <f>IF(CR$6='Lease Cycles'!$HL$26,'Lease Cycles'!$HS$26+'Lease Cycles'!$HZ$26,0)</f>
        <v>0</v>
      </c>
      <c r="CS330" s="28">
        <f>IF(CS$6='Lease Cycles'!$HL$26,'Lease Cycles'!$HS$26+'Lease Cycles'!$HZ$26,0)</f>
        <v>0</v>
      </c>
      <c r="CT330" s="28">
        <f>IF(CT$6='Lease Cycles'!$HL$26,'Lease Cycles'!$HS$26+'Lease Cycles'!$HZ$26,0)</f>
        <v>0</v>
      </c>
      <c r="CU330" s="28">
        <f>IF(CU$6='Lease Cycles'!$HL$26,'Lease Cycles'!$HS$26+'Lease Cycles'!$HZ$26,0)</f>
        <v>0</v>
      </c>
      <c r="CV330" s="28">
        <f>IF(CV$6='Lease Cycles'!$HL$26,'Lease Cycles'!$HS$26+'Lease Cycles'!$HZ$26,0)</f>
        <v>0</v>
      </c>
      <c r="CW330" s="28">
        <f>IF(CW$6='Lease Cycles'!$HL$26,'Lease Cycles'!$HS$26+'Lease Cycles'!$HZ$26,0)</f>
        <v>0</v>
      </c>
      <c r="CX330" s="28">
        <f>IF(CX$6='Lease Cycles'!$HL$26,'Lease Cycles'!$HS$26+'Lease Cycles'!$HZ$26,0)</f>
        <v>0</v>
      </c>
      <c r="CY330" s="28">
        <f>IF(CY$6='Lease Cycles'!$HL$26,'Lease Cycles'!$HS$26+'Lease Cycles'!$HZ$26,0)</f>
        <v>0</v>
      </c>
      <c r="CZ330" s="28">
        <f>IF(CZ$6='Lease Cycles'!$HL$26,'Lease Cycles'!$HS$26+'Lease Cycles'!$HZ$26,0)</f>
        <v>0</v>
      </c>
      <c r="DA330" s="28">
        <f>IF(DA$6='Lease Cycles'!$HL$26,'Lease Cycles'!$HS$26+'Lease Cycles'!$HZ$26,0)</f>
        <v>0</v>
      </c>
      <c r="DB330" s="28">
        <f>IF(DB$6='Lease Cycles'!$HL$26,'Lease Cycles'!$HS$26+'Lease Cycles'!$HZ$26,0)</f>
        <v>0</v>
      </c>
      <c r="DC330" s="28">
        <f>IF(DC$6='Lease Cycles'!$HL$26,'Lease Cycles'!$HS$26+'Lease Cycles'!$HZ$26,0)</f>
        <v>0</v>
      </c>
      <c r="DD330" s="28">
        <f>IF(DD$6='Lease Cycles'!$HL$26,'Lease Cycles'!$HS$26+'Lease Cycles'!$HZ$26,0)</f>
        <v>0</v>
      </c>
      <c r="DE330" s="28">
        <f>IF(DE$6='Lease Cycles'!$HL$26,'Lease Cycles'!$HS$26+'Lease Cycles'!$HZ$26,0)</f>
        <v>0</v>
      </c>
      <c r="DF330" s="28">
        <f>IF(DF$6='Lease Cycles'!$HL$26,'Lease Cycles'!$HS$26+'Lease Cycles'!$HZ$26,0)</f>
        <v>0</v>
      </c>
      <c r="DG330" s="28">
        <f>IF(DG$6='Lease Cycles'!$HL$26,'Lease Cycles'!$HS$26+'Lease Cycles'!$HZ$26,0)</f>
        <v>0</v>
      </c>
      <c r="DH330" s="28">
        <f>IF(DH$6='Lease Cycles'!$HL$26,'Lease Cycles'!$HS$26+'Lease Cycles'!$HZ$26,0)</f>
        <v>0</v>
      </c>
      <c r="DI330" s="28">
        <f>IF(DI$6='Lease Cycles'!$HL$26,'Lease Cycles'!$HS$26+'Lease Cycles'!$HZ$26,0)</f>
        <v>0</v>
      </c>
      <c r="DJ330" s="28">
        <f>IF(DJ$6='Lease Cycles'!$HL$26,'Lease Cycles'!$HS$26+'Lease Cycles'!$HZ$26,0)</f>
        <v>0</v>
      </c>
      <c r="DK330" s="28">
        <f>IF(DK$6='Lease Cycles'!$HL$26,'Lease Cycles'!$HS$26+'Lease Cycles'!$HZ$26,0)</f>
        <v>0</v>
      </c>
      <c r="DL330" s="28">
        <f>IF(DL$6='Lease Cycles'!$HL$26,'Lease Cycles'!$HS$26+'Lease Cycles'!$HZ$26,0)</f>
        <v>0</v>
      </c>
      <c r="DM330" s="28">
        <f>IF(DM$6='Lease Cycles'!$HL$26,'Lease Cycles'!$HS$26+'Lease Cycles'!$HZ$26,0)</f>
        <v>0</v>
      </c>
      <c r="DN330" s="28">
        <f>IF(DN$6='Lease Cycles'!$HL$26,'Lease Cycles'!$HS$26+'Lease Cycles'!$HZ$26,0)</f>
        <v>0</v>
      </c>
      <c r="DO330" s="28">
        <f>IF(DO$6='Lease Cycles'!$HL$26,'Lease Cycles'!$HS$26+'Lease Cycles'!$HZ$26,0)</f>
        <v>0</v>
      </c>
      <c r="DP330" s="28">
        <f>IF(DP$6='Lease Cycles'!$HL$26,'Lease Cycles'!$HS$26+'Lease Cycles'!$HZ$26,0)</f>
        <v>0</v>
      </c>
      <c r="DQ330" s="28">
        <f>IF(DQ$6='Lease Cycles'!$HL$26,'Lease Cycles'!$HS$26+'Lease Cycles'!$HZ$26,0)</f>
        <v>0</v>
      </c>
      <c r="DR330" s="28">
        <f>IF(DR$6='Lease Cycles'!$HL$26,'Lease Cycles'!$HS$26+'Lease Cycles'!$HZ$26,0)</f>
        <v>0</v>
      </c>
      <c r="DS330" s="28">
        <f>IF(DS$6='Lease Cycles'!$HL$26,'Lease Cycles'!$HS$26+'Lease Cycles'!$HZ$26,0)</f>
        <v>0</v>
      </c>
      <c r="DT330" s="28">
        <f>IF(DT$6='Lease Cycles'!$HL$26,'Lease Cycles'!$HS$26+'Lease Cycles'!$HZ$26,0)</f>
        <v>0</v>
      </c>
      <c r="DU330" s="28">
        <f>IF(DU$6='Lease Cycles'!$HL$26,'Lease Cycles'!$HS$26+'Lease Cycles'!$HZ$26,0)</f>
        <v>0</v>
      </c>
      <c r="DV330" s="28">
        <f>IF(DV$6='Lease Cycles'!$HL$26,'Lease Cycles'!$HS$26+'Lease Cycles'!$HZ$26,0)</f>
        <v>0</v>
      </c>
      <c r="DW330" s="28">
        <f>IF(DW$6='Lease Cycles'!$HL$26,'Lease Cycles'!$HS$26+'Lease Cycles'!$HZ$26,0)</f>
        <v>0</v>
      </c>
      <c r="DX330" s="28">
        <f>IF(DX$6='Lease Cycles'!$HL$26,'Lease Cycles'!$HS$26+'Lease Cycles'!$HZ$26,0)</f>
        <v>0</v>
      </c>
      <c r="DY330" s="28">
        <f>IF(DY$6='Lease Cycles'!$HL$26,'Lease Cycles'!$HS$26+'Lease Cycles'!$HZ$26,0)</f>
        <v>0</v>
      </c>
      <c r="DZ330" s="28">
        <f>IF(DZ$6='Lease Cycles'!$HL$26,'Lease Cycles'!$HS$26+'Lease Cycles'!$HZ$26,0)</f>
        <v>0</v>
      </c>
      <c r="EA330" s="28">
        <f>IF(EA$6='Lease Cycles'!$HL$26,'Lease Cycles'!$HS$26+'Lease Cycles'!$HZ$26,0)</f>
        <v>0</v>
      </c>
      <c r="EB330" s="28">
        <f>IF(EB$6='Lease Cycles'!$HL$26,'Lease Cycles'!$HS$26+'Lease Cycles'!$HZ$26,0)</f>
        <v>0</v>
      </c>
      <c r="EC330" s="28">
        <f>IF(EC$6='Lease Cycles'!$HL$26,'Lease Cycles'!$HS$26+'Lease Cycles'!$HZ$26,0)</f>
        <v>0</v>
      </c>
      <c r="ED330" s="28">
        <f>IF(ED$6='Lease Cycles'!$HL$26,'Lease Cycles'!$HS$26+'Lease Cycles'!$HZ$26,0)</f>
        <v>0</v>
      </c>
      <c r="EE330" s="28">
        <f>IF(EE$6='Lease Cycles'!$HL$26,'Lease Cycles'!$HS$26+'Lease Cycles'!$HZ$26,0)</f>
        <v>0</v>
      </c>
      <c r="EF330" s="28">
        <f>IF(EF$6='Lease Cycles'!$HL$26,'Lease Cycles'!$HS$26+'Lease Cycles'!$HZ$26,0)</f>
        <v>0</v>
      </c>
      <c r="EG330" s="28">
        <f>IF(EG$6='Lease Cycles'!$HL$26,'Lease Cycles'!$HS$26+'Lease Cycles'!$HZ$26,0)</f>
        <v>0</v>
      </c>
      <c r="EH330" s="28">
        <f>IF(EH$6='Lease Cycles'!$HL$26,'Lease Cycles'!$HS$26+'Lease Cycles'!$HZ$26,0)</f>
        <v>0</v>
      </c>
      <c r="EI330" s="28">
        <f>IF(EI$6='Lease Cycles'!$HL$26,'Lease Cycles'!$HS$26+'Lease Cycles'!$HZ$26,0)</f>
        <v>0</v>
      </c>
      <c r="EJ330" s="28">
        <f>IF(EJ$6='Lease Cycles'!$HL$26,'Lease Cycles'!$HS$26+'Lease Cycles'!$HZ$26,0)</f>
        <v>0</v>
      </c>
      <c r="EK330" s="28">
        <f>IF(EK$6='Lease Cycles'!$HL$26,'Lease Cycles'!$HS$26+'Lease Cycles'!$HZ$26,0)</f>
        <v>0</v>
      </c>
      <c r="EL330" s="28">
        <f>IF(EL$6='Lease Cycles'!$HL$26,'Lease Cycles'!$HS$26+'Lease Cycles'!$HZ$26,0)</f>
        <v>0</v>
      </c>
      <c r="EM330" s="28">
        <f>IF(EM$6='Lease Cycles'!$HL$26,'Lease Cycles'!$HS$26+'Lease Cycles'!$HZ$26,0)</f>
        <v>0</v>
      </c>
      <c r="EN330" s="28">
        <f>IF(EN$6='Lease Cycles'!$HL$26,'Lease Cycles'!$HS$26+'Lease Cycles'!$HZ$26,0)</f>
        <v>0</v>
      </c>
      <c r="EO330" s="28">
        <f>IF(EO$6='Lease Cycles'!$HL$26,'Lease Cycles'!$HS$26+'Lease Cycles'!$HZ$26,0)</f>
        <v>0</v>
      </c>
      <c r="EP330" s="28">
        <f>IF(EP$6='Lease Cycles'!$HL$26,'Lease Cycles'!$HS$26+'Lease Cycles'!$HZ$26,0)</f>
        <v>0</v>
      </c>
      <c r="EQ330" s="28">
        <f>IF(EQ$6='Lease Cycles'!$HL$26,'Lease Cycles'!$HS$26+'Lease Cycles'!$HZ$26,0)</f>
        <v>0</v>
      </c>
      <c r="ER330" s="28">
        <f>IF(ER$6='Lease Cycles'!$HL$26,'Lease Cycles'!$HS$26+'Lease Cycles'!$HZ$26,0)</f>
        <v>0</v>
      </c>
      <c r="ES330" s="28">
        <f>IF(ES$6='Lease Cycles'!$HL$26,'Lease Cycles'!$HS$26+'Lease Cycles'!$HZ$26,0)</f>
        <v>0</v>
      </c>
      <c r="ET330" s="28">
        <f>IF(ET$6='Lease Cycles'!$HL$26,'Lease Cycles'!$HS$26+'Lease Cycles'!$HZ$26,0)</f>
        <v>0</v>
      </c>
    </row>
    <row r="331">
      <c r="A331" s="103">
        <v>19</v>
      </c>
      <c r="B331" s="23" t="str">
        <f>IF('Lease Cycles'!$B$26="","(empty slot)",'Lease Cycles'!$B$26)</f>
        <v>(empty slot)</v>
      </c>
      <c r="C331" s="23" t="s">
        <v>499</v>
      </c>
      <c r="D331" s="104" t="s">
        <v>500</v>
      </c>
      <c r="E331" s="25">
        <f>'Lease Cycles'!$AL$26</f>
        <v>0</v>
      </c>
      <c r="G331" s="28">
        <f>MAX(0,'Lease Cycles'!$AN$26*'Lease Cycles'!$C$26*'Lease Cycles'!$AM$26*(1+a_SalesGrowth)^(G$6-1)-G321)</f>
        <v>0</v>
      </c>
      <c r="H331" s="28">
        <f>MAX(0,'Lease Cycles'!$AN$26*'Lease Cycles'!$C$26*'Lease Cycles'!$AM$26*(1+a_SalesGrowth)^(H$6-1)-H321)</f>
        <v>0</v>
      </c>
      <c r="I331" s="28">
        <f>MAX(0,'Lease Cycles'!$AN$26*'Lease Cycles'!$C$26*'Lease Cycles'!$AM$26*(1+a_SalesGrowth)^(I$6-1)-I321)</f>
        <v>0</v>
      </c>
      <c r="J331" s="28">
        <f>MAX(0,'Lease Cycles'!$AN$26*'Lease Cycles'!$C$26*'Lease Cycles'!$AM$26*(1+a_SalesGrowth)^(J$6-1)-J321)</f>
        <v>0</v>
      </c>
      <c r="K331" s="28">
        <f>MAX(0,'Lease Cycles'!$AN$26*'Lease Cycles'!$C$26*'Lease Cycles'!$AM$26*(1+a_SalesGrowth)^(K$6-1)-K321)</f>
        <v>0</v>
      </c>
      <c r="L331" s="28">
        <f>MAX(0,'Lease Cycles'!$AN$26*'Lease Cycles'!$C$26*'Lease Cycles'!$AM$26*(1+a_SalesGrowth)^(L$6-1)-L321)</f>
        <v>0</v>
      </c>
      <c r="M331" s="28">
        <f>MAX(0,'Lease Cycles'!$AN$26*'Lease Cycles'!$C$26*'Lease Cycles'!$AM$26*(1+a_SalesGrowth)^(M$6-1)-M321)</f>
        <v>0</v>
      </c>
      <c r="N331" s="28">
        <f>MAX(0,'Lease Cycles'!$AN$26*'Lease Cycles'!$C$26*'Lease Cycles'!$AM$26*(1+a_SalesGrowth)^(N$6-1)-N321)</f>
        <v>0</v>
      </c>
      <c r="O331" s="28">
        <f>MAX(0,'Lease Cycles'!$AN$26*'Lease Cycles'!$C$26*'Lease Cycles'!$AM$26*(1+a_SalesGrowth)^(O$6-1)-O321)</f>
        <v>0</v>
      </c>
      <c r="P331" s="28">
        <f>MAX(0,'Lease Cycles'!$AN$26*'Lease Cycles'!$C$26*'Lease Cycles'!$AM$26*(1+a_SalesGrowth)^(P$6-1)-P321)</f>
        <v>0</v>
      </c>
      <c r="Q331" s="28">
        <f>MAX(0,'Lease Cycles'!$AN$26*'Lease Cycles'!$C$26*'Lease Cycles'!$AM$26*(1+a_SalesGrowth)^(Q$6-1)-Q321)</f>
        <v>0</v>
      </c>
    </row>
    <row r="333">
      <c r="A333" s="103">
        <v>20</v>
      </c>
      <c r="B333" s="23" t="str">
        <f>IF('Lease Cycles'!$B$27="","(empty slot)",'Lease Cycles'!$B$27)</f>
        <v>(empty slot)</v>
      </c>
      <c r="C333" s="23" t="s">
        <v>671</v>
      </c>
      <c r="D333" s="104" t="s">
        <v>672</v>
      </c>
      <c r="E333" s="25">
        <f>'Lease Cycles'!$AL$27</f>
        <v>0</v>
      </c>
      <c r="S333" s="25">
        <f>IF('Lease Cycles'!$C$27&gt;0,COUNTIF('Lease Cycles'!$BG$27:$BM$27,"&lt;="&amp;S$6),0)</f>
        <v>0</v>
      </c>
      <c r="T333" s="25">
        <f>IF('Lease Cycles'!$C$27&gt;0,COUNTIF('Lease Cycles'!$BG$27:$BM$27,"&lt;="&amp;T$6),0)</f>
        <v>0</v>
      </c>
      <c r="U333" s="25">
        <f>IF('Lease Cycles'!$C$27&gt;0,COUNTIF('Lease Cycles'!$BG$27:$BM$27,"&lt;="&amp;U$6),0)</f>
        <v>0</v>
      </c>
      <c r="V333" s="25">
        <f>IF('Lease Cycles'!$C$27&gt;0,COUNTIF('Lease Cycles'!$BG$27:$BM$27,"&lt;="&amp;V$6),0)</f>
        <v>0</v>
      </c>
      <c r="W333" s="25">
        <f>IF('Lease Cycles'!$C$27&gt;0,COUNTIF('Lease Cycles'!$BG$27:$BM$27,"&lt;="&amp;W$6),0)</f>
        <v>0</v>
      </c>
      <c r="X333" s="25">
        <f>IF('Lease Cycles'!$C$27&gt;0,COUNTIF('Lease Cycles'!$BG$27:$BM$27,"&lt;="&amp;X$6),0)</f>
        <v>0</v>
      </c>
      <c r="Y333" s="25">
        <f>IF('Lease Cycles'!$C$27&gt;0,COUNTIF('Lease Cycles'!$BG$27:$BM$27,"&lt;="&amp;Y$6),0)</f>
        <v>0</v>
      </c>
      <c r="Z333" s="25">
        <f>IF('Lease Cycles'!$C$27&gt;0,COUNTIF('Lease Cycles'!$BG$27:$BM$27,"&lt;="&amp;Z$6),0)</f>
        <v>0</v>
      </c>
      <c r="AA333" s="25">
        <f>IF('Lease Cycles'!$C$27&gt;0,COUNTIF('Lease Cycles'!$BG$27:$BM$27,"&lt;="&amp;AA$6),0)</f>
        <v>0</v>
      </c>
      <c r="AB333" s="25">
        <f>IF('Lease Cycles'!$C$27&gt;0,COUNTIF('Lease Cycles'!$BG$27:$BM$27,"&lt;="&amp;AB$6),0)</f>
        <v>0</v>
      </c>
      <c r="AC333" s="25">
        <f>IF('Lease Cycles'!$C$27&gt;0,COUNTIF('Lease Cycles'!$BG$27:$BM$27,"&lt;="&amp;AC$6),0)</f>
        <v>0</v>
      </c>
      <c r="AD333" s="25">
        <f>IF('Lease Cycles'!$C$27&gt;0,COUNTIF('Lease Cycles'!$BG$27:$BM$27,"&lt;="&amp;AD$6),0)</f>
        <v>0</v>
      </c>
      <c r="AE333" s="25">
        <f>IF('Lease Cycles'!$C$27&gt;0,COUNTIF('Lease Cycles'!$BG$27:$BM$27,"&lt;="&amp;AE$6),0)</f>
        <v>0</v>
      </c>
      <c r="AF333" s="25">
        <f>IF('Lease Cycles'!$C$27&gt;0,COUNTIF('Lease Cycles'!$BG$27:$BM$27,"&lt;="&amp;AF$6),0)</f>
        <v>0</v>
      </c>
      <c r="AG333" s="25">
        <f>IF('Lease Cycles'!$C$27&gt;0,COUNTIF('Lease Cycles'!$BG$27:$BM$27,"&lt;="&amp;AG$6),0)</f>
        <v>0</v>
      </c>
      <c r="AH333" s="25">
        <f>IF('Lease Cycles'!$C$27&gt;0,COUNTIF('Lease Cycles'!$BG$27:$BM$27,"&lt;="&amp;AH$6),0)</f>
        <v>0</v>
      </c>
      <c r="AI333" s="25">
        <f>IF('Lease Cycles'!$C$27&gt;0,COUNTIF('Lease Cycles'!$BG$27:$BM$27,"&lt;="&amp;AI$6),0)</f>
        <v>0</v>
      </c>
      <c r="AJ333" s="25">
        <f>IF('Lease Cycles'!$C$27&gt;0,COUNTIF('Lease Cycles'!$BG$27:$BM$27,"&lt;="&amp;AJ$6),0)</f>
        <v>0</v>
      </c>
      <c r="AK333" s="25">
        <f>IF('Lease Cycles'!$C$27&gt;0,COUNTIF('Lease Cycles'!$BG$27:$BM$27,"&lt;="&amp;AK$6),0)</f>
        <v>0</v>
      </c>
      <c r="AL333" s="25">
        <f>IF('Lease Cycles'!$C$27&gt;0,COUNTIF('Lease Cycles'!$BG$27:$BM$27,"&lt;="&amp;AL$6),0)</f>
        <v>0</v>
      </c>
      <c r="AM333" s="25">
        <f>IF('Lease Cycles'!$C$27&gt;0,COUNTIF('Lease Cycles'!$BG$27:$BM$27,"&lt;="&amp;AM$6),0)</f>
        <v>0</v>
      </c>
      <c r="AN333" s="25">
        <f>IF('Lease Cycles'!$C$27&gt;0,COUNTIF('Lease Cycles'!$BG$27:$BM$27,"&lt;="&amp;AN$6),0)</f>
        <v>0</v>
      </c>
      <c r="AO333" s="25">
        <f>IF('Lease Cycles'!$C$27&gt;0,COUNTIF('Lease Cycles'!$BG$27:$BM$27,"&lt;="&amp;AO$6),0)</f>
        <v>0</v>
      </c>
      <c r="AP333" s="25">
        <f>IF('Lease Cycles'!$C$27&gt;0,COUNTIF('Lease Cycles'!$BG$27:$BM$27,"&lt;="&amp;AP$6),0)</f>
        <v>0</v>
      </c>
      <c r="AQ333" s="25">
        <f>IF('Lease Cycles'!$C$27&gt;0,COUNTIF('Lease Cycles'!$BG$27:$BM$27,"&lt;="&amp;AQ$6),0)</f>
        <v>0</v>
      </c>
      <c r="AR333" s="25">
        <f>IF('Lease Cycles'!$C$27&gt;0,COUNTIF('Lease Cycles'!$BG$27:$BM$27,"&lt;="&amp;AR$6),0)</f>
        <v>0</v>
      </c>
      <c r="AS333" s="25">
        <f>IF('Lease Cycles'!$C$27&gt;0,COUNTIF('Lease Cycles'!$BG$27:$BM$27,"&lt;="&amp;AS$6),0)</f>
        <v>0</v>
      </c>
      <c r="AT333" s="25">
        <f>IF('Lease Cycles'!$C$27&gt;0,COUNTIF('Lease Cycles'!$BG$27:$BM$27,"&lt;="&amp;AT$6),0)</f>
        <v>0</v>
      </c>
      <c r="AU333" s="25">
        <f>IF('Lease Cycles'!$C$27&gt;0,COUNTIF('Lease Cycles'!$BG$27:$BM$27,"&lt;="&amp;AU$6),0)</f>
        <v>0</v>
      </c>
      <c r="AV333" s="25">
        <f>IF('Lease Cycles'!$C$27&gt;0,COUNTIF('Lease Cycles'!$BG$27:$BM$27,"&lt;="&amp;AV$6),0)</f>
        <v>0</v>
      </c>
      <c r="AW333" s="25">
        <f>IF('Lease Cycles'!$C$27&gt;0,COUNTIF('Lease Cycles'!$BG$27:$BM$27,"&lt;="&amp;AW$6),0)</f>
        <v>0</v>
      </c>
      <c r="AX333" s="25">
        <f>IF('Lease Cycles'!$C$27&gt;0,COUNTIF('Lease Cycles'!$BG$27:$BM$27,"&lt;="&amp;AX$6),0)</f>
        <v>0</v>
      </c>
      <c r="AY333" s="25">
        <f>IF('Lease Cycles'!$C$27&gt;0,COUNTIF('Lease Cycles'!$BG$27:$BM$27,"&lt;="&amp;AY$6),0)</f>
        <v>0</v>
      </c>
      <c r="AZ333" s="25">
        <f>IF('Lease Cycles'!$C$27&gt;0,COUNTIF('Lease Cycles'!$BG$27:$BM$27,"&lt;="&amp;AZ$6),0)</f>
        <v>0</v>
      </c>
      <c r="BA333" s="25">
        <f>IF('Lease Cycles'!$C$27&gt;0,COUNTIF('Lease Cycles'!$BG$27:$BM$27,"&lt;="&amp;BA$6),0)</f>
        <v>0</v>
      </c>
      <c r="BB333" s="25">
        <f>IF('Lease Cycles'!$C$27&gt;0,COUNTIF('Lease Cycles'!$BG$27:$BM$27,"&lt;="&amp;BB$6),0)</f>
        <v>0</v>
      </c>
      <c r="BC333" s="25">
        <f>IF('Lease Cycles'!$C$27&gt;0,COUNTIF('Lease Cycles'!$BG$27:$BM$27,"&lt;="&amp;BC$6),0)</f>
        <v>0</v>
      </c>
      <c r="BD333" s="25">
        <f>IF('Lease Cycles'!$C$27&gt;0,COUNTIF('Lease Cycles'!$BG$27:$BM$27,"&lt;="&amp;BD$6),0)</f>
        <v>0</v>
      </c>
      <c r="BE333" s="25">
        <f>IF('Lease Cycles'!$C$27&gt;0,COUNTIF('Lease Cycles'!$BG$27:$BM$27,"&lt;="&amp;BE$6),0)</f>
        <v>0</v>
      </c>
      <c r="BF333" s="25">
        <f>IF('Lease Cycles'!$C$27&gt;0,COUNTIF('Lease Cycles'!$BG$27:$BM$27,"&lt;="&amp;BF$6),0)</f>
        <v>0</v>
      </c>
      <c r="BG333" s="25">
        <f>IF('Lease Cycles'!$C$27&gt;0,COUNTIF('Lease Cycles'!$BG$27:$BM$27,"&lt;="&amp;BG$6),0)</f>
        <v>0</v>
      </c>
      <c r="BH333" s="25">
        <f>IF('Lease Cycles'!$C$27&gt;0,COUNTIF('Lease Cycles'!$BG$27:$BM$27,"&lt;="&amp;BH$6),0)</f>
        <v>0</v>
      </c>
      <c r="BI333" s="25">
        <f>IF('Lease Cycles'!$C$27&gt;0,COUNTIF('Lease Cycles'!$BG$27:$BM$27,"&lt;="&amp;BI$6),0)</f>
        <v>0</v>
      </c>
      <c r="BJ333" s="25">
        <f>IF('Lease Cycles'!$C$27&gt;0,COUNTIF('Lease Cycles'!$BG$27:$BM$27,"&lt;="&amp;BJ$6),0)</f>
        <v>0</v>
      </c>
      <c r="BK333" s="25">
        <f>IF('Lease Cycles'!$C$27&gt;0,COUNTIF('Lease Cycles'!$BG$27:$BM$27,"&lt;="&amp;BK$6),0)</f>
        <v>0</v>
      </c>
      <c r="BL333" s="25">
        <f>IF('Lease Cycles'!$C$27&gt;0,COUNTIF('Lease Cycles'!$BG$27:$BM$27,"&lt;="&amp;BL$6),0)</f>
        <v>0</v>
      </c>
      <c r="BM333" s="25">
        <f>IF('Lease Cycles'!$C$27&gt;0,COUNTIF('Lease Cycles'!$BG$27:$BM$27,"&lt;="&amp;BM$6),0)</f>
        <v>0</v>
      </c>
      <c r="BN333" s="25">
        <f>IF('Lease Cycles'!$C$27&gt;0,COUNTIF('Lease Cycles'!$BG$27:$BM$27,"&lt;="&amp;BN$6),0)</f>
        <v>0</v>
      </c>
      <c r="BO333" s="25">
        <f>IF('Lease Cycles'!$C$27&gt;0,COUNTIF('Lease Cycles'!$BG$27:$BM$27,"&lt;="&amp;BO$6),0)</f>
        <v>0</v>
      </c>
      <c r="BP333" s="25">
        <f>IF('Lease Cycles'!$C$27&gt;0,COUNTIF('Lease Cycles'!$BG$27:$BM$27,"&lt;="&amp;BP$6),0)</f>
        <v>0</v>
      </c>
      <c r="BQ333" s="25">
        <f>IF('Lease Cycles'!$C$27&gt;0,COUNTIF('Lease Cycles'!$BG$27:$BM$27,"&lt;="&amp;BQ$6),0)</f>
        <v>0</v>
      </c>
      <c r="BR333" s="25">
        <f>IF('Lease Cycles'!$C$27&gt;0,COUNTIF('Lease Cycles'!$BG$27:$BM$27,"&lt;="&amp;BR$6),0)</f>
        <v>0</v>
      </c>
      <c r="BS333" s="25">
        <f>IF('Lease Cycles'!$C$27&gt;0,COUNTIF('Lease Cycles'!$BG$27:$BM$27,"&lt;="&amp;BS$6),0)</f>
        <v>0</v>
      </c>
      <c r="BT333" s="25">
        <f>IF('Lease Cycles'!$C$27&gt;0,COUNTIF('Lease Cycles'!$BG$27:$BM$27,"&lt;="&amp;BT$6),0)</f>
        <v>0</v>
      </c>
      <c r="BU333" s="25">
        <f>IF('Lease Cycles'!$C$27&gt;0,COUNTIF('Lease Cycles'!$BG$27:$BM$27,"&lt;="&amp;BU$6),0)</f>
        <v>0</v>
      </c>
      <c r="BV333" s="25">
        <f>IF('Lease Cycles'!$C$27&gt;0,COUNTIF('Lease Cycles'!$BG$27:$BM$27,"&lt;="&amp;BV$6),0)</f>
        <v>0</v>
      </c>
      <c r="BW333" s="25">
        <f>IF('Lease Cycles'!$C$27&gt;0,COUNTIF('Lease Cycles'!$BG$27:$BM$27,"&lt;="&amp;BW$6),0)</f>
        <v>0</v>
      </c>
      <c r="BX333" s="25">
        <f>IF('Lease Cycles'!$C$27&gt;0,COUNTIF('Lease Cycles'!$BG$27:$BM$27,"&lt;="&amp;BX$6),0)</f>
        <v>0</v>
      </c>
      <c r="BY333" s="25">
        <f>IF('Lease Cycles'!$C$27&gt;0,COUNTIF('Lease Cycles'!$BG$27:$BM$27,"&lt;="&amp;BY$6),0)</f>
        <v>0</v>
      </c>
      <c r="BZ333" s="25">
        <f>IF('Lease Cycles'!$C$27&gt;0,COUNTIF('Lease Cycles'!$BG$27:$BM$27,"&lt;="&amp;BZ$6),0)</f>
        <v>0</v>
      </c>
      <c r="CA333" s="25">
        <f>IF('Lease Cycles'!$C$27&gt;0,COUNTIF('Lease Cycles'!$BG$27:$BM$27,"&lt;="&amp;CA$6),0)</f>
        <v>0</v>
      </c>
      <c r="CB333" s="25">
        <f>IF('Lease Cycles'!$C$27&gt;0,COUNTIF('Lease Cycles'!$BG$27:$BM$27,"&lt;="&amp;CB$6),0)</f>
        <v>0</v>
      </c>
      <c r="CC333" s="25">
        <f>IF('Lease Cycles'!$C$27&gt;0,COUNTIF('Lease Cycles'!$BG$27:$BM$27,"&lt;="&amp;CC$6),0)</f>
        <v>0</v>
      </c>
      <c r="CD333" s="25">
        <f>IF('Lease Cycles'!$C$27&gt;0,COUNTIF('Lease Cycles'!$BG$27:$BM$27,"&lt;="&amp;CD$6),0)</f>
        <v>0</v>
      </c>
      <c r="CE333" s="25">
        <f>IF('Lease Cycles'!$C$27&gt;0,COUNTIF('Lease Cycles'!$BG$27:$BM$27,"&lt;="&amp;CE$6),0)</f>
        <v>0</v>
      </c>
      <c r="CF333" s="25">
        <f>IF('Lease Cycles'!$C$27&gt;0,COUNTIF('Lease Cycles'!$BG$27:$BM$27,"&lt;="&amp;CF$6),0)</f>
        <v>0</v>
      </c>
      <c r="CG333" s="25">
        <f>IF('Lease Cycles'!$C$27&gt;0,COUNTIF('Lease Cycles'!$BG$27:$BM$27,"&lt;="&amp;CG$6),0)</f>
        <v>0</v>
      </c>
      <c r="CH333" s="25">
        <f>IF('Lease Cycles'!$C$27&gt;0,COUNTIF('Lease Cycles'!$BG$27:$BM$27,"&lt;="&amp;CH$6),0)</f>
        <v>0</v>
      </c>
      <c r="CI333" s="25">
        <f>IF('Lease Cycles'!$C$27&gt;0,COUNTIF('Lease Cycles'!$BG$27:$BM$27,"&lt;="&amp;CI$6),0)</f>
        <v>0</v>
      </c>
      <c r="CJ333" s="25">
        <f>IF('Lease Cycles'!$C$27&gt;0,COUNTIF('Lease Cycles'!$BG$27:$BM$27,"&lt;="&amp;CJ$6),0)</f>
        <v>0</v>
      </c>
      <c r="CK333" s="25">
        <f>IF('Lease Cycles'!$C$27&gt;0,COUNTIF('Lease Cycles'!$BG$27:$BM$27,"&lt;="&amp;CK$6),0)</f>
        <v>0</v>
      </c>
      <c r="CL333" s="25">
        <f>IF('Lease Cycles'!$C$27&gt;0,COUNTIF('Lease Cycles'!$BG$27:$BM$27,"&lt;="&amp;CL$6),0)</f>
        <v>0</v>
      </c>
      <c r="CM333" s="25">
        <f>IF('Lease Cycles'!$C$27&gt;0,COUNTIF('Lease Cycles'!$BG$27:$BM$27,"&lt;="&amp;CM$6),0)</f>
        <v>0</v>
      </c>
      <c r="CN333" s="25">
        <f>IF('Lease Cycles'!$C$27&gt;0,COUNTIF('Lease Cycles'!$BG$27:$BM$27,"&lt;="&amp;CN$6),0)</f>
        <v>0</v>
      </c>
      <c r="CO333" s="25">
        <f>IF('Lease Cycles'!$C$27&gt;0,COUNTIF('Lease Cycles'!$BG$27:$BM$27,"&lt;="&amp;CO$6),0)</f>
        <v>0</v>
      </c>
      <c r="CP333" s="25">
        <f>IF('Lease Cycles'!$C$27&gt;0,COUNTIF('Lease Cycles'!$BG$27:$BM$27,"&lt;="&amp;CP$6),0)</f>
        <v>0</v>
      </c>
      <c r="CQ333" s="25">
        <f>IF('Lease Cycles'!$C$27&gt;0,COUNTIF('Lease Cycles'!$BG$27:$BM$27,"&lt;="&amp;CQ$6),0)</f>
        <v>0</v>
      </c>
      <c r="CR333" s="25">
        <f>IF('Lease Cycles'!$C$27&gt;0,COUNTIF('Lease Cycles'!$BG$27:$BM$27,"&lt;="&amp;CR$6),0)</f>
        <v>0</v>
      </c>
      <c r="CS333" s="25">
        <f>IF('Lease Cycles'!$C$27&gt;0,COUNTIF('Lease Cycles'!$BG$27:$BM$27,"&lt;="&amp;CS$6),0)</f>
        <v>0</v>
      </c>
      <c r="CT333" s="25">
        <f>IF('Lease Cycles'!$C$27&gt;0,COUNTIF('Lease Cycles'!$BG$27:$BM$27,"&lt;="&amp;CT$6),0)</f>
        <v>0</v>
      </c>
      <c r="CU333" s="25">
        <f>IF('Lease Cycles'!$C$27&gt;0,COUNTIF('Lease Cycles'!$BG$27:$BM$27,"&lt;="&amp;CU$6),0)</f>
        <v>0</v>
      </c>
      <c r="CV333" s="25">
        <f>IF('Lease Cycles'!$C$27&gt;0,COUNTIF('Lease Cycles'!$BG$27:$BM$27,"&lt;="&amp;CV$6),0)</f>
        <v>0</v>
      </c>
      <c r="CW333" s="25">
        <f>IF('Lease Cycles'!$C$27&gt;0,COUNTIF('Lease Cycles'!$BG$27:$BM$27,"&lt;="&amp;CW$6),0)</f>
        <v>0</v>
      </c>
      <c r="CX333" s="25">
        <f>IF('Lease Cycles'!$C$27&gt;0,COUNTIF('Lease Cycles'!$BG$27:$BM$27,"&lt;="&amp;CX$6),0)</f>
        <v>0</v>
      </c>
      <c r="CY333" s="25">
        <f>IF('Lease Cycles'!$C$27&gt;0,COUNTIF('Lease Cycles'!$BG$27:$BM$27,"&lt;="&amp;CY$6),0)</f>
        <v>0</v>
      </c>
      <c r="CZ333" s="25">
        <f>IF('Lease Cycles'!$C$27&gt;0,COUNTIF('Lease Cycles'!$BG$27:$BM$27,"&lt;="&amp;CZ$6),0)</f>
        <v>0</v>
      </c>
      <c r="DA333" s="25">
        <f>IF('Lease Cycles'!$C$27&gt;0,COUNTIF('Lease Cycles'!$BG$27:$BM$27,"&lt;="&amp;DA$6),0)</f>
        <v>0</v>
      </c>
      <c r="DB333" s="25">
        <f>IF('Lease Cycles'!$C$27&gt;0,COUNTIF('Lease Cycles'!$BG$27:$BM$27,"&lt;="&amp;DB$6),0)</f>
        <v>0</v>
      </c>
      <c r="DC333" s="25">
        <f>IF('Lease Cycles'!$C$27&gt;0,COUNTIF('Lease Cycles'!$BG$27:$BM$27,"&lt;="&amp;DC$6),0)</f>
        <v>0</v>
      </c>
      <c r="DD333" s="25">
        <f>IF('Lease Cycles'!$C$27&gt;0,COUNTIF('Lease Cycles'!$BG$27:$BM$27,"&lt;="&amp;DD$6),0)</f>
        <v>0</v>
      </c>
      <c r="DE333" s="25">
        <f>IF('Lease Cycles'!$C$27&gt;0,COUNTIF('Lease Cycles'!$BG$27:$BM$27,"&lt;="&amp;DE$6),0)</f>
        <v>0</v>
      </c>
      <c r="DF333" s="25">
        <f>IF('Lease Cycles'!$C$27&gt;0,COUNTIF('Lease Cycles'!$BG$27:$BM$27,"&lt;="&amp;DF$6),0)</f>
        <v>0</v>
      </c>
      <c r="DG333" s="25">
        <f>IF('Lease Cycles'!$C$27&gt;0,COUNTIF('Lease Cycles'!$BG$27:$BM$27,"&lt;="&amp;DG$6),0)</f>
        <v>0</v>
      </c>
      <c r="DH333" s="25">
        <f>IF('Lease Cycles'!$C$27&gt;0,COUNTIF('Lease Cycles'!$BG$27:$BM$27,"&lt;="&amp;DH$6),0)</f>
        <v>0</v>
      </c>
      <c r="DI333" s="25">
        <f>IF('Lease Cycles'!$C$27&gt;0,COUNTIF('Lease Cycles'!$BG$27:$BM$27,"&lt;="&amp;DI$6),0)</f>
        <v>0</v>
      </c>
      <c r="DJ333" s="25">
        <f>IF('Lease Cycles'!$C$27&gt;0,COUNTIF('Lease Cycles'!$BG$27:$BM$27,"&lt;="&amp;DJ$6),0)</f>
        <v>0</v>
      </c>
      <c r="DK333" s="25">
        <f>IF('Lease Cycles'!$C$27&gt;0,COUNTIF('Lease Cycles'!$BG$27:$BM$27,"&lt;="&amp;DK$6),0)</f>
        <v>0</v>
      </c>
      <c r="DL333" s="25">
        <f>IF('Lease Cycles'!$C$27&gt;0,COUNTIF('Lease Cycles'!$BG$27:$BM$27,"&lt;="&amp;DL$6),0)</f>
        <v>0</v>
      </c>
      <c r="DM333" s="25">
        <f>IF('Lease Cycles'!$C$27&gt;0,COUNTIF('Lease Cycles'!$BG$27:$BM$27,"&lt;="&amp;DM$6),0)</f>
        <v>0</v>
      </c>
      <c r="DN333" s="25">
        <f>IF('Lease Cycles'!$C$27&gt;0,COUNTIF('Lease Cycles'!$BG$27:$BM$27,"&lt;="&amp;DN$6),0)</f>
        <v>0</v>
      </c>
      <c r="DO333" s="25">
        <f>IF('Lease Cycles'!$C$27&gt;0,COUNTIF('Lease Cycles'!$BG$27:$BM$27,"&lt;="&amp;DO$6),0)</f>
        <v>0</v>
      </c>
      <c r="DP333" s="25">
        <f>IF('Lease Cycles'!$C$27&gt;0,COUNTIF('Lease Cycles'!$BG$27:$BM$27,"&lt;="&amp;DP$6),0)</f>
        <v>0</v>
      </c>
      <c r="DQ333" s="25">
        <f>IF('Lease Cycles'!$C$27&gt;0,COUNTIF('Lease Cycles'!$BG$27:$BM$27,"&lt;="&amp;DQ$6),0)</f>
        <v>0</v>
      </c>
      <c r="DR333" s="25">
        <f>IF('Lease Cycles'!$C$27&gt;0,COUNTIF('Lease Cycles'!$BG$27:$BM$27,"&lt;="&amp;DR$6),0)</f>
        <v>0</v>
      </c>
      <c r="DS333" s="25">
        <f>IF('Lease Cycles'!$C$27&gt;0,COUNTIF('Lease Cycles'!$BG$27:$BM$27,"&lt;="&amp;DS$6),0)</f>
        <v>0</v>
      </c>
      <c r="DT333" s="25">
        <f>IF('Lease Cycles'!$C$27&gt;0,COUNTIF('Lease Cycles'!$BG$27:$BM$27,"&lt;="&amp;DT$6),0)</f>
        <v>0</v>
      </c>
      <c r="DU333" s="25">
        <f>IF('Lease Cycles'!$C$27&gt;0,COUNTIF('Lease Cycles'!$BG$27:$BM$27,"&lt;="&amp;DU$6),0)</f>
        <v>0</v>
      </c>
      <c r="DV333" s="25">
        <f>IF('Lease Cycles'!$C$27&gt;0,COUNTIF('Lease Cycles'!$BG$27:$BM$27,"&lt;="&amp;DV$6),0)</f>
        <v>0</v>
      </c>
      <c r="DW333" s="25">
        <f>IF('Lease Cycles'!$C$27&gt;0,COUNTIF('Lease Cycles'!$BG$27:$BM$27,"&lt;="&amp;DW$6),0)</f>
        <v>0</v>
      </c>
      <c r="DX333" s="25">
        <f>IF('Lease Cycles'!$C$27&gt;0,COUNTIF('Lease Cycles'!$BG$27:$BM$27,"&lt;="&amp;DX$6),0)</f>
        <v>0</v>
      </c>
      <c r="DY333" s="25">
        <f>IF('Lease Cycles'!$C$27&gt;0,COUNTIF('Lease Cycles'!$BG$27:$BM$27,"&lt;="&amp;DY$6),0)</f>
        <v>0</v>
      </c>
      <c r="DZ333" s="25">
        <f>IF('Lease Cycles'!$C$27&gt;0,COUNTIF('Lease Cycles'!$BG$27:$BM$27,"&lt;="&amp;DZ$6),0)</f>
        <v>0</v>
      </c>
      <c r="EA333" s="25">
        <f>IF('Lease Cycles'!$C$27&gt;0,COUNTIF('Lease Cycles'!$BG$27:$BM$27,"&lt;="&amp;EA$6),0)</f>
        <v>0</v>
      </c>
      <c r="EB333" s="25">
        <f>IF('Lease Cycles'!$C$27&gt;0,COUNTIF('Lease Cycles'!$BG$27:$BM$27,"&lt;="&amp;EB$6),0)</f>
        <v>0</v>
      </c>
      <c r="EC333" s="25">
        <f>IF('Lease Cycles'!$C$27&gt;0,COUNTIF('Lease Cycles'!$BG$27:$BM$27,"&lt;="&amp;EC$6),0)</f>
        <v>0</v>
      </c>
      <c r="ED333" s="25">
        <f>IF('Lease Cycles'!$C$27&gt;0,COUNTIF('Lease Cycles'!$BG$27:$BM$27,"&lt;="&amp;ED$6),0)</f>
        <v>0</v>
      </c>
      <c r="EE333" s="25">
        <f>IF('Lease Cycles'!$C$27&gt;0,COUNTIF('Lease Cycles'!$BG$27:$BM$27,"&lt;="&amp;EE$6),0)</f>
        <v>0</v>
      </c>
      <c r="EF333" s="25">
        <f>IF('Lease Cycles'!$C$27&gt;0,COUNTIF('Lease Cycles'!$BG$27:$BM$27,"&lt;="&amp;EF$6),0)</f>
        <v>0</v>
      </c>
      <c r="EG333" s="25">
        <f>IF('Lease Cycles'!$C$27&gt;0,COUNTIF('Lease Cycles'!$BG$27:$BM$27,"&lt;="&amp;EG$6),0)</f>
        <v>0</v>
      </c>
      <c r="EH333" s="25">
        <f>IF('Lease Cycles'!$C$27&gt;0,COUNTIF('Lease Cycles'!$BG$27:$BM$27,"&lt;="&amp;EH$6),0)</f>
        <v>0</v>
      </c>
      <c r="EI333" s="25">
        <f>IF('Lease Cycles'!$C$27&gt;0,COUNTIF('Lease Cycles'!$BG$27:$BM$27,"&lt;="&amp;EI$6),0)</f>
        <v>0</v>
      </c>
      <c r="EJ333" s="25">
        <f>IF('Lease Cycles'!$C$27&gt;0,COUNTIF('Lease Cycles'!$BG$27:$BM$27,"&lt;="&amp;EJ$6),0)</f>
        <v>0</v>
      </c>
      <c r="EK333" s="25">
        <f>IF('Lease Cycles'!$C$27&gt;0,COUNTIF('Lease Cycles'!$BG$27:$BM$27,"&lt;="&amp;EK$6),0)</f>
        <v>0</v>
      </c>
      <c r="EL333" s="25">
        <f>IF('Lease Cycles'!$C$27&gt;0,COUNTIF('Lease Cycles'!$BG$27:$BM$27,"&lt;="&amp;EL$6),0)</f>
        <v>0</v>
      </c>
      <c r="EM333" s="25">
        <f>IF('Lease Cycles'!$C$27&gt;0,COUNTIF('Lease Cycles'!$BG$27:$BM$27,"&lt;="&amp;EM$6),0)</f>
        <v>0</v>
      </c>
      <c r="EN333" s="25">
        <f>IF('Lease Cycles'!$C$27&gt;0,COUNTIF('Lease Cycles'!$BG$27:$BM$27,"&lt;="&amp;EN$6),0)</f>
        <v>0</v>
      </c>
      <c r="EO333" s="25">
        <f>IF('Lease Cycles'!$C$27&gt;0,COUNTIF('Lease Cycles'!$BG$27:$BM$27,"&lt;="&amp;EO$6),0)</f>
        <v>0</v>
      </c>
      <c r="EP333" s="25">
        <f>IF('Lease Cycles'!$C$27&gt;0,COUNTIF('Lease Cycles'!$BG$27:$BM$27,"&lt;="&amp;EP$6),0)</f>
        <v>0</v>
      </c>
      <c r="EQ333" s="25">
        <f>IF('Lease Cycles'!$C$27&gt;0,COUNTIF('Lease Cycles'!$BG$27:$BM$27,"&lt;="&amp;EQ$6),0)</f>
        <v>0</v>
      </c>
      <c r="ER333" s="25">
        <f>IF('Lease Cycles'!$C$27&gt;0,COUNTIF('Lease Cycles'!$BG$27:$BM$27,"&lt;="&amp;ER$6),0)</f>
        <v>0</v>
      </c>
      <c r="ES333" s="25">
        <f>IF('Lease Cycles'!$C$27&gt;0,COUNTIF('Lease Cycles'!$BG$27:$BM$27,"&lt;="&amp;ES$6),0)</f>
        <v>0</v>
      </c>
      <c r="ET333" s="25">
        <f>IF('Lease Cycles'!$C$27&gt;0,COUNTIF('Lease Cycles'!$BG$27:$BM$27,"&lt;="&amp;ET$6),0)</f>
        <v>0</v>
      </c>
    </row>
    <row r="334">
      <c r="A334" s="103">
        <v>20</v>
      </c>
      <c r="B334" s="23" t="str">
        <f>IF('Lease Cycles'!$B$27="","(empty slot)",'Lease Cycles'!$B$27)</f>
        <v>(empty slot)</v>
      </c>
      <c r="C334" s="23" t="s">
        <v>673</v>
      </c>
      <c r="D334" s="104" t="s">
        <v>674</v>
      </c>
      <c r="E334" s="25">
        <f>'Lease Cycles'!$AL$27</f>
        <v>0</v>
      </c>
      <c r="S334" s="25">
        <f>IF(S333=0,-1,S$6-INDEX('Lease Cycles'!$BG$27:$BM$27,1,S333))</f>
        <v>-1</v>
      </c>
      <c r="T334" s="25">
        <f>IF(T333=0,-1,T$6-INDEX('Lease Cycles'!$BG$27:$BM$27,1,T333))</f>
        <v>-1</v>
      </c>
      <c r="U334" s="25">
        <f>IF(U333=0,-1,U$6-INDEX('Lease Cycles'!$BG$27:$BM$27,1,U333))</f>
        <v>-1</v>
      </c>
      <c r="V334" s="25">
        <f>IF(V333=0,-1,V$6-INDEX('Lease Cycles'!$BG$27:$BM$27,1,V333))</f>
        <v>-1</v>
      </c>
      <c r="W334" s="25">
        <f>IF(W333=0,-1,W$6-INDEX('Lease Cycles'!$BG$27:$BM$27,1,W333))</f>
        <v>-1</v>
      </c>
      <c r="X334" s="25">
        <f>IF(X333=0,-1,X$6-INDEX('Lease Cycles'!$BG$27:$BM$27,1,X333))</f>
        <v>-1</v>
      </c>
      <c r="Y334" s="25">
        <f>IF(Y333=0,-1,Y$6-INDEX('Lease Cycles'!$BG$27:$BM$27,1,Y333))</f>
        <v>-1</v>
      </c>
      <c r="Z334" s="25">
        <f>IF(Z333=0,-1,Z$6-INDEX('Lease Cycles'!$BG$27:$BM$27,1,Z333))</f>
        <v>-1</v>
      </c>
      <c r="AA334" s="25">
        <f>IF(AA333=0,-1,AA$6-INDEX('Lease Cycles'!$BG$27:$BM$27,1,AA333))</f>
        <v>-1</v>
      </c>
      <c r="AB334" s="25">
        <f>IF(AB333=0,-1,AB$6-INDEX('Lease Cycles'!$BG$27:$BM$27,1,AB333))</f>
        <v>-1</v>
      </c>
      <c r="AC334" s="25">
        <f>IF(AC333=0,-1,AC$6-INDEX('Lease Cycles'!$BG$27:$BM$27,1,AC333))</f>
        <v>-1</v>
      </c>
      <c r="AD334" s="25">
        <f>IF(AD333=0,-1,AD$6-INDEX('Lease Cycles'!$BG$27:$BM$27,1,AD333))</f>
        <v>-1</v>
      </c>
      <c r="AE334" s="25">
        <f>IF(AE333=0,-1,AE$6-INDEX('Lease Cycles'!$BG$27:$BM$27,1,AE333))</f>
        <v>-1</v>
      </c>
      <c r="AF334" s="25">
        <f>IF(AF333=0,-1,AF$6-INDEX('Lease Cycles'!$BG$27:$BM$27,1,AF333))</f>
        <v>-1</v>
      </c>
      <c r="AG334" s="25">
        <f>IF(AG333=0,-1,AG$6-INDEX('Lease Cycles'!$BG$27:$BM$27,1,AG333))</f>
        <v>-1</v>
      </c>
      <c r="AH334" s="25">
        <f>IF(AH333=0,-1,AH$6-INDEX('Lease Cycles'!$BG$27:$BM$27,1,AH333))</f>
        <v>-1</v>
      </c>
      <c r="AI334" s="25">
        <f>IF(AI333=0,-1,AI$6-INDEX('Lease Cycles'!$BG$27:$BM$27,1,AI333))</f>
        <v>-1</v>
      </c>
      <c r="AJ334" s="25">
        <f>IF(AJ333=0,-1,AJ$6-INDEX('Lease Cycles'!$BG$27:$BM$27,1,AJ333))</f>
        <v>-1</v>
      </c>
      <c r="AK334" s="25">
        <f>IF(AK333=0,-1,AK$6-INDEX('Lease Cycles'!$BG$27:$BM$27,1,AK333))</f>
        <v>-1</v>
      </c>
      <c r="AL334" s="25">
        <f>IF(AL333=0,-1,AL$6-INDEX('Lease Cycles'!$BG$27:$BM$27,1,AL333))</f>
        <v>-1</v>
      </c>
      <c r="AM334" s="25">
        <f>IF(AM333=0,-1,AM$6-INDEX('Lease Cycles'!$BG$27:$BM$27,1,AM333))</f>
        <v>-1</v>
      </c>
      <c r="AN334" s="25">
        <f>IF(AN333=0,-1,AN$6-INDEX('Lease Cycles'!$BG$27:$BM$27,1,AN333))</f>
        <v>-1</v>
      </c>
      <c r="AO334" s="25">
        <f>IF(AO333=0,-1,AO$6-INDEX('Lease Cycles'!$BG$27:$BM$27,1,AO333))</f>
        <v>-1</v>
      </c>
      <c r="AP334" s="25">
        <f>IF(AP333=0,-1,AP$6-INDEX('Lease Cycles'!$BG$27:$BM$27,1,AP333))</f>
        <v>-1</v>
      </c>
      <c r="AQ334" s="25">
        <f>IF(AQ333=0,-1,AQ$6-INDEX('Lease Cycles'!$BG$27:$BM$27,1,AQ333))</f>
        <v>-1</v>
      </c>
      <c r="AR334" s="25">
        <f>IF(AR333=0,-1,AR$6-INDEX('Lease Cycles'!$BG$27:$BM$27,1,AR333))</f>
        <v>-1</v>
      </c>
      <c r="AS334" s="25">
        <f>IF(AS333=0,-1,AS$6-INDEX('Lease Cycles'!$BG$27:$BM$27,1,AS333))</f>
        <v>-1</v>
      </c>
      <c r="AT334" s="25">
        <f>IF(AT333=0,-1,AT$6-INDEX('Lease Cycles'!$BG$27:$BM$27,1,AT333))</f>
        <v>-1</v>
      </c>
      <c r="AU334" s="25">
        <f>IF(AU333=0,-1,AU$6-INDEX('Lease Cycles'!$BG$27:$BM$27,1,AU333))</f>
        <v>-1</v>
      </c>
      <c r="AV334" s="25">
        <f>IF(AV333=0,-1,AV$6-INDEX('Lease Cycles'!$BG$27:$BM$27,1,AV333))</f>
        <v>-1</v>
      </c>
      <c r="AW334" s="25">
        <f>IF(AW333=0,-1,AW$6-INDEX('Lease Cycles'!$BG$27:$BM$27,1,AW333))</f>
        <v>-1</v>
      </c>
      <c r="AX334" s="25">
        <f>IF(AX333=0,-1,AX$6-INDEX('Lease Cycles'!$BG$27:$BM$27,1,AX333))</f>
        <v>-1</v>
      </c>
      <c r="AY334" s="25">
        <f>IF(AY333=0,-1,AY$6-INDEX('Lease Cycles'!$BG$27:$BM$27,1,AY333))</f>
        <v>-1</v>
      </c>
      <c r="AZ334" s="25">
        <f>IF(AZ333=0,-1,AZ$6-INDEX('Lease Cycles'!$BG$27:$BM$27,1,AZ333))</f>
        <v>-1</v>
      </c>
      <c r="BA334" s="25">
        <f>IF(BA333=0,-1,BA$6-INDEX('Lease Cycles'!$BG$27:$BM$27,1,BA333))</f>
        <v>-1</v>
      </c>
      <c r="BB334" s="25">
        <f>IF(BB333=0,-1,BB$6-INDEX('Lease Cycles'!$BG$27:$BM$27,1,BB333))</f>
        <v>-1</v>
      </c>
      <c r="BC334" s="25">
        <f>IF(BC333=0,-1,BC$6-INDEX('Lease Cycles'!$BG$27:$BM$27,1,BC333))</f>
        <v>-1</v>
      </c>
      <c r="BD334" s="25">
        <f>IF(BD333=0,-1,BD$6-INDEX('Lease Cycles'!$BG$27:$BM$27,1,BD333))</f>
        <v>-1</v>
      </c>
      <c r="BE334" s="25">
        <f>IF(BE333=0,-1,BE$6-INDEX('Lease Cycles'!$BG$27:$BM$27,1,BE333))</f>
        <v>-1</v>
      </c>
      <c r="BF334" s="25">
        <f>IF(BF333=0,-1,BF$6-INDEX('Lease Cycles'!$BG$27:$BM$27,1,BF333))</f>
        <v>-1</v>
      </c>
      <c r="BG334" s="25">
        <f>IF(BG333=0,-1,BG$6-INDEX('Lease Cycles'!$BG$27:$BM$27,1,BG333))</f>
        <v>-1</v>
      </c>
      <c r="BH334" s="25">
        <f>IF(BH333=0,-1,BH$6-INDEX('Lease Cycles'!$BG$27:$BM$27,1,BH333))</f>
        <v>-1</v>
      </c>
      <c r="BI334" s="25">
        <f>IF(BI333=0,-1,BI$6-INDEX('Lease Cycles'!$BG$27:$BM$27,1,BI333))</f>
        <v>-1</v>
      </c>
      <c r="BJ334" s="25">
        <f>IF(BJ333=0,-1,BJ$6-INDEX('Lease Cycles'!$BG$27:$BM$27,1,BJ333))</f>
        <v>-1</v>
      </c>
      <c r="BK334" s="25">
        <f>IF(BK333=0,-1,BK$6-INDEX('Lease Cycles'!$BG$27:$BM$27,1,BK333))</f>
        <v>-1</v>
      </c>
      <c r="BL334" s="25">
        <f>IF(BL333=0,-1,BL$6-INDEX('Lease Cycles'!$BG$27:$BM$27,1,BL333))</f>
        <v>-1</v>
      </c>
      <c r="BM334" s="25">
        <f>IF(BM333=0,-1,BM$6-INDEX('Lease Cycles'!$BG$27:$BM$27,1,BM333))</f>
        <v>-1</v>
      </c>
      <c r="BN334" s="25">
        <f>IF(BN333=0,-1,BN$6-INDEX('Lease Cycles'!$BG$27:$BM$27,1,BN333))</f>
        <v>-1</v>
      </c>
      <c r="BO334" s="25">
        <f>IF(BO333=0,-1,BO$6-INDEX('Lease Cycles'!$BG$27:$BM$27,1,BO333))</f>
        <v>-1</v>
      </c>
      <c r="BP334" s="25">
        <f>IF(BP333=0,-1,BP$6-INDEX('Lease Cycles'!$BG$27:$BM$27,1,BP333))</f>
        <v>-1</v>
      </c>
      <c r="BQ334" s="25">
        <f>IF(BQ333=0,-1,BQ$6-INDEX('Lease Cycles'!$BG$27:$BM$27,1,BQ333))</f>
        <v>-1</v>
      </c>
      <c r="BR334" s="25">
        <f>IF(BR333=0,-1,BR$6-INDEX('Lease Cycles'!$BG$27:$BM$27,1,BR333))</f>
        <v>-1</v>
      </c>
      <c r="BS334" s="25">
        <f>IF(BS333=0,-1,BS$6-INDEX('Lease Cycles'!$BG$27:$BM$27,1,BS333))</f>
        <v>-1</v>
      </c>
      <c r="BT334" s="25">
        <f>IF(BT333=0,-1,BT$6-INDEX('Lease Cycles'!$BG$27:$BM$27,1,BT333))</f>
        <v>-1</v>
      </c>
      <c r="BU334" s="25">
        <f>IF(BU333=0,-1,BU$6-INDEX('Lease Cycles'!$BG$27:$BM$27,1,BU333))</f>
        <v>-1</v>
      </c>
      <c r="BV334" s="25">
        <f>IF(BV333=0,-1,BV$6-INDEX('Lease Cycles'!$BG$27:$BM$27,1,BV333))</f>
        <v>-1</v>
      </c>
      <c r="BW334" s="25">
        <f>IF(BW333=0,-1,BW$6-INDEX('Lease Cycles'!$BG$27:$BM$27,1,BW333))</f>
        <v>-1</v>
      </c>
      <c r="BX334" s="25">
        <f>IF(BX333=0,-1,BX$6-INDEX('Lease Cycles'!$BG$27:$BM$27,1,BX333))</f>
        <v>-1</v>
      </c>
      <c r="BY334" s="25">
        <f>IF(BY333=0,-1,BY$6-INDEX('Lease Cycles'!$BG$27:$BM$27,1,BY333))</f>
        <v>-1</v>
      </c>
      <c r="BZ334" s="25">
        <f>IF(BZ333=0,-1,BZ$6-INDEX('Lease Cycles'!$BG$27:$BM$27,1,BZ333))</f>
        <v>-1</v>
      </c>
      <c r="CA334" s="25">
        <f>IF(CA333=0,-1,CA$6-INDEX('Lease Cycles'!$BG$27:$BM$27,1,CA333))</f>
        <v>-1</v>
      </c>
      <c r="CB334" s="25">
        <f>IF(CB333=0,-1,CB$6-INDEX('Lease Cycles'!$BG$27:$BM$27,1,CB333))</f>
        <v>-1</v>
      </c>
      <c r="CC334" s="25">
        <f>IF(CC333=0,-1,CC$6-INDEX('Lease Cycles'!$BG$27:$BM$27,1,CC333))</f>
        <v>-1</v>
      </c>
      <c r="CD334" s="25">
        <f>IF(CD333=0,-1,CD$6-INDEX('Lease Cycles'!$BG$27:$BM$27,1,CD333))</f>
        <v>-1</v>
      </c>
      <c r="CE334" s="25">
        <f>IF(CE333=0,-1,CE$6-INDEX('Lease Cycles'!$BG$27:$BM$27,1,CE333))</f>
        <v>-1</v>
      </c>
      <c r="CF334" s="25">
        <f>IF(CF333=0,-1,CF$6-INDEX('Lease Cycles'!$BG$27:$BM$27,1,CF333))</f>
        <v>-1</v>
      </c>
      <c r="CG334" s="25">
        <f>IF(CG333=0,-1,CG$6-INDEX('Lease Cycles'!$BG$27:$BM$27,1,CG333))</f>
        <v>-1</v>
      </c>
      <c r="CH334" s="25">
        <f>IF(CH333=0,-1,CH$6-INDEX('Lease Cycles'!$BG$27:$BM$27,1,CH333))</f>
        <v>-1</v>
      </c>
      <c r="CI334" s="25">
        <f>IF(CI333=0,-1,CI$6-INDEX('Lease Cycles'!$BG$27:$BM$27,1,CI333))</f>
        <v>-1</v>
      </c>
      <c r="CJ334" s="25">
        <f>IF(CJ333=0,-1,CJ$6-INDEX('Lease Cycles'!$BG$27:$BM$27,1,CJ333))</f>
        <v>-1</v>
      </c>
      <c r="CK334" s="25">
        <f>IF(CK333=0,-1,CK$6-INDEX('Lease Cycles'!$BG$27:$BM$27,1,CK333))</f>
        <v>-1</v>
      </c>
      <c r="CL334" s="25">
        <f>IF(CL333=0,-1,CL$6-INDEX('Lease Cycles'!$BG$27:$BM$27,1,CL333))</f>
        <v>-1</v>
      </c>
      <c r="CM334" s="25">
        <f>IF(CM333=0,-1,CM$6-INDEX('Lease Cycles'!$BG$27:$BM$27,1,CM333))</f>
        <v>-1</v>
      </c>
      <c r="CN334" s="25">
        <f>IF(CN333=0,-1,CN$6-INDEX('Lease Cycles'!$BG$27:$BM$27,1,CN333))</f>
        <v>-1</v>
      </c>
      <c r="CO334" s="25">
        <f>IF(CO333=0,-1,CO$6-INDEX('Lease Cycles'!$BG$27:$BM$27,1,CO333))</f>
        <v>-1</v>
      </c>
      <c r="CP334" s="25">
        <f>IF(CP333=0,-1,CP$6-INDEX('Lease Cycles'!$BG$27:$BM$27,1,CP333))</f>
        <v>-1</v>
      </c>
      <c r="CQ334" s="25">
        <f>IF(CQ333=0,-1,CQ$6-INDEX('Lease Cycles'!$BG$27:$BM$27,1,CQ333))</f>
        <v>-1</v>
      </c>
      <c r="CR334" s="25">
        <f>IF(CR333=0,-1,CR$6-INDEX('Lease Cycles'!$BG$27:$BM$27,1,CR333))</f>
        <v>-1</v>
      </c>
      <c r="CS334" s="25">
        <f>IF(CS333=0,-1,CS$6-INDEX('Lease Cycles'!$BG$27:$BM$27,1,CS333))</f>
        <v>-1</v>
      </c>
      <c r="CT334" s="25">
        <f>IF(CT333=0,-1,CT$6-INDEX('Lease Cycles'!$BG$27:$BM$27,1,CT333))</f>
        <v>-1</v>
      </c>
      <c r="CU334" s="25">
        <f>IF(CU333=0,-1,CU$6-INDEX('Lease Cycles'!$BG$27:$BM$27,1,CU333))</f>
        <v>-1</v>
      </c>
      <c r="CV334" s="25">
        <f>IF(CV333=0,-1,CV$6-INDEX('Lease Cycles'!$BG$27:$BM$27,1,CV333))</f>
        <v>-1</v>
      </c>
      <c r="CW334" s="25">
        <f>IF(CW333=0,-1,CW$6-INDEX('Lease Cycles'!$BG$27:$BM$27,1,CW333))</f>
        <v>-1</v>
      </c>
      <c r="CX334" s="25">
        <f>IF(CX333=0,-1,CX$6-INDEX('Lease Cycles'!$BG$27:$BM$27,1,CX333))</f>
        <v>-1</v>
      </c>
      <c r="CY334" s="25">
        <f>IF(CY333=0,-1,CY$6-INDEX('Lease Cycles'!$BG$27:$BM$27,1,CY333))</f>
        <v>-1</v>
      </c>
      <c r="CZ334" s="25">
        <f>IF(CZ333=0,-1,CZ$6-INDEX('Lease Cycles'!$BG$27:$BM$27,1,CZ333))</f>
        <v>-1</v>
      </c>
      <c r="DA334" s="25">
        <f>IF(DA333=0,-1,DA$6-INDEX('Lease Cycles'!$BG$27:$BM$27,1,DA333))</f>
        <v>-1</v>
      </c>
      <c r="DB334" s="25">
        <f>IF(DB333=0,-1,DB$6-INDEX('Lease Cycles'!$BG$27:$BM$27,1,DB333))</f>
        <v>-1</v>
      </c>
      <c r="DC334" s="25">
        <f>IF(DC333=0,-1,DC$6-INDEX('Lease Cycles'!$BG$27:$BM$27,1,DC333))</f>
        <v>-1</v>
      </c>
      <c r="DD334" s="25">
        <f>IF(DD333=0,-1,DD$6-INDEX('Lease Cycles'!$BG$27:$BM$27,1,DD333))</f>
        <v>-1</v>
      </c>
      <c r="DE334" s="25">
        <f>IF(DE333=0,-1,DE$6-INDEX('Lease Cycles'!$BG$27:$BM$27,1,DE333))</f>
        <v>-1</v>
      </c>
      <c r="DF334" s="25">
        <f>IF(DF333=0,-1,DF$6-INDEX('Lease Cycles'!$BG$27:$BM$27,1,DF333))</f>
        <v>-1</v>
      </c>
      <c r="DG334" s="25">
        <f>IF(DG333=0,-1,DG$6-INDEX('Lease Cycles'!$BG$27:$BM$27,1,DG333))</f>
        <v>-1</v>
      </c>
      <c r="DH334" s="25">
        <f>IF(DH333=0,-1,DH$6-INDEX('Lease Cycles'!$BG$27:$BM$27,1,DH333))</f>
        <v>-1</v>
      </c>
      <c r="DI334" s="25">
        <f>IF(DI333=0,-1,DI$6-INDEX('Lease Cycles'!$BG$27:$BM$27,1,DI333))</f>
        <v>-1</v>
      </c>
      <c r="DJ334" s="25">
        <f>IF(DJ333=0,-1,DJ$6-INDEX('Lease Cycles'!$BG$27:$BM$27,1,DJ333))</f>
        <v>-1</v>
      </c>
      <c r="DK334" s="25">
        <f>IF(DK333=0,-1,DK$6-INDEX('Lease Cycles'!$BG$27:$BM$27,1,DK333))</f>
        <v>-1</v>
      </c>
      <c r="DL334" s="25">
        <f>IF(DL333=0,-1,DL$6-INDEX('Lease Cycles'!$BG$27:$BM$27,1,DL333))</f>
        <v>-1</v>
      </c>
      <c r="DM334" s="25">
        <f>IF(DM333=0,-1,DM$6-INDEX('Lease Cycles'!$BG$27:$BM$27,1,DM333))</f>
        <v>-1</v>
      </c>
      <c r="DN334" s="25">
        <f>IF(DN333=0,-1,DN$6-INDEX('Lease Cycles'!$BG$27:$BM$27,1,DN333))</f>
        <v>-1</v>
      </c>
      <c r="DO334" s="25">
        <f>IF(DO333=0,-1,DO$6-INDEX('Lease Cycles'!$BG$27:$BM$27,1,DO333))</f>
        <v>-1</v>
      </c>
      <c r="DP334" s="25">
        <f>IF(DP333=0,-1,DP$6-INDEX('Lease Cycles'!$BG$27:$BM$27,1,DP333))</f>
        <v>-1</v>
      </c>
      <c r="DQ334" s="25">
        <f>IF(DQ333=0,-1,DQ$6-INDEX('Lease Cycles'!$BG$27:$BM$27,1,DQ333))</f>
        <v>-1</v>
      </c>
      <c r="DR334" s="25">
        <f>IF(DR333=0,-1,DR$6-INDEX('Lease Cycles'!$BG$27:$BM$27,1,DR333))</f>
        <v>-1</v>
      </c>
      <c r="DS334" s="25">
        <f>IF(DS333=0,-1,DS$6-INDEX('Lease Cycles'!$BG$27:$BM$27,1,DS333))</f>
        <v>-1</v>
      </c>
      <c r="DT334" s="25">
        <f>IF(DT333=0,-1,DT$6-INDEX('Lease Cycles'!$BG$27:$BM$27,1,DT333))</f>
        <v>-1</v>
      </c>
      <c r="DU334" s="25">
        <f>IF(DU333=0,-1,DU$6-INDEX('Lease Cycles'!$BG$27:$BM$27,1,DU333))</f>
        <v>-1</v>
      </c>
      <c r="DV334" s="25">
        <f>IF(DV333=0,-1,DV$6-INDEX('Lease Cycles'!$BG$27:$BM$27,1,DV333))</f>
        <v>-1</v>
      </c>
      <c r="DW334" s="25">
        <f>IF(DW333=0,-1,DW$6-INDEX('Lease Cycles'!$BG$27:$BM$27,1,DW333))</f>
        <v>-1</v>
      </c>
      <c r="DX334" s="25">
        <f>IF(DX333=0,-1,DX$6-INDEX('Lease Cycles'!$BG$27:$BM$27,1,DX333))</f>
        <v>-1</v>
      </c>
      <c r="DY334" s="25">
        <f>IF(DY333=0,-1,DY$6-INDEX('Lease Cycles'!$BG$27:$BM$27,1,DY333))</f>
        <v>-1</v>
      </c>
      <c r="DZ334" s="25">
        <f>IF(DZ333=0,-1,DZ$6-INDEX('Lease Cycles'!$BG$27:$BM$27,1,DZ333))</f>
        <v>-1</v>
      </c>
      <c r="EA334" s="25">
        <f>IF(EA333=0,-1,EA$6-INDEX('Lease Cycles'!$BG$27:$BM$27,1,EA333))</f>
        <v>-1</v>
      </c>
      <c r="EB334" s="25">
        <f>IF(EB333=0,-1,EB$6-INDEX('Lease Cycles'!$BG$27:$BM$27,1,EB333))</f>
        <v>-1</v>
      </c>
      <c r="EC334" s="25">
        <f>IF(EC333=0,-1,EC$6-INDEX('Lease Cycles'!$BG$27:$BM$27,1,EC333))</f>
        <v>-1</v>
      </c>
      <c r="ED334" s="25">
        <f>IF(ED333=0,-1,ED$6-INDEX('Lease Cycles'!$BG$27:$BM$27,1,ED333))</f>
        <v>-1</v>
      </c>
      <c r="EE334" s="25">
        <f>IF(EE333=0,-1,EE$6-INDEX('Lease Cycles'!$BG$27:$BM$27,1,EE333))</f>
        <v>-1</v>
      </c>
      <c r="EF334" s="25">
        <f>IF(EF333=0,-1,EF$6-INDEX('Lease Cycles'!$BG$27:$BM$27,1,EF333))</f>
        <v>-1</v>
      </c>
      <c r="EG334" s="25">
        <f>IF(EG333=0,-1,EG$6-INDEX('Lease Cycles'!$BG$27:$BM$27,1,EG333))</f>
        <v>-1</v>
      </c>
      <c r="EH334" s="25">
        <f>IF(EH333=0,-1,EH$6-INDEX('Lease Cycles'!$BG$27:$BM$27,1,EH333))</f>
        <v>-1</v>
      </c>
      <c r="EI334" s="25">
        <f>IF(EI333=0,-1,EI$6-INDEX('Lease Cycles'!$BG$27:$BM$27,1,EI333))</f>
        <v>-1</v>
      </c>
      <c r="EJ334" s="25">
        <f>IF(EJ333=0,-1,EJ$6-INDEX('Lease Cycles'!$BG$27:$BM$27,1,EJ333))</f>
        <v>-1</v>
      </c>
      <c r="EK334" s="25">
        <f>IF(EK333=0,-1,EK$6-INDEX('Lease Cycles'!$BG$27:$BM$27,1,EK333))</f>
        <v>-1</v>
      </c>
      <c r="EL334" s="25">
        <f>IF(EL333=0,-1,EL$6-INDEX('Lease Cycles'!$BG$27:$BM$27,1,EL333))</f>
        <v>-1</v>
      </c>
      <c r="EM334" s="25">
        <f>IF(EM333=0,-1,EM$6-INDEX('Lease Cycles'!$BG$27:$BM$27,1,EM333))</f>
        <v>-1</v>
      </c>
      <c r="EN334" s="25">
        <f>IF(EN333=0,-1,EN$6-INDEX('Lease Cycles'!$BG$27:$BM$27,1,EN333))</f>
        <v>-1</v>
      </c>
      <c r="EO334" s="25">
        <f>IF(EO333=0,-1,EO$6-INDEX('Lease Cycles'!$BG$27:$BM$27,1,EO333))</f>
        <v>-1</v>
      </c>
      <c r="EP334" s="25">
        <f>IF(EP333=0,-1,EP$6-INDEX('Lease Cycles'!$BG$27:$BM$27,1,EP333))</f>
        <v>-1</v>
      </c>
      <c r="EQ334" s="25">
        <f>IF(EQ333=0,-1,EQ$6-INDEX('Lease Cycles'!$BG$27:$BM$27,1,EQ333))</f>
        <v>-1</v>
      </c>
      <c r="ER334" s="25">
        <f>IF(ER333=0,-1,ER$6-INDEX('Lease Cycles'!$BG$27:$BM$27,1,ER333))</f>
        <v>-1</v>
      </c>
      <c r="ES334" s="25">
        <f>IF(ES333=0,-1,ES$6-INDEX('Lease Cycles'!$BG$27:$BM$27,1,ES333))</f>
        <v>-1</v>
      </c>
      <c r="ET334" s="25">
        <f>IF(ET333=0,-1,ET$6-INDEX('Lease Cycles'!$BG$27:$BM$27,1,ET333))</f>
        <v>-1</v>
      </c>
    </row>
    <row r="335">
      <c r="A335" s="103">
        <v>20</v>
      </c>
      <c r="B335" s="23" t="str">
        <f>IF('Lease Cycles'!$B$27="","(empty slot)",'Lease Cycles'!$B$27)</f>
        <v>(empty slot)</v>
      </c>
      <c r="C335" s="23" t="s">
        <v>675</v>
      </c>
      <c r="D335" s="104" t="s">
        <v>676</v>
      </c>
      <c r="E335" s="25">
        <f>'Lease Cycles'!$AL$27</f>
        <v>0</v>
      </c>
      <c r="S335" s="25">
        <f>IF(S333=0,0,IF(S334&lt;INDEX('Lease Cycles'!$BN$27:$BT$27,1,S333),1,0))</f>
        <v>0</v>
      </c>
      <c r="T335" s="25">
        <f>IF(T333=0,0,IF(T334&lt;INDEX('Lease Cycles'!$BN$27:$BT$27,1,T333),1,0))</f>
        <v>0</v>
      </c>
      <c r="U335" s="25">
        <f>IF(U333=0,0,IF(U334&lt;INDEX('Lease Cycles'!$BN$27:$BT$27,1,U333),1,0))</f>
        <v>0</v>
      </c>
      <c r="V335" s="25">
        <f>IF(V333=0,0,IF(V334&lt;INDEX('Lease Cycles'!$BN$27:$BT$27,1,V333),1,0))</f>
        <v>0</v>
      </c>
      <c r="W335" s="25">
        <f>IF(W333=0,0,IF(W334&lt;INDEX('Lease Cycles'!$BN$27:$BT$27,1,W333),1,0))</f>
        <v>0</v>
      </c>
      <c r="X335" s="25">
        <f>IF(X333=0,0,IF(X334&lt;INDEX('Lease Cycles'!$BN$27:$BT$27,1,X333),1,0))</f>
        <v>0</v>
      </c>
      <c r="Y335" s="25">
        <f>IF(Y333=0,0,IF(Y334&lt;INDEX('Lease Cycles'!$BN$27:$BT$27,1,Y333),1,0))</f>
        <v>0</v>
      </c>
      <c r="Z335" s="25">
        <f>IF(Z333=0,0,IF(Z334&lt;INDEX('Lease Cycles'!$BN$27:$BT$27,1,Z333),1,0))</f>
        <v>0</v>
      </c>
      <c r="AA335" s="25">
        <f>IF(AA333=0,0,IF(AA334&lt;INDEX('Lease Cycles'!$BN$27:$BT$27,1,AA333),1,0))</f>
        <v>0</v>
      </c>
      <c r="AB335" s="25">
        <f>IF(AB333=0,0,IF(AB334&lt;INDEX('Lease Cycles'!$BN$27:$BT$27,1,AB333),1,0))</f>
        <v>0</v>
      </c>
      <c r="AC335" s="25">
        <f>IF(AC333=0,0,IF(AC334&lt;INDEX('Lease Cycles'!$BN$27:$BT$27,1,AC333),1,0))</f>
        <v>0</v>
      </c>
      <c r="AD335" s="25">
        <f>IF(AD333=0,0,IF(AD334&lt;INDEX('Lease Cycles'!$BN$27:$BT$27,1,AD333),1,0))</f>
        <v>0</v>
      </c>
      <c r="AE335" s="25">
        <f>IF(AE333=0,0,IF(AE334&lt;INDEX('Lease Cycles'!$BN$27:$BT$27,1,AE333),1,0))</f>
        <v>0</v>
      </c>
      <c r="AF335" s="25">
        <f>IF(AF333=0,0,IF(AF334&lt;INDEX('Lease Cycles'!$BN$27:$BT$27,1,AF333),1,0))</f>
        <v>0</v>
      </c>
      <c r="AG335" s="25">
        <f>IF(AG333=0,0,IF(AG334&lt;INDEX('Lease Cycles'!$BN$27:$BT$27,1,AG333),1,0))</f>
        <v>0</v>
      </c>
      <c r="AH335" s="25">
        <f>IF(AH333=0,0,IF(AH334&lt;INDEX('Lease Cycles'!$BN$27:$BT$27,1,AH333),1,0))</f>
        <v>0</v>
      </c>
      <c r="AI335" s="25">
        <f>IF(AI333=0,0,IF(AI334&lt;INDEX('Lease Cycles'!$BN$27:$BT$27,1,AI333),1,0))</f>
        <v>0</v>
      </c>
      <c r="AJ335" s="25">
        <f>IF(AJ333=0,0,IF(AJ334&lt;INDEX('Lease Cycles'!$BN$27:$BT$27,1,AJ333),1,0))</f>
        <v>0</v>
      </c>
      <c r="AK335" s="25">
        <f>IF(AK333=0,0,IF(AK334&lt;INDEX('Lease Cycles'!$BN$27:$BT$27,1,AK333),1,0))</f>
        <v>0</v>
      </c>
      <c r="AL335" s="25">
        <f>IF(AL333=0,0,IF(AL334&lt;INDEX('Lease Cycles'!$BN$27:$BT$27,1,AL333),1,0))</f>
        <v>0</v>
      </c>
      <c r="AM335" s="25">
        <f>IF(AM333=0,0,IF(AM334&lt;INDEX('Lease Cycles'!$BN$27:$BT$27,1,AM333),1,0))</f>
        <v>0</v>
      </c>
      <c r="AN335" s="25">
        <f>IF(AN333=0,0,IF(AN334&lt;INDEX('Lease Cycles'!$BN$27:$BT$27,1,AN333),1,0))</f>
        <v>0</v>
      </c>
      <c r="AO335" s="25">
        <f>IF(AO333=0,0,IF(AO334&lt;INDEX('Lease Cycles'!$BN$27:$BT$27,1,AO333),1,0))</f>
        <v>0</v>
      </c>
      <c r="AP335" s="25">
        <f>IF(AP333=0,0,IF(AP334&lt;INDEX('Lease Cycles'!$BN$27:$BT$27,1,AP333),1,0))</f>
        <v>0</v>
      </c>
      <c r="AQ335" s="25">
        <f>IF(AQ333=0,0,IF(AQ334&lt;INDEX('Lease Cycles'!$BN$27:$BT$27,1,AQ333),1,0))</f>
        <v>0</v>
      </c>
      <c r="AR335" s="25">
        <f>IF(AR333=0,0,IF(AR334&lt;INDEX('Lease Cycles'!$BN$27:$BT$27,1,AR333),1,0))</f>
        <v>0</v>
      </c>
      <c r="AS335" s="25">
        <f>IF(AS333=0,0,IF(AS334&lt;INDEX('Lease Cycles'!$BN$27:$BT$27,1,AS333),1,0))</f>
        <v>0</v>
      </c>
      <c r="AT335" s="25">
        <f>IF(AT333=0,0,IF(AT334&lt;INDEX('Lease Cycles'!$BN$27:$BT$27,1,AT333),1,0))</f>
        <v>0</v>
      </c>
      <c r="AU335" s="25">
        <f>IF(AU333=0,0,IF(AU334&lt;INDEX('Lease Cycles'!$BN$27:$BT$27,1,AU333),1,0))</f>
        <v>0</v>
      </c>
      <c r="AV335" s="25">
        <f>IF(AV333=0,0,IF(AV334&lt;INDEX('Lease Cycles'!$BN$27:$BT$27,1,AV333),1,0))</f>
        <v>0</v>
      </c>
      <c r="AW335" s="25">
        <f>IF(AW333=0,0,IF(AW334&lt;INDEX('Lease Cycles'!$BN$27:$BT$27,1,AW333),1,0))</f>
        <v>0</v>
      </c>
      <c r="AX335" s="25">
        <f>IF(AX333=0,0,IF(AX334&lt;INDEX('Lease Cycles'!$BN$27:$BT$27,1,AX333),1,0))</f>
        <v>0</v>
      </c>
      <c r="AY335" s="25">
        <f>IF(AY333=0,0,IF(AY334&lt;INDEX('Lease Cycles'!$BN$27:$BT$27,1,AY333),1,0))</f>
        <v>0</v>
      </c>
      <c r="AZ335" s="25">
        <f>IF(AZ333=0,0,IF(AZ334&lt;INDEX('Lease Cycles'!$BN$27:$BT$27,1,AZ333),1,0))</f>
        <v>0</v>
      </c>
      <c r="BA335" s="25">
        <f>IF(BA333=0,0,IF(BA334&lt;INDEX('Lease Cycles'!$BN$27:$BT$27,1,BA333),1,0))</f>
        <v>0</v>
      </c>
      <c r="BB335" s="25">
        <f>IF(BB333=0,0,IF(BB334&lt;INDEX('Lease Cycles'!$BN$27:$BT$27,1,BB333),1,0))</f>
        <v>0</v>
      </c>
      <c r="BC335" s="25">
        <f>IF(BC333=0,0,IF(BC334&lt;INDEX('Lease Cycles'!$BN$27:$BT$27,1,BC333),1,0))</f>
        <v>0</v>
      </c>
      <c r="BD335" s="25">
        <f>IF(BD333=0,0,IF(BD334&lt;INDEX('Lease Cycles'!$BN$27:$BT$27,1,BD333),1,0))</f>
        <v>0</v>
      </c>
      <c r="BE335" s="25">
        <f>IF(BE333=0,0,IF(BE334&lt;INDEX('Lease Cycles'!$BN$27:$BT$27,1,BE333),1,0))</f>
        <v>0</v>
      </c>
      <c r="BF335" s="25">
        <f>IF(BF333=0,0,IF(BF334&lt;INDEX('Lease Cycles'!$BN$27:$BT$27,1,BF333),1,0))</f>
        <v>0</v>
      </c>
      <c r="BG335" s="25">
        <f>IF(BG333=0,0,IF(BG334&lt;INDEX('Lease Cycles'!$BN$27:$BT$27,1,BG333),1,0))</f>
        <v>0</v>
      </c>
      <c r="BH335" s="25">
        <f>IF(BH333=0,0,IF(BH334&lt;INDEX('Lease Cycles'!$BN$27:$BT$27,1,BH333),1,0))</f>
        <v>0</v>
      </c>
      <c r="BI335" s="25">
        <f>IF(BI333=0,0,IF(BI334&lt;INDEX('Lease Cycles'!$BN$27:$BT$27,1,BI333),1,0))</f>
        <v>0</v>
      </c>
      <c r="BJ335" s="25">
        <f>IF(BJ333=0,0,IF(BJ334&lt;INDEX('Lease Cycles'!$BN$27:$BT$27,1,BJ333),1,0))</f>
        <v>0</v>
      </c>
      <c r="BK335" s="25">
        <f>IF(BK333=0,0,IF(BK334&lt;INDEX('Lease Cycles'!$BN$27:$BT$27,1,BK333),1,0))</f>
        <v>0</v>
      </c>
      <c r="BL335" s="25">
        <f>IF(BL333=0,0,IF(BL334&lt;INDEX('Lease Cycles'!$BN$27:$BT$27,1,BL333),1,0))</f>
        <v>0</v>
      </c>
      <c r="BM335" s="25">
        <f>IF(BM333=0,0,IF(BM334&lt;INDEX('Lease Cycles'!$BN$27:$BT$27,1,BM333),1,0))</f>
        <v>0</v>
      </c>
      <c r="BN335" s="25">
        <f>IF(BN333=0,0,IF(BN334&lt;INDEX('Lease Cycles'!$BN$27:$BT$27,1,BN333),1,0))</f>
        <v>0</v>
      </c>
      <c r="BO335" s="25">
        <f>IF(BO333=0,0,IF(BO334&lt;INDEX('Lease Cycles'!$BN$27:$BT$27,1,BO333),1,0))</f>
        <v>0</v>
      </c>
      <c r="BP335" s="25">
        <f>IF(BP333=0,0,IF(BP334&lt;INDEX('Lease Cycles'!$BN$27:$BT$27,1,BP333),1,0))</f>
        <v>0</v>
      </c>
      <c r="BQ335" s="25">
        <f>IF(BQ333=0,0,IF(BQ334&lt;INDEX('Lease Cycles'!$BN$27:$BT$27,1,BQ333),1,0))</f>
        <v>0</v>
      </c>
      <c r="BR335" s="25">
        <f>IF(BR333=0,0,IF(BR334&lt;INDEX('Lease Cycles'!$BN$27:$BT$27,1,BR333),1,0))</f>
        <v>0</v>
      </c>
      <c r="BS335" s="25">
        <f>IF(BS333=0,0,IF(BS334&lt;INDEX('Lease Cycles'!$BN$27:$BT$27,1,BS333),1,0))</f>
        <v>0</v>
      </c>
      <c r="BT335" s="25">
        <f>IF(BT333=0,0,IF(BT334&lt;INDEX('Lease Cycles'!$BN$27:$BT$27,1,BT333),1,0))</f>
        <v>0</v>
      </c>
      <c r="BU335" s="25">
        <f>IF(BU333=0,0,IF(BU334&lt;INDEX('Lease Cycles'!$BN$27:$BT$27,1,BU333),1,0))</f>
        <v>0</v>
      </c>
      <c r="BV335" s="25">
        <f>IF(BV333=0,0,IF(BV334&lt;INDEX('Lease Cycles'!$BN$27:$BT$27,1,BV333),1,0))</f>
        <v>0</v>
      </c>
      <c r="BW335" s="25">
        <f>IF(BW333=0,0,IF(BW334&lt;INDEX('Lease Cycles'!$BN$27:$BT$27,1,BW333),1,0))</f>
        <v>0</v>
      </c>
      <c r="BX335" s="25">
        <f>IF(BX333=0,0,IF(BX334&lt;INDEX('Lease Cycles'!$BN$27:$BT$27,1,BX333),1,0))</f>
        <v>0</v>
      </c>
      <c r="BY335" s="25">
        <f>IF(BY333=0,0,IF(BY334&lt;INDEX('Lease Cycles'!$BN$27:$BT$27,1,BY333),1,0))</f>
        <v>0</v>
      </c>
      <c r="BZ335" s="25">
        <f>IF(BZ333=0,0,IF(BZ334&lt;INDEX('Lease Cycles'!$BN$27:$BT$27,1,BZ333),1,0))</f>
        <v>0</v>
      </c>
      <c r="CA335" s="25">
        <f>IF(CA333=0,0,IF(CA334&lt;INDEX('Lease Cycles'!$BN$27:$BT$27,1,CA333),1,0))</f>
        <v>0</v>
      </c>
      <c r="CB335" s="25">
        <f>IF(CB333=0,0,IF(CB334&lt;INDEX('Lease Cycles'!$BN$27:$BT$27,1,CB333),1,0))</f>
        <v>0</v>
      </c>
      <c r="CC335" s="25">
        <f>IF(CC333=0,0,IF(CC334&lt;INDEX('Lease Cycles'!$BN$27:$BT$27,1,CC333),1,0))</f>
        <v>0</v>
      </c>
      <c r="CD335" s="25">
        <f>IF(CD333=0,0,IF(CD334&lt;INDEX('Lease Cycles'!$BN$27:$BT$27,1,CD333),1,0))</f>
        <v>0</v>
      </c>
      <c r="CE335" s="25">
        <f>IF(CE333=0,0,IF(CE334&lt;INDEX('Lease Cycles'!$BN$27:$BT$27,1,CE333),1,0))</f>
        <v>0</v>
      </c>
      <c r="CF335" s="25">
        <f>IF(CF333=0,0,IF(CF334&lt;INDEX('Lease Cycles'!$BN$27:$BT$27,1,CF333),1,0))</f>
        <v>0</v>
      </c>
      <c r="CG335" s="25">
        <f>IF(CG333=0,0,IF(CG334&lt;INDEX('Lease Cycles'!$BN$27:$BT$27,1,CG333),1,0))</f>
        <v>0</v>
      </c>
      <c r="CH335" s="25">
        <f>IF(CH333=0,0,IF(CH334&lt;INDEX('Lease Cycles'!$BN$27:$BT$27,1,CH333),1,0))</f>
        <v>0</v>
      </c>
      <c r="CI335" s="25">
        <f>IF(CI333=0,0,IF(CI334&lt;INDEX('Lease Cycles'!$BN$27:$BT$27,1,CI333),1,0))</f>
        <v>0</v>
      </c>
      <c r="CJ335" s="25">
        <f>IF(CJ333=0,0,IF(CJ334&lt;INDEX('Lease Cycles'!$BN$27:$BT$27,1,CJ333),1,0))</f>
        <v>0</v>
      </c>
      <c r="CK335" s="25">
        <f>IF(CK333=0,0,IF(CK334&lt;INDEX('Lease Cycles'!$BN$27:$BT$27,1,CK333),1,0))</f>
        <v>0</v>
      </c>
      <c r="CL335" s="25">
        <f>IF(CL333=0,0,IF(CL334&lt;INDEX('Lease Cycles'!$BN$27:$BT$27,1,CL333),1,0))</f>
        <v>0</v>
      </c>
      <c r="CM335" s="25">
        <f>IF(CM333=0,0,IF(CM334&lt;INDEX('Lease Cycles'!$BN$27:$BT$27,1,CM333),1,0))</f>
        <v>0</v>
      </c>
      <c r="CN335" s="25">
        <f>IF(CN333=0,0,IF(CN334&lt;INDEX('Lease Cycles'!$BN$27:$BT$27,1,CN333),1,0))</f>
        <v>0</v>
      </c>
      <c r="CO335" s="25">
        <f>IF(CO333=0,0,IF(CO334&lt;INDEX('Lease Cycles'!$BN$27:$BT$27,1,CO333),1,0))</f>
        <v>0</v>
      </c>
      <c r="CP335" s="25">
        <f>IF(CP333=0,0,IF(CP334&lt;INDEX('Lease Cycles'!$BN$27:$BT$27,1,CP333),1,0))</f>
        <v>0</v>
      </c>
      <c r="CQ335" s="25">
        <f>IF(CQ333=0,0,IF(CQ334&lt;INDEX('Lease Cycles'!$BN$27:$BT$27,1,CQ333),1,0))</f>
        <v>0</v>
      </c>
      <c r="CR335" s="25">
        <f>IF(CR333=0,0,IF(CR334&lt;INDEX('Lease Cycles'!$BN$27:$BT$27,1,CR333),1,0))</f>
        <v>0</v>
      </c>
      <c r="CS335" s="25">
        <f>IF(CS333=0,0,IF(CS334&lt;INDEX('Lease Cycles'!$BN$27:$BT$27,1,CS333),1,0))</f>
        <v>0</v>
      </c>
      <c r="CT335" s="25">
        <f>IF(CT333=0,0,IF(CT334&lt;INDEX('Lease Cycles'!$BN$27:$BT$27,1,CT333),1,0))</f>
        <v>0</v>
      </c>
      <c r="CU335" s="25">
        <f>IF(CU333=0,0,IF(CU334&lt;INDEX('Lease Cycles'!$BN$27:$BT$27,1,CU333),1,0))</f>
        <v>0</v>
      </c>
      <c r="CV335" s="25">
        <f>IF(CV333=0,0,IF(CV334&lt;INDEX('Lease Cycles'!$BN$27:$BT$27,1,CV333),1,0))</f>
        <v>0</v>
      </c>
      <c r="CW335" s="25">
        <f>IF(CW333=0,0,IF(CW334&lt;INDEX('Lease Cycles'!$BN$27:$BT$27,1,CW333),1,0))</f>
        <v>0</v>
      </c>
      <c r="CX335" s="25">
        <f>IF(CX333=0,0,IF(CX334&lt;INDEX('Lease Cycles'!$BN$27:$BT$27,1,CX333),1,0))</f>
        <v>0</v>
      </c>
      <c r="CY335" s="25">
        <f>IF(CY333=0,0,IF(CY334&lt;INDEX('Lease Cycles'!$BN$27:$BT$27,1,CY333),1,0))</f>
        <v>0</v>
      </c>
      <c r="CZ335" s="25">
        <f>IF(CZ333=0,0,IF(CZ334&lt;INDEX('Lease Cycles'!$BN$27:$BT$27,1,CZ333),1,0))</f>
        <v>0</v>
      </c>
      <c r="DA335" s="25">
        <f>IF(DA333=0,0,IF(DA334&lt;INDEX('Lease Cycles'!$BN$27:$BT$27,1,DA333),1,0))</f>
        <v>0</v>
      </c>
      <c r="DB335" s="25">
        <f>IF(DB333=0,0,IF(DB334&lt;INDEX('Lease Cycles'!$BN$27:$BT$27,1,DB333),1,0))</f>
        <v>0</v>
      </c>
      <c r="DC335" s="25">
        <f>IF(DC333=0,0,IF(DC334&lt;INDEX('Lease Cycles'!$BN$27:$BT$27,1,DC333),1,0))</f>
        <v>0</v>
      </c>
      <c r="DD335" s="25">
        <f>IF(DD333=0,0,IF(DD334&lt;INDEX('Lease Cycles'!$BN$27:$BT$27,1,DD333),1,0))</f>
        <v>0</v>
      </c>
      <c r="DE335" s="25">
        <f>IF(DE333=0,0,IF(DE334&lt;INDEX('Lease Cycles'!$BN$27:$BT$27,1,DE333),1,0))</f>
        <v>0</v>
      </c>
      <c r="DF335" s="25">
        <f>IF(DF333=0,0,IF(DF334&lt;INDEX('Lease Cycles'!$BN$27:$BT$27,1,DF333),1,0))</f>
        <v>0</v>
      </c>
      <c r="DG335" s="25">
        <f>IF(DG333=0,0,IF(DG334&lt;INDEX('Lease Cycles'!$BN$27:$BT$27,1,DG333),1,0))</f>
        <v>0</v>
      </c>
      <c r="DH335" s="25">
        <f>IF(DH333=0,0,IF(DH334&lt;INDEX('Lease Cycles'!$BN$27:$BT$27,1,DH333),1,0))</f>
        <v>0</v>
      </c>
      <c r="DI335" s="25">
        <f>IF(DI333=0,0,IF(DI334&lt;INDEX('Lease Cycles'!$BN$27:$BT$27,1,DI333),1,0))</f>
        <v>0</v>
      </c>
      <c r="DJ335" s="25">
        <f>IF(DJ333=0,0,IF(DJ334&lt;INDEX('Lease Cycles'!$BN$27:$BT$27,1,DJ333),1,0))</f>
        <v>0</v>
      </c>
      <c r="DK335" s="25">
        <f>IF(DK333=0,0,IF(DK334&lt;INDEX('Lease Cycles'!$BN$27:$BT$27,1,DK333),1,0))</f>
        <v>0</v>
      </c>
      <c r="DL335" s="25">
        <f>IF(DL333=0,0,IF(DL334&lt;INDEX('Lease Cycles'!$BN$27:$BT$27,1,DL333),1,0))</f>
        <v>0</v>
      </c>
      <c r="DM335" s="25">
        <f>IF(DM333=0,0,IF(DM334&lt;INDEX('Lease Cycles'!$BN$27:$BT$27,1,DM333),1,0))</f>
        <v>0</v>
      </c>
      <c r="DN335" s="25">
        <f>IF(DN333=0,0,IF(DN334&lt;INDEX('Lease Cycles'!$BN$27:$BT$27,1,DN333),1,0))</f>
        <v>0</v>
      </c>
      <c r="DO335" s="25">
        <f>IF(DO333=0,0,IF(DO334&lt;INDEX('Lease Cycles'!$BN$27:$BT$27,1,DO333),1,0))</f>
        <v>0</v>
      </c>
      <c r="DP335" s="25">
        <f>IF(DP333=0,0,IF(DP334&lt;INDEX('Lease Cycles'!$BN$27:$BT$27,1,DP333),1,0))</f>
        <v>0</v>
      </c>
      <c r="DQ335" s="25">
        <f>IF(DQ333=0,0,IF(DQ334&lt;INDEX('Lease Cycles'!$BN$27:$BT$27,1,DQ333),1,0))</f>
        <v>0</v>
      </c>
      <c r="DR335" s="25">
        <f>IF(DR333=0,0,IF(DR334&lt;INDEX('Lease Cycles'!$BN$27:$BT$27,1,DR333),1,0))</f>
        <v>0</v>
      </c>
      <c r="DS335" s="25">
        <f>IF(DS333=0,0,IF(DS334&lt;INDEX('Lease Cycles'!$BN$27:$BT$27,1,DS333),1,0))</f>
        <v>0</v>
      </c>
      <c r="DT335" s="25">
        <f>IF(DT333=0,0,IF(DT334&lt;INDEX('Lease Cycles'!$BN$27:$BT$27,1,DT333),1,0))</f>
        <v>0</v>
      </c>
      <c r="DU335" s="25">
        <f>IF(DU333=0,0,IF(DU334&lt;INDEX('Lease Cycles'!$BN$27:$BT$27,1,DU333),1,0))</f>
        <v>0</v>
      </c>
      <c r="DV335" s="25">
        <f>IF(DV333=0,0,IF(DV334&lt;INDEX('Lease Cycles'!$BN$27:$BT$27,1,DV333),1,0))</f>
        <v>0</v>
      </c>
      <c r="DW335" s="25">
        <f>IF(DW333=0,0,IF(DW334&lt;INDEX('Lease Cycles'!$BN$27:$BT$27,1,DW333),1,0))</f>
        <v>0</v>
      </c>
      <c r="DX335" s="25">
        <f>IF(DX333=0,0,IF(DX334&lt;INDEX('Lease Cycles'!$BN$27:$BT$27,1,DX333),1,0))</f>
        <v>0</v>
      </c>
      <c r="DY335" s="25">
        <f>IF(DY333=0,0,IF(DY334&lt;INDEX('Lease Cycles'!$BN$27:$BT$27,1,DY333),1,0))</f>
        <v>0</v>
      </c>
      <c r="DZ335" s="25">
        <f>IF(DZ333=0,0,IF(DZ334&lt;INDEX('Lease Cycles'!$BN$27:$BT$27,1,DZ333),1,0))</f>
        <v>0</v>
      </c>
      <c r="EA335" s="25">
        <f>IF(EA333=0,0,IF(EA334&lt;INDEX('Lease Cycles'!$BN$27:$BT$27,1,EA333),1,0))</f>
        <v>0</v>
      </c>
      <c r="EB335" s="25">
        <f>IF(EB333=0,0,IF(EB334&lt;INDEX('Lease Cycles'!$BN$27:$BT$27,1,EB333),1,0))</f>
        <v>0</v>
      </c>
      <c r="EC335" s="25">
        <f>IF(EC333=0,0,IF(EC334&lt;INDEX('Lease Cycles'!$BN$27:$BT$27,1,EC333),1,0))</f>
        <v>0</v>
      </c>
      <c r="ED335" s="25">
        <f>IF(ED333=0,0,IF(ED334&lt;INDEX('Lease Cycles'!$BN$27:$BT$27,1,ED333),1,0))</f>
        <v>0</v>
      </c>
      <c r="EE335" s="25">
        <f>IF(EE333=0,0,IF(EE334&lt;INDEX('Lease Cycles'!$BN$27:$BT$27,1,EE333),1,0))</f>
        <v>0</v>
      </c>
      <c r="EF335" s="25">
        <f>IF(EF333=0,0,IF(EF334&lt;INDEX('Lease Cycles'!$BN$27:$BT$27,1,EF333),1,0))</f>
        <v>0</v>
      </c>
      <c r="EG335" s="25">
        <f>IF(EG333=0,0,IF(EG334&lt;INDEX('Lease Cycles'!$BN$27:$BT$27,1,EG333),1,0))</f>
        <v>0</v>
      </c>
      <c r="EH335" s="25">
        <f>IF(EH333=0,0,IF(EH334&lt;INDEX('Lease Cycles'!$BN$27:$BT$27,1,EH333),1,0))</f>
        <v>0</v>
      </c>
      <c r="EI335" s="25">
        <f>IF(EI333=0,0,IF(EI334&lt;INDEX('Lease Cycles'!$BN$27:$BT$27,1,EI333),1,0))</f>
        <v>0</v>
      </c>
      <c r="EJ335" s="25">
        <f>IF(EJ333=0,0,IF(EJ334&lt;INDEX('Lease Cycles'!$BN$27:$BT$27,1,EJ333),1,0))</f>
        <v>0</v>
      </c>
      <c r="EK335" s="25">
        <f>IF(EK333=0,0,IF(EK334&lt;INDEX('Lease Cycles'!$BN$27:$BT$27,1,EK333),1,0))</f>
        <v>0</v>
      </c>
      <c r="EL335" s="25">
        <f>IF(EL333=0,0,IF(EL334&lt;INDEX('Lease Cycles'!$BN$27:$BT$27,1,EL333),1,0))</f>
        <v>0</v>
      </c>
      <c r="EM335" s="25">
        <f>IF(EM333=0,0,IF(EM334&lt;INDEX('Lease Cycles'!$BN$27:$BT$27,1,EM333),1,0))</f>
        <v>0</v>
      </c>
      <c r="EN335" s="25">
        <f>IF(EN333=0,0,IF(EN334&lt;INDEX('Lease Cycles'!$BN$27:$BT$27,1,EN333),1,0))</f>
        <v>0</v>
      </c>
      <c r="EO335" s="25">
        <f>IF(EO333=0,0,IF(EO334&lt;INDEX('Lease Cycles'!$BN$27:$BT$27,1,EO333),1,0))</f>
        <v>0</v>
      </c>
      <c r="EP335" s="25">
        <f>IF(EP333=0,0,IF(EP334&lt;INDEX('Lease Cycles'!$BN$27:$BT$27,1,EP333),1,0))</f>
        <v>0</v>
      </c>
      <c r="EQ335" s="25">
        <f>IF(EQ333=0,0,IF(EQ334&lt;INDEX('Lease Cycles'!$BN$27:$BT$27,1,EQ333),1,0))</f>
        <v>0</v>
      </c>
      <c r="ER335" s="25">
        <f>IF(ER333=0,0,IF(ER334&lt;INDEX('Lease Cycles'!$BN$27:$BT$27,1,ER333),1,0))</f>
        <v>0</v>
      </c>
      <c r="ES335" s="25">
        <f>IF(ES333=0,0,IF(ES334&lt;INDEX('Lease Cycles'!$BN$27:$BT$27,1,ES333),1,0))</f>
        <v>0</v>
      </c>
      <c r="ET335" s="25">
        <f>IF(ET333=0,0,IF(ET334&lt;INDEX('Lease Cycles'!$BN$27:$BT$27,1,ET333),1,0))</f>
        <v>0</v>
      </c>
    </row>
    <row r="336">
      <c r="A336" s="103">
        <v>20</v>
      </c>
      <c r="B336" s="23" t="str">
        <f>IF('Lease Cycles'!$B$27="","(empty slot)",'Lease Cycles'!$B$27)</f>
        <v>(empty slot)</v>
      </c>
      <c r="C336" s="23" t="s">
        <v>677</v>
      </c>
      <c r="D336" s="104" t="s">
        <v>678</v>
      </c>
      <c r="E336" s="25">
        <f>'Lease Cycles'!$AL$27</f>
        <v>0</v>
      </c>
      <c r="S336" s="28">
        <f>IF(S333=0,IF('Lease Cycles'!$F$27&gt;0,'Lease Cycles'!$C$27*'Lease Cycles'!$E$27/12,0),IF(S335=1,IF('Lease Cycles'!$AT$27&gt;=9999,'Lease Cycles'!$C$27*INDEX('Lease Cycles'!$CB$27:$CH$27,1,S333)*(1+INDEX('Lease Cycles'!$CI$27:$CO$27,1,S333))^INT(INT(S334/12)/INDEX('Lease Cycles'!$CP$27:$CV$27,1,S333))/12,IF(S333=1,IF(S334&gt;=INDEX('Lease Cycles'!$DK$27:$DQ$27,1,S333),IF(S$6&gt;='Lease Cycles'!$AZ$27,'Lease Cycles'!$C$27*'Lease Cycles'!$BA$27/12,IF(S$6&gt;='Lease Cycles'!$AX$27,'Lease Cycles'!$C$27*'Lease Cycles'!$AY$27/12,IF(S$6&gt;='Lease Cycles'!$AV$27,'Lease Cycles'!$C$27*'Lease Cycles'!$AW$27/12,IF(S$6&gt;='Lease Cycles'!$AT$27,'Lease Cycles'!$C$27*'Lease Cycles'!$AU$27/12,'Lease Cycles'!$C$27*INDEX('Lease Cycles'!$CB$27:$CH$27,1,S333)*(1+INDEX('Lease Cycles'!$CI$27:$CO$27,1,S333))^INT(INT(S334/12)/INDEX('Lease Cycles'!$CP$27:$CV$27,1,S333))/12)))),'Lease Cycles'!$C$27*INDEX('Lease Cycles'!$CB$27:$CH$27,1,S333)*(1+INDEX('Lease Cycles'!$CI$27:$CO$27,1,S333))^INT(INT(S334/12)/INDEX('Lease Cycles'!$CP$27:$CV$27,1,S333))/12),IF(INDEX('Lease Cycles'!$EF$27:$EL$27,1,S333)=1,IF(AND('Lease Cycles'!$AZ$27&gt;=INDEX('Lease Cycles'!$BG$27:$BM$27,1,S333),'Lease Cycles'!$AZ$27&lt;=S$6),'Lease Cycles'!$C$27*'Lease Cycles'!$BA$27/12,IF(AND('Lease Cycles'!$AX$27&gt;=INDEX('Lease Cycles'!$BG$27:$BM$27,1,S333),'Lease Cycles'!$AX$27&lt;=S$6),'Lease Cycles'!$C$27*'Lease Cycles'!$AY$27/12,IF(AND('Lease Cycles'!$AV$27&gt;=INDEX('Lease Cycles'!$BG$27:$BM$27,1,S333),'Lease Cycles'!$AV$27&lt;=S$6),'Lease Cycles'!$C$27*'Lease Cycles'!$AW$27/12,IF(AND('Lease Cycles'!$AT$27&gt;=INDEX('Lease Cycles'!$BG$27:$BM$27,1,S333),'Lease Cycles'!$AT$27&lt;=S$6),'Lease Cycles'!$C$27*'Lease Cycles'!$AU$27/12,'Lease Cycles'!$C$27*INDEX('Lease Cycles'!$CB$27:$CH$27,1,S333)*(1+INDEX('Lease Cycles'!$CI$27:$CO$27,1,S333))^INT(INT(S334/12)/INDEX('Lease Cycles'!$CP$27:$CV$27,1,S333))/12)))),'Lease Cycles'!$C$27*INDEX('Lease Cycles'!$CB$27:$CH$27,1,S333)*(1+INDEX('Lease Cycles'!$CI$27:$CO$27,1,S333))^INT(INT(S334/12)/INDEX('Lease Cycles'!$CP$27:$CV$27,1,S333))/12))),IF('Lease Cycles'!$N$27=1,'Lease Cycles'!$C$27*'Lease Cycles'!$E$27*INDEX('Lease Cycles'!$HE$27:$HK$27,1,S333)*(1+INDEX('Lease Cycles'!$GQ$27:$GW$27,1,S333))^INT(INT((S$6-INDEX('Lease Cycles'!$GJ$27:$GP$27,1,S333))/12)/INDEX('Lease Cycles'!$GX$27:$HD$27,1,S333))/12,0)))</f>
        <v>0</v>
      </c>
      <c r="T336" s="28">
        <f>IF(T333=0,IF('Lease Cycles'!$F$27&gt;0,'Lease Cycles'!$C$27*'Lease Cycles'!$E$27/12,0),IF(T335=1,IF('Lease Cycles'!$AT$27&gt;=9999,'Lease Cycles'!$C$27*INDEX('Lease Cycles'!$CB$27:$CH$27,1,T333)*(1+INDEX('Lease Cycles'!$CI$27:$CO$27,1,T333))^INT(INT(T334/12)/INDEX('Lease Cycles'!$CP$27:$CV$27,1,T333))/12,IF(T333=1,IF(T334&gt;=INDEX('Lease Cycles'!$DK$27:$DQ$27,1,T333),IF(T$6&gt;='Lease Cycles'!$AZ$27,'Lease Cycles'!$C$27*'Lease Cycles'!$BA$27/12,IF(T$6&gt;='Lease Cycles'!$AX$27,'Lease Cycles'!$C$27*'Lease Cycles'!$AY$27/12,IF(T$6&gt;='Lease Cycles'!$AV$27,'Lease Cycles'!$C$27*'Lease Cycles'!$AW$27/12,IF(T$6&gt;='Lease Cycles'!$AT$27,'Lease Cycles'!$C$27*'Lease Cycles'!$AU$27/12,'Lease Cycles'!$C$27*INDEX('Lease Cycles'!$CB$27:$CH$27,1,T333)*(1+INDEX('Lease Cycles'!$CI$27:$CO$27,1,T333))^INT(INT(T334/12)/INDEX('Lease Cycles'!$CP$27:$CV$27,1,T333))/12)))),'Lease Cycles'!$C$27*INDEX('Lease Cycles'!$CB$27:$CH$27,1,T333)*(1+INDEX('Lease Cycles'!$CI$27:$CO$27,1,T333))^INT(INT(T334/12)/INDEX('Lease Cycles'!$CP$27:$CV$27,1,T333))/12),IF(INDEX('Lease Cycles'!$EF$27:$EL$27,1,T333)=1,IF(AND('Lease Cycles'!$AZ$27&gt;=INDEX('Lease Cycles'!$BG$27:$BM$27,1,T333),'Lease Cycles'!$AZ$27&lt;=T$6),'Lease Cycles'!$C$27*'Lease Cycles'!$BA$27/12,IF(AND('Lease Cycles'!$AX$27&gt;=INDEX('Lease Cycles'!$BG$27:$BM$27,1,T333),'Lease Cycles'!$AX$27&lt;=T$6),'Lease Cycles'!$C$27*'Lease Cycles'!$AY$27/12,IF(AND('Lease Cycles'!$AV$27&gt;=INDEX('Lease Cycles'!$BG$27:$BM$27,1,T333),'Lease Cycles'!$AV$27&lt;=T$6),'Lease Cycles'!$C$27*'Lease Cycles'!$AW$27/12,IF(AND('Lease Cycles'!$AT$27&gt;=INDEX('Lease Cycles'!$BG$27:$BM$27,1,T333),'Lease Cycles'!$AT$27&lt;=T$6),'Lease Cycles'!$C$27*'Lease Cycles'!$AU$27/12,'Lease Cycles'!$C$27*INDEX('Lease Cycles'!$CB$27:$CH$27,1,T333)*(1+INDEX('Lease Cycles'!$CI$27:$CO$27,1,T333))^INT(INT(T334/12)/INDEX('Lease Cycles'!$CP$27:$CV$27,1,T333))/12)))),'Lease Cycles'!$C$27*INDEX('Lease Cycles'!$CB$27:$CH$27,1,T333)*(1+INDEX('Lease Cycles'!$CI$27:$CO$27,1,T333))^INT(INT(T334/12)/INDEX('Lease Cycles'!$CP$27:$CV$27,1,T333))/12))),IF('Lease Cycles'!$N$27=1,'Lease Cycles'!$C$27*'Lease Cycles'!$E$27*INDEX('Lease Cycles'!$HE$27:$HK$27,1,T333)*(1+INDEX('Lease Cycles'!$GQ$27:$GW$27,1,T333))^INT(INT((T$6-INDEX('Lease Cycles'!$GJ$27:$GP$27,1,T333))/12)/INDEX('Lease Cycles'!$GX$27:$HD$27,1,T333))/12,0)))</f>
        <v>0</v>
      </c>
      <c r="U336" s="28">
        <f>IF(U333=0,IF('Lease Cycles'!$F$27&gt;0,'Lease Cycles'!$C$27*'Lease Cycles'!$E$27/12,0),IF(U335=1,IF('Lease Cycles'!$AT$27&gt;=9999,'Lease Cycles'!$C$27*INDEX('Lease Cycles'!$CB$27:$CH$27,1,U333)*(1+INDEX('Lease Cycles'!$CI$27:$CO$27,1,U333))^INT(INT(U334/12)/INDEX('Lease Cycles'!$CP$27:$CV$27,1,U333))/12,IF(U333=1,IF(U334&gt;=INDEX('Lease Cycles'!$DK$27:$DQ$27,1,U333),IF(U$6&gt;='Lease Cycles'!$AZ$27,'Lease Cycles'!$C$27*'Lease Cycles'!$BA$27/12,IF(U$6&gt;='Lease Cycles'!$AX$27,'Lease Cycles'!$C$27*'Lease Cycles'!$AY$27/12,IF(U$6&gt;='Lease Cycles'!$AV$27,'Lease Cycles'!$C$27*'Lease Cycles'!$AW$27/12,IF(U$6&gt;='Lease Cycles'!$AT$27,'Lease Cycles'!$C$27*'Lease Cycles'!$AU$27/12,'Lease Cycles'!$C$27*INDEX('Lease Cycles'!$CB$27:$CH$27,1,U333)*(1+INDEX('Lease Cycles'!$CI$27:$CO$27,1,U333))^INT(INT(U334/12)/INDEX('Lease Cycles'!$CP$27:$CV$27,1,U333))/12)))),'Lease Cycles'!$C$27*INDEX('Lease Cycles'!$CB$27:$CH$27,1,U333)*(1+INDEX('Lease Cycles'!$CI$27:$CO$27,1,U333))^INT(INT(U334/12)/INDEX('Lease Cycles'!$CP$27:$CV$27,1,U333))/12),IF(INDEX('Lease Cycles'!$EF$27:$EL$27,1,U333)=1,IF(AND('Lease Cycles'!$AZ$27&gt;=INDEX('Lease Cycles'!$BG$27:$BM$27,1,U333),'Lease Cycles'!$AZ$27&lt;=U$6),'Lease Cycles'!$C$27*'Lease Cycles'!$BA$27/12,IF(AND('Lease Cycles'!$AX$27&gt;=INDEX('Lease Cycles'!$BG$27:$BM$27,1,U333),'Lease Cycles'!$AX$27&lt;=U$6),'Lease Cycles'!$C$27*'Lease Cycles'!$AY$27/12,IF(AND('Lease Cycles'!$AV$27&gt;=INDEX('Lease Cycles'!$BG$27:$BM$27,1,U333),'Lease Cycles'!$AV$27&lt;=U$6),'Lease Cycles'!$C$27*'Lease Cycles'!$AW$27/12,IF(AND('Lease Cycles'!$AT$27&gt;=INDEX('Lease Cycles'!$BG$27:$BM$27,1,U333),'Lease Cycles'!$AT$27&lt;=U$6),'Lease Cycles'!$C$27*'Lease Cycles'!$AU$27/12,'Lease Cycles'!$C$27*INDEX('Lease Cycles'!$CB$27:$CH$27,1,U333)*(1+INDEX('Lease Cycles'!$CI$27:$CO$27,1,U333))^INT(INT(U334/12)/INDEX('Lease Cycles'!$CP$27:$CV$27,1,U333))/12)))),'Lease Cycles'!$C$27*INDEX('Lease Cycles'!$CB$27:$CH$27,1,U333)*(1+INDEX('Lease Cycles'!$CI$27:$CO$27,1,U333))^INT(INT(U334/12)/INDEX('Lease Cycles'!$CP$27:$CV$27,1,U333))/12))),IF('Lease Cycles'!$N$27=1,'Lease Cycles'!$C$27*'Lease Cycles'!$E$27*INDEX('Lease Cycles'!$HE$27:$HK$27,1,U333)*(1+INDEX('Lease Cycles'!$GQ$27:$GW$27,1,U333))^INT(INT((U$6-INDEX('Lease Cycles'!$GJ$27:$GP$27,1,U333))/12)/INDEX('Lease Cycles'!$GX$27:$HD$27,1,U333))/12,0)))</f>
        <v>0</v>
      </c>
      <c r="V336" s="28">
        <f>IF(V333=0,IF('Lease Cycles'!$F$27&gt;0,'Lease Cycles'!$C$27*'Lease Cycles'!$E$27/12,0),IF(V335=1,IF('Lease Cycles'!$AT$27&gt;=9999,'Lease Cycles'!$C$27*INDEX('Lease Cycles'!$CB$27:$CH$27,1,V333)*(1+INDEX('Lease Cycles'!$CI$27:$CO$27,1,V333))^INT(INT(V334/12)/INDEX('Lease Cycles'!$CP$27:$CV$27,1,V333))/12,IF(V333=1,IF(V334&gt;=INDEX('Lease Cycles'!$DK$27:$DQ$27,1,V333),IF(V$6&gt;='Lease Cycles'!$AZ$27,'Lease Cycles'!$C$27*'Lease Cycles'!$BA$27/12,IF(V$6&gt;='Lease Cycles'!$AX$27,'Lease Cycles'!$C$27*'Lease Cycles'!$AY$27/12,IF(V$6&gt;='Lease Cycles'!$AV$27,'Lease Cycles'!$C$27*'Lease Cycles'!$AW$27/12,IF(V$6&gt;='Lease Cycles'!$AT$27,'Lease Cycles'!$C$27*'Lease Cycles'!$AU$27/12,'Lease Cycles'!$C$27*INDEX('Lease Cycles'!$CB$27:$CH$27,1,V333)*(1+INDEX('Lease Cycles'!$CI$27:$CO$27,1,V333))^INT(INT(V334/12)/INDEX('Lease Cycles'!$CP$27:$CV$27,1,V333))/12)))),'Lease Cycles'!$C$27*INDEX('Lease Cycles'!$CB$27:$CH$27,1,V333)*(1+INDEX('Lease Cycles'!$CI$27:$CO$27,1,V333))^INT(INT(V334/12)/INDEX('Lease Cycles'!$CP$27:$CV$27,1,V333))/12),IF(INDEX('Lease Cycles'!$EF$27:$EL$27,1,V333)=1,IF(AND('Lease Cycles'!$AZ$27&gt;=INDEX('Lease Cycles'!$BG$27:$BM$27,1,V333),'Lease Cycles'!$AZ$27&lt;=V$6),'Lease Cycles'!$C$27*'Lease Cycles'!$BA$27/12,IF(AND('Lease Cycles'!$AX$27&gt;=INDEX('Lease Cycles'!$BG$27:$BM$27,1,V333),'Lease Cycles'!$AX$27&lt;=V$6),'Lease Cycles'!$C$27*'Lease Cycles'!$AY$27/12,IF(AND('Lease Cycles'!$AV$27&gt;=INDEX('Lease Cycles'!$BG$27:$BM$27,1,V333),'Lease Cycles'!$AV$27&lt;=V$6),'Lease Cycles'!$C$27*'Lease Cycles'!$AW$27/12,IF(AND('Lease Cycles'!$AT$27&gt;=INDEX('Lease Cycles'!$BG$27:$BM$27,1,V333),'Lease Cycles'!$AT$27&lt;=V$6),'Lease Cycles'!$C$27*'Lease Cycles'!$AU$27/12,'Lease Cycles'!$C$27*INDEX('Lease Cycles'!$CB$27:$CH$27,1,V333)*(1+INDEX('Lease Cycles'!$CI$27:$CO$27,1,V333))^INT(INT(V334/12)/INDEX('Lease Cycles'!$CP$27:$CV$27,1,V333))/12)))),'Lease Cycles'!$C$27*INDEX('Lease Cycles'!$CB$27:$CH$27,1,V333)*(1+INDEX('Lease Cycles'!$CI$27:$CO$27,1,V333))^INT(INT(V334/12)/INDEX('Lease Cycles'!$CP$27:$CV$27,1,V333))/12))),IF('Lease Cycles'!$N$27=1,'Lease Cycles'!$C$27*'Lease Cycles'!$E$27*INDEX('Lease Cycles'!$HE$27:$HK$27,1,V333)*(1+INDEX('Lease Cycles'!$GQ$27:$GW$27,1,V333))^INT(INT((V$6-INDEX('Lease Cycles'!$GJ$27:$GP$27,1,V333))/12)/INDEX('Lease Cycles'!$GX$27:$HD$27,1,V333))/12,0)))</f>
        <v>0</v>
      </c>
      <c r="W336" s="28">
        <f>IF(W333=0,IF('Lease Cycles'!$F$27&gt;0,'Lease Cycles'!$C$27*'Lease Cycles'!$E$27/12,0),IF(W335=1,IF('Lease Cycles'!$AT$27&gt;=9999,'Lease Cycles'!$C$27*INDEX('Lease Cycles'!$CB$27:$CH$27,1,W333)*(1+INDEX('Lease Cycles'!$CI$27:$CO$27,1,W333))^INT(INT(W334/12)/INDEX('Lease Cycles'!$CP$27:$CV$27,1,W333))/12,IF(W333=1,IF(W334&gt;=INDEX('Lease Cycles'!$DK$27:$DQ$27,1,W333),IF(W$6&gt;='Lease Cycles'!$AZ$27,'Lease Cycles'!$C$27*'Lease Cycles'!$BA$27/12,IF(W$6&gt;='Lease Cycles'!$AX$27,'Lease Cycles'!$C$27*'Lease Cycles'!$AY$27/12,IF(W$6&gt;='Lease Cycles'!$AV$27,'Lease Cycles'!$C$27*'Lease Cycles'!$AW$27/12,IF(W$6&gt;='Lease Cycles'!$AT$27,'Lease Cycles'!$C$27*'Lease Cycles'!$AU$27/12,'Lease Cycles'!$C$27*INDEX('Lease Cycles'!$CB$27:$CH$27,1,W333)*(1+INDEX('Lease Cycles'!$CI$27:$CO$27,1,W333))^INT(INT(W334/12)/INDEX('Lease Cycles'!$CP$27:$CV$27,1,W333))/12)))),'Lease Cycles'!$C$27*INDEX('Lease Cycles'!$CB$27:$CH$27,1,W333)*(1+INDEX('Lease Cycles'!$CI$27:$CO$27,1,W333))^INT(INT(W334/12)/INDEX('Lease Cycles'!$CP$27:$CV$27,1,W333))/12),IF(INDEX('Lease Cycles'!$EF$27:$EL$27,1,W333)=1,IF(AND('Lease Cycles'!$AZ$27&gt;=INDEX('Lease Cycles'!$BG$27:$BM$27,1,W333),'Lease Cycles'!$AZ$27&lt;=W$6),'Lease Cycles'!$C$27*'Lease Cycles'!$BA$27/12,IF(AND('Lease Cycles'!$AX$27&gt;=INDEX('Lease Cycles'!$BG$27:$BM$27,1,W333),'Lease Cycles'!$AX$27&lt;=W$6),'Lease Cycles'!$C$27*'Lease Cycles'!$AY$27/12,IF(AND('Lease Cycles'!$AV$27&gt;=INDEX('Lease Cycles'!$BG$27:$BM$27,1,W333),'Lease Cycles'!$AV$27&lt;=W$6),'Lease Cycles'!$C$27*'Lease Cycles'!$AW$27/12,IF(AND('Lease Cycles'!$AT$27&gt;=INDEX('Lease Cycles'!$BG$27:$BM$27,1,W333),'Lease Cycles'!$AT$27&lt;=W$6),'Lease Cycles'!$C$27*'Lease Cycles'!$AU$27/12,'Lease Cycles'!$C$27*INDEX('Lease Cycles'!$CB$27:$CH$27,1,W333)*(1+INDEX('Lease Cycles'!$CI$27:$CO$27,1,W333))^INT(INT(W334/12)/INDEX('Lease Cycles'!$CP$27:$CV$27,1,W333))/12)))),'Lease Cycles'!$C$27*INDEX('Lease Cycles'!$CB$27:$CH$27,1,W333)*(1+INDEX('Lease Cycles'!$CI$27:$CO$27,1,W333))^INT(INT(W334/12)/INDEX('Lease Cycles'!$CP$27:$CV$27,1,W333))/12))),IF('Lease Cycles'!$N$27=1,'Lease Cycles'!$C$27*'Lease Cycles'!$E$27*INDEX('Lease Cycles'!$HE$27:$HK$27,1,W333)*(1+INDEX('Lease Cycles'!$GQ$27:$GW$27,1,W333))^INT(INT((W$6-INDEX('Lease Cycles'!$GJ$27:$GP$27,1,W333))/12)/INDEX('Lease Cycles'!$GX$27:$HD$27,1,W333))/12,0)))</f>
        <v>0</v>
      </c>
      <c r="X336" s="28">
        <f>IF(X333=0,IF('Lease Cycles'!$F$27&gt;0,'Lease Cycles'!$C$27*'Lease Cycles'!$E$27/12,0),IF(X335=1,IF('Lease Cycles'!$AT$27&gt;=9999,'Lease Cycles'!$C$27*INDEX('Lease Cycles'!$CB$27:$CH$27,1,X333)*(1+INDEX('Lease Cycles'!$CI$27:$CO$27,1,X333))^INT(INT(X334/12)/INDEX('Lease Cycles'!$CP$27:$CV$27,1,X333))/12,IF(X333=1,IF(X334&gt;=INDEX('Lease Cycles'!$DK$27:$DQ$27,1,X333),IF(X$6&gt;='Lease Cycles'!$AZ$27,'Lease Cycles'!$C$27*'Lease Cycles'!$BA$27/12,IF(X$6&gt;='Lease Cycles'!$AX$27,'Lease Cycles'!$C$27*'Lease Cycles'!$AY$27/12,IF(X$6&gt;='Lease Cycles'!$AV$27,'Lease Cycles'!$C$27*'Lease Cycles'!$AW$27/12,IF(X$6&gt;='Lease Cycles'!$AT$27,'Lease Cycles'!$C$27*'Lease Cycles'!$AU$27/12,'Lease Cycles'!$C$27*INDEX('Lease Cycles'!$CB$27:$CH$27,1,X333)*(1+INDEX('Lease Cycles'!$CI$27:$CO$27,1,X333))^INT(INT(X334/12)/INDEX('Lease Cycles'!$CP$27:$CV$27,1,X333))/12)))),'Lease Cycles'!$C$27*INDEX('Lease Cycles'!$CB$27:$CH$27,1,X333)*(1+INDEX('Lease Cycles'!$CI$27:$CO$27,1,X333))^INT(INT(X334/12)/INDEX('Lease Cycles'!$CP$27:$CV$27,1,X333))/12),IF(INDEX('Lease Cycles'!$EF$27:$EL$27,1,X333)=1,IF(AND('Lease Cycles'!$AZ$27&gt;=INDEX('Lease Cycles'!$BG$27:$BM$27,1,X333),'Lease Cycles'!$AZ$27&lt;=X$6),'Lease Cycles'!$C$27*'Lease Cycles'!$BA$27/12,IF(AND('Lease Cycles'!$AX$27&gt;=INDEX('Lease Cycles'!$BG$27:$BM$27,1,X333),'Lease Cycles'!$AX$27&lt;=X$6),'Lease Cycles'!$C$27*'Lease Cycles'!$AY$27/12,IF(AND('Lease Cycles'!$AV$27&gt;=INDEX('Lease Cycles'!$BG$27:$BM$27,1,X333),'Lease Cycles'!$AV$27&lt;=X$6),'Lease Cycles'!$C$27*'Lease Cycles'!$AW$27/12,IF(AND('Lease Cycles'!$AT$27&gt;=INDEX('Lease Cycles'!$BG$27:$BM$27,1,X333),'Lease Cycles'!$AT$27&lt;=X$6),'Lease Cycles'!$C$27*'Lease Cycles'!$AU$27/12,'Lease Cycles'!$C$27*INDEX('Lease Cycles'!$CB$27:$CH$27,1,X333)*(1+INDEX('Lease Cycles'!$CI$27:$CO$27,1,X333))^INT(INT(X334/12)/INDEX('Lease Cycles'!$CP$27:$CV$27,1,X333))/12)))),'Lease Cycles'!$C$27*INDEX('Lease Cycles'!$CB$27:$CH$27,1,X333)*(1+INDEX('Lease Cycles'!$CI$27:$CO$27,1,X333))^INT(INT(X334/12)/INDEX('Lease Cycles'!$CP$27:$CV$27,1,X333))/12))),IF('Lease Cycles'!$N$27=1,'Lease Cycles'!$C$27*'Lease Cycles'!$E$27*INDEX('Lease Cycles'!$HE$27:$HK$27,1,X333)*(1+INDEX('Lease Cycles'!$GQ$27:$GW$27,1,X333))^INT(INT((X$6-INDEX('Lease Cycles'!$GJ$27:$GP$27,1,X333))/12)/INDEX('Lease Cycles'!$GX$27:$HD$27,1,X333))/12,0)))</f>
        <v>0</v>
      </c>
      <c r="Y336" s="28">
        <f>IF(Y333=0,IF('Lease Cycles'!$F$27&gt;0,'Lease Cycles'!$C$27*'Lease Cycles'!$E$27/12,0),IF(Y335=1,IF('Lease Cycles'!$AT$27&gt;=9999,'Lease Cycles'!$C$27*INDEX('Lease Cycles'!$CB$27:$CH$27,1,Y333)*(1+INDEX('Lease Cycles'!$CI$27:$CO$27,1,Y333))^INT(INT(Y334/12)/INDEX('Lease Cycles'!$CP$27:$CV$27,1,Y333))/12,IF(Y333=1,IF(Y334&gt;=INDEX('Lease Cycles'!$DK$27:$DQ$27,1,Y333),IF(Y$6&gt;='Lease Cycles'!$AZ$27,'Lease Cycles'!$C$27*'Lease Cycles'!$BA$27/12,IF(Y$6&gt;='Lease Cycles'!$AX$27,'Lease Cycles'!$C$27*'Lease Cycles'!$AY$27/12,IF(Y$6&gt;='Lease Cycles'!$AV$27,'Lease Cycles'!$C$27*'Lease Cycles'!$AW$27/12,IF(Y$6&gt;='Lease Cycles'!$AT$27,'Lease Cycles'!$C$27*'Lease Cycles'!$AU$27/12,'Lease Cycles'!$C$27*INDEX('Lease Cycles'!$CB$27:$CH$27,1,Y333)*(1+INDEX('Lease Cycles'!$CI$27:$CO$27,1,Y333))^INT(INT(Y334/12)/INDEX('Lease Cycles'!$CP$27:$CV$27,1,Y333))/12)))),'Lease Cycles'!$C$27*INDEX('Lease Cycles'!$CB$27:$CH$27,1,Y333)*(1+INDEX('Lease Cycles'!$CI$27:$CO$27,1,Y333))^INT(INT(Y334/12)/INDEX('Lease Cycles'!$CP$27:$CV$27,1,Y333))/12),IF(INDEX('Lease Cycles'!$EF$27:$EL$27,1,Y333)=1,IF(AND('Lease Cycles'!$AZ$27&gt;=INDEX('Lease Cycles'!$BG$27:$BM$27,1,Y333),'Lease Cycles'!$AZ$27&lt;=Y$6),'Lease Cycles'!$C$27*'Lease Cycles'!$BA$27/12,IF(AND('Lease Cycles'!$AX$27&gt;=INDEX('Lease Cycles'!$BG$27:$BM$27,1,Y333),'Lease Cycles'!$AX$27&lt;=Y$6),'Lease Cycles'!$C$27*'Lease Cycles'!$AY$27/12,IF(AND('Lease Cycles'!$AV$27&gt;=INDEX('Lease Cycles'!$BG$27:$BM$27,1,Y333),'Lease Cycles'!$AV$27&lt;=Y$6),'Lease Cycles'!$C$27*'Lease Cycles'!$AW$27/12,IF(AND('Lease Cycles'!$AT$27&gt;=INDEX('Lease Cycles'!$BG$27:$BM$27,1,Y333),'Lease Cycles'!$AT$27&lt;=Y$6),'Lease Cycles'!$C$27*'Lease Cycles'!$AU$27/12,'Lease Cycles'!$C$27*INDEX('Lease Cycles'!$CB$27:$CH$27,1,Y333)*(1+INDEX('Lease Cycles'!$CI$27:$CO$27,1,Y333))^INT(INT(Y334/12)/INDEX('Lease Cycles'!$CP$27:$CV$27,1,Y333))/12)))),'Lease Cycles'!$C$27*INDEX('Lease Cycles'!$CB$27:$CH$27,1,Y333)*(1+INDEX('Lease Cycles'!$CI$27:$CO$27,1,Y333))^INT(INT(Y334/12)/INDEX('Lease Cycles'!$CP$27:$CV$27,1,Y333))/12))),IF('Lease Cycles'!$N$27=1,'Lease Cycles'!$C$27*'Lease Cycles'!$E$27*INDEX('Lease Cycles'!$HE$27:$HK$27,1,Y333)*(1+INDEX('Lease Cycles'!$GQ$27:$GW$27,1,Y333))^INT(INT((Y$6-INDEX('Lease Cycles'!$GJ$27:$GP$27,1,Y333))/12)/INDEX('Lease Cycles'!$GX$27:$HD$27,1,Y333))/12,0)))</f>
        <v>0</v>
      </c>
      <c r="Z336" s="28">
        <f>IF(Z333=0,IF('Lease Cycles'!$F$27&gt;0,'Lease Cycles'!$C$27*'Lease Cycles'!$E$27/12,0),IF(Z335=1,IF('Lease Cycles'!$AT$27&gt;=9999,'Lease Cycles'!$C$27*INDEX('Lease Cycles'!$CB$27:$CH$27,1,Z333)*(1+INDEX('Lease Cycles'!$CI$27:$CO$27,1,Z333))^INT(INT(Z334/12)/INDEX('Lease Cycles'!$CP$27:$CV$27,1,Z333))/12,IF(Z333=1,IF(Z334&gt;=INDEX('Lease Cycles'!$DK$27:$DQ$27,1,Z333),IF(Z$6&gt;='Lease Cycles'!$AZ$27,'Lease Cycles'!$C$27*'Lease Cycles'!$BA$27/12,IF(Z$6&gt;='Lease Cycles'!$AX$27,'Lease Cycles'!$C$27*'Lease Cycles'!$AY$27/12,IF(Z$6&gt;='Lease Cycles'!$AV$27,'Lease Cycles'!$C$27*'Lease Cycles'!$AW$27/12,IF(Z$6&gt;='Lease Cycles'!$AT$27,'Lease Cycles'!$C$27*'Lease Cycles'!$AU$27/12,'Lease Cycles'!$C$27*INDEX('Lease Cycles'!$CB$27:$CH$27,1,Z333)*(1+INDEX('Lease Cycles'!$CI$27:$CO$27,1,Z333))^INT(INT(Z334/12)/INDEX('Lease Cycles'!$CP$27:$CV$27,1,Z333))/12)))),'Lease Cycles'!$C$27*INDEX('Lease Cycles'!$CB$27:$CH$27,1,Z333)*(1+INDEX('Lease Cycles'!$CI$27:$CO$27,1,Z333))^INT(INT(Z334/12)/INDEX('Lease Cycles'!$CP$27:$CV$27,1,Z333))/12),IF(INDEX('Lease Cycles'!$EF$27:$EL$27,1,Z333)=1,IF(AND('Lease Cycles'!$AZ$27&gt;=INDEX('Lease Cycles'!$BG$27:$BM$27,1,Z333),'Lease Cycles'!$AZ$27&lt;=Z$6),'Lease Cycles'!$C$27*'Lease Cycles'!$BA$27/12,IF(AND('Lease Cycles'!$AX$27&gt;=INDEX('Lease Cycles'!$BG$27:$BM$27,1,Z333),'Lease Cycles'!$AX$27&lt;=Z$6),'Lease Cycles'!$C$27*'Lease Cycles'!$AY$27/12,IF(AND('Lease Cycles'!$AV$27&gt;=INDEX('Lease Cycles'!$BG$27:$BM$27,1,Z333),'Lease Cycles'!$AV$27&lt;=Z$6),'Lease Cycles'!$C$27*'Lease Cycles'!$AW$27/12,IF(AND('Lease Cycles'!$AT$27&gt;=INDEX('Lease Cycles'!$BG$27:$BM$27,1,Z333),'Lease Cycles'!$AT$27&lt;=Z$6),'Lease Cycles'!$C$27*'Lease Cycles'!$AU$27/12,'Lease Cycles'!$C$27*INDEX('Lease Cycles'!$CB$27:$CH$27,1,Z333)*(1+INDEX('Lease Cycles'!$CI$27:$CO$27,1,Z333))^INT(INT(Z334/12)/INDEX('Lease Cycles'!$CP$27:$CV$27,1,Z333))/12)))),'Lease Cycles'!$C$27*INDEX('Lease Cycles'!$CB$27:$CH$27,1,Z333)*(1+INDEX('Lease Cycles'!$CI$27:$CO$27,1,Z333))^INT(INT(Z334/12)/INDEX('Lease Cycles'!$CP$27:$CV$27,1,Z333))/12))),IF('Lease Cycles'!$N$27=1,'Lease Cycles'!$C$27*'Lease Cycles'!$E$27*INDEX('Lease Cycles'!$HE$27:$HK$27,1,Z333)*(1+INDEX('Lease Cycles'!$GQ$27:$GW$27,1,Z333))^INT(INT((Z$6-INDEX('Lease Cycles'!$GJ$27:$GP$27,1,Z333))/12)/INDEX('Lease Cycles'!$GX$27:$HD$27,1,Z333))/12,0)))</f>
        <v>0</v>
      </c>
      <c r="AA336" s="28">
        <f>IF(AA333=0,IF('Lease Cycles'!$F$27&gt;0,'Lease Cycles'!$C$27*'Lease Cycles'!$E$27/12,0),IF(AA335=1,IF('Lease Cycles'!$AT$27&gt;=9999,'Lease Cycles'!$C$27*INDEX('Lease Cycles'!$CB$27:$CH$27,1,AA333)*(1+INDEX('Lease Cycles'!$CI$27:$CO$27,1,AA333))^INT(INT(AA334/12)/INDEX('Lease Cycles'!$CP$27:$CV$27,1,AA333))/12,IF(AA333=1,IF(AA334&gt;=INDEX('Lease Cycles'!$DK$27:$DQ$27,1,AA333),IF(AA$6&gt;='Lease Cycles'!$AZ$27,'Lease Cycles'!$C$27*'Lease Cycles'!$BA$27/12,IF(AA$6&gt;='Lease Cycles'!$AX$27,'Lease Cycles'!$C$27*'Lease Cycles'!$AY$27/12,IF(AA$6&gt;='Lease Cycles'!$AV$27,'Lease Cycles'!$C$27*'Lease Cycles'!$AW$27/12,IF(AA$6&gt;='Lease Cycles'!$AT$27,'Lease Cycles'!$C$27*'Lease Cycles'!$AU$27/12,'Lease Cycles'!$C$27*INDEX('Lease Cycles'!$CB$27:$CH$27,1,AA333)*(1+INDEX('Lease Cycles'!$CI$27:$CO$27,1,AA333))^INT(INT(AA334/12)/INDEX('Lease Cycles'!$CP$27:$CV$27,1,AA333))/12)))),'Lease Cycles'!$C$27*INDEX('Lease Cycles'!$CB$27:$CH$27,1,AA333)*(1+INDEX('Lease Cycles'!$CI$27:$CO$27,1,AA333))^INT(INT(AA334/12)/INDEX('Lease Cycles'!$CP$27:$CV$27,1,AA333))/12),IF(INDEX('Lease Cycles'!$EF$27:$EL$27,1,AA333)=1,IF(AND('Lease Cycles'!$AZ$27&gt;=INDEX('Lease Cycles'!$BG$27:$BM$27,1,AA333),'Lease Cycles'!$AZ$27&lt;=AA$6),'Lease Cycles'!$C$27*'Lease Cycles'!$BA$27/12,IF(AND('Lease Cycles'!$AX$27&gt;=INDEX('Lease Cycles'!$BG$27:$BM$27,1,AA333),'Lease Cycles'!$AX$27&lt;=AA$6),'Lease Cycles'!$C$27*'Lease Cycles'!$AY$27/12,IF(AND('Lease Cycles'!$AV$27&gt;=INDEX('Lease Cycles'!$BG$27:$BM$27,1,AA333),'Lease Cycles'!$AV$27&lt;=AA$6),'Lease Cycles'!$C$27*'Lease Cycles'!$AW$27/12,IF(AND('Lease Cycles'!$AT$27&gt;=INDEX('Lease Cycles'!$BG$27:$BM$27,1,AA333),'Lease Cycles'!$AT$27&lt;=AA$6),'Lease Cycles'!$C$27*'Lease Cycles'!$AU$27/12,'Lease Cycles'!$C$27*INDEX('Lease Cycles'!$CB$27:$CH$27,1,AA333)*(1+INDEX('Lease Cycles'!$CI$27:$CO$27,1,AA333))^INT(INT(AA334/12)/INDEX('Lease Cycles'!$CP$27:$CV$27,1,AA333))/12)))),'Lease Cycles'!$C$27*INDEX('Lease Cycles'!$CB$27:$CH$27,1,AA333)*(1+INDEX('Lease Cycles'!$CI$27:$CO$27,1,AA333))^INT(INT(AA334/12)/INDEX('Lease Cycles'!$CP$27:$CV$27,1,AA333))/12))),IF('Lease Cycles'!$N$27=1,'Lease Cycles'!$C$27*'Lease Cycles'!$E$27*INDEX('Lease Cycles'!$HE$27:$HK$27,1,AA333)*(1+INDEX('Lease Cycles'!$GQ$27:$GW$27,1,AA333))^INT(INT((AA$6-INDEX('Lease Cycles'!$GJ$27:$GP$27,1,AA333))/12)/INDEX('Lease Cycles'!$GX$27:$HD$27,1,AA333))/12,0)))</f>
        <v>0</v>
      </c>
      <c r="AB336" s="28">
        <f>IF(AB333=0,IF('Lease Cycles'!$F$27&gt;0,'Lease Cycles'!$C$27*'Lease Cycles'!$E$27/12,0),IF(AB335=1,IF('Lease Cycles'!$AT$27&gt;=9999,'Lease Cycles'!$C$27*INDEX('Lease Cycles'!$CB$27:$CH$27,1,AB333)*(1+INDEX('Lease Cycles'!$CI$27:$CO$27,1,AB333))^INT(INT(AB334/12)/INDEX('Lease Cycles'!$CP$27:$CV$27,1,AB333))/12,IF(AB333=1,IF(AB334&gt;=INDEX('Lease Cycles'!$DK$27:$DQ$27,1,AB333),IF(AB$6&gt;='Lease Cycles'!$AZ$27,'Lease Cycles'!$C$27*'Lease Cycles'!$BA$27/12,IF(AB$6&gt;='Lease Cycles'!$AX$27,'Lease Cycles'!$C$27*'Lease Cycles'!$AY$27/12,IF(AB$6&gt;='Lease Cycles'!$AV$27,'Lease Cycles'!$C$27*'Lease Cycles'!$AW$27/12,IF(AB$6&gt;='Lease Cycles'!$AT$27,'Lease Cycles'!$C$27*'Lease Cycles'!$AU$27/12,'Lease Cycles'!$C$27*INDEX('Lease Cycles'!$CB$27:$CH$27,1,AB333)*(1+INDEX('Lease Cycles'!$CI$27:$CO$27,1,AB333))^INT(INT(AB334/12)/INDEX('Lease Cycles'!$CP$27:$CV$27,1,AB333))/12)))),'Lease Cycles'!$C$27*INDEX('Lease Cycles'!$CB$27:$CH$27,1,AB333)*(1+INDEX('Lease Cycles'!$CI$27:$CO$27,1,AB333))^INT(INT(AB334/12)/INDEX('Lease Cycles'!$CP$27:$CV$27,1,AB333))/12),IF(INDEX('Lease Cycles'!$EF$27:$EL$27,1,AB333)=1,IF(AND('Lease Cycles'!$AZ$27&gt;=INDEX('Lease Cycles'!$BG$27:$BM$27,1,AB333),'Lease Cycles'!$AZ$27&lt;=AB$6),'Lease Cycles'!$C$27*'Lease Cycles'!$BA$27/12,IF(AND('Lease Cycles'!$AX$27&gt;=INDEX('Lease Cycles'!$BG$27:$BM$27,1,AB333),'Lease Cycles'!$AX$27&lt;=AB$6),'Lease Cycles'!$C$27*'Lease Cycles'!$AY$27/12,IF(AND('Lease Cycles'!$AV$27&gt;=INDEX('Lease Cycles'!$BG$27:$BM$27,1,AB333),'Lease Cycles'!$AV$27&lt;=AB$6),'Lease Cycles'!$C$27*'Lease Cycles'!$AW$27/12,IF(AND('Lease Cycles'!$AT$27&gt;=INDEX('Lease Cycles'!$BG$27:$BM$27,1,AB333),'Lease Cycles'!$AT$27&lt;=AB$6),'Lease Cycles'!$C$27*'Lease Cycles'!$AU$27/12,'Lease Cycles'!$C$27*INDEX('Lease Cycles'!$CB$27:$CH$27,1,AB333)*(1+INDEX('Lease Cycles'!$CI$27:$CO$27,1,AB333))^INT(INT(AB334/12)/INDEX('Lease Cycles'!$CP$27:$CV$27,1,AB333))/12)))),'Lease Cycles'!$C$27*INDEX('Lease Cycles'!$CB$27:$CH$27,1,AB333)*(1+INDEX('Lease Cycles'!$CI$27:$CO$27,1,AB333))^INT(INT(AB334/12)/INDEX('Lease Cycles'!$CP$27:$CV$27,1,AB333))/12))),IF('Lease Cycles'!$N$27=1,'Lease Cycles'!$C$27*'Lease Cycles'!$E$27*INDEX('Lease Cycles'!$HE$27:$HK$27,1,AB333)*(1+INDEX('Lease Cycles'!$GQ$27:$GW$27,1,AB333))^INT(INT((AB$6-INDEX('Lease Cycles'!$GJ$27:$GP$27,1,AB333))/12)/INDEX('Lease Cycles'!$GX$27:$HD$27,1,AB333))/12,0)))</f>
        <v>0</v>
      </c>
      <c r="AC336" s="28">
        <f>IF(AC333=0,IF('Lease Cycles'!$F$27&gt;0,'Lease Cycles'!$C$27*'Lease Cycles'!$E$27/12,0),IF(AC335=1,IF('Lease Cycles'!$AT$27&gt;=9999,'Lease Cycles'!$C$27*INDEX('Lease Cycles'!$CB$27:$CH$27,1,AC333)*(1+INDEX('Lease Cycles'!$CI$27:$CO$27,1,AC333))^INT(INT(AC334/12)/INDEX('Lease Cycles'!$CP$27:$CV$27,1,AC333))/12,IF(AC333=1,IF(AC334&gt;=INDEX('Lease Cycles'!$DK$27:$DQ$27,1,AC333),IF(AC$6&gt;='Lease Cycles'!$AZ$27,'Lease Cycles'!$C$27*'Lease Cycles'!$BA$27/12,IF(AC$6&gt;='Lease Cycles'!$AX$27,'Lease Cycles'!$C$27*'Lease Cycles'!$AY$27/12,IF(AC$6&gt;='Lease Cycles'!$AV$27,'Lease Cycles'!$C$27*'Lease Cycles'!$AW$27/12,IF(AC$6&gt;='Lease Cycles'!$AT$27,'Lease Cycles'!$C$27*'Lease Cycles'!$AU$27/12,'Lease Cycles'!$C$27*INDEX('Lease Cycles'!$CB$27:$CH$27,1,AC333)*(1+INDEX('Lease Cycles'!$CI$27:$CO$27,1,AC333))^INT(INT(AC334/12)/INDEX('Lease Cycles'!$CP$27:$CV$27,1,AC333))/12)))),'Lease Cycles'!$C$27*INDEX('Lease Cycles'!$CB$27:$CH$27,1,AC333)*(1+INDEX('Lease Cycles'!$CI$27:$CO$27,1,AC333))^INT(INT(AC334/12)/INDEX('Lease Cycles'!$CP$27:$CV$27,1,AC333))/12),IF(INDEX('Lease Cycles'!$EF$27:$EL$27,1,AC333)=1,IF(AND('Lease Cycles'!$AZ$27&gt;=INDEX('Lease Cycles'!$BG$27:$BM$27,1,AC333),'Lease Cycles'!$AZ$27&lt;=AC$6),'Lease Cycles'!$C$27*'Lease Cycles'!$BA$27/12,IF(AND('Lease Cycles'!$AX$27&gt;=INDEX('Lease Cycles'!$BG$27:$BM$27,1,AC333),'Lease Cycles'!$AX$27&lt;=AC$6),'Lease Cycles'!$C$27*'Lease Cycles'!$AY$27/12,IF(AND('Lease Cycles'!$AV$27&gt;=INDEX('Lease Cycles'!$BG$27:$BM$27,1,AC333),'Lease Cycles'!$AV$27&lt;=AC$6),'Lease Cycles'!$C$27*'Lease Cycles'!$AW$27/12,IF(AND('Lease Cycles'!$AT$27&gt;=INDEX('Lease Cycles'!$BG$27:$BM$27,1,AC333),'Lease Cycles'!$AT$27&lt;=AC$6),'Lease Cycles'!$C$27*'Lease Cycles'!$AU$27/12,'Lease Cycles'!$C$27*INDEX('Lease Cycles'!$CB$27:$CH$27,1,AC333)*(1+INDEX('Lease Cycles'!$CI$27:$CO$27,1,AC333))^INT(INT(AC334/12)/INDEX('Lease Cycles'!$CP$27:$CV$27,1,AC333))/12)))),'Lease Cycles'!$C$27*INDEX('Lease Cycles'!$CB$27:$CH$27,1,AC333)*(1+INDEX('Lease Cycles'!$CI$27:$CO$27,1,AC333))^INT(INT(AC334/12)/INDEX('Lease Cycles'!$CP$27:$CV$27,1,AC333))/12))),IF('Lease Cycles'!$N$27=1,'Lease Cycles'!$C$27*'Lease Cycles'!$E$27*INDEX('Lease Cycles'!$HE$27:$HK$27,1,AC333)*(1+INDEX('Lease Cycles'!$GQ$27:$GW$27,1,AC333))^INT(INT((AC$6-INDEX('Lease Cycles'!$GJ$27:$GP$27,1,AC333))/12)/INDEX('Lease Cycles'!$GX$27:$HD$27,1,AC333))/12,0)))</f>
        <v>0</v>
      </c>
      <c r="AD336" s="28">
        <f>IF(AD333=0,IF('Lease Cycles'!$F$27&gt;0,'Lease Cycles'!$C$27*'Lease Cycles'!$E$27/12,0),IF(AD335=1,IF('Lease Cycles'!$AT$27&gt;=9999,'Lease Cycles'!$C$27*INDEX('Lease Cycles'!$CB$27:$CH$27,1,AD333)*(1+INDEX('Lease Cycles'!$CI$27:$CO$27,1,AD333))^INT(INT(AD334/12)/INDEX('Lease Cycles'!$CP$27:$CV$27,1,AD333))/12,IF(AD333=1,IF(AD334&gt;=INDEX('Lease Cycles'!$DK$27:$DQ$27,1,AD333),IF(AD$6&gt;='Lease Cycles'!$AZ$27,'Lease Cycles'!$C$27*'Lease Cycles'!$BA$27/12,IF(AD$6&gt;='Lease Cycles'!$AX$27,'Lease Cycles'!$C$27*'Lease Cycles'!$AY$27/12,IF(AD$6&gt;='Lease Cycles'!$AV$27,'Lease Cycles'!$C$27*'Lease Cycles'!$AW$27/12,IF(AD$6&gt;='Lease Cycles'!$AT$27,'Lease Cycles'!$C$27*'Lease Cycles'!$AU$27/12,'Lease Cycles'!$C$27*INDEX('Lease Cycles'!$CB$27:$CH$27,1,AD333)*(1+INDEX('Lease Cycles'!$CI$27:$CO$27,1,AD333))^INT(INT(AD334/12)/INDEX('Lease Cycles'!$CP$27:$CV$27,1,AD333))/12)))),'Lease Cycles'!$C$27*INDEX('Lease Cycles'!$CB$27:$CH$27,1,AD333)*(1+INDEX('Lease Cycles'!$CI$27:$CO$27,1,AD333))^INT(INT(AD334/12)/INDEX('Lease Cycles'!$CP$27:$CV$27,1,AD333))/12),IF(INDEX('Lease Cycles'!$EF$27:$EL$27,1,AD333)=1,IF(AND('Lease Cycles'!$AZ$27&gt;=INDEX('Lease Cycles'!$BG$27:$BM$27,1,AD333),'Lease Cycles'!$AZ$27&lt;=AD$6),'Lease Cycles'!$C$27*'Lease Cycles'!$BA$27/12,IF(AND('Lease Cycles'!$AX$27&gt;=INDEX('Lease Cycles'!$BG$27:$BM$27,1,AD333),'Lease Cycles'!$AX$27&lt;=AD$6),'Lease Cycles'!$C$27*'Lease Cycles'!$AY$27/12,IF(AND('Lease Cycles'!$AV$27&gt;=INDEX('Lease Cycles'!$BG$27:$BM$27,1,AD333),'Lease Cycles'!$AV$27&lt;=AD$6),'Lease Cycles'!$C$27*'Lease Cycles'!$AW$27/12,IF(AND('Lease Cycles'!$AT$27&gt;=INDEX('Lease Cycles'!$BG$27:$BM$27,1,AD333),'Lease Cycles'!$AT$27&lt;=AD$6),'Lease Cycles'!$C$27*'Lease Cycles'!$AU$27/12,'Lease Cycles'!$C$27*INDEX('Lease Cycles'!$CB$27:$CH$27,1,AD333)*(1+INDEX('Lease Cycles'!$CI$27:$CO$27,1,AD333))^INT(INT(AD334/12)/INDEX('Lease Cycles'!$CP$27:$CV$27,1,AD333))/12)))),'Lease Cycles'!$C$27*INDEX('Lease Cycles'!$CB$27:$CH$27,1,AD333)*(1+INDEX('Lease Cycles'!$CI$27:$CO$27,1,AD333))^INT(INT(AD334/12)/INDEX('Lease Cycles'!$CP$27:$CV$27,1,AD333))/12))),IF('Lease Cycles'!$N$27=1,'Lease Cycles'!$C$27*'Lease Cycles'!$E$27*INDEX('Lease Cycles'!$HE$27:$HK$27,1,AD333)*(1+INDEX('Lease Cycles'!$GQ$27:$GW$27,1,AD333))^INT(INT((AD$6-INDEX('Lease Cycles'!$GJ$27:$GP$27,1,AD333))/12)/INDEX('Lease Cycles'!$GX$27:$HD$27,1,AD333))/12,0)))</f>
        <v>0</v>
      </c>
      <c r="AE336" s="28">
        <f>IF(AE333=0,IF('Lease Cycles'!$F$27&gt;0,'Lease Cycles'!$C$27*'Lease Cycles'!$E$27/12,0),IF(AE335=1,IF('Lease Cycles'!$AT$27&gt;=9999,'Lease Cycles'!$C$27*INDEX('Lease Cycles'!$CB$27:$CH$27,1,AE333)*(1+INDEX('Lease Cycles'!$CI$27:$CO$27,1,AE333))^INT(INT(AE334/12)/INDEX('Lease Cycles'!$CP$27:$CV$27,1,AE333))/12,IF(AE333=1,IF(AE334&gt;=INDEX('Lease Cycles'!$DK$27:$DQ$27,1,AE333),IF(AE$6&gt;='Lease Cycles'!$AZ$27,'Lease Cycles'!$C$27*'Lease Cycles'!$BA$27/12,IF(AE$6&gt;='Lease Cycles'!$AX$27,'Lease Cycles'!$C$27*'Lease Cycles'!$AY$27/12,IF(AE$6&gt;='Lease Cycles'!$AV$27,'Lease Cycles'!$C$27*'Lease Cycles'!$AW$27/12,IF(AE$6&gt;='Lease Cycles'!$AT$27,'Lease Cycles'!$C$27*'Lease Cycles'!$AU$27/12,'Lease Cycles'!$C$27*INDEX('Lease Cycles'!$CB$27:$CH$27,1,AE333)*(1+INDEX('Lease Cycles'!$CI$27:$CO$27,1,AE333))^INT(INT(AE334/12)/INDEX('Lease Cycles'!$CP$27:$CV$27,1,AE333))/12)))),'Lease Cycles'!$C$27*INDEX('Lease Cycles'!$CB$27:$CH$27,1,AE333)*(1+INDEX('Lease Cycles'!$CI$27:$CO$27,1,AE333))^INT(INT(AE334/12)/INDEX('Lease Cycles'!$CP$27:$CV$27,1,AE333))/12),IF(INDEX('Lease Cycles'!$EF$27:$EL$27,1,AE333)=1,IF(AND('Lease Cycles'!$AZ$27&gt;=INDEX('Lease Cycles'!$BG$27:$BM$27,1,AE333),'Lease Cycles'!$AZ$27&lt;=AE$6),'Lease Cycles'!$C$27*'Lease Cycles'!$BA$27/12,IF(AND('Lease Cycles'!$AX$27&gt;=INDEX('Lease Cycles'!$BG$27:$BM$27,1,AE333),'Lease Cycles'!$AX$27&lt;=AE$6),'Lease Cycles'!$C$27*'Lease Cycles'!$AY$27/12,IF(AND('Lease Cycles'!$AV$27&gt;=INDEX('Lease Cycles'!$BG$27:$BM$27,1,AE333),'Lease Cycles'!$AV$27&lt;=AE$6),'Lease Cycles'!$C$27*'Lease Cycles'!$AW$27/12,IF(AND('Lease Cycles'!$AT$27&gt;=INDEX('Lease Cycles'!$BG$27:$BM$27,1,AE333),'Lease Cycles'!$AT$27&lt;=AE$6),'Lease Cycles'!$C$27*'Lease Cycles'!$AU$27/12,'Lease Cycles'!$C$27*INDEX('Lease Cycles'!$CB$27:$CH$27,1,AE333)*(1+INDEX('Lease Cycles'!$CI$27:$CO$27,1,AE333))^INT(INT(AE334/12)/INDEX('Lease Cycles'!$CP$27:$CV$27,1,AE333))/12)))),'Lease Cycles'!$C$27*INDEX('Lease Cycles'!$CB$27:$CH$27,1,AE333)*(1+INDEX('Lease Cycles'!$CI$27:$CO$27,1,AE333))^INT(INT(AE334/12)/INDEX('Lease Cycles'!$CP$27:$CV$27,1,AE333))/12))),IF('Lease Cycles'!$N$27=1,'Lease Cycles'!$C$27*'Lease Cycles'!$E$27*INDEX('Lease Cycles'!$HE$27:$HK$27,1,AE333)*(1+INDEX('Lease Cycles'!$GQ$27:$GW$27,1,AE333))^INT(INT((AE$6-INDEX('Lease Cycles'!$GJ$27:$GP$27,1,AE333))/12)/INDEX('Lease Cycles'!$GX$27:$HD$27,1,AE333))/12,0)))</f>
        <v>0</v>
      </c>
      <c r="AF336" s="28">
        <f>IF(AF333=0,IF('Lease Cycles'!$F$27&gt;0,'Lease Cycles'!$C$27*'Lease Cycles'!$E$27/12,0),IF(AF335=1,IF('Lease Cycles'!$AT$27&gt;=9999,'Lease Cycles'!$C$27*INDEX('Lease Cycles'!$CB$27:$CH$27,1,AF333)*(1+INDEX('Lease Cycles'!$CI$27:$CO$27,1,AF333))^INT(INT(AF334/12)/INDEX('Lease Cycles'!$CP$27:$CV$27,1,AF333))/12,IF(AF333=1,IF(AF334&gt;=INDEX('Lease Cycles'!$DK$27:$DQ$27,1,AF333),IF(AF$6&gt;='Lease Cycles'!$AZ$27,'Lease Cycles'!$C$27*'Lease Cycles'!$BA$27/12,IF(AF$6&gt;='Lease Cycles'!$AX$27,'Lease Cycles'!$C$27*'Lease Cycles'!$AY$27/12,IF(AF$6&gt;='Lease Cycles'!$AV$27,'Lease Cycles'!$C$27*'Lease Cycles'!$AW$27/12,IF(AF$6&gt;='Lease Cycles'!$AT$27,'Lease Cycles'!$C$27*'Lease Cycles'!$AU$27/12,'Lease Cycles'!$C$27*INDEX('Lease Cycles'!$CB$27:$CH$27,1,AF333)*(1+INDEX('Lease Cycles'!$CI$27:$CO$27,1,AF333))^INT(INT(AF334/12)/INDEX('Lease Cycles'!$CP$27:$CV$27,1,AF333))/12)))),'Lease Cycles'!$C$27*INDEX('Lease Cycles'!$CB$27:$CH$27,1,AF333)*(1+INDEX('Lease Cycles'!$CI$27:$CO$27,1,AF333))^INT(INT(AF334/12)/INDEX('Lease Cycles'!$CP$27:$CV$27,1,AF333))/12),IF(INDEX('Lease Cycles'!$EF$27:$EL$27,1,AF333)=1,IF(AND('Lease Cycles'!$AZ$27&gt;=INDEX('Lease Cycles'!$BG$27:$BM$27,1,AF333),'Lease Cycles'!$AZ$27&lt;=AF$6),'Lease Cycles'!$C$27*'Lease Cycles'!$BA$27/12,IF(AND('Lease Cycles'!$AX$27&gt;=INDEX('Lease Cycles'!$BG$27:$BM$27,1,AF333),'Lease Cycles'!$AX$27&lt;=AF$6),'Lease Cycles'!$C$27*'Lease Cycles'!$AY$27/12,IF(AND('Lease Cycles'!$AV$27&gt;=INDEX('Lease Cycles'!$BG$27:$BM$27,1,AF333),'Lease Cycles'!$AV$27&lt;=AF$6),'Lease Cycles'!$C$27*'Lease Cycles'!$AW$27/12,IF(AND('Lease Cycles'!$AT$27&gt;=INDEX('Lease Cycles'!$BG$27:$BM$27,1,AF333),'Lease Cycles'!$AT$27&lt;=AF$6),'Lease Cycles'!$C$27*'Lease Cycles'!$AU$27/12,'Lease Cycles'!$C$27*INDEX('Lease Cycles'!$CB$27:$CH$27,1,AF333)*(1+INDEX('Lease Cycles'!$CI$27:$CO$27,1,AF333))^INT(INT(AF334/12)/INDEX('Lease Cycles'!$CP$27:$CV$27,1,AF333))/12)))),'Lease Cycles'!$C$27*INDEX('Lease Cycles'!$CB$27:$CH$27,1,AF333)*(1+INDEX('Lease Cycles'!$CI$27:$CO$27,1,AF333))^INT(INT(AF334/12)/INDEX('Lease Cycles'!$CP$27:$CV$27,1,AF333))/12))),IF('Lease Cycles'!$N$27=1,'Lease Cycles'!$C$27*'Lease Cycles'!$E$27*INDEX('Lease Cycles'!$HE$27:$HK$27,1,AF333)*(1+INDEX('Lease Cycles'!$GQ$27:$GW$27,1,AF333))^INT(INT((AF$6-INDEX('Lease Cycles'!$GJ$27:$GP$27,1,AF333))/12)/INDEX('Lease Cycles'!$GX$27:$HD$27,1,AF333))/12,0)))</f>
        <v>0</v>
      </c>
      <c r="AG336" s="28">
        <f>IF(AG333=0,IF('Lease Cycles'!$F$27&gt;0,'Lease Cycles'!$C$27*'Lease Cycles'!$E$27/12,0),IF(AG335=1,IF('Lease Cycles'!$AT$27&gt;=9999,'Lease Cycles'!$C$27*INDEX('Lease Cycles'!$CB$27:$CH$27,1,AG333)*(1+INDEX('Lease Cycles'!$CI$27:$CO$27,1,AG333))^INT(INT(AG334/12)/INDEX('Lease Cycles'!$CP$27:$CV$27,1,AG333))/12,IF(AG333=1,IF(AG334&gt;=INDEX('Lease Cycles'!$DK$27:$DQ$27,1,AG333),IF(AG$6&gt;='Lease Cycles'!$AZ$27,'Lease Cycles'!$C$27*'Lease Cycles'!$BA$27/12,IF(AG$6&gt;='Lease Cycles'!$AX$27,'Lease Cycles'!$C$27*'Lease Cycles'!$AY$27/12,IF(AG$6&gt;='Lease Cycles'!$AV$27,'Lease Cycles'!$C$27*'Lease Cycles'!$AW$27/12,IF(AG$6&gt;='Lease Cycles'!$AT$27,'Lease Cycles'!$C$27*'Lease Cycles'!$AU$27/12,'Lease Cycles'!$C$27*INDEX('Lease Cycles'!$CB$27:$CH$27,1,AG333)*(1+INDEX('Lease Cycles'!$CI$27:$CO$27,1,AG333))^INT(INT(AG334/12)/INDEX('Lease Cycles'!$CP$27:$CV$27,1,AG333))/12)))),'Lease Cycles'!$C$27*INDEX('Lease Cycles'!$CB$27:$CH$27,1,AG333)*(1+INDEX('Lease Cycles'!$CI$27:$CO$27,1,AG333))^INT(INT(AG334/12)/INDEX('Lease Cycles'!$CP$27:$CV$27,1,AG333))/12),IF(INDEX('Lease Cycles'!$EF$27:$EL$27,1,AG333)=1,IF(AND('Lease Cycles'!$AZ$27&gt;=INDEX('Lease Cycles'!$BG$27:$BM$27,1,AG333),'Lease Cycles'!$AZ$27&lt;=AG$6),'Lease Cycles'!$C$27*'Lease Cycles'!$BA$27/12,IF(AND('Lease Cycles'!$AX$27&gt;=INDEX('Lease Cycles'!$BG$27:$BM$27,1,AG333),'Lease Cycles'!$AX$27&lt;=AG$6),'Lease Cycles'!$C$27*'Lease Cycles'!$AY$27/12,IF(AND('Lease Cycles'!$AV$27&gt;=INDEX('Lease Cycles'!$BG$27:$BM$27,1,AG333),'Lease Cycles'!$AV$27&lt;=AG$6),'Lease Cycles'!$C$27*'Lease Cycles'!$AW$27/12,IF(AND('Lease Cycles'!$AT$27&gt;=INDEX('Lease Cycles'!$BG$27:$BM$27,1,AG333),'Lease Cycles'!$AT$27&lt;=AG$6),'Lease Cycles'!$C$27*'Lease Cycles'!$AU$27/12,'Lease Cycles'!$C$27*INDEX('Lease Cycles'!$CB$27:$CH$27,1,AG333)*(1+INDEX('Lease Cycles'!$CI$27:$CO$27,1,AG333))^INT(INT(AG334/12)/INDEX('Lease Cycles'!$CP$27:$CV$27,1,AG333))/12)))),'Lease Cycles'!$C$27*INDEX('Lease Cycles'!$CB$27:$CH$27,1,AG333)*(1+INDEX('Lease Cycles'!$CI$27:$CO$27,1,AG333))^INT(INT(AG334/12)/INDEX('Lease Cycles'!$CP$27:$CV$27,1,AG333))/12))),IF('Lease Cycles'!$N$27=1,'Lease Cycles'!$C$27*'Lease Cycles'!$E$27*INDEX('Lease Cycles'!$HE$27:$HK$27,1,AG333)*(1+INDEX('Lease Cycles'!$GQ$27:$GW$27,1,AG333))^INT(INT((AG$6-INDEX('Lease Cycles'!$GJ$27:$GP$27,1,AG333))/12)/INDEX('Lease Cycles'!$GX$27:$HD$27,1,AG333))/12,0)))</f>
        <v>0</v>
      </c>
      <c r="AH336" s="28">
        <f>IF(AH333=0,IF('Lease Cycles'!$F$27&gt;0,'Lease Cycles'!$C$27*'Lease Cycles'!$E$27/12,0),IF(AH335=1,IF('Lease Cycles'!$AT$27&gt;=9999,'Lease Cycles'!$C$27*INDEX('Lease Cycles'!$CB$27:$CH$27,1,AH333)*(1+INDEX('Lease Cycles'!$CI$27:$CO$27,1,AH333))^INT(INT(AH334/12)/INDEX('Lease Cycles'!$CP$27:$CV$27,1,AH333))/12,IF(AH333=1,IF(AH334&gt;=INDEX('Lease Cycles'!$DK$27:$DQ$27,1,AH333),IF(AH$6&gt;='Lease Cycles'!$AZ$27,'Lease Cycles'!$C$27*'Lease Cycles'!$BA$27/12,IF(AH$6&gt;='Lease Cycles'!$AX$27,'Lease Cycles'!$C$27*'Lease Cycles'!$AY$27/12,IF(AH$6&gt;='Lease Cycles'!$AV$27,'Lease Cycles'!$C$27*'Lease Cycles'!$AW$27/12,IF(AH$6&gt;='Lease Cycles'!$AT$27,'Lease Cycles'!$C$27*'Lease Cycles'!$AU$27/12,'Lease Cycles'!$C$27*INDEX('Lease Cycles'!$CB$27:$CH$27,1,AH333)*(1+INDEX('Lease Cycles'!$CI$27:$CO$27,1,AH333))^INT(INT(AH334/12)/INDEX('Lease Cycles'!$CP$27:$CV$27,1,AH333))/12)))),'Lease Cycles'!$C$27*INDEX('Lease Cycles'!$CB$27:$CH$27,1,AH333)*(1+INDEX('Lease Cycles'!$CI$27:$CO$27,1,AH333))^INT(INT(AH334/12)/INDEX('Lease Cycles'!$CP$27:$CV$27,1,AH333))/12),IF(INDEX('Lease Cycles'!$EF$27:$EL$27,1,AH333)=1,IF(AND('Lease Cycles'!$AZ$27&gt;=INDEX('Lease Cycles'!$BG$27:$BM$27,1,AH333),'Lease Cycles'!$AZ$27&lt;=AH$6),'Lease Cycles'!$C$27*'Lease Cycles'!$BA$27/12,IF(AND('Lease Cycles'!$AX$27&gt;=INDEX('Lease Cycles'!$BG$27:$BM$27,1,AH333),'Lease Cycles'!$AX$27&lt;=AH$6),'Lease Cycles'!$C$27*'Lease Cycles'!$AY$27/12,IF(AND('Lease Cycles'!$AV$27&gt;=INDEX('Lease Cycles'!$BG$27:$BM$27,1,AH333),'Lease Cycles'!$AV$27&lt;=AH$6),'Lease Cycles'!$C$27*'Lease Cycles'!$AW$27/12,IF(AND('Lease Cycles'!$AT$27&gt;=INDEX('Lease Cycles'!$BG$27:$BM$27,1,AH333),'Lease Cycles'!$AT$27&lt;=AH$6),'Lease Cycles'!$C$27*'Lease Cycles'!$AU$27/12,'Lease Cycles'!$C$27*INDEX('Lease Cycles'!$CB$27:$CH$27,1,AH333)*(1+INDEX('Lease Cycles'!$CI$27:$CO$27,1,AH333))^INT(INT(AH334/12)/INDEX('Lease Cycles'!$CP$27:$CV$27,1,AH333))/12)))),'Lease Cycles'!$C$27*INDEX('Lease Cycles'!$CB$27:$CH$27,1,AH333)*(1+INDEX('Lease Cycles'!$CI$27:$CO$27,1,AH333))^INT(INT(AH334/12)/INDEX('Lease Cycles'!$CP$27:$CV$27,1,AH333))/12))),IF('Lease Cycles'!$N$27=1,'Lease Cycles'!$C$27*'Lease Cycles'!$E$27*INDEX('Lease Cycles'!$HE$27:$HK$27,1,AH333)*(1+INDEX('Lease Cycles'!$GQ$27:$GW$27,1,AH333))^INT(INT((AH$6-INDEX('Lease Cycles'!$GJ$27:$GP$27,1,AH333))/12)/INDEX('Lease Cycles'!$GX$27:$HD$27,1,AH333))/12,0)))</f>
        <v>0</v>
      </c>
      <c r="AI336" s="28">
        <f>IF(AI333=0,IF('Lease Cycles'!$F$27&gt;0,'Lease Cycles'!$C$27*'Lease Cycles'!$E$27/12,0),IF(AI335=1,IF('Lease Cycles'!$AT$27&gt;=9999,'Lease Cycles'!$C$27*INDEX('Lease Cycles'!$CB$27:$CH$27,1,AI333)*(1+INDEX('Lease Cycles'!$CI$27:$CO$27,1,AI333))^INT(INT(AI334/12)/INDEX('Lease Cycles'!$CP$27:$CV$27,1,AI333))/12,IF(AI333=1,IF(AI334&gt;=INDEX('Lease Cycles'!$DK$27:$DQ$27,1,AI333),IF(AI$6&gt;='Lease Cycles'!$AZ$27,'Lease Cycles'!$C$27*'Lease Cycles'!$BA$27/12,IF(AI$6&gt;='Lease Cycles'!$AX$27,'Lease Cycles'!$C$27*'Lease Cycles'!$AY$27/12,IF(AI$6&gt;='Lease Cycles'!$AV$27,'Lease Cycles'!$C$27*'Lease Cycles'!$AW$27/12,IF(AI$6&gt;='Lease Cycles'!$AT$27,'Lease Cycles'!$C$27*'Lease Cycles'!$AU$27/12,'Lease Cycles'!$C$27*INDEX('Lease Cycles'!$CB$27:$CH$27,1,AI333)*(1+INDEX('Lease Cycles'!$CI$27:$CO$27,1,AI333))^INT(INT(AI334/12)/INDEX('Lease Cycles'!$CP$27:$CV$27,1,AI333))/12)))),'Lease Cycles'!$C$27*INDEX('Lease Cycles'!$CB$27:$CH$27,1,AI333)*(1+INDEX('Lease Cycles'!$CI$27:$CO$27,1,AI333))^INT(INT(AI334/12)/INDEX('Lease Cycles'!$CP$27:$CV$27,1,AI333))/12),IF(INDEX('Lease Cycles'!$EF$27:$EL$27,1,AI333)=1,IF(AND('Lease Cycles'!$AZ$27&gt;=INDEX('Lease Cycles'!$BG$27:$BM$27,1,AI333),'Lease Cycles'!$AZ$27&lt;=AI$6),'Lease Cycles'!$C$27*'Lease Cycles'!$BA$27/12,IF(AND('Lease Cycles'!$AX$27&gt;=INDEX('Lease Cycles'!$BG$27:$BM$27,1,AI333),'Lease Cycles'!$AX$27&lt;=AI$6),'Lease Cycles'!$C$27*'Lease Cycles'!$AY$27/12,IF(AND('Lease Cycles'!$AV$27&gt;=INDEX('Lease Cycles'!$BG$27:$BM$27,1,AI333),'Lease Cycles'!$AV$27&lt;=AI$6),'Lease Cycles'!$C$27*'Lease Cycles'!$AW$27/12,IF(AND('Lease Cycles'!$AT$27&gt;=INDEX('Lease Cycles'!$BG$27:$BM$27,1,AI333),'Lease Cycles'!$AT$27&lt;=AI$6),'Lease Cycles'!$C$27*'Lease Cycles'!$AU$27/12,'Lease Cycles'!$C$27*INDEX('Lease Cycles'!$CB$27:$CH$27,1,AI333)*(1+INDEX('Lease Cycles'!$CI$27:$CO$27,1,AI333))^INT(INT(AI334/12)/INDEX('Lease Cycles'!$CP$27:$CV$27,1,AI333))/12)))),'Lease Cycles'!$C$27*INDEX('Lease Cycles'!$CB$27:$CH$27,1,AI333)*(1+INDEX('Lease Cycles'!$CI$27:$CO$27,1,AI333))^INT(INT(AI334/12)/INDEX('Lease Cycles'!$CP$27:$CV$27,1,AI333))/12))),IF('Lease Cycles'!$N$27=1,'Lease Cycles'!$C$27*'Lease Cycles'!$E$27*INDEX('Lease Cycles'!$HE$27:$HK$27,1,AI333)*(1+INDEX('Lease Cycles'!$GQ$27:$GW$27,1,AI333))^INT(INT((AI$6-INDEX('Lease Cycles'!$GJ$27:$GP$27,1,AI333))/12)/INDEX('Lease Cycles'!$GX$27:$HD$27,1,AI333))/12,0)))</f>
        <v>0</v>
      </c>
      <c r="AJ336" s="28">
        <f>IF(AJ333=0,IF('Lease Cycles'!$F$27&gt;0,'Lease Cycles'!$C$27*'Lease Cycles'!$E$27/12,0),IF(AJ335=1,IF('Lease Cycles'!$AT$27&gt;=9999,'Lease Cycles'!$C$27*INDEX('Lease Cycles'!$CB$27:$CH$27,1,AJ333)*(1+INDEX('Lease Cycles'!$CI$27:$CO$27,1,AJ333))^INT(INT(AJ334/12)/INDEX('Lease Cycles'!$CP$27:$CV$27,1,AJ333))/12,IF(AJ333=1,IF(AJ334&gt;=INDEX('Lease Cycles'!$DK$27:$DQ$27,1,AJ333),IF(AJ$6&gt;='Lease Cycles'!$AZ$27,'Lease Cycles'!$C$27*'Lease Cycles'!$BA$27/12,IF(AJ$6&gt;='Lease Cycles'!$AX$27,'Lease Cycles'!$C$27*'Lease Cycles'!$AY$27/12,IF(AJ$6&gt;='Lease Cycles'!$AV$27,'Lease Cycles'!$C$27*'Lease Cycles'!$AW$27/12,IF(AJ$6&gt;='Lease Cycles'!$AT$27,'Lease Cycles'!$C$27*'Lease Cycles'!$AU$27/12,'Lease Cycles'!$C$27*INDEX('Lease Cycles'!$CB$27:$CH$27,1,AJ333)*(1+INDEX('Lease Cycles'!$CI$27:$CO$27,1,AJ333))^INT(INT(AJ334/12)/INDEX('Lease Cycles'!$CP$27:$CV$27,1,AJ333))/12)))),'Lease Cycles'!$C$27*INDEX('Lease Cycles'!$CB$27:$CH$27,1,AJ333)*(1+INDEX('Lease Cycles'!$CI$27:$CO$27,1,AJ333))^INT(INT(AJ334/12)/INDEX('Lease Cycles'!$CP$27:$CV$27,1,AJ333))/12),IF(INDEX('Lease Cycles'!$EF$27:$EL$27,1,AJ333)=1,IF(AND('Lease Cycles'!$AZ$27&gt;=INDEX('Lease Cycles'!$BG$27:$BM$27,1,AJ333),'Lease Cycles'!$AZ$27&lt;=AJ$6),'Lease Cycles'!$C$27*'Lease Cycles'!$BA$27/12,IF(AND('Lease Cycles'!$AX$27&gt;=INDEX('Lease Cycles'!$BG$27:$BM$27,1,AJ333),'Lease Cycles'!$AX$27&lt;=AJ$6),'Lease Cycles'!$C$27*'Lease Cycles'!$AY$27/12,IF(AND('Lease Cycles'!$AV$27&gt;=INDEX('Lease Cycles'!$BG$27:$BM$27,1,AJ333),'Lease Cycles'!$AV$27&lt;=AJ$6),'Lease Cycles'!$C$27*'Lease Cycles'!$AW$27/12,IF(AND('Lease Cycles'!$AT$27&gt;=INDEX('Lease Cycles'!$BG$27:$BM$27,1,AJ333),'Lease Cycles'!$AT$27&lt;=AJ$6),'Lease Cycles'!$C$27*'Lease Cycles'!$AU$27/12,'Lease Cycles'!$C$27*INDEX('Lease Cycles'!$CB$27:$CH$27,1,AJ333)*(1+INDEX('Lease Cycles'!$CI$27:$CO$27,1,AJ333))^INT(INT(AJ334/12)/INDEX('Lease Cycles'!$CP$27:$CV$27,1,AJ333))/12)))),'Lease Cycles'!$C$27*INDEX('Lease Cycles'!$CB$27:$CH$27,1,AJ333)*(1+INDEX('Lease Cycles'!$CI$27:$CO$27,1,AJ333))^INT(INT(AJ334/12)/INDEX('Lease Cycles'!$CP$27:$CV$27,1,AJ333))/12))),IF('Lease Cycles'!$N$27=1,'Lease Cycles'!$C$27*'Lease Cycles'!$E$27*INDEX('Lease Cycles'!$HE$27:$HK$27,1,AJ333)*(1+INDEX('Lease Cycles'!$GQ$27:$GW$27,1,AJ333))^INT(INT((AJ$6-INDEX('Lease Cycles'!$GJ$27:$GP$27,1,AJ333))/12)/INDEX('Lease Cycles'!$GX$27:$HD$27,1,AJ333))/12,0)))</f>
        <v>0</v>
      </c>
      <c r="AK336" s="28">
        <f>IF(AK333=0,IF('Lease Cycles'!$F$27&gt;0,'Lease Cycles'!$C$27*'Lease Cycles'!$E$27/12,0),IF(AK335=1,IF('Lease Cycles'!$AT$27&gt;=9999,'Lease Cycles'!$C$27*INDEX('Lease Cycles'!$CB$27:$CH$27,1,AK333)*(1+INDEX('Lease Cycles'!$CI$27:$CO$27,1,AK333))^INT(INT(AK334/12)/INDEX('Lease Cycles'!$CP$27:$CV$27,1,AK333))/12,IF(AK333=1,IF(AK334&gt;=INDEX('Lease Cycles'!$DK$27:$DQ$27,1,AK333),IF(AK$6&gt;='Lease Cycles'!$AZ$27,'Lease Cycles'!$C$27*'Lease Cycles'!$BA$27/12,IF(AK$6&gt;='Lease Cycles'!$AX$27,'Lease Cycles'!$C$27*'Lease Cycles'!$AY$27/12,IF(AK$6&gt;='Lease Cycles'!$AV$27,'Lease Cycles'!$C$27*'Lease Cycles'!$AW$27/12,IF(AK$6&gt;='Lease Cycles'!$AT$27,'Lease Cycles'!$C$27*'Lease Cycles'!$AU$27/12,'Lease Cycles'!$C$27*INDEX('Lease Cycles'!$CB$27:$CH$27,1,AK333)*(1+INDEX('Lease Cycles'!$CI$27:$CO$27,1,AK333))^INT(INT(AK334/12)/INDEX('Lease Cycles'!$CP$27:$CV$27,1,AK333))/12)))),'Lease Cycles'!$C$27*INDEX('Lease Cycles'!$CB$27:$CH$27,1,AK333)*(1+INDEX('Lease Cycles'!$CI$27:$CO$27,1,AK333))^INT(INT(AK334/12)/INDEX('Lease Cycles'!$CP$27:$CV$27,1,AK333))/12),IF(INDEX('Lease Cycles'!$EF$27:$EL$27,1,AK333)=1,IF(AND('Lease Cycles'!$AZ$27&gt;=INDEX('Lease Cycles'!$BG$27:$BM$27,1,AK333),'Lease Cycles'!$AZ$27&lt;=AK$6),'Lease Cycles'!$C$27*'Lease Cycles'!$BA$27/12,IF(AND('Lease Cycles'!$AX$27&gt;=INDEX('Lease Cycles'!$BG$27:$BM$27,1,AK333),'Lease Cycles'!$AX$27&lt;=AK$6),'Lease Cycles'!$C$27*'Lease Cycles'!$AY$27/12,IF(AND('Lease Cycles'!$AV$27&gt;=INDEX('Lease Cycles'!$BG$27:$BM$27,1,AK333),'Lease Cycles'!$AV$27&lt;=AK$6),'Lease Cycles'!$C$27*'Lease Cycles'!$AW$27/12,IF(AND('Lease Cycles'!$AT$27&gt;=INDEX('Lease Cycles'!$BG$27:$BM$27,1,AK333),'Lease Cycles'!$AT$27&lt;=AK$6),'Lease Cycles'!$C$27*'Lease Cycles'!$AU$27/12,'Lease Cycles'!$C$27*INDEX('Lease Cycles'!$CB$27:$CH$27,1,AK333)*(1+INDEX('Lease Cycles'!$CI$27:$CO$27,1,AK333))^INT(INT(AK334/12)/INDEX('Lease Cycles'!$CP$27:$CV$27,1,AK333))/12)))),'Lease Cycles'!$C$27*INDEX('Lease Cycles'!$CB$27:$CH$27,1,AK333)*(1+INDEX('Lease Cycles'!$CI$27:$CO$27,1,AK333))^INT(INT(AK334/12)/INDEX('Lease Cycles'!$CP$27:$CV$27,1,AK333))/12))),IF('Lease Cycles'!$N$27=1,'Lease Cycles'!$C$27*'Lease Cycles'!$E$27*INDEX('Lease Cycles'!$HE$27:$HK$27,1,AK333)*(1+INDEX('Lease Cycles'!$GQ$27:$GW$27,1,AK333))^INT(INT((AK$6-INDEX('Lease Cycles'!$GJ$27:$GP$27,1,AK333))/12)/INDEX('Lease Cycles'!$GX$27:$HD$27,1,AK333))/12,0)))</f>
        <v>0</v>
      </c>
      <c r="AL336" s="28">
        <f>IF(AL333=0,IF('Lease Cycles'!$F$27&gt;0,'Lease Cycles'!$C$27*'Lease Cycles'!$E$27/12,0),IF(AL335=1,IF('Lease Cycles'!$AT$27&gt;=9999,'Lease Cycles'!$C$27*INDEX('Lease Cycles'!$CB$27:$CH$27,1,AL333)*(1+INDEX('Lease Cycles'!$CI$27:$CO$27,1,AL333))^INT(INT(AL334/12)/INDEX('Lease Cycles'!$CP$27:$CV$27,1,AL333))/12,IF(AL333=1,IF(AL334&gt;=INDEX('Lease Cycles'!$DK$27:$DQ$27,1,AL333),IF(AL$6&gt;='Lease Cycles'!$AZ$27,'Lease Cycles'!$C$27*'Lease Cycles'!$BA$27/12,IF(AL$6&gt;='Lease Cycles'!$AX$27,'Lease Cycles'!$C$27*'Lease Cycles'!$AY$27/12,IF(AL$6&gt;='Lease Cycles'!$AV$27,'Lease Cycles'!$C$27*'Lease Cycles'!$AW$27/12,IF(AL$6&gt;='Lease Cycles'!$AT$27,'Lease Cycles'!$C$27*'Lease Cycles'!$AU$27/12,'Lease Cycles'!$C$27*INDEX('Lease Cycles'!$CB$27:$CH$27,1,AL333)*(1+INDEX('Lease Cycles'!$CI$27:$CO$27,1,AL333))^INT(INT(AL334/12)/INDEX('Lease Cycles'!$CP$27:$CV$27,1,AL333))/12)))),'Lease Cycles'!$C$27*INDEX('Lease Cycles'!$CB$27:$CH$27,1,AL333)*(1+INDEX('Lease Cycles'!$CI$27:$CO$27,1,AL333))^INT(INT(AL334/12)/INDEX('Lease Cycles'!$CP$27:$CV$27,1,AL333))/12),IF(INDEX('Lease Cycles'!$EF$27:$EL$27,1,AL333)=1,IF(AND('Lease Cycles'!$AZ$27&gt;=INDEX('Lease Cycles'!$BG$27:$BM$27,1,AL333),'Lease Cycles'!$AZ$27&lt;=AL$6),'Lease Cycles'!$C$27*'Lease Cycles'!$BA$27/12,IF(AND('Lease Cycles'!$AX$27&gt;=INDEX('Lease Cycles'!$BG$27:$BM$27,1,AL333),'Lease Cycles'!$AX$27&lt;=AL$6),'Lease Cycles'!$C$27*'Lease Cycles'!$AY$27/12,IF(AND('Lease Cycles'!$AV$27&gt;=INDEX('Lease Cycles'!$BG$27:$BM$27,1,AL333),'Lease Cycles'!$AV$27&lt;=AL$6),'Lease Cycles'!$C$27*'Lease Cycles'!$AW$27/12,IF(AND('Lease Cycles'!$AT$27&gt;=INDEX('Lease Cycles'!$BG$27:$BM$27,1,AL333),'Lease Cycles'!$AT$27&lt;=AL$6),'Lease Cycles'!$C$27*'Lease Cycles'!$AU$27/12,'Lease Cycles'!$C$27*INDEX('Lease Cycles'!$CB$27:$CH$27,1,AL333)*(1+INDEX('Lease Cycles'!$CI$27:$CO$27,1,AL333))^INT(INT(AL334/12)/INDEX('Lease Cycles'!$CP$27:$CV$27,1,AL333))/12)))),'Lease Cycles'!$C$27*INDEX('Lease Cycles'!$CB$27:$CH$27,1,AL333)*(1+INDEX('Lease Cycles'!$CI$27:$CO$27,1,AL333))^INT(INT(AL334/12)/INDEX('Lease Cycles'!$CP$27:$CV$27,1,AL333))/12))),IF('Lease Cycles'!$N$27=1,'Lease Cycles'!$C$27*'Lease Cycles'!$E$27*INDEX('Lease Cycles'!$HE$27:$HK$27,1,AL333)*(1+INDEX('Lease Cycles'!$GQ$27:$GW$27,1,AL333))^INT(INT((AL$6-INDEX('Lease Cycles'!$GJ$27:$GP$27,1,AL333))/12)/INDEX('Lease Cycles'!$GX$27:$HD$27,1,AL333))/12,0)))</f>
        <v>0</v>
      </c>
      <c r="AM336" s="28">
        <f>IF(AM333=0,IF('Lease Cycles'!$F$27&gt;0,'Lease Cycles'!$C$27*'Lease Cycles'!$E$27/12,0),IF(AM335=1,IF('Lease Cycles'!$AT$27&gt;=9999,'Lease Cycles'!$C$27*INDEX('Lease Cycles'!$CB$27:$CH$27,1,AM333)*(1+INDEX('Lease Cycles'!$CI$27:$CO$27,1,AM333))^INT(INT(AM334/12)/INDEX('Lease Cycles'!$CP$27:$CV$27,1,AM333))/12,IF(AM333=1,IF(AM334&gt;=INDEX('Lease Cycles'!$DK$27:$DQ$27,1,AM333),IF(AM$6&gt;='Lease Cycles'!$AZ$27,'Lease Cycles'!$C$27*'Lease Cycles'!$BA$27/12,IF(AM$6&gt;='Lease Cycles'!$AX$27,'Lease Cycles'!$C$27*'Lease Cycles'!$AY$27/12,IF(AM$6&gt;='Lease Cycles'!$AV$27,'Lease Cycles'!$C$27*'Lease Cycles'!$AW$27/12,IF(AM$6&gt;='Lease Cycles'!$AT$27,'Lease Cycles'!$C$27*'Lease Cycles'!$AU$27/12,'Lease Cycles'!$C$27*INDEX('Lease Cycles'!$CB$27:$CH$27,1,AM333)*(1+INDEX('Lease Cycles'!$CI$27:$CO$27,1,AM333))^INT(INT(AM334/12)/INDEX('Lease Cycles'!$CP$27:$CV$27,1,AM333))/12)))),'Lease Cycles'!$C$27*INDEX('Lease Cycles'!$CB$27:$CH$27,1,AM333)*(1+INDEX('Lease Cycles'!$CI$27:$CO$27,1,AM333))^INT(INT(AM334/12)/INDEX('Lease Cycles'!$CP$27:$CV$27,1,AM333))/12),IF(INDEX('Lease Cycles'!$EF$27:$EL$27,1,AM333)=1,IF(AND('Lease Cycles'!$AZ$27&gt;=INDEX('Lease Cycles'!$BG$27:$BM$27,1,AM333),'Lease Cycles'!$AZ$27&lt;=AM$6),'Lease Cycles'!$C$27*'Lease Cycles'!$BA$27/12,IF(AND('Lease Cycles'!$AX$27&gt;=INDEX('Lease Cycles'!$BG$27:$BM$27,1,AM333),'Lease Cycles'!$AX$27&lt;=AM$6),'Lease Cycles'!$C$27*'Lease Cycles'!$AY$27/12,IF(AND('Lease Cycles'!$AV$27&gt;=INDEX('Lease Cycles'!$BG$27:$BM$27,1,AM333),'Lease Cycles'!$AV$27&lt;=AM$6),'Lease Cycles'!$C$27*'Lease Cycles'!$AW$27/12,IF(AND('Lease Cycles'!$AT$27&gt;=INDEX('Lease Cycles'!$BG$27:$BM$27,1,AM333),'Lease Cycles'!$AT$27&lt;=AM$6),'Lease Cycles'!$C$27*'Lease Cycles'!$AU$27/12,'Lease Cycles'!$C$27*INDEX('Lease Cycles'!$CB$27:$CH$27,1,AM333)*(1+INDEX('Lease Cycles'!$CI$27:$CO$27,1,AM333))^INT(INT(AM334/12)/INDEX('Lease Cycles'!$CP$27:$CV$27,1,AM333))/12)))),'Lease Cycles'!$C$27*INDEX('Lease Cycles'!$CB$27:$CH$27,1,AM333)*(1+INDEX('Lease Cycles'!$CI$27:$CO$27,1,AM333))^INT(INT(AM334/12)/INDEX('Lease Cycles'!$CP$27:$CV$27,1,AM333))/12))),IF('Lease Cycles'!$N$27=1,'Lease Cycles'!$C$27*'Lease Cycles'!$E$27*INDEX('Lease Cycles'!$HE$27:$HK$27,1,AM333)*(1+INDEX('Lease Cycles'!$GQ$27:$GW$27,1,AM333))^INT(INT((AM$6-INDEX('Lease Cycles'!$GJ$27:$GP$27,1,AM333))/12)/INDEX('Lease Cycles'!$GX$27:$HD$27,1,AM333))/12,0)))</f>
        <v>0</v>
      </c>
      <c r="AN336" s="28">
        <f>IF(AN333=0,IF('Lease Cycles'!$F$27&gt;0,'Lease Cycles'!$C$27*'Lease Cycles'!$E$27/12,0),IF(AN335=1,IF('Lease Cycles'!$AT$27&gt;=9999,'Lease Cycles'!$C$27*INDEX('Lease Cycles'!$CB$27:$CH$27,1,AN333)*(1+INDEX('Lease Cycles'!$CI$27:$CO$27,1,AN333))^INT(INT(AN334/12)/INDEX('Lease Cycles'!$CP$27:$CV$27,1,AN333))/12,IF(AN333=1,IF(AN334&gt;=INDEX('Lease Cycles'!$DK$27:$DQ$27,1,AN333),IF(AN$6&gt;='Lease Cycles'!$AZ$27,'Lease Cycles'!$C$27*'Lease Cycles'!$BA$27/12,IF(AN$6&gt;='Lease Cycles'!$AX$27,'Lease Cycles'!$C$27*'Lease Cycles'!$AY$27/12,IF(AN$6&gt;='Lease Cycles'!$AV$27,'Lease Cycles'!$C$27*'Lease Cycles'!$AW$27/12,IF(AN$6&gt;='Lease Cycles'!$AT$27,'Lease Cycles'!$C$27*'Lease Cycles'!$AU$27/12,'Lease Cycles'!$C$27*INDEX('Lease Cycles'!$CB$27:$CH$27,1,AN333)*(1+INDEX('Lease Cycles'!$CI$27:$CO$27,1,AN333))^INT(INT(AN334/12)/INDEX('Lease Cycles'!$CP$27:$CV$27,1,AN333))/12)))),'Lease Cycles'!$C$27*INDEX('Lease Cycles'!$CB$27:$CH$27,1,AN333)*(1+INDEX('Lease Cycles'!$CI$27:$CO$27,1,AN333))^INT(INT(AN334/12)/INDEX('Lease Cycles'!$CP$27:$CV$27,1,AN333))/12),IF(INDEX('Lease Cycles'!$EF$27:$EL$27,1,AN333)=1,IF(AND('Lease Cycles'!$AZ$27&gt;=INDEX('Lease Cycles'!$BG$27:$BM$27,1,AN333),'Lease Cycles'!$AZ$27&lt;=AN$6),'Lease Cycles'!$C$27*'Lease Cycles'!$BA$27/12,IF(AND('Lease Cycles'!$AX$27&gt;=INDEX('Lease Cycles'!$BG$27:$BM$27,1,AN333),'Lease Cycles'!$AX$27&lt;=AN$6),'Lease Cycles'!$C$27*'Lease Cycles'!$AY$27/12,IF(AND('Lease Cycles'!$AV$27&gt;=INDEX('Lease Cycles'!$BG$27:$BM$27,1,AN333),'Lease Cycles'!$AV$27&lt;=AN$6),'Lease Cycles'!$C$27*'Lease Cycles'!$AW$27/12,IF(AND('Lease Cycles'!$AT$27&gt;=INDEX('Lease Cycles'!$BG$27:$BM$27,1,AN333),'Lease Cycles'!$AT$27&lt;=AN$6),'Lease Cycles'!$C$27*'Lease Cycles'!$AU$27/12,'Lease Cycles'!$C$27*INDEX('Lease Cycles'!$CB$27:$CH$27,1,AN333)*(1+INDEX('Lease Cycles'!$CI$27:$CO$27,1,AN333))^INT(INT(AN334/12)/INDEX('Lease Cycles'!$CP$27:$CV$27,1,AN333))/12)))),'Lease Cycles'!$C$27*INDEX('Lease Cycles'!$CB$27:$CH$27,1,AN333)*(1+INDEX('Lease Cycles'!$CI$27:$CO$27,1,AN333))^INT(INT(AN334/12)/INDEX('Lease Cycles'!$CP$27:$CV$27,1,AN333))/12))),IF('Lease Cycles'!$N$27=1,'Lease Cycles'!$C$27*'Lease Cycles'!$E$27*INDEX('Lease Cycles'!$HE$27:$HK$27,1,AN333)*(1+INDEX('Lease Cycles'!$GQ$27:$GW$27,1,AN333))^INT(INT((AN$6-INDEX('Lease Cycles'!$GJ$27:$GP$27,1,AN333))/12)/INDEX('Lease Cycles'!$GX$27:$HD$27,1,AN333))/12,0)))</f>
        <v>0</v>
      </c>
      <c r="AO336" s="28">
        <f>IF(AO333=0,IF('Lease Cycles'!$F$27&gt;0,'Lease Cycles'!$C$27*'Lease Cycles'!$E$27/12,0),IF(AO335=1,IF('Lease Cycles'!$AT$27&gt;=9999,'Lease Cycles'!$C$27*INDEX('Lease Cycles'!$CB$27:$CH$27,1,AO333)*(1+INDEX('Lease Cycles'!$CI$27:$CO$27,1,AO333))^INT(INT(AO334/12)/INDEX('Lease Cycles'!$CP$27:$CV$27,1,AO333))/12,IF(AO333=1,IF(AO334&gt;=INDEX('Lease Cycles'!$DK$27:$DQ$27,1,AO333),IF(AO$6&gt;='Lease Cycles'!$AZ$27,'Lease Cycles'!$C$27*'Lease Cycles'!$BA$27/12,IF(AO$6&gt;='Lease Cycles'!$AX$27,'Lease Cycles'!$C$27*'Lease Cycles'!$AY$27/12,IF(AO$6&gt;='Lease Cycles'!$AV$27,'Lease Cycles'!$C$27*'Lease Cycles'!$AW$27/12,IF(AO$6&gt;='Lease Cycles'!$AT$27,'Lease Cycles'!$C$27*'Lease Cycles'!$AU$27/12,'Lease Cycles'!$C$27*INDEX('Lease Cycles'!$CB$27:$CH$27,1,AO333)*(1+INDEX('Lease Cycles'!$CI$27:$CO$27,1,AO333))^INT(INT(AO334/12)/INDEX('Lease Cycles'!$CP$27:$CV$27,1,AO333))/12)))),'Lease Cycles'!$C$27*INDEX('Lease Cycles'!$CB$27:$CH$27,1,AO333)*(1+INDEX('Lease Cycles'!$CI$27:$CO$27,1,AO333))^INT(INT(AO334/12)/INDEX('Lease Cycles'!$CP$27:$CV$27,1,AO333))/12),IF(INDEX('Lease Cycles'!$EF$27:$EL$27,1,AO333)=1,IF(AND('Lease Cycles'!$AZ$27&gt;=INDEX('Lease Cycles'!$BG$27:$BM$27,1,AO333),'Lease Cycles'!$AZ$27&lt;=AO$6),'Lease Cycles'!$C$27*'Lease Cycles'!$BA$27/12,IF(AND('Lease Cycles'!$AX$27&gt;=INDEX('Lease Cycles'!$BG$27:$BM$27,1,AO333),'Lease Cycles'!$AX$27&lt;=AO$6),'Lease Cycles'!$C$27*'Lease Cycles'!$AY$27/12,IF(AND('Lease Cycles'!$AV$27&gt;=INDEX('Lease Cycles'!$BG$27:$BM$27,1,AO333),'Lease Cycles'!$AV$27&lt;=AO$6),'Lease Cycles'!$C$27*'Lease Cycles'!$AW$27/12,IF(AND('Lease Cycles'!$AT$27&gt;=INDEX('Lease Cycles'!$BG$27:$BM$27,1,AO333),'Lease Cycles'!$AT$27&lt;=AO$6),'Lease Cycles'!$C$27*'Lease Cycles'!$AU$27/12,'Lease Cycles'!$C$27*INDEX('Lease Cycles'!$CB$27:$CH$27,1,AO333)*(1+INDEX('Lease Cycles'!$CI$27:$CO$27,1,AO333))^INT(INT(AO334/12)/INDEX('Lease Cycles'!$CP$27:$CV$27,1,AO333))/12)))),'Lease Cycles'!$C$27*INDEX('Lease Cycles'!$CB$27:$CH$27,1,AO333)*(1+INDEX('Lease Cycles'!$CI$27:$CO$27,1,AO333))^INT(INT(AO334/12)/INDEX('Lease Cycles'!$CP$27:$CV$27,1,AO333))/12))),IF('Lease Cycles'!$N$27=1,'Lease Cycles'!$C$27*'Lease Cycles'!$E$27*INDEX('Lease Cycles'!$HE$27:$HK$27,1,AO333)*(1+INDEX('Lease Cycles'!$GQ$27:$GW$27,1,AO333))^INT(INT((AO$6-INDEX('Lease Cycles'!$GJ$27:$GP$27,1,AO333))/12)/INDEX('Lease Cycles'!$GX$27:$HD$27,1,AO333))/12,0)))</f>
        <v>0</v>
      </c>
      <c r="AP336" s="28">
        <f>IF(AP333=0,IF('Lease Cycles'!$F$27&gt;0,'Lease Cycles'!$C$27*'Lease Cycles'!$E$27/12,0),IF(AP335=1,IF('Lease Cycles'!$AT$27&gt;=9999,'Lease Cycles'!$C$27*INDEX('Lease Cycles'!$CB$27:$CH$27,1,AP333)*(1+INDEX('Lease Cycles'!$CI$27:$CO$27,1,AP333))^INT(INT(AP334/12)/INDEX('Lease Cycles'!$CP$27:$CV$27,1,AP333))/12,IF(AP333=1,IF(AP334&gt;=INDEX('Lease Cycles'!$DK$27:$DQ$27,1,AP333),IF(AP$6&gt;='Lease Cycles'!$AZ$27,'Lease Cycles'!$C$27*'Lease Cycles'!$BA$27/12,IF(AP$6&gt;='Lease Cycles'!$AX$27,'Lease Cycles'!$C$27*'Lease Cycles'!$AY$27/12,IF(AP$6&gt;='Lease Cycles'!$AV$27,'Lease Cycles'!$C$27*'Lease Cycles'!$AW$27/12,IF(AP$6&gt;='Lease Cycles'!$AT$27,'Lease Cycles'!$C$27*'Lease Cycles'!$AU$27/12,'Lease Cycles'!$C$27*INDEX('Lease Cycles'!$CB$27:$CH$27,1,AP333)*(1+INDEX('Lease Cycles'!$CI$27:$CO$27,1,AP333))^INT(INT(AP334/12)/INDEX('Lease Cycles'!$CP$27:$CV$27,1,AP333))/12)))),'Lease Cycles'!$C$27*INDEX('Lease Cycles'!$CB$27:$CH$27,1,AP333)*(1+INDEX('Lease Cycles'!$CI$27:$CO$27,1,AP333))^INT(INT(AP334/12)/INDEX('Lease Cycles'!$CP$27:$CV$27,1,AP333))/12),IF(INDEX('Lease Cycles'!$EF$27:$EL$27,1,AP333)=1,IF(AND('Lease Cycles'!$AZ$27&gt;=INDEX('Lease Cycles'!$BG$27:$BM$27,1,AP333),'Lease Cycles'!$AZ$27&lt;=AP$6),'Lease Cycles'!$C$27*'Lease Cycles'!$BA$27/12,IF(AND('Lease Cycles'!$AX$27&gt;=INDEX('Lease Cycles'!$BG$27:$BM$27,1,AP333),'Lease Cycles'!$AX$27&lt;=AP$6),'Lease Cycles'!$C$27*'Lease Cycles'!$AY$27/12,IF(AND('Lease Cycles'!$AV$27&gt;=INDEX('Lease Cycles'!$BG$27:$BM$27,1,AP333),'Lease Cycles'!$AV$27&lt;=AP$6),'Lease Cycles'!$C$27*'Lease Cycles'!$AW$27/12,IF(AND('Lease Cycles'!$AT$27&gt;=INDEX('Lease Cycles'!$BG$27:$BM$27,1,AP333),'Lease Cycles'!$AT$27&lt;=AP$6),'Lease Cycles'!$C$27*'Lease Cycles'!$AU$27/12,'Lease Cycles'!$C$27*INDEX('Lease Cycles'!$CB$27:$CH$27,1,AP333)*(1+INDEX('Lease Cycles'!$CI$27:$CO$27,1,AP333))^INT(INT(AP334/12)/INDEX('Lease Cycles'!$CP$27:$CV$27,1,AP333))/12)))),'Lease Cycles'!$C$27*INDEX('Lease Cycles'!$CB$27:$CH$27,1,AP333)*(1+INDEX('Lease Cycles'!$CI$27:$CO$27,1,AP333))^INT(INT(AP334/12)/INDEX('Lease Cycles'!$CP$27:$CV$27,1,AP333))/12))),IF('Lease Cycles'!$N$27=1,'Lease Cycles'!$C$27*'Lease Cycles'!$E$27*INDEX('Lease Cycles'!$HE$27:$HK$27,1,AP333)*(1+INDEX('Lease Cycles'!$GQ$27:$GW$27,1,AP333))^INT(INT((AP$6-INDEX('Lease Cycles'!$GJ$27:$GP$27,1,AP333))/12)/INDEX('Lease Cycles'!$GX$27:$HD$27,1,AP333))/12,0)))</f>
        <v>0</v>
      </c>
      <c r="AQ336" s="28">
        <f>IF(AQ333=0,IF('Lease Cycles'!$F$27&gt;0,'Lease Cycles'!$C$27*'Lease Cycles'!$E$27/12,0),IF(AQ335=1,IF('Lease Cycles'!$AT$27&gt;=9999,'Lease Cycles'!$C$27*INDEX('Lease Cycles'!$CB$27:$CH$27,1,AQ333)*(1+INDEX('Lease Cycles'!$CI$27:$CO$27,1,AQ333))^INT(INT(AQ334/12)/INDEX('Lease Cycles'!$CP$27:$CV$27,1,AQ333))/12,IF(AQ333=1,IF(AQ334&gt;=INDEX('Lease Cycles'!$DK$27:$DQ$27,1,AQ333),IF(AQ$6&gt;='Lease Cycles'!$AZ$27,'Lease Cycles'!$C$27*'Lease Cycles'!$BA$27/12,IF(AQ$6&gt;='Lease Cycles'!$AX$27,'Lease Cycles'!$C$27*'Lease Cycles'!$AY$27/12,IF(AQ$6&gt;='Lease Cycles'!$AV$27,'Lease Cycles'!$C$27*'Lease Cycles'!$AW$27/12,IF(AQ$6&gt;='Lease Cycles'!$AT$27,'Lease Cycles'!$C$27*'Lease Cycles'!$AU$27/12,'Lease Cycles'!$C$27*INDEX('Lease Cycles'!$CB$27:$CH$27,1,AQ333)*(1+INDEX('Lease Cycles'!$CI$27:$CO$27,1,AQ333))^INT(INT(AQ334/12)/INDEX('Lease Cycles'!$CP$27:$CV$27,1,AQ333))/12)))),'Lease Cycles'!$C$27*INDEX('Lease Cycles'!$CB$27:$CH$27,1,AQ333)*(1+INDEX('Lease Cycles'!$CI$27:$CO$27,1,AQ333))^INT(INT(AQ334/12)/INDEX('Lease Cycles'!$CP$27:$CV$27,1,AQ333))/12),IF(INDEX('Lease Cycles'!$EF$27:$EL$27,1,AQ333)=1,IF(AND('Lease Cycles'!$AZ$27&gt;=INDEX('Lease Cycles'!$BG$27:$BM$27,1,AQ333),'Lease Cycles'!$AZ$27&lt;=AQ$6),'Lease Cycles'!$C$27*'Lease Cycles'!$BA$27/12,IF(AND('Lease Cycles'!$AX$27&gt;=INDEX('Lease Cycles'!$BG$27:$BM$27,1,AQ333),'Lease Cycles'!$AX$27&lt;=AQ$6),'Lease Cycles'!$C$27*'Lease Cycles'!$AY$27/12,IF(AND('Lease Cycles'!$AV$27&gt;=INDEX('Lease Cycles'!$BG$27:$BM$27,1,AQ333),'Lease Cycles'!$AV$27&lt;=AQ$6),'Lease Cycles'!$C$27*'Lease Cycles'!$AW$27/12,IF(AND('Lease Cycles'!$AT$27&gt;=INDEX('Lease Cycles'!$BG$27:$BM$27,1,AQ333),'Lease Cycles'!$AT$27&lt;=AQ$6),'Lease Cycles'!$C$27*'Lease Cycles'!$AU$27/12,'Lease Cycles'!$C$27*INDEX('Lease Cycles'!$CB$27:$CH$27,1,AQ333)*(1+INDEX('Lease Cycles'!$CI$27:$CO$27,1,AQ333))^INT(INT(AQ334/12)/INDEX('Lease Cycles'!$CP$27:$CV$27,1,AQ333))/12)))),'Lease Cycles'!$C$27*INDEX('Lease Cycles'!$CB$27:$CH$27,1,AQ333)*(1+INDEX('Lease Cycles'!$CI$27:$CO$27,1,AQ333))^INT(INT(AQ334/12)/INDEX('Lease Cycles'!$CP$27:$CV$27,1,AQ333))/12))),IF('Lease Cycles'!$N$27=1,'Lease Cycles'!$C$27*'Lease Cycles'!$E$27*INDEX('Lease Cycles'!$HE$27:$HK$27,1,AQ333)*(1+INDEX('Lease Cycles'!$GQ$27:$GW$27,1,AQ333))^INT(INT((AQ$6-INDEX('Lease Cycles'!$GJ$27:$GP$27,1,AQ333))/12)/INDEX('Lease Cycles'!$GX$27:$HD$27,1,AQ333))/12,0)))</f>
        <v>0</v>
      </c>
      <c r="AR336" s="28">
        <f>IF(AR333=0,IF('Lease Cycles'!$F$27&gt;0,'Lease Cycles'!$C$27*'Lease Cycles'!$E$27/12,0),IF(AR335=1,IF('Lease Cycles'!$AT$27&gt;=9999,'Lease Cycles'!$C$27*INDEX('Lease Cycles'!$CB$27:$CH$27,1,AR333)*(1+INDEX('Lease Cycles'!$CI$27:$CO$27,1,AR333))^INT(INT(AR334/12)/INDEX('Lease Cycles'!$CP$27:$CV$27,1,AR333))/12,IF(AR333=1,IF(AR334&gt;=INDEX('Lease Cycles'!$DK$27:$DQ$27,1,AR333),IF(AR$6&gt;='Lease Cycles'!$AZ$27,'Lease Cycles'!$C$27*'Lease Cycles'!$BA$27/12,IF(AR$6&gt;='Lease Cycles'!$AX$27,'Lease Cycles'!$C$27*'Lease Cycles'!$AY$27/12,IF(AR$6&gt;='Lease Cycles'!$AV$27,'Lease Cycles'!$C$27*'Lease Cycles'!$AW$27/12,IF(AR$6&gt;='Lease Cycles'!$AT$27,'Lease Cycles'!$C$27*'Lease Cycles'!$AU$27/12,'Lease Cycles'!$C$27*INDEX('Lease Cycles'!$CB$27:$CH$27,1,AR333)*(1+INDEX('Lease Cycles'!$CI$27:$CO$27,1,AR333))^INT(INT(AR334/12)/INDEX('Lease Cycles'!$CP$27:$CV$27,1,AR333))/12)))),'Lease Cycles'!$C$27*INDEX('Lease Cycles'!$CB$27:$CH$27,1,AR333)*(1+INDEX('Lease Cycles'!$CI$27:$CO$27,1,AR333))^INT(INT(AR334/12)/INDEX('Lease Cycles'!$CP$27:$CV$27,1,AR333))/12),IF(INDEX('Lease Cycles'!$EF$27:$EL$27,1,AR333)=1,IF(AND('Lease Cycles'!$AZ$27&gt;=INDEX('Lease Cycles'!$BG$27:$BM$27,1,AR333),'Lease Cycles'!$AZ$27&lt;=AR$6),'Lease Cycles'!$C$27*'Lease Cycles'!$BA$27/12,IF(AND('Lease Cycles'!$AX$27&gt;=INDEX('Lease Cycles'!$BG$27:$BM$27,1,AR333),'Lease Cycles'!$AX$27&lt;=AR$6),'Lease Cycles'!$C$27*'Lease Cycles'!$AY$27/12,IF(AND('Lease Cycles'!$AV$27&gt;=INDEX('Lease Cycles'!$BG$27:$BM$27,1,AR333),'Lease Cycles'!$AV$27&lt;=AR$6),'Lease Cycles'!$C$27*'Lease Cycles'!$AW$27/12,IF(AND('Lease Cycles'!$AT$27&gt;=INDEX('Lease Cycles'!$BG$27:$BM$27,1,AR333),'Lease Cycles'!$AT$27&lt;=AR$6),'Lease Cycles'!$C$27*'Lease Cycles'!$AU$27/12,'Lease Cycles'!$C$27*INDEX('Lease Cycles'!$CB$27:$CH$27,1,AR333)*(1+INDEX('Lease Cycles'!$CI$27:$CO$27,1,AR333))^INT(INT(AR334/12)/INDEX('Lease Cycles'!$CP$27:$CV$27,1,AR333))/12)))),'Lease Cycles'!$C$27*INDEX('Lease Cycles'!$CB$27:$CH$27,1,AR333)*(1+INDEX('Lease Cycles'!$CI$27:$CO$27,1,AR333))^INT(INT(AR334/12)/INDEX('Lease Cycles'!$CP$27:$CV$27,1,AR333))/12))),IF('Lease Cycles'!$N$27=1,'Lease Cycles'!$C$27*'Lease Cycles'!$E$27*INDEX('Lease Cycles'!$HE$27:$HK$27,1,AR333)*(1+INDEX('Lease Cycles'!$GQ$27:$GW$27,1,AR333))^INT(INT((AR$6-INDEX('Lease Cycles'!$GJ$27:$GP$27,1,AR333))/12)/INDEX('Lease Cycles'!$GX$27:$HD$27,1,AR333))/12,0)))</f>
        <v>0</v>
      </c>
      <c r="AS336" s="28">
        <f>IF(AS333=0,IF('Lease Cycles'!$F$27&gt;0,'Lease Cycles'!$C$27*'Lease Cycles'!$E$27/12,0),IF(AS335=1,IF('Lease Cycles'!$AT$27&gt;=9999,'Lease Cycles'!$C$27*INDEX('Lease Cycles'!$CB$27:$CH$27,1,AS333)*(1+INDEX('Lease Cycles'!$CI$27:$CO$27,1,AS333))^INT(INT(AS334/12)/INDEX('Lease Cycles'!$CP$27:$CV$27,1,AS333))/12,IF(AS333=1,IF(AS334&gt;=INDEX('Lease Cycles'!$DK$27:$DQ$27,1,AS333),IF(AS$6&gt;='Lease Cycles'!$AZ$27,'Lease Cycles'!$C$27*'Lease Cycles'!$BA$27/12,IF(AS$6&gt;='Lease Cycles'!$AX$27,'Lease Cycles'!$C$27*'Lease Cycles'!$AY$27/12,IF(AS$6&gt;='Lease Cycles'!$AV$27,'Lease Cycles'!$C$27*'Lease Cycles'!$AW$27/12,IF(AS$6&gt;='Lease Cycles'!$AT$27,'Lease Cycles'!$C$27*'Lease Cycles'!$AU$27/12,'Lease Cycles'!$C$27*INDEX('Lease Cycles'!$CB$27:$CH$27,1,AS333)*(1+INDEX('Lease Cycles'!$CI$27:$CO$27,1,AS333))^INT(INT(AS334/12)/INDEX('Lease Cycles'!$CP$27:$CV$27,1,AS333))/12)))),'Lease Cycles'!$C$27*INDEX('Lease Cycles'!$CB$27:$CH$27,1,AS333)*(1+INDEX('Lease Cycles'!$CI$27:$CO$27,1,AS333))^INT(INT(AS334/12)/INDEX('Lease Cycles'!$CP$27:$CV$27,1,AS333))/12),IF(INDEX('Lease Cycles'!$EF$27:$EL$27,1,AS333)=1,IF(AND('Lease Cycles'!$AZ$27&gt;=INDEX('Lease Cycles'!$BG$27:$BM$27,1,AS333),'Lease Cycles'!$AZ$27&lt;=AS$6),'Lease Cycles'!$C$27*'Lease Cycles'!$BA$27/12,IF(AND('Lease Cycles'!$AX$27&gt;=INDEX('Lease Cycles'!$BG$27:$BM$27,1,AS333),'Lease Cycles'!$AX$27&lt;=AS$6),'Lease Cycles'!$C$27*'Lease Cycles'!$AY$27/12,IF(AND('Lease Cycles'!$AV$27&gt;=INDEX('Lease Cycles'!$BG$27:$BM$27,1,AS333),'Lease Cycles'!$AV$27&lt;=AS$6),'Lease Cycles'!$C$27*'Lease Cycles'!$AW$27/12,IF(AND('Lease Cycles'!$AT$27&gt;=INDEX('Lease Cycles'!$BG$27:$BM$27,1,AS333),'Lease Cycles'!$AT$27&lt;=AS$6),'Lease Cycles'!$C$27*'Lease Cycles'!$AU$27/12,'Lease Cycles'!$C$27*INDEX('Lease Cycles'!$CB$27:$CH$27,1,AS333)*(1+INDEX('Lease Cycles'!$CI$27:$CO$27,1,AS333))^INT(INT(AS334/12)/INDEX('Lease Cycles'!$CP$27:$CV$27,1,AS333))/12)))),'Lease Cycles'!$C$27*INDEX('Lease Cycles'!$CB$27:$CH$27,1,AS333)*(1+INDEX('Lease Cycles'!$CI$27:$CO$27,1,AS333))^INT(INT(AS334/12)/INDEX('Lease Cycles'!$CP$27:$CV$27,1,AS333))/12))),IF('Lease Cycles'!$N$27=1,'Lease Cycles'!$C$27*'Lease Cycles'!$E$27*INDEX('Lease Cycles'!$HE$27:$HK$27,1,AS333)*(1+INDEX('Lease Cycles'!$GQ$27:$GW$27,1,AS333))^INT(INT((AS$6-INDEX('Lease Cycles'!$GJ$27:$GP$27,1,AS333))/12)/INDEX('Lease Cycles'!$GX$27:$HD$27,1,AS333))/12,0)))</f>
        <v>0</v>
      </c>
      <c r="AT336" s="28">
        <f>IF(AT333=0,IF('Lease Cycles'!$F$27&gt;0,'Lease Cycles'!$C$27*'Lease Cycles'!$E$27/12,0),IF(AT335=1,IF('Lease Cycles'!$AT$27&gt;=9999,'Lease Cycles'!$C$27*INDEX('Lease Cycles'!$CB$27:$CH$27,1,AT333)*(1+INDEX('Lease Cycles'!$CI$27:$CO$27,1,AT333))^INT(INT(AT334/12)/INDEX('Lease Cycles'!$CP$27:$CV$27,1,AT333))/12,IF(AT333=1,IF(AT334&gt;=INDEX('Lease Cycles'!$DK$27:$DQ$27,1,AT333),IF(AT$6&gt;='Lease Cycles'!$AZ$27,'Lease Cycles'!$C$27*'Lease Cycles'!$BA$27/12,IF(AT$6&gt;='Lease Cycles'!$AX$27,'Lease Cycles'!$C$27*'Lease Cycles'!$AY$27/12,IF(AT$6&gt;='Lease Cycles'!$AV$27,'Lease Cycles'!$C$27*'Lease Cycles'!$AW$27/12,IF(AT$6&gt;='Lease Cycles'!$AT$27,'Lease Cycles'!$C$27*'Lease Cycles'!$AU$27/12,'Lease Cycles'!$C$27*INDEX('Lease Cycles'!$CB$27:$CH$27,1,AT333)*(1+INDEX('Lease Cycles'!$CI$27:$CO$27,1,AT333))^INT(INT(AT334/12)/INDEX('Lease Cycles'!$CP$27:$CV$27,1,AT333))/12)))),'Lease Cycles'!$C$27*INDEX('Lease Cycles'!$CB$27:$CH$27,1,AT333)*(1+INDEX('Lease Cycles'!$CI$27:$CO$27,1,AT333))^INT(INT(AT334/12)/INDEX('Lease Cycles'!$CP$27:$CV$27,1,AT333))/12),IF(INDEX('Lease Cycles'!$EF$27:$EL$27,1,AT333)=1,IF(AND('Lease Cycles'!$AZ$27&gt;=INDEX('Lease Cycles'!$BG$27:$BM$27,1,AT333),'Lease Cycles'!$AZ$27&lt;=AT$6),'Lease Cycles'!$C$27*'Lease Cycles'!$BA$27/12,IF(AND('Lease Cycles'!$AX$27&gt;=INDEX('Lease Cycles'!$BG$27:$BM$27,1,AT333),'Lease Cycles'!$AX$27&lt;=AT$6),'Lease Cycles'!$C$27*'Lease Cycles'!$AY$27/12,IF(AND('Lease Cycles'!$AV$27&gt;=INDEX('Lease Cycles'!$BG$27:$BM$27,1,AT333),'Lease Cycles'!$AV$27&lt;=AT$6),'Lease Cycles'!$C$27*'Lease Cycles'!$AW$27/12,IF(AND('Lease Cycles'!$AT$27&gt;=INDEX('Lease Cycles'!$BG$27:$BM$27,1,AT333),'Lease Cycles'!$AT$27&lt;=AT$6),'Lease Cycles'!$C$27*'Lease Cycles'!$AU$27/12,'Lease Cycles'!$C$27*INDEX('Lease Cycles'!$CB$27:$CH$27,1,AT333)*(1+INDEX('Lease Cycles'!$CI$27:$CO$27,1,AT333))^INT(INT(AT334/12)/INDEX('Lease Cycles'!$CP$27:$CV$27,1,AT333))/12)))),'Lease Cycles'!$C$27*INDEX('Lease Cycles'!$CB$27:$CH$27,1,AT333)*(1+INDEX('Lease Cycles'!$CI$27:$CO$27,1,AT333))^INT(INT(AT334/12)/INDEX('Lease Cycles'!$CP$27:$CV$27,1,AT333))/12))),IF('Lease Cycles'!$N$27=1,'Lease Cycles'!$C$27*'Lease Cycles'!$E$27*INDEX('Lease Cycles'!$HE$27:$HK$27,1,AT333)*(1+INDEX('Lease Cycles'!$GQ$27:$GW$27,1,AT333))^INT(INT((AT$6-INDEX('Lease Cycles'!$GJ$27:$GP$27,1,AT333))/12)/INDEX('Lease Cycles'!$GX$27:$HD$27,1,AT333))/12,0)))</f>
        <v>0</v>
      </c>
      <c r="AU336" s="28">
        <f>IF(AU333=0,IF('Lease Cycles'!$F$27&gt;0,'Lease Cycles'!$C$27*'Lease Cycles'!$E$27/12,0),IF(AU335=1,IF('Lease Cycles'!$AT$27&gt;=9999,'Lease Cycles'!$C$27*INDEX('Lease Cycles'!$CB$27:$CH$27,1,AU333)*(1+INDEX('Lease Cycles'!$CI$27:$CO$27,1,AU333))^INT(INT(AU334/12)/INDEX('Lease Cycles'!$CP$27:$CV$27,1,AU333))/12,IF(AU333=1,IF(AU334&gt;=INDEX('Lease Cycles'!$DK$27:$DQ$27,1,AU333),IF(AU$6&gt;='Lease Cycles'!$AZ$27,'Lease Cycles'!$C$27*'Lease Cycles'!$BA$27/12,IF(AU$6&gt;='Lease Cycles'!$AX$27,'Lease Cycles'!$C$27*'Lease Cycles'!$AY$27/12,IF(AU$6&gt;='Lease Cycles'!$AV$27,'Lease Cycles'!$C$27*'Lease Cycles'!$AW$27/12,IF(AU$6&gt;='Lease Cycles'!$AT$27,'Lease Cycles'!$C$27*'Lease Cycles'!$AU$27/12,'Lease Cycles'!$C$27*INDEX('Lease Cycles'!$CB$27:$CH$27,1,AU333)*(1+INDEX('Lease Cycles'!$CI$27:$CO$27,1,AU333))^INT(INT(AU334/12)/INDEX('Lease Cycles'!$CP$27:$CV$27,1,AU333))/12)))),'Lease Cycles'!$C$27*INDEX('Lease Cycles'!$CB$27:$CH$27,1,AU333)*(1+INDEX('Lease Cycles'!$CI$27:$CO$27,1,AU333))^INT(INT(AU334/12)/INDEX('Lease Cycles'!$CP$27:$CV$27,1,AU333))/12),IF(INDEX('Lease Cycles'!$EF$27:$EL$27,1,AU333)=1,IF(AND('Lease Cycles'!$AZ$27&gt;=INDEX('Lease Cycles'!$BG$27:$BM$27,1,AU333),'Lease Cycles'!$AZ$27&lt;=AU$6),'Lease Cycles'!$C$27*'Lease Cycles'!$BA$27/12,IF(AND('Lease Cycles'!$AX$27&gt;=INDEX('Lease Cycles'!$BG$27:$BM$27,1,AU333),'Lease Cycles'!$AX$27&lt;=AU$6),'Lease Cycles'!$C$27*'Lease Cycles'!$AY$27/12,IF(AND('Lease Cycles'!$AV$27&gt;=INDEX('Lease Cycles'!$BG$27:$BM$27,1,AU333),'Lease Cycles'!$AV$27&lt;=AU$6),'Lease Cycles'!$C$27*'Lease Cycles'!$AW$27/12,IF(AND('Lease Cycles'!$AT$27&gt;=INDEX('Lease Cycles'!$BG$27:$BM$27,1,AU333),'Lease Cycles'!$AT$27&lt;=AU$6),'Lease Cycles'!$C$27*'Lease Cycles'!$AU$27/12,'Lease Cycles'!$C$27*INDEX('Lease Cycles'!$CB$27:$CH$27,1,AU333)*(1+INDEX('Lease Cycles'!$CI$27:$CO$27,1,AU333))^INT(INT(AU334/12)/INDEX('Lease Cycles'!$CP$27:$CV$27,1,AU333))/12)))),'Lease Cycles'!$C$27*INDEX('Lease Cycles'!$CB$27:$CH$27,1,AU333)*(1+INDEX('Lease Cycles'!$CI$27:$CO$27,1,AU333))^INT(INT(AU334/12)/INDEX('Lease Cycles'!$CP$27:$CV$27,1,AU333))/12))),IF('Lease Cycles'!$N$27=1,'Lease Cycles'!$C$27*'Lease Cycles'!$E$27*INDEX('Lease Cycles'!$HE$27:$HK$27,1,AU333)*(1+INDEX('Lease Cycles'!$GQ$27:$GW$27,1,AU333))^INT(INT((AU$6-INDEX('Lease Cycles'!$GJ$27:$GP$27,1,AU333))/12)/INDEX('Lease Cycles'!$GX$27:$HD$27,1,AU333))/12,0)))</f>
        <v>0</v>
      </c>
      <c r="AV336" s="28">
        <f>IF(AV333=0,IF('Lease Cycles'!$F$27&gt;0,'Lease Cycles'!$C$27*'Lease Cycles'!$E$27/12,0),IF(AV335=1,IF('Lease Cycles'!$AT$27&gt;=9999,'Lease Cycles'!$C$27*INDEX('Lease Cycles'!$CB$27:$CH$27,1,AV333)*(1+INDEX('Lease Cycles'!$CI$27:$CO$27,1,AV333))^INT(INT(AV334/12)/INDEX('Lease Cycles'!$CP$27:$CV$27,1,AV333))/12,IF(AV333=1,IF(AV334&gt;=INDEX('Lease Cycles'!$DK$27:$DQ$27,1,AV333),IF(AV$6&gt;='Lease Cycles'!$AZ$27,'Lease Cycles'!$C$27*'Lease Cycles'!$BA$27/12,IF(AV$6&gt;='Lease Cycles'!$AX$27,'Lease Cycles'!$C$27*'Lease Cycles'!$AY$27/12,IF(AV$6&gt;='Lease Cycles'!$AV$27,'Lease Cycles'!$C$27*'Lease Cycles'!$AW$27/12,IF(AV$6&gt;='Lease Cycles'!$AT$27,'Lease Cycles'!$C$27*'Lease Cycles'!$AU$27/12,'Lease Cycles'!$C$27*INDEX('Lease Cycles'!$CB$27:$CH$27,1,AV333)*(1+INDEX('Lease Cycles'!$CI$27:$CO$27,1,AV333))^INT(INT(AV334/12)/INDEX('Lease Cycles'!$CP$27:$CV$27,1,AV333))/12)))),'Lease Cycles'!$C$27*INDEX('Lease Cycles'!$CB$27:$CH$27,1,AV333)*(1+INDEX('Lease Cycles'!$CI$27:$CO$27,1,AV333))^INT(INT(AV334/12)/INDEX('Lease Cycles'!$CP$27:$CV$27,1,AV333))/12),IF(INDEX('Lease Cycles'!$EF$27:$EL$27,1,AV333)=1,IF(AND('Lease Cycles'!$AZ$27&gt;=INDEX('Lease Cycles'!$BG$27:$BM$27,1,AV333),'Lease Cycles'!$AZ$27&lt;=AV$6),'Lease Cycles'!$C$27*'Lease Cycles'!$BA$27/12,IF(AND('Lease Cycles'!$AX$27&gt;=INDEX('Lease Cycles'!$BG$27:$BM$27,1,AV333),'Lease Cycles'!$AX$27&lt;=AV$6),'Lease Cycles'!$C$27*'Lease Cycles'!$AY$27/12,IF(AND('Lease Cycles'!$AV$27&gt;=INDEX('Lease Cycles'!$BG$27:$BM$27,1,AV333),'Lease Cycles'!$AV$27&lt;=AV$6),'Lease Cycles'!$C$27*'Lease Cycles'!$AW$27/12,IF(AND('Lease Cycles'!$AT$27&gt;=INDEX('Lease Cycles'!$BG$27:$BM$27,1,AV333),'Lease Cycles'!$AT$27&lt;=AV$6),'Lease Cycles'!$C$27*'Lease Cycles'!$AU$27/12,'Lease Cycles'!$C$27*INDEX('Lease Cycles'!$CB$27:$CH$27,1,AV333)*(1+INDEX('Lease Cycles'!$CI$27:$CO$27,1,AV333))^INT(INT(AV334/12)/INDEX('Lease Cycles'!$CP$27:$CV$27,1,AV333))/12)))),'Lease Cycles'!$C$27*INDEX('Lease Cycles'!$CB$27:$CH$27,1,AV333)*(1+INDEX('Lease Cycles'!$CI$27:$CO$27,1,AV333))^INT(INT(AV334/12)/INDEX('Lease Cycles'!$CP$27:$CV$27,1,AV333))/12))),IF('Lease Cycles'!$N$27=1,'Lease Cycles'!$C$27*'Lease Cycles'!$E$27*INDEX('Lease Cycles'!$HE$27:$HK$27,1,AV333)*(1+INDEX('Lease Cycles'!$GQ$27:$GW$27,1,AV333))^INT(INT((AV$6-INDEX('Lease Cycles'!$GJ$27:$GP$27,1,AV333))/12)/INDEX('Lease Cycles'!$GX$27:$HD$27,1,AV333))/12,0)))</f>
        <v>0</v>
      </c>
      <c r="AW336" s="28">
        <f>IF(AW333=0,IF('Lease Cycles'!$F$27&gt;0,'Lease Cycles'!$C$27*'Lease Cycles'!$E$27/12,0),IF(AW335=1,IF('Lease Cycles'!$AT$27&gt;=9999,'Lease Cycles'!$C$27*INDEX('Lease Cycles'!$CB$27:$CH$27,1,AW333)*(1+INDEX('Lease Cycles'!$CI$27:$CO$27,1,AW333))^INT(INT(AW334/12)/INDEX('Lease Cycles'!$CP$27:$CV$27,1,AW333))/12,IF(AW333=1,IF(AW334&gt;=INDEX('Lease Cycles'!$DK$27:$DQ$27,1,AW333),IF(AW$6&gt;='Lease Cycles'!$AZ$27,'Lease Cycles'!$C$27*'Lease Cycles'!$BA$27/12,IF(AW$6&gt;='Lease Cycles'!$AX$27,'Lease Cycles'!$C$27*'Lease Cycles'!$AY$27/12,IF(AW$6&gt;='Lease Cycles'!$AV$27,'Lease Cycles'!$C$27*'Lease Cycles'!$AW$27/12,IF(AW$6&gt;='Lease Cycles'!$AT$27,'Lease Cycles'!$C$27*'Lease Cycles'!$AU$27/12,'Lease Cycles'!$C$27*INDEX('Lease Cycles'!$CB$27:$CH$27,1,AW333)*(1+INDEX('Lease Cycles'!$CI$27:$CO$27,1,AW333))^INT(INT(AW334/12)/INDEX('Lease Cycles'!$CP$27:$CV$27,1,AW333))/12)))),'Lease Cycles'!$C$27*INDEX('Lease Cycles'!$CB$27:$CH$27,1,AW333)*(1+INDEX('Lease Cycles'!$CI$27:$CO$27,1,AW333))^INT(INT(AW334/12)/INDEX('Lease Cycles'!$CP$27:$CV$27,1,AW333))/12),IF(INDEX('Lease Cycles'!$EF$27:$EL$27,1,AW333)=1,IF(AND('Lease Cycles'!$AZ$27&gt;=INDEX('Lease Cycles'!$BG$27:$BM$27,1,AW333),'Lease Cycles'!$AZ$27&lt;=AW$6),'Lease Cycles'!$C$27*'Lease Cycles'!$BA$27/12,IF(AND('Lease Cycles'!$AX$27&gt;=INDEX('Lease Cycles'!$BG$27:$BM$27,1,AW333),'Lease Cycles'!$AX$27&lt;=AW$6),'Lease Cycles'!$C$27*'Lease Cycles'!$AY$27/12,IF(AND('Lease Cycles'!$AV$27&gt;=INDEX('Lease Cycles'!$BG$27:$BM$27,1,AW333),'Lease Cycles'!$AV$27&lt;=AW$6),'Lease Cycles'!$C$27*'Lease Cycles'!$AW$27/12,IF(AND('Lease Cycles'!$AT$27&gt;=INDEX('Lease Cycles'!$BG$27:$BM$27,1,AW333),'Lease Cycles'!$AT$27&lt;=AW$6),'Lease Cycles'!$C$27*'Lease Cycles'!$AU$27/12,'Lease Cycles'!$C$27*INDEX('Lease Cycles'!$CB$27:$CH$27,1,AW333)*(1+INDEX('Lease Cycles'!$CI$27:$CO$27,1,AW333))^INT(INT(AW334/12)/INDEX('Lease Cycles'!$CP$27:$CV$27,1,AW333))/12)))),'Lease Cycles'!$C$27*INDEX('Lease Cycles'!$CB$27:$CH$27,1,AW333)*(1+INDEX('Lease Cycles'!$CI$27:$CO$27,1,AW333))^INT(INT(AW334/12)/INDEX('Lease Cycles'!$CP$27:$CV$27,1,AW333))/12))),IF('Lease Cycles'!$N$27=1,'Lease Cycles'!$C$27*'Lease Cycles'!$E$27*INDEX('Lease Cycles'!$HE$27:$HK$27,1,AW333)*(1+INDEX('Lease Cycles'!$GQ$27:$GW$27,1,AW333))^INT(INT((AW$6-INDEX('Lease Cycles'!$GJ$27:$GP$27,1,AW333))/12)/INDEX('Lease Cycles'!$GX$27:$HD$27,1,AW333))/12,0)))</f>
        <v>0</v>
      </c>
      <c r="AX336" s="28">
        <f>IF(AX333=0,IF('Lease Cycles'!$F$27&gt;0,'Lease Cycles'!$C$27*'Lease Cycles'!$E$27/12,0),IF(AX335=1,IF('Lease Cycles'!$AT$27&gt;=9999,'Lease Cycles'!$C$27*INDEX('Lease Cycles'!$CB$27:$CH$27,1,AX333)*(1+INDEX('Lease Cycles'!$CI$27:$CO$27,1,AX333))^INT(INT(AX334/12)/INDEX('Lease Cycles'!$CP$27:$CV$27,1,AX333))/12,IF(AX333=1,IF(AX334&gt;=INDEX('Lease Cycles'!$DK$27:$DQ$27,1,AX333),IF(AX$6&gt;='Lease Cycles'!$AZ$27,'Lease Cycles'!$C$27*'Lease Cycles'!$BA$27/12,IF(AX$6&gt;='Lease Cycles'!$AX$27,'Lease Cycles'!$C$27*'Lease Cycles'!$AY$27/12,IF(AX$6&gt;='Lease Cycles'!$AV$27,'Lease Cycles'!$C$27*'Lease Cycles'!$AW$27/12,IF(AX$6&gt;='Lease Cycles'!$AT$27,'Lease Cycles'!$C$27*'Lease Cycles'!$AU$27/12,'Lease Cycles'!$C$27*INDEX('Lease Cycles'!$CB$27:$CH$27,1,AX333)*(1+INDEX('Lease Cycles'!$CI$27:$CO$27,1,AX333))^INT(INT(AX334/12)/INDEX('Lease Cycles'!$CP$27:$CV$27,1,AX333))/12)))),'Lease Cycles'!$C$27*INDEX('Lease Cycles'!$CB$27:$CH$27,1,AX333)*(1+INDEX('Lease Cycles'!$CI$27:$CO$27,1,AX333))^INT(INT(AX334/12)/INDEX('Lease Cycles'!$CP$27:$CV$27,1,AX333))/12),IF(INDEX('Lease Cycles'!$EF$27:$EL$27,1,AX333)=1,IF(AND('Lease Cycles'!$AZ$27&gt;=INDEX('Lease Cycles'!$BG$27:$BM$27,1,AX333),'Lease Cycles'!$AZ$27&lt;=AX$6),'Lease Cycles'!$C$27*'Lease Cycles'!$BA$27/12,IF(AND('Lease Cycles'!$AX$27&gt;=INDEX('Lease Cycles'!$BG$27:$BM$27,1,AX333),'Lease Cycles'!$AX$27&lt;=AX$6),'Lease Cycles'!$C$27*'Lease Cycles'!$AY$27/12,IF(AND('Lease Cycles'!$AV$27&gt;=INDEX('Lease Cycles'!$BG$27:$BM$27,1,AX333),'Lease Cycles'!$AV$27&lt;=AX$6),'Lease Cycles'!$C$27*'Lease Cycles'!$AW$27/12,IF(AND('Lease Cycles'!$AT$27&gt;=INDEX('Lease Cycles'!$BG$27:$BM$27,1,AX333),'Lease Cycles'!$AT$27&lt;=AX$6),'Lease Cycles'!$C$27*'Lease Cycles'!$AU$27/12,'Lease Cycles'!$C$27*INDEX('Lease Cycles'!$CB$27:$CH$27,1,AX333)*(1+INDEX('Lease Cycles'!$CI$27:$CO$27,1,AX333))^INT(INT(AX334/12)/INDEX('Lease Cycles'!$CP$27:$CV$27,1,AX333))/12)))),'Lease Cycles'!$C$27*INDEX('Lease Cycles'!$CB$27:$CH$27,1,AX333)*(1+INDEX('Lease Cycles'!$CI$27:$CO$27,1,AX333))^INT(INT(AX334/12)/INDEX('Lease Cycles'!$CP$27:$CV$27,1,AX333))/12))),IF('Lease Cycles'!$N$27=1,'Lease Cycles'!$C$27*'Lease Cycles'!$E$27*INDEX('Lease Cycles'!$HE$27:$HK$27,1,AX333)*(1+INDEX('Lease Cycles'!$GQ$27:$GW$27,1,AX333))^INT(INT((AX$6-INDEX('Lease Cycles'!$GJ$27:$GP$27,1,AX333))/12)/INDEX('Lease Cycles'!$GX$27:$HD$27,1,AX333))/12,0)))</f>
        <v>0</v>
      </c>
      <c r="AY336" s="28">
        <f>IF(AY333=0,IF('Lease Cycles'!$F$27&gt;0,'Lease Cycles'!$C$27*'Lease Cycles'!$E$27/12,0),IF(AY335=1,IF('Lease Cycles'!$AT$27&gt;=9999,'Lease Cycles'!$C$27*INDEX('Lease Cycles'!$CB$27:$CH$27,1,AY333)*(1+INDEX('Lease Cycles'!$CI$27:$CO$27,1,AY333))^INT(INT(AY334/12)/INDEX('Lease Cycles'!$CP$27:$CV$27,1,AY333))/12,IF(AY333=1,IF(AY334&gt;=INDEX('Lease Cycles'!$DK$27:$DQ$27,1,AY333),IF(AY$6&gt;='Lease Cycles'!$AZ$27,'Lease Cycles'!$C$27*'Lease Cycles'!$BA$27/12,IF(AY$6&gt;='Lease Cycles'!$AX$27,'Lease Cycles'!$C$27*'Lease Cycles'!$AY$27/12,IF(AY$6&gt;='Lease Cycles'!$AV$27,'Lease Cycles'!$C$27*'Lease Cycles'!$AW$27/12,IF(AY$6&gt;='Lease Cycles'!$AT$27,'Lease Cycles'!$C$27*'Lease Cycles'!$AU$27/12,'Lease Cycles'!$C$27*INDEX('Lease Cycles'!$CB$27:$CH$27,1,AY333)*(1+INDEX('Lease Cycles'!$CI$27:$CO$27,1,AY333))^INT(INT(AY334/12)/INDEX('Lease Cycles'!$CP$27:$CV$27,1,AY333))/12)))),'Lease Cycles'!$C$27*INDEX('Lease Cycles'!$CB$27:$CH$27,1,AY333)*(1+INDEX('Lease Cycles'!$CI$27:$CO$27,1,AY333))^INT(INT(AY334/12)/INDEX('Lease Cycles'!$CP$27:$CV$27,1,AY333))/12),IF(INDEX('Lease Cycles'!$EF$27:$EL$27,1,AY333)=1,IF(AND('Lease Cycles'!$AZ$27&gt;=INDEX('Lease Cycles'!$BG$27:$BM$27,1,AY333),'Lease Cycles'!$AZ$27&lt;=AY$6),'Lease Cycles'!$C$27*'Lease Cycles'!$BA$27/12,IF(AND('Lease Cycles'!$AX$27&gt;=INDEX('Lease Cycles'!$BG$27:$BM$27,1,AY333),'Lease Cycles'!$AX$27&lt;=AY$6),'Lease Cycles'!$C$27*'Lease Cycles'!$AY$27/12,IF(AND('Lease Cycles'!$AV$27&gt;=INDEX('Lease Cycles'!$BG$27:$BM$27,1,AY333),'Lease Cycles'!$AV$27&lt;=AY$6),'Lease Cycles'!$C$27*'Lease Cycles'!$AW$27/12,IF(AND('Lease Cycles'!$AT$27&gt;=INDEX('Lease Cycles'!$BG$27:$BM$27,1,AY333),'Lease Cycles'!$AT$27&lt;=AY$6),'Lease Cycles'!$C$27*'Lease Cycles'!$AU$27/12,'Lease Cycles'!$C$27*INDEX('Lease Cycles'!$CB$27:$CH$27,1,AY333)*(1+INDEX('Lease Cycles'!$CI$27:$CO$27,1,AY333))^INT(INT(AY334/12)/INDEX('Lease Cycles'!$CP$27:$CV$27,1,AY333))/12)))),'Lease Cycles'!$C$27*INDEX('Lease Cycles'!$CB$27:$CH$27,1,AY333)*(1+INDEX('Lease Cycles'!$CI$27:$CO$27,1,AY333))^INT(INT(AY334/12)/INDEX('Lease Cycles'!$CP$27:$CV$27,1,AY333))/12))),IF('Lease Cycles'!$N$27=1,'Lease Cycles'!$C$27*'Lease Cycles'!$E$27*INDEX('Lease Cycles'!$HE$27:$HK$27,1,AY333)*(1+INDEX('Lease Cycles'!$GQ$27:$GW$27,1,AY333))^INT(INT((AY$6-INDEX('Lease Cycles'!$GJ$27:$GP$27,1,AY333))/12)/INDEX('Lease Cycles'!$GX$27:$HD$27,1,AY333))/12,0)))</f>
        <v>0</v>
      </c>
      <c r="AZ336" s="28">
        <f>IF(AZ333=0,IF('Lease Cycles'!$F$27&gt;0,'Lease Cycles'!$C$27*'Lease Cycles'!$E$27/12,0),IF(AZ335=1,IF('Lease Cycles'!$AT$27&gt;=9999,'Lease Cycles'!$C$27*INDEX('Lease Cycles'!$CB$27:$CH$27,1,AZ333)*(1+INDEX('Lease Cycles'!$CI$27:$CO$27,1,AZ333))^INT(INT(AZ334/12)/INDEX('Lease Cycles'!$CP$27:$CV$27,1,AZ333))/12,IF(AZ333=1,IF(AZ334&gt;=INDEX('Lease Cycles'!$DK$27:$DQ$27,1,AZ333),IF(AZ$6&gt;='Lease Cycles'!$AZ$27,'Lease Cycles'!$C$27*'Lease Cycles'!$BA$27/12,IF(AZ$6&gt;='Lease Cycles'!$AX$27,'Lease Cycles'!$C$27*'Lease Cycles'!$AY$27/12,IF(AZ$6&gt;='Lease Cycles'!$AV$27,'Lease Cycles'!$C$27*'Lease Cycles'!$AW$27/12,IF(AZ$6&gt;='Lease Cycles'!$AT$27,'Lease Cycles'!$C$27*'Lease Cycles'!$AU$27/12,'Lease Cycles'!$C$27*INDEX('Lease Cycles'!$CB$27:$CH$27,1,AZ333)*(1+INDEX('Lease Cycles'!$CI$27:$CO$27,1,AZ333))^INT(INT(AZ334/12)/INDEX('Lease Cycles'!$CP$27:$CV$27,1,AZ333))/12)))),'Lease Cycles'!$C$27*INDEX('Lease Cycles'!$CB$27:$CH$27,1,AZ333)*(1+INDEX('Lease Cycles'!$CI$27:$CO$27,1,AZ333))^INT(INT(AZ334/12)/INDEX('Lease Cycles'!$CP$27:$CV$27,1,AZ333))/12),IF(INDEX('Lease Cycles'!$EF$27:$EL$27,1,AZ333)=1,IF(AND('Lease Cycles'!$AZ$27&gt;=INDEX('Lease Cycles'!$BG$27:$BM$27,1,AZ333),'Lease Cycles'!$AZ$27&lt;=AZ$6),'Lease Cycles'!$C$27*'Lease Cycles'!$BA$27/12,IF(AND('Lease Cycles'!$AX$27&gt;=INDEX('Lease Cycles'!$BG$27:$BM$27,1,AZ333),'Lease Cycles'!$AX$27&lt;=AZ$6),'Lease Cycles'!$C$27*'Lease Cycles'!$AY$27/12,IF(AND('Lease Cycles'!$AV$27&gt;=INDEX('Lease Cycles'!$BG$27:$BM$27,1,AZ333),'Lease Cycles'!$AV$27&lt;=AZ$6),'Lease Cycles'!$C$27*'Lease Cycles'!$AW$27/12,IF(AND('Lease Cycles'!$AT$27&gt;=INDEX('Lease Cycles'!$BG$27:$BM$27,1,AZ333),'Lease Cycles'!$AT$27&lt;=AZ$6),'Lease Cycles'!$C$27*'Lease Cycles'!$AU$27/12,'Lease Cycles'!$C$27*INDEX('Lease Cycles'!$CB$27:$CH$27,1,AZ333)*(1+INDEX('Lease Cycles'!$CI$27:$CO$27,1,AZ333))^INT(INT(AZ334/12)/INDEX('Lease Cycles'!$CP$27:$CV$27,1,AZ333))/12)))),'Lease Cycles'!$C$27*INDEX('Lease Cycles'!$CB$27:$CH$27,1,AZ333)*(1+INDEX('Lease Cycles'!$CI$27:$CO$27,1,AZ333))^INT(INT(AZ334/12)/INDEX('Lease Cycles'!$CP$27:$CV$27,1,AZ333))/12))),IF('Lease Cycles'!$N$27=1,'Lease Cycles'!$C$27*'Lease Cycles'!$E$27*INDEX('Lease Cycles'!$HE$27:$HK$27,1,AZ333)*(1+INDEX('Lease Cycles'!$GQ$27:$GW$27,1,AZ333))^INT(INT((AZ$6-INDEX('Lease Cycles'!$GJ$27:$GP$27,1,AZ333))/12)/INDEX('Lease Cycles'!$GX$27:$HD$27,1,AZ333))/12,0)))</f>
        <v>0</v>
      </c>
      <c r="BA336" s="28">
        <f>IF(BA333=0,IF('Lease Cycles'!$F$27&gt;0,'Lease Cycles'!$C$27*'Lease Cycles'!$E$27/12,0),IF(BA335=1,IF('Lease Cycles'!$AT$27&gt;=9999,'Lease Cycles'!$C$27*INDEX('Lease Cycles'!$CB$27:$CH$27,1,BA333)*(1+INDEX('Lease Cycles'!$CI$27:$CO$27,1,BA333))^INT(INT(BA334/12)/INDEX('Lease Cycles'!$CP$27:$CV$27,1,BA333))/12,IF(BA333=1,IF(BA334&gt;=INDEX('Lease Cycles'!$DK$27:$DQ$27,1,BA333),IF(BA$6&gt;='Lease Cycles'!$AZ$27,'Lease Cycles'!$C$27*'Lease Cycles'!$BA$27/12,IF(BA$6&gt;='Lease Cycles'!$AX$27,'Lease Cycles'!$C$27*'Lease Cycles'!$AY$27/12,IF(BA$6&gt;='Lease Cycles'!$AV$27,'Lease Cycles'!$C$27*'Lease Cycles'!$AW$27/12,IF(BA$6&gt;='Lease Cycles'!$AT$27,'Lease Cycles'!$C$27*'Lease Cycles'!$AU$27/12,'Lease Cycles'!$C$27*INDEX('Lease Cycles'!$CB$27:$CH$27,1,BA333)*(1+INDEX('Lease Cycles'!$CI$27:$CO$27,1,BA333))^INT(INT(BA334/12)/INDEX('Lease Cycles'!$CP$27:$CV$27,1,BA333))/12)))),'Lease Cycles'!$C$27*INDEX('Lease Cycles'!$CB$27:$CH$27,1,BA333)*(1+INDEX('Lease Cycles'!$CI$27:$CO$27,1,BA333))^INT(INT(BA334/12)/INDEX('Lease Cycles'!$CP$27:$CV$27,1,BA333))/12),IF(INDEX('Lease Cycles'!$EF$27:$EL$27,1,BA333)=1,IF(AND('Lease Cycles'!$AZ$27&gt;=INDEX('Lease Cycles'!$BG$27:$BM$27,1,BA333),'Lease Cycles'!$AZ$27&lt;=BA$6),'Lease Cycles'!$C$27*'Lease Cycles'!$BA$27/12,IF(AND('Lease Cycles'!$AX$27&gt;=INDEX('Lease Cycles'!$BG$27:$BM$27,1,BA333),'Lease Cycles'!$AX$27&lt;=BA$6),'Lease Cycles'!$C$27*'Lease Cycles'!$AY$27/12,IF(AND('Lease Cycles'!$AV$27&gt;=INDEX('Lease Cycles'!$BG$27:$BM$27,1,BA333),'Lease Cycles'!$AV$27&lt;=BA$6),'Lease Cycles'!$C$27*'Lease Cycles'!$AW$27/12,IF(AND('Lease Cycles'!$AT$27&gt;=INDEX('Lease Cycles'!$BG$27:$BM$27,1,BA333),'Lease Cycles'!$AT$27&lt;=BA$6),'Lease Cycles'!$C$27*'Lease Cycles'!$AU$27/12,'Lease Cycles'!$C$27*INDEX('Lease Cycles'!$CB$27:$CH$27,1,BA333)*(1+INDEX('Lease Cycles'!$CI$27:$CO$27,1,BA333))^INT(INT(BA334/12)/INDEX('Lease Cycles'!$CP$27:$CV$27,1,BA333))/12)))),'Lease Cycles'!$C$27*INDEX('Lease Cycles'!$CB$27:$CH$27,1,BA333)*(1+INDEX('Lease Cycles'!$CI$27:$CO$27,1,BA333))^INT(INT(BA334/12)/INDEX('Lease Cycles'!$CP$27:$CV$27,1,BA333))/12))),IF('Lease Cycles'!$N$27=1,'Lease Cycles'!$C$27*'Lease Cycles'!$E$27*INDEX('Lease Cycles'!$HE$27:$HK$27,1,BA333)*(1+INDEX('Lease Cycles'!$GQ$27:$GW$27,1,BA333))^INT(INT((BA$6-INDEX('Lease Cycles'!$GJ$27:$GP$27,1,BA333))/12)/INDEX('Lease Cycles'!$GX$27:$HD$27,1,BA333))/12,0)))</f>
        <v>0</v>
      </c>
      <c r="BB336" s="28">
        <f>IF(BB333=0,IF('Lease Cycles'!$F$27&gt;0,'Lease Cycles'!$C$27*'Lease Cycles'!$E$27/12,0),IF(BB335=1,IF('Lease Cycles'!$AT$27&gt;=9999,'Lease Cycles'!$C$27*INDEX('Lease Cycles'!$CB$27:$CH$27,1,BB333)*(1+INDEX('Lease Cycles'!$CI$27:$CO$27,1,BB333))^INT(INT(BB334/12)/INDEX('Lease Cycles'!$CP$27:$CV$27,1,BB333))/12,IF(BB333=1,IF(BB334&gt;=INDEX('Lease Cycles'!$DK$27:$DQ$27,1,BB333),IF(BB$6&gt;='Lease Cycles'!$AZ$27,'Lease Cycles'!$C$27*'Lease Cycles'!$BA$27/12,IF(BB$6&gt;='Lease Cycles'!$AX$27,'Lease Cycles'!$C$27*'Lease Cycles'!$AY$27/12,IF(BB$6&gt;='Lease Cycles'!$AV$27,'Lease Cycles'!$C$27*'Lease Cycles'!$AW$27/12,IF(BB$6&gt;='Lease Cycles'!$AT$27,'Lease Cycles'!$C$27*'Lease Cycles'!$AU$27/12,'Lease Cycles'!$C$27*INDEX('Lease Cycles'!$CB$27:$CH$27,1,BB333)*(1+INDEX('Lease Cycles'!$CI$27:$CO$27,1,BB333))^INT(INT(BB334/12)/INDEX('Lease Cycles'!$CP$27:$CV$27,1,BB333))/12)))),'Lease Cycles'!$C$27*INDEX('Lease Cycles'!$CB$27:$CH$27,1,BB333)*(1+INDEX('Lease Cycles'!$CI$27:$CO$27,1,BB333))^INT(INT(BB334/12)/INDEX('Lease Cycles'!$CP$27:$CV$27,1,BB333))/12),IF(INDEX('Lease Cycles'!$EF$27:$EL$27,1,BB333)=1,IF(AND('Lease Cycles'!$AZ$27&gt;=INDEX('Lease Cycles'!$BG$27:$BM$27,1,BB333),'Lease Cycles'!$AZ$27&lt;=BB$6),'Lease Cycles'!$C$27*'Lease Cycles'!$BA$27/12,IF(AND('Lease Cycles'!$AX$27&gt;=INDEX('Lease Cycles'!$BG$27:$BM$27,1,BB333),'Lease Cycles'!$AX$27&lt;=BB$6),'Lease Cycles'!$C$27*'Lease Cycles'!$AY$27/12,IF(AND('Lease Cycles'!$AV$27&gt;=INDEX('Lease Cycles'!$BG$27:$BM$27,1,BB333),'Lease Cycles'!$AV$27&lt;=BB$6),'Lease Cycles'!$C$27*'Lease Cycles'!$AW$27/12,IF(AND('Lease Cycles'!$AT$27&gt;=INDEX('Lease Cycles'!$BG$27:$BM$27,1,BB333),'Lease Cycles'!$AT$27&lt;=BB$6),'Lease Cycles'!$C$27*'Lease Cycles'!$AU$27/12,'Lease Cycles'!$C$27*INDEX('Lease Cycles'!$CB$27:$CH$27,1,BB333)*(1+INDEX('Lease Cycles'!$CI$27:$CO$27,1,BB333))^INT(INT(BB334/12)/INDEX('Lease Cycles'!$CP$27:$CV$27,1,BB333))/12)))),'Lease Cycles'!$C$27*INDEX('Lease Cycles'!$CB$27:$CH$27,1,BB333)*(1+INDEX('Lease Cycles'!$CI$27:$CO$27,1,BB333))^INT(INT(BB334/12)/INDEX('Lease Cycles'!$CP$27:$CV$27,1,BB333))/12))),IF('Lease Cycles'!$N$27=1,'Lease Cycles'!$C$27*'Lease Cycles'!$E$27*INDEX('Lease Cycles'!$HE$27:$HK$27,1,BB333)*(1+INDEX('Lease Cycles'!$GQ$27:$GW$27,1,BB333))^INT(INT((BB$6-INDEX('Lease Cycles'!$GJ$27:$GP$27,1,BB333))/12)/INDEX('Lease Cycles'!$GX$27:$HD$27,1,BB333))/12,0)))</f>
        <v>0</v>
      </c>
      <c r="BC336" s="28">
        <f>IF(BC333=0,IF('Lease Cycles'!$F$27&gt;0,'Lease Cycles'!$C$27*'Lease Cycles'!$E$27/12,0),IF(BC335=1,IF('Lease Cycles'!$AT$27&gt;=9999,'Lease Cycles'!$C$27*INDEX('Lease Cycles'!$CB$27:$CH$27,1,BC333)*(1+INDEX('Lease Cycles'!$CI$27:$CO$27,1,BC333))^INT(INT(BC334/12)/INDEX('Lease Cycles'!$CP$27:$CV$27,1,BC333))/12,IF(BC333=1,IF(BC334&gt;=INDEX('Lease Cycles'!$DK$27:$DQ$27,1,BC333),IF(BC$6&gt;='Lease Cycles'!$AZ$27,'Lease Cycles'!$C$27*'Lease Cycles'!$BA$27/12,IF(BC$6&gt;='Lease Cycles'!$AX$27,'Lease Cycles'!$C$27*'Lease Cycles'!$AY$27/12,IF(BC$6&gt;='Lease Cycles'!$AV$27,'Lease Cycles'!$C$27*'Lease Cycles'!$AW$27/12,IF(BC$6&gt;='Lease Cycles'!$AT$27,'Lease Cycles'!$C$27*'Lease Cycles'!$AU$27/12,'Lease Cycles'!$C$27*INDEX('Lease Cycles'!$CB$27:$CH$27,1,BC333)*(1+INDEX('Lease Cycles'!$CI$27:$CO$27,1,BC333))^INT(INT(BC334/12)/INDEX('Lease Cycles'!$CP$27:$CV$27,1,BC333))/12)))),'Lease Cycles'!$C$27*INDEX('Lease Cycles'!$CB$27:$CH$27,1,BC333)*(1+INDEX('Lease Cycles'!$CI$27:$CO$27,1,BC333))^INT(INT(BC334/12)/INDEX('Lease Cycles'!$CP$27:$CV$27,1,BC333))/12),IF(INDEX('Lease Cycles'!$EF$27:$EL$27,1,BC333)=1,IF(AND('Lease Cycles'!$AZ$27&gt;=INDEX('Lease Cycles'!$BG$27:$BM$27,1,BC333),'Lease Cycles'!$AZ$27&lt;=BC$6),'Lease Cycles'!$C$27*'Lease Cycles'!$BA$27/12,IF(AND('Lease Cycles'!$AX$27&gt;=INDEX('Lease Cycles'!$BG$27:$BM$27,1,BC333),'Lease Cycles'!$AX$27&lt;=BC$6),'Lease Cycles'!$C$27*'Lease Cycles'!$AY$27/12,IF(AND('Lease Cycles'!$AV$27&gt;=INDEX('Lease Cycles'!$BG$27:$BM$27,1,BC333),'Lease Cycles'!$AV$27&lt;=BC$6),'Lease Cycles'!$C$27*'Lease Cycles'!$AW$27/12,IF(AND('Lease Cycles'!$AT$27&gt;=INDEX('Lease Cycles'!$BG$27:$BM$27,1,BC333),'Lease Cycles'!$AT$27&lt;=BC$6),'Lease Cycles'!$C$27*'Lease Cycles'!$AU$27/12,'Lease Cycles'!$C$27*INDEX('Lease Cycles'!$CB$27:$CH$27,1,BC333)*(1+INDEX('Lease Cycles'!$CI$27:$CO$27,1,BC333))^INT(INT(BC334/12)/INDEX('Lease Cycles'!$CP$27:$CV$27,1,BC333))/12)))),'Lease Cycles'!$C$27*INDEX('Lease Cycles'!$CB$27:$CH$27,1,BC333)*(1+INDEX('Lease Cycles'!$CI$27:$CO$27,1,BC333))^INT(INT(BC334/12)/INDEX('Lease Cycles'!$CP$27:$CV$27,1,BC333))/12))),IF('Lease Cycles'!$N$27=1,'Lease Cycles'!$C$27*'Lease Cycles'!$E$27*INDEX('Lease Cycles'!$HE$27:$HK$27,1,BC333)*(1+INDEX('Lease Cycles'!$GQ$27:$GW$27,1,BC333))^INT(INT((BC$6-INDEX('Lease Cycles'!$GJ$27:$GP$27,1,BC333))/12)/INDEX('Lease Cycles'!$GX$27:$HD$27,1,BC333))/12,0)))</f>
        <v>0</v>
      </c>
      <c r="BD336" s="28">
        <f>IF(BD333=0,IF('Lease Cycles'!$F$27&gt;0,'Lease Cycles'!$C$27*'Lease Cycles'!$E$27/12,0),IF(BD335=1,IF('Lease Cycles'!$AT$27&gt;=9999,'Lease Cycles'!$C$27*INDEX('Lease Cycles'!$CB$27:$CH$27,1,BD333)*(1+INDEX('Lease Cycles'!$CI$27:$CO$27,1,BD333))^INT(INT(BD334/12)/INDEX('Lease Cycles'!$CP$27:$CV$27,1,BD333))/12,IF(BD333=1,IF(BD334&gt;=INDEX('Lease Cycles'!$DK$27:$DQ$27,1,BD333),IF(BD$6&gt;='Lease Cycles'!$AZ$27,'Lease Cycles'!$C$27*'Lease Cycles'!$BA$27/12,IF(BD$6&gt;='Lease Cycles'!$AX$27,'Lease Cycles'!$C$27*'Lease Cycles'!$AY$27/12,IF(BD$6&gt;='Lease Cycles'!$AV$27,'Lease Cycles'!$C$27*'Lease Cycles'!$AW$27/12,IF(BD$6&gt;='Lease Cycles'!$AT$27,'Lease Cycles'!$C$27*'Lease Cycles'!$AU$27/12,'Lease Cycles'!$C$27*INDEX('Lease Cycles'!$CB$27:$CH$27,1,BD333)*(1+INDEX('Lease Cycles'!$CI$27:$CO$27,1,BD333))^INT(INT(BD334/12)/INDEX('Lease Cycles'!$CP$27:$CV$27,1,BD333))/12)))),'Lease Cycles'!$C$27*INDEX('Lease Cycles'!$CB$27:$CH$27,1,BD333)*(1+INDEX('Lease Cycles'!$CI$27:$CO$27,1,BD333))^INT(INT(BD334/12)/INDEX('Lease Cycles'!$CP$27:$CV$27,1,BD333))/12),IF(INDEX('Lease Cycles'!$EF$27:$EL$27,1,BD333)=1,IF(AND('Lease Cycles'!$AZ$27&gt;=INDEX('Lease Cycles'!$BG$27:$BM$27,1,BD333),'Lease Cycles'!$AZ$27&lt;=BD$6),'Lease Cycles'!$C$27*'Lease Cycles'!$BA$27/12,IF(AND('Lease Cycles'!$AX$27&gt;=INDEX('Lease Cycles'!$BG$27:$BM$27,1,BD333),'Lease Cycles'!$AX$27&lt;=BD$6),'Lease Cycles'!$C$27*'Lease Cycles'!$AY$27/12,IF(AND('Lease Cycles'!$AV$27&gt;=INDEX('Lease Cycles'!$BG$27:$BM$27,1,BD333),'Lease Cycles'!$AV$27&lt;=BD$6),'Lease Cycles'!$C$27*'Lease Cycles'!$AW$27/12,IF(AND('Lease Cycles'!$AT$27&gt;=INDEX('Lease Cycles'!$BG$27:$BM$27,1,BD333),'Lease Cycles'!$AT$27&lt;=BD$6),'Lease Cycles'!$C$27*'Lease Cycles'!$AU$27/12,'Lease Cycles'!$C$27*INDEX('Lease Cycles'!$CB$27:$CH$27,1,BD333)*(1+INDEX('Lease Cycles'!$CI$27:$CO$27,1,BD333))^INT(INT(BD334/12)/INDEX('Lease Cycles'!$CP$27:$CV$27,1,BD333))/12)))),'Lease Cycles'!$C$27*INDEX('Lease Cycles'!$CB$27:$CH$27,1,BD333)*(1+INDEX('Lease Cycles'!$CI$27:$CO$27,1,BD333))^INT(INT(BD334/12)/INDEX('Lease Cycles'!$CP$27:$CV$27,1,BD333))/12))),IF('Lease Cycles'!$N$27=1,'Lease Cycles'!$C$27*'Lease Cycles'!$E$27*INDEX('Lease Cycles'!$HE$27:$HK$27,1,BD333)*(1+INDEX('Lease Cycles'!$GQ$27:$GW$27,1,BD333))^INT(INT((BD$6-INDEX('Lease Cycles'!$GJ$27:$GP$27,1,BD333))/12)/INDEX('Lease Cycles'!$GX$27:$HD$27,1,BD333))/12,0)))</f>
        <v>0</v>
      </c>
      <c r="BE336" s="28">
        <f>IF(BE333=0,IF('Lease Cycles'!$F$27&gt;0,'Lease Cycles'!$C$27*'Lease Cycles'!$E$27/12,0),IF(BE335=1,IF('Lease Cycles'!$AT$27&gt;=9999,'Lease Cycles'!$C$27*INDEX('Lease Cycles'!$CB$27:$CH$27,1,BE333)*(1+INDEX('Lease Cycles'!$CI$27:$CO$27,1,BE333))^INT(INT(BE334/12)/INDEX('Lease Cycles'!$CP$27:$CV$27,1,BE333))/12,IF(BE333=1,IF(BE334&gt;=INDEX('Lease Cycles'!$DK$27:$DQ$27,1,BE333),IF(BE$6&gt;='Lease Cycles'!$AZ$27,'Lease Cycles'!$C$27*'Lease Cycles'!$BA$27/12,IF(BE$6&gt;='Lease Cycles'!$AX$27,'Lease Cycles'!$C$27*'Lease Cycles'!$AY$27/12,IF(BE$6&gt;='Lease Cycles'!$AV$27,'Lease Cycles'!$C$27*'Lease Cycles'!$AW$27/12,IF(BE$6&gt;='Lease Cycles'!$AT$27,'Lease Cycles'!$C$27*'Lease Cycles'!$AU$27/12,'Lease Cycles'!$C$27*INDEX('Lease Cycles'!$CB$27:$CH$27,1,BE333)*(1+INDEX('Lease Cycles'!$CI$27:$CO$27,1,BE333))^INT(INT(BE334/12)/INDEX('Lease Cycles'!$CP$27:$CV$27,1,BE333))/12)))),'Lease Cycles'!$C$27*INDEX('Lease Cycles'!$CB$27:$CH$27,1,BE333)*(1+INDEX('Lease Cycles'!$CI$27:$CO$27,1,BE333))^INT(INT(BE334/12)/INDEX('Lease Cycles'!$CP$27:$CV$27,1,BE333))/12),IF(INDEX('Lease Cycles'!$EF$27:$EL$27,1,BE333)=1,IF(AND('Lease Cycles'!$AZ$27&gt;=INDEX('Lease Cycles'!$BG$27:$BM$27,1,BE333),'Lease Cycles'!$AZ$27&lt;=BE$6),'Lease Cycles'!$C$27*'Lease Cycles'!$BA$27/12,IF(AND('Lease Cycles'!$AX$27&gt;=INDEX('Lease Cycles'!$BG$27:$BM$27,1,BE333),'Lease Cycles'!$AX$27&lt;=BE$6),'Lease Cycles'!$C$27*'Lease Cycles'!$AY$27/12,IF(AND('Lease Cycles'!$AV$27&gt;=INDEX('Lease Cycles'!$BG$27:$BM$27,1,BE333),'Lease Cycles'!$AV$27&lt;=BE$6),'Lease Cycles'!$C$27*'Lease Cycles'!$AW$27/12,IF(AND('Lease Cycles'!$AT$27&gt;=INDEX('Lease Cycles'!$BG$27:$BM$27,1,BE333),'Lease Cycles'!$AT$27&lt;=BE$6),'Lease Cycles'!$C$27*'Lease Cycles'!$AU$27/12,'Lease Cycles'!$C$27*INDEX('Lease Cycles'!$CB$27:$CH$27,1,BE333)*(1+INDEX('Lease Cycles'!$CI$27:$CO$27,1,BE333))^INT(INT(BE334/12)/INDEX('Lease Cycles'!$CP$27:$CV$27,1,BE333))/12)))),'Lease Cycles'!$C$27*INDEX('Lease Cycles'!$CB$27:$CH$27,1,BE333)*(1+INDEX('Lease Cycles'!$CI$27:$CO$27,1,BE333))^INT(INT(BE334/12)/INDEX('Lease Cycles'!$CP$27:$CV$27,1,BE333))/12))),IF('Lease Cycles'!$N$27=1,'Lease Cycles'!$C$27*'Lease Cycles'!$E$27*INDEX('Lease Cycles'!$HE$27:$HK$27,1,BE333)*(1+INDEX('Lease Cycles'!$GQ$27:$GW$27,1,BE333))^INT(INT((BE$6-INDEX('Lease Cycles'!$GJ$27:$GP$27,1,BE333))/12)/INDEX('Lease Cycles'!$GX$27:$HD$27,1,BE333))/12,0)))</f>
        <v>0</v>
      </c>
      <c r="BF336" s="28">
        <f>IF(BF333=0,IF('Lease Cycles'!$F$27&gt;0,'Lease Cycles'!$C$27*'Lease Cycles'!$E$27/12,0),IF(BF335=1,IF('Lease Cycles'!$AT$27&gt;=9999,'Lease Cycles'!$C$27*INDEX('Lease Cycles'!$CB$27:$CH$27,1,BF333)*(1+INDEX('Lease Cycles'!$CI$27:$CO$27,1,BF333))^INT(INT(BF334/12)/INDEX('Lease Cycles'!$CP$27:$CV$27,1,BF333))/12,IF(BF333=1,IF(BF334&gt;=INDEX('Lease Cycles'!$DK$27:$DQ$27,1,BF333),IF(BF$6&gt;='Lease Cycles'!$AZ$27,'Lease Cycles'!$C$27*'Lease Cycles'!$BA$27/12,IF(BF$6&gt;='Lease Cycles'!$AX$27,'Lease Cycles'!$C$27*'Lease Cycles'!$AY$27/12,IF(BF$6&gt;='Lease Cycles'!$AV$27,'Lease Cycles'!$C$27*'Lease Cycles'!$AW$27/12,IF(BF$6&gt;='Lease Cycles'!$AT$27,'Lease Cycles'!$C$27*'Lease Cycles'!$AU$27/12,'Lease Cycles'!$C$27*INDEX('Lease Cycles'!$CB$27:$CH$27,1,BF333)*(1+INDEX('Lease Cycles'!$CI$27:$CO$27,1,BF333))^INT(INT(BF334/12)/INDEX('Lease Cycles'!$CP$27:$CV$27,1,BF333))/12)))),'Lease Cycles'!$C$27*INDEX('Lease Cycles'!$CB$27:$CH$27,1,BF333)*(1+INDEX('Lease Cycles'!$CI$27:$CO$27,1,BF333))^INT(INT(BF334/12)/INDEX('Lease Cycles'!$CP$27:$CV$27,1,BF333))/12),IF(INDEX('Lease Cycles'!$EF$27:$EL$27,1,BF333)=1,IF(AND('Lease Cycles'!$AZ$27&gt;=INDEX('Lease Cycles'!$BG$27:$BM$27,1,BF333),'Lease Cycles'!$AZ$27&lt;=BF$6),'Lease Cycles'!$C$27*'Lease Cycles'!$BA$27/12,IF(AND('Lease Cycles'!$AX$27&gt;=INDEX('Lease Cycles'!$BG$27:$BM$27,1,BF333),'Lease Cycles'!$AX$27&lt;=BF$6),'Lease Cycles'!$C$27*'Lease Cycles'!$AY$27/12,IF(AND('Lease Cycles'!$AV$27&gt;=INDEX('Lease Cycles'!$BG$27:$BM$27,1,BF333),'Lease Cycles'!$AV$27&lt;=BF$6),'Lease Cycles'!$C$27*'Lease Cycles'!$AW$27/12,IF(AND('Lease Cycles'!$AT$27&gt;=INDEX('Lease Cycles'!$BG$27:$BM$27,1,BF333),'Lease Cycles'!$AT$27&lt;=BF$6),'Lease Cycles'!$C$27*'Lease Cycles'!$AU$27/12,'Lease Cycles'!$C$27*INDEX('Lease Cycles'!$CB$27:$CH$27,1,BF333)*(1+INDEX('Lease Cycles'!$CI$27:$CO$27,1,BF333))^INT(INT(BF334/12)/INDEX('Lease Cycles'!$CP$27:$CV$27,1,BF333))/12)))),'Lease Cycles'!$C$27*INDEX('Lease Cycles'!$CB$27:$CH$27,1,BF333)*(1+INDEX('Lease Cycles'!$CI$27:$CO$27,1,BF333))^INT(INT(BF334/12)/INDEX('Lease Cycles'!$CP$27:$CV$27,1,BF333))/12))),IF('Lease Cycles'!$N$27=1,'Lease Cycles'!$C$27*'Lease Cycles'!$E$27*INDEX('Lease Cycles'!$HE$27:$HK$27,1,BF333)*(1+INDEX('Lease Cycles'!$GQ$27:$GW$27,1,BF333))^INT(INT((BF$6-INDEX('Lease Cycles'!$GJ$27:$GP$27,1,BF333))/12)/INDEX('Lease Cycles'!$GX$27:$HD$27,1,BF333))/12,0)))</f>
        <v>0</v>
      </c>
      <c r="BG336" s="28">
        <f>IF(BG333=0,IF('Lease Cycles'!$F$27&gt;0,'Lease Cycles'!$C$27*'Lease Cycles'!$E$27/12,0),IF(BG335=1,IF('Lease Cycles'!$AT$27&gt;=9999,'Lease Cycles'!$C$27*INDEX('Lease Cycles'!$CB$27:$CH$27,1,BG333)*(1+INDEX('Lease Cycles'!$CI$27:$CO$27,1,BG333))^INT(INT(BG334/12)/INDEX('Lease Cycles'!$CP$27:$CV$27,1,BG333))/12,IF(BG333=1,IF(BG334&gt;=INDEX('Lease Cycles'!$DK$27:$DQ$27,1,BG333),IF(BG$6&gt;='Lease Cycles'!$AZ$27,'Lease Cycles'!$C$27*'Lease Cycles'!$BA$27/12,IF(BG$6&gt;='Lease Cycles'!$AX$27,'Lease Cycles'!$C$27*'Lease Cycles'!$AY$27/12,IF(BG$6&gt;='Lease Cycles'!$AV$27,'Lease Cycles'!$C$27*'Lease Cycles'!$AW$27/12,IF(BG$6&gt;='Lease Cycles'!$AT$27,'Lease Cycles'!$C$27*'Lease Cycles'!$AU$27/12,'Lease Cycles'!$C$27*INDEX('Lease Cycles'!$CB$27:$CH$27,1,BG333)*(1+INDEX('Lease Cycles'!$CI$27:$CO$27,1,BG333))^INT(INT(BG334/12)/INDEX('Lease Cycles'!$CP$27:$CV$27,1,BG333))/12)))),'Lease Cycles'!$C$27*INDEX('Lease Cycles'!$CB$27:$CH$27,1,BG333)*(1+INDEX('Lease Cycles'!$CI$27:$CO$27,1,BG333))^INT(INT(BG334/12)/INDEX('Lease Cycles'!$CP$27:$CV$27,1,BG333))/12),IF(INDEX('Lease Cycles'!$EF$27:$EL$27,1,BG333)=1,IF(AND('Lease Cycles'!$AZ$27&gt;=INDEX('Lease Cycles'!$BG$27:$BM$27,1,BG333),'Lease Cycles'!$AZ$27&lt;=BG$6),'Lease Cycles'!$C$27*'Lease Cycles'!$BA$27/12,IF(AND('Lease Cycles'!$AX$27&gt;=INDEX('Lease Cycles'!$BG$27:$BM$27,1,BG333),'Lease Cycles'!$AX$27&lt;=BG$6),'Lease Cycles'!$C$27*'Lease Cycles'!$AY$27/12,IF(AND('Lease Cycles'!$AV$27&gt;=INDEX('Lease Cycles'!$BG$27:$BM$27,1,BG333),'Lease Cycles'!$AV$27&lt;=BG$6),'Lease Cycles'!$C$27*'Lease Cycles'!$AW$27/12,IF(AND('Lease Cycles'!$AT$27&gt;=INDEX('Lease Cycles'!$BG$27:$BM$27,1,BG333),'Lease Cycles'!$AT$27&lt;=BG$6),'Lease Cycles'!$C$27*'Lease Cycles'!$AU$27/12,'Lease Cycles'!$C$27*INDEX('Lease Cycles'!$CB$27:$CH$27,1,BG333)*(1+INDEX('Lease Cycles'!$CI$27:$CO$27,1,BG333))^INT(INT(BG334/12)/INDEX('Lease Cycles'!$CP$27:$CV$27,1,BG333))/12)))),'Lease Cycles'!$C$27*INDEX('Lease Cycles'!$CB$27:$CH$27,1,BG333)*(1+INDEX('Lease Cycles'!$CI$27:$CO$27,1,BG333))^INT(INT(BG334/12)/INDEX('Lease Cycles'!$CP$27:$CV$27,1,BG333))/12))),IF('Lease Cycles'!$N$27=1,'Lease Cycles'!$C$27*'Lease Cycles'!$E$27*INDEX('Lease Cycles'!$HE$27:$HK$27,1,BG333)*(1+INDEX('Lease Cycles'!$GQ$27:$GW$27,1,BG333))^INT(INT((BG$6-INDEX('Lease Cycles'!$GJ$27:$GP$27,1,BG333))/12)/INDEX('Lease Cycles'!$GX$27:$HD$27,1,BG333))/12,0)))</f>
        <v>0</v>
      </c>
      <c r="BH336" s="28">
        <f>IF(BH333=0,IF('Lease Cycles'!$F$27&gt;0,'Lease Cycles'!$C$27*'Lease Cycles'!$E$27/12,0),IF(BH335=1,IF('Lease Cycles'!$AT$27&gt;=9999,'Lease Cycles'!$C$27*INDEX('Lease Cycles'!$CB$27:$CH$27,1,BH333)*(1+INDEX('Lease Cycles'!$CI$27:$CO$27,1,BH333))^INT(INT(BH334/12)/INDEX('Lease Cycles'!$CP$27:$CV$27,1,BH333))/12,IF(BH333=1,IF(BH334&gt;=INDEX('Lease Cycles'!$DK$27:$DQ$27,1,BH333),IF(BH$6&gt;='Lease Cycles'!$AZ$27,'Lease Cycles'!$C$27*'Lease Cycles'!$BA$27/12,IF(BH$6&gt;='Lease Cycles'!$AX$27,'Lease Cycles'!$C$27*'Lease Cycles'!$AY$27/12,IF(BH$6&gt;='Lease Cycles'!$AV$27,'Lease Cycles'!$C$27*'Lease Cycles'!$AW$27/12,IF(BH$6&gt;='Lease Cycles'!$AT$27,'Lease Cycles'!$C$27*'Lease Cycles'!$AU$27/12,'Lease Cycles'!$C$27*INDEX('Lease Cycles'!$CB$27:$CH$27,1,BH333)*(1+INDEX('Lease Cycles'!$CI$27:$CO$27,1,BH333))^INT(INT(BH334/12)/INDEX('Lease Cycles'!$CP$27:$CV$27,1,BH333))/12)))),'Lease Cycles'!$C$27*INDEX('Lease Cycles'!$CB$27:$CH$27,1,BH333)*(1+INDEX('Lease Cycles'!$CI$27:$CO$27,1,BH333))^INT(INT(BH334/12)/INDEX('Lease Cycles'!$CP$27:$CV$27,1,BH333))/12),IF(INDEX('Lease Cycles'!$EF$27:$EL$27,1,BH333)=1,IF(AND('Lease Cycles'!$AZ$27&gt;=INDEX('Lease Cycles'!$BG$27:$BM$27,1,BH333),'Lease Cycles'!$AZ$27&lt;=BH$6),'Lease Cycles'!$C$27*'Lease Cycles'!$BA$27/12,IF(AND('Lease Cycles'!$AX$27&gt;=INDEX('Lease Cycles'!$BG$27:$BM$27,1,BH333),'Lease Cycles'!$AX$27&lt;=BH$6),'Lease Cycles'!$C$27*'Lease Cycles'!$AY$27/12,IF(AND('Lease Cycles'!$AV$27&gt;=INDEX('Lease Cycles'!$BG$27:$BM$27,1,BH333),'Lease Cycles'!$AV$27&lt;=BH$6),'Lease Cycles'!$C$27*'Lease Cycles'!$AW$27/12,IF(AND('Lease Cycles'!$AT$27&gt;=INDEX('Lease Cycles'!$BG$27:$BM$27,1,BH333),'Lease Cycles'!$AT$27&lt;=BH$6),'Lease Cycles'!$C$27*'Lease Cycles'!$AU$27/12,'Lease Cycles'!$C$27*INDEX('Lease Cycles'!$CB$27:$CH$27,1,BH333)*(1+INDEX('Lease Cycles'!$CI$27:$CO$27,1,BH333))^INT(INT(BH334/12)/INDEX('Lease Cycles'!$CP$27:$CV$27,1,BH333))/12)))),'Lease Cycles'!$C$27*INDEX('Lease Cycles'!$CB$27:$CH$27,1,BH333)*(1+INDEX('Lease Cycles'!$CI$27:$CO$27,1,BH333))^INT(INT(BH334/12)/INDEX('Lease Cycles'!$CP$27:$CV$27,1,BH333))/12))),IF('Lease Cycles'!$N$27=1,'Lease Cycles'!$C$27*'Lease Cycles'!$E$27*INDEX('Lease Cycles'!$HE$27:$HK$27,1,BH333)*(1+INDEX('Lease Cycles'!$GQ$27:$GW$27,1,BH333))^INT(INT((BH$6-INDEX('Lease Cycles'!$GJ$27:$GP$27,1,BH333))/12)/INDEX('Lease Cycles'!$GX$27:$HD$27,1,BH333))/12,0)))</f>
        <v>0</v>
      </c>
      <c r="BI336" s="28">
        <f>IF(BI333=0,IF('Lease Cycles'!$F$27&gt;0,'Lease Cycles'!$C$27*'Lease Cycles'!$E$27/12,0),IF(BI335=1,IF('Lease Cycles'!$AT$27&gt;=9999,'Lease Cycles'!$C$27*INDEX('Lease Cycles'!$CB$27:$CH$27,1,BI333)*(1+INDEX('Lease Cycles'!$CI$27:$CO$27,1,BI333))^INT(INT(BI334/12)/INDEX('Lease Cycles'!$CP$27:$CV$27,1,BI333))/12,IF(BI333=1,IF(BI334&gt;=INDEX('Lease Cycles'!$DK$27:$DQ$27,1,BI333),IF(BI$6&gt;='Lease Cycles'!$AZ$27,'Lease Cycles'!$C$27*'Lease Cycles'!$BA$27/12,IF(BI$6&gt;='Lease Cycles'!$AX$27,'Lease Cycles'!$C$27*'Lease Cycles'!$AY$27/12,IF(BI$6&gt;='Lease Cycles'!$AV$27,'Lease Cycles'!$C$27*'Lease Cycles'!$AW$27/12,IF(BI$6&gt;='Lease Cycles'!$AT$27,'Lease Cycles'!$C$27*'Lease Cycles'!$AU$27/12,'Lease Cycles'!$C$27*INDEX('Lease Cycles'!$CB$27:$CH$27,1,BI333)*(1+INDEX('Lease Cycles'!$CI$27:$CO$27,1,BI333))^INT(INT(BI334/12)/INDEX('Lease Cycles'!$CP$27:$CV$27,1,BI333))/12)))),'Lease Cycles'!$C$27*INDEX('Lease Cycles'!$CB$27:$CH$27,1,BI333)*(1+INDEX('Lease Cycles'!$CI$27:$CO$27,1,BI333))^INT(INT(BI334/12)/INDEX('Lease Cycles'!$CP$27:$CV$27,1,BI333))/12),IF(INDEX('Lease Cycles'!$EF$27:$EL$27,1,BI333)=1,IF(AND('Lease Cycles'!$AZ$27&gt;=INDEX('Lease Cycles'!$BG$27:$BM$27,1,BI333),'Lease Cycles'!$AZ$27&lt;=BI$6),'Lease Cycles'!$C$27*'Lease Cycles'!$BA$27/12,IF(AND('Lease Cycles'!$AX$27&gt;=INDEX('Lease Cycles'!$BG$27:$BM$27,1,BI333),'Lease Cycles'!$AX$27&lt;=BI$6),'Lease Cycles'!$C$27*'Lease Cycles'!$AY$27/12,IF(AND('Lease Cycles'!$AV$27&gt;=INDEX('Lease Cycles'!$BG$27:$BM$27,1,BI333),'Lease Cycles'!$AV$27&lt;=BI$6),'Lease Cycles'!$C$27*'Lease Cycles'!$AW$27/12,IF(AND('Lease Cycles'!$AT$27&gt;=INDEX('Lease Cycles'!$BG$27:$BM$27,1,BI333),'Lease Cycles'!$AT$27&lt;=BI$6),'Lease Cycles'!$C$27*'Lease Cycles'!$AU$27/12,'Lease Cycles'!$C$27*INDEX('Lease Cycles'!$CB$27:$CH$27,1,BI333)*(1+INDEX('Lease Cycles'!$CI$27:$CO$27,1,BI333))^INT(INT(BI334/12)/INDEX('Lease Cycles'!$CP$27:$CV$27,1,BI333))/12)))),'Lease Cycles'!$C$27*INDEX('Lease Cycles'!$CB$27:$CH$27,1,BI333)*(1+INDEX('Lease Cycles'!$CI$27:$CO$27,1,BI333))^INT(INT(BI334/12)/INDEX('Lease Cycles'!$CP$27:$CV$27,1,BI333))/12))),IF('Lease Cycles'!$N$27=1,'Lease Cycles'!$C$27*'Lease Cycles'!$E$27*INDEX('Lease Cycles'!$HE$27:$HK$27,1,BI333)*(1+INDEX('Lease Cycles'!$GQ$27:$GW$27,1,BI333))^INT(INT((BI$6-INDEX('Lease Cycles'!$GJ$27:$GP$27,1,BI333))/12)/INDEX('Lease Cycles'!$GX$27:$HD$27,1,BI333))/12,0)))</f>
        <v>0</v>
      </c>
      <c r="BJ336" s="28">
        <f>IF(BJ333=0,IF('Lease Cycles'!$F$27&gt;0,'Lease Cycles'!$C$27*'Lease Cycles'!$E$27/12,0),IF(BJ335=1,IF('Lease Cycles'!$AT$27&gt;=9999,'Lease Cycles'!$C$27*INDEX('Lease Cycles'!$CB$27:$CH$27,1,BJ333)*(1+INDEX('Lease Cycles'!$CI$27:$CO$27,1,BJ333))^INT(INT(BJ334/12)/INDEX('Lease Cycles'!$CP$27:$CV$27,1,BJ333))/12,IF(BJ333=1,IF(BJ334&gt;=INDEX('Lease Cycles'!$DK$27:$DQ$27,1,BJ333),IF(BJ$6&gt;='Lease Cycles'!$AZ$27,'Lease Cycles'!$C$27*'Lease Cycles'!$BA$27/12,IF(BJ$6&gt;='Lease Cycles'!$AX$27,'Lease Cycles'!$C$27*'Lease Cycles'!$AY$27/12,IF(BJ$6&gt;='Lease Cycles'!$AV$27,'Lease Cycles'!$C$27*'Lease Cycles'!$AW$27/12,IF(BJ$6&gt;='Lease Cycles'!$AT$27,'Lease Cycles'!$C$27*'Lease Cycles'!$AU$27/12,'Lease Cycles'!$C$27*INDEX('Lease Cycles'!$CB$27:$CH$27,1,BJ333)*(1+INDEX('Lease Cycles'!$CI$27:$CO$27,1,BJ333))^INT(INT(BJ334/12)/INDEX('Lease Cycles'!$CP$27:$CV$27,1,BJ333))/12)))),'Lease Cycles'!$C$27*INDEX('Lease Cycles'!$CB$27:$CH$27,1,BJ333)*(1+INDEX('Lease Cycles'!$CI$27:$CO$27,1,BJ333))^INT(INT(BJ334/12)/INDEX('Lease Cycles'!$CP$27:$CV$27,1,BJ333))/12),IF(INDEX('Lease Cycles'!$EF$27:$EL$27,1,BJ333)=1,IF(AND('Lease Cycles'!$AZ$27&gt;=INDEX('Lease Cycles'!$BG$27:$BM$27,1,BJ333),'Lease Cycles'!$AZ$27&lt;=BJ$6),'Lease Cycles'!$C$27*'Lease Cycles'!$BA$27/12,IF(AND('Lease Cycles'!$AX$27&gt;=INDEX('Lease Cycles'!$BG$27:$BM$27,1,BJ333),'Lease Cycles'!$AX$27&lt;=BJ$6),'Lease Cycles'!$C$27*'Lease Cycles'!$AY$27/12,IF(AND('Lease Cycles'!$AV$27&gt;=INDEX('Lease Cycles'!$BG$27:$BM$27,1,BJ333),'Lease Cycles'!$AV$27&lt;=BJ$6),'Lease Cycles'!$C$27*'Lease Cycles'!$AW$27/12,IF(AND('Lease Cycles'!$AT$27&gt;=INDEX('Lease Cycles'!$BG$27:$BM$27,1,BJ333),'Lease Cycles'!$AT$27&lt;=BJ$6),'Lease Cycles'!$C$27*'Lease Cycles'!$AU$27/12,'Lease Cycles'!$C$27*INDEX('Lease Cycles'!$CB$27:$CH$27,1,BJ333)*(1+INDEX('Lease Cycles'!$CI$27:$CO$27,1,BJ333))^INT(INT(BJ334/12)/INDEX('Lease Cycles'!$CP$27:$CV$27,1,BJ333))/12)))),'Lease Cycles'!$C$27*INDEX('Lease Cycles'!$CB$27:$CH$27,1,BJ333)*(1+INDEX('Lease Cycles'!$CI$27:$CO$27,1,BJ333))^INT(INT(BJ334/12)/INDEX('Lease Cycles'!$CP$27:$CV$27,1,BJ333))/12))),IF('Lease Cycles'!$N$27=1,'Lease Cycles'!$C$27*'Lease Cycles'!$E$27*INDEX('Lease Cycles'!$HE$27:$HK$27,1,BJ333)*(1+INDEX('Lease Cycles'!$GQ$27:$GW$27,1,BJ333))^INT(INT((BJ$6-INDEX('Lease Cycles'!$GJ$27:$GP$27,1,BJ333))/12)/INDEX('Lease Cycles'!$GX$27:$HD$27,1,BJ333))/12,0)))</f>
        <v>0</v>
      </c>
      <c r="BK336" s="28">
        <f>IF(BK333=0,IF('Lease Cycles'!$F$27&gt;0,'Lease Cycles'!$C$27*'Lease Cycles'!$E$27/12,0),IF(BK335=1,IF('Lease Cycles'!$AT$27&gt;=9999,'Lease Cycles'!$C$27*INDEX('Lease Cycles'!$CB$27:$CH$27,1,BK333)*(1+INDEX('Lease Cycles'!$CI$27:$CO$27,1,BK333))^INT(INT(BK334/12)/INDEX('Lease Cycles'!$CP$27:$CV$27,1,BK333))/12,IF(BK333=1,IF(BK334&gt;=INDEX('Lease Cycles'!$DK$27:$DQ$27,1,BK333),IF(BK$6&gt;='Lease Cycles'!$AZ$27,'Lease Cycles'!$C$27*'Lease Cycles'!$BA$27/12,IF(BK$6&gt;='Lease Cycles'!$AX$27,'Lease Cycles'!$C$27*'Lease Cycles'!$AY$27/12,IF(BK$6&gt;='Lease Cycles'!$AV$27,'Lease Cycles'!$C$27*'Lease Cycles'!$AW$27/12,IF(BK$6&gt;='Lease Cycles'!$AT$27,'Lease Cycles'!$C$27*'Lease Cycles'!$AU$27/12,'Lease Cycles'!$C$27*INDEX('Lease Cycles'!$CB$27:$CH$27,1,BK333)*(1+INDEX('Lease Cycles'!$CI$27:$CO$27,1,BK333))^INT(INT(BK334/12)/INDEX('Lease Cycles'!$CP$27:$CV$27,1,BK333))/12)))),'Lease Cycles'!$C$27*INDEX('Lease Cycles'!$CB$27:$CH$27,1,BK333)*(1+INDEX('Lease Cycles'!$CI$27:$CO$27,1,BK333))^INT(INT(BK334/12)/INDEX('Lease Cycles'!$CP$27:$CV$27,1,BK333))/12),IF(INDEX('Lease Cycles'!$EF$27:$EL$27,1,BK333)=1,IF(AND('Lease Cycles'!$AZ$27&gt;=INDEX('Lease Cycles'!$BG$27:$BM$27,1,BK333),'Lease Cycles'!$AZ$27&lt;=BK$6),'Lease Cycles'!$C$27*'Lease Cycles'!$BA$27/12,IF(AND('Lease Cycles'!$AX$27&gt;=INDEX('Lease Cycles'!$BG$27:$BM$27,1,BK333),'Lease Cycles'!$AX$27&lt;=BK$6),'Lease Cycles'!$C$27*'Lease Cycles'!$AY$27/12,IF(AND('Lease Cycles'!$AV$27&gt;=INDEX('Lease Cycles'!$BG$27:$BM$27,1,BK333),'Lease Cycles'!$AV$27&lt;=BK$6),'Lease Cycles'!$C$27*'Lease Cycles'!$AW$27/12,IF(AND('Lease Cycles'!$AT$27&gt;=INDEX('Lease Cycles'!$BG$27:$BM$27,1,BK333),'Lease Cycles'!$AT$27&lt;=BK$6),'Lease Cycles'!$C$27*'Lease Cycles'!$AU$27/12,'Lease Cycles'!$C$27*INDEX('Lease Cycles'!$CB$27:$CH$27,1,BK333)*(1+INDEX('Lease Cycles'!$CI$27:$CO$27,1,BK333))^INT(INT(BK334/12)/INDEX('Lease Cycles'!$CP$27:$CV$27,1,BK333))/12)))),'Lease Cycles'!$C$27*INDEX('Lease Cycles'!$CB$27:$CH$27,1,BK333)*(1+INDEX('Lease Cycles'!$CI$27:$CO$27,1,BK333))^INT(INT(BK334/12)/INDEX('Lease Cycles'!$CP$27:$CV$27,1,BK333))/12))),IF('Lease Cycles'!$N$27=1,'Lease Cycles'!$C$27*'Lease Cycles'!$E$27*INDEX('Lease Cycles'!$HE$27:$HK$27,1,BK333)*(1+INDEX('Lease Cycles'!$GQ$27:$GW$27,1,BK333))^INT(INT((BK$6-INDEX('Lease Cycles'!$GJ$27:$GP$27,1,BK333))/12)/INDEX('Lease Cycles'!$GX$27:$HD$27,1,BK333))/12,0)))</f>
        <v>0</v>
      </c>
      <c r="BL336" s="28">
        <f>IF(BL333=0,IF('Lease Cycles'!$F$27&gt;0,'Lease Cycles'!$C$27*'Lease Cycles'!$E$27/12,0),IF(BL335=1,IF('Lease Cycles'!$AT$27&gt;=9999,'Lease Cycles'!$C$27*INDEX('Lease Cycles'!$CB$27:$CH$27,1,BL333)*(1+INDEX('Lease Cycles'!$CI$27:$CO$27,1,BL333))^INT(INT(BL334/12)/INDEX('Lease Cycles'!$CP$27:$CV$27,1,BL333))/12,IF(BL333=1,IF(BL334&gt;=INDEX('Lease Cycles'!$DK$27:$DQ$27,1,BL333),IF(BL$6&gt;='Lease Cycles'!$AZ$27,'Lease Cycles'!$C$27*'Lease Cycles'!$BA$27/12,IF(BL$6&gt;='Lease Cycles'!$AX$27,'Lease Cycles'!$C$27*'Lease Cycles'!$AY$27/12,IF(BL$6&gt;='Lease Cycles'!$AV$27,'Lease Cycles'!$C$27*'Lease Cycles'!$AW$27/12,IF(BL$6&gt;='Lease Cycles'!$AT$27,'Lease Cycles'!$C$27*'Lease Cycles'!$AU$27/12,'Lease Cycles'!$C$27*INDEX('Lease Cycles'!$CB$27:$CH$27,1,BL333)*(1+INDEX('Lease Cycles'!$CI$27:$CO$27,1,BL333))^INT(INT(BL334/12)/INDEX('Lease Cycles'!$CP$27:$CV$27,1,BL333))/12)))),'Lease Cycles'!$C$27*INDEX('Lease Cycles'!$CB$27:$CH$27,1,BL333)*(1+INDEX('Lease Cycles'!$CI$27:$CO$27,1,BL333))^INT(INT(BL334/12)/INDEX('Lease Cycles'!$CP$27:$CV$27,1,BL333))/12),IF(INDEX('Lease Cycles'!$EF$27:$EL$27,1,BL333)=1,IF(AND('Lease Cycles'!$AZ$27&gt;=INDEX('Lease Cycles'!$BG$27:$BM$27,1,BL333),'Lease Cycles'!$AZ$27&lt;=BL$6),'Lease Cycles'!$C$27*'Lease Cycles'!$BA$27/12,IF(AND('Lease Cycles'!$AX$27&gt;=INDEX('Lease Cycles'!$BG$27:$BM$27,1,BL333),'Lease Cycles'!$AX$27&lt;=BL$6),'Lease Cycles'!$C$27*'Lease Cycles'!$AY$27/12,IF(AND('Lease Cycles'!$AV$27&gt;=INDEX('Lease Cycles'!$BG$27:$BM$27,1,BL333),'Lease Cycles'!$AV$27&lt;=BL$6),'Lease Cycles'!$C$27*'Lease Cycles'!$AW$27/12,IF(AND('Lease Cycles'!$AT$27&gt;=INDEX('Lease Cycles'!$BG$27:$BM$27,1,BL333),'Lease Cycles'!$AT$27&lt;=BL$6),'Lease Cycles'!$C$27*'Lease Cycles'!$AU$27/12,'Lease Cycles'!$C$27*INDEX('Lease Cycles'!$CB$27:$CH$27,1,BL333)*(1+INDEX('Lease Cycles'!$CI$27:$CO$27,1,BL333))^INT(INT(BL334/12)/INDEX('Lease Cycles'!$CP$27:$CV$27,1,BL333))/12)))),'Lease Cycles'!$C$27*INDEX('Lease Cycles'!$CB$27:$CH$27,1,BL333)*(1+INDEX('Lease Cycles'!$CI$27:$CO$27,1,BL333))^INT(INT(BL334/12)/INDEX('Lease Cycles'!$CP$27:$CV$27,1,BL333))/12))),IF('Lease Cycles'!$N$27=1,'Lease Cycles'!$C$27*'Lease Cycles'!$E$27*INDEX('Lease Cycles'!$HE$27:$HK$27,1,BL333)*(1+INDEX('Lease Cycles'!$GQ$27:$GW$27,1,BL333))^INT(INT((BL$6-INDEX('Lease Cycles'!$GJ$27:$GP$27,1,BL333))/12)/INDEX('Lease Cycles'!$GX$27:$HD$27,1,BL333))/12,0)))</f>
        <v>0</v>
      </c>
      <c r="BM336" s="28">
        <f>IF(BM333=0,IF('Lease Cycles'!$F$27&gt;0,'Lease Cycles'!$C$27*'Lease Cycles'!$E$27/12,0),IF(BM335=1,IF('Lease Cycles'!$AT$27&gt;=9999,'Lease Cycles'!$C$27*INDEX('Lease Cycles'!$CB$27:$CH$27,1,BM333)*(1+INDEX('Lease Cycles'!$CI$27:$CO$27,1,BM333))^INT(INT(BM334/12)/INDEX('Lease Cycles'!$CP$27:$CV$27,1,BM333))/12,IF(BM333=1,IF(BM334&gt;=INDEX('Lease Cycles'!$DK$27:$DQ$27,1,BM333),IF(BM$6&gt;='Lease Cycles'!$AZ$27,'Lease Cycles'!$C$27*'Lease Cycles'!$BA$27/12,IF(BM$6&gt;='Lease Cycles'!$AX$27,'Lease Cycles'!$C$27*'Lease Cycles'!$AY$27/12,IF(BM$6&gt;='Lease Cycles'!$AV$27,'Lease Cycles'!$C$27*'Lease Cycles'!$AW$27/12,IF(BM$6&gt;='Lease Cycles'!$AT$27,'Lease Cycles'!$C$27*'Lease Cycles'!$AU$27/12,'Lease Cycles'!$C$27*INDEX('Lease Cycles'!$CB$27:$CH$27,1,BM333)*(1+INDEX('Lease Cycles'!$CI$27:$CO$27,1,BM333))^INT(INT(BM334/12)/INDEX('Lease Cycles'!$CP$27:$CV$27,1,BM333))/12)))),'Lease Cycles'!$C$27*INDEX('Lease Cycles'!$CB$27:$CH$27,1,BM333)*(1+INDEX('Lease Cycles'!$CI$27:$CO$27,1,BM333))^INT(INT(BM334/12)/INDEX('Lease Cycles'!$CP$27:$CV$27,1,BM333))/12),IF(INDEX('Lease Cycles'!$EF$27:$EL$27,1,BM333)=1,IF(AND('Lease Cycles'!$AZ$27&gt;=INDEX('Lease Cycles'!$BG$27:$BM$27,1,BM333),'Lease Cycles'!$AZ$27&lt;=BM$6),'Lease Cycles'!$C$27*'Lease Cycles'!$BA$27/12,IF(AND('Lease Cycles'!$AX$27&gt;=INDEX('Lease Cycles'!$BG$27:$BM$27,1,BM333),'Lease Cycles'!$AX$27&lt;=BM$6),'Lease Cycles'!$C$27*'Lease Cycles'!$AY$27/12,IF(AND('Lease Cycles'!$AV$27&gt;=INDEX('Lease Cycles'!$BG$27:$BM$27,1,BM333),'Lease Cycles'!$AV$27&lt;=BM$6),'Lease Cycles'!$C$27*'Lease Cycles'!$AW$27/12,IF(AND('Lease Cycles'!$AT$27&gt;=INDEX('Lease Cycles'!$BG$27:$BM$27,1,BM333),'Lease Cycles'!$AT$27&lt;=BM$6),'Lease Cycles'!$C$27*'Lease Cycles'!$AU$27/12,'Lease Cycles'!$C$27*INDEX('Lease Cycles'!$CB$27:$CH$27,1,BM333)*(1+INDEX('Lease Cycles'!$CI$27:$CO$27,1,BM333))^INT(INT(BM334/12)/INDEX('Lease Cycles'!$CP$27:$CV$27,1,BM333))/12)))),'Lease Cycles'!$C$27*INDEX('Lease Cycles'!$CB$27:$CH$27,1,BM333)*(1+INDEX('Lease Cycles'!$CI$27:$CO$27,1,BM333))^INT(INT(BM334/12)/INDEX('Lease Cycles'!$CP$27:$CV$27,1,BM333))/12))),IF('Lease Cycles'!$N$27=1,'Lease Cycles'!$C$27*'Lease Cycles'!$E$27*INDEX('Lease Cycles'!$HE$27:$HK$27,1,BM333)*(1+INDEX('Lease Cycles'!$GQ$27:$GW$27,1,BM333))^INT(INT((BM$6-INDEX('Lease Cycles'!$GJ$27:$GP$27,1,BM333))/12)/INDEX('Lease Cycles'!$GX$27:$HD$27,1,BM333))/12,0)))</f>
        <v>0</v>
      </c>
      <c r="BN336" s="28">
        <f>IF(BN333=0,IF('Lease Cycles'!$F$27&gt;0,'Lease Cycles'!$C$27*'Lease Cycles'!$E$27/12,0),IF(BN335=1,IF('Lease Cycles'!$AT$27&gt;=9999,'Lease Cycles'!$C$27*INDEX('Lease Cycles'!$CB$27:$CH$27,1,BN333)*(1+INDEX('Lease Cycles'!$CI$27:$CO$27,1,BN333))^INT(INT(BN334/12)/INDEX('Lease Cycles'!$CP$27:$CV$27,1,BN333))/12,IF(BN333=1,IF(BN334&gt;=INDEX('Lease Cycles'!$DK$27:$DQ$27,1,BN333),IF(BN$6&gt;='Lease Cycles'!$AZ$27,'Lease Cycles'!$C$27*'Lease Cycles'!$BA$27/12,IF(BN$6&gt;='Lease Cycles'!$AX$27,'Lease Cycles'!$C$27*'Lease Cycles'!$AY$27/12,IF(BN$6&gt;='Lease Cycles'!$AV$27,'Lease Cycles'!$C$27*'Lease Cycles'!$AW$27/12,IF(BN$6&gt;='Lease Cycles'!$AT$27,'Lease Cycles'!$C$27*'Lease Cycles'!$AU$27/12,'Lease Cycles'!$C$27*INDEX('Lease Cycles'!$CB$27:$CH$27,1,BN333)*(1+INDEX('Lease Cycles'!$CI$27:$CO$27,1,BN333))^INT(INT(BN334/12)/INDEX('Lease Cycles'!$CP$27:$CV$27,1,BN333))/12)))),'Lease Cycles'!$C$27*INDEX('Lease Cycles'!$CB$27:$CH$27,1,BN333)*(1+INDEX('Lease Cycles'!$CI$27:$CO$27,1,BN333))^INT(INT(BN334/12)/INDEX('Lease Cycles'!$CP$27:$CV$27,1,BN333))/12),IF(INDEX('Lease Cycles'!$EF$27:$EL$27,1,BN333)=1,IF(AND('Lease Cycles'!$AZ$27&gt;=INDEX('Lease Cycles'!$BG$27:$BM$27,1,BN333),'Lease Cycles'!$AZ$27&lt;=BN$6),'Lease Cycles'!$C$27*'Lease Cycles'!$BA$27/12,IF(AND('Lease Cycles'!$AX$27&gt;=INDEX('Lease Cycles'!$BG$27:$BM$27,1,BN333),'Lease Cycles'!$AX$27&lt;=BN$6),'Lease Cycles'!$C$27*'Lease Cycles'!$AY$27/12,IF(AND('Lease Cycles'!$AV$27&gt;=INDEX('Lease Cycles'!$BG$27:$BM$27,1,BN333),'Lease Cycles'!$AV$27&lt;=BN$6),'Lease Cycles'!$C$27*'Lease Cycles'!$AW$27/12,IF(AND('Lease Cycles'!$AT$27&gt;=INDEX('Lease Cycles'!$BG$27:$BM$27,1,BN333),'Lease Cycles'!$AT$27&lt;=BN$6),'Lease Cycles'!$C$27*'Lease Cycles'!$AU$27/12,'Lease Cycles'!$C$27*INDEX('Lease Cycles'!$CB$27:$CH$27,1,BN333)*(1+INDEX('Lease Cycles'!$CI$27:$CO$27,1,BN333))^INT(INT(BN334/12)/INDEX('Lease Cycles'!$CP$27:$CV$27,1,BN333))/12)))),'Lease Cycles'!$C$27*INDEX('Lease Cycles'!$CB$27:$CH$27,1,BN333)*(1+INDEX('Lease Cycles'!$CI$27:$CO$27,1,BN333))^INT(INT(BN334/12)/INDEX('Lease Cycles'!$CP$27:$CV$27,1,BN333))/12))),IF('Lease Cycles'!$N$27=1,'Lease Cycles'!$C$27*'Lease Cycles'!$E$27*INDEX('Lease Cycles'!$HE$27:$HK$27,1,BN333)*(1+INDEX('Lease Cycles'!$GQ$27:$GW$27,1,BN333))^INT(INT((BN$6-INDEX('Lease Cycles'!$GJ$27:$GP$27,1,BN333))/12)/INDEX('Lease Cycles'!$GX$27:$HD$27,1,BN333))/12,0)))</f>
        <v>0</v>
      </c>
      <c r="BO336" s="28">
        <f>IF(BO333=0,IF('Lease Cycles'!$F$27&gt;0,'Lease Cycles'!$C$27*'Lease Cycles'!$E$27/12,0),IF(BO335=1,IF('Lease Cycles'!$AT$27&gt;=9999,'Lease Cycles'!$C$27*INDEX('Lease Cycles'!$CB$27:$CH$27,1,BO333)*(1+INDEX('Lease Cycles'!$CI$27:$CO$27,1,BO333))^INT(INT(BO334/12)/INDEX('Lease Cycles'!$CP$27:$CV$27,1,BO333))/12,IF(BO333=1,IF(BO334&gt;=INDEX('Lease Cycles'!$DK$27:$DQ$27,1,BO333),IF(BO$6&gt;='Lease Cycles'!$AZ$27,'Lease Cycles'!$C$27*'Lease Cycles'!$BA$27/12,IF(BO$6&gt;='Lease Cycles'!$AX$27,'Lease Cycles'!$C$27*'Lease Cycles'!$AY$27/12,IF(BO$6&gt;='Lease Cycles'!$AV$27,'Lease Cycles'!$C$27*'Lease Cycles'!$AW$27/12,IF(BO$6&gt;='Lease Cycles'!$AT$27,'Lease Cycles'!$C$27*'Lease Cycles'!$AU$27/12,'Lease Cycles'!$C$27*INDEX('Lease Cycles'!$CB$27:$CH$27,1,BO333)*(1+INDEX('Lease Cycles'!$CI$27:$CO$27,1,BO333))^INT(INT(BO334/12)/INDEX('Lease Cycles'!$CP$27:$CV$27,1,BO333))/12)))),'Lease Cycles'!$C$27*INDEX('Lease Cycles'!$CB$27:$CH$27,1,BO333)*(1+INDEX('Lease Cycles'!$CI$27:$CO$27,1,BO333))^INT(INT(BO334/12)/INDEX('Lease Cycles'!$CP$27:$CV$27,1,BO333))/12),IF(INDEX('Lease Cycles'!$EF$27:$EL$27,1,BO333)=1,IF(AND('Lease Cycles'!$AZ$27&gt;=INDEX('Lease Cycles'!$BG$27:$BM$27,1,BO333),'Lease Cycles'!$AZ$27&lt;=BO$6),'Lease Cycles'!$C$27*'Lease Cycles'!$BA$27/12,IF(AND('Lease Cycles'!$AX$27&gt;=INDEX('Lease Cycles'!$BG$27:$BM$27,1,BO333),'Lease Cycles'!$AX$27&lt;=BO$6),'Lease Cycles'!$C$27*'Lease Cycles'!$AY$27/12,IF(AND('Lease Cycles'!$AV$27&gt;=INDEX('Lease Cycles'!$BG$27:$BM$27,1,BO333),'Lease Cycles'!$AV$27&lt;=BO$6),'Lease Cycles'!$C$27*'Lease Cycles'!$AW$27/12,IF(AND('Lease Cycles'!$AT$27&gt;=INDEX('Lease Cycles'!$BG$27:$BM$27,1,BO333),'Lease Cycles'!$AT$27&lt;=BO$6),'Lease Cycles'!$C$27*'Lease Cycles'!$AU$27/12,'Lease Cycles'!$C$27*INDEX('Lease Cycles'!$CB$27:$CH$27,1,BO333)*(1+INDEX('Lease Cycles'!$CI$27:$CO$27,1,BO333))^INT(INT(BO334/12)/INDEX('Lease Cycles'!$CP$27:$CV$27,1,BO333))/12)))),'Lease Cycles'!$C$27*INDEX('Lease Cycles'!$CB$27:$CH$27,1,BO333)*(1+INDEX('Lease Cycles'!$CI$27:$CO$27,1,BO333))^INT(INT(BO334/12)/INDEX('Lease Cycles'!$CP$27:$CV$27,1,BO333))/12))),IF('Lease Cycles'!$N$27=1,'Lease Cycles'!$C$27*'Lease Cycles'!$E$27*INDEX('Lease Cycles'!$HE$27:$HK$27,1,BO333)*(1+INDEX('Lease Cycles'!$GQ$27:$GW$27,1,BO333))^INT(INT((BO$6-INDEX('Lease Cycles'!$GJ$27:$GP$27,1,BO333))/12)/INDEX('Lease Cycles'!$GX$27:$HD$27,1,BO333))/12,0)))</f>
        <v>0</v>
      </c>
      <c r="BP336" s="28">
        <f>IF(BP333=0,IF('Lease Cycles'!$F$27&gt;0,'Lease Cycles'!$C$27*'Lease Cycles'!$E$27/12,0),IF(BP335=1,IF('Lease Cycles'!$AT$27&gt;=9999,'Lease Cycles'!$C$27*INDEX('Lease Cycles'!$CB$27:$CH$27,1,BP333)*(1+INDEX('Lease Cycles'!$CI$27:$CO$27,1,BP333))^INT(INT(BP334/12)/INDEX('Lease Cycles'!$CP$27:$CV$27,1,BP333))/12,IF(BP333=1,IF(BP334&gt;=INDEX('Lease Cycles'!$DK$27:$DQ$27,1,BP333),IF(BP$6&gt;='Lease Cycles'!$AZ$27,'Lease Cycles'!$C$27*'Lease Cycles'!$BA$27/12,IF(BP$6&gt;='Lease Cycles'!$AX$27,'Lease Cycles'!$C$27*'Lease Cycles'!$AY$27/12,IF(BP$6&gt;='Lease Cycles'!$AV$27,'Lease Cycles'!$C$27*'Lease Cycles'!$AW$27/12,IF(BP$6&gt;='Lease Cycles'!$AT$27,'Lease Cycles'!$C$27*'Lease Cycles'!$AU$27/12,'Lease Cycles'!$C$27*INDEX('Lease Cycles'!$CB$27:$CH$27,1,BP333)*(1+INDEX('Lease Cycles'!$CI$27:$CO$27,1,BP333))^INT(INT(BP334/12)/INDEX('Lease Cycles'!$CP$27:$CV$27,1,BP333))/12)))),'Lease Cycles'!$C$27*INDEX('Lease Cycles'!$CB$27:$CH$27,1,BP333)*(1+INDEX('Lease Cycles'!$CI$27:$CO$27,1,BP333))^INT(INT(BP334/12)/INDEX('Lease Cycles'!$CP$27:$CV$27,1,BP333))/12),IF(INDEX('Lease Cycles'!$EF$27:$EL$27,1,BP333)=1,IF(AND('Lease Cycles'!$AZ$27&gt;=INDEX('Lease Cycles'!$BG$27:$BM$27,1,BP333),'Lease Cycles'!$AZ$27&lt;=BP$6),'Lease Cycles'!$C$27*'Lease Cycles'!$BA$27/12,IF(AND('Lease Cycles'!$AX$27&gt;=INDEX('Lease Cycles'!$BG$27:$BM$27,1,BP333),'Lease Cycles'!$AX$27&lt;=BP$6),'Lease Cycles'!$C$27*'Lease Cycles'!$AY$27/12,IF(AND('Lease Cycles'!$AV$27&gt;=INDEX('Lease Cycles'!$BG$27:$BM$27,1,BP333),'Lease Cycles'!$AV$27&lt;=BP$6),'Lease Cycles'!$C$27*'Lease Cycles'!$AW$27/12,IF(AND('Lease Cycles'!$AT$27&gt;=INDEX('Lease Cycles'!$BG$27:$BM$27,1,BP333),'Lease Cycles'!$AT$27&lt;=BP$6),'Lease Cycles'!$C$27*'Lease Cycles'!$AU$27/12,'Lease Cycles'!$C$27*INDEX('Lease Cycles'!$CB$27:$CH$27,1,BP333)*(1+INDEX('Lease Cycles'!$CI$27:$CO$27,1,BP333))^INT(INT(BP334/12)/INDEX('Lease Cycles'!$CP$27:$CV$27,1,BP333))/12)))),'Lease Cycles'!$C$27*INDEX('Lease Cycles'!$CB$27:$CH$27,1,BP333)*(1+INDEX('Lease Cycles'!$CI$27:$CO$27,1,BP333))^INT(INT(BP334/12)/INDEX('Lease Cycles'!$CP$27:$CV$27,1,BP333))/12))),IF('Lease Cycles'!$N$27=1,'Lease Cycles'!$C$27*'Lease Cycles'!$E$27*INDEX('Lease Cycles'!$HE$27:$HK$27,1,BP333)*(1+INDEX('Lease Cycles'!$GQ$27:$GW$27,1,BP333))^INT(INT((BP$6-INDEX('Lease Cycles'!$GJ$27:$GP$27,1,BP333))/12)/INDEX('Lease Cycles'!$GX$27:$HD$27,1,BP333))/12,0)))</f>
        <v>0</v>
      </c>
      <c r="BQ336" s="28">
        <f>IF(BQ333=0,IF('Lease Cycles'!$F$27&gt;0,'Lease Cycles'!$C$27*'Lease Cycles'!$E$27/12,0),IF(BQ335=1,IF('Lease Cycles'!$AT$27&gt;=9999,'Lease Cycles'!$C$27*INDEX('Lease Cycles'!$CB$27:$CH$27,1,BQ333)*(1+INDEX('Lease Cycles'!$CI$27:$CO$27,1,BQ333))^INT(INT(BQ334/12)/INDEX('Lease Cycles'!$CP$27:$CV$27,1,BQ333))/12,IF(BQ333=1,IF(BQ334&gt;=INDEX('Lease Cycles'!$DK$27:$DQ$27,1,BQ333),IF(BQ$6&gt;='Lease Cycles'!$AZ$27,'Lease Cycles'!$C$27*'Lease Cycles'!$BA$27/12,IF(BQ$6&gt;='Lease Cycles'!$AX$27,'Lease Cycles'!$C$27*'Lease Cycles'!$AY$27/12,IF(BQ$6&gt;='Lease Cycles'!$AV$27,'Lease Cycles'!$C$27*'Lease Cycles'!$AW$27/12,IF(BQ$6&gt;='Lease Cycles'!$AT$27,'Lease Cycles'!$C$27*'Lease Cycles'!$AU$27/12,'Lease Cycles'!$C$27*INDEX('Lease Cycles'!$CB$27:$CH$27,1,BQ333)*(1+INDEX('Lease Cycles'!$CI$27:$CO$27,1,BQ333))^INT(INT(BQ334/12)/INDEX('Lease Cycles'!$CP$27:$CV$27,1,BQ333))/12)))),'Lease Cycles'!$C$27*INDEX('Lease Cycles'!$CB$27:$CH$27,1,BQ333)*(1+INDEX('Lease Cycles'!$CI$27:$CO$27,1,BQ333))^INT(INT(BQ334/12)/INDEX('Lease Cycles'!$CP$27:$CV$27,1,BQ333))/12),IF(INDEX('Lease Cycles'!$EF$27:$EL$27,1,BQ333)=1,IF(AND('Lease Cycles'!$AZ$27&gt;=INDEX('Lease Cycles'!$BG$27:$BM$27,1,BQ333),'Lease Cycles'!$AZ$27&lt;=BQ$6),'Lease Cycles'!$C$27*'Lease Cycles'!$BA$27/12,IF(AND('Lease Cycles'!$AX$27&gt;=INDEX('Lease Cycles'!$BG$27:$BM$27,1,BQ333),'Lease Cycles'!$AX$27&lt;=BQ$6),'Lease Cycles'!$C$27*'Lease Cycles'!$AY$27/12,IF(AND('Lease Cycles'!$AV$27&gt;=INDEX('Lease Cycles'!$BG$27:$BM$27,1,BQ333),'Lease Cycles'!$AV$27&lt;=BQ$6),'Lease Cycles'!$C$27*'Lease Cycles'!$AW$27/12,IF(AND('Lease Cycles'!$AT$27&gt;=INDEX('Lease Cycles'!$BG$27:$BM$27,1,BQ333),'Lease Cycles'!$AT$27&lt;=BQ$6),'Lease Cycles'!$C$27*'Lease Cycles'!$AU$27/12,'Lease Cycles'!$C$27*INDEX('Lease Cycles'!$CB$27:$CH$27,1,BQ333)*(1+INDEX('Lease Cycles'!$CI$27:$CO$27,1,BQ333))^INT(INT(BQ334/12)/INDEX('Lease Cycles'!$CP$27:$CV$27,1,BQ333))/12)))),'Lease Cycles'!$C$27*INDEX('Lease Cycles'!$CB$27:$CH$27,1,BQ333)*(1+INDEX('Lease Cycles'!$CI$27:$CO$27,1,BQ333))^INT(INT(BQ334/12)/INDEX('Lease Cycles'!$CP$27:$CV$27,1,BQ333))/12))),IF('Lease Cycles'!$N$27=1,'Lease Cycles'!$C$27*'Lease Cycles'!$E$27*INDEX('Lease Cycles'!$HE$27:$HK$27,1,BQ333)*(1+INDEX('Lease Cycles'!$GQ$27:$GW$27,1,BQ333))^INT(INT((BQ$6-INDEX('Lease Cycles'!$GJ$27:$GP$27,1,BQ333))/12)/INDEX('Lease Cycles'!$GX$27:$HD$27,1,BQ333))/12,0)))</f>
        <v>0</v>
      </c>
      <c r="BR336" s="28">
        <f>IF(BR333=0,IF('Lease Cycles'!$F$27&gt;0,'Lease Cycles'!$C$27*'Lease Cycles'!$E$27/12,0),IF(BR335=1,IF('Lease Cycles'!$AT$27&gt;=9999,'Lease Cycles'!$C$27*INDEX('Lease Cycles'!$CB$27:$CH$27,1,BR333)*(1+INDEX('Lease Cycles'!$CI$27:$CO$27,1,BR333))^INT(INT(BR334/12)/INDEX('Lease Cycles'!$CP$27:$CV$27,1,BR333))/12,IF(BR333=1,IF(BR334&gt;=INDEX('Lease Cycles'!$DK$27:$DQ$27,1,BR333),IF(BR$6&gt;='Lease Cycles'!$AZ$27,'Lease Cycles'!$C$27*'Lease Cycles'!$BA$27/12,IF(BR$6&gt;='Lease Cycles'!$AX$27,'Lease Cycles'!$C$27*'Lease Cycles'!$AY$27/12,IF(BR$6&gt;='Lease Cycles'!$AV$27,'Lease Cycles'!$C$27*'Lease Cycles'!$AW$27/12,IF(BR$6&gt;='Lease Cycles'!$AT$27,'Lease Cycles'!$C$27*'Lease Cycles'!$AU$27/12,'Lease Cycles'!$C$27*INDEX('Lease Cycles'!$CB$27:$CH$27,1,BR333)*(1+INDEX('Lease Cycles'!$CI$27:$CO$27,1,BR333))^INT(INT(BR334/12)/INDEX('Lease Cycles'!$CP$27:$CV$27,1,BR333))/12)))),'Lease Cycles'!$C$27*INDEX('Lease Cycles'!$CB$27:$CH$27,1,BR333)*(1+INDEX('Lease Cycles'!$CI$27:$CO$27,1,BR333))^INT(INT(BR334/12)/INDEX('Lease Cycles'!$CP$27:$CV$27,1,BR333))/12),IF(INDEX('Lease Cycles'!$EF$27:$EL$27,1,BR333)=1,IF(AND('Lease Cycles'!$AZ$27&gt;=INDEX('Lease Cycles'!$BG$27:$BM$27,1,BR333),'Lease Cycles'!$AZ$27&lt;=BR$6),'Lease Cycles'!$C$27*'Lease Cycles'!$BA$27/12,IF(AND('Lease Cycles'!$AX$27&gt;=INDEX('Lease Cycles'!$BG$27:$BM$27,1,BR333),'Lease Cycles'!$AX$27&lt;=BR$6),'Lease Cycles'!$C$27*'Lease Cycles'!$AY$27/12,IF(AND('Lease Cycles'!$AV$27&gt;=INDEX('Lease Cycles'!$BG$27:$BM$27,1,BR333),'Lease Cycles'!$AV$27&lt;=BR$6),'Lease Cycles'!$C$27*'Lease Cycles'!$AW$27/12,IF(AND('Lease Cycles'!$AT$27&gt;=INDEX('Lease Cycles'!$BG$27:$BM$27,1,BR333),'Lease Cycles'!$AT$27&lt;=BR$6),'Lease Cycles'!$C$27*'Lease Cycles'!$AU$27/12,'Lease Cycles'!$C$27*INDEX('Lease Cycles'!$CB$27:$CH$27,1,BR333)*(1+INDEX('Lease Cycles'!$CI$27:$CO$27,1,BR333))^INT(INT(BR334/12)/INDEX('Lease Cycles'!$CP$27:$CV$27,1,BR333))/12)))),'Lease Cycles'!$C$27*INDEX('Lease Cycles'!$CB$27:$CH$27,1,BR333)*(1+INDEX('Lease Cycles'!$CI$27:$CO$27,1,BR333))^INT(INT(BR334/12)/INDEX('Lease Cycles'!$CP$27:$CV$27,1,BR333))/12))),IF('Lease Cycles'!$N$27=1,'Lease Cycles'!$C$27*'Lease Cycles'!$E$27*INDEX('Lease Cycles'!$HE$27:$HK$27,1,BR333)*(1+INDEX('Lease Cycles'!$GQ$27:$GW$27,1,BR333))^INT(INT((BR$6-INDEX('Lease Cycles'!$GJ$27:$GP$27,1,BR333))/12)/INDEX('Lease Cycles'!$GX$27:$HD$27,1,BR333))/12,0)))</f>
        <v>0</v>
      </c>
      <c r="BS336" s="28">
        <f>IF(BS333=0,IF('Lease Cycles'!$F$27&gt;0,'Lease Cycles'!$C$27*'Lease Cycles'!$E$27/12,0),IF(BS335=1,IF('Lease Cycles'!$AT$27&gt;=9999,'Lease Cycles'!$C$27*INDEX('Lease Cycles'!$CB$27:$CH$27,1,BS333)*(1+INDEX('Lease Cycles'!$CI$27:$CO$27,1,BS333))^INT(INT(BS334/12)/INDEX('Lease Cycles'!$CP$27:$CV$27,1,BS333))/12,IF(BS333=1,IF(BS334&gt;=INDEX('Lease Cycles'!$DK$27:$DQ$27,1,BS333),IF(BS$6&gt;='Lease Cycles'!$AZ$27,'Lease Cycles'!$C$27*'Lease Cycles'!$BA$27/12,IF(BS$6&gt;='Lease Cycles'!$AX$27,'Lease Cycles'!$C$27*'Lease Cycles'!$AY$27/12,IF(BS$6&gt;='Lease Cycles'!$AV$27,'Lease Cycles'!$C$27*'Lease Cycles'!$AW$27/12,IF(BS$6&gt;='Lease Cycles'!$AT$27,'Lease Cycles'!$C$27*'Lease Cycles'!$AU$27/12,'Lease Cycles'!$C$27*INDEX('Lease Cycles'!$CB$27:$CH$27,1,BS333)*(1+INDEX('Lease Cycles'!$CI$27:$CO$27,1,BS333))^INT(INT(BS334/12)/INDEX('Lease Cycles'!$CP$27:$CV$27,1,BS333))/12)))),'Lease Cycles'!$C$27*INDEX('Lease Cycles'!$CB$27:$CH$27,1,BS333)*(1+INDEX('Lease Cycles'!$CI$27:$CO$27,1,BS333))^INT(INT(BS334/12)/INDEX('Lease Cycles'!$CP$27:$CV$27,1,BS333))/12),IF(INDEX('Lease Cycles'!$EF$27:$EL$27,1,BS333)=1,IF(AND('Lease Cycles'!$AZ$27&gt;=INDEX('Lease Cycles'!$BG$27:$BM$27,1,BS333),'Lease Cycles'!$AZ$27&lt;=BS$6),'Lease Cycles'!$C$27*'Lease Cycles'!$BA$27/12,IF(AND('Lease Cycles'!$AX$27&gt;=INDEX('Lease Cycles'!$BG$27:$BM$27,1,BS333),'Lease Cycles'!$AX$27&lt;=BS$6),'Lease Cycles'!$C$27*'Lease Cycles'!$AY$27/12,IF(AND('Lease Cycles'!$AV$27&gt;=INDEX('Lease Cycles'!$BG$27:$BM$27,1,BS333),'Lease Cycles'!$AV$27&lt;=BS$6),'Lease Cycles'!$C$27*'Lease Cycles'!$AW$27/12,IF(AND('Lease Cycles'!$AT$27&gt;=INDEX('Lease Cycles'!$BG$27:$BM$27,1,BS333),'Lease Cycles'!$AT$27&lt;=BS$6),'Lease Cycles'!$C$27*'Lease Cycles'!$AU$27/12,'Lease Cycles'!$C$27*INDEX('Lease Cycles'!$CB$27:$CH$27,1,BS333)*(1+INDEX('Lease Cycles'!$CI$27:$CO$27,1,BS333))^INT(INT(BS334/12)/INDEX('Lease Cycles'!$CP$27:$CV$27,1,BS333))/12)))),'Lease Cycles'!$C$27*INDEX('Lease Cycles'!$CB$27:$CH$27,1,BS333)*(1+INDEX('Lease Cycles'!$CI$27:$CO$27,1,BS333))^INT(INT(BS334/12)/INDEX('Lease Cycles'!$CP$27:$CV$27,1,BS333))/12))),IF('Lease Cycles'!$N$27=1,'Lease Cycles'!$C$27*'Lease Cycles'!$E$27*INDEX('Lease Cycles'!$HE$27:$HK$27,1,BS333)*(1+INDEX('Lease Cycles'!$GQ$27:$GW$27,1,BS333))^INT(INT((BS$6-INDEX('Lease Cycles'!$GJ$27:$GP$27,1,BS333))/12)/INDEX('Lease Cycles'!$GX$27:$HD$27,1,BS333))/12,0)))</f>
        <v>0</v>
      </c>
      <c r="BT336" s="28">
        <f>IF(BT333=0,IF('Lease Cycles'!$F$27&gt;0,'Lease Cycles'!$C$27*'Lease Cycles'!$E$27/12,0),IF(BT335=1,IF('Lease Cycles'!$AT$27&gt;=9999,'Lease Cycles'!$C$27*INDEX('Lease Cycles'!$CB$27:$CH$27,1,BT333)*(1+INDEX('Lease Cycles'!$CI$27:$CO$27,1,BT333))^INT(INT(BT334/12)/INDEX('Lease Cycles'!$CP$27:$CV$27,1,BT333))/12,IF(BT333=1,IF(BT334&gt;=INDEX('Lease Cycles'!$DK$27:$DQ$27,1,BT333),IF(BT$6&gt;='Lease Cycles'!$AZ$27,'Lease Cycles'!$C$27*'Lease Cycles'!$BA$27/12,IF(BT$6&gt;='Lease Cycles'!$AX$27,'Lease Cycles'!$C$27*'Lease Cycles'!$AY$27/12,IF(BT$6&gt;='Lease Cycles'!$AV$27,'Lease Cycles'!$C$27*'Lease Cycles'!$AW$27/12,IF(BT$6&gt;='Lease Cycles'!$AT$27,'Lease Cycles'!$C$27*'Lease Cycles'!$AU$27/12,'Lease Cycles'!$C$27*INDEX('Lease Cycles'!$CB$27:$CH$27,1,BT333)*(1+INDEX('Lease Cycles'!$CI$27:$CO$27,1,BT333))^INT(INT(BT334/12)/INDEX('Lease Cycles'!$CP$27:$CV$27,1,BT333))/12)))),'Lease Cycles'!$C$27*INDEX('Lease Cycles'!$CB$27:$CH$27,1,BT333)*(1+INDEX('Lease Cycles'!$CI$27:$CO$27,1,BT333))^INT(INT(BT334/12)/INDEX('Lease Cycles'!$CP$27:$CV$27,1,BT333))/12),IF(INDEX('Lease Cycles'!$EF$27:$EL$27,1,BT333)=1,IF(AND('Lease Cycles'!$AZ$27&gt;=INDEX('Lease Cycles'!$BG$27:$BM$27,1,BT333),'Lease Cycles'!$AZ$27&lt;=BT$6),'Lease Cycles'!$C$27*'Lease Cycles'!$BA$27/12,IF(AND('Lease Cycles'!$AX$27&gt;=INDEX('Lease Cycles'!$BG$27:$BM$27,1,BT333),'Lease Cycles'!$AX$27&lt;=BT$6),'Lease Cycles'!$C$27*'Lease Cycles'!$AY$27/12,IF(AND('Lease Cycles'!$AV$27&gt;=INDEX('Lease Cycles'!$BG$27:$BM$27,1,BT333),'Lease Cycles'!$AV$27&lt;=BT$6),'Lease Cycles'!$C$27*'Lease Cycles'!$AW$27/12,IF(AND('Lease Cycles'!$AT$27&gt;=INDEX('Lease Cycles'!$BG$27:$BM$27,1,BT333),'Lease Cycles'!$AT$27&lt;=BT$6),'Lease Cycles'!$C$27*'Lease Cycles'!$AU$27/12,'Lease Cycles'!$C$27*INDEX('Lease Cycles'!$CB$27:$CH$27,1,BT333)*(1+INDEX('Lease Cycles'!$CI$27:$CO$27,1,BT333))^INT(INT(BT334/12)/INDEX('Lease Cycles'!$CP$27:$CV$27,1,BT333))/12)))),'Lease Cycles'!$C$27*INDEX('Lease Cycles'!$CB$27:$CH$27,1,BT333)*(1+INDEX('Lease Cycles'!$CI$27:$CO$27,1,BT333))^INT(INT(BT334/12)/INDEX('Lease Cycles'!$CP$27:$CV$27,1,BT333))/12))),IF('Lease Cycles'!$N$27=1,'Lease Cycles'!$C$27*'Lease Cycles'!$E$27*INDEX('Lease Cycles'!$HE$27:$HK$27,1,BT333)*(1+INDEX('Lease Cycles'!$GQ$27:$GW$27,1,BT333))^INT(INT((BT$6-INDEX('Lease Cycles'!$GJ$27:$GP$27,1,BT333))/12)/INDEX('Lease Cycles'!$GX$27:$HD$27,1,BT333))/12,0)))</f>
        <v>0</v>
      </c>
      <c r="BU336" s="28">
        <f>IF(BU333=0,IF('Lease Cycles'!$F$27&gt;0,'Lease Cycles'!$C$27*'Lease Cycles'!$E$27/12,0),IF(BU335=1,IF('Lease Cycles'!$AT$27&gt;=9999,'Lease Cycles'!$C$27*INDEX('Lease Cycles'!$CB$27:$CH$27,1,BU333)*(1+INDEX('Lease Cycles'!$CI$27:$CO$27,1,BU333))^INT(INT(BU334/12)/INDEX('Lease Cycles'!$CP$27:$CV$27,1,BU333))/12,IF(BU333=1,IF(BU334&gt;=INDEX('Lease Cycles'!$DK$27:$DQ$27,1,BU333),IF(BU$6&gt;='Lease Cycles'!$AZ$27,'Lease Cycles'!$C$27*'Lease Cycles'!$BA$27/12,IF(BU$6&gt;='Lease Cycles'!$AX$27,'Lease Cycles'!$C$27*'Lease Cycles'!$AY$27/12,IF(BU$6&gt;='Lease Cycles'!$AV$27,'Lease Cycles'!$C$27*'Lease Cycles'!$AW$27/12,IF(BU$6&gt;='Lease Cycles'!$AT$27,'Lease Cycles'!$C$27*'Lease Cycles'!$AU$27/12,'Lease Cycles'!$C$27*INDEX('Lease Cycles'!$CB$27:$CH$27,1,BU333)*(1+INDEX('Lease Cycles'!$CI$27:$CO$27,1,BU333))^INT(INT(BU334/12)/INDEX('Lease Cycles'!$CP$27:$CV$27,1,BU333))/12)))),'Lease Cycles'!$C$27*INDEX('Lease Cycles'!$CB$27:$CH$27,1,BU333)*(1+INDEX('Lease Cycles'!$CI$27:$CO$27,1,BU333))^INT(INT(BU334/12)/INDEX('Lease Cycles'!$CP$27:$CV$27,1,BU333))/12),IF(INDEX('Lease Cycles'!$EF$27:$EL$27,1,BU333)=1,IF(AND('Lease Cycles'!$AZ$27&gt;=INDEX('Lease Cycles'!$BG$27:$BM$27,1,BU333),'Lease Cycles'!$AZ$27&lt;=BU$6),'Lease Cycles'!$C$27*'Lease Cycles'!$BA$27/12,IF(AND('Lease Cycles'!$AX$27&gt;=INDEX('Lease Cycles'!$BG$27:$BM$27,1,BU333),'Lease Cycles'!$AX$27&lt;=BU$6),'Lease Cycles'!$C$27*'Lease Cycles'!$AY$27/12,IF(AND('Lease Cycles'!$AV$27&gt;=INDEX('Lease Cycles'!$BG$27:$BM$27,1,BU333),'Lease Cycles'!$AV$27&lt;=BU$6),'Lease Cycles'!$C$27*'Lease Cycles'!$AW$27/12,IF(AND('Lease Cycles'!$AT$27&gt;=INDEX('Lease Cycles'!$BG$27:$BM$27,1,BU333),'Lease Cycles'!$AT$27&lt;=BU$6),'Lease Cycles'!$C$27*'Lease Cycles'!$AU$27/12,'Lease Cycles'!$C$27*INDEX('Lease Cycles'!$CB$27:$CH$27,1,BU333)*(1+INDEX('Lease Cycles'!$CI$27:$CO$27,1,BU333))^INT(INT(BU334/12)/INDEX('Lease Cycles'!$CP$27:$CV$27,1,BU333))/12)))),'Lease Cycles'!$C$27*INDEX('Lease Cycles'!$CB$27:$CH$27,1,BU333)*(1+INDEX('Lease Cycles'!$CI$27:$CO$27,1,BU333))^INT(INT(BU334/12)/INDEX('Lease Cycles'!$CP$27:$CV$27,1,BU333))/12))),IF('Lease Cycles'!$N$27=1,'Lease Cycles'!$C$27*'Lease Cycles'!$E$27*INDEX('Lease Cycles'!$HE$27:$HK$27,1,BU333)*(1+INDEX('Lease Cycles'!$GQ$27:$GW$27,1,BU333))^INT(INT((BU$6-INDEX('Lease Cycles'!$GJ$27:$GP$27,1,BU333))/12)/INDEX('Lease Cycles'!$GX$27:$HD$27,1,BU333))/12,0)))</f>
        <v>0</v>
      </c>
      <c r="BV336" s="28">
        <f>IF(BV333=0,IF('Lease Cycles'!$F$27&gt;0,'Lease Cycles'!$C$27*'Lease Cycles'!$E$27/12,0),IF(BV335=1,IF('Lease Cycles'!$AT$27&gt;=9999,'Lease Cycles'!$C$27*INDEX('Lease Cycles'!$CB$27:$CH$27,1,BV333)*(1+INDEX('Lease Cycles'!$CI$27:$CO$27,1,BV333))^INT(INT(BV334/12)/INDEX('Lease Cycles'!$CP$27:$CV$27,1,BV333))/12,IF(BV333=1,IF(BV334&gt;=INDEX('Lease Cycles'!$DK$27:$DQ$27,1,BV333),IF(BV$6&gt;='Lease Cycles'!$AZ$27,'Lease Cycles'!$C$27*'Lease Cycles'!$BA$27/12,IF(BV$6&gt;='Lease Cycles'!$AX$27,'Lease Cycles'!$C$27*'Lease Cycles'!$AY$27/12,IF(BV$6&gt;='Lease Cycles'!$AV$27,'Lease Cycles'!$C$27*'Lease Cycles'!$AW$27/12,IF(BV$6&gt;='Lease Cycles'!$AT$27,'Lease Cycles'!$C$27*'Lease Cycles'!$AU$27/12,'Lease Cycles'!$C$27*INDEX('Lease Cycles'!$CB$27:$CH$27,1,BV333)*(1+INDEX('Lease Cycles'!$CI$27:$CO$27,1,BV333))^INT(INT(BV334/12)/INDEX('Lease Cycles'!$CP$27:$CV$27,1,BV333))/12)))),'Lease Cycles'!$C$27*INDEX('Lease Cycles'!$CB$27:$CH$27,1,BV333)*(1+INDEX('Lease Cycles'!$CI$27:$CO$27,1,BV333))^INT(INT(BV334/12)/INDEX('Lease Cycles'!$CP$27:$CV$27,1,BV333))/12),IF(INDEX('Lease Cycles'!$EF$27:$EL$27,1,BV333)=1,IF(AND('Lease Cycles'!$AZ$27&gt;=INDEX('Lease Cycles'!$BG$27:$BM$27,1,BV333),'Lease Cycles'!$AZ$27&lt;=BV$6),'Lease Cycles'!$C$27*'Lease Cycles'!$BA$27/12,IF(AND('Lease Cycles'!$AX$27&gt;=INDEX('Lease Cycles'!$BG$27:$BM$27,1,BV333),'Lease Cycles'!$AX$27&lt;=BV$6),'Lease Cycles'!$C$27*'Lease Cycles'!$AY$27/12,IF(AND('Lease Cycles'!$AV$27&gt;=INDEX('Lease Cycles'!$BG$27:$BM$27,1,BV333),'Lease Cycles'!$AV$27&lt;=BV$6),'Lease Cycles'!$C$27*'Lease Cycles'!$AW$27/12,IF(AND('Lease Cycles'!$AT$27&gt;=INDEX('Lease Cycles'!$BG$27:$BM$27,1,BV333),'Lease Cycles'!$AT$27&lt;=BV$6),'Lease Cycles'!$C$27*'Lease Cycles'!$AU$27/12,'Lease Cycles'!$C$27*INDEX('Lease Cycles'!$CB$27:$CH$27,1,BV333)*(1+INDEX('Lease Cycles'!$CI$27:$CO$27,1,BV333))^INT(INT(BV334/12)/INDEX('Lease Cycles'!$CP$27:$CV$27,1,BV333))/12)))),'Lease Cycles'!$C$27*INDEX('Lease Cycles'!$CB$27:$CH$27,1,BV333)*(1+INDEX('Lease Cycles'!$CI$27:$CO$27,1,BV333))^INT(INT(BV334/12)/INDEX('Lease Cycles'!$CP$27:$CV$27,1,BV333))/12))),IF('Lease Cycles'!$N$27=1,'Lease Cycles'!$C$27*'Lease Cycles'!$E$27*INDEX('Lease Cycles'!$HE$27:$HK$27,1,BV333)*(1+INDEX('Lease Cycles'!$GQ$27:$GW$27,1,BV333))^INT(INT((BV$6-INDEX('Lease Cycles'!$GJ$27:$GP$27,1,BV333))/12)/INDEX('Lease Cycles'!$GX$27:$HD$27,1,BV333))/12,0)))</f>
        <v>0</v>
      </c>
      <c r="BW336" s="28">
        <f>IF(BW333=0,IF('Lease Cycles'!$F$27&gt;0,'Lease Cycles'!$C$27*'Lease Cycles'!$E$27/12,0),IF(BW335=1,IF('Lease Cycles'!$AT$27&gt;=9999,'Lease Cycles'!$C$27*INDEX('Lease Cycles'!$CB$27:$CH$27,1,BW333)*(1+INDEX('Lease Cycles'!$CI$27:$CO$27,1,BW333))^INT(INT(BW334/12)/INDEX('Lease Cycles'!$CP$27:$CV$27,1,BW333))/12,IF(BW333=1,IF(BW334&gt;=INDEX('Lease Cycles'!$DK$27:$DQ$27,1,BW333),IF(BW$6&gt;='Lease Cycles'!$AZ$27,'Lease Cycles'!$C$27*'Lease Cycles'!$BA$27/12,IF(BW$6&gt;='Lease Cycles'!$AX$27,'Lease Cycles'!$C$27*'Lease Cycles'!$AY$27/12,IF(BW$6&gt;='Lease Cycles'!$AV$27,'Lease Cycles'!$C$27*'Lease Cycles'!$AW$27/12,IF(BW$6&gt;='Lease Cycles'!$AT$27,'Lease Cycles'!$C$27*'Lease Cycles'!$AU$27/12,'Lease Cycles'!$C$27*INDEX('Lease Cycles'!$CB$27:$CH$27,1,BW333)*(1+INDEX('Lease Cycles'!$CI$27:$CO$27,1,BW333))^INT(INT(BW334/12)/INDEX('Lease Cycles'!$CP$27:$CV$27,1,BW333))/12)))),'Lease Cycles'!$C$27*INDEX('Lease Cycles'!$CB$27:$CH$27,1,BW333)*(1+INDEX('Lease Cycles'!$CI$27:$CO$27,1,BW333))^INT(INT(BW334/12)/INDEX('Lease Cycles'!$CP$27:$CV$27,1,BW333))/12),IF(INDEX('Lease Cycles'!$EF$27:$EL$27,1,BW333)=1,IF(AND('Lease Cycles'!$AZ$27&gt;=INDEX('Lease Cycles'!$BG$27:$BM$27,1,BW333),'Lease Cycles'!$AZ$27&lt;=BW$6),'Lease Cycles'!$C$27*'Lease Cycles'!$BA$27/12,IF(AND('Lease Cycles'!$AX$27&gt;=INDEX('Lease Cycles'!$BG$27:$BM$27,1,BW333),'Lease Cycles'!$AX$27&lt;=BW$6),'Lease Cycles'!$C$27*'Lease Cycles'!$AY$27/12,IF(AND('Lease Cycles'!$AV$27&gt;=INDEX('Lease Cycles'!$BG$27:$BM$27,1,BW333),'Lease Cycles'!$AV$27&lt;=BW$6),'Lease Cycles'!$C$27*'Lease Cycles'!$AW$27/12,IF(AND('Lease Cycles'!$AT$27&gt;=INDEX('Lease Cycles'!$BG$27:$BM$27,1,BW333),'Lease Cycles'!$AT$27&lt;=BW$6),'Lease Cycles'!$C$27*'Lease Cycles'!$AU$27/12,'Lease Cycles'!$C$27*INDEX('Lease Cycles'!$CB$27:$CH$27,1,BW333)*(1+INDEX('Lease Cycles'!$CI$27:$CO$27,1,BW333))^INT(INT(BW334/12)/INDEX('Lease Cycles'!$CP$27:$CV$27,1,BW333))/12)))),'Lease Cycles'!$C$27*INDEX('Lease Cycles'!$CB$27:$CH$27,1,BW333)*(1+INDEX('Lease Cycles'!$CI$27:$CO$27,1,BW333))^INT(INT(BW334/12)/INDEX('Lease Cycles'!$CP$27:$CV$27,1,BW333))/12))),IF('Lease Cycles'!$N$27=1,'Lease Cycles'!$C$27*'Lease Cycles'!$E$27*INDEX('Lease Cycles'!$HE$27:$HK$27,1,BW333)*(1+INDEX('Lease Cycles'!$GQ$27:$GW$27,1,BW333))^INT(INT((BW$6-INDEX('Lease Cycles'!$GJ$27:$GP$27,1,BW333))/12)/INDEX('Lease Cycles'!$GX$27:$HD$27,1,BW333))/12,0)))</f>
        <v>0</v>
      </c>
      <c r="BX336" s="28">
        <f>IF(BX333=0,IF('Lease Cycles'!$F$27&gt;0,'Lease Cycles'!$C$27*'Lease Cycles'!$E$27/12,0),IF(BX335=1,IF('Lease Cycles'!$AT$27&gt;=9999,'Lease Cycles'!$C$27*INDEX('Lease Cycles'!$CB$27:$CH$27,1,BX333)*(1+INDEX('Lease Cycles'!$CI$27:$CO$27,1,BX333))^INT(INT(BX334/12)/INDEX('Lease Cycles'!$CP$27:$CV$27,1,BX333))/12,IF(BX333=1,IF(BX334&gt;=INDEX('Lease Cycles'!$DK$27:$DQ$27,1,BX333),IF(BX$6&gt;='Lease Cycles'!$AZ$27,'Lease Cycles'!$C$27*'Lease Cycles'!$BA$27/12,IF(BX$6&gt;='Lease Cycles'!$AX$27,'Lease Cycles'!$C$27*'Lease Cycles'!$AY$27/12,IF(BX$6&gt;='Lease Cycles'!$AV$27,'Lease Cycles'!$C$27*'Lease Cycles'!$AW$27/12,IF(BX$6&gt;='Lease Cycles'!$AT$27,'Lease Cycles'!$C$27*'Lease Cycles'!$AU$27/12,'Lease Cycles'!$C$27*INDEX('Lease Cycles'!$CB$27:$CH$27,1,BX333)*(1+INDEX('Lease Cycles'!$CI$27:$CO$27,1,BX333))^INT(INT(BX334/12)/INDEX('Lease Cycles'!$CP$27:$CV$27,1,BX333))/12)))),'Lease Cycles'!$C$27*INDEX('Lease Cycles'!$CB$27:$CH$27,1,BX333)*(1+INDEX('Lease Cycles'!$CI$27:$CO$27,1,BX333))^INT(INT(BX334/12)/INDEX('Lease Cycles'!$CP$27:$CV$27,1,BX333))/12),IF(INDEX('Lease Cycles'!$EF$27:$EL$27,1,BX333)=1,IF(AND('Lease Cycles'!$AZ$27&gt;=INDEX('Lease Cycles'!$BG$27:$BM$27,1,BX333),'Lease Cycles'!$AZ$27&lt;=BX$6),'Lease Cycles'!$C$27*'Lease Cycles'!$BA$27/12,IF(AND('Lease Cycles'!$AX$27&gt;=INDEX('Lease Cycles'!$BG$27:$BM$27,1,BX333),'Lease Cycles'!$AX$27&lt;=BX$6),'Lease Cycles'!$C$27*'Lease Cycles'!$AY$27/12,IF(AND('Lease Cycles'!$AV$27&gt;=INDEX('Lease Cycles'!$BG$27:$BM$27,1,BX333),'Lease Cycles'!$AV$27&lt;=BX$6),'Lease Cycles'!$C$27*'Lease Cycles'!$AW$27/12,IF(AND('Lease Cycles'!$AT$27&gt;=INDEX('Lease Cycles'!$BG$27:$BM$27,1,BX333),'Lease Cycles'!$AT$27&lt;=BX$6),'Lease Cycles'!$C$27*'Lease Cycles'!$AU$27/12,'Lease Cycles'!$C$27*INDEX('Lease Cycles'!$CB$27:$CH$27,1,BX333)*(1+INDEX('Lease Cycles'!$CI$27:$CO$27,1,BX333))^INT(INT(BX334/12)/INDEX('Lease Cycles'!$CP$27:$CV$27,1,BX333))/12)))),'Lease Cycles'!$C$27*INDEX('Lease Cycles'!$CB$27:$CH$27,1,BX333)*(1+INDEX('Lease Cycles'!$CI$27:$CO$27,1,BX333))^INT(INT(BX334/12)/INDEX('Lease Cycles'!$CP$27:$CV$27,1,BX333))/12))),IF('Lease Cycles'!$N$27=1,'Lease Cycles'!$C$27*'Lease Cycles'!$E$27*INDEX('Lease Cycles'!$HE$27:$HK$27,1,BX333)*(1+INDEX('Lease Cycles'!$GQ$27:$GW$27,1,BX333))^INT(INT((BX$6-INDEX('Lease Cycles'!$GJ$27:$GP$27,1,BX333))/12)/INDEX('Lease Cycles'!$GX$27:$HD$27,1,BX333))/12,0)))</f>
        <v>0</v>
      </c>
      <c r="BY336" s="28">
        <f>IF(BY333=0,IF('Lease Cycles'!$F$27&gt;0,'Lease Cycles'!$C$27*'Lease Cycles'!$E$27/12,0),IF(BY335=1,IF('Lease Cycles'!$AT$27&gt;=9999,'Lease Cycles'!$C$27*INDEX('Lease Cycles'!$CB$27:$CH$27,1,BY333)*(1+INDEX('Lease Cycles'!$CI$27:$CO$27,1,BY333))^INT(INT(BY334/12)/INDEX('Lease Cycles'!$CP$27:$CV$27,1,BY333))/12,IF(BY333=1,IF(BY334&gt;=INDEX('Lease Cycles'!$DK$27:$DQ$27,1,BY333),IF(BY$6&gt;='Lease Cycles'!$AZ$27,'Lease Cycles'!$C$27*'Lease Cycles'!$BA$27/12,IF(BY$6&gt;='Lease Cycles'!$AX$27,'Lease Cycles'!$C$27*'Lease Cycles'!$AY$27/12,IF(BY$6&gt;='Lease Cycles'!$AV$27,'Lease Cycles'!$C$27*'Lease Cycles'!$AW$27/12,IF(BY$6&gt;='Lease Cycles'!$AT$27,'Lease Cycles'!$C$27*'Lease Cycles'!$AU$27/12,'Lease Cycles'!$C$27*INDEX('Lease Cycles'!$CB$27:$CH$27,1,BY333)*(1+INDEX('Lease Cycles'!$CI$27:$CO$27,1,BY333))^INT(INT(BY334/12)/INDEX('Lease Cycles'!$CP$27:$CV$27,1,BY333))/12)))),'Lease Cycles'!$C$27*INDEX('Lease Cycles'!$CB$27:$CH$27,1,BY333)*(1+INDEX('Lease Cycles'!$CI$27:$CO$27,1,BY333))^INT(INT(BY334/12)/INDEX('Lease Cycles'!$CP$27:$CV$27,1,BY333))/12),IF(INDEX('Lease Cycles'!$EF$27:$EL$27,1,BY333)=1,IF(AND('Lease Cycles'!$AZ$27&gt;=INDEX('Lease Cycles'!$BG$27:$BM$27,1,BY333),'Lease Cycles'!$AZ$27&lt;=BY$6),'Lease Cycles'!$C$27*'Lease Cycles'!$BA$27/12,IF(AND('Lease Cycles'!$AX$27&gt;=INDEX('Lease Cycles'!$BG$27:$BM$27,1,BY333),'Lease Cycles'!$AX$27&lt;=BY$6),'Lease Cycles'!$C$27*'Lease Cycles'!$AY$27/12,IF(AND('Lease Cycles'!$AV$27&gt;=INDEX('Lease Cycles'!$BG$27:$BM$27,1,BY333),'Lease Cycles'!$AV$27&lt;=BY$6),'Lease Cycles'!$C$27*'Lease Cycles'!$AW$27/12,IF(AND('Lease Cycles'!$AT$27&gt;=INDEX('Lease Cycles'!$BG$27:$BM$27,1,BY333),'Lease Cycles'!$AT$27&lt;=BY$6),'Lease Cycles'!$C$27*'Lease Cycles'!$AU$27/12,'Lease Cycles'!$C$27*INDEX('Lease Cycles'!$CB$27:$CH$27,1,BY333)*(1+INDEX('Lease Cycles'!$CI$27:$CO$27,1,BY333))^INT(INT(BY334/12)/INDEX('Lease Cycles'!$CP$27:$CV$27,1,BY333))/12)))),'Lease Cycles'!$C$27*INDEX('Lease Cycles'!$CB$27:$CH$27,1,BY333)*(1+INDEX('Lease Cycles'!$CI$27:$CO$27,1,BY333))^INT(INT(BY334/12)/INDEX('Lease Cycles'!$CP$27:$CV$27,1,BY333))/12))),IF('Lease Cycles'!$N$27=1,'Lease Cycles'!$C$27*'Lease Cycles'!$E$27*INDEX('Lease Cycles'!$HE$27:$HK$27,1,BY333)*(1+INDEX('Lease Cycles'!$GQ$27:$GW$27,1,BY333))^INT(INT((BY$6-INDEX('Lease Cycles'!$GJ$27:$GP$27,1,BY333))/12)/INDEX('Lease Cycles'!$GX$27:$HD$27,1,BY333))/12,0)))</f>
        <v>0</v>
      </c>
      <c r="BZ336" s="28">
        <f>IF(BZ333=0,IF('Lease Cycles'!$F$27&gt;0,'Lease Cycles'!$C$27*'Lease Cycles'!$E$27/12,0),IF(BZ335=1,IF('Lease Cycles'!$AT$27&gt;=9999,'Lease Cycles'!$C$27*INDEX('Lease Cycles'!$CB$27:$CH$27,1,BZ333)*(1+INDEX('Lease Cycles'!$CI$27:$CO$27,1,BZ333))^INT(INT(BZ334/12)/INDEX('Lease Cycles'!$CP$27:$CV$27,1,BZ333))/12,IF(BZ333=1,IF(BZ334&gt;=INDEX('Lease Cycles'!$DK$27:$DQ$27,1,BZ333),IF(BZ$6&gt;='Lease Cycles'!$AZ$27,'Lease Cycles'!$C$27*'Lease Cycles'!$BA$27/12,IF(BZ$6&gt;='Lease Cycles'!$AX$27,'Lease Cycles'!$C$27*'Lease Cycles'!$AY$27/12,IF(BZ$6&gt;='Lease Cycles'!$AV$27,'Lease Cycles'!$C$27*'Lease Cycles'!$AW$27/12,IF(BZ$6&gt;='Lease Cycles'!$AT$27,'Lease Cycles'!$C$27*'Lease Cycles'!$AU$27/12,'Lease Cycles'!$C$27*INDEX('Lease Cycles'!$CB$27:$CH$27,1,BZ333)*(1+INDEX('Lease Cycles'!$CI$27:$CO$27,1,BZ333))^INT(INT(BZ334/12)/INDEX('Lease Cycles'!$CP$27:$CV$27,1,BZ333))/12)))),'Lease Cycles'!$C$27*INDEX('Lease Cycles'!$CB$27:$CH$27,1,BZ333)*(1+INDEX('Lease Cycles'!$CI$27:$CO$27,1,BZ333))^INT(INT(BZ334/12)/INDEX('Lease Cycles'!$CP$27:$CV$27,1,BZ333))/12),IF(INDEX('Lease Cycles'!$EF$27:$EL$27,1,BZ333)=1,IF(AND('Lease Cycles'!$AZ$27&gt;=INDEX('Lease Cycles'!$BG$27:$BM$27,1,BZ333),'Lease Cycles'!$AZ$27&lt;=BZ$6),'Lease Cycles'!$C$27*'Lease Cycles'!$BA$27/12,IF(AND('Lease Cycles'!$AX$27&gt;=INDEX('Lease Cycles'!$BG$27:$BM$27,1,BZ333),'Lease Cycles'!$AX$27&lt;=BZ$6),'Lease Cycles'!$C$27*'Lease Cycles'!$AY$27/12,IF(AND('Lease Cycles'!$AV$27&gt;=INDEX('Lease Cycles'!$BG$27:$BM$27,1,BZ333),'Lease Cycles'!$AV$27&lt;=BZ$6),'Lease Cycles'!$C$27*'Lease Cycles'!$AW$27/12,IF(AND('Lease Cycles'!$AT$27&gt;=INDEX('Lease Cycles'!$BG$27:$BM$27,1,BZ333),'Lease Cycles'!$AT$27&lt;=BZ$6),'Lease Cycles'!$C$27*'Lease Cycles'!$AU$27/12,'Lease Cycles'!$C$27*INDEX('Lease Cycles'!$CB$27:$CH$27,1,BZ333)*(1+INDEX('Lease Cycles'!$CI$27:$CO$27,1,BZ333))^INT(INT(BZ334/12)/INDEX('Lease Cycles'!$CP$27:$CV$27,1,BZ333))/12)))),'Lease Cycles'!$C$27*INDEX('Lease Cycles'!$CB$27:$CH$27,1,BZ333)*(1+INDEX('Lease Cycles'!$CI$27:$CO$27,1,BZ333))^INT(INT(BZ334/12)/INDEX('Lease Cycles'!$CP$27:$CV$27,1,BZ333))/12))),IF('Lease Cycles'!$N$27=1,'Lease Cycles'!$C$27*'Lease Cycles'!$E$27*INDEX('Lease Cycles'!$HE$27:$HK$27,1,BZ333)*(1+INDEX('Lease Cycles'!$GQ$27:$GW$27,1,BZ333))^INT(INT((BZ$6-INDEX('Lease Cycles'!$GJ$27:$GP$27,1,BZ333))/12)/INDEX('Lease Cycles'!$GX$27:$HD$27,1,BZ333))/12,0)))</f>
        <v>0</v>
      </c>
      <c r="CA336" s="28">
        <f>IF(CA333=0,IF('Lease Cycles'!$F$27&gt;0,'Lease Cycles'!$C$27*'Lease Cycles'!$E$27/12,0),IF(CA335=1,IF('Lease Cycles'!$AT$27&gt;=9999,'Lease Cycles'!$C$27*INDEX('Lease Cycles'!$CB$27:$CH$27,1,CA333)*(1+INDEX('Lease Cycles'!$CI$27:$CO$27,1,CA333))^INT(INT(CA334/12)/INDEX('Lease Cycles'!$CP$27:$CV$27,1,CA333))/12,IF(CA333=1,IF(CA334&gt;=INDEX('Lease Cycles'!$DK$27:$DQ$27,1,CA333),IF(CA$6&gt;='Lease Cycles'!$AZ$27,'Lease Cycles'!$C$27*'Lease Cycles'!$BA$27/12,IF(CA$6&gt;='Lease Cycles'!$AX$27,'Lease Cycles'!$C$27*'Lease Cycles'!$AY$27/12,IF(CA$6&gt;='Lease Cycles'!$AV$27,'Lease Cycles'!$C$27*'Lease Cycles'!$AW$27/12,IF(CA$6&gt;='Lease Cycles'!$AT$27,'Lease Cycles'!$C$27*'Lease Cycles'!$AU$27/12,'Lease Cycles'!$C$27*INDEX('Lease Cycles'!$CB$27:$CH$27,1,CA333)*(1+INDEX('Lease Cycles'!$CI$27:$CO$27,1,CA333))^INT(INT(CA334/12)/INDEX('Lease Cycles'!$CP$27:$CV$27,1,CA333))/12)))),'Lease Cycles'!$C$27*INDEX('Lease Cycles'!$CB$27:$CH$27,1,CA333)*(1+INDEX('Lease Cycles'!$CI$27:$CO$27,1,CA333))^INT(INT(CA334/12)/INDEX('Lease Cycles'!$CP$27:$CV$27,1,CA333))/12),IF(INDEX('Lease Cycles'!$EF$27:$EL$27,1,CA333)=1,IF(AND('Lease Cycles'!$AZ$27&gt;=INDEX('Lease Cycles'!$BG$27:$BM$27,1,CA333),'Lease Cycles'!$AZ$27&lt;=CA$6),'Lease Cycles'!$C$27*'Lease Cycles'!$BA$27/12,IF(AND('Lease Cycles'!$AX$27&gt;=INDEX('Lease Cycles'!$BG$27:$BM$27,1,CA333),'Lease Cycles'!$AX$27&lt;=CA$6),'Lease Cycles'!$C$27*'Lease Cycles'!$AY$27/12,IF(AND('Lease Cycles'!$AV$27&gt;=INDEX('Lease Cycles'!$BG$27:$BM$27,1,CA333),'Lease Cycles'!$AV$27&lt;=CA$6),'Lease Cycles'!$C$27*'Lease Cycles'!$AW$27/12,IF(AND('Lease Cycles'!$AT$27&gt;=INDEX('Lease Cycles'!$BG$27:$BM$27,1,CA333),'Lease Cycles'!$AT$27&lt;=CA$6),'Lease Cycles'!$C$27*'Lease Cycles'!$AU$27/12,'Lease Cycles'!$C$27*INDEX('Lease Cycles'!$CB$27:$CH$27,1,CA333)*(1+INDEX('Lease Cycles'!$CI$27:$CO$27,1,CA333))^INT(INT(CA334/12)/INDEX('Lease Cycles'!$CP$27:$CV$27,1,CA333))/12)))),'Lease Cycles'!$C$27*INDEX('Lease Cycles'!$CB$27:$CH$27,1,CA333)*(1+INDEX('Lease Cycles'!$CI$27:$CO$27,1,CA333))^INT(INT(CA334/12)/INDEX('Lease Cycles'!$CP$27:$CV$27,1,CA333))/12))),IF('Lease Cycles'!$N$27=1,'Lease Cycles'!$C$27*'Lease Cycles'!$E$27*INDEX('Lease Cycles'!$HE$27:$HK$27,1,CA333)*(1+INDEX('Lease Cycles'!$GQ$27:$GW$27,1,CA333))^INT(INT((CA$6-INDEX('Lease Cycles'!$GJ$27:$GP$27,1,CA333))/12)/INDEX('Lease Cycles'!$GX$27:$HD$27,1,CA333))/12,0)))</f>
        <v>0</v>
      </c>
      <c r="CB336" s="28">
        <f>IF(CB333=0,IF('Lease Cycles'!$F$27&gt;0,'Lease Cycles'!$C$27*'Lease Cycles'!$E$27/12,0),IF(CB335=1,IF('Lease Cycles'!$AT$27&gt;=9999,'Lease Cycles'!$C$27*INDEX('Lease Cycles'!$CB$27:$CH$27,1,CB333)*(1+INDEX('Lease Cycles'!$CI$27:$CO$27,1,CB333))^INT(INT(CB334/12)/INDEX('Lease Cycles'!$CP$27:$CV$27,1,CB333))/12,IF(CB333=1,IF(CB334&gt;=INDEX('Lease Cycles'!$DK$27:$DQ$27,1,CB333),IF(CB$6&gt;='Lease Cycles'!$AZ$27,'Lease Cycles'!$C$27*'Lease Cycles'!$BA$27/12,IF(CB$6&gt;='Lease Cycles'!$AX$27,'Lease Cycles'!$C$27*'Lease Cycles'!$AY$27/12,IF(CB$6&gt;='Lease Cycles'!$AV$27,'Lease Cycles'!$C$27*'Lease Cycles'!$AW$27/12,IF(CB$6&gt;='Lease Cycles'!$AT$27,'Lease Cycles'!$C$27*'Lease Cycles'!$AU$27/12,'Lease Cycles'!$C$27*INDEX('Lease Cycles'!$CB$27:$CH$27,1,CB333)*(1+INDEX('Lease Cycles'!$CI$27:$CO$27,1,CB333))^INT(INT(CB334/12)/INDEX('Lease Cycles'!$CP$27:$CV$27,1,CB333))/12)))),'Lease Cycles'!$C$27*INDEX('Lease Cycles'!$CB$27:$CH$27,1,CB333)*(1+INDEX('Lease Cycles'!$CI$27:$CO$27,1,CB333))^INT(INT(CB334/12)/INDEX('Lease Cycles'!$CP$27:$CV$27,1,CB333))/12),IF(INDEX('Lease Cycles'!$EF$27:$EL$27,1,CB333)=1,IF(AND('Lease Cycles'!$AZ$27&gt;=INDEX('Lease Cycles'!$BG$27:$BM$27,1,CB333),'Lease Cycles'!$AZ$27&lt;=CB$6),'Lease Cycles'!$C$27*'Lease Cycles'!$BA$27/12,IF(AND('Lease Cycles'!$AX$27&gt;=INDEX('Lease Cycles'!$BG$27:$BM$27,1,CB333),'Lease Cycles'!$AX$27&lt;=CB$6),'Lease Cycles'!$C$27*'Lease Cycles'!$AY$27/12,IF(AND('Lease Cycles'!$AV$27&gt;=INDEX('Lease Cycles'!$BG$27:$BM$27,1,CB333),'Lease Cycles'!$AV$27&lt;=CB$6),'Lease Cycles'!$C$27*'Lease Cycles'!$AW$27/12,IF(AND('Lease Cycles'!$AT$27&gt;=INDEX('Lease Cycles'!$BG$27:$BM$27,1,CB333),'Lease Cycles'!$AT$27&lt;=CB$6),'Lease Cycles'!$C$27*'Lease Cycles'!$AU$27/12,'Lease Cycles'!$C$27*INDEX('Lease Cycles'!$CB$27:$CH$27,1,CB333)*(1+INDEX('Lease Cycles'!$CI$27:$CO$27,1,CB333))^INT(INT(CB334/12)/INDEX('Lease Cycles'!$CP$27:$CV$27,1,CB333))/12)))),'Lease Cycles'!$C$27*INDEX('Lease Cycles'!$CB$27:$CH$27,1,CB333)*(1+INDEX('Lease Cycles'!$CI$27:$CO$27,1,CB333))^INT(INT(CB334/12)/INDEX('Lease Cycles'!$CP$27:$CV$27,1,CB333))/12))),IF('Lease Cycles'!$N$27=1,'Lease Cycles'!$C$27*'Lease Cycles'!$E$27*INDEX('Lease Cycles'!$HE$27:$HK$27,1,CB333)*(1+INDEX('Lease Cycles'!$GQ$27:$GW$27,1,CB333))^INT(INT((CB$6-INDEX('Lease Cycles'!$GJ$27:$GP$27,1,CB333))/12)/INDEX('Lease Cycles'!$GX$27:$HD$27,1,CB333))/12,0)))</f>
        <v>0</v>
      </c>
      <c r="CC336" s="28">
        <f>IF(CC333=0,IF('Lease Cycles'!$F$27&gt;0,'Lease Cycles'!$C$27*'Lease Cycles'!$E$27/12,0),IF(CC335=1,IF('Lease Cycles'!$AT$27&gt;=9999,'Lease Cycles'!$C$27*INDEX('Lease Cycles'!$CB$27:$CH$27,1,CC333)*(1+INDEX('Lease Cycles'!$CI$27:$CO$27,1,CC333))^INT(INT(CC334/12)/INDEX('Lease Cycles'!$CP$27:$CV$27,1,CC333))/12,IF(CC333=1,IF(CC334&gt;=INDEX('Lease Cycles'!$DK$27:$DQ$27,1,CC333),IF(CC$6&gt;='Lease Cycles'!$AZ$27,'Lease Cycles'!$C$27*'Lease Cycles'!$BA$27/12,IF(CC$6&gt;='Lease Cycles'!$AX$27,'Lease Cycles'!$C$27*'Lease Cycles'!$AY$27/12,IF(CC$6&gt;='Lease Cycles'!$AV$27,'Lease Cycles'!$C$27*'Lease Cycles'!$AW$27/12,IF(CC$6&gt;='Lease Cycles'!$AT$27,'Lease Cycles'!$C$27*'Lease Cycles'!$AU$27/12,'Lease Cycles'!$C$27*INDEX('Lease Cycles'!$CB$27:$CH$27,1,CC333)*(1+INDEX('Lease Cycles'!$CI$27:$CO$27,1,CC333))^INT(INT(CC334/12)/INDEX('Lease Cycles'!$CP$27:$CV$27,1,CC333))/12)))),'Lease Cycles'!$C$27*INDEX('Lease Cycles'!$CB$27:$CH$27,1,CC333)*(1+INDEX('Lease Cycles'!$CI$27:$CO$27,1,CC333))^INT(INT(CC334/12)/INDEX('Lease Cycles'!$CP$27:$CV$27,1,CC333))/12),IF(INDEX('Lease Cycles'!$EF$27:$EL$27,1,CC333)=1,IF(AND('Lease Cycles'!$AZ$27&gt;=INDEX('Lease Cycles'!$BG$27:$BM$27,1,CC333),'Lease Cycles'!$AZ$27&lt;=CC$6),'Lease Cycles'!$C$27*'Lease Cycles'!$BA$27/12,IF(AND('Lease Cycles'!$AX$27&gt;=INDEX('Lease Cycles'!$BG$27:$BM$27,1,CC333),'Lease Cycles'!$AX$27&lt;=CC$6),'Lease Cycles'!$C$27*'Lease Cycles'!$AY$27/12,IF(AND('Lease Cycles'!$AV$27&gt;=INDEX('Lease Cycles'!$BG$27:$BM$27,1,CC333),'Lease Cycles'!$AV$27&lt;=CC$6),'Lease Cycles'!$C$27*'Lease Cycles'!$AW$27/12,IF(AND('Lease Cycles'!$AT$27&gt;=INDEX('Lease Cycles'!$BG$27:$BM$27,1,CC333),'Lease Cycles'!$AT$27&lt;=CC$6),'Lease Cycles'!$C$27*'Lease Cycles'!$AU$27/12,'Lease Cycles'!$C$27*INDEX('Lease Cycles'!$CB$27:$CH$27,1,CC333)*(1+INDEX('Lease Cycles'!$CI$27:$CO$27,1,CC333))^INT(INT(CC334/12)/INDEX('Lease Cycles'!$CP$27:$CV$27,1,CC333))/12)))),'Lease Cycles'!$C$27*INDEX('Lease Cycles'!$CB$27:$CH$27,1,CC333)*(1+INDEX('Lease Cycles'!$CI$27:$CO$27,1,CC333))^INT(INT(CC334/12)/INDEX('Lease Cycles'!$CP$27:$CV$27,1,CC333))/12))),IF('Lease Cycles'!$N$27=1,'Lease Cycles'!$C$27*'Lease Cycles'!$E$27*INDEX('Lease Cycles'!$HE$27:$HK$27,1,CC333)*(1+INDEX('Lease Cycles'!$GQ$27:$GW$27,1,CC333))^INT(INT((CC$6-INDEX('Lease Cycles'!$GJ$27:$GP$27,1,CC333))/12)/INDEX('Lease Cycles'!$GX$27:$HD$27,1,CC333))/12,0)))</f>
        <v>0</v>
      </c>
      <c r="CD336" s="28">
        <f>IF(CD333=0,IF('Lease Cycles'!$F$27&gt;0,'Lease Cycles'!$C$27*'Lease Cycles'!$E$27/12,0),IF(CD335=1,IF('Lease Cycles'!$AT$27&gt;=9999,'Lease Cycles'!$C$27*INDEX('Lease Cycles'!$CB$27:$CH$27,1,CD333)*(1+INDEX('Lease Cycles'!$CI$27:$CO$27,1,CD333))^INT(INT(CD334/12)/INDEX('Lease Cycles'!$CP$27:$CV$27,1,CD333))/12,IF(CD333=1,IF(CD334&gt;=INDEX('Lease Cycles'!$DK$27:$DQ$27,1,CD333),IF(CD$6&gt;='Lease Cycles'!$AZ$27,'Lease Cycles'!$C$27*'Lease Cycles'!$BA$27/12,IF(CD$6&gt;='Lease Cycles'!$AX$27,'Lease Cycles'!$C$27*'Lease Cycles'!$AY$27/12,IF(CD$6&gt;='Lease Cycles'!$AV$27,'Lease Cycles'!$C$27*'Lease Cycles'!$AW$27/12,IF(CD$6&gt;='Lease Cycles'!$AT$27,'Lease Cycles'!$C$27*'Lease Cycles'!$AU$27/12,'Lease Cycles'!$C$27*INDEX('Lease Cycles'!$CB$27:$CH$27,1,CD333)*(1+INDEX('Lease Cycles'!$CI$27:$CO$27,1,CD333))^INT(INT(CD334/12)/INDEX('Lease Cycles'!$CP$27:$CV$27,1,CD333))/12)))),'Lease Cycles'!$C$27*INDEX('Lease Cycles'!$CB$27:$CH$27,1,CD333)*(1+INDEX('Lease Cycles'!$CI$27:$CO$27,1,CD333))^INT(INT(CD334/12)/INDEX('Lease Cycles'!$CP$27:$CV$27,1,CD333))/12),IF(INDEX('Lease Cycles'!$EF$27:$EL$27,1,CD333)=1,IF(AND('Lease Cycles'!$AZ$27&gt;=INDEX('Lease Cycles'!$BG$27:$BM$27,1,CD333),'Lease Cycles'!$AZ$27&lt;=CD$6),'Lease Cycles'!$C$27*'Lease Cycles'!$BA$27/12,IF(AND('Lease Cycles'!$AX$27&gt;=INDEX('Lease Cycles'!$BG$27:$BM$27,1,CD333),'Lease Cycles'!$AX$27&lt;=CD$6),'Lease Cycles'!$C$27*'Lease Cycles'!$AY$27/12,IF(AND('Lease Cycles'!$AV$27&gt;=INDEX('Lease Cycles'!$BG$27:$BM$27,1,CD333),'Lease Cycles'!$AV$27&lt;=CD$6),'Lease Cycles'!$C$27*'Lease Cycles'!$AW$27/12,IF(AND('Lease Cycles'!$AT$27&gt;=INDEX('Lease Cycles'!$BG$27:$BM$27,1,CD333),'Lease Cycles'!$AT$27&lt;=CD$6),'Lease Cycles'!$C$27*'Lease Cycles'!$AU$27/12,'Lease Cycles'!$C$27*INDEX('Lease Cycles'!$CB$27:$CH$27,1,CD333)*(1+INDEX('Lease Cycles'!$CI$27:$CO$27,1,CD333))^INT(INT(CD334/12)/INDEX('Lease Cycles'!$CP$27:$CV$27,1,CD333))/12)))),'Lease Cycles'!$C$27*INDEX('Lease Cycles'!$CB$27:$CH$27,1,CD333)*(1+INDEX('Lease Cycles'!$CI$27:$CO$27,1,CD333))^INT(INT(CD334/12)/INDEX('Lease Cycles'!$CP$27:$CV$27,1,CD333))/12))),IF('Lease Cycles'!$N$27=1,'Lease Cycles'!$C$27*'Lease Cycles'!$E$27*INDEX('Lease Cycles'!$HE$27:$HK$27,1,CD333)*(1+INDEX('Lease Cycles'!$GQ$27:$GW$27,1,CD333))^INT(INT((CD$6-INDEX('Lease Cycles'!$GJ$27:$GP$27,1,CD333))/12)/INDEX('Lease Cycles'!$GX$27:$HD$27,1,CD333))/12,0)))</f>
        <v>0</v>
      </c>
      <c r="CE336" s="28">
        <f>IF(CE333=0,IF('Lease Cycles'!$F$27&gt;0,'Lease Cycles'!$C$27*'Lease Cycles'!$E$27/12,0),IF(CE335=1,IF('Lease Cycles'!$AT$27&gt;=9999,'Lease Cycles'!$C$27*INDEX('Lease Cycles'!$CB$27:$CH$27,1,CE333)*(1+INDEX('Lease Cycles'!$CI$27:$CO$27,1,CE333))^INT(INT(CE334/12)/INDEX('Lease Cycles'!$CP$27:$CV$27,1,CE333))/12,IF(CE333=1,IF(CE334&gt;=INDEX('Lease Cycles'!$DK$27:$DQ$27,1,CE333),IF(CE$6&gt;='Lease Cycles'!$AZ$27,'Lease Cycles'!$C$27*'Lease Cycles'!$BA$27/12,IF(CE$6&gt;='Lease Cycles'!$AX$27,'Lease Cycles'!$C$27*'Lease Cycles'!$AY$27/12,IF(CE$6&gt;='Lease Cycles'!$AV$27,'Lease Cycles'!$C$27*'Lease Cycles'!$AW$27/12,IF(CE$6&gt;='Lease Cycles'!$AT$27,'Lease Cycles'!$C$27*'Lease Cycles'!$AU$27/12,'Lease Cycles'!$C$27*INDEX('Lease Cycles'!$CB$27:$CH$27,1,CE333)*(1+INDEX('Lease Cycles'!$CI$27:$CO$27,1,CE333))^INT(INT(CE334/12)/INDEX('Lease Cycles'!$CP$27:$CV$27,1,CE333))/12)))),'Lease Cycles'!$C$27*INDEX('Lease Cycles'!$CB$27:$CH$27,1,CE333)*(1+INDEX('Lease Cycles'!$CI$27:$CO$27,1,CE333))^INT(INT(CE334/12)/INDEX('Lease Cycles'!$CP$27:$CV$27,1,CE333))/12),IF(INDEX('Lease Cycles'!$EF$27:$EL$27,1,CE333)=1,IF(AND('Lease Cycles'!$AZ$27&gt;=INDEX('Lease Cycles'!$BG$27:$BM$27,1,CE333),'Lease Cycles'!$AZ$27&lt;=CE$6),'Lease Cycles'!$C$27*'Lease Cycles'!$BA$27/12,IF(AND('Lease Cycles'!$AX$27&gt;=INDEX('Lease Cycles'!$BG$27:$BM$27,1,CE333),'Lease Cycles'!$AX$27&lt;=CE$6),'Lease Cycles'!$C$27*'Lease Cycles'!$AY$27/12,IF(AND('Lease Cycles'!$AV$27&gt;=INDEX('Lease Cycles'!$BG$27:$BM$27,1,CE333),'Lease Cycles'!$AV$27&lt;=CE$6),'Lease Cycles'!$C$27*'Lease Cycles'!$AW$27/12,IF(AND('Lease Cycles'!$AT$27&gt;=INDEX('Lease Cycles'!$BG$27:$BM$27,1,CE333),'Lease Cycles'!$AT$27&lt;=CE$6),'Lease Cycles'!$C$27*'Lease Cycles'!$AU$27/12,'Lease Cycles'!$C$27*INDEX('Lease Cycles'!$CB$27:$CH$27,1,CE333)*(1+INDEX('Lease Cycles'!$CI$27:$CO$27,1,CE333))^INT(INT(CE334/12)/INDEX('Lease Cycles'!$CP$27:$CV$27,1,CE333))/12)))),'Lease Cycles'!$C$27*INDEX('Lease Cycles'!$CB$27:$CH$27,1,CE333)*(1+INDEX('Lease Cycles'!$CI$27:$CO$27,1,CE333))^INT(INT(CE334/12)/INDEX('Lease Cycles'!$CP$27:$CV$27,1,CE333))/12))),IF('Lease Cycles'!$N$27=1,'Lease Cycles'!$C$27*'Lease Cycles'!$E$27*INDEX('Lease Cycles'!$HE$27:$HK$27,1,CE333)*(1+INDEX('Lease Cycles'!$GQ$27:$GW$27,1,CE333))^INT(INT((CE$6-INDEX('Lease Cycles'!$GJ$27:$GP$27,1,CE333))/12)/INDEX('Lease Cycles'!$GX$27:$HD$27,1,CE333))/12,0)))</f>
        <v>0</v>
      </c>
      <c r="CF336" s="28">
        <f>IF(CF333=0,IF('Lease Cycles'!$F$27&gt;0,'Lease Cycles'!$C$27*'Lease Cycles'!$E$27/12,0),IF(CF335=1,IF('Lease Cycles'!$AT$27&gt;=9999,'Lease Cycles'!$C$27*INDEX('Lease Cycles'!$CB$27:$CH$27,1,CF333)*(1+INDEX('Lease Cycles'!$CI$27:$CO$27,1,CF333))^INT(INT(CF334/12)/INDEX('Lease Cycles'!$CP$27:$CV$27,1,CF333))/12,IF(CF333=1,IF(CF334&gt;=INDEX('Lease Cycles'!$DK$27:$DQ$27,1,CF333),IF(CF$6&gt;='Lease Cycles'!$AZ$27,'Lease Cycles'!$C$27*'Lease Cycles'!$BA$27/12,IF(CF$6&gt;='Lease Cycles'!$AX$27,'Lease Cycles'!$C$27*'Lease Cycles'!$AY$27/12,IF(CF$6&gt;='Lease Cycles'!$AV$27,'Lease Cycles'!$C$27*'Lease Cycles'!$AW$27/12,IF(CF$6&gt;='Lease Cycles'!$AT$27,'Lease Cycles'!$C$27*'Lease Cycles'!$AU$27/12,'Lease Cycles'!$C$27*INDEX('Lease Cycles'!$CB$27:$CH$27,1,CF333)*(1+INDEX('Lease Cycles'!$CI$27:$CO$27,1,CF333))^INT(INT(CF334/12)/INDEX('Lease Cycles'!$CP$27:$CV$27,1,CF333))/12)))),'Lease Cycles'!$C$27*INDEX('Lease Cycles'!$CB$27:$CH$27,1,CF333)*(1+INDEX('Lease Cycles'!$CI$27:$CO$27,1,CF333))^INT(INT(CF334/12)/INDEX('Lease Cycles'!$CP$27:$CV$27,1,CF333))/12),IF(INDEX('Lease Cycles'!$EF$27:$EL$27,1,CF333)=1,IF(AND('Lease Cycles'!$AZ$27&gt;=INDEX('Lease Cycles'!$BG$27:$BM$27,1,CF333),'Lease Cycles'!$AZ$27&lt;=CF$6),'Lease Cycles'!$C$27*'Lease Cycles'!$BA$27/12,IF(AND('Lease Cycles'!$AX$27&gt;=INDEX('Lease Cycles'!$BG$27:$BM$27,1,CF333),'Lease Cycles'!$AX$27&lt;=CF$6),'Lease Cycles'!$C$27*'Lease Cycles'!$AY$27/12,IF(AND('Lease Cycles'!$AV$27&gt;=INDEX('Lease Cycles'!$BG$27:$BM$27,1,CF333),'Lease Cycles'!$AV$27&lt;=CF$6),'Lease Cycles'!$C$27*'Lease Cycles'!$AW$27/12,IF(AND('Lease Cycles'!$AT$27&gt;=INDEX('Lease Cycles'!$BG$27:$BM$27,1,CF333),'Lease Cycles'!$AT$27&lt;=CF$6),'Lease Cycles'!$C$27*'Lease Cycles'!$AU$27/12,'Lease Cycles'!$C$27*INDEX('Lease Cycles'!$CB$27:$CH$27,1,CF333)*(1+INDEX('Lease Cycles'!$CI$27:$CO$27,1,CF333))^INT(INT(CF334/12)/INDEX('Lease Cycles'!$CP$27:$CV$27,1,CF333))/12)))),'Lease Cycles'!$C$27*INDEX('Lease Cycles'!$CB$27:$CH$27,1,CF333)*(1+INDEX('Lease Cycles'!$CI$27:$CO$27,1,CF333))^INT(INT(CF334/12)/INDEX('Lease Cycles'!$CP$27:$CV$27,1,CF333))/12))),IF('Lease Cycles'!$N$27=1,'Lease Cycles'!$C$27*'Lease Cycles'!$E$27*INDEX('Lease Cycles'!$HE$27:$HK$27,1,CF333)*(1+INDEX('Lease Cycles'!$GQ$27:$GW$27,1,CF333))^INT(INT((CF$6-INDEX('Lease Cycles'!$GJ$27:$GP$27,1,CF333))/12)/INDEX('Lease Cycles'!$GX$27:$HD$27,1,CF333))/12,0)))</f>
        <v>0</v>
      </c>
      <c r="CG336" s="28">
        <f>IF(CG333=0,IF('Lease Cycles'!$F$27&gt;0,'Lease Cycles'!$C$27*'Lease Cycles'!$E$27/12,0),IF(CG335=1,IF('Lease Cycles'!$AT$27&gt;=9999,'Lease Cycles'!$C$27*INDEX('Lease Cycles'!$CB$27:$CH$27,1,CG333)*(1+INDEX('Lease Cycles'!$CI$27:$CO$27,1,CG333))^INT(INT(CG334/12)/INDEX('Lease Cycles'!$CP$27:$CV$27,1,CG333))/12,IF(CG333=1,IF(CG334&gt;=INDEX('Lease Cycles'!$DK$27:$DQ$27,1,CG333),IF(CG$6&gt;='Lease Cycles'!$AZ$27,'Lease Cycles'!$C$27*'Lease Cycles'!$BA$27/12,IF(CG$6&gt;='Lease Cycles'!$AX$27,'Lease Cycles'!$C$27*'Lease Cycles'!$AY$27/12,IF(CG$6&gt;='Lease Cycles'!$AV$27,'Lease Cycles'!$C$27*'Lease Cycles'!$AW$27/12,IF(CG$6&gt;='Lease Cycles'!$AT$27,'Lease Cycles'!$C$27*'Lease Cycles'!$AU$27/12,'Lease Cycles'!$C$27*INDEX('Lease Cycles'!$CB$27:$CH$27,1,CG333)*(1+INDEX('Lease Cycles'!$CI$27:$CO$27,1,CG333))^INT(INT(CG334/12)/INDEX('Lease Cycles'!$CP$27:$CV$27,1,CG333))/12)))),'Lease Cycles'!$C$27*INDEX('Lease Cycles'!$CB$27:$CH$27,1,CG333)*(1+INDEX('Lease Cycles'!$CI$27:$CO$27,1,CG333))^INT(INT(CG334/12)/INDEX('Lease Cycles'!$CP$27:$CV$27,1,CG333))/12),IF(INDEX('Lease Cycles'!$EF$27:$EL$27,1,CG333)=1,IF(AND('Lease Cycles'!$AZ$27&gt;=INDEX('Lease Cycles'!$BG$27:$BM$27,1,CG333),'Lease Cycles'!$AZ$27&lt;=CG$6),'Lease Cycles'!$C$27*'Lease Cycles'!$BA$27/12,IF(AND('Lease Cycles'!$AX$27&gt;=INDEX('Lease Cycles'!$BG$27:$BM$27,1,CG333),'Lease Cycles'!$AX$27&lt;=CG$6),'Lease Cycles'!$C$27*'Lease Cycles'!$AY$27/12,IF(AND('Lease Cycles'!$AV$27&gt;=INDEX('Lease Cycles'!$BG$27:$BM$27,1,CG333),'Lease Cycles'!$AV$27&lt;=CG$6),'Lease Cycles'!$C$27*'Lease Cycles'!$AW$27/12,IF(AND('Lease Cycles'!$AT$27&gt;=INDEX('Lease Cycles'!$BG$27:$BM$27,1,CG333),'Lease Cycles'!$AT$27&lt;=CG$6),'Lease Cycles'!$C$27*'Lease Cycles'!$AU$27/12,'Lease Cycles'!$C$27*INDEX('Lease Cycles'!$CB$27:$CH$27,1,CG333)*(1+INDEX('Lease Cycles'!$CI$27:$CO$27,1,CG333))^INT(INT(CG334/12)/INDEX('Lease Cycles'!$CP$27:$CV$27,1,CG333))/12)))),'Lease Cycles'!$C$27*INDEX('Lease Cycles'!$CB$27:$CH$27,1,CG333)*(1+INDEX('Lease Cycles'!$CI$27:$CO$27,1,CG333))^INT(INT(CG334/12)/INDEX('Lease Cycles'!$CP$27:$CV$27,1,CG333))/12))),IF('Lease Cycles'!$N$27=1,'Lease Cycles'!$C$27*'Lease Cycles'!$E$27*INDEX('Lease Cycles'!$HE$27:$HK$27,1,CG333)*(1+INDEX('Lease Cycles'!$GQ$27:$GW$27,1,CG333))^INT(INT((CG$6-INDEX('Lease Cycles'!$GJ$27:$GP$27,1,CG333))/12)/INDEX('Lease Cycles'!$GX$27:$HD$27,1,CG333))/12,0)))</f>
        <v>0</v>
      </c>
      <c r="CH336" s="28">
        <f>IF(CH333=0,IF('Lease Cycles'!$F$27&gt;0,'Lease Cycles'!$C$27*'Lease Cycles'!$E$27/12,0),IF(CH335=1,IF('Lease Cycles'!$AT$27&gt;=9999,'Lease Cycles'!$C$27*INDEX('Lease Cycles'!$CB$27:$CH$27,1,CH333)*(1+INDEX('Lease Cycles'!$CI$27:$CO$27,1,CH333))^INT(INT(CH334/12)/INDEX('Lease Cycles'!$CP$27:$CV$27,1,CH333))/12,IF(CH333=1,IF(CH334&gt;=INDEX('Lease Cycles'!$DK$27:$DQ$27,1,CH333),IF(CH$6&gt;='Lease Cycles'!$AZ$27,'Lease Cycles'!$C$27*'Lease Cycles'!$BA$27/12,IF(CH$6&gt;='Lease Cycles'!$AX$27,'Lease Cycles'!$C$27*'Lease Cycles'!$AY$27/12,IF(CH$6&gt;='Lease Cycles'!$AV$27,'Lease Cycles'!$C$27*'Lease Cycles'!$AW$27/12,IF(CH$6&gt;='Lease Cycles'!$AT$27,'Lease Cycles'!$C$27*'Lease Cycles'!$AU$27/12,'Lease Cycles'!$C$27*INDEX('Lease Cycles'!$CB$27:$CH$27,1,CH333)*(1+INDEX('Lease Cycles'!$CI$27:$CO$27,1,CH333))^INT(INT(CH334/12)/INDEX('Lease Cycles'!$CP$27:$CV$27,1,CH333))/12)))),'Lease Cycles'!$C$27*INDEX('Lease Cycles'!$CB$27:$CH$27,1,CH333)*(1+INDEX('Lease Cycles'!$CI$27:$CO$27,1,CH333))^INT(INT(CH334/12)/INDEX('Lease Cycles'!$CP$27:$CV$27,1,CH333))/12),IF(INDEX('Lease Cycles'!$EF$27:$EL$27,1,CH333)=1,IF(AND('Lease Cycles'!$AZ$27&gt;=INDEX('Lease Cycles'!$BG$27:$BM$27,1,CH333),'Lease Cycles'!$AZ$27&lt;=CH$6),'Lease Cycles'!$C$27*'Lease Cycles'!$BA$27/12,IF(AND('Lease Cycles'!$AX$27&gt;=INDEX('Lease Cycles'!$BG$27:$BM$27,1,CH333),'Lease Cycles'!$AX$27&lt;=CH$6),'Lease Cycles'!$C$27*'Lease Cycles'!$AY$27/12,IF(AND('Lease Cycles'!$AV$27&gt;=INDEX('Lease Cycles'!$BG$27:$BM$27,1,CH333),'Lease Cycles'!$AV$27&lt;=CH$6),'Lease Cycles'!$C$27*'Lease Cycles'!$AW$27/12,IF(AND('Lease Cycles'!$AT$27&gt;=INDEX('Lease Cycles'!$BG$27:$BM$27,1,CH333),'Lease Cycles'!$AT$27&lt;=CH$6),'Lease Cycles'!$C$27*'Lease Cycles'!$AU$27/12,'Lease Cycles'!$C$27*INDEX('Lease Cycles'!$CB$27:$CH$27,1,CH333)*(1+INDEX('Lease Cycles'!$CI$27:$CO$27,1,CH333))^INT(INT(CH334/12)/INDEX('Lease Cycles'!$CP$27:$CV$27,1,CH333))/12)))),'Lease Cycles'!$C$27*INDEX('Lease Cycles'!$CB$27:$CH$27,1,CH333)*(1+INDEX('Lease Cycles'!$CI$27:$CO$27,1,CH333))^INT(INT(CH334/12)/INDEX('Lease Cycles'!$CP$27:$CV$27,1,CH333))/12))),IF('Lease Cycles'!$N$27=1,'Lease Cycles'!$C$27*'Lease Cycles'!$E$27*INDEX('Lease Cycles'!$HE$27:$HK$27,1,CH333)*(1+INDEX('Lease Cycles'!$GQ$27:$GW$27,1,CH333))^INT(INT((CH$6-INDEX('Lease Cycles'!$GJ$27:$GP$27,1,CH333))/12)/INDEX('Lease Cycles'!$GX$27:$HD$27,1,CH333))/12,0)))</f>
        <v>0</v>
      </c>
      <c r="CI336" s="28">
        <f>IF(CI333=0,IF('Lease Cycles'!$F$27&gt;0,'Lease Cycles'!$C$27*'Lease Cycles'!$E$27/12,0),IF(CI335=1,IF('Lease Cycles'!$AT$27&gt;=9999,'Lease Cycles'!$C$27*INDEX('Lease Cycles'!$CB$27:$CH$27,1,CI333)*(1+INDEX('Lease Cycles'!$CI$27:$CO$27,1,CI333))^INT(INT(CI334/12)/INDEX('Lease Cycles'!$CP$27:$CV$27,1,CI333))/12,IF(CI333=1,IF(CI334&gt;=INDEX('Lease Cycles'!$DK$27:$DQ$27,1,CI333),IF(CI$6&gt;='Lease Cycles'!$AZ$27,'Lease Cycles'!$C$27*'Lease Cycles'!$BA$27/12,IF(CI$6&gt;='Lease Cycles'!$AX$27,'Lease Cycles'!$C$27*'Lease Cycles'!$AY$27/12,IF(CI$6&gt;='Lease Cycles'!$AV$27,'Lease Cycles'!$C$27*'Lease Cycles'!$AW$27/12,IF(CI$6&gt;='Lease Cycles'!$AT$27,'Lease Cycles'!$C$27*'Lease Cycles'!$AU$27/12,'Lease Cycles'!$C$27*INDEX('Lease Cycles'!$CB$27:$CH$27,1,CI333)*(1+INDEX('Lease Cycles'!$CI$27:$CO$27,1,CI333))^INT(INT(CI334/12)/INDEX('Lease Cycles'!$CP$27:$CV$27,1,CI333))/12)))),'Lease Cycles'!$C$27*INDEX('Lease Cycles'!$CB$27:$CH$27,1,CI333)*(1+INDEX('Lease Cycles'!$CI$27:$CO$27,1,CI333))^INT(INT(CI334/12)/INDEX('Lease Cycles'!$CP$27:$CV$27,1,CI333))/12),IF(INDEX('Lease Cycles'!$EF$27:$EL$27,1,CI333)=1,IF(AND('Lease Cycles'!$AZ$27&gt;=INDEX('Lease Cycles'!$BG$27:$BM$27,1,CI333),'Lease Cycles'!$AZ$27&lt;=CI$6),'Lease Cycles'!$C$27*'Lease Cycles'!$BA$27/12,IF(AND('Lease Cycles'!$AX$27&gt;=INDEX('Lease Cycles'!$BG$27:$BM$27,1,CI333),'Lease Cycles'!$AX$27&lt;=CI$6),'Lease Cycles'!$C$27*'Lease Cycles'!$AY$27/12,IF(AND('Lease Cycles'!$AV$27&gt;=INDEX('Lease Cycles'!$BG$27:$BM$27,1,CI333),'Lease Cycles'!$AV$27&lt;=CI$6),'Lease Cycles'!$C$27*'Lease Cycles'!$AW$27/12,IF(AND('Lease Cycles'!$AT$27&gt;=INDEX('Lease Cycles'!$BG$27:$BM$27,1,CI333),'Lease Cycles'!$AT$27&lt;=CI$6),'Lease Cycles'!$C$27*'Lease Cycles'!$AU$27/12,'Lease Cycles'!$C$27*INDEX('Lease Cycles'!$CB$27:$CH$27,1,CI333)*(1+INDEX('Lease Cycles'!$CI$27:$CO$27,1,CI333))^INT(INT(CI334/12)/INDEX('Lease Cycles'!$CP$27:$CV$27,1,CI333))/12)))),'Lease Cycles'!$C$27*INDEX('Lease Cycles'!$CB$27:$CH$27,1,CI333)*(1+INDEX('Lease Cycles'!$CI$27:$CO$27,1,CI333))^INT(INT(CI334/12)/INDEX('Lease Cycles'!$CP$27:$CV$27,1,CI333))/12))),IF('Lease Cycles'!$N$27=1,'Lease Cycles'!$C$27*'Lease Cycles'!$E$27*INDEX('Lease Cycles'!$HE$27:$HK$27,1,CI333)*(1+INDEX('Lease Cycles'!$GQ$27:$GW$27,1,CI333))^INT(INT((CI$6-INDEX('Lease Cycles'!$GJ$27:$GP$27,1,CI333))/12)/INDEX('Lease Cycles'!$GX$27:$HD$27,1,CI333))/12,0)))</f>
        <v>0</v>
      </c>
      <c r="CJ336" s="28">
        <f>IF(CJ333=0,IF('Lease Cycles'!$F$27&gt;0,'Lease Cycles'!$C$27*'Lease Cycles'!$E$27/12,0),IF(CJ335=1,IF('Lease Cycles'!$AT$27&gt;=9999,'Lease Cycles'!$C$27*INDEX('Lease Cycles'!$CB$27:$CH$27,1,CJ333)*(1+INDEX('Lease Cycles'!$CI$27:$CO$27,1,CJ333))^INT(INT(CJ334/12)/INDEX('Lease Cycles'!$CP$27:$CV$27,1,CJ333))/12,IF(CJ333=1,IF(CJ334&gt;=INDEX('Lease Cycles'!$DK$27:$DQ$27,1,CJ333),IF(CJ$6&gt;='Lease Cycles'!$AZ$27,'Lease Cycles'!$C$27*'Lease Cycles'!$BA$27/12,IF(CJ$6&gt;='Lease Cycles'!$AX$27,'Lease Cycles'!$C$27*'Lease Cycles'!$AY$27/12,IF(CJ$6&gt;='Lease Cycles'!$AV$27,'Lease Cycles'!$C$27*'Lease Cycles'!$AW$27/12,IF(CJ$6&gt;='Lease Cycles'!$AT$27,'Lease Cycles'!$C$27*'Lease Cycles'!$AU$27/12,'Lease Cycles'!$C$27*INDEX('Lease Cycles'!$CB$27:$CH$27,1,CJ333)*(1+INDEX('Lease Cycles'!$CI$27:$CO$27,1,CJ333))^INT(INT(CJ334/12)/INDEX('Lease Cycles'!$CP$27:$CV$27,1,CJ333))/12)))),'Lease Cycles'!$C$27*INDEX('Lease Cycles'!$CB$27:$CH$27,1,CJ333)*(1+INDEX('Lease Cycles'!$CI$27:$CO$27,1,CJ333))^INT(INT(CJ334/12)/INDEX('Lease Cycles'!$CP$27:$CV$27,1,CJ333))/12),IF(INDEX('Lease Cycles'!$EF$27:$EL$27,1,CJ333)=1,IF(AND('Lease Cycles'!$AZ$27&gt;=INDEX('Lease Cycles'!$BG$27:$BM$27,1,CJ333),'Lease Cycles'!$AZ$27&lt;=CJ$6),'Lease Cycles'!$C$27*'Lease Cycles'!$BA$27/12,IF(AND('Lease Cycles'!$AX$27&gt;=INDEX('Lease Cycles'!$BG$27:$BM$27,1,CJ333),'Lease Cycles'!$AX$27&lt;=CJ$6),'Lease Cycles'!$C$27*'Lease Cycles'!$AY$27/12,IF(AND('Lease Cycles'!$AV$27&gt;=INDEX('Lease Cycles'!$BG$27:$BM$27,1,CJ333),'Lease Cycles'!$AV$27&lt;=CJ$6),'Lease Cycles'!$C$27*'Lease Cycles'!$AW$27/12,IF(AND('Lease Cycles'!$AT$27&gt;=INDEX('Lease Cycles'!$BG$27:$BM$27,1,CJ333),'Lease Cycles'!$AT$27&lt;=CJ$6),'Lease Cycles'!$C$27*'Lease Cycles'!$AU$27/12,'Lease Cycles'!$C$27*INDEX('Lease Cycles'!$CB$27:$CH$27,1,CJ333)*(1+INDEX('Lease Cycles'!$CI$27:$CO$27,1,CJ333))^INT(INT(CJ334/12)/INDEX('Lease Cycles'!$CP$27:$CV$27,1,CJ333))/12)))),'Lease Cycles'!$C$27*INDEX('Lease Cycles'!$CB$27:$CH$27,1,CJ333)*(1+INDEX('Lease Cycles'!$CI$27:$CO$27,1,CJ333))^INT(INT(CJ334/12)/INDEX('Lease Cycles'!$CP$27:$CV$27,1,CJ333))/12))),IF('Lease Cycles'!$N$27=1,'Lease Cycles'!$C$27*'Lease Cycles'!$E$27*INDEX('Lease Cycles'!$HE$27:$HK$27,1,CJ333)*(1+INDEX('Lease Cycles'!$GQ$27:$GW$27,1,CJ333))^INT(INT((CJ$6-INDEX('Lease Cycles'!$GJ$27:$GP$27,1,CJ333))/12)/INDEX('Lease Cycles'!$GX$27:$HD$27,1,CJ333))/12,0)))</f>
        <v>0</v>
      </c>
      <c r="CK336" s="28">
        <f>IF(CK333=0,IF('Lease Cycles'!$F$27&gt;0,'Lease Cycles'!$C$27*'Lease Cycles'!$E$27/12,0),IF(CK335=1,IF('Lease Cycles'!$AT$27&gt;=9999,'Lease Cycles'!$C$27*INDEX('Lease Cycles'!$CB$27:$CH$27,1,CK333)*(1+INDEX('Lease Cycles'!$CI$27:$CO$27,1,CK333))^INT(INT(CK334/12)/INDEX('Lease Cycles'!$CP$27:$CV$27,1,CK333))/12,IF(CK333=1,IF(CK334&gt;=INDEX('Lease Cycles'!$DK$27:$DQ$27,1,CK333),IF(CK$6&gt;='Lease Cycles'!$AZ$27,'Lease Cycles'!$C$27*'Lease Cycles'!$BA$27/12,IF(CK$6&gt;='Lease Cycles'!$AX$27,'Lease Cycles'!$C$27*'Lease Cycles'!$AY$27/12,IF(CK$6&gt;='Lease Cycles'!$AV$27,'Lease Cycles'!$C$27*'Lease Cycles'!$AW$27/12,IF(CK$6&gt;='Lease Cycles'!$AT$27,'Lease Cycles'!$C$27*'Lease Cycles'!$AU$27/12,'Lease Cycles'!$C$27*INDEX('Lease Cycles'!$CB$27:$CH$27,1,CK333)*(1+INDEX('Lease Cycles'!$CI$27:$CO$27,1,CK333))^INT(INT(CK334/12)/INDEX('Lease Cycles'!$CP$27:$CV$27,1,CK333))/12)))),'Lease Cycles'!$C$27*INDEX('Lease Cycles'!$CB$27:$CH$27,1,CK333)*(1+INDEX('Lease Cycles'!$CI$27:$CO$27,1,CK333))^INT(INT(CK334/12)/INDEX('Lease Cycles'!$CP$27:$CV$27,1,CK333))/12),IF(INDEX('Lease Cycles'!$EF$27:$EL$27,1,CK333)=1,IF(AND('Lease Cycles'!$AZ$27&gt;=INDEX('Lease Cycles'!$BG$27:$BM$27,1,CK333),'Lease Cycles'!$AZ$27&lt;=CK$6),'Lease Cycles'!$C$27*'Lease Cycles'!$BA$27/12,IF(AND('Lease Cycles'!$AX$27&gt;=INDEX('Lease Cycles'!$BG$27:$BM$27,1,CK333),'Lease Cycles'!$AX$27&lt;=CK$6),'Lease Cycles'!$C$27*'Lease Cycles'!$AY$27/12,IF(AND('Lease Cycles'!$AV$27&gt;=INDEX('Lease Cycles'!$BG$27:$BM$27,1,CK333),'Lease Cycles'!$AV$27&lt;=CK$6),'Lease Cycles'!$C$27*'Lease Cycles'!$AW$27/12,IF(AND('Lease Cycles'!$AT$27&gt;=INDEX('Lease Cycles'!$BG$27:$BM$27,1,CK333),'Lease Cycles'!$AT$27&lt;=CK$6),'Lease Cycles'!$C$27*'Lease Cycles'!$AU$27/12,'Lease Cycles'!$C$27*INDEX('Lease Cycles'!$CB$27:$CH$27,1,CK333)*(1+INDEX('Lease Cycles'!$CI$27:$CO$27,1,CK333))^INT(INT(CK334/12)/INDEX('Lease Cycles'!$CP$27:$CV$27,1,CK333))/12)))),'Lease Cycles'!$C$27*INDEX('Lease Cycles'!$CB$27:$CH$27,1,CK333)*(1+INDEX('Lease Cycles'!$CI$27:$CO$27,1,CK333))^INT(INT(CK334/12)/INDEX('Lease Cycles'!$CP$27:$CV$27,1,CK333))/12))),IF('Lease Cycles'!$N$27=1,'Lease Cycles'!$C$27*'Lease Cycles'!$E$27*INDEX('Lease Cycles'!$HE$27:$HK$27,1,CK333)*(1+INDEX('Lease Cycles'!$GQ$27:$GW$27,1,CK333))^INT(INT((CK$6-INDEX('Lease Cycles'!$GJ$27:$GP$27,1,CK333))/12)/INDEX('Lease Cycles'!$GX$27:$HD$27,1,CK333))/12,0)))</f>
        <v>0</v>
      </c>
      <c r="CL336" s="28">
        <f>IF(CL333=0,IF('Lease Cycles'!$F$27&gt;0,'Lease Cycles'!$C$27*'Lease Cycles'!$E$27/12,0),IF(CL335=1,IF('Lease Cycles'!$AT$27&gt;=9999,'Lease Cycles'!$C$27*INDEX('Lease Cycles'!$CB$27:$CH$27,1,CL333)*(1+INDEX('Lease Cycles'!$CI$27:$CO$27,1,CL333))^INT(INT(CL334/12)/INDEX('Lease Cycles'!$CP$27:$CV$27,1,CL333))/12,IF(CL333=1,IF(CL334&gt;=INDEX('Lease Cycles'!$DK$27:$DQ$27,1,CL333),IF(CL$6&gt;='Lease Cycles'!$AZ$27,'Lease Cycles'!$C$27*'Lease Cycles'!$BA$27/12,IF(CL$6&gt;='Lease Cycles'!$AX$27,'Lease Cycles'!$C$27*'Lease Cycles'!$AY$27/12,IF(CL$6&gt;='Lease Cycles'!$AV$27,'Lease Cycles'!$C$27*'Lease Cycles'!$AW$27/12,IF(CL$6&gt;='Lease Cycles'!$AT$27,'Lease Cycles'!$C$27*'Lease Cycles'!$AU$27/12,'Lease Cycles'!$C$27*INDEX('Lease Cycles'!$CB$27:$CH$27,1,CL333)*(1+INDEX('Lease Cycles'!$CI$27:$CO$27,1,CL333))^INT(INT(CL334/12)/INDEX('Lease Cycles'!$CP$27:$CV$27,1,CL333))/12)))),'Lease Cycles'!$C$27*INDEX('Lease Cycles'!$CB$27:$CH$27,1,CL333)*(1+INDEX('Lease Cycles'!$CI$27:$CO$27,1,CL333))^INT(INT(CL334/12)/INDEX('Lease Cycles'!$CP$27:$CV$27,1,CL333))/12),IF(INDEX('Lease Cycles'!$EF$27:$EL$27,1,CL333)=1,IF(AND('Lease Cycles'!$AZ$27&gt;=INDEX('Lease Cycles'!$BG$27:$BM$27,1,CL333),'Lease Cycles'!$AZ$27&lt;=CL$6),'Lease Cycles'!$C$27*'Lease Cycles'!$BA$27/12,IF(AND('Lease Cycles'!$AX$27&gt;=INDEX('Lease Cycles'!$BG$27:$BM$27,1,CL333),'Lease Cycles'!$AX$27&lt;=CL$6),'Lease Cycles'!$C$27*'Lease Cycles'!$AY$27/12,IF(AND('Lease Cycles'!$AV$27&gt;=INDEX('Lease Cycles'!$BG$27:$BM$27,1,CL333),'Lease Cycles'!$AV$27&lt;=CL$6),'Lease Cycles'!$C$27*'Lease Cycles'!$AW$27/12,IF(AND('Lease Cycles'!$AT$27&gt;=INDEX('Lease Cycles'!$BG$27:$BM$27,1,CL333),'Lease Cycles'!$AT$27&lt;=CL$6),'Lease Cycles'!$C$27*'Lease Cycles'!$AU$27/12,'Lease Cycles'!$C$27*INDEX('Lease Cycles'!$CB$27:$CH$27,1,CL333)*(1+INDEX('Lease Cycles'!$CI$27:$CO$27,1,CL333))^INT(INT(CL334/12)/INDEX('Lease Cycles'!$CP$27:$CV$27,1,CL333))/12)))),'Lease Cycles'!$C$27*INDEX('Lease Cycles'!$CB$27:$CH$27,1,CL333)*(1+INDEX('Lease Cycles'!$CI$27:$CO$27,1,CL333))^INT(INT(CL334/12)/INDEX('Lease Cycles'!$CP$27:$CV$27,1,CL333))/12))),IF('Lease Cycles'!$N$27=1,'Lease Cycles'!$C$27*'Lease Cycles'!$E$27*INDEX('Lease Cycles'!$HE$27:$HK$27,1,CL333)*(1+INDEX('Lease Cycles'!$GQ$27:$GW$27,1,CL333))^INT(INT((CL$6-INDEX('Lease Cycles'!$GJ$27:$GP$27,1,CL333))/12)/INDEX('Lease Cycles'!$GX$27:$HD$27,1,CL333))/12,0)))</f>
        <v>0</v>
      </c>
      <c r="CM336" s="28">
        <f>IF(CM333=0,IF('Lease Cycles'!$F$27&gt;0,'Lease Cycles'!$C$27*'Lease Cycles'!$E$27/12,0),IF(CM335=1,IF('Lease Cycles'!$AT$27&gt;=9999,'Lease Cycles'!$C$27*INDEX('Lease Cycles'!$CB$27:$CH$27,1,CM333)*(1+INDEX('Lease Cycles'!$CI$27:$CO$27,1,CM333))^INT(INT(CM334/12)/INDEX('Lease Cycles'!$CP$27:$CV$27,1,CM333))/12,IF(CM333=1,IF(CM334&gt;=INDEX('Lease Cycles'!$DK$27:$DQ$27,1,CM333),IF(CM$6&gt;='Lease Cycles'!$AZ$27,'Lease Cycles'!$C$27*'Lease Cycles'!$BA$27/12,IF(CM$6&gt;='Lease Cycles'!$AX$27,'Lease Cycles'!$C$27*'Lease Cycles'!$AY$27/12,IF(CM$6&gt;='Lease Cycles'!$AV$27,'Lease Cycles'!$C$27*'Lease Cycles'!$AW$27/12,IF(CM$6&gt;='Lease Cycles'!$AT$27,'Lease Cycles'!$C$27*'Lease Cycles'!$AU$27/12,'Lease Cycles'!$C$27*INDEX('Lease Cycles'!$CB$27:$CH$27,1,CM333)*(1+INDEX('Lease Cycles'!$CI$27:$CO$27,1,CM333))^INT(INT(CM334/12)/INDEX('Lease Cycles'!$CP$27:$CV$27,1,CM333))/12)))),'Lease Cycles'!$C$27*INDEX('Lease Cycles'!$CB$27:$CH$27,1,CM333)*(1+INDEX('Lease Cycles'!$CI$27:$CO$27,1,CM333))^INT(INT(CM334/12)/INDEX('Lease Cycles'!$CP$27:$CV$27,1,CM333))/12),IF(INDEX('Lease Cycles'!$EF$27:$EL$27,1,CM333)=1,IF(AND('Lease Cycles'!$AZ$27&gt;=INDEX('Lease Cycles'!$BG$27:$BM$27,1,CM333),'Lease Cycles'!$AZ$27&lt;=CM$6),'Lease Cycles'!$C$27*'Lease Cycles'!$BA$27/12,IF(AND('Lease Cycles'!$AX$27&gt;=INDEX('Lease Cycles'!$BG$27:$BM$27,1,CM333),'Lease Cycles'!$AX$27&lt;=CM$6),'Lease Cycles'!$C$27*'Lease Cycles'!$AY$27/12,IF(AND('Lease Cycles'!$AV$27&gt;=INDEX('Lease Cycles'!$BG$27:$BM$27,1,CM333),'Lease Cycles'!$AV$27&lt;=CM$6),'Lease Cycles'!$C$27*'Lease Cycles'!$AW$27/12,IF(AND('Lease Cycles'!$AT$27&gt;=INDEX('Lease Cycles'!$BG$27:$BM$27,1,CM333),'Lease Cycles'!$AT$27&lt;=CM$6),'Lease Cycles'!$C$27*'Lease Cycles'!$AU$27/12,'Lease Cycles'!$C$27*INDEX('Lease Cycles'!$CB$27:$CH$27,1,CM333)*(1+INDEX('Lease Cycles'!$CI$27:$CO$27,1,CM333))^INT(INT(CM334/12)/INDEX('Lease Cycles'!$CP$27:$CV$27,1,CM333))/12)))),'Lease Cycles'!$C$27*INDEX('Lease Cycles'!$CB$27:$CH$27,1,CM333)*(1+INDEX('Lease Cycles'!$CI$27:$CO$27,1,CM333))^INT(INT(CM334/12)/INDEX('Lease Cycles'!$CP$27:$CV$27,1,CM333))/12))),IF('Lease Cycles'!$N$27=1,'Lease Cycles'!$C$27*'Lease Cycles'!$E$27*INDEX('Lease Cycles'!$HE$27:$HK$27,1,CM333)*(1+INDEX('Lease Cycles'!$GQ$27:$GW$27,1,CM333))^INT(INT((CM$6-INDEX('Lease Cycles'!$GJ$27:$GP$27,1,CM333))/12)/INDEX('Lease Cycles'!$GX$27:$HD$27,1,CM333))/12,0)))</f>
        <v>0</v>
      </c>
      <c r="CN336" s="28">
        <f>IF(CN333=0,IF('Lease Cycles'!$F$27&gt;0,'Lease Cycles'!$C$27*'Lease Cycles'!$E$27/12,0),IF(CN335=1,IF('Lease Cycles'!$AT$27&gt;=9999,'Lease Cycles'!$C$27*INDEX('Lease Cycles'!$CB$27:$CH$27,1,CN333)*(1+INDEX('Lease Cycles'!$CI$27:$CO$27,1,CN333))^INT(INT(CN334/12)/INDEX('Lease Cycles'!$CP$27:$CV$27,1,CN333))/12,IF(CN333=1,IF(CN334&gt;=INDEX('Lease Cycles'!$DK$27:$DQ$27,1,CN333),IF(CN$6&gt;='Lease Cycles'!$AZ$27,'Lease Cycles'!$C$27*'Lease Cycles'!$BA$27/12,IF(CN$6&gt;='Lease Cycles'!$AX$27,'Lease Cycles'!$C$27*'Lease Cycles'!$AY$27/12,IF(CN$6&gt;='Lease Cycles'!$AV$27,'Lease Cycles'!$C$27*'Lease Cycles'!$AW$27/12,IF(CN$6&gt;='Lease Cycles'!$AT$27,'Lease Cycles'!$C$27*'Lease Cycles'!$AU$27/12,'Lease Cycles'!$C$27*INDEX('Lease Cycles'!$CB$27:$CH$27,1,CN333)*(1+INDEX('Lease Cycles'!$CI$27:$CO$27,1,CN333))^INT(INT(CN334/12)/INDEX('Lease Cycles'!$CP$27:$CV$27,1,CN333))/12)))),'Lease Cycles'!$C$27*INDEX('Lease Cycles'!$CB$27:$CH$27,1,CN333)*(1+INDEX('Lease Cycles'!$CI$27:$CO$27,1,CN333))^INT(INT(CN334/12)/INDEX('Lease Cycles'!$CP$27:$CV$27,1,CN333))/12),IF(INDEX('Lease Cycles'!$EF$27:$EL$27,1,CN333)=1,IF(AND('Lease Cycles'!$AZ$27&gt;=INDEX('Lease Cycles'!$BG$27:$BM$27,1,CN333),'Lease Cycles'!$AZ$27&lt;=CN$6),'Lease Cycles'!$C$27*'Lease Cycles'!$BA$27/12,IF(AND('Lease Cycles'!$AX$27&gt;=INDEX('Lease Cycles'!$BG$27:$BM$27,1,CN333),'Lease Cycles'!$AX$27&lt;=CN$6),'Lease Cycles'!$C$27*'Lease Cycles'!$AY$27/12,IF(AND('Lease Cycles'!$AV$27&gt;=INDEX('Lease Cycles'!$BG$27:$BM$27,1,CN333),'Lease Cycles'!$AV$27&lt;=CN$6),'Lease Cycles'!$C$27*'Lease Cycles'!$AW$27/12,IF(AND('Lease Cycles'!$AT$27&gt;=INDEX('Lease Cycles'!$BG$27:$BM$27,1,CN333),'Lease Cycles'!$AT$27&lt;=CN$6),'Lease Cycles'!$C$27*'Lease Cycles'!$AU$27/12,'Lease Cycles'!$C$27*INDEX('Lease Cycles'!$CB$27:$CH$27,1,CN333)*(1+INDEX('Lease Cycles'!$CI$27:$CO$27,1,CN333))^INT(INT(CN334/12)/INDEX('Lease Cycles'!$CP$27:$CV$27,1,CN333))/12)))),'Lease Cycles'!$C$27*INDEX('Lease Cycles'!$CB$27:$CH$27,1,CN333)*(1+INDEX('Lease Cycles'!$CI$27:$CO$27,1,CN333))^INT(INT(CN334/12)/INDEX('Lease Cycles'!$CP$27:$CV$27,1,CN333))/12))),IF('Lease Cycles'!$N$27=1,'Lease Cycles'!$C$27*'Lease Cycles'!$E$27*INDEX('Lease Cycles'!$HE$27:$HK$27,1,CN333)*(1+INDEX('Lease Cycles'!$GQ$27:$GW$27,1,CN333))^INT(INT((CN$6-INDEX('Lease Cycles'!$GJ$27:$GP$27,1,CN333))/12)/INDEX('Lease Cycles'!$GX$27:$HD$27,1,CN333))/12,0)))</f>
        <v>0</v>
      </c>
      <c r="CO336" s="28">
        <f>IF(CO333=0,IF('Lease Cycles'!$F$27&gt;0,'Lease Cycles'!$C$27*'Lease Cycles'!$E$27/12,0),IF(CO335=1,IF('Lease Cycles'!$AT$27&gt;=9999,'Lease Cycles'!$C$27*INDEX('Lease Cycles'!$CB$27:$CH$27,1,CO333)*(1+INDEX('Lease Cycles'!$CI$27:$CO$27,1,CO333))^INT(INT(CO334/12)/INDEX('Lease Cycles'!$CP$27:$CV$27,1,CO333))/12,IF(CO333=1,IF(CO334&gt;=INDEX('Lease Cycles'!$DK$27:$DQ$27,1,CO333),IF(CO$6&gt;='Lease Cycles'!$AZ$27,'Lease Cycles'!$C$27*'Lease Cycles'!$BA$27/12,IF(CO$6&gt;='Lease Cycles'!$AX$27,'Lease Cycles'!$C$27*'Lease Cycles'!$AY$27/12,IF(CO$6&gt;='Lease Cycles'!$AV$27,'Lease Cycles'!$C$27*'Lease Cycles'!$AW$27/12,IF(CO$6&gt;='Lease Cycles'!$AT$27,'Lease Cycles'!$C$27*'Lease Cycles'!$AU$27/12,'Lease Cycles'!$C$27*INDEX('Lease Cycles'!$CB$27:$CH$27,1,CO333)*(1+INDEX('Lease Cycles'!$CI$27:$CO$27,1,CO333))^INT(INT(CO334/12)/INDEX('Lease Cycles'!$CP$27:$CV$27,1,CO333))/12)))),'Lease Cycles'!$C$27*INDEX('Lease Cycles'!$CB$27:$CH$27,1,CO333)*(1+INDEX('Lease Cycles'!$CI$27:$CO$27,1,CO333))^INT(INT(CO334/12)/INDEX('Lease Cycles'!$CP$27:$CV$27,1,CO333))/12),IF(INDEX('Lease Cycles'!$EF$27:$EL$27,1,CO333)=1,IF(AND('Lease Cycles'!$AZ$27&gt;=INDEX('Lease Cycles'!$BG$27:$BM$27,1,CO333),'Lease Cycles'!$AZ$27&lt;=CO$6),'Lease Cycles'!$C$27*'Lease Cycles'!$BA$27/12,IF(AND('Lease Cycles'!$AX$27&gt;=INDEX('Lease Cycles'!$BG$27:$BM$27,1,CO333),'Lease Cycles'!$AX$27&lt;=CO$6),'Lease Cycles'!$C$27*'Lease Cycles'!$AY$27/12,IF(AND('Lease Cycles'!$AV$27&gt;=INDEX('Lease Cycles'!$BG$27:$BM$27,1,CO333),'Lease Cycles'!$AV$27&lt;=CO$6),'Lease Cycles'!$C$27*'Lease Cycles'!$AW$27/12,IF(AND('Lease Cycles'!$AT$27&gt;=INDEX('Lease Cycles'!$BG$27:$BM$27,1,CO333),'Lease Cycles'!$AT$27&lt;=CO$6),'Lease Cycles'!$C$27*'Lease Cycles'!$AU$27/12,'Lease Cycles'!$C$27*INDEX('Lease Cycles'!$CB$27:$CH$27,1,CO333)*(1+INDEX('Lease Cycles'!$CI$27:$CO$27,1,CO333))^INT(INT(CO334/12)/INDEX('Lease Cycles'!$CP$27:$CV$27,1,CO333))/12)))),'Lease Cycles'!$C$27*INDEX('Lease Cycles'!$CB$27:$CH$27,1,CO333)*(1+INDEX('Lease Cycles'!$CI$27:$CO$27,1,CO333))^INT(INT(CO334/12)/INDEX('Lease Cycles'!$CP$27:$CV$27,1,CO333))/12))),IF('Lease Cycles'!$N$27=1,'Lease Cycles'!$C$27*'Lease Cycles'!$E$27*INDEX('Lease Cycles'!$HE$27:$HK$27,1,CO333)*(1+INDEX('Lease Cycles'!$GQ$27:$GW$27,1,CO333))^INT(INT((CO$6-INDEX('Lease Cycles'!$GJ$27:$GP$27,1,CO333))/12)/INDEX('Lease Cycles'!$GX$27:$HD$27,1,CO333))/12,0)))</f>
        <v>0</v>
      </c>
      <c r="CP336" s="28">
        <f>IF(CP333=0,IF('Lease Cycles'!$F$27&gt;0,'Lease Cycles'!$C$27*'Lease Cycles'!$E$27/12,0),IF(CP335=1,IF('Lease Cycles'!$AT$27&gt;=9999,'Lease Cycles'!$C$27*INDEX('Lease Cycles'!$CB$27:$CH$27,1,CP333)*(1+INDEX('Lease Cycles'!$CI$27:$CO$27,1,CP333))^INT(INT(CP334/12)/INDEX('Lease Cycles'!$CP$27:$CV$27,1,CP333))/12,IF(CP333=1,IF(CP334&gt;=INDEX('Lease Cycles'!$DK$27:$DQ$27,1,CP333),IF(CP$6&gt;='Lease Cycles'!$AZ$27,'Lease Cycles'!$C$27*'Lease Cycles'!$BA$27/12,IF(CP$6&gt;='Lease Cycles'!$AX$27,'Lease Cycles'!$C$27*'Lease Cycles'!$AY$27/12,IF(CP$6&gt;='Lease Cycles'!$AV$27,'Lease Cycles'!$C$27*'Lease Cycles'!$AW$27/12,IF(CP$6&gt;='Lease Cycles'!$AT$27,'Lease Cycles'!$C$27*'Lease Cycles'!$AU$27/12,'Lease Cycles'!$C$27*INDEX('Lease Cycles'!$CB$27:$CH$27,1,CP333)*(1+INDEX('Lease Cycles'!$CI$27:$CO$27,1,CP333))^INT(INT(CP334/12)/INDEX('Lease Cycles'!$CP$27:$CV$27,1,CP333))/12)))),'Lease Cycles'!$C$27*INDEX('Lease Cycles'!$CB$27:$CH$27,1,CP333)*(1+INDEX('Lease Cycles'!$CI$27:$CO$27,1,CP333))^INT(INT(CP334/12)/INDEX('Lease Cycles'!$CP$27:$CV$27,1,CP333))/12),IF(INDEX('Lease Cycles'!$EF$27:$EL$27,1,CP333)=1,IF(AND('Lease Cycles'!$AZ$27&gt;=INDEX('Lease Cycles'!$BG$27:$BM$27,1,CP333),'Lease Cycles'!$AZ$27&lt;=CP$6),'Lease Cycles'!$C$27*'Lease Cycles'!$BA$27/12,IF(AND('Lease Cycles'!$AX$27&gt;=INDEX('Lease Cycles'!$BG$27:$BM$27,1,CP333),'Lease Cycles'!$AX$27&lt;=CP$6),'Lease Cycles'!$C$27*'Lease Cycles'!$AY$27/12,IF(AND('Lease Cycles'!$AV$27&gt;=INDEX('Lease Cycles'!$BG$27:$BM$27,1,CP333),'Lease Cycles'!$AV$27&lt;=CP$6),'Lease Cycles'!$C$27*'Lease Cycles'!$AW$27/12,IF(AND('Lease Cycles'!$AT$27&gt;=INDEX('Lease Cycles'!$BG$27:$BM$27,1,CP333),'Lease Cycles'!$AT$27&lt;=CP$6),'Lease Cycles'!$C$27*'Lease Cycles'!$AU$27/12,'Lease Cycles'!$C$27*INDEX('Lease Cycles'!$CB$27:$CH$27,1,CP333)*(1+INDEX('Lease Cycles'!$CI$27:$CO$27,1,CP333))^INT(INT(CP334/12)/INDEX('Lease Cycles'!$CP$27:$CV$27,1,CP333))/12)))),'Lease Cycles'!$C$27*INDEX('Lease Cycles'!$CB$27:$CH$27,1,CP333)*(1+INDEX('Lease Cycles'!$CI$27:$CO$27,1,CP333))^INT(INT(CP334/12)/INDEX('Lease Cycles'!$CP$27:$CV$27,1,CP333))/12))),IF('Lease Cycles'!$N$27=1,'Lease Cycles'!$C$27*'Lease Cycles'!$E$27*INDEX('Lease Cycles'!$HE$27:$HK$27,1,CP333)*(1+INDEX('Lease Cycles'!$GQ$27:$GW$27,1,CP333))^INT(INT((CP$6-INDEX('Lease Cycles'!$GJ$27:$GP$27,1,CP333))/12)/INDEX('Lease Cycles'!$GX$27:$HD$27,1,CP333))/12,0)))</f>
        <v>0</v>
      </c>
      <c r="CQ336" s="28">
        <f>IF(CQ333=0,IF('Lease Cycles'!$F$27&gt;0,'Lease Cycles'!$C$27*'Lease Cycles'!$E$27/12,0),IF(CQ335=1,IF('Lease Cycles'!$AT$27&gt;=9999,'Lease Cycles'!$C$27*INDEX('Lease Cycles'!$CB$27:$CH$27,1,CQ333)*(1+INDEX('Lease Cycles'!$CI$27:$CO$27,1,CQ333))^INT(INT(CQ334/12)/INDEX('Lease Cycles'!$CP$27:$CV$27,1,CQ333))/12,IF(CQ333=1,IF(CQ334&gt;=INDEX('Lease Cycles'!$DK$27:$DQ$27,1,CQ333),IF(CQ$6&gt;='Lease Cycles'!$AZ$27,'Lease Cycles'!$C$27*'Lease Cycles'!$BA$27/12,IF(CQ$6&gt;='Lease Cycles'!$AX$27,'Lease Cycles'!$C$27*'Lease Cycles'!$AY$27/12,IF(CQ$6&gt;='Lease Cycles'!$AV$27,'Lease Cycles'!$C$27*'Lease Cycles'!$AW$27/12,IF(CQ$6&gt;='Lease Cycles'!$AT$27,'Lease Cycles'!$C$27*'Lease Cycles'!$AU$27/12,'Lease Cycles'!$C$27*INDEX('Lease Cycles'!$CB$27:$CH$27,1,CQ333)*(1+INDEX('Lease Cycles'!$CI$27:$CO$27,1,CQ333))^INT(INT(CQ334/12)/INDEX('Lease Cycles'!$CP$27:$CV$27,1,CQ333))/12)))),'Lease Cycles'!$C$27*INDEX('Lease Cycles'!$CB$27:$CH$27,1,CQ333)*(1+INDEX('Lease Cycles'!$CI$27:$CO$27,1,CQ333))^INT(INT(CQ334/12)/INDEX('Lease Cycles'!$CP$27:$CV$27,1,CQ333))/12),IF(INDEX('Lease Cycles'!$EF$27:$EL$27,1,CQ333)=1,IF(AND('Lease Cycles'!$AZ$27&gt;=INDEX('Lease Cycles'!$BG$27:$BM$27,1,CQ333),'Lease Cycles'!$AZ$27&lt;=CQ$6),'Lease Cycles'!$C$27*'Lease Cycles'!$BA$27/12,IF(AND('Lease Cycles'!$AX$27&gt;=INDEX('Lease Cycles'!$BG$27:$BM$27,1,CQ333),'Lease Cycles'!$AX$27&lt;=CQ$6),'Lease Cycles'!$C$27*'Lease Cycles'!$AY$27/12,IF(AND('Lease Cycles'!$AV$27&gt;=INDEX('Lease Cycles'!$BG$27:$BM$27,1,CQ333),'Lease Cycles'!$AV$27&lt;=CQ$6),'Lease Cycles'!$C$27*'Lease Cycles'!$AW$27/12,IF(AND('Lease Cycles'!$AT$27&gt;=INDEX('Lease Cycles'!$BG$27:$BM$27,1,CQ333),'Lease Cycles'!$AT$27&lt;=CQ$6),'Lease Cycles'!$C$27*'Lease Cycles'!$AU$27/12,'Lease Cycles'!$C$27*INDEX('Lease Cycles'!$CB$27:$CH$27,1,CQ333)*(1+INDEX('Lease Cycles'!$CI$27:$CO$27,1,CQ333))^INT(INT(CQ334/12)/INDEX('Lease Cycles'!$CP$27:$CV$27,1,CQ333))/12)))),'Lease Cycles'!$C$27*INDEX('Lease Cycles'!$CB$27:$CH$27,1,CQ333)*(1+INDEX('Lease Cycles'!$CI$27:$CO$27,1,CQ333))^INT(INT(CQ334/12)/INDEX('Lease Cycles'!$CP$27:$CV$27,1,CQ333))/12))),IF('Lease Cycles'!$N$27=1,'Lease Cycles'!$C$27*'Lease Cycles'!$E$27*INDEX('Lease Cycles'!$HE$27:$HK$27,1,CQ333)*(1+INDEX('Lease Cycles'!$GQ$27:$GW$27,1,CQ333))^INT(INT((CQ$6-INDEX('Lease Cycles'!$GJ$27:$GP$27,1,CQ333))/12)/INDEX('Lease Cycles'!$GX$27:$HD$27,1,CQ333))/12,0)))</f>
        <v>0</v>
      </c>
      <c r="CR336" s="28">
        <f>IF(CR333=0,IF('Lease Cycles'!$F$27&gt;0,'Lease Cycles'!$C$27*'Lease Cycles'!$E$27/12,0),IF(CR335=1,IF('Lease Cycles'!$AT$27&gt;=9999,'Lease Cycles'!$C$27*INDEX('Lease Cycles'!$CB$27:$CH$27,1,CR333)*(1+INDEX('Lease Cycles'!$CI$27:$CO$27,1,CR333))^INT(INT(CR334/12)/INDEX('Lease Cycles'!$CP$27:$CV$27,1,CR333))/12,IF(CR333=1,IF(CR334&gt;=INDEX('Lease Cycles'!$DK$27:$DQ$27,1,CR333),IF(CR$6&gt;='Lease Cycles'!$AZ$27,'Lease Cycles'!$C$27*'Lease Cycles'!$BA$27/12,IF(CR$6&gt;='Lease Cycles'!$AX$27,'Lease Cycles'!$C$27*'Lease Cycles'!$AY$27/12,IF(CR$6&gt;='Lease Cycles'!$AV$27,'Lease Cycles'!$C$27*'Lease Cycles'!$AW$27/12,IF(CR$6&gt;='Lease Cycles'!$AT$27,'Lease Cycles'!$C$27*'Lease Cycles'!$AU$27/12,'Lease Cycles'!$C$27*INDEX('Lease Cycles'!$CB$27:$CH$27,1,CR333)*(1+INDEX('Lease Cycles'!$CI$27:$CO$27,1,CR333))^INT(INT(CR334/12)/INDEX('Lease Cycles'!$CP$27:$CV$27,1,CR333))/12)))),'Lease Cycles'!$C$27*INDEX('Lease Cycles'!$CB$27:$CH$27,1,CR333)*(1+INDEX('Lease Cycles'!$CI$27:$CO$27,1,CR333))^INT(INT(CR334/12)/INDEX('Lease Cycles'!$CP$27:$CV$27,1,CR333))/12),IF(INDEX('Lease Cycles'!$EF$27:$EL$27,1,CR333)=1,IF(AND('Lease Cycles'!$AZ$27&gt;=INDEX('Lease Cycles'!$BG$27:$BM$27,1,CR333),'Lease Cycles'!$AZ$27&lt;=CR$6),'Lease Cycles'!$C$27*'Lease Cycles'!$BA$27/12,IF(AND('Lease Cycles'!$AX$27&gt;=INDEX('Lease Cycles'!$BG$27:$BM$27,1,CR333),'Lease Cycles'!$AX$27&lt;=CR$6),'Lease Cycles'!$C$27*'Lease Cycles'!$AY$27/12,IF(AND('Lease Cycles'!$AV$27&gt;=INDEX('Lease Cycles'!$BG$27:$BM$27,1,CR333),'Lease Cycles'!$AV$27&lt;=CR$6),'Lease Cycles'!$C$27*'Lease Cycles'!$AW$27/12,IF(AND('Lease Cycles'!$AT$27&gt;=INDEX('Lease Cycles'!$BG$27:$BM$27,1,CR333),'Lease Cycles'!$AT$27&lt;=CR$6),'Lease Cycles'!$C$27*'Lease Cycles'!$AU$27/12,'Lease Cycles'!$C$27*INDEX('Lease Cycles'!$CB$27:$CH$27,1,CR333)*(1+INDEX('Lease Cycles'!$CI$27:$CO$27,1,CR333))^INT(INT(CR334/12)/INDEX('Lease Cycles'!$CP$27:$CV$27,1,CR333))/12)))),'Lease Cycles'!$C$27*INDEX('Lease Cycles'!$CB$27:$CH$27,1,CR333)*(1+INDEX('Lease Cycles'!$CI$27:$CO$27,1,CR333))^INT(INT(CR334/12)/INDEX('Lease Cycles'!$CP$27:$CV$27,1,CR333))/12))),IF('Lease Cycles'!$N$27=1,'Lease Cycles'!$C$27*'Lease Cycles'!$E$27*INDEX('Lease Cycles'!$HE$27:$HK$27,1,CR333)*(1+INDEX('Lease Cycles'!$GQ$27:$GW$27,1,CR333))^INT(INT((CR$6-INDEX('Lease Cycles'!$GJ$27:$GP$27,1,CR333))/12)/INDEX('Lease Cycles'!$GX$27:$HD$27,1,CR333))/12,0)))</f>
        <v>0</v>
      </c>
      <c r="CS336" s="28">
        <f>IF(CS333=0,IF('Lease Cycles'!$F$27&gt;0,'Lease Cycles'!$C$27*'Lease Cycles'!$E$27/12,0),IF(CS335=1,IF('Lease Cycles'!$AT$27&gt;=9999,'Lease Cycles'!$C$27*INDEX('Lease Cycles'!$CB$27:$CH$27,1,CS333)*(1+INDEX('Lease Cycles'!$CI$27:$CO$27,1,CS333))^INT(INT(CS334/12)/INDEX('Lease Cycles'!$CP$27:$CV$27,1,CS333))/12,IF(CS333=1,IF(CS334&gt;=INDEX('Lease Cycles'!$DK$27:$DQ$27,1,CS333),IF(CS$6&gt;='Lease Cycles'!$AZ$27,'Lease Cycles'!$C$27*'Lease Cycles'!$BA$27/12,IF(CS$6&gt;='Lease Cycles'!$AX$27,'Lease Cycles'!$C$27*'Lease Cycles'!$AY$27/12,IF(CS$6&gt;='Lease Cycles'!$AV$27,'Lease Cycles'!$C$27*'Lease Cycles'!$AW$27/12,IF(CS$6&gt;='Lease Cycles'!$AT$27,'Lease Cycles'!$C$27*'Lease Cycles'!$AU$27/12,'Lease Cycles'!$C$27*INDEX('Lease Cycles'!$CB$27:$CH$27,1,CS333)*(1+INDEX('Lease Cycles'!$CI$27:$CO$27,1,CS333))^INT(INT(CS334/12)/INDEX('Lease Cycles'!$CP$27:$CV$27,1,CS333))/12)))),'Lease Cycles'!$C$27*INDEX('Lease Cycles'!$CB$27:$CH$27,1,CS333)*(1+INDEX('Lease Cycles'!$CI$27:$CO$27,1,CS333))^INT(INT(CS334/12)/INDEX('Lease Cycles'!$CP$27:$CV$27,1,CS333))/12),IF(INDEX('Lease Cycles'!$EF$27:$EL$27,1,CS333)=1,IF(AND('Lease Cycles'!$AZ$27&gt;=INDEX('Lease Cycles'!$BG$27:$BM$27,1,CS333),'Lease Cycles'!$AZ$27&lt;=CS$6),'Lease Cycles'!$C$27*'Lease Cycles'!$BA$27/12,IF(AND('Lease Cycles'!$AX$27&gt;=INDEX('Lease Cycles'!$BG$27:$BM$27,1,CS333),'Lease Cycles'!$AX$27&lt;=CS$6),'Lease Cycles'!$C$27*'Lease Cycles'!$AY$27/12,IF(AND('Lease Cycles'!$AV$27&gt;=INDEX('Lease Cycles'!$BG$27:$BM$27,1,CS333),'Lease Cycles'!$AV$27&lt;=CS$6),'Lease Cycles'!$C$27*'Lease Cycles'!$AW$27/12,IF(AND('Lease Cycles'!$AT$27&gt;=INDEX('Lease Cycles'!$BG$27:$BM$27,1,CS333),'Lease Cycles'!$AT$27&lt;=CS$6),'Lease Cycles'!$C$27*'Lease Cycles'!$AU$27/12,'Lease Cycles'!$C$27*INDEX('Lease Cycles'!$CB$27:$CH$27,1,CS333)*(1+INDEX('Lease Cycles'!$CI$27:$CO$27,1,CS333))^INT(INT(CS334/12)/INDEX('Lease Cycles'!$CP$27:$CV$27,1,CS333))/12)))),'Lease Cycles'!$C$27*INDEX('Lease Cycles'!$CB$27:$CH$27,1,CS333)*(1+INDEX('Lease Cycles'!$CI$27:$CO$27,1,CS333))^INT(INT(CS334/12)/INDEX('Lease Cycles'!$CP$27:$CV$27,1,CS333))/12))),IF('Lease Cycles'!$N$27=1,'Lease Cycles'!$C$27*'Lease Cycles'!$E$27*INDEX('Lease Cycles'!$HE$27:$HK$27,1,CS333)*(1+INDEX('Lease Cycles'!$GQ$27:$GW$27,1,CS333))^INT(INT((CS$6-INDEX('Lease Cycles'!$GJ$27:$GP$27,1,CS333))/12)/INDEX('Lease Cycles'!$GX$27:$HD$27,1,CS333))/12,0)))</f>
        <v>0</v>
      </c>
      <c r="CT336" s="28">
        <f>IF(CT333=0,IF('Lease Cycles'!$F$27&gt;0,'Lease Cycles'!$C$27*'Lease Cycles'!$E$27/12,0),IF(CT335=1,IF('Lease Cycles'!$AT$27&gt;=9999,'Lease Cycles'!$C$27*INDEX('Lease Cycles'!$CB$27:$CH$27,1,CT333)*(1+INDEX('Lease Cycles'!$CI$27:$CO$27,1,CT333))^INT(INT(CT334/12)/INDEX('Lease Cycles'!$CP$27:$CV$27,1,CT333))/12,IF(CT333=1,IF(CT334&gt;=INDEX('Lease Cycles'!$DK$27:$DQ$27,1,CT333),IF(CT$6&gt;='Lease Cycles'!$AZ$27,'Lease Cycles'!$C$27*'Lease Cycles'!$BA$27/12,IF(CT$6&gt;='Lease Cycles'!$AX$27,'Lease Cycles'!$C$27*'Lease Cycles'!$AY$27/12,IF(CT$6&gt;='Lease Cycles'!$AV$27,'Lease Cycles'!$C$27*'Lease Cycles'!$AW$27/12,IF(CT$6&gt;='Lease Cycles'!$AT$27,'Lease Cycles'!$C$27*'Lease Cycles'!$AU$27/12,'Lease Cycles'!$C$27*INDEX('Lease Cycles'!$CB$27:$CH$27,1,CT333)*(1+INDEX('Lease Cycles'!$CI$27:$CO$27,1,CT333))^INT(INT(CT334/12)/INDEX('Lease Cycles'!$CP$27:$CV$27,1,CT333))/12)))),'Lease Cycles'!$C$27*INDEX('Lease Cycles'!$CB$27:$CH$27,1,CT333)*(1+INDEX('Lease Cycles'!$CI$27:$CO$27,1,CT333))^INT(INT(CT334/12)/INDEX('Lease Cycles'!$CP$27:$CV$27,1,CT333))/12),IF(INDEX('Lease Cycles'!$EF$27:$EL$27,1,CT333)=1,IF(AND('Lease Cycles'!$AZ$27&gt;=INDEX('Lease Cycles'!$BG$27:$BM$27,1,CT333),'Lease Cycles'!$AZ$27&lt;=CT$6),'Lease Cycles'!$C$27*'Lease Cycles'!$BA$27/12,IF(AND('Lease Cycles'!$AX$27&gt;=INDEX('Lease Cycles'!$BG$27:$BM$27,1,CT333),'Lease Cycles'!$AX$27&lt;=CT$6),'Lease Cycles'!$C$27*'Lease Cycles'!$AY$27/12,IF(AND('Lease Cycles'!$AV$27&gt;=INDEX('Lease Cycles'!$BG$27:$BM$27,1,CT333),'Lease Cycles'!$AV$27&lt;=CT$6),'Lease Cycles'!$C$27*'Lease Cycles'!$AW$27/12,IF(AND('Lease Cycles'!$AT$27&gt;=INDEX('Lease Cycles'!$BG$27:$BM$27,1,CT333),'Lease Cycles'!$AT$27&lt;=CT$6),'Lease Cycles'!$C$27*'Lease Cycles'!$AU$27/12,'Lease Cycles'!$C$27*INDEX('Lease Cycles'!$CB$27:$CH$27,1,CT333)*(1+INDEX('Lease Cycles'!$CI$27:$CO$27,1,CT333))^INT(INT(CT334/12)/INDEX('Lease Cycles'!$CP$27:$CV$27,1,CT333))/12)))),'Lease Cycles'!$C$27*INDEX('Lease Cycles'!$CB$27:$CH$27,1,CT333)*(1+INDEX('Lease Cycles'!$CI$27:$CO$27,1,CT333))^INT(INT(CT334/12)/INDEX('Lease Cycles'!$CP$27:$CV$27,1,CT333))/12))),IF('Lease Cycles'!$N$27=1,'Lease Cycles'!$C$27*'Lease Cycles'!$E$27*INDEX('Lease Cycles'!$HE$27:$HK$27,1,CT333)*(1+INDEX('Lease Cycles'!$GQ$27:$GW$27,1,CT333))^INT(INT((CT$6-INDEX('Lease Cycles'!$GJ$27:$GP$27,1,CT333))/12)/INDEX('Lease Cycles'!$GX$27:$HD$27,1,CT333))/12,0)))</f>
        <v>0</v>
      </c>
      <c r="CU336" s="28">
        <f>IF(CU333=0,IF('Lease Cycles'!$F$27&gt;0,'Lease Cycles'!$C$27*'Lease Cycles'!$E$27/12,0),IF(CU335=1,IF('Lease Cycles'!$AT$27&gt;=9999,'Lease Cycles'!$C$27*INDEX('Lease Cycles'!$CB$27:$CH$27,1,CU333)*(1+INDEX('Lease Cycles'!$CI$27:$CO$27,1,CU333))^INT(INT(CU334/12)/INDEX('Lease Cycles'!$CP$27:$CV$27,1,CU333))/12,IF(CU333=1,IF(CU334&gt;=INDEX('Lease Cycles'!$DK$27:$DQ$27,1,CU333),IF(CU$6&gt;='Lease Cycles'!$AZ$27,'Lease Cycles'!$C$27*'Lease Cycles'!$BA$27/12,IF(CU$6&gt;='Lease Cycles'!$AX$27,'Lease Cycles'!$C$27*'Lease Cycles'!$AY$27/12,IF(CU$6&gt;='Lease Cycles'!$AV$27,'Lease Cycles'!$C$27*'Lease Cycles'!$AW$27/12,IF(CU$6&gt;='Lease Cycles'!$AT$27,'Lease Cycles'!$C$27*'Lease Cycles'!$AU$27/12,'Lease Cycles'!$C$27*INDEX('Lease Cycles'!$CB$27:$CH$27,1,CU333)*(1+INDEX('Lease Cycles'!$CI$27:$CO$27,1,CU333))^INT(INT(CU334/12)/INDEX('Lease Cycles'!$CP$27:$CV$27,1,CU333))/12)))),'Lease Cycles'!$C$27*INDEX('Lease Cycles'!$CB$27:$CH$27,1,CU333)*(1+INDEX('Lease Cycles'!$CI$27:$CO$27,1,CU333))^INT(INT(CU334/12)/INDEX('Lease Cycles'!$CP$27:$CV$27,1,CU333))/12),IF(INDEX('Lease Cycles'!$EF$27:$EL$27,1,CU333)=1,IF(AND('Lease Cycles'!$AZ$27&gt;=INDEX('Lease Cycles'!$BG$27:$BM$27,1,CU333),'Lease Cycles'!$AZ$27&lt;=CU$6),'Lease Cycles'!$C$27*'Lease Cycles'!$BA$27/12,IF(AND('Lease Cycles'!$AX$27&gt;=INDEX('Lease Cycles'!$BG$27:$BM$27,1,CU333),'Lease Cycles'!$AX$27&lt;=CU$6),'Lease Cycles'!$C$27*'Lease Cycles'!$AY$27/12,IF(AND('Lease Cycles'!$AV$27&gt;=INDEX('Lease Cycles'!$BG$27:$BM$27,1,CU333),'Lease Cycles'!$AV$27&lt;=CU$6),'Lease Cycles'!$C$27*'Lease Cycles'!$AW$27/12,IF(AND('Lease Cycles'!$AT$27&gt;=INDEX('Lease Cycles'!$BG$27:$BM$27,1,CU333),'Lease Cycles'!$AT$27&lt;=CU$6),'Lease Cycles'!$C$27*'Lease Cycles'!$AU$27/12,'Lease Cycles'!$C$27*INDEX('Lease Cycles'!$CB$27:$CH$27,1,CU333)*(1+INDEX('Lease Cycles'!$CI$27:$CO$27,1,CU333))^INT(INT(CU334/12)/INDEX('Lease Cycles'!$CP$27:$CV$27,1,CU333))/12)))),'Lease Cycles'!$C$27*INDEX('Lease Cycles'!$CB$27:$CH$27,1,CU333)*(1+INDEX('Lease Cycles'!$CI$27:$CO$27,1,CU333))^INT(INT(CU334/12)/INDEX('Lease Cycles'!$CP$27:$CV$27,1,CU333))/12))),IF('Lease Cycles'!$N$27=1,'Lease Cycles'!$C$27*'Lease Cycles'!$E$27*INDEX('Lease Cycles'!$HE$27:$HK$27,1,CU333)*(1+INDEX('Lease Cycles'!$GQ$27:$GW$27,1,CU333))^INT(INT((CU$6-INDEX('Lease Cycles'!$GJ$27:$GP$27,1,CU333))/12)/INDEX('Lease Cycles'!$GX$27:$HD$27,1,CU333))/12,0)))</f>
        <v>0</v>
      </c>
      <c r="CV336" s="28">
        <f>IF(CV333=0,IF('Lease Cycles'!$F$27&gt;0,'Lease Cycles'!$C$27*'Lease Cycles'!$E$27/12,0),IF(CV335=1,IF('Lease Cycles'!$AT$27&gt;=9999,'Lease Cycles'!$C$27*INDEX('Lease Cycles'!$CB$27:$CH$27,1,CV333)*(1+INDEX('Lease Cycles'!$CI$27:$CO$27,1,CV333))^INT(INT(CV334/12)/INDEX('Lease Cycles'!$CP$27:$CV$27,1,CV333))/12,IF(CV333=1,IF(CV334&gt;=INDEX('Lease Cycles'!$DK$27:$DQ$27,1,CV333),IF(CV$6&gt;='Lease Cycles'!$AZ$27,'Lease Cycles'!$C$27*'Lease Cycles'!$BA$27/12,IF(CV$6&gt;='Lease Cycles'!$AX$27,'Lease Cycles'!$C$27*'Lease Cycles'!$AY$27/12,IF(CV$6&gt;='Lease Cycles'!$AV$27,'Lease Cycles'!$C$27*'Lease Cycles'!$AW$27/12,IF(CV$6&gt;='Lease Cycles'!$AT$27,'Lease Cycles'!$C$27*'Lease Cycles'!$AU$27/12,'Lease Cycles'!$C$27*INDEX('Lease Cycles'!$CB$27:$CH$27,1,CV333)*(1+INDEX('Lease Cycles'!$CI$27:$CO$27,1,CV333))^INT(INT(CV334/12)/INDEX('Lease Cycles'!$CP$27:$CV$27,1,CV333))/12)))),'Lease Cycles'!$C$27*INDEX('Lease Cycles'!$CB$27:$CH$27,1,CV333)*(1+INDEX('Lease Cycles'!$CI$27:$CO$27,1,CV333))^INT(INT(CV334/12)/INDEX('Lease Cycles'!$CP$27:$CV$27,1,CV333))/12),IF(INDEX('Lease Cycles'!$EF$27:$EL$27,1,CV333)=1,IF(AND('Lease Cycles'!$AZ$27&gt;=INDEX('Lease Cycles'!$BG$27:$BM$27,1,CV333),'Lease Cycles'!$AZ$27&lt;=CV$6),'Lease Cycles'!$C$27*'Lease Cycles'!$BA$27/12,IF(AND('Lease Cycles'!$AX$27&gt;=INDEX('Lease Cycles'!$BG$27:$BM$27,1,CV333),'Lease Cycles'!$AX$27&lt;=CV$6),'Lease Cycles'!$C$27*'Lease Cycles'!$AY$27/12,IF(AND('Lease Cycles'!$AV$27&gt;=INDEX('Lease Cycles'!$BG$27:$BM$27,1,CV333),'Lease Cycles'!$AV$27&lt;=CV$6),'Lease Cycles'!$C$27*'Lease Cycles'!$AW$27/12,IF(AND('Lease Cycles'!$AT$27&gt;=INDEX('Lease Cycles'!$BG$27:$BM$27,1,CV333),'Lease Cycles'!$AT$27&lt;=CV$6),'Lease Cycles'!$C$27*'Lease Cycles'!$AU$27/12,'Lease Cycles'!$C$27*INDEX('Lease Cycles'!$CB$27:$CH$27,1,CV333)*(1+INDEX('Lease Cycles'!$CI$27:$CO$27,1,CV333))^INT(INT(CV334/12)/INDEX('Lease Cycles'!$CP$27:$CV$27,1,CV333))/12)))),'Lease Cycles'!$C$27*INDEX('Lease Cycles'!$CB$27:$CH$27,1,CV333)*(1+INDEX('Lease Cycles'!$CI$27:$CO$27,1,CV333))^INT(INT(CV334/12)/INDEX('Lease Cycles'!$CP$27:$CV$27,1,CV333))/12))),IF('Lease Cycles'!$N$27=1,'Lease Cycles'!$C$27*'Lease Cycles'!$E$27*INDEX('Lease Cycles'!$HE$27:$HK$27,1,CV333)*(1+INDEX('Lease Cycles'!$GQ$27:$GW$27,1,CV333))^INT(INT((CV$6-INDEX('Lease Cycles'!$GJ$27:$GP$27,1,CV333))/12)/INDEX('Lease Cycles'!$GX$27:$HD$27,1,CV333))/12,0)))</f>
        <v>0</v>
      </c>
      <c r="CW336" s="28">
        <f>IF(CW333=0,IF('Lease Cycles'!$F$27&gt;0,'Lease Cycles'!$C$27*'Lease Cycles'!$E$27/12,0),IF(CW335=1,IF('Lease Cycles'!$AT$27&gt;=9999,'Lease Cycles'!$C$27*INDEX('Lease Cycles'!$CB$27:$CH$27,1,CW333)*(1+INDEX('Lease Cycles'!$CI$27:$CO$27,1,CW333))^INT(INT(CW334/12)/INDEX('Lease Cycles'!$CP$27:$CV$27,1,CW333))/12,IF(CW333=1,IF(CW334&gt;=INDEX('Lease Cycles'!$DK$27:$DQ$27,1,CW333),IF(CW$6&gt;='Lease Cycles'!$AZ$27,'Lease Cycles'!$C$27*'Lease Cycles'!$BA$27/12,IF(CW$6&gt;='Lease Cycles'!$AX$27,'Lease Cycles'!$C$27*'Lease Cycles'!$AY$27/12,IF(CW$6&gt;='Lease Cycles'!$AV$27,'Lease Cycles'!$C$27*'Lease Cycles'!$AW$27/12,IF(CW$6&gt;='Lease Cycles'!$AT$27,'Lease Cycles'!$C$27*'Lease Cycles'!$AU$27/12,'Lease Cycles'!$C$27*INDEX('Lease Cycles'!$CB$27:$CH$27,1,CW333)*(1+INDEX('Lease Cycles'!$CI$27:$CO$27,1,CW333))^INT(INT(CW334/12)/INDEX('Lease Cycles'!$CP$27:$CV$27,1,CW333))/12)))),'Lease Cycles'!$C$27*INDEX('Lease Cycles'!$CB$27:$CH$27,1,CW333)*(1+INDEX('Lease Cycles'!$CI$27:$CO$27,1,CW333))^INT(INT(CW334/12)/INDEX('Lease Cycles'!$CP$27:$CV$27,1,CW333))/12),IF(INDEX('Lease Cycles'!$EF$27:$EL$27,1,CW333)=1,IF(AND('Lease Cycles'!$AZ$27&gt;=INDEX('Lease Cycles'!$BG$27:$BM$27,1,CW333),'Lease Cycles'!$AZ$27&lt;=CW$6),'Lease Cycles'!$C$27*'Lease Cycles'!$BA$27/12,IF(AND('Lease Cycles'!$AX$27&gt;=INDEX('Lease Cycles'!$BG$27:$BM$27,1,CW333),'Lease Cycles'!$AX$27&lt;=CW$6),'Lease Cycles'!$C$27*'Lease Cycles'!$AY$27/12,IF(AND('Lease Cycles'!$AV$27&gt;=INDEX('Lease Cycles'!$BG$27:$BM$27,1,CW333),'Lease Cycles'!$AV$27&lt;=CW$6),'Lease Cycles'!$C$27*'Lease Cycles'!$AW$27/12,IF(AND('Lease Cycles'!$AT$27&gt;=INDEX('Lease Cycles'!$BG$27:$BM$27,1,CW333),'Lease Cycles'!$AT$27&lt;=CW$6),'Lease Cycles'!$C$27*'Lease Cycles'!$AU$27/12,'Lease Cycles'!$C$27*INDEX('Lease Cycles'!$CB$27:$CH$27,1,CW333)*(1+INDEX('Lease Cycles'!$CI$27:$CO$27,1,CW333))^INT(INT(CW334/12)/INDEX('Lease Cycles'!$CP$27:$CV$27,1,CW333))/12)))),'Lease Cycles'!$C$27*INDEX('Lease Cycles'!$CB$27:$CH$27,1,CW333)*(1+INDEX('Lease Cycles'!$CI$27:$CO$27,1,CW333))^INT(INT(CW334/12)/INDEX('Lease Cycles'!$CP$27:$CV$27,1,CW333))/12))),IF('Lease Cycles'!$N$27=1,'Lease Cycles'!$C$27*'Lease Cycles'!$E$27*INDEX('Lease Cycles'!$HE$27:$HK$27,1,CW333)*(1+INDEX('Lease Cycles'!$GQ$27:$GW$27,1,CW333))^INT(INT((CW$6-INDEX('Lease Cycles'!$GJ$27:$GP$27,1,CW333))/12)/INDEX('Lease Cycles'!$GX$27:$HD$27,1,CW333))/12,0)))</f>
        <v>0</v>
      </c>
      <c r="CX336" s="28">
        <f>IF(CX333=0,IF('Lease Cycles'!$F$27&gt;0,'Lease Cycles'!$C$27*'Lease Cycles'!$E$27/12,0),IF(CX335=1,IF('Lease Cycles'!$AT$27&gt;=9999,'Lease Cycles'!$C$27*INDEX('Lease Cycles'!$CB$27:$CH$27,1,CX333)*(1+INDEX('Lease Cycles'!$CI$27:$CO$27,1,CX333))^INT(INT(CX334/12)/INDEX('Lease Cycles'!$CP$27:$CV$27,1,CX333))/12,IF(CX333=1,IF(CX334&gt;=INDEX('Lease Cycles'!$DK$27:$DQ$27,1,CX333),IF(CX$6&gt;='Lease Cycles'!$AZ$27,'Lease Cycles'!$C$27*'Lease Cycles'!$BA$27/12,IF(CX$6&gt;='Lease Cycles'!$AX$27,'Lease Cycles'!$C$27*'Lease Cycles'!$AY$27/12,IF(CX$6&gt;='Lease Cycles'!$AV$27,'Lease Cycles'!$C$27*'Lease Cycles'!$AW$27/12,IF(CX$6&gt;='Lease Cycles'!$AT$27,'Lease Cycles'!$C$27*'Lease Cycles'!$AU$27/12,'Lease Cycles'!$C$27*INDEX('Lease Cycles'!$CB$27:$CH$27,1,CX333)*(1+INDEX('Lease Cycles'!$CI$27:$CO$27,1,CX333))^INT(INT(CX334/12)/INDEX('Lease Cycles'!$CP$27:$CV$27,1,CX333))/12)))),'Lease Cycles'!$C$27*INDEX('Lease Cycles'!$CB$27:$CH$27,1,CX333)*(1+INDEX('Lease Cycles'!$CI$27:$CO$27,1,CX333))^INT(INT(CX334/12)/INDEX('Lease Cycles'!$CP$27:$CV$27,1,CX333))/12),IF(INDEX('Lease Cycles'!$EF$27:$EL$27,1,CX333)=1,IF(AND('Lease Cycles'!$AZ$27&gt;=INDEX('Lease Cycles'!$BG$27:$BM$27,1,CX333),'Lease Cycles'!$AZ$27&lt;=CX$6),'Lease Cycles'!$C$27*'Lease Cycles'!$BA$27/12,IF(AND('Lease Cycles'!$AX$27&gt;=INDEX('Lease Cycles'!$BG$27:$BM$27,1,CX333),'Lease Cycles'!$AX$27&lt;=CX$6),'Lease Cycles'!$C$27*'Lease Cycles'!$AY$27/12,IF(AND('Lease Cycles'!$AV$27&gt;=INDEX('Lease Cycles'!$BG$27:$BM$27,1,CX333),'Lease Cycles'!$AV$27&lt;=CX$6),'Lease Cycles'!$C$27*'Lease Cycles'!$AW$27/12,IF(AND('Lease Cycles'!$AT$27&gt;=INDEX('Lease Cycles'!$BG$27:$BM$27,1,CX333),'Lease Cycles'!$AT$27&lt;=CX$6),'Lease Cycles'!$C$27*'Lease Cycles'!$AU$27/12,'Lease Cycles'!$C$27*INDEX('Lease Cycles'!$CB$27:$CH$27,1,CX333)*(1+INDEX('Lease Cycles'!$CI$27:$CO$27,1,CX333))^INT(INT(CX334/12)/INDEX('Lease Cycles'!$CP$27:$CV$27,1,CX333))/12)))),'Lease Cycles'!$C$27*INDEX('Lease Cycles'!$CB$27:$CH$27,1,CX333)*(1+INDEX('Lease Cycles'!$CI$27:$CO$27,1,CX333))^INT(INT(CX334/12)/INDEX('Lease Cycles'!$CP$27:$CV$27,1,CX333))/12))),IF('Lease Cycles'!$N$27=1,'Lease Cycles'!$C$27*'Lease Cycles'!$E$27*INDEX('Lease Cycles'!$HE$27:$HK$27,1,CX333)*(1+INDEX('Lease Cycles'!$GQ$27:$GW$27,1,CX333))^INT(INT((CX$6-INDEX('Lease Cycles'!$GJ$27:$GP$27,1,CX333))/12)/INDEX('Lease Cycles'!$GX$27:$HD$27,1,CX333))/12,0)))</f>
        <v>0</v>
      </c>
      <c r="CY336" s="28">
        <f>IF(CY333=0,IF('Lease Cycles'!$F$27&gt;0,'Lease Cycles'!$C$27*'Lease Cycles'!$E$27/12,0),IF(CY335=1,IF('Lease Cycles'!$AT$27&gt;=9999,'Lease Cycles'!$C$27*INDEX('Lease Cycles'!$CB$27:$CH$27,1,CY333)*(1+INDEX('Lease Cycles'!$CI$27:$CO$27,1,CY333))^INT(INT(CY334/12)/INDEX('Lease Cycles'!$CP$27:$CV$27,1,CY333))/12,IF(CY333=1,IF(CY334&gt;=INDEX('Lease Cycles'!$DK$27:$DQ$27,1,CY333),IF(CY$6&gt;='Lease Cycles'!$AZ$27,'Lease Cycles'!$C$27*'Lease Cycles'!$BA$27/12,IF(CY$6&gt;='Lease Cycles'!$AX$27,'Lease Cycles'!$C$27*'Lease Cycles'!$AY$27/12,IF(CY$6&gt;='Lease Cycles'!$AV$27,'Lease Cycles'!$C$27*'Lease Cycles'!$AW$27/12,IF(CY$6&gt;='Lease Cycles'!$AT$27,'Lease Cycles'!$C$27*'Lease Cycles'!$AU$27/12,'Lease Cycles'!$C$27*INDEX('Lease Cycles'!$CB$27:$CH$27,1,CY333)*(1+INDEX('Lease Cycles'!$CI$27:$CO$27,1,CY333))^INT(INT(CY334/12)/INDEX('Lease Cycles'!$CP$27:$CV$27,1,CY333))/12)))),'Lease Cycles'!$C$27*INDEX('Lease Cycles'!$CB$27:$CH$27,1,CY333)*(1+INDEX('Lease Cycles'!$CI$27:$CO$27,1,CY333))^INT(INT(CY334/12)/INDEX('Lease Cycles'!$CP$27:$CV$27,1,CY333))/12),IF(INDEX('Lease Cycles'!$EF$27:$EL$27,1,CY333)=1,IF(AND('Lease Cycles'!$AZ$27&gt;=INDEX('Lease Cycles'!$BG$27:$BM$27,1,CY333),'Lease Cycles'!$AZ$27&lt;=CY$6),'Lease Cycles'!$C$27*'Lease Cycles'!$BA$27/12,IF(AND('Lease Cycles'!$AX$27&gt;=INDEX('Lease Cycles'!$BG$27:$BM$27,1,CY333),'Lease Cycles'!$AX$27&lt;=CY$6),'Lease Cycles'!$C$27*'Lease Cycles'!$AY$27/12,IF(AND('Lease Cycles'!$AV$27&gt;=INDEX('Lease Cycles'!$BG$27:$BM$27,1,CY333),'Lease Cycles'!$AV$27&lt;=CY$6),'Lease Cycles'!$C$27*'Lease Cycles'!$AW$27/12,IF(AND('Lease Cycles'!$AT$27&gt;=INDEX('Lease Cycles'!$BG$27:$BM$27,1,CY333),'Lease Cycles'!$AT$27&lt;=CY$6),'Lease Cycles'!$C$27*'Lease Cycles'!$AU$27/12,'Lease Cycles'!$C$27*INDEX('Lease Cycles'!$CB$27:$CH$27,1,CY333)*(1+INDEX('Lease Cycles'!$CI$27:$CO$27,1,CY333))^INT(INT(CY334/12)/INDEX('Lease Cycles'!$CP$27:$CV$27,1,CY333))/12)))),'Lease Cycles'!$C$27*INDEX('Lease Cycles'!$CB$27:$CH$27,1,CY333)*(1+INDEX('Lease Cycles'!$CI$27:$CO$27,1,CY333))^INT(INT(CY334/12)/INDEX('Lease Cycles'!$CP$27:$CV$27,1,CY333))/12))),IF('Lease Cycles'!$N$27=1,'Lease Cycles'!$C$27*'Lease Cycles'!$E$27*INDEX('Lease Cycles'!$HE$27:$HK$27,1,CY333)*(1+INDEX('Lease Cycles'!$GQ$27:$GW$27,1,CY333))^INT(INT((CY$6-INDEX('Lease Cycles'!$GJ$27:$GP$27,1,CY333))/12)/INDEX('Lease Cycles'!$GX$27:$HD$27,1,CY333))/12,0)))</f>
        <v>0</v>
      </c>
      <c r="CZ336" s="28">
        <f>IF(CZ333=0,IF('Lease Cycles'!$F$27&gt;0,'Lease Cycles'!$C$27*'Lease Cycles'!$E$27/12,0),IF(CZ335=1,IF('Lease Cycles'!$AT$27&gt;=9999,'Lease Cycles'!$C$27*INDEX('Lease Cycles'!$CB$27:$CH$27,1,CZ333)*(1+INDEX('Lease Cycles'!$CI$27:$CO$27,1,CZ333))^INT(INT(CZ334/12)/INDEX('Lease Cycles'!$CP$27:$CV$27,1,CZ333))/12,IF(CZ333=1,IF(CZ334&gt;=INDEX('Lease Cycles'!$DK$27:$DQ$27,1,CZ333),IF(CZ$6&gt;='Lease Cycles'!$AZ$27,'Lease Cycles'!$C$27*'Lease Cycles'!$BA$27/12,IF(CZ$6&gt;='Lease Cycles'!$AX$27,'Lease Cycles'!$C$27*'Lease Cycles'!$AY$27/12,IF(CZ$6&gt;='Lease Cycles'!$AV$27,'Lease Cycles'!$C$27*'Lease Cycles'!$AW$27/12,IF(CZ$6&gt;='Lease Cycles'!$AT$27,'Lease Cycles'!$C$27*'Lease Cycles'!$AU$27/12,'Lease Cycles'!$C$27*INDEX('Lease Cycles'!$CB$27:$CH$27,1,CZ333)*(1+INDEX('Lease Cycles'!$CI$27:$CO$27,1,CZ333))^INT(INT(CZ334/12)/INDEX('Lease Cycles'!$CP$27:$CV$27,1,CZ333))/12)))),'Lease Cycles'!$C$27*INDEX('Lease Cycles'!$CB$27:$CH$27,1,CZ333)*(1+INDEX('Lease Cycles'!$CI$27:$CO$27,1,CZ333))^INT(INT(CZ334/12)/INDEX('Lease Cycles'!$CP$27:$CV$27,1,CZ333))/12),IF(INDEX('Lease Cycles'!$EF$27:$EL$27,1,CZ333)=1,IF(AND('Lease Cycles'!$AZ$27&gt;=INDEX('Lease Cycles'!$BG$27:$BM$27,1,CZ333),'Lease Cycles'!$AZ$27&lt;=CZ$6),'Lease Cycles'!$C$27*'Lease Cycles'!$BA$27/12,IF(AND('Lease Cycles'!$AX$27&gt;=INDEX('Lease Cycles'!$BG$27:$BM$27,1,CZ333),'Lease Cycles'!$AX$27&lt;=CZ$6),'Lease Cycles'!$C$27*'Lease Cycles'!$AY$27/12,IF(AND('Lease Cycles'!$AV$27&gt;=INDEX('Lease Cycles'!$BG$27:$BM$27,1,CZ333),'Lease Cycles'!$AV$27&lt;=CZ$6),'Lease Cycles'!$C$27*'Lease Cycles'!$AW$27/12,IF(AND('Lease Cycles'!$AT$27&gt;=INDEX('Lease Cycles'!$BG$27:$BM$27,1,CZ333),'Lease Cycles'!$AT$27&lt;=CZ$6),'Lease Cycles'!$C$27*'Lease Cycles'!$AU$27/12,'Lease Cycles'!$C$27*INDEX('Lease Cycles'!$CB$27:$CH$27,1,CZ333)*(1+INDEX('Lease Cycles'!$CI$27:$CO$27,1,CZ333))^INT(INT(CZ334/12)/INDEX('Lease Cycles'!$CP$27:$CV$27,1,CZ333))/12)))),'Lease Cycles'!$C$27*INDEX('Lease Cycles'!$CB$27:$CH$27,1,CZ333)*(1+INDEX('Lease Cycles'!$CI$27:$CO$27,1,CZ333))^INT(INT(CZ334/12)/INDEX('Lease Cycles'!$CP$27:$CV$27,1,CZ333))/12))),IF('Lease Cycles'!$N$27=1,'Lease Cycles'!$C$27*'Lease Cycles'!$E$27*INDEX('Lease Cycles'!$HE$27:$HK$27,1,CZ333)*(1+INDEX('Lease Cycles'!$GQ$27:$GW$27,1,CZ333))^INT(INT((CZ$6-INDEX('Lease Cycles'!$GJ$27:$GP$27,1,CZ333))/12)/INDEX('Lease Cycles'!$GX$27:$HD$27,1,CZ333))/12,0)))</f>
        <v>0</v>
      </c>
      <c r="DA336" s="28">
        <f>IF(DA333=0,IF('Lease Cycles'!$F$27&gt;0,'Lease Cycles'!$C$27*'Lease Cycles'!$E$27/12,0),IF(DA335=1,IF('Lease Cycles'!$AT$27&gt;=9999,'Lease Cycles'!$C$27*INDEX('Lease Cycles'!$CB$27:$CH$27,1,DA333)*(1+INDEX('Lease Cycles'!$CI$27:$CO$27,1,DA333))^INT(INT(DA334/12)/INDEX('Lease Cycles'!$CP$27:$CV$27,1,DA333))/12,IF(DA333=1,IF(DA334&gt;=INDEX('Lease Cycles'!$DK$27:$DQ$27,1,DA333),IF(DA$6&gt;='Lease Cycles'!$AZ$27,'Lease Cycles'!$C$27*'Lease Cycles'!$BA$27/12,IF(DA$6&gt;='Lease Cycles'!$AX$27,'Lease Cycles'!$C$27*'Lease Cycles'!$AY$27/12,IF(DA$6&gt;='Lease Cycles'!$AV$27,'Lease Cycles'!$C$27*'Lease Cycles'!$AW$27/12,IF(DA$6&gt;='Lease Cycles'!$AT$27,'Lease Cycles'!$C$27*'Lease Cycles'!$AU$27/12,'Lease Cycles'!$C$27*INDEX('Lease Cycles'!$CB$27:$CH$27,1,DA333)*(1+INDEX('Lease Cycles'!$CI$27:$CO$27,1,DA333))^INT(INT(DA334/12)/INDEX('Lease Cycles'!$CP$27:$CV$27,1,DA333))/12)))),'Lease Cycles'!$C$27*INDEX('Lease Cycles'!$CB$27:$CH$27,1,DA333)*(1+INDEX('Lease Cycles'!$CI$27:$CO$27,1,DA333))^INT(INT(DA334/12)/INDEX('Lease Cycles'!$CP$27:$CV$27,1,DA333))/12),IF(INDEX('Lease Cycles'!$EF$27:$EL$27,1,DA333)=1,IF(AND('Lease Cycles'!$AZ$27&gt;=INDEX('Lease Cycles'!$BG$27:$BM$27,1,DA333),'Lease Cycles'!$AZ$27&lt;=DA$6),'Lease Cycles'!$C$27*'Lease Cycles'!$BA$27/12,IF(AND('Lease Cycles'!$AX$27&gt;=INDEX('Lease Cycles'!$BG$27:$BM$27,1,DA333),'Lease Cycles'!$AX$27&lt;=DA$6),'Lease Cycles'!$C$27*'Lease Cycles'!$AY$27/12,IF(AND('Lease Cycles'!$AV$27&gt;=INDEX('Lease Cycles'!$BG$27:$BM$27,1,DA333),'Lease Cycles'!$AV$27&lt;=DA$6),'Lease Cycles'!$C$27*'Lease Cycles'!$AW$27/12,IF(AND('Lease Cycles'!$AT$27&gt;=INDEX('Lease Cycles'!$BG$27:$BM$27,1,DA333),'Lease Cycles'!$AT$27&lt;=DA$6),'Lease Cycles'!$C$27*'Lease Cycles'!$AU$27/12,'Lease Cycles'!$C$27*INDEX('Lease Cycles'!$CB$27:$CH$27,1,DA333)*(1+INDEX('Lease Cycles'!$CI$27:$CO$27,1,DA333))^INT(INT(DA334/12)/INDEX('Lease Cycles'!$CP$27:$CV$27,1,DA333))/12)))),'Lease Cycles'!$C$27*INDEX('Lease Cycles'!$CB$27:$CH$27,1,DA333)*(1+INDEX('Lease Cycles'!$CI$27:$CO$27,1,DA333))^INT(INT(DA334/12)/INDEX('Lease Cycles'!$CP$27:$CV$27,1,DA333))/12))),IF('Lease Cycles'!$N$27=1,'Lease Cycles'!$C$27*'Lease Cycles'!$E$27*INDEX('Lease Cycles'!$HE$27:$HK$27,1,DA333)*(1+INDEX('Lease Cycles'!$GQ$27:$GW$27,1,DA333))^INT(INT((DA$6-INDEX('Lease Cycles'!$GJ$27:$GP$27,1,DA333))/12)/INDEX('Lease Cycles'!$GX$27:$HD$27,1,DA333))/12,0)))</f>
        <v>0</v>
      </c>
      <c r="DB336" s="28">
        <f>IF(DB333=0,IF('Lease Cycles'!$F$27&gt;0,'Lease Cycles'!$C$27*'Lease Cycles'!$E$27/12,0),IF(DB335=1,IF('Lease Cycles'!$AT$27&gt;=9999,'Lease Cycles'!$C$27*INDEX('Lease Cycles'!$CB$27:$CH$27,1,DB333)*(1+INDEX('Lease Cycles'!$CI$27:$CO$27,1,DB333))^INT(INT(DB334/12)/INDEX('Lease Cycles'!$CP$27:$CV$27,1,DB333))/12,IF(DB333=1,IF(DB334&gt;=INDEX('Lease Cycles'!$DK$27:$DQ$27,1,DB333),IF(DB$6&gt;='Lease Cycles'!$AZ$27,'Lease Cycles'!$C$27*'Lease Cycles'!$BA$27/12,IF(DB$6&gt;='Lease Cycles'!$AX$27,'Lease Cycles'!$C$27*'Lease Cycles'!$AY$27/12,IF(DB$6&gt;='Lease Cycles'!$AV$27,'Lease Cycles'!$C$27*'Lease Cycles'!$AW$27/12,IF(DB$6&gt;='Lease Cycles'!$AT$27,'Lease Cycles'!$C$27*'Lease Cycles'!$AU$27/12,'Lease Cycles'!$C$27*INDEX('Lease Cycles'!$CB$27:$CH$27,1,DB333)*(1+INDEX('Lease Cycles'!$CI$27:$CO$27,1,DB333))^INT(INT(DB334/12)/INDEX('Lease Cycles'!$CP$27:$CV$27,1,DB333))/12)))),'Lease Cycles'!$C$27*INDEX('Lease Cycles'!$CB$27:$CH$27,1,DB333)*(1+INDEX('Lease Cycles'!$CI$27:$CO$27,1,DB333))^INT(INT(DB334/12)/INDEX('Lease Cycles'!$CP$27:$CV$27,1,DB333))/12),IF(INDEX('Lease Cycles'!$EF$27:$EL$27,1,DB333)=1,IF(AND('Lease Cycles'!$AZ$27&gt;=INDEX('Lease Cycles'!$BG$27:$BM$27,1,DB333),'Lease Cycles'!$AZ$27&lt;=DB$6),'Lease Cycles'!$C$27*'Lease Cycles'!$BA$27/12,IF(AND('Lease Cycles'!$AX$27&gt;=INDEX('Lease Cycles'!$BG$27:$BM$27,1,DB333),'Lease Cycles'!$AX$27&lt;=DB$6),'Lease Cycles'!$C$27*'Lease Cycles'!$AY$27/12,IF(AND('Lease Cycles'!$AV$27&gt;=INDEX('Lease Cycles'!$BG$27:$BM$27,1,DB333),'Lease Cycles'!$AV$27&lt;=DB$6),'Lease Cycles'!$C$27*'Lease Cycles'!$AW$27/12,IF(AND('Lease Cycles'!$AT$27&gt;=INDEX('Lease Cycles'!$BG$27:$BM$27,1,DB333),'Lease Cycles'!$AT$27&lt;=DB$6),'Lease Cycles'!$C$27*'Lease Cycles'!$AU$27/12,'Lease Cycles'!$C$27*INDEX('Lease Cycles'!$CB$27:$CH$27,1,DB333)*(1+INDEX('Lease Cycles'!$CI$27:$CO$27,1,DB333))^INT(INT(DB334/12)/INDEX('Lease Cycles'!$CP$27:$CV$27,1,DB333))/12)))),'Lease Cycles'!$C$27*INDEX('Lease Cycles'!$CB$27:$CH$27,1,DB333)*(1+INDEX('Lease Cycles'!$CI$27:$CO$27,1,DB333))^INT(INT(DB334/12)/INDEX('Lease Cycles'!$CP$27:$CV$27,1,DB333))/12))),IF('Lease Cycles'!$N$27=1,'Lease Cycles'!$C$27*'Lease Cycles'!$E$27*INDEX('Lease Cycles'!$HE$27:$HK$27,1,DB333)*(1+INDEX('Lease Cycles'!$GQ$27:$GW$27,1,DB333))^INT(INT((DB$6-INDEX('Lease Cycles'!$GJ$27:$GP$27,1,DB333))/12)/INDEX('Lease Cycles'!$GX$27:$HD$27,1,DB333))/12,0)))</f>
        <v>0</v>
      </c>
      <c r="DC336" s="28">
        <f>IF(DC333=0,IF('Lease Cycles'!$F$27&gt;0,'Lease Cycles'!$C$27*'Lease Cycles'!$E$27/12,0),IF(DC335=1,IF('Lease Cycles'!$AT$27&gt;=9999,'Lease Cycles'!$C$27*INDEX('Lease Cycles'!$CB$27:$CH$27,1,DC333)*(1+INDEX('Lease Cycles'!$CI$27:$CO$27,1,DC333))^INT(INT(DC334/12)/INDEX('Lease Cycles'!$CP$27:$CV$27,1,DC333))/12,IF(DC333=1,IF(DC334&gt;=INDEX('Lease Cycles'!$DK$27:$DQ$27,1,DC333),IF(DC$6&gt;='Lease Cycles'!$AZ$27,'Lease Cycles'!$C$27*'Lease Cycles'!$BA$27/12,IF(DC$6&gt;='Lease Cycles'!$AX$27,'Lease Cycles'!$C$27*'Lease Cycles'!$AY$27/12,IF(DC$6&gt;='Lease Cycles'!$AV$27,'Lease Cycles'!$C$27*'Lease Cycles'!$AW$27/12,IF(DC$6&gt;='Lease Cycles'!$AT$27,'Lease Cycles'!$C$27*'Lease Cycles'!$AU$27/12,'Lease Cycles'!$C$27*INDEX('Lease Cycles'!$CB$27:$CH$27,1,DC333)*(1+INDEX('Lease Cycles'!$CI$27:$CO$27,1,DC333))^INT(INT(DC334/12)/INDEX('Lease Cycles'!$CP$27:$CV$27,1,DC333))/12)))),'Lease Cycles'!$C$27*INDEX('Lease Cycles'!$CB$27:$CH$27,1,DC333)*(1+INDEX('Lease Cycles'!$CI$27:$CO$27,1,DC333))^INT(INT(DC334/12)/INDEX('Lease Cycles'!$CP$27:$CV$27,1,DC333))/12),IF(INDEX('Lease Cycles'!$EF$27:$EL$27,1,DC333)=1,IF(AND('Lease Cycles'!$AZ$27&gt;=INDEX('Lease Cycles'!$BG$27:$BM$27,1,DC333),'Lease Cycles'!$AZ$27&lt;=DC$6),'Lease Cycles'!$C$27*'Lease Cycles'!$BA$27/12,IF(AND('Lease Cycles'!$AX$27&gt;=INDEX('Lease Cycles'!$BG$27:$BM$27,1,DC333),'Lease Cycles'!$AX$27&lt;=DC$6),'Lease Cycles'!$C$27*'Lease Cycles'!$AY$27/12,IF(AND('Lease Cycles'!$AV$27&gt;=INDEX('Lease Cycles'!$BG$27:$BM$27,1,DC333),'Lease Cycles'!$AV$27&lt;=DC$6),'Lease Cycles'!$C$27*'Lease Cycles'!$AW$27/12,IF(AND('Lease Cycles'!$AT$27&gt;=INDEX('Lease Cycles'!$BG$27:$BM$27,1,DC333),'Lease Cycles'!$AT$27&lt;=DC$6),'Lease Cycles'!$C$27*'Lease Cycles'!$AU$27/12,'Lease Cycles'!$C$27*INDEX('Lease Cycles'!$CB$27:$CH$27,1,DC333)*(1+INDEX('Lease Cycles'!$CI$27:$CO$27,1,DC333))^INT(INT(DC334/12)/INDEX('Lease Cycles'!$CP$27:$CV$27,1,DC333))/12)))),'Lease Cycles'!$C$27*INDEX('Lease Cycles'!$CB$27:$CH$27,1,DC333)*(1+INDEX('Lease Cycles'!$CI$27:$CO$27,1,DC333))^INT(INT(DC334/12)/INDEX('Lease Cycles'!$CP$27:$CV$27,1,DC333))/12))),IF('Lease Cycles'!$N$27=1,'Lease Cycles'!$C$27*'Lease Cycles'!$E$27*INDEX('Lease Cycles'!$HE$27:$HK$27,1,DC333)*(1+INDEX('Lease Cycles'!$GQ$27:$GW$27,1,DC333))^INT(INT((DC$6-INDEX('Lease Cycles'!$GJ$27:$GP$27,1,DC333))/12)/INDEX('Lease Cycles'!$GX$27:$HD$27,1,DC333))/12,0)))</f>
        <v>0</v>
      </c>
      <c r="DD336" s="28">
        <f>IF(DD333=0,IF('Lease Cycles'!$F$27&gt;0,'Lease Cycles'!$C$27*'Lease Cycles'!$E$27/12,0),IF(DD335=1,IF('Lease Cycles'!$AT$27&gt;=9999,'Lease Cycles'!$C$27*INDEX('Lease Cycles'!$CB$27:$CH$27,1,DD333)*(1+INDEX('Lease Cycles'!$CI$27:$CO$27,1,DD333))^INT(INT(DD334/12)/INDEX('Lease Cycles'!$CP$27:$CV$27,1,DD333))/12,IF(DD333=1,IF(DD334&gt;=INDEX('Lease Cycles'!$DK$27:$DQ$27,1,DD333),IF(DD$6&gt;='Lease Cycles'!$AZ$27,'Lease Cycles'!$C$27*'Lease Cycles'!$BA$27/12,IF(DD$6&gt;='Lease Cycles'!$AX$27,'Lease Cycles'!$C$27*'Lease Cycles'!$AY$27/12,IF(DD$6&gt;='Lease Cycles'!$AV$27,'Lease Cycles'!$C$27*'Lease Cycles'!$AW$27/12,IF(DD$6&gt;='Lease Cycles'!$AT$27,'Lease Cycles'!$C$27*'Lease Cycles'!$AU$27/12,'Lease Cycles'!$C$27*INDEX('Lease Cycles'!$CB$27:$CH$27,1,DD333)*(1+INDEX('Lease Cycles'!$CI$27:$CO$27,1,DD333))^INT(INT(DD334/12)/INDEX('Lease Cycles'!$CP$27:$CV$27,1,DD333))/12)))),'Lease Cycles'!$C$27*INDEX('Lease Cycles'!$CB$27:$CH$27,1,DD333)*(1+INDEX('Lease Cycles'!$CI$27:$CO$27,1,DD333))^INT(INT(DD334/12)/INDEX('Lease Cycles'!$CP$27:$CV$27,1,DD333))/12),IF(INDEX('Lease Cycles'!$EF$27:$EL$27,1,DD333)=1,IF(AND('Lease Cycles'!$AZ$27&gt;=INDEX('Lease Cycles'!$BG$27:$BM$27,1,DD333),'Lease Cycles'!$AZ$27&lt;=DD$6),'Lease Cycles'!$C$27*'Lease Cycles'!$BA$27/12,IF(AND('Lease Cycles'!$AX$27&gt;=INDEX('Lease Cycles'!$BG$27:$BM$27,1,DD333),'Lease Cycles'!$AX$27&lt;=DD$6),'Lease Cycles'!$C$27*'Lease Cycles'!$AY$27/12,IF(AND('Lease Cycles'!$AV$27&gt;=INDEX('Lease Cycles'!$BG$27:$BM$27,1,DD333),'Lease Cycles'!$AV$27&lt;=DD$6),'Lease Cycles'!$C$27*'Lease Cycles'!$AW$27/12,IF(AND('Lease Cycles'!$AT$27&gt;=INDEX('Lease Cycles'!$BG$27:$BM$27,1,DD333),'Lease Cycles'!$AT$27&lt;=DD$6),'Lease Cycles'!$C$27*'Lease Cycles'!$AU$27/12,'Lease Cycles'!$C$27*INDEX('Lease Cycles'!$CB$27:$CH$27,1,DD333)*(1+INDEX('Lease Cycles'!$CI$27:$CO$27,1,DD333))^INT(INT(DD334/12)/INDEX('Lease Cycles'!$CP$27:$CV$27,1,DD333))/12)))),'Lease Cycles'!$C$27*INDEX('Lease Cycles'!$CB$27:$CH$27,1,DD333)*(1+INDEX('Lease Cycles'!$CI$27:$CO$27,1,DD333))^INT(INT(DD334/12)/INDEX('Lease Cycles'!$CP$27:$CV$27,1,DD333))/12))),IF('Lease Cycles'!$N$27=1,'Lease Cycles'!$C$27*'Lease Cycles'!$E$27*INDEX('Lease Cycles'!$HE$27:$HK$27,1,DD333)*(1+INDEX('Lease Cycles'!$GQ$27:$GW$27,1,DD333))^INT(INT((DD$6-INDEX('Lease Cycles'!$GJ$27:$GP$27,1,DD333))/12)/INDEX('Lease Cycles'!$GX$27:$HD$27,1,DD333))/12,0)))</f>
        <v>0</v>
      </c>
      <c r="DE336" s="28">
        <f>IF(DE333=0,IF('Lease Cycles'!$F$27&gt;0,'Lease Cycles'!$C$27*'Lease Cycles'!$E$27/12,0),IF(DE335=1,IF('Lease Cycles'!$AT$27&gt;=9999,'Lease Cycles'!$C$27*INDEX('Lease Cycles'!$CB$27:$CH$27,1,DE333)*(1+INDEX('Lease Cycles'!$CI$27:$CO$27,1,DE333))^INT(INT(DE334/12)/INDEX('Lease Cycles'!$CP$27:$CV$27,1,DE333))/12,IF(DE333=1,IF(DE334&gt;=INDEX('Lease Cycles'!$DK$27:$DQ$27,1,DE333),IF(DE$6&gt;='Lease Cycles'!$AZ$27,'Lease Cycles'!$C$27*'Lease Cycles'!$BA$27/12,IF(DE$6&gt;='Lease Cycles'!$AX$27,'Lease Cycles'!$C$27*'Lease Cycles'!$AY$27/12,IF(DE$6&gt;='Lease Cycles'!$AV$27,'Lease Cycles'!$C$27*'Lease Cycles'!$AW$27/12,IF(DE$6&gt;='Lease Cycles'!$AT$27,'Lease Cycles'!$C$27*'Lease Cycles'!$AU$27/12,'Lease Cycles'!$C$27*INDEX('Lease Cycles'!$CB$27:$CH$27,1,DE333)*(1+INDEX('Lease Cycles'!$CI$27:$CO$27,1,DE333))^INT(INT(DE334/12)/INDEX('Lease Cycles'!$CP$27:$CV$27,1,DE333))/12)))),'Lease Cycles'!$C$27*INDEX('Lease Cycles'!$CB$27:$CH$27,1,DE333)*(1+INDEX('Lease Cycles'!$CI$27:$CO$27,1,DE333))^INT(INT(DE334/12)/INDEX('Lease Cycles'!$CP$27:$CV$27,1,DE333))/12),IF(INDEX('Lease Cycles'!$EF$27:$EL$27,1,DE333)=1,IF(AND('Lease Cycles'!$AZ$27&gt;=INDEX('Lease Cycles'!$BG$27:$BM$27,1,DE333),'Lease Cycles'!$AZ$27&lt;=DE$6),'Lease Cycles'!$C$27*'Lease Cycles'!$BA$27/12,IF(AND('Lease Cycles'!$AX$27&gt;=INDEX('Lease Cycles'!$BG$27:$BM$27,1,DE333),'Lease Cycles'!$AX$27&lt;=DE$6),'Lease Cycles'!$C$27*'Lease Cycles'!$AY$27/12,IF(AND('Lease Cycles'!$AV$27&gt;=INDEX('Lease Cycles'!$BG$27:$BM$27,1,DE333),'Lease Cycles'!$AV$27&lt;=DE$6),'Lease Cycles'!$C$27*'Lease Cycles'!$AW$27/12,IF(AND('Lease Cycles'!$AT$27&gt;=INDEX('Lease Cycles'!$BG$27:$BM$27,1,DE333),'Lease Cycles'!$AT$27&lt;=DE$6),'Lease Cycles'!$C$27*'Lease Cycles'!$AU$27/12,'Lease Cycles'!$C$27*INDEX('Lease Cycles'!$CB$27:$CH$27,1,DE333)*(1+INDEX('Lease Cycles'!$CI$27:$CO$27,1,DE333))^INT(INT(DE334/12)/INDEX('Lease Cycles'!$CP$27:$CV$27,1,DE333))/12)))),'Lease Cycles'!$C$27*INDEX('Lease Cycles'!$CB$27:$CH$27,1,DE333)*(1+INDEX('Lease Cycles'!$CI$27:$CO$27,1,DE333))^INT(INT(DE334/12)/INDEX('Lease Cycles'!$CP$27:$CV$27,1,DE333))/12))),IF('Lease Cycles'!$N$27=1,'Lease Cycles'!$C$27*'Lease Cycles'!$E$27*INDEX('Lease Cycles'!$HE$27:$HK$27,1,DE333)*(1+INDEX('Lease Cycles'!$GQ$27:$GW$27,1,DE333))^INT(INT((DE$6-INDEX('Lease Cycles'!$GJ$27:$GP$27,1,DE333))/12)/INDEX('Lease Cycles'!$GX$27:$HD$27,1,DE333))/12,0)))</f>
        <v>0</v>
      </c>
      <c r="DF336" s="28">
        <f>IF(DF333=0,IF('Lease Cycles'!$F$27&gt;0,'Lease Cycles'!$C$27*'Lease Cycles'!$E$27/12,0),IF(DF335=1,IF('Lease Cycles'!$AT$27&gt;=9999,'Lease Cycles'!$C$27*INDEX('Lease Cycles'!$CB$27:$CH$27,1,DF333)*(1+INDEX('Lease Cycles'!$CI$27:$CO$27,1,DF333))^INT(INT(DF334/12)/INDEX('Lease Cycles'!$CP$27:$CV$27,1,DF333))/12,IF(DF333=1,IF(DF334&gt;=INDEX('Lease Cycles'!$DK$27:$DQ$27,1,DF333),IF(DF$6&gt;='Lease Cycles'!$AZ$27,'Lease Cycles'!$C$27*'Lease Cycles'!$BA$27/12,IF(DF$6&gt;='Lease Cycles'!$AX$27,'Lease Cycles'!$C$27*'Lease Cycles'!$AY$27/12,IF(DF$6&gt;='Lease Cycles'!$AV$27,'Lease Cycles'!$C$27*'Lease Cycles'!$AW$27/12,IF(DF$6&gt;='Lease Cycles'!$AT$27,'Lease Cycles'!$C$27*'Lease Cycles'!$AU$27/12,'Lease Cycles'!$C$27*INDEX('Lease Cycles'!$CB$27:$CH$27,1,DF333)*(1+INDEX('Lease Cycles'!$CI$27:$CO$27,1,DF333))^INT(INT(DF334/12)/INDEX('Lease Cycles'!$CP$27:$CV$27,1,DF333))/12)))),'Lease Cycles'!$C$27*INDEX('Lease Cycles'!$CB$27:$CH$27,1,DF333)*(1+INDEX('Lease Cycles'!$CI$27:$CO$27,1,DF333))^INT(INT(DF334/12)/INDEX('Lease Cycles'!$CP$27:$CV$27,1,DF333))/12),IF(INDEX('Lease Cycles'!$EF$27:$EL$27,1,DF333)=1,IF(AND('Lease Cycles'!$AZ$27&gt;=INDEX('Lease Cycles'!$BG$27:$BM$27,1,DF333),'Lease Cycles'!$AZ$27&lt;=DF$6),'Lease Cycles'!$C$27*'Lease Cycles'!$BA$27/12,IF(AND('Lease Cycles'!$AX$27&gt;=INDEX('Lease Cycles'!$BG$27:$BM$27,1,DF333),'Lease Cycles'!$AX$27&lt;=DF$6),'Lease Cycles'!$C$27*'Lease Cycles'!$AY$27/12,IF(AND('Lease Cycles'!$AV$27&gt;=INDEX('Lease Cycles'!$BG$27:$BM$27,1,DF333),'Lease Cycles'!$AV$27&lt;=DF$6),'Lease Cycles'!$C$27*'Lease Cycles'!$AW$27/12,IF(AND('Lease Cycles'!$AT$27&gt;=INDEX('Lease Cycles'!$BG$27:$BM$27,1,DF333),'Lease Cycles'!$AT$27&lt;=DF$6),'Lease Cycles'!$C$27*'Lease Cycles'!$AU$27/12,'Lease Cycles'!$C$27*INDEX('Lease Cycles'!$CB$27:$CH$27,1,DF333)*(1+INDEX('Lease Cycles'!$CI$27:$CO$27,1,DF333))^INT(INT(DF334/12)/INDEX('Lease Cycles'!$CP$27:$CV$27,1,DF333))/12)))),'Lease Cycles'!$C$27*INDEX('Lease Cycles'!$CB$27:$CH$27,1,DF333)*(1+INDEX('Lease Cycles'!$CI$27:$CO$27,1,DF333))^INT(INT(DF334/12)/INDEX('Lease Cycles'!$CP$27:$CV$27,1,DF333))/12))),IF('Lease Cycles'!$N$27=1,'Lease Cycles'!$C$27*'Lease Cycles'!$E$27*INDEX('Lease Cycles'!$HE$27:$HK$27,1,DF333)*(1+INDEX('Lease Cycles'!$GQ$27:$GW$27,1,DF333))^INT(INT((DF$6-INDEX('Lease Cycles'!$GJ$27:$GP$27,1,DF333))/12)/INDEX('Lease Cycles'!$GX$27:$HD$27,1,DF333))/12,0)))</f>
        <v>0</v>
      </c>
      <c r="DG336" s="28">
        <f>IF(DG333=0,IF('Lease Cycles'!$F$27&gt;0,'Lease Cycles'!$C$27*'Lease Cycles'!$E$27/12,0),IF(DG335=1,IF('Lease Cycles'!$AT$27&gt;=9999,'Lease Cycles'!$C$27*INDEX('Lease Cycles'!$CB$27:$CH$27,1,DG333)*(1+INDEX('Lease Cycles'!$CI$27:$CO$27,1,DG333))^INT(INT(DG334/12)/INDEX('Lease Cycles'!$CP$27:$CV$27,1,DG333))/12,IF(DG333=1,IF(DG334&gt;=INDEX('Lease Cycles'!$DK$27:$DQ$27,1,DG333),IF(DG$6&gt;='Lease Cycles'!$AZ$27,'Lease Cycles'!$C$27*'Lease Cycles'!$BA$27/12,IF(DG$6&gt;='Lease Cycles'!$AX$27,'Lease Cycles'!$C$27*'Lease Cycles'!$AY$27/12,IF(DG$6&gt;='Lease Cycles'!$AV$27,'Lease Cycles'!$C$27*'Lease Cycles'!$AW$27/12,IF(DG$6&gt;='Lease Cycles'!$AT$27,'Lease Cycles'!$C$27*'Lease Cycles'!$AU$27/12,'Lease Cycles'!$C$27*INDEX('Lease Cycles'!$CB$27:$CH$27,1,DG333)*(1+INDEX('Lease Cycles'!$CI$27:$CO$27,1,DG333))^INT(INT(DG334/12)/INDEX('Lease Cycles'!$CP$27:$CV$27,1,DG333))/12)))),'Lease Cycles'!$C$27*INDEX('Lease Cycles'!$CB$27:$CH$27,1,DG333)*(1+INDEX('Lease Cycles'!$CI$27:$CO$27,1,DG333))^INT(INT(DG334/12)/INDEX('Lease Cycles'!$CP$27:$CV$27,1,DG333))/12),IF(INDEX('Lease Cycles'!$EF$27:$EL$27,1,DG333)=1,IF(AND('Lease Cycles'!$AZ$27&gt;=INDEX('Lease Cycles'!$BG$27:$BM$27,1,DG333),'Lease Cycles'!$AZ$27&lt;=DG$6),'Lease Cycles'!$C$27*'Lease Cycles'!$BA$27/12,IF(AND('Lease Cycles'!$AX$27&gt;=INDEX('Lease Cycles'!$BG$27:$BM$27,1,DG333),'Lease Cycles'!$AX$27&lt;=DG$6),'Lease Cycles'!$C$27*'Lease Cycles'!$AY$27/12,IF(AND('Lease Cycles'!$AV$27&gt;=INDEX('Lease Cycles'!$BG$27:$BM$27,1,DG333),'Lease Cycles'!$AV$27&lt;=DG$6),'Lease Cycles'!$C$27*'Lease Cycles'!$AW$27/12,IF(AND('Lease Cycles'!$AT$27&gt;=INDEX('Lease Cycles'!$BG$27:$BM$27,1,DG333),'Lease Cycles'!$AT$27&lt;=DG$6),'Lease Cycles'!$C$27*'Lease Cycles'!$AU$27/12,'Lease Cycles'!$C$27*INDEX('Lease Cycles'!$CB$27:$CH$27,1,DG333)*(1+INDEX('Lease Cycles'!$CI$27:$CO$27,1,DG333))^INT(INT(DG334/12)/INDEX('Lease Cycles'!$CP$27:$CV$27,1,DG333))/12)))),'Lease Cycles'!$C$27*INDEX('Lease Cycles'!$CB$27:$CH$27,1,DG333)*(1+INDEX('Lease Cycles'!$CI$27:$CO$27,1,DG333))^INT(INT(DG334/12)/INDEX('Lease Cycles'!$CP$27:$CV$27,1,DG333))/12))),IF('Lease Cycles'!$N$27=1,'Lease Cycles'!$C$27*'Lease Cycles'!$E$27*INDEX('Lease Cycles'!$HE$27:$HK$27,1,DG333)*(1+INDEX('Lease Cycles'!$GQ$27:$GW$27,1,DG333))^INT(INT((DG$6-INDEX('Lease Cycles'!$GJ$27:$GP$27,1,DG333))/12)/INDEX('Lease Cycles'!$GX$27:$HD$27,1,DG333))/12,0)))</f>
        <v>0</v>
      </c>
      <c r="DH336" s="28">
        <f>IF(DH333=0,IF('Lease Cycles'!$F$27&gt;0,'Lease Cycles'!$C$27*'Lease Cycles'!$E$27/12,0),IF(DH335=1,IF('Lease Cycles'!$AT$27&gt;=9999,'Lease Cycles'!$C$27*INDEX('Lease Cycles'!$CB$27:$CH$27,1,DH333)*(1+INDEX('Lease Cycles'!$CI$27:$CO$27,1,DH333))^INT(INT(DH334/12)/INDEX('Lease Cycles'!$CP$27:$CV$27,1,DH333))/12,IF(DH333=1,IF(DH334&gt;=INDEX('Lease Cycles'!$DK$27:$DQ$27,1,DH333),IF(DH$6&gt;='Lease Cycles'!$AZ$27,'Lease Cycles'!$C$27*'Lease Cycles'!$BA$27/12,IF(DH$6&gt;='Lease Cycles'!$AX$27,'Lease Cycles'!$C$27*'Lease Cycles'!$AY$27/12,IF(DH$6&gt;='Lease Cycles'!$AV$27,'Lease Cycles'!$C$27*'Lease Cycles'!$AW$27/12,IF(DH$6&gt;='Lease Cycles'!$AT$27,'Lease Cycles'!$C$27*'Lease Cycles'!$AU$27/12,'Lease Cycles'!$C$27*INDEX('Lease Cycles'!$CB$27:$CH$27,1,DH333)*(1+INDEX('Lease Cycles'!$CI$27:$CO$27,1,DH333))^INT(INT(DH334/12)/INDEX('Lease Cycles'!$CP$27:$CV$27,1,DH333))/12)))),'Lease Cycles'!$C$27*INDEX('Lease Cycles'!$CB$27:$CH$27,1,DH333)*(1+INDEX('Lease Cycles'!$CI$27:$CO$27,1,DH333))^INT(INT(DH334/12)/INDEX('Lease Cycles'!$CP$27:$CV$27,1,DH333))/12),IF(INDEX('Lease Cycles'!$EF$27:$EL$27,1,DH333)=1,IF(AND('Lease Cycles'!$AZ$27&gt;=INDEX('Lease Cycles'!$BG$27:$BM$27,1,DH333),'Lease Cycles'!$AZ$27&lt;=DH$6),'Lease Cycles'!$C$27*'Lease Cycles'!$BA$27/12,IF(AND('Lease Cycles'!$AX$27&gt;=INDEX('Lease Cycles'!$BG$27:$BM$27,1,DH333),'Lease Cycles'!$AX$27&lt;=DH$6),'Lease Cycles'!$C$27*'Lease Cycles'!$AY$27/12,IF(AND('Lease Cycles'!$AV$27&gt;=INDEX('Lease Cycles'!$BG$27:$BM$27,1,DH333),'Lease Cycles'!$AV$27&lt;=DH$6),'Lease Cycles'!$C$27*'Lease Cycles'!$AW$27/12,IF(AND('Lease Cycles'!$AT$27&gt;=INDEX('Lease Cycles'!$BG$27:$BM$27,1,DH333),'Lease Cycles'!$AT$27&lt;=DH$6),'Lease Cycles'!$C$27*'Lease Cycles'!$AU$27/12,'Lease Cycles'!$C$27*INDEX('Lease Cycles'!$CB$27:$CH$27,1,DH333)*(1+INDEX('Lease Cycles'!$CI$27:$CO$27,1,DH333))^INT(INT(DH334/12)/INDEX('Lease Cycles'!$CP$27:$CV$27,1,DH333))/12)))),'Lease Cycles'!$C$27*INDEX('Lease Cycles'!$CB$27:$CH$27,1,DH333)*(1+INDEX('Lease Cycles'!$CI$27:$CO$27,1,DH333))^INT(INT(DH334/12)/INDEX('Lease Cycles'!$CP$27:$CV$27,1,DH333))/12))),IF('Lease Cycles'!$N$27=1,'Lease Cycles'!$C$27*'Lease Cycles'!$E$27*INDEX('Lease Cycles'!$HE$27:$HK$27,1,DH333)*(1+INDEX('Lease Cycles'!$GQ$27:$GW$27,1,DH333))^INT(INT((DH$6-INDEX('Lease Cycles'!$GJ$27:$GP$27,1,DH333))/12)/INDEX('Lease Cycles'!$GX$27:$HD$27,1,DH333))/12,0)))</f>
        <v>0</v>
      </c>
      <c r="DI336" s="28">
        <f>IF(DI333=0,IF('Lease Cycles'!$F$27&gt;0,'Lease Cycles'!$C$27*'Lease Cycles'!$E$27/12,0),IF(DI335=1,IF('Lease Cycles'!$AT$27&gt;=9999,'Lease Cycles'!$C$27*INDEX('Lease Cycles'!$CB$27:$CH$27,1,DI333)*(1+INDEX('Lease Cycles'!$CI$27:$CO$27,1,DI333))^INT(INT(DI334/12)/INDEX('Lease Cycles'!$CP$27:$CV$27,1,DI333))/12,IF(DI333=1,IF(DI334&gt;=INDEX('Lease Cycles'!$DK$27:$DQ$27,1,DI333),IF(DI$6&gt;='Lease Cycles'!$AZ$27,'Lease Cycles'!$C$27*'Lease Cycles'!$BA$27/12,IF(DI$6&gt;='Lease Cycles'!$AX$27,'Lease Cycles'!$C$27*'Lease Cycles'!$AY$27/12,IF(DI$6&gt;='Lease Cycles'!$AV$27,'Lease Cycles'!$C$27*'Lease Cycles'!$AW$27/12,IF(DI$6&gt;='Lease Cycles'!$AT$27,'Lease Cycles'!$C$27*'Lease Cycles'!$AU$27/12,'Lease Cycles'!$C$27*INDEX('Lease Cycles'!$CB$27:$CH$27,1,DI333)*(1+INDEX('Lease Cycles'!$CI$27:$CO$27,1,DI333))^INT(INT(DI334/12)/INDEX('Lease Cycles'!$CP$27:$CV$27,1,DI333))/12)))),'Lease Cycles'!$C$27*INDEX('Lease Cycles'!$CB$27:$CH$27,1,DI333)*(1+INDEX('Lease Cycles'!$CI$27:$CO$27,1,DI333))^INT(INT(DI334/12)/INDEX('Lease Cycles'!$CP$27:$CV$27,1,DI333))/12),IF(INDEX('Lease Cycles'!$EF$27:$EL$27,1,DI333)=1,IF(AND('Lease Cycles'!$AZ$27&gt;=INDEX('Lease Cycles'!$BG$27:$BM$27,1,DI333),'Lease Cycles'!$AZ$27&lt;=DI$6),'Lease Cycles'!$C$27*'Lease Cycles'!$BA$27/12,IF(AND('Lease Cycles'!$AX$27&gt;=INDEX('Lease Cycles'!$BG$27:$BM$27,1,DI333),'Lease Cycles'!$AX$27&lt;=DI$6),'Lease Cycles'!$C$27*'Lease Cycles'!$AY$27/12,IF(AND('Lease Cycles'!$AV$27&gt;=INDEX('Lease Cycles'!$BG$27:$BM$27,1,DI333),'Lease Cycles'!$AV$27&lt;=DI$6),'Lease Cycles'!$C$27*'Lease Cycles'!$AW$27/12,IF(AND('Lease Cycles'!$AT$27&gt;=INDEX('Lease Cycles'!$BG$27:$BM$27,1,DI333),'Lease Cycles'!$AT$27&lt;=DI$6),'Lease Cycles'!$C$27*'Lease Cycles'!$AU$27/12,'Lease Cycles'!$C$27*INDEX('Lease Cycles'!$CB$27:$CH$27,1,DI333)*(1+INDEX('Lease Cycles'!$CI$27:$CO$27,1,DI333))^INT(INT(DI334/12)/INDEX('Lease Cycles'!$CP$27:$CV$27,1,DI333))/12)))),'Lease Cycles'!$C$27*INDEX('Lease Cycles'!$CB$27:$CH$27,1,DI333)*(1+INDEX('Lease Cycles'!$CI$27:$CO$27,1,DI333))^INT(INT(DI334/12)/INDEX('Lease Cycles'!$CP$27:$CV$27,1,DI333))/12))),IF('Lease Cycles'!$N$27=1,'Lease Cycles'!$C$27*'Lease Cycles'!$E$27*INDEX('Lease Cycles'!$HE$27:$HK$27,1,DI333)*(1+INDEX('Lease Cycles'!$GQ$27:$GW$27,1,DI333))^INT(INT((DI$6-INDEX('Lease Cycles'!$GJ$27:$GP$27,1,DI333))/12)/INDEX('Lease Cycles'!$GX$27:$HD$27,1,DI333))/12,0)))</f>
        <v>0</v>
      </c>
      <c r="DJ336" s="28">
        <f>IF(DJ333=0,IF('Lease Cycles'!$F$27&gt;0,'Lease Cycles'!$C$27*'Lease Cycles'!$E$27/12,0),IF(DJ335=1,IF('Lease Cycles'!$AT$27&gt;=9999,'Lease Cycles'!$C$27*INDEX('Lease Cycles'!$CB$27:$CH$27,1,DJ333)*(1+INDEX('Lease Cycles'!$CI$27:$CO$27,1,DJ333))^INT(INT(DJ334/12)/INDEX('Lease Cycles'!$CP$27:$CV$27,1,DJ333))/12,IF(DJ333=1,IF(DJ334&gt;=INDEX('Lease Cycles'!$DK$27:$DQ$27,1,DJ333),IF(DJ$6&gt;='Lease Cycles'!$AZ$27,'Lease Cycles'!$C$27*'Lease Cycles'!$BA$27/12,IF(DJ$6&gt;='Lease Cycles'!$AX$27,'Lease Cycles'!$C$27*'Lease Cycles'!$AY$27/12,IF(DJ$6&gt;='Lease Cycles'!$AV$27,'Lease Cycles'!$C$27*'Lease Cycles'!$AW$27/12,IF(DJ$6&gt;='Lease Cycles'!$AT$27,'Lease Cycles'!$C$27*'Lease Cycles'!$AU$27/12,'Lease Cycles'!$C$27*INDEX('Lease Cycles'!$CB$27:$CH$27,1,DJ333)*(1+INDEX('Lease Cycles'!$CI$27:$CO$27,1,DJ333))^INT(INT(DJ334/12)/INDEX('Lease Cycles'!$CP$27:$CV$27,1,DJ333))/12)))),'Lease Cycles'!$C$27*INDEX('Lease Cycles'!$CB$27:$CH$27,1,DJ333)*(1+INDEX('Lease Cycles'!$CI$27:$CO$27,1,DJ333))^INT(INT(DJ334/12)/INDEX('Lease Cycles'!$CP$27:$CV$27,1,DJ333))/12),IF(INDEX('Lease Cycles'!$EF$27:$EL$27,1,DJ333)=1,IF(AND('Lease Cycles'!$AZ$27&gt;=INDEX('Lease Cycles'!$BG$27:$BM$27,1,DJ333),'Lease Cycles'!$AZ$27&lt;=DJ$6),'Lease Cycles'!$C$27*'Lease Cycles'!$BA$27/12,IF(AND('Lease Cycles'!$AX$27&gt;=INDEX('Lease Cycles'!$BG$27:$BM$27,1,DJ333),'Lease Cycles'!$AX$27&lt;=DJ$6),'Lease Cycles'!$C$27*'Lease Cycles'!$AY$27/12,IF(AND('Lease Cycles'!$AV$27&gt;=INDEX('Lease Cycles'!$BG$27:$BM$27,1,DJ333),'Lease Cycles'!$AV$27&lt;=DJ$6),'Lease Cycles'!$C$27*'Lease Cycles'!$AW$27/12,IF(AND('Lease Cycles'!$AT$27&gt;=INDEX('Lease Cycles'!$BG$27:$BM$27,1,DJ333),'Lease Cycles'!$AT$27&lt;=DJ$6),'Lease Cycles'!$C$27*'Lease Cycles'!$AU$27/12,'Lease Cycles'!$C$27*INDEX('Lease Cycles'!$CB$27:$CH$27,1,DJ333)*(1+INDEX('Lease Cycles'!$CI$27:$CO$27,1,DJ333))^INT(INT(DJ334/12)/INDEX('Lease Cycles'!$CP$27:$CV$27,1,DJ333))/12)))),'Lease Cycles'!$C$27*INDEX('Lease Cycles'!$CB$27:$CH$27,1,DJ333)*(1+INDEX('Lease Cycles'!$CI$27:$CO$27,1,DJ333))^INT(INT(DJ334/12)/INDEX('Lease Cycles'!$CP$27:$CV$27,1,DJ333))/12))),IF('Lease Cycles'!$N$27=1,'Lease Cycles'!$C$27*'Lease Cycles'!$E$27*INDEX('Lease Cycles'!$HE$27:$HK$27,1,DJ333)*(1+INDEX('Lease Cycles'!$GQ$27:$GW$27,1,DJ333))^INT(INT((DJ$6-INDEX('Lease Cycles'!$GJ$27:$GP$27,1,DJ333))/12)/INDEX('Lease Cycles'!$GX$27:$HD$27,1,DJ333))/12,0)))</f>
        <v>0</v>
      </c>
      <c r="DK336" s="28">
        <f>IF(DK333=0,IF('Lease Cycles'!$F$27&gt;0,'Lease Cycles'!$C$27*'Lease Cycles'!$E$27/12,0),IF(DK335=1,IF('Lease Cycles'!$AT$27&gt;=9999,'Lease Cycles'!$C$27*INDEX('Lease Cycles'!$CB$27:$CH$27,1,DK333)*(1+INDEX('Lease Cycles'!$CI$27:$CO$27,1,DK333))^INT(INT(DK334/12)/INDEX('Lease Cycles'!$CP$27:$CV$27,1,DK333))/12,IF(DK333=1,IF(DK334&gt;=INDEX('Lease Cycles'!$DK$27:$DQ$27,1,DK333),IF(DK$6&gt;='Lease Cycles'!$AZ$27,'Lease Cycles'!$C$27*'Lease Cycles'!$BA$27/12,IF(DK$6&gt;='Lease Cycles'!$AX$27,'Lease Cycles'!$C$27*'Lease Cycles'!$AY$27/12,IF(DK$6&gt;='Lease Cycles'!$AV$27,'Lease Cycles'!$C$27*'Lease Cycles'!$AW$27/12,IF(DK$6&gt;='Lease Cycles'!$AT$27,'Lease Cycles'!$C$27*'Lease Cycles'!$AU$27/12,'Lease Cycles'!$C$27*INDEX('Lease Cycles'!$CB$27:$CH$27,1,DK333)*(1+INDEX('Lease Cycles'!$CI$27:$CO$27,1,DK333))^INT(INT(DK334/12)/INDEX('Lease Cycles'!$CP$27:$CV$27,1,DK333))/12)))),'Lease Cycles'!$C$27*INDEX('Lease Cycles'!$CB$27:$CH$27,1,DK333)*(1+INDEX('Lease Cycles'!$CI$27:$CO$27,1,DK333))^INT(INT(DK334/12)/INDEX('Lease Cycles'!$CP$27:$CV$27,1,DK333))/12),IF(INDEX('Lease Cycles'!$EF$27:$EL$27,1,DK333)=1,IF(AND('Lease Cycles'!$AZ$27&gt;=INDEX('Lease Cycles'!$BG$27:$BM$27,1,DK333),'Lease Cycles'!$AZ$27&lt;=DK$6),'Lease Cycles'!$C$27*'Lease Cycles'!$BA$27/12,IF(AND('Lease Cycles'!$AX$27&gt;=INDEX('Lease Cycles'!$BG$27:$BM$27,1,DK333),'Lease Cycles'!$AX$27&lt;=DK$6),'Lease Cycles'!$C$27*'Lease Cycles'!$AY$27/12,IF(AND('Lease Cycles'!$AV$27&gt;=INDEX('Lease Cycles'!$BG$27:$BM$27,1,DK333),'Lease Cycles'!$AV$27&lt;=DK$6),'Lease Cycles'!$C$27*'Lease Cycles'!$AW$27/12,IF(AND('Lease Cycles'!$AT$27&gt;=INDEX('Lease Cycles'!$BG$27:$BM$27,1,DK333),'Lease Cycles'!$AT$27&lt;=DK$6),'Lease Cycles'!$C$27*'Lease Cycles'!$AU$27/12,'Lease Cycles'!$C$27*INDEX('Lease Cycles'!$CB$27:$CH$27,1,DK333)*(1+INDEX('Lease Cycles'!$CI$27:$CO$27,1,DK333))^INT(INT(DK334/12)/INDEX('Lease Cycles'!$CP$27:$CV$27,1,DK333))/12)))),'Lease Cycles'!$C$27*INDEX('Lease Cycles'!$CB$27:$CH$27,1,DK333)*(1+INDEX('Lease Cycles'!$CI$27:$CO$27,1,DK333))^INT(INT(DK334/12)/INDEX('Lease Cycles'!$CP$27:$CV$27,1,DK333))/12))),IF('Lease Cycles'!$N$27=1,'Lease Cycles'!$C$27*'Lease Cycles'!$E$27*INDEX('Lease Cycles'!$HE$27:$HK$27,1,DK333)*(1+INDEX('Lease Cycles'!$GQ$27:$GW$27,1,DK333))^INT(INT((DK$6-INDEX('Lease Cycles'!$GJ$27:$GP$27,1,DK333))/12)/INDEX('Lease Cycles'!$GX$27:$HD$27,1,DK333))/12,0)))</f>
        <v>0</v>
      </c>
      <c r="DL336" s="28">
        <f>IF(DL333=0,IF('Lease Cycles'!$F$27&gt;0,'Lease Cycles'!$C$27*'Lease Cycles'!$E$27/12,0),IF(DL335=1,IF('Lease Cycles'!$AT$27&gt;=9999,'Lease Cycles'!$C$27*INDEX('Lease Cycles'!$CB$27:$CH$27,1,DL333)*(1+INDEX('Lease Cycles'!$CI$27:$CO$27,1,DL333))^INT(INT(DL334/12)/INDEX('Lease Cycles'!$CP$27:$CV$27,1,DL333))/12,IF(DL333=1,IF(DL334&gt;=INDEX('Lease Cycles'!$DK$27:$DQ$27,1,DL333),IF(DL$6&gt;='Lease Cycles'!$AZ$27,'Lease Cycles'!$C$27*'Lease Cycles'!$BA$27/12,IF(DL$6&gt;='Lease Cycles'!$AX$27,'Lease Cycles'!$C$27*'Lease Cycles'!$AY$27/12,IF(DL$6&gt;='Lease Cycles'!$AV$27,'Lease Cycles'!$C$27*'Lease Cycles'!$AW$27/12,IF(DL$6&gt;='Lease Cycles'!$AT$27,'Lease Cycles'!$C$27*'Lease Cycles'!$AU$27/12,'Lease Cycles'!$C$27*INDEX('Lease Cycles'!$CB$27:$CH$27,1,DL333)*(1+INDEX('Lease Cycles'!$CI$27:$CO$27,1,DL333))^INT(INT(DL334/12)/INDEX('Lease Cycles'!$CP$27:$CV$27,1,DL333))/12)))),'Lease Cycles'!$C$27*INDEX('Lease Cycles'!$CB$27:$CH$27,1,DL333)*(1+INDEX('Lease Cycles'!$CI$27:$CO$27,1,DL333))^INT(INT(DL334/12)/INDEX('Lease Cycles'!$CP$27:$CV$27,1,DL333))/12),IF(INDEX('Lease Cycles'!$EF$27:$EL$27,1,DL333)=1,IF(AND('Lease Cycles'!$AZ$27&gt;=INDEX('Lease Cycles'!$BG$27:$BM$27,1,DL333),'Lease Cycles'!$AZ$27&lt;=DL$6),'Lease Cycles'!$C$27*'Lease Cycles'!$BA$27/12,IF(AND('Lease Cycles'!$AX$27&gt;=INDEX('Lease Cycles'!$BG$27:$BM$27,1,DL333),'Lease Cycles'!$AX$27&lt;=DL$6),'Lease Cycles'!$C$27*'Lease Cycles'!$AY$27/12,IF(AND('Lease Cycles'!$AV$27&gt;=INDEX('Lease Cycles'!$BG$27:$BM$27,1,DL333),'Lease Cycles'!$AV$27&lt;=DL$6),'Lease Cycles'!$C$27*'Lease Cycles'!$AW$27/12,IF(AND('Lease Cycles'!$AT$27&gt;=INDEX('Lease Cycles'!$BG$27:$BM$27,1,DL333),'Lease Cycles'!$AT$27&lt;=DL$6),'Lease Cycles'!$C$27*'Lease Cycles'!$AU$27/12,'Lease Cycles'!$C$27*INDEX('Lease Cycles'!$CB$27:$CH$27,1,DL333)*(1+INDEX('Lease Cycles'!$CI$27:$CO$27,1,DL333))^INT(INT(DL334/12)/INDEX('Lease Cycles'!$CP$27:$CV$27,1,DL333))/12)))),'Lease Cycles'!$C$27*INDEX('Lease Cycles'!$CB$27:$CH$27,1,DL333)*(1+INDEX('Lease Cycles'!$CI$27:$CO$27,1,DL333))^INT(INT(DL334/12)/INDEX('Lease Cycles'!$CP$27:$CV$27,1,DL333))/12))),IF('Lease Cycles'!$N$27=1,'Lease Cycles'!$C$27*'Lease Cycles'!$E$27*INDEX('Lease Cycles'!$HE$27:$HK$27,1,DL333)*(1+INDEX('Lease Cycles'!$GQ$27:$GW$27,1,DL333))^INT(INT((DL$6-INDEX('Lease Cycles'!$GJ$27:$GP$27,1,DL333))/12)/INDEX('Lease Cycles'!$GX$27:$HD$27,1,DL333))/12,0)))</f>
        <v>0</v>
      </c>
      <c r="DM336" s="28">
        <f>IF(DM333=0,IF('Lease Cycles'!$F$27&gt;0,'Lease Cycles'!$C$27*'Lease Cycles'!$E$27/12,0),IF(DM335=1,IF('Lease Cycles'!$AT$27&gt;=9999,'Lease Cycles'!$C$27*INDEX('Lease Cycles'!$CB$27:$CH$27,1,DM333)*(1+INDEX('Lease Cycles'!$CI$27:$CO$27,1,DM333))^INT(INT(DM334/12)/INDEX('Lease Cycles'!$CP$27:$CV$27,1,DM333))/12,IF(DM333=1,IF(DM334&gt;=INDEX('Lease Cycles'!$DK$27:$DQ$27,1,DM333),IF(DM$6&gt;='Lease Cycles'!$AZ$27,'Lease Cycles'!$C$27*'Lease Cycles'!$BA$27/12,IF(DM$6&gt;='Lease Cycles'!$AX$27,'Lease Cycles'!$C$27*'Lease Cycles'!$AY$27/12,IF(DM$6&gt;='Lease Cycles'!$AV$27,'Lease Cycles'!$C$27*'Lease Cycles'!$AW$27/12,IF(DM$6&gt;='Lease Cycles'!$AT$27,'Lease Cycles'!$C$27*'Lease Cycles'!$AU$27/12,'Lease Cycles'!$C$27*INDEX('Lease Cycles'!$CB$27:$CH$27,1,DM333)*(1+INDEX('Lease Cycles'!$CI$27:$CO$27,1,DM333))^INT(INT(DM334/12)/INDEX('Lease Cycles'!$CP$27:$CV$27,1,DM333))/12)))),'Lease Cycles'!$C$27*INDEX('Lease Cycles'!$CB$27:$CH$27,1,DM333)*(1+INDEX('Lease Cycles'!$CI$27:$CO$27,1,DM333))^INT(INT(DM334/12)/INDEX('Lease Cycles'!$CP$27:$CV$27,1,DM333))/12),IF(INDEX('Lease Cycles'!$EF$27:$EL$27,1,DM333)=1,IF(AND('Lease Cycles'!$AZ$27&gt;=INDEX('Lease Cycles'!$BG$27:$BM$27,1,DM333),'Lease Cycles'!$AZ$27&lt;=DM$6),'Lease Cycles'!$C$27*'Lease Cycles'!$BA$27/12,IF(AND('Lease Cycles'!$AX$27&gt;=INDEX('Lease Cycles'!$BG$27:$BM$27,1,DM333),'Lease Cycles'!$AX$27&lt;=DM$6),'Lease Cycles'!$C$27*'Lease Cycles'!$AY$27/12,IF(AND('Lease Cycles'!$AV$27&gt;=INDEX('Lease Cycles'!$BG$27:$BM$27,1,DM333),'Lease Cycles'!$AV$27&lt;=DM$6),'Lease Cycles'!$C$27*'Lease Cycles'!$AW$27/12,IF(AND('Lease Cycles'!$AT$27&gt;=INDEX('Lease Cycles'!$BG$27:$BM$27,1,DM333),'Lease Cycles'!$AT$27&lt;=DM$6),'Lease Cycles'!$C$27*'Lease Cycles'!$AU$27/12,'Lease Cycles'!$C$27*INDEX('Lease Cycles'!$CB$27:$CH$27,1,DM333)*(1+INDEX('Lease Cycles'!$CI$27:$CO$27,1,DM333))^INT(INT(DM334/12)/INDEX('Lease Cycles'!$CP$27:$CV$27,1,DM333))/12)))),'Lease Cycles'!$C$27*INDEX('Lease Cycles'!$CB$27:$CH$27,1,DM333)*(1+INDEX('Lease Cycles'!$CI$27:$CO$27,1,DM333))^INT(INT(DM334/12)/INDEX('Lease Cycles'!$CP$27:$CV$27,1,DM333))/12))),IF('Lease Cycles'!$N$27=1,'Lease Cycles'!$C$27*'Lease Cycles'!$E$27*INDEX('Lease Cycles'!$HE$27:$HK$27,1,DM333)*(1+INDEX('Lease Cycles'!$GQ$27:$GW$27,1,DM333))^INT(INT((DM$6-INDEX('Lease Cycles'!$GJ$27:$GP$27,1,DM333))/12)/INDEX('Lease Cycles'!$GX$27:$HD$27,1,DM333))/12,0)))</f>
        <v>0</v>
      </c>
      <c r="DN336" s="28">
        <f>IF(DN333=0,IF('Lease Cycles'!$F$27&gt;0,'Lease Cycles'!$C$27*'Lease Cycles'!$E$27/12,0),IF(DN335=1,IF('Lease Cycles'!$AT$27&gt;=9999,'Lease Cycles'!$C$27*INDEX('Lease Cycles'!$CB$27:$CH$27,1,DN333)*(1+INDEX('Lease Cycles'!$CI$27:$CO$27,1,DN333))^INT(INT(DN334/12)/INDEX('Lease Cycles'!$CP$27:$CV$27,1,DN333))/12,IF(DN333=1,IF(DN334&gt;=INDEX('Lease Cycles'!$DK$27:$DQ$27,1,DN333),IF(DN$6&gt;='Lease Cycles'!$AZ$27,'Lease Cycles'!$C$27*'Lease Cycles'!$BA$27/12,IF(DN$6&gt;='Lease Cycles'!$AX$27,'Lease Cycles'!$C$27*'Lease Cycles'!$AY$27/12,IF(DN$6&gt;='Lease Cycles'!$AV$27,'Lease Cycles'!$C$27*'Lease Cycles'!$AW$27/12,IF(DN$6&gt;='Lease Cycles'!$AT$27,'Lease Cycles'!$C$27*'Lease Cycles'!$AU$27/12,'Lease Cycles'!$C$27*INDEX('Lease Cycles'!$CB$27:$CH$27,1,DN333)*(1+INDEX('Lease Cycles'!$CI$27:$CO$27,1,DN333))^INT(INT(DN334/12)/INDEX('Lease Cycles'!$CP$27:$CV$27,1,DN333))/12)))),'Lease Cycles'!$C$27*INDEX('Lease Cycles'!$CB$27:$CH$27,1,DN333)*(1+INDEX('Lease Cycles'!$CI$27:$CO$27,1,DN333))^INT(INT(DN334/12)/INDEX('Lease Cycles'!$CP$27:$CV$27,1,DN333))/12),IF(INDEX('Lease Cycles'!$EF$27:$EL$27,1,DN333)=1,IF(AND('Lease Cycles'!$AZ$27&gt;=INDEX('Lease Cycles'!$BG$27:$BM$27,1,DN333),'Lease Cycles'!$AZ$27&lt;=DN$6),'Lease Cycles'!$C$27*'Lease Cycles'!$BA$27/12,IF(AND('Lease Cycles'!$AX$27&gt;=INDEX('Lease Cycles'!$BG$27:$BM$27,1,DN333),'Lease Cycles'!$AX$27&lt;=DN$6),'Lease Cycles'!$C$27*'Lease Cycles'!$AY$27/12,IF(AND('Lease Cycles'!$AV$27&gt;=INDEX('Lease Cycles'!$BG$27:$BM$27,1,DN333),'Lease Cycles'!$AV$27&lt;=DN$6),'Lease Cycles'!$C$27*'Lease Cycles'!$AW$27/12,IF(AND('Lease Cycles'!$AT$27&gt;=INDEX('Lease Cycles'!$BG$27:$BM$27,1,DN333),'Lease Cycles'!$AT$27&lt;=DN$6),'Lease Cycles'!$C$27*'Lease Cycles'!$AU$27/12,'Lease Cycles'!$C$27*INDEX('Lease Cycles'!$CB$27:$CH$27,1,DN333)*(1+INDEX('Lease Cycles'!$CI$27:$CO$27,1,DN333))^INT(INT(DN334/12)/INDEX('Lease Cycles'!$CP$27:$CV$27,1,DN333))/12)))),'Lease Cycles'!$C$27*INDEX('Lease Cycles'!$CB$27:$CH$27,1,DN333)*(1+INDEX('Lease Cycles'!$CI$27:$CO$27,1,DN333))^INT(INT(DN334/12)/INDEX('Lease Cycles'!$CP$27:$CV$27,1,DN333))/12))),IF('Lease Cycles'!$N$27=1,'Lease Cycles'!$C$27*'Lease Cycles'!$E$27*INDEX('Lease Cycles'!$HE$27:$HK$27,1,DN333)*(1+INDEX('Lease Cycles'!$GQ$27:$GW$27,1,DN333))^INT(INT((DN$6-INDEX('Lease Cycles'!$GJ$27:$GP$27,1,DN333))/12)/INDEX('Lease Cycles'!$GX$27:$HD$27,1,DN333))/12,0)))</f>
        <v>0</v>
      </c>
      <c r="DO336" s="28">
        <f>IF(DO333=0,IF('Lease Cycles'!$F$27&gt;0,'Lease Cycles'!$C$27*'Lease Cycles'!$E$27/12,0),IF(DO335=1,IF('Lease Cycles'!$AT$27&gt;=9999,'Lease Cycles'!$C$27*INDEX('Lease Cycles'!$CB$27:$CH$27,1,DO333)*(1+INDEX('Lease Cycles'!$CI$27:$CO$27,1,DO333))^INT(INT(DO334/12)/INDEX('Lease Cycles'!$CP$27:$CV$27,1,DO333))/12,IF(DO333=1,IF(DO334&gt;=INDEX('Lease Cycles'!$DK$27:$DQ$27,1,DO333),IF(DO$6&gt;='Lease Cycles'!$AZ$27,'Lease Cycles'!$C$27*'Lease Cycles'!$BA$27/12,IF(DO$6&gt;='Lease Cycles'!$AX$27,'Lease Cycles'!$C$27*'Lease Cycles'!$AY$27/12,IF(DO$6&gt;='Lease Cycles'!$AV$27,'Lease Cycles'!$C$27*'Lease Cycles'!$AW$27/12,IF(DO$6&gt;='Lease Cycles'!$AT$27,'Lease Cycles'!$C$27*'Lease Cycles'!$AU$27/12,'Lease Cycles'!$C$27*INDEX('Lease Cycles'!$CB$27:$CH$27,1,DO333)*(1+INDEX('Lease Cycles'!$CI$27:$CO$27,1,DO333))^INT(INT(DO334/12)/INDEX('Lease Cycles'!$CP$27:$CV$27,1,DO333))/12)))),'Lease Cycles'!$C$27*INDEX('Lease Cycles'!$CB$27:$CH$27,1,DO333)*(1+INDEX('Lease Cycles'!$CI$27:$CO$27,1,DO333))^INT(INT(DO334/12)/INDEX('Lease Cycles'!$CP$27:$CV$27,1,DO333))/12),IF(INDEX('Lease Cycles'!$EF$27:$EL$27,1,DO333)=1,IF(AND('Lease Cycles'!$AZ$27&gt;=INDEX('Lease Cycles'!$BG$27:$BM$27,1,DO333),'Lease Cycles'!$AZ$27&lt;=DO$6),'Lease Cycles'!$C$27*'Lease Cycles'!$BA$27/12,IF(AND('Lease Cycles'!$AX$27&gt;=INDEX('Lease Cycles'!$BG$27:$BM$27,1,DO333),'Lease Cycles'!$AX$27&lt;=DO$6),'Lease Cycles'!$C$27*'Lease Cycles'!$AY$27/12,IF(AND('Lease Cycles'!$AV$27&gt;=INDEX('Lease Cycles'!$BG$27:$BM$27,1,DO333),'Lease Cycles'!$AV$27&lt;=DO$6),'Lease Cycles'!$C$27*'Lease Cycles'!$AW$27/12,IF(AND('Lease Cycles'!$AT$27&gt;=INDEX('Lease Cycles'!$BG$27:$BM$27,1,DO333),'Lease Cycles'!$AT$27&lt;=DO$6),'Lease Cycles'!$C$27*'Lease Cycles'!$AU$27/12,'Lease Cycles'!$C$27*INDEX('Lease Cycles'!$CB$27:$CH$27,1,DO333)*(1+INDEX('Lease Cycles'!$CI$27:$CO$27,1,DO333))^INT(INT(DO334/12)/INDEX('Lease Cycles'!$CP$27:$CV$27,1,DO333))/12)))),'Lease Cycles'!$C$27*INDEX('Lease Cycles'!$CB$27:$CH$27,1,DO333)*(1+INDEX('Lease Cycles'!$CI$27:$CO$27,1,DO333))^INT(INT(DO334/12)/INDEX('Lease Cycles'!$CP$27:$CV$27,1,DO333))/12))),IF('Lease Cycles'!$N$27=1,'Lease Cycles'!$C$27*'Lease Cycles'!$E$27*INDEX('Lease Cycles'!$HE$27:$HK$27,1,DO333)*(1+INDEX('Lease Cycles'!$GQ$27:$GW$27,1,DO333))^INT(INT((DO$6-INDEX('Lease Cycles'!$GJ$27:$GP$27,1,DO333))/12)/INDEX('Lease Cycles'!$GX$27:$HD$27,1,DO333))/12,0)))</f>
        <v>0</v>
      </c>
      <c r="DP336" s="28">
        <f>IF(DP333=0,IF('Lease Cycles'!$F$27&gt;0,'Lease Cycles'!$C$27*'Lease Cycles'!$E$27/12,0),IF(DP335=1,IF('Lease Cycles'!$AT$27&gt;=9999,'Lease Cycles'!$C$27*INDEX('Lease Cycles'!$CB$27:$CH$27,1,DP333)*(1+INDEX('Lease Cycles'!$CI$27:$CO$27,1,DP333))^INT(INT(DP334/12)/INDEX('Lease Cycles'!$CP$27:$CV$27,1,DP333))/12,IF(DP333=1,IF(DP334&gt;=INDEX('Lease Cycles'!$DK$27:$DQ$27,1,DP333),IF(DP$6&gt;='Lease Cycles'!$AZ$27,'Lease Cycles'!$C$27*'Lease Cycles'!$BA$27/12,IF(DP$6&gt;='Lease Cycles'!$AX$27,'Lease Cycles'!$C$27*'Lease Cycles'!$AY$27/12,IF(DP$6&gt;='Lease Cycles'!$AV$27,'Lease Cycles'!$C$27*'Lease Cycles'!$AW$27/12,IF(DP$6&gt;='Lease Cycles'!$AT$27,'Lease Cycles'!$C$27*'Lease Cycles'!$AU$27/12,'Lease Cycles'!$C$27*INDEX('Lease Cycles'!$CB$27:$CH$27,1,DP333)*(1+INDEX('Lease Cycles'!$CI$27:$CO$27,1,DP333))^INT(INT(DP334/12)/INDEX('Lease Cycles'!$CP$27:$CV$27,1,DP333))/12)))),'Lease Cycles'!$C$27*INDEX('Lease Cycles'!$CB$27:$CH$27,1,DP333)*(1+INDEX('Lease Cycles'!$CI$27:$CO$27,1,DP333))^INT(INT(DP334/12)/INDEX('Lease Cycles'!$CP$27:$CV$27,1,DP333))/12),IF(INDEX('Lease Cycles'!$EF$27:$EL$27,1,DP333)=1,IF(AND('Lease Cycles'!$AZ$27&gt;=INDEX('Lease Cycles'!$BG$27:$BM$27,1,DP333),'Lease Cycles'!$AZ$27&lt;=DP$6),'Lease Cycles'!$C$27*'Lease Cycles'!$BA$27/12,IF(AND('Lease Cycles'!$AX$27&gt;=INDEX('Lease Cycles'!$BG$27:$BM$27,1,DP333),'Lease Cycles'!$AX$27&lt;=DP$6),'Lease Cycles'!$C$27*'Lease Cycles'!$AY$27/12,IF(AND('Lease Cycles'!$AV$27&gt;=INDEX('Lease Cycles'!$BG$27:$BM$27,1,DP333),'Lease Cycles'!$AV$27&lt;=DP$6),'Lease Cycles'!$C$27*'Lease Cycles'!$AW$27/12,IF(AND('Lease Cycles'!$AT$27&gt;=INDEX('Lease Cycles'!$BG$27:$BM$27,1,DP333),'Lease Cycles'!$AT$27&lt;=DP$6),'Lease Cycles'!$C$27*'Lease Cycles'!$AU$27/12,'Lease Cycles'!$C$27*INDEX('Lease Cycles'!$CB$27:$CH$27,1,DP333)*(1+INDEX('Lease Cycles'!$CI$27:$CO$27,1,DP333))^INT(INT(DP334/12)/INDEX('Lease Cycles'!$CP$27:$CV$27,1,DP333))/12)))),'Lease Cycles'!$C$27*INDEX('Lease Cycles'!$CB$27:$CH$27,1,DP333)*(1+INDEX('Lease Cycles'!$CI$27:$CO$27,1,DP333))^INT(INT(DP334/12)/INDEX('Lease Cycles'!$CP$27:$CV$27,1,DP333))/12))),IF('Lease Cycles'!$N$27=1,'Lease Cycles'!$C$27*'Lease Cycles'!$E$27*INDEX('Lease Cycles'!$HE$27:$HK$27,1,DP333)*(1+INDEX('Lease Cycles'!$GQ$27:$GW$27,1,DP333))^INT(INT((DP$6-INDEX('Lease Cycles'!$GJ$27:$GP$27,1,DP333))/12)/INDEX('Lease Cycles'!$GX$27:$HD$27,1,DP333))/12,0)))</f>
        <v>0</v>
      </c>
      <c r="DQ336" s="28">
        <f>IF(DQ333=0,IF('Lease Cycles'!$F$27&gt;0,'Lease Cycles'!$C$27*'Lease Cycles'!$E$27/12,0),IF(DQ335=1,IF('Lease Cycles'!$AT$27&gt;=9999,'Lease Cycles'!$C$27*INDEX('Lease Cycles'!$CB$27:$CH$27,1,DQ333)*(1+INDEX('Lease Cycles'!$CI$27:$CO$27,1,DQ333))^INT(INT(DQ334/12)/INDEX('Lease Cycles'!$CP$27:$CV$27,1,DQ333))/12,IF(DQ333=1,IF(DQ334&gt;=INDEX('Lease Cycles'!$DK$27:$DQ$27,1,DQ333),IF(DQ$6&gt;='Lease Cycles'!$AZ$27,'Lease Cycles'!$C$27*'Lease Cycles'!$BA$27/12,IF(DQ$6&gt;='Lease Cycles'!$AX$27,'Lease Cycles'!$C$27*'Lease Cycles'!$AY$27/12,IF(DQ$6&gt;='Lease Cycles'!$AV$27,'Lease Cycles'!$C$27*'Lease Cycles'!$AW$27/12,IF(DQ$6&gt;='Lease Cycles'!$AT$27,'Lease Cycles'!$C$27*'Lease Cycles'!$AU$27/12,'Lease Cycles'!$C$27*INDEX('Lease Cycles'!$CB$27:$CH$27,1,DQ333)*(1+INDEX('Lease Cycles'!$CI$27:$CO$27,1,DQ333))^INT(INT(DQ334/12)/INDEX('Lease Cycles'!$CP$27:$CV$27,1,DQ333))/12)))),'Lease Cycles'!$C$27*INDEX('Lease Cycles'!$CB$27:$CH$27,1,DQ333)*(1+INDEX('Lease Cycles'!$CI$27:$CO$27,1,DQ333))^INT(INT(DQ334/12)/INDEX('Lease Cycles'!$CP$27:$CV$27,1,DQ333))/12),IF(INDEX('Lease Cycles'!$EF$27:$EL$27,1,DQ333)=1,IF(AND('Lease Cycles'!$AZ$27&gt;=INDEX('Lease Cycles'!$BG$27:$BM$27,1,DQ333),'Lease Cycles'!$AZ$27&lt;=DQ$6),'Lease Cycles'!$C$27*'Lease Cycles'!$BA$27/12,IF(AND('Lease Cycles'!$AX$27&gt;=INDEX('Lease Cycles'!$BG$27:$BM$27,1,DQ333),'Lease Cycles'!$AX$27&lt;=DQ$6),'Lease Cycles'!$C$27*'Lease Cycles'!$AY$27/12,IF(AND('Lease Cycles'!$AV$27&gt;=INDEX('Lease Cycles'!$BG$27:$BM$27,1,DQ333),'Lease Cycles'!$AV$27&lt;=DQ$6),'Lease Cycles'!$C$27*'Lease Cycles'!$AW$27/12,IF(AND('Lease Cycles'!$AT$27&gt;=INDEX('Lease Cycles'!$BG$27:$BM$27,1,DQ333),'Lease Cycles'!$AT$27&lt;=DQ$6),'Lease Cycles'!$C$27*'Lease Cycles'!$AU$27/12,'Lease Cycles'!$C$27*INDEX('Lease Cycles'!$CB$27:$CH$27,1,DQ333)*(1+INDEX('Lease Cycles'!$CI$27:$CO$27,1,DQ333))^INT(INT(DQ334/12)/INDEX('Lease Cycles'!$CP$27:$CV$27,1,DQ333))/12)))),'Lease Cycles'!$C$27*INDEX('Lease Cycles'!$CB$27:$CH$27,1,DQ333)*(1+INDEX('Lease Cycles'!$CI$27:$CO$27,1,DQ333))^INT(INT(DQ334/12)/INDEX('Lease Cycles'!$CP$27:$CV$27,1,DQ333))/12))),IF('Lease Cycles'!$N$27=1,'Lease Cycles'!$C$27*'Lease Cycles'!$E$27*INDEX('Lease Cycles'!$HE$27:$HK$27,1,DQ333)*(1+INDEX('Lease Cycles'!$GQ$27:$GW$27,1,DQ333))^INT(INT((DQ$6-INDEX('Lease Cycles'!$GJ$27:$GP$27,1,DQ333))/12)/INDEX('Lease Cycles'!$GX$27:$HD$27,1,DQ333))/12,0)))</f>
        <v>0</v>
      </c>
      <c r="DR336" s="28">
        <f>IF(DR333=0,IF('Lease Cycles'!$F$27&gt;0,'Lease Cycles'!$C$27*'Lease Cycles'!$E$27/12,0),IF(DR335=1,IF('Lease Cycles'!$AT$27&gt;=9999,'Lease Cycles'!$C$27*INDEX('Lease Cycles'!$CB$27:$CH$27,1,DR333)*(1+INDEX('Lease Cycles'!$CI$27:$CO$27,1,DR333))^INT(INT(DR334/12)/INDEX('Lease Cycles'!$CP$27:$CV$27,1,DR333))/12,IF(DR333=1,IF(DR334&gt;=INDEX('Lease Cycles'!$DK$27:$DQ$27,1,DR333),IF(DR$6&gt;='Lease Cycles'!$AZ$27,'Lease Cycles'!$C$27*'Lease Cycles'!$BA$27/12,IF(DR$6&gt;='Lease Cycles'!$AX$27,'Lease Cycles'!$C$27*'Lease Cycles'!$AY$27/12,IF(DR$6&gt;='Lease Cycles'!$AV$27,'Lease Cycles'!$C$27*'Lease Cycles'!$AW$27/12,IF(DR$6&gt;='Lease Cycles'!$AT$27,'Lease Cycles'!$C$27*'Lease Cycles'!$AU$27/12,'Lease Cycles'!$C$27*INDEX('Lease Cycles'!$CB$27:$CH$27,1,DR333)*(1+INDEX('Lease Cycles'!$CI$27:$CO$27,1,DR333))^INT(INT(DR334/12)/INDEX('Lease Cycles'!$CP$27:$CV$27,1,DR333))/12)))),'Lease Cycles'!$C$27*INDEX('Lease Cycles'!$CB$27:$CH$27,1,DR333)*(1+INDEX('Lease Cycles'!$CI$27:$CO$27,1,DR333))^INT(INT(DR334/12)/INDEX('Lease Cycles'!$CP$27:$CV$27,1,DR333))/12),IF(INDEX('Lease Cycles'!$EF$27:$EL$27,1,DR333)=1,IF(AND('Lease Cycles'!$AZ$27&gt;=INDEX('Lease Cycles'!$BG$27:$BM$27,1,DR333),'Lease Cycles'!$AZ$27&lt;=DR$6),'Lease Cycles'!$C$27*'Lease Cycles'!$BA$27/12,IF(AND('Lease Cycles'!$AX$27&gt;=INDEX('Lease Cycles'!$BG$27:$BM$27,1,DR333),'Lease Cycles'!$AX$27&lt;=DR$6),'Lease Cycles'!$C$27*'Lease Cycles'!$AY$27/12,IF(AND('Lease Cycles'!$AV$27&gt;=INDEX('Lease Cycles'!$BG$27:$BM$27,1,DR333),'Lease Cycles'!$AV$27&lt;=DR$6),'Lease Cycles'!$C$27*'Lease Cycles'!$AW$27/12,IF(AND('Lease Cycles'!$AT$27&gt;=INDEX('Lease Cycles'!$BG$27:$BM$27,1,DR333),'Lease Cycles'!$AT$27&lt;=DR$6),'Lease Cycles'!$C$27*'Lease Cycles'!$AU$27/12,'Lease Cycles'!$C$27*INDEX('Lease Cycles'!$CB$27:$CH$27,1,DR333)*(1+INDEX('Lease Cycles'!$CI$27:$CO$27,1,DR333))^INT(INT(DR334/12)/INDEX('Lease Cycles'!$CP$27:$CV$27,1,DR333))/12)))),'Lease Cycles'!$C$27*INDEX('Lease Cycles'!$CB$27:$CH$27,1,DR333)*(1+INDEX('Lease Cycles'!$CI$27:$CO$27,1,DR333))^INT(INT(DR334/12)/INDEX('Lease Cycles'!$CP$27:$CV$27,1,DR333))/12))),IF('Lease Cycles'!$N$27=1,'Lease Cycles'!$C$27*'Lease Cycles'!$E$27*INDEX('Lease Cycles'!$HE$27:$HK$27,1,DR333)*(1+INDEX('Lease Cycles'!$GQ$27:$GW$27,1,DR333))^INT(INT((DR$6-INDEX('Lease Cycles'!$GJ$27:$GP$27,1,DR333))/12)/INDEX('Lease Cycles'!$GX$27:$HD$27,1,DR333))/12,0)))</f>
        <v>0</v>
      </c>
      <c r="DS336" s="28">
        <f>IF(DS333=0,IF('Lease Cycles'!$F$27&gt;0,'Lease Cycles'!$C$27*'Lease Cycles'!$E$27/12,0),IF(DS335=1,IF('Lease Cycles'!$AT$27&gt;=9999,'Lease Cycles'!$C$27*INDEX('Lease Cycles'!$CB$27:$CH$27,1,DS333)*(1+INDEX('Lease Cycles'!$CI$27:$CO$27,1,DS333))^INT(INT(DS334/12)/INDEX('Lease Cycles'!$CP$27:$CV$27,1,DS333))/12,IF(DS333=1,IF(DS334&gt;=INDEX('Lease Cycles'!$DK$27:$DQ$27,1,DS333),IF(DS$6&gt;='Lease Cycles'!$AZ$27,'Lease Cycles'!$C$27*'Lease Cycles'!$BA$27/12,IF(DS$6&gt;='Lease Cycles'!$AX$27,'Lease Cycles'!$C$27*'Lease Cycles'!$AY$27/12,IF(DS$6&gt;='Lease Cycles'!$AV$27,'Lease Cycles'!$C$27*'Lease Cycles'!$AW$27/12,IF(DS$6&gt;='Lease Cycles'!$AT$27,'Lease Cycles'!$C$27*'Lease Cycles'!$AU$27/12,'Lease Cycles'!$C$27*INDEX('Lease Cycles'!$CB$27:$CH$27,1,DS333)*(1+INDEX('Lease Cycles'!$CI$27:$CO$27,1,DS333))^INT(INT(DS334/12)/INDEX('Lease Cycles'!$CP$27:$CV$27,1,DS333))/12)))),'Lease Cycles'!$C$27*INDEX('Lease Cycles'!$CB$27:$CH$27,1,DS333)*(1+INDEX('Lease Cycles'!$CI$27:$CO$27,1,DS333))^INT(INT(DS334/12)/INDEX('Lease Cycles'!$CP$27:$CV$27,1,DS333))/12),IF(INDEX('Lease Cycles'!$EF$27:$EL$27,1,DS333)=1,IF(AND('Lease Cycles'!$AZ$27&gt;=INDEX('Lease Cycles'!$BG$27:$BM$27,1,DS333),'Lease Cycles'!$AZ$27&lt;=DS$6),'Lease Cycles'!$C$27*'Lease Cycles'!$BA$27/12,IF(AND('Lease Cycles'!$AX$27&gt;=INDEX('Lease Cycles'!$BG$27:$BM$27,1,DS333),'Lease Cycles'!$AX$27&lt;=DS$6),'Lease Cycles'!$C$27*'Lease Cycles'!$AY$27/12,IF(AND('Lease Cycles'!$AV$27&gt;=INDEX('Lease Cycles'!$BG$27:$BM$27,1,DS333),'Lease Cycles'!$AV$27&lt;=DS$6),'Lease Cycles'!$C$27*'Lease Cycles'!$AW$27/12,IF(AND('Lease Cycles'!$AT$27&gt;=INDEX('Lease Cycles'!$BG$27:$BM$27,1,DS333),'Lease Cycles'!$AT$27&lt;=DS$6),'Lease Cycles'!$C$27*'Lease Cycles'!$AU$27/12,'Lease Cycles'!$C$27*INDEX('Lease Cycles'!$CB$27:$CH$27,1,DS333)*(1+INDEX('Lease Cycles'!$CI$27:$CO$27,1,DS333))^INT(INT(DS334/12)/INDEX('Lease Cycles'!$CP$27:$CV$27,1,DS333))/12)))),'Lease Cycles'!$C$27*INDEX('Lease Cycles'!$CB$27:$CH$27,1,DS333)*(1+INDEX('Lease Cycles'!$CI$27:$CO$27,1,DS333))^INT(INT(DS334/12)/INDEX('Lease Cycles'!$CP$27:$CV$27,1,DS333))/12))),IF('Lease Cycles'!$N$27=1,'Lease Cycles'!$C$27*'Lease Cycles'!$E$27*INDEX('Lease Cycles'!$HE$27:$HK$27,1,DS333)*(1+INDEX('Lease Cycles'!$GQ$27:$GW$27,1,DS333))^INT(INT((DS$6-INDEX('Lease Cycles'!$GJ$27:$GP$27,1,DS333))/12)/INDEX('Lease Cycles'!$GX$27:$HD$27,1,DS333))/12,0)))</f>
        <v>0</v>
      </c>
      <c r="DT336" s="28">
        <f>IF(DT333=0,IF('Lease Cycles'!$F$27&gt;0,'Lease Cycles'!$C$27*'Lease Cycles'!$E$27/12,0),IF(DT335=1,IF('Lease Cycles'!$AT$27&gt;=9999,'Lease Cycles'!$C$27*INDEX('Lease Cycles'!$CB$27:$CH$27,1,DT333)*(1+INDEX('Lease Cycles'!$CI$27:$CO$27,1,DT333))^INT(INT(DT334/12)/INDEX('Lease Cycles'!$CP$27:$CV$27,1,DT333))/12,IF(DT333=1,IF(DT334&gt;=INDEX('Lease Cycles'!$DK$27:$DQ$27,1,DT333),IF(DT$6&gt;='Lease Cycles'!$AZ$27,'Lease Cycles'!$C$27*'Lease Cycles'!$BA$27/12,IF(DT$6&gt;='Lease Cycles'!$AX$27,'Lease Cycles'!$C$27*'Lease Cycles'!$AY$27/12,IF(DT$6&gt;='Lease Cycles'!$AV$27,'Lease Cycles'!$C$27*'Lease Cycles'!$AW$27/12,IF(DT$6&gt;='Lease Cycles'!$AT$27,'Lease Cycles'!$C$27*'Lease Cycles'!$AU$27/12,'Lease Cycles'!$C$27*INDEX('Lease Cycles'!$CB$27:$CH$27,1,DT333)*(1+INDEX('Lease Cycles'!$CI$27:$CO$27,1,DT333))^INT(INT(DT334/12)/INDEX('Lease Cycles'!$CP$27:$CV$27,1,DT333))/12)))),'Lease Cycles'!$C$27*INDEX('Lease Cycles'!$CB$27:$CH$27,1,DT333)*(1+INDEX('Lease Cycles'!$CI$27:$CO$27,1,DT333))^INT(INT(DT334/12)/INDEX('Lease Cycles'!$CP$27:$CV$27,1,DT333))/12),IF(INDEX('Lease Cycles'!$EF$27:$EL$27,1,DT333)=1,IF(AND('Lease Cycles'!$AZ$27&gt;=INDEX('Lease Cycles'!$BG$27:$BM$27,1,DT333),'Lease Cycles'!$AZ$27&lt;=DT$6),'Lease Cycles'!$C$27*'Lease Cycles'!$BA$27/12,IF(AND('Lease Cycles'!$AX$27&gt;=INDEX('Lease Cycles'!$BG$27:$BM$27,1,DT333),'Lease Cycles'!$AX$27&lt;=DT$6),'Lease Cycles'!$C$27*'Lease Cycles'!$AY$27/12,IF(AND('Lease Cycles'!$AV$27&gt;=INDEX('Lease Cycles'!$BG$27:$BM$27,1,DT333),'Lease Cycles'!$AV$27&lt;=DT$6),'Lease Cycles'!$C$27*'Lease Cycles'!$AW$27/12,IF(AND('Lease Cycles'!$AT$27&gt;=INDEX('Lease Cycles'!$BG$27:$BM$27,1,DT333),'Lease Cycles'!$AT$27&lt;=DT$6),'Lease Cycles'!$C$27*'Lease Cycles'!$AU$27/12,'Lease Cycles'!$C$27*INDEX('Lease Cycles'!$CB$27:$CH$27,1,DT333)*(1+INDEX('Lease Cycles'!$CI$27:$CO$27,1,DT333))^INT(INT(DT334/12)/INDEX('Lease Cycles'!$CP$27:$CV$27,1,DT333))/12)))),'Lease Cycles'!$C$27*INDEX('Lease Cycles'!$CB$27:$CH$27,1,DT333)*(1+INDEX('Lease Cycles'!$CI$27:$CO$27,1,DT333))^INT(INT(DT334/12)/INDEX('Lease Cycles'!$CP$27:$CV$27,1,DT333))/12))),IF('Lease Cycles'!$N$27=1,'Lease Cycles'!$C$27*'Lease Cycles'!$E$27*INDEX('Lease Cycles'!$HE$27:$HK$27,1,DT333)*(1+INDEX('Lease Cycles'!$GQ$27:$GW$27,1,DT333))^INT(INT((DT$6-INDEX('Lease Cycles'!$GJ$27:$GP$27,1,DT333))/12)/INDEX('Lease Cycles'!$GX$27:$HD$27,1,DT333))/12,0)))</f>
        <v>0</v>
      </c>
      <c r="DU336" s="28">
        <f>IF(DU333=0,IF('Lease Cycles'!$F$27&gt;0,'Lease Cycles'!$C$27*'Lease Cycles'!$E$27/12,0),IF(DU335=1,IF('Lease Cycles'!$AT$27&gt;=9999,'Lease Cycles'!$C$27*INDEX('Lease Cycles'!$CB$27:$CH$27,1,DU333)*(1+INDEX('Lease Cycles'!$CI$27:$CO$27,1,DU333))^INT(INT(DU334/12)/INDEX('Lease Cycles'!$CP$27:$CV$27,1,DU333))/12,IF(DU333=1,IF(DU334&gt;=INDEX('Lease Cycles'!$DK$27:$DQ$27,1,DU333),IF(DU$6&gt;='Lease Cycles'!$AZ$27,'Lease Cycles'!$C$27*'Lease Cycles'!$BA$27/12,IF(DU$6&gt;='Lease Cycles'!$AX$27,'Lease Cycles'!$C$27*'Lease Cycles'!$AY$27/12,IF(DU$6&gt;='Lease Cycles'!$AV$27,'Lease Cycles'!$C$27*'Lease Cycles'!$AW$27/12,IF(DU$6&gt;='Lease Cycles'!$AT$27,'Lease Cycles'!$C$27*'Lease Cycles'!$AU$27/12,'Lease Cycles'!$C$27*INDEX('Lease Cycles'!$CB$27:$CH$27,1,DU333)*(1+INDEX('Lease Cycles'!$CI$27:$CO$27,1,DU333))^INT(INT(DU334/12)/INDEX('Lease Cycles'!$CP$27:$CV$27,1,DU333))/12)))),'Lease Cycles'!$C$27*INDEX('Lease Cycles'!$CB$27:$CH$27,1,DU333)*(1+INDEX('Lease Cycles'!$CI$27:$CO$27,1,DU333))^INT(INT(DU334/12)/INDEX('Lease Cycles'!$CP$27:$CV$27,1,DU333))/12),IF(INDEX('Lease Cycles'!$EF$27:$EL$27,1,DU333)=1,IF(AND('Lease Cycles'!$AZ$27&gt;=INDEX('Lease Cycles'!$BG$27:$BM$27,1,DU333),'Lease Cycles'!$AZ$27&lt;=DU$6),'Lease Cycles'!$C$27*'Lease Cycles'!$BA$27/12,IF(AND('Lease Cycles'!$AX$27&gt;=INDEX('Lease Cycles'!$BG$27:$BM$27,1,DU333),'Lease Cycles'!$AX$27&lt;=DU$6),'Lease Cycles'!$C$27*'Lease Cycles'!$AY$27/12,IF(AND('Lease Cycles'!$AV$27&gt;=INDEX('Lease Cycles'!$BG$27:$BM$27,1,DU333),'Lease Cycles'!$AV$27&lt;=DU$6),'Lease Cycles'!$C$27*'Lease Cycles'!$AW$27/12,IF(AND('Lease Cycles'!$AT$27&gt;=INDEX('Lease Cycles'!$BG$27:$BM$27,1,DU333),'Lease Cycles'!$AT$27&lt;=DU$6),'Lease Cycles'!$C$27*'Lease Cycles'!$AU$27/12,'Lease Cycles'!$C$27*INDEX('Lease Cycles'!$CB$27:$CH$27,1,DU333)*(1+INDEX('Lease Cycles'!$CI$27:$CO$27,1,DU333))^INT(INT(DU334/12)/INDEX('Lease Cycles'!$CP$27:$CV$27,1,DU333))/12)))),'Lease Cycles'!$C$27*INDEX('Lease Cycles'!$CB$27:$CH$27,1,DU333)*(1+INDEX('Lease Cycles'!$CI$27:$CO$27,1,DU333))^INT(INT(DU334/12)/INDEX('Lease Cycles'!$CP$27:$CV$27,1,DU333))/12))),IF('Lease Cycles'!$N$27=1,'Lease Cycles'!$C$27*'Lease Cycles'!$E$27*INDEX('Lease Cycles'!$HE$27:$HK$27,1,DU333)*(1+INDEX('Lease Cycles'!$GQ$27:$GW$27,1,DU333))^INT(INT((DU$6-INDEX('Lease Cycles'!$GJ$27:$GP$27,1,DU333))/12)/INDEX('Lease Cycles'!$GX$27:$HD$27,1,DU333))/12,0)))</f>
        <v>0</v>
      </c>
      <c r="DV336" s="28">
        <f>IF(DV333=0,IF('Lease Cycles'!$F$27&gt;0,'Lease Cycles'!$C$27*'Lease Cycles'!$E$27/12,0),IF(DV335=1,IF('Lease Cycles'!$AT$27&gt;=9999,'Lease Cycles'!$C$27*INDEX('Lease Cycles'!$CB$27:$CH$27,1,DV333)*(1+INDEX('Lease Cycles'!$CI$27:$CO$27,1,DV333))^INT(INT(DV334/12)/INDEX('Lease Cycles'!$CP$27:$CV$27,1,DV333))/12,IF(DV333=1,IF(DV334&gt;=INDEX('Lease Cycles'!$DK$27:$DQ$27,1,DV333),IF(DV$6&gt;='Lease Cycles'!$AZ$27,'Lease Cycles'!$C$27*'Lease Cycles'!$BA$27/12,IF(DV$6&gt;='Lease Cycles'!$AX$27,'Lease Cycles'!$C$27*'Lease Cycles'!$AY$27/12,IF(DV$6&gt;='Lease Cycles'!$AV$27,'Lease Cycles'!$C$27*'Lease Cycles'!$AW$27/12,IF(DV$6&gt;='Lease Cycles'!$AT$27,'Lease Cycles'!$C$27*'Lease Cycles'!$AU$27/12,'Lease Cycles'!$C$27*INDEX('Lease Cycles'!$CB$27:$CH$27,1,DV333)*(1+INDEX('Lease Cycles'!$CI$27:$CO$27,1,DV333))^INT(INT(DV334/12)/INDEX('Lease Cycles'!$CP$27:$CV$27,1,DV333))/12)))),'Lease Cycles'!$C$27*INDEX('Lease Cycles'!$CB$27:$CH$27,1,DV333)*(1+INDEX('Lease Cycles'!$CI$27:$CO$27,1,DV333))^INT(INT(DV334/12)/INDEX('Lease Cycles'!$CP$27:$CV$27,1,DV333))/12),IF(INDEX('Lease Cycles'!$EF$27:$EL$27,1,DV333)=1,IF(AND('Lease Cycles'!$AZ$27&gt;=INDEX('Lease Cycles'!$BG$27:$BM$27,1,DV333),'Lease Cycles'!$AZ$27&lt;=DV$6),'Lease Cycles'!$C$27*'Lease Cycles'!$BA$27/12,IF(AND('Lease Cycles'!$AX$27&gt;=INDEX('Lease Cycles'!$BG$27:$BM$27,1,DV333),'Lease Cycles'!$AX$27&lt;=DV$6),'Lease Cycles'!$C$27*'Lease Cycles'!$AY$27/12,IF(AND('Lease Cycles'!$AV$27&gt;=INDEX('Lease Cycles'!$BG$27:$BM$27,1,DV333),'Lease Cycles'!$AV$27&lt;=DV$6),'Lease Cycles'!$C$27*'Lease Cycles'!$AW$27/12,IF(AND('Lease Cycles'!$AT$27&gt;=INDEX('Lease Cycles'!$BG$27:$BM$27,1,DV333),'Lease Cycles'!$AT$27&lt;=DV$6),'Lease Cycles'!$C$27*'Lease Cycles'!$AU$27/12,'Lease Cycles'!$C$27*INDEX('Lease Cycles'!$CB$27:$CH$27,1,DV333)*(1+INDEX('Lease Cycles'!$CI$27:$CO$27,1,DV333))^INT(INT(DV334/12)/INDEX('Lease Cycles'!$CP$27:$CV$27,1,DV333))/12)))),'Lease Cycles'!$C$27*INDEX('Lease Cycles'!$CB$27:$CH$27,1,DV333)*(1+INDEX('Lease Cycles'!$CI$27:$CO$27,1,DV333))^INT(INT(DV334/12)/INDEX('Lease Cycles'!$CP$27:$CV$27,1,DV333))/12))),IF('Lease Cycles'!$N$27=1,'Lease Cycles'!$C$27*'Lease Cycles'!$E$27*INDEX('Lease Cycles'!$HE$27:$HK$27,1,DV333)*(1+INDEX('Lease Cycles'!$GQ$27:$GW$27,1,DV333))^INT(INT((DV$6-INDEX('Lease Cycles'!$GJ$27:$GP$27,1,DV333))/12)/INDEX('Lease Cycles'!$GX$27:$HD$27,1,DV333))/12,0)))</f>
        <v>0</v>
      </c>
      <c r="DW336" s="28">
        <f>IF(DW333=0,IF('Lease Cycles'!$F$27&gt;0,'Lease Cycles'!$C$27*'Lease Cycles'!$E$27/12,0),IF(DW335=1,IF('Lease Cycles'!$AT$27&gt;=9999,'Lease Cycles'!$C$27*INDEX('Lease Cycles'!$CB$27:$CH$27,1,DW333)*(1+INDEX('Lease Cycles'!$CI$27:$CO$27,1,DW333))^INT(INT(DW334/12)/INDEX('Lease Cycles'!$CP$27:$CV$27,1,DW333))/12,IF(DW333=1,IF(DW334&gt;=INDEX('Lease Cycles'!$DK$27:$DQ$27,1,DW333),IF(DW$6&gt;='Lease Cycles'!$AZ$27,'Lease Cycles'!$C$27*'Lease Cycles'!$BA$27/12,IF(DW$6&gt;='Lease Cycles'!$AX$27,'Lease Cycles'!$C$27*'Lease Cycles'!$AY$27/12,IF(DW$6&gt;='Lease Cycles'!$AV$27,'Lease Cycles'!$C$27*'Lease Cycles'!$AW$27/12,IF(DW$6&gt;='Lease Cycles'!$AT$27,'Lease Cycles'!$C$27*'Lease Cycles'!$AU$27/12,'Lease Cycles'!$C$27*INDEX('Lease Cycles'!$CB$27:$CH$27,1,DW333)*(1+INDEX('Lease Cycles'!$CI$27:$CO$27,1,DW333))^INT(INT(DW334/12)/INDEX('Lease Cycles'!$CP$27:$CV$27,1,DW333))/12)))),'Lease Cycles'!$C$27*INDEX('Lease Cycles'!$CB$27:$CH$27,1,DW333)*(1+INDEX('Lease Cycles'!$CI$27:$CO$27,1,DW333))^INT(INT(DW334/12)/INDEX('Lease Cycles'!$CP$27:$CV$27,1,DW333))/12),IF(INDEX('Lease Cycles'!$EF$27:$EL$27,1,DW333)=1,IF(AND('Lease Cycles'!$AZ$27&gt;=INDEX('Lease Cycles'!$BG$27:$BM$27,1,DW333),'Lease Cycles'!$AZ$27&lt;=DW$6),'Lease Cycles'!$C$27*'Lease Cycles'!$BA$27/12,IF(AND('Lease Cycles'!$AX$27&gt;=INDEX('Lease Cycles'!$BG$27:$BM$27,1,DW333),'Lease Cycles'!$AX$27&lt;=DW$6),'Lease Cycles'!$C$27*'Lease Cycles'!$AY$27/12,IF(AND('Lease Cycles'!$AV$27&gt;=INDEX('Lease Cycles'!$BG$27:$BM$27,1,DW333),'Lease Cycles'!$AV$27&lt;=DW$6),'Lease Cycles'!$C$27*'Lease Cycles'!$AW$27/12,IF(AND('Lease Cycles'!$AT$27&gt;=INDEX('Lease Cycles'!$BG$27:$BM$27,1,DW333),'Lease Cycles'!$AT$27&lt;=DW$6),'Lease Cycles'!$C$27*'Lease Cycles'!$AU$27/12,'Lease Cycles'!$C$27*INDEX('Lease Cycles'!$CB$27:$CH$27,1,DW333)*(1+INDEX('Lease Cycles'!$CI$27:$CO$27,1,DW333))^INT(INT(DW334/12)/INDEX('Lease Cycles'!$CP$27:$CV$27,1,DW333))/12)))),'Lease Cycles'!$C$27*INDEX('Lease Cycles'!$CB$27:$CH$27,1,DW333)*(1+INDEX('Lease Cycles'!$CI$27:$CO$27,1,DW333))^INT(INT(DW334/12)/INDEX('Lease Cycles'!$CP$27:$CV$27,1,DW333))/12))),IF('Lease Cycles'!$N$27=1,'Lease Cycles'!$C$27*'Lease Cycles'!$E$27*INDEX('Lease Cycles'!$HE$27:$HK$27,1,DW333)*(1+INDEX('Lease Cycles'!$GQ$27:$GW$27,1,DW333))^INT(INT((DW$6-INDEX('Lease Cycles'!$GJ$27:$GP$27,1,DW333))/12)/INDEX('Lease Cycles'!$GX$27:$HD$27,1,DW333))/12,0)))</f>
        <v>0</v>
      </c>
      <c r="DX336" s="28">
        <f>IF(DX333=0,IF('Lease Cycles'!$F$27&gt;0,'Lease Cycles'!$C$27*'Lease Cycles'!$E$27/12,0),IF(DX335=1,IF('Lease Cycles'!$AT$27&gt;=9999,'Lease Cycles'!$C$27*INDEX('Lease Cycles'!$CB$27:$CH$27,1,DX333)*(1+INDEX('Lease Cycles'!$CI$27:$CO$27,1,DX333))^INT(INT(DX334/12)/INDEX('Lease Cycles'!$CP$27:$CV$27,1,DX333))/12,IF(DX333=1,IF(DX334&gt;=INDEX('Lease Cycles'!$DK$27:$DQ$27,1,DX333),IF(DX$6&gt;='Lease Cycles'!$AZ$27,'Lease Cycles'!$C$27*'Lease Cycles'!$BA$27/12,IF(DX$6&gt;='Lease Cycles'!$AX$27,'Lease Cycles'!$C$27*'Lease Cycles'!$AY$27/12,IF(DX$6&gt;='Lease Cycles'!$AV$27,'Lease Cycles'!$C$27*'Lease Cycles'!$AW$27/12,IF(DX$6&gt;='Lease Cycles'!$AT$27,'Lease Cycles'!$C$27*'Lease Cycles'!$AU$27/12,'Lease Cycles'!$C$27*INDEX('Lease Cycles'!$CB$27:$CH$27,1,DX333)*(1+INDEX('Lease Cycles'!$CI$27:$CO$27,1,DX333))^INT(INT(DX334/12)/INDEX('Lease Cycles'!$CP$27:$CV$27,1,DX333))/12)))),'Lease Cycles'!$C$27*INDEX('Lease Cycles'!$CB$27:$CH$27,1,DX333)*(1+INDEX('Lease Cycles'!$CI$27:$CO$27,1,DX333))^INT(INT(DX334/12)/INDEX('Lease Cycles'!$CP$27:$CV$27,1,DX333))/12),IF(INDEX('Lease Cycles'!$EF$27:$EL$27,1,DX333)=1,IF(AND('Lease Cycles'!$AZ$27&gt;=INDEX('Lease Cycles'!$BG$27:$BM$27,1,DX333),'Lease Cycles'!$AZ$27&lt;=DX$6),'Lease Cycles'!$C$27*'Lease Cycles'!$BA$27/12,IF(AND('Lease Cycles'!$AX$27&gt;=INDEX('Lease Cycles'!$BG$27:$BM$27,1,DX333),'Lease Cycles'!$AX$27&lt;=DX$6),'Lease Cycles'!$C$27*'Lease Cycles'!$AY$27/12,IF(AND('Lease Cycles'!$AV$27&gt;=INDEX('Lease Cycles'!$BG$27:$BM$27,1,DX333),'Lease Cycles'!$AV$27&lt;=DX$6),'Lease Cycles'!$C$27*'Lease Cycles'!$AW$27/12,IF(AND('Lease Cycles'!$AT$27&gt;=INDEX('Lease Cycles'!$BG$27:$BM$27,1,DX333),'Lease Cycles'!$AT$27&lt;=DX$6),'Lease Cycles'!$C$27*'Lease Cycles'!$AU$27/12,'Lease Cycles'!$C$27*INDEX('Lease Cycles'!$CB$27:$CH$27,1,DX333)*(1+INDEX('Lease Cycles'!$CI$27:$CO$27,1,DX333))^INT(INT(DX334/12)/INDEX('Lease Cycles'!$CP$27:$CV$27,1,DX333))/12)))),'Lease Cycles'!$C$27*INDEX('Lease Cycles'!$CB$27:$CH$27,1,DX333)*(1+INDEX('Lease Cycles'!$CI$27:$CO$27,1,DX333))^INT(INT(DX334/12)/INDEX('Lease Cycles'!$CP$27:$CV$27,1,DX333))/12))),IF('Lease Cycles'!$N$27=1,'Lease Cycles'!$C$27*'Lease Cycles'!$E$27*INDEX('Lease Cycles'!$HE$27:$HK$27,1,DX333)*(1+INDEX('Lease Cycles'!$GQ$27:$GW$27,1,DX333))^INT(INT((DX$6-INDEX('Lease Cycles'!$GJ$27:$GP$27,1,DX333))/12)/INDEX('Lease Cycles'!$GX$27:$HD$27,1,DX333))/12,0)))</f>
        <v>0</v>
      </c>
      <c r="DY336" s="28">
        <f>IF(DY333=0,IF('Lease Cycles'!$F$27&gt;0,'Lease Cycles'!$C$27*'Lease Cycles'!$E$27/12,0),IF(DY335=1,IF('Lease Cycles'!$AT$27&gt;=9999,'Lease Cycles'!$C$27*INDEX('Lease Cycles'!$CB$27:$CH$27,1,DY333)*(1+INDEX('Lease Cycles'!$CI$27:$CO$27,1,DY333))^INT(INT(DY334/12)/INDEX('Lease Cycles'!$CP$27:$CV$27,1,DY333))/12,IF(DY333=1,IF(DY334&gt;=INDEX('Lease Cycles'!$DK$27:$DQ$27,1,DY333),IF(DY$6&gt;='Lease Cycles'!$AZ$27,'Lease Cycles'!$C$27*'Lease Cycles'!$BA$27/12,IF(DY$6&gt;='Lease Cycles'!$AX$27,'Lease Cycles'!$C$27*'Lease Cycles'!$AY$27/12,IF(DY$6&gt;='Lease Cycles'!$AV$27,'Lease Cycles'!$C$27*'Lease Cycles'!$AW$27/12,IF(DY$6&gt;='Lease Cycles'!$AT$27,'Lease Cycles'!$C$27*'Lease Cycles'!$AU$27/12,'Lease Cycles'!$C$27*INDEX('Lease Cycles'!$CB$27:$CH$27,1,DY333)*(1+INDEX('Lease Cycles'!$CI$27:$CO$27,1,DY333))^INT(INT(DY334/12)/INDEX('Lease Cycles'!$CP$27:$CV$27,1,DY333))/12)))),'Lease Cycles'!$C$27*INDEX('Lease Cycles'!$CB$27:$CH$27,1,DY333)*(1+INDEX('Lease Cycles'!$CI$27:$CO$27,1,DY333))^INT(INT(DY334/12)/INDEX('Lease Cycles'!$CP$27:$CV$27,1,DY333))/12),IF(INDEX('Lease Cycles'!$EF$27:$EL$27,1,DY333)=1,IF(AND('Lease Cycles'!$AZ$27&gt;=INDEX('Lease Cycles'!$BG$27:$BM$27,1,DY333),'Lease Cycles'!$AZ$27&lt;=DY$6),'Lease Cycles'!$C$27*'Lease Cycles'!$BA$27/12,IF(AND('Lease Cycles'!$AX$27&gt;=INDEX('Lease Cycles'!$BG$27:$BM$27,1,DY333),'Lease Cycles'!$AX$27&lt;=DY$6),'Lease Cycles'!$C$27*'Lease Cycles'!$AY$27/12,IF(AND('Lease Cycles'!$AV$27&gt;=INDEX('Lease Cycles'!$BG$27:$BM$27,1,DY333),'Lease Cycles'!$AV$27&lt;=DY$6),'Lease Cycles'!$C$27*'Lease Cycles'!$AW$27/12,IF(AND('Lease Cycles'!$AT$27&gt;=INDEX('Lease Cycles'!$BG$27:$BM$27,1,DY333),'Lease Cycles'!$AT$27&lt;=DY$6),'Lease Cycles'!$C$27*'Lease Cycles'!$AU$27/12,'Lease Cycles'!$C$27*INDEX('Lease Cycles'!$CB$27:$CH$27,1,DY333)*(1+INDEX('Lease Cycles'!$CI$27:$CO$27,1,DY333))^INT(INT(DY334/12)/INDEX('Lease Cycles'!$CP$27:$CV$27,1,DY333))/12)))),'Lease Cycles'!$C$27*INDEX('Lease Cycles'!$CB$27:$CH$27,1,DY333)*(1+INDEX('Lease Cycles'!$CI$27:$CO$27,1,DY333))^INT(INT(DY334/12)/INDEX('Lease Cycles'!$CP$27:$CV$27,1,DY333))/12))),IF('Lease Cycles'!$N$27=1,'Lease Cycles'!$C$27*'Lease Cycles'!$E$27*INDEX('Lease Cycles'!$HE$27:$HK$27,1,DY333)*(1+INDEX('Lease Cycles'!$GQ$27:$GW$27,1,DY333))^INT(INT((DY$6-INDEX('Lease Cycles'!$GJ$27:$GP$27,1,DY333))/12)/INDEX('Lease Cycles'!$GX$27:$HD$27,1,DY333))/12,0)))</f>
        <v>0</v>
      </c>
      <c r="DZ336" s="28">
        <f>IF(DZ333=0,IF('Lease Cycles'!$F$27&gt;0,'Lease Cycles'!$C$27*'Lease Cycles'!$E$27/12,0),IF(DZ335=1,IF('Lease Cycles'!$AT$27&gt;=9999,'Lease Cycles'!$C$27*INDEX('Lease Cycles'!$CB$27:$CH$27,1,DZ333)*(1+INDEX('Lease Cycles'!$CI$27:$CO$27,1,DZ333))^INT(INT(DZ334/12)/INDEX('Lease Cycles'!$CP$27:$CV$27,1,DZ333))/12,IF(DZ333=1,IF(DZ334&gt;=INDEX('Lease Cycles'!$DK$27:$DQ$27,1,DZ333),IF(DZ$6&gt;='Lease Cycles'!$AZ$27,'Lease Cycles'!$C$27*'Lease Cycles'!$BA$27/12,IF(DZ$6&gt;='Lease Cycles'!$AX$27,'Lease Cycles'!$C$27*'Lease Cycles'!$AY$27/12,IF(DZ$6&gt;='Lease Cycles'!$AV$27,'Lease Cycles'!$C$27*'Lease Cycles'!$AW$27/12,IF(DZ$6&gt;='Lease Cycles'!$AT$27,'Lease Cycles'!$C$27*'Lease Cycles'!$AU$27/12,'Lease Cycles'!$C$27*INDEX('Lease Cycles'!$CB$27:$CH$27,1,DZ333)*(1+INDEX('Lease Cycles'!$CI$27:$CO$27,1,DZ333))^INT(INT(DZ334/12)/INDEX('Lease Cycles'!$CP$27:$CV$27,1,DZ333))/12)))),'Lease Cycles'!$C$27*INDEX('Lease Cycles'!$CB$27:$CH$27,1,DZ333)*(1+INDEX('Lease Cycles'!$CI$27:$CO$27,1,DZ333))^INT(INT(DZ334/12)/INDEX('Lease Cycles'!$CP$27:$CV$27,1,DZ333))/12),IF(INDEX('Lease Cycles'!$EF$27:$EL$27,1,DZ333)=1,IF(AND('Lease Cycles'!$AZ$27&gt;=INDEX('Lease Cycles'!$BG$27:$BM$27,1,DZ333),'Lease Cycles'!$AZ$27&lt;=DZ$6),'Lease Cycles'!$C$27*'Lease Cycles'!$BA$27/12,IF(AND('Lease Cycles'!$AX$27&gt;=INDEX('Lease Cycles'!$BG$27:$BM$27,1,DZ333),'Lease Cycles'!$AX$27&lt;=DZ$6),'Lease Cycles'!$C$27*'Lease Cycles'!$AY$27/12,IF(AND('Lease Cycles'!$AV$27&gt;=INDEX('Lease Cycles'!$BG$27:$BM$27,1,DZ333),'Lease Cycles'!$AV$27&lt;=DZ$6),'Lease Cycles'!$C$27*'Lease Cycles'!$AW$27/12,IF(AND('Lease Cycles'!$AT$27&gt;=INDEX('Lease Cycles'!$BG$27:$BM$27,1,DZ333),'Lease Cycles'!$AT$27&lt;=DZ$6),'Lease Cycles'!$C$27*'Lease Cycles'!$AU$27/12,'Lease Cycles'!$C$27*INDEX('Lease Cycles'!$CB$27:$CH$27,1,DZ333)*(1+INDEX('Lease Cycles'!$CI$27:$CO$27,1,DZ333))^INT(INT(DZ334/12)/INDEX('Lease Cycles'!$CP$27:$CV$27,1,DZ333))/12)))),'Lease Cycles'!$C$27*INDEX('Lease Cycles'!$CB$27:$CH$27,1,DZ333)*(1+INDEX('Lease Cycles'!$CI$27:$CO$27,1,DZ333))^INT(INT(DZ334/12)/INDEX('Lease Cycles'!$CP$27:$CV$27,1,DZ333))/12))),IF('Lease Cycles'!$N$27=1,'Lease Cycles'!$C$27*'Lease Cycles'!$E$27*INDEX('Lease Cycles'!$HE$27:$HK$27,1,DZ333)*(1+INDEX('Lease Cycles'!$GQ$27:$GW$27,1,DZ333))^INT(INT((DZ$6-INDEX('Lease Cycles'!$GJ$27:$GP$27,1,DZ333))/12)/INDEX('Lease Cycles'!$GX$27:$HD$27,1,DZ333))/12,0)))</f>
        <v>0</v>
      </c>
      <c r="EA336" s="28">
        <f>IF(EA333=0,IF('Lease Cycles'!$F$27&gt;0,'Lease Cycles'!$C$27*'Lease Cycles'!$E$27/12,0),IF(EA335=1,IF('Lease Cycles'!$AT$27&gt;=9999,'Lease Cycles'!$C$27*INDEX('Lease Cycles'!$CB$27:$CH$27,1,EA333)*(1+INDEX('Lease Cycles'!$CI$27:$CO$27,1,EA333))^INT(INT(EA334/12)/INDEX('Lease Cycles'!$CP$27:$CV$27,1,EA333))/12,IF(EA333=1,IF(EA334&gt;=INDEX('Lease Cycles'!$DK$27:$DQ$27,1,EA333),IF(EA$6&gt;='Lease Cycles'!$AZ$27,'Lease Cycles'!$C$27*'Lease Cycles'!$BA$27/12,IF(EA$6&gt;='Lease Cycles'!$AX$27,'Lease Cycles'!$C$27*'Lease Cycles'!$AY$27/12,IF(EA$6&gt;='Lease Cycles'!$AV$27,'Lease Cycles'!$C$27*'Lease Cycles'!$AW$27/12,IF(EA$6&gt;='Lease Cycles'!$AT$27,'Lease Cycles'!$C$27*'Lease Cycles'!$AU$27/12,'Lease Cycles'!$C$27*INDEX('Lease Cycles'!$CB$27:$CH$27,1,EA333)*(1+INDEX('Lease Cycles'!$CI$27:$CO$27,1,EA333))^INT(INT(EA334/12)/INDEX('Lease Cycles'!$CP$27:$CV$27,1,EA333))/12)))),'Lease Cycles'!$C$27*INDEX('Lease Cycles'!$CB$27:$CH$27,1,EA333)*(1+INDEX('Lease Cycles'!$CI$27:$CO$27,1,EA333))^INT(INT(EA334/12)/INDEX('Lease Cycles'!$CP$27:$CV$27,1,EA333))/12),IF(INDEX('Lease Cycles'!$EF$27:$EL$27,1,EA333)=1,IF(AND('Lease Cycles'!$AZ$27&gt;=INDEX('Lease Cycles'!$BG$27:$BM$27,1,EA333),'Lease Cycles'!$AZ$27&lt;=EA$6),'Lease Cycles'!$C$27*'Lease Cycles'!$BA$27/12,IF(AND('Lease Cycles'!$AX$27&gt;=INDEX('Lease Cycles'!$BG$27:$BM$27,1,EA333),'Lease Cycles'!$AX$27&lt;=EA$6),'Lease Cycles'!$C$27*'Lease Cycles'!$AY$27/12,IF(AND('Lease Cycles'!$AV$27&gt;=INDEX('Lease Cycles'!$BG$27:$BM$27,1,EA333),'Lease Cycles'!$AV$27&lt;=EA$6),'Lease Cycles'!$C$27*'Lease Cycles'!$AW$27/12,IF(AND('Lease Cycles'!$AT$27&gt;=INDEX('Lease Cycles'!$BG$27:$BM$27,1,EA333),'Lease Cycles'!$AT$27&lt;=EA$6),'Lease Cycles'!$C$27*'Lease Cycles'!$AU$27/12,'Lease Cycles'!$C$27*INDEX('Lease Cycles'!$CB$27:$CH$27,1,EA333)*(1+INDEX('Lease Cycles'!$CI$27:$CO$27,1,EA333))^INT(INT(EA334/12)/INDEX('Lease Cycles'!$CP$27:$CV$27,1,EA333))/12)))),'Lease Cycles'!$C$27*INDEX('Lease Cycles'!$CB$27:$CH$27,1,EA333)*(1+INDEX('Lease Cycles'!$CI$27:$CO$27,1,EA333))^INT(INT(EA334/12)/INDEX('Lease Cycles'!$CP$27:$CV$27,1,EA333))/12))),IF('Lease Cycles'!$N$27=1,'Lease Cycles'!$C$27*'Lease Cycles'!$E$27*INDEX('Lease Cycles'!$HE$27:$HK$27,1,EA333)*(1+INDEX('Lease Cycles'!$GQ$27:$GW$27,1,EA333))^INT(INT((EA$6-INDEX('Lease Cycles'!$GJ$27:$GP$27,1,EA333))/12)/INDEX('Lease Cycles'!$GX$27:$HD$27,1,EA333))/12,0)))</f>
        <v>0</v>
      </c>
      <c r="EB336" s="28">
        <f>IF(EB333=0,IF('Lease Cycles'!$F$27&gt;0,'Lease Cycles'!$C$27*'Lease Cycles'!$E$27/12,0),IF(EB335=1,IF('Lease Cycles'!$AT$27&gt;=9999,'Lease Cycles'!$C$27*INDEX('Lease Cycles'!$CB$27:$CH$27,1,EB333)*(1+INDEX('Lease Cycles'!$CI$27:$CO$27,1,EB333))^INT(INT(EB334/12)/INDEX('Lease Cycles'!$CP$27:$CV$27,1,EB333))/12,IF(EB333=1,IF(EB334&gt;=INDEX('Lease Cycles'!$DK$27:$DQ$27,1,EB333),IF(EB$6&gt;='Lease Cycles'!$AZ$27,'Lease Cycles'!$C$27*'Lease Cycles'!$BA$27/12,IF(EB$6&gt;='Lease Cycles'!$AX$27,'Lease Cycles'!$C$27*'Lease Cycles'!$AY$27/12,IF(EB$6&gt;='Lease Cycles'!$AV$27,'Lease Cycles'!$C$27*'Lease Cycles'!$AW$27/12,IF(EB$6&gt;='Lease Cycles'!$AT$27,'Lease Cycles'!$C$27*'Lease Cycles'!$AU$27/12,'Lease Cycles'!$C$27*INDEX('Lease Cycles'!$CB$27:$CH$27,1,EB333)*(1+INDEX('Lease Cycles'!$CI$27:$CO$27,1,EB333))^INT(INT(EB334/12)/INDEX('Lease Cycles'!$CP$27:$CV$27,1,EB333))/12)))),'Lease Cycles'!$C$27*INDEX('Lease Cycles'!$CB$27:$CH$27,1,EB333)*(1+INDEX('Lease Cycles'!$CI$27:$CO$27,1,EB333))^INT(INT(EB334/12)/INDEX('Lease Cycles'!$CP$27:$CV$27,1,EB333))/12),IF(INDEX('Lease Cycles'!$EF$27:$EL$27,1,EB333)=1,IF(AND('Lease Cycles'!$AZ$27&gt;=INDEX('Lease Cycles'!$BG$27:$BM$27,1,EB333),'Lease Cycles'!$AZ$27&lt;=EB$6),'Lease Cycles'!$C$27*'Lease Cycles'!$BA$27/12,IF(AND('Lease Cycles'!$AX$27&gt;=INDEX('Lease Cycles'!$BG$27:$BM$27,1,EB333),'Lease Cycles'!$AX$27&lt;=EB$6),'Lease Cycles'!$C$27*'Lease Cycles'!$AY$27/12,IF(AND('Lease Cycles'!$AV$27&gt;=INDEX('Lease Cycles'!$BG$27:$BM$27,1,EB333),'Lease Cycles'!$AV$27&lt;=EB$6),'Lease Cycles'!$C$27*'Lease Cycles'!$AW$27/12,IF(AND('Lease Cycles'!$AT$27&gt;=INDEX('Lease Cycles'!$BG$27:$BM$27,1,EB333),'Lease Cycles'!$AT$27&lt;=EB$6),'Lease Cycles'!$C$27*'Lease Cycles'!$AU$27/12,'Lease Cycles'!$C$27*INDEX('Lease Cycles'!$CB$27:$CH$27,1,EB333)*(1+INDEX('Lease Cycles'!$CI$27:$CO$27,1,EB333))^INT(INT(EB334/12)/INDEX('Lease Cycles'!$CP$27:$CV$27,1,EB333))/12)))),'Lease Cycles'!$C$27*INDEX('Lease Cycles'!$CB$27:$CH$27,1,EB333)*(1+INDEX('Lease Cycles'!$CI$27:$CO$27,1,EB333))^INT(INT(EB334/12)/INDEX('Lease Cycles'!$CP$27:$CV$27,1,EB333))/12))),IF('Lease Cycles'!$N$27=1,'Lease Cycles'!$C$27*'Lease Cycles'!$E$27*INDEX('Lease Cycles'!$HE$27:$HK$27,1,EB333)*(1+INDEX('Lease Cycles'!$GQ$27:$GW$27,1,EB333))^INT(INT((EB$6-INDEX('Lease Cycles'!$GJ$27:$GP$27,1,EB333))/12)/INDEX('Lease Cycles'!$GX$27:$HD$27,1,EB333))/12,0)))</f>
        <v>0</v>
      </c>
      <c r="EC336" s="28">
        <f>IF(EC333=0,IF('Lease Cycles'!$F$27&gt;0,'Lease Cycles'!$C$27*'Lease Cycles'!$E$27/12,0),IF(EC335=1,IF('Lease Cycles'!$AT$27&gt;=9999,'Lease Cycles'!$C$27*INDEX('Lease Cycles'!$CB$27:$CH$27,1,EC333)*(1+INDEX('Lease Cycles'!$CI$27:$CO$27,1,EC333))^INT(INT(EC334/12)/INDEX('Lease Cycles'!$CP$27:$CV$27,1,EC333))/12,IF(EC333=1,IF(EC334&gt;=INDEX('Lease Cycles'!$DK$27:$DQ$27,1,EC333),IF(EC$6&gt;='Lease Cycles'!$AZ$27,'Lease Cycles'!$C$27*'Lease Cycles'!$BA$27/12,IF(EC$6&gt;='Lease Cycles'!$AX$27,'Lease Cycles'!$C$27*'Lease Cycles'!$AY$27/12,IF(EC$6&gt;='Lease Cycles'!$AV$27,'Lease Cycles'!$C$27*'Lease Cycles'!$AW$27/12,IF(EC$6&gt;='Lease Cycles'!$AT$27,'Lease Cycles'!$C$27*'Lease Cycles'!$AU$27/12,'Lease Cycles'!$C$27*INDEX('Lease Cycles'!$CB$27:$CH$27,1,EC333)*(1+INDEX('Lease Cycles'!$CI$27:$CO$27,1,EC333))^INT(INT(EC334/12)/INDEX('Lease Cycles'!$CP$27:$CV$27,1,EC333))/12)))),'Lease Cycles'!$C$27*INDEX('Lease Cycles'!$CB$27:$CH$27,1,EC333)*(1+INDEX('Lease Cycles'!$CI$27:$CO$27,1,EC333))^INT(INT(EC334/12)/INDEX('Lease Cycles'!$CP$27:$CV$27,1,EC333))/12),IF(INDEX('Lease Cycles'!$EF$27:$EL$27,1,EC333)=1,IF(AND('Lease Cycles'!$AZ$27&gt;=INDEX('Lease Cycles'!$BG$27:$BM$27,1,EC333),'Lease Cycles'!$AZ$27&lt;=EC$6),'Lease Cycles'!$C$27*'Lease Cycles'!$BA$27/12,IF(AND('Lease Cycles'!$AX$27&gt;=INDEX('Lease Cycles'!$BG$27:$BM$27,1,EC333),'Lease Cycles'!$AX$27&lt;=EC$6),'Lease Cycles'!$C$27*'Lease Cycles'!$AY$27/12,IF(AND('Lease Cycles'!$AV$27&gt;=INDEX('Lease Cycles'!$BG$27:$BM$27,1,EC333),'Lease Cycles'!$AV$27&lt;=EC$6),'Lease Cycles'!$C$27*'Lease Cycles'!$AW$27/12,IF(AND('Lease Cycles'!$AT$27&gt;=INDEX('Lease Cycles'!$BG$27:$BM$27,1,EC333),'Lease Cycles'!$AT$27&lt;=EC$6),'Lease Cycles'!$C$27*'Lease Cycles'!$AU$27/12,'Lease Cycles'!$C$27*INDEX('Lease Cycles'!$CB$27:$CH$27,1,EC333)*(1+INDEX('Lease Cycles'!$CI$27:$CO$27,1,EC333))^INT(INT(EC334/12)/INDEX('Lease Cycles'!$CP$27:$CV$27,1,EC333))/12)))),'Lease Cycles'!$C$27*INDEX('Lease Cycles'!$CB$27:$CH$27,1,EC333)*(1+INDEX('Lease Cycles'!$CI$27:$CO$27,1,EC333))^INT(INT(EC334/12)/INDEX('Lease Cycles'!$CP$27:$CV$27,1,EC333))/12))),IF('Lease Cycles'!$N$27=1,'Lease Cycles'!$C$27*'Lease Cycles'!$E$27*INDEX('Lease Cycles'!$HE$27:$HK$27,1,EC333)*(1+INDEX('Lease Cycles'!$GQ$27:$GW$27,1,EC333))^INT(INT((EC$6-INDEX('Lease Cycles'!$GJ$27:$GP$27,1,EC333))/12)/INDEX('Lease Cycles'!$GX$27:$HD$27,1,EC333))/12,0)))</f>
        <v>0</v>
      </c>
      <c r="ED336" s="28">
        <f>IF(ED333=0,IF('Lease Cycles'!$F$27&gt;0,'Lease Cycles'!$C$27*'Lease Cycles'!$E$27/12,0),IF(ED335=1,IF('Lease Cycles'!$AT$27&gt;=9999,'Lease Cycles'!$C$27*INDEX('Lease Cycles'!$CB$27:$CH$27,1,ED333)*(1+INDEX('Lease Cycles'!$CI$27:$CO$27,1,ED333))^INT(INT(ED334/12)/INDEX('Lease Cycles'!$CP$27:$CV$27,1,ED333))/12,IF(ED333=1,IF(ED334&gt;=INDEX('Lease Cycles'!$DK$27:$DQ$27,1,ED333),IF(ED$6&gt;='Lease Cycles'!$AZ$27,'Lease Cycles'!$C$27*'Lease Cycles'!$BA$27/12,IF(ED$6&gt;='Lease Cycles'!$AX$27,'Lease Cycles'!$C$27*'Lease Cycles'!$AY$27/12,IF(ED$6&gt;='Lease Cycles'!$AV$27,'Lease Cycles'!$C$27*'Lease Cycles'!$AW$27/12,IF(ED$6&gt;='Lease Cycles'!$AT$27,'Lease Cycles'!$C$27*'Lease Cycles'!$AU$27/12,'Lease Cycles'!$C$27*INDEX('Lease Cycles'!$CB$27:$CH$27,1,ED333)*(1+INDEX('Lease Cycles'!$CI$27:$CO$27,1,ED333))^INT(INT(ED334/12)/INDEX('Lease Cycles'!$CP$27:$CV$27,1,ED333))/12)))),'Lease Cycles'!$C$27*INDEX('Lease Cycles'!$CB$27:$CH$27,1,ED333)*(1+INDEX('Lease Cycles'!$CI$27:$CO$27,1,ED333))^INT(INT(ED334/12)/INDEX('Lease Cycles'!$CP$27:$CV$27,1,ED333))/12),IF(INDEX('Lease Cycles'!$EF$27:$EL$27,1,ED333)=1,IF(AND('Lease Cycles'!$AZ$27&gt;=INDEX('Lease Cycles'!$BG$27:$BM$27,1,ED333),'Lease Cycles'!$AZ$27&lt;=ED$6),'Lease Cycles'!$C$27*'Lease Cycles'!$BA$27/12,IF(AND('Lease Cycles'!$AX$27&gt;=INDEX('Lease Cycles'!$BG$27:$BM$27,1,ED333),'Lease Cycles'!$AX$27&lt;=ED$6),'Lease Cycles'!$C$27*'Lease Cycles'!$AY$27/12,IF(AND('Lease Cycles'!$AV$27&gt;=INDEX('Lease Cycles'!$BG$27:$BM$27,1,ED333),'Lease Cycles'!$AV$27&lt;=ED$6),'Lease Cycles'!$C$27*'Lease Cycles'!$AW$27/12,IF(AND('Lease Cycles'!$AT$27&gt;=INDEX('Lease Cycles'!$BG$27:$BM$27,1,ED333),'Lease Cycles'!$AT$27&lt;=ED$6),'Lease Cycles'!$C$27*'Lease Cycles'!$AU$27/12,'Lease Cycles'!$C$27*INDEX('Lease Cycles'!$CB$27:$CH$27,1,ED333)*(1+INDEX('Lease Cycles'!$CI$27:$CO$27,1,ED333))^INT(INT(ED334/12)/INDEX('Lease Cycles'!$CP$27:$CV$27,1,ED333))/12)))),'Lease Cycles'!$C$27*INDEX('Lease Cycles'!$CB$27:$CH$27,1,ED333)*(1+INDEX('Lease Cycles'!$CI$27:$CO$27,1,ED333))^INT(INT(ED334/12)/INDEX('Lease Cycles'!$CP$27:$CV$27,1,ED333))/12))),IF('Lease Cycles'!$N$27=1,'Lease Cycles'!$C$27*'Lease Cycles'!$E$27*INDEX('Lease Cycles'!$HE$27:$HK$27,1,ED333)*(1+INDEX('Lease Cycles'!$GQ$27:$GW$27,1,ED333))^INT(INT((ED$6-INDEX('Lease Cycles'!$GJ$27:$GP$27,1,ED333))/12)/INDEX('Lease Cycles'!$GX$27:$HD$27,1,ED333))/12,0)))</f>
        <v>0</v>
      </c>
      <c r="EE336" s="28">
        <f>IF(EE333=0,IF('Lease Cycles'!$F$27&gt;0,'Lease Cycles'!$C$27*'Lease Cycles'!$E$27/12,0),IF(EE335=1,IF('Lease Cycles'!$AT$27&gt;=9999,'Lease Cycles'!$C$27*INDEX('Lease Cycles'!$CB$27:$CH$27,1,EE333)*(1+INDEX('Lease Cycles'!$CI$27:$CO$27,1,EE333))^INT(INT(EE334/12)/INDEX('Lease Cycles'!$CP$27:$CV$27,1,EE333))/12,IF(EE333=1,IF(EE334&gt;=INDEX('Lease Cycles'!$DK$27:$DQ$27,1,EE333),IF(EE$6&gt;='Lease Cycles'!$AZ$27,'Lease Cycles'!$C$27*'Lease Cycles'!$BA$27/12,IF(EE$6&gt;='Lease Cycles'!$AX$27,'Lease Cycles'!$C$27*'Lease Cycles'!$AY$27/12,IF(EE$6&gt;='Lease Cycles'!$AV$27,'Lease Cycles'!$C$27*'Lease Cycles'!$AW$27/12,IF(EE$6&gt;='Lease Cycles'!$AT$27,'Lease Cycles'!$C$27*'Lease Cycles'!$AU$27/12,'Lease Cycles'!$C$27*INDEX('Lease Cycles'!$CB$27:$CH$27,1,EE333)*(1+INDEX('Lease Cycles'!$CI$27:$CO$27,1,EE333))^INT(INT(EE334/12)/INDEX('Lease Cycles'!$CP$27:$CV$27,1,EE333))/12)))),'Lease Cycles'!$C$27*INDEX('Lease Cycles'!$CB$27:$CH$27,1,EE333)*(1+INDEX('Lease Cycles'!$CI$27:$CO$27,1,EE333))^INT(INT(EE334/12)/INDEX('Lease Cycles'!$CP$27:$CV$27,1,EE333))/12),IF(INDEX('Lease Cycles'!$EF$27:$EL$27,1,EE333)=1,IF(AND('Lease Cycles'!$AZ$27&gt;=INDEX('Lease Cycles'!$BG$27:$BM$27,1,EE333),'Lease Cycles'!$AZ$27&lt;=EE$6),'Lease Cycles'!$C$27*'Lease Cycles'!$BA$27/12,IF(AND('Lease Cycles'!$AX$27&gt;=INDEX('Lease Cycles'!$BG$27:$BM$27,1,EE333),'Lease Cycles'!$AX$27&lt;=EE$6),'Lease Cycles'!$C$27*'Lease Cycles'!$AY$27/12,IF(AND('Lease Cycles'!$AV$27&gt;=INDEX('Lease Cycles'!$BG$27:$BM$27,1,EE333),'Lease Cycles'!$AV$27&lt;=EE$6),'Lease Cycles'!$C$27*'Lease Cycles'!$AW$27/12,IF(AND('Lease Cycles'!$AT$27&gt;=INDEX('Lease Cycles'!$BG$27:$BM$27,1,EE333),'Lease Cycles'!$AT$27&lt;=EE$6),'Lease Cycles'!$C$27*'Lease Cycles'!$AU$27/12,'Lease Cycles'!$C$27*INDEX('Lease Cycles'!$CB$27:$CH$27,1,EE333)*(1+INDEX('Lease Cycles'!$CI$27:$CO$27,1,EE333))^INT(INT(EE334/12)/INDEX('Lease Cycles'!$CP$27:$CV$27,1,EE333))/12)))),'Lease Cycles'!$C$27*INDEX('Lease Cycles'!$CB$27:$CH$27,1,EE333)*(1+INDEX('Lease Cycles'!$CI$27:$CO$27,1,EE333))^INT(INT(EE334/12)/INDEX('Lease Cycles'!$CP$27:$CV$27,1,EE333))/12))),IF('Lease Cycles'!$N$27=1,'Lease Cycles'!$C$27*'Lease Cycles'!$E$27*INDEX('Lease Cycles'!$HE$27:$HK$27,1,EE333)*(1+INDEX('Lease Cycles'!$GQ$27:$GW$27,1,EE333))^INT(INT((EE$6-INDEX('Lease Cycles'!$GJ$27:$GP$27,1,EE333))/12)/INDEX('Lease Cycles'!$GX$27:$HD$27,1,EE333))/12,0)))</f>
        <v>0</v>
      </c>
      <c r="EF336" s="28">
        <f>IF(EF333=0,IF('Lease Cycles'!$F$27&gt;0,'Lease Cycles'!$C$27*'Lease Cycles'!$E$27/12,0),IF(EF335=1,IF('Lease Cycles'!$AT$27&gt;=9999,'Lease Cycles'!$C$27*INDEX('Lease Cycles'!$CB$27:$CH$27,1,EF333)*(1+INDEX('Lease Cycles'!$CI$27:$CO$27,1,EF333))^INT(INT(EF334/12)/INDEX('Lease Cycles'!$CP$27:$CV$27,1,EF333))/12,IF(EF333=1,IF(EF334&gt;=INDEX('Lease Cycles'!$DK$27:$DQ$27,1,EF333),IF(EF$6&gt;='Lease Cycles'!$AZ$27,'Lease Cycles'!$C$27*'Lease Cycles'!$BA$27/12,IF(EF$6&gt;='Lease Cycles'!$AX$27,'Lease Cycles'!$C$27*'Lease Cycles'!$AY$27/12,IF(EF$6&gt;='Lease Cycles'!$AV$27,'Lease Cycles'!$C$27*'Lease Cycles'!$AW$27/12,IF(EF$6&gt;='Lease Cycles'!$AT$27,'Lease Cycles'!$C$27*'Lease Cycles'!$AU$27/12,'Lease Cycles'!$C$27*INDEX('Lease Cycles'!$CB$27:$CH$27,1,EF333)*(1+INDEX('Lease Cycles'!$CI$27:$CO$27,1,EF333))^INT(INT(EF334/12)/INDEX('Lease Cycles'!$CP$27:$CV$27,1,EF333))/12)))),'Lease Cycles'!$C$27*INDEX('Lease Cycles'!$CB$27:$CH$27,1,EF333)*(1+INDEX('Lease Cycles'!$CI$27:$CO$27,1,EF333))^INT(INT(EF334/12)/INDEX('Lease Cycles'!$CP$27:$CV$27,1,EF333))/12),IF(INDEX('Lease Cycles'!$EF$27:$EL$27,1,EF333)=1,IF(AND('Lease Cycles'!$AZ$27&gt;=INDEX('Lease Cycles'!$BG$27:$BM$27,1,EF333),'Lease Cycles'!$AZ$27&lt;=EF$6),'Lease Cycles'!$C$27*'Lease Cycles'!$BA$27/12,IF(AND('Lease Cycles'!$AX$27&gt;=INDEX('Lease Cycles'!$BG$27:$BM$27,1,EF333),'Lease Cycles'!$AX$27&lt;=EF$6),'Lease Cycles'!$C$27*'Lease Cycles'!$AY$27/12,IF(AND('Lease Cycles'!$AV$27&gt;=INDEX('Lease Cycles'!$BG$27:$BM$27,1,EF333),'Lease Cycles'!$AV$27&lt;=EF$6),'Lease Cycles'!$C$27*'Lease Cycles'!$AW$27/12,IF(AND('Lease Cycles'!$AT$27&gt;=INDEX('Lease Cycles'!$BG$27:$BM$27,1,EF333),'Lease Cycles'!$AT$27&lt;=EF$6),'Lease Cycles'!$C$27*'Lease Cycles'!$AU$27/12,'Lease Cycles'!$C$27*INDEX('Lease Cycles'!$CB$27:$CH$27,1,EF333)*(1+INDEX('Lease Cycles'!$CI$27:$CO$27,1,EF333))^INT(INT(EF334/12)/INDEX('Lease Cycles'!$CP$27:$CV$27,1,EF333))/12)))),'Lease Cycles'!$C$27*INDEX('Lease Cycles'!$CB$27:$CH$27,1,EF333)*(1+INDEX('Lease Cycles'!$CI$27:$CO$27,1,EF333))^INT(INT(EF334/12)/INDEX('Lease Cycles'!$CP$27:$CV$27,1,EF333))/12))),IF('Lease Cycles'!$N$27=1,'Lease Cycles'!$C$27*'Lease Cycles'!$E$27*INDEX('Lease Cycles'!$HE$27:$HK$27,1,EF333)*(1+INDEX('Lease Cycles'!$GQ$27:$GW$27,1,EF333))^INT(INT((EF$6-INDEX('Lease Cycles'!$GJ$27:$GP$27,1,EF333))/12)/INDEX('Lease Cycles'!$GX$27:$HD$27,1,EF333))/12,0)))</f>
        <v>0</v>
      </c>
      <c r="EG336" s="28">
        <f>IF(EG333=0,IF('Lease Cycles'!$F$27&gt;0,'Lease Cycles'!$C$27*'Lease Cycles'!$E$27/12,0),IF(EG335=1,IF('Lease Cycles'!$AT$27&gt;=9999,'Lease Cycles'!$C$27*INDEX('Lease Cycles'!$CB$27:$CH$27,1,EG333)*(1+INDEX('Lease Cycles'!$CI$27:$CO$27,1,EG333))^INT(INT(EG334/12)/INDEX('Lease Cycles'!$CP$27:$CV$27,1,EG333))/12,IF(EG333=1,IF(EG334&gt;=INDEX('Lease Cycles'!$DK$27:$DQ$27,1,EG333),IF(EG$6&gt;='Lease Cycles'!$AZ$27,'Lease Cycles'!$C$27*'Lease Cycles'!$BA$27/12,IF(EG$6&gt;='Lease Cycles'!$AX$27,'Lease Cycles'!$C$27*'Lease Cycles'!$AY$27/12,IF(EG$6&gt;='Lease Cycles'!$AV$27,'Lease Cycles'!$C$27*'Lease Cycles'!$AW$27/12,IF(EG$6&gt;='Lease Cycles'!$AT$27,'Lease Cycles'!$C$27*'Lease Cycles'!$AU$27/12,'Lease Cycles'!$C$27*INDEX('Lease Cycles'!$CB$27:$CH$27,1,EG333)*(1+INDEX('Lease Cycles'!$CI$27:$CO$27,1,EG333))^INT(INT(EG334/12)/INDEX('Lease Cycles'!$CP$27:$CV$27,1,EG333))/12)))),'Lease Cycles'!$C$27*INDEX('Lease Cycles'!$CB$27:$CH$27,1,EG333)*(1+INDEX('Lease Cycles'!$CI$27:$CO$27,1,EG333))^INT(INT(EG334/12)/INDEX('Lease Cycles'!$CP$27:$CV$27,1,EG333))/12),IF(INDEX('Lease Cycles'!$EF$27:$EL$27,1,EG333)=1,IF(AND('Lease Cycles'!$AZ$27&gt;=INDEX('Lease Cycles'!$BG$27:$BM$27,1,EG333),'Lease Cycles'!$AZ$27&lt;=EG$6),'Lease Cycles'!$C$27*'Lease Cycles'!$BA$27/12,IF(AND('Lease Cycles'!$AX$27&gt;=INDEX('Lease Cycles'!$BG$27:$BM$27,1,EG333),'Lease Cycles'!$AX$27&lt;=EG$6),'Lease Cycles'!$C$27*'Lease Cycles'!$AY$27/12,IF(AND('Lease Cycles'!$AV$27&gt;=INDEX('Lease Cycles'!$BG$27:$BM$27,1,EG333),'Lease Cycles'!$AV$27&lt;=EG$6),'Lease Cycles'!$C$27*'Lease Cycles'!$AW$27/12,IF(AND('Lease Cycles'!$AT$27&gt;=INDEX('Lease Cycles'!$BG$27:$BM$27,1,EG333),'Lease Cycles'!$AT$27&lt;=EG$6),'Lease Cycles'!$C$27*'Lease Cycles'!$AU$27/12,'Lease Cycles'!$C$27*INDEX('Lease Cycles'!$CB$27:$CH$27,1,EG333)*(1+INDEX('Lease Cycles'!$CI$27:$CO$27,1,EG333))^INT(INT(EG334/12)/INDEX('Lease Cycles'!$CP$27:$CV$27,1,EG333))/12)))),'Lease Cycles'!$C$27*INDEX('Lease Cycles'!$CB$27:$CH$27,1,EG333)*(1+INDEX('Lease Cycles'!$CI$27:$CO$27,1,EG333))^INT(INT(EG334/12)/INDEX('Lease Cycles'!$CP$27:$CV$27,1,EG333))/12))),IF('Lease Cycles'!$N$27=1,'Lease Cycles'!$C$27*'Lease Cycles'!$E$27*INDEX('Lease Cycles'!$HE$27:$HK$27,1,EG333)*(1+INDEX('Lease Cycles'!$GQ$27:$GW$27,1,EG333))^INT(INT((EG$6-INDEX('Lease Cycles'!$GJ$27:$GP$27,1,EG333))/12)/INDEX('Lease Cycles'!$GX$27:$HD$27,1,EG333))/12,0)))</f>
        <v>0</v>
      </c>
      <c r="EH336" s="28">
        <f>IF(EH333=0,IF('Lease Cycles'!$F$27&gt;0,'Lease Cycles'!$C$27*'Lease Cycles'!$E$27/12,0),IF(EH335=1,IF('Lease Cycles'!$AT$27&gt;=9999,'Lease Cycles'!$C$27*INDEX('Lease Cycles'!$CB$27:$CH$27,1,EH333)*(1+INDEX('Lease Cycles'!$CI$27:$CO$27,1,EH333))^INT(INT(EH334/12)/INDEX('Lease Cycles'!$CP$27:$CV$27,1,EH333))/12,IF(EH333=1,IF(EH334&gt;=INDEX('Lease Cycles'!$DK$27:$DQ$27,1,EH333),IF(EH$6&gt;='Lease Cycles'!$AZ$27,'Lease Cycles'!$C$27*'Lease Cycles'!$BA$27/12,IF(EH$6&gt;='Lease Cycles'!$AX$27,'Lease Cycles'!$C$27*'Lease Cycles'!$AY$27/12,IF(EH$6&gt;='Lease Cycles'!$AV$27,'Lease Cycles'!$C$27*'Lease Cycles'!$AW$27/12,IF(EH$6&gt;='Lease Cycles'!$AT$27,'Lease Cycles'!$C$27*'Lease Cycles'!$AU$27/12,'Lease Cycles'!$C$27*INDEX('Lease Cycles'!$CB$27:$CH$27,1,EH333)*(1+INDEX('Lease Cycles'!$CI$27:$CO$27,1,EH333))^INT(INT(EH334/12)/INDEX('Lease Cycles'!$CP$27:$CV$27,1,EH333))/12)))),'Lease Cycles'!$C$27*INDEX('Lease Cycles'!$CB$27:$CH$27,1,EH333)*(1+INDEX('Lease Cycles'!$CI$27:$CO$27,1,EH333))^INT(INT(EH334/12)/INDEX('Lease Cycles'!$CP$27:$CV$27,1,EH333))/12),IF(INDEX('Lease Cycles'!$EF$27:$EL$27,1,EH333)=1,IF(AND('Lease Cycles'!$AZ$27&gt;=INDEX('Lease Cycles'!$BG$27:$BM$27,1,EH333),'Lease Cycles'!$AZ$27&lt;=EH$6),'Lease Cycles'!$C$27*'Lease Cycles'!$BA$27/12,IF(AND('Lease Cycles'!$AX$27&gt;=INDEX('Lease Cycles'!$BG$27:$BM$27,1,EH333),'Lease Cycles'!$AX$27&lt;=EH$6),'Lease Cycles'!$C$27*'Lease Cycles'!$AY$27/12,IF(AND('Lease Cycles'!$AV$27&gt;=INDEX('Lease Cycles'!$BG$27:$BM$27,1,EH333),'Lease Cycles'!$AV$27&lt;=EH$6),'Lease Cycles'!$C$27*'Lease Cycles'!$AW$27/12,IF(AND('Lease Cycles'!$AT$27&gt;=INDEX('Lease Cycles'!$BG$27:$BM$27,1,EH333),'Lease Cycles'!$AT$27&lt;=EH$6),'Lease Cycles'!$C$27*'Lease Cycles'!$AU$27/12,'Lease Cycles'!$C$27*INDEX('Lease Cycles'!$CB$27:$CH$27,1,EH333)*(1+INDEX('Lease Cycles'!$CI$27:$CO$27,1,EH333))^INT(INT(EH334/12)/INDEX('Lease Cycles'!$CP$27:$CV$27,1,EH333))/12)))),'Lease Cycles'!$C$27*INDEX('Lease Cycles'!$CB$27:$CH$27,1,EH333)*(1+INDEX('Lease Cycles'!$CI$27:$CO$27,1,EH333))^INT(INT(EH334/12)/INDEX('Lease Cycles'!$CP$27:$CV$27,1,EH333))/12))),IF('Lease Cycles'!$N$27=1,'Lease Cycles'!$C$27*'Lease Cycles'!$E$27*INDEX('Lease Cycles'!$HE$27:$HK$27,1,EH333)*(1+INDEX('Lease Cycles'!$GQ$27:$GW$27,1,EH333))^INT(INT((EH$6-INDEX('Lease Cycles'!$GJ$27:$GP$27,1,EH333))/12)/INDEX('Lease Cycles'!$GX$27:$HD$27,1,EH333))/12,0)))</f>
        <v>0</v>
      </c>
      <c r="EI336" s="28">
        <f>IF(EI333=0,IF('Lease Cycles'!$F$27&gt;0,'Lease Cycles'!$C$27*'Lease Cycles'!$E$27/12,0),IF(EI335=1,IF('Lease Cycles'!$AT$27&gt;=9999,'Lease Cycles'!$C$27*INDEX('Lease Cycles'!$CB$27:$CH$27,1,EI333)*(1+INDEX('Lease Cycles'!$CI$27:$CO$27,1,EI333))^INT(INT(EI334/12)/INDEX('Lease Cycles'!$CP$27:$CV$27,1,EI333))/12,IF(EI333=1,IF(EI334&gt;=INDEX('Lease Cycles'!$DK$27:$DQ$27,1,EI333),IF(EI$6&gt;='Lease Cycles'!$AZ$27,'Lease Cycles'!$C$27*'Lease Cycles'!$BA$27/12,IF(EI$6&gt;='Lease Cycles'!$AX$27,'Lease Cycles'!$C$27*'Lease Cycles'!$AY$27/12,IF(EI$6&gt;='Lease Cycles'!$AV$27,'Lease Cycles'!$C$27*'Lease Cycles'!$AW$27/12,IF(EI$6&gt;='Lease Cycles'!$AT$27,'Lease Cycles'!$C$27*'Lease Cycles'!$AU$27/12,'Lease Cycles'!$C$27*INDEX('Lease Cycles'!$CB$27:$CH$27,1,EI333)*(1+INDEX('Lease Cycles'!$CI$27:$CO$27,1,EI333))^INT(INT(EI334/12)/INDEX('Lease Cycles'!$CP$27:$CV$27,1,EI333))/12)))),'Lease Cycles'!$C$27*INDEX('Lease Cycles'!$CB$27:$CH$27,1,EI333)*(1+INDEX('Lease Cycles'!$CI$27:$CO$27,1,EI333))^INT(INT(EI334/12)/INDEX('Lease Cycles'!$CP$27:$CV$27,1,EI333))/12),IF(INDEX('Lease Cycles'!$EF$27:$EL$27,1,EI333)=1,IF(AND('Lease Cycles'!$AZ$27&gt;=INDEX('Lease Cycles'!$BG$27:$BM$27,1,EI333),'Lease Cycles'!$AZ$27&lt;=EI$6),'Lease Cycles'!$C$27*'Lease Cycles'!$BA$27/12,IF(AND('Lease Cycles'!$AX$27&gt;=INDEX('Lease Cycles'!$BG$27:$BM$27,1,EI333),'Lease Cycles'!$AX$27&lt;=EI$6),'Lease Cycles'!$C$27*'Lease Cycles'!$AY$27/12,IF(AND('Lease Cycles'!$AV$27&gt;=INDEX('Lease Cycles'!$BG$27:$BM$27,1,EI333),'Lease Cycles'!$AV$27&lt;=EI$6),'Lease Cycles'!$C$27*'Lease Cycles'!$AW$27/12,IF(AND('Lease Cycles'!$AT$27&gt;=INDEX('Lease Cycles'!$BG$27:$BM$27,1,EI333),'Lease Cycles'!$AT$27&lt;=EI$6),'Lease Cycles'!$C$27*'Lease Cycles'!$AU$27/12,'Lease Cycles'!$C$27*INDEX('Lease Cycles'!$CB$27:$CH$27,1,EI333)*(1+INDEX('Lease Cycles'!$CI$27:$CO$27,1,EI333))^INT(INT(EI334/12)/INDEX('Lease Cycles'!$CP$27:$CV$27,1,EI333))/12)))),'Lease Cycles'!$C$27*INDEX('Lease Cycles'!$CB$27:$CH$27,1,EI333)*(1+INDEX('Lease Cycles'!$CI$27:$CO$27,1,EI333))^INT(INT(EI334/12)/INDEX('Lease Cycles'!$CP$27:$CV$27,1,EI333))/12))),IF('Lease Cycles'!$N$27=1,'Lease Cycles'!$C$27*'Lease Cycles'!$E$27*INDEX('Lease Cycles'!$HE$27:$HK$27,1,EI333)*(1+INDEX('Lease Cycles'!$GQ$27:$GW$27,1,EI333))^INT(INT((EI$6-INDEX('Lease Cycles'!$GJ$27:$GP$27,1,EI333))/12)/INDEX('Lease Cycles'!$GX$27:$HD$27,1,EI333))/12,0)))</f>
        <v>0</v>
      </c>
      <c r="EJ336" s="28">
        <f>IF(EJ333=0,IF('Lease Cycles'!$F$27&gt;0,'Lease Cycles'!$C$27*'Lease Cycles'!$E$27/12,0),IF(EJ335=1,IF('Lease Cycles'!$AT$27&gt;=9999,'Lease Cycles'!$C$27*INDEX('Lease Cycles'!$CB$27:$CH$27,1,EJ333)*(1+INDEX('Lease Cycles'!$CI$27:$CO$27,1,EJ333))^INT(INT(EJ334/12)/INDEX('Lease Cycles'!$CP$27:$CV$27,1,EJ333))/12,IF(EJ333=1,IF(EJ334&gt;=INDEX('Lease Cycles'!$DK$27:$DQ$27,1,EJ333),IF(EJ$6&gt;='Lease Cycles'!$AZ$27,'Lease Cycles'!$C$27*'Lease Cycles'!$BA$27/12,IF(EJ$6&gt;='Lease Cycles'!$AX$27,'Lease Cycles'!$C$27*'Lease Cycles'!$AY$27/12,IF(EJ$6&gt;='Lease Cycles'!$AV$27,'Lease Cycles'!$C$27*'Lease Cycles'!$AW$27/12,IF(EJ$6&gt;='Lease Cycles'!$AT$27,'Lease Cycles'!$C$27*'Lease Cycles'!$AU$27/12,'Lease Cycles'!$C$27*INDEX('Lease Cycles'!$CB$27:$CH$27,1,EJ333)*(1+INDEX('Lease Cycles'!$CI$27:$CO$27,1,EJ333))^INT(INT(EJ334/12)/INDEX('Lease Cycles'!$CP$27:$CV$27,1,EJ333))/12)))),'Lease Cycles'!$C$27*INDEX('Lease Cycles'!$CB$27:$CH$27,1,EJ333)*(1+INDEX('Lease Cycles'!$CI$27:$CO$27,1,EJ333))^INT(INT(EJ334/12)/INDEX('Lease Cycles'!$CP$27:$CV$27,1,EJ333))/12),IF(INDEX('Lease Cycles'!$EF$27:$EL$27,1,EJ333)=1,IF(AND('Lease Cycles'!$AZ$27&gt;=INDEX('Lease Cycles'!$BG$27:$BM$27,1,EJ333),'Lease Cycles'!$AZ$27&lt;=EJ$6),'Lease Cycles'!$C$27*'Lease Cycles'!$BA$27/12,IF(AND('Lease Cycles'!$AX$27&gt;=INDEX('Lease Cycles'!$BG$27:$BM$27,1,EJ333),'Lease Cycles'!$AX$27&lt;=EJ$6),'Lease Cycles'!$C$27*'Lease Cycles'!$AY$27/12,IF(AND('Lease Cycles'!$AV$27&gt;=INDEX('Lease Cycles'!$BG$27:$BM$27,1,EJ333),'Lease Cycles'!$AV$27&lt;=EJ$6),'Lease Cycles'!$C$27*'Lease Cycles'!$AW$27/12,IF(AND('Lease Cycles'!$AT$27&gt;=INDEX('Lease Cycles'!$BG$27:$BM$27,1,EJ333),'Lease Cycles'!$AT$27&lt;=EJ$6),'Lease Cycles'!$C$27*'Lease Cycles'!$AU$27/12,'Lease Cycles'!$C$27*INDEX('Lease Cycles'!$CB$27:$CH$27,1,EJ333)*(1+INDEX('Lease Cycles'!$CI$27:$CO$27,1,EJ333))^INT(INT(EJ334/12)/INDEX('Lease Cycles'!$CP$27:$CV$27,1,EJ333))/12)))),'Lease Cycles'!$C$27*INDEX('Lease Cycles'!$CB$27:$CH$27,1,EJ333)*(1+INDEX('Lease Cycles'!$CI$27:$CO$27,1,EJ333))^INT(INT(EJ334/12)/INDEX('Lease Cycles'!$CP$27:$CV$27,1,EJ333))/12))),IF('Lease Cycles'!$N$27=1,'Lease Cycles'!$C$27*'Lease Cycles'!$E$27*INDEX('Lease Cycles'!$HE$27:$HK$27,1,EJ333)*(1+INDEX('Lease Cycles'!$GQ$27:$GW$27,1,EJ333))^INT(INT((EJ$6-INDEX('Lease Cycles'!$GJ$27:$GP$27,1,EJ333))/12)/INDEX('Lease Cycles'!$GX$27:$HD$27,1,EJ333))/12,0)))</f>
        <v>0</v>
      </c>
      <c r="EK336" s="28">
        <f>IF(EK333=0,IF('Lease Cycles'!$F$27&gt;0,'Lease Cycles'!$C$27*'Lease Cycles'!$E$27/12,0),IF(EK335=1,IF('Lease Cycles'!$AT$27&gt;=9999,'Lease Cycles'!$C$27*INDEX('Lease Cycles'!$CB$27:$CH$27,1,EK333)*(1+INDEX('Lease Cycles'!$CI$27:$CO$27,1,EK333))^INT(INT(EK334/12)/INDEX('Lease Cycles'!$CP$27:$CV$27,1,EK333))/12,IF(EK333=1,IF(EK334&gt;=INDEX('Lease Cycles'!$DK$27:$DQ$27,1,EK333),IF(EK$6&gt;='Lease Cycles'!$AZ$27,'Lease Cycles'!$C$27*'Lease Cycles'!$BA$27/12,IF(EK$6&gt;='Lease Cycles'!$AX$27,'Lease Cycles'!$C$27*'Lease Cycles'!$AY$27/12,IF(EK$6&gt;='Lease Cycles'!$AV$27,'Lease Cycles'!$C$27*'Lease Cycles'!$AW$27/12,IF(EK$6&gt;='Lease Cycles'!$AT$27,'Lease Cycles'!$C$27*'Lease Cycles'!$AU$27/12,'Lease Cycles'!$C$27*INDEX('Lease Cycles'!$CB$27:$CH$27,1,EK333)*(1+INDEX('Lease Cycles'!$CI$27:$CO$27,1,EK333))^INT(INT(EK334/12)/INDEX('Lease Cycles'!$CP$27:$CV$27,1,EK333))/12)))),'Lease Cycles'!$C$27*INDEX('Lease Cycles'!$CB$27:$CH$27,1,EK333)*(1+INDEX('Lease Cycles'!$CI$27:$CO$27,1,EK333))^INT(INT(EK334/12)/INDEX('Lease Cycles'!$CP$27:$CV$27,1,EK333))/12),IF(INDEX('Lease Cycles'!$EF$27:$EL$27,1,EK333)=1,IF(AND('Lease Cycles'!$AZ$27&gt;=INDEX('Lease Cycles'!$BG$27:$BM$27,1,EK333),'Lease Cycles'!$AZ$27&lt;=EK$6),'Lease Cycles'!$C$27*'Lease Cycles'!$BA$27/12,IF(AND('Lease Cycles'!$AX$27&gt;=INDEX('Lease Cycles'!$BG$27:$BM$27,1,EK333),'Lease Cycles'!$AX$27&lt;=EK$6),'Lease Cycles'!$C$27*'Lease Cycles'!$AY$27/12,IF(AND('Lease Cycles'!$AV$27&gt;=INDEX('Lease Cycles'!$BG$27:$BM$27,1,EK333),'Lease Cycles'!$AV$27&lt;=EK$6),'Lease Cycles'!$C$27*'Lease Cycles'!$AW$27/12,IF(AND('Lease Cycles'!$AT$27&gt;=INDEX('Lease Cycles'!$BG$27:$BM$27,1,EK333),'Lease Cycles'!$AT$27&lt;=EK$6),'Lease Cycles'!$C$27*'Lease Cycles'!$AU$27/12,'Lease Cycles'!$C$27*INDEX('Lease Cycles'!$CB$27:$CH$27,1,EK333)*(1+INDEX('Lease Cycles'!$CI$27:$CO$27,1,EK333))^INT(INT(EK334/12)/INDEX('Lease Cycles'!$CP$27:$CV$27,1,EK333))/12)))),'Lease Cycles'!$C$27*INDEX('Lease Cycles'!$CB$27:$CH$27,1,EK333)*(1+INDEX('Lease Cycles'!$CI$27:$CO$27,1,EK333))^INT(INT(EK334/12)/INDEX('Lease Cycles'!$CP$27:$CV$27,1,EK333))/12))),IF('Lease Cycles'!$N$27=1,'Lease Cycles'!$C$27*'Lease Cycles'!$E$27*INDEX('Lease Cycles'!$HE$27:$HK$27,1,EK333)*(1+INDEX('Lease Cycles'!$GQ$27:$GW$27,1,EK333))^INT(INT((EK$6-INDEX('Lease Cycles'!$GJ$27:$GP$27,1,EK333))/12)/INDEX('Lease Cycles'!$GX$27:$HD$27,1,EK333))/12,0)))</f>
        <v>0</v>
      </c>
      <c r="EL336" s="28">
        <f>IF(EL333=0,IF('Lease Cycles'!$F$27&gt;0,'Lease Cycles'!$C$27*'Lease Cycles'!$E$27/12,0),IF(EL335=1,IF('Lease Cycles'!$AT$27&gt;=9999,'Lease Cycles'!$C$27*INDEX('Lease Cycles'!$CB$27:$CH$27,1,EL333)*(1+INDEX('Lease Cycles'!$CI$27:$CO$27,1,EL333))^INT(INT(EL334/12)/INDEX('Lease Cycles'!$CP$27:$CV$27,1,EL333))/12,IF(EL333=1,IF(EL334&gt;=INDEX('Lease Cycles'!$DK$27:$DQ$27,1,EL333),IF(EL$6&gt;='Lease Cycles'!$AZ$27,'Lease Cycles'!$C$27*'Lease Cycles'!$BA$27/12,IF(EL$6&gt;='Lease Cycles'!$AX$27,'Lease Cycles'!$C$27*'Lease Cycles'!$AY$27/12,IF(EL$6&gt;='Lease Cycles'!$AV$27,'Lease Cycles'!$C$27*'Lease Cycles'!$AW$27/12,IF(EL$6&gt;='Lease Cycles'!$AT$27,'Lease Cycles'!$C$27*'Lease Cycles'!$AU$27/12,'Lease Cycles'!$C$27*INDEX('Lease Cycles'!$CB$27:$CH$27,1,EL333)*(1+INDEX('Lease Cycles'!$CI$27:$CO$27,1,EL333))^INT(INT(EL334/12)/INDEX('Lease Cycles'!$CP$27:$CV$27,1,EL333))/12)))),'Lease Cycles'!$C$27*INDEX('Lease Cycles'!$CB$27:$CH$27,1,EL333)*(1+INDEX('Lease Cycles'!$CI$27:$CO$27,1,EL333))^INT(INT(EL334/12)/INDEX('Lease Cycles'!$CP$27:$CV$27,1,EL333))/12),IF(INDEX('Lease Cycles'!$EF$27:$EL$27,1,EL333)=1,IF(AND('Lease Cycles'!$AZ$27&gt;=INDEX('Lease Cycles'!$BG$27:$BM$27,1,EL333),'Lease Cycles'!$AZ$27&lt;=EL$6),'Lease Cycles'!$C$27*'Lease Cycles'!$BA$27/12,IF(AND('Lease Cycles'!$AX$27&gt;=INDEX('Lease Cycles'!$BG$27:$BM$27,1,EL333),'Lease Cycles'!$AX$27&lt;=EL$6),'Lease Cycles'!$C$27*'Lease Cycles'!$AY$27/12,IF(AND('Lease Cycles'!$AV$27&gt;=INDEX('Lease Cycles'!$BG$27:$BM$27,1,EL333),'Lease Cycles'!$AV$27&lt;=EL$6),'Lease Cycles'!$C$27*'Lease Cycles'!$AW$27/12,IF(AND('Lease Cycles'!$AT$27&gt;=INDEX('Lease Cycles'!$BG$27:$BM$27,1,EL333),'Lease Cycles'!$AT$27&lt;=EL$6),'Lease Cycles'!$C$27*'Lease Cycles'!$AU$27/12,'Lease Cycles'!$C$27*INDEX('Lease Cycles'!$CB$27:$CH$27,1,EL333)*(1+INDEX('Lease Cycles'!$CI$27:$CO$27,1,EL333))^INT(INT(EL334/12)/INDEX('Lease Cycles'!$CP$27:$CV$27,1,EL333))/12)))),'Lease Cycles'!$C$27*INDEX('Lease Cycles'!$CB$27:$CH$27,1,EL333)*(1+INDEX('Lease Cycles'!$CI$27:$CO$27,1,EL333))^INT(INT(EL334/12)/INDEX('Lease Cycles'!$CP$27:$CV$27,1,EL333))/12))),IF('Lease Cycles'!$N$27=1,'Lease Cycles'!$C$27*'Lease Cycles'!$E$27*INDEX('Lease Cycles'!$HE$27:$HK$27,1,EL333)*(1+INDEX('Lease Cycles'!$GQ$27:$GW$27,1,EL333))^INT(INT((EL$6-INDEX('Lease Cycles'!$GJ$27:$GP$27,1,EL333))/12)/INDEX('Lease Cycles'!$GX$27:$HD$27,1,EL333))/12,0)))</f>
        <v>0</v>
      </c>
      <c r="EM336" s="28">
        <f>IF(EM333=0,IF('Lease Cycles'!$F$27&gt;0,'Lease Cycles'!$C$27*'Lease Cycles'!$E$27/12,0),IF(EM335=1,IF('Lease Cycles'!$AT$27&gt;=9999,'Lease Cycles'!$C$27*INDEX('Lease Cycles'!$CB$27:$CH$27,1,EM333)*(1+INDEX('Lease Cycles'!$CI$27:$CO$27,1,EM333))^INT(INT(EM334/12)/INDEX('Lease Cycles'!$CP$27:$CV$27,1,EM333))/12,IF(EM333=1,IF(EM334&gt;=INDEX('Lease Cycles'!$DK$27:$DQ$27,1,EM333),IF(EM$6&gt;='Lease Cycles'!$AZ$27,'Lease Cycles'!$C$27*'Lease Cycles'!$BA$27/12,IF(EM$6&gt;='Lease Cycles'!$AX$27,'Lease Cycles'!$C$27*'Lease Cycles'!$AY$27/12,IF(EM$6&gt;='Lease Cycles'!$AV$27,'Lease Cycles'!$C$27*'Lease Cycles'!$AW$27/12,IF(EM$6&gt;='Lease Cycles'!$AT$27,'Lease Cycles'!$C$27*'Lease Cycles'!$AU$27/12,'Lease Cycles'!$C$27*INDEX('Lease Cycles'!$CB$27:$CH$27,1,EM333)*(1+INDEX('Lease Cycles'!$CI$27:$CO$27,1,EM333))^INT(INT(EM334/12)/INDEX('Lease Cycles'!$CP$27:$CV$27,1,EM333))/12)))),'Lease Cycles'!$C$27*INDEX('Lease Cycles'!$CB$27:$CH$27,1,EM333)*(1+INDEX('Lease Cycles'!$CI$27:$CO$27,1,EM333))^INT(INT(EM334/12)/INDEX('Lease Cycles'!$CP$27:$CV$27,1,EM333))/12),IF(INDEX('Lease Cycles'!$EF$27:$EL$27,1,EM333)=1,IF(AND('Lease Cycles'!$AZ$27&gt;=INDEX('Lease Cycles'!$BG$27:$BM$27,1,EM333),'Lease Cycles'!$AZ$27&lt;=EM$6),'Lease Cycles'!$C$27*'Lease Cycles'!$BA$27/12,IF(AND('Lease Cycles'!$AX$27&gt;=INDEX('Lease Cycles'!$BG$27:$BM$27,1,EM333),'Lease Cycles'!$AX$27&lt;=EM$6),'Lease Cycles'!$C$27*'Lease Cycles'!$AY$27/12,IF(AND('Lease Cycles'!$AV$27&gt;=INDEX('Lease Cycles'!$BG$27:$BM$27,1,EM333),'Lease Cycles'!$AV$27&lt;=EM$6),'Lease Cycles'!$C$27*'Lease Cycles'!$AW$27/12,IF(AND('Lease Cycles'!$AT$27&gt;=INDEX('Lease Cycles'!$BG$27:$BM$27,1,EM333),'Lease Cycles'!$AT$27&lt;=EM$6),'Lease Cycles'!$C$27*'Lease Cycles'!$AU$27/12,'Lease Cycles'!$C$27*INDEX('Lease Cycles'!$CB$27:$CH$27,1,EM333)*(1+INDEX('Lease Cycles'!$CI$27:$CO$27,1,EM333))^INT(INT(EM334/12)/INDEX('Lease Cycles'!$CP$27:$CV$27,1,EM333))/12)))),'Lease Cycles'!$C$27*INDEX('Lease Cycles'!$CB$27:$CH$27,1,EM333)*(1+INDEX('Lease Cycles'!$CI$27:$CO$27,1,EM333))^INT(INT(EM334/12)/INDEX('Lease Cycles'!$CP$27:$CV$27,1,EM333))/12))),IF('Lease Cycles'!$N$27=1,'Lease Cycles'!$C$27*'Lease Cycles'!$E$27*INDEX('Lease Cycles'!$HE$27:$HK$27,1,EM333)*(1+INDEX('Lease Cycles'!$GQ$27:$GW$27,1,EM333))^INT(INT((EM$6-INDEX('Lease Cycles'!$GJ$27:$GP$27,1,EM333))/12)/INDEX('Lease Cycles'!$GX$27:$HD$27,1,EM333))/12,0)))</f>
        <v>0</v>
      </c>
      <c r="EN336" s="28">
        <f>IF(EN333=0,IF('Lease Cycles'!$F$27&gt;0,'Lease Cycles'!$C$27*'Lease Cycles'!$E$27/12,0),IF(EN335=1,IF('Lease Cycles'!$AT$27&gt;=9999,'Lease Cycles'!$C$27*INDEX('Lease Cycles'!$CB$27:$CH$27,1,EN333)*(1+INDEX('Lease Cycles'!$CI$27:$CO$27,1,EN333))^INT(INT(EN334/12)/INDEX('Lease Cycles'!$CP$27:$CV$27,1,EN333))/12,IF(EN333=1,IF(EN334&gt;=INDEX('Lease Cycles'!$DK$27:$DQ$27,1,EN333),IF(EN$6&gt;='Lease Cycles'!$AZ$27,'Lease Cycles'!$C$27*'Lease Cycles'!$BA$27/12,IF(EN$6&gt;='Lease Cycles'!$AX$27,'Lease Cycles'!$C$27*'Lease Cycles'!$AY$27/12,IF(EN$6&gt;='Lease Cycles'!$AV$27,'Lease Cycles'!$C$27*'Lease Cycles'!$AW$27/12,IF(EN$6&gt;='Lease Cycles'!$AT$27,'Lease Cycles'!$C$27*'Lease Cycles'!$AU$27/12,'Lease Cycles'!$C$27*INDEX('Lease Cycles'!$CB$27:$CH$27,1,EN333)*(1+INDEX('Lease Cycles'!$CI$27:$CO$27,1,EN333))^INT(INT(EN334/12)/INDEX('Lease Cycles'!$CP$27:$CV$27,1,EN333))/12)))),'Lease Cycles'!$C$27*INDEX('Lease Cycles'!$CB$27:$CH$27,1,EN333)*(1+INDEX('Lease Cycles'!$CI$27:$CO$27,1,EN333))^INT(INT(EN334/12)/INDEX('Lease Cycles'!$CP$27:$CV$27,1,EN333))/12),IF(INDEX('Lease Cycles'!$EF$27:$EL$27,1,EN333)=1,IF(AND('Lease Cycles'!$AZ$27&gt;=INDEX('Lease Cycles'!$BG$27:$BM$27,1,EN333),'Lease Cycles'!$AZ$27&lt;=EN$6),'Lease Cycles'!$C$27*'Lease Cycles'!$BA$27/12,IF(AND('Lease Cycles'!$AX$27&gt;=INDEX('Lease Cycles'!$BG$27:$BM$27,1,EN333),'Lease Cycles'!$AX$27&lt;=EN$6),'Lease Cycles'!$C$27*'Lease Cycles'!$AY$27/12,IF(AND('Lease Cycles'!$AV$27&gt;=INDEX('Lease Cycles'!$BG$27:$BM$27,1,EN333),'Lease Cycles'!$AV$27&lt;=EN$6),'Lease Cycles'!$C$27*'Lease Cycles'!$AW$27/12,IF(AND('Lease Cycles'!$AT$27&gt;=INDEX('Lease Cycles'!$BG$27:$BM$27,1,EN333),'Lease Cycles'!$AT$27&lt;=EN$6),'Lease Cycles'!$C$27*'Lease Cycles'!$AU$27/12,'Lease Cycles'!$C$27*INDEX('Lease Cycles'!$CB$27:$CH$27,1,EN333)*(1+INDEX('Lease Cycles'!$CI$27:$CO$27,1,EN333))^INT(INT(EN334/12)/INDEX('Lease Cycles'!$CP$27:$CV$27,1,EN333))/12)))),'Lease Cycles'!$C$27*INDEX('Lease Cycles'!$CB$27:$CH$27,1,EN333)*(1+INDEX('Lease Cycles'!$CI$27:$CO$27,1,EN333))^INT(INT(EN334/12)/INDEX('Lease Cycles'!$CP$27:$CV$27,1,EN333))/12))),IF('Lease Cycles'!$N$27=1,'Lease Cycles'!$C$27*'Lease Cycles'!$E$27*INDEX('Lease Cycles'!$HE$27:$HK$27,1,EN333)*(1+INDEX('Lease Cycles'!$GQ$27:$GW$27,1,EN333))^INT(INT((EN$6-INDEX('Lease Cycles'!$GJ$27:$GP$27,1,EN333))/12)/INDEX('Lease Cycles'!$GX$27:$HD$27,1,EN333))/12,0)))</f>
        <v>0</v>
      </c>
      <c r="EO336" s="28">
        <f>IF(EO333=0,IF('Lease Cycles'!$F$27&gt;0,'Lease Cycles'!$C$27*'Lease Cycles'!$E$27/12,0),IF(EO335=1,IF('Lease Cycles'!$AT$27&gt;=9999,'Lease Cycles'!$C$27*INDEX('Lease Cycles'!$CB$27:$CH$27,1,EO333)*(1+INDEX('Lease Cycles'!$CI$27:$CO$27,1,EO333))^INT(INT(EO334/12)/INDEX('Lease Cycles'!$CP$27:$CV$27,1,EO333))/12,IF(EO333=1,IF(EO334&gt;=INDEX('Lease Cycles'!$DK$27:$DQ$27,1,EO333),IF(EO$6&gt;='Lease Cycles'!$AZ$27,'Lease Cycles'!$C$27*'Lease Cycles'!$BA$27/12,IF(EO$6&gt;='Lease Cycles'!$AX$27,'Lease Cycles'!$C$27*'Lease Cycles'!$AY$27/12,IF(EO$6&gt;='Lease Cycles'!$AV$27,'Lease Cycles'!$C$27*'Lease Cycles'!$AW$27/12,IF(EO$6&gt;='Lease Cycles'!$AT$27,'Lease Cycles'!$C$27*'Lease Cycles'!$AU$27/12,'Lease Cycles'!$C$27*INDEX('Lease Cycles'!$CB$27:$CH$27,1,EO333)*(1+INDEX('Lease Cycles'!$CI$27:$CO$27,1,EO333))^INT(INT(EO334/12)/INDEX('Lease Cycles'!$CP$27:$CV$27,1,EO333))/12)))),'Lease Cycles'!$C$27*INDEX('Lease Cycles'!$CB$27:$CH$27,1,EO333)*(1+INDEX('Lease Cycles'!$CI$27:$CO$27,1,EO333))^INT(INT(EO334/12)/INDEX('Lease Cycles'!$CP$27:$CV$27,1,EO333))/12),IF(INDEX('Lease Cycles'!$EF$27:$EL$27,1,EO333)=1,IF(AND('Lease Cycles'!$AZ$27&gt;=INDEX('Lease Cycles'!$BG$27:$BM$27,1,EO333),'Lease Cycles'!$AZ$27&lt;=EO$6),'Lease Cycles'!$C$27*'Lease Cycles'!$BA$27/12,IF(AND('Lease Cycles'!$AX$27&gt;=INDEX('Lease Cycles'!$BG$27:$BM$27,1,EO333),'Lease Cycles'!$AX$27&lt;=EO$6),'Lease Cycles'!$C$27*'Lease Cycles'!$AY$27/12,IF(AND('Lease Cycles'!$AV$27&gt;=INDEX('Lease Cycles'!$BG$27:$BM$27,1,EO333),'Lease Cycles'!$AV$27&lt;=EO$6),'Lease Cycles'!$C$27*'Lease Cycles'!$AW$27/12,IF(AND('Lease Cycles'!$AT$27&gt;=INDEX('Lease Cycles'!$BG$27:$BM$27,1,EO333),'Lease Cycles'!$AT$27&lt;=EO$6),'Lease Cycles'!$C$27*'Lease Cycles'!$AU$27/12,'Lease Cycles'!$C$27*INDEX('Lease Cycles'!$CB$27:$CH$27,1,EO333)*(1+INDEX('Lease Cycles'!$CI$27:$CO$27,1,EO333))^INT(INT(EO334/12)/INDEX('Lease Cycles'!$CP$27:$CV$27,1,EO333))/12)))),'Lease Cycles'!$C$27*INDEX('Lease Cycles'!$CB$27:$CH$27,1,EO333)*(1+INDEX('Lease Cycles'!$CI$27:$CO$27,1,EO333))^INT(INT(EO334/12)/INDEX('Lease Cycles'!$CP$27:$CV$27,1,EO333))/12))),IF('Lease Cycles'!$N$27=1,'Lease Cycles'!$C$27*'Lease Cycles'!$E$27*INDEX('Lease Cycles'!$HE$27:$HK$27,1,EO333)*(1+INDEX('Lease Cycles'!$GQ$27:$GW$27,1,EO333))^INT(INT((EO$6-INDEX('Lease Cycles'!$GJ$27:$GP$27,1,EO333))/12)/INDEX('Lease Cycles'!$GX$27:$HD$27,1,EO333))/12,0)))</f>
        <v>0</v>
      </c>
      <c r="EP336" s="28">
        <f>IF(EP333=0,IF('Lease Cycles'!$F$27&gt;0,'Lease Cycles'!$C$27*'Lease Cycles'!$E$27/12,0),IF(EP335=1,IF('Lease Cycles'!$AT$27&gt;=9999,'Lease Cycles'!$C$27*INDEX('Lease Cycles'!$CB$27:$CH$27,1,EP333)*(1+INDEX('Lease Cycles'!$CI$27:$CO$27,1,EP333))^INT(INT(EP334/12)/INDEX('Lease Cycles'!$CP$27:$CV$27,1,EP333))/12,IF(EP333=1,IF(EP334&gt;=INDEX('Lease Cycles'!$DK$27:$DQ$27,1,EP333),IF(EP$6&gt;='Lease Cycles'!$AZ$27,'Lease Cycles'!$C$27*'Lease Cycles'!$BA$27/12,IF(EP$6&gt;='Lease Cycles'!$AX$27,'Lease Cycles'!$C$27*'Lease Cycles'!$AY$27/12,IF(EP$6&gt;='Lease Cycles'!$AV$27,'Lease Cycles'!$C$27*'Lease Cycles'!$AW$27/12,IF(EP$6&gt;='Lease Cycles'!$AT$27,'Lease Cycles'!$C$27*'Lease Cycles'!$AU$27/12,'Lease Cycles'!$C$27*INDEX('Lease Cycles'!$CB$27:$CH$27,1,EP333)*(1+INDEX('Lease Cycles'!$CI$27:$CO$27,1,EP333))^INT(INT(EP334/12)/INDEX('Lease Cycles'!$CP$27:$CV$27,1,EP333))/12)))),'Lease Cycles'!$C$27*INDEX('Lease Cycles'!$CB$27:$CH$27,1,EP333)*(1+INDEX('Lease Cycles'!$CI$27:$CO$27,1,EP333))^INT(INT(EP334/12)/INDEX('Lease Cycles'!$CP$27:$CV$27,1,EP333))/12),IF(INDEX('Lease Cycles'!$EF$27:$EL$27,1,EP333)=1,IF(AND('Lease Cycles'!$AZ$27&gt;=INDEX('Lease Cycles'!$BG$27:$BM$27,1,EP333),'Lease Cycles'!$AZ$27&lt;=EP$6),'Lease Cycles'!$C$27*'Lease Cycles'!$BA$27/12,IF(AND('Lease Cycles'!$AX$27&gt;=INDEX('Lease Cycles'!$BG$27:$BM$27,1,EP333),'Lease Cycles'!$AX$27&lt;=EP$6),'Lease Cycles'!$C$27*'Lease Cycles'!$AY$27/12,IF(AND('Lease Cycles'!$AV$27&gt;=INDEX('Lease Cycles'!$BG$27:$BM$27,1,EP333),'Lease Cycles'!$AV$27&lt;=EP$6),'Lease Cycles'!$C$27*'Lease Cycles'!$AW$27/12,IF(AND('Lease Cycles'!$AT$27&gt;=INDEX('Lease Cycles'!$BG$27:$BM$27,1,EP333),'Lease Cycles'!$AT$27&lt;=EP$6),'Lease Cycles'!$C$27*'Lease Cycles'!$AU$27/12,'Lease Cycles'!$C$27*INDEX('Lease Cycles'!$CB$27:$CH$27,1,EP333)*(1+INDEX('Lease Cycles'!$CI$27:$CO$27,1,EP333))^INT(INT(EP334/12)/INDEX('Lease Cycles'!$CP$27:$CV$27,1,EP333))/12)))),'Lease Cycles'!$C$27*INDEX('Lease Cycles'!$CB$27:$CH$27,1,EP333)*(1+INDEX('Lease Cycles'!$CI$27:$CO$27,1,EP333))^INT(INT(EP334/12)/INDEX('Lease Cycles'!$CP$27:$CV$27,1,EP333))/12))),IF('Lease Cycles'!$N$27=1,'Lease Cycles'!$C$27*'Lease Cycles'!$E$27*INDEX('Lease Cycles'!$HE$27:$HK$27,1,EP333)*(1+INDEX('Lease Cycles'!$GQ$27:$GW$27,1,EP333))^INT(INT((EP$6-INDEX('Lease Cycles'!$GJ$27:$GP$27,1,EP333))/12)/INDEX('Lease Cycles'!$GX$27:$HD$27,1,EP333))/12,0)))</f>
        <v>0</v>
      </c>
      <c r="EQ336" s="28">
        <f>IF(EQ333=0,IF('Lease Cycles'!$F$27&gt;0,'Lease Cycles'!$C$27*'Lease Cycles'!$E$27/12,0),IF(EQ335=1,IF('Lease Cycles'!$AT$27&gt;=9999,'Lease Cycles'!$C$27*INDEX('Lease Cycles'!$CB$27:$CH$27,1,EQ333)*(1+INDEX('Lease Cycles'!$CI$27:$CO$27,1,EQ333))^INT(INT(EQ334/12)/INDEX('Lease Cycles'!$CP$27:$CV$27,1,EQ333))/12,IF(EQ333=1,IF(EQ334&gt;=INDEX('Lease Cycles'!$DK$27:$DQ$27,1,EQ333),IF(EQ$6&gt;='Lease Cycles'!$AZ$27,'Lease Cycles'!$C$27*'Lease Cycles'!$BA$27/12,IF(EQ$6&gt;='Lease Cycles'!$AX$27,'Lease Cycles'!$C$27*'Lease Cycles'!$AY$27/12,IF(EQ$6&gt;='Lease Cycles'!$AV$27,'Lease Cycles'!$C$27*'Lease Cycles'!$AW$27/12,IF(EQ$6&gt;='Lease Cycles'!$AT$27,'Lease Cycles'!$C$27*'Lease Cycles'!$AU$27/12,'Lease Cycles'!$C$27*INDEX('Lease Cycles'!$CB$27:$CH$27,1,EQ333)*(1+INDEX('Lease Cycles'!$CI$27:$CO$27,1,EQ333))^INT(INT(EQ334/12)/INDEX('Lease Cycles'!$CP$27:$CV$27,1,EQ333))/12)))),'Lease Cycles'!$C$27*INDEX('Lease Cycles'!$CB$27:$CH$27,1,EQ333)*(1+INDEX('Lease Cycles'!$CI$27:$CO$27,1,EQ333))^INT(INT(EQ334/12)/INDEX('Lease Cycles'!$CP$27:$CV$27,1,EQ333))/12),IF(INDEX('Lease Cycles'!$EF$27:$EL$27,1,EQ333)=1,IF(AND('Lease Cycles'!$AZ$27&gt;=INDEX('Lease Cycles'!$BG$27:$BM$27,1,EQ333),'Lease Cycles'!$AZ$27&lt;=EQ$6),'Lease Cycles'!$C$27*'Lease Cycles'!$BA$27/12,IF(AND('Lease Cycles'!$AX$27&gt;=INDEX('Lease Cycles'!$BG$27:$BM$27,1,EQ333),'Lease Cycles'!$AX$27&lt;=EQ$6),'Lease Cycles'!$C$27*'Lease Cycles'!$AY$27/12,IF(AND('Lease Cycles'!$AV$27&gt;=INDEX('Lease Cycles'!$BG$27:$BM$27,1,EQ333),'Lease Cycles'!$AV$27&lt;=EQ$6),'Lease Cycles'!$C$27*'Lease Cycles'!$AW$27/12,IF(AND('Lease Cycles'!$AT$27&gt;=INDEX('Lease Cycles'!$BG$27:$BM$27,1,EQ333),'Lease Cycles'!$AT$27&lt;=EQ$6),'Lease Cycles'!$C$27*'Lease Cycles'!$AU$27/12,'Lease Cycles'!$C$27*INDEX('Lease Cycles'!$CB$27:$CH$27,1,EQ333)*(1+INDEX('Lease Cycles'!$CI$27:$CO$27,1,EQ333))^INT(INT(EQ334/12)/INDEX('Lease Cycles'!$CP$27:$CV$27,1,EQ333))/12)))),'Lease Cycles'!$C$27*INDEX('Lease Cycles'!$CB$27:$CH$27,1,EQ333)*(1+INDEX('Lease Cycles'!$CI$27:$CO$27,1,EQ333))^INT(INT(EQ334/12)/INDEX('Lease Cycles'!$CP$27:$CV$27,1,EQ333))/12))),IF('Lease Cycles'!$N$27=1,'Lease Cycles'!$C$27*'Lease Cycles'!$E$27*INDEX('Lease Cycles'!$HE$27:$HK$27,1,EQ333)*(1+INDEX('Lease Cycles'!$GQ$27:$GW$27,1,EQ333))^INT(INT((EQ$6-INDEX('Lease Cycles'!$GJ$27:$GP$27,1,EQ333))/12)/INDEX('Lease Cycles'!$GX$27:$HD$27,1,EQ333))/12,0)))</f>
        <v>0</v>
      </c>
      <c r="ER336" s="28">
        <f>IF(ER333=0,IF('Lease Cycles'!$F$27&gt;0,'Lease Cycles'!$C$27*'Lease Cycles'!$E$27/12,0),IF(ER335=1,IF('Lease Cycles'!$AT$27&gt;=9999,'Lease Cycles'!$C$27*INDEX('Lease Cycles'!$CB$27:$CH$27,1,ER333)*(1+INDEX('Lease Cycles'!$CI$27:$CO$27,1,ER333))^INT(INT(ER334/12)/INDEX('Lease Cycles'!$CP$27:$CV$27,1,ER333))/12,IF(ER333=1,IF(ER334&gt;=INDEX('Lease Cycles'!$DK$27:$DQ$27,1,ER333),IF(ER$6&gt;='Lease Cycles'!$AZ$27,'Lease Cycles'!$C$27*'Lease Cycles'!$BA$27/12,IF(ER$6&gt;='Lease Cycles'!$AX$27,'Lease Cycles'!$C$27*'Lease Cycles'!$AY$27/12,IF(ER$6&gt;='Lease Cycles'!$AV$27,'Lease Cycles'!$C$27*'Lease Cycles'!$AW$27/12,IF(ER$6&gt;='Lease Cycles'!$AT$27,'Lease Cycles'!$C$27*'Lease Cycles'!$AU$27/12,'Lease Cycles'!$C$27*INDEX('Lease Cycles'!$CB$27:$CH$27,1,ER333)*(1+INDEX('Lease Cycles'!$CI$27:$CO$27,1,ER333))^INT(INT(ER334/12)/INDEX('Lease Cycles'!$CP$27:$CV$27,1,ER333))/12)))),'Lease Cycles'!$C$27*INDEX('Lease Cycles'!$CB$27:$CH$27,1,ER333)*(1+INDEX('Lease Cycles'!$CI$27:$CO$27,1,ER333))^INT(INT(ER334/12)/INDEX('Lease Cycles'!$CP$27:$CV$27,1,ER333))/12),IF(INDEX('Lease Cycles'!$EF$27:$EL$27,1,ER333)=1,IF(AND('Lease Cycles'!$AZ$27&gt;=INDEX('Lease Cycles'!$BG$27:$BM$27,1,ER333),'Lease Cycles'!$AZ$27&lt;=ER$6),'Lease Cycles'!$C$27*'Lease Cycles'!$BA$27/12,IF(AND('Lease Cycles'!$AX$27&gt;=INDEX('Lease Cycles'!$BG$27:$BM$27,1,ER333),'Lease Cycles'!$AX$27&lt;=ER$6),'Lease Cycles'!$C$27*'Lease Cycles'!$AY$27/12,IF(AND('Lease Cycles'!$AV$27&gt;=INDEX('Lease Cycles'!$BG$27:$BM$27,1,ER333),'Lease Cycles'!$AV$27&lt;=ER$6),'Lease Cycles'!$C$27*'Lease Cycles'!$AW$27/12,IF(AND('Lease Cycles'!$AT$27&gt;=INDEX('Lease Cycles'!$BG$27:$BM$27,1,ER333),'Lease Cycles'!$AT$27&lt;=ER$6),'Lease Cycles'!$C$27*'Lease Cycles'!$AU$27/12,'Lease Cycles'!$C$27*INDEX('Lease Cycles'!$CB$27:$CH$27,1,ER333)*(1+INDEX('Lease Cycles'!$CI$27:$CO$27,1,ER333))^INT(INT(ER334/12)/INDEX('Lease Cycles'!$CP$27:$CV$27,1,ER333))/12)))),'Lease Cycles'!$C$27*INDEX('Lease Cycles'!$CB$27:$CH$27,1,ER333)*(1+INDEX('Lease Cycles'!$CI$27:$CO$27,1,ER333))^INT(INT(ER334/12)/INDEX('Lease Cycles'!$CP$27:$CV$27,1,ER333))/12))),IF('Lease Cycles'!$N$27=1,'Lease Cycles'!$C$27*'Lease Cycles'!$E$27*INDEX('Lease Cycles'!$HE$27:$HK$27,1,ER333)*(1+INDEX('Lease Cycles'!$GQ$27:$GW$27,1,ER333))^INT(INT((ER$6-INDEX('Lease Cycles'!$GJ$27:$GP$27,1,ER333))/12)/INDEX('Lease Cycles'!$GX$27:$HD$27,1,ER333))/12,0)))</f>
        <v>0</v>
      </c>
      <c r="ES336" s="28">
        <f>IF(ES333=0,IF('Lease Cycles'!$F$27&gt;0,'Lease Cycles'!$C$27*'Lease Cycles'!$E$27/12,0),IF(ES335=1,IF('Lease Cycles'!$AT$27&gt;=9999,'Lease Cycles'!$C$27*INDEX('Lease Cycles'!$CB$27:$CH$27,1,ES333)*(1+INDEX('Lease Cycles'!$CI$27:$CO$27,1,ES333))^INT(INT(ES334/12)/INDEX('Lease Cycles'!$CP$27:$CV$27,1,ES333))/12,IF(ES333=1,IF(ES334&gt;=INDEX('Lease Cycles'!$DK$27:$DQ$27,1,ES333),IF(ES$6&gt;='Lease Cycles'!$AZ$27,'Lease Cycles'!$C$27*'Lease Cycles'!$BA$27/12,IF(ES$6&gt;='Lease Cycles'!$AX$27,'Lease Cycles'!$C$27*'Lease Cycles'!$AY$27/12,IF(ES$6&gt;='Lease Cycles'!$AV$27,'Lease Cycles'!$C$27*'Lease Cycles'!$AW$27/12,IF(ES$6&gt;='Lease Cycles'!$AT$27,'Lease Cycles'!$C$27*'Lease Cycles'!$AU$27/12,'Lease Cycles'!$C$27*INDEX('Lease Cycles'!$CB$27:$CH$27,1,ES333)*(1+INDEX('Lease Cycles'!$CI$27:$CO$27,1,ES333))^INT(INT(ES334/12)/INDEX('Lease Cycles'!$CP$27:$CV$27,1,ES333))/12)))),'Lease Cycles'!$C$27*INDEX('Lease Cycles'!$CB$27:$CH$27,1,ES333)*(1+INDEX('Lease Cycles'!$CI$27:$CO$27,1,ES333))^INT(INT(ES334/12)/INDEX('Lease Cycles'!$CP$27:$CV$27,1,ES333))/12),IF(INDEX('Lease Cycles'!$EF$27:$EL$27,1,ES333)=1,IF(AND('Lease Cycles'!$AZ$27&gt;=INDEX('Lease Cycles'!$BG$27:$BM$27,1,ES333),'Lease Cycles'!$AZ$27&lt;=ES$6),'Lease Cycles'!$C$27*'Lease Cycles'!$BA$27/12,IF(AND('Lease Cycles'!$AX$27&gt;=INDEX('Lease Cycles'!$BG$27:$BM$27,1,ES333),'Lease Cycles'!$AX$27&lt;=ES$6),'Lease Cycles'!$C$27*'Lease Cycles'!$AY$27/12,IF(AND('Lease Cycles'!$AV$27&gt;=INDEX('Lease Cycles'!$BG$27:$BM$27,1,ES333),'Lease Cycles'!$AV$27&lt;=ES$6),'Lease Cycles'!$C$27*'Lease Cycles'!$AW$27/12,IF(AND('Lease Cycles'!$AT$27&gt;=INDEX('Lease Cycles'!$BG$27:$BM$27,1,ES333),'Lease Cycles'!$AT$27&lt;=ES$6),'Lease Cycles'!$C$27*'Lease Cycles'!$AU$27/12,'Lease Cycles'!$C$27*INDEX('Lease Cycles'!$CB$27:$CH$27,1,ES333)*(1+INDEX('Lease Cycles'!$CI$27:$CO$27,1,ES333))^INT(INT(ES334/12)/INDEX('Lease Cycles'!$CP$27:$CV$27,1,ES333))/12)))),'Lease Cycles'!$C$27*INDEX('Lease Cycles'!$CB$27:$CH$27,1,ES333)*(1+INDEX('Lease Cycles'!$CI$27:$CO$27,1,ES333))^INT(INT(ES334/12)/INDEX('Lease Cycles'!$CP$27:$CV$27,1,ES333))/12))),IF('Lease Cycles'!$N$27=1,'Lease Cycles'!$C$27*'Lease Cycles'!$E$27*INDEX('Lease Cycles'!$HE$27:$HK$27,1,ES333)*(1+INDEX('Lease Cycles'!$GQ$27:$GW$27,1,ES333))^INT(INT((ES$6-INDEX('Lease Cycles'!$GJ$27:$GP$27,1,ES333))/12)/INDEX('Lease Cycles'!$GX$27:$HD$27,1,ES333))/12,0)))</f>
        <v>0</v>
      </c>
      <c r="ET336" s="28">
        <f>IF(ET333=0,IF('Lease Cycles'!$F$27&gt;0,'Lease Cycles'!$C$27*'Lease Cycles'!$E$27/12,0),IF(ET335=1,IF('Lease Cycles'!$AT$27&gt;=9999,'Lease Cycles'!$C$27*INDEX('Lease Cycles'!$CB$27:$CH$27,1,ET333)*(1+INDEX('Lease Cycles'!$CI$27:$CO$27,1,ET333))^INT(INT(ET334/12)/INDEX('Lease Cycles'!$CP$27:$CV$27,1,ET333))/12,IF(ET333=1,IF(ET334&gt;=INDEX('Lease Cycles'!$DK$27:$DQ$27,1,ET333),IF(ET$6&gt;='Lease Cycles'!$AZ$27,'Lease Cycles'!$C$27*'Lease Cycles'!$BA$27/12,IF(ET$6&gt;='Lease Cycles'!$AX$27,'Lease Cycles'!$C$27*'Lease Cycles'!$AY$27/12,IF(ET$6&gt;='Lease Cycles'!$AV$27,'Lease Cycles'!$C$27*'Lease Cycles'!$AW$27/12,IF(ET$6&gt;='Lease Cycles'!$AT$27,'Lease Cycles'!$C$27*'Lease Cycles'!$AU$27/12,'Lease Cycles'!$C$27*INDEX('Lease Cycles'!$CB$27:$CH$27,1,ET333)*(1+INDEX('Lease Cycles'!$CI$27:$CO$27,1,ET333))^INT(INT(ET334/12)/INDEX('Lease Cycles'!$CP$27:$CV$27,1,ET333))/12)))),'Lease Cycles'!$C$27*INDEX('Lease Cycles'!$CB$27:$CH$27,1,ET333)*(1+INDEX('Lease Cycles'!$CI$27:$CO$27,1,ET333))^INT(INT(ET334/12)/INDEX('Lease Cycles'!$CP$27:$CV$27,1,ET333))/12),IF(INDEX('Lease Cycles'!$EF$27:$EL$27,1,ET333)=1,IF(AND('Lease Cycles'!$AZ$27&gt;=INDEX('Lease Cycles'!$BG$27:$BM$27,1,ET333),'Lease Cycles'!$AZ$27&lt;=ET$6),'Lease Cycles'!$C$27*'Lease Cycles'!$BA$27/12,IF(AND('Lease Cycles'!$AX$27&gt;=INDEX('Lease Cycles'!$BG$27:$BM$27,1,ET333),'Lease Cycles'!$AX$27&lt;=ET$6),'Lease Cycles'!$C$27*'Lease Cycles'!$AY$27/12,IF(AND('Lease Cycles'!$AV$27&gt;=INDEX('Lease Cycles'!$BG$27:$BM$27,1,ET333),'Lease Cycles'!$AV$27&lt;=ET$6),'Lease Cycles'!$C$27*'Lease Cycles'!$AW$27/12,IF(AND('Lease Cycles'!$AT$27&gt;=INDEX('Lease Cycles'!$BG$27:$BM$27,1,ET333),'Lease Cycles'!$AT$27&lt;=ET$6),'Lease Cycles'!$C$27*'Lease Cycles'!$AU$27/12,'Lease Cycles'!$C$27*INDEX('Lease Cycles'!$CB$27:$CH$27,1,ET333)*(1+INDEX('Lease Cycles'!$CI$27:$CO$27,1,ET333))^INT(INT(ET334/12)/INDEX('Lease Cycles'!$CP$27:$CV$27,1,ET333))/12)))),'Lease Cycles'!$C$27*INDEX('Lease Cycles'!$CB$27:$CH$27,1,ET333)*(1+INDEX('Lease Cycles'!$CI$27:$CO$27,1,ET333))^INT(INT(ET334/12)/INDEX('Lease Cycles'!$CP$27:$CV$27,1,ET333))/12))),IF('Lease Cycles'!$N$27=1,'Lease Cycles'!$C$27*'Lease Cycles'!$E$27*INDEX('Lease Cycles'!$HE$27:$HK$27,1,ET333)*(1+INDEX('Lease Cycles'!$GQ$27:$GW$27,1,ET333))^INT(INT((ET$6-INDEX('Lease Cycles'!$GJ$27:$GP$27,1,ET333))/12)/INDEX('Lease Cycles'!$GX$27:$HD$27,1,ET333))/12,0)))</f>
        <v>0</v>
      </c>
    </row>
    <row r="337">
      <c r="A337" s="103">
        <v>20</v>
      </c>
      <c r="B337" s="23" t="str">
        <f>IF('Lease Cycles'!$B$27="","(empty slot)",'Lease Cycles'!$B$27)</f>
        <v>(empty slot)</v>
      </c>
      <c r="C337" s="23" t="s">
        <v>679</v>
      </c>
      <c r="D337" s="104" t="s">
        <v>680</v>
      </c>
      <c r="E337" s="25">
        <f>'Lease Cycles'!$AL$27</f>
        <v>0</v>
      </c>
      <c r="S337" s="28">
        <f>IF(S335=1,IF(INDEX('Lease Cycles'!$EF$27:$EL$27,1,S333)=1,'Lease Cycles'!$C$27*INDEX('Lease Cycles'!$ET$27:$EZ$27,1,S333)*(1+'Lease Cycles'!$V$27)^INT(INT(S334/12)/'Lease Cycles'!$W$27)/12,0),0)</f>
        <v>0</v>
      </c>
      <c r="T337" s="28">
        <f>IF(T335=1,IF(INDEX('Lease Cycles'!$EF$27:$EL$27,1,T333)=1,'Lease Cycles'!$C$27*INDEX('Lease Cycles'!$ET$27:$EZ$27,1,T333)*(1+'Lease Cycles'!$V$27)^INT(INT(T334/12)/'Lease Cycles'!$W$27)/12,0),0)</f>
        <v>0</v>
      </c>
      <c r="U337" s="28">
        <f>IF(U335=1,IF(INDEX('Lease Cycles'!$EF$27:$EL$27,1,U333)=1,'Lease Cycles'!$C$27*INDEX('Lease Cycles'!$ET$27:$EZ$27,1,U333)*(1+'Lease Cycles'!$V$27)^INT(INT(U334/12)/'Lease Cycles'!$W$27)/12,0),0)</f>
        <v>0</v>
      </c>
      <c r="V337" s="28">
        <f>IF(V335=1,IF(INDEX('Lease Cycles'!$EF$27:$EL$27,1,V333)=1,'Lease Cycles'!$C$27*INDEX('Lease Cycles'!$ET$27:$EZ$27,1,V333)*(1+'Lease Cycles'!$V$27)^INT(INT(V334/12)/'Lease Cycles'!$W$27)/12,0),0)</f>
        <v>0</v>
      </c>
      <c r="W337" s="28">
        <f>IF(W335=1,IF(INDEX('Lease Cycles'!$EF$27:$EL$27,1,W333)=1,'Lease Cycles'!$C$27*INDEX('Lease Cycles'!$ET$27:$EZ$27,1,W333)*(1+'Lease Cycles'!$V$27)^INT(INT(W334/12)/'Lease Cycles'!$W$27)/12,0),0)</f>
        <v>0</v>
      </c>
      <c r="X337" s="28">
        <f>IF(X335=1,IF(INDEX('Lease Cycles'!$EF$27:$EL$27,1,X333)=1,'Lease Cycles'!$C$27*INDEX('Lease Cycles'!$ET$27:$EZ$27,1,X333)*(1+'Lease Cycles'!$V$27)^INT(INT(X334/12)/'Lease Cycles'!$W$27)/12,0),0)</f>
        <v>0</v>
      </c>
      <c r="Y337" s="28">
        <f>IF(Y335=1,IF(INDEX('Lease Cycles'!$EF$27:$EL$27,1,Y333)=1,'Lease Cycles'!$C$27*INDEX('Lease Cycles'!$ET$27:$EZ$27,1,Y333)*(1+'Lease Cycles'!$V$27)^INT(INT(Y334/12)/'Lease Cycles'!$W$27)/12,0),0)</f>
        <v>0</v>
      </c>
      <c r="Z337" s="28">
        <f>IF(Z335=1,IF(INDEX('Lease Cycles'!$EF$27:$EL$27,1,Z333)=1,'Lease Cycles'!$C$27*INDEX('Lease Cycles'!$ET$27:$EZ$27,1,Z333)*(1+'Lease Cycles'!$V$27)^INT(INT(Z334/12)/'Lease Cycles'!$W$27)/12,0),0)</f>
        <v>0</v>
      </c>
      <c r="AA337" s="28">
        <f>IF(AA335=1,IF(INDEX('Lease Cycles'!$EF$27:$EL$27,1,AA333)=1,'Lease Cycles'!$C$27*INDEX('Lease Cycles'!$ET$27:$EZ$27,1,AA333)*(1+'Lease Cycles'!$V$27)^INT(INT(AA334/12)/'Lease Cycles'!$W$27)/12,0),0)</f>
        <v>0</v>
      </c>
      <c r="AB337" s="28">
        <f>IF(AB335=1,IF(INDEX('Lease Cycles'!$EF$27:$EL$27,1,AB333)=1,'Lease Cycles'!$C$27*INDEX('Lease Cycles'!$ET$27:$EZ$27,1,AB333)*(1+'Lease Cycles'!$V$27)^INT(INT(AB334/12)/'Lease Cycles'!$W$27)/12,0),0)</f>
        <v>0</v>
      </c>
      <c r="AC337" s="28">
        <f>IF(AC335=1,IF(INDEX('Lease Cycles'!$EF$27:$EL$27,1,AC333)=1,'Lease Cycles'!$C$27*INDEX('Lease Cycles'!$ET$27:$EZ$27,1,AC333)*(1+'Lease Cycles'!$V$27)^INT(INT(AC334/12)/'Lease Cycles'!$W$27)/12,0),0)</f>
        <v>0</v>
      </c>
      <c r="AD337" s="28">
        <f>IF(AD335=1,IF(INDEX('Lease Cycles'!$EF$27:$EL$27,1,AD333)=1,'Lease Cycles'!$C$27*INDEX('Lease Cycles'!$ET$27:$EZ$27,1,AD333)*(1+'Lease Cycles'!$V$27)^INT(INT(AD334/12)/'Lease Cycles'!$W$27)/12,0),0)</f>
        <v>0</v>
      </c>
      <c r="AE337" s="28">
        <f>IF(AE335=1,IF(INDEX('Lease Cycles'!$EF$27:$EL$27,1,AE333)=1,'Lease Cycles'!$C$27*INDEX('Lease Cycles'!$ET$27:$EZ$27,1,AE333)*(1+'Lease Cycles'!$V$27)^INT(INT(AE334/12)/'Lease Cycles'!$W$27)/12,0),0)</f>
        <v>0</v>
      </c>
      <c r="AF337" s="28">
        <f>IF(AF335=1,IF(INDEX('Lease Cycles'!$EF$27:$EL$27,1,AF333)=1,'Lease Cycles'!$C$27*INDEX('Lease Cycles'!$ET$27:$EZ$27,1,AF333)*(1+'Lease Cycles'!$V$27)^INT(INT(AF334/12)/'Lease Cycles'!$W$27)/12,0),0)</f>
        <v>0</v>
      </c>
      <c r="AG337" s="28">
        <f>IF(AG335=1,IF(INDEX('Lease Cycles'!$EF$27:$EL$27,1,AG333)=1,'Lease Cycles'!$C$27*INDEX('Lease Cycles'!$ET$27:$EZ$27,1,AG333)*(1+'Lease Cycles'!$V$27)^INT(INT(AG334/12)/'Lease Cycles'!$W$27)/12,0),0)</f>
        <v>0</v>
      </c>
      <c r="AH337" s="28">
        <f>IF(AH335=1,IF(INDEX('Lease Cycles'!$EF$27:$EL$27,1,AH333)=1,'Lease Cycles'!$C$27*INDEX('Lease Cycles'!$ET$27:$EZ$27,1,AH333)*(1+'Lease Cycles'!$V$27)^INT(INT(AH334/12)/'Lease Cycles'!$W$27)/12,0),0)</f>
        <v>0</v>
      </c>
      <c r="AI337" s="28">
        <f>IF(AI335=1,IF(INDEX('Lease Cycles'!$EF$27:$EL$27,1,AI333)=1,'Lease Cycles'!$C$27*INDEX('Lease Cycles'!$ET$27:$EZ$27,1,AI333)*(1+'Lease Cycles'!$V$27)^INT(INT(AI334/12)/'Lease Cycles'!$W$27)/12,0),0)</f>
        <v>0</v>
      </c>
      <c r="AJ337" s="28">
        <f>IF(AJ335=1,IF(INDEX('Lease Cycles'!$EF$27:$EL$27,1,AJ333)=1,'Lease Cycles'!$C$27*INDEX('Lease Cycles'!$ET$27:$EZ$27,1,AJ333)*(1+'Lease Cycles'!$V$27)^INT(INT(AJ334/12)/'Lease Cycles'!$W$27)/12,0),0)</f>
        <v>0</v>
      </c>
      <c r="AK337" s="28">
        <f>IF(AK335=1,IF(INDEX('Lease Cycles'!$EF$27:$EL$27,1,AK333)=1,'Lease Cycles'!$C$27*INDEX('Lease Cycles'!$ET$27:$EZ$27,1,AK333)*(1+'Lease Cycles'!$V$27)^INT(INT(AK334/12)/'Lease Cycles'!$W$27)/12,0),0)</f>
        <v>0</v>
      </c>
      <c r="AL337" s="28">
        <f>IF(AL335=1,IF(INDEX('Lease Cycles'!$EF$27:$EL$27,1,AL333)=1,'Lease Cycles'!$C$27*INDEX('Lease Cycles'!$ET$27:$EZ$27,1,AL333)*(1+'Lease Cycles'!$V$27)^INT(INT(AL334/12)/'Lease Cycles'!$W$27)/12,0),0)</f>
        <v>0</v>
      </c>
      <c r="AM337" s="28">
        <f>IF(AM335=1,IF(INDEX('Lease Cycles'!$EF$27:$EL$27,1,AM333)=1,'Lease Cycles'!$C$27*INDEX('Lease Cycles'!$ET$27:$EZ$27,1,AM333)*(1+'Lease Cycles'!$V$27)^INT(INT(AM334/12)/'Lease Cycles'!$W$27)/12,0),0)</f>
        <v>0</v>
      </c>
      <c r="AN337" s="28">
        <f>IF(AN335=1,IF(INDEX('Lease Cycles'!$EF$27:$EL$27,1,AN333)=1,'Lease Cycles'!$C$27*INDEX('Lease Cycles'!$ET$27:$EZ$27,1,AN333)*(1+'Lease Cycles'!$V$27)^INT(INT(AN334/12)/'Lease Cycles'!$W$27)/12,0),0)</f>
        <v>0</v>
      </c>
      <c r="AO337" s="28">
        <f>IF(AO335=1,IF(INDEX('Lease Cycles'!$EF$27:$EL$27,1,AO333)=1,'Lease Cycles'!$C$27*INDEX('Lease Cycles'!$ET$27:$EZ$27,1,AO333)*(1+'Lease Cycles'!$V$27)^INT(INT(AO334/12)/'Lease Cycles'!$W$27)/12,0),0)</f>
        <v>0</v>
      </c>
      <c r="AP337" s="28">
        <f>IF(AP335=1,IF(INDEX('Lease Cycles'!$EF$27:$EL$27,1,AP333)=1,'Lease Cycles'!$C$27*INDEX('Lease Cycles'!$ET$27:$EZ$27,1,AP333)*(1+'Lease Cycles'!$V$27)^INT(INT(AP334/12)/'Lease Cycles'!$W$27)/12,0),0)</f>
        <v>0</v>
      </c>
      <c r="AQ337" s="28">
        <f>IF(AQ335=1,IF(INDEX('Lease Cycles'!$EF$27:$EL$27,1,AQ333)=1,'Lease Cycles'!$C$27*INDEX('Lease Cycles'!$ET$27:$EZ$27,1,AQ333)*(1+'Lease Cycles'!$V$27)^INT(INT(AQ334/12)/'Lease Cycles'!$W$27)/12,0),0)</f>
        <v>0</v>
      </c>
      <c r="AR337" s="28">
        <f>IF(AR335=1,IF(INDEX('Lease Cycles'!$EF$27:$EL$27,1,AR333)=1,'Lease Cycles'!$C$27*INDEX('Lease Cycles'!$ET$27:$EZ$27,1,AR333)*(1+'Lease Cycles'!$V$27)^INT(INT(AR334/12)/'Lease Cycles'!$W$27)/12,0),0)</f>
        <v>0</v>
      </c>
      <c r="AS337" s="28">
        <f>IF(AS335=1,IF(INDEX('Lease Cycles'!$EF$27:$EL$27,1,AS333)=1,'Lease Cycles'!$C$27*INDEX('Lease Cycles'!$ET$27:$EZ$27,1,AS333)*(1+'Lease Cycles'!$V$27)^INT(INT(AS334/12)/'Lease Cycles'!$W$27)/12,0),0)</f>
        <v>0</v>
      </c>
      <c r="AT337" s="28">
        <f>IF(AT335=1,IF(INDEX('Lease Cycles'!$EF$27:$EL$27,1,AT333)=1,'Lease Cycles'!$C$27*INDEX('Lease Cycles'!$ET$27:$EZ$27,1,AT333)*(1+'Lease Cycles'!$V$27)^INT(INT(AT334/12)/'Lease Cycles'!$W$27)/12,0),0)</f>
        <v>0</v>
      </c>
      <c r="AU337" s="28">
        <f>IF(AU335=1,IF(INDEX('Lease Cycles'!$EF$27:$EL$27,1,AU333)=1,'Lease Cycles'!$C$27*INDEX('Lease Cycles'!$ET$27:$EZ$27,1,AU333)*(1+'Lease Cycles'!$V$27)^INT(INT(AU334/12)/'Lease Cycles'!$W$27)/12,0),0)</f>
        <v>0</v>
      </c>
      <c r="AV337" s="28">
        <f>IF(AV335=1,IF(INDEX('Lease Cycles'!$EF$27:$EL$27,1,AV333)=1,'Lease Cycles'!$C$27*INDEX('Lease Cycles'!$ET$27:$EZ$27,1,AV333)*(1+'Lease Cycles'!$V$27)^INT(INT(AV334/12)/'Lease Cycles'!$W$27)/12,0),0)</f>
        <v>0</v>
      </c>
      <c r="AW337" s="28">
        <f>IF(AW335=1,IF(INDEX('Lease Cycles'!$EF$27:$EL$27,1,AW333)=1,'Lease Cycles'!$C$27*INDEX('Lease Cycles'!$ET$27:$EZ$27,1,AW333)*(1+'Lease Cycles'!$V$27)^INT(INT(AW334/12)/'Lease Cycles'!$W$27)/12,0),0)</f>
        <v>0</v>
      </c>
      <c r="AX337" s="28">
        <f>IF(AX335=1,IF(INDEX('Lease Cycles'!$EF$27:$EL$27,1,AX333)=1,'Lease Cycles'!$C$27*INDEX('Lease Cycles'!$ET$27:$EZ$27,1,AX333)*(1+'Lease Cycles'!$V$27)^INT(INT(AX334/12)/'Lease Cycles'!$W$27)/12,0),0)</f>
        <v>0</v>
      </c>
      <c r="AY337" s="28">
        <f>IF(AY335=1,IF(INDEX('Lease Cycles'!$EF$27:$EL$27,1,AY333)=1,'Lease Cycles'!$C$27*INDEX('Lease Cycles'!$ET$27:$EZ$27,1,AY333)*(1+'Lease Cycles'!$V$27)^INT(INT(AY334/12)/'Lease Cycles'!$W$27)/12,0),0)</f>
        <v>0</v>
      </c>
      <c r="AZ337" s="28">
        <f>IF(AZ335=1,IF(INDEX('Lease Cycles'!$EF$27:$EL$27,1,AZ333)=1,'Lease Cycles'!$C$27*INDEX('Lease Cycles'!$ET$27:$EZ$27,1,AZ333)*(1+'Lease Cycles'!$V$27)^INT(INT(AZ334/12)/'Lease Cycles'!$W$27)/12,0),0)</f>
        <v>0</v>
      </c>
      <c r="BA337" s="28">
        <f>IF(BA335=1,IF(INDEX('Lease Cycles'!$EF$27:$EL$27,1,BA333)=1,'Lease Cycles'!$C$27*INDEX('Lease Cycles'!$ET$27:$EZ$27,1,BA333)*(1+'Lease Cycles'!$V$27)^INT(INT(BA334/12)/'Lease Cycles'!$W$27)/12,0),0)</f>
        <v>0</v>
      </c>
      <c r="BB337" s="28">
        <f>IF(BB335=1,IF(INDEX('Lease Cycles'!$EF$27:$EL$27,1,BB333)=1,'Lease Cycles'!$C$27*INDEX('Lease Cycles'!$ET$27:$EZ$27,1,BB333)*(1+'Lease Cycles'!$V$27)^INT(INT(BB334/12)/'Lease Cycles'!$W$27)/12,0),0)</f>
        <v>0</v>
      </c>
      <c r="BC337" s="28">
        <f>IF(BC335=1,IF(INDEX('Lease Cycles'!$EF$27:$EL$27,1,BC333)=1,'Lease Cycles'!$C$27*INDEX('Lease Cycles'!$ET$27:$EZ$27,1,BC333)*(1+'Lease Cycles'!$V$27)^INT(INT(BC334/12)/'Lease Cycles'!$W$27)/12,0),0)</f>
        <v>0</v>
      </c>
      <c r="BD337" s="28">
        <f>IF(BD335=1,IF(INDEX('Lease Cycles'!$EF$27:$EL$27,1,BD333)=1,'Lease Cycles'!$C$27*INDEX('Lease Cycles'!$ET$27:$EZ$27,1,BD333)*(1+'Lease Cycles'!$V$27)^INT(INT(BD334/12)/'Lease Cycles'!$W$27)/12,0),0)</f>
        <v>0</v>
      </c>
      <c r="BE337" s="28">
        <f>IF(BE335=1,IF(INDEX('Lease Cycles'!$EF$27:$EL$27,1,BE333)=1,'Lease Cycles'!$C$27*INDEX('Lease Cycles'!$ET$27:$EZ$27,1,BE333)*(1+'Lease Cycles'!$V$27)^INT(INT(BE334/12)/'Lease Cycles'!$W$27)/12,0),0)</f>
        <v>0</v>
      </c>
      <c r="BF337" s="28">
        <f>IF(BF335=1,IF(INDEX('Lease Cycles'!$EF$27:$EL$27,1,BF333)=1,'Lease Cycles'!$C$27*INDEX('Lease Cycles'!$ET$27:$EZ$27,1,BF333)*(1+'Lease Cycles'!$V$27)^INT(INT(BF334/12)/'Lease Cycles'!$W$27)/12,0),0)</f>
        <v>0</v>
      </c>
      <c r="BG337" s="28">
        <f>IF(BG335=1,IF(INDEX('Lease Cycles'!$EF$27:$EL$27,1,BG333)=1,'Lease Cycles'!$C$27*INDEX('Lease Cycles'!$ET$27:$EZ$27,1,BG333)*(1+'Lease Cycles'!$V$27)^INT(INT(BG334/12)/'Lease Cycles'!$W$27)/12,0),0)</f>
        <v>0</v>
      </c>
      <c r="BH337" s="28">
        <f>IF(BH335=1,IF(INDEX('Lease Cycles'!$EF$27:$EL$27,1,BH333)=1,'Lease Cycles'!$C$27*INDEX('Lease Cycles'!$ET$27:$EZ$27,1,BH333)*(1+'Lease Cycles'!$V$27)^INT(INT(BH334/12)/'Lease Cycles'!$W$27)/12,0),0)</f>
        <v>0</v>
      </c>
      <c r="BI337" s="28">
        <f>IF(BI335=1,IF(INDEX('Lease Cycles'!$EF$27:$EL$27,1,BI333)=1,'Lease Cycles'!$C$27*INDEX('Lease Cycles'!$ET$27:$EZ$27,1,BI333)*(1+'Lease Cycles'!$V$27)^INT(INT(BI334/12)/'Lease Cycles'!$W$27)/12,0),0)</f>
        <v>0</v>
      </c>
      <c r="BJ337" s="28">
        <f>IF(BJ335=1,IF(INDEX('Lease Cycles'!$EF$27:$EL$27,1,BJ333)=1,'Lease Cycles'!$C$27*INDEX('Lease Cycles'!$ET$27:$EZ$27,1,BJ333)*(1+'Lease Cycles'!$V$27)^INT(INT(BJ334/12)/'Lease Cycles'!$W$27)/12,0),0)</f>
        <v>0</v>
      </c>
      <c r="BK337" s="28">
        <f>IF(BK335=1,IF(INDEX('Lease Cycles'!$EF$27:$EL$27,1,BK333)=1,'Lease Cycles'!$C$27*INDEX('Lease Cycles'!$ET$27:$EZ$27,1,BK333)*(1+'Lease Cycles'!$V$27)^INT(INT(BK334/12)/'Lease Cycles'!$W$27)/12,0),0)</f>
        <v>0</v>
      </c>
      <c r="BL337" s="28">
        <f>IF(BL335=1,IF(INDEX('Lease Cycles'!$EF$27:$EL$27,1,BL333)=1,'Lease Cycles'!$C$27*INDEX('Lease Cycles'!$ET$27:$EZ$27,1,BL333)*(1+'Lease Cycles'!$V$27)^INT(INT(BL334/12)/'Lease Cycles'!$W$27)/12,0),0)</f>
        <v>0</v>
      </c>
      <c r="BM337" s="28">
        <f>IF(BM335=1,IF(INDEX('Lease Cycles'!$EF$27:$EL$27,1,BM333)=1,'Lease Cycles'!$C$27*INDEX('Lease Cycles'!$ET$27:$EZ$27,1,BM333)*(1+'Lease Cycles'!$V$27)^INT(INT(BM334/12)/'Lease Cycles'!$W$27)/12,0),0)</f>
        <v>0</v>
      </c>
      <c r="BN337" s="28">
        <f>IF(BN335=1,IF(INDEX('Lease Cycles'!$EF$27:$EL$27,1,BN333)=1,'Lease Cycles'!$C$27*INDEX('Lease Cycles'!$ET$27:$EZ$27,1,BN333)*(1+'Lease Cycles'!$V$27)^INT(INT(BN334/12)/'Lease Cycles'!$W$27)/12,0),0)</f>
        <v>0</v>
      </c>
      <c r="BO337" s="28">
        <f>IF(BO335=1,IF(INDEX('Lease Cycles'!$EF$27:$EL$27,1,BO333)=1,'Lease Cycles'!$C$27*INDEX('Lease Cycles'!$ET$27:$EZ$27,1,BO333)*(1+'Lease Cycles'!$V$27)^INT(INT(BO334/12)/'Lease Cycles'!$W$27)/12,0),0)</f>
        <v>0</v>
      </c>
      <c r="BP337" s="28">
        <f>IF(BP335=1,IF(INDEX('Lease Cycles'!$EF$27:$EL$27,1,BP333)=1,'Lease Cycles'!$C$27*INDEX('Lease Cycles'!$ET$27:$EZ$27,1,BP333)*(1+'Lease Cycles'!$V$27)^INT(INT(BP334/12)/'Lease Cycles'!$W$27)/12,0),0)</f>
        <v>0</v>
      </c>
      <c r="BQ337" s="28">
        <f>IF(BQ335=1,IF(INDEX('Lease Cycles'!$EF$27:$EL$27,1,BQ333)=1,'Lease Cycles'!$C$27*INDEX('Lease Cycles'!$ET$27:$EZ$27,1,BQ333)*(1+'Lease Cycles'!$V$27)^INT(INT(BQ334/12)/'Lease Cycles'!$W$27)/12,0),0)</f>
        <v>0</v>
      </c>
      <c r="BR337" s="28">
        <f>IF(BR335=1,IF(INDEX('Lease Cycles'!$EF$27:$EL$27,1,BR333)=1,'Lease Cycles'!$C$27*INDEX('Lease Cycles'!$ET$27:$EZ$27,1,BR333)*(1+'Lease Cycles'!$V$27)^INT(INT(BR334/12)/'Lease Cycles'!$W$27)/12,0),0)</f>
        <v>0</v>
      </c>
      <c r="BS337" s="28">
        <f>IF(BS335=1,IF(INDEX('Lease Cycles'!$EF$27:$EL$27,1,BS333)=1,'Lease Cycles'!$C$27*INDEX('Lease Cycles'!$ET$27:$EZ$27,1,BS333)*(1+'Lease Cycles'!$V$27)^INT(INT(BS334/12)/'Lease Cycles'!$W$27)/12,0),0)</f>
        <v>0</v>
      </c>
      <c r="BT337" s="28">
        <f>IF(BT335=1,IF(INDEX('Lease Cycles'!$EF$27:$EL$27,1,BT333)=1,'Lease Cycles'!$C$27*INDEX('Lease Cycles'!$ET$27:$EZ$27,1,BT333)*(1+'Lease Cycles'!$V$27)^INT(INT(BT334/12)/'Lease Cycles'!$W$27)/12,0),0)</f>
        <v>0</v>
      </c>
      <c r="BU337" s="28">
        <f>IF(BU335=1,IF(INDEX('Lease Cycles'!$EF$27:$EL$27,1,BU333)=1,'Lease Cycles'!$C$27*INDEX('Lease Cycles'!$ET$27:$EZ$27,1,BU333)*(1+'Lease Cycles'!$V$27)^INT(INT(BU334/12)/'Lease Cycles'!$W$27)/12,0),0)</f>
        <v>0</v>
      </c>
      <c r="BV337" s="28">
        <f>IF(BV335=1,IF(INDEX('Lease Cycles'!$EF$27:$EL$27,1,BV333)=1,'Lease Cycles'!$C$27*INDEX('Lease Cycles'!$ET$27:$EZ$27,1,BV333)*(1+'Lease Cycles'!$V$27)^INT(INT(BV334/12)/'Lease Cycles'!$W$27)/12,0),0)</f>
        <v>0</v>
      </c>
      <c r="BW337" s="28">
        <f>IF(BW335=1,IF(INDEX('Lease Cycles'!$EF$27:$EL$27,1,BW333)=1,'Lease Cycles'!$C$27*INDEX('Lease Cycles'!$ET$27:$EZ$27,1,BW333)*(1+'Lease Cycles'!$V$27)^INT(INT(BW334/12)/'Lease Cycles'!$W$27)/12,0),0)</f>
        <v>0</v>
      </c>
      <c r="BX337" s="28">
        <f>IF(BX335=1,IF(INDEX('Lease Cycles'!$EF$27:$EL$27,1,BX333)=1,'Lease Cycles'!$C$27*INDEX('Lease Cycles'!$ET$27:$EZ$27,1,BX333)*(1+'Lease Cycles'!$V$27)^INT(INT(BX334/12)/'Lease Cycles'!$W$27)/12,0),0)</f>
        <v>0</v>
      </c>
      <c r="BY337" s="28">
        <f>IF(BY335=1,IF(INDEX('Lease Cycles'!$EF$27:$EL$27,1,BY333)=1,'Lease Cycles'!$C$27*INDEX('Lease Cycles'!$ET$27:$EZ$27,1,BY333)*(1+'Lease Cycles'!$V$27)^INT(INT(BY334/12)/'Lease Cycles'!$W$27)/12,0),0)</f>
        <v>0</v>
      </c>
      <c r="BZ337" s="28">
        <f>IF(BZ335=1,IF(INDEX('Lease Cycles'!$EF$27:$EL$27,1,BZ333)=1,'Lease Cycles'!$C$27*INDEX('Lease Cycles'!$ET$27:$EZ$27,1,BZ333)*(1+'Lease Cycles'!$V$27)^INT(INT(BZ334/12)/'Lease Cycles'!$W$27)/12,0),0)</f>
        <v>0</v>
      </c>
      <c r="CA337" s="28">
        <f>IF(CA335=1,IF(INDEX('Lease Cycles'!$EF$27:$EL$27,1,CA333)=1,'Lease Cycles'!$C$27*INDEX('Lease Cycles'!$ET$27:$EZ$27,1,CA333)*(1+'Lease Cycles'!$V$27)^INT(INT(CA334/12)/'Lease Cycles'!$W$27)/12,0),0)</f>
        <v>0</v>
      </c>
      <c r="CB337" s="28">
        <f>IF(CB335=1,IF(INDEX('Lease Cycles'!$EF$27:$EL$27,1,CB333)=1,'Lease Cycles'!$C$27*INDEX('Lease Cycles'!$ET$27:$EZ$27,1,CB333)*(1+'Lease Cycles'!$V$27)^INT(INT(CB334/12)/'Lease Cycles'!$W$27)/12,0),0)</f>
        <v>0</v>
      </c>
      <c r="CC337" s="28">
        <f>IF(CC335=1,IF(INDEX('Lease Cycles'!$EF$27:$EL$27,1,CC333)=1,'Lease Cycles'!$C$27*INDEX('Lease Cycles'!$ET$27:$EZ$27,1,CC333)*(1+'Lease Cycles'!$V$27)^INT(INT(CC334/12)/'Lease Cycles'!$W$27)/12,0),0)</f>
        <v>0</v>
      </c>
      <c r="CD337" s="28">
        <f>IF(CD335=1,IF(INDEX('Lease Cycles'!$EF$27:$EL$27,1,CD333)=1,'Lease Cycles'!$C$27*INDEX('Lease Cycles'!$ET$27:$EZ$27,1,CD333)*(1+'Lease Cycles'!$V$27)^INT(INT(CD334/12)/'Lease Cycles'!$W$27)/12,0),0)</f>
        <v>0</v>
      </c>
      <c r="CE337" s="28">
        <f>IF(CE335=1,IF(INDEX('Lease Cycles'!$EF$27:$EL$27,1,CE333)=1,'Lease Cycles'!$C$27*INDEX('Lease Cycles'!$ET$27:$EZ$27,1,CE333)*(1+'Lease Cycles'!$V$27)^INT(INT(CE334/12)/'Lease Cycles'!$W$27)/12,0),0)</f>
        <v>0</v>
      </c>
      <c r="CF337" s="28">
        <f>IF(CF335=1,IF(INDEX('Lease Cycles'!$EF$27:$EL$27,1,CF333)=1,'Lease Cycles'!$C$27*INDEX('Lease Cycles'!$ET$27:$EZ$27,1,CF333)*(1+'Lease Cycles'!$V$27)^INT(INT(CF334/12)/'Lease Cycles'!$W$27)/12,0),0)</f>
        <v>0</v>
      </c>
      <c r="CG337" s="28">
        <f>IF(CG335=1,IF(INDEX('Lease Cycles'!$EF$27:$EL$27,1,CG333)=1,'Lease Cycles'!$C$27*INDEX('Lease Cycles'!$ET$27:$EZ$27,1,CG333)*(1+'Lease Cycles'!$V$27)^INT(INT(CG334/12)/'Lease Cycles'!$W$27)/12,0),0)</f>
        <v>0</v>
      </c>
      <c r="CH337" s="28">
        <f>IF(CH335=1,IF(INDEX('Lease Cycles'!$EF$27:$EL$27,1,CH333)=1,'Lease Cycles'!$C$27*INDEX('Lease Cycles'!$ET$27:$EZ$27,1,CH333)*(1+'Lease Cycles'!$V$27)^INT(INT(CH334/12)/'Lease Cycles'!$W$27)/12,0),0)</f>
        <v>0</v>
      </c>
      <c r="CI337" s="28">
        <f>IF(CI335=1,IF(INDEX('Lease Cycles'!$EF$27:$EL$27,1,CI333)=1,'Lease Cycles'!$C$27*INDEX('Lease Cycles'!$ET$27:$EZ$27,1,CI333)*(1+'Lease Cycles'!$V$27)^INT(INT(CI334/12)/'Lease Cycles'!$W$27)/12,0),0)</f>
        <v>0</v>
      </c>
      <c r="CJ337" s="28">
        <f>IF(CJ335=1,IF(INDEX('Lease Cycles'!$EF$27:$EL$27,1,CJ333)=1,'Lease Cycles'!$C$27*INDEX('Lease Cycles'!$ET$27:$EZ$27,1,CJ333)*(1+'Lease Cycles'!$V$27)^INT(INT(CJ334/12)/'Lease Cycles'!$W$27)/12,0),0)</f>
        <v>0</v>
      </c>
      <c r="CK337" s="28">
        <f>IF(CK335=1,IF(INDEX('Lease Cycles'!$EF$27:$EL$27,1,CK333)=1,'Lease Cycles'!$C$27*INDEX('Lease Cycles'!$ET$27:$EZ$27,1,CK333)*(1+'Lease Cycles'!$V$27)^INT(INT(CK334/12)/'Lease Cycles'!$W$27)/12,0),0)</f>
        <v>0</v>
      </c>
      <c r="CL337" s="28">
        <f>IF(CL335=1,IF(INDEX('Lease Cycles'!$EF$27:$EL$27,1,CL333)=1,'Lease Cycles'!$C$27*INDEX('Lease Cycles'!$ET$27:$EZ$27,1,CL333)*(1+'Lease Cycles'!$V$27)^INT(INT(CL334/12)/'Lease Cycles'!$W$27)/12,0),0)</f>
        <v>0</v>
      </c>
      <c r="CM337" s="28">
        <f>IF(CM335=1,IF(INDEX('Lease Cycles'!$EF$27:$EL$27,1,CM333)=1,'Lease Cycles'!$C$27*INDEX('Lease Cycles'!$ET$27:$EZ$27,1,CM333)*(1+'Lease Cycles'!$V$27)^INT(INT(CM334/12)/'Lease Cycles'!$W$27)/12,0),0)</f>
        <v>0</v>
      </c>
      <c r="CN337" s="28">
        <f>IF(CN335=1,IF(INDEX('Lease Cycles'!$EF$27:$EL$27,1,CN333)=1,'Lease Cycles'!$C$27*INDEX('Lease Cycles'!$ET$27:$EZ$27,1,CN333)*(1+'Lease Cycles'!$V$27)^INT(INT(CN334/12)/'Lease Cycles'!$W$27)/12,0),0)</f>
        <v>0</v>
      </c>
      <c r="CO337" s="28">
        <f>IF(CO335=1,IF(INDEX('Lease Cycles'!$EF$27:$EL$27,1,CO333)=1,'Lease Cycles'!$C$27*INDEX('Lease Cycles'!$ET$27:$EZ$27,1,CO333)*(1+'Lease Cycles'!$V$27)^INT(INT(CO334/12)/'Lease Cycles'!$W$27)/12,0),0)</f>
        <v>0</v>
      </c>
      <c r="CP337" s="28">
        <f>IF(CP335=1,IF(INDEX('Lease Cycles'!$EF$27:$EL$27,1,CP333)=1,'Lease Cycles'!$C$27*INDEX('Lease Cycles'!$ET$27:$EZ$27,1,CP333)*(1+'Lease Cycles'!$V$27)^INT(INT(CP334/12)/'Lease Cycles'!$W$27)/12,0),0)</f>
        <v>0</v>
      </c>
      <c r="CQ337" s="28">
        <f>IF(CQ335=1,IF(INDEX('Lease Cycles'!$EF$27:$EL$27,1,CQ333)=1,'Lease Cycles'!$C$27*INDEX('Lease Cycles'!$ET$27:$EZ$27,1,CQ333)*(1+'Lease Cycles'!$V$27)^INT(INT(CQ334/12)/'Lease Cycles'!$W$27)/12,0),0)</f>
        <v>0</v>
      </c>
      <c r="CR337" s="28">
        <f>IF(CR335=1,IF(INDEX('Lease Cycles'!$EF$27:$EL$27,1,CR333)=1,'Lease Cycles'!$C$27*INDEX('Lease Cycles'!$ET$27:$EZ$27,1,CR333)*(1+'Lease Cycles'!$V$27)^INT(INT(CR334/12)/'Lease Cycles'!$W$27)/12,0),0)</f>
        <v>0</v>
      </c>
      <c r="CS337" s="28">
        <f>IF(CS335=1,IF(INDEX('Lease Cycles'!$EF$27:$EL$27,1,CS333)=1,'Lease Cycles'!$C$27*INDEX('Lease Cycles'!$ET$27:$EZ$27,1,CS333)*(1+'Lease Cycles'!$V$27)^INT(INT(CS334/12)/'Lease Cycles'!$W$27)/12,0),0)</f>
        <v>0</v>
      </c>
      <c r="CT337" s="28">
        <f>IF(CT335=1,IF(INDEX('Lease Cycles'!$EF$27:$EL$27,1,CT333)=1,'Lease Cycles'!$C$27*INDEX('Lease Cycles'!$ET$27:$EZ$27,1,CT333)*(1+'Lease Cycles'!$V$27)^INT(INT(CT334/12)/'Lease Cycles'!$W$27)/12,0),0)</f>
        <v>0</v>
      </c>
      <c r="CU337" s="28">
        <f>IF(CU335=1,IF(INDEX('Lease Cycles'!$EF$27:$EL$27,1,CU333)=1,'Lease Cycles'!$C$27*INDEX('Lease Cycles'!$ET$27:$EZ$27,1,CU333)*(1+'Lease Cycles'!$V$27)^INT(INT(CU334/12)/'Lease Cycles'!$W$27)/12,0),0)</f>
        <v>0</v>
      </c>
      <c r="CV337" s="28">
        <f>IF(CV335=1,IF(INDEX('Lease Cycles'!$EF$27:$EL$27,1,CV333)=1,'Lease Cycles'!$C$27*INDEX('Lease Cycles'!$ET$27:$EZ$27,1,CV333)*(1+'Lease Cycles'!$V$27)^INT(INT(CV334/12)/'Lease Cycles'!$W$27)/12,0),0)</f>
        <v>0</v>
      </c>
      <c r="CW337" s="28">
        <f>IF(CW335=1,IF(INDEX('Lease Cycles'!$EF$27:$EL$27,1,CW333)=1,'Lease Cycles'!$C$27*INDEX('Lease Cycles'!$ET$27:$EZ$27,1,CW333)*(1+'Lease Cycles'!$V$27)^INT(INT(CW334/12)/'Lease Cycles'!$W$27)/12,0),0)</f>
        <v>0</v>
      </c>
      <c r="CX337" s="28">
        <f>IF(CX335=1,IF(INDEX('Lease Cycles'!$EF$27:$EL$27,1,CX333)=1,'Lease Cycles'!$C$27*INDEX('Lease Cycles'!$ET$27:$EZ$27,1,CX333)*(1+'Lease Cycles'!$V$27)^INT(INT(CX334/12)/'Lease Cycles'!$W$27)/12,0),0)</f>
        <v>0</v>
      </c>
      <c r="CY337" s="28">
        <f>IF(CY335=1,IF(INDEX('Lease Cycles'!$EF$27:$EL$27,1,CY333)=1,'Lease Cycles'!$C$27*INDEX('Lease Cycles'!$ET$27:$EZ$27,1,CY333)*(1+'Lease Cycles'!$V$27)^INT(INT(CY334/12)/'Lease Cycles'!$W$27)/12,0),0)</f>
        <v>0</v>
      </c>
      <c r="CZ337" s="28">
        <f>IF(CZ335=1,IF(INDEX('Lease Cycles'!$EF$27:$EL$27,1,CZ333)=1,'Lease Cycles'!$C$27*INDEX('Lease Cycles'!$ET$27:$EZ$27,1,CZ333)*(1+'Lease Cycles'!$V$27)^INT(INT(CZ334/12)/'Lease Cycles'!$W$27)/12,0),0)</f>
        <v>0</v>
      </c>
      <c r="DA337" s="28">
        <f>IF(DA335=1,IF(INDEX('Lease Cycles'!$EF$27:$EL$27,1,DA333)=1,'Lease Cycles'!$C$27*INDEX('Lease Cycles'!$ET$27:$EZ$27,1,DA333)*(1+'Lease Cycles'!$V$27)^INT(INT(DA334/12)/'Lease Cycles'!$W$27)/12,0),0)</f>
        <v>0</v>
      </c>
      <c r="DB337" s="28">
        <f>IF(DB335=1,IF(INDEX('Lease Cycles'!$EF$27:$EL$27,1,DB333)=1,'Lease Cycles'!$C$27*INDEX('Lease Cycles'!$ET$27:$EZ$27,1,DB333)*(1+'Lease Cycles'!$V$27)^INT(INT(DB334/12)/'Lease Cycles'!$W$27)/12,0),0)</f>
        <v>0</v>
      </c>
      <c r="DC337" s="28">
        <f>IF(DC335=1,IF(INDEX('Lease Cycles'!$EF$27:$EL$27,1,DC333)=1,'Lease Cycles'!$C$27*INDEX('Lease Cycles'!$ET$27:$EZ$27,1,DC333)*(1+'Lease Cycles'!$V$27)^INT(INT(DC334/12)/'Lease Cycles'!$W$27)/12,0),0)</f>
        <v>0</v>
      </c>
      <c r="DD337" s="28">
        <f>IF(DD335=1,IF(INDEX('Lease Cycles'!$EF$27:$EL$27,1,DD333)=1,'Lease Cycles'!$C$27*INDEX('Lease Cycles'!$ET$27:$EZ$27,1,DD333)*(1+'Lease Cycles'!$V$27)^INT(INT(DD334/12)/'Lease Cycles'!$W$27)/12,0),0)</f>
        <v>0</v>
      </c>
      <c r="DE337" s="28">
        <f>IF(DE335=1,IF(INDEX('Lease Cycles'!$EF$27:$EL$27,1,DE333)=1,'Lease Cycles'!$C$27*INDEX('Lease Cycles'!$ET$27:$EZ$27,1,DE333)*(1+'Lease Cycles'!$V$27)^INT(INT(DE334/12)/'Lease Cycles'!$W$27)/12,0),0)</f>
        <v>0</v>
      </c>
      <c r="DF337" s="28">
        <f>IF(DF335=1,IF(INDEX('Lease Cycles'!$EF$27:$EL$27,1,DF333)=1,'Lease Cycles'!$C$27*INDEX('Lease Cycles'!$ET$27:$EZ$27,1,DF333)*(1+'Lease Cycles'!$V$27)^INT(INT(DF334/12)/'Lease Cycles'!$W$27)/12,0),0)</f>
        <v>0</v>
      </c>
      <c r="DG337" s="28">
        <f>IF(DG335=1,IF(INDEX('Lease Cycles'!$EF$27:$EL$27,1,DG333)=1,'Lease Cycles'!$C$27*INDEX('Lease Cycles'!$ET$27:$EZ$27,1,DG333)*(1+'Lease Cycles'!$V$27)^INT(INT(DG334/12)/'Lease Cycles'!$W$27)/12,0),0)</f>
        <v>0</v>
      </c>
      <c r="DH337" s="28">
        <f>IF(DH335=1,IF(INDEX('Lease Cycles'!$EF$27:$EL$27,1,DH333)=1,'Lease Cycles'!$C$27*INDEX('Lease Cycles'!$ET$27:$EZ$27,1,DH333)*(1+'Lease Cycles'!$V$27)^INT(INT(DH334/12)/'Lease Cycles'!$W$27)/12,0),0)</f>
        <v>0</v>
      </c>
      <c r="DI337" s="28">
        <f>IF(DI335=1,IF(INDEX('Lease Cycles'!$EF$27:$EL$27,1,DI333)=1,'Lease Cycles'!$C$27*INDEX('Lease Cycles'!$ET$27:$EZ$27,1,DI333)*(1+'Lease Cycles'!$V$27)^INT(INT(DI334/12)/'Lease Cycles'!$W$27)/12,0),0)</f>
        <v>0</v>
      </c>
      <c r="DJ337" s="28">
        <f>IF(DJ335=1,IF(INDEX('Lease Cycles'!$EF$27:$EL$27,1,DJ333)=1,'Lease Cycles'!$C$27*INDEX('Lease Cycles'!$ET$27:$EZ$27,1,DJ333)*(1+'Lease Cycles'!$V$27)^INT(INT(DJ334/12)/'Lease Cycles'!$W$27)/12,0),0)</f>
        <v>0</v>
      </c>
      <c r="DK337" s="28">
        <f>IF(DK335=1,IF(INDEX('Lease Cycles'!$EF$27:$EL$27,1,DK333)=1,'Lease Cycles'!$C$27*INDEX('Lease Cycles'!$ET$27:$EZ$27,1,DK333)*(1+'Lease Cycles'!$V$27)^INT(INT(DK334/12)/'Lease Cycles'!$W$27)/12,0),0)</f>
        <v>0</v>
      </c>
      <c r="DL337" s="28">
        <f>IF(DL335=1,IF(INDEX('Lease Cycles'!$EF$27:$EL$27,1,DL333)=1,'Lease Cycles'!$C$27*INDEX('Lease Cycles'!$ET$27:$EZ$27,1,DL333)*(1+'Lease Cycles'!$V$27)^INT(INT(DL334/12)/'Lease Cycles'!$W$27)/12,0),0)</f>
        <v>0</v>
      </c>
      <c r="DM337" s="28">
        <f>IF(DM335=1,IF(INDEX('Lease Cycles'!$EF$27:$EL$27,1,DM333)=1,'Lease Cycles'!$C$27*INDEX('Lease Cycles'!$ET$27:$EZ$27,1,DM333)*(1+'Lease Cycles'!$V$27)^INT(INT(DM334/12)/'Lease Cycles'!$W$27)/12,0),0)</f>
        <v>0</v>
      </c>
      <c r="DN337" s="28">
        <f>IF(DN335=1,IF(INDEX('Lease Cycles'!$EF$27:$EL$27,1,DN333)=1,'Lease Cycles'!$C$27*INDEX('Lease Cycles'!$ET$27:$EZ$27,1,DN333)*(1+'Lease Cycles'!$V$27)^INT(INT(DN334/12)/'Lease Cycles'!$W$27)/12,0),0)</f>
        <v>0</v>
      </c>
      <c r="DO337" s="28">
        <f>IF(DO335=1,IF(INDEX('Lease Cycles'!$EF$27:$EL$27,1,DO333)=1,'Lease Cycles'!$C$27*INDEX('Lease Cycles'!$ET$27:$EZ$27,1,DO333)*(1+'Lease Cycles'!$V$27)^INT(INT(DO334/12)/'Lease Cycles'!$W$27)/12,0),0)</f>
        <v>0</v>
      </c>
      <c r="DP337" s="28">
        <f>IF(DP335=1,IF(INDEX('Lease Cycles'!$EF$27:$EL$27,1,DP333)=1,'Lease Cycles'!$C$27*INDEX('Lease Cycles'!$ET$27:$EZ$27,1,DP333)*(1+'Lease Cycles'!$V$27)^INT(INT(DP334/12)/'Lease Cycles'!$W$27)/12,0),0)</f>
        <v>0</v>
      </c>
      <c r="DQ337" s="28">
        <f>IF(DQ335=1,IF(INDEX('Lease Cycles'!$EF$27:$EL$27,1,DQ333)=1,'Lease Cycles'!$C$27*INDEX('Lease Cycles'!$ET$27:$EZ$27,1,DQ333)*(1+'Lease Cycles'!$V$27)^INT(INT(DQ334/12)/'Lease Cycles'!$W$27)/12,0),0)</f>
        <v>0</v>
      </c>
      <c r="DR337" s="28">
        <f>IF(DR335=1,IF(INDEX('Lease Cycles'!$EF$27:$EL$27,1,DR333)=1,'Lease Cycles'!$C$27*INDEX('Lease Cycles'!$ET$27:$EZ$27,1,DR333)*(1+'Lease Cycles'!$V$27)^INT(INT(DR334/12)/'Lease Cycles'!$W$27)/12,0),0)</f>
        <v>0</v>
      </c>
      <c r="DS337" s="28">
        <f>IF(DS335=1,IF(INDEX('Lease Cycles'!$EF$27:$EL$27,1,DS333)=1,'Lease Cycles'!$C$27*INDEX('Lease Cycles'!$ET$27:$EZ$27,1,DS333)*(1+'Lease Cycles'!$V$27)^INT(INT(DS334/12)/'Lease Cycles'!$W$27)/12,0),0)</f>
        <v>0</v>
      </c>
      <c r="DT337" s="28">
        <f>IF(DT335=1,IF(INDEX('Lease Cycles'!$EF$27:$EL$27,1,DT333)=1,'Lease Cycles'!$C$27*INDEX('Lease Cycles'!$ET$27:$EZ$27,1,DT333)*(1+'Lease Cycles'!$V$27)^INT(INT(DT334/12)/'Lease Cycles'!$W$27)/12,0),0)</f>
        <v>0</v>
      </c>
      <c r="DU337" s="28">
        <f>IF(DU335=1,IF(INDEX('Lease Cycles'!$EF$27:$EL$27,1,DU333)=1,'Lease Cycles'!$C$27*INDEX('Lease Cycles'!$ET$27:$EZ$27,1,DU333)*(1+'Lease Cycles'!$V$27)^INT(INT(DU334/12)/'Lease Cycles'!$W$27)/12,0),0)</f>
        <v>0</v>
      </c>
      <c r="DV337" s="28">
        <f>IF(DV335=1,IF(INDEX('Lease Cycles'!$EF$27:$EL$27,1,DV333)=1,'Lease Cycles'!$C$27*INDEX('Lease Cycles'!$ET$27:$EZ$27,1,DV333)*(1+'Lease Cycles'!$V$27)^INT(INT(DV334/12)/'Lease Cycles'!$W$27)/12,0),0)</f>
        <v>0</v>
      </c>
      <c r="DW337" s="28">
        <f>IF(DW335=1,IF(INDEX('Lease Cycles'!$EF$27:$EL$27,1,DW333)=1,'Lease Cycles'!$C$27*INDEX('Lease Cycles'!$ET$27:$EZ$27,1,DW333)*(1+'Lease Cycles'!$V$27)^INT(INT(DW334/12)/'Lease Cycles'!$W$27)/12,0),0)</f>
        <v>0</v>
      </c>
      <c r="DX337" s="28">
        <f>IF(DX335=1,IF(INDEX('Lease Cycles'!$EF$27:$EL$27,1,DX333)=1,'Lease Cycles'!$C$27*INDEX('Lease Cycles'!$ET$27:$EZ$27,1,DX333)*(1+'Lease Cycles'!$V$27)^INT(INT(DX334/12)/'Lease Cycles'!$W$27)/12,0),0)</f>
        <v>0</v>
      </c>
      <c r="DY337" s="28">
        <f>IF(DY335=1,IF(INDEX('Lease Cycles'!$EF$27:$EL$27,1,DY333)=1,'Lease Cycles'!$C$27*INDEX('Lease Cycles'!$ET$27:$EZ$27,1,DY333)*(1+'Lease Cycles'!$V$27)^INT(INT(DY334/12)/'Lease Cycles'!$W$27)/12,0),0)</f>
        <v>0</v>
      </c>
      <c r="DZ337" s="28">
        <f>IF(DZ335=1,IF(INDEX('Lease Cycles'!$EF$27:$EL$27,1,DZ333)=1,'Lease Cycles'!$C$27*INDEX('Lease Cycles'!$ET$27:$EZ$27,1,DZ333)*(1+'Lease Cycles'!$V$27)^INT(INT(DZ334/12)/'Lease Cycles'!$W$27)/12,0),0)</f>
        <v>0</v>
      </c>
      <c r="EA337" s="28">
        <f>IF(EA335=1,IF(INDEX('Lease Cycles'!$EF$27:$EL$27,1,EA333)=1,'Lease Cycles'!$C$27*INDEX('Lease Cycles'!$ET$27:$EZ$27,1,EA333)*(1+'Lease Cycles'!$V$27)^INT(INT(EA334/12)/'Lease Cycles'!$W$27)/12,0),0)</f>
        <v>0</v>
      </c>
      <c r="EB337" s="28">
        <f>IF(EB335=1,IF(INDEX('Lease Cycles'!$EF$27:$EL$27,1,EB333)=1,'Lease Cycles'!$C$27*INDEX('Lease Cycles'!$ET$27:$EZ$27,1,EB333)*(1+'Lease Cycles'!$V$27)^INT(INT(EB334/12)/'Lease Cycles'!$W$27)/12,0),0)</f>
        <v>0</v>
      </c>
      <c r="EC337" s="28">
        <f>IF(EC335=1,IF(INDEX('Lease Cycles'!$EF$27:$EL$27,1,EC333)=1,'Lease Cycles'!$C$27*INDEX('Lease Cycles'!$ET$27:$EZ$27,1,EC333)*(1+'Lease Cycles'!$V$27)^INT(INT(EC334/12)/'Lease Cycles'!$W$27)/12,0),0)</f>
        <v>0</v>
      </c>
      <c r="ED337" s="28">
        <f>IF(ED335=1,IF(INDEX('Lease Cycles'!$EF$27:$EL$27,1,ED333)=1,'Lease Cycles'!$C$27*INDEX('Lease Cycles'!$ET$27:$EZ$27,1,ED333)*(1+'Lease Cycles'!$V$27)^INT(INT(ED334/12)/'Lease Cycles'!$W$27)/12,0),0)</f>
        <v>0</v>
      </c>
      <c r="EE337" s="28">
        <f>IF(EE335=1,IF(INDEX('Lease Cycles'!$EF$27:$EL$27,1,EE333)=1,'Lease Cycles'!$C$27*INDEX('Lease Cycles'!$ET$27:$EZ$27,1,EE333)*(1+'Lease Cycles'!$V$27)^INT(INT(EE334/12)/'Lease Cycles'!$W$27)/12,0),0)</f>
        <v>0</v>
      </c>
      <c r="EF337" s="28">
        <f>IF(EF335=1,IF(INDEX('Lease Cycles'!$EF$27:$EL$27,1,EF333)=1,'Lease Cycles'!$C$27*INDEX('Lease Cycles'!$ET$27:$EZ$27,1,EF333)*(1+'Lease Cycles'!$V$27)^INT(INT(EF334/12)/'Lease Cycles'!$W$27)/12,0),0)</f>
        <v>0</v>
      </c>
      <c r="EG337" s="28">
        <f>IF(EG335=1,IF(INDEX('Lease Cycles'!$EF$27:$EL$27,1,EG333)=1,'Lease Cycles'!$C$27*INDEX('Lease Cycles'!$ET$27:$EZ$27,1,EG333)*(1+'Lease Cycles'!$V$27)^INT(INT(EG334/12)/'Lease Cycles'!$W$27)/12,0),0)</f>
        <v>0</v>
      </c>
      <c r="EH337" s="28">
        <f>IF(EH335=1,IF(INDEX('Lease Cycles'!$EF$27:$EL$27,1,EH333)=1,'Lease Cycles'!$C$27*INDEX('Lease Cycles'!$ET$27:$EZ$27,1,EH333)*(1+'Lease Cycles'!$V$27)^INT(INT(EH334/12)/'Lease Cycles'!$W$27)/12,0),0)</f>
        <v>0</v>
      </c>
      <c r="EI337" s="28">
        <f>IF(EI335=1,IF(INDEX('Lease Cycles'!$EF$27:$EL$27,1,EI333)=1,'Lease Cycles'!$C$27*INDEX('Lease Cycles'!$ET$27:$EZ$27,1,EI333)*(1+'Lease Cycles'!$V$27)^INT(INT(EI334/12)/'Lease Cycles'!$W$27)/12,0),0)</f>
        <v>0</v>
      </c>
      <c r="EJ337" s="28">
        <f>IF(EJ335=1,IF(INDEX('Lease Cycles'!$EF$27:$EL$27,1,EJ333)=1,'Lease Cycles'!$C$27*INDEX('Lease Cycles'!$ET$27:$EZ$27,1,EJ333)*(1+'Lease Cycles'!$V$27)^INT(INT(EJ334/12)/'Lease Cycles'!$W$27)/12,0),0)</f>
        <v>0</v>
      </c>
      <c r="EK337" s="28">
        <f>IF(EK335=1,IF(INDEX('Lease Cycles'!$EF$27:$EL$27,1,EK333)=1,'Lease Cycles'!$C$27*INDEX('Lease Cycles'!$ET$27:$EZ$27,1,EK333)*(1+'Lease Cycles'!$V$27)^INT(INT(EK334/12)/'Lease Cycles'!$W$27)/12,0),0)</f>
        <v>0</v>
      </c>
      <c r="EL337" s="28">
        <f>IF(EL335=1,IF(INDEX('Lease Cycles'!$EF$27:$EL$27,1,EL333)=1,'Lease Cycles'!$C$27*INDEX('Lease Cycles'!$ET$27:$EZ$27,1,EL333)*(1+'Lease Cycles'!$V$27)^INT(INT(EL334/12)/'Lease Cycles'!$W$27)/12,0),0)</f>
        <v>0</v>
      </c>
      <c r="EM337" s="28">
        <f>IF(EM335=1,IF(INDEX('Lease Cycles'!$EF$27:$EL$27,1,EM333)=1,'Lease Cycles'!$C$27*INDEX('Lease Cycles'!$ET$27:$EZ$27,1,EM333)*(1+'Lease Cycles'!$V$27)^INT(INT(EM334/12)/'Lease Cycles'!$W$27)/12,0),0)</f>
        <v>0</v>
      </c>
      <c r="EN337" s="28">
        <f>IF(EN335=1,IF(INDEX('Lease Cycles'!$EF$27:$EL$27,1,EN333)=1,'Lease Cycles'!$C$27*INDEX('Lease Cycles'!$ET$27:$EZ$27,1,EN333)*(1+'Lease Cycles'!$V$27)^INT(INT(EN334/12)/'Lease Cycles'!$W$27)/12,0),0)</f>
        <v>0</v>
      </c>
      <c r="EO337" s="28">
        <f>IF(EO335=1,IF(INDEX('Lease Cycles'!$EF$27:$EL$27,1,EO333)=1,'Lease Cycles'!$C$27*INDEX('Lease Cycles'!$ET$27:$EZ$27,1,EO333)*(1+'Lease Cycles'!$V$27)^INT(INT(EO334/12)/'Lease Cycles'!$W$27)/12,0),0)</f>
        <v>0</v>
      </c>
      <c r="EP337" s="28">
        <f>IF(EP335=1,IF(INDEX('Lease Cycles'!$EF$27:$EL$27,1,EP333)=1,'Lease Cycles'!$C$27*INDEX('Lease Cycles'!$ET$27:$EZ$27,1,EP333)*(1+'Lease Cycles'!$V$27)^INT(INT(EP334/12)/'Lease Cycles'!$W$27)/12,0),0)</f>
        <v>0</v>
      </c>
      <c r="EQ337" s="28">
        <f>IF(EQ335=1,IF(INDEX('Lease Cycles'!$EF$27:$EL$27,1,EQ333)=1,'Lease Cycles'!$C$27*INDEX('Lease Cycles'!$ET$27:$EZ$27,1,EQ333)*(1+'Lease Cycles'!$V$27)^INT(INT(EQ334/12)/'Lease Cycles'!$W$27)/12,0),0)</f>
        <v>0</v>
      </c>
      <c r="ER337" s="28">
        <f>IF(ER335=1,IF(INDEX('Lease Cycles'!$EF$27:$EL$27,1,ER333)=1,'Lease Cycles'!$C$27*INDEX('Lease Cycles'!$ET$27:$EZ$27,1,ER333)*(1+'Lease Cycles'!$V$27)^INT(INT(ER334/12)/'Lease Cycles'!$W$27)/12,0),0)</f>
        <v>0</v>
      </c>
      <c r="ES337" s="28">
        <f>IF(ES335=1,IF(INDEX('Lease Cycles'!$EF$27:$EL$27,1,ES333)=1,'Lease Cycles'!$C$27*INDEX('Lease Cycles'!$ET$27:$EZ$27,1,ES333)*(1+'Lease Cycles'!$V$27)^INT(INT(ES334/12)/'Lease Cycles'!$W$27)/12,0),0)</f>
        <v>0</v>
      </c>
      <c r="ET337" s="28">
        <f>IF(ET335=1,IF(INDEX('Lease Cycles'!$EF$27:$EL$27,1,ET333)=1,'Lease Cycles'!$C$27*INDEX('Lease Cycles'!$ET$27:$EZ$27,1,ET333)*(1+'Lease Cycles'!$V$27)^INT(INT(ET334/12)/'Lease Cycles'!$W$27)/12,0),0)</f>
        <v>0</v>
      </c>
    </row>
    <row r="338">
      <c r="A338" s="103">
        <v>20</v>
      </c>
      <c r="B338" s="23" t="str">
        <f>IF('Lease Cycles'!$B$27="","(empty slot)",'Lease Cycles'!$B$27)</f>
        <v>(empty slot)</v>
      </c>
      <c r="C338" s="23" t="s">
        <v>681</v>
      </c>
      <c r="D338" s="104" t="s">
        <v>490</v>
      </c>
      <c r="E338" s="25">
        <f>'Lease Cycles'!$AL$27</f>
        <v>0</v>
      </c>
      <c r="G338" s="28">
        <f>SUM(S338:AD338)</f>
        <v>0</v>
      </c>
      <c r="H338" s="28">
        <f>SUM(AE338:AP338)</f>
        <v>0</v>
      </c>
      <c r="I338" s="28">
        <f>SUM(AQ338:BB338)</f>
        <v>0</v>
      </c>
      <c r="J338" s="28">
        <f>SUM(BC338:BN338)</f>
        <v>0</v>
      </c>
      <c r="K338" s="28">
        <f>SUM(BO338:BZ338)</f>
        <v>0</v>
      </c>
      <c r="L338" s="28">
        <f>SUM(CA338:CL338)</f>
        <v>0</v>
      </c>
      <c r="M338" s="28">
        <f>SUM(CM338:CX338)</f>
        <v>0</v>
      </c>
      <c r="N338" s="28">
        <f>SUM(CY338:DJ338)</f>
        <v>0</v>
      </c>
      <c r="O338" s="28">
        <f>SUM(DK338:DV338)</f>
        <v>0</v>
      </c>
      <c r="P338" s="28">
        <f>SUM(DW338:EH338)</f>
        <v>0</v>
      </c>
      <c r="Q338" s="28">
        <f>SUM(EI338:ET338)</f>
        <v>0</v>
      </c>
      <c r="S338" s="28">
        <f>IF(S335=1,IF(INDEX('Lease Cycles'!$EF$27:$EL$27,1,S333)=1,S336*INDEX('Lease Cycles'!$EM$27:$ES$27,1,S333)+S337*(1-INDEX('Lease Cycles'!$EM$27:$ES$27,1,S333)),S336),S336)</f>
        <v>0</v>
      </c>
      <c r="T338" s="28">
        <f>IF(T335=1,IF(INDEX('Lease Cycles'!$EF$27:$EL$27,1,T333)=1,T336*INDEX('Lease Cycles'!$EM$27:$ES$27,1,T333)+T337*(1-INDEX('Lease Cycles'!$EM$27:$ES$27,1,T333)),T336),T336)</f>
        <v>0</v>
      </c>
      <c r="U338" s="28">
        <f>IF(U335=1,IF(INDEX('Lease Cycles'!$EF$27:$EL$27,1,U333)=1,U336*INDEX('Lease Cycles'!$EM$27:$ES$27,1,U333)+U337*(1-INDEX('Lease Cycles'!$EM$27:$ES$27,1,U333)),U336),U336)</f>
        <v>0</v>
      </c>
      <c r="V338" s="28">
        <f>IF(V335=1,IF(INDEX('Lease Cycles'!$EF$27:$EL$27,1,V333)=1,V336*INDEX('Lease Cycles'!$EM$27:$ES$27,1,V333)+V337*(1-INDEX('Lease Cycles'!$EM$27:$ES$27,1,V333)),V336),V336)</f>
        <v>0</v>
      </c>
      <c r="W338" s="28">
        <f>IF(W335=1,IF(INDEX('Lease Cycles'!$EF$27:$EL$27,1,W333)=1,W336*INDEX('Lease Cycles'!$EM$27:$ES$27,1,W333)+W337*(1-INDEX('Lease Cycles'!$EM$27:$ES$27,1,W333)),W336),W336)</f>
        <v>0</v>
      </c>
      <c r="X338" s="28">
        <f>IF(X335=1,IF(INDEX('Lease Cycles'!$EF$27:$EL$27,1,X333)=1,X336*INDEX('Lease Cycles'!$EM$27:$ES$27,1,X333)+X337*(1-INDEX('Lease Cycles'!$EM$27:$ES$27,1,X333)),X336),X336)</f>
        <v>0</v>
      </c>
      <c r="Y338" s="28">
        <f>IF(Y335=1,IF(INDEX('Lease Cycles'!$EF$27:$EL$27,1,Y333)=1,Y336*INDEX('Lease Cycles'!$EM$27:$ES$27,1,Y333)+Y337*(1-INDEX('Lease Cycles'!$EM$27:$ES$27,1,Y333)),Y336),Y336)</f>
        <v>0</v>
      </c>
      <c r="Z338" s="28">
        <f>IF(Z335=1,IF(INDEX('Lease Cycles'!$EF$27:$EL$27,1,Z333)=1,Z336*INDEX('Lease Cycles'!$EM$27:$ES$27,1,Z333)+Z337*(1-INDEX('Lease Cycles'!$EM$27:$ES$27,1,Z333)),Z336),Z336)</f>
        <v>0</v>
      </c>
      <c r="AA338" s="28">
        <f>IF(AA335=1,IF(INDEX('Lease Cycles'!$EF$27:$EL$27,1,AA333)=1,AA336*INDEX('Lease Cycles'!$EM$27:$ES$27,1,AA333)+AA337*(1-INDEX('Lease Cycles'!$EM$27:$ES$27,1,AA333)),AA336),AA336)</f>
        <v>0</v>
      </c>
      <c r="AB338" s="28">
        <f>IF(AB335=1,IF(INDEX('Lease Cycles'!$EF$27:$EL$27,1,AB333)=1,AB336*INDEX('Lease Cycles'!$EM$27:$ES$27,1,AB333)+AB337*(1-INDEX('Lease Cycles'!$EM$27:$ES$27,1,AB333)),AB336),AB336)</f>
        <v>0</v>
      </c>
      <c r="AC338" s="28">
        <f>IF(AC335=1,IF(INDEX('Lease Cycles'!$EF$27:$EL$27,1,AC333)=1,AC336*INDEX('Lease Cycles'!$EM$27:$ES$27,1,AC333)+AC337*(1-INDEX('Lease Cycles'!$EM$27:$ES$27,1,AC333)),AC336),AC336)</f>
        <v>0</v>
      </c>
      <c r="AD338" s="28">
        <f>IF(AD335=1,IF(INDEX('Lease Cycles'!$EF$27:$EL$27,1,AD333)=1,AD336*INDEX('Lease Cycles'!$EM$27:$ES$27,1,AD333)+AD337*(1-INDEX('Lease Cycles'!$EM$27:$ES$27,1,AD333)),AD336),AD336)</f>
        <v>0</v>
      </c>
      <c r="AE338" s="28">
        <f>IF(AE335=1,IF(INDEX('Lease Cycles'!$EF$27:$EL$27,1,AE333)=1,AE336*INDEX('Lease Cycles'!$EM$27:$ES$27,1,AE333)+AE337*(1-INDEX('Lease Cycles'!$EM$27:$ES$27,1,AE333)),AE336),AE336)</f>
        <v>0</v>
      </c>
      <c r="AF338" s="28">
        <f>IF(AF335=1,IF(INDEX('Lease Cycles'!$EF$27:$EL$27,1,AF333)=1,AF336*INDEX('Lease Cycles'!$EM$27:$ES$27,1,AF333)+AF337*(1-INDEX('Lease Cycles'!$EM$27:$ES$27,1,AF333)),AF336),AF336)</f>
        <v>0</v>
      </c>
      <c r="AG338" s="28">
        <f>IF(AG335=1,IF(INDEX('Lease Cycles'!$EF$27:$EL$27,1,AG333)=1,AG336*INDEX('Lease Cycles'!$EM$27:$ES$27,1,AG333)+AG337*(1-INDEX('Lease Cycles'!$EM$27:$ES$27,1,AG333)),AG336),AG336)</f>
        <v>0</v>
      </c>
      <c r="AH338" s="28">
        <f>IF(AH335=1,IF(INDEX('Lease Cycles'!$EF$27:$EL$27,1,AH333)=1,AH336*INDEX('Lease Cycles'!$EM$27:$ES$27,1,AH333)+AH337*(1-INDEX('Lease Cycles'!$EM$27:$ES$27,1,AH333)),AH336),AH336)</f>
        <v>0</v>
      </c>
      <c r="AI338" s="28">
        <f>IF(AI335=1,IF(INDEX('Lease Cycles'!$EF$27:$EL$27,1,AI333)=1,AI336*INDEX('Lease Cycles'!$EM$27:$ES$27,1,AI333)+AI337*(1-INDEX('Lease Cycles'!$EM$27:$ES$27,1,AI333)),AI336),AI336)</f>
        <v>0</v>
      </c>
      <c r="AJ338" s="28">
        <f>IF(AJ335=1,IF(INDEX('Lease Cycles'!$EF$27:$EL$27,1,AJ333)=1,AJ336*INDEX('Lease Cycles'!$EM$27:$ES$27,1,AJ333)+AJ337*(1-INDEX('Lease Cycles'!$EM$27:$ES$27,1,AJ333)),AJ336),AJ336)</f>
        <v>0</v>
      </c>
      <c r="AK338" s="28">
        <f>IF(AK335=1,IF(INDEX('Lease Cycles'!$EF$27:$EL$27,1,AK333)=1,AK336*INDEX('Lease Cycles'!$EM$27:$ES$27,1,AK333)+AK337*(1-INDEX('Lease Cycles'!$EM$27:$ES$27,1,AK333)),AK336),AK336)</f>
        <v>0</v>
      </c>
      <c r="AL338" s="28">
        <f>IF(AL335=1,IF(INDEX('Lease Cycles'!$EF$27:$EL$27,1,AL333)=1,AL336*INDEX('Lease Cycles'!$EM$27:$ES$27,1,AL333)+AL337*(1-INDEX('Lease Cycles'!$EM$27:$ES$27,1,AL333)),AL336),AL336)</f>
        <v>0</v>
      </c>
      <c r="AM338" s="28">
        <f>IF(AM335=1,IF(INDEX('Lease Cycles'!$EF$27:$EL$27,1,AM333)=1,AM336*INDEX('Lease Cycles'!$EM$27:$ES$27,1,AM333)+AM337*(1-INDEX('Lease Cycles'!$EM$27:$ES$27,1,AM333)),AM336),AM336)</f>
        <v>0</v>
      </c>
      <c r="AN338" s="28">
        <f>IF(AN335=1,IF(INDEX('Lease Cycles'!$EF$27:$EL$27,1,AN333)=1,AN336*INDEX('Lease Cycles'!$EM$27:$ES$27,1,AN333)+AN337*(1-INDEX('Lease Cycles'!$EM$27:$ES$27,1,AN333)),AN336),AN336)</f>
        <v>0</v>
      </c>
      <c r="AO338" s="28">
        <f>IF(AO335=1,IF(INDEX('Lease Cycles'!$EF$27:$EL$27,1,AO333)=1,AO336*INDEX('Lease Cycles'!$EM$27:$ES$27,1,AO333)+AO337*(1-INDEX('Lease Cycles'!$EM$27:$ES$27,1,AO333)),AO336),AO336)</f>
        <v>0</v>
      </c>
      <c r="AP338" s="28">
        <f>IF(AP335=1,IF(INDEX('Lease Cycles'!$EF$27:$EL$27,1,AP333)=1,AP336*INDEX('Lease Cycles'!$EM$27:$ES$27,1,AP333)+AP337*(1-INDEX('Lease Cycles'!$EM$27:$ES$27,1,AP333)),AP336),AP336)</f>
        <v>0</v>
      </c>
      <c r="AQ338" s="28">
        <f>IF(AQ335=1,IF(INDEX('Lease Cycles'!$EF$27:$EL$27,1,AQ333)=1,AQ336*INDEX('Lease Cycles'!$EM$27:$ES$27,1,AQ333)+AQ337*(1-INDEX('Lease Cycles'!$EM$27:$ES$27,1,AQ333)),AQ336),AQ336)</f>
        <v>0</v>
      </c>
      <c r="AR338" s="28">
        <f>IF(AR335=1,IF(INDEX('Lease Cycles'!$EF$27:$EL$27,1,AR333)=1,AR336*INDEX('Lease Cycles'!$EM$27:$ES$27,1,AR333)+AR337*(1-INDEX('Lease Cycles'!$EM$27:$ES$27,1,AR333)),AR336),AR336)</f>
        <v>0</v>
      </c>
      <c r="AS338" s="28">
        <f>IF(AS335=1,IF(INDEX('Lease Cycles'!$EF$27:$EL$27,1,AS333)=1,AS336*INDEX('Lease Cycles'!$EM$27:$ES$27,1,AS333)+AS337*(1-INDEX('Lease Cycles'!$EM$27:$ES$27,1,AS333)),AS336),AS336)</f>
        <v>0</v>
      </c>
      <c r="AT338" s="28">
        <f>IF(AT335=1,IF(INDEX('Lease Cycles'!$EF$27:$EL$27,1,AT333)=1,AT336*INDEX('Lease Cycles'!$EM$27:$ES$27,1,AT333)+AT337*(1-INDEX('Lease Cycles'!$EM$27:$ES$27,1,AT333)),AT336),AT336)</f>
        <v>0</v>
      </c>
      <c r="AU338" s="28">
        <f>IF(AU335=1,IF(INDEX('Lease Cycles'!$EF$27:$EL$27,1,AU333)=1,AU336*INDEX('Lease Cycles'!$EM$27:$ES$27,1,AU333)+AU337*(1-INDEX('Lease Cycles'!$EM$27:$ES$27,1,AU333)),AU336),AU336)</f>
        <v>0</v>
      </c>
      <c r="AV338" s="28">
        <f>IF(AV335=1,IF(INDEX('Lease Cycles'!$EF$27:$EL$27,1,AV333)=1,AV336*INDEX('Lease Cycles'!$EM$27:$ES$27,1,AV333)+AV337*(1-INDEX('Lease Cycles'!$EM$27:$ES$27,1,AV333)),AV336),AV336)</f>
        <v>0</v>
      </c>
      <c r="AW338" s="28">
        <f>IF(AW335=1,IF(INDEX('Lease Cycles'!$EF$27:$EL$27,1,AW333)=1,AW336*INDEX('Lease Cycles'!$EM$27:$ES$27,1,AW333)+AW337*(1-INDEX('Lease Cycles'!$EM$27:$ES$27,1,AW333)),AW336),AW336)</f>
        <v>0</v>
      </c>
      <c r="AX338" s="28">
        <f>IF(AX335=1,IF(INDEX('Lease Cycles'!$EF$27:$EL$27,1,AX333)=1,AX336*INDEX('Lease Cycles'!$EM$27:$ES$27,1,AX333)+AX337*(1-INDEX('Lease Cycles'!$EM$27:$ES$27,1,AX333)),AX336),AX336)</f>
        <v>0</v>
      </c>
      <c r="AY338" s="28">
        <f>IF(AY335=1,IF(INDEX('Lease Cycles'!$EF$27:$EL$27,1,AY333)=1,AY336*INDEX('Lease Cycles'!$EM$27:$ES$27,1,AY333)+AY337*(1-INDEX('Lease Cycles'!$EM$27:$ES$27,1,AY333)),AY336),AY336)</f>
        <v>0</v>
      </c>
      <c r="AZ338" s="28">
        <f>IF(AZ335=1,IF(INDEX('Lease Cycles'!$EF$27:$EL$27,1,AZ333)=1,AZ336*INDEX('Lease Cycles'!$EM$27:$ES$27,1,AZ333)+AZ337*(1-INDEX('Lease Cycles'!$EM$27:$ES$27,1,AZ333)),AZ336),AZ336)</f>
        <v>0</v>
      </c>
      <c r="BA338" s="28">
        <f>IF(BA335=1,IF(INDEX('Lease Cycles'!$EF$27:$EL$27,1,BA333)=1,BA336*INDEX('Lease Cycles'!$EM$27:$ES$27,1,BA333)+BA337*(1-INDEX('Lease Cycles'!$EM$27:$ES$27,1,BA333)),BA336),BA336)</f>
        <v>0</v>
      </c>
      <c r="BB338" s="28">
        <f>IF(BB335=1,IF(INDEX('Lease Cycles'!$EF$27:$EL$27,1,BB333)=1,BB336*INDEX('Lease Cycles'!$EM$27:$ES$27,1,BB333)+BB337*(1-INDEX('Lease Cycles'!$EM$27:$ES$27,1,BB333)),BB336),BB336)</f>
        <v>0</v>
      </c>
      <c r="BC338" s="28">
        <f>IF(BC335=1,IF(INDEX('Lease Cycles'!$EF$27:$EL$27,1,BC333)=1,BC336*INDEX('Lease Cycles'!$EM$27:$ES$27,1,BC333)+BC337*(1-INDEX('Lease Cycles'!$EM$27:$ES$27,1,BC333)),BC336),BC336)</f>
        <v>0</v>
      </c>
      <c r="BD338" s="28">
        <f>IF(BD335=1,IF(INDEX('Lease Cycles'!$EF$27:$EL$27,1,BD333)=1,BD336*INDEX('Lease Cycles'!$EM$27:$ES$27,1,BD333)+BD337*(1-INDEX('Lease Cycles'!$EM$27:$ES$27,1,BD333)),BD336),BD336)</f>
        <v>0</v>
      </c>
      <c r="BE338" s="28">
        <f>IF(BE335=1,IF(INDEX('Lease Cycles'!$EF$27:$EL$27,1,BE333)=1,BE336*INDEX('Lease Cycles'!$EM$27:$ES$27,1,BE333)+BE337*(1-INDEX('Lease Cycles'!$EM$27:$ES$27,1,BE333)),BE336),BE336)</f>
        <v>0</v>
      </c>
      <c r="BF338" s="28">
        <f>IF(BF335=1,IF(INDEX('Lease Cycles'!$EF$27:$EL$27,1,BF333)=1,BF336*INDEX('Lease Cycles'!$EM$27:$ES$27,1,BF333)+BF337*(1-INDEX('Lease Cycles'!$EM$27:$ES$27,1,BF333)),BF336),BF336)</f>
        <v>0</v>
      </c>
      <c r="BG338" s="28">
        <f>IF(BG335=1,IF(INDEX('Lease Cycles'!$EF$27:$EL$27,1,BG333)=1,BG336*INDEX('Lease Cycles'!$EM$27:$ES$27,1,BG333)+BG337*(1-INDEX('Lease Cycles'!$EM$27:$ES$27,1,BG333)),BG336),BG336)</f>
        <v>0</v>
      </c>
      <c r="BH338" s="28">
        <f>IF(BH335=1,IF(INDEX('Lease Cycles'!$EF$27:$EL$27,1,BH333)=1,BH336*INDEX('Lease Cycles'!$EM$27:$ES$27,1,BH333)+BH337*(1-INDEX('Lease Cycles'!$EM$27:$ES$27,1,BH333)),BH336),BH336)</f>
        <v>0</v>
      </c>
      <c r="BI338" s="28">
        <f>IF(BI335=1,IF(INDEX('Lease Cycles'!$EF$27:$EL$27,1,BI333)=1,BI336*INDEX('Lease Cycles'!$EM$27:$ES$27,1,BI333)+BI337*(1-INDEX('Lease Cycles'!$EM$27:$ES$27,1,BI333)),BI336),BI336)</f>
        <v>0</v>
      </c>
      <c r="BJ338" s="28">
        <f>IF(BJ335=1,IF(INDEX('Lease Cycles'!$EF$27:$EL$27,1,BJ333)=1,BJ336*INDEX('Lease Cycles'!$EM$27:$ES$27,1,BJ333)+BJ337*(1-INDEX('Lease Cycles'!$EM$27:$ES$27,1,BJ333)),BJ336),BJ336)</f>
        <v>0</v>
      </c>
      <c r="BK338" s="28">
        <f>IF(BK335=1,IF(INDEX('Lease Cycles'!$EF$27:$EL$27,1,BK333)=1,BK336*INDEX('Lease Cycles'!$EM$27:$ES$27,1,BK333)+BK337*(1-INDEX('Lease Cycles'!$EM$27:$ES$27,1,BK333)),BK336),BK336)</f>
        <v>0</v>
      </c>
      <c r="BL338" s="28">
        <f>IF(BL335=1,IF(INDEX('Lease Cycles'!$EF$27:$EL$27,1,BL333)=1,BL336*INDEX('Lease Cycles'!$EM$27:$ES$27,1,BL333)+BL337*(1-INDEX('Lease Cycles'!$EM$27:$ES$27,1,BL333)),BL336),BL336)</f>
        <v>0</v>
      </c>
      <c r="BM338" s="28">
        <f>IF(BM335=1,IF(INDEX('Lease Cycles'!$EF$27:$EL$27,1,BM333)=1,BM336*INDEX('Lease Cycles'!$EM$27:$ES$27,1,BM333)+BM337*(1-INDEX('Lease Cycles'!$EM$27:$ES$27,1,BM333)),BM336),BM336)</f>
        <v>0</v>
      </c>
      <c r="BN338" s="28">
        <f>IF(BN335=1,IF(INDEX('Lease Cycles'!$EF$27:$EL$27,1,BN333)=1,BN336*INDEX('Lease Cycles'!$EM$27:$ES$27,1,BN333)+BN337*(1-INDEX('Lease Cycles'!$EM$27:$ES$27,1,BN333)),BN336),BN336)</f>
        <v>0</v>
      </c>
      <c r="BO338" s="28">
        <f>IF(BO335=1,IF(INDEX('Lease Cycles'!$EF$27:$EL$27,1,BO333)=1,BO336*INDEX('Lease Cycles'!$EM$27:$ES$27,1,BO333)+BO337*(1-INDEX('Lease Cycles'!$EM$27:$ES$27,1,BO333)),BO336),BO336)</f>
        <v>0</v>
      </c>
      <c r="BP338" s="28">
        <f>IF(BP335=1,IF(INDEX('Lease Cycles'!$EF$27:$EL$27,1,BP333)=1,BP336*INDEX('Lease Cycles'!$EM$27:$ES$27,1,BP333)+BP337*(1-INDEX('Lease Cycles'!$EM$27:$ES$27,1,BP333)),BP336),BP336)</f>
        <v>0</v>
      </c>
      <c r="BQ338" s="28">
        <f>IF(BQ335=1,IF(INDEX('Lease Cycles'!$EF$27:$EL$27,1,BQ333)=1,BQ336*INDEX('Lease Cycles'!$EM$27:$ES$27,1,BQ333)+BQ337*(1-INDEX('Lease Cycles'!$EM$27:$ES$27,1,BQ333)),BQ336),BQ336)</f>
        <v>0</v>
      </c>
      <c r="BR338" s="28">
        <f>IF(BR335=1,IF(INDEX('Lease Cycles'!$EF$27:$EL$27,1,BR333)=1,BR336*INDEX('Lease Cycles'!$EM$27:$ES$27,1,BR333)+BR337*(1-INDEX('Lease Cycles'!$EM$27:$ES$27,1,BR333)),BR336),BR336)</f>
        <v>0</v>
      </c>
      <c r="BS338" s="28">
        <f>IF(BS335=1,IF(INDEX('Lease Cycles'!$EF$27:$EL$27,1,BS333)=1,BS336*INDEX('Lease Cycles'!$EM$27:$ES$27,1,BS333)+BS337*(1-INDEX('Lease Cycles'!$EM$27:$ES$27,1,BS333)),BS336),BS336)</f>
        <v>0</v>
      </c>
      <c r="BT338" s="28">
        <f>IF(BT335=1,IF(INDEX('Lease Cycles'!$EF$27:$EL$27,1,BT333)=1,BT336*INDEX('Lease Cycles'!$EM$27:$ES$27,1,BT333)+BT337*(1-INDEX('Lease Cycles'!$EM$27:$ES$27,1,BT333)),BT336),BT336)</f>
        <v>0</v>
      </c>
      <c r="BU338" s="28">
        <f>IF(BU335=1,IF(INDEX('Lease Cycles'!$EF$27:$EL$27,1,BU333)=1,BU336*INDEX('Lease Cycles'!$EM$27:$ES$27,1,BU333)+BU337*(1-INDEX('Lease Cycles'!$EM$27:$ES$27,1,BU333)),BU336),BU336)</f>
        <v>0</v>
      </c>
      <c r="BV338" s="28">
        <f>IF(BV335=1,IF(INDEX('Lease Cycles'!$EF$27:$EL$27,1,BV333)=1,BV336*INDEX('Lease Cycles'!$EM$27:$ES$27,1,BV333)+BV337*(1-INDEX('Lease Cycles'!$EM$27:$ES$27,1,BV333)),BV336),BV336)</f>
        <v>0</v>
      </c>
      <c r="BW338" s="28">
        <f>IF(BW335=1,IF(INDEX('Lease Cycles'!$EF$27:$EL$27,1,BW333)=1,BW336*INDEX('Lease Cycles'!$EM$27:$ES$27,1,BW333)+BW337*(1-INDEX('Lease Cycles'!$EM$27:$ES$27,1,BW333)),BW336),BW336)</f>
        <v>0</v>
      </c>
      <c r="BX338" s="28">
        <f>IF(BX335=1,IF(INDEX('Lease Cycles'!$EF$27:$EL$27,1,BX333)=1,BX336*INDEX('Lease Cycles'!$EM$27:$ES$27,1,BX333)+BX337*(1-INDEX('Lease Cycles'!$EM$27:$ES$27,1,BX333)),BX336),BX336)</f>
        <v>0</v>
      </c>
      <c r="BY338" s="28">
        <f>IF(BY335=1,IF(INDEX('Lease Cycles'!$EF$27:$EL$27,1,BY333)=1,BY336*INDEX('Lease Cycles'!$EM$27:$ES$27,1,BY333)+BY337*(1-INDEX('Lease Cycles'!$EM$27:$ES$27,1,BY333)),BY336),BY336)</f>
        <v>0</v>
      </c>
      <c r="BZ338" s="28">
        <f>IF(BZ335=1,IF(INDEX('Lease Cycles'!$EF$27:$EL$27,1,BZ333)=1,BZ336*INDEX('Lease Cycles'!$EM$27:$ES$27,1,BZ333)+BZ337*(1-INDEX('Lease Cycles'!$EM$27:$ES$27,1,BZ333)),BZ336),BZ336)</f>
        <v>0</v>
      </c>
      <c r="CA338" s="28">
        <f>IF(CA335=1,IF(INDEX('Lease Cycles'!$EF$27:$EL$27,1,CA333)=1,CA336*INDEX('Lease Cycles'!$EM$27:$ES$27,1,CA333)+CA337*(1-INDEX('Lease Cycles'!$EM$27:$ES$27,1,CA333)),CA336),CA336)</f>
        <v>0</v>
      </c>
      <c r="CB338" s="28">
        <f>IF(CB335=1,IF(INDEX('Lease Cycles'!$EF$27:$EL$27,1,CB333)=1,CB336*INDEX('Lease Cycles'!$EM$27:$ES$27,1,CB333)+CB337*(1-INDEX('Lease Cycles'!$EM$27:$ES$27,1,CB333)),CB336),CB336)</f>
        <v>0</v>
      </c>
      <c r="CC338" s="28">
        <f>IF(CC335=1,IF(INDEX('Lease Cycles'!$EF$27:$EL$27,1,CC333)=1,CC336*INDEX('Lease Cycles'!$EM$27:$ES$27,1,CC333)+CC337*(1-INDEX('Lease Cycles'!$EM$27:$ES$27,1,CC333)),CC336),CC336)</f>
        <v>0</v>
      </c>
      <c r="CD338" s="28">
        <f>IF(CD335=1,IF(INDEX('Lease Cycles'!$EF$27:$EL$27,1,CD333)=1,CD336*INDEX('Lease Cycles'!$EM$27:$ES$27,1,CD333)+CD337*(1-INDEX('Lease Cycles'!$EM$27:$ES$27,1,CD333)),CD336),CD336)</f>
        <v>0</v>
      </c>
      <c r="CE338" s="28">
        <f>IF(CE335=1,IF(INDEX('Lease Cycles'!$EF$27:$EL$27,1,CE333)=1,CE336*INDEX('Lease Cycles'!$EM$27:$ES$27,1,CE333)+CE337*(1-INDEX('Lease Cycles'!$EM$27:$ES$27,1,CE333)),CE336),CE336)</f>
        <v>0</v>
      </c>
      <c r="CF338" s="28">
        <f>IF(CF335=1,IF(INDEX('Lease Cycles'!$EF$27:$EL$27,1,CF333)=1,CF336*INDEX('Lease Cycles'!$EM$27:$ES$27,1,CF333)+CF337*(1-INDEX('Lease Cycles'!$EM$27:$ES$27,1,CF333)),CF336),CF336)</f>
        <v>0</v>
      </c>
      <c r="CG338" s="28">
        <f>IF(CG335=1,IF(INDEX('Lease Cycles'!$EF$27:$EL$27,1,CG333)=1,CG336*INDEX('Lease Cycles'!$EM$27:$ES$27,1,CG333)+CG337*(1-INDEX('Lease Cycles'!$EM$27:$ES$27,1,CG333)),CG336),CG336)</f>
        <v>0</v>
      </c>
      <c r="CH338" s="28">
        <f>IF(CH335=1,IF(INDEX('Lease Cycles'!$EF$27:$EL$27,1,CH333)=1,CH336*INDEX('Lease Cycles'!$EM$27:$ES$27,1,CH333)+CH337*(1-INDEX('Lease Cycles'!$EM$27:$ES$27,1,CH333)),CH336),CH336)</f>
        <v>0</v>
      </c>
      <c r="CI338" s="28">
        <f>IF(CI335=1,IF(INDEX('Lease Cycles'!$EF$27:$EL$27,1,CI333)=1,CI336*INDEX('Lease Cycles'!$EM$27:$ES$27,1,CI333)+CI337*(1-INDEX('Lease Cycles'!$EM$27:$ES$27,1,CI333)),CI336),CI336)</f>
        <v>0</v>
      </c>
      <c r="CJ338" s="28">
        <f>IF(CJ335=1,IF(INDEX('Lease Cycles'!$EF$27:$EL$27,1,CJ333)=1,CJ336*INDEX('Lease Cycles'!$EM$27:$ES$27,1,CJ333)+CJ337*(1-INDEX('Lease Cycles'!$EM$27:$ES$27,1,CJ333)),CJ336),CJ336)</f>
        <v>0</v>
      </c>
      <c r="CK338" s="28">
        <f>IF(CK335=1,IF(INDEX('Lease Cycles'!$EF$27:$EL$27,1,CK333)=1,CK336*INDEX('Lease Cycles'!$EM$27:$ES$27,1,CK333)+CK337*(1-INDEX('Lease Cycles'!$EM$27:$ES$27,1,CK333)),CK336),CK336)</f>
        <v>0</v>
      </c>
      <c r="CL338" s="28">
        <f>IF(CL335=1,IF(INDEX('Lease Cycles'!$EF$27:$EL$27,1,CL333)=1,CL336*INDEX('Lease Cycles'!$EM$27:$ES$27,1,CL333)+CL337*(1-INDEX('Lease Cycles'!$EM$27:$ES$27,1,CL333)),CL336),CL336)</f>
        <v>0</v>
      </c>
      <c r="CM338" s="28">
        <f>IF(CM335=1,IF(INDEX('Lease Cycles'!$EF$27:$EL$27,1,CM333)=1,CM336*INDEX('Lease Cycles'!$EM$27:$ES$27,1,CM333)+CM337*(1-INDEX('Lease Cycles'!$EM$27:$ES$27,1,CM333)),CM336),CM336)</f>
        <v>0</v>
      </c>
      <c r="CN338" s="28">
        <f>IF(CN335=1,IF(INDEX('Lease Cycles'!$EF$27:$EL$27,1,CN333)=1,CN336*INDEX('Lease Cycles'!$EM$27:$ES$27,1,CN333)+CN337*(1-INDEX('Lease Cycles'!$EM$27:$ES$27,1,CN333)),CN336),CN336)</f>
        <v>0</v>
      </c>
      <c r="CO338" s="28">
        <f>IF(CO335=1,IF(INDEX('Lease Cycles'!$EF$27:$EL$27,1,CO333)=1,CO336*INDEX('Lease Cycles'!$EM$27:$ES$27,1,CO333)+CO337*(1-INDEX('Lease Cycles'!$EM$27:$ES$27,1,CO333)),CO336),CO336)</f>
        <v>0</v>
      </c>
      <c r="CP338" s="28">
        <f>IF(CP335=1,IF(INDEX('Lease Cycles'!$EF$27:$EL$27,1,CP333)=1,CP336*INDEX('Lease Cycles'!$EM$27:$ES$27,1,CP333)+CP337*(1-INDEX('Lease Cycles'!$EM$27:$ES$27,1,CP333)),CP336),CP336)</f>
        <v>0</v>
      </c>
      <c r="CQ338" s="28">
        <f>IF(CQ335=1,IF(INDEX('Lease Cycles'!$EF$27:$EL$27,1,CQ333)=1,CQ336*INDEX('Lease Cycles'!$EM$27:$ES$27,1,CQ333)+CQ337*(1-INDEX('Lease Cycles'!$EM$27:$ES$27,1,CQ333)),CQ336),CQ336)</f>
        <v>0</v>
      </c>
      <c r="CR338" s="28">
        <f>IF(CR335=1,IF(INDEX('Lease Cycles'!$EF$27:$EL$27,1,CR333)=1,CR336*INDEX('Lease Cycles'!$EM$27:$ES$27,1,CR333)+CR337*(1-INDEX('Lease Cycles'!$EM$27:$ES$27,1,CR333)),CR336),CR336)</f>
        <v>0</v>
      </c>
      <c r="CS338" s="28">
        <f>IF(CS335=1,IF(INDEX('Lease Cycles'!$EF$27:$EL$27,1,CS333)=1,CS336*INDEX('Lease Cycles'!$EM$27:$ES$27,1,CS333)+CS337*(1-INDEX('Lease Cycles'!$EM$27:$ES$27,1,CS333)),CS336),CS336)</f>
        <v>0</v>
      </c>
      <c r="CT338" s="28">
        <f>IF(CT335=1,IF(INDEX('Lease Cycles'!$EF$27:$EL$27,1,CT333)=1,CT336*INDEX('Lease Cycles'!$EM$27:$ES$27,1,CT333)+CT337*(1-INDEX('Lease Cycles'!$EM$27:$ES$27,1,CT333)),CT336),CT336)</f>
        <v>0</v>
      </c>
      <c r="CU338" s="28">
        <f>IF(CU335=1,IF(INDEX('Lease Cycles'!$EF$27:$EL$27,1,CU333)=1,CU336*INDEX('Lease Cycles'!$EM$27:$ES$27,1,CU333)+CU337*(1-INDEX('Lease Cycles'!$EM$27:$ES$27,1,CU333)),CU336),CU336)</f>
        <v>0</v>
      </c>
      <c r="CV338" s="28">
        <f>IF(CV335=1,IF(INDEX('Lease Cycles'!$EF$27:$EL$27,1,CV333)=1,CV336*INDEX('Lease Cycles'!$EM$27:$ES$27,1,CV333)+CV337*(1-INDEX('Lease Cycles'!$EM$27:$ES$27,1,CV333)),CV336),CV336)</f>
        <v>0</v>
      </c>
      <c r="CW338" s="28">
        <f>IF(CW335=1,IF(INDEX('Lease Cycles'!$EF$27:$EL$27,1,CW333)=1,CW336*INDEX('Lease Cycles'!$EM$27:$ES$27,1,CW333)+CW337*(1-INDEX('Lease Cycles'!$EM$27:$ES$27,1,CW333)),CW336),CW336)</f>
        <v>0</v>
      </c>
      <c r="CX338" s="28">
        <f>IF(CX335=1,IF(INDEX('Lease Cycles'!$EF$27:$EL$27,1,CX333)=1,CX336*INDEX('Lease Cycles'!$EM$27:$ES$27,1,CX333)+CX337*(1-INDEX('Lease Cycles'!$EM$27:$ES$27,1,CX333)),CX336),CX336)</f>
        <v>0</v>
      </c>
      <c r="CY338" s="28">
        <f>IF(CY335=1,IF(INDEX('Lease Cycles'!$EF$27:$EL$27,1,CY333)=1,CY336*INDEX('Lease Cycles'!$EM$27:$ES$27,1,CY333)+CY337*(1-INDEX('Lease Cycles'!$EM$27:$ES$27,1,CY333)),CY336),CY336)</f>
        <v>0</v>
      </c>
      <c r="CZ338" s="28">
        <f>IF(CZ335=1,IF(INDEX('Lease Cycles'!$EF$27:$EL$27,1,CZ333)=1,CZ336*INDEX('Lease Cycles'!$EM$27:$ES$27,1,CZ333)+CZ337*(1-INDEX('Lease Cycles'!$EM$27:$ES$27,1,CZ333)),CZ336),CZ336)</f>
        <v>0</v>
      </c>
      <c r="DA338" s="28">
        <f>IF(DA335=1,IF(INDEX('Lease Cycles'!$EF$27:$EL$27,1,DA333)=1,DA336*INDEX('Lease Cycles'!$EM$27:$ES$27,1,DA333)+DA337*(1-INDEX('Lease Cycles'!$EM$27:$ES$27,1,DA333)),DA336),DA336)</f>
        <v>0</v>
      </c>
      <c r="DB338" s="28">
        <f>IF(DB335=1,IF(INDEX('Lease Cycles'!$EF$27:$EL$27,1,DB333)=1,DB336*INDEX('Lease Cycles'!$EM$27:$ES$27,1,DB333)+DB337*(1-INDEX('Lease Cycles'!$EM$27:$ES$27,1,DB333)),DB336),DB336)</f>
        <v>0</v>
      </c>
      <c r="DC338" s="28">
        <f>IF(DC335=1,IF(INDEX('Lease Cycles'!$EF$27:$EL$27,1,DC333)=1,DC336*INDEX('Lease Cycles'!$EM$27:$ES$27,1,DC333)+DC337*(1-INDEX('Lease Cycles'!$EM$27:$ES$27,1,DC333)),DC336),DC336)</f>
        <v>0</v>
      </c>
      <c r="DD338" s="28">
        <f>IF(DD335=1,IF(INDEX('Lease Cycles'!$EF$27:$EL$27,1,DD333)=1,DD336*INDEX('Lease Cycles'!$EM$27:$ES$27,1,DD333)+DD337*(1-INDEX('Lease Cycles'!$EM$27:$ES$27,1,DD333)),DD336),DD336)</f>
        <v>0</v>
      </c>
      <c r="DE338" s="28">
        <f>IF(DE335=1,IF(INDEX('Lease Cycles'!$EF$27:$EL$27,1,DE333)=1,DE336*INDEX('Lease Cycles'!$EM$27:$ES$27,1,DE333)+DE337*(1-INDEX('Lease Cycles'!$EM$27:$ES$27,1,DE333)),DE336),DE336)</f>
        <v>0</v>
      </c>
      <c r="DF338" s="28">
        <f>IF(DF335=1,IF(INDEX('Lease Cycles'!$EF$27:$EL$27,1,DF333)=1,DF336*INDEX('Lease Cycles'!$EM$27:$ES$27,1,DF333)+DF337*(1-INDEX('Lease Cycles'!$EM$27:$ES$27,1,DF333)),DF336),DF336)</f>
        <v>0</v>
      </c>
      <c r="DG338" s="28">
        <f>IF(DG335=1,IF(INDEX('Lease Cycles'!$EF$27:$EL$27,1,DG333)=1,DG336*INDEX('Lease Cycles'!$EM$27:$ES$27,1,DG333)+DG337*(1-INDEX('Lease Cycles'!$EM$27:$ES$27,1,DG333)),DG336),DG336)</f>
        <v>0</v>
      </c>
      <c r="DH338" s="28">
        <f>IF(DH335=1,IF(INDEX('Lease Cycles'!$EF$27:$EL$27,1,DH333)=1,DH336*INDEX('Lease Cycles'!$EM$27:$ES$27,1,DH333)+DH337*(1-INDEX('Lease Cycles'!$EM$27:$ES$27,1,DH333)),DH336),DH336)</f>
        <v>0</v>
      </c>
      <c r="DI338" s="28">
        <f>IF(DI335=1,IF(INDEX('Lease Cycles'!$EF$27:$EL$27,1,DI333)=1,DI336*INDEX('Lease Cycles'!$EM$27:$ES$27,1,DI333)+DI337*(1-INDEX('Lease Cycles'!$EM$27:$ES$27,1,DI333)),DI336),DI336)</f>
        <v>0</v>
      </c>
      <c r="DJ338" s="28">
        <f>IF(DJ335=1,IF(INDEX('Lease Cycles'!$EF$27:$EL$27,1,DJ333)=1,DJ336*INDEX('Lease Cycles'!$EM$27:$ES$27,1,DJ333)+DJ337*(1-INDEX('Lease Cycles'!$EM$27:$ES$27,1,DJ333)),DJ336),DJ336)</f>
        <v>0</v>
      </c>
      <c r="DK338" s="28">
        <f>IF(DK335=1,IF(INDEX('Lease Cycles'!$EF$27:$EL$27,1,DK333)=1,DK336*INDEX('Lease Cycles'!$EM$27:$ES$27,1,DK333)+DK337*(1-INDEX('Lease Cycles'!$EM$27:$ES$27,1,DK333)),DK336),DK336)</f>
        <v>0</v>
      </c>
      <c r="DL338" s="28">
        <f>IF(DL335=1,IF(INDEX('Lease Cycles'!$EF$27:$EL$27,1,DL333)=1,DL336*INDEX('Lease Cycles'!$EM$27:$ES$27,1,DL333)+DL337*(1-INDEX('Lease Cycles'!$EM$27:$ES$27,1,DL333)),DL336),DL336)</f>
        <v>0</v>
      </c>
      <c r="DM338" s="28">
        <f>IF(DM335=1,IF(INDEX('Lease Cycles'!$EF$27:$EL$27,1,DM333)=1,DM336*INDEX('Lease Cycles'!$EM$27:$ES$27,1,DM333)+DM337*(1-INDEX('Lease Cycles'!$EM$27:$ES$27,1,DM333)),DM336),DM336)</f>
        <v>0</v>
      </c>
      <c r="DN338" s="28">
        <f>IF(DN335=1,IF(INDEX('Lease Cycles'!$EF$27:$EL$27,1,DN333)=1,DN336*INDEX('Lease Cycles'!$EM$27:$ES$27,1,DN333)+DN337*(1-INDEX('Lease Cycles'!$EM$27:$ES$27,1,DN333)),DN336),DN336)</f>
        <v>0</v>
      </c>
      <c r="DO338" s="28">
        <f>IF(DO335=1,IF(INDEX('Lease Cycles'!$EF$27:$EL$27,1,DO333)=1,DO336*INDEX('Lease Cycles'!$EM$27:$ES$27,1,DO333)+DO337*(1-INDEX('Lease Cycles'!$EM$27:$ES$27,1,DO333)),DO336),DO336)</f>
        <v>0</v>
      </c>
      <c r="DP338" s="28">
        <f>IF(DP335=1,IF(INDEX('Lease Cycles'!$EF$27:$EL$27,1,DP333)=1,DP336*INDEX('Lease Cycles'!$EM$27:$ES$27,1,DP333)+DP337*(1-INDEX('Lease Cycles'!$EM$27:$ES$27,1,DP333)),DP336),DP336)</f>
        <v>0</v>
      </c>
      <c r="DQ338" s="28">
        <f>IF(DQ335=1,IF(INDEX('Lease Cycles'!$EF$27:$EL$27,1,DQ333)=1,DQ336*INDEX('Lease Cycles'!$EM$27:$ES$27,1,DQ333)+DQ337*(1-INDEX('Lease Cycles'!$EM$27:$ES$27,1,DQ333)),DQ336),DQ336)</f>
        <v>0</v>
      </c>
      <c r="DR338" s="28">
        <f>IF(DR335=1,IF(INDEX('Lease Cycles'!$EF$27:$EL$27,1,DR333)=1,DR336*INDEX('Lease Cycles'!$EM$27:$ES$27,1,DR333)+DR337*(1-INDEX('Lease Cycles'!$EM$27:$ES$27,1,DR333)),DR336),DR336)</f>
        <v>0</v>
      </c>
      <c r="DS338" s="28">
        <f>IF(DS335=1,IF(INDEX('Lease Cycles'!$EF$27:$EL$27,1,DS333)=1,DS336*INDEX('Lease Cycles'!$EM$27:$ES$27,1,DS333)+DS337*(1-INDEX('Lease Cycles'!$EM$27:$ES$27,1,DS333)),DS336),DS336)</f>
        <v>0</v>
      </c>
      <c r="DT338" s="28">
        <f>IF(DT335=1,IF(INDEX('Lease Cycles'!$EF$27:$EL$27,1,DT333)=1,DT336*INDEX('Lease Cycles'!$EM$27:$ES$27,1,DT333)+DT337*(1-INDEX('Lease Cycles'!$EM$27:$ES$27,1,DT333)),DT336),DT336)</f>
        <v>0</v>
      </c>
      <c r="DU338" s="28">
        <f>IF(DU335=1,IF(INDEX('Lease Cycles'!$EF$27:$EL$27,1,DU333)=1,DU336*INDEX('Lease Cycles'!$EM$27:$ES$27,1,DU333)+DU337*(1-INDEX('Lease Cycles'!$EM$27:$ES$27,1,DU333)),DU336),DU336)</f>
        <v>0</v>
      </c>
      <c r="DV338" s="28">
        <f>IF(DV335=1,IF(INDEX('Lease Cycles'!$EF$27:$EL$27,1,DV333)=1,DV336*INDEX('Lease Cycles'!$EM$27:$ES$27,1,DV333)+DV337*(1-INDEX('Lease Cycles'!$EM$27:$ES$27,1,DV333)),DV336),DV336)</f>
        <v>0</v>
      </c>
      <c r="DW338" s="28">
        <f>IF(DW335=1,IF(INDEX('Lease Cycles'!$EF$27:$EL$27,1,DW333)=1,DW336*INDEX('Lease Cycles'!$EM$27:$ES$27,1,DW333)+DW337*(1-INDEX('Lease Cycles'!$EM$27:$ES$27,1,DW333)),DW336),DW336)</f>
        <v>0</v>
      </c>
      <c r="DX338" s="28">
        <f>IF(DX335=1,IF(INDEX('Lease Cycles'!$EF$27:$EL$27,1,DX333)=1,DX336*INDEX('Lease Cycles'!$EM$27:$ES$27,1,DX333)+DX337*(1-INDEX('Lease Cycles'!$EM$27:$ES$27,1,DX333)),DX336),DX336)</f>
        <v>0</v>
      </c>
      <c r="DY338" s="28">
        <f>IF(DY335=1,IF(INDEX('Lease Cycles'!$EF$27:$EL$27,1,DY333)=1,DY336*INDEX('Lease Cycles'!$EM$27:$ES$27,1,DY333)+DY337*(1-INDEX('Lease Cycles'!$EM$27:$ES$27,1,DY333)),DY336),DY336)</f>
        <v>0</v>
      </c>
      <c r="DZ338" s="28">
        <f>IF(DZ335=1,IF(INDEX('Lease Cycles'!$EF$27:$EL$27,1,DZ333)=1,DZ336*INDEX('Lease Cycles'!$EM$27:$ES$27,1,DZ333)+DZ337*(1-INDEX('Lease Cycles'!$EM$27:$ES$27,1,DZ333)),DZ336),DZ336)</f>
        <v>0</v>
      </c>
      <c r="EA338" s="28">
        <f>IF(EA335=1,IF(INDEX('Lease Cycles'!$EF$27:$EL$27,1,EA333)=1,EA336*INDEX('Lease Cycles'!$EM$27:$ES$27,1,EA333)+EA337*(1-INDEX('Lease Cycles'!$EM$27:$ES$27,1,EA333)),EA336),EA336)</f>
        <v>0</v>
      </c>
      <c r="EB338" s="28">
        <f>IF(EB335=1,IF(INDEX('Lease Cycles'!$EF$27:$EL$27,1,EB333)=1,EB336*INDEX('Lease Cycles'!$EM$27:$ES$27,1,EB333)+EB337*(1-INDEX('Lease Cycles'!$EM$27:$ES$27,1,EB333)),EB336),EB336)</f>
        <v>0</v>
      </c>
      <c r="EC338" s="28">
        <f>IF(EC335=1,IF(INDEX('Lease Cycles'!$EF$27:$EL$27,1,EC333)=1,EC336*INDEX('Lease Cycles'!$EM$27:$ES$27,1,EC333)+EC337*(1-INDEX('Lease Cycles'!$EM$27:$ES$27,1,EC333)),EC336),EC336)</f>
        <v>0</v>
      </c>
      <c r="ED338" s="28">
        <f>IF(ED335=1,IF(INDEX('Lease Cycles'!$EF$27:$EL$27,1,ED333)=1,ED336*INDEX('Lease Cycles'!$EM$27:$ES$27,1,ED333)+ED337*(1-INDEX('Lease Cycles'!$EM$27:$ES$27,1,ED333)),ED336),ED336)</f>
        <v>0</v>
      </c>
      <c r="EE338" s="28">
        <f>IF(EE335=1,IF(INDEX('Lease Cycles'!$EF$27:$EL$27,1,EE333)=1,EE336*INDEX('Lease Cycles'!$EM$27:$ES$27,1,EE333)+EE337*(1-INDEX('Lease Cycles'!$EM$27:$ES$27,1,EE333)),EE336),EE336)</f>
        <v>0</v>
      </c>
      <c r="EF338" s="28">
        <f>IF(EF335=1,IF(INDEX('Lease Cycles'!$EF$27:$EL$27,1,EF333)=1,EF336*INDEX('Lease Cycles'!$EM$27:$ES$27,1,EF333)+EF337*(1-INDEX('Lease Cycles'!$EM$27:$ES$27,1,EF333)),EF336),EF336)</f>
        <v>0</v>
      </c>
      <c r="EG338" s="28">
        <f>IF(EG335=1,IF(INDEX('Lease Cycles'!$EF$27:$EL$27,1,EG333)=1,EG336*INDEX('Lease Cycles'!$EM$27:$ES$27,1,EG333)+EG337*(1-INDEX('Lease Cycles'!$EM$27:$ES$27,1,EG333)),EG336),EG336)</f>
        <v>0</v>
      </c>
      <c r="EH338" s="28">
        <f>IF(EH335=1,IF(INDEX('Lease Cycles'!$EF$27:$EL$27,1,EH333)=1,EH336*INDEX('Lease Cycles'!$EM$27:$ES$27,1,EH333)+EH337*(1-INDEX('Lease Cycles'!$EM$27:$ES$27,1,EH333)),EH336),EH336)</f>
        <v>0</v>
      </c>
      <c r="EI338" s="28">
        <f>IF(EI335=1,IF(INDEX('Lease Cycles'!$EF$27:$EL$27,1,EI333)=1,EI336*INDEX('Lease Cycles'!$EM$27:$ES$27,1,EI333)+EI337*(1-INDEX('Lease Cycles'!$EM$27:$ES$27,1,EI333)),EI336),EI336)</f>
        <v>0</v>
      </c>
      <c r="EJ338" s="28">
        <f>IF(EJ335=1,IF(INDEX('Lease Cycles'!$EF$27:$EL$27,1,EJ333)=1,EJ336*INDEX('Lease Cycles'!$EM$27:$ES$27,1,EJ333)+EJ337*(1-INDEX('Lease Cycles'!$EM$27:$ES$27,1,EJ333)),EJ336),EJ336)</f>
        <v>0</v>
      </c>
      <c r="EK338" s="28">
        <f>IF(EK335=1,IF(INDEX('Lease Cycles'!$EF$27:$EL$27,1,EK333)=1,EK336*INDEX('Lease Cycles'!$EM$27:$ES$27,1,EK333)+EK337*(1-INDEX('Lease Cycles'!$EM$27:$ES$27,1,EK333)),EK336),EK336)</f>
        <v>0</v>
      </c>
      <c r="EL338" s="28">
        <f>IF(EL335=1,IF(INDEX('Lease Cycles'!$EF$27:$EL$27,1,EL333)=1,EL336*INDEX('Lease Cycles'!$EM$27:$ES$27,1,EL333)+EL337*(1-INDEX('Lease Cycles'!$EM$27:$ES$27,1,EL333)),EL336),EL336)</f>
        <v>0</v>
      </c>
      <c r="EM338" s="28">
        <f>IF(EM335=1,IF(INDEX('Lease Cycles'!$EF$27:$EL$27,1,EM333)=1,EM336*INDEX('Lease Cycles'!$EM$27:$ES$27,1,EM333)+EM337*(1-INDEX('Lease Cycles'!$EM$27:$ES$27,1,EM333)),EM336),EM336)</f>
        <v>0</v>
      </c>
      <c r="EN338" s="28">
        <f>IF(EN335=1,IF(INDEX('Lease Cycles'!$EF$27:$EL$27,1,EN333)=1,EN336*INDEX('Lease Cycles'!$EM$27:$ES$27,1,EN333)+EN337*(1-INDEX('Lease Cycles'!$EM$27:$ES$27,1,EN333)),EN336),EN336)</f>
        <v>0</v>
      </c>
      <c r="EO338" s="28">
        <f>IF(EO335=1,IF(INDEX('Lease Cycles'!$EF$27:$EL$27,1,EO333)=1,EO336*INDEX('Lease Cycles'!$EM$27:$ES$27,1,EO333)+EO337*(1-INDEX('Lease Cycles'!$EM$27:$ES$27,1,EO333)),EO336),EO336)</f>
        <v>0</v>
      </c>
      <c r="EP338" s="28">
        <f>IF(EP335=1,IF(INDEX('Lease Cycles'!$EF$27:$EL$27,1,EP333)=1,EP336*INDEX('Lease Cycles'!$EM$27:$ES$27,1,EP333)+EP337*(1-INDEX('Lease Cycles'!$EM$27:$ES$27,1,EP333)),EP336),EP336)</f>
        <v>0</v>
      </c>
      <c r="EQ338" s="28">
        <f>IF(EQ335=1,IF(INDEX('Lease Cycles'!$EF$27:$EL$27,1,EQ333)=1,EQ336*INDEX('Lease Cycles'!$EM$27:$ES$27,1,EQ333)+EQ337*(1-INDEX('Lease Cycles'!$EM$27:$ES$27,1,EQ333)),EQ336),EQ336)</f>
        <v>0</v>
      </c>
      <c r="ER338" s="28">
        <f>IF(ER335=1,IF(INDEX('Lease Cycles'!$EF$27:$EL$27,1,ER333)=1,ER336*INDEX('Lease Cycles'!$EM$27:$ES$27,1,ER333)+ER337*(1-INDEX('Lease Cycles'!$EM$27:$ES$27,1,ER333)),ER336),ER336)</f>
        <v>0</v>
      </c>
      <c r="ES338" s="28">
        <f>IF(ES335=1,IF(INDEX('Lease Cycles'!$EF$27:$EL$27,1,ES333)=1,ES336*INDEX('Lease Cycles'!$EM$27:$ES$27,1,ES333)+ES337*(1-INDEX('Lease Cycles'!$EM$27:$ES$27,1,ES333)),ES336),ES336)</f>
        <v>0</v>
      </c>
      <c r="ET338" s="28">
        <f>IF(ET335=1,IF(INDEX('Lease Cycles'!$EF$27:$EL$27,1,ET333)=1,ET336*INDEX('Lease Cycles'!$EM$27:$ES$27,1,ET333)+ET337*(1-INDEX('Lease Cycles'!$EM$27:$ES$27,1,ET333)),ET336),ET336)</f>
        <v>0</v>
      </c>
    </row>
    <row r="339">
      <c r="A339" s="103">
        <v>20</v>
      </c>
      <c r="B339" s="23" t="str">
        <f>IF('Lease Cycles'!$B$27="","(empty slot)",'Lease Cycles'!$B$27)</f>
        <v>(empty slot)</v>
      </c>
      <c r="C339" s="23" t="s">
        <v>682</v>
      </c>
      <c r="D339" s="104" t="s">
        <v>495</v>
      </c>
      <c r="E339" s="25">
        <f>'Lease Cycles'!$AL$27</f>
        <v>0</v>
      </c>
      <c r="G339" s="28">
        <f>SUM(S339:AD339)</f>
        <v>0</v>
      </c>
      <c r="H339" s="28">
        <f>SUM(AE339:AP339)</f>
        <v>0</v>
      </c>
      <c r="I339" s="28">
        <f>SUM(AQ339:BB339)</f>
        <v>0</v>
      </c>
      <c r="J339" s="28">
        <f>SUM(BC339:BN339)</f>
        <v>0</v>
      </c>
      <c r="K339" s="28">
        <f>SUM(BO339:BZ339)</f>
        <v>0</v>
      </c>
      <c r="L339" s="28">
        <f>SUM(CA339:CL339)</f>
        <v>0</v>
      </c>
      <c r="M339" s="28">
        <f>SUM(CM339:CX339)</f>
        <v>0</v>
      </c>
      <c r="N339" s="28">
        <f>SUM(CY339:DJ339)</f>
        <v>0</v>
      </c>
      <c r="O339" s="28">
        <f>SUM(DK339:DV339)</f>
        <v>0</v>
      </c>
      <c r="P339" s="28">
        <f>SUM(DW339:EH339)</f>
        <v>0</v>
      </c>
      <c r="Q339" s="28">
        <f>SUM(EI339:ET339)</f>
        <v>0</v>
      </c>
      <c r="S339" s="28">
        <f>IF(S335=1,IF(INDEX('Lease Cycles'!$EF$27:$EL$27,1,S333)=1,S336*INDEX('Lease Cycles'!$EM$27:$ES$27,1,S333)+S337*IF(S334&lt;INDEX('Lease Cycles'!$FA$27:$FG$27,1,S333),0,1-INDEX('Lease Cycles'!$EM$27:$ES$27,1,S333)),S336*IF(S334&lt;INDEX('Lease Cycles'!$DK$27:$DQ$27,1,S333),0,IF(S334=INDEX('Lease Cycles'!$DK$27:$DQ$27,1,S333),1-INDEX('Lease Cycles'!$DR$27:$DX$27,1,S333),1))),0)</f>
        <v>0</v>
      </c>
      <c r="T339" s="28">
        <f>IF(T335=1,IF(INDEX('Lease Cycles'!$EF$27:$EL$27,1,T333)=1,T336*INDEX('Lease Cycles'!$EM$27:$ES$27,1,T333)+T337*IF(T334&lt;INDEX('Lease Cycles'!$FA$27:$FG$27,1,T333),0,1-INDEX('Lease Cycles'!$EM$27:$ES$27,1,T333)),T336*IF(T334&lt;INDEX('Lease Cycles'!$DK$27:$DQ$27,1,T333),0,IF(T334=INDEX('Lease Cycles'!$DK$27:$DQ$27,1,T333),1-INDEX('Lease Cycles'!$DR$27:$DX$27,1,T333),1))),0)</f>
        <v>0</v>
      </c>
      <c r="U339" s="28">
        <f>IF(U335=1,IF(INDEX('Lease Cycles'!$EF$27:$EL$27,1,U333)=1,U336*INDEX('Lease Cycles'!$EM$27:$ES$27,1,U333)+U337*IF(U334&lt;INDEX('Lease Cycles'!$FA$27:$FG$27,1,U333),0,1-INDEX('Lease Cycles'!$EM$27:$ES$27,1,U333)),U336*IF(U334&lt;INDEX('Lease Cycles'!$DK$27:$DQ$27,1,U333),0,IF(U334=INDEX('Lease Cycles'!$DK$27:$DQ$27,1,U333),1-INDEX('Lease Cycles'!$DR$27:$DX$27,1,U333),1))),0)</f>
        <v>0</v>
      </c>
      <c r="V339" s="28">
        <f>IF(V335=1,IF(INDEX('Lease Cycles'!$EF$27:$EL$27,1,V333)=1,V336*INDEX('Lease Cycles'!$EM$27:$ES$27,1,V333)+V337*IF(V334&lt;INDEX('Lease Cycles'!$FA$27:$FG$27,1,V333),0,1-INDEX('Lease Cycles'!$EM$27:$ES$27,1,V333)),V336*IF(V334&lt;INDEX('Lease Cycles'!$DK$27:$DQ$27,1,V333),0,IF(V334=INDEX('Lease Cycles'!$DK$27:$DQ$27,1,V333),1-INDEX('Lease Cycles'!$DR$27:$DX$27,1,V333),1))),0)</f>
        <v>0</v>
      </c>
      <c r="W339" s="28">
        <f>IF(W335=1,IF(INDEX('Lease Cycles'!$EF$27:$EL$27,1,W333)=1,W336*INDEX('Lease Cycles'!$EM$27:$ES$27,1,W333)+W337*IF(W334&lt;INDEX('Lease Cycles'!$FA$27:$FG$27,1,W333),0,1-INDEX('Lease Cycles'!$EM$27:$ES$27,1,W333)),W336*IF(W334&lt;INDEX('Lease Cycles'!$DK$27:$DQ$27,1,W333),0,IF(W334=INDEX('Lease Cycles'!$DK$27:$DQ$27,1,W333),1-INDEX('Lease Cycles'!$DR$27:$DX$27,1,W333),1))),0)</f>
        <v>0</v>
      </c>
      <c r="X339" s="28">
        <f>IF(X335=1,IF(INDEX('Lease Cycles'!$EF$27:$EL$27,1,X333)=1,X336*INDEX('Lease Cycles'!$EM$27:$ES$27,1,X333)+X337*IF(X334&lt;INDEX('Lease Cycles'!$FA$27:$FG$27,1,X333),0,1-INDEX('Lease Cycles'!$EM$27:$ES$27,1,X333)),X336*IF(X334&lt;INDEX('Lease Cycles'!$DK$27:$DQ$27,1,X333),0,IF(X334=INDEX('Lease Cycles'!$DK$27:$DQ$27,1,X333),1-INDEX('Lease Cycles'!$DR$27:$DX$27,1,X333),1))),0)</f>
        <v>0</v>
      </c>
      <c r="Y339" s="28">
        <f>IF(Y335=1,IF(INDEX('Lease Cycles'!$EF$27:$EL$27,1,Y333)=1,Y336*INDEX('Lease Cycles'!$EM$27:$ES$27,1,Y333)+Y337*IF(Y334&lt;INDEX('Lease Cycles'!$FA$27:$FG$27,1,Y333),0,1-INDEX('Lease Cycles'!$EM$27:$ES$27,1,Y333)),Y336*IF(Y334&lt;INDEX('Lease Cycles'!$DK$27:$DQ$27,1,Y333),0,IF(Y334=INDEX('Lease Cycles'!$DK$27:$DQ$27,1,Y333),1-INDEX('Lease Cycles'!$DR$27:$DX$27,1,Y333),1))),0)</f>
        <v>0</v>
      </c>
      <c r="Z339" s="28">
        <f>IF(Z335=1,IF(INDEX('Lease Cycles'!$EF$27:$EL$27,1,Z333)=1,Z336*INDEX('Lease Cycles'!$EM$27:$ES$27,1,Z333)+Z337*IF(Z334&lt;INDEX('Lease Cycles'!$FA$27:$FG$27,1,Z333),0,1-INDEX('Lease Cycles'!$EM$27:$ES$27,1,Z333)),Z336*IF(Z334&lt;INDEX('Lease Cycles'!$DK$27:$DQ$27,1,Z333),0,IF(Z334=INDEX('Lease Cycles'!$DK$27:$DQ$27,1,Z333),1-INDEX('Lease Cycles'!$DR$27:$DX$27,1,Z333),1))),0)</f>
        <v>0</v>
      </c>
      <c r="AA339" s="28">
        <f>IF(AA335=1,IF(INDEX('Lease Cycles'!$EF$27:$EL$27,1,AA333)=1,AA336*INDEX('Lease Cycles'!$EM$27:$ES$27,1,AA333)+AA337*IF(AA334&lt;INDEX('Lease Cycles'!$FA$27:$FG$27,1,AA333),0,1-INDEX('Lease Cycles'!$EM$27:$ES$27,1,AA333)),AA336*IF(AA334&lt;INDEX('Lease Cycles'!$DK$27:$DQ$27,1,AA333),0,IF(AA334=INDEX('Lease Cycles'!$DK$27:$DQ$27,1,AA333),1-INDEX('Lease Cycles'!$DR$27:$DX$27,1,AA333),1))),0)</f>
        <v>0</v>
      </c>
      <c r="AB339" s="28">
        <f>IF(AB335=1,IF(INDEX('Lease Cycles'!$EF$27:$EL$27,1,AB333)=1,AB336*INDEX('Lease Cycles'!$EM$27:$ES$27,1,AB333)+AB337*IF(AB334&lt;INDEX('Lease Cycles'!$FA$27:$FG$27,1,AB333),0,1-INDEX('Lease Cycles'!$EM$27:$ES$27,1,AB333)),AB336*IF(AB334&lt;INDEX('Lease Cycles'!$DK$27:$DQ$27,1,AB333),0,IF(AB334=INDEX('Lease Cycles'!$DK$27:$DQ$27,1,AB333),1-INDEX('Lease Cycles'!$DR$27:$DX$27,1,AB333),1))),0)</f>
        <v>0</v>
      </c>
      <c r="AC339" s="28">
        <f>IF(AC335=1,IF(INDEX('Lease Cycles'!$EF$27:$EL$27,1,AC333)=1,AC336*INDEX('Lease Cycles'!$EM$27:$ES$27,1,AC333)+AC337*IF(AC334&lt;INDEX('Lease Cycles'!$FA$27:$FG$27,1,AC333),0,1-INDEX('Lease Cycles'!$EM$27:$ES$27,1,AC333)),AC336*IF(AC334&lt;INDEX('Lease Cycles'!$DK$27:$DQ$27,1,AC333),0,IF(AC334=INDEX('Lease Cycles'!$DK$27:$DQ$27,1,AC333),1-INDEX('Lease Cycles'!$DR$27:$DX$27,1,AC333),1))),0)</f>
        <v>0</v>
      </c>
      <c r="AD339" s="28">
        <f>IF(AD335=1,IF(INDEX('Lease Cycles'!$EF$27:$EL$27,1,AD333)=1,AD336*INDEX('Lease Cycles'!$EM$27:$ES$27,1,AD333)+AD337*IF(AD334&lt;INDEX('Lease Cycles'!$FA$27:$FG$27,1,AD333),0,1-INDEX('Lease Cycles'!$EM$27:$ES$27,1,AD333)),AD336*IF(AD334&lt;INDEX('Lease Cycles'!$DK$27:$DQ$27,1,AD333),0,IF(AD334=INDEX('Lease Cycles'!$DK$27:$DQ$27,1,AD333),1-INDEX('Lease Cycles'!$DR$27:$DX$27,1,AD333),1))),0)</f>
        <v>0</v>
      </c>
      <c r="AE339" s="28">
        <f>IF(AE335=1,IF(INDEX('Lease Cycles'!$EF$27:$EL$27,1,AE333)=1,AE336*INDEX('Lease Cycles'!$EM$27:$ES$27,1,AE333)+AE337*IF(AE334&lt;INDEX('Lease Cycles'!$FA$27:$FG$27,1,AE333),0,1-INDEX('Lease Cycles'!$EM$27:$ES$27,1,AE333)),AE336*IF(AE334&lt;INDEX('Lease Cycles'!$DK$27:$DQ$27,1,AE333),0,IF(AE334=INDEX('Lease Cycles'!$DK$27:$DQ$27,1,AE333),1-INDEX('Lease Cycles'!$DR$27:$DX$27,1,AE333),1))),0)</f>
        <v>0</v>
      </c>
      <c r="AF339" s="28">
        <f>IF(AF335=1,IF(INDEX('Lease Cycles'!$EF$27:$EL$27,1,AF333)=1,AF336*INDEX('Lease Cycles'!$EM$27:$ES$27,1,AF333)+AF337*IF(AF334&lt;INDEX('Lease Cycles'!$FA$27:$FG$27,1,AF333),0,1-INDEX('Lease Cycles'!$EM$27:$ES$27,1,AF333)),AF336*IF(AF334&lt;INDEX('Lease Cycles'!$DK$27:$DQ$27,1,AF333),0,IF(AF334=INDEX('Lease Cycles'!$DK$27:$DQ$27,1,AF333),1-INDEX('Lease Cycles'!$DR$27:$DX$27,1,AF333),1))),0)</f>
        <v>0</v>
      </c>
      <c r="AG339" s="28">
        <f>IF(AG335=1,IF(INDEX('Lease Cycles'!$EF$27:$EL$27,1,AG333)=1,AG336*INDEX('Lease Cycles'!$EM$27:$ES$27,1,AG333)+AG337*IF(AG334&lt;INDEX('Lease Cycles'!$FA$27:$FG$27,1,AG333),0,1-INDEX('Lease Cycles'!$EM$27:$ES$27,1,AG333)),AG336*IF(AG334&lt;INDEX('Lease Cycles'!$DK$27:$DQ$27,1,AG333),0,IF(AG334=INDEX('Lease Cycles'!$DK$27:$DQ$27,1,AG333),1-INDEX('Lease Cycles'!$DR$27:$DX$27,1,AG333),1))),0)</f>
        <v>0</v>
      </c>
      <c r="AH339" s="28">
        <f>IF(AH335=1,IF(INDEX('Lease Cycles'!$EF$27:$EL$27,1,AH333)=1,AH336*INDEX('Lease Cycles'!$EM$27:$ES$27,1,AH333)+AH337*IF(AH334&lt;INDEX('Lease Cycles'!$FA$27:$FG$27,1,AH333),0,1-INDEX('Lease Cycles'!$EM$27:$ES$27,1,AH333)),AH336*IF(AH334&lt;INDEX('Lease Cycles'!$DK$27:$DQ$27,1,AH333),0,IF(AH334=INDEX('Lease Cycles'!$DK$27:$DQ$27,1,AH333),1-INDEX('Lease Cycles'!$DR$27:$DX$27,1,AH333),1))),0)</f>
        <v>0</v>
      </c>
      <c r="AI339" s="28">
        <f>IF(AI335=1,IF(INDEX('Lease Cycles'!$EF$27:$EL$27,1,AI333)=1,AI336*INDEX('Lease Cycles'!$EM$27:$ES$27,1,AI333)+AI337*IF(AI334&lt;INDEX('Lease Cycles'!$FA$27:$FG$27,1,AI333),0,1-INDEX('Lease Cycles'!$EM$27:$ES$27,1,AI333)),AI336*IF(AI334&lt;INDEX('Lease Cycles'!$DK$27:$DQ$27,1,AI333),0,IF(AI334=INDEX('Lease Cycles'!$DK$27:$DQ$27,1,AI333),1-INDEX('Lease Cycles'!$DR$27:$DX$27,1,AI333),1))),0)</f>
        <v>0</v>
      </c>
      <c r="AJ339" s="28">
        <f>IF(AJ335=1,IF(INDEX('Lease Cycles'!$EF$27:$EL$27,1,AJ333)=1,AJ336*INDEX('Lease Cycles'!$EM$27:$ES$27,1,AJ333)+AJ337*IF(AJ334&lt;INDEX('Lease Cycles'!$FA$27:$FG$27,1,AJ333),0,1-INDEX('Lease Cycles'!$EM$27:$ES$27,1,AJ333)),AJ336*IF(AJ334&lt;INDEX('Lease Cycles'!$DK$27:$DQ$27,1,AJ333),0,IF(AJ334=INDEX('Lease Cycles'!$DK$27:$DQ$27,1,AJ333),1-INDEX('Lease Cycles'!$DR$27:$DX$27,1,AJ333),1))),0)</f>
        <v>0</v>
      </c>
      <c r="AK339" s="28">
        <f>IF(AK335=1,IF(INDEX('Lease Cycles'!$EF$27:$EL$27,1,AK333)=1,AK336*INDEX('Lease Cycles'!$EM$27:$ES$27,1,AK333)+AK337*IF(AK334&lt;INDEX('Lease Cycles'!$FA$27:$FG$27,1,AK333),0,1-INDEX('Lease Cycles'!$EM$27:$ES$27,1,AK333)),AK336*IF(AK334&lt;INDEX('Lease Cycles'!$DK$27:$DQ$27,1,AK333),0,IF(AK334=INDEX('Lease Cycles'!$DK$27:$DQ$27,1,AK333),1-INDEX('Lease Cycles'!$DR$27:$DX$27,1,AK333),1))),0)</f>
        <v>0</v>
      </c>
      <c r="AL339" s="28">
        <f>IF(AL335=1,IF(INDEX('Lease Cycles'!$EF$27:$EL$27,1,AL333)=1,AL336*INDEX('Lease Cycles'!$EM$27:$ES$27,1,AL333)+AL337*IF(AL334&lt;INDEX('Lease Cycles'!$FA$27:$FG$27,1,AL333),0,1-INDEX('Lease Cycles'!$EM$27:$ES$27,1,AL333)),AL336*IF(AL334&lt;INDEX('Lease Cycles'!$DK$27:$DQ$27,1,AL333),0,IF(AL334=INDEX('Lease Cycles'!$DK$27:$DQ$27,1,AL333),1-INDEX('Lease Cycles'!$DR$27:$DX$27,1,AL333),1))),0)</f>
        <v>0</v>
      </c>
      <c r="AM339" s="28">
        <f>IF(AM335=1,IF(INDEX('Lease Cycles'!$EF$27:$EL$27,1,AM333)=1,AM336*INDEX('Lease Cycles'!$EM$27:$ES$27,1,AM333)+AM337*IF(AM334&lt;INDEX('Lease Cycles'!$FA$27:$FG$27,1,AM333),0,1-INDEX('Lease Cycles'!$EM$27:$ES$27,1,AM333)),AM336*IF(AM334&lt;INDEX('Lease Cycles'!$DK$27:$DQ$27,1,AM333),0,IF(AM334=INDEX('Lease Cycles'!$DK$27:$DQ$27,1,AM333),1-INDEX('Lease Cycles'!$DR$27:$DX$27,1,AM333),1))),0)</f>
        <v>0</v>
      </c>
      <c r="AN339" s="28">
        <f>IF(AN335=1,IF(INDEX('Lease Cycles'!$EF$27:$EL$27,1,AN333)=1,AN336*INDEX('Lease Cycles'!$EM$27:$ES$27,1,AN333)+AN337*IF(AN334&lt;INDEX('Lease Cycles'!$FA$27:$FG$27,1,AN333),0,1-INDEX('Lease Cycles'!$EM$27:$ES$27,1,AN333)),AN336*IF(AN334&lt;INDEX('Lease Cycles'!$DK$27:$DQ$27,1,AN333),0,IF(AN334=INDEX('Lease Cycles'!$DK$27:$DQ$27,1,AN333),1-INDEX('Lease Cycles'!$DR$27:$DX$27,1,AN333),1))),0)</f>
        <v>0</v>
      </c>
      <c r="AO339" s="28">
        <f>IF(AO335=1,IF(INDEX('Lease Cycles'!$EF$27:$EL$27,1,AO333)=1,AO336*INDEX('Lease Cycles'!$EM$27:$ES$27,1,AO333)+AO337*IF(AO334&lt;INDEX('Lease Cycles'!$FA$27:$FG$27,1,AO333),0,1-INDEX('Lease Cycles'!$EM$27:$ES$27,1,AO333)),AO336*IF(AO334&lt;INDEX('Lease Cycles'!$DK$27:$DQ$27,1,AO333),0,IF(AO334=INDEX('Lease Cycles'!$DK$27:$DQ$27,1,AO333),1-INDEX('Lease Cycles'!$DR$27:$DX$27,1,AO333),1))),0)</f>
        <v>0</v>
      </c>
      <c r="AP339" s="28">
        <f>IF(AP335=1,IF(INDEX('Lease Cycles'!$EF$27:$EL$27,1,AP333)=1,AP336*INDEX('Lease Cycles'!$EM$27:$ES$27,1,AP333)+AP337*IF(AP334&lt;INDEX('Lease Cycles'!$FA$27:$FG$27,1,AP333),0,1-INDEX('Lease Cycles'!$EM$27:$ES$27,1,AP333)),AP336*IF(AP334&lt;INDEX('Lease Cycles'!$DK$27:$DQ$27,1,AP333),0,IF(AP334=INDEX('Lease Cycles'!$DK$27:$DQ$27,1,AP333),1-INDEX('Lease Cycles'!$DR$27:$DX$27,1,AP333),1))),0)</f>
        <v>0</v>
      </c>
      <c r="AQ339" s="28">
        <f>IF(AQ335=1,IF(INDEX('Lease Cycles'!$EF$27:$EL$27,1,AQ333)=1,AQ336*INDEX('Lease Cycles'!$EM$27:$ES$27,1,AQ333)+AQ337*IF(AQ334&lt;INDEX('Lease Cycles'!$FA$27:$FG$27,1,AQ333),0,1-INDEX('Lease Cycles'!$EM$27:$ES$27,1,AQ333)),AQ336*IF(AQ334&lt;INDEX('Lease Cycles'!$DK$27:$DQ$27,1,AQ333),0,IF(AQ334=INDEX('Lease Cycles'!$DK$27:$DQ$27,1,AQ333),1-INDEX('Lease Cycles'!$DR$27:$DX$27,1,AQ333),1))),0)</f>
        <v>0</v>
      </c>
      <c r="AR339" s="28">
        <f>IF(AR335=1,IF(INDEX('Lease Cycles'!$EF$27:$EL$27,1,AR333)=1,AR336*INDEX('Lease Cycles'!$EM$27:$ES$27,1,AR333)+AR337*IF(AR334&lt;INDEX('Lease Cycles'!$FA$27:$FG$27,1,AR333),0,1-INDEX('Lease Cycles'!$EM$27:$ES$27,1,AR333)),AR336*IF(AR334&lt;INDEX('Lease Cycles'!$DK$27:$DQ$27,1,AR333),0,IF(AR334=INDEX('Lease Cycles'!$DK$27:$DQ$27,1,AR333),1-INDEX('Lease Cycles'!$DR$27:$DX$27,1,AR333),1))),0)</f>
        <v>0</v>
      </c>
      <c r="AS339" s="28">
        <f>IF(AS335=1,IF(INDEX('Lease Cycles'!$EF$27:$EL$27,1,AS333)=1,AS336*INDEX('Lease Cycles'!$EM$27:$ES$27,1,AS333)+AS337*IF(AS334&lt;INDEX('Lease Cycles'!$FA$27:$FG$27,1,AS333),0,1-INDEX('Lease Cycles'!$EM$27:$ES$27,1,AS333)),AS336*IF(AS334&lt;INDEX('Lease Cycles'!$DK$27:$DQ$27,1,AS333),0,IF(AS334=INDEX('Lease Cycles'!$DK$27:$DQ$27,1,AS333),1-INDEX('Lease Cycles'!$DR$27:$DX$27,1,AS333),1))),0)</f>
        <v>0</v>
      </c>
      <c r="AT339" s="28">
        <f>IF(AT335=1,IF(INDEX('Lease Cycles'!$EF$27:$EL$27,1,AT333)=1,AT336*INDEX('Lease Cycles'!$EM$27:$ES$27,1,AT333)+AT337*IF(AT334&lt;INDEX('Lease Cycles'!$FA$27:$FG$27,1,AT333),0,1-INDEX('Lease Cycles'!$EM$27:$ES$27,1,AT333)),AT336*IF(AT334&lt;INDEX('Lease Cycles'!$DK$27:$DQ$27,1,AT333),0,IF(AT334=INDEX('Lease Cycles'!$DK$27:$DQ$27,1,AT333),1-INDEX('Lease Cycles'!$DR$27:$DX$27,1,AT333),1))),0)</f>
        <v>0</v>
      </c>
      <c r="AU339" s="28">
        <f>IF(AU335=1,IF(INDEX('Lease Cycles'!$EF$27:$EL$27,1,AU333)=1,AU336*INDEX('Lease Cycles'!$EM$27:$ES$27,1,AU333)+AU337*IF(AU334&lt;INDEX('Lease Cycles'!$FA$27:$FG$27,1,AU333),0,1-INDEX('Lease Cycles'!$EM$27:$ES$27,1,AU333)),AU336*IF(AU334&lt;INDEX('Lease Cycles'!$DK$27:$DQ$27,1,AU333),0,IF(AU334=INDEX('Lease Cycles'!$DK$27:$DQ$27,1,AU333),1-INDEX('Lease Cycles'!$DR$27:$DX$27,1,AU333),1))),0)</f>
        <v>0</v>
      </c>
      <c r="AV339" s="28">
        <f>IF(AV335=1,IF(INDEX('Lease Cycles'!$EF$27:$EL$27,1,AV333)=1,AV336*INDEX('Lease Cycles'!$EM$27:$ES$27,1,AV333)+AV337*IF(AV334&lt;INDEX('Lease Cycles'!$FA$27:$FG$27,1,AV333),0,1-INDEX('Lease Cycles'!$EM$27:$ES$27,1,AV333)),AV336*IF(AV334&lt;INDEX('Lease Cycles'!$DK$27:$DQ$27,1,AV333),0,IF(AV334=INDEX('Lease Cycles'!$DK$27:$DQ$27,1,AV333),1-INDEX('Lease Cycles'!$DR$27:$DX$27,1,AV333),1))),0)</f>
        <v>0</v>
      </c>
      <c r="AW339" s="28">
        <f>IF(AW335=1,IF(INDEX('Lease Cycles'!$EF$27:$EL$27,1,AW333)=1,AW336*INDEX('Lease Cycles'!$EM$27:$ES$27,1,AW333)+AW337*IF(AW334&lt;INDEX('Lease Cycles'!$FA$27:$FG$27,1,AW333),0,1-INDEX('Lease Cycles'!$EM$27:$ES$27,1,AW333)),AW336*IF(AW334&lt;INDEX('Lease Cycles'!$DK$27:$DQ$27,1,AW333),0,IF(AW334=INDEX('Lease Cycles'!$DK$27:$DQ$27,1,AW333),1-INDEX('Lease Cycles'!$DR$27:$DX$27,1,AW333),1))),0)</f>
        <v>0</v>
      </c>
      <c r="AX339" s="28">
        <f>IF(AX335=1,IF(INDEX('Lease Cycles'!$EF$27:$EL$27,1,AX333)=1,AX336*INDEX('Lease Cycles'!$EM$27:$ES$27,1,AX333)+AX337*IF(AX334&lt;INDEX('Lease Cycles'!$FA$27:$FG$27,1,AX333),0,1-INDEX('Lease Cycles'!$EM$27:$ES$27,1,AX333)),AX336*IF(AX334&lt;INDEX('Lease Cycles'!$DK$27:$DQ$27,1,AX333),0,IF(AX334=INDEX('Lease Cycles'!$DK$27:$DQ$27,1,AX333),1-INDEX('Lease Cycles'!$DR$27:$DX$27,1,AX333),1))),0)</f>
        <v>0</v>
      </c>
      <c r="AY339" s="28">
        <f>IF(AY335=1,IF(INDEX('Lease Cycles'!$EF$27:$EL$27,1,AY333)=1,AY336*INDEX('Lease Cycles'!$EM$27:$ES$27,1,AY333)+AY337*IF(AY334&lt;INDEX('Lease Cycles'!$FA$27:$FG$27,1,AY333),0,1-INDEX('Lease Cycles'!$EM$27:$ES$27,1,AY333)),AY336*IF(AY334&lt;INDEX('Lease Cycles'!$DK$27:$DQ$27,1,AY333),0,IF(AY334=INDEX('Lease Cycles'!$DK$27:$DQ$27,1,AY333),1-INDEX('Lease Cycles'!$DR$27:$DX$27,1,AY333),1))),0)</f>
        <v>0</v>
      </c>
      <c r="AZ339" s="28">
        <f>IF(AZ335=1,IF(INDEX('Lease Cycles'!$EF$27:$EL$27,1,AZ333)=1,AZ336*INDEX('Lease Cycles'!$EM$27:$ES$27,1,AZ333)+AZ337*IF(AZ334&lt;INDEX('Lease Cycles'!$FA$27:$FG$27,1,AZ333),0,1-INDEX('Lease Cycles'!$EM$27:$ES$27,1,AZ333)),AZ336*IF(AZ334&lt;INDEX('Lease Cycles'!$DK$27:$DQ$27,1,AZ333),0,IF(AZ334=INDEX('Lease Cycles'!$DK$27:$DQ$27,1,AZ333),1-INDEX('Lease Cycles'!$DR$27:$DX$27,1,AZ333),1))),0)</f>
        <v>0</v>
      </c>
      <c r="BA339" s="28">
        <f>IF(BA335=1,IF(INDEX('Lease Cycles'!$EF$27:$EL$27,1,BA333)=1,BA336*INDEX('Lease Cycles'!$EM$27:$ES$27,1,BA333)+BA337*IF(BA334&lt;INDEX('Lease Cycles'!$FA$27:$FG$27,1,BA333),0,1-INDEX('Lease Cycles'!$EM$27:$ES$27,1,BA333)),BA336*IF(BA334&lt;INDEX('Lease Cycles'!$DK$27:$DQ$27,1,BA333),0,IF(BA334=INDEX('Lease Cycles'!$DK$27:$DQ$27,1,BA333),1-INDEX('Lease Cycles'!$DR$27:$DX$27,1,BA333),1))),0)</f>
        <v>0</v>
      </c>
      <c r="BB339" s="28">
        <f>IF(BB335=1,IF(INDEX('Lease Cycles'!$EF$27:$EL$27,1,BB333)=1,BB336*INDEX('Lease Cycles'!$EM$27:$ES$27,1,BB333)+BB337*IF(BB334&lt;INDEX('Lease Cycles'!$FA$27:$FG$27,1,BB333),0,1-INDEX('Lease Cycles'!$EM$27:$ES$27,1,BB333)),BB336*IF(BB334&lt;INDEX('Lease Cycles'!$DK$27:$DQ$27,1,BB333),0,IF(BB334=INDEX('Lease Cycles'!$DK$27:$DQ$27,1,BB333),1-INDEX('Lease Cycles'!$DR$27:$DX$27,1,BB333),1))),0)</f>
        <v>0</v>
      </c>
      <c r="BC339" s="28">
        <f>IF(BC335=1,IF(INDEX('Lease Cycles'!$EF$27:$EL$27,1,BC333)=1,BC336*INDEX('Lease Cycles'!$EM$27:$ES$27,1,BC333)+BC337*IF(BC334&lt;INDEX('Lease Cycles'!$FA$27:$FG$27,1,BC333),0,1-INDEX('Lease Cycles'!$EM$27:$ES$27,1,BC333)),BC336*IF(BC334&lt;INDEX('Lease Cycles'!$DK$27:$DQ$27,1,BC333),0,IF(BC334=INDEX('Lease Cycles'!$DK$27:$DQ$27,1,BC333),1-INDEX('Lease Cycles'!$DR$27:$DX$27,1,BC333),1))),0)</f>
        <v>0</v>
      </c>
      <c r="BD339" s="28">
        <f>IF(BD335=1,IF(INDEX('Lease Cycles'!$EF$27:$EL$27,1,BD333)=1,BD336*INDEX('Lease Cycles'!$EM$27:$ES$27,1,BD333)+BD337*IF(BD334&lt;INDEX('Lease Cycles'!$FA$27:$FG$27,1,BD333),0,1-INDEX('Lease Cycles'!$EM$27:$ES$27,1,BD333)),BD336*IF(BD334&lt;INDEX('Lease Cycles'!$DK$27:$DQ$27,1,BD333),0,IF(BD334=INDEX('Lease Cycles'!$DK$27:$DQ$27,1,BD333),1-INDEX('Lease Cycles'!$DR$27:$DX$27,1,BD333),1))),0)</f>
        <v>0</v>
      </c>
      <c r="BE339" s="28">
        <f>IF(BE335=1,IF(INDEX('Lease Cycles'!$EF$27:$EL$27,1,BE333)=1,BE336*INDEX('Lease Cycles'!$EM$27:$ES$27,1,BE333)+BE337*IF(BE334&lt;INDEX('Lease Cycles'!$FA$27:$FG$27,1,BE333),0,1-INDEX('Lease Cycles'!$EM$27:$ES$27,1,BE333)),BE336*IF(BE334&lt;INDEX('Lease Cycles'!$DK$27:$DQ$27,1,BE333),0,IF(BE334=INDEX('Lease Cycles'!$DK$27:$DQ$27,1,BE333),1-INDEX('Lease Cycles'!$DR$27:$DX$27,1,BE333),1))),0)</f>
        <v>0</v>
      </c>
      <c r="BF339" s="28">
        <f>IF(BF335=1,IF(INDEX('Lease Cycles'!$EF$27:$EL$27,1,BF333)=1,BF336*INDEX('Lease Cycles'!$EM$27:$ES$27,1,BF333)+BF337*IF(BF334&lt;INDEX('Lease Cycles'!$FA$27:$FG$27,1,BF333),0,1-INDEX('Lease Cycles'!$EM$27:$ES$27,1,BF333)),BF336*IF(BF334&lt;INDEX('Lease Cycles'!$DK$27:$DQ$27,1,BF333),0,IF(BF334=INDEX('Lease Cycles'!$DK$27:$DQ$27,1,BF333),1-INDEX('Lease Cycles'!$DR$27:$DX$27,1,BF333),1))),0)</f>
        <v>0</v>
      </c>
      <c r="BG339" s="28">
        <f>IF(BG335=1,IF(INDEX('Lease Cycles'!$EF$27:$EL$27,1,BG333)=1,BG336*INDEX('Lease Cycles'!$EM$27:$ES$27,1,BG333)+BG337*IF(BG334&lt;INDEX('Lease Cycles'!$FA$27:$FG$27,1,BG333),0,1-INDEX('Lease Cycles'!$EM$27:$ES$27,1,BG333)),BG336*IF(BG334&lt;INDEX('Lease Cycles'!$DK$27:$DQ$27,1,BG333),0,IF(BG334=INDEX('Lease Cycles'!$DK$27:$DQ$27,1,BG333),1-INDEX('Lease Cycles'!$DR$27:$DX$27,1,BG333),1))),0)</f>
        <v>0</v>
      </c>
      <c r="BH339" s="28">
        <f>IF(BH335=1,IF(INDEX('Lease Cycles'!$EF$27:$EL$27,1,BH333)=1,BH336*INDEX('Lease Cycles'!$EM$27:$ES$27,1,BH333)+BH337*IF(BH334&lt;INDEX('Lease Cycles'!$FA$27:$FG$27,1,BH333),0,1-INDEX('Lease Cycles'!$EM$27:$ES$27,1,BH333)),BH336*IF(BH334&lt;INDEX('Lease Cycles'!$DK$27:$DQ$27,1,BH333),0,IF(BH334=INDEX('Lease Cycles'!$DK$27:$DQ$27,1,BH333),1-INDEX('Lease Cycles'!$DR$27:$DX$27,1,BH333),1))),0)</f>
        <v>0</v>
      </c>
      <c r="BI339" s="28">
        <f>IF(BI335=1,IF(INDEX('Lease Cycles'!$EF$27:$EL$27,1,BI333)=1,BI336*INDEX('Lease Cycles'!$EM$27:$ES$27,1,BI333)+BI337*IF(BI334&lt;INDEX('Lease Cycles'!$FA$27:$FG$27,1,BI333),0,1-INDEX('Lease Cycles'!$EM$27:$ES$27,1,BI333)),BI336*IF(BI334&lt;INDEX('Lease Cycles'!$DK$27:$DQ$27,1,BI333),0,IF(BI334=INDEX('Lease Cycles'!$DK$27:$DQ$27,1,BI333),1-INDEX('Lease Cycles'!$DR$27:$DX$27,1,BI333),1))),0)</f>
        <v>0</v>
      </c>
      <c r="BJ339" s="28">
        <f>IF(BJ335=1,IF(INDEX('Lease Cycles'!$EF$27:$EL$27,1,BJ333)=1,BJ336*INDEX('Lease Cycles'!$EM$27:$ES$27,1,BJ333)+BJ337*IF(BJ334&lt;INDEX('Lease Cycles'!$FA$27:$FG$27,1,BJ333),0,1-INDEX('Lease Cycles'!$EM$27:$ES$27,1,BJ333)),BJ336*IF(BJ334&lt;INDEX('Lease Cycles'!$DK$27:$DQ$27,1,BJ333),0,IF(BJ334=INDEX('Lease Cycles'!$DK$27:$DQ$27,1,BJ333),1-INDEX('Lease Cycles'!$DR$27:$DX$27,1,BJ333),1))),0)</f>
        <v>0</v>
      </c>
      <c r="BK339" s="28">
        <f>IF(BK335=1,IF(INDEX('Lease Cycles'!$EF$27:$EL$27,1,BK333)=1,BK336*INDEX('Lease Cycles'!$EM$27:$ES$27,1,BK333)+BK337*IF(BK334&lt;INDEX('Lease Cycles'!$FA$27:$FG$27,1,BK333),0,1-INDEX('Lease Cycles'!$EM$27:$ES$27,1,BK333)),BK336*IF(BK334&lt;INDEX('Lease Cycles'!$DK$27:$DQ$27,1,BK333),0,IF(BK334=INDEX('Lease Cycles'!$DK$27:$DQ$27,1,BK333),1-INDEX('Lease Cycles'!$DR$27:$DX$27,1,BK333),1))),0)</f>
        <v>0</v>
      </c>
      <c r="BL339" s="28">
        <f>IF(BL335=1,IF(INDEX('Lease Cycles'!$EF$27:$EL$27,1,BL333)=1,BL336*INDEX('Lease Cycles'!$EM$27:$ES$27,1,BL333)+BL337*IF(BL334&lt;INDEX('Lease Cycles'!$FA$27:$FG$27,1,BL333),0,1-INDEX('Lease Cycles'!$EM$27:$ES$27,1,BL333)),BL336*IF(BL334&lt;INDEX('Lease Cycles'!$DK$27:$DQ$27,1,BL333),0,IF(BL334=INDEX('Lease Cycles'!$DK$27:$DQ$27,1,BL333),1-INDEX('Lease Cycles'!$DR$27:$DX$27,1,BL333),1))),0)</f>
        <v>0</v>
      </c>
      <c r="BM339" s="28">
        <f>IF(BM335=1,IF(INDEX('Lease Cycles'!$EF$27:$EL$27,1,BM333)=1,BM336*INDEX('Lease Cycles'!$EM$27:$ES$27,1,BM333)+BM337*IF(BM334&lt;INDEX('Lease Cycles'!$FA$27:$FG$27,1,BM333),0,1-INDEX('Lease Cycles'!$EM$27:$ES$27,1,BM333)),BM336*IF(BM334&lt;INDEX('Lease Cycles'!$DK$27:$DQ$27,1,BM333),0,IF(BM334=INDEX('Lease Cycles'!$DK$27:$DQ$27,1,BM333),1-INDEX('Lease Cycles'!$DR$27:$DX$27,1,BM333),1))),0)</f>
        <v>0</v>
      </c>
      <c r="BN339" s="28">
        <f>IF(BN335=1,IF(INDEX('Lease Cycles'!$EF$27:$EL$27,1,BN333)=1,BN336*INDEX('Lease Cycles'!$EM$27:$ES$27,1,BN333)+BN337*IF(BN334&lt;INDEX('Lease Cycles'!$FA$27:$FG$27,1,BN333),0,1-INDEX('Lease Cycles'!$EM$27:$ES$27,1,BN333)),BN336*IF(BN334&lt;INDEX('Lease Cycles'!$DK$27:$DQ$27,1,BN333),0,IF(BN334=INDEX('Lease Cycles'!$DK$27:$DQ$27,1,BN333),1-INDEX('Lease Cycles'!$DR$27:$DX$27,1,BN333),1))),0)</f>
        <v>0</v>
      </c>
      <c r="BO339" s="28">
        <f>IF(BO335=1,IF(INDEX('Lease Cycles'!$EF$27:$EL$27,1,BO333)=1,BO336*INDEX('Lease Cycles'!$EM$27:$ES$27,1,BO333)+BO337*IF(BO334&lt;INDEX('Lease Cycles'!$FA$27:$FG$27,1,BO333),0,1-INDEX('Lease Cycles'!$EM$27:$ES$27,1,BO333)),BO336*IF(BO334&lt;INDEX('Lease Cycles'!$DK$27:$DQ$27,1,BO333),0,IF(BO334=INDEX('Lease Cycles'!$DK$27:$DQ$27,1,BO333),1-INDEX('Lease Cycles'!$DR$27:$DX$27,1,BO333),1))),0)</f>
        <v>0</v>
      </c>
      <c r="BP339" s="28">
        <f>IF(BP335=1,IF(INDEX('Lease Cycles'!$EF$27:$EL$27,1,BP333)=1,BP336*INDEX('Lease Cycles'!$EM$27:$ES$27,1,BP333)+BP337*IF(BP334&lt;INDEX('Lease Cycles'!$FA$27:$FG$27,1,BP333),0,1-INDEX('Lease Cycles'!$EM$27:$ES$27,1,BP333)),BP336*IF(BP334&lt;INDEX('Lease Cycles'!$DK$27:$DQ$27,1,BP333),0,IF(BP334=INDEX('Lease Cycles'!$DK$27:$DQ$27,1,BP333),1-INDEX('Lease Cycles'!$DR$27:$DX$27,1,BP333),1))),0)</f>
        <v>0</v>
      </c>
      <c r="BQ339" s="28">
        <f>IF(BQ335=1,IF(INDEX('Lease Cycles'!$EF$27:$EL$27,1,BQ333)=1,BQ336*INDEX('Lease Cycles'!$EM$27:$ES$27,1,BQ333)+BQ337*IF(BQ334&lt;INDEX('Lease Cycles'!$FA$27:$FG$27,1,BQ333),0,1-INDEX('Lease Cycles'!$EM$27:$ES$27,1,BQ333)),BQ336*IF(BQ334&lt;INDEX('Lease Cycles'!$DK$27:$DQ$27,1,BQ333),0,IF(BQ334=INDEX('Lease Cycles'!$DK$27:$DQ$27,1,BQ333),1-INDEX('Lease Cycles'!$DR$27:$DX$27,1,BQ333),1))),0)</f>
        <v>0</v>
      </c>
      <c r="BR339" s="28">
        <f>IF(BR335=1,IF(INDEX('Lease Cycles'!$EF$27:$EL$27,1,BR333)=1,BR336*INDEX('Lease Cycles'!$EM$27:$ES$27,1,BR333)+BR337*IF(BR334&lt;INDEX('Lease Cycles'!$FA$27:$FG$27,1,BR333),0,1-INDEX('Lease Cycles'!$EM$27:$ES$27,1,BR333)),BR336*IF(BR334&lt;INDEX('Lease Cycles'!$DK$27:$DQ$27,1,BR333),0,IF(BR334=INDEX('Lease Cycles'!$DK$27:$DQ$27,1,BR333),1-INDEX('Lease Cycles'!$DR$27:$DX$27,1,BR333),1))),0)</f>
        <v>0</v>
      </c>
      <c r="BS339" s="28">
        <f>IF(BS335=1,IF(INDEX('Lease Cycles'!$EF$27:$EL$27,1,BS333)=1,BS336*INDEX('Lease Cycles'!$EM$27:$ES$27,1,BS333)+BS337*IF(BS334&lt;INDEX('Lease Cycles'!$FA$27:$FG$27,1,BS333),0,1-INDEX('Lease Cycles'!$EM$27:$ES$27,1,BS333)),BS336*IF(BS334&lt;INDEX('Lease Cycles'!$DK$27:$DQ$27,1,BS333),0,IF(BS334=INDEX('Lease Cycles'!$DK$27:$DQ$27,1,BS333),1-INDEX('Lease Cycles'!$DR$27:$DX$27,1,BS333),1))),0)</f>
        <v>0</v>
      </c>
      <c r="BT339" s="28">
        <f>IF(BT335=1,IF(INDEX('Lease Cycles'!$EF$27:$EL$27,1,BT333)=1,BT336*INDEX('Lease Cycles'!$EM$27:$ES$27,1,BT333)+BT337*IF(BT334&lt;INDEX('Lease Cycles'!$FA$27:$FG$27,1,BT333),0,1-INDEX('Lease Cycles'!$EM$27:$ES$27,1,BT333)),BT336*IF(BT334&lt;INDEX('Lease Cycles'!$DK$27:$DQ$27,1,BT333),0,IF(BT334=INDEX('Lease Cycles'!$DK$27:$DQ$27,1,BT333),1-INDEX('Lease Cycles'!$DR$27:$DX$27,1,BT333),1))),0)</f>
        <v>0</v>
      </c>
      <c r="BU339" s="28">
        <f>IF(BU335=1,IF(INDEX('Lease Cycles'!$EF$27:$EL$27,1,BU333)=1,BU336*INDEX('Lease Cycles'!$EM$27:$ES$27,1,BU333)+BU337*IF(BU334&lt;INDEX('Lease Cycles'!$FA$27:$FG$27,1,BU333),0,1-INDEX('Lease Cycles'!$EM$27:$ES$27,1,BU333)),BU336*IF(BU334&lt;INDEX('Lease Cycles'!$DK$27:$DQ$27,1,BU333),0,IF(BU334=INDEX('Lease Cycles'!$DK$27:$DQ$27,1,BU333),1-INDEX('Lease Cycles'!$DR$27:$DX$27,1,BU333),1))),0)</f>
        <v>0</v>
      </c>
      <c r="BV339" s="28">
        <f>IF(BV335=1,IF(INDEX('Lease Cycles'!$EF$27:$EL$27,1,BV333)=1,BV336*INDEX('Lease Cycles'!$EM$27:$ES$27,1,BV333)+BV337*IF(BV334&lt;INDEX('Lease Cycles'!$FA$27:$FG$27,1,BV333),0,1-INDEX('Lease Cycles'!$EM$27:$ES$27,1,BV333)),BV336*IF(BV334&lt;INDEX('Lease Cycles'!$DK$27:$DQ$27,1,BV333),0,IF(BV334=INDEX('Lease Cycles'!$DK$27:$DQ$27,1,BV333),1-INDEX('Lease Cycles'!$DR$27:$DX$27,1,BV333),1))),0)</f>
        <v>0</v>
      </c>
      <c r="BW339" s="28">
        <f>IF(BW335=1,IF(INDEX('Lease Cycles'!$EF$27:$EL$27,1,BW333)=1,BW336*INDEX('Lease Cycles'!$EM$27:$ES$27,1,BW333)+BW337*IF(BW334&lt;INDEX('Lease Cycles'!$FA$27:$FG$27,1,BW333),0,1-INDEX('Lease Cycles'!$EM$27:$ES$27,1,BW333)),BW336*IF(BW334&lt;INDEX('Lease Cycles'!$DK$27:$DQ$27,1,BW333),0,IF(BW334=INDEX('Lease Cycles'!$DK$27:$DQ$27,1,BW333),1-INDEX('Lease Cycles'!$DR$27:$DX$27,1,BW333),1))),0)</f>
        <v>0</v>
      </c>
      <c r="BX339" s="28">
        <f>IF(BX335=1,IF(INDEX('Lease Cycles'!$EF$27:$EL$27,1,BX333)=1,BX336*INDEX('Lease Cycles'!$EM$27:$ES$27,1,BX333)+BX337*IF(BX334&lt;INDEX('Lease Cycles'!$FA$27:$FG$27,1,BX333),0,1-INDEX('Lease Cycles'!$EM$27:$ES$27,1,BX333)),BX336*IF(BX334&lt;INDEX('Lease Cycles'!$DK$27:$DQ$27,1,BX333),0,IF(BX334=INDEX('Lease Cycles'!$DK$27:$DQ$27,1,BX333),1-INDEX('Lease Cycles'!$DR$27:$DX$27,1,BX333),1))),0)</f>
        <v>0</v>
      </c>
      <c r="BY339" s="28">
        <f>IF(BY335=1,IF(INDEX('Lease Cycles'!$EF$27:$EL$27,1,BY333)=1,BY336*INDEX('Lease Cycles'!$EM$27:$ES$27,1,BY333)+BY337*IF(BY334&lt;INDEX('Lease Cycles'!$FA$27:$FG$27,1,BY333),0,1-INDEX('Lease Cycles'!$EM$27:$ES$27,1,BY333)),BY336*IF(BY334&lt;INDEX('Lease Cycles'!$DK$27:$DQ$27,1,BY333),0,IF(BY334=INDEX('Lease Cycles'!$DK$27:$DQ$27,1,BY333),1-INDEX('Lease Cycles'!$DR$27:$DX$27,1,BY333),1))),0)</f>
        <v>0</v>
      </c>
      <c r="BZ339" s="28">
        <f>IF(BZ335=1,IF(INDEX('Lease Cycles'!$EF$27:$EL$27,1,BZ333)=1,BZ336*INDEX('Lease Cycles'!$EM$27:$ES$27,1,BZ333)+BZ337*IF(BZ334&lt;INDEX('Lease Cycles'!$FA$27:$FG$27,1,BZ333),0,1-INDEX('Lease Cycles'!$EM$27:$ES$27,1,BZ333)),BZ336*IF(BZ334&lt;INDEX('Lease Cycles'!$DK$27:$DQ$27,1,BZ333),0,IF(BZ334=INDEX('Lease Cycles'!$DK$27:$DQ$27,1,BZ333),1-INDEX('Lease Cycles'!$DR$27:$DX$27,1,BZ333),1))),0)</f>
        <v>0</v>
      </c>
      <c r="CA339" s="28">
        <f>IF(CA335=1,IF(INDEX('Lease Cycles'!$EF$27:$EL$27,1,CA333)=1,CA336*INDEX('Lease Cycles'!$EM$27:$ES$27,1,CA333)+CA337*IF(CA334&lt;INDEX('Lease Cycles'!$FA$27:$FG$27,1,CA333),0,1-INDEX('Lease Cycles'!$EM$27:$ES$27,1,CA333)),CA336*IF(CA334&lt;INDEX('Lease Cycles'!$DK$27:$DQ$27,1,CA333),0,IF(CA334=INDEX('Lease Cycles'!$DK$27:$DQ$27,1,CA333),1-INDEX('Lease Cycles'!$DR$27:$DX$27,1,CA333),1))),0)</f>
        <v>0</v>
      </c>
      <c r="CB339" s="28">
        <f>IF(CB335=1,IF(INDEX('Lease Cycles'!$EF$27:$EL$27,1,CB333)=1,CB336*INDEX('Lease Cycles'!$EM$27:$ES$27,1,CB333)+CB337*IF(CB334&lt;INDEX('Lease Cycles'!$FA$27:$FG$27,1,CB333),0,1-INDEX('Lease Cycles'!$EM$27:$ES$27,1,CB333)),CB336*IF(CB334&lt;INDEX('Lease Cycles'!$DK$27:$DQ$27,1,CB333),0,IF(CB334=INDEX('Lease Cycles'!$DK$27:$DQ$27,1,CB333),1-INDEX('Lease Cycles'!$DR$27:$DX$27,1,CB333),1))),0)</f>
        <v>0</v>
      </c>
      <c r="CC339" s="28">
        <f>IF(CC335=1,IF(INDEX('Lease Cycles'!$EF$27:$EL$27,1,CC333)=1,CC336*INDEX('Lease Cycles'!$EM$27:$ES$27,1,CC333)+CC337*IF(CC334&lt;INDEX('Lease Cycles'!$FA$27:$FG$27,1,CC333),0,1-INDEX('Lease Cycles'!$EM$27:$ES$27,1,CC333)),CC336*IF(CC334&lt;INDEX('Lease Cycles'!$DK$27:$DQ$27,1,CC333),0,IF(CC334=INDEX('Lease Cycles'!$DK$27:$DQ$27,1,CC333),1-INDEX('Lease Cycles'!$DR$27:$DX$27,1,CC333),1))),0)</f>
        <v>0</v>
      </c>
      <c r="CD339" s="28">
        <f>IF(CD335=1,IF(INDEX('Lease Cycles'!$EF$27:$EL$27,1,CD333)=1,CD336*INDEX('Lease Cycles'!$EM$27:$ES$27,1,CD333)+CD337*IF(CD334&lt;INDEX('Lease Cycles'!$FA$27:$FG$27,1,CD333),0,1-INDEX('Lease Cycles'!$EM$27:$ES$27,1,CD333)),CD336*IF(CD334&lt;INDEX('Lease Cycles'!$DK$27:$DQ$27,1,CD333),0,IF(CD334=INDEX('Lease Cycles'!$DK$27:$DQ$27,1,CD333),1-INDEX('Lease Cycles'!$DR$27:$DX$27,1,CD333),1))),0)</f>
        <v>0</v>
      </c>
      <c r="CE339" s="28">
        <f>IF(CE335=1,IF(INDEX('Lease Cycles'!$EF$27:$EL$27,1,CE333)=1,CE336*INDEX('Lease Cycles'!$EM$27:$ES$27,1,CE333)+CE337*IF(CE334&lt;INDEX('Lease Cycles'!$FA$27:$FG$27,1,CE333),0,1-INDEX('Lease Cycles'!$EM$27:$ES$27,1,CE333)),CE336*IF(CE334&lt;INDEX('Lease Cycles'!$DK$27:$DQ$27,1,CE333),0,IF(CE334=INDEX('Lease Cycles'!$DK$27:$DQ$27,1,CE333),1-INDEX('Lease Cycles'!$DR$27:$DX$27,1,CE333),1))),0)</f>
        <v>0</v>
      </c>
      <c r="CF339" s="28">
        <f>IF(CF335=1,IF(INDEX('Lease Cycles'!$EF$27:$EL$27,1,CF333)=1,CF336*INDEX('Lease Cycles'!$EM$27:$ES$27,1,CF333)+CF337*IF(CF334&lt;INDEX('Lease Cycles'!$FA$27:$FG$27,1,CF333),0,1-INDEX('Lease Cycles'!$EM$27:$ES$27,1,CF333)),CF336*IF(CF334&lt;INDEX('Lease Cycles'!$DK$27:$DQ$27,1,CF333),0,IF(CF334=INDEX('Lease Cycles'!$DK$27:$DQ$27,1,CF333),1-INDEX('Lease Cycles'!$DR$27:$DX$27,1,CF333),1))),0)</f>
        <v>0</v>
      </c>
      <c r="CG339" s="28">
        <f>IF(CG335=1,IF(INDEX('Lease Cycles'!$EF$27:$EL$27,1,CG333)=1,CG336*INDEX('Lease Cycles'!$EM$27:$ES$27,1,CG333)+CG337*IF(CG334&lt;INDEX('Lease Cycles'!$FA$27:$FG$27,1,CG333),0,1-INDEX('Lease Cycles'!$EM$27:$ES$27,1,CG333)),CG336*IF(CG334&lt;INDEX('Lease Cycles'!$DK$27:$DQ$27,1,CG333),0,IF(CG334=INDEX('Lease Cycles'!$DK$27:$DQ$27,1,CG333),1-INDEX('Lease Cycles'!$DR$27:$DX$27,1,CG333),1))),0)</f>
        <v>0</v>
      </c>
      <c r="CH339" s="28">
        <f>IF(CH335=1,IF(INDEX('Lease Cycles'!$EF$27:$EL$27,1,CH333)=1,CH336*INDEX('Lease Cycles'!$EM$27:$ES$27,1,CH333)+CH337*IF(CH334&lt;INDEX('Lease Cycles'!$FA$27:$FG$27,1,CH333),0,1-INDEX('Lease Cycles'!$EM$27:$ES$27,1,CH333)),CH336*IF(CH334&lt;INDEX('Lease Cycles'!$DK$27:$DQ$27,1,CH333),0,IF(CH334=INDEX('Lease Cycles'!$DK$27:$DQ$27,1,CH333),1-INDEX('Lease Cycles'!$DR$27:$DX$27,1,CH333),1))),0)</f>
        <v>0</v>
      </c>
      <c r="CI339" s="28">
        <f>IF(CI335=1,IF(INDEX('Lease Cycles'!$EF$27:$EL$27,1,CI333)=1,CI336*INDEX('Lease Cycles'!$EM$27:$ES$27,1,CI333)+CI337*IF(CI334&lt;INDEX('Lease Cycles'!$FA$27:$FG$27,1,CI333),0,1-INDEX('Lease Cycles'!$EM$27:$ES$27,1,CI333)),CI336*IF(CI334&lt;INDEX('Lease Cycles'!$DK$27:$DQ$27,1,CI333),0,IF(CI334=INDEX('Lease Cycles'!$DK$27:$DQ$27,1,CI333),1-INDEX('Lease Cycles'!$DR$27:$DX$27,1,CI333),1))),0)</f>
        <v>0</v>
      </c>
      <c r="CJ339" s="28">
        <f>IF(CJ335=1,IF(INDEX('Lease Cycles'!$EF$27:$EL$27,1,CJ333)=1,CJ336*INDEX('Lease Cycles'!$EM$27:$ES$27,1,CJ333)+CJ337*IF(CJ334&lt;INDEX('Lease Cycles'!$FA$27:$FG$27,1,CJ333),0,1-INDEX('Lease Cycles'!$EM$27:$ES$27,1,CJ333)),CJ336*IF(CJ334&lt;INDEX('Lease Cycles'!$DK$27:$DQ$27,1,CJ333),0,IF(CJ334=INDEX('Lease Cycles'!$DK$27:$DQ$27,1,CJ333),1-INDEX('Lease Cycles'!$DR$27:$DX$27,1,CJ333),1))),0)</f>
        <v>0</v>
      </c>
      <c r="CK339" s="28">
        <f>IF(CK335=1,IF(INDEX('Lease Cycles'!$EF$27:$EL$27,1,CK333)=1,CK336*INDEX('Lease Cycles'!$EM$27:$ES$27,1,CK333)+CK337*IF(CK334&lt;INDEX('Lease Cycles'!$FA$27:$FG$27,1,CK333),0,1-INDEX('Lease Cycles'!$EM$27:$ES$27,1,CK333)),CK336*IF(CK334&lt;INDEX('Lease Cycles'!$DK$27:$DQ$27,1,CK333),0,IF(CK334=INDEX('Lease Cycles'!$DK$27:$DQ$27,1,CK333),1-INDEX('Lease Cycles'!$DR$27:$DX$27,1,CK333),1))),0)</f>
        <v>0</v>
      </c>
      <c r="CL339" s="28">
        <f>IF(CL335=1,IF(INDEX('Lease Cycles'!$EF$27:$EL$27,1,CL333)=1,CL336*INDEX('Lease Cycles'!$EM$27:$ES$27,1,CL333)+CL337*IF(CL334&lt;INDEX('Lease Cycles'!$FA$27:$FG$27,1,CL333),0,1-INDEX('Lease Cycles'!$EM$27:$ES$27,1,CL333)),CL336*IF(CL334&lt;INDEX('Lease Cycles'!$DK$27:$DQ$27,1,CL333),0,IF(CL334=INDEX('Lease Cycles'!$DK$27:$DQ$27,1,CL333),1-INDEX('Lease Cycles'!$DR$27:$DX$27,1,CL333),1))),0)</f>
        <v>0</v>
      </c>
      <c r="CM339" s="28">
        <f>IF(CM335=1,IF(INDEX('Lease Cycles'!$EF$27:$EL$27,1,CM333)=1,CM336*INDEX('Lease Cycles'!$EM$27:$ES$27,1,CM333)+CM337*IF(CM334&lt;INDEX('Lease Cycles'!$FA$27:$FG$27,1,CM333),0,1-INDEX('Lease Cycles'!$EM$27:$ES$27,1,CM333)),CM336*IF(CM334&lt;INDEX('Lease Cycles'!$DK$27:$DQ$27,1,CM333),0,IF(CM334=INDEX('Lease Cycles'!$DK$27:$DQ$27,1,CM333),1-INDEX('Lease Cycles'!$DR$27:$DX$27,1,CM333),1))),0)</f>
        <v>0</v>
      </c>
      <c r="CN339" s="28">
        <f>IF(CN335=1,IF(INDEX('Lease Cycles'!$EF$27:$EL$27,1,CN333)=1,CN336*INDEX('Lease Cycles'!$EM$27:$ES$27,1,CN333)+CN337*IF(CN334&lt;INDEX('Lease Cycles'!$FA$27:$FG$27,1,CN333),0,1-INDEX('Lease Cycles'!$EM$27:$ES$27,1,CN333)),CN336*IF(CN334&lt;INDEX('Lease Cycles'!$DK$27:$DQ$27,1,CN333),0,IF(CN334=INDEX('Lease Cycles'!$DK$27:$DQ$27,1,CN333),1-INDEX('Lease Cycles'!$DR$27:$DX$27,1,CN333),1))),0)</f>
        <v>0</v>
      </c>
      <c r="CO339" s="28">
        <f>IF(CO335=1,IF(INDEX('Lease Cycles'!$EF$27:$EL$27,1,CO333)=1,CO336*INDEX('Lease Cycles'!$EM$27:$ES$27,1,CO333)+CO337*IF(CO334&lt;INDEX('Lease Cycles'!$FA$27:$FG$27,1,CO333),0,1-INDEX('Lease Cycles'!$EM$27:$ES$27,1,CO333)),CO336*IF(CO334&lt;INDEX('Lease Cycles'!$DK$27:$DQ$27,1,CO333),0,IF(CO334=INDEX('Lease Cycles'!$DK$27:$DQ$27,1,CO333),1-INDEX('Lease Cycles'!$DR$27:$DX$27,1,CO333),1))),0)</f>
        <v>0</v>
      </c>
      <c r="CP339" s="28">
        <f>IF(CP335=1,IF(INDEX('Lease Cycles'!$EF$27:$EL$27,1,CP333)=1,CP336*INDEX('Lease Cycles'!$EM$27:$ES$27,1,CP333)+CP337*IF(CP334&lt;INDEX('Lease Cycles'!$FA$27:$FG$27,1,CP333),0,1-INDEX('Lease Cycles'!$EM$27:$ES$27,1,CP333)),CP336*IF(CP334&lt;INDEX('Lease Cycles'!$DK$27:$DQ$27,1,CP333),0,IF(CP334=INDEX('Lease Cycles'!$DK$27:$DQ$27,1,CP333),1-INDEX('Lease Cycles'!$DR$27:$DX$27,1,CP333),1))),0)</f>
        <v>0</v>
      </c>
      <c r="CQ339" s="28">
        <f>IF(CQ335=1,IF(INDEX('Lease Cycles'!$EF$27:$EL$27,1,CQ333)=1,CQ336*INDEX('Lease Cycles'!$EM$27:$ES$27,1,CQ333)+CQ337*IF(CQ334&lt;INDEX('Lease Cycles'!$FA$27:$FG$27,1,CQ333),0,1-INDEX('Lease Cycles'!$EM$27:$ES$27,1,CQ333)),CQ336*IF(CQ334&lt;INDEX('Lease Cycles'!$DK$27:$DQ$27,1,CQ333),0,IF(CQ334=INDEX('Lease Cycles'!$DK$27:$DQ$27,1,CQ333),1-INDEX('Lease Cycles'!$DR$27:$DX$27,1,CQ333),1))),0)</f>
        <v>0</v>
      </c>
      <c r="CR339" s="28">
        <f>IF(CR335=1,IF(INDEX('Lease Cycles'!$EF$27:$EL$27,1,CR333)=1,CR336*INDEX('Lease Cycles'!$EM$27:$ES$27,1,CR333)+CR337*IF(CR334&lt;INDEX('Lease Cycles'!$FA$27:$FG$27,1,CR333),0,1-INDEX('Lease Cycles'!$EM$27:$ES$27,1,CR333)),CR336*IF(CR334&lt;INDEX('Lease Cycles'!$DK$27:$DQ$27,1,CR333),0,IF(CR334=INDEX('Lease Cycles'!$DK$27:$DQ$27,1,CR333),1-INDEX('Lease Cycles'!$DR$27:$DX$27,1,CR333),1))),0)</f>
        <v>0</v>
      </c>
      <c r="CS339" s="28">
        <f>IF(CS335=1,IF(INDEX('Lease Cycles'!$EF$27:$EL$27,1,CS333)=1,CS336*INDEX('Lease Cycles'!$EM$27:$ES$27,1,CS333)+CS337*IF(CS334&lt;INDEX('Lease Cycles'!$FA$27:$FG$27,1,CS333),0,1-INDEX('Lease Cycles'!$EM$27:$ES$27,1,CS333)),CS336*IF(CS334&lt;INDEX('Lease Cycles'!$DK$27:$DQ$27,1,CS333),0,IF(CS334=INDEX('Lease Cycles'!$DK$27:$DQ$27,1,CS333),1-INDEX('Lease Cycles'!$DR$27:$DX$27,1,CS333),1))),0)</f>
        <v>0</v>
      </c>
      <c r="CT339" s="28">
        <f>IF(CT335=1,IF(INDEX('Lease Cycles'!$EF$27:$EL$27,1,CT333)=1,CT336*INDEX('Lease Cycles'!$EM$27:$ES$27,1,CT333)+CT337*IF(CT334&lt;INDEX('Lease Cycles'!$FA$27:$FG$27,1,CT333),0,1-INDEX('Lease Cycles'!$EM$27:$ES$27,1,CT333)),CT336*IF(CT334&lt;INDEX('Lease Cycles'!$DK$27:$DQ$27,1,CT333),0,IF(CT334=INDEX('Lease Cycles'!$DK$27:$DQ$27,1,CT333),1-INDEX('Lease Cycles'!$DR$27:$DX$27,1,CT333),1))),0)</f>
        <v>0</v>
      </c>
      <c r="CU339" s="28">
        <f>IF(CU335=1,IF(INDEX('Lease Cycles'!$EF$27:$EL$27,1,CU333)=1,CU336*INDEX('Lease Cycles'!$EM$27:$ES$27,1,CU333)+CU337*IF(CU334&lt;INDEX('Lease Cycles'!$FA$27:$FG$27,1,CU333),0,1-INDEX('Lease Cycles'!$EM$27:$ES$27,1,CU333)),CU336*IF(CU334&lt;INDEX('Lease Cycles'!$DK$27:$DQ$27,1,CU333),0,IF(CU334=INDEX('Lease Cycles'!$DK$27:$DQ$27,1,CU333),1-INDEX('Lease Cycles'!$DR$27:$DX$27,1,CU333),1))),0)</f>
        <v>0</v>
      </c>
      <c r="CV339" s="28">
        <f>IF(CV335=1,IF(INDEX('Lease Cycles'!$EF$27:$EL$27,1,CV333)=1,CV336*INDEX('Lease Cycles'!$EM$27:$ES$27,1,CV333)+CV337*IF(CV334&lt;INDEX('Lease Cycles'!$FA$27:$FG$27,1,CV333),0,1-INDEX('Lease Cycles'!$EM$27:$ES$27,1,CV333)),CV336*IF(CV334&lt;INDEX('Lease Cycles'!$DK$27:$DQ$27,1,CV333),0,IF(CV334=INDEX('Lease Cycles'!$DK$27:$DQ$27,1,CV333),1-INDEX('Lease Cycles'!$DR$27:$DX$27,1,CV333),1))),0)</f>
        <v>0</v>
      </c>
      <c r="CW339" s="28">
        <f>IF(CW335=1,IF(INDEX('Lease Cycles'!$EF$27:$EL$27,1,CW333)=1,CW336*INDEX('Lease Cycles'!$EM$27:$ES$27,1,CW333)+CW337*IF(CW334&lt;INDEX('Lease Cycles'!$FA$27:$FG$27,1,CW333),0,1-INDEX('Lease Cycles'!$EM$27:$ES$27,1,CW333)),CW336*IF(CW334&lt;INDEX('Lease Cycles'!$DK$27:$DQ$27,1,CW333),0,IF(CW334=INDEX('Lease Cycles'!$DK$27:$DQ$27,1,CW333),1-INDEX('Lease Cycles'!$DR$27:$DX$27,1,CW333),1))),0)</f>
        <v>0</v>
      </c>
      <c r="CX339" s="28">
        <f>IF(CX335=1,IF(INDEX('Lease Cycles'!$EF$27:$EL$27,1,CX333)=1,CX336*INDEX('Lease Cycles'!$EM$27:$ES$27,1,CX333)+CX337*IF(CX334&lt;INDEX('Lease Cycles'!$FA$27:$FG$27,1,CX333),0,1-INDEX('Lease Cycles'!$EM$27:$ES$27,1,CX333)),CX336*IF(CX334&lt;INDEX('Lease Cycles'!$DK$27:$DQ$27,1,CX333),0,IF(CX334=INDEX('Lease Cycles'!$DK$27:$DQ$27,1,CX333),1-INDEX('Lease Cycles'!$DR$27:$DX$27,1,CX333),1))),0)</f>
        <v>0</v>
      </c>
      <c r="CY339" s="28">
        <f>IF(CY335=1,IF(INDEX('Lease Cycles'!$EF$27:$EL$27,1,CY333)=1,CY336*INDEX('Lease Cycles'!$EM$27:$ES$27,1,CY333)+CY337*IF(CY334&lt;INDEX('Lease Cycles'!$FA$27:$FG$27,1,CY333),0,1-INDEX('Lease Cycles'!$EM$27:$ES$27,1,CY333)),CY336*IF(CY334&lt;INDEX('Lease Cycles'!$DK$27:$DQ$27,1,CY333),0,IF(CY334=INDEX('Lease Cycles'!$DK$27:$DQ$27,1,CY333),1-INDEX('Lease Cycles'!$DR$27:$DX$27,1,CY333),1))),0)</f>
        <v>0</v>
      </c>
      <c r="CZ339" s="28">
        <f>IF(CZ335=1,IF(INDEX('Lease Cycles'!$EF$27:$EL$27,1,CZ333)=1,CZ336*INDEX('Lease Cycles'!$EM$27:$ES$27,1,CZ333)+CZ337*IF(CZ334&lt;INDEX('Lease Cycles'!$FA$27:$FG$27,1,CZ333),0,1-INDEX('Lease Cycles'!$EM$27:$ES$27,1,CZ333)),CZ336*IF(CZ334&lt;INDEX('Lease Cycles'!$DK$27:$DQ$27,1,CZ333),0,IF(CZ334=INDEX('Lease Cycles'!$DK$27:$DQ$27,1,CZ333),1-INDEX('Lease Cycles'!$DR$27:$DX$27,1,CZ333),1))),0)</f>
        <v>0</v>
      </c>
      <c r="DA339" s="28">
        <f>IF(DA335=1,IF(INDEX('Lease Cycles'!$EF$27:$EL$27,1,DA333)=1,DA336*INDEX('Lease Cycles'!$EM$27:$ES$27,1,DA333)+DA337*IF(DA334&lt;INDEX('Lease Cycles'!$FA$27:$FG$27,1,DA333),0,1-INDEX('Lease Cycles'!$EM$27:$ES$27,1,DA333)),DA336*IF(DA334&lt;INDEX('Lease Cycles'!$DK$27:$DQ$27,1,DA333),0,IF(DA334=INDEX('Lease Cycles'!$DK$27:$DQ$27,1,DA333),1-INDEX('Lease Cycles'!$DR$27:$DX$27,1,DA333),1))),0)</f>
        <v>0</v>
      </c>
      <c r="DB339" s="28">
        <f>IF(DB335=1,IF(INDEX('Lease Cycles'!$EF$27:$EL$27,1,DB333)=1,DB336*INDEX('Lease Cycles'!$EM$27:$ES$27,1,DB333)+DB337*IF(DB334&lt;INDEX('Lease Cycles'!$FA$27:$FG$27,1,DB333),0,1-INDEX('Lease Cycles'!$EM$27:$ES$27,1,DB333)),DB336*IF(DB334&lt;INDEX('Lease Cycles'!$DK$27:$DQ$27,1,DB333),0,IF(DB334=INDEX('Lease Cycles'!$DK$27:$DQ$27,1,DB333),1-INDEX('Lease Cycles'!$DR$27:$DX$27,1,DB333),1))),0)</f>
        <v>0</v>
      </c>
      <c r="DC339" s="28">
        <f>IF(DC335=1,IF(INDEX('Lease Cycles'!$EF$27:$EL$27,1,DC333)=1,DC336*INDEX('Lease Cycles'!$EM$27:$ES$27,1,DC333)+DC337*IF(DC334&lt;INDEX('Lease Cycles'!$FA$27:$FG$27,1,DC333),0,1-INDEX('Lease Cycles'!$EM$27:$ES$27,1,DC333)),DC336*IF(DC334&lt;INDEX('Lease Cycles'!$DK$27:$DQ$27,1,DC333),0,IF(DC334=INDEX('Lease Cycles'!$DK$27:$DQ$27,1,DC333),1-INDEX('Lease Cycles'!$DR$27:$DX$27,1,DC333),1))),0)</f>
        <v>0</v>
      </c>
      <c r="DD339" s="28">
        <f>IF(DD335=1,IF(INDEX('Lease Cycles'!$EF$27:$EL$27,1,DD333)=1,DD336*INDEX('Lease Cycles'!$EM$27:$ES$27,1,DD333)+DD337*IF(DD334&lt;INDEX('Lease Cycles'!$FA$27:$FG$27,1,DD333),0,1-INDEX('Lease Cycles'!$EM$27:$ES$27,1,DD333)),DD336*IF(DD334&lt;INDEX('Lease Cycles'!$DK$27:$DQ$27,1,DD333),0,IF(DD334=INDEX('Lease Cycles'!$DK$27:$DQ$27,1,DD333),1-INDEX('Lease Cycles'!$DR$27:$DX$27,1,DD333),1))),0)</f>
        <v>0</v>
      </c>
      <c r="DE339" s="28">
        <f>IF(DE335=1,IF(INDEX('Lease Cycles'!$EF$27:$EL$27,1,DE333)=1,DE336*INDEX('Lease Cycles'!$EM$27:$ES$27,1,DE333)+DE337*IF(DE334&lt;INDEX('Lease Cycles'!$FA$27:$FG$27,1,DE333),0,1-INDEX('Lease Cycles'!$EM$27:$ES$27,1,DE333)),DE336*IF(DE334&lt;INDEX('Lease Cycles'!$DK$27:$DQ$27,1,DE333),0,IF(DE334=INDEX('Lease Cycles'!$DK$27:$DQ$27,1,DE333),1-INDEX('Lease Cycles'!$DR$27:$DX$27,1,DE333),1))),0)</f>
        <v>0</v>
      </c>
      <c r="DF339" s="28">
        <f>IF(DF335=1,IF(INDEX('Lease Cycles'!$EF$27:$EL$27,1,DF333)=1,DF336*INDEX('Lease Cycles'!$EM$27:$ES$27,1,DF333)+DF337*IF(DF334&lt;INDEX('Lease Cycles'!$FA$27:$FG$27,1,DF333),0,1-INDEX('Lease Cycles'!$EM$27:$ES$27,1,DF333)),DF336*IF(DF334&lt;INDEX('Lease Cycles'!$DK$27:$DQ$27,1,DF333),0,IF(DF334=INDEX('Lease Cycles'!$DK$27:$DQ$27,1,DF333),1-INDEX('Lease Cycles'!$DR$27:$DX$27,1,DF333),1))),0)</f>
        <v>0</v>
      </c>
      <c r="DG339" s="28">
        <f>IF(DG335=1,IF(INDEX('Lease Cycles'!$EF$27:$EL$27,1,DG333)=1,DG336*INDEX('Lease Cycles'!$EM$27:$ES$27,1,DG333)+DG337*IF(DG334&lt;INDEX('Lease Cycles'!$FA$27:$FG$27,1,DG333),0,1-INDEX('Lease Cycles'!$EM$27:$ES$27,1,DG333)),DG336*IF(DG334&lt;INDEX('Lease Cycles'!$DK$27:$DQ$27,1,DG333),0,IF(DG334=INDEX('Lease Cycles'!$DK$27:$DQ$27,1,DG333),1-INDEX('Lease Cycles'!$DR$27:$DX$27,1,DG333),1))),0)</f>
        <v>0</v>
      </c>
      <c r="DH339" s="28">
        <f>IF(DH335=1,IF(INDEX('Lease Cycles'!$EF$27:$EL$27,1,DH333)=1,DH336*INDEX('Lease Cycles'!$EM$27:$ES$27,1,DH333)+DH337*IF(DH334&lt;INDEX('Lease Cycles'!$FA$27:$FG$27,1,DH333),0,1-INDEX('Lease Cycles'!$EM$27:$ES$27,1,DH333)),DH336*IF(DH334&lt;INDEX('Lease Cycles'!$DK$27:$DQ$27,1,DH333),0,IF(DH334=INDEX('Lease Cycles'!$DK$27:$DQ$27,1,DH333),1-INDEX('Lease Cycles'!$DR$27:$DX$27,1,DH333),1))),0)</f>
        <v>0</v>
      </c>
      <c r="DI339" s="28">
        <f>IF(DI335=1,IF(INDEX('Lease Cycles'!$EF$27:$EL$27,1,DI333)=1,DI336*INDEX('Lease Cycles'!$EM$27:$ES$27,1,DI333)+DI337*IF(DI334&lt;INDEX('Lease Cycles'!$FA$27:$FG$27,1,DI333),0,1-INDEX('Lease Cycles'!$EM$27:$ES$27,1,DI333)),DI336*IF(DI334&lt;INDEX('Lease Cycles'!$DK$27:$DQ$27,1,DI333),0,IF(DI334=INDEX('Lease Cycles'!$DK$27:$DQ$27,1,DI333),1-INDEX('Lease Cycles'!$DR$27:$DX$27,1,DI333),1))),0)</f>
        <v>0</v>
      </c>
      <c r="DJ339" s="28">
        <f>IF(DJ335=1,IF(INDEX('Lease Cycles'!$EF$27:$EL$27,1,DJ333)=1,DJ336*INDEX('Lease Cycles'!$EM$27:$ES$27,1,DJ333)+DJ337*IF(DJ334&lt;INDEX('Lease Cycles'!$FA$27:$FG$27,1,DJ333),0,1-INDEX('Lease Cycles'!$EM$27:$ES$27,1,DJ333)),DJ336*IF(DJ334&lt;INDEX('Lease Cycles'!$DK$27:$DQ$27,1,DJ333),0,IF(DJ334=INDEX('Lease Cycles'!$DK$27:$DQ$27,1,DJ333),1-INDEX('Lease Cycles'!$DR$27:$DX$27,1,DJ333),1))),0)</f>
        <v>0</v>
      </c>
      <c r="DK339" s="28">
        <f>IF(DK335=1,IF(INDEX('Lease Cycles'!$EF$27:$EL$27,1,DK333)=1,DK336*INDEX('Lease Cycles'!$EM$27:$ES$27,1,DK333)+DK337*IF(DK334&lt;INDEX('Lease Cycles'!$FA$27:$FG$27,1,DK333),0,1-INDEX('Lease Cycles'!$EM$27:$ES$27,1,DK333)),DK336*IF(DK334&lt;INDEX('Lease Cycles'!$DK$27:$DQ$27,1,DK333),0,IF(DK334=INDEX('Lease Cycles'!$DK$27:$DQ$27,1,DK333),1-INDEX('Lease Cycles'!$DR$27:$DX$27,1,DK333),1))),0)</f>
        <v>0</v>
      </c>
      <c r="DL339" s="28">
        <f>IF(DL335=1,IF(INDEX('Lease Cycles'!$EF$27:$EL$27,1,DL333)=1,DL336*INDEX('Lease Cycles'!$EM$27:$ES$27,1,DL333)+DL337*IF(DL334&lt;INDEX('Lease Cycles'!$FA$27:$FG$27,1,DL333),0,1-INDEX('Lease Cycles'!$EM$27:$ES$27,1,DL333)),DL336*IF(DL334&lt;INDEX('Lease Cycles'!$DK$27:$DQ$27,1,DL333),0,IF(DL334=INDEX('Lease Cycles'!$DK$27:$DQ$27,1,DL333),1-INDEX('Lease Cycles'!$DR$27:$DX$27,1,DL333),1))),0)</f>
        <v>0</v>
      </c>
      <c r="DM339" s="28">
        <f>IF(DM335=1,IF(INDEX('Lease Cycles'!$EF$27:$EL$27,1,DM333)=1,DM336*INDEX('Lease Cycles'!$EM$27:$ES$27,1,DM333)+DM337*IF(DM334&lt;INDEX('Lease Cycles'!$FA$27:$FG$27,1,DM333),0,1-INDEX('Lease Cycles'!$EM$27:$ES$27,1,DM333)),DM336*IF(DM334&lt;INDEX('Lease Cycles'!$DK$27:$DQ$27,1,DM333),0,IF(DM334=INDEX('Lease Cycles'!$DK$27:$DQ$27,1,DM333),1-INDEX('Lease Cycles'!$DR$27:$DX$27,1,DM333),1))),0)</f>
        <v>0</v>
      </c>
      <c r="DN339" s="28">
        <f>IF(DN335=1,IF(INDEX('Lease Cycles'!$EF$27:$EL$27,1,DN333)=1,DN336*INDEX('Lease Cycles'!$EM$27:$ES$27,1,DN333)+DN337*IF(DN334&lt;INDEX('Lease Cycles'!$FA$27:$FG$27,1,DN333),0,1-INDEX('Lease Cycles'!$EM$27:$ES$27,1,DN333)),DN336*IF(DN334&lt;INDEX('Lease Cycles'!$DK$27:$DQ$27,1,DN333),0,IF(DN334=INDEX('Lease Cycles'!$DK$27:$DQ$27,1,DN333),1-INDEX('Lease Cycles'!$DR$27:$DX$27,1,DN333),1))),0)</f>
        <v>0</v>
      </c>
      <c r="DO339" s="28">
        <f>IF(DO335=1,IF(INDEX('Lease Cycles'!$EF$27:$EL$27,1,DO333)=1,DO336*INDEX('Lease Cycles'!$EM$27:$ES$27,1,DO333)+DO337*IF(DO334&lt;INDEX('Lease Cycles'!$FA$27:$FG$27,1,DO333),0,1-INDEX('Lease Cycles'!$EM$27:$ES$27,1,DO333)),DO336*IF(DO334&lt;INDEX('Lease Cycles'!$DK$27:$DQ$27,1,DO333),0,IF(DO334=INDEX('Lease Cycles'!$DK$27:$DQ$27,1,DO333),1-INDEX('Lease Cycles'!$DR$27:$DX$27,1,DO333),1))),0)</f>
        <v>0</v>
      </c>
      <c r="DP339" s="28">
        <f>IF(DP335=1,IF(INDEX('Lease Cycles'!$EF$27:$EL$27,1,DP333)=1,DP336*INDEX('Lease Cycles'!$EM$27:$ES$27,1,DP333)+DP337*IF(DP334&lt;INDEX('Lease Cycles'!$FA$27:$FG$27,1,DP333),0,1-INDEX('Lease Cycles'!$EM$27:$ES$27,1,DP333)),DP336*IF(DP334&lt;INDEX('Lease Cycles'!$DK$27:$DQ$27,1,DP333),0,IF(DP334=INDEX('Lease Cycles'!$DK$27:$DQ$27,1,DP333),1-INDEX('Lease Cycles'!$DR$27:$DX$27,1,DP333),1))),0)</f>
        <v>0</v>
      </c>
      <c r="DQ339" s="28">
        <f>IF(DQ335=1,IF(INDEX('Lease Cycles'!$EF$27:$EL$27,1,DQ333)=1,DQ336*INDEX('Lease Cycles'!$EM$27:$ES$27,1,DQ333)+DQ337*IF(DQ334&lt;INDEX('Lease Cycles'!$FA$27:$FG$27,1,DQ333),0,1-INDEX('Lease Cycles'!$EM$27:$ES$27,1,DQ333)),DQ336*IF(DQ334&lt;INDEX('Lease Cycles'!$DK$27:$DQ$27,1,DQ333),0,IF(DQ334=INDEX('Lease Cycles'!$DK$27:$DQ$27,1,DQ333),1-INDEX('Lease Cycles'!$DR$27:$DX$27,1,DQ333),1))),0)</f>
        <v>0</v>
      </c>
      <c r="DR339" s="28">
        <f>IF(DR335=1,IF(INDEX('Lease Cycles'!$EF$27:$EL$27,1,DR333)=1,DR336*INDEX('Lease Cycles'!$EM$27:$ES$27,1,DR333)+DR337*IF(DR334&lt;INDEX('Lease Cycles'!$FA$27:$FG$27,1,DR333),0,1-INDEX('Lease Cycles'!$EM$27:$ES$27,1,DR333)),DR336*IF(DR334&lt;INDEX('Lease Cycles'!$DK$27:$DQ$27,1,DR333),0,IF(DR334=INDEX('Lease Cycles'!$DK$27:$DQ$27,1,DR333),1-INDEX('Lease Cycles'!$DR$27:$DX$27,1,DR333),1))),0)</f>
        <v>0</v>
      </c>
      <c r="DS339" s="28">
        <f>IF(DS335=1,IF(INDEX('Lease Cycles'!$EF$27:$EL$27,1,DS333)=1,DS336*INDEX('Lease Cycles'!$EM$27:$ES$27,1,DS333)+DS337*IF(DS334&lt;INDEX('Lease Cycles'!$FA$27:$FG$27,1,DS333),0,1-INDEX('Lease Cycles'!$EM$27:$ES$27,1,DS333)),DS336*IF(DS334&lt;INDEX('Lease Cycles'!$DK$27:$DQ$27,1,DS333),0,IF(DS334=INDEX('Lease Cycles'!$DK$27:$DQ$27,1,DS333),1-INDEX('Lease Cycles'!$DR$27:$DX$27,1,DS333),1))),0)</f>
        <v>0</v>
      </c>
      <c r="DT339" s="28">
        <f>IF(DT335=1,IF(INDEX('Lease Cycles'!$EF$27:$EL$27,1,DT333)=1,DT336*INDEX('Lease Cycles'!$EM$27:$ES$27,1,DT333)+DT337*IF(DT334&lt;INDEX('Lease Cycles'!$FA$27:$FG$27,1,DT333),0,1-INDEX('Lease Cycles'!$EM$27:$ES$27,1,DT333)),DT336*IF(DT334&lt;INDEX('Lease Cycles'!$DK$27:$DQ$27,1,DT333),0,IF(DT334=INDEX('Lease Cycles'!$DK$27:$DQ$27,1,DT333),1-INDEX('Lease Cycles'!$DR$27:$DX$27,1,DT333),1))),0)</f>
        <v>0</v>
      </c>
      <c r="DU339" s="28">
        <f>IF(DU335=1,IF(INDEX('Lease Cycles'!$EF$27:$EL$27,1,DU333)=1,DU336*INDEX('Lease Cycles'!$EM$27:$ES$27,1,DU333)+DU337*IF(DU334&lt;INDEX('Lease Cycles'!$FA$27:$FG$27,1,DU333),0,1-INDEX('Lease Cycles'!$EM$27:$ES$27,1,DU333)),DU336*IF(DU334&lt;INDEX('Lease Cycles'!$DK$27:$DQ$27,1,DU333),0,IF(DU334=INDEX('Lease Cycles'!$DK$27:$DQ$27,1,DU333),1-INDEX('Lease Cycles'!$DR$27:$DX$27,1,DU333),1))),0)</f>
        <v>0</v>
      </c>
      <c r="DV339" s="28">
        <f>IF(DV335=1,IF(INDEX('Lease Cycles'!$EF$27:$EL$27,1,DV333)=1,DV336*INDEX('Lease Cycles'!$EM$27:$ES$27,1,DV333)+DV337*IF(DV334&lt;INDEX('Lease Cycles'!$FA$27:$FG$27,1,DV333),0,1-INDEX('Lease Cycles'!$EM$27:$ES$27,1,DV333)),DV336*IF(DV334&lt;INDEX('Lease Cycles'!$DK$27:$DQ$27,1,DV333),0,IF(DV334=INDEX('Lease Cycles'!$DK$27:$DQ$27,1,DV333),1-INDEX('Lease Cycles'!$DR$27:$DX$27,1,DV333),1))),0)</f>
        <v>0</v>
      </c>
      <c r="DW339" s="28">
        <f>IF(DW335=1,IF(INDEX('Lease Cycles'!$EF$27:$EL$27,1,DW333)=1,DW336*INDEX('Lease Cycles'!$EM$27:$ES$27,1,DW333)+DW337*IF(DW334&lt;INDEX('Lease Cycles'!$FA$27:$FG$27,1,DW333),0,1-INDEX('Lease Cycles'!$EM$27:$ES$27,1,DW333)),DW336*IF(DW334&lt;INDEX('Lease Cycles'!$DK$27:$DQ$27,1,DW333),0,IF(DW334=INDEX('Lease Cycles'!$DK$27:$DQ$27,1,DW333),1-INDEX('Lease Cycles'!$DR$27:$DX$27,1,DW333),1))),0)</f>
        <v>0</v>
      </c>
      <c r="DX339" s="28">
        <f>IF(DX335=1,IF(INDEX('Lease Cycles'!$EF$27:$EL$27,1,DX333)=1,DX336*INDEX('Lease Cycles'!$EM$27:$ES$27,1,DX333)+DX337*IF(DX334&lt;INDEX('Lease Cycles'!$FA$27:$FG$27,1,DX333),0,1-INDEX('Lease Cycles'!$EM$27:$ES$27,1,DX333)),DX336*IF(DX334&lt;INDEX('Lease Cycles'!$DK$27:$DQ$27,1,DX333),0,IF(DX334=INDEX('Lease Cycles'!$DK$27:$DQ$27,1,DX333),1-INDEX('Lease Cycles'!$DR$27:$DX$27,1,DX333),1))),0)</f>
        <v>0</v>
      </c>
      <c r="DY339" s="28">
        <f>IF(DY335=1,IF(INDEX('Lease Cycles'!$EF$27:$EL$27,1,DY333)=1,DY336*INDEX('Lease Cycles'!$EM$27:$ES$27,1,DY333)+DY337*IF(DY334&lt;INDEX('Lease Cycles'!$FA$27:$FG$27,1,DY333),0,1-INDEX('Lease Cycles'!$EM$27:$ES$27,1,DY333)),DY336*IF(DY334&lt;INDEX('Lease Cycles'!$DK$27:$DQ$27,1,DY333),0,IF(DY334=INDEX('Lease Cycles'!$DK$27:$DQ$27,1,DY333),1-INDEX('Lease Cycles'!$DR$27:$DX$27,1,DY333),1))),0)</f>
        <v>0</v>
      </c>
      <c r="DZ339" s="28">
        <f>IF(DZ335=1,IF(INDEX('Lease Cycles'!$EF$27:$EL$27,1,DZ333)=1,DZ336*INDEX('Lease Cycles'!$EM$27:$ES$27,1,DZ333)+DZ337*IF(DZ334&lt;INDEX('Lease Cycles'!$FA$27:$FG$27,1,DZ333),0,1-INDEX('Lease Cycles'!$EM$27:$ES$27,1,DZ333)),DZ336*IF(DZ334&lt;INDEX('Lease Cycles'!$DK$27:$DQ$27,1,DZ333),0,IF(DZ334=INDEX('Lease Cycles'!$DK$27:$DQ$27,1,DZ333),1-INDEX('Lease Cycles'!$DR$27:$DX$27,1,DZ333),1))),0)</f>
        <v>0</v>
      </c>
      <c r="EA339" s="28">
        <f>IF(EA335=1,IF(INDEX('Lease Cycles'!$EF$27:$EL$27,1,EA333)=1,EA336*INDEX('Lease Cycles'!$EM$27:$ES$27,1,EA333)+EA337*IF(EA334&lt;INDEX('Lease Cycles'!$FA$27:$FG$27,1,EA333),0,1-INDEX('Lease Cycles'!$EM$27:$ES$27,1,EA333)),EA336*IF(EA334&lt;INDEX('Lease Cycles'!$DK$27:$DQ$27,1,EA333),0,IF(EA334=INDEX('Lease Cycles'!$DK$27:$DQ$27,1,EA333),1-INDEX('Lease Cycles'!$DR$27:$DX$27,1,EA333),1))),0)</f>
        <v>0</v>
      </c>
      <c r="EB339" s="28">
        <f>IF(EB335=1,IF(INDEX('Lease Cycles'!$EF$27:$EL$27,1,EB333)=1,EB336*INDEX('Lease Cycles'!$EM$27:$ES$27,1,EB333)+EB337*IF(EB334&lt;INDEX('Lease Cycles'!$FA$27:$FG$27,1,EB333),0,1-INDEX('Lease Cycles'!$EM$27:$ES$27,1,EB333)),EB336*IF(EB334&lt;INDEX('Lease Cycles'!$DK$27:$DQ$27,1,EB333),0,IF(EB334=INDEX('Lease Cycles'!$DK$27:$DQ$27,1,EB333),1-INDEX('Lease Cycles'!$DR$27:$DX$27,1,EB333),1))),0)</f>
        <v>0</v>
      </c>
      <c r="EC339" s="28">
        <f>IF(EC335=1,IF(INDEX('Lease Cycles'!$EF$27:$EL$27,1,EC333)=1,EC336*INDEX('Lease Cycles'!$EM$27:$ES$27,1,EC333)+EC337*IF(EC334&lt;INDEX('Lease Cycles'!$FA$27:$FG$27,1,EC333),0,1-INDEX('Lease Cycles'!$EM$27:$ES$27,1,EC333)),EC336*IF(EC334&lt;INDEX('Lease Cycles'!$DK$27:$DQ$27,1,EC333),0,IF(EC334=INDEX('Lease Cycles'!$DK$27:$DQ$27,1,EC333),1-INDEX('Lease Cycles'!$DR$27:$DX$27,1,EC333),1))),0)</f>
        <v>0</v>
      </c>
      <c r="ED339" s="28">
        <f>IF(ED335=1,IF(INDEX('Lease Cycles'!$EF$27:$EL$27,1,ED333)=1,ED336*INDEX('Lease Cycles'!$EM$27:$ES$27,1,ED333)+ED337*IF(ED334&lt;INDEX('Lease Cycles'!$FA$27:$FG$27,1,ED333),0,1-INDEX('Lease Cycles'!$EM$27:$ES$27,1,ED333)),ED336*IF(ED334&lt;INDEX('Lease Cycles'!$DK$27:$DQ$27,1,ED333),0,IF(ED334=INDEX('Lease Cycles'!$DK$27:$DQ$27,1,ED333),1-INDEX('Lease Cycles'!$DR$27:$DX$27,1,ED333),1))),0)</f>
        <v>0</v>
      </c>
      <c r="EE339" s="28">
        <f>IF(EE335=1,IF(INDEX('Lease Cycles'!$EF$27:$EL$27,1,EE333)=1,EE336*INDEX('Lease Cycles'!$EM$27:$ES$27,1,EE333)+EE337*IF(EE334&lt;INDEX('Lease Cycles'!$FA$27:$FG$27,1,EE333),0,1-INDEX('Lease Cycles'!$EM$27:$ES$27,1,EE333)),EE336*IF(EE334&lt;INDEX('Lease Cycles'!$DK$27:$DQ$27,1,EE333),0,IF(EE334=INDEX('Lease Cycles'!$DK$27:$DQ$27,1,EE333),1-INDEX('Lease Cycles'!$DR$27:$DX$27,1,EE333),1))),0)</f>
        <v>0</v>
      </c>
      <c r="EF339" s="28">
        <f>IF(EF335=1,IF(INDEX('Lease Cycles'!$EF$27:$EL$27,1,EF333)=1,EF336*INDEX('Lease Cycles'!$EM$27:$ES$27,1,EF333)+EF337*IF(EF334&lt;INDEX('Lease Cycles'!$FA$27:$FG$27,1,EF333),0,1-INDEX('Lease Cycles'!$EM$27:$ES$27,1,EF333)),EF336*IF(EF334&lt;INDEX('Lease Cycles'!$DK$27:$DQ$27,1,EF333),0,IF(EF334=INDEX('Lease Cycles'!$DK$27:$DQ$27,1,EF333),1-INDEX('Lease Cycles'!$DR$27:$DX$27,1,EF333),1))),0)</f>
        <v>0</v>
      </c>
      <c r="EG339" s="28">
        <f>IF(EG335=1,IF(INDEX('Lease Cycles'!$EF$27:$EL$27,1,EG333)=1,EG336*INDEX('Lease Cycles'!$EM$27:$ES$27,1,EG333)+EG337*IF(EG334&lt;INDEX('Lease Cycles'!$FA$27:$FG$27,1,EG333),0,1-INDEX('Lease Cycles'!$EM$27:$ES$27,1,EG333)),EG336*IF(EG334&lt;INDEX('Lease Cycles'!$DK$27:$DQ$27,1,EG333),0,IF(EG334=INDEX('Lease Cycles'!$DK$27:$DQ$27,1,EG333),1-INDEX('Lease Cycles'!$DR$27:$DX$27,1,EG333),1))),0)</f>
        <v>0</v>
      </c>
      <c r="EH339" s="28">
        <f>IF(EH335=1,IF(INDEX('Lease Cycles'!$EF$27:$EL$27,1,EH333)=1,EH336*INDEX('Lease Cycles'!$EM$27:$ES$27,1,EH333)+EH337*IF(EH334&lt;INDEX('Lease Cycles'!$FA$27:$FG$27,1,EH333),0,1-INDEX('Lease Cycles'!$EM$27:$ES$27,1,EH333)),EH336*IF(EH334&lt;INDEX('Lease Cycles'!$DK$27:$DQ$27,1,EH333),0,IF(EH334=INDEX('Lease Cycles'!$DK$27:$DQ$27,1,EH333),1-INDEX('Lease Cycles'!$DR$27:$DX$27,1,EH333),1))),0)</f>
        <v>0</v>
      </c>
      <c r="EI339" s="28">
        <f>IF(EI335=1,IF(INDEX('Lease Cycles'!$EF$27:$EL$27,1,EI333)=1,EI336*INDEX('Lease Cycles'!$EM$27:$ES$27,1,EI333)+EI337*IF(EI334&lt;INDEX('Lease Cycles'!$FA$27:$FG$27,1,EI333),0,1-INDEX('Lease Cycles'!$EM$27:$ES$27,1,EI333)),EI336*IF(EI334&lt;INDEX('Lease Cycles'!$DK$27:$DQ$27,1,EI333),0,IF(EI334=INDEX('Lease Cycles'!$DK$27:$DQ$27,1,EI333),1-INDEX('Lease Cycles'!$DR$27:$DX$27,1,EI333),1))),0)</f>
        <v>0</v>
      </c>
      <c r="EJ339" s="28">
        <f>IF(EJ335=1,IF(INDEX('Lease Cycles'!$EF$27:$EL$27,1,EJ333)=1,EJ336*INDEX('Lease Cycles'!$EM$27:$ES$27,1,EJ333)+EJ337*IF(EJ334&lt;INDEX('Lease Cycles'!$FA$27:$FG$27,1,EJ333),0,1-INDEX('Lease Cycles'!$EM$27:$ES$27,1,EJ333)),EJ336*IF(EJ334&lt;INDEX('Lease Cycles'!$DK$27:$DQ$27,1,EJ333),0,IF(EJ334=INDEX('Lease Cycles'!$DK$27:$DQ$27,1,EJ333),1-INDEX('Lease Cycles'!$DR$27:$DX$27,1,EJ333),1))),0)</f>
        <v>0</v>
      </c>
      <c r="EK339" s="28">
        <f>IF(EK335=1,IF(INDEX('Lease Cycles'!$EF$27:$EL$27,1,EK333)=1,EK336*INDEX('Lease Cycles'!$EM$27:$ES$27,1,EK333)+EK337*IF(EK334&lt;INDEX('Lease Cycles'!$FA$27:$FG$27,1,EK333),0,1-INDEX('Lease Cycles'!$EM$27:$ES$27,1,EK333)),EK336*IF(EK334&lt;INDEX('Lease Cycles'!$DK$27:$DQ$27,1,EK333),0,IF(EK334=INDEX('Lease Cycles'!$DK$27:$DQ$27,1,EK333),1-INDEX('Lease Cycles'!$DR$27:$DX$27,1,EK333),1))),0)</f>
        <v>0</v>
      </c>
      <c r="EL339" s="28">
        <f>IF(EL335=1,IF(INDEX('Lease Cycles'!$EF$27:$EL$27,1,EL333)=1,EL336*INDEX('Lease Cycles'!$EM$27:$ES$27,1,EL333)+EL337*IF(EL334&lt;INDEX('Lease Cycles'!$FA$27:$FG$27,1,EL333),0,1-INDEX('Lease Cycles'!$EM$27:$ES$27,1,EL333)),EL336*IF(EL334&lt;INDEX('Lease Cycles'!$DK$27:$DQ$27,1,EL333),0,IF(EL334=INDEX('Lease Cycles'!$DK$27:$DQ$27,1,EL333),1-INDEX('Lease Cycles'!$DR$27:$DX$27,1,EL333),1))),0)</f>
        <v>0</v>
      </c>
      <c r="EM339" s="28">
        <f>IF(EM335=1,IF(INDEX('Lease Cycles'!$EF$27:$EL$27,1,EM333)=1,EM336*INDEX('Lease Cycles'!$EM$27:$ES$27,1,EM333)+EM337*IF(EM334&lt;INDEX('Lease Cycles'!$FA$27:$FG$27,1,EM333),0,1-INDEX('Lease Cycles'!$EM$27:$ES$27,1,EM333)),EM336*IF(EM334&lt;INDEX('Lease Cycles'!$DK$27:$DQ$27,1,EM333),0,IF(EM334=INDEX('Lease Cycles'!$DK$27:$DQ$27,1,EM333),1-INDEX('Lease Cycles'!$DR$27:$DX$27,1,EM333),1))),0)</f>
        <v>0</v>
      </c>
      <c r="EN339" s="28">
        <f>IF(EN335=1,IF(INDEX('Lease Cycles'!$EF$27:$EL$27,1,EN333)=1,EN336*INDEX('Lease Cycles'!$EM$27:$ES$27,1,EN333)+EN337*IF(EN334&lt;INDEX('Lease Cycles'!$FA$27:$FG$27,1,EN333),0,1-INDEX('Lease Cycles'!$EM$27:$ES$27,1,EN333)),EN336*IF(EN334&lt;INDEX('Lease Cycles'!$DK$27:$DQ$27,1,EN333),0,IF(EN334=INDEX('Lease Cycles'!$DK$27:$DQ$27,1,EN333),1-INDEX('Lease Cycles'!$DR$27:$DX$27,1,EN333),1))),0)</f>
        <v>0</v>
      </c>
      <c r="EO339" s="28">
        <f>IF(EO335=1,IF(INDEX('Lease Cycles'!$EF$27:$EL$27,1,EO333)=1,EO336*INDEX('Lease Cycles'!$EM$27:$ES$27,1,EO333)+EO337*IF(EO334&lt;INDEX('Lease Cycles'!$FA$27:$FG$27,1,EO333),0,1-INDEX('Lease Cycles'!$EM$27:$ES$27,1,EO333)),EO336*IF(EO334&lt;INDEX('Lease Cycles'!$DK$27:$DQ$27,1,EO333),0,IF(EO334=INDEX('Lease Cycles'!$DK$27:$DQ$27,1,EO333),1-INDEX('Lease Cycles'!$DR$27:$DX$27,1,EO333),1))),0)</f>
        <v>0</v>
      </c>
      <c r="EP339" s="28">
        <f>IF(EP335=1,IF(INDEX('Lease Cycles'!$EF$27:$EL$27,1,EP333)=1,EP336*INDEX('Lease Cycles'!$EM$27:$ES$27,1,EP333)+EP337*IF(EP334&lt;INDEX('Lease Cycles'!$FA$27:$FG$27,1,EP333),0,1-INDEX('Lease Cycles'!$EM$27:$ES$27,1,EP333)),EP336*IF(EP334&lt;INDEX('Lease Cycles'!$DK$27:$DQ$27,1,EP333),0,IF(EP334=INDEX('Lease Cycles'!$DK$27:$DQ$27,1,EP333),1-INDEX('Lease Cycles'!$DR$27:$DX$27,1,EP333),1))),0)</f>
        <v>0</v>
      </c>
      <c r="EQ339" s="28">
        <f>IF(EQ335=1,IF(INDEX('Lease Cycles'!$EF$27:$EL$27,1,EQ333)=1,EQ336*INDEX('Lease Cycles'!$EM$27:$ES$27,1,EQ333)+EQ337*IF(EQ334&lt;INDEX('Lease Cycles'!$FA$27:$FG$27,1,EQ333),0,1-INDEX('Lease Cycles'!$EM$27:$ES$27,1,EQ333)),EQ336*IF(EQ334&lt;INDEX('Lease Cycles'!$DK$27:$DQ$27,1,EQ333),0,IF(EQ334=INDEX('Lease Cycles'!$DK$27:$DQ$27,1,EQ333),1-INDEX('Lease Cycles'!$DR$27:$DX$27,1,EQ333),1))),0)</f>
        <v>0</v>
      </c>
      <c r="ER339" s="28">
        <f>IF(ER335=1,IF(INDEX('Lease Cycles'!$EF$27:$EL$27,1,ER333)=1,ER336*INDEX('Lease Cycles'!$EM$27:$ES$27,1,ER333)+ER337*IF(ER334&lt;INDEX('Lease Cycles'!$FA$27:$FG$27,1,ER333),0,1-INDEX('Lease Cycles'!$EM$27:$ES$27,1,ER333)),ER336*IF(ER334&lt;INDEX('Lease Cycles'!$DK$27:$DQ$27,1,ER333),0,IF(ER334=INDEX('Lease Cycles'!$DK$27:$DQ$27,1,ER333),1-INDEX('Lease Cycles'!$DR$27:$DX$27,1,ER333),1))),0)</f>
        <v>0</v>
      </c>
      <c r="ES339" s="28">
        <f>IF(ES335=1,IF(INDEX('Lease Cycles'!$EF$27:$EL$27,1,ES333)=1,ES336*INDEX('Lease Cycles'!$EM$27:$ES$27,1,ES333)+ES337*IF(ES334&lt;INDEX('Lease Cycles'!$FA$27:$FG$27,1,ES333),0,1-INDEX('Lease Cycles'!$EM$27:$ES$27,1,ES333)),ES336*IF(ES334&lt;INDEX('Lease Cycles'!$DK$27:$DQ$27,1,ES333),0,IF(ES334=INDEX('Lease Cycles'!$DK$27:$DQ$27,1,ES333),1-INDEX('Lease Cycles'!$DR$27:$DX$27,1,ES333),1))),0)</f>
        <v>0</v>
      </c>
      <c r="ET339" s="28">
        <f>IF(ET335=1,IF(INDEX('Lease Cycles'!$EF$27:$EL$27,1,ET333)=1,ET336*INDEX('Lease Cycles'!$EM$27:$ES$27,1,ET333)+ET337*IF(ET334&lt;INDEX('Lease Cycles'!$FA$27:$FG$27,1,ET333),0,1-INDEX('Lease Cycles'!$EM$27:$ES$27,1,ET333)),ET336*IF(ET334&lt;INDEX('Lease Cycles'!$DK$27:$DQ$27,1,ET333),0,IF(ET334=INDEX('Lease Cycles'!$DK$27:$DQ$27,1,ET333),1-INDEX('Lease Cycles'!$DR$27:$DX$27,1,ET333),1))),0)</f>
        <v>0</v>
      </c>
    </row>
    <row r="340">
      <c r="A340" s="103">
        <v>20</v>
      </c>
      <c r="B340" s="23" t="str">
        <f>IF('Lease Cycles'!$B$27="","(empty slot)",'Lease Cycles'!$B$27)</f>
        <v>(empty slot)</v>
      </c>
      <c r="C340" s="23" t="s">
        <v>493</v>
      </c>
      <c r="D340" s="104" t="s">
        <v>494</v>
      </c>
      <c r="E340" s="25">
        <f>'Lease Cycles'!$AL$27</f>
        <v>0</v>
      </c>
      <c r="G340" s="28">
        <f>SUM(S340:AD340)</f>
        <v>0</v>
      </c>
      <c r="H340" s="28">
        <f>SUM(AE340:AP340)</f>
        <v>0</v>
      </c>
      <c r="I340" s="28">
        <f>SUM(AQ340:BB340)</f>
        <v>0</v>
      </c>
      <c r="J340" s="28">
        <f>SUM(BC340:BN340)</f>
        <v>0</v>
      </c>
      <c r="K340" s="28">
        <f>SUM(BO340:BZ340)</f>
        <v>0</v>
      </c>
      <c r="L340" s="28">
        <f>SUM(CA340:CL340)</f>
        <v>0</v>
      </c>
      <c r="M340" s="28">
        <f>SUM(CM340:CX340)</f>
        <v>0</v>
      </c>
      <c r="N340" s="28">
        <f>SUM(CY340:DJ340)</f>
        <v>0</v>
      </c>
      <c r="O340" s="28">
        <f>SUM(DK340:DV340)</f>
        <v>0</v>
      </c>
      <c r="P340" s="28">
        <f>SUM(DW340:EH340)</f>
        <v>0</v>
      </c>
      <c r="Q340" s="28">
        <f>SUM(EI340:ET340)</f>
        <v>0</v>
      </c>
      <c r="S340" s="28">
        <f>IF(S335=1,IF(INDEX('Lease Cycles'!$EF$27:$EL$27,1,S333)=1,0,S336*(1-IF(S334&lt;INDEX('Lease Cycles'!$DK$27:$DQ$27,1,S333),0,IF(S334=INDEX('Lease Cycles'!$DK$27:$DQ$27,1,S333),1-INDEX('Lease Cycles'!$DR$27:$DX$27,1,S333),1))-IF(S334=0,INDEX('Lease Cycles'!$DD$27:$DJ$27,1,S333),0))),0)</f>
        <v>0</v>
      </c>
      <c r="T340" s="28">
        <f>IF(T335=1,IF(INDEX('Lease Cycles'!$EF$27:$EL$27,1,T333)=1,0,T336*(1-IF(T334&lt;INDEX('Lease Cycles'!$DK$27:$DQ$27,1,T333),0,IF(T334=INDEX('Lease Cycles'!$DK$27:$DQ$27,1,T333),1-INDEX('Lease Cycles'!$DR$27:$DX$27,1,T333),1))-IF(T334=0,INDEX('Lease Cycles'!$DD$27:$DJ$27,1,T333),0))),0)</f>
        <v>0</v>
      </c>
      <c r="U340" s="28">
        <f>IF(U335=1,IF(INDEX('Lease Cycles'!$EF$27:$EL$27,1,U333)=1,0,U336*(1-IF(U334&lt;INDEX('Lease Cycles'!$DK$27:$DQ$27,1,U333),0,IF(U334=INDEX('Lease Cycles'!$DK$27:$DQ$27,1,U333),1-INDEX('Lease Cycles'!$DR$27:$DX$27,1,U333),1))-IF(U334=0,INDEX('Lease Cycles'!$DD$27:$DJ$27,1,U333),0))),0)</f>
        <v>0</v>
      </c>
      <c r="V340" s="28">
        <f>IF(V335=1,IF(INDEX('Lease Cycles'!$EF$27:$EL$27,1,V333)=1,0,V336*(1-IF(V334&lt;INDEX('Lease Cycles'!$DK$27:$DQ$27,1,V333),0,IF(V334=INDEX('Lease Cycles'!$DK$27:$DQ$27,1,V333),1-INDEX('Lease Cycles'!$DR$27:$DX$27,1,V333),1))-IF(V334=0,INDEX('Lease Cycles'!$DD$27:$DJ$27,1,V333),0))),0)</f>
        <v>0</v>
      </c>
      <c r="W340" s="28">
        <f>IF(W335=1,IF(INDEX('Lease Cycles'!$EF$27:$EL$27,1,W333)=1,0,W336*(1-IF(W334&lt;INDEX('Lease Cycles'!$DK$27:$DQ$27,1,W333),0,IF(W334=INDEX('Lease Cycles'!$DK$27:$DQ$27,1,W333),1-INDEX('Lease Cycles'!$DR$27:$DX$27,1,W333),1))-IF(W334=0,INDEX('Lease Cycles'!$DD$27:$DJ$27,1,W333),0))),0)</f>
        <v>0</v>
      </c>
      <c r="X340" s="28">
        <f>IF(X335=1,IF(INDEX('Lease Cycles'!$EF$27:$EL$27,1,X333)=1,0,X336*(1-IF(X334&lt;INDEX('Lease Cycles'!$DK$27:$DQ$27,1,X333),0,IF(X334=INDEX('Lease Cycles'!$DK$27:$DQ$27,1,X333),1-INDEX('Lease Cycles'!$DR$27:$DX$27,1,X333),1))-IF(X334=0,INDEX('Lease Cycles'!$DD$27:$DJ$27,1,X333),0))),0)</f>
        <v>0</v>
      </c>
      <c r="Y340" s="28">
        <f>IF(Y335=1,IF(INDEX('Lease Cycles'!$EF$27:$EL$27,1,Y333)=1,0,Y336*(1-IF(Y334&lt;INDEX('Lease Cycles'!$DK$27:$DQ$27,1,Y333),0,IF(Y334=INDEX('Lease Cycles'!$DK$27:$DQ$27,1,Y333),1-INDEX('Lease Cycles'!$DR$27:$DX$27,1,Y333),1))-IF(Y334=0,INDEX('Lease Cycles'!$DD$27:$DJ$27,1,Y333),0))),0)</f>
        <v>0</v>
      </c>
      <c r="Z340" s="28">
        <f>IF(Z335=1,IF(INDEX('Lease Cycles'!$EF$27:$EL$27,1,Z333)=1,0,Z336*(1-IF(Z334&lt;INDEX('Lease Cycles'!$DK$27:$DQ$27,1,Z333),0,IF(Z334=INDEX('Lease Cycles'!$DK$27:$DQ$27,1,Z333),1-INDEX('Lease Cycles'!$DR$27:$DX$27,1,Z333),1))-IF(Z334=0,INDEX('Lease Cycles'!$DD$27:$DJ$27,1,Z333),0))),0)</f>
        <v>0</v>
      </c>
      <c r="AA340" s="28">
        <f>IF(AA335=1,IF(INDEX('Lease Cycles'!$EF$27:$EL$27,1,AA333)=1,0,AA336*(1-IF(AA334&lt;INDEX('Lease Cycles'!$DK$27:$DQ$27,1,AA333),0,IF(AA334=INDEX('Lease Cycles'!$DK$27:$DQ$27,1,AA333),1-INDEX('Lease Cycles'!$DR$27:$DX$27,1,AA333),1))-IF(AA334=0,INDEX('Lease Cycles'!$DD$27:$DJ$27,1,AA333),0))),0)</f>
        <v>0</v>
      </c>
      <c r="AB340" s="28">
        <f>IF(AB335=1,IF(INDEX('Lease Cycles'!$EF$27:$EL$27,1,AB333)=1,0,AB336*(1-IF(AB334&lt;INDEX('Lease Cycles'!$DK$27:$DQ$27,1,AB333),0,IF(AB334=INDEX('Lease Cycles'!$DK$27:$DQ$27,1,AB333),1-INDEX('Lease Cycles'!$DR$27:$DX$27,1,AB333),1))-IF(AB334=0,INDEX('Lease Cycles'!$DD$27:$DJ$27,1,AB333),0))),0)</f>
        <v>0</v>
      </c>
      <c r="AC340" s="28">
        <f>IF(AC335=1,IF(INDEX('Lease Cycles'!$EF$27:$EL$27,1,AC333)=1,0,AC336*(1-IF(AC334&lt;INDEX('Lease Cycles'!$DK$27:$DQ$27,1,AC333),0,IF(AC334=INDEX('Lease Cycles'!$DK$27:$DQ$27,1,AC333),1-INDEX('Lease Cycles'!$DR$27:$DX$27,1,AC333),1))-IF(AC334=0,INDEX('Lease Cycles'!$DD$27:$DJ$27,1,AC333),0))),0)</f>
        <v>0</v>
      </c>
      <c r="AD340" s="28">
        <f>IF(AD335=1,IF(INDEX('Lease Cycles'!$EF$27:$EL$27,1,AD333)=1,0,AD336*(1-IF(AD334&lt;INDEX('Lease Cycles'!$DK$27:$DQ$27,1,AD333),0,IF(AD334=INDEX('Lease Cycles'!$DK$27:$DQ$27,1,AD333),1-INDEX('Lease Cycles'!$DR$27:$DX$27,1,AD333),1))-IF(AD334=0,INDEX('Lease Cycles'!$DD$27:$DJ$27,1,AD333),0))),0)</f>
        <v>0</v>
      </c>
      <c r="AE340" s="28">
        <f>IF(AE335=1,IF(INDEX('Lease Cycles'!$EF$27:$EL$27,1,AE333)=1,0,AE336*(1-IF(AE334&lt;INDEX('Lease Cycles'!$DK$27:$DQ$27,1,AE333),0,IF(AE334=INDEX('Lease Cycles'!$DK$27:$DQ$27,1,AE333),1-INDEX('Lease Cycles'!$DR$27:$DX$27,1,AE333),1))-IF(AE334=0,INDEX('Lease Cycles'!$DD$27:$DJ$27,1,AE333),0))),0)</f>
        <v>0</v>
      </c>
      <c r="AF340" s="28">
        <f>IF(AF335=1,IF(INDEX('Lease Cycles'!$EF$27:$EL$27,1,AF333)=1,0,AF336*(1-IF(AF334&lt;INDEX('Lease Cycles'!$DK$27:$DQ$27,1,AF333),0,IF(AF334=INDEX('Lease Cycles'!$DK$27:$DQ$27,1,AF333),1-INDEX('Lease Cycles'!$DR$27:$DX$27,1,AF333),1))-IF(AF334=0,INDEX('Lease Cycles'!$DD$27:$DJ$27,1,AF333),0))),0)</f>
        <v>0</v>
      </c>
      <c r="AG340" s="28">
        <f>IF(AG335=1,IF(INDEX('Lease Cycles'!$EF$27:$EL$27,1,AG333)=1,0,AG336*(1-IF(AG334&lt;INDEX('Lease Cycles'!$DK$27:$DQ$27,1,AG333),0,IF(AG334=INDEX('Lease Cycles'!$DK$27:$DQ$27,1,AG333),1-INDEX('Lease Cycles'!$DR$27:$DX$27,1,AG333),1))-IF(AG334=0,INDEX('Lease Cycles'!$DD$27:$DJ$27,1,AG333),0))),0)</f>
        <v>0</v>
      </c>
      <c r="AH340" s="28">
        <f>IF(AH335=1,IF(INDEX('Lease Cycles'!$EF$27:$EL$27,1,AH333)=1,0,AH336*(1-IF(AH334&lt;INDEX('Lease Cycles'!$DK$27:$DQ$27,1,AH333),0,IF(AH334=INDEX('Lease Cycles'!$DK$27:$DQ$27,1,AH333),1-INDEX('Lease Cycles'!$DR$27:$DX$27,1,AH333),1))-IF(AH334=0,INDEX('Lease Cycles'!$DD$27:$DJ$27,1,AH333),0))),0)</f>
        <v>0</v>
      </c>
      <c r="AI340" s="28">
        <f>IF(AI335=1,IF(INDEX('Lease Cycles'!$EF$27:$EL$27,1,AI333)=1,0,AI336*(1-IF(AI334&lt;INDEX('Lease Cycles'!$DK$27:$DQ$27,1,AI333),0,IF(AI334=INDEX('Lease Cycles'!$DK$27:$DQ$27,1,AI333),1-INDEX('Lease Cycles'!$DR$27:$DX$27,1,AI333),1))-IF(AI334=0,INDEX('Lease Cycles'!$DD$27:$DJ$27,1,AI333),0))),0)</f>
        <v>0</v>
      </c>
      <c r="AJ340" s="28">
        <f>IF(AJ335=1,IF(INDEX('Lease Cycles'!$EF$27:$EL$27,1,AJ333)=1,0,AJ336*(1-IF(AJ334&lt;INDEX('Lease Cycles'!$DK$27:$DQ$27,1,AJ333),0,IF(AJ334=INDEX('Lease Cycles'!$DK$27:$DQ$27,1,AJ333),1-INDEX('Lease Cycles'!$DR$27:$DX$27,1,AJ333),1))-IF(AJ334=0,INDEX('Lease Cycles'!$DD$27:$DJ$27,1,AJ333),0))),0)</f>
        <v>0</v>
      </c>
      <c r="AK340" s="28">
        <f>IF(AK335=1,IF(INDEX('Lease Cycles'!$EF$27:$EL$27,1,AK333)=1,0,AK336*(1-IF(AK334&lt;INDEX('Lease Cycles'!$DK$27:$DQ$27,1,AK333),0,IF(AK334=INDEX('Lease Cycles'!$DK$27:$DQ$27,1,AK333),1-INDEX('Lease Cycles'!$DR$27:$DX$27,1,AK333),1))-IF(AK334=0,INDEX('Lease Cycles'!$DD$27:$DJ$27,1,AK333),0))),0)</f>
        <v>0</v>
      </c>
      <c r="AL340" s="28">
        <f>IF(AL335=1,IF(INDEX('Lease Cycles'!$EF$27:$EL$27,1,AL333)=1,0,AL336*(1-IF(AL334&lt;INDEX('Lease Cycles'!$DK$27:$DQ$27,1,AL333),0,IF(AL334=INDEX('Lease Cycles'!$DK$27:$DQ$27,1,AL333),1-INDEX('Lease Cycles'!$DR$27:$DX$27,1,AL333),1))-IF(AL334=0,INDEX('Lease Cycles'!$DD$27:$DJ$27,1,AL333),0))),0)</f>
        <v>0</v>
      </c>
      <c r="AM340" s="28">
        <f>IF(AM335=1,IF(INDEX('Lease Cycles'!$EF$27:$EL$27,1,AM333)=1,0,AM336*(1-IF(AM334&lt;INDEX('Lease Cycles'!$DK$27:$DQ$27,1,AM333),0,IF(AM334=INDEX('Lease Cycles'!$DK$27:$DQ$27,1,AM333),1-INDEX('Lease Cycles'!$DR$27:$DX$27,1,AM333),1))-IF(AM334=0,INDEX('Lease Cycles'!$DD$27:$DJ$27,1,AM333),0))),0)</f>
        <v>0</v>
      </c>
      <c r="AN340" s="28">
        <f>IF(AN335=1,IF(INDEX('Lease Cycles'!$EF$27:$EL$27,1,AN333)=1,0,AN336*(1-IF(AN334&lt;INDEX('Lease Cycles'!$DK$27:$DQ$27,1,AN333),0,IF(AN334=INDEX('Lease Cycles'!$DK$27:$DQ$27,1,AN333),1-INDEX('Lease Cycles'!$DR$27:$DX$27,1,AN333),1))-IF(AN334=0,INDEX('Lease Cycles'!$DD$27:$DJ$27,1,AN333),0))),0)</f>
        <v>0</v>
      </c>
      <c r="AO340" s="28">
        <f>IF(AO335=1,IF(INDEX('Lease Cycles'!$EF$27:$EL$27,1,AO333)=1,0,AO336*(1-IF(AO334&lt;INDEX('Lease Cycles'!$DK$27:$DQ$27,1,AO333),0,IF(AO334=INDEX('Lease Cycles'!$DK$27:$DQ$27,1,AO333),1-INDEX('Lease Cycles'!$DR$27:$DX$27,1,AO333),1))-IF(AO334=0,INDEX('Lease Cycles'!$DD$27:$DJ$27,1,AO333),0))),0)</f>
        <v>0</v>
      </c>
      <c r="AP340" s="28">
        <f>IF(AP335=1,IF(INDEX('Lease Cycles'!$EF$27:$EL$27,1,AP333)=1,0,AP336*(1-IF(AP334&lt;INDEX('Lease Cycles'!$DK$27:$DQ$27,1,AP333),0,IF(AP334=INDEX('Lease Cycles'!$DK$27:$DQ$27,1,AP333),1-INDEX('Lease Cycles'!$DR$27:$DX$27,1,AP333),1))-IF(AP334=0,INDEX('Lease Cycles'!$DD$27:$DJ$27,1,AP333),0))),0)</f>
        <v>0</v>
      </c>
      <c r="AQ340" s="28">
        <f>IF(AQ335=1,IF(INDEX('Lease Cycles'!$EF$27:$EL$27,1,AQ333)=1,0,AQ336*(1-IF(AQ334&lt;INDEX('Lease Cycles'!$DK$27:$DQ$27,1,AQ333),0,IF(AQ334=INDEX('Lease Cycles'!$DK$27:$DQ$27,1,AQ333),1-INDEX('Lease Cycles'!$DR$27:$DX$27,1,AQ333),1))-IF(AQ334=0,INDEX('Lease Cycles'!$DD$27:$DJ$27,1,AQ333),0))),0)</f>
        <v>0</v>
      </c>
      <c r="AR340" s="28">
        <f>IF(AR335=1,IF(INDEX('Lease Cycles'!$EF$27:$EL$27,1,AR333)=1,0,AR336*(1-IF(AR334&lt;INDEX('Lease Cycles'!$DK$27:$DQ$27,1,AR333),0,IF(AR334=INDEX('Lease Cycles'!$DK$27:$DQ$27,1,AR333),1-INDEX('Lease Cycles'!$DR$27:$DX$27,1,AR333),1))-IF(AR334=0,INDEX('Lease Cycles'!$DD$27:$DJ$27,1,AR333),0))),0)</f>
        <v>0</v>
      </c>
      <c r="AS340" s="28">
        <f>IF(AS335=1,IF(INDEX('Lease Cycles'!$EF$27:$EL$27,1,AS333)=1,0,AS336*(1-IF(AS334&lt;INDEX('Lease Cycles'!$DK$27:$DQ$27,1,AS333),0,IF(AS334=INDEX('Lease Cycles'!$DK$27:$DQ$27,1,AS333),1-INDEX('Lease Cycles'!$DR$27:$DX$27,1,AS333),1))-IF(AS334=0,INDEX('Lease Cycles'!$DD$27:$DJ$27,1,AS333),0))),0)</f>
        <v>0</v>
      </c>
      <c r="AT340" s="28">
        <f>IF(AT335=1,IF(INDEX('Lease Cycles'!$EF$27:$EL$27,1,AT333)=1,0,AT336*(1-IF(AT334&lt;INDEX('Lease Cycles'!$DK$27:$DQ$27,1,AT333),0,IF(AT334=INDEX('Lease Cycles'!$DK$27:$DQ$27,1,AT333),1-INDEX('Lease Cycles'!$DR$27:$DX$27,1,AT333),1))-IF(AT334=0,INDEX('Lease Cycles'!$DD$27:$DJ$27,1,AT333),0))),0)</f>
        <v>0</v>
      </c>
      <c r="AU340" s="28">
        <f>IF(AU335=1,IF(INDEX('Lease Cycles'!$EF$27:$EL$27,1,AU333)=1,0,AU336*(1-IF(AU334&lt;INDEX('Lease Cycles'!$DK$27:$DQ$27,1,AU333),0,IF(AU334=INDEX('Lease Cycles'!$DK$27:$DQ$27,1,AU333),1-INDEX('Lease Cycles'!$DR$27:$DX$27,1,AU333),1))-IF(AU334=0,INDEX('Lease Cycles'!$DD$27:$DJ$27,1,AU333),0))),0)</f>
        <v>0</v>
      </c>
      <c r="AV340" s="28">
        <f>IF(AV335=1,IF(INDEX('Lease Cycles'!$EF$27:$EL$27,1,AV333)=1,0,AV336*(1-IF(AV334&lt;INDEX('Lease Cycles'!$DK$27:$DQ$27,1,AV333),0,IF(AV334=INDEX('Lease Cycles'!$DK$27:$DQ$27,1,AV333),1-INDEX('Lease Cycles'!$DR$27:$DX$27,1,AV333),1))-IF(AV334=0,INDEX('Lease Cycles'!$DD$27:$DJ$27,1,AV333),0))),0)</f>
        <v>0</v>
      </c>
      <c r="AW340" s="28">
        <f>IF(AW335=1,IF(INDEX('Lease Cycles'!$EF$27:$EL$27,1,AW333)=1,0,AW336*(1-IF(AW334&lt;INDEX('Lease Cycles'!$DK$27:$DQ$27,1,AW333),0,IF(AW334=INDEX('Lease Cycles'!$DK$27:$DQ$27,1,AW333),1-INDEX('Lease Cycles'!$DR$27:$DX$27,1,AW333),1))-IF(AW334=0,INDEX('Lease Cycles'!$DD$27:$DJ$27,1,AW333),0))),0)</f>
        <v>0</v>
      </c>
      <c r="AX340" s="28">
        <f>IF(AX335=1,IF(INDEX('Lease Cycles'!$EF$27:$EL$27,1,AX333)=1,0,AX336*(1-IF(AX334&lt;INDEX('Lease Cycles'!$DK$27:$DQ$27,1,AX333),0,IF(AX334=INDEX('Lease Cycles'!$DK$27:$DQ$27,1,AX333),1-INDEX('Lease Cycles'!$DR$27:$DX$27,1,AX333),1))-IF(AX334=0,INDEX('Lease Cycles'!$DD$27:$DJ$27,1,AX333),0))),0)</f>
        <v>0</v>
      </c>
      <c r="AY340" s="28">
        <f>IF(AY335=1,IF(INDEX('Lease Cycles'!$EF$27:$EL$27,1,AY333)=1,0,AY336*(1-IF(AY334&lt;INDEX('Lease Cycles'!$DK$27:$DQ$27,1,AY333),0,IF(AY334=INDEX('Lease Cycles'!$DK$27:$DQ$27,1,AY333),1-INDEX('Lease Cycles'!$DR$27:$DX$27,1,AY333),1))-IF(AY334=0,INDEX('Lease Cycles'!$DD$27:$DJ$27,1,AY333),0))),0)</f>
        <v>0</v>
      </c>
      <c r="AZ340" s="28">
        <f>IF(AZ335=1,IF(INDEX('Lease Cycles'!$EF$27:$EL$27,1,AZ333)=1,0,AZ336*(1-IF(AZ334&lt;INDEX('Lease Cycles'!$DK$27:$DQ$27,1,AZ333),0,IF(AZ334=INDEX('Lease Cycles'!$DK$27:$DQ$27,1,AZ333),1-INDEX('Lease Cycles'!$DR$27:$DX$27,1,AZ333),1))-IF(AZ334=0,INDEX('Lease Cycles'!$DD$27:$DJ$27,1,AZ333),0))),0)</f>
        <v>0</v>
      </c>
      <c r="BA340" s="28">
        <f>IF(BA335=1,IF(INDEX('Lease Cycles'!$EF$27:$EL$27,1,BA333)=1,0,BA336*(1-IF(BA334&lt;INDEX('Lease Cycles'!$DK$27:$DQ$27,1,BA333),0,IF(BA334=INDEX('Lease Cycles'!$DK$27:$DQ$27,1,BA333),1-INDEX('Lease Cycles'!$DR$27:$DX$27,1,BA333),1))-IF(BA334=0,INDEX('Lease Cycles'!$DD$27:$DJ$27,1,BA333),0))),0)</f>
        <v>0</v>
      </c>
      <c r="BB340" s="28">
        <f>IF(BB335=1,IF(INDEX('Lease Cycles'!$EF$27:$EL$27,1,BB333)=1,0,BB336*(1-IF(BB334&lt;INDEX('Lease Cycles'!$DK$27:$DQ$27,1,BB333),0,IF(BB334=INDEX('Lease Cycles'!$DK$27:$DQ$27,1,BB333),1-INDEX('Lease Cycles'!$DR$27:$DX$27,1,BB333),1))-IF(BB334=0,INDEX('Lease Cycles'!$DD$27:$DJ$27,1,BB333),0))),0)</f>
        <v>0</v>
      </c>
      <c r="BC340" s="28">
        <f>IF(BC335=1,IF(INDEX('Lease Cycles'!$EF$27:$EL$27,1,BC333)=1,0,BC336*(1-IF(BC334&lt;INDEX('Lease Cycles'!$DK$27:$DQ$27,1,BC333),0,IF(BC334=INDEX('Lease Cycles'!$DK$27:$DQ$27,1,BC333),1-INDEX('Lease Cycles'!$DR$27:$DX$27,1,BC333),1))-IF(BC334=0,INDEX('Lease Cycles'!$DD$27:$DJ$27,1,BC333),0))),0)</f>
        <v>0</v>
      </c>
      <c r="BD340" s="28">
        <f>IF(BD335=1,IF(INDEX('Lease Cycles'!$EF$27:$EL$27,1,BD333)=1,0,BD336*(1-IF(BD334&lt;INDEX('Lease Cycles'!$DK$27:$DQ$27,1,BD333),0,IF(BD334=INDEX('Lease Cycles'!$DK$27:$DQ$27,1,BD333),1-INDEX('Lease Cycles'!$DR$27:$DX$27,1,BD333),1))-IF(BD334=0,INDEX('Lease Cycles'!$DD$27:$DJ$27,1,BD333),0))),0)</f>
        <v>0</v>
      </c>
      <c r="BE340" s="28">
        <f>IF(BE335=1,IF(INDEX('Lease Cycles'!$EF$27:$EL$27,1,BE333)=1,0,BE336*(1-IF(BE334&lt;INDEX('Lease Cycles'!$DK$27:$DQ$27,1,BE333),0,IF(BE334=INDEX('Lease Cycles'!$DK$27:$DQ$27,1,BE333),1-INDEX('Lease Cycles'!$DR$27:$DX$27,1,BE333),1))-IF(BE334=0,INDEX('Lease Cycles'!$DD$27:$DJ$27,1,BE333),0))),0)</f>
        <v>0</v>
      </c>
      <c r="BF340" s="28">
        <f>IF(BF335=1,IF(INDEX('Lease Cycles'!$EF$27:$EL$27,1,BF333)=1,0,BF336*(1-IF(BF334&lt;INDEX('Lease Cycles'!$DK$27:$DQ$27,1,BF333),0,IF(BF334=INDEX('Lease Cycles'!$DK$27:$DQ$27,1,BF333),1-INDEX('Lease Cycles'!$DR$27:$DX$27,1,BF333),1))-IF(BF334=0,INDEX('Lease Cycles'!$DD$27:$DJ$27,1,BF333),0))),0)</f>
        <v>0</v>
      </c>
      <c r="BG340" s="28">
        <f>IF(BG335=1,IF(INDEX('Lease Cycles'!$EF$27:$EL$27,1,BG333)=1,0,BG336*(1-IF(BG334&lt;INDEX('Lease Cycles'!$DK$27:$DQ$27,1,BG333),0,IF(BG334=INDEX('Lease Cycles'!$DK$27:$DQ$27,1,BG333),1-INDEX('Lease Cycles'!$DR$27:$DX$27,1,BG333),1))-IF(BG334=0,INDEX('Lease Cycles'!$DD$27:$DJ$27,1,BG333),0))),0)</f>
        <v>0</v>
      </c>
      <c r="BH340" s="28">
        <f>IF(BH335=1,IF(INDEX('Lease Cycles'!$EF$27:$EL$27,1,BH333)=1,0,BH336*(1-IF(BH334&lt;INDEX('Lease Cycles'!$DK$27:$DQ$27,1,BH333),0,IF(BH334=INDEX('Lease Cycles'!$DK$27:$DQ$27,1,BH333),1-INDEX('Lease Cycles'!$DR$27:$DX$27,1,BH333),1))-IF(BH334=0,INDEX('Lease Cycles'!$DD$27:$DJ$27,1,BH333),0))),0)</f>
        <v>0</v>
      </c>
      <c r="BI340" s="28">
        <f>IF(BI335=1,IF(INDEX('Lease Cycles'!$EF$27:$EL$27,1,BI333)=1,0,BI336*(1-IF(BI334&lt;INDEX('Lease Cycles'!$DK$27:$DQ$27,1,BI333),0,IF(BI334=INDEX('Lease Cycles'!$DK$27:$DQ$27,1,BI333),1-INDEX('Lease Cycles'!$DR$27:$DX$27,1,BI333),1))-IF(BI334=0,INDEX('Lease Cycles'!$DD$27:$DJ$27,1,BI333),0))),0)</f>
        <v>0</v>
      </c>
      <c r="BJ340" s="28">
        <f>IF(BJ335=1,IF(INDEX('Lease Cycles'!$EF$27:$EL$27,1,BJ333)=1,0,BJ336*(1-IF(BJ334&lt;INDEX('Lease Cycles'!$DK$27:$DQ$27,1,BJ333),0,IF(BJ334=INDEX('Lease Cycles'!$DK$27:$DQ$27,1,BJ333),1-INDEX('Lease Cycles'!$DR$27:$DX$27,1,BJ333),1))-IF(BJ334=0,INDEX('Lease Cycles'!$DD$27:$DJ$27,1,BJ333),0))),0)</f>
        <v>0</v>
      </c>
      <c r="BK340" s="28">
        <f>IF(BK335=1,IF(INDEX('Lease Cycles'!$EF$27:$EL$27,1,BK333)=1,0,BK336*(1-IF(BK334&lt;INDEX('Lease Cycles'!$DK$27:$DQ$27,1,BK333),0,IF(BK334=INDEX('Lease Cycles'!$DK$27:$DQ$27,1,BK333),1-INDEX('Lease Cycles'!$DR$27:$DX$27,1,BK333),1))-IF(BK334=0,INDEX('Lease Cycles'!$DD$27:$DJ$27,1,BK333),0))),0)</f>
        <v>0</v>
      </c>
      <c r="BL340" s="28">
        <f>IF(BL335=1,IF(INDEX('Lease Cycles'!$EF$27:$EL$27,1,BL333)=1,0,BL336*(1-IF(BL334&lt;INDEX('Lease Cycles'!$DK$27:$DQ$27,1,BL333),0,IF(BL334=INDEX('Lease Cycles'!$DK$27:$DQ$27,1,BL333),1-INDEX('Lease Cycles'!$DR$27:$DX$27,1,BL333),1))-IF(BL334=0,INDEX('Lease Cycles'!$DD$27:$DJ$27,1,BL333),0))),0)</f>
        <v>0</v>
      </c>
      <c r="BM340" s="28">
        <f>IF(BM335=1,IF(INDEX('Lease Cycles'!$EF$27:$EL$27,1,BM333)=1,0,BM336*(1-IF(BM334&lt;INDEX('Lease Cycles'!$DK$27:$DQ$27,1,BM333),0,IF(BM334=INDEX('Lease Cycles'!$DK$27:$DQ$27,1,BM333),1-INDEX('Lease Cycles'!$DR$27:$DX$27,1,BM333),1))-IF(BM334=0,INDEX('Lease Cycles'!$DD$27:$DJ$27,1,BM333),0))),0)</f>
        <v>0</v>
      </c>
      <c r="BN340" s="28">
        <f>IF(BN335=1,IF(INDEX('Lease Cycles'!$EF$27:$EL$27,1,BN333)=1,0,BN336*(1-IF(BN334&lt;INDEX('Lease Cycles'!$DK$27:$DQ$27,1,BN333),0,IF(BN334=INDEX('Lease Cycles'!$DK$27:$DQ$27,1,BN333),1-INDEX('Lease Cycles'!$DR$27:$DX$27,1,BN333),1))-IF(BN334=0,INDEX('Lease Cycles'!$DD$27:$DJ$27,1,BN333),0))),0)</f>
        <v>0</v>
      </c>
      <c r="BO340" s="28">
        <f>IF(BO335=1,IF(INDEX('Lease Cycles'!$EF$27:$EL$27,1,BO333)=1,0,BO336*(1-IF(BO334&lt;INDEX('Lease Cycles'!$DK$27:$DQ$27,1,BO333),0,IF(BO334=INDEX('Lease Cycles'!$DK$27:$DQ$27,1,BO333),1-INDEX('Lease Cycles'!$DR$27:$DX$27,1,BO333),1))-IF(BO334=0,INDEX('Lease Cycles'!$DD$27:$DJ$27,1,BO333),0))),0)</f>
        <v>0</v>
      </c>
      <c r="BP340" s="28">
        <f>IF(BP335=1,IF(INDEX('Lease Cycles'!$EF$27:$EL$27,1,BP333)=1,0,BP336*(1-IF(BP334&lt;INDEX('Lease Cycles'!$DK$27:$DQ$27,1,BP333),0,IF(BP334=INDEX('Lease Cycles'!$DK$27:$DQ$27,1,BP333),1-INDEX('Lease Cycles'!$DR$27:$DX$27,1,BP333),1))-IF(BP334=0,INDEX('Lease Cycles'!$DD$27:$DJ$27,1,BP333),0))),0)</f>
        <v>0</v>
      </c>
      <c r="BQ340" s="28">
        <f>IF(BQ335=1,IF(INDEX('Lease Cycles'!$EF$27:$EL$27,1,BQ333)=1,0,BQ336*(1-IF(BQ334&lt;INDEX('Lease Cycles'!$DK$27:$DQ$27,1,BQ333),0,IF(BQ334=INDEX('Lease Cycles'!$DK$27:$DQ$27,1,BQ333),1-INDEX('Lease Cycles'!$DR$27:$DX$27,1,BQ333),1))-IF(BQ334=0,INDEX('Lease Cycles'!$DD$27:$DJ$27,1,BQ333),0))),0)</f>
        <v>0</v>
      </c>
      <c r="BR340" s="28">
        <f>IF(BR335=1,IF(INDEX('Lease Cycles'!$EF$27:$EL$27,1,BR333)=1,0,BR336*(1-IF(BR334&lt;INDEX('Lease Cycles'!$DK$27:$DQ$27,1,BR333),0,IF(BR334=INDEX('Lease Cycles'!$DK$27:$DQ$27,1,BR333),1-INDEX('Lease Cycles'!$DR$27:$DX$27,1,BR333),1))-IF(BR334=0,INDEX('Lease Cycles'!$DD$27:$DJ$27,1,BR333),0))),0)</f>
        <v>0</v>
      </c>
      <c r="BS340" s="28">
        <f>IF(BS335=1,IF(INDEX('Lease Cycles'!$EF$27:$EL$27,1,BS333)=1,0,BS336*(1-IF(BS334&lt;INDEX('Lease Cycles'!$DK$27:$DQ$27,1,BS333),0,IF(BS334=INDEX('Lease Cycles'!$DK$27:$DQ$27,1,BS333),1-INDEX('Lease Cycles'!$DR$27:$DX$27,1,BS333),1))-IF(BS334=0,INDEX('Lease Cycles'!$DD$27:$DJ$27,1,BS333),0))),0)</f>
        <v>0</v>
      </c>
      <c r="BT340" s="28">
        <f>IF(BT335=1,IF(INDEX('Lease Cycles'!$EF$27:$EL$27,1,BT333)=1,0,BT336*(1-IF(BT334&lt;INDEX('Lease Cycles'!$DK$27:$DQ$27,1,BT333),0,IF(BT334=INDEX('Lease Cycles'!$DK$27:$DQ$27,1,BT333),1-INDEX('Lease Cycles'!$DR$27:$DX$27,1,BT333),1))-IF(BT334=0,INDEX('Lease Cycles'!$DD$27:$DJ$27,1,BT333),0))),0)</f>
        <v>0</v>
      </c>
      <c r="BU340" s="28">
        <f>IF(BU335=1,IF(INDEX('Lease Cycles'!$EF$27:$EL$27,1,BU333)=1,0,BU336*(1-IF(BU334&lt;INDEX('Lease Cycles'!$DK$27:$DQ$27,1,BU333),0,IF(BU334=INDEX('Lease Cycles'!$DK$27:$DQ$27,1,BU333),1-INDEX('Lease Cycles'!$DR$27:$DX$27,1,BU333),1))-IF(BU334=0,INDEX('Lease Cycles'!$DD$27:$DJ$27,1,BU333),0))),0)</f>
        <v>0</v>
      </c>
      <c r="BV340" s="28">
        <f>IF(BV335=1,IF(INDEX('Lease Cycles'!$EF$27:$EL$27,1,BV333)=1,0,BV336*(1-IF(BV334&lt;INDEX('Lease Cycles'!$DK$27:$DQ$27,1,BV333),0,IF(BV334=INDEX('Lease Cycles'!$DK$27:$DQ$27,1,BV333),1-INDEX('Lease Cycles'!$DR$27:$DX$27,1,BV333),1))-IF(BV334=0,INDEX('Lease Cycles'!$DD$27:$DJ$27,1,BV333),0))),0)</f>
        <v>0</v>
      </c>
      <c r="BW340" s="28">
        <f>IF(BW335=1,IF(INDEX('Lease Cycles'!$EF$27:$EL$27,1,BW333)=1,0,BW336*(1-IF(BW334&lt;INDEX('Lease Cycles'!$DK$27:$DQ$27,1,BW333),0,IF(BW334=INDEX('Lease Cycles'!$DK$27:$DQ$27,1,BW333),1-INDEX('Lease Cycles'!$DR$27:$DX$27,1,BW333),1))-IF(BW334=0,INDEX('Lease Cycles'!$DD$27:$DJ$27,1,BW333),0))),0)</f>
        <v>0</v>
      </c>
      <c r="BX340" s="28">
        <f>IF(BX335=1,IF(INDEX('Lease Cycles'!$EF$27:$EL$27,1,BX333)=1,0,BX336*(1-IF(BX334&lt;INDEX('Lease Cycles'!$DK$27:$DQ$27,1,BX333),0,IF(BX334=INDEX('Lease Cycles'!$DK$27:$DQ$27,1,BX333),1-INDEX('Lease Cycles'!$DR$27:$DX$27,1,BX333),1))-IF(BX334=0,INDEX('Lease Cycles'!$DD$27:$DJ$27,1,BX333),0))),0)</f>
        <v>0</v>
      </c>
      <c r="BY340" s="28">
        <f>IF(BY335=1,IF(INDEX('Lease Cycles'!$EF$27:$EL$27,1,BY333)=1,0,BY336*(1-IF(BY334&lt;INDEX('Lease Cycles'!$DK$27:$DQ$27,1,BY333),0,IF(BY334=INDEX('Lease Cycles'!$DK$27:$DQ$27,1,BY333),1-INDEX('Lease Cycles'!$DR$27:$DX$27,1,BY333),1))-IF(BY334=0,INDEX('Lease Cycles'!$DD$27:$DJ$27,1,BY333),0))),0)</f>
        <v>0</v>
      </c>
      <c r="BZ340" s="28">
        <f>IF(BZ335=1,IF(INDEX('Lease Cycles'!$EF$27:$EL$27,1,BZ333)=1,0,BZ336*(1-IF(BZ334&lt;INDEX('Lease Cycles'!$DK$27:$DQ$27,1,BZ333),0,IF(BZ334=INDEX('Lease Cycles'!$DK$27:$DQ$27,1,BZ333),1-INDEX('Lease Cycles'!$DR$27:$DX$27,1,BZ333),1))-IF(BZ334=0,INDEX('Lease Cycles'!$DD$27:$DJ$27,1,BZ333),0))),0)</f>
        <v>0</v>
      </c>
      <c r="CA340" s="28">
        <f>IF(CA335=1,IF(INDEX('Lease Cycles'!$EF$27:$EL$27,1,CA333)=1,0,CA336*(1-IF(CA334&lt;INDEX('Lease Cycles'!$DK$27:$DQ$27,1,CA333),0,IF(CA334=INDEX('Lease Cycles'!$DK$27:$DQ$27,1,CA333),1-INDEX('Lease Cycles'!$DR$27:$DX$27,1,CA333),1))-IF(CA334=0,INDEX('Lease Cycles'!$DD$27:$DJ$27,1,CA333),0))),0)</f>
        <v>0</v>
      </c>
      <c r="CB340" s="28">
        <f>IF(CB335=1,IF(INDEX('Lease Cycles'!$EF$27:$EL$27,1,CB333)=1,0,CB336*(1-IF(CB334&lt;INDEX('Lease Cycles'!$DK$27:$DQ$27,1,CB333),0,IF(CB334=INDEX('Lease Cycles'!$DK$27:$DQ$27,1,CB333),1-INDEX('Lease Cycles'!$DR$27:$DX$27,1,CB333),1))-IF(CB334=0,INDEX('Lease Cycles'!$DD$27:$DJ$27,1,CB333),0))),0)</f>
        <v>0</v>
      </c>
      <c r="CC340" s="28">
        <f>IF(CC335=1,IF(INDEX('Lease Cycles'!$EF$27:$EL$27,1,CC333)=1,0,CC336*(1-IF(CC334&lt;INDEX('Lease Cycles'!$DK$27:$DQ$27,1,CC333),0,IF(CC334=INDEX('Lease Cycles'!$DK$27:$DQ$27,1,CC333),1-INDEX('Lease Cycles'!$DR$27:$DX$27,1,CC333),1))-IF(CC334=0,INDEX('Lease Cycles'!$DD$27:$DJ$27,1,CC333),0))),0)</f>
        <v>0</v>
      </c>
      <c r="CD340" s="28">
        <f>IF(CD335=1,IF(INDEX('Lease Cycles'!$EF$27:$EL$27,1,CD333)=1,0,CD336*(1-IF(CD334&lt;INDEX('Lease Cycles'!$DK$27:$DQ$27,1,CD333),0,IF(CD334=INDEX('Lease Cycles'!$DK$27:$DQ$27,1,CD333),1-INDEX('Lease Cycles'!$DR$27:$DX$27,1,CD333),1))-IF(CD334=0,INDEX('Lease Cycles'!$DD$27:$DJ$27,1,CD333),0))),0)</f>
        <v>0</v>
      </c>
      <c r="CE340" s="28">
        <f>IF(CE335=1,IF(INDEX('Lease Cycles'!$EF$27:$EL$27,1,CE333)=1,0,CE336*(1-IF(CE334&lt;INDEX('Lease Cycles'!$DK$27:$DQ$27,1,CE333),0,IF(CE334=INDEX('Lease Cycles'!$DK$27:$DQ$27,1,CE333),1-INDEX('Lease Cycles'!$DR$27:$DX$27,1,CE333),1))-IF(CE334=0,INDEX('Lease Cycles'!$DD$27:$DJ$27,1,CE333),0))),0)</f>
        <v>0</v>
      </c>
      <c r="CF340" s="28">
        <f>IF(CF335=1,IF(INDEX('Lease Cycles'!$EF$27:$EL$27,1,CF333)=1,0,CF336*(1-IF(CF334&lt;INDEX('Lease Cycles'!$DK$27:$DQ$27,1,CF333),0,IF(CF334=INDEX('Lease Cycles'!$DK$27:$DQ$27,1,CF333),1-INDEX('Lease Cycles'!$DR$27:$DX$27,1,CF333),1))-IF(CF334=0,INDEX('Lease Cycles'!$DD$27:$DJ$27,1,CF333),0))),0)</f>
        <v>0</v>
      </c>
      <c r="CG340" s="28">
        <f>IF(CG335=1,IF(INDEX('Lease Cycles'!$EF$27:$EL$27,1,CG333)=1,0,CG336*(1-IF(CG334&lt;INDEX('Lease Cycles'!$DK$27:$DQ$27,1,CG333),0,IF(CG334=INDEX('Lease Cycles'!$DK$27:$DQ$27,1,CG333),1-INDEX('Lease Cycles'!$DR$27:$DX$27,1,CG333),1))-IF(CG334=0,INDEX('Lease Cycles'!$DD$27:$DJ$27,1,CG333),0))),0)</f>
        <v>0</v>
      </c>
      <c r="CH340" s="28">
        <f>IF(CH335=1,IF(INDEX('Lease Cycles'!$EF$27:$EL$27,1,CH333)=1,0,CH336*(1-IF(CH334&lt;INDEX('Lease Cycles'!$DK$27:$DQ$27,1,CH333),0,IF(CH334=INDEX('Lease Cycles'!$DK$27:$DQ$27,1,CH333),1-INDEX('Lease Cycles'!$DR$27:$DX$27,1,CH333),1))-IF(CH334=0,INDEX('Lease Cycles'!$DD$27:$DJ$27,1,CH333),0))),0)</f>
        <v>0</v>
      </c>
      <c r="CI340" s="28">
        <f>IF(CI335=1,IF(INDEX('Lease Cycles'!$EF$27:$EL$27,1,CI333)=1,0,CI336*(1-IF(CI334&lt;INDEX('Lease Cycles'!$DK$27:$DQ$27,1,CI333),0,IF(CI334=INDEX('Lease Cycles'!$DK$27:$DQ$27,1,CI333),1-INDEX('Lease Cycles'!$DR$27:$DX$27,1,CI333),1))-IF(CI334=0,INDEX('Lease Cycles'!$DD$27:$DJ$27,1,CI333),0))),0)</f>
        <v>0</v>
      </c>
      <c r="CJ340" s="28">
        <f>IF(CJ335=1,IF(INDEX('Lease Cycles'!$EF$27:$EL$27,1,CJ333)=1,0,CJ336*(1-IF(CJ334&lt;INDEX('Lease Cycles'!$DK$27:$DQ$27,1,CJ333),0,IF(CJ334=INDEX('Lease Cycles'!$DK$27:$DQ$27,1,CJ333),1-INDEX('Lease Cycles'!$DR$27:$DX$27,1,CJ333),1))-IF(CJ334=0,INDEX('Lease Cycles'!$DD$27:$DJ$27,1,CJ333),0))),0)</f>
        <v>0</v>
      </c>
      <c r="CK340" s="28">
        <f>IF(CK335=1,IF(INDEX('Lease Cycles'!$EF$27:$EL$27,1,CK333)=1,0,CK336*(1-IF(CK334&lt;INDEX('Lease Cycles'!$DK$27:$DQ$27,1,CK333),0,IF(CK334=INDEX('Lease Cycles'!$DK$27:$DQ$27,1,CK333),1-INDEX('Lease Cycles'!$DR$27:$DX$27,1,CK333),1))-IF(CK334=0,INDEX('Lease Cycles'!$DD$27:$DJ$27,1,CK333),0))),0)</f>
        <v>0</v>
      </c>
      <c r="CL340" s="28">
        <f>IF(CL335=1,IF(INDEX('Lease Cycles'!$EF$27:$EL$27,1,CL333)=1,0,CL336*(1-IF(CL334&lt;INDEX('Lease Cycles'!$DK$27:$DQ$27,1,CL333),0,IF(CL334=INDEX('Lease Cycles'!$DK$27:$DQ$27,1,CL333),1-INDEX('Lease Cycles'!$DR$27:$DX$27,1,CL333),1))-IF(CL334=0,INDEX('Lease Cycles'!$DD$27:$DJ$27,1,CL333),0))),0)</f>
        <v>0</v>
      </c>
      <c r="CM340" s="28">
        <f>IF(CM335=1,IF(INDEX('Lease Cycles'!$EF$27:$EL$27,1,CM333)=1,0,CM336*(1-IF(CM334&lt;INDEX('Lease Cycles'!$DK$27:$DQ$27,1,CM333),0,IF(CM334=INDEX('Lease Cycles'!$DK$27:$DQ$27,1,CM333),1-INDEX('Lease Cycles'!$DR$27:$DX$27,1,CM333),1))-IF(CM334=0,INDEX('Lease Cycles'!$DD$27:$DJ$27,1,CM333),0))),0)</f>
        <v>0</v>
      </c>
      <c r="CN340" s="28">
        <f>IF(CN335=1,IF(INDEX('Lease Cycles'!$EF$27:$EL$27,1,CN333)=1,0,CN336*(1-IF(CN334&lt;INDEX('Lease Cycles'!$DK$27:$DQ$27,1,CN333),0,IF(CN334=INDEX('Lease Cycles'!$DK$27:$DQ$27,1,CN333),1-INDEX('Lease Cycles'!$DR$27:$DX$27,1,CN333),1))-IF(CN334=0,INDEX('Lease Cycles'!$DD$27:$DJ$27,1,CN333),0))),0)</f>
        <v>0</v>
      </c>
      <c r="CO340" s="28">
        <f>IF(CO335=1,IF(INDEX('Lease Cycles'!$EF$27:$EL$27,1,CO333)=1,0,CO336*(1-IF(CO334&lt;INDEX('Lease Cycles'!$DK$27:$DQ$27,1,CO333),0,IF(CO334=INDEX('Lease Cycles'!$DK$27:$DQ$27,1,CO333),1-INDEX('Lease Cycles'!$DR$27:$DX$27,1,CO333),1))-IF(CO334=0,INDEX('Lease Cycles'!$DD$27:$DJ$27,1,CO333),0))),0)</f>
        <v>0</v>
      </c>
      <c r="CP340" s="28">
        <f>IF(CP335=1,IF(INDEX('Lease Cycles'!$EF$27:$EL$27,1,CP333)=1,0,CP336*(1-IF(CP334&lt;INDEX('Lease Cycles'!$DK$27:$DQ$27,1,CP333),0,IF(CP334=INDEX('Lease Cycles'!$DK$27:$DQ$27,1,CP333),1-INDEX('Lease Cycles'!$DR$27:$DX$27,1,CP333),1))-IF(CP334=0,INDEX('Lease Cycles'!$DD$27:$DJ$27,1,CP333),0))),0)</f>
        <v>0</v>
      </c>
      <c r="CQ340" s="28">
        <f>IF(CQ335=1,IF(INDEX('Lease Cycles'!$EF$27:$EL$27,1,CQ333)=1,0,CQ336*(1-IF(CQ334&lt;INDEX('Lease Cycles'!$DK$27:$DQ$27,1,CQ333),0,IF(CQ334=INDEX('Lease Cycles'!$DK$27:$DQ$27,1,CQ333),1-INDEX('Lease Cycles'!$DR$27:$DX$27,1,CQ333),1))-IF(CQ334=0,INDEX('Lease Cycles'!$DD$27:$DJ$27,1,CQ333),0))),0)</f>
        <v>0</v>
      </c>
      <c r="CR340" s="28">
        <f>IF(CR335=1,IF(INDEX('Lease Cycles'!$EF$27:$EL$27,1,CR333)=1,0,CR336*(1-IF(CR334&lt;INDEX('Lease Cycles'!$DK$27:$DQ$27,1,CR333),0,IF(CR334=INDEX('Lease Cycles'!$DK$27:$DQ$27,1,CR333),1-INDEX('Lease Cycles'!$DR$27:$DX$27,1,CR333),1))-IF(CR334=0,INDEX('Lease Cycles'!$DD$27:$DJ$27,1,CR333),0))),0)</f>
        <v>0</v>
      </c>
      <c r="CS340" s="28">
        <f>IF(CS335=1,IF(INDEX('Lease Cycles'!$EF$27:$EL$27,1,CS333)=1,0,CS336*(1-IF(CS334&lt;INDEX('Lease Cycles'!$DK$27:$DQ$27,1,CS333),0,IF(CS334=INDEX('Lease Cycles'!$DK$27:$DQ$27,1,CS333),1-INDEX('Lease Cycles'!$DR$27:$DX$27,1,CS333),1))-IF(CS334=0,INDEX('Lease Cycles'!$DD$27:$DJ$27,1,CS333),0))),0)</f>
        <v>0</v>
      </c>
      <c r="CT340" s="28">
        <f>IF(CT335=1,IF(INDEX('Lease Cycles'!$EF$27:$EL$27,1,CT333)=1,0,CT336*(1-IF(CT334&lt;INDEX('Lease Cycles'!$DK$27:$DQ$27,1,CT333),0,IF(CT334=INDEX('Lease Cycles'!$DK$27:$DQ$27,1,CT333),1-INDEX('Lease Cycles'!$DR$27:$DX$27,1,CT333),1))-IF(CT334=0,INDEX('Lease Cycles'!$DD$27:$DJ$27,1,CT333),0))),0)</f>
        <v>0</v>
      </c>
      <c r="CU340" s="28">
        <f>IF(CU335=1,IF(INDEX('Lease Cycles'!$EF$27:$EL$27,1,CU333)=1,0,CU336*(1-IF(CU334&lt;INDEX('Lease Cycles'!$DK$27:$DQ$27,1,CU333),0,IF(CU334=INDEX('Lease Cycles'!$DK$27:$DQ$27,1,CU333),1-INDEX('Lease Cycles'!$DR$27:$DX$27,1,CU333),1))-IF(CU334=0,INDEX('Lease Cycles'!$DD$27:$DJ$27,1,CU333),0))),0)</f>
        <v>0</v>
      </c>
      <c r="CV340" s="28">
        <f>IF(CV335=1,IF(INDEX('Lease Cycles'!$EF$27:$EL$27,1,CV333)=1,0,CV336*(1-IF(CV334&lt;INDEX('Lease Cycles'!$DK$27:$DQ$27,1,CV333),0,IF(CV334=INDEX('Lease Cycles'!$DK$27:$DQ$27,1,CV333),1-INDEX('Lease Cycles'!$DR$27:$DX$27,1,CV333),1))-IF(CV334=0,INDEX('Lease Cycles'!$DD$27:$DJ$27,1,CV333),0))),0)</f>
        <v>0</v>
      </c>
      <c r="CW340" s="28">
        <f>IF(CW335=1,IF(INDEX('Lease Cycles'!$EF$27:$EL$27,1,CW333)=1,0,CW336*(1-IF(CW334&lt;INDEX('Lease Cycles'!$DK$27:$DQ$27,1,CW333),0,IF(CW334=INDEX('Lease Cycles'!$DK$27:$DQ$27,1,CW333),1-INDEX('Lease Cycles'!$DR$27:$DX$27,1,CW333),1))-IF(CW334=0,INDEX('Lease Cycles'!$DD$27:$DJ$27,1,CW333),0))),0)</f>
        <v>0</v>
      </c>
      <c r="CX340" s="28">
        <f>IF(CX335=1,IF(INDEX('Lease Cycles'!$EF$27:$EL$27,1,CX333)=1,0,CX336*(1-IF(CX334&lt;INDEX('Lease Cycles'!$DK$27:$DQ$27,1,CX333),0,IF(CX334=INDEX('Lease Cycles'!$DK$27:$DQ$27,1,CX333),1-INDEX('Lease Cycles'!$DR$27:$DX$27,1,CX333),1))-IF(CX334=0,INDEX('Lease Cycles'!$DD$27:$DJ$27,1,CX333),0))),0)</f>
        <v>0</v>
      </c>
      <c r="CY340" s="28">
        <f>IF(CY335=1,IF(INDEX('Lease Cycles'!$EF$27:$EL$27,1,CY333)=1,0,CY336*(1-IF(CY334&lt;INDEX('Lease Cycles'!$DK$27:$DQ$27,1,CY333),0,IF(CY334=INDEX('Lease Cycles'!$DK$27:$DQ$27,1,CY333),1-INDEX('Lease Cycles'!$DR$27:$DX$27,1,CY333),1))-IF(CY334=0,INDEX('Lease Cycles'!$DD$27:$DJ$27,1,CY333),0))),0)</f>
        <v>0</v>
      </c>
      <c r="CZ340" s="28">
        <f>IF(CZ335=1,IF(INDEX('Lease Cycles'!$EF$27:$EL$27,1,CZ333)=1,0,CZ336*(1-IF(CZ334&lt;INDEX('Lease Cycles'!$DK$27:$DQ$27,1,CZ333),0,IF(CZ334=INDEX('Lease Cycles'!$DK$27:$DQ$27,1,CZ333),1-INDEX('Lease Cycles'!$DR$27:$DX$27,1,CZ333),1))-IF(CZ334=0,INDEX('Lease Cycles'!$DD$27:$DJ$27,1,CZ333),0))),0)</f>
        <v>0</v>
      </c>
      <c r="DA340" s="28">
        <f>IF(DA335=1,IF(INDEX('Lease Cycles'!$EF$27:$EL$27,1,DA333)=1,0,DA336*(1-IF(DA334&lt;INDEX('Lease Cycles'!$DK$27:$DQ$27,1,DA333),0,IF(DA334=INDEX('Lease Cycles'!$DK$27:$DQ$27,1,DA333),1-INDEX('Lease Cycles'!$DR$27:$DX$27,1,DA333),1))-IF(DA334=0,INDEX('Lease Cycles'!$DD$27:$DJ$27,1,DA333),0))),0)</f>
        <v>0</v>
      </c>
      <c r="DB340" s="28">
        <f>IF(DB335=1,IF(INDEX('Lease Cycles'!$EF$27:$EL$27,1,DB333)=1,0,DB336*(1-IF(DB334&lt;INDEX('Lease Cycles'!$DK$27:$DQ$27,1,DB333),0,IF(DB334=INDEX('Lease Cycles'!$DK$27:$DQ$27,1,DB333),1-INDEX('Lease Cycles'!$DR$27:$DX$27,1,DB333),1))-IF(DB334=0,INDEX('Lease Cycles'!$DD$27:$DJ$27,1,DB333),0))),0)</f>
        <v>0</v>
      </c>
      <c r="DC340" s="28">
        <f>IF(DC335=1,IF(INDEX('Lease Cycles'!$EF$27:$EL$27,1,DC333)=1,0,DC336*(1-IF(DC334&lt;INDEX('Lease Cycles'!$DK$27:$DQ$27,1,DC333),0,IF(DC334=INDEX('Lease Cycles'!$DK$27:$DQ$27,1,DC333),1-INDEX('Lease Cycles'!$DR$27:$DX$27,1,DC333),1))-IF(DC334=0,INDEX('Lease Cycles'!$DD$27:$DJ$27,1,DC333),0))),0)</f>
        <v>0</v>
      </c>
      <c r="DD340" s="28">
        <f>IF(DD335=1,IF(INDEX('Lease Cycles'!$EF$27:$EL$27,1,DD333)=1,0,DD336*(1-IF(DD334&lt;INDEX('Lease Cycles'!$DK$27:$DQ$27,1,DD333),0,IF(DD334=INDEX('Lease Cycles'!$DK$27:$DQ$27,1,DD333),1-INDEX('Lease Cycles'!$DR$27:$DX$27,1,DD333),1))-IF(DD334=0,INDEX('Lease Cycles'!$DD$27:$DJ$27,1,DD333),0))),0)</f>
        <v>0</v>
      </c>
      <c r="DE340" s="28">
        <f>IF(DE335=1,IF(INDEX('Lease Cycles'!$EF$27:$EL$27,1,DE333)=1,0,DE336*(1-IF(DE334&lt;INDEX('Lease Cycles'!$DK$27:$DQ$27,1,DE333),0,IF(DE334=INDEX('Lease Cycles'!$DK$27:$DQ$27,1,DE333),1-INDEX('Lease Cycles'!$DR$27:$DX$27,1,DE333),1))-IF(DE334=0,INDEX('Lease Cycles'!$DD$27:$DJ$27,1,DE333),0))),0)</f>
        <v>0</v>
      </c>
      <c r="DF340" s="28">
        <f>IF(DF335=1,IF(INDEX('Lease Cycles'!$EF$27:$EL$27,1,DF333)=1,0,DF336*(1-IF(DF334&lt;INDEX('Lease Cycles'!$DK$27:$DQ$27,1,DF333),0,IF(DF334=INDEX('Lease Cycles'!$DK$27:$DQ$27,1,DF333),1-INDEX('Lease Cycles'!$DR$27:$DX$27,1,DF333),1))-IF(DF334=0,INDEX('Lease Cycles'!$DD$27:$DJ$27,1,DF333),0))),0)</f>
        <v>0</v>
      </c>
      <c r="DG340" s="28">
        <f>IF(DG335=1,IF(INDEX('Lease Cycles'!$EF$27:$EL$27,1,DG333)=1,0,DG336*(1-IF(DG334&lt;INDEX('Lease Cycles'!$DK$27:$DQ$27,1,DG333),0,IF(DG334=INDEX('Lease Cycles'!$DK$27:$DQ$27,1,DG333),1-INDEX('Lease Cycles'!$DR$27:$DX$27,1,DG333),1))-IF(DG334=0,INDEX('Lease Cycles'!$DD$27:$DJ$27,1,DG333),0))),0)</f>
        <v>0</v>
      </c>
      <c r="DH340" s="28">
        <f>IF(DH335=1,IF(INDEX('Lease Cycles'!$EF$27:$EL$27,1,DH333)=1,0,DH336*(1-IF(DH334&lt;INDEX('Lease Cycles'!$DK$27:$DQ$27,1,DH333),0,IF(DH334=INDEX('Lease Cycles'!$DK$27:$DQ$27,1,DH333),1-INDEX('Lease Cycles'!$DR$27:$DX$27,1,DH333),1))-IF(DH334=0,INDEX('Lease Cycles'!$DD$27:$DJ$27,1,DH333),0))),0)</f>
        <v>0</v>
      </c>
      <c r="DI340" s="28">
        <f>IF(DI335=1,IF(INDEX('Lease Cycles'!$EF$27:$EL$27,1,DI333)=1,0,DI336*(1-IF(DI334&lt;INDEX('Lease Cycles'!$DK$27:$DQ$27,1,DI333),0,IF(DI334=INDEX('Lease Cycles'!$DK$27:$DQ$27,1,DI333),1-INDEX('Lease Cycles'!$DR$27:$DX$27,1,DI333),1))-IF(DI334=0,INDEX('Lease Cycles'!$DD$27:$DJ$27,1,DI333),0))),0)</f>
        <v>0</v>
      </c>
      <c r="DJ340" s="28">
        <f>IF(DJ335=1,IF(INDEX('Lease Cycles'!$EF$27:$EL$27,1,DJ333)=1,0,DJ336*(1-IF(DJ334&lt;INDEX('Lease Cycles'!$DK$27:$DQ$27,1,DJ333),0,IF(DJ334=INDEX('Lease Cycles'!$DK$27:$DQ$27,1,DJ333),1-INDEX('Lease Cycles'!$DR$27:$DX$27,1,DJ333),1))-IF(DJ334=0,INDEX('Lease Cycles'!$DD$27:$DJ$27,1,DJ333),0))),0)</f>
        <v>0</v>
      </c>
      <c r="DK340" s="28">
        <f>IF(DK335=1,IF(INDEX('Lease Cycles'!$EF$27:$EL$27,1,DK333)=1,0,DK336*(1-IF(DK334&lt;INDEX('Lease Cycles'!$DK$27:$DQ$27,1,DK333),0,IF(DK334=INDEX('Lease Cycles'!$DK$27:$DQ$27,1,DK333),1-INDEX('Lease Cycles'!$DR$27:$DX$27,1,DK333),1))-IF(DK334=0,INDEX('Lease Cycles'!$DD$27:$DJ$27,1,DK333),0))),0)</f>
        <v>0</v>
      </c>
      <c r="DL340" s="28">
        <f>IF(DL335=1,IF(INDEX('Lease Cycles'!$EF$27:$EL$27,1,DL333)=1,0,DL336*(1-IF(DL334&lt;INDEX('Lease Cycles'!$DK$27:$DQ$27,1,DL333),0,IF(DL334=INDEX('Lease Cycles'!$DK$27:$DQ$27,1,DL333),1-INDEX('Lease Cycles'!$DR$27:$DX$27,1,DL333),1))-IF(DL334=0,INDEX('Lease Cycles'!$DD$27:$DJ$27,1,DL333),0))),0)</f>
        <v>0</v>
      </c>
      <c r="DM340" s="28">
        <f>IF(DM335=1,IF(INDEX('Lease Cycles'!$EF$27:$EL$27,1,DM333)=1,0,DM336*(1-IF(DM334&lt;INDEX('Lease Cycles'!$DK$27:$DQ$27,1,DM333),0,IF(DM334=INDEX('Lease Cycles'!$DK$27:$DQ$27,1,DM333),1-INDEX('Lease Cycles'!$DR$27:$DX$27,1,DM333),1))-IF(DM334=0,INDEX('Lease Cycles'!$DD$27:$DJ$27,1,DM333),0))),0)</f>
        <v>0</v>
      </c>
      <c r="DN340" s="28">
        <f>IF(DN335=1,IF(INDEX('Lease Cycles'!$EF$27:$EL$27,1,DN333)=1,0,DN336*(1-IF(DN334&lt;INDEX('Lease Cycles'!$DK$27:$DQ$27,1,DN333),0,IF(DN334=INDEX('Lease Cycles'!$DK$27:$DQ$27,1,DN333),1-INDEX('Lease Cycles'!$DR$27:$DX$27,1,DN333),1))-IF(DN334=0,INDEX('Lease Cycles'!$DD$27:$DJ$27,1,DN333),0))),0)</f>
        <v>0</v>
      </c>
      <c r="DO340" s="28">
        <f>IF(DO335=1,IF(INDEX('Lease Cycles'!$EF$27:$EL$27,1,DO333)=1,0,DO336*(1-IF(DO334&lt;INDEX('Lease Cycles'!$DK$27:$DQ$27,1,DO333),0,IF(DO334=INDEX('Lease Cycles'!$DK$27:$DQ$27,1,DO333),1-INDEX('Lease Cycles'!$DR$27:$DX$27,1,DO333),1))-IF(DO334=0,INDEX('Lease Cycles'!$DD$27:$DJ$27,1,DO333),0))),0)</f>
        <v>0</v>
      </c>
      <c r="DP340" s="28">
        <f>IF(DP335=1,IF(INDEX('Lease Cycles'!$EF$27:$EL$27,1,DP333)=1,0,DP336*(1-IF(DP334&lt;INDEX('Lease Cycles'!$DK$27:$DQ$27,1,DP333),0,IF(DP334=INDEX('Lease Cycles'!$DK$27:$DQ$27,1,DP333),1-INDEX('Lease Cycles'!$DR$27:$DX$27,1,DP333),1))-IF(DP334=0,INDEX('Lease Cycles'!$DD$27:$DJ$27,1,DP333),0))),0)</f>
        <v>0</v>
      </c>
      <c r="DQ340" s="28">
        <f>IF(DQ335=1,IF(INDEX('Lease Cycles'!$EF$27:$EL$27,1,DQ333)=1,0,DQ336*(1-IF(DQ334&lt;INDEX('Lease Cycles'!$DK$27:$DQ$27,1,DQ333),0,IF(DQ334=INDEX('Lease Cycles'!$DK$27:$DQ$27,1,DQ333),1-INDEX('Lease Cycles'!$DR$27:$DX$27,1,DQ333),1))-IF(DQ334=0,INDEX('Lease Cycles'!$DD$27:$DJ$27,1,DQ333),0))),0)</f>
        <v>0</v>
      </c>
      <c r="DR340" s="28">
        <f>IF(DR335=1,IF(INDEX('Lease Cycles'!$EF$27:$EL$27,1,DR333)=1,0,DR336*(1-IF(DR334&lt;INDEX('Lease Cycles'!$DK$27:$DQ$27,1,DR333),0,IF(DR334=INDEX('Lease Cycles'!$DK$27:$DQ$27,1,DR333),1-INDEX('Lease Cycles'!$DR$27:$DX$27,1,DR333),1))-IF(DR334=0,INDEX('Lease Cycles'!$DD$27:$DJ$27,1,DR333),0))),0)</f>
        <v>0</v>
      </c>
      <c r="DS340" s="28">
        <f>IF(DS335=1,IF(INDEX('Lease Cycles'!$EF$27:$EL$27,1,DS333)=1,0,DS336*(1-IF(DS334&lt;INDEX('Lease Cycles'!$DK$27:$DQ$27,1,DS333),0,IF(DS334=INDEX('Lease Cycles'!$DK$27:$DQ$27,1,DS333),1-INDEX('Lease Cycles'!$DR$27:$DX$27,1,DS333),1))-IF(DS334=0,INDEX('Lease Cycles'!$DD$27:$DJ$27,1,DS333),0))),0)</f>
        <v>0</v>
      </c>
      <c r="DT340" s="28">
        <f>IF(DT335=1,IF(INDEX('Lease Cycles'!$EF$27:$EL$27,1,DT333)=1,0,DT336*(1-IF(DT334&lt;INDEX('Lease Cycles'!$DK$27:$DQ$27,1,DT333),0,IF(DT334=INDEX('Lease Cycles'!$DK$27:$DQ$27,1,DT333),1-INDEX('Lease Cycles'!$DR$27:$DX$27,1,DT333),1))-IF(DT334=0,INDEX('Lease Cycles'!$DD$27:$DJ$27,1,DT333),0))),0)</f>
        <v>0</v>
      </c>
      <c r="DU340" s="28">
        <f>IF(DU335=1,IF(INDEX('Lease Cycles'!$EF$27:$EL$27,1,DU333)=1,0,DU336*(1-IF(DU334&lt;INDEX('Lease Cycles'!$DK$27:$DQ$27,1,DU333),0,IF(DU334=INDEX('Lease Cycles'!$DK$27:$DQ$27,1,DU333),1-INDEX('Lease Cycles'!$DR$27:$DX$27,1,DU333),1))-IF(DU334=0,INDEX('Lease Cycles'!$DD$27:$DJ$27,1,DU333),0))),0)</f>
        <v>0</v>
      </c>
      <c r="DV340" s="28">
        <f>IF(DV335=1,IF(INDEX('Lease Cycles'!$EF$27:$EL$27,1,DV333)=1,0,DV336*(1-IF(DV334&lt;INDEX('Lease Cycles'!$DK$27:$DQ$27,1,DV333),0,IF(DV334=INDEX('Lease Cycles'!$DK$27:$DQ$27,1,DV333),1-INDEX('Lease Cycles'!$DR$27:$DX$27,1,DV333),1))-IF(DV334=0,INDEX('Lease Cycles'!$DD$27:$DJ$27,1,DV333),0))),0)</f>
        <v>0</v>
      </c>
      <c r="DW340" s="28">
        <f>IF(DW335=1,IF(INDEX('Lease Cycles'!$EF$27:$EL$27,1,DW333)=1,0,DW336*(1-IF(DW334&lt;INDEX('Lease Cycles'!$DK$27:$DQ$27,1,DW333),0,IF(DW334=INDEX('Lease Cycles'!$DK$27:$DQ$27,1,DW333),1-INDEX('Lease Cycles'!$DR$27:$DX$27,1,DW333),1))-IF(DW334=0,INDEX('Lease Cycles'!$DD$27:$DJ$27,1,DW333),0))),0)</f>
        <v>0</v>
      </c>
      <c r="DX340" s="28">
        <f>IF(DX335=1,IF(INDEX('Lease Cycles'!$EF$27:$EL$27,1,DX333)=1,0,DX336*(1-IF(DX334&lt;INDEX('Lease Cycles'!$DK$27:$DQ$27,1,DX333),0,IF(DX334=INDEX('Lease Cycles'!$DK$27:$DQ$27,1,DX333),1-INDEX('Lease Cycles'!$DR$27:$DX$27,1,DX333),1))-IF(DX334=0,INDEX('Lease Cycles'!$DD$27:$DJ$27,1,DX333),0))),0)</f>
        <v>0</v>
      </c>
      <c r="DY340" s="28">
        <f>IF(DY335=1,IF(INDEX('Lease Cycles'!$EF$27:$EL$27,1,DY333)=1,0,DY336*(1-IF(DY334&lt;INDEX('Lease Cycles'!$DK$27:$DQ$27,1,DY333),0,IF(DY334=INDEX('Lease Cycles'!$DK$27:$DQ$27,1,DY333),1-INDEX('Lease Cycles'!$DR$27:$DX$27,1,DY333),1))-IF(DY334=0,INDEX('Lease Cycles'!$DD$27:$DJ$27,1,DY333),0))),0)</f>
        <v>0</v>
      </c>
      <c r="DZ340" s="28">
        <f>IF(DZ335=1,IF(INDEX('Lease Cycles'!$EF$27:$EL$27,1,DZ333)=1,0,DZ336*(1-IF(DZ334&lt;INDEX('Lease Cycles'!$DK$27:$DQ$27,1,DZ333),0,IF(DZ334=INDEX('Lease Cycles'!$DK$27:$DQ$27,1,DZ333),1-INDEX('Lease Cycles'!$DR$27:$DX$27,1,DZ333),1))-IF(DZ334=0,INDEX('Lease Cycles'!$DD$27:$DJ$27,1,DZ333),0))),0)</f>
        <v>0</v>
      </c>
      <c r="EA340" s="28">
        <f>IF(EA335=1,IF(INDEX('Lease Cycles'!$EF$27:$EL$27,1,EA333)=1,0,EA336*(1-IF(EA334&lt;INDEX('Lease Cycles'!$DK$27:$DQ$27,1,EA333),0,IF(EA334=INDEX('Lease Cycles'!$DK$27:$DQ$27,1,EA333),1-INDEX('Lease Cycles'!$DR$27:$DX$27,1,EA333),1))-IF(EA334=0,INDEX('Lease Cycles'!$DD$27:$DJ$27,1,EA333),0))),0)</f>
        <v>0</v>
      </c>
      <c r="EB340" s="28">
        <f>IF(EB335=1,IF(INDEX('Lease Cycles'!$EF$27:$EL$27,1,EB333)=1,0,EB336*(1-IF(EB334&lt;INDEX('Lease Cycles'!$DK$27:$DQ$27,1,EB333),0,IF(EB334=INDEX('Lease Cycles'!$DK$27:$DQ$27,1,EB333),1-INDEX('Lease Cycles'!$DR$27:$DX$27,1,EB333),1))-IF(EB334=0,INDEX('Lease Cycles'!$DD$27:$DJ$27,1,EB333),0))),0)</f>
        <v>0</v>
      </c>
      <c r="EC340" s="28">
        <f>IF(EC335=1,IF(INDEX('Lease Cycles'!$EF$27:$EL$27,1,EC333)=1,0,EC336*(1-IF(EC334&lt;INDEX('Lease Cycles'!$DK$27:$DQ$27,1,EC333),0,IF(EC334=INDEX('Lease Cycles'!$DK$27:$DQ$27,1,EC333),1-INDEX('Lease Cycles'!$DR$27:$DX$27,1,EC333),1))-IF(EC334=0,INDEX('Lease Cycles'!$DD$27:$DJ$27,1,EC333),0))),0)</f>
        <v>0</v>
      </c>
      <c r="ED340" s="28">
        <f>IF(ED335=1,IF(INDEX('Lease Cycles'!$EF$27:$EL$27,1,ED333)=1,0,ED336*(1-IF(ED334&lt;INDEX('Lease Cycles'!$DK$27:$DQ$27,1,ED333),0,IF(ED334=INDEX('Lease Cycles'!$DK$27:$DQ$27,1,ED333),1-INDEX('Lease Cycles'!$DR$27:$DX$27,1,ED333),1))-IF(ED334=0,INDEX('Lease Cycles'!$DD$27:$DJ$27,1,ED333),0))),0)</f>
        <v>0</v>
      </c>
      <c r="EE340" s="28">
        <f>IF(EE335=1,IF(INDEX('Lease Cycles'!$EF$27:$EL$27,1,EE333)=1,0,EE336*(1-IF(EE334&lt;INDEX('Lease Cycles'!$DK$27:$DQ$27,1,EE333),0,IF(EE334=INDEX('Lease Cycles'!$DK$27:$DQ$27,1,EE333),1-INDEX('Lease Cycles'!$DR$27:$DX$27,1,EE333),1))-IF(EE334=0,INDEX('Lease Cycles'!$DD$27:$DJ$27,1,EE333),0))),0)</f>
        <v>0</v>
      </c>
      <c r="EF340" s="28">
        <f>IF(EF335=1,IF(INDEX('Lease Cycles'!$EF$27:$EL$27,1,EF333)=1,0,EF336*(1-IF(EF334&lt;INDEX('Lease Cycles'!$DK$27:$DQ$27,1,EF333),0,IF(EF334=INDEX('Lease Cycles'!$DK$27:$DQ$27,1,EF333),1-INDEX('Lease Cycles'!$DR$27:$DX$27,1,EF333),1))-IF(EF334=0,INDEX('Lease Cycles'!$DD$27:$DJ$27,1,EF333),0))),0)</f>
        <v>0</v>
      </c>
      <c r="EG340" s="28">
        <f>IF(EG335=1,IF(INDEX('Lease Cycles'!$EF$27:$EL$27,1,EG333)=1,0,EG336*(1-IF(EG334&lt;INDEX('Lease Cycles'!$DK$27:$DQ$27,1,EG333),0,IF(EG334=INDEX('Lease Cycles'!$DK$27:$DQ$27,1,EG333),1-INDEX('Lease Cycles'!$DR$27:$DX$27,1,EG333),1))-IF(EG334=0,INDEX('Lease Cycles'!$DD$27:$DJ$27,1,EG333),0))),0)</f>
        <v>0</v>
      </c>
      <c r="EH340" s="28">
        <f>IF(EH335=1,IF(INDEX('Lease Cycles'!$EF$27:$EL$27,1,EH333)=1,0,EH336*(1-IF(EH334&lt;INDEX('Lease Cycles'!$DK$27:$DQ$27,1,EH333),0,IF(EH334=INDEX('Lease Cycles'!$DK$27:$DQ$27,1,EH333),1-INDEX('Lease Cycles'!$DR$27:$DX$27,1,EH333),1))-IF(EH334=0,INDEX('Lease Cycles'!$DD$27:$DJ$27,1,EH333),0))),0)</f>
        <v>0</v>
      </c>
      <c r="EI340" s="28">
        <f>IF(EI335=1,IF(INDEX('Lease Cycles'!$EF$27:$EL$27,1,EI333)=1,0,EI336*(1-IF(EI334&lt;INDEX('Lease Cycles'!$DK$27:$DQ$27,1,EI333),0,IF(EI334=INDEX('Lease Cycles'!$DK$27:$DQ$27,1,EI333),1-INDEX('Lease Cycles'!$DR$27:$DX$27,1,EI333),1))-IF(EI334=0,INDEX('Lease Cycles'!$DD$27:$DJ$27,1,EI333),0))),0)</f>
        <v>0</v>
      </c>
      <c r="EJ340" s="28">
        <f>IF(EJ335=1,IF(INDEX('Lease Cycles'!$EF$27:$EL$27,1,EJ333)=1,0,EJ336*(1-IF(EJ334&lt;INDEX('Lease Cycles'!$DK$27:$DQ$27,1,EJ333),0,IF(EJ334=INDEX('Lease Cycles'!$DK$27:$DQ$27,1,EJ333),1-INDEX('Lease Cycles'!$DR$27:$DX$27,1,EJ333),1))-IF(EJ334=0,INDEX('Lease Cycles'!$DD$27:$DJ$27,1,EJ333),0))),0)</f>
        <v>0</v>
      </c>
      <c r="EK340" s="28">
        <f>IF(EK335=1,IF(INDEX('Lease Cycles'!$EF$27:$EL$27,1,EK333)=1,0,EK336*(1-IF(EK334&lt;INDEX('Lease Cycles'!$DK$27:$DQ$27,1,EK333),0,IF(EK334=INDEX('Lease Cycles'!$DK$27:$DQ$27,1,EK333),1-INDEX('Lease Cycles'!$DR$27:$DX$27,1,EK333),1))-IF(EK334=0,INDEX('Lease Cycles'!$DD$27:$DJ$27,1,EK333),0))),0)</f>
        <v>0</v>
      </c>
      <c r="EL340" s="28">
        <f>IF(EL335=1,IF(INDEX('Lease Cycles'!$EF$27:$EL$27,1,EL333)=1,0,EL336*(1-IF(EL334&lt;INDEX('Lease Cycles'!$DK$27:$DQ$27,1,EL333),0,IF(EL334=INDEX('Lease Cycles'!$DK$27:$DQ$27,1,EL333),1-INDEX('Lease Cycles'!$DR$27:$DX$27,1,EL333),1))-IF(EL334=0,INDEX('Lease Cycles'!$DD$27:$DJ$27,1,EL333),0))),0)</f>
        <v>0</v>
      </c>
      <c r="EM340" s="28">
        <f>IF(EM335=1,IF(INDEX('Lease Cycles'!$EF$27:$EL$27,1,EM333)=1,0,EM336*(1-IF(EM334&lt;INDEX('Lease Cycles'!$DK$27:$DQ$27,1,EM333),0,IF(EM334=INDEX('Lease Cycles'!$DK$27:$DQ$27,1,EM333),1-INDEX('Lease Cycles'!$DR$27:$DX$27,1,EM333),1))-IF(EM334=0,INDEX('Lease Cycles'!$DD$27:$DJ$27,1,EM333),0))),0)</f>
        <v>0</v>
      </c>
      <c r="EN340" s="28">
        <f>IF(EN335=1,IF(INDEX('Lease Cycles'!$EF$27:$EL$27,1,EN333)=1,0,EN336*(1-IF(EN334&lt;INDEX('Lease Cycles'!$DK$27:$DQ$27,1,EN333),0,IF(EN334=INDEX('Lease Cycles'!$DK$27:$DQ$27,1,EN333),1-INDEX('Lease Cycles'!$DR$27:$DX$27,1,EN333),1))-IF(EN334=0,INDEX('Lease Cycles'!$DD$27:$DJ$27,1,EN333),0))),0)</f>
        <v>0</v>
      </c>
      <c r="EO340" s="28">
        <f>IF(EO335=1,IF(INDEX('Lease Cycles'!$EF$27:$EL$27,1,EO333)=1,0,EO336*(1-IF(EO334&lt;INDEX('Lease Cycles'!$DK$27:$DQ$27,1,EO333),0,IF(EO334=INDEX('Lease Cycles'!$DK$27:$DQ$27,1,EO333),1-INDEX('Lease Cycles'!$DR$27:$DX$27,1,EO333),1))-IF(EO334=0,INDEX('Lease Cycles'!$DD$27:$DJ$27,1,EO333),0))),0)</f>
        <v>0</v>
      </c>
      <c r="EP340" s="28">
        <f>IF(EP335=1,IF(INDEX('Lease Cycles'!$EF$27:$EL$27,1,EP333)=1,0,EP336*(1-IF(EP334&lt;INDEX('Lease Cycles'!$DK$27:$DQ$27,1,EP333),0,IF(EP334=INDEX('Lease Cycles'!$DK$27:$DQ$27,1,EP333),1-INDEX('Lease Cycles'!$DR$27:$DX$27,1,EP333),1))-IF(EP334=0,INDEX('Lease Cycles'!$DD$27:$DJ$27,1,EP333),0))),0)</f>
        <v>0</v>
      </c>
      <c r="EQ340" s="28">
        <f>IF(EQ335=1,IF(INDEX('Lease Cycles'!$EF$27:$EL$27,1,EQ333)=1,0,EQ336*(1-IF(EQ334&lt;INDEX('Lease Cycles'!$DK$27:$DQ$27,1,EQ333),0,IF(EQ334=INDEX('Lease Cycles'!$DK$27:$DQ$27,1,EQ333),1-INDEX('Lease Cycles'!$DR$27:$DX$27,1,EQ333),1))-IF(EQ334=0,INDEX('Lease Cycles'!$DD$27:$DJ$27,1,EQ333),0))),0)</f>
        <v>0</v>
      </c>
      <c r="ER340" s="28">
        <f>IF(ER335=1,IF(INDEX('Lease Cycles'!$EF$27:$EL$27,1,ER333)=1,0,ER336*(1-IF(ER334&lt;INDEX('Lease Cycles'!$DK$27:$DQ$27,1,ER333),0,IF(ER334=INDEX('Lease Cycles'!$DK$27:$DQ$27,1,ER333),1-INDEX('Lease Cycles'!$DR$27:$DX$27,1,ER333),1))-IF(ER334=0,INDEX('Lease Cycles'!$DD$27:$DJ$27,1,ER333),0))),0)</f>
        <v>0</v>
      </c>
      <c r="ES340" s="28">
        <f>IF(ES335=1,IF(INDEX('Lease Cycles'!$EF$27:$EL$27,1,ES333)=1,0,ES336*(1-IF(ES334&lt;INDEX('Lease Cycles'!$DK$27:$DQ$27,1,ES333),0,IF(ES334=INDEX('Lease Cycles'!$DK$27:$DQ$27,1,ES333),1-INDEX('Lease Cycles'!$DR$27:$DX$27,1,ES333),1))-IF(ES334=0,INDEX('Lease Cycles'!$DD$27:$DJ$27,1,ES333),0))),0)</f>
        <v>0</v>
      </c>
      <c r="ET340" s="28">
        <f>IF(ET335=1,IF(INDEX('Lease Cycles'!$EF$27:$EL$27,1,ET333)=1,0,ET336*(1-IF(ET334&lt;INDEX('Lease Cycles'!$DK$27:$DQ$27,1,ET333),0,IF(ET334=INDEX('Lease Cycles'!$DK$27:$DQ$27,1,ET333),1-INDEX('Lease Cycles'!$DR$27:$DX$27,1,ET333),1))-IF(ET334=0,INDEX('Lease Cycles'!$DD$27:$DJ$27,1,ET333),0))),0)</f>
        <v>0</v>
      </c>
    </row>
    <row r="341">
      <c r="A341" s="103">
        <v>20</v>
      </c>
      <c r="B341" s="23" t="str">
        <f>IF('Lease Cycles'!$B$27="","(empty slot)",'Lease Cycles'!$B$27)</f>
        <v>(empty slot)</v>
      </c>
      <c r="C341" s="23" t="s">
        <v>683</v>
      </c>
      <c r="D341" s="104" t="s">
        <v>684</v>
      </c>
      <c r="E341" s="25">
        <f>'Lease Cycles'!$AL$27</f>
        <v>0</v>
      </c>
      <c r="G341" s="24">
        <f>SUM(S341:AD341)</f>
        <v>0</v>
      </c>
      <c r="H341" s="24">
        <f>SUM(AE341:AP341)</f>
        <v>0</v>
      </c>
      <c r="I341" s="24">
        <f>SUM(AQ341:BB341)</f>
        <v>0</v>
      </c>
      <c r="J341" s="24">
        <f>SUM(BC341:BN341)</f>
        <v>0</v>
      </c>
      <c r="K341" s="24">
        <f>SUM(BO341:BZ341)</f>
        <v>0</v>
      </c>
      <c r="L341" s="24">
        <f>SUM(CA341:CL341)</f>
        <v>0</v>
      </c>
      <c r="M341" s="24">
        <f>SUM(CM341:CX341)</f>
        <v>0</v>
      </c>
      <c r="N341" s="24">
        <f>SUM(CY341:DJ341)</f>
        <v>0</v>
      </c>
      <c r="O341" s="24">
        <f>SUM(DK341:DV341)</f>
        <v>0</v>
      </c>
      <c r="P341" s="24">
        <f>SUM(DW341:EH341)</f>
        <v>0</v>
      </c>
      <c r="Q341" s="24">
        <f>SUM(EI341:ET341)</f>
        <v>0</v>
      </c>
      <c r="S341" s="24">
        <f>IF(S335=1,'Lease Cycles'!$D$27*IF(INDEX('Lease Cycles'!$EF$27:$EL$27,1,S333)=1,(1-'Lease Cycles'!$AJ$27)*INDEX('Lease Cycles'!$EM$27:$ES$27,1,S333)+(1-'Lease Cycles'!$BE$27)*IF(S334&lt;INDEX('Lease Cycles'!$FA$27:$FG$27,1,S333),0,1-INDEX('Lease Cycles'!$EM$27:$ES$27,1,S333)),IF(OR(INDEX('Lease Cycles'!$DY$27:$EE$27,1,S333)=1,S334&gt;0),1,1-INDEX('Lease Cycles'!$DD$27:$DJ$27,1,S333))*((1-'Lease Cycles'!$AJ$27)*INDEX('Lease Cycles'!$FO$27:$FU$27,1,S333)+(1-'Lease Cycles'!$BE$27)*(1-INDEX('Lease Cycles'!$FO$27:$FU$27,1,S333)))),0)</f>
        <v>0</v>
      </c>
      <c r="T341" s="24">
        <f>IF(T335=1,'Lease Cycles'!$D$27*IF(INDEX('Lease Cycles'!$EF$27:$EL$27,1,T333)=1,(1-'Lease Cycles'!$AJ$27)*INDEX('Lease Cycles'!$EM$27:$ES$27,1,T333)+(1-'Lease Cycles'!$BE$27)*IF(T334&lt;INDEX('Lease Cycles'!$FA$27:$FG$27,1,T333),0,1-INDEX('Lease Cycles'!$EM$27:$ES$27,1,T333)),IF(OR(INDEX('Lease Cycles'!$DY$27:$EE$27,1,T333)=1,T334&gt;0),1,1-INDEX('Lease Cycles'!$DD$27:$DJ$27,1,T333))*((1-'Lease Cycles'!$AJ$27)*INDEX('Lease Cycles'!$FO$27:$FU$27,1,T333)+(1-'Lease Cycles'!$BE$27)*(1-INDEX('Lease Cycles'!$FO$27:$FU$27,1,T333)))),0)</f>
        <v>0</v>
      </c>
      <c r="U341" s="24">
        <f>IF(U335=1,'Lease Cycles'!$D$27*IF(INDEX('Lease Cycles'!$EF$27:$EL$27,1,U333)=1,(1-'Lease Cycles'!$AJ$27)*INDEX('Lease Cycles'!$EM$27:$ES$27,1,U333)+(1-'Lease Cycles'!$BE$27)*IF(U334&lt;INDEX('Lease Cycles'!$FA$27:$FG$27,1,U333),0,1-INDEX('Lease Cycles'!$EM$27:$ES$27,1,U333)),IF(OR(INDEX('Lease Cycles'!$DY$27:$EE$27,1,U333)=1,U334&gt;0),1,1-INDEX('Lease Cycles'!$DD$27:$DJ$27,1,U333))*((1-'Lease Cycles'!$AJ$27)*INDEX('Lease Cycles'!$FO$27:$FU$27,1,U333)+(1-'Lease Cycles'!$BE$27)*(1-INDEX('Lease Cycles'!$FO$27:$FU$27,1,U333)))),0)</f>
        <v>0</v>
      </c>
      <c r="V341" s="24">
        <f>IF(V335=1,'Lease Cycles'!$D$27*IF(INDEX('Lease Cycles'!$EF$27:$EL$27,1,V333)=1,(1-'Lease Cycles'!$AJ$27)*INDEX('Lease Cycles'!$EM$27:$ES$27,1,V333)+(1-'Lease Cycles'!$BE$27)*IF(V334&lt;INDEX('Lease Cycles'!$FA$27:$FG$27,1,V333),0,1-INDEX('Lease Cycles'!$EM$27:$ES$27,1,V333)),IF(OR(INDEX('Lease Cycles'!$DY$27:$EE$27,1,V333)=1,V334&gt;0),1,1-INDEX('Lease Cycles'!$DD$27:$DJ$27,1,V333))*((1-'Lease Cycles'!$AJ$27)*INDEX('Lease Cycles'!$FO$27:$FU$27,1,V333)+(1-'Lease Cycles'!$BE$27)*(1-INDEX('Lease Cycles'!$FO$27:$FU$27,1,V333)))),0)</f>
        <v>0</v>
      </c>
      <c r="W341" s="24">
        <f>IF(W335=1,'Lease Cycles'!$D$27*IF(INDEX('Lease Cycles'!$EF$27:$EL$27,1,W333)=1,(1-'Lease Cycles'!$AJ$27)*INDEX('Lease Cycles'!$EM$27:$ES$27,1,W333)+(1-'Lease Cycles'!$BE$27)*IF(W334&lt;INDEX('Lease Cycles'!$FA$27:$FG$27,1,W333),0,1-INDEX('Lease Cycles'!$EM$27:$ES$27,1,W333)),IF(OR(INDEX('Lease Cycles'!$DY$27:$EE$27,1,W333)=1,W334&gt;0),1,1-INDEX('Lease Cycles'!$DD$27:$DJ$27,1,W333))*((1-'Lease Cycles'!$AJ$27)*INDEX('Lease Cycles'!$FO$27:$FU$27,1,W333)+(1-'Lease Cycles'!$BE$27)*(1-INDEX('Lease Cycles'!$FO$27:$FU$27,1,W333)))),0)</f>
        <v>0</v>
      </c>
      <c r="X341" s="24">
        <f>IF(X335=1,'Lease Cycles'!$D$27*IF(INDEX('Lease Cycles'!$EF$27:$EL$27,1,X333)=1,(1-'Lease Cycles'!$AJ$27)*INDEX('Lease Cycles'!$EM$27:$ES$27,1,X333)+(1-'Lease Cycles'!$BE$27)*IF(X334&lt;INDEX('Lease Cycles'!$FA$27:$FG$27,1,X333),0,1-INDEX('Lease Cycles'!$EM$27:$ES$27,1,X333)),IF(OR(INDEX('Lease Cycles'!$DY$27:$EE$27,1,X333)=1,X334&gt;0),1,1-INDEX('Lease Cycles'!$DD$27:$DJ$27,1,X333))*((1-'Lease Cycles'!$AJ$27)*INDEX('Lease Cycles'!$FO$27:$FU$27,1,X333)+(1-'Lease Cycles'!$BE$27)*(1-INDEX('Lease Cycles'!$FO$27:$FU$27,1,X333)))),0)</f>
        <v>0</v>
      </c>
      <c r="Y341" s="24">
        <f>IF(Y335=1,'Lease Cycles'!$D$27*IF(INDEX('Lease Cycles'!$EF$27:$EL$27,1,Y333)=1,(1-'Lease Cycles'!$AJ$27)*INDEX('Lease Cycles'!$EM$27:$ES$27,1,Y333)+(1-'Lease Cycles'!$BE$27)*IF(Y334&lt;INDEX('Lease Cycles'!$FA$27:$FG$27,1,Y333),0,1-INDEX('Lease Cycles'!$EM$27:$ES$27,1,Y333)),IF(OR(INDEX('Lease Cycles'!$DY$27:$EE$27,1,Y333)=1,Y334&gt;0),1,1-INDEX('Lease Cycles'!$DD$27:$DJ$27,1,Y333))*((1-'Lease Cycles'!$AJ$27)*INDEX('Lease Cycles'!$FO$27:$FU$27,1,Y333)+(1-'Lease Cycles'!$BE$27)*(1-INDEX('Lease Cycles'!$FO$27:$FU$27,1,Y333)))),0)</f>
        <v>0</v>
      </c>
      <c r="Z341" s="24">
        <f>IF(Z335=1,'Lease Cycles'!$D$27*IF(INDEX('Lease Cycles'!$EF$27:$EL$27,1,Z333)=1,(1-'Lease Cycles'!$AJ$27)*INDEX('Lease Cycles'!$EM$27:$ES$27,1,Z333)+(1-'Lease Cycles'!$BE$27)*IF(Z334&lt;INDEX('Lease Cycles'!$FA$27:$FG$27,1,Z333),0,1-INDEX('Lease Cycles'!$EM$27:$ES$27,1,Z333)),IF(OR(INDEX('Lease Cycles'!$DY$27:$EE$27,1,Z333)=1,Z334&gt;0),1,1-INDEX('Lease Cycles'!$DD$27:$DJ$27,1,Z333))*((1-'Lease Cycles'!$AJ$27)*INDEX('Lease Cycles'!$FO$27:$FU$27,1,Z333)+(1-'Lease Cycles'!$BE$27)*(1-INDEX('Lease Cycles'!$FO$27:$FU$27,1,Z333)))),0)</f>
        <v>0</v>
      </c>
      <c r="AA341" s="24">
        <f>IF(AA335=1,'Lease Cycles'!$D$27*IF(INDEX('Lease Cycles'!$EF$27:$EL$27,1,AA333)=1,(1-'Lease Cycles'!$AJ$27)*INDEX('Lease Cycles'!$EM$27:$ES$27,1,AA333)+(1-'Lease Cycles'!$BE$27)*IF(AA334&lt;INDEX('Lease Cycles'!$FA$27:$FG$27,1,AA333),0,1-INDEX('Lease Cycles'!$EM$27:$ES$27,1,AA333)),IF(OR(INDEX('Lease Cycles'!$DY$27:$EE$27,1,AA333)=1,AA334&gt;0),1,1-INDEX('Lease Cycles'!$DD$27:$DJ$27,1,AA333))*((1-'Lease Cycles'!$AJ$27)*INDEX('Lease Cycles'!$FO$27:$FU$27,1,AA333)+(1-'Lease Cycles'!$BE$27)*(1-INDEX('Lease Cycles'!$FO$27:$FU$27,1,AA333)))),0)</f>
        <v>0</v>
      </c>
      <c r="AB341" s="24">
        <f>IF(AB335=1,'Lease Cycles'!$D$27*IF(INDEX('Lease Cycles'!$EF$27:$EL$27,1,AB333)=1,(1-'Lease Cycles'!$AJ$27)*INDEX('Lease Cycles'!$EM$27:$ES$27,1,AB333)+(1-'Lease Cycles'!$BE$27)*IF(AB334&lt;INDEX('Lease Cycles'!$FA$27:$FG$27,1,AB333),0,1-INDEX('Lease Cycles'!$EM$27:$ES$27,1,AB333)),IF(OR(INDEX('Lease Cycles'!$DY$27:$EE$27,1,AB333)=1,AB334&gt;0),1,1-INDEX('Lease Cycles'!$DD$27:$DJ$27,1,AB333))*((1-'Lease Cycles'!$AJ$27)*INDEX('Lease Cycles'!$FO$27:$FU$27,1,AB333)+(1-'Lease Cycles'!$BE$27)*(1-INDEX('Lease Cycles'!$FO$27:$FU$27,1,AB333)))),0)</f>
        <v>0</v>
      </c>
      <c r="AC341" s="24">
        <f>IF(AC335=1,'Lease Cycles'!$D$27*IF(INDEX('Lease Cycles'!$EF$27:$EL$27,1,AC333)=1,(1-'Lease Cycles'!$AJ$27)*INDEX('Lease Cycles'!$EM$27:$ES$27,1,AC333)+(1-'Lease Cycles'!$BE$27)*IF(AC334&lt;INDEX('Lease Cycles'!$FA$27:$FG$27,1,AC333),0,1-INDEX('Lease Cycles'!$EM$27:$ES$27,1,AC333)),IF(OR(INDEX('Lease Cycles'!$DY$27:$EE$27,1,AC333)=1,AC334&gt;0),1,1-INDEX('Lease Cycles'!$DD$27:$DJ$27,1,AC333))*((1-'Lease Cycles'!$AJ$27)*INDEX('Lease Cycles'!$FO$27:$FU$27,1,AC333)+(1-'Lease Cycles'!$BE$27)*(1-INDEX('Lease Cycles'!$FO$27:$FU$27,1,AC333)))),0)</f>
        <v>0</v>
      </c>
      <c r="AD341" s="24">
        <f>IF(AD335=1,'Lease Cycles'!$D$27*IF(INDEX('Lease Cycles'!$EF$27:$EL$27,1,AD333)=1,(1-'Lease Cycles'!$AJ$27)*INDEX('Lease Cycles'!$EM$27:$ES$27,1,AD333)+(1-'Lease Cycles'!$BE$27)*IF(AD334&lt;INDEX('Lease Cycles'!$FA$27:$FG$27,1,AD333),0,1-INDEX('Lease Cycles'!$EM$27:$ES$27,1,AD333)),IF(OR(INDEX('Lease Cycles'!$DY$27:$EE$27,1,AD333)=1,AD334&gt;0),1,1-INDEX('Lease Cycles'!$DD$27:$DJ$27,1,AD333))*((1-'Lease Cycles'!$AJ$27)*INDEX('Lease Cycles'!$FO$27:$FU$27,1,AD333)+(1-'Lease Cycles'!$BE$27)*(1-INDEX('Lease Cycles'!$FO$27:$FU$27,1,AD333)))),0)</f>
        <v>0</v>
      </c>
      <c r="AE341" s="24">
        <f>IF(AE335=1,'Lease Cycles'!$D$27*IF(INDEX('Lease Cycles'!$EF$27:$EL$27,1,AE333)=1,(1-'Lease Cycles'!$AJ$27)*INDEX('Lease Cycles'!$EM$27:$ES$27,1,AE333)+(1-'Lease Cycles'!$BE$27)*IF(AE334&lt;INDEX('Lease Cycles'!$FA$27:$FG$27,1,AE333),0,1-INDEX('Lease Cycles'!$EM$27:$ES$27,1,AE333)),IF(OR(INDEX('Lease Cycles'!$DY$27:$EE$27,1,AE333)=1,AE334&gt;0),1,1-INDEX('Lease Cycles'!$DD$27:$DJ$27,1,AE333))*((1-'Lease Cycles'!$AJ$27)*INDEX('Lease Cycles'!$FO$27:$FU$27,1,AE333)+(1-'Lease Cycles'!$BE$27)*(1-INDEX('Lease Cycles'!$FO$27:$FU$27,1,AE333)))),0)</f>
        <v>0</v>
      </c>
      <c r="AF341" s="24">
        <f>IF(AF335=1,'Lease Cycles'!$D$27*IF(INDEX('Lease Cycles'!$EF$27:$EL$27,1,AF333)=1,(1-'Lease Cycles'!$AJ$27)*INDEX('Lease Cycles'!$EM$27:$ES$27,1,AF333)+(1-'Lease Cycles'!$BE$27)*IF(AF334&lt;INDEX('Lease Cycles'!$FA$27:$FG$27,1,AF333),0,1-INDEX('Lease Cycles'!$EM$27:$ES$27,1,AF333)),IF(OR(INDEX('Lease Cycles'!$DY$27:$EE$27,1,AF333)=1,AF334&gt;0),1,1-INDEX('Lease Cycles'!$DD$27:$DJ$27,1,AF333))*((1-'Lease Cycles'!$AJ$27)*INDEX('Lease Cycles'!$FO$27:$FU$27,1,AF333)+(1-'Lease Cycles'!$BE$27)*(1-INDEX('Lease Cycles'!$FO$27:$FU$27,1,AF333)))),0)</f>
        <v>0</v>
      </c>
      <c r="AG341" s="24">
        <f>IF(AG335=1,'Lease Cycles'!$D$27*IF(INDEX('Lease Cycles'!$EF$27:$EL$27,1,AG333)=1,(1-'Lease Cycles'!$AJ$27)*INDEX('Lease Cycles'!$EM$27:$ES$27,1,AG333)+(1-'Lease Cycles'!$BE$27)*IF(AG334&lt;INDEX('Lease Cycles'!$FA$27:$FG$27,1,AG333),0,1-INDEX('Lease Cycles'!$EM$27:$ES$27,1,AG333)),IF(OR(INDEX('Lease Cycles'!$DY$27:$EE$27,1,AG333)=1,AG334&gt;0),1,1-INDEX('Lease Cycles'!$DD$27:$DJ$27,1,AG333))*((1-'Lease Cycles'!$AJ$27)*INDEX('Lease Cycles'!$FO$27:$FU$27,1,AG333)+(1-'Lease Cycles'!$BE$27)*(1-INDEX('Lease Cycles'!$FO$27:$FU$27,1,AG333)))),0)</f>
        <v>0</v>
      </c>
      <c r="AH341" s="24">
        <f>IF(AH335=1,'Lease Cycles'!$D$27*IF(INDEX('Lease Cycles'!$EF$27:$EL$27,1,AH333)=1,(1-'Lease Cycles'!$AJ$27)*INDEX('Lease Cycles'!$EM$27:$ES$27,1,AH333)+(1-'Lease Cycles'!$BE$27)*IF(AH334&lt;INDEX('Lease Cycles'!$FA$27:$FG$27,1,AH333),0,1-INDEX('Lease Cycles'!$EM$27:$ES$27,1,AH333)),IF(OR(INDEX('Lease Cycles'!$DY$27:$EE$27,1,AH333)=1,AH334&gt;0),1,1-INDEX('Lease Cycles'!$DD$27:$DJ$27,1,AH333))*((1-'Lease Cycles'!$AJ$27)*INDEX('Lease Cycles'!$FO$27:$FU$27,1,AH333)+(1-'Lease Cycles'!$BE$27)*(1-INDEX('Lease Cycles'!$FO$27:$FU$27,1,AH333)))),0)</f>
        <v>0</v>
      </c>
      <c r="AI341" s="24">
        <f>IF(AI335=1,'Lease Cycles'!$D$27*IF(INDEX('Lease Cycles'!$EF$27:$EL$27,1,AI333)=1,(1-'Lease Cycles'!$AJ$27)*INDEX('Lease Cycles'!$EM$27:$ES$27,1,AI333)+(1-'Lease Cycles'!$BE$27)*IF(AI334&lt;INDEX('Lease Cycles'!$FA$27:$FG$27,1,AI333),0,1-INDEX('Lease Cycles'!$EM$27:$ES$27,1,AI333)),IF(OR(INDEX('Lease Cycles'!$DY$27:$EE$27,1,AI333)=1,AI334&gt;0),1,1-INDEX('Lease Cycles'!$DD$27:$DJ$27,1,AI333))*((1-'Lease Cycles'!$AJ$27)*INDEX('Lease Cycles'!$FO$27:$FU$27,1,AI333)+(1-'Lease Cycles'!$BE$27)*(1-INDEX('Lease Cycles'!$FO$27:$FU$27,1,AI333)))),0)</f>
        <v>0</v>
      </c>
      <c r="AJ341" s="24">
        <f>IF(AJ335=1,'Lease Cycles'!$D$27*IF(INDEX('Lease Cycles'!$EF$27:$EL$27,1,AJ333)=1,(1-'Lease Cycles'!$AJ$27)*INDEX('Lease Cycles'!$EM$27:$ES$27,1,AJ333)+(1-'Lease Cycles'!$BE$27)*IF(AJ334&lt;INDEX('Lease Cycles'!$FA$27:$FG$27,1,AJ333),0,1-INDEX('Lease Cycles'!$EM$27:$ES$27,1,AJ333)),IF(OR(INDEX('Lease Cycles'!$DY$27:$EE$27,1,AJ333)=1,AJ334&gt;0),1,1-INDEX('Lease Cycles'!$DD$27:$DJ$27,1,AJ333))*((1-'Lease Cycles'!$AJ$27)*INDEX('Lease Cycles'!$FO$27:$FU$27,1,AJ333)+(1-'Lease Cycles'!$BE$27)*(1-INDEX('Lease Cycles'!$FO$27:$FU$27,1,AJ333)))),0)</f>
        <v>0</v>
      </c>
      <c r="AK341" s="24">
        <f>IF(AK335=1,'Lease Cycles'!$D$27*IF(INDEX('Lease Cycles'!$EF$27:$EL$27,1,AK333)=1,(1-'Lease Cycles'!$AJ$27)*INDEX('Lease Cycles'!$EM$27:$ES$27,1,AK333)+(1-'Lease Cycles'!$BE$27)*IF(AK334&lt;INDEX('Lease Cycles'!$FA$27:$FG$27,1,AK333),0,1-INDEX('Lease Cycles'!$EM$27:$ES$27,1,AK333)),IF(OR(INDEX('Lease Cycles'!$DY$27:$EE$27,1,AK333)=1,AK334&gt;0),1,1-INDEX('Lease Cycles'!$DD$27:$DJ$27,1,AK333))*((1-'Lease Cycles'!$AJ$27)*INDEX('Lease Cycles'!$FO$27:$FU$27,1,AK333)+(1-'Lease Cycles'!$BE$27)*(1-INDEX('Lease Cycles'!$FO$27:$FU$27,1,AK333)))),0)</f>
        <v>0</v>
      </c>
      <c r="AL341" s="24">
        <f>IF(AL335=1,'Lease Cycles'!$D$27*IF(INDEX('Lease Cycles'!$EF$27:$EL$27,1,AL333)=1,(1-'Lease Cycles'!$AJ$27)*INDEX('Lease Cycles'!$EM$27:$ES$27,1,AL333)+(1-'Lease Cycles'!$BE$27)*IF(AL334&lt;INDEX('Lease Cycles'!$FA$27:$FG$27,1,AL333),0,1-INDEX('Lease Cycles'!$EM$27:$ES$27,1,AL333)),IF(OR(INDEX('Lease Cycles'!$DY$27:$EE$27,1,AL333)=1,AL334&gt;0),1,1-INDEX('Lease Cycles'!$DD$27:$DJ$27,1,AL333))*((1-'Lease Cycles'!$AJ$27)*INDEX('Lease Cycles'!$FO$27:$FU$27,1,AL333)+(1-'Lease Cycles'!$BE$27)*(1-INDEX('Lease Cycles'!$FO$27:$FU$27,1,AL333)))),0)</f>
        <v>0</v>
      </c>
      <c r="AM341" s="24">
        <f>IF(AM335=1,'Lease Cycles'!$D$27*IF(INDEX('Lease Cycles'!$EF$27:$EL$27,1,AM333)=1,(1-'Lease Cycles'!$AJ$27)*INDEX('Lease Cycles'!$EM$27:$ES$27,1,AM333)+(1-'Lease Cycles'!$BE$27)*IF(AM334&lt;INDEX('Lease Cycles'!$FA$27:$FG$27,1,AM333),0,1-INDEX('Lease Cycles'!$EM$27:$ES$27,1,AM333)),IF(OR(INDEX('Lease Cycles'!$DY$27:$EE$27,1,AM333)=1,AM334&gt;0),1,1-INDEX('Lease Cycles'!$DD$27:$DJ$27,1,AM333))*((1-'Lease Cycles'!$AJ$27)*INDEX('Lease Cycles'!$FO$27:$FU$27,1,AM333)+(1-'Lease Cycles'!$BE$27)*(1-INDEX('Lease Cycles'!$FO$27:$FU$27,1,AM333)))),0)</f>
        <v>0</v>
      </c>
      <c r="AN341" s="24">
        <f>IF(AN335=1,'Lease Cycles'!$D$27*IF(INDEX('Lease Cycles'!$EF$27:$EL$27,1,AN333)=1,(1-'Lease Cycles'!$AJ$27)*INDEX('Lease Cycles'!$EM$27:$ES$27,1,AN333)+(1-'Lease Cycles'!$BE$27)*IF(AN334&lt;INDEX('Lease Cycles'!$FA$27:$FG$27,1,AN333),0,1-INDEX('Lease Cycles'!$EM$27:$ES$27,1,AN333)),IF(OR(INDEX('Lease Cycles'!$DY$27:$EE$27,1,AN333)=1,AN334&gt;0),1,1-INDEX('Lease Cycles'!$DD$27:$DJ$27,1,AN333))*((1-'Lease Cycles'!$AJ$27)*INDEX('Lease Cycles'!$FO$27:$FU$27,1,AN333)+(1-'Lease Cycles'!$BE$27)*(1-INDEX('Lease Cycles'!$FO$27:$FU$27,1,AN333)))),0)</f>
        <v>0</v>
      </c>
      <c r="AO341" s="24">
        <f>IF(AO335=1,'Lease Cycles'!$D$27*IF(INDEX('Lease Cycles'!$EF$27:$EL$27,1,AO333)=1,(1-'Lease Cycles'!$AJ$27)*INDEX('Lease Cycles'!$EM$27:$ES$27,1,AO333)+(1-'Lease Cycles'!$BE$27)*IF(AO334&lt;INDEX('Lease Cycles'!$FA$27:$FG$27,1,AO333),0,1-INDEX('Lease Cycles'!$EM$27:$ES$27,1,AO333)),IF(OR(INDEX('Lease Cycles'!$DY$27:$EE$27,1,AO333)=1,AO334&gt;0),1,1-INDEX('Lease Cycles'!$DD$27:$DJ$27,1,AO333))*((1-'Lease Cycles'!$AJ$27)*INDEX('Lease Cycles'!$FO$27:$FU$27,1,AO333)+(1-'Lease Cycles'!$BE$27)*(1-INDEX('Lease Cycles'!$FO$27:$FU$27,1,AO333)))),0)</f>
        <v>0</v>
      </c>
      <c r="AP341" s="24">
        <f>IF(AP335=1,'Lease Cycles'!$D$27*IF(INDEX('Lease Cycles'!$EF$27:$EL$27,1,AP333)=1,(1-'Lease Cycles'!$AJ$27)*INDEX('Lease Cycles'!$EM$27:$ES$27,1,AP333)+(1-'Lease Cycles'!$BE$27)*IF(AP334&lt;INDEX('Lease Cycles'!$FA$27:$FG$27,1,AP333),0,1-INDEX('Lease Cycles'!$EM$27:$ES$27,1,AP333)),IF(OR(INDEX('Lease Cycles'!$DY$27:$EE$27,1,AP333)=1,AP334&gt;0),1,1-INDEX('Lease Cycles'!$DD$27:$DJ$27,1,AP333))*((1-'Lease Cycles'!$AJ$27)*INDEX('Lease Cycles'!$FO$27:$FU$27,1,AP333)+(1-'Lease Cycles'!$BE$27)*(1-INDEX('Lease Cycles'!$FO$27:$FU$27,1,AP333)))),0)</f>
        <v>0</v>
      </c>
      <c r="AQ341" s="24">
        <f>IF(AQ335=1,'Lease Cycles'!$D$27*IF(INDEX('Lease Cycles'!$EF$27:$EL$27,1,AQ333)=1,(1-'Lease Cycles'!$AJ$27)*INDEX('Lease Cycles'!$EM$27:$ES$27,1,AQ333)+(1-'Lease Cycles'!$BE$27)*IF(AQ334&lt;INDEX('Lease Cycles'!$FA$27:$FG$27,1,AQ333),0,1-INDEX('Lease Cycles'!$EM$27:$ES$27,1,AQ333)),IF(OR(INDEX('Lease Cycles'!$DY$27:$EE$27,1,AQ333)=1,AQ334&gt;0),1,1-INDEX('Lease Cycles'!$DD$27:$DJ$27,1,AQ333))*((1-'Lease Cycles'!$AJ$27)*INDEX('Lease Cycles'!$FO$27:$FU$27,1,AQ333)+(1-'Lease Cycles'!$BE$27)*(1-INDEX('Lease Cycles'!$FO$27:$FU$27,1,AQ333)))),0)</f>
        <v>0</v>
      </c>
      <c r="AR341" s="24">
        <f>IF(AR335=1,'Lease Cycles'!$D$27*IF(INDEX('Lease Cycles'!$EF$27:$EL$27,1,AR333)=1,(1-'Lease Cycles'!$AJ$27)*INDEX('Lease Cycles'!$EM$27:$ES$27,1,AR333)+(1-'Lease Cycles'!$BE$27)*IF(AR334&lt;INDEX('Lease Cycles'!$FA$27:$FG$27,1,AR333),0,1-INDEX('Lease Cycles'!$EM$27:$ES$27,1,AR333)),IF(OR(INDEX('Lease Cycles'!$DY$27:$EE$27,1,AR333)=1,AR334&gt;0),1,1-INDEX('Lease Cycles'!$DD$27:$DJ$27,1,AR333))*((1-'Lease Cycles'!$AJ$27)*INDEX('Lease Cycles'!$FO$27:$FU$27,1,AR333)+(1-'Lease Cycles'!$BE$27)*(1-INDEX('Lease Cycles'!$FO$27:$FU$27,1,AR333)))),0)</f>
        <v>0</v>
      </c>
      <c r="AS341" s="24">
        <f>IF(AS335=1,'Lease Cycles'!$D$27*IF(INDEX('Lease Cycles'!$EF$27:$EL$27,1,AS333)=1,(1-'Lease Cycles'!$AJ$27)*INDEX('Lease Cycles'!$EM$27:$ES$27,1,AS333)+(1-'Lease Cycles'!$BE$27)*IF(AS334&lt;INDEX('Lease Cycles'!$FA$27:$FG$27,1,AS333),0,1-INDEX('Lease Cycles'!$EM$27:$ES$27,1,AS333)),IF(OR(INDEX('Lease Cycles'!$DY$27:$EE$27,1,AS333)=1,AS334&gt;0),1,1-INDEX('Lease Cycles'!$DD$27:$DJ$27,1,AS333))*((1-'Lease Cycles'!$AJ$27)*INDEX('Lease Cycles'!$FO$27:$FU$27,1,AS333)+(1-'Lease Cycles'!$BE$27)*(1-INDEX('Lease Cycles'!$FO$27:$FU$27,1,AS333)))),0)</f>
        <v>0</v>
      </c>
      <c r="AT341" s="24">
        <f>IF(AT335=1,'Lease Cycles'!$D$27*IF(INDEX('Lease Cycles'!$EF$27:$EL$27,1,AT333)=1,(1-'Lease Cycles'!$AJ$27)*INDEX('Lease Cycles'!$EM$27:$ES$27,1,AT333)+(1-'Lease Cycles'!$BE$27)*IF(AT334&lt;INDEX('Lease Cycles'!$FA$27:$FG$27,1,AT333),0,1-INDEX('Lease Cycles'!$EM$27:$ES$27,1,AT333)),IF(OR(INDEX('Lease Cycles'!$DY$27:$EE$27,1,AT333)=1,AT334&gt;0),1,1-INDEX('Lease Cycles'!$DD$27:$DJ$27,1,AT333))*((1-'Lease Cycles'!$AJ$27)*INDEX('Lease Cycles'!$FO$27:$FU$27,1,AT333)+(1-'Lease Cycles'!$BE$27)*(1-INDEX('Lease Cycles'!$FO$27:$FU$27,1,AT333)))),0)</f>
        <v>0</v>
      </c>
      <c r="AU341" s="24">
        <f>IF(AU335=1,'Lease Cycles'!$D$27*IF(INDEX('Lease Cycles'!$EF$27:$EL$27,1,AU333)=1,(1-'Lease Cycles'!$AJ$27)*INDEX('Lease Cycles'!$EM$27:$ES$27,1,AU333)+(1-'Lease Cycles'!$BE$27)*IF(AU334&lt;INDEX('Lease Cycles'!$FA$27:$FG$27,1,AU333),0,1-INDEX('Lease Cycles'!$EM$27:$ES$27,1,AU333)),IF(OR(INDEX('Lease Cycles'!$DY$27:$EE$27,1,AU333)=1,AU334&gt;0),1,1-INDEX('Lease Cycles'!$DD$27:$DJ$27,1,AU333))*((1-'Lease Cycles'!$AJ$27)*INDEX('Lease Cycles'!$FO$27:$FU$27,1,AU333)+(1-'Lease Cycles'!$BE$27)*(1-INDEX('Lease Cycles'!$FO$27:$FU$27,1,AU333)))),0)</f>
        <v>0</v>
      </c>
      <c r="AV341" s="24">
        <f>IF(AV335=1,'Lease Cycles'!$D$27*IF(INDEX('Lease Cycles'!$EF$27:$EL$27,1,AV333)=1,(1-'Lease Cycles'!$AJ$27)*INDEX('Lease Cycles'!$EM$27:$ES$27,1,AV333)+(1-'Lease Cycles'!$BE$27)*IF(AV334&lt;INDEX('Lease Cycles'!$FA$27:$FG$27,1,AV333),0,1-INDEX('Lease Cycles'!$EM$27:$ES$27,1,AV333)),IF(OR(INDEX('Lease Cycles'!$DY$27:$EE$27,1,AV333)=1,AV334&gt;0),1,1-INDEX('Lease Cycles'!$DD$27:$DJ$27,1,AV333))*((1-'Lease Cycles'!$AJ$27)*INDEX('Lease Cycles'!$FO$27:$FU$27,1,AV333)+(1-'Lease Cycles'!$BE$27)*(1-INDEX('Lease Cycles'!$FO$27:$FU$27,1,AV333)))),0)</f>
        <v>0</v>
      </c>
      <c r="AW341" s="24">
        <f>IF(AW335=1,'Lease Cycles'!$D$27*IF(INDEX('Lease Cycles'!$EF$27:$EL$27,1,AW333)=1,(1-'Lease Cycles'!$AJ$27)*INDEX('Lease Cycles'!$EM$27:$ES$27,1,AW333)+(1-'Lease Cycles'!$BE$27)*IF(AW334&lt;INDEX('Lease Cycles'!$FA$27:$FG$27,1,AW333),0,1-INDEX('Lease Cycles'!$EM$27:$ES$27,1,AW333)),IF(OR(INDEX('Lease Cycles'!$DY$27:$EE$27,1,AW333)=1,AW334&gt;0),1,1-INDEX('Lease Cycles'!$DD$27:$DJ$27,1,AW333))*((1-'Lease Cycles'!$AJ$27)*INDEX('Lease Cycles'!$FO$27:$FU$27,1,AW333)+(1-'Lease Cycles'!$BE$27)*(1-INDEX('Lease Cycles'!$FO$27:$FU$27,1,AW333)))),0)</f>
        <v>0</v>
      </c>
      <c r="AX341" s="24">
        <f>IF(AX335=1,'Lease Cycles'!$D$27*IF(INDEX('Lease Cycles'!$EF$27:$EL$27,1,AX333)=1,(1-'Lease Cycles'!$AJ$27)*INDEX('Lease Cycles'!$EM$27:$ES$27,1,AX333)+(1-'Lease Cycles'!$BE$27)*IF(AX334&lt;INDEX('Lease Cycles'!$FA$27:$FG$27,1,AX333),0,1-INDEX('Lease Cycles'!$EM$27:$ES$27,1,AX333)),IF(OR(INDEX('Lease Cycles'!$DY$27:$EE$27,1,AX333)=1,AX334&gt;0),1,1-INDEX('Lease Cycles'!$DD$27:$DJ$27,1,AX333))*((1-'Lease Cycles'!$AJ$27)*INDEX('Lease Cycles'!$FO$27:$FU$27,1,AX333)+(1-'Lease Cycles'!$BE$27)*(1-INDEX('Lease Cycles'!$FO$27:$FU$27,1,AX333)))),0)</f>
        <v>0</v>
      </c>
      <c r="AY341" s="24">
        <f>IF(AY335=1,'Lease Cycles'!$D$27*IF(INDEX('Lease Cycles'!$EF$27:$EL$27,1,AY333)=1,(1-'Lease Cycles'!$AJ$27)*INDEX('Lease Cycles'!$EM$27:$ES$27,1,AY333)+(1-'Lease Cycles'!$BE$27)*IF(AY334&lt;INDEX('Lease Cycles'!$FA$27:$FG$27,1,AY333),0,1-INDEX('Lease Cycles'!$EM$27:$ES$27,1,AY333)),IF(OR(INDEX('Lease Cycles'!$DY$27:$EE$27,1,AY333)=1,AY334&gt;0),1,1-INDEX('Lease Cycles'!$DD$27:$DJ$27,1,AY333))*((1-'Lease Cycles'!$AJ$27)*INDEX('Lease Cycles'!$FO$27:$FU$27,1,AY333)+(1-'Lease Cycles'!$BE$27)*(1-INDEX('Lease Cycles'!$FO$27:$FU$27,1,AY333)))),0)</f>
        <v>0</v>
      </c>
      <c r="AZ341" s="24">
        <f>IF(AZ335=1,'Lease Cycles'!$D$27*IF(INDEX('Lease Cycles'!$EF$27:$EL$27,1,AZ333)=1,(1-'Lease Cycles'!$AJ$27)*INDEX('Lease Cycles'!$EM$27:$ES$27,1,AZ333)+(1-'Lease Cycles'!$BE$27)*IF(AZ334&lt;INDEX('Lease Cycles'!$FA$27:$FG$27,1,AZ333),0,1-INDEX('Lease Cycles'!$EM$27:$ES$27,1,AZ333)),IF(OR(INDEX('Lease Cycles'!$DY$27:$EE$27,1,AZ333)=1,AZ334&gt;0),1,1-INDEX('Lease Cycles'!$DD$27:$DJ$27,1,AZ333))*((1-'Lease Cycles'!$AJ$27)*INDEX('Lease Cycles'!$FO$27:$FU$27,1,AZ333)+(1-'Lease Cycles'!$BE$27)*(1-INDEX('Lease Cycles'!$FO$27:$FU$27,1,AZ333)))),0)</f>
        <v>0</v>
      </c>
      <c r="BA341" s="24">
        <f>IF(BA335=1,'Lease Cycles'!$D$27*IF(INDEX('Lease Cycles'!$EF$27:$EL$27,1,BA333)=1,(1-'Lease Cycles'!$AJ$27)*INDEX('Lease Cycles'!$EM$27:$ES$27,1,BA333)+(1-'Lease Cycles'!$BE$27)*IF(BA334&lt;INDEX('Lease Cycles'!$FA$27:$FG$27,1,BA333),0,1-INDEX('Lease Cycles'!$EM$27:$ES$27,1,BA333)),IF(OR(INDEX('Lease Cycles'!$DY$27:$EE$27,1,BA333)=1,BA334&gt;0),1,1-INDEX('Lease Cycles'!$DD$27:$DJ$27,1,BA333))*((1-'Lease Cycles'!$AJ$27)*INDEX('Lease Cycles'!$FO$27:$FU$27,1,BA333)+(1-'Lease Cycles'!$BE$27)*(1-INDEX('Lease Cycles'!$FO$27:$FU$27,1,BA333)))),0)</f>
        <v>0</v>
      </c>
      <c r="BB341" s="24">
        <f>IF(BB335=1,'Lease Cycles'!$D$27*IF(INDEX('Lease Cycles'!$EF$27:$EL$27,1,BB333)=1,(1-'Lease Cycles'!$AJ$27)*INDEX('Lease Cycles'!$EM$27:$ES$27,1,BB333)+(1-'Lease Cycles'!$BE$27)*IF(BB334&lt;INDEX('Lease Cycles'!$FA$27:$FG$27,1,BB333),0,1-INDEX('Lease Cycles'!$EM$27:$ES$27,1,BB333)),IF(OR(INDEX('Lease Cycles'!$DY$27:$EE$27,1,BB333)=1,BB334&gt;0),1,1-INDEX('Lease Cycles'!$DD$27:$DJ$27,1,BB333))*((1-'Lease Cycles'!$AJ$27)*INDEX('Lease Cycles'!$FO$27:$FU$27,1,BB333)+(1-'Lease Cycles'!$BE$27)*(1-INDEX('Lease Cycles'!$FO$27:$FU$27,1,BB333)))),0)</f>
        <v>0</v>
      </c>
      <c r="BC341" s="24">
        <f>IF(BC335=1,'Lease Cycles'!$D$27*IF(INDEX('Lease Cycles'!$EF$27:$EL$27,1,BC333)=1,(1-'Lease Cycles'!$AJ$27)*INDEX('Lease Cycles'!$EM$27:$ES$27,1,BC333)+(1-'Lease Cycles'!$BE$27)*IF(BC334&lt;INDEX('Lease Cycles'!$FA$27:$FG$27,1,BC333),0,1-INDEX('Lease Cycles'!$EM$27:$ES$27,1,BC333)),IF(OR(INDEX('Lease Cycles'!$DY$27:$EE$27,1,BC333)=1,BC334&gt;0),1,1-INDEX('Lease Cycles'!$DD$27:$DJ$27,1,BC333))*((1-'Lease Cycles'!$AJ$27)*INDEX('Lease Cycles'!$FO$27:$FU$27,1,BC333)+(1-'Lease Cycles'!$BE$27)*(1-INDEX('Lease Cycles'!$FO$27:$FU$27,1,BC333)))),0)</f>
        <v>0</v>
      </c>
      <c r="BD341" s="24">
        <f>IF(BD335=1,'Lease Cycles'!$D$27*IF(INDEX('Lease Cycles'!$EF$27:$EL$27,1,BD333)=1,(1-'Lease Cycles'!$AJ$27)*INDEX('Lease Cycles'!$EM$27:$ES$27,1,BD333)+(1-'Lease Cycles'!$BE$27)*IF(BD334&lt;INDEX('Lease Cycles'!$FA$27:$FG$27,1,BD333),0,1-INDEX('Lease Cycles'!$EM$27:$ES$27,1,BD333)),IF(OR(INDEX('Lease Cycles'!$DY$27:$EE$27,1,BD333)=1,BD334&gt;0),1,1-INDEX('Lease Cycles'!$DD$27:$DJ$27,1,BD333))*((1-'Lease Cycles'!$AJ$27)*INDEX('Lease Cycles'!$FO$27:$FU$27,1,BD333)+(1-'Lease Cycles'!$BE$27)*(1-INDEX('Lease Cycles'!$FO$27:$FU$27,1,BD333)))),0)</f>
        <v>0</v>
      </c>
      <c r="BE341" s="24">
        <f>IF(BE335=1,'Lease Cycles'!$D$27*IF(INDEX('Lease Cycles'!$EF$27:$EL$27,1,BE333)=1,(1-'Lease Cycles'!$AJ$27)*INDEX('Lease Cycles'!$EM$27:$ES$27,1,BE333)+(1-'Lease Cycles'!$BE$27)*IF(BE334&lt;INDEX('Lease Cycles'!$FA$27:$FG$27,1,BE333),0,1-INDEX('Lease Cycles'!$EM$27:$ES$27,1,BE333)),IF(OR(INDEX('Lease Cycles'!$DY$27:$EE$27,1,BE333)=1,BE334&gt;0),1,1-INDEX('Lease Cycles'!$DD$27:$DJ$27,1,BE333))*((1-'Lease Cycles'!$AJ$27)*INDEX('Lease Cycles'!$FO$27:$FU$27,1,BE333)+(1-'Lease Cycles'!$BE$27)*(1-INDEX('Lease Cycles'!$FO$27:$FU$27,1,BE333)))),0)</f>
        <v>0</v>
      </c>
      <c r="BF341" s="24">
        <f>IF(BF335=1,'Lease Cycles'!$D$27*IF(INDEX('Lease Cycles'!$EF$27:$EL$27,1,BF333)=1,(1-'Lease Cycles'!$AJ$27)*INDEX('Lease Cycles'!$EM$27:$ES$27,1,BF333)+(1-'Lease Cycles'!$BE$27)*IF(BF334&lt;INDEX('Lease Cycles'!$FA$27:$FG$27,1,BF333),0,1-INDEX('Lease Cycles'!$EM$27:$ES$27,1,BF333)),IF(OR(INDEX('Lease Cycles'!$DY$27:$EE$27,1,BF333)=1,BF334&gt;0),1,1-INDEX('Lease Cycles'!$DD$27:$DJ$27,1,BF333))*((1-'Lease Cycles'!$AJ$27)*INDEX('Lease Cycles'!$FO$27:$FU$27,1,BF333)+(1-'Lease Cycles'!$BE$27)*(1-INDEX('Lease Cycles'!$FO$27:$FU$27,1,BF333)))),0)</f>
        <v>0</v>
      </c>
      <c r="BG341" s="24">
        <f>IF(BG335=1,'Lease Cycles'!$D$27*IF(INDEX('Lease Cycles'!$EF$27:$EL$27,1,BG333)=1,(1-'Lease Cycles'!$AJ$27)*INDEX('Lease Cycles'!$EM$27:$ES$27,1,BG333)+(1-'Lease Cycles'!$BE$27)*IF(BG334&lt;INDEX('Lease Cycles'!$FA$27:$FG$27,1,BG333),0,1-INDEX('Lease Cycles'!$EM$27:$ES$27,1,BG333)),IF(OR(INDEX('Lease Cycles'!$DY$27:$EE$27,1,BG333)=1,BG334&gt;0),1,1-INDEX('Lease Cycles'!$DD$27:$DJ$27,1,BG333))*((1-'Lease Cycles'!$AJ$27)*INDEX('Lease Cycles'!$FO$27:$FU$27,1,BG333)+(1-'Lease Cycles'!$BE$27)*(1-INDEX('Lease Cycles'!$FO$27:$FU$27,1,BG333)))),0)</f>
        <v>0</v>
      </c>
      <c r="BH341" s="24">
        <f>IF(BH335=1,'Lease Cycles'!$D$27*IF(INDEX('Lease Cycles'!$EF$27:$EL$27,1,BH333)=1,(1-'Lease Cycles'!$AJ$27)*INDEX('Lease Cycles'!$EM$27:$ES$27,1,BH333)+(1-'Lease Cycles'!$BE$27)*IF(BH334&lt;INDEX('Lease Cycles'!$FA$27:$FG$27,1,BH333),0,1-INDEX('Lease Cycles'!$EM$27:$ES$27,1,BH333)),IF(OR(INDEX('Lease Cycles'!$DY$27:$EE$27,1,BH333)=1,BH334&gt;0),1,1-INDEX('Lease Cycles'!$DD$27:$DJ$27,1,BH333))*((1-'Lease Cycles'!$AJ$27)*INDEX('Lease Cycles'!$FO$27:$FU$27,1,BH333)+(1-'Lease Cycles'!$BE$27)*(1-INDEX('Lease Cycles'!$FO$27:$FU$27,1,BH333)))),0)</f>
        <v>0</v>
      </c>
      <c r="BI341" s="24">
        <f>IF(BI335=1,'Lease Cycles'!$D$27*IF(INDEX('Lease Cycles'!$EF$27:$EL$27,1,BI333)=1,(1-'Lease Cycles'!$AJ$27)*INDEX('Lease Cycles'!$EM$27:$ES$27,1,BI333)+(1-'Lease Cycles'!$BE$27)*IF(BI334&lt;INDEX('Lease Cycles'!$FA$27:$FG$27,1,BI333),0,1-INDEX('Lease Cycles'!$EM$27:$ES$27,1,BI333)),IF(OR(INDEX('Lease Cycles'!$DY$27:$EE$27,1,BI333)=1,BI334&gt;0),1,1-INDEX('Lease Cycles'!$DD$27:$DJ$27,1,BI333))*((1-'Lease Cycles'!$AJ$27)*INDEX('Lease Cycles'!$FO$27:$FU$27,1,BI333)+(1-'Lease Cycles'!$BE$27)*(1-INDEX('Lease Cycles'!$FO$27:$FU$27,1,BI333)))),0)</f>
        <v>0</v>
      </c>
      <c r="BJ341" s="24">
        <f>IF(BJ335=1,'Lease Cycles'!$D$27*IF(INDEX('Lease Cycles'!$EF$27:$EL$27,1,BJ333)=1,(1-'Lease Cycles'!$AJ$27)*INDEX('Lease Cycles'!$EM$27:$ES$27,1,BJ333)+(1-'Lease Cycles'!$BE$27)*IF(BJ334&lt;INDEX('Lease Cycles'!$FA$27:$FG$27,1,BJ333),0,1-INDEX('Lease Cycles'!$EM$27:$ES$27,1,BJ333)),IF(OR(INDEX('Lease Cycles'!$DY$27:$EE$27,1,BJ333)=1,BJ334&gt;0),1,1-INDEX('Lease Cycles'!$DD$27:$DJ$27,1,BJ333))*((1-'Lease Cycles'!$AJ$27)*INDEX('Lease Cycles'!$FO$27:$FU$27,1,BJ333)+(1-'Lease Cycles'!$BE$27)*(1-INDEX('Lease Cycles'!$FO$27:$FU$27,1,BJ333)))),0)</f>
        <v>0</v>
      </c>
      <c r="BK341" s="24">
        <f>IF(BK335=1,'Lease Cycles'!$D$27*IF(INDEX('Lease Cycles'!$EF$27:$EL$27,1,BK333)=1,(1-'Lease Cycles'!$AJ$27)*INDEX('Lease Cycles'!$EM$27:$ES$27,1,BK333)+(1-'Lease Cycles'!$BE$27)*IF(BK334&lt;INDEX('Lease Cycles'!$FA$27:$FG$27,1,BK333),0,1-INDEX('Lease Cycles'!$EM$27:$ES$27,1,BK333)),IF(OR(INDEX('Lease Cycles'!$DY$27:$EE$27,1,BK333)=1,BK334&gt;0),1,1-INDEX('Lease Cycles'!$DD$27:$DJ$27,1,BK333))*((1-'Lease Cycles'!$AJ$27)*INDEX('Lease Cycles'!$FO$27:$FU$27,1,BK333)+(1-'Lease Cycles'!$BE$27)*(1-INDEX('Lease Cycles'!$FO$27:$FU$27,1,BK333)))),0)</f>
        <v>0</v>
      </c>
      <c r="BL341" s="24">
        <f>IF(BL335=1,'Lease Cycles'!$D$27*IF(INDEX('Lease Cycles'!$EF$27:$EL$27,1,BL333)=1,(1-'Lease Cycles'!$AJ$27)*INDEX('Lease Cycles'!$EM$27:$ES$27,1,BL333)+(1-'Lease Cycles'!$BE$27)*IF(BL334&lt;INDEX('Lease Cycles'!$FA$27:$FG$27,1,BL333),0,1-INDEX('Lease Cycles'!$EM$27:$ES$27,1,BL333)),IF(OR(INDEX('Lease Cycles'!$DY$27:$EE$27,1,BL333)=1,BL334&gt;0),1,1-INDEX('Lease Cycles'!$DD$27:$DJ$27,1,BL333))*((1-'Lease Cycles'!$AJ$27)*INDEX('Lease Cycles'!$FO$27:$FU$27,1,BL333)+(1-'Lease Cycles'!$BE$27)*(1-INDEX('Lease Cycles'!$FO$27:$FU$27,1,BL333)))),0)</f>
        <v>0</v>
      </c>
      <c r="BM341" s="24">
        <f>IF(BM335=1,'Lease Cycles'!$D$27*IF(INDEX('Lease Cycles'!$EF$27:$EL$27,1,BM333)=1,(1-'Lease Cycles'!$AJ$27)*INDEX('Lease Cycles'!$EM$27:$ES$27,1,BM333)+(1-'Lease Cycles'!$BE$27)*IF(BM334&lt;INDEX('Lease Cycles'!$FA$27:$FG$27,1,BM333),0,1-INDEX('Lease Cycles'!$EM$27:$ES$27,1,BM333)),IF(OR(INDEX('Lease Cycles'!$DY$27:$EE$27,1,BM333)=1,BM334&gt;0),1,1-INDEX('Lease Cycles'!$DD$27:$DJ$27,1,BM333))*((1-'Lease Cycles'!$AJ$27)*INDEX('Lease Cycles'!$FO$27:$FU$27,1,BM333)+(1-'Lease Cycles'!$BE$27)*(1-INDEX('Lease Cycles'!$FO$27:$FU$27,1,BM333)))),0)</f>
        <v>0</v>
      </c>
      <c r="BN341" s="24">
        <f>IF(BN335=1,'Lease Cycles'!$D$27*IF(INDEX('Lease Cycles'!$EF$27:$EL$27,1,BN333)=1,(1-'Lease Cycles'!$AJ$27)*INDEX('Lease Cycles'!$EM$27:$ES$27,1,BN333)+(1-'Lease Cycles'!$BE$27)*IF(BN334&lt;INDEX('Lease Cycles'!$FA$27:$FG$27,1,BN333),0,1-INDEX('Lease Cycles'!$EM$27:$ES$27,1,BN333)),IF(OR(INDEX('Lease Cycles'!$DY$27:$EE$27,1,BN333)=1,BN334&gt;0),1,1-INDEX('Lease Cycles'!$DD$27:$DJ$27,1,BN333))*((1-'Lease Cycles'!$AJ$27)*INDEX('Lease Cycles'!$FO$27:$FU$27,1,BN333)+(1-'Lease Cycles'!$BE$27)*(1-INDEX('Lease Cycles'!$FO$27:$FU$27,1,BN333)))),0)</f>
        <v>0</v>
      </c>
      <c r="BO341" s="24">
        <f>IF(BO335=1,'Lease Cycles'!$D$27*IF(INDEX('Lease Cycles'!$EF$27:$EL$27,1,BO333)=1,(1-'Lease Cycles'!$AJ$27)*INDEX('Lease Cycles'!$EM$27:$ES$27,1,BO333)+(1-'Lease Cycles'!$BE$27)*IF(BO334&lt;INDEX('Lease Cycles'!$FA$27:$FG$27,1,BO333),0,1-INDEX('Lease Cycles'!$EM$27:$ES$27,1,BO333)),IF(OR(INDEX('Lease Cycles'!$DY$27:$EE$27,1,BO333)=1,BO334&gt;0),1,1-INDEX('Lease Cycles'!$DD$27:$DJ$27,1,BO333))*((1-'Lease Cycles'!$AJ$27)*INDEX('Lease Cycles'!$FO$27:$FU$27,1,BO333)+(1-'Lease Cycles'!$BE$27)*(1-INDEX('Lease Cycles'!$FO$27:$FU$27,1,BO333)))),0)</f>
        <v>0</v>
      </c>
      <c r="BP341" s="24">
        <f>IF(BP335=1,'Lease Cycles'!$D$27*IF(INDEX('Lease Cycles'!$EF$27:$EL$27,1,BP333)=1,(1-'Lease Cycles'!$AJ$27)*INDEX('Lease Cycles'!$EM$27:$ES$27,1,BP333)+(1-'Lease Cycles'!$BE$27)*IF(BP334&lt;INDEX('Lease Cycles'!$FA$27:$FG$27,1,BP333),0,1-INDEX('Lease Cycles'!$EM$27:$ES$27,1,BP333)),IF(OR(INDEX('Lease Cycles'!$DY$27:$EE$27,1,BP333)=1,BP334&gt;0),1,1-INDEX('Lease Cycles'!$DD$27:$DJ$27,1,BP333))*((1-'Lease Cycles'!$AJ$27)*INDEX('Lease Cycles'!$FO$27:$FU$27,1,BP333)+(1-'Lease Cycles'!$BE$27)*(1-INDEX('Lease Cycles'!$FO$27:$FU$27,1,BP333)))),0)</f>
        <v>0</v>
      </c>
      <c r="BQ341" s="24">
        <f>IF(BQ335=1,'Lease Cycles'!$D$27*IF(INDEX('Lease Cycles'!$EF$27:$EL$27,1,BQ333)=1,(1-'Lease Cycles'!$AJ$27)*INDEX('Lease Cycles'!$EM$27:$ES$27,1,BQ333)+(1-'Lease Cycles'!$BE$27)*IF(BQ334&lt;INDEX('Lease Cycles'!$FA$27:$FG$27,1,BQ333),0,1-INDEX('Lease Cycles'!$EM$27:$ES$27,1,BQ333)),IF(OR(INDEX('Lease Cycles'!$DY$27:$EE$27,1,BQ333)=1,BQ334&gt;0),1,1-INDEX('Lease Cycles'!$DD$27:$DJ$27,1,BQ333))*((1-'Lease Cycles'!$AJ$27)*INDEX('Lease Cycles'!$FO$27:$FU$27,1,BQ333)+(1-'Lease Cycles'!$BE$27)*(1-INDEX('Lease Cycles'!$FO$27:$FU$27,1,BQ333)))),0)</f>
        <v>0</v>
      </c>
      <c r="BR341" s="24">
        <f>IF(BR335=1,'Lease Cycles'!$D$27*IF(INDEX('Lease Cycles'!$EF$27:$EL$27,1,BR333)=1,(1-'Lease Cycles'!$AJ$27)*INDEX('Lease Cycles'!$EM$27:$ES$27,1,BR333)+(1-'Lease Cycles'!$BE$27)*IF(BR334&lt;INDEX('Lease Cycles'!$FA$27:$FG$27,1,BR333),0,1-INDEX('Lease Cycles'!$EM$27:$ES$27,1,BR333)),IF(OR(INDEX('Lease Cycles'!$DY$27:$EE$27,1,BR333)=1,BR334&gt;0),1,1-INDEX('Lease Cycles'!$DD$27:$DJ$27,1,BR333))*((1-'Lease Cycles'!$AJ$27)*INDEX('Lease Cycles'!$FO$27:$FU$27,1,BR333)+(1-'Lease Cycles'!$BE$27)*(1-INDEX('Lease Cycles'!$FO$27:$FU$27,1,BR333)))),0)</f>
        <v>0</v>
      </c>
      <c r="BS341" s="24">
        <f>IF(BS335=1,'Lease Cycles'!$D$27*IF(INDEX('Lease Cycles'!$EF$27:$EL$27,1,BS333)=1,(1-'Lease Cycles'!$AJ$27)*INDEX('Lease Cycles'!$EM$27:$ES$27,1,BS333)+(1-'Lease Cycles'!$BE$27)*IF(BS334&lt;INDEX('Lease Cycles'!$FA$27:$FG$27,1,BS333),0,1-INDEX('Lease Cycles'!$EM$27:$ES$27,1,BS333)),IF(OR(INDEX('Lease Cycles'!$DY$27:$EE$27,1,BS333)=1,BS334&gt;0),1,1-INDEX('Lease Cycles'!$DD$27:$DJ$27,1,BS333))*((1-'Lease Cycles'!$AJ$27)*INDEX('Lease Cycles'!$FO$27:$FU$27,1,BS333)+(1-'Lease Cycles'!$BE$27)*(1-INDEX('Lease Cycles'!$FO$27:$FU$27,1,BS333)))),0)</f>
        <v>0</v>
      </c>
      <c r="BT341" s="24">
        <f>IF(BT335=1,'Lease Cycles'!$D$27*IF(INDEX('Lease Cycles'!$EF$27:$EL$27,1,BT333)=1,(1-'Lease Cycles'!$AJ$27)*INDEX('Lease Cycles'!$EM$27:$ES$27,1,BT333)+(1-'Lease Cycles'!$BE$27)*IF(BT334&lt;INDEX('Lease Cycles'!$FA$27:$FG$27,1,BT333),0,1-INDEX('Lease Cycles'!$EM$27:$ES$27,1,BT333)),IF(OR(INDEX('Lease Cycles'!$DY$27:$EE$27,1,BT333)=1,BT334&gt;0),1,1-INDEX('Lease Cycles'!$DD$27:$DJ$27,1,BT333))*((1-'Lease Cycles'!$AJ$27)*INDEX('Lease Cycles'!$FO$27:$FU$27,1,BT333)+(1-'Lease Cycles'!$BE$27)*(1-INDEX('Lease Cycles'!$FO$27:$FU$27,1,BT333)))),0)</f>
        <v>0</v>
      </c>
      <c r="BU341" s="24">
        <f>IF(BU335=1,'Lease Cycles'!$D$27*IF(INDEX('Lease Cycles'!$EF$27:$EL$27,1,BU333)=1,(1-'Lease Cycles'!$AJ$27)*INDEX('Lease Cycles'!$EM$27:$ES$27,1,BU333)+(1-'Lease Cycles'!$BE$27)*IF(BU334&lt;INDEX('Lease Cycles'!$FA$27:$FG$27,1,BU333),0,1-INDEX('Lease Cycles'!$EM$27:$ES$27,1,BU333)),IF(OR(INDEX('Lease Cycles'!$DY$27:$EE$27,1,BU333)=1,BU334&gt;0),1,1-INDEX('Lease Cycles'!$DD$27:$DJ$27,1,BU333))*((1-'Lease Cycles'!$AJ$27)*INDEX('Lease Cycles'!$FO$27:$FU$27,1,BU333)+(1-'Lease Cycles'!$BE$27)*(1-INDEX('Lease Cycles'!$FO$27:$FU$27,1,BU333)))),0)</f>
        <v>0</v>
      </c>
      <c r="BV341" s="24">
        <f>IF(BV335=1,'Lease Cycles'!$D$27*IF(INDEX('Lease Cycles'!$EF$27:$EL$27,1,BV333)=1,(1-'Lease Cycles'!$AJ$27)*INDEX('Lease Cycles'!$EM$27:$ES$27,1,BV333)+(1-'Lease Cycles'!$BE$27)*IF(BV334&lt;INDEX('Lease Cycles'!$FA$27:$FG$27,1,BV333),0,1-INDEX('Lease Cycles'!$EM$27:$ES$27,1,BV333)),IF(OR(INDEX('Lease Cycles'!$DY$27:$EE$27,1,BV333)=1,BV334&gt;0),1,1-INDEX('Lease Cycles'!$DD$27:$DJ$27,1,BV333))*((1-'Lease Cycles'!$AJ$27)*INDEX('Lease Cycles'!$FO$27:$FU$27,1,BV333)+(1-'Lease Cycles'!$BE$27)*(1-INDEX('Lease Cycles'!$FO$27:$FU$27,1,BV333)))),0)</f>
        <v>0</v>
      </c>
      <c r="BW341" s="24">
        <f>IF(BW335=1,'Lease Cycles'!$D$27*IF(INDEX('Lease Cycles'!$EF$27:$EL$27,1,BW333)=1,(1-'Lease Cycles'!$AJ$27)*INDEX('Lease Cycles'!$EM$27:$ES$27,1,BW333)+(1-'Lease Cycles'!$BE$27)*IF(BW334&lt;INDEX('Lease Cycles'!$FA$27:$FG$27,1,BW333),0,1-INDEX('Lease Cycles'!$EM$27:$ES$27,1,BW333)),IF(OR(INDEX('Lease Cycles'!$DY$27:$EE$27,1,BW333)=1,BW334&gt;0),1,1-INDEX('Lease Cycles'!$DD$27:$DJ$27,1,BW333))*((1-'Lease Cycles'!$AJ$27)*INDEX('Lease Cycles'!$FO$27:$FU$27,1,BW333)+(1-'Lease Cycles'!$BE$27)*(1-INDEX('Lease Cycles'!$FO$27:$FU$27,1,BW333)))),0)</f>
        <v>0</v>
      </c>
      <c r="BX341" s="24">
        <f>IF(BX335=1,'Lease Cycles'!$D$27*IF(INDEX('Lease Cycles'!$EF$27:$EL$27,1,BX333)=1,(1-'Lease Cycles'!$AJ$27)*INDEX('Lease Cycles'!$EM$27:$ES$27,1,BX333)+(1-'Lease Cycles'!$BE$27)*IF(BX334&lt;INDEX('Lease Cycles'!$FA$27:$FG$27,1,BX333),0,1-INDEX('Lease Cycles'!$EM$27:$ES$27,1,BX333)),IF(OR(INDEX('Lease Cycles'!$DY$27:$EE$27,1,BX333)=1,BX334&gt;0),1,1-INDEX('Lease Cycles'!$DD$27:$DJ$27,1,BX333))*((1-'Lease Cycles'!$AJ$27)*INDEX('Lease Cycles'!$FO$27:$FU$27,1,BX333)+(1-'Lease Cycles'!$BE$27)*(1-INDEX('Lease Cycles'!$FO$27:$FU$27,1,BX333)))),0)</f>
        <v>0</v>
      </c>
      <c r="BY341" s="24">
        <f>IF(BY335=1,'Lease Cycles'!$D$27*IF(INDEX('Lease Cycles'!$EF$27:$EL$27,1,BY333)=1,(1-'Lease Cycles'!$AJ$27)*INDEX('Lease Cycles'!$EM$27:$ES$27,1,BY333)+(1-'Lease Cycles'!$BE$27)*IF(BY334&lt;INDEX('Lease Cycles'!$FA$27:$FG$27,1,BY333),0,1-INDEX('Lease Cycles'!$EM$27:$ES$27,1,BY333)),IF(OR(INDEX('Lease Cycles'!$DY$27:$EE$27,1,BY333)=1,BY334&gt;0),1,1-INDEX('Lease Cycles'!$DD$27:$DJ$27,1,BY333))*((1-'Lease Cycles'!$AJ$27)*INDEX('Lease Cycles'!$FO$27:$FU$27,1,BY333)+(1-'Lease Cycles'!$BE$27)*(1-INDEX('Lease Cycles'!$FO$27:$FU$27,1,BY333)))),0)</f>
        <v>0</v>
      </c>
      <c r="BZ341" s="24">
        <f>IF(BZ335=1,'Lease Cycles'!$D$27*IF(INDEX('Lease Cycles'!$EF$27:$EL$27,1,BZ333)=1,(1-'Lease Cycles'!$AJ$27)*INDEX('Lease Cycles'!$EM$27:$ES$27,1,BZ333)+(1-'Lease Cycles'!$BE$27)*IF(BZ334&lt;INDEX('Lease Cycles'!$FA$27:$FG$27,1,BZ333),0,1-INDEX('Lease Cycles'!$EM$27:$ES$27,1,BZ333)),IF(OR(INDEX('Lease Cycles'!$DY$27:$EE$27,1,BZ333)=1,BZ334&gt;0),1,1-INDEX('Lease Cycles'!$DD$27:$DJ$27,1,BZ333))*((1-'Lease Cycles'!$AJ$27)*INDEX('Lease Cycles'!$FO$27:$FU$27,1,BZ333)+(1-'Lease Cycles'!$BE$27)*(1-INDEX('Lease Cycles'!$FO$27:$FU$27,1,BZ333)))),0)</f>
        <v>0</v>
      </c>
      <c r="CA341" s="24">
        <f>IF(CA335=1,'Lease Cycles'!$D$27*IF(INDEX('Lease Cycles'!$EF$27:$EL$27,1,CA333)=1,(1-'Lease Cycles'!$AJ$27)*INDEX('Lease Cycles'!$EM$27:$ES$27,1,CA333)+(1-'Lease Cycles'!$BE$27)*IF(CA334&lt;INDEX('Lease Cycles'!$FA$27:$FG$27,1,CA333),0,1-INDEX('Lease Cycles'!$EM$27:$ES$27,1,CA333)),IF(OR(INDEX('Lease Cycles'!$DY$27:$EE$27,1,CA333)=1,CA334&gt;0),1,1-INDEX('Lease Cycles'!$DD$27:$DJ$27,1,CA333))*((1-'Lease Cycles'!$AJ$27)*INDEX('Lease Cycles'!$FO$27:$FU$27,1,CA333)+(1-'Lease Cycles'!$BE$27)*(1-INDEX('Lease Cycles'!$FO$27:$FU$27,1,CA333)))),0)</f>
        <v>0</v>
      </c>
      <c r="CB341" s="24">
        <f>IF(CB335=1,'Lease Cycles'!$D$27*IF(INDEX('Lease Cycles'!$EF$27:$EL$27,1,CB333)=1,(1-'Lease Cycles'!$AJ$27)*INDEX('Lease Cycles'!$EM$27:$ES$27,1,CB333)+(1-'Lease Cycles'!$BE$27)*IF(CB334&lt;INDEX('Lease Cycles'!$FA$27:$FG$27,1,CB333),0,1-INDEX('Lease Cycles'!$EM$27:$ES$27,1,CB333)),IF(OR(INDEX('Lease Cycles'!$DY$27:$EE$27,1,CB333)=1,CB334&gt;0),1,1-INDEX('Lease Cycles'!$DD$27:$DJ$27,1,CB333))*((1-'Lease Cycles'!$AJ$27)*INDEX('Lease Cycles'!$FO$27:$FU$27,1,CB333)+(1-'Lease Cycles'!$BE$27)*(1-INDEX('Lease Cycles'!$FO$27:$FU$27,1,CB333)))),0)</f>
        <v>0</v>
      </c>
      <c r="CC341" s="24">
        <f>IF(CC335=1,'Lease Cycles'!$D$27*IF(INDEX('Lease Cycles'!$EF$27:$EL$27,1,CC333)=1,(1-'Lease Cycles'!$AJ$27)*INDEX('Lease Cycles'!$EM$27:$ES$27,1,CC333)+(1-'Lease Cycles'!$BE$27)*IF(CC334&lt;INDEX('Lease Cycles'!$FA$27:$FG$27,1,CC333),0,1-INDEX('Lease Cycles'!$EM$27:$ES$27,1,CC333)),IF(OR(INDEX('Lease Cycles'!$DY$27:$EE$27,1,CC333)=1,CC334&gt;0),1,1-INDEX('Lease Cycles'!$DD$27:$DJ$27,1,CC333))*((1-'Lease Cycles'!$AJ$27)*INDEX('Lease Cycles'!$FO$27:$FU$27,1,CC333)+(1-'Lease Cycles'!$BE$27)*(1-INDEX('Lease Cycles'!$FO$27:$FU$27,1,CC333)))),0)</f>
        <v>0</v>
      </c>
      <c r="CD341" s="24">
        <f>IF(CD335=1,'Lease Cycles'!$D$27*IF(INDEX('Lease Cycles'!$EF$27:$EL$27,1,CD333)=1,(1-'Lease Cycles'!$AJ$27)*INDEX('Lease Cycles'!$EM$27:$ES$27,1,CD333)+(1-'Lease Cycles'!$BE$27)*IF(CD334&lt;INDEX('Lease Cycles'!$FA$27:$FG$27,1,CD333),0,1-INDEX('Lease Cycles'!$EM$27:$ES$27,1,CD333)),IF(OR(INDEX('Lease Cycles'!$DY$27:$EE$27,1,CD333)=1,CD334&gt;0),1,1-INDEX('Lease Cycles'!$DD$27:$DJ$27,1,CD333))*((1-'Lease Cycles'!$AJ$27)*INDEX('Lease Cycles'!$FO$27:$FU$27,1,CD333)+(1-'Lease Cycles'!$BE$27)*(1-INDEX('Lease Cycles'!$FO$27:$FU$27,1,CD333)))),0)</f>
        <v>0</v>
      </c>
      <c r="CE341" s="24">
        <f>IF(CE335=1,'Lease Cycles'!$D$27*IF(INDEX('Lease Cycles'!$EF$27:$EL$27,1,CE333)=1,(1-'Lease Cycles'!$AJ$27)*INDEX('Lease Cycles'!$EM$27:$ES$27,1,CE333)+(1-'Lease Cycles'!$BE$27)*IF(CE334&lt;INDEX('Lease Cycles'!$FA$27:$FG$27,1,CE333),0,1-INDEX('Lease Cycles'!$EM$27:$ES$27,1,CE333)),IF(OR(INDEX('Lease Cycles'!$DY$27:$EE$27,1,CE333)=1,CE334&gt;0),1,1-INDEX('Lease Cycles'!$DD$27:$DJ$27,1,CE333))*((1-'Lease Cycles'!$AJ$27)*INDEX('Lease Cycles'!$FO$27:$FU$27,1,CE333)+(1-'Lease Cycles'!$BE$27)*(1-INDEX('Lease Cycles'!$FO$27:$FU$27,1,CE333)))),0)</f>
        <v>0</v>
      </c>
      <c r="CF341" s="24">
        <f>IF(CF335=1,'Lease Cycles'!$D$27*IF(INDEX('Lease Cycles'!$EF$27:$EL$27,1,CF333)=1,(1-'Lease Cycles'!$AJ$27)*INDEX('Lease Cycles'!$EM$27:$ES$27,1,CF333)+(1-'Lease Cycles'!$BE$27)*IF(CF334&lt;INDEX('Lease Cycles'!$FA$27:$FG$27,1,CF333),0,1-INDEX('Lease Cycles'!$EM$27:$ES$27,1,CF333)),IF(OR(INDEX('Lease Cycles'!$DY$27:$EE$27,1,CF333)=1,CF334&gt;0),1,1-INDEX('Lease Cycles'!$DD$27:$DJ$27,1,CF333))*((1-'Lease Cycles'!$AJ$27)*INDEX('Lease Cycles'!$FO$27:$FU$27,1,CF333)+(1-'Lease Cycles'!$BE$27)*(1-INDEX('Lease Cycles'!$FO$27:$FU$27,1,CF333)))),0)</f>
        <v>0</v>
      </c>
      <c r="CG341" s="24">
        <f>IF(CG335=1,'Lease Cycles'!$D$27*IF(INDEX('Lease Cycles'!$EF$27:$EL$27,1,CG333)=1,(1-'Lease Cycles'!$AJ$27)*INDEX('Lease Cycles'!$EM$27:$ES$27,1,CG333)+(1-'Lease Cycles'!$BE$27)*IF(CG334&lt;INDEX('Lease Cycles'!$FA$27:$FG$27,1,CG333),0,1-INDEX('Lease Cycles'!$EM$27:$ES$27,1,CG333)),IF(OR(INDEX('Lease Cycles'!$DY$27:$EE$27,1,CG333)=1,CG334&gt;0),1,1-INDEX('Lease Cycles'!$DD$27:$DJ$27,1,CG333))*((1-'Lease Cycles'!$AJ$27)*INDEX('Lease Cycles'!$FO$27:$FU$27,1,CG333)+(1-'Lease Cycles'!$BE$27)*(1-INDEX('Lease Cycles'!$FO$27:$FU$27,1,CG333)))),0)</f>
        <v>0</v>
      </c>
      <c r="CH341" s="24">
        <f>IF(CH335=1,'Lease Cycles'!$D$27*IF(INDEX('Lease Cycles'!$EF$27:$EL$27,1,CH333)=1,(1-'Lease Cycles'!$AJ$27)*INDEX('Lease Cycles'!$EM$27:$ES$27,1,CH333)+(1-'Lease Cycles'!$BE$27)*IF(CH334&lt;INDEX('Lease Cycles'!$FA$27:$FG$27,1,CH333),0,1-INDEX('Lease Cycles'!$EM$27:$ES$27,1,CH333)),IF(OR(INDEX('Lease Cycles'!$DY$27:$EE$27,1,CH333)=1,CH334&gt;0),1,1-INDEX('Lease Cycles'!$DD$27:$DJ$27,1,CH333))*((1-'Lease Cycles'!$AJ$27)*INDEX('Lease Cycles'!$FO$27:$FU$27,1,CH333)+(1-'Lease Cycles'!$BE$27)*(1-INDEX('Lease Cycles'!$FO$27:$FU$27,1,CH333)))),0)</f>
        <v>0</v>
      </c>
      <c r="CI341" s="24">
        <f>IF(CI335=1,'Lease Cycles'!$D$27*IF(INDEX('Lease Cycles'!$EF$27:$EL$27,1,CI333)=1,(1-'Lease Cycles'!$AJ$27)*INDEX('Lease Cycles'!$EM$27:$ES$27,1,CI333)+(1-'Lease Cycles'!$BE$27)*IF(CI334&lt;INDEX('Lease Cycles'!$FA$27:$FG$27,1,CI333),0,1-INDEX('Lease Cycles'!$EM$27:$ES$27,1,CI333)),IF(OR(INDEX('Lease Cycles'!$DY$27:$EE$27,1,CI333)=1,CI334&gt;0),1,1-INDEX('Lease Cycles'!$DD$27:$DJ$27,1,CI333))*((1-'Lease Cycles'!$AJ$27)*INDEX('Lease Cycles'!$FO$27:$FU$27,1,CI333)+(1-'Lease Cycles'!$BE$27)*(1-INDEX('Lease Cycles'!$FO$27:$FU$27,1,CI333)))),0)</f>
        <v>0</v>
      </c>
      <c r="CJ341" s="24">
        <f>IF(CJ335=1,'Lease Cycles'!$D$27*IF(INDEX('Lease Cycles'!$EF$27:$EL$27,1,CJ333)=1,(1-'Lease Cycles'!$AJ$27)*INDEX('Lease Cycles'!$EM$27:$ES$27,1,CJ333)+(1-'Lease Cycles'!$BE$27)*IF(CJ334&lt;INDEX('Lease Cycles'!$FA$27:$FG$27,1,CJ333),0,1-INDEX('Lease Cycles'!$EM$27:$ES$27,1,CJ333)),IF(OR(INDEX('Lease Cycles'!$DY$27:$EE$27,1,CJ333)=1,CJ334&gt;0),1,1-INDEX('Lease Cycles'!$DD$27:$DJ$27,1,CJ333))*((1-'Lease Cycles'!$AJ$27)*INDEX('Lease Cycles'!$FO$27:$FU$27,1,CJ333)+(1-'Lease Cycles'!$BE$27)*(1-INDEX('Lease Cycles'!$FO$27:$FU$27,1,CJ333)))),0)</f>
        <v>0</v>
      </c>
      <c r="CK341" s="24">
        <f>IF(CK335=1,'Lease Cycles'!$D$27*IF(INDEX('Lease Cycles'!$EF$27:$EL$27,1,CK333)=1,(1-'Lease Cycles'!$AJ$27)*INDEX('Lease Cycles'!$EM$27:$ES$27,1,CK333)+(1-'Lease Cycles'!$BE$27)*IF(CK334&lt;INDEX('Lease Cycles'!$FA$27:$FG$27,1,CK333),0,1-INDEX('Lease Cycles'!$EM$27:$ES$27,1,CK333)),IF(OR(INDEX('Lease Cycles'!$DY$27:$EE$27,1,CK333)=1,CK334&gt;0),1,1-INDEX('Lease Cycles'!$DD$27:$DJ$27,1,CK333))*((1-'Lease Cycles'!$AJ$27)*INDEX('Lease Cycles'!$FO$27:$FU$27,1,CK333)+(1-'Lease Cycles'!$BE$27)*(1-INDEX('Lease Cycles'!$FO$27:$FU$27,1,CK333)))),0)</f>
        <v>0</v>
      </c>
      <c r="CL341" s="24">
        <f>IF(CL335=1,'Lease Cycles'!$D$27*IF(INDEX('Lease Cycles'!$EF$27:$EL$27,1,CL333)=1,(1-'Lease Cycles'!$AJ$27)*INDEX('Lease Cycles'!$EM$27:$ES$27,1,CL333)+(1-'Lease Cycles'!$BE$27)*IF(CL334&lt;INDEX('Lease Cycles'!$FA$27:$FG$27,1,CL333),0,1-INDEX('Lease Cycles'!$EM$27:$ES$27,1,CL333)),IF(OR(INDEX('Lease Cycles'!$DY$27:$EE$27,1,CL333)=1,CL334&gt;0),1,1-INDEX('Lease Cycles'!$DD$27:$DJ$27,1,CL333))*((1-'Lease Cycles'!$AJ$27)*INDEX('Lease Cycles'!$FO$27:$FU$27,1,CL333)+(1-'Lease Cycles'!$BE$27)*(1-INDEX('Lease Cycles'!$FO$27:$FU$27,1,CL333)))),0)</f>
        <v>0</v>
      </c>
      <c r="CM341" s="24">
        <f>IF(CM335=1,'Lease Cycles'!$D$27*IF(INDEX('Lease Cycles'!$EF$27:$EL$27,1,CM333)=1,(1-'Lease Cycles'!$AJ$27)*INDEX('Lease Cycles'!$EM$27:$ES$27,1,CM333)+(1-'Lease Cycles'!$BE$27)*IF(CM334&lt;INDEX('Lease Cycles'!$FA$27:$FG$27,1,CM333),0,1-INDEX('Lease Cycles'!$EM$27:$ES$27,1,CM333)),IF(OR(INDEX('Lease Cycles'!$DY$27:$EE$27,1,CM333)=1,CM334&gt;0),1,1-INDEX('Lease Cycles'!$DD$27:$DJ$27,1,CM333))*((1-'Lease Cycles'!$AJ$27)*INDEX('Lease Cycles'!$FO$27:$FU$27,1,CM333)+(1-'Lease Cycles'!$BE$27)*(1-INDEX('Lease Cycles'!$FO$27:$FU$27,1,CM333)))),0)</f>
        <v>0</v>
      </c>
      <c r="CN341" s="24">
        <f>IF(CN335=1,'Lease Cycles'!$D$27*IF(INDEX('Lease Cycles'!$EF$27:$EL$27,1,CN333)=1,(1-'Lease Cycles'!$AJ$27)*INDEX('Lease Cycles'!$EM$27:$ES$27,1,CN333)+(1-'Lease Cycles'!$BE$27)*IF(CN334&lt;INDEX('Lease Cycles'!$FA$27:$FG$27,1,CN333),0,1-INDEX('Lease Cycles'!$EM$27:$ES$27,1,CN333)),IF(OR(INDEX('Lease Cycles'!$DY$27:$EE$27,1,CN333)=1,CN334&gt;0),1,1-INDEX('Lease Cycles'!$DD$27:$DJ$27,1,CN333))*((1-'Lease Cycles'!$AJ$27)*INDEX('Lease Cycles'!$FO$27:$FU$27,1,CN333)+(1-'Lease Cycles'!$BE$27)*(1-INDEX('Lease Cycles'!$FO$27:$FU$27,1,CN333)))),0)</f>
        <v>0</v>
      </c>
      <c r="CO341" s="24">
        <f>IF(CO335=1,'Lease Cycles'!$D$27*IF(INDEX('Lease Cycles'!$EF$27:$EL$27,1,CO333)=1,(1-'Lease Cycles'!$AJ$27)*INDEX('Lease Cycles'!$EM$27:$ES$27,1,CO333)+(1-'Lease Cycles'!$BE$27)*IF(CO334&lt;INDEX('Lease Cycles'!$FA$27:$FG$27,1,CO333),0,1-INDEX('Lease Cycles'!$EM$27:$ES$27,1,CO333)),IF(OR(INDEX('Lease Cycles'!$DY$27:$EE$27,1,CO333)=1,CO334&gt;0),1,1-INDEX('Lease Cycles'!$DD$27:$DJ$27,1,CO333))*((1-'Lease Cycles'!$AJ$27)*INDEX('Lease Cycles'!$FO$27:$FU$27,1,CO333)+(1-'Lease Cycles'!$BE$27)*(1-INDEX('Lease Cycles'!$FO$27:$FU$27,1,CO333)))),0)</f>
        <v>0</v>
      </c>
      <c r="CP341" s="24">
        <f>IF(CP335=1,'Lease Cycles'!$D$27*IF(INDEX('Lease Cycles'!$EF$27:$EL$27,1,CP333)=1,(1-'Lease Cycles'!$AJ$27)*INDEX('Lease Cycles'!$EM$27:$ES$27,1,CP333)+(1-'Lease Cycles'!$BE$27)*IF(CP334&lt;INDEX('Lease Cycles'!$FA$27:$FG$27,1,CP333),0,1-INDEX('Lease Cycles'!$EM$27:$ES$27,1,CP333)),IF(OR(INDEX('Lease Cycles'!$DY$27:$EE$27,1,CP333)=1,CP334&gt;0),1,1-INDEX('Lease Cycles'!$DD$27:$DJ$27,1,CP333))*((1-'Lease Cycles'!$AJ$27)*INDEX('Lease Cycles'!$FO$27:$FU$27,1,CP333)+(1-'Lease Cycles'!$BE$27)*(1-INDEX('Lease Cycles'!$FO$27:$FU$27,1,CP333)))),0)</f>
        <v>0</v>
      </c>
      <c r="CQ341" s="24">
        <f>IF(CQ335=1,'Lease Cycles'!$D$27*IF(INDEX('Lease Cycles'!$EF$27:$EL$27,1,CQ333)=1,(1-'Lease Cycles'!$AJ$27)*INDEX('Lease Cycles'!$EM$27:$ES$27,1,CQ333)+(1-'Lease Cycles'!$BE$27)*IF(CQ334&lt;INDEX('Lease Cycles'!$FA$27:$FG$27,1,CQ333),0,1-INDEX('Lease Cycles'!$EM$27:$ES$27,1,CQ333)),IF(OR(INDEX('Lease Cycles'!$DY$27:$EE$27,1,CQ333)=1,CQ334&gt;0),1,1-INDEX('Lease Cycles'!$DD$27:$DJ$27,1,CQ333))*((1-'Lease Cycles'!$AJ$27)*INDEX('Lease Cycles'!$FO$27:$FU$27,1,CQ333)+(1-'Lease Cycles'!$BE$27)*(1-INDEX('Lease Cycles'!$FO$27:$FU$27,1,CQ333)))),0)</f>
        <v>0</v>
      </c>
      <c r="CR341" s="24">
        <f>IF(CR335=1,'Lease Cycles'!$D$27*IF(INDEX('Lease Cycles'!$EF$27:$EL$27,1,CR333)=1,(1-'Lease Cycles'!$AJ$27)*INDEX('Lease Cycles'!$EM$27:$ES$27,1,CR333)+(1-'Lease Cycles'!$BE$27)*IF(CR334&lt;INDEX('Lease Cycles'!$FA$27:$FG$27,1,CR333),0,1-INDEX('Lease Cycles'!$EM$27:$ES$27,1,CR333)),IF(OR(INDEX('Lease Cycles'!$DY$27:$EE$27,1,CR333)=1,CR334&gt;0),1,1-INDEX('Lease Cycles'!$DD$27:$DJ$27,1,CR333))*((1-'Lease Cycles'!$AJ$27)*INDEX('Lease Cycles'!$FO$27:$FU$27,1,CR333)+(1-'Lease Cycles'!$BE$27)*(1-INDEX('Lease Cycles'!$FO$27:$FU$27,1,CR333)))),0)</f>
        <v>0</v>
      </c>
      <c r="CS341" s="24">
        <f>IF(CS335=1,'Lease Cycles'!$D$27*IF(INDEX('Lease Cycles'!$EF$27:$EL$27,1,CS333)=1,(1-'Lease Cycles'!$AJ$27)*INDEX('Lease Cycles'!$EM$27:$ES$27,1,CS333)+(1-'Lease Cycles'!$BE$27)*IF(CS334&lt;INDEX('Lease Cycles'!$FA$27:$FG$27,1,CS333),0,1-INDEX('Lease Cycles'!$EM$27:$ES$27,1,CS333)),IF(OR(INDEX('Lease Cycles'!$DY$27:$EE$27,1,CS333)=1,CS334&gt;0),1,1-INDEX('Lease Cycles'!$DD$27:$DJ$27,1,CS333))*((1-'Lease Cycles'!$AJ$27)*INDEX('Lease Cycles'!$FO$27:$FU$27,1,CS333)+(1-'Lease Cycles'!$BE$27)*(1-INDEX('Lease Cycles'!$FO$27:$FU$27,1,CS333)))),0)</f>
        <v>0</v>
      </c>
      <c r="CT341" s="24">
        <f>IF(CT335=1,'Lease Cycles'!$D$27*IF(INDEX('Lease Cycles'!$EF$27:$EL$27,1,CT333)=1,(1-'Lease Cycles'!$AJ$27)*INDEX('Lease Cycles'!$EM$27:$ES$27,1,CT333)+(1-'Lease Cycles'!$BE$27)*IF(CT334&lt;INDEX('Lease Cycles'!$FA$27:$FG$27,1,CT333),0,1-INDEX('Lease Cycles'!$EM$27:$ES$27,1,CT333)),IF(OR(INDEX('Lease Cycles'!$DY$27:$EE$27,1,CT333)=1,CT334&gt;0),1,1-INDEX('Lease Cycles'!$DD$27:$DJ$27,1,CT333))*((1-'Lease Cycles'!$AJ$27)*INDEX('Lease Cycles'!$FO$27:$FU$27,1,CT333)+(1-'Lease Cycles'!$BE$27)*(1-INDEX('Lease Cycles'!$FO$27:$FU$27,1,CT333)))),0)</f>
        <v>0</v>
      </c>
      <c r="CU341" s="24">
        <f>IF(CU335=1,'Lease Cycles'!$D$27*IF(INDEX('Lease Cycles'!$EF$27:$EL$27,1,CU333)=1,(1-'Lease Cycles'!$AJ$27)*INDEX('Lease Cycles'!$EM$27:$ES$27,1,CU333)+(1-'Lease Cycles'!$BE$27)*IF(CU334&lt;INDEX('Lease Cycles'!$FA$27:$FG$27,1,CU333),0,1-INDEX('Lease Cycles'!$EM$27:$ES$27,1,CU333)),IF(OR(INDEX('Lease Cycles'!$DY$27:$EE$27,1,CU333)=1,CU334&gt;0),1,1-INDEX('Lease Cycles'!$DD$27:$DJ$27,1,CU333))*((1-'Lease Cycles'!$AJ$27)*INDEX('Lease Cycles'!$FO$27:$FU$27,1,CU333)+(1-'Lease Cycles'!$BE$27)*(1-INDEX('Lease Cycles'!$FO$27:$FU$27,1,CU333)))),0)</f>
        <v>0</v>
      </c>
      <c r="CV341" s="24">
        <f>IF(CV335=1,'Lease Cycles'!$D$27*IF(INDEX('Lease Cycles'!$EF$27:$EL$27,1,CV333)=1,(1-'Lease Cycles'!$AJ$27)*INDEX('Lease Cycles'!$EM$27:$ES$27,1,CV333)+(1-'Lease Cycles'!$BE$27)*IF(CV334&lt;INDEX('Lease Cycles'!$FA$27:$FG$27,1,CV333),0,1-INDEX('Lease Cycles'!$EM$27:$ES$27,1,CV333)),IF(OR(INDEX('Lease Cycles'!$DY$27:$EE$27,1,CV333)=1,CV334&gt;0),1,1-INDEX('Lease Cycles'!$DD$27:$DJ$27,1,CV333))*((1-'Lease Cycles'!$AJ$27)*INDEX('Lease Cycles'!$FO$27:$FU$27,1,CV333)+(1-'Lease Cycles'!$BE$27)*(1-INDEX('Lease Cycles'!$FO$27:$FU$27,1,CV333)))),0)</f>
        <v>0</v>
      </c>
      <c r="CW341" s="24">
        <f>IF(CW335=1,'Lease Cycles'!$D$27*IF(INDEX('Lease Cycles'!$EF$27:$EL$27,1,CW333)=1,(1-'Lease Cycles'!$AJ$27)*INDEX('Lease Cycles'!$EM$27:$ES$27,1,CW333)+(1-'Lease Cycles'!$BE$27)*IF(CW334&lt;INDEX('Lease Cycles'!$FA$27:$FG$27,1,CW333),0,1-INDEX('Lease Cycles'!$EM$27:$ES$27,1,CW333)),IF(OR(INDEX('Lease Cycles'!$DY$27:$EE$27,1,CW333)=1,CW334&gt;0),1,1-INDEX('Lease Cycles'!$DD$27:$DJ$27,1,CW333))*((1-'Lease Cycles'!$AJ$27)*INDEX('Lease Cycles'!$FO$27:$FU$27,1,CW333)+(1-'Lease Cycles'!$BE$27)*(1-INDEX('Lease Cycles'!$FO$27:$FU$27,1,CW333)))),0)</f>
        <v>0</v>
      </c>
      <c r="CX341" s="24">
        <f>IF(CX335=1,'Lease Cycles'!$D$27*IF(INDEX('Lease Cycles'!$EF$27:$EL$27,1,CX333)=1,(1-'Lease Cycles'!$AJ$27)*INDEX('Lease Cycles'!$EM$27:$ES$27,1,CX333)+(1-'Lease Cycles'!$BE$27)*IF(CX334&lt;INDEX('Lease Cycles'!$FA$27:$FG$27,1,CX333),0,1-INDEX('Lease Cycles'!$EM$27:$ES$27,1,CX333)),IF(OR(INDEX('Lease Cycles'!$DY$27:$EE$27,1,CX333)=1,CX334&gt;0),1,1-INDEX('Lease Cycles'!$DD$27:$DJ$27,1,CX333))*((1-'Lease Cycles'!$AJ$27)*INDEX('Lease Cycles'!$FO$27:$FU$27,1,CX333)+(1-'Lease Cycles'!$BE$27)*(1-INDEX('Lease Cycles'!$FO$27:$FU$27,1,CX333)))),0)</f>
        <v>0</v>
      </c>
      <c r="CY341" s="24">
        <f>IF(CY335=1,'Lease Cycles'!$D$27*IF(INDEX('Lease Cycles'!$EF$27:$EL$27,1,CY333)=1,(1-'Lease Cycles'!$AJ$27)*INDEX('Lease Cycles'!$EM$27:$ES$27,1,CY333)+(1-'Lease Cycles'!$BE$27)*IF(CY334&lt;INDEX('Lease Cycles'!$FA$27:$FG$27,1,CY333),0,1-INDEX('Lease Cycles'!$EM$27:$ES$27,1,CY333)),IF(OR(INDEX('Lease Cycles'!$DY$27:$EE$27,1,CY333)=1,CY334&gt;0),1,1-INDEX('Lease Cycles'!$DD$27:$DJ$27,1,CY333))*((1-'Lease Cycles'!$AJ$27)*INDEX('Lease Cycles'!$FO$27:$FU$27,1,CY333)+(1-'Lease Cycles'!$BE$27)*(1-INDEX('Lease Cycles'!$FO$27:$FU$27,1,CY333)))),0)</f>
        <v>0</v>
      </c>
      <c r="CZ341" s="24">
        <f>IF(CZ335=1,'Lease Cycles'!$D$27*IF(INDEX('Lease Cycles'!$EF$27:$EL$27,1,CZ333)=1,(1-'Lease Cycles'!$AJ$27)*INDEX('Lease Cycles'!$EM$27:$ES$27,1,CZ333)+(1-'Lease Cycles'!$BE$27)*IF(CZ334&lt;INDEX('Lease Cycles'!$FA$27:$FG$27,1,CZ333),0,1-INDEX('Lease Cycles'!$EM$27:$ES$27,1,CZ333)),IF(OR(INDEX('Lease Cycles'!$DY$27:$EE$27,1,CZ333)=1,CZ334&gt;0),1,1-INDEX('Lease Cycles'!$DD$27:$DJ$27,1,CZ333))*((1-'Lease Cycles'!$AJ$27)*INDEX('Lease Cycles'!$FO$27:$FU$27,1,CZ333)+(1-'Lease Cycles'!$BE$27)*(1-INDEX('Lease Cycles'!$FO$27:$FU$27,1,CZ333)))),0)</f>
        <v>0</v>
      </c>
      <c r="DA341" s="24">
        <f>IF(DA335=1,'Lease Cycles'!$D$27*IF(INDEX('Lease Cycles'!$EF$27:$EL$27,1,DA333)=1,(1-'Lease Cycles'!$AJ$27)*INDEX('Lease Cycles'!$EM$27:$ES$27,1,DA333)+(1-'Lease Cycles'!$BE$27)*IF(DA334&lt;INDEX('Lease Cycles'!$FA$27:$FG$27,1,DA333),0,1-INDEX('Lease Cycles'!$EM$27:$ES$27,1,DA333)),IF(OR(INDEX('Lease Cycles'!$DY$27:$EE$27,1,DA333)=1,DA334&gt;0),1,1-INDEX('Lease Cycles'!$DD$27:$DJ$27,1,DA333))*((1-'Lease Cycles'!$AJ$27)*INDEX('Lease Cycles'!$FO$27:$FU$27,1,DA333)+(1-'Lease Cycles'!$BE$27)*(1-INDEX('Lease Cycles'!$FO$27:$FU$27,1,DA333)))),0)</f>
        <v>0</v>
      </c>
      <c r="DB341" s="24">
        <f>IF(DB335=1,'Lease Cycles'!$D$27*IF(INDEX('Lease Cycles'!$EF$27:$EL$27,1,DB333)=1,(1-'Lease Cycles'!$AJ$27)*INDEX('Lease Cycles'!$EM$27:$ES$27,1,DB333)+(1-'Lease Cycles'!$BE$27)*IF(DB334&lt;INDEX('Lease Cycles'!$FA$27:$FG$27,1,DB333),0,1-INDEX('Lease Cycles'!$EM$27:$ES$27,1,DB333)),IF(OR(INDEX('Lease Cycles'!$DY$27:$EE$27,1,DB333)=1,DB334&gt;0),1,1-INDEX('Lease Cycles'!$DD$27:$DJ$27,1,DB333))*((1-'Lease Cycles'!$AJ$27)*INDEX('Lease Cycles'!$FO$27:$FU$27,1,DB333)+(1-'Lease Cycles'!$BE$27)*(1-INDEX('Lease Cycles'!$FO$27:$FU$27,1,DB333)))),0)</f>
        <v>0</v>
      </c>
      <c r="DC341" s="24">
        <f>IF(DC335=1,'Lease Cycles'!$D$27*IF(INDEX('Lease Cycles'!$EF$27:$EL$27,1,DC333)=1,(1-'Lease Cycles'!$AJ$27)*INDEX('Lease Cycles'!$EM$27:$ES$27,1,DC333)+(1-'Lease Cycles'!$BE$27)*IF(DC334&lt;INDEX('Lease Cycles'!$FA$27:$FG$27,1,DC333),0,1-INDEX('Lease Cycles'!$EM$27:$ES$27,1,DC333)),IF(OR(INDEX('Lease Cycles'!$DY$27:$EE$27,1,DC333)=1,DC334&gt;0),1,1-INDEX('Lease Cycles'!$DD$27:$DJ$27,1,DC333))*((1-'Lease Cycles'!$AJ$27)*INDEX('Lease Cycles'!$FO$27:$FU$27,1,DC333)+(1-'Lease Cycles'!$BE$27)*(1-INDEX('Lease Cycles'!$FO$27:$FU$27,1,DC333)))),0)</f>
        <v>0</v>
      </c>
      <c r="DD341" s="24">
        <f>IF(DD335=1,'Lease Cycles'!$D$27*IF(INDEX('Lease Cycles'!$EF$27:$EL$27,1,DD333)=1,(1-'Lease Cycles'!$AJ$27)*INDEX('Lease Cycles'!$EM$27:$ES$27,1,DD333)+(1-'Lease Cycles'!$BE$27)*IF(DD334&lt;INDEX('Lease Cycles'!$FA$27:$FG$27,1,DD333),0,1-INDEX('Lease Cycles'!$EM$27:$ES$27,1,DD333)),IF(OR(INDEX('Lease Cycles'!$DY$27:$EE$27,1,DD333)=1,DD334&gt;0),1,1-INDEX('Lease Cycles'!$DD$27:$DJ$27,1,DD333))*((1-'Lease Cycles'!$AJ$27)*INDEX('Lease Cycles'!$FO$27:$FU$27,1,DD333)+(1-'Lease Cycles'!$BE$27)*(1-INDEX('Lease Cycles'!$FO$27:$FU$27,1,DD333)))),0)</f>
        <v>0</v>
      </c>
      <c r="DE341" s="24">
        <f>IF(DE335=1,'Lease Cycles'!$D$27*IF(INDEX('Lease Cycles'!$EF$27:$EL$27,1,DE333)=1,(1-'Lease Cycles'!$AJ$27)*INDEX('Lease Cycles'!$EM$27:$ES$27,1,DE333)+(1-'Lease Cycles'!$BE$27)*IF(DE334&lt;INDEX('Lease Cycles'!$FA$27:$FG$27,1,DE333),0,1-INDEX('Lease Cycles'!$EM$27:$ES$27,1,DE333)),IF(OR(INDEX('Lease Cycles'!$DY$27:$EE$27,1,DE333)=1,DE334&gt;0),1,1-INDEX('Lease Cycles'!$DD$27:$DJ$27,1,DE333))*((1-'Lease Cycles'!$AJ$27)*INDEX('Lease Cycles'!$FO$27:$FU$27,1,DE333)+(1-'Lease Cycles'!$BE$27)*(1-INDEX('Lease Cycles'!$FO$27:$FU$27,1,DE333)))),0)</f>
        <v>0</v>
      </c>
      <c r="DF341" s="24">
        <f>IF(DF335=1,'Lease Cycles'!$D$27*IF(INDEX('Lease Cycles'!$EF$27:$EL$27,1,DF333)=1,(1-'Lease Cycles'!$AJ$27)*INDEX('Lease Cycles'!$EM$27:$ES$27,1,DF333)+(1-'Lease Cycles'!$BE$27)*IF(DF334&lt;INDEX('Lease Cycles'!$FA$27:$FG$27,1,DF333),0,1-INDEX('Lease Cycles'!$EM$27:$ES$27,1,DF333)),IF(OR(INDEX('Lease Cycles'!$DY$27:$EE$27,1,DF333)=1,DF334&gt;0),1,1-INDEX('Lease Cycles'!$DD$27:$DJ$27,1,DF333))*((1-'Lease Cycles'!$AJ$27)*INDEX('Lease Cycles'!$FO$27:$FU$27,1,DF333)+(1-'Lease Cycles'!$BE$27)*(1-INDEX('Lease Cycles'!$FO$27:$FU$27,1,DF333)))),0)</f>
        <v>0</v>
      </c>
      <c r="DG341" s="24">
        <f>IF(DG335=1,'Lease Cycles'!$D$27*IF(INDEX('Lease Cycles'!$EF$27:$EL$27,1,DG333)=1,(1-'Lease Cycles'!$AJ$27)*INDEX('Lease Cycles'!$EM$27:$ES$27,1,DG333)+(1-'Lease Cycles'!$BE$27)*IF(DG334&lt;INDEX('Lease Cycles'!$FA$27:$FG$27,1,DG333),0,1-INDEX('Lease Cycles'!$EM$27:$ES$27,1,DG333)),IF(OR(INDEX('Lease Cycles'!$DY$27:$EE$27,1,DG333)=1,DG334&gt;0),1,1-INDEX('Lease Cycles'!$DD$27:$DJ$27,1,DG333))*((1-'Lease Cycles'!$AJ$27)*INDEX('Lease Cycles'!$FO$27:$FU$27,1,DG333)+(1-'Lease Cycles'!$BE$27)*(1-INDEX('Lease Cycles'!$FO$27:$FU$27,1,DG333)))),0)</f>
        <v>0</v>
      </c>
      <c r="DH341" s="24">
        <f>IF(DH335=1,'Lease Cycles'!$D$27*IF(INDEX('Lease Cycles'!$EF$27:$EL$27,1,DH333)=1,(1-'Lease Cycles'!$AJ$27)*INDEX('Lease Cycles'!$EM$27:$ES$27,1,DH333)+(1-'Lease Cycles'!$BE$27)*IF(DH334&lt;INDEX('Lease Cycles'!$FA$27:$FG$27,1,DH333),0,1-INDEX('Lease Cycles'!$EM$27:$ES$27,1,DH333)),IF(OR(INDEX('Lease Cycles'!$DY$27:$EE$27,1,DH333)=1,DH334&gt;0),1,1-INDEX('Lease Cycles'!$DD$27:$DJ$27,1,DH333))*((1-'Lease Cycles'!$AJ$27)*INDEX('Lease Cycles'!$FO$27:$FU$27,1,DH333)+(1-'Lease Cycles'!$BE$27)*(1-INDEX('Lease Cycles'!$FO$27:$FU$27,1,DH333)))),0)</f>
        <v>0</v>
      </c>
      <c r="DI341" s="24">
        <f>IF(DI335=1,'Lease Cycles'!$D$27*IF(INDEX('Lease Cycles'!$EF$27:$EL$27,1,DI333)=1,(1-'Lease Cycles'!$AJ$27)*INDEX('Lease Cycles'!$EM$27:$ES$27,1,DI333)+(1-'Lease Cycles'!$BE$27)*IF(DI334&lt;INDEX('Lease Cycles'!$FA$27:$FG$27,1,DI333),0,1-INDEX('Lease Cycles'!$EM$27:$ES$27,1,DI333)),IF(OR(INDEX('Lease Cycles'!$DY$27:$EE$27,1,DI333)=1,DI334&gt;0),1,1-INDEX('Lease Cycles'!$DD$27:$DJ$27,1,DI333))*((1-'Lease Cycles'!$AJ$27)*INDEX('Lease Cycles'!$FO$27:$FU$27,1,DI333)+(1-'Lease Cycles'!$BE$27)*(1-INDEX('Lease Cycles'!$FO$27:$FU$27,1,DI333)))),0)</f>
        <v>0</v>
      </c>
      <c r="DJ341" s="24">
        <f>IF(DJ335=1,'Lease Cycles'!$D$27*IF(INDEX('Lease Cycles'!$EF$27:$EL$27,1,DJ333)=1,(1-'Lease Cycles'!$AJ$27)*INDEX('Lease Cycles'!$EM$27:$ES$27,1,DJ333)+(1-'Lease Cycles'!$BE$27)*IF(DJ334&lt;INDEX('Lease Cycles'!$FA$27:$FG$27,1,DJ333),0,1-INDEX('Lease Cycles'!$EM$27:$ES$27,1,DJ333)),IF(OR(INDEX('Lease Cycles'!$DY$27:$EE$27,1,DJ333)=1,DJ334&gt;0),1,1-INDEX('Lease Cycles'!$DD$27:$DJ$27,1,DJ333))*((1-'Lease Cycles'!$AJ$27)*INDEX('Lease Cycles'!$FO$27:$FU$27,1,DJ333)+(1-'Lease Cycles'!$BE$27)*(1-INDEX('Lease Cycles'!$FO$27:$FU$27,1,DJ333)))),0)</f>
        <v>0</v>
      </c>
      <c r="DK341" s="24">
        <f>IF(DK335=1,'Lease Cycles'!$D$27*IF(INDEX('Lease Cycles'!$EF$27:$EL$27,1,DK333)=1,(1-'Lease Cycles'!$AJ$27)*INDEX('Lease Cycles'!$EM$27:$ES$27,1,DK333)+(1-'Lease Cycles'!$BE$27)*IF(DK334&lt;INDEX('Lease Cycles'!$FA$27:$FG$27,1,DK333),0,1-INDEX('Lease Cycles'!$EM$27:$ES$27,1,DK333)),IF(OR(INDEX('Lease Cycles'!$DY$27:$EE$27,1,DK333)=1,DK334&gt;0),1,1-INDEX('Lease Cycles'!$DD$27:$DJ$27,1,DK333))*((1-'Lease Cycles'!$AJ$27)*INDEX('Lease Cycles'!$FO$27:$FU$27,1,DK333)+(1-'Lease Cycles'!$BE$27)*(1-INDEX('Lease Cycles'!$FO$27:$FU$27,1,DK333)))),0)</f>
        <v>0</v>
      </c>
      <c r="DL341" s="24">
        <f>IF(DL335=1,'Lease Cycles'!$D$27*IF(INDEX('Lease Cycles'!$EF$27:$EL$27,1,DL333)=1,(1-'Lease Cycles'!$AJ$27)*INDEX('Lease Cycles'!$EM$27:$ES$27,1,DL333)+(1-'Lease Cycles'!$BE$27)*IF(DL334&lt;INDEX('Lease Cycles'!$FA$27:$FG$27,1,DL333),0,1-INDEX('Lease Cycles'!$EM$27:$ES$27,1,DL333)),IF(OR(INDEX('Lease Cycles'!$DY$27:$EE$27,1,DL333)=1,DL334&gt;0),1,1-INDEX('Lease Cycles'!$DD$27:$DJ$27,1,DL333))*((1-'Lease Cycles'!$AJ$27)*INDEX('Lease Cycles'!$FO$27:$FU$27,1,DL333)+(1-'Lease Cycles'!$BE$27)*(1-INDEX('Lease Cycles'!$FO$27:$FU$27,1,DL333)))),0)</f>
        <v>0</v>
      </c>
      <c r="DM341" s="24">
        <f>IF(DM335=1,'Lease Cycles'!$D$27*IF(INDEX('Lease Cycles'!$EF$27:$EL$27,1,DM333)=1,(1-'Lease Cycles'!$AJ$27)*INDEX('Lease Cycles'!$EM$27:$ES$27,1,DM333)+(1-'Lease Cycles'!$BE$27)*IF(DM334&lt;INDEX('Lease Cycles'!$FA$27:$FG$27,1,DM333),0,1-INDEX('Lease Cycles'!$EM$27:$ES$27,1,DM333)),IF(OR(INDEX('Lease Cycles'!$DY$27:$EE$27,1,DM333)=1,DM334&gt;0),1,1-INDEX('Lease Cycles'!$DD$27:$DJ$27,1,DM333))*((1-'Lease Cycles'!$AJ$27)*INDEX('Lease Cycles'!$FO$27:$FU$27,1,DM333)+(1-'Lease Cycles'!$BE$27)*(1-INDEX('Lease Cycles'!$FO$27:$FU$27,1,DM333)))),0)</f>
        <v>0</v>
      </c>
      <c r="DN341" s="24">
        <f>IF(DN335=1,'Lease Cycles'!$D$27*IF(INDEX('Lease Cycles'!$EF$27:$EL$27,1,DN333)=1,(1-'Lease Cycles'!$AJ$27)*INDEX('Lease Cycles'!$EM$27:$ES$27,1,DN333)+(1-'Lease Cycles'!$BE$27)*IF(DN334&lt;INDEX('Lease Cycles'!$FA$27:$FG$27,1,DN333),0,1-INDEX('Lease Cycles'!$EM$27:$ES$27,1,DN333)),IF(OR(INDEX('Lease Cycles'!$DY$27:$EE$27,1,DN333)=1,DN334&gt;0),1,1-INDEX('Lease Cycles'!$DD$27:$DJ$27,1,DN333))*((1-'Lease Cycles'!$AJ$27)*INDEX('Lease Cycles'!$FO$27:$FU$27,1,DN333)+(1-'Lease Cycles'!$BE$27)*(1-INDEX('Lease Cycles'!$FO$27:$FU$27,1,DN333)))),0)</f>
        <v>0</v>
      </c>
      <c r="DO341" s="24">
        <f>IF(DO335=1,'Lease Cycles'!$D$27*IF(INDEX('Lease Cycles'!$EF$27:$EL$27,1,DO333)=1,(1-'Lease Cycles'!$AJ$27)*INDEX('Lease Cycles'!$EM$27:$ES$27,1,DO333)+(1-'Lease Cycles'!$BE$27)*IF(DO334&lt;INDEX('Lease Cycles'!$FA$27:$FG$27,1,DO333),0,1-INDEX('Lease Cycles'!$EM$27:$ES$27,1,DO333)),IF(OR(INDEX('Lease Cycles'!$DY$27:$EE$27,1,DO333)=1,DO334&gt;0),1,1-INDEX('Lease Cycles'!$DD$27:$DJ$27,1,DO333))*((1-'Lease Cycles'!$AJ$27)*INDEX('Lease Cycles'!$FO$27:$FU$27,1,DO333)+(1-'Lease Cycles'!$BE$27)*(1-INDEX('Lease Cycles'!$FO$27:$FU$27,1,DO333)))),0)</f>
        <v>0</v>
      </c>
      <c r="DP341" s="24">
        <f>IF(DP335=1,'Lease Cycles'!$D$27*IF(INDEX('Lease Cycles'!$EF$27:$EL$27,1,DP333)=1,(1-'Lease Cycles'!$AJ$27)*INDEX('Lease Cycles'!$EM$27:$ES$27,1,DP333)+(1-'Lease Cycles'!$BE$27)*IF(DP334&lt;INDEX('Lease Cycles'!$FA$27:$FG$27,1,DP333),0,1-INDEX('Lease Cycles'!$EM$27:$ES$27,1,DP333)),IF(OR(INDEX('Lease Cycles'!$DY$27:$EE$27,1,DP333)=1,DP334&gt;0),1,1-INDEX('Lease Cycles'!$DD$27:$DJ$27,1,DP333))*((1-'Lease Cycles'!$AJ$27)*INDEX('Lease Cycles'!$FO$27:$FU$27,1,DP333)+(1-'Lease Cycles'!$BE$27)*(1-INDEX('Lease Cycles'!$FO$27:$FU$27,1,DP333)))),0)</f>
        <v>0</v>
      </c>
      <c r="DQ341" s="24">
        <f>IF(DQ335=1,'Lease Cycles'!$D$27*IF(INDEX('Lease Cycles'!$EF$27:$EL$27,1,DQ333)=1,(1-'Lease Cycles'!$AJ$27)*INDEX('Lease Cycles'!$EM$27:$ES$27,1,DQ333)+(1-'Lease Cycles'!$BE$27)*IF(DQ334&lt;INDEX('Lease Cycles'!$FA$27:$FG$27,1,DQ333),0,1-INDEX('Lease Cycles'!$EM$27:$ES$27,1,DQ333)),IF(OR(INDEX('Lease Cycles'!$DY$27:$EE$27,1,DQ333)=1,DQ334&gt;0),1,1-INDEX('Lease Cycles'!$DD$27:$DJ$27,1,DQ333))*((1-'Lease Cycles'!$AJ$27)*INDEX('Lease Cycles'!$FO$27:$FU$27,1,DQ333)+(1-'Lease Cycles'!$BE$27)*(1-INDEX('Lease Cycles'!$FO$27:$FU$27,1,DQ333)))),0)</f>
        <v>0</v>
      </c>
      <c r="DR341" s="24">
        <f>IF(DR335=1,'Lease Cycles'!$D$27*IF(INDEX('Lease Cycles'!$EF$27:$EL$27,1,DR333)=1,(1-'Lease Cycles'!$AJ$27)*INDEX('Lease Cycles'!$EM$27:$ES$27,1,DR333)+(1-'Lease Cycles'!$BE$27)*IF(DR334&lt;INDEX('Lease Cycles'!$FA$27:$FG$27,1,DR333),0,1-INDEX('Lease Cycles'!$EM$27:$ES$27,1,DR333)),IF(OR(INDEX('Lease Cycles'!$DY$27:$EE$27,1,DR333)=1,DR334&gt;0),1,1-INDEX('Lease Cycles'!$DD$27:$DJ$27,1,DR333))*((1-'Lease Cycles'!$AJ$27)*INDEX('Lease Cycles'!$FO$27:$FU$27,1,DR333)+(1-'Lease Cycles'!$BE$27)*(1-INDEX('Lease Cycles'!$FO$27:$FU$27,1,DR333)))),0)</f>
        <v>0</v>
      </c>
      <c r="DS341" s="24">
        <f>IF(DS335=1,'Lease Cycles'!$D$27*IF(INDEX('Lease Cycles'!$EF$27:$EL$27,1,DS333)=1,(1-'Lease Cycles'!$AJ$27)*INDEX('Lease Cycles'!$EM$27:$ES$27,1,DS333)+(1-'Lease Cycles'!$BE$27)*IF(DS334&lt;INDEX('Lease Cycles'!$FA$27:$FG$27,1,DS333),0,1-INDEX('Lease Cycles'!$EM$27:$ES$27,1,DS333)),IF(OR(INDEX('Lease Cycles'!$DY$27:$EE$27,1,DS333)=1,DS334&gt;0),1,1-INDEX('Lease Cycles'!$DD$27:$DJ$27,1,DS333))*((1-'Lease Cycles'!$AJ$27)*INDEX('Lease Cycles'!$FO$27:$FU$27,1,DS333)+(1-'Lease Cycles'!$BE$27)*(1-INDEX('Lease Cycles'!$FO$27:$FU$27,1,DS333)))),0)</f>
        <v>0</v>
      </c>
      <c r="DT341" s="24">
        <f>IF(DT335=1,'Lease Cycles'!$D$27*IF(INDEX('Lease Cycles'!$EF$27:$EL$27,1,DT333)=1,(1-'Lease Cycles'!$AJ$27)*INDEX('Lease Cycles'!$EM$27:$ES$27,1,DT333)+(1-'Lease Cycles'!$BE$27)*IF(DT334&lt;INDEX('Lease Cycles'!$FA$27:$FG$27,1,DT333),0,1-INDEX('Lease Cycles'!$EM$27:$ES$27,1,DT333)),IF(OR(INDEX('Lease Cycles'!$DY$27:$EE$27,1,DT333)=1,DT334&gt;0),1,1-INDEX('Lease Cycles'!$DD$27:$DJ$27,1,DT333))*((1-'Lease Cycles'!$AJ$27)*INDEX('Lease Cycles'!$FO$27:$FU$27,1,DT333)+(1-'Lease Cycles'!$BE$27)*(1-INDEX('Lease Cycles'!$FO$27:$FU$27,1,DT333)))),0)</f>
        <v>0</v>
      </c>
      <c r="DU341" s="24">
        <f>IF(DU335=1,'Lease Cycles'!$D$27*IF(INDEX('Lease Cycles'!$EF$27:$EL$27,1,DU333)=1,(1-'Lease Cycles'!$AJ$27)*INDEX('Lease Cycles'!$EM$27:$ES$27,1,DU333)+(1-'Lease Cycles'!$BE$27)*IF(DU334&lt;INDEX('Lease Cycles'!$FA$27:$FG$27,1,DU333),0,1-INDEX('Lease Cycles'!$EM$27:$ES$27,1,DU333)),IF(OR(INDEX('Lease Cycles'!$DY$27:$EE$27,1,DU333)=1,DU334&gt;0),1,1-INDEX('Lease Cycles'!$DD$27:$DJ$27,1,DU333))*((1-'Lease Cycles'!$AJ$27)*INDEX('Lease Cycles'!$FO$27:$FU$27,1,DU333)+(1-'Lease Cycles'!$BE$27)*(1-INDEX('Lease Cycles'!$FO$27:$FU$27,1,DU333)))),0)</f>
        <v>0</v>
      </c>
      <c r="DV341" s="24">
        <f>IF(DV335=1,'Lease Cycles'!$D$27*IF(INDEX('Lease Cycles'!$EF$27:$EL$27,1,DV333)=1,(1-'Lease Cycles'!$AJ$27)*INDEX('Lease Cycles'!$EM$27:$ES$27,1,DV333)+(1-'Lease Cycles'!$BE$27)*IF(DV334&lt;INDEX('Lease Cycles'!$FA$27:$FG$27,1,DV333),0,1-INDEX('Lease Cycles'!$EM$27:$ES$27,1,DV333)),IF(OR(INDEX('Lease Cycles'!$DY$27:$EE$27,1,DV333)=1,DV334&gt;0),1,1-INDEX('Lease Cycles'!$DD$27:$DJ$27,1,DV333))*((1-'Lease Cycles'!$AJ$27)*INDEX('Lease Cycles'!$FO$27:$FU$27,1,DV333)+(1-'Lease Cycles'!$BE$27)*(1-INDEX('Lease Cycles'!$FO$27:$FU$27,1,DV333)))),0)</f>
        <v>0</v>
      </c>
      <c r="DW341" s="24">
        <f>IF(DW335=1,'Lease Cycles'!$D$27*IF(INDEX('Lease Cycles'!$EF$27:$EL$27,1,DW333)=1,(1-'Lease Cycles'!$AJ$27)*INDEX('Lease Cycles'!$EM$27:$ES$27,1,DW333)+(1-'Lease Cycles'!$BE$27)*IF(DW334&lt;INDEX('Lease Cycles'!$FA$27:$FG$27,1,DW333),0,1-INDEX('Lease Cycles'!$EM$27:$ES$27,1,DW333)),IF(OR(INDEX('Lease Cycles'!$DY$27:$EE$27,1,DW333)=1,DW334&gt;0),1,1-INDEX('Lease Cycles'!$DD$27:$DJ$27,1,DW333))*((1-'Lease Cycles'!$AJ$27)*INDEX('Lease Cycles'!$FO$27:$FU$27,1,DW333)+(1-'Lease Cycles'!$BE$27)*(1-INDEX('Lease Cycles'!$FO$27:$FU$27,1,DW333)))),0)</f>
        <v>0</v>
      </c>
      <c r="DX341" s="24">
        <f>IF(DX335=1,'Lease Cycles'!$D$27*IF(INDEX('Lease Cycles'!$EF$27:$EL$27,1,DX333)=1,(1-'Lease Cycles'!$AJ$27)*INDEX('Lease Cycles'!$EM$27:$ES$27,1,DX333)+(1-'Lease Cycles'!$BE$27)*IF(DX334&lt;INDEX('Lease Cycles'!$FA$27:$FG$27,1,DX333),0,1-INDEX('Lease Cycles'!$EM$27:$ES$27,1,DX333)),IF(OR(INDEX('Lease Cycles'!$DY$27:$EE$27,1,DX333)=1,DX334&gt;0),1,1-INDEX('Lease Cycles'!$DD$27:$DJ$27,1,DX333))*((1-'Lease Cycles'!$AJ$27)*INDEX('Lease Cycles'!$FO$27:$FU$27,1,DX333)+(1-'Lease Cycles'!$BE$27)*(1-INDEX('Lease Cycles'!$FO$27:$FU$27,1,DX333)))),0)</f>
        <v>0</v>
      </c>
      <c r="DY341" s="24">
        <f>IF(DY335=1,'Lease Cycles'!$D$27*IF(INDEX('Lease Cycles'!$EF$27:$EL$27,1,DY333)=1,(1-'Lease Cycles'!$AJ$27)*INDEX('Lease Cycles'!$EM$27:$ES$27,1,DY333)+(1-'Lease Cycles'!$BE$27)*IF(DY334&lt;INDEX('Lease Cycles'!$FA$27:$FG$27,1,DY333),0,1-INDEX('Lease Cycles'!$EM$27:$ES$27,1,DY333)),IF(OR(INDEX('Lease Cycles'!$DY$27:$EE$27,1,DY333)=1,DY334&gt;0),1,1-INDEX('Lease Cycles'!$DD$27:$DJ$27,1,DY333))*((1-'Lease Cycles'!$AJ$27)*INDEX('Lease Cycles'!$FO$27:$FU$27,1,DY333)+(1-'Lease Cycles'!$BE$27)*(1-INDEX('Lease Cycles'!$FO$27:$FU$27,1,DY333)))),0)</f>
        <v>0</v>
      </c>
      <c r="DZ341" s="24">
        <f>IF(DZ335=1,'Lease Cycles'!$D$27*IF(INDEX('Lease Cycles'!$EF$27:$EL$27,1,DZ333)=1,(1-'Lease Cycles'!$AJ$27)*INDEX('Lease Cycles'!$EM$27:$ES$27,1,DZ333)+(1-'Lease Cycles'!$BE$27)*IF(DZ334&lt;INDEX('Lease Cycles'!$FA$27:$FG$27,1,DZ333),0,1-INDEX('Lease Cycles'!$EM$27:$ES$27,1,DZ333)),IF(OR(INDEX('Lease Cycles'!$DY$27:$EE$27,1,DZ333)=1,DZ334&gt;0),1,1-INDEX('Lease Cycles'!$DD$27:$DJ$27,1,DZ333))*((1-'Lease Cycles'!$AJ$27)*INDEX('Lease Cycles'!$FO$27:$FU$27,1,DZ333)+(1-'Lease Cycles'!$BE$27)*(1-INDEX('Lease Cycles'!$FO$27:$FU$27,1,DZ333)))),0)</f>
        <v>0</v>
      </c>
      <c r="EA341" s="24">
        <f>IF(EA335=1,'Lease Cycles'!$D$27*IF(INDEX('Lease Cycles'!$EF$27:$EL$27,1,EA333)=1,(1-'Lease Cycles'!$AJ$27)*INDEX('Lease Cycles'!$EM$27:$ES$27,1,EA333)+(1-'Lease Cycles'!$BE$27)*IF(EA334&lt;INDEX('Lease Cycles'!$FA$27:$FG$27,1,EA333),0,1-INDEX('Lease Cycles'!$EM$27:$ES$27,1,EA333)),IF(OR(INDEX('Lease Cycles'!$DY$27:$EE$27,1,EA333)=1,EA334&gt;0),1,1-INDEX('Lease Cycles'!$DD$27:$DJ$27,1,EA333))*((1-'Lease Cycles'!$AJ$27)*INDEX('Lease Cycles'!$FO$27:$FU$27,1,EA333)+(1-'Lease Cycles'!$BE$27)*(1-INDEX('Lease Cycles'!$FO$27:$FU$27,1,EA333)))),0)</f>
        <v>0</v>
      </c>
      <c r="EB341" s="24">
        <f>IF(EB335=1,'Lease Cycles'!$D$27*IF(INDEX('Lease Cycles'!$EF$27:$EL$27,1,EB333)=1,(1-'Lease Cycles'!$AJ$27)*INDEX('Lease Cycles'!$EM$27:$ES$27,1,EB333)+(1-'Lease Cycles'!$BE$27)*IF(EB334&lt;INDEX('Lease Cycles'!$FA$27:$FG$27,1,EB333),0,1-INDEX('Lease Cycles'!$EM$27:$ES$27,1,EB333)),IF(OR(INDEX('Lease Cycles'!$DY$27:$EE$27,1,EB333)=1,EB334&gt;0),1,1-INDEX('Lease Cycles'!$DD$27:$DJ$27,1,EB333))*((1-'Lease Cycles'!$AJ$27)*INDEX('Lease Cycles'!$FO$27:$FU$27,1,EB333)+(1-'Lease Cycles'!$BE$27)*(1-INDEX('Lease Cycles'!$FO$27:$FU$27,1,EB333)))),0)</f>
        <v>0</v>
      </c>
      <c r="EC341" s="24">
        <f>IF(EC335=1,'Lease Cycles'!$D$27*IF(INDEX('Lease Cycles'!$EF$27:$EL$27,1,EC333)=1,(1-'Lease Cycles'!$AJ$27)*INDEX('Lease Cycles'!$EM$27:$ES$27,1,EC333)+(1-'Lease Cycles'!$BE$27)*IF(EC334&lt;INDEX('Lease Cycles'!$FA$27:$FG$27,1,EC333),0,1-INDEX('Lease Cycles'!$EM$27:$ES$27,1,EC333)),IF(OR(INDEX('Lease Cycles'!$DY$27:$EE$27,1,EC333)=1,EC334&gt;0),1,1-INDEX('Lease Cycles'!$DD$27:$DJ$27,1,EC333))*((1-'Lease Cycles'!$AJ$27)*INDEX('Lease Cycles'!$FO$27:$FU$27,1,EC333)+(1-'Lease Cycles'!$BE$27)*(1-INDEX('Lease Cycles'!$FO$27:$FU$27,1,EC333)))),0)</f>
        <v>0</v>
      </c>
      <c r="ED341" s="24">
        <f>IF(ED335=1,'Lease Cycles'!$D$27*IF(INDEX('Lease Cycles'!$EF$27:$EL$27,1,ED333)=1,(1-'Lease Cycles'!$AJ$27)*INDEX('Lease Cycles'!$EM$27:$ES$27,1,ED333)+(1-'Lease Cycles'!$BE$27)*IF(ED334&lt;INDEX('Lease Cycles'!$FA$27:$FG$27,1,ED333),0,1-INDEX('Lease Cycles'!$EM$27:$ES$27,1,ED333)),IF(OR(INDEX('Lease Cycles'!$DY$27:$EE$27,1,ED333)=1,ED334&gt;0),1,1-INDEX('Lease Cycles'!$DD$27:$DJ$27,1,ED333))*((1-'Lease Cycles'!$AJ$27)*INDEX('Lease Cycles'!$FO$27:$FU$27,1,ED333)+(1-'Lease Cycles'!$BE$27)*(1-INDEX('Lease Cycles'!$FO$27:$FU$27,1,ED333)))),0)</f>
        <v>0</v>
      </c>
      <c r="EE341" s="24">
        <f>IF(EE335=1,'Lease Cycles'!$D$27*IF(INDEX('Lease Cycles'!$EF$27:$EL$27,1,EE333)=1,(1-'Lease Cycles'!$AJ$27)*INDEX('Lease Cycles'!$EM$27:$ES$27,1,EE333)+(1-'Lease Cycles'!$BE$27)*IF(EE334&lt;INDEX('Lease Cycles'!$FA$27:$FG$27,1,EE333),0,1-INDEX('Lease Cycles'!$EM$27:$ES$27,1,EE333)),IF(OR(INDEX('Lease Cycles'!$DY$27:$EE$27,1,EE333)=1,EE334&gt;0),1,1-INDEX('Lease Cycles'!$DD$27:$DJ$27,1,EE333))*((1-'Lease Cycles'!$AJ$27)*INDEX('Lease Cycles'!$FO$27:$FU$27,1,EE333)+(1-'Lease Cycles'!$BE$27)*(1-INDEX('Lease Cycles'!$FO$27:$FU$27,1,EE333)))),0)</f>
        <v>0</v>
      </c>
      <c r="EF341" s="24">
        <f>IF(EF335=1,'Lease Cycles'!$D$27*IF(INDEX('Lease Cycles'!$EF$27:$EL$27,1,EF333)=1,(1-'Lease Cycles'!$AJ$27)*INDEX('Lease Cycles'!$EM$27:$ES$27,1,EF333)+(1-'Lease Cycles'!$BE$27)*IF(EF334&lt;INDEX('Lease Cycles'!$FA$27:$FG$27,1,EF333),0,1-INDEX('Lease Cycles'!$EM$27:$ES$27,1,EF333)),IF(OR(INDEX('Lease Cycles'!$DY$27:$EE$27,1,EF333)=1,EF334&gt;0),1,1-INDEX('Lease Cycles'!$DD$27:$DJ$27,1,EF333))*((1-'Lease Cycles'!$AJ$27)*INDEX('Lease Cycles'!$FO$27:$FU$27,1,EF333)+(1-'Lease Cycles'!$BE$27)*(1-INDEX('Lease Cycles'!$FO$27:$FU$27,1,EF333)))),0)</f>
        <v>0</v>
      </c>
      <c r="EG341" s="24">
        <f>IF(EG335=1,'Lease Cycles'!$D$27*IF(INDEX('Lease Cycles'!$EF$27:$EL$27,1,EG333)=1,(1-'Lease Cycles'!$AJ$27)*INDEX('Lease Cycles'!$EM$27:$ES$27,1,EG333)+(1-'Lease Cycles'!$BE$27)*IF(EG334&lt;INDEX('Lease Cycles'!$FA$27:$FG$27,1,EG333),0,1-INDEX('Lease Cycles'!$EM$27:$ES$27,1,EG333)),IF(OR(INDEX('Lease Cycles'!$DY$27:$EE$27,1,EG333)=1,EG334&gt;0),1,1-INDEX('Lease Cycles'!$DD$27:$DJ$27,1,EG333))*((1-'Lease Cycles'!$AJ$27)*INDEX('Lease Cycles'!$FO$27:$FU$27,1,EG333)+(1-'Lease Cycles'!$BE$27)*(1-INDEX('Lease Cycles'!$FO$27:$FU$27,1,EG333)))),0)</f>
        <v>0</v>
      </c>
      <c r="EH341" s="24">
        <f>IF(EH335=1,'Lease Cycles'!$D$27*IF(INDEX('Lease Cycles'!$EF$27:$EL$27,1,EH333)=1,(1-'Lease Cycles'!$AJ$27)*INDEX('Lease Cycles'!$EM$27:$ES$27,1,EH333)+(1-'Lease Cycles'!$BE$27)*IF(EH334&lt;INDEX('Lease Cycles'!$FA$27:$FG$27,1,EH333),0,1-INDEX('Lease Cycles'!$EM$27:$ES$27,1,EH333)),IF(OR(INDEX('Lease Cycles'!$DY$27:$EE$27,1,EH333)=1,EH334&gt;0),1,1-INDEX('Lease Cycles'!$DD$27:$DJ$27,1,EH333))*((1-'Lease Cycles'!$AJ$27)*INDEX('Lease Cycles'!$FO$27:$FU$27,1,EH333)+(1-'Lease Cycles'!$BE$27)*(1-INDEX('Lease Cycles'!$FO$27:$FU$27,1,EH333)))),0)</f>
        <v>0</v>
      </c>
      <c r="EI341" s="24">
        <f>IF(EI335=1,'Lease Cycles'!$D$27*IF(INDEX('Lease Cycles'!$EF$27:$EL$27,1,EI333)=1,(1-'Lease Cycles'!$AJ$27)*INDEX('Lease Cycles'!$EM$27:$ES$27,1,EI333)+(1-'Lease Cycles'!$BE$27)*IF(EI334&lt;INDEX('Lease Cycles'!$FA$27:$FG$27,1,EI333),0,1-INDEX('Lease Cycles'!$EM$27:$ES$27,1,EI333)),IF(OR(INDEX('Lease Cycles'!$DY$27:$EE$27,1,EI333)=1,EI334&gt;0),1,1-INDEX('Lease Cycles'!$DD$27:$DJ$27,1,EI333))*((1-'Lease Cycles'!$AJ$27)*INDEX('Lease Cycles'!$FO$27:$FU$27,1,EI333)+(1-'Lease Cycles'!$BE$27)*(1-INDEX('Lease Cycles'!$FO$27:$FU$27,1,EI333)))),0)</f>
        <v>0</v>
      </c>
      <c r="EJ341" s="24">
        <f>IF(EJ335=1,'Lease Cycles'!$D$27*IF(INDEX('Lease Cycles'!$EF$27:$EL$27,1,EJ333)=1,(1-'Lease Cycles'!$AJ$27)*INDEX('Lease Cycles'!$EM$27:$ES$27,1,EJ333)+(1-'Lease Cycles'!$BE$27)*IF(EJ334&lt;INDEX('Lease Cycles'!$FA$27:$FG$27,1,EJ333),0,1-INDEX('Lease Cycles'!$EM$27:$ES$27,1,EJ333)),IF(OR(INDEX('Lease Cycles'!$DY$27:$EE$27,1,EJ333)=1,EJ334&gt;0),1,1-INDEX('Lease Cycles'!$DD$27:$DJ$27,1,EJ333))*((1-'Lease Cycles'!$AJ$27)*INDEX('Lease Cycles'!$FO$27:$FU$27,1,EJ333)+(1-'Lease Cycles'!$BE$27)*(1-INDEX('Lease Cycles'!$FO$27:$FU$27,1,EJ333)))),0)</f>
        <v>0</v>
      </c>
      <c r="EK341" s="24">
        <f>IF(EK335=1,'Lease Cycles'!$D$27*IF(INDEX('Lease Cycles'!$EF$27:$EL$27,1,EK333)=1,(1-'Lease Cycles'!$AJ$27)*INDEX('Lease Cycles'!$EM$27:$ES$27,1,EK333)+(1-'Lease Cycles'!$BE$27)*IF(EK334&lt;INDEX('Lease Cycles'!$FA$27:$FG$27,1,EK333),0,1-INDEX('Lease Cycles'!$EM$27:$ES$27,1,EK333)),IF(OR(INDEX('Lease Cycles'!$DY$27:$EE$27,1,EK333)=1,EK334&gt;0),1,1-INDEX('Lease Cycles'!$DD$27:$DJ$27,1,EK333))*((1-'Lease Cycles'!$AJ$27)*INDEX('Lease Cycles'!$FO$27:$FU$27,1,EK333)+(1-'Lease Cycles'!$BE$27)*(1-INDEX('Lease Cycles'!$FO$27:$FU$27,1,EK333)))),0)</f>
        <v>0</v>
      </c>
      <c r="EL341" s="24">
        <f>IF(EL335=1,'Lease Cycles'!$D$27*IF(INDEX('Lease Cycles'!$EF$27:$EL$27,1,EL333)=1,(1-'Lease Cycles'!$AJ$27)*INDEX('Lease Cycles'!$EM$27:$ES$27,1,EL333)+(1-'Lease Cycles'!$BE$27)*IF(EL334&lt;INDEX('Lease Cycles'!$FA$27:$FG$27,1,EL333),0,1-INDEX('Lease Cycles'!$EM$27:$ES$27,1,EL333)),IF(OR(INDEX('Lease Cycles'!$DY$27:$EE$27,1,EL333)=1,EL334&gt;0),1,1-INDEX('Lease Cycles'!$DD$27:$DJ$27,1,EL333))*((1-'Lease Cycles'!$AJ$27)*INDEX('Lease Cycles'!$FO$27:$FU$27,1,EL333)+(1-'Lease Cycles'!$BE$27)*(1-INDEX('Lease Cycles'!$FO$27:$FU$27,1,EL333)))),0)</f>
        <v>0</v>
      </c>
      <c r="EM341" s="24">
        <f>IF(EM335=1,'Lease Cycles'!$D$27*IF(INDEX('Lease Cycles'!$EF$27:$EL$27,1,EM333)=1,(1-'Lease Cycles'!$AJ$27)*INDEX('Lease Cycles'!$EM$27:$ES$27,1,EM333)+(1-'Lease Cycles'!$BE$27)*IF(EM334&lt;INDEX('Lease Cycles'!$FA$27:$FG$27,1,EM333),0,1-INDEX('Lease Cycles'!$EM$27:$ES$27,1,EM333)),IF(OR(INDEX('Lease Cycles'!$DY$27:$EE$27,1,EM333)=1,EM334&gt;0),1,1-INDEX('Lease Cycles'!$DD$27:$DJ$27,1,EM333))*((1-'Lease Cycles'!$AJ$27)*INDEX('Lease Cycles'!$FO$27:$FU$27,1,EM333)+(1-'Lease Cycles'!$BE$27)*(1-INDEX('Lease Cycles'!$FO$27:$FU$27,1,EM333)))),0)</f>
        <v>0</v>
      </c>
      <c r="EN341" s="24">
        <f>IF(EN335=1,'Lease Cycles'!$D$27*IF(INDEX('Lease Cycles'!$EF$27:$EL$27,1,EN333)=1,(1-'Lease Cycles'!$AJ$27)*INDEX('Lease Cycles'!$EM$27:$ES$27,1,EN333)+(1-'Lease Cycles'!$BE$27)*IF(EN334&lt;INDEX('Lease Cycles'!$FA$27:$FG$27,1,EN333),0,1-INDEX('Lease Cycles'!$EM$27:$ES$27,1,EN333)),IF(OR(INDEX('Lease Cycles'!$DY$27:$EE$27,1,EN333)=1,EN334&gt;0),1,1-INDEX('Lease Cycles'!$DD$27:$DJ$27,1,EN333))*((1-'Lease Cycles'!$AJ$27)*INDEX('Lease Cycles'!$FO$27:$FU$27,1,EN333)+(1-'Lease Cycles'!$BE$27)*(1-INDEX('Lease Cycles'!$FO$27:$FU$27,1,EN333)))),0)</f>
        <v>0</v>
      </c>
      <c r="EO341" s="24">
        <f>IF(EO335=1,'Lease Cycles'!$D$27*IF(INDEX('Lease Cycles'!$EF$27:$EL$27,1,EO333)=1,(1-'Lease Cycles'!$AJ$27)*INDEX('Lease Cycles'!$EM$27:$ES$27,1,EO333)+(1-'Lease Cycles'!$BE$27)*IF(EO334&lt;INDEX('Lease Cycles'!$FA$27:$FG$27,1,EO333),0,1-INDEX('Lease Cycles'!$EM$27:$ES$27,1,EO333)),IF(OR(INDEX('Lease Cycles'!$DY$27:$EE$27,1,EO333)=1,EO334&gt;0),1,1-INDEX('Lease Cycles'!$DD$27:$DJ$27,1,EO333))*((1-'Lease Cycles'!$AJ$27)*INDEX('Lease Cycles'!$FO$27:$FU$27,1,EO333)+(1-'Lease Cycles'!$BE$27)*(1-INDEX('Lease Cycles'!$FO$27:$FU$27,1,EO333)))),0)</f>
        <v>0</v>
      </c>
      <c r="EP341" s="24">
        <f>IF(EP335=1,'Lease Cycles'!$D$27*IF(INDEX('Lease Cycles'!$EF$27:$EL$27,1,EP333)=1,(1-'Lease Cycles'!$AJ$27)*INDEX('Lease Cycles'!$EM$27:$ES$27,1,EP333)+(1-'Lease Cycles'!$BE$27)*IF(EP334&lt;INDEX('Lease Cycles'!$FA$27:$FG$27,1,EP333),0,1-INDEX('Lease Cycles'!$EM$27:$ES$27,1,EP333)),IF(OR(INDEX('Lease Cycles'!$DY$27:$EE$27,1,EP333)=1,EP334&gt;0),1,1-INDEX('Lease Cycles'!$DD$27:$DJ$27,1,EP333))*((1-'Lease Cycles'!$AJ$27)*INDEX('Lease Cycles'!$FO$27:$FU$27,1,EP333)+(1-'Lease Cycles'!$BE$27)*(1-INDEX('Lease Cycles'!$FO$27:$FU$27,1,EP333)))),0)</f>
        <v>0</v>
      </c>
      <c r="EQ341" s="24">
        <f>IF(EQ335=1,'Lease Cycles'!$D$27*IF(INDEX('Lease Cycles'!$EF$27:$EL$27,1,EQ333)=1,(1-'Lease Cycles'!$AJ$27)*INDEX('Lease Cycles'!$EM$27:$ES$27,1,EQ333)+(1-'Lease Cycles'!$BE$27)*IF(EQ334&lt;INDEX('Lease Cycles'!$FA$27:$FG$27,1,EQ333),0,1-INDEX('Lease Cycles'!$EM$27:$ES$27,1,EQ333)),IF(OR(INDEX('Lease Cycles'!$DY$27:$EE$27,1,EQ333)=1,EQ334&gt;0),1,1-INDEX('Lease Cycles'!$DD$27:$DJ$27,1,EQ333))*((1-'Lease Cycles'!$AJ$27)*INDEX('Lease Cycles'!$FO$27:$FU$27,1,EQ333)+(1-'Lease Cycles'!$BE$27)*(1-INDEX('Lease Cycles'!$FO$27:$FU$27,1,EQ333)))),0)</f>
        <v>0</v>
      </c>
      <c r="ER341" s="24">
        <f>IF(ER335=1,'Lease Cycles'!$D$27*IF(INDEX('Lease Cycles'!$EF$27:$EL$27,1,ER333)=1,(1-'Lease Cycles'!$AJ$27)*INDEX('Lease Cycles'!$EM$27:$ES$27,1,ER333)+(1-'Lease Cycles'!$BE$27)*IF(ER334&lt;INDEX('Lease Cycles'!$FA$27:$FG$27,1,ER333),0,1-INDEX('Lease Cycles'!$EM$27:$ES$27,1,ER333)),IF(OR(INDEX('Lease Cycles'!$DY$27:$EE$27,1,ER333)=1,ER334&gt;0),1,1-INDEX('Lease Cycles'!$DD$27:$DJ$27,1,ER333))*((1-'Lease Cycles'!$AJ$27)*INDEX('Lease Cycles'!$FO$27:$FU$27,1,ER333)+(1-'Lease Cycles'!$BE$27)*(1-INDEX('Lease Cycles'!$FO$27:$FU$27,1,ER333)))),0)</f>
        <v>0</v>
      </c>
      <c r="ES341" s="24">
        <f>IF(ES335=1,'Lease Cycles'!$D$27*IF(INDEX('Lease Cycles'!$EF$27:$EL$27,1,ES333)=1,(1-'Lease Cycles'!$AJ$27)*INDEX('Lease Cycles'!$EM$27:$ES$27,1,ES333)+(1-'Lease Cycles'!$BE$27)*IF(ES334&lt;INDEX('Lease Cycles'!$FA$27:$FG$27,1,ES333),0,1-INDEX('Lease Cycles'!$EM$27:$ES$27,1,ES333)),IF(OR(INDEX('Lease Cycles'!$DY$27:$EE$27,1,ES333)=1,ES334&gt;0),1,1-INDEX('Lease Cycles'!$DD$27:$DJ$27,1,ES333))*((1-'Lease Cycles'!$AJ$27)*INDEX('Lease Cycles'!$FO$27:$FU$27,1,ES333)+(1-'Lease Cycles'!$BE$27)*(1-INDEX('Lease Cycles'!$FO$27:$FU$27,1,ES333)))),0)</f>
        <v>0</v>
      </c>
      <c r="ET341" s="24">
        <f>IF(ET335=1,'Lease Cycles'!$D$27*IF(INDEX('Lease Cycles'!$EF$27:$EL$27,1,ET333)=1,(1-'Lease Cycles'!$AJ$27)*INDEX('Lease Cycles'!$EM$27:$ES$27,1,ET333)+(1-'Lease Cycles'!$BE$27)*IF(ET334&lt;INDEX('Lease Cycles'!$FA$27:$FG$27,1,ET333),0,1-INDEX('Lease Cycles'!$EM$27:$ES$27,1,ET333)),IF(OR(INDEX('Lease Cycles'!$DY$27:$EE$27,1,ET333)=1,ET334&gt;0),1,1-INDEX('Lease Cycles'!$DD$27:$DJ$27,1,ET333))*((1-'Lease Cycles'!$AJ$27)*INDEX('Lease Cycles'!$FO$27:$FU$27,1,ET333)+(1-'Lease Cycles'!$BE$27)*(1-INDEX('Lease Cycles'!$FO$27:$FU$27,1,ET333)))),0)</f>
        <v>0</v>
      </c>
    </row>
    <row r="342">
      <c r="A342" s="103">
        <v>20</v>
      </c>
      <c r="B342" s="23" t="str">
        <f>IF('Lease Cycles'!$B$27="","(empty slot)",'Lease Cycles'!$B$27)</f>
        <v>(empty slot)</v>
      </c>
      <c r="C342" s="23" t="s">
        <v>685</v>
      </c>
      <c r="D342" s="104" t="s">
        <v>686</v>
      </c>
      <c r="E342" s="25">
        <f>'Lease Cycles'!$AL$27</f>
        <v>0</v>
      </c>
      <c r="G342" s="24">
        <f>SUM(S342:AD342)</f>
        <v>0</v>
      </c>
      <c r="H342" s="24">
        <f>SUM(AE342:AP342)</f>
        <v>0</v>
      </c>
      <c r="I342" s="24">
        <f>SUM(AQ342:BB342)</f>
        <v>0</v>
      </c>
      <c r="J342" s="24">
        <f>SUM(BC342:BN342)</f>
        <v>0</v>
      </c>
      <c r="K342" s="24">
        <f>SUM(BO342:BZ342)</f>
        <v>0</v>
      </c>
      <c r="L342" s="24">
        <f>SUM(CA342:CL342)</f>
        <v>0</v>
      </c>
      <c r="M342" s="24">
        <f>SUM(CM342:CX342)</f>
        <v>0</v>
      </c>
      <c r="N342" s="24">
        <f>SUM(CY342:DJ342)</f>
        <v>0</v>
      </c>
      <c r="O342" s="24">
        <f>SUM(DK342:DV342)</f>
        <v>0</v>
      </c>
      <c r="P342" s="24">
        <f>SUM(DW342:EH342)</f>
        <v>0</v>
      </c>
      <c r="Q342" s="24">
        <f>SUM(EI342:ET342)</f>
        <v>0</v>
      </c>
      <c r="S342" s="24">
        <f>IF(S335=1,IF('Lease Cycles'!$AJ$27=1,0,'Lease Cycles'!$D$27*INDEX('Lease Cycles'!$FH$27:$FN$27,1,S333)*IF(INDEX('Lease Cycles'!$EF$27:$EL$27,1,S333)=1,1,IF(OR(INDEX('Lease Cycles'!$DY$27:$EE$27,1,S333)=1,S334&gt;0),1,1-INDEX('Lease Cycles'!$DD$27:$DJ$27,1,S333)))),0)</f>
        <v>0</v>
      </c>
      <c r="T342" s="24">
        <f>IF(T335=1,IF('Lease Cycles'!$AJ$27=1,0,'Lease Cycles'!$D$27*INDEX('Lease Cycles'!$FH$27:$FN$27,1,T333)*IF(INDEX('Lease Cycles'!$EF$27:$EL$27,1,T333)=1,1,IF(OR(INDEX('Lease Cycles'!$DY$27:$EE$27,1,T333)=1,T334&gt;0),1,1-INDEX('Lease Cycles'!$DD$27:$DJ$27,1,T333)))),0)</f>
        <v>0</v>
      </c>
      <c r="U342" s="24">
        <f>IF(U335=1,IF('Lease Cycles'!$AJ$27=1,0,'Lease Cycles'!$D$27*INDEX('Lease Cycles'!$FH$27:$FN$27,1,U333)*IF(INDEX('Lease Cycles'!$EF$27:$EL$27,1,U333)=1,1,IF(OR(INDEX('Lease Cycles'!$DY$27:$EE$27,1,U333)=1,U334&gt;0),1,1-INDEX('Lease Cycles'!$DD$27:$DJ$27,1,U333)))),0)</f>
        <v>0</v>
      </c>
      <c r="V342" s="24">
        <f>IF(V335=1,IF('Lease Cycles'!$AJ$27=1,0,'Lease Cycles'!$D$27*INDEX('Lease Cycles'!$FH$27:$FN$27,1,V333)*IF(INDEX('Lease Cycles'!$EF$27:$EL$27,1,V333)=1,1,IF(OR(INDEX('Lease Cycles'!$DY$27:$EE$27,1,V333)=1,V334&gt;0),1,1-INDEX('Lease Cycles'!$DD$27:$DJ$27,1,V333)))),0)</f>
        <v>0</v>
      </c>
      <c r="W342" s="24">
        <f>IF(W335=1,IF('Lease Cycles'!$AJ$27=1,0,'Lease Cycles'!$D$27*INDEX('Lease Cycles'!$FH$27:$FN$27,1,W333)*IF(INDEX('Lease Cycles'!$EF$27:$EL$27,1,W333)=1,1,IF(OR(INDEX('Lease Cycles'!$DY$27:$EE$27,1,W333)=1,W334&gt;0),1,1-INDEX('Lease Cycles'!$DD$27:$DJ$27,1,W333)))),0)</f>
        <v>0</v>
      </c>
      <c r="X342" s="24">
        <f>IF(X335=1,IF('Lease Cycles'!$AJ$27=1,0,'Lease Cycles'!$D$27*INDEX('Lease Cycles'!$FH$27:$FN$27,1,X333)*IF(INDEX('Lease Cycles'!$EF$27:$EL$27,1,X333)=1,1,IF(OR(INDEX('Lease Cycles'!$DY$27:$EE$27,1,X333)=1,X334&gt;0),1,1-INDEX('Lease Cycles'!$DD$27:$DJ$27,1,X333)))),0)</f>
        <v>0</v>
      </c>
      <c r="Y342" s="24">
        <f>IF(Y335=1,IF('Lease Cycles'!$AJ$27=1,0,'Lease Cycles'!$D$27*INDEX('Lease Cycles'!$FH$27:$FN$27,1,Y333)*IF(INDEX('Lease Cycles'!$EF$27:$EL$27,1,Y333)=1,1,IF(OR(INDEX('Lease Cycles'!$DY$27:$EE$27,1,Y333)=1,Y334&gt;0),1,1-INDEX('Lease Cycles'!$DD$27:$DJ$27,1,Y333)))),0)</f>
        <v>0</v>
      </c>
      <c r="Z342" s="24">
        <f>IF(Z335=1,IF('Lease Cycles'!$AJ$27=1,0,'Lease Cycles'!$D$27*INDEX('Lease Cycles'!$FH$27:$FN$27,1,Z333)*IF(INDEX('Lease Cycles'!$EF$27:$EL$27,1,Z333)=1,1,IF(OR(INDEX('Lease Cycles'!$DY$27:$EE$27,1,Z333)=1,Z334&gt;0),1,1-INDEX('Lease Cycles'!$DD$27:$DJ$27,1,Z333)))),0)</f>
        <v>0</v>
      </c>
      <c r="AA342" s="24">
        <f>IF(AA335=1,IF('Lease Cycles'!$AJ$27=1,0,'Lease Cycles'!$D$27*INDEX('Lease Cycles'!$FH$27:$FN$27,1,AA333)*IF(INDEX('Lease Cycles'!$EF$27:$EL$27,1,AA333)=1,1,IF(OR(INDEX('Lease Cycles'!$DY$27:$EE$27,1,AA333)=1,AA334&gt;0),1,1-INDEX('Lease Cycles'!$DD$27:$DJ$27,1,AA333)))),0)</f>
        <v>0</v>
      </c>
      <c r="AB342" s="24">
        <f>IF(AB335=1,IF('Lease Cycles'!$AJ$27=1,0,'Lease Cycles'!$D$27*INDEX('Lease Cycles'!$FH$27:$FN$27,1,AB333)*IF(INDEX('Lease Cycles'!$EF$27:$EL$27,1,AB333)=1,1,IF(OR(INDEX('Lease Cycles'!$DY$27:$EE$27,1,AB333)=1,AB334&gt;0),1,1-INDEX('Lease Cycles'!$DD$27:$DJ$27,1,AB333)))),0)</f>
        <v>0</v>
      </c>
      <c r="AC342" s="24">
        <f>IF(AC335=1,IF('Lease Cycles'!$AJ$27=1,0,'Lease Cycles'!$D$27*INDEX('Lease Cycles'!$FH$27:$FN$27,1,AC333)*IF(INDEX('Lease Cycles'!$EF$27:$EL$27,1,AC333)=1,1,IF(OR(INDEX('Lease Cycles'!$DY$27:$EE$27,1,AC333)=1,AC334&gt;0),1,1-INDEX('Lease Cycles'!$DD$27:$DJ$27,1,AC333)))),0)</f>
        <v>0</v>
      </c>
      <c r="AD342" s="24">
        <f>IF(AD335=1,IF('Lease Cycles'!$AJ$27=1,0,'Lease Cycles'!$D$27*INDEX('Lease Cycles'!$FH$27:$FN$27,1,AD333)*IF(INDEX('Lease Cycles'!$EF$27:$EL$27,1,AD333)=1,1,IF(OR(INDEX('Lease Cycles'!$DY$27:$EE$27,1,AD333)=1,AD334&gt;0),1,1-INDEX('Lease Cycles'!$DD$27:$DJ$27,1,AD333)))),0)</f>
        <v>0</v>
      </c>
      <c r="AE342" s="24">
        <f>IF(AE335=1,IF('Lease Cycles'!$AJ$27=1,0,'Lease Cycles'!$D$27*INDEX('Lease Cycles'!$FH$27:$FN$27,1,AE333)*IF(INDEX('Lease Cycles'!$EF$27:$EL$27,1,AE333)=1,1,IF(OR(INDEX('Lease Cycles'!$DY$27:$EE$27,1,AE333)=1,AE334&gt;0),1,1-INDEX('Lease Cycles'!$DD$27:$DJ$27,1,AE333)))),0)</f>
        <v>0</v>
      </c>
      <c r="AF342" s="24">
        <f>IF(AF335=1,IF('Lease Cycles'!$AJ$27=1,0,'Lease Cycles'!$D$27*INDEX('Lease Cycles'!$FH$27:$FN$27,1,AF333)*IF(INDEX('Lease Cycles'!$EF$27:$EL$27,1,AF333)=1,1,IF(OR(INDEX('Lease Cycles'!$DY$27:$EE$27,1,AF333)=1,AF334&gt;0),1,1-INDEX('Lease Cycles'!$DD$27:$DJ$27,1,AF333)))),0)</f>
        <v>0</v>
      </c>
      <c r="AG342" s="24">
        <f>IF(AG335=1,IF('Lease Cycles'!$AJ$27=1,0,'Lease Cycles'!$D$27*INDEX('Lease Cycles'!$FH$27:$FN$27,1,AG333)*IF(INDEX('Lease Cycles'!$EF$27:$EL$27,1,AG333)=1,1,IF(OR(INDEX('Lease Cycles'!$DY$27:$EE$27,1,AG333)=1,AG334&gt;0),1,1-INDEX('Lease Cycles'!$DD$27:$DJ$27,1,AG333)))),0)</f>
        <v>0</v>
      </c>
      <c r="AH342" s="24">
        <f>IF(AH335=1,IF('Lease Cycles'!$AJ$27=1,0,'Lease Cycles'!$D$27*INDEX('Lease Cycles'!$FH$27:$FN$27,1,AH333)*IF(INDEX('Lease Cycles'!$EF$27:$EL$27,1,AH333)=1,1,IF(OR(INDEX('Lease Cycles'!$DY$27:$EE$27,1,AH333)=1,AH334&gt;0),1,1-INDEX('Lease Cycles'!$DD$27:$DJ$27,1,AH333)))),0)</f>
        <v>0</v>
      </c>
      <c r="AI342" s="24">
        <f>IF(AI335=1,IF('Lease Cycles'!$AJ$27=1,0,'Lease Cycles'!$D$27*INDEX('Lease Cycles'!$FH$27:$FN$27,1,AI333)*IF(INDEX('Lease Cycles'!$EF$27:$EL$27,1,AI333)=1,1,IF(OR(INDEX('Lease Cycles'!$DY$27:$EE$27,1,AI333)=1,AI334&gt;0),1,1-INDEX('Lease Cycles'!$DD$27:$DJ$27,1,AI333)))),0)</f>
        <v>0</v>
      </c>
      <c r="AJ342" s="24">
        <f>IF(AJ335=1,IF('Lease Cycles'!$AJ$27=1,0,'Lease Cycles'!$D$27*INDEX('Lease Cycles'!$FH$27:$FN$27,1,AJ333)*IF(INDEX('Lease Cycles'!$EF$27:$EL$27,1,AJ333)=1,1,IF(OR(INDEX('Lease Cycles'!$DY$27:$EE$27,1,AJ333)=1,AJ334&gt;0),1,1-INDEX('Lease Cycles'!$DD$27:$DJ$27,1,AJ333)))),0)</f>
        <v>0</v>
      </c>
      <c r="AK342" s="24">
        <f>IF(AK335=1,IF('Lease Cycles'!$AJ$27=1,0,'Lease Cycles'!$D$27*INDEX('Lease Cycles'!$FH$27:$FN$27,1,AK333)*IF(INDEX('Lease Cycles'!$EF$27:$EL$27,1,AK333)=1,1,IF(OR(INDEX('Lease Cycles'!$DY$27:$EE$27,1,AK333)=1,AK334&gt;0),1,1-INDEX('Lease Cycles'!$DD$27:$DJ$27,1,AK333)))),0)</f>
        <v>0</v>
      </c>
      <c r="AL342" s="24">
        <f>IF(AL335=1,IF('Lease Cycles'!$AJ$27=1,0,'Lease Cycles'!$D$27*INDEX('Lease Cycles'!$FH$27:$FN$27,1,AL333)*IF(INDEX('Lease Cycles'!$EF$27:$EL$27,1,AL333)=1,1,IF(OR(INDEX('Lease Cycles'!$DY$27:$EE$27,1,AL333)=1,AL334&gt;0),1,1-INDEX('Lease Cycles'!$DD$27:$DJ$27,1,AL333)))),0)</f>
        <v>0</v>
      </c>
      <c r="AM342" s="24">
        <f>IF(AM335=1,IF('Lease Cycles'!$AJ$27=1,0,'Lease Cycles'!$D$27*INDEX('Lease Cycles'!$FH$27:$FN$27,1,AM333)*IF(INDEX('Lease Cycles'!$EF$27:$EL$27,1,AM333)=1,1,IF(OR(INDEX('Lease Cycles'!$DY$27:$EE$27,1,AM333)=1,AM334&gt;0),1,1-INDEX('Lease Cycles'!$DD$27:$DJ$27,1,AM333)))),0)</f>
        <v>0</v>
      </c>
      <c r="AN342" s="24">
        <f>IF(AN335=1,IF('Lease Cycles'!$AJ$27=1,0,'Lease Cycles'!$D$27*INDEX('Lease Cycles'!$FH$27:$FN$27,1,AN333)*IF(INDEX('Lease Cycles'!$EF$27:$EL$27,1,AN333)=1,1,IF(OR(INDEX('Lease Cycles'!$DY$27:$EE$27,1,AN333)=1,AN334&gt;0),1,1-INDEX('Lease Cycles'!$DD$27:$DJ$27,1,AN333)))),0)</f>
        <v>0</v>
      </c>
      <c r="AO342" s="24">
        <f>IF(AO335=1,IF('Lease Cycles'!$AJ$27=1,0,'Lease Cycles'!$D$27*INDEX('Lease Cycles'!$FH$27:$FN$27,1,AO333)*IF(INDEX('Lease Cycles'!$EF$27:$EL$27,1,AO333)=1,1,IF(OR(INDEX('Lease Cycles'!$DY$27:$EE$27,1,AO333)=1,AO334&gt;0),1,1-INDEX('Lease Cycles'!$DD$27:$DJ$27,1,AO333)))),0)</f>
        <v>0</v>
      </c>
      <c r="AP342" s="24">
        <f>IF(AP335=1,IF('Lease Cycles'!$AJ$27=1,0,'Lease Cycles'!$D$27*INDEX('Lease Cycles'!$FH$27:$FN$27,1,AP333)*IF(INDEX('Lease Cycles'!$EF$27:$EL$27,1,AP333)=1,1,IF(OR(INDEX('Lease Cycles'!$DY$27:$EE$27,1,AP333)=1,AP334&gt;0),1,1-INDEX('Lease Cycles'!$DD$27:$DJ$27,1,AP333)))),0)</f>
        <v>0</v>
      </c>
      <c r="AQ342" s="24">
        <f>IF(AQ335=1,IF('Lease Cycles'!$AJ$27=1,0,'Lease Cycles'!$D$27*INDEX('Lease Cycles'!$FH$27:$FN$27,1,AQ333)*IF(INDEX('Lease Cycles'!$EF$27:$EL$27,1,AQ333)=1,1,IF(OR(INDEX('Lease Cycles'!$DY$27:$EE$27,1,AQ333)=1,AQ334&gt;0),1,1-INDEX('Lease Cycles'!$DD$27:$DJ$27,1,AQ333)))),0)</f>
        <v>0</v>
      </c>
      <c r="AR342" s="24">
        <f>IF(AR335=1,IF('Lease Cycles'!$AJ$27=1,0,'Lease Cycles'!$D$27*INDEX('Lease Cycles'!$FH$27:$FN$27,1,AR333)*IF(INDEX('Lease Cycles'!$EF$27:$EL$27,1,AR333)=1,1,IF(OR(INDEX('Lease Cycles'!$DY$27:$EE$27,1,AR333)=1,AR334&gt;0),1,1-INDEX('Lease Cycles'!$DD$27:$DJ$27,1,AR333)))),0)</f>
        <v>0</v>
      </c>
      <c r="AS342" s="24">
        <f>IF(AS335=1,IF('Lease Cycles'!$AJ$27=1,0,'Lease Cycles'!$D$27*INDEX('Lease Cycles'!$FH$27:$FN$27,1,AS333)*IF(INDEX('Lease Cycles'!$EF$27:$EL$27,1,AS333)=1,1,IF(OR(INDEX('Lease Cycles'!$DY$27:$EE$27,1,AS333)=1,AS334&gt;0),1,1-INDEX('Lease Cycles'!$DD$27:$DJ$27,1,AS333)))),0)</f>
        <v>0</v>
      </c>
      <c r="AT342" s="24">
        <f>IF(AT335=1,IF('Lease Cycles'!$AJ$27=1,0,'Lease Cycles'!$D$27*INDEX('Lease Cycles'!$FH$27:$FN$27,1,AT333)*IF(INDEX('Lease Cycles'!$EF$27:$EL$27,1,AT333)=1,1,IF(OR(INDEX('Lease Cycles'!$DY$27:$EE$27,1,AT333)=1,AT334&gt;0),1,1-INDEX('Lease Cycles'!$DD$27:$DJ$27,1,AT333)))),0)</f>
        <v>0</v>
      </c>
      <c r="AU342" s="24">
        <f>IF(AU335=1,IF('Lease Cycles'!$AJ$27=1,0,'Lease Cycles'!$D$27*INDEX('Lease Cycles'!$FH$27:$FN$27,1,AU333)*IF(INDEX('Lease Cycles'!$EF$27:$EL$27,1,AU333)=1,1,IF(OR(INDEX('Lease Cycles'!$DY$27:$EE$27,1,AU333)=1,AU334&gt;0),1,1-INDEX('Lease Cycles'!$DD$27:$DJ$27,1,AU333)))),0)</f>
        <v>0</v>
      </c>
      <c r="AV342" s="24">
        <f>IF(AV335=1,IF('Lease Cycles'!$AJ$27=1,0,'Lease Cycles'!$D$27*INDEX('Lease Cycles'!$FH$27:$FN$27,1,AV333)*IF(INDEX('Lease Cycles'!$EF$27:$EL$27,1,AV333)=1,1,IF(OR(INDEX('Lease Cycles'!$DY$27:$EE$27,1,AV333)=1,AV334&gt;0),1,1-INDEX('Lease Cycles'!$DD$27:$DJ$27,1,AV333)))),0)</f>
        <v>0</v>
      </c>
      <c r="AW342" s="24">
        <f>IF(AW335=1,IF('Lease Cycles'!$AJ$27=1,0,'Lease Cycles'!$D$27*INDEX('Lease Cycles'!$FH$27:$FN$27,1,AW333)*IF(INDEX('Lease Cycles'!$EF$27:$EL$27,1,AW333)=1,1,IF(OR(INDEX('Lease Cycles'!$DY$27:$EE$27,1,AW333)=1,AW334&gt;0),1,1-INDEX('Lease Cycles'!$DD$27:$DJ$27,1,AW333)))),0)</f>
        <v>0</v>
      </c>
      <c r="AX342" s="24">
        <f>IF(AX335=1,IF('Lease Cycles'!$AJ$27=1,0,'Lease Cycles'!$D$27*INDEX('Lease Cycles'!$FH$27:$FN$27,1,AX333)*IF(INDEX('Lease Cycles'!$EF$27:$EL$27,1,AX333)=1,1,IF(OR(INDEX('Lease Cycles'!$DY$27:$EE$27,1,AX333)=1,AX334&gt;0),1,1-INDEX('Lease Cycles'!$DD$27:$DJ$27,1,AX333)))),0)</f>
        <v>0</v>
      </c>
      <c r="AY342" s="24">
        <f>IF(AY335=1,IF('Lease Cycles'!$AJ$27=1,0,'Lease Cycles'!$D$27*INDEX('Lease Cycles'!$FH$27:$FN$27,1,AY333)*IF(INDEX('Lease Cycles'!$EF$27:$EL$27,1,AY333)=1,1,IF(OR(INDEX('Lease Cycles'!$DY$27:$EE$27,1,AY333)=1,AY334&gt;0),1,1-INDEX('Lease Cycles'!$DD$27:$DJ$27,1,AY333)))),0)</f>
        <v>0</v>
      </c>
      <c r="AZ342" s="24">
        <f>IF(AZ335=1,IF('Lease Cycles'!$AJ$27=1,0,'Lease Cycles'!$D$27*INDEX('Lease Cycles'!$FH$27:$FN$27,1,AZ333)*IF(INDEX('Lease Cycles'!$EF$27:$EL$27,1,AZ333)=1,1,IF(OR(INDEX('Lease Cycles'!$DY$27:$EE$27,1,AZ333)=1,AZ334&gt;0),1,1-INDEX('Lease Cycles'!$DD$27:$DJ$27,1,AZ333)))),0)</f>
        <v>0</v>
      </c>
      <c r="BA342" s="24">
        <f>IF(BA335=1,IF('Lease Cycles'!$AJ$27=1,0,'Lease Cycles'!$D$27*INDEX('Lease Cycles'!$FH$27:$FN$27,1,BA333)*IF(INDEX('Lease Cycles'!$EF$27:$EL$27,1,BA333)=1,1,IF(OR(INDEX('Lease Cycles'!$DY$27:$EE$27,1,BA333)=1,BA334&gt;0),1,1-INDEX('Lease Cycles'!$DD$27:$DJ$27,1,BA333)))),0)</f>
        <v>0</v>
      </c>
      <c r="BB342" s="24">
        <f>IF(BB335=1,IF('Lease Cycles'!$AJ$27=1,0,'Lease Cycles'!$D$27*INDEX('Lease Cycles'!$FH$27:$FN$27,1,BB333)*IF(INDEX('Lease Cycles'!$EF$27:$EL$27,1,BB333)=1,1,IF(OR(INDEX('Lease Cycles'!$DY$27:$EE$27,1,BB333)=1,BB334&gt;0),1,1-INDEX('Lease Cycles'!$DD$27:$DJ$27,1,BB333)))),0)</f>
        <v>0</v>
      </c>
      <c r="BC342" s="24">
        <f>IF(BC335=1,IF('Lease Cycles'!$AJ$27=1,0,'Lease Cycles'!$D$27*INDEX('Lease Cycles'!$FH$27:$FN$27,1,BC333)*IF(INDEX('Lease Cycles'!$EF$27:$EL$27,1,BC333)=1,1,IF(OR(INDEX('Lease Cycles'!$DY$27:$EE$27,1,BC333)=1,BC334&gt;0),1,1-INDEX('Lease Cycles'!$DD$27:$DJ$27,1,BC333)))),0)</f>
        <v>0</v>
      </c>
      <c r="BD342" s="24">
        <f>IF(BD335=1,IF('Lease Cycles'!$AJ$27=1,0,'Lease Cycles'!$D$27*INDEX('Lease Cycles'!$FH$27:$FN$27,1,BD333)*IF(INDEX('Lease Cycles'!$EF$27:$EL$27,1,BD333)=1,1,IF(OR(INDEX('Lease Cycles'!$DY$27:$EE$27,1,BD333)=1,BD334&gt;0),1,1-INDEX('Lease Cycles'!$DD$27:$DJ$27,1,BD333)))),0)</f>
        <v>0</v>
      </c>
      <c r="BE342" s="24">
        <f>IF(BE335=1,IF('Lease Cycles'!$AJ$27=1,0,'Lease Cycles'!$D$27*INDEX('Lease Cycles'!$FH$27:$FN$27,1,BE333)*IF(INDEX('Lease Cycles'!$EF$27:$EL$27,1,BE333)=1,1,IF(OR(INDEX('Lease Cycles'!$DY$27:$EE$27,1,BE333)=1,BE334&gt;0),1,1-INDEX('Lease Cycles'!$DD$27:$DJ$27,1,BE333)))),0)</f>
        <v>0</v>
      </c>
      <c r="BF342" s="24">
        <f>IF(BF335=1,IF('Lease Cycles'!$AJ$27=1,0,'Lease Cycles'!$D$27*INDEX('Lease Cycles'!$FH$27:$FN$27,1,BF333)*IF(INDEX('Lease Cycles'!$EF$27:$EL$27,1,BF333)=1,1,IF(OR(INDEX('Lease Cycles'!$DY$27:$EE$27,1,BF333)=1,BF334&gt;0),1,1-INDEX('Lease Cycles'!$DD$27:$DJ$27,1,BF333)))),0)</f>
        <v>0</v>
      </c>
      <c r="BG342" s="24">
        <f>IF(BG335=1,IF('Lease Cycles'!$AJ$27=1,0,'Lease Cycles'!$D$27*INDEX('Lease Cycles'!$FH$27:$FN$27,1,BG333)*IF(INDEX('Lease Cycles'!$EF$27:$EL$27,1,BG333)=1,1,IF(OR(INDEX('Lease Cycles'!$DY$27:$EE$27,1,BG333)=1,BG334&gt;0),1,1-INDEX('Lease Cycles'!$DD$27:$DJ$27,1,BG333)))),0)</f>
        <v>0</v>
      </c>
      <c r="BH342" s="24">
        <f>IF(BH335=1,IF('Lease Cycles'!$AJ$27=1,0,'Lease Cycles'!$D$27*INDEX('Lease Cycles'!$FH$27:$FN$27,1,BH333)*IF(INDEX('Lease Cycles'!$EF$27:$EL$27,1,BH333)=1,1,IF(OR(INDEX('Lease Cycles'!$DY$27:$EE$27,1,BH333)=1,BH334&gt;0),1,1-INDEX('Lease Cycles'!$DD$27:$DJ$27,1,BH333)))),0)</f>
        <v>0</v>
      </c>
      <c r="BI342" s="24">
        <f>IF(BI335=1,IF('Lease Cycles'!$AJ$27=1,0,'Lease Cycles'!$D$27*INDEX('Lease Cycles'!$FH$27:$FN$27,1,BI333)*IF(INDEX('Lease Cycles'!$EF$27:$EL$27,1,BI333)=1,1,IF(OR(INDEX('Lease Cycles'!$DY$27:$EE$27,1,BI333)=1,BI334&gt;0),1,1-INDEX('Lease Cycles'!$DD$27:$DJ$27,1,BI333)))),0)</f>
        <v>0</v>
      </c>
      <c r="BJ342" s="24">
        <f>IF(BJ335=1,IF('Lease Cycles'!$AJ$27=1,0,'Lease Cycles'!$D$27*INDEX('Lease Cycles'!$FH$27:$FN$27,1,BJ333)*IF(INDEX('Lease Cycles'!$EF$27:$EL$27,1,BJ333)=1,1,IF(OR(INDEX('Lease Cycles'!$DY$27:$EE$27,1,BJ333)=1,BJ334&gt;0),1,1-INDEX('Lease Cycles'!$DD$27:$DJ$27,1,BJ333)))),0)</f>
        <v>0</v>
      </c>
      <c r="BK342" s="24">
        <f>IF(BK335=1,IF('Lease Cycles'!$AJ$27=1,0,'Lease Cycles'!$D$27*INDEX('Lease Cycles'!$FH$27:$FN$27,1,BK333)*IF(INDEX('Lease Cycles'!$EF$27:$EL$27,1,BK333)=1,1,IF(OR(INDEX('Lease Cycles'!$DY$27:$EE$27,1,BK333)=1,BK334&gt;0),1,1-INDEX('Lease Cycles'!$DD$27:$DJ$27,1,BK333)))),0)</f>
        <v>0</v>
      </c>
      <c r="BL342" s="24">
        <f>IF(BL335=1,IF('Lease Cycles'!$AJ$27=1,0,'Lease Cycles'!$D$27*INDEX('Lease Cycles'!$FH$27:$FN$27,1,BL333)*IF(INDEX('Lease Cycles'!$EF$27:$EL$27,1,BL333)=1,1,IF(OR(INDEX('Lease Cycles'!$DY$27:$EE$27,1,BL333)=1,BL334&gt;0),1,1-INDEX('Lease Cycles'!$DD$27:$DJ$27,1,BL333)))),0)</f>
        <v>0</v>
      </c>
      <c r="BM342" s="24">
        <f>IF(BM335=1,IF('Lease Cycles'!$AJ$27=1,0,'Lease Cycles'!$D$27*INDEX('Lease Cycles'!$FH$27:$FN$27,1,BM333)*IF(INDEX('Lease Cycles'!$EF$27:$EL$27,1,BM333)=1,1,IF(OR(INDEX('Lease Cycles'!$DY$27:$EE$27,1,BM333)=1,BM334&gt;0),1,1-INDEX('Lease Cycles'!$DD$27:$DJ$27,1,BM333)))),0)</f>
        <v>0</v>
      </c>
      <c r="BN342" s="24">
        <f>IF(BN335=1,IF('Lease Cycles'!$AJ$27=1,0,'Lease Cycles'!$D$27*INDEX('Lease Cycles'!$FH$27:$FN$27,1,BN333)*IF(INDEX('Lease Cycles'!$EF$27:$EL$27,1,BN333)=1,1,IF(OR(INDEX('Lease Cycles'!$DY$27:$EE$27,1,BN333)=1,BN334&gt;0),1,1-INDEX('Lease Cycles'!$DD$27:$DJ$27,1,BN333)))),0)</f>
        <v>0</v>
      </c>
      <c r="BO342" s="24">
        <f>IF(BO335=1,IF('Lease Cycles'!$AJ$27=1,0,'Lease Cycles'!$D$27*INDEX('Lease Cycles'!$FH$27:$FN$27,1,BO333)*IF(INDEX('Lease Cycles'!$EF$27:$EL$27,1,BO333)=1,1,IF(OR(INDEX('Lease Cycles'!$DY$27:$EE$27,1,BO333)=1,BO334&gt;0),1,1-INDEX('Lease Cycles'!$DD$27:$DJ$27,1,BO333)))),0)</f>
        <v>0</v>
      </c>
      <c r="BP342" s="24">
        <f>IF(BP335=1,IF('Lease Cycles'!$AJ$27=1,0,'Lease Cycles'!$D$27*INDEX('Lease Cycles'!$FH$27:$FN$27,1,BP333)*IF(INDEX('Lease Cycles'!$EF$27:$EL$27,1,BP333)=1,1,IF(OR(INDEX('Lease Cycles'!$DY$27:$EE$27,1,BP333)=1,BP334&gt;0),1,1-INDEX('Lease Cycles'!$DD$27:$DJ$27,1,BP333)))),0)</f>
        <v>0</v>
      </c>
      <c r="BQ342" s="24">
        <f>IF(BQ335=1,IF('Lease Cycles'!$AJ$27=1,0,'Lease Cycles'!$D$27*INDEX('Lease Cycles'!$FH$27:$FN$27,1,BQ333)*IF(INDEX('Lease Cycles'!$EF$27:$EL$27,1,BQ333)=1,1,IF(OR(INDEX('Lease Cycles'!$DY$27:$EE$27,1,BQ333)=1,BQ334&gt;0),1,1-INDEX('Lease Cycles'!$DD$27:$DJ$27,1,BQ333)))),0)</f>
        <v>0</v>
      </c>
      <c r="BR342" s="24">
        <f>IF(BR335=1,IF('Lease Cycles'!$AJ$27=1,0,'Lease Cycles'!$D$27*INDEX('Lease Cycles'!$FH$27:$FN$27,1,BR333)*IF(INDEX('Lease Cycles'!$EF$27:$EL$27,1,BR333)=1,1,IF(OR(INDEX('Lease Cycles'!$DY$27:$EE$27,1,BR333)=1,BR334&gt;0),1,1-INDEX('Lease Cycles'!$DD$27:$DJ$27,1,BR333)))),0)</f>
        <v>0</v>
      </c>
      <c r="BS342" s="24">
        <f>IF(BS335=1,IF('Lease Cycles'!$AJ$27=1,0,'Lease Cycles'!$D$27*INDEX('Lease Cycles'!$FH$27:$FN$27,1,BS333)*IF(INDEX('Lease Cycles'!$EF$27:$EL$27,1,BS333)=1,1,IF(OR(INDEX('Lease Cycles'!$DY$27:$EE$27,1,BS333)=1,BS334&gt;0),1,1-INDEX('Lease Cycles'!$DD$27:$DJ$27,1,BS333)))),0)</f>
        <v>0</v>
      </c>
      <c r="BT342" s="24">
        <f>IF(BT335=1,IF('Lease Cycles'!$AJ$27=1,0,'Lease Cycles'!$D$27*INDEX('Lease Cycles'!$FH$27:$FN$27,1,BT333)*IF(INDEX('Lease Cycles'!$EF$27:$EL$27,1,BT333)=1,1,IF(OR(INDEX('Lease Cycles'!$DY$27:$EE$27,1,BT333)=1,BT334&gt;0),1,1-INDEX('Lease Cycles'!$DD$27:$DJ$27,1,BT333)))),0)</f>
        <v>0</v>
      </c>
      <c r="BU342" s="24">
        <f>IF(BU335=1,IF('Lease Cycles'!$AJ$27=1,0,'Lease Cycles'!$D$27*INDEX('Lease Cycles'!$FH$27:$FN$27,1,BU333)*IF(INDEX('Lease Cycles'!$EF$27:$EL$27,1,BU333)=1,1,IF(OR(INDEX('Lease Cycles'!$DY$27:$EE$27,1,BU333)=1,BU334&gt;0),1,1-INDEX('Lease Cycles'!$DD$27:$DJ$27,1,BU333)))),0)</f>
        <v>0</v>
      </c>
      <c r="BV342" s="24">
        <f>IF(BV335=1,IF('Lease Cycles'!$AJ$27=1,0,'Lease Cycles'!$D$27*INDEX('Lease Cycles'!$FH$27:$FN$27,1,BV333)*IF(INDEX('Lease Cycles'!$EF$27:$EL$27,1,BV333)=1,1,IF(OR(INDEX('Lease Cycles'!$DY$27:$EE$27,1,BV333)=1,BV334&gt;0),1,1-INDEX('Lease Cycles'!$DD$27:$DJ$27,1,BV333)))),0)</f>
        <v>0</v>
      </c>
      <c r="BW342" s="24">
        <f>IF(BW335=1,IF('Lease Cycles'!$AJ$27=1,0,'Lease Cycles'!$D$27*INDEX('Lease Cycles'!$FH$27:$FN$27,1,BW333)*IF(INDEX('Lease Cycles'!$EF$27:$EL$27,1,BW333)=1,1,IF(OR(INDEX('Lease Cycles'!$DY$27:$EE$27,1,BW333)=1,BW334&gt;0),1,1-INDEX('Lease Cycles'!$DD$27:$DJ$27,1,BW333)))),0)</f>
        <v>0</v>
      </c>
      <c r="BX342" s="24">
        <f>IF(BX335=1,IF('Lease Cycles'!$AJ$27=1,0,'Lease Cycles'!$D$27*INDEX('Lease Cycles'!$FH$27:$FN$27,1,BX333)*IF(INDEX('Lease Cycles'!$EF$27:$EL$27,1,BX333)=1,1,IF(OR(INDEX('Lease Cycles'!$DY$27:$EE$27,1,BX333)=1,BX334&gt;0),1,1-INDEX('Lease Cycles'!$DD$27:$DJ$27,1,BX333)))),0)</f>
        <v>0</v>
      </c>
      <c r="BY342" s="24">
        <f>IF(BY335=1,IF('Lease Cycles'!$AJ$27=1,0,'Lease Cycles'!$D$27*INDEX('Lease Cycles'!$FH$27:$FN$27,1,BY333)*IF(INDEX('Lease Cycles'!$EF$27:$EL$27,1,BY333)=1,1,IF(OR(INDEX('Lease Cycles'!$DY$27:$EE$27,1,BY333)=1,BY334&gt;0),1,1-INDEX('Lease Cycles'!$DD$27:$DJ$27,1,BY333)))),0)</f>
        <v>0</v>
      </c>
      <c r="BZ342" s="24">
        <f>IF(BZ335=1,IF('Lease Cycles'!$AJ$27=1,0,'Lease Cycles'!$D$27*INDEX('Lease Cycles'!$FH$27:$FN$27,1,BZ333)*IF(INDEX('Lease Cycles'!$EF$27:$EL$27,1,BZ333)=1,1,IF(OR(INDEX('Lease Cycles'!$DY$27:$EE$27,1,BZ333)=1,BZ334&gt;0),1,1-INDEX('Lease Cycles'!$DD$27:$DJ$27,1,BZ333)))),0)</f>
        <v>0</v>
      </c>
      <c r="CA342" s="24">
        <f>IF(CA335=1,IF('Lease Cycles'!$AJ$27=1,0,'Lease Cycles'!$D$27*INDEX('Lease Cycles'!$FH$27:$FN$27,1,CA333)*IF(INDEX('Lease Cycles'!$EF$27:$EL$27,1,CA333)=1,1,IF(OR(INDEX('Lease Cycles'!$DY$27:$EE$27,1,CA333)=1,CA334&gt;0),1,1-INDEX('Lease Cycles'!$DD$27:$DJ$27,1,CA333)))),0)</f>
        <v>0</v>
      </c>
      <c r="CB342" s="24">
        <f>IF(CB335=1,IF('Lease Cycles'!$AJ$27=1,0,'Lease Cycles'!$D$27*INDEX('Lease Cycles'!$FH$27:$FN$27,1,CB333)*IF(INDEX('Lease Cycles'!$EF$27:$EL$27,1,CB333)=1,1,IF(OR(INDEX('Lease Cycles'!$DY$27:$EE$27,1,CB333)=1,CB334&gt;0),1,1-INDEX('Lease Cycles'!$DD$27:$DJ$27,1,CB333)))),0)</f>
        <v>0</v>
      </c>
      <c r="CC342" s="24">
        <f>IF(CC335=1,IF('Lease Cycles'!$AJ$27=1,0,'Lease Cycles'!$D$27*INDEX('Lease Cycles'!$FH$27:$FN$27,1,CC333)*IF(INDEX('Lease Cycles'!$EF$27:$EL$27,1,CC333)=1,1,IF(OR(INDEX('Lease Cycles'!$DY$27:$EE$27,1,CC333)=1,CC334&gt;0),1,1-INDEX('Lease Cycles'!$DD$27:$DJ$27,1,CC333)))),0)</f>
        <v>0</v>
      </c>
      <c r="CD342" s="24">
        <f>IF(CD335=1,IF('Lease Cycles'!$AJ$27=1,0,'Lease Cycles'!$D$27*INDEX('Lease Cycles'!$FH$27:$FN$27,1,CD333)*IF(INDEX('Lease Cycles'!$EF$27:$EL$27,1,CD333)=1,1,IF(OR(INDEX('Lease Cycles'!$DY$27:$EE$27,1,CD333)=1,CD334&gt;0),1,1-INDEX('Lease Cycles'!$DD$27:$DJ$27,1,CD333)))),0)</f>
        <v>0</v>
      </c>
      <c r="CE342" s="24">
        <f>IF(CE335=1,IF('Lease Cycles'!$AJ$27=1,0,'Lease Cycles'!$D$27*INDEX('Lease Cycles'!$FH$27:$FN$27,1,CE333)*IF(INDEX('Lease Cycles'!$EF$27:$EL$27,1,CE333)=1,1,IF(OR(INDEX('Lease Cycles'!$DY$27:$EE$27,1,CE333)=1,CE334&gt;0),1,1-INDEX('Lease Cycles'!$DD$27:$DJ$27,1,CE333)))),0)</f>
        <v>0</v>
      </c>
      <c r="CF342" s="24">
        <f>IF(CF335=1,IF('Lease Cycles'!$AJ$27=1,0,'Lease Cycles'!$D$27*INDEX('Lease Cycles'!$FH$27:$FN$27,1,CF333)*IF(INDEX('Lease Cycles'!$EF$27:$EL$27,1,CF333)=1,1,IF(OR(INDEX('Lease Cycles'!$DY$27:$EE$27,1,CF333)=1,CF334&gt;0),1,1-INDEX('Lease Cycles'!$DD$27:$DJ$27,1,CF333)))),0)</f>
        <v>0</v>
      </c>
      <c r="CG342" s="24">
        <f>IF(CG335=1,IF('Lease Cycles'!$AJ$27=1,0,'Lease Cycles'!$D$27*INDEX('Lease Cycles'!$FH$27:$FN$27,1,CG333)*IF(INDEX('Lease Cycles'!$EF$27:$EL$27,1,CG333)=1,1,IF(OR(INDEX('Lease Cycles'!$DY$27:$EE$27,1,CG333)=1,CG334&gt;0),1,1-INDEX('Lease Cycles'!$DD$27:$DJ$27,1,CG333)))),0)</f>
        <v>0</v>
      </c>
      <c r="CH342" s="24">
        <f>IF(CH335=1,IF('Lease Cycles'!$AJ$27=1,0,'Lease Cycles'!$D$27*INDEX('Lease Cycles'!$FH$27:$FN$27,1,CH333)*IF(INDEX('Lease Cycles'!$EF$27:$EL$27,1,CH333)=1,1,IF(OR(INDEX('Lease Cycles'!$DY$27:$EE$27,1,CH333)=1,CH334&gt;0),1,1-INDEX('Lease Cycles'!$DD$27:$DJ$27,1,CH333)))),0)</f>
        <v>0</v>
      </c>
      <c r="CI342" s="24">
        <f>IF(CI335=1,IF('Lease Cycles'!$AJ$27=1,0,'Lease Cycles'!$D$27*INDEX('Lease Cycles'!$FH$27:$FN$27,1,CI333)*IF(INDEX('Lease Cycles'!$EF$27:$EL$27,1,CI333)=1,1,IF(OR(INDEX('Lease Cycles'!$DY$27:$EE$27,1,CI333)=1,CI334&gt;0),1,1-INDEX('Lease Cycles'!$DD$27:$DJ$27,1,CI333)))),0)</f>
        <v>0</v>
      </c>
      <c r="CJ342" s="24">
        <f>IF(CJ335=1,IF('Lease Cycles'!$AJ$27=1,0,'Lease Cycles'!$D$27*INDEX('Lease Cycles'!$FH$27:$FN$27,1,CJ333)*IF(INDEX('Lease Cycles'!$EF$27:$EL$27,1,CJ333)=1,1,IF(OR(INDEX('Lease Cycles'!$DY$27:$EE$27,1,CJ333)=1,CJ334&gt;0),1,1-INDEX('Lease Cycles'!$DD$27:$DJ$27,1,CJ333)))),0)</f>
        <v>0</v>
      </c>
      <c r="CK342" s="24">
        <f>IF(CK335=1,IF('Lease Cycles'!$AJ$27=1,0,'Lease Cycles'!$D$27*INDEX('Lease Cycles'!$FH$27:$FN$27,1,CK333)*IF(INDEX('Lease Cycles'!$EF$27:$EL$27,1,CK333)=1,1,IF(OR(INDEX('Lease Cycles'!$DY$27:$EE$27,1,CK333)=1,CK334&gt;0),1,1-INDEX('Lease Cycles'!$DD$27:$DJ$27,1,CK333)))),0)</f>
        <v>0</v>
      </c>
      <c r="CL342" s="24">
        <f>IF(CL335=1,IF('Lease Cycles'!$AJ$27=1,0,'Lease Cycles'!$D$27*INDEX('Lease Cycles'!$FH$27:$FN$27,1,CL333)*IF(INDEX('Lease Cycles'!$EF$27:$EL$27,1,CL333)=1,1,IF(OR(INDEX('Lease Cycles'!$DY$27:$EE$27,1,CL333)=1,CL334&gt;0),1,1-INDEX('Lease Cycles'!$DD$27:$DJ$27,1,CL333)))),0)</f>
        <v>0</v>
      </c>
      <c r="CM342" s="24">
        <f>IF(CM335=1,IF('Lease Cycles'!$AJ$27=1,0,'Lease Cycles'!$D$27*INDEX('Lease Cycles'!$FH$27:$FN$27,1,CM333)*IF(INDEX('Lease Cycles'!$EF$27:$EL$27,1,CM333)=1,1,IF(OR(INDEX('Lease Cycles'!$DY$27:$EE$27,1,CM333)=1,CM334&gt;0),1,1-INDEX('Lease Cycles'!$DD$27:$DJ$27,1,CM333)))),0)</f>
        <v>0</v>
      </c>
      <c r="CN342" s="24">
        <f>IF(CN335=1,IF('Lease Cycles'!$AJ$27=1,0,'Lease Cycles'!$D$27*INDEX('Lease Cycles'!$FH$27:$FN$27,1,CN333)*IF(INDEX('Lease Cycles'!$EF$27:$EL$27,1,CN333)=1,1,IF(OR(INDEX('Lease Cycles'!$DY$27:$EE$27,1,CN333)=1,CN334&gt;0),1,1-INDEX('Lease Cycles'!$DD$27:$DJ$27,1,CN333)))),0)</f>
        <v>0</v>
      </c>
      <c r="CO342" s="24">
        <f>IF(CO335=1,IF('Lease Cycles'!$AJ$27=1,0,'Lease Cycles'!$D$27*INDEX('Lease Cycles'!$FH$27:$FN$27,1,CO333)*IF(INDEX('Lease Cycles'!$EF$27:$EL$27,1,CO333)=1,1,IF(OR(INDEX('Lease Cycles'!$DY$27:$EE$27,1,CO333)=1,CO334&gt;0),1,1-INDEX('Lease Cycles'!$DD$27:$DJ$27,1,CO333)))),0)</f>
        <v>0</v>
      </c>
      <c r="CP342" s="24">
        <f>IF(CP335=1,IF('Lease Cycles'!$AJ$27=1,0,'Lease Cycles'!$D$27*INDEX('Lease Cycles'!$FH$27:$FN$27,1,CP333)*IF(INDEX('Lease Cycles'!$EF$27:$EL$27,1,CP333)=1,1,IF(OR(INDEX('Lease Cycles'!$DY$27:$EE$27,1,CP333)=1,CP334&gt;0),1,1-INDEX('Lease Cycles'!$DD$27:$DJ$27,1,CP333)))),0)</f>
        <v>0</v>
      </c>
      <c r="CQ342" s="24">
        <f>IF(CQ335=1,IF('Lease Cycles'!$AJ$27=1,0,'Lease Cycles'!$D$27*INDEX('Lease Cycles'!$FH$27:$FN$27,1,CQ333)*IF(INDEX('Lease Cycles'!$EF$27:$EL$27,1,CQ333)=1,1,IF(OR(INDEX('Lease Cycles'!$DY$27:$EE$27,1,CQ333)=1,CQ334&gt;0),1,1-INDEX('Lease Cycles'!$DD$27:$DJ$27,1,CQ333)))),0)</f>
        <v>0</v>
      </c>
      <c r="CR342" s="24">
        <f>IF(CR335=1,IF('Lease Cycles'!$AJ$27=1,0,'Lease Cycles'!$D$27*INDEX('Lease Cycles'!$FH$27:$FN$27,1,CR333)*IF(INDEX('Lease Cycles'!$EF$27:$EL$27,1,CR333)=1,1,IF(OR(INDEX('Lease Cycles'!$DY$27:$EE$27,1,CR333)=1,CR334&gt;0),1,1-INDEX('Lease Cycles'!$DD$27:$DJ$27,1,CR333)))),0)</f>
        <v>0</v>
      </c>
      <c r="CS342" s="24">
        <f>IF(CS335=1,IF('Lease Cycles'!$AJ$27=1,0,'Lease Cycles'!$D$27*INDEX('Lease Cycles'!$FH$27:$FN$27,1,CS333)*IF(INDEX('Lease Cycles'!$EF$27:$EL$27,1,CS333)=1,1,IF(OR(INDEX('Lease Cycles'!$DY$27:$EE$27,1,CS333)=1,CS334&gt;0),1,1-INDEX('Lease Cycles'!$DD$27:$DJ$27,1,CS333)))),0)</f>
        <v>0</v>
      </c>
      <c r="CT342" s="24">
        <f>IF(CT335=1,IF('Lease Cycles'!$AJ$27=1,0,'Lease Cycles'!$D$27*INDEX('Lease Cycles'!$FH$27:$FN$27,1,CT333)*IF(INDEX('Lease Cycles'!$EF$27:$EL$27,1,CT333)=1,1,IF(OR(INDEX('Lease Cycles'!$DY$27:$EE$27,1,CT333)=1,CT334&gt;0),1,1-INDEX('Lease Cycles'!$DD$27:$DJ$27,1,CT333)))),0)</f>
        <v>0</v>
      </c>
      <c r="CU342" s="24">
        <f>IF(CU335=1,IF('Lease Cycles'!$AJ$27=1,0,'Lease Cycles'!$D$27*INDEX('Lease Cycles'!$FH$27:$FN$27,1,CU333)*IF(INDEX('Lease Cycles'!$EF$27:$EL$27,1,CU333)=1,1,IF(OR(INDEX('Lease Cycles'!$DY$27:$EE$27,1,CU333)=1,CU334&gt;0),1,1-INDEX('Lease Cycles'!$DD$27:$DJ$27,1,CU333)))),0)</f>
        <v>0</v>
      </c>
      <c r="CV342" s="24">
        <f>IF(CV335=1,IF('Lease Cycles'!$AJ$27=1,0,'Lease Cycles'!$D$27*INDEX('Lease Cycles'!$FH$27:$FN$27,1,CV333)*IF(INDEX('Lease Cycles'!$EF$27:$EL$27,1,CV333)=1,1,IF(OR(INDEX('Lease Cycles'!$DY$27:$EE$27,1,CV333)=1,CV334&gt;0),1,1-INDEX('Lease Cycles'!$DD$27:$DJ$27,1,CV333)))),0)</f>
        <v>0</v>
      </c>
      <c r="CW342" s="24">
        <f>IF(CW335=1,IF('Lease Cycles'!$AJ$27=1,0,'Lease Cycles'!$D$27*INDEX('Lease Cycles'!$FH$27:$FN$27,1,CW333)*IF(INDEX('Lease Cycles'!$EF$27:$EL$27,1,CW333)=1,1,IF(OR(INDEX('Lease Cycles'!$DY$27:$EE$27,1,CW333)=1,CW334&gt;0),1,1-INDEX('Lease Cycles'!$DD$27:$DJ$27,1,CW333)))),0)</f>
        <v>0</v>
      </c>
      <c r="CX342" s="24">
        <f>IF(CX335=1,IF('Lease Cycles'!$AJ$27=1,0,'Lease Cycles'!$D$27*INDEX('Lease Cycles'!$FH$27:$FN$27,1,CX333)*IF(INDEX('Lease Cycles'!$EF$27:$EL$27,1,CX333)=1,1,IF(OR(INDEX('Lease Cycles'!$DY$27:$EE$27,1,CX333)=1,CX334&gt;0),1,1-INDEX('Lease Cycles'!$DD$27:$DJ$27,1,CX333)))),0)</f>
        <v>0</v>
      </c>
      <c r="CY342" s="24">
        <f>IF(CY335=1,IF('Lease Cycles'!$AJ$27=1,0,'Lease Cycles'!$D$27*INDEX('Lease Cycles'!$FH$27:$FN$27,1,CY333)*IF(INDEX('Lease Cycles'!$EF$27:$EL$27,1,CY333)=1,1,IF(OR(INDEX('Lease Cycles'!$DY$27:$EE$27,1,CY333)=1,CY334&gt;0),1,1-INDEX('Lease Cycles'!$DD$27:$DJ$27,1,CY333)))),0)</f>
        <v>0</v>
      </c>
      <c r="CZ342" s="24">
        <f>IF(CZ335=1,IF('Lease Cycles'!$AJ$27=1,0,'Lease Cycles'!$D$27*INDEX('Lease Cycles'!$FH$27:$FN$27,1,CZ333)*IF(INDEX('Lease Cycles'!$EF$27:$EL$27,1,CZ333)=1,1,IF(OR(INDEX('Lease Cycles'!$DY$27:$EE$27,1,CZ333)=1,CZ334&gt;0),1,1-INDEX('Lease Cycles'!$DD$27:$DJ$27,1,CZ333)))),0)</f>
        <v>0</v>
      </c>
      <c r="DA342" s="24">
        <f>IF(DA335=1,IF('Lease Cycles'!$AJ$27=1,0,'Lease Cycles'!$D$27*INDEX('Lease Cycles'!$FH$27:$FN$27,1,DA333)*IF(INDEX('Lease Cycles'!$EF$27:$EL$27,1,DA333)=1,1,IF(OR(INDEX('Lease Cycles'!$DY$27:$EE$27,1,DA333)=1,DA334&gt;0),1,1-INDEX('Lease Cycles'!$DD$27:$DJ$27,1,DA333)))),0)</f>
        <v>0</v>
      </c>
      <c r="DB342" s="24">
        <f>IF(DB335=1,IF('Lease Cycles'!$AJ$27=1,0,'Lease Cycles'!$D$27*INDEX('Lease Cycles'!$FH$27:$FN$27,1,DB333)*IF(INDEX('Lease Cycles'!$EF$27:$EL$27,1,DB333)=1,1,IF(OR(INDEX('Lease Cycles'!$DY$27:$EE$27,1,DB333)=1,DB334&gt;0),1,1-INDEX('Lease Cycles'!$DD$27:$DJ$27,1,DB333)))),0)</f>
        <v>0</v>
      </c>
      <c r="DC342" s="24">
        <f>IF(DC335=1,IF('Lease Cycles'!$AJ$27=1,0,'Lease Cycles'!$D$27*INDEX('Lease Cycles'!$FH$27:$FN$27,1,DC333)*IF(INDEX('Lease Cycles'!$EF$27:$EL$27,1,DC333)=1,1,IF(OR(INDEX('Lease Cycles'!$DY$27:$EE$27,1,DC333)=1,DC334&gt;0),1,1-INDEX('Lease Cycles'!$DD$27:$DJ$27,1,DC333)))),0)</f>
        <v>0</v>
      </c>
      <c r="DD342" s="24">
        <f>IF(DD335=1,IF('Lease Cycles'!$AJ$27=1,0,'Lease Cycles'!$D$27*INDEX('Lease Cycles'!$FH$27:$FN$27,1,DD333)*IF(INDEX('Lease Cycles'!$EF$27:$EL$27,1,DD333)=1,1,IF(OR(INDEX('Lease Cycles'!$DY$27:$EE$27,1,DD333)=1,DD334&gt;0),1,1-INDEX('Lease Cycles'!$DD$27:$DJ$27,1,DD333)))),0)</f>
        <v>0</v>
      </c>
      <c r="DE342" s="24">
        <f>IF(DE335=1,IF('Lease Cycles'!$AJ$27=1,0,'Lease Cycles'!$D$27*INDEX('Lease Cycles'!$FH$27:$FN$27,1,DE333)*IF(INDEX('Lease Cycles'!$EF$27:$EL$27,1,DE333)=1,1,IF(OR(INDEX('Lease Cycles'!$DY$27:$EE$27,1,DE333)=1,DE334&gt;0),1,1-INDEX('Lease Cycles'!$DD$27:$DJ$27,1,DE333)))),0)</f>
        <v>0</v>
      </c>
      <c r="DF342" s="24">
        <f>IF(DF335=1,IF('Lease Cycles'!$AJ$27=1,0,'Lease Cycles'!$D$27*INDEX('Lease Cycles'!$FH$27:$FN$27,1,DF333)*IF(INDEX('Lease Cycles'!$EF$27:$EL$27,1,DF333)=1,1,IF(OR(INDEX('Lease Cycles'!$DY$27:$EE$27,1,DF333)=1,DF334&gt;0),1,1-INDEX('Lease Cycles'!$DD$27:$DJ$27,1,DF333)))),0)</f>
        <v>0</v>
      </c>
      <c r="DG342" s="24">
        <f>IF(DG335=1,IF('Lease Cycles'!$AJ$27=1,0,'Lease Cycles'!$D$27*INDEX('Lease Cycles'!$FH$27:$FN$27,1,DG333)*IF(INDEX('Lease Cycles'!$EF$27:$EL$27,1,DG333)=1,1,IF(OR(INDEX('Lease Cycles'!$DY$27:$EE$27,1,DG333)=1,DG334&gt;0),1,1-INDEX('Lease Cycles'!$DD$27:$DJ$27,1,DG333)))),0)</f>
        <v>0</v>
      </c>
      <c r="DH342" s="24">
        <f>IF(DH335=1,IF('Lease Cycles'!$AJ$27=1,0,'Lease Cycles'!$D$27*INDEX('Lease Cycles'!$FH$27:$FN$27,1,DH333)*IF(INDEX('Lease Cycles'!$EF$27:$EL$27,1,DH333)=1,1,IF(OR(INDEX('Lease Cycles'!$DY$27:$EE$27,1,DH333)=1,DH334&gt;0),1,1-INDEX('Lease Cycles'!$DD$27:$DJ$27,1,DH333)))),0)</f>
        <v>0</v>
      </c>
      <c r="DI342" s="24">
        <f>IF(DI335=1,IF('Lease Cycles'!$AJ$27=1,0,'Lease Cycles'!$D$27*INDEX('Lease Cycles'!$FH$27:$FN$27,1,DI333)*IF(INDEX('Lease Cycles'!$EF$27:$EL$27,1,DI333)=1,1,IF(OR(INDEX('Lease Cycles'!$DY$27:$EE$27,1,DI333)=1,DI334&gt;0),1,1-INDEX('Lease Cycles'!$DD$27:$DJ$27,1,DI333)))),0)</f>
        <v>0</v>
      </c>
      <c r="DJ342" s="24">
        <f>IF(DJ335=1,IF('Lease Cycles'!$AJ$27=1,0,'Lease Cycles'!$D$27*INDEX('Lease Cycles'!$FH$27:$FN$27,1,DJ333)*IF(INDEX('Lease Cycles'!$EF$27:$EL$27,1,DJ333)=1,1,IF(OR(INDEX('Lease Cycles'!$DY$27:$EE$27,1,DJ333)=1,DJ334&gt;0),1,1-INDEX('Lease Cycles'!$DD$27:$DJ$27,1,DJ333)))),0)</f>
        <v>0</v>
      </c>
      <c r="DK342" s="24">
        <f>IF(DK335=1,IF('Lease Cycles'!$AJ$27=1,0,'Lease Cycles'!$D$27*INDEX('Lease Cycles'!$FH$27:$FN$27,1,DK333)*IF(INDEX('Lease Cycles'!$EF$27:$EL$27,1,DK333)=1,1,IF(OR(INDEX('Lease Cycles'!$DY$27:$EE$27,1,DK333)=1,DK334&gt;0),1,1-INDEX('Lease Cycles'!$DD$27:$DJ$27,1,DK333)))),0)</f>
        <v>0</v>
      </c>
      <c r="DL342" s="24">
        <f>IF(DL335=1,IF('Lease Cycles'!$AJ$27=1,0,'Lease Cycles'!$D$27*INDEX('Lease Cycles'!$FH$27:$FN$27,1,DL333)*IF(INDEX('Lease Cycles'!$EF$27:$EL$27,1,DL333)=1,1,IF(OR(INDEX('Lease Cycles'!$DY$27:$EE$27,1,DL333)=1,DL334&gt;0),1,1-INDEX('Lease Cycles'!$DD$27:$DJ$27,1,DL333)))),0)</f>
        <v>0</v>
      </c>
      <c r="DM342" s="24">
        <f>IF(DM335=1,IF('Lease Cycles'!$AJ$27=1,0,'Lease Cycles'!$D$27*INDEX('Lease Cycles'!$FH$27:$FN$27,1,DM333)*IF(INDEX('Lease Cycles'!$EF$27:$EL$27,1,DM333)=1,1,IF(OR(INDEX('Lease Cycles'!$DY$27:$EE$27,1,DM333)=1,DM334&gt;0),1,1-INDEX('Lease Cycles'!$DD$27:$DJ$27,1,DM333)))),0)</f>
        <v>0</v>
      </c>
      <c r="DN342" s="24">
        <f>IF(DN335=1,IF('Lease Cycles'!$AJ$27=1,0,'Lease Cycles'!$D$27*INDEX('Lease Cycles'!$FH$27:$FN$27,1,DN333)*IF(INDEX('Lease Cycles'!$EF$27:$EL$27,1,DN333)=1,1,IF(OR(INDEX('Lease Cycles'!$DY$27:$EE$27,1,DN333)=1,DN334&gt;0),1,1-INDEX('Lease Cycles'!$DD$27:$DJ$27,1,DN333)))),0)</f>
        <v>0</v>
      </c>
      <c r="DO342" s="24">
        <f>IF(DO335=1,IF('Lease Cycles'!$AJ$27=1,0,'Lease Cycles'!$D$27*INDEX('Lease Cycles'!$FH$27:$FN$27,1,DO333)*IF(INDEX('Lease Cycles'!$EF$27:$EL$27,1,DO333)=1,1,IF(OR(INDEX('Lease Cycles'!$DY$27:$EE$27,1,DO333)=1,DO334&gt;0),1,1-INDEX('Lease Cycles'!$DD$27:$DJ$27,1,DO333)))),0)</f>
        <v>0</v>
      </c>
      <c r="DP342" s="24">
        <f>IF(DP335=1,IF('Lease Cycles'!$AJ$27=1,0,'Lease Cycles'!$D$27*INDEX('Lease Cycles'!$FH$27:$FN$27,1,DP333)*IF(INDEX('Lease Cycles'!$EF$27:$EL$27,1,DP333)=1,1,IF(OR(INDEX('Lease Cycles'!$DY$27:$EE$27,1,DP333)=1,DP334&gt;0),1,1-INDEX('Lease Cycles'!$DD$27:$DJ$27,1,DP333)))),0)</f>
        <v>0</v>
      </c>
      <c r="DQ342" s="24">
        <f>IF(DQ335=1,IF('Lease Cycles'!$AJ$27=1,0,'Lease Cycles'!$D$27*INDEX('Lease Cycles'!$FH$27:$FN$27,1,DQ333)*IF(INDEX('Lease Cycles'!$EF$27:$EL$27,1,DQ333)=1,1,IF(OR(INDEX('Lease Cycles'!$DY$27:$EE$27,1,DQ333)=1,DQ334&gt;0),1,1-INDEX('Lease Cycles'!$DD$27:$DJ$27,1,DQ333)))),0)</f>
        <v>0</v>
      </c>
      <c r="DR342" s="24">
        <f>IF(DR335=1,IF('Lease Cycles'!$AJ$27=1,0,'Lease Cycles'!$D$27*INDEX('Lease Cycles'!$FH$27:$FN$27,1,DR333)*IF(INDEX('Lease Cycles'!$EF$27:$EL$27,1,DR333)=1,1,IF(OR(INDEX('Lease Cycles'!$DY$27:$EE$27,1,DR333)=1,DR334&gt;0),1,1-INDEX('Lease Cycles'!$DD$27:$DJ$27,1,DR333)))),0)</f>
        <v>0</v>
      </c>
      <c r="DS342" s="24">
        <f>IF(DS335=1,IF('Lease Cycles'!$AJ$27=1,0,'Lease Cycles'!$D$27*INDEX('Lease Cycles'!$FH$27:$FN$27,1,DS333)*IF(INDEX('Lease Cycles'!$EF$27:$EL$27,1,DS333)=1,1,IF(OR(INDEX('Lease Cycles'!$DY$27:$EE$27,1,DS333)=1,DS334&gt;0),1,1-INDEX('Lease Cycles'!$DD$27:$DJ$27,1,DS333)))),0)</f>
        <v>0</v>
      </c>
      <c r="DT342" s="24">
        <f>IF(DT335=1,IF('Lease Cycles'!$AJ$27=1,0,'Lease Cycles'!$D$27*INDEX('Lease Cycles'!$FH$27:$FN$27,1,DT333)*IF(INDEX('Lease Cycles'!$EF$27:$EL$27,1,DT333)=1,1,IF(OR(INDEX('Lease Cycles'!$DY$27:$EE$27,1,DT333)=1,DT334&gt;0),1,1-INDEX('Lease Cycles'!$DD$27:$DJ$27,1,DT333)))),0)</f>
        <v>0</v>
      </c>
      <c r="DU342" s="24">
        <f>IF(DU335=1,IF('Lease Cycles'!$AJ$27=1,0,'Lease Cycles'!$D$27*INDEX('Lease Cycles'!$FH$27:$FN$27,1,DU333)*IF(INDEX('Lease Cycles'!$EF$27:$EL$27,1,DU333)=1,1,IF(OR(INDEX('Lease Cycles'!$DY$27:$EE$27,1,DU333)=1,DU334&gt;0),1,1-INDEX('Lease Cycles'!$DD$27:$DJ$27,1,DU333)))),0)</f>
        <v>0</v>
      </c>
      <c r="DV342" s="24">
        <f>IF(DV335=1,IF('Lease Cycles'!$AJ$27=1,0,'Lease Cycles'!$D$27*INDEX('Lease Cycles'!$FH$27:$FN$27,1,DV333)*IF(INDEX('Lease Cycles'!$EF$27:$EL$27,1,DV333)=1,1,IF(OR(INDEX('Lease Cycles'!$DY$27:$EE$27,1,DV333)=1,DV334&gt;0),1,1-INDEX('Lease Cycles'!$DD$27:$DJ$27,1,DV333)))),0)</f>
        <v>0</v>
      </c>
      <c r="DW342" s="24">
        <f>IF(DW335=1,IF('Lease Cycles'!$AJ$27=1,0,'Lease Cycles'!$D$27*INDEX('Lease Cycles'!$FH$27:$FN$27,1,DW333)*IF(INDEX('Lease Cycles'!$EF$27:$EL$27,1,DW333)=1,1,IF(OR(INDEX('Lease Cycles'!$DY$27:$EE$27,1,DW333)=1,DW334&gt;0),1,1-INDEX('Lease Cycles'!$DD$27:$DJ$27,1,DW333)))),0)</f>
        <v>0</v>
      </c>
      <c r="DX342" s="24">
        <f>IF(DX335=1,IF('Lease Cycles'!$AJ$27=1,0,'Lease Cycles'!$D$27*INDEX('Lease Cycles'!$FH$27:$FN$27,1,DX333)*IF(INDEX('Lease Cycles'!$EF$27:$EL$27,1,DX333)=1,1,IF(OR(INDEX('Lease Cycles'!$DY$27:$EE$27,1,DX333)=1,DX334&gt;0),1,1-INDEX('Lease Cycles'!$DD$27:$DJ$27,1,DX333)))),0)</f>
        <v>0</v>
      </c>
      <c r="DY342" s="24">
        <f>IF(DY335=1,IF('Lease Cycles'!$AJ$27=1,0,'Lease Cycles'!$D$27*INDEX('Lease Cycles'!$FH$27:$FN$27,1,DY333)*IF(INDEX('Lease Cycles'!$EF$27:$EL$27,1,DY333)=1,1,IF(OR(INDEX('Lease Cycles'!$DY$27:$EE$27,1,DY333)=1,DY334&gt;0),1,1-INDEX('Lease Cycles'!$DD$27:$DJ$27,1,DY333)))),0)</f>
        <v>0</v>
      </c>
      <c r="DZ342" s="24">
        <f>IF(DZ335=1,IF('Lease Cycles'!$AJ$27=1,0,'Lease Cycles'!$D$27*INDEX('Lease Cycles'!$FH$27:$FN$27,1,DZ333)*IF(INDEX('Lease Cycles'!$EF$27:$EL$27,1,DZ333)=1,1,IF(OR(INDEX('Lease Cycles'!$DY$27:$EE$27,1,DZ333)=1,DZ334&gt;0),1,1-INDEX('Lease Cycles'!$DD$27:$DJ$27,1,DZ333)))),0)</f>
        <v>0</v>
      </c>
      <c r="EA342" s="24">
        <f>IF(EA335=1,IF('Lease Cycles'!$AJ$27=1,0,'Lease Cycles'!$D$27*INDEX('Lease Cycles'!$FH$27:$FN$27,1,EA333)*IF(INDEX('Lease Cycles'!$EF$27:$EL$27,1,EA333)=1,1,IF(OR(INDEX('Lease Cycles'!$DY$27:$EE$27,1,EA333)=1,EA334&gt;0),1,1-INDEX('Lease Cycles'!$DD$27:$DJ$27,1,EA333)))),0)</f>
        <v>0</v>
      </c>
      <c r="EB342" s="24">
        <f>IF(EB335=1,IF('Lease Cycles'!$AJ$27=1,0,'Lease Cycles'!$D$27*INDEX('Lease Cycles'!$FH$27:$FN$27,1,EB333)*IF(INDEX('Lease Cycles'!$EF$27:$EL$27,1,EB333)=1,1,IF(OR(INDEX('Lease Cycles'!$DY$27:$EE$27,1,EB333)=1,EB334&gt;0),1,1-INDEX('Lease Cycles'!$DD$27:$DJ$27,1,EB333)))),0)</f>
        <v>0</v>
      </c>
      <c r="EC342" s="24">
        <f>IF(EC335=1,IF('Lease Cycles'!$AJ$27=1,0,'Lease Cycles'!$D$27*INDEX('Lease Cycles'!$FH$27:$FN$27,1,EC333)*IF(INDEX('Lease Cycles'!$EF$27:$EL$27,1,EC333)=1,1,IF(OR(INDEX('Lease Cycles'!$DY$27:$EE$27,1,EC333)=1,EC334&gt;0),1,1-INDEX('Lease Cycles'!$DD$27:$DJ$27,1,EC333)))),0)</f>
        <v>0</v>
      </c>
      <c r="ED342" s="24">
        <f>IF(ED335=1,IF('Lease Cycles'!$AJ$27=1,0,'Lease Cycles'!$D$27*INDEX('Lease Cycles'!$FH$27:$FN$27,1,ED333)*IF(INDEX('Lease Cycles'!$EF$27:$EL$27,1,ED333)=1,1,IF(OR(INDEX('Lease Cycles'!$DY$27:$EE$27,1,ED333)=1,ED334&gt;0),1,1-INDEX('Lease Cycles'!$DD$27:$DJ$27,1,ED333)))),0)</f>
        <v>0</v>
      </c>
      <c r="EE342" s="24">
        <f>IF(EE335=1,IF('Lease Cycles'!$AJ$27=1,0,'Lease Cycles'!$D$27*INDEX('Lease Cycles'!$FH$27:$FN$27,1,EE333)*IF(INDEX('Lease Cycles'!$EF$27:$EL$27,1,EE333)=1,1,IF(OR(INDEX('Lease Cycles'!$DY$27:$EE$27,1,EE333)=1,EE334&gt;0),1,1-INDEX('Lease Cycles'!$DD$27:$DJ$27,1,EE333)))),0)</f>
        <v>0</v>
      </c>
      <c r="EF342" s="24">
        <f>IF(EF335=1,IF('Lease Cycles'!$AJ$27=1,0,'Lease Cycles'!$D$27*INDEX('Lease Cycles'!$FH$27:$FN$27,1,EF333)*IF(INDEX('Lease Cycles'!$EF$27:$EL$27,1,EF333)=1,1,IF(OR(INDEX('Lease Cycles'!$DY$27:$EE$27,1,EF333)=1,EF334&gt;0),1,1-INDEX('Lease Cycles'!$DD$27:$DJ$27,1,EF333)))),0)</f>
        <v>0</v>
      </c>
      <c r="EG342" s="24">
        <f>IF(EG335=1,IF('Lease Cycles'!$AJ$27=1,0,'Lease Cycles'!$D$27*INDEX('Lease Cycles'!$FH$27:$FN$27,1,EG333)*IF(INDEX('Lease Cycles'!$EF$27:$EL$27,1,EG333)=1,1,IF(OR(INDEX('Lease Cycles'!$DY$27:$EE$27,1,EG333)=1,EG334&gt;0),1,1-INDEX('Lease Cycles'!$DD$27:$DJ$27,1,EG333)))),0)</f>
        <v>0</v>
      </c>
      <c r="EH342" s="24">
        <f>IF(EH335=1,IF('Lease Cycles'!$AJ$27=1,0,'Lease Cycles'!$D$27*INDEX('Lease Cycles'!$FH$27:$FN$27,1,EH333)*IF(INDEX('Lease Cycles'!$EF$27:$EL$27,1,EH333)=1,1,IF(OR(INDEX('Lease Cycles'!$DY$27:$EE$27,1,EH333)=1,EH334&gt;0),1,1-INDEX('Lease Cycles'!$DD$27:$DJ$27,1,EH333)))),0)</f>
        <v>0</v>
      </c>
      <c r="EI342" s="24">
        <f>IF(EI335=1,IF('Lease Cycles'!$AJ$27=1,0,'Lease Cycles'!$D$27*INDEX('Lease Cycles'!$FH$27:$FN$27,1,EI333)*IF(INDEX('Lease Cycles'!$EF$27:$EL$27,1,EI333)=1,1,IF(OR(INDEX('Lease Cycles'!$DY$27:$EE$27,1,EI333)=1,EI334&gt;0),1,1-INDEX('Lease Cycles'!$DD$27:$DJ$27,1,EI333)))),0)</f>
        <v>0</v>
      </c>
      <c r="EJ342" s="24">
        <f>IF(EJ335=1,IF('Lease Cycles'!$AJ$27=1,0,'Lease Cycles'!$D$27*INDEX('Lease Cycles'!$FH$27:$FN$27,1,EJ333)*IF(INDEX('Lease Cycles'!$EF$27:$EL$27,1,EJ333)=1,1,IF(OR(INDEX('Lease Cycles'!$DY$27:$EE$27,1,EJ333)=1,EJ334&gt;0),1,1-INDEX('Lease Cycles'!$DD$27:$DJ$27,1,EJ333)))),0)</f>
        <v>0</v>
      </c>
      <c r="EK342" s="24">
        <f>IF(EK335=1,IF('Lease Cycles'!$AJ$27=1,0,'Lease Cycles'!$D$27*INDEX('Lease Cycles'!$FH$27:$FN$27,1,EK333)*IF(INDEX('Lease Cycles'!$EF$27:$EL$27,1,EK333)=1,1,IF(OR(INDEX('Lease Cycles'!$DY$27:$EE$27,1,EK333)=1,EK334&gt;0),1,1-INDEX('Lease Cycles'!$DD$27:$DJ$27,1,EK333)))),0)</f>
        <v>0</v>
      </c>
      <c r="EL342" s="24">
        <f>IF(EL335=1,IF('Lease Cycles'!$AJ$27=1,0,'Lease Cycles'!$D$27*INDEX('Lease Cycles'!$FH$27:$FN$27,1,EL333)*IF(INDEX('Lease Cycles'!$EF$27:$EL$27,1,EL333)=1,1,IF(OR(INDEX('Lease Cycles'!$DY$27:$EE$27,1,EL333)=1,EL334&gt;0),1,1-INDEX('Lease Cycles'!$DD$27:$DJ$27,1,EL333)))),0)</f>
        <v>0</v>
      </c>
      <c r="EM342" s="24">
        <f>IF(EM335=1,IF('Lease Cycles'!$AJ$27=1,0,'Lease Cycles'!$D$27*INDEX('Lease Cycles'!$FH$27:$FN$27,1,EM333)*IF(INDEX('Lease Cycles'!$EF$27:$EL$27,1,EM333)=1,1,IF(OR(INDEX('Lease Cycles'!$DY$27:$EE$27,1,EM333)=1,EM334&gt;0),1,1-INDEX('Lease Cycles'!$DD$27:$DJ$27,1,EM333)))),0)</f>
        <v>0</v>
      </c>
      <c r="EN342" s="24">
        <f>IF(EN335=1,IF('Lease Cycles'!$AJ$27=1,0,'Lease Cycles'!$D$27*INDEX('Lease Cycles'!$FH$27:$FN$27,1,EN333)*IF(INDEX('Lease Cycles'!$EF$27:$EL$27,1,EN333)=1,1,IF(OR(INDEX('Lease Cycles'!$DY$27:$EE$27,1,EN333)=1,EN334&gt;0),1,1-INDEX('Lease Cycles'!$DD$27:$DJ$27,1,EN333)))),0)</f>
        <v>0</v>
      </c>
      <c r="EO342" s="24">
        <f>IF(EO335=1,IF('Lease Cycles'!$AJ$27=1,0,'Lease Cycles'!$D$27*INDEX('Lease Cycles'!$FH$27:$FN$27,1,EO333)*IF(INDEX('Lease Cycles'!$EF$27:$EL$27,1,EO333)=1,1,IF(OR(INDEX('Lease Cycles'!$DY$27:$EE$27,1,EO333)=1,EO334&gt;0),1,1-INDEX('Lease Cycles'!$DD$27:$DJ$27,1,EO333)))),0)</f>
        <v>0</v>
      </c>
      <c r="EP342" s="24">
        <f>IF(EP335=1,IF('Lease Cycles'!$AJ$27=1,0,'Lease Cycles'!$D$27*INDEX('Lease Cycles'!$FH$27:$FN$27,1,EP333)*IF(INDEX('Lease Cycles'!$EF$27:$EL$27,1,EP333)=1,1,IF(OR(INDEX('Lease Cycles'!$DY$27:$EE$27,1,EP333)=1,EP334&gt;0),1,1-INDEX('Lease Cycles'!$DD$27:$DJ$27,1,EP333)))),0)</f>
        <v>0</v>
      </c>
      <c r="EQ342" s="24">
        <f>IF(EQ335=1,IF('Lease Cycles'!$AJ$27=1,0,'Lease Cycles'!$D$27*INDEX('Lease Cycles'!$FH$27:$FN$27,1,EQ333)*IF(INDEX('Lease Cycles'!$EF$27:$EL$27,1,EQ333)=1,1,IF(OR(INDEX('Lease Cycles'!$DY$27:$EE$27,1,EQ333)=1,EQ334&gt;0),1,1-INDEX('Lease Cycles'!$DD$27:$DJ$27,1,EQ333)))),0)</f>
        <v>0</v>
      </c>
      <c r="ER342" s="24">
        <f>IF(ER335=1,IF('Lease Cycles'!$AJ$27=1,0,'Lease Cycles'!$D$27*INDEX('Lease Cycles'!$FH$27:$FN$27,1,ER333)*IF(INDEX('Lease Cycles'!$EF$27:$EL$27,1,ER333)=1,1,IF(OR(INDEX('Lease Cycles'!$DY$27:$EE$27,1,ER333)=1,ER334&gt;0),1,1-INDEX('Lease Cycles'!$DD$27:$DJ$27,1,ER333)))),0)</f>
        <v>0</v>
      </c>
      <c r="ES342" s="24">
        <f>IF(ES335=1,IF('Lease Cycles'!$AJ$27=1,0,'Lease Cycles'!$D$27*INDEX('Lease Cycles'!$FH$27:$FN$27,1,ES333)*IF(INDEX('Lease Cycles'!$EF$27:$EL$27,1,ES333)=1,1,IF(OR(INDEX('Lease Cycles'!$DY$27:$EE$27,1,ES333)=1,ES334&gt;0),1,1-INDEX('Lease Cycles'!$DD$27:$DJ$27,1,ES333)))),0)</f>
        <v>0</v>
      </c>
      <c r="ET342" s="24">
        <f>IF(ET335=1,IF('Lease Cycles'!$AJ$27=1,0,'Lease Cycles'!$D$27*INDEX('Lease Cycles'!$FH$27:$FN$27,1,ET333)*IF(INDEX('Lease Cycles'!$EF$27:$EL$27,1,ET333)=1,1,IF(OR(INDEX('Lease Cycles'!$DY$27:$EE$27,1,ET333)=1,ET334&gt;0),1,1-INDEX('Lease Cycles'!$DD$27:$DJ$27,1,ET333)))),0)</f>
        <v>0</v>
      </c>
    </row>
    <row r="343">
      <c r="A343" s="103">
        <v>20</v>
      </c>
      <c r="B343" s="23" t="str">
        <f>IF('Lease Cycles'!$B$27="","(empty slot)",'Lease Cycles'!$B$27)</f>
        <v>(empty slot)</v>
      </c>
      <c r="C343" s="23" t="s">
        <v>687</v>
      </c>
      <c r="D343" s="104" t="s">
        <v>688</v>
      </c>
      <c r="E343" s="25">
        <f>'Lease Cycles'!$AL$27</f>
        <v>0</v>
      </c>
      <c r="G343" s="24">
        <f>SUM(S343:AD343)</f>
        <v>0</v>
      </c>
      <c r="H343" s="24">
        <f>SUM(AE343:AP343)</f>
        <v>0</v>
      </c>
      <c r="I343" s="24">
        <f>SUM(AQ343:BB343)</f>
        <v>0</v>
      </c>
      <c r="J343" s="24">
        <f>SUM(BC343:BN343)</f>
        <v>0</v>
      </c>
      <c r="K343" s="24">
        <f>SUM(BO343:BZ343)</f>
        <v>0</v>
      </c>
      <c r="L343" s="24">
        <f>SUM(CA343:CL343)</f>
        <v>0</v>
      </c>
      <c r="M343" s="24">
        <f>SUM(CM343:CX343)</f>
        <v>0</v>
      </c>
      <c r="N343" s="24">
        <f>SUM(CY343:DJ343)</f>
        <v>0</v>
      </c>
      <c r="O343" s="24">
        <f>SUM(DK343:DV343)</f>
        <v>0</v>
      </c>
      <c r="P343" s="24">
        <f>SUM(DW343:EH343)</f>
        <v>0</v>
      </c>
      <c r="Q343" s="24">
        <f>SUM(EI343:ET343)</f>
        <v>0</v>
      </c>
      <c r="S343" s="24">
        <f>IF(S335=1,'Lease Cycles'!$D$27*IF(INDEX('Lease Cycles'!$EF$27:$EL$27,1,S333)=1,'Lease Cycles'!$AJ$27*INDEX('Lease Cycles'!$FO$27:$FU$27,1,S333)*INDEX('Lease Cycles'!$EM$27:$ES$27,1,S333)+'Lease Cycles'!$BE$27*IF(S334&lt;INDEX('Lease Cycles'!$FA$27:$FG$27,1,S333),0,1-INDEX('Lease Cycles'!$EM$27:$ES$27,1,S333)),IF(OR(INDEX('Lease Cycles'!$DY$27:$EE$27,1,S333)=1,S334&gt;0),1,1-INDEX('Lease Cycles'!$DD$27:$DJ$27,1,S333))*('Lease Cycles'!$AJ$27*INDEX('Lease Cycles'!$FO$27:$FU$27,1,S333)+'Lease Cycles'!$BE$27*(1-INDEX('Lease Cycles'!$FO$27:$FU$27,1,S333)))),0)</f>
        <v>0</v>
      </c>
      <c r="T343" s="24">
        <f>IF(T335=1,'Lease Cycles'!$D$27*IF(INDEX('Lease Cycles'!$EF$27:$EL$27,1,T333)=1,'Lease Cycles'!$AJ$27*INDEX('Lease Cycles'!$FO$27:$FU$27,1,T333)*INDEX('Lease Cycles'!$EM$27:$ES$27,1,T333)+'Lease Cycles'!$BE$27*IF(T334&lt;INDEX('Lease Cycles'!$FA$27:$FG$27,1,T333),0,1-INDEX('Lease Cycles'!$EM$27:$ES$27,1,T333)),IF(OR(INDEX('Lease Cycles'!$DY$27:$EE$27,1,T333)=1,T334&gt;0),1,1-INDEX('Lease Cycles'!$DD$27:$DJ$27,1,T333))*('Lease Cycles'!$AJ$27*INDEX('Lease Cycles'!$FO$27:$FU$27,1,T333)+'Lease Cycles'!$BE$27*(1-INDEX('Lease Cycles'!$FO$27:$FU$27,1,T333)))),0)</f>
        <v>0</v>
      </c>
      <c r="U343" s="24">
        <f>IF(U335=1,'Lease Cycles'!$D$27*IF(INDEX('Lease Cycles'!$EF$27:$EL$27,1,U333)=1,'Lease Cycles'!$AJ$27*INDEX('Lease Cycles'!$FO$27:$FU$27,1,U333)*INDEX('Lease Cycles'!$EM$27:$ES$27,1,U333)+'Lease Cycles'!$BE$27*IF(U334&lt;INDEX('Lease Cycles'!$FA$27:$FG$27,1,U333),0,1-INDEX('Lease Cycles'!$EM$27:$ES$27,1,U333)),IF(OR(INDEX('Lease Cycles'!$DY$27:$EE$27,1,U333)=1,U334&gt;0),1,1-INDEX('Lease Cycles'!$DD$27:$DJ$27,1,U333))*('Lease Cycles'!$AJ$27*INDEX('Lease Cycles'!$FO$27:$FU$27,1,U333)+'Lease Cycles'!$BE$27*(1-INDEX('Lease Cycles'!$FO$27:$FU$27,1,U333)))),0)</f>
        <v>0</v>
      </c>
      <c r="V343" s="24">
        <f>IF(V335=1,'Lease Cycles'!$D$27*IF(INDEX('Lease Cycles'!$EF$27:$EL$27,1,V333)=1,'Lease Cycles'!$AJ$27*INDEX('Lease Cycles'!$FO$27:$FU$27,1,V333)*INDEX('Lease Cycles'!$EM$27:$ES$27,1,V333)+'Lease Cycles'!$BE$27*IF(V334&lt;INDEX('Lease Cycles'!$FA$27:$FG$27,1,V333),0,1-INDEX('Lease Cycles'!$EM$27:$ES$27,1,V333)),IF(OR(INDEX('Lease Cycles'!$DY$27:$EE$27,1,V333)=1,V334&gt;0),1,1-INDEX('Lease Cycles'!$DD$27:$DJ$27,1,V333))*('Lease Cycles'!$AJ$27*INDEX('Lease Cycles'!$FO$27:$FU$27,1,V333)+'Lease Cycles'!$BE$27*(1-INDEX('Lease Cycles'!$FO$27:$FU$27,1,V333)))),0)</f>
        <v>0</v>
      </c>
      <c r="W343" s="24">
        <f>IF(W335=1,'Lease Cycles'!$D$27*IF(INDEX('Lease Cycles'!$EF$27:$EL$27,1,W333)=1,'Lease Cycles'!$AJ$27*INDEX('Lease Cycles'!$FO$27:$FU$27,1,W333)*INDEX('Lease Cycles'!$EM$27:$ES$27,1,W333)+'Lease Cycles'!$BE$27*IF(W334&lt;INDEX('Lease Cycles'!$FA$27:$FG$27,1,W333),0,1-INDEX('Lease Cycles'!$EM$27:$ES$27,1,W333)),IF(OR(INDEX('Lease Cycles'!$DY$27:$EE$27,1,W333)=1,W334&gt;0),1,1-INDEX('Lease Cycles'!$DD$27:$DJ$27,1,W333))*('Lease Cycles'!$AJ$27*INDEX('Lease Cycles'!$FO$27:$FU$27,1,W333)+'Lease Cycles'!$BE$27*(1-INDEX('Lease Cycles'!$FO$27:$FU$27,1,W333)))),0)</f>
        <v>0</v>
      </c>
      <c r="X343" s="24">
        <f>IF(X335=1,'Lease Cycles'!$D$27*IF(INDEX('Lease Cycles'!$EF$27:$EL$27,1,X333)=1,'Lease Cycles'!$AJ$27*INDEX('Lease Cycles'!$FO$27:$FU$27,1,X333)*INDEX('Lease Cycles'!$EM$27:$ES$27,1,X333)+'Lease Cycles'!$BE$27*IF(X334&lt;INDEX('Lease Cycles'!$FA$27:$FG$27,1,X333),0,1-INDEX('Lease Cycles'!$EM$27:$ES$27,1,X333)),IF(OR(INDEX('Lease Cycles'!$DY$27:$EE$27,1,X333)=1,X334&gt;0),1,1-INDEX('Lease Cycles'!$DD$27:$DJ$27,1,X333))*('Lease Cycles'!$AJ$27*INDEX('Lease Cycles'!$FO$27:$FU$27,1,X333)+'Lease Cycles'!$BE$27*(1-INDEX('Lease Cycles'!$FO$27:$FU$27,1,X333)))),0)</f>
        <v>0</v>
      </c>
      <c r="Y343" s="24">
        <f>IF(Y335=1,'Lease Cycles'!$D$27*IF(INDEX('Lease Cycles'!$EF$27:$EL$27,1,Y333)=1,'Lease Cycles'!$AJ$27*INDEX('Lease Cycles'!$FO$27:$FU$27,1,Y333)*INDEX('Lease Cycles'!$EM$27:$ES$27,1,Y333)+'Lease Cycles'!$BE$27*IF(Y334&lt;INDEX('Lease Cycles'!$FA$27:$FG$27,1,Y333),0,1-INDEX('Lease Cycles'!$EM$27:$ES$27,1,Y333)),IF(OR(INDEX('Lease Cycles'!$DY$27:$EE$27,1,Y333)=1,Y334&gt;0),1,1-INDEX('Lease Cycles'!$DD$27:$DJ$27,1,Y333))*('Lease Cycles'!$AJ$27*INDEX('Lease Cycles'!$FO$27:$FU$27,1,Y333)+'Lease Cycles'!$BE$27*(1-INDEX('Lease Cycles'!$FO$27:$FU$27,1,Y333)))),0)</f>
        <v>0</v>
      </c>
      <c r="Z343" s="24">
        <f>IF(Z335=1,'Lease Cycles'!$D$27*IF(INDEX('Lease Cycles'!$EF$27:$EL$27,1,Z333)=1,'Lease Cycles'!$AJ$27*INDEX('Lease Cycles'!$FO$27:$FU$27,1,Z333)*INDEX('Lease Cycles'!$EM$27:$ES$27,1,Z333)+'Lease Cycles'!$BE$27*IF(Z334&lt;INDEX('Lease Cycles'!$FA$27:$FG$27,1,Z333),0,1-INDEX('Lease Cycles'!$EM$27:$ES$27,1,Z333)),IF(OR(INDEX('Lease Cycles'!$DY$27:$EE$27,1,Z333)=1,Z334&gt;0),1,1-INDEX('Lease Cycles'!$DD$27:$DJ$27,1,Z333))*('Lease Cycles'!$AJ$27*INDEX('Lease Cycles'!$FO$27:$FU$27,1,Z333)+'Lease Cycles'!$BE$27*(1-INDEX('Lease Cycles'!$FO$27:$FU$27,1,Z333)))),0)</f>
        <v>0</v>
      </c>
      <c r="AA343" s="24">
        <f>IF(AA335=1,'Lease Cycles'!$D$27*IF(INDEX('Lease Cycles'!$EF$27:$EL$27,1,AA333)=1,'Lease Cycles'!$AJ$27*INDEX('Lease Cycles'!$FO$27:$FU$27,1,AA333)*INDEX('Lease Cycles'!$EM$27:$ES$27,1,AA333)+'Lease Cycles'!$BE$27*IF(AA334&lt;INDEX('Lease Cycles'!$FA$27:$FG$27,1,AA333),0,1-INDEX('Lease Cycles'!$EM$27:$ES$27,1,AA333)),IF(OR(INDEX('Lease Cycles'!$DY$27:$EE$27,1,AA333)=1,AA334&gt;0),1,1-INDEX('Lease Cycles'!$DD$27:$DJ$27,1,AA333))*('Lease Cycles'!$AJ$27*INDEX('Lease Cycles'!$FO$27:$FU$27,1,AA333)+'Lease Cycles'!$BE$27*(1-INDEX('Lease Cycles'!$FO$27:$FU$27,1,AA333)))),0)</f>
        <v>0</v>
      </c>
      <c r="AB343" s="24">
        <f>IF(AB335=1,'Lease Cycles'!$D$27*IF(INDEX('Lease Cycles'!$EF$27:$EL$27,1,AB333)=1,'Lease Cycles'!$AJ$27*INDEX('Lease Cycles'!$FO$27:$FU$27,1,AB333)*INDEX('Lease Cycles'!$EM$27:$ES$27,1,AB333)+'Lease Cycles'!$BE$27*IF(AB334&lt;INDEX('Lease Cycles'!$FA$27:$FG$27,1,AB333),0,1-INDEX('Lease Cycles'!$EM$27:$ES$27,1,AB333)),IF(OR(INDEX('Lease Cycles'!$DY$27:$EE$27,1,AB333)=1,AB334&gt;0),1,1-INDEX('Lease Cycles'!$DD$27:$DJ$27,1,AB333))*('Lease Cycles'!$AJ$27*INDEX('Lease Cycles'!$FO$27:$FU$27,1,AB333)+'Lease Cycles'!$BE$27*(1-INDEX('Lease Cycles'!$FO$27:$FU$27,1,AB333)))),0)</f>
        <v>0</v>
      </c>
      <c r="AC343" s="24">
        <f>IF(AC335=1,'Lease Cycles'!$D$27*IF(INDEX('Lease Cycles'!$EF$27:$EL$27,1,AC333)=1,'Lease Cycles'!$AJ$27*INDEX('Lease Cycles'!$FO$27:$FU$27,1,AC333)*INDEX('Lease Cycles'!$EM$27:$ES$27,1,AC333)+'Lease Cycles'!$BE$27*IF(AC334&lt;INDEX('Lease Cycles'!$FA$27:$FG$27,1,AC333),0,1-INDEX('Lease Cycles'!$EM$27:$ES$27,1,AC333)),IF(OR(INDEX('Lease Cycles'!$DY$27:$EE$27,1,AC333)=1,AC334&gt;0),1,1-INDEX('Lease Cycles'!$DD$27:$DJ$27,1,AC333))*('Lease Cycles'!$AJ$27*INDEX('Lease Cycles'!$FO$27:$FU$27,1,AC333)+'Lease Cycles'!$BE$27*(1-INDEX('Lease Cycles'!$FO$27:$FU$27,1,AC333)))),0)</f>
        <v>0</v>
      </c>
      <c r="AD343" s="24">
        <f>IF(AD335=1,'Lease Cycles'!$D$27*IF(INDEX('Lease Cycles'!$EF$27:$EL$27,1,AD333)=1,'Lease Cycles'!$AJ$27*INDEX('Lease Cycles'!$FO$27:$FU$27,1,AD333)*INDEX('Lease Cycles'!$EM$27:$ES$27,1,AD333)+'Lease Cycles'!$BE$27*IF(AD334&lt;INDEX('Lease Cycles'!$FA$27:$FG$27,1,AD333),0,1-INDEX('Lease Cycles'!$EM$27:$ES$27,1,AD333)),IF(OR(INDEX('Lease Cycles'!$DY$27:$EE$27,1,AD333)=1,AD334&gt;0),1,1-INDEX('Lease Cycles'!$DD$27:$DJ$27,1,AD333))*('Lease Cycles'!$AJ$27*INDEX('Lease Cycles'!$FO$27:$FU$27,1,AD333)+'Lease Cycles'!$BE$27*(1-INDEX('Lease Cycles'!$FO$27:$FU$27,1,AD333)))),0)</f>
        <v>0</v>
      </c>
      <c r="AE343" s="24">
        <f>IF(AE335=1,'Lease Cycles'!$D$27*IF(INDEX('Lease Cycles'!$EF$27:$EL$27,1,AE333)=1,'Lease Cycles'!$AJ$27*INDEX('Lease Cycles'!$FO$27:$FU$27,1,AE333)*INDEX('Lease Cycles'!$EM$27:$ES$27,1,AE333)+'Lease Cycles'!$BE$27*IF(AE334&lt;INDEX('Lease Cycles'!$FA$27:$FG$27,1,AE333),0,1-INDEX('Lease Cycles'!$EM$27:$ES$27,1,AE333)),IF(OR(INDEX('Lease Cycles'!$DY$27:$EE$27,1,AE333)=1,AE334&gt;0),1,1-INDEX('Lease Cycles'!$DD$27:$DJ$27,1,AE333))*('Lease Cycles'!$AJ$27*INDEX('Lease Cycles'!$FO$27:$FU$27,1,AE333)+'Lease Cycles'!$BE$27*(1-INDEX('Lease Cycles'!$FO$27:$FU$27,1,AE333)))),0)</f>
        <v>0</v>
      </c>
      <c r="AF343" s="24">
        <f>IF(AF335=1,'Lease Cycles'!$D$27*IF(INDEX('Lease Cycles'!$EF$27:$EL$27,1,AF333)=1,'Lease Cycles'!$AJ$27*INDEX('Lease Cycles'!$FO$27:$FU$27,1,AF333)*INDEX('Lease Cycles'!$EM$27:$ES$27,1,AF333)+'Lease Cycles'!$BE$27*IF(AF334&lt;INDEX('Lease Cycles'!$FA$27:$FG$27,1,AF333),0,1-INDEX('Lease Cycles'!$EM$27:$ES$27,1,AF333)),IF(OR(INDEX('Lease Cycles'!$DY$27:$EE$27,1,AF333)=1,AF334&gt;0),1,1-INDEX('Lease Cycles'!$DD$27:$DJ$27,1,AF333))*('Lease Cycles'!$AJ$27*INDEX('Lease Cycles'!$FO$27:$FU$27,1,AF333)+'Lease Cycles'!$BE$27*(1-INDEX('Lease Cycles'!$FO$27:$FU$27,1,AF333)))),0)</f>
        <v>0</v>
      </c>
      <c r="AG343" s="24">
        <f>IF(AG335=1,'Lease Cycles'!$D$27*IF(INDEX('Lease Cycles'!$EF$27:$EL$27,1,AG333)=1,'Lease Cycles'!$AJ$27*INDEX('Lease Cycles'!$FO$27:$FU$27,1,AG333)*INDEX('Lease Cycles'!$EM$27:$ES$27,1,AG333)+'Lease Cycles'!$BE$27*IF(AG334&lt;INDEX('Lease Cycles'!$FA$27:$FG$27,1,AG333),0,1-INDEX('Lease Cycles'!$EM$27:$ES$27,1,AG333)),IF(OR(INDEX('Lease Cycles'!$DY$27:$EE$27,1,AG333)=1,AG334&gt;0),1,1-INDEX('Lease Cycles'!$DD$27:$DJ$27,1,AG333))*('Lease Cycles'!$AJ$27*INDEX('Lease Cycles'!$FO$27:$FU$27,1,AG333)+'Lease Cycles'!$BE$27*(1-INDEX('Lease Cycles'!$FO$27:$FU$27,1,AG333)))),0)</f>
        <v>0</v>
      </c>
      <c r="AH343" s="24">
        <f>IF(AH335=1,'Lease Cycles'!$D$27*IF(INDEX('Lease Cycles'!$EF$27:$EL$27,1,AH333)=1,'Lease Cycles'!$AJ$27*INDEX('Lease Cycles'!$FO$27:$FU$27,1,AH333)*INDEX('Lease Cycles'!$EM$27:$ES$27,1,AH333)+'Lease Cycles'!$BE$27*IF(AH334&lt;INDEX('Lease Cycles'!$FA$27:$FG$27,1,AH333),0,1-INDEX('Lease Cycles'!$EM$27:$ES$27,1,AH333)),IF(OR(INDEX('Lease Cycles'!$DY$27:$EE$27,1,AH333)=1,AH334&gt;0),1,1-INDEX('Lease Cycles'!$DD$27:$DJ$27,1,AH333))*('Lease Cycles'!$AJ$27*INDEX('Lease Cycles'!$FO$27:$FU$27,1,AH333)+'Lease Cycles'!$BE$27*(1-INDEX('Lease Cycles'!$FO$27:$FU$27,1,AH333)))),0)</f>
        <v>0</v>
      </c>
      <c r="AI343" s="24">
        <f>IF(AI335=1,'Lease Cycles'!$D$27*IF(INDEX('Lease Cycles'!$EF$27:$EL$27,1,AI333)=1,'Lease Cycles'!$AJ$27*INDEX('Lease Cycles'!$FO$27:$FU$27,1,AI333)*INDEX('Lease Cycles'!$EM$27:$ES$27,1,AI333)+'Lease Cycles'!$BE$27*IF(AI334&lt;INDEX('Lease Cycles'!$FA$27:$FG$27,1,AI333),0,1-INDEX('Lease Cycles'!$EM$27:$ES$27,1,AI333)),IF(OR(INDEX('Lease Cycles'!$DY$27:$EE$27,1,AI333)=1,AI334&gt;0),1,1-INDEX('Lease Cycles'!$DD$27:$DJ$27,1,AI333))*('Lease Cycles'!$AJ$27*INDEX('Lease Cycles'!$FO$27:$FU$27,1,AI333)+'Lease Cycles'!$BE$27*(1-INDEX('Lease Cycles'!$FO$27:$FU$27,1,AI333)))),0)</f>
        <v>0</v>
      </c>
      <c r="AJ343" s="24">
        <f>IF(AJ335=1,'Lease Cycles'!$D$27*IF(INDEX('Lease Cycles'!$EF$27:$EL$27,1,AJ333)=1,'Lease Cycles'!$AJ$27*INDEX('Lease Cycles'!$FO$27:$FU$27,1,AJ333)*INDEX('Lease Cycles'!$EM$27:$ES$27,1,AJ333)+'Lease Cycles'!$BE$27*IF(AJ334&lt;INDEX('Lease Cycles'!$FA$27:$FG$27,1,AJ333),0,1-INDEX('Lease Cycles'!$EM$27:$ES$27,1,AJ333)),IF(OR(INDEX('Lease Cycles'!$DY$27:$EE$27,1,AJ333)=1,AJ334&gt;0),1,1-INDEX('Lease Cycles'!$DD$27:$DJ$27,1,AJ333))*('Lease Cycles'!$AJ$27*INDEX('Lease Cycles'!$FO$27:$FU$27,1,AJ333)+'Lease Cycles'!$BE$27*(1-INDEX('Lease Cycles'!$FO$27:$FU$27,1,AJ333)))),0)</f>
        <v>0</v>
      </c>
      <c r="AK343" s="24">
        <f>IF(AK335=1,'Lease Cycles'!$D$27*IF(INDEX('Lease Cycles'!$EF$27:$EL$27,1,AK333)=1,'Lease Cycles'!$AJ$27*INDEX('Lease Cycles'!$FO$27:$FU$27,1,AK333)*INDEX('Lease Cycles'!$EM$27:$ES$27,1,AK333)+'Lease Cycles'!$BE$27*IF(AK334&lt;INDEX('Lease Cycles'!$FA$27:$FG$27,1,AK333),0,1-INDEX('Lease Cycles'!$EM$27:$ES$27,1,AK333)),IF(OR(INDEX('Lease Cycles'!$DY$27:$EE$27,1,AK333)=1,AK334&gt;0),1,1-INDEX('Lease Cycles'!$DD$27:$DJ$27,1,AK333))*('Lease Cycles'!$AJ$27*INDEX('Lease Cycles'!$FO$27:$FU$27,1,AK333)+'Lease Cycles'!$BE$27*(1-INDEX('Lease Cycles'!$FO$27:$FU$27,1,AK333)))),0)</f>
        <v>0</v>
      </c>
      <c r="AL343" s="24">
        <f>IF(AL335=1,'Lease Cycles'!$D$27*IF(INDEX('Lease Cycles'!$EF$27:$EL$27,1,AL333)=1,'Lease Cycles'!$AJ$27*INDEX('Lease Cycles'!$FO$27:$FU$27,1,AL333)*INDEX('Lease Cycles'!$EM$27:$ES$27,1,AL333)+'Lease Cycles'!$BE$27*IF(AL334&lt;INDEX('Lease Cycles'!$FA$27:$FG$27,1,AL333),0,1-INDEX('Lease Cycles'!$EM$27:$ES$27,1,AL333)),IF(OR(INDEX('Lease Cycles'!$DY$27:$EE$27,1,AL333)=1,AL334&gt;0),1,1-INDEX('Lease Cycles'!$DD$27:$DJ$27,1,AL333))*('Lease Cycles'!$AJ$27*INDEX('Lease Cycles'!$FO$27:$FU$27,1,AL333)+'Lease Cycles'!$BE$27*(1-INDEX('Lease Cycles'!$FO$27:$FU$27,1,AL333)))),0)</f>
        <v>0</v>
      </c>
      <c r="AM343" s="24">
        <f>IF(AM335=1,'Lease Cycles'!$D$27*IF(INDEX('Lease Cycles'!$EF$27:$EL$27,1,AM333)=1,'Lease Cycles'!$AJ$27*INDEX('Lease Cycles'!$FO$27:$FU$27,1,AM333)*INDEX('Lease Cycles'!$EM$27:$ES$27,1,AM333)+'Lease Cycles'!$BE$27*IF(AM334&lt;INDEX('Lease Cycles'!$FA$27:$FG$27,1,AM333),0,1-INDEX('Lease Cycles'!$EM$27:$ES$27,1,AM333)),IF(OR(INDEX('Lease Cycles'!$DY$27:$EE$27,1,AM333)=1,AM334&gt;0),1,1-INDEX('Lease Cycles'!$DD$27:$DJ$27,1,AM333))*('Lease Cycles'!$AJ$27*INDEX('Lease Cycles'!$FO$27:$FU$27,1,AM333)+'Lease Cycles'!$BE$27*(1-INDEX('Lease Cycles'!$FO$27:$FU$27,1,AM333)))),0)</f>
        <v>0</v>
      </c>
      <c r="AN343" s="24">
        <f>IF(AN335=1,'Lease Cycles'!$D$27*IF(INDEX('Lease Cycles'!$EF$27:$EL$27,1,AN333)=1,'Lease Cycles'!$AJ$27*INDEX('Lease Cycles'!$FO$27:$FU$27,1,AN333)*INDEX('Lease Cycles'!$EM$27:$ES$27,1,AN333)+'Lease Cycles'!$BE$27*IF(AN334&lt;INDEX('Lease Cycles'!$FA$27:$FG$27,1,AN333),0,1-INDEX('Lease Cycles'!$EM$27:$ES$27,1,AN333)),IF(OR(INDEX('Lease Cycles'!$DY$27:$EE$27,1,AN333)=1,AN334&gt;0),1,1-INDEX('Lease Cycles'!$DD$27:$DJ$27,1,AN333))*('Lease Cycles'!$AJ$27*INDEX('Lease Cycles'!$FO$27:$FU$27,1,AN333)+'Lease Cycles'!$BE$27*(1-INDEX('Lease Cycles'!$FO$27:$FU$27,1,AN333)))),0)</f>
        <v>0</v>
      </c>
      <c r="AO343" s="24">
        <f>IF(AO335=1,'Lease Cycles'!$D$27*IF(INDEX('Lease Cycles'!$EF$27:$EL$27,1,AO333)=1,'Lease Cycles'!$AJ$27*INDEX('Lease Cycles'!$FO$27:$FU$27,1,AO333)*INDEX('Lease Cycles'!$EM$27:$ES$27,1,AO333)+'Lease Cycles'!$BE$27*IF(AO334&lt;INDEX('Lease Cycles'!$FA$27:$FG$27,1,AO333),0,1-INDEX('Lease Cycles'!$EM$27:$ES$27,1,AO333)),IF(OR(INDEX('Lease Cycles'!$DY$27:$EE$27,1,AO333)=1,AO334&gt;0),1,1-INDEX('Lease Cycles'!$DD$27:$DJ$27,1,AO333))*('Lease Cycles'!$AJ$27*INDEX('Lease Cycles'!$FO$27:$FU$27,1,AO333)+'Lease Cycles'!$BE$27*(1-INDEX('Lease Cycles'!$FO$27:$FU$27,1,AO333)))),0)</f>
        <v>0</v>
      </c>
      <c r="AP343" s="24">
        <f>IF(AP335=1,'Lease Cycles'!$D$27*IF(INDEX('Lease Cycles'!$EF$27:$EL$27,1,AP333)=1,'Lease Cycles'!$AJ$27*INDEX('Lease Cycles'!$FO$27:$FU$27,1,AP333)*INDEX('Lease Cycles'!$EM$27:$ES$27,1,AP333)+'Lease Cycles'!$BE$27*IF(AP334&lt;INDEX('Lease Cycles'!$FA$27:$FG$27,1,AP333),0,1-INDEX('Lease Cycles'!$EM$27:$ES$27,1,AP333)),IF(OR(INDEX('Lease Cycles'!$DY$27:$EE$27,1,AP333)=1,AP334&gt;0),1,1-INDEX('Lease Cycles'!$DD$27:$DJ$27,1,AP333))*('Lease Cycles'!$AJ$27*INDEX('Lease Cycles'!$FO$27:$FU$27,1,AP333)+'Lease Cycles'!$BE$27*(1-INDEX('Lease Cycles'!$FO$27:$FU$27,1,AP333)))),0)</f>
        <v>0</v>
      </c>
      <c r="AQ343" s="24">
        <f>IF(AQ335=1,'Lease Cycles'!$D$27*IF(INDEX('Lease Cycles'!$EF$27:$EL$27,1,AQ333)=1,'Lease Cycles'!$AJ$27*INDEX('Lease Cycles'!$FO$27:$FU$27,1,AQ333)*INDEX('Lease Cycles'!$EM$27:$ES$27,1,AQ333)+'Lease Cycles'!$BE$27*IF(AQ334&lt;INDEX('Lease Cycles'!$FA$27:$FG$27,1,AQ333),0,1-INDEX('Lease Cycles'!$EM$27:$ES$27,1,AQ333)),IF(OR(INDEX('Lease Cycles'!$DY$27:$EE$27,1,AQ333)=1,AQ334&gt;0),1,1-INDEX('Lease Cycles'!$DD$27:$DJ$27,1,AQ333))*('Lease Cycles'!$AJ$27*INDEX('Lease Cycles'!$FO$27:$FU$27,1,AQ333)+'Lease Cycles'!$BE$27*(1-INDEX('Lease Cycles'!$FO$27:$FU$27,1,AQ333)))),0)</f>
        <v>0</v>
      </c>
      <c r="AR343" s="24">
        <f>IF(AR335=1,'Lease Cycles'!$D$27*IF(INDEX('Lease Cycles'!$EF$27:$EL$27,1,AR333)=1,'Lease Cycles'!$AJ$27*INDEX('Lease Cycles'!$FO$27:$FU$27,1,AR333)*INDEX('Lease Cycles'!$EM$27:$ES$27,1,AR333)+'Lease Cycles'!$BE$27*IF(AR334&lt;INDEX('Lease Cycles'!$FA$27:$FG$27,1,AR333),0,1-INDEX('Lease Cycles'!$EM$27:$ES$27,1,AR333)),IF(OR(INDEX('Lease Cycles'!$DY$27:$EE$27,1,AR333)=1,AR334&gt;0),1,1-INDEX('Lease Cycles'!$DD$27:$DJ$27,1,AR333))*('Lease Cycles'!$AJ$27*INDEX('Lease Cycles'!$FO$27:$FU$27,1,AR333)+'Lease Cycles'!$BE$27*(1-INDEX('Lease Cycles'!$FO$27:$FU$27,1,AR333)))),0)</f>
        <v>0</v>
      </c>
      <c r="AS343" s="24">
        <f>IF(AS335=1,'Lease Cycles'!$D$27*IF(INDEX('Lease Cycles'!$EF$27:$EL$27,1,AS333)=1,'Lease Cycles'!$AJ$27*INDEX('Lease Cycles'!$FO$27:$FU$27,1,AS333)*INDEX('Lease Cycles'!$EM$27:$ES$27,1,AS333)+'Lease Cycles'!$BE$27*IF(AS334&lt;INDEX('Lease Cycles'!$FA$27:$FG$27,1,AS333),0,1-INDEX('Lease Cycles'!$EM$27:$ES$27,1,AS333)),IF(OR(INDEX('Lease Cycles'!$DY$27:$EE$27,1,AS333)=1,AS334&gt;0),1,1-INDEX('Lease Cycles'!$DD$27:$DJ$27,1,AS333))*('Lease Cycles'!$AJ$27*INDEX('Lease Cycles'!$FO$27:$FU$27,1,AS333)+'Lease Cycles'!$BE$27*(1-INDEX('Lease Cycles'!$FO$27:$FU$27,1,AS333)))),0)</f>
        <v>0</v>
      </c>
      <c r="AT343" s="24">
        <f>IF(AT335=1,'Lease Cycles'!$D$27*IF(INDEX('Lease Cycles'!$EF$27:$EL$27,1,AT333)=1,'Lease Cycles'!$AJ$27*INDEX('Lease Cycles'!$FO$27:$FU$27,1,AT333)*INDEX('Lease Cycles'!$EM$27:$ES$27,1,AT333)+'Lease Cycles'!$BE$27*IF(AT334&lt;INDEX('Lease Cycles'!$FA$27:$FG$27,1,AT333),0,1-INDEX('Lease Cycles'!$EM$27:$ES$27,1,AT333)),IF(OR(INDEX('Lease Cycles'!$DY$27:$EE$27,1,AT333)=1,AT334&gt;0),1,1-INDEX('Lease Cycles'!$DD$27:$DJ$27,1,AT333))*('Lease Cycles'!$AJ$27*INDEX('Lease Cycles'!$FO$27:$FU$27,1,AT333)+'Lease Cycles'!$BE$27*(1-INDEX('Lease Cycles'!$FO$27:$FU$27,1,AT333)))),0)</f>
        <v>0</v>
      </c>
      <c r="AU343" s="24">
        <f>IF(AU335=1,'Lease Cycles'!$D$27*IF(INDEX('Lease Cycles'!$EF$27:$EL$27,1,AU333)=1,'Lease Cycles'!$AJ$27*INDEX('Lease Cycles'!$FO$27:$FU$27,1,AU333)*INDEX('Lease Cycles'!$EM$27:$ES$27,1,AU333)+'Lease Cycles'!$BE$27*IF(AU334&lt;INDEX('Lease Cycles'!$FA$27:$FG$27,1,AU333),0,1-INDEX('Lease Cycles'!$EM$27:$ES$27,1,AU333)),IF(OR(INDEX('Lease Cycles'!$DY$27:$EE$27,1,AU333)=1,AU334&gt;0),1,1-INDEX('Lease Cycles'!$DD$27:$DJ$27,1,AU333))*('Lease Cycles'!$AJ$27*INDEX('Lease Cycles'!$FO$27:$FU$27,1,AU333)+'Lease Cycles'!$BE$27*(1-INDEX('Lease Cycles'!$FO$27:$FU$27,1,AU333)))),0)</f>
        <v>0</v>
      </c>
      <c r="AV343" s="24">
        <f>IF(AV335=1,'Lease Cycles'!$D$27*IF(INDEX('Lease Cycles'!$EF$27:$EL$27,1,AV333)=1,'Lease Cycles'!$AJ$27*INDEX('Lease Cycles'!$FO$27:$FU$27,1,AV333)*INDEX('Lease Cycles'!$EM$27:$ES$27,1,AV333)+'Lease Cycles'!$BE$27*IF(AV334&lt;INDEX('Lease Cycles'!$FA$27:$FG$27,1,AV333),0,1-INDEX('Lease Cycles'!$EM$27:$ES$27,1,AV333)),IF(OR(INDEX('Lease Cycles'!$DY$27:$EE$27,1,AV333)=1,AV334&gt;0),1,1-INDEX('Lease Cycles'!$DD$27:$DJ$27,1,AV333))*('Lease Cycles'!$AJ$27*INDEX('Lease Cycles'!$FO$27:$FU$27,1,AV333)+'Lease Cycles'!$BE$27*(1-INDEX('Lease Cycles'!$FO$27:$FU$27,1,AV333)))),0)</f>
        <v>0</v>
      </c>
      <c r="AW343" s="24">
        <f>IF(AW335=1,'Lease Cycles'!$D$27*IF(INDEX('Lease Cycles'!$EF$27:$EL$27,1,AW333)=1,'Lease Cycles'!$AJ$27*INDEX('Lease Cycles'!$FO$27:$FU$27,1,AW333)*INDEX('Lease Cycles'!$EM$27:$ES$27,1,AW333)+'Lease Cycles'!$BE$27*IF(AW334&lt;INDEX('Lease Cycles'!$FA$27:$FG$27,1,AW333),0,1-INDEX('Lease Cycles'!$EM$27:$ES$27,1,AW333)),IF(OR(INDEX('Lease Cycles'!$DY$27:$EE$27,1,AW333)=1,AW334&gt;0),1,1-INDEX('Lease Cycles'!$DD$27:$DJ$27,1,AW333))*('Lease Cycles'!$AJ$27*INDEX('Lease Cycles'!$FO$27:$FU$27,1,AW333)+'Lease Cycles'!$BE$27*(1-INDEX('Lease Cycles'!$FO$27:$FU$27,1,AW333)))),0)</f>
        <v>0</v>
      </c>
      <c r="AX343" s="24">
        <f>IF(AX335=1,'Lease Cycles'!$D$27*IF(INDEX('Lease Cycles'!$EF$27:$EL$27,1,AX333)=1,'Lease Cycles'!$AJ$27*INDEX('Lease Cycles'!$FO$27:$FU$27,1,AX333)*INDEX('Lease Cycles'!$EM$27:$ES$27,1,AX333)+'Lease Cycles'!$BE$27*IF(AX334&lt;INDEX('Lease Cycles'!$FA$27:$FG$27,1,AX333),0,1-INDEX('Lease Cycles'!$EM$27:$ES$27,1,AX333)),IF(OR(INDEX('Lease Cycles'!$DY$27:$EE$27,1,AX333)=1,AX334&gt;0),1,1-INDEX('Lease Cycles'!$DD$27:$DJ$27,1,AX333))*('Lease Cycles'!$AJ$27*INDEX('Lease Cycles'!$FO$27:$FU$27,1,AX333)+'Lease Cycles'!$BE$27*(1-INDEX('Lease Cycles'!$FO$27:$FU$27,1,AX333)))),0)</f>
        <v>0</v>
      </c>
      <c r="AY343" s="24">
        <f>IF(AY335=1,'Lease Cycles'!$D$27*IF(INDEX('Lease Cycles'!$EF$27:$EL$27,1,AY333)=1,'Lease Cycles'!$AJ$27*INDEX('Lease Cycles'!$FO$27:$FU$27,1,AY333)*INDEX('Lease Cycles'!$EM$27:$ES$27,1,AY333)+'Lease Cycles'!$BE$27*IF(AY334&lt;INDEX('Lease Cycles'!$FA$27:$FG$27,1,AY333),0,1-INDEX('Lease Cycles'!$EM$27:$ES$27,1,AY333)),IF(OR(INDEX('Lease Cycles'!$DY$27:$EE$27,1,AY333)=1,AY334&gt;0),1,1-INDEX('Lease Cycles'!$DD$27:$DJ$27,1,AY333))*('Lease Cycles'!$AJ$27*INDEX('Lease Cycles'!$FO$27:$FU$27,1,AY333)+'Lease Cycles'!$BE$27*(1-INDEX('Lease Cycles'!$FO$27:$FU$27,1,AY333)))),0)</f>
        <v>0</v>
      </c>
      <c r="AZ343" s="24">
        <f>IF(AZ335=1,'Lease Cycles'!$D$27*IF(INDEX('Lease Cycles'!$EF$27:$EL$27,1,AZ333)=1,'Lease Cycles'!$AJ$27*INDEX('Lease Cycles'!$FO$27:$FU$27,1,AZ333)*INDEX('Lease Cycles'!$EM$27:$ES$27,1,AZ333)+'Lease Cycles'!$BE$27*IF(AZ334&lt;INDEX('Lease Cycles'!$FA$27:$FG$27,1,AZ333),0,1-INDEX('Lease Cycles'!$EM$27:$ES$27,1,AZ333)),IF(OR(INDEX('Lease Cycles'!$DY$27:$EE$27,1,AZ333)=1,AZ334&gt;0),1,1-INDEX('Lease Cycles'!$DD$27:$DJ$27,1,AZ333))*('Lease Cycles'!$AJ$27*INDEX('Lease Cycles'!$FO$27:$FU$27,1,AZ333)+'Lease Cycles'!$BE$27*(1-INDEX('Lease Cycles'!$FO$27:$FU$27,1,AZ333)))),0)</f>
        <v>0</v>
      </c>
      <c r="BA343" s="24">
        <f>IF(BA335=1,'Lease Cycles'!$D$27*IF(INDEX('Lease Cycles'!$EF$27:$EL$27,1,BA333)=1,'Lease Cycles'!$AJ$27*INDEX('Lease Cycles'!$FO$27:$FU$27,1,BA333)*INDEX('Lease Cycles'!$EM$27:$ES$27,1,BA333)+'Lease Cycles'!$BE$27*IF(BA334&lt;INDEX('Lease Cycles'!$FA$27:$FG$27,1,BA333),0,1-INDEX('Lease Cycles'!$EM$27:$ES$27,1,BA333)),IF(OR(INDEX('Lease Cycles'!$DY$27:$EE$27,1,BA333)=1,BA334&gt;0),1,1-INDEX('Lease Cycles'!$DD$27:$DJ$27,1,BA333))*('Lease Cycles'!$AJ$27*INDEX('Lease Cycles'!$FO$27:$FU$27,1,BA333)+'Lease Cycles'!$BE$27*(1-INDEX('Lease Cycles'!$FO$27:$FU$27,1,BA333)))),0)</f>
        <v>0</v>
      </c>
      <c r="BB343" s="24">
        <f>IF(BB335=1,'Lease Cycles'!$D$27*IF(INDEX('Lease Cycles'!$EF$27:$EL$27,1,BB333)=1,'Lease Cycles'!$AJ$27*INDEX('Lease Cycles'!$FO$27:$FU$27,1,BB333)*INDEX('Lease Cycles'!$EM$27:$ES$27,1,BB333)+'Lease Cycles'!$BE$27*IF(BB334&lt;INDEX('Lease Cycles'!$FA$27:$FG$27,1,BB333),0,1-INDEX('Lease Cycles'!$EM$27:$ES$27,1,BB333)),IF(OR(INDEX('Lease Cycles'!$DY$27:$EE$27,1,BB333)=1,BB334&gt;0),1,1-INDEX('Lease Cycles'!$DD$27:$DJ$27,1,BB333))*('Lease Cycles'!$AJ$27*INDEX('Lease Cycles'!$FO$27:$FU$27,1,BB333)+'Lease Cycles'!$BE$27*(1-INDEX('Lease Cycles'!$FO$27:$FU$27,1,BB333)))),0)</f>
        <v>0</v>
      </c>
      <c r="BC343" s="24">
        <f>IF(BC335=1,'Lease Cycles'!$D$27*IF(INDEX('Lease Cycles'!$EF$27:$EL$27,1,BC333)=1,'Lease Cycles'!$AJ$27*INDEX('Lease Cycles'!$FO$27:$FU$27,1,BC333)*INDEX('Lease Cycles'!$EM$27:$ES$27,1,BC333)+'Lease Cycles'!$BE$27*IF(BC334&lt;INDEX('Lease Cycles'!$FA$27:$FG$27,1,BC333),0,1-INDEX('Lease Cycles'!$EM$27:$ES$27,1,BC333)),IF(OR(INDEX('Lease Cycles'!$DY$27:$EE$27,1,BC333)=1,BC334&gt;0),1,1-INDEX('Lease Cycles'!$DD$27:$DJ$27,1,BC333))*('Lease Cycles'!$AJ$27*INDEX('Lease Cycles'!$FO$27:$FU$27,1,BC333)+'Lease Cycles'!$BE$27*(1-INDEX('Lease Cycles'!$FO$27:$FU$27,1,BC333)))),0)</f>
        <v>0</v>
      </c>
      <c r="BD343" s="24">
        <f>IF(BD335=1,'Lease Cycles'!$D$27*IF(INDEX('Lease Cycles'!$EF$27:$EL$27,1,BD333)=1,'Lease Cycles'!$AJ$27*INDEX('Lease Cycles'!$FO$27:$FU$27,1,BD333)*INDEX('Lease Cycles'!$EM$27:$ES$27,1,BD333)+'Lease Cycles'!$BE$27*IF(BD334&lt;INDEX('Lease Cycles'!$FA$27:$FG$27,1,BD333),0,1-INDEX('Lease Cycles'!$EM$27:$ES$27,1,BD333)),IF(OR(INDEX('Lease Cycles'!$DY$27:$EE$27,1,BD333)=1,BD334&gt;0),1,1-INDEX('Lease Cycles'!$DD$27:$DJ$27,1,BD333))*('Lease Cycles'!$AJ$27*INDEX('Lease Cycles'!$FO$27:$FU$27,1,BD333)+'Lease Cycles'!$BE$27*(1-INDEX('Lease Cycles'!$FO$27:$FU$27,1,BD333)))),0)</f>
        <v>0</v>
      </c>
      <c r="BE343" s="24">
        <f>IF(BE335=1,'Lease Cycles'!$D$27*IF(INDEX('Lease Cycles'!$EF$27:$EL$27,1,BE333)=1,'Lease Cycles'!$AJ$27*INDEX('Lease Cycles'!$FO$27:$FU$27,1,BE333)*INDEX('Lease Cycles'!$EM$27:$ES$27,1,BE333)+'Lease Cycles'!$BE$27*IF(BE334&lt;INDEX('Lease Cycles'!$FA$27:$FG$27,1,BE333),0,1-INDEX('Lease Cycles'!$EM$27:$ES$27,1,BE333)),IF(OR(INDEX('Lease Cycles'!$DY$27:$EE$27,1,BE333)=1,BE334&gt;0),1,1-INDEX('Lease Cycles'!$DD$27:$DJ$27,1,BE333))*('Lease Cycles'!$AJ$27*INDEX('Lease Cycles'!$FO$27:$FU$27,1,BE333)+'Lease Cycles'!$BE$27*(1-INDEX('Lease Cycles'!$FO$27:$FU$27,1,BE333)))),0)</f>
        <v>0</v>
      </c>
      <c r="BF343" s="24">
        <f>IF(BF335=1,'Lease Cycles'!$D$27*IF(INDEX('Lease Cycles'!$EF$27:$EL$27,1,BF333)=1,'Lease Cycles'!$AJ$27*INDEX('Lease Cycles'!$FO$27:$FU$27,1,BF333)*INDEX('Lease Cycles'!$EM$27:$ES$27,1,BF333)+'Lease Cycles'!$BE$27*IF(BF334&lt;INDEX('Lease Cycles'!$FA$27:$FG$27,1,BF333),0,1-INDEX('Lease Cycles'!$EM$27:$ES$27,1,BF333)),IF(OR(INDEX('Lease Cycles'!$DY$27:$EE$27,1,BF333)=1,BF334&gt;0),1,1-INDEX('Lease Cycles'!$DD$27:$DJ$27,1,BF333))*('Lease Cycles'!$AJ$27*INDEX('Lease Cycles'!$FO$27:$FU$27,1,BF333)+'Lease Cycles'!$BE$27*(1-INDEX('Lease Cycles'!$FO$27:$FU$27,1,BF333)))),0)</f>
        <v>0</v>
      </c>
      <c r="BG343" s="24">
        <f>IF(BG335=1,'Lease Cycles'!$D$27*IF(INDEX('Lease Cycles'!$EF$27:$EL$27,1,BG333)=1,'Lease Cycles'!$AJ$27*INDEX('Lease Cycles'!$FO$27:$FU$27,1,BG333)*INDEX('Lease Cycles'!$EM$27:$ES$27,1,BG333)+'Lease Cycles'!$BE$27*IF(BG334&lt;INDEX('Lease Cycles'!$FA$27:$FG$27,1,BG333),0,1-INDEX('Lease Cycles'!$EM$27:$ES$27,1,BG333)),IF(OR(INDEX('Lease Cycles'!$DY$27:$EE$27,1,BG333)=1,BG334&gt;0),1,1-INDEX('Lease Cycles'!$DD$27:$DJ$27,1,BG333))*('Lease Cycles'!$AJ$27*INDEX('Lease Cycles'!$FO$27:$FU$27,1,BG333)+'Lease Cycles'!$BE$27*(1-INDEX('Lease Cycles'!$FO$27:$FU$27,1,BG333)))),0)</f>
        <v>0</v>
      </c>
      <c r="BH343" s="24">
        <f>IF(BH335=1,'Lease Cycles'!$D$27*IF(INDEX('Lease Cycles'!$EF$27:$EL$27,1,BH333)=1,'Lease Cycles'!$AJ$27*INDEX('Lease Cycles'!$FO$27:$FU$27,1,BH333)*INDEX('Lease Cycles'!$EM$27:$ES$27,1,BH333)+'Lease Cycles'!$BE$27*IF(BH334&lt;INDEX('Lease Cycles'!$FA$27:$FG$27,1,BH333),0,1-INDEX('Lease Cycles'!$EM$27:$ES$27,1,BH333)),IF(OR(INDEX('Lease Cycles'!$DY$27:$EE$27,1,BH333)=1,BH334&gt;0),1,1-INDEX('Lease Cycles'!$DD$27:$DJ$27,1,BH333))*('Lease Cycles'!$AJ$27*INDEX('Lease Cycles'!$FO$27:$FU$27,1,BH333)+'Lease Cycles'!$BE$27*(1-INDEX('Lease Cycles'!$FO$27:$FU$27,1,BH333)))),0)</f>
        <v>0</v>
      </c>
      <c r="BI343" s="24">
        <f>IF(BI335=1,'Lease Cycles'!$D$27*IF(INDEX('Lease Cycles'!$EF$27:$EL$27,1,BI333)=1,'Lease Cycles'!$AJ$27*INDEX('Lease Cycles'!$FO$27:$FU$27,1,BI333)*INDEX('Lease Cycles'!$EM$27:$ES$27,1,BI333)+'Lease Cycles'!$BE$27*IF(BI334&lt;INDEX('Lease Cycles'!$FA$27:$FG$27,1,BI333),0,1-INDEX('Lease Cycles'!$EM$27:$ES$27,1,BI333)),IF(OR(INDEX('Lease Cycles'!$DY$27:$EE$27,1,BI333)=1,BI334&gt;0),1,1-INDEX('Lease Cycles'!$DD$27:$DJ$27,1,BI333))*('Lease Cycles'!$AJ$27*INDEX('Lease Cycles'!$FO$27:$FU$27,1,BI333)+'Lease Cycles'!$BE$27*(1-INDEX('Lease Cycles'!$FO$27:$FU$27,1,BI333)))),0)</f>
        <v>0</v>
      </c>
      <c r="BJ343" s="24">
        <f>IF(BJ335=1,'Lease Cycles'!$D$27*IF(INDEX('Lease Cycles'!$EF$27:$EL$27,1,BJ333)=1,'Lease Cycles'!$AJ$27*INDEX('Lease Cycles'!$FO$27:$FU$27,1,BJ333)*INDEX('Lease Cycles'!$EM$27:$ES$27,1,BJ333)+'Lease Cycles'!$BE$27*IF(BJ334&lt;INDEX('Lease Cycles'!$FA$27:$FG$27,1,BJ333),0,1-INDEX('Lease Cycles'!$EM$27:$ES$27,1,BJ333)),IF(OR(INDEX('Lease Cycles'!$DY$27:$EE$27,1,BJ333)=1,BJ334&gt;0),1,1-INDEX('Lease Cycles'!$DD$27:$DJ$27,1,BJ333))*('Lease Cycles'!$AJ$27*INDEX('Lease Cycles'!$FO$27:$FU$27,1,BJ333)+'Lease Cycles'!$BE$27*(1-INDEX('Lease Cycles'!$FO$27:$FU$27,1,BJ333)))),0)</f>
        <v>0</v>
      </c>
      <c r="BK343" s="24">
        <f>IF(BK335=1,'Lease Cycles'!$D$27*IF(INDEX('Lease Cycles'!$EF$27:$EL$27,1,BK333)=1,'Lease Cycles'!$AJ$27*INDEX('Lease Cycles'!$FO$27:$FU$27,1,BK333)*INDEX('Lease Cycles'!$EM$27:$ES$27,1,BK333)+'Lease Cycles'!$BE$27*IF(BK334&lt;INDEX('Lease Cycles'!$FA$27:$FG$27,1,BK333),0,1-INDEX('Lease Cycles'!$EM$27:$ES$27,1,BK333)),IF(OR(INDEX('Lease Cycles'!$DY$27:$EE$27,1,BK333)=1,BK334&gt;0),1,1-INDEX('Lease Cycles'!$DD$27:$DJ$27,1,BK333))*('Lease Cycles'!$AJ$27*INDEX('Lease Cycles'!$FO$27:$FU$27,1,BK333)+'Lease Cycles'!$BE$27*(1-INDEX('Lease Cycles'!$FO$27:$FU$27,1,BK333)))),0)</f>
        <v>0</v>
      </c>
      <c r="BL343" s="24">
        <f>IF(BL335=1,'Lease Cycles'!$D$27*IF(INDEX('Lease Cycles'!$EF$27:$EL$27,1,BL333)=1,'Lease Cycles'!$AJ$27*INDEX('Lease Cycles'!$FO$27:$FU$27,1,BL333)*INDEX('Lease Cycles'!$EM$27:$ES$27,1,BL333)+'Lease Cycles'!$BE$27*IF(BL334&lt;INDEX('Lease Cycles'!$FA$27:$FG$27,1,BL333),0,1-INDEX('Lease Cycles'!$EM$27:$ES$27,1,BL333)),IF(OR(INDEX('Lease Cycles'!$DY$27:$EE$27,1,BL333)=1,BL334&gt;0),1,1-INDEX('Lease Cycles'!$DD$27:$DJ$27,1,BL333))*('Lease Cycles'!$AJ$27*INDEX('Lease Cycles'!$FO$27:$FU$27,1,BL333)+'Lease Cycles'!$BE$27*(1-INDEX('Lease Cycles'!$FO$27:$FU$27,1,BL333)))),0)</f>
        <v>0</v>
      </c>
      <c r="BM343" s="24">
        <f>IF(BM335=1,'Lease Cycles'!$D$27*IF(INDEX('Lease Cycles'!$EF$27:$EL$27,1,BM333)=1,'Lease Cycles'!$AJ$27*INDEX('Lease Cycles'!$FO$27:$FU$27,1,BM333)*INDEX('Lease Cycles'!$EM$27:$ES$27,1,BM333)+'Lease Cycles'!$BE$27*IF(BM334&lt;INDEX('Lease Cycles'!$FA$27:$FG$27,1,BM333),0,1-INDEX('Lease Cycles'!$EM$27:$ES$27,1,BM333)),IF(OR(INDEX('Lease Cycles'!$DY$27:$EE$27,1,BM333)=1,BM334&gt;0),1,1-INDEX('Lease Cycles'!$DD$27:$DJ$27,1,BM333))*('Lease Cycles'!$AJ$27*INDEX('Lease Cycles'!$FO$27:$FU$27,1,BM333)+'Lease Cycles'!$BE$27*(1-INDEX('Lease Cycles'!$FO$27:$FU$27,1,BM333)))),0)</f>
        <v>0</v>
      </c>
      <c r="BN343" s="24">
        <f>IF(BN335=1,'Lease Cycles'!$D$27*IF(INDEX('Lease Cycles'!$EF$27:$EL$27,1,BN333)=1,'Lease Cycles'!$AJ$27*INDEX('Lease Cycles'!$FO$27:$FU$27,1,BN333)*INDEX('Lease Cycles'!$EM$27:$ES$27,1,BN333)+'Lease Cycles'!$BE$27*IF(BN334&lt;INDEX('Lease Cycles'!$FA$27:$FG$27,1,BN333),0,1-INDEX('Lease Cycles'!$EM$27:$ES$27,1,BN333)),IF(OR(INDEX('Lease Cycles'!$DY$27:$EE$27,1,BN333)=1,BN334&gt;0),1,1-INDEX('Lease Cycles'!$DD$27:$DJ$27,1,BN333))*('Lease Cycles'!$AJ$27*INDEX('Lease Cycles'!$FO$27:$FU$27,1,BN333)+'Lease Cycles'!$BE$27*(1-INDEX('Lease Cycles'!$FO$27:$FU$27,1,BN333)))),0)</f>
        <v>0</v>
      </c>
      <c r="BO343" s="24">
        <f>IF(BO335=1,'Lease Cycles'!$D$27*IF(INDEX('Lease Cycles'!$EF$27:$EL$27,1,BO333)=1,'Lease Cycles'!$AJ$27*INDEX('Lease Cycles'!$FO$27:$FU$27,1,BO333)*INDEX('Lease Cycles'!$EM$27:$ES$27,1,BO333)+'Lease Cycles'!$BE$27*IF(BO334&lt;INDEX('Lease Cycles'!$FA$27:$FG$27,1,BO333),0,1-INDEX('Lease Cycles'!$EM$27:$ES$27,1,BO333)),IF(OR(INDEX('Lease Cycles'!$DY$27:$EE$27,1,BO333)=1,BO334&gt;0),1,1-INDEX('Lease Cycles'!$DD$27:$DJ$27,1,BO333))*('Lease Cycles'!$AJ$27*INDEX('Lease Cycles'!$FO$27:$FU$27,1,BO333)+'Lease Cycles'!$BE$27*(1-INDEX('Lease Cycles'!$FO$27:$FU$27,1,BO333)))),0)</f>
        <v>0</v>
      </c>
      <c r="BP343" s="24">
        <f>IF(BP335=1,'Lease Cycles'!$D$27*IF(INDEX('Lease Cycles'!$EF$27:$EL$27,1,BP333)=1,'Lease Cycles'!$AJ$27*INDEX('Lease Cycles'!$FO$27:$FU$27,1,BP333)*INDEX('Lease Cycles'!$EM$27:$ES$27,1,BP333)+'Lease Cycles'!$BE$27*IF(BP334&lt;INDEX('Lease Cycles'!$FA$27:$FG$27,1,BP333),0,1-INDEX('Lease Cycles'!$EM$27:$ES$27,1,BP333)),IF(OR(INDEX('Lease Cycles'!$DY$27:$EE$27,1,BP333)=1,BP334&gt;0),1,1-INDEX('Lease Cycles'!$DD$27:$DJ$27,1,BP333))*('Lease Cycles'!$AJ$27*INDEX('Lease Cycles'!$FO$27:$FU$27,1,BP333)+'Lease Cycles'!$BE$27*(1-INDEX('Lease Cycles'!$FO$27:$FU$27,1,BP333)))),0)</f>
        <v>0</v>
      </c>
      <c r="BQ343" s="24">
        <f>IF(BQ335=1,'Lease Cycles'!$D$27*IF(INDEX('Lease Cycles'!$EF$27:$EL$27,1,BQ333)=1,'Lease Cycles'!$AJ$27*INDEX('Lease Cycles'!$FO$27:$FU$27,1,BQ333)*INDEX('Lease Cycles'!$EM$27:$ES$27,1,BQ333)+'Lease Cycles'!$BE$27*IF(BQ334&lt;INDEX('Lease Cycles'!$FA$27:$FG$27,1,BQ333),0,1-INDEX('Lease Cycles'!$EM$27:$ES$27,1,BQ333)),IF(OR(INDEX('Lease Cycles'!$DY$27:$EE$27,1,BQ333)=1,BQ334&gt;0),1,1-INDEX('Lease Cycles'!$DD$27:$DJ$27,1,BQ333))*('Lease Cycles'!$AJ$27*INDEX('Lease Cycles'!$FO$27:$FU$27,1,BQ333)+'Lease Cycles'!$BE$27*(1-INDEX('Lease Cycles'!$FO$27:$FU$27,1,BQ333)))),0)</f>
        <v>0</v>
      </c>
      <c r="BR343" s="24">
        <f>IF(BR335=1,'Lease Cycles'!$D$27*IF(INDEX('Lease Cycles'!$EF$27:$EL$27,1,BR333)=1,'Lease Cycles'!$AJ$27*INDEX('Lease Cycles'!$FO$27:$FU$27,1,BR333)*INDEX('Lease Cycles'!$EM$27:$ES$27,1,BR333)+'Lease Cycles'!$BE$27*IF(BR334&lt;INDEX('Lease Cycles'!$FA$27:$FG$27,1,BR333),0,1-INDEX('Lease Cycles'!$EM$27:$ES$27,1,BR333)),IF(OR(INDEX('Lease Cycles'!$DY$27:$EE$27,1,BR333)=1,BR334&gt;0),1,1-INDEX('Lease Cycles'!$DD$27:$DJ$27,1,BR333))*('Lease Cycles'!$AJ$27*INDEX('Lease Cycles'!$FO$27:$FU$27,1,BR333)+'Lease Cycles'!$BE$27*(1-INDEX('Lease Cycles'!$FO$27:$FU$27,1,BR333)))),0)</f>
        <v>0</v>
      </c>
      <c r="BS343" s="24">
        <f>IF(BS335=1,'Lease Cycles'!$D$27*IF(INDEX('Lease Cycles'!$EF$27:$EL$27,1,BS333)=1,'Lease Cycles'!$AJ$27*INDEX('Lease Cycles'!$FO$27:$FU$27,1,BS333)*INDEX('Lease Cycles'!$EM$27:$ES$27,1,BS333)+'Lease Cycles'!$BE$27*IF(BS334&lt;INDEX('Lease Cycles'!$FA$27:$FG$27,1,BS333),0,1-INDEX('Lease Cycles'!$EM$27:$ES$27,1,BS333)),IF(OR(INDEX('Lease Cycles'!$DY$27:$EE$27,1,BS333)=1,BS334&gt;0),1,1-INDEX('Lease Cycles'!$DD$27:$DJ$27,1,BS333))*('Lease Cycles'!$AJ$27*INDEX('Lease Cycles'!$FO$27:$FU$27,1,BS333)+'Lease Cycles'!$BE$27*(1-INDEX('Lease Cycles'!$FO$27:$FU$27,1,BS333)))),0)</f>
        <v>0</v>
      </c>
      <c r="BT343" s="24">
        <f>IF(BT335=1,'Lease Cycles'!$D$27*IF(INDEX('Lease Cycles'!$EF$27:$EL$27,1,BT333)=1,'Lease Cycles'!$AJ$27*INDEX('Lease Cycles'!$FO$27:$FU$27,1,BT333)*INDEX('Lease Cycles'!$EM$27:$ES$27,1,BT333)+'Lease Cycles'!$BE$27*IF(BT334&lt;INDEX('Lease Cycles'!$FA$27:$FG$27,1,BT333),0,1-INDEX('Lease Cycles'!$EM$27:$ES$27,1,BT333)),IF(OR(INDEX('Lease Cycles'!$DY$27:$EE$27,1,BT333)=1,BT334&gt;0),1,1-INDEX('Lease Cycles'!$DD$27:$DJ$27,1,BT333))*('Lease Cycles'!$AJ$27*INDEX('Lease Cycles'!$FO$27:$FU$27,1,BT333)+'Lease Cycles'!$BE$27*(1-INDEX('Lease Cycles'!$FO$27:$FU$27,1,BT333)))),0)</f>
        <v>0</v>
      </c>
      <c r="BU343" s="24">
        <f>IF(BU335=1,'Lease Cycles'!$D$27*IF(INDEX('Lease Cycles'!$EF$27:$EL$27,1,BU333)=1,'Lease Cycles'!$AJ$27*INDEX('Lease Cycles'!$FO$27:$FU$27,1,BU333)*INDEX('Lease Cycles'!$EM$27:$ES$27,1,BU333)+'Lease Cycles'!$BE$27*IF(BU334&lt;INDEX('Lease Cycles'!$FA$27:$FG$27,1,BU333),0,1-INDEX('Lease Cycles'!$EM$27:$ES$27,1,BU333)),IF(OR(INDEX('Lease Cycles'!$DY$27:$EE$27,1,BU333)=1,BU334&gt;0),1,1-INDEX('Lease Cycles'!$DD$27:$DJ$27,1,BU333))*('Lease Cycles'!$AJ$27*INDEX('Lease Cycles'!$FO$27:$FU$27,1,BU333)+'Lease Cycles'!$BE$27*(1-INDEX('Lease Cycles'!$FO$27:$FU$27,1,BU333)))),0)</f>
        <v>0</v>
      </c>
      <c r="BV343" s="24">
        <f>IF(BV335=1,'Lease Cycles'!$D$27*IF(INDEX('Lease Cycles'!$EF$27:$EL$27,1,BV333)=1,'Lease Cycles'!$AJ$27*INDEX('Lease Cycles'!$FO$27:$FU$27,1,BV333)*INDEX('Lease Cycles'!$EM$27:$ES$27,1,BV333)+'Lease Cycles'!$BE$27*IF(BV334&lt;INDEX('Lease Cycles'!$FA$27:$FG$27,1,BV333),0,1-INDEX('Lease Cycles'!$EM$27:$ES$27,1,BV333)),IF(OR(INDEX('Lease Cycles'!$DY$27:$EE$27,1,BV333)=1,BV334&gt;0),1,1-INDEX('Lease Cycles'!$DD$27:$DJ$27,1,BV333))*('Lease Cycles'!$AJ$27*INDEX('Lease Cycles'!$FO$27:$FU$27,1,BV333)+'Lease Cycles'!$BE$27*(1-INDEX('Lease Cycles'!$FO$27:$FU$27,1,BV333)))),0)</f>
        <v>0</v>
      </c>
      <c r="BW343" s="24">
        <f>IF(BW335=1,'Lease Cycles'!$D$27*IF(INDEX('Lease Cycles'!$EF$27:$EL$27,1,BW333)=1,'Lease Cycles'!$AJ$27*INDEX('Lease Cycles'!$FO$27:$FU$27,1,BW333)*INDEX('Lease Cycles'!$EM$27:$ES$27,1,BW333)+'Lease Cycles'!$BE$27*IF(BW334&lt;INDEX('Lease Cycles'!$FA$27:$FG$27,1,BW333),0,1-INDEX('Lease Cycles'!$EM$27:$ES$27,1,BW333)),IF(OR(INDEX('Lease Cycles'!$DY$27:$EE$27,1,BW333)=1,BW334&gt;0),1,1-INDEX('Lease Cycles'!$DD$27:$DJ$27,1,BW333))*('Lease Cycles'!$AJ$27*INDEX('Lease Cycles'!$FO$27:$FU$27,1,BW333)+'Lease Cycles'!$BE$27*(1-INDEX('Lease Cycles'!$FO$27:$FU$27,1,BW333)))),0)</f>
        <v>0</v>
      </c>
      <c r="BX343" s="24">
        <f>IF(BX335=1,'Lease Cycles'!$D$27*IF(INDEX('Lease Cycles'!$EF$27:$EL$27,1,BX333)=1,'Lease Cycles'!$AJ$27*INDEX('Lease Cycles'!$FO$27:$FU$27,1,BX333)*INDEX('Lease Cycles'!$EM$27:$ES$27,1,BX333)+'Lease Cycles'!$BE$27*IF(BX334&lt;INDEX('Lease Cycles'!$FA$27:$FG$27,1,BX333),0,1-INDEX('Lease Cycles'!$EM$27:$ES$27,1,BX333)),IF(OR(INDEX('Lease Cycles'!$DY$27:$EE$27,1,BX333)=1,BX334&gt;0),1,1-INDEX('Lease Cycles'!$DD$27:$DJ$27,1,BX333))*('Lease Cycles'!$AJ$27*INDEX('Lease Cycles'!$FO$27:$FU$27,1,BX333)+'Lease Cycles'!$BE$27*(1-INDEX('Lease Cycles'!$FO$27:$FU$27,1,BX333)))),0)</f>
        <v>0</v>
      </c>
      <c r="BY343" s="24">
        <f>IF(BY335=1,'Lease Cycles'!$D$27*IF(INDEX('Lease Cycles'!$EF$27:$EL$27,1,BY333)=1,'Lease Cycles'!$AJ$27*INDEX('Lease Cycles'!$FO$27:$FU$27,1,BY333)*INDEX('Lease Cycles'!$EM$27:$ES$27,1,BY333)+'Lease Cycles'!$BE$27*IF(BY334&lt;INDEX('Lease Cycles'!$FA$27:$FG$27,1,BY333),0,1-INDEX('Lease Cycles'!$EM$27:$ES$27,1,BY333)),IF(OR(INDEX('Lease Cycles'!$DY$27:$EE$27,1,BY333)=1,BY334&gt;0),1,1-INDEX('Lease Cycles'!$DD$27:$DJ$27,1,BY333))*('Lease Cycles'!$AJ$27*INDEX('Lease Cycles'!$FO$27:$FU$27,1,BY333)+'Lease Cycles'!$BE$27*(1-INDEX('Lease Cycles'!$FO$27:$FU$27,1,BY333)))),0)</f>
        <v>0</v>
      </c>
      <c r="BZ343" s="24">
        <f>IF(BZ335=1,'Lease Cycles'!$D$27*IF(INDEX('Lease Cycles'!$EF$27:$EL$27,1,BZ333)=1,'Lease Cycles'!$AJ$27*INDEX('Lease Cycles'!$FO$27:$FU$27,1,BZ333)*INDEX('Lease Cycles'!$EM$27:$ES$27,1,BZ333)+'Lease Cycles'!$BE$27*IF(BZ334&lt;INDEX('Lease Cycles'!$FA$27:$FG$27,1,BZ333),0,1-INDEX('Lease Cycles'!$EM$27:$ES$27,1,BZ333)),IF(OR(INDEX('Lease Cycles'!$DY$27:$EE$27,1,BZ333)=1,BZ334&gt;0),1,1-INDEX('Lease Cycles'!$DD$27:$DJ$27,1,BZ333))*('Lease Cycles'!$AJ$27*INDEX('Lease Cycles'!$FO$27:$FU$27,1,BZ333)+'Lease Cycles'!$BE$27*(1-INDEX('Lease Cycles'!$FO$27:$FU$27,1,BZ333)))),0)</f>
        <v>0</v>
      </c>
      <c r="CA343" s="24">
        <f>IF(CA335=1,'Lease Cycles'!$D$27*IF(INDEX('Lease Cycles'!$EF$27:$EL$27,1,CA333)=1,'Lease Cycles'!$AJ$27*INDEX('Lease Cycles'!$FO$27:$FU$27,1,CA333)*INDEX('Lease Cycles'!$EM$27:$ES$27,1,CA333)+'Lease Cycles'!$BE$27*IF(CA334&lt;INDEX('Lease Cycles'!$FA$27:$FG$27,1,CA333),0,1-INDEX('Lease Cycles'!$EM$27:$ES$27,1,CA333)),IF(OR(INDEX('Lease Cycles'!$DY$27:$EE$27,1,CA333)=1,CA334&gt;0),1,1-INDEX('Lease Cycles'!$DD$27:$DJ$27,1,CA333))*('Lease Cycles'!$AJ$27*INDEX('Lease Cycles'!$FO$27:$FU$27,1,CA333)+'Lease Cycles'!$BE$27*(1-INDEX('Lease Cycles'!$FO$27:$FU$27,1,CA333)))),0)</f>
        <v>0</v>
      </c>
      <c r="CB343" s="24">
        <f>IF(CB335=1,'Lease Cycles'!$D$27*IF(INDEX('Lease Cycles'!$EF$27:$EL$27,1,CB333)=1,'Lease Cycles'!$AJ$27*INDEX('Lease Cycles'!$FO$27:$FU$27,1,CB333)*INDEX('Lease Cycles'!$EM$27:$ES$27,1,CB333)+'Lease Cycles'!$BE$27*IF(CB334&lt;INDEX('Lease Cycles'!$FA$27:$FG$27,1,CB333),0,1-INDEX('Lease Cycles'!$EM$27:$ES$27,1,CB333)),IF(OR(INDEX('Lease Cycles'!$DY$27:$EE$27,1,CB333)=1,CB334&gt;0),1,1-INDEX('Lease Cycles'!$DD$27:$DJ$27,1,CB333))*('Lease Cycles'!$AJ$27*INDEX('Lease Cycles'!$FO$27:$FU$27,1,CB333)+'Lease Cycles'!$BE$27*(1-INDEX('Lease Cycles'!$FO$27:$FU$27,1,CB333)))),0)</f>
        <v>0</v>
      </c>
      <c r="CC343" s="24">
        <f>IF(CC335=1,'Lease Cycles'!$D$27*IF(INDEX('Lease Cycles'!$EF$27:$EL$27,1,CC333)=1,'Lease Cycles'!$AJ$27*INDEX('Lease Cycles'!$FO$27:$FU$27,1,CC333)*INDEX('Lease Cycles'!$EM$27:$ES$27,1,CC333)+'Lease Cycles'!$BE$27*IF(CC334&lt;INDEX('Lease Cycles'!$FA$27:$FG$27,1,CC333),0,1-INDEX('Lease Cycles'!$EM$27:$ES$27,1,CC333)),IF(OR(INDEX('Lease Cycles'!$DY$27:$EE$27,1,CC333)=1,CC334&gt;0),1,1-INDEX('Lease Cycles'!$DD$27:$DJ$27,1,CC333))*('Lease Cycles'!$AJ$27*INDEX('Lease Cycles'!$FO$27:$FU$27,1,CC333)+'Lease Cycles'!$BE$27*(1-INDEX('Lease Cycles'!$FO$27:$FU$27,1,CC333)))),0)</f>
        <v>0</v>
      </c>
      <c r="CD343" s="24">
        <f>IF(CD335=1,'Lease Cycles'!$D$27*IF(INDEX('Lease Cycles'!$EF$27:$EL$27,1,CD333)=1,'Lease Cycles'!$AJ$27*INDEX('Lease Cycles'!$FO$27:$FU$27,1,CD333)*INDEX('Lease Cycles'!$EM$27:$ES$27,1,CD333)+'Lease Cycles'!$BE$27*IF(CD334&lt;INDEX('Lease Cycles'!$FA$27:$FG$27,1,CD333),0,1-INDEX('Lease Cycles'!$EM$27:$ES$27,1,CD333)),IF(OR(INDEX('Lease Cycles'!$DY$27:$EE$27,1,CD333)=1,CD334&gt;0),1,1-INDEX('Lease Cycles'!$DD$27:$DJ$27,1,CD333))*('Lease Cycles'!$AJ$27*INDEX('Lease Cycles'!$FO$27:$FU$27,1,CD333)+'Lease Cycles'!$BE$27*(1-INDEX('Lease Cycles'!$FO$27:$FU$27,1,CD333)))),0)</f>
        <v>0</v>
      </c>
      <c r="CE343" s="24">
        <f>IF(CE335=1,'Lease Cycles'!$D$27*IF(INDEX('Lease Cycles'!$EF$27:$EL$27,1,CE333)=1,'Lease Cycles'!$AJ$27*INDEX('Lease Cycles'!$FO$27:$FU$27,1,CE333)*INDEX('Lease Cycles'!$EM$27:$ES$27,1,CE333)+'Lease Cycles'!$BE$27*IF(CE334&lt;INDEX('Lease Cycles'!$FA$27:$FG$27,1,CE333),0,1-INDEX('Lease Cycles'!$EM$27:$ES$27,1,CE333)),IF(OR(INDEX('Lease Cycles'!$DY$27:$EE$27,1,CE333)=1,CE334&gt;0),1,1-INDEX('Lease Cycles'!$DD$27:$DJ$27,1,CE333))*('Lease Cycles'!$AJ$27*INDEX('Lease Cycles'!$FO$27:$FU$27,1,CE333)+'Lease Cycles'!$BE$27*(1-INDEX('Lease Cycles'!$FO$27:$FU$27,1,CE333)))),0)</f>
        <v>0</v>
      </c>
      <c r="CF343" s="24">
        <f>IF(CF335=1,'Lease Cycles'!$D$27*IF(INDEX('Lease Cycles'!$EF$27:$EL$27,1,CF333)=1,'Lease Cycles'!$AJ$27*INDEX('Lease Cycles'!$FO$27:$FU$27,1,CF333)*INDEX('Lease Cycles'!$EM$27:$ES$27,1,CF333)+'Lease Cycles'!$BE$27*IF(CF334&lt;INDEX('Lease Cycles'!$FA$27:$FG$27,1,CF333),0,1-INDEX('Lease Cycles'!$EM$27:$ES$27,1,CF333)),IF(OR(INDEX('Lease Cycles'!$DY$27:$EE$27,1,CF333)=1,CF334&gt;0),1,1-INDEX('Lease Cycles'!$DD$27:$DJ$27,1,CF333))*('Lease Cycles'!$AJ$27*INDEX('Lease Cycles'!$FO$27:$FU$27,1,CF333)+'Lease Cycles'!$BE$27*(1-INDEX('Lease Cycles'!$FO$27:$FU$27,1,CF333)))),0)</f>
        <v>0</v>
      </c>
      <c r="CG343" s="24">
        <f>IF(CG335=1,'Lease Cycles'!$D$27*IF(INDEX('Lease Cycles'!$EF$27:$EL$27,1,CG333)=1,'Lease Cycles'!$AJ$27*INDEX('Lease Cycles'!$FO$27:$FU$27,1,CG333)*INDEX('Lease Cycles'!$EM$27:$ES$27,1,CG333)+'Lease Cycles'!$BE$27*IF(CG334&lt;INDEX('Lease Cycles'!$FA$27:$FG$27,1,CG333),0,1-INDEX('Lease Cycles'!$EM$27:$ES$27,1,CG333)),IF(OR(INDEX('Lease Cycles'!$DY$27:$EE$27,1,CG333)=1,CG334&gt;0),1,1-INDEX('Lease Cycles'!$DD$27:$DJ$27,1,CG333))*('Lease Cycles'!$AJ$27*INDEX('Lease Cycles'!$FO$27:$FU$27,1,CG333)+'Lease Cycles'!$BE$27*(1-INDEX('Lease Cycles'!$FO$27:$FU$27,1,CG333)))),0)</f>
        <v>0</v>
      </c>
      <c r="CH343" s="24">
        <f>IF(CH335=1,'Lease Cycles'!$D$27*IF(INDEX('Lease Cycles'!$EF$27:$EL$27,1,CH333)=1,'Lease Cycles'!$AJ$27*INDEX('Lease Cycles'!$FO$27:$FU$27,1,CH333)*INDEX('Lease Cycles'!$EM$27:$ES$27,1,CH333)+'Lease Cycles'!$BE$27*IF(CH334&lt;INDEX('Lease Cycles'!$FA$27:$FG$27,1,CH333),0,1-INDEX('Lease Cycles'!$EM$27:$ES$27,1,CH333)),IF(OR(INDEX('Lease Cycles'!$DY$27:$EE$27,1,CH333)=1,CH334&gt;0),1,1-INDEX('Lease Cycles'!$DD$27:$DJ$27,1,CH333))*('Lease Cycles'!$AJ$27*INDEX('Lease Cycles'!$FO$27:$FU$27,1,CH333)+'Lease Cycles'!$BE$27*(1-INDEX('Lease Cycles'!$FO$27:$FU$27,1,CH333)))),0)</f>
        <v>0</v>
      </c>
      <c r="CI343" s="24">
        <f>IF(CI335=1,'Lease Cycles'!$D$27*IF(INDEX('Lease Cycles'!$EF$27:$EL$27,1,CI333)=1,'Lease Cycles'!$AJ$27*INDEX('Lease Cycles'!$FO$27:$FU$27,1,CI333)*INDEX('Lease Cycles'!$EM$27:$ES$27,1,CI333)+'Lease Cycles'!$BE$27*IF(CI334&lt;INDEX('Lease Cycles'!$FA$27:$FG$27,1,CI333),0,1-INDEX('Lease Cycles'!$EM$27:$ES$27,1,CI333)),IF(OR(INDEX('Lease Cycles'!$DY$27:$EE$27,1,CI333)=1,CI334&gt;0),1,1-INDEX('Lease Cycles'!$DD$27:$DJ$27,1,CI333))*('Lease Cycles'!$AJ$27*INDEX('Lease Cycles'!$FO$27:$FU$27,1,CI333)+'Lease Cycles'!$BE$27*(1-INDEX('Lease Cycles'!$FO$27:$FU$27,1,CI333)))),0)</f>
        <v>0</v>
      </c>
      <c r="CJ343" s="24">
        <f>IF(CJ335=1,'Lease Cycles'!$D$27*IF(INDEX('Lease Cycles'!$EF$27:$EL$27,1,CJ333)=1,'Lease Cycles'!$AJ$27*INDEX('Lease Cycles'!$FO$27:$FU$27,1,CJ333)*INDEX('Lease Cycles'!$EM$27:$ES$27,1,CJ333)+'Lease Cycles'!$BE$27*IF(CJ334&lt;INDEX('Lease Cycles'!$FA$27:$FG$27,1,CJ333),0,1-INDEX('Lease Cycles'!$EM$27:$ES$27,1,CJ333)),IF(OR(INDEX('Lease Cycles'!$DY$27:$EE$27,1,CJ333)=1,CJ334&gt;0),1,1-INDEX('Lease Cycles'!$DD$27:$DJ$27,1,CJ333))*('Lease Cycles'!$AJ$27*INDEX('Lease Cycles'!$FO$27:$FU$27,1,CJ333)+'Lease Cycles'!$BE$27*(1-INDEX('Lease Cycles'!$FO$27:$FU$27,1,CJ333)))),0)</f>
        <v>0</v>
      </c>
      <c r="CK343" s="24">
        <f>IF(CK335=1,'Lease Cycles'!$D$27*IF(INDEX('Lease Cycles'!$EF$27:$EL$27,1,CK333)=1,'Lease Cycles'!$AJ$27*INDEX('Lease Cycles'!$FO$27:$FU$27,1,CK333)*INDEX('Lease Cycles'!$EM$27:$ES$27,1,CK333)+'Lease Cycles'!$BE$27*IF(CK334&lt;INDEX('Lease Cycles'!$FA$27:$FG$27,1,CK333),0,1-INDEX('Lease Cycles'!$EM$27:$ES$27,1,CK333)),IF(OR(INDEX('Lease Cycles'!$DY$27:$EE$27,1,CK333)=1,CK334&gt;0),1,1-INDEX('Lease Cycles'!$DD$27:$DJ$27,1,CK333))*('Lease Cycles'!$AJ$27*INDEX('Lease Cycles'!$FO$27:$FU$27,1,CK333)+'Lease Cycles'!$BE$27*(1-INDEX('Lease Cycles'!$FO$27:$FU$27,1,CK333)))),0)</f>
        <v>0</v>
      </c>
      <c r="CL343" s="24">
        <f>IF(CL335=1,'Lease Cycles'!$D$27*IF(INDEX('Lease Cycles'!$EF$27:$EL$27,1,CL333)=1,'Lease Cycles'!$AJ$27*INDEX('Lease Cycles'!$FO$27:$FU$27,1,CL333)*INDEX('Lease Cycles'!$EM$27:$ES$27,1,CL333)+'Lease Cycles'!$BE$27*IF(CL334&lt;INDEX('Lease Cycles'!$FA$27:$FG$27,1,CL333),0,1-INDEX('Lease Cycles'!$EM$27:$ES$27,1,CL333)),IF(OR(INDEX('Lease Cycles'!$DY$27:$EE$27,1,CL333)=1,CL334&gt;0),1,1-INDEX('Lease Cycles'!$DD$27:$DJ$27,1,CL333))*('Lease Cycles'!$AJ$27*INDEX('Lease Cycles'!$FO$27:$FU$27,1,CL333)+'Lease Cycles'!$BE$27*(1-INDEX('Lease Cycles'!$FO$27:$FU$27,1,CL333)))),0)</f>
        <v>0</v>
      </c>
      <c r="CM343" s="24">
        <f>IF(CM335=1,'Lease Cycles'!$D$27*IF(INDEX('Lease Cycles'!$EF$27:$EL$27,1,CM333)=1,'Lease Cycles'!$AJ$27*INDEX('Lease Cycles'!$FO$27:$FU$27,1,CM333)*INDEX('Lease Cycles'!$EM$27:$ES$27,1,CM333)+'Lease Cycles'!$BE$27*IF(CM334&lt;INDEX('Lease Cycles'!$FA$27:$FG$27,1,CM333),0,1-INDEX('Lease Cycles'!$EM$27:$ES$27,1,CM333)),IF(OR(INDEX('Lease Cycles'!$DY$27:$EE$27,1,CM333)=1,CM334&gt;0),1,1-INDEX('Lease Cycles'!$DD$27:$DJ$27,1,CM333))*('Lease Cycles'!$AJ$27*INDEX('Lease Cycles'!$FO$27:$FU$27,1,CM333)+'Lease Cycles'!$BE$27*(1-INDEX('Lease Cycles'!$FO$27:$FU$27,1,CM333)))),0)</f>
        <v>0</v>
      </c>
      <c r="CN343" s="24">
        <f>IF(CN335=1,'Lease Cycles'!$D$27*IF(INDEX('Lease Cycles'!$EF$27:$EL$27,1,CN333)=1,'Lease Cycles'!$AJ$27*INDEX('Lease Cycles'!$FO$27:$FU$27,1,CN333)*INDEX('Lease Cycles'!$EM$27:$ES$27,1,CN333)+'Lease Cycles'!$BE$27*IF(CN334&lt;INDEX('Lease Cycles'!$FA$27:$FG$27,1,CN333),0,1-INDEX('Lease Cycles'!$EM$27:$ES$27,1,CN333)),IF(OR(INDEX('Lease Cycles'!$DY$27:$EE$27,1,CN333)=1,CN334&gt;0),1,1-INDEX('Lease Cycles'!$DD$27:$DJ$27,1,CN333))*('Lease Cycles'!$AJ$27*INDEX('Lease Cycles'!$FO$27:$FU$27,1,CN333)+'Lease Cycles'!$BE$27*(1-INDEX('Lease Cycles'!$FO$27:$FU$27,1,CN333)))),0)</f>
        <v>0</v>
      </c>
      <c r="CO343" s="24">
        <f>IF(CO335=1,'Lease Cycles'!$D$27*IF(INDEX('Lease Cycles'!$EF$27:$EL$27,1,CO333)=1,'Lease Cycles'!$AJ$27*INDEX('Lease Cycles'!$FO$27:$FU$27,1,CO333)*INDEX('Lease Cycles'!$EM$27:$ES$27,1,CO333)+'Lease Cycles'!$BE$27*IF(CO334&lt;INDEX('Lease Cycles'!$FA$27:$FG$27,1,CO333),0,1-INDEX('Lease Cycles'!$EM$27:$ES$27,1,CO333)),IF(OR(INDEX('Lease Cycles'!$DY$27:$EE$27,1,CO333)=1,CO334&gt;0),1,1-INDEX('Lease Cycles'!$DD$27:$DJ$27,1,CO333))*('Lease Cycles'!$AJ$27*INDEX('Lease Cycles'!$FO$27:$FU$27,1,CO333)+'Lease Cycles'!$BE$27*(1-INDEX('Lease Cycles'!$FO$27:$FU$27,1,CO333)))),0)</f>
        <v>0</v>
      </c>
      <c r="CP343" s="24">
        <f>IF(CP335=1,'Lease Cycles'!$D$27*IF(INDEX('Lease Cycles'!$EF$27:$EL$27,1,CP333)=1,'Lease Cycles'!$AJ$27*INDEX('Lease Cycles'!$FO$27:$FU$27,1,CP333)*INDEX('Lease Cycles'!$EM$27:$ES$27,1,CP333)+'Lease Cycles'!$BE$27*IF(CP334&lt;INDEX('Lease Cycles'!$FA$27:$FG$27,1,CP333),0,1-INDEX('Lease Cycles'!$EM$27:$ES$27,1,CP333)),IF(OR(INDEX('Lease Cycles'!$DY$27:$EE$27,1,CP333)=1,CP334&gt;0),1,1-INDEX('Lease Cycles'!$DD$27:$DJ$27,1,CP333))*('Lease Cycles'!$AJ$27*INDEX('Lease Cycles'!$FO$27:$FU$27,1,CP333)+'Lease Cycles'!$BE$27*(1-INDEX('Lease Cycles'!$FO$27:$FU$27,1,CP333)))),0)</f>
        <v>0</v>
      </c>
      <c r="CQ343" s="24">
        <f>IF(CQ335=1,'Lease Cycles'!$D$27*IF(INDEX('Lease Cycles'!$EF$27:$EL$27,1,CQ333)=1,'Lease Cycles'!$AJ$27*INDEX('Lease Cycles'!$FO$27:$FU$27,1,CQ333)*INDEX('Lease Cycles'!$EM$27:$ES$27,1,CQ333)+'Lease Cycles'!$BE$27*IF(CQ334&lt;INDEX('Lease Cycles'!$FA$27:$FG$27,1,CQ333),0,1-INDEX('Lease Cycles'!$EM$27:$ES$27,1,CQ333)),IF(OR(INDEX('Lease Cycles'!$DY$27:$EE$27,1,CQ333)=1,CQ334&gt;0),1,1-INDEX('Lease Cycles'!$DD$27:$DJ$27,1,CQ333))*('Lease Cycles'!$AJ$27*INDEX('Lease Cycles'!$FO$27:$FU$27,1,CQ333)+'Lease Cycles'!$BE$27*(1-INDEX('Lease Cycles'!$FO$27:$FU$27,1,CQ333)))),0)</f>
        <v>0</v>
      </c>
      <c r="CR343" s="24">
        <f>IF(CR335=1,'Lease Cycles'!$D$27*IF(INDEX('Lease Cycles'!$EF$27:$EL$27,1,CR333)=1,'Lease Cycles'!$AJ$27*INDEX('Lease Cycles'!$FO$27:$FU$27,1,CR333)*INDEX('Lease Cycles'!$EM$27:$ES$27,1,CR333)+'Lease Cycles'!$BE$27*IF(CR334&lt;INDEX('Lease Cycles'!$FA$27:$FG$27,1,CR333),0,1-INDEX('Lease Cycles'!$EM$27:$ES$27,1,CR333)),IF(OR(INDEX('Lease Cycles'!$DY$27:$EE$27,1,CR333)=1,CR334&gt;0),1,1-INDEX('Lease Cycles'!$DD$27:$DJ$27,1,CR333))*('Lease Cycles'!$AJ$27*INDEX('Lease Cycles'!$FO$27:$FU$27,1,CR333)+'Lease Cycles'!$BE$27*(1-INDEX('Lease Cycles'!$FO$27:$FU$27,1,CR333)))),0)</f>
        <v>0</v>
      </c>
      <c r="CS343" s="24">
        <f>IF(CS335=1,'Lease Cycles'!$D$27*IF(INDEX('Lease Cycles'!$EF$27:$EL$27,1,CS333)=1,'Lease Cycles'!$AJ$27*INDEX('Lease Cycles'!$FO$27:$FU$27,1,CS333)*INDEX('Lease Cycles'!$EM$27:$ES$27,1,CS333)+'Lease Cycles'!$BE$27*IF(CS334&lt;INDEX('Lease Cycles'!$FA$27:$FG$27,1,CS333),0,1-INDEX('Lease Cycles'!$EM$27:$ES$27,1,CS333)),IF(OR(INDEX('Lease Cycles'!$DY$27:$EE$27,1,CS333)=1,CS334&gt;0),1,1-INDEX('Lease Cycles'!$DD$27:$DJ$27,1,CS333))*('Lease Cycles'!$AJ$27*INDEX('Lease Cycles'!$FO$27:$FU$27,1,CS333)+'Lease Cycles'!$BE$27*(1-INDEX('Lease Cycles'!$FO$27:$FU$27,1,CS333)))),0)</f>
        <v>0</v>
      </c>
      <c r="CT343" s="24">
        <f>IF(CT335=1,'Lease Cycles'!$D$27*IF(INDEX('Lease Cycles'!$EF$27:$EL$27,1,CT333)=1,'Lease Cycles'!$AJ$27*INDEX('Lease Cycles'!$FO$27:$FU$27,1,CT333)*INDEX('Lease Cycles'!$EM$27:$ES$27,1,CT333)+'Lease Cycles'!$BE$27*IF(CT334&lt;INDEX('Lease Cycles'!$FA$27:$FG$27,1,CT333),0,1-INDEX('Lease Cycles'!$EM$27:$ES$27,1,CT333)),IF(OR(INDEX('Lease Cycles'!$DY$27:$EE$27,1,CT333)=1,CT334&gt;0),1,1-INDEX('Lease Cycles'!$DD$27:$DJ$27,1,CT333))*('Lease Cycles'!$AJ$27*INDEX('Lease Cycles'!$FO$27:$FU$27,1,CT333)+'Lease Cycles'!$BE$27*(1-INDEX('Lease Cycles'!$FO$27:$FU$27,1,CT333)))),0)</f>
        <v>0</v>
      </c>
      <c r="CU343" s="24">
        <f>IF(CU335=1,'Lease Cycles'!$D$27*IF(INDEX('Lease Cycles'!$EF$27:$EL$27,1,CU333)=1,'Lease Cycles'!$AJ$27*INDEX('Lease Cycles'!$FO$27:$FU$27,1,CU333)*INDEX('Lease Cycles'!$EM$27:$ES$27,1,CU333)+'Lease Cycles'!$BE$27*IF(CU334&lt;INDEX('Lease Cycles'!$FA$27:$FG$27,1,CU333),0,1-INDEX('Lease Cycles'!$EM$27:$ES$27,1,CU333)),IF(OR(INDEX('Lease Cycles'!$DY$27:$EE$27,1,CU333)=1,CU334&gt;0),1,1-INDEX('Lease Cycles'!$DD$27:$DJ$27,1,CU333))*('Lease Cycles'!$AJ$27*INDEX('Lease Cycles'!$FO$27:$FU$27,1,CU333)+'Lease Cycles'!$BE$27*(1-INDEX('Lease Cycles'!$FO$27:$FU$27,1,CU333)))),0)</f>
        <v>0</v>
      </c>
      <c r="CV343" s="24">
        <f>IF(CV335=1,'Lease Cycles'!$D$27*IF(INDEX('Lease Cycles'!$EF$27:$EL$27,1,CV333)=1,'Lease Cycles'!$AJ$27*INDEX('Lease Cycles'!$FO$27:$FU$27,1,CV333)*INDEX('Lease Cycles'!$EM$27:$ES$27,1,CV333)+'Lease Cycles'!$BE$27*IF(CV334&lt;INDEX('Lease Cycles'!$FA$27:$FG$27,1,CV333),0,1-INDEX('Lease Cycles'!$EM$27:$ES$27,1,CV333)),IF(OR(INDEX('Lease Cycles'!$DY$27:$EE$27,1,CV333)=1,CV334&gt;0),1,1-INDEX('Lease Cycles'!$DD$27:$DJ$27,1,CV333))*('Lease Cycles'!$AJ$27*INDEX('Lease Cycles'!$FO$27:$FU$27,1,CV333)+'Lease Cycles'!$BE$27*(1-INDEX('Lease Cycles'!$FO$27:$FU$27,1,CV333)))),0)</f>
        <v>0</v>
      </c>
      <c r="CW343" s="24">
        <f>IF(CW335=1,'Lease Cycles'!$D$27*IF(INDEX('Lease Cycles'!$EF$27:$EL$27,1,CW333)=1,'Lease Cycles'!$AJ$27*INDEX('Lease Cycles'!$FO$27:$FU$27,1,CW333)*INDEX('Lease Cycles'!$EM$27:$ES$27,1,CW333)+'Lease Cycles'!$BE$27*IF(CW334&lt;INDEX('Lease Cycles'!$FA$27:$FG$27,1,CW333),0,1-INDEX('Lease Cycles'!$EM$27:$ES$27,1,CW333)),IF(OR(INDEX('Lease Cycles'!$DY$27:$EE$27,1,CW333)=1,CW334&gt;0),1,1-INDEX('Lease Cycles'!$DD$27:$DJ$27,1,CW333))*('Lease Cycles'!$AJ$27*INDEX('Lease Cycles'!$FO$27:$FU$27,1,CW333)+'Lease Cycles'!$BE$27*(1-INDEX('Lease Cycles'!$FO$27:$FU$27,1,CW333)))),0)</f>
        <v>0</v>
      </c>
      <c r="CX343" s="24">
        <f>IF(CX335=1,'Lease Cycles'!$D$27*IF(INDEX('Lease Cycles'!$EF$27:$EL$27,1,CX333)=1,'Lease Cycles'!$AJ$27*INDEX('Lease Cycles'!$FO$27:$FU$27,1,CX333)*INDEX('Lease Cycles'!$EM$27:$ES$27,1,CX333)+'Lease Cycles'!$BE$27*IF(CX334&lt;INDEX('Lease Cycles'!$FA$27:$FG$27,1,CX333),0,1-INDEX('Lease Cycles'!$EM$27:$ES$27,1,CX333)),IF(OR(INDEX('Lease Cycles'!$DY$27:$EE$27,1,CX333)=1,CX334&gt;0),1,1-INDEX('Lease Cycles'!$DD$27:$DJ$27,1,CX333))*('Lease Cycles'!$AJ$27*INDEX('Lease Cycles'!$FO$27:$FU$27,1,CX333)+'Lease Cycles'!$BE$27*(1-INDEX('Lease Cycles'!$FO$27:$FU$27,1,CX333)))),0)</f>
        <v>0</v>
      </c>
      <c r="CY343" s="24">
        <f>IF(CY335=1,'Lease Cycles'!$D$27*IF(INDEX('Lease Cycles'!$EF$27:$EL$27,1,CY333)=1,'Lease Cycles'!$AJ$27*INDEX('Lease Cycles'!$FO$27:$FU$27,1,CY333)*INDEX('Lease Cycles'!$EM$27:$ES$27,1,CY333)+'Lease Cycles'!$BE$27*IF(CY334&lt;INDEX('Lease Cycles'!$FA$27:$FG$27,1,CY333),0,1-INDEX('Lease Cycles'!$EM$27:$ES$27,1,CY333)),IF(OR(INDEX('Lease Cycles'!$DY$27:$EE$27,1,CY333)=1,CY334&gt;0),1,1-INDEX('Lease Cycles'!$DD$27:$DJ$27,1,CY333))*('Lease Cycles'!$AJ$27*INDEX('Lease Cycles'!$FO$27:$FU$27,1,CY333)+'Lease Cycles'!$BE$27*(1-INDEX('Lease Cycles'!$FO$27:$FU$27,1,CY333)))),0)</f>
        <v>0</v>
      </c>
      <c r="CZ343" s="24">
        <f>IF(CZ335=1,'Lease Cycles'!$D$27*IF(INDEX('Lease Cycles'!$EF$27:$EL$27,1,CZ333)=1,'Lease Cycles'!$AJ$27*INDEX('Lease Cycles'!$FO$27:$FU$27,1,CZ333)*INDEX('Lease Cycles'!$EM$27:$ES$27,1,CZ333)+'Lease Cycles'!$BE$27*IF(CZ334&lt;INDEX('Lease Cycles'!$FA$27:$FG$27,1,CZ333),0,1-INDEX('Lease Cycles'!$EM$27:$ES$27,1,CZ333)),IF(OR(INDEX('Lease Cycles'!$DY$27:$EE$27,1,CZ333)=1,CZ334&gt;0),1,1-INDEX('Lease Cycles'!$DD$27:$DJ$27,1,CZ333))*('Lease Cycles'!$AJ$27*INDEX('Lease Cycles'!$FO$27:$FU$27,1,CZ333)+'Lease Cycles'!$BE$27*(1-INDEX('Lease Cycles'!$FO$27:$FU$27,1,CZ333)))),0)</f>
        <v>0</v>
      </c>
      <c r="DA343" s="24">
        <f>IF(DA335=1,'Lease Cycles'!$D$27*IF(INDEX('Lease Cycles'!$EF$27:$EL$27,1,DA333)=1,'Lease Cycles'!$AJ$27*INDEX('Lease Cycles'!$FO$27:$FU$27,1,DA333)*INDEX('Lease Cycles'!$EM$27:$ES$27,1,DA333)+'Lease Cycles'!$BE$27*IF(DA334&lt;INDEX('Lease Cycles'!$FA$27:$FG$27,1,DA333),0,1-INDEX('Lease Cycles'!$EM$27:$ES$27,1,DA333)),IF(OR(INDEX('Lease Cycles'!$DY$27:$EE$27,1,DA333)=1,DA334&gt;0),1,1-INDEX('Lease Cycles'!$DD$27:$DJ$27,1,DA333))*('Lease Cycles'!$AJ$27*INDEX('Lease Cycles'!$FO$27:$FU$27,1,DA333)+'Lease Cycles'!$BE$27*(1-INDEX('Lease Cycles'!$FO$27:$FU$27,1,DA333)))),0)</f>
        <v>0</v>
      </c>
      <c r="DB343" s="24">
        <f>IF(DB335=1,'Lease Cycles'!$D$27*IF(INDEX('Lease Cycles'!$EF$27:$EL$27,1,DB333)=1,'Lease Cycles'!$AJ$27*INDEX('Lease Cycles'!$FO$27:$FU$27,1,DB333)*INDEX('Lease Cycles'!$EM$27:$ES$27,1,DB333)+'Lease Cycles'!$BE$27*IF(DB334&lt;INDEX('Lease Cycles'!$FA$27:$FG$27,1,DB333),0,1-INDEX('Lease Cycles'!$EM$27:$ES$27,1,DB333)),IF(OR(INDEX('Lease Cycles'!$DY$27:$EE$27,1,DB333)=1,DB334&gt;0),1,1-INDEX('Lease Cycles'!$DD$27:$DJ$27,1,DB333))*('Lease Cycles'!$AJ$27*INDEX('Lease Cycles'!$FO$27:$FU$27,1,DB333)+'Lease Cycles'!$BE$27*(1-INDEX('Lease Cycles'!$FO$27:$FU$27,1,DB333)))),0)</f>
        <v>0</v>
      </c>
      <c r="DC343" s="24">
        <f>IF(DC335=1,'Lease Cycles'!$D$27*IF(INDEX('Lease Cycles'!$EF$27:$EL$27,1,DC333)=1,'Lease Cycles'!$AJ$27*INDEX('Lease Cycles'!$FO$27:$FU$27,1,DC333)*INDEX('Lease Cycles'!$EM$27:$ES$27,1,DC333)+'Lease Cycles'!$BE$27*IF(DC334&lt;INDEX('Lease Cycles'!$FA$27:$FG$27,1,DC333),0,1-INDEX('Lease Cycles'!$EM$27:$ES$27,1,DC333)),IF(OR(INDEX('Lease Cycles'!$DY$27:$EE$27,1,DC333)=1,DC334&gt;0),1,1-INDEX('Lease Cycles'!$DD$27:$DJ$27,1,DC333))*('Lease Cycles'!$AJ$27*INDEX('Lease Cycles'!$FO$27:$FU$27,1,DC333)+'Lease Cycles'!$BE$27*(1-INDEX('Lease Cycles'!$FO$27:$FU$27,1,DC333)))),0)</f>
        <v>0</v>
      </c>
      <c r="DD343" s="24">
        <f>IF(DD335=1,'Lease Cycles'!$D$27*IF(INDEX('Lease Cycles'!$EF$27:$EL$27,1,DD333)=1,'Lease Cycles'!$AJ$27*INDEX('Lease Cycles'!$FO$27:$FU$27,1,DD333)*INDEX('Lease Cycles'!$EM$27:$ES$27,1,DD333)+'Lease Cycles'!$BE$27*IF(DD334&lt;INDEX('Lease Cycles'!$FA$27:$FG$27,1,DD333),0,1-INDEX('Lease Cycles'!$EM$27:$ES$27,1,DD333)),IF(OR(INDEX('Lease Cycles'!$DY$27:$EE$27,1,DD333)=1,DD334&gt;0),1,1-INDEX('Lease Cycles'!$DD$27:$DJ$27,1,DD333))*('Lease Cycles'!$AJ$27*INDEX('Lease Cycles'!$FO$27:$FU$27,1,DD333)+'Lease Cycles'!$BE$27*(1-INDEX('Lease Cycles'!$FO$27:$FU$27,1,DD333)))),0)</f>
        <v>0</v>
      </c>
      <c r="DE343" s="24">
        <f>IF(DE335=1,'Lease Cycles'!$D$27*IF(INDEX('Lease Cycles'!$EF$27:$EL$27,1,DE333)=1,'Lease Cycles'!$AJ$27*INDEX('Lease Cycles'!$FO$27:$FU$27,1,DE333)*INDEX('Lease Cycles'!$EM$27:$ES$27,1,DE333)+'Lease Cycles'!$BE$27*IF(DE334&lt;INDEX('Lease Cycles'!$FA$27:$FG$27,1,DE333),0,1-INDEX('Lease Cycles'!$EM$27:$ES$27,1,DE333)),IF(OR(INDEX('Lease Cycles'!$DY$27:$EE$27,1,DE333)=1,DE334&gt;0),1,1-INDEX('Lease Cycles'!$DD$27:$DJ$27,1,DE333))*('Lease Cycles'!$AJ$27*INDEX('Lease Cycles'!$FO$27:$FU$27,1,DE333)+'Lease Cycles'!$BE$27*(1-INDEX('Lease Cycles'!$FO$27:$FU$27,1,DE333)))),0)</f>
        <v>0</v>
      </c>
      <c r="DF343" s="24">
        <f>IF(DF335=1,'Lease Cycles'!$D$27*IF(INDEX('Lease Cycles'!$EF$27:$EL$27,1,DF333)=1,'Lease Cycles'!$AJ$27*INDEX('Lease Cycles'!$FO$27:$FU$27,1,DF333)*INDEX('Lease Cycles'!$EM$27:$ES$27,1,DF333)+'Lease Cycles'!$BE$27*IF(DF334&lt;INDEX('Lease Cycles'!$FA$27:$FG$27,1,DF333),0,1-INDEX('Lease Cycles'!$EM$27:$ES$27,1,DF333)),IF(OR(INDEX('Lease Cycles'!$DY$27:$EE$27,1,DF333)=1,DF334&gt;0),1,1-INDEX('Lease Cycles'!$DD$27:$DJ$27,1,DF333))*('Lease Cycles'!$AJ$27*INDEX('Lease Cycles'!$FO$27:$FU$27,1,DF333)+'Lease Cycles'!$BE$27*(1-INDEX('Lease Cycles'!$FO$27:$FU$27,1,DF333)))),0)</f>
        <v>0</v>
      </c>
      <c r="DG343" s="24">
        <f>IF(DG335=1,'Lease Cycles'!$D$27*IF(INDEX('Lease Cycles'!$EF$27:$EL$27,1,DG333)=1,'Lease Cycles'!$AJ$27*INDEX('Lease Cycles'!$FO$27:$FU$27,1,DG333)*INDEX('Lease Cycles'!$EM$27:$ES$27,1,DG333)+'Lease Cycles'!$BE$27*IF(DG334&lt;INDEX('Lease Cycles'!$FA$27:$FG$27,1,DG333),0,1-INDEX('Lease Cycles'!$EM$27:$ES$27,1,DG333)),IF(OR(INDEX('Lease Cycles'!$DY$27:$EE$27,1,DG333)=1,DG334&gt;0),1,1-INDEX('Lease Cycles'!$DD$27:$DJ$27,1,DG333))*('Lease Cycles'!$AJ$27*INDEX('Lease Cycles'!$FO$27:$FU$27,1,DG333)+'Lease Cycles'!$BE$27*(1-INDEX('Lease Cycles'!$FO$27:$FU$27,1,DG333)))),0)</f>
        <v>0</v>
      </c>
      <c r="DH343" s="24">
        <f>IF(DH335=1,'Lease Cycles'!$D$27*IF(INDEX('Lease Cycles'!$EF$27:$EL$27,1,DH333)=1,'Lease Cycles'!$AJ$27*INDEX('Lease Cycles'!$FO$27:$FU$27,1,DH333)*INDEX('Lease Cycles'!$EM$27:$ES$27,1,DH333)+'Lease Cycles'!$BE$27*IF(DH334&lt;INDEX('Lease Cycles'!$FA$27:$FG$27,1,DH333),0,1-INDEX('Lease Cycles'!$EM$27:$ES$27,1,DH333)),IF(OR(INDEX('Lease Cycles'!$DY$27:$EE$27,1,DH333)=1,DH334&gt;0),1,1-INDEX('Lease Cycles'!$DD$27:$DJ$27,1,DH333))*('Lease Cycles'!$AJ$27*INDEX('Lease Cycles'!$FO$27:$FU$27,1,DH333)+'Lease Cycles'!$BE$27*(1-INDEX('Lease Cycles'!$FO$27:$FU$27,1,DH333)))),0)</f>
        <v>0</v>
      </c>
      <c r="DI343" s="24">
        <f>IF(DI335=1,'Lease Cycles'!$D$27*IF(INDEX('Lease Cycles'!$EF$27:$EL$27,1,DI333)=1,'Lease Cycles'!$AJ$27*INDEX('Lease Cycles'!$FO$27:$FU$27,1,DI333)*INDEX('Lease Cycles'!$EM$27:$ES$27,1,DI333)+'Lease Cycles'!$BE$27*IF(DI334&lt;INDEX('Lease Cycles'!$FA$27:$FG$27,1,DI333),0,1-INDEX('Lease Cycles'!$EM$27:$ES$27,1,DI333)),IF(OR(INDEX('Lease Cycles'!$DY$27:$EE$27,1,DI333)=1,DI334&gt;0),1,1-INDEX('Lease Cycles'!$DD$27:$DJ$27,1,DI333))*('Lease Cycles'!$AJ$27*INDEX('Lease Cycles'!$FO$27:$FU$27,1,DI333)+'Lease Cycles'!$BE$27*(1-INDEX('Lease Cycles'!$FO$27:$FU$27,1,DI333)))),0)</f>
        <v>0</v>
      </c>
      <c r="DJ343" s="24">
        <f>IF(DJ335=1,'Lease Cycles'!$D$27*IF(INDEX('Lease Cycles'!$EF$27:$EL$27,1,DJ333)=1,'Lease Cycles'!$AJ$27*INDEX('Lease Cycles'!$FO$27:$FU$27,1,DJ333)*INDEX('Lease Cycles'!$EM$27:$ES$27,1,DJ333)+'Lease Cycles'!$BE$27*IF(DJ334&lt;INDEX('Lease Cycles'!$FA$27:$FG$27,1,DJ333),0,1-INDEX('Lease Cycles'!$EM$27:$ES$27,1,DJ333)),IF(OR(INDEX('Lease Cycles'!$DY$27:$EE$27,1,DJ333)=1,DJ334&gt;0),1,1-INDEX('Lease Cycles'!$DD$27:$DJ$27,1,DJ333))*('Lease Cycles'!$AJ$27*INDEX('Lease Cycles'!$FO$27:$FU$27,1,DJ333)+'Lease Cycles'!$BE$27*(1-INDEX('Lease Cycles'!$FO$27:$FU$27,1,DJ333)))),0)</f>
        <v>0</v>
      </c>
      <c r="DK343" s="24">
        <f>IF(DK335=1,'Lease Cycles'!$D$27*IF(INDEX('Lease Cycles'!$EF$27:$EL$27,1,DK333)=1,'Lease Cycles'!$AJ$27*INDEX('Lease Cycles'!$FO$27:$FU$27,1,DK333)*INDEX('Lease Cycles'!$EM$27:$ES$27,1,DK333)+'Lease Cycles'!$BE$27*IF(DK334&lt;INDEX('Lease Cycles'!$FA$27:$FG$27,1,DK333),0,1-INDEX('Lease Cycles'!$EM$27:$ES$27,1,DK333)),IF(OR(INDEX('Lease Cycles'!$DY$27:$EE$27,1,DK333)=1,DK334&gt;0),1,1-INDEX('Lease Cycles'!$DD$27:$DJ$27,1,DK333))*('Lease Cycles'!$AJ$27*INDEX('Lease Cycles'!$FO$27:$FU$27,1,DK333)+'Lease Cycles'!$BE$27*(1-INDEX('Lease Cycles'!$FO$27:$FU$27,1,DK333)))),0)</f>
        <v>0</v>
      </c>
      <c r="DL343" s="24">
        <f>IF(DL335=1,'Lease Cycles'!$D$27*IF(INDEX('Lease Cycles'!$EF$27:$EL$27,1,DL333)=1,'Lease Cycles'!$AJ$27*INDEX('Lease Cycles'!$FO$27:$FU$27,1,DL333)*INDEX('Lease Cycles'!$EM$27:$ES$27,1,DL333)+'Lease Cycles'!$BE$27*IF(DL334&lt;INDEX('Lease Cycles'!$FA$27:$FG$27,1,DL333),0,1-INDEX('Lease Cycles'!$EM$27:$ES$27,1,DL333)),IF(OR(INDEX('Lease Cycles'!$DY$27:$EE$27,1,DL333)=1,DL334&gt;0),1,1-INDEX('Lease Cycles'!$DD$27:$DJ$27,1,DL333))*('Lease Cycles'!$AJ$27*INDEX('Lease Cycles'!$FO$27:$FU$27,1,DL333)+'Lease Cycles'!$BE$27*(1-INDEX('Lease Cycles'!$FO$27:$FU$27,1,DL333)))),0)</f>
        <v>0</v>
      </c>
      <c r="DM343" s="24">
        <f>IF(DM335=1,'Lease Cycles'!$D$27*IF(INDEX('Lease Cycles'!$EF$27:$EL$27,1,DM333)=1,'Lease Cycles'!$AJ$27*INDEX('Lease Cycles'!$FO$27:$FU$27,1,DM333)*INDEX('Lease Cycles'!$EM$27:$ES$27,1,DM333)+'Lease Cycles'!$BE$27*IF(DM334&lt;INDEX('Lease Cycles'!$FA$27:$FG$27,1,DM333),0,1-INDEX('Lease Cycles'!$EM$27:$ES$27,1,DM333)),IF(OR(INDEX('Lease Cycles'!$DY$27:$EE$27,1,DM333)=1,DM334&gt;0),1,1-INDEX('Lease Cycles'!$DD$27:$DJ$27,1,DM333))*('Lease Cycles'!$AJ$27*INDEX('Lease Cycles'!$FO$27:$FU$27,1,DM333)+'Lease Cycles'!$BE$27*(1-INDEX('Lease Cycles'!$FO$27:$FU$27,1,DM333)))),0)</f>
        <v>0</v>
      </c>
      <c r="DN343" s="24">
        <f>IF(DN335=1,'Lease Cycles'!$D$27*IF(INDEX('Lease Cycles'!$EF$27:$EL$27,1,DN333)=1,'Lease Cycles'!$AJ$27*INDEX('Lease Cycles'!$FO$27:$FU$27,1,DN333)*INDEX('Lease Cycles'!$EM$27:$ES$27,1,DN333)+'Lease Cycles'!$BE$27*IF(DN334&lt;INDEX('Lease Cycles'!$FA$27:$FG$27,1,DN333),0,1-INDEX('Lease Cycles'!$EM$27:$ES$27,1,DN333)),IF(OR(INDEX('Lease Cycles'!$DY$27:$EE$27,1,DN333)=1,DN334&gt;0),1,1-INDEX('Lease Cycles'!$DD$27:$DJ$27,1,DN333))*('Lease Cycles'!$AJ$27*INDEX('Lease Cycles'!$FO$27:$FU$27,1,DN333)+'Lease Cycles'!$BE$27*(1-INDEX('Lease Cycles'!$FO$27:$FU$27,1,DN333)))),0)</f>
        <v>0</v>
      </c>
      <c r="DO343" s="24">
        <f>IF(DO335=1,'Lease Cycles'!$D$27*IF(INDEX('Lease Cycles'!$EF$27:$EL$27,1,DO333)=1,'Lease Cycles'!$AJ$27*INDEX('Lease Cycles'!$FO$27:$FU$27,1,DO333)*INDEX('Lease Cycles'!$EM$27:$ES$27,1,DO333)+'Lease Cycles'!$BE$27*IF(DO334&lt;INDEX('Lease Cycles'!$FA$27:$FG$27,1,DO333),0,1-INDEX('Lease Cycles'!$EM$27:$ES$27,1,DO333)),IF(OR(INDEX('Lease Cycles'!$DY$27:$EE$27,1,DO333)=1,DO334&gt;0),1,1-INDEX('Lease Cycles'!$DD$27:$DJ$27,1,DO333))*('Lease Cycles'!$AJ$27*INDEX('Lease Cycles'!$FO$27:$FU$27,1,DO333)+'Lease Cycles'!$BE$27*(1-INDEX('Lease Cycles'!$FO$27:$FU$27,1,DO333)))),0)</f>
        <v>0</v>
      </c>
      <c r="DP343" s="24">
        <f>IF(DP335=1,'Lease Cycles'!$D$27*IF(INDEX('Lease Cycles'!$EF$27:$EL$27,1,DP333)=1,'Lease Cycles'!$AJ$27*INDEX('Lease Cycles'!$FO$27:$FU$27,1,DP333)*INDEX('Lease Cycles'!$EM$27:$ES$27,1,DP333)+'Lease Cycles'!$BE$27*IF(DP334&lt;INDEX('Lease Cycles'!$FA$27:$FG$27,1,DP333),0,1-INDEX('Lease Cycles'!$EM$27:$ES$27,1,DP333)),IF(OR(INDEX('Lease Cycles'!$DY$27:$EE$27,1,DP333)=1,DP334&gt;0),1,1-INDEX('Lease Cycles'!$DD$27:$DJ$27,1,DP333))*('Lease Cycles'!$AJ$27*INDEX('Lease Cycles'!$FO$27:$FU$27,1,DP333)+'Lease Cycles'!$BE$27*(1-INDEX('Lease Cycles'!$FO$27:$FU$27,1,DP333)))),0)</f>
        <v>0</v>
      </c>
      <c r="DQ343" s="24">
        <f>IF(DQ335=1,'Lease Cycles'!$D$27*IF(INDEX('Lease Cycles'!$EF$27:$EL$27,1,DQ333)=1,'Lease Cycles'!$AJ$27*INDEX('Lease Cycles'!$FO$27:$FU$27,1,DQ333)*INDEX('Lease Cycles'!$EM$27:$ES$27,1,DQ333)+'Lease Cycles'!$BE$27*IF(DQ334&lt;INDEX('Lease Cycles'!$FA$27:$FG$27,1,DQ333),0,1-INDEX('Lease Cycles'!$EM$27:$ES$27,1,DQ333)),IF(OR(INDEX('Lease Cycles'!$DY$27:$EE$27,1,DQ333)=1,DQ334&gt;0),1,1-INDEX('Lease Cycles'!$DD$27:$DJ$27,1,DQ333))*('Lease Cycles'!$AJ$27*INDEX('Lease Cycles'!$FO$27:$FU$27,1,DQ333)+'Lease Cycles'!$BE$27*(1-INDEX('Lease Cycles'!$FO$27:$FU$27,1,DQ333)))),0)</f>
        <v>0</v>
      </c>
      <c r="DR343" s="24">
        <f>IF(DR335=1,'Lease Cycles'!$D$27*IF(INDEX('Lease Cycles'!$EF$27:$EL$27,1,DR333)=1,'Lease Cycles'!$AJ$27*INDEX('Lease Cycles'!$FO$27:$FU$27,1,DR333)*INDEX('Lease Cycles'!$EM$27:$ES$27,1,DR333)+'Lease Cycles'!$BE$27*IF(DR334&lt;INDEX('Lease Cycles'!$FA$27:$FG$27,1,DR333),0,1-INDEX('Lease Cycles'!$EM$27:$ES$27,1,DR333)),IF(OR(INDEX('Lease Cycles'!$DY$27:$EE$27,1,DR333)=1,DR334&gt;0),1,1-INDEX('Lease Cycles'!$DD$27:$DJ$27,1,DR333))*('Lease Cycles'!$AJ$27*INDEX('Lease Cycles'!$FO$27:$FU$27,1,DR333)+'Lease Cycles'!$BE$27*(1-INDEX('Lease Cycles'!$FO$27:$FU$27,1,DR333)))),0)</f>
        <v>0</v>
      </c>
      <c r="DS343" s="24">
        <f>IF(DS335=1,'Lease Cycles'!$D$27*IF(INDEX('Lease Cycles'!$EF$27:$EL$27,1,DS333)=1,'Lease Cycles'!$AJ$27*INDEX('Lease Cycles'!$FO$27:$FU$27,1,DS333)*INDEX('Lease Cycles'!$EM$27:$ES$27,1,DS333)+'Lease Cycles'!$BE$27*IF(DS334&lt;INDEX('Lease Cycles'!$FA$27:$FG$27,1,DS333),0,1-INDEX('Lease Cycles'!$EM$27:$ES$27,1,DS333)),IF(OR(INDEX('Lease Cycles'!$DY$27:$EE$27,1,DS333)=1,DS334&gt;0),1,1-INDEX('Lease Cycles'!$DD$27:$DJ$27,1,DS333))*('Lease Cycles'!$AJ$27*INDEX('Lease Cycles'!$FO$27:$FU$27,1,DS333)+'Lease Cycles'!$BE$27*(1-INDEX('Lease Cycles'!$FO$27:$FU$27,1,DS333)))),0)</f>
        <v>0</v>
      </c>
      <c r="DT343" s="24">
        <f>IF(DT335=1,'Lease Cycles'!$D$27*IF(INDEX('Lease Cycles'!$EF$27:$EL$27,1,DT333)=1,'Lease Cycles'!$AJ$27*INDEX('Lease Cycles'!$FO$27:$FU$27,1,DT333)*INDEX('Lease Cycles'!$EM$27:$ES$27,1,DT333)+'Lease Cycles'!$BE$27*IF(DT334&lt;INDEX('Lease Cycles'!$FA$27:$FG$27,1,DT333),0,1-INDEX('Lease Cycles'!$EM$27:$ES$27,1,DT333)),IF(OR(INDEX('Lease Cycles'!$DY$27:$EE$27,1,DT333)=1,DT334&gt;0),1,1-INDEX('Lease Cycles'!$DD$27:$DJ$27,1,DT333))*('Lease Cycles'!$AJ$27*INDEX('Lease Cycles'!$FO$27:$FU$27,1,DT333)+'Lease Cycles'!$BE$27*(1-INDEX('Lease Cycles'!$FO$27:$FU$27,1,DT333)))),0)</f>
        <v>0</v>
      </c>
      <c r="DU343" s="24">
        <f>IF(DU335=1,'Lease Cycles'!$D$27*IF(INDEX('Lease Cycles'!$EF$27:$EL$27,1,DU333)=1,'Lease Cycles'!$AJ$27*INDEX('Lease Cycles'!$FO$27:$FU$27,1,DU333)*INDEX('Lease Cycles'!$EM$27:$ES$27,1,DU333)+'Lease Cycles'!$BE$27*IF(DU334&lt;INDEX('Lease Cycles'!$FA$27:$FG$27,1,DU333),0,1-INDEX('Lease Cycles'!$EM$27:$ES$27,1,DU333)),IF(OR(INDEX('Lease Cycles'!$DY$27:$EE$27,1,DU333)=1,DU334&gt;0),1,1-INDEX('Lease Cycles'!$DD$27:$DJ$27,1,DU333))*('Lease Cycles'!$AJ$27*INDEX('Lease Cycles'!$FO$27:$FU$27,1,DU333)+'Lease Cycles'!$BE$27*(1-INDEX('Lease Cycles'!$FO$27:$FU$27,1,DU333)))),0)</f>
        <v>0</v>
      </c>
      <c r="DV343" s="24">
        <f>IF(DV335=1,'Lease Cycles'!$D$27*IF(INDEX('Lease Cycles'!$EF$27:$EL$27,1,DV333)=1,'Lease Cycles'!$AJ$27*INDEX('Lease Cycles'!$FO$27:$FU$27,1,DV333)*INDEX('Lease Cycles'!$EM$27:$ES$27,1,DV333)+'Lease Cycles'!$BE$27*IF(DV334&lt;INDEX('Lease Cycles'!$FA$27:$FG$27,1,DV333),0,1-INDEX('Lease Cycles'!$EM$27:$ES$27,1,DV333)),IF(OR(INDEX('Lease Cycles'!$DY$27:$EE$27,1,DV333)=1,DV334&gt;0),1,1-INDEX('Lease Cycles'!$DD$27:$DJ$27,1,DV333))*('Lease Cycles'!$AJ$27*INDEX('Lease Cycles'!$FO$27:$FU$27,1,DV333)+'Lease Cycles'!$BE$27*(1-INDEX('Lease Cycles'!$FO$27:$FU$27,1,DV333)))),0)</f>
        <v>0</v>
      </c>
      <c r="DW343" s="24">
        <f>IF(DW335=1,'Lease Cycles'!$D$27*IF(INDEX('Lease Cycles'!$EF$27:$EL$27,1,DW333)=1,'Lease Cycles'!$AJ$27*INDEX('Lease Cycles'!$FO$27:$FU$27,1,DW333)*INDEX('Lease Cycles'!$EM$27:$ES$27,1,DW333)+'Lease Cycles'!$BE$27*IF(DW334&lt;INDEX('Lease Cycles'!$FA$27:$FG$27,1,DW333),0,1-INDEX('Lease Cycles'!$EM$27:$ES$27,1,DW333)),IF(OR(INDEX('Lease Cycles'!$DY$27:$EE$27,1,DW333)=1,DW334&gt;0),1,1-INDEX('Lease Cycles'!$DD$27:$DJ$27,1,DW333))*('Lease Cycles'!$AJ$27*INDEX('Lease Cycles'!$FO$27:$FU$27,1,DW333)+'Lease Cycles'!$BE$27*(1-INDEX('Lease Cycles'!$FO$27:$FU$27,1,DW333)))),0)</f>
        <v>0</v>
      </c>
      <c r="DX343" s="24">
        <f>IF(DX335=1,'Lease Cycles'!$D$27*IF(INDEX('Lease Cycles'!$EF$27:$EL$27,1,DX333)=1,'Lease Cycles'!$AJ$27*INDEX('Lease Cycles'!$FO$27:$FU$27,1,DX333)*INDEX('Lease Cycles'!$EM$27:$ES$27,1,DX333)+'Lease Cycles'!$BE$27*IF(DX334&lt;INDEX('Lease Cycles'!$FA$27:$FG$27,1,DX333),0,1-INDEX('Lease Cycles'!$EM$27:$ES$27,1,DX333)),IF(OR(INDEX('Lease Cycles'!$DY$27:$EE$27,1,DX333)=1,DX334&gt;0),1,1-INDEX('Lease Cycles'!$DD$27:$DJ$27,1,DX333))*('Lease Cycles'!$AJ$27*INDEX('Lease Cycles'!$FO$27:$FU$27,1,DX333)+'Lease Cycles'!$BE$27*(1-INDEX('Lease Cycles'!$FO$27:$FU$27,1,DX333)))),0)</f>
        <v>0</v>
      </c>
      <c r="DY343" s="24">
        <f>IF(DY335=1,'Lease Cycles'!$D$27*IF(INDEX('Lease Cycles'!$EF$27:$EL$27,1,DY333)=1,'Lease Cycles'!$AJ$27*INDEX('Lease Cycles'!$FO$27:$FU$27,1,DY333)*INDEX('Lease Cycles'!$EM$27:$ES$27,1,DY333)+'Lease Cycles'!$BE$27*IF(DY334&lt;INDEX('Lease Cycles'!$FA$27:$FG$27,1,DY333),0,1-INDEX('Lease Cycles'!$EM$27:$ES$27,1,DY333)),IF(OR(INDEX('Lease Cycles'!$DY$27:$EE$27,1,DY333)=1,DY334&gt;0),1,1-INDEX('Lease Cycles'!$DD$27:$DJ$27,1,DY333))*('Lease Cycles'!$AJ$27*INDEX('Lease Cycles'!$FO$27:$FU$27,1,DY333)+'Lease Cycles'!$BE$27*(1-INDEX('Lease Cycles'!$FO$27:$FU$27,1,DY333)))),0)</f>
        <v>0</v>
      </c>
      <c r="DZ343" s="24">
        <f>IF(DZ335=1,'Lease Cycles'!$D$27*IF(INDEX('Lease Cycles'!$EF$27:$EL$27,1,DZ333)=1,'Lease Cycles'!$AJ$27*INDEX('Lease Cycles'!$FO$27:$FU$27,1,DZ333)*INDEX('Lease Cycles'!$EM$27:$ES$27,1,DZ333)+'Lease Cycles'!$BE$27*IF(DZ334&lt;INDEX('Lease Cycles'!$FA$27:$FG$27,1,DZ333),0,1-INDEX('Lease Cycles'!$EM$27:$ES$27,1,DZ333)),IF(OR(INDEX('Lease Cycles'!$DY$27:$EE$27,1,DZ333)=1,DZ334&gt;0),1,1-INDEX('Lease Cycles'!$DD$27:$DJ$27,1,DZ333))*('Lease Cycles'!$AJ$27*INDEX('Lease Cycles'!$FO$27:$FU$27,1,DZ333)+'Lease Cycles'!$BE$27*(1-INDEX('Lease Cycles'!$FO$27:$FU$27,1,DZ333)))),0)</f>
        <v>0</v>
      </c>
      <c r="EA343" s="24">
        <f>IF(EA335=1,'Lease Cycles'!$D$27*IF(INDEX('Lease Cycles'!$EF$27:$EL$27,1,EA333)=1,'Lease Cycles'!$AJ$27*INDEX('Lease Cycles'!$FO$27:$FU$27,1,EA333)*INDEX('Lease Cycles'!$EM$27:$ES$27,1,EA333)+'Lease Cycles'!$BE$27*IF(EA334&lt;INDEX('Lease Cycles'!$FA$27:$FG$27,1,EA333),0,1-INDEX('Lease Cycles'!$EM$27:$ES$27,1,EA333)),IF(OR(INDEX('Lease Cycles'!$DY$27:$EE$27,1,EA333)=1,EA334&gt;0),1,1-INDEX('Lease Cycles'!$DD$27:$DJ$27,1,EA333))*('Lease Cycles'!$AJ$27*INDEX('Lease Cycles'!$FO$27:$FU$27,1,EA333)+'Lease Cycles'!$BE$27*(1-INDEX('Lease Cycles'!$FO$27:$FU$27,1,EA333)))),0)</f>
        <v>0</v>
      </c>
      <c r="EB343" s="24">
        <f>IF(EB335=1,'Lease Cycles'!$D$27*IF(INDEX('Lease Cycles'!$EF$27:$EL$27,1,EB333)=1,'Lease Cycles'!$AJ$27*INDEX('Lease Cycles'!$FO$27:$FU$27,1,EB333)*INDEX('Lease Cycles'!$EM$27:$ES$27,1,EB333)+'Lease Cycles'!$BE$27*IF(EB334&lt;INDEX('Lease Cycles'!$FA$27:$FG$27,1,EB333),0,1-INDEX('Lease Cycles'!$EM$27:$ES$27,1,EB333)),IF(OR(INDEX('Lease Cycles'!$DY$27:$EE$27,1,EB333)=1,EB334&gt;0),1,1-INDEX('Lease Cycles'!$DD$27:$DJ$27,1,EB333))*('Lease Cycles'!$AJ$27*INDEX('Lease Cycles'!$FO$27:$FU$27,1,EB333)+'Lease Cycles'!$BE$27*(1-INDEX('Lease Cycles'!$FO$27:$FU$27,1,EB333)))),0)</f>
        <v>0</v>
      </c>
      <c r="EC343" s="24">
        <f>IF(EC335=1,'Lease Cycles'!$D$27*IF(INDEX('Lease Cycles'!$EF$27:$EL$27,1,EC333)=1,'Lease Cycles'!$AJ$27*INDEX('Lease Cycles'!$FO$27:$FU$27,1,EC333)*INDEX('Lease Cycles'!$EM$27:$ES$27,1,EC333)+'Lease Cycles'!$BE$27*IF(EC334&lt;INDEX('Lease Cycles'!$FA$27:$FG$27,1,EC333),0,1-INDEX('Lease Cycles'!$EM$27:$ES$27,1,EC333)),IF(OR(INDEX('Lease Cycles'!$DY$27:$EE$27,1,EC333)=1,EC334&gt;0),1,1-INDEX('Lease Cycles'!$DD$27:$DJ$27,1,EC333))*('Lease Cycles'!$AJ$27*INDEX('Lease Cycles'!$FO$27:$FU$27,1,EC333)+'Lease Cycles'!$BE$27*(1-INDEX('Lease Cycles'!$FO$27:$FU$27,1,EC333)))),0)</f>
        <v>0</v>
      </c>
      <c r="ED343" s="24">
        <f>IF(ED335=1,'Lease Cycles'!$D$27*IF(INDEX('Lease Cycles'!$EF$27:$EL$27,1,ED333)=1,'Lease Cycles'!$AJ$27*INDEX('Lease Cycles'!$FO$27:$FU$27,1,ED333)*INDEX('Lease Cycles'!$EM$27:$ES$27,1,ED333)+'Lease Cycles'!$BE$27*IF(ED334&lt;INDEX('Lease Cycles'!$FA$27:$FG$27,1,ED333),0,1-INDEX('Lease Cycles'!$EM$27:$ES$27,1,ED333)),IF(OR(INDEX('Lease Cycles'!$DY$27:$EE$27,1,ED333)=1,ED334&gt;0),1,1-INDEX('Lease Cycles'!$DD$27:$DJ$27,1,ED333))*('Lease Cycles'!$AJ$27*INDEX('Lease Cycles'!$FO$27:$FU$27,1,ED333)+'Lease Cycles'!$BE$27*(1-INDEX('Lease Cycles'!$FO$27:$FU$27,1,ED333)))),0)</f>
        <v>0</v>
      </c>
      <c r="EE343" s="24">
        <f>IF(EE335=1,'Lease Cycles'!$D$27*IF(INDEX('Lease Cycles'!$EF$27:$EL$27,1,EE333)=1,'Lease Cycles'!$AJ$27*INDEX('Lease Cycles'!$FO$27:$FU$27,1,EE333)*INDEX('Lease Cycles'!$EM$27:$ES$27,1,EE333)+'Lease Cycles'!$BE$27*IF(EE334&lt;INDEX('Lease Cycles'!$FA$27:$FG$27,1,EE333),0,1-INDEX('Lease Cycles'!$EM$27:$ES$27,1,EE333)),IF(OR(INDEX('Lease Cycles'!$DY$27:$EE$27,1,EE333)=1,EE334&gt;0),1,1-INDEX('Lease Cycles'!$DD$27:$DJ$27,1,EE333))*('Lease Cycles'!$AJ$27*INDEX('Lease Cycles'!$FO$27:$FU$27,1,EE333)+'Lease Cycles'!$BE$27*(1-INDEX('Lease Cycles'!$FO$27:$FU$27,1,EE333)))),0)</f>
        <v>0</v>
      </c>
      <c r="EF343" s="24">
        <f>IF(EF335=1,'Lease Cycles'!$D$27*IF(INDEX('Lease Cycles'!$EF$27:$EL$27,1,EF333)=1,'Lease Cycles'!$AJ$27*INDEX('Lease Cycles'!$FO$27:$FU$27,1,EF333)*INDEX('Lease Cycles'!$EM$27:$ES$27,1,EF333)+'Lease Cycles'!$BE$27*IF(EF334&lt;INDEX('Lease Cycles'!$FA$27:$FG$27,1,EF333),0,1-INDEX('Lease Cycles'!$EM$27:$ES$27,1,EF333)),IF(OR(INDEX('Lease Cycles'!$DY$27:$EE$27,1,EF333)=1,EF334&gt;0),1,1-INDEX('Lease Cycles'!$DD$27:$DJ$27,1,EF333))*('Lease Cycles'!$AJ$27*INDEX('Lease Cycles'!$FO$27:$FU$27,1,EF333)+'Lease Cycles'!$BE$27*(1-INDEX('Lease Cycles'!$FO$27:$FU$27,1,EF333)))),0)</f>
        <v>0</v>
      </c>
      <c r="EG343" s="24">
        <f>IF(EG335=1,'Lease Cycles'!$D$27*IF(INDEX('Lease Cycles'!$EF$27:$EL$27,1,EG333)=1,'Lease Cycles'!$AJ$27*INDEX('Lease Cycles'!$FO$27:$FU$27,1,EG333)*INDEX('Lease Cycles'!$EM$27:$ES$27,1,EG333)+'Lease Cycles'!$BE$27*IF(EG334&lt;INDEX('Lease Cycles'!$FA$27:$FG$27,1,EG333),0,1-INDEX('Lease Cycles'!$EM$27:$ES$27,1,EG333)),IF(OR(INDEX('Lease Cycles'!$DY$27:$EE$27,1,EG333)=1,EG334&gt;0),1,1-INDEX('Lease Cycles'!$DD$27:$DJ$27,1,EG333))*('Lease Cycles'!$AJ$27*INDEX('Lease Cycles'!$FO$27:$FU$27,1,EG333)+'Lease Cycles'!$BE$27*(1-INDEX('Lease Cycles'!$FO$27:$FU$27,1,EG333)))),0)</f>
        <v>0</v>
      </c>
      <c r="EH343" s="24">
        <f>IF(EH335=1,'Lease Cycles'!$D$27*IF(INDEX('Lease Cycles'!$EF$27:$EL$27,1,EH333)=1,'Lease Cycles'!$AJ$27*INDEX('Lease Cycles'!$FO$27:$FU$27,1,EH333)*INDEX('Lease Cycles'!$EM$27:$ES$27,1,EH333)+'Lease Cycles'!$BE$27*IF(EH334&lt;INDEX('Lease Cycles'!$FA$27:$FG$27,1,EH333),0,1-INDEX('Lease Cycles'!$EM$27:$ES$27,1,EH333)),IF(OR(INDEX('Lease Cycles'!$DY$27:$EE$27,1,EH333)=1,EH334&gt;0),1,1-INDEX('Lease Cycles'!$DD$27:$DJ$27,1,EH333))*('Lease Cycles'!$AJ$27*INDEX('Lease Cycles'!$FO$27:$FU$27,1,EH333)+'Lease Cycles'!$BE$27*(1-INDEX('Lease Cycles'!$FO$27:$FU$27,1,EH333)))),0)</f>
        <v>0</v>
      </c>
      <c r="EI343" s="24">
        <f>IF(EI335=1,'Lease Cycles'!$D$27*IF(INDEX('Lease Cycles'!$EF$27:$EL$27,1,EI333)=1,'Lease Cycles'!$AJ$27*INDEX('Lease Cycles'!$FO$27:$FU$27,1,EI333)*INDEX('Lease Cycles'!$EM$27:$ES$27,1,EI333)+'Lease Cycles'!$BE$27*IF(EI334&lt;INDEX('Lease Cycles'!$FA$27:$FG$27,1,EI333),0,1-INDEX('Lease Cycles'!$EM$27:$ES$27,1,EI333)),IF(OR(INDEX('Lease Cycles'!$DY$27:$EE$27,1,EI333)=1,EI334&gt;0),1,1-INDEX('Lease Cycles'!$DD$27:$DJ$27,1,EI333))*('Lease Cycles'!$AJ$27*INDEX('Lease Cycles'!$FO$27:$FU$27,1,EI333)+'Lease Cycles'!$BE$27*(1-INDEX('Lease Cycles'!$FO$27:$FU$27,1,EI333)))),0)</f>
        <v>0</v>
      </c>
      <c r="EJ343" s="24">
        <f>IF(EJ335=1,'Lease Cycles'!$D$27*IF(INDEX('Lease Cycles'!$EF$27:$EL$27,1,EJ333)=1,'Lease Cycles'!$AJ$27*INDEX('Lease Cycles'!$FO$27:$FU$27,1,EJ333)*INDEX('Lease Cycles'!$EM$27:$ES$27,1,EJ333)+'Lease Cycles'!$BE$27*IF(EJ334&lt;INDEX('Lease Cycles'!$FA$27:$FG$27,1,EJ333),0,1-INDEX('Lease Cycles'!$EM$27:$ES$27,1,EJ333)),IF(OR(INDEX('Lease Cycles'!$DY$27:$EE$27,1,EJ333)=1,EJ334&gt;0),1,1-INDEX('Lease Cycles'!$DD$27:$DJ$27,1,EJ333))*('Lease Cycles'!$AJ$27*INDEX('Lease Cycles'!$FO$27:$FU$27,1,EJ333)+'Lease Cycles'!$BE$27*(1-INDEX('Lease Cycles'!$FO$27:$FU$27,1,EJ333)))),0)</f>
        <v>0</v>
      </c>
      <c r="EK343" s="24">
        <f>IF(EK335=1,'Lease Cycles'!$D$27*IF(INDEX('Lease Cycles'!$EF$27:$EL$27,1,EK333)=1,'Lease Cycles'!$AJ$27*INDEX('Lease Cycles'!$FO$27:$FU$27,1,EK333)*INDEX('Lease Cycles'!$EM$27:$ES$27,1,EK333)+'Lease Cycles'!$BE$27*IF(EK334&lt;INDEX('Lease Cycles'!$FA$27:$FG$27,1,EK333),0,1-INDEX('Lease Cycles'!$EM$27:$ES$27,1,EK333)),IF(OR(INDEX('Lease Cycles'!$DY$27:$EE$27,1,EK333)=1,EK334&gt;0),1,1-INDEX('Lease Cycles'!$DD$27:$DJ$27,1,EK333))*('Lease Cycles'!$AJ$27*INDEX('Lease Cycles'!$FO$27:$FU$27,1,EK333)+'Lease Cycles'!$BE$27*(1-INDEX('Lease Cycles'!$FO$27:$FU$27,1,EK333)))),0)</f>
        <v>0</v>
      </c>
      <c r="EL343" s="24">
        <f>IF(EL335=1,'Lease Cycles'!$D$27*IF(INDEX('Lease Cycles'!$EF$27:$EL$27,1,EL333)=1,'Lease Cycles'!$AJ$27*INDEX('Lease Cycles'!$FO$27:$FU$27,1,EL333)*INDEX('Lease Cycles'!$EM$27:$ES$27,1,EL333)+'Lease Cycles'!$BE$27*IF(EL334&lt;INDEX('Lease Cycles'!$FA$27:$FG$27,1,EL333),0,1-INDEX('Lease Cycles'!$EM$27:$ES$27,1,EL333)),IF(OR(INDEX('Lease Cycles'!$DY$27:$EE$27,1,EL333)=1,EL334&gt;0),1,1-INDEX('Lease Cycles'!$DD$27:$DJ$27,1,EL333))*('Lease Cycles'!$AJ$27*INDEX('Lease Cycles'!$FO$27:$FU$27,1,EL333)+'Lease Cycles'!$BE$27*(1-INDEX('Lease Cycles'!$FO$27:$FU$27,1,EL333)))),0)</f>
        <v>0</v>
      </c>
      <c r="EM343" s="24">
        <f>IF(EM335=1,'Lease Cycles'!$D$27*IF(INDEX('Lease Cycles'!$EF$27:$EL$27,1,EM333)=1,'Lease Cycles'!$AJ$27*INDEX('Lease Cycles'!$FO$27:$FU$27,1,EM333)*INDEX('Lease Cycles'!$EM$27:$ES$27,1,EM333)+'Lease Cycles'!$BE$27*IF(EM334&lt;INDEX('Lease Cycles'!$FA$27:$FG$27,1,EM333),0,1-INDEX('Lease Cycles'!$EM$27:$ES$27,1,EM333)),IF(OR(INDEX('Lease Cycles'!$DY$27:$EE$27,1,EM333)=1,EM334&gt;0),1,1-INDEX('Lease Cycles'!$DD$27:$DJ$27,1,EM333))*('Lease Cycles'!$AJ$27*INDEX('Lease Cycles'!$FO$27:$FU$27,1,EM333)+'Lease Cycles'!$BE$27*(1-INDEX('Lease Cycles'!$FO$27:$FU$27,1,EM333)))),0)</f>
        <v>0</v>
      </c>
      <c r="EN343" s="24">
        <f>IF(EN335=1,'Lease Cycles'!$D$27*IF(INDEX('Lease Cycles'!$EF$27:$EL$27,1,EN333)=1,'Lease Cycles'!$AJ$27*INDEX('Lease Cycles'!$FO$27:$FU$27,1,EN333)*INDEX('Lease Cycles'!$EM$27:$ES$27,1,EN333)+'Lease Cycles'!$BE$27*IF(EN334&lt;INDEX('Lease Cycles'!$FA$27:$FG$27,1,EN333),0,1-INDEX('Lease Cycles'!$EM$27:$ES$27,1,EN333)),IF(OR(INDEX('Lease Cycles'!$DY$27:$EE$27,1,EN333)=1,EN334&gt;0),1,1-INDEX('Lease Cycles'!$DD$27:$DJ$27,1,EN333))*('Lease Cycles'!$AJ$27*INDEX('Lease Cycles'!$FO$27:$FU$27,1,EN333)+'Lease Cycles'!$BE$27*(1-INDEX('Lease Cycles'!$FO$27:$FU$27,1,EN333)))),0)</f>
        <v>0</v>
      </c>
      <c r="EO343" s="24">
        <f>IF(EO335=1,'Lease Cycles'!$D$27*IF(INDEX('Lease Cycles'!$EF$27:$EL$27,1,EO333)=1,'Lease Cycles'!$AJ$27*INDEX('Lease Cycles'!$FO$27:$FU$27,1,EO333)*INDEX('Lease Cycles'!$EM$27:$ES$27,1,EO333)+'Lease Cycles'!$BE$27*IF(EO334&lt;INDEX('Lease Cycles'!$FA$27:$FG$27,1,EO333),0,1-INDEX('Lease Cycles'!$EM$27:$ES$27,1,EO333)),IF(OR(INDEX('Lease Cycles'!$DY$27:$EE$27,1,EO333)=1,EO334&gt;0),1,1-INDEX('Lease Cycles'!$DD$27:$DJ$27,1,EO333))*('Lease Cycles'!$AJ$27*INDEX('Lease Cycles'!$FO$27:$FU$27,1,EO333)+'Lease Cycles'!$BE$27*(1-INDEX('Lease Cycles'!$FO$27:$FU$27,1,EO333)))),0)</f>
        <v>0</v>
      </c>
      <c r="EP343" s="24">
        <f>IF(EP335=1,'Lease Cycles'!$D$27*IF(INDEX('Lease Cycles'!$EF$27:$EL$27,1,EP333)=1,'Lease Cycles'!$AJ$27*INDEX('Lease Cycles'!$FO$27:$FU$27,1,EP333)*INDEX('Lease Cycles'!$EM$27:$ES$27,1,EP333)+'Lease Cycles'!$BE$27*IF(EP334&lt;INDEX('Lease Cycles'!$FA$27:$FG$27,1,EP333),0,1-INDEX('Lease Cycles'!$EM$27:$ES$27,1,EP333)),IF(OR(INDEX('Lease Cycles'!$DY$27:$EE$27,1,EP333)=1,EP334&gt;0),1,1-INDEX('Lease Cycles'!$DD$27:$DJ$27,1,EP333))*('Lease Cycles'!$AJ$27*INDEX('Lease Cycles'!$FO$27:$FU$27,1,EP333)+'Lease Cycles'!$BE$27*(1-INDEX('Lease Cycles'!$FO$27:$FU$27,1,EP333)))),0)</f>
        <v>0</v>
      </c>
      <c r="EQ343" s="24">
        <f>IF(EQ335=1,'Lease Cycles'!$D$27*IF(INDEX('Lease Cycles'!$EF$27:$EL$27,1,EQ333)=1,'Lease Cycles'!$AJ$27*INDEX('Lease Cycles'!$FO$27:$FU$27,1,EQ333)*INDEX('Lease Cycles'!$EM$27:$ES$27,1,EQ333)+'Lease Cycles'!$BE$27*IF(EQ334&lt;INDEX('Lease Cycles'!$FA$27:$FG$27,1,EQ333),0,1-INDEX('Lease Cycles'!$EM$27:$ES$27,1,EQ333)),IF(OR(INDEX('Lease Cycles'!$DY$27:$EE$27,1,EQ333)=1,EQ334&gt;0),1,1-INDEX('Lease Cycles'!$DD$27:$DJ$27,1,EQ333))*('Lease Cycles'!$AJ$27*INDEX('Lease Cycles'!$FO$27:$FU$27,1,EQ333)+'Lease Cycles'!$BE$27*(1-INDEX('Lease Cycles'!$FO$27:$FU$27,1,EQ333)))),0)</f>
        <v>0</v>
      </c>
      <c r="ER343" s="24">
        <f>IF(ER335=1,'Lease Cycles'!$D$27*IF(INDEX('Lease Cycles'!$EF$27:$EL$27,1,ER333)=1,'Lease Cycles'!$AJ$27*INDEX('Lease Cycles'!$FO$27:$FU$27,1,ER333)*INDEX('Lease Cycles'!$EM$27:$ES$27,1,ER333)+'Lease Cycles'!$BE$27*IF(ER334&lt;INDEX('Lease Cycles'!$FA$27:$FG$27,1,ER333),0,1-INDEX('Lease Cycles'!$EM$27:$ES$27,1,ER333)),IF(OR(INDEX('Lease Cycles'!$DY$27:$EE$27,1,ER333)=1,ER334&gt;0),1,1-INDEX('Lease Cycles'!$DD$27:$DJ$27,1,ER333))*('Lease Cycles'!$AJ$27*INDEX('Lease Cycles'!$FO$27:$FU$27,1,ER333)+'Lease Cycles'!$BE$27*(1-INDEX('Lease Cycles'!$FO$27:$FU$27,1,ER333)))),0)</f>
        <v>0</v>
      </c>
      <c r="ES343" s="24">
        <f>IF(ES335=1,'Lease Cycles'!$D$27*IF(INDEX('Lease Cycles'!$EF$27:$EL$27,1,ES333)=1,'Lease Cycles'!$AJ$27*INDEX('Lease Cycles'!$FO$27:$FU$27,1,ES333)*INDEX('Lease Cycles'!$EM$27:$ES$27,1,ES333)+'Lease Cycles'!$BE$27*IF(ES334&lt;INDEX('Lease Cycles'!$FA$27:$FG$27,1,ES333),0,1-INDEX('Lease Cycles'!$EM$27:$ES$27,1,ES333)),IF(OR(INDEX('Lease Cycles'!$DY$27:$EE$27,1,ES333)=1,ES334&gt;0),1,1-INDEX('Lease Cycles'!$DD$27:$DJ$27,1,ES333))*('Lease Cycles'!$AJ$27*INDEX('Lease Cycles'!$FO$27:$FU$27,1,ES333)+'Lease Cycles'!$BE$27*(1-INDEX('Lease Cycles'!$FO$27:$FU$27,1,ES333)))),0)</f>
        <v>0</v>
      </c>
      <c r="ET343" s="24">
        <f>IF(ET335=1,'Lease Cycles'!$D$27*IF(INDEX('Lease Cycles'!$EF$27:$EL$27,1,ET333)=1,'Lease Cycles'!$AJ$27*INDEX('Lease Cycles'!$FO$27:$FU$27,1,ET333)*INDEX('Lease Cycles'!$EM$27:$ES$27,1,ET333)+'Lease Cycles'!$BE$27*IF(ET334&lt;INDEX('Lease Cycles'!$FA$27:$FG$27,1,ET333),0,1-INDEX('Lease Cycles'!$EM$27:$ES$27,1,ET333)),IF(OR(INDEX('Lease Cycles'!$DY$27:$EE$27,1,ET333)=1,ET334&gt;0),1,1-INDEX('Lease Cycles'!$DD$27:$DJ$27,1,ET333))*('Lease Cycles'!$AJ$27*INDEX('Lease Cycles'!$FO$27:$FU$27,1,ET333)+'Lease Cycles'!$BE$27*(1-INDEX('Lease Cycles'!$FO$27:$FU$27,1,ET333)))),0)</f>
        <v>0</v>
      </c>
    </row>
    <row r="344">
      <c r="A344" s="103">
        <v>20</v>
      </c>
      <c r="B344" s="23" t="str">
        <f>IF('Lease Cycles'!$B$27="","(empty slot)",'Lease Cycles'!$B$27)</f>
        <v>(empty slot)</v>
      </c>
      <c r="C344" s="23" t="s">
        <v>689</v>
      </c>
      <c r="D344" s="104" t="s">
        <v>690</v>
      </c>
      <c r="E344" s="25">
        <f>'Lease Cycles'!$AL$27</f>
        <v>0</v>
      </c>
      <c r="G344" s="28">
        <f>SUM(S344:AD344)</f>
        <v>0</v>
      </c>
      <c r="H344" s="28">
        <f>SUM(AE344:AP344)</f>
        <v>0</v>
      </c>
      <c r="I344" s="28">
        <f>SUM(AQ344:BB344)</f>
        <v>0</v>
      </c>
      <c r="J344" s="28">
        <f>SUM(BC344:BN344)</f>
        <v>0</v>
      </c>
      <c r="K344" s="28">
        <f>SUM(BO344:BZ344)</f>
        <v>0</v>
      </c>
      <c r="L344" s="28">
        <f>SUM(CA344:CL344)</f>
        <v>0</v>
      </c>
      <c r="M344" s="28">
        <f>SUM(CM344:CX344)</f>
        <v>0</v>
      </c>
      <c r="N344" s="28">
        <f>SUM(CY344:DJ344)</f>
        <v>0</v>
      </c>
      <c r="O344" s="28">
        <f>SUM(DK344:DV344)</f>
        <v>0</v>
      </c>
      <c r="P344" s="28">
        <f>SUM(DW344:EH344)</f>
        <v>0</v>
      </c>
      <c r="Q344" s="28">
        <f>SUM(EI344:ET344)</f>
        <v>0</v>
      </c>
      <c r="S344" s="28">
        <f>IF(S343=0,0,S343*MAX(0,(INDEX(c_CAMy,1,S$7)-INDEX(c_CAMy,1,INDEX('Lease Cycles'!$GC$27:$GI$27,1,S333)+1))*(1+'Lease Cycles'!$AK$27)+(INDEX(c_TAXy,1,S$7)-INDEX(c_TAXy,1,INDEX('Lease Cycles'!$GC$27:$GI$27,1,S333)+1))+(INDEX(c_INSy,1,S$7)-INDEX(c_INSy,1,INDEX('Lease Cycles'!$GC$27:$GI$27,1,S333)+1)))/12)</f>
        <v>0</v>
      </c>
      <c r="T344" s="28">
        <f>IF(T343=0,0,T343*MAX(0,(INDEX(c_CAMy,1,T$7)-INDEX(c_CAMy,1,INDEX('Lease Cycles'!$GC$27:$GI$27,1,T333)+1))*(1+'Lease Cycles'!$AK$27)+(INDEX(c_TAXy,1,T$7)-INDEX(c_TAXy,1,INDEX('Lease Cycles'!$GC$27:$GI$27,1,T333)+1))+(INDEX(c_INSy,1,T$7)-INDEX(c_INSy,1,INDEX('Lease Cycles'!$GC$27:$GI$27,1,T333)+1)))/12)</f>
        <v>0</v>
      </c>
      <c r="U344" s="28">
        <f>IF(U343=0,0,U343*MAX(0,(INDEX(c_CAMy,1,U$7)-INDEX(c_CAMy,1,INDEX('Lease Cycles'!$GC$27:$GI$27,1,U333)+1))*(1+'Lease Cycles'!$AK$27)+(INDEX(c_TAXy,1,U$7)-INDEX(c_TAXy,1,INDEX('Lease Cycles'!$GC$27:$GI$27,1,U333)+1))+(INDEX(c_INSy,1,U$7)-INDEX(c_INSy,1,INDEX('Lease Cycles'!$GC$27:$GI$27,1,U333)+1)))/12)</f>
        <v>0</v>
      </c>
      <c r="V344" s="28">
        <f>IF(V343=0,0,V343*MAX(0,(INDEX(c_CAMy,1,V$7)-INDEX(c_CAMy,1,INDEX('Lease Cycles'!$GC$27:$GI$27,1,V333)+1))*(1+'Lease Cycles'!$AK$27)+(INDEX(c_TAXy,1,V$7)-INDEX(c_TAXy,1,INDEX('Lease Cycles'!$GC$27:$GI$27,1,V333)+1))+(INDEX(c_INSy,1,V$7)-INDEX(c_INSy,1,INDEX('Lease Cycles'!$GC$27:$GI$27,1,V333)+1)))/12)</f>
        <v>0</v>
      </c>
      <c r="W344" s="28">
        <f>IF(W343=0,0,W343*MAX(0,(INDEX(c_CAMy,1,W$7)-INDEX(c_CAMy,1,INDEX('Lease Cycles'!$GC$27:$GI$27,1,W333)+1))*(1+'Lease Cycles'!$AK$27)+(INDEX(c_TAXy,1,W$7)-INDEX(c_TAXy,1,INDEX('Lease Cycles'!$GC$27:$GI$27,1,W333)+1))+(INDEX(c_INSy,1,W$7)-INDEX(c_INSy,1,INDEX('Lease Cycles'!$GC$27:$GI$27,1,W333)+1)))/12)</f>
        <v>0</v>
      </c>
      <c r="X344" s="28">
        <f>IF(X343=0,0,X343*MAX(0,(INDEX(c_CAMy,1,X$7)-INDEX(c_CAMy,1,INDEX('Lease Cycles'!$GC$27:$GI$27,1,X333)+1))*(1+'Lease Cycles'!$AK$27)+(INDEX(c_TAXy,1,X$7)-INDEX(c_TAXy,1,INDEX('Lease Cycles'!$GC$27:$GI$27,1,X333)+1))+(INDEX(c_INSy,1,X$7)-INDEX(c_INSy,1,INDEX('Lease Cycles'!$GC$27:$GI$27,1,X333)+1)))/12)</f>
        <v>0</v>
      </c>
      <c r="Y344" s="28">
        <f>IF(Y343=0,0,Y343*MAX(0,(INDEX(c_CAMy,1,Y$7)-INDEX(c_CAMy,1,INDEX('Lease Cycles'!$GC$27:$GI$27,1,Y333)+1))*(1+'Lease Cycles'!$AK$27)+(INDEX(c_TAXy,1,Y$7)-INDEX(c_TAXy,1,INDEX('Lease Cycles'!$GC$27:$GI$27,1,Y333)+1))+(INDEX(c_INSy,1,Y$7)-INDEX(c_INSy,1,INDEX('Lease Cycles'!$GC$27:$GI$27,1,Y333)+1)))/12)</f>
        <v>0</v>
      </c>
      <c r="Z344" s="28">
        <f>IF(Z343=0,0,Z343*MAX(0,(INDEX(c_CAMy,1,Z$7)-INDEX(c_CAMy,1,INDEX('Lease Cycles'!$GC$27:$GI$27,1,Z333)+1))*(1+'Lease Cycles'!$AK$27)+(INDEX(c_TAXy,1,Z$7)-INDEX(c_TAXy,1,INDEX('Lease Cycles'!$GC$27:$GI$27,1,Z333)+1))+(INDEX(c_INSy,1,Z$7)-INDEX(c_INSy,1,INDEX('Lease Cycles'!$GC$27:$GI$27,1,Z333)+1)))/12)</f>
        <v>0</v>
      </c>
      <c r="AA344" s="28">
        <f>IF(AA343=0,0,AA343*MAX(0,(INDEX(c_CAMy,1,AA$7)-INDEX(c_CAMy,1,INDEX('Lease Cycles'!$GC$27:$GI$27,1,AA333)+1))*(1+'Lease Cycles'!$AK$27)+(INDEX(c_TAXy,1,AA$7)-INDEX(c_TAXy,1,INDEX('Lease Cycles'!$GC$27:$GI$27,1,AA333)+1))+(INDEX(c_INSy,1,AA$7)-INDEX(c_INSy,1,INDEX('Lease Cycles'!$GC$27:$GI$27,1,AA333)+1)))/12)</f>
        <v>0</v>
      </c>
      <c r="AB344" s="28">
        <f>IF(AB343=0,0,AB343*MAX(0,(INDEX(c_CAMy,1,AB$7)-INDEX(c_CAMy,1,INDEX('Lease Cycles'!$GC$27:$GI$27,1,AB333)+1))*(1+'Lease Cycles'!$AK$27)+(INDEX(c_TAXy,1,AB$7)-INDEX(c_TAXy,1,INDEX('Lease Cycles'!$GC$27:$GI$27,1,AB333)+1))+(INDEX(c_INSy,1,AB$7)-INDEX(c_INSy,1,INDEX('Lease Cycles'!$GC$27:$GI$27,1,AB333)+1)))/12)</f>
        <v>0</v>
      </c>
      <c r="AC344" s="28">
        <f>IF(AC343=0,0,AC343*MAX(0,(INDEX(c_CAMy,1,AC$7)-INDEX(c_CAMy,1,INDEX('Lease Cycles'!$GC$27:$GI$27,1,AC333)+1))*(1+'Lease Cycles'!$AK$27)+(INDEX(c_TAXy,1,AC$7)-INDEX(c_TAXy,1,INDEX('Lease Cycles'!$GC$27:$GI$27,1,AC333)+1))+(INDEX(c_INSy,1,AC$7)-INDEX(c_INSy,1,INDEX('Lease Cycles'!$GC$27:$GI$27,1,AC333)+1)))/12)</f>
        <v>0</v>
      </c>
      <c r="AD344" s="28">
        <f>IF(AD343=0,0,AD343*MAX(0,(INDEX(c_CAMy,1,AD$7)-INDEX(c_CAMy,1,INDEX('Lease Cycles'!$GC$27:$GI$27,1,AD333)+1))*(1+'Lease Cycles'!$AK$27)+(INDEX(c_TAXy,1,AD$7)-INDEX(c_TAXy,1,INDEX('Lease Cycles'!$GC$27:$GI$27,1,AD333)+1))+(INDEX(c_INSy,1,AD$7)-INDEX(c_INSy,1,INDEX('Lease Cycles'!$GC$27:$GI$27,1,AD333)+1)))/12)</f>
        <v>0</v>
      </c>
      <c r="AE344" s="28">
        <f>IF(AE343=0,0,AE343*MAX(0,(INDEX(c_CAMy,1,AE$7)-INDEX(c_CAMy,1,INDEX('Lease Cycles'!$GC$27:$GI$27,1,AE333)+1))*(1+'Lease Cycles'!$AK$27)+(INDEX(c_TAXy,1,AE$7)-INDEX(c_TAXy,1,INDEX('Lease Cycles'!$GC$27:$GI$27,1,AE333)+1))+(INDEX(c_INSy,1,AE$7)-INDEX(c_INSy,1,INDEX('Lease Cycles'!$GC$27:$GI$27,1,AE333)+1)))/12)</f>
        <v>0</v>
      </c>
      <c r="AF344" s="28">
        <f>IF(AF343=0,0,AF343*MAX(0,(INDEX(c_CAMy,1,AF$7)-INDEX(c_CAMy,1,INDEX('Lease Cycles'!$GC$27:$GI$27,1,AF333)+1))*(1+'Lease Cycles'!$AK$27)+(INDEX(c_TAXy,1,AF$7)-INDEX(c_TAXy,1,INDEX('Lease Cycles'!$GC$27:$GI$27,1,AF333)+1))+(INDEX(c_INSy,1,AF$7)-INDEX(c_INSy,1,INDEX('Lease Cycles'!$GC$27:$GI$27,1,AF333)+1)))/12)</f>
        <v>0</v>
      </c>
      <c r="AG344" s="28">
        <f>IF(AG343=0,0,AG343*MAX(0,(INDEX(c_CAMy,1,AG$7)-INDEX(c_CAMy,1,INDEX('Lease Cycles'!$GC$27:$GI$27,1,AG333)+1))*(1+'Lease Cycles'!$AK$27)+(INDEX(c_TAXy,1,AG$7)-INDEX(c_TAXy,1,INDEX('Lease Cycles'!$GC$27:$GI$27,1,AG333)+1))+(INDEX(c_INSy,1,AG$7)-INDEX(c_INSy,1,INDEX('Lease Cycles'!$GC$27:$GI$27,1,AG333)+1)))/12)</f>
        <v>0</v>
      </c>
      <c r="AH344" s="28">
        <f>IF(AH343=0,0,AH343*MAX(0,(INDEX(c_CAMy,1,AH$7)-INDEX(c_CAMy,1,INDEX('Lease Cycles'!$GC$27:$GI$27,1,AH333)+1))*(1+'Lease Cycles'!$AK$27)+(INDEX(c_TAXy,1,AH$7)-INDEX(c_TAXy,1,INDEX('Lease Cycles'!$GC$27:$GI$27,1,AH333)+1))+(INDEX(c_INSy,1,AH$7)-INDEX(c_INSy,1,INDEX('Lease Cycles'!$GC$27:$GI$27,1,AH333)+1)))/12)</f>
        <v>0</v>
      </c>
      <c r="AI344" s="28">
        <f>IF(AI343=0,0,AI343*MAX(0,(INDEX(c_CAMy,1,AI$7)-INDEX(c_CAMy,1,INDEX('Lease Cycles'!$GC$27:$GI$27,1,AI333)+1))*(1+'Lease Cycles'!$AK$27)+(INDEX(c_TAXy,1,AI$7)-INDEX(c_TAXy,1,INDEX('Lease Cycles'!$GC$27:$GI$27,1,AI333)+1))+(INDEX(c_INSy,1,AI$7)-INDEX(c_INSy,1,INDEX('Lease Cycles'!$GC$27:$GI$27,1,AI333)+1)))/12)</f>
        <v>0</v>
      </c>
      <c r="AJ344" s="28">
        <f>IF(AJ343=0,0,AJ343*MAX(0,(INDEX(c_CAMy,1,AJ$7)-INDEX(c_CAMy,1,INDEX('Lease Cycles'!$GC$27:$GI$27,1,AJ333)+1))*(1+'Lease Cycles'!$AK$27)+(INDEX(c_TAXy,1,AJ$7)-INDEX(c_TAXy,1,INDEX('Lease Cycles'!$GC$27:$GI$27,1,AJ333)+1))+(INDEX(c_INSy,1,AJ$7)-INDEX(c_INSy,1,INDEX('Lease Cycles'!$GC$27:$GI$27,1,AJ333)+1)))/12)</f>
        <v>0</v>
      </c>
      <c r="AK344" s="28">
        <f>IF(AK343=0,0,AK343*MAX(0,(INDEX(c_CAMy,1,AK$7)-INDEX(c_CAMy,1,INDEX('Lease Cycles'!$GC$27:$GI$27,1,AK333)+1))*(1+'Lease Cycles'!$AK$27)+(INDEX(c_TAXy,1,AK$7)-INDEX(c_TAXy,1,INDEX('Lease Cycles'!$GC$27:$GI$27,1,AK333)+1))+(INDEX(c_INSy,1,AK$7)-INDEX(c_INSy,1,INDEX('Lease Cycles'!$GC$27:$GI$27,1,AK333)+1)))/12)</f>
        <v>0</v>
      </c>
      <c r="AL344" s="28">
        <f>IF(AL343=0,0,AL343*MAX(0,(INDEX(c_CAMy,1,AL$7)-INDEX(c_CAMy,1,INDEX('Lease Cycles'!$GC$27:$GI$27,1,AL333)+1))*(1+'Lease Cycles'!$AK$27)+(INDEX(c_TAXy,1,AL$7)-INDEX(c_TAXy,1,INDEX('Lease Cycles'!$GC$27:$GI$27,1,AL333)+1))+(INDEX(c_INSy,1,AL$7)-INDEX(c_INSy,1,INDEX('Lease Cycles'!$GC$27:$GI$27,1,AL333)+1)))/12)</f>
        <v>0</v>
      </c>
      <c r="AM344" s="28">
        <f>IF(AM343=0,0,AM343*MAX(0,(INDEX(c_CAMy,1,AM$7)-INDEX(c_CAMy,1,INDEX('Lease Cycles'!$GC$27:$GI$27,1,AM333)+1))*(1+'Lease Cycles'!$AK$27)+(INDEX(c_TAXy,1,AM$7)-INDEX(c_TAXy,1,INDEX('Lease Cycles'!$GC$27:$GI$27,1,AM333)+1))+(INDEX(c_INSy,1,AM$7)-INDEX(c_INSy,1,INDEX('Lease Cycles'!$GC$27:$GI$27,1,AM333)+1)))/12)</f>
        <v>0</v>
      </c>
      <c r="AN344" s="28">
        <f>IF(AN343=0,0,AN343*MAX(0,(INDEX(c_CAMy,1,AN$7)-INDEX(c_CAMy,1,INDEX('Lease Cycles'!$GC$27:$GI$27,1,AN333)+1))*(1+'Lease Cycles'!$AK$27)+(INDEX(c_TAXy,1,AN$7)-INDEX(c_TAXy,1,INDEX('Lease Cycles'!$GC$27:$GI$27,1,AN333)+1))+(INDEX(c_INSy,1,AN$7)-INDEX(c_INSy,1,INDEX('Lease Cycles'!$GC$27:$GI$27,1,AN333)+1)))/12)</f>
        <v>0</v>
      </c>
      <c r="AO344" s="28">
        <f>IF(AO343=0,0,AO343*MAX(0,(INDEX(c_CAMy,1,AO$7)-INDEX(c_CAMy,1,INDEX('Lease Cycles'!$GC$27:$GI$27,1,AO333)+1))*(1+'Lease Cycles'!$AK$27)+(INDEX(c_TAXy,1,AO$7)-INDEX(c_TAXy,1,INDEX('Lease Cycles'!$GC$27:$GI$27,1,AO333)+1))+(INDEX(c_INSy,1,AO$7)-INDEX(c_INSy,1,INDEX('Lease Cycles'!$GC$27:$GI$27,1,AO333)+1)))/12)</f>
        <v>0</v>
      </c>
      <c r="AP344" s="28">
        <f>IF(AP343=0,0,AP343*MAX(0,(INDEX(c_CAMy,1,AP$7)-INDEX(c_CAMy,1,INDEX('Lease Cycles'!$GC$27:$GI$27,1,AP333)+1))*(1+'Lease Cycles'!$AK$27)+(INDEX(c_TAXy,1,AP$7)-INDEX(c_TAXy,1,INDEX('Lease Cycles'!$GC$27:$GI$27,1,AP333)+1))+(INDEX(c_INSy,1,AP$7)-INDEX(c_INSy,1,INDEX('Lease Cycles'!$GC$27:$GI$27,1,AP333)+1)))/12)</f>
        <v>0</v>
      </c>
      <c r="AQ344" s="28">
        <f>IF(AQ343=0,0,AQ343*MAX(0,(INDEX(c_CAMy,1,AQ$7)-INDEX(c_CAMy,1,INDEX('Lease Cycles'!$GC$27:$GI$27,1,AQ333)+1))*(1+'Lease Cycles'!$AK$27)+(INDEX(c_TAXy,1,AQ$7)-INDEX(c_TAXy,1,INDEX('Lease Cycles'!$GC$27:$GI$27,1,AQ333)+1))+(INDEX(c_INSy,1,AQ$7)-INDEX(c_INSy,1,INDEX('Lease Cycles'!$GC$27:$GI$27,1,AQ333)+1)))/12)</f>
        <v>0</v>
      </c>
      <c r="AR344" s="28">
        <f>IF(AR343=0,0,AR343*MAX(0,(INDEX(c_CAMy,1,AR$7)-INDEX(c_CAMy,1,INDEX('Lease Cycles'!$GC$27:$GI$27,1,AR333)+1))*(1+'Lease Cycles'!$AK$27)+(INDEX(c_TAXy,1,AR$7)-INDEX(c_TAXy,1,INDEX('Lease Cycles'!$GC$27:$GI$27,1,AR333)+1))+(INDEX(c_INSy,1,AR$7)-INDEX(c_INSy,1,INDEX('Lease Cycles'!$GC$27:$GI$27,1,AR333)+1)))/12)</f>
        <v>0</v>
      </c>
      <c r="AS344" s="28">
        <f>IF(AS343=0,0,AS343*MAX(0,(INDEX(c_CAMy,1,AS$7)-INDEX(c_CAMy,1,INDEX('Lease Cycles'!$GC$27:$GI$27,1,AS333)+1))*(1+'Lease Cycles'!$AK$27)+(INDEX(c_TAXy,1,AS$7)-INDEX(c_TAXy,1,INDEX('Lease Cycles'!$GC$27:$GI$27,1,AS333)+1))+(INDEX(c_INSy,1,AS$7)-INDEX(c_INSy,1,INDEX('Lease Cycles'!$GC$27:$GI$27,1,AS333)+1)))/12)</f>
        <v>0</v>
      </c>
      <c r="AT344" s="28">
        <f>IF(AT343=0,0,AT343*MAX(0,(INDEX(c_CAMy,1,AT$7)-INDEX(c_CAMy,1,INDEX('Lease Cycles'!$GC$27:$GI$27,1,AT333)+1))*(1+'Lease Cycles'!$AK$27)+(INDEX(c_TAXy,1,AT$7)-INDEX(c_TAXy,1,INDEX('Lease Cycles'!$GC$27:$GI$27,1,AT333)+1))+(INDEX(c_INSy,1,AT$7)-INDEX(c_INSy,1,INDEX('Lease Cycles'!$GC$27:$GI$27,1,AT333)+1)))/12)</f>
        <v>0</v>
      </c>
      <c r="AU344" s="28">
        <f>IF(AU343=0,0,AU343*MAX(0,(INDEX(c_CAMy,1,AU$7)-INDEX(c_CAMy,1,INDEX('Lease Cycles'!$GC$27:$GI$27,1,AU333)+1))*(1+'Lease Cycles'!$AK$27)+(INDEX(c_TAXy,1,AU$7)-INDEX(c_TAXy,1,INDEX('Lease Cycles'!$GC$27:$GI$27,1,AU333)+1))+(INDEX(c_INSy,1,AU$7)-INDEX(c_INSy,1,INDEX('Lease Cycles'!$GC$27:$GI$27,1,AU333)+1)))/12)</f>
        <v>0</v>
      </c>
      <c r="AV344" s="28">
        <f>IF(AV343=0,0,AV343*MAX(0,(INDEX(c_CAMy,1,AV$7)-INDEX(c_CAMy,1,INDEX('Lease Cycles'!$GC$27:$GI$27,1,AV333)+1))*(1+'Lease Cycles'!$AK$27)+(INDEX(c_TAXy,1,AV$7)-INDEX(c_TAXy,1,INDEX('Lease Cycles'!$GC$27:$GI$27,1,AV333)+1))+(INDEX(c_INSy,1,AV$7)-INDEX(c_INSy,1,INDEX('Lease Cycles'!$GC$27:$GI$27,1,AV333)+1)))/12)</f>
        <v>0</v>
      </c>
      <c r="AW344" s="28">
        <f>IF(AW343=0,0,AW343*MAX(0,(INDEX(c_CAMy,1,AW$7)-INDEX(c_CAMy,1,INDEX('Lease Cycles'!$GC$27:$GI$27,1,AW333)+1))*(1+'Lease Cycles'!$AK$27)+(INDEX(c_TAXy,1,AW$7)-INDEX(c_TAXy,1,INDEX('Lease Cycles'!$GC$27:$GI$27,1,AW333)+1))+(INDEX(c_INSy,1,AW$7)-INDEX(c_INSy,1,INDEX('Lease Cycles'!$GC$27:$GI$27,1,AW333)+1)))/12)</f>
        <v>0</v>
      </c>
      <c r="AX344" s="28">
        <f>IF(AX343=0,0,AX343*MAX(0,(INDEX(c_CAMy,1,AX$7)-INDEX(c_CAMy,1,INDEX('Lease Cycles'!$GC$27:$GI$27,1,AX333)+1))*(1+'Lease Cycles'!$AK$27)+(INDEX(c_TAXy,1,AX$7)-INDEX(c_TAXy,1,INDEX('Lease Cycles'!$GC$27:$GI$27,1,AX333)+1))+(INDEX(c_INSy,1,AX$7)-INDEX(c_INSy,1,INDEX('Lease Cycles'!$GC$27:$GI$27,1,AX333)+1)))/12)</f>
        <v>0</v>
      </c>
      <c r="AY344" s="28">
        <f>IF(AY343=0,0,AY343*MAX(0,(INDEX(c_CAMy,1,AY$7)-INDEX(c_CAMy,1,INDEX('Lease Cycles'!$GC$27:$GI$27,1,AY333)+1))*(1+'Lease Cycles'!$AK$27)+(INDEX(c_TAXy,1,AY$7)-INDEX(c_TAXy,1,INDEX('Lease Cycles'!$GC$27:$GI$27,1,AY333)+1))+(INDEX(c_INSy,1,AY$7)-INDEX(c_INSy,1,INDEX('Lease Cycles'!$GC$27:$GI$27,1,AY333)+1)))/12)</f>
        <v>0</v>
      </c>
      <c r="AZ344" s="28">
        <f>IF(AZ343=0,0,AZ343*MAX(0,(INDEX(c_CAMy,1,AZ$7)-INDEX(c_CAMy,1,INDEX('Lease Cycles'!$GC$27:$GI$27,1,AZ333)+1))*(1+'Lease Cycles'!$AK$27)+(INDEX(c_TAXy,1,AZ$7)-INDEX(c_TAXy,1,INDEX('Lease Cycles'!$GC$27:$GI$27,1,AZ333)+1))+(INDEX(c_INSy,1,AZ$7)-INDEX(c_INSy,1,INDEX('Lease Cycles'!$GC$27:$GI$27,1,AZ333)+1)))/12)</f>
        <v>0</v>
      </c>
      <c r="BA344" s="28">
        <f>IF(BA343=0,0,BA343*MAX(0,(INDEX(c_CAMy,1,BA$7)-INDEX(c_CAMy,1,INDEX('Lease Cycles'!$GC$27:$GI$27,1,BA333)+1))*(1+'Lease Cycles'!$AK$27)+(INDEX(c_TAXy,1,BA$7)-INDEX(c_TAXy,1,INDEX('Lease Cycles'!$GC$27:$GI$27,1,BA333)+1))+(INDEX(c_INSy,1,BA$7)-INDEX(c_INSy,1,INDEX('Lease Cycles'!$GC$27:$GI$27,1,BA333)+1)))/12)</f>
        <v>0</v>
      </c>
      <c r="BB344" s="28">
        <f>IF(BB343=0,0,BB343*MAX(0,(INDEX(c_CAMy,1,BB$7)-INDEX(c_CAMy,1,INDEX('Lease Cycles'!$GC$27:$GI$27,1,BB333)+1))*(1+'Lease Cycles'!$AK$27)+(INDEX(c_TAXy,1,BB$7)-INDEX(c_TAXy,1,INDEX('Lease Cycles'!$GC$27:$GI$27,1,BB333)+1))+(INDEX(c_INSy,1,BB$7)-INDEX(c_INSy,1,INDEX('Lease Cycles'!$GC$27:$GI$27,1,BB333)+1)))/12)</f>
        <v>0</v>
      </c>
      <c r="BC344" s="28">
        <f>IF(BC343=0,0,BC343*MAX(0,(INDEX(c_CAMy,1,BC$7)-INDEX(c_CAMy,1,INDEX('Lease Cycles'!$GC$27:$GI$27,1,BC333)+1))*(1+'Lease Cycles'!$AK$27)+(INDEX(c_TAXy,1,BC$7)-INDEX(c_TAXy,1,INDEX('Lease Cycles'!$GC$27:$GI$27,1,BC333)+1))+(INDEX(c_INSy,1,BC$7)-INDEX(c_INSy,1,INDEX('Lease Cycles'!$GC$27:$GI$27,1,BC333)+1)))/12)</f>
        <v>0</v>
      </c>
      <c r="BD344" s="28">
        <f>IF(BD343=0,0,BD343*MAX(0,(INDEX(c_CAMy,1,BD$7)-INDEX(c_CAMy,1,INDEX('Lease Cycles'!$GC$27:$GI$27,1,BD333)+1))*(1+'Lease Cycles'!$AK$27)+(INDEX(c_TAXy,1,BD$7)-INDEX(c_TAXy,1,INDEX('Lease Cycles'!$GC$27:$GI$27,1,BD333)+1))+(INDEX(c_INSy,1,BD$7)-INDEX(c_INSy,1,INDEX('Lease Cycles'!$GC$27:$GI$27,1,BD333)+1)))/12)</f>
        <v>0</v>
      </c>
      <c r="BE344" s="28">
        <f>IF(BE343=0,0,BE343*MAX(0,(INDEX(c_CAMy,1,BE$7)-INDEX(c_CAMy,1,INDEX('Lease Cycles'!$GC$27:$GI$27,1,BE333)+1))*(1+'Lease Cycles'!$AK$27)+(INDEX(c_TAXy,1,BE$7)-INDEX(c_TAXy,1,INDEX('Lease Cycles'!$GC$27:$GI$27,1,BE333)+1))+(INDEX(c_INSy,1,BE$7)-INDEX(c_INSy,1,INDEX('Lease Cycles'!$GC$27:$GI$27,1,BE333)+1)))/12)</f>
        <v>0</v>
      </c>
      <c r="BF344" s="28">
        <f>IF(BF343=0,0,BF343*MAX(0,(INDEX(c_CAMy,1,BF$7)-INDEX(c_CAMy,1,INDEX('Lease Cycles'!$GC$27:$GI$27,1,BF333)+1))*(1+'Lease Cycles'!$AK$27)+(INDEX(c_TAXy,1,BF$7)-INDEX(c_TAXy,1,INDEX('Lease Cycles'!$GC$27:$GI$27,1,BF333)+1))+(INDEX(c_INSy,1,BF$7)-INDEX(c_INSy,1,INDEX('Lease Cycles'!$GC$27:$GI$27,1,BF333)+1)))/12)</f>
        <v>0</v>
      </c>
      <c r="BG344" s="28">
        <f>IF(BG343=0,0,BG343*MAX(0,(INDEX(c_CAMy,1,BG$7)-INDEX(c_CAMy,1,INDEX('Lease Cycles'!$GC$27:$GI$27,1,BG333)+1))*(1+'Lease Cycles'!$AK$27)+(INDEX(c_TAXy,1,BG$7)-INDEX(c_TAXy,1,INDEX('Lease Cycles'!$GC$27:$GI$27,1,BG333)+1))+(INDEX(c_INSy,1,BG$7)-INDEX(c_INSy,1,INDEX('Lease Cycles'!$GC$27:$GI$27,1,BG333)+1)))/12)</f>
        <v>0</v>
      </c>
      <c r="BH344" s="28">
        <f>IF(BH343=0,0,BH343*MAX(0,(INDEX(c_CAMy,1,BH$7)-INDEX(c_CAMy,1,INDEX('Lease Cycles'!$GC$27:$GI$27,1,BH333)+1))*(1+'Lease Cycles'!$AK$27)+(INDEX(c_TAXy,1,BH$7)-INDEX(c_TAXy,1,INDEX('Lease Cycles'!$GC$27:$GI$27,1,BH333)+1))+(INDEX(c_INSy,1,BH$7)-INDEX(c_INSy,1,INDEX('Lease Cycles'!$GC$27:$GI$27,1,BH333)+1)))/12)</f>
        <v>0</v>
      </c>
      <c r="BI344" s="28">
        <f>IF(BI343=0,0,BI343*MAX(0,(INDEX(c_CAMy,1,BI$7)-INDEX(c_CAMy,1,INDEX('Lease Cycles'!$GC$27:$GI$27,1,BI333)+1))*(1+'Lease Cycles'!$AK$27)+(INDEX(c_TAXy,1,BI$7)-INDEX(c_TAXy,1,INDEX('Lease Cycles'!$GC$27:$GI$27,1,BI333)+1))+(INDEX(c_INSy,1,BI$7)-INDEX(c_INSy,1,INDEX('Lease Cycles'!$GC$27:$GI$27,1,BI333)+1)))/12)</f>
        <v>0</v>
      </c>
      <c r="BJ344" s="28">
        <f>IF(BJ343=0,0,BJ343*MAX(0,(INDEX(c_CAMy,1,BJ$7)-INDEX(c_CAMy,1,INDEX('Lease Cycles'!$GC$27:$GI$27,1,BJ333)+1))*(1+'Lease Cycles'!$AK$27)+(INDEX(c_TAXy,1,BJ$7)-INDEX(c_TAXy,1,INDEX('Lease Cycles'!$GC$27:$GI$27,1,BJ333)+1))+(INDEX(c_INSy,1,BJ$7)-INDEX(c_INSy,1,INDEX('Lease Cycles'!$GC$27:$GI$27,1,BJ333)+1)))/12)</f>
        <v>0</v>
      </c>
      <c r="BK344" s="28">
        <f>IF(BK343=0,0,BK343*MAX(0,(INDEX(c_CAMy,1,BK$7)-INDEX(c_CAMy,1,INDEX('Lease Cycles'!$GC$27:$GI$27,1,BK333)+1))*(1+'Lease Cycles'!$AK$27)+(INDEX(c_TAXy,1,BK$7)-INDEX(c_TAXy,1,INDEX('Lease Cycles'!$GC$27:$GI$27,1,BK333)+1))+(INDEX(c_INSy,1,BK$7)-INDEX(c_INSy,1,INDEX('Lease Cycles'!$GC$27:$GI$27,1,BK333)+1)))/12)</f>
        <v>0</v>
      </c>
      <c r="BL344" s="28">
        <f>IF(BL343=0,0,BL343*MAX(0,(INDEX(c_CAMy,1,BL$7)-INDEX(c_CAMy,1,INDEX('Lease Cycles'!$GC$27:$GI$27,1,BL333)+1))*(1+'Lease Cycles'!$AK$27)+(INDEX(c_TAXy,1,BL$7)-INDEX(c_TAXy,1,INDEX('Lease Cycles'!$GC$27:$GI$27,1,BL333)+1))+(INDEX(c_INSy,1,BL$7)-INDEX(c_INSy,1,INDEX('Lease Cycles'!$GC$27:$GI$27,1,BL333)+1)))/12)</f>
        <v>0</v>
      </c>
      <c r="BM344" s="28">
        <f>IF(BM343=0,0,BM343*MAX(0,(INDEX(c_CAMy,1,BM$7)-INDEX(c_CAMy,1,INDEX('Lease Cycles'!$GC$27:$GI$27,1,BM333)+1))*(1+'Lease Cycles'!$AK$27)+(INDEX(c_TAXy,1,BM$7)-INDEX(c_TAXy,1,INDEX('Lease Cycles'!$GC$27:$GI$27,1,BM333)+1))+(INDEX(c_INSy,1,BM$7)-INDEX(c_INSy,1,INDEX('Lease Cycles'!$GC$27:$GI$27,1,BM333)+1)))/12)</f>
        <v>0</v>
      </c>
      <c r="BN344" s="28">
        <f>IF(BN343=0,0,BN343*MAX(0,(INDEX(c_CAMy,1,BN$7)-INDEX(c_CAMy,1,INDEX('Lease Cycles'!$GC$27:$GI$27,1,BN333)+1))*(1+'Lease Cycles'!$AK$27)+(INDEX(c_TAXy,1,BN$7)-INDEX(c_TAXy,1,INDEX('Lease Cycles'!$GC$27:$GI$27,1,BN333)+1))+(INDEX(c_INSy,1,BN$7)-INDEX(c_INSy,1,INDEX('Lease Cycles'!$GC$27:$GI$27,1,BN333)+1)))/12)</f>
        <v>0</v>
      </c>
      <c r="BO344" s="28">
        <f>IF(BO343=0,0,BO343*MAX(0,(INDEX(c_CAMy,1,BO$7)-INDEX(c_CAMy,1,INDEX('Lease Cycles'!$GC$27:$GI$27,1,BO333)+1))*(1+'Lease Cycles'!$AK$27)+(INDEX(c_TAXy,1,BO$7)-INDEX(c_TAXy,1,INDEX('Lease Cycles'!$GC$27:$GI$27,1,BO333)+1))+(INDEX(c_INSy,1,BO$7)-INDEX(c_INSy,1,INDEX('Lease Cycles'!$GC$27:$GI$27,1,BO333)+1)))/12)</f>
        <v>0</v>
      </c>
      <c r="BP344" s="28">
        <f>IF(BP343=0,0,BP343*MAX(0,(INDEX(c_CAMy,1,BP$7)-INDEX(c_CAMy,1,INDEX('Lease Cycles'!$GC$27:$GI$27,1,BP333)+1))*(1+'Lease Cycles'!$AK$27)+(INDEX(c_TAXy,1,BP$7)-INDEX(c_TAXy,1,INDEX('Lease Cycles'!$GC$27:$GI$27,1,BP333)+1))+(INDEX(c_INSy,1,BP$7)-INDEX(c_INSy,1,INDEX('Lease Cycles'!$GC$27:$GI$27,1,BP333)+1)))/12)</f>
        <v>0</v>
      </c>
      <c r="BQ344" s="28">
        <f>IF(BQ343=0,0,BQ343*MAX(0,(INDEX(c_CAMy,1,BQ$7)-INDEX(c_CAMy,1,INDEX('Lease Cycles'!$GC$27:$GI$27,1,BQ333)+1))*(1+'Lease Cycles'!$AK$27)+(INDEX(c_TAXy,1,BQ$7)-INDEX(c_TAXy,1,INDEX('Lease Cycles'!$GC$27:$GI$27,1,BQ333)+1))+(INDEX(c_INSy,1,BQ$7)-INDEX(c_INSy,1,INDEX('Lease Cycles'!$GC$27:$GI$27,1,BQ333)+1)))/12)</f>
        <v>0</v>
      </c>
      <c r="BR344" s="28">
        <f>IF(BR343=0,0,BR343*MAX(0,(INDEX(c_CAMy,1,BR$7)-INDEX(c_CAMy,1,INDEX('Lease Cycles'!$GC$27:$GI$27,1,BR333)+1))*(1+'Lease Cycles'!$AK$27)+(INDEX(c_TAXy,1,BR$7)-INDEX(c_TAXy,1,INDEX('Lease Cycles'!$GC$27:$GI$27,1,BR333)+1))+(INDEX(c_INSy,1,BR$7)-INDEX(c_INSy,1,INDEX('Lease Cycles'!$GC$27:$GI$27,1,BR333)+1)))/12)</f>
        <v>0</v>
      </c>
      <c r="BS344" s="28">
        <f>IF(BS343=0,0,BS343*MAX(0,(INDEX(c_CAMy,1,BS$7)-INDEX(c_CAMy,1,INDEX('Lease Cycles'!$GC$27:$GI$27,1,BS333)+1))*(1+'Lease Cycles'!$AK$27)+(INDEX(c_TAXy,1,BS$7)-INDEX(c_TAXy,1,INDEX('Lease Cycles'!$GC$27:$GI$27,1,BS333)+1))+(INDEX(c_INSy,1,BS$7)-INDEX(c_INSy,1,INDEX('Lease Cycles'!$GC$27:$GI$27,1,BS333)+1)))/12)</f>
        <v>0</v>
      </c>
      <c r="BT344" s="28">
        <f>IF(BT343=0,0,BT343*MAX(0,(INDEX(c_CAMy,1,BT$7)-INDEX(c_CAMy,1,INDEX('Lease Cycles'!$GC$27:$GI$27,1,BT333)+1))*(1+'Lease Cycles'!$AK$27)+(INDEX(c_TAXy,1,BT$7)-INDEX(c_TAXy,1,INDEX('Lease Cycles'!$GC$27:$GI$27,1,BT333)+1))+(INDEX(c_INSy,1,BT$7)-INDEX(c_INSy,1,INDEX('Lease Cycles'!$GC$27:$GI$27,1,BT333)+1)))/12)</f>
        <v>0</v>
      </c>
      <c r="BU344" s="28">
        <f>IF(BU343=0,0,BU343*MAX(0,(INDEX(c_CAMy,1,BU$7)-INDEX(c_CAMy,1,INDEX('Lease Cycles'!$GC$27:$GI$27,1,BU333)+1))*(1+'Lease Cycles'!$AK$27)+(INDEX(c_TAXy,1,BU$7)-INDEX(c_TAXy,1,INDEX('Lease Cycles'!$GC$27:$GI$27,1,BU333)+1))+(INDEX(c_INSy,1,BU$7)-INDEX(c_INSy,1,INDEX('Lease Cycles'!$GC$27:$GI$27,1,BU333)+1)))/12)</f>
        <v>0</v>
      </c>
      <c r="BV344" s="28">
        <f>IF(BV343=0,0,BV343*MAX(0,(INDEX(c_CAMy,1,BV$7)-INDEX(c_CAMy,1,INDEX('Lease Cycles'!$GC$27:$GI$27,1,BV333)+1))*(1+'Lease Cycles'!$AK$27)+(INDEX(c_TAXy,1,BV$7)-INDEX(c_TAXy,1,INDEX('Lease Cycles'!$GC$27:$GI$27,1,BV333)+1))+(INDEX(c_INSy,1,BV$7)-INDEX(c_INSy,1,INDEX('Lease Cycles'!$GC$27:$GI$27,1,BV333)+1)))/12)</f>
        <v>0</v>
      </c>
      <c r="BW344" s="28">
        <f>IF(BW343=0,0,BW343*MAX(0,(INDEX(c_CAMy,1,BW$7)-INDEX(c_CAMy,1,INDEX('Lease Cycles'!$GC$27:$GI$27,1,BW333)+1))*(1+'Lease Cycles'!$AK$27)+(INDEX(c_TAXy,1,BW$7)-INDEX(c_TAXy,1,INDEX('Lease Cycles'!$GC$27:$GI$27,1,BW333)+1))+(INDEX(c_INSy,1,BW$7)-INDEX(c_INSy,1,INDEX('Lease Cycles'!$GC$27:$GI$27,1,BW333)+1)))/12)</f>
        <v>0</v>
      </c>
      <c r="BX344" s="28">
        <f>IF(BX343=0,0,BX343*MAX(0,(INDEX(c_CAMy,1,BX$7)-INDEX(c_CAMy,1,INDEX('Lease Cycles'!$GC$27:$GI$27,1,BX333)+1))*(1+'Lease Cycles'!$AK$27)+(INDEX(c_TAXy,1,BX$7)-INDEX(c_TAXy,1,INDEX('Lease Cycles'!$GC$27:$GI$27,1,BX333)+1))+(INDEX(c_INSy,1,BX$7)-INDEX(c_INSy,1,INDEX('Lease Cycles'!$GC$27:$GI$27,1,BX333)+1)))/12)</f>
        <v>0</v>
      </c>
      <c r="BY344" s="28">
        <f>IF(BY343=0,0,BY343*MAX(0,(INDEX(c_CAMy,1,BY$7)-INDEX(c_CAMy,1,INDEX('Lease Cycles'!$GC$27:$GI$27,1,BY333)+1))*(1+'Lease Cycles'!$AK$27)+(INDEX(c_TAXy,1,BY$7)-INDEX(c_TAXy,1,INDEX('Lease Cycles'!$GC$27:$GI$27,1,BY333)+1))+(INDEX(c_INSy,1,BY$7)-INDEX(c_INSy,1,INDEX('Lease Cycles'!$GC$27:$GI$27,1,BY333)+1)))/12)</f>
        <v>0</v>
      </c>
      <c r="BZ344" s="28">
        <f>IF(BZ343=0,0,BZ343*MAX(0,(INDEX(c_CAMy,1,BZ$7)-INDEX(c_CAMy,1,INDEX('Lease Cycles'!$GC$27:$GI$27,1,BZ333)+1))*(1+'Lease Cycles'!$AK$27)+(INDEX(c_TAXy,1,BZ$7)-INDEX(c_TAXy,1,INDEX('Lease Cycles'!$GC$27:$GI$27,1,BZ333)+1))+(INDEX(c_INSy,1,BZ$7)-INDEX(c_INSy,1,INDEX('Lease Cycles'!$GC$27:$GI$27,1,BZ333)+1)))/12)</f>
        <v>0</v>
      </c>
      <c r="CA344" s="28">
        <f>IF(CA343=0,0,CA343*MAX(0,(INDEX(c_CAMy,1,CA$7)-INDEX(c_CAMy,1,INDEX('Lease Cycles'!$GC$27:$GI$27,1,CA333)+1))*(1+'Lease Cycles'!$AK$27)+(INDEX(c_TAXy,1,CA$7)-INDEX(c_TAXy,1,INDEX('Lease Cycles'!$GC$27:$GI$27,1,CA333)+1))+(INDEX(c_INSy,1,CA$7)-INDEX(c_INSy,1,INDEX('Lease Cycles'!$GC$27:$GI$27,1,CA333)+1)))/12)</f>
        <v>0</v>
      </c>
      <c r="CB344" s="28">
        <f>IF(CB343=0,0,CB343*MAX(0,(INDEX(c_CAMy,1,CB$7)-INDEX(c_CAMy,1,INDEX('Lease Cycles'!$GC$27:$GI$27,1,CB333)+1))*(1+'Lease Cycles'!$AK$27)+(INDEX(c_TAXy,1,CB$7)-INDEX(c_TAXy,1,INDEX('Lease Cycles'!$GC$27:$GI$27,1,CB333)+1))+(INDEX(c_INSy,1,CB$7)-INDEX(c_INSy,1,INDEX('Lease Cycles'!$GC$27:$GI$27,1,CB333)+1)))/12)</f>
        <v>0</v>
      </c>
      <c r="CC344" s="28">
        <f>IF(CC343=0,0,CC343*MAX(0,(INDEX(c_CAMy,1,CC$7)-INDEX(c_CAMy,1,INDEX('Lease Cycles'!$GC$27:$GI$27,1,CC333)+1))*(1+'Lease Cycles'!$AK$27)+(INDEX(c_TAXy,1,CC$7)-INDEX(c_TAXy,1,INDEX('Lease Cycles'!$GC$27:$GI$27,1,CC333)+1))+(INDEX(c_INSy,1,CC$7)-INDEX(c_INSy,1,INDEX('Lease Cycles'!$GC$27:$GI$27,1,CC333)+1)))/12)</f>
        <v>0</v>
      </c>
      <c r="CD344" s="28">
        <f>IF(CD343=0,0,CD343*MAX(0,(INDEX(c_CAMy,1,CD$7)-INDEX(c_CAMy,1,INDEX('Lease Cycles'!$GC$27:$GI$27,1,CD333)+1))*(1+'Lease Cycles'!$AK$27)+(INDEX(c_TAXy,1,CD$7)-INDEX(c_TAXy,1,INDEX('Lease Cycles'!$GC$27:$GI$27,1,CD333)+1))+(INDEX(c_INSy,1,CD$7)-INDEX(c_INSy,1,INDEX('Lease Cycles'!$GC$27:$GI$27,1,CD333)+1)))/12)</f>
        <v>0</v>
      </c>
      <c r="CE344" s="28">
        <f>IF(CE343=0,0,CE343*MAX(0,(INDEX(c_CAMy,1,CE$7)-INDEX(c_CAMy,1,INDEX('Lease Cycles'!$GC$27:$GI$27,1,CE333)+1))*(1+'Lease Cycles'!$AK$27)+(INDEX(c_TAXy,1,CE$7)-INDEX(c_TAXy,1,INDEX('Lease Cycles'!$GC$27:$GI$27,1,CE333)+1))+(INDEX(c_INSy,1,CE$7)-INDEX(c_INSy,1,INDEX('Lease Cycles'!$GC$27:$GI$27,1,CE333)+1)))/12)</f>
        <v>0</v>
      </c>
      <c r="CF344" s="28">
        <f>IF(CF343=0,0,CF343*MAX(0,(INDEX(c_CAMy,1,CF$7)-INDEX(c_CAMy,1,INDEX('Lease Cycles'!$GC$27:$GI$27,1,CF333)+1))*(1+'Lease Cycles'!$AK$27)+(INDEX(c_TAXy,1,CF$7)-INDEX(c_TAXy,1,INDEX('Lease Cycles'!$GC$27:$GI$27,1,CF333)+1))+(INDEX(c_INSy,1,CF$7)-INDEX(c_INSy,1,INDEX('Lease Cycles'!$GC$27:$GI$27,1,CF333)+1)))/12)</f>
        <v>0</v>
      </c>
      <c r="CG344" s="28">
        <f>IF(CG343=0,0,CG343*MAX(0,(INDEX(c_CAMy,1,CG$7)-INDEX(c_CAMy,1,INDEX('Lease Cycles'!$GC$27:$GI$27,1,CG333)+1))*(1+'Lease Cycles'!$AK$27)+(INDEX(c_TAXy,1,CG$7)-INDEX(c_TAXy,1,INDEX('Lease Cycles'!$GC$27:$GI$27,1,CG333)+1))+(INDEX(c_INSy,1,CG$7)-INDEX(c_INSy,1,INDEX('Lease Cycles'!$GC$27:$GI$27,1,CG333)+1)))/12)</f>
        <v>0</v>
      </c>
      <c r="CH344" s="28">
        <f>IF(CH343=0,0,CH343*MAX(0,(INDEX(c_CAMy,1,CH$7)-INDEX(c_CAMy,1,INDEX('Lease Cycles'!$GC$27:$GI$27,1,CH333)+1))*(1+'Lease Cycles'!$AK$27)+(INDEX(c_TAXy,1,CH$7)-INDEX(c_TAXy,1,INDEX('Lease Cycles'!$GC$27:$GI$27,1,CH333)+1))+(INDEX(c_INSy,1,CH$7)-INDEX(c_INSy,1,INDEX('Lease Cycles'!$GC$27:$GI$27,1,CH333)+1)))/12)</f>
        <v>0</v>
      </c>
      <c r="CI344" s="28">
        <f>IF(CI343=0,0,CI343*MAX(0,(INDEX(c_CAMy,1,CI$7)-INDEX(c_CAMy,1,INDEX('Lease Cycles'!$GC$27:$GI$27,1,CI333)+1))*(1+'Lease Cycles'!$AK$27)+(INDEX(c_TAXy,1,CI$7)-INDEX(c_TAXy,1,INDEX('Lease Cycles'!$GC$27:$GI$27,1,CI333)+1))+(INDEX(c_INSy,1,CI$7)-INDEX(c_INSy,1,INDEX('Lease Cycles'!$GC$27:$GI$27,1,CI333)+1)))/12)</f>
        <v>0</v>
      </c>
      <c r="CJ344" s="28">
        <f>IF(CJ343=0,0,CJ343*MAX(0,(INDEX(c_CAMy,1,CJ$7)-INDEX(c_CAMy,1,INDEX('Lease Cycles'!$GC$27:$GI$27,1,CJ333)+1))*(1+'Lease Cycles'!$AK$27)+(INDEX(c_TAXy,1,CJ$7)-INDEX(c_TAXy,1,INDEX('Lease Cycles'!$GC$27:$GI$27,1,CJ333)+1))+(INDEX(c_INSy,1,CJ$7)-INDEX(c_INSy,1,INDEX('Lease Cycles'!$GC$27:$GI$27,1,CJ333)+1)))/12)</f>
        <v>0</v>
      </c>
      <c r="CK344" s="28">
        <f>IF(CK343=0,0,CK343*MAX(0,(INDEX(c_CAMy,1,CK$7)-INDEX(c_CAMy,1,INDEX('Lease Cycles'!$GC$27:$GI$27,1,CK333)+1))*(1+'Lease Cycles'!$AK$27)+(INDEX(c_TAXy,1,CK$7)-INDEX(c_TAXy,1,INDEX('Lease Cycles'!$GC$27:$GI$27,1,CK333)+1))+(INDEX(c_INSy,1,CK$7)-INDEX(c_INSy,1,INDEX('Lease Cycles'!$GC$27:$GI$27,1,CK333)+1)))/12)</f>
        <v>0</v>
      </c>
      <c r="CL344" s="28">
        <f>IF(CL343=0,0,CL343*MAX(0,(INDEX(c_CAMy,1,CL$7)-INDEX(c_CAMy,1,INDEX('Lease Cycles'!$GC$27:$GI$27,1,CL333)+1))*(1+'Lease Cycles'!$AK$27)+(INDEX(c_TAXy,1,CL$7)-INDEX(c_TAXy,1,INDEX('Lease Cycles'!$GC$27:$GI$27,1,CL333)+1))+(INDEX(c_INSy,1,CL$7)-INDEX(c_INSy,1,INDEX('Lease Cycles'!$GC$27:$GI$27,1,CL333)+1)))/12)</f>
        <v>0</v>
      </c>
      <c r="CM344" s="28">
        <f>IF(CM343=0,0,CM343*MAX(0,(INDEX(c_CAMy,1,CM$7)-INDEX(c_CAMy,1,INDEX('Lease Cycles'!$GC$27:$GI$27,1,CM333)+1))*(1+'Lease Cycles'!$AK$27)+(INDEX(c_TAXy,1,CM$7)-INDEX(c_TAXy,1,INDEX('Lease Cycles'!$GC$27:$GI$27,1,CM333)+1))+(INDEX(c_INSy,1,CM$7)-INDEX(c_INSy,1,INDEX('Lease Cycles'!$GC$27:$GI$27,1,CM333)+1)))/12)</f>
        <v>0</v>
      </c>
      <c r="CN344" s="28">
        <f>IF(CN343=0,0,CN343*MAX(0,(INDEX(c_CAMy,1,CN$7)-INDEX(c_CAMy,1,INDEX('Lease Cycles'!$GC$27:$GI$27,1,CN333)+1))*(1+'Lease Cycles'!$AK$27)+(INDEX(c_TAXy,1,CN$7)-INDEX(c_TAXy,1,INDEX('Lease Cycles'!$GC$27:$GI$27,1,CN333)+1))+(INDEX(c_INSy,1,CN$7)-INDEX(c_INSy,1,INDEX('Lease Cycles'!$GC$27:$GI$27,1,CN333)+1)))/12)</f>
        <v>0</v>
      </c>
      <c r="CO344" s="28">
        <f>IF(CO343=0,0,CO343*MAX(0,(INDEX(c_CAMy,1,CO$7)-INDEX(c_CAMy,1,INDEX('Lease Cycles'!$GC$27:$GI$27,1,CO333)+1))*(1+'Lease Cycles'!$AK$27)+(INDEX(c_TAXy,1,CO$7)-INDEX(c_TAXy,1,INDEX('Lease Cycles'!$GC$27:$GI$27,1,CO333)+1))+(INDEX(c_INSy,1,CO$7)-INDEX(c_INSy,1,INDEX('Lease Cycles'!$GC$27:$GI$27,1,CO333)+1)))/12)</f>
        <v>0</v>
      </c>
      <c r="CP344" s="28">
        <f>IF(CP343=0,0,CP343*MAX(0,(INDEX(c_CAMy,1,CP$7)-INDEX(c_CAMy,1,INDEX('Lease Cycles'!$GC$27:$GI$27,1,CP333)+1))*(1+'Lease Cycles'!$AK$27)+(INDEX(c_TAXy,1,CP$7)-INDEX(c_TAXy,1,INDEX('Lease Cycles'!$GC$27:$GI$27,1,CP333)+1))+(INDEX(c_INSy,1,CP$7)-INDEX(c_INSy,1,INDEX('Lease Cycles'!$GC$27:$GI$27,1,CP333)+1)))/12)</f>
        <v>0</v>
      </c>
      <c r="CQ344" s="28">
        <f>IF(CQ343=0,0,CQ343*MAX(0,(INDEX(c_CAMy,1,CQ$7)-INDEX(c_CAMy,1,INDEX('Lease Cycles'!$GC$27:$GI$27,1,CQ333)+1))*(1+'Lease Cycles'!$AK$27)+(INDEX(c_TAXy,1,CQ$7)-INDEX(c_TAXy,1,INDEX('Lease Cycles'!$GC$27:$GI$27,1,CQ333)+1))+(INDEX(c_INSy,1,CQ$7)-INDEX(c_INSy,1,INDEX('Lease Cycles'!$GC$27:$GI$27,1,CQ333)+1)))/12)</f>
        <v>0</v>
      </c>
      <c r="CR344" s="28">
        <f>IF(CR343=0,0,CR343*MAX(0,(INDEX(c_CAMy,1,CR$7)-INDEX(c_CAMy,1,INDEX('Lease Cycles'!$GC$27:$GI$27,1,CR333)+1))*(1+'Lease Cycles'!$AK$27)+(INDEX(c_TAXy,1,CR$7)-INDEX(c_TAXy,1,INDEX('Lease Cycles'!$GC$27:$GI$27,1,CR333)+1))+(INDEX(c_INSy,1,CR$7)-INDEX(c_INSy,1,INDEX('Lease Cycles'!$GC$27:$GI$27,1,CR333)+1)))/12)</f>
        <v>0</v>
      </c>
      <c r="CS344" s="28">
        <f>IF(CS343=0,0,CS343*MAX(0,(INDEX(c_CAMy,1,CS$7)-INDEX(c_CAMy,1,INDEX('Lease Cycles'!$GC$27:$GI$27,1,CS333)+1))*(1+'Lease Cycles'!$AK$27)+(INDEX(c_TAXy,1,CS$7)-INDEX(c_TAXy,1,INDEX('Lease Cycles'!$GC$27:$GI$27,1,CS333)+1))+(INDEX(c_INSy,1,CS$7)-INDEX(c_INSy,1,INDEX('Lease Cycles'!$GC$27:$GI$27,1,CS333)+1)))/12)</f>
        <v>0</v>
      </c>
      <c r="CT344" s="28">
        <f>IF(CT343=0,0,CT343*MAX(0,(INDEX(c_CAMy,1,CT$7)-INDEX(c_CAMy,1,INDEX('Lease Cycles'!$GC$27:$GI$27,1,CT333)+1))*(1+'Lease Cycles'!$AK$27)+(INDEX(c_TAXy,1,CT$7)-INDEX(c_TAXy,1,INDEX('Lease Cycles'!$GC$27:$GI$27,1,CT333)+1))+(INDEX(c_INSy,1,CT$7)-INDEX(c_INSy,1,INDEX('Lease Cycles'!$GC$27:$GI$27,1,CT333)+1)))/12)</f>
        <v>0</v>
      </c>
      <c r="CU344" s="28">
        <f>IF(CU343=0,0,CU343*MAX(0,(INDEX(c_CAMy,1,CU$7)-INDEX(c_CAMy,1,INDEX('Lease Cycles'!$GC$27:$GI$27,1,CU333)+1))*(1+'Lease Cycles'!$AK$27)+(INDEX(c_TAXy,1,CU$7)-INDEX(c_TAXy,1,INDEX('Lease Cycles'!$GC$27:$GI$27,1,CU333)+1))+(INDEX(c_INSy,1,CU$7)-INDEX(c_INSy,1,INDEX('Lease Cycles'!$GC$27:$GI$27,1,CU333)+1)))/12)</f>
        <v>0</v>
      </c>
      <c r="CV344" s="28">
        <f>IF(CV343=0,0,CV343*MAX(0,(INDEX(c_CAMy,1,CV$7)-INDEX(c_CAMy,1,INDEX('Lease Cycles'!$GC$27:$GI$27,1,CV333)+1))*(1+'Lease Cycles'!$AK$27)+(INDEX(c_TAXy,1,CV$7)-INDEX(c_TAXy,1,INDEX('Lease Cycles'!$GC$27:$GI$27,1,CV333)+1))+(INDEX(c_INSy,1,CV$7)-INDEX(c_INSy,1,INDEX('Lease Cycles'!$GC$27:$GI$27,1,CV333)+1)))/12)</f>
        <v>0</v>
      </c>
      <c r="CW344" s="28">
        <f>IF(CW343=0,0,CW343*MAX(0,(INDEX(c_CAMy,1,CW$7)-INDEX(c_CAMy,1,INDEX('Lease Cycles'!$GC$27:$GI$27,1,CW333)+1))*(1+'Lease Cycles'!$AK$27)+(INDEX(c_TAXy,1,CW$7)-INDEX(c_TAXy,1,INDEX('Lease Cycles'!$GC$27:$GI$27,1,CW333)+1))+(INDEX(c_INSy,1,CW$7)-INDEX(c_INSy,1,INDEX('Lease Cycles'!$GC$27:$GI$27,1,CW333)+1)))/12)</f>
        <v>0</v>
      </c>
      <c r="CX344" s="28">
        <f>IF(CX343=0,0,CX343*MAX(0,(INDEX(c_CAMy,1,CX$7)-INDEX(c_CAMy,1,INDEX('Lease Cycles'!$GC$27:$GI$27,1,CX333)+1))*(1+'Lease Cycles'!$AK$27)+(INDEX(c_TAXy,1,CX$7)-INDEX(c_TAXy,1,INDEX('Lease Cycles'!$GC$27:$GI$27,1,CX333)+1))+(INDEX(c_INSy,1,CX$7)-INDEX(c_INSy,1,INDEX('Lease Cycles'!$GC$27:$GI$27,1,CX333)+1)))/12)</f>
        <v>0</v>
      </c>
      <c r="CY344" s="28">
        <f>IF(CY343=0,0,CY343*MAX(0,(INDEX(c_CAMy,1,CY$7)-INDEX(c_CAMy,1,INDEX('Lease Cycles'!$GC$27:$GI$27,1,CY333)+1))*(1+'Lease Cycles'!$AK$27)+(INDEX(c_TAXy,1,CY$7)-INDEX(c_TAXy,1,INDEX('Lease Cycles'!$GC$27:$GI$27,1,CY333)+1))+(INDEX(c_INSy,1,CY$7)-INDEX(c_INSy,1,INDEX('Lease Cycles'!$GC$27:$GI$27,1,CY333)+1)))/12)</f>
        <v>0</v>
      </c>
      <c r="CZ344" s="28">
        <f>IF(CZ343=0,0,CZ343*MAX(0,(INDEX(c_CAMy,1,CZ$7)-INDEX(c_CAMy,1,INDEX('Lease Cycles'!$GC$27:$GI$27,1,CZ333)+1))*(1+'Lease Cycles'!$AK$27)+(INDEX(c_TAXy,1,CZ$7)-INDEX(c_TAXy,1,INDEX('Lease Cycles'!$GC$27:$GI$27,1,CZ333)+1))+(INDEX(c_INSy,1,CZ$7)-INDEX(c_INSy,1,INDEX('Lease Cycles'!$GC$27:$GI$27,1,CZ333)+1)))/12)</f>
        <v>0</v>
      </c>
      <c r="DA344" s="28">
        <f>IF(DA343=0,0,DA343*MAX(0,(INDEX(c_CAMy,1,DA$7)-INDEX(c_CAMy,1,INDEX('Lease Cycles'!$GC$27:$GI$27,1,DA333)+1))*(1+'Lease Cycles'!$AK$27)+(INDEX(c_TAXy,1,DA$7)-INDEX(c_TAXy,1,INDEX('Lease Cycles'!$GC$27:$GI$27,1,DA333)+1))+(INDEX(c_INSy,1,DA$7)-INDEX(c_INSy,1,INDEX('Lease Cycles'!$GC$27:$GI$27,1,DA333)+1)))/12)</f>
        <v>0</v>
      </c>
      <c r="DB344" s="28">
        <f>IF(DB343=0,0,DB343*MAX(0,(INDEX(c_CAMy,1,DB$7)-INDEX(c_CAMy,1,INDEX('Lease Cycles'!$GC$27:$GI$27,1,DB333)+1))*(1+'Lease Cycles'!$AK$27)+(INDEX(c_TAXy,1,DB$7)-INDEX(c_TAXy,1,INDEX('Lease Cycles'!$GC$27:$GI$27,1,DB333)+1))+(INDEX(c_INSy,1,DB$7)-INDEX(c_INSy,1,INDEX('Lease Cycles'!$GC$27:$GI$27,1,DB333)+1)))/12)</f>
        <v>0</v>
      </c>
      <c r="DC344" s="28">
        <f>IF(DC343=0,0,DC343*MAX(0,(INDEX(c_CAMy,1,DC$7)-INDEX(c_CAMy,1,INDEX('Lease Cycles'!$GC$27:$GI$27,1,DC333)+1))*(1+'Lease Cycles'!$AK$27)+(INDEX(c_TAXy,1,DC$7)-INDEX(c_TAXy,1,INDEX('Lease Cycles'!$GC$27:$GI$27,1,DC333)+1))+(INDEX(c_INSy,1,DC$7)-INDEX(c_INSy,1,INDEX('Lease Cycles'!$GC$27:$GI$27,1,DC333)+1)))/12)</f>
        <v>0</v>
      </c>
      <c r="DD344" s="28">
        <f>IF(DD343=0,0,DD343*MAX(0,(INDEX(c_CAMy,1,DD$7)-INDEX(c_CAMy,1,INDEX('Lease Cycles'!$GC$27:$GI$27,1,DD333)+1))*(1+'Lease Cycles'!$AK$27)+(INDEX(c_TAXy,1,DD$7)-INDEX(c_TAXy,1,INDEX('Lease Cycles'!$GC$27:$GI$27,1,DD333)+1))+(INDEX(c_INSy,1,DD$7)-INDEX(c_INSy,1,INDEX('Lease Cycles'!$GC$27:$GI$27,1,DD333)+1)))/12)</f>
        <v>0</v>
      </c>
      <c r="DE344" s="28">
        <f>IF(DE343=0,0,DE343*MAX(0,(INDEX(c_CAMy,1,DE$7)-INDEX(c_CAMy,1,INDEX('Lease Cycles'!$GC$27:$GI$27,1,DE333)+1))*(1+'Lease Cycles'!$AK$27)+(INDEX(c_TAXy,1,DE$7)-INDEX(c_TAXy,1,INDEX('Lease Cycles'!$GC$27:$GI$27,1,DE333)+1))+(INDEX(c_INSy,1,DE$7)-INDEX(c_INSy,1,INDEX('Lease Cycles'!$GC$27:$GI$27,1,DE333)+1)))/12)</f>
        <v>0</v>
      </c>
      <c r="DF344" s="28">
        <f>IF(DF343=0,0,DF343*MAX(0,(INDEX(c_CAMy,1,DF$7)-INDEX(c_CAMy,1,INDEX('Lease Cycles'!$GC$27:$GI$27,1,DF333)+1))*(1+'Lease Cycles'!$AK$27)+(INDEX(c_TAXy,1,DF$7)-INDEX(c_TAXy,1,INDEX('Lease Cycles'!$GC$27:$GI$27,1,DF333)+1))+(INDEX(c_INSy,1,DF$7)-INDEX(c_INSy,1,INDEX('Lease Cycles'!$GC$27:$GI$27,1,DF333)+1)))/12)</f>
        <v>0</v>
      </c>
      <c r="DG344" s="28">
        <f>IF(DG343=0,0,DG343*MAX(0,(INDEX(c_CAMy,1,DG$7)-INDEX(c_CAMy,1,INDEX('Lease Cycles'!$GC$27:$GI$27,1,DG333)+1))*(1+'Lease Cycles'!$AK$27)+(INDEX(c_TAXy,1,DG$7)-INDEX(c_TAXy,1,INDEX('Lease Cycles'!$GC$27:$GI$27,1,DG333)+1))+(INDEX(c_INSy,1,DG$7)-INDEX(c_INSy,1,INDEX('Lease Cycles'!$GC$27:$GI$27,1,DG333)+1)))/12)</f>
        <v>0</v>
      </c>
      <c r="DH344" s="28">
        <f>IF(DH343=0,0,DH343*MAX(0,(INDEX(c_CAMy,1,DH$7)-INDEX(c_CAMy,1,INDEX('Lease Cycles'!$GC$27:$GI$27,1,DH333)+1))*(1+'Lease Cycles'!$AK$27)+(INDEX(c_TAXy,1,DH$7)-INDEX(c_TAXy,1,INDEX('Lease Cycles'!$GC$27:$GI$27,1,DH333)+1))+(INDEX(c_INSy,1,DH$7)-INDEX(c_INSy,1,INDEX('Lease Cycles'!$GC$27:$GI$27,1,DH333)+1)))/12)</f>
        <v>0</v>
      </c>
      <c r="DI344" s="28">
        <f>IF(DI343=0,0,DI343*MAX(0,(INDEX(c_CAMy,1,DI$7)-INDEX(c_CAMy,1,INDEX('Lease Cycles'!$GC$27:$GI$27,1,DI333)+1))*(1+'Lease Cycles'!$AK$27)+(INDEX(c_TAXy,1,DI$7)-INDEX(c_TAXy,1,INDEX('Lease Cycles'!$GC$27:$GI$27,1,DI333)+1))+(INDEX(c_INSy,1,DI$7)-INDEX(c_INSy,1,INDEX('Lease Cycles'!$GC$27:$GI$27,1,DI333)+1)))/12)</f>
        <v>0</v>
      </c>
      <c r="DJ344" s="28">
        <f>IF(DJ343=0,0,DJ343*MAX(0,(INDEX(c_CAMy,1,DJ$7)-INDEX(c_CAMy,1,INDEX('Lease Cycles'!$GC$27:$GI$27,1,DJ333)+1))*(1+'Lease Cycles'!$AK$27)+(INDEX(c_TAXy,1,DJ$7)-INDEX(c_TAXy,1,INDEX('Lease Cycles'!$GC$27:$GI$27,1,DJ333)+1))+(INDEX(c_INSy,1,DJ$7)-INDEX(c_INSy,1,INDEX('Lease Cycles'!$GC$27:$GI$27,1,DJ333)+1)))/12)</f>
        <v>0</v>
      </c>
      <c r="DK344" s="28">
        <f>IF(DK343=0,0,DK343*MAX(0,(INDEX(c_CAMy,1,DK$7)-INDEX(c_CAMy,1,INDEX('Lease Cycles'!$GC$27:$GI$27,1,DK333)+1))*(1+'Lease Cycles'!$AK$27)+(INDEX(c_TAXy,1,DK$7)-INDEX(c_TAXy,1,INDEX('Lease Cycles'!$GC$27:$GI$27,1,DK333)+1))+(INDEX(c_INSy,1,DK$7)-INDEX(c_INSy,1,INDEX('Lease Cycles'!$GC$27:$GI$27,1,DK333)+1)))/12)</f>
        <v>0</v>
      </c>
      <c r="DL344" s="28">
        <f>IF(DL343=0,0,DL343*MAX(0,(INDEX(c_CAMy,1,DL$7)-INDEX(c_CAMy,1,INDEX('Lease Cycles'!$GC$27:$GI$27,1,DL333)+1))*(1+'Lease Cycles'!$AK$27)+(INDEX(c_TAXy,1,DL$7)-INDEX(c_TAXy,1,INDEX('Lease Cycles'!$GC$27:$GI$27,1,DL333)+1))+(INDEX(c_INSy,1,DL$7)-INDEX(c_INSy,1,INDEX('Lease Cycles'!$GC$27:$GI$27,1,DL333)+1)))/12)</f>
        <v>0</v>
      </c>
      <c r="DM344" s="28">
        <f>IF(DM343=0,0,DM343*MAX(0,(INDEX(c_CAMy,1,DM$7)-INDEX(c_CAMy,1,INDEX('Lease Cycles'!$GC$27:$GI$27,1,DM333)+1))*(1+'Lease Cycles'!$AK$27)+(INDEX(c_TAXy,1,DM$7)-INDEX(c_TAXy,1,INDEX('Lease Cycles'!$GC$27:$GI$27,1,DM333)+1))+(INDEX(c_INSy,1,DM$7)-INDEX(c_INSy,1,INDEX('Lease Cycles'!$GC$27:$GI$27,1,DM333)+1)))/12)</f>
        <v>0</v>
      </c>
      <c r="DN344" s="28">
        <f>IF(DN343=0,0,DN343*MAX(0,(INDEX(c_CAMy,1,DN$7)-INDEX(c_CAMy,1,INDEX('Lease Cycles'!$GC$27:$GI$27,1,DN333)+1))*(1+'Lease Cycles'!$AK$27)+(INDEX(c_TAXy,1,DN$7)-INDEX(c_TAXy,1,INDEX('Lease Cycles'!$GC$27:$GI$27,1,DN333)+1))+(INDEX(c_INSy,1,DN$7)-INDEX(c_INSy,1,INDEX('Lease Cycles'!$GC$27:$GI$27,1,DN333)+1)))/12)</f>
        <v>0</v>
      </c>
      <c r="DO344" s="28">
        <f>IF(DO343=0,0,DO343*MAX(0,(INDEX(c_CAMy,1,DO$7)-INDEX(c_CAMy,1,INDEX('Lease Cycles'!$GC$27:$GI$27,1,DO333)+1))*(1+'Lease Cycles'!$AK$27)+(INDEX(c_TAXy,1,DO$7)-INDEX(c_TAXy,1,INDEX('Lease Cycles'!$GC$27:$GI$27,1,DO333)+1))+(INDEX(c_INSy,1,DO$7)-INDEX(c_INSy,1,INDEX('Lease Cycles'!$GC$27:$GI$27,1,DO333)+1)))/12)</f>
        <v>0</v>
      </c>
      <c r="DP344" s="28">
        <f>IF(DP343=0,0,DP343*MAX(0,(INDEX(c_CAMy,1,DP$7)-INDEX(c_CAMy,1,INDEX('Lease Cycles'!$GC$27:$GI$27,1,DP333)+1))*(1+'Lease Cycles'!$AK$27)+(INDEX(c_TAXy,1,DP$7)-INDEX(c_TAXy,1,INDEX('Lease Cycles'!$GC$27:$GI$27,1,DP333)+1))+(INDEX(c_INSy,1,DP$7)-INDEX(c_INSy,1,INDEX('Lease Cycles'!$GC$27:$GI$27,1,DP333)+1)))/12)</f>
        <v>0</v>
      </c>
      <c r="DQ344" s="28">
        <f>IF(DQ343=0,0,DQ343*MAX(0,(INDEX(c_CAMy,1,DQ$7)-INDEX(c_CAMy,1,INDEX('Lease Cycles'!$GC$27:$GI$27,1,DQ333)+1))*(1+'Lease Cycles'!$AK$27)+(INDEX(c_TAXy,1,DQ$7)-INDEX(c_TAXy,1,INDEX('Lease Cycles'!$GC$27:$GI$27,1,DQ333)+1))+(INDEX(c_INSy,1,DQ$7)-INDEX(c_INSy,1,INDEX('Lease Cycles'!$GC$27:$GI$27,1,DQ333)+1)))/12)</f>
        <v>0</v>
      </c>
      <c r="DR344" s="28">
        <f>IF(DR343=0,0,DR343*MAX(0,(INDEX(c_CAMy,1,DR$7)-INDEX(c_CAMy,1,INDEX('Lease Cycles'!$GC$27:$GI$27,1,DR333)+1))*(1+'Lease Cycles'!$AK$27)+(INDEX(c_TAXy,1,DR$7)-INDEX(c_TAXy,1,INDEX('Lease Cycles'!$GC$27:$GI$27,1,DR333)+1))+(INDEX(c_INSy,1,DR$7)-INDEX(c_INSy,1,INDEX('Lease Cycles'!$GC$27:$GI$27,1,DR333)+1)))/12)</f>
        <v>0</v>
      </c>
      <c r="DS344" s="28">
        <f>IF(DS343=0,0,DS343*MAX(0,(INDEX(c_CAMy,1,DS$7)-INDEX(c_CAMy,1,INDEX('Lease Cycles'!$GC$27:$GI$27,1,DS333)+1))*(1+'Lease Cycles'!$AK$27)+(INDEX(c_TAXy,1,DS$7)-INDEX(c_TAXy,1,INDEX('Lease Cycles'!$GC$27:$GI$27,1,DS333)+1))+(INDEX(c_INSy,1,DS$7)-INDEX(c_INSy,1,INDEX('Lease Cycles'!$GC$27:$GI$27,1,DS333)+1)))/12)</f>
        <v>0</v>
      </c>
      <c r="DT344" s="28">
        <f>IF(DT343=0,0,DT343*MAX(0,(INDEX(c_CAMy,1,DT$7)-INDEX(c_CAMy,1,INDEX('Lease Cycles'!$GC$27:$GI$27,1,DT333)+1))*(1+'Lease Cycles'!$AK$27)+(INDEX(c_TAXy,1,DT$7)-INDEX(c_TAXy,1,INDEX('Lease Cycles'!$GC$27:$GI$27,1,DT333)+1))+(INDEX(c_INSy,1,DT$7)-INDEX(c_INSy,1,INDEX('Lease Cycles'!$GC$27:$GI$27,1,DT333)+1)))/12)</f>
        <v>0</v>
      </c>
      <c r="DU344" s="28">
        <f>IF(DU343=0,0,DU343*MAX(0,(INDEX(c_CAMy,1,DU$7)-INDEX(c_CAMy,1,INDEX('Lease Cycles'!$GC$27:$GI$27,1,DU333)+1))*(1+'Lease Cycles'!$AK$27)+(INDEX(c_TAXy,1,DU$7)-INDEX(c_TAXy,1,INDEX('Lease Cycles'!$GC$27:$GI$27,1,DU333)+1))+(INDEX(c_INSy,1,DU$7)-INDEX(c_INSy,1,INDEX('Lease Cycles'!$GC$27:$GI$27,1,DU333)+1)))/12)</f>
        <v>0</v>
      </c>
      <c r="DV344" s="28">
        <f>IF(DV343=0,0,DV343*MAX(0,(INDEX(c_CAMy,1,DV$7)-INDEX(c_CAMy,1,INDEX('Lease Cycles'!$GC$27:$GI$27,1,DV333)+1))*(1+'Lease Cycles'!$AK$27)+(INDEX(c_TAXy,1,DV$7)-INDEX(c_TAXy,1,INDEX('Lease Cycles'!$GC$27:$GI$27,1,DV333)+1))+(INDEX(c_INSy,1,DV$7)-INDEX(c_INSy,1,INDEX('Lease Cycles'!$GC$27:$GI$27,1,DV333)+1)))/12)</f>
        <v>0</v>
      </c>
      <c r="DW344" s="28">
        <f>IF(DW343=0,0,DW343*MAX(0,(INDEX(c_CAMy,1,DW$7)-INDEX(c_CAMy,1,INDEX('Lease Cycles'!$GC$27:$GI$27,1,DW333)+1))*(1+'Lease Cycles'!$AK$27)+(INDEX(c_TAXy,1,DW$7)-INDEX(c_TAXy,1,INDEX('Lease Cycles'!$GC$27:$GI$27,1,DW333)+1))+(INDEX(c_INSy,1,DW$7)-INDEX(c_INSy,1,INDEX('Lease Cycles'!$GC$27:$GI$27,1,DW333)+1)))/12)</f>
        <v>0</v>
      </c>
      <c r="DX344" s="28">
        <f>IF(DX343=0,0,DX343*MAX(0,(INDEX(c_CAMy,1,DX$7)-INDEX(c_CAMy,1,INDEX('Lease Cycles'!$GC$27:$GI$27,1,DX333)+1))*(1+'Lease Cycles'!$AK$27)+(INDEX(c_TAXy,1,DX$7)-INDEX(c_TAXy,1,INDEX('Lease Cycles'!$GC$27:$GI$27,1,DX333)+1))+(INDEX(c_INSy,1,DX$7)-INDEX(c_INSy,1,INDEX('Lease Cycles'!$GC$27:$GI$27,1,DX333)+1)))/12)</f>
        <v>0</v>
      </c>
      <c r="DY344" s="28">
        <f>IF(DY343=0,0,DY343*MAX(0,(INDEX(c_CAMy,1,DY$7)-INDEX(c_CAMy,1,INDEX('Lease Cycles'!$GC$27:$GI$27,1,DY333)+1))*(1+'Lease Cycles'!$AK$27)+(INDEX(c_TAXy,1,DY$7)-INDEX(c_TAXy,1,INDEX('Lease Cycles'!$GC$27:$GI$27,1,DY333)+1))+(INDEX(c_INSy,1,DY$7)-INDEX(c_INSy,1,INDEX('Lease Cycles'!$GC$27:$GI$27,1,DY333)+1)))/12)</f>
        <v>0</v>
      </c>
      <c r="DZ344" s="28">
        <f>IF(DZ343=0,0,DZ343*MAX(0,(INDEX(c_CAMy,1,DZ$7)-INDEX(c_CAMy,1,INDEX('Lease Cycles'!$GC$27:$GI$27,1,DZ333)+1))*(1+'Lease Cycles'!$AK$27)+(INDEX(c_TAXy,1,DZ$7)-INDEX(c_TAXy,1,INDEX('Lease Cycles'!$GC$27:$GI$27,1,DZ333)+1))+(INDEX(c_INSy,1,DZ$7)-INDEX(c_INSy,1,INDEX('Lease Cycles'!$GC$27:$GI$27,1,DZ333)+1)))/12)</f>
        <v>0</v>
      </c>
      <c r="EA344" s="28">
        <f>IF(EA343=0,0,EA343*MAX(0,(INDEX(c_CAMy,1,EA$7)-INDEX(c_CAMy,1,INDEX('Lease Cycles'!$GC$27:$GI$27,1,EA333)+1))*(1+'Lease Cycles'!$AK$27)+(INDEX(c_TAXy,1,EA$7)-INDEX(c_TAXy,1,INDEX('Lease Cycles'!$GC$27:$GI$27,1,EA333)+1))+(INDEX(c_INSy,1,EA$7)-INDEX(c_INSy,1,INDEX('Lease Cycles'!$GC$27:$GI$27,1,EA333)+1)))/12)</f>
        <v>0</v>
      </c>
      <c r="EB344" s="28">
        <f>IF(EB343=0,0,EB343*MAX(0,(INDEX(c_CAMy,1,EB$7)-INDEX(c_CAMy,1,INDEX('Lease Cycles'!$GC$27:$GI$27,1,EB333)+1))*(1+'Lease Cycles'!$AK$27)+(INDEX(c_TAXy,1,EB$7)-INDEX(c_TAXy,1,INDEX('Lease Cycles'!$GC$27:$GI$27,1,EB333)+1))+(INDEX(c_INSy,1,EB$7)-INDEX(c_INSy,1,INDEX('Lease Cycles'!$GC$27:$GI$27,1,EB333)+1)))/12)</f>
        <v>0</v>
      </c>
      <c r="EC344" s="28">
        <f>IF(EC343=0,0,EC343*MAX(0,(INDEX(c_CAMy,1,EC$7)-INDEX(c_CAMy,1,INDEX('Lease Cycles'!$GC$27:$GI$27,1,EC333)+1))*(1+'Lease Cycles'!$AK$27)+(INDEX(c_TAXy,1,EC$7)-INDEX(c_TAXy,1,INDEX('Lease Cycles'!$GC$27:$GI$27,1,EC333)+1))+(INDEX(c_INSy,1,EC$7)-INDEX(c_INSy,1,INDEX('Lease Cycles'!$GC$27:$GI$27,1,EC333)+1)))/12)</f>
        <v>0</v>
      </c>
      <c r="ED344" s="28">
        <f>IF(ED343=0,0,ED343*MAX(0,(INDEX(c_CAMy,1,ED$7)-INDEX(c_CAMy,1,INDEX('Lease Cycles'!$GC$27:$GI$27,1,ED333)+1))*(1+'Lease Cycles'!$AK$27)+(INDEX(c_TAXy,1,ED$7)-INDEX(c_TAXy,1,INDEX('Lease Cycles'!$GC$27:$GI$27,1,ED333)+1))+(INDEX(c_INSy,1,ED$7)-INDEX(c_INSy,1,INDEX('Lease Cycles'!$GC$27:$GI$27,1,ED333)+1)))/12)</f>
        <v>0</v>
      </c>
      <c r="EE344" s="28">
        <f>IF(EE343=0,0,EE343*MAX(0,(INDEX(c_CAMy,1,EE$7)-INDEX(c_CAMy,1,INDEX('Lease Cycles'!$GC$27:$GI$27,1,EE333)+1))*(1+'Lease Cycles'!$AK$27)+(INDEX(c_TAXy,1,EE$7)-INDEX(c_TAXy,1,INDEX('Lease Cycles'!$GC$27:$GI$27,1,EE333)+1))+(INDEX(c_INSy,1,EE$7)-INDEX(c_INSy,1,INDEX('Lease Cycles'!$GC$27:$GI$27,1,EE333)+1)))/12)</f>
        <v>0</v>
      </c>
      <c r="EF344" s="28">
        <f>IF(EF343=0,0,EF343*MAX(0,(INDEX(c_CAMy,1,EF$7)-INDEX(c_CAMy,1,INDEX('Lease Cycles'!$GC$27:$GI$27,1,EF333)+1))*(1+'Lease Cycles'!$AK$27)+(INDEX(c_TAXy,1,EF$7)-INDEX(c_TAXy,1,INDEX('Lease Cycles'!$GC$27:$GI$27,1,EF333)+1))+(INDEX(c_INSy,1,EF$7)-INDEX(c_INSy,1,INDEX('Lease Cycles'!$GC$27:$GI$27,1,EF333)+1)))/12)</f>
        <v>0</v>
      </c>
      <c r="EG344" s="28">
        <f>IF(EG343=0,0,EG343*MAX(0,(INDEX(c_CAMy,1,EG$7)-INDEX(c_CAMy,1,INDEX('Lease Cycles'!$GC$27:$GI$27,1,EG333)+1))*(1+'Lease Cycles'!$AK$27)+(INDEX(c_TAXy,1,EG$7)-INDEX(c_TAXy,1,INDEX('Lease Cycles'!$GC$27:$GI$27,1,EG333)+1))+(INDEX(c_INSy,1,EG$7)-INDEX(c_INSy,1,INDEX('Lease Cycles'!$GC$27:$GI$27,1,EG333)+1)))/12)</f>
        <v>0</v>
      </c>
      <c r="EH344" s="28">
        <f>IF(EH343=0,0,EH343*MAX(0,(INDEX(c_CAMy,1,EH$7)-INDEX(c_CAMy,1,INDEX('Lease Cycles'!$GC$27:$GI$27,1,EH333)+1))*(1+'Lease Cycles'!$AK$27)+(INDEX(c_TAXy,1,EH$7)-INDEX(c_TAXy,1,INDEX('Lease Cycles'!$GC$27:$GI$27,1,EH333)+1))+(INDEX(c_INSy,1,EH$7)-INDEX(c_INSy,1,INDEX('Lease Cycles'!$GC$27:$GI$27,1,EH333)+1)))/12)</f>
        <v>0</v>
      </c>
      <c r="EI344" s="28">
        <f>IF(EI343=0,0,EI343*MAX(0,(INDEX(c_CAMy,1,EI$7)-INDEX(c_CAMy,1,INDEX('Lease Cycles'!$GC$27:$GI$27,1,EI333)+1))*(1+'Lease Cycles'!$AK$27)+(INDEX(c_TAXy,1,EI$7)-INDEX(c_TAXy,1,INDEX('Lease Cycles'!$GC$27:$GI$27,1,EI333)+1))+(INDEX(c_INSy,1,EI$7)-INDEX(c_INSy,1,INDEX('Lease Cycles'!$GC$27:$GI$27,1,EI333)+1)))/12)</f>
        <v>0</v>
      </c>
      <c r="EJ344" s="28">
        <f>IF(EJ343=0,0,EJ343*MAX(0,(INDEX(c_CAMy,1,EJ$7)-INDEX(c_CAMy,1,INDEX('Lease Cycles'!$GC$27:$GI$27,1,EJ333)+1))*(1+'Lease Cycles'!$AK$27)+(INDEX(c_TAXy,1,EJ$7)-INDEX(c_TAXy,1,INDEX('Lease Cycles'!$GC$27:$GI$27,1,EJ333)+1))+(INDEX(c_INSy,1,EJ$7)-INDEX(c_INSy,1,INDEX('Lease Cycles'!$GC$27:$GI$27,1,EJ333)+1)))/12)</f>
        <v>0</v>
      </c>
      <c r="EK344" s="28">
        <f>IF(EK343=0,0,EK343*MAX(0,(INDEX(c_CAMy,1,EK$7)-INDEX(c_CAMy,1,INDEX('Lease Cycles'!$GC$27:$GI$27,1,EK333)+1))*(1+'Lease Cycles'!$AK$27)+(INDEX(c_TAXy,1,EK$7)-INDEX(c_TAXy,1,INDEX('Lease Cycles'!$GC$27:$GI$27,1,EK333)+1))+(INDEX(c_INSy,1,EK$7)-INDEX(c_INSy,1,INDEX('Lease Cycles'!$GC$27:$GI$27,1,EK333)+1)))/12)</f>
        <v>0</v>
      </c>
      <c r="EL344" s="28">
        <f>IF(EL343=0,0,EL343*MAX(0,(INDEX(c_CAMy,1,EL$7)-INDEX(c_CAMy,1,INDEX('Lease Cycles'!$GC$27:$GI$27,1,EL333)+1))*(1+'Lease Cycles'!$AK$27)+(INDEX(c_TAXy,1,EL$7)-INDEX(c_TAXy,1,INDEX('Lease Cycles'!$GC$27:$GI$27,1,EL333)+1))+(INDEX(c_INSy,1,EL$7)-INDEX(c_INSy,1,INDEX('Lease Cycles'!$GC$27:$GI$27,1,EL333)+1)))/12)</f>
        <v>0</v>
      </c>
      <c r="EM344" s="28">
        <f>IF(EM343=0,0,EM343*MAX(0,(INDEX(c_CAMy,1,EM$7)-INDEX(c_CAMy,1,INDEX('Lease Cycles'!$GC$27:$GI$27,1,EM333)+1))*(1+'Lease Cycles'!$AK$27)+(INDEX(c_TAXy,1,EM$7)-INDEX(c_TAXy,1,INDEX('Lease Cycles'!$GC$27:$GI$27,1,EM333)+1))+(INDEX(c_INSy,1,EM$7)-INDEX(c_INSy,1,INDEX('Lease Cycles'!$GC$27:$GI$27,1,EM333)+1)))/12)</f>
        <v>0</v>
      </c>
      <c r="EN344" s="28">
        <f>IF(EN343=0,0,EN343*MAX(0,(INDEX(c_CAMy,1,EN$7)-INDEX(c_CAMy,1,INDEX('Lease Cycles'!$GC$27:$GI$27,1,EN333)+1))*(1+'Lease Cycles'!$AK$27)+(INDEX(c_TAXy,1,EN$7)-INDEX(c_TAXy,1,INDEX('Lease Cycles'!$GC$27:$GI$27,1,EN333)+1))+(INDEX(c_INSy,1,EN$7)-INDEX(c_INSy,1,INDEX('Lease Cycles'!$GC$27:$GI$27,1,EN333)+1)))/12)</f>
        <v>0</v>
      </c>
      <c r="EO344" s="28">
        <f>IF(EO343=0,0,EO343*MAX(0,(INDEX(c_CAMy,1,EO$7)-INDEX(c_CAMy,1,INDEX('Lease Cycles'!$GC$27:$GI$27,1,EO333)+1))*(1+'Lease Cycles'!$AK$27)+(INDEX(c_TAXy,1,EO$7)-INDEX(c_TAXy,1,INDEX('Lease Cycles'!$GC$27:$GI$27,1,EO333)+1))+(INDEX(c_INSy,1,EO$7)-INDEX(c_INSy,1,INDEX('Lease Cycles'!$GC$27:$GI$27,1,EO333)+1)))/12)</f>
        <v>0</v>
      </c>
      <c r="EP344" s="28">
        <f>IF(EP343=0,0,EP343*MAX(0,(INDEX(c_CAMy,1,EP$7)-INDEX(c_CAMy,1,INDEX('Lease Cycles'!$GC$27:$GI$27,1,EP333)+1))*(1+'Lease Cycles'!$AK$27)+(INDEX(c_TAXy,1,EP$7)-INDEX(c_TAXy,1,INDEX('Lease Cycles'!$GC$27:$GI$27,1,EP333)+1))+(INDEX(c_INSy,1,EP$7)-INDEX(c_INSy,1,INDEX('Lease Cycles'!$GC$27:$GI$27,1,EP333)+1)))/12)</f>
        <v>0</v>
      </c>
      <c r="EQ344" s="28">
        <f>IF(EQ343=0,0,EQ343*MAX(0,(INDEX(c_CAMy,1,EQ$7)-INDEX(c_CAMy,1,INDEX('Lease Cycles'!$GC$27:$GI$27,1,EQ333)+1))*(1+'Lease Cycles'!$AK$27)+(INDEX(c_TAXy,1,EQ$7)-INDEX(c_TAXy,1,INDEX('Lease Cycles'!$GC$27:$GI$27,1,EQ333)+1))+(INDEX(c_INSy,1,EQ$7)-INDEX(c_INSy,1,INDEX('Lease Cycles'!$GC$27:$GI$27,1,EQ333)+1)))/12)</f>
        <v>0</v>
      </c>
      <c r="ER344" s="28">
        <f>IF(ER343=0,0,ER343*MAX(0,(INDEX(c_CAMy,1,ER$7)-INDEX(c_CAMy,1,INDEX('Lease Cycles'!$GC$27:$GI$27,1,ER333)+1))*(1+'Lease Cycles'!$AK$27)+(INDEX(c_TAXy,1,ER$7)-INDEX(c_TAXy,1,INDEX('Lease Cycles'!$GC$27:$GI$27,1,ER333)+1))+(INDEX(c_INSy,1,ER$7)-INDEX(c_INSy,1,INDEX('Lease Cycles'!$GC$27:$GI$27,1,ER333)+1)))/12)</f>
        <v>0</v>
      </c>
      <c r="ES344" s="28">
        <f>IF(ES343=0,0,ES343*MAX(0,(INDEX(c_CAMy,1,ES$7)-INDEX(c_CAMy,1,INDEX('Lease Cycles'!$GC$27:$GI$27,1,ES333)+1))*(1+'Lease Cycles'!$AK$27)+(INDEX(c_TAXy,1,ES$7)-INDEX(c_TAXy,1,INDEX('Lease Cycles'!$GC$27:$GI$27,1,ES333)+1))+(INDEX(c_INSy,1,ES$7)-INDEX(c_INSy,1,INDEX('Lease Cycles'!$GC$27:$GI$27,1,ES333)+1)))/12)</f>
        <v>0</v>
      </c>
      <c r="ET344" s="28">
        <f>IF(ET343=0,0,ET343*MAX(0,(INDEX(c_CAMy,1,ET$7)-INDEX(c_CAMy,1,INDEX('Lease Cycles'!$GC$27:$GI$27,1,ET333)+1))*(1+'Lease Cycles'!$AK$27)+(INDEX(c_TAXy,1,ET$7)-INDEX(c_TAXy,1,INDEX('Lease Cycles'!$GC$27:$GI$27,1,ET333)+1))+(INDEX(c_INSy,1,ET$7)-INDEX(c_INSy,1,INDEX('Lease Cycles'!$GC$27:$GI$27,1,ET333)+1)))/12)</f>
        <v>0</v>
      </c>
    </row>
    <row r="345">
      <c r="A345" s="103">
        <v>20</v>
      </c>
      <c r="B345" s="23" t="str">
        <f>IF('Lease Cycles'!$B$27="","(empty slot)",'Lease Cycles'!$B$27)</f>
        <v>(empty slot)</v>
      </c>
      <c r="C345" s="23" t="s">
        <v>530</v>
      </c>
      <c r="D345" s="104" t="s">
        <v>531</v>
      </c>
      <c r="E345" s="25">
        <f>'Lease Cycles'!$AL$27</f>
        <v>0</v>
      </c>
      <c r="G345" s="28">
        <f>SUM(S345:AD345)</f>
        <v>0</v>
      </c>
      <c r="H345" s="28">
        <f>SUM(AE345:AP345)</f>
        <v>0</v>
      </c>
      <c r="I345" s="28">
        <f>SUM(AQ345:BB345)</f>
        <v>0</v>
      </c>
      <c r="J345" s="28">
        <f>SUM(BC345:BN345)</f>
        <v>0</v>
      </c>
      <c r="K345" s="28">
        <f>SUM(BO345:BZ345)</f>
        <v>0</v>
      </c>
      <c r="L345" s="28">
        <f>SUM(CA345:CL345)</f>
        <v>0</v>
      </c>
      <c r="M345" s="28">
        <f>SUM(CM345:CX345)</f>
        <v>0</v>
      </c>
      <c r="N345" s="28">
        <f>SUM(CY345:DJ345)</f>
        <v>0</v>
      </c>
      <c r="O345" s="28">
        <f>SUM(DK345:DV345)</f>
        <v>0</v>
      </c>
      <c r="P345" s="28">
        <f>SUM(DW345:EH345)</f>
        <v>0</v>
      </c>
      <c r="Q345" s="28">
        <f>SUM(EI345:ET345)</f>
        <v>0</v>
      </c>
      <c r="S345" s="28">
        <f>SUMIF('Lease Cycles'!$HL$27:$HR$27,S$6,'Lease Cycles'!$HS$27:$HY$27)</f>
        <v>0</v>
      </c>
      <c r="T345" s="28">
        <f>SUMIF('Lease Cycles'!$HL$27:$HR$27,T$6,'Lease Cycles'!$HS$27:$HY$27)</f>
        <v>0</v>
      </c>
      <c r="U345" s="28">
        <f>SUMIF('Lease Cycles'!$HL$27:$HR$27,U$6,'Lease Cycles'!$HS$27:$HY$27)</f>
        <v>0</v>
      </c>
      <c r="V345" s="28">
        <f>SUMIF('Lease Cycles'!$HL$27:$HR$27,V$6,'Lease Cycles'!$HS$27:$HY$27)</f>
        <v>0</v>
      </c>
      <c r="W345" s="28">
        <f>SUMIF('Lease Cycles'!$HL$27:$HR$27,W$6,'Lease Cycles'!$HS$27:$HY$27)</f>
        <v>0</v>
      </c>
      <c r="X345" s="28">
        <f>SUMIF('Lease Cycles'!$HL$27:$HR$27,X$6,'Lease Cycles'!$HS$27:$HY$27)</f>
        <v>0</v>
      </c>
      <c r="Y345" s="28">
        <f>SUMIF('Lease Cycles'!$HL$27:$HR$27,Y$6,'Lease Cycles'!$HS$27:$HY$27)</f>
        <v>0</v>
      </c>
      <c r="Z345" s="28">
        <f>SUMIF('Lease Cycles'!$HL$27:$HR$27,Z$6,'Lease Cycles'!$HS$27:$HY$27)</f>
        <v>0</v>
      </c>
      <c r="AA345" s="28">
        <f>SUMIF('Lease Cycles'!$HL$27:$HR$27,AA$6,'Lease Cycles'!$HS$27:$HY$27)</f>
        <v>0</v>
      </c>
      <c r="AB345" s="28">
        <f>SUMIF('Lease Cycles'!$HL$27:$HR$27,AB$6,'Lease Cycles'!$HS$27:$HY$27)</f>
        <v>0</v>
      </c>
      <c r="AC345" s="28">
        <f>SUMIF('Lease Cycles'!$HL$27:$HR$27,AC$6,'Lease Cycles'!$HS$27:$HY$27)</f>
        <v>0</v>
      </c>
      <c r="AD345" s="28">
        <f>SUMIF('Lease Cycles'!$HL$27:$HR$27,AD$6,'Lease Cycles'!$HS$27:$HY$27)</f>
        <v>0</v>
      </c>
      <c r="AE345" s="28">
        <f>SUMIF('Lease Cycles'!$HL$27:$HR$27,AE$6,'Lease Cycles'!$HS$27:$HY$27)</f>
        <v>0</v>
      </c>
      <c r="AF345" s="28">
        <f>SUMIF('Lease Cycles'!$HL$27:$HR$27,AF$6,'Lease Cycles'!$HS$27:$HY$27)</f>
        <v>0</v>
      </c>
      <c r="AG345" s="28">
        <f>SUMIF('Lease Cycles'!$HL$27:$HR$27,AG$6,'Lease Cycles'!$HS$27:$HY$27)</f>
        <v>0</v>
      </c>
      <c r="AH345" s="28">
        <f>SUMIF('Lease Cycles'!$HL$27:$HR$27,AH$6,'Lease Cycles'!$HS$27:$HY$27)</f>
        <v>0</v>
      </c>
      <c r="AI345" s="28">
        <f>SUMIF('Lease Cycles'!$HL$27:$HR$27,AI$6,'Lease Cycles'!$HS$27:$HY$27)</f>
        <v>0</v>
      </c>
      <c r="AJ345" s="28">
        <f>SUMIF('Lease Cycles'!$HL$27:$HR$27,AJ$6,'Lease Cycles'!$HS$27:$HY$27)</f>
        <v>0</v>
      </c>
      <c r="AK345" s="28">
        <f>SUMIF('Lease Cycles'!$HL$27:$HR$27,AK$6,'Lease Cycles'!$HS$27:$HY$27)</f>
        <v>0</v>
      </c>
      <c r="AL345" s="28">
        <f>SUMIF('Lease Cycles'!$HL$27:$HR$27,AL$6,'Lease Cycles'!$HS$27:$HY$27)</f>
        <v>0</v>
      </c>
      <c r="AM345" s="28">
        <f>SUMIF('Lease Cycles'!$HL$27:$HR$27,AM$6,'Lease Cycles'!$HS$27:$HY$27)</f>
        <v>0</v>
      </c>
      <c r="AN345" s="28">
        <f>SUMIF('Lease Cycles'!$HL$27:$HR$27,AN$6,'Lease Cycles'!$HS$27:$HY$27)</f>
        <v>0</v>
      </c>
      <c r="AO345" s="28">
        <f>SUMIF('Lease Cycles'!$HL$27:$HR$27,AO$6,'Lease Cycles'!$HS$27:$HY$27)</f>
        <v>0</v>
      </c>
      <c r="AP345" s="28">
        <f>SUMIF('Lease Cycles'!$HL$27:$HR$27,AP$6,'Lease Cycles'!$HS$27:$HY$27)</f>
        <v>0</v>
      </c>
      <c r="AQ345" s="28">
        <f>SUMIF('Lease Cycles'!$HL$27:$HR$27,AQ$6,'Lease Cycles'!$HS$27:$HY$27)</f>
        <v>0</v>
      </c>
      <c r="AR345" s="28">
        <f>SUMIF('Lease Cycles'!$HL$27:$HR$27,AR$6,'Lease Cycles'!$HS$27:$HY$27)</f>
        <v>0</v>
      </c>
      <c r="AS345" s="28">
        <f>SUMIF('Lease Cycles'!$HL$27:$HR$27,AS$6,'Lease Cycles'!$HS$27:$HY$27)</f>
        <v>0</v>
      </c>
      <c r="AT345" s="28">
        <f>SUMIF('Lease Cycles'!$HL$27:$HR$27,AT$6,'Lease Cycles'!$HS$27:$HY$27)</f>
        <v>0</v>
      </c>
      <c r="AU345" s="28">
        <f>SUMIF('Lease Cycles'!$HL$27:$HR$27,AU$6,'Lease Cycles'!$HS$27:$HY$27)</f>
        <v>0</v>
      </c>
      <c r="AV345" s="28">
        <f>SUMIF('Lease Cycles'!$HL$27:$HR$27,AV$6,'Lease Cycles'!$HS$27:$HY$27)</f>
        <v>0</v>
      </c>
      <c r="AW345" s="28">
        <f>SUMIF('Lease Cycles'!$HL$27:$HR$27,AW$6,'Lease Cycles'!$HS$27:$HY$27)</f>
        <v>0</v>
      </c>
      <c r="AX345" s="28">
        <f>SUMIF('Lease Cycles'!$HL$27:$HR$27,AX$6,'Lease Cycles'!$HS$27:$HY$27)</f>
        <v>0</v>
      </c>
      <c r="AY345" s="28">
        <f>SUMIF('Lease Cycles'!$HL$27:$HR$27,AY$6,'Lease Cycles'!$HS$27:$HY$27)</f>
        <v>0</v>
      </c>
      <c r="AZ345" s="28">
        <f>SUMIF('Lease Cycles'!$HL$27:$HR$27,AZ$6,'Lease Cycles'!$HS$27:$HY$27)</f>
        <v>0</v>
      </c>
      <c r="BA345" s="28">
        <f>SUMIF('Lease Cycles'!$HL$27:$HR$27,BA$6,'Lease Cycles'!$HS$27:$HY$27)</f>
        <v>0</v>
      </c>
      <c r="BB345" s="28">
        <f>SUMIF('Lease Cycles'!$HL$27:$HR$27,BB$6,'Lease Cycles'!$HS$27:$HY$27)</f>
        <v>0</v>
      </c>
      <c r="BC345" s="28">
        <f>SUMIF('Lease Cycles'!$HL$27:$HR$27,BC$6,'Lease Cycles'!$HS$27:$HY$27)</f>
        <v>0</v>
      </c>
      <c r="BD345" s="28">
        <f>SUMIF('Lease Cycles'!$HL$27:$HR$27,BD$6,'Lease Cycles'!$HS$27:$HY$27)</f>
        <v>0</v>
      </c>
      <c r="BE345" s="28">
        <f>SUMIF('Lease Cycles'!$HL$27:$HR$27,BE$6,'Lease Cycles'!$HS$27:$HY$27)</f>
        <v>0</v>
      </c>
      <c r="BF345" s="28">
        <f>SUMIF('Lease Cycles'!$HL$27:$HR$27,BF$6,'Lease Cycles'!$HS$27:$HY$27)</f>
        <v>0</v>
      </c>
      <c r="BG345" s="28">
        <f>SUMIF('Lease Cycles'!$HL$27:$HR$27,BG$6,'Lease Cycles'!$HS$27:$HY$27)</f>
        <v>0</v>
      </c>
      <c r="BH345" s="28">
        <f>SUMIF('Lease Cycles'!$HL$27:$HR$27,BH$6,'Lease Cycles'!$HS$27:$HY$27)</f>
        <v>0</v>
      </c>
      <c r="BI345" s="28">
        <f>SUMIF('Lease Cycles'!$HL$27:$HR$27,BI$6,'Lease Cycles'!$HS$27:$HY$27)</f>
        <v>0</v>
      </c>
      <c r="BJ345" s="28">
        <f>SUMIF('Lease Cycles'!$HL$27:$HR$27,BJ$6,'Lease Cycles'!$HS$27:$HY$27)</f>
        <v>0</v>
      </c>
      <c r="BK345" s="28">
        <f>SUMIF('Lease Cycles'!$HL$27:$HR$27,BK$6,'Lease Cycles'!$HS$27:$HY$27)</f>
        <v>0</v>
      </c>
      <c r="BL345" s="28">
        <f>SUMIF('Lease Cycles'!$HL$27:$HR$27,BL$6,'Lease Cycles'!$HS$27:$HY$27)</f>
        <v>0</v>
      </c>
      <c r="BM345" s="28">
        <f>SUMIF('Lease Cycles'!$HL$27:$HR$27,BM$6,'Lease Cycles'!$HS$27:$HY$27)</f>
        <v>0</v>
      </c>
      <c r="BN345" s="28">
        <f>SUMIF('Lease Cycles'!$HL$27:$HR$27,BN$6,'Lease Cycles'!$HS$27:$HY$27)</f>
        <v>0</v>
      </c>
      <c r="BO345" s="28">
        <f>SUMIF('Lease Cycles'!$HL$27:$HR$27,BO$6,'Lease Cycles'!$HS$27:$HY$27)</f>
        <v>0</v>
      </c>
      <c r="BP345" s="28">
        <f>SUMIF('Lease Cycles'!$HL$27:$HR$27,BP$6,'Lease Cycles'!$HS$27:$HY$27)</f>
        <v>0</v>
      </c>
      <c r="BQ345" s="28">
        <f>SUMIF('Lease Cycles'!$HL$27:$HR$27,BQ$6,'Lease Cycles'!$HS$27:$HY$27)</f>
        <v>0</v>
      </c>
      <c r="BR345" s="28">
        <f>SUMIF('Lease Cycles'!$HL$27:$HR$27,BR$6,'Lease Cycles'!$HS$27:$HY$27)</f>
        <v>0</v>
      </c>
      <c r="BS345" s="28">
        <f>SUMIF('Lease Cycles'!$HL$27:$HR$27,BS$6,'Lease Cycles'!$HS$27:$HY$27)</f>
        <v>0</v>
      </c>
      <c r="BT345" s="28">
        <f>SUMIF('Lease Cycles'!$HL$27:$HR$27,BT$6,'Lease Cycles'!$HS$27:$HY$27)</f>
        <v>0</v>
      </c>
      <c r="BU345" s="28">
        <f>SUMIF('Lease Cycles'!$HL$27:$HR$27,BU$6,'Lease Cycles'!$HS$27:$HY$27)</f>
        <v>0</v>
      </c>
      <c r="BV345" s="28">
        <f>SUMIF('Lease Cycles'!$HL$27:$HR$27,BV$6,'Lease Cycles'!$HS$27:$HY$27)</f>
        <v>0</v>
      </c>
      <c r="BW345" s="28">
        <f>SUMIF('Lease Cycles'!$HL$27:$HR$27,BW$6,'Lease Cycles'!$HS$27:$HY$27)</f>
        <v>0</v>
      </c>
      <c r="BX345" s="28">
        <f>SUMIF('Lease Cycles'!$HL$27:$HR$27,BX$6,'Lease Cycles'!$HS$27:$HY$27)</f>
        <v>0</v>
      </c>
      <c r="BY345" s="28">
        <f>SUMIF('Lease Cycles'!$HL$27:$HR$27,BY$6,'Lease Cycles'!$HS$27:$HY$27)</f>
        <v>0</v>
      </c>
      <c r="BZ345" s="28">
        <f>SUMIF('Lease Cycles'!$HL$27:$HR$27,BZ$6,'Lease Cycles'!$HS$27:$HY$27)</f>
        <v>0</v>
      </c>
      <c r="CA345" s="28">
        <f>SUMIF('Lease Cycles'!$HL$27:$HR$27,CA$6,'Lease Cycles'!$HS$27:$HY$27)</f>
        <v>0</v>
      </c>
      <c r="CB345" s="28">
        <f>SUMIF('Lease Cycles'!$HL$27:$HR$27,CB$6,'Lease Cycles'!$HS$27:$HY$27)</f>
        <v>0</v>
      </c>
      <c r="CC345" s="28">
        <f>SUMIF('Lease Cycles'!$HL$27:$HR$27,CC$6,'Lease Cycles'!$HS$27:$HY$27)</f>
        <v>0</v>
      </c>
      <c r="CD345" s="28">
        <f>SUMIF('Lease Cycles'!$HL$27:$HR$27,CD$6,'Lease Cycles'!$HS$27:$HY$27)</f>
        <v>0</v>
      </c>
      <c r="CE345" s="28">
        <f>SUMIF('Lease Cycles'!$HL$27:$HR$27,CE$6,'Lease Cycles'!$HS$27:$HY$27)</f>
        <v>0</v>
      </c>
      <c r="CF345" s="28">
        <f>SUMIF('Lease Cycles'!$HL$27:$HR$27,CF$6,'Lease Cycles'!$HS$27:$HY$27)</f>
        <v>0</v>
      </c>
      <c r="CG345" s="28">
        <f>SUMIF('Lease Cycles'!$HL$27:$HR$27,CG$6,'Lease Cycles'!$HS$27:$HY$27)</f>
        <v>0</v>
      </c>
      <c r="CH345" s="28">
        <f>SUMIF('Lease Cycles'!$HL$27:$HR$27,CH$6,'Lease Cycles'!$HS$27:$HY$27)</f>
        <v>0</v>
      </c>
      <c r="CI345" s="28">
        <f>SUMIF('Lease Cycles'!$HL$27:$HR$27,CI$6,'Lease Cycles'!$HS$27:$HY$27)</f>
        <v>0</v>
      </c>
      <c r="CJ345" s="28">
        <f>SUMIF('Lease Cycles'!$HL$27:$HR$27,CJ$6,'Lease Cycles'!$HS$27:$HY$27)</f>
        <v>0</v>
      </c>
      <c r="CK345" s="28">
        <f>SUMIF('Lease Cycles'!$HL$27:$HR$27,CK$6,'Lease Cycles'!$HS$27:$HY$27)</f>
        <v>0</v>
      </c>
      <c r="CL345" s="28">
        <f>SUMIF('Lease Cycles'!$HL$27:$HR$27,CL$6,'Lease Cycles'!$HS$27:$HY$27)</f>
        <v>0</v>
      </c>
      <c r="CM345" s="28">
        <f>SUMIF('Lease Cycles'!$HL$27:$HR$27,CM$6,'Lease Cycles'!$HS$27:$HY$27)</f>
        <v>0</v>
      </c>
      <c r="CN345" s="28">
        <f>SUMIF('Lease Cycles'!$HL$27:$HR$27,CN$6,'Lease Cycles'!$HS$27:$HY$27)</f>
        <v>0</v>
      </c>
      <c r="CO345" s="28">
        <f>SUMIF('Lease Cycles'!$HL$27:$HR$27,CO$6,'Lease Cycles'!$HS$27:$HY$27)</f>
        <v>0</v>
      </c>
      <c r="CP345" s="28">
        <f>SUMIF('Lease Cycles'!$HL$27:$HR$27,CP$6,'Lease Cycles'!$HS$27:$HY$27)</f>
        <v>0</v>
      </c>
      <c r="CQ345" s="28">
        <f>SUMIF('Lease Cycles'!$HL$27:$HR$27,CQ$6,'Lease Cycles'!$HS$27:$HY$27)</f>
        <v>0</v>
      </c>
      <c r="CR345" s="28">
        <f>SUMIF('Lease Cycles'!$HL$27:$HR$27,CR$6,'Lease Cycles'!$HS$27:$HY$27)</f>
        <v>0</v>
      </c>
      <c r="CS345" s="28">
        <f>SUMIF('Lease Cycles'!$HL$27:$HR$27,CS$6,'Lease Cycles'!$HS$27:$HY$27)</f>
        <v>0</v>
      </c>
      <c r="CT345" s="28">
        <f>SUMIF('Lease Cycles'!$HL$27:$HR$27,CT$6,'Lease Cycles'!$HS$27:$HY$27)</f>
        <v>0</v>
      </c>
      <c r="CU345" s="28">
        <f>SUMIF('Lease Cycles'!$HL$27:$HR$27,CU$6,'Lease Cycles'!$HS$27:$HY$27)</f>
        <v>0</v>
      </c>
      <c r="CV345" s="28">
        <f>SUMIF('Lease Cycles'!$HL$27:$HR$27,CV$6,'Lease Cycles'!$HS$27:$HY$27)</f>
        <v>0</v>
      </c>
      <c r="CW345" s="28">
        <f>SUMIF('Lease Cycles'!$HL$27:$HR$27,CW$6,'Lease Cycles'!$HS$27:$HY$27)</f>
        <v>0</v>
      </c>
      <c r="CX345" s="28">
        <f>SUMIF('Lease Cycles'!$HL$27:$HR$27,CX$6,'Lease Cycles'!$HS$27:$HY$27)</f>
        <v>0</v>
      </c>
      <c r="CY345" s="28">
        <f>SUMIF('Lease Cycles'!$HL$27:$HR$27,CY$6,'Lease Cycles'!$HS$27:$HY$27)</f>
        <v>0</v>
      </c>
      <c r="CZ345" s="28">
        <f>SUMIF('Lease Cycles'!$HL$27:$HR$27,CZ$6,'Lease Cycles'!$HS$27:$HY$27)</f>
        <v>0</v>
      </c>
      <c r="DA345" s="28">
        <f>SUMIF('Lease Cycles'!$HL$27:$HR$27,DA$6,'Lease Cycles'!$HS$27:$HY$27)</f>
        <v>0</v>
      </c>
      <c r="DB345" s="28">
        <f>SUMIF('Lease Cycles'!$HL$27:$HR$27,DB$6,'Lease Cycles'!$HS$27:$HY$27)</f>
        <v>0</v>
      </c>
      <c r="DC345" s="28">
        <f>SUMIF('Lease Cycles'!$HL$27:$HR$27,DC$6,'Lease Cycles'!$HS$27:$HY$27)</f>
        <v>0</v>
      </c>
      <c r="DD345" s="28">
        <f>SUMIF('Lease Cycles'!$HL$27:$HR$27,DD$6,'Lease Cycles'!$HS$27:$HY$27)</f>
        <v>0</v>
      </c>
      <c r="DE345" s="28">
        <f>SUMIF('Lease Cycles'!$HL$27:$HR$27,DE$6,'Lease Cycles'!$HS$27:$HY$27)</f>
        <v>0</v>
      </c>
      <c r="DF345" s="28">
        <f>SUMIF('Lease Cycles'!$HL$27:$HR$27,DF$6,'Lease Cycles'!$HS$27:$HY$27)</f>
        <v>0</v>
      </c>
      <c r="DG345" s="28">
        <f>SUMIF('Lease Cycles'!$HL$27:$HR$27,DG$6,'Lease Cycles'!$HS$27:$HY$27)</f>
        <v>0</v>
      </c>
      <c r="DH345" s="28">
        <f>SUMIF('Lease Cycles'!$HL$27:$HR$27,DH$6,'Lease Cycles'!$HS$27:$HY$27)</f>
        <v>0</v>
      </c>
      <c r="DI345" s="28">
        <f>SUMIF('Lease Cycles'!$HL$27:$HR$27,DI$6,'Lease Cycles'!$HS$27:$HY$27)</f>
        <v>0</v>
      </c>
      <c r="DJ345" s="28">
        <f>SUMIF('Lease Cycles'!$HL$27:$HR$27,DJ$6,'Lease Cycles'!$HS$27:$HY$27)</f>
        <v>0</v>
      </c>
      <c r="DK345" s="28">
        <f>SUMIF('Lease Cycles'!$HL$27:$HR$27,DK$6,'Lease Cycles'!$HS$27:$HY$27)</f>
        <v>0</v>
      </c>
      <c r="DL345" s="28">
        <f>SUMIF('Lease Cycles'!$HL$27:$HR$27,DL$6,'Lease Cycles'!$HS$27:$HY$27)</f>
        <v>0</v>
      </c>
      <c r="DM345" s="28">
        <f>SUMIF('Lease Cycles'!$HL$27:$HR$27,DM$6,'Lease Cycles'!$HS$27:$HY$27)</f>
        <v>0</v>
      </c>
      <c r="DN345" s="28">
        <f>SUMIF('Lease Cycles'!$HL$27:$HR$27,DN$6,'Lease Cycles'!$HS$27:$HY$27)</f>
        <v>0</v>
      </c>
      <c r="DO345" s="28">
        <f>SUMIF('Lease Cycles'!$HL$27:$HR$27,DO$6,'Lease Cycles'!$HS$27:$HY$27)</f>
        <v>0</v>
      </c>
      <c r="DP345" s="28">
        <f>SUMIF('Lease Cycles'!$HL$27:$HR$27,DP$6,'Lease Cycles'!$HS$27:$HY$27)</f>
        <v>0</v>
      </c>
      <c r="DQ345" s="28">
        <f>SUMIF('Lease Cycles'!$HL$27:$HR$27,DQ$6,'Lease Cycles'!$HS$27:$HY$27)</f>
        <v>0</v>
      </c>
      <c r="DR345" s="28">
        <f>SUMIF('Lease Cycles'!$HL$27:$HR$27,DR$6,'Lease Cycles'!$HS$27:$HY$27)</f>
        <v>0</v>
      </c>
      <c r="DS345" s="28">
        <f>SUMIF('Lease Cycles'!$HL$27:$HR$27,DS$6,'Lease Cycles'!$HS$27:$HY$27)</f>
        <v>0</v>
      </c>
      <c r="DT345" s="28">
        <f>SUMIF('Lease Cycles'!$HL$27:$HR$27,DT$6,'Lease Cycles'!$HS$27:$HY$27)</f>
        <v>0</v>
      </c>
      <c r="DU345" s="28">
        <f>SUMIF('Lease Cycles'!$HL$27:$HR$27,DU$6,'Lease Cycles'!$HS$27:$HY$27)</f>
        <v>0</v>
      </c>
      <c r="DV345" s="28">
        <f>SUMIF('Lease Cycles'!$HL$27:$HR$27,DV$6,'Lease Cycles'!$HS$27:$HY$27)</f>
        <v>0</v>
      </c>
      <c r="DW345" s="28">
        <f>SUMIF('Lease Cycles'!$HL$27:$HR$27,DW$6,'Lease Cycles'!$HS$27:$HY$27)</f>
        <v>0</v>
      </c>
      <c r="DX345" s="28">
        <f>SUMIF('Lease Cycles'!$HL$27:$HR$27,DX$6,'Lease Cycles'!$HS$27:$HY$27)</f>
        <v>0</v>
      </c>
      <c r="DY345" s="28">
        <f>SUMIF('Lease Cycles'!$HL$27:$HR$27,DY$6,'Lease Cycles'!$HS$27:$HY$27)</f>
        <v>0</v>
      </c>
      <c r="DZ345" s="28">
        <f>SUMIF('Lease Cycles'!$HL$27:$HR$27,DZ$6,'Lease Cycles'!$HS$27:$HY$27)</f>
        <v>0</v>
      </c>
      <c r="EA345" s="28">
        <f>SUMIF('Lease Cycles'!$HL$27:$HR$27,EA$6,'Lease Cycles'!$HS$27:$HY$27)</f>
        <v>0</v>
      </c>
      <c r="EB345" s="28">
        <f>SUMIF('Lease Cycles'!$HL$27:$HR$27,EB$6,'Lease Cycles'!$HS$27:$HY$27)</f>
        <v>0</v>
      </c>
      <c r="EC345" s="28">
        <f>SUMIF('Lease Cycles'!$HL$27:$HR$27,EC$6,'Lease Cycles'!$HS$27:$HY$27)</f>
        <v>0</v>
      </c>
      <c r="ED345" s="28">
        <f>SUMIF('Lease Cycles'!$HL$27:$HR$27,ED$6,'Lease Cycles'!$HS$27:$HY$27)</f>
        <v>0</v>
      </c>
      <c r="EE345" s="28">
        <f>SUMIF('Lease Cycles'!$HL$27:$HR$27,EE$6,'Lease Cycles'!$HS$27:$HY$27)</f>
        <v>0</v>
      </c>
      <c r="EF345" s="28">
        <f>SUMIF('Lease Cycles'!$HL$27:$HR$27,EF$6,'Lease Cycles'!$HS$27:$HY$27)</f>
        <v>0</v>
      </c>
      <c r="EG345" s="28">
        <f>SUMIF('Lease Cycles'!$HL$27:$HR$27,EG$6,'Lease Cycles'!$HS$27:$HY$27)</f>
        <v>0</v>
      </c>
      <c r="EH345" s="28">
        <f>SUMIF('Lease Cycles'!$HL$27:$HR$27,EH$6,'Lease Cycles'!$HS$27:$HY$27)</f>
        <v>0</v>
      </c>
      <c r="EI345" s="28">
        <f>SUMIF('Lease Cycles'!$HL$27:$HR$27,EI$6,'Lease Cycles'!$HS$27:$HY$27)</f>
        <v>0</v>
      </c>
      <c r="EJ345" s="28">
        <f>SUMIF('Lease Cycles'!$HL$27:$HR$27,EJ$6,'Lease Cycles'!$HS$27:$HY$27)</f>
        <v>0</v>
      </c>
      <c r="EK345" s="28">
        <f>SUMIF('Lease Cycles'!$HL$27:$HR$27,EK$6,'Lease Cycles'!$HS$27:$HY$27)</f>
        <v>0</v>
      </c>
      <c r="EL345" s="28">
        <f>SUMIF('Lease Cycles'!$HL$27:$HR$27,EL$6,'Lease Cycles'!$HS$27:$HY$27)</f>
        <v>0</v>
      </c>
      <c r="EM345" s="28">
        <f>SUMIF('Lease Cycles'!$HL$27:$HR$27,EM$6,'Lease Cycles'!$HS$27:$HY$27)</f>
        <v>0</v>
      </c>
      <c r="EN345" s="28">
        <f>SUMIF('Lease Cycles'!$HL$27:$HR$27,EN$6,'Lease Cycles'!$HS$27:$HY$27)</f>
        <v>0</v>
      </c>
      <c r="EO345" s="28">
        <f>SUMIF('Lease Cycles'!$HL$27:$HR$27,EO$6,'Lease Cycles'!$HS$27:$HY$27)</f>
        <v>0</v>
      </c>
      <c r="EP345" s="28">
        <f>SUMIF('Lease Cycles'!$HL$27:$HR$27,EP$6,'Lease Cycles'!$HS$27:$HY$27)</f>
        <v>0</v>
      </c>
      <c r="EQ345" s="28">
        <f>SUMIF('Lease Cycles'!$HL$27:$HR$27,EQ$6,'Lease Cycles'!$HS$27:$HY$27)</f>
        <v>0</v>
      </c>
      <c r="ER345" s="28">
        <f>SUMIF('Lease Cycles'!$HL$27:$HR$27,ER$6,'Lease Cycles'!$HS$27:$HY$27)</f>
        <v>0</v>
      </c>
      <c r="ES345" s="28">
        <f>SUMIF('Lease Cycles'!$HL$27:$HR$27,ES$6,'Lease Cycles'!$HS$27:$HY$27)</f>
        <v>0</v>
      </c>
      <c r="ET345" s="28">
        <f>SUMIF('Lease Cycles'!$HL$27:$HR$27,ET$6,'Lease Cycles'!$HS$27:$HY$27)</f>
        <v>0</v>
      </c>
    </row>
    <row r="346">
      <c r="A346" s="103">
        <v>20</v>
      </c>
      <c r="B346" s="23" t="str">
        <f>IF('Lease Cycles'!$B$27="","(empty slot)",'Lease Cycles'!$B$27)</f>
        <v>(empty slot)</v>
      </c>
      <c r="C346" s="23" t="s">
        <v>532</v>
      </c>
      <c r="D346" s="104" t="s">
        <v>533</v>
      </c>
      <c r="E346" s="25">
        <f>'Lease Cycles'!$AL$27</f>
        <v>0</v>
      </c>
      <c r="G346" s="28">
        <f>SUM(S346:AD346)</f>
        <v>0</v>
      </c>
      <c r="H346" s="28">
        <f>SUM(AE346:AP346)</f>
        <v>0</v>
      </c>
      <c r="I346" s="28">
        <f>SUM(AQ346:BB346)</f>
        <v>0</v>
      </c>
      <c r="J346" s="28">
        <f>SUM(BC346:BN346)</f>
        <v>0</v>
      </c>
      <c r="K346" s="28">
        <f>SUM(BO346:BZ346)</f>
        <v>0</v>
      </c>
      <c r="L346" s="28">
        <f>SUM(CA346:CL346)</f>
        <v>0</v>
      </c>
      <c r="M346" s="28">
        <f>SUM(CM346:CX346)</f>
        <v>0</v>
      </c>
      <c r="N346" s="28">
        <f>SUM(CY346:DJ346)</f>
        <v>0</v>
      </c>
      <c r="O346" s="28">
        <f>SUM(DK346:DV346)</f>
        <v>0</v>
      </c>
      <c r="P346" s="28">
        <f>SUM(DW346:EH346)</f>
        <v>0</v>
      </c>
      <c r="Q346" s="28">
        <f>SUM(EI346:ET346)</f>
        <v>0</v>
      </c>
      <c r="S346" s="28">
        <f>SUMIF('Lease Cycles'!$HL$27:$HR$27,S$6,'Lease Cycles'!$HZ$27:$IF$27)</f>
        <v>0</v>
      </c>
      <c r="T346" s="28">
        <f>SUMIF('Lease Cycles'!$HL$27:$HR$27,T$6,'Lease Cycles'!$HZ$27:$IF$27)</f>
        <v>0</v>
      </c>
      <c r="U346" s="28">
        <f>SUMIF('Lease Cycles'!$HL$27:$HR$27,U$6,'Lease Cycles'!$HZ$27:$IF$27)</f>
        <v>0</v>
      </c>
      <c r="V346" s="28">
        <f>SUMIF('Lease Cycles'!$HL$27:$HR$27,V$6,'Lease Cycles'!$HZ$27:$IF$27)</f>
        <v>0</v>
      </c>
      <c r="W346" s="28">
        <f>SUMIF('Lease Cycles'!$HL$27:$HR$27,W$6,'Lease Cycles'!$HZ$27:$IF$27)</f>
        <v>0</v>
      </c>
      <c r="X346" s="28">
        <f>SUMIF('Lease Cycles'!$HL$27:$HR$27,X$6,'Lease Cycles'!$HZ$27:$IF$27)</f>
        <v>0</v>
      </c>
      <c r="Y346" s="28">
        <f>SUMIF('Lease Cycles'!$HL$27:$HR$27,Y$6,'Lease Cycles'!$HZ$27:$IF$27)</f>
        <v>0</v>
      </c>
      <c r="Z346" s="28">
        <f>SUMIF('Lease Cycles'!$HL$27:$HR$27,Z$6,'Lease Cycles'!$HZ$27:$IF$27)</f>
        <v>0</v>
      </c>
      <c r="AA346" s="28">
        <f>SUMIF('Lease Cycles'!$HL$27:$HR$27,AA$6,'Lease Cycles'!$HZ$27:$IF$27)</f>
        <v>0</v>
      </c>
      <c r="AB346" s="28">
        <f>SUMIF('Lease Cycles'!$HL$27:$HR$27,AB$6,'Lease Cycles'!$HZ$27:$IF$27)</f>
        <v>0</v>
      </c>
      <c r="AC346" s="28">
        <f>SUMIF('Lease Cycles'!$HL$27:$HR$27,AC$6,'Lease Cycles'!$HZ$27:$IF$27)</f>
        <v>0</v>
      </c>
      <c r="AD346" s="28">
        <f>SUMIF('Lease Cycles'!$HL$27:$HR$27,AD$6,'Lease Cycles'!$HZ$27:$IF$27)</f>
        <v>0</v>
      </c>
      <c r="AE346" s="28">
        <f>SUMIF('Lease Cycles'!$HL$27:$HR$27,AE$6,'Lease Cycles'!$HZ$27:$IF$27)</f>
        <v>0</v>
      </c>
      <c r="AF346" s="28">
        <f>SUMIF('Lease Cycles'!$HL$27:$HR$27,AF$6,'Lease Cycles'!$HZ$27:$IF$27)</f>
        <v>0</v>
      </c>
      <c r="AG346" s="28">
        <f>SUMIF('Lease Cycles'!$HL$27:$HR$27,AG$6,'Lease Cycles'!$HZ$27:$IF$27)</f>
        <v>0</v>
      </c>
      <c r="AH346" s="28">
        <f>SUMIF('Lease Cycles'!$HL$27:$HR$27,AH$6,'Lease Cycles'!$HZ$27:$IF$27)</f>
        <v>0</v>
      </c>
      <c r="AI346" s="28">
        <f>SUMIF('Lease Cycles'!$HL$27:$HR$27,AI$6,'Lease Cycles'!$HZ$27:$IF$27)</f>
        <v>0</v>
      </c>
      <c r="AJ346" s="28">
        <f>SUMIF('Lease Cycles'!$HL$27:$HR$27,AJ$6,'Lease Cycles'!$HZ$27:$IF$27)</f>
        <v>0</v>
      </c>
      <c r="AK346" s="28">
        <f>SUMIF('Lease Cycles'!$HL$27:$HR$27,AK$6,'Lease Cycles'!$HZ$27:$IF$27)</f>
        <v>0</v>
      </c>
      <c r="AL346" s="28">
        <f>SUMIF('Lease Cycles'!$HL$27:$HR$27,AL$6,'Lease Cycles'!$HZ$27:$IF$27)</f>
        <v>0</v>
      </c>
      <c r="AM346" s="28">
        <f>SUMIF('Lease Cycles'!$HL$27:$HR$27,AM$6,'Lease Cycles'!$HZ$27:$IF$27)</f>
        <v>0</v>
      </c>
      <c r="AN346" s="28">
        <f>SUMIF('Lease Cycles'!$HL$27:$HR$27,AN$6,'Lease Cycles'!$HZ$27:$IF$27)</f>
        <v>0</v>
      </c>
      <c r="AO346" s="28">
        <f>SUMIF('Lease Cycles'!$HL$27:$HR$27,AO$6,'Lease Cycles'!$HZ$27:$IF$27)</f>
        <v>0</v>
      </c>
      <c r="AP346" s="28">
        <f>SUMIF('Lease Cycles'!$HL$27:$HR$27,AP$6,'Lease Cycles'!$HZ$27:$IF$27)</f>
        <v>0</v>
      </c>
      <c r="AQ346" s="28">
        <f>SUMIF('Lease Cycles'!$HL$27:$HR$27,AQ$6,'Lease Cycles'!$HZ$27:$IF$27)</f>
        <v>0</v>
      </c>
      <c r="AR346" s="28">
        <f>SUMIF('Lease Cycles'!$HL$27:$HR$27,AR$6,'Lease Cycles'!$HZ$27:$IF$27)</f>
        <v>0</v>
      </c>
      <c r="AS346" s="28">
        <f>SUMIF('Lease Cycles'!$HL$27:$HR$27,AS$6,'Lease Cycles'!$HZ$27:$IF$27)</f>
        <v>0</v>
      </c>
      <c r="AT346" s="28">
        <f>SUMIF('Lease Cycles'!$HL$27:$HR$27,AT$6,'Lease Cycles'!$HZ$27:$IF$27)</f>
        <v>0</v>
      </c>
      <c r="AU346" s="28">
        <f>SUMIF('Lease Cycles'!$HL$27:$HR$27,AU$6,'Lease Cycles'!$HZ$27:$IF$27)</f>
        <v>0</v>
      </c>
      <c r="AV346" s="28">
        <f>SUMIF('Lease Cycles'!$HL$27:$HR$27,AV$6,'Lease Cycles'!$HZ$27:$IF$27)</f>
        <v>0</v>
      </c>
      <c r="AW346" s="28">
        <f>SUMIF('Lease Cycles'!$HL$27:$HR$27,AW$6,'Lease Cycles'!$HZ$27:$IF$27)</f>
        <v>0</v>
      </c>
      <c r="AX346" s="28">
        <f>SUMIF('Lease Cycles'!$HL$27:$HR$27,AX$6,'Lease Cycles'!$HZ$27:$IF$27)</f>
        <v>0</v>
      </c>
      <c r="AY346" s="28">
        <f>SUMIF('Lease Cycles'!$HL$27:$HR$27,AY$6,'Lease Cycles'!$HZ$27:$IF$27)</f>
        <v>0</v>
      </c>
      <c r="AZ346" s="28">
        <f>SUMIF('Lease Cycles'!$HL$27:$HR$27,AZ$6,'Lease Cycles'!$HZ$27:$IF$27)</f>
        <v>0</v>
      </c>
      <c r="BA346" s="28">
        <f>SUMIF('Lease Cycles'!$HL$27:$HR$27,BA$6,'Lease Cycles'!$HZ$27:$IF$27)</f>
        <v>0</v>
      </c>
      <c r="BB346" s="28">
        <f>SUMIF('Lease Cycles'!$HL$27:$HR$27,BB$6,'Lease Cycles'!$HZ$27:$IF$27)</f>
        <v>0</v>
      </c>
      <c r="BC346" s="28">
        <f>SUMIF('Lease Cycles'!$HL$27:$HR$27,BC$6,'Lease Cycles'!$HZ$27:$IF$27)</f>
        <v>0</v>
      </c>
      <c r="BD346" s="28">
        <f>SUMIF('Lease Cycles'!$HL$27:$HR$27,BD$6,'Lease Cycles'!$HZ$27:$IF$27)</f>
        <v>0</v>
      </c>
      <c r="BE346" s="28">
        <f>SUMIF('Lease Cycles'!$HL$27:$HR$27,BE$6,'Lease Cycles'!$HZ$27:$IF$27)</f>
        <v>0</v>
      </c>
      <c r="BF346" s="28">
        <f>SUMIF('Lease Cycles'!$HL$27:$HR$27,BF$6,'Lease Cycles'!$HZ$27:$IF$27)</f>
        <v>0</v>
      </c>
      <c r="BG346" s="28">
        <f>SUMIF('Lease Cycles'!$HL$27:$HR$27,BG$6,'Lease Cycles'!$HZ$27:$IF$27)</f>
        <v>0</v>
      </c>
      <c r="BH346" s="28">
        <f>SUMIF('Lease Cycles'!$HL$27:$HR$27,BH$6,'Lease Cycles'!$HZ$27:$IF$27)</f>
        <v>0</v>
      </c>
      <c r="BI346" s="28">
        <f>SUMIF('Lease Cycles'!$HL$27:$HR$27,BI$6,'Lease Cycles'!$HZ$27:$IF$27)</f>
        <v>0</v>
      </c>
      <c r="BJ346" s="28">
        <f>SUMIF('Lease Cycles'!$HL$27:$HR$27,BJ$6,'Lease Cycles'!$HZ$27:$IF$27)</f>
        <v>0</v>
      </c>
      <c r="BK346" s="28">
        <f>SUMIF('Lease Cycles'!$HL$27:$HR$27,BK$6,'Lease Cycles'!$HZ$27:$IF$27)</f>
        <v>0</v>
      </c>
      <c r="BL346" s="28">
        <f>SUMIF('Lease Cycles'!$HL$27:$HR$27,BL$6,'Lease Cycles'!$HZ$27:$IF$27)</f>
        <v>0</v>
      </c>
      <c r="BM346" s="28">
        <f>SUMIF('Lease Cycles'!$HL$27:$HR$27,BM$6,'Lease Cycles'!$HZ$27:$IF$27)</f>
        <v>0</v>
      </c>
      <c r="BN346" s="28">
        <f>SUMIF('Lease Cycles'!$HL$27:$HR$27,BN$6,'Lease Cycles'!$HZ$27:$IF$27)</f>
        <v>0</v>
      </c>
      <c r="BO346" s="28">
        <f>SUMIF('Lease Cycles'!$HL$27:$HR$27,BO$6,'Lease Cycles'!$HZ$27:$IF$27)</f>
        <v>0</v>
      </c>
      <c r="BP346" s="28">
        <f>SUMIF('Lease Cycles'!$HL$27:$HR$27,BP$6,'Lease Cycles'!$HZ$27:$IF$27)</f>
        <v>0</v>
      </c>
      <c r="BQ346" s="28">
        <f>SUMIF('Lease Cycles'!$HL$27:$HR$27,BQ$6,'Lease Cycles'!$HZ$27:$IF$27)</f>
        <v>0</v>
      </c>
      <c r="BR346" s="28">
        <f>SUMIF('Lease Cycles'!$HL$27:$HR$27,BR$6,'Lease Cycles'!$HZ$27:$IF$27)</f>
        <v>0</v>
      </c>
      <c r="BS346" s="28">
        <f>SUMIF('Lease Cycles'!$HL$27:$HR$27,BS$6,'Lease Cycles'!$HZ$27:$IF$27)</f>
        <v>0</v>
      </c>
      <c r="BT346" s="28">
        <f>SUMIF('Lease Cycles'!$HL$27:$HR$27,BT$6,'Lease Cycles'!$HZ$27:$IF$27)</f>
        <v>0</v>
      </c>
      <c r="BU346" s="28">
        <f>SUMIF('Lease Cycles'!$HL$27:$HR$27,BU$6,'Lease Cycles'!$HZ$27:$IF$27)</f>
        <v>0</v>
      </c>
      <c r="BV346" s="28">
        <f>SUMIF('Lease Cycles'!$HL$27:$HR$27,BV$6,'Lease Cycles'!$HZ$27:$IF$27)</f>
        <v>0</v>
      </c>
      <c r="BW346" s="28">
        <f>SUMIF('Lease Cycles'!$HL$27:$HR$27,BW$6,'Lease Cycles'!$HZ$27:$IF$27)</f>
        <v>0</v>
      </c>
      <c r="BX346" s="28">
        <f>SUMIF('Lease Cycles'!$HL$27:$HR$27,BX$6,'Lease Cycles'!$HZ$27:$IF$27)</f>
        <v>0</v>
      </c>
      <c r="BY346" s="28">
        <f>SUMIF('Lease Cycles'!$HL$27:$HR$27,BY$6,'Lease Cycles'!$HZ$27:$IF$27)</f>
        <v>0</v>
      </c>
      <c r="BZ346" s="28">
        <f>SUMIF('Lease Cycles'!$HL$27:$HR$27,BZ$6,'Lease Cycles'!$HZ$27:$IF$27)</f>
        <v>0</v>
      </c>
      <c r="CA346" s="28">
        <f>SUMIF('Lease Cycles'!$HL$27:$HR$27,CA$6,'Lease Cycles'!$HZ$27:$IF$27)</f>
        <v>0</v>
      </c>
      <c r="CB346" s="28">
        <f>SUMIF('Lease Cycles'!$HL$27:$HR$27,CB$6,'Lease Cycles'!$HZ$27:$IF$27)</f>
        <v>0</v>
      </c>
      <c r="CC346" s="28">
        <f>SUMIF('Lease Cycles'!$HL$27:$HR$27,CC$6,'Lease Cycles'!$HZ$27:$IF$27)</f>
        <v>0</v>
      </c>
      <c r="CD346" s="28">
        <f>SUMIF('Lease Cycles'!$HL$27:$HR$27,CD$6,'Lease Cycles'!$HZ$27:$IF$27)</f>
        <v>0</v>
      </c>
      <c r="CE346" s="28">
        <f>SUMIF('Lease Cycles'!$HL$27:$HR$27,CE$6,'Lease Cycles'!$HZ$27:$IF$27)</f>
        <v>0</v>
      </c>
      <c r="CF346" s="28">
        <f>SUMIF('Lease Cycles'!$HL$27:$HR$27,CF$6,'Lease Cycles'!$HZ$27:$IF$27)</f>
        <v>0</v>
      </c>
      <c r="CG346" s="28">
        <f>SUMIF('Lease Cycles'!$HL$27:$HR$27,CG$6,'Lease Cycles'!$HZ$27:$IF$27)</f>
        <v>0</v>
      </c>
      <c r="CH346" s="28">
        <f>SUMIF('Lease Cycles'!$HL$27:$HR$27,CH$6,'Lease Cycles'!$HZ$27:$IF$27)</f>
        <v>0</v>
      </c>
      <c r="CI346" s="28">
        <f>SUMIF('Lease Cycles'!$HL$27:$HR$27,CI$6,'Lease Cycles'!$HZ$27:$IF$27)</f>
        <v>0</v>
      </c>
      <c r="CJ346" s="28">
        <f>SUMIF('Lease Cycles'!$HL$27:$HR$27,CJ$6,'Lease Cycles'!$HZ$27:$IF$27)</f>
        <v>0</v>
      </c>
      <c r="CK346" s="28">
        <f>SUMIF('Lease Cycles'!$HL$27:$HR$27,CK$6,'Lease Cycles'!$HZ$27:$IF$27)</f>
        <v>0</v>
      </c>
      <c r="CL346" s="28">
        <f>SUMIF('Lease Cycles'!$HL$27:$HR$27,CL$6,'Lease Cycles'!$HZ$27:$IF$27)</f>
        <v>0</v>
      </c>
      <c r="CM346" s="28">
        <f>SUMIF('Lease Cycles'!$HL$27:$HR$27,CM$6,'Lease Cycles'!$HZ$27:$IF$27)</f>
        <v>0</v>
      </c>
      <c r="CN346" s="28">
        <f>SUMIF('Lease Cycles'!$HL$27:$HR$27,CN$6,'Lease Cycles'!$HZ$27:$IF$27)</f>
        <v>0</v>
      </c>
      <c r="CO346" s="28">
        <f>SUMIF('Lease Cycles'!$HL$27:$HR$27,CO$6,'Lease Cycles'!$HZ$27:$IF$27)</f>
        <v>0</v>
      </c>
      <c r="CP346" s="28">
        <f>SUMIF('Lease Cycles'!$HL$27:$HR$27,CP$6,'Lease Cycles'!$HZ$27:$IF$27)</f>
        <v>0</v>
      </c>
      <c r="CQ346" s="28">
        <f>SUMIF('Lease Cycles'!$HL$27:$HR$27,CQ$6,'Lease Cycles'!$HZ$27:$IF$27)</f>
        <v>0</v>
      </c>
      <c r="CR346" s="28">
        <f>SUMIF('Lease Cycles'!$HL$27:$HR$27,CR$6,'Lease Cycles'!$HZ$27:$IF$27)</f>
        <v>0</v>
      </c>
      <c r="CS346" s="28">
        <f>SUMIF('Lease Cycles'!$HL$27:$HR$27,CS$6,'Lease Cycles'!$HZ$27:$IF$27)</f>
        <v>0</v>
      </c>
      <c r="CT346" s="28">
        <f>SUMIF('Lease Cycles'!$HL$27:$HR$27,CT$6,'Lease Cycles'!$HZ$27:$IF$27)</f>
        <v>0</v>
      </c>
      <c r="CU346" s="28">
        <f>SUMIF('Lease Cycles'!$HL$27:$HR$27,CU$6,'Lease Cycles'!$HZ$27:$IF$27)</f>
        <v>0</v>
      </c>
      <c r="CV346" s="28">
        <f>SUMIF('Lease Cycles'!$HL$27:$HR$27,CV$6,'Lease Cycles'!$HZ$27:$IF$27)</f>
        <v>0</v>
      </c>
      <c r="CW346" s="28">
        <f>SUMIF('Lease Cycles'!$HL$27:$HR$27,CW$6,'Lease Cycles'!$HZ$27:$IF$27)</f>
        <v>0</v>
      </c>
      <c r="CX346" s="28">
        <f>SUMIF('Lease Cycles'!$HL$27:$HR$27,CX$6,'Lease Cycles'!$HZ$27:$IF$27)</f>
        <v>0</v>
      </c>
      <c r="CY346" s="28">
        <f>SUMIF('Lease Cycles'!$HL$27:$HR$27,CY$6,'Lease Cycles'!$HZ$27:$IF$27)</f>
        <v>0</v>
      </c>
      <c r="CZ346" s="28">
        <f>SUMIF('Lease Cycles'!$HL$27:$HR$27,CZ$6,'Lease Cycles'!$HZ$27:$IF$27)</f>
        <v>0</v>
      </c>
      <c r="DA346" s="28">
        <f>SUMIF('Lease Cycles'!$HL$27:$HR$27,DA$6,'Lease Cycles'!$HZ$27:$IF$27)</f>
        <v>0</v>
      </c>
      <c r="DB346" s="28">
        <f>SUMIF('Lease Cycles'!$HL$27:$HR$27,DB$6,'Lease Cycles'!$HZ$27:$IF$27)</f>
        <v>0</v>
      </c>
      <c r="DC346" s="28">
        <f>SUMIF('Lease Cycles'!$HL$27:$HR$27,DC$6,'Lease Cycles'!$HZ$27:$IF$27)</f>
        <v>0</v>
      </c>
      <c r="DD346" s="28">
        <f>SUMIF('Lease Cycles'!$HL$27:$HR$27,DD$6,'Lease Cycles'!$HZ$27:$IF$27)</f>
        <v>0</v>
      </c>
      <c r="DE346" s="28">
        <f>SUMIF('Lease Cycles'!$HL$27:$HR$27,DE$6,'Lease Cycles'!$HZ$27:$IF$27)</f>
        <v>0</v>
      </c>
      <c r="DF346" s="28">
        <f>SUMIF('Lease Cycles'!$HL$27:$HR$27,DF$6,'Lease Cycles'!$HZ$27:$IF$27)</f>
        <v>0</v>
      </c>
      <c r="DG346" s="28">
        <f>SUMIF('Lease Cycles'!$HL$27:$HR$27,DG$6,'Lease Cycles'!$HZ$27:$IF$27)</f>
        <v>0</v>
      </c>
      <c r="DH346" s="28">
        <f>SUMIF('Lease Cycles'!$HL$27:$HR$27,DH$6,'Lease Cycles'!$HZ$27:$IF$27)</f>
        <v>0</v>
      </c>
      <c r="DI346" s="28">
        <f>SUMIF('Lease Cycles'!$HL$27:$HR$27,DI$6,'Lease Cycles'!$HZ$27:$IF$27)</f>
        <v>0</v>
      </c>
      <c r="DJ346" s="28">
        <f>SUMIF('Lease Cycles'!$HL$27:$HR$27,DJ$6,'Lease Cycles'!$HZ$27:$IF$27)</f>
        <v>0</v>
      </c>
      <c r="DK346" s="28">
        <f>SUMIF('Lease Cycles'!$HL$27:$HR$27,DK$6,'Lease Cycles'!$HZ$27:$IF$27)</f>
        <v>0</v>
      </c>
      <c r="DL346" s="28">
        <f>SUMIF('Lease Cycles'!$HL$27:$HR$27,DL$6,'Lease Cycles'!$HZ$27:$IF$27)</f>
        <v>0</v>
      </c>
      <c r="DM346" s="28">
        <f>SUMIF('Lease Cycles'!$HL$27:$HR$27,DM$6,'Lease Cycles'!$HZ$27:$IF$27)</f>
        <v>0</v>
      </c>
      <c r="DN346" s="28">
        <f>SUMIF('Lease Cycles'!$HL$27:$HR$27,DN$6,'Lease Cycles'!$HZ$27:$IF$27)</f>
        <v>0</v>
      </c>
      <c r="DO346" s="28">
        <f>SUMIF('Lease Cycles'!$HL$27:$HR$27,DO$6,'Lease Cycles'!$HZ$27:$IF$27)</f>
        <v>0</v>
      </c>
      <c r="DP346" s="28">
        <f>SUMIF('Lease Cycles'!$HL$27:$HR$27,DP$6,'Lease Cycles'!$HZ$27:$IF$27)</f>
        <v>0</v>
      </c>
      <c r="DQ346" s="28">
        <f>SUMIF('Lease Cycles'!$HL$27:$HR$27,DQ$6,'Lease Cycles'!$HZ$27:$IF$27)</f>
        <v>0</v>
      </c>
      <c r="DR346" s="28">
        <f>SUMIF('Lease Cycles'!$HL$27:$HR$27,DR$6,'Lease Cycles'!$HZ$27:$IF$27)</f>
        <v>0</v>
      </c>
      <c r="DS346" s="28">
        <f>SUMIF('Lease Cycles'!$HL$27:$HR$27,DS$6,'Lease Cycles'!$HZ$27:$IF$27)</f>
        <v>0</v>
      </c>
      <c r="DT346" s="28">
        <f>SUMIF('Lease Cycles'!$HL$27:$HR$27,DT$6,'Lease Cycles'!$HZ$27:$IF$27)</f>
        <v>0</v>
      </c>
      <c r="DU346" s="28">
        <f>SUMIF('Lease Cycles'!$HL$27:$HR$27,DU$6,'Lease Cycles'!$HZ$27:$IF$27)</f>
        <v>0</v>
      </c>
      <c r="DV346" s="28">
        <f>SUMIF('Lease Cycles'!$HL$27:$HR$27,DV$6,'Lease Cycles'!$HZ$27:$IF$27)</f>
        <v>0</v>
      </c>
      <c r="DW346" s="28">
        <f>SUMIF('Lease Cycles'!$HL$27:$HR$27,DW$6,'Lease Cycles'!$HZ$27:$IF$27)</f>
        <v>0</v>
      </c>
      <c r="DX346" s="28">
        <f>SUMIF('Lease Cycles'!$HL$27:$HR$27,DX$6,'Lease Cycles'!$HZ$27:$IF$27)</f>
        <v>0</v>
      </c>
      <c r="DY346" s="28">
        <f>SUMIF('Lease Cycles'!$HL$27:$HR$27,DY$6,'Lease Cycles'!$HZ$27:$IF$27)</f>
        <v>0</v>
      </c>
      <c r="DZ346" s="28">
        <f>SUMIF('Lease Cycles'!$HL$27:$HR$27,DZ$6,'Lease Cycles'!$HZ$27:$IF$27)</f>
        <v>0</v>
      </c>
      <c r="EA346" s="28">
        <f>SUMIF('Lease Cycles'!$HL$27:$HR$27,EA$6,'Lease Cycles'!$HZ$27:$IF$27)</f>
        <v>0</v>
      </c>
      <c r="EB346" s="28">
        <f>SUMIF('Lease Cycles'!$HL$27:$HR$27,EB$6,'Lease Cycles'!$HZ$27:$IF$27)</f>
        <v>0</v>
      </c>
      <c r="EC346" s="28">
        <f>SUMIF('Lease Cycles'!$HL$27:$HR$27,EC$6,'Lease Cycles'!$HZ$27:$IF$27)</f>
        <v>0</v>
      </c>
      <c r="ED346" s="28">
        <f>SUMIF('Lease Cycles'!$HL$27:$HR$27,ED$6,'Lease Cycles'!$HZ$27:$IF$27)</f>
        <v>0</v>
      </c>
      <c r="EE346" s="28">
        <f>SUMIF('Lease Cycles'!$HL$27:$HR$27,EE$6,'Lease Cycles'!$HZ$27:$IF$27)</f>
        <v>0</v>
      </c>
      <c r="EF346" s="28">
        <f>SUMIF('Lease Cycles'!$HL$27:$HR$27,EF$6,'Lease Cycles'!$HZ$27:$IF$27)</f>
        <v>0</v>
      </c>
      <c r="EG346" s="28">
        <f>SUMIF('Lease Cycles'!$HL$27:$HR$27,EG$6,'Lease Cycles'!$HZ$27:$IF$27)</f>
        <v>0</v>
      </c>
      <c r="EH346" s="28">
        <f>SUMIF('Lease Cycles'!$HL$27:$HR$27,EH$6,'Lease Cycles'!$HZ$27:$IF$27)</f>
        <v>0</v>
      </c>
      <c r="EI346" s="28">
        <f>SUMIF('Lease Cycles'!$HL$27:$HR$27,EI$6,'Lease Cycles'!$HZ$27:$IF$27)</f>
        <v>0</v>
      </c>
      <c r="EJ346" s="28">
        <f>SUMIF('Lease Cycles'!$HL$27:$HR$27,EJ$6,'Lease Cycles'!$HZ$27:$IF$27)</f>
        <v>0</v>
      </c>
      <c r="EK346" s="28">
        <f>SUMIF('Lease Cycles'!$HL$27:$HR$27,EK$6,'Lease Cycles'!$HZ$27:$IF$27)</f>
        <v>0</v>
      </c>
      <c r="EL346" s="28">
        <f>SUMIF('Lease Cycles'!$HL$27:$HR$27,EL$6,'Lease Cycles'!$HZ$27:$IF$27)</f>
        <v>0</v>
      </c>
      <c r="EM346" s="28">
        <f>SUMIF('Lease Cycles'!$HL$27:$HR$27,EM$6,'Lease Cycles'!$HZ$27:$IF$27)</f>
        <v>0</v>
      </c>
      <c r="EN346" s="28">
        <f>SUMIF('Lease Cycles'!$HL$27:$HR$27,EN$6,'Lease Cycles'!$HZ$27:$IF$27)</f>
        <v>0</v>
      </c>
      <c r="EO346" s="28">
        <f>SUMIF('Lease Cycles'!$HL$27:$HR$27,EO$6,'Lease Cycles'!$HZ$27:$IF$27)</f>
        <v>0</v>
      </c>
      <c r="EP346" s="28">
        <f>SUMIF('Lease Cycles'!$HL$27:$HR$27,EP$6,'Lease Cycles'!$HZ$27:$IF$27)</f>
        <v>0</v>
      </c>
      <c r="EQ346" s="28">
        <f>SUMIF('Lease Cycles'!$HL$27:$HR$27,EQ$6,'Lease Cycles'!$HZ$27:$IF$27)</f>
        <v>0</v>
      </c>
      <c r="ER346" s="28">
        <f>SUMIF('Lease Cycles'!$HL$27:$HR$27,ER$6,'Lease Cycles'!$HZ$27:$IF$27)</f>
        <v>0</v>
      </c>
      <c r="ES346" s="28">
        <f>SUMIF('Lease Cycles'!$HL$27:$HR$27,ES$6,'Lease Cycles'!$HZ$27:$IF$27)</f>
        <v>0</v>
      </c>
      <c r="ET346" s="28">
        <f>SUMIF('Lease Cycles'!$HL$27:$HR$27,ET$6,'Lease Cycles'!$HZ$27:$IF$27)</f>
        <v>0</v>
      </c>
    </row>
    <row r="347">
      <c r="A347" s="103">
        <v>20</v>
      </c>
      <c r="B347" s="23" t="str">
        <f>IF('Lease Cycles'!$B$27="","(empty slot)",'Lease Cycles'!$B$27)</f>
        <v>(empty slot)</v>
      </c>
      <c r="C347" s="23" t="s">
        <v>691</v>
      </c>
      <c r="D347" s="104" t="s">
        <v>692</v>
      </c>
      <c r="E347" s="25">
        <f>'Lease Cycles'!$AL$27</f>
        <v>0</v>
      </c>
      <c r="G347" s="28">
        <f>SUM(S347:AD347)</f>
        <v>0</v>
      </c>
      <c r="H347" s="28">
        <f>SUM(AE347:AP347)</f>
        <v>0</v>
      </c>
      <c r="I347" s="28">
        <f>SUM(AQ347:BB347)</f>
        <v>0</v>
      </c>
      <c r="J347" s="28">
        <f>SUM(BC347:BN347)</f>
        <v>0</v>
      </c>
      <c r="K347" s="28">
        <f>SUM(BO347:BZ347)</f>
        <v>0</v>
      </c>
      <c r="L347" s="28">
        <f>SUM(CA347:CL347)</f>
        <v>0</v>
      </c>
      <c r="M347" s="28">
        <f>SUM(CM347:CX347)</f>
        <v>0</v>
      </c>
      <c r="N347" s="28">
        <f>SUM(CY347:DJ347)</f>
        <v>0</v>
      </c>
      <c r="O347" s="28">
        <f>SUM(DK347:DV347)</f>
        <v>0</v>
      </c>
      <c r="P347" s="28">
        <f>SUM(DW347:EH347)</f>
        <v>0</v>
      </c>
      <c r="Q347" s="28">
        <f>SUM(EI347:ET347)</f>
        <v>0</v>
      </c>
      <c r="S347" s="28">
        <f>IF(S$6='Lease Cycles'!$HL$27,'Lease Cycles'!$HS$27+'Lease Cycles'!$HZ$27,0)</f>
        <v>0</v>
      </c>
      <c r="T347" s="28">
        <f>IF(T$6='Lease Cycles'!$HL$27,'Lease Cycles'!$HS$27+'Lease Cycles'!$HZ$27,0)</f>
        <v>0</v>
      </c>
      <c r="U347" s="28">
        <f>IF(U$6='Lease Cycles'!$HL$27,'Lease Cycles'!$HS$27+'Lease Cycles'!$HZ$27,0)</f>
        <v>0</v>
      </c>
      <c r="V347" s="28">
        <f>IF(V$6='Lease Cycles'!$HL$27,'Lease Cycles'!$HS$27+'Lease Cycles'!$HZ$27,0)</f>
        <v>0</v>
      </c>
      <c r="W347" s="28">
        <f>IF(W$6='Lease Cycles'!$HL$27,'Lease Cycles'!$HS$27+'Lease Cycles'!$HZ$27,0)</f>
        <v>0</v>
      </c>
      <c r="X347" s="28">
        <f>IF(X$6='Lease Cycles'!$HL$27,'Lease Cycles'!$HS$27+'Lease Cycles'!$HZ$27,0)</f>
        <v>0</v>
      </c>
      <c r="Y347" s="28">
        <f>IF(Y$6='Lease Cycles'!$HL$27,'Lease Cycles'!$HS$27+'Lease Cycles'!$HZ$27,0)</f>
        <v>0</v>
      </c>
      <c r="Z347" s="28">
        <f>IF(Z$6='Lease Cycles'!$HL$27,'Lease Cycles'!$HS$27+'Lease Cycles'!$HZ$27,0)</f>
        <v>0</v>
      </c>
      <c r="AA347" s="28">
        <f>IF(AA$6='Lease Cycles'!$HL$27,'Lease Cycles'!$HS$27+'Lease Cycles'!$HZ$27,0)</f>
        <v>0</v>
      </c>
      <c r="AB347" s="28">
        <f>IF(AB$6='Lease Cycles'!$HL$27,'Lease Cycles'!$HS$27+'Lease Cycles'!$HZ$27,0)</f>
        <v>0</v>
      </c>
      <c r="AC347" s="28">
        <f>IF(AC$6='Lease Cycles'!$HL$27,'Lease Cycles'!$HS$27+'Lease Cycles'!$HZ$27,0)</f>
        <v>0</v>
      </c>
      <c r="AD347" s="28">
        <f>IF(AD$6='Lease Cycles'!$HL$27,'Lease Cycles'!$HS$27+'Lease Cycles'!$HZ$27,0)</f>
        <v>0</v>
      </c>
      <c r="AE347" s="28">
        <f>IF(AE$6='Lease Cycles'!$HL$27,'Lease Cycles'!$HS$27+'Lease Cycles'!$HZ$27,0)</f>
        <v>0</v>
      </c>
      <c r="AF347" s="28">
        <f>IF(AF$6='Lease Cycles'!$HL$27,'Lease Cycles'!$HS$27+'Lease Cycles'!$HZ$27,0)</f>
        <v>0</v>
      </c>
      <c r="AG347" s="28">
        <f>IF(AG$6='Lease Cycles'!$HL$27,'Lease Cycles'!$HS$27+'Lease Cycles'!$HZ$27,0)</f>
        <v>0</v>
      </c>
      <c r="AH347" s="28">
        <f>IF(AH$6='Lease Cycles'!$HL$27,'Lease Cycles'!$HS$27+'Lease Cycles'!$HZ$27,0)</f>
        <v>0</v>
      </c>
      <c r="AI347" s="28">
        <f>IF(AI$6='Lease Cycles'!$HL$27,'Lease Cycles'!$HS$27+'Lease Cycles'!$HZ$27,0)</f>
        <v>0</v>
      </c>
      <c r="AJ347" s="28">
        <f>IF(AJ$6='Lease Cycles'!$HL$27,'Lease Cycles'!$HS$27+'Lease Cycles'!$HZ$27,0)</f>
        <v>0</v>
      </c>
      <c r="AK347" s="28">
        <f>IF(AK$6='Lease Cycles'!$HL$27,'Lease Cycles'!$HS$27+'Lease Cycles'!$HZ$27,0)</f>
        <v>0</v>
      </c>
      <c r="AL347" s="28">
        <f>IF(AL$6='Lease Cycles'!$HL$27,'Lease Cycles'!$HS$27+'Lease Cycles'!$HZ$27,0)</f>
        <v>0</v>
      </c>
      <c r="AM347" s="28">
        <f>IF(AM$6='Lease Cycles'!$HL$27,'Lease Cycles'!$HS$27+'Lease Cycles'!$HZ$27,0)</f>
        <v>0</v>
      </c>
      <c r="AN347" s="28">
        <f>IF(AN$6='Lease Cycles'!$HL$27,'Lease Cycles'!$HS$27+'Lease Cycles'!$HZ$27,0)</f>
        <v>0</v>
      </c>
      <c r="AO347" s="28">
        <f>IF(AO$6='Lease Cycles'!$HL$27,'Lease Cycles'!$HS$27+'Lease Cycles'!$HZ$27,0)</f>
        <v>0</v>
      </c>
      <c r="AP347" s="28">
        <f>IF(AP$6='Lease Cycles'!$HL$27,'Lease Cycles'!$HS$27+'Lease Cycles'!$HZ$27,0)</f>
        <v>0</v>
      </c>
      <c r="AQ347" s="28">
        <f>IF(AQ$6='Lease Cycles'!$HL$27,'Lease Cycles'!$HS$27+'Lease Cycles'!$HZ$27,0)</f>
        <v>0</v>
      </c>
      <c r="AR347" s="28">
        <f>IF(AR$6='Lease Cycles'!$HL$27,'Lease Cycles'!$HS$27+'Lease Cycles'!$HZ$27,0)</f>
        <v>0</v>
      </c>
      <c r="AS347" s="28">
        <f>IF(AS$6='Lease Cycles'!$HL$27,'Lease Cycles'!$HS$27+'Lease Cycles'!$HZ$27,0)</f>
        <v>0</v>
      </c>
      <c r="AT347" s="28">
        <f>IF(AT$6='Lease Cycles'!$HL$27,'Lease Cycles'!$HS$27+'Lease Cycles'!$HZ$27,0)</f>
        <v>0</v>
      </c>
      <c r="AU347" s="28">
        <f>IF(AU$6='Lease Cycles'!$HL$27,'Lease Cycles'!$HS$27+'Lease Cycles'!$HZ$27,0)</f>
        <v>0</v>
      </c>
      <c r="AV347" s="28">
        <f>IF(AV$6='Lease Cycles'!$HL$27,'Lease Cycles'!$HS$27+'Lease Cycles'!$HZ$27,0)</f>
        <v>0</v>
      </c>
      <c r="AW347" s="28">
        <f>IF(AW$6='Lease Cycles'!$HL$27,'Lease Cycles'!$HS$27+'Lease Cycles'!$HZ$27,0)</f>
        <v>0</v>
      </c>
      <c r="AX347" s="28">
        <f>IF(AX$6='Lease Cycles'!$HL$27,'Lease Cycles'!$HS$27+'Lease Cycles'!$HZ$27,0)</f>
        <v>0</v>
      </c>
      <c r="AY347" s="28">
        <f>IF(AY$6='Lease Cycles'!$HL$27,'Lease Cycles'!$HS$27+'Lease Cycles'!$HZ$27,0)</f>
        <v>0</v>
      </c>
      <c r="AZ347" s="28">
        <f>IF(AZ$6='Lease Cycles'!$HL$27,'Lease Cycles'!$HS$27+'Lease Cycles'!$HZ$27,0)</f>
        <v>0</v>
      </c>
      <c r="BA347" s="28">
        <f>IF(BA$6='Lease Cycles'!$HL$27,'Lease Cycles'!$HS$27+'Lease Cycles'!$HZ$27,0)</f>
        <v>0</v>
      </c>
      <c r="BB347" s="28">
        <f>IF(BB$6='Lease Cycles'!$HL$27,'Lease Cycles'!$HS$27+'Lease Cycles'!$HZ$27,0)</f>
        <v>0</v>
      </c>
      <c r="BC347" s="28">
        <f>IF(BC$6='Lease Cycles'!$HL$27,'Lease Cycles'!$HS$27+'Lease Cycles'!$HZ$27,0)</f>
        <v>0</v>
      </c>
      <c r="BD347" s="28">
        <f>IF(BD$6='Lease Cycles'!$HL$27,'Lease Cycles'!$HS$27+'Lease Cycles'!$HZ$27,0)</f>
        <v>0</v>
      </c>
      <c r="BE347" s="28">
        <f>IF(BE$6='Lease Cycles'!$HL$27,'Lease Cycles'!$HS$27+'Lease Cycles'!$HZ$27,0)</f>
        <v>0</v>
      </c>
      <c r="BF347" s="28">
        <f>IF(BF$6='Lease Cycles'!$HL$27,'Lease Cycles'!$HS$27+'Lease Cycles'!$HZ$27,0)</f>
        <v>0</v>
      </c>
      <c r="BG347" s="28">
        <f>IF(BG$6='Lease Cycles'!$HL$27,'Lease Cycles'!$HS$27+'Lease Cycles'!$HZ$27,0)</f>
        <v>0</v>
      </c>
      <c r="BH347" s="28">
        <f>IF(BH$6='Lease Cycles'!$HL$27,'Lease Cycles'!$HS$27+'Lease Cycles'!$HZ$27,0)</f>
        <v>0</v>
      </c>
      <c r="BI347" s="28">
        <f>IF(BI$6='Lease Cycles'!$HL$27,'Lease Cycles'!$HS$27+'Lease Cycles'!$HZ$27,0)</f>
        <v>0</v>
      </c>
      <c r="BJ347" s="28">
        <f>IF(BJ$6='Lease Cycles'!$HL$27,'Lease Cycles'!$HS$27+'Lease Cycles'!$HZ$27,0)</f>
        <v>0</v>
      </c>
      <c r="BK347" s="28">
        <f>IF(BK$6='Lease Cycles'!$HL$27,'Lease Cycles'!$HS$27+'Lease Cycles'!$HZ$27,0)</f>
        <v>0</v>
      </c>
      <c r="BL347" s="28">
        <f>IF(BL$6='Lease Cycles'!$HL$27,'Lease Cycles'!$HS$27+'Lease Cycles'!$HZ$27,0)</f>
        <v>0</v>
      </c>
      <c r="BM347" s="28">
        <f>IF(BM$6='Lease Cycles'!$HL$27,'Lease Cycles'!$HS$27+'Lease Cycles'!$HZ$27,0)</f>
        <v>0</v>
      </c>
      <c r="BN347" s="28">
        <f>IF(BN$6='Lease Cycles'!$HL$27,'Lease Cycles'!$HS$27+'Lease Cycles'!$HZ$27,0)</f>
        <v>0</v>
      </c>
      <c r="BO347" s="28">
        <f>IF(BO$6='Lease Cycles'!$HL$27,'Lease Cycles'!$HS$27+'Lease Cycles'!$HZ$27,0)</f>
        <v>0</v>
      </c>
      <c r="BP347" s="28">
        <f>IF(BP$6='Lease Cycles'!$HL$27,'Lease Cycles'!$HS$27+'Lease Cycles'!$HZ$27,0)</f>
        <v>0</v>
      </c>
      <c r="BQ347" s="28">
        <f>IF(BQ$6='Lease Cycles'!$HL$27,'Lease Cycles'!$HS$27+'Lease Cycles'!$HZ$27,0)</f>
        <v>0</v>
      </c>
      <c r="BR347" s="28">
        <f>IF(BR$6='Lease Cycles'!$HL$27,'Lease Cycles'!$HS$27+'Lease Cycles'!$HZ$27,0)</f>
        <v>0</v>
      </c>
      <c r="BS347" s="28">
        <f>IF(BS$6='Lease Cycles'!$HL$27,'Lease Cycles'!$HS$27+'Lease Cycles'!$HZ$27,0)</f>
        <v>0</v>
      </c>
      <c r="BT347" s="28">
        <f>IF(BT$6='Lease Cycles'!$HL$27,'Lease Cycles'!$HS$27+'Lease Cycles'!$HZ$27,0)</f>
        <v>0</v>
      </c>
      <c r="BU347" s="28">
        <f>IF(BU$6='Lease Cycles'!$HL$27,'Lease Cycles'!$HS$27+'Lease Cycles'!$HZ$27,0)</f>
        <v>0</v>
      </c>
      <c r="BV347" s="28">
        <f>IF(BV$6='Lease Cycles'!$HL$27,'Lease Cycles'!$HS$27+'Lease Cycles'!$HZ$27,0)</f>
        <v>0</v>
      </c>
      <c r="BW347" s="28">
        <f>IF(BW$6='Lease Cycles'!$HL$27,'Lease Cycles'!$HS$27+'Lease Cycles'!$HZ$27,0)</f>
        <v>0</v>
      </c>
      <c r="BX347" s="28">
        <f>IF(BX$6='Lease Cycles'!$HL$27,'Lease Cycles'!$HS$27+'Lease Cycles'!$HZ$27,0)</f>
        <v>0</v>
      </c>
      <c r="BY347" s="28">
        <f>IF(BY$6='Lease Cycles'!$HL$27,'Lease Cycles'!$HS$27+'Lease Cycles'!$HZ$27,0)</f>
        <v>0</v>
      </c>
      <c r="BZ347" s="28">
        <f>IF(BZ$6='Lease Cycles'!$HL$27,'Lease Cycles'!$HS$27+'Lease Cycles'!$HZ$27,0)</f>
        <v>0</v>
      </c>
      <c r="CA347" s="28">
        <f>IF(CA$6='Lease Cycles'!$HL$27,'Lease Cycles'!$HS$27+'Lease Cycles'!$HZ$27,0)</f>
        <v>0</v>
      </c>
      <c r="CB347" s="28">
        <f>IF(CB$6='Lease Cycles'!$HL$27,'Lease Cycles'!$HS$27+'Lease Cycles'!$HZ$27,0)</f>
        <v>0</v>
      </c>
      <c r="CC347" s="28">
        <f>IF(CC$6='Lease Cycles'!$HL$27,'Lease Cycles'!$HS$27+'Lease Cycles'!$HZ$27,0)</f>
        <v>0</v>
      </c>
      <c r="CD347" s="28">
        <f>IF(CD$6='Lease Cycles'!$HL$27,'Lease Cycles'!$HS$27+'Lease Cycles'!$HZ$27,0)</f>
        <v>0</v>
      </c>
      <c r="CE347" s="28">
        <f>IF(CE$6='Lease Cycles'!$HL$27,'Lease Cycles'!$HS$27+'Lease Cycles'!$HZ$27,0)</f>
        <v>0</v>
      </c>
      <c r="CF347" s="28">
        <f>IF(CF$6='Lease Cycles'!$HL$27,'Lease Cycles'!$HS$27+'Lease Cycles'!$HZ$27,0)</f>
        <v>0</v>
      </c>
      <c r="CG347" s="28">
        <f>IF(CG$6='Lease Cycles'!$HL$27,'Lease Cycles'!$HS$27+'Lease Cycles'!$HZ$27,0)</f>
        <v>0</v>
      </c>
      <c r="CH347" s="28">
        <f>IF(CH$6='Lease Cycles'!$HL$27,'Lease Cycles'!$HS$27+'Lease Cycles'!$HZ$27,0)</f>
        <v>0</v>
      </c>
      <c r="CI347" s="28">
        <f>IF(CI$6='Lease Cycles'!$HL$27,'Lease Cycles'!$HS$27+'Lease Cycles'!$HZ$27,0)</f>
        <v>0</v>
      </c>
      <c r="CJ347" s="28">
        <f>IF(CJ$6='Lease Cycles'!$HL$27,'Lease Cycles'!$HS$27+'Lease Cycles'!$HZ$27,0)</f>
        <v>0</v>
      </c>
      <c r="CK347" s="28">
        <f>IF(CK$6='Lease Cycles'!$HL$27,'Lease Cycles'!$HS$27+'Lease Cycles'!$HZ$27,0)</f>
        <v>0</v>
      </c>
      <c r="CL347" s="28">
        <f>IF(CL$6='Lease Cycles'!$HL$27,'Lease Cycles'!$HS$27+'Lease Cycles'!$HZ$27,0)</f>
        <v>0</v>
      </c>
      <c r="CM347" s="28">
        <f>IF(CM$6='Lease Cycles'!$HL$27,'Lease Cycles'!$HS$27+'Lease Cycles'!$HZ$27,0)</f>
        <v>0</v>
      </c>
      <c r="CN347" s="28">
        <f>IF(CN$6='Lease Cycles'!$HL$27,'Lease Cycles'!$HS$27+'Lease Cycles'!$HZ$27,0)</f>
        <v>0</v>
      </c>
      <c r="CO347" s="28">
        <f>IF(CO$6='Lease Cycles'!$HL$27,'Lease Cycles'!$HS$27+'Lease Cycles'!$HZ$27,0)</f>
        <v>0</v>
      </c>
      <c r="CP347" s="28">
        <f>IF(CP$6='Lease Cycles'!$HL$27,'Lease Cycles'!$HS$27+'Lease Cycles'!$HZ$27,0)</f>
        <v>0</v>
      </c>
      <c r="CQ347" s="28">
        <f>IF(CQ$6='Lease Cycles'!$HL$27,'Lease Cycles'!$HS$27+'Lease Cycles'!$HZ$27,0)</f>
        <v>0</v>
      </c>
      <c r="CR347" s="28">
        <f>IF(CR$6='Lease Cycles'!$HL$27,'Lease Cycles'!$HS$27+'Lease Cycles'!$HZ$27,0)</f>
        <v>0</v>
      </c>
      <c r="CS347" s="28">
        <f>IF(CS$6='Lease Cycles'!$HL$27,'Lease Cycles'!$HS$27+'Lease Cycles'!$HZ$27,0)</f>
        <v>0</v>
      </c>
      <c r="CT347" s="28">
        <f>IF(CT$6='Lease Cycles'!$HL$27,'Lease Cycles'!$HS$27+'Lease Cycles'!$HZ$27,0)</f>
        <v>0</v>
      </c>
      <c r="CU347" s="28">
        <f>IF(CU$6='Lease Cycles'!$HL$27,'Lease Cycles'!$HS$27+'Lease Cycles'!$HZ$27,0)</f>
        <v>0</v>
      </c>
      <c r="CV347" s="28">
        <f>IF(CV$6='Lease Cycles'!$HL$27,'Lease Cycles'!$HS$27+'Lease Cycles'!$HZ$27,0)</f>
        <v>0</v>
      </c>
      <c r="CW347" s="28">
        <f>IF(CW$6='Lease Cycles'!$HL$27,'Lease Cycles'!$HS$27+'Lease Cycles'!$HZ$27,0)</f>
        <v>0</v>
      </c>
      <c r="CX347" s="28">
        <f>IF(CX$6='Lease Cycles'!$HL$27,'Lease Cycles'!$HS$27+'Lease Cycles'!$HZ$27,0)</f>
        <v>0</v>
      </c>
      <c r="CY347" s="28">
        <f>IF(CY$6='Lease Cycles'!$HL$27,'Lease Cycles'!$HS$27+'Lease Cycles'!$HZ$27,0)</f>
        <v>0</v>
      </c>
      <c r="CZ347" s="28">
        <f>IF(CZ$6='Lease Cycles'!$HL$27,'Lease Cycles'!$HS$27+'Lease Cycles'!$HZ$27,0)</f>
        <v>0</v>
      </c>
      <c r="DA347" s="28">
        <f>IF(DA$6='Lease Cycles'!$HL$27,'Lease Cycles'!$HS$27+'Lease Cycles'!$HZ$27,0)</f>
        <v>0</v>
      </c>
      <c r="DB347" s="28">
        <f>IF(DB$6='Lease Cycles'!$HL$27,'Lease Cycles'!$HS$27+'Lease Cycles'!$HZ$27,0)</f>
        <v>0</v>
      </c>
      <c r="DC347" s="28">
        <f>IF(DC$6='Lease Cycles'!$HL$27,'Lease Cycles'!$HS$27+'Lease Cycles'!$HZ$27,0)</f>
        <v>0</v>
      </c>
      <c r="DD347" s="28">
        <f>IF(DD$6='Lease Cycles'!$HL$27,'Lease Cycles'!$HS$27+'Lease Cycles'!$HZ$27,0)</f>
        <v>0</v>
      </c>
      <c r="DE347" s="28">
        <f>IF(DE$6='Lease Cycles'!$HL$27,'Lease Cycles'!$HS$27+'Lease Cycles'!$HZ$27,0)</f>
        <v>0</v>
      </c>
      <c r="DF347" s="28">
        <f>IF(DF$6='Lease Cycles'!$HL$27,'Lease Cycles'!$HS$27+'Lease Cycles'!$HZ$27,0)</f>
        <v>0</v>
      </c>
      <c r="DG347" s="28">
        <f>IF(DG$6='Lease Cycles'!$HL$27,'Lease Cycles'!$HS$27+'Lease Cycles'!$HZ$27,0)</f>
        <v>0</v>
      </c>
      <c r="DH347" s="28">
        <f>IF(DH$6='Lease Cycles'!$HL$27,'Lease Cycles'!$HS$27+'Lease Cycles'!$HZ$27,0)</f>
        <v>0</v>
      </c>
      <c r="DI347" s="28">
        <f>IF(DI$6='Lease Cycles'!$HL$27,'Lease Cycles'!$HS$27+'Lease Cycles'!$HZ$27,0)</f>
        <v>0</v>
      </c>
      <c r="DJ347" s="28">
        <f>IF(DJ$6='Lease Cycles'!$HL$27,'Lease Cycles'!$HS$27+'Lease Cycles'!$HZ$27,0)</f>
        <v>0</v>
      </c>
      <c r="DK347" s="28">
        <f>IF(DK$6='Lease Cycles'!$HL$27,'Lease Cycles'!$HS$27+'Lease Cycles'!$HZ$27,0)</f>
        <v>0</v>
      </c>
      <c r="DL347" s="28">
        <f>IF(DL$6='Lease Cycles'!$HL$27,'Lease Cycles'!$HS$27+'Lease Cycles'!$HZ$27,0)</f>
        <v>0</v>
      </c>
      <c r="DM347" s="28">
        <f>IF(DM$6='Lease Cycles'!$HL$27,'Lease Cycles'!$HS$27+'Lease Cycles'!$HZ$27,0)</f>
        <v>0</v>
      </c>
      <c r="DN347" s="28">
        <f>IF(DN$6='Lease Cycles'!$HL$27,'Lease Cycles'!$HS$27+'Lease Cycles'!$HZ$27,0)</f>
        <v>0</v>
      </c>
      <c r="DO347" s="28">
        <f>IF(DO$6='Lease Cycles'!$HL$27,'Lease Cycles'!$HS$27+'Lease Cycles'!$HZ$27,0)</f>
        <v>0</v>
      </c>
      <c r="DP347" s="28">
        <f>IF(DP$6='Lease Cycles'!$HL$27,'Lease Cycles'!$HS$27+'Lease Cycles'!$HZ$27,0)</f>
        <v>0</v>
      </c>
      <c r="DQ347" s="28">
        <f>IF(DQ$6='Lease Cycles'!$HL$27,'Lease Cycles'!$HS$27+'Lease Cycles'!$HZ$27,0)</f>
        <v>0</v>
      </c>
      <c r="DR347" s="28">
        <f>IF(DR$6='Lease Cycles'!$HL$27,'Lease Cycles'!$HS$27+'Lease Cycles'!$HZ$27,0)</f>
        <v>0</v>
      </c>
      <c r="DS347" s="28">
        <f>IF(DS$6='Lease Cycles'!$HL$27,'Lease Cycles'!$HS$27+'Lease Cycles'!$HZ$27,0)</f>
        <v>0</v>
      </c>
      <c r="DT347" s="28">
        <f>IF(DT$6='Lease Cycles'!$HL$27,'Lease Cycles'!$HS$27+'Lease Cycles'!$HZ$27,0)</f>
        <v>0</v>
      </c>
      <c r="DU347" s="28">
        <f>IF(DU$6='Lease Cycles'!$HL$27,'Lease Cycles'!$HS$27+'Lease Cycles'!$HZ$27,0)</f>
        <v>0</v>
      </c>
      <c r="DV347" s="28">
        <f>IF(DV$6='Lease Cycles'!$HL$27,'Lease Cycles'!$HS$27+'Lease Cycles'!$HZ$27,0)</f>
        <v>0</v>
      </c>
      <c r="DW347" s="28">
        <f>IF(DW$6='Lease Cycles'!$HL$27,'Lease Cycles'!$HS$27+'Lease Cycles'!$HZ$27,0)</f>
        <v>0</v>
      </c>
      <c r="DX347" s="28">
        <f>IF(DX$6='Lease Cycles'!$HL$27,'Lease Cycles'!$HS$27+'Lease Cycles'!$HZ$27,0)</f>
        <v>0</v>
      </c>
      <c r="DY347" s="28">
        <f>IF(DY$6='Lease Cycles'!$HL$27,'Lease Cycles'!$HS$27+'Lease Cycles'!$HZ$27,0)</f>
        <v>0</v>
      </c>
      <c r="DZ347" s="28">
        <f>IF(DZ$6='Lease Cycles'!$HL$27,'Lease Cycles'!$HS$27+'Lease Cycles'!$HZ$27,0)</f>
        <v>0</v>
      </c>
      <c r="EA347" s="28">
        <f>IF(EA$6='Lease Cycles'!$HL$27,'Lease Cycles'!$HS$27+'Lease Cycles'!$HZ$27,0)</f>
        <v>0</v>
      </c>
      <c r="EB347" s="28">
        <f>IF(EB$6='Lease Cycles'!$HL$27,'Lease Cycles'!$HS$27+'Lease Cycles'!$HZ$27,0)</f>
        <v>0</v>
      </c>
      <c r="EC347" s="28">
        <f>IF(EC$6='Lease Cycles'!$HL$27,'Lease Cycles'!$HS$27+'Lease Cycles'!$HZ$27,0)</f>
        <v>0</v>
      </c>
      <c r="ED347" s="28">
        <f>IF(ED$6='Lease Cycles'!$HL$27,'Lease Cycles'!$HS$27+'Lease Cycles'!$HZ$27,0)</f>
        <v>0</v>
      </c>
      <c r="EE347" s="28">
        <f>IF(EE$6='Lease Cycles'!$HL$27,'Lease Cycles'!$HS$27+'Lease Cycles'!$HZ$27,0)</f>
        <v>0</v>
      </c>
      <c r="EF347" s="28">
        <f>IF(EF$6='Lease Cycles'!$HL$27,'Lease Cycles'!$HS$27+'Lease Cycles'!$HZ$27,0)</f>
        <v>0</v>
      </c>
      <c r="EG347" s="28">
        <f>IF(EG$6='Lease Cycles'!$HL$27,'Lease Cycles'!$HS$27+'Lease Cycles'!$HZ$27,0)</f>
        <v>0</v>
      </c>
      <c r="EH347" s="28">
        <f>IF(EH$6='Lease Cycles'!$HL$27,'Lease Cycles'!$HS$27+'Lease Cycles'!$HZ$27,0)</f>
        <v>0</v>
      </c>
      <c r="EI347" s="28">
        <f>IF(EI$6='Lease Cycles'!$HL$27,'Lease Cycles'!$HS$27+'Lease Cycles'!$HZ$27,0)</f>
        <v>0</v>
      </c>
      <c r="EJ347" s="28">
        <f>IF(EJ$6='Lease Cycles'!$HL$27,'Lease Cycles'!$HS$27+'Lease Cycles'!$HZ$27,0)</f>
        <v>0</v>
      </c>
      <c r="EK347" s="28">
        <f>IF(EK$6='Lease Cycles'!$HL$27,'Lease Cycles'!$HS$27+'Lease Cycles'!$HZ$27,0)</f>
        <v>0</v>
      </c>
      <c r="EL347" s="28">
        <f>IF(EL$6='Lease Cycles'!$HL$27,'Lease Cycles'!$HS$27+'Lease Cycles'!$HZ$27,0)</f>
        <v>0</v>
      </c>
      <c r="EM347" s="28">
        <f>IF(EM$6='Lease Cycles'!$HL$27,'Lease Cycles'!$HS$27+'Lease Cycles'!$HZ$27,0)</f>
        <v>0</v>
      </c>
      <c r="EN347" s="28">
        <f>IF(EN$6='Lease Cycles'!$HL$27,'Lease Cycles'!$HS$27+'Lease Cycles'!$HZ$27,0)</f>
        <v>0</v>
      </c>
      <c r="EO347" s="28">
        <f>IF(EO$6='Lease Cycles'!$HL$27,'Lease Cycles'!$HS$27+'Lease Cycles'!$HZ$27,0)</f>
        <v>0</v>
      </c>
      <c r="EP347" s="28">
        <f>IF(EP$6='Lease Cycles'!$HL$27,'Lease Cycles'!$HS$27+'Lease Cycles'!$HZ$27,0)</f>
        <v>0</v>
      </c>
      <c r="EQ347" s="28">
        <f>IF(EQ$6='Lease Cycles'!$HL$27,'Lease Cycles'!$HS$27+'Lease Cycles'!$HZ$27,0)</f>
        <v>0</v>
      </c>
      <c r="ER347" s="28">
        <f>IF(ER$6='Lease Cycles'!$HL$27,'Lease Cycles'!$HS$27+'Lease Cycles'!$HZ$27,0)</f>
        <v>0</v>
      </c>
      <c r="ES347" s="28">
        <f>IF(ES$6='Lease Cycles'!$HL$27,'Lease Cycles'!$HS$27+'Lease Cycles'!$HZ$27,0)</f>
        <v>0</v>
      </c>
      <c r="ET347" s="28">
        <f>IF(ET$6='Lease Cycles'!$HL$27,'Lease Cycles'!$HS$27+'Lease Cycles'!$HZ$27,0)</f>
        <v>0</v>
      </c>
    </row>
    <row r="348">
      <c r="A348" s="103">
        <v>20</v>
      </c>
      <c r="B348" s="23" t="str">
        <f>IF('Lease Cycles'!$B$27="","(empty slot)",'Lease Cycles'!$B$27)</f>
        <v>(empty slot)</v>
      </c>
      <c r="C348" s="23" t="s">
        <v>499</v>
      </c>
      <c r="D348" s="104" t="s">
        <v>500</v>
      </c>
      <c r="E348" s="25">
        <f>'Lease Cycles'!$AL$27</f>
        <v>0</v>
      </c>
      <c r="G348" s="28">
        <f>MAX(0,'Lease Cycles'!$AN$27*'Lease Cycles'!$C$27*'Lease Cycles'!$AM$27*(1+a_SalesGrowth)^(G$6-1)-G338)</f>
        <v>0</v>
      </c>
      <c r="H348" s="28">
        <f>MAX(0,'Lease Cycles'!$AN$27*'Lease Cycles'!$C$27*'Lease Cycles'!$AM$27*(1+a_SalesGrowth)^(H$6-1)-H338)</f>
        <v>0</v>
      </c>
      <c r="I348" s="28">
        <f>MAX(0,'Lease Cycles'!$AN$27*'Lease Cycles'!$C$27*'Lease Cycles'!$AM$27*(1+a_SalesGrowth)^(I$6-1)-I338)</f>
        <v>0</v>
      </c>
      <c r="J348" s="28">
        <f>MAX(0,'Lease Cycles'!$AN$27*'Lease Cycles'!$C$27*'Lease Cycles'!$AM$27*(1+a_SalesGrowth)^(J$6-1)-J338)</f>
        <v>0</v>
      </c>
      <c r="K348" s="28">
        <f>MAX(0,'Lease Cycles'!$AN$27*'Lease Cycles'!$C$27*'Lease Cycles'!$AM$27*(1+a_SalesGrowth)^(K$6-1)-K338)</f>
        <v>0</v>
      </c>
      <c r="L348" s="28">
        <f>MAX(0,'Lease Cycles'!$AN$27*'Lease Cycles'!$C$27*'Lease Cycles'!$AM$27*(1+a_SalesGrowth)^(L$6-1)-L338)</f>
        <v>0</v>
      </c>
      <c r="M348" s="28">
        <f>MAX(0,'Lease Cycles'!$AN$27*'Lease Cycles'!$C$27*'Lease Cycles'!$AM$27*(1+a_SalesGrowth)^(M$6-1)-M338)</f>
        <v>0</v>
      </c>
      <c r="N348" s="28">
        <f>MAX(0,'Lease Cycles'!$AN$27*'Lease Cycles'!$C$27*'Lease Cycles'!$AM$27*(1+a_SalesGrowth)^(N$6-1)-N338)</f>
        <v>0</v>
      </c>
      <c r="O348" s="28">
        <f>MAX(0,'Lease Cycles'!$AN$27*'Lease Cycles'!$C$27*'Lease Cycles'!$AM$27*(1+a_SalesGrowth)^(O$6-1)-O338)</f>
        <v>0</v>
      </c>
      <c r="P348" s="28">
        <f>MAX(0,'Lease Cycles'!$AN$27*'Lease Cycles'!$C$27*'Lease Cycles'!$AM$27*(1+a_SalesGrowth)^(P$6-1)-P338)</f>
        <v>0</v>
      </c>
      <c r="Q348" s="28">
        <f>MAX(0,'Lease Cycles'!$AN$27*'Lease Cycles'!$C$27*'Lease Cycles'!$AM$27*(1+a_SalesGrowth)^(Q$6-1)-Q338)</f>
        <v>0</v>
      </c>
    </row>
    <row r="350">
      <c r="A350" s="103">
        <v>21</v>
      </c>
      <c r="B350" s="23" t="str">
        <f>IF('Lease Cycles'!$B$28="","(empty slot)",'Lease Cycles'!$B$28)</f>
        <v>(empty slot)</v>
      </c>
      <c r="C350" s="23" t="s">
        <v>671</v>
      </c>
      <c r="D350" s="104" t="s">
        <v>672</v>
      </c>
      <c r="E350" s="25">
        <f>'Lease Cycles'!$AL$28</f>
        <v>0</v>
      </c>
      <c r="S350" s="25">
        <f>IF('Lease Cycles'!$C$28&gt;0,COUNTIF('Lease Cycles'!$BG$28:$BM$28,"&lt;="&amp;S$6),0)</f>
        <v>0</v>
      </c>
      <c r="T350" s="25">
        <f>IF('Lease Cycles'!$C$28&gt;0,COUNTIF('Lease Cycles'!$BG$28:$BM$28,"&lt;="&amp;T$6),0)</f>
        <v>0</v>
      </c>
      <c r="U350" s="25">
        <f>IF('Lease Cycles'!$C$28&gt;0,COUNTIF('Lease Cycles'!$BG$28:$BM$28,"&lt;="&amp;U$6),0)</f>
        <v>0</v>
      </c>
      <c r="V350" s="25">
        <f>IF('Lease Cycles'!$C$28&gt;0,COUNTIF('Lease Cycles'!$BG$28:$BM$28,"&lt;="&amp;V$6),0)</f>
        <v>0</v>
      </c>
      <c r="W350" s="25">
        <f>IF('Lease Cycles'!$C$28&gt;0,COUNTIF('Lease Cycles'!$BG$28:$BM$28,"&lt;="&amp;W$6),0)</f>
        <v>0</v>
      </c>
      <c r="X350" s="25">
        <f>IF('Lease Cycles'!$C$28&gt;0,COUNTIF('Lease Cycles'!$BG$28:$BM$28,"&lt;="&amp;X$6),0)</f>
        <v>0</v>
      </c>
      <c r="Y350" s="25">
        <f>IF('Lease Cycles'!$C$28&gt;0,COUNTIF('Lease Cycles'!$BG$28:$BM$28,"&lt;="&amp;Y$6),0)</f>
        <v>0</v>
      </c>
      <c r="Z350" s="25">
        <f>IF('Lease Cycles'!$C$28&gt;0,COUNTIF('Lease Cycles'!$BG$28:$BM$28,"&lt;="&amp;Z$6),0)</f>
        <v>0</v>
      </c>
      <c r="AA350" s="25">
        <f>IF('Lease Cycles'!$C$28&gt;0,COUNTIF('Lease Cycles'!$BG$28:$BM$28,"&lt;="&amp;AA$6),0)</f>
        <v>0</v>
      </c>
      <c r="AB350" s="25">
        <f>IF('Lease Cycles'!$C$28&gt;0,COUNTIF('Lease Cycles'!$BG$28:$BM$28,"&lt;="&amp;AB$6),0)</f>
        <v>0</v>
      </c>
      <c r="AC350" s="25">
        <f>IF('Lease Cycles'!$C$28&gt;0,COUNTIF('Lease Cycles'!$BG$28:$BM$28,"&lt;="&amp;AC$6),0)</f>
        <v>0</v>
      </c>
      <c r="AD350" s="25">
        <f>IF('Lease Cycles'!$C$28&gt;0,COUNTIF('Lease Cycles'!$BG$28:$BM$28,"&lt;="&amp;AD$6),0)</f>
        <v>0</v>
      </c>
      <c r="AE350" s="25">
        <f>IF('Lease Cycles'!$C$28&gt;0,COUNTIF('Lease Cycles'!$BG$28:$BM$28,"&lt;="&amp;AE$6),0)</f>
        <v>0</v>
      </c>
      <c r="AF350" s="25">
        <f>IF('Lease Cycles'!$C$28&gt;0,COUNTIF('Lease Cycles'!$BG$28:$BM$28,"&lt;="&amp;AF$6),0)</f>
        <v>0</v>
      </c>
      <c r="AG350" s="25">
        <f>IF('Lease Cycles'!$C$28&gt;0,COUNTIF('Lease Cycles'!$BG$28:$BM$28,"&lt;="&amp;AG$6),0)</f>
        <v>0</v>
      </c>
      <c r="AH350" s="25">
        <f>IF('Lease Cycles'!$C$28&gt;0,COUNTIF('Lease Cycles'!$BG$28:$BM$28,"&lt;="&amp;AH$6),0)</f>
        <v>0</v>
      </c>
      <c r="AI350" s="25">
        <f>IF('Lease Cycles'!$C$28&gt;0,COUNTIF('Lease Cycles'!$BG$28:$BM$28,"&lt;="&amp;AI$6),0)</f>
        <v>0</v>
      </c>
      <c r="AJ350" s="25">
        <f>IF('Lease Cycles'!$C$28&gt;0,COUNTIF('Lease Cycles'!$BG$28:$BM$28,"&lt;="&amp;AJ$6),0)</f>
        <v>0</v>
      </c>
      <c r="AK350" s="25">
        <f>IF('Lease Cycles'!$C$28&gt;0,COUNTIF('Lease Cycles'!$BG$28:$BM$28,"&lt;="&amp;AK$6),0)</f>
        <v>0</v>
      </c>
      <c r="AL350" s="25">
        <f>IF('Lease Cycles'!$C$28&gt;0,COUNTIF('Lease Cycles'!$BG$28:$BM$28,"&lt;="&amp;AL$6),0)</f>
        <v>0</v>
      </c>
      <c r="AM350" s="25">
        <f>IF('Lease Cycles'!$C$28&gt;0,COUNTIF('Lease Cycles'!$BG$28:$BM$28,"&lt;="&amp;AM$6),0)</f>
        <v>0</v>
      </c>
      <c r="AN350" s="25">
        <f>IF('Lease Cycles'!$C$28&gt;0,COUNTIF('Lease Cycles'!$BG$28:$BM$28,"&lt;="&amp;AN$6),0)</f>
        <v>0</v>
      </c>
      <c r="AO350" s="25">
        <f>IF('Lease Cycles'!$C$28&gt;0,COUNTIF('Lease Cycles'!$BG$28:$BM$28,"&lt;="&amp;AO$6),0)</f>
        <v>0</v>
      </c>
      <c r="AP350" s="25">
        <f>IF('Lease Cycles'!$C$28&gt;0,COUNTIF('Lease Cycles'!$BG$28:$BM$28,"&lt;="&amp;AP$6),0)</f>
        <v>0</v>
      </c>
      <c r="AQ350" s="25">
        <f>IF('Lease Cycles'!$C$28&gt;0,COUNTIF('Lease Cycles'!$BG$28:$BM$28,"&lt;="&amp;AQ$6),0)</f>
        <v>0</v>
      </c>
      <c r="AR350" s="25">
        <f>IF('Lease Cycles'!$C$28&gt;0,COUNTIF('Lease Cycles'!$BG$28:$BM$28,"&lt;="&amp;AR$6),0)</f>
        <v>0</v>
      </c>
      <c r="AS350" s="25">
        <f>IF('Lease Cycles'!$C$28&gt;0,COUNTIF('Lease Cycles'!$BG$28:$BM$28,"&lt;="&amp;AS$6),0)</f>
        <v>0</v>
      </c>
      <c r="AT350" s="25">
        <f>IF('Lease Cycles'!$C$28&gt;0,COUNTIF('Lease Cycles'!$BG$28:$BM$28,"&lt;="&amp;AT$6),0)</f>
        <v>0</v>
      </c>
      <c r="AU350" s="25">
        <f>IF('Lease Cycles'!$C$28&gt;0,COUNTIF('Lease Cycles'!$BG$28:$BM$28,"&lt;="&amp;AU$6),0)</f>
        <v>0</v>
      </c>
      <c r="AV350" s="25">
        <f>IF('Lease Cycles'!$C$28&gt;0,COUNTIF('Lease Cycles'!$BG$28:$BM$28,"&lt;="&amp;AV$6),0)</f>
        <v>0</v>
      </c>
      <c r="AW350" s="25">
        <f>IF('Lease Cycles'!$C$28&gt;0,COUNTIF('Lease Cycles'!$BG$28:$BM$28,"&lt;="&amp;AW$6),0)</f>
        <v>0</v>
      </c>
      <c r="AX350" s="25">
        <f>IF('Lease Cycles'!$C$28&gt;0,COUNTIF('Lease Cycles'!$BG$28:$BM$28,"&lt;="&amp;AX$6),0)</f>
        <v>0</v>
      </c>
      <c r="AY350" s="25">
        <f>IF('Lease Cycles'!$C$28&gt;0,COUNTIF('Lease Cycles'!$BG$28:$BM$28,"&lt;="&amp;AY$6),0)</f>
        <v>0</v>
      </c>
      <c r="AZ350" s="25">
        <f>IF('Lease Cycles'!$C$28&gt;0,COUNTIF('Lease Cycles'!$BG$28:$BM$28,"&lt;="&amp;AZ$6),0)</f>
        <v>0</v>
      </c>
      <c r="BA350" s="25">
        <f>IF('Lease Cycles'!$C$28&gt;0,COUNTIF('Lease Cycles'!$BG$28:$BM$28,"&lt;="&amp;BA$6),0)</f>
        <v>0</v>
      </c>
      <c r="BB350" s="25">
        <f>IF('Lease Cycles'!$C$28&gt;0,COUNTIF('Lease Cycles'!$BG$28:$BM$28,"&lt;="&amp;BB$6),0)</f>
        <v>0</v>
      </c>
      <c r="BC350" s="25">
        <f>IF('Lease Cycles'!$C$28&gt;0,COUNTIF('Lease Cycles'!$BG$28:$BM$28,"&lt;="&amp;BC$6),0)</f>
        <v>0</v>
      </c>
      <c r="BD350" s="25">
        <f>IF('Lease Cycles'!$C$28&gt;0,COUNTIF('Lease Cycles'!$BG$28:$BM$28,"&lt;="&amp;BD$6),0)</f>
        <v>0</v>
      </c>
      <c r="BE350" s="25">
        <f>IF('Lease Cycles'!$C$28&gt;0,COUNTIF('Lease Cycles'!$BG$28:$BM$28,"&lt;="&amp;BE$6),0)</f>
        <v>0</v>
      </c>
      <c r="BF350" s="25">
        <f>IF('Lease Cycles'!$C$28&gt;0,COUNTIF('Lease Cycles'!$BG$28:$BM$28,"&lt;="&amp;BF$6),0)</f>
        <v>0</v>
      </c>
      <c r="BG350" s="25">
        <f>IF('Lease Cycles'!$C$28&gt;0,COUNTIF('Lease Cycles'!$BG$28:$BM$28,"&lt;="&amp;BG$6),0)</f>
        <v>0</v>
      </c>
      <c r="BH350" s="25">
        <f>IF('Lease Cycles'!$C$28&gt;0,COUNTIF('Lease Cycles'!$BG$28:$BM$28,"&lt;="&amp;BH$6),0)</f>
        <v>0</v>
      </c>
      <c r="BI350" s="25">
        <f>IF('Lease Cycles'!$C$28&gt;0,COUNTIF('Lease Cycles'!$BG$28:$BM$28,"&lt;="&amp;BI$6),0)</f>
        <v>0</v>
      </c>
      <c r="BJ350" s="25">
        <f>IF('Lease Cycles'!$C$28&gt;0,COUNTIF('Lease Cycles'!$BG$28:$BM$28,"&lt;="&amp;BJ$6),0)</f>
        <v>0</v>
      </c>
      <c r="BK350" s="25">
        <f>IF('Lease Cycles'!$C$28&gt;0,COUNTIF('Lease Cycles'!$BG$28:$BM$28,"&lt;="&amp;BK$6),0)</f>
        <v>0</v>
      </c>
      <c r="BL350" s="25">
        <f>IF('Lease Cycles'!$C$28&gt;0,COUNTIF('Lease Cycles'!$BG$28:$BM$28,"&lt;="&amp;BL$6),0)</f>
        <v>0</v>
      </c>
      <c r="BM350" s="25">
        <f>IF('Lease Cycles'!$C$28&gt;0,COUNTIF('Lease Cycles'!$BG$28:$BM$28,"&lt;="&amp;BM$6),0)</f>
        <v>0</v>
      </c>
      <c r="BN350" s="25">
        <f>IF('Lease Cycles'!$C$28&gt;0,COUNTIF('Lease Cycles'!$BG$28:$BM$28,"&lt;="&amp;BN$6),0)</f>
        <v>0</v>
      </c>
      <c r="BO350" s="25">
        <f>IF('Lease Cycles'!$C$28&gt;0,COUNTIF('Lease Cycles'!$BG$28:$BM$28,"&lt;="&amp;BO$6),0)</f>
        <v>0</v>
      </c>
      <c r="BP350" s="25">
        <f>IF('Lease Cycles'!$C$28&gt;0,COUNTIF('Lease Cycles'!$BG$28:$BM$28,"&lt;="&amp;BP$6),0)</f>
        <v>0</v>
      </c>
      <c r="BQ350" s="25">
        <f>IF('Lease Cycles'!$C$28&gt;0,COUNTIF('Lease Cycles'!$BG$28:$BM$28,"&lt;="&amp;BQ$6),0)</f>
        <v>0</v>
      </c>
      <c r="BR350" s="25">
        <f>IF('Lease Cycles'!$C$28&gt;0,COUNTIF('Lease Cycles'!$BG$28:$BM$28,"&lt;="&amp;BR$6),0)</f>
        <v>0</v>
      </c>
      <c r="BS350" s="25">
        <f>IF('Lease Cycles'!$C$28&gt;0,COUNTIF('Lease Cycles'!$BG$28:$BM$28,"&lt;="&amp;BS$6),0)</f>
        <v>0</v>
      </c>
      <c r="BT350" s="25">
        <f>IF('Lease Cycles'!$C$28&gt;0,COUNTIF('Lease Cycles'!$BG$28:$BM$28,"&lt;="&amp;BT$6),0)</f>
        <v>0</v>
      </c>
      <c r="BU350" s="25">
        <f>IF('Lease Cycles'!$C$28&gt;0,COUNTIF('Lease Cycles'!$BG$28:$BM$28,"&lt;="&amp;BU$6),0)</f>
        <v>0</v>
      </c>
      <c r="BV350" s="25">
        <f>IF('Lease Cycles'!$C$28&gt;0,COUNTIF('Lease Cycles'!$BG$28:$BM$28,"&lt;="&amp;BV$6),0)</f>
        <v>0</v>
      </c>
      <c r="BW350" s="25">
        <f>IF('Lease Cycles'!$C$28&gt;0,COUNTIF('Lease Cycles'!$BG$28:$BM$28,"&lt;="&amp;BW$6),0)</f>
        <v>0</v>
      </c>
      <c r="BX350" s="25">
        <f>IF('Lease Cycles'!$C$28&gt;0,COUNTIF('Lease Cycles'!$BG$28:$BM$28,"&lt;="&amp;BX$6),0)</f>
        <v>0</v>
      </c>
      <c r="BY350" s="25">
        <f>IF('Lease Cycles'!$C$28&gt;0,COUNTIF('Lease Cycles'!$BG$28:$BM$28,"&lt;="&amp;BY$6),0)</f>
        <v>0</v>
      </c>
      <c r="BZ350" s="25">
        <f>IF('Lease Cycles'!$C$28&gt;0,COUNTIF('Lease Cycles'!$BG$28:$BM$28,"&lt;="&amp;BZ$6),0)</f>
        <v>0</v>
      </c>
      <c r="CA350" s="25">
        <f>IF('Lease Cycles'!$C$28&gt;0,COUNTIF('Lease Cycles'!$BG$28:$BM$28,"&lt;="&amp;CA$6),0)</f>
        <v>0</v>
      </c>
      <c r="CB350" s="25">
        <f>IF('Lease Cycles'!$C$28&gt;0,COUNTIF('Lease Cycles'!$BG$28:$BM$28,"&lt;="&amp;CB$6),0)</f>
        <v>0</v>
      </c>
      <c r="CC350" s="25">
        <f>IF('Lease Cycles'!$C$28&gt;0,COUNTIF('Lease Cycles'!$BG$28:$BM$28,"&lt;="&amp;CC$6),0)</f>
        <v>0</v>
      </c>
      <c r="CD350" s="25">
        <f>IF('Lease Cycles'!$C$28&gt;0,COUNTIF('Lease Cycles'!$BG$28:$BM$28,"&lt;="&amp;CD$6),0)</f>
        <v>0</v>
      </c>
      <c r="CE350" s="25">
        <f>IF('Lease Cycles'!$C$28&gt;0,COUNTIF('Lease Cycles'!$BG$28:$BM$28,"&lt;="&amp;CE$6),0)</f>
        <v>0</v>
      </c>
      <c r="CF350" s="25">
        <f>IF('Lease Cycles'!$C$28&gt;0,COUNTIF('Lease Cycles'!$BG$28:$BM$28,"&lt;="&amp;CF$6),0)</f>
        <v>0</v>
      </c>
      <c r="CG350" s="25">
        <f>IF('Lease Cycles'!$C$28&gt;0,COUNTIF('Lease Cycles'!$BG$28:$BM$28,"&lt;="&amp;CG$6),0)</f>
        <v>0</v>
      </c>
      <c r="CH350" s="25">
        <f>IF('Lease Cycles'!$C$28&gt;0,COUNTIF('Lease Cycles'!$BG$28:$BM$28,"&lt;="&amp;CH$6),0)</f>
        <v>0</v>
      </c>
      <c r="CI350" s="25">
        <f>IF('Lease Cycles'!$C$28&gt;0,COUNTIF('Lease Cycles'!$BG$28:$BM$28,"&lt;="&amp;CI$6),0)</f>
        <v>0</v>
      </c>
      <c r="CJ350" s="25">
        <f>IF('Lease Cycles'!$C$28&gt;0,COUNTIF('Lease Cycles'!$BG$28:$BM$28,"&lt;="&amp;CJ$6),0)</f>
        <v>0</v>
      </c>
      <c r="CK350" s="25">
        <f>IF('Lease Cycles'!$C$28&gt;0,COUNTIF('Lease Cycles'!$BG$28:$BM$28,"&lt;="&amp;CK$6),0)</f>
        <v>0</v>
      </c>
      <c r="CL350" s="25">
        <f>IF('Lease Cycles'!$C$28&gt;0,COUNTIF('Lease Cycles'!$BG$28:$BM$28,"&lt;="&amp;CL$6),0)</f>
        <v>0</v>
      </c>
      <c r="CM350" s="25">
        <f>IF('Lease Cycles'!$C$28&gt;0,COUNTIF('Lease Cycles'!$BG$28:$BM$28,"&lt;="&amp;CM$6),0)</f>
        <v>0</v>
      </c>
      <c r="CN350" s="25">
        <f>IF('Lease Cycles'!$C$28&gt;0,COUNTIF('Lease Cycles'!$BG$28:$BM$28,"&lt;="&amp;CN$6),0)</f>
        <v>0</v>
      </c>
      <c r="CO350" s="25">
        <f>IF('Lease Cycles'!$C$28&gt;0,COUNTIF('Lease Cycles'!$BG$28:$BM$28,"&lt;="&amp;CO$6),0)</f>
        <v>0</v>
      </c>
      <c r="CP350" s="25">
        <f>IF('Lease Cycles'!$C$28&gt;0,COUNTIF('Lease Cycles'!$BG$28:$BM$28,"&lt;="&amp;CP$6),0)</f>
        <v>0</v>
      </c>
      <c r="CQ350" s="25">
        <f>IF('Lease Cycles'!$C$28&gt;0,COUNTIF('Lease Cycles'!$BG$28:$BM$28,"&lt;="&amp;CQ$6),0)</f>
        <v>0</v>
      </c>
      <c r="CR350" s="25">
        <f>IF('Lease Cycles'!$C$28&gt;0,COUNTIF('Lease Cycles'!$BG$28:$BM$28,"&lt;="&amp;CR$6),0)</f>
        <v>0</v>
      </c>
      <c r="CS350" s="25">
        <f>IF('Lease Cycles'!$C$28&gt;0,COUNTIF('Lease Cycles'!$BG$28:$BM$28,"&lt;="&amp;CS$6),0)</f>
        <v>0</v>
      </c>
      <c r="CT350" s="25">
        <f>IF('Lease Cycles'!$C$28&gt;0,COUNTIF('Lease Cycles'!$BG$28:$BM$28,"&lt;="&amp;CT$6),0)</f>
        <v>0</v>
      </c>
      <c r="CU350" s="25">
        <f>IF('Lease Cycles'!$C$28&gt;0,COUNTIF('Lease Cycles'!$BG$28:$BM$28,"&lt;="&amp;CU$6),0)</f>
        <v>0</v>
      </c>
      <c r="CV350" s="25">
        <f>IF('Lease Cycles'!$C$28&gt;0,COUNTIF('Lease Cycles'!$BG$28:$BM$28,"&lt;="&amp;CV$6),0)</f>
        <v>0</v>
      </c>
      <c r="CW350" s="25">
        <f>IF('Lease Cycles'!$C$28&gt;0,COUNTIF('Lease Cycles'!$BG$28:$BM$28,"&lt;="&amp;CW$6),0)</f>
        <v>0</v>
      </c>
      <c r="CX350" s="25">
        <f>IF('Lease Cycles'!$C$28&gt;0,COUNTIF('Lease Cycles'!$BG$28:$BM$28,"&lt;="&amp;CX$6),0)</f>
        <v>0</v>
      </c>
      <c r="CY350" s="25">
        <f>IF('Lease Cycles'!$C$28&gt;0,COUNTIF('Lease Cycles'!$BG$28:$BM$28,"&lt;="&amp;CY$6),0)</f>
        <v>0</v>
      </c>
      <c r="CZ350" s="25">
        <f>IF('Lease Cycles'!$C$28&gt;0,COUNTIF('Lease Cycles'!$BG$28:$BM$28,"&lt;="&amp;CZ$6),0)</f>
        <v>0</v>
      </c>
      <c r="DA350" s="25">
        <f>IF('Lease Cycles'!$C$28&gt;0,COUNTIF('Lease Cycles'!$BG$28:$BM$28,"&lt;="&amp;DA$6),0)</f>
        <v>0</v>
      </c>
      <c r="DB350" s="25">
        <f>IF('Lease Cycles'!$C$28&gt;0,COUNTIF('Lease Cycles'!$BG$28:$BM$28,"&lt;="&amp;DB$6),0)</f>
        <v>0</v>
      </c>
      <c r="DC350" s="25">
        <f>IF('Lease Cycles'!$C$28&gt;0,COUNTIF('Lease Cycles'!$BG$28:$BM$28,"&lt;="&amp;DC$6),0)</f>
        <v>0</v>
      </c>
      <c r="DD350" s="25">
        <f>IF('Lease Cycles'!$C$28&gt;0,COUNTIF('Lease Cycles'!$BG$28:$BM$28,"&lt;="&amp;DD$6),0)</f>
        <v>0</v>
      </c>
      <c r="DE350" s="25">
        <f>IF('Lease Cycles'!$C$28&gt;0,COUNTIF('Lease Cycles'!$BG$28:$BM$28,"&lt;="&amp;DE$6),0)</f>
        <v>0</v>
      </c>
      <c r="DF350" s="25">
        <f>IF('Lease Cycles'!$C$28&gt;0,COUNTIF('Lease Cycles'!$BG$28:$BM$28,"&lt;="&amp;DF$6),0)</f>
        <v>0</v>
      </c>
      <c r="DG350" s="25">
        <f>IF('Lease Cycles'!$C$28&gt;0,COUNTIF('Lease Cycles'!$BG$28:$BM$28,"&lt;="&amp;DG$6),0)</f>
        <v>0</v>
      </c>
      <c r="DH350" s="25">
        <f>IF('Lease Cycles'!$C$28&gt;0,COUNTIF('Lease Cycles'!$BG$28:$BM$28,"&lt;="&amp;DH$6),0)</f>
        <v>0</v>
      </c>
      <c r="DI350" s="25">
        <f>IF('Lease Cycles'!$C$28&gt;0,COUNTIF('Lease Cycles'!$BG$28:$BM$28,"&lt;="&amp;DI$6),0)</f>
        <v>0</v>
      </c>
      <c r="DJ350" s="25">
        <f>IF('Lease Cycles'!$C$28&gt;0,COUNTIF('Lease Cycles'!$BG$28:$BM$28,"&lt;="&amp;DJ$6),0)</f>
        <v>0</v>
      </c>
      <c r="DK350" s="25">
        <f>IF('Lease Cycles'!$C$28&gt;0,COUNTIF('Lease Cycles'!$BG$28:$BM$28,"&lt;="&amp;DK$6),0)</f>
        <v>0</v>
      </c>
      <c r="DL350" s="25">
        <f>IF('Lease Cycles'!$C$28&gt;0,COUNTIF('Lease Cycles'!$BG$28:$BM$28,"&lt;="&amp;DL$6),0)</f>
        <v>0</v>
      </c>
      <c r="DM350" s="25">
        <f>IF('Lease Cycles'!$C$28&gt;0,COUNTIF('Lease Cycles'!$BG$28:$BM$28,"&lt;="&amp;DM$6),0)</f>
        <v>0</v>
      </c>
      <c r="DN350" s="25">
        <f>IF('Lease Cycles'!$C$28&gt;0,COUNTIF('Lease Cycles'!$BG$28:$BM$28,"&lt;="&amp;DN$6),0)</f>
        <v>0</v>
      </c>
      <c r="DO350" s="25">
        <f>IF('Lease Cycles'!$C$28&gt;0,COUNTIF('Lease Cycles'!$BG$28:$BM$28,"&lt;="&amp;DO$6),0)</f>
        <v>0</v>
      </c>
      <c r="DP350" s="25">
        <f>IF('Lease Cycles'!$C$28&gt;0,COUNTIF('Lease Cycles'!$BG$28:$BM$28,"&lt;="&amp;DP$6),0)</f>
        <v>0</v>
      </c>
      <c r="DQ350" s="25">
        <f>IF('Lease Cycles'!$C$28&gt;0,COUNTIF('Lease Cycles'!$BG$28:$BM$28,"&lt;="&amp;DQ$6),0)</f>
        <v>0</v>
      </c>
      <c r="DR350" s="25">
        <f>IF('Lease Cycles'!$C$28&gt;0,COUNTIF('Lease Cycles'!$BG$28:$BM$28,"&lt;="&amp;DR$6),0)</f>
        <v>0</v>
      </c>
      <c r="DS350" s="25">
        <f>IF('Lease Cycles'!$C$28&gt;0,COUNTIF('Lease Cycles'!$BG$28:$BM$28,"&lt;="&amp;DS$6),0)</f>
        <v>0</v>
      </c>
      <c r="DT350" s="25">
        <f>IF('Lease Cycles'!$C$28&gt;0,COUNTIF('Lease Cycles'!$BG$28:$BM$28,"&lt;="&amp;DT$6),0)</f>
        <v>0</v>
      </c>
      <c r="DU350" s="25">
        <f>IF('Lease Cycles'!$C$28&gt;0,COUNTIF('Lease Cycles'!$BG$28:$BM$28,"&lt;="&amp;DU$6),0)</f>
        <v>0</v>
      </c>
      <c r="DV350" s="25">
        <f>IF('Lease Cycles'!$C$28&gt;0,COUNTIF('Lease Cycles'!$BG$28:$BM$28,"&lt;="&amp;DV$6),0)</f>
        <v>0</v>
      </c>
      <c r="DW350" s="25">
        <f>IF('Lease Cycles'!$C$28&gt;0,COUNTIF('Lease Cycles'!$BG$28:$BM$28,"&lt;="&amp;DW$6),0)</f>
        <v>0</v>
      </c>
      <c r="DX350" s="25">
        <f>IF('Lease Cycles'!$C$28&gt;0,COUNTIF('Lease Cycles'!$BG$28:$BM$28,"&lt;="&amp;DX$6),0)</f>
        <v>0</v>
      </c>
      <c r="DY350" s="25">
        <f>IF('Lease Cycles'!$C$28&gt;0,COUNTIF('Lease Cycles'!$BG$28:$BM$28,"&lt;="&amp;DY$6),0)</f>
        <v>0</v>
      </c>
      <c r="DZ350" s="25">
        <f>IF('Lease Cycles'!$C$28&gt;0,COUNTIF('Lease Cycles'!$BG$28:$BM$28,"&lt;="&amp;DZ$6),0)</f>
        <v>0</v>
      </c>
      <c r="EA350" s="25">
        <f>IF('Lease Cycles'!$C$28&gt;0,COUNTIF('Lease Cycles'!$BG$28:$BM$28,"&lt;="&amp;EA$6),0)</f>
        <v>0</v>
      </c>
      <c r="EB350" s="25">
        <f>IF('Lease Cycles'!$C$28&gt;0,COUNTIF('Lease Cycles'!$BG$28:$BM$28,"&lt;="&amp;EB$6),0)</f>
        <v>0</v>
      </c>
      <c r="EC350" s="25">
        <f>IF('Lease Cycles'!$C$28&gt;0,COUNTIF('Lease Cycles'!$BG$28:$BM$28,"&lt;="&amp;EC$6),0)</f>
        <v>0</v>
      </c>
      <c r="ED350" s="25">
        <f>IF('Lease Cycles'!$C$28&gt;0,COUNTIF('Lease Cycles'!$BG$28:$BM$28,"&lt;="&amp;ED$6),0)</f>
        <v>0</v>
      </c>
      <c r="EE350" s="25">
        <f>IF('Lease Cycles'!$C$28&gt;0,COUNTIF('Lease Cycles'!$BG$28:$BM$28,"&lt;="&amp;EE$6),0)</f>
        <v>0</v>
      </c>
      <c r="EF350" s="25">
        <f>IF('Lease Cycles'!$C$28&gt;0,COUNTIF('Lease Cycles'!$BG$28:$BM$28,"&lt;="&amp;EF$6),0)</f>
        <v>0</v>
      </c>
      <c r="EG350" s="25">
        <f>IF('Lease Cycles'!$C$28&gt;0,COUNTIF('Lease Cycles'!$BG$28:$BM$28,"&lt;="&amp;EG$6),0)</f>
        <v>0</v>
      </c>
      <c r="EH350" s="25">
        <f>IF('Lease Cycles'!$C$28&gt;0,COUNTIF('Lease Cycles'!$BG$28:$BM$28,"&lt;="&amp;EH$6),0)</f>
        <v>0</v>
      </c>
      <c r="EI350" s="25">
        <f>IF('Lease Cycles'!$C$28&gt;0,COUNTIF('Lease Cycles'!$BG$28:$BM$28,"&lt;="&amp;EI$6),0)</f>
        <v>0</v>
      </c>
      <c r="EJ350" s="25">
        <f>IF('Lease Cycles'!$C$28&gt;0,COUNTIF('Lease Cycles'!$BG$28:$BM$28,"&lt;="&amp;EJ$6),0)</f>
        <v>0</v>
      </c>
      <c r="EK350" s="25">
        <f>IF('Lease Cycles'!$C$28&gt;0,COUNTIF('Lease Cycles'!$BG$28:$BM$28,"&lt;="&amp;EK$6),0)</f>
        <v>0</v>
      </c>
      <c r="EL350" s="25">
        <f>IF('Lease Cycles'!$C$28&gt;0,COUNTIF('Lease Cycles'!$BG$28:$BM$28,"&lt;="&amp;EL$6),0)</f>
        <v>0</v>
      </c>
      <c r="EM350" s="25">
        <f>IF('Lease Cycles'!$C$28&gt;0,COUNTIF('Lease Cycles'!$BG$28:$BM$28,"&lt;="&amp;EM$6),0)</f>
        <v>0</v>
      </c>
      <c r="EN350" s="25">
        <f>IF('Lease Cycles'!$C$28&gt;0,COUNTIF('Lease Cycles'!$BG$28:$BM$28,"&lt;="&amp;EN$6),0)</f>
        <v>0</v>
      </c>
      <c r="EO350" s="25">
        <f>IF('Lease Cycles'!$C$28&gt;0,COUNTIF('Lease Cycles'!$BG$28:$BM$28,"&lt;="&amp;EO$6),0)</f>
        <v>0</v>
      </c>
      <c r="EP350" s="25">
        <f>IF('Lease Cycles'!$C$28&gt;0,COUNTIF('Lease Cycles'!$BG$28:$BM$28,"&lt;="&amp;EP$6),0)</f>
        <v>0</v>
      </c>
      <c r="EQ350" s="25">
        <f>IF('Lease Cycles'!$C$28&gt;0,COUNTIF('Lease Cycles'!$BG$28:$BM$28,"&lt;="&amp;EQ$6),0)</f>
        <v>0</v>
      </c>
      <c r="ER350" s="25">
        <f>IF('Lease Cycles'!$C$28&gt;0,COUNTIF('Lease Cycles'!$BG$28:$BM$28,"&lt;="&amp;ER$6),0)</f>
        <v>0</v>
      </c>
      <c r="ES350" s="25">
        <f>IF('Lease Cycles'!$C$28&gt;0,COUNTIF('Lease Cycles'!$BG$28:$BM$28,"&lt;="&amp;ES$6),0)</f>
        <v>0</v>
      </c>
      <c r="ET350" s="25">
        <f>IF('Lease Cycles'!$C$28&gt;0,COUNTIF('Lease Cycles'!$BG$28:$BM$28,"&lt;="&amp;ET$6),0)</f>
        <v>0</v>
      </c>
    </row>
    <row r="351">
      <c r="A351" s="103">
        <v>21</v>
      </c>
      <c r="B351" s="23" t="str">
        <f>IF('Lease Cycles'!$B$28="","(empty slot)",'Lease Cycles'!$B$28)</f>
        <v>(empty slot)</v>
      </c>
      <c r="C351" s="23" t="s">
        <v>673</v>
      </c>
      <c r="D351" s="104" t="s">
        <v>674</v>
      </c>
      <c r="E351" s="25">
        <f>'Lease Cycles'!$AL$28</f>
        <v>0</v>
      </c>
      <c r="S351" s="25">
        <f>IF(S350=0,-1,S$6-INDEX('Lease Cycles'!$BG$28:$BM$28,1,S350))</f>
        <v>-1</v>
      </c>
      <c r="T351" s="25">
        <f>IF(T350=0,-1,T$6-INDEX('Lease Cycles'!$BG$28:$BM$28,1,T350))</f>
        <v>-1</v>
      </c>
      <c r="U351" s="25">
        <f>IF(U350=0,-1,U$6-INDEX('Lease Cycles'!$BG$28:$BM$28,1,U350))</f>
        <v>-1</v>
      </c>
      <c r="V351" s="25">
        <f>IF(V350=0,-1,V$6-INDEX('Lease Cycles'!$BG$28:$BM$28,1,V350))</f>
        <v>-1</v>
      </c>
      <c r="W351" s="25">
        <f>IF(W350=0,-1,W$6-INDEX('Lease Cycles'!$BG$28:$BM$28,1,W350))</f>
        <v>-1</v>
      </c>
      <c r="X351" s="25">
        <f>IF(X350=0,-1,X$6-INDEX('Lease Cycles'!$BG$28:$BM$28,1,X350))</f>
        <v>-1</v>
      </c>
      <c r="Y351" s="25">
        <f>IF(Y350=0,-1,Y$6-INDEX('Lease Cycles'!$BG$28:$BM$28,1,Y350))</f>
        <v>-1</v>
      </c>
      <c r="Z351" s="25">
        <f>IF(Z350=0,-1,Z$6-INDEX('Lease Cycles'!$BG$28:$BM$28,1,Z350))</f>
        <v>-1</v>
      </c>
      <c r="AA351" s="25">
        <f>IF(AA350=0,-1,AA$6-INDEX('Lease Cycles'!$BG$28:$BM$28,1,AA350))</f>
        <v>-1</v>
      </c>
      <c r="AB351" s="25">
        <f>IF(AB350=0,-1,AB$6-INDEX('Lease Cycles'!$BG$28:$BM$28,1,AB350))</f>
        <v>-1</v>
      </c>
      <c r="AC351" s="25">
        <f>IF(AC350=0,-1,AC$6-INDEX('Lease Cycles'!$BG$28:$BM$28,1,AC350))</f>
        <v>-1</v>
      </c>
      <c r="AD351" s="25">
        <f>IF(AD350=0,-1,AD$6-INDEX('Lease Cycles'!$BG$28:$BM$28,1,AD350))</f>
        <v>-1</v>
      </c>
      <c r="AE351" s="25">
        <f>IF(AE350=0,-1,AE$6-INDEX('Lease Cycles'!$BG$28:$BM$28,1,AE350))</f>
        <v>-1</v>
      </c>
      <c r="AF351" s="25">
        <f>IF(AF350=0,-1,AF$6-INDEX('Lease Cycles'!$BG$28:$BM$28,1,AF350))</f>
        <v>-1</v>
      </c>
      <c r="AG351" s="25">
        <f>IF(AG350=0,-1,AG$6-INDEX('Lease Cycles'!$BG$28:$BM$28,1,AG350))</f>
        <v>-1</v>
      </c>
      <c r="AH351" s="25">
        <f>IF(AH350=0,-1,AH$6-INDEX('Lease Cycles'!$BG$28:$BM$28,1,AH350))</f>
        <v>-1</v>
      </c>
      <c r="AI351" s="25">
        <f>IF(AI350=0,-1,AI$6-INDEX('Lease Cycles'!$BG$28:$BM$28,1,AI350))</f>
        <v>-1</v>
      </c>
      <c r="AJ351" s="25">
        <f>IF(AJ350=0,-1,AJ$6-INDEX('Lease Cycles'!$BG$28:$BM$28,1,AJ350))</f>
        <v>-1</v>
      </c>
      <c r="AK351" s="25">
        <f>IF(AK350=0,-1,AK$6-INDEX('Lease Cycles'!$BG$28:$BM$28,1,AK350))</f>
        <v>-1</v>
      </c>
      <c r="AL351" s="25">
        <f>IF(AL350=0,-1,AL$6-INDEX('Lease Cycles'!$BG$28:$BM$28,1,AL350))</f>
        <v>-1</v>
      </c>
      <c r="AM351" s="25">
        <f>IF(AM350=0,-1,AM$6-INDEX('Lease Cycles'!$BG$28:$BM$28,1,AM350))</f>
        <v>-1</v>
      </c>
      <c r="AN351" s="25">
        <f>IF(AN350=0,-1,AN$6-INDEX('Lease Cycles'!$BG$28:$BM$28,1,AN350))</f>
        <v>-1</v>
      </c>
      <c r="AO351" s="25">
        <f>IF(AO350=0,-1,AO$6-INDEX('Lease Cycles'!$BG$28:$BM$28,1,AO350))</f>
        <v>-1</v>
      </c>
      <c r="AP351" s="25">
        <f>IF(AP350=0,-1,AP$6-INDEX('Lease Cycles'!$BG$28:$BM$28,1,AP350))</f>
        <v>-1</v>
      </c>
      <c r="AQ351" s="25">
        <f>IF(AQ350=0,-1,AQ$6-INDEX('Lease Cycles'!$BG$28:$BM$28,1,AQ350))</f>
        <v>-1</v>
      </c>
      <c r="AR351" s="25">
        <f>IF(AR350=0,-1,AR$6-INDEX('Lease Cycles'!$BG$28:$BM$28,1,AR350))</f>
        <v>-1</v>
      </c>
      <c r="AS351" s="25">
        <f>IF(AS350=0,-1,AS$6-INDEX('Lease Cycles'!$BG$28:$BM$28,1,AS350))</f>
        <v>-1</v>
      </c>
      <c r="AT351" s="25">
        <f>IF(AT350=0,-1,AT$6-INDEX('Lease Cycles'!$BG$28:$BM$28,1,AT350))</f>
        <v>-1</v>
      </c>
      <c r="AU351" s="25">
        <f>IF(AU350=0,-1,AU$6-INDEX('Lease Cycles'!$BG$28:$BM$28,1,AU350))</f>
        <v>-1</v>
      </c>
      <c r="AV351" s="25">
        <f>IF(AV350=0,-1,AV$6-INDEX('Lease Cycles'!$BG$28:$BM$28,1,AV350))</f>
        <v>-1</v>
      </c>
      <c r="AW351" s="25">
        <f>IF(AW350=0,-1,AW$6-INDEX('Lease Cycles'!$BG$28:$BM$28,1,AW350))</f>
        <v>-1</v>
      </c>
      <c r="AX351" s="25">
        <f>IF(AX350=0,-1,AX$6-INDEX('Lease Cycles'!$BG$28:$BM$28,1,AX350))</f>
        <v>-1</v>
      </c>
      <c r="AY351" s="25">
        <f>IF(AY350=0,-1,AY$6-INDEX('Lease Cycles'!$BG$28:$BM$28,1,AY350))</f>
        <v>-1</v>
      </c>
      <c r="AZ351" s="25">
        <f>IF(AZ350=0,-1,AZ$6-INDEX('Lease Cycles'!$BG$28:$BM$28,1,AZ350))</f>
        <v>-1</v>
      </c>
      <c r="BA351" s="25">
        <f>IF(BA350=0,-1,BA$6-INDEX('Lease Cycles'!$BG$28:$BM$28,1,BA350))</f>
        <v>-1</v>
      </c>
      <c r="BB351" s="25">
        <f>IF(BB350=0,-1,BB$6-INDEX('Lease Cycles'!$BG$28:$BM$28,1,BB350))</f>
        <v>-1</v>
      </c>
      <c r="BC351" s="25">
        <f>IF(BC350=0,-1,BC$6-INDEX('Lease Cycles'!$BG$28:$BM$28,1,BC350))</f>
        <v>-1</v>
      </c>
      <c r="BD351" s="25">
        <f>IF(BD350=0,-1,BD$6-INDEX('Lease Cycles'!$BG$28:$BM$28,1,BD350))</f>
        <v>-1</v>
      </c>
      <c r="BE351" s="25">
        <f>IF(BE350=0,-1,BE$6-INDEX('Lease Cycles'!$BG$28:$BM$28,1,BE350))</f>
        <v>-1</v>
      </c>
      <c r="BF351" s="25">
        <f>IF(BF350=0,-1,BF$6-INDEX('Lease Cycles'!$BG$28:$BM$28,1,BF350))</f>
        <v>-1</v>
      </c>
      <c r="BG351" s="25">
        <f>IF(BG350=0,-1,BG$6-INDEX('Lease Cycles'!$BG$28:$BM$28,1,BG350))</f>
        <v>-1</v>
      </c>
      <c r="BH351" s="25">
        <f>IF(BH350=0,-1,BH$6-INDEX('Lease Cycles'!$BG$28:$BM$28,1,BH350))</f>
        <v>-1</v>
      </c>
      <c r="BI351" s="25">
        <f>IF(BI350=0,-1,BI$6-INDEX('Lease Cycles'!$BG$28:$BM$28,1,BI350))</f>
        <v>-1</v>
      </c>
      <c r="BJ351" s="25">
        <f>IF(BJ350=0,-1,BJ$6-INDEX('Lease Cycles'!$BG$28:$BM$28,1,BJ350))</f>
        <v>-1</v>
      </c>
      <c r="BK351" s="25">
        <f>IF(BK350=0,-1,BK$6-INDEX('Lease Cycles'!$BG$28:$BM$28,1,BK350))</f>
        <v>-1</v>
      </c>
      <c r="BL351" s="25">
        <f>IF(BL350=0,-1,BL$6-INDEX('Lease Cycles'!$BG$28:$BM$28,1,BL350))</f>
        <v>-1</v>
      </c>
      <c r="BM351" s="25">
        <f>IF(BM350=0,-1,BM$6-INDEX('Lease Cycles'!$BG$28:$BM$28,1,BM350))</f>
        <v>-1</v>
      </c>
      <c r="BN351" s="25">
        <f>IF(BN350=0,-1,BN$6-INDEX('Lease Cycles'!$BG$28:$BM$28,1,BN350))</f>
        <v>-1</v>
      </c>
      <c r="BO351" s="25">
        <f>IF(BO350=0,-1,BO$6-INDEX('Lease Cycles'!$BG$28:$BM$28,1,BO350))</f>
        <v>-1</v>
      </c>
      <c r="BP351" s="25">
        <f>IF(BP350=0,-1,BP$6-INDEX('Lease Cycles'!$BG$28:$BM$28,1,BP350))</f>
        <v>-1</v>
      </c>
      <c r="BQ351" s="25">
        <f>IF(BQ350=0,-1,BQ$6-INDEX('Lease Cycles'!$BG$28:$BM$28,1,BQ350))</f>
        <v>-1</v>
      </c>
      <c r="BR351" s="25">
        <f>IF(BR350=0,-1,BR$6-INDEX('Lease Cycles'!$BG$28:$BM$28,1,BR350))</f>
        <v>-1</v>
      </c>
      <c r="BS351" s="25">
        <f>IF(BS350=0,-1,BS$6-INDEX('Lease Cycles'!$BG$28:$BM$28,1,BS350))</f>
        <v>-1</v>
      </c>
      <c r="BT351" s="25">
        <f>IF(BT350=0,-1,BT$6-INDEX('Lease Cycles'!$BG$28:$BM$28,1,BT350))</f>
        <v>-1</v>
      </c>
      <c r="BU351" s="25">
        <f>IF(BU350=0,-1,BU$6-INDEX('Lease Cycles'!$BG$28:$BM$28,1,BU350))</f>
        <v>-1</v>
      </c>
      <c r="BV351" s="25">
        <f>IF(BV350=0,-1,BV$6-INDEX('Lease Cycles'!$BG$28:$BM$28,1,BV350))</f>
        <v>-1</v>
      </c>
      <c r="BW351" s="25">
        <f>IF(BW350=0,-1,BW$6-INDEX('Lease Cycles'!$BG$28:$BM$28,1,BW350))</f>
        <v>-1</v>
      </c>
      <c r="BX351" s="25">
        <f>IF(BX350=0,-1,BX$6-INDEX('Lease Cycles'!$BG$28:$BM$28,1,BX350))</f>
        <v>-1</v>
      </c>
      <c r="BY351" s="25">
        <f>IF(BY350=0,-1,BY$6-INDEX('Lease Cycles'!$BG$28:$BM$28,1,BY350))</f>
        <v>-1</v>
      </c>
      <c r="BZ351" s="25">
        <f>IF(BZ350=0,-1,BZ$6-INDEX('Lease Cycles'!$BG$28:$BM$28,1,BZ350))</f>
        <v>-1</v>
      </c>
      <c r="CA351" s="25">
        <f>IF(CA350=0,-1,CA$6-INDEX('Lease Cycles'!$BG$28:$BM$28,1,CA350))</f>
        <v>-1</v>
      </c>
      <c r="CB351" s="25">
        <f>IF(CB350=0,-1,CB$6-INDEX('Lease Cycles'!$BG$28:$BM$28,1,CB350))</f>
        <v>-1</v>
      </c>
      <c r="CC351" s="25">
        <f>IF(CC350=0,-1,CC$6-INDEX('Lease Cycles'!$BG$28:$BM$28,1,CC350))</f>
        <v>-1</v>
      </c>
      <c r="CD351" s="25">
        <f>IF(CD350=0,-1,CD$6-INDEX('Lease Cycles'!$BG$28:$BM$28,1,CD350))</f>
        <v>-1</v>
      </c>
      <c r="CE351" s="25">
        <f>IF(CE350=0,-1,CE$6-INDEX('Lease Cycles'!$BG$28:$BM$28,1,CE350))</f>
        <v>-1</v>
      </c>
      <c r="CF351" s="25">
        <f>IF(CF350=0,-1,CF$6-INDEX('Lease Cycles'!$BG$28:$BM$28,1,CF350))</f>
        <v>-1</v>
      </c>
      <c r="CG351" s="25">
        <f>IF(CG350=0,-1,CG$6-INDEX('Lease Cycles'!$BG$28:$BM$28,1,CG350))</f>
        <v>-1</v>
      </c>
      <c r="CH351" s="25">
        <f>IF(CH350=0,-1,CH$6-INDEX('Lease Cycles'!$BG$28:$BM$28,1,CH350))</f>
        <v>-1</v>
      </c>
      <c r="CI351" s="25">
        <f>IF(CI350=0,-1,CI$6-INDEX('Lease Cycles'!$BG$28:$BM$28,1,CI350))</f>
        <v>-1</v>
      </c>
      <c r="CJ351" s="25">
        <f>IF(CJ350=0,-1,CJ$6-INDEX('Lease Cycles'!$BG$28:$BM$28,1,CJ350))</f>
        <v>-1</v>
      </c>
      <c r="CK351" s="25">
        <f>IF(CK350=0,-1,CK$6-INDEX('Lease Cycles'!$BG$28:$BM$28,1,CK350))</f>
        <v>-1</v>
      </c>
      <c r="CL351" s="25">
        <f>IF(CL350=0,-1,CL$6-INDEX('Lease Cycles'!$BG$28:$BM$28,1,CL350))</f>
        <v>-1</v>
      </c>
      <c r="CM351" s="25">
        <f>IF(CM350=0,-1,CM$6-INDEX('Lease Cycles'!$BG$28:$BM$28,1,CM350))</f>
        <v>-1</v>
      </c>
      <c r="CN351" s="25">
        <f>IF(CN350=0,-1,CN$6-INDEX('Lease Cycles'!$BG$28:$BM$28,1,CN350))</f>
        <v>-1</v>
      </c>
      <c r="CO351" s="25">
        <f>IF(CO350=0,-1,CO$6-INDEX('Lease Cycles'!$BG$28:$BM$28,1,CO350))</f>
        <v>-1</v>
      </c>
      <c r="CP351" s="25">
        <f>IF(CP350=0,-1,CP$6-INDEX('Lease Cycles'!$BG$28:$BM$28,1,CP350))</f>
        <v>-1</v>
      </c>
      <c r="CQ351" s="25">
        <f>IF(CQ350=0,-1,CQ$6-INDEX('Lease Cycles'!$BG$28:$BM$28,1,CQ350))</f>
        <v>-1</v>
      </c>
      <c r="CR351" s="25">
        <f>IF(CR350=0,-1,CR$6-INDEX('Lease Cycles'!$BG$28:$BM$28,1,CR350))</f>
        <v>-1</v>
      </c>
      <c r="CS351" s="25">
        <f>IF(CS350=0,-1,CS$6-INDEX('Lease Cycles'!$BG$28:$BM$28,1,CS350))</f>
        <v>-1</v>
      </c>
      <c r="CT351" s="25">
        <f>IF(CT350=0,-1,CT$6-INDEX('Lease Cycles'!$BG$28:$BM$28,1,CT350))</f>
        <v>-1</v>
      </c>
      <c r="CU351" s="25">
        <f>IF(CU350=0,-1,CU$6-INDEX('Lease Cycles'!$BG$28:$BM$28,1,CU350))</f>
        <v>-1</v>
      </c>
      <c r="CV351" s="25">
        <f>IF(CV350=0,-1,CV$6-INDEX('Lease Cycles'!$BG$28:$BM$28,1,CV350))</f>
        <v>-1</v>
      </c>
      <c r="CW351" s="25">
        <f>IF(CW350=0,-1,CW$6-INDEX('Lease Cycles'!$BG$28:$BM$28,1,CW350))</f>
        <v>-1</v>
      </c>
      <c r="CX351" s="25">
        <f>IF(CX350=0,-1,CX$6-INDEX('Lease Cycles'!$BG$28:$BM$28,1,CX350))</f>
        <v>-1</v>
      </c>
      <c r="CY351" s="25">
        <f>IF(CY350=0,-1,CY$6-INDEX('Lease Cycles'!$BG$28:$BM$28,1,CY350))</f>
        <v>-1</v>
      </c>
      <c r="CZ351" s="25">
        <f>IF(CZ350=0,-1,CZ$6-INDEX('Lease Cycles'!$BG$28:$BM$28,1,CZ350))</f>
        <v>-1</v>
      </c>
      <c r="DA351" s="25">
        <f>IF(DA350=0,-1,DA$6-INDEX('Lease Cycles'!$BG$28:$BM$28,1,DA350))</f>
        <v>-1</v>
      </c>
      <c r="DB351" s="25">
        <f>IF(DB350=0,-1,DB$6-INDEX('Lease Cycles'!$BG$28:$BM$28,1,DB350))</f>
        <v>-1</v>
      </c>
      <c r="DC351" s="25">
        <f>IF(DC350=0,-1,DC$6-INDEX('Lease Cycles'!$BG$28:$BM$28,1,DC350))</f>
        <v>-1</v>
      </c>
      <c r="DD351" s="25">
        <f>IF(DD350=0,-1,DD$6-INDEX('Lease Cycles'!$BG$28:$BM$28,1,DD350))</f>
        <v>-1</v>
      </c>
      <c r="DE351" s="25">
        <f>IF(DE350=0,-1,DE$6-INDEX('Lease Cycles'!$BG$28:$BM$28,1,DE350))</f>
        <v>-1</v>
      </c>
      <c r="DF351" s="25">
        <f>IF(DF350=0,-1,DF$6-INDEX('Lease Cycles'!$BG$28:$BM$28,1,DF350))</f>
        <v>-1</v>
      </c>
      <c r="DG351" s="25">
        <f>IF(DG350=0,-1,DG$6-INDEX('Lease Cycles'!$BG$28:$BM$28,1,DG350))</f>
        <v>-1</v>
      </c>
      <c r="DH351" s="25">
        <f>IF(DH350=0,-1,DH$6-INDEX('Lease Cycles'!$BG$28:$BM$28,1,DH350))</f>
        <v>-1</v>
      </c>
      <c r="DI351" s="25">
        <f>IF(DI350=0,-1,DI$6-INDEX('Lease Cycles'!$BG$28:$BM$28,1,DI350))</f>
        <v>-1</v>
      </c>
      <c r="DJ351" s="25">
        <f>IF(DJ350=0,-1,DJ$6-INDEX('Lease Cycles'!$BG$28:$BM$28,1,DJ350))</f>
        <v>-1</v>
      </c>
      <c r="DK351" s="25">
        <f>IF(DK350=0,-1,DK$6-INDEX('Lease Cycles'!$BG$28:$BM$28,1,DK350))</f>
        <v>-1</v>
      </c>
      <c r="DL351" s="25">
        <f>IF(DL350=0,-1,DL$6-INDEX('Lease Cycles'!$BG$28:$BM$28,1,DL350))</f>
        <v>-1</v>
      </c>
      <c r="DM351" s="25">
        <f>IF(DM350=0,-1,DM$6-INDEX('Lease Cycles'!$BG$28:$BM$28,1,DM350))</f>
        <v>-1</v>
      </c>
      <c r="DN351" s="25">
        <f>IF(DN350=0,-1,DN$6-INDEX('Lease Cycles'!$BG$28:$BM$28,1,DN350))</f>
        <v>-1</v>
      </c>
      <c r="DO351" s="25">
        <f>IF(DO350=0,-1,DO$6-INDEX('Lease Cycles'!$BG$28:$BM$28,1,DO350))</f>
        <v>-1</v>
      </c>
      <c r="DP351" s="25">
        <f>IF(DP350=0,-1,DP$6-INDEX('Lease Cycles'!$BG$28:$BM$28,1,DP350))</f>
        <v>-1</v>
      </c>
      <c r="DQ351" s="25">
        <f>IF(DQ350=0,-1,DQ$6-INDEX('Lease Cycles'!$BG$28:$BM$28,1,DQ350))</f>
        <v>-1</v>
      </c>
      <c r="DR351" s="25">
        <f>IF(DR350=0,-1,DR$6-INDEX('Lease Cycles'!$BG$28:$BM$28,1,DR350))</f>
        <v>-1</v>
      </c>
      <c r="DS351" s="25">
        <f>IF(DS350=0,-1,DS$6-INDEX('Lease Cycles'!$BG$28:$BM$28,1,DS350))</f>
        <v>-1</v>
      </c>
      <c r="DT351" s="25">
        <f>IF(DT350=0,-1,DT$6-INDEX('Lease Cycles'!$BG$28:$BM$28,1,DT350))</f>
        <v>-1</v>
      </c>
      <c r="DU351" s="25">
        <f>IF(DU350=0,-1,DU$6-INDEX('Lease Cycles'!$BG$28:$BM$28,1,DU350))</f>
        <v>-1</v>
      </c>
      <c r="DV351" s="25">
        <f>IF(DV350=0,-1,DV$6-INDEX('Lease Cycles'!$BG$28:$BM$28,1,DV350))</f>
        <v>-1</v>
      </c>
      <c r="DW351" s="25">
        <f>IF(DW350=0,-1,DW$6-INDEX('Lease Cycles'!$BG$28:$BM$28,1,DW350))</f>
        <v>-1</v>
      </c>
      <c r="DX351" s="25">
        <f>IF(DX350=0,-1,DX$6-INDEX('Lease Cycles'!$BG$28:$BM$28,1,DX350))</f>
        <v>-1</v>
      </c>
      <c r="DY351" s="25">
        <f>IF(DY350=0,-1,DY$6-INDEX('Lease Cycles'!$BG$28:$BM$28,1,DY350))</f>
        <v>-1</v>
      </c>
      <c r="DZ351" s="25">
        <f>IF(DZ350=0,-1,DZ$6-INDEX('Lease Cycles'!$BG$28:$BM$28,1,DZ350))</f>
        <v>-1</v>
      </c>
      <c r="EA351" s="25">
        <f>IF(EA350=0,-1,EA$6-INDEX('Lease Cycles'!$BG$28:$BM$28,1,EA350))</f>
        <v>-1</v>
      </c>
      <c r="EB351" s="25">
        <f>IF(EB350=0,-1,EB$6-INDEX('Lease Cycles'!$BG$28:$BM$28,1,EB350))</f>
        <v>-1</v>
      </c>
      <c r="EC351" s="25">
        <f>IF(EC350=0,-1,EC$6-INDEX('Lease Cycles'!$BG$28:$BM$28,1,EC350))</f>
        <v>-1</v>
      </c>
      <c r="ED351" s="25">
        <f>IF(ED350=0,-1,ED$6-INDEX('Lease Cycles'!$BG$28:$BM$28,1,ED350))</f>
        <v>-1</v>
      </c>
      <c r="EE351" s="25">
        <f>IF(EE350=0,-1,EE$6-INDEX('Lease Cycles'!$BG$28:$BM$28,1,EE350))</f>
        <v>-1</v>
      </c>
      <c r="EF351" s="25">
        <f>IF(EF350=0,-1,EF$6-INDEX('Lease Cycles'!$BG$28:$BM$28,1,EF350))</f>
        <v>-1</v>
      </c>
      <c r="EG351" s="25">
        <f>IF(EG350=0,-1,EG$6-INDEX('Lease Cycles'!$BG$28:$BM$28,1,EG350))</f>
        <v>-1</v>
      </c>
      <c r="EH351" s="25">
        <f>IF(EH350=0,-1,EH$6-INDEX('Lease Cycles'!$BG$28:$BM$28,1,EH350))</f>
        <v>-1</v>
      </c>
      <c r="EI351" s="25">
        <f>IF(EI350=0,-1,EI$6-INDEX('Lease Cycles'!$BG$28:$BM$28,1,EI350))</f>
        <v>-1</v>
      </c>
      <c r="EJ351" s="25">
        <f>IF(EJ350=0,-1,EJ$6-INDEX('Lease Cycles'!$BG$28:$BM$28,1,EJ350))</f>
        <v>-1</v>
      </c>
      <c r="EK351" s="25">
        <f>IF(EK350=0,-1,EK$6-INDEX('Lease Cycles'!$BG$28:$BM$28,1,EK350))</f>
        <v>-1</v>
      </c>
      <c r="EL351" s="25">
        <f>IF(EL350=0,-1,EL$6-INDEX('Lease Cycles'!$BG$28:$BM$28,1,EL350))</f>
        <v>-1</v>
      </c>
      <c r="EM351" s="25">
        <f>IF(EM350=0,-1,EM$6-INDEX('Lease Cycles'!$BG$28:$BM$28,1,EM350))</f>
        <v>-1</v>
      </c>
      <c r="EN351" s="25">
        <f>IF(EN350=0,-1,EN$6-INDEX('Lease Cycles'!$BG$28:$BM$28,1,EN350))</f>
        <v>-1</v>
      </c>
      <c r="EO351" s="25">
        <f>IF(EO350=0,-1,EO$6-INDEX('Lease Cycles'!$BG$28:$BM$28,1,EO350))</f>
        <v>-1</v>
      </c>
      <c r="EP351" s="25">
        <f>IF(EP350=0,-1,EP$6-INDEX('Lease Cycles'!$BG$28:$BM$28,1,EP350))</f>
        <v>-1</v>
      </c>
      <c r="EQ351" s="25">
        <f>IF(EQ350=0,-1,EQ$6-INDEX('Lease Cycles'!$BG$28:$BM$28,1,EQ350))</f>
        <v>-1</v>
      </c>
      <c r="ER351" s="25">
        <f>IF(ER350=0,-1,ER$6-INDEX('Lease Cycles'!$BG$28:$BM$28,1,ER350))</f>
        <v>-1</v>
      </c>
      <c r="ES351" s="25">
        <f>IF(ES350=0,-1,ES$6-INDEX('Lease Cycles'!$BG$28:$BM$28,1,ES350))</f>
        <v>-1</v>
      </c>
      <c r="ET351" s="25">
        <f>IF(ET350=0,-1,ET$6-INDEX('Lease Cycles'!$BG$28:$BM$28,1,ET350))</f>
        <v>-1</v>
      </c>
    </row>
    <row r="352">
      <c r="A352" s="103">
        <v>21</v>
      </c>
      <c r="B352" s="23" t="str">
        <f>IF('Lease Cycles'!$B$28="","(empty slot)",'Lease Cycles'!$B$28)</f>
        <v>(empty slot)</v>
      </c>
      <c r="C352" s="23" t="s">
        <v>675</v>
      </c>
      <c r="D352" s="104" t="s">
        <v>676</v>
      </c>
      <c r="E352" s="25">
        <f>'Lease Cycles'!$AL$28</f>
        <v>0</v>
      </c>
      <c r="S352" s="25">
        <f>IF(S350=0,0,IF(S351&lt;INDEX('Lease Cycles'!$BN$28:$BT$28,1,S350),1,0))</f>
        <v>0</v>
      </c>
      <c r="T352" s="25">
        <f>IF(T350=0,0,IF(T351&lt;INDEX('Lease Cycles'!$BN$28:$BT$28,1,T350),1,0))</f>
        <v>0</v>
      </c>
      <c r="U352" s="25">
        <f>IF(U350=0,0,IF(U351&lt;INDEX('Lease Cycles'!$BN$28:$BT$28,1,U350),1,0))</f>
        <v>0</v>
      </c>
      <c r="V352" s="25">
        <f>IF(V350=0,0,IF(V351&lt;INDEX('Lease Cycles'!$BN$28:$BT$28,1,V350),1,0))</f>
        <v>0</v>
      </c>
      <c r="W352" s="25">
        <f>IF(W350=0,0,IF(W351&lt;INDEX('Lease Cycles'!$BN$28:$BT$28,1,W350),1,0))</f>
        <v>0</v>
      </c>
      <c r="X352" s="25">
        <f>IF(X350=0,0,IF(X351&lt;INDEX('Lease Cycles'!$BN$28:$BT$28,1,X350),1,0))</f>
        <v>0</v>
      </c>
      <c r="Y352" s="25">
        <f>IF(Y350=0,0,IF(Y351&lt;INDEX('Lease Cycles'!$BN$28:$BT$28,1,Y350),1,0))</f>
        <v>0</v>
      </c>
      <c r="Z352" s="25">
        <f>IF(Z350=0,0,IF(Z351&lt;INDEX('Lease Cycles'!$BN$28:$BT$28,1,Z350),1,0))</f>
        <v>0</v>
      </c>
      <c r="AA352" s="25">
        <f>IF(AA350=0,0,IF(AA351&lt;INDEX('Lease Cycles'!$BN$28:$BT$28,1,AA350),1,0))</f>
        <v>0</v>
      </c>
      <c r="AB352" s="25">
        <f>IF(AB350=0,0,IF(AB351&lt;INDEX('Lease Cycles'!$BN$28:$BT$28,1,AB350),1,0))</f>
        <v>0</v>
      </c>
      <c r="AC352" s="25">
        <f>IF(AC350=0,0,IF(AC351&lt;INDEX('Lease Cycles'!$BN$28:$BT$28,1,AC350),1,0))</f>
        <v>0</v>
      </c>
      <c r="AD352" s="25">
        <f>IF(AD350=0,0,IF(AD351&lt;INDEX('Lease Cycles'!$BN$28:$BT$28,1,AD350),1,0))</f>
        <v>0</v>
      </c>
      <c r="AE352" s="25">
        <f>IF(AE350=0,0,IF(AE351&lt;INDEX('Lease Cycles'!$BN$28:$BT$28,1,AE350),1,0))</f>
        <v>0</v>
      </c>
      <c r="AF352" s="25">
        <f>IF(AF350=0,0,IF(AF351&lt;INDEX('Lease Cycles'!$BN$28:$BT$28,1,AF350),1,0))</f>
        <v>0</v>
      </c>
      <c r="AG352" s="25">
        <f>IF(AG350=0,0,IF(AG351&lt;INDEX('Lease Cycles'!$BN$28:$BT$28,1,AG350),1,0))</f>
        <v>0</v>
      </c>
      <c r="AH352" s="25">
        <f>IF(AH350=0,0,IF(AH351&lt;INDEX('Lease Cycles'!$BN$28:$BT$28,1,AH350),1,0))</f>
        <v>0</v>
      </c>
      <c r="AI352" s="25">
        <f>IF(AI350=0,0,IF(AI351&lt;INDEX('Lease Cycles'!$BN$28:$BT$28,1,AI350),1,0))</f>
        <v>0</v>
      </c>
      <c r="AJ352" s="25">
        <f>IF(AJ350=0,0,IF(AJ351&lt;INDEX('Lease Cycles'!$BN$28:$BT$28,1,AJ350),1,0))</f>
        <v>0</v>
      </c>
      <c r="AK352" s="25">
        <f>IF(AK350=0,0,IF(AK351&lt;INDEX('Lease Cycles'!$BN$28:$BT$28,1,AK350),1,0))</f>
        <v>0</v>
      </c>
      <c r="AL352" s="25">
        <f>IF(AL350=0,0,IF(AL351&lt;INDEX('Lease Cycles'!$BN$28:$BT$28,1,AL350),1,0))</f>
        <v>0</v>
      </c>
      <c r="AM352" s="25">
        <f>IF(AM350=0,0,IF(AM351&lt;INDEX('Lease Cycles'!$BN$28:$BT$28,1,AM350),1,0))</f>
        <v>0</v>
      </c>
      <c r="AN352" s="25">
        <f>IF(AN350=0,0,IF(AN351&lt;INDEX('Lease Cycles'!$BN$28:$BT$28,1,AN350),1,0))</f>
        <v>0</v>
      </c>
      <c r="AO352" s="25">
        <f>IF(AO350=0,0,IF(AO351&lt;INDEX('Lease Cycles'!$BN$28:$BT$28,1,AO350),1,0))</f>
        <v>0</v>
      </c>
      <c r="AP352" s="25">
        <f>IF(AP350=0,0,IF(AP351&lt;INDEX('Lease Cycles'!$BN$28:$BT$28,1,AP350),1,0))</f>
        <v>0</v>
      </c>
      <c r="AQ352" s="25">
        <f>IF(AQ350=0,0,IF(AQ351&lt;INDEX('Lease Cycles'!$BN$28:$BT$28,1,AQ350),1,0))</f>
        <v>0</v>
      </c>
      <c r="AR352" s="25">
        <f>IF(AR350=0,0,IF(AR351&lt;INDEX('Lease Cycles'!$BN$28:$BT$28,1,AR350),1,0))</f>
        <v>0</v>
      </c>
      <c r="AS352" s="25">
        <f>IF(AS350=0,0,IF(AS351&lt;INDEX('Lease Cycles'!$BN$28:$BT$28,1,AS350),1,0))</f>
        <v>0</v>
      </c>
      <c r="AT352" s="25">
        <f>IF(AT350=0,0,IF(AT351&lt;INDEX('Lease Cycles'!$BN$28:$BT$28,1,AT350),1,0))</f>
        <v>0</v>
      </c>
      <c r="AU352" s="25">
        <f>IF(AU350=0,0,IF(AU351&lt;INDEX('Lease Cycles'!$BN$28:$BT$28,1,AU350),1,0))</f>
        <v>0</v>
      </c>
      <c r="AV352" s="25">
        <f>IF(AV350=0,0,IF(AV351&lt;INDEX('Lease Cycles'!$BN$28:$BT$28,1,AV350),1,0))</f>
        <v>0</v>
      </c>
      <c r="AW352" s="25">
        <f>IF(AW350=0,0,IF(AW351&lt;INDEX('Lease Cycles'!$BN$28:$BT$28,1,AW350),1,0))</f>
        <v>0</v>
      </c>
      <c r="AX352" s="25">
        <f>IF(AX350=0,0,IF(AX351&lt;INDEX('Lease Cycles'!$BN$28:$BT$28,1,AX350),1,0))</f>
        <v>0</v>
      </c>
      <c r="AY352" s="25">
        <f>IF(AY350=0,0,IF(AY351&lt;INDEX('Lease Cycles'!$BN$28:$BT$28,1,AY350),1,0))</f>
        <v>0</v>
      </c>
      <c r="AZ352" s="25">
        <f>IF(AZ350=0,0,IF(AZ351&lt;INDEX('Lease Cycles'!$BN$28:$BT$28,1,AZ350),1,0))</f>
        <v>0</v>
      </c>
      <c r="BA352" s="25">
        <f>IF(BA350=0,0,IF(BA351&lt;INDEX('Lease Cycles'!$BN$28:$BT$28,1,BA350),1,0))</f>
        <v>0</v>
      </c>
      <c r="BB352" s="25">
        <f>IF(BB350=0,0,IF(BB351&lt;INDEX('Lease Cycles'!$BN$28:$BT$28,1,BB350),1,0))</f>
        <v>0</v>
      </c>
      <c r="BC352" s="25">
        <f>IF(BC350=0,0,IF(BC351&lt;INDEX('Lease Cycles'!$BN$28:$BT$28,1,BC350),1,0))</f>
        <v>0</v>
      </c>
      <c r="BD352" s="25">
        <f>IF(BD350=0,0,IF(BD351&lt;INDEX('Lease Cycles'!$BN$28:$BT$28,1,BD350),1,0))</f>
        <v>0</v>
      </c>
      <c r="BE352" s="25">
        <f>IF(BE350=0,0,IF(BE351&lt;INDEX('Lease Cycles'!$BN$28:$BT$28,1,BE350),1,0))</f>
        <v>0</v>
      </c>
      <c r="BF352" s="25">
        <f>IF(BF350=0,0,IF(BF351&lt;INDEX('Lease Cycles'!$BN$28:$BT$28,1,BF350),1,0))</f>
        <v>0</v>
      </c>
      <c r="BG352" s="25">
        <f>IF(BG350=0,0,IF(BG351&lt;INDEX('Lease Cycles'!$BN$28:$BT$28,1,BG350),1,0))</f>
        <v>0</v>
      </c>
      <c r="BH352" s="25">
        <f>IF(BH350=0,0,IF(BH351&lt;INDEX('Lease Cycles'!$BN$28:$BT$28,1,BH350),1,0))</f>
        <v>0</v>
      </c>
      <c r="BI352" s="25">
        <f>IF(BI350=0,0,IF(BI351&lt;INDEX('Lease Cycles'!$BN$28:$BT$28,1,BI350),1,0))</f>
        <v>0</v>
      </c>
      <c r="BJ352" s="25">
        <f>IF(BJ350=0,0,IF(BJ351&lt;INDEX('Lease Cycles'!$BN$28:$BT$28,1,BJ350),1,0))</f>
        <v>0</v>
      </c>
      <c r="BK352" s="25">
        <f>IF(BK350=0,0,IF(BK351&lt;INDEX('Lease Cycles'!$BN$28:$BT$28,1,BK350),1,0))</f>
        <v>0</v>
      </c>
      <c r="BL352" s="25">
        <f>IF(BL350=0,0,IF(BL351&lt;INDEX('Lease Cycles'!$BN$28:$BT$28,1,BL350),1,0))</f>
        <v>0</v>
      </c>
      <c r="BM352" s="25">
        <f>IF(BM350=0,0,IF(BM351&lt;INDEX('Lease Cycles'!$BN$28:$BT$28,1,BM350),1,0))</f>
        <v>0</v>
      </c>
      <c r="BN352" s="25">
        <f>IF(BN350=0,0,IF(BN351&lt;INDEX('Lease Cycles'!$BN$28:$BT$28,1,BN350),1,0))</f>
        <v>0</v>
      </c>
      <c r="BO352" s="25">
        <f>IF(BO350=0,0,IF(BO351&lt;INDEX('Lease Cycles'!$BN$28:$BT$28,1,BO350),1,0))</f>
        <v>0</v>
      </c>
      <c r="BP352" s="25">
        <f>IF(BP350=0,0,IF(BP351&lt;INDEX('Lease Cycles'!$BN$28:$BT$28,1,BP350),1,0))</f>
        <v>0</v>
      </c>
      <c r="BQ352" s="25">
        <f>IF(BQ350=0,0,IF(BQ351&lt;INDEX('Lease Cycles'!$BN$28:$BT$28,1,BQ350),1,0))</f>
        <v>0</v>
      </c>
      <c r="BR352" s="25">
        <f>IF(BR350=0,0,IF(BR351&lt;INDEX('Lease Cycles'!$BN$28:$BT$28,1,BR350),1,0))</f>
        <v>0</v>
      </c>
      <c r="BS352" s="25">
        <f>IF(BS350=0,0,IF(BS351&lt;INDEX('Lease Cycles'!$BN$28:$BT$28,1,BS350),1,0))</f>
        <v>0</v>
      </c>
      <c r="BT352" s="25">
        <f>IF(BT350=0,0,IF(BT351&lt;INDEX('Lease Cycles'!$BN$28:$BT$28,1,BT350),1,0))</f>
        <v>0</v>
      </c>
      <c r="BU352" s="25">
        <f>IF(BU350=0,0,IF(BU351&lt;INDEX('Lease Cycles'!$BN$28:$BT$28,1,BU350),1,0))</f>
        <v>0</v>
      </c>
      <c r="BV352" s="25">
        <f>IF(BV350=0,0,IF(BV351&lt;INDEX('Lease Cycles'!$BN$28:$BT$28,1,BV350),1,0))</f>
        <v>0</v>
      </c>
      <c r="BW352" s="25">
        <f>IF(BW350=0,0,IF(BW351&lt;INDEX('Lease Cycles'!$BN$28:$BT$28,1,BW350),1,0))</f>
        <v>0</v>
      </c>
      <c r="BX352" s="25">
        <f>IF(BX350=0,0,IF(BX351&lt;INDEX('Lease Cycles'!$BN$28:$BT$28,1,BX350),1,0))</f>
        <v>0</v>
      </c>
      <c r="BY352" s="25">
        <f>IF(BY350=0,0,IF(BY351&lt;INDEX('Lease Cycles'!$BN$28:$BT$28,1,BY350),1,0))</f>
        <v>0</v>
      </c>
      <c r="BZ352" s="25">
        <f>IF(BZ350=0,0,IF(BZ351&lt;INDEX('Lease Cycles'!$BN$28:$BT$28,1,BZ350),1,0))</f>
        <v>0</v>
      </c>
      <c r="CA352" s="25">
        <f>IF(CA350=0,0,IF(CA351&lt;INDEX('Lease Cycles'!$BN$28:$BT$28,1,CA350),1,0))</f>
        <v>0</v>
      </c>
      <c r="CB352" s="25">
        <f>IF(CB350=0,0,IF(CB351&lt;INDEX('Lease Cycles'!$BN$28:$BT$28,1,CB350),1,0))</f>
        <v>0</v>
      </c>
      <c r="CC352" s="25">
        <f>IF(CC350=0,0,IF(CC351&lt;INDEX('Lease Cycles'!$BN$28:$BT$28,1,CC350),1,0))</f>
        <v>0</v>
      </c>
      <c r="CD352" s="25">
        <f>IF(CD350=0,0,IF(CD351&lt;INDEX('Lease Cycles'!$BN$28:$BT$28,1,CD350),1,0))</f>
        <v>0</v>
      </c>
      <c r="CE352" s="25">
        <f>IF(CE350=0,0,IF(CE351&lt;INDEX('Lease Cycles'!$BN$28:$BT$28,1,CE350),1,0))</f>
        <v>0</v>
      </c>
      <c r="CF352" s="25">
        <f>IF(CF350=0,0,IF(CF351&lt;INDEX('Lease Cycles'!$BN$28:$BT$28,1,CF350),1,0))</f>
        <v>0</v>
      </c>
      <c r="CG352" s="25">
        <f>IF(CG350=0,0,IF(CG351&lt;INDEX('Lease Cycles'!$BN$28:$BT$28,1,CG350),1,0))</f>
        <v>0</v>
      </c>
      <c r="CH352" s="25">
        <f>IF(CH350=0,0,IF(CH351&lt;INDEX('Lease Cycles'!$BN$28:$BT$28,1,CH350),1,0))</f>
        <v>0</v>
      </c>
      <c r="CI352" s="25">
        <f>IF(CI350=0,0,IF(CI351&lt;INDEX('Lease Cycles'!$BN$28:$BT$28,1,CI350),1,0))</f>
        <v>0</v>
      </c>
      <c r="CJ352" s="25">
        <f>IF(CJ350=0,0,IF(CJ351&lt;INDEX('Lease Cycles'!$BN$28:$BT$28,1,CJ350),1,0))</f>
        <v>0</v>
      </c>
      <c r="CK352" s="25">
        <f>IF(CK350=0,0,IF(CK351&lt;INDEX('Lease Cycles'!$BN$28:$BT$28,1,CK350),1,0))</f>
        <v>0</v>
      </c>
      <c r="CL352" s="25">
        <f>IF(CL350=0,0,IF(CL351&lt;INDEX('Lease Cycles'!$BN$28:$BT$28,1,CL350),1,0))</f>
        <v>0</v>
      </c>
      <c r="CM352" s="25">
        <f>IF(CM350=0,0,IF(CM351&lt;INDEX('Lease Cycles'!$BN$28:$BT$28,1,CM350),1,0))</f>
        <v>0</v>
      </c>
      <c r="CN352" s="25">
        <f>IF(CN350=0,0,IF(CN351&lt;INDEX('Lease Cycles'!$BN$28:$BT$28,1,CN350),1,0))</f>
        <v>0</v>
      </c>
      <c r="CO352" s="25">
        <f>IF(CO350=0,0,IF(CO351&lt;INDEX('Lease Cycles'!$BN$28:$BT$28,1,CO350),1,0))</f>
        <v>0</v>
      </c>
      <c r="CP352" s="25">
        <f>IF(CP350=0,0,IF(CP351&lt;INDEX('Lease Cycles'!$BN$28:$BT$28,1,CP350),1,0))</f>
        <v>0</v>
      </c>
      <c r="CQ352" s="25">
        <f>IF(CQ350=0,0,IF(CQ351&lt;INDEX('Lease Cycles'!$BN$28:$BT$28,1,CQ350),1,0))</f>
        <v>0</v>
      </c>
      <c r="CR352" s="25">
        <f>IF(CR350=0,0,IF(CR351&lt;INDEX('Lease Cycles'!$BN$28:$BT$28,1,CR350),1,0))</f>
        <v>0</v>
      </c>
      <c r="CS352" s="25">
        <f>IF(CS350=0,0,IF(CS351&lt;INDEX('Lease Cycles'!$BN$28:$BT$28,1,CS350),1,0))</f>
        <v>0</v>
      </c>
      <c r="CT352" s="25">
        <f>IF(CT350=0,0,IF(CT351&lt;INDEX('Lease Cycles'!$BN$28:$BT$28,1,CT350),1,0))</f>
        <v>0</v>
      </c>
      <c r="CU352" s="25">
        <f>IF(CU350=0,0,IF(CU351&lt;INDEX('Lease Cycles'!$BN$28:$BT$28,1,CU350),1,0))</f>
        <v>0</v>
      </c>
      <c r="CV352" s="25">
        <f>IF(CV350=0,0,IF(CV351&lt;INDEX('Lease Cycles'!$BN$28:$BT$28,1,CV350),1,0))</f>
        <v>0</v>
      </c>
      <c r="CW352" s="25">
        <f>IF(CW350=0,0,IF(CW351&lt;INDEX('Lease Cycles'!$BN$28:$BT$28,1,CW350),1,0))</f>
        <v>0</v>
      </c>
      <c r="CX352" s="25">
        <f>IF(CX350=0,0,IF(CX351&lt;INDEX('Lease Cycles'!$BN$28:$BT$28,1,CX350),1,0))</f>
        <v>0</v>
      </c>
      <c r="CY352" s="25">
        <f>IF(CY350=0,0,IF(CY351&lt;INDEX('Lease Cycles'!$BN$28:$BT$28,1,CY350),1,0))</f>
        <v>0</v>
      </c>
      <c r="CZ352" s="25">
        <f>IF(CZ350=0,0,IF(CZ351&lt;INDEX('Lease Cycles'!$BN$28:$BT$28,1,CZ350),1,0))</f>
        <v>0</v>
      </c>
      <c r="DA352" s="25">
        <f>IF(DA350=0,0,IF(DA351&lt;INDEX('Lease Cycles'!$BN$28:$BT$28,1,DA350),1,0))</f>
        <v>0</v>
      </c>
      <c r="DB352" s="25">
        <f>IF(DB350=0,0,IF(DB351&lt;INDEX('Lease Cycles'!$BN$28:$BT$28,1,DB350),1,0))</f>
        <v>0</v>
      </c>
      <c r="DC352" s="25">
        <f>IF(DC350=0,0,IF(DC351&lt;INDEX('Lease Cycles'!$BN$28:$BT$28,1,DC350),1,0))</f>
        <v>0</v>
      </c>
      <c r="DD352" s="25">
        <f>IF(DD350=0,0,IF(DD351&lt;INDEX('Lease Cycles'!$BN$28:$BT$28,1,DD350),1,0))</f>
        <v>0</v>
      </c>
      <c r="DE352" s="25">
        <f>IF(DE350=0,0,IF(DE351&lt;INDEX('Lease Cycles'!$BN$28:$BT$28,1,DE350),1,0))</f>
        <v>0</v>
      </c>
      <c r="DF352" s="25">
        <f>IF(DF350=0,0,IF(DF351&lt;INDEX('Lease Cycles'!$BN$28:$BT$28,1,DF350),1,0))</f>
        <v>0</v>
      </c>
      <c r="DG352" s="25">
        <f>IF(DG350=0,0,IF(DG351&lt;INDEX('Lease Cycles'!$BN$28:$BT$28,1,DG350),1,0))</f>
        <v>0</v>
      </c>
      <c r="DH352" s="25">
        <f>IF(DH350=0,0,IF(DH351&lt;INDEX('Lease Cycles'!$BN$28:$BT$28,1,DH350),1,0))</f>
        <v>0</v>
      </c>
      <c r="DI352" s="25">
        <f>IF(DI350=0,0,IF(DI351&lt;INDEX('Lease Cycles'!$BN$28:$BT$28,1,DI350),1,0))</f>
        <v>0</v>
      </c>
      <c r="DJ352" s="25">
        <f>IF(DJ350=0,0,IF(DJ351&lt;INDEX('Lease Cycles'!$BN$28:$BT$28,1,DJ350),1,0))</f>
        <v>0</v>
      </c>
      <c r="DK352" s="25">
        <f>IF(DK350=0,0,IF(DK351&lt;INDEX('Lease Cycles'!$BN$28:$BT$28,1,DK350),1,0))</f>
        <v>0</v>
      </c>
      <c r="DL352" s="25">
        <f>IF(DL350=0,0,IF(DL351&lt;INDEX('Lease Cycles'!$BN$28:$BT$28,1,DL350),1,0))</f>
        <v>0</v>
      </c>
      <c r="DM352" s="25">
        <f>IF(DM350=0,0,IF(DM351&lt;INDEX('Lease Cycles'!$BN$28:$BT$28,1,DM350),1,0))</f>
        <v>0</v>
      </c>
      <c r="DN352" s="25">
        <f>IF(DN350=0,0,IF(DN351&lt;INDEX('Lease Cycles'!$BN$28:$BT$28,1,DN350),1,0))</f>
        <v>0</v>
      </c>
      <c r="DO352" s="25">
        <f>IF(DO350=0,0,IF(DO351&lt;INDEX('Lease Cycles'!$BN$28:$BT$28,1,DO350),1,0))</f>
        <v>0</v>
      </c>
      <c r="DP352" s="25">
        <f>IF(DP350=0,0,IF(DP351&lt;INDEX('Lease Cycles'!$BN$28:$BT$28,1,DP350),1,0))</f>
        <v>0</v>
      </c>
      <c r="DQ352" s="25">
        <f>IF(DQ350=0,0,IF(DQ351&lt;INDEX('Lease Cycles'!$BN$28:$BT$28,1,DQ350),1,0))</f>
        <v>0</v>
      </c>
      <c r="DR352" s="25">
        <f>IF(DR350=0,0,IF(DR351&lt;INDEX('Lease Cycles'!$BN$28:$BT$28,1,DR350),1,0))</f>
        <v>0</v>
      </c>
      <c r="DS352" s="25">
        <f>IF(DS350=0,0,IF(DS351&lt;INDEX('Lease Cycles'!$BN$28:$BT$28,1,DS350),1,0))</f>
        <v>0</v>
      </c>
      <c r="DT352" s="25">
        <f>IF(DT350=0,0,IF(DT351&lt;INDEX('Lease Cycles'!$BN$28:$BT$28,1,DT350),1,0))</f>
        <v>0</v>
      </c>
      <c r="DU352" s="25">
        <f>IF(DU350=0,0,IF(DU351&lt;INDEX('Lease Cycles'!$BN$28:$BT$28,1,DU350),1,0))</f>
        <v>0</v>
      </c>
      <c r="DV352" s="25">
        <f>IF(DV350=0,0,IF(DV351&lt;INDEX('Lease Cycles'!$BN$28:$BT$28,1,DV350),1,0))</f>
        <v>0</v>
      </c>
      <c r="DW352" s="25">
        <f>IF(DW350=0,0,IF(DW351&lt;INDEX('Lease Cycles'!$BN$28:$BT$28,1,DW350),1,0))</f>
        <v>0</v>
      </c>
      <c r="DX352" s="25">
        <f>IF(DX350=0,0,IF(DX351&lt;INDEX('Lease Cycles'!$BN$28:$BT$28,1,DX350),1,0))</f>
        <v>0</v>
      </c>
      <c r="DY352" s="25">
        <f>IF(DY350=0,0,IF(DY351&lt;INDEX('Lease Cycles'!$BN$28:$BT$28,1,DY350),1,0))</f>
        <v>0</v>
      </c>
      <c r="DZ352" s="25">
        <f>IF(DZ350=0,0,IF(DZ351&lt;INDEX('Lease Cycles'!$BN$28:$BT$28,1,DZ350),1,0))</f>
        <v>0</v>
      </c>
      <c r="EA352" s="25">
        <f>IF(EA350=0,0,IF(EA351&lt;INDEX('Lease Cycles'!$BN$28:$BT$28,1,EA350),1,0))</f>
        <v>0</v>
      </c>
      <c r="EB352" s="25">
        <f>IF(EB350=0,0,IF(EB351&lt;INDEX('Lease Cycles'!$BN$28:$BT$28,1,EB350),1,0))</f>
        <v>0</v>
      </c>
      <c r="EC352" s="25">
        <f>IF(EC350=0,0,IF(EC351&lt;INDEX('Lease Cycles'!$BN$28:$BT$28,1,EC350),1,0))</f>
        <v>0</v>
      </c>
      <c r="ED352" s="25">
        <f>IF(ED350=0,0,IF(ED351&lt;INDEX('Lease Cycles'!$BN$28:$BT$28,1,ED350),1,0))</f>
        <v>0</v>
      </c>
      <c r="EE352" s="25">
        <f>IF(EE350=0,0,IF(EE351&lt;INDEX('Lease Cycles'!$BN$28:$BT$28,1,EE350),1,0))</f>
        <v>0</v>
      </c>
      <c r="EF352" s="25">
        <f>IF(EF350=0,0,IF(EF351&lt;INDEX('Lease Cycles'!$BN$28:$BT$28,1,EF350),1,0))</f>
        <v>0</v>
      </c>
      <c r="EG352" s="25">
        <f>IF(EG350=0,0,IF(EG351&lt;INDEX('Lease Cycles'!$BN$28:$BT$28,1,EG350),1,0))</f>
        <v>0</v>
      </c>
      <c r="EH352" s="25">
        <f>IF(EH350=0,0,IF(EH351&lt;INDEX('Lease Cycles'!$BN$28:$BT$28,1,EH350),1,0))</f>
        <v>0</v>
      </c>
      <c r="EI352" s="25">
        <f>IF(EI350=0,0,IF(EI351&lt;INDEX('Lease Cycles'!$BN$28:$BT$28,1,EI350),1,0))</f>
        <v>0</v>
      </c>
      <c r="EJ352" s="25">
        <f>IF(EJ350=0,0,IF(EJ351&lt;INDEX('Lease Cycles'!$BN$28:$BT$28,1,EJ350),1,0))</f>
        <v>0</v>
      </c>
      <c r="EK352" s="25">
        <f>IF(EK350=0,0,IF(EK351&lt;INDEX('Lease Cycles'!$BN$28:$BT$28,1,EK350),1,0))</f>
        <v>0</v>
      </c>
      <c r="EL352" s="25">
        <f>IF(EL350=0,0,IF(EL351&lt;INDEX('Lease Cycles'!$BN$28:$BT$28,1,EL350),1,0))</f>
        <v>0</v>
      </c>
      <c r="EM352" s="25">
        <f>IF(EM350=0,0,IF(EM351&lt;INDEX('Lease Cycles'!$BN$28:$BT$28,1,EM350),1,0))</f>
        <v>0</v>
      </c>
      <c r="EN352" s="25">
        <f>IF(EN350=0,0,IF(EN351&lt;INDEX('Lease Cycles'!$BN$28:$BT$28,1,EN350),1,0))</f>
        <v>0</v>
      </c>
      <c r="EO352" s="25">
        <f>IF(EO350=0,0,IF(EO351&lt;INDEX('Lease Cycles'!$BN$28:$BT$28,1,EO350),1,0))</f>
        <v>0</v>
      </c>
      <c r="EP352" s="25">
        <f>IF(EP350=0,0,IF(EP351&lt;INDEX('Lease Cycles'!$BN$28:$BT$28,1,EP350),1,0))</f>
        <v>0</v>
      </c>
      <c r="EQ352" s="25">
        <f>IF(EQ350=0,0,IF(EQ351&lt;INDEX('Lease Cycles'!$BN$28:$BT$28,1,EQ350),1,0))</f>
        <v>0</v>
      </c>
      <c r="ER352" s="25">
        <f>IF(ER350=0,0,IF(ER351&lt;INDEX('Lease Cycles'!$BN$28:$BT$28,1,ER350),1,0))</f>
        <v>0</v>
      </c>
      <c r="ES352" s="25">
        <f>IF(ES350=0,0,IF(ES351&lt;INDEX('Lease Cycles'!$BN$28:$BT$28,1,ES350),1,0))</f>
        <v>0</v>
      </c>
      <c r="ET352" s="25">
        <f>IF(ET350=0,0,IF(ET351&lt;INDEX('Lease Cycles'!$BN$28:$BT$28,1,ET350),1,0))</f>
        <v>0</v>
      </c>
    </row>
    <row r="353">
      <c r="A353" s="103">
        <v>21</v>
      </c>
      <c r="B353" s="23" t="str">
        <f>IF('Lease Cycles'!$B$28="","(empty slot)",'Lease Cycles'!$B$28)</f>
        <v>(empty slot)</v>
      </c>
      <c r="C353" s="23" t="s">
        <v>677</v>
      </c>
      <c r="D353" s="104" t="s">
        <v>678</v>
      </c>
      <c r="E353" s="25">
        <f>'Lease Cycles'!$AL$28</f>
        <v>0</v>
      </c>
      <c r="S353" s="28">
        <f>IF(S350=0,IF('Lease Cycles'!$F$28&gt;0,'Lease Cycles'!$C$28*'Lease Cycles'!$E$28/12,0),IF(S352=1,IF('Lease Cycles'!$AT$28&gt;=9999,'Lease Cycles'!$C$28*INDEX('Lease Cycles'!$CB$28:$CH$28,1,S350)*(1+INDEX('Lease Cycles'!$CI$28:$CO$28,1,S350))^INT(INT(S351/12)/INDEX('Lease Cycles'!$CP$28:$CV$28,1,S350))/12,IF(S350=1,IF(S351&gt;=INDEX('Lease Cycles'!$DK$28:$DQ$28,1,S350),IF(S$6&gt;='Lease Cycles'!$AZ$28,'Lease Cycles'!$C$28*'Lease Cycles'!$BA$28/12,IF(S$6&gt;='Lease Cycles'!$AX$28,'Lease Cycles'!$C$28*'Lease Cycles'!$AY$28/12,IF(S$6&gt;='Lease Cycles'!$AV$28,'Lease Cycles'!$C$28*'Lease Cycles'!$AW$28/12,IF(S$6&gt;='Lease Cycles'!$AT$28,'Lease Cycles'!$C$28*'Lease Cycles'!$AU$28/12,'Lease Cycles'!$C$28*INDEX('Lease Cycles'!$CB$28:$CH$28,1,S350)*(1+INDEX('Lease Cycles'!$CI$28:$CO$28,1,S350))^INT(INT(S351/12)/INDEX('Lease Cycles'!$CP$28:$CV$28,1,S350))/12)))),'Lease Cycles'!$C$28*INDEX('Lease Cycles'!$CB$28:$CH$28,1,S350)*(1+INDEX('Lease Cycles'!$CI$28:$CO$28,1,S350))^INT(INT(S351/12)/INDEX('Lease Cycles'!$CP$28:$CV$28,1,S350))/12),IF(INDEX('Lease Cycles'!$EF$28:$EL$28,1,S350)=1,IF(AND('Lease Cycles'!$AZ$28&gt;=INDEX('Lease Cycles'!$BG$28:$BM$28,1,S350),'Lease Cycles'!$AZ$28&lt;=S$6),'Lease Cycles'!$C$28*'Lease Cycles'!$BA$28/12,IF(AND('Lease Cycles'!$AX$28&gt;=INDEX('Lease Cycles'!$BG$28:$BM$28,1,S350),'Lease Cycles'!$AX$28&lt;=S$6),'Lease Cycles'!$C$28*'Lease Cycles'!$AY$28/12,IF(AND('Lease Cycles'!$AV$28&gt;=INDEX('Lease Cycles'!$BG$28:$BM$28,1,S350),'Lease Cycles'!$AV$28&lt;=S$6),'Lease Cycles'!$C$28*'Lease Cycles'!$AW$28/12,IF(AND('Lease Cycles'!$AT$28&gt;=INDEX('Lease Cycles'!$BG$28:$BM$28,1,S350),'Lease Cycles'!$AT$28&lt;=S$6),'Lease Cycles'!$C$28*'Lease Cycles'!$AU$28/12,'Lease Cycles'!$C$28*INDEX('Lease Cycles'!$CB$28:$CH$28,1,S350)*(1+INDEX('Lease Cycles'!$CI$28:$CO$28,1,S350))^INT(INT(S351/12)/INDEX('Lease Cycles'!$CP$28:$CV$28,1,S350))/12)))),'Lease Cycles'!$C$28*INDEX('Lease Cycles'!$CB$28:$CH$28,1,S350)*(1+INDEX('Lease Cycles'!$CI$28:$CO$28,1,S350))^INT(INT(S351/12)/INDEX('Lease Cycles'!$CP$28:$CV$28,1,S350))/12))),IF('Lease Cycles'!$N$28=1,'Lease Cycles'!$C$28*'Lease Cycles'!$E$28*INDEX('Lease Cycles'!$HE$28:$HK$28,1,S350)*(1+INDEX('Lease Cycles'!$GQ$28:$GW$28,1,S350))^INT(INT((S$6-INDEX('Lease Cycles'!$GJ$28:$GP$28,1,S350))/12)/INDEX('Lease Cycles'!$GX$28:$HD$28,1,S350))/12,0)))</f>
        <v>0</v>
      </c>
      <c r="T353" s="28">
        <f>IF(T350=0,IF('Lease Cycles'!$F$28&gt;0,'Lease Cycles'!$C$28*'Lease Cycles'!$E$28/12,0),IF(T352=1,IF('Lease Cycles'!$AT$28&gt;=9999,'Lease Cycles'!$C$28*INDEX('Lease Cycles'!$CB$28:$CH$28,1,T350)*(1+INDEX('Lease Cycles'!$CI$28:$CO$28,1,T350))^INT(INT(T351/12)/INDEX('Lease Cycles'!$CP$28:$CV$28,1,T350))/12,IF(T350=1,IF(T351&gt;=INDEX('Lease Cycles'!$DK$28:$DQ$28,1,T350),IF(T$6&gt;='Lease Cycles'!$AZ$28,'Lease Cycles'!$C$28*'Lease Cycles'!$BA$28/12,IF(T$6&gt;='Lease Cycles'!$AX$28,'Lease Cycles'!$C$28*'Lease Cycles'!$AY$28/12,IF(T$6&gt;='Lease Cycles'!$AV$28,'Lease Cycles'!$C$28*'Lease Cycles'!$AW$28/12,IF(T$6&gt;='Lease Cycles'!$AT$28,'Lease Cycles'!$C$28*'Lease Cycles'!$AU$28/12,'Lease Cycles'!$C$28*INDEX('Lease Cycles'!$CB$28:$CH$28,1,T350)*(1+INDEX('Lease Cycles'!$CI$28:$CO$28,1,T350))^INT(INT(T351/12)/INDEX('Lease Cycles'!$CP$28:$CV$28,1,T350))/12)))),'Lease Cycles'!$C$28*INDEX('Lease Cycles'!$CB$28:$CH$28,1,T350)*(1+INDEX('Lease Cycles'!$CI$28:$CO$28,1,T350))^INT(INT(T351/12)/INDEX('Lease Cycles'!$CP$28:$CV$28,1,T350))/12),IF(INDEX('Lease Cycles'!$EF$28:$EL$28,1,T350)=1,IF(AND('Lease Cycles'!$AZ$28&gt;=INDEX('Lease Cycles'!$BG$28:$BM$28,1,T350),'Lease Cycles'!$AZ$28&lt;=T$6),'Lease Cycles'!$C$28*'Lease Cycles'!$BA$28/12,IF(AND('Lease Cycles'!$AX$28&gt;=INDEX('Lease Cycles'!$BG$28:$BM$28,1,T350),'Lease Cycles'!$AX$28&lt;=T$6),'Lease Cycles'!$C$28*'Lease Cycles'!$AY$28/12,IF(AND('Lease Cycles'!$AV$28&gt;=INDEX('Lease Cycles'!$BG$28:$BM$28,1,T350),'Lease Cycles'!$AV$28&lt;=T$6),'Lease Cycles'!$C$28*'Lease Cycles'!$AW$28/12,IF(AND('Lease Cycles'!$AT$28&gt;=INDEX('Lease Cycles'!$BG$28:$BM$28,1,T350),'Lease Cycles'!$AT$28&lt;=T$6),'Lease Cycles'!$C$28*'Lease Cycles'!$AU$28/12,'Lease Cycles'!$C$28*INDEX('Lease Cycles'!$CB$28:$CH$28,1,T350)*(1+INDEX('Lease Cycles'!$CI$28:$CO$28,1,T350))^INT(INT(T351/12)/INDEX('Lease Cycles'!$CP$28:$CV$28,1,T350))/12)))),'Lease Cycles'!$C$28*INDEX('Lease Cycles'!$CB$28:$CH$28,1,T350)*(1+INDEX('Lease Cycles'!$CI$28:$CO$28,1,T350))^INT(INT(T351/12)/INDEX('Lease Cycles'!$CP$28:$CV$28,1,T350))/12))),IF('Lease Cycles'!$N$28=1,'Lease Cycles'!$C$28*'Lease Cycles'!$E$28*INDEX('Lease Cycles'!$HE$28:$HK$28,1,T350)*(1+INDEX('Lease Cycles'!$GQ$28:$GW$28,1,T350))^INT(INT((T$6-INDEX('Lease Cycles'!$GJ$28:$GP$28,1,T350))/12)/INDEX('Lease Cycles'!$GX$28:$HD$28,1,T350))/12,0)))</f>
        <v>0</v>
      </c>
      <c r="U353" s="28">
        <f>IF(U350=0,IF('Lease Cycles'!$F$28&gt;0,'Lease Cycles'!$C$28*'Lease Cycles'!$E$28/12,0),IF(U352=1,IF('Lease Cycles'!$AT$28&gt;=9999,'Lease Cycles'!$C$28*INDEX('Lease Cycles'!$CB$28:$CH$28,1,U350)*(1+INDEX('Lease Cycles'!$CI$28:$CO$28,1,U350))^INT(INT(U351/12)/INDEX('Lease Cycles'!$CP$28:$CV$28,1,U350))/12,IF(U350=1,IF(U351&gt;=INDEX('Lease Cycles'!$DK$28:$DQ$28,1,U350),IF(U$6&gt;='Lease Cycles'!$AZ$28,'Lease Cycles'!$C$28*'Lease Cycles'!$BA$28/12,IF(U$6&gt;='Lease Cycles'!$AX$28,'Lease Cycles'!$C$28*'Lease Cycles'!$AY$28/12,IF(U$6&gt;='Lease Cycles'!$AV$28,'Lease Cycles'!$C$28*'Lease Cycles'!$AW$28/12,IF(U$6&gt;='Lease Cycles'!$AT$28,'Lease Cycles'!$C$28*'Lease Cycles'!$AU$28/12,'Lease Cycles'!$C$28*INDEX('Lease Cycles'!$CB$28:$CH$28,1,U350)*(1+INDEX('Lease Cycles'!$CI$28:$CO$28,1,U350))^INT(INT(U351/12)/INDEX('Lease Cycles'!$CP$28:$CV$28,1,U350))/12)))),'Lease Cycles'!$C$28*INDEX('Lease Cycles'!$CB$28:$CH$28,1,U350)*(1+INDEX('Lease Cycles'!$CI$28:$CO$28,1,U350))^INT(INT(U351/12)/INDEX('Lease Cycles'!$CP$28:$CV$28,1,U350))/12),IF(INDEX('Lease Cycles'!$EF$28:$EL$28,1,U350)=1,IF(AND('Lease Cycles'!$AZ$28&gt;=INDEX('Lease Cycles'!$BG$28:$BM$28,1,U350),'Lease Cycles'!$AZ$28&lt;=U$6),'Lease Cycles'!$C$28*'Lease Cycles'!$BA$28/12,IF(AND('Lease Cycles'!$AX$28&gt;=INDEX('Lease Cycles'!$BG$28:$BM$28,1,U350),'Lease Cycles'!$AX$28&lt;=U$6),'Lease Cycles'!$C$28*'Lease Cycles'!$AY$28/12,IF(AND('Lease Cycles'!$AV$28&gt;=INDEX('Lease Cycles'!$BG$28:$BM$28,1,U350),'Lease Cycles'!$AV$28&lt;=U$6),'Lease Cycles'!$C$28*'Lease Cycles'!$AW$28/12,IF(AND('Lease Cycles'!$AT$28&gt;=INDEX('Lease Cycles'!$BG$28:$BM$28,1,U350),'Lease Cycles'!$AT$28&lt;=U$6),'Lease Cycles'!$C$28*'Lease Cycles'!$AU$28/12,'Lease Cycles'!$C$28*INDEX('Lease Cycles'!$CB$28:$CH$28,1,U350)*(1+INDEX('Lease Cycles'!$CI$28:$CO$28,1,U350))^INT(INT(U351/12)/INDEX('Lease Cycles'!$CP$28:$CV$28,1,U350))/12)))),'Lease Cycles'!$C$28*INDEX('Lease Cycles'!$CB$28:$CH$28,1,U350)*(1+INDEX('Lease Cycles'!$CI$28:$CO$28,1,U350))^INT(INT(U351/12)/INDEX('Lease Cycles'!$CP$28:$CV$28,1,U350))/12))),IF('Lease Cycles'!$N$28=1,'Lease Cycles'!$C$28*'Lease Cycles'!$E$28*INDEX('Lease Cycles'!$HE$28:$HK$28,1,U350)*(1+INDEX('Lease Cycles'!$GQ$28:$GW$28,1,U350))^INT(INT((U$6-INDEX('Lease Cycles'!$GJ$28:$GP$28,1,U350))/12)/INDEX('Lease Cycles'!$GX$28:$HD$28,1,U350))/12,0)))</f>
        <v>0</v>
      </c>
      <c r="V353" s="28">
        <f>IF(V350=0,IF('Lease Cycles'!$F$28&gt;0,'Lease Cycles'!$C$28*'Lease Cycles'!$E$28/12,0),IF(V352=1,IF('Lease Cycles'!$AT$28&gt;=9999,'Lease Cycles'!$C$28*INDEX('Lease Cycles'!$CB$28:$CH$28,1,V350)*(1+INDEX('Lease Cycles'!$CI$28:$CO$28,1,V350))^INT(INT(V351/12)/INDEX('Lease Cycles'!$CP$28:$CV$28,1,V350))/12,IF(V350=1,IF(V351&gt;=INDEX('Lease Cycles'!$DK$28:$DQ$28,1,V350),IF(V$6&gt;='Lease Cycles'!$AZ$28,'Lease Cycles'!$C$28*'Lease Cycles'!$BA$28/12,IF(V$6&gt;='Lease Cycles'!$AX$28,'Lease Cycles'!$C$28*'Lease Cycles'!$AY$28/12,IF(V$6&gt;='Lease Cycles'!$AV$28,'Lease Cycles'!$C$28*'Lease Cycles'!$AW$28/12,IF(V$6&gt;='Lease Cycles'!$AT$28,'Lease Cycles'!$C$28*'Lease Cycles'!$AU$28/12,'Lease Cycles'!$C$28*INDEX('Lease Cycles'!$CB$28:$CH$28,1,V350)*(1+INDEX('Lease Cycles'!$CI$28:$CO$28,1,V350))^INT(INT(V351/12)/INDEX('Lease Cycles'!$CP$28:$CV$28,1,V350))/12)))),'Lease Cycles'!$C$28*INDEX('Lease Cycles'!$CB$28:$CH$28,1,V350)*(1+INDEX('Lease Cycles'!$CI$28:$CO$28,1,V350))^INT(INT(V351/12)/INDEX('Lease Cycles'!$CP$28:$CV$28,1,V350))/12),IF(INDEX('Lease Cycles'!$EF$28:$EL$28,1,V350)=1,IF(AND('Lease Cycles'!$AZ$28&gt;=INDEX('Lease Cycles'!$BG$28:$BM$28,1,V350),'Lease Cycles'!$AZ$28&lt;=V$6),'Lease Cycles'!$C$28*'Lease Cycles'!$BA$28/12,IF(AND('Lease Cycles'!$AX$28&gt;=INDEX('Lease Cycles'!$BG$28:$BM$28,1,V350),'Lease Cycles'!$AX$28&lt;=V$6),'Lease Cycles'!$C$28*'Lease Cycles'!$AY$28/12,IF(AND('Lease Cycles'!$AV$28&gt;=INDEX('Lease Cycles'!$BG$28:$BM$28,1,V350),'Lease Cycles'!$AV$28&lt;=V$6),'Lease Cycles'!$C$28*'Lease Cycles'!$AW$28/12,IF(AND('Lease Cycles'!$AT$28&gt;=INDEX('Lease Cycles'!$BG$28:$BM$28,1,V350),'Lease Cycles'!$AT$28&lt;=V$6),'Lease Cycles'!$C$28*'Lease Cycles'!$AU$28/12,'Lease Cycles'!$C$28*INDEX('Lease Cycles'!$CB$28:$CH$28,1,V350)*(1+INDEX('Lease Cycles'!$CI$28:$CO$28,1,V350))^INT(INT(V351/12)/INDEX('Lease Cycles'!$CP$28:$CV$28,1,V350))/12)))),'Lease Cycles'!$C$28*INDEX('Lease Cycles'!$CB$28:$CH$28,1,V350)*(1+INDEX('Lease Cycles'!$CI$28:$CO$28,1,V350))^INT(INT(V351/12)/INDEX('Lease Cycles'!$CP$28:$CV$28,1,V350))/12))),IF('Lease Cycles'!$N$28=1,'Lease Cycles'!$C$28*'Lease Cycles'!$E$28*INDEX('Lease Cycles'!$HE$28:$HK$28,1,V350)*(1+INDEX('Lease Cycles'!$GQ$28:$GW$28,1,V350))^INT(INT((V$6-INDEX('Lease Cycles'!$GJ$28:$GP$28,1,V350))/12)/INDEX('Lease Cycles'!$GX$28:$HD$28,1,V350))/12,0)))</f>
        <v>0</v>
      </c>
      <c r="W353" s="28">
        <f>IF(W350=0,IF('Lease Cycles'!$F$28&gt;0,'Lease Cycles'!$C$28*'Lease Cycles'!$E$28/12,0),IF(W352=1,IF('Lease Cycles'!$AT$28&gt;=9999,'Lease Cycles'!$C$28*INDEX('Lease Cycles'!$CB$28:$CH$28,1,W350)*(1+INDEX('Lease Cycles'!$CI$28:$CO$28,1,W350))^INT(INT(W351/12)/INDEX('Lease Cycles'!$CP$28:$CV$28,1,W350))/12,IF(W350=1,IF(W351&gt;=INDEX('Lease Cycles'!$DK$28:$DQ$28,1,W350),IF(W$6&gt;='Lease Cycles'!$AZ$28,'Lease Cycles'!$C$28*'Lease Cycles'!$BA$28/12,IF(W$6&gt;='Lease Cycles'!$AX$28,'Lease Cycles'!$C$28*'Lease Cycles'!$AY$28/12,IF(W$6&gt;='Lease Cycles'!$AV$28,'Lease Cycles'!$C$28*'Lease Cycles'!$AW$28/12,IF(W$6&gt;='Lease Cycles'!$AT$28,'Lease Cycles'!$C$28*'Lease Cycles'!$AU$28/12,'Lease Cycles'!$C$28*INDEX('Lease Cycles'!$CB$28:$CH$28,1,W350)*(1+INDEX('Lease Cycles'!$CI$28:$CO$28,1,W350))^INT(INT(W351/12)/INDEX('Lease Cycles'!$CP$28:$CV$28,1,W350))/12)))),'Lease Cycles'!$C$28*INDEX('Lease Cycles'!$CB$28:$CH$28,1,W350)*(1+INDEX('Lease Cycles'!$CI$28:$CO$28,1,W350))^INT(INT(W351/12)/INDEX('Lease Cycles'!$CP$28:$CV$28,1,W350))/12),IF(INDEX('Lease Cycles'!$EF$28:$EL$28,1,W350)=1,IF(AND('Lease Cycles'!$AZ$28&gt;=INDEX('Lease Cycles'!$BG$28:$BM$28,1,W350),'Lease Cycles'!$AZ$28&lt;=W$6),'Lease Cycles'!$C$28*'Lease Cycles'!$BA$28/12,IF(AND('Lease Cycles'!$AX$28&gt;=INDEX('Lease Cycles'!$BG$28:$BM$28,1,W350),'Lease Cycles'!$AX$28&lt;=W$6),'Lease Cycles'!$C$28*'Lease Cycles'!$AY$28/12,IF(AND('Lease Cycles'!$AV$28&gt;=INDEX('Lease Cycles'!$BG$28:$BM$28,1,W350),'Lease Cycles'!$AV$28&lt;=W$6),'Lease Cycles'!$C$28*'Lease Cycles'!$AW$28/12,IF(AND('Lease Cycles'!$AT$28&gt;=INDEX('Lease Cycles'!$BG$28:$BM$28,1,W350),'Lease Cycles'!$AT$28&lt;=W$6),'Lease Cycles'!$C$28*'Lease Cycles'!$AU$28/12,'Lease Cycles'!$C$28*INDEX('Lease Cycles'!$CB$28:$CH$28,1,W350)*(1+INDEX('Lease Cycles'!$CI$28:$CO$28,1,W350))^INT(INT(W351/12)/INDEX('Lease Cycles'!$CP$28:$CV$28,1,W350))/12)))),'Lease Cycles'!$C$28*INDEX('Lease Cycles'!$CB$28:$CH$28,1,W350)*(1+INDEX('Lease Cycles'!$CI$28:$CO$28,1,W350))^INT(INT(W351/12)/INDEX('Lease Cycles'!$CP$28:$CV$28,1,W350))/12))),IF('Lease Cycles'!$N$28=1,'Lease Cycles'!$C$28*'Lease Cycles'!$E$28*INDEX('Lease Cycles'!$HE$28:$HK$28,1,W350)*(1+INDEX('Lease Cycles'!$GQ$28:$GW$28,1,W350))^INT(INT((W$6-INDEX('Lease Cycles'!$GJ$28:$GP$28,1,W350))/12)/INDEX('Lease Cycles'!$GX$28:$HD$28,1,W350))/12,0)))</f>
        <v>0</v>
      </c>
      <c r="X353" s="28">
        <f>IF(X350=0,IF('Lease Cycles'!$F$28&gt;0,'Lease Cycles'!$C$28*'Lease Cycles'!$E$28/12,0),IF(X352=1,IF('Lease Cycles'!$AT$28&gt;=9999,'Lease Cycles'!$C$28*INDEX('Lease Cycles'!$CB$28:$CH$28,1,X350)*(1+INDEX('Lease Cycles'!$CI$28:$CO$28,1,X350))^INT(INT(X351/12)/INDEX('Lease Cycles'!$CP$28:$CV$28,1,X350))/12,IF(X350=1,IF(X351&gt;=INDEX('Lease Cycles'!$DK$28:$DQ$28,1,X350),IF(X$6&gt;='Lease Cycles'!$AZ$28,'Lease Cycles'!$C$28*'Lease Cycles'!$BA$28/12,IF(X$6&gt;='Lease Cycles'!$AX$28,'Lease Cycles'!$C$28*'Lease Cycles'!$AY$28/12,IF(X$6&gt;='Lease Cycles'!$AV$28,'Lease Cycles'!$C$28*'Lease Cycles'!$AW$28/12,IF(X$6&gt;='Lease Cycles'!$AT$28,'Lease Cycles'!$C$28*'Lease Cycles'!$AU$28/12,'Lease Cycles'!$C$28*INDEX('Lease Cycles'!$CB$28:$CH$28,1,X350)*(1+INDEX('Lease Cycles'!$CI$28:$CO$28,1,X350))^INT(INT(X351/12)/INDEX('Lease Cycles'!$CP$28:$CV$28,1,X350))/12)))),'Lease Cycles'!$C$28*INDEX('Lease Cycles'!$CB$28:$CH$28,1,X350)*(1+INDEX('Lease Cycles'!$CI$28:$CO$28,1,X350))^INT(INT(X351/12)/INDEX('Lease Cycles'!$CP$28:$CV$28,1,X350))/12),IF(INDEX('Lease Cycles'!$EF$28:$EL$28,1,X350)=1,IF(AND('Lease Cycles'!$AZ$28&gt;=INDEX('Lease Cycles'!$BG$28:$BM$28,1,X350),'Lease Cycles'!$AZ$28&lt;=X$6),'Lease Cycles'!$C$28*'Lease Cycles'!$BA$28/12,IF(AND('Lease Cycles'!$AX$28&gt;=INDEX('Lease Cycles'!$BG$28:$BM$28,1,X350),'Lease Cycles'!$AX$28&lt;=X$6),'Lease Cycles'!$C$28*'Lease Cycles'!$AY$28/12,IF(AND('Lease Cycles'!$AV$28&gt;=INDEX('Lease Cycles'!$BG$28:$BM$28,1,X350),'Lease Cycles'!$AV$28&lt;=X$6),'Lease Cycles'!$C$28*'Lease Cycles'!$AW$28/12,IF(AND('Lease Cycles'!$AT$28&gt;=INDEX('Lease Cycles'!$BG$28:$BM$28,1,X350),'Lease Cycles'!$AT$28&lt;=X$6),'Lease Cycles'!$C$28*'Lease Cycles'!$AU$28/12,'Lease Cycles'!$C$28*INDEX('Lease Cycles'!$CB$28:$CH$28,1,X350)*(1+INDEX('Lease Cycles'!$CI$28:$CO$28,1,X350))^INT(INT(X351/12)/INDEX('Lease Cycles'!$CP$28:$CV$28,1,X350))/12)))),'Lease Cycles'!$C$28*INDEX('Lease Cycles'!$CB$28:$CH$28,1,X350)*(1+INDEX('Lease Cycles'!$CI$28:$CO$28,1,X350))^INT(INT(X351/12)/INDEX('Lease Cycles'!$CP$28:$CV$28,1,X350))/12))),IF('Lease Cycles'!$N$28=1,'Lease Cycles'!$C$28*'Lease Cycles'!$E$28*INDEX('Lease Cycles'!$HE$28:$HK$28,1,X350)*(1+INDEX('Lease Cycles'!$GQ$28:$GW$28,1,X350))^INT(INT((X$6-INDEX('Lease Cycles'!$GJ$28:$GP$28,1,X350))/12)/INDEX('Lease Cycles'!$GX$28:$HD$28,1,X350))/12,0)))</f>
        <v>0</v>
      </c>
      <c r="Y353" s="28">
        <f>IF(Y350=0,IF('Lease Cycles'!$F$28&gt;0,'Lease Cycles'!$C$28*'Lease Cycles'!$E$28/12,0),IF(Y352=1,IF('Lease Cycles'!$AT$28&gt;=9999,'Lease Cycles'!$C$28*INDEX('Lease Cycles'!$CB$28:$CH$28,1,Y350)*(1+INDEX('Lease Cycles'!$CI$28:$CO$28,1,Y350))^INT(INT(Y351/12)/INDEX('Lease Cycles'!$CP$28:$CV$28,1,Y350))/12,IF(Y350=1,IF(Y351&gt;=INDEX('Lease Cycles'!$DK$28:$DQ$28,1,Y350),IF(Y$6&gt;='Lease Cycles'!$AZ$28,'Lease Cycles'!$C$28*'Lease Cycles'!$BA$28/12,IF(Y$6&gt;='Lease Cycles'!$AX$28,'Lease Cycles'!$C$28*'Lease Cycles'!$AY$28/12,IF(Y$6&gt;='Lease Cycles'!$AV$28,'Lease Cycles'!$C$28*'Lease Cycles'!$AW$28/12,IF(Y$6&gt;='Lease Cycles'!$AT$28,'Lease Cycles'!$C$28*'Lease Cycles'!$AU$28/12,'Lease Cycles'!$C$28*INDEX('Lease Cycles'!$CB$28:$CH$28,1,Y350)*(1+INDEX('Lease Cycles'!$CI$28:$CO$28,1,Y350))^INT(INT(Y351/12)/INDEX('Lease Cycles'!$CP$28:$CV$28,1,Y350))/12)))),'Lease Cycles'!$C$28*INDEX('Lease Cycles'!$CB$28:$CH$28,1,Y350)*(1+INDEX('Lease Cycles'!$CI$28:$CO$28,1,Y350))^INT(INT(Y351/12)/INDEX('Lease Cycles'!$CP$28:$CV$28,1,Y350))/12),IF(INDEX('Lease Cycles'!$EF$28:$EL$28,1,Y350)=1,IF(AND('Lease Cycles'!$AZ$28&gt;=INDEX('Lease Cycles'!$BG$28:$BM$28,1,Y350),'Lease Cycles'!$AZ$28&lt;=Y$6),'Lease Cycles'!$C$28*'Lease Cycles'!$BA$28/12,IF(AND('Lease Cycles'!$AX$28&gt;=INDEX('Lease Cycles'!$BG$28:$BM$28,1,Y350),'Lease Cycles'!$AX$28&lt;=Y$6),'Lease Cycles'!$C$28*'Lease Cycles'!$AY$28/12,IF(AND('Lease Cycles'!$AV$28&gt;=INDEX('Lease Cycles'!$BG$28:$BM$28,1,Y350),'Lease Cycles'!$AV$28&lt;=Y$6),'Lease Cycles'!$C$28*'Lease Cycles'!$AW$28/12,IF(AND('Lease Cycles'!$AT$28&gt;=INDEX('Lease Cycles'!$BG$28:$BM$28,1,Y350),'Lease Cycles'!$AT$28&lt;=Y$6),'Lease Cycles'!$C$28*'Lease Cycles'!$AU$28/12,'Lease Cycles'!$C$28*INDEX('Lease Cycles'!$CB$28:$CH$28,1,Y350)*(1+INDEX('Lease Cycles'!$CI$28:$CO$28,1,Y350))^INT(INT(Y351/12)/INDEX('Lease Cycles'!$CP$28:$CV$28,1,Y350))/12)))),'Lease Cycles'!$C$28*INDEX('Lease Cycles'!$CB$28:$CH$28,1,Y350)*(1+INDEX('Lease Cycles'!$CI$28:$CO$28,1,Y350))^INT(INT(Y351/12)/INDEX('Lease Cycles'!$CP$28:$CV$28,1,Y350))/12))),IF('Lease Cycles'!$N$28=1,'Lease Cycles'!$C$28*'Lease Cycles'!$E$28*INDEX('Lease Cycles'!$HE$28:$HK$28,1,Y350)*(1+INDEX('Lease Cycles'!$GQ$28:$GW$28,1,Y350))^INT(INT((Y$6-INDEX('Lease Cycles'!$GJ$28:$GP$28,1,Y350))/12)/INDEX('Lease Cycles'!$GX$28:$HD$28,1,Y350))/12,0)))</f>
        <v>0</v>
      </c>
      <c r="Z353" s="28">
        <f>IF(Z350=0,IF('Lease Cycles'!$F$28&gt;0,'Lease Cycles'!$C$28*'Lease Cycles'!$E$28/12,0),IF(Z352=1,IF('Lease Cycles'!$AT$28&gt;=9999,'Lease Cycles'!$C$28*INDEX('Lease Cycles'!$CB$28:$CH$28,1,Z350)*(1+INDEX('Lease Cycles'!$CI$28:$CO$28,1,Z350))^INT(INT(Z351/12)/INDEX('Lease Cycles'!$CP$28:$CV$28,1,Z350))/12,IF(Z350=1,IF(Z351&gt;=INDEX('Lease Cycles'!$DK$28:$DQ$28,1,Z350),IF(Z$6&gt;='Lease Cycles'!$AZ$28,'Lease Cycles'!$C$28*'Lease Cycles'!$BA$28/12,IF(Z$6&gt;='Lease Cycles'!$AX$28,'Lease Cycles'!$C$28*'Lease Cycles'!$AY$28/12,IF(Z$6&gt;='Lease Cycles'!$AV$28,'Lease Cycles'!$C$28*'Lease Cycles'!$AW$28/12,IF(Z$6&gt;='Lease Cycles'!$AT$28,'Lease Cycles'!$C$28*'Lease Cycles'!$AU$28/12,'Lease Cycles'!$C$28*INDEX('Lease Cycles'!$CB$28:$CH$28,1,Z350)*(1+INDEX('Lease Cycles'!$CI$28:$CO$28,1,Z350))^INT(INT(Z351/12)/INDEX('Lease Cycles'!$CP$28:$CV$28,1,Z350))/12)))),'Lease Cycles'!$C$28*INDEX('Lease Cycles'!$CB$28:$CH$28,1,Z350)*(1+INDEX('Lease Cycles'!$CI$28:$CO$28,1,Z350))^INT(INT(Z351/12)/INDEX('Lease Cycles'!$CP$28:$CV$28,1,Z350))/12),IF(INDEX('Lease Cycles'!$EF$28:$EL$28,1,Z350)=1,IF(AND('Lease Cycles'!$AZ$28&gt;=INDEX('Lease Cycles'!$BG$28:$BM$28,1,Z350),'Lease Cycles'!$AZ$28&lt;=Z$6),'Lease Cycles'!$C$28*'Lease Cycles'!$BA$28/12,IF(AND('Lease Cycles'!$AX$28&gt;=INDEX('Lease Cycles'!$BG$28:$BM$28,1,Z350),'Lease Cycles'!$AX$28&lt;=Z$6),'Lease Cycles'!$C$28*'Lease Cycles'!$AY$28/12,IF(AND('Lease Cycles'!$AV$28&gt;=INDEX('Lease Cycles'!$BG$28:$BM$28,1,Z350),'Lease Cycles'!$AV$28&lt;=Z$6),'Lease Cycles'!$C$28*'Lease Cycles'!$AW$28/12,IF(AND('Lease Cycles'!$AT$28&gt;=INDEX('Lease Cycles'!$BG$28:$BM$28,1,Z350),'Lease Cycles'!$AT$28&lt;=Z$6),'Lease Cycles'!$C$28*'Lease Cycles'!$AU$28/12,'Lease Cycles'!$C$28*INDEX('Lease Cycles'!$CB$28:$CH$28,1,Z350)*(1+INDEX('Lease Cycles'!$CI$28:$CO$28,1,Z350))^INT(INT(Z351/12)/INDEX('Lease Cycles'!$CP$28:$CV$28,1,Z350))/12)))),'Lease Cycles'!$C$28*INDEX('Lease Cycles'!$CB$28:$CH$28,1,Z350)*(1+INDEX('Lease Cycles'!$CI$28:$CO$28,1,Z350))^INT(INT(Z351/12)/INDEX('Lease Cycles'!$CP$28:$CV$28,1,Z350))/12))),IF('Lease Cycles'!$N$28=1,'Lease Cycles'!$C$28*'Lease Cycles'!$E$28*INDEX('Lease Cycles'!$HE$28:$HK$28,1,Z350)*(1+INDEX('Lease Cycles'!$GQ$28:$GW$28,1,Z350))^INT(INT((Z$6-INDEX('Lease Cycles'!$GJ$28:$GP$28,1,Z350))/12)/INDEX('Lease Cycles'!$GX$28:$HD$28,1,Z350))/12,0)))</f>
        <v>0</v>
      </c>
      <c r="AA353" s="28">
        <f>IF(AA350=0,IF('Lease Cycles'!$F$28&gt;0,'Lease Cycles'!$C$28*'Lease Cycles'!$E$28/12,0),IF(AA352=1,IF('Lease Cycles'!$AT$28&gt;=9999,'Lease Cycles'!$C$28*INDEX('Lease Cycles'!$CB$28:$CH$28,1,AA350)*(1+INDEX('Lease Cycles'!$CI$28:$CO$28,1,AA350))^INT(INT(AA351/12)/INDEX('Lease Cycles'!$CP$28:$CV$28,1,AA350))/12,IF(AA350=1,IF(AA351&gt;=INDEX('Lease Cycles'!$DK$28:$DQ$28,1,AA350),IF(AA$6&gt;='Lease Cycles'!$AZ$28,'Lease Cycles'!$C$28*'Lease Cycles'!$BA$28/12,IF(AA$6&gt;='Lease Cycles'!$AX$28,'Lease Cycles'!$C$28*'Lease Cycles'!$AY$28/12,IF(AA$6&gt;='Lease Cycles'!$AV$28,'Lease Cycles'!$C$28*'Lease Cycles'!$AW$28/12,IF(AA$6&gt;='Lease Cycles'!$AT$28,'Lease Cycles'!$C$28*'Lease Cycles'!$AU$28/12,'Lease Cycles'!$C$28*INDEX('Lease Cycles'!$CB$28:$CH$28,1,AA350)*(1+INDEX('Lease Cycles'!$CI$28:$CO$28,1,AA350))^INT(INT(AA351/12)/INDEX('Lease Cycles'!$CP$28:$CV$28,1,AA350))/12)))),'Lease Cycles'!$C$28*INDEX('Lease Cycles'!$CB$28:$CH$28,1,AA350)*(1+INDEX('Lease Cycles'!$CI$28:$CO$28,1,AA350))^INT(INT(AA351/12)/INDEX('Lease Cycles'!$CP$28:$CV$28,1,AA350))/12),IF(INDEX('Lease Cycles'!$EF$28:$EL$28,1,AA350)=1,IF(AND('Lease Cycles'!$AZ$28&gt;=INDEX('Lease Cycles'!$BG$28:$BM$28,1,AA350),'Lease Cycles'!$AZ$28&lt;=AA$6),'Lease Cycles'!$C$28*'Lease Cycles'!$BA$28/12,IF(AND('Lease Cycles'!$AX$28&gt;=INDEX('Lease Cycles'!$BG$28:$BM$28,1,AA350),'Lease Cycles'!$AX$28&lt;=AA$6),'Lease Cycles'!$C$28*'Lease Cycles'!$AY$28/12,IF(AND('Lease Cycles'!$AV$28&gt;=INDEX('Lease Cycles'!$BG$28:$BM$28,1,AA350),'Lease Cycles'!$AV$28&lt;=AA$6),'Lease Cycles'!$C$28*'Lease Cycles'!$AW$28/12,IF(AND('Lease Cycles'!$AT$28&gt;=INDEX('Lease Cycles'!$BG$28:$BM$28,1,AA350),'Lease Cycles'!$AT$28&lt;=AA$6),'Lease Cycles'!$C$28*'Lease Cycles'!$AU$28/12,'Lease Cycles'!$C$28*INDEX('Lease Cycles'!$CB$28:$CH$28,1,AA350)*(1+INDEX('Lease Cycles'!$CI$28:$CO$28,1,AA350))^INT(INT(AA351/12)/INDEX('Lease Cycles'!$CP$28:$CV$28,1,AA350))/12)))),'Lease Cycles'!$C$28*INDEX('Lease Cycles'!$CB$28:$CH$28,1,AA350)*(1+INDEX('Lease Cycles'!$CI$28:$CO$28,1,AA350))^INT(INT(AA351/12)/INDEX('Lease Cycles'!$CP$28:$CV$28,1,AA350))/12))),IF('Lease Cycles'!$N$28=1,'Lease Cycles'!$C$28*'Lease Cycles'!$E$28*INDEX('Lease Cycles'!$HE$28:$HK$28,1,AA350)*(1+INDEX('Lease Cycles'!$GQ$28:$GW$28,1,AA350))^INT(INT((AA$6-INDEX('Lease Cycles'!$GJ$28:$GP$28,1,AA350))/12)/INDEX('Lease Cycles'!$GX$28:$HD$28,1,AA350))/12,0)))</f>
        <v>0</v>
      </c>
      <c r="AB353" s="28">
        <f>IF(AB350=0,IF('Lease Cycles'!$F$28&gt;0,'Lease Cycles'!$C$28*'Lease Cycles'!$E$28/12,0),IF(AB352=1,IF('Lease Cycles'!$AT$28&gt;=9999,'Lease Cycles'!$C$28*INDEX('Lease Cycles'!$CB$28:$CH$28,1,AB350)*(1+INDEX('Lease Cycles'!$CI$28:$CO$28,1,AB350))^INT(INT(AB351/12)/INDEX('Lease Cycles'!$CP$28:$CV$28,1,AB350))/12,IF(AB350=1,IF(AB351&gt;=INDEX('Lease Cycles'!$DK$28:$DQ$28,1,AB350),IF(AB$6&gt;='Lease Cycles'!$AZ$28,'Lease Cycles'!$C$28*'Lease Cycles'!$BA$28/12,IF(AB$6&gt;='Lease Cycles'!$AX$28,'Lease Cycles'!$C$28*'Lease Cycles'!$AY$28/12,IF(AB$6&gt;='Lease Cycles'!$AV$28,'Lease Cycles'!$C$28*'Lease Cycles'!$AW$28/12,IF(AB$6&gt;='Lease Cycles'!$AT$28,'Lease Cycles'!$C$28*'Lease Cycles'!$AU$28/12,'Lease Cycles'!$C$28*INDEX('Lease Cycles'!$CB$28:$CH$28,1,AB350)*(1+INDEX('Lease Cycles'!$CI$28:$CO$28,1,AB350))^INT(INT(AB351/12)/INDEX('Lease Cycles'!$CP$28:$CV$28,1,AB350))/12)))),'Lease Cycles'!$C$28*INDEX('Lease Cycles'!$CB$28:$CH$28,1,AB350)*(1+INDEX('Lease Cycles'!$CI$28:$CO$28,1,AB350))^INT(INT(AB351/12)/INDEX('Lease Cycles'!$CP$28:$CV$28,1,AB350))/12),IF(INDEX('Lease Cycles'!$EF$28:$EL$28,1,AB350)=1,IF(AND('Lease Cycles'!$AZ$28&gt;=INDEX('Lease Cycles'!$BG$28:$BM$28,1,AB350),'Lease Cycles'!$AZ$28&lt;=AB$6),'Lease Cycles'!$C$28*'Lease Cycles'!$BA$28/12,IF(AND('Lease Cycles'!$AX$28&gt;=INDEX('Lease Cycles'!$BG$28:$BM$28,1,AB350),'Lease Cycles'!$AX$28&lt;=AB$6),'Lease Cycles'!$C$28*'Lease Cycles'!$AY$28/12,IF(AND('Lease Cycles'!$AV$28&gt;=INDEX('Lease Cycles'!$BG$28:$BM$28,1,AB350),'Lease Cycles'!$AV$28&lt;=AB$6),'Lease Cycles'!$C$28*'Lease Cycles'!$AW$28/12,IF(AND('Lease Cycles'!$AT$28&gt;=INDEX('Lease Cycles'!$BG$28:$BM$28,1,AB350),'Lease Cycles'!$AT$28&lt;=AB$6),'Lease Cycles'!$C$28*'Lease Cycles'!$AU$28/12,'Lease Cycles'!$C$28*INDEX('Lease Cycles'!$CB$28:$CH$28,1,AB350)*(1+INDEX('Lease Cycles'!$CI$28:$CO$28,1,AB350))^INT(INT(AB351/12)/INDEX('Lease Cycles'!$CP$28:$CV$28,1,AB350))/12)))),'Lease Cycles'!$C$28*INDEX('Lease Cycles'!$CB$28:$CH$28,1,AB350)*(1+INDEX('Lease Cycles'!$CI$28:$CO$28,1,AB350))^INT(INT(AB351/12)/INDEX('Lease Cycles'!$CP$28:$CV$28,1,AB350))/12))),IF('Lease Cycles'!$N$28=1,'Lease Cycles'!$C$28*'Lease Cycles'!$E$28*INDEX('Lease Cycles'!$HE$28:$HK$28,1,AB350)*(1+INDEX('Lease Cycles'!$GQ$28:$GW$28,1,AB350))^INT(INT((AB$6-INDEX('Lease Cycles'!$GJ$28:$GP$28,1,AB350))/12)/INDEX('Lease Cycles'!$GX$28:$HD$28,1,AB350))/12,0)))</f>
        <v>0</v>
      </c>
      <c r="AC353" s="28">
        <f>IF(AC350=0,IF('Lease Cycles'!$F$28&gt;0,'Lease Cycles'!$C$28*'Lease Cycles'!$E$28/12,0),IF(AC352=1,IF('Lease Cycles'!$AT$28&gt;=9999,'Lease Cycles'!$C$28*INDEX('Lease Cycles'!$CB$28:$CH$28,1,AC350)*(1+INDEX('Lease Cycles'!$CI$28:$CO$28,1,AC350))^INT(INT(AC351/12)/INDEX('Lease Cycles'!$CP$28:$CV$28,1,AC350))/12,IF(AC350=1,IF(AC351&gt;=INDEX('Lease Cycles'!$DK$28:$DQ$28,1,AC350),IF(AC$6&gt;='Lease Cycles'!$AZ$28,'Lease Cycles'!$C$28*'Lease Cycles'!$BA$28/12,IF(AC$6&gt;='Lease Cycles'!$AX$28,'Lease Cycles'!$C$28*'Lease Cycles'!$AY$28/12,IF(AC$6&gt;='Lease Cycles'!$AV$28,'Lease Cycles'!$C$28*'Lease Cycles'!$AW$28/12,IF(AC$6&gt;='Lease Cycles'!$AT$28,'Lease Cycles'!$C$28*'Lease Cycles'!$AU$28/12,'Lease Cycles'!$C$28*INDEX('Lease Cycles'!$CB$28:$CH$28,1,AC350)*(1+INDEX('Lease Cycles'!$CI$28:$CO$28,1,AC350))^INT(INT(AC351/12)/INDEX('Lease Cycles'!$CP$28:$CV$28,1,AC350))/12)))),'Lease Cycles'!$C$28*INDEX('Lease Cycles'!$CB$28:$CH$28,1,AC350)*(1+INDEX('Lease Cycles'!$CI$28:$CO$28,1,AC350))^INT(INT(AC351/12)/INDEX('Lease Cycles'!$CP$28:$CV$28,1,AC350))/12),IF(INDEX('Lease Cycles'!$EF$28:$EL$28,1,AC350)=1,IF(AND('Lease Cycles'!$AZ$28&gt;=INDEX('Lease Cycles'!$BG$28:$BM$28,1,AC350),'Lease Cycles'!$AZ$28&lt;=AC$6),'Lease Cycles'!$C$28*'Lease Cycles'!$BA$28/12,IF(AND('Lease Cycles'!$AX$28&gt;=INDEX('Lease Cycles'!$BG$28:$BM$28,1,AC350),'Lease Cycles'!$AX$28&lt;=AC$6),'Lease Cycles'!$C$28*'Lease Cycles'!$AY$28/12,IF(AND('Lease Cycles'!$AV$28&gt;=INDEX('Lease Cycles'!$BG$28:$BM$28,1,AC350),'Lease Cycles'!$AV$28&lt;=AC$6),'Lease Cycles'!$C$28*'Lease Cycles'!$AW$28/12,IF(AND('Lease Cycles'!$AT$28&gt;=INDEX('Lease Cycles'!$BG$28:$BM$28,1,AC350),'Lease Cycles'!$AT$28&lt;=AC$6),'Lease Cycles'!$C$28*'Lease Cycles'!$AU$28/12,'Lease Cycles'!$C$28*INDEX('Lease Cycles'!$CB$28:$CH$28,1,AC350)*(1+INDEX('Lease Cycles'!$CI$28:$CO$28,1,AC350))^INT(INT(AC351/12)/INDEX('Lease Cycles'!$CP$28:$CV$28,1,AC350))/12)))),'Lease Cycles'!$C$28*INDEX('Lease Cycles'!$CB$28:$CH$28,1,AC350)*(1+INDEX('Lease Cycles'!$CI$28:$CO$28,1,AC350))^INT(INT(AC351/12)/INDEX('Lease Cycles'!$CP$28:$CV$28,1,AC350))/12))),IF('Lease Cycles'!$N$28=1,'Lease Cycles'!$C$28*'Lease Cycles'!$E$28*INDEX('Lease Cycles'!$HE$28:$HK$28,1,AC350)*(1+INDEX('Lease Cycles'!$GQ$28:$GW$28,1,AC350))^INT(INT((AC$6-INDEX('Lease Cycles'!$GJ$28:$GP$28,1,AC350))/12)/INDEX('Lease Cycles'!$GX$28:$HD$28,1,AC350))/12,0)))</f>
        <v>0</v>
      </c>
      <c r="AD353" s="28">
        <f>IF(AD350=0,IF('Lease Cycles'!$F$28&gt;0,'Lease Cycles'!$C$28*'Lease Cycles'!$E$28/12,0),IF(AD352=1,IF('Lease Cycles'!$AT$28&gt;=9999,'Lease Cycles'!$C$28*INDEX('Lease Cycles'!$CB$28:$CH$28,1,AD350)*(1+INDEX('Lease Cycles'!$CI$28:$CO$28,1,AD350))^INT(INT(AD351/12)/INDEX('Lease Cycles'!$CP$28:$CV$28,1,AD350))/12,IF(AD350=1,IF(AD351&gt;=INDEX('Lease Cycles'!$DK$28:$DQ$28,1,AD350),IF(AD$6&gt;='Lease Cycles'!$AZ$28,'Lease Cycles'!$C$28*'Lease Cycles'!$BA$28/12,IF(AD$6&gt;='Lease Cycles'!$AX$28,'Lease Cycles'!$C$28*'Lease Cycles'!$AY$28/12,IF(AD$6&gt;='Lease Cycles'!$AV$28,'Lease Cycles'!$C$28*'Lease Cycles'!$AW$28/12,IF(AD$6&gt;='Lease Cycles'!$AT$28,'Lease Cycles'!$C$28*'Lease Cycles'!$AU$28/12,'Lease Cycles'!$C$28*INDEX('Lease Cycles'!$CB$28:$CH$28,1,AD350)*(1+INDEX('Lease Cycles'!$CI$28:$CO$28,1,AD350))^INT(INT(AD351/12)/INDEX('Lease Cycles'!$CP$28:$CV$28,1,AD350))/12)))),'Lease Cycles'!$C$28*INDEX('Lease Cycles'!$CB$28:$CH$28,1,AD350)*(1+INDEX('Lease Cycles'!$CI$28:$CO$28,1,AD350))^INT(INT(AD351/12)/INDEX('Lease Cycles'!$CP$28:$CV$28,1,AD350))/12),IF(INDEX('Lease Cycles'!$EF$28:$EL$28,1,AD350)=1,IF(AND('Lease Cycles'!$AZ$28&gt;=INDEX('Lease Cycles'!$BG$28:$BM$28,1,AD350),'Lease Cycles'!$AZ$28&lt;=AD$6),'Lease Cycles'!$C$28*'Lease Cycles'!$BA$28/12,IF(AND('Lease Cycles'!$AX$28&gt;=INDEX('Lease Cycles'!$BG$28:$BM$28,1,AD350),'Lease Cycles'!$AX$28&lt;=AD$6),'Lease Cycles'!$C$28*'Lease Cycles'!$AY$28/12,IF(AND('Lease Cycles'!$AV$28&gt;=INDEX('Lease Cycles'!$BG$28:$BM$28,1,AD350),'Lease Cycles'!$AV$28&lt;=AD$6),'Lease Cycles'!$C$28*'Lease Cycles'!$AW$28/12,IF(AND('Lease Cycles'!$AT$28&gt;=INDEX('Lease Cycles'!$BG$28:$BM$28,1,AD350),'Lease Cycles'!$AT$28&lt;=AD$6),'Lease Cycles'!$C$28*'Lease Cycles'!$AU$28/12,'Lease Cycles'!$C$28*INDEX('Lease Cycles'!$CB$28:$CH$28,1,AD350)*(1+INDEX('Lease Cycles'!$CI$28:$CO$28,1,AD350))^INT(INT(AD351/12)/INDEX('Lease Cycles'!$CP$28:$CV$28,1,AD350))/12)))),'Lease Cycles'!$C$28*INDEX('Lease Cycles'!$CB$28:$CH$28,1,AD350)*(1+INDEX('Lease Cycles'!$CI$28:$CO$28,1,AD350))^INT(INT(AD351/12)/INDEX('Lease Cycles'!$CP$28:$CV$28,1,AD350))/12))),IF('Lease Cycles'!$N$28=1,'Lease Cycles'!$C$28*'Lease Cycles'!$E$28*INDEX('Lease Cycles'!$HE$28:$HK$28,1,AD350)*(1+INDEX('Lease Cycles'!$GQ$28:$GW$28,1,AD350))^INT(INT((AD$6-INDEX('Lease Cycles'!$GJ$28:$GP$28,1,AD350))/12)/INDEX('Lease Cycles'!$GX$28:$HD$28,1,AD350))/12,0)))</f>
        <v>0</v>
      </c>
      <c r="AE353" s="28">
        <f>IF(AE350=0,IF('Lease Cycles'!$F$28&gt;0,'Lease Cycles'!$C$28*'Lease Cycles'!$E$28/12,0),IF(AE352=1,IF('Lease Cycles'!$AT$28&gt;=9999,'Lease Cycles'!$C$28*INDEX('Lease Cycles'!$CB$28:$CH$28,1,AE350)*(1+INDEX('Lease Cycles'!$CI$28:$CO$28,1,AE350))^INT(INT(AE351/12)/INDEX('Lease Cycles'!$CP$28:$CV$28,1,AE350))/12,IF(AE350=1,IF(AE351&gt;=INDEX('Lease Cycles'!$DK$28:$DQ$28,1,AE350),IF(AE$6&gt;='Lease Cycles'!$AZ$28,'Lease Cycles'!$C$28*'Lease Cycles'!$BA$28/12,IF(AE$6&gt;='Lease Cycles'!$AX$28,'Lease Cycles'!$C$28*'Lease Cycles'!$AY$28/12,IF(AE$6&gt;='Lease Cycles'!$AV$28,'Lease Cycles'!$C$28*'Lease Cycles'!$AW$28/12,IF(AE$6&gt;='Lease Cycles'!$AT$28,'Lease Cycles'!$C$28*'Lease Cycles'!$AU$28/12,'Lease Cycles'!$C$28*INDEX('Lease Cycles'!$CB$28:$CH$28,1,AE350)*(1+INDEX('Lease Cycles'!$CI$28:$CO$28,1,AE350))^INT(INT(AE351/12)/INDEX('Lease Cycles'!$CP$28:$CV$28,1,AE350))/12)))),'Lease Cycles'!$C$28*INDEX('Lease Cycles'!$CB$28:$CH$28,1,AE350)*(1+INDEX('Lease Cycles'!$CI$28:$CO$28,1,AE350))^INT(INT(AE351/12)/INDEX('Lease Cycles'!$CP$28:$CV$28,1,AE350))/12),IF(INDEX('Lease Cycles'!$EF$28:$EL$28,1,AE350)=1,IF(AND('Lease Cycles'!$AZ$28&gt;=INDEX('Lease Cycles'!$BG$28:$BM$28,1,AE350),'Lease Cycles'!$AZ$28&lt;=AE$6),'Lease Cycles'!$C$28*'Lease Cycles'!$BA$28/12,IF(AND('Lease Cycles'!$AX$28&gt;=INDEX('Lease Cycles'!$BG$28:$BM$28,1,AE350),'Lease Cycles'!$AX$28&lt;=AE$6),'Lease Cycles'!$C$28*'Lease Cycles'!$AY$28/12,IF(AND('Lease Cycles'!$AV$28&gt;=INDEX('Lease Cycles'!$BG$28:$BM$28,1,AE350),'Lease Cycles'!$AV$28&lt;=AE$6),'Lease Cycles'!$C$28*'Lease Cycles'!$AW$28/12,IF(AND('Lease Cycles'!$AT$28&gt;=INDEX('Lease Cycles'!$BG$28:$BM$28,1,AE350),'Lease Cycles'!$AT$28&lt;=AE$6),'Lease Cycles'!$C$28*'Lease Cycles'!$AU$28/12,'Lease Cycles'!$C$28*INDEX('Lease Cycles'!$CB$28:$CH$28,1,AE350)*(1+INDEX('Lease Cycles'!$CI$28:$CO$28,1,AE350))^INT(INT(AE351/12)/INDEX('Lease Cycles'!$CP$28:$CV$28,1,AE350))/12)))),'Lease Cycles'!$C$28*INDEX('Lease Cycles'!$CB$28:$CH$28,1,AE350)*(1+INDEX('Lease Cycles'!$CI$28:$CO$28,1,AE350))^INT(INT(AE351/12)/INDEX('Lease Cycles'!$CP$28:$CV$28,1,AE350))/12))),IF('Lease Cycles'!$N$28=1,'Lease Cycles'!$C$28*'Lease Cycles'!$E$28*INDEX('Lease Cycles'!$HE$28:$HK$28,1,AE350)*(1+INDEX('Lease Cycles'!$GQ$28:$GW$28,1,AE350))^INT(INT((AE$6-INDEX('Lease Cycles'!$GJ$28:$GP$28,1,AE350))/12)/INDEX('Lease Cycles'!$GX$28:$HD$28,1,AE350))/12,0)))</f>
        <v>0</v>
      </c>
      <c r="AF353" s="28">
        <f>IF(AF350=0,IF('Lease Cycles'!$F$28&gt;0,'Lease Cycles'!$C$28*'Lease Cycles'!$E$28/12,0),IF(AF352=1,IF('Lease Cycles'!$AT$28&gt;=9999,'Lease Cycles'!$C$28*INDEX('Lease Cycles'!$CB$28:$CH$28,1,AF350)*(1+INDEX('Lease Cycles'!$CI$28:$CO$28,1,AF350))^INT(INT(AF351/12)/INDEX('Lease Cycles'!$CP$28:$CV$28,1,AF350))/12,IF(AF350=1,IF(AF351&gt;=INDEX('Lease Cycles'!$DK$28:$DQ$28,1,AF350),IF(AF$6&gt;='Lease Cycles'!$AZ$28,'Lease Cycles'!$C$28*'Lease Cycles'!$BA$28/12,IF(AF$6&gt;='Lease Cycles'!$AX$28,'Lease Cycles'!$C$28*'Lease Cycles'!$AY$28/12,IF(AF$6&gt;='Lease Cycles'!$AV$28,'Lease Cycles'!$C$28*'Lease Cycles'!$AW$28/12,IF(AF$6&gt;='Lease Cycles'!$AT$28,'Lease Cycles'!$C$28*'Lease Cycles'!$AU$28/12,'Lease Cycles'!$C$28*INDEX('Lease Cycles'!$CB$28:$CH$28,1,AF350)*(1+INDEX('Lease Cycles'!$CI$28:$CO$28,1,AF350))^INT(INT(AF351/12)/INDEX('Lease Cycles'!$CP$28:$CV$28,1,AF350))/12)))),'Lease Cycles'!$C$28*INDEX('Lease Cycles'!$CB$28:$CH$28,1,AF350)*(1+INDEX('Lease Cycles'!$CI$28:$CO$28,1,AF350))^INT(INT(AF351/12)/INDEX('Lease Cycles'!$CP$28:$CV$28,1,AF350))/12),IF(INDEX('Lease Cycles'!$EF$28:$EL$28,1,AF350)=1,IF(AND('Lease Cycles'!$AZ$28&gt;=INDEX('Lease Cycles'!$BG$28:$BM$28,1,AF350),'Lease Cycles'!$AZ$28&lt;=AF$6),'Lease Cycles'!$C$28*'Lease Cycles'!$BA$28/12,IF(AND('Lease Cycles'!$AX$28&gt;=INDEX('Lease Cycles'!$BG$28:$BM$28,1,AF350),'Lease Cycles'!$AX$28&lt;=AF$6),'Lease Cycles'!$C$28*'Lease Cycles'!$AY$28/12,IF(AND('Lease Cycles'!$AV$28&gt;=INDEX('Lease Cycles'!$BG$28:$BM$28,1,AF350),'Lease Cycles'!$AV$28&lt;=AF$6),'Lease Cycles'!$C$28*'Lease Cycles'!$AW$28/12,IF(AND('Lease Cycles'!$AT$28&gt;=INDEX('Lease Cycles'!$BG$28:$BM$28,1,AF350),'Lease Cycles'!$AT$28&lt;=AF$6),'Lease Cycles'!$C$28*'Lease Cycles'!$AU$28/12,'Lease Cycles'!$C$28*INDEX('Lease Cycles'!$CB$28:$CH$28,1,AF350)*(1+INDEX('Lease Cycles'!$CI$28:$CO$28,1,AF350))^INT(INT(AF351/12)/INDEX('Lease Cycles'!$CP$28:$CV$28,1,AF350))/12)))),'Lease Cycles'!$C$28*INDEX('Lease Cycles'!$CB$28:$CH$28,1,AF350)*(1+INDEX('Lease Cycles'!$CI$28:$CO$28,1,AF350))^INT(INT(AF351/12)/INDEX('Lease Cycles'!$CP$28:$CV$28,1,AF350))/12))),IF('Lease Cycles'!$N$28=1,'Lease Cycles'!$C$28*'Lease Cycles'!$E$28*INDEX('Lease Cycles'!$HE$28:$HK$28,1,AF350)*(1+INDEX('Lease Cycles'!$GQ$28:$GW$28,1,AF350))^INT(INT((AF$6-INDEX('Lease Cycles'!$GJ$28:$GP$28,1,AF350))/12)/INDEX('Lease Cycles'!$GX$28:$HD$28,1,AF350))/12,0)))</f>
        <v>0</v>
      </c>
      <c r="AG353" s="28">
        <f>IF(AG350=0,IF('Lease Cycles'!$F$28&gt;0,'Lease Cycles'!$C$28*'Lease Cycles'!$E$28/12,0),IF(AG352=1,IF('Lease Cycles'!$AT$28&gt;=9999,'Lease Cycles'!$C$28*INDEX('Lease Cycles'!$CB$28:$CH$28,1,AG350)*(1+INDEX('Lease Cycles'!$CI$28:$CO$28,1,AG350))^INT(INT(AG351/12)/INDEX('Lease Cycles'!$CP$28:$CV$28,1,AG350))/12,IF(AG350=1,IF(AG351&gt;=INDEX('Lease Cycles'!$DK$28:$DQ$28,1,AG350),IF(AG$6&gt;='Lease Cycles'!$AZ$28,'Lease Cycles'!$C$28*'Lease Cycles'!$BA$28/12,IF(AG$6&gt;='Lease Cycles'!$AX$28,'Lease Cycles'!$C$28*'Lease Cycles'!$AY$28/12,IF(AG$6&gt;='Lease Cycles'!$AV$28,'Lease Cycles'!$C$28*'Lease Cycles'!$AW$28/12,IF(AG$6&gt;='Lease Cycles'!$AT$28,'Lease Cycles'!$C$28*'Lease Cycles'!$AU$28/12,'Lease Cycles'!$C$28*INDEX('Lease Cycles'!$CB$28:$CH$28,1,AG350)*(1+INDEX('Lease Cycles'!$CI$28:$CO$28,1,AG350))^INT(INT(AG351/12)/INDEX('Lease Cycles'!$CP$28:$CV$28,1,AG350))/12)))),'Lease Cycles'!$C$28*INDEX('Lease Cycles'!$CB$28:$CH$28,1,AG350)*(1+INDEX('Lease Cycles'!$CI$28:$CO$28,1,AG350))^INT(INT(AG351/12)/INDEX('Lease Cycles'!$CP$28:$CV$28,1,AG350))/12),IF(INDEX('Lease Cycles'!$EF$28:$EL$28,1,AG350)=1,IF(AND('Lease Cycles'!$AZ$28&gt;=INDEX('Lease Cycles'!$BG$28:$BM$28,1,AG350),'Lease Cycles'!$AZ$28&lt;=AG$6),'Lease Cycles'!$C$28*'Lease Cycles'!$BA$28/12,IF(AND('Lease Cycles'!$AX$28&gt;=INDEX('Lease Cycles'!$BG$28:$BM$28,1,AG350),'Lease Cycles'!$AX$28&lt;=AG$6),'Lease Cycles'!$C$28*'Lease Cycles'!$AY$28/12,IF(AND('Lease Cycles'!$AV$28&gt;=INDEX('Lease Cycles'!$BG$28:$BM$28,1,AG350),'Lease Cycles'!$AV$28&lt;=AG$6),'Lease Cycles'!$C$28*'Lease Cycles'!$AW$28/12,IF(AND('Lease Cycles'!$AT$28&gt;=INDEX('Lease Cycles'!$BG$28:$BM$28,1,AG350),'Lease Cycles'!$AT$28&lt;=AG$6),'Lease Cycles'!$C$28*'Lease Cycles'!$AU$28/12,'Lease Cycles'!$C$28*INDEX('Lease Cycles'!$CB$28:$CH$28,1,AG350)*(1+INDEX('Lease Cycles'!$CI$28:$CO$28,1,AG350))^INT(INT(AG351/12)/INDEX('Lease Cycles'!$CP$28:$CV$28,1,AG350))/12)))),'Lease Cycles'!$C$28*INDEX('Lease Cycles'!$CB$28:$CH$28,1,AG350)*(1+INDEX('Lease Cycles'!$CI$28:$CO$28,1,AG350))^INT(INT(AG351/12)/INDEX('Lease Cycles'!$CP$28:$CV$28,1,AG350))/12))),IF('Lease Cycles'!$N$28=1,'Lease Cycles'!$C$28*'Lease Cycles'!$E$28*INDEX('Lease Cycles'!$HE$28:$HK$28,1,AG350)*(1+INDEX('Lease Cycles'!$GQ$28:$GW$28,1,AG350))^INT(INT((AG$6-INDEX('Lease Cycles'!$GJ$28:$GP$28,1,AG350))/12)/INDEX('Lease Cycles'!$GX$28:$HD$28,1,AG350))/12,0)))</f>
        <v>0</v>
      </c>
      <c r="AH353" s="28">
        <f>IF(AH350=0,IF('Lease Cycles'!$F$28&gt;0,'Lease Cycles'!$C$28*'Lease Cycles'!$E$28/12,0),IF(AH352=1,IF('Lease Cycles'!$AT$28&gt;=9999,'Lease Cycles'!$C$28*INDEX('Lease Cycles'!$CB$28:$CH$28,1,AH350)*(1+INDEX('Lease Cycles'!$CI$28:$CO$28,1,AH350))^INT(INT(AH351/12)/INDEX('Lease Cycles'!$CP$28:$CV$28,1,AH350))/12,IF(AH350=1,IF(AH351&gt;=INDEX('Lease Cycles'!$DK$28:$DQ$28,1,AH350),IF(AH$6&gt;='Lease Cycles'!$AZ$28,'Lease Cycles'!$C$28*'Lease Cycles'!$BA$28/12,IF(AH$6&gt;='Lease Cycles'!$AX$28,'Lease Cycles'!$C$28*'Lease Cycles'!$AY$28/12,IF(AH$6&gt;='Lease Cycles'!$AV$28,'Lease Cycles'!$C$28*'Lease Cycles'!$AW$28/12,IF(AH$6&gt;='Lease Cycles'!$AT$28,'Lease Cycles'!$C$28*'Lease Cycles'!$AU$28/12,'Lease Cycles'!$C$28*INDEX('Lease Cycles'!$CB$28:$CH$28,1,AH350)*(1+INDEX('Lease Cycles'!$CI$28:$CO$28,1,AH350))^INT(INT(AH351/12)/INDEX('Lease Cycles'!$CP$28:$CV$28,1,AH350))/12)))),'Lease Cycles'!$C$28*INDEX('Lease Cycles'!$CB$28:$CH$28,1,AH350)*(1+INDEX('Lease Cycles'!$CI$28:$CO$28,1,AH350))^INT(INT(AH351/12)/INDEX('Lease Cycles'!$CP$28:$CV$28,1,AH350))/12),IF(INDEX('Lease Cycles'!$EF$28:$EL$28,1,AH350)=1,IF(AND('Lease Cycles'!$AZ$28&gt;=INDEX('Lease Cycles'!$BG$28:$BM$28,1,AH350),'Lease Cycles'!$AZ$28&lt;=AH$6),'Lease Cycles'!$C$28*'Lease Cycles'!$BA$28/12,IF(AND('Lease Cycles'!$AX$28&gt;=INDEX('Lease Cycles'!$BG$28:$BM$28,1,AH350),'Lease Cycles'!$AX$28&lt;=AH$6),'Lease Cycles'!$C$28*'Lease Cycles'!$AY$28/12,IF(AND('Lease Cycles'!$AV$28&gt;=INDEX('Lease Cycles'!$BG$28:$BM$28,1,AH350),'Lease Cycles'!$AV$28&lt;=AH$6),'Lease Cycles'!$C$28*'Lease Cycles'!$AW$28/12,IF(AND('Lease Cycles'!$AT$28&gt;=INDEX('Lease Cycles'!$BG$28:$BM$28,1,AH350),'Lease Cycles'!$AT$28&lt;=AH$6),'Lease Cycles'!$C$28*'Lease Cycles'!$AU$28/12,'Lease Cycles'!$C$28*INDEX('Lease Cycles'!$CB$28:$CH$28,1,AH350)*(1+INDEX('Lease Cycles'!$CI$28:$CO$28,1,AH350))^INT(INT(AH351/12)/INDEX('Lease Cycles'!$CP$28:$CV$28,1,AH350))/12)))),'Lease Cycles'!$C$28*INDEX('Lease Cycles'!$CB$28:$CH$28,1,AH350)*(1+INDEX('Lease Cycles'!$CI$28:$CO$28,1,AH350))^INT(INT(AH351/12)/INDEX('Lease Cycles'!$CP$28:$CV$28,1,AH350))/12))),IF('Lease Cycles'!$N$28=1,'Lease Cycles'!$C$28*'Lease Cycles'!$E$28*INDEX('Lease Cycles'!$HE$28:$HK$28,1,AH350)*(1+INDEX('Lease Cycles'!$GQ$28:$GW$28,1,AH350))^INT(INT((AH$6-INDEX('Lease Cycles'!$GJ$28:$GP$28,1,AH350))/12)/INDEX('Lease Cycles'!$GX$28:$HD$28,1,AH350))/12,0)))</f>
        <v>0</v>
      </c>
      <c r="AI353" s="28">
        <f>IF(AI350=0,IF('Lease Cycles'!$F$28&gt;0,'Lease Cycles'!$C$28*'Lease Cycles'!$E$28/12,0),IF(AI352=1,IF('Lease Cycles'!$AT$28&gt;=9999,'Lease Cycles'!$C$28*INDEX('Lease Cycles'!$CB$28:$CH$28,1,AI350)*(1+INDEX('Lease Cycles'!$CI$28:$CO$28,1,AI350))^INT(INT(AI351/12)/INDEX('Lease Cycles'!$CP$28:$CV$28,1,AI350))/12,IF(AI350=1,IF(AI351&gt;=INDEX('Lease Cycles'!$DK$28:$DQ$28,1,AI350),IF(AI$6&gt;='Lease Cycles'!$AZ$28,'Lease Cycles'!$C$28*'Lease Cycles'!$BA$28/12,IF(AI$6&gt;='Lease Cycles'!$AX$28,'Lease Cycles'!$C$28*'Lease Cycles'!$AY$28/12,IF(AI$6&gt;='Lease Cycles'!$AV$28,'Lease Cycles'!$C$28*'Lease Cycles'!$AW$28/12,IF(AI$6&gt;='Lease Cycles'!$AT$28,'Lease Cycles'!$C$28*'Lease Cycles'!$AU$28/12,'Lease Cycles'!$C$28*INDEX('Lease Cycles'!$CB$28:$CH$28,1,AI350)*(1+INDEX('Lease Cycles'!$CI$28:$CO$28,1,AI350))^INT(INT(AI351/12)/INDEX('Lease Cycles'!$CP$28:$CV$28,1,AI350))/12)))),'Lease Cycles'!$C$28*INDEX('Lease Cycles'!$CB$28:$CH$28,1,AI350)*(1+INDEX('Lease Cycles'!$CI$28:$CO$28,1,AI350))^INT(INT(AI351/12)/INDEX('Lease Cycles'!$CP$28:$CV$28,1,AI350))/12),IF(INDEX('Lease Cycles'!$EF$28:$EL$28,1,AI350)=1,IF(AND('Lease Cycles'!$AZ$28&gt;=INDEX('Lease Cycles'!$BG$28:$BM$28,1,AI350),'Lease Cycles'!$AZ$28&lt;=AI$6),'Lease Cycles'!$C$28*'Lease Cycles'!$BA$28/12,IF(AND('Lease Cycles'!$AX$28&gt;=INDEX('Lease Cycles'!$BG$28:$BM$28,1,AI350),'Lease Cycles'!$AX$28&lt;=AI$6),'Lease Cycles'!$C$28*'Lease Cycles'!$AY$28/12,IF(AND('Lease Cycles'!$AV$28&gt;=INDEX('Lease Cycles'!$BG$28:$BM$28,1,AI350),'Lease Cycles'!$AV$28&lt;=AI$6),'Lease Cycles'!$C$28*'Lease Cycles'!$AW$28/12,IF(AND('Lease Cycles'!$AT$28&gt;=INDEX('Lease Cycles'!$BG$28:$BM$28,1,AI350),'Lease Cycles'!$AT$28&lt;=AI$6),'Lease Cycles'!$C$28*'Lease Cycles'!$AU$28/12,'Lease Cycles'!$C$28*INDEX('Lease Cycles'!$CB$28:$CH$28,1,AI350)*(1+INDEX('Lease Cycles'!$CI$28:$CO$28,1,AI350))^INT(INT(AI351/12)/INDEX('Lease Cycles'!$CP$28:$CV$28,1,AI350))/12)))),'Lease Cycles'!$C$28*INDEX('Lease Cycles'!$CB$28:$CH$28,1,AI350)*(1+INDEX('Lease Cycles'!$CI$28:$CO$28,1,AI350))^INT(INT(AI351/12)/INDEX('Lease Cycles'!$CP$28:$CV$28,1,AI350))/12))),IF('Lease Cycles'!$N$28=1,'Lease Cycles'!$C$28*'Lease Cycles'!$E$28*INDEX('Lease Cycles'!$HE$28:$HK$28,1,AI350)*(1+INDEX('Lease Cycles'!$GQ$28:$GW$28,1,AI350))^INT(INT((AI$6-INDEX('Lease Cycles'!$GJ$28:$GP$28,1,AI350))/12)/INDEX('Lease Cycles'!$GX$28:$HD$28,1,AI350))/12,0)))</f>
        <v>0</v>
      </c>
      <c r="AJ353" s="28">
        <f>IF(AJ350=0,IF('Lease Cycles'!$F$28&gt;0,'Lease Cycles'!$C$28*'Lease Cycles'!$E$28/12,0),IF(AJ352=1,IF('Lease Cycles'!$AT$28&gt;=9999,'Lease Cycles'!$C$28*INDEX('Lease Cycles'!$CB$28:$CH$28,1,AJ350)*(1+INDEX('Lease Cycles'!$CI$28:$CO$28,1,AJ350))^INT(INT(AJ351/12)/INDEX('Lease Cycles'!$CP$28:$CV$28,1,AJ350))/12,IF(AJ350=1,IF(AJ351&gt;=INDEX('Lease Cycles'!$DK$28:$DQ$28,1,AJ350),IF(AJ$6&gt;='Lease Cycles'!$AZ$28,'Lease Cycles'!$C$28*'Lease Cycles'!$BA$28/12,IF(AJ$6&gt;='Lease Cycles'!$AX$28,'Lease Cycles'!$C$28*'Lease Cycles'!$AY$28/12,IF(AJ$6&gt;='Lease Cycles'!$AV$28,'Lease Cycles'!$C$28*'Lease Cycles'!$AW$28/12,IF(AJ$6&gt;='Lease Cycles'!$AT$28,'Lease Cycles'!$C$28*'Lease Cycles'!$AU$28/12,'Lease Cycles'!$C$28*INDEX('Lease Cycles'!$CB$28:$CH$28,1,AJ350)*(1+INDEX('Lease Cycles'!$CI$28:$CO$28,1,AJ350))^INT(INT(AJ351/12)/INDEX('Lease Cycles'!$CP$28:$CV$28,1,AJ350))/12)))),'Lease Cycles'!$C$28*INDEX('Lease Cycles'!$CB$28:$CH$28,1,AJ350)*(1+INDEX('Lease Cycles'!$CI$28:$CO$28,1,AJ350))^INT(INT(AJ351/12)/INDEX('Lease Cycles'!$CP$28:$CV$28,1,AJ350))/12),IF(INDEX('Lease Cycles'!$EF$28:$EL$28,1,AJ350)=1,IF(AND('Lease Cycles'!$AZ$28&gt;=INDEX('Lease Cycles'!$BG$28:$BM$28,1,AJ350),'Lease Cycles'!$AZ$28&lt;=AJ$6),'Lease Cycles'!$C$28*'Lease Cycles'!$BA$28/12,IF(AND('Lease Cycles'!$AX$28&gt;=INDEX('Lease Cycles'!$BG$28:$BM$28,1,AJ350),'Lease Cycles'!$AX$28&lt;=AJ$6),'Lease Cycles'!$C$28*'Lease Cycles'!$AY$28/12,IF(AND('Lease Cycles'!$AV$28&gt;=INDEX('Lease Cycles'!$BG$28:$BM$28,1,AJ350),'Lease Cycles'!$AV$28&lt;=AJ$6),'Lease Cycles'!$C$28*'Lease Cycles'!$AW$28/12,IF(AND('Lease Cycles'!$AT$28&gt;=INDEX('Lease Cycles'!$BG$28:$BM$28,1,AJ350),'Lease Cycles'!$AT$28&lt;=AJ$6),'Lease Cycles'!$C$28*'Lease Cycles'!$AU$28/12,'Lease Cycles'!$C$28*INDEX('Lease Cycles'!$CB$28:$CH$28,1,AJ350)*(1+INDEX('Lease Cycles'!$CI$28:$CO$28,1,AJ350))^INT(INT(AJ351/12)/INDEX('Lease Cycles'!$CP$28:$CV$28,1,AJ350))/12)))),'Lease Cycles'!$C$28*INDEX('Lease Cycles'!$CB$28:$CH$28,1,AJ350)*(1+INDEX('Lease Cycles'!$CI$28:$CO$28,1,AJ350))^INT(INT(AJ351/12)/INDEX('Lease Cycles'!$CP$28:$CV$28,1,AJ350))/12))),IF('Lease Cycles'!$N$28=1,'Lease Cycles'!$C$28*'Lease Cycles'!$E$28*INDEX('Lease Cycles'!$HE$28:$HK$28,1,AJ350)*(1+INDEX('Lease Cycles'!$GQ$28:$GW$28,1,AJ350))^INT(INT((AJ$6-INDEX('Lease Cycles'!$GJ$28:$GP$28,1,AJ350))/12)/INDEX('Lease Cycles'!$GX$28:$HD$28,1,AJ350))/12,0)))</f>
        <v>0</v>
      </c>
      <c r="AK353" s="28">
        <f>IF(AK350=0,IF('Lease Cycles'!$F$28&gt;0,'Lease Cycles'!$C$28*'Lease Cycles'!$E$28/12,0),IF(AK352=1,IF('Lease Cycles'!$AT$28&gt;=9999,'Lease Cycles'!$C$28*INDEX('Lease Cycles'!$CB$28:$CH$28,1,AK350)*(1+INDEX('Lease Cycles'!$CI$28:$CO$28,1,AK350))^INT(INT(AK351/12)/INDEX('Lease Cycles'!$CP$28:$CV$28,1,AK350))/12,IF(AK350=1,IF(AK351&gt;=INDEX('Lease Cycles'!$DK$28:$DQ$28,1,AK350),IF(AK$6&gt;='Lease Cycles'!$AZ$28,'Lease Cycles'!$C$28*'Lease Cycles'!$BA$28/12,IF(AK$6&gt;='Lease Cycles'!$AX$28,'Lease Cycles'!$C$28*'Lease Cycles'!$AY$28/12,IF(AK$6&gt;='Lease Cycles'!$AV$28,'Lease Cycles'!$C$28*'Lease Cycles'!$AW$28/12,IF(AK$6&gt;='Lease Cycles'!$AT$28,'Lease Cycles'!$C$28*'Lease Cycles'!$AU$28/12,'Lease Cycles'!$C$28*INDEX('Lease Cycles'!$CB$28:$CH$28,1,AK350)*(1+INDEX('Lease Cycles'!$CI$28:$CO$28,1,AK350))^INT(INT(AK351/12)/INDEX('Lease Cycles'!$CP$28:$CV$28,1,AK350))/12)))),'Lease Cycles'!$C$28*INDEX('Lease Cycles'!$CB$28:$CH$28,1,AK350)*(1+INDEX('Lease Cycles'!$CI$28:$CO$28,1,AK350))^INT(INT(AK351/12)/INDEX('Lease Cycles'!$CP$28:$CV$28,1,AK350))/12),IF(INDEX('Lease Cycles'!$EF$28:$EL$28,1,AK350)=1,IF(AND('Lease Cycles'!$AZ$28&gt;=INDEX('Lease Cycles'!$BG$28:$BM$28,1,AK350),'Lease Cycles'!$AZ$28&lt;=AK$6),'Lease Cycles'!$C$28*'Lease Cycles'!$BA$28/12,IF(AND('Lease Cycles'!$AX$28&gt;=INDEX('Lease Cycles'!$BG$28:$BM$28,1,AK350),'Lease Cycles'!$AX$28&lt;=AK$6),'Lease Cycles'!$C$28*'Lease Cycles'!$AY$28/12,IF(AND('Lease Cycles'!$AV$28&gt;=INDEX('Lease Cycles'!$BG$28:$BM$28,1,AK350),'Lease Cycles'!$AV$28&lt;=AK$6),'Lease Cycles'!$C$28*'Lease Cycles'!$AW$28/12,IF(AND('Lease Cycles'!$AT$28&gt;=INDEX('Lease Cycles'!$BG$28:$BM$28,1,AK350),'Lease Cycles'!$AT$28&lt;=AK$6),'Lease Cycles'!$C$28*'Lease Cycles'!$AU$28/12,'Lease Cycles'!$C$28*INDEX('Lease Cycles'!$CB$28:$CH$28,1,AK350)*(1+INDEX('Lease Cycles'!$CI$28:$CO$28,1,AK350))^INT(INT(AK351/12)/INDEX('Lease Cycles'!$CP$28:$CV$28,1,AK350))/12)))),'Lease Cycles'!$C$28*INDEX('Lease Cycles'!$CB$28:$CH$28,1,AK350)*(1+INDEX('Lease Cycles'!$CI$28:$CO$28,1,AK350))^INT(INT(AK351/12)/INDEX('Lease Cycles'!$CP$28:$CV$28,1,AK350))/12))),IF('Lease Cycles'!$N$28=1,'Lease Cycles'!$C$28*'Lease Cycles'!$E$28*INDEX('Lease Cycles'!$HE$28:$HK$28,1,AK350)*(1+INDEX('Lease Cycles'!$GQ$28:$GW$28,1,AK350))^INT(INT((AK$6-INDEX('Lease Cycles'!$GJ$28:$GP$28,1,AK350))/12)/INDEX('Lease Cycles'!$GX$28:$HD$28,1,AK350))/12,0)))</f>
        <v>0</v>
      </c>
      <c r="AL353" s="28">
        <f>IF(AL350=0,IF('Lease Cycles'!$F$28&gt;0,'Lease Cycles'!$C$28*'Lease Cycles'!$E$28/12,0),IF(AL352=1,IF('Lease Cycles'!$AT$28&gt;=9999,'Lease Cycles'!$C$28*INDEX('Lease Cycles'!$CB$28:$CH$28,1,AL350)*(1+INDEX('Lease Cycles'!$CI$28:$CO$28,1,AL350))^INT(INT(AL351/12)/INDEX('Lease Cycles'!$CP$28:$CV$28,1,AL350))/12,IF(AL350=1,IF(AL351&gt;=INDEX('Lease Cycles'!$DK$28:$DQ$28,1,AL350),IF(AL$6&gt;='Lease Cycles'!$AZ$28,'Lease Cycles'!$C$28*'Lease Cycles'!$BA$28/12,IF(AL$6&gt;='Lease Cycles'!$AX$28,'Lease Cycles'!$C$28*'Lease Cycles'!$AY$28/12,IF(AL$6&gt;='Lease Cycles'!$AV$28,'Lease Cycles'!$C$28*'Lease Cycles'!$AW$28/12,IF(AL$6&gt;='Lease Cycles'!$AT$28,'Lease Cycles'!$C$28*'Lease Cycles'!$AU$28/12,'Lease Cycles'!$C$28*INDEX('Lease Cycles'!$CB$28:$CH$28,1,AL350)*(1+INDEX('Lease Cycles'!$CI$28:$CO$28,1,AL350))^INT(INT(AL351/12)/INDEX('Lease Cycles'!$CP$28:$CV$28,1,AL350))/12)))),'Lease Cycles'!$C$28*INDEX('Lease Cycles'!$CB$28:$CH$28,1,AL350)*(1+INDEX('Lease Cycles'!$CI$28:$CO$28,1,AL350))^INT(INT(AL351/12)/INDEX('Lease Cycles'!$CP$28:$CV$28,1,AL350))/12),IF(INDEX('Lease Cycles'!$EF$28:$EL$28,1,AL350)=1,IF(AND('Lease Cycles'!$AZ$28&gt;=INDEX('Lease Cycles'!$BG$28:$BM$28,1,AL350),'Lease Cycles'!$AZ$28&lt;=AL$6),'Lease Cycles'!$C$28*'Lease Cycles'!$BA$28/12,IF(AND('Lease Cycles'!$AX$28&gt;=INDEX('Lease Cycles'!$BG$28:$BM$28,1,AL350),'Lease Cycles'!$AX$28&lt;=AL$6),'Lease Cycles'!$C$28*'Lease Cycles'!$AY$28/12,IF(AND('Lease Cycles'!$AV$28&gt;=INDEX('Lease Cycles'!$BG$28:$BM$28,1,AL350),'Lease Cycles'!$AV$28&lt;=AL$6),'Lease Cycles'!$C$28*'Lease Cycles'!$AW$28/12,IF(AND('Lease Cycles'!$AT$28&gt;=INDEX('Lease Cycles'!$BG$28:$BM$28,1,AL350),'Lease Cycles'!$AT$28&lt;=AL$6),'Lease Cycles'!$C$28*'Lease Cycles'!$AU$28/12,'Lease Cycles'!$C$28*INDEX('Lease Cycles'!$CB$28:$CH$28,1,AL350)*(1+INDEX('Lease Cycles'!$CI$28:$CO$28,1,AL350))^INT(INT(AL351/12)/INDEX('Lease Cycles'!$CP$28:$CV$28,1,AL350))/12)))),'Lease Cycles'!$C$28*INDEX('Lease Cycles'!$CB$28:$CH$28,1,AL350)*(1+INDEX('Lease Cycles'!$CI$28:$CO$28,1,AL350))^INT(INT(AL351/12)/INDEX('Lease Cycles'!$CP$28:$CV$28,1,AL350))/12))),IF('Lease Cycles'!$N$28=1,'Lease Cycles'!$C$28*'Lease Cycles'!$E$28*INDEX('Lease Cycles'!$HE$28:$HK$28,1,AL350)*(1+INDEX('Lease Cycles'!$GQ$28:$GW$28,1,AL350))^INT(INT((AL$6-INDEX('Lease Cycles'!$GJ$28:$GP$28,1,AL350))/12)/INDEX('Lease Cycles'!$GX$28:$HD$28,1,AL350))/12,0)))</f>
        <v>0</v>
      </c>
      <c r="AM353" s="28">
        <f>IF(AM350=0,IF('Lease Cycles'!$F$28&gt;0,'Lease Cycles'!$C$28*'Lease Cycles'!$E$28/12,0),IF(AM352=1,IF('Lease Cycles'!$AT$28&gt;=9999,'Lease Cycles'!$C$28*INDEX('Lease Cycles'!$CB$28:$CH$28,1,AM350)*(1+INDEX('Lease Cycles'!$CI$28:$CO$28,1,AM350))^INT(INT(AM351/12)/INDEX('Lease Cycles'!$CP$28:$CV$28,1,AM350))/12,IF(AM350=1,IF(AM351&gt;=INDEX('Lease Cycles'!$DK$28:$DQ$28,1,AM350),IF(AM$6&gt;='Lease Cycles'!$AZ$28,'Lease Cycles'!$C$28*'Lease Cycles'!$BA$28/12,IF(AM$6&gt;='Lease Cycles'!$AX$28,'Lease Cycles'!$C$28*'Lease Cycles'!$AY$28/12,IF(AM$6&gt;='Lease Cycles'!$AV$28,'Lease Cycles'!$C$28*'Lease Cycles'!$AW$28/12,IF(AM$6&gt;='Lease Cycles'!$AT$28,'Lease Cycles'!$C$28*'Lease Cycles'!$AU$28/12,'Lease Cycles'!$C$28*INDEX('Lease Cycles'!$CB$28:$CH$28,1,AM350)*(1+INDEX('Lease Cycles'!$CI$28:$CO$28,1,AM350))^INT(INT(AM351/12)/INDEX('Lease Cycles'!$CP$28:$CV$28,1,AM350))/12)))),'Lease Cycles'!$C$28*INDEX('Lease Cycles'!$CB$28:$CH$28,1,AM350)*(1+INDEX('Lease Cycles'!$CI$28:$CO$28,1,AM350))^INT(INT(AM351/12)/INDEX('Lease Cycles'!$CP$28:$CV$28,1,AM350))/12),IF(INDEX('Lease Cycles'!$EF$28:$EL$28,1,AM350)=1,IF(AND('Lease Cycles'!$AZ$28&gt;=INDEX('Lease Cycles'!$BG$28:$BM$28,1,AM350),'Lease Cycles'!$AZ$28&lt;=AM$6),'Lease Cycles'!$C$28*'Lease Cycles'!$BA$28/12,IF(AND('Lease Cycles'!$AX$28&gt;=INDEX('Lease Cycles'!$BG$28:$BM$28,1,AM350),'Lease Cycles'!$AX$28&lt;=AM$6),'Lease Cycles'!$C$28*'Lease Cycles'!$AY$28/12,IF(AND('Lease Cycles'!$AV$28&gt;=INDEX('Lease Cycles'!$BG$28:$BM$28,1,AM350),'Lease Cycles'!$AV$28&lt;=AM$6),'Lease Cycles'!$C$28*'Lease Cycles'!$AW$28/12,IF(AND('Lease Cycles'!$AT$28&gt;=INDEX('Lease Cycles'!$BG$28:$BM$28,1,AM350),'Lease Cycles'!$AT$28&lt;=AM$6),'Lease Cycles'!$C$28*'Lease Cycles'!$AU$28/12,'Lease Cycles'!$C$28*INDEX('Lease Cycles'!$CB$28:$CH$28,1,AM350)*(1+INDEX('Lease Cycles'!$CI$28:$CO$28,1,AM350))^INT(INT(AM351/12)/INDEX('Lease Cycles'!$CP$28:$CV$28,1,AM350))/12)))),'Lease Cycles'!$C$28*INDEX('Lease Cycles'!$CB$28:$CH$28,1,AM350)*(1+INDEX('Lease Cycles'!$CI$28:$CO$28,1,AM350))^INT(INT(AM351/12)/INDEX('Lease Cycles'!$CP$28:$CV$28,1,AM350))/12))),IF('Lease Cycles'!$N$28=1,'Lease Cycles'!$C$28*'Lease Cycles'!$E$28*INDEX('Lease Cycles'!$HE$28:$HK$28,1,AM350)*(1+INDEX('Lease Cycles'!$GQ$28:$GW$28,1,AM350))^INT(INT((AM$6-INDEX('Lease Cycles'!$GJ$28:$GP$28,1,AM350))/12)/INDEX('Lease Cycles'!$GX$28:$HD$28,1,AM350))/12,0)))</f>
        <v>0</v>
      </c>
      <c r="AN353" s="28">
        <f>IF(AN350=0,IF('Lease Cycles'!$F$28&gt;0,'Lease Cycles'!$C$28*'Lease Cycles'!$E$28/12,0),IF(AN352=1,IF('Lease Cycles'!$AT$28&gt;=9999,'Lease Cycles'!$C$28*INDEX('Lease Cycles'!$CB$28:$CH$28,1,AN350)*(1+INDEX('Lease Cycles'!$CI$28:$CO$28,1,AN350))^INT(INT(AN351/12)/INDEX('Lease Cycles'!$CP$28:$CV$28,1,AN350))/12,IF(AN350=1,IF(AN351&gt;=INDEX('Lease Cycles'!$DK$28:$DQ$28,1,AN350),IF(AN$6&gt;='Lease Cycles'!$AZ$28,'Lease Cycles'!$C$28*'Lease Cycles'!$BA$28/12,IF(AN$6&gt;='Lease Cycles'!$AX$28,'Lease Cycles'!$C$28*'Lease Cycles'!$AY$28/12,IF(AN$6&gt;='Lease Cycles'!$AV$28,'Lease Cycles'!$C$28*'Lease Cycles'!$AW$28/12,IF(AN$6&gt;='Lease Cycles'!$AT$28,'Lease Cycles'!$C$28*'Lease Cycles'!$AU$28/12,'Lease Cycles'!$C$28*INDEX('Lease Cycles'!$CB$28:$CH$28,1,AN350)*(1+INDEX('Lease Cycles'!$CI$28:$CO$28,1,AN350))^INT(INT(AN351/12)/INDEX('Lease Cycles'!$CP$28:$CV$28,1,AN350))/12)))),'Lease Cycles'!$C$28*INDEX('Lease Cycles'!$CB$28:$CH$28,1,AN350)*(1+INDEX('Lease Cycles'!$CI$28:$CO$28,1,AN350))^INT(INT(AN351/12)/INDEX('Lease Cycles'!$CP$28:$CV$28,1,AN350))/12),IF(INDEX('Lease Cycles'!$EF$28:$EL$28,1,AN350)=1,IF(AND('Lease Cycles'!$AZ$28&gt;=INDEX('Lease Cycles'!$BG$28:$BM$28,1,AN350),'Lease Cycles'!$AZ$28&lt;=AN$6),'Lease Cycles'!$C$28*'Lease Cycles'!$BA$28/12,IF(AND('Lease Cycles'!$AX$28&gt;=INDEX('Lease Cycles'!$BG$28:$BM$28,1,AN350),'Lease Cycles'!$AX$28&lt;=AN$6),'Lease Cycles'!$C$28*'Lease Cycles'!$AY$28/12,IF(AND('Lease Cycles'!$AV$28&gt;=INDEX('Lease Cycles'!$BG$28:$BM$28,1,AN350),'Lease Cycles'!$AV$28&lt;=AN$6),'Lease Cycles'!$C$28*'Lease Cycles'!$AW$28/12,IF(AND('Lease Cycles'!$AT$28&gt;=INDEX('Lease Cycles'!$BG$28:$BM$28,1,AN350),'Lease Cycles'!$AT$28&lt;=AN$6),'Lease Cycles'!$C$28*'Lease Cycles'!$AU$28/12,'Lease Cycles'!$C$28*INDEX('Lease Cycles'!$CB$28:$CH$28,1,AN350)*(1+INDEX('Lease Cycles'!$CI$28:$CO$28,1,AN350))^INT(INT(AN351/12)/INDEX('Lease Cycles'!$CP$28:$CV$28,1,AN350))/12)))),'Lease Cycles'!$C$28*INDEX('Lease Cycles'!$CB$28:$CH$28,1,AN350)*(1+INDEX('Lease Cycles'!$CI$28:$CO$28,1,AN350))^INT(INT(AN351/12)/INDEX('Lease Cycles'!$CP$28:$CV$28,1,AN350))/12))),IF('Lease Cycles'!$N$28=1,'Lease Cycles'!$C$28*'Lease Cycles'!$E$28*INDEX('Lease Cycles'!$HE$28:$HK$28,1,AN350)*(1+INDEX('Lease Cycles'!$GQ$28:$GW$28,1,AN350))^INT(INT((AN$6-INDEX('Lease Cycles'!$GJ$28:$GP$28,1,AN350))/12)/INDEX('Lease Cycles'!$GX$28:$HD$28,1,AN350))/12,0)))</f>
        <v>0</v>
      </c>
      <c r="AO353" s="28">
        <f>IF(AO350=0,IF('Lease Cycles'!$F$28&gt;0,'Lease Cycles'!$C$28*'Lease Cycles'!$E$28/12,0),IF(AO352=1,IF('Lease Cycles'!$AT$28&gt;=9999,'Lease Cycles'!$C$28*INDEX('Lease Cycles'!$CB$28:$CH$28,1,AO350)*(1+INDEX('Lease Cycles'!$CI$28:$CO$28,1,AO350))^INT(INT(AO351/12)/INDEX('Lease Cycles'!$CP$28:$CV$28,1,AO350))/12,IF(AO350=1,IF(AO351&gt;=INDEX('Lease Cycles'!$DK$28:$DQ$28,1,AO350),IF(AO$6&gt;='Lease Cycles'!$AZ$28,'Lease Cycles'!$C$28*'Lease Cycles'!$BA$28/12,IF(AO$6&gt;='Lease Cycles'!$AX$28,'Lease Cycles'!$C$28*'Lease Cycles'!$AY$28/12,IF(AO$6&gt;='Lease Cycles'!$AV$28,'Lease Cycles'!$C$28*'Lease Cycles'!$AW$28/12,IF(AO$6&gt;='Lease Cycles'!$AT$28,'Lease Cycles'!$C$28*'Lease Cycles'!$AU$28/12,'Lease Cycles'!$C$28*INDEX('Lease Cycles'!$CB$28:$CH$28,1,AO350)*(1+INDEX('Lease Cycles'!$CI$28:$CO$28,1,AO350))^INT(INT(AO351/12)/INDEX('Lease Cycles'!$CP$28:$CV$28,1,AO350))/12)))),'Lease Cycles'!$C$28*INDEX('Lease Cycles'!$CB$28:$CH$28,1,AO350)*(1+INDEX('Lease Cycles'!$CI$28:$CO$28,1,AO350))^INT(INT(AO351/12)/INDEX('Lease Cycles'!$CP$28:$CV$28,1,AO350))/12),IF(INDEX('Lease Cycles'!$EF$28:$EL$28,1,AO350)=1,IF(AND('Lease Cycles'!$AZ$28&gt;=INDEX('Lease Cycles'!$BG$28:$BM$28,1,AO350),'Lease Cycles'!$AZ$28&lt;=AO$6),'Lease Cycles'!$C$28*'Lease Cycles'!$BA$28/12,IF(AND('Lease Cycles'!$AX$28&gt;=INDEX('Lease Cycles'!$BG$28:$BM$28,1,AO350),'Lease Cycles'!$AX$28&lt;=AO$6),'Lease Cycles'!$C$28*'Lease Cycles'!$AY$28/12,IF(AND('Lease Cycles'!$AV$28&gt;=INDEX('Lease Cycles'!$BG$28:$BM$28,1,AO350),'Lease Cycles'!$AV$28&lt;=AO$6),'Lease Cycles'!$C$28*'Lease Cycles'!$AW$28/12,IF(AND('Lease Cycles'!$AT$28&gt;=INDEX('Lease Cycles'!$BG$28:$BM$28,1,AO350),'Lease Cycles'!$AT$28&lt;=AO$6),'Lease Cycles'!$C$28*'Lease Cycles'!$AU$28/12,'Lease Cycles'!$C$28*INDEX('Lease Cycles'!$CB$28:$CH$28,1,AO350)*(1+INDEX('Lease Cycles'!$CI$28:$CO$28,1,AO350))^INT(INT(AO351/12)/INDEX('Lease Cycles'!$CP$28:$CV$28,1,AO350))/12)))),'Lease Cycles'!$C$28*INDEX('Lease Cycles'!$CB$28:$CH$28,1,AO350)*(1+INDEX('Lease Cycles'!$CI$28:$CO$28,1,AO350))^INT(INT(AO351/12)/INDEX('Lease Cycles'!$CP$28:$CV$28,1,AO350))/12))),IF('Lease Cycles'!$N$28=1,'Lease Cycles'!$C$28*'Lease Cycles'!$E$28*INDEX('Lease Cycles'!$HE$28:$HK$28,1,AO350)*(1+INDEX('Lease Cycles'!$GQ$28:$GW$28,1,AO350))^INT(INT((AO$6-INDEX('Lease Cycles'!$GJ$28:$GP$28,1,AO350))/12)/INDEX('Lease Cycles'!$GX$28:$HD$28,1,AO350))/12,0)))</f>
        <v>0</v>
      </c>
      <c r="AP353" s="28">
        <f>IF(AP350=0,IF('Lease Cycles'!$F$28&gt;0,'Lease Cycles'!$C$28*'Lease Cycles'!$E$28/12,0),IF(AP352=1,IF('Lease Cycles'!$AT$28&gt;=9999,'Lease Cycles'!$C$28*INDEX('Lease Cycles'!$CB$28:$CH$28,1,AP350)*(1+INDEX('Lease Cycles'!$CI$28:$CO$28,1,AP350))^INT(INT(AP351/12)/INDEX('Lease Cycles'!$CP$28:$CV$28,1,AP350))/12,IF(AP350=1,IF(AP351&gt;=INDEX('Lease Cycles'!$DK$28:$DQ$28,1,AP350),IF(AP$6&gt;='Lease Cycles'!$AZ$28,'Lease Cycles'!$C$28*'Lease Cycles'!$BA$28/12,IF(AP$6&gt;='Lease Cycles'!$AX$28,'Lease Cycles'!$C$28*'Lease Cycles'!$AY$28/12,IF(AP$6&gt;='Lease Cycles'!$AV$28,'Lease Cycles'!$C$28*'Lease Cycles'!$AW$28/12,IF(AP$6&gt;='Lease Cycles'!$AT$28,'Lease Cycles'!$C$28*'Lease Cycles'!$AU$28/12,'Lease Cycles'!$C$28*INDEX('Lease Cycles'!$CB$28:$CH$28,1,AP350)*(1+INDEX('Lease Cycles'!$CI$28:$CO$28,1,AP350))^INT(INT(AP351/12)/INDEX('Lease Cycles'!$CP$28:$CV$28,1,AP350))/12)))),'Lease Cycles'!$C$28*INDEX('Lease Cycles'!$CB$28:$CH$28,1,AP350)*(1+INDEX('Lease Cycles'!$CI$28:$CO$28,1,AP350))^INT(INT(AP351/12)/INDEX('Lease Cycles'!$CP$28:$CV$28,1,AP350))/12),IF(INDEX('Lease Cycles'!$EF$28:$EL$28,1,AP350)=1,IF(AND('Lease Cycles'!$AZ$28&gt;=INDEX('Lease Cycles'!$BG$28:$BM$28,1,AP350),'Lease Cycles'!$AZ$28&lt;=AP$6),'Lease Cycles'!$C$28*'Lease Cycles'!$BA$28/12,IF(AND('Lease Cycles'!$AX$28&gt;=INDEX('Lease Cycles'!$BG$28:$BM$28,1,AP350),'Lease Cycles'!$AX$28&lt;=AP$6),'Lease Cycles'!$C$28*'Lease Cycles'!$AY$28/12,IF(AND('Lease Cycles'!$AV$28&gt;=INDEX('Lease Cycles'!$BG$28:$BM$28,1,AP350),'Lease Cycles'!$AV$28&lt;=AP$6),'Lease Cycles'!$C$28*'Lease Cycles'!$AW$28/12,IF(AND('Lease Cycles'!$AT$28&gt;=INDEX('Lease Cycles'!$BG$28:$BM$28,1,AP350),'Lease Cycles'!$AT$28&lt;=AP$6),'Lease Cycles'!$C$28*'Lease Cycles'!$AU$28/12,'Lease Cycles'!$C$28*INDEX('Lease Cycles'!$CB$28:$CH$28,1,AP350)*(1+INDEX('Lease Cycles'!$CI$28:$CO$28,1,AP350))^INT(INT(AP351/12)/INDEX('Lease Cycles'!$CP$28:$CV$28,1,AP350))/12)))),'Lease Cycles'!$C$28*INDEX('Lease Cycles'!$CB$28:$CH$28,1,AP350)*(1+INDEX('Lease Cycles'!$CI$28:$CO$28,1,AP350))^INT(INT(AP351/12)/INDEX('Lease Cycles'!$CP$28:$CV$28,1,AP350))/12))),IF('Lease Cycles'!$N$28=1,'Lease Cycles'!$C$28*'Lease Cycles'!$E$28*INDEX('Lease Cycles'!$HE$28:$HK$28,1,AP350)*(1+INDEX('Lease Cycles'!$GQ$28:$GW$28,1,AP350))^INT(INT((AP$6-INDEX('Lease Cycles'!$GJ$28:$GP$28,1,AP350))/12)/INDEX('Lease Cycles'!$GX$28:$HD$28,1,AP350))/12,0)))</f>
        <v>0</v>
      </c>
      <c r="AQ353" s="28">
        <f>IF(AQ350=0,IF('Lease Cycles'!$F$28&gt;0,'Lease Cycles'!$C$28*'Lease Cycles'!$E$28/12,0),IF(AQ352=1,IF('Lease Cycles'!$AT$28&gt;=9999,'Lease Cycles'!$C$28*INDEX('Lease Cycles'!$CB$28:$CH$28,1,AQ350)*(1+INDEX('Lease Cycles'!$CI$28:$CO$28,1,AQ350))^INT(INT(AQ351/12)/INDEX('Lease Cycles'!$CP$28:$CV$28,1,AQ350))/12,IF(AQ350=1,IF(AQ351&gt;=INDEX('Lease Cycles'!$DK$28:$DQ$28,1,AQ350),IF(AQ$6&gt;='Lease Cycles'!$AZ$28,'Lease Cycles'!$C$28*'Lease Cycles'!$BA$28/12,IF(AQ$6&gt;='Lease Cycles'!$AX$28,'Lease Cycles'!$C$28*'Lease Cycles'!$AY$28/12,IF(AQ$6&gt;='Lease Cycles'!$AV$28,'Lease Cycles'!$C$28*'Lease Cycles'!$AW$28/12,IF(AQ$6&gt;='Lease Cycles'!$AT$28,'Lease Cycles'!$C$28*'Lease Cycles'!$AU$28/12,'Lease Cycles'!$C$28*INDEX('Lease Cycles'!$CB$28:$CH$28,1,AQ350)*(1+INDEX('Lease Cycles'!$CI$28:$CO$28,1,AQ350))^INT(INT(AQ351/12)/INDEX('Lease Cycles'!$CP$28:$CV$28,1,AQ350))/12)))),'Lease Cycles'!$C$28*INDEX('Lease Cycles'!$CB$28:$CH$28,1,AQ350)*(1+INDEX('Lease Cycles'!$CI$28:$CO$28,1,AQ350))^INT(INT(AQ351/12)/INDEX('Lease Cycles'!$CP$28:$CV$28,1,AQ350))/12),IF(INDEX('Lease Cycles'!$EF$28:$EL$28,1,AQ350)=1,IF(AND('Lease Cycles'!$AZ$28&gt;=INDEX('Lease Cycles'!$BG$28:$BM$28,1,AQ350),'Lease Cycles'!$AZ$28&lt;=AQ$6),'Lease Cycles'!$C$28*'Lease Cycles'!$BA$28/12,IF(AND('Lease Cycles'!$AX$28&gt;=INDEX('Lease Cycles'!$BG$28:$BM$28,1,AQ350),'Lease Cycles'!$AX$28&lt;=AQ$6),'Lease Cycles'!$C$28*'Lease Cycles'!$AY$28/12,IF(AND('Lease Cycles'!$AV$28&gt;=INDEX('Lease Cycles'!$BG$28:$BM$28,1,AQ350),'Lease Cycles'!$AV$28&lt;=AQ$6),'Lease Cycles'!$C$28*'Lease Cycles'!$AW$28/12,IF(AND('Lease Cycles'!$AT$28&gt;=INDEX('Lease Cycles'!$BG$28:$BM$28,1,AQ350),'Lease Cycles'!$AT$28&lt;=AQ$6),'Lease Cycles'!$C$28*'Lease Cycles'!$AU$28/12,'Lease Cycles'!$C$28*INDEX('Lease Cycles'!$CB$28:$CH$28,1,AQ350)*(1+INDEX('Lease Cycles'!$CI$28:$CO$28,1,AQ350))^INT(INT(AQ351/12)/INDEX('Lease Cycles'!$CP$28:$CV$28,1,AQ350))/12)))),'Lease Cycles'!$C$28*INDEX('Lease Cycles'!$CB$28:$CH$28,1,AQ350)*(1+INDEX('Lease Cycles'!$CI$28:$CO$28,1,AQ350))^INT(INT(AQ351/12)/INDEX('Lease Cycles'!$CP$28:$CV$28,1,AQ350))/12))),IF('Lease Cycles'!$N$28=1,'Lease Cycles'!$C$28*'Lease Cycles'!$E$28*INDEX('Lease Cycles'!$HE$28:$HK$28,1,AQ350)*(1+INDEX('Lease Cycles'!$GQ$28:$GW$28,1,AQ350))^INT(INT((AQ$6-INDEX('Lease Cycles'!$GJ$28:$GP$28,1,AQ350))/12)/INDEX('Lease Cycles'!$GX$28:$HD$28,1,AQ350))/12,0)))</f>
        <v>0</v>
      </c>
      <c r="AR353" s="28">
        <f>IF(AR350=0,IF('Lease Cycles'!$F$28&gt;0,'Lease Cycles'!$C$28*'Lease Cycles'!$E$28/12,0),IF(AR352=1,IF('Lease Cycles'!$AT$28&gt;=9999,'Lease Cycles'!$C$28*INDEX('Lease Cycles'!$CB$28:$CH$28,1,AR350)*(1+INDEX('Lease Cycles'!$CI$28:$CO$28,1,AR350))^INT(INT(AR351/12)/INDEX('Lease Cycles'!$CP$28:$CV$28,1,AR350))/12,IF(AR350=1,IF(AR351&gt;=INDEX('Lease Cycles'!$DK$28:$DQ$28,1,AR350),IF(AR$6&gt;='Lease Cycles'!$AZ$28,'Lease Cycles'!$C$28*'Lease Cycles'!$BA$28/12,IF(AR$6&gt;='Lease Cycles'!$AX$28,'Lease Cycles'!$C$28*'Lease Cycles'!$AY$28/12,IF(AR$6&gt;='Lease Cycles'!$AV$28,'Lease Cycles'!$C$28*'Lease Cycles'!$AW$28/12,IF(AR$6&gt;='Lease Cycles'!$AT$28,'Lease Cycles'!$C$28*'Lease Cycles'!$AU$28/12,'Lease Cycles'!$C$28*INDEX('Lease Cycles'!$CB$28:$CH$28,1,AR350)*(1+INDEX('Lease Cycles'!$CI$28:$CO$28,1,AR350))^INT(INT(AR351/12)/INDEX('Lease Cycles'!$CP$28:$CV$28,1,AR350))/12)))),'Lease Cycles'!$C$28*INDEX('Lease Cycles'!$CB$28:$CH$28,1,AR350)*(1+INDEX('Lease Cycles'!$CI$28:$CO$28,1,AR350))^INT(INT(AR351/12)/INDEX('Lease Cycles'!$CP$28:$CV$28,1,AR350))/12),IF(INDEX('Lease Cycles'!$EF$28:$EL$28,1,AR350)=1,IF(AND('Lease Cycles'!$AZ$28&gt;=INDEX('Lease Cycles'!$BG$28:$BM$28,1,AR350),'Lease Cycles'!$AZ$28&lt;=AR$6),'Lease Cycles'!$C$28*'Lease Cycles'!$BA$28/12,IF(AND('Lease Cycles'!$AX$28&gt;=INDEX('Lease Cycles'!$BG$28:$BM$28,1,AR350),'Lease Cycles'!$AX$28&lt;=AR$6),'Lease Cycles'!$C$28*'Lease Cycles'!$AY$28/12,IF(AND('Lease Cycles'!$AV$28&gt;=INDEX('Lease Cycles'!$BG$28:$BM$28,1,AR350),'Lease Cycles'!$AV$28&lt;=AR$6),'Lease Cycles'!$C$28*'Lease Cycles'!$AW$28/12,IF(AND('Lease Cycles'!$AT$28&gt;=INDEX('Lease Cycles'!$BG$28:$BM$28,1,AR350),'Lease Cycles'!$AT$28&lt;=AR$6),'Lease Cycles'!$C$28*'Lease Cycles'!$AU$28/12,'Lease Cycles'!$C$28*INDEX('Lease Cycles'!$CB$28:$CH$28,1,AR350)*(1+INDEX('Lease Cycles'!$CI$28:$CO$28,1,AR350))^INT(INT(AR351/12)/INDEX('Lease Cycles'!$CP$28:$CV$28,1,AR350))/12)))),'Lease Cycles'!$C$28*INDEX('Lease Cycles'!$CB$28:$CH$28,1,AR350)*(1+INDEX('Lease Cycles'!$CI$28:$CO$28,1,AR350))^INT(INT(AR351/12)/INDEX('Lease Cycles'!$CP$28:$CV$28,1,AR350))/12))),IF('Lease Cycles'!$N$28=1,'Lease Cycles'!$C$28*'Lease Cycles'!$E$28*INDEX('Lease Cycles'!$HE$28:$HK$28,1,AR350)*(1+INDEX('Lease Cycles'!$GQ$28:$GW$28,1,AR350))^INT(INT((AR$6-INDEX('Lease Cycles'!$GJ$28:$GP$28,1,AR350))/12)/INDEX('Lease Cycles'!$GX$28:$HD$28,1,AR350))/12,0)))</f>
        <v>0</v>
      </c>
      <c r="AS353" s="28">
        <f>IF(AS350=0,IF('Lease Cycles'!$F$28&gt;0,'Lease Cycles'!$C$28*'Lease Cycles'!$E$28/12,0),IF(AS352=1,IF('Lease Cycles'!$AT$28&gt;=9999,'Lease Cycles'!$C$28*INDEX('Lease Cycles'!$CB$28:$CH$28,1,AS350)*(1+INDEX('Lease Cycles'!$CI$28:$CO$28,1,AS350))^INT(INT(AS351/12)/INDEX('Lease Cycles'!$CP$28:$CV$28,1,AS350))/12,IF(AS350=1,IF(AS351&gt;=INDEX('Lease Cycles'!$DK$28:$DQ$28,1,AS350),IF(AS$6&gt;='Lease Cycles'!$AZ$28,'Lease Cycles'!$C$28*'Lease Cycles'!$BA$28/12,IF(AS$6&gt;='Lease Cycles'!$AX$28,'Lease Cycles'!$C$28*'Lease Cycles'!$AY$28/12,IF(AS$6&gt;='Lease Cycles'!$AV$28,'Lease Cycles'!$C$28*'Lease Cycles'!$AW$28/12,IF(AS$6&gt;='Lease Cycles'!$AT$28,'Lease Cycles'!$C$28*'Lease Cycles'!$AU$28/12,'Lease Cycles'!$C$28*INDEX('Lease Cycles'!$CB$28:$CH$28,1,AS350)*(1+INDEX('Lease Cycles'!$CI$28:$CO$28,1,AS350))^INT(INT(AS351/12)/INDEX('Lease Cycles'!$CP$28:$CV$28,1,AS350))/12)))),'Lease Cycles'!$C$28*INDEX('Lease Cycles'!$CB$28:$CH$28,1,AS350)*(1+INDEX('Lease Cycles'!$CI$28:$CO$28,1,AS350))^INT(INT(AS351/12)/INDEX('Lease Cycles'!$CP$28:$CV$28,1,AS350))/12),IF(INDEX('Lease Cycles'!$EF$28:$EL$28,1,AS350)=1,IF(AND('Lease Cycles'!$AZ$28&gt;=INDEX('Lease Cycles'!$BG$28:$BM$28,1,AS350),'Lease Cycles'!$AZ$28&lt;=AS$6),'Lease Cycles'!$C$28*'Lease Cycles'!$BA$28/12,IF(AND('Lease Cycles'!$AX$28&gt;=INDEX('Lease Cycles'!$BG$28:$BM$28,1,AS350),'Lease Cycles'!$AX$28&lt;=AS$6),'Lease Cycles'!$C$28*'Lease Cycles'!$AY$28/12,IF(AND('Lease Cycles'!$AV$28&gt;=INDEX('Lease Cycles'!$BG$28:$BM$28,1,AS350),'Lease Cycles'!$AV$28&lt;=AS$6),'Lease Cycles'!$C$28*'Lease Cycles'!$AW$28/12,IF(AND('Lease Cycles'!$AT$28&gt;=INDEX('Lease Cycles'!$BG$28:$BM$28,1,AS350),'Lease Cycles'!$AT$28&lt;=AS$6),'Lease Cycles'!$C$28*'Lease Cycles'!$AU$28/12,'Lease Cycles'!$C$28*INDEX('Lease Cycles'!$CB$28:$CH$28,1,AS350)*(1+INDEX('Lease Cycles'!$CI$28:$CO$28,1,AS350))^INT(INT(AS351/12)/INDEX('Lease Cycles'!$CP$28:$CV$28,1,AS350))/12)))),'Lease Cycles'!$C$28*INDEX('Lease Cycles'!$CB$28:$CH$28,1,AS350)*(1+INDEX('Lease Cycles'!$CI$28:$CO$28,1,AS350))^INT(INT(AS351/12)/INDEX('Lease Cycles'!$CP$28:$CV$28,1,AS350))/12))),IF('Lease Cycles'!$N$28=1,'Lease Cycles'!$C$28*'Lease Cycles'!$E$28*INDEX('Lease Cycles'!$HE$28:$HK$28,1,AS350)*(1+INDEX('Lease Cycles'!$GQ$28:$GW$28,1,AS350))^INT(INT((AS$6-INDEX('Lease Cycles'!$GJ$28:$GP$28,1,AS350))/12)/INDEX('Lease Cycles'!$GX$28:$HD$28,1,AS350))/12,0)))</f>
        <v>0</v>
      </c>
      <c r="AT353" s="28">
        <f>IF(AT350=0,IF('Lease Cycles'!$F$28&gt;0,'Lease Cycles'!$C$28*'Lease Cycles'!$E$28/12,0),IF(AT352=1,IF('Lease Cycles'!$AT$28&gt;=9999,'Lease Cycles'!$C$28*INDEX('Lease Cycles'!$CB$28:$CH$28,1,AT350)*(1+INDEX('Lease Cycles'!$CI$28:$CO$28,1,AT350))^INT(INT(AT351/12)/INDEX('Lease Cycles'!$CP$28:$CV$28,1,AT350))/12,IF(AT350=1,IF(AT351&gt;=INDEX('Lease Cycles'!$DK$28:$DQ$28,1,AT350),IF(AT$6&gt;='Lease Cycles'!$AZ$28,'Lease Cycles'!$C$28*'Lease Cycles'!$BA$28/12,IF(AT$6&gt;='Lease Cycles'!$AX$28,'Lease Cycles'!$C$28*'Lease Cycles'!$AY$28/12,IF(AT$6&gt;='Lease Cycles'!$AV$28,'Lease Cycles'!$C$28*'Lease Cycles'!$AW$28/12,IF(AT$6&gt;='Lease Cycles'!$AT$28,'Lease Cycles'!$C$28*'Lease Cycles'!$AU$28/12,'Lease Cycles'!$C$28*INDEX('Lease Cycles'!$CB$28:$CH$28,1,AT350)*(1+INDEX('Lease Cycles'!$CI$28:$CO$28,1,AT350))^INT(INT(AT351/12)/INDEX('Lease Cycles'!$CP$28:$CV$28,1,AT350))/12)))),'Lease Cycles'!$C$28*INDEX('Lease Cycles'!$CB$28:$CH$28,1,AT350)*(1+INDEX('Lease Cycles'!$CI$28:$CO$28,1,AT350))^INT(INT(AT351/12)/INDEX('Lease Cycles'!$CP$28:$CV$28,1,AT350))/12),IF(INDEX('Lease Cycles'!$EF$28:$EL$28,1,AT350)=1,IF(AND('Lease Cycles'!$AZ$28&gt;=INDEX('Lease Cycles'!$BG$28:$BM$28,1,AT350),'Lease Cycles'!$AZ$28&lt;=AT$6),'Lease Cycles'!$C$28*'Lease Cycles'!$BA$28/12,IF(AND('Lease Cycles'!$AX$28&gt;=INDEX('Lease Cycles'!$BG$28:$BM$28,1,AT350),'Lease Cycles'!$AX$28&lt;=AT$6),'Lease Cycles'!$C$28*'Lease Cycles'!$AY$28/12,IF(AND('Lease Cycles'!$AV$28&gt;=INDEX('Lease Cycles'!$BG$28:$BM$28,1,AT350),'Lease Cycles'!$AV$28&lt;=AT$6),'Lease Cycles'!$C$28*'Lease Cycles'!$AW$28/12,IF(AND('Lease Cycles'!$AT$28&gt;=INDEX('Lease Cycles'!$BG$28:$BM$28,1,AT350),'Lease Cycles'!$AT$28&lt;=AT$6),'Lease Cycles'!$C$28*'Lease Cycles'!$AU$28/12,'Lease Cycles'!$C$28*INDEX('Lease Cycles'!$CB$28:$CH$28,1,AT350)*(1+INDEX('Lease Cycles'!$CI$28:$CO$28,1,AT350))^INT(INT(AT351/12)/INDEX('Lease Cycles'!$CP$28:$CV$28,1,AT350))/12)))),'Lease Cycles'!$C$28*INDEX('Lease Cycles'!$CB$28:$CH$28,1,AT350)*(1+INDEX('Lease Cycles'!$CI$28:$CO$28,1,AT350))^INT(INT(AT351/12)/INDEX('Lease Cycles'!$CP$28:$CV$28,1,AT350))/12))),IF('Lease Cycles'!$N$28=1,'Lease Cycles'!$C$28*'Lease Cycles'!$E$28*INDEX('Lease Cycles'!$HE$28:$HK$28,1,AT350)*(1+INDEX('Lease Cycles'!$GQ$28:$GW$28,1,AT350))^INT(INT((AT$6-INDEX('Lease Cycles'!$GJ$28:$GP$28,1,AT350))/12)/INDEX('Lease Cycles'!$GX$28:$HD$28,1,AT350))/12,0)))</f>
        <v>0</v>
      </c>
      <c r="AU353" s="28">
        <f>IF(AU350=0,IF('Lease Cycles'!$F$28&gt;0,'Lease Cycles'!$C$28*'Lease Cycles'!$E$28/12,0),IF(AU352=1,IF('Lease Cycles'!$AT$28&gt;=9999,'Lease Cycles'!$C$28*INDEX('Lease Cycles'!$CB$28:$CH$28,1,AU350)*(1+INDEX('Lease Cycles'!$CI$28:$CO$28,1,AU350))^INT(INT(AU351/12)/INDEX('Lease Cycles'!$CP$28:$CV$28,1,AU350))/12,IF(AU350=1,IF(AU351&gt;=INDEX('Lease Cycles'!$DK$28:$DQ$28,1,AU350),IF(AU$6&gt;='Lease Cycles'!$AZ$28,'Lease Cycles'!$C$28*'Lease Cycles'!$BA$28/12,IF(AU$6&gt;='Lease Cycles'!$AX$28,'Lease Cycles'!$C$28*'Lease Cycles'!$AY$28/12,IF(AU$6&gt;='Lease Cycles'!$AV$28,'Lease Cycles'!$C$28*'Lease Cycles'!$AW$28/12,IF(AU$6&gt;='Lease Cycles'!$AT$28,'Lease Cycles'!$C$28*'Lease Cycles'!$AU$28/12,'Lease Cycles'!$C$28*INDEX('Lease Cycles'!$CB$28:$CH$28,1,AU350)*(1+INDEX('Lease Cycles'!$CI$28:$CO$28,1,AU350))^INT(INT(AU351/12)/INDEX('Lease Cycles'!$CP$28:$CV$28,1,AU350))/12)))),'Lease Cycles'!$C$28*INDEX('Lease Cycles'!$CB$28:$CH$28,1,AU350)*(1+INDEX('Lease Cycles'!$CI$28:$CO$28,1,AU350))^INT(INT(AU351/12)/INDEX('Lease Cycles'!$CP$28:$CV$28,1,AU350))/12),IF(INDEX('Lease Cycles'!$EF$28:$EL$28,1,AU350)=1,IF(AND('Lease Cycles'!$AZ$28&gt;=INDEX('Lease Cycles'!$BG$28:$BM$28,1,AU350),'Lease Cycles'!$AZ$28&lt;=AU$6),'Lease Cycles'!$C$28*'Lease Cycles'!$BA$28/12,IF(AND('Lease Cycles'!$AX$28&gt;=INDEX('Lease Cycles'!$BG$28:$BM$28,1,AU350),'Lease Cycles'!$AX$28&lt;=AU$6),'Lease Cycles'!$C$28*'Lease Cycles'!$AY$28/12,IF(AND('Lease Cycles'!$AV$28&gt;=INDEX('Lease Cycles'!$BG$28:$BM$28,1,AU350),'Lease Cycles'!$AV$28&lt;=AU$6),'Lease Cycles'!$C$28*'Lease Cycles'!$AW$28/12,IF(AND('Lease Cycles'!$AT$28&gt;=INDEX('Lease Cycles'!$BG$28:$BM$28,1,AU350),'Lease Cycles'!$AT$28&lt;=AU$6),'Lease Cycles'!$C$28*'Lease Cycles'!$AU$28/12,'Lease Cycles'!$C$28*INDEX('Lease Cycles'!$CB$28:$CH$28,1,AU350)*(1+INDEX('Lease Cycles'!$CI$28:$CO$28,1,AU350))^INT(INT(AU351/12)/INDEX('Lease Cycles'!$CP$28:$CV$28,1,AU350))/12)))),'Lease Cycles'!$C$28*INDEX('Lease Cycles'!$CB$28:$CH$28,1,AU350)*(1+INDEX('Lease Cycles'!$CI$28:$CO$28,1,AU350))^INT(INT(AU351/12)/INDEX('Lease Cycles'!$CP$28:$CV$28,1,AU350))/12))),IF('Lease Cycles'!$N$28=1,'Lease Cycles'!$C$28*'Lease Cycles'!$E$28*INDEX('Lease Cycles'!$HE$28:$HK$28,1,AU350)*(1+INDEX('Lease Cycles'!$GQ$28:$GW$28,1,AU350))^INT(INT((AU$6-INDEX('Lease Cycles'!$GJ$28:$GP$28,1,AU350))/12)/INDEX('Lease Cycles'!$GX$28:$HD$28,1,AU350))/12,0)))</f>
        <v>0</v>
      </c>
      <c r="AV353" s="28">
        <f>IF(AV350=0,IF('Lease Cycles'!$F$28&gt;0,'Lease Cycles'!$C$28*'Lease Cycles'!$E$28/12,0),IF(AV352=1,IF('Lease Cycles'!$AT$28&gt;=9999,'Lease Cycles'!$C$28*INDEX('Lease Cycles'!$CB$28:$CH$28,1,AV350)*(1+INDEX('Lease Cycles'!$CI$28:$CO$28,1,AV350))^INT(INT(AV351/12)/INDEX('Lease Cycles'!$CP$28:$CV$28,1,AV350))/12,IF(AV350=1,IF(AV351&gt;=INDEX('Lease Cycles'!$DK$28:$DQ$28,1,AV350),IF(AV$6&gt;='Lease Cycles'!$AZ$28,'Lease Cycles'!$C$28*'Lease Cycles'!$BA$28/12,IF(AV$6&gt;='Lease Cycles'!$AX$28,'Lease Cycles'!$C$28*'Lease Cycles'!$AY$28/12,IF(AV$6&gt;='Lease Cycles'!$AV$28,'Lease Cycles'!$C$28*'Lease Cycles'!$AW$28/12,IF(AV$6&gt;='Lease Cycles'!$AT$28,'Lease Cycles'!$C$28*'Lease Cycles'!$AU$28/12,'Lease Cycles'!$C$28*INDEX('Lease Cycles'!$CB$28:$CH$28,1,AV350)*(1+INDEX('Lease Cycles'!$CI$28:$CO$28,1,AV350))^INT(INT(AV351/12)/INDEX('Lease Cycles'!$CP$28:$CV$28,1,AV350))/12)))),'Lease Cycles'!$C$28*INDEX('Lease Cycles'!$CB$28:$CH$28,1,AV350)*(1+INDEX('Lease Cycles'!$CI$28:$CO$28,1,AV350))^INT(INT(AV351/12)/INDEX('Lease Cycles'!$CP$28:$CV$28,1,AV350))/12),IF(INDEX('Lease Cycles'!$EF$28:$EL$28,1,AV350)=1,IF(AND('Lease Cycles'!$AZ$28&gt;=INDEX('Lease Cycles'!$BG$28:$BM$28,1,AV350),'Lease Cycles'!$AZ$28&lt;=AV$6),'Lease Cycles'!$C$28*'Lease Cycles'!$BA$28/12,IF(AND('Lease Cycles'!$AX$28&gt;=INDEX('Lease Cycles'!$BG$28:$BM$28,1,AV350),'Lease Cycles'!$AX$28&lt;=AV$6),'Lease Cycles'!$C$28*'Lease Cycles'!$AY$28/12,IF(AND('Lease Cycles'!$AV$28&gt;=INDEX('Lease Cycles'!$BG$28:$BM$28,1,AV350),'Lease Cycles'!$AV$28&lt;=AV$6),'Lease Cycles'!$C$28*'Lease Cycles'!$AW$28/12,IF(AND('Lease Cycles'!$AT$28&gt;=INDEX('Lease Cycles'!$BG$28:$BM$28,1,AV350),'Lease Cycles'!$AT$28&lt;=AV$6),'Lease Cycles'!$C$28*'Lease Cycles'!$AU$28/12,'Lease Cycles'!$C$28*INDEX('Lease Cycles'!$CB$28:$CH$28,1,AV350)*(1+INDEX('Lease Cycles'!$CI$28:$CO$28,1,AV350))^INT(INT(AV351/12)/INDEX('Lease Cycles'!$CP$28:$CV$28,1,AV350))/12)))),'Lease Cycles'!$C$28*INDEX('Lease Cycles'!$CB$28:$CH$28,1,AV350)*(1+INDEX('Lease Cycles'!$CI$28:$CO$28,1,AV350))^INT(INT(AV351/12)/INDEX('Lease Cycles'!$CP$28:$CV$28,1,AV350))/12))),IF('Lease Cycles'!$N$28=1,'Lease Cycles'!$C$28*'Lease Cycles'!$E$28*INDEX('Lease Cycles'!$HE$28:$HK$28,1,AV350)*(1+INDEX('Lease Cycles'!$GQ$28:$GW$28,1,AV350))^INT(INT((AV$6-INDEX('Lease Cycles'!$GJ$28:$GP$28,1,AV350))/12)/INDEX('Lease Cycles'!$GX$28:$HD$28,1,AV350))/12,0)))</f>
        <v>0</v>
      </c>
      <c r="AW353" s="28">
        <f>IF(AW350=0,IF('Lease Cycles'!$F$28&gt;0,'Lease Cycles'!$C$28*'Lease Cycles'!$E$28/12,0),IF(AW352=1,IF('Lease Cycles'!$AT$28&gt;=9999,'Lease Cycles'!$C$28*INDEX('Lease Cycles'!$CB$28:$CH$28,1,AW350)*(1+INDEX('Lease Cycles'!$CI$28:$CO$28,1,AW350))^INT(INT(AW351/12)/INDEX('Lease Cycles'!$CP$28:$CV$28,1,AW350))/12,IF(AW350=1,IF(AW351&gt;=INDEX('Lease Cycles'!$DK$28:$DQ$28,1,AW350),IF(AW$6&gt;='Lease Cycles'!$AZ$28,'Lease Cycles'!$C$28*'Lease Cycles'!$BA$28/12,IF(AW$6&gt;='Lease Cycles'!$AX$28,'Lease Cycles'!$C$28*'Lease Cycles'!$AY$28/12,IF(AW$6&gt;='Lease Cycles'!$AV$28,'Lease Cycles'!$C$28*'Lease Cycles'!$AW$28/12,IF(AW$6&gt;='Lease Cycles'!$AT$28,'Lease Cycles'!$C$28*'Lease Cycles'!$AU$28/12,'Lease Cycles'!$C$28*INDEX('Lease Cycles'!$CB$28:$CH$28,1,AW350)*(1+INDEX('Lease Cycles'!$CI$28:$CO$28,1,AW350))^INT(INT(AW351/12)/INDEX('Lease Cycles'!$CP$28:$CV$28,1,AW350))/12)))),'Lease Cycles'!$C$28*INDEX('Lease Cycles'!$CB$28:$CH$28,1,AW350)*(1+INDEX('Lease Cycles'!$CI$28:$CO$28,1,AW350))^INT(INT(AW351/12)/INDEX('Lease Cycles'!$CP$28:$CV$28,1,AW350))/12),IF(INDEX('Lease Cycles'!$EF$28:$EL$28,1,AW350)=1,IF(AND('Lease Cycles'!$AZ$28&gt;=INDEX('Lease Cycles'!$BG$28:$BM$28,1,AW350),'Lease Cycles'!$AZ$28&lt;=AW$6),'Lease Cycles'!$C$28*'Lease Cycles'!$BA$28/12,IF(AND('Lease Cycles'!$AX$28&gt;=INDEX('Lease Cycles'!$BG$28:$BM$28,1,AW350),'Lease Cycles'!$AX$28&lt;=AW$6),'Lease Cycles'!$C$28*'Lease Cycles'!$AY$28/12,IF(AND('Lease Cycles'!$AV$28&gt;=INDEX('Lease Cycles'!$BG$28:$BM$28,1,AW350),'Lease Cycles'!$AV$28&lt;=AW$6),'Lease Cycles'!$C$28*'Lease Cycles'!$AW$28/12,IF(AND('Lease Cycles'!$AT$28&gt;=INDEX('Lease Cycles'!$BG$28:$BM$28,1,AW350),'Lease Cycles'!$AT$28&lt;=AW$6),'Lease Cycles'!$C$28*'Lease Cycles'!$AU$28/12,'Lease Cycles'!$C$28*INDEX('Lease Cycles'!$CB$28:$CH$28,1,AW350)*(1+INDEX('Lease Cycles'!$CI$28:$CO$28,1,AW350))^INT(INT(AW351/12)/INDEX('Lease Cycles'!$CP$28:$CV$28,1,AW350))/12)))),'Lease Cycles'!$C$28*INDEX('Lease Cycles'!$CB$28:$CH$28,1,AW350)*(1+INDEX('Lease Cycles'!$CI$28:$CO$28,1,AW350))^INT(INT(AW351/12)/INDEX('Lease Cycles'!$CP$28:$CV$28,1,AW350))/12))),IF('Lease Cycles'!$N$28=1,'Lease Cycles'!$C$28*'Lease Cycles'!$E$28*INDEX('Lease Cycles'!$HE$28:$HK$28,1,AW350)*(1+INDEX('Lease Cycles'!$GQ$28:$GW$28,1,AW350))^INT(INT((AW$6-INDEX('Lease Cycles'!$GJ$28:$GP$28,1,AW350))/12)/INDEX('Lease Cycles'!$GX$28:$HD$28,1,AW350))/12,0)))</f>
        <v>0</v>
      </c>
      <c r="AX353" s="28">
        <f>IF(AX350=0,IF('Lease Cycles'!$F$28&gt;0,'Lease Cycles'!$C$28*'Lease Cycles'!$E$28/12,0),IF(AX352=1,IF('Lease Cycles'!$AT$28&gt;=9999,'Lease Cycles'!$C$28*INDEX('Lease Cycles'!$CB$28:$CH$28,1,AX350)*(1+INDEX('Lease Cycles'!$CI$28:$CO$28,1,AX350))^INT(INT(AX351/12)/INDEX('Lease Cycles'!$CP$28:$CV$28,1,AX350))/12,IF(AX350=1,IF(AX351&gt;=INDEX('Lease Cycles'!$DK$28:$DQ$28,1,AX350),IF(AX$6&gt;='Lease Cycles'!$AZ$28,'Lease Cycles'!$C$28*'Lease Cycles'!$BA$28/12,IF(AX$6&gt;='Lease Cycles'!$AX$28,'Lease Cycles'!$C$28*'Lease Cycles'!$AY$28/12,IF(AX$6&gt;='Lease Cycles'!$AV$28,'Lease Cycles'!$C$28*'Lease Cycles'!$AW$28/12,IF(AX$6&gt;='Lease Cycles'!$AT$28,'Lease Cycles'!$C$28*'Lease Cycles'!$AU$28/12,'Lease Cycles'!$C$28*INDEX('Lease Cycles'!$CB$28:$CH$28,1,AX350)*(1+INDEX('Lease Cycles'!$CI$28:$CO$28,1,AX350))^INT(INT(AX351/12)/INDEX('Lease Cycles'!$CP$28:$CV$28,1,AX350))/12)))),'Lease Cycles'!$C$28*INDEX('Lease Cycles'!$CB$28:$CH$28,1,AX350)*(1+INDEX('Lease Cycles'!$CI$28:$CO$28,1,AX350))^INT(INT(AX351/12)/INDEX('Lease Cycles'!$CP$28:$CV$28,1,AX350))/12),IF(INDEX('Lease Cycles'!$EF$28:$EL$28,1,AX350)=1,IF(AND('Lease Cycles'!$AZ$28&gt;=INDEX('Lease Cycles'!$BG$28:$BM$28,1,AX350),'Lease Cycles'!$AZ$28&lt;=AX$6),'Lease Cycles'!$C$28*'Lease Cycles'!$BA$28/12,IF(AND('Lease Cycles'!$AX$28&gt;=INDEX('Lease Cycles'!$BG$28:$BM$28,1,AX350),'Lease Cycles'!$AX$28&lt;=AX$6),'Lease Cycles'!$C$28*'Lease Cycles'!$AY$28/12,IF(AND('Lease Cycles'!$AV$28&gt;=INDEX('Lease Cycles'!$BG$28:$BM$28,1,AX350),'Lease Cycles'!$AV$28&lt;=AX$6),'Lease Cycles'!$C$28*'Lease Cycles'!$AW$28/12,IF(AND('Lease Cycles'!$AT$28&gt;=INDEX('Lease Cycles'!$BG$28:$BM$28,1,AX350),'Lease Cycles'!$AT$28&lt;=AX$6),'Lease Cycles'!$C$28*'Lease Cycles'!$AU$28/12,'Lease Cycles'!$C$28*INDEX('Lease Cycles'!$CB$28:$CH$28,1,AX350)*(1+INDEX('Lease Cycles'!$CI$28:$CO$28,1,AX350))^INT(INT(AX351/12)/INDEX('Lease Cycles'!$CP$28:$CV$28,1,AX350))/12)))),'Lease Cycles'!$C$28*INDEX('Lease Cycles'!$CB$28:$CH$28,1,AX350)*(1+INDEX('Lease Cycles'!$CI$28:$CO$28,1,AX350))^INT(INT(AX351/12)/INDEX('Lease Cycles'!$CP$28:$CV$28,1,AX350))/12))),IF('Lease Cycles'!$N$28=1,'Lease Cycles'!$C$28*'Lease Cycles'!$E$28*INDEX('Lease Cycles'!$HE$28:$HK$28,1,AX350)*(1+INDEX('Lease Cycles'!$GQ$28:$GW$28,1,AX350))^INT(INT((AX$6-INDEX('Lease Cycles'!$GJ$28:$GP$28,1,AX350))/12)/INDEX('Lease Cycles'!$GX$28:$HD$28,1,AX350))/12,0)))</f>
        <v>0</v>
      </c>
      <c r="AY353" s="28">
        <f>IF(AY350=0,IF('Lease Cycles'!$F$28&gt;0,'Lease Cycles'!$C$28*'Lease Cycles'!$E$28/12,0),IF(AY352=1,IF('Lease Cycles'!$AT$28&gt;=9999,'Lease Cycles'!$C$28*INDEX('Lease Cycles'!$CB$28:$CH$28,1,AY350)*(1+INDEX('Lease Cycles'!$CI$28:$CO$28,1,AY350))^INT(INT(AY351/12)/INDEX('Lease Cycles'!$CP$28:$CV$28,1,AY350))/12,IF(AY350=1,IF(AY351&gt;=INDEX('Lease Cycles'!$DK$28:$DQ$28,1,AY350),IF(AY$6&gt;='Lease Cycles'!$AZ$28,'Lease Cycles'!$C$28*'Lease Cycles'!$BA$28/12,IF(AY$6&gt;='Lease Cycles'!$AX$28,'Lease Cycles'!$C$28*'Lease Cycles'!$AY$28/12,IF(AY$6&gt;='Lease Cycles'!$AV$28,'Lease Cycles'!$C$28*'Lease Cycles'!$AW$28/12,IF(AY$6&gt;='Lease Cycles'!$AT$28,'Lease Cycles'!$C$28*'Lease Cycles'!$AU$28/12,'Lease Cycles'!$C$28*INDEX('Lease Cycles'!$CB$28:$CH$28,1,AY350)*(1+INDEX('Lease Cycles'!$CI$28:$CO$28,1,AY350))^INT(INT(AY351/12)/INDEX('Lease Cycles'!$CP$28:$CV$28,1,AY350))/12)))),'Lease Cycles'!$C$28*INDEX('Lease Cycles'!$CB$28:$CH$28,1,AY350)*(1+INDEX('Lease Cycles'!$CI$28:$CO$28,1,AY350))^INT(INT(AY351/12)/INDEX('Lease Cycles'!$CP$28:$CV$28,1,AY350))/12),IF(INDEX('Lease Cycles'!$EF$28:$EL$28,1,AY350)=1,IF(AND('Lease Cycles'!$AZ$28&gt;=INDEX('Lease Cycles'!$BG$28:$BM$28,1,AY350),'Lease Cycles'!$AZ$28&lt;=AY$6),'Lease Cycles'!$C$28*'Lease Cycles'!$BA$28/12,IF(AND('Lease Cycles'!$AX$28&gt;=INDEX('Lease Cycles'!$BG$28:$BM$28,1,AY350),'Lease Cycles'!$AX$28&lt;=AY$6),'Lease Cycles'!$C$28*'Lease Cycles'!$AY$28/12,IF(AND('Lease Cycles'!$AV$28&gt;=INDEX('Lease Cycles'!$BG$28:$BM$28,1,AY350),'Lease Cycles'!$AV$28&lt;=AY$6),'Lease Cycles'!$C$28*'Lease Cycles'!$AW$28/12,IF(AND('Lease Cycles'!$AT$28&gt;=INDEX('Lease Cycles'!$BG$28:$BM$28,1,AY350),'Lease Cycles'!$AT$28&lt;=AY$6),'Lease Cycles'!$C$28*'Lease Cycles'!$AU$28/12,'Lease Cycles'!$C$28*INDEX('Lease Cycles'!$CB$28:$CH$28,1,AY350)*(1+INDEX('Lease Cycles'!$CI$28:$CO$28,1,AY350))^INT(INT(AY351/12)/INDEX('Lease Cycles'!$CP$28:$CV$28,1,AY350))/12)))),'Lease Cycles'!$C$28*INDEX('Lease Cycles'!$CB$28:$CH$28,1,AY350)*(1+INDEX('Lease Cycles'!$CI$28:$CO$28,1,AY350))^INT(INT(AY351/12)/INDEX('Lease Cycles'!$CP$28:$CV$28,1,AY350))/12))),IF('Lease Cycles'!$N$28=1,'Lease Cycles'!$C$28*'Lease Cycles'!$E$28*INDEX('Lease Cycles'!$HE$28:$HK$28,1,AY350)*(1+INDEX('Lease Cycles'!$GQ$28:$GW$28,1,AY350))^INT(INT((AY$6-INDEX('Lease Cycles'!$GJ$28:$GP$28,1,AY350))/12)/INDEX('Lease Cycles'!$GX$28:$HD$28,1,AY350))/12,0)))</f>
        <v>0</v>
      </c>
      <c r="AZ353" s="28">
        <f>IF(AZ350=0,IF('Lease Cycles'!$F$28&gt;0,'Lease Cycles'!$C$28*'Lease Cycles'!$E$28/12,0),IF(AZ352=1,IF('Lease Cycles'!$AT$28&gt;=9999,'Lease Cycles'!$C$28*INDEX('Lease Cycles'!$CB$28:$CH$28,1,AZ350)*(1+INDEX('Lease Cycles'!$CI$28:$CO$28,1,AZ350))^INT(INT(AZ351/12)/INDEX('Lease Cycles'!$CP$28:$CV$28,1,AZ350))/12,IF(AZ350=1,IF(AZ351&gt;=INDEX('Lease Cycles'!$DK$28:$DQ$28,1,AZ350),IF(AZ$6&gt;='Lease Cycles'!$AZ$28,'Lease Cycles'!$C$28*'Lease Cycles'!$BA$28/12,IF(AZ$6&gt;='Lease Cycles'!$AX$28,'Lease Cycles'!$C$28*'Lease Cycles'!$AY$28/12,IF(AZ$6&gt;='Lease Cycles'!$AV$28,'Lease Cycles'!$C$28*'Lease Cycles'!$AW$28/12,IF(AZ$6&gt;='Lease Cycles'!$AT$28,'Lease Cycles'!$C$28*'Lease Cycles'!$AU$28/12,'Lease Cycles'!$C$28*INDEX('Lease Cycles'!$CB$28:$CH$28,1,AZ350)*(1+INDEX('Lease Cycles'!$CI$28:$CO$28,1,AZ350))^INT(INT(AZ351/12)/INDEX('Lease Cycles'!$CP$28:$CV$28,1,AZ350))/12)))),'Lease Cycles'!$C$28*INDEX('Lease Cycles'!$CB$28:$CH$28,1,AZ350)*(1+INDEX('Lease Cycles'!$CI$28:$CO$28,1,AZ350))^INT(INT(AZ351/12)/INDEX('Lease Cycles'!$CP$28:$CV$28,1,AZ350))/12),IF(INDEX('Lease Cycles'!$EF$28:$EL$28,1,AZ350)=1,IF(AND('Lease Cycles'!$AZ$28&gt;=INDEX('Lease Cycles'!$BG$28:$BM$28,1,AZ350),'Lease Cycles'!$AZ$28&lt;=AZ$6),'Lease Cycles'!$C$28*'Lease Cycles'!$BA$28/12,IF(AND('Lease Cycles'!$AX$28&gt;=INDEX('Lease Cycles'!$BG$28:$BM$28,1,AZ350),'Lease Cycles'!$AX$28&lt;=AZ$6),'Lease Cycles'!$C$28*'Lease Cycles'!$AY$28/12,IF(AND('Lease Cycles'!$AV$28&gt;=INDEX('Lease Cycles'!$BG$28:$BM$28,1,AZ350),'Lease Cycles'!$AV$28&lt;=AZ$6),'Lease Cycles'!$C$28*'Lease Cycles'!$AW$28/12,IF(AND('Lease Cycles'!$AT$28&gt;=INDEX('Lease Cycles'!$BG$28:$BM$28,1,AZ350),'Lease Cycles'!$AT$28&lt;=AZ$6),'Lease Cycles'!$C$28*'Lease Cycles'!$AU$28/12,'Lease Cycles'!$C$28*INDEX('Lease Cycles'!$CB$28:$CH$28,1,AZ350)*(1+INDEX('Lease Cycles'!$CI$28:$CO$28,1,AZ350))^INT(INT(AZ351/12)/INDEX('Lease Cycles'!$CP$28:$CV$28,1,AZ350))/12)))),'Lease Cycles'!$C$28*INDEX('Lease Cycles'!$CB$28:$CH$28,1,AZ350)*(1+INDEX('Lease Cycles'!$CI$28:$CO$28,1,AZ350))^INT(INT(AZ351/12)/INDEX('Lease Cycles'!$CP$28:$CV$28,1,AZ350))/12))),IF('Lease Cycles'!$N$28=1,'Lease Cycles'!$C$28*'Lease Cycles'!$E$28*INDEX('Lease Cycles'!$HE$28:$HK$28,1,AZ350)*(1+INDEX('Lease Cycles'!$GQ$28:$GW$28,1,AZ350))^INT(INT((AZ$6-INDEX('Lease Cycles'!$GJ$28:$GP$28,1,AZ350))/12)/INDEX('Lease Cycles'!$GX$28:$HD$28,1,AZ350))/12,0)))</f>
        <v>0</v>
      </c>
      <c r="BA353" s="28">
        <f>IF(BA350=0,IF('Lease Cycles'!$F$28&gt;0,'Lease Cycles'!$C$28*'Lease Cycles'!$E$28/12,0),IF(BA352=1,IF('Lease Cycles'!$AT$28&gt;=9999,'Lease Cycles'!$C$28*INDEX('Lease Cycles'!$CB$28:$CH$28,1,BA350)*(1+INDEX('Lease Cycles'!$CI$28:$CO$28,1,BA350))^INT(INT(BA351/12)/INDEX('Lease Cycles'!$CP$28:$CV$28,1,BA350))/12,IF(BA350=1,IF(BA351&gt;=INDEX('Lease Cycles'!$DK$28:$DQ$28,1,BA350),IF(BA$6&gt;='Lease Cycles'!$AZ$28,'Lease Cycles'!$C$28*'Lease Cycles'!$BA$28/12,IF(BA$6&gt;='Lease Cycles'!$AX$28,'Lease Cycles'!$C$28*'Lease Cycles'!$AY$28/12,IF(BA$6&gt;='Lease Cycles'!$AV$28,'Lease Cycles'!$C$28*'Lease Cycles'!$AW$28/12,IF(BA$6&gt;='Lease Cycles'!$AT$28,'Lease Cycles'!$C$28*'Lease Cycles'!$AU$28/12,'Lease Cycles'!$C$28*INDEX('Lease Cycles'!$CB$28:$CH$28,1,BA350)*(1+INDEX('Lease Cycles'!$CI$28:$CO$28,1,BA350))^INT(INT(BA351/12)/INDEX('Lease Cycles'!$CP$28:$CV$28,1,BA350))/12)))),'Lease Cycles'!$C$28*INDEX('Lease Cycles'!$CB$28:$CH$28,1,BA350)*(1+INDEX('Lease Cycles'!$CI$28:$CO$28,1,BA350))^INT(INT(BA351/12)/INDEX('Lease Cycles'!$CP$28:$CV$28,1,BA350))/12),IF(INDEX('Lease Cycles'!$EF$28:$EL$28,1,BA350)=1,IF(AND('Lease Cycles'!$AZ$28&gt;=INDEX('Lease Cycles'!$BG$28:$BM$28,1,BA350),'Lease Cycles'!$AZ$28&lt;=BA$6),'Lease Cycles'!$C$28*'Lease Cycles'!$BA$28/12,IF(AND('Lease Cycles'!$AX$28&gt;=INDEX('Lease Cycles'!$BG$28:$BM$28,1,BA350),'Lease Cycles'!$AX$28&lt;=BA$6),'Lease Cycles'!$C$28*'Lease Cycles'!$AY$28/12,IF(AND('Lease Cycles'!$AV$28&gt;=INDEX('Lease Cycles'!$BG$28:$BM$28,1,BA350),'Lease Cycles'!$AV$28&lt;=BA$6),'Lease Cycles'!$C$28*'Lease Cycles'!$AW$28/12,IF(AND('Lease Cycles'!$AT$28&gt;=INDEX('Lease Cycles'!$BG$28:$BM$28,1,BA350),'Lease Cycles'!$AT$28&lt;=BA$6),'Lease Cycles'!$C$28*'Lease Cycles'!$AU$28/12,'Lease Cycles'!$C$28*INDEX('Lease Cycles'!$CB$28:$CH$28,1,BA350)*(1+INDEX('Lease Cycles'!$CI$28:$CO$28,1,BA350))^INT(INT(BA351/12)/INDEX('Lease Cycles'!$CP$28:$CV$28,1,BA350))/12)))),'Lease Cycles'!$C$28*INDEX('Lease Cycles'!$CB$28:$CH$28,1,BA350)*(1+INDEX('Lease Cycles'!$CI$28:$CO$28,1,BA350))^INT(INT(BA351/12)/INDEX('Lease Cycles'!$CP$28:$CV$28,1,BA350))/12))),IF('Lease Cycles'!$N$28=1,'Lease Cycles'!$C$28*'Lease Cycles'!$E$28*INDEX('Lease Cycles'!$HE$28:$HK$28,1,BA350)*(1+INDEX('Lease Cycles'!$GQ$28:$GW$28,1,BA350))^INT(INT((BA$6-INDEX('Lease Cycles'!$GJ$28:$GP$28,1,BA350))/12)/INDEX('Lease Cycles'!$GX$28:$HD$28,1,BA350))/12,0)))</f>
        <v>0</v>
      </c>
      <c r="BB353" s="28">
        <f>IF(BB350=0,IF('Lease Cycles'!$F$28&gt;0,'Lease Cycles'!$C$28*'Lease Cycles'!$E$28/12,0),IF(BB352=1,IF('Lease Cycles'!$AT$28&gt;=9999,'Lease Cycles'!$C$28*INDEX('Lease Cycles'!$CB$28:$CH$28,1,BB350)*(1+INDEX('Lease Cycles'!$CI$28:$CO$28,1,BB350))^INT(INT(BB351/12)/INDEX('Lease Cycles'!$CP$28:$CV$28,1,BB350))/12,IF(BB350=1,IF(BB351&gt;=INDEX('Lease Cycles'!$DK$28:$DQ$28,1,BB350),IF(BB$6&gt;='Lease Cycles'!$AZ$28,'Lease Cycles'!$C$28*'Lease Cycles'!$BA$28/12,IF(BB$6&gt;='Lease Cycles'!$AX$28,'Lease Cycles'!$C$28*'Lease Cycles'!$AY$28/12,IF(BB$6&gt;='Lease Cycles'!$AV$28,'Lease Cycles'!$C$28*'Lease Cycles'!$AW$28/12,IF(BB$6&gt;='Lease Cycles'!$AT$28,'Lease Cycles'!$C$28*'Lease Cycles'!$AU$28/12,'Lease Cycles'!$C$28*INDEX('Lease Cycles'!$CB$28:$CH$28,1,BB350)*(1+INDEX('Lease Cycles'!$CI$28:$CO$28,1,BB350))^INT(INT(BB351/12)/INDEX('Lease Cycles'!$CP$28:$CV$28,1,BB350))/12)))),'Lease Cycles'!$C$28*INDEX('Lease Cycles'!$CB$28:$CH$28,1,BB350)*(1+INDEX('Lease Cycles'!$CI$28:$CO$28,1,BB350))^INT(INT(BB351/12)/INDEX('Lease Cycles'!$CP$28:$CV$28,1,BB350))/12),IF(INDEX('Lease Cycles'!$EF$28:$EL$28,1,BB350)=1,IF(AND('Lease Cycles'!$AZ$28&gt;=INDEX('Lease Cycles'!$BG$28:$BM$28,1,BB350),'Lease Cycles'!$AZ$28&lt;=BB$6),'Lease Cycles'!$C$28*'Lease Cycles'!$BA$28/12,IF(AND('Lease Cycles'!$AX$28&gt;=INDEX('Lease Cycles'!$BG$28:$BM$28,1,BB350),'Lease Cycles'!$AX$28&lt;=BB$6),'Lease Cycles'!$C$28*'Lease Cycles'!$AY$28/12,IF(AND('Lease Cycles'!$AV$28&gt;=INDEX('Lease Cycles'!$BG$28:$BM$28,1,BB350),'Lease Cycles'!$AV$28&lt;=BB$6),'Lease Cycles'!$C$28*'Lease Cycles'!$AW$28/12,IF(AND('Lease Cycles'!$AT$28&gt;=INDEX('Lease Cycles'!$BG$28:$BM$28,1,BB350),'Lease Cycles'!$AT$28&lt;=BB$6),'Lease Cycles'!$C$28*'Lease Cycles'!$AU$28/12,'Lease Cycles'!$C$28*INDEX('Lease Cycles'!$CB$28:$CH$28,1,BB350)*(1+INDEX('Lease Cycles'!$CI$28:$CO$28,1,BB350))^INT(INT(BB351/12)/INDEX('Lease Cycles'!$CP$28:$CV$28,1,BB350))/12)))),'Lease Cycles'!$C$28*INDEX('Lease Cycles'!$CB$28:$CH$28,1,BB350)*(1+INDEX('Lease Cycles'!$CI$28:$CO$28,1,BB350))^INT(INT(BB351/12)/INDEX('Lease Cycles'!$CP$28:$CV$28,1,BB350))/12))),IF('Lease Cycles'!$N$28=1,'Lease Cycles'!$C$28*'Lease Cycles'!$E$28*INDEX('Lease Cycles'!$HE$28:$HK$28,1,BB350)*(1+INDEX('Lease Cycles'!$GQ$28:$GW$28,1,BB350))^INT(INT((BB$6-INDEX('Lease Cycles'!$GJ$28:$GP$28,1,BB350))/12)/INDEX('Lease Cycles'!$GX$28:$HD$28,1,BB350))/12,0)))</f>
        <v>0</v>
      </c>
      <c r="BC353" s="28">
        <f>IF(BC350=0,IF('Lease Cycles'!$F$28&gt;0,'Lease Cycles'!$C$28*'Lease Cycles'!$E$28/12,0),IF(BC352=1,IF('Lease Cycles'!$AT$28&gt;=9999,'Lease Cycles'!$C$28*INDEX('Lease Cycles'!$CB$28:$CH$28,1,BC350)*(1+INDEX('Lease Cycles'!$CI$28:$CO$28,1,BC350))^INT(INT(BC351/12)/INDEX('Lease Cycles'!$CP$28:$CV$28,1,BC350))/12,IF(BC350=1,IF(BC351&gt;=INDEX('Lease Cycles'!$DK$28:$DQ$28,1,BC350),IF(BC$6&gt;='Lease Cycles'!$AZ$28,'Lease Cycles'!$C$28*'Lease Cycles'!$BA$28/12,IF(BC$6&gt;='Lease Cycles'!$AX$28,'Lease Cycles'!$C$28*'Lease Cycles'!$AY$28/12,IF(BC$6&gt;='Lease Cycles'!$AV$28,'Lease Cycles'!$C$28*'Lease Cycles'!$AW$28/12,IF(BC$6&gt;='Lease Cycles'!$AT$28,'Lease Cycles'!$C$28*'Lease Cycles'!$AU$28/12,'Lease Cycles'!$C$28*INDEX('Lease Cycles'!$CB$28:$CH$28,1,BC350)*(1+INDEX('Lease Cycles'!$CI$28:$CO$28,1,BC350))^INT(INT(BC351/12)/INDEX('Lease Cycles'!$CP$28:$CV$28,1,BC350))/12)))),'Lease Cycles'!$C$28*INDEX('Lease Cycles'!$CB$28:$CH$28,1,BC350)*(1+INDEX('Lease Cycles'!$CI$28:$CO$28,1,BC350))^INT(INT(BC351/12)/INDEX('Lease Cycles'!$CP$28:$CV$28,1,BC350))/12),IF(INDEX('Lease Cycles'!$EF$28:$EL$28,1,BC350)=1,IF(AND('Lease Cycles'!$AZ$28&gt;=INDEX('Lease Cycles'!$BG$28:$BM$28,1,BC350),'Lease Cycles'!$AZ$28&lt;=BC$6),'Lease Cycles'!$C$28*'Lease Cycles'!$BA$28/12,IF(AND('Lease Cycles'!$AX$28&gt;=INDEX('Lease Cycles'!$BG$28:$BM$28,1,BC350),'Lease Cycles'!$AX$28&lt;=BC$6),'Lease Cycles'!$C$28*'Lease Cycles'!$AY$28/12,IF(AND('Lease Cycles'!$AV$28&gt;=INDEX('Lease Cycles'!$BG$28:$BM$28,1,BC350),'Lease Cycles'!$AV$28&lt;=BC$6),'Lease Cycles'!$C$28*'Lease Cycles'!$AW$28/12,IF(AND('Lease Cycles'!$AT$28&gt;=INDEX('Lease Cycles'!$BG$28:$BM$28,1,BC350),'Lease Cycles'!$AT$28&lt;=BC$6),'Lease Cycles'!$C$28*'Lease Cycles'!$AU$28/12,'Lease Cycles'!$C$28*INDEX('Lease Cycles'!$CB$28:$CH$28,1,BC350)*(1+INDEX('Lease Cycles'!$CI$28:$CO$28,1,BC350))^INT(INT(BC351/12)/INDEX('Lease Cycles'!$CP$28:$CV$28,1,BC350))/12)))),'Lease Cycles'!$C$28*INDEX('Lease Cycles'!$CB$28:$CH$28,1,BC350)*(1+INDEX('Lease Cycles'!$CI$28:$CO$28,1,BC350))^INT(INT(BC351/12)/INDEX('Lease Cycles'!$CP$28:$CV$28,1,BC350))/12))),IF('Lease Cycles'!$N$28=1,'Lease Cycles'!$C$28*'Lease Cycles'!$E$28*INDEX('Lease Cycles'!$HE$28:$HK$28,1,BC350)*(1+INDEX('Lease Cycles'!$GQ$28:$GW$28,1,BC350))^INT(INT((BC$6-INDEX('Lease Cycles'!$GJ$28:$GP$28,1,BC350))/12)/INDEX('Lease Cycles'!$GX$28:$HD$28,1,BC350))/12,0)))</f>
        <v>0</v>
      </c>
      <c r="BD353" s="28">
        <f>IF(BD350=0,IF('Lease Cycles'!$F$28&gt;0,'Lease Cycles'!$C$28*'Lease Cycles'!$E$28/12,0),IF(BD352=1,IF('Lease Cycles'!$AT$28&gt;=9999,'Lease Cycles'!$C$28*INDEX('Lease Cycles'!$CB$28:$CH$28,1,BD350)*(1+INDEX('Lease Cycles'!$CI$28:$CO$28,1,BD350))^INT(INT(BD351/12)/INDEX('Lease Cycles'!$CP$28:$CV$28,1,BD350))/12,IF(BD350=1,IF(BD351&gt;=INDEX('Lease Cycles'!$DK$28:$DQ$28,1,BD350),IF(BD$6&gt;='Lease Cycles'!$AZ$28,'Lease Cycles'!$C$28*'Lease Cycles'!$BA$28/12,IF(BD$6&gt;='Lease Cycles'!$AX$28,'Lease Cycles'!$C$28*'Lease Cycles'!$AY$28/12,IF(BD$6&gt;='Lease Cycles'!$AV$28,'Lease Cycles'!$C$28*'Lease Cycles'!$AW$28/12,IF(BD$6&gt;='Lease Cycles'!$AT$28,'Lease Cycles'!$C$28*'Lease Cycles'!$AU$28/12,'Lease Cycles'!$C$28*INDEX('Lease Cycles'!$CB$28:$CH$28,1,BD350)*(1+INDEX('Lease Cycles'!$CI$28:$CO$28,1,BD350))^INT(INT(BD351/12)/INDEX('Lease Cycles'!$CP$28:$CV$28,1,BD350))/12)))),'Lease Cycles'!$C$28*INDEX('Lease Cycles'!$CB$28:$CH$28,1,BD350)*(1+INDEX('Lease Cycles'!$CI$28:$CO$28,1,BD350))^INT(INT(BD351/12)/INDEX('Lease Cycles'!$CP$28:$CV$28,1,BD350))/12),IF(INDEX('Lease Cycles'!$EF$28:$EL$28,1,BD350)=1,IF(AND('Lease Cycles'!$AZ$28&gt;=INDEX('Lease Cycles'!$BG$28:$BM$28,1,BD350),'Lease Cycles'!$AZ$28&lt;=BD$6),'Lease Cycles'!$C$28*'Lease Cycles'!$BA$28/12,IF(AND('Lease Cycles'!$AX$28&gt;=INDEX('Lease Cycles'!$BG$28:$BM$28,1,BD350),'Lease Cycles'!$AX$28&lt;=BD$6),'Lease Cycles'!$C$28*'Lease Cycles'!$AY$28/12,IF(AND('Lease Cycles'!$AV$28&gt;=INDEX('Lease Cycles'!$BG$28:$BM$28,1,BD350),'Lease Cycles'!$AV$28&lt;=BD$6),'Lease Cycles'!$C$28*'Lease Cycles'!$AW$28/12,IF(AND('Lease Cycles'!$AT$28&gt;=INDEX('Lease Cycles'!$BG$28:$BM$28,1,BD350),'Lease Cycles'!$AT$28&lt;=BD$6),'Lease Cycles'!$C$28*'Lease Cycles'!$AU$28/12,'Lease Cycles'!$C$28*INDEX('Lease Cycles'!$CB$28:$CH$28,1,BD350)*(1+INDEX('Lease Cycles'!$CI$28:$CO$28,1,BD350))^INT(INT(BD351/12)/INDEX('Lease Cycles'!$CP$28:$CV$28,1,BD350))/12)))),'Lease Cycles'!$C$28*INDEX('Lease Cycles'!$CB$28:$CH$28,1,BD350)*(1+INDEX('Lease Cycles'!$CI$28:$CO$28,1,BD350))^INT(INT(BD351/12)/INDEX('Lease Cycles'!$CP$28:$CV$28,1,BD350))/12))),IF('Lease Cycles'!$N$28=1,'Lease Cycles'!$C$28*'Lease Cycles'!$E$28*INDEX('Lease Cycles'!$HE$28:$HK$28,1,BD350)*(1+INDEX('Lease Cycles'!$GQ$28:$GW$28,1,BD350))^INT(INT((BD$6-INDEX('Lease Cycles'!$GJ$28:$GP$28,1,BD350))/12)/INDEX('Lease Cycles'!$GX$28:$HD$28,1,BD350))/12,0)))</f>
        <v>0</v>
      </c>
      <c r="BE353" s="28">
        <f>IF(BE350=0,IF('Lease Cycles'!$F$28&gt;0,'Lease Cycles'!$C$28*'Lease Cycles'!$E$28/12,0),IF(BE352=1,IF('Lease Cycles'!$AT$28&gt;=9999,'Lease Cycles'!$C$28*INDEX('Lease Cycles'!$CB$28:$CH$28,1,BE350)*(1+INDEX('Lease Cycles'!$CI$28:$CO$28,1,BE350))^INT(INT(BE351/12)/INDEX('Lease Cycles'!$CP$28:$CV$28,1,BE350))/12,IF(BE350=1,IF(BE351&gt;=INDEX('Lease Cycles'!$DK$28:$DQ$28,1,BE350),IF(BE$6&gt;='Lease Cycles'!$AZ$28,'Lease Cycles'!$C$28*'Lease Cycles'!$BA$28/12,IF(BE$6&gt;='Lease Cycles'!$AX$28,'Lease Cycles'!$C$28*'Lease Cycles'!$AY$28/12,IF(BE$6&gt;='Lease Cycles'!$AV$28,'Lease Cycles'!$C$28*'Lease Cycles'!$AW$28/12,IF(BE$6&gt;='Lease Cycles'!$AT$28,'Lease Cycles'!$C$28*'Lease Cycles'!$AU$28/12,'Lease Cycles'!$C$28*INDEX('Lease Cycles'!$CB$28:$CH$28,1,BE350)*(1+INDEX('Lease Cycles'!$CI$28:$CO$28,1,BE350))^INT(INT(BE351/12)/INDEX('Lease Cycles'!$CP$28:$CV$28,1,BE350))/12)))),'Lease Cycles'!$C$28*INDEX('Lease Cycles'!$CB$28:$CH$28,1,BE350)*(1+INDEX('Lease Cycles'!$CI$28:$CO$28,1,BE350))^INT(INT(BE351/12)/INDEX('Lease Cycles'!$CP$28:$CV$28,1,BE350))/12),IF(INDEX('Lease Cycles'!$EF$28:$EL$28,1,BE350)=1,IF(AND('Lease Cycles'!$AZ$28&gt;=INDEX('Lease Cycles'!$BG$28:$BM$28,1,BE350),'Lease Cycles'!$AZ$28&lt;=BE$6),'Lease Cycles'!$C$28*'Lease Cycles'!$BA$28/12,IF(AND('Lease Cycles'!$AX$28&gt;=INDEX('Lease Cycles'!$BG$28:$BM$28,1,BE350),'Lease Cycles'!$AX$28&lt;=BE$6),'Lease Cycles'!$C$28*'Lease Cycles'!$AY$28/12,IF(AND('Lease Cycles'!$AV$28&gt;=INDEX('Lease Cycles'!$BG$28:$BM$28,1,BE350),'Lease Cycles'!$AV$28&lt;=BE$6),'Lease Cycles'!$C$28*'Lease Cycles'!$AW$28/12,IF(AND('Lease Cycles'!$AT$28&gt;=INDEX('Lease Cycles'!$BG$28:$BM$28,1,BE350),'Lease Cycles'!$AT$28&lt;=BE$6),'Lease Cycles'!$C$28*'Lease Cycles'!$AU$28/12,'Lease Cycles'!$C$28*INDEX('Lease Cycles'!$CB$28:$CH$28,1,BE350)*(1+INDEX('Lease Cycles'!$CI$28:$CO$28,1,BE350))^INT(INT(BE351/12)/INDEX('Lease Cycles'!$CP$28:$CV$28,1,BE350))/12)))),'Lease Cycles'!$C$28*INDEX('Lease Cycles'!$CB$28:$CH$28,1,BE350)*(1+INDEX('Lease Cycles'!$CI$28:$CO$28,1,BE350))^INT(INT(BE351/12)/INDEX('Lease Cycles'!$CP$28:$CV$28,1,BE350))/12))),IF('Lease Cycles'!$N$28=1,'Lease Cycles'!$C$28*'Lease Cycles'!$E$28*INDEX('Lease Cycles'!$HE$28:$HK$28,1,BE350)*(1+INDEX('Lease Cycles'!$GQ$28:$GW$28,1,BE350))^INT(INT((BE$6-INDEX('Lease Cycles'!$GJ$28:$GP$28,1,BE350))/12)/INDEX('Lease Cycles'!$GX$28:$HD$28,1,BE350))/12,0)))</f>
        <v>0</v>
      </c>
      <c r="BF353" s="28">
        <f>IF(BF350=0,IF('Lease Cycles'!$F$28&gt;0,'Lease Cycles'!$C$28*'Lease Cycles'!$E$28/12,0),IF(BF352=1,IF('Lease Cycles'!$AT$28&gt;=9999,'Lease Cycles'!$C$28*INDEX('Lease Cycles'!$CB$28:$CH$28,1,BF350)*(1+INDEX('Lease Cycles'!$CI$28:$CO$28,1,BF350))^INT(INT(BF351/12)/INDEX('Lease Cycles'!$CP$28:$CV$28,1,BF350))/12,IF(BF350=1,IF(BF351&gt;=INDEX('Lease Cycles'!$DK$28:$DQ$28,1,BF350),IF(BF$6&gt;='Lease Cycles'!$AZ$28,'Lease Cycles'!$C$28*'Lease Cycles'!$BA$28/12,IF(BF$6&gt;='Lease Cycles'!$AX$28,'Lease Cycles'!$C$28*'Lease Cycles'!$AY$28/12,IF(BF$6&gt;='Lease Cycles'!$AV$28,'Lease Cycles'!$C$28*'Lease Cycles'!$AW$28/12,IF(BF$6&gt;='Lease Cycles'!$AT$28,'Lease Cycles'!$C$28*'Lease Cycles'!$AU$28/12,'Lease Cycles'!$C$28*INDEX('Lease Cycles'!$CB$28:$CH$28,1,BF350)*(1+INDEX('Lease Cycles'!$CI$28:$CO$28,1,BF350))^INT(INT(BF351/12)/INDEX('Lease Cycles'!$CP$28:$CV$28,1,BF350))/12)))),'Lease Cycles'!$C$28*INDEX('Lease Cycles'!$CB$28:$CH$28,1,BF350)*(1+INDEX('Lease Cycles'!$CI$28:$CO$28,1,BF350))^INT(INT(BF351/12)/INDEX('Lease Cycles'!$CP$28:$CV$28,1,BF350))/12),IF(INDEX('Lease Cycles'!$EF$28:$EL$28,1,BF350)=1,IF(AND('Lease Cycles'!$AZ$28&gt;=INDEX('Lease Cycles'!$BG$28:$BM$28,1,BF350),'Lease Cycles'!$AZ$28&lt;=BF$6),'Lease Cycles'!$C$28*'Lease Cycles'!$BA$28/12,IF(AND('Lease Cycles'!$AX$28&gt;=INDEX('Lease Cycles'!$BG$28:$BM$28,1,BF350),'Lease Cycles'!$AX$28&lt;=BF$6),'Lease Cycles'!$C$28*'Lease Cycles'!$AY$28/12,IF(AND('Lease Cycles'!$AV$28&gt;=INDEX('Lease Cycles'!$BG$28:$BM$28,1,BF350),'Lease Cycles'!$AV$28&lt;=BF$6),'Lease Cycles'!$C$28*'Lease Cycles'!$AW$28/12,IF(AND('Lease Cycles'!$AT$28&gt;=INDEX('Lease Cycles'!$BG$28:$BM$28,1,BF350),'Lease Cycles'!$AT$28&lt;=BF$6),'Lease Cycles'!$C$28*'Lease Cycles'!$AU$28/12,'Lease Cycles'!$C$28*INDEX('Lease Cycles'!$CB$28:$CH$28,1,BF350)*(1+INDEX('Lease Cycles'!$CI$28:$CO$28,1,BF350))^INT(INT(BF351/12)/INDEX('Lease Cycles'!$CP$28:$CV$28,1,BF350))/12)))),'Lease Cycles'!$C$28*INDEX('Lease Cycles'!$CB$28:$CH$28,1,BF350)*(1+INDEX('Lease Cycles'!$CI$28:$CO$28,1,BF350))^INT(INT(BF351/12)/INDEX('Lease Cycles'!$CP$28:$CV$28,1,BF350))/12))),IF('Lease Cycles'!$N$28=1,'Lease Cycles'!$C$28*'Lease Cycles'!$E$28*INDEX('Lease Cycles'!$HE$28:$HK$28,1,BF350)*(1+INDEX('Lease Cycles'!$GQ$28:$GW$28,1,BF350))^INT(INT((BF$6-INDEX('Lease Cycles'!$GJ$28:$GP$28,1,BF350))/12)/INDEX('Lease Cycles'!$GX$28:$HD$28,1,BF350))/12,0)))</f>
        <v>0</v>
      </c>
      <c r="BG353" s="28">
        <f>IF(BG350=0,IF('Lease Cycles'!$F$28&gt;0,'Lease Cycles'!$C$28*'Lease Cycles'!$E$28/12,0),IF(BG352=1,IF('Lease Cycles'!$AT$28&gt;=9999,'Lease Cycles'!$C$28*INDEX('Lease Cycles'!$CB$28:$CH$28,1,BG350)*(1+INDEX('Lease Cycles'!$CI$28:$CO$28,1,BG350))^INT(INT(BG351/12)/INDEX('Lease Cycles'!$CP$28:$CV$28,1,BG350))/12,IF(BG350=1,IF(BG351&gt;=INDEX('Lease Cycles'!$DK$28:$DQ$28,1,BG350),IF(BG$6&gt;='Lease Cycles'!$AZ$28,'Lease Cycles'!$C$28*'Lease Cycles'!$BA$28/12,IF(BG$6&gt;='Lease Cycles'!$AX$28,'Lease Cycles'!$C$28*'Lease Cycles'!$AY$28/12,IF(BG$6&gt;='Lease Cycles'!$AV$28,'Lease Cycles'!$C$28*'Lease Cycles'!$AW$28/12,IF(BG$6&gt;='Lease Cycles'!$AT$28,'Lease Cycles'!$C$28*'Lease Cycles'!$AU$28/12,'Lease Cycles'!$C$28*INDEX('Lease Cycles'!$CB$28:$CH$28,1,BG350)*(1+INDEX('Lease Cycles'!$CI$28:$CO$28,1,BG350))^INT(INT(BG351/12)/INDEX('Lease Cycles'!$CP$28:$CV$28,1,BG350))/12)))),'Lease Cycles'!$C$28*INDEX('Lease Cycles'!$CB$28:$CH$28,1,BG350)*(1+INDEX('Lease Cycles'!$CI$28:$CO$28,1,BG350))^INT(INT(BG351/12)/INDEX('Lease Cycles'!$CP$28:$CV$28,1,BG350))/12),IF(INDEX('Lease Cycles'!$EF$28:$EL$28,1,BG350)=1,IF(AND('Lease Cycles'!$AZ$28&gt;=INDEX('Lease Cycles'!$BG$28:$BM$28,1,BG350),'Lease Cycles'!$AZ$28&lt;=BG$6),'Lease Cycles'!$C$28*'Lease Cycles'!$BA$28/12,IF(AND('Lease Cycles'!$AX$28&gt;=INDEX('Lease Cycles'!$BG$28:$BM$28,1,BG350),'Lease Cycles'!$AX$28&lt;=BG$6),'Lease Cycles'!$C$28*'Lease Cycles'!$AY$28/12,IF(AND('Lease Cycles'!$AV$28&gt;=INDEX('Lease Cycles'!$BG$28:$BM$28,1,BG350),'Lease Cycles'!$AV$28&lt;=BG$6),'Lease Cycles'!$C$28*'Lease Cycles'!$AW$28/12,IF(AND('Lease Cycles'!$AT$28&gt;=INDEX('Lease Cycles'!$BG$28:$BM$28,1,BG350),'Lease Cycles'!$AT$28&lt;=BG$6),'Lease Cycles'!$C$28*'Lease Cycles'!$AU$28/12,'Lease Cycles'!$C$28*INDEX('Lease Cycles'!$CB$28:$CH$28,1,BG350)*(1+INDEX('Lease Cycles'!$CI$28:$CO$28,1,BG350))^INT(INT(BG351/12)/INDEX('Lease Cycles'!$CP$28:$CV$28,1,BG350))/12)))),'Lease Cycles'!$C$28*INDEX('Lease Cycles'!$CB$28:$CH$28,1,BG350)*(1+INDEX('Lease Cycles'!$CI$28:$CO$28,1,BG350))^INT(INT(BG351/12)/INDEX('Lease Cycles'!$CP$28:$CV$28,1,BG350))/12))),IF('Lease Cycles'!$N$28=1,'Lease Cycles'!$C$28*'Lease Cycles'!$E$28*INDEX('Lease Cycles'!$HE$28:$HK$28,1,BG350)*(1+INDEX('Lease Cycles'!$GQ$28:$GW$28,1,BG350))^INT(INT((BG$6-INDEX('Lease Cycles'!$GJ$28:$GP$28,1,BG350))/12)/INDEX('Lease Cycles'!$GX$28:$HD$28,1,BG350))/12,0)))</f>
        <v>0</v>
      </c>
      <c r="BH353" s="28">
        <f>IF(BH350=0,IF('Lease Cycles'!$F$28&gt;0,'Lease Cycles'!$C$28*'Lease Cycles'!$E$28/12,0),IF(BH352=1,IF('Lease Cycles'!$AT$28&gt;=9999,'Lease Cycles'!$C$28*INDEX('Lease Cycles'!$CB$28:$CH$28,1,BH350)*(1+INDEX('Lease Cycles'!$CI$28:$CO$28,1,BH350))^INT(INT(BH351/12)/INDEX('Lease Cycles'!$CP$28:$CV$28,1,BH350))/12,IF(BH350=1,IF(BH351&gt;=INDEX('Lease Cycles'!$DK$28:$DQ$28,1,BH350),IF(BH$6&gt;='Lease Cycles'!$AZ$28,'Lease Cycles'!$C$28*'Lease Cycles'!$BA$28/12,IF(BH$6&gt;='Lease Cycles'!$AX$28,'Lease Cycles'!$C$28*'Lease Cycles'!$AY$28/12,IF(BH$6&gt;='Lease Cycles'!$AV$28,'Lease Cycles'!$C$28*'Lease Cycles'!$AW$28/12,IF(BH$6&gt;='Lease Cycles'!$AT$28,'Lease Cycles'!$C$28*'Lease Cycles'!$AU$28/12,'Lease Cycles'!$C$28*INDEX('Lease Cycles'!$CB$28:$CH$28,1,BH350)*(1+INDEX('Lease Cycles'!$CI$28:$CO$28,1,BH350))^INT(INT(BH351/12)/INDEX('Lease Cycles'!$CP$28:$CV$28,1,BH350))/12)))),'Lease Cycles'!$C$28*INDEX('Lease Cycles'!$CB$28:$CH$28,1,BH350)*(1+INDEX('Lease Cycles'!$CI$28:$CO$28,1,BH350))^INT(INT(BH351/12)/INDEX('Lease Cycles'!$CP$28:$CV$28,1,BH350))/12),IF(INDEX('Lease Cycles'!$EF$28:$EL$28,1,BH350)=1,IF(AND('Lease Cycles'!$AZ$28&gt;=INDEX('Lease Cycles'!$BG$28:$BM$28,1,BH350),'Lease Cycles'!$AZ$28&lt;=BH$6),'Lease Cycles'!$C$28*'Lease Cycles'!$BA$28/12,IF(AND('Lease Cycles'!$AX$28&gt;=INDEX('Lease Cycles'!$BG$28:$BM$28,1,BH350),'Lease Cycles'!$AX$28&lt;=BH$6),'Lease Cycles'!$C$28*'Lease Cycles'!$AY$28/12,IF(AND('Lease Cycles'!$AV$28&gt;=INDEX('Lease Cycles'!$BG$28:$BM$28,1,BH350),'Lease Cycles'!$AV$28&lt;=BH$6),'Lease Cycles'!$C$28*'Lease Cycles'!$AW$28/12,IF(AND('Lease Cycles'!$AT$28&gt;=INDEX('Lease Cycles'!$BG$28:$BM$28,1,BH350),'Lease Cycles'!$AT$28&lt;=BH$6),'Lease Cycles'!$C$28*'Lease Cycles'!$AU$28/12,'Lease Cycles'!$C$28*INDEX('Lease Cycles'!$CB$28:$CH$28,1,BH350)*(1+INDEX('Lease Cycles'!$CI$28:$CO$28,1,BH350))^INT(INT(BH351/12)/INDEX('Lease Cycles'!$CP$28:$CV$28,1,BH350))/12)))),'Lease Cycles'!$C$28*INDEX('Lease Cycles'!$CB$28:$CH$28,1,BH350)*(1+INDEX('Lease Cycles'!$CI$28:$CO$28,1,BH350))^INT(INT(BH351/12)/INDEX('Lease Cycles'!$CP$28:$CV$28,1,BH350))/12))),IF('Lease Cycles'!$N$28=1,'Lease Cycles'!$C$28*'Lease Cycles'!$E$28*INDEX('Lease Cycles'!$HE$28:$HK$28,1,BH350)*(1+INDEX('Lease Cycles'!$GQ$28:$GW$28,1,BH350))^INT(INT((BH$6-INDEX('Lease Cycles'!$GJ$28:$GP$28,1,BH350))/12)/INDEX('Lease Cycles'!$GX$28:$HD$28,1,BH350))/12,0)))</f>
        <v>0</v>
      </c>
      <c r="BI353" s="28">
        <f>IF(BI350=0,IF('Lease Cycles'!$F$28&gt;0,'Lease Cycles'!$C$28*'Lease Cycles'!$E$28/12,0),IF(BI352=1,IF('Lease Cycles'!$AT$28&gt;=9999,'Lease Cycles'!$C$28*INDEX('Lease Cycles'!$CB$28:$CH$28,1,BI350)*(1+INDEX('Lease Cycles'!$CI$28:$CO$28,1,BI350))^INT(INT(BI351/12)/INDEX('Lease Cycles'!$CP$28:$CV$28,1,BI350))/12,IF(BI350=1,IF(BI351&gt;=INDEX('Lease Cycles'!$DK$28:$DQ$28,1,BI350),IF(BI$6&gt;='Lease Cycles'!$AZ$28,'Lease Cycles'!$C$28*'Lease Cycles'!$BA$28/12,IF(BI$6&gt;='Lease Cycles'!$AX$28,'Lease Cycles'!$C$28*'Lease Cycles'!$AY$28/12,IF(BI$6&gt;='Lease Cycles'!$AV$28,'Lease Cycles'!$C$28*'Lease Cycles'!$AW$28/12,IF(BI$6&gt;='Lease Cycles'!$AT$28,'Lease Cycles'!$C$28*'Lease Cycles'!$AU$28/12,'Lease Cycles'!$C$28*INDEX('Lease Cycles'!$CB$28:$CH$28,1,BI350)*(1+INDEX('Lease Cycles'!$CI$28:$CO$28,1,BI350))^INT(INT(BI351/12)/INDEX('Lease Cycles'!$CP$28:$CV$28,1,BI350))/12)))),'Lease Cycles'!$C$28*INDEX('Lease Cycles'!$CB$28:$CH$28,1,BI350)*(1+INDEX('Lease Cycles'!$CI$28:$CO$28,1,BI350))^INT(INT(BI351/12)/INDEX('Lease Cycles'!$CP$28:$CV$28,1,BI350))/12),IF(INDEX('Lease Cycles'!$EF$28:$EL$28,1,BI350)=1,IF(AND('Lease Cycles'!$AZ$28&gt;=INDEX('Lease Cycles'!$BG$28:$BM$28,1,BI350),'Lease Cycles'!$AZ$28&lt;=BI$6),'Lease Cycles'!$C$28*'Lease Cycles'!$BA$28/12,IF(AND('Lease Cycles'!$AX$28&gt;=INDEX('Lease Cycles'!$BG$28:$BM$28,1,BI350),'Lease Cycles'!$AX$28&lt;=BI$6),'Lease Cycles'!$C$28*'Lease Cycles'!$AY$28/12,IF(AND('Lease Cycles'!$AV$28&gt;=INDEX('Lease Cycles'!$BG$28:$BM$28,1,BI350),'Lease Cycles'!$AV$28&lt;=BI$6),'Lease Cycles'!$C$28*'Lease Cycles'!$AW$28/12,IF(AND('Lease Cycles'!$AT$28&gt;=INDEX('Lease Cycles'!$BG$28:$BM$28,1,BI350),'Lease Cycles'!$AT$28&lt;=BI$6),'Lease Cycles'!$C$28*'Lease Cycles'!$AU$28/12,'Lease Cycles'!$C$28*INDEX('Lease Cycles'!$CB$28:$CH$28,1,BI350)*(1+INDEX('Lease Cycles'!$CI$28:$CO$28,1,BI350))^INT(INT(BI351/12)/INDEX('Lease Cycles'!$CP$28:$CV$28,1,BI350))/12)))),'Lease Cycles'!$C$28*INDEX('Lease Cycles'!$CB$28:$CH$28,1,BI350)*(1+INDEX('Lease Cycles'!$CI$28:$CO$28,1,BI350))^INT(INT(BI351/12)/INDEX('Lease Cycles'!$CP$28:$CV$28,1,BI350))/12))),IF('Lease Cycles'!$N$28=1,'Lease Cycles'!$C$28*'Lease Cycles'!$E$28*INDEX('Lease Cycles'!$HE$28:$HK$28,1,BI350)*(1+INDEX('Lease Cycles'!$GQ$28:$GW$28,1,BI350))^INT(INT((BI$6-INDEX('Lease Cycles'!$GJ$28:$GP$28,1,BI350))/12)/INDEX('Lease Cycles'!$GX$28:$HD$28,1,BI350))/12,0)))</f>
        <v>0</v>
      </c>
      <c r="BJ353" s="28">
        <f>IF(BJ350=0,IF('Lease Cycles'!$F$28&gt;0,'Lease Cycles'!$C$28*'Lease Cycles'!$E$28/12,0),IF(BJ352=1,IF('Lease Cycles'!$AT$28&gt;=9999,'Lease Cycles'!$C$28*INDEX('Lease Cycles'!$CB$28:$CH$28,1,BJ350)*(1+INDEX('Lease Cycles'!$CI$28:$CO$28,1,BJ350))^INT(INT(BJ351/12)/INDEX('Lease Cycles'!$CP$28:$CV$28,1,BJ350))/12,IF(BJ350=1,IF(BJ351&gt;=INDEX('Lease Cycles'!$DK$28:$DQ$28,1,BJ350),IF(BJ$6&gt;='Lease Cycles'!$AZ$28,'Lease Cycles'!$C$28*'Lease Cycles'!$BA$28/12,IF(BJ$6&gt;='Lease Cycles'!$AX$28,'Lease Cycles'!$C$28*'Lease Cycles'!$AY$28/12,IF(BJ$6&gt;='Lease Cycles'!$AV$28,'Lease Cycles'!$C$28*'Lease Cycles'!$AW$28/12,IF(BJ$6&gt;='Lease Cycles'!$AT$28,'Lease Cycles'!$C$28*'Lease Cycles'!$AU$28/12,'Lease Cycles'!$C$28*INDEX('Lease Cycles'!$CB$28:$CH$28,1,BJ350)*(1+INDEX('Lease Cycles'!$CI$28:$CO$28,1,BJ350))^INT(INT(BJ351/12)/INDEX('Lease Cycles'!$CP$28:$CV$28,1,BJ350))/12)))),'Lease Cycles'!$C$28*INDEX('Lease Cycles'!$CB$28:$CH$28,1,BJ350)*(1+INDEX('Lease Cycles'!$CI$28:$CO$28,1,BJ350))^INT(INT(BJ351/12)/INDEX('Lease Cycles'!$CP$28:$CV$28,1,BJ350))/12),IF(INDEX('Lease Cycles'!$EF$28:$EL$28,1,BJ350)=1,IF(AND('Lease Cycles'!$AZ$28&gt;=INDEX('Lease Cycles'!$BG$28:$BM$28,1,BJ350),'Lease Cycles'!$AZ$28&lt;=BJ$6),'Lease Cycles'!$C$28*'Lease Cycles'!$BA$28/12,IF(AND('Lease Cycles'!$AX$28&gt;=INDEX('Lease Cycles'!$BG$28:$BM$28,1,BJ350),'Lease Cycles'!$AX$28&lt;=BJ$6),'Lease Cycles'!$C$28*'Lease Cycles'!$AY$28/12,IF(AND('Lease Cycles'!$AV$28&gt;=INDEX('Lease Cycles'!$BG$28:$BM$28,1,BJ350),'Lease Cycles'!$AV$28&lt;=BJ$6),'Lease Cycles'!$C$28*'Lease Cycles'!$AW$28/12,IF(AND('Lease Cycles'!$AT$28&gt;=INDEX('Lease Cycles'!$BG$28:$BM$28,1,BJ350),'Lease Cycles'!$AT$28&lt;=BJ$6),'Lease Cycles'!$C$28*'Lease Cycles'!$AU$28/12,'Lease Cycles'!$C$28*INDEX('Lease Cycles'!$CB$28:$CH$28,1,BJ350)*(1+INDEX('Lease Cycles'!$CI$28:$CO$28,1,BJ350))^INT(INT(BJ351/12)/INDEX('Lease Cycles'!$CP$28:$CV$28,1,BJ350))/12)))),'Lease Cycles'!$C$28*INDEX('Lease Cycles'!$CB$28:$CH$28,1,BJ350)*(1+INDEX('Lease Cycles'!$CI$28:$CO$28,1,BJ350))^INT(INT(BJ351/12)/INDEX('Lease Cycles'!$CP$28:$CV$28,1,BJ350))/12))),IF('Lease Cycles'!$N$28=1,'Lease Cycles'!$C$28*'Lease Cycles'!$E$28*INDEX('Lease Cycles'!$HE$28:$HK$28,1,BJ350)*(1+INDEX('Lease Cycles'!$GQ$28:$GW$28,1,BJ350))^INT(INT((BJ$6-INDEX('Lease Cycles'!$GJ$28:$GP$28,1,BJ350))/12)/INDEX('Lease Cycles'!$GX$28:$HD$28,1,BJ350))/12,0)))</f>
        <v>0</v>
      </c>
      <c r="BK353" s="28">
        <f>IF(BK350=0,IF('Lease Cycles'!$F$28&gt;0,'Lease Cycles'!$C$28*'Lease Cycles'!$E$28/12,0),IF(BK352=1,IF('Lease Cycles'!$AT$28&gt;=9999,'Lease Cycles'!$C$28*INDEX('Lease Cycles'!$CB$28:$CH$28,1,BK350)*(1+INDEX('Lease Cycles'!$CI$28:$CO$28,1,BK350))^INT(INT(BK351/12)/INDEX('Lease Cycles'!$CP$28:$CV$28,1,BK350))/12,IF(BK350=1,IF(BK351&gt;=INDEX('Lease Cycles'!$DK$28:$DQ$28,1,BK350),IF(BK$6&gt;='Lease Cycles'!$AZ$28,'Lease Cycles'!$C$28*'Lease Cycles'!$BA$28/12,IF(BK$6&gt;='Lease Cycles'!$AX$28,'Lease Cycles'!$C$28*'Lease Cycles'!$AY$28/12,IF(BK$6&gt;='Lease Cycles'!$AV$28,'Lease Cycles'!$C$28*'Lease Cycles'!$AW$28/12,IF(BK$6&gt;='Lease Cycles'!$AT$28,'Lease Cycles'!$C$28*'Lease Cycles'!$AU$28/12,'Lease Cycles'!$C$28*INDEX('Lease Cycles'!$CB$28:$CH$28,1,BK350)*(1+INDEX('Lease Cycles'!$CI$28:$CO$28,1,BK350))^INT(INT(BK351/12)/INDEX('Lease Cycles'!$CP$28:$CV$28,1,BK350))/12)))),'Lease Cycles'!$C$28*INDEX('Lease Cycles'!$CB$28:$CH$28,1,BK350)*(1+INDEX('Lease Cycles'!$CI$28:$CO$28,1,BK350))^INT(INT(BK351/12)/INDEX('Lease Cycles'!$CP$28:$CV$28,1,BK350))/12),IF(INDEX('Lease Cycles'!$EF$28:$EL$28,1,BK350)=1,IF(AND('Lease Cycles'!$AZ$28&gt;=INDEX('Lease Cycles'!$BG$28:$BM$28,1,BK350),'Lease Cycles'!$AZ$28&lt;=BK$6),'Lease Cycles'!$C$28*'Lease Cycles'!$BA$28/12,IF(AND('Lease Cycles'!$AX$28&gt;=INDEX('Lease Cycles'!$BG$28:$BM$28,1,BK350),'Lease Cycles'!$AX$28&lt;=BK$6),'Lease Cycles'!$C$28*'Lease Cycles'!$AY$28/12,IF(AND('Lease Cycles'!$AV$28&gt;=INDEX('Lease Cycles'!$BG$28:$BM$28,1,BK350),'Lease Cycles'!$AV$28&lt;=BK$6),'Lease Cycles'!$C$28*'Lease Cycles'!$AW$28/12,IF(AND('Lease Cycles'!$AT$28&gt;=INDEX('Lease Cycles'!$BG$28:$BM$28,1,BK350),'Lease Cycles'!$AT$28&lt;=BK$6),'Lease Cycles'!$C$28*'Lease Cycles'!$AU$28/12,'Lease Cycles'!$C$28*INDEX('Lease Cycles'!$CB$28:$CH$28,1,BK350)*(1+INDEX('Lease Cycles'!$CI$28:$CO$28,1,BK350))^INT(INT(BK351/12)/INDEX('Lease Cycles'!$CP$28:$CV$28,1,BK350))/12)))),'Lease Cycles'!$C$28*INDEX('Lease Cycles'!$CB$28:$CH$28,1,BK350)*(1+INDEX('Lease Cycles'!$CI$28:$CO$28,1,BK350))^INT(INT(BK351/12)/INDEX('Lease Cycles'!$CP$28:$CV$28,1,BK350))/12))),IF('Lease Cycles'!$N$28=1,'Lease Cycles'!$C$28*'Lease Cycles'!$E$28*INDEX('Lease Cycles'!$HE$28:$HK$28,1,BK350)*(1+INDEX('Lease Cycles'!$GQ$28:$GW$28,1,BK350))^INT(INT((BK$6-INDEX('Lease Cycles'!$GJ$28:$GP$28,1,BK350))/12)/INDEX('Lease Cycles'!$GX$28:$HD$28,1,BK350))/12,0)))</f>
        <v>0</v>
      </c>
      <c r="BL353" s="28">
        <f>IF(BL350=0,IF('Lease Cycles'!$F$28&gt;0,'Lease Cycles'!$C$28*'Lease Cycles'!$E$28/12,0),IF(BL352=1,IF('Lease Cycles'!$AT$28&gt;=9999,'Lease Cycles'!$C$28*INDEX('Lease Cycles'!$CB$28:$CH$28,1,BL350)*(1+INDEX('Lease Cycles'!$CI$28:$CO$28,1,BL350))^INT(INT(BL351/12)/INDEX('Lease Cycles'!$CP$28:$CV$28,1,BL350))/12,IF(BL350=1,IF(BL351&gt;=INDEX('Lease Cycles'!$DK$28:$DQ$28,1,BL350),IF(BL$6&gt;='Lease Cycles'!$AZ$28,'Lease Cycles'!$C$28*'Lease Cycles'!$BA$28/12,IF(BL$6&gt;='Lease Cycles'!$AX$28,'Lease Cycles'!$C$28*'Lease Cycles'!$AY$28/12,IF(BL$6&gt;='Lease Cycles'!$AV$28,'Lease Cycles'!$C$28*'Lease Cycles'!$AW$28/12,IF(BL$6&gt;='Lease Cycles'!$AT$28,'Lease Cycles'!$C$28*'Lease Cycles'!$AU$28/12,'Lease Cycles'!$C$28*INDEX('Lease Cycles'!$CB$28:$CH$28,1,BL350)*(1+INDEX('Lease Cycles'!$CI$28:$CO$28,1,BL350))^INT(INT(BL351/12)/INDEX('Lease Cycles'!$CP$28:$CV$28,1,BL350))/12)))),'Lease Cycles'!$C$28*INDEX('Lease Cycles'!$CB$28:$CH$28,1,BL350)*(1+INDEX('Lease Cycles'!$CI$28:$CO$28,1,BL350))^INT(INT(BL351/12)/INDEX('Lease Cycles'!$CP$28:$CV$28,1,BL350))/12),IF(INDEX('Lease Cycles'!$EF$28:$EL$28,1,BL350)=1,IF(AND('Lease Cycles'!$AZ$28&gt;=INDEX('Lease Cycles'!$BG$28:$BM$28,1,BL350),'Lease Cycles'!$AZ$28&lt;=BL$6),'Lease Cycles'!$C$28*'Lease Cycles'!$BA$28/12,IF(AND('Lease Cycles'!$AX$28&gt;=INDEX('Lease Cycles'!$BG$28:$BM$28,1,BL350),'Lease Cycles'!$AX$28&lt;=BL$6),'Lease Cycles'!$C$28*'Lease Cycles'!$AY$28/12,IF(AND('Lease Cycles'!$AV$28&gt;=INDEX('Lease Cycles'!$BG$28:$BM$28,1,BL350),'Lease Cycles'!$AV$28&lt;=BL$6),'Lease Cycles'!$C$28*'Lease Cycles'!$AW$28/12,IF(AND('Lease Cycles'!$AT$28&gt;=INDEX('Lease Cycles'!$BG$28:$BM$28,1,BL350),'Lease Cycles'!$AT$28&lt;=BL$6),'Lease Cycles'!$C$28*'Lease Cycles'!$AU$28/12,'Lease Cycles'!$C$28*INDEX('Lease Cycles'!$CB$28:$CH$28,1,BL350)*(1+INDEX('Lease Cycles'!$CI$28:$CO$28,1,BL350))^INT(INT(BL351/12)/INDEX('Lease Cycles'!$CP$28:$CV$28,1,BL350))/12)))),'Lease Cycles'!$C$28*INDEX('Lease Cycles'!$CB$28:$CH$28,1,BL350)*(1+INDEX('Lease Cycles'!$CI$28:$CO$28,1,BL350))^INT(INT(BL351/12)/INDEX('Lease Cycles'!$CP$28:$CV$28,1,BL350))/12))),IF('Lease Cycles'!$N$28=1,'Lease Cycles'!$C$28*'Lease Cycles'!$E$28*INDEX('Lease Cycles'!$HE$28:$HK$28,1,BL350)*(1+INDEX('Lease Cycles'!$GQ$28:$GW$28,1,BL350))^INT(INT((BL$6-INDEX('Lease Cycles'!$GJ$28:$GP$28,1,BL350))/12)/INDEX('Lease Cycles'!$GX$28:$HD$28,1,BL350))/12,0)))</f>
        <v>0</v>
      </c>
      <c r="BM353" s="28">
        <f>IF(BM350=0,IF('Lease Cycles'!$F$28&gt;0,'Lease Cycles'!$C$28*'Lease Cycles'!$E$28/12,0),IF(BM352=1,IF('Lease Cycles'!$AT$28&gt;=9999,'Lease Cycles'!$C$28*INDEX('Lease Cycles'!$CB$28:$CH$28,1,BM350)*(1+INDEX('Lease Cycles'!$CI$28:$CO$28,1,BM350))^INT(INT(BM351/12)/INDEX('Lease Cycles'!$CP$28:$CV$28,1,BM350))/12,IF(BM350=1,IF(BM351&gt;=INDEX('Lease Cycles'!$DK$28:$DQ$28,1,BM350),IF(BM$6&gt;='Lease Cycles'!$AZ$28,'Lease Cycles'!$C$28*'Lease Cycles'!$BA$28/12,IF(BM$6&gt;='Lease Cycles'!$AX$28,'Lease Cycles'!$C$28*'Lease Cycles'!$AY$28/12,IF(BM$6&gt;='Lease Cycles'!$AV$28,'Lease Cycles'!$C$28*'Lease Cycles'!$AW$28/12,IF(BM$6&gt;='Lease Cycles'!$AT$28,'Lease Cycles'!$C$28*'Lease Cycles'!$AU$28/12,'Lease Cycles'!$C$28*INDEX('Lease Cycles'!$CB$28:$CH$28,1,BM350)*(1+INDEX('Lease Cycles'!$CI$28:$CO$28,1,BM350))^INT(INT(BM351/12)/INDEX('Lease Cycles'!$CP$28:$CV$28,1,BM350))/12)))),'Lease Cycles'!$C$28*INDEX('Lease Cycles'!$CB$28:$CH$28,1,BM350)*(1+INDEX('Lease Cycles'!$CI$28:$CO$28,1,BM350))^INT(INT(BM351/12)/INDEX('Lease Cycles'!$CP$28:$CV$28,1,BM350))/12),IF(INDEX('Lease Cycles'!$EF$28:$EL$28,1,BM350)=1,IF(AND('Lease Cycles'!$AZ$28&gt;=INDEX('Lease Cycles'!$BG$28:$BM$28,1,BM350),'Lease Cycles'!$AZ$28&lt;=BM$6),'Lease Cycles'!$C$28*'Lease Cycles'!$BA$28/12,IF(AND('Lease Cycles'!$AX$28&gt;=INDEX('Lease Cycles'!$BG$28:$BM$28,1,BM350),'Lease Cycles'!$AX$28&lt;=BM$6),'Lease Cycles'!$C$28*'Lease Cycles'!$AY$28/12,IF(AND('Lease Cycles'!$AV$28&gt;=INDEX('Lease Cycles'!$BG$28:$BM$28,1,BM350),'Lease Cycles'!$AV$28&lt;=BM$6),'Lease Cycles'!$C$28*'Lease Cycles'!$AW$28/12,IF(AND('Lease Cycles'!$AT$28&gt;=INDEX('Lease Cycles'!$BG$28:$BM$28,1,BM350),'Lease Cycles'!$AT$28&lt;=BM$6),'Lease Cycles'!$C$28*'Lease Cycles'!$AU$28/12,'Lease Cycles'!$C$28*INDEX('Lease Cycles'!$CB$28:$CH$28,1,BM350)*(1+INDEX('Lease Cycles'!$CI$28:$CO$28,1,BM350))^INT(INT(BM351/12)/INDEX('Lease Cycles'!$CP$28:$CV$28,1,BM350))/12)))),'Lease Cycles'!$C$28*INDEX('Lease Cycles'!$CB$28:$CH$28,1,BM350)*(1+INDEX('Lease Cycles'!$CI$28:$CO$28,1,BM350))^INT(INT(BM351/12)/INDEX('Lease Cycles'!$CP$28:$CV$28,1,BM350))/12))),IF('Lease Cycles'!$N$28=1,'Lease Cycles'!$C$28*'Lease Cycles'!$E$28*INDEX('Lease Cycles'!$HE$28:$HK$28,1,BM350)*(1+INDEX('Lease Cycles'!$GQ$28:$GW$28,1,BM350))^INT(INT((BM$6-INDEX('Lease Cycles'!$GJ$28:$GP$28,1,BM350))/12)/INDEX('Lease Cycles'!$GX$28:$HD$28,1,BM350))/12,0)))</f>
        <v>0</v>
      </c>
      <c r="BN353" s="28">
        <f>IF(BN350=0,IF('Lease Cycles'!$F$28&gt;0,'Lease Cycles'!$C$28*'Lease Cycles'!$E$28/12,0),IF(BN352=1,IF('Lease Cycles'!$AT$28&gt;=9999,'Lease Cycles'!$C$28*INDEX('Lease Cycles'!$CB$28:$CH$28,1,BN350)*(1+INDEX('Lease Cycles'!$CI$28:$CO$28,1,BN350))^INT(INT(BN351/12)/INDEX('Lease Cycles'!$CP$28:$CV$28,1,BN350))/12,IF(BN350=1,IF(BN351&gt;=INDEX('Lease Cycles'!$DK$28:$DQ$28,1,BN350),IF(BN$6&gt;='Lease Cycles'!$AZ$28,'Lease Cycles'!$C$28*'Lease Cycles'!$BA$28/12,IF(BN$6&gt;='Lease Cycles'!$AX$28,'Lease Cycles'!$C$28*'Lease Cycles'!$AY$28/12,IF(BN$6&gt;='Lease Cycles'!$AV$28,'Lease Cycles'!$C$28*'Lease Cycles'!$AW$28/12,IF(BN$6&gt;='Lease Cycles'!$AT$28,'Lease Cycles'!$C$28*'Lease Cycles'!$AU$28/12,'Lease Cycles'!$C$28*INDEX('Lease Cycles'!$CB$28:$CH$28,1,BN350)*(1+INDEX('Lease Cycles'!$CI$28:$CO$28,1,BN350))^INT(INT(BN351/12)/INDEX('Lease Cycles'!$CP$28:$CV$28,1,BN350))/12)))),'Lease Cycles'!$C$28*INDEX('Lease Cycles'!$CB$28:$CH$28,1,BN350)*(1+INDEX('Lease Cycles'!$CI$28:$CO$28,1,BN350))^INT(INT(BN351/12)/INDEX('Lease Cycles'!$CP$28:$CV$28,1,BN350))/12),IF(INDEX('Lease Cycles'!$EF$28:$EL$28,1,BN350)=1,IF(AND('Lease Cycles'!$AZ$28&gt;=INDEX('Lease Cycles'!$BG$28:$BM$28,1,BN350),'Lease Cycles'!$AZ$28&lt;=BN$6),'Lease Cycles'!$C$28*'Lease Cycles'!$BA$28/12,IF(AND('Lease Cycles'!$AX$28&gt;=INDEX('Lease Cycles'!$BG$28:$BM$28,1,BN350),'Lease Cycles'!$AX$28&lt;=BN$6),'Lease Cycles'!$C$28*'Lease Cycles'!$AY$28/12,IF(AND('Lease Cycles'!$AV$28&gt;=INDEX('Lease Cycles'!$BG$28:$BM$28,1,BN350),'Lease Cycles'!$AV$28&lt;=BN$6),'Lease Cycles'!$C$28*'Lease Cycles'!$AW$28/12,IF(AND('Lease Cycles'!$AT$28&gt;=INDEX('Lease Cycles'!$BG$28:$BM$28,1,BN350),'Lease Cycles'!$AT$28&lt;=BN$6),'Lease Cycles'!$C$28*'Lease Cycles'!$AU$28/12,'Lease Cycles'!$C$28*INDEX('Lease Cycles'!$CB$28:$CH$28,1,BN350)*(1+INDEX('Lease Cycles'!$CI$28:$CO$28,1,BN350))^INT(INT(BN351/12)/INDEX('Lease Cycles'!$CP$28:$CV$28,1,BN350))/12)))),'Lease Cycles'!$C$28*INDEX('Lease Cycles'!$CB$28:$CH$28,1,BN350)*(1+INDEX('Lease Cycles'!$CI$28:$CO$28,1,BN350))^INT(INT(BN351/12)/INDEX('Lease Cycles'!$CP$28:$CV$28,1,BN350))/12))),IF('Lease Cycles'!$N$28=1,'Lease Cycles'!$C$28*'Lease Cycles'!$E$28*INDEX('Lease Cycles'!$HE$28:$HK$28,1,BN350)*(1+INDEX('Lease Cycles'!$GQ$28:$GW$28,1,BN350))^INT(INT((BN$6-INDEX('Lease Cycles'!$GJ$28:$GP$28,1,BN350))/12)/INDEX('Lease Cycles'!$GX$28:$HD$28,1,BN350))/12,0)))</f>
        <v>0</v>
      </c>
      <c r="BO353" s="28">
        <f>IF(BO350=0,IF('Lease Cycles'!$F$28&gt;0,'Lease Cycles'!$C$28*'Lease Cycles'!$E$28/12,0),IF(BO352=1,IF('Lease Cycles'!$AT$28&gt;=9999,'Lease Cycles'!$C$28*INDEX('Lease Cycles'!$CB$28:$CH$28,1,BO350)*(1+INDEX('Lease Cycles'!$CI$28:$CO$28,1,BO350))^INT(INT(BO351/12)/INDEX('Lease Cycles'!$CP$28:$CV$28,1,BO350))/12,IF(BO350=1,IF(BO351&gt;=INDEX('Lease Cycles'!$DK$28:$DQ$28,1,BO350),IF(BO$6&gt;='Lease Cycles'!$AZ$28,'Lease Cycles'!$C$28*'Lease Cycles'!$BA$28/12,IF(BO$6&gt;='Lease Cycles'!$AX$28,'Lease Cycles'!$C$28*'Lease Cycles'!$AY$28/12,IF(BO$6&gt;='Lease Cycles'!$AV$28,'Lease Cycles'!$C$28*'Lease Cycles'!$AW$28/12,IF(BO$6&gt;='Lease Cycles'!$AT$28,'Lease Cycles'!$C$28*'Lease Cycles'!$AU$28/12,'Lease Cycles'!$C$28*INDEX('Lease Cycles'!$CB$28:$CH$28,1,BO350)*(1+INDEX('Lease Cycles'!$CI$28:$CO$28,1,BO350))^INT(INT(BO351/12)/INDEX('Lease Cycles'!$CP$28:$CV$28,1,BO350))/12)))),'Lease Cycles'!$C$28*INDEX('Lease Cycles'!$CB$28:$CH$28,1,BO350)*(1+INDEX('Lease Cycles'!$CI$28:$CO$28,1,BO350))^INT(INT(BO351/12)/INDEX('Lease Cycles'!$CP$28:$CV$28,1,BO350))/12),IF(INDEX('Lease Cycles'!$EF$28:$EL$28,1,BO350)=1,IF(AND('Lease Cycles'!$AZ$28&gt;=INDEX('Lease Cycles'!$BG$28:$BM$28,1,BO350),'Lease Cycles'!$AZ$28&lt;=BO$6),'Lease Cycles'!$C$28*'Lease Cycles'!$BA$28/12,IF(AND('Lease Cycles'!$AX$28&gt;=INDEX('Lease Cycles'!$BG$28:$BM$28,1,BO350),'Lease Cycles'!$AX$28&lt;=BO$6),'Lease Cycles'!$C$28*'Lease Cycles'!$AY$28/12,IF(AND('Lease Cycles'!$AV$28&gt;=INDEX('Lease Cycles'!$BG$28:$BM$28,1,BO350),'Lease Cycles'!$AV$28&lt;=BO$6),'Lease Cycles'!$C$28*'Lease Cycles'!$AW$28/12,IF(AND('Lease Cycles'!$AT$28&gt;=INDEX('Lease Cycles'!$BG$28:$BM$28,1,BO350),'Lease Cycles'!$AT$28&lt;=BO$6),'Lease Cycles'!$C$28*'Lease Cycles'!$AU$28/12,'Lease Cycles'!$C$28*INDEX('Lease Cycles'!$CB$28:$CH$28,1,BO350)*(1+INDEX('Lease Cycles'!$CI$28:$CO$28,1,BO350))^INT(INT(BO351/12)/INDEX('Lease Cycles'!$CP$28:$CV$28,1,BO350))/12)))),'Lease Cycles'!$C$28*INDEX('Lease Cycles'!$CB$28:$CH$28,1,BO350)*(1+INDEX('Lease Cycles'!$CI$28:$CO$28,1,BO350))^INT(INT(BO351/12)/INDEX('Lease Cycles'!$CP$28:$CV$28,1,BO350))/12))),IF('Lease Cycles'!$N$28=1,'Lease Cycles'!$C$28*'Lease Cycles'!$E$28*INDEX('Lease Cycles'!$HE$28:$HK$28,1,BO350)*(1+INDEX('Lease Cycles'!$GQ$28:$GW$28,1,BO350))^INT(INT((BO$6-INDEX('Lease Cycles'!$GJ$28:$GP$28,1,BO350))/12)/INDEX('Lease Cycles'!$GX$28:$HD$28,1,BO350))/12,0)))</f>
        <v>0</v>
      </c>
      <c r="BP353" s="28">
        <f>IF(BP350=0,IF('Lease Cycles'!$F$28&gt;0,'Lease Cycles'!$C$28*'Lease Cycles'!$E$28/12,0),IF(BP352=1,IF('Lease Cycles'!$AT$28&gt;=9999,'Lease Cycles'!$C$28*INDEX('Lease Cycles'!$CB$28:$CH$28,1,BP350)*(1+INDEX('Lease Cycles'!$CI$28:$CO$28,1,BP350))^INT(INT(BP351/12)/INDEX('Lease Cycles'!$CP$28:$CV$28,1,BP350))/12,IF(BP350=1,IF(BP351&gt;=INDEX('Lease Cycles'!$DK$28:$DQ$28,1,BP350),IF(BP$6&gt;='Lease Cycles'!$AZ$28,'Lease Cycles'!$C$28*'Lease Cycles'!$BA$28/12,IF(BP$6&gt;='Lease Cycles'!$AX$28,'Lease Cycles'!$C$28*'Lease Cycles'!$AY$28/12,IF(BP$6&gt;='Lease Cycles'!$AV$28,'Lease Cycles'!$C$28*'Lease Cycles'!$AW$28/12,IF(BP$6&gt;='Lease Cycles'!$AT$28,'Lease Cycles'!$C$28*'Lease Cycles'!$AU$28/12,'Lease Cycles'!$C$28*INDEX('Lease Cycles'!$CB$28:$CH$28,1,BP350)*(1+INDEX('Lease Cycles'!$CI$28:$CO$28,1,BP350))^INT(INT(BP351/12)/INDEX('Lease Cycles'!$CP$28:$CV$28,1,BP350))/12)))),'Lease Cycles'!$C$28*INDEX('Lease Cycles'!$CB$28:$CH$28,1,BP350)*(1+INDEX('Lease Cycles'!$CI$28:$CO$28,1,BP350))^INT(INT(BP351/12)/INDEX('Lease Cycles'!$CP$28:$CV$28,1,BP350))/12),IF(INDEX('Lease Cycles'!$EF$28:$EL$28,1,BP350)=1,IF(AND('Lease Cycles'!$AZ$28&gt;=INDEX('Lease Cycles'!$BG$28:$BM$28,1,BP350),'Lease Cycles'!$AZ$28&lt;=BP$6),'Lease Cycles'!$C$28*'Lease Cycles'!$BA$28/12,IF(AND('Lease Cycles'!$AX$28&gt;=INDEX('Lease Cycles'!$BG$28:$BM$28,1,BP350),'Lease Cycles'!$AX$28&lt;=BP$6),'Lease Cycles'!$C$28*'Lease Cycles'!$AY$28/12,IF(AND('Lease Cycles'!$AV$28&gt;=INDEX('Lease Cycles'!$BG$28:$BM$28,1,BP350),'Lease Cycles'!$AV$28&lt;=BP$6),'Lease Cycles'!$C$28*'Lease Cycles'!$AW$28/12,IF(AND('Lease Cycles'!$AT$28&gt;=INDEX('Lease Cycles'!$BG$28:$BM$28,1,BP350),'Lease Cycles'!$AT$28&lt;=BP$6),'Lease Cycles'!$C$28*'Lease Cycles'!$AU$28/12,'Lease Cycles'!$C$28*INDEX('Lease Cycles'!$CB$28:$CH$28,1,BP350)*(1+INDEX('Lease Cycles'!$CI$28:$CO$28,1,BP350))^INT(INT(BP351/12)/INDEX('Lease Cycles'!$CP$28:$CV$28,1,BP350))/12)))),'Lease Cycles'!$C$28*INDEX('Lease Cycles'!$CB$28:$CH$28,1,BP350)*(1+INDEX('Lease Cycles'!$CI$28:$CO$28,1,BP350))^INT(INT(BP351/12)/INDEX('Lease Cycles'!$CP$28:$CV$28,1,BP350))/12))),IF('Lease Cycles'!$N$28=1,'Lease Cycles'!$C$28*'Lease Cycles'!$E$28*INDEX('Lease Cycles'!$HE$28:$HK$28,1,BP350)*(1+INDEX('Lease Cycles'!$GQ$28:$GW$28,1,BP350))^INT(INT((BP$6-INDEX('Lease Cycles'!$GJ$28:$GP$28,1,BP350))/12)/INDEX('Lease Cycles'!$GX$28:$HD$28,1,BP350))/12,0)))</f>
        <v>0</v>
      </c>
      <c r="BQ353" s="28">
        <f>IF(BQ350=0,IF('Lease Cycles'!$F$28&gt;0,'Lease Cycles'!$C$28*'Lease Cycles'!$E$28/12,0),IF(BQ352=1,IF('Lease Cycles'!$AT$28&gt;=9999,'Lease Cycles'!$C$28*INDEX('Lease Cycles'!$CB$28:$CH$28,1,BQ350)*(1+INDEX('Lease Cycles'!$CI$28:$CO$28,1,BQ350))^INT(INT(BQ351/12)/INDEX('Lease Cycles'!$CP$28:$CV$28,1,BQ350))/12,IF(BQ350=1,IF(BQ351&gt;=INDEX('Lease Cycles'!$DK$28:$DQ$28,1,BQ350),IF(BQ$6&gt;='Lease Cycles'!$AZ$28,'Lease Cycles'!$C$28*'Lease Cycles'!$BA$28/12,IF(BQ$6&gt;='Lease Cycles'!$AX$28,'Lease Cycles'!$C$28*'Lease Cycles'!$AY$28/12,IF(BQ$6&gt;='Lease Cycles'!$AV$28,'Lease Cycles'!$C$28*'Lease Cycles'!$AW$28/12,IF(BQ$6&gt;='Lease Cycles'!$AT$28,'Lease Cycles'!$C$28*'Lease Cycles'!$AU$28/12,'Lease Cycles'!$C$28*INDEX('Lease Cycles'!$CB$28:$CH$28,1,BQ350)*(1+INDEX('Lease Cycles'!$CI$28:$CO$28,1,BQ350))^INT(INT(BQ351/12)/INDEX('Lease Cycles'!$CP$28:$CV$28,1,BQ350))/12)))),'Lease Cycles'!$C$28*INDEX('Lease Cycles'!$CB$28:$CH$28,1,BQ350)*(1+INDEX('Lease Cycles'!$CI$28:$CO$28,1,BQ350))^INT(INT(BQ351/12)/INDEX('Lease Cycles'!$CP$28:$CV$28,1,BQ350))/12),IF(INDEX('Lease Cycles'!$EF$28:$EL$28,1,BQ350)=1,IF(AND('Lease Cycles'!$AZ$28&gt;=INDEX('Lease Cycles'!$BG$28:$BM$28,1,BQ350),'Lease Cycles'!$AZ$28&lt;=BQ$6),'Lease Cycles'!$C$28*'Lease Cycles'!$BA$28/12,IF(AND('Lease Cycles'!$AX$28&gt;=INDEX('Lease Cycles'!$BG$28:$BM$28,1,BQ350),'Lease Cycles'!$AX$28&lt;=BQ$6),'Lease Cycles'!$C$28*'Lease Cycles'!$AY$28/12,IF(AND('Lease Cycles'!$AV$28&gt;=INDEX('Lease Cycles'!$BG$28:$BM$28,1,BQ350),'Lease Cycles'!$AV$28&lt;=BQ$6),'Lease Cycles'!$C$28*'Lease Cycles'!$AW$28/12,IF(AND('Lease Cycles'!$AT$28&gt;=INDEX('Lease Cycles'!$BG$28:$BM$28,1,BQ350),'Lease Cycles'!$AT$28&lt;=BQ$6),'Lease Cycles'!$C$28*'Lease Cycles'!$AU$28/12,'Lease Cycles'!$C$28*INDEX('Lease Cycles'!$CB$28:$CH$28,1,BQ350)*(1+INDEX('Lease Cycles'!$CI$28:$CO$28,1,BQ350))^INT(INT(BQ351/12)/INDEX('Lease Cycles'!$CP$28:$CV$28,1,BQ350))/12)))),'Lease Cycles'!$C$28*INDEX('Lease Cycles'!$CB$28:$CH$28,1,BQ350)*(1+INDEX('Lease Cycles'!$CI$28:$CO$28,1,BQ350))^INT(INT(BQ351/12)/INDEX('Lease Cycles'!$CP$28:$CV$28,1,BQ350))/12))),IF('Lease Cycles'!$N$28=1,'Lease Cycles'!$C$28*'Lease Cycles'!$E$28*INDEX('Lease Cycles'!$HE$28:$HK$28,1,BQ350)*(1+INDEX('Lease Cycles'!$GQ$28:$GW$28,1,BQ350))^INT(INT((BQ$6-INDEX('Lease Cycles'!$GJ$28:$GP$28,1,BQ350))/12)/INDEX('Lease Cycles'!$GX$28:$HD$28,1,BQ350))/12,0)))</f>
        <v>0</v>
      </c>
      <c r="BR353" s="28">
        <f>IF(BR350=0,IF('Lease Cycles'!$F$28&gt;0,'Lease Cycles'!$C$28*'Lease Cycles'!$E$28/12,0),IF(BR352=1,IF('Lease Cycles'!$AT$28&gt;=9999,'Lease Cycles'!$C$28*INDEX('Lease Cycles'!$CB$28:$CH$28,1,BR350)*(1+INDEX('Lease Cycles'!$CI$28:$CO$28,1,BR350))^INT(INT(BR351/12)/INDEX('Lease Cycles'!$CP$28:$CV$28,1,BR350))/12,IF(BR350=1,IF(BR351&gt;=INDEX('Lease Cycles'!$DK$28:$DQ$28,1,BR350),IF(BR$6&gt;='Lease Cycles'!$AZ$28,'Lease Cycles'!$C$28*'Lease Cycles'!$BA$28/12,IF(BR$6&gt;='Lease Cycles'!$AX$28,'Lease Cycles'!$C$28*'Lease Cycles'!$AY$28/12,IF(BR$6&gt;='Lease Cycles'!$AV$28,'Lease Cycles'!$C$28*'Lease Cycles'!$AW$28/12,IF(BR$6&gt;='Lease Cycles'!$AT$28,'Lease Cycles'!$C$28*'Lease Cycles'!$AU$28/12,'Lease Cycles'!$C$28*INDEX('Lease Cycles'!$CB$28:$CH$28,1,BR350)*(1+INDEX('Lease Cycles'!$CI$28:$CO$28,1,BR350))^INT(INT(BR351/12)/INDEX('Lease Cycles'!$CP$28:$CV$28,1,BR350))/12)))),'Lease Cycles'!$C$28*INDEX('Lease Cycles'!$CB$28:$CH$28,1,BR350)*(1+INDEX('Lease Cycles'!$CI$28:$CO$28,1,BR350))^INT(INT(BR351/12)/INDEX('Lease Cycles'!$CP$28:$CV$28,1,BR350))/12),IF(INDEX('Lease Cycles'!$EF$28:$EL$28,1,BR350)=1,IF(AND('Lease Cycles'!$AZ$28&gt;=INDEX('Lease Cycles'!$BG$28:$BM$28,1,BR350),'Lease Cycles'!$AZ$28&lt;=BR$6),'Lease Cycles'!$C$28*'Lease Cycles'!$BA$28/12,IF(AND('Lease Cycles'!$AX$28&gt;=INDEX('Lease Cycles'!$BG$28:$BM$28,1,BR350),'Lease Cycles'!$AX$28&lt;=BR$6),'Lease Cycles'!$C$28*'Lease Cycles'!$AY$28/12,IF(AND('Lease Cycles'!$AV$28&gt;=INDEX('Lease Cycles'!$BG$28:$BM$28,1,BR350),'Lease Cycles'!$AV$28&lt;=BR$6),'Lease Cycles'!$C$28*'Lease Cycles'!$AW$28/12,IF(AND('Lease Cycles'!$AT$28&gt;=INDEX('Lease Cycles'!$BG$28:$BM$28,1,BR350),'Lease Cycles'!$AT$28&lt;=BR$6),'Lease Cycles'!$C$28*'Lease Cycles'!$AU$28/12,'Lease Cycles'!$C$28*INDEX('Lease Cycles'!$CB$28:$CH$28,1,BR350)*(1+INDEX('Lease Cycles'!$CI$28:$CO$28,1,BR350))^INT(INT(BR351/12)/INDEX('Lease Cycles'!$CP$28:$CV$28,1,BR350))/12)))),'Lease Cycles'!$C$28*INDEX('Lease Cycles'!$CB$28:$CH$28,1,BR350)*(1+INDEX('Lease Cycles'!$CI$28:$CO$28,1,BR350))^INT(INT(BR351/12)/INDEX('Lease Cycles'!$CP$28:$CV$28,1,BR350))/12))),IF('Lease Cycles'!$N$28=1,'Lease Cycles'!$C$28*'Lease Cycles'!$E$28*INDEX('Lease Cycles'!$HE$28:$HK$28,1,BR350)*(1+INDEX('Lease Cycles'!$GQ$28:$GW$28,1,BR350))^INT(INT((BR$6-INDEX('Lease Cycles'!$GJ$28:$GP$28,1,BR350))/12)/INDEX('Lease Cycles'!$GX$28:$HD$28,1,BR350))/12,0)))</f>
        <v>0</v>
      </c>
      <c r="BS353" s="28">
        <f>IF(BS350=0,IF('Lease Cycles'!$F$28&gt;0,'Lease Cycles'!$C$28*'Lease Cycles'!$E$28/12,0),IF(BS352=1,IF('Lease Cycles'!$AT$28&gt;=9999,'Lease Cycles'!$C$28*INDEX('Lease Cycles'!$CB$28:$CH$28,1,BS350)*(1+INDEX('Lease Cycles'!$CI$28:$CO$28,1,BS350))^INT(INT(BS351/12)/INDEX('Lease Cycles'!$CP$28:$CV$28,1,BS350))/12,IF(BS350=1,IF(BS351&gt;=INDEX('Lease Cycles'!$DK$28:$DQ$28,1,BS350),IF(BS$6&gt;='Lease Cycles'!$AZ$28,'Lease Cycles'!$C$28*'Lease Cycles'!$BA$28/12,IF(BS$6&gt;='Lease Cycles'!$AX$28,'Lease Cycles'!$C$28*'Lease Cycles'!$AY$28/12,IF(BS$6&gt;='Lease Cycles'!$AV$28,'Lease Cycles'!$C$28*'Lease Cycles'!$AW$28/12,IF(BS$6&gt;='Lease Cycles'!$AT$28,'Lease Cycles'!$C$28*'Lease Cycles'!$AU$28/12,'Lease Cycles'!$C$28*INDEX('Lease Cycles'!$CB$28:$CH$28,1,BS350)*(1+INDEX('Lease Cycles'!$CI$28:$CO$28,1,BS350))^INT(INT(BS351/12)/INDEX('Lease Cycles'!$CP$28:$CV$28,1,BS350))/12)))),'Lease Cycles'!$C$28*INDEX('Lease Cycles'!$CB$28:$CH$28,1,BS350)*(1+INDEX('Lease Cycles'!$CI$28:$CO$28,1,BS350))^INT(INT(BS351/12)/INDEX('Lease Cycles'!$CP$28:$CV$28,1,BS350))/12),IF(INDEX('Lease Cycles'!$EF$28:$EL$28,1,BS350)=1,IF(AND('Lease Cycles'!$AZ$28&gt;=INDEX('Lease Cycles'!$BG$28:$BM$28,1,BS350),'Lease Cycles'!$AZ$28&lt;=BS$6),'Lease Cycles'!$C$28*'Lease Cycles'!$BA$28/12,IF(AND('Lease Cycles'!$AX$28&gt;=INDEX('Lease Cycles'!$BG$28:$BM$28,1,BS350),'Lease Cycles'!$AX$28&lt;=BS$6),'Lease Cycles'!$C$28*'Lease Cycles'!$AY$28/12,IF(AND('Lease Cycles'!$AV$28&gt;=INDEX('Lease Cycles'!$BG$28:$BM$28,1,BS350),'Lease Cycles'!$AV$28&lt;=BS$6),'Lease Cycles'!$C$28*'Lease Cycles'!$AW$28/12,IF(AND('Lease Cycles'!$AT$28&gt;=INDEX('Lease Cycles'!$BG$28:$BM$28,1,BS350),'Lease Cycles'!$AT$28&lt;=BS$6),'Lease Cycles'!$C$28*'Lease Cycles'!$AU$28/12,'Lease Cycles'!$C$28*INDEX('Lease Cycles'!$CB$28:$CH$28,1,BS350)*(1+INDEX('Lease Cycles'!$CI$28:$CO$28,1,BS350))^INT(INT(BS351/12)/INDEX('Lease Cycles'!$CP$28:$CV$28,1,BS350))/12)))),'Lease Cycles'!$C$28*INDEX('Lease Cycles'!$CB$28:$CH$28,1,BS350)*(1+INDEX('Lease Cycles'!$CI$28:$CO$28,1,BS350))^INT(INT(BS351/12)/INDEX('Lease Cycles'!$CP$28:$CV$28,1,BS350))/12))),IF('Lease Cycles'!$N$28=1,'Lease Cycles'!$C$28*'Lease Cycles'!$E$28*INDEX('Lease Cycles'!$HE$28:$HK$28,1,BS350)*(1+INDEX('Lease Cycles'!$GQ$28:$GW$28,1,BS350))^INT(INT((BS$6-INDEX('Lease Cycles'!$GJ$28:$GP$28,1,BS350))/12)/INDEX('Lease Cycles'!$GX$28:$HD$28,1,BS350))/12,0)))</f>
        <v>0</v>
      </c>
      <c r="BT353" s="28">
        <f>IF(BT350=0,IF('Lease Cycles'!$F$28&gt;0,'Lease Cycles'!$C$28*'Lease Cycles'!$E$28/12,0),IF(BT352=1,IF('Lease Cycles'!$AT$28&gt;=9999,'Lease Cycles'!$C$28*INDEX('Lease Cycles'!$CB$28:$CH$28,1,BT350)*(1+INDEX('Lease Cycles'!$CI$28:$CO$28,1,BT350))^INT(INT(BT351/12)/INDEX('Lease Cycles'!$CP$28:$CV$28,1,BT350))/12,IF(BT350=1,IF(BT351&gt;=INDEX('Lease Cycles'!$DK$28:$DQ$28,1,BT350),IF(BT$6&gt;='Lease Cycles'!$AZ$28,'Lease Cycles'!$C$28*'Lease Cycles'!$BA$28/12,IF(BT$6&gt;='Lease Cycles'!$AX$28,'Lease Cycles'!$C$28*'Lease Cycles'!$AY$28/12,IF(BT$6&gt;='Lease Cycles'!$AV$28,'Lease Cycles'!$C$28*'Lease Cycles'!$AW$28/12,IF(BT$6&gt;='Lease Cycles'!$AT$28,'Lease Cycles'!$C$28*'Lease Cycles'!$AU$28/12,'Lease Cycles'!$C$28*INDEX('Lease Cycles'!$CB$28:$CH$28,1,BT350)*(1+INDEX('Lease Cycles'!$CI$28:$CO$28,1,BT350))^INT(INT(BT351/12)/INDEX('Lease Cycles'!$CP$28:$CV$28,1,BT350))/12)))),'Lease Cycles'!$C$28*INDEX('Lease Cycles'!$CB$28:$CH$28,1,BT350)*(1+INDEX('Lease Cycles'!$CI$28:$CO$28,1,BT350))^INT(INT(BT351/12)/INDEX('Lease Cycles'!$CP$28:$CV$28,1,BT350))/12),IF(INDEX('Lease Cycles'!$EF$28:$EL$28,1,BT350)=1,IF(AND('Lease Cycles'!$AZ$28&gt;=INDEX('Lease Cycles'!$BG$28:$BM$28,1,BT350),'Lease Cycles'!$AZ$28&lt;=BT$6),'Lease Cycles'!$C$28*'Lease Cycles'!$BA$28/12,IF(AND('Lease Cycles'!$AX$28&gt;=INDEX('Lease Cycles'!$BG$28:$BM$28,1,BT350),'Lease Cycles'!$AX$28&lt;=BT$6),'Lease Cycles'!$C$28*'Lease Cycles'!$AY$28/12,IF(AND('Lease Cycles'!$AV$28&gt;=INDEX('Lease Cycles'!$BG$28:$BM$28,1,BT350),'Lease Cycles'!$AV$28&lt;=BT$6),'Lease Cycles'!$C$28*'Lease Cycles'!$AW$28/12,IF(AND('Lease Cycles'!$AT$28&gt;=INDEX('Lease Cycles'!$BG$28:$BM$28,1,BT350),'Lease Cycles'!$AT$28&lt;=BT$6),'Lease Cycles'!$C$28*'Lease Cycles'!$AU$28/12,'Lease Cycles'!$C$28*INDEX('Lease Cycles'!$CB$28:$CH$28,1,BT350)*(1+INDEX('Lease Cycles'!$CI$28:$CO$28,1,BT350))^INT(INT(BT351/12)/INDEX('Lease Cycles'!$CP$28:$CV$28,1,BT350))/12)))),'Lease Cycles'!$C$28*INDEX('Lease Cycles'!$CB$28:$CH$28,1,BT350)*(1+INDEX('Lease Cycles'!$CI$28:$CO$28,1,BT350))^INT(INT(BT351/12)/INDEX('Lease Cycles'!$CP$28:$CV$28,1,BT350))/12))),IF('Lease Cycles'!$N$28=1,'Lease Cycles'!$C$28*'Lease Cycles'!$E$28*INDEX('Lease Cycles'!$HE$28:$HK$28,1,BT350)*(1+INDEX('Lease Cycles'!$GQ$28:$GW$28,1,BT350))^INT(INT((BT$6-INDEX('Lease Cycles'!$GJ$28:$GP$28,1,BT350))/12)/INDEX('Lease Cycles'!$GX$28:$HD$28,1,BT350))/12,0)))</f>
        <v>0</v>
      </c>
      <c r="BU353" s="28">
        <f>IF(BU350=0,IF('Lease Cycles'!$F$28&gt;0,'Lease Cycles'!$C$28*'Lease Cycles'!$E$28/12,0),IF(BU352=1,IF('Lease Cycles'!$AT$28&gt;=9999,'Lease Cycles'!$C$28*INDEX('Lease Cycles'!$CB$28:$CH$28,1,BU350)*(1+INDEX('Lease Cycles'!$CI$28:$CO$28,1,BU350))^INT(INT(BU351/12)/INDEX('Lease Cycles'!$CP$28:$CV$28,1,BU350))/12,IF(BU350=1,IF(BU351&gt;=INDEX('Lease Cycles'!$DK$28:$DQ$28,1,BU350),IF(BU$6&gt;='Lease Cycles'!$AZ$28,'Lease Cycles'!$C$28*'Lease Cycles'!$BA$28/12,IF(BU$6&gt;='Lease Cycles'!$AX$28,'Lease Cycles'!$C$28*'Lease Cycles'!$AY$28/12,IF(BU$6&gt;='Lease Cycles'!$AV$28,'Lease Cycles'!$C$28*'Lease Cycles'!$AW$28/12,IF(BU$6&gt;='Lease Cycles'!$AT$28,'Lease Cycles'!$C$28*'Lease Cycles'!$AU$28/12,'Lease Cycles'!$C$28*INDEX('Lease Cycles'!$CB$28:$CH$28,1,BU350)*(1+INDEX('Lease Cycles'!$CI$28:$CO$28,1,BU350))^INT(INT(BU351/12)/INDEX('Lease Cycles'!$CP$28:$CV$28,1,BU350))/12)))),'Lease Cycles'!$C$28*INDEX('Lease Cycles'!$CB$28:$CH$28,1,BU350)*(1+INDEX('Lease Cycles'!$CI$28:$CO$28,1,BU350))^INT(INT(BU351/12)/INDEX('Lease Cycles'!$CP$28:$CV$28,1,BU350))/12),IF(INDEX('Lease Cycles'!$EF$28:$EL$28,1,BU350)=1,IF(AND('Lease Cycles'!$AZ$28&gt;=INDEX('Lease Cycles'!$BG$28:$BM$28,1,BU350),'Lease Cycles'!$AZ$28&lt;=BU$6),'Lease Cycles'!$C$28*'Lease Cycles'!$BA$28/12,IF(AND('Lease Cycles'!$AX$28&gt;=INDEX('Lease Cycles'!$BG$28:$BM$28,1,BU350),'Lease Cycles'!$AX$28&lt;=BU$6),'Lease Cycles'!$C$28*'Lease Cycles'!$AY$28/12,IF(AND('Lease Cycles'!$AV$28&gt;=INDEX('Lease Cycles'!$BG$28:$BM$28,1,BU350),'Lease Cycles'!$AV$28&lt;=BU$6),'Lease Cycles'!$C$28*'Lease Cycles'!$AW$28/12,IF(AND('Lease Cycles'!$AT$28&gt;=INDEX('Lease Cycles'!$BG$28:$BM$28,1,BU350),'Lease Cycles'!$AT$28&lt;=BU$6),'Lease Cycles'!$C$28*'Lease Cycles'!$AU$28/12,'Lease Cycles'!$C$28*INDEX('Lease Cycles'!$CB$28:$CH$28,1,BU350)*(1+INDEX('Lease Cycles'!$CI$28:$CO$28,1,BU350))^INT(INT(BU351/12)/INDEX('Lease Cycles'!$CP$28:$CV$28,1,BU350))/12)))),'Lease Cycles'!$C$28*INDEX('Lease Cycles'!$CB$28:$CH$28,1,BU350)*(1+INDEX('Lease Cycles'!$CI$28:$CO$28,1,BU350))^INT(INT(BU351/12)/INDEX('Lease Cycles'!$CP$28:$CV$28,1,BU350))/12))),IF('Lease Cycles'!$N$28=1,'Lease Cycles'!$C$28*'Lease Cycles'!$E$28*INDEX('Lease Cycles'!$HE$28:$HK$28,1,BU350)*(1+INDEX('Lease Cycles'!$GQ$28:$GW$28,1,BU350))^INT(INT((BU$6-INDEX('Lease Cycles'!$GJ$28:$GP$28,1,BU350))/12)/INDEX('Lease Cycles'!$GX$28:$HD$28,1,BU350))/12,0)))</f>
        <v>0</v>
      </c>
      <c r="BV353" s="28">
        <f>IF(BV350=0,IF('Lease Cycles'!$F$28&gt;0,'Lease Cycles'!$C$28*'Lease Cycles'!$E$28/12,0),IF(BV352=1,IF('Lease Cycles'!$AT$28&gt;=9999,'Lease Cycles'!$C$28*INDEX('Lease Cycles'!$CB$28:$CH$28,1,BV350)*(1+INDEX('Lease Cycles'!$CI$28:$CO$28,1,BV350))^INT(INT(BV351/12)/INDEX('Lease Cycles'!$CP$28:$CV$28,1,BV350))/12,IF(BV350=1,IF(BV351&gt;=INDEX('Lease Cycles'!$DK$28:$DQ$28,1,BV350),IF(BV$6&gt;='Lease Cycles'!$AZ$28,'Lease Cycles'!$C$28*'Lease Cycles'!$BA$28/12,IF(BV$6&gt;='Lease Cycles'!$AX$28,'Lease Cycles'!$C$28*'Lease Cycles'!$AY$28/12,IF(BV$6&gt;='Lease Cycles'!$AV$28,'Lease Cycles'!$C$28*'Lease Cycles'!$AW$28/12,IF(BV$6&gt;='Lease Cycles'!$AT$28,'Lease Cycles'!$C$28*'Lease Cycles'!$AU$28/12,'Lease Cycles'!$C$28*INDEX('Lease Cycles'!$CB$28:$CH$28,1,BV350)*(1+INDEX('Lease Cycles'!$CI$28:$CO$28,1,BV350))^INT(INT(BV351/12)/INDEX('Lease Cycles'!$CP$28:$CV$28,1,BV350))/12)))),'Lease Cycles'!$C$28*INDEX('Lease Cycles'!$CB$28:$CH$28,1,BV350)*(1+INDEX('Lease Cycles'!$CI$28:$CO$28,1,BV350))^INT(INT(BV351/12)/INDEX('Lease Cycles'!$CP$28:$CV$28,1,BV350))/12),IF(INDEX('Lease Cycles'!$EF$28:$EL$28,1,BV350)=1,IF(AND('Lease Cycles'!$AZ$28&gt;=INDEX('Lease Cycles'!$BG$28:$BM$28,1,BV350),'Lease Cycles'!$AZ$28&lt;=BV$6),'Lease Cycles'!$C$28*'Lease Cycles'!$BA$28/12,IF(AND('Lease Cycles'!$AX$28&gt;=INDEX('Lease Cycles'!$BG$28:$BM$28,1,BV350),'Lease Cycles'!$AX$28&lt;=BV$6),'Lease Cycles'!$C$28*'Lease Cycles'!$AY$28/12,IF(AND('Lease Cycles'!$AV$28&gt;=INDEX('Lease Cycles'!$BG$28:$BM$28,1,BV350),'Lease Cycles'!$AV$28&lt;=BV$6),'Lease Cycles'!$C$28*'Lease Cycles'!$AW$28/12,IF(AND('Lease Cycles'!$AT$28&gt;=INDEX('Lease Cycles'!$BG$28:$BM$28,1,BV350),'Lease Cycles'!$AT$28&lt;=BV$6),'Lease Cycles'!$C$28*'Lease Cycles'!$AU$28/12,'Lease Cycles'!$C$28*INDEX('Lease Cycles'!$CB$28:$CH$28,1,BV350)*(1+INDEX('Lease Cycles'!$CI$28:$CO$28,1,BV350))^INT(INT(BV351/12)/INDEX('Lease Cycles'!$CP$28:$CV$28,1,BV350))/12)))),'Lease Cycles'!$C$28*INDEX('Lease Cycles'!$CB$28:$CH$28,1,BV350)*(1+INDEX('Lease Cycles'!$CI$28:$CO$28,1,BV350))^INT(INT(BV351/12)/INDEX('Lease Cycles'!$CP$28:$CV$28,1,BV350))/12))),IF('Lease Cycles'!$N$28=1,'Lease Cycles'!$C$28*'Lease Cycles'!$E$28*INDEX('Lease Cycles'!$HE$28:$HK$28,1,BV350)*(1+INDEX('Lease Cycles'!$GQ$28:$GW$28,1,BV350))^INT(INT((BV$6-INDEX('Lease Cycles'!$GJ$28:$GP$28,1,BV350))/12)/INDEX('Lease Cycles'!$GX$28:$HD$28,1,BV350))/12,0)))</f>
        <v>0</v>
      </c>
      <c r="BW353" s="28">
        <f>IF(BW350=0,IF('Lease Cycles'!$F$28&gt;0,'Lease Cycles'!$C$28*'Lease Cycles'!$E$28/12,0),IF(BW352=1,IF('Lease Cycles'!$AT$28&gt;=9999,'Lease Cycles'!$C$28*INDEX('Lease Cycles'!$CB$28:$CH$28,1,BW350)*(1+INDEX('Lease Cycles'!$CI$28:$CO$28,1,BW350))^INT(INT(BW351/12)/INDEX('Lease Cycles'!$CP$28:$CV$28,1,BW350))/12,IF(BW350=1,IF(BW351&gt;=INDEX('Lease Cycles'!$DK$28:$DQ$28,1,BW350),IF(BW$6&gt;='Lease Cycles'!$AZ$28,'Lease Cycles'!$C$28*'Lease Cycles'!$BA$28/12,IF(BW$6&gt;='Lease Cycles'!$AX$28,'Lease Cycles'!$C$28*'Lease Cycles'!$AY$28/12,IF(BW$6&gt;='Lease Cycles'!$AV$28,'Lease Cycles'!$C$28*'Lease Cycles'!$AW$28/12,IF(BW$6&gt;='Lease Cycles'!$AT$28,'Lease Cycles'!$C$28*'Lease Cycles'!$AU$28/12,'Lease Cycles'!$C$28*INDEX('Lease Cycles'!$CB$28:$CH$28,1,BW350)*(1+INDEX('Lease Cycles'!$CI$28:$CO$28,1,BW350))^INT(INT(BW351/12)/INDEX('Lease Cycles'!$CP$28:$CV$28,1,BW350))/12)))),'Lease Cycles'!$C$28*INDEX('Lease Cycles'!$CB$28:$CH$28,1,BW350)*(1+INDEX('Lease Cycles'!$CI$28:$CO$28,1,BW350))^INT(INT(BW351/12)/INDEX('Lease Cycles'!$CP$28:$CV$28,1,BW350))/12),IF(INDEX('Lease Cycles'!$EF$28:$EL$28,1,BW350)=1,IF(AND('Lease Cycles'!$AZ$28&gt;=INDEX('Lease Cycles'!$BG$28:$BM$28,1,BW350),'Lease Cycles'!$AZ$28&lt;=BW$6),'Lease Cycles'!$C$28*'Lease Cycles'!$BA$28/12,IF(AND('Lease Cycles'!$AX$28&gt;=INDEX('Lease Cycles'!$BG$28:$BM$28,1,BW350),'Lease Cycles'!$AX$28&lt;=BW$6),'Lease Cycles'!$C$28*'Lease Cycles'!$AY$28/12,IF(AND('Lease Cycles'!$AV$28&gt;=INDEX('Lease Cycles'!$BG$28:$BM$28,1,BW350),'Lease Cycles'!$AV$28&lt;=BW$6),'Lease Cycles'!$C$28*'Lease Cycles'!$AW$28/12,IF(AND('Lease Cycles'!$AT$28&gt;=INDEX('Lease Cycles'!$BG$28:$BM$28,1,BW350),'Lease Cycles'!$AT$28&lt;=BW$6),'Lease Cycles'!$C$28*'Lease Cycles'!$AU$28/12,'Lease Cycles'!$C$28*INDEX('Lease Cycles'!$CB$28:$CH$28,1,BW350)*(1+INDEX('Lease Cycles'!$CI$28:$CO$28,1,BW350))^INT(INT(BW351/12)/INDEX('Lease Cycles'!$CP$28:$CV$28,1,BW350))/12)))),'Lease Cycles'!$C$28*INDEX('Lease Cycles'!$CB$28:$CH$28,1,BW350)*(1+INDEX('Lease Cycles'!$CI$28:$CO$28,1,BW350))^INT(INT(BW351/12)/INDEX('Lease Cycles'!$CP$28:$CV$28,1,BW350))/12))),IF('Lease Cycles'!$N$28=1,'Lease Cycles'!$C$28*'Lease Cycles'!$E$28*INDEX('Lease Cycles'!$HE$28:$HK$28,1,BW350)*(1+INDEX('Lease Cycles'!$GQ$28:$GW$28,1,BW350))^INT(INT((BW$6-INDEX('Lease Cycles'!$GJ$28:$GP$28,1,BW350))/12)/INDEX('Lease Cycles'!$GX$28:$HD$28,1,BW350))/12,0)))</f>
        <v>0</v>
      </c>
      <c r="BX353" s="28">
        <f>IF(BX350=0,IF('Lease Cycles'!$F$28&gt;0,'Lease Cycles'!$C$28*'Lease Cycles'!$E$28/12,0),IF(BX352=1,IF('Lease Cycles'!$AT$28&gt;=9999,'Lease Cycles'!$C$28*INDEX('Lease Cycles'!$CB$28:$CH$28,1,BX350)*(1+INDEX('Lease Cycles'!$CI$28:$CO$28,1,BX350))^INT(INT(BX351/12)/INDEX('Lease Cycles'!$CP$28:$CV$28,1,BX350))/12,IF(BX350=1,IF(BX351&gt;=INDEX('Lease Cycles'!$DK$28:$DQ$28,1,BX350),IF(BX$6&gt;='Lease Cycles'!$AZ$28,'Lease Cycles'!$C$28*'Lease Cycles'!$BA$28/12,IF(BX$6&gt;='Lease Cycles'!$AX$28,'Lease Cycles'!$C$28*'Lease Cycles'!$AY$28/12,IF(BX$6&gt;='Lease Cycles'!$AV$28,'Lease Cycles'!$C$28*'Lease Cycles'!$AW$28/12,IF(BX$6&gt;='Lease Cycles'!$AT$28,'Lease Cycles'!$C$28*'Lease Cycles'!$AU$28/12,'Lease Cycles'!$C$28*INDEX('Lease Cycles'!$CB$28:$CH$28,1,BX350)*(1+INDEX('Lease Cycles'!$CI$28:$CO$28,1,BX350))^INT(INT(BX351/12)/INDEX('Lease Cycles'!$CP$28:$CV$28,1,BX350))/12)))),'Lease Cycles'!$C$28*INDEX('Lease Cycles'!$CB$28:$CH$28,1,BX350)*(1+INDEX('Lease Cycles'!$CI$28:$CO$28,1,BX350))^INT(INT(BX351/12)/INDEX('Lease Cycles'!$CP$28:$CV$28,1,BX350))/12),IF(INDEX('Lease Cycles'!$EF$28:$EL$28,1,BX350)=1,IF(AND('Lease Cycles'!$AZ$28&gt;=INDEX('Lease Cycles'!$BG$28:$BM$28,1,BX350),'Lease Cycles'!$AZ$28&lt;=BX$6),'Lease Cycles'!$C$28*'Lease Cycles'!$BA$28/12,IF(AND('Lease Cycles'!$AX$28&gt;=INDEX('Lease Cycles'!$BG$28:$BM$28,1,BX350),'Lease Cycles'!$AX$28&lt;=BX$6),'Lease Cycles'!$C$28*'Lease Cycles'!$AY$28/12,IF(AND('Lease Cycles'!$AV$28&gt;=INDEX('Lease Cycles'!$BG$28:$BM$28,1,BX350),'Lease Cycles'!$AV$28&lt;=BX$6),'Lease Cycles'!$C$28*'Lease Cycles'!$AW$28/12,IF(AND('Lease Cycles'!$AT$28&gt;=INDEX('Lease Cycles'!$BG$28:$BM$28,1,BX350),'Lease Cycles'!$AT$28&lt;=BX$6),'Lease Cycles'!$C$28*'Lease Cycles'!$AU$28/12,'Lease Cycles'!$C$28*INDEX('Lease Cycles'!$CB$28:$CH$28,1,BX350)*(1+INDEX('Lease Cycles'!$CI$28:$CO$28,1,BX350))^INT(INT(BX351/12)/INDEX('Lease Cycles'!$CP$28:$CV$28,1,BX350))/12)))),'Lease Cycles'!$C$28*INDEX('Lease Cycles'!$CB$28:$CH$28,1,BX350)*(1+INDEX('Lease Cycles'!$CI$28:$CO$28,1,BX350))^INT(INT(BX351/12)/INDEX('Lease Cycles'!$CP$28:$CV$28,1,BX350))/12))),IF('Lease Cycles'!$N$28=1,'Lease Cycles'!$C$28*'Lease Cycles'!$E$28*INDEX('Lease Cycles'!$HE$28:$HK$28,1,BX350)*(1+INDEX('Lease Cycles'!$GQ$28:$GW$28,1,BX350))^INT(INT((BX$6-INDEX('Lease Cycles'!$GJ$28:$GP$28,1,BX350))/12)/INDEX('Lease Cycles'!$GX$28:$HD$28,1,BX350))/12,0)))</f>
        <v>0</v>
      </c>
      <c r="BY353" s="28">
        <f>IF(BY350=0,IF('Lease Cycles'!$F$28&gt;0,'Lease Cycles'!$C$28*'Lease Cycles'!$E$28/12,0),IF(BY352=1,IF('Lease Cycles'!$AT$28&gt;=9999,'Lease Cycles'!$C$28*INDEX('Lease Cycles'!$CB$28:$CH$28,1,BY350)*(1+INDEX('Lease Cycles'!$CI$28:$CO$28,1,BY350))^INT(INT(BY351/12)/INDEX('Lease Cycles'!$CP$28:$CV$28,1,BY350))/12,IF(BY350=1,IF(BY351&gt;=INDEX('Lease Cycles'!$DK$28:$DQ$28,1,BY350),IF(BY$6&gt;='Lease Cycles'!$AZ$28,'Lease Cycles'!$C$28*'Lease Cycles'!$BA$28/12,IF(BY$6&gt;='Lease Cycles'!$AX$28,'Lease Cycles'!$C$28*'Lease Cycles'!$AY$28/12,IF(BY$6&gt;='Lease Cycles'!$AV$28,'Lease Cycles'!$C$28*'Lease Cycles'!$AW$28/12,IF(BY$6&gt;='Lease Cycles'!$AT$28,'Lease Cycles'!$C$28*'Lease Cycles'!$AU$28/12,'Lease Cycles'!$C$28*INDEX('Lease Cycles'!$CB$28:$CH$28,1,BY350)*(1+INDEX('Lease Cycles'!$CI$28:$CO$28,1,BY350))^INT(INT(BY351/12)/INDEX('Lease Cycles'!$CP$28:$CV$28,1,BY350))/12)))),'Lease Cycles'!$C$28*INDEX('Lease Cycles'!$CB$28:$CH$28,1,BY350)*(1+INDEX('Lease Cycles'!$CI$28:$CO$28,1,BY350))^INT(INT(BY351/12)/INDEX('Lease Cycles'!$CP$28:$CV$28,1,BY350))/12),IF(INDEX('Lease Cycles'!$EF$28:$EL$28,1,BY350)=1,IF(AND('Lease Cycles'!$AZ$28&gt;=INDEX('Lease Cycles'!$BG$28:$BM$28,1,BY350),'Lease Cycles'!$AZ$28&lt;=BY$6),'Lease Cycles'!$C$28*'Lease Cycles'!$BA$28/12,IF(AND('Lease Cycles'!$AX$28&gt;=INDEX('Lease Cycles'!$BG$28:$BM$28,1,BY350),'Lease Cycles'!$AX$28&lt;=BY$6),'Lease Cycles'!$C$28*'Lease Cycles'!$AY$28/12,IF(AND('Lease Cycles'!$AV$28&gt;=INDEX('Lease Cycles'!$BG$28:$BM$28,1,BY350),'Lease Cycles'!$AV$28&lt;=BY$6),'Lease Cycles'!$C$28*'Lease Cycles'!$AW$28/12,IF(AND('Lease Cycles'!$AT$28&gt;=INDEX('Lease Cycles'!$BG$28:$BM$28,1,BY350),'Lease Cycles'!$AT$28&lt;=BY$6),'Lease Cycles'!$C$28*'Lease Cycles'!$AU$28/12,'Lease Cycles'!$C$28*INDEX('Lease Cycles'!$CB$28:$CH$28,1,BY350)*(1+INDEX('Lease Cycles'!$CI$28:$CO$28,1,BY350))^INT(INT(BY351/12)/INDEX('Lease Cycles'!$CP$28:$CV$28,1,BY350))/12)))),'Lease Cycles'!$C$28*INDEX('Lease Cycles'!$CB$28:$CH$28,1,BY350)*(1+INDEX('Lease Cycles'!$CI$28:$CO$28,1,BY350))^INT(INT(BY351/12)/INDEX('Lease Cycles'!$CP$28:$CV$28,1,BY350))/12))),IF('Lease Cycles'!$N$28=1,'Lease Cycles'!$C$28*'Lease Cycles'!$E$28*INDEX('Lease Cycles'!$HE$28:$HK$28,1,BY350)*(1+INDEX('Lease Cycles'!$GQ$28:$GW$28,1,BY350))^INT(INT((BY$6-INDEX('Lease Cycles'!$GJ$28:$GP$28,1,BY350))/12)/INDEX('Lease Cycles'!$GX$28:$HD$28,1,BY350))/12,0)))</f>
        <v>0</v>
      </c>
      <c r="BZ353" s="28">
        <f>IF(BZ350=0,IF('Lease Cycles'!$F$28&gt;0,'Lease Cycles'!$C$28*'Lease Cycles'!$E$28/12,0),IF(BZ352=1,IF('Lease Cycles'!$AT$28&gt;=9999,'Lease Cycles'!$C$28*INDEX('Lease Cycles'!$CB$28:$CH$28,1,BZ350)*(1+INDEX('Lease Cycles'!$CI$28:$CO$28,1,BZ350))^INT(INT(BZ351/12)/INDEX('Lease Cycles'!$CP$28:$CV$28,1,BZ350))/12,IF(BZ350=1,IF(BZ351&gt;=INDEX('Lease Cycles'!$DK$28:$DQ$28,1,BZ350),IF(BZ$6&gt;='Lease Cycles'!$AZ$28,'Lease Cycles'!$C$28*'Lease Cycles'!$BA$28/12,IF(BZ$6&gt;='Lease Cycles'!$AX$28,'Lease Cycles'!$C$28*'Lease Cycles'!$AY$28/12,IF(BZ$6&gt;='Lease Cycles'!$AV$28,'Lease Cycles'!$C$28*'Lease Cycles'!$AW$28/12,IF(BZ$6&gt;='Lease Cycles'!$AT$28,'Lease Cycles'!$C$28*'Lease Cycles'!$AU$28/12,'Lease Cycles'!$C$28*INDEX('Lease Cycles'!$CB$28:$CH$28,1,BZ350)*(1+INDEX('Lease Cycles'!$CI$28:$CO$28,1,BZ350))^INT(INT(BZ351/12)/INDEX('Lease Cycles'!$CP$28:$CV$28,1,BZ350))/12)))),'Lease Cycles'!$C$28*INDEX('Lease Cycles'!$CB$28:$CH$28,1,BZ350)*(1+INDEX('Lease Cycles'!$CI$28:$CO$28,1,BZ350))^INT(INT(BZ351/12)/INDEX('Lease Cycles'!$CP$28:$CV$28,1,BZ350))/12),IF(INDEX('Lease Cycles'!$EF$28:$EL$28,1,BZ350)=1,IF(AND('Lease Cycles'!$AZ$28&gt;=INDEX('Lease Cycles'!$BG$28:$BM$28,1,BZ350),'Lease Cycles'!$AZ$28&lt;=BZ$6),'Lease Cycles'!$C$28*'Lease Cycles'!$BA$28/12,IF(AND('Lease Cycles'!$AX$28&gt;=INDEX('Lease Cycles'!$BG$28:$BM$28,1,BZ350),'Lease Cycles'!$AX$28&lt;=BZ$6),'Lease Cycles'!$C$28*'Lease Cycles'!$AY$28/12,IF(AND('Lease Cycles'!$AV$28&gt;=INDEX('Lease Cycles'!$BG$28:$BM$28,1,BZ350),'Lease Cycles'!$AV$28&lt;=BZ$6),'Lease Cycles'!$C$28*'Lease Cycles'!$AW$28/12,IF(AND('Lease Cycles'!$AT$28&gt;=INDEX('Lease Cycles'!$BG$28:$BM$28,1,BZ350),'Lease Cycles'!$AT$28&lt;=BZ$6),'Lease Cycles'!$C$28*'Lease Cycles'!$AU$28/12,'Lease Cycles'!$C$28*INDEX('Lease Cycles'!$CB$28:$CH$28,1,BZ350)*(1+INDEX('Lease Cycles'!$CI$28:$CO$28,1,BZ350))^INT(INT(BZ351/12)/INDEX('Lease Cycles'!$CP$28:$CV$28,1,BZ350))/12)))),'Lease Cycles'!$C$28*INDEX('Lease Cycles'!$CB$28:$CH$28,1,BZ350)*(1+INDEX('Lease Cycles'!$CI$28:$CO$28,1,BZ350))^INT(INT(BZ351/12)/INDEX('Lease Cycles'!$CP$28:$CV$28,1,BZ350))/12))),IF('Lease Cycles'!$N$28=1,'Lease Cycles'!$C$28*'Lease Cycles'!$E$28*INDEX('Lease Cycles'!$HE$28:$HK$28,1,BZ350)*(1+INDEX('Lease Cycles'!$GQ$28:$GW$28,1,BZ350))^INT(INT((BZ$6-INDEX('Lease Cycles'!$GJ$28:$GP$28,1,BZ350))/12)/INDEX('Lease Cycles'!$GX$28:$HD$28,1,BZ350))/12,0)))</f>
        <v>0</v>
      </c>
      <c r="CA353" s="28">
        <f>IF(CA350=0,IF('Lease Cycles'!$F$28&gt;0,'Lease Cycles'!$C$28*'Lease Cycles'!$E$28/12,0),IF(CA352=1,IF('Lease Cycles'!$AT$28&gt;=9999,'Lease Cycles'!$C$28*INDEX('Lease Cycles'!$CB$28:$CH$28,1,CA350)*(1+INDEX('Lease Cycles'!$CI$28:$CO$28,1,CA350))^INT(INT(CA351/12)/INDEX('Lease Cycles'!$CP$28:$CV$28,1,CA350))/12,IF(CA350=1,IF(CA351&gt;=INDEX('Lease Cycles'!$DK$28:$DQ$28,1,CA350),IF(CA$6&gt;='Lease Cycles'!$AZ$28,'Lease Cycles'!$C$28*'Lease Cycles'!$BA$28/12,IF(CA$6&gt;='Lease Cycles'!$AX$28,'Lease Cycles'!$C$28*'Lease Cycles'!$AY$28/12,IF(CA$6&gt;='Lease Cycles'!$AV$28,'Lease Cycles'!$C$28*'Lease Cycles'!$AW$28/12,IF(CA$6&gt;='Lease Cycles'!$AT$28,'Lease Cycles'!$C$28*'Lease Cycles'!$AU$28/12,'Lease Cycles'!$C$28*INDEX('Lease Cycles'!$CB$28:$CH$28,1,CA350)*(1+INDEX('Lease Cycles'!$CI$28:$CO$28,1,CA350))^INT(INT(CA351/12)/INDEX('Lease Cycles'!$CP$28:$CV$28,1,CA350))/12)))),'Lease Cycles'!$C$28*INDEX('Lease Cycles'!$CB$28:$CH$28,1,CA350)*(1+INDEX('Lease Cycles'!$CI$28:$CO$28,1,CA350))^INT(INT(CA351/12)/INDEX('Lease Cycles'!$CP$28:$CV$28,1,CA350))/12),IF(INDEX('Lease Cycles'!$EF$28:$EL$28,1,CA350)=1,IF(AND('Lease Cycles'!$AZ$28&gt;=INDEX('Lease Cycles'!$BG$28:$BM$28,1,CA350),'Lease Cycles'!$AZ$28&lt;=CA$6),'Lease Cycles'!$C$28*'Lease Cycles'!$BA$28/12,IF(AND('Lease Cycles'!$AX$28&gt;=INDEX('Lease Cycles'!$BG$28:$BM$28,1,CA350),'Lease Cycles'!$AX$28&lt;=CA$6),'Lease Cycles'!$C$28*'Lease Cycles'!$AY$28/12,IF(AND('Lease Cycles'!$AV$28&gt;=INDEX('Lease Cycles'!$BG$28:$BM$28,1,CA350),'Lease Cycles'!$AV$28&lt;=CA$6),'Lease Cycles'!$C$28*'Lease Cycles'!$AW$28/12,IF(AND('Lease Cycles'!$AT$28&gt;=INDEX('Lease Cycles'!$BG$28:$BM$28,1,CA350),'Lease Cycles'!$AT$28&lt;=CA$6),'Lease Cycles'!$C$28*'Lease Cycles'!$AU$28/12,'Lease Cycles'!$C$28*INDEX('Lease Cycles'!$CB$28:$CH$28,1,CA350)*(1+INDEX('Lease Cycles'!$CI$28:$CO$28,1,CA350))^INT(INT(CA351/12)/INDEX('Lease Cycles'!$CP$28:$CV$28,1,CA350))/12)))),'Lease Cycles'!$C$28*INDEX('Lease Cycles'!$CB$28:$CH$28,1,CA350)*(1+INDEX('Lease Cycles'!$CI$28:$CO$28,1,CA350))^INT(INT(CA351/12)/INDEX('Lease Cycles'!$CP$28:$CV$28,1,CA350))/12))),IF('Lease Cycles'!$N$28=1,'Lease Cycles'!$C$28*'Lease Cycles'!$E$28*INDEX('Lease Cycles'!$HE$28:$HK$28,1,CA350)*(1+INDEX('Lease Cycles'!$GQ$28:$GW$28,1,CA350))^INT(INT((CA$6-INDEX('Lease Cycles'!$GJ$28:$GP$28,1,CA350))/12)/INDEX('Lease Cycles'!$GX$28:$HD$28,1,CA350))/12,0)))</f>
        <v>0</v>
      </c>
      <c r="CB353" s="28">
        <f>IF(CB350=0,IF('Lease Cycles'!$F$28&gt;0,'Lease Cycles'!$C$28*'Lease Cycles'!$E$28/12,0),IF(CB352=1,IF('Lease Cycles'!$AT$28&gt;=9999,'Lease Cycles'!$C$28*INDEX('Lease Cycles'!$CB$28:$CH$28,1,CB350)*(1+INDEX('Lease Cycles'!$CI$28:$CO$28,1,CB350))^INT(INT(CB351/12)/INDEX('Lease Cycles'!$CP$28:$CV$28,1,CB350))/12,IF(CB350=1,IF(CB351&gt;=INDEX('Lease Cycles'!$DK$28:$DQ$28,1,CB350),IF(CB$6&gt;='Lease Cycles'!$AZ$28,'Lease Cycles'!$C$28*'Lease Cycles'!$BA$28/12,IF(CB$6&gt;='Lease Cycles'!$AX$28,'Lease Cycles'!$C$28*'Lease Cycles'!$AY$28/12,IF(CB$6&gt;='Lease Cycles'!$AV$28,'Lease Cycles'!$C$28*'Lease Cycles'!$AW$28/12,IF(CB$6&gt;='Lease Cycles'!$AT$28,'Lease Cycles'!$C$28*'Lease Cycles'!$AU$28/12,'Lease Cycles'!$C$28*INDEX('Lease Cycles'!$CB$28:$CH$28,1,CB350)*(1+INDEX('Lease Cycles'!$CI$28:$CO$28,1,CB350))^INT(INT(CB351/12)/INDEX('Lease Cycles'!$CP$28:$CV$28,1,CB350))/12)))),'Lease Cycles'!$C$28*INDEX('Lease Cycles'!$CB$28:$CH$28,1,CB350)*(1+INDEX('Lease Cycles'!$CI$28:$CO$28,1,CB350))^INT(INT(CB351/12)/INDEX('Lease Cycles'!$CP$28:$CV$28,1,CB350))/12),IF(INDEX('Lease Cycles'!$EF$28:$EL$28,1,CB350)=1,IF(AND('Lease Cycles'!$AZ$28&gt;=INDEX('Lease Cycles'!$BG$28:$BM$28,1,CB350),'Lease Cycles'!$AZ$28&lt;=CB$6),'Lease Cycles'!$C$28*'Lease Cycles'!$BA$28/12,IF(AND('Lease Cycles'!$AX$28&gt;=INDEX('Lease Cycles'!$BG$28:$BM$28,1,CB350),'Lease Cycles'!$AX$28&lt;=CB$6),'Lease Cycles'!$C$28*'Lease Cycles'!$AY$28/12,IF(AND('Lease Cycles'!$AV$28&gt;=INDEX('Lease Cycles'!$BG$28:$BM$28,1,CB350),'Lease Cycles'!$AV$28&lt;=CB$6),'Lease Cycles'!$C$28*'Lease Cycles'!$AW$28/12,IF(AND('Lease Cycles'!$AT$28&gt;=INDEX('Lease Cycles'!$BG$28:$BM$28,1,CB350),'Lease Cycles'!$AT$28&lt;=CB$6),'Lease Cycles'!$C$28*'Lease Cycles'!$AU$28/12,'Lease Cycles'!$C$28*INDEX('Lease Cycles'!$CB$28:$CH$28,1,CB350)*(1+INDEX('Lease Cycles'!$CI$28:$CO$28,1,CB350))^INT(INT(CB351/12)/INDEX('Lease Cycles'!$CP$28:$CV$28,1,CB350))/12)))),'Lease Cycles'!$C$28*INDEX('Lease Cycles'!$CB$28:$CH$28,1,CB350)*(1+INDEX('Lease Cycles'!$CI$28:$CO$28,1,CB350))^INT(INT(CB351/12)/INDEX('Lease Cycles'!$CP$28:$CV$28,1,CB350))/12))),IF('Lease Cycles'!$N$28=1,'Lease Cycles'!$C$28*'Lease Cycles'!$E$28*INDEX('Lease Cycles'!$HE$28:$HK$28,1,CB350)*(1+INDEX('Lease Cycles'!$GQ$28:$GW$28,1,CB350))^INT(INT((CB$6-INDEX('Lease Cycles'!$GJ$28:$GP$28,1,CB350))/12)/INDEX('Lease Cycles'!$GX$28:$HD$28,1,CB350))/12,0)))</f>
        <v>0</v>
      </c>
      <c r="CC353" s="28">
        <f>IF(CC350=0,IF('Lease Cycles'!$F$28&gt;0,'Lease Cycles'!$C$28*'Lease Cycles'!$E$28/12,0),IF(CC352=1,IF('Lease Cycles'!$AT$28&gt;=9999,'Lease Cycles'!$C$28*INDEX('Lease Cycles'!$CB$28:$CH$28,1,CC350)*(1+INDEX('Lease Cycles'!$CI$28:$CO$28,1,CC350))^INT(INT(CC351/12)/INDEX('Lease Cycles'!$CP$28:$CV$28,1,CC350))/12,IF(CC350=1,IF(CC351&gt;=INDEX('Lease Cycles'!$DK$28:$DQ$28,1,CC350),IF(CC$6&gt;='Lease Cycles'!$AZ$28,'Lease Cycles'!$C$28*'Lease Cycles'!$BA$28/12,IF(CC$6&gt;='Lease Cycles'!$AX$28,'Lease Cycles'!$C$28*'Lease Cycles'!$AY$28/12,IF(CC$6&gt;='Lease Cycles'!$AV$28,'Lease Cycles'!$C$28*'Lease Cycles'!$AW$28/12,IF(CC$6&gt;='Lease Cycles'!$AT$28,'Lease Cycles'!$C$28*'Lease Cycles'!$AU$28/12,'Lease Cycles'!$C$28*INDEX('Lease Cycles'!$CB$28:$CH$28,1,CC350)*(1+INDEX('Lease Cycles'!$CI$28:$CO$28,1,CC350))^INT(INT(CC351/12)/INDEX('Lease Cycles'!$CP$28:$CV$28,1,CC350))/12)))),'Lease Cycles'!$C$28*INDEX('Lease Cycles'!$CB$28:$CH$28,1,CC350)*(1+INDEX('Lease Cycles'!$CI$28:$CO$28,1,CC350))^INT(INT(CC351/12)/INDEX('Lease Cycles'!$CP$28:$CV$28,1,CC350))/12),IF(INDEX('Lease Cycles'!$EF$28:$EL$28,1,CC350)=1,IF(AND('Lease Cycles'!$AZ$28&gt;=INDEX('Lease Cycles'!$BG$28:$BM$28,1,CC350),'Lease Cycles'!$AZ$28&lt;=CC$6),'Lease Cycles'!$C$28*'Lease Cycles'!$BA$28/12,IF(AND('Lease Cycles'!$AX$28&gt;=INDEX('Lease Cycles'!$BG$28:$BM$28,1,CC350),'Lease Cycles'!$AX$28&lt;=CC$6),'Lease Cycles'!$C$28*'Lease Cycles'!$AY$28/12,IF(AND('Lease Cycles'!$AV$28&gt;=INDEX('Lease Cycles'!$BG$28:$BM$28,1,CC350),'Lease Cycles'!$AV$28&lt;=CC$6),'Lease Cycles'!$C$28*'Lease Cycles'!$AW$28/12,IF(AND('Lease Cycles'!$AT$28&gt;=INDEX('Lease Cycles'!$BG$28:$BM$28,1,CC350),'Lease Cycles'!$AT$28&lt;=CC$6),'Lease Cycles'!$C$28*'Lease Cycles'!$AU$28/12,'Lease Cycles'!$C$28*INDEX('Lease Cycles'!$CB$28:$CH$28,1,CC350)*(1+INDEX('Lease Cycles'!$CI$28:$CO$28,1,CC350))^INT(INT(CC351/12)/INDEX('Lease Cycles'!$CP$28:$CV$28,1,CC350))/12)))),'Lease Cycles'!$C$28*INDEX('Lease Cycles'!$CB$28:$CH$28,1,CC350)*(1+INDEX('Lease Cycles'!$CI$28:$CO$28,1,CC350))^INT(INT(CC351/12)/INDEX('Lease Cycles'!$CP$28:$CV$28,1,CC350))/12))),IF('Lease Cycles'!$N$28=1,'Lease Cycles'!$C$28*'Lease Cycles'!$E$28*INDEX('Lease Cycles'!$HE$28:$HK$28,1,CC350)*(1+INDEX('Lease Cycles'!$GQ$28:$GW$28,1,CC350))^INT(INT((CC$6-INDEX('Lease Cycles'!$GJ$28:$GP$28,1,CC350))/12)/INDEX('Lease Cycles'!$GX$28:$HD$28,1,CC350))/12,0)))</f>
        <v>0</v>
      </c>
      <c r="CD353" s="28">
        <f>IF(CD350=0,IF('Lease Cycles'!$F$28&gt;0,'Lease Cycles'!$C$28*'Lease Cycles'!$E$28/12,0),IF(CD352=1,IF('Lease Cycles'!$AT$28&gt;=9999,'Lease Cycles'!$C$28*INDEX('Lease Cycles'!$CB$28:$CH$28,1,CD350)*(1+INDEX('Lease Cycles'!$CI$28:$CO$28,1,CD350))^INT(INT(CD351/12)/INDEX('Lease Cycles'!$CP$28:$CV$28,1,CD350))/12,IF(CD350=1,IF(CD351&gt;=INDEX('Lease Cycles'!$DK$28:$DQ$28,1,CD350),IF(CD$6&gt;='Lease Cycles'!$AZ$28,'Lease Cycles'!$C$28*'Lease Cycles'!$BA$28/12,IF(CD$6&gt;='Lease Cycles'!$AX$28,'Lease Cycles'!$C$28*'Lease Cycles'!$AY$28/12,IF(CD$6&gt;='Lease Cycles'!$AV$28,'Lease Cycles'!$C$28*'Lease Cycles'!$AW$28/12,IF(CD$6&gt;='Lease Cycles'!$AT$28,'Lease Cycles'!$C$28*'Lease Cycles'!$AU$28/12,'Lease Cycles'!$C$28*INDEX('Lease Cycles'!$CB$28:$CH$28,1,CD350)*(1+INDEX('Lease Cycles'!$CI$28:$CO$28,1,CD350))^INT(INT(CD351/12)/INDEX('Lease Cycles'!$CP$28:$CV$28,1,CD350))/12)))),'Lease Cycles'!$C$28*INDEX('Lease Cycles'!$CB$28:$CH$28,1,CD350)*(1+INDEX('Lease Cycles'!$CI$28:$CO$28,1,CD350))^INT(INT(CD351/12)/INDEX('Lease Cycles'!$CP$28:$CV$28,1,CD350))/12),IF(INDEX('Lease Cycles'!$EF$28:$EL$28,1,CD350)=1,IF(AND('Lease Cycles'!$AZ$28&gt;=INDEX('Lease Cycles'!$BG$28:$BM$28,1,CD350),'Lease Cycles'!$AZ$28&lt;=CD$6),'Lease Cycles'!$C$28*'Lease Cycles'!$BA$28/12,IF(AND('Lease Cycles'!$AX$28&gt;=INDEX('Lease Cycles'!$BG$28:$BM$28,1,CD350),'Lease Cycles'!$AX$28&lt;=CD$6),'Lease Cycles'!$C$28*'Lease Cycles'!$AY$28/12,IF(AND('Lease Cycles'!$AV$28&gt;=INDEX('Lease Cycles'!$BG$28:$BM$28,1,CD350),'Lease Cycles'!$AV$28&lt;=CD$6),'Lease Cycles'!$C$28*'Lease Cycles'!$AW$28/12,IF(AND('Lease Cycles'!$AT$28&gt;=INDEX('Lease Cycles'!$BG$28:$BM$28,1,CD350),'Lease Cycles'!$AT$28&lt;=CD$6),'Lease Cycles'!$C$28*'Lease Cycles'!$AU$28/12,'Lease Cycles'!$C$28*INDEX('Lease Cycles'!$CB$28:$CH$28,1,CD350)*(1+INDEX('Lease Cycles'!$CI$28:$CO$28,1,CD350))^INT(INT(CD351/12)/INDEX('Lease Cycles'!$CP$28:$CV$28,1,CD350))/12)))),'Lease Cycles'!$C$28*INDEX('Lease Cycles'!$CB$28:$CH$28,1,CD350)*(1+INDEX('Lease Cycles'!$CI$28:$CO$28,1,CD350))^INT(INT(CD351/12)/INDEX('Lease Cycles'!$CP$28:$CV$28,1,CD350))/12))),IF('Lease Cycles'!$N$28=1,'Lease Cycles'!$C$28*'Lease Cycles'!$E$28*INDEX('Lease Cycles'!$HE$28:$HK$28,1,CD350)*(1+INDEX('Lease Cycles'!$GQ$28:$GW$28,1,CD350))^INT(INT((CD$6-INDEX('Lease Cycles'!$GJ$28:$GP$28,1,CD350))/12)/INDEX('Lease Cycles'!$GX$28:$HD$28,1,CD350))/12,0)))</f>
        <v>0</v>
      </c>
      <c r="CE353" s="28">
        <f>IF(CE350=0,IF('Lease Cycles'!$F$28&gt;0,'Lease Cycles'!$C$28*'Lease Cycles'!$E$28/12,0),IF(CE352=1,IF('Lease Cycles'!$AT$28&gt;=9999,'Lease Cycles'!$C$28*INDEX('Lease Cycles'!$CB$28:$CH$28,1,CE350)*(1+INDEX('Lease Cycles'!$CI$28:$CO$28,1,CE350))^INT(INT(CE351/12)/INDEX('Lease Cycles'!$CP$28:$CV$28,1,CE350))/12,IF(CE350=1,IF(CE351&gt;=INDEX('Lease Cycles'!$DK$28:$DQ$28,1,CE350),IF(CE$6&gt;='Lease Cycles'!$AZ$28,'Lease Cycles'!$C$28*'Lease Cycles'!$BA$28/12,IF(CE$6&gt;='Lease Cycles'!$AX$28,'Lease Cycles'!$C$28*'Lease Cycles'!$AY$28/12,IF(CE$6&gt;='Lease Cycles'!$AV$28,'Lease Cycles'!$C$28*'Lease Cycles'!$AW$28/12,IF(CE$6&gt;='Lease Cycles'!$AT$28,'Lease Cycles'!$C$28*'Lease Cycles'!$AU$28/12,'Lease Cycles'!$C$28*INDEX('Lease Cycles'!$CB$28:$CH$28,1,CE350)*(1+INDEX('Lease Cycles'!$CI$28:$CO$28,1,CE350))^INT(INT(CE351/12)/INDEX('Lease Cycles'!$CP$28:$CV$28,1,CE350))/12)))),'Lease Cycles'!$C$28*INDEX('Lease Cycles'!$CB$28:$CH$28,1,CE350)*(1+INDEX('Lease Cycles'!$CI$28:$CO$28,1,CE350))^INT(INT(CE351/12)/INDEX('Lease Cycles'!$CP$28:$CV$28,1,CE350))/12),IF(INDEX('Lease Cycles'!$EF$28:$EL$28,1,CE350)=1,IF(AND('Lease Cycles'!$AZ$28&gt;=INDEX('Lease Cycles'!$BG$28:$BM$28,1,CE350),'Lease Cycles'!$AZ$28&lt;=CE$6),'Lease Cycles'!$C$28*'Lease Cycles'!$BA$28/12,IF(AND('Lease Cycles'!$AX$28&gt;=INDEX('Lease Cycles'!$BG$28:$BM$28,1,CE350),'Lease Cycles'!$AX$28&lt;=CE$6),'Lease Cycles'!$C$28*'Lease Cycles'!$AY$28/12,IF(AND('Lease Cycles'!$AV$28&gt;=INDEX('Lease Cycles'!$BG$28:$BM$28,1,CE350),'Lease Cycles'!$AV$28&lt;=CE$6),'Lease Cycles'!$C$28*'Lease Cycles'!$AW$28/12,IF(AND('Lease Cycles'!$AT$28&gt;=INDEX('Lease Cycles'!$BG$28:$BM$28,1,CE350),'Lease Cycles'!$AT$28&lt;=CE$6),'Lease Cycles'!$C$28*'Lease Cycles'!$AU$28/12,'Lease Cycles'!$C$28*INDEX('Lease Cycles'!$CB$28:$CH$28,1,CE350)*(1+INDEX('Lease Cycles'!$CI$28:$CO$28,1,CE350))^INT(INT(CE351/12)/INDEX('Lease Cycles'!$CP$28:$CV$28,1,CE350))/12)))),'Lease Cycles'!$C$28*INDEX('Lease Cycles'!$CB$28:$CH$28,1,CE350)*(1+INDEX('Lease Cycles'!$CI$28:$CO$28,1,CE350))^INT(INT(CE351/12)/INDEX('Lease Cycles'!$CP$28:$CV$28,1,CE350))/12))),IF('Lease Cycles'!$N$28=1,'Lease Cycles'!$C$28*'Lease Cycles'!$E$28*INDEX('Lease Cycles'!$HE$28:$HK$28,1,CE350)*(1+INDEX('Lease Cycles'!$GQ$28:$GW$28,1,CE350))^INT(INT((CE$6-INDEX('Lease Cycles'!$GJ$28:$GP$28,1,CE350))/12)/INDEX('Lease Cycles'!$GX$28:$HD$28,1,CE350))/12,0)))</f>
        <v>0</v>
      </c>
      <c r="CF353" s="28">
        <f>IF(CF350=0,IF('Lease Cycles'!$F$28&gt;0,'Lease Cycles'!$C$28*'Lease Cycles'!$E$28/12,0),IF(CF352=1,IF('Lease Cycles'!$AT$28&gt;=9999,'Lease Cycles'!$C$28*INDEX('Lease Cycles'!$CB$28:$CH$28,1,CF350)*(1+INDEX('Lease Cycles'!$CI$28:$CO$28,1,CF350))^INT(INT(CF351/12)/INDEX('Lease Cycles'!$CP$28:$CV$28,1,CF350))/12,IF(CF350=1,IF(CF351&gt;=INDEX('Lease Cycles'!$DK$28:$DQ$28,1,CF350),IF(CF$6&gt;='Lease Cycles'!$AZ$28,'Lease Cycles'!$C$28*'Lease Cycles'!$BA$28/12,IF(CF$6&gt;='Lease Cycles'!$AX$28,'Lease Cycles'!$C$28*'Lease Cycles'!$AY$28/12,IF(CF$6&gt;='Lease Cycles'!$AV$28,'Lease Cycles'!$C$28*'Lease Cycles'!$AW$28/12,IF(CF$6&gt;='Lease Cycles'!$AT$28,'Lease Cycles'!$C$28*'Lease Cycles'!$AU$28/12,'Lease Cycles'!$C$28*INDEX('Lease Cycles'!$CB$28:$CH$28,1,CF350)*(1+INDEX('Lease Cycles'!$CI$28:$CO$28,1,CF350))^INT(INT(CF351/12)/INDEX('Lease Cycles'!$CP$28:$CV$28,1,CF350))/12)))),'Lease Cycles'!$C$28*INDEX('Lease Cycles'!$CB$28:$CH$28,1,CF350)*(1+INDEX('Lease Cycles'!$CI$28:$CO$28,1,CF350))^INT(INT(CF351/12)/INDEX('Lease Cycles'!$CP$28:$CV$28,1,CF350))/12),IF(INDEX('Lease Cycles'!$EF$28:$EL$28,1,CF350)=1,IF(AND('Lease Cycles'!$AZ$28&gt;=INDEX('Lease Cycles'!$BG$28:$BM$28,1,CF350),'Lease Cycles'!$AZ$28&lt;=CF$6),'Lease Cycles'!$C$28*'Lease Cycles'!$BA$28/12,IF(AND('Lease Cycles'!$AX$28&gt;=INDEX('Lease Cycles'!$BG$28:$BM$28,1,CF350),'Lease Cycles'!$AX$28&lt;=CF$6),'Lease Cycles'!$C$28*'Lease Cycles'!$AY$28/12,IF(AND('Lease Cycles'!$AV$28&gt;=INDEX('Lease Cycles'!$BG$28:$BM$28,1,CF350),'Lease Cycles'!$AV$28&lt;=CF$6),'Lease Cycles'!$C$28*'Lease Cycles'!$AW$28/12,IF(AND('Lease Cycles'!$AT$28&gt;=INDEX('Lease Cycles'!$BG$28:$BM$28,1,CF350),'Lease Cycles'!$AT$28&lt;=CF$6),'Lease Cycles'!$C$28*'Lease Cycles'!$AU$28/12,'Lease Cycles'!$C$28*INDEX('Lease Cycles'!$CB$28:$CH$28,1,CF350)*(1+INDEX('Lease Cycles'!$CI$28:$CO$28,1,CF350))^INT(INT(CF351/12)/INDEX('Lease Cycles'!$CP$28:$CV$28,1,CF350))/12)))),'Lease Cycles'!$C$28*INDEX('Lease Cycles'!$CB$28:$CH$28,1,CF350)*(1+INDEX('Lease Cycles'!$CI$28:$CO$28,1,CF350))^INT(INT(CF351/12)/INDEX('Lease Cycles'!$CP$28:$CV$28,1,CF350))/12))),IF('Lease Cycles'!$N$28=1,'Lease Cycles'!$C$28*'Lease Cycles'!$E$28*INDEX('Lease Cycles'!$HE$28:$HK$28,1,CF350)*(1+INDEX('Lease Cycles'!$GQ$28:$GW$28,1,CF350))^INT(INT((CF$6-INDEX('Lease Cycles'!$GJ$28:$GP$28,1,CF350))/12)/INDEX('Lease Cycles'!$GX$28:$HD$28,1,CF350))/12,0)))</f>
        <v>0</v>
      </c>
      <c r="CG353" s="28">
        <f>IF(CG350=0,IF('Lease Cycles'!$F$28&gt;0,'Lease Cycles'!$C$28*'Lease Cycles'!$E$28/12,0),IF(CG352=1,IF('Lease Cycles'!$AT$28&gt;=9999,'Lease Cycles'!$C$28*INDEX('Lease Cycles'!$CB$28:$CH$28,1,CG350)*(1+INDEX('Lease Cycles'!$CI$28:$CO$28,1,CG350))^INT(INT(CG351/12)/INDEX('Lease Cycles'!$CP$28:$CV$28,1,CG350))/12,IF(CG350=1,IF(CG351&gt;=INDEX('Lease Cycles'!$DK$28:$DQ$28,1,CG350),IF(CG$6&gt;='Lease Cycles'!$AZ$28,'Lease Cycles'!$C$28*'Lease Cycles'!$BA$28/12,IF(CG$6&gt;='Lease Cycles'!$AX$28,'Lease Cycles'!$C$28*'Lease Cycles'!$AY$28/12,IF(CG$6&gt;='Lease Cycles'!$AV$28,'Lease Cycles'!$C$28*'Lease Cycles'!$AW$28/12,IF(CG$6&gt;='Lease Cycles'!$AT$28,'Lease Cycles'!$C$28*'Lease Cycles'!$AU$28/12,'Lease Cycles'!$C$28*INDEX('Lease Cycles'!$CB$28:$CH$28,1,CG350)*(1+INDEX('Lease Cycles'!$CI$28:$CO$28,1,CG350))^INT(INT(CG351/12)/INDEX('Lease Cycles'!$CP$28:$CV$28,1,CG350))/12)))),'Lease Cycles'!$C$28*INDEX('Lease Cycles'!$CB$28:$CH$28,1,CG350)*(1+INDEX('Lease Cycles'!$CI$28:$CO$28,1,CG350))^INT(INT(CG351/12)/INDEX('Lease Cycles'!$CP$28:$CV$28,1,CG350))/12),IF(INDEX('Lease Cycles'!$EF$28:$EL$28,1,CG350)=1,IF(AND('Lease Cycles'!$AZ$28&gt;=INDEX('Lease Cycles'!$BG$28:$BM$28,1,CG350),'Lease Cycles'!$AZ$28&lt;=CG$6),'Lease Cycles'!$C$28*'Lease Cycles'!$BA$28/12,IF(AND('Lease Cycles'!$AX$28&gt;=INDEX('Lease Cycles'!$BG$28:$BM$28,1,CG350),'Lease Cycles'!$AX$28&lt;=CG$6),'Lease Cycles'!$C$28*'Lease Cycles'!$AY$28/12,IF(AND('Lease Cycles'!$AV$28&gt;=INDEX('Lease Cycles'!$BG$28:$BM$28,1,CG350),'Lease Cycles'!$AV$28&lt;=CG$6),'Lease Cycles'!$C$28*'Lease Cycles'!$AW$28/12,IF(AND('Lease Cycles'!$AT$28&gt;=INDEX('Lease Cycles'!$BG$28:$BM$28,1,CG350),'Lease Cycles'!$AT$28&lt;=CG$6),'Lease Cycles'!$C$28*'Lease Cycles'!$AU$28/12,'Lease Cycles'!$C$28*INDEX('Lease Cycles'!$CB$28:$CH$28,1,CG350)*(1+INDEX('Lease Cycles'!$CI$28:$CO$28,1,CG350))^INT(INT(CG351/12)/INDEX('Lease Cycles'!$CP$28:$CV$28,1,CG350))/12)))),'Lease Cycles'!$C$28*INDEX('Lease Cycles'!$CB$28:$CH$28,1,CG350)*(1+INDEX('Lease Cycles'!$CI$28:$CO$28,1,CG350))^INT(INT(CG351/12)/INDEX('Lease Cycles'!$CP$28:$CV$28,1,CG350))/12))),IF('Lease Cycles'!$N$28=1,'Lease Cycles'!$C$28*'Lease Cycles'!$E$28*INDEX('Lease Cycles'!$HE$28:$HK$28,1,CG350)*(1+INDEX('Lease Cycles'!$GQ$28:$GW$28,1,CG350))^INT(INT((CG$6-INDEX('Lease Cycles'!$GJ$28:$GP$28,1,CG350))/12)/INDEX('Lease Cycles'!$GX$28:$HD$28,1,CG350))/12,0)))</f>
        <v>0</v>
      </c>
      <c r="CH353" s="28">
        <f>IF(CH350=0,IF('Lease Cycles'!$F$28&gt;0,'Lease Cycles'!$C$28*'Lease Cycles'!$E$28/12,0),IF(CH352=1,IF('Lease Cycles'!$AT$28&gt;=9999,'Lease Cycles'!$C$28*INDEX('Lease Cycles'!$CB$28:$CH$28,1,CH350)*(1+INDEX('Lease Cycles'!$CI$28:$CO$28,1,CH350))^INT(INT(CH351/12)/INDEX('Lease Cycles'!$CP$28:$CV$28,1,CH350))/12,IF(CH350=1,IF(CH351&gt;=INDEX('Lease Cycles'!$DK$28:$DQ$28,1,CH350),IF(CH$6&gt;='Lease Cycles'!$AZ$28,'Lease Cycles'!$C$28*'Lease Cycles'!$BA$28/12,IF(CH$6&gt;='Lease Cycles'!$AX$28,'Lease Cycles'!$C$28*'Lease Cycles'!$AY$28/12,IF(CH$6&gt;='Lease Cycles'!$AV$28,'Lease Cycles'!$C$28*'Lease Cycles'!$AW$28/12,IF(CH$6&gt;='Lease Cycles'!$AT$28,'Lease Cycles'!$C$28*'Lease Cycles'!$AU$28/12,'Lease Cycles'!$C$28*INDEX('Lease Cycles'!$CB$28:$CH$28,1,CH350)*(1+INDEX('Lease Cycles'!$CI$28:$CO$28,1,CH350))^INT(INT(CH351/12)/INDEX('Lease Cycles'!$CP$28:$CV$28,1,CH350))/12)))),'Lease Cycles'!$C$28*INDEX('Lease Cycles'!$CB$28:$CH$28,1,CH350)*(1+INDEX('Lease Cycles'!$CI$28:$CO$28,1,CH350))^INT(INT(CH351/12)/INDEX('Lease Cycles'!$CP$28:$CV$28,1,CH350))/12),IF(INDEX('Lease Cycles'!$EF$28:$EL$28,1,CH350)=1,IF(AND('Lease Cycles'!$AZ$28&gt;=INDEX('Lease Cycles'!$BG$28:$BM$28,1,CH350),'Lease Cycles'!$AZ$28&lt;=CH$6),'Lease Cycles'!$C$28*'Lease Cycles'!$BA$28/12,IF(AND('Lease Cycles'!$AX$28&gt;=INDEX('Lease Cycles'!$BG$28:$BM$28,1,CH350),'Lease Cycles'!$AX$28&lt;=CH$6),'Lease Cycles'!$C$28*'Lease Cycles'!$AY$28/12,IF(AND('Lease Cycles'!$AV$28&gt;=INDEX('Lease Cycles'!$BG$28:$BM$28,1,CH350),'Lease Cycles'!$AV$28&lt;=CH$6),'Lease Cycles'!$C$28*'Lease Cycles'!$AW$28/12,IF(AND('Lease Cycles'!$AT$28&gt;=INDEX('Lease Cycles'!$BG$28:$BM$28,1,CH350),'Lease Cycles'!$AT$28&lt;=CH$6),'Lease Cycles'!$C$28*'Lease Cycles'!$AU$28/12,'Lease Cycles'!$C$28*INDEX('Lease Cycles'!$CB$28:$CH$28,1,CH350)*(1+INDEX('Lease Cycles'!$CI$28:$CO$28,1,CH350))^INT(INT(CH351/12)/INDEX('Lease Cycles'!$CP$28:$CV$28,1,CH350))/12)))),'Lease Cycles'!$C$28*INDEX('Lease Cycles'!$CB$28:$CH$28,1,CH350)*(1+INDEX('Lease Cycles'!$CI$28:$CO$28,1,CH350))^INT(INT(CH351/12)/INDEX('Lease Cycles'!$CP$28:$CV$28,1,CH350))/12))),IF('Lease Cycles'!$N$28=1,'Lease Cycles'!$C$28*'Lease Cycles'!$E$28*INDEX('Lease Cycles'!$HE$28:$HK$28,1,CH350)*(1+INDEX('Lease Cycles'!$GQ$28:$GW$28,1,CH350))^INT(INT((CH$6-INDEX('Lease Cycles'!$GJ$28:$GP$28,1,CH350))/12)/INDEX('Lease Cycles'!$GX$28:$HD$28,1,CH350))/12,0)))</f>
        <v>0</v>
      </c>
      <c r="CI353" s="28">
        <f>IF(CI350=0,IF('Lease Cycles'!$F$28&gt;0,'Lease Cycles'!$C$28*'Lease Cycles'!$E$28/12,0),IF(CI352=1,IF('Lease Cycles'!$AT$28&gt;=9999,'Lease Cycles'!$C$28*INDEX('Lease Cycles'!$CB$28:$CH$28,1,CI350)*(1+INDEX('Lease Cycles'!$CI$28:$CO$28,1,CI350))^INT(INT(CI351/12)/INDEX('Lease Cycles'!$CP$28:$CV$28,1,CI350))/12,IF(CI350=1,IF(CI351&gt;=INDEX('Lease Cycles'!$DK$28:$DQ$28,1,CI350),IF(CI$6&gt;='Lease Cycles'!$AZ$28,'Lease Cycles'!$C$28*'Lease Cycles'!$BA$28/12,IF(CI$6&gt;='Lease Cycles'!$AX$28,'Lease Cycles'!$C$28*'Lease Cycles'!$AY$28/12,IF(CI$6&gt;='Lease Cycles'!$AV$28,'Lease Cycles'!$C$28*'Lease Cycles'!$AW$28/12,IF(CI$6&gt;='Lease Cycles'!$AT$28,'Lease Cycles'!$C$28*'Lease Cycles'!$AU$28/12,'Lease Cycles'!$C$28*INDEX('Lease Cycles'!$CB$28:$CH$28,1,CI350)*(1+INDEX('Lease Cycles'!$CI$28:$CO$28,1,CI350))^INT(INT(CI351/12)/INDEX('Lease Cycles'!$CP$28:$CV$28,1,CI350))/12)))),'Lease Cycles'!$C$28*INDEX('Lease Cycles'!$CB$28:$CH$28,1,CI350)*(1+INDEX('Lease Cycles'!$CI$28:$CO$28,1,CI350))^INT(INT(CI351/12)/INDEX('Lease Cycles'!$CP$28:$CV$28,1,CI350))/12),IF(INDEX('Lease Cycles'!$EF$28:$EL$28,1,CI350)=1,IF(AND('Lease Cycles'!$AZ$28&gt;=INDEX('Lease Cycles'!$BG$28:$BM$28,1,CI350),'Lease Cycles'!$AZ$28&lt;=CI$6),'Lease Cycles'!$C$28*'Lease Cycles'!$BA$28/12,IF(AND('Lease Cycles'!$AX$28&gt;=INDEX('Lease Cycles'!$BG$28:$BM$28,1,CI350),'Lease Cycles'!$AX$28&lt;=CI$6),'Lease Cycles'!$C$28*'Lease Cycles'!$AY$28/12,IF(AND('Lease Cycles'!$AV$28&gt;=INDEX('Lease Cycles'!$BG$28:$BM$28,1,CI350),'Lease Cycles'!$AV$28&lt;=CI$6),'Lease Cycles'!$C$28*'Lease Cycles'!$AW$28/12,IF(AND('Lease Cycles'!$AT$28&gt;=INDEX('Lease Cycles'!$BG$28:$BM$28,1,CI350),'Lease Cycles'!$AT$28&lt;=CI$6),'Lease Cycles'!$C$28*'Lease Cycles'!$AU$28/12,'Lease Cycles'!$C$28*INDEX('Lease Cycles'!$CB$28:$CH$28,1,CI350)*(1+INDEX('Lease Cycles'!$CI$28:$CO$28,1,CI350))^INT(INT(CI351/12)/INDEX('Lease Cycles'!$CP$28:$CV$28,1,CI350))/12)))),'Lease Cycles'!$C$28*INDEX('Lease Cycles'!$CB$28:$CH$28,1,CI350)*(1+INDEX('Lease Cycles'!$CI$28:$CO$28,1,CI350))^INT(INT(CI351/12)/INDEX('Lease Cycles'!$CP$28:$CV$28,1,CI350))/12))),IF('Lease Cycles'!$N$28=1,'Lease Cycles'!$C$28*'Lease Cycles'!$E$28*INDEX('Lease Cycles'!$HE$28:$HK$28,1,CI350)*(1+INDEX('Lease Cycles'!$GQ$28:$GW$28,1,CI350))^INT(INT((CI$6-INDEX('Lease Cycles'!$GJ$28:$GP$28,1,CI350))/12)/INDEX('Lease Cycles'!$GX$28:$HD$28,1,CI350))/12,0)))</f>
        <v>0</v>
      </c>
      <c r="CJ353" s="28">
        <f>IF(CJ350=0,IF('Lease Cycles'!$F$28&gt;0,'Lease Cycles'!$C$28*'Lease Cycles'!$E$28/12,0),IF(CJ352=1,IF('Lease Cycles'!$AT$28&gt;=9999,'Lease Cycles'!$C$28*INDEX('Lease Cycles'!$CB$28:$CH$28,1,CJ350)*(1+INDEX('Lease Cycles'!$CI$28:$CO$28,1,CJ350))^INT(INT(CJ351/12)/INDEX('Lease Cycles'!$CP$28:$CV$28,1,CJ350))/12,IF(CJ350=1,IF(CJ351&gt;=INDEX('Lease Cycles'!$DK$28:$DQ$28,1,CJ350),IF(CJ$6&gt;='Lease Cycles'!$AZ$28,'Lease Cycles'!$C$28*'Lease Cycles'!$BA$28/12,IF(CJ$6&gt;='Lease Cycles'!$AX$28,'Lease Cycles'!$C$28*'Lease Cycles'!$AY$28/12,IF(CJ$6&gt;='Lease Cycles'!$AV$28,'Lease Cycles'!$C$28*'Lease Cycles'!$AW$28/12,IF(CJ$6&gt;='Lease Cycles'!$AT$28,'Lease Cycles'!$C$28*'Lease Cycles'!$AU$28/12,'Lease Cycles'!$C$28*INDEX('Lease Cycles'!$CB$28:$CH$28,1,CJ350)*(1+INDEX('Lease Cycles'!$CI$28:$CO$28,1,CJ350))^INT(INT(CJ351/12)/INDEX('Lease Cycles'!$CP$28:$CV$28,1,CJ350))/12)))),'Lease Cycles'!$C$28*INDEX('Lease Cycles'!$CB$28:$CH$28,1,CJ350)*(1+INDEX('Lease Cycles'!$CI$28:$CO$28,1,CJ350))^INT(INT(CJ351/12)/INDEX('Lease Cycles'!$CP$28:$CV$28,1,CJ350))/12),IF(INDEX('Lease Cycles'!$EF$28:$EL$28,1,CJ350)=1,IF(AND('Lease Cycles'!$AZ$28&gt;=INDEX('Lease Cycles'!$BG$28:$BM$28,1,CJ350),'Lease Cycles'!$AZ$28&lt;=CJ$6),'Lease Cycles'!$C$28*'Lease Cycles'!$BA$28/12,IF(AND('Lease Cycles'!$AX$28&gt;=INDEX('Lease Cycles'!$BG$28:$BM$28,1,CJ350),'Lease Cycles'!$AX$28&lt;=CJ$6),'Lease Cycles'!$C$28*'Lease Cycles'!$AY$28/12,IF(AND('Lease Cycles'!$AV$28&gt;=INDEX('Lease Cycles'!$BG$28:$BM$28,1,CJ350),'Lease Cycles'!$AV$28&lt;=CJ$6),'Lease Cycles'!$C$28*'Lease Cycles'!$AW$28/12,IF(AND('Lease Cycles'!$AT$28&gt;=INDEX('Lease Cycles'!$BG$28:$BM$28,1,CJ350),'Lease Cycles'!$AT$28&lt;=CJ$6),'Lease Cycles'!$C$28*'Lease Cycles'!$AU$28/12,'Lease Cycles'!$C$28*INDEX('Lease Cycles'!$CB$28:$CH$28,1,CJ350)*(1+INDEX('Lease Cycles'!$CI$28:$CO$28,1,CJ350))^INT(INT(CJ351/12)/INDEX('Lease Cycles'!$CP$28:$CV$28,1,CJ350))/12)))),'Lease Cycles'!$C$28*INDEX('Lease Cycles'!$CB$28:$CH$28,1,CJ350)*(1+INDEX('Lease Cycles'!$CI$28:$CO$28,1,CJ350))^INT(INT(CJ351/12)/INDEX('Lease Cycles'!$CP$28:$CV$28,1,CJ350))/12))),IF('Lease Cycles'!$N$28=1,'Lease Cycles'!$C$28*'Lease Cycles'!$E$28*INDEX('Lease Cycles'!$HE$28:$HK$28,1,CJ350)*(1+INDEX('Lease Cycles'!$GQ$28:$GW$28,1,CJ350))^INT(INT((CJ$6-INDEX('Lease Cycles'!$GJ$28:$GP$28,1,CJ350))/12)/INDEX('Lease Cycles'!$GX$28:$HD$28,1,CJ350))/12,0)))</f>
        <v>0</v>
      </c>
      <c r="CK353" s="28">
        <f>IF(CK350=0,IF('Lease Cycles'!$F$28&gt;0,'Lease Cycles'!$C$28*'Lease Cycles'!$E$28/12,0),IF(CK352=1,IF('Lease Cycles'!$AT$28&gt;=9999,'Lease Cycles'!$C$28*INDEX('Lease Cycles'!$CB$28:$CH$28,1,CK350)*(1+INDEX('Lease Cycles'!$CI$28:$CO$28,1,CK350))^INT(INT(CK351/12)/INDEX('Lease Cycles'!$CP$28:$CV$28,1,CK350))/12,IF(CK350=1,IF(CK351&gt;=INDEX('Lease Cycles'!$DK$28:$DQ$28,1,CK350),IF(CK$6&gt;='Lease Cycles'!$AZ$28,'Lease Cycles'!$C$28*'Lease Cycles'!$BA$28/12,IF(CK$6&gt;='Lease Cycles'!$AX$28,'Lease Cycles'!$C$28*'Lease Cycles'!$AY$28/12,IF(CK$6&gt;='Lease Cycles'!$AV$28,'Lease Cycles'!$C$28*'Lease Cycles'!$AW$28/12,IF(CK$6&gt;='Lease Cycles'!$AT$28,'Lease Cycles'!$C$28*'Lease Cycles'!$AU$28/12,'Lease Cycles'!$C$28*INDEX('Lease Cycles'!$CB$28:$CH$28,1,CK350)*(1+INDEX('Lease Cycles'!$CI$28:$CO$28,1,CK350))^INT(INT(CK351/12)/INDEX('Lease Cycles'!$CP$28:$CV$28,1,CK350))/12)))),'Lease Cycles'!$C$28*INDEX('Lease Cycles'!$CB$28:$CH$28,1,CK350)*(1+INDEX('Lease Cycles'!$CI$28:$CO$28,1,CK350))^INT(INT(CK351/12)/INDEX('Lease Cycles'!$CP$28:$CV$28,1,CK350))/12),IF(INDEX('Lease Cycles'!$EF$28:$EL$28,1,CK350)=1,IF(AND('Lease Cycles'!$AZ$28&gt;=INDEX('Lease Cycles'!$BG$28:$BM$28,1,CK350),'Lease Cycles'!$AZ$28&lt;=CK$6),'Lease Cycles'!$C$28*'Lease Cycles'!$BA$28/12,IF(AND('Lease Cycles'!$AX$28&gt;=INDEX('Lease Cycles'!$BG$28:$BM$28,1,CK350),'Lease Cycles'!$AX$28&lt;=CK$6),'Lease Cycles'!$C$28*'Lease Cycles'!$AY$28/12,IF(AND('Lease Cycles'!$AV$28&gt;=INDEX('Lease Cycles'!$BG$28:$BM$28,1,CK350),'Lease Cycles'!$AV$28&lt;=CK$6),'Lease Cycles'!$C$28*'Lease Cycles'!$AW$28/12,IF(AND('Lease Cycles'!$AT$28&gt;=INDEX('Lease Cycles'!$BG$28:$BM$28,1,CK350),'Lease Cycles'!$AT$28&lt;=CK$6),'Lease Cycles'!$C$28*'Lease Cycles'!$AU$28/12,'Lease Cycles'!$C$28*INDEX('Lease Cycles'!$CB$28:$CH$28,1,CK350)*(1+INDEX('Lease Cycles'!$CI$28:$CO$28,1,CK350))^INT(INT(CK351/12)/INDEX('Lease Cycles'!$CP$28:$CV$28,1,CK350))/12)))),'Lease Cycles'!$C$28*INDEX('Lease Cycles'!$CB$28:$CH$28,1,CK350)*(1+INDEX('Lease Cycles'!$CI$28:$CO$28,1,CK350))^INT(INT(CK351/12)/INDEX('Lease Cycles'!$CP$28:$CV$28,1,CK350))/12))),IF('Lease Cycles'!$N$28=1,'Lease Cycles'!$C$28*'Lease Cycles'!$E$28*INDEX('Lease Cycles'!$HE$28:$HK$28,1,CK350)*(1+INDEX('Lease Cycles'!$GQ$28:$GW$28,1,CK350))^INT(INT((CK$6-INDEX('Lease Cycles'!$GJ$28:$GP$28,1,CK350))/12)/INDEX('Lease Cycles'!$GX$28:$HD$28,1,CK350))/12,0)))</f>
        <v>0</v>
      </c>
      <c r="CL353" s="28">
        <f>IF(CL350=0,IF('Lease Cycles'!$F$28&gt;0,'Lease Cycles'!$C$28*'Lease Cycles'!$E$28/12,0),IF(CL352=1,IF('Lease Cycles'!$AT$28&gt;=9999,'Lease Cycles'!$C$28*INDEX('Lease Cycles'!$CB$28:$CH$28,1,CL350)*(1+INDEX('Lease Cycles'!$CI$28:$CO$28,1,CL350))^INT(INT(CL351/12)/INDEX('Lease Cycles'!$CP$28:$CV$28,1,CL350))/12,IF(CL350=1,IF(CL351&gt;=INDEX('Lease Cycles'!$DK$28:$DQ$28,1,CL350),IF(CL$6&gt;='Lease Cycles'!$AZ$28,'Lease Cycles'!$C$28*'Lease Cycles'!$BA$28/12,IF(CL$6&gt;='Lease Cycles'!$AX$28,'Lease Cycles'!$C$28*'Lease Cycles'!$AY$28/12,IF(CL$6&gt;='Lease Cycles'!$AV$28,'Lease Cycles'!$C$28*'Lease Cycles'!$AW$28/12,IF(CL$6&gt;='Lease Cycles'!$AT$28,'Lease Cycles'!$C$28*'Lease Cycles'!$AU$28/12,'Lease Cycles'!$C$28*INDEX('Lease Cycles'!$CB$28:$CH$28,1,CL350)*(1+INDEX('Lease Cycles'!$CI$28:$CO$28,1,CL350))^INT(INT(CL351/12)/INDEX('Lease Cycles'!$CP$28:$CV$28,1,CL350))/12)))),'Lease Cycles'!$C$28*INDEX('Lease Cycles'!$CB$28:$CH$28,1,CL350)*(1+INDEX('Lease Cycles'!$CI$28:$CO$28,1,CL350))^INT(INT(CL351/12)/INDEX('Lease Cycles'!$CP$28:$CV$28,1,CL350))/12),IF(INDEX('Lease Cycles'!$EF$28:$EL$28,1,CL350)=1,IF(AND('Lease Cycles'!$AZ$28&gt;=INDEX('Lease Cycles'!$BG$28:$BM$28,1,CL350),'Lease Cycles'!$AZ$28&lt;=CL$6),'Lease Cycles'!$C$28*'Lease Cycles'!$BA$28/12,IF(AND('Lease Cycles'!$AX$28&gt;=INDEX('Lease Cycles'!$BG$28:$BM$28,1,CL350),'Lease Cycles'!$AX$28&lt;=CL$6),'Lease Cycles'!$C$28*'Lease Cycles'!$AY$28/12,IF(AND('Lease Cycles'!$AV$28&gt;=INDEX('Lease Cycles'!$BG$28:$BM$28,1,CL350),'Lease Cycles'!$AV$28&lt;=CL$6),'Lease Cycles'!$C$28*'Lease Cycles'!$AW$28/12,IF(AND('Lease Cycles'!$AT$28&gt;=INDEX('Lease Cycles'!$BG$28:$BM$28,1,CL350),'Lease Cycles'!$AT$28&lt;=CL$6),'Lease Cycles'!$C$28*'Lease Cycles'!$AU$28/12,'Lease Cycles'!$C$28*INDEX('Lease Cycles'!$CB$28:$CH$28,1,CL350)*(1+INDEX('Lease Cycles'!$CI$28:$CO$28,1,CL350))^INT(INT(CL351/12)/INDEX('Lease Cycles'!$CP$28:$CV$28,1,CL350))/12)))),'Lease Cycles'!$C$28*INDEX('Lease Cycles'!$CB$28:$CH$28,1,CL350)*(1+INDEX('Lease Cycles'!$CI$28:$CO$28,1,CL350))^INT(INT(CL351/12)/INDEX('Lease Cycles'!$CP$28:$CV$28,1,CL350))/12))),IF('Lease Cycles'!$N$28=1,'Lease Cycles'!$C$28*'Lease Cycles'!$E$28*INDEX('Lease Cycles'!$HE$28:$HK$28,1,CL350)*(1+INDEX('Lease Cycles'!$GQ$28:$GW$28,1,CL350))^INT(INT((CL$6-INDEX('Lease Cycles'!$GJ$28:$GP$28,1,CL350))/12)/INDEX('Lease Cycles'!$GX$28:$HD$28,1,CL350))/12,0)))</f>
        <v>0</v>
      </c>
      <c r="CM353" s="28">
        <f>IF(CM350=0,IF('Lease Cycles'!$F$28&gt;0,'Lease Cycles'!$C$28*'Lease Cycles'!$E$28/12,0),IF(CM352=1,IF('Lease Cycles'!$AT$28&gt;=9999,'Lease Cycles'!$C$28*INDEX('Lease Cycles'!$CB$28:$CH$28,1,CM350)*(1+INDEX('Lease Cycles'!$CI$28:$CO$28,1,CM350))^INT(INT(CM351/12)/INDEX('Lease Cycles'!$CP$28:$CV$28,1,CM350))/12,IF(CM350=1,IF(CM351&gt;=INDEX('Lease Cycles'!$DK$28:$DQ$28,1,CM350),IF(CM$6&gt;='Lease Cycles'!$AZ$28,'Lease Cycles'!$C$28*'Lease Cycles'!$BA$28/12,IF(CM$6&gt;='Lease Cycles'!$AX$28,'Lease Cycles'!$C$28*'Lease Cycles'!$AY$28/12,IF(CM$6&gt;='Lease Cycles'!$AV$28,'Lease Cycles'!$C$28*'Lease Cycles'!$AW$28/12,IF(CM$6&gt;='Lease Cycles'!$AT$28,'Lease Cycles'!$C$28*'Lease Cycles'!$AU$28/12,'Lease Cycles'!$C$28*INDEX('Lease Cycles'!$CB$28:$CH$28,1,CM350)*(1+INDEX('Lease Cycles'!$CI$28:$CO$28,1,CM350))^INT(INT(CM351/12)/INDEX('Lease Cycles'!$CP$28:$CV$28,1,CM350))/12)))),'Lease Cycles'!$C$28*INDEX('Lease Cycles'!$CB$28:$CH$28,1,CM350)*(1+INDEX('Lease Cycles'!$CI$28:$CO$28,1,CM350))^INT(INT(CM351/12)/INDEX('Lease Cycles'!$CP$28:$CV$28,1,CM350))/12),IF(INDEX('Lease Cycles'!$EF$28:$EL$28,1,CM350)=1,IF(AND('Lease Cycles'!$AZ$28&gt;=INDEX('Lease Cycles'!$BG$28:$BM$28,1,CM350),'Lease Cycles'!$AZ$28&lt;=CM$6),'Lease Cycles'!$C$28*'Lease Cycles'!$BA$28/12,IF(AND('Lease Cycles'!$AX$28&gt;=INDEX('Lease Cycles'!$BG$28:$BM$28,1,CM350),'Lease Cycles'!$AX$28&lt;=CM$6),'Lease Cycles'!$C$28*'Lease Cycles'!$AY$28/12,IF(AND('Lease Cycles'!$AV$28&gt;=INDEX('Lease Cycles'!$BG$28:$BM$28,1,CM350),'Lease Cycles'!$AV$28&lt;=CM$6),'Lease Cycles'!$C$28*'Lease Cycles'!$AW$28/12,IF(AND('Lease Cycles'!$AT$28&gt;=INDEX('Lease Cycles'!$BG$28:$BM$28,1,CM350),'Lease Cycles'!$AT$28&lt;=CM$6),'Lease Cycles'!$C$28*'Lease Cycles'!$AU$28/12,'Lease Cycles'!$C$28*INDEX('Lease Cycles'!$CB$28:$CH$28,1,CM350)*(1+INDEX('Lease Cycles'!$CI$28:$CO$28,1,CM350))^INT(INT(CM351/12)/INDEX('Lease Cycles'!$CP$28:$CV$28,1,CM350))/12)))),'Lease Cycles'!$C$28*INDEX('Lease Cycles'!$CB$28:$CH$28,1,CM350)*(1+INDEX('Lease Cycles'!$CI$28:$CO$28,1,CM350))^INT(INT(CM351/12)/INDEX('Lease Cycles'!$CP$28:$CV$28,1,CM350))/12))),IF('Lease Cycles'!$N$28=1,'Lease Cycles'!$C$28*'Lease Cycles'!$E$28*INDEX('Lease Cycles'!$HE$28:$HK$28,1,CM350)*(1+INDEX('Lease Cycles'!$GQ$28:$GW$28,1,CM350))^INT(INT((CM$6-INDEX('Lease Cycles'!$GJ$28:$GP$28,1,CM350))/12)/INDEX('Lease Cycles'!$GX$28:$HD$28,1,CM350))/12,0)))</f>
        <v>0</v>
      </c>
      <c r="CN353" s="28">
        <f>IF(CN350=0,IF('Lease Cycles'!$F$28&gt;0,'Lease Cycles'!$C$28*'Lease Cycles'!$E$28/12,0),IF(CN352=1,IF('Lease Cycles'!$AT$28&gt;=9999,'Lease Cycles'!$C$28*INDEX('Lease Cycles'!$CB$28:$CH$28,1,CN350)*(1+INDEX('Lease Cycles'!$CI$28:$CO$28,1,CN350))^INT(INT(CN351/12)/INDEX('Lease Cycles'!$CP$28:$CV$28,1,CN350))/12,IF(CN350=1,IF(CN351&gt;=INDEX('Lease Cycles'!$DK$28:$DQ$28,1,CN350),IF(CN$6&gt;='Lease Cycles'!$AZ$28,'Lease Cycles'!$C$28*'Lease Cycles'!$BA$28/12,IF(CN$6&gt;='Lease Cycles'!$AX$28,'Lease Cycles'!$C$28*'Lease Cycles'!$AY$28/12,IF(CN$6&gt;='Lease Cycles'!$AV$28,'Lease Cycles'!$C$28*'Lease Cycles'!$AW$28/12,IF(CN$6&gt;='Lease Cycles'!$AT$28,'Lease Cycles'!$C$28*'Lease Cycles'!$AU$28/12,'Lease Cycles'!$C$28*INDEX('Lease Cycles'!$CB$28:$CH$28,1,CN350)*(1+INDEX('Lease Cycles'!$CI$28:$CO$28,1,CN350))^INT(INT(CN351/12)/INDEX('Lease Cycles'!$CP$28:$CV$28,1,CN350))/12)))),'Lease Cycles'!$C$28*INDEX('Lease Cycles'!$CB$28:$CH$28,1,CN350)*(1+INDEX('Lease Cycles'!$CI$28:$CO$28,1,CN350))^INT(INT(CN351/12)/INDEX('Lease Cycles'!$CP$28:$CV$28,1,CN350))/12),IF(INDEX('Lease Cycles'!$EF$28:$EL$28,1,CN350)=1,IF(AND('Lease Cycles'!$AZ$28&gt;=INDEX('Lease Cycles'!$BG$28:$BM$28,1,CN350),'Lease Cycles'!$AZ$28&lt;=CN$6),'Lease Cycles'!$C$28*'Lease Cycles'!$BA$28/12,IF(AND('Lease Cycles'!$AX$28&gt;=INDEX('Lease Cycles'!$BG$28:$BM$28,1,CN350),'Lease Cycles'!$AX$28&lt;=CN$6),'Lease Cycles'!$C$28*'Lease Cycles'!$AY$28/12,IF(AND('Lease Cycles'!$AV$28&gt;=INDEX('Lease Cycles'!$BG$28:$BM$28,1,CN350),'Lease Cycles'!$AV$28&lt;=CN$6),'Lease Cycles'!$C$28*'Lease Cycles'!$AW$28/12,IF(AND('Lease Cycles'!$AT$28&gt;=INDEX('Lease Cycles'!$BG$28:$BM$28,1,CN350),'Lease Cycles'!$AT$28&lt;=CN$6),'Lease Cycles'!$C$28*'Lease Cycles'!$AU$28/12,'Lease Cycles'!$C$28*INDEX('Lease Cycles'!$CB$28:$CH$28,1,CN350)*(1+INDEX('Lease Cycles'!$CI$28:$CO$28,1,CN350))^INT(INT(CN351/12)/INDEX('Lease Cycles'!$CP$28:$CV$28,1,CN350))/12)))),'Lease Cycles'!$C$28*INDEX('Lease Cycles'!$CB$28:$CH$28,1,CN350)*(1+INDEX('Lease Cycles'!$CI$28:$CO$28,1,CN350))^INT(INT(CN351/12)/INDEX('Lease Cycles'!$CP$28:$CV$28,1,CN350))/12))),IF('Lease Cycles'!$N$28=1,'Lease Cycles'!$C$28*'Lease Cycles'!$E$28*INDEX('Lease Cycles'!$HE$28:$HK$28,1,CN350)*(1+INDEX('Lease Cycles'!$GQ$28:$GW$28,1,CN350))^INT(INT((CN$6-INDEX('Lease Cycles'!$GJ$28:$GP$28,1,CN350))/12)/INDEX('Lease Cycles'!$GX$28:$HD$28,1,CN350))/12,0)))</f>
        <v>0</v>
      </c>
      <c r="CO353" s="28">
        <f>IF(CO350=0,IF('Lease Cycles'!$F$28&gt;0,'Lease Cycles'!$C$28*'Lease Cycles'!$E$28/12,0),IF(CO352=1,IF('Lease Cycles'!$AT$28&gt;=9999,'Lease Cycles'!$C$28*INDEX('Lease Cycles'!$CB$28:$CH$28,1,CO350)*(1+INDEX('Lease Cycles'!$CI$28:$CO$28,1,CO350))^INT(INT(CO351/12)/INDEX('Lease Cycles'!$CP$28:$CV$28,1,CO350))/12,IF(CO350=1,IF(CO351&gt;=INDEX('Lease Cycles'!$DK$28:$DQ$28,1,CO350),IF(CO$6&gt;='Lease Cycles'!$AZ$28,'Lease Cycles'!$C$28*'Lease Cycles'!$BA$28/12,IF(CO$6&gt;='Lease Cycles'!$AX$28,'Lease Cycles'!$C$28*'Lease Cycles'!$AY$28/12,IF(CO$6&gt;='Lease Cycles'!$AV$28,'Lease Cycles'!$C$28*'Lease Cycles'!$AW$28/12,IF(CO$6&gt;='Lease Cycles'!$AT$28,'Lease Cycles'!$C$28*'Lease Cycles'!$AU$28/12,'Lease Cycles'!$C$28*INDEX('Lease Cycles'!$CB$28:$CH$28,1,CO350)*(1+INDEX('Lease Cycles'!$CI$28:$CO$28,1,CO350))^INT(INT(CO351/12)/INDEX('Lease Cycles'!$CP$28:$CV$28,1,CO350))/12)))),'Lease Cycles'!$C$28*INDEX('Lease Cycles'!$CB$28:$CH$28,1,CO350)*(1+INDEX('Lease Cycles'!$CI$28:$CO$28,1,CO350))^INT(INT(CO351/12)/INDEX('Lease Cycles'!$CP$28:$CV$28,1,CO350))/12),IF(INDEX('Lease Cycles'!$EF$28:$EL$28,1,CO350)=1,IF(AND('Lease Cycles'!$AZ$28&gt;=INDEX('Lease Cycles'!$BG$28:$BM$28,1,CO350),'Lease Cycles'!$AZ$28&lt;=CO$6),'Lease Cycles'!$C$28*'Lease Cycles'!$BA$28/12,IF(AND('Lease Cycles'!$AX$28&gt;=INDEX('Lease Cycles'!$BG$28:$BM$28,1,CO350),'Lease Cycles'!$AX$28&lt;=CO$6),'Lease Cycles'!$C$28*'Lease Cycles'!$AY$28/12,IF(AND('Lease Cycles'!$AV$28&gt;=INDEX('Lease Cycles'!$BG$28:$BM$28,1,CO350),'Lease Cycles'!$AV$28&lt;=CO$6),'Lease Cycles'!$C$28*'Lease Cycles'!$AW$28/12,IF(AND('Lease Cycles'!$AT$28&gt;=INDEX('Lease Cycles'!$BG$28:$BM$28,1,CO350),'Lease Cycles'!$AT$28&lt;=CO$6),'Lease Cycles'!$C$28*'Lease Cycles'!$AU$28/12,'Lease Cycles'!$C$28*INDEX('Lease Cycles'!$CB$28:$CH$28,1,CO350)*(1+INDEX('Lease Cycles'!$CI$28:$CO$28,1,CO350))^INT(INT(CO351/12)/INDEX('Lease Cycles'!$CP$28:$CV$28,1,CO350))/12)))),'Lease Cycles'!$C$28*INDEX('Lease Cycles'!$CB$28:$CH$28,1,CO350)*(1+INDEX('Lease Cycles'!$CI$28:$CO$28,1,CO350))^INT(INT(CO351/12)/INDEX('Lease Cycles'!$CP$28:$CV$28,1,CO350))/12))),IF('Lease Cycles'!$N$28=1,'Lease Cycles'!$C$28*'Lease Cycles'!$E$28*INDEX('Lease Cycles'!$HE$28:$HK$28,1,CO350)*(1+INDEX('Lease Cycles'!$GQ$28:$GW$28,1,CO350))^INT(INT((CO$6-INDEX('Lease Cycles'!$GJ$28:$GP$28,1,CO350))/12)/INDEX('Lease Cycles'!$GX$28:$HD$28,1,CO350))/12,0)))</f>
        <v>0</v>
      </c>
      <c r="CP353" s="28">
        <f>IF(CP350=0,IF('Lease Cycles'!$F$28&gt;0,'Lease Cycles'!$C$28*'Lease Cycles'!$E$28/12,0),IF(CP352=1,IF('Lease Cycles'!$AT$28&gt;=9999,'Lease Cycles'!$C$28*INDEX('Lease Cycles'!$CB$28:$CH$28,1,CP350)*(1+INDEX('Lease Cycles'!$CI$28:$CO$28,1,CP350))^INT(INT(CP351/12)/INDEX('Lease Cycles'!$CP$28:$CV$28,1,CP350))/12,IF(CP350=1,IF(CP351&gt;=INDEX('Lease Cycles'!$DK$28:$DQ$28,1,CP350),IF(CP$6&gt;='Lease Cycles'!$AZ$28,'Lease Cycles'!$C$28*'Lease Cycles'!$BA$28/12,IF(CP$6&gt;='Lease Cycles'!$AX$28,'Lease Cycles'!$C$28*'Lease Cycles'!$AY$28/12,IF(CP$6&gt;='Lease Cycles'!$AV$28,'Lease Cycles'!$C$28*'Lease Cycles'!$AW$28/12,IF(CP$6&gt;='Lease Cycles'!$AT$28,'Lease Cycles'!$C$28*'Lease Cycles'!$AU$28/12,'Lease Cycles'!$C$28*INDEX('Lease Cycles'!$CB$28:$CH$28,1,CP350)*(1+INDEX('Lease Cycles'!$CI$28:$CO$28,1,CP350))^INT(INT(CP351/12)/INDEX('Lease Cycles'!$CP$28:$CV$28,1,CP350))/12)))),'Lease Cycles'!$C$28*INDEX('Lease Cycles'!$CB$28:$CH$28,1,CP350)*(1+INDEX('Lease Cycles'!$CI$28:$CO$28,1,CP350))^INT(INT(CP351/12)/INDEX('Lease Cycles'!$CP$28:$CV$28,1,CP350))/12),IF(INDEX('Lease Cycles'!$EF$28:$EL$28,1,CP350)=1,IF(AND('Lease Cycles'!$AZ$28&gt;=INDEX('Lease Cycles'!$BG$28:$BM$28,1,CP350),'Lease Cycles'!$AZ$28&lt;=CP$6),'Lease Cycles'!$C$28*'Lease Cycles'!$BA$28/12,IF(AND('Lease Cycles'!$AX$28&gt;=INDEX('Lease Cycles'!$BG$28:$BM$28,1,CP350),'Lease Cycles'!$AX$28&lt;=CP$6),'Lease Cycles'!$C$28*'Lease Cycles'!$AY$28/12,IF(AND('Lease Cycles'!$AV$28&gt;=INDEX('Lease Cycles'!$BG$28:$BM$28,1,CP350),'Lease Cycles'!$AV$28&lt;=CP$6),'Lease Cycles'!$C$28*'Lease Cycles'!$AW$28/12,IF(AND('Lease Cycles'!$AT$28&gt;=INDEX('Lease Cycles'!$BG$28:$BM$28,1,CP350),'Lease Cycles'!$AT$28&lt;=CP$6),'Lease Cycles'!$C$28*'Lease Cycles'!$AU$28/12,'Lease Cycles'!$C$28*INDEX('Lease Cycles'!$CB$28:$CH$28,1,CP350)*(1+INDEX('Lease Cycles'!$CI$28:$CO$28,1,CP350))^INT(INT(CP351/12)/INDEX('Lease Cycles'!$CP$28:$CV$28,1,CP350))/12)))),'Lease Cycles'!$C$28*INDEX('Lease Cycles'!$CB$28:$CH$28,1,CP350)*(1+INDEX('Lease Cycles'!$CI$28:$CO$28,1,CP350))^INT(INT(CP351/12)/INDEX('Lease Cycles'!$CP$28:$CV$28,1,CP350))/12))),IF('Lease Cycles'!$N$28=1,'Lease Cycles'!$C$28*'Lease Cycles'!$E$28*INDEX('Lease Cycles'!$HE$28:$HK$28,1,CP350)*(1+INDEX('Lease Cycles'!$GQ$28:$GW$28,1,CP350))^INT(INT((CP$6-INDEX('Lease Cycles'!$GJ$28:$GP$28,1,CP350))/12)/INDEX('Lease Cycles'!$GX$28:$HD$28,1,CP350))/12,0)))</f>
        <v>0</v>
      </c>
      <c r="CQ353" s="28">
        <f>IF(CQ350=0,IF('Lease Cycles'!$F$28&gt;0,'Lease Cycles'!$C$28*'Lease Cycles'!$E$28/12,0),IF(CQ352=1,IF('Lease Cycles'!$AT$28&gt;=9999,'Lease Cycles'!$C$28*INDEX('Lease Cycles'!$CB$28:$CH$28,1,CQ350)*(1+INDEX('Lease Cycles'!$CI$28:$CO$28,1,CQ350))^INT(INT(CQ351/12)/INDEX('Lease Cycles'!$CP$28:$CV$28,1,CQ350))/12,IF(CQ350=1,IF(CQ351&gt;=INDEX('Lease Cycles'!$DK$28:$DQ$28,1,CQ350),IF(CQ$6&gt;='Lease Cycles'!$AZ$28,'Lease Cycles'!$C$28*'Lease Cycles'!$BA$28/12,IF(CQ$6&gt;='Lease Cycles'!$AX$28,'Lease Cycles'!$C$28*'Lease Cycles'!$AY$28/12,IF(CQ$6&gt;='Lease Cycles'!$AV$28,'Lease Cycles'!$C$28*'Lease Cycles'!$AW$28/12,IF(CQ$6&gt;='Lease Cycles'!$AT$28,'Lease Cycles'!$C$28*'Lease Cycles'!$AU$28/12,'Lease Cycles'!$C$28*INDEX('Lease Cycles'!$CB$28:$CH$28,1,CQ350)*(1+INDEX('Lease Cycles'!$CI$28:$CO$28,1,CQ350))^INT(INT(CQ351/12)/INDEX('Lease Cycles'!$CP$28:$CV$28,1,CQ350))/12)))),'Lease Cycles'!$C$28*INDEX('Lease Cycles'!$CB$28:$CH$28,1,CQ350)*(1+INDEX('Lease Cycles'!$CI$28:$CO$28,1,CQ350))^INT(INT(CQ351/12)/INDEX('Lease Cycles'!$CP$28:$CV$28,1,CQ350))/12),IF(INDEX('Lease Cycles'!$EF$28:$EL$28,1,CQ350)=1,IF(AND('Lease Cycles'!$AZ$28&gt;=INDEX('Lease Cycles'!$BG$28:$BM$28,1,CQ350),'Lease Cycles'!$AZ$28&lt;=CQ$6),'Lease Cycles'!$C$28*'Lease Cycles'!$BA$28/12,IF(AND('Lease Cycles'!$AX$28&gt;=INDEX('Lease Cycles'!$BG$28:$BM$28,1,CQ350),'Lease Cycles'!$AX$28&lt;=CQ$6),'Lease Cycles'!$C$28*'Lease Cycles'!$AY$28/12,IF(AND('Lease Cycles'!$AV$28&gt;=INDEX('Lease Cycles'!$BG$28:$BM$28,1,CQ350),'Lease Cycles'!$AV$28&lt;=CQ$6),'Lease Cycles'!$C$28*'Lease Cycles'!$AW$28/12,IF(AND('Lease Cycles'!$AT$28&gt;=INDEX('Lease Cycles'!$BG$28:$BM$28,1,CQ350),'Lease Cycles'!$AT$28&lt;=CQ$6),'Lease Cycles'!$C$28*'Lease Cycles'!$AU$28/12,'Lease Cycles'!$C$28*INDEX('Lease Cycles'!$CB$28:$CH$28,1,CQ350)*(1+INDEX('Lease Cycles'!$CI$28:$CO$28,1,CQ350))^INT(INT(CQ351/12)/INDEX('Lease Cycles'!$CP$28:$CV$28,1,CQ350))/12)))),'Lease Cycles'!$C$28*INDEX('Lease Cycles'!$CB$28:$CH$28,1,CQ350)*(1+INDEX('Lease Cycles'!$CI$28:$CO$28,1,CQ350))^INT(INT(CQ351/12)/INDEX('Lease Cycles'!$CP$28:$CV$28,1,CQ350))/12))),IF('Lease Cycles'!$N$28=1,'Lease Cycles'!$C$28*'Lease Cycles'!$E$28*INDEX('Lease Cycles'!$HE$28:$HK$28,1,CQ350)*(1+INDEX('Lease Cycles'!$GQ$28:$GW$28,1,CQ350))^INT(INT((CQ$6-INDEX('Lease Cycles'!$GJ$28:$GP$28,1,CQ350))/12)/INDEX('Lease Cycles'!$GX$28:$HD$28,1,CQ350))/12,0)))</f>
        <v>0</v>
      </c>
      <c r="CR353" s="28">
        <f>IF(CR350=0,IF('Lease Cycles'!$F$28&gt;0,'Lease Cycles'!$C$28*'Lease Cycles'!$E$28/12,0),IF(CR352=1,IF('Lease Cycles'!$AT$28&gt;=9999,'Lease Cycles'!$C$28*INDEX('Lease Cycles'!$CB$28:$CH$28,1,CR350)*(1+INDEX('Lease Cycles'!$CI$28:$CO$28,1,CR350))^INT(INT(CR351/12)/INDEX('Lease Cycles'!$CP$28:$CV$28,1,CR350))/12,IF(CR350=1,IF(CR351&gt;=INDEX('Lease Cycles'!$DK$28:$DQ$28,1,CR350),IF(CR$6&gt;='Lease Cycles'!$AZ$28,'Lease Cycles'!$C$28*'Lease Cycles'!$BA$28/12,IF(CR$6&gt;='Lease Cycles'!$AX$28,'Lease Cycles'!$C$28*'Lease Cycles'!$AY$28/12,IF(CR$6&gt;='Lease Cycles'!$AV$28,'Lease Cycles'!$C$28*'Lease Cycles'!$AW$28/12,IF(CR$6&gt;='Lease Cycles'!$AT$28,'Lease Cycles'!$C$28*'Lease Cycles'!$AU$28/12,'Lease Cycles'!$C$28*INDEX('Lease Cycles'!$CB$28:$CH$28,1,CR350)*(1+INDEX('Lease Cycles'!$CI$28:$CO$28,1,CR350))^INT(INT(CR351/12)/INDEX('Lease Cycles'!$CP$28:$CV$28,1,CR350))/12)))),'Lease Cycles'!$C$28*INDEX('Lease Cycles'!$CB$28:$CH$28,1,CR350)*(1+INDEX('Lease Cycles'!$CI$28:$CO$28,1,CR350))^INT(INT(CR351/12)/INDEX('Lease Cycles'!$CP$28:$CV$28,1,CR350))/12),IF(INDEX('Lease Cycles'!$EF$28:$EL$28,1,CR350)=1,IF(AND('Lease Cycles'!$AZ$28&gt;=INDEX('Lease Cycles'!$BG$28:$BM$28,1,CR350),'Lease Cycles'!$AZ$28&lt;=CR$6),'Lease Cycles'!$C$28*'Lease Cycles'!$BA$28/12,IF(AND('Lease Cycles'!$AX$28&gt;=INDEX('Lease Cycles'!$BG$28:$BM$28,1,CR350),'Lease Cycles'!$AX$28&lt;=CR$6),'Lease Cycles'!$C$28*'Lease Cycles'!$AY$28/12,IF(AND('Lease Cycles'!$AV$28&gt;=INDEX('Lease Cycles'!$BG$28:$BM$28,1,CR350),'Lease Cycles'!$AV$28&lt;=CR$6),'Lease Cycles'!$C$28*'Lease Cycles'!$AW$28/12,IF(AND('Lease Cycles'!$AT$28&gt;=INDEX('Lease Cycles'!$BG$28:$BM$28,1,CR350),'Lease Cycles'!$AT$28&lt;=CR$6),'Lease Cycles'!$C$28*'Lease Cycles'!$AU$28/12,'Lease Cycles'!$C$28*INDEX('Lease Cycles'!$CB$28:$CH$28,1,CR350)*(1+INDEX('Lease Cycles'!$CI$28:$CO$28,1,CR350))^INT(INT(CR351/12)/INDEX('Lease Cycles'!$CP$28:$CV$28,1,CR350))/12)))),'Lease Cycles'!$C$28*INDEX('Lease Cycles'!$CB$28:$CH$28,1,CR350)*(1+INDEX('Lease Cycles'!$CI$28:$CO$28,1,CR350))^INT(INT(CR351/12)/INDEX('Lease Cycles'!$CP$28:$CV$28,1,CR350))/12))),IF('Lease Cycles'!$N$28=1,'Lease Cycles'!$C$28*'Lease Cycles'!$E$28*INDEX('Lease Cycles'!$HE$28:$HK$28,1,CR350)*(1+INDEX('Lease Cycles'!$GQ$28:$GW$28,1,CR350))^INT(INT((CR$6-INDEX('Lease Cycles'!$GJ$28:$GP$28,1,CR350))/12)/INDEX('Lease Cycles'!$GX$28:$HD$28,1,CR350))/12,0)))</f>
        <v>0</v>
      </c>
      <c r="CS353" s="28">
        <f>IF(CS350=0,IF('Lease Cycles'!$F$28&gt;0,'Lease Cycles'!$C$28*'Lease Cycles'!$E$28/12,0),IF(CS352=1,IF('Lease Cycles'!$AT$28&gt;=9999,'Lease Cycles'!$C$28*INDEX('Lease Cycles'!$CB$28:$CH$28,1,CS350)*(1+INDEX('Lease Cycles'!$CI$28:$CO$28,1,CS350))^INT(INT(CS351/12)/INDEX('Lease Cycles'!$CP$28:$CV$28,1,CS350))/12,IF(CS350=1,IF(CS351&gt;=INDEX('Lease Cycles'!$DK$28:$DQ$28,1,CS350),IF(CS$6&gt;='Lease Cycles'!$AZ$28,'Lease Cycles'!$C$28*'Lease Cycles'!$BA$28/12,IF(CS$6&gt;='Lease Cycles'!$AX$28,'Lease Cycles'!$C$28*'Lease Cycles'!$AY$28/12,IF(CS$6&gt;='Lease Cycles'!$AV$28,'Lease Cycles'!$C$28*'Lease Cycles'!$AW$28/12,IF(CS$6&gt;='Lease Cycles'!$AT$28,'Lease Cycles'!$C$28*'Lease Cycles'!$AU$28/12,'Lease Cycles'!$C$28*INDEX('Lease Cycles'!$CB$28:$CH$28,1,CS350)*(1+INDEX('Lease Cycles'!$CI$28:$CO$28,1,CS350))^INT(INT(CS351/12)/INDEX('Lease Cycles'!$CP$28:$CV$28,1,CS350))/12)))),'Lease Cycles'!$C$28*INDEX('Lease Cycles'!$CB$28:$CH$28,1,CS350)*(1+INDEX('Lease Cycles'!$CI$28:$CO$28,1,CS350))^INT(INT(CS351/12)/INDEX('Lease Cycles'!$CP$28:$CV$28,1,CS350))/12),IF(INDEX('Lease Cycles'!$EF$28:$EL$28,1,CS350)=1,IF(AND('Lease Cycles'!$AZ$28&gt;=INDEX('Lease Cycles'!$BG$28:$BM$28,1,CS350),'Lease Cycles'!$AZ$28&lt;=CS$6),'Lease Cycles'!$C$28*'Lease Cycles'!$BA$28/12,IF(AND('Lease Cycles'!$AX$28&gt;=INDEX('Lease Cycles'!$BG$28:$BM$28,1,CS350),'Lease Cycles'!$AX$28&lt;=CS$6),'Lease Cycles'!$C$28*'Lease Cycles'!$AY$28/12,IF(AND('Lease Cycles'!$AV$28&gt;=INDEX('Lease Cycles'!$BG$28:$BM$28,1,CS350),'Lease Cycles'!$AV$28&lt;=CS$6),'Lease Cycles'!$C$28*'Lease Cycles'!$AW$28/12,IF(AND('Lease Cycles'!$AT$28&gt;=INDEX('Lease Cycles'!$BG$28:$BM$28,1,CS350),'Lease Cycles'!$AT$28&lt;=CS$6),'Lease Cycles'!$C$28*'Lease Cycles'!$AU$28/12,'Lease Cycles'!$C$28*INDEX('Lease Cycles'!$CB$28:$CH$28,1,CS350)*(1+INDEX('Lease Cycles'!$CI$28:$CO$28,1,CS350))^INT(INT(CS351/12)/INDEX('Lease Cycles'!$CP$28:$CV$28,1,CS350))/12)))),'Lease Cycles'!$C$28*INDEX('Lease Cycles'!$CB$28:$CH$28,1,CS350)*(1+INDEX('Lease Cycles'!$CI$28:$CO$28,1,CS350))^INT(INT(CS351/12)/INDEX('Lease Cycles'!$CP$28:$CV$28,1,CS350))/12))),IF('Lease Cycles'!$N$28=1,'Lease Cycles'!$C$28*'Lease Cycles'!$E$28*INDEX('Lease Cycles'!$HE$28:$HK$28,1,CS350)*(1+INDEX('Lease Cycles'!$GQ$28:$GW$28,1,CS350))^INT(INT((CS$6-INDEX('Lease Cycles'!$GJ$28:$GP$28,1,CS350))/12)/INDEX('Lease Cycles'!$GX$28:$HD$28,1,CS350))/12,0)))</f>
        <v>0</v>
      </c>
      <c r="CT353" s="28">
        <f>IF(CT350=0,IF('Lease Cycles'!$F$28&gt;0,'Lease Cycles'!$C$28*'Lease Cycles'!$E$28/12,0),IF(CT352=1,IF('Lease Cycles'!$AT$28&gt;=9999,'Lease Cycles'!$C$28*INDEX('Lease Cycles'!$CB$28:$CH$28,1,CT350)*(1+INDEX('Lease Cycles'!$CI$28:$CO$28,1,CT350))^INT(INT(CT351/12)/INDEX('Lease Cycles'!$CP$28:$CV$28,1,CT350))/12,IF(CT350=1,IF(CT351&gt;=INDEX('Lease Cycles'!$DK$28:$DQ$28,1,CT350),IF(CT$6&gt;='Lease Cycles'!$AZ$28,'Lease Cycles'!$C$28*'Lease Cycles'!$BA$28/12,IF(CT$6&gt;='Lease Cycles'!$AX$28,'Lease Cycles'!$C$28*'Lease Cycles'!$AY$28/12,IF(CT$6&gt;='Lease Cycles'!$AV$28,'Lease Cycles'!$C$28*'Lease Cycles'!$AW$28/12,IF(CT$6&gt;='Lease Cycles'!$AT$28,'Lease Cycles'!$C$28*'Lease Cycles'!$AU$28/12,'Lease Cycles'!$C$28*INDEX('Lease Cycles'!$CB$28:$CH$28,1,CT350)*(1+INDEX('Lease Cycles'!$CI$28:$CO$28,1,CT350))^INT(INT(CT351/12)/INDEX('Lease Cycles'!$CP$28:$CV$28,1,CT350))/12)))),'Lease Cycles'!$C$28*INDEX('Lease Cycles'!$CB$28:$CH$28,1,CT350)*(1+INDEX('Lease Cycles'!$CI$28:$CO$28,1,CT350))^INT(INT(CT351/12)/INDEX('Lease Cycles'!$CP$28:$CV$28,1,CT350))/12),IF(INDEX('Lease Cycles'!$EF$28:$EL$28,1,CT350)=1,IF(AND('Lease Cycles'!$AZ$28&gt;=INDEX('Lease Cycles'!$BG$28:$BM$28,1,CT350),'Lease Cycles'!$AZ$28&lt;=CT$6),'Lease Cycles'!$C$28*'Lease Cycles'!$BA$28/12,IF(AND('Lease Cycles'!$AX$28&gt;=INDEX('Lease Cycles'!$BG$28:$BM$28,1,CT350),'Lease Cycles'!$AX$28&lt;=CT$6),'Lease Cycles'!$C$28*'Lease Cycles'!$AY$28/12,IF(AND('Lease Cycles'!$AV$28&gt;=INDEX('Lease Cycles'!$BG$28:$BM$28,1,CT350),'Lease Cycles'!$AV$28&lt;=CT$6),'Lease Cycles'!$C$28*'Lease Cycles'!$AW$28/12,IF(AND('Lease Cycles'!$AT$28&gt;=INDEX('Lease Cycles'!$BG$28:$BM$28,1,CT350),'Lease Cycles'!$AT$28&lt;=CT$6),'Lease Cycles'!$C$28*'Lease Cycles'!$AU$28/12,'Lease Cycles'!$C$28*INDEX('Lease Cycles'!$CB$28:$CH$28,1,CT350)*(1+INDEX('Lease Cycles'!$CI$28:$CO$28,1,CT350))^INT(INT(CT351/12)/INDEX('Lease Cycles'!$CP$28:$CV$28,1,CT350))/12)))),'Lease Cycles'!$C$28*INDEX('Lease Cycles'!$CB$28:$CH$28,1,CT350)*(1+INDEX('Lease Cycles'!$CI$28:$CO$28,1,CT350))^INT(INT(CT351/12)/INDEX('Lease Cycles'!$CP$28:$CV$28,1,CT350))/12))),IF('Lease Cycles'!$N$28=1,'Lease Cycles'!$C$28*'Lease Cycles'!$E$28*INDEX('Lease Cycles'!$HE$28:$HK$28,1,CT350)*(1+INDEX('Lease Cycles'!$GQ$28:$GW$28,1,CT350))^INT(INT((CT$6-INDEX('Lease Cycles'!$GJ$28:$GP$28,1,CT350))/12)/INDEX('Lease Cycles'!$GX$28:$HD$28,1,CT350))/12,0)))</f>
        <v>0</v>
      </c>
      <c r="CU353" s="28">
        <f>IF(CU350=0,IF('Lease Cycles'!$F$28&gt;0,'Lease Cycles'!$C$28*'Lease Cycles'!$E$28/12,0),IF(CU352=1,IF('Lease Cycles'!$AT$28&gt;=9999,'Lease Cycles'!$C$28*INDEX('Lease Cycles'!$CB$28:$CH$28,1,CU350)*(1+INDEX('Lease Cycles'!$CI$28:$CO$28,1,CU350))^INT(INT(CU351/12)/INDEX('Lease Cycles'!$CP$28:$CV$28,1,CU350))/12,IF(CU350=1,IF(CU351&gt;=INDEX('Lease Cycles'!$DK$28:$DQ$28,1,CU350),IF(CU$6&gt;='Lease Cycles'!$AZ$28,'Lease Cycles'!$C$28*'Lease Cycles'!$BA$28/12,IF(CU$6&gt;='Lease Cycles'!$AX$28,'Lease Cycles'!$C$28*'Lease Cycles'!$AY$28/12,IF(CU$6&gt;='Lease Cycles'!$AV$28,'Lease Cycles'!$C$28*'Lease Cycles'!$AW$28/12,IF(CU$6&gt;='Lease Cycles'!$AT$28,'Lease Cycles'!$C$28*'Lease Cycles'!$AU$28/12,'Lease Cycles'!$C$28*INDEX('Lease Cycles'!$CB$28:$CH$28,1,CU350)*(1+INDEX('Lease Cycles'!$CI$28:$CO$28,1,CU350))^INT(INT(CU351/12)/INDEX('Lease Cycles'!$CP$28:$CV$28,1,CU350))/12)))),'Lease Cycles'!$C$28*INDEX('Lease Cycles'!$CB$28:$CH$28,1,CU350)*(1+INDEX('Lease Cycles'!$CI$28:$CO$28,1,CU350))^INT(INT(CU351/12)/INDEX('Lease Cycles'!$CP$28:$CV$28,1,CU350))/12),IF(INDEX('Lease Cycles'!$EF$28:$EL$28,1,CU350)=1,IF(AND('Lease Cycles'!$AZ$28&gt;=INDEX('Lease Cycles'!$BG$28:$BM$28,1,CU350),'Lease Cycles'!$AZ$28&lt;=CU$6),'Lease Cycles'!$C$28*'Lease Cycles'!$BA$28/12,IF(AND('Lease Cycles'!$AX$28&gt;=INDEX('Lease Cycles'!$BG$28:$BM$28,1,CU350),'Lease Cycles'!$AX$28&lt;=CU$6),'Lease Cycles'!$C$28*'Lease Cycles'!$AY$28/12,IF(AND('Lease Cycles'!$AV$28&gt;=INDEX('Lease Cycles'!$BG$28:$BM$28,1,CU350),'Lease Cycles'!$AV$28&lt;=CU$6),'Lease Cycles'!$C$28*'Lease Cycles'!$AW$28/12,IF(AND('Lease Cycles'!$AT$28&gt;=INDEX('Lease Cycles'!$BG$28:$BM$28,1,CU350),'Lease Cycles'!$AT$28&lt;=CU$6),'Lease Cycles'!$C$28*'Lease Cycles'!$AU$28/12,'Lease Cycles'!$C$28*INDEX('Lease Cycles'!$CB$28:$CH$28,1,CU350)*(1+INDEX('Lease Cycles'!$CI$28:$CO$28,1,CU350))^INT(INT(CU351/12)/INDEX('Lease Cycles'!$CP$28:$CV$28,1,CU350))/12)))),'Lease Cycles'!$C$28*INDEX('Lease Cycles'!$CB$28:$CH$28,1,CU350)*(1+INDEX('Lease Cycles'!$CI$28:$CO$28,1,CU350))^INT(INT(CU351/12)/INDEX('Lease Cycles'!$CP$28:$CV$28,1,CU350))/12))),IF('Lease Cycles'!$N$28=1,'Lease Cycles'!$C$28*'Lease Cycles'!$E$28*INDEX('Lease Cycles'!$HE$28:$HK$28,1,CU350)*(1+INDEX('Lease Cycles'!$GQ$28:$GW$28,1,CU350))^INT(INT((CU$6-INDEX('Lease Cycles'!$GJ$28:$GP$28,1,CU350))/12)/INDEX('Lease Cycles'!$GX$28:$HD$28,1,CU350))/12,0)))</f>
        <v>0</v>
      </c>
      <c r="CV353" s="28">
        <f>IF(CV350=0,IF('Lease Cycles'!$F$28&gt;0,'Lease Cycles'!$C$28*'Lease Cycles'!$E$28/12,0),IF(CV352=1,IF('Lease Cycles'!$AT$28&gt;=9999,'Lease Cycles'!$C$28*INDEX('Lease Cycles'!$CB$28:$CH$28,1,CV350)*(1+INDEX('Lease Cycles'!$CI$28:$CO$28,1,CV350))^INT(INT(CV351/12)/INDEX('Lease Cycles'!$CP$28:$CV$28,1,CV350))/12,IF(CV350=1,IF(CV351&gt;=INDEX('Lease Cycles'!$DK$28:$DQ$28,1,CV350),IF(CV$6&gt;='Lease Cycles'!$AZ$28,'Lease Cycles'!$C$28*'Lease Cycles'!$BA$28/12,IF(CV$6&gt;='Lease Cycles'!$AX$28,'Lease Cycles'!$C$28*'Lease Cycles'!$AY$28/12,IF(CV$6&gt;='Lease Cycles'!$AV$28,'Lease Cycles'!$C$28*'Lease Cycles'!$AW$28/12,IF(CV$6&gt;='Lease Cycles'!$AT$28,'Lease Cycles'!$C$28*'Lease Cycles'!$AU$28/12,'Lease Cycles'!$C$28*INDEX('Lease Cycles'!$CB$28:$CH$28,1,CV350)*(1+INDEX('Lease Cycles'!$CI$28:$CO$28,1,CV350))^INT(INT(CV351/12)/INDEX('Lease Cycles'!$CP$28:$CV$28,1,CV350))/12)))),'Lease Cycles'!$C$28*INDEX('Lease Cycles'!$CB$28:$CH$28,1,CV350)*(1+INDEX('Lease Cycles'!$CI$28:$CO$28,1,CV350))^INT(INT(CV351/12)/INDEX('Lease Cycles'!$CP$28:$CV$28,1,CV350))/12),IF(INDEX('Lease Cycles'!$EF$28:$EL$28,1,CV350)=1,IF(AND('Lease Cycles'!$AZ$28&gt;=INDEX('Lease Cycles'!$BG$28:$BM$28,1,CV350),'Lease Cycles'!$AZ$28&lt;=CV$6),'Lease Cycles'!$C$28*'Lease Cycles'!$BA$28/12,IF(AND('Lease Cycles'!$AX$28&gt;=INDEX('Lease Cycles'!$BG$28:$BM$28,1,CV350),'Lease Cycles'!$AX$28&lt;=CV$6),'Lease Cycles'!$C$28*'Lease Cycles'!$AY$28/12,IF(AND('Lease Cycles'!$AV$28&gt;=INDEX('Lease Cycles'!$BG$28:$BM$28,1,CV350),'Lease Cycles'!$AV$28&lt;=CV$6),'Lease Cycles'!$C$28*'Lease Cycles'!$AW$28/12,IF(AND('Lease Cycles'!$AT$28&gt;=INDEX('Lease Cycles'!$BG$28:$BM$28,1,CV350),'Lease Cycles'!$AT$28&lt;=CV$6),'Lease Cycles'!$C$28*'Lease Cycles'!$AU$28/12,'Lease Cycles'!$C$28*INDEX('Lease Cycles'!$CB$28:$CH$28,1,CV350)*(1+INDEX('Lease Cycles'!$CI$28:$CO$28,1,CV350))^INT(INT(CV351/12)/INDEX('Lease Cycles'!$CP$28:$CV$28,1,CV350))/12)))),'Lease Cycles'!$C$28*INDEX('Lease Cycles'!$CB$28:$CH$28,1,CV350)*(1+INDEX('Lease Cycles'!$CI$28:$CO$28,1,CV350))^INT(INT(CV351/12)/INDEX('Lease Cycles'!$CP$28:$CV$28,1,CV350))/12))),IF('Lease Cycles'!$N$28=1,'Lease Cycles'!$C$28*'Lease Cycles'!$E$28*INDEX('Lease Cycles'!$HE$28:$HK$28,1,CV350)*(1+INDEX('Lease Cycles'!$GQ$28:$GW$28,1,CV350))^INT(INT((CV$6-INDEX('Lease Cycles'!$GJ$28:$GP$28,1,CV350))/12)/INDEX('Lease Cycles'!$GX$28:$HD$28,1,CV350))/12,0)))</f>
        <v>0</v>
      </c>
      <c r="CW353" s="28">
        <f>IF(CW350=0,IF('Lease Cycles'!$F$28&gt;0,'Lease Cycles'!$C$28*'Lease Cycles'!$E$28/12,0),IF(CW352=1,IF('Lease Cycles'!$AT$28&gt;=9999,'Lease Cycles'!$C$28*INDEX('Lease Cycles'!$CB$28:$CH$28,1,CW350)*(1+INDEX('Lease Cycles'!$CI$28:$CO$28,1,CW350))^INT(INT(CW351/12)/INDEX('Lease Cycles'!$CP$28:$CV$28,1,CW350))/12,IF(CW350=1,IF(CW351&gt;=INDEX('Lease Cycles'!$DK$28:$DQ$28,1,CW350),IF(CW$6&gt;='Lease Cycles'!$AZ$28,'Lease Cycles'!$C$28*'Lease Cycles'!$BA$28/12,IF(CW$6&gt;='Lease Cycles'!$AX$28,'Lease Cycles'!$C$28*'Lease Cycles'!$AY$28/12,IF(CW$6&gt;='Lease Cycles'!$AV$28,'Lease Cycles'!$C$28*'Lease Cycles'!$AW$28/12,IF(CW$6&gt;='Lease Cycles'!$AT$28,'Lease Cycles'!$C$28*'Lease Cycles'!$AU$28/12,'Lease Cycles'!$C$28*INDEX('Lease Cycles'!$CB$28:$CH$28,1,CW350)*(1+INDEX('Lease Cycles'!$CI$28:$CO$28,1,CW350))^INT(INT(CW351/12)/INDEX('Lease Cycles'!$CP$28:$CV$28,1,CW350))/12)))),'Lease Cycles'!$C$28*INDEX('Lease Cycles'!$CB$28:$CH$28,1,CW350)*(1+INDEX('Lease Cycles'!$CI$28:$CO$28,1,CW350))^INT(INT(CW351/12)/INDEX('Lease Cycles'!$CP$28:$CV$28,1,CW350))/12),IF(INDEX('Lease Cycles'!$EF$28:$EL$28,1,CW350)=1,IF(AND('Lease Cycles'!$AZ$28&gt;=INDEX('Lease Cycles'!$BG$28:$BM$28,1,CW350),'Lease Cycles'!$AZ$28&lt;=CW$6),'Lease Cycles'!$C$28*'Lease Cycles'!$BA$28/12,IF(AND('Lease Cycles'!$AX$28&gt;=INDEX('Lease Cycles'!$BG$28:$BM$28,1,CW350),'Lease Cycles'!$AX$28&lt;=CW$6),'Lease Cycles'!$C$28*'Lease Cycles'!$AY$28/12,IF(AND('Lease Cycles'!$AV$28&gt;=INDEX('Lease Cycles'!$BG$28:$BM$28,1,CW350),'Lease Cycles'!$AV$28&lt;=CW$6),'Lease Cycles'!$C$28*'Lease Cycles'!$AW$28/12,IF(AND('Lease Cycles'!$AT$28&gt;=INDEX('Lease Cycles'!$BG$28:$BM$28,1,CW350),'Lease Cycles'!$AT$28&lt;=CW$6),'Lease Cycles'!$C$28*'Lease Cycles'!$AU$28/12,'Lease Cycles'!$C$28*INDEX('Lease Cycles'!$CB$28:$CH$28,1,CW350)*(1+INDEX('Lease Cycles'!$CI$28:$CO$28,1,CW350))^INT(INT(CW351/12)/INDEX('Lease Cycles'!$CP$28:$CV$28,1,CW350))/12)))),'Lease Cycles'!$C$28*INDEX('Lease Cycles'!$CB$28:$CH$28,1,CW350)*(1+INDEX('Lease Cycles'!$CI$28:$CO$28,1,CW350))^INT(INT(CW351/12)/INDEX('Lease Cycles'!$CP$28:$CV$28,1,CW350))/12))),IF('Lease Cycles'!$N$28=1,'Lease Cycles'!$C$28*'Lease Cycles'!$E$28*INDEX('Lease Cycles'!$HE$28:$HK$28,1,CW350)*(1+INDEX('Lease Cycles'!$GQ$28:$GW$28,1,CW350))^INT(INT((CW$6-INDEX('Lease Cycles'!$GJ$28:$GP$28,1,CW350))/12)/INDEX('Lease Cycles'!$GX$28:$HD$28,1,CW350))/12,0)))</f>
        <v>0</v>
      </c>
      <c r="CX353" s="28">
        <f>IF(CX350=0,IF('Lease Cycles'!$F$28&gt;0,'Lease Cycles'!$C$28*'Lease Cycles'!$E$28/12,0),IF(CX352=1,IF('Lease Cycles'!$AT$28&gt;=9999,'Lease Cycles'!$C$28*INDEX('Lease Cycles'!$CB$28:$CH$28,1,CX350)*(1+INDEX('Lease Cycles'!$CI$28:$CO$28,1,CX350))^INT(INT(CX351/12)/INDEX('Lease Cycles'!$CP$28:$CV$28,1,CX350))/12,IF(CX350=1,IF(CX351&gt;=INDEX('Lease Cycles'!$DK$28:$DQ$28,1,CX350),IF(CX$6&gt;='Lease Cycles'!$AZ$28,'Lease Cycles'!$C$28*'Lease Cycles'!$BA$28/12,IF(CX$6&gt;='Lease Cycles'!$AX$28,'Lease Cycles'!$C$28*'Lease Cycles'!$AY$28/12,IF(CX$6&gt;='Lease Cycles'!$AV$28,'Lease Cycles'!$C$28*'Lease Cycles'!$AW$28/12,IF(CX$6&gt;='Lease Cycles'!$AT$28,'Lease Cycles'!$C$28*'Lease Cycles'!$AU$28/12,'Lease Cycles'!$C$28*INDEX('Lease Cycles'!$CB$28:$CH$28,1,CX350)*(1+INDEX('Lease Cycles'!$CI$28:$CO$28,1,CX350))^INT(INT(CX351/12)/INDEX('Lease Cycles'!$CP$28:$CV$28,1,CX350))/12)))),'Lease Cycles'!$C$28*INDEX('Lease Cycles'!$CB$28:$CH$28,1,CX350)*(1+INDEX('Lease Cycles'!$CI$28:$CO$28,1,CX350))^INT(INT(CX351/12)/INDEX('Lease Cycles'!$CP$28:$CV$28,1,CX350))/12),IF(INDEX('Lease Cycles'!$EF$28:$EL$28,1,CX350)=1,IF(AND('Lease Cycles'!$AZ$28&gt;=INDEX('Lease Cycles'!$BG$28:$BM$28,1,CX350),'Lease Cycles'!$AZ$28&lt;=CX$6),'Lease Cycles'!$C$28*'Lease Cycles'!$BA$28/12,IF(AND('Lease Cycles'!$AX$28&gt;=INDEX('Lease Cycles'!$BG$28:$BM$28,1,CX350),'Lease Cycles'!$AX$28&lt;=CX$6),'Lease Cycles'!$C$28*'Lease Cycles'!$AY$28/12,IF(AND('Lease Cycles'!$AV$28&gt;=INDEX('Lease Cycles'!$BG$28:$BM$28,1,CX350),'Lease Cycles'!$AV$28&lt;=CX$6),'Lease Cycles'!$C$28*'Lease Cycles'!$AW$28/12,IF(AND('Lease Cycles'!$AT$28&gt;=INDEX('Lease Cycles'!$BG$28:$BM$28,1,CX350),'Lease Cycles'!$AT$28&lt;=CX$6),'Lease Cycles'!$C$28*'Lease Cycles'!$AU$28/12,'Lease Cycles'!$C$28*INDEX('Lease Cycles'!$CB$28:$CH$28,1,CX350)*(1+INDEX('Lease Cycles'!$CI$28:$CO$28,1,CX350))^INT(INT(CX351/12)/INDEX('Lease Cycles'!$CP$28:$CV$28,1,CX350))/12)))),'Lease Cycles'!$C$28*INDEX('Lease Cycles'!$CB$28:$CH$28,1,CX350)*(1+INDEX('Lease Cycles'!$CI$28:$CO$28,1,CX350))^INT(INT(CX351/12)/INDEX('Lease Cycles'!$CP$28:$CV$28,1,CX350))/12))),IF('Lease Cycles'!$N$28=1,'Lease Cycles'!$C$28*'Lease Cycles'!$E$28*INDEX('Lease Cycles'!$HE$28:$HK$28,1,CX350)*(1+INDEX('Lease Cycles'!$GQ$28:$GW$28,1,CX350))^INT(INT((CX$6-INDEX('Lease Cycles'!$GJ$28:$GP$28,1,CX350))/12)/INDEX('Lease Cycles'!$GX$28:$HD$28,1,CX350))/12,0)))</f>
        <v>0</v>
      </c>
      <c r="CY353" s="28">
        <f>IF(CY350=0,IF('Lease Cycles'!$F$28&gt;0,'Lease Cycles'!$C$28*'Lease Cycles'!$E$28/12,0),IF(CY352=1,IF('Lease Cycles'!$AT$28&gt;=9999,'Lease Cycles'!$C$28*INDEX('Lease Cycles'!$CB$28:$CH$28,1,CY350)*(1+INDEX('Lease Cycles'!$CI$28:$CO$28,1,CY350))^INT(INT(CY351/12)/INDEX('Lease Cycles'!$CP$28:$CV$28,1,CY350))/12,IF(CY350=1,IF(CY351&gt;=INDEX('Lease Cycles'!$DK$28:$DQ$28,1,CY350),IF(CY$6&gt;='Lease Cycles'!$AZ$28,'Lease Cycles'!$C$28*'Lease Cycles'!$BA$28/12,IF(CY$6&gt;='Lease Cycles'!$AX$28,'Lease Cycles'!$C$28*'Lease Cycles'!$AY$28/12,IF(CY$6&gt;='Lease Cycles'!$AV$28,'Lease Cycles'!$C$28*'Lease Cycles'!$AW$28/12,IF(CY$6&gt;='Lease Cycles'!$AT$28,'Lease Cycles'!$C$28*'Lease Cycles'!$AU$28/12,'Lease Cycles'!$C$28*INDEX('Lease Cycles'!$CB$28:$CH$28,1,CY350)*(1+INDEX('Lease Cycles'!$CI$28:$CO$28,1,CY350))^INT(INT(CY351/12)/INDEX('Lease Cycles'!$CP$28:$CV$28,1,CY350))/12)))),'Lease Cycles'!$C$28*INDEX('Lease Cycles'!$CB$28:$CH$28,1,CY350)*(1+INDEX('Lease Cycles'!$CI$28:$CO$28,1,CY350))^INT(INT(CY351/12)/INDEX('Lease Cycles'!$CP$28:$CV$28,1,CY350))/12),IF(INDEX('Lease Cycles'!$EF$28:$EL$28,1,CY350)=1,IF(AND('Lease Cycles'!$AZ$28&gt;=INDEX('Lease Cycles'!$BG$28:$BM$28,1,CY350),'Lease Cycles'!$AZ$28&lt;=CY$6),'Lease Cycles'!$C$28*'Lease Cycles'!$BA$28/12,IF(AND('Lease Cycles'!$AX$28&gt;=INDEX('Lease Cycles'!$BG$28:$BM$28,1,CY350),'Lease Cycles'!$AX$28&lt;=CY$6),'Lease Cycles'!$C$28*'Lease Cycles'!$AY$28/12,IF(AND('Lease Cycles'!$AV$28&gt;=INDEX('Lease Cycles'!$BG$28:$BM$28,1,CY350),'Lease Cycles'!$AV$28&lt;=CY$6),'Lease Cycles'!$C$28*'Lease Cycles'!$AW$28/12,IF(AND('Lease Cycles'!$AT$28&gt;=INDEX('Lease Cycles'!$BG$28:$BM$28,1,CY350),'Lease Cycles'!$AT$28&lt;=CY$6),'Lease Cycles'!$C$28*'Lease Cycles'!$AU$28/12,'Lease Cycles'!$C$28*INDEX('Lease Cycles'!$CB$28:$CH$28,1,CY350)*(1+INDEX('Lease Cycles'!$CI$28:$CO$28,1,CY350))^INT(INT(CY351/12)/INDEX('Lease Cycles'!$CP$28:$CV$28,1,CY350))/12)))),'Lease Cycles'!$C$28*INDEX('Lease Cycles'!$CB$28:$CH$28,1,CY350)*(1+INDEX('Lease Cycles'!$CI$28:$CO$28,1,CY350))^INT(INT(CY351/12)/INDEX('Lease Cycles'!$CP$28:$CV$28,1,CY350))/12))),IF('Lease Cycles'!$N$28=1,'Lease Cycles'!$C$28*'Lease Cycles'!$E$28*INDEX('Lease Cycles'!$HE$28:$HK$28,1,CY350)*(1+INDEX('Lease Cycles'!$GQ$28:$GW$28,1,CY350))^INT(INT((CY$6-INDEX('Lease Cycles'!$GJ$28:$GP$28,1,CY350))/12)/INDEX('Lease Cycles'!$GX$28:$HD$28,1,CY350))/12,0)))</f>
        <v>0</v>
      </c>
      <c r="CZ353" s="28">
        <f>IF(CZ350=0,IF('Lease Cycles'!$F$28&gt;0,'Lease Cycles'!$C$28*'Lease Cycles'!$E$28/12,0),IF(CZ352=1,IF('Lease Cycles'!$AT$28&gt;=9999,'Lease Cycles'!$C$28*INDEX('Lease Cycles'!$CB$28:$CH$28,1,CZ350)*(1+INDEX('Lease Cycles'!$CI$28:$CO$28,1,CZ350))^INT(INT(CZ351/12)/INDEX('Lease Cycles'!$CP$28:$CV$28,1,CZ350))/12,IF(CZ350=1,IF(CZ351&gt;=INDEX('Lease Cycles'!$DK$28:$DQ$28,1,CZ350),IF(CZ$6&gt;='Lease Cycles'!$AZ$28,'Lease Cycles'!$C$28*'Lease Cycles'!$BA$28/12,IF(CZ$6&gt;='Lease Cycles'!$AX$28,'Lease Cycles'!$C$28*'Lease Cycles'!$AY$28/12,IF(CZ$6&gt;='Lease Cycles'!$AV$28,'Lease Cycles'!$C$28*'Lease Cycles'!$AW$28/12,IF(CZ$6&gt;='Lease Cycles'!$AT$28,'Lease Cycles'!$C$28*'Lease Cycles'!$AU$28/12,'Lease Cycles'!$C$28*INDEX('Lease Cycles'!$CB$28:$CH$28,1,CZ350)*(1+INDEX('Lease Cycles'!$CI$28:$CO$28,1,CZ350))^INT(INT(CZ351/12)/INDEX('Lease Cycles'!$CP$28:$CV$28,1,CZ350))/12)))),'Lease Cycles'!$C$28*INDEX('Lease Cycles'!$CB$28:$CH$28,1,CZ350)*(1+INDEX('Lease Cycles'!$CI$28:$CO$28,1,CZ350))^INT(INT(CZ351/12)/INDEX('Lease Cycles'!$CP$28:$CV$28,1,CZ350))/12),IF(INDEX('Lease Cycles'!$EF$28:$EL$28,1,CZ350)=1,IF(AND('Lease Cycles'!$AZ$28&gt;=INDEX('Lease Cycles'!$BG$28:$BM$28,1,CZ350),'Lease Cycles'!$AZ$28&lt;=CZ$6),'Lease Cycles'!$C$28*'Lease Cycles'!$BA$28/12,IF(AND('Lease Cycles'!$AX$28&gt;=INDEX('Lease Cycles'!$BG$28:$BM$28,1,CZ350),'Lease Cycles'!$AX$28&lt;=CZ$6),'Lease Cycles'!$C$28*'Lease Cycles'!$AY$28/12,IF(AND('Lease Cycles'!$AV$28&gt;=INDEX('Lease Cycles'!$BG$28:$BM$28,1,CZ350),'Lease Cycles'!$AV$28&lt;=CZ$6),'Lease Cycles'!$C$28*'Lease Cycles'!$AW$28/12,IF(AND('Lease Cycles'!$AT$28&gt;=INDEX('Lease Cycles'!$BG$28:$BM$28,1,CZ350),'Lease Cycles'!$AT$28&lt;=CZ$6),'Lease Cycles'!$C$28*'Lease Cycles'!$AU$28/12,'Lease Cycles'!$C$28*INDEX('Lease Cycles'!$CB$28:$CH$28,1,CZ350)*(1+INDEX('Lease Cycles'!$CI$28:$CO$28,1,CZ350))^INT(INT(CZ351/12)/INDEX('Lease Cycles'!$CP$28:$CV$28,1,CZ350))/12)))),'Lease Cycles'!$C$28*INDEX('Lease Cycles'!$CB$28:$CH$28,1,CZ350)*(1+INDEX('Lease Cycles'!$CI$28:$CO$28,1,CZ350))^INT(INT(CZ351/12)/INDEX('Lease Cycles'!$CP$28:$CV$28,1,CZ350))/12))),IF('Lease Cycles'!$N$28=1,'Lease Cycles'!$C$28*'Lease Cycles'!$E$28*INDEX('Lease Cycles'!$HE$28:$HK$28,1,CZ350)*(1+INDEX('Lease Cycles'!$GQ$28:$GW$28,1,CZ350))^INT(INT((CZ$6-INDEX('Lease Cycles'!$GJ$28:$GP$28,1,CZ350))/12)/INDEX('Lease Cycles'!$GX$28:$HD$28,1,CZ350))/12,0)))</f>
        <v>0</v>
      </c>
      <c r="DA353" s="28">
        <f>IF(DA350=0,IF('Lease Cycles'!$F$28&gt;0,'Lease Cycles'!$C$28*'Lease Cycles'!$E$28/12,0),IF(DA352=1,IF('Lease Cycles'!$AT$28&gt;=9999,'Lease Cycles'!$C$28*INDEX('Lease Cycles'!$CB$28:$CH$28,1,DA350)*(1+INDEX('Lease Cycles'!$CI$28:$CO$28,1,DA350))^INT(INT(DA351/12)/INDEX('Lease Cycles'!$CP$28:$CV$28,1,DA350))/12,IF(DA350=1,IF(DA351&gt;=INDEX('Lease Cycles'!$DK$28:$DQ$28,1,DA350),IF(DA$6&gt;='Lease Cycles'!$AZ$28,'Lease Cycles'!$C$28*'Lease Cycles'!$BA$28/12,IF(DA$6&gt;='Lease Cycles'!$AX$28,'Lease Cycles'!$C$28*'Lease Cycles'!$AY$28/12,IF(DA$6&gt;='Lease Cycles'!$AV$28,'Lease Cycles'!$C$28*'Lease Cycles'!$AW$28/12,IF(DA$6&gt;='Lease Cycles'!$AT$28,'Lease Cycles'!$C$28*'Lease Cycles'!$AU$28/12,'Lease Cycles'!$C$28*INDEX('Lease Cycles'!$CB$28:$CH$28,1,DA350)*(1+INDEX('Lease Cycles'!$CI$28:$CO$28,1,DA350))^INT(INT(DA351/12)/INDEX('Lease Cycles'!$CP$28:$CV$28,1,DA350))/12)))),'Lease Cycles'!$C$28*INDEX('Lease Cycles'!$CB$28:$CH$28,1,DA350)*(1+INDEX('Lease Cycles'!$CI$28:$CO$28,1,DA350))^INT(INT(DA351/12)/INDEX('Lease Cycles'!$CP$28:$CV$28,1,DA350))/12),IF(INDEX('Lease Cycles'!$EF$28:$EL$28,1,DA350)=1,IF(AND('Lease Cycles'!$AZ$28&gt;=INDEX('Lease Cycles'!$BG$28:$BM$28,1,DA350),'Lease Cycles'!$AZ$28&lt;=DA$6),'Lease Cycles'!$C$28*'Lease Cycles'!$BA$28/12,IF(AND('Lease Cycles'!$AX$28&gt;=INDEX('Lease Cycles'!$BG$28:$BM$28,1,DA350),'Lease Cycles'!$AX$28&lt;=DA$6),'Lease Cycles'!$C$28*'Lease Cycles'!$AY$28/12,IF(AND('Lease Cycles'!$AV$28&gt;=INDEX('Lease Cycles'!$BG$28:$BM$28,1,DA350),'Lease Cycles'!$AV$28&lt;=DA$6),'Lease Cycles'!$C$28*'Lease Cycles'!$AW$28/12,IF(AND('Lease Cycles'!$AT$28&gt;=INDEX('Lease Cycles'!$BG$28:$BM$28,1,DA350),'Lease Cycles'!$AT$28&lt;=DA$6),'Lease Cycles'!$C$28*'Lease Cycles'!$AU$28/12,'Lease Cycles'!$C$28*INDEX('Lease Cycles'!$CB$28:$CH$28,1,DA350)*(1+INDEX('Lease Cycles'!$CI$28:$CO$28,1,DA350))^INT(INT(DA351/12)/INDEX('Lease Cycles'!$CP$28:$CV$28,1,DA350))/12)))),'Lease Cycles'!$C$28*INDEX('Lease Cycles'!$CB$28:$CH$28,1,DA350)*(1+INDEX('Lease Cycles'!$CI$28:$CO$28,1,DA350))^INT(INT(DA351/12)/INDEX('Lease Cycles'!$CP$28:$CV$28,1,DA350))/12))),IF('Lease Cycles'!$N$28=1,'Lease Cycles'!$C$28*'Lease Cycles'!$E$28*INDEX('Lease Cycles'!$HE$28:$HK$28,1,DA350)*(1+INDEX('Lease Cycles'!$GQ$28:$GW$28,1,DA350))^INT(INT((DA$6-INDEX('Lease Cycles'!$GJ$28:$GP$28,1,DA350))/12)/INDEX('Lease Cycles'!$GX$28:$HD$28,1,DA350))/12,0)))</f>
        <v>0</v>
      </c>
      <c r="DB353" s="28">
        <f>IF(DB350=0,IF('Lease Cycles'!$F$28&gt;0,'Lease Cycles'!$C$28*'Lease Cycles'!$E$28/12,0),IF(DB352=1,IF('Lease Cycles'!$AT$28&gt;=9999,'Lease Cycles'!$C$28*INDEX('Lease Cycles'!$CB$28:$CH$28,1,DB350)*(1+INDEX('Lease Cycles'!$CI$28:$CO$28,1,DB350))^INT(INT(DB351/12)/INDEX('Lease Cycles'!$CP$28:$CV$28,1,DB350))/12,IF(DB350=1,IF(DB351&gt;=INDEX('Lease Cycles'!$DK$28:$DQ$28,1,DB350),IF(DB$6&gt;='Lease Cycles'!$AZ$28,'Lease Cycles'!$C$28*'Lease Cycles'!$BA$28/12,IF(DB$6&gt;='Lease Cycles'!$AX$28,'Lease Cycles'!$C$28*'Lease Cycles'!$AY$28/12,IF(DB$6&gt;='Lease Cycles'!$AV$28,'Lease Cycles'!$C$28*'Lease Cycles'!$AW$28/12,IF(DB$6&gt;='Lease Cycles'!$AT$28,'Lease Cycles'!$C$28*'Lease Cycles'!$AU$28/12,'Lease Cycles'!$C$28*INDEX('Lease Cycles'!$CB$28:$CH$28,1,DB350)*(1+INDEX('Lease Cycles'!$CI$28:$CO$28,1,DB350))^INT(INT(DB351/12)/INDEX('Lease Cycles'!$CP$28:$CV$28,1,DB350))/12)))),'Lease Cycles'!$C$28*INDEX('Lease Cycles'!$CB$28:$CH$28,1,DB350)*(1+INDEX('Lease Cycles'!$CI$28:$CO$28,1,DB350))^INT(INT(DB351/12)/INDEX('Lease Cycles'!$CP$28:$CV$28,1,DB350))/12),IF(INDEX('Lease Cycles'!$EF$28:$EL$28,1,DB350)=1,IF(AND('Lease Cycles'!$AZ$28&gt;=INDEX('Lease Cycles'!$BG$28:$BM$28,1,DB350),'Lease Cycles'!$AZ$28&lt;=DB$6),'Lease Cycles'!$C$28*'Lease Cycles'!$BA$28/12,IF(AND('Lease Cycles'!$AX$28&gt;=INDEX('Lease Cycles'!$BG$28:$BM$28,1,DB350),'Lease Cycles'!$AX$28&lt;=DB$6),'Lease Cycles'!$C$28*'Lease Cycles'!$AY$28/12,IF(AND('Lease Cycles'!$AV$28&gt;=INDEX('Lease Cycles'!$BG$28:$BM$28,1,DB350),'Lease Cycles'!$AV$28&lt;=DB$6),'Lease Cycles'!$C$28*'Lease Cycles'!$AW$28/12,IF(AND('Lease Cycles'!$AT$28&gt;=INDEX('Lease Cycles'!$BG$28:$BM$28,1,DB350),'Lease Cycles'!$AT$28&lt;=DB$6),'Lease Cycles'!$C$28*'Lease Cycles'!$AU$28/12,'Lease Cycles'!$C$28*INDEX('Lease Cycles'!$CB$28:$CH$28,1,DB350)*(1+INDEX('Lease Cycles'!$CI$28:$CO$28,1,DB350))^INT(INT(DB351/12)/INDEX('Lease Cycles'!$CP$28:$CV$28,1,DB350))/12)))),'Lease Cycles'!$C$28*INDEX('Lease Cycles'!$CB$28:$CH$28,1,DB350)*(1+INDEX('Lease Cycles'!$CI$28:$CO$28,1,DB350))^INT(INT(DB351/12)/INDEX('Lease Cycles'!$CP$28:$CV$28,1,DB350))/12))),IF('Lease Cycles'!$N$28=1,'Lease Cycles'!$C$28*'Lease Cycles'!$E$28*INDEX('Lease Cycles'!$HE$28:$HK$28,1,DB350)*(1+INDEX('Lease Cycles'!$GQ$28:$GW$28,1,DB350))^INT(INT((DB$6-INDEX('Lease Cycles'!$GJ$28:$GP$28,1,DB350))/12)/INDEX('Lease Cycles'!$GX$28:$HD$28,1,DB350))/12,0)))</f>
        <v>0</v>
      </c>
      <c r="DC353" s="28">
        <f>IF(DC350=0,IF('Lease Cycles'!$F$28&gt;0,'Lease Cycles'!$C$28*'Lease Cycles'!$E$28/12,0),IF(DC352=1,IF('Lease Cycles'!$AT$28&gt;=9999,'Lease Cycles'!$C$28*INDEX('Lease Cycles'!$CB$28:$CH$28,1,DC350)*(1+INDEX('Lease Cycles'!$CI$28:$CO$28,1,DC350))^INT(INT(DC351/12)/INDEX('Lease Cycles'!$CP$28:$CV$28,1,DC350))/12,IF(DC350=1,IF(DC351&gt;=INDEX('Lease Cycles'!$DK$28:$DQ$28,1,DC350),IF(DC$6&gt;='Lease Cycles'!$AZ$28,'Lease Cycles'!$C$28*'Lease Cycles'!$BA$28/12,IF(DC$6&gt;='Lease Cycles'!$AX$28,'Lease Cycles'!$C$28*'Lease Cycles'!$AY$28/12,IF(DC$6&gt;='Lease Cycles'!$AV$28,'Lease Cycles'!$C$28*'Lease Cycles'!$AW$28/12,IF(DC$6&gt;='Lease Cycles'!$AT$28,'Lease Cycles'!$C$28*'Lease Cycles'!$AU$28/12,'Lease Cycles'!$C$28*INDEX('Lease Cycles'!$CB$28:$CH$28,1,DC350)*(1+INDEX('Lease Cycles'!$CI$28:$CO$28,1,DC350))^INT(INT(DC351/12)/INDEX('Lease Cycles'!$CP$28:$CV$28,1,DC350))/12)))),'Lease Cycles'!$C$28*INDEX('Lease Cycles'!$CB$28:$CH$28,1,DC350)*(1+INDEX('Lease Cycles'!$CI$28:$CO$28,1,DC350))^INT(INT(DC351/12)/INDEX('Lease Cycles'!$CP$28:$CV$28,1,DC350))/12),IF(INDEX('Lease Cycles'!$EF$28:$EL$28,1,DC350)=1,IF(AND('Lease Cycles'!$AZ$28&gt;=INDEX('Lease Cycles'!$BG$28:$BM$28,1,DC350),'Lease Cycles'!$AZ$28&lt;=DC$6),'Lease Cycles'!$C$28*'Lease Cycles'!$BA$28/12,IF(AND('Lease Cycles'!$AX$28&gt;=INDEX('Lease Cycles'!$BG$28:$BM$28,1,DC350),'Lease Cycles'!$AX$28&lt;=DC$6),'Lease Cycles'!$C$28*'Lease Cycles'!$AY$28/12,IF(AND('Lease Cycles'!$AV$28&gt;=INDEX('Lease Cycles'!$BG$28:$BM$28,1,DC350),'Lease Cycles'!$AV$28&lt;=DC$6),'Lease Cycles'!$C$28*'Lease Cycles'!$AW$28/12,IF(AND('Lease Cycles'!$AT$28&gt;=INDEX('Lease Cycles'!$BG$28:$BM$28,1,DC350),'Lease Cycles'!$AT$28&lt;=DC$6),'Lease Cycles'!$C$28*'Lease Cycles'!$AU$28/12,'Lease Cycles'!$C$28*INDEX('Lease Cycles'!$CB$28:$CH$28,1,DC350)*(1+INDEX('Lease Cycles'!$CI$28:$CO$28,1,DC350))^INT(INT(DC351/12)/INDEX('Lease Cycles'!$CP$28:$CV$28,1,DC350))/12)))),'Lease Cycles'!$C$28*INDEX('Lease Cycles'!$CB$28:$CH$28,1,DC350)*(1+INDEX('Lease Cycles'!$CI$28:$CO$28,1,DC350))^INT(INT(DC351/12)/INDEX('Lease Cycles'!$CP$28:$CV$28,1,DC350))/12))),IF('Lease Cycles'!$N$28=1,'Lease Cycles'!$C$28*'Lease Cycles'!$E$28*INDEX('Lease Cycles'!$HE$28:$HK$28,1,DC350)*(1+INDEX('Lease Cycles'!$GQ$28:$GW$28,1,DC350))^INT(INT((DC$6-INDEX('Lease Cycles'!$GJ$28:$GP$28,1,DC350))/12)/INDEX('Lease Cycles'!$GX$28:$HD$28,1,DC350))/12,0)))</f>
        <v>0</v>
      </c>
      <c r="DD353" s="28">
        <f>IF(DD350=0,IF('Lease Cycles'!$F$28&gt;0,'Lease Cycles'!$C$28*'Lease Cycles'!$E$28/12,0),IF(DD352=1,IF('Lease Cycles'!$AT$28&gt;=9999,'Lease Cycles'!$C$28*INDEX('Lease Cycles'!$CB$28:$CH$28,1,DD350)*(1+INDEX('Lease Cycles'!$CI$28:$CO$28,1,DD350))^INT(INT(DD351/12)/INDEX('Lease Cycles'!$CP$28:$CV$28,1,DD350))/12,IF(DD350=1,IF(DD351&gt;=INDEX('Lease Cycles'!$DK$28:$DQ$28,1,DD350),IF(DD$6&gt;='Lease Cycles'!$AZ$28,'Lease Cycles'!$C$28*'Lease Cycles'!$BA$28/12,IF(DD$6&gt;='Lease Cycles'!$AX$28,'Lease Cycles'!$C$28*'Lease Cycles'!$AY$28/12,IF(DD$6&gt;='Lease Cycles'!$AV$28,'Lease Cycles'!$C$28*'Lease Cycles'!$AW$28/12,IF(DD$6&gt;='Lease Cycles'!$AT$28,'Lease Cycles'!$C$28*'Lease Cycles'!$AU$28/12,'Lease Cycles'!$C$28*INDEX('Lease Cycles'!$CB$28:$CH$28,1,DD350)*(1+INDEX('Lease Cycles'!$CI$28:$CO$28,1,DD350))^INT(INT(DD351/12)/INDEX('Lease Cycles'!$CP$28:$CV$28,1,DD350))/12)))),'Lease Cycles'!$C$28*INDEX('Lease Cycles'!$CB$28:$CH$28,1,DD350)*(1+INDEX('Lease Cycles'!$CI$28:$CO$28,1,DD350))^INT(INT(DD351/12)/INDEX('Lease Cycles'!$CP$28:$CV$28,1,DD350))/12),IF(INDEX('Lease Cycles'!$EF$28:$EL$28,1,DD350)=1,IF(AND('Lease Cycles'!$AZ$28&gt;=INDEX('Lease Cycles'!$BG$28:$BM$28,1,DD350),'Lease Cycles'!$AZ$28&lt;=DD$6),'Lease Cycles'!$C$28*'Lease Cycles'!$BA$28/12,IF(AND('Lease Cycles'!$AX$28&gt;=INDEX('Lease Cycles'!$BG$28:$BM$28,1,DD350),'Lease Cycles'!$AX$28&lt;=DD$6),'Lease Cycles'!$C$28*'Lease Cycles'!$AY$28/12,IF(AND('Lease Cycles'!$AV$28&gt;=INDEX('Lease Cycles'!$BG$28:$BM$28,1,DD350),'Lease Cycles'!$AV$28&lt;=DD$6),'Lease Cycles'!$C$28*'Lease Cycles'!$AW$28/12,IF(AND('Lease Cycles'!$AT$28&gt;=INDEX('Lease Cycles'!$BG$28:$BM$28,1,DD350),'Lease Cycles'!$AT$28&lt;=DD$6),'Lease Cycles'!$C$28*'Lease Cycles'!$AU$28/12,'Lease Cycles'!$C$28*INDEX('Lease Cycles'!$CB$28:$CH$28,1,DD350)*(1+INDEX('Lease Cycles'!$CI$28:$CO$28,1,DD350))^INT(INT(DD351/12)/INDEX('Lease Cycles'!$CP$28:$CV$28,1,DD350))/12)))),'Lease Cycles'!$C$28*INDEX('Lease Cycles'!$CB$28:$CH$28,1,DD350)*(1+INDEX('Lease Cycles'!$CI$28:$CO$28,1,DD350))^INT(INT(DD351/12)/INDEX('Lease Cycles'!$CP$28:$CV$28,1,DD350))/12))),IF('Lease Cycles'!$N$28=1,'Lease Cycles'!$C$28*'Lease Cycles'!$E$28*INDEX('Lease Cycles'!$HE$28:$HK$28,1,DD350)*(1+INDEX('Lease Cycles'!$GQ$28:$GW$28,1,DD350))^INT(INT((DD$6-INDEX('Lease Cycles'!$GJ$28:$GP$28,1,DD350))/12)/INDEX('Lease Cycles'!$GX$28:$HD$28,1,DD350))/12,0)))</f>
        <v>0</v>
      </c>
      <c r="DE353" s="28">
        <f>IF(DE350=0,IF('Lease Cycles'!$F$28&gt;0,'Lease Cycles'!$C$28*'Lease Cycles'!$E$28/12,0),IF(DE352=1,IF('Lease Cycles'!$AT$28&gt;=9999,'Lease Cycles'!$C$28*INDEX('Lease Cycles'!$CB$28:$CH$28,1,DE350)*(1+INDEX('Lease Cycles'!$CI$28:$CO$28,1,DE350))^INT(INT(DE351/12)/INDEX('Lease Cycles'!$CP$28:$CV$28,1,DE350))/12,IF(DE350=1,IF(DE351&gt;=INDEX('Lease Cycles'!$DK$28:$DQ$28,1,DE350),IF(DE$6&gt;='Lease Cycles'!$AZ$28,'Lease Cycles'!$C$28*'Lease Cycles'!$BA$28/12,IF(DE$6&gt;='Lease Cycles'!$AX$28,'Lease Cycles'!$C$28*'Lease Cycles'!$AY$28/12,IF(DE$6&gt;='Lease Cycles'!$AV$28,'Lease Cycles'!$C$28*'Lease Cycles'!$AW$28/12,IF(DE$6&gt;='Lease Cycles'!$AT$28,'Lease Cycles'!$C$28*'Lease Cycles'!$AU$28/12,'Lease Cycles'!$C$28*INDEX('Lease Cycles'!$CB$28:$CH$28,1,DE350)*(1+INDEX('Lease Cycles'!$CI$28:$CO$28,1,DE350))^INT(INT(DE351/12)/INDEX('Lease Cycles'!$CP$28:$CV$28,1,DE350))/12)))),'Lease Cycles'!$C$28*INDEX('Lease Cycles'!$CB$28:$CH$28,1,DE350)*(1+INDEX('Lease Cycles'!$CI$28:$CO$28,1,DE350))^INT(INT(DE351/12)/INDEX('Lease Cycles'!$CP$28:$CV$28,1,DE350))/12),IF(INDEX('Lease Cycles'!$EF$28:$EL$28,1,DE350)=1,IF(AND('Lease Cycles'!$AZ$28&gt;=INDEX('Lease Cycles'!$BG$28:$BM$28,1,DE350),'Lease Cycles'!$AZ$28&lt;=DE$6),'Lease Cycles'!$C$28*'Lease Cycles'!$BA$28/12,IF(AND('Lease Cycles'!$AX$28&gt;=INDEX('Lease Cycles'!$BG$28:$BM$28,1,DE350),'Lease Cycles'!$AX$28&lt;=DE$6),'Lease Cycles'!$C$28*'Lease Cycles'!$AY$28/12,IF(AND('Lease Cycles'!$AV$28&gt;=INDEX('Lease Cycles'!$BG$28:$BM$28,1,DE350),'Lease Cycles'!$AV$28&lt;=DE$6),'Lease Cycles'!$C$28*'Lease Cycles'!$AW$28/12,IF(AND('Lease Cycles'!$AT$28&gt;=INDEX('Lease Cycles'!$BG$28:$BM$28,1,DE350),'Lease Cycles'!$AT$28&lt;=DE$6),'Lease Cycles'!$C$28*'Lease Cycles'!$AU$28/12,'Lease Cycles'!$C$28*INDEX('Lease Cycles'!$CB$28:$CH$28,1,DE350)*(1+INDEX('Lease Cycles'!$CI$28:$CO$28,1,DE350))^INT(INT(DE351/12)/INDEX('Lease Cycles'!$CP$28:$CV$28,1,DE350))/12)))),'Lease Cycles'!$C$28*INDEX('Lease Cycles'!$CB$28:$CH$28,1,DE350)*(1+INDEX('Lease Cycles'!$CI$28:$CO$28,1,DE350))^INT(INT(DE351/12)/INDEX('Lease Cycles'!$CP$28:$CV$28,1,DE350))/12))),IF('Lease Cycles'!$N$28=1,'Lease Cycles'!$C$28*'Lease Cycles'!$E$28*INDEX('Lease Cycles'!$HE$28:$HK$28,1,DE350)*(1+INDEX('Lease Cycles'!$GQ$28:$GW$28,1,DE350))^INT(INT((DE$6-INDEX('Lease Cycles'!$GJ$28:$GP$28,1,DE350))/12)/INDEX('Lease Cycles'!$GX$28:$HD$28,1,DE350))/12,0)))</f>
        <v>0</v>
      </c>
      <c r="DF353" s="28">
        <f>IF(DF350=0,IF('Lease Cycles'!$F$28&gt;0,'Lease Cycles'!$C$28*'Lease Cycles'!$E$28/12,0),IF(DF352=1,IF('Lease Cycles'!$AT$28&gt;=9999,'Lease Cycles'!$C$28*INDEX('Lease Cycles'!$CB$28:$CH$28,1,DF350)*(1+INDEX('Lease Cycles'!$CI$28:$CO$28,1,DF350))^INT(INT(DF351/12)/INDEX('Lease Cycles'!$CP$28:$CV$28,1,DF350))/12,IF(DF350=1,IF(DF351&gt;=INDEX('Lease Cycles'!$DK$28:$DQ$28,1,DF350),IF(DF$6&gt;='Lease Cycles'!$AZ$28,'Lease Cycles'!$C$28*'Lease Cycles'!$BA$28/12,IF(DF$6&gt;='Lease Cycles'!$AX$28,'Lease Cycles'!$C$28*'Lease Cycles'!$AY$28/12,IF(DF$6&gt;='Lease Cycles'!$AV$28,'Lease Cycles'!$C$28*'Lease Cycles'!$AW$28/12,IF(DF$6&gt;='Lease Cycles'!$AT$28,'Lease Cycles'!$C$28*'Lease Cycles'!$AU$28/12,'Lease Cycles'!$C$28*INDEX('Lease Cycles'!$CB$28:$CH$28,1,DF350)*(1+INDEX('Lease Cycles'!$CI$28:$CO$28,1,DF350))^INT(INT(DF351/12)/INDEX('Lease Cycles'!$CP$28:$CV$28,1,DF350))/12)))),'Lease Cycles'!$C$28*INDEX('Lease Cycles'!$CB$28:$CH$28,1,DF350)*(1+INDEX('Lease Cycles'!$CI$28:$CO$28,1,DF350))^INT(INT(DF351/12)/INDEX('Lease Cycles'!$CP$28:$CV$28,1,DF350))/12),IF(INDEX('Lease Cycles'!$EF$28:$EL$28,1,DF350)=1,IF(AND('Lease Cycles'!$AZ$28&gt;=INDEX('Lease Cycles'!$BG$28:$BM$28,1,DF350),'Lease Cycles'!$AZ$28&lt;=DF$6),'Lease Cycles'!$C$28*'Lease Cycles'!$BA$28/12,IF(AND('Lease Cycles'!$AX$28&gt;=INDEX('Lease Cycles'!$BG$28:$BM$28,1,DF350),'Lease Cycles'!$AX$28&lt;=DF$6),'Lease Cycles'!$C$28*'Lease Cycles'!$AY$28/12,IF(AND('Lease Cycles'!$AV$28&gt;=INDEX('Lease Cycles'!$BG$28:$BM$28,1,DF350),'Lease Cycles'!$AV$28&lt;=DF$6),'Lease Cycles'!$C$28*'Lease Cycles'!$AW$28/12,IF(AND('Lease Cycles'!$AT$28&gt;=INDEX('Lease Cycles'!$BG$28:$BM$28,1,DF350),'Lease Cycles'!$AT$28&lt;=DF$6),'Lease Cycles'!$C$28*'Lease Cycles'!$AU$28/12,'Lease Cycles'!$C$28*INDEX('Lease Cycles'!$CB$28:$CH$28,1,DF350)*(1+INDEX('Lease Cycles'!$CI$28:$CO$28,1,DF350))^INT(INT(DF351/12)/INDEX('Lease Cycles'!$CP$28:$CV$28,1,DF350))/12)))),'Lease Cycles'!$C$28*INDEX('Lease Cycles'!$CB$28:$CH$28,1,DF350)*(1+INDEX('Lease Cycles'!$CI$28:$CO$28,1,DF350))^INT(INT(DF351/12)/INDEX('Lease Cycles'!$CP$28:$CV$28,1,DF350))/12))),IF('Lease Cycles'!$N$28=1,'Lease Cycles'!$C$28*'Lease Cycles'!$E$28*INDEX('Lease Cycles'!$HE$28:$HK$28,1,DF350)*(1+INDEX('Lease Cycles'!$GQ$28:$GW$28,1,DF350))^INT(INT((DF$6-INDEX('Lease Cycles'!$GJ$28:$GP$28,1,DF350))/12)/INDEX('Lease Cycles'!$GX$28:$HD$28,1,DF350))/12,0)))</f>
        <v>0</v>
      </c>
      <c r="DG353" s="28">
        <f>IF(DG350=0,IF('Lease Cycles'!$F$28&gt;0,'Lease Cycles'!$C$28*'Lease Cycles'!$E$28/12,0),IF(DG352=1,IF('Lease Cycles'!$AT$28&gt;=9999,'Lease Cycles'!$C$28*INDEX('Lease Cycles'!$CB$28:$CH$28,1,DG350)*(1+INDEX('Lease Cycles'!$CI$28:$CO$28,1,DG350))^INT(INT(DG351/12)/INDEX('Lease Cycles'!$CP$28:$CV$28,1,DG350))/12,IF(DG350=1,IF(DG351&gt;=INDEX('Lease Cycles'!$DK$28:$DQ$28,1,DG350),IF(DG$6&gt;='Lease Cycles'!$AZ$28,'Lease Cycles'!$C$28*'Lease Cycles'!$BA$28/12,IF(DG$6&gt;='Lease Cycles'!$AX$28,'Lease Cycles'!$C$28*'Lease Cycles'!$AY$28/12,IF(DG$6&gt;='Lease Cycles'!$AV$28,'Lease Cycles'!$C$28*'Lease Cycles'!$AW$28/12,IF(DG$6&gt;='Lease Cycles'!$AT$28,'Lease Cycles'!$C$28*'Lease Cycles'!$AU$28/12,'Lease Cycles'!$C$28*INDEX('Lease Cycles'!$CB$28:$CH$28,1,DG350)*(1+INDEX('Lease Cycles'!$CI$28:$CO$28,1,DG350))^INT(INT(DG351/12)/INDEX('Lease Cycles'!$CP$28:$CV$28,1,DG350))/12)))),'Lease Cycles'!$C$28*INDEX('Lease Cycles'!$CB$28:$CH$28,1,DG350)*(1+INDEX('Lease Cycles'!$CI$28:$CO$28,1,DG350))^INT(INT(DG351/12)/INDEX('Lease Cycles'!$CP$28:$CV$28,1,DG350))/12),IF(INDEX('Lease Cycles'!$EF$28:$EL$28,1,DG350)=1,IF(AND('Lease Cycles'!$AZ$28&gt;=INDEX('Lease Cycles'!$BG$28:$BM$28,1,DG350),'Lease Cycles'!$AZ$28&lt;=DG$6),'Lease Cycles'!$C$28*'Lease Cycles'!$BA$28/12,IF(AND('Lease Cycles'!$AX$28&gt;=INDEX('Lease Cycles'!$BG$28:$BM$28,1,DG350),'Lease Cycles'!$AX$28&lt;=DG$6),'Lease Cycles'!$C$28*'Lease Cycles'!$AY$28/12,IF(AND('Lease Cycles'!$AV$28&gt;=INDEX('Lease Cycles'!$BG$28:$BM$28,1,DG350),'Lease Cycles'!$AV$28&lt;=DG$6),'Lease Cycles'!$C$28*'Lease Cycles'!$AW$28/12,IF(AND('Lease Cycles'!$AT$28&gt;=INDEX('Lease Cycles'!$BG$28:$BM$28,1,DG350),'Lease Cycles'!$AT$28&lt;=DG$6),'Lease Cycles'!$C$28*'Lease Cycles'!$AU$28/12,'Lease Cycles'!$C$28*INDEX('Lease Cycles'!$CB$28:$CH$28,1,DG350)*(1+INDEX('Lease Cycles'!$CI$28:$CO$28,1,DG350))^INT(INT(DG351/12)/INDEX('Lease Cycles'!$CP$28:$CV$28,1,DG350))/12)))),'Lease Cycles'!$C$28*INDEX('Lease Cycles'!$CB$28:$CH$28,1,DG350)*(1+INDEX('Lease Cycles'!$CI$28:$CO$28,1,DG350))^INT(INT(DG351/12)/INDEX('Lease Cycles'!$CP$28:$CV$28,1,DG350))/12))),IF('Lease Cycles'!$N$28=1,'Lease Cycles'!$C$28*'Lease Cycles'!$E$28*INDEX('Lease Cycles'!$HE$28:$HK$28,1,DG350)*(1+INDEX('Lease Cycles'!$GQ$28:$GW$28,1,DG350))^INT(INT((DG$6-INDEX('Lease Cycles'!$GJ$28:$GP$28,1,DG350))/12)/INDEX('Lease Cycles'!$GX$28:$HD$28,1,DG350))/12,0)))</f>
        <v>0</v>
      </c>
      <c r="DH353" s="28">
        <f>IF(DH350=0,IF('Lease Cycles'!$F$28&gt;0,'Lease Cycles'!$C$28*'Lease Cycles'!$E$28/12,0),IF(DH352=1,IF('Lease Cycles'!$AT$28&gt;=9999,'Lease Cycles'!$C$28*INDEX('Lease Cycles'!$CB$28:$CH$28,1,DH350)*(1+INDEX('Lease Cycles'!$CI$28:$CO$28,1,DH350))^INT(INT(DH351/12)/INDEX('Lease Cycles'!$CP$28:$CV$28,1,DH350))/12,IF(DH350=1,IF(DH351&gt;=INDEX('Lease Cycles'!$DK$28:$DQ$28,1,DH350),IF(DH$6&gt;='Lease Cycles'!$AZ$28,'Lease Cycles'!$C$28*'Lease Cycles'!$BA$28/12,IF(DH$6&gt;='Lease Cycles'!$AX$28,'Lease Cycles'!$C$28*'Lease Cycles'!$AY$28/12,IF(DH$6&gt;='Lease Cycles'!$AV$28,'Lease Cycles'!$C$28*'Lease Cycles'!$AW$28/12,IF(DH$6&gt;='Lease Cycles'!$AT$28,'Lease Cycles'!$C$28*'Lease Cycles'!$AU$28/12,'Lease Cycles'!$C$28*INDEX('Lease Cycles'!$CB$28:$CH$28,1,DH350)*(1+INDEX('Lease Cycles'!$CI$28:$CO$28,1,DH350))^INT(INT(DH351/12)/INDEX('Lease Cycles'!$CP$28:$CV$28,1,DH350))/12)))),'Lease Cycles'!$C$28*INDEX('Lease Cycles'!$CB$28:$CH$28,1,DH350)*(1+INDEX('Lease Cycles'!$CI$28:$CO$28,1,DH350))^INT(INT(DH351/12)/INDEX('Lease Cycles'!$CP$28:$CV$28,1,DH350))/12),IF(INDEX('Lease Cycles'!$EF$28:$EL$28,1,DH350)=1,IF(AND('Lease Cycles'!$AZ$28&gt;=INDEX('Lease Cycles'!$BG$28:$BM$28,1,DH350),'Lease Cycles'!$AZ$28&lt;=DH$6),'Lease Cycles'!$C$28*'Lease Cycles'!$BA$28/12,IF(AND('Lease Cycles'!$AX$28&gt;=INDEX('Lease Cycles'!$BG$28:$BM$28,1,DH350),'Lease Cycles'!$AX$28&lt;=DH$6),'Lease Cycles'!$C$28*'Lease Cycles'!$AY$28/12,IF(AND('Lease Cycles'!$AV$28&gt;=INDEX('Lease Cycles'!$BG$28:$BM$28,1,DH350),'Lease Cycles'!$AV$28&lt;=DH$6),'Lease Cycles'!$C$28*'Lease Cycles'!$AW$28/12,IF(AND('Lease Cycles'!$AT$28&gt;=INDEX('Lease Cycles'!$BG$28:$BM$28,1,DH350),'Lease Cycles'!$AT$28&lt;=DH$6),'Lease Cycles'!$C$28*'Lease Cycles'!$AU$28/12,'Lease Cycles'!$C$28*INDEX('Lease Cycles'!$CB$28:$CH$28,1,DH350)*(1+INDEX('Lease Cycles'!$CI$28:$CO$28,1,DH350))^INT(INT(DH351/12)/INDEX('Lease Cycles'!$CP$28:$CV$28,1,DH350))/12)))),'Lease Cycles'!$C$28*INDEX('Lease Cycles'!$CB$28:$CH$28,1,DH350)*(1+INDEX('Lease Cycles'!$CI$28:$CO$28,1,DH350))^INT(INT(DH351/12)/INDEX('Lease Cycles'!$CP$28:$CV$28,1,DH350))/12))),IF('Lease Cycles'!$N$28=1,'Lease Cycles'!$C$28*'Lease Cycles'!$E$28*INDEX('Lease Cycles'!$HE$28:$HK$28,1,DH350)*(1+INDEX('Lease Cycles'!$GQ$28:$GW$28,1,DH350))^INT(INT((DH$6-INDEX('Lease Cycles'!$GJ$28:$GP$28,1,DH350))/12)/INDEX('Lease Cycles'!$GX$28:$HD$28,1,DH350))/12,0)))</f>
        <v>0</v>
      </c>
      <c r="DI353" s="28">
        <f>IF(DI350=0,IF('Lease Cycles'!$F$28&gt;0,'Lease Cycles'!$C$28*'Lease Cycles'!$E$28/12,0),IF(DI352=1,IF('Lease Cycles'!$AT$28&gt;=9999,'Lease Cycles'!$C$28*INDEX('Lease Cycles'!$CB$28:$CH$28,1,DI350)*(1+INDEX('Lease Cycles'!$CI$28:$CO$28,1,DI350))^INT(INT(DI351/12)/INDEX('Lease Cycles'!$CP$28:$CV$28,1,DI350))/12,IF(DI350=1,IF(DI351&gt;=INDEX('Lease Cycles'!$DK$28:$DQ$28,1,DI350),IF(DI$6&gt;='Lease Cycles'!$AZ$28,'Lease Cycles'!$C$28*'Lease Cycles'!$BA$28/12,IF(DI$6&gt;='Lease Cycles'!$AX$28,'Lease Cycles'!$C$28*'Lease Cycles'!$AY$28/12,IF(DI$6&gt;='Lease Cycles'!$AV$28,'Lease Cycles'!$C$28*'Lease Cycles'!$AW$28/12,IF(DI$6&gt;='Lease Cycles'!$AT$28,'Lease Cycles'!$C$28*'Lease Cycles'!$AU$28/12,'Lease Cycles'!$C$28*INDEX('Lease Cycles'!$CB$28:$CH$28,1,DI350)*(1+INDEX('Lease Cycles'!$CI$28:$CO$28,1,DI350))^INT(INT(DI351/12)/INDEX('Lease Cycles'!$CP$28:$CV$28,1,DI350))/12)))),'Lease Cycles'!$C$28*INDEX('Lease Cycles'!$CB$28:$CH$28,1,DI350)*(1+INDEX('Lease Cycles'!$CI$28:$CO$28,1,DI350))^INT(INT(DI351/12)/INDEX('Lease Cycles'!$CP$28:$CV$28,1,DI350))/12),IF(INDEX('Lease Cycles'!$EF$28:$EL$28,1,DI350)=1,IF(AND('Lease Cycles'!$AZ$28&gt;=INDEX('Lease Cycles'!$BG$28:$BM$28,1,DI350),'Lease Cycles'!$AZ$28&lt;=DI$6),'Lease Cycles'!$C$28*'Lease Cycles'!$BA$28/12,IF(AND('Lease Cycles'!$AX$28&gt;=INDEX('Lease Cycles'!$BG$28:$BM$28,1,DI350),'Lease Cycles'!$AX$28&lt;=DI$6),'Lease Cycles'!$C$28*'Lease Cycles'!$AY$28/12,IF(AND('Lease Cycles'!$AV$28&gt;=INDEX('Lease Cycles'!$BG$28:$BM$28,1,DI350),'Lease Cycles'!$AV$28&lt;=DI$6),'Lease Cycles'!$C$28*'Lease Cycles'!$AW$28/12,IF(AND('Lease Cycles'!$AT$28&gt;=INDEX('Lease Cycles'!$BG$28:$BM$28,1,DI350),'Lease Cycles'!$AT$28&lt;=DI$6),'Lease Cycles'!$C$28*'Lease Cycles'!$AU$28/12,'Lease Cycles'!$C$28*INDEX('Lease Cycles'!$CB$28:$CH$28,1,DI350)*(1+INDEX('Lease Cycles'!$CI$28:$CO$28,1,DI350))^INT(INT(DI351/12)/INDEX('Lease Cycles'!$CP$28:$CV$28,1,DI350))/12)))),'Lease Cycles'!$C$28*INDEX('Lease Cycles'!$CB$28:$CH$28,1,DI350)*(1+INDEX('Lease Cycles'!$CI$28:$CO$28,1,DI350))^INT(INT(DI351/12)/INDEX('Lease Cycles'!$CP$28:$CV$28,1,DI350))/12))),IF('Lease Cycles'!$N$28=1,'Lease Cycles'!$C$28*'Lease Cycles'!$E$28*INDEX('Lease Cycles'!$HE$28:$HK$28,1,DI350)*(1+INDEX('Lease Cycles'!$GQ$28:$GW$28,1,DI350))^INT(INT((DI$6-INDEX('Lease Cycles'!$GJ$28:$GP$28,1,DI350))/12)/INDEX('Lease Cycles'!$GX$28:$HD$28,1,DI350))/12,0)))</f>
        <v>0</v>
      </c>
      <c r="DJ353" s="28">
        <f>IF(DJ350=0,IF('Lease Cycles'!$F$28&gt;0,'Lease Cycles'!$C$28*'Lease Cycles'!$E$28/12,0),IF(DJ352=1,IF('Lease Cycles'!$AT$28&gt;=9999,'Lease Cycles'!$C$28*INDEX('Lease Cycles'!$CB$28:$CH$28,1,DJ350)*(1+INDEX('Lease Cycles'!$CI$28:$CO$28,1,DJ350))^INT(INT(DJ351/12)/INDEX('Lease Cycles'!$CP$28:$CV$28,1,DJ350))/12,IF(DJ350=1,IF(DJ351&gt;=INDEX('Lease Cycles'!$DK$28:$DQ$28,1,DJ350),IF(DJ$6&gt;='Lease Cycles'!$AZ$28,'Lease Cycles'!$C$28*'Lease Cycles'!$BA$28/12,IF(DJ$6&gt;='Lease Cycles'!$AX$28,'Lease Cycles'!$C$28*'Lease Cycles'!$AY$28/12,IF(DJ$6&gt;='Lease Cycles'!$AV$28,'Lease Cycles'!$C$28*'Lease Cycles'!$AW$28/12,IF(DJ$6&gt;='Lease Cycles'!$AT$28,'Lease Cycles'!$C$28*'Lease Cycles'!$AU$28/12,'Lease Cycles'!$C$28*INDEX('Lease Cycles'!$CB$28:$CH$28,1,DJ350)*(1+INDEX('Lease Cycles'!$CI$28:$CO$28,1,DJ350))^INT(INT(DJ351/12)/INDEX('Lease Cycles'!$CP$28:$CV$28,1,DJ350))/12)))),'Lease Cycles'!$C$28*INDEX('Lease Cycles'!$CB$28:$CH$28,1,DJ350)*(1+INDEX('Lease Cycles'!$CI$28:$CO$28,1,DJ350))^INT(INT(DJ351/12)/INDEX('Lease Cycles'!$CP$28:$CV$28,1,DJ350))/12),IF(INDEX('Lease Cycles'!$EF$28:$EL$28,1,DJ350)=1,IF(AND('Lease Cycles'!$AZ$28&gt;=INDEX('Lease Cycles'!$BG$28:$BM$28,1,DJ350),'Lease Cycles'!$AZ$28&lt;=DJ$6),'Lease Cycles'!$C$28*'Lease Cycles'!$BA$28/12,IF(AND('Lease Cycles'!$AX$28&gt;=INDEX('Lease Cycles'!$BG$28:$BM$28,1,DJ350),'Lease Cycles'!$AX$28&lt;=DJ$6),'Lease Cycles'!$C$28*'Lease Cycles'!$AY$28/12,IF(AND('Lease Cycles'!$AV$28&gt;=INDEX('Lease Cycles'!$BG$28:$BM$28,1,DJ350),'Lease Cycles'!$AV$28&lt;=DJ$6),'Lease Cycles'!$C$28*'Lease Cycles'!$AW$28/12,IF(AND('Lease Cycles'!$AT$28&gt;=INDEX('Lease Cycles'!$BG$28:$BM$28,1,DJ350),'Lease Cycles'!$AT$28&lt;=DJ$6),'Lease Cycles'!$C$28*'Lease Cycles'!$AU$28/12,'Lease Cycles'!$C$28*INDEX('Lease Cycles'!$CB$28:$CH$28,1,DJ350)*(1+INDEX('Lease Cycles'!$CI$28:$CO$28,1,DJ350))^INT(INT(DJ351/12)/INDEX('Lease Cycles'!$CP$28:$CV$28,1,DJ350))/12)))),'Lease Cycles'!$C$28*INDEX('Lease Cycles'!$CB$28:$CH$28,1,DJ350)*(1+INDEX('Lease Cycles'!$CI$28:$CO$28,1,DJ350))^INT(INT(DJ351/12)/INDEX('Lease Cycles'!$CP$28:$CV$28,1,DJ350))/12))),IF('Lease Cycles'!$N$28=1,'Lease Cycles'!$C$28*'Lease Cycles'!$E$28*INDEX('Lease Cycles'!$HE$28:$HK$28,1,DJ350)*(1+INDEX('Lease Cycles'!$GQ$28:$GW$28,1,DJ350))^INT(INT((DJ$6-INDEX('Lease Cycles'!$GJ$28:$GP$28,1,DJ350))/12)/INDEX('Lease Cycles'!$GX$28:$HD$28,1,DJ350))/12,0)))</f>
        <v>0</v>
      </c>
      <c r="DK353" s="28">
        <f>IF(DK350=0,IF('Lease Cycles'!$F$28&gt;0,'Lease Cycles'!$C$28*'Lease Cycles'!$E$28/12,0),IF(DK352=1,IF('Lease Cycles'!$AT$28&gt;=9999,'Lease Cycles'!$C$28*INDEX('Lease Cycles'!$CB$28:$CH$28,1,DK350)*(1+INDEX('Lease Cycles'!$CI$28:$CO$28,1,DK350))^INT(INT(DK351/12)/INDEX('Lease Cycles'!$CP$28:$CV$28,1,DK350))/12,IF(DK350=1,IF(DK351&gt;=INDEX('Lease Cycles'!$DK$28:$DQ$28,1,DK350),IF(DK$6&gt;='Lease Cycles'!$AZ$28,'Lease Cycles'!$C$28*'Lease Cycles'!$BA$28/12,IF(DK$6&gt;='Lease Cycles'!$AX$28,'Lease Cycles'!$C$28*'Lease Cycles'!$AY$28/12,IF(DK$6&gt;='Lease Cycles'!$AV$28,'Lease Cycles'!$C$28*'Lease Cycles'!$AW$28/12,IF(DK$6&gt;='Lease Cycles'!$AT$28,'Lease Cycles'!$C$28*'Lease Cycles'!$AU$28/12,'Lease Cycles'!$C$28*INDEX('Lease Cycles'!$CB$28:$CH$28,1,DK350)*(1+INDEX('Lease Cycles'!$CI$28:$CO$28,1,DK350))^INT(INT(DK351/12)/INDEX('Lease Cycles'!$CP$28:$CV$28,1,DK350))/12)))),'Lease Cycles'!$C$28*INDEX('Lease Cycles'!$CB$28:$CH$28,1,DK350)*(1+INDEX('Lease Cycles'!$CI$28:$CO$28,1,DK350))^INT(INT(DK351/12)/INDEX('Lease Cycles'!$CP$28:$CV$28,1,DK350))/12),IF(INDEX('Lease Cycles'!$EF$28:$EL$28,1,DK350)=1,IF(AND('Lease Cycles'!$AZ$28&gt;=INDEX('Lease Cycles'!$BG$28:$BM$28,1,DK350),'Lease Cycles'!$AZ$28&lt;=DK$6),'Lease Cycles'!$C$28*'Lease Cycles'!$BA$28/12,IF(AND('Lease Cycles'!$AX$28&gt;=INDEX('Lease Cycles'!$BG$28:$BM$28,1,DK350),'Lease Cycles'!$AX$28&lt;=DK$6),'Lease Cycles'!$C$28*'Lease Cycles'!$AY$28/12,IF(AND('Lease Cycles'!$AV$28&gt;=INDEX('Lease Cycles'!$BG$28:$BM$28,1,DK350),'Lease Cycles'!$AV$28&lt;=DK$6),'Lease Cycles'!$C$28*'Lease Cycles'!$AW$28/12,IF(AND('Lease Cycles'!$AT$28&gt;=INDEX('Lease Cycles'!$BG$28:$BM$28,1,DK350),'Lease Cycles'!$AT$28&lt;=DK$6),'Lease Cycles'!$C$28*'Lease Cycles'!$AU$28/12,'Lease Cycles'!$C$28*INDEX('Lease Cycles'!$CB$28:$CH$28,1,DK350)*(1+INDEX('Lease Cycles'!$CI$28:$CO$28,1,DK350))^INT(INT(DK351/12)/INDEX('Lease Cycles'!$CP$28:$CV$28,1,DK350))/12)))),'Lease Cycles'!$C$28*INDEX('Lease Cycles'!$CB$28:$CH$28,1,DK350)*(1+INDEX('Lease Cycles'!$CI$28:$CO$28,1,DK350))^INT(INT(DK351/12)/INDEX('Lease Cycles'!$CP$28:$CV$28,1,DK350))/12))),IF('Lease Cycles'!$N$28=1,'Lease Cycles'!$C$28*'Lease Cycles'!$E$28*INDEX('Lease Cycles'!$HE$28:$HK$28,1,DK350)*(1+INDEX('Lease Cycles'!$GQ$28:$GW$28,1,DK350))^INT(INT((DK$6-INDEX('Lease Cycles'!$GJ$28:$GP$28,1,DK350))/12)/INDEX('Lease Cycles'!$GX$28:$HD$28,1,DK350))/12,0)))</f>
        <v>0</v>
      </c>
      <c r="DL353" s="28">
        <f>IF(DL350=0,IF('Lease Cycles'!$F$28&gt;0,'Lease Cycles'!$C$28*'Lease Cycles'!$E$28/12,0),IF(DL352=1,IF('Lease Cycles'!$AT$28&gt;=9999,'Lease Cycles'!$C$28*INDEX('Lease Cycles'!$CB$28:$CH$28,1,DL350)*(1+INDEX('Lease Cycles'!$CI$28:$CO$28,1,DL350))^INT(INT(DL351/12)/INDEX('Lease Cycles'!$CP$28:$CV$28,1,DL350))/12,IF(DL350=1,IF(DL351&gt;=INDEX('Lease Cycles'!$DK$28:$DQ$28,1,DL350),IF(DL$6&gt;='Lease Cycles'!$AZ$28,'Lease Cycles'!$C$28*'Lease Cycles'!$BA$28/12,IF(DL$6&gt;='Lease Cycles'!$AX$28,'Lease Cycles'!$C$28*'Lease Cycles'!$AY$28/12,IF(DL$6&gt;='Lease Cycles'!$AV$28,'Lease Cycles'!$C$28*'Lease Cycles'!$AW$28/12,IF(DL$6&gt;='Lease Cycles'!$AT$28,'Lease Cycles'!$C$28*'Lease Cycles'!$AU$28/12,'Lease Cycles'!$C$28*INDEX('Lease Cycles'!$CB$28:$CH$28,1,DL350)*(1+INDEX('Lease Cycles'!$CI$28:$CO$28,1,DL350))^INT(INT(DL351/12)/INDEX('Lease Cycles'!$CP$28:$CV$28,1,DL350))/12)))),'Lease Cycles'!$C$28*INDEX('Lease Cycles'!$CB$28:$CH$28,1,DL350)*(1+INDEX('Lease Cycles'!$CI$28:$CO$28,1,DL350))^INT(INT(DL351/12)/INDEX('Lease Cycles'!$CP$28:$CV$28,1,DL350))/12),IF(INDEX('Lease Cycles'!$EF$28:$EL$28,1,DL350)=1,IF(AND('Lease Cycles'!$AZ$28&gt;=INDEX('Lease Cycles'!$BG$28:$BM$28,1,DL350),'Lease Cycles'!$AZ$28&lt;=DL$6),'Lease Cycles'!$C$28*'Lease Cycles'!$BA$28/12,IF(AND('Lease Cycles'!$AX$28&gt;=INDEX('Lease Cycles'!$BG$28:$BM$28,1,DL350),'Lease Cycles'!$AX$28&lt;=DL$6),'Lease Cycles'!$C$28*'Lease Cycles'!$AY$28/12,IF(AND('Lease Cycles'!$AV$28&gt;=INDEX('Lease Cycles'!$BG$28:$BM$28,1,DL350),'Lease Cycles'!$AV$28&lt;=DL$6),'Lease Cycles'!$C$28*'Lease Cycles'!$AW$28/12,IF(AND('Lease Cycles'!$AT$28&gt;=INDEX('Lease Cycles'!$BG$28:$BM$28,1,DL350),'Lease Cycles'!$AT$28&lt;=DL$6),'Lease Cycles'!$C$28*'Lease Cycles'!$AU$28/12,'Lease Cycles'!$C$28*INDEX('Lease Cycles'!$CB$28:$CH$28,1,DL350)*(1+INDEX('Lease Cycles'!$CI$28:$CO$28,1,DL350))^INT(INT(DL351/12)/INDEX('Lease Cycles'!$CP$28:$CV$28,1,DL350))/12)))),'Lease Cycles'!$C$28*INDEX('Lease Cycles'!$CB$28:$CH$28,1,DL350)*(1+INDEX('Lease Cycles'!$CI$28:$CO$28,1,DL350))^INT(INT(DL351/12)/INDEX('Lease Cycles'!$CP$28:$CV$28,1,DL350))/12))),IF('Lease Cycles'!$N$28=1,'Lease Cycles'!$C$28*'Lease Cycles'!$E$28*INDEX('Lease Cycles'!$HE$28:$HK$28,1,DL350)*(1+INDEX('Lease Cycles'!$GQ$28:$GW$28,1,DL350))^INT(INT((DL$6-INDEX('Lease Cycles'!$GJ$28:$GP$28,1,DL350))/12)/INDEX('Lease Cycles'!$GX$28:$HD$28,1,DL350))/12,0)))</f>
        <v>0</v>
      </c>
      <c r="DM353" s="28">
        <f>IF(DM350=0,IF('Lease Cycles'!$F$28&gt;0,'Lease Cycles'!$C$28*'Lease Cycles'!$E$28/12,0),IF(DM352=1,IF('Lease Cycles'!$AT$28&gt;=9999,'Lease Cycles'!$C$28*INDEX('Lease Cycles'!$CB$28:$CH$28,1,DM350)*(1+INDEX('Lease Cycles'!$CI$28:$CO$28,1,DM350))^INT(INT(DM351/12)/INDEX('Lease Cycles'!$CP$28:$CV$28,1,DM350))/12,IF(DM350=1,IF(DM351&gt;=INDEX('Lease Cycles'!$DK$28:$DQ$28,1,DM350),IF(DM$6&gt;='Lease Cycles'!$AZ$28,'Lease Cycles'!$C$28*'Lease Cycles'!$BA$28/12,IF(DM$6&gt;='Lease Cycles'!$AX$28,'Lease Cycles'!$C$28*'Lease Cycles'!$AY$28/12,IF(DM$6&gt;='Lease Cycles'!$AV$28,'Lease Cycles'!$C$28*'Lease Cycles'!$AW$28/12,IF(DM$6&gt;='Lease Cycles'!$AT$28,'Lease Cycles'!$C$28*'Lease Cycles'!$AU$28/12,'Lease Cycles'!$C$28*INDEX('Lease Cycles'!$CB$28:$CH$28,1,DM350)*(1+INDEX('Lease Cycles'!$CI$28:$CO$28,1,DM350))^INT(INT(DM351/12)/INDEX('Lease Cycles'!$CP$28:$CV$28,1,DM350))/12)))),'Lease Cycles'!$C$28*INDEX('Lease Cycles'!$CB$28:$CH$28,1,DM350)*(1+INDEX('Lease Cycles'!$CI$28:$CO$28,1,DM350))^INT(INT(DM351/12)/INDEX('Lease Cycles'!$CP$28:$CV$28,1,DM350))/12),IF(INDEX('Lease Cycles'!$EF$28:$EL$28,1,DM350)=1,IF(AND('Lease Cycles'!$AZ$28&gt;=INDEX('Lease Cycles'!$BG$28:$BM$28,1,DM350),'Lease Cycles'!$AZ$28&lt;=DM$6),'Lease Cycles'!$C$28*'Lease Cycles'!$BA$28/12,IF(AND('Lease Cycles'!$AX$28&gt;=INDEX('Lease Cycles'!$BG$28:$BM$28,1,DM350),'Lease Cycles'!$AX$28&lt;=DM$6),'Lease Cycles'!$C$28*'Lease Cycles'!$AY$28/12,IF(AND('Lease Cycles'!$AV$28&gt;=INDEX('Lease Cycles'!$BG$28:$BM$28,1,DM350),'Lease Cycles'!$AV$28&lt;=DM$6),'Lease Cycles'!$C$28*'Lease Cycles'!$AW$28/12,IF(AND('Lease Cycles'!$AT$28&gt;=INDEX('Lease Cycles'!$BG$28:$BM$28,1,DM350),'Lease Cycles'!$AT$28&lt;=DM$6),'Lease Cycles'!$C$28*'Lease Cycles'!$AU$28/12,'Lease Cycles'!$C$28*INDEX('Lease Cycles'!$CB$28:$CH$28,1,DM350)*(1+INDEX('Lease Cycles'!$CI$28:$CO$28,1,DM350))^INT(INT(DM351/12)/INDEX('Lease Cycles'!$CP$28:$CV$28,1,DM350))/12)))),'Lease Cycles'!$C$28*INDEX('Lease Cycles'!$CB$28:$CH$28,1,DM350)*(1+INDEX('Lease Cycles'!$CI$28:$CO$28,1,DM350))^INT(INT(DM351/12)/INDEX('Lease Cycles'!$CP$28:$CV$28,1,DM350))/12))),IF('Lease Cycles'!$N$28=1,'Lease Cycles'!$C$28*'Lease Cycles'!$E$28*INDEX('Lease Cycles'!$HE$28:$HK$28,1,DM350)*(1+INDEX('Lease Cycles'!$GQ$28:$GW$28,1,DM350))^INT(INT((DM$6-INDEX('Lease Cycles'!$GJ$28:$GP$28,1,DM350))/12)/INDEX('Lease Cycles'!$GX$28:$HD$28,1,DM350))/12,0)))</f>
        <v>0</v>
      </c>
      <c r="DN353" s="28">
        <f>IF(DN350=0,IF('Lease Cycles'!$F$28&gt;0,'Lease Cycles'!$C$28*'Lease Cycles'!$E$28/12,0),IF(DN352=1,IF('Lease Cycles'!$AT$28&gt;=9999,'Lease Cycles'!$C$28*INDEX('Lease Cycles'!$CB$28:$CH$28,1,DN350)*(1+INDEX('Lease Cycles'!$CI$28:$CO$28,1,DN350))^INT(INT(DN351/12)/INDEX('Lease Cycles'!$CP$28:$CV$28,1,DN350))/12,IF(DN350=1,IF(DN351&gt;=INDEX('Lease Cycles'!$DK$28:$DQ$28,1,DN350),IF(DN$6&gt;='Lease Cycles'!$AZ$28,'Lease Cycles'!$C$28*'Lease Cycles'!$BA$28/12,IF(DN$6&gt;='Lease Cycles'!$AX$28,'Lease Cycles'!$C$28*'Lease Cycles'!$AY$28/12,IF(DN$6&gt;='Lease Cycles'!$AV$28,'Lease Cycles'!$C$28*'Lease Cycles'!$AW$28/12,IF(DN$6&gt;='Lease Cycles'!$AT$28,'Lease Cycles'!$C$28*'Lease Cycles'!$AU$28/12,'Lease Cycles'!$C$28*INDEX('Lease Cycles'!$CB$28:$CH$28,1,DN350)*(1+INDEX('Lease Cycles'!$CI$28:$CO$28,1,DN350))^INT(INT(DN351/12)/INDEX('Lease Cycles'!$CP$28:$CV$28,1,DN350))/12)))),'Lease Cycles'!$C$28*INDEX('Lease Cycles'!$CB$28:$CH$28,1,DN350)*(1+INDEX('Lease Cycles'!$CI$28:$CO$28,1,DN350))^INT(INT(DN351/12)/INDEX('Lease Cycles'!$CP$28:$CV$28,1,DN350))/12),IF(INDEX('Lease Cycles'!$EF$28:$EL$28,1,DN350)=1,IF(AND('Lease Cycles'!$AZ$28&gt;=INDEX('Lease Cycles'!$BG$28:$BM$28,1,DN350),'Lease Cycles'!$AZ$28&lt;=DN$6),'Lease Cycles'!$C$28*'Lease Cycles'!$BA$28/12,IF(AND('Lease Cycles'!$AX$28&gt;=INDEX('Lease Cycles'!$BG$28:$BM$28,1,DN350),'Lease Cycles'!$AX$28&lt;=DN$6),'Lease Cycles'!$C$28*'Lease Cycles'!$AY$28/12,IF(AND('Lease Cycles'!$AV$28&gt;=INDEX('Lease Cycles'!$BG$28:$BM$28,1,DN350),'Lease Cycles'!$AV$28&lt;=DN$6),'Lease Cycles'!$C$28*'Lease Cycles'!$AW$28/12,IF(AND('Lease Cycles'!$AT$28&gt;=INDEX('Lease Cycles'!$BG$28:$BM$28,1,DN350),'Lease Cycles'!$AT$28&lt;=DN$6),'Lease Cycles'!$C$28*'Lease Cycles'!$AU$28/12,'Lease Cycles'!$C$28*INDEX('Lease Cycles'!$CB$28:$CH$28,1,DN350)*(1+INDEX('Lease Cycles'!$CI$28:$CO$28,1,DN350))^INT(INT(DN351/12)/INDEX('Lease Cycles'!$CP$28:$CV$28,1,DN350))/12)))),'Lease Cycles'!$C$28*INDEX('Lease Cycles'!$CB$28:$CH$28,1,DN350)*(1+INDEX('Lease Cycles'!$CI$28:$CO$28,1,DN350))^INT(INT(DN351/12)/INDEX('Lease Cycles'!$CP$28:$CV$28,1,DN350))/12))),IF('Lease Cycles'!$N$28=1,'Lease Cycles'!$C$28*'Lease Cycles'!$E$28*INDEX('Lease Cycles'!$HE$28:$HK$28,1,DN350)*(1+INDEX('Lease Cycles'!$GQ$28:$GW$28,1,DN350))^INT(INT((DN$6-INDEX('Lease Cycles'!$GJ$28:$GP$28,1,DN350))/12)/INDEX('Lease Cycles'!$GX$28:$HD$28,1,DN350))/12,0)))</f>
        <v>0</v>
      </c>
      <c r="DO353" s="28">
        <f>IF(DO350=0,IF('Lease Cycles'!$F$28&gt;0,'Lease Cycles'!$C$28*'Lease Cycles'!$E$28/12,0),IF(DO352=1,IF('Lease Cycles'!$AT$28&gt;=9999,'Lease Cycles'!$C$28*INDEX('Lease Cycles'!$CB$28:$CH$28,1,DO350)*(1+INDEX('Lease Cycles'!$CI$28:$CO$28,1,DO350))^INT(INT(DO351/12)/INDEX('Lease Cycles'!$CP$28:$CV$28,1,DO350))/12,IF(DO350=1,IF(DO351&gt;=INDEX('Lease Cycles'!$DK$28:$DQ$28,1,DO350),IF(DO$6&gt;='Lease Cycles'!$AZ$28,'Lease Cycles'!$C$28*'Lease Cycles'!$BA$28/12,IF(DO$6&gt;='Lease Cycles'!$AX$28,'Lease Cycles'!$C$28*'Lease Cycles'!$AY$28/12,IF(DO$6&gt;='Lease Cycles'!$AV$28,'Lease Cycles'!$C$28*'Lease Cycles'!$AW$28/12,IF(DO$6&gt;='Lease Cycles'!$AT$28,'Lease Cycles'!$C$28*'Lease Cycles'!$AU$28/12,'Lease Cycles'!$C$28*INDEX('Lease Cycles'!$CB$28:$CH$28,1,DO350)*(1+INDEX('Lease Cycles'!$CI$28:$CO$28,1,DO350))^INT(INT(DO351/12)/INDEX('Lease Cycles'!$CP$28:$CV$28,1,DO350))/12)))),'Lease Cycles'!$C$28*INDEX('Lease Cycles'!$CB$28:$CH$28,1,DO350)*(1+INDEX('Lease Cycles'!$CI$28:$CO$28,1,DO350))^INT(INT(DO351/12)/INDEX('Lease Cycles'!$CP$28:$CV$28,1,DO350))/12),IF(INDEX('Lease Cycles'!$EF$28:$EL$28,1,DO350)=1,IF(AND('Lease Cycles'!$AZ$28&gt;=INDEX('Lease Cycles'!$BG$28:$BM$28,1,DO350),'Lease Cycles'!$AZ$28&lt;=DO$6),'Lease Cycles'!$C$28*'Lease Cycles'!$BA$28/12,IF(AND('Lease Cycles'!$AX$28&gt;=INDEX('Lease Cycles'!$BG$28:$BM$28,1,DO350),'Lease Cycles'!$AX$28&lt;=DO$6),'Lease Cycles'!$C$28*'Lease Cycles'!$AY$28/12,IF(AND('Lease Cycles'!$AV$28&gt;=INDEX('Lease Cycles'!$BG$28:$BM$28,1,DO350),'Lease Cycles'!$AV$28&lt;=DO$6),'Lease Cycles'!$C$28*'Lease Cycles'!$AW$28/12,IF(AND('Lease Cycles'!$AT$28&gt;=INDEX('Lease Cycles'!$BG$28:$BM$28,1,DO350),'Lease Cycles'!$AT$28&lt;=DO$6),'Lease Cycles'!$C$28*'Lease Cycles'!$AU$28/12,'Lease Cycles'!$C$28*INDEX('Lease Cycles'!$CB$28:$CH$28,1,DO350)*(1+INDEX('Lease Cycles'!$CI$28:$CO$28,1,DO350))^INT(INT(DO351/12)/INDEX('Lease Cycles'!$CP$28:$CV$28,1,DO350))/12)))),'Lease Cycles'!$C$28*INDEX('Lease Cycles'!$CB$28:$CH$28,1,DO350)*(1+INDEX('Lease Cycles'!$CI$28:$CO$28,1,DO350))^INT(INT(DO351/12)/INDEX('Lease Cycles'!$CP$28:$CV$28,1,DO350))/12))),IF('Lease Cycles'!$N$28=1,'Lease Cycles'!$C$28*'Lease Cycles'!$E$28*INDEX('Lease Cycles'!$HE$28:$HK$28,1,DO350)*(1+INDEX('Lease Cycles'!$GQ$28:$GW$28,1,DO350))^INT(INT((DO$6-INDEX('Lease Cycles'!$GJ$28:$GP$28,1,DO350))/12)/INDEX('Lease Cycles'!$GX$28:$HD$28,1,DO350))/12,0)))</f>
        <v>0</v>
      </c>
      <c r="DP353" s="28">
        <f>IF(DP350=0,IF('Lease Cycles'!$F$28&gt;0,'Lease Cycles'!$C$28*'Lease Cycles'!$E$28/12,0),IF(DP352=1,IF('Lease Cycles'!$AT$28&gt;=9999,'Lease Cycles'!$C$28*INDEX('Lease Cycles'!$CB$28:$CH$28,1,DP350)*(1+INDEX('Lease Cycles'!$CI$28:$CO$28,1,DP350))^INT(INT(DP351/12)/INDEX('Lease Cycles'!$CP$28:$CV$28,1,DP350))/12,IF(DP350=1,IF(DP351&gt;=INDEX('Lease Cycles'!$DK$28:$DQ$28,1,DP350),IF(DP$6&gt;='Lease Cycles'!$AZ$28,'Lease Cycles'!$C$28*'Lease Cycles'!$BA$28/12,IF(DP$6&gt;='Lease Cycles'!$AX$28,'Lease Cycles'!$C$28*'Lease Cycles'!$AY$28/12,IF(DP$6&gt;='Lease Cycles'!$AV$28,'Lease Cycles'!$C$28*'Lease Cycles'!$AW$28/12,IF(DP$6&gt;='Lease Cycles'!$AT$28,'Lease Cycles'!$C$28*'Lease Cycles'!$AU$28/12,'Lease Cycles'!$C$28*INDEX('Lease Cycles'!$CB$28:$CH$28,1,DP350)*(1+INDEX('Lease Cycles'!$CI$28:$CO$28,1,DP350))^INT(INT(DP351/12)/INDEX('Lease Cycles'!$CP$28:$CV$28,1,DP350))/12)))),'Lease Cycles'!$C$28*INDEX('Lease Cycles'!$CB$28:$CH$28,1,DP350)*(1+INDEX('Lease Cycles'!$CI$28:$CO$28,1,DP350))^INT(INT(DP351/12)/INDEX('Lease Cycles'!$CP$28:$CV$28,1,DP350))/12),IF(INDEX('Lease Cycles'!$EF$28:$EL$28,1,DP350)=1,IF(AND('Lease Cycles'!$AZ$28&gt;=INDEX('Lease Cycles'!$BG$28:$BM$28,1,DP350),'Lease Cycles'!$AZ$28&lt;=DP$6),'Lease Cycles'!$C$28*'Lease Cycles'!$BA$28/12,IF(AND('Lease Cycles'!$AX$28&gt;=INDEX('Lease Cycles'!$BG$28:$BM$28,1,DP350),'Lease Cycles'!$AX$28&lt;=DP$6),'Lease Cycles'!$C$28*'Lease Cycles'!$AY$28/12,IF(AND('Lease Cycles'!$AV$28&gt;=INDEX('Lease Cycles'!$BG$28:$BM$28,1,DP350),'Lease Cycles'!$AV$28&lt;=DP$6),'Lease Cycles'!$C$28*'Lease Cycles'!$AW$28/12,IF(AND('Lease Cycles'!$AT$28&gt;=INDEX('Lease Cycles'!$BG$28:$BM$28,1,DP350),'Lease Cycles'!$AT$28&lt;=DP$6),'Lease Cycles'!$C$28*'Lease Cycles'!$AU$28/12,'Lease Cycles'!$C$28*INDEX('Lease Cycles'!$CB$28:$CH$28,1,DP350)*(1+INDEX('Lease Cycles'!$CI$28:$CO$28,1,DP350))^INT(INT(DP351/12)/INDEX('Lease Cycles'!$CP$28:$CV$28,1,DP350))/12)))),'Lease Cycles'!$C$28*INDEX('Lease Cycles'!$CB$28:$CH$28,1,DP350)*(1+INDEX('Lease Cycles'!$CI$28:$CO$28,1,DP350))^INT(INT(DP351/12)/INDEX('Lease Cycles'!$CP$28:$CV$28,1,DP350))/12))),IF('Lease Cycles'!$N$28=1,'Lease Cycles'!$C$28*'Lease Cycles'!$E$28*INDEX('Lease Cycles'!$HE$28:$HK$28,1,DP350)*(1+INDEX('Lease Cycles'!$GQ$28:$GW$28,1,DP350))^INT(INT((DP$6-INDEX('Lease Cycles'!$GJ$28:$GP$28,1,DP350))/12)/INDEX('Lease Cycles'!$GX$28:$HD$28,1,DP350))/12,0)))</f>
        <v>0</v>
      </c>
      <c r="DQ353" s="28">
        <f>IF(DQ350=0,IF('Lease Cycles'!$F$28&gt;0,'Lease Cycles'!$C$28*'Lease Cycles'!$E$28/12,0),IF(DQ352=1,IF('Lease Cycles'!$AT$28&gt;=9999,'Lease Cycles'!$C$28*INDEX('Lease Cycles'!$CB$28:$CH$28,1,DQ350)*(1+INDEX('Lease Cycles'!$CI$28:$CO$28,1,DQ350))^INT(INT(DQ351/12)/INDEX('Lease Cycles'!$CP$28:$CV$28,1,DQ350))/12,IF(DQ350=1,IF(DQ351&gt;=INDEX('Lease Cycles'!$DK$28:$DQ$28,1,DQ350),IF(DQ$6&gt;='Lease Cycles'!$AZ$28,'Lease Cycles'!$C$28*'Lease Cycles'!$BA$28/12,IF(DQ$6&gt;='Lease Cycles'!$AX$28,'Lease Cycles'!$C$28*'Lease Cycles'!$AY$28/12,IF(DQ$6&gt;='Lease Cycles'!$AV$28,'Lease Cycles'!$C$28*'Lease Cycles'!$AW$28/12,IF(DQ$6&gt;='Lease Cycles'!$AT$28,'Lease Cycles'!$C$28*'Lease Cycles'!$AU$28/12,'Lease Cycles'!$C$28*INDEX('Lease Cycles'!$CB$28:$CH$28,1,DQ350)*(1+INDEX('Lease Cycles'!$CI$28:$CO$28,1,DQ350))^INT(INT(DQ351/12)/INDEX('Lease Cycles'!$CP$28:$CV$28,1,DQ350))/12)))),'Lease Cycles'!$C$28*INDEX('Lease Cycles'!$CB$28:$CH$28,1,DQ350)*(1+INDEX('Lease Cycles'!$CI$28:$CO$28,1,DQ350))^INT(INT(DQ351/12)/INDEX('Lease Cycles'!$CP$28:$CV$28,1,DQ350))/12),IF(INDEX('Lease Cycles'!$EF$28:$EL$28,1,DQ350)=1,IF(AND('Lease Cycles'!$AZ$28&gt;=INDEX('Lease Cycles'!$BG$28:$BM$28,1,DQ350),'Lease Cycles'!$AZ$28&lt;=DQ$6),'Lease Cycles'!$C$28*'Lease Cycles'!$BA$28/12,IF(AND('Lease Cycles'!$AX$28&gt;=INDEX('Lease Cycles'!$BG$28:$BM$28,1,DQ350),'Lease Cycles'!$AX$28&lt;=DQ$6),'Lease Cycles'!$C$28*'Lease Cycles'!$AY$28/12,IF(AND('Lease Cycles'!$AV$28&gt;=INDEX('Lease Cycles'!$BG$28:$BM$28,1,DQ350),'Lease Cycles'!$AV$28&lt;=DQ$6),'Lease Cycles'!$C$28*'Lease Cycles'!$AW$28/12,IF(AND('Lease Cycles'!$AT$28&gt;=INDEX('Lease Cycles'!$BG$28:$BM$28,1,DQ350),'Lease Cycles'!$AT$28&lt;=DQ$6),'Lease Cycles'!$C$28*'Lease Cycles'!$AU$28/12,'Lease Cycles'!$C$28*INDEX('Lease Cycles'!$CB$28:$CH$28,1,DQ350)*(1+INDEX('Lease Cycles'!$CI$28:$CO$28,1,DQ350))^INT(INT(DQ351/12)/INDEX('Lease Cycles'!$CP$28:$CV$28,1,DQ350))/12)))),'Lease Cycles'!$C$28*INDEX('Lease Cycles'!$CB$28:$CH$28,1,DQ350)*(1+INDEX('Lease Cycles'!$CI$28:$CO$28,1,DQ350))^INT(INT(DQ351/12)/INDEX('Lease Cycles'!$CP$28:$CV$28,1,DQ350))/12))),IF('Lease Cycles'!$N$28=1,'Lease Cycles'!$C$28*'Lease Cycles'!$E$28*INDEX('Lease Cycles'!$HE$28:$HK$28,1,DQ350)*(1+INDEX('Lease Cycles'!$GQ$28:$GW$28,1,DQ350))^INT(INT((DQ$6-INDEX('Lease Cycles'!$GJ$28:$GP$28,1,DQ350))/12)/INDEX('Lease Cycles'!$GX$28:$HD$28,1,DQ350))/12,0)))</f>
        <v>0</v>
      </c>
      <c r="DR353" s="28">
        <f>IF(DR350=0,IF('Lease Cycles'!$F$28&gt;0,'Lease Cycles'!$C$28*'Lease Cycles'!$E$28/12,0),IF(DR352=1,IF('Lease Cycles'!$AT$28&gt;=9999,'Lease Cycles'!$C$28*INDEX('Lease Cycles'!$CB$28:$CH$28,1,DR350)*(1+INDEX('Lease Cycles'!$CI$28:$CO$28,1,DR350))^INT(INT(DR351/12)/INDEX('Lease Cycles'!$CP$28:$CV$28,1,DR350))/12,IF(DR350=1,IF(DR351&gt;=INDEX('Lease Cycles'!$DK$28:$DQ$28,1,DR350),IF(DR$6&gt;='Lease Cycles'!$AZ$28,'Lease Cycles'!$C$28*'Lease Cycles'!$BA$28/12,IF(DR$6&gt;='Lease Cycles'!$AX$28,'Lease Cycles'!$C$28*'Lease Cycles'!$AY$28/12,IF(DR$6&gt;='Lease Cycles'!$AV$28,'Lease Cycles'!$C$28*'Lease Cycles'!$AW$28/12,IF(DR$6&gt;='Lease Cycles'!$AT$28,'Lease Cycles'!$C$28*'Lease Cycles'!$AU$28/12,'Lease Cycles'!$C$28*INDEX('Lease Cycles'!$CB$28:$CH$28,1,DR350)*(1+INDEX('Lease Cycles'!$CI$28:$CO$28,1,DR350))^INT(INT(DR351/12)/INDEX('Lease Cycles'!$CP$28:$CV$28,1,DR350))/12)))),'Lease Cycles'!$C$28*INDEX('Lease Cycles'!$CB$28:$CH$28,1,DR350)*(1+INDEX('Lease Cycles'!$CI$28:$CO$28,1,DR350))^INT(INT(DR351/12)/INDEX('Lease Cycles'!$CP$28:$CV$28,1,DR350))/12),IF(INDEX('Lease Cycles'!$EF$28:$EL$28,1,DR350)=1,IF(AND('Lease Cycles'!$AZ$28&gt;=INDEX('Lease Cycles'!$BG$28:$BM$28,1,DR350),'Lease Cycles'!$AZ$28&lt;=DR$6),'Lease Cycles'!$C$28*'Lease Cycles'!$BA$28/12,IF(AND('Lease Cycles'!$AX$28&gt;=INDEX('Lease Cycles'!$BG$28:$BM$28,1,DR350),'Lease Cycles'!$AX$28&lt;=DR$6),'Lease Cycles'!$C$28*'Lease Cycles'!$AY$28/12,IF(AND('Lease Cycles'!$AV$28&gt;=INDEX('Lease Cycles'!$BG$28:$BM$28,1,DR350),'Lease Cycles'!$AV$28&lt;=DR$6),'Lease Cycles'!$C$28*'Lease Cycles'!$AW$28/12,IF(AND('Lease Cycles'!$AT$28&gt;=INDEX('Lease Cycles'!$BG$28:$BM$28,1,DR350),'Lease Cycles'!$AT$28&lt;=DR$6),'Lease Cycles'!$C$28*'Lease Cycles'!$AU$28/12,'Lease Cycles'!$C$28*INDEX('Lease Cycles'!$CB$28:$CH$28,1,DR350)*(1+INDEX('Lease Cycles'!$CI$28:$CO$28,1,DR350))^INT(INT(DR351/12)/INDEX('Lease Cycles'!$CP$28:$CV$28,1,DR350))/12)))),'Lease Cycles'!$C$28*INDEX('Lease Cycles'!$CB$28:$CH$28,1,DR350)*(1+INDEX('Lease Cycles'!$CI$28:$CO$28,1,DR350))^INT(INT(DR351/12)/INDEX('Lease Cycles'!$CP$28:$CV$28,1,DR350))/12))),IF('Lease Cycles'!$N$28=1,'Lease Cycles'!$C$28*'Lease Cycles'!$E$28*INDEX('Lease Cycles'!$HE$28:$HK$28,1,DR350)*(1+INDEX('Lease Cycles'!$GQ$28:$GW$28,1,DR350))^INT(INT((DR$6-INDEX('Lease Cycles'!$GJ$28:$GP$28,1,DR350))/12)/INDEX('Lease Cycles'!$GX$28:$HD$28,1,DR350))/12,0)))</f>
        <v>0</v>
      </c>
      <c r="DS353" s="28">
        <f>IF(DS350=0,IF('Lease Cycles'!$F$28&gt;0,'Lease Cycles'!$C$28*'Lease Cycles'!$E$28/12,0),IF(DS352=1,IF('Lease Cycles'!$AT$28&gt;=9999,'Lease Cycles'!$C$28*INDEX('Lease Cycles'!$CB$28:$CH$28,1,DS350)*(1+INDEX('Lease Cycles'!$CI$28:$CO$28,1,DS350))^INT(INT(DS351/12)/INDEX('Lease Cycles'!$CP$28:$CV$28,1,DS350))/12,IF(DS350=1,IF(DS351&gt;=INDEX('Lease Cycles'!$DK$28:$DQ$28,1,DS350),IF(DS$6&gt;='Lease Cycles'!$AZ$28,'Lease Cycles'!$C$28*'Lease Cycles'!$BA$28/12,IF(DS$6&gt;='Lease Cycles'!$AX$28,'Lease Cycles'!$C$28*'Lease Cycles'!$AY$28/12,IF(DS$6&gt;='Lease Cycles'!$AV$28,'Lease Cycles'!$C$28*'Lease Cycles'!$AW$28/12,IF(DS$6&gt;='Lease Cycles'!$AT$28,'Lease Cycles'!$C$28*'Lease Cycles'!$AU$28/12,'Lease Cycles'!$C$28*INDEX('Lease Cycles'!$CB$28:$CH$28,1,DS350)*(1+INDEX('Lease Cycles'!$CI$28:$CO$28,1,DS350))^INT(INT(DS351/12)/INDEX('Lease Cycles'!$CP$28:$CV$28,1,DS350))/12)))),'Lease Cycles'!$C$28*INDEX('Lease Cycles'!$CB$28:$CH$28,1,DS350)*(1+INDEX('Lease Cycles'!$CI$28:$CO$28,1,DS350))^INT(INT(DS351/12)/INDEX('Lease Cycles'!$CP$28:$CV$28,1,DS350))/12),IF(INDEX('Lease Cycles'!$EF$28:$EL$28,1,DS350)=1,IF(AND('Lease Cycles'!$AZ$28&gt;=INDEX('Lease Cycles'!$BG$28:$BM$28,1,DS350),'Lease Cycles'!$AZ$28&lt;=DS$6),'Lease Cycles'!$C$28*'Lease Cycles'!$BA$28/12,IF(AND('Lease Cycles'!$AX$28&gt;=INDEX('Lease Cycles'!$BG$28:$BM$28,1,DS350),'Lease Cycles'!$AX$28&lt;=DS$6),'Lease Cycles'!$C$28*'Lease Cycles'!$AY$28/12,IF(AND('Lease Cycles'!$AV$28&gt;=INDEX('Lease Cycles'!$BG$28:$BM$28,1,DS350),'Lease Cycles'!$AV$28&lt;=DS$6),'Lease Cycles'!$C$28*'Lease Cycles'!$AW$28/12,IF(AND('Lease Cycles'!$AT$28&gt;=INDEX('Lease Cycles'!$BG$28:$BM$28,1,DS350),'Lease Cycles'!$AT$28&lt;=DS$6),'Lease Cycles'!$C$28*'Lease Cycles'!$AU$28/12,'Lease Cycles'!$C$28*INDEX('Lease Cycles'!$CB$28:$CH$28,1,DS350)*(1+INDEX('Lease Cycles'!$CI$28:$CO$28,1,DS350))^INT(INT(DS351/12)/INDEX('Lease Cycles'!$CP$28:$CV$28,1,DS350))/12)))),'Lease Cycles'!$C$28*INDEX('Lease Cycles'!$CB$28:$CH$28,1,DS350)*(1+INDEX('Lease Cycles'!$CI$28:$CO$28,1,DS350))^INT(INT(DS351/12)/INDEX('Lease Cycles'!$CP$28:$CV$28,1,DS350))/12))),IF('Lease Cycles'!$N$28=1,'Lease Cycles'!$C$28*'Lease Cycles'!$E$28*INDEX('Lease Cycles'!$HE$28:$HK$28,1,DS350)*(1+INDEX('Lease Cycles'!$GQ$28:$GW$28,1,DS350))^INT(INT((DS$6-INDEX('Lease Cycles'!$GJ$28:$GP$28,1,DS350))/12)/INDEX('Lease Cycles'!$GX$28:$HD$28,1,DS350))/12,0)))</f>
        <v>0</v>
      </c>
      <c r="DT353" s="28">
        <f>IF(DT350=0,IF('Lease Cycles'!$F$28&gt;0,'Lease Cycles'!$C$28*'Lease Cycles'!$E$28/12,0),IF(DT352=1,IF('Lease Cycles'!$AT$28&gt;=9999,'Lease Cycles'!$C$28*INDEX('Lease Cycles'!$CB$28:$CH$28,1,DT350)*(1+INDEX('Lease Cycles'!$CI$28:$CO$28,1,DT350))^INT(INT(DT351/12)/INDEX('Lease Cycles'!$CP$28:$CV$28,1,DT350))/12,IF(DT350=1,IF(DT351&gt;=INDEX('Lease Cycles'!$DK$28:$DQ$28,1,DT350),IF(DT$6&gt;='Lease Cycles'!$AZ$28,'Lease Cycles'!$C$28*'Lease Cycles'!$BA$28/12,IF(DT$6&gt;='Lease Cycles'!$AX$28,'Lease Cycles'!$C$28*'Lease Cycles'!$AY$28/12,IF(DT$6&gt;='Lease Cycles'!$AV$28,'Lease Cycles'!$C$28*'Lease Cycles'!$AW$28/12,IF(DT$6&gt;='Lease Cycles'!$AT$28,'Lease Cycles'!$C$28*'Lease Cycles'!$AU$28/12,'Lease Cycles'!$C$28*INDEX('Lease Cycles'!$CB$28:$CH$28,1,DT350)*(1+INDEX('Lease Cycles'!$CI$28:$CO$28,1,DT350))^INT(INT(DT351/12)/INDEX('Lease Cycles'!$CP$28:$CV$28,1,DT350))/12)))),'Lease Cycles'!$C$28*INDEX('Lease Cycles'!$CB$28:$CH$28,1,DT350)*(1+INDEX('Lease Cycles'!$CI$28:$CO$28,1,DT350))^INT(INT(DT351/12)/INDEX('Lease Cycles'!$CP$28:$CV$28,1,DT350))/12),IF(INDEX('Lease Cycles'!$EF$28:$EL$28,1,DT350)=1,IF(AND('Lease Cycles'!$AZ$28&gt;=INDEX('Lease Cycles'!$BG$28:$BM$28,1,DT350),'Lease Cycles'!$AZ$28&lt;=DT$6),'Lease Cycles'!$C$28*'Lease Cycles'!$BA$28/12,IF(AND('Lease Cycles'!$AX$28&gt;=INDEX('Lease Cycles'!$BG$28:$BM$28,1,DT350),'Lease Cycles'!$AX$28&lt;=DT$6),'Lease Cycles'!$C$28*'Lease Cycles'!$AY$28/12,IF(AND('Lease Cycles'!$AV$28&gt;=INDEX('Lease Cycles'!$BG$28:$BM$28,1,DT350),'Lease Cycles'!$AV$28&lt;=DT$6),'Lease Cycles'!$C$28*'Lease Cycles'!$AW$28/12,IF(AND('Lease Cycles'!$AT$28&gt;=INDEX('Lease Cycles'!$BG$28:$BM$28,1,DT350),'Lease Cycles'!$AT$28&lt;=DT$6),'Lease Cycles'!$C$28*'Lease Cycles'!$AU$28/12,'Lease Cycles'!$C$28*INDEX('Lease Cycles'!$CB$28:$CH$28,1,DT350)*(1+INDEX('Lease Cycles'!$CI$28:$CO$28,1,DT350))^INT(INT(DT351/12)/INDEX('Lease Cycles'!$CP$28:$CV$28,1,DT350))/12)))),'Lease Cycles'!$C$28*INDEX('Lease Cycles'!$CB$28:$CH$28,1,DT350)*(1+INDEX('Lease Cycles'!$CI$28:$CO$28,1,DT350))^INT(INT(DT351/12)/INDEX('Lease Cycles'!$CP$28:$CV$28,1,DT350))/12))),IF('Lease Cycles'!$N$28=1,'Lease Cycles'!$C$28*'Lease Cycles'!$E$28*INDEX('Lease Cycles'!$HE$28:$HK$28,1,DT350)*(1+INDEX('Lease Cycles'!$GQ$28:$GW$28,1,DT350))^INT(INT((DT$6-INDEX('Lease Cycles'!$GJ$28:$GP$28,1,DT350))/12)/INDEX('Lease Cycles'!$GX$28:$HD$28,1,DT350))/12,0)))</f>
        <v>0</v>
      </c>
      <c r="DU353" s="28">
        <f>IF(DU350=0,IF('Lease Cycles'!$F$28&gt;0,'Lease Cycles'!$C$28*'Lease Cycles'!$E$28/12,0),IF(DU352=1,IF('Lease Cycles'!$AT$28&gt;=9999,'Lease Cycles'!$C$28*INDEX('Lease Cycles'!$CB$28:$CH$28,1,DU350)*(1+INDEX('Lease Cycles'!$CI$28:$CO$28,1,DU350))^INT(INT(DU351/12)/INDEX('Lease Cycles'!$CP$28:$CV$28,1,DU350))/12,IF(DU350=1,IF(DU351&gt;=INDEX('Lease Cycles'!$DK$28:$DQ$28,1,DU350),IF(DU$6&gt;='Lease Cycles'!$AZ$28,'Lease Cycles'!$C$28*'Lease Cycles'!$BA$28/12,IF(DU$6&gt;='Lease Cycles'!$AX$28,'Lease Cycles'!$C$28*'Lease Cycles'!$AY$28/12,IF(DU$6&gt;='Lease Cycles'!$AV$28,'Lease Cycles'!$C$28*'Lease Cycles'!$AW$28/12,IF(DU$6&gt;='Lease Cycles'!$AT$28,'Lease Cycles'!$C$28*'Lease Cycles'!$AU$28/12,'Lease Cycles'!$C$28*INDEX('Lease Cycles'!$CB$28:$CH$28,1,DU350)*(1+INDEX('Lease Cycles'!$CI$28:$CO$28,1,DU350))^INT(INT(DU351/12)/INDEX('Lease Cycles'!$CP$28:$CV$28,1,DU350))/12)))),'Lease Cycles'!$C$28*INDEX('Lease Cycles'!$CB$28:$CH$28,1,DU350)*(1+INDEX('Lease Cycles'!$CI$28:$CO$28,1,DU350))^INT(INT(DU351/12)/INDEX('Lease Cycles'!$CP$28:$CV$28,1,DU350))/12),IF(INDEX('Lease Cycles'!$EF$28:$EL$28,1,DU350)=1,IF(AND('Lease Cycles'!$AZ$28&gt;=INDEX('Lease Cycles'!$BG$28:$BM$28,1,DU350),'Lease Cycles'!$AZ$28&lt;=DU$6),'Lease Cycles'!$C$28*'Lease Cycles'!$BA$28/12,IF(AND('Lease Cycles'!$AX$28&gt;=INDEX('Lease Cycles'!$BG$28:$BM$28,1,DU350),'Lease Cycles'!$AX$28&lt;=DU$6),'Lease Cycles'!$C$28*'Lease Cycles'!$AY$28/12,IF(AND('Lease Cycles'!$AV$28&gt;=INDEX('Lease Cycles'!$BG$28:$BM$28,1,DU350),'Lease Cycles'!$AV$28&lt;=DU$6),'Lease Cycles'!$C$28*'Lease Cycles'!$AW$28/12,IF(AND('Lease Cycles'!$AT$28&gt;=INDEX('Lease Cycles'!$BG$28:$BM$28,1,DU350),'Lease Cycles'!$AT$28&lt;=DU$6),'Lease Cycles'!$C$28*'Lease Cycles'!$AU$28/12,'Lease Cycles'!$C$28*INDEX('Lease Cycles'!$CB$28:$CH$28,1,DU350)*(1+INDEX('Lease Cycles'!$CI$28:$CO$28,1,DU350))^INT(INT(DU351/12)/INDEX('Lease Cycles'!$CP$28:$CV$28,1,DU350))/12)))),'Lease Cycles'!$C$28*INDEX('Lease Cycles'!$CB$28:$CH$28,1,DU350)*(1+INDEX('Lease Cycles'!$CI$28:$CO$28,1,DU350))^INT(INT(DU351/12)/INDEX('Lease Cycles'!$CP$28:$CV$28,1,DU350))/12))),IF('Lease Cycles'!$N$28=1,'Lease Cycles'!$C$28*'Lease Cycles'!$E$28*INDEX('Lease Cycles'!$HE$28:$HK$28,1,DU350)*(1+INDEX('Lease Cycles'!$GQ$28:$GW$28,1,DU350))^INT(INT((DU$6-INDEX('Lease Cycles'!$GJ$28:$GP$28,1,DU350))/12)/INDEX('Lease Cycles'!$GX$28:$HD$28,1,DU350))/12,0)))</f>
        <v>0</v>
      </c>
      <c r="DV353" s="28">
        <f>IF(DV350=0,IF('Lease Cycles'!$F$28&gt;0,'Lease Cycles'!$C$28*'Lease Cycles'!$E$28/12,0),IF(DV352=1,IF('Lease Cycles'!$AT$28&gt;=9999,'Lease Cycles'!$C$28*INDEX('Lease Cycles'!$CB$28:$CH$28,1,DV350)*(1+INDEX('Lease Cycles'!$CI$28:$CO$28,1,DV350))^INT(INT(DV351/12)/INDEX('Lease Cycles'!$CP$28:$CV$28,1,DV350))/12,IF(DV350=1,IF(DV351&gt;=INDEX('Lease Cycles'!$DK$28:$DQ$28,1,DV350),IF(DV$6&gt;='Lease Cycles'!$AZ$28,'Lease Cycles'!$C$28*'Lease Cycles'!$BA$28/12,IF(DV$6&gt;='Lease Cycles'!$AX$28,'Lease Cycles'!$C$28*'Lease Cycles'!$AY$28/12,IF(DV$6&gt;='Lease Cycles'!$AV$28,'Lease Cycles'!$C$28*'Lease Cycles'!$AW$28/12,IF(DV$6&gt;='Lease Cycles'!$AT$28,'Lease Cycles'!$C$28*'Lease Cycles'!$AU$28/12,'Lease Cycles'!$C$28*INDEX('Lease Cycles'!$CB$28:$CH$28,1,DV350)*(1+INDEX('Lease Cycles'!$CI$28:$CO$28,1,DV350))^INT(INT(DV351/12)/INDEX('Lease Cycles'!$CP$28:$CV$28,1,DV350))/12)))),'Lease Cycles'!$C$28*INDEX('Lease Cycles'!$CB$28:$CH$28,1,DV350)*(1+INDEX('Lease Cycles'!$CI$28:$CO$28,1,DV350))^INT(INT(DV351/12)/INDEX('Lease Cycles'!$CP$28:$CV$28,1,DV350))/12),IF(INDEX('Lease Cycles'!$EF$28:$EL$28,1,DV350)=1,IF(AND('Lease Cycles'!$AZ$28&gt;=INDEX('Lease Cycles'!$BG$28:$BM$28,1,DV350),'Lease Cycles'!$AZ$28&lt;=DV$6),'Lease Cycles'!$C$28*'Lease Cycles'!$BA$28/12,IF(AND('Lease Cycles'!$AX$28&gt;=INDEX('Lease Cycles'!$BG$28:$BM$28,1,DV350),'Lease Cycles'!$AX$28&lt;=DV$6),'Lease Cycles'!$C$28*'Lease Cycles'!$AY$28/12,IF(AND('Lease Cycles'!$AV$28&gt;=INDEX('Lease Cycles'!$BG$28:$BM$28,1,DV350),'Lease Cycles'!$AV$28&lt;=DV$6),'Lease Cycles'!$C$28*'Lease Cycles'!$AW$28/12,IF(AND('Lease Cycles'!$AT$28&gt;=INDEX('Lease Cycles'!$BG$28:$BM$28,1,DV350),'Lease Cycles'!$AT$28&lt;=DV$6),'Lease Cycles'!$C$28*'Lease Cycles'!$AU$28/12,'Lease Cycles'!$C$28*INDEX('Lease Cycles'!$CB$28:$CH$28,1,DV350)*(1+INDEX('Lease Cycles'!$CI$28:$CO$28,1,DV350))^INT(INT(DV351/12)/INDEX('Lease Cycles'!$CP$28:$CV$28,1,DV350))/12)))),'Lease Cycles'!$C$28*INDEX('Lease Cycles'!$CB$28:$CH$28,1,DV350)*(1+INDEX('Lease Cycles'!$CI$28:$CO$28,1,DV350))^INT(INT(DV351/12)/INDEX('Lease Cycles'!$CP$28:$CV$28,1,DV350))/12))),IF('Lease Cycles'!$N$28=1,'Lease Cycles'!$C$28*'Lease Cycles'!$E$28*INDEX('Lease Cycles'!$HE$28:$HK$28,1,DV350)*(1+INDEX('Lease Cycles'!$GQ$28:$GW$28,1,DV350))^INT(INT((DV$6-INDEX('Lease Cycles'!$GJ$28:$GP$28,1,DV350))/12)/INDEX('Lease Cycles'!$GX$28:$HD$28,1,DV350))/12,0)))</f>
        <v>0</v>
      </c>
      <c r="DW353" s="28">
        <f>IF(DW350=0,IF('Lease Cycles'!$F$28&gt;0,'Lease Cycles'!$C$28*'Lease Cycles'!$E$28/12,0),IF(DW352=1,IF('Lease Cycles'!$AT$28&gt;=9999,'Lease Cycles'!$C$28*INDEX('Lease Cycles'!$CB$28:$CH$28,1,DW350)*(1+INDEX('Lease Cycles'!$CI$28:$CO$28,1,DW350))^INT(INT(DW351/12)/INDEX('Lease Cycles'!$CP$28:$CV$28,1,DW350))/12,IF(DW350=1,IF(DW351&gt;=INDEX('Lease Cycles'!$DK$28:$DQ$28,1,DW350),IF(DW$6&gt;='Lease Cycles'!$AZ$28,'Lease Cycles'!$C$28*'Lease Cycles'!$BA$28/12,IF(DW$6&gt;='Lease Cycles'!$AX$28,'Lease Cycles'!$C$28*'Lease Cycles'!$AY$28/12,IF(DW$6&gt;='Lease Cycles'!$AV$28,'Lease Cycles'!$C$28*'Lease Cycles'!$AW$28/12,IF(DW$6&gt;='Lease Cycles'!$AT$28,'Lease Cycles'!$C$28*'Lease Cycles'!$AU$28/12,'Lease Cycles'!$C$28*INDEX('Lease Cycles'!$CB$28:$CH$28,1,DW350)*(1+INDEX('Lease Cycles'!$CI$28:$CO$28,1,DW350))^INT(INT(DW351/12)/INDEX('Lease Cycles'!$CP$28:$CV$28,1,DW350))/12)))),'Lease Cycles'!$C$28*INDEX('Lease Cycles'!$CB$28:$CH$28,1,DW350)*(1+INDEX('Lease Cycles'!$CI$28:$CO$28,1,DW350))^INT(INT(DW351/12)/INDEX('Lease Cycles'!$CP$28:$CV$28,1,DW350))/12),IF(INDEX('Lease Cycles'!$EF$28:$EL$28,1,DW350)=1,IF(AND('Lease Cycles'!$AZ$28&gt;=INDEX('Lease Cycles'!$BG$28:$BM$28,1,DW350),'Lease Cycles'!$AZ$28&lt;=DW$6),'Lease Cycles'!$C$28*'Lease Cycles'!$BA$28/12,IF(AND('Lease Cycles'!$AX$28&gt;=INDEX('Lease Cycles'!$BG$28:$BM$28,1,DW350),'Lease Cycles'!$AX$28&lt;=DW$6),'Lease Cycles'!$C$28*'Lease Cycles'!$AY$28/12,IF(AND('Lease Cycles'!$AV$28&gt;=INDEX('Lease Cycles'!$BG$28:$BM$28,1,DW350),'Lease Cycles'!$AV$28&lt;=DW$6),'Lease Cycles'!$C$28*'Lease Cycles'!$AW$28/12,IF(AND('Lease Cycles'!$AT$28&gt;=INDEX('Lease Cycles'!$BG$28:$BM$28,1,DW350),'Lease Cycles'!$AT$28&lt;=DW$6),'Lease Cycles'!$C$28*'Lease Cycles'!$AU$28/12,'Lease Cycles'!$C$28*INDEX('Lease Cycles'!$CB$28:$CH$28,1,DW350)*(1+INDEX('Lease Cycles'!$CI$28:$CO$28,1,DW350))^INT(INT(DW351/12)/INDEX('Lease Cycles'!$CP$28:$CV$28,1,DW350))/12)))),'Lease Cycles'!$C$28*INDEX('Lease Cycles'!$CB$28:$CH$28,1,DW350)*(1+INDEX('Lease Cycles'!$CI$28:$CO$28,1,DW350))^INT(INT(DW351/12)/INDEX('Lease Cycles'!$CP$28:$CV$28,1,DW350))/12))),IF('Lease Cycles'!$N$28=1,'Lease Cycles'!$C$28*'Lease Cycles'!$E$28*INDEX('Lease Cycles'!$HE$28:$HK$28,1,DW350)*(1+INDEX('Lease Cycles'!$GQ$28:$GW$28,1,DW350))^INT(INT((DW$6-INDEX('Lease Cycles'!$GJ$28:$GP$28,1,DW350))/12)/INDEX('Lease Cycles'!$GX$28:$HD$28,1,DW350))/12,0)))</f>
        <v>0</v>
      </c>
      <c r="DX353" s="28">
        <f>IF(DX350=0,IF('Lease Cycles'!$F$28&gt;0,'Lease Cycles'!$C$28*'Lease Cycles'!$E$28/12,0),IF(DX352=1,IF('Lease Cycles'!$AT$28&gt;=9999,'Lease Cycles'!$C$28*INDEX('Lease Cycles'!$CB$28:$CH$28,1,DX350)*(1+INDEX('Lease Cycles'!$CI$28:$CO$28,1,DX350))^INT(INT(DX351/12)/INDEX('Lease Cycles'!$CP$28:$CV$28,1,DX350))/12,IF(DX350=1,IF(DX351&gt;=INDEX('Lease Cycles'!$DK$28:$DQ$28,1,DX350),IF(DX$6&gt;='Lease Cycles'!$AZ$28,'Lease Cycles'!$C$28*'Lease Cycles'!$BA$28/12,IF(DX$6&gt;='Lease Cycles'!$AX$28,'Lease Cycles'!$C$28*'Lease Cycles'!$AY$28/12,IF(DX$6&gt;='Lease Cycles'!$AV$28,'Lease Cycles'!$C$28*'Lease Cycles'!$AW$28/12,IF(DX$6&gt;='Lease Cycles'!$AT$28,'Lease Cycles'!$C$28*'Lease Cycles'!$AU$28/12,'Lease Cycles'!$C$28*INDEX('Lease Cycles'!$CB$28:$CH$28,1,DX350)*(1+INDEX('Lease Cycles'!$CI$28:$CO$28,1,DX350))^INT(INT(DX351/12)/INDEX('Lease Cycles'!$CP$28:$CV$28,1,DX350))/12)))),'Lease Cycles'!$C$28*INDEX('Lease Cycles'!$CB$28:$CH$28,1,DX350)*(1+INDEX('Lease Cycles'!$CI$28:$CO$28,1,DX350))^INT(INT(DX351/12)/INDEX('Lease Cycles'!$CP$28:$CV$28,1,DX350))/12),IF(INDEX('Lease Cycles'!$EF$28:$EL$28,1,DX350)=1,IF(AND('Lease Cycles'!$AZ$28&gt;=INDEX('Lease Cycles'!$BG$28:$BM$28,1,DX350),'Lease Cycles'!$AZ$28&lt;=DX$6),'Lease Cycles'!$C$28*'Lease Cycles'!$BA$28/12,IF(AND('Lease Cycles'!$AX$28&gt;=INDEX('Lease Cycles'!$BG$28:$BM$28,1,DX350),'Lease Cycles'!$AX$28&lt;=DX$6),'Lease Cycles'!$C$28*'Lease Cycles'!$AY$28/12,IF(AND('Lease Cycles'!$AV$28&gt;=INDEX('Lease Cycles'!$BG$28:$BM$28,1,DX350),'Lease Cycles'!$AV$28&lt;=DX$6),'Lease Cycles'!$C$28*'Lease Cycles'!$AW$28/12,IF(AND('Lease Cycles'!$AT$28&gt;=INDEX('Lease Cycles'!$BG$28:$BM$28,1,DX350),'Lease Cycles'!$AT$28&lt;=DX$6),'Lease Cycles'!$C$28*'Lease Cycles'!$AU$28/12,'Lease Cycles'!$C$28*INDEX('Lease Cycles'!$CB$28:$CH$28,1,DX350)*(1+INDEX('Lease Cycles'!$CI$28:$CO$28,1,DX350))^INT(INT(DX351/12)/INDEX('Lease Cycles'!$CP$28:$CV$28,1,DX350))/12)))),'Lease Cycles'!$C$28*INDEX('Lease Cycles'!$CB$28:$CH$28,1,DX350)*(1+INDEX('Lease Cycles'!$CI$28:$CO$28,1,DX350))^INT(INT(DX351/12)/INDEX('Lease Cycles'!$CP$28:$CV$28,1,DX350))/12))),IF('Lease Cycles'!$N$28=1,'Lease Cycles'!$C$28*'Lease Cycles'!$E$28*INDEX('Lease Cycles'!$HE$28:$HK$28,1,DX350)*(1+INDEX('Lease Cycles'!$GQ$28:$GW$28,1,DX350))^INT(INT((DX$6-INDEX('Lease Cycles'!$GJ$28:$GP$28,1,DX350))/12)/INDEX('Lease Cycles'!$GX$28:$HD$28,1,DX350))/12,0)))</f>
        <v>0</v>
      </c>
      <c r="DY353" s="28">
        <f>IF(DY350=0,IF('Lease Cycles'!$F$28&gt;0,'Lease Cycles'!$C$28*'Lease Cycles'!$E$28/12,0),IF(DY352=1,IF('Lease Cycles'!$AT$28&gt;=9999,'Lease Cycles'!$C$28*INDEX('Lease Cycles'!$CB$28:$CH$28,1,DY350)*(1+INDEX('Lease Cycles'!$CI$28:$CO$28,1,DY350))^INT(INT(DY351/12)/INDEX('Lease Cycles'!$CP$28:$CV$28,1,DY350))/12,IF(DY350=1,IF(DY351&gt;=INDEX('Lease Cycles'!$DK$28:$DQ$28,1,DY350),IF(DY$6&gt;='Lease Cycles'!$AZ$28,'Lease Cycles'!$C$28*'Lease Cycles'!$BA$28/12,IF(DY$6&gt;='Lease Cycles'!$AX$28,'Lease Cycles'!$C$28*'Lease Cycles'!$AY$28/12,IF(DY$6&gt;='Lease Cycles'!$AV$28,'Lease Cycles'!$C$28*'Lease Cycles'!$AW$28/12,IF(DY$6&gt;='Lease Cycles'!$AT$28,'Lease Cycles'!$C$28*'Lease Cycles'!$AU$28/12,'Lease Cycles'!$C$28*INDEX('Lease Cycles'!$CB$28:$CH$28,1,DY350)*(1+INDEX('Lease Cycles'!$CI$28:$CO$28,1,DY350))^INT(INT(DY351/12)/INDEX('Lease Cycles'!$CP$28:$CV$28,1,DY350))/12)))),'Lease Cycles'!$C$28*INDEX('Lease Cycles'!$CB$28:$CH$28,1,DY350)*(1+INDEX('Lease Cycles'!$CI$28:$CO$28,1,DY350))^INT(INT(DY351/12)/INDEX('Lease Cycles'!$CP$28:$CV$28,1,DY350))/12),IF(INDEX('Lease Cycles'!$EF$28:$EL$28,1,DY350)=1,IF(AND('Lease Cycles'!$AZ$28&gt;=INDEX('Lease Cycles'!$BG$28:$BM$28,1,DY350),'Lease Cycles'!$AZ$28&lt;=DY$6),'Lease Cycles'!$C$28*'Lease Cycles'!$BA$28/12,IF(AND('Lease Cycles'!$AX$28&gt;=INDEX('Lease Cycles'!$BG$28:$BM$28,1,DY350),'Lease Cycles'!$AX$28&lt;=DY$6),'Lease Cycles'!$C$28*'Lease Cycles'!$AY$28/12,IF(AND('Lease Cycles'!$AV$28&gt;=INDEX('Lease Cycles'!$BG$28:$BM$28,1,DY350),'Lease Cycles'!$AV$28&lt;=DY$6),'Lease Cycles'!$C$28*'Lease Cycles'!$AW$28/12,IF(AND('Lease Cycles'!$AT$28&gt;=INDEX('Lease Cycles'!$BG$28:$BM$28,1,DY350),'Lease Cycles'!$AT$28&lt;=DY$6),'Lease Cycles'!$C$28*'Lease Cycles'!$AU$28/12,'Lease Cycles'!$C$28*INDEX('Lease Cycles'!$CB$28:$CH$28,1,DY350)*(1+INDEX('Lease Cycles'!$CI$28:$CO$28,1,DY350))^INT(INT(DY351/12)/INDEX('Lease Cycles'!$CP$28:$CV$28,1,DY350))/12)))),'Lease Cycles'!$C$28*INDEX('Lease Cycles'!$CB$28:$CH$28,1,DY350)*(1+INDEX('Lease Cycles'!$CI$28:$CO$28,1,DY350))^INT(INT(DY351/12)/INDEX('Lease Cycles'!$CP$28:$CV$28,1,DY350))/12))),IF('Lease Cycles'!$N$28=1,'Lease Cycles'!$C$28*'Lease Cycles'!$E$28*INDEX('Lease Cycles'!$HE$28:$HK$28,1,DY350)*(1+INDEX('Lease Cycles'!$GQ$28:$GW$28,1,DY350))^INT(INT((DY$6-INDEX('Lease Cycles'!$GJ$28:$GP$28,1,DY350))/12)/INDEX('Lease Cycles'!$GX$28:$HD$28,1,DY350))/12,0)))</f>
        <v>0</v>
      </c>
      <c r="DZ353" s="28">
        <f>IF(DZ350=0,IF('Lease Cycles'!$F$28&gt;0,'Lease Cycles'!$C$28*'Lease Cycles'!$E$28/12,0),IF(DZ352=1,IF('Lease Cycles'!$AT$28&gt;=9999,'Lease Cycles'!$C$28*INDEX('Lease Cycles'!$CB$28:$CH$28,1,DZ350)*(1+INDEX('Lease Cycles'!$CI$28:$CO$28,1,DZ350))^INT(INT(DZ351/12)/INDEX('Lease Cycles'!$CP$28:$CV$28,1,DZ350))/12,IF(DZ350=1,IF(DZ351&gt;=INDEX('Lease Cycles'!$DK$28:$DQ$28,1,DZ350),IF(DZ$6&gt;='Lease Cycles'!$AZ$28,'Lease Cycles'!$C$28*'Lease Cycles'!$BA$28/12,IF(DZ$6&gt;='Lease Cycles'!$AX$28,'Lease Cycles'!$C$28*'Lease Cycles'!$AY$28/12,IF(DZ$6&gt;='Lease Cycles'!$AV$28,'Lease Cycles'!$C$28*'Lease Cycles'!$AW$28/12,IF(DZ$6&gt;='Lease Cycles'!$AT$28,'Lease Cycles'!$C$28*'Lease Cycles'!$AU$28/12,'Lease Cycles'!$C$28*INDEX('Lease Cycles'!$CB$28:$CH$28,1,DZ350)*(1+INDEX('Lease Cycles'!$CI$28:$CO$28,1,DZ350))^INT(INT(DZ351/12)/INDEX('Lease Cycles'!$CP$28:$CV$28,1,DZ350))/12)))),'Lease Cycles'!$C$28*INDEX('Lease Cycles'!$CB$28:$CH$28,1,DZ350)*(1+INDEX('Lease Cycles'!$CI$28:$CO$28,1,DZ350))^INT(INT(DZ351/12)/INDEX('Lease Cycles'!$CP$28:$CV$28,1,DZ350))/12),IF(INDEX('Lease Cycles'!$EF$28:$EL$28,1,DZ350)=1,IF(AND('Lease Cycles'!$AZ$28&gt;=INDEX('Lease Cycles'!$BG$28:$BM$28,1,DZ350),'Lease Cycles'!$AZ$28&lt;=DZ$6),'Lease Cycles'!$C$28*'Lease Cycles'!$BA$28/12,IF(AND('Lease Cycles'!$AX$28&gt;=INDEX('Lease Cycles'!$BG$28:$BM$28,1,DZ350),'Lease Cycles'!$AX$28&lt;=DZ$6),'Lease Cycles'!$C$28*'Lease Cycles'!$AY$28/12,IF(AND('Lease Cycles'!$AV$28&gt;=INDEX('Lease Cycles'!$BG$28:$BM$28,1,DZ350),'Lease Cycles'!$AV$28&lt;=DZ$6),'Lease Cycles'!$C$28*'Lease Cycles'!$AW$28/12,IF(AND('Lease Cycles'!$AT$28&gt;=INDEX('Lease Cycles'!$BG$28:$BM$28,1,DZ350),'Lease Cycles'!$AT$28&lt;=DZ$6),'Lease Cycles'!$C$28*'Lease Cycles'!$AU$28/12,'Lease Cycles'!$C$28*INDEX('Lease Cycles'!$CB$28:$CH$28,1,DZ350)*(1+INDEX('Lease Cycles'!$CI$28:$CO$28,1,DZ350))^INT(INT(DZ351/12)/INDEX('Lease Cycles'!$CP$28:$CV$28,1,DZ350))/12)))),'Lease Cycles'!$C$28*INDEX('Lease Cycles'!$CB$28:$CH$28,1,DZ350)*(1+INDEX('Lease Cycles'!$CI$28:$CO$28,1,DZ350))^INT(INT(DZ351/12)/INDEX('Lease Cycles'!$CP$28:$CV$28,1,DZ350))/12))),IF('Lease Cycles'!$N$28=1,'Lease Cycles'!$C$28*'Lease Cycles'!$E$28*INDEX('Lease Cycles'!$HE$28:$HK$28,1,DZ350)*(1+INDEX('Lease Cycles'!$GQ$28:$GW$28,1,DZ350))^INT(INT((DZ$6-INDEX('Lease Cycles'!$GJ$28:$GP$28,1,DZ350))/12)/INDEX('Lease Cycles'!$GX$28:$HD$28,1,DZ350))/12,0)))</f>
        <v>0</v>
      </c>
      <c r="EA353" s="28">
        <f>IF(EA350=0,IF('Lease Cycles'!$F$28&gt;0,'Lease Cycles'!$C$28*'Lease Cycles'!$E$28/12,0),IF(EA352=1,IF('Lease Cycles'!$AT$28&gt;=9999,'Lease Cycles'!$C$28*INDEX('Lease Cycles'!$CB$28:$CH$28,1,EA350)*(1+INDEX('Lease Cycles'!$CI$28:$CO$28,1,EA350))^INT(INT(EA351/12)/INDEX('Lease Cycles'!$CP$28:$CV$28,1,EA350))/12,IF(EA350=1,IF(EA351&gt;=INDEX('Lease Cycles'!$DK$28:$DQ$28,1,EA350),IF(EA$6&gt;='Lease Cycles'!$AZ$28,'Lease Cycles'!$C$28*'Lease Cycles'!$BA$28/12,IF(EA$6&gt;='Lease Cycles'!$AX$28,'Lease Cycles'!$C$28*'Lease Cycles'!$AY$28/12,IF(EA$6&gt;='Lease Cycles'!$AV$28,'Lease Cycles'!$C$28*'Lease Cycles'!$AW$28/12,IF(EA$6&gt;='Lease Cycles'!$AT$28,'Lease Cycles'!$C$28*'Lease Cycles'!$AU$28/12,'Lease Cycles'!$C$28*INDEX('Lease Cycles'!$CB$28:$CH$28,1,EA350)*(1+INDEX('Lease Cycles'!$CI$28:$CO$28,1,EA350))^INT(INT(EA351/12)/INDEX('Lease Cycles'!$CP$28:$CV$28,1,EA350))/12)))),'Lease Cycles'!$C$28*INDEX('Lease Cycles'!$CB$28:$CH$28,1,EA350)*(1+INDEX('Lease Cycles'!$CI$28:$CO$28,1,EA350))^INT(INT(EA351/12)/INDEX('Lease Cycles'!$CP$28:$CV$28,1,EA350))/12),IF(INDEX('Lease Cycles'!$EF$28:$EL$28,1,EA350)=1,IF(AND('Lease Cycles'!$AZ$28&gt;=INDEX('Lease Cycles'!$BG$28:$BM$28,1,EA350),'Lease Cycles'!$AZ$28&lt;=EA$6),'Lease Cycles'!$C$28*'Lease Cycles'!$BA$28/12,IF(AND('Lease Cycles'!$AX$28&gt;=INDEX('Lease Cycles'!$BG$28:$BM$28,1,EA350),'Lease Cycles'!$AX$28&lt;=EA$6),'Lease Cycles'!$C$28*'Lease Cycles'!$AY$28/12,IF(AND('Lease Cycles'!$AV$28&gt;=INDEX('Lease Cycles'!$BG$28:$BM$28,1,EA350),'Lease Cycles'!$AV$28&lt;=EA$6),'Lease Cycles'!$C$28*'Lease Cycles'!$AW$28/12,IF(AND('Lease Cycles'!$AT$28&gt;=INDEX('Lease Cycles'!$BG$28:$BM$28,1,EA350),'Lease Cycles'!$AT$28&lt;=EA$6),'Lease Cycles'!$C$28*'Lease Cycles'!$AU$28/12,'Lease Cycles'!$C$28*INDEX('Lease Cycles'!$CB$28:$CH$28,1,EA350)*(1+INDEX('Lease Cycles'!$CI$28:$CO$28,1,EA350))^INT(INT(EA351/12)/INDEX('Lease Cycles'!$CP$28:$CV$28,1,EA350))/12)))),'Lease Cycles'!$C$28*INDEX('Lease Cycles'!$CB$28:$CH$28,1,EA350)*(1+INDEX('Lease Cycles'!$CI$28:$CO$28,1,EA350))^INT(INT(EA351/12)/INDEX('Lease Cycles'!$CP$28:$CV$28,1,EA350))/12))),IF('Lease Cycles'!$N$28=1,'Lease Cycles'!$C$28*'Lease Cycles'!$E$28*INDEX('Lease Cycles'!$HE$28:$HK$28,1,EA350)*(1+INDEX('Lease Cycles'!$GQ$28:$GW$28,1,EA350))^INT(INT((EA$6-INDEX('Lease Cycles'!$GJ$28:$GP$28,1,EA350))/12)/INDEX('Lease Cycles'!$GX$28:$HD$28,1,EA350))/12,0)))</f>
        <v>0</v>
      </c>
      <c r="EB353" s="28">
        <f>IF(EB350=0,IF('Lease Cycles'!$F$28&gt;0,'Lease Cycles'!$C$28*'Lease Cycles'!$E$28/12,0),IF(EB352=1,IF('Lease Cycles'!$AT$28&gt;=9999,'Lease Cycles'!$C$28*INDEX('Lease Cycles'!$CB$28:$CH$28,1,EB350)*(1+INDEX('Lease Cycles'!$CI$28:$CO$28,1,EB350))^INT(INT(EB351/12)/INDEX('Lease Cycles'!$CP$28:$CV$28,1,EB350))/12,IF(EB350=1,IF(EB351&gt;=INDEX('Lease Cycles'!$DK$28:$DQ$28,1,EB350),IF(EB$6&gt;='Lease Cycles'!$AZ$28,'Lease Cycles'!$C$28*'Lease Cycles'!$BA$28/12,IF(EB$6&gt;='Lease Cycles'!$AX$28,'Lease Cycles'!$C$28*'Lease Cycles'!$AY$28/12,IF(EB$6&gt;='Lease Cycles'!$AV$28,'Lease Cycles'!$C$28*'Lease Cycles'!$AW$28/12,IF(EB$6&gt;='Lease Cycles'!$AT$28,'Lease Cycles'!$C$28*'Lease Cycles'!$AU$28/12,'Lease Cycles'!$C$28*INDEX('Lease Cycles'!$CB$28:$CH$28,1,EB350)*(1+INDEX('Lease Cycles'!$CI$28:$CO$28,1,EB350))^INT(INT(EB351/12)/INDEX('Lease Cycles'!$CP$28:$CV$28,1,EB350))/12)))),'Lease Cycles'!$C$28*INDEX('Lease Cycles'!$CB$28:$CH$28,1,EB350)*(1+INDEX('Lease Cycles'!$CI$28:$CO$28,1,EB350))^INT(INT(EB351/12)/INDEX('Lease Cycles'!$CP$28:$CV$28,1,EB350))/12),IF(INDEX('Lease Cycles'!$EF$28:$EL$28,1,EB350)=1,IF(AND('Lease Cycles'!$AZ$28&gt;=INDEX('Lease Cycles'!$BG$28:$BM$28,1,EB350),'Lease Cycles'!$AZ$28&lt;=EB$6),'Lease Cycles'!$C$28*'Lease Cycles'!$BA$28/12,IF(AND('Lease Cycles'!$AX$28&gt;=INDEX('Lease Cycles'!$BG$28:$BM$28,1,EB350),'Lease Cycles'!$AX$28&lt;=EB$6),'Lease Cycles'!$C$28*'Lease Cycles'!$AY$28/12,IF(AND('Lease Cycles'!$AV$28&gt;=INDEX('Lease Cycles'!$BG$28:$BM$28,1,EB350),'Lease Cycles'!$AV$28&lt;=EB$6),'Lease Cycles'!$C$28*'Lease Cycles'!$AW$28/12,IF(AND('Lease Cycles'!$AT$28&gt;=INDEX('Lease Cycles'!$BG$28:$BM$28,1,EB350),'Lease Cycles'!$AT$28&lt;=EB$6),'Lease Cycles'!$C$28*'Lease Cycles'!$AU$28/12,'Lease Cycles'!$C$28*INDEX('Lease Cycles'!$CB$28:$CH$28,1,EB350)*(1+INDEX('Lease Cycles'!$CI$28:$CO$28,1,EB350))^INT(INT(EB351/12)/INDEX('Lease Cycles'!$CP$28:$CV$28,1,EB350))/12)))),'Lease Cycles'!$C$28*INDEX('Lease Cycles'!$CB$28:$CH$28,1,EB350)*(1+INDEX('Lease Cycles'!$CI$28:$CO$28,1,EB350))^INT(INT(EB351/12)/INDEX('Lease Cycles'!$CP$28:$CV$28,1,EB350))/12))),IF('Lease Cycles'!$N$28=1,'Lease Cycles'!$C$28*'Lease Cycles'!$E$28*INDEX('Lease Cycles'!$HE$28:$HK$28,1,EB350)*(1+INDEX('Lease Cycles'!$GQ$28:$GW$28,1,EB350))^INT(INT((EB$6-INDEX('Lease Cycles'!$GJ$28:$GP$28,1,EB350))/12)/INDEX('Lease Cycles'!$GX$28:$HD$28,1,EB350))/12,0)))</f>
        <v>0</v>
      </c>
      <c r="EC353" s="28">
        <f>IF(EC350=0,IF('Lease Cycles'!$F$28&gt;0,'Lease Cycles'!$C$28*'Lease Cycles'!$E$28/12,0),IF(EC352=1,IF('Lease Cycles'!$AT$28&gt;=9999,'Lease Cycles'!$C$28*INDEX('Lease Cycles'!$CB$28:$CH$28,1,EC350)*(1+INDEX('Lease Cycles'!$CI$28:$CO$28,1,EC350))^INT(INT(EC351/12)/INDEX('Lease Cycles'!$CP$28:$CV$28,1,EC350))/12,IF(EC350=1,IF(EC351&gt;=INDEX('Lease Cycles'!$DK$28:$DQ$28,1,EC350),IF(EC$6&gt;='Lease Cycles'!$AZ$28,'Lease Cycles'!$C$28*'Lease Cycles'!$BA$28/12,IF(EC$6&gt;='Lease Cycles'!$AX$28,'Lease Cycles'!$C$28*'Lease Cycles'!$AY$28/12,IF(EC$6&gt;='Lease Cycles'!$AV$28,'Lease Cycles'!$C$28*'Lease Cycles'!$AW$28/12,IF(EC$6&gt;='Lease Cycles'!$AT$28,'Lease Cycles'!$C$28*'Lease Cycles'!$AU$28/12,'Lease Cycles'!$C$28*INDEX('Lease Cycles'!$CB$28:$CH$28,1,EC350)*(1+INDEX('Lease Cycles'!$CI$28:$CO$28,1,EC350))^INT(INT(EC351/12)/INDEX('Lease Cycles'!$CP$28:$CV$28,1,EC350))/12)))),'Lease Cycles'!$C$28*INDEX('Lease Cycles'!$CB$28:$CH$28,1,EC350)*(1+INDEX('Lease Cycles'!$CI$28:$CO$28,1,EC350))^INT(INT(EC351/12)/INDEX('Lease Cycles'!$CP$28:$CV$28,1,EC350))/12),IF(INDEX('Lease Cycles'!$EF$28:$EL$28,1,EC350)=1,IF(AND('Lease Cycles'!$AZ$28&gt;=INDEX('Lease Cycles'!$BG$28:$BM$28,1,EC350),'Lease Cycles'!$AZ$28&lt;=EC$6),'Lease Cycles'!$C$28*'Lease Cycles'!$BA$28/12,IF(AND('Lease Cycles'!$AX$28&gt;=INDEX('Lease Cycles'!$BG$28:$BM$28,1,EC350),'Lease Cycles'!$AX$28&lt;=EC$6),'Lease Cycles'!$C$28*'Lease Cycles'!$AY$28/12,IF(AND('Lease Cycles'!$AV$28&gt;=INDEX('Lease Cycles'!$BG$28:$BM$28,1,EC350),'Lease Cycles'!$AV$28&lt;=EC$6),'Lease Cycles'!$C$28*'Lease Cycles'!$AW$28/12,IF(AND('Lease Cycles'!$AT$28&gt;=INDEX('Lease Cycles'!$BG$28:$BM$28,1,EC350),'Lease Cycles'!$AT$28&lt;=EC$6),'Lease Cycles'!$C$28*'Lease Cycles'!$AU$28/12,'Lease Cycles'!$C$28*INDEX('Lease Cycles'!$CB$28:$CH$28,1,EC350)*(1+INDEX('Lease Cycles'!$CI$28:$CO$28,1,EC350))^INT(INT(EC351/12)/INDEX('Lease Cycles'!$CP$28:$CV$28,1,EC350))/12)))),'Lease Cycles'!$C$28*INDEX('Lease Cycles'!$CB$28:$CH$28,1,EC350)*(1+INDEX('Lease Cycles'!$CI$28:$CO$28,1,EC350))^INT(INT(EC351/12)/INDEX('Lease Cycles'!$CP$28:$CV$28,1,EC350))/12))),IF('Lease Cycles'!$N$28=1,'Lease Cycles'!$C$28*'Lease Cycles'!$E$28*INDEX('Lease Cycles'!$HE$28:$HK$28,1,EC350)*(1+INDEX('Lease Cycles'!$GQ$28:$GW$28,1,EC350))^INT(INT((EC$6-INDEX('Lease Cycles'!$GJ$28:$GP$28,1,EC350))/12)/INDEX('Lease Cycles'!$GX$28:$HD$28,1,EC350))/12,0)))</f>
        <v>0</v>
      </c>
      <c r="ED353" s="28">
        <f>IF(ED350=0,IF('Lease Cycles'!$F$28&gt;0,'Lease Cycles'!$C$28*'Lease Cycles'!$E$28/12,0),IF(ED352=1,IF('Lease Cycles'!$AT$28&gt;=9999,'Lease Cycles'!$C$28*INDEX('Lease Cycles'!$CB$28:$CH$28,1,ED350)*(1+INDEX('Lease Cycles'!$CI$28:$CO$28,1,ED350))^INT(INT(ED351/12)/INDEX('Lease Cycles'!$CP$28:$CV$28,1,ED350))/12,IF(ED350=1,IF(ED351&gt;=INDEX('Lease Cycles'!$DK$28:$DQ$28,1,ED350),IF(ED$6&gt;='Lease Cycles'!$AZ$28,'Lease Cycles'!$C$28*'Lease Cycles'!$BA$28/12,IF(ED$6&gt;='Lease Cycles'!$AX$28,'Lease Cycles'!$C$28*'Lease Cycles'!$AY$28/12,IF(ED$6&gt;='Lease Cycles'!$AV$28,'Lease Cycles'!$C$28*'Lease Cycles'!$AW$28/12,IF(ED$6&gt;='Lease Cycles'!$AT$28,'Lease Cycles'!$C$28*'Lease Cycles'!$AU$28/12,'Lease Cycles'!$C$28*INDEX('Lease Cycles'!$CB$28:$CH$28,1,ED350)*(1+INDEX('Lease Cycles'!$CI$28:$CO$28,1,ED350))^INT(INT(ED351/12)/INDEX('Lease Cycles'!$CP$28:$CV$28,1,ED350))/12)))),'Lease Cycles'!$C$28*INDEX('Lease Cycles'!$CB$28:$CH$28,1,ED350)*(1+INDEX('Lease Cycles'!$CI$28:$CO$28,1,ED350))^INT(INT(ED351/12)/INDEX('Lease Cycles'!$CP$28:$CV$28,1,ED350))/12),IF(INDEX('Lease Cycles'!$EF$28:$EL$28,1,ED350)=1,IF(AND('Lease Cycles'!$AZ$28&gt;=INDEX('Lease Cycles'!$BG$28:$BM$28,1,ED350),'Lease Cycles'!$AZ$28&lt;=ED$6),'Lease Cycles'!$C$28*'Lease Cycles'!$BA$28/12,IF(AND('Lease Cycles'!$AX$28&gt;=INDEX('Lease Cycles'!$BG$28:$BM$28,1,ED350),'Lease Cycles'!$AX$28&lt;=ED$6),'Lease Cycles'!$C$28*'Lease Cycles'!$AY$28/12,IF(AND('Lease Cycles'!$AV$28&gt;=INDEX('Lease Cycles'!$BG$28:$BM$28,1,ED350),'Lease Cycles'!$AV$28&lt;=ED$6),'Lease Cycles'!$C$28*'Lease Cycles'!$AW$28/12,IF(AND('Lease Cycles'!$AT$28&gt;=INDEX('Lease Cycles'!$BG$28:$BM$28,1,ED350),'Lease Cycles'!$AT$28&lt;=ED$6),'Lease Cycles'!$C$28*'Lease Cycles'!$AU$28/12,'Lease Cycles'!$C$28*INDEX('Lease Cycles'!$CB$28:$CH$28,1,ED350)*(1+INDEX('Lease Cycles'!$CI$28:$CO$28,1,ED350))^INT(INT(ED351/12)/INDEX('Lease Cycles'!$CP$28:$CV$28,1,ED350))/12)))),'Lease Cycles'!$C$28*INDEX('Lease Cycles'!$CB$28:$CH$28,1,ED350)*(1+INDEX('Lease Cycles'!$CI$28:$CO$28,1,ED350))^INT(INT(ED351/12)/INDEX('Lease Cycles'!$CP$28:$CV$28,1,ED350))/12))),IF('Lease Cycles'!$N$28=1,'Lease Cycles'!$C$28*'Lease Cycles'!$E$28*INDEX('Lease Cycles'!$HE$28:$HK$28,1,ED350)*(1+INDEX('Lease Cycles'!$GQ$28:$GW$28,1,ED350))^INT(INT((ED$6-INDEX('Lease Cycles'!$GJ$28:$GP$28,1,ED350))/12)/INDEX('Lease Cycles'!$GX$28:$HD$28,1,ED350))/12,0)))</f>
        <v>0</v>
      </c>
      <c r="EE353" s="28">
        <f>IF(EE350=0,IF('Lease Cycles'!$F$28&gt;0,'Lease Cycles'!$C$28*'Lease Cycles'!$E$28/12,0),IF(EE352=1,IF('Lease Cycles'!$AT$28&gt;=9999,'Lease Cycles'!$C$28*INDEX('Lease Cycles'!$CB$28:$CH$28,1,EE350)*(1+INDEX('Lease Cycles'!$CI$28:$CO$28,1,EE350))^INT(INT(EE351/12)/INDEX('Lease Cycles'!$CP$28:$CV$28,1,EE350))/12,IF(EE350=1,IF(EE351&gt;=INDEX('Lease Cycles'!$DK$28:$DQ$28,1,EE350),IF(EE$6&gt;='Lease Cycles'!$AZ$28,'Lease Cycles'!$C$28*'Lease Cycles'!$BA$28/12,IF(EE$6&gt;='Lease Cycles'!$AX$28,'Lease Cycles'!$C$28*'Lease Cycles'!$AY$28/12,IF(EE$6&gt;='Lease Cycles'!$AV$28,'Lease Cycles'!$C$28*'Lease Cycles'!$AW$28/12,IF(EE$6&gt;='Lease Cycles'!$AT$28,'Lease Cycles'!$C$28*'Lease Cycles'!$AU$28/12,'Lease Cycles'!$C$28*INDEX('Lease Cycles'!$CB$28:$CH$28,1,EE350)*(1+INDEX('Lease Cycles'!$CI$28:$CO$28,1,EE350))^INT(INT(EE351/12)/INDEX('Lease Cycles'!$CP$28:$CV$28,1,EE350))/12)))),'Lease Cycles'!$C$28*INDEX('Lease Cycles'!$CB$28:$CH$28,1,EE350)*(1+INDEX('Lease Cycles'!$CI$28:$CO$28,1,EE350))^INT(INT(EE351/12)/INDEX('Lease Cycles'!$CP$28:$CV$28,1,EE350))/12),IF(INDEX('Lease Cycles'!$EF$28:$EL$28,1,EE350)=1,IF(AND('Lease Cycles'!$AZ$28&gt;=INDEX('Lease Cycles'!$BG$28:$BM$28,1,EE350),'Lease Cycles'!$AZ$28&lt;=EE$6),'Lease Cycles'!$C$28*'Lease Cycles'!$BA$28/12,IF(AND('Lease Cycles'!$AX$28&gt;=INDEX('Lease Cycles'!$BG$28:$BM$28,1,EE350),'Lease Cycles'!$AX$28&lt;=EE$6),'Lease Cycles'!$C$28*'Lease Cycles'!$AY$28/12,IF(AND('Lease Cycles'!$AV$28&gt;=INDEX('Lease Cycles'!$BG$28:$BM$28,1,EE350),'Lease Cycles'!$AV$28&lt;=EE$6),'Lease Cycles'!$C$28*'Lease Cycles'!$AW$28/12,IF(AND('Lease Cycles'!$AT$28&gt;=INDEX('Lease Cycles'!$BG$28:$BM$28,1,EE350),'Lease Cycles'!$AT$28&lt;=EE$6),'Lease Cycles'!$C$28*'Lease Cycles'!$AU$28/12,'Lease Cycles'!$C$28*INDEX('Lease Cycles'!$CB$28:$CH$28,1,EE350)*(1+INDEX('Lease Cycles'!$CI$28:$CO$28,1,EE350))^INT(INT(EE351/12)/INDEX('Lease Cycles'!$CP$28:$CV$28,1,EE350))/12)))),'Lease Cycles'!$C$28*INDEX('Lease Cycles'!$CB$28:$CH$28,1,EE350)*(1+INDEX('Lease Cycles'!$CI$28:$CO$28,1,EE350))^INT(INT(EE351/12)/INDEX('Lease Cycles'!$CP$28:$CV$28,1,EE350))/12))),IF('Lease Cycles'!$N$28=1,'Lease Cycles'!$C$28*'Lease Cycles'!$E$28*INDEX('Lease Cycles'!$HE$28:$HK$28,1,EE350)*(1+INDEX('Lease Cycles'!$GQ$28:$GW$28,1,EE350))^INT(INT((EE$6-INDEX('Lease Cycles'!$GJ$28:$GP$28,1,EE350))/12)/INDEX('Lease Cycles'!$GX$28:$HD$28,1,EE350))/12,0)))</f>
        <v>0</v>
      </c>
      <c r="EF353" s="28">
        <f>IF(EF350=0,IF('Lease Cycles'!$F$28&gt;0,'Lease Cycles'!$C$28*'Lease Cycles'!$E$28/12,0),IF(EF352=1,IF('Lease Cycles'!$AT$28&gt;=9999,'Lease Cycles'!$C$28*INDEX('Lease Cycles'!$CB$28:$CH$28,1,EF350)*(1+INDEX('Lease Cycles'!$CI$28:$CO$28,1,EF350))^INT(INT(EF351/12)/INDEX('Lease Cycles'!$CP$28:$CV$28,1,EF350))/12,IF(EF350=1,IF(EF351&gt;=INDEX('Lease Cycles'!$DK$28:$DQ$28,1,EF350),IF(EF$6&gt;='Lease Cycles'!$AZ$28,'Lease Cycles'!$C$28*'Lease Cycles'!$BA$28/12,IF(EF$6&gt;='Lease Cycles'!$AX$28,'Lease Cycles'!$C$28*'Lease Cycles'!$AY$28/12,IF(EF$6&gt;='Lease Cycles'!$AV$28,'Lease Cycles'!$C$28*'Lease Cycles'!$AW$28/12,IF(EF$6&gt;='Lease Cycles'!$AT$28,'Lease Cycles'!$C$28*'Lease Cycles'!$AU$28/12,'Lease Cycles'!$C$28*INDEX('Lease Cycles'!$CB$28:$CH$28,1,EF350)*(1+INDEX('Lease Cycles'!$CI$28:$CO$28,1,EF350))^INT(INT(EF351/12)/INDEX('Lease Cycles'!$CP$28:$CV$28,1,EF350))/12)))),'Lease Cycles'!$C$28*INDEX('Lease Cycles'!$CB$28:$CH$28,1,EF350)*(1+INDEX('Lease Cycles'!$CI$28:$CO$28,1,EF350))^INT(INT(EF351/12)/INDEX('Lease Cycles'!$CP$28:$CV$28,1,EF350))/12),IF(INDEX('Lease Cycles'!$EF$28:$EL$28,1,EF350)=1,IF(AND('Lease Cycles'!$AZ$28&gt;=INDEX('Lease Cycles'!$BG$28:$BM$28,1,EF350),'Lease Cycles'!$AZ$28&lt;=EF$6),'Lease Cycles'!$C$28*'Lease Cycles'!$BA$28/12,IF(AND('Lease Cycles'!$AX$28&gt;=INDEX('Lease Cycles'!$BG$28:$BM$28,1,EF350),'Lease Cycles'!$AX$28&lt;=EF$6),'Lease Cycles'!$C$28*'Lease Cycles'!$AY$28/12,IF(AND('Lease Cycles'!$AV$28&gt;=INDEX('Lease Cycles'!$BG$28:$BM$28,1,EF350),'Lease Cycles'!$AV$28&lt;=EF$6),'Lease Cycles'!$C$28*'Lease Cycles'!$AW$28/12,IF(AND('Lease Cycles'!$AT$28&gt;=INDEX('Lease Cycles'!$BG$28:$BM$28,1,EF350),'Lease Cycles'!$AT$28&lt;=EF$6),'Lease Cycles'!$C$28*'Lease Cycles'!$AU$28/12,'Lease Cycles'!$C$28*INDEX('Lease Cycles'!$CB$28:$CH$28,1,EF350)*(1+INDEX('Lease Cycles'!$CI$28:$CO$28,1,EF350))^INT(INT(EF351/12)/INDEX('Lease Cycles'!$CP$28:$CV$28,1,EF350))/12)))),'Lease Cycles'!$C$28*INDEX('Lease Cycles'!$CB$28:$CH$28,1,EF350)*(1+INDEX('Lease Cycles'!$CI$28:$CO$28,1,EF350))^INT(INT(EF351/12)/INDEX('Lease Cycles'!$CP$28:$CV$28,1,EF350))/12))),IF('Lease Cycles'!$N$28=1,'Lease Cycles'!$C$28*'Lease Cycles'!$E$28*INDEX('Lease Cycles'!$HE$28:$HK$28,1,EF350)*(1+INDEX('Lease Cycles'!$GQ$28:$GW$28,1,EF350))^INT(INT((EF$6-INDEX('Lease Cycles'!$GJ$28:$GP$28,1,EF350))/12)/INDEX('Lease Cycles'!$GX$28:$HD$28,1,EF350))/12,0)))</f>
        <v>0</v>
      </c>
      <c r="EG353" s="28">
        <f>IF(EG350=0,IF('Lease Cycles'!$F$28&gt;0,'Lease Cycles'!$C$28*'Lease Cycles'!$E$28/12,0),IF(EG352=1,IF('Lease Cycles'!$AT$28&gt;=9999,'Lease Cycles'!$C$28*INDEX('Lease Cycles'!$CB$28:$CH$28,1,EG350)*(1+INDEX('Lease Cycles'!$CI$28:$CO$28,1,EG350))^INT(INT(EG351/12)/INDEX('Lease Cycles'!$CP$28:$CV$28,1,EG350))/12,IF(EG350=1,IF(EG351&gt;=INDEX('Lease Cycles'!$DK$28:$DQ$28,1,EG350),IF(EG$6&gt;='Lease Cycles'!$AZ$28,'Lease Cycles'!$C$28*'Lease Cycles'!$BA$28/12,IF(EG$6&gt;='Lease Cycles'!$AX$28,'Lease Cycles'!$C$28*'Lease Cycles'!$AY$28/12,IF(EG$6&gt;='Lease Cycles'!$AV$28,'Lease Cycles'!$C$28*'Lease Cycles'!$AW$28/12,IF(EG$6&gt;='Lease Cycles'!$AT$28,'Lease Cycles'!$C$28*'Lease Cycles'!$AU$28/12,'Lease Cycles'!$C$28*INDEX('Lease Cycles'!$CB$28:$CH$28,1,EG350)*(1+INDEX('Lease Cycles'!$CI$28:$CO$28,1,EG350))^INT(INT(EG351/12)/INDEX('Lease Cycles'!$CP$28:$CV$28,1,EG350))/12)))),'Lease Cycles'!$C$28*INDEX('Lease Cycles'!$CB$28:$CH$28,1,EG350)*(1+INDEX('Lease Cycles'!$CI$28:$CO$28,1,EG350))^INT(INT(EG351/12)/INDEX('Lease Cycles'!$CP$28:$CV$28,1,EG350))/12),IF(INDEX('Lease Cycles'!$EF$28:$EL$28,1,EG350)=1,IF(AND('Lease Cycles'!$AZ$28&gt;=INDEX('Lease Cycles'!$BG$28:$BM$28,1,EG350),'Lease Cycles'!$AZ$28&lt;=EG$6),'Lease Cycles'!$C$28*'Lease Cycles'!$BA$28/12,IF(AND('Lease Cycles'!$AX$28&gt;=INDEX('Lease Cycles'!$BG$28:$BM$28,1,EG350),'Lease Cycles'!$AX$28&lt;=EG$6),'Lease Cycles'!$C$28*'Lease Cycles'!$AY$28/12,IF(AND('Lease Cycles'!$AV$28&gt;=INDEX('Lease Cycles'!$BG$28:$BM$28,1,EG350),'Lease Cycles'!$AV$28&lt;=EG$6),'Lease Cycles'!$C$28*'Lease Cycles'!$AW$28/12,IF(AND('Lease Cycles'!$AT$28&gt;=INDEX('Lease Cycles'!$BG$28:$BM$28,1,EG350),'Lease Cycles'!$AT$28&lt;=EG$6),'Lease Cycles'!$C$28*'Lease Cycles'!$AU$28/12,'Lease Cycles'!$C$28*INDEX('Lease Cycles'!$CB$28:$CH$28,1,EG350)*(1+INDEX('Lease Cycles'!$CI$28:$CO$28,1,EG350))^INT(INT(EG351/12)/INDEX('Lease Cycles'!$CP$28:$CV$28,1,EG350))/12)))),'Lease Cycles'!$C$28*INDEX('Lease Cycles'!$CB$28:$CH$28,1,EG350)*(1+INDEX('Lease Cycles'!$CI$28:$CO$28,1,EG350))^INT(INT(EG351/12)/INDEX('Lease Cycles'!$CP$28:$CV$28,1,EG350))/12))),IF('Lease Cycles'!$N$28=1,'Lease Cycles'!$C$28*'Lease Cycles'!$E$28*INDEX('Lease Cycles'!$HE$28:$HK$28,1,EG350)*(1+INDEX('Lease Cycles'!$GQ$28:$GW$28,1,EG350))^INT(INT((EG$6-INDEX('Lease Cycles'!$GJ$28:$GP$28,1,EG350))/12)/INDEX('Lease Cycles'!$GX$28:$HD$28,1,EG350))/12,0)))</f>
        <v>0</v>
      </c>
      <c r="EH353" s="28">
        <f>IF(EH350=0,IF('Lease Cycles'!$F$28&gt;0,'Lease Cycles'!$C$28*'Lease Cycles'!$E$28/12,0),IF(EH352=1,IF('Lease Cycles'!$AT$28&gt;=9999,'Lease Cycles'!$C$28*INDEX('Lease Cycles'!$CB$28:$CH$28,1,EH350)*(1+INDEX('Lease Cycles'!$CI$28:$CO$28,1,EH350))^INT(INT(EH351/12)/INDEX('Lease Cycles'!$CP$28:$CV$28,1,EH350))/12,IF(EH350=1,IF(EH351&gt;=INDEX('Lease Cycles'!$DK$28:$DQ$28,1,EH350),IF(EH$6&gt;='Lease Cycles'!$AZ$28,'Lease Cycles'!$C$28*'Lease Cycles'!$BA$28/12,IF(EH$6&gt;='Lease Cycles'!$AX$28,'Lease Cycles'!$C$28*'Lease Cycles'!$AY$28/12,IF(EH$6&gt;='Lease Cycles'!$AV$28,'Lease Cycles'!$C$28*'Lease Cycles'!$AW$28/12,IF(EH$6&gt;='Lease Cycles'!$AT$28,'Lease Cycles'!$C$28*'Lease Cycles'!$AU$28/12,'Lease Cycles'!$C$28*INDEX('Lease Cycles'!$CB$28:$CH$28,1,EH350)*(1+INDEX('Lease Cycles'!$CI$28:$CO$28,1,EH350))^INT(INT(EH351/12)/INDEX('Lease Cycles'!$CP$28:$CV$28,1,EH350))/12)))),'Lease Cycles'!$C$28*INDEX('Lease Cycles'!$CB$28:$CH$28,1,EH350)*(1+INDEX('Lease Cycles'!$CI$28:$CO$28,1,EH350))^INT(INT(EH351/12)/INDEX('Lease Cycles'!$CP$28:$CV$28,1,EH350))/12),IF(INDEX('Lease Cycles'!$EF$28:$EL$28,1,EH350)=1,IF(AND('Lease Cycles'!$AZ$28&gt;=INDEX('Lease Cycles'!$BG$28:$BM$28,1,EH350),'Lease Cycles'!$AZ$28&lt;=EH$6),'Lease Cycles'!$C$28*'Lease Cycles'!$BA$28/12,IF(AND('Lease Cycles'!$AX$28&gt;=INDEX('Lease Cycles'!$BG$28:$BM$28,1,EH350),'Lease Cycles'!$AX$28&lt;=EH$6),'Lease Cycles'!$C$28*'Lease Cycles'!$AY$28/12,IF(AND('Lease Cycles'!$AV$28&gt;=INDEX('Lease Cycles'!$BG$28:$BM$28,1,EH350),'Lease Cycles'!$AV$28&lt;=EH$6),'Lease Cycles'!$C$28*'Lease Cycles'!$AW$28/12,IF(AND('Lease Cycles'!$AT$28&gt;=INDEX('Lease Cycles'!$BG$28:$BM$28,1,EH350),'Lease Cycles'!$AT$28&lt;=EH$6),'Lease Cycles'!$C$28*'Lease Cycles'!$AU$28/12,'Lease Cycles'!$C$28*INDEX('Lease Cycles'!$CB$28:$CH$28,1,EH350)*(1+INDEX('Lease Cycles'!$CI$28:$CO$28,1,EH350))^INT(INT(EH351/12)/INDEX('Lease Cycles'!$CP$28:$CV$28,1,EH350))/12)))),'Lease Cycles'!$C$28*INDEX('Lease Cycles'!$CB$28:$CH$28,1,EH350)*(1+INDEX('Lease Cycles'!$CI$28:$CO$28,1,EH350))^INT(INT(EH351/12)/INDEX('Lease Cycles'!$CP$28:$CV$28,1,EH350))/12))),IF('Lease Cycles'!$N$28=1,'Lease Cycles'!$C$28*'Lease Cycles'!$E$28*INDEX('Lease Cycles'!$HE$28:$HK$28,1,EH350)*(1+INDEX('Lease Cycles'!$GQ$28:$GW$28,1,EH350))^INT(INT((EH$6-INDEX('Lease Cycles'!$GJ$28:$GP$28,1,EH350))/12)/INDEX('Lease Cycles'!$GX$28:$HD$28,1,EH350))/12,0)))</f>
        <v>0</v>
      </c>
      <c r="EI353" s="28">
        <f>IF(EI350=0,IF('Lease Cycles'!$F$28&gt;0,'Lease Cycles'!$C$28*'Lease Cycles'!$E$28/12,0),IF(EI352=1,IF('Lease Cycles'!$AT$28&gt;=9999,'Lease Cycles'!$C$28*INDEX('Lease Cycles'!$CB$28:$CH$28,1,EI350)*(1+INDEX('Lease Cycles'!$CI$28:$CO$28,1,EI350))^INT(INT(EI351/12)/INDEX('Lease Cycles'!$CP$28:$CV$28,1,EI350))/12,IF(EI350=1,IF(EI351&gt;=INDEX('Lease Cycles'!$DK$28:$DQ$28,1,EI350),IF(EI$6&gt;='Lease Cycles'!$AZ$28,'Lease Cycles'!$C$28*'Lease Cycles'!$BA$28/12,IF(EI$6&gt;='Lease Cycles'!$AX$28,'Lease Cycles'!$C$28*'Lease Cycles'!$AY$28/12,IF(EI$6&gt;='Lease Cycles'!$AV$28,'Lease Cycles'!$C$28*'Lease Cycles'!$AW$28/12,IF(EI$6&gt;='Lease Cycles'!$AT$28,'Lease Cycles'!$C$28*'Lease Cycles'!$AU$28/12,'Lease Cycles'!$C$28*INDEX('Lease Cycles'!$CB$28:$CH$28,1,EI350)*(1+INDEX('Lease Cycles'!$CI$28:$CO$28,1,EI350))^INT(INT(EI351/12)/INDEX('Lease Cycles'!$CP$28:$CV$28,1,EI350))/12)))),'Lease Cycles'!$C$28*INDEX('Lease Cycles'!$CB$28:$CH$28,1,EI350)*(1+INDEX('Lease Cycles'!$CI$28:$CO$28,1,EI350))^INT(INT(EI351/12)/INDEX('Lease Cycles'!$CP$28:$CV$28,1,EI350))/12),IF(INDEX('Lease Cycles'!$EF$28:$EL$28,1,EI350)=1,IF(AND('Lease Cycles'!$AZ$28&gt;=INDEX('Lease Cycles'!$BG$28:$BM$28,1,EI350),'Lease Cycles'!$AZ$28&lt;=EI$6),'Lease Cycles'!$C$28*'Lease Cycles'!$BA$28/12,IF(AND('Lease Cycles'!$AX$28&gt;=INDEX('Lease Cycles'!$BG$28:$BM$28,1,EI350),'Lease Cycles'!$AX$28&lt;=EI$6),'Lease Cycles'!$C$28*'Lease Cycles'!$AY$28/12,IF(AND('Lease Cycles'!$AV$28&gt;=INDEX('Lease Cycles'!$BG$28:$BM$28,1,EI350),'Lease Cycles'!$AV$28&lt;=EI$6),'Lease Cycles'!$C$28*'Lease Cycles'!$AW$28/12,IF(AND('Lease Cycles'!$AT$28&gt;=INDEX('Lease Cycles'!$BG$28:$BM$28,1,EI350),'Lease Cycles'!$AT$28&lt;=EI$6),'Lease Cycles'!$C$28*'Lease Cycles'!$AU$28/12,'Lease Cycles'!$C$28*INDEX('Lease Cycles'!$CB$28:$CH$28,1,EI350)*(1+INDEX('Lease Cycles'!$CI$28:$CO$28,1,EI350))^INT(INT(EI351/12)/INDEX('Lease Cycles'!$CP$28:$CV$28,1,EI350))/12)))),'Lease Cycles'!$C$28*INDEX('Lease Cycles'!$CB$28:$CH$28,1,EI350)*(1+INDEX('Lease Cycles'!$CI$28:$CO$28,1,EI350))^INT(INT(EI351/12)/INDEX('Lease Cycles'!$CP$28:$CV$28,1,EI350))/12))),IF('Lease Cycles'!$N$28=1,'Lease Cycles'!$C$28*'Lease Cycles'!$E$28*INDEX('Lease Cycles'!$HE$28:$HK$28,1,EI350)*(1+INDEX('Lease Cycles'!$GQ$28:$GW$28,1,EI350))^INT(INT((EI$6-INDEX('Lease Cycles'!$GJ$28:$GP$28,1,EI350))/12)/INDEX('Lease Cycles'!$GX$28:$HD$28,1,EI350))/12,0)))</f>
        <v>0</v>
      </c>
      <c r="EJ353" s="28">
        <f>IF(EJ350=0,IF('Lease Cycles'!$F$28&gt;0,'Lease Cycles'!$C$28*'Lease Cycles'!$E$28/12,0),IF(EJ352=1,IF('Lease Cycles'!$AT$28&gt;=9999,'Lease Cycles'!$C$28*INDEX('Lease Cycles'!$CB$28:$CH$28,1,EJ350)*(1+INDEX('Lease Cycles'!$CI$28:$CO$28,1,EJ350))^INT(INT(EJ351/12)/INDEX('Lease Cycles'!$CP$28:$CV$28,1,EJ350))/12,IF(EJ350=1,IF(EJ351&gt;=INDEX('Lease Cycles'!$DK$28:$DQ$28,1,EJ350),IF(EJ$6&gt;='Lease Cycles'!$AZ$28,'Lease Cycles'!$C$28*'Lease Cycles'!$BA$28/12,IF(EJ$6&gt;='Lease Cycles'!$AX$28,'Lease Cycles'!$C$28*'Lease Cycles'!$AY$28/12,IF(EJ$6&gt;='Lease Cycles'!$AV$28,'Lease Cycles'!$C$28*'Lease Cycles'!$AW$28/12,IF(EJ$6&gt;='Lease Cycles'!$AT$28,'Lease Cycles'!$C$28*'Lease Cycles'!$AU$28/12,'Lease Cycles'!$C$28*INDEX('Lease Cycles'!$CB$28:$CH$28,1,EJ350)*(1+INDEX('Lease Cycles'!$CI$28:$CO$28,1,EJ350))^INT(INT(EJ351/12)/INDEX('Lease Cycles'!$CP$28:$CV$28,1,EJ350))/12)))),'Lease Cycles'!$C$28*INDEX('Lease Cycles'!$CB$28:$CH$28,1,EJ350)*(1+INDEX('Lease Cycles'!$CI$28:$CO$28,1,EJ350))^INT(INT(EJ351/12)/INDEX('Lease Cycles'!$CP$28:$CV$28,1,EJ350))/12),IF(INDEX('Lease Cycles'!$EF$28:$EL$28,1,EJ350)=1,IF(AND('Lease Cycles'!$AZ$28&gt;=INDEX('Lease Cycles'!$BG$28:$BM$28,1,EJ350),'Lease Cycles'!$AZ$28&lt;=EJ$6),'Lease Cycles'!$C$28*'Lease Cycles'!$BA$28/12,IF(AND('Lease Cycles'!$AX$28&gt;=INDEX('Lease Cycles'!$BG$28:$BM$28,1,EJ350),'Lease Cycles'!$AX$28&lt;=EJ$6),'Lease Cycles'!$C$28*'Lease Cycles'!$AY$28/12,IF(AND('Lease Cycles'!$AV$28&gt;=INDEX('Lease Cycles'!$BG$28:$BM$28,1,EJ350),'Lease Cycles'!$AV$28&lt;=EJ$6),'Lease Cycles'!$C$28*'Lease Cycles'!$AW$28/12,IF(AND('Lease Cycles'!$AT$28&gt;=INDEX('Lease Cycles'!$BG$28:$BM$28,1,EJ350),'Lease Cycles'!$AT$28&lt;=EJ$6),'Lease Cycles'!$C$28*'Lease Cycles'!$AU$28/12,'Lease Cycles'!$C$28*INDEX('Lease Cycles'!$CB$28:$CH$28,1,EJ350)*(1+INDEX('Lease Cycles'!$CI$28:$CO$28,1,EJ350))^INT(INT(EJ351/12)/INDEX('Lease Cycles'!$CP$28:$CV$28,1,EJ350))/12)))),'Lease Cycles'!$C$28*INDEX('Lease Cycles'!$CB$28:$CH$28,1,EJ350)*(1+INDEX('Lease Cycles'!$CI$28:$CO$28,1,EJ350))^INT(INT(EJ351/12)/INDEX('Lease Cycles'!$CP$28:$CV$28,1,EJ350))/12))),IF('Lease Cycles'!$N$28=1,'Lease Cycles'!$C$28*'Lease Cycles'!$E$28*INDEX('Lease Cycles'!$HE$28:$HK$28,1,EJ350)*(1+INDEX('Lease Cycles'!$GQ$28:$GW$28,1,EJ350))^INT(INT((EJ$6-INDEX('Lease Cycles'!$GJ$28:$GP$28,1,EJ350))/12)/INDEX('Lease Cycles'!$GX$28:$HD$28,1,EJ350))/12,0)))</f>
        <v>0</v>
      </c>
      <c r="EK353" s="28">
        <f>IF(EK350=0,IF('Lease Cycles'!$F$28&gt;0,'Lease Cycles'!$C$28*'Lease Cycles'!$E$28/12,0),IF(EK352=1,IF('Lease Cycles'!$AT$28&gt;=9999,'Lease Cycles'!$C$28*INDEX('Lease Cycles'!$CB$28:$CH$28,1,EK350)*(1+INDEX('Lease Cycles'!$CI$28:$CO$28,1,EK350))^INT(INT(EK351/12)/INDEX('Lease Cycles'!$CP$28:$CV$28,1,EK350))/12,IF(EK350=1,IF(EK351&gt;=INDEX('Lease Cycles'!$DK$28:$DQ$28,1,EK350),IF(EK$6&gt;='Lease Cycles'!$AZ$28,'Lease Cycles'!$C$28*'Lease Cycles'!$BA$28/12,IF(EK$6&gt;='Lease Cycles'!$AX$28,'Lease Cycles'!$C$28*'Lease Cycles'!$AY$28/12,IF(EK$6&gt;='Lease Cycles'!$AV$28,'Lease Cycles'!$C$28*'Lease Cycles'!$AW$28/12,IF(EK$6&gt;='Lease Cycles'!$AT$28,'Lease Cycles'!$C$28*'Lease Cycles'!$AU$28/12,'Lease Cycles'!$C$28*INDEX('Lease Cycles'!$CB$28:$CH$28,1,EK350)*(1+INDEX('Lease Cycles'!$CI$28:$CO$28,1,EK350))^INT(INT(EK351/12)/INDEX('Lease Cycles'!$CP$28:$CV$28,1,EK350))/12)))),'Lease Cycles'!$C$28*INDEX('Lease Cycles'!$CB$28:$CH$28,1,EK350)*(1+INDEX('Lease Cycles'!$CI$28:$CO$28,1,EK350))^INT(INT(EK351/12)/INDEX('Lease Cycles'!$CP$28:$CV$28,1,EK350))/12),IF(INDEX('Lease Cycles'!$EF$28:$EL$28,1,EK350)=1,IF(AND('Lease Cycles'!$AZ$28&gt;=INDEX('Lease Cycles'!$BG$28:$BM$28,1,EK350),'Lease Cycles'!$AZ$28&lt;=EK$6),'Lease Cycles'!$C$28*'Lease Cycles'!$BA$28/12,IF(AND('Lease Cycles'!$AX$28&gt;=INDEX('Lease Cycles'!$BG$28:$BM$28,1,EK350),'Lease Cycles'!$AX$28&lt;=EK$6),'Lease Cycles'!$C$28*'Lease Cycles'!$AY$28/12,IF(AND('Lease Cycles'!$AV$28&gt;=INDEX('Lease Cycles'!$BG$28:$BM$28,1,EK350),'Lease Cycles'!$AV$28&lt;=EK$6),'Lease Cycles'!$C$28*'Lease Cycles'!$AW$28/12,IF(AND('Lease Cycles'!$AT$28&gt;=INDEX('Lease Cycles'!$BG$28:$BM$28,1,EK350),'Lease Cycles'!$AT$28&lt;=EK$6),'Lease Cycles'!$C$28*'Lease Cycles'!$AU$28/12,'Lease Cycles'!$C$28*INDEX('Lease Cycles'!$CB$28:$CH$28,1,EK350)*(1+INDEX('Lease Cycles'!$CI$28:$CO$28,1,EK350))^INT(INT(EK351/12)/INDEX('Lease Cycles'!$CP$28:$CV$28,1,EK350))/12)))),'Lease Cycles'!$C$28*INDEX('Lease Cycles'!$CB$28:$CH$28,1,EK350)*(1+INDEX('Lease Cycles'!$CI$28:$CO$28,1,EK350))^INT(INT(EK351/12)/INDEX('Lease Cycles'!$CP$28:$CV$28,1,EK350))/12))),IF('Lease Cycles'!$N$28=1,'Lease Cycles'!$C$28*'Lease Cycles'!$E$28*INDEX('Lease Cycles'!$HE$28:$HK$28,1,EK350)*(1+INDEX('Lease Cycles'!$GQ$28:$GW$28,1,EK350))^INT(INT((EK$6-INDEX('Lease Cycles'!$GJ$28:$GP$28,1,EK350))/12)/INDEX('Lease Cycles'!$GX$28:$HD$28,1,EK350))/12,0)))</f>
        <v>0</v>
      </c>
      <c r="EL353" s="28">
        <f>IF(EL350=0,IF('Lease Cycles'!$F$28&gt;0,'Lease Cycles'!$C$28*'Lease Cycles'!$E$28/12,0),IF(EL352=1,IF('Lease Cycles'!$AT$28&gt;=9999,'Lease Cycles'!$C$28*INDEX('Lease Cycles'!$CB$28:$CH$28,1,EL350)*(1+INDEX('Lease Cycles'!$CI$28:$CO$28,1,EL350))^INT(INT(EL351/12)/INDEX('Lease Cycles'!$CP$28:$CV$28,1,EL350))/12,IF(EL350=1,IF(EL351&gt;=INDEX('Lease Cycles'!$DK$28:$DQ$28,1,EL350),IF(EL$6&gt;='Lease Cycles'!$AZ$28,'Lease Cycles'!$C$28*'Lease Cycles'!$BA$28/12,IF(EL$6&gt;='Lease Cycles'!$AX$28,'Lease Cycles'!$C$28*'Lease Cycles'!$AY$28/12,IF(EL$6&gt;='Lease Cycles'!$AV$28,'Lease Cycles'!$C$28*'Lease Cycles'!$AW$28/12,IF(EL$6&gt;='Lease Cycles'!$AT$28,'Lease Cycles'!$C$28*'Lease Cycles'!$AU$28/12,'Lease Cycles'!$C$28*INDEX('Lease Cycles'!$CB$28:$CH$28,1,EL350)*(1+INDEX('Lease Cycles'!$CI$28:$CO$28,1,EL350))^INT(INT(EL351/12)/INDEX('Lease Cycles'!$CP$28:$CV$28,1,EL350))/12)))),'Lease Cycles'!$C$28*INDEX('Lease Cycles'!$CB$28:$CH$28,1,EL350)*(1+INDEX('Lease Cycles'!$CI$28:$CO$28,1,EL350))^INT(INT(EL351/12)/INDEX('Lease Cycles'!$CP$28:$CV$28,1,EL350))/12),IF(INDEX('Lease Cycles'!$EF$28:$EL$28,1,EL350)=1,IF(AND('Lease Cycles'!$AZ$28&gt;=INDEX('Lease Cycles'!$BG$28:$BM$28,1,EL350),'Lease Cycles'!$AZ$28&lt;=EL$6),'Lease Cycles'!$C$28*'Lease Cycles'!$BA$28/12,IF(AND('Lease Cycles'!$AX$28&gt;=INDEX('Lease Cycles'!$BG$28:$BM$28,1,EL350),'Lease Cycles'!$AX$28&lt;=EL$6),'Lease Cycles'!$C$28*'Lease Cycles'!$AY$28/12,IF(AND('Lease Cycles'!$AV$28&gt;=INDEX('Lease Cycles'!$BG$28:$BM$28,1,EL350),'Lease Cycles'!$AV$28&lt;=EL$6),'Lease Cycles'!$C$28*'Lease Cycles'!$AW$28/12,IF(AND('Lease Cycles'!$AT$28&gt;=INDEX('Lease Cycles'!$BG$28:$BM$28,1,EL350),'Lease Cycles'!$AT$28&lt;=EL$6),'Lease Cycles'!$C$28*'Lease Cycles'!$AU$28/12,'Lease Cycles'!$C$28*INDEX('Lease Cycles'!$CB$28:$CH$28,1,EL350)*(1+INDEX('Lease Cycles'!$CI$28:$CO$28,1,EL350))^INT(INT(EL351/12)/INDEX('Lease Cycles'!$CP$28:$CV$28,1,EL350))/12)))),'Lease Cycles'!$C$28*INDEX('Lease Cycles'!$CB$28:$CH$28,1,EL350)*(1+INDEX('Lease Cycles'!$CI$28:$CO$28,1,EL350))^INT(INT(EL351/12)/INDEX('Lease Cycles'!$CP$28:$CV$28,1,EL350))/12))),IF('Lease Cycles'!$N$28=1,'Lease Cycles'!$C$28*'Lease Cycles'!$E$28*INDEX('Lease Cycles'!$HE$28:$HK$28,1,EL350)*(1+INDEX('Lease Cycles'!$GQ$28:$GW$28,1,EL350))^INT(INT((EL$6-INDEX('Lease Cycles'!$GJ$28:$GP$28,1,EL350))/12)/INDEX('Lease Cycles'!$GX$28:$HD$28,1,EL350))/12,0)))</f>
        <v>0</v>
      </c>
      <c r="EM353" s="28">
        <f>IF(EM350=0,IF('Lease Cycles'!$F$28&gt;0,'Lease Cycles'!$C$28*'Lease Cycles'!$E$28/12,0),IF(EM352=1,IF('Lease Cycles'!$AT$28&gt;=9999,'Lease Cycles'!$C$28*INDEX('Lease Cycles'!$CB$28:$CH$28,1,EM350)*(1+INDEX('Lease Cycles'!$CI$28:$CO$28,1,EM350))^INT(INT(EM351/12)/INDEX('Lease Cycles'!$CP$28:$CV$28,1,EM350))/12,IF(EM350=1,IF(EM351&gt;=INDEX('Lease Cycles'!$DK$28:$DQ$28,1,EM350),IF(EM$6&gt;='Lease Cycles'!$AZ$28,'Lease Cycles'!$C$28*'Lease Cycles'!$BA$28/12,IF(EM$6&gt;='Lease Cycles'!$AX$28,'Lease Cycles'!$C$28*'Lease Cycles'!$AY$28/12,IF(EM$6&gt;='Lease Cycles'!$AV$28,'Lease Cycles'!$C$28*'Lease Cycles'!$AW$28/12,IF(EM$6&gt;='Lease Cycles'!$AT$28,'Lease Cycles'!$C$28*'Lease Cycles'!$AU$28/12,'Lease Cycles'!$C$28*INDEX('Lease Cycles'!$CB$28:$CH$28,1,EM350)*(1+INDEX('Lease Cycles'!$CI$28:$CO$28,1,EM350))^INT(INT(EM351/12)/INDEX('Lease Cycles'!$CP$28:$CV$28,1,EM350))/12)))),'Lease Cycles'!$C$28*INDEX('Lease Cycles'!$CB$28:$CH$28,1,EM350)*(1+INDEX('Lease Cycles'!$CI$28:$CO$28,1,EM350))^INT(INT(EM351/12)/INDEX('Lease Cycles'!$CP$28:$CV$28,1,EM350))/12),IF(INDEX('Lease Cycles'!$EF$28:$EL$28,1,EM350)=1,IF(AND('Lease Cycles'!$AZ$28&gt;=INDEX('Lease Cycles'!$BG$28:$BM$28,1,EM350),'Lease Cycles'!$AZ$28&lt;=EM$6),'Lease Cycles'!$C$28*'Lease Cycles'!$BA$28/12,IF(AND('Lease Cycles'!$AX$28&gt;=INDEX('Lease Cycles'!$BG$28:$BM$28,1,EM350),'Lease Cycles'!$AX$28&lt;=EM$6),'Lease Cycles'!$C$28*'Lease Cycles'!$AY$28/12,IF(AND('Lease Cycles'!$AV$28&gt;=INDEX('Lease Cycles'!$BG$28:$BM$28,1,EM350),'Lease Cycles'!$AV$28&lt;=EM$6),'Lease Cycles'!$C$28*'Lease Cycles'!$AW$28/12,IF(AND('Lease Cycles'!$AT$28&gt;=INDEX('Lease Cycles'!$BG$28:$BM$28,1,EM350),'Lease Cycles'!$AT$28&lt;=EM$6),'Lease Cycles'!$C$28*'Lease Cycles'!$AU$28/12,'Lease Cycles'!$C$28*INDEX('Lease Cycles'!$CB$28:$CH$28,1,EM350)*(1+INDEX('Lease Cycles'!$CI$28:$CO$28,1,EM350))^INT(INT(EM351/12)/INDEX('Lease Cycles'!$CP$28:$CV$28,1,EM350))/12)))),'Lease Cycles'!$C$28*INDEX('Lease Cycles'!$CB$28:$CH$28,1,EM350)*(1+INDEX('Lease Cycles'!$CI$28:$CO$28,1,EM350))^INT(INT(EM351/12)/INDEX('Lease Cycles'!$CP$28:$CV$28,1,EM350))/12))),IF('Lease Cycles'!$N$28=1,'Lease Cycles'!$C$28*'Lease Cycles'!$E$28*INDEX('Lease Cycles'!$HE$28:$HK$28,1,EM350)*(1+INDEX('Lease Cycles'!$GQ$28:$GW$28,1,EM350))^INT(INT((EM$6-INDEX('Lease Cycles'!$GJ$28:$GP$28,1,EM350))/12)/INDEX('Lease Cycles'!$GX$28:$HD$28,1,EM350))/12,0)))</f>
        <v>0</v>
      </c>
      <c r="EN353" s="28">
        <f>IF(EN350=0,IF('Lease Cycles'!$F$28&gt;0,'Lease Cycles'!$C$28*'Lease Cycles'!$E$28/12,0),IF(EN352=1,IF('Lease Cycles'!$AT$28&gt;=9999,'Lease Cycles'!$C$28*INDEX('Lease Cycles'!$CB$28:$CH$28,1,EN350)*(1+INDEX('Lease Cycles'!$CI$28:$CO$28,1,EN350))^INT(INT(EN351/12)/INDEX('Lease Cycles'!$CP$28:$CV$28,1,EN350))/12,IF(EN350=1,IF(EN351&gt;=INDEX('Lease Cycles'!$DK$28:$DQ$28,1,EN350),IF(EN$6&gt;='Lease Cycles'!$AZ$28,'Lease Cycles'!$C$28*'Lease Cycles'!$BA$28/12,IF(EN$6&gt;='Lease Cycles'!$AX$28,'Lease Cycles'!$C$28*'Lease Cycles'!$AY$28/12,IF(EN$6&gt;='Lease Cycles'!$AV$28,'Lease Cycles'!$C$28*'Lease Cycles'!$AW$28/12,IF(EN$6&gt;='Lease Cycles'!$AT$28,'Lease Cycles'!$C$28*'Lease Cycles'!$AU$28/12,'Lease Cycles'!$C$28*INDEX('Lease Cycles'!$CB$28:$CH$28,1,EN350)*(1+INDEX('Lease Cycles'!$CI$28:$CO$28,1,EN350))^INT(INT(EN351/12)/INDEX('Lease Cycles'!$CP$28:$CV$28,1,EN350))/12)))),'Lease Cycles'!$C$28*INDEX('Lease Cycles'!$CB$28:$CH$28,1,EN350)*(1+INDEX('Lease Cycles'!$CI$28:$CO$28,1,EN350))^INT(INT(EN351/12)/INDEX('Lease Cycles'!$CP$28:$CV$28,1,EN350))/12),IF(INDEX('Lease Cycles'!$EF$28:$EL$28,1,EN350)=1,IF(AND('Lease Cycles'!$AZ$28&gt;=INDEX('Lease Cycles'!$BG$28:$BM$28,1,EN350),'Lease Cycles'!$AZ$28&lt;=EN$6),'Lease Cycles'!$C$28*'Lease Cycles'!$BA$28/12,IF(AND('Lease Cycles'!$AX$28&gt;=INDEX('Lease Cycles'!$BG$28:$BM$28,1,EN350),'Lease Cycles'!$AX$28&lt;=EN$6),'Lease Cycles'!$C$28*'Lease Cycles'!$AY$28/12,IF(AND('Lease Cycles'!$AV$28&gt;=INDEX('Lease Cycles'!$BG$28:$BM$28,1,EN350),'Lease Cycles'!$AV$28&lt;=EN$6),'Lease Cycles'!$C$28*'Lease Cycles'!$AW$28/12,IF(AND('Lease Cycles'!$AT$28&gt;=INDEX('Lease Cycles'!$BG$28:$BM$28,1,EN350),'Lease Cycles'!$AT$28&lt;=EN$6),'Lease Cycles'!$C$28*'Lease Cycles'!$AU$28/12,'Lease Cycles'!$C$28*INDEX('Lease Cycles'!$CB$28:$CH$28,1,EN350)*(1+INDEX('Lease Cycles'!$CI$28:$CO$28,1,EN350))^INT(INT(EN351/12)/INDEX('Lease Cycles'!$CP$28:$CV$28,1,EN350))/12)))),'Lease Cycles'!$C$28*INDEX('Lease Cycles'!$CB$28:$CH$28,1,EN350)*(1+INDEX('Lease Cycles'!$CI$28:$CO$28,1,EN350))^INT(INT(EN351/12)/INDEX('Lease Cycles'!$CP$28:$CV$28,1,EN350))/12))),IF('Lease Cycles'!$N$28=1,'Lease Cycles'!$C$28*'Lease Cycles'!$E$28*INDEX('Lease Cycles'!$HE$28:$HK$28,1,EN350)*(1+INDEX('Lease Cycles'!$GQ$28:$GW$28,1,EN350))^INT(INT((EN$6-INDEX('Lease Cycles'!$GJ$28:$GP$28,1,EN350))/12)/INDEX('Lease Cycles'!$GX$28:$HD$28,1,EN350))/12,0)))</f>
        <v>0</v>
      </c>
      <c r="EO353" s="28">
        <f>IF(EO350=0,IF('Lease Cycles'!$F$28&gt;0,'Lease Cycles'!$C$28*'Lease Cycles'!$E$28/12,0),IF(EO352=1,IF('Lease Cycles'!$AT$28&gt;=9999,'Lease Cycles'!$C$28*INDEX('Lease Cycles'!$CB$28:$CH$28,1,EO350)*(1+INDEX('Lease Cycles'!$CI$28:$CO$28,1,EO350))^INT(INT(EO351/12)/INDEX('Lease Cycles'!$CP$28:$CV$28,1,EO350))/12,IF(EO350=1,IF(EO351&gt;=INDEX('Lease Cycles'!$DK$28:$DQ$28,1,EO350),IF(EO$6&gt;='Lease Cycles'!$AZ$28,'Lease Cycles'!$C$28*'Lease Cycles'!$BA$28/12,IF(EO$6&gt;='Lease Cycles'!$AX$28,'Lease Cycles'!$C$28*'Lease Cycles'!$AY$28/12,IF(EO$6&gt;='Lease Cycles'!$AV$28,'Lease Cycles'!$C$28*'Lease Cycles'!$AW$28/12,IF(EO$6&gt;='Lease Cycles'!$AT$28,'Lease Cycles'!$C$28*'Lease Cycles'!$AU$28/12,'Lease Cycles'!$C$28*INDEX('Lease Cycles'!$CB$28:$CH$28,1,EO350)*(1+INDEX('Lease Cycles'!$CI$28:$CO$28,1,EO350))^INT(INT(EO351/12)/INDEX('Lease Cycles'!$CP$28:$CV$28,1,EO350))/12)))),'Lease Cycles'!$C$28*INDEX('Lease Cycles'!$CB$28:$CH$28,1,EO350)*(1+INDEX('Lease Cycles'!$CI$28:$CO$28,1,EO350))^INT(INT(EO351/12)/INDEX('Lease Cycles'!$CP$28:$CV$28,1,EO350))/12),IF(INDEX('Lease Cycles'!$EF$28:$EL$28,1,EO350)=1,IF(AND('Lease Cycles'!$AZ$28&gt;=INDEX('Lease Cycles'!$BG$28:$BM$28,1,EO350),'Lease Cycles'!$AZ$28&lt;=EO$6),'Lease Cycles'!$C$28*'Lease Cycles'!$BA$28/12,IF(AND('Lease Cycles'!$AX$28&gt;=INDEX('Lease Cycles'!$BG$28:$BM$28,1,EO350),'Lease Cycles'!$AX$28&lt;=EO$6),'Lease Cycles'!$C$28*'Lease Cycles'!$AY$28/12,IF(AND('Lease Cycles'!$AV$28&gt;=INDEX('Lease Cycles'!$BG$28:$BM$28,1,EO350),'Lease Cycles'!$AV$28&lt;=EO$6),'Lease Cycles'!$C$28*'Lease Cycles'!$AW$28/12,IF(AND('Lease Cycles'!$AT$28&gt;=INDEX('Lease Cycles'!$BG$28:$BM$28,1,EO350),'Lease Cycles'!$AT$28&lt;=EO$6),'Lease Cycles'!$C$28*'Lease Cycles'!$AU$28/12,'Lease Cycles'!$C$28*INDEX('Lease Cycles'!$CB$28:$CH$28,1,EO350)*(1+INDEX('Lease Cycles'!$CI$28:$CO$28,1,EO350))^INT(INT(EO351/12)/INDEX('Lease Cycles'!$CP$28:$CV$28,1,EO350))/12)))),'Lease Cycles'!$C$28*INDEX('Lease Cycles'!$CB$28:$CH$28,1,EO350)*(1+INDEX('Lease Cycles'!$CI$28:$CO$28,1,EO350))^INT(INT(EO351/12)/INDEX('Lease Cycles'!$CP$28:$CV$28,1,EO350))/12))),IF('Lease Cycles'!$N$28=1,'Lease Cycles'!$C$28*'Lease Cycles'!$E$28*INDEX('Lease Cycles'!$HE$28:$HK$28,1,EO350)*(1+INDEX('Lease Cycles'!$GQ$28:$GW$28,1,EO350))^INT(INT((EO$6-INDEX('Lease Cycles'!$GJ$28:$GP$28,1,EO350))/12)/INDEX('Lease Cycles'!$GX$28:$HD$28,1,EO350))/12,0)))</f>
        <v>0</v>
      </c>
      <c r="EP353" s="28">
        <f>IF(EP350=0,IF('Lease Cycles'!$F$28&gt;0,'Lease Cycles'!$C$28*'Lease Cycles'!$E$28/12,0),IF(EP352=1,IF('Lease Cycles'!$AT$28&gt;=9999,'Lease Cycles'!$C$28*INDEX('Lease Cycles'!$CB$28:$CH$28,1,EP350)*(1+INDEX('Lease Cycles'!$CI$28:$CO$28,1,EP350))^INT(INT(EP351/12)/INDEX('Lease Cycles'!$CP$28:$CV$28,1,EP350))/12,IF(EP350=1,IF(EP351&gt;=INDEX('Lease Cycles'!$DK$28:$DQ$28,1,EP350),IF(EP$6&gt;='Lease Cycles'!$AZ$28,'Lease Cycles'!$C$28*'Lease Cycles'!$BA$28/12,IF(EP$6&gt;='Lease Cycles'!$AX$28,'Lease Cycles'!$C$28*'Lease Cycles'!$AY$28/12,IF(EP$6&gt;='Lease Cycles'!$AV$28,'Lease Cycles'!$C$28*'Lease Cycles'!$AW$28/12,IF(EP$6&gt;='Lease Cycles'!$AT$28,'Lease Cycles'!$C$28*'Lease Cycles'!$AU$28/12,'Lease Cycles'!$C$28*INDEX('Lease Cycles'!$CB$28:$CH$28,1,EP350)*(1+INDEX('Lease Cycles'!$CI$28:$CO$28,1,EP350))^INT(INT(EP351/12)/INDEX('Lease Cycles'!$CP$28:$CV$28,1,EP350))/12)))),'Lease Cycles'!$C$28*INDEX('Lease Cycles'!$CB$28:$CH$28,1,EP350)*(1+INDEX('Lease Cycles'!$CI$28:$CO$28,1,EP350))^INT(INT(EP351/12)/INDEX('Lease Cycles'!$CP$28:$CV$28,1,EP350))/12),IF(INDEX('Lease Cycles'!$EF$28:$EL$28,1,EP350)=1,IF(AND('Lease Cycles'!$AZ$28&gt;=INDEX('Lease Cycles'!$BG$28:$BM$28,1,EP350),'Lease Cycles'!$AZ$28&lt;=EP$6),'Lease Cycles'!$C$28*'Lease Cycles'!$BA$28/12,IF(AND('Lease Cycles'!$AX$28&gt;=INDEX('Lease Cycles'!$BG$28:$BM$28,1,EP350),'Lease Cycles'!$AX$28&lt;=EP$6),'Lease Cycles'!$C$28*'Lease Cycles'!$AY$28/12,IF(AND('Lease Cycles'!$AV$28&gt;=INDEX('Lease Cycles'!$BG$28:$BM$28,1,EP350),'Lease Cycles'!$AV$28&lt;=EP$6),'Lease Cycles'!$C$28*'Lease Cycles'!$AW$28/12,IF(AND('Lease Cycles'!$AT$28&gt;=INDEX('Lease Cycles'!$BG$28:$BM$28,1,EP350),'Lease Cycles'!$AT$28&lt;=EP$6),'Lease Cycles'!$C$28*'Lease Cycles'!$AU$28/12,'Lease Cycles'!$C$28*INDEX('Lease Cycles'!$CB$28:$CH$28,1,EP350)*(1+INDEX('Lease Cycles'!$CI$28:$CO$28,1,EP350))^INT(INT(EP351/12)/INDEX('Lease Cycles'!$CP$28:$CV$28,1,EP350))/12)))),'Lease Cycles'!$C$28*INDEX('Lease Cycles'!$CB$28:$CH$28,1,EP350)*(1+INDEX('Lease Cycles'!$CI$28:$CO$28,1,EP350))^INT(INT(EP351/12)/INDEX('Lease Cycles'!$CP$28:$CV$28,1,EP350))/12))),IF('Lease Cycles'!$N$28=1,'Lease Cycles'!$C$28*'Lease Cycles'!$E$28*INDEX('Lease Cycles'!$HE$28:$HK$28,1,EP350)*(1+INDEX('Lease Cycles'!$GQ$28:$GW$28,1,EP350))^INT(INT((EP$6-INDEX('Lease Cycles'!$GJ$28:$GP$28,1,EP350))/12)/INDEX('Lease Cycles'!$GX$28:$HD$28,1,EP350))/12,0)))</f>
        <v>0</v>
      </c>
      <c r="EQ353" s="28">
        <f>IF(EQ350=0,IF('Lease Cycles'!$F$28&gt;0,'Lease Cycles'!$C$28*'Lease Cycles'!$E$28/12,0),IF(EQ352=1,IF('Lease Cycles'!$AT$28&gt;=9999,'Lease Cycles'!$C$28*INDEX('Lease Cycles'!$CB$28:$CH$28,1,EQ350)*(1+INDEX('Lease Cycles'!$CI$28:$CO$28,1,EQ350))^INT(INT(EQ351/12)/INDEX('Lease Cycles'!$CP$28:$CV$28,1,EQ350))/12,IF(EQ350=1,IF(EQ351&gt;=INDEX('Lease Cycles'!$DK$28:$DQ$28,1,EQ350),IF(EQ$6&gt;='Lease Cycles'!$AZ$28,'Lease Cycles'!$C$28*'Lease Cycles'!$BA$28/12,IF(EQ$6&gt;='Lease Cycles'!$AX$28,'Lease Cycles'!$C$28*'Lease Cycles'!$AY$28/12,IF(EQ$6&gt;='Lease Cycles'!$AV$28,'Lease Cycles'!$C$28*'Lease Cycles'!$AW$28/12,IF(EQ$6&gt;='Lease Cycles'!$AT$28,'Lease Cycles'!$C$28*'Lease Cycles'!$AU$28/12,'Lease Cycles'!$C$28*INDEX('Lease Cycles'!$CB$28:$CH$28,1,EQ350)*(1+INDEX('Lease Cycles'!$CI$28:$CO$28,1,EQ350))^INT(INT(EQ351/12)/INDEX('Lease Cycles'!$CP$28:$CV$28,1,EQ350))/12)))),'Lease Cycles'!$C$28*INDEX('Lease Cycles'!$CB$28:$CH$28,1,EQ350)*(1+INDEX('Lease Cycles'!$CI$28:$CO$28,1,EQ350))^INT(INT(EQ351/12)/INDEX('Lease Cycles'!$CP$28:$CV$28,1,EQ350))/12),IF(INDEX('Lease Cycles'!$EF$28:$EL$28,1,EQ350)=1,IF(AND('Lease Cycles'!$AZ$28&gt;=INDEX('Lease Cycles'!$BG$28:$BM$28,1,EQ350),'Lease Cycles'!$AZ$28&lt;=EQ$6),'Lease Cycles'!$C$28*'Lease Cycles'!$BA$28/12,IF(AND('Lease Cycles'!$AX$28&gt;=INDEX('Lease Cycles'!$BG$28:$BM$28,1,EQ350),'Lease Cycles'!$AX$28&lt;=EQ$6),'Lease Cycles'!$C$28*'Lease Cycles'!$AY$28/12,IF(AND('Lease Cycles'!$AV$28&gt;=INDEX('Lease Cycles'!$BG$28:$BM$28,1,EQ350),'Lease Cycles'!$AV$28&lt;=EQ$6),'Lease Cycles'!$C$28*'Lease Cycles'!$AW$28/12,IF(AND('Lease Cycles'!$AT$28&gt;=INDEX('Lease Cycles'!$BG$28:$BM$28,1,EQ350),'Lease Cycles'!$AT$28&lt;=EQ$6),'Lease Cycles'!$C$28*'Lease Cycles'!$AU$28/12,'Lease Cycles'!$C$28*INDEX('Lease Cycles'!$CB$28:$CH$28,1,EQ350)*(1+INDEX('Lease Cycles'!$CI$28:$CO$28,1,EQ350))^INT(INT(EQ351/12)/INDEX('Lease Cycles'!$CP$28:$CV$28,1,EQ350))/12)))),'Lease Cycles'!$C$28*INDEX('Lease Cycles'!$CB$28:$CH$28,1,EQ350)*(1+INDEX('Lease Cycles'!$CI$28:$CO$28,1,EQ350))^INT(INT(EQ351/12)/INDEX('Lease Cycles'!$CP$28:$CV$28,1,EQ350))/12))),IF('Lease Cycles'!$N$28=1,'Lease Cycles'!$C$28*'Lease Cycles'!$E$28*INDEX('Lease Cycles'!$HE$28:$HK$28,1,EQ350)*(1+INDEX('Lease Cycles'!$GQ$28:$GW$28,1,EQ350))^INT(INT((EQ$6-INDEX('Lease Cycles'!$GJ$28:$GP$28,1,EQ350))/12)/INDEX('Lease Cycles'!$GX$28:$HD$28,1,EQ350))/12,0)))</f>
        <v>0</v>
      </c>
      <c r="ER353" s="28">
        <f>IF(ER350=0,IF('Lease Cycles'!$F$28&gt;0,'Lease Cycles'!$C$28*'Lease Cycles'!$E$28/12,0),IF(ER352=1,IF('Lease Cycles'!$AT$28&gt;=9999,'Lease Cycles'!$C$28*INDEX('Lease Cycles'!$CB$28:$CH$28,1,ER350)*(1+INDEX('Lease Cycles'!$CI$28:$CO$28,1,ER350))^INT(INT(ER351/12)/INDEX('Lease Cycles'!$CP$28:$CV$28,1,ER350))/12,IF(ER350=1,IF(ER351&gt;=INDEX('Lease Cycles'!$DK$28:$DQ$28,1,ER350),IF(ER$6&gt;='Lease Cycles'!$AZ$28,'Lease Cycles'!$C$28*'Lease Cycles'!$BA$28/12,IF(ER$6&gt;='Lease Cycles'!$AX$28,'Lease Cycles'!$C$28*'Lease Cycles'!$AY$28/12,IF(ER$6&gt;='Lease Cycles'!$AV$28,'Lease Cycles'!$C$28*'Lease Cycles'!$AW$28/12,IF(ER$6&gt;='Lease Cycles'!$AT$28,'Lease Cycles'!$C$28*'Lease Cycles'!$AU$28/12,'Lease Cycles'!$C$28*INDEX('Lease Cycles'!$CB$28:$CH$28,1,ER350)*(1+INDEX('Lease Cycles'!$CI$28:$CO$28,1,ER350))^INT(INT(ER351/12)/INDEX('Lease Cycles'!$CP$28:$CV$28,1,ER350))/12)))),'Lease Cycles'!$C$28*INDEX('Lease Cycles'!$CB$28:$CH$28,1,ER350)*(1+INDEX('Lease Cycles'!$CI$28:$CO$28,1,ER350))^INT(INT(ER351/12)/INDEX('Lease Cycles'!$CP$28:$CV$28,1,ER350))/12),IF(INDEX('Lease Cycles'!$EF$28:$EL$28,1,ER350)=1,IF(AND('Lease Cycles'!$AZ$28&gt;=INDEX('Lease Cycles'!$BG$28:$BM$28,1,ER350),'Lease Cycles'!$AZ$28&lt;=ER$6),'Lease Cycles'!$C$28*'Lease Cycles'!$BA$28/12,IF(AND('Lease Cycles'!$AX$28&gt;=INDEX('Lease Cycles'!$BG$28:$BM$28,1,ER350),'Lease Cycles'!$AX$28&lt;=ER$6),'Lease Cycles'!$C$28*'Lease Cycles'!$AY$28/12,IF(AND('Lease Cycles'!$AV$28&gt;=INDEX('Lease Cycles'!$BG$28:$BM$28,1,ER350),'Lease Cycles'!$AV$28&lt;=ER$6),'Lease Cycles'!$C$28*'Lease Cycles'!$AW$28/12,IF(AND('Lease Cycles'!$AT$28&gt;=INDEX('Lease Cycles'!$BG$28:$BM$28,1,ER350),'Lease Cycles'!$AT$28&lt;=ER$6),'Lease Cycles'!$C$28*'Lease Cycles'!$AU$28/12,'Lease Cycles'!$C$28*INDEX('Lease Cycles'!$CB$28:$CH$28,1,ER350)*(1+INDEX('Lease Cycles'!$CI$28:$CO$28,1,ER350))^INT(INT(ER351/12)/INDEX('Lease Cycles'!$CP$28:$CV$28,1,ER350))/12)))),'Lease Cycles'!$C$28*INDEX('Lease Cycles'!$CB$28:$CH$28,1,ER350)*(1+INDEX('Lease Cycles'!$CI$28:$CO$28,1,ER350))^INT(INT(ER351/12)/INDEX('Lease Cycles'!$CP$28:$CV$28,1,ER350))/12))),IF('Lease Cycles'!$N$28=1,'Lease Cycles'!$C$28*'Lease Cycles'!$E$28*INDEX('Lease Cycles'!$HE$28:$HK$28,1,ER350)*(1+INDEX('Lease Cycles'!$GQ$28:$GW$28,1,ER350))^INT(INT((ER$6-INDEX('Lease Cycles'!$GJ$28:$GP$28,1,ER350))/12)/INDEX('Lease Cycles'!$GX$28:$HD$28,1,ER350))/12,0)))</f>
        <v>0</v>
      </c>
      <c r="ES353" s="28">
        <f>IF(ES350=0,IF('Lease Cycles'!$F$28&gt;0,'Lease Cycles'!$C$28*'Lease Cycles'!$E$28/12,0),IF(ES352=1,IF('Lease Cycles'!$AT$28&gt;=9999,'Lease Cycles'!$C$28*INDEX('Lease Cycles'!$CB$28:$CH$28,1,ES350)*(1+INDEX('Lease Cycles'!$CI$28:$CO$28,1,ES350))^INT(INT(ES351/12)/INDEX('Lease Cycles'!$CP$28:$CV$28,1,ES350))/12,IF(ES350=1,IF(ES351&gt;=INDEX('Lease Cycles'!$DK$28:$DQ$28,1,ES350),IF(ES$6&gt;='Lease Cycles'!$AZ$28,'Lease Cycles'!$C$28*'Lease Cycles'!$BA$28/12,IF(ES$6&gt;='Lease Cycles'!$AX$28,'Lease Cycles'!$C$28*'Lease Cycles'!$AY$28/12,IF(ES$6&gt;='Lease Cycles'!$AV$28,'Lease Cycles'!$C$28*'Lease Cycles'!$AW$28/12,IF(ES$6&gt;='Lease Cycles'!$AT$28,'Lease Cycles'!$C$28*'Lease Cycles'!$AU$28/12,'Lease Cycles'!$C$28*INDEX('Lease Cycles'!$CB$28:$CH$28,1,ES350)*(1+INDEX('Lease Cycles'!$CI$28:$CO$28,1,ES350))^INT(INT(ES351/12)/INDEX('Lease Cycles'!$CP$28:$CV$28,1,ES350))/12)))),'Lease Cycles'!$C$28*INDEX('Lease Cycles'!$CB$28:$CH$28,1,ES350)*(1+INDEX('Lease Cycles'!$CI$28:$CO$28,1,ES350))^INT(INT(ES351/12)/INDEX('Lease Cycles'!$CP$28:$CV$28,1,ES350))/12),IF(INDEX('Lease Cycles'!$EF$28:$EL$28,1,ES350)=1,IF(AND('Lease Cycles'!$AZ$28&gt;=INDEX('Lease Cycles'!$BG$28:$BM$28,1,ES350),'Lease Cycles'!$AZ$28&lt;=ES$6),'Lease Cycles'!$C$28*'Lease Cycles'!$BA$28/12,IF(AND('Lease Cycles'!$AX$28&gt;=INDEX('Lease Cycles'!$BG$28:$BM$28,1,ES350),'Lease Cycles'!$AX$28&lt;=ES$6),'Lease Cycles'!$C$28*'Lease Cycles'!$AY$28/12,IF(AND('Lease Cycles'!$AV$28&gt;=INDEX('Lease Cycles'!$BG$28:$BM$28,1,ES350),'Lease Cycles'!$AV$28&lt;=ES$6),'Lease Cycles'!$C$28*'Lease Cycles'!$AW$28/12,IF(AND('Lease Cycles'!$AT$28&gt;=INDEX('Lease Cycles'!$BG$28:$BM$28,1,ES350),'Lease Cycles'!$AT$28&lt;=ES$6),'Lease Cycles'!$C$28*'Lease Cycles'!$AU$28/12,'Lease Cycles'!$C$28*INDEX('Lease Cycles'!$CB$28:$CH$28,1,ES350)*(1+INDEX('Lease Cycles'!$CI$28:$CO$28,1,ES350))^INT(INT(ES351/12)/INDEX('Lease Cycles'!$CP$28:$CV$28,1,ES350))/12)))),'Lease Cycles'!$C$28*INDEX('Lease Cycles'!$CB$28:$CH$28,1,ES350)*(1+INDEX('Lease Cycles'!$CI$28:$CO$28,1,ES350))^INT(INT(ES351/12)/INDEX('Lease Cycles'!$CP$28:$CV$28,1,ES350))/12))),IF('Lease Cycles'!$N$28=1,'Lease Cycles'!$C$28*'Lease Cycles'!$E$28*INDEX('Lease Cycles'!$HE$28:$HK$28,1,ES350)*(1+INDEX('Lease Cycles'!$GQ$28:$GW$28,1,ES350))^INT(INT((ES$6-INDEX('Lease Cycles'!$GJ$28:$GP$28,1,ES350))/12)/INDEX('Lease Cycles'!$GX$28:$HD$28,1,ES350))/12,0)))</f>
        <v>0</v>
      </c>
      <c r="ET353" s="28">
        <f>IF(ET350=0,IF('Lease Cycles'!$F$28&gt;0,'Lease Cycles'!$C$28*'Lease Cycles'!$E$28/12,0),IF(ET352=1,IF('Lease Cycles'!$AT$28&gt;=9999,'Lease Cycles'!$C$28*INDEX('Lease Cycles'!$CB$28:$CH$28,1,ET350)*(1+INDEX('Lease Cycles'!$CI$28:$CO$28,1,ET350))^INT(INT(ET351/12)/INDEX('Lease Cycles'!$CP$28:$CV$28,1,ET350))/12,IF(ET350=1,IF(ET351&gt;=INDEX('Lease Cycles'!$DK$28:$DQ$28,1,ET350),IF(ET$6&gt;='Lease Cycles'!$AZ$28,'Lease Cycles'!$C$28*'Lease Cycles'!$BA$28/12,IF(ET$6&gt;='Lease Cycles'!$AX$28,'Lease Cycles'!$C$28*'Lease Cycles'!$AY$28/12,IF(ET$6&gt;='Lease Cycles'!$AV$28,'Lease Cycles'!$C$28*'Lease Cycles'!$AW$28/12,IF(ET$6&gt;='Lease Cycles'!$AT$28,'Lease Cycles'!$C$28*'Lease Cycles'!$AU$28/12,'Lease Cycles'!$C$28*INDEX('Lease Cycles'!$CB$28:$CH$28,1,ET350)*(1+INDEX('Lease Cycles'!$CI$28:$CO$28,1,ET350))^INT(INT(ET351/12)/INDEX('Lease Cycles'!$CP$28:$CV$28,1,ET350))/12)))),'Lease Cycles'!$C$28*INDEX('Lease Cycles'!$CB$28:$CH$28,1,ET350)*(1+INDEX('Lease Cycles'!$CI$28:$CO$28,1,ET350))^INT(INT(ET351/12)/INDEX('Lease Cycles'!$CP$28:$CV$28,1,ET350))/12),IF(INDEX('Lease Cycles'!$EF$28:$EL$28,1,ET350)=1,IF(AND('Lease Cycles'!$AZ$28&gt;=INDEX('Lease Cycles'!$BG$28:$BM$28,1,ET350),'Lease Cycles'!$AZ$28&lt;=ET$6),'Lease Cycles'!$C$28*'Lease Cycles'!$BA$28/12,IF(AND('Lease Cycles'!$AX$28&gt;=INDEX('Lease Cycles'!$BG$28:$BM$28,1,ET350),'Lease Cycles'!$AX$28&lt;=ET$6),'Lease Cycles'!$C$28*'Lease Cycles'!$AY$28/12,IF(AND('Lease Cycles'!$AV$28&gt;=INDEX('Lease Cycles'!$BG$28:$BM$28,1,ET350),'Lease Cycles'!$AV$28&lt;=ET$6),'Lease Cycles'!$C$28*'Lease Cycles'!$AW$28/12,IF(AND('Lease Cycles'!$AT$28&gt;=INDEX('Lease Cycles'!$BG$28:$BM$28,1,ET350),'Lease Cycles'!$AT$28&lt;=ET$6),'Lease Cycles'!$C$28*'Lease Cycles'!$AU$28/12,'Lease Cycles'!$C$28*INDEX('Lease Cycles'!$CB$28:$CH$28,1,ET350)*(1+INDEX('Lease Cycles'!$CI$28:$CO$28,1,ET350))^INT(INT(ET351/12)/INDEX('Lease Cycles'!$CP$28:$CV$28,1,ET350))/12)))),'Lease Cycles'!$C$28*INDEX('Lease Cycles'!$CB$28:$CH$28,1,ET350)*(1+INDEX('Lease Cycles'!$CI$28:$CO$28,1,ET350))^INT(INT(ET351/12)/INDEX('Lease Cycles'!$CP$28:$CV$28,1,ET350))/12))),IF('Lease Cycles'!$N$28=1,'Lease Cycles'!$C$28*'Lease Cycles'!$E$28*INDEX('Lease Cycles'!$HE$28:$HK$28,1,ET350)*(1+INDEX('Lease Cycles'!$GQ$28:$GW$28,1,ET350))^INT(INT((ET$6-INDEX('Lease Cycles'!$GJ$28:$GP$28,1,ET350))/12)/INDEX('Lease Cycles'!$GX$28:$HD$28,1,ET350))/12,0)))</f>
        <v>0</v>
      </c>
    </row>
    <row r="354">
      <c r="A354" s="103">
        <v>21</v>
      </c>
      <c r="B354" s="23" t="str">
        <f>IF('Lease Cycles'!$B$28="","(empty slot)",'Lease Cycles'!$B$28)</f>
        <v>(empty slot)</v>
      </c>
      <c r="C354" s="23" t="s">
        <v>679</v>
      </c>
      <c r="D354" s="104" t="s">
        <v>680</v>
      </c>
      <c r="E354" s="25">
        <f>'Lease Cycles'!$AL$28</f>
        <v>0</v>
      </c>
      <c r="S354" s="28">
        <f>IF(S352=1,IF(INDEX('Lease Cycles'!$EF$28:$EL$28,1,S350)=1,'Lease Cycles'!$C$28*INDEX('Lease Cycles'!$ET$28:$EZ$28,1,S350)*(1+'Lease Cycles'!$V$28)^INT(INT(S351/12)/'Lease Cycles'!$W$28)/12,0),0)</f>
        <v>0</v>
      </c>
      <c r="T354" s="28">
        <f>IF(T352=1,IF(INDEX('Lease Cycles'!$EF$28:$EL$28,1,T350)=1,'Lease Cycles'!$C$28*INDEX('Lease Cycles'!$ET$28:$EZ$28,1,T350)*(1+'Lease Cycles'!$V$28)^INT(INT(T351/12)/'Lease Cycles'!$W$28)/12,0),0)</f>
        <v>0</v>
      </c>
      <c r="U354" s="28">
        <f>IF(U352=1,IF(INDEX('Lease Cycles'!$EF$28:$EL$28,1,U350)=1,'Lease Cycles'!$C$28*INDEX('Lease Cycles'!$ET$28:$EZ$28,1,U350)*(1+'Lease Cycles'!$V$28)^INT(INT(U351/12)/'Lease Cycles'!$W$28)/12,0),0)</f>
        <v>0</v>
      </c>
      <c r="V354" s="28">
        <f>IF(V352=1,IF(INDEX('Lease Cycles'!$EF$28:$EL$28,1,V350)=1,'Lease Cycles'!$C$28*INDEX('Lease Cycles'!$ET$28:$EZ$28,1,V350)*(1+'Lease Cycles'!$V$28)^INT(INT(V351/12)/'Lease Cycles'!$W$28)/12,0),0)</f>
        <v>0</v>
      </c>
      <c r="W354" s="28">
        <f>IF(W352=1,IF(INDEX('Lease Cycles'!$EF$28:$EL$28,1,W350)=1,'Lease Cycles'!$C$28*INDEX('Lease Cycles'!$ET$28:$EZ$28,1,W350)*(1+'Lease Cycles'!$V$28)^INT(INT(W351/12)/'Lease Cycles'!$W$28)/12,0),0)</f>
        <v>0</v>
      </c>
      <c r="X354" s="28">
        <f>IF(X352=1,IF(INDEX('Lease Cycles'!$EF$28:$EL$28,1,X350)=1,'Lease Cycles'!$C$28*INDEX('Lease Cycles'!$ET$28:$EZ$28,1,X350)*(1+'Lease Cycles'!$V$28)^INT(INT(X351/12)/'Lease Cycles'!$W$28)/12,0),0)</f>
        <v>0</v>
      </c>
      <c r="Y354" s="28">
        <f>IF(Y352=1,IF(INDEX('Lease Cycles'!$EF$28:$EL$28,1,Y350)=1,'Lease Cycles'!$C$28*INDEX('Lease Cycles'!$ET$28:$EZ$28,1,Y350)*(1+'Lease Cycles'!$V$28)^INT(INT(Y351/12)/'Lease Cycles'!$W$28)/12,0),0)</f>
        <v>0</v>
      </c>
      <c r="Z354" s="28">
        <f>IF(Z352=1,IF(INDEX('Lease Cycles'!$EF$28:$EL$28,1,Z350)=1,'Lease Cycles'!$C$28*INDEX('Lease Cycles'!$ET$28:$EZ$28,1,Z350)*(1+'Lease Cycles'!$V$28)^INT(INT(Z351/12)/'Lease Cycles'!$W$28)/12,0),0)</f>
        <v>0</v>
      </c>
      <c r="AA354" s="28">
        <f>IF(AA352=1,IF(INDEX('Lease Cycles'!$EF$28:$EL$28,1,AA350)=1,'Lease Cycles'!$C$28*INDEX('Lease Cycles'!$ET$28:$EZ$28,1,AA350)*(1+'Lease Cycles'!$V$28)^INT(INT(AA351/12)/'Lease Cycles'!$W$28)/12,0),0)</f>
        <v>0</v>
      </c>
      <c r="AB354" s="28">
        <f>IF(AB352=1,IF(INDEX('Lease Cycles'!$EF$28:$EL$28,1,AB350)=1,'Lease Cycles'!$C$28*INDEX('Lease Cycles'!$ET$28:$EZ$28,1,AB350)*(1+'Lease Cycles'!$V$28)^INT(INT(AB351/12)/'Lease Cycles'!$W$28)/12,0),0)</f>
        <v>0</v>
      </c>
      <c r="AC354" s="28">
        <f>IF(AC352=1,IF(INDEX('Lease Cycles'!$EF$28:$EL$28,1,AC350)=1,'Lease Cycles'!$C$28*INDEX('Lease Cycles'!$ET$28:$EZ$28,1,AC350)*(1+'Lease Cycles'!$V$28)^INT(INT(AC351/12)/'Lease Cycles'!$W$28)/12,0),0)</f>
        <v>0</v>
      </c>
      <c r="AD354" s="28">
        <f>IF(AD352=1,IF(INDEX('Lease Cycles'!$EF$28:$EL$28,1,AD350)=1,'Lease Cycles'!$C$28*INDEX('Lease Cycles'!$ET$28:$EZ$28,1,AD350)*(1+'Lease Cycles'!$V$28)^INT(INT(AD351/12)/'Lease Cycles'!$W$28)/12,0),0)</f>
        <v>0</v>
      </c>
      <c r="AE354" s="28">
        <f>IF(AE352=1,IF(INDEX('Lease Cycles'!$EF$28:$EL$28,1,AE350)=1,'Lease Cycles'!$C$28*INDEX('Lease Cycles'!$ET$28:$EZ$28,1,AE350)*(1+'Lease Cycles'!$V$28)^INT(INT(AE351/12)/'Lease Cycles'!$W$28)/12,0),0)</f>
        <v>0</v>
      </c>
      <c r="AF354" s="28">
        <f>IF(AF352=1,IF(INDEX('Lease Cycles'!$EF$28:$EL$28,1,AF350)=1,'Lease Cycles'!$C$28*INDEX('Lease Cycles'!$ET$28:$EZ$28,1,AF350)*(1+'Lease Cycles'!$V$28)^INT(INT(AF351/12)/'Lease Cycles'!$W$28)/12,0),0)</f>
        <v>0</v>
      </c>
      <c r="AG354" s="28">
        <f>IF(AG352=1,IF(INDEX('Lease Cycles'!$EF$28:$EL$28,1,AG350)=1,'Lease Cycles'!$C$28*INDEX('Lease Cycles'!$ET$28:$EZ$28,1,AG350)*(1+'Lease Cycles'!$V$28)^INT(INT(AG351/12)/'Lease Cycles'!$W$28)/12,0),0)</f>
        <v>0</v>
      </c>
      <c r="AH354" s="28">
        <f>IF(AH352=1,IF(INDEX('Lease Cycles'!$EF$28:$EL$28,1,AH350)=1,'Lease Cycles'!$C$28*INDEX('Lease Cycles'!$ET$28:$EZ$28,1,AH350)*(1+'Lease Cycles'!$V$28)^INT(INT(AH351/12)/'Lease Cycles'!$W$28)/12,0),0)</f>
        <v>0</v>
      </c>
      <c r="AI354" s="28">
        <f>IF(AI352=1,IF(INDEX('Lease Cycles'!$EF$28:$EL$28,1,AI350)=1,'Lease Cycles'!$C$28*INDEX('Lease Cycles'!$ET$28:$EZ$28,1,AI350)*(1+'Lease Cycles'!$V$28)^INT(INT(AI351/12)/'Lease Cycles'!$W$28)/12,0),0)</f>
        <v>0</v>
      </c>
      <c r="AJ354" s="28">
        <f>IF(AJ352=1,IF(INDEX('Lease Cycles'!$EF$28:$EL$28,1,AJ350)=1,'Lease Cycles'!$C$28*INDEX('Lease Cycles'!$ET$28:$EZ$28,1,AJ350)*(1+'Lease Cycles'!$V$28)^INT(INT(AJ351/12)/'Lease Cycles'!$W$28)/12,0),0)</f>
        <v>0</v>
      </c>
      <c r="AK354" s="28">
        <f>IF(AK352=1,IF(INDEX('Lease Cycles'!$EF$28:$EL$28,1,AK350)=1,'Lease Cycles'!$C$28*INDEX('Lease Cycles'!$ET$28:$EZ$28,1,AK350)*(1+'Lease Cycles'!$V$28)^INT(INT(AK351/12)/'Lease Cycles'!$W$28)/12,0),0)</f>
        <v>0</v>
      </c>
      <c r="AL354" s="28">
        <f>IF(AL352=1,IF(INDEX('Lease Cycles'!$EF$28:$EL$28,1,AL350)=1,'Lease Cycles'!$C$28*INDEX('Lease Cycles'!$ET$28:$EZ$28,1,AL350)*(1+'Lease Cycles'!$V$28)^INT(INT(AL351/12)/'Lease Cycles'!$W$28)/12,0),0)</f>
        <v>0</v>
      </c>
      <c r="AM354" s="28">
        <f>IF(AM352=1,IF(INDEX('Lease Cycles'!$EF$28:$EL$28,1,AM350)=1,'Lease Cycles'!$C$28*INDEX('Lease Cycles'!$ET$28:$EZ$28,1,AM350)*(1+'Lease Cycles'!$V$28)^INT(INT(AM351/12)/'Lease Cycles'!$W$28)/12,0),0)</f>
        <v>0</v>
      </c>
      <c r="AN354" s="28">
        <f>IF(AN352=1,IF(INDEX('Lease Cycles'!$EF$28:$EL$28,1,AN350)=1,'Lease Cycles'!$C$28*INDEX('Lease Cycles'!$ET$28:$EZ$28,1,AN350)*(1+'Lease Cycles'!$V$28)^INT(INT(AN351/12)/'Lease Cycles'!$W$28)/12,0),0)</f>
        <v>0</v>
      </c>
      <c r="AO354" s="28">
        <f>IF(AO352=1,IF(INDEX('Lease Cycles'!$EF$28:$EL$28,1,AO350)=1,'Lease Cycles'!$C$28*INDEX('Lease Cycles'!$ET$28:$EZ$28,1,AO350)*(1+'Lease Cycles'!$V$28)^INT(INT(AO351/12)/'Lease Cycles'!$W$28)/12,0),0)</f>
        <v>0</v>
      </c>
      <c r="AP354" s="28">
        <f>IF(AP352=1,IF(INDEX('Lease Cycles'!$EF$28:$EL$28,1,AP350)=1,'Lease Cycles'!$C$28*INDEX('Lease Cycles'!$ET$28:$EZ$28,1,AP350)*(1+'Lease Cycles'!$V$28)^INT(INT(AP351/12)/'Lease Cycles'!$W$28)/12,0),0)</f>
        <v>0</v>
      </c>
      <c r="AQ354" s="28">
        <f>IF(AQ352=1,IF(INDEX('Lease Cycles'!$EF$28:$EL$28,1,AQ350)=1,'Lease Cycles'!$C$28*INDEX('Lease Cycles'!$ET$28:$EZ$28,1,AQ350)*(1+'Lease Cycles'!$V$28)^INT(INT(AQ351/12)/'Lease Cycles'!$W$28)/12,0),0)</f>
        <v>0</v>
      </c>
      <c r="AR354" s="28">
        <f>IF(AR352=1,IF(INDEX('Lease Cycles'!$EF$28:$EL$28,1,AR350)=1,'Lease Cycles'!$C$28*INDEX('Lease Cycles'!$ET$28:$EZ$28,1,AR350)*(1+'Lease Cycles'!$V$28)^INT(INT(AR351/12)/'Lease Cycles'!$W$28)/12,0),0)</f>
        <v>0</v>
      </c>
      <c r="AS354" s="28">
        <f>IF(AS352=1,IF(INDEX('Lease Cycles'!$EF$28:$EL$28,1,AS350)=1,'Lease Cycles'!$C$28*INDEX('Lease Cycles'!$ET$28:$EZ$28,1,AS350)*(1+'Lease Cycles'!$V$28)^INT(INT(AS351/12)/'Lease Cycles'!$W$28)/12,0),0)</f>
        <v>0</v>
      </c>
      <c r="AT354" s="28">
        <f>IF(AT352=1,IF(INDEX('Lease Cycles'!$EF$28:$EL$28,1,AT350)=1,'Lease Cycles'!$C$28*INDEX('Lease Cycles'!$ET$28:$EZ$28,1,AT350)*(1+'Lease Cycles'!$V$28)^INT(INT(AT351/12)/'Lease Cycles'!$W$28)/12,0),0)</f>
        <v>0</v>
      </c>
      <c r="AU354" s="28">
        <f>IF(AU352=1,IF(INDEX('Lease Cycles'!$EF$28:$EL$28,1,AU350)=1,'Lease Cycles'!$C$28*INDEX('Lease Cycles'!$ET$28:$EZ$28,1,AU350)*(1+'Lease Cycles'!$V$28)^INT(INT(AU351/12)/'Lease Cycles'!$W$28)/12,0),0)</f>
        <v>0</v>
      </c>
      <c r="AV354" s="28">
        <f>IF(AV352=1,IF(INDEX('Lease Cycles'!$EF$28:$EL$28,1,AV350)=1,'Lease Cycles'!$C$28*INDEX('Lease Cycles'!$ET$28:$EZ$28,1,AV350)*(1+'Lease Cycles'!$V$28)^INT(INT(AV351/12)/'Lease Cycles'!$W$28)/12,0),0)</f>
        <v>0</v>
      </c>
      <c r="AW354" s="28">
        <f>IF(AW352=1,IF(INDEX('Lease Cycles'!$EF$28:$EL$28,1,AW350)=1,'Lease Cycles'!$C$28*INDEX('Lease Cycles'!$ET$28:$EZ$28,1,AW350)*(1+'Lease Cycles'!$V$28)^INT(INT(AW351/12)/'Lease Cycles'!$W$28)/12,0),0)</f>
        <v>0</v>
      </c>
      <c r="AX354" s="28">
        <f>IF(AX352=1,IF(INDEX('Lease Cycles'!$EF$28:$EL$28,1,AX350)=1,'Lease Cycles'!$C$28*INDEX('Lease Cycles'!$ET$28:$EZ$28,1,AX350)*(1+'Lease Cycles'!$V$28)^INT(INT(AX351/12)/'Lease Cycles'!$W$28)/12,0),0)</f>
        <v>0</v>
      </c>
      <c r="AY354" s="28">
        <f>IF(AY352=1,IF(INDEX('Lease Cycles'!$EF$28:$EL$28,1,AY350)=1,'Lease Cycles'!$C$28*INDEX('Lease Cycles'!$ET$28:$EZ$28,1,AY350)*(1+'Lease Cycles'!$V$28)^INT(INT(AY351/12)/'Lease Cycles'!$W$28)/12,0),0)</f>
        <v>0</v>
      </c>
      <c r="AZ354" s="28">
        <f>IF(AZ352=1,IF(INDEX('Lease Cycles'!$EF$28:$EL$28,1,AZ350)=1,'Lease Cycles'!$C$28*INDEX('Lease Cycles'!$ET$28:$EZ$28,1,AZ350)*(1+'Lease Cycles'!$V$28)^INT(INT(AZ351/12)/'Lease Cycles'!$W$28)/12,0),0)</f>
        <v>0</v>
      </c>
      <c r="BA354" s="28">
        <f>IF(BA352=1,IF(INDEX('Lease Cycles'!$EF$28:$EL$28,1,BA350)=1,'Lease Cycles'!$C$28*INDEX('Lease Cycles'!$ET$28:$EZ$28,1,BA350)*(1+'Lease Cycles'!$V$28)^INT(INT(BA351/12)/'Lease Cycles'!$W$28)/12,0),0)</f>
        <v>0</v>
      </c>
      <c r="BB354" s="28">
        <f>IF(BB352=1,IF(INDEX('Lease Cycles'!$EF$28:$EL$28,1,BB350)=1,'Lease Cycles'!$C$28*INDEX('Lease Cycles'!$ET$28:$EZ$28,1,BB350)*(1+'Lease Cycles'!$V$28)^INT(INT(BB351/12)/'Lease Cycles'!$W$28)/12,0),0)</f>
        <v>0</v>
      </c>
      <c r="BC354" s="28">
        <f>IF(BC352=1,IF(INDEX('Lease Cycles'!$EF$28:$EL$28,1,BC350)=1,'Lease Cycles'!$C$28*INDEX('Lease Cycles'!$ET$28:$EZ$28,1,BC350)*(1+'Lease Cycles'!$V$28)^INT(INT(BC351/12)/'Lease Cycles'!$W$28)/12,0),0)</f>
        <v>0</v>
      </c>
      <c r="BD354" s="28">
        <f>IF(BD352=1,IF(INDEX('Lease Cycles'!$EF$28:$EL$28,1,BD350)=1,'Lease Cycles'!$C$28*INDEX('Lease Cycles'!$ET$28:$EZ$28,1,BD350)*(1+'Lease Cycles'!$V$28)^INT(INT(BD351/12)/'Lease Cycles'!$W$28)/12,0),0)</f>
        <v>0</v>
      </c>
      <c r="BE354" s="28">
        <f>IF(BE352=1,IF(INDEX('Lease Cycles'!$EF$28:$EL$28,1,BE350)=1,'Lease Cycles'!$C$28*INDEX('Lease Cycles'!$ET$28:$EZ$28,1,BE350)*(1+'Lease Cycles'!$V$28)^INT(INT(BE351/12)/'Lease Cycles'!$W$28)/12,0),0)</f>
        <v>0</v>
      </c>
      <c r="BF354" s="28">
        <f>IF(BF352=1,IF(INDEX('Lease Cycles'!$EF$28:$EL$28,1,BF350)=1,'Lease Cycles'!$C$28*INDEX('Lease Cycles'!$ET$28:$EZ$28,1,BF350)*(1+'Lease Cycles'!$V$28)^INT(INT(BF351/12)/'Lease Cycles'!$W$28)/12,0),0)</f>
        <v>0</v>
      </c>
      <c r="BG354" s="28">
        <f>IF(BG352=1,IF(INDEX('Lease Cycles'!$EF$28:$EL$28,1,BG350)=1,'Lease Cycles'!$C$28*INDEX('Lease Cycles'!$ET$28:$EZ$28,1,BG350)*(1+'Lease Cycles'!$V$28)^INT(INT(BG351/12)/'Lease Cycles'!$W$28)/12,0),0)</f>
        <v>0</v>
      </c>
      <c r="BH354" s="28">
        <f>IF(BH352=1,IF(INDEX('Lease Cycles'!$EF$28:$EL$28,1,BH350)=1,'Lease Cycles'!$C$28*INDEX('Lease Cycles'!$ET$28:$EZ$28,1,BH350)*(1+'Lease Cycles'!$V$28)^INT(INT(BH351/12)/'Lease Cycles'!$W$28)/12,0),0)</f>
        <v>0</v>
      </c>
      <c r="BI354" s="28">
        <f>IF(BI352=1,IF(INDEX('Lease Cycles'!$EF$28:$EL$28,1,BI350)=1,'Lease Cycles'!$C$28*INDEX('Lease Cycles'!$ET$28:$EZ$28,1,BI350)*(1+'Lease Cycles'!$V$28)^INT(INT(BI351/12)/'Lease Cycles'!$W$28)/12,0),0)</f>
        <v>0</v>
      </c>
      <c r="BJ354" s="28">
        <f>IF(BJ352=1,IF(INDEX('Lease Cycles'!$EF$28:$EL$28,1,BJ350)=1,'Lease Cycles'!$C$28*INDEX('Lease Cycles'!$ET$28:$EZ$28,1,BJ350)*(1+'Lease Cycles'!$V$28)^INT(INT(BJ351/12)/'Lease Cycles'!$W$28)/12,0),0)</f>
        <v>0</v>
      </c>
      <c r="BK354" s="28">
        <f>IF(BK352=1,IF(INDEX('Lease Cycles'!$EF$28:$EL$28,1,BK350)=1,'Lease Cycles'!$C$28*INDEX('Lease Cycles'!$ET$28:$EZ$28,1,BK350)*(1+'Lease Cycles'!$V$28)^INT(INT(BK351/12)/'Lease Cycles'!$W$28)/12,0),0)</f>
        <v>0</v>
      </c>
      <c r="BL354" s="28">
        <f>IF(BL352=1,IF(INDEX('Lease Cycles'!$EF$28:$EL$28,1,BL350)=1,'Lease Cycles'!$C$28*INDEX('Lease Cycles'!$ET$28:$EZ$28,1,BL350)*(1+'Lease Cycles'!$V$28)^INT(INT(BL351/12)/'Lease Cycles'!$W$28)/12,0),0)</f>
        <v>0</v>
      </c>
      <c r="BM354" s="28">
        <f>IF(BM352=1,IF(INDEX('Lease Cycles'!$EF$28:$EL$28,1,BM350)=1,'Lease Cycles'!$C$28*INDEX('Lease Cycles'!$ET$28:$EZ$28,1,BM350)*(1+'Lease Cycles'!$V$28)^INT(INT(BM351/12)/'Lease Cycles'!$W$28)/12,0),0)</f>
        <v>0</v>
      </c>
      <c r="BN354" s="28">
        <f>IF(BN352=1,IF(INDEX('Lease Cycles'!$EF$28:$EL$28,1,BN350)=1,'Lease Cycles'!$C$28*INDEX('Lease Cycles'!$ET$28:$EZ$28,1,BN350)*(1+'Lease Cycles'!$V$28)^INT(INT(BN351/12)/'Lease Cycles'!$W$28)/12,0),0)</f>
        <v>0</v>
      </c>
      <c r="BO354" s="28">
        <f>IF(BO352=1,IF(INDEX('Lease Cycles'!$EF$28:$EL$28,1,BO350)=1,'Lease Cycles'!$C$28*INDEX('Lease Cycles'!$ET$28:$EZ$28,1,BO350)*(1+'Lease Cycles'!$V$28)^INT(INT(BO351/12)/'Lease Cycles'!$W$28)/12,0),0)</f>
        <v>0</v>
      </c>
      <c r="BP354" s="28">
        <f>IF(BP352=1,IF(INDEX('Lease Cycles'!$EF$28:$EL$28,1,BP350)=1,'Lease Cycles'!$C$28*INDEX('Lease Cycles'!$ET$28:$EZ$28,1,BP350)*(1+'Lease Cycles'!$V$28)^INT(INT(BP351/12)/'Lease Cycles'!$W$28)/12,0),0)</f>
        <v>0</v>
      </c>
      <c r="BQ354" s="28">
        <f>IF(BQ352=1,IF(INDEX('Lease Cycles'!$EF$28:$EL$28,1,BQ350)=1,'Lease Cycles'!$C$28*INDEX('Lease Cycles'!$ET$28:$EZ$28,1,BQ350)*(1+'Lease Cycles'!$V$28)^INT(INT(BQ351/12)/'Lease Cycles'!$W$28)/12,0),0)</f>
        <v>0</v>
      </c>
      <c r="BR354" s="28">
        <f>IF(BR352=1,IF(INDEX('Lease Cycles'!$EF$28:$EL$28,1,BR350)=1,'Lease Cycles'!$C$28*INDEX('Lease Cycles'!$ET$28:$EZ$28,1,BR350)*(1+'Lease Cycles'!$V$28)^INT(INT(BR351/12)/'Lease Cycles'!$W$28)/12,0),0)</f>
        <v>0</v>
      </c>
      <c r="BS354" s="28">
        <f>IF(BS352=1,IF(INDEX('Lease Cycles'!$EF$28:$EL$28,1,BS350)=1,'Lease Cycles'!$C$28*INDEX('Lease Cycles'!$ET$28:$EZ$28,1,BS350)*(1+'Lease Cycles'!$V$28)^INT(INT(BS351/12)/'Lease Cycles'!$W$28)/12,0),0)</f>
        <v>0</v>
      </c>
      <c r="BT354" s="28">
        <f>IF(BT352=1,IF(INDEX('Lease Cycles'!$EF$28:$EL$28,1,BT350)=1,'Lease Cycles'!$C$28*INDEX('Lease Cycles'!$ET$28:$EZ$28,1,BT350)*(1+'Lease Cycles'!$V$28)^INT(INT(BT351/12)/'Lease Cycles'!$W$28)/12,0),0)</f>
        <v>0</v>
      </c>
      <c r="BU354" s="28">
        <f>IF(BU352=1,IF(INDEX('Lease Cycles'!$EF$28:$EL$28,1,BU350)=1,'Lease Cycles'!$C$28*INDEX('Lease Cycles'!$ET$28:$EZ$28,1,BU350)*(1+'Lease Cycles'!$V$28)^INT(INT(BU351/12)/'Lease Cycles'!$W$28)/12,0),0)</f>
        <v>0</v>
      </c>
      <c r="BV354" s="28">
        <f>IF(BV352=1,IF(INDEX('Lease Cycles'!$EF$28:$EL$28,1,BV350)=1,'Lease Cycles'!$C$28*INDEX('Lease Cycles'!$ET$28:$EZ$28,1,BV350)*(1+'Lease Cycles'!$V$28)^INT(INT(BV351/12)/'Lease Cycles'!$W$28)/12,0),0)</f>
        <v>0</v>
      </c>
      <c r="BW354" s="28">
        <f>IF(BW352=1,IF(INDEX('Lease Cycles'!$EF$28:$EL$28,1,BW350)=1,'Lease Cycles'!$C$28*INDEX('Lease Cycles'!$ET$28:$EZ$28,1,BW350)*(1+'Lease Cycles'!$V$28)^INT(INT(BW351/12)/'Lease Cycles'!$W$28)/12,0),0)</f>
        <v>0</v>
      </c>
      <c r="BX354" s="28">
        <f>IF(BX352=1,IF(INDEX('Lease Cycles'!$EF$28:$EL$28,1,BX350)=1,'Lease Cycles'!$C$28*INDEX('Lease Cycles'!$ET$28:$EZ$28,1,BX350)*(1+'Lease Cycles'!$V$28)^INT(INT(BX351/12)/'Lease Cycles'!$W$28)/12,0),0)</f>
        <v>0</v>
      </c>
      <c r="BY354" s="28">
        <f>IF(BY352=1,IF(INDEX('Lease Cycles'!$EF$28:$EL$28,1,BY350)=1,'Lease Cycles'!$C$28*INDEX('Lease Cycles'!$ET$28:$EZ$28,1,BY350)*(1+'Lease Cycles'!$V$28)^INT(INT(BY351/12)/'Lease Cycles'!$W$28)/12,0),0)</f>
        <v>0</v>
      </c>
      <c r="BZ354" s="28">
        <f>IF(BZ352=1,IF(INDEX('Lease Cycles'!$EF$28:$EL$28,1,BZ350)=1,'Lease Cycles'!$C$28*INDEX('Lease Cycles'!$ET$28:$EZ$28,1,BZ350)*(1+'Lease Cycles'!$V$28)^INT(INT(BZ351/12)/'Lease Cycles'!$W$28)/12,0),0)</f>
        <v>0</v>
      </c>
      <c r="CA354" s="28">
        <f>IF(CA352=1,IF(INDEX('Lease Cycles'!$EF$28:$EL$28,1,CA350)=1,'Lease Cycles'!$C$28*INDEX('Lease Cycles'!$ET$28:$EZ$28,1,CA350)*(1+'Lease Cycles'!$V$28)^INT(INT(CA351/12)/'Lease Cycles'!$W$28)/12,0),0)</f>
        <v>0</v>
      </c>
      <c r="CB354" s="28">
        <f>IF(CB352=1,IF(INDEX('Lease Cycles'!$EF$28:$EL$28,1,CB350)=1,'Lease Cycles'!$C$28*INDEX('Lease Cycles'!$ET$28:$EZ$28,1,CB350)*(1+'Lease Cycles'!$V$28)^INT(INT(CB351/12)/'Lease Cycles'!$W$28)/12,0),0)</f>
        <v>0</v>
      </c>
      <c r="CC354" s="28">
        <f>IF(CC352=1,IF(INDEX('Lease Cycles'!$EF$28:$EL$28,1,CC350)=1,'Lease Cycles'!$C$28*INDEX('Lease Cycles'!$ET$28:$EZ$28,1,CC350)*(1+'Lease Cycles'!$V$28)^INT(INT(CC351/12)/'Lease Cycles'!$W$28)/12,0),0)</f>
        <v>0</v>
      </c>
      <c r="CD354" s="28">
        <f>IF(CD352=1,IF(INDEX('Lease Cycles'!$EF$28:$EL$28,1,CD350)=1,'Lease Cycles'!$C$28*INDEX('Lease Cycles'!$ET$28:$EZ$28,1,CD350)*(1+'Lease Cycles'!$V$28)^INT(INT(CD351/12)/'Lease Cycles'!$W$28)/12,0),0)</f>
        <v>0</v>
      </c>
      <c r="CE354" s="28">
        <f>IF(CE352=1,IF(INDEX('Lease Cycles'!$EF$28:$EL$28,1,CE350)=1,'Lease Cycles'!$C$28*INDEX('Lease Cycles'!$ET$28:$EZ$28,1,CE350)*(1+'Lease Cycles'!$V$28)^INT(INT(CE351/12)/'Lease Cycles'!$W$28)/12,0),0)</f>
        <v>0</v>
      </c>
      <c r="CF354" s="28">
        <f>IF(CF352=1,IF(INDEX('Lease Cycles'!$EF$28:$EL$28,1,CF350)=1,'Lease Cycles'!$C$28*INDEX('Lease Cycles'!$ET$28:$EZ$28,1,CF350)*(1+'Lease Cycles'!$V$28)^INT(INT(CF351/12)/'Lease Cycles'!$W$28)/12,0),0)</f>
        <v>0</v>
      </c>
      <c r="CG354" s="28">
        <f>IF(CG352=1,IF(INDEX('Lease Cycles'!$EF$28:$EL$28,1,CG350)=1,'Lease Cycles'!$C$28*INDEX('Lease Cycles'!$ET$28:$EZ$28,1,CG350)*(1+'Lease Cycles'!$V$28)^INT(INT(CG351/12)/'Lease Cycles'!$W$28)/12,0),0)</f>
        <v>0</v>
      </c>
      <c r="CH354" s="28">
        <f>IF(CH352=1,IF(INDEX('Lease Cycles'!$EF$28:$EL$28,1,CH350)=1,'Lease Cycles'!$C$28*INDEX('Lease Cycles'!$ET$28:$EZ$28,1,CH350)*(1+'Lease Cycles'!$V$28)^INT(INT(CH351/12)/'Lease Cycles'!$W$28)/12,0),0)</f>
        <v>0</v>
      </c>
      <c r="CI354" s="28">
        <f>IF(CI352=1,IF(INDEX('Lease Cycles'!$EF$28:$EL$28,1,CI350)=1,'Lease Cycles'!$C$28*INDEX('Lease Cycles'!$ET$28:$EZ$28,1,CI350)*(1+'Lease Cycles'!$V$28)^INT(INT(CI351/12)/'Lease Cycles'!$W$28)/12,0),0)</f>
        <v>0</v>
      </c>
      <c r="CJ354" s="28">
        <f>IF(CJ352=1,IF(INDEX('Lease Cycles'!$EF$28:$EL$28,1,CJ350)=1,'Lease Cycles'!$C$28*INDEX('Lease Cycles'!$ET$28:$EZ$28,1,CJ350)*(1+'Lease Cycles'!$V$28)^INT(INT(CJ351/12)/'Lease Cycles'!$W$28)/12,0),0)</f>
        <v>0</v>
      </c>
      <c r="CK354" s="28">
        <f>IF(CK352=1,IF(INDEX('Lease Cycles'!$EF$28:$EL$28,1,CK350)=1,'Lease Cycles'!$C$28*INDEX('Lease Cycles'!$ET$28:$EZ$28,1,CK350)*(1+'Lease Cycles'!$V$28)^INT(INT(CK351/12)/'Lease Cycles'!$W$28)/12,0),0)</f>
        <v>0</v>
      </c>
      <c r="CL354" s="28">
        <f>IF(CL352=1,IF(INDEX('Lease Cycles'!$EF$28:$EL$28,1,CL350)=1,'Lease Cycles'!$C$28*INDEX('Lease Cycles'!$ET$28:$EZ$28,1,CL350)*(1+'Lease Cycles'!$V$28)^INT(INT(CL351/12)/'Lease Cycles'!$W$28)/12,0),0)</f>
        <v>0</v>
      </c>
      <c r="CM354" s="28">
        <f>IF(CM352=1,IF(INDEX('Lease Cycles'!$EF$28:$EL$28,1,CM350)=1,'Lease Cycles'!$C$28*INDEX('Lease Cycles'!$ET$28:$EZ$28,1,CM350)*(1+'Lease Cycles'!$V$28)^INT(INT(CM351/12)/'Lease Cycles'!$W$28)/12,0),0)</f>
        <v>0</v>
      </c>
      <c r="CN354" s="28">
        <f>IF(CN352=1,IF(INDEX('Lease Cycles'!$EF$28:$EL$28,1,CN350)=1,'Lease Cycles'!$C$28*INDEX('Lease Cycles'!$ET$28:$EZ$28,1,CN350)*(1+'Lease Cycles'!$V$28)^INT(INT(CN351/12)/'Lease Cycles'!$W$28)/12,0),0)</f>
        <v>0</v>
      </c>
      <c r="CO354" s="28">
        <f>IF(CO352=1,IF(INDEX('Lease Cycles'!$EF$28:$EL$28,1,CO350)=1,'Lease Cycles'!$C$28*INDEX('Lease Cycles'!$ET$28:$EZ$28,1,CO350)*(1+'Lease Cycles'!$V$28)^INT(INT(CO351/12)/'Lease Cycles'!$W$28)/12,0),0)</f>
        <v>0</v>
      </c>
      <c r="CP354" s="28">
        <f>IF(CP352=1,IF(INDEX('Lease Cycles'!$EF$28:$EL$28,1,CP350)=1,'Lease Cycles'!$C$28*INDEX('Lease Cycles'!$ET$28:$EZ$28,1,CP350)*(1+'Lease Cycles'!$V$28)^INT(INT(CP351/12)/'Lease Cycles'!$W$28)/12,0),0)</f>
        <v>0</v>
      </c>
      <c r="CQ354" s="28">
        <f>IF(CQ352=1,IF(INDEX('Lease Cycles'!$EF$28:$EL$28,1,CQ350)=1,'Lease Cycles'!$C$28*INDEX('Lease Cycles'!$ET$28:$EZ$28,1,CQ350)*(1+'Lease Cycles'!$V$28)^INT(INT(CQ351/12)/'Lease Cycles'!$W$28)/12,0),0)</f>
        <v>0</v>
      </c>
      <c r="CR354" s="28">
        <f>IF(CR352=1,IF(INDEX('Lease Cycles'!$EF$28:$EL$28,1,CR350)=1,'Lease Cycles'!$C$28*INDEX('Lease Cycles'!$ET$28:$EZ$28,1,CR350)*(1+'Lease Cycles'!$V$28)^INT(INT(CR351/12)/'Lease Cycles'!$W$28)/12,0),0)</f>
        <v>0</v>
      </c>
      <c r="CS354" s="28">
        <f>IF(CS352=1,IF(INDEX('Lease Cycles'!$EF$28:$EL$28,1,CS350)=1,'Lease Cycles'!$C$28*INDEX('Lease Cycles'!$ET$28:$EZ$28,1,CS350)*(1+'Lease Cycles'!$V$28)^INT(INT(CS351/12)/'Lease Cycles'!$W$28)/12,0),0)</f>
        <v>0</v>
      </c>
      <c r="CT354" s="28">
        <f>IF(CT352=1,IF(INDEX('Lease Cycles'!$EF$28:$EL$28,1,CT350)=1,'Lease Cycles'!$C$28*INDEX('Lease Cycles'!$ET$28:$EZ$28,1,CT350)*(1+'Lease Cycles'!$V$28)^INT(INT(CT351/12)/'Lease Cycles'!$W$28)/12,0),0)</f>
        <v>0</v>
      </c>
      <c r="CU354" s="28">
        <f>IF(CU352=1,IF(INDEX('Lease Cycles'!$EF$28:$EL$28,1,CU350)=1,'Lease Cycles'!$C$28*INDEX('Lease Cycles'!$ET$28:$EZ$28,1,CU350)*(1+'Lease Cycles'!$V$28)^INT(INT(CU351/12)/'Lease Cycles'!$W$28)/12,0),0)</f>
        <v>0</v>
      </c>
      <c r="CV354" s="28">
        <f>IF(CV352=1,IF(INDEX('Lease Cycles'!$EF$28:$EL$28,1,CV350)=1,'Lease Cycles'!$C$28*INDEX('Lease Cycles'!$ET$28:$EZ$28,1,CV350)*(1+'Lease Cycles'!$V$28)^INT(INT(CV351/12)/'Lease Cycles'!$W$28)/12,0),0)</f>
        <v>0</v>
      </c>
      <c r="CW354" s="28">
        <f>IF(CW352=1,IF(INDEX('Lease Cycles'!$EF$28:$EL$28,1,CW350)=1,'Lease Cycles'!$C$28*INDEX('Lease Cycles'!$ET$28:$EZ$28,1,CW350)*(1+'Lease Cycles'!$V$28)^INT(INT(CW351/12)/'Lease Cycles'!$W$28)/12,0),0)</f>
        <v>0</v>
      </c>
      <c r="CX354" s="28">
        <f>IF(CX352=1,IF(INDEX('Lease Cycles'!$EF$28:$EL$28,1,CX350)=1,'Lease Cycles'!$C$28*INDEX('Lease Cycles'!$ET$28:$EZ$28,1,CX350)*(1+'Lease Cycles'!$V$28)^INT(INT(CX351/12)/'Lease Cycles'!$W$28)/12,0),0)</f>
        <v>0</v>
      </c>
      <c r="CY354" s="28">
        <f>IF(CY352=1,IF(INDEX('Lease Cycles'!$EF$28:$EL$28,1,CY350)=1,'Lease Cycles'!$C$28*INDEX('Lease Cycles'!$ET$28:$EZ$28,1,CY350)*(1+'Lease Cycles'!$V$28)^INT(INT(CY351/12)/'Lease Cycles'!$W$28)/12,0),0)</f>
        <v>0</v>
      </c>
      <c r="CZ354" s="28">
        <f>IF(CZ352=1,IF(INDEX('Lease Cycles'!$EF$28:$EL$28,1,CZ350)=1,'Lease Cycles'!$C$28*INDEX('Lease Cycles'!$ET$28:$EZ$28,1,CZ350)*(1+'Lease Cycles'!$V$28)^INT(INT(CZ351/12)/'Lease Cycles'!$W$28)/12,0),0)</f>
        <v>0</v>
      </c>
      <c r="DA354" s="28">
        <f>IF(DA352=1,IF(INDEX('Lease Cycles'!$EF$28:$EL$28,1,DA350)=1,'Lease Cycles'!$C$28*INDEX('Lease Cycles'!$ET$28:$EZ$28,1,DA350)*(1+'Lease Cycles'!$V$28)^INT(INT(DA351/12)/'Lease Cycles'!$W$28)/12,0),0)</f>
        <v>0</v>
      </c>
      <c r="DB354" s="28">
        <f>IF(DB352=1,IF(INDEX('Lease Cycles'!$EF$28:$EL$28,1,DB350)=1,'Lease Cycles'!$C$28*INDEX('Lease Cycles'!$ET$28:$EZ$28,1,DB350)*(1+'Lease Cycles'!$V$28)^INT(INT(DB351/12)/'Lease Cycles'!$W$28)/12,0),0)</f>
        <v>0</v>
      </c>
      <c r="DC354" s="28">
        <f>IF(DC352=1,IF(INDEX('Lease Cycles'!$EF$28:$EL$28,1,DC350)=1,'Lease Cycles'!$C$28*INDEX('Lease Cycles'!$ET$28:$EZ$28,1,DC350)*(1+'Lease Cycles'!$V$28)^INT(INT(DC351/12)/'Lease Cycles'!$W$28)/12,0),0)</f>
        <v>0</v>
      </c>
      <c r="DD354" s="28">
        <f>IF(DD352=1,IF(INDEX('Lease Cycles'!$EF$28:$EL$28,1,DD350)=1,'Lease Cycles'!$C$28*INDEX('Lease Cycles'!$ET$28:$EZ$28,1,DD350)*(1+'Lease Cycles'!$V$28)^INT(INT(DD351/12)/'Lease Cycles'!$W$28)/12,0),0)</f>
        <v>0</v>
      </c>
      <c r="DE354" s="28">
        <f>IF(DE352=1,IF(INDEX('Lease Cycles'!$EF$28:$EL$28,1,DE350)=1,'Lease Cycles'!$C$28*INDEX('Lease Cycles'!$ET$28:$EZ$28,1,DE350)*(1+'Lease Cycles'!$V$28)^INT(INT(DE351/12)/'Lease Cycles'!$W$28)/12,0),0)</f>
        <v>0</v>
      </c>
      <c r="DF354" s="28">
        <f>IF(DF352=1,IF(INDEX('Lease Cycles'!$EF$28:$EL$28,1,DF350)=1,'Lease Cycles'!$C$28*INDEX('Lease Cycles'!$ET$28:$EZ$28,1,DF350)*(1+'Lease Cycles'!$V$28)^INT(INT(DF351/12)/'Lease Cycles'!$W$28)/12,0),0)</f>
        <v>0</v>
      </c>
      <c r="DG354" s="28">
        <f>IF(DG352=1,IF(INDEX('Lease Cycles'!$EF$28:$EL$28,1,DG350)=1,'Lease Cycles'!$C$28*INDEX('Lease Cycles'!$ET$28:$EZ$28,1,DG350)*(1+'Lease Cycles'!$V$28)^INT(INT(DG351/12)/'Lease Cycles'!$W$28)/12,0),0)</f>
        <v>0</v>
      </c>
      <c r="DH354" s="28">
        <f>IF(DH352=1,IF(INDEX('Lease Cycles'!$EF$28:$EL$28,1,DH350)=1,'Lease Cycles'!$C$28*INDEX('Lease Cycles'!$ET$28:$EZ$28,1,DH350)*(1+'Lease Cycles'!$V$28)^INT(INT(DH351/12)/'Lease Cycles'!$W$28)/12,0),0)</f>
        <v>0</v>
      </c>
      <c r="DI354" s="28">
        <f>IF(DI352=1,IF(INDEX('Lease Cycles'!$EF$28:$EL$28,1,DI350)=1,'Lease Cycles'!$C$28*INDEX('Lease Cycles'!$ET$28:$EZ$28,1,DI350)*(1+'Lease Cycles'!$V$28)^INT(INT(DI351/12)/'Lease Cycles'!$W$28)/12,0),0)</f>
        <v>0</v>
      </c>
      <c r="DJ354" s="28">
        <f>IF(DJ352=1,IF(INDEX('Lease Cycles'!$EF$28:$EL$28,1,DJ350)=1,'Lease Cycles'!$C$28*INDEX('Lease Cycles'!$ET$28:$EZ$28,1,DJ350)*(1+'Lease Cycles'!$V$28)^INT(INT(DJ351/12)/'Lease Cycles'!$W$28)/12,0),0)</f>
        <v>0</v>
      </c>
      <c r="DK354" s="28">
        <f>IF(DK352=1,IF(INDEX('Lease Cycles'!$EF$28:$EL$28,1,DK350)=1,'Lease Cycles'!$C$28*INDEX('Lease Cycles'!$ET$28:$EZ$28,1,DK350)*(1+'Lease Cycles'!$V$28)^INT(INT(DK351/12)/'Lease Cycles'!$W$28)/12,0),0)</f>
        <v>0</v>
      </c>
      <c r="DL354" s="28">
        <f>IF(DL352=1,IF(INDEX('Lease Cycles'!$EF$28:$EL$28,1,DL350)=1,'Lease Cycles'!$C$28*INDEX('Lease Cycles'!$ET$28:$EZ$28,1,DL350)*(1+'Lease Cycles'!$V$28)^INT(INT(DL351/12)/'Lease Cycles'!$W$28)/12,0),0)</f>
        <v>0</v>
      </c>
      <c r="DM354" s="28">
        <f>IF(DM352=1,IF(INDEX('Lease Cycles'!$EF$28:$EL$28,1,DM350)=1,'Lease Cycles'!$C$28*INDEX('Lease Cycles'!$ET$28:$EZ$28,1,DM350)*(1+'Lease Cycles'!$V$28)^INT(INT(DM351/12)/'Lease Cycles'!$W$28)/12,0),0)</f>
        <v>0</v>
      </c>
      <c r="DN354" s="28">
        <f>IF(DN352=1,IF(INDEX('Lease Cycles'!$EF$28:$EL$28,1,DN350)=1,'Lease Cycles'!$C$28*INDEX('Lease Cycles'!$ET$28:$EZ$28,1,DN350)*(1+'Lease Cycles'!$V$28)^INT(INT(DN351/12)/'Lease Cycles'!$W$28)/12,0),0)</f>
        <v>0</v>
      </c>
      <c r="DO354" s="28">
        <f>IF(DO352=1,IF(INDEX('Lease Cycles'!$EF$28:$EL$28,1,DO350)=1,'Lease Cycles'!$C$28*INDEX('Lease Cycles'!$ET$28:$EZ$28,1,DO350)*(1+'Lease Cycles'!$V$28)^INT(INT(DO351/12)/'Lease Cycles'!$W$28)/12,0),0)</f>
        <v>0</v>
      </c>
      <c r="DP354" s="28">
        <f>IF(DP352=1,IF(INDEX('Lease Cycles'!$EF$28:$EL$28,1,DP350)=1,'Lease Cycles'!$C$28*INDEX('Lease Cycles'!$ET$28:$EZ$28,1,DP350)*(1+'Lease Cycles'!$V$28)^INT(INT(DP351/12)/'Lease Cycles'!$W$28)/12,0),0)</f>
        <v>0</v>
      </c>
      <c r="DQ354" s="28">
        <f>IF(DQ352=1,IF(INDEX('Lease Cycles'!$EF$28:$EL$28,1,DQ350)=1,'Lease Cycles'!$C$28*INDEX('Lease Cycles'!$ET$28:$EZ$28,1,DQ350)*(1+'Lease Cycles'!$V$28)^INT(INT(DQ351/12)/'Lease Cycles'!$W$28)/12,0),0)</f>
        <v>0</v>
      </c>
      <c r="DR354" s="28">
        <f>IF(DR352=1,IF(INDEX('Lease Cycles'!$EF$28:$EL$28,1,DR350)=1,'Lease Cycles'!$C$28*INDEX('Lease Cycles'!$ET$28:$EZ$28,1,DR350)*(1+'Lease Cycles'!$V$28)^INT(INT(DR351/12)/'Lease Cycles'!$W$28)/12,0),0)</f>
        <v>0</v>
      </c>
      <c r="DS354" s="28">
        <f>IF(DS352=1,IF(INDEX('Lease Cycles'!$EF$28:$EL$28,1,DS350)=1,'Lease Cycles'!$C$28*INDEX('Lease Cycles'!$ET$28:$EZ$28,1,DS350)*(1+'Lease Cycles'!$V$28)^INT(INT(DS351/12)/'Lease Cycles'!$W$28)/12,0),0)</f>
        <v>0</v>
      </c>
      <c r="DT354" s="28">
        <f>IF(DT352=1,IF(INDEX('Lease Cycles'!$EF$28:$EL$28,1,DT350)=1,'Lease Cycles'!$C$28*INDEX('Lease Cycles'!$ET$28:$EZ$28,1,DT350)*(1+'Lease Cycles'!$V$28)^INT(INT(DT351/12)/'Lease Cycles'!$W$28)/12,0),0)</f>
        <v>0</v>
      </c>
      <c r="DU354" s="28">
        <f>IF(DU352=1,IF(INDEX('Lease Cycles'!$EF$28:$EL$28,1,DU350)=1,'Lease Cycles'!$C$28*INDEX('Lease Cycles'!$ET$28:$EZ$28,1,DU350)*(1+'Lease Cycles'!$V$28)^INT(INT(DU351/12)/'Lease Cycles'!$W$28)/12,0),0)</f>
        <v>0</v>
      </c>
      <c r="DV354" s="28">
        <f>IF(DV352=1,IF(INDEX('Lease Cycles'!$EF$28:$EL$28,1,DV350)=1,'Lease Cycles'!$C$28*INDEX('Lease Cycles'!$ET$28:$EZ$28,1,DV350)*(1+'Lease Cycles'!$V$28)^INT(INT(DV351/12)/'Lease Cycles'!$W$28)/12,0),0)</f>
        <v>0</v>
      </c>
      <c r="DW354" s="28">
        <f>IF(DW352=1,IF(INDEX('Lease Cycles'!$EF$28:$EL$28,1,DW350)=1,'Lease Cycles'!$C$28*INDEX('Lease Cycles'!$ET$28:$EZ$28,1,DW350)*(1+'Lease Cycles'!$V$28)^INT(INT(DW351/12)/'Lease Cycles'!$W$28)/12,0),0)</f>
        <v>0</v>
      </c>
      <c r="DX354" s="28">
        <f>IF(DX352=1,IF(INDEX('Lease Cycles'!$EF$28:$EL$28,1,DX350)=1,'Lease Cycles'!$C$28*INDEX('Lease Cycles'!$ET$28:$EZ$28,1,DX350)*(1+'Lease Cycles'!$V$28)^INT(INT(DX351/12)/'Lease Cycles'!$W$28)/12,0),0)</f>
        <v>0</v>
      </c>
      <c r="DY354" s="28">
        <f>IF(DY352=1,IF(INDEX('Lease Cycles'!$EF$28:$EL$28,1,DY350)=1,'Lease Cycles'!$C$28*INDEX('Lease Cycles'!$ET$28:$EZ$28,1,DY350)*(1+'Lease Cycles'!$V$28)^INT(INT(DY351/12)/'Lease Cycles'!$W$28)/12,0),0)</f>
        <v>0</v>
      </c>
      <c r="DZ354" s="28">
        <f>IF(DZ352=1,IF(INDEX('Lease Cycles'!$EF$28:$EL$28,1,DZ350)=1,'Lease Cycles'!$C$28*INDEX('Lease Cycles'!$ET$28:$EZ$28,1,DZ350)*(1+'Lease Cycles'!$V$28)^INT(INT(DZ351/12)/'Lease Cycles'!$W$28)/12,0),0)</f>
        <v>0</v>
      </c>
      <c r="EA354" s="28">
        <f>IF(EA352=1,IF(INDEX('Lease Cycles'!$EF$28:$EL$28,1,EA350)=1,'Lease Cycles'!$C$28*INDEX('Lease Cycles'!$ET$28:$EZ$28,1,EA350)*(1+'Lease Cycles'!$V$28)^INT(INT(EA351/12)/'Lease Cycles'!$W$28)/12,0),0)</f>
        <v>0</v>
      </c>
      <c r="EB354" s="28">
        <f>IF(EB352=1,IF(INDEX('Lease Cycles'!$EF$28:$EL$28,1,EB350)=1,'Lease Cycles'!$C$28*INDEX('Lease Cycles'!$ET$28:$EZ$28,1,EB350)*(1+'Lease Cycles'!$V$28)^INT(INT(EB351/12)/'Lease Cycles'!$W$28)/12,0),0)</f>
        <v>0</v>
      </c>
      <c r="EC354" s="28">
        <f>IF(EC352=1,IF(INDEX('Lease Cycles'!$EF$28:$EL$28,1,EC350)=1,'Lease Cycles'!$C$28*INDEX('Lease Cycles'!$ET$28:$EZ$28,1,EC350)*(1+'Lease Cycles'!$V$28)^INT(INT(EC351/12)/'Lease Cycles'!$W$28)/12,0),0)</f>
        <v>0</v>
      </c>
      <c r="ED354" s="28">
        <f>IF(ED352=1,IF(INDEX('Lease Cycles'!$EF$28:$EL$28,1,ED350)=1,'Lease Cycles'!$C$28*INDEX('Lease Cycles'!$ET$28:$EZ$28,1,ED350)*(1+'Lease Cycles'!$V$28)^INT(INT(ED351/12)/'Lease Cycles'!$W$28)/12,0),0)</f>
        <v>0</v>
      </c>
      <c r="EE354" s="28">
        <f>IF(EE352=1,IF(INDEX('Lease Cycles'!$EF$28:$EL$28,1,EE350)=1,'Lease Cycles'!$C$28*INDEX('Lease Cycles'!$ET$28:$EZ$28,1,EE350)*(1+'Lease Cycles'!$V$28)^INT(INT(EE351/12)/'Lease Cycles'!$W$28)/12,0),0)</f>
        <v>0</v>
      </c>
      <c r="EF354" s="28">
        <f>IF(EF352=1,IF(INDEX('Lease Cycles'!$EF$28:$EL$28,1,EF350)=1,'Lease Cycles'!$C$28*INDEX('Lease Cycles'!$ET$28:$EZ$28,1,EF350)*(1+'Lease Cycles'!$V$28)^INT(INT(EF351/12)/'Lease Cycles'!$W$28)/12,0),0)</f>
        <v>0</v>
      </c>
      <c r="EG354" s="28">
        <f>IF(EG352=1,IF(INDEX('Lease Cycles'!$EF$28:$EL$28,1,EG350)=1,'Lease Cycles'!$C$28*INDEX('Lease Cycles'!$ET$28:$EZ$28,1,EG350)*(1+'Lease Cycles'!$V$28)^INT(INT(EG351/12)/'Lease Cycles'!$W$28)/12,0),0)</f>
        <v>0</v>
      </c>
      <c r="EH354" s="28">
        <f>IF(EH352=1,IF(INDEX('Lease Cycles'!$EF$28:$EL$28,1,EH350)=1,'Lease Cycles'!$C$28*INDEX('Lease Cycles'!$ET$28:$EZ$28,1,EH350)*(1+'Lease Cycles'!$V$28)^INT(INT(EH351/12)/'Lease Cycles'!$W$28)/12,0),0)</f>
        <v>0</v>
      </c>
      <c r="EI354" s="28">
        <f>IF(EI352=1,IF(INDEX('Lease Cycles'!$EF$28:$EL$28,1,EI350)=1,'Lease Cycles'!$C$28*INDEX('Lease Cycles'!$ET$28:$EZ$28,1,EI350)*(1+'Lease Cycles'!$V$28)^INT(INT(EI351/12)/'Lease Cycles'!$W$28)/12,0),0)</f>
        <v>0</v>
      </c>
      <c r="EJ354" s="28">
        <f>IF(EJ352=1,IF(INDEX('Lease Cycles'!$EF$28:$EL$28,1,EJ350)=1,'Lease Cycles'!$C$28*INDEX('Lease Cycles'!$ET$28:$EZ$28,1,EJ350)*(1+'Lease Cycles'!$V$28)^INT(INT(EJ351/12)/'Lease Cycles'!$W$28)/12,0),0)</f>
        <v>0</v>
      </c>
      <c r="EK354" s="28">
        <f>IF(EK352=1,IF(INDEX('Lease Cycles'!$EF$28:$EL$28,1,EK350)=1,'Lease Cycles'!$C$28*INDEX('Lease Cycles'!$ET$28:$EZ$28,1,EK350)*(1+'Lease Cycles'!$V$28)^INT(INT(EK351/12)/'Lease Cycles'!$W$28)/12,0),0)</f>
        <v>0</v>
      </c>
      <c r="EL354" s="28">
        <f>IF(EL352=1,IF(INDEX('Lease Cycles'!$EF$28:$EL$28,1,EL350)=1,'Lease Cycles'!$C$28*INDEX('Lease Cycles'!$ET$28:$EZ$28,1,EL350)*(1+'Lease Cycles'!$V$28)^INT(INT(EL351/12)/'Lease Cycles'!$W$28)/12,0),0)</f>
        <v>0</v>
      </c>
      <c r="EM354" s="28">
        <f>IF(EM352=1,IF(INDEX('Lease Cycles'!$EF$28:$EL$28,1,EM350)=1,'Lease Cycles'!$C$28*INDEX('Lease Cycles'!$ET$28:$EZ$28,1,EM350)*(1+'Lease Cycles'!$V$28)^INT(INT(EM351/12)/'Lease Cycles'!$W$28)/12,0),0)</f>
        <v>0</v>
      </c>
      <c r="EN354" s="28">
        <f>IF(EN352=1,IF(INDEX('Lease Cycles'!$EF$28:$EL$28,1,EN350)=1,'Lease Cycles'!$C$28*INDEX('Lease Cycles'!$ET$28:$EZ$28,1,EN350)*(1+'Lease Cycles'!$V$28)^INT(INT(EN351/12)/'Lease Cycles'!$W$28)/12,0),0)</f>
        <v>0</v>
      </c>
      <c r="EO354" s="28">
        <f>IF(EO352=1,IF(INDEX('Lease Cycles'!$EF$28:$EL$28,1,EO350)=1,'Lease Cycles'!$C$28*INDEX('Lease Cycles'!$ET$28:$EZ$28,1,EO350)*(1+'Lease Cycles'!$V$28)^INT(INT(EO351/12)/'Lease Cycles'!$W$28)/12,0),0)</f>
        <v>0</v>
      </c>
      <c r="EP354" s="28">
        <f>IF(EP352=1,IF(INDEX('Lease Cycles'!$EF$28:$EL$28,1,EP350)=1,'Lease Cycles'!$C$28*INDEX('Lease Cycles'!$ET$28:$EZ$28,1,EP350)*(1+'Lease Cycles'!$V$28)^INT(INT(EP351/12)/'Lease Cycles'!$W$28)/12,0),0)</f>
        <v>0</v>
      </c>
      <c r="EQ354" s="28">
        <f>IF(EQ352=1,IF(INDEX('Lease Cycles'!$EF$28:$EL$28,1,EQ350)=1,'Lease Cycles'!$C$28*INDEX('Lease Cycles'!$ET$28:$EZ$28,1,EQ350)*(1+'Lease Cycles'!$V$28)^INT(INT(EQ351/12)/'Lease Cycles'!$W$28)/12,0),0)</f>
        <v>0</v>
      </c>
      <c r="ER354" s="28">
        <f>IF(ER352=1,IF(INDEX('Lease Cycles'!$EF$28:$EL$28,1,ER350)=1,'Lease Cycles'!$C$28*INDEX('Lease Cycles'!$ET$28:$EZ$28,1,ER350)*(1+'Lease Cycles'!$V$28)^INT(INT(ER351/12)/'Lease Cycles'!$W$28)/12,0),0)</f>
        <v>0</v>
      </c>
      <c r="ES354" s="28">
        <f>IF(ES352=1,IF(INDEX('Lease Cycles'!$EF$28:$EL$28,1,ES350)=1,'Lease Cycles'!$C$28*INDEX('Lease Cycles'!$ET$28:$EZ$28,1,ES350)*(1+'Lease Cycles'!$V$28)^INT(INT(ES351/12)/'Lease Cycles'!$W$28)/12,0),0)</f>
        <v>0</v>
      </c>
      <c r="ET354" s="28">
        <f>IF(ET352=1,IF(INDEX('Lease Cycles'!$EF$28:$EL$28,1,ET350)=1,'Lease Cycles'!$C$28*INDEX('Lease Cycles'!$ET$28:$EZ$28,1,ET350)*(1+'Lease Cycles'!$V$28)^INT(INT(ET351/12)/'Lease Cycles'!$W$28)/12,0),0)</f>
        <v>0</v>
      </c>
    </row>
    <row r="355">
      <c r="A355" s="103">
        <v>21</v>
      </c>
      <c r="B355" s="23" t="str">
        <f>IF('Lease Cycles'!$B$28="","(empty slot)",'Lease Cycles'!$B$28)</f>
        <v>(empty slot)</v>
      </c>
      <c r="C355" s="23" t="s">
        <v>681</v>
      </c>
      <c r="D355" s="104" t="s">
        <v>490</v>
      </c>
      <c r="E355" s="25">
        <f>'Lease Cycles'!$AL$28</f>
        <v>0</v>
      </c>
      <c r="G355" s="28">
        <f>SUM(S355:AD355)</f>
        <v>0</v>
      </c>
      <c r="H355" s="28">
        <f>SUM(AE355:AP355)</f>
        <v>0</v>
      </c>
      <c r="I355" s="28">
        <f>SUM(AQ355:BB355)</f>
        <v>0</v>
      </c>
      <c r="J355" s="28">
        <f>SUM(BC355:BN355)</f>
        <v>0</v>
      </c>
      <c r="K355" s="28">
        <f>SUM(BO355:BZ355)</f>
        <v>0</v>
      </c>
      <c r="L355" s="28">
        <f>SUM(CA355:CL355)</f>
        <v>0</v>
      </c>
      <c r="M355" s="28">
        <f>SUM(CM355:CX355)</f>
        <v>0</v>
      </c>
      <c r="N355" s="28">
        <f>SUM(CY355:DJ355)</f>
        <v>0</v>
      </c>
      <c r="O355" s="28">
        <f>SUM(DK355:DV355)</f>
        <v>0</v>
      </c>
      <c r="P355" s="28">
        <f>SUM(DW355:EH355)</f>
        <v>0</v>
      </c>
      <c r="Q355" s="28">
        <f>SUM(EI355:ET355)</f>
        <v>0</v>
      </c>
      <c r="S355" s="28">
        <f>IF(S352=1,IF(INDEX('Lease Cycles'!$EF$28:$EL$28,1,S350)=1,S353*INDEX('Lease Cycles'!$EM$28:$ES$28,1,S350)+S354*(1-INDEX('Lease Cycles'!$EM$28:$ES$28,1,S350)),S353),S353)</f>
        <v>0</v>
      </c>
      <c r="T355" s="28">
        <f>IF(T352=1,IF(INDEX('Lease Cycles'!$EF$28:$EL$28,1,T350)=1,T353*INDEX('Lease Cycles'!$EM$28:$ES$28,1,T350)+T354*(1-INDEX('Lease Cycles'!$EM$28:$ES$28,1,T350)),T353),T353)</f>
        <v>0</v>
      </c>
      <c r="U355" s="28">
        <f>IF(U352=1,IF(INDEX('Lease Cycles'!$EF$28:$EL$28,1,U350)=1,U353*INDEX('Lease Cycles'!$EM$28:$ES$28,1,U350)+U354*(1-INDEX('Lease Cycles'!$EM$28:$ES$28,1,U350)),U353),U353)</f>
        <v>0</v>
      </c>
      <c r="V355" s="28">
        <f>IF(V352=1,IF(INDEX('Lease Cycles'!$EF$28:$EL$28,1,V350)=1,V353*INDEX('Lease Cycles'!$EM$28:$ES$28,1,V350)+V354*(1-INDEX('Lease Cycles'!$EM$28:$ES$28,1,V350)),V353),V353)</f>
        <v>0</v>
      </c>
      <c r="W355" s="28">
        <f>IF(W352=1,IF(INDEX('Lease Cycles'!$EF$28:$EL$28,1,W350)=1,W353*INDEX('Lease Cycles'!$EM$28:$ES$28,1,W350)+W354*(1-INDEX('Lease Cycles'!$EM$28:$ES$28,1,W350)),W353),W353)</f>
        <v>0</v>
      </c>
      <c r="X355" s="28">
        <f>IF(X352=1,IF(INDEX('Lease Cycles'!$EF$28:$EL$28,1,X350)=1,X353*INDEX('Lease Cycles'!$EM$28:$ES$28,1,X350)+X354*(1-INDEX('Lease Cycles'!$EM$28:$ES$28,1,X350)),X353),X353)</f>
        <v>0</v>
      </c>
      <c r="Y355" s="28">
        <f>IF(Y352=1,IF(INDEX('Lease Cycles'!$EF$28:$EL$28,1,Y350)=1,Y353*INDEX('Lease Cycles'!$EM$28:$ES$28,1,Y350)+Y354*(1-INDEX('Lease Cycles'!$EM$28:$ES$28,1,Y350)),Y353),Y353)</f>
        <v>0</v>
      </c>
      <c r="Z355" s="28">
        <f>IF(Z352=1,IF(INDEX('Lease Cycles'!$EF$28:$EL$28,1,Z350)=1,Z353*INDEX('Lease Cycles'!$EM$28:$ES$28,1,Z350)+Z354*(1-INDEX('Lease Cycles'!$EM$28:$ES$28,1,Z350)),Z353),Z353)</f>
        <v>0</v>
      </c>
      <c r="AA355" s="28">
        <f>IF(AA352=1,IF(INDEX('Lease Cycles'!$EF$28:$EL$28,1,AA350)=1,AA353*INDEX('Lease Cycles'!$EM$28:$ES$28,1,AA350)+AA354*(1-INDEX('Lease Cycles'!$EM$28:$ES$28,1,AA350)),AA353),AA353)</f>
        <v>0</v>
      </c>
      <c r="AB355" s="28">
        <f>IF(AB352=1,IF(INDEX('Lease Cycles'!$EF$28:$EL$28,1,AB350)=1,AB353*INDEX('Lease Cycles'!$EM$28:$ES$28,1,AB350)+AB354*(1-INDEX('Lease Cycles'!$EM$28:$ES$28,1,AB350)),AB353),AB353)</f>
        <v>0</v>
      </c>
      <c r="AC355" s="28">
        <f>IF(AC352=1,IF(INDEX('Lease Cycles'!$EF$28:$EL$28,1,AC350)=1,AC353*INDEX('Lease Cycles'!$EM$28:$ES$28,1,AC350)+AC354*(1-INDEX('Lease Cycles'!$EM$28:$ES$28,1,AC350)),AC353),AC353)</f>
        <v>0</v>
      </c>
      <c r="AD355" s="28">
        <f>IF(AD352=1,IF(INDEX('Lease Cycles'!$EF$28:$EL$28,1,AD350)=1,AD353*INDEX('Lease Cycles'!$EM$28:$ES$28,1,AD350)+AD354*(1-INDEX('Lease Cycles'!$EM$28:$ES$28,1,AD350)),AD353),AD353)</f>
        <v>0</v>
      </c>
      <c r="AE355" s="28">
        <f>IF(AE352=1,IF(INDEX('Lease Cycles'!$EF$28:$EL$28,1,AE350)=1,AE353*INDEX('Lease Cycles'!$EM$28:$ES$28,1,AE350)+AE354*(1-INDEX('Lease Cycles'!$EM$28:$ES$28,1,AE350)),AE353),AE353)</f>
        <v>0</v>
      </c>
      <c r="AF355" s="28">
        <f>IF(AF352=1,IF(INDEX('Lease Cycles'!$EF$28:$EL$28,1,AF350)=1,AF353*INDEX('Lease Cycles'!$EM$28:$ES$28,1,AF350)+AF354*(1-INDEX('Lease Cycles'!$EM$28:$ES$28,1,AF350)),AF353),AF353)</f>
        <v>0</v>
      </c>
      <c r="AG355" s="28">
        <f>IF(AG352=1,IF(INDEX('Lease Cycles'!$EF$28:$EL$28,1,AG350)=1,AG353*INDEX('Lease Cycles'!$EM$28:$ES$28,1,AG350)+AG354*(1-INDEX('Lease Cycles'!$EM$28:$ES$28,1,AG350)),AG353),AG353)</f>
        <v>0</v>
      </c>
      <c r="AH355" s="28">
        <f>IF(AH352=1,IF(INDEX('Lease Cycles'!$EF$28:$EL$28,1,AH350)=1,AH353*INDEX('Lease Cycles'!$EM$28:$ES$28,1,AH350)+AH354*(1-INDEX('Lease Cycles'!$EM$28:$ES$28,1,AH350)),AH353),AH353)</f>
        <v>0</v>
      </c>
      <c r="AI355" s="28">
        <f>IF(AI352=1,IF(INDEX('Lease Cycles'!$EF$28:$EL$28,1,AI350)=1,AI353*INDEX('Lease Cycles'!$EM$28:$ES$28,1,AI350)+AI354*(1-INDEX('Lease Cycles'!$EM$28:$ES$28,1,AI350)),AI353),AI353)</f>
        <v>0</v>
      </c>
      <c r="AJ355" s="28">
        <f>IF(AJ352=1,IF(INDEX('Lease Cycles'!$EF$28:$EL$28,1,AJ350)=1,AJ353*INDEX('Lease Cycles'!$EM$28:$ES$28,1,AJ350)+AJ354*(1-INDEX('Lease Cycles'!$EM$28:$ES$28,1,AJ350)),AJ353),AJ353)</f>
        <v>0</v>
      </c>
      <c r="AK355" s="28">
        <f>IF(AK352=1,IF(INDEX('Lease Cycles'!$EF$28:$EL$28,1,AK350)=1,AK353*INDEX('Lease Cycles'!$EM$28:$ES$28,1,AK350)+AK354*(1-INDEX('Lease Cycles'!$EM$28:$ES$28,1,AK350)),AK353),AK353)</f>
        <v>0</v>
      </c>
      <c r="AL355" s="28">
        <f>IF(AL352=1,IF(INDEX('Lease Cycles'!$EF$28:$EL$28,1,AL350)=1,AL353*INDEX('Lease Cycles'!$EM$28:$ES$28,1,AL350)+AL354*(1-INDEX('Lease Cycles'!$EM$28:$ES$28,1,AL350)),AL353),AL353)</f>
        <v>0</v>
      </c>
      <c r="AM355" s="28">
        <f>IF(AM352=1,IF(INDEX('Lease Cycles'!$EF$28:$EL$28,1,AM350)=1,AM353*INDEX('Lease Cycles'!$EM$28:$ES$28,1,AM350)+AM354*(1-INDEX('Lease Cycles'!$EM$28:$ES$28,1,AM350)),AM353),AM353)</f>
        <v>0</v>
      </c>
      <c r="AN355" s="28">
        <f>IF(AN352=1,IF(INDEX('Lease Cycles'!$EF$28:$EL$28,1,AN350)=1,AN353*INDEX('Lease Cycles'!$EM$28:$ES$28,1,AN350)+AN354*(1-INDEX('Lease Cycles'!$EM$28:$ES$28,1,AN350)),AN353),AN353)</f>
        <v>0</v>
      </c>
      <c r="AO355" s="28">
        <f>IF(AO352=1,IF(INDEX('Lease Cycles'!$EF$28:$EL$28,1,AO350)=1,AO353*INDEX('Lease Cycles'!$EM$28:$ES$28,1,AO350)+AO354*(1-INDEX('Lease Cycles'!$EM$28:$ES$28,1,AO350)),AO353),AO353)</f>
        <v>0</v>
      </c>
      <c r="AP355" s="28">
        <f>IF(AP352=1,IF(INDEX('Lease Cycles'!$EF$28:$EL$28,1,AP350)=1,AP353*INDEX('Lease Cycles'!$EM$28:$ES$28,1,AP350)+AP354*(1-INDEX('Lease Cycles'!$EM$28:$ES$28,1,AP350)),AP353),AP353)</f>
        <v>0</v>
      </c>
      <c r="AQ355" s="28">
        <f>IF(AQ352=1,IF(INDEX('Lease Cycles'!$EF$28:$EL$28,1,AQ350)=1,AQ353*INDEX('Lease Cycles'!$EM$28:$ES$28,1,AQ350)+AQ354*(1-INDEX('Lease Cycles'!$EM$28:$ES$28,1,AQ350)),AQ353),AQ353)</f>
        <v>0</v>
      </c>
      <c r="AR355" s="28">
        <f>IF(AR352=1,IF(INDEX('Lease Cycles'!$EF$28:$EL$28,1,AR350)=1,AR353*INDEX('Lease Cycles'!$EM$28:$ES$28,1,AR350)+AR354*(1-INDEX('Lease Cycles'!$EM$28:$ES$28,1,AR350)),AR353),AR353)</f>
        <v>0</v>
      </c>
      <c r="AS355" s="28">
        <f>IF(AS352=1,IF(INDEX('Lease Cycles'!$EF$28:$EL$28,1,AS350)=1,AS353*INDEX('Lease Cycles'!$EM$28:$ES$28,1,AS350)+AS354*(1-INDEX('Lease Cycles'!$EM$28:$ES$28,1,AS350)),AS353),AS353)</f>
        <v>0</v>
      </c>
      <c r="AT355" s="28">
        <f>IF(AT352=1,IF(INDEX('Lease Cycles'!$EF$28:$EL$28,1,AT350)=1,AT353*INDEX('Lease Cycles'!$EM$28:$ES$28,1,AT350)+AT354*(1-INDEX('Lease Cycles'!$EM$28:$ES$28,1,AT350)),AT353),AT353)</f>
        <v>0</v>
      </c>
      <c r="AU355" s="28">
        <f>IF(AU352=1,IF(INDEX('Lease Cycles'!$EF$28:$EL$28,1,AU350)=1,AU353*INDEX('Lease Cycles'!$EM$28:$ES$28,1,AU350)+AU354*(1-INDEX('Lease Cycles'!$EM$28:$ES$28,1,AU350)),AU353),AU353)</f>
        <v>0</v>
      </c>
      <c r="AV355" s="28">
        <f>IF(AV352=1,IF(INDEX('Lease Cycles'!$EF$28:$EL$28,1,AV350)=1,AV353*INDEX('Lease Cycles'!$EM$28:$ES$28,1,AV350)+AV354*(1-INDEX('Lease Cycles'!$EM$28:$ES$28,1,AV350)),AV353),AV353)</f>
        <v>0</v>
      </c>
      <c r="AW355" s="28">
        <f>IF(AW352=1,IF(INDEX('Lease Cycles'!$EF$28:$EL$28,1,AW350)=1,AW353*INDEX('Lease Cycles'!$EM$28:$ES$28,1,AW350)+AW354*(1-INDEX('Lease Cycles'!$EM$28:$ES$28,1,AW350)),AW353),AW353)</f>
        <v>0</v>
      </c>
      <c r="AX355" s="28">
        <f>IF(AX352=1,IF(INDEX('Lease Cycles'!$EF$28:$EL$28,1,AX350)=1,AX353*INDEX('Lease Cycles'!$EM$28:$ES$28,1,AX350)+AX354*(1-INDEX('Lease Cycles'!$EM$28:$ES$28,1,AX350)),AX353),AX353)</f>
        <v>0</v>
      </c>
      <c r="AY355" s="28">
        <f>IF(AY352=1,IF(INDEX('Lease Cycles'!$EF$28:$EL$28,1,AY350)=1,AY353*INDEX('Lease Cycles'!$EM$28:$ES$28,1,AY350)+AY354*(1-INDEX('Lease Cycles'!$EM$28:$ES$28,1,AY350)),AY353),AY353)</f>
        <v>0</v>
      </c>
      <c r="AZ355" s="28">
        <f>IF(AZ352=1,IF(INDEX('Lease Cycles'!$EF$28:$EL$28,1,AZ350)=1,AZ353*INDEX('Lease Cycles'!$EM$28:$ES$28,1,AZ350)+AZ354*(1-INDEX('Lease Cycles'!$EM$28:$ES$28,1,AZ350)),AZ353),AZ353)</f>
        <v>0</v>
      </c>
      <c r="BA355" s="28">
        <f>IF(BA352=1,IF(INDEX('Lease Cycles'!$EF$28:$EL$28,1,BA350)=1,BA353*INDEX('Lease Cycles'!$EM$28:$ES$28,1,BA350)+BA354*(1-INDEX('Lease Cycles'!$EM$28:$ES$28,1,BA350)),BA353),BA353)</f>
        <v>0</v>
      </c>
      <c r="BB355" s="28">
        <f>IF(BB352=1,IF(INDEX('Lease Cycles'!$EF$28:$EL$28,1,BB350)=1,BB353*INDEX('Lease Cycles'!$EM$28:$ES$28,1,BB350)+BB354*(1-INDEX('Lease Cycles'!$EM$28:$ES$28,1,BB350)),BB353),BB353)</f>
        <v>0</v>
      </c>
      <c r="BC355" s="28">
        <f>IF(BC352=1,IF(INDEX('Lease Cycles'!$EF$28:$EL$28,1,BC350)=1,BC353*INDEX('Lease Cycles'!$EM$28:$ES$28,1,BC350)+BC354*(1-INDEX('Lease Cycles'!$EM$28:$ES$28,1,BC350)),BC353),BC353)</f>
        <v>0</v>
      </c>
      <c r="BD355" s="28">
        <f>IF(BD352=1,IF(INDEX('Lease Cycles'!$EF$28:$EL$28,1,BD350)=1,BD353*INDEX('Lease Cycles'!$EM$28:$ES$28,1,BD350)+BD354*(1-INDEX('Lease Cycles'!$EM$28:$ES$28,1,BD350)),BD353),BD353)</f>
        <v>0</v>
      </c>
      <c r="BE355" s="28">
        <f>IF(BE352=1,IF(INDEX('Lease Cycles'!$EF$28:$EL$28,1,BE350)=1,BE353*INDEX('Lease Cycles'!$EM$28:$ES$28,1,BE350)+BE354*(1-INDEX('Lease Cycles'!$EM$28:$ES$28,1,BE350)),BE353),BE353)</f>
        <v>0</v>
      </c>
      <c r="BF355" s="28">
        <f>IF(BF352=1,IF(INDEX('Lease Cycles'!$EF$28:$EL$28,1,BF350)=1,BF353*INDEX('Lease Cycles'!$EM$28:$ES$28,1,BF350)+BF354*(1-INDEX('Lease Cycles'!$EM$28:$ES$28,1,BF350)),BF353),BF353)</f>
        <v>0</v>
      </c>
      <c r="BG355" s="28">
        <f>IF(BG352=1,IF(INDEX('Lease Cycles'!$EF$28:$EL$28,1,BG350)=1,BG353*INDEX('Lease Cycles'!$EM$28:$ES$28,1,BG350)+BG354*(1-INDEX('Lease Cycles'!$EM$28:$ES$28,1,BG350)),BG353),BG353)</f>
        <v>0</v>
      </c>
      <c r="BH355" s="28">
        <f>IF(BH352=1,IF(INDEX('Lease Cycles'!$EF$28:$EL$28,1,BH350)=1,BH353*INDEX('Lease Cycles'!$EM$28:$ES$28,1,BH350)+BH354*(1-INDEX('Lease Cycles'!$EM$28:$ES$28,1,BH350)),BH353),BH353)</f>
        <v>0</v>
      </c>
      <c r="BI355" s="28">
        <f>IF(BI352=1,IF(INDEX('Lease Cycles'!$EF$28:$EL$28,1,BI350)=1,BI353*INDEX('Lease Cycles'!$EM$28:$ES$28,1,BI350)+BI354*(1-INDEX('Lease Cycles'!$EM$28:$ES$28,1,BI350)),BI353),BI353)</f>
        <v>0</v>
      </c>
      <c r="BJ355" s="28">
        <f>IF(BJ352=1,IF(INDEX('Lease Cycles'!$EF$28:$EL$28,1,BJ350)=1,BJ353*INDEX('Lease Cycles'!$EM$28:$ES$28,1,BJ350)+BJ354*(1-INDEX('Lease Cycles'!$EM$28:$ES$28,1,BJ350)),BJ353),BJ353)</f>
        <v>0</v>
      </c>
      <c r="BK355" s="28">
        <f>IF(BK352=1,IF(INDEX('Lease Cycles'!$EF$28:$EL$28,1,BK350)=1,BK353*INDEX('Lease Cycles'!$EM$28:$ES$28,1,BK350)+BK354*(1-INDEX('Lease Cycles'!$EM$28:$ES$28,1,BK350)),BK353),BK353)</f>
        <v>0</v>
      </c>
      <c r="BL355" s="28">
        <f>IF(BL352=1,IF(INDEX('Lease Cycles'!$EF$28:$EL$28,1,BL350)=1,BL353*INDEX('Lease Cycles'!$EM$28:$ES$28,1,BL350)+BL354*(1-INDEX('Lease Cycles'!$EM$28:$ES$28,1,BL350)),BL353),BL353)</f>
        <v>0</v>
      </c>
      <c r="BM355" s="28">
        <f>IF(BM352=1,IF(INDEX('Lease Cycles'!$EF$28:$EL$28,1,BM350)=1,BM353*INDEX('Lease Cycles'!$EM$28:$ES$28,1,BM350)+BM354*(1-INDEX('Lease Cycles'!$EM$28:$ES$28,1,BM350)),BM353),BM353)</f>
        <v>0</v>
      </c>
      <c r="BN355" s="28">
        <f>IF(BN352=1,IF(INDEX('Lease Cycles'!$EF$28:$EL$28,1,BN350)=1,BN353*INDEX('Lease Cycles'!$EM$28:$ES$28,1,BN350)+BN354*(1-INDEX('Lease Cycles'!$EM$28:$ES$28,1,BN350)),BN353),BN353)</f>
        <v>0</v>
      </c>
      <c r="BO355" s="28">
        <f>IF(BO352=1,IF(INDEX('Lease Cycles'!$EF$28:$EL$28,1,BO350)=1,BO353*INDEX('Lease Cycles'!$EM$28:$ES$28,1,BO350)+BO354*(1-INDEX('Lease Cycles'!$EM$28:$ES$28,1,BO350)),BO353),BO353)</f>
        <v>0</v>
      </c>
      <c r="BP355" s="28">
        <f>IF(BP352=1,IF(INDEX('Lease Cycles'!$EF$28:$EL$28,1,BP350)=1,BP353*INDEX('Lease Cycles'!$EM$28:$ES$28,1,BP350)+BP354*(1-INDEX('Lease Cycles'!$EM$28:$ES$28,1,BP350)),BP353),BP353)</f>
        <v>0</v>
      </c>
      <c r="BQ355" s="28">
        <f>IF(BQ352=1,IF(INDEX('Lease Cycles'!$EF$28:$EL$28,1,BQ350)=1,BQ353*INDEX('Lease Cycles'!$EM$28:$ES$28,1,BQ350)+BQ354*(1-INDEX('Lease Cycles'!$EM$28:$ES$28,1,BQ350)),BQ353),BQ353)</f>
        <v>0</v>
      </c>
      <c r="BR355" s="28">
        <f>IF(BR352=1,IF(INDEX('Lease Cycles'!$EF$28:$EL$28,1,BR350)=1,BR353*INDEX('Lease Cycles'!$EM$28:$ES$28,1,BR350)+BR354*(1-INDEX('Lease Cycles'!$EM$28:$ES$28,1,BR350)),BR353),BR353)</f>
        <v>0</v>
      </c>
      <c r="BS355" s="28">
        <f>IF(BS352=1,IF(INDEX('Lease Cycles'!$EF$28:$EL$28,1,BS350)=1,BS353*INDEX('Lease Cycles'!$EM$28:$ES$28,1,BS350)+BS354*(1-INDEX('Lease Cycles'!$EM$28:$ES$28,1,BS350)),BS353),BS353)</f>
        <v>0</v>
      </c>
      <c r="BT355" s="28">
        <f>IF(BT352=1,IF(INDEX('Lease Cycles'!$EF$28:$EL$28,1,BT350)=1,BT353*INDEX('Lease Cycles'!$EM$28:$ES$28,1,BT350)+BT354*(1-INDEX('Lease Cycles'!$EM$28:$ES$28,1,BT350)),BT353),BT353)</f>
        <v>0</v>
      </c>
      <c r="BU355" s="28">
        <f>IF(BU352=1,IF(INDEX('Lease Cycles'!$EF$28:$EL$28,1,BU350)=1,BU353*INDEX('Lease Cycles'!$EM$28:$ES$28,1,BU350)+BU354*(1-INDEX('Lease Cycles'!$EM$28:$ES$28,1,BU350)),BU353),BU353)</f>
        <v>0</v>
      </c>
      <c r="BV355" s="28">
        <f>IF(BV352=1,IF(INDEX('Lease Cycles'!$EF$28:$EL$28,1,BV350)=1,BV353*INDEX('Lease Cycles'!$EM$28:$ES$28,1,BV350)+BV354*(1-INDEX('Lease Cycles'!$EM$28:$ES$28,1,BV350)),BV353),BV353)</f>
        <v>0</v>
      </c>
      <c r="BW355" s="28">
        <f>IF(BW352=1,IF(INDEX('Lease Cycles'!$EF$28:$EL$28,1,BW350)=1,BW353*INDEX('Lease Cycles'!$EM$28:$ES$28,1,BW350)+BW354*(1-INDEX('Lease Cycles'!$EM$28:$ES$28,1,BW350)),BW353),BW353)</f>
        <v>0</v>
      </c>
      <c r="BX355" s="28">
        <f>IF(BX352=1,IF(INDEX('Lease Cycles'!$EF$28:$EL$28,1,BX350)=1,BX353*INDEX('Lease Cycles'!$EM$28:$ES$28,1,BX350)+BX354*(1-INDEX('Lease Cycles'!$EM$28:$ES$28,1,BX350)),BX353),BX353)</f>
        <v>0</v>
      </c>
      <c r="BY355" s="28">
        <f>IF(BY352=1,IF(INDEX('Lease Cycles'!$EF$28:$EL$28,1,BY350)=1,BY353*INDEX('Lease Cycles'!$EM$28:$ES$28,1,BY350)+BY354*(1-INDEX('Lease Cycles'!$EM$28:$ES$28,1,BY350)),BY353),BY353)</f>
        <v>0</v>
      </c>
      <c r="BZ355" s="28">
        <f>IF(BZ352=1,IF(INDEX('Lease Cycles'!$EF$28:$EL$28,1,BZ350)=1,BZ353*INDEX('Lease Cycles'!$EM$28:$ES$28,1,BZ350)+BZ354*(1-INDEX('Lease Cycles'!$EM$28:$ES$28,1,BZ350)),BZ353),BZ353)</f>
        <v>0</v>
      </c>
      <c r="CA355" s="28">
        <f>IF(CA352=1,IF(INDEX('Lease Cycles'!$EF$28:$EL$28,1,CA350)=1,CA353*INDEX('Lease Cycles'!$EM$28:$ES$28,1,CA350)+CA354*(1-INDEX('Lease Cycles'!$EM$28:$ES$28,1,CA350)),CA353),CA353)</f>
        <v>0</v>
      </c>
      <c r="CB355" s="28">
        <f>IF(CB352=1,IF(INDEX('Lease Cycles'!$EF$28:$EL$28,1,CB350)=1,CB353*INDEX('Lease Cycles'!$EM$28:$ES$28,1,CB350)+CB354*(1-INDEX('Lease Cycles'!$EM$28:$ES$28,1,CB350)),CB353),CB353)</f>
        <v>0</v>
      </c>
      <c r="CC355" s="28">
        <f>IF(CC352=1,IF(INDEX('Lease Cycles'!$EF$28:$EL$28,1,CC350)=1,CC353*INDEX('Lease Cycles'!$EM$28:$ES$28,1,CC350)+CC354*(1-INDEX('Lease Cycles'!$EM$28:$ES$28,1,CC350)),CC353),CC353)</f>
        <v>0</v>
      </c>
      <c r="CD355" s="28">
        <f>IF(CD352=1,IF(INDEX('Lease Cycles'!$EF$28:$EL$28,1,CD350)=1,CD353*INDEX('Lease Cycles'!$EM$28:$ES$28,1,CD350)+CD354*(1-INDEX('Lease Cycles'!$EM$28:$ES$28,1,CD350)),CD353),CD353)</f>
        <v>0</v>
      </c>
      <c r="CE355" s="28">
        <f>IF(CE352=1,IF(INDEX('Lease Cycles'!$EF$28:$EL$28,1,CE350)=1,CE353*INDEX('Lease Cycles'!$EM$28:$ES$28,1,CE350)+CE354*(1-INDEX('Lease Cycles'!$EM$28:$ES$28,1,CE350)),CE353),CE353)</f>
        <v>0</v>
      </c>
      <c r="CF355" s="28">
        <f>IF(CF352=1,IF(INDEX('Lease Cycles'!$EF$28:$EL$28,1,CF350)=1,CF353*INDEX('Lease Cycles'!$EM$28:$ES$28,1,CF350)+CF354*(1-INDEX('Lease Cycles'!$EM$28:$ES$28,1,CF350)),CF353),CF353)</f>
        <v>0</v>
      </c>
      <c r="CG355" s="28">
        <f>IF(CG352=1,IF(INDEX('Lease Cycles'!$EF$28:$EL$28,1,CG350)=1,CG353*INDEX('Lease Cycles'!$EM$28:$ES$28,1,CG350)+CG354*(1-INDEX('Lease Cycles'!$EM$28:$ES$28,1,CG350)),CG353),CG353)</f>
        <v>0</v>
      </c>
      <c r="CH355" s="28">
        <f>IF(CH352=1,IF(INDEX('Lease Cycles'!$EF$28:$EL$28,1,CH350)=1,CH353*INDEX('Lease Cycles'!$EM$28:$ES$28,1,CH350)+CH354*(1-INDEX('Lease Cycles'!$EM$28:$ES$28,1,CH350)),CH353),CH353)</f>
        <v>0</v>
      </c>
      <c r="CI355" s="28">
        <f>IF(CI352=1,IF(INDEX('Lease Cycles'!$EF$28:$EL$28,1,CI350)=1,CI353*INDEX('Lease Cycles'!$EM$28:$ES$28,1,CI350)+CI354*(1-INDEX('Lease Cycles'!$EM$28:$ES$28,1,CI350)),CI353),CI353)</f>
        <v>0</v>
      </c>
      <c r="CJ355" s="28">
        <f>IF(CJ352=1,IF(INDEX('Lease Cycles'!$EF$28:$EL$28,1,CJ350)=1,CJ353*INDEX('Lease Cycles'!$EM$28:$ES$28,1,CJ350)+CJ354*(1-INDEX('Lease Cycles'!$EM$28:$ES$28,1,CJ350)),CJ353),CJ353)</f>
        <v>0</v>
      </c>
      <c r="CK355" s="28">
        <f>IF(CK352=1,IF(INDEX('Lease Cycles'!$EF$28:$EL$28,1,CK350)=1,CK353*INDEX('Lease Cycles'!$EM$28:$ES$28,1,CK350)+CK354*(1-INDEX('Lease Cycles'!$EM$28:$ES$28,1,CK350)),CK353),CK353)</f>
        <v>0</v>
      </c>
      <c r="CL355" s="28">
        <f>IF(CL352=1,IF(INDEX('Lease Cycles'!$EF$28:$EL$28,1,CL350)=1,CL353*INDEX('Lease Cycles'!$EM$28:$ES$28,1,CL350)+CL354*(1-INDEX('Lease Cycles'!$EM$28:$ES$28,1,CL350)),CL353),CL353)</f>
        <v>0</v>
      </c>
      <c r="CM355" s="28">
        <f>IF(CM352=1,IF(INDEX('Lease Cycles'!$EF$28:$EL$28,1,CM350)=1,CM353*INDEX('Lease Cycles'!$EM$28:$ES$28,1,CM350)+CM354*(1-INDEX('Lease Cycles'!$EM$28:$ES$28,1,CM350)),CM353),CM353)</f>
        <v>0</v>
      </c>
      <c r="CN355" s="28">
        <f>IF(CN352=1,IF(INDEX('Lease Cycles'!$EF$28:$EL$28,1,CN350)=1,CN353*INDEX('Lease Cycles'!$EM$28:$ES$28,1,CN350)+CN354*(1-INDEX('Lease Cycles'!$EM$28:$ES$28,1,CN350)),CN353),CN353)</f>
        <v>0</v>
      </c>
      <c r="CO355" s="28">
        <f>IF(CO352=1,IF(INDEX('Lease Cycles'!$EF$28:$EL$28,1,CO350)=1,CO353*INDEX('Lease Cycles'!$EM$28:$ES$28,1,CO350)+CO354*(1-INDEX('Lease Cycles'!$EM$28:$ES$28,1,CO350)),CO353),CO353)</f>
        <v>0</v>
      </c>
      <c r="CP355" s="28">
        <f>IF(CP352=1,IF(INDEX('Lease Cycles'!$EF$28:$EL$28,1,CP350)=1,CP353*INDEX('Lease Cycles'!$EM$28:$ES$28,1,CP350)+CP354*(1-INDEX('Lease Cycles'!$EM$28:$ES$28,1,CP350)),CP353),CP353)</f>
        <v>0</v>
      </c>
      <c r="CQ355" s="28">
        <f>IF(CQ352=1,IF(INDEX('Lease Cycles'!$EF$28:$EL$28,1,CQ350)=1,CQ353*INDEX('Lease Cycles'!$EM$28:$ES$28,1,CQ350)+CQ354*(1-INDEX('Lease Cycles'!$EM$28:$ES$28,1,CQ350)),CQ353),CQ353)</f>
        <v>0</v>
      </c>
      <c r="CR355" s="28">
        <f>IF(CR352=1,IF(INDEX('Lease Cycles'!$EF$28:$EL$28,1,CR350)=1,CR353*INDEX('Lease Cycles'!$EM$28:$ES$28,1,CR350)+CR354*(1-INDEX('Lease Cycles'!$EM$28:$ES$28,1,CR350)),CR353),CR353)</f>
        <v>0</v>
      </c>
      <c r="CS355" s="28">
        <f>IF(CS352=1,IF(INDEX('Lease Cycles'!$EF$28:$EL$28,1,CS350)=1,CS353*INDEX('Lease Cycles'!$EM$28:$ES$28,1,CS350)+CS354*(1-INDEX('Lease Cycles'!$EM$28:$ES$28,1,CS350)),CS353),CS353)</f>
        <v>0</v>
      </c>
      <c r="CT355" s="28">
        <f>IF(CT352=1,IF(INDEX('Lease Cycles'!$EF$28:$EL$28,1,CT350)=1,CT353*INDEX('Lease Cycles'!$EM$28:$ES$28,1,CT350)+CT354*(1-INDEX('Lease Cycles'!$EM$28:$ES$28,1,CT350)),CT353),CT353)</f>
        <v>0</v>
      </c>
      <c r="CU355" s="28">
        <f>IF(CU352=1,IF(INDEX('Lease Cycles'!$EF$28:$EL$28,1,CU350)=1,CU353*INDEX('Lease Cycles'!$EM$28:$ES$28,1,CU350)+CU354*(1-INDEX('Lease Cycles'!$EM$28:$ES$28,1,CU350)),CU353),CU353)</f>
        <v>0</v>
      </c>
      <c r="CV355" s="28">
        <f>IF(CV352=1,IF(INDEX('Lease Cycles'!$EF$28:$EL$28,1,CV350)=1,CV353*INDEX('Lease Cycles'!$EM$28:$ES$28,1,CV350)+CV354*(1-INDEX('Lease Cycles'!$EM$28:$ES$28,1,CV350)),CV353),CV353)</f>
        <v>0</v>
      </c>
      <c r="CW355" s="28">
        <f>IF(CW352=1,IF(INDEX('Lease Cycles'!$EF$28:$EL$28,1,CW350)=1,CW353*INDEX('Lease Cycles'!$EM$28:$ES$28,1,CW350)+CW354*(1-INDEX('Lease Cycles'!$EM$28:$ES$28,1,CW350)),CW353),CW353)</f>
        <v>0</v>
      </c>
      <c r="CX355" s="28">
        <f>IF(CX352=1,IF(INDEX('Lease Cycles'!$EF$28:$EL$28,1,CX350)=1,CX353*INDEX('Lease Cycles'!$EM$28:$ES$28,1,CX350)+CX354*(1-INDEX('Lease Cycles'!$EM$28:$ES$28,1,CX350)),CX353),CX353)</f>
        <v>0</v>
      </c>
      <c r="CY355" s="28">
        <f>IF(CY352=1,IF(INDEX('Lease Cycles'!$EF$28:$EL$28,1,CY350)=1,CY353*INDEX('Lease Cycles'!$EM$28:$ES$28,1,CY350)+CY354*(1-INDEX('Lease Cycles'!$EM$28:$ES$28,1,CY350)),CY353),CY353)</f>
        <v>0</v>
      </c>
      <c r="CZ355" s="28">
        <f>IF(CZ352=1,IF(INDEX('Lease Cycles'!$EF$28:$EL$28,1,CZ350)=1,CZ353*INDEX('Lease Cycles'!$EM$28:$ES$28,1,CZ350)+CZ354*(1-INDEX('Lease Cycles'!$EM$28:$ES$28,1,CZ350)),CZ353),CZ353)</f>
        <v>0</v>
      </c>
      <c r="DA355" s="28">
        <f>IF(DA352=1,IF(INDEX('Lease Cycles'!$EF$28:$EL$28,1,DA350)=1,DA353*INDEX('Lease Cycles'!$EM$28:$ES$28,1,DA350)+DA354*(1-INDEX('Lease Cycles'!$EM$28:$ES$28,1,DA350)),DA353),DA353)</f>
        <v>0</v>
      </c>
      <c r="DB355" s="28">
        <f>IF(DB352=1,IF(INDEX('Lease Cycles'!$EF$28:$EL$28,1,DB350)=1,DB353*INDEX('Lease Cycles'!$EM$28:$ES$28,1,DB350)+DB354*(1-INDEX('Lease Cycles'!$EM$28:$ES$28,1,DB350)),DB353),DB353)</f>
        <v>0</v>
      </c>
      <c r="DC355" s="28">
        <f>IF(DC352=1,IF(INDEX('Lease Cycles'!$EF$28:$EL$28,1,DC350)=1,DC353*INDEX('Lease Cycles'!$EM$28:$ES$28,1,DC350)+DC354*(1-INDEX('Lease Cycles'!$EM$28:$ES$28,1,DC350)),DC353),DC353)</f>
        <v>0</v>
      </c>
      <c r="DD355" s="28">
        <f>IF(DD352=1,IF(INDEX('Lease Cycles'!$EF$28:$EL$28,1,DD350)=1,DD353*INDEX('Lease Cycles'!$EM$28:$ES$28,1,DD350)+DD354*(1-INDEX('Lease Cycles'!$EM$28:$ES$28,1,DD350)),DD353),DD353)</f>
        <v>0</v>
      </c>
      <c r="DE355" s="28">
        <f>IF(DE352=1,IF(INDEX('Lease Cycles'!$EF$28:$EL$28,1,DE350)=1,DE353*INDEX('Lease Cycles'!$EM$28:$ES$28,1,DE350)+DE354*(1-INDEX('Lease Cycles'!$EM$28:$ES$28,1,DE350)),DE353),DE353)</f>
        <v>0</v>
      </c>
      <c r="DF355" s="28">
        <f>IF(DF352=1,IF(INDEX('Lease Cycles'!$EF$28:$EL$28,1,DF350)=1,DF353*INDEX('Lease Cycles'!$EM$28:$ES$28,1,DF350)+DF354*(1-INDEX('Lease Cycles'!$EM$28:$ES$28,1,DF350)),DF353),DF353)</f>
        <v>0</v>
      </c>
      <c r="DG355" s="28">
        <f>IF(DG352=1,IF(INDEX('Lease Cycles'!$EF$28:$EL$28,1,DG350)=1,DG353*INDEX('Lease Cycles'!$EM$28:$ES$28,1,DG350)+DG354*(1-INDEX('Lease Cycles'!$EM$28:$ES$28,1,DG350)),DG353),DG353)</f>
        <v>0</v>
      </c>
      <c r="DH355" s="28">
        <f>IF(DH352=1,IF(INDEX('Lease Cycles'!$EF$28:$EL$28,1,DH350)=1,DH353*INDEX('Lease Cycles'!$EM$28:$ES$28,1,DH350)+DH354*(1-INDEX('Lease Cycles'!$EM$28:$ES$28,1,DH350)),DH353),DH353)</f>
        <v>0</v>
      </c>
      <c r="DI355" s="28">
        <f>IF(DI352=1,IF(INDEX('Lease Cycles'!$EF$28:$EL$28,1,DI350)=1,DI353*INDEX('Lease Cycles'!$EM$28:$ES$28,1,DI350)+DI354*(1-INDEX('Lease Cycles'!$EM$28:$ES$28,1,DI350)),DI353),DI353)</f>
        <v>0</v>
      </c>
      <c r="DJ355" s="28">
        <f>IF(DJ352=1,IF(INDEX('Lease Cycles'!$EF$28:$EL$28,1,DJ350)=1,DJ353*INDEX('Lease Cycles'!$EM$28:$ES$28,1,DJ350)+DJ354*(1-INDEX('Lease Cycles'!$EM$28:$ES$28,1,DJ350)),DJ353),DJ353)</f>
        <v>0</v>
      </c>
      <c r="DK355" s="28">
        <f>IF(DK352=1,IF(INDEX('Lease Cycles'!$EF$28:$EL$28,1,DK350)=1,DK353*INDEX('Lease Cycles'!$EM$28:$ES$28,1,DK350)+DK354*(1-INDEX('Lease Cycles'!$EM$28:$ES$28,1,DK350)),DK353),DK353)</f>
        <v>0</v>
      </c>
      <c r="DL355" s="28">
        <f>IF(DL352=1,IF(INDEX('Lease Cycles'!$EF$28:$EL$28,1,DL350)=1,DL353*INDEX('Lease Cycles'!$EM$28:$ES$28,1,DL350)+DL354*(1-INDEX('Lease Cycles'!$EM$28:$ES$28,1,DL350)),DL353),DL353)</f>
        <v>0</v>
      </c>
      <c r="DM355" s="28">
        <f>IF(DM352=1,IF(INDEX('Lease Cycles'!$EF$28:$EL$28,1,DM350)=1,DM353*INDEX('Lease Cycles'!$EM$28:$ES$28,1,DM350)+DM354*(1-INDEX('Lease Cycles'!$EM$28:$ES$28,1,DM350)),DM353),DM353)</f>
        <v>0</v>
      </c>
      <c r="DN355" s="28">
        <f>IF(DN352=1,IF(INDEX('Lease Cycles'!$EF$28:$EL$28,1,DN350)=1,DN353*INDEX('Lease Cycles'!$EM$28:$ES$28,1,DN350)+DN354*(1-INDEX('Lease Cycles'!$EM$28:$ES$28,1,DN350)),DN353),DN353)</f>
        <v>0</v>
      </c>
      <c r="DO355" s="28">
        <f>IF(DO352=1,IF(INDEX('Lease Cycles'!$EF$28:$EL$28,1,DO350)=1,DO353*INDEX('Lease Cycles'!$EM$28:$ES$28,1,DO350)+DO354*(1-INDEX('Lease Cycles'!$EM$28:$ES$28,1,DO350)),DO353),DO353)</f>
        <v>0</v>
      </c>
      <c r="DP355" s="28">
        <f>IF(DP352=1,IF(INDEX('Lease Cycles'!$EF$28:$EL$28,1,DP350)=1,DP353*INDEX('Lease Cycles'!$EM$28:$ES$28,1,DP350)+DP354*(1-INDEX('Lease Cycles'!$EM$28:$ES$28,1,DP350)),DP353),DP353)</f>
        <v>0</v>
      </c>
      <c r="DQ355" s="28">
        <f>IF(DQ352=1,IF(INDEX('Lease Cycles'!$EF$28:$EL$28,1,DQ350)=1,DQ353*INDEX('Lease Cycles'!$EM$28:$ES$28,1,DQ350)+DQ354*(1-INDEX('Lease Cycles'!$EM$28:$ES$28,1,DQ350)),DQ353),DQ353)</f>
        <v>0</v>
      </c>
      <c r="DR355" s="28">
        <f>IF(DR352=1,IF(INDEX('Lease Cycles'!$EF$28:$EL$28,1,DR350)=1,DR353*INDEX('Lease Cycles'!$EM$28:$ES$28,1,DR350)+DR354*(1-INDEX('Lease Cycles'!$EM$28:$ES$28,1,DR350)),DR353),DR353)</f>
        <v>0</v>
      </c>
      <c r="DS355" s="28">
        <f>IF(DS352=1,IF(INDEX('Lease Cycles'!$EF$28:$EL$28,1,DS350)=1,DS353*INDEX('Lease Cycles'!$EM$28:$ES$28,1,DS350)+DS354*(1-INDEX('Lease Cycles'!$EM$28:$ES$28,1,DS350)),DS353),DS353)</f>
        <v>0</v>
      </c>
      <c r="DT355" s="28">
        <f>IF(DT352=1,IF(INDEX('Lease Cycles'!$EF$28:$EL$28,1,DT350)=1,DT353*INDEX('Lease Cycles'!$EM$28:$ES$28,1,DT350)+DT354*(1-INDEX('Lease Cycles'!$EM$28:$ES$28,1,DT350)),DT353),DT353)</f>
        <v>0</v>
      </c>
      <c r="DU355" s="28">
        <f>IF(DU352=1,IF(INDEX('Lease Cycles'!$EF$28:$EL$28,1,DU350)=1,DU353*INDEX('Lease Cycles'!$EM$28:$ES$28,1,DU350)+DU354*(1-INDEX('Lease Cycles'!$EM$28:$ES$28,1,DU350)),DU353),DU353)</f>
        <v>0</v>
      </c>
      <c r="DV355" s="28">
        <f>IF(DV352=1,IF(INDEX('Lease Cycles'!$EF$28:$EL$28,1,DV350)=1,DV353*INDEX('Lease Cycles'!$EM$28:$ES$28,1,DV350)+DV354*(1-INDEX('Lease Cycles'!$EM$28:$ES$28,1,DV350)),DV353),DV353)</f>
        <v>0</v>
      </c>
      <c r="DW355" s="28">
        <f>IF(DW352=1,IF(INDEX('Lease Cycles'!$EF$28:$EL$28,1,DW350)=1,DW353*INDEX('Lease Cycles'!$EM$28:$ES$28,1,DW350)+DW354*(1-INDEX('Lease Cycles'!$EM$28:$ES$28,1,DW350)),DW353),DW353)</f>
        <v>0</v>
      </c>
      <c r="DX355" s="28">
        <f>IF(DX352=1,IF(INDEX('Lease Cycles'!$EF$28:$EL$28,1,DX350)=1,DX353*INDEX('Lease Cycles'!$EM$28:$ES$28,1,DX350)+DX354*(1-INDEX('Lease Cycles'!$EM$28:$ES$28,1,DX350)),DX353),DX353)</f>
        <v>0</v>
      </c>
      <c r="DY355" s="28">
        <f>IF(DY352=1,IF(INDEX('Lease Cycles'!$EF$28:$EL$28,1,DY350)=1,DY353*INDEX('Lease Cycles'!$EM$28:$ES$28,1,DY350)+DY354*(1-INDEX('Lease Cycles'!$EM$28:$ES$28,1,DY350)),DY353),DY353)</f>
        <v>0</v>
      </c>
      <c r="DZ355" s="28">
        <f>IF(DZ352=1,IF(INDEX('Lease Cycles'!$EF$28:$EL$28,1,DZ350)=1,DZ353*INDEX('Lease Cycles'!$EM$28:$ES$28,1,DZ350)+DZ354*(1-INDEX('Lease Cycles'!$EM$28:$ES$28,1,DZ350)),DZ353),DZ353)</f>
        <v>0</v>
      </c>
      <c r="EA355" s="28">
        <f>IF(EA352=1,IF(INDEX('Lease Cycles'!$EF$28:$EL$28,1,EA350)=1,EA353*INDEX('Lease Cycles'!$EM$28:$ES$28,1,EA350)+EA354*(1-INDEX('Lease Cycles'!$EM$28:$ES$28,1,EA350)),EA353),EA353)</f>
        <v>0</v>
      </c>
      <c r="EB355" s="28">
        <f>IF(EB352=1,IF(INDEX('Lease Cycles'!$EF$28:$EL$28,1,EB350)=1,EB353*INDEX('Lease Cycles'!$EM$28:$ES$28,1,EB350)+EB354*(1-INDEX('Lease Cycles'!$EM$28:$ES$28,1,EB350)),EB353),EB353)</f>
        <v>0</v>
      </c>
      <c r="EC355" s="28">
        <f>IF(EC352=1,IF(INDEX('Lease Cycles'!$EF$28:$EL$28,1,EC350)=1,EC353*INDEX('Lease Cycles'!$EM$28:$ES$28,1,EC350)+EC354*(1-INDEX('Lease Cycles'!$EM$28:$ES$28,1,EC350)),EC353),EC353)</f>
        <v>0</v>
      </c>
      <c r="ED355" s="28">
        <f>IF(ED352=1,IF(INDEX('Lease Cycles'!$EF$28:$EL$28,1,ED350)=1,ED353*INDEX('Lease Cycles'!$EM$28:$ES$28,1,ED350)+ED354*(1-INDEX('Lease Cycles'!$EM$28:$ES$28,1,ED350)),ED353),ED353)</f>
        <v>0</v>
      </c>
      <c r="EE355" s="28">
        <f>IF(EE352=1,IF(INDEX('Lease Cycles'!$EF$28:$EL$28,1,EE350)=1,EE353*INDEX('Lease Cycles'!$EM$28:$ES$28,1,EE350)+EE354*(1-INDEX('Lease Cycles'!$EM$28:$ES$28,1,EE350)),EE353),EE353)</f>
        <v>0</v>
      </c>
      <c r="EF355" s="28">
        <f>IF(EF352=1,IF(INDEX('Lease Cycles'!$EF$28:$EL$28,1,EF350)=1,EF353*INDEX('Lease Cycles'!$EM$28:$ES$28,1,EF350)+EF354*(1-INDEX('Lease Cycles'!$EM$28:$ES$28,1,EF350)),EF353),EF353)</f>
        <v>0</v>
      </c>
      <c r="EG355" s="28">
        <f>IF(EG352=1,IF(INDEX('Lease Cycles'!$EF$28:$EL$28,1,EG350)=1,EG353*INDEX('Lease Cycles'!$EM$28:$ES$28,1,EG350)+EG354*(1-INDEX('Lease Cycles'!$EM$28:$ES$28,1,EG350)),EG353),EG353)</f>
        <v>0</v>
      </c>
      <c r="EH355" s="28">
        <f>IF(EH352=1,IF(INDEX('Lease Cycles'!$EF$28:$EL$28,1,EH350)=1,EH353*INDEX('Lease Cycles'!$EM$28:$ES$28,1,EH350)+EH354*(1-INDEX('Lease Cycles'!$EM$28:$ES$28,1,EH350)),EH353),EH353)</f>
        <v>0</v>
      </c>
      <c r="EI355" s="28">
        <f>IF(EI352=1,IF(INDEX('Lease Cycles'!$EF$28:$EL$28,1,EI350)=1,EI353*INDEX('Lease Cycles'!$EM$28:$ES$28,1,EI350)+EI354*(1-INDEX('Lease Cycles'!$EM$28:$ES$28,1,EI350)),EI353),EI353)</f>
        <v>0</v>
      </c>
      <c r="EJ355" s="28">
        <f>IF(EJ352=1,IF(INDEX('Lease Cycles'!$EF$28:$EL$28,1,EJ350)=1,EJ353*INDEX('Lease Cycles'!$EM$28:$ES$28,1,EJ350)+EJ354*(1-INDEX('Lease Cycles'!$EM$28:$ES$28,1,EJ350)),EJ353),EJ353)</f>
        <v>0</v>
      </c>
      <c r="EK355" s="28">
        <f>IF(EK352=1,IF(INDEX('Lease Cycles'!$EF$28:$EL$28,1,EK350)=1,EK353*INDEX('Lease Cycles'!$EM$28:$ES$28,1,EK350)+EK354*(1-INDEX('Lease Cycles'!$EM$28:$ES$28,1,EK350)),EK353),EK353)</f>
        <v>0</v>
      </c>
      <c r="EL355" s="28">
        <f>IF(EL352=1,IF(INDEX('Lease Cycles'!$EF$28:$EL$28,1,EL350)=1,EL353*INDEX('Lease Cycles'!$EM$28:$ES$28,1,EL350)+EL354*(1-INDEX('Lease Cycles'!$EM$28:$ES$28,1,EL350)),EL353),EL353)</f>
        <v>0</v>
      </c>
      <c r="EM355" s="28">
        <f>IF(EM352=1,IF(INDEX('Lease Cycles'!$EF$28:$EL$28,1,EM350)=1,EM353*INDEX('Lease Cycles'!$EM$28:$ES$28,1,EM350)+EM354*(1-INDEX('Lease Cycles'!$EM$28:$ES$28,1,EM350)),EM353),EM353)</f>
        <v>0</v>
      </c>
      <c r="EN355" s="28">
        <f>IF(EN352=1,IF(INDEX('Lease Cycles'!$EF$28:$EL$28,1,EN350)=1,EN353*INDEX('Lease Cycles'!$EM$28:$ES$28,1,EN350)+EN354*(1-INDEX('Lease Cycles'!$EM$28:$ES$28,1,EN350)),EN353),EN353)</f>
        <v>0</v>
      </c>
      <c r="EO355" s="28">
        <f>IF(EO352=1,IF(INDEX('Lease Cycles'!$EF$28:$EL$28,1,EO350)=1,EO353*INDEX('Lease Cycles'!$EM$28:$ES$28,1,EO350)+EO354*(1-INDEX('Lease Cycles'!$EM$28:$ES$28,1,EO350)),EO353),EO353)</f>
        <v>0</v>
      </c>
      <c r="EP355" s="28">
        <f>IF(EP352=1,IF(INDEX('Lease Cycles'!$EF$28:$EL$28,1,EP350)=1,EP353*INDEX('Lease Cycles'!$EM$28:$ES$28,1,EP350)+EP354*(1-INDEX('Lease Cycles'!$EM$28:$ES$28,1,EP350)),EP353),EP353)</f>
        <v>0</v>
      </c>
      <c r="EQ355" s="28">
        <f>IF(EQ352=1,IF(INDEX('Lease Cycles'!$EF$28:$EL$28,1,EQ350)=1,EQ353*INDEX('Lease Cycles'!$EM$28:$ES$28,1,EQ350)+EQ354*(1-INDEX('Lease Cycles'!$EM$28:$ES$28,1,EQ350)),EQ353),EQ353)</f>
        <v>0</v>
      </c>
      <c r="ER355" s="28">
        <f>IF(ER352=1,IF(INDEX('Lease Cycles'!$EF$28:$EL$28,1,ER350)=1,ER353*INDEX('Lease Cycles'!$EM$28:$ES$28,1,ER350)+ER354*(1-INDEX('Lease Cycles'!$EM$28:$ES$28,1,ER350)),ER353),ER353)</f>
        <v>0</v>
      </c>
      <c r="ES355" s="28">
        <f>IF(ES352=1,IF(INDEX('Lease Cycles'!$EF$28:$EL$28,1,ES350)=1,ES353*INDEX('Lease Cycles'!$EM$28:$ES$28,1,ES350)+ES354*(1-INDEX('Lease Cycles'!$EM$28:$ES$28,1,ES350)),ES353),ES353)</f>
        <v>0</v>
      </c>
      <c r="ET355" s="28">
        <f>IF(ET352=1,IF(INDEX('Lease Cycles'!$EF$28:$EL$28,1,ET350)=1,ET353*INDEX('Lease Cycles'!$EM$28:$ES$28,1,ET350)+ET354*(1-INDEX('Lease Cycles'!$EM$28:$ES$28,1,ET350)),ET353),ET353)</f>
        <v>0</v>
      </c>
    </row>
    <row r="356">
      <c r="A356" s="103">
        <v>21</v>
      </c>
      <c r="B356" s="23" t="str">
        <f>IF('Lease Cycles'!$B$28="","(empty slot)",'Lease Cycles'!$B$28)</f>
        <v>(empty slot)</v>
      </c>
      <c r="C356" s="23" t="s">
        <v>682</v>
      </c>
      <c r="D356" s="104" t="s">
        <v>495</v>
      </c>
      <c r="E356" s="25">
        <f>'Lease Cycles'!$AL$28</f>
        <v>0</v>
      </c>
      <c r="G356" s="28">
        <f>SUM(S356:AD356)</f>
        <v>0</v>
      </c>
      <c r="H356" s="28">
        <f>SUM(AE356:AP356)</f>
        <v>0</v>
      </c>
      <c r="I356" s="28">
        <f>SUM(AQ356:BB356)</f>
        <v>0</v>
      </c>
      <c r="J356" s="28">
        <f>SUM(BC356:BN356)</f>
        <v>0</v>
      </c>
      <c r="K356" s="28">
        <f>SUM(BO356:BZ356)</f>
        <v>0</v>
      </c>
      <c r="L356" s="28">
        <f>SUM(CA356:CL356)</f>
        <v>0</v>
      </c>
      <c r="M356" s="28">
        <f>SUM(CM356:CX356)</f>
        <v>0</v>
      </c>
      <c r="N356" s="28">
        <f>SUM(CY356:DJ356)</f>
        <v>0</v>
      </c>
      <c r="O356" s="28">
        <f>SUM(DK356:DV356)</f>
        <v>0</v>
      </c>
      <c r="P356" s="28">
        <f>SUM(DW356:EH356)</f>
        <v>0</v>
      </c>
      <c r="Q356" s="28">
        <f>SUM(EI356:ET356)</f>
        <v>0</v>
      </c>
      <c r="S356" s="28">
        <f>IF(S352=1,IF(INDEX('Lease Cycles'!$EF$28:$EL$28,1,S350)=1,S353*INDEX('Lease Cycles'!$EM$28:$ES$28,1,S350)+S354*IF(S351&lt;INDEX('Lease Cycles'!$FA$28:$FG$28,1,S350),0,1-INDEX('Lease Cycles'!$EM$28:$ES$28,1,S350)),S353*IF(S351&lt;INDEX('Lease Cycles'!$DK$28:$DQ$28,1,S350),0,IF(S351=INDEX('Lease Cycles'!$DK$28:$DQ$28,1,S350),1-INDEX('Lease Cycles'!$DR$28:$DX$28,1,S350),1))),0)</f>
        <v>0</v>
      </c>
      <c r="T356" s="28">
        <f>IF(T352=1,IF(INDEX('Lease Cycles'!$EF$28:$EL$28,1,T350)=1,T353*INDEX('Lease Cycles'!$EM$28:$ES$28,1,T350)+T354*IF(T351&lt;INDEX('Lease Cycles'!$FA$28:$FG$28,1,T350),0,1-INDEX('Lease Cycles'!$EM$28:$ES$28,1,T350)),T353*IF(T351&lt;INDEX('Lease Cycles'!$DK$28:$DQ$28,1,T350),0,IF(T351=INDEX('Lease Cycles'!$DK$28:$DQ$28,1,T350),1-INDEX('Lease Cycles'!$DR$28:$DX$28,1,T350),1))),0)</f>
        <v>0</v>
      </c>
      <c r="U356" s="28">
        <f>IF(U352=1,IF(INDEX('Lease Cycles'!$EF$28:$EL$28,1,U350)=1,U353*INDEX('Lease Cycles'!$EM$28:$ES$28,1,U350)+U354*IF(U351&lt;INDEX('Lease Cycles'!$FA$28:$FG$28,1,U350),0,1-INDEX('Lease Cycles'!$EM$28:$ES$28,1,U350)),U353*IF(U351&lt;INDEX('Lease Cycles'!$DK$28:$DQ$28,1,U350),0,IF(U351=INDEX('Lease Cycles'!$DK$28:$DQ$28,1,U350),1-INDEX('Lease Cycles'!$DR$28:$DX$28,1,U350),1))),0)</f>
        <v>0</v>
      </c>
      <c r="V356" s="28">
        <f>IF(V352=1,IF(INDEX('Lease Cycles'!$EF$28:$EL$28,1,V350)=1,V353*INDEX('Lease Cycles'!$EM$28:$ES$28,1,V350)+V354*IF(V351&lt;INDEX('Lease Cycles'!$FA$28:$FG$28,1,V350),0,1-INDEX('Lease Cycles'!$EM$28:$ES$28,1,V350)),V353*IF(V351&lt;INDEX('Lease Cycles'!$DK$28:$DQ$28,1,V350),0,IF(V351=INDEX('Lease Cycles'!$DK$28:$DQ$28,1,V350),1-INDEX('Lease Cycles'!$DR$28:$DX$28,1,V350),1))),0)</f>
        <v>0</v>
      </c>
      <c r="W356" s="28">
        <f>IF(W352=1,IF(INDEX('Lease Cycles'!$EF$28:$EL$28,1,W350)=1,W353*INDEX('Lease Cycles'!$EM$28:$ES$28,1,W350)+W354*IF(W351&lt;INDEX('Lease Cycles'!$FA$28:$FG$28,1,W350),0,1-INDEX('Lease Cycles'!$EM$28:$ES$28,1,W350)),W353*IF(W351&lt;INDEX('Lease Cycles'!$DK$28:$DQ$28,1,W350),0,IF(W351=INDEX('Lease Cycles'!$DK$28:$DQ$28,1,W350),1-INDEX('Lease Cycles'!$DR$28:$DX$28,1,W350),1))),0)</f>
        <v>0</v>
      </c>
      <c r="X356" s="28">
        <f>IF(X352=1,IF(INDEX('Lease Cycles'!$EF$28:$EL$28,1,X350)=1,X353*INDEX('Lease Cycles'!$EM$28:$ES$28,1,X350)+X354*IF(X351&lt;INDEX('Lease Cycles'!$FA$28:$FG$28,1,X350),0,1-INDEX('Lease Cycles'!$EM$28:$ES$28,1,X350)),X353*IF(X351&lt;INDEX('Lease Cycles'!$DK$28:$DQ$28,1,X350),0,IF(X351=INDEX('Lease Cycles'!$DK$28:$DQ$28,1,X350),1-INDEX('Lease Cycles'!$DR$28:$DX$28,1,X350),1))),0)</f>
        <v>0</v>
      </c>
      <c r="Y356" s="28">
        <f>IF(Y352=1,IF(INDEX('Lease Cycles'!$EF$28:$EL$28,1,Y350)=1,Y353*INDEX('Lease Cycles'!$EM$28:$ES$28,1,Y350)+Y354*IF(Y351&lt;INDEX('Lease Cycles'!$FA$28:$FG$28,1,Y350),0,1-INDEX('Lease Cycles'!$EM$28:$ES$28,1,Y350)),Y353*IF(Y351&lt;INDEX('Lease Cycles'!$DK$28:$DQ$28,1,Y350),0,IF(Y351=INDEX('Lease Cycles'!$DK$28:$DQ$28,1,Y350),1-INDEX('Lease Cycles'!$DR$28:$DX$28,1,Y350),1))),0)</f>
        <v>0</v>
      </c>
      <c r="Z356" s="28">
        <f>IF(Z352=1,IF(INDEX('Lease Cycles'!$EF$28:$EL$28,1,Z350)=1,Z353*INDEX('Lease Cycles'!$EM$28:$ES$28,1,Z350)+Z354*IF(Z351&lt;INDEX('Lease Cycles'!$FA$28:$FG$28,1,Z350),0,1-INDEX('Lease Cycles'!$EM$28:$ES$28,1,Z350)),Z353*IF(Z351&lt;INDEX('Lease Cycles'!$DK$28:$DQ$28,1,Z350),0,IF(Z351=INDEX('Lease Cycles'!$DK$28:$DQ$28,1,Z350),1-INDEX('Lease Cycles'!$DR$28:$DX$28,1,Z350),1))),0)</f>
        <v>0</v>
      </c>
      <c r="AA356" s="28">
        <f>IF(AA352=1,IF(INDEX('Lease Cycles'!$EF$28:$EL$28,1,AA350)=1,AA353*INDEX('Lease Cycles'!$EM$28:$ES$28,1,AA350)+AA354*IF(AA351&lt;INDEX('Lease Cycles'!$FA$28:$FG$28,1,AA350),0,1-INDEX('Lease Cycles'!$EM$28:$ES$28,1,AA350)),AA353*IF(AA351&lt;INDEX('Lease Cycles'!$DK$28:$DQ$28,1,AA350),0,IF(AA351=INDEX('Lease Cycles'!$DK$28:$DQ$28,1,AA350),1-INDEX('Lease Cycles'!$DR$28:$DX$28,1,AA350),1))),0)</f>
        <v>0</v>
      </c>
      <c r="AB356" s="28">
        <f>IF(AB352=1,IF(INDEX('Lease Cycles'!$EF$28:$EL$28,1,AB350)=1,AB353*INDEX('Lease Cycles'!$EM$28:$ES$28,1,AB350)+AB354*IF(AB351&lt;INDEX('Lease Cycles'!$FA$28:$FG$28,1,AB350),0,1-INDEX('Lease Cycles'!$EM$28:$ES$28,1,AB350)),AB353*IF(AB351&lt;INDEX('Lease Cycles'!$DK$28:$DQ$28,1,AB350),0,IF(AB351=INDEX('Lease Cycles'!$DK$28:$DQ$28,1,AB350),1-INDEX('Lease Cycles'!$DR$28:$DX$28,1,AB350),1))),0)</f>
        <v>0</v>
      </c>
      <c r="AC356" s="28">
        <f>IF(AC352=1,IF(INDEX('Lease Cycles'!$EF$28:$EL$28,1,AC350)=1,AC353*INDEX('Lease Cycles'!$EM$28:$ES$28,1,AC350)+AC354*IF(AC351&lt;INDEX('Lease Cycles'!$FA$28:$FG$28,1,AC350),0,1-INDEX('Lease Cycles'!$EM$28:$ES$28,1,AC350)),AC353*IF(AC351&lt;INDEX('Lease Cycles'!$DK$28:$DQ$28,1,AC350),0,IF(AC351=INDEX('Lease Cycles'!$DK$28:$DQ$28,1,AC350),1-INDEX('Lease Cycles'!$DR$28:$DX$28,1,AC350),1))),0)</f>
        <v>0</v>
      </c>
      <c r="AD356" s="28">
        <f>IF(AD352=1,IF(INDEX('Lease Cycles'!$EF$28:$EL$28,1,AD350)=1,AD353*INDEX('Lease Cycles'!$EM$28:$ES$28,1,AD350)+AD354*IF(AD351&lt;INDEX('Lease Cycles'!$FA$28:$FG$28,1,AD350),0,1-INDEX('Lease Cycles'!$EM$28:$ES$28,1,AD350)),AD353*IF(AD351&lt;INDEX('Lease Cycles'!$DK$28:$DQ$28,1,AD350),0,IF(AD351=INDEX('Lease Cycles'!$DK$28:$DQ$28,1,AD350),1-INDEX('Lease Cycles'!$DR$28:$DX$28,1,AD350),1))),0)</f>
        <v>0</v>
      </c>
      <c r="AE356" s="28">
        <f>IF(AE352=1,IF(INDEX('Lease Cycles'!$EF$28:$EL$28,1,AE350)=1,AE353*INDEX('Lease Cycles'!$EM$28:$ES$28,1,AE350)+AE354*IF(AE351&lt;INDEX('Lease Cycles'!$FA$28:$FG$28,1,AE350),0,1-INDEX('Lease Cycles'!$EM$28:$ES$28,1,AE350)),AE353*IF(AE351&lt;INDEX('Lease Cycles'!$DK$28:$DQ$28,1,AE350),0,IF(AE351=INDEX('Lease Cycles'!$DK$28:$DQ$28,1,AE350),1-INDEX('Lease Cycles'!$DR$28:$DX$28,1,AE350),1))),0)</f>
        <v>0</v>
      </c>
      <c r="AF356" s="28">
        <f>IF(AF352=1,IF(INDEX('Lease Cycles'!$EF$28:$EL$28,1,AF350)=1,AF353*INDEX('Lease Cycles'!$EM$28:$ES$28,1,AF350)+AF354*IF(AF351&lt;INDEX('Lease Cycles'!$FA$28:$FG$28,1,AF350),0,1-INDEX('Lease Cycles'!$EM$28:$ES$28,1,AF350)),AF353*IF(AF351&lt;INDEX('Lease Cycles'!$DK$28:$DQ$28,1,AF350),0,IF(AF351=INDEX('Lease Cycles'!$DK$28:$DQ$28,1,AF350),1-INDEX('Lease Cycles'!$DR$28:$DX$28,1,AF350),1))),0)</f>
        <v>0</v>
      </c>
      <c r="AG356" s="28">
        <f>IF(AG352=1,IF(INDEX('Lease Cycles'!$EF$28:$EL$28,1,AG350)=1,AG353*INDEX('Lease Cycles'!$EM$28:$ES$28,1,AG350)+AG354*IF(AG351&lt;INDEX('Lease Cycles'!$FA$28:$FG$28,1,AG350),0,1-INDEX('Lease Cycles'!$EM$28:$ES$28,1,AG350)),AG353*IF(AG351&lt;INDEX('Lease Cycles'!$DK$28:$DQ$28,1,AG350),0,IF(AG351=INDEX('Lease Cycles'!$DK$28:$DQ$28,1,AG350),1-INDEX('Lease Cycles'!$DR$28:$DX$28,1,AG350),1))),0)</f>
        <v>0</v>
      </c>
      <c r="AH356" s="28">
        <f>IF(AH352=1,IF(INDEX('Lease Cycles'!$EF$28:$EL$28,1,AH350)=1,AH353*INDEX('Lease Cycles'!$EM$28:$ES$28,1,AH350)+AH354*IF(AH351&lt;INDEX('Lease Cycles'!$FA$28:$FG$28,1,AH350),0,1-INDEX('Lease Cycles'!$EM$28:$ES$28,1,AH350)),AH353*IF(AH351&lt;INDEX('Lease Cycles'!$DK$28:$DQ$28,1,AH350),0,IF(AH351=INDEX('Lease Cycles'!$DK$28:$DQ$28,1,AH350),1-INDEX('Lease Cycles'!$DR$28:$DX$28,1,AH350),1))),0)</f>
        <v>0</v>
      </c>
      <c r="AI356" s="28">
        <f>IF(AI352=1,IF(INDEX('Lease Cycles'!$EF$28:$EL$28,1,AI350)=1,AI353*INDEX('Lease Cycles'!$EM$28:$ES$28,1,AI350)+AI354*IF(AI351&lt;INDEX('Lease Cycles'!$FA$28:$FG$28,1,AI350),0,1-INDEX('Lease Cycles'!$EM$28:$ES$28,1,AI350)),AI353*IF(AI351&lt;INDEX('Lease Cycles'!$DK$28:$DQ$28,1,AI350),0,IF(AI351=INDEX('Lease Cycles'!$DK$28:$DQ$28,1,AI350),1-INDEX('Lease Cycles'!$DR$28:$DX$28,1,AI350),1))),0)</f>
        <v>0</v>
      </c>
      <c r="AJ356" s="28">
        <f>IF(AJ352=1,IF(INDEX('Lease Cycles'!$EF$28:$EL$28,1,AJ350)=1,AJ353*INDEX('Lease Cycles'!$EM$28:$ES$28,1,AJ350)+AJ354*IF(AJ351&lt;INDEX('Lease Cycles'!$FA$28:$FG$28,1,AJ350),0,1-INDEX('Lease Cycles'!$EM$28:$ES$28,1,AJ350)),AJ353*IF(AJ351&lt;INDEX('Lease Cycles'!$DK$28:$DQ$28,1,AJ350),0,IF(AJ351=INDEX('Lease Cycles'!$DK$28:$DQ$28,1,AJ350),1-INDEX('Lease Cycles'!$DR$28:$DX$28,1,AJ350),1))),0)</f>
        <v>0</v>
      </c>
      <c r="AK356" s="28">
        <f>IF(AK352=1,IF(INDEX('Lease Cycles'!$EF$28:$EL$28,1,AK350)=1,AK353*INDEX('Lease Cycles'!$EM$28:$ES$28,1,AK350)+AK354*IF(AK351&lt;INDEX('Lease Cycles'!$FA$28:$FG$28,1,AK350),0,1-INDEX('Lease Cycles'!$EM$28:$ES$28,1,AK350)),AK353*IF(AK351&lt;INDEX('Lease Cycles'!$DK$28:$DQ$28,1,AK350),0,IF(AK351=INDEX('Lease Cycles'!$DK$28:$DQ$28,1,AK350),1-INDEX('Lease Cycles'!$DR$28:$DX$28,1,AK350),1))),0)</f>
        <v>0</v>
      </c>
      <c r="AL356" s="28">
        <f>IF(AL352=1,IF(INDEX('Lease Cycles'!$EF$28:$EL$28,1,AL350)=1,AL353*INDEX('Lease Cycles'!$EM$28:$ES$28,1,AL350)+AL354*IF(AL351&lt;INDEX('Lease Cycles'!$FA$28:$FG$28,1,AL350),0,1-INDEX('Lease Cycles'!$EM$28:$ES$28,1,AL350)),AL353*IF(AL351&lt;INDEX('Lease Cycles'!$DK$28:$DQ$28,1,AL350),0,IF(AL351=INDEX('Lease Cycles'!$DK$28:$DQ$28,1,AL350),1-INDEX('Lease Cycles'!$DR$28:$DX$28,1,AL350),1))),0)</f>
        <v>0</v>
      </c>
      <c r="AM356" s="28">
        <f>IF(AM352=1,IF(INDEX('Lease Cycles'!$EF$28:$EL$28,1,AM350)=1,AM353*INDEX('Lease Cycles'!$EM$28:$ES$28,1,AM350)+AM354*IF(AM351&lt;INDEX('Lease Cycles'!$FA$28:$FG$28,1,AM350),0,1-INDEX('Lease Cycles'!$EM$28:$ES$28,1,AM350)),AM353*IF(AM351&lt;INDEX('Lease Cycles'!$DK$28:$DQ$28,1,AM350),0,IF(AM351=INDEX('Lease Cycles'!$DK$28:$DQ$28,1,AM350),1-INDEX('Lease Cycles'!$DR$28:$DX$28,1,AM350),1))),0)</f>
        <v>0</v>
      </c>
      <c r="AN356" s="28">
        <f>IF(AN352=1,IF(INDEX('Lease Cycles'!$EF$28:$EL$28,1,AN350)=1,AN353*INDEX('Lease Cycles'!$EM$28:$ES$28,1,AN350)+AN354*IF(AN351&lt;INDEX('Lease Cycles'!$FA$28:$FG$28,1,AN350),0,1-INDEX('Lease Cycles'!$EM$28:$ES$28,1,AN350)),AN353*IF(AN351&lt;INDEX('Lease Cycles'!$DK$28:$DQ$28,1,AN350),0,IF(AN351=INDEX('Lease Cycles'!$DK$28:$DQ$28,1,AN350),1-INDEX('Lease Cycles'!$DR$28:$DX$28,1,AN350),1))),0)</f>
        <v>0</v>
      </c>
      <c r="AO356" s="28">
        <f>IF(AO352=1,IF(INDEX('Lease Cycles'!$EF$28:$EL$28,1,AO350)=1,AO353*INDEX('Lease Cycles'!$EM$28:$ES$28,1,AO350)+AO354*IF(AO351&lt;INDEX('Lease Cycles'!$FA$28:$FG$28,1,AO350),0,1-INDEX('Lease Cycles'!$EM$28:$ES$28,1,AO350)),AO353*IF(AO351&lt;INDEX('Lease Cycles'!$DK$28:$DQ$28,1,AO350),0,IF(AO351=INDEX('Lease Cycles'!$DK$28:$DQ$28,1,AO350),1-INDEX('Lease Cycles'!$DR$28:$DX$28,1,AO350),1))),0)</f>
        <v>0</v>
      </c>
      <c r="AP356" s="28">
        <f>IF(AP352=1,IF(INDEX('Lease Cycles'!$EF$28:$EL$28,1,AP350)=1,AP353*INDEX('Lease Cycles'!$EM$28:$ES$28,1,AP350)+AP354*IF(AP351&lt;INDEX('Lease Cycles'!$FA$28:$FG$28,1,AP350),0,1-INDEX('Lease Cycles'!$EM$28:$ES$28,1,AP350)),AP353*IF(AP351&lt;INDEX('Lease Cycles'!$DK$28:$DQ$28,1,AP350),0,IF(AP351=INDEX('Lease Cycles'!$DK$28:$DQ$28,1,AP350),1-INDEX('Lease Cycles'!$DR$28:$DX$28,1,AP350),1))),0)</f>
        <v>0</v>
      </c>
      <c r="AQ356" s="28">
        <f>IF(AQ352=1,IF(INDEX('Lease Cycles'!$EF$28:$EL$28,1,AQ350)=1,AQ353*INDEX('Lease Cycles'!$EM$28:$ES$28,1,AQ350)+AQ354*IF(AQ351&lt;INDEX('Lease Cycles'!$FA$28:$FG$28,1,AQ350),0,1-INDEX('Lease Cycles'!$EM$28:$ES$28,1,AQ350)),AQ353*IF(AQ351&lt;INDEX('Lease Cycles'!$DK$28:$DQ$28,1,AQ350),0,IF(AQ351=INDEX('Lease Cycles'!$DK$28:$DQ$28,1,AQ350),1-INDEX('Lease Cycles'!$DR$28:$DX$28,1,AQ350),1))),0)</f>
        <v>0</v>
      </c>
      <c r="AR356" s="28">
        <f>IF(AR352=1,IF(INDEX('Lease Cycles'!$EF$28:$EL$28,1,AR350)=1,AR353*INDEX('Lease Cycles'!$EM$28:$ES$28,1,AR350)+AR354*IF(AR351&lt;INDEX('Lease Cycles'!$FA$28:$FG$28,1,AR350),0,1-INDEX('Lease Cycles'!$EM$28:$ES$28,1,AR350)),AR353*IF(AR351&lt;INDEX('Lease Cycles'!$DK$28:$DQ$28,1,AR350),0,IF(AR351=INDEX('Lease Cycles'!$DK$28:$DQ$28,1,AR350),1-INDEX('Lease Cycles'!$DR$28:$DX$28,1,AR350),1))),0)</f>
        <v>0</v>
      </c>
      <c r="AS356" s="28">
        <f>IF(AS352=1,IF(INDEX('Lease Cycles'!$EF$28:$EL$28,1,AS350)=1,AS353*INDEX('Lease Cycles'!$EM$28:$ES$28,1,AS350)+AS354*IF(AS351&lt;INDEX('Lease Cycles'!$FA$28:$FG$28,1,AS350),0,1-INDEX('Lease Cycles'!$EM$28:$ES$28,1,AS350)),AS353*IF(AS351&lt;INDEX('Lease Cycles'!$DK$28:$DQ$28,1,AS350),0,IF(AS351=INDEX('Lease Cycles'!$DK$28:$DQ$28,1,AS350),1-INDEX('Lease Cycles'!$DR$28:$DX$28,1,AS350),1))),0)</f>
        <v>0</v>
      </c>
      <c r="AT356" s="28">
        <f>IF(AT352=1,IF(INDEX('Lease Cycles'!$EF$28:$EL$28,1,AT350)=1,AT353*INDEX('Lease Cycles'!$EM$28:$ES$28,1,AT350)+AT354*IF(AT351&lt;INDEX('Lease Cycles'!$FA$28:$FG$28,1,AT350),0,1-INDEX('Lease Cycles'!$EM$28:$ES$28,1,AT350)),AT353*IF(AT351&lt;INDEX('Lease Cycles'!$DK$28:$DQ$28,1,AT350),0,IF(AT351=INDEX('Lease Cycles'!$DK$28:$DQ$28,1,AT350),1-INDEX('Lease Cycles'!$DR$28:$DX$28,1,AT350),1))),0)</f>
        <v>0</v>
      </c>
      <c r="AU356" s="28">
        <f>IF(AU352=1,IF(INDEX('Lease Cycles'!$EF$28:$EL$28,1,AU350)=1,AU353*INDEX('Lease Cycles'!$EM$28:$ES$28,1,AU350)+AU354*IF(AU351&lt;INDEX('Lease Cycles'!$FA$28:$FG$28,1,AU350),0,1-INDEX('Lease Cycles'!$EM$28:$ES$28,1,AU350)),AU353*IF(AU351&lt;INDEX('Lease Cycles'!$DK$28:$DQ$28,1,AU350),0,IF(AU351=INDEX('Lease Cycles'!$DK$28:$DQ$28,1,AU350),1-INDEX('Lease Cycles'!$DR$28:$DX$28,1,AU350),1))),0)</f>
        <v>0</v>
      </c>
      <c r="AV356" s="28">
        <f>IF(AV352=1,IF(INDEX('Lease Cycles'!$EF$28:$EL$28,1,AV350)=1,AV353*INDEX('Lease Cycles'!$EM$28:$ES$28,1,AV350)+AV354*IF(AV351&lt;INDEX('Lease Cycles'!$FA$28:$FG$28,1,AV350),0,1-INDEX('Lease Cycles'!$EM$28:$ES$28,1,AV350)),AV353*IF(AV351&lt;INDEX('Lease Cycles'!$DK$28:$DQ$28,1,AV350),0,IF(AV351=INDEX('Lease Cycles'!$DK$28:$DQ$28,1,AV350),1-INDEX('Lease Cycles'!$DR$28:$DX$28,1,AV350),1))),0)</f>
        <v>0</v>
      </c>
      <c r="AW356" s="28">
        <f>IF(AW352=1,IF(INDEX('Lease Cycles'!$EF$28:$EL$28,1,AW350)=1,AW353*INDEX('Lease Cycles'!$EM$28:$ES$28,1,AW350)+AW354*IF(AW351&lt;INDEX('Lease Cycles'!$FA$28:$FG$28,1,AW350),0,1-INDEX('Lease Cycles'!$EM$28:$ES$28,1,AW350)),AW353*IF(AW351&lt;INDEX('Lease Cycles'!$DK$28:$DQ$28,1,AW350),0,IF(AW351=INDEX('Lease Cycles'!$DK$28:$DQ$28,1,AW350),1-INDEX('Lease Cycles'!$DR$28:$DX$28,1,AW350),1))),0)</f>
        <v>0</v>
      </c>
      <c r="AX356" s="28">
        <f>IF(AX352=1,IF(INDEX('Lease Cycles'!$EF$28:$EL$28,1,AX350)=1,AX353*INDEX('Lease Cycles'!$EM$28:$ES$28,1,AX350)+AX354*IF(AX351&lt;INDEX('Lease Cycles'!$FA$28:$FG$28,1,AX350),0,1-INDEX('Lease Cycles'!$EM$28:$ES$28,1,AX350)),AX353*IF(AX351&lt;INDEX('Lease Cycles'!$DK$28:$DQ$28,1,AX350),0,IF(AX351=INDEX('Lease Cycles'!$DK$28:$DQ$28,1,AX350),1-INDEX('Lease Cycles'!$DR$28:$DX$28,1,AX350),1))),0)</f>
        <v>0</v>
      </c>
      <c r="AY356" s="28">
        <f>IF(AY352=1,IF(INDEX('Lease Cycles'!$EF$28:$EL$28,1,AY350)=1,AY353*INDEX('Lease Cycles'!$EM$28:$ES$28,1,AY350)+AY354*IF(AY351&lt;INDEX('Lease Cycles'!$FA$28:$FG$28,1,AY350),0,1-INDEX('Lease Cycles'!$EM$28:$ES$28,1,AY350)),AY353*IF(AY351&lt;INDEX('Lease Cycles'!$DK$28:$DQ$28,1,AY350),0,IF(AY351=INDEX('Lease Cycles'!$DK$28:$DQ$28,1,AY350),1-INDEX('Lease Cycles'!$DR$28:$DX$28,1,AY350),1))),0)</f>
        <v>0</v>
      </c>
      <c r="AZ356" s="28">
        <f>IF(AZ352=1,IF(INDEX('Lease Cycles'!$EF$28:$EL$28,1,AZ350)=1,AZ353*INDEX('Lease Cycles'!$EM$28:$ES$28,1,AZ350)+AZ354*IF(AZ351&lt;INDEX('Lease Cycles'!$FA$28:$FG$28,1,AZ350),0,1-INDEX('Lease Cycles'!$EM$28:$ES$28,1,AZ350)),AZ353*IF(AZ351&lt;INDEX('Lease Cycles'!$DK$28:$DQ$28,1,AZ350),0,IF(AZ351=INDEX('Lease Cycles'!$DK$28:$DQ$28,1,AZ350),1-INDEX('Lease Cycles'!$DR$28:$DX$28,1,AZ350),1))),0)</f>
        <v>0</v>
      </c>
      <c r="BA356" s="28">
        <f>IF(BA352=1,IF(INDEX('Lease Cycles'!$EF$28:$EL$28,1,BA350)=1,BA353*INDEX('Lease Cycles'!$EM$28:$ES$28,1,BA350)+BA354*IF(BA351&lt;INDEX('Lease Cycles'!$FA$28:$FG$28,1,BA350),0,1-INDEX('Lease Cycles'!$EM$28:$ES$28,1,BA350)),BA353*IF(BA351&lt;INDEX('Lease Cycles'!$DK$28:$DQ$28,1,BA350),0,IF(BA351=INDEX('Lease Cycles'!$DK$28:$DQ$28,1,BA350),1-INDEX('Lease Cycles'!$DR$28:$DX$28,1,BA350),1))),0)</f>
        <v>0</v>
      </c>
      <c r="BB356" s="28">
        <f>IF(BB352=1,IF(INDEX('Lease Cycles'!$EF$28:$EL$28,1,BB350)=1,BB353*INDEX('Lease Cycles'!$EM$28:$ES$28,1,BB350)+BB354*IF(BB351&lt;INDEX('Lease Cycles'!$FA$28:$FG$28,1,BB350),0,1-INDEX('Lease Cycles'!$EM$28:$ES$28,1,BB350)),BB353*IF(BB351&lt;INDEX('Lease Cycles'!$DK$28:$DQ$28,1,BB350),0,IF(BB351=INDEX('Lease Cycles'!$DK$28:$DQ$28,1,BB350),1-INDEX('Lease Cycles'!$DR$28:$DX$28,1,BB350),1))),0)</f>
        <v>0</v>
      </c>
      <c r="BC356" s="28">
        <f>IF(BC352=1,IF(INDEX('Lease Cycles'!$EF$28:$EL$28,1,BC350)=1,BC353*INDEX('Lease Cycles'!$EM$28:$ES$28,1,BC350)+BC354*IF(BC351&lt;INDEX('Lease Cycles'!$FA$28:$FG$28,1,BC350),0,1-INDEX('Lease Cycles'!$EM$28:$ES$28,1,BC350)),BC353*IF(BC351&lt;INDEX('Lease Cycles'!$DK$28:$DQ$28,1,BC350),0,IF(BC351=INDEX('Lease Cycles'!$DK$28:$DQ$28,1,BC350),1-INDEX('Lease Cycles'!$DR$28:$DX$28,1,BC350),1))),0)</f>
        <v>0</v>
      </c>
      <c r="BD356" s="28">
        <f>IF(BD352=1,IF(INDEX('Lease Cycles'!$EF$28:$EL$28,1,BD350)=1,BD353*INDEX('Lease Cycles'!$EM$28:$ES$28,1,BD350)+BD354*IF(BD351&lt;INDEX('Lease Cycles'!$FA$28:$FG$28,1,BD350),0,1-INDEX('Lease Cycles'!$EM$28:$ES$28,1,BD350)),BD353*IF(BD351&lt;INDEX('Lease Cycles'!$DK$28:$DQ$28,1,BD350),0,IF(BD351=INDEX('Lease Cycles'!$DK$28:$DQ$28,1,BD350),1-INDEX('Lease Cycles'!$DR$28:$DX$28,1,BD350),1))),0)</f>
        <v>0</v>
      </c>
      <c r="BE356" s="28">
        <f>IF(BE352=1,IF(INDEX('Lease Cycles'!$EF$28:$EL$28,1,BE350)=1,BE353*INDEX('Lease Cycles'!$EM$28:$ES$28,1,BE350)+BE354*IF(BE351&lt;INDEX('Lease Cycles'!$FA$28:$FG$28,1,BE350),0,1-INDEX('Lease Cycles'!$EM$28:$ES$28,1,BE350)),BE353*IF(BE351&lt;INDEX('Lease Cycles'!$DK$28:$DQ$28,1,BE350),0,IF(BE351=INDEX('Lease Cycles'!$DK$28:$DQ$28,1,BE350),1-INDEX('Lease Cycles'!$DR$28:$DX$28,1,BE350),1))),0)</f>
        <v>0</v>
      </c>
      <c r="BF356" s="28">
        <f>IF(BF352=1,IF(INDEX('Lease Cycles'!$EF$28:$EL$28,1,BF350)=1,BF353*INDEX('Lease Cycles'!$EM$28:$ES$28,1,BF350)+BF354*IF(BF351&lt;INDEX('Lease Cycles'!$FA$28:$FG$28,1,BF350),0,1-INDEX('Lease Cycles'!$EM$28:$ES$28,1,BF350)),BF353*IF(BF351&lt;INDEX('Lease Cycles'!$DK$28:$DQ$28,1,BF350),0,IF(BF351=INDEX('Lease Cycles'!$DK$28:$DQ$28,1,BF350),1-INDEX('Lease Cycles'!$DR$28:$DX$28,1,BF350),1))),0)</f>
        <v>0</v>
      </c>
      <c r="BG356" s="28">
        <f>IF(BG352=1,IF(INDEX('Lease Cycles'!$EF$28:$EL$28,1,BG350)=1,BG353*INDEX('Lease Cycles'!$EM$28:$ES$28,1,BG350)+BG354*IF(BG351&lt;INDEX('Lease Cycles'!$FA$28:$FG$28,1,BG350),0,1-INDEX('Lease Cycles'!$EM$28:$ES$28,1,BG350)),BG353*IF(BG351&lt;INDEX('Lease Cycles'!$DK$28:$DQ$28,1,BG350),0,IF(BG351=INDEX('Lease Cycles'!$DK$28:$DQ$28,1,BG350),1-INDEX('Lease Cycles'!$DR$28:$DX$28,1,BG350),1))),0)</f>
        <v>0</v>
      </c>
      <c r="BH356" s="28">
        <f>IF(BH352=1,IF(INDEX('Lease Cycles'!$EF$28:$EL$28,1,BH350)=1,BH353*INDEX('Lease Cycles'!$EM$28:$ES$28,1,BH350)+BH354*IF(BH351&lt;INDEX('Lease Cycles'!$FA$28:$FG$28,1,BH350),0,1-INDEX('Lease Cycles'!$EM$28:$ES$28,1,BH350)),BH353*IF(BH351&lt;INDEX('Lease Cycles'!$DK$28:$DQ$28,1,BH350),0,IF(BH351=INDEX('Lease Cycles'!$DK$28:$DQ$28,1,BH350),1-INDEX('Lease Cycles'!$DR$28:$DX$28,1,BH350),1))),0)</f>
        <v>0</v>
      </c>
      <c r="BI356" s="28">
        <f>IF(BI352=1,IF(INDEX('Lease Cycles'!$EF$28:$EL$28,1,BI350)=1,BI353*INDEX('Lease Cycles'!$EM$28:$ES$28,1,BI350)+BI354*IF(BI351&lt;INDEX('Lease Cycles'!$FA$28:$FG$28,1,BI350),0,1-INDEX('Lease Cycles'!$EM$28:$ES$28,1,BI350)),BI353*IF(BI351&lt;INDEX('Lease Cycles'!$DK$28:$DQ$28,1,BI350),0,IF(BI351=INDEX('Lease Cycles'!$DK$28:$DQ$28,1,BI350),1-INDEX('Lease Cycles'!$DR$28:$DX$28,1,BI350),1))),0)</f>
        <v>0</v>
      </c>
      <c r="BJ356" s="28">
        <f>IF(BJ352=1,IF(INDEX('Lease Cycles'!$EF$28:$EL$28,1,BJ350)=1,BJ353*INDEX('Lease Cycles'!$EM$28:$ES$28,1,BJ350)+BJ354*IF(BJ351&lt;INDEX('Lease Cycles'!$FA$28:$FG$28,1,BJ350),0,1-INDEX('Lease Cycles'!$EM$28:$ES$28,1,BJ350)),BJ353*IF(BJ351&lt;INDEX('Lease Cycles'!$DK$28:$DQ$28,1,BJ350),0,IF(BJ351=INDEX('Lease Cycles'!$DK$28:$DQ$28,1,BJ350),1-INDEX('Lease Cycles'!$DR$28:$DX$28,1,BJ350),1))),0)</f>
        <v>0</v>
      </c>
      <c r="BK356" s="28">
        <f>IF(BK352=1,IF(INDEX('Lease Cycles'!$EF$28:$EL$28,1,BK350)=1,BK353*INDEX('Lease Cycles'!$EM$28:$ES$28,1,BK350)+BK354*IF(BK351&lt;INDEX('Lease Cycles'!$FA$28:$FG$28,1,BK350),0,1-INDEX('Lease Cycles'!$EM$28:$ES$28,1,BK350)),BK353*IF(BK351&lt;INDEX('Lease Cycles'!$DK$28:$DQ$28,1,BK350),0,IF(BK351=INDEX('Lease Cycles'!$DK$28:$DQ$28,1,BK350),1-INDEX('Lease Cycles'!$DR$28:$DX$28,1,BK350),1))),0)</f>
        <v>0</v>
      </c>
      <c r="BL356" s="28">
        <f>IF(BL352=1,IF(INDEX('Lease Cycles'!$EF$28:$EL$28,1,BL350)=1,BL353*INDEX('Lease Cycles'!$EM$28:$ES$28,1,BL350)+BL354*IF(BL351&lt;INDEX('Lease Cycles'!$FA$28:$FG$28,1,BL350),0,1-INDEX('Lease Cycles'!$EM$28:$ES$28,1,BL350)),BL353*IF(BL351&lt;INDEX('Lease Cycles'!$DK$28:$DQ$28,1,BL350),0,IF(BL351=INDEX('Lease Cycles'!$DK$28:$DQ$28,1,BL350),1-INDEX('Lease Cycles'!$DR$28:$DX$28,1,BL350),1))),0)</f>
        <v>0</v>
      </c>
      <c r="BM356" s="28">
        <f>IF(BM352=1,IF(INDEX('Lease Cycles'!$EF$28:$EL$28,1,BM350)=1,BM353*INDEX('Lease Cycles'!$EM$28:$ES$28,1,BM350)+BM354*IF(BM351&lt;INDEX('Lease Cycles'!$FA$28:$FG$28,1,BM350),0,1-INDEX('Lease Cycles'!$EM$28:$ES$28,1,BM350)),BM353*IF(BM351&lt;INDEX('Lease Cycles'!$DK$28:$DQ$28,1,BM350),0,IF(BM351=INDEX('Lease Cycles'!$DK$28:$DQ$28,1,BM350),1-INDEX('Lease Cycles'!$DR$28:$DX$28,1,BM350),1))),0)</f>
        <v>0</v>
      </c>
      <c r="BN356" s="28">
        <f>IF(BN352=1,IF(INDEX('Lease Cycles'!$EF$28:$EL$28,1,BN350)=1,BN353*INDEX('Lease Cycles'!$EM$28:$ES$28,1,BN350)+BN354*IF(BN351&lt;INDEX('Lease Cycles'!$FA$28:$FG$28,1,BN350),0,1-INDEX('Lease Cycles'!$EM$28:$ES$28,1,BN350)),BN353*IF(BN351&lt;INDEX('Lease Cycles'!$DK$28:$DQ$28,1,BN350),0,IF(BN351=INDEX('Lease Cycles'!$DK$28:$DQ$28,1,BN350),1-INDEX('Lease Cycles'!$DR$28:$DX$28,1,BN350),1))),0)</f>
        <v>0</v>
      </c>
      <c r="BO356" s="28">
        <f>IF(BO352=1,IF(INDEX('Lease Cycles'!$EF$28:$EL$28,1,BO350)=1,BO353*INDEX('Lease Cycles'!$EM$28:$ES$28,1,BO350)+BO354*IF(BO351&lt;INDEX('Lease Cycles'!$FA$28:$FG$28,1,BO350),0,1-INDEX('Lease Cycles'!$EM$28:$ES$28,1,BO350)),BO353*IF(BO351&lt;INDEX('Lease Cycles'!$DK$28:$DQ$28,1,BO350),0,IF(BO351=INDEX('Lease Cycles'!$DK$28:$DQ$28,1,BO350),1-INDEX('Lease Cycles'!$DR$28:$DX$28,1,BO350),1))),0)</f>
        <v>0</v>
      </c>
      <c r="BP356" s="28">
        <f>IF(BP352=1,IF(INDEX('Lease Cycles'!$EF$28:$EL$28,1,BP350)=1,BP353*INDEX('Lease Cycles'!$EM$28:$ES$28,1,BP350)+BP354*IF(BP351&lt;INDEX('Lease Cycles'!$FA$28:$FG$28,1,BP350),0,1-INDEX('Lease Cycles'!$EM$28:$ES$28,1,BP350)),BP353*IF(BP351&lt;INDEX('Lease Cycles'!$DK$28:$DQ$28,1,BP350),0,IF(BP351=INDEX('Lease Cycles'!$DK$28:$DQ$28,1,BP350),1-INDEX('Lease Cycles'!$DR$28:$DX$28,1,BP350),1))),0)</f>
        <v>0</v>
      </c>
      <c r="BQ356" s="28">
        <f>IF(BQ352=1,IF(INDEX('Lease Cycles'!$EF$28:$EL$28,1,BQ350)=1,BQ353*INDEX('Lease Cycles'!$EM$28:$ES$28,1,BQ350)+BQ354*IF(BQ351&lt;INDEX('Lease Cycles'!$FA$28:$FG$28,1,BQ350),0,1-INDEX('Lease Cycles'!$EM$28:$ES$28,1,BQ350)),BQ353*IF(BQ351&lt;INDEX('Lease Cycles'!$DK$28:$DQ$28,1,BQ350),0,IF(BQ351=INDEX('Lease Cycles'!$DK$28:$DQ$28,1,BQ350),1-INDEX('Lease Cycles'!$DR$28:$DX$28,1,BQ350),1))),0)</f>
        <v>0</v>
      </c>
      <c r="BR356" s="28">
        <f>IF(BR352=1,IF(INDEX('Lease Cycles'!$EF$28:$EL$28,1,BR350)=1,BR353*INDEX('Lease Cycles'!$EM$28:$ES$28,1,BR350)+BR354*IF(BR351&lt;INDEX('Lease Cycles'!$FA$28:$FG$28,1,BR350),0,1-INDEX('Lease Cycles'!$EM$28:$ES$28,1,BR350)),BR353*IF(BR351&lt;INDEX('Lease Cycles'!$DK$28:$DQ$28,1,BR350),0,IF(BR351=INDEX('Lease Cycles'!$DK$28:$DQ$28,1,BR350),1-INDEX('Lease Cycles'!$DR$28:$DX$28,1,BR350),1))),0)</f>
        <v>0</v>
      </c>
      <c r="BS356" s="28">
        <f>IF(BS352=1,IF(INDEX('Lease Cycles'!$EF$28:$EL$28,1,BS350)=1,BS353*INDEX('Lease Cycles'!$EM$28:$ES$28,1,BS350)+BS354*IF(BS351&lt;INDEX('Lease Cycles'!$FA$28:$FG$28,1,BS350),0,1-INDEX('Lease Cycles'!$EM$28:$ES$28,1,BS350)),BS353*IF(BS351&lt;INDEX('Lease Cycles'!$DK$28:$DQ$28,1,BS350),0,IF(BS351=INDEX('Lease Cycles'!$DK$28:$DQ$28,1,BS350),1-INDEX('Lease Cycles'!$DR$28:$DX$28,1,BS350),1))),0)</f>
        <v>0</v>
      </c>
      <c r="BT356" s="28">
        <f>IF(BT352=1,IF(INDEX('Lease Cycles'!$EF$28:$EL$28,1,BT350)=1,BT353*INDEX('Lease Cycles'!$EM$28:$ES$28,1,BT350)+BT354*IF(BT351&lt;INDEX('Lease Cycles'!$FA$28:$FG$28,1,BT350),0,1-INDEX('Lease Cycles'!$EM$28:$ES$28,1,BT350)),BT353*IF(BT351&lt;INDEX('Lease Cycles'!$DK$28:$DQ$28,1,BT350),0,IF(BT351=INDEX('Lease Cycles'!$DK$28:$DQ$28,1,BT350),1-INDEX('Lease Cycles'!$DR$28:$DX$28,1,BT350),1))),0)</f>
        <v>0</v>
      </c>
      <c r="BU356" s="28">
        <f>IF(BU352=1,IF(INDEX('Lease Cycles'!$EF$28:$EL$28,1,BU350)=1,BU353*INDEX('Lease Cycles'!$EM$28:$ES$28,1,BU350)+BU354*IF(BU351&lt;INDEX('Lease Cycles'!$FA$28:$FG$28,1,BU350),0,1-INDEX('Lease Cycles'!$EM$28:$ES$28,1,BU350)),BU353*IF(BU351&lt;INDEX('Lease Cycles'!$DK$28:$DQ$28,1,BU350),0,IF(BU351=INDEX('Lease Cycles'!$DK$28:$DQ$28,1,BU350),1-INDEX('Lease Cycles'!$DR$28:$DX$28,1,BU350),1))),0)</f>
        <v>0</v>
      </c>
      <c r="BV356" s="28">
        <f>IF(BV352=1,IF(INDEX('Lease Cycles'!$EF$28:$EL$28,1,BV350)=1,BV353*INDEX('Lease Cycles'!$EM$28:$ES$28,1,BV350)+BV354*IF(BV351&lt;INDEX('Lease Cycles'!$FA$28:$FG$28,1,BV350),0,1-INDEX('Lease Cycles'!$EM$28:$ES$28,1,BV350)),BV353*IF(BV351&lt;INDEX('Lease Cycles'!$DK$28:$DQ$28,1,BV350),0,IF(BV351=INDEX('Lease Cycles'!$DK$28:$DQ$28,1,BV350),1-INDEX('Lease Cycles'!$DR$28:$DX$28,1,BV350),1))),0)</f>
        <v>0</v>
      </c>
      <c r="BW356" s="28">
        <f>IF(BW352=1,IF(INDEX('Lease Cycles'!$EF$28:$EL$28,1,BW350)=1,BW353*INDEX('Lease Cycles'!$EM$28:$ES$28,1,BW350)+BW354*IF(BW351&lt;INDEX('Lease Cycles'!$FA$28:$FG$28,1,BW350),0,1-INDEX('Lease Cycles'!$EM$28:$ES$28,1,BW350)),BW353*IF(BW351&lt;INDEX('Lease Cycles'!$DK$28:$DQ$28,1,BW350),0,IF(BW351=INDEX('Lease Cycles'!$DK$28:$DQ$28,1,BW350),1-INDEX('Lease Cycles'!$DR$28:$DX$28,1,BW350),1))),0)</f>
        <v>0</v>
      </c>
      <c r="BX356" s="28">
        <f>IF(BX352=1,IF(INDEX('Lease Cycles'!$EF$28:$EL$28,1,BX350)=1,BX353*INDEX('Lease Cycles'!$EM$28:$ES$28,1,BX350)+BX354*IF(BX351&lt;INDEX('Lease Cycles'!$FA$28:$FG$28,1,BX350),0,1-INDEX('Lease Cycles'!$EM$28:$ES$28,1,BX350)),BX353*IF(BX351&lt;INDEX('Lease Cycles'!$DK$28:$DQ$28,1,BX350),0,IF(BX351=INDEX('Lease Cycles'!$DK$28:$DQ$28,1,BX350),1-INDEX('Lease Cycles'!$DR$28:$DX$28,1,BX350),1))),0)</f>
        <v>0</v>
      </c>
      <c r="BY356" s="28">
        <f>IF(BY352=1,IF(INDEX('Lease Cycles'!$EF$28:$EL$28,1,BY350)=1,BY353*INDEX('Lease Cycles'!$EM$28:$ES$28,1,BY350)+BY354*IF(BY351&lt;INDEX('Lease Cycles'!$FA$28:$FG$28,1,BY350),0,1-INDEX('Lease Cycles'!$EM$28:$ES$28,1,BY350)),BY353*IF(BY351&lt;INDEX('Lease Cycles'!$DK$28:$DQ$28,1,BY350),0,IF(BY351=INDEX('Lease Cycles'!$DK$28:$DQ$28,1,BY350),1-INDEX('Lease Cycles'!$DR$28:$DX$28,1,BY350),1))),0)</f>
        <v>0</v>
      </c>
      <c r="BZ356" s="28">
        <f>IF(BZ352=1,IF(INDEX('Lease Cycles'!$EF$28:$EL$28,1,BZ350)=1,BZ353*INDEX('Lease Cycles'!$EM$28:$ES$28,1,BZ350)+BZ354*IF(BZ351&lt;INDEX('Lease Cycles'!$FA$28:$FG$28,1,BZ350),0,1-INDEX('Lease Cycles'!$EM$28:$ES$28,1,BZ350)),BZ353*IF(BZ351&lt;INDEX('Lease Cycles'!$DK$28:$DQ$28,1,BZ350),0,IF(BZ351=INDEX('Lease Cycles'!$DK$28:$DQ$28,1,BZ350),1-INDEX('Lease Cycles'!$DR$28:$DX$28,1,BZ350),1))),0)</f>
        <v>0</v>
      </c>
      <c r="CA356" s="28">
        <f>IF(CA352=1,IF(INDEX('Lease Cycles'!$EF$28:$EL$28,1,CA350)=1,CA353*INDEX('Lease Cycles'!$EM$28:$ES$28,1,CA350)+CA354*IF(CA351&lt;INDEX('Lease Cycles'!$FA$28:$FG$28,1,CA350),0,1-INDEX('Lease Cycles'!$EM$28:$ES$28,1,CA350)),CA353*IF(CA351&lt;INDEX('Lease Cycles'!$DK$28:$DQ$28,1,CA350),0,IF(CA351=INDEX('Lease Cycles'!$DK$28:$DQ$28,1,CA350),1-INDEX('Lease Cycles'!$DR$28:$DX$28,1,CA350),1))),0)</f>
        <v>0</v>
      </c>
      <c r="CB356" s="28">
        <f>IF(CB352=1,IF(INDEX('Lease Cycles'!$EF$28:$EL$28,1,CB350)=1,CB353*INDEX('Lease Cycles'!$EM$28:$ES$28,1,CB350)+CB354*IF(CB351&lt;INDEX('Lease Cycles'!$FA$28:$FG$28,1,CB350),0,1-INDEX('Lease Cycles'!$EM$28:$ES$28,1,CB350)),CB353*IF(CB351&lt;INDEX('Lease Cycles'!$DK$28:$DQ$28,1,CB350),0,IF(CB351=INDEX('Lease Cycles'!$DK$28:$DQ$28,1,CB350),1-INDEX('Lease Cycles'!$DR$28:$DX$28,1,CB350),1))),0)</f>
        <v>0</v>
      </c>
      <c r="CC356" s="28">
        <f>IF(CC352=1,IF(INDEX('Lease Cycles'!$EF$28:$EL$28,1,CC350)=1,CC353*INDEX('Lease Cycles'!$EM$28:$ES$28,1,CC350)+CC354*IF(CC351&lt;INDEX('Lease Cycles'!$FA$28:$FG$28,1,CC350),0,1-INDEX('Lease Cycles'!$EM$28:$ES$28,1,CC350)),CC353*IF(CC351&lt;INDEX('Lease Cycles'!$DK$28:$DQ$28,1,CC350),0,IF(CC351=INDEX('Lease Cycles'!$DK$28:$DQ$28,1,CC350),1-INDEX('Lease Cycles'!$DR$28:$DX$28,1,CC350),1))),0)</f>
        <v>0</v>
      </c>
      <c r="CD356" s="28">
        <f>IF(CD352=1,IF(INDEX('Lease Cycles'!$EF$28:$EL$28,1,CD350)=1,CD353*INDEX('Lease Cycles'!$EM$28:$ES$28,1,CD350)+CD354*IF(CD351&lt;INDEX('Lease Cycles'!$FA$28:$FG$28,1,CD350),0,1-INDEX('Lease Cycles'!$EM$28:$ES$28,1,CD350)),CD353*IF(CD351&lt;INDEX('Lease Cycles'!$DK$28:$DQ$28,1,CD350),0,IF(CD351=INDEX('Lease Cycles'!$DK$28:$DQ$28,1,CD350),1-INDEX('Lease Cycles'!$DR$28:$DX$28,1,CD350),1))),0)</f>
        <v>0</v>
      </c>
      <c r="CE356" s="28">
        <f>IF(CE352=1,IF(INDEX('Lease Cycles'!$EF$28:$EL$28,1,CE350)=1,CE353*INDEX('Lease Cycles'!$EM$28:$ES$28,1,CE350)+CE354*IF(CE351&lt;INDEX('Lease Cycles'!$FA$28:$FG$28,1,CE350),0,1-INDEX('Lease Cycles'!$EM$28:$ES$28,1,CE350)),CE353*IF(CE351&lt;INDEX('Lease Cycles'!$DK$28:$DQ$28,1,CE350),0,IF(CE351=INDEX('Lease Cycles'!$DK$28:$DQ$28,1,CE350),1-INDEX('Lease Cycles'!$DR$28:$DX$28,1,CE350),1))),0)</f>
        <v>0</v>
      </c>
      <c r="CF356" s="28">
        <f>IF(CF352=1,IF(INDEX('Lease Cycles'!$EF$28:$EL$28,1,CF350)=1,CF353*INDEX('Lease Cycles'!$EM$28:$ES$28,1,CF350)+CF354*IF(CF351&lt;INDEX('Lease Cycles'!$FA$28:$FG$28,1,CF350),0,1-INDEX('Lease Cycles'!$EM$28:$ES$28,1,CF350)),CF353*IF(CF351&lt;INDEX('Lease Cycles'!$DK$28:$DQ$28,1,CF350),0,IF(CF351=INDEX('Lease Cycles'!$DK$28:$DQ$28,1,CF350),1-INDEX('Lease Cycles'!$DR$28:$DX$28,1,CF350),1))),0)</f>
        <v>0</v>
      </c>
      <c r="CG356" s="28">
        <f>IF(CG352=1,IF(INDEX('Lease Cycles'!$EF$28:$EL$28,1,CG350)=1,CG353*INDEX('Lease Cycles'!$EM$28:$ES$28,1,CG350)+CG354*IF(CG351&lt;INDEX('Lease Cycles'!$FA$28:$FG$28,1,CG350),0,1-INDEX('Lease Cycles'!$EM$28:$ES$28,1,CG350)),CG353*IF(CG351&lt;INDEX('Lease Cycles'!$DK$28:$DQ$28,1,CG350),0,IF(CG351=INDEX('Lease Cycles'!$DK$28:$DQ$28,1,CG350),1-INDEX('Lease Cycles'!$DR$28:$DX$28,1,CG350),1))),0)</f>
        <v>0</v>
      </c>
      <c r="CH356" s="28">
        <f>IF(CH352=1,IF(INDEX('Lease Cycles'!$EF$28:$EL$28,1,CH350)=1,CH353*INDEX('Lease Cycles'!$EM$28:$ES$28,1,CH350)+CH354*IF(CH351&lt;INDEX('Lease Cycles'!$FA$28:$FG$28,1,CH350),0,1-INDEX('Lease Cycles'!$EM$28:$ES$28,1,CH350)),CH353*IF(CH351&lt;INDEX('Lease Cycles'!$DK$28:$DQ$28,1,CH350),0,IF(CH351=INDEX('Lease Cycles'!$DK$28:$DQ$28,1,CH350),1-INDEX('Lease Cycles'!$DR$28:$DX$28,1,CH350),1))),0)</f>
        <v>0</v>
      </c>
      <c r="CI356" s="28">
        <f>IF(CI352=1,IF(INDEX('Lease Cycles'!$EF$28:$EL$28,1,CI350)=1,CI353*INDEX('Lease Cycles'!$EM$28:$ES$28,1,CI350)+CI354*IF(CI351&lt;INDEX('Lease Cycles'!$FA$28:$FG$28,1,CI350),0,1-INDEX('Lease Cycles'!$EM$28:$ES$28,1,CI350)),CI353*IF(CI351&lt;INDEX('Lease Cycles'!$DK$28:$DQ$28,1,CI350),0,IF(CI351=INDEX('Lease Cycles'!$DK$28:$DQ$28,1,CI350),1-INDEX('Lease Cycles'!$DR$28:$DX$28,1,CI350),1))),0)</f>
        <v>0</v>
      </c>
      <c r="CJ356" s="28">
        <f>IF(CJ352=1,IF(INDEX('Lease Cycles'!$EF$28:$EL$28,1,CJ350)=1,CJ353*INDEX('Lease Cycles'!$EM$28:$ES$28,1,CJ350)+CJ354*IF(CJ351&lt;INDEX('Lease Cycles'!$FA$28:$FG$28,1,CJ350),0,1-INDEX('Lease Cycles'!$EM$28:$ES$28,1,CJ350)),CJ353*IF(CJ351&lt;INDEX('Lease Cycles'!$DK$28:$DQ$28,1,CJ350),0,IF(CJ351=INDEX('Lease Cycles'!$DK$28:$DQ$28,1,CJ350),1-INDEX('Lease Cycles'!$DR$28:$DX$28,1,CJ350),1))),0)</f>
        <v>0</v>
      </c>
      <c r="CK356" s="28">
        <f>IF(CK352=1,IF(INDEX('Lease Cycles'!$EF$28:$EL$28,1,CK350)=1,CK353*INDEX('Lease Cycles'!$EM$28:$ES$28,1,CK350)+CK354*IF(CK351&lt;INDEX('Lease Cycles'!$FA$28:$FG$28,1,CK350),0,1-INDEX('Lease Cycles'!$EM$28:$ES$28,1,CK350)),CK353*IF(CK351&lt;INDEX('Lease Cycles'!$DK$28:$DQ$28,1,CK350),0,IF(CK351=INDEX('Lease Cycles'!$DK$28:$DQ$28,1,CK350),1-INDEX('Lease Cycles'!$DR$28:$DX$28,1,CK350),1))),0)</f>
        <v>0</v>
      </c>
      <c r="CL356" s="28">
        <f>IF(CL352=1,IF(INDEX('Lease Cycles'!$EF$28:$EL$28,1,CL350)=1,CL353*INDEX('Lease Cycles'!$EM$28:$ES$28,1,CL350)+CL354*IF(CL351&lt;INDEX('Lease Cycles'!$FA$28:$FG$28,1,CL350),0,1-INDEX('Lease Cycles'!$EM$28:$ES$28,1,CL350)),CL353*IF(CL351&lt;INDEX('Lease Cycles'!$DK$28:$DQ$28,1,CL350),0,IF(CL351=INDEX('Lease Cycles'!$DK$28:$DQ$28,1,CL350),1-INDEX('Lease Cycles'!$DR$28:$DX$28,1,CL350),1))),0)</f>
        <v>0</v>
      </c>
      <c r="CM356" s="28">
        <f>IF(CM352=1,IF(INDEX('Lease Cycles'!$EF$28:$EL$28,1,CM350)=1,CM353*INDEX('Lease Cycles'!$EM$28:$ES$28,1,CM350)+CM354*IF(CM351&lt;INDEX('Lease Cycles'!$FA$28:$FG$28,1,CM350),0,1-INDEX('Lease Cycles'!$EM$28:$ES$28,1,CM350)),CM353*IF(CM351&lt;INDEX('Lease Cycles'!$DK$28:$DQ$28,1,CM350),0,IF(CM351=INDEX('Lease Cycles'!$DK$28:$DQ$28,1,CM350),1-INDEX('Lease Cycles'!$DR$28:$DX$28,1,CM350),1))),0)</f>
        <v>0</v>
      </c>
      <c r="CN356" s="28">
        <f>IF(CN352=1,IF(INDEX('Lease Cycles'!$EF$28:$EL$28,1,CN350)=1,CN353*INDEX('Lease Cycles'!$EM$28:$ES$28,1,CN350)+CN354*IF(CN351&lt;INDEX('Lease Cycles'!$FA$28:$FG$28,1,CN350),0,1-INDEX('Lease Cycles'!$EM$28:$ES$28,1,CN350)),CN353*IF(CN351&lt;INDEX('Lease Cycles'!$DK$28:$DQ$28,1,CN350),0,IF(CN351=INDEX('Lease Cycles'!$DK$28:$DQ$28,1,CN350),1-INDEX('Lease Cycles'!$DR$28:$DX$28,1,CN350),1))),0)</f>
        <v>0</v>
      </c>
      <c r="CO356" s="28">
        <f>IF(CO352=1,IF(INDEX('Lease Cycles'!$EF$28:$EL$28,1,CO350)=1,CO353*INDEX('Lease Cycles'!$EM$28:$ES$28,1,CO350)+CO354*IF(CO351&lt;INDEX('Lease Cycles'!$FA$28:$FG$28,1,CO350),0,1-INDEX('Lease Cycles'!$EM$28:$ES$28,1,CO350)),CO353*IF(CO351&lt;INDEX('Lease Cycles'!$DK$28:$DQ$28,1,CO350),0,IF(CO351=INDEX('Lease Cycles'!$DK$28:$DQ$28,1,CO350),1-INDEX('Lease Cycles'!$DR$28:$DX$28,1,CO350),1))),0)</f>
        <v>0</v>
      </c>
      <c r="CP356" s="28">
        <f>IF(CP352=1,IF(INDEX('Lease Cycles'!$EF$28:$EL$28,1,CP350)=1,CP353*INDEX('Lease Cycles'!$EM$28:$ES$28,1,CP350)+CP354*IF(CP351&lt;INDEX('Lease Cycles'!$FA$28:$FG$28,1,CP350),0,1-INDEX('Lease Cycles'!$EM$28:$ES$28,1,CP350)),CP353*IF(CP351&lt;INDEX('Lease Cycles'!$DK$28:$DQ$28,1,CP350),0,IF(CP351=INDEX('Lease Cycles'!$DK$28:$DQ$28,1,CP350),1-INDEX('Lease Cycles'!$DR$28:$DX$28,1,CP350),1))),0)</f>
        <v>0</v>
      </c>
      <c r="CQ356" s="28">
        <f>IF(CQ352=1,IF(INDEX('Lease Cycles'!$EF$28:$EL$28,1,CQ350)=1,CQ353*INDEX('Lease Cycles'!$EM$28:$ES$28,1,CQ350)+CQ354*IF(CQ351&lt;INDEX('Lease Cycles'!$FA$28:$FG$28,1,CQ350),0,1-INDEX('Lease Cycles'!$EM$28:$ES$28,1,CQ350)),CQ353*IF(CQ351&lt;INDEX('Lease Cycles'!$DK$28:$DQ$28,1,CQ350),0,IF(CQ351=INDEX('Lease Cycles'!$DK$28:$DQ$28,1,CQ350),1-INDEX('Lease Cycles'!$DR$28:$DX$28,1,CQ350),1))),0)</f>
        <v>0</v>
      </c>
      <c r="CR356" s="28">
        <f>IF(CR352=1,IF(INDEX('Lease Cycles'!$EF$28:$EL$28,1,CR350)=1,CR353*INDEX('Lease Cycles'!$EM$28:$ES$28,1,CR350)+CR354*IF(CR351&lt;INDEX('Lease Cycles'!$FA$28:$FG$28,1,CR350),0,1-INDEX('Lease Cycles'!$EM$28:$ES$28,1,CR350)),CR353*IF(CR351&lt;INDEX('Lease Cycles'!$DK$28:$DQ$28,1,CR350),0,IF(CR351=INDEX('Lease Cycles'!$DK$28:$DQ$28,1,CR350),1-INDEX('Lease Cycles'!$DR$28:$DX$28,1,CR350),1))),0)</f>
        <v>0</v>
      </c>
      <c r="CS356" s="28">
        <f>IF(CS352=1,IF(INDEX('Lease Cycles'!$EF$28:$EL$28,1,CS350)=1,CS353*INDEX('Lease Cycles'!$EM$28:$ES$28,1,CS350)+CS354*IF(CS351&lt;INDEX('Lease Cycles'!$FA$28:$FG$28,1,CS350),0,1-INDEX('Lease Cycles'!$EM$28:$ES$28,1,CS350)),CS353*IF(CS351&lt;INDEX('Lease Cycles'!$DK$28:$DQ$28,1,CS350),0,IF(CS351=INDEX('Lease Cycles'!$DK$28:$DQ$28,1,CS350),1-INDEX('Lease Cycles'!$DR$28:$DX$28,1,CS350),1))),0)</f>
        <v>0</v>
      </c>
      <c r="CT356" s="28">
        <f>IF(CT352=1,IF(INDEX('Lease Cycles'!$EF$28:$EL$28,1,CT350)=1,CT353*INDEX('Lease Cycles'!$EM$28:$ES$28,1,CT350)+CT354*IF(CT351&lt;INDEX('Lease Cycles'!$FA$28:$FG$28,1,CT350),0,1-INDEX('Lease Cycles'!$EM$28:$ES$28,1,CT350)),CT353*IF(CT351&lt;INDEX('Lease Cycles'!$DK$28:$DQ$28,1,CT350),0,IF(CT351=INDEX('Lease Cycles'!$DK$28:$DQ$28,1,CT350),1-INDEX('Lease Cycles'!$DR$28:$DX$28,1,CT350),1))),0)</f>
        <v>0</v>
      </c>
      <c r="CU356" s="28">
        <f>IF(CU352=1,IF(INDEX('Lease Cycles'!$EF$28:$EL$28,1,CU350)=1,CU353*INDEX('Lease Cycles'!$EM$28:$ES$28,1,CU350)+CU354*IF(CU351&lt;INDEX('Lease Cycles'!$FA$28:$FG$28,1,CU350),0,1-INDEX('Lease Cycles'!$EM$28:$ES$28,1,CU350)),CU353*IF(CU351&lt;INDEX('Lease Cycles'!$DK$28:$DQ$28,1,CU350),0,IF(CU351=INDEX('Lease Cycles'!$DK$28:$DQ$28,1,CU350),1-INDEX('Lease Cycles'!$DR$28:$DX$28,1,CU350),1))),0)</f>
        <v>0</v>
      </c>
      <c r="CV356" s="28">
        <f>IF(CV352=1,IF(INDEX('Lease Cycles'!$EF$28:$EL$28,1,CV350)=1,CV353*INDEX('Lease Cycles'!$EM$28:$ES$28,1,CV350)+CV354*IF(CV351&lt;INDEX('Lease Cycles'!$FA$28:$FG$28,1,CV350),0,1-INDEX('Lease Cycles'!$EM$28:$ES$28,1,CV350)),CV353*IF(CV351&lt;INDEX('Lease Cycles'!$DK$28:$DQ$28,1,CV350),0,IF(CV351=INDEX('Lease Cycles'!$DK$28:$DQ$28,1,CV350),1-INDEX('Lease Cycles'!$DR$28:$DX$28,1,CV350),1))),0)</f>
        <v>0</v>
      </c>
      <c r="CW356" s="28">
        <f>IF(CW352=1,IF(INDEX('Lease Cycles'!$EF$28:$EL$28,1,CW350)=1,CW353*INDEX('Lease Cycles'!$EM$28:$ES$28,1,CW350)+CW354*IF(CW351&lt;INDEX('Lease Cycles'!$FA$28:$FG$28,1,CW350),0,1-INDEX('Lease Cycles'!$EM$28:$ES$28,1,CW350)),CW353*IF(CW351&lt;INDEX('Lease Cycles'!$DK$28:$DQ$28,1,CW350),0,IF(CW351=INDEX('Lease Cycles'!$DK$28:$DQ$28,1,CW350),1-INDEX('Lease Cycles'!$DR$28:$DX$28,1,CW350),1))),0)</f>
        <v>0</v>
      </c>
      <c r="CX356" s="28">
        <f>IF(CX352=1,IF(INDEX('Lease Cycles'!$EF$28:$EL$28,1,CX350)=1,CX353*INDEX('Lease Cycles'!$EM$28:$ES$28,1,CX350)+CX354*IF(CX351&lt;INDEX('Lease Cycles'!$FA$28:$FG$28,1,CX350),0,1-INDEX('Lease Cycles'!$EM$28:$ES$28,1,CX350)),CX353*IF(CX351&lt;INDEX('Lease Cycles'!$DK$28:$DQ$28,1,CX350),0,IF(CX351=INDEX('Lease Cycles'!$DK$28:$DQ$28,1,CX350),1-INDEX('Lease Cycles'!$DR$28:$DX$28,1,CX350),1))),0)</f>
        <v>0</v>
      </c>
      <c r="CY356" s="28">
        <f>IF(CY352=1,IF(INDEX('Lease Cycles'!$EF$28:$EL$28,1,CY350)=1,CY353*INDEX('Lease Cycles'!$EM$28:$ES$28,1,CY350)+CY354*IF(CY351&lt;INDEX('Lease Cycles'!$FA$28:$FG$28,1,CY350),0,1-INDEX('Lease Cycles'!$EM$28:$ES$28,1,CY350)),CY353*IF(CY351&lt;INDEX('Lease Cycles'!$DK$28:$DQ$28,1,CY350),0,IF(CY351=INDEX('Lease Cycles'!$DK$28:$DQ$28,1,CY350),1-INDEX('Lease Cycles'!$DR$28:$DX$28,1,CY350),1))),0)</f>
        <v>0</v>
      </c>
      <c r="CZ356" s="28">
        <f>IF(CZ352=1,IF(INDEX('Lease Cycles'!$EF$28:$EL$28,1,CZ350)=1,CZ353*INDEX('Lease Cycles'!$EM$28:$ES$28,1,CZ350)+CZ354*IF(CZ351&lt;INDEX('Lease Cycles'!$FA$28:$FG$28,1,CZ350),0,1-INDEX('Lease Cycles'!$EM$28:$ES$28,1,CZ350)),CZ353*IF(CZ351&lt;INDEX('Lease Cycles'!$DK$28:$DQ$28,1,CZ350),0,IF(CZ351=INDEX('Lease Cycles'!$DK$28:$DQ$28,1,CZ350),1-INDEX('Lease Cycles'!$DR$28:$DX$28,1,CZ350),1))),0)</f>
        <v>0</v>
      </c>
      <c r="DA356" s="28">
        <f>IF(DA352=1,IF(INDEX('Lease Cycles'!$EF$28:$EL$28,1,DA350)=1,DA353*INDEX('Lease Cycles'!$EM$28:$ES$28,1,DA350)+DA354*IF(DA351&lt;INDEX('Lease Cycles'!$FA$28:$FG$28,1,DA350),0,1-INDEX('Lease Cycles'!$EM$28:$ES$28,1,DA350)),DA353*IF(DA351&lt;INDEX('Lease Cycles'!$DK$28:$DQ$28,1,DA350),0,IF(DA351=INDEX('Lease Cycles'!$DK$28:$DQ$28,1,DA350),1-INDEX('Lease Cycles'!$DR$28:$DX$28,1,DA350),1))),0)</f>
        <v>0</v>
      </c>
      <c r="DB356" s="28">
        <f>IF(DB352=1,IF(INDEX('Lease Cycles'!$EF$28:$EL$28,1,DB350)=1,DB353*INDEX('Lease Cycles'!$EM$28:$ES$28,1,DB350)+DB354*IF(DB351&lt;INDEX('Lease Cycles'!$FA$28:$FG$28,1,DB350),0,1-INDEX('Lease Cycles'!$EM$28:$ES$28,1,DB350)),DB353*IF(DB351&lt;INDEX('Lease Cycles'!$DK$28:$DQ$28,1,DB350),0,IF(DB351=INDEX('Lease Cycles'!$DK$28:$DQ$28,1,DB350),1-INDEX('Lease Cycles'!$DR$28:$DX$28,1,DB350),1))),0)</f>
        <v>0</v>
      </c>
      <c r="DC356" s="28">
        <f>IF(DC352=1,IF(INDEX('Lease Cycles'!$EF$28:$EL$28,1,DC350)=1,DC353*INDEX('Lease Cycles'!$EM$28:$ES$28,1,DC350)+DC354*IF(DC351&lt;INDEX('Lease Cycles'!$FA$28:$FG$28,1,DC350),0,1-INDEX('Lease Cycles'!$EM$28:$ES$28,1,DC350)),DC353*IF(DC351&lt;INDEX('Lease Cycles'!$DK$28:$DQ$28,1,DC350),0,IF(DC351=INDEX('Lease Cycles'!$DK$28:$DQ$28,1,DC350),1-INDEX('Lease Cycles'!$DR$28:$DX$28,1,DC350),1))),0)</f>
        <v>0</v>
      </c>
      <c r="DD356" s="28">
        <f>IF(DD352=1,IF(INDEX('Lease Cycles'!$EF$28:$EL$28,1,DD350)=1,DD353*INDEX('Lease Cycles'!$EM$28:$ES$28,1,DD350)+DD354*IF(DD351&lt;INDEX('Lease Cycles'!$FA$28:$FG$28,1,DD350),0,1-INDEX('Lease Cycles'!$EM$28:$ES$28,1,DD350)),DD353*IF(DD351&lt;INDEX('Lease Cycles'!$DK$28:$DQ$28,1,DD350),0,IF(DD351=INDEX('Lease Cycles'!$DK$28:$DQ$28,1,DD350),1-INDEX('Lease Cycles'!$DR$28:$DX$28,1,DD350),1))),0)</f>
        <v>0</v>
      </c>
      <c r="DE356" s="28">
        <f>IF(DE352=1,IF(INDEX('Lease Cycles'!$EF$28:$EL$28,1,DE350)=1,DE353*INDEX('Lease Cycles'!$EM$28:$ES$28,1,DE350)+DE354*IF(DE351&lt;INDEX('Lease Cycles'!$FA$28:$FG$28,1,DE350),0,1-INDEX('Lease Cycles'!$EM$28:$ES$28,1,DE350)),DE353*IF(DE351&lt;INDEX('Lease Cycles'!$DK$28:$DQ$28,1,DE350),0,IF(DE351=INDEX('Lease Cycles'!$DK$28:$DQ$28,1,DE350),1-INDEX('Lease Cycles'!$DR$28:$DX$28,1,DE350),1))),0)</f>
        <v>0</v>
      </c>
      <c r="DF356" s="28">
        <f>IF(DF352=1,IF(INDEX('Lease Cycles'!$EF$28:$EL$28,1,DF350)=1,DF353*INDEX('Lease Cycles'!$EM$28:$ES$28,1,DF350)+DF354*IF(DF351&lt;INDEX('Lease Cycles'!$FA$28:$FG$28,1,DF350),0,1-INDEX('Lease Cycles'!$EM$28:$ES$28,1,DF350)),DF353*IF(DF351&lt;INDEX('Lease Cycles'!$DK$28:$DQ$28,1,DF350),0,IF(DF351=INDEX('Lease Cycles'!$DK$28:$DQ$28,1,DF350),1-INDEX('Lease Cycles'!$DR$28:$DX$28,1,DF350),1))),0)</f>
        <v>0</v>
      </c>
      <c r="DG356" s="28">
        <f>IF(DG352=1,IF(INDEX('Lease Cycles'!$EF$28:$EL$28,1,DG350)=1,DG353*INDEX('Lease Cycles'!$EM$28:$ES$28,1,DG350)+DG354*IF(DG351&lt;INDEX('Lease Cycles'!$FA$28:$FG$28,1,DG350),0,1-INDEX('Lease Cycles'!$EM$28:$ES$28,1,DG350)),DG353*IF(DG351&lt;INDEX('Lease Cycles'!$DK$28:$DQ$28,1,DG350),0,IF(DG351=INDEX('Lease Cycles'!$DK$28:$DQ$28,1,DG350),1-INDEX('Lease Cycles'!$DR$28:$DX$28,1,DG350),1))),0)</f>
        <v>0</v>
      </c>
      <c r="DH356" s="28">
        <f>IF(DH352=1,IF(INDEX('Lease Cycles'!$EF$28:$EL$28,1,DH350)=1,DH353*INDEX('Lease Cycles'!$EM$28:$ES$28,1,DH350)+DH354*IF(DH351&lt;INDEX('Lease Cycles'!$FA$28:$FG$28,1,DH350),0,1-INDEX('Lease Cycles'!$EM$28:$ES$28,1,DH350)),DH353*IF(DH351&lt;INDEX('Lease Cycles'!$DK$28:$DQ$28,1,DH350),0,IF(DH351=INDEX('Lease Cycles'!$DK$28:$DQ$28,1,DH350),1-INDEX('Lease Cycles'!$DR$28:$DX$28,1,DH350),1))),0)</f>
        <v>0</v>
      </c>
      <c r="DI356" s="28">
        <f>IF(DI352=1,IF(INDEX('Lease Cycles'!$EF$28:$EL$28,1,DI350)=1,DI353*INDEX('Lease Cycles'!$EM$28:$ES$28,1,DI350)+DI354*IF(DI351&lt;INDEX('Lease Cycles'!$FA$28:$FG$28,1,DI350),0,1-INDEX('Lease Cycles'!$EM$28:$ES$28,1,DI350)),DI353*IF(DI351&lt;INDEX('Lease Cycles'!$DK$28:$DQ$28,1,DI350),0,IF(DI351=INDEX('Lease Cycles'!$DK$28:$DQ$28,1,DI350),1-INDEX('Lease Cycles'!$DR$28:$DX$28,1,DI350),1))),0)</f>
        <v>0</v>
      </c>
      <c r="DJ356" s="28">
        <f>IF(DJ352=1,IF(INDEX('Lease Cycles'!$EF$28:$EL$28,1,DJ350)=1,DJ353*INDEX('Lease Cycles'!$EM$28:$ES$28,1,DJ350)+DJ354*IF(DJ351&lt;INDEX('Lease Cycles'!$FA$28:$FG$28,1,DJ350),0,1-INDEX('Lease Cycles'!$EM$28:$ES$28,1,DJ350)),DJ353*IF(DJ351&lt;INDEX('Lease Cycles'!$DK$28:$DQ$28,1,DJ350),0,IF(DJ351=INDEX('Lease Cycles'!$DK$28:$DQ$28,1,DJ350),1-INDEX('Lease Cycles'!$DR$28:$DX$28,1,DJ350),1))),0)</f>
        <v>0</v>
      </c>
      <c r="DK356" s="28">
        <f>IF(DK352=1,IF(INDEX('Lease Cycles'!$EF$28:$EL$28,1,DK350)=1,DK353*INDEX('Lease Cycles'!$EM$28:$ES$28,1,DK350)+DK354*IF(DK351&lt;INDEX('Lease Cycles'!$FA$28:$FG$28,1,DK350),0,1-INDEX('Lease Cycles'!$EM$28:$ES$28,1,DK350)),DK353*IF(DK351&lt;INDEX('Lease Cycles'!$DK$28:$DQ$28,1,DK350),0,IF(DK351=INDEX('Lease Cycles'!$DK$28:$DQ$28,1,DK350),1-INDEX('Lease Cycles'!$DR$28:$DX$28,1,DK350),1))),0)</f>
        <v>0</v>
      </c>
      <c r="DL356" s="28">
        <f>IF(DL352=1,IF(INDEX('Lease Cycles'!$EF$28:$EL$28,1,DL350)=1,DL353*INDEX('Lease Cycles'!$EM$28:$ES$28,1,DL350)+DL354*IF(DL351&lt;INDEX('Lease Cycles'!$FA$28:$FG$28,1,DL350),0,1-INDEX('Lease Cycles'!$EM$28:$ES$28,1,DL350)),DL353*IF(DL351&lt;INDEX('Lease Cycles'!$DK$28:$DQ$28,1,DL350),0,IF(DL351=INDEX('Lease Cycles'!$DK$28:$DQ$28,1,DL350),1-INDEX('Lease Cycles'!$DR$28:$DX$28,1,DL350),1))),0)</f>
        <v>0</v>
      </c>
      <c r="DM356" s="28">
        <f>IF(DM352=1,IF(INDEX('Lease Cycles'!$EF$28:$EL$28,1,DM350)=1,DM353*INDEX('Lease Cycles'!$EM$28:$ES$28,1,DM350)+DM354*IF(DM351&lt;INDEX('Lease Cycles'!$FA$28:$FG$28,1,DM350),0,1-INDEX('Lease Cycles'!$EM$28:$ES$28,1,DM350)),DM353*IF(DM351&lt;INDEX('Lease Cycles'!$DK$28:$DQ$28,1,DM350),0,IF(DM351=INDEX('Lease Cycles'!$DK$28:$DQ$28,1,DM350),1-INDEX('Lease Cycles'!$DR$28:$DX$28,1,DM350),1))),0)</f>
        <v>0</v>
      </c>
      <c r="DN356" s="28">
        <f>IF(DN352=1,IF(INDEX('Lease Cycles'!$EF$28:$EL$28,1,DN350)=1,DN353*INDEX('Lease Cycles'!$EM$28:$ES$28,1,DN350)+DN354*IF(DN351&lt;INDEX('Lease Cycles'!$FA$28:$FG$28,1,DN350),0,1-INDEX('Lease Cycles'!$EM$28:$ES$28,1,DN350)),DN353*IF(DN351&lt;INDEX('Lease Cycles'!$DK$28:$DQ$28,1,DN350),0,IF(DN351=INDEX('Lease Cycles'!$DK$28:$DQ$28,1,DN350),1-INDEX('Lease Cycles'!$DR$28:$DX$28,1,DN350),1))),0)</f>
        <v>0</v>
      </c>
      <c r="DO356" s="28">
        <f>IF(DO352=1,IF(INDEX('Lease Cycles'!$EF$28:$EL$28,1,DO350)=1,DO353*INDEX('Lease Cycles'!$EM$28:$ES$28,1,DO350)+DO354*IF(DO351&lt;INDEX('Lease Cycles'!$FA$28:$FG$28,1,DO350),0,1-INDEX('Lease Cycles'!$EM$28:$ES$28,1,DO350)),DO353*IF(DO351&lt;INDEX('Lease Cycles'!$DK$28:$DQ$28,1,DO350),0,IF(DO351=INDEX('Lease Cycles'!$DK$28:$DQ$28,1,DO350),1-INDEX('Lease Cycles'!$DR$28:$DX$28,1,DO350),1))),0)</f>
        <v>0</v>
      </c>
      <c r="DP356" s="28">
        <f>IF(DP352=1,IF(INDEX('Lease Cycles'!$EF$28:$EL$28,1,DP350)=1,DP353*INDEX('Lease Cycles'!$EM$28:$ES$28,1,DP350)+DP354*IF(DP351&lt;INDEX('Lease Cycles'!$FA$28:$FG$28,1,DP350),0,1-INDEX('Lease Cycles'!$EM$28:$ES$28,1,DP350)),DP353*IF(DP351&lt;INDEX('Lease Cycles'!$DK$28:$DQ$28,1,DP350),0,IF(DP351=INDEX('Lease Cycles'!$DK$28:$DQ$28,1,DP350),1-INDEX('Lease Cycles'!$DR$28:$DX$28,1,DP350),1))),0)</f>
        <v>0</v>
      </c>
      <c r="DQ356" s="28">
        <f>IF(DQ352=1,IF(INDEX('Lease Cycles'!$EF$28:$EL$28,1,DQ350)=1,DQ353*INDEX('Lease Cycles'!$EM$28:$ES$28,1,DQ350)+DQ354*IF(DQ351&lt;INDEX('Lease Cycles'!$FA$28:$FG$28,1,DQ350),0,1-INDEX('Lease Cycles'!$EM$28:$ES$28,1,DQ350)),DQ353*IF(DQ351&lt;INDEX('Lease Cycles'!$DK$28:$DQ$28,1,DQ350),0,IF(DQ351=INDEX('Lease Cycles'!$DK$28:$DQ$28,1,DQ350),1-INDEX('Lease Cycles'!$DR$28:$DX$28,1,DQ350),1))),0)</f>
        <v>0</v>
      </c>
      <c r="DR356" s="28">
        <f>IF(DR352=1,IF(INDEX('Lease Cycles'!$EF$28:$EL$28,1,DR350)=1,DR353*INDEX('Lease Cycles'!$EM$28:$ES$28,1,DR350)+DR354*IF(DR351&lt;INDEX('Lease Cycles'!$FA$28:$FG$28,1,DR350),0,1-INDEX('Lease Cycles'!$EM$28:$ES$28,1,DR350)),DR353*IF(DR351&lt;INDEX('Lease Cycles'!$DK$28:$DQ$28,1,DR350),0,IF(DR351=INDEX('Lease Cycles'!$DK$28:$DQ$28,1,DR350),1-INDEX('Lease Cycles'!$DR$28:$DX$28,1,DR350),1))),0)</f>
        <v>0</v>
      </c>
      <c r="DS356" s="28">
        <f>IF(DS352=1,IF(INDEX('Lease Cycles'!$EF$28:$EL$28,1,DS350)=1,DS353*INDEX('Lease Cycles'!$EM$28:$ES$28,1,DS350)+DS354*IF(DS351&lt;INDEX('Lease Cycles'!$FA$28:$FG$28,1,DS350),0,1-INDEX('Lease Cycles'!$EM$28:$ES$28,1,DS350)),DS353*IF(DS351&lt;INDEX('Lease Cycles'!$DK$28:$DQ$28,1,DS350),0,IF(DS351=INDEX('Lease Cycles'!$DK$28:$DQ$28,1,DS350),1-INDEX('Lease Cycles'!$DR$28:$DX$28,1,DS350),1))),0)</f>
        <v>0</v>
      </c>
      <c r="DT356" s="28">
        <f>IF(DT352=1,IF(INDEX('Lease Cycles'!$EF$28:$EL$28,1,DT350)=1,DT353*INDEX('Lease Cycles'!$EM$28:$ES$28,1,DT350)+DT354*IF(DT351&lt;INDEX('Lease Cycles'!$FA$28:$FG$28,1,DT350),0,1-INDEX('Lease Cycles'!$EM$28:$ES$28,1,DT350)),DT353*IF(DT351&lt;INDEX('Lease Cycles'!$DK$28:$DQ$28,1,DT350),0,IF(DT351=INDEX('Lease Cycles'!$DK$28:$DQ$28,1,DT350),1-INDEX('Lease Cycles'!$DR$28:$DX$28,1,DT350),1))),0)</f>
        <v>0</v>
      </c>
      <c r="DU356" s="28">
        <f>IF(DU352=1,IF(INDEX('Lease Cycles'!$EF$28:$EL$28,1,DU350)=1,DU353*INDEX('Lease Cycles'!$EM$28:$ES$28,1,DU350)+DU354*IF(DU351&lt;INDEX('Lease Cycles'!$FA$28:$FG$28,1,DU350),0,1-INDEX('Lease Cycles'!$EM$28:$ES$28,1,DU350)),DU353*IF(DU351&lt;INDEX('Lease Cycles'!$DK$28:$DQ$28,1,DU350),0,IF(DU351=INDEX('Lease Cycles'!$DK$28:$DQ$28,1,DU350),1-INDEX('Lease Cycles'!$DR$28:$DX$28,1,DU350),1))),0)</f>
        <v>0</v>
      </c>
      <c r="DV356" s="28">
        <f>IF(DV352=1,IF(INDEX('Lease Cycles'!$EF$28:$EL$28,1,DV350)=1,DV353*INDEX('Lease Cycles'!$EM$28:$ES$28,1,DV350)+DV354*IF(DV351&lt;INDEX('Lease Cycles'!$FA$28:$FG$28,1,DV350),0,1-INDEX('Lease Cycles'!$EM$28:$ES$28,1,DV350)),DV353*IF(DV351&lt;INDEX('Lease Cycles'!$DK$28:$DQ$28,1,DV350),0,IF(DV351=INDEX('Lease Cycles'!$DK$28:$DQ$28,1,DV350),1-INDEX('Lease Cycles'!$DR$28:$DX$28,1,DV350),1))),0)</f>
        <v>0</v>
      </c>
      <c r="DW356" s="28">
        <f>IF(DW352=1,IF(INDEX('Lease Cycles'!$EF$28:$EL$28,1,DW350)=1,DW353*INDEX('Lease Cycles'!$EM$28:$ES$28,1,DW350)+DW354*IF(DW351&lt;INDEX('Lease Cycles'!$FA$28:$FG$28,1,DW350),0,1-INDEX('Lease Cycles'!$EM$28:$ES$28,1,DW350)),DW353*IF(DW351&lt;INDEX('Lease Cycles'!$DK$28:$DQ$28,1,DW350),0,IF(DW351=INDEX('Lease Cycles'!$DK$28:$DQ$28,1,DW350),1-INDEX('Lease Cycles'!$DR$28:$DX$28,1,DW350),1))),0)</f>
        <v>0</v>
      </c>
      <c r="DX356" s="28">
        <f>IF(DX352=1,IF(INDEX('Lease Cycles'!$EF$28:$EL$28,1,DX350)=1,DX353*INDEX('Lease Cycles'!$EM$28:$ES$28,1,DX350)+DX354*IF(DX351&lt;INDEX('Lease Cycles'!$FA$28:$FG$28,1,DX350),0,1-INDEX('Lease Cycles'!$EM$28:$ES$28,1,DX350)),DX353*IF(DX351&lt;INDEX('Lease Cycles'!$DK$28:$DQ$28,1,DX350),0,IF(DX351=INDEX('Lease Cycles'!$DK$28:$DQ$28,1,DX350),1-INDEX('Lease Cycles'!$DR$28:$DX$28,1,DX350),1))),0)</f>
        <v>0</v>
      </c>
      <c r="DY356" s="28">
        <f>IF(DY352=1,IF(INDEX('Lease Cycles'!$EF$28:$EL$28,1,DY350)=1,DY353*INDEX('Lease Cycles'!$EM$28:$ES$28,1,DY350)+DY354*IF(DY351&lt;INDEX('Lease Cycles'!$FA$28:$FG$28,1,DY350),0,1-INDEX('Lease Cycles'!$EM$28:$ES$28,1,DY350)),DY353*IF(DY351&lt;INDEX('Lease Cycles'!$DK$28:$DQ$28,1,DY350),0,IF(DY351=INDEX('Lease Cycles'!$DK$28:$DQ$28,1,DY350),1-INDEX('Lease Cycles'!$DR$28:$DX$28,1,DY350),1))),0)</f>
        <v>0</v>
      </c>
      <c r="DZ356" s="28">
        <f>IF(DZ352=1,IF(INDEX('Lease Cycles'!$EF$28:$EL$28,1,DZ350)=1,DZ353*INDEX('Lease Cycles'!$EM$28:$ES$28,1,DZ350)+DZ354*IF(DZ351&lt;INDEX('Lease Cycles'!$FA$28:$FG$28,1,DZ350),0,1-INDEX('Lease Cycles'!$EM$28:$ES$28,1,DZ350)),DZ353*IF(DZ351&lt;INDEX('Lease Cycles'!$DK$28:$DQ$28,1,DZ350),0,IF(DZ351=INDEX('Lease Cycles'!$DK$28:$DQ$28,1,DZ350),1-INDEX('Lease Cycles'!$DR$28:$DX$28,1,DZ350),1))),0)</f>
        <v>0</v>
      </c>
      <c r="EA356" s="28">
        <f>IF(EA352=1,IF(INDEX('Lease Cycles'!$EF$28:$EL$28,1,EA350)=1,EA353*INDEX('Lease Cycles'!$EM$28:$ES$28,1,EA350)+EA354*IF(EA351&lt;INDEX('Lease Cycles'!$FA$28:$FG$28,1,EA350),0,1-INDEX('Lease Cycles'!$EM$28:$ES$28,1,EA350)),EA353*IF(EA351&lt;INDEX('Lease Cycles'!$DK$28:$DQ$28,1,EA350),0,IF(EA351=INDEX('Lease Cycles'!$DK$28:$DQ$28,1,EA350),1-INDEX('Lease Cycles'!$DR$28:$DX$28,1,EA350),1))),0)</f>
        <v>0</v>
      </c>
      <c r="EB356" s="28">
        <f>IF(EB352=1,IF(INDEX('Lease Cycles'!$EF$28:$EL$28,1,EB350)=1,EB353*INDEX('Lease Cycles'!$EM$28:$ES$28,1,EB350)+EB354*IF(EB351&lt;INDEX('Lease Cycles'!$FA$28:$FG$28,1,EB350),0,1-INDEX('Lease Cycles'!$EM$28:$ES$28,1,EB350)),EB353*IF(EB351&lt;INDEX('Lease Cycles'!$DK$28:$DQ$28,1,EB350),0,IF(EB351=INDEX('Lease Cycles'!$DK$28:$DQ$28,1,EB350),1-INDEX('Lease Cycles'!$DR$28:$DX$28,1,EB350),1))),0)</f>
        <v>0</v>
      </c>
      <c r="EC356" s="28">
        <f>IF(EC352=1,IF(INDEX('Lease Cycles'!$EF$28:$EL$28,1,EC350)=1,EC353*INDEX('Lease Cycles'!$EM$28:$ES$28,1,EC350)+EC354*IF(EC351&lt;INDEX('Lease Cycles'!$FA$28:$FG$28,1,EC350),0,1-INDEX('Lease Cycles'!$EM$28:$ES$28,1,EC350)),EC353*IF(EC351&lt;INDEX('Lease Cycles'!$DK$28:$DQ$28,1,EC350),0,IF(EC351=INDEX('Lease Cycles'!$DK$28:$DQ$28,1,EC350),1-INDEX('Lease Cycles'!$DR$28:$DX$28,1,EC350),1))),0)</f>
        <v>0</v>
      </c>
      <c r="ED356" s="28">
        <f>IF(ED352=1,IF(INDEX('Lease Cycles'!$EF$28:$EL$28,1,ED350)=1,ED353*INDEX('Lease Cycles'!$EM$28:$ES$28,1,ED350)+ED354*IF(ED351&lt;INDEX('Lease Cycles'!$FA$28:$FG$28,1,ED350),0,1-INDEX('Lease Cycles'!$EM$28:$ES$28,1,ED350)),ED353*IF(ED351&lt;INDEX('Lease Cycles'!$DK$28:$DQ$28,1,ED350),0,IF(ED351=INDEX('Lease Cycles'!$DK$28:$DQ$28,1,ED350),1-INDEX('Lease Cycles'!$DR$28:$DX$28,1,ED350),1))),0)</f>
        <v>0</v>
      </c>
      <c r="EE356" s="28">
        <f>IF(EE352=1,IF(INDEX('Lease Cycles'!$EF$28:$EL$28,1,EE350)=1,EE353*INDEX('Lease Cycles'!$EM$28:$ES$28,1,EE350)+EE354*IF(EE351&lt;INDEX('Lease Cycles'!$FA$28:$FG$28,1,EE350),0,1-INDEX('Lease Cycles'!$EM$28:$ES$28,1,EE350)),EE353*IF(EE351&lt;INDEX('Lease Cycles'!$DK$28:$DQ$28,1,EE350),0,IF(EE351=INDEX('Lease Cycles'!$DK$28:$DQ$28,1,EE350),1-INDEX('Lease Cycles'!$DR$28:$DX$28,1,EE350),1))),0)</f>
        <v>0</v>
      </c>
      <c r="EF356" s="28">
        <f>IF(EF352=1,IF(INDEX('Lease Cycles'!$EF$28:$EL$28,1,EF350)=1,EF353*INDEX('Lease Cycles'!$EM$28:$ES$28,1,EF350)+EF354*IF(EF351&lt;INDEX('Lease Cycles'!$FA$28:$FG$28,1,EF350),0,1-INDEX('Lease Cycles'!$EM$28:$ES$28,1,EF350)),EF353*IF(EF351&lt;INDEX('Lease Cycles'!$DK$28:$DQ$28,1,EF350),0,IF(EF351=INDEX('Lease Cycles'!$DK$28:$DQ$28,1,EF350),1-INDEX('Lease Cycles'!$DR$28:$DX$28,1,EF350),1))),0)</f>
        <v>0</v>
      </c>
      <c r="EG356" s="28">
        <f>IF(EG352=1,IF(INDEX('Lease Cycles'!$EF$28:$EL$28,1,EG350)=1,EG353*INDEX('Lease Cycles'!$EM$28:$ES$28,1,EG350)+EG354*IF(EG351&lt;INDEX('Lease Cycles'!$FA$28:$FG$28,1,EG350),0,1-INDEX('Lease Cycles'!$EM$28:$ES$28,1,EG350)),EG353*IF(EG351&lt;INDEX('Lease Cycles'!$DK$28:$DQ$28,1,EG350),0,IF(EG351=INDEX('Lease Cycles'!$DK$28:$DQ$28,1,EG350),1-INDEX('Lease Cycles'!$DR$28:$DX$28,1,EG350),1))),0)</f>
        <v>0</v>
      </c>
      <c r="EH356" s="28">
        <f>IF(EH352=1,IF(INDEX('Lease Cycles'!$EF$28:$EL$28,1,EH350)=1,EH353*INDEX('Lease Cycles'!$EM$28:$ES$28,1,EH350)+EH354*IF(EH351&lt;INDEX('Lease Cycles'!$FA$28:$FG$28,1,EH350),0,1-INDEX('Lease Cycles'!$EM$28:$ES$28,1,EH350)),EH353*IF(EH351&lt;INDEX('Lease Cycles'!$DK$28:$DQ$28,1,EH350),0,IF(EH351=INDEX('Lease Cycles'!$DK$28:$DQ$28,1,EH350),1-INDEX('Lease Cycles'!$DR$28:$DX$28,1,EH350),1))),0)</f>
        <v>0</v>
      </c>
      <c r="EI356" s="28">
        <f>IF(EI352=1,IF(INDEX('Lease Cycles'!$EF$28:$EL$28,1,EI350)=1,EI353*INDEX('Lease Cycles'!$EM$28:$ES$28,1,EI350)+EI354*IF(EI351&lt;INDEX('Lease Cycles'!$FA$28:$FG$28,1,EI350),0,1-INDEX('Lease Cycles'!$EM$28:$ES$28,1,EI350)),EI353*IF(EI351&lt;INDEX('Lease Cycles'!$DK$28:$DQ$28,1,EI350),0,IF(EI351=INDEX('Lease Cycles'!$DK$28:$DQ$28,1,EI350),1-INDEX('Lease Cycles'!$DR$28:$DX$28,1,EI350),1))),0)</f>
        <v>0</v>
      </c>
      <c r="EJ356" s="28">
        <f>IF(EJ352=1,IF(INDEX('Lease Cycles'!$EF$28:$EL$28,1,EJ350)=1,EJ353*INDEX('Lease Cycles'!$EM$28:$ES$28,1,EJ350)+EJ354*IF(EJ351&lt;INDEX('Lease Cycles'!$FA$28:$FG$28,1,EJ350),0,1-INDEX('Lease Cycles'!$EM$28:$ES$28,1,EJ350)),EJ353*IF(EJ351&lt;INDEX('Lease Cycles'!$DK$28:$DQ$28,1,EJ350),0,IF(EJ351=INDEX('Lease Cycles'!$DK$28:$DQ$28,1,EJ350),1-INDEX('Lease Cycles'!$DR$28:$DX$28,1,EJ350),1))),0)</f>
        <v>0</v>
      </c>
      <c r="EK356" s="28">
        <f>IF(EK352=1,IF(INDEX('Lease Cycles'!$EF$28:$EL$28,1,EK350)=1,EK353*INDEX('Lease Cycles'!$EM$28:$ES$28,1,EK350)+EK354*IF(EK351&lt;INDEX('Lease Cycles'!$FA$28:$FG$28,1,EK350),0,1-INDEX('Lease Cycles'!$EM$28:$ES$28,1,EK350)),EK353*IF(EK351&lt;INDEX('Lease Cycles'!$DK$28:$DQ$28,1,EK350),0,IF(EK351=INDEX('Lease Cycles'!$DK$28:$DQ$28,1,EK350),1-INDEX('Lease Cycles'!$DR$28:$DX$28,1,EK350),1))),0)</f>
        <v>0</v>
      </c>
      <c r="EL356" s="28">
        <f>IF(EL352=1,IF(INDEX('Lease Cycles'!$EF$28:$EL$28,1,EL350)=1,EL353*INDEX('Lease Cycles'!$EM$28:$ES$28,1,EL350)+EL354*IF(EL351&lt;INDEX('Lease Cycles'!$FA$28:$FG$28,1,EL350),0,1-INDEX('Lease Cycles'!$EM$28:$ES$28,1,EL350)),EL353*IF(EL351&lt;INDEX('Lease Cycles'!$DK$28:$DQ$28,1,EL350),0,IF(EL351=INDEX('Lease Cycles'!$DK$28:$DQ$28,1,EL350),1-INDEX('Lease Cycles'!$DR$28:$DX$28,1,EL350),1))),0)</f>
        <v>0</v>
      </c>
      <c r="EM356" s="28">
        <f>IF(EM352=1,IF(INDEX('Lease Cycles'!$EF$28:$EL$28,1,EM350)=1,EM353*INDEX('Lease Cycles'!$EM$28:$ES$28,1,EM350)+EM354*IF(EM351&lt;INDEX('Lease Cycles'!$FA$28:$FG$28,1,EM350),0,1-INDEX('Lease Cycles'!$EM$28:$ES$28,1,EM350)),EM353*IF(EM351&lt;INDEX('Lease Cycles'!$DK$28:$DQ$28,1,EM350),0,IF(EM351=INDEX('Lease Cycles'!$DK$28:$DQ$28,1,EM350),1-INDEX('Lease Cycles'!$DR$28:$DX$28,1,EM350),1))),0)</f>
        <v>0</v>
      </c>
      <c r="EN356" s="28">
        <f>IF(EN352=1,IF(INDEX('Lease Cycles'!$EF$28:$EL$28,1,EN350)=1,EN353*INDEX('Lease Cycles'!$EM$28:$ES$28,1,EN350)+EN354*IF(EN351&lt;INDEX('Lease Cycles'!$FA$28:$FG$28,1,EN350),0,1-INDEX('Lease Cycles'!$EM$28:$ES$28,1,EN350)),EN353*IF(EN351&lt;INDEX('Lease Cycles'!$DK$28:$DQ$28,1,EN350),0,IF(EN351=INDEX('Lease Cycles'!$DK$28:$DQ$28,1,EN350),1-INDEX('Lease Cycles'!$DR$28:$DX$28,1,EN350),1))),0)</f>
        <v>0</v>
      </c>
      <c r="EO356" s="28">
        <f>IF(EO352=1,IF(INDEX('Lease Cycles'!$EF$28:$EL$28,1,EO350)=1,EO353*INDEX('Lease Cycles'!$EM$28:$ES$28,1,EO350)+EO354*IF(EO351&lt;INDEX('Lease Cycles'!$FA$28:$FG$28,1,EO350),0,1-INDEX('Lease Cycles'!$EM$28:$ES$28,1,EO350)),EO353*IF(EO351&lt;INDEX('Lease Cycles'!$DK$28:$DQ$28,1,EO350),0,IF(EO351=INDEX('Lease Cycles'!$DK$28:$DQ$28,1,EO350),1-INDEX('Lease Cycles'!$DR$28:$DX$28,1,EO350),1))),0)</f>
        <v>0</v>
      </c>
      <c r="EP356" s="28">
        <f>IF(EP352=1,IF(INDEX('Lease Cycles'!$EF$28:$EL$28,1,EP350)=1,EP353*INDEX('Lease Cycles'!$EM$28:$ES$28,1,EP350)+EP354*IF(EP351&lt;INDEX('Lease Cycles'!$FA$28:$FG$28,1,EP350),0,1-INDEX('Lease Cycles'!$EM$28:$ES$28,1,EP350)),EP353*IF(EP351&lt;INDEX('Lease Cycles'!$DK$28:$DQ$28,1,EP350),0,IF(EP351=INDEX('Lease Cycles'!$DK$28:$DQ$28,1,EP350),1-INDEX('Lease Cycles'!$DR$28:$DX$28,1,EP350),1))),0)</f>
        <v>0</v>
      </c>
      <c r="EQ356" s="28">
        <f>IF(EQ352=1,IF(INDEX('Lease Cycles'!$EF$28:$EL$28,1,EQ350)=1,EQ353*INDEX('Lease Cycles'!$EM$28:$ES$28,1,EQ350)+EQ354*IF(EQ351&lt;INDEX('Lease Cycles'!$FA$28:$FG$28,1,EQ350),0,1-INDEX('Lease Cycles'!$EM$28:$ES$28,1,EQ350)),EQ353*IF(EQ351&lt;INDEX('Lease Cycles'!$DK$28:$DQ$28,1,EQ350),0,IF(EQ351=INDEX('Lease Cycles'!$DK$28:$DQ$28,1,EQ350),1-INDEX('Lease Cycles'!$DR$28:$DX$28,1,EQ350),1))),0)</f>
        <v>0</v>
      </c>
      <c r="ER356" s="28">
        <f>IF(ER352=1,IF(INDEX('Lease Cycles'!$EF$28:$EL$28,1,ER350)=1,ER353*INDEX('Lease Cycles'!$EM$28:$ES$28,1,ER350)+ER354*IF(ER351&lt;INDEX('Lease Cycles'!$FA$28:$FG$28,1,ER350),0,1-INDEX('Lease Cycles'!$EM$28:$ES$28,1,ER350)),ER353*IF(ER351&lt;INDEX('Lease Cycles'!$DK$28:$DQ$28,1,ER350),0,IF(ER351=INDEX('Lease Cycles'!$DK$28:$DQ$28,1,ER350),1-INDEX('Lease Cycles'!$DR$28:$DX$28,1,ER350),1))),0)</f>
        <v>0</v>
      </c>
      <c r="ES356" s="28">
        <f>IF(ES352=1,IF(INDEX('Lease Cycles'!$EF$28:$EL$28,1,ES350)=1,ES353*INDEX('Lease Cycles'!$EM$28:$ES$28,1,ES350)+ES354*IF(ES351&lt;INDEX('Lease Cycles'!$FA$28:$FG$28,1,ES350),0,1-INDEX('Lease Cycles'!$EM$28:$ES$28,1,ES350)),ES353*IF(ES351&lt;INDEX('Lease Cycles'!$DK$28:$DQ$28,1,ES350),0,IF(ES351=INDEX('Lease Cycles'!$DK$28:$DQ$28,1,ES350),1-INDEX('Lease Cycles'!$DR$28:$DX$28,1,ES350),1))),0)</f>
        <v>0</v>
      </c>
      <c r="ET356" s="28">
        <f>IF(ET352=1,IF(INDEX('Lease Cycles'!$EF$28:$EL$28,1,ET350)=1,ET353*INDEX('Lease Cycles'!$EM$28:$ES$28,1,ET350)+ET354*IF(ET351&lt;INDEX('Lease Cycles'!$FA$28:$FG$28,1,ET350),0,1-INDEX('Lease Cycles'!$EM$28:$ES$28,1,ET350)),ET353*IF(ET351&lt;INDEX('Lease Cycles'!$DK$28:$DQ$28,1,ET350),0,IF(ET351=INDEX('Lease Cycles'!$DK$28:$DQ$28,1,ET350),1-INDEX('Lease Cycles'!$DR$28:$DX$28,1,ET350),1))),0)</f>
        <v>0</v>
      </c>
    </row>
    <row r="357">
      <c r="A357" s="103">
        <v>21</v>
      </c>
      <c r="B357" s="23" t="str">
        <f>IF('Lease Cycles'!$B$28="","(empty slot)",'Lease Cycles'!$B$28)</f>
        <v>(empty slot)</v>
      </c>
      <c r="C357" s="23" t="s">
        <v>493</v>
      </c>
      <c r="D357" s="104" t="s">
        <v>494</v>
      </c>
      <c r="E357" s="25">
        <f>'Lease Cycles'!$AL$28</f>
        <v>0</v>
      </c>
      <c r="G357" s="28">
        <f>SUM(S357:AD357)</f>
        <v>0</v>
      </c>
      <c r="H357" s="28">
        <f>SUM(AE357:AP357)</f>
        <v>0</v>
      </c>
      <c r="I357" s="28">
        <f>SUM(AQ357:BB357)</f>
        <v>0</v>
      </c>
      <c r="J357" s="28">
        <f>SUM(BC357:BN357)</f>
        <v>0</v>
      </c>
      <c r="K357" s="28">
        <f>SUM(BO357:BZ357)</f>
        <v>0</v>
      </c>
      <c r="L357" s="28">
        <f>SUM(CA357:CL357)</f>
        <v>0</v>
      </c>
      <c r="M357" s="28">
        <f>SUM(CM357:CX357)</f>
        <v>0</v>
      </c>
      <c r="N357" s="28">
        <f>SUM(CY357:DJ357)</f>
        <v>0</v>
      </c>
      <c r="O357" s="28">
        <f>SUM(DK357:DV357)</f>
        <v>0</v>
      </c>
      <c r="P357" s="28">
        <f>SUM(DW357:EH357)</f>
        <v>0</v>
      </c>
      <c r="Q357" s="28">
        <f>SUM(EI357:ET357)</f>
        <v>0</v>
      </c>
      <c r="S357" s="28">
        <f>IF(S352=1,IF(INDEX('Lease Cycles'!$EF$28:$EL$28,1,S350)=1,0,S353*(1-IF(S351&lt;INDEX('Lease Cycles'!$DK$28:$DQ$28,1,S350),0,IF(S351=INDEX('Lease Cycles'!$DK$28:$DQ$28,1,S350),1-INDEX('Lease Cycles'!$DR$28:$DX$28,1,S350),1))-IF(S351=0,INDEX('Lease Cycles'!$DD$28:$DJ$28,1,S350),0))),0)</f>
        <v>0</v>
      </c>
      <c r="T357" s="28">
        <f>IF(T352=1,IF(INDEX('Lease Cycles'!$EF$28:$EL$28,1,T350)=1,0,T353*(1-IF(T351&lt;INDEX('Lease Cycles'!$DK$28:$DQ$28,1,T350),0,IF(T351=INDEX('Lease Cycles'!$DK$28:$DQ$28,1,T350),1-INDEX('Lease Cycles'!$DR$28:$DX$28,1,T350),1))-IF(T351=0,INDEX('Lease Cycles'!$DD$28:$DJ$28,1,T350),0))),0)</f>
        <v>0</v>
      </c>
      <c r="U357" s="28">
        <f>IF(U352=1,IF(INDEX('Lease Cycles'!$EF$28:$EL$28,1,U350)=1,0,U353*(1-IF(U351&lt;INDEX('Lease Cycles'!$DK$28:$DQ$28,1,U350),0,IF(U351=INDEX('Lease Cycles'!$DK$28:$DQ$28,1,U350),1-INDEX('Lease Cycles'!$DR$28:$DX$28,1,U350),1))-IF(U351=0,INDEX('Lease Cycles'!$DD$28:$DJ$28,1,U350),0))),0)</f>
        <v>0</v>
      </c>
      <c r="V357" s="28">
        <f>IF(V352=1,IF(INDEX('Lease Cycles'!$EF$28:$EL$28,1,V350)=1,0,V353*(1-IF(V351&lt;INDEX('Lease Cycles'!$DK$28:$DQ$28,1,V350),0,IF(V351=INDEX('Lease Cycles'!$DK$28:$DQ$28,1,V350),1-INDEX('Lease Cycles'!$DR$28:$DX$28,1,V350),1))-IF(V351=0,INDEX('Lease Cycles'!$DD$28:$DJ$28,1,V350),0))),0)</f>
        <v>0</v>
      </c>
      <c r="W357" s="28">
        <f>IF(W352=1,IF(INDEX('Lease Cycles'!$EF$28:$EL$28,1,W350)=1,0,W353*(1-IF(W351&lt;INDEX('Lease Cycles'!$DK$28:$DQ$28,1,W350),0,IF(W351=INDEX('Lease Cycles'!$DK$28:$DQ$28,1,W350),1-INDEX('Lease Cycles'!$DR$28:$DX$28,1,W350),1))-IF(W351=0,INDEX('Lease Cycles'!$DD$28:$DJ$28,1,W350),0))),0)</f>
        <v>0</v>
      </c>
      <c r="X357" s="28">
        <f>IF(X352=1,IF(INDEX('Lease Cycles'!$EF$28:$EL$28,1,X350)=1,0,X353*(1-IF(X351&lt;INDEX('Lease Cycles'!$DK$28:$DQ$28,1,X350),0,IF(X351=INDEX('Lease Cycles'!$DK$28:$DQ$28,1,X350),1-INDEX('Lease Cycles'!$DR$28:$DX$28,1,X350),1))-IF(X351=0,INDEX('Lease Cycles'!$DD$28:$DJ$28,1,X350),0))),0)</f>
        <v>0</v>
      </c>
      <c r="Y357" s="28">
        <f>IF(Y352=1,IF(INDEX('Lease Cycles'!$EF$28:$EL$28,1,Y350)=1,0,Y353*(1-IF(Y351&lt;INDEX('Lease Cycles'!$DK$28:$DQ$28,1,Y350),0,IF(Y351=INDEX('Lease Cycles'!$DK$28:$DQ$28,1,Y350),1-INDEX('Lease Cycles'!$DR$28:$DX$28,1,Y350),1))-IF(Y351=0,INDEX('Lease Cycles'!$DD$28:$DJ$28,1,Y350),0))),0)</f>
        <v>0</v>
      </c>
      <c r="Z357" s="28">
        <f>IF(Z352=1,IF(INDEX('Lease Cycles'!$EF$28:$EL$28,1,Z350)=1,0,Z353*(1-IF(Z351&lt;INDEX('Lease Cycles'!$DK$28:$DQ$28,1,Z350),0,IF(Z351=INDEX('Lease Cycles'!$DK$28:$DQ$28,1,Z350),1-INDEX('Lease Cycles'!$DR$28:$DX$28,1,Z350),1))-IF(Z351=0,INDEX('Lease Cycles'!$DD$28:$DJ$28,1,Z350),0))),0)</f>
        <v>0</v>
      </c>
      <c r="AA357" s="28">
        <f>IF(AA352=1,IF(INDEX('Lease Cycles'!$EF$28:$EL$28,1,AA350)=1,0,AA353*(1-IF(AA351&lt;INDEX('Lease Cycles'!$DK$28:$DQ$28,1,AA350),0,IF(AA351=INDEX('Lease Cycles'!$DK$28:$DQ$28,1,AA350),1-INDEX('Lease Cycles'!$DR$28:$DX$28,1,AA350),1))-IF(AA351=0,INDEX('Lease Cycles'!$DD$28:$DJ$28,1,AA350),0))),0)</f>
        <v>0</v>
      </c>
      <c r="AB357" s="28">
        <f>IF(AB352=1,IF(INDEX('Lease Cycles'!$EF$28:$EL$28,1,AB350)=1,0,AB353*(1-IF(AB351&lt;INDEX('Lease Cycles'!$DK$28:$DQ$28,1,AB350),0,IF(AB351=INDEX('Lease Cycles'!$DK$28:$DQ$28,1,AB350),1-INDEX('Lease Cycles'!$DR$28:$DX$28,1,AB350),1))-IF(AB351=0,INDEX('Lease Cycles'!$DD$28:$DJ$28,1,AB350),0))),0)</f>
        <v>0</v>
      </c>
      <c r="AC357" s="28">
        <f>IF(AC352=1,IF(INDEX('Lease Cycles'!$EF$28:$EL$28,1,AC350)=1,0,AC353*(1-IF(AC351&lt;INDEX('Lease Cycles'!$DK$28:$DQ$28,1,AC350),0,IF(AC351=INDEX('Lease Cycles'!$DK$28:$DQ$28,1,AC350),1-INDEX('Lease Cycles'!$DR$28:$DX$28,1,AC350),1))-IF(AC351=0,INDEX('Lease Cycles'!$DD$28:$DJ$28,1,AC350),0))),0)</f>
        <v>0</v>
      </c>
      <c r="AD357" s="28">
        <f>IF(AD352=1,IF(INDEX('Lease Cycles'!$EF$28:$EL$28,1,AD350)=1,0,AD353*(1-IF(AD351&lt;INDEX('Lease Cycles'!$DK$28:$DQ$28,1,AD350),0,IF(AD351=INDEX('Lease Cycles'!$DK$28:$DQ$28,1,AD350),1-INDEX('Lease Cycles'!$DR$28:$DX$28,1,AD350),1))-IF(AD351=0,INDEX('Lease Cycles'!$DD$28:$DJ$28,1,AD350),0))),0)</f>
        <v>0</v>
      </c>
      <c r="AE357" s="28">
        <f>IF(AE352=1,IF(INDEX('Lease Cycles'!$EF$28:$EL$28,1,AE350)=1,0,AE353*(1-IF(AE351&lt;INDEX('Lease Cycles'!$DK$28:$DQ$28,1,AE350),0,IF(AE351=INDEX('Lease Cycles'!$DK$28:$DQ$28,1,AE350),1-INDEX('Lease Cycles'!$DR$28:$DX$28,1,AE350),1))-IF(AE351=0,INDEX('Lease Cycles'!$DD$28:$DJ$28,1,AE350),0))),0)</f>
        <v>0</v>
      </c>
      <c r="AF357" s="28">
        <f>IF(AF352=1,IF(INDEX('Lease Cycles'!$EF$28:$EL$28,1,AF350)=1,0,AF353*(1-IF(AF351&lt;INDEX('Lease Cycles'!$DK$28:$DQ$28,1,AF350),0,IF(AF351=INDEX('Lease Cycles'!$DK$28:$DQ$28,1,AF350),1-INDEX('Lease Cycles'!$DR$28:$DX$28,1,AF350),1))-IF(AF351=0,INDEX('Lease Cycles'!$DD$28:$DJ$28,1,AF350),0))),0)</f>
        <v>0</v>
      </c>
      <c r="AG357" s="28">
        <f>IF(AG352=1,IF(INDEX('Lease Cycles'!$EF$28:$EL$28,1,AG350)=1,0,AG353*(1-IF(AG351&lt;INDEX('Lease Cycles'!$DK$28:$DQ$28,1,AG350),0,IF(AG351=INDEX('Lease Cycles'!$DK$28:$DQ$28,1,AG350),1-INDEX('Lease Cycles'!$DR$28:$DX$28,1,AG350),1))-IF(AG351=0,INDEX('Lease Cycles'!$DD$28:$DJ$28,1,AG350),0))),0)</f>
        <v>0</v>
      </c>
      <c r="AH357" s="28">
        <f>IF(AH352=1,IF(INDEX('Lease Cycles'!$EF$28:$EL$28,1,AH350)=1,0,AH353*(1-IF(AH351&lt;INDEX('Lease Cycles'!$DK$28:$DQ$28,1,AH350),0,IF(AH351=INDEX('Lease Cycles'!$DK$28:$DQ$28,1,AH350),1-INDEX('Lease Cycles'!$DR$28:$DX$28,1,AH350),1))-IF(AH351=0,INDEX('Lease Cycles'!$DD$28:$DJ$28,1,AH350),0))),0)</f>
        <v>0</v>
      </c>
      <c r="AI357" s="28">
        <f>IF(AI352=1,IF(INDEX('Lease Cycles'!$EF$28:$EL$28,1,AI350)=1,0,AI353*(1-IF(AI351&lt;INDEX('Lease Cycles'!$DK$28:$DQ$28,1,AI350),0,IF(AI351=INDEX('Lease Cycles'!$DK$28:$DQ$28,1,AI350),1-INDEX('Lease Cycles'!$DR$28:$DX$28,1,AI350),1))-IF(AI351=0,INDEX('Lease Cycles'!$DD$28:$DJ$28,1,AI350),0))),0)</f>
        <v>0</v>
      </c>
      <c r="AJ357" s="28">
        <f>IF(AJ352=1,IF(INDEX('Lease Cycles'!$EF$28:$EL$28,1,AJ350)=1,0,AJ353*(1-IF(AJ351&lt;INDEX('Lease Cycles'!$DK$28:$DQ$28,1,AJ350),0,IF(AJ351=INDEX('Lease Cycles'!$DK$28:$DQ$28,1,AJ350),1-INDEX('Lease Cycles'!$DR$28:$DX$28,1,AJ350),1))-IF(AJ351=0,INDEX('Lease Cycles'!$DD$28:$DJ$28,1,AJ350),0))),0)</f>
        <v>0</v>
      </c>
      <c r="AK357" s="28">
        <f>IF(AK352=1,IF(INDEX('Lease Cycles'!$EF$28:$EL$28,1,AK350)=1,0,AK353*(1-IF(AK351&lt;INDEX('Lease Cycles'!$DK$28:$DQ$28,1,AK350),0,IF(AK351=INDEX('Lease Cycles'!$DK$28:$DQ$28,1,AK350),1-INDEX('Lease Cycles'!$DR$28:$DX$28,1,AK350),1))-IF(AK351=0,INDEX('Lease Cycles'!$DD$28:$DJ$28,1,AK350),0))),0)</f>
        <v>0</v>
      </c>
      <c r="AL357" s="28">
        <f>IF(AL352=1,IF(INDEX('Lease Cycles'!$EF$28:$EL$28,1,AL350)=1,0,AL353*(1-IF(AL351&lt;INDEX('Lease Cycles'!$DK$28:$DQ$28,1,AL350),0,IF(AL351=INDEX('Lease Cycles'!$DK$28:$DQ$28,1,AL350),1-INDEX('Lease Cycles'!$DR$28:$DX$28,1,AL350),1))-IF(AL351=0,INDEX('Lease Cycles'!$DD$28:$DJ$28,1,AL350),0))),0)</f>
        <v>0</v>
      </c>
      <c r="AM357" s="28">
        <f>IF(AM352=1,IF(INDEX('Lease Cycles'!$EF$28:$EL$28,1,AM350)=1,0,AM353*(1-IF(AM351&lt;INDEX('Lease Cycles'!$DK$28:$DQ$28,1,AM350),0,IF(AM351=INDEX('Lease Cycles'!$DK$28:$DQ$28,1,AM350),1-INDEX('Lease Cycles'!$DR$28:$DX$28,1,AM350),1))-IF(AM351=0,INDEX('Lease Cycles'!$DD$28:$DJ$28,1,AM350),0))),0)</f>
        <v>0</v>
      </c>
      <c r="AN357" s="28">
        <f>IF(AN352=1,IF(INDEX('Lease Cycles'!$EF$28:$EL$28,1,AN350)=1,0,AN353*(1-IF(AN351&lt;INDEX('Lease Cycles'!$DK$28:$DQ$28,1,AN350),0,IF(AN351=INDEX('Lease Cycles'!$DK$28:$DQ$28,1,AN350),1-INDEX('Lease Cycles'!$DR$28:$DX$28,1,AN350),1))-IF(AN351=0,INDEX('Lease Cycles'!$DD$28:$DJ$28,1,AN350),0))),0)</f>
        <v>0</v>
      </c>
      <c r="AO357" s="28">
        <f>IF(AO352=1,IF(INDEX('Lease Cycles'!$EF$28:$EL$28,1,AO350)=1,0,AO353*(1-IF(AO351&lt;INDEX('Lease Cycles'!$DK$28:$DQ$28,1,AO350),0,IF(AO351=INDEX('Lease Cycles'!$DK$28:$DQ$28,1,AO350),1-INDEX('Lease Cycles'!$DR$28:$DX$28,1,AO350),1))-IF(AO351=0,INDEX('Lease Cycles'!$DD$28:$DJ$28,1,AO350),0))),0)</f>
        <v>0</v>
      </c>
      <c r="AP357" s="28">
        <f>IF(AP352=1,IF(INDEX('Lease Cycles'!$EF$28:$EL$28,1,AP350)=1,0,AP353*(1-IF(AP351&lt;INDEX('Lease Cycles'!$DK$28:$DQ$28,1,AP350),0,IF(AP351=INDEX('Lease Cycles'!$DK$28:$DQ$28,1,AP350),1-INDEX('Lease Cycles'!$DR$28:$DX$28,1,AP350),1))-IF(AP351=0,INDEX('Lease Cycles'!$DD$28:$DJ$28,1,AP350),0))),0)</f>
        <v>0</v>
      </c>
      <c r="AQ357" s="28">
        <f>IF(AQ352=1,IF(INDEX('Lease Cycles'!$EF$28:$EL$28,1,AQ350)=1,0,AQ353*(1-IF(AQ351&lt;INDEX('Lease Cycles'!$DK$28:$DQ$28,1,AQ350),0,IF(AQ351=INDEX('Lease Cycles'!$DK$28:$DQ$28,1,AQ350),1-INDEX('Lease Cycles'!$DR$28:$DX$28,1,AQ350),1))-IF(AQ351=0,INDEX('Lease Cycles'!$DD$28:$DJ$28,1,AQ350),0))),0)</f>
        <v>0</v>
      </c>
      <c r="AR357" s="28">
        <f>IF(AR352=1,IF(INDEX('Lease Cycles'!$EF$28:$EL$28,1,AR350)=1,0,AR353*(1-IF(AR351&lt;INDEX('Lease Cycles'!$DK$28:$DQ$28,1,AR350),0,IF(AR351=INDEX('Lease Cycles'!$DK$28:$DQ$28,1,AR350),1-INDEX('Lease Cycles'!$DR$28:$DX$28,1,AR350),1))-IF(AR351=0,INDEX('Lease Cycles'!$DD$28:$DJ$28,1,AR350),0))),0)</f>
        <v>0</v>
      </c>
      <c r="AS357" s="28">
        <f>IF(AS352=1,IF(INDEX('Lease Cycles'!$EF$28:$EL$28,1,AS350)=1,0,AS353*(1-IF(AS351&lt;INDEX('Lease Cycles'!$DK$28:$DQ$28,1,AS350),0,IF(AS351=INDEX('Lease Cycles'!$DK$28:$DQ$28,1,AS350),1-INDEX('Lease Cycles'!$DR$28:$DX$28,1,AS350),1))-IF(AS351=0,INDEX('Lease Cycles'!$DD$28:$DJ$28,1,AS350),0))),0)</f>
        <v>0</v>
      </c>
      <c r="AT357" s="28">
        <f>IF(AT352=1,IF(INDEX('Lease Cycles'!$EF$28:$EL$28,1,AT350)=1,0,AT353*(1-IF(AT351&lt;INDEX('Lease Cycles'!$DK$28:$DQ$28,1,AT350),0,IF(AT351=INDEX('Lease Cycles'!$DK$28:$DQ$28,1,AT350),1-INDEX('Lease Cycles'!$DR$28:$DX$28,1,AT350),1))-IF(AT351=0,INDEX('Lease Cycles'!$DD$28:$DJ$28,1,AT350),0))),0)</f>
        <v>0</v>
      </c>
      <c r="AU357" s="28">
        <f>IF(AU352=1,IF(INDEX('Lease Cycles'!$EF$28:$EL$28,1,AU350)=1,0,AU353*(1-IF(AU351&lt;INDEX('Lease Cycles'!$DK$28:$DQ$28,1,AU350),0,IF(AU351=INDEX('Lease Cycles'!$DK$28:$DQ$28,1,AU350),1-INDEX('Lease Cycles'!$DR$28:$DX$28,1,AU350),1))-IF(AU351=0,INDEX('Lease Cycles'!$DD$28:$DJ$28,1,AU350),0))),0)</f>
        <v>0</v>
      </c>
      <c r="AV357" s="28">
        <f>IF(AV352=1,IF(INDEX('Lease Cycles'!$EF$28:$EL$28,1,AV350)=1,0,AV353*(1-IF(AV351&lt;INDEX('Lease Cycles'!$DK$28:$DQ$28,1,AV350),0,IF(AV351=INDEX('Lease Cycles'!$DK$28:$DQ$28,1,AV350),1-INDEX('Lease Cycles'!$DR$28:$DX$28,1,AV350),1))-IF(AV351=0,INDEX('Lease Cycles'!$DD$28:$DJ$28,1,AV350),0))),0)</f>
        <v>0</v>
      </c>
      <c r="AW357" s="28">
        <f>IF(AW352=1,IF(INDEX('Lease Cycles'!$EF$28:$EL$28,1,AW350)=1,0,AW353*(1-IF(AW351&lt;INDEX('Lease Cycles'!$DK$28:$DQ$28,1,AW350),0,IF(AW351=INDEX('Lease Cycles'!$DK$28:$DQ$28,1,AW350),1-INDEX('Lease Cycles'!$DR$28:$DX$28,1,AW350),1))-IF(AW351=0,INDEX('Lease Cycles'!$DD$28:$DJ$28,1,AW350),0))),0)</f>
        <v>0</v>
      </c>
      <c r="AX357" s="28">
        <f>IF(AX352=1,IF(INDEX('Lease Cycles'!$EF$28:$EL$28,1,AX350)=1,0,AX353*(1-IF(AX351&lt;INDEX('Lease Cycles'!$DK$28:$DQ$28,1,AX350),0,IF(AX351=INDEX('Lease Cycles'!$DK$28:$DQ$28,1,AX350),1-INDEX('Lease Cycles'!$DR$28:$DX$28,1,AX350),1))-IF(AX351=0,INDEX('Lease Cycles'!$DD$28:$DJ$28,1,AX350),0))),0)</f>
        <v>0</v>
      </c>
      <c r="AY357" s="28">
        <f>IF(AY352=1,IF(INDEX('Lease Cycles'!$EF$28:$EL$28,1,AY350)=1,0,AY353*(1-IF(AY351&lt;INDEX('Lease Cycles'!$DK$28:$DQ$28,1,AY350),0,IF(AY351=INDEX('Lease Cycles'!$DK$28:$DQ$28,1,AY350),1-INDEX('Lease Cycles'!$DR$28:$DX$28,1,AY350),1))-IF(AY351=0,INDEX('Lease Cycles'!$DD$28:$DJ$28,1,AY350),0))),0)</f>
        <v>0</v>
      </c>
      <c r="AZ357" s="28">
        <f>IF(AZ352=1,IF(INDEX('Lease Cycles'!$EF$28:$EL$28,1,AZ350)=1,0,AZ353*(1-IF(AZ351&lt;INDEX('Lease Cycles'!$DK$28:$DQ$28,1,AZ350),0,IF(AZ351=INDEX('Lease Cycles'!$DK$28:$DQ$28,1,AZ350),1-INDEX('Lease Cycles'!$DR$28:$DX$28,1,AZ350),1))-IF(AZ351=0,INDEX('Lease Cycles'!$DD$28:$DJ$28,1,AZ350),0))),0)</f>
        <v>0</v>
      </c>
      <c r="BA357" s="28">
        <f>IF(BA352=1,IF(INDEX('Lease Cycles'!$EF$28:$EL$28,1,BA350)=1,0,BA353*(1-IF(BA351&lt;INDEX('Lease Cycles'!$DK$28:$DQ$28,1,BA350),0,IF(BA351=INDEX('Lease Cycles'!$DK$28:$DQ$28,1,BA350),1-INDEX('Lease Cycles'!$DR$28:$DX$28,1,BA350),1))-IF(BA351=0,INDEX('Lease Cycles'!$DD$28:$DJ$28,1,BA350),0))),0)</f>
        <v>0</v>
      </c>
      <c r="BB357" s="28">
        <f>IF(BB352=1,IF(INDEX('Lease Cycles'!$EF$28:$EL$28,1,BB350)=1,0,BB353*(1-IF(BB351&lt;INDEX('Lease Cycles'!$DK$28:$DQ$28,1,BB350),0,IF(BB351=INDEX('Lease Cycles'!$DK$28:$DQ$28,1,BB350),1-INDEX('Lease Cycles'!$DR$28:$DX$28,1,BB350),1))-IF(BB351=0,INDEX('Lease Cycles'!$DD$28:$DJ$28,1,BB350),0))),0)</f>
        <v>0</v>
      </c>
      <c r="BC357" s="28">
        <f>IF(BC352=1,IF(INDEX('Lease Cycles'!$EF$28:$EL$28,1,BC350)=1,0,BC353*(1-IF(BC351&lt;INDEX('Lease Cycles'!$DK$28:$DQ$28,1,BC350),0,IF(BC351=INDEX('Lease Cycles'!$DK$28:$DQ$28,1,BC350),1-INDEX('Lease Cycles'!$DR$28:$DX$28,1,BC350),1))-IF(BC351=0,INDEX('Lease Cycles'!$DD$28:$DJ$28,1,BC350),0))),0)</f>
        <v>0</v>
      </c>
      <c r="BD357" s="28">
        <f>IF(BD352=1,IF(INDEX('Lease Cycles'!$EF$28:$EL$28,1,BD350)=1,0,BD353*(1-IF(BD351&lt;INDEX('Lease Cycles'!$DK$28:$DQ$28,1,BD350),0,IF(BD351=INDEX('Lease Cycles'!$DK$28:$DQ$28,1,BD350),1-INDEX('Lease Cycles'!$DR$28:$DX$28,1,BD350),1))-IF(BD351=0,INDEX('Lease Cycles'!$DD$28:$DJ$28,1,BD350),0))),0)</f>
        <v>0</v>
      </c>
      <c r="BE357" s="28">
        <f>IF(BE352=1,IF(INDEX('Lease Cycles'!$EF$28:$EL$28,1,BE350)=1,0,BE353*(1-IF(BE351&lt;INDEX('Lease Cycles'!$DK$28:$DQ$28,1,BE350),0,IF(BE351=INDEX('Lease Cycles'!$DK$28:$DQ$28,1,BE350),1-INDEX('Lease Cycles'!$DR$28:$DX$28,1,BE350),1))-IF(BE351=0,INDEX('Lease Cycles'!$DD$28:$DJ$28,1,BE350),0))),0)</f>
        <v>0</v>
      </c>
      <c r="BF357" s="28">
        <f>IF(BF352=1,IF(INDEX('Lease Cycles'!$EF$28:$EL$28,1,BF350)=1,0,BF353*(1-IF(BF351&lt;INDEX('Lease Cycles'!$DK$28:$DQ$28,1,BF350),0,IF(BF351=INDEX('Lease Cycles'!$DK$28:$DQ$28,1,BF350),1-INDEX('Lease Cycles'!$DR$28:$DX$28,1,BF350),1))-IF(BF351=0,INDEX('Lease Cycles'!$DD$28:$DJ$28,1,BF350),0))),0)</f>
        <v>0</v>
      </c>
      <c r="BG357" s="28">
        <f>IF(BG352=1,IF(INDEX('Lease Cycles'!$EF$28:$EL$28,1,BG350)=1,0,BG353*(1-IF(BG351&lt;INDEX('Lease Cycles'!$DK$28:$DQ$28,1,BG350),0,IF(BG351=INDEX('Lease Cycles'!$DK$28:$DQ$28,1,BG350),1-INDEX('Lease Cycles'!$DR$28:$DX$28,1,BG350),1))-IF(BG351=0,INDEX('Lease Cycles'!$DD$28:$DJ$28,1,BG350),0))),0)</f>
        <v>0</v>
      </c>
      <c r="BH357" s="28">
        <f>IF(BH352=1,IF(INDEX('Lease Cycles'!$EF$28:$EL$28,1,BH350)=1,0,BH353*(1-IF(BH351&lt;INDEX('Lease Cycles'!$DK$28:$DQ$28,1,BH350),0,IF(BH351=INDEX('Lease Cycles'!$DK$28:$DQ$28,1,BH350),1-INDEX('Lease Cycles'!$DR$28:$DX$28,1,BH350),1))-IF(BH351=0,INDEX('Lease Cycles'!$DD$28:$DJ$28,1,BH350),0))),0)</f>
        <v>0</v>
      </c>
      <c r="BI357" s="28">
        <f>IF(BI352=1,IF(INDEX('Lease Cycles'!$EF$28:$EL$28,1,BI350)=1,0,BI353*(1-IF(BI351&lt;INDEX('Lease Cycles'!$DK$28:$DQ$28,1,BI350),0,IF(BI351=INDEX('Lease Cycles'!$DK$28:$DQ$28,1,BI350),1-INDEX('Lease Cycles'!$DR$28:$DX$28,1,BI350),1))-IF(BI351=0,INDEX('Lease Cycles'!$DD$28:$DJ$28,1,BI350),0))),0)</f>
        <v>0</v>
      </c>
      <c r="BJ357" s="28">
        <f>IF(BJ352=1,IF(INDEX('Lease Cycles'!$EF$28:$EL$28,1,BJ350)=1,0,BJ353*(1-IF(BJ351&lt;INDEX('Lease Cycles'!$DK$28:$DQ$28,1,BJ350),0,IF(BJ351=INDEX('Lease Cycles'!$DK$28:$DQ$28,1,BJ350),1-INDEX('Lease Cycles'!$DR$28:$DX$28,1,BJ350),1))-IF(BJ351=0,INDEX('Lease Cycles'!$DD$28:$DJ$28,1,BJ350),0))),0)</f>
        <v>0</v>
      </c>
      <c r="BK357" s="28">
        <f>IF(BK352=1,IF(INDEX('Lease Cycles'!$EF$28:$EL$28,1,BK350)=1,0,BK353*(1-IF(BK351&lt;INDEX('Lease Cycles'!$DK$28:$DQ$28,1,BK350),0,IF(BK351=INDEX('Lease Cycles'!$DK$28:$DQ$28,1,BK350),1-INDEX('Lease Cycles'!$DR$28:$DX$28,1,BK350),1))-IF(BK351=0,INDEX('Lease Cycles'!$DD$28:$DJ$28,1,BK350),0))),0)</f>
        <v>0</v>
      </c>
      <c r="BL357" s="28">
        <f>IF(BL352=1,IF(INDEX('Lease Cycles'!$EF$28:$EL$28,1,BL350)=1,0,BL353*(1-IF(BL351&lt;INDEX('Lease Cycles'!$DK$28:$DQ$28,1,BL350),0,IF(BL351=INDEX('Lease Cycles'!$DK$28:$DQ$28,1,BL350),1-INDEX('Lease Cycles'!$DR$28:$DX$28,1,BL350),1))-IF(BL351=0,INDEX('Lease Cycles'!$DD$28:$DJ$28,1,BL350),0))),0)</f>
        <v>0</v>
      </c>
      <c r="BM357" s="28">
        <f>IF(BM352=1,IF(INDEX('Lease Cycles'!$EF$28:$EL$28,1,BM350)=1,0,BM353*(1-IF(BM351&lt;INDEX('Lease Cycles'!$DK$28:$DQ$28,1,BM350),0,IF(BM351=INDEX('Lease Cycles'!$DK$28:$DQ$28,1,BM350),1-INDEX('Lease Cycles'!$DR$28:$DX$28,1,BM350),1))-IF(BM351=0,INDEX('Lease Cycles'!$DD$28:$DJ$28,1,BM350),0))),0)</f>
        <v>0</v>
      </c>
      <c r="BN357" s="28">
        <f>IF(BN352=1,IF(INDEX('Lease Cycles'!$EF$28:$EL$28,1,BN350)=1,0,BN353*(1-IF(BN351&lt;INDEX('Lease Cycles'!$DK$28:$DQ$28,1,BN350),0,IF(BN351=INDEX('Lease Cycles'!$DK$28:$DQ$28,1,BN350),1-INDEX('Lease Cycles'!$DR$28:$DX$28,1,BN350),1))-IF(BN351=0,INDEX('Lease Cycles'!$DD$28:$DJ$28,1,BN350),0))),0)</f>
        <v>0</v>
      </c>
      <c r="BO357" s="28">
        <f>IF(BO352=1,IF(INDEX('Lease Cycles'!$EF$28:$EL$28,1,BO350)=1,0,BO353*(1-IF(BO351&lt;INDEX('Lease Cycles'!$DK$28:$DQ$28,1,BO350),0,IF(BO351=INDEX('Lease Cycles'!$DK$28:$DQ$28,1,BO350),1-INDEX('Lease Cycles'!$DR$28:$DX$28,1,BO350),1))-IF(BO351=0,INDEX('Lease Cycles'!$DD$28:$DJ$28,1,BO350),0))),0)</f>
        <v>0</v>
      </c>
      <c r="BP357" s="28">
        <f>IF(BP352=1,IF(INDEX('Lease Cycles'!$EF$28:$EL$28,1,BP350)=1,0,BP353*(1-IF(BP351&lt;INDEX('Lease Cycles'!$DK$28:$DQ$28,1,BP350),0,IF(BP351=INDEX('Lease Cycles'!$DK$28:$DQ$28,1,BP350),1-INDEX('Lease Cycles'!$DR$28:$DX$28,1,BP350),1))-IF(BP351=0,INDEX('Lease Cycles'!$DD$28:$DJ$28,1,BP350),0))),0)</f>
        <v>0</v>
      </c>
      <c r="BQ357" s="28">
        <f>IF(BQ352=1,IF(INDEX('Lease Cycles'!$EF$28:$EL$28,1,BQ350)=1,0,BQ353*(1-IF(BQ351&lt;INDEX('Lease Cycles'!$DK$28:$DQ$28,1,BQ350),0,IF(BQ351=INDEX('Lease Cycles'!$DK$28:$DQ$28,1,BQ350),1-INDEX('Lease Cycles'!$DR$28:$DX$28,1,BQ350),1))-IF(BQ351=0,INDEX('Lease Cycles'!$DD$28:$DJ$28,1,BQ350),0))),0)</f>
        <v>0</v>
      </c>
      <c r="BR357" s="28">
        <f>IF(BR352=1,IF(INDEX('Lease Cycles'!$EF$28:$EL$28,1,BR350)=1,0,BR353*(1-IF(BR351&lt;INDEX('Lease Cycles'!$DK$28:$DQ$28,1,BR350),0,IF(BR351=INDEX('Lease Cycles'!$DK$28:$DQ$28,1,BR350),1-INDEX('Lease Cycles'!$DR$28:$DX$28,1,BR350),1))-IF(BR351=0,INDEX('Lease Cycles'!$DD$28:$DJ$28,1,BR350),0))),0)</f>
        <v>0</v>
      </c>
      <c r="BS357" s="28">
        <f>IF(BS352=1,IF(INDEX('Lease Cycles'!$EF$28:$EL$28,1,BS350)=1,0,BS353*(1-IF(BS351&lt;INDEX('Lease Cycles'!$DK$28:$DQ$28,1,BS350),0,IF(BS351=INDEX('Lease Cycles'!$DK$28:$DQ$28,1,BS350),1-INDEX('Lease Cycles'!$DR$28:$DX$28,1,BS350),1))-IF(BS351=0,INDEX('Lease Cycles'!$DD$28:$DJ$28,1,BS350),0))),0)</f>
        <v>0</v>
      </c>
      <c r="BT357" s="28">
        <f>IF(BT352=1,IF(INDEX('Lease Cycles'!$EF$28:$EL$28,1,BT350)=1,0,BT353*(1-IF(BT351&lt;INDEX('Lease Cycles'!$DK$28:$DQ$28,1,BT350),0,IF(BT351=INDEX('Lease Cycles'!$DK$28:$DQ$28,1,BT350),1-INDEX('Lease Cycles'!$DR$28:$DX$28,1,BT350),1))-IF(BT351=0,INDEX('Lease Cycles'!$DD$28:$DJ$28,1,BT350),0))),0)</f>
        <v>0</v>
      </c>
      <c r="BU357" s="28">
        <f>IF(BU352=1,IF(INDEX('Lease Cycles'!$EF$28:$EL$28,1,BU350)=1,0,BU353*(1-IF(BU351&lt;INDEX('Lease Cycles'!$DK$28:$DQ$28,1,BU350),0,IF(BU351=INDEX('Lease Cycles'!$DK$28:$DQ$28,1,BU350),1-INDEX('Lease Cycles'!$DR$28:$DX$28,1,BU350),1))-IF(BU351=0,INDEX('Lease Cycles'!$DD$28:$DJ$28,1,BU350),0))),0)</f>
        <v>0</v>
      </c>
      <c r="BV357" s="28">
        <f>IF(BV352=1,IF(INDEX('Lease Cycles'!$EF$28:$EL$28,1,BV350)=1,0,BV353*(1-IF(BV351&lt;INDEX('Lease Cycles'!$DK$28:$DQ$28,1,BV350),0,IF(BV351=INDEX('Lease Cycles'!$DK$28:$DQ$28,1,BV350),1-INDEX('Lease Cycles'!$DR$28:$DX$28,1,BV350),1))-IF(BV351=0,INDEX('Lease Cycles'!$DD$28:$DJ$28,1,BV350),0))),0)</f>
        <v>0</v>
      </c>
      <c r="BW357" s="28">
        <f>IF(BW352=1,IF(INDEX('Lease Cycles'!$EF$28:$EL$28,1,BW350)=1,0,BW353*(1-IF(BW351&lt;INDEX('Lease Cycles'!$DK$28:$DQ$28,1,BW350),0,IF(BW351=INDEX('Lease Cycles'!$DK$28:$DQ$28,1,BW350),1-INDEX('Lease Cycles'!$DR$28:$DX$28,1,BW350),1))-IF(BW351=0,INDEX('Lease Cycles'!$DD$28:$DJ$28,1,BW350),0))),0)</f>
        <v>0</v>
      </c>
      <c r="BX357" s="28">
        <f>IF(BX352=1,IF(INDEX('Lease Cycles'!$EF$28:$EL$28,1,BX350)=1,0,BX353*(1-IF(BX351&lt;INDEX('Lease Cycles'!$DK$28:$DQ$28,1,BX350),0,IF(BX351=INDEX('Lease Cycles'!$DK$28:$DQ$28,1,BX350),1-INDEX('Lease Cycles'!$DR$28:$DX$28,1,BX350),1))-IF(BX351=0,INDEX('Lease Cycles'!$DD$28:$DJ$28,1,BX350),0))),0)</f>
        <v>0</v>
      </c>
      <c r="BY357" s="28">
        <f>IF(BY352=1,IF(INDEX('Lease Cycles'!$EF$28:$EL$28,1,BY350)=1,0,BY353*(1-IF(BY351&lt;INDEX('Lease Cycles'!$DK$28:$DQ$28,1,BY350),0,IF(BY351=INDEX('Lease Cycles'!$DK$28:$DQ$28,1,BY350),1-INDEX('Lease Cycles'!$DR$28:$DX$28,1,BY350),1))-IF(BY351=0,INDEX('Lease Cycles'!$DD$28:$DJ$28,1,BY350),0))),0)</f>
        <v>0</v>
      </c>
      <c r="BZ357" s="28">
        <f>IF(BZ352=1,IF(INDEX('Lease Cycles'!$EF$28:$EL$28,1,BZ350)=1,0,BZ353*(1-IF(BZ351&lt;INDEX('Lease Cycles'!$DK$28:$DQ$28,1,BZ350),0,IF(BZ351=INDEX('Lease Cycles'!$DK$28:$DQ$28,1,BZ350),1-INDEX('Lease Cycles'!$DR$28:$DX$28,1,BZ350),1))-IF(BZ351=0,INDEX('Lease Cycles'!$DD$28:$DJ$28,1,BZ350),0))),0)</f>
        <v>0</v>
      </c>
      <c r="CA357" s="28">
        <f>IF(CA352=1,IF(INDEX('Lease Cycles'!$EF$28:$EL$28,1,CA350)=1,0,CA353*(1-IF(CA351&lt;INDEX('Lease Cycles'!$DK$28:$DQ$28,1,CA350),0,IF(CA351=INDEX('Lease Cycles'!$DK$28:$DQ$28,1,CA350),1-INDEX('Lease Cycles'!$DR$28:$DX$28,1,CA350),1))-IF(CA351=0,INDEX('Lease Cycles'!$DD$28:$DJ$28,1,CA350),0))),0)</f>
        <v>0</v>
      </c>
      <c r="CB357" s="28">
        <f>IF(CB352=1,IF(INDEX('Lease Cycles'!$EF$28:$EL$28,1,CB350)=1,0,CB353*(1-IF(CB351&lt;INDEX('Lease Cycles'!$DK$28:$DQ$28,1,CB350),0,IF(CB351=INDEX('Lease Cycles'!$DK$28:$DQ$28,1,CB350),1-INDEX('Lease Cycles'!$DR$28:$DX$28,1,CB350),1))-IF(CB351=0,INDEX('Lease Cycles'!$DD$28:$DJ$28,1,CB350),0))),0)</f>
        <v>0</v>
      </c>
      <c r="CC357" s="28">
        <f>IF(CC352=1,IF(INDEX('Lease Cycles'!$EF$28:$EL$28,1,CC350)=1,0,CC353*(1-IF(CC351&lt;INDEX('Lease Cycles'!$DK$28:$DQ$28,1,CC350),0,IF(CC351=INDEX('Lease Cycles'!$DK$28:$DQ$28,1,CC350),1-INDEX('Lease Cycles'!$DR$28:$DX$28,1,CC350),1))-IF(CC351=0,INDEX('Lease Cycles'!$DD$28:$DJ$28,1,CC350),0))),0)</f>
        <v>0</v>
      </c>
      <c r="CD357" s="28">
        <f>IF(CD352=1,IF(INDEX('Lease Cycles'!$EF$28:$EL$28,1,CD350)=1,0,CD353*(1-IF(CD351&lt;INDEX('Lease Cycles'!$DK$28:$DQ$28,1,CD350),0,IF(CD351=INDEX('Lease Cycles'!$DK$28:$DQ$28,1,CD350),1-INDEX('Lease Cycles'!$DR$28:$DX$28,1,CD350),1))-IF(CD351=0,INDEX('Lease Cycles'!$DD$28:$DJ$28,1,CD350),0))),0)</f>
        <v>0</v>
      </c>
      <c r="CE357" s="28">
        <f>IF(CE352=1,IF(INDEX('Lease Cycles'!$EF$28:$EL$28,1,CE350)=1,0,CE353*(1-IF(CE351&lt;INDEX('Lease Cycles'!$DK$28:$DQ$28,1,CE350),0,IF(CE351=INDEX('Lease Cycles'!$DK$28:$DQ$28,1,CE350),1-INDEX('Lease Cycles'!$DR$28:$DX$28,1,CE350),1))-IF(CE351=0,INDEX('Lease Cycles'!$DD$28:$DJ$28,1,CE350),0))),0)</f>
        <v>0</v>
      </c>
      <c r="CF357" s="28">
        <f>IF(CF352=1,IF(INDEX('Lease Cycles'!$EF$28:$EL$28,1,CF350)=1,0,CF353*(1-IF(CF351&lt;INDEX('Lease Cycles'!$DK$28:$DQ$28,1,CF350),0,IF(CF351=INDEX('Lease Cycles'!$DK$28:$DQ$28,1,CF350),1-INDEX('Lease Cycles'!$DR$28:$DX$28,1,CF350),1))-IF(CF351=0,INDEX('Lease Cycles'!$DD$28:$DJ$28,1,CF350),0))),0)</f>
        <v>0</v>
      </c>
      <c r="CG357" s="28">
        <f>IF(CG352=1,IF(INDEX('Lease Cycles'!$EF$28:$EL$28,1,CG350)=1,0,CG353*(1-IF(CG351&lt;INDEX('Lease Cycles'!$DK$28:$DQ$28,1,CG350),0,IF(CG351=INDEX('Lease Cycles'!$DK$28:$DQ$28,1,CG350),1-INDEX('Lease Cycles'!$DR$28:$DX$28,1,CG350),1))-IF(CG351=0,INDEX('Lease Cycles'!$DD$28:$DJ$28,1,CG350),0))),0)</f>
        <v>0</v>
      </c>
      <c r="CH357" s="28">
        <f>IF(CH352=1,IF(INDEX('Lease Cycles'!$EF$28:$EL$28,1,CH350)=1,0,CH353*(1-IF(CH351&lt;INDEX('Lease Cycles'!$DK$28:$DQ$28,1,CH350),0,IF(CH351=INDEX('Lease Cycles'!$DK$28:$DQ$28,1,CH350),1-INDEX('Lease Cycles'!$DR$28:$DX$28,1,CH350),1))-IF(CH351=0,INDEX('Lease Cycles'!$DD$28:$DJ$28,1,CH350),0))),0)</f>
        <v>0</v>
      </c>
      <c r="CI357" s="28">
        <f>IF(CI352=1,IF(INDEX('Lease Cycles'!$EF$28:$EL$28,1,CI350)=1,0,CI353*(1-IF(CI351&lt;INDEX('Lease Cycles'!$DK$28:$DQ$28,1,CI350),0,IF(CI351=INDEX('Lease Cycles'!$DK$28:$DQ$28,1,CI350),1-INDEX('Lease Cycles'!$DR$28:$DX$28,1,CI350),1))-IF(CI351=0,INDEX('Lease Cycles'!$DD$28:$DJ$28,1,CI350),0))),0)</f>
        <v>0</v>
      </c>
      <c r="CJ357" s="28">
        <f>IF(CJ352=1,IF(INDEX('Lease Cycles'!$EF$28:$EL$28,1,CJ350)=1,0,CJ353*(1-IF(CJ351&lt;INDEX('Lease Cycles'!$DK$28:$DQ$28,1,CJ350),0,IF(CJ351=INDEX('Lease Cycles'!$DK$28:$DQ$28,1,CJ350),1-INDEX('Lease Cycles'!$DR$28:$DX$28,1,CJ350),1))-IF(CJ351=0,INDEX('Lease Cycles'!$DD$28:$DJ$28,1,CJ350),0))),0)</f>
        <v>0</v>
      </c>
      <c r="CK357" s="28">
        <f>IF(CK352=1,IF(INDEX('Lease Cycles'!$EF$28:$EL$28,1,CK350)=1,0,CK353*(1-IF(CK351&lt;INDEX('Lease Cycles'!$DK$28:$DQ$28,1,CK350),0,IF(CK351=INDEX('Lease Cycles'!$DK$28:$DQ$28,1,CK350),1-INDEX('Lease Cycles'!$DR$28:$DX$28,1,CK350),1))-IF(CK351=0,INDEX('Lease Cycles'!$DD$28:$DJ$28,1,CK350),0))),0)</f>
        <v>0</v>
      </c>
      <c r="CL357" s="28">
        <f>IF(CL352=1,IF(INDEX('Lease Cycles'!$EF$28:$EL$28,1,CL350)=1,0,CL353*(1-IF(CL351&lt;INDEX('Lease Cycles'!$DK$28:$DQ$28,1,CL350),0,IF(CL351=INDEX('Lease Cycles'!$DK$28:$DQ$28,1,CL350),1-INDEX('Lease Cycles'!$DR$28:$DX$28,1,CL350),1))-IF(CL351=0,INDEX('Lease Cycles'!$DD$28:$DJ$28,1,CL350),0))),0)</f>
        <v>0</v>
      </c>
      <c r="CM357" s="28">
        <f>IF(CM352=1,IF(INDEX('Lease Cycles'!$EF$28:$EL$28,1,CM350)=1,0,CM353*(1-IF(CM351&lt;INDEX('Lease Cycles'!$DK$28:$DQ$28,1,CM350),0,IF(CM351=INDEX('Lease Cycles'!$DK$28:$DQ$28,1,CM350),1-INDEX('Lease Cycles'!$DR$28:$DX$28,1,CM350),1))-IF(CM351=0,INDEX('Lease Cycles'!$DD$28:$DJ$28,1,CM350),0))),0)</f>
        <v>0</v>
      </c>
      <c r="CN357" s="28">
        <f>IF(CN352=1,IF(INDEX('Lease Cycles'!$EF$28:$EL$28,1,CN350)=1,0,CN353*(1-IF(CN351&lt;INDEX('Lease Cycles'!$DK$28:$DQ$28,1,CN350),0,IF(CN351=INDEX('Lease Cycles'!$DK$28:$DQ$28,1,CN350),1-INDEX('Lease Cycles'!$DR$28:$DX$28,1,CN350),1))-IF(CN351=0,INDEX('Lease Cycles'!$DD$28:$DJ$28,1,CN350),0))),0)</f>
        <v>0</v>
      </c>
      <c r="CO357" s="28">
        <f>IF(CO352=1,IF(INDEX('Lease Cycles'!$EF$28:$EL$28,1,CO350)=1,0,CO353*(1-IF(CO351&lt;INDEX('Lease Cycles'!$DK$28:$DQ$28,1,CO350),0,IF(CO351=INDEX('Lease Cycles'!$DK$28:$DQ$28,1,CO350),1-INDEX('Lease Cycles'!$DR$28:$DX$28,1,CO350),1))-IF(CO351=0,INDEX('Lease Cycles'!$DD$28:$DJ$28,1,CO350),0))),0)</f>
        <v>0</v>
      </c>
      <c r="CP357" s="28">
        <f>IF(CP352=1,IF(INDEX('Lease Cycles'!$EF$28:$EL$28,1,CP350)=1,0,CP353*(1-IF(CP351&lt;INDEX('Lease Cycles'!$DK$28:$DQ$28,1,CP350),0,IF(CP351=INDEX('Lease Cycles'!$DK$28:$DQ$28,1,CP350),1-INDEX('Lease Cycles'!$DR$28:$DX$28,1,CP350),1))-IF(CP351=0,INDEX('Lease Cycles'!$DD$28:$DJ$28,1,CP350),0))),0)</f>
        <v>0</v>
      </c>
      <c r="CQ357" s="28">
        <f>IF(CQ352=1,IF(INDEX('Lease Cycles'!$EF$28:$EL$28,1,CQ350)=1,0,CQ353*(1-IF(CQ351&lt;INDEX('Lease Cycles'!$DK$28:$DQ$28,1,CQ350),0,IF(CQ351=INDEX('Lease Cycles'!$DK$28:$DQ$28,1,CQ350),1-INDEX('Lease Cycles'!$DR$28:$DX$28,1,CQ350),1))-IF(CQ351=0,INDEX('Lease Cycles'!$DD$28:$DJ$28,1,CQ350),0))),0)</f>
        <v>0</v>
      </c>
      <c r="CR357" s="28">
        <f>IF(CR352=1,IF(INDEX('Lease Cycles'!$EF$28:$EL$28,1,CR350)=1,0,CR353*(1-IF(CR351&lt;INDEX('Lease Cycles'!$DK$28:$DQ$28,1,CR350),0,IF(CR351=INDEX('Lease Cycles'!$DK$28:$DQ$28,1,CR350),1-INDEX('Lease Cycles'!$DR$28:$DX$28,1,CR350),1))-IF(CR351=0,INDEX('Lease Cycles'!$DD$28:$DJ$28,1,CR350),0))),0)</f>
        <v>0</v>
      </c>
      <c r="CS357" s="28">
        <f>IF(CS352=1,IF(INDEX('Lease Cycles'!$EF$28:$EL$28,1,CS350)=1,0,CS353*(1-IF(CS351&lt;INDEX('Lease Cycles'!$DK$28:$DQ$28,1,CS350),0,IF(CS351=INDEX('Lease Cycles'!$DK$28:$DQ$28,1,CS350),1-INDEX('Lease Cycles'!$DR$28:$DX$28,1,CS350),1))-IF(CS351=0,INDEX('Lease Cycles'!$DD$28:$DJ$28,1,CS350),0))),0)</f>
        <v>0</v>
      </c>
      <c r="CT357" s="28">
        <f>IF(CT352=1,IF(INDEX('Lease Cycles'!$EF$28:$EL$28,1,CT350)=1,0,CT353*(1-IF(CT351&lt;INDEX('Lease Cycles'!$DK$28:$DQ$28,1,CT350),0,IF(CT351=INDEX('Lease Cycles'!$DK$28:$DQ$28,1,CT350),1-INDEX('Lease Cycles'!$DR$28:$DX$28,1,CT350),1))-IF(CT351=0,INDEX('Lease Cycles'!$DD$28:$DJ$28,1,CT350),0))),0)</f>
        <v>0</v>
      </c>
      <c r="CU357" s="28">
        <f>IF(CU352=1,IF(INDEX('Lease Cycles'!$EF$28:$EL$28,1,CU350)=1,0,CU353*(1-IF(CU351&lt;INDEX('Lease Cycles'!$DK$28:$DQ$28,1,CU350),0,IF(CU351=INDEX('Lease Cycles'!$DK$28:$DQ$28,1,CU350),1-INDEX('Lease Cycles'!$DR$28:$DX$28,1,CU350),1))-IF(CU351=0,INDEX('Lease Cycles'!$DD$28:$DJ$28,1,CU350),0))),0)</f>
        <v>0</v>
      </c>
      <c r="CV357" s="28">
        <f>IF(CV352=1,IF(INDEX('Lease Cycles'!$EF$28:$EL$28,1,CV350)=1,0,CV353*(1-IF(CV351&lt;INDEX('Lease Cycles'!$DK$28:$DQ$28,1,CV350),0,IF(CV351=INDEX('Lease Cycles'!$DK$28:$DQ$28,1,CV350),1-INDEX('Lease Cycles'!$DR$28:$DX$28,1,CV350),1))-IF(CV351=0,INDEX('Lease Cycles'!$DD$28:$DJ$28,1,CV350),0))),0)</f>
        <v>0</v>
      </c>
      <c r="CW357" s="28">
        <f>IF(CW352=1,IF(INDEX('Lease Cycles'!$EF$28:$EL$28,1,CW350)=1,0,CW353*(1-IF(CW351&lt;INDEX('Lease Cycles'!$DK$28:$DQ$28,1,CW350),0,IF(CW351=INDEX('Lease Cycles'!$DK$28:$DQ$28,1,CW350),1-INDEX('Lease Cycles'!$DR$28:$DX$28,1,CW350),1))-IF(CW351=0,INDEX('Lease Cycles'!$DD$28:$DJ$28,1,CW350),0))),0)</f>
        <v>0</v>
      </c>
      <c r="CX357" s="28">
        <f>IF(CX352=1,IF(INDEX('Lease Cycles'!$EF$28:$EL$28,1,CX350)=1,0,CX353*(1-IF(CX351&lt;INDEX('Lease Cycles'!$DK$28:$DQ$28,1,CX350),0,IF(CX351=INDEX('Lease Cycles'!$DK$28:$DQ$28,1,CX350),1-INDEX('Lease Cycles'!$DR$28:$DX$28,1,CX350),1))-IF(CX351=0,INDEX('Lease Cycles'!$DD$28:$DJ$28,1,CX350),0))),0)</f>
        <v>0</v>
      </c>
      <c r="CY357" s="28">
        <f>IF(CY352=1,IF(INDEX('Lease Cycles'!$EF$28:$EL$28,1,CY350)=1,0,CY353*(1-IF(CY351&lt;INDEX('Lease Cycles'!$DK$28:$DQ$28,1,CY350),0,IF(CY351=INDEX('Lease Cycles'!$DK$28:$DQ$28,1,CY350),1-INDEX('Lease Cycles'!$DR$28:$DX$28,1,CY350),1))-IF(CY351=0,INDEX('Lease Cycles'!$DD$28:$DJ$28,1,CY350),0))),0)</f>
        <v>0</v>
      </c>
      <c r="CZ357" s="28">
        <f>IF(CZ352=1,IF(INDEX('Lease Cycles'!$EF$28:$EL$28,1,CZ350)=1,0,CZ353*(1-IF(CZ351&lt;INDEX('Lease Cycles'!$DK$28:$DQ$28,1,CZ350),0,IF(CZ351=INDEX('Lease Cycles'!$DK$28:$DQ$28,1,CZ350),1-INDEX('Lease Cycles'!$DR$28:$DX$28,1,CZ350),1))-IF(CZ351=0,INDEX('Lease Cycles'!$DD$28:$DJ$28,1,CZ350),0))),0)</f>
        <v>0</v>
      </c>
      <c r="DA357" s="28">
        <f>IF(DA352=1,IF(INDEX('Lease Cycles'!$EF$28:$EL$28,1,DA350)=1,0,DA353*(1-IF(DA351&lt;INDEX('Lease Cycles'!$DK$28:$DQ$28,1,DA350),0,IF(DA351=INDEX('Lease Cycles'!$DK$28:$DQ$28,1,DA350),1-INDEX('Lease Cycles'!$DR$28:$DX$28,1,DA350),1))-IF(DA351=0,INDEX('Lease Cycles'!$DD$28:$DJ$28,1,DA350),0))),0)</f>
        <v>0</v>
      </c>
      <c r="DB357" s="28">
        <f>IF(DB352=1,IF(INDEX('Lease Cycles'!$EF$28:$EL$28,1,DB350)=1,0,DB353*(1-IF(DB351&lt;INDEX('Lease Cycles'!$DK$28:$DQ$28,1,DB350),0,IF(DB351=INDEX('Lease Cycles'!$DK$28:$DQ$28,1,DB350),1-INDEX('Lease Cycles'!$DR$28:$DX$28,1,DB350),1))-IF(DB351=0,INDEX('Lease Cycles'!$DD$28:$DJ$28,1,DB350),0))),0)</f>
        <v>0</v>
      </c>
      <c r="DC357" s="28">
        <f>IF(DC352=1,IF(INDEX('Lease Cycles'!$EF$28:$EL$28,1,DC350)=1,0,DC353*(1-IF(DC351&lt;INDEX('Lease Cycles'!$DK$28:$DQ$28,1,DC350),0,IF(DC351=INDEX('Lease Cycles'!$DK$28:$DQ$28,1,DC350),1-INDEX('Lease Cycles'!$DR$28:$DX$28,1,DC350),1))-IF(DC351=0,INDEX('Lease Cycles'!$DD$28:$DJ$28,1,DC350),0))),0)</f>
        <v>0</v>
      </c>
      <c r="DD357" s="28">
        <f>IF(DD352=1,IF(INDEX('Lease Cycles'!$EF$28:$EL$28,1,DD350)=1,0,DD353*(1-IF(DD351&lt;INDEX('Lease Cycles'!$DK$28:$DQ$28,1,DD350),0,IF(DD351=INDEX('Lease Cycles'!$DK$28:$DQ$28,1,DD350),1-INDEX('Lease Cycles'!$DR$28:$DX$28,1,DD350),1))-IF(DD351=0,INDEX('Lease Cycles'!$DD$28:$DJ$28,1,DD350),0))),0)</f>
        <v>0</v>
      </c>
      <c r="DE357" s="28">
        <f>IF(DE352=1,IF(INDEX('Lease Cycles'!$EF$28:$EL$28,1,DE350)=1,0,DE353*(1-IF(DE351&lt;INDEX('Lease Cycles'!$DK$28:$DQ$28,1,DE350),0,IF(DE351=INDEX('Lease Cycles'!$DK$28:$DQ$28,1,DE350),1-INDEX('Lease Cycles'!$DR$28:$DX$28,1,DE350),1))-IF(DE351=0,INDEX('Lease Cycles'!$DD$28:$DJ$28,1,DE350),0))),0)</f>
        <v>0</v>
      </c>
      <c r="DF357" s="28">
        <f>IF(DF352=1,IF(INDEX('Lease Cycles'!$EF$28:$EL$28,1,DF350)=1,0,DF353*(1-IF(DF351&lt;INDEX('Lease Cycles'!$DK$28:$DQ$28,1,DF350),0,IF(DF351=INDEX('Lease Cycles'!$DK$28:$DQ$28,1,DF350),1-INDEX('Lease Cycles'!$DR$28:$DX$28,1,DF350),1))-IF(DF351=0,INDEX('Lease Cycles'!$DD$28:$DJ$28,1,DF350),0))),0)</f>
        <v>0</v>
      </c>
      <c r="DG357" s="28">
        <f>IF(DG352=1,IF(INDEX('Lease Cycles'!$EF$28:$EL$28,1,DG350)=1,0,DG353*(1-IF(DG351&lt;INDEX('Lease Cycles'!$DK$28:$DQ$28,1,DG350),0,IF(DG351=INDEX('Lease Cycles'!$DK$28:$DQ$28,1,DG350),1-INDEX('Lease Cycles'!$DR$28:$DX$28,1,DG350),1))-IF(DG351=0,INDEX('Lease Cycles'!$DD$28:$DJ$28,1,DG350),0))),0)</f>
        <v>0</v>
      </c>
      <c r="DH357" s="28">
        <f>IF(DH352=1,IF(INDEX('Lease Cycles'!$EF$28:$EL$28,1,DH350)=1,0,DH353*(1-IF(DH351&lt;INDEX('Lease Cycles'!$DK$28:$DQ$28,1,DH350),0,IF(DH351=INDEX('Lease Cycles'!$DK$28:$DQ$28,1,DH350),1-INDEX('Lease Cycles'!$DR$28:$DX$28,1,DH350),1))-IF(DH351=0,INDEX('Lease Cycles'!$DD$28:$DJ$28,1,DH350),0))),0)</f>
        <v>0</v>
      </c>
      <c r="DI357" s="28">
        <f>IF(DI352=1,IF(INDEX('Lease Cycles'!$EF$28:$EL$28,1,DI350)=1,0,DI353*(1-IF(DI351&lt;INDEX('Lease Cycles'!$DK$28:$DQ$28,1,DI350),0,IF(DI351=INDEX('Lease Cycles'!$DK$28:$DQ$28,1,DI350),1-INDEX('Lease Cycles'!$DR$28:$DX$28,1,DI350),1))-IF(DI351=0,INDEX('Lease Cycles'!$DD$28:$DJ$28,1,DI350),0))),0)</f>
        <v>0</v>
      </c>
      <c r="DJ357" s="28">
        <f>IF(DJ352=1,IF(INDEX('Lease Cycles'!$EF$28:$EL$28,1,DJ350)=1,0,DJ353*(1-IF(DJ351&lt;INDEX('Lease Cycles'!$DK$28:$DQ$28,1,DJ350),0,IF(DJ351=INDEX('Lease Cycles'!$DK$28:$DQ$28,1,DJ350),1-INDEX('Lease Cycles'!$DR$28:$DX$28,1,DJ350),1))-IF(DJ351=0,INDEX('Lease Cycles'!$DD$28:$DJ$28,1,DJ350),0))),0)</f>
        <v>0</v>
      </c>
      <c r="DK357" s="28">
        <f>IF(DK352=1,IF(INDEX('Lease Cycles'!$EF$28:$EL$28,1,DK350)=1,0,DK353*(1-IF(DK351&lt;INDEX('Lease Cycles'!$DK$28:$DQ$28,1,DK350),0,IF(DK351=INDEX('Lease Cycles'!$DK$28:$DQ$28,1,DK350),1-INDEX('Lease Cycles'!$DR$28:$DX$28,1,DK350),1))-IF(DK351=0,INDEX('Lease Cycles'!$DD$28:$DJ$28,1,DK350),0))),0)</f>
        <v>0</v>
      </c>
      <c r="DL357" s="28">
        <f>IF(DL352=1,IF(INDEX('Lease Cycles'!$EF$28:$EL$28,1,DL350)=1,0,DL353*(1-IF(DL351&lt;INDEX('Lease Cycles'!$DK$28:$DQ$28,1,DL350),0,IF(DL351=INDEX('Lease Cycles'!$DK$28:$DQ$28,1,DL350),1-INDEX('Lease Cycles'!$DR$28:$DX$28,1,DL350),1))-IF(DL351=0,INDEX('Lease Cycles'!$DD$28:$DJ$28,1,DL350),0))),0)</f>
        <v>0</v>
      </c>
      <c r="DM357" s="28">
        <f>IF(DM352=1,IF(INDEX('Lease Cycles'!$EF$28:$EL$28,1,DM350)=1,0,DM353*(1-IF(DM351&lt;INDEX('Lease Cycles'!$DK$28:$DQ$28,1,DM350),0,IF(DM351=INDEX('Lease Cycles'!$DK$28:$DQ$28,1,DM350),1-INDEX('Lease Cycles'!$DR$28:$DX$28,1,DM350),1))-IF(DM351=0,INDEX('Lease Cycles'!$DD$28:$DJ$28,1,DM350),0))),0)</f>
        <v>0</v>
      </c>
      <c r="DN357" s="28">
        <f>IF(DN352=1,IF(INDEX('Lease Cycles'!$EF$28:$EL$28,1,DN350)=1,0,DN353*(1-IF(DN351&lt;INDEX('Lease Cycles'!$DK$28:$DQ$28,1,DN350),0,IF(DN351=INDEX('Lease Cycles'!$DK$28:$DQ$28,1,DN350),1-INDEX('Lease Cycles'!$DR$28:$DX$28,1,DN350),1))-IF(DN351=0,INDEX('Lease Cycles'!$DD$28:$DJ$28,1,DN350),0))),0)</f>
        <v>0</v>
      </c>
      <c r="DO357" s="28">
        <f>IF(DO352=1,IF(INDEX('Lease Cycles'!$EF$28:$EL$28,1,DO350)=1,0,DO353*(1-IF(DO351&lt;INDEX('Lease Cycles'!$DK$28:$DQ$28,1,DO350),0,IF(DO351=INDEX('Lease Cycles'!$DK$28:$DQ$28,1,DO350),1-INDEX('Lease Cycles'!$DR$28:$DX$28,1,DO350),1))-IF(DO351=0,INDEX('Lease Cycles'!$DD$28:$DJ$28,1,DO350),0))),0)</f>
        <v>0</v>
      </c>
      <c r="DP357" s="28">
        <f>IF(DP352=1,IF(INDEX('Lease Cycles'!$EF$28:$EL$28,1,DP350)=1,0,DP353*(1-IF(DP351&lt;INDEX('Lease Cycles'!$DK$28:$DQ$28,1,DP350),0,IF(DP351=INDEX('Lease Cycles'!$DK$28:$DQ$28,1,DP350),1-INDEX('Lease Cycles'!$DR$28:$DX$28,1,DP350),1))-IF(DP351=0,INDEX('Lease Cycles'!$DD$28:$DJ$28,1,DP350),0))),0)</f>
        <v>0</v>
      </c>
      <c r="DQ357" s="28">
        <f>IF(DQ352=1,IF(INDEX('Lease Cycles'!$EF$28:$EL$28,1,DQ350)=1,0,DQ353*(1-IF(DQ351&lt;INDEX('Lease Cycles'!$DK$28:$DQ$28,1,DQ350),0,IF(DQ351=INDEX('Lease Cycles'!$DK$28:$DQ$28,1,DQ350),1-INDEX('Lease Cycles'!$DR$28:$DX$28,1,DQ350),1))-IF(DQ351=0,INDEX('Lease Cycles'!$DD$28:$DJ$28,1,DQ350),0))),0)</f>
        <v>0</v>
      </c>
      <c r="DR357" s="28">
        <f>IF(DR352=1,IF(INDEX('Lease Cycles'!$EF$28:$EL$28,1,DR350)=1,0,DR353*(1-IF(DR351&lt;INDEX('Lease Cycles'!$DK$28:$DQ$28,1,DR350),0,IF(DR351=INDEX('Lease Cycles'!$DK$28:$DQ$28,1,DR350),1-INDEX('Lease Cycles'!$DR$28:$DX$28,1,DR350),1))-IF(DR351=0,INDEX('Lease Cycles'!$DD$28:$DJ$28,1,DR350),0))),0)</f>
        <v>0</v>
      </c>
      <c r="DS357" s="28">
        <f>IF(DS352=1,IF(INDEX('Lease Cycles'!$EF$28:$EL$28,1,DS350)=1,0,DS353*(1-IF(DS351&lt;INDEX('Lease Cycles'!$DK$28:$DQ$28,1,DS350),0,IF(DS351=INDEX('Lease Cycles'!$DK$28:$DQ$28,1,DS350),1-INDEX('Lease Cycles'!$DR$28:$DX$28,1,DS350),1))-IF(DS351=0,INDEX('Lease Cycles'!$DD$28:$DJ$28,1,DS350),0))),0)</f>
        <v>0</v>
      </c>
      <c r="DT357" s="28">
        <f>IF(DT352=1,IF(INDEX('Lease Cycles'!$EF$28:$EL$28,1,DT350)=1,0,DT353*(1-IF(DT351&lt;INDEX('Lease Cycles'!$DK$28:$DQ$28,1,DT350),0,IF(DT351=INDEX('Lease Cycles'!$DK$28:$DQ$28,1,DT350),1-INDEX('Lease Cycles'!$DR$28:$DX$28,1,DT350),1))-IF(DT351=0,INDEX('Lease Cycles'!$DD$28:$DJ$28,1,DT350),0))),0)</f>
        <v>0</v>
      </c>
      <c r="DU357" s="28">
        <f>IF(DU352=1,IF(INDEX('Lease Cycles'!$EF$28:$EL$28,1,DU350)=1,0,DU353*(1-IF(DU351&lt;INDEX('Lease Cycles'!$DK$28:$DQ$28,1,DU350),0,IF(DU351=INDEX('Lease Cycles'!$DK$28:$DQ$28,1,DU350),1-INDEX('Lease Cycles'!$DR$28:$DX$28,1,DU350),1))-IF(DU351=0,INDEX('Lease Cycles'!$DD$28:$DJ$28,1,DU350),0))),0)</f>
        <v>0</v>
      </c>
      <c r="DV357" s="28">
        <f>IF(DV352=1,IF(INDEX('Lease Cycles'!$EF$28:$EL$28,1,DV350)=1,0,DV353*(1-IF(DV351&lt;INDEX('Lease Cycles'!$DK$28:$DQ$28,1,DV350),0,IF(DV351=INDEX('Lease Cycles'!$DK$28:$DQ$28,1,DV350),1-INDEX('Lease Cycles'!$DR$28:$DX$28,1,DV350),1))-IF(DV351=0,INDEX('Lease Cycles'!$DD$28:$DJ$28,1,DV350),0))),0)</f>
        <v>0</v>
      </c>
      <c r="DW357" s="28">
        <f>IF(DW352=1,IF(INDEX('Lease Cycles'!$EF$28:$EL$28,1,DW350)=1,0,DW353*(1-IF(DW351&lt;INDEX('Lease Cycles'!$DK$28:$DQ$28,1,DW350),0,IF(DW351=INDEX('Lease Cycles'!$DK$28:$DQ$28,1,DW350),1-INDEX('Lease Cycles'!$DR$28:$DX$28,1,DW350),1))-IF(DW351=0,INDEX('Lease Cycles'!$DD$28:$DJ$28,1,DW350),0))),0)</f>
        <v>0</v>
      </c>
      <c r="DX357" s="28">
        <f>IF(DX352=1,IF(INDEX('Lease Cycles'!$EF$28:$EL$28,1,DX350)=1,0,DX353*(1-IF(DX351&lt;INDEX('Lease Cycles'!$DK$28:$DQ$28,1,DX350),0,IF(DX351=INDEX('Lease Cycles'!$DK$28:$DQ$28,1,DX350),1-INDEX('Lease Cycles'!$DR$28:$DX$28,1,DX350),1))-IF(DX351=0,INDEX('Lease Cycles'!$DD$28:$DJ$28,1,DX350),0))),0)</f>
        <v>0</v>
      </c>
      <c r="DY357" s="28">
        <f>IF(DY352=1,IF(INDEX('Lease Cycles'!$EF$28:$EL$28,1,DY350)=1,0,DY353*(1-IF(DY351&lt;INDEX('Lease Cycles'!$DK$28:$DQ$28,1,DY350),0,IF(DY351=INDEX('Lease Cycles'!$DK$28:$DQ$28,1,DY350),1-INDEX('Lease Cycles'!$DR$28:$DX$28,1,DY350),1))-IF(DY351=0,INDEX('Lease Cycles'!$DD$28:$DJ$28,1,DY350),0))),0)</f>
        <v>0</v>
      </c>
      <c r="DZ357" s="28">
        <f>IF(DZ352=1,IF(INDEX('Lease Cycles'!$EF$28:$EL$28,1,DZ350)=1,0,DZ353*(1-IF(DZ351&lt;INDEX('Lease Cycles'!$DK$28:$DQ$28,1,DZ350),0,IF(DZ351=INDEX('Lease Cycles'!$DK$28:$DQ$28,1,DZ350),1-INDEX('Lease Cycles'!$DR$28:$DX$28,1,DZ350),1))-IF(DZ351=0,INDEX('Lease Cycles'!$DD$28:$DJ$28,1,DZ350),0))),0)</f>
        <v>0</v>
      </c>
      <c r="EA357" s="28">
        <f>IF(EA352=1,IF(INDEX('Lease Cycles'!$EF$28:$EL$28,1,EA350)=1,0,EA353*(1-IF(EA351&lt;INDEX('Lease Cycles'!$DK$28:$DQ$28,1,EA350),0,IF(EA351=INDEX('Lease Cycles'!$DK$28:$DQ$28,1,EA350),1-INDEX('Lease Cycles'!$DR$28:$DX$28,1,EA350),1))-IF(EA351=0,INDEX('Lease Cycles'!$DD$28:$DJ$28,1,EA350),0))),0)</f>
        <v>0</v>
      </c>
      <c r="EB357" s="28">
        <f>IF(EB352=1,IF(INDEX('Lease Cycles'!$EF$28:$EL$28,1,EB350)=1,0,EB353*(1-IF(EB351&lt;INDEX('Lease Cycles'!$DK$28:$DQ$28,1,EB350),0,IF(EB351=INDEX('Lease Cycles'!$DK$28:$DQ$28,1,EB350),1-INDEX('Lease Cycles'!$DR$28:$DX$28,1,EB350),1))-IF(EB351=0,INDEX('Lease Cycles'!$DD$28:$DJ$28,1,EB350),0))),0)</f>
        <v>0</v>
      </c>
      <c r="EC357" s="28">
        <f>IF(EC352=1,IF(INDEX('Lease Cycles'!$EF$28:$EL$28,1,EC350)=1,0,EC353*(1-IF(EC351&lt;INDEX('Lease Cycles'!$DK$28:$DQ$28,1,EC350),0,IF(EC351=INDEX('Lease Cycles'!$DK$28:$DQ$28,1,EC350),1-INDEX('Lease Cycles'!$DR$28:$DX$28,1,EC350),1))-IF(EC351=0,INDEX('Lease Cycles'!$DD$28:$DJ$28,1,EC350),0))),0)</f>
        <v>0</v>
      </c>
      <c r="ED357" s="28">
        <f>IF(ED352=1,IF(INDEX('Lease Cycles'!$EF$28:$EL$28,1,ED350)=1,0,ED353*(1-IF(ED351&lt;INDEX('Lease Cycles'!$DK$28:$DQ$28,1,ED350),0,IF(ED351=INDEX('Lease Cycles'!$DK$28:$DQ$28,1,ED350),1-INDEX('Lease Cycles'!$DR$28:$DX$28,1,ED350),1))-IF(ED351=0,INDEX('Lease Cycles'!$DD$28:$DJ$28,1,ED350),0))),0)</f>
        <v>0</v>
      </c>
      <c r="EE357" s="28">
        <f>IF(EE352=1,IF(INDEX('Lease Cycles'!$EF$28:$EL$28,1,EE350)=1,0,EE353*(1-IF(EE351&lt;INDEX('Lease Cycles'!$DK$28:$DQ$28,1,EE350),0,IF(EE351=INDEX('Lease Cycles'!$DK$28:$DQ$28,1,EE350),1-INDEX('Lease Cycles'!$DR$28:$DX$28,1,EE350),1))-IF(EE351=0,INDEX('Lease Cycles'!$DD$28:$DJ$28,1,EE350),0))),0)</f>
        <v>0</v>
      </c>
      <c r="EF357" s="28">
        <f>IF(EF352=1,IF(INDEX('Lease Cycles'!$EF$28:$EL$28,1,EF350)=1,0,EF353*(1-IF(EF351&lt;INDEX('Lease Cycles'!$DK$28:$DQ$28,1,EF350),0,IF(EF351=INDEX('Lease Cycles'!$DK$28:$DQ$28,1,EF350),1-INDEX('Lease Cycles'!$DR$28:$DX$28,1,EF350),1))-IF(EF351=0,INDEX('Lease Cycles'!$DD$28:$DJ$28,1,EF350),0))),0)</f>
        <v>0</v>
      </c>
      <c r="EG357" s="28">
        <f>IF(EG352=1,IF(INDEX('Lease Cycles'!$EF$28:$EL$28,1,EG350)=1,0,EG353*(1-IF(EG351&lt;INDEX('Lease Cycles'!$DK$28:$DQ$28,1,EG350),0,IF(EG351=INDEX('Lease Cycles'!$DK$28:$DQ$28,1,EG350),1-INDEX('Lease Cycles'!$DR$28:$DX$28,1,EG350),1))-IF(EG351=0,INDEX('Lease Cycles'!$DD$28:$DJ$28,1,EG350),0))),0)</f>
        <v>0</v>
      </c>
      <c r="EH357" s="28">
        <f>IF(EH352=1,IF(INDEX('Lease Cycles'!$EF$28:$EL$28,1,EH350)=1,0,EH353*(1-IF(EH351&lt;INDEX('Lease Cycles'!$DK$28:$DQ$28,1,EH350),0,IF(EH351=INDEX('Lease Cycles'!$DK$28:$DQ$28,1,EH350),1-INDEX('Lease Cycles'!$DR$28:$DX$28,1,EH350),1))-IF(EH351=0,INDEX('Lease Cycles'!$DD$28:$DJ$28,1,EH350),0))),0)</f>
        <v>0</v>
      </c>
      <c r="EI357" s="28">
        <f>IF(EI352=1,IF(INDEX('Lease Cycles'!$EF$28:$EL$28,1,EI350)=1,0,EI353*(1-IF(EI351&lt;INDEX('Lease Cycles'!$DK$28:$DQ$28,1,EI350),0,IF(EI351=INDEX('Lease Cycles'!$DK$28:$DQ$28,1,EI350),1-INDEX('Lease Cycles'!$DR$28:$DX$28,1,EI350),1))-IF(EI351=0,INDEX('Lease Cycles'!$DD$28:$DJ$28,1,EI350),0))),0)</f>
        <v>0</v>
      </c>
      <c r="EJ357" s="28">
        <f>IF(EJ352=1,IF(INDEX('Lease Cycles'!$EF$28:$EL$28,1,EJ350)=1,0,EJ353*(1-IF(EJ351&lt;INDEX('Lease Cycles'!$DK$28:$DQ$28,1,EJ350),0,IF(EJ351=INDEX('Lease Cycles'!$DK$28:$DQ$28,1,EJ350),1-INDEX('Lease Cycles'!$DR$28:$DX$28,1,EJ350),1))-IF(EJ351=0,INDEX('Lease Cycles'!$DD$28:$DJ$28,1,EJ350),0))),0)</f>
        <v>0</v>
      </c>
      <c r="EK357" s="28">
        <f>IF(EK352=1,IF(INDEX('Lease Cycles'!$EF$28:$EL$28,1,EK350)=1,0,EK353*(1-IF(EK351&lt;INDEX('Lease Cycles'!$DK$28:$DQ$28,1,EK350),0,IF(EK351=INDEX('Lease Cycles'!$DK$28:$DQ$28,1,EK350),1-INDEX('Lease Cycles'!$DR$28:$DX$28,1,EK350),1))-IF(EK351=0,INDEX('Lease Cycles'!$DD$28:$DJ$28,1,EK350),0))),0)</f>
        <v>0</v>
      </c>
      <c r="EL357" s="28">
        <f>IF(EL352=1,IF(INDEX('Lease Cycles'!$EF$28:$EL$28,1,EL350)=1,0,EL353*(1-IF(EL351&lt;INDEX('Lease Cycles'!$DK$28:$DQ$28,1,EL350),0,IF(EL351=INDEX('Lease Cycles'!$DK$28:$DQ$28,1,EL350),1-INDEX('Lease Cycles'!$DR$28:$DX$28,1,EL350),1))-IF(EL351=0,INDEX('Lease Cycles'!$DD$28:$DJ$28,1,EL350),0))),0)</f>
        <v>0</v>
      </c>
      <c r="EM357" s="28">
        <f>IF(EM352=1,IF(INDEX('Lease Cycles'!$EF$28:$EL$28,1,EM350)=1,0,EM353*(1-IF(EM351&lt;INDEX('Lease Cycles'!$DK$28:$DQ$28,1,EM350),0,IF(EM351=INDEX('Lease Cycles'!$DK$28:$DQ$28,1,EM350),1-INDEX('Lease Cycles'!$DR$28:$DX$28,1,EM350),1))-IF(EM351=0,INDEX('Lease Cycles'!$DD$28:$DJ$28,1,EM350),0))),0)</f>
        <v>0</v>
      </c>
      <c r="EN357" s="28">
        <f>IF(EN352=1,IF(INDEX('Lease Cycles'!$EF$28:$EL$28,1,EN350)=1,0,EN353*(1-IF(EN351&lt;INDEX('Lease Cycles'!$DK$28:$DQ$28,1,EN350),0,IF(EN351=INDEX('Lease Cycles'!$DK$28:$DQ$28,1,EN350),1-INDEX('Lease Cycles'!$DR$28:$DX$28,1,EN350),1))-IF(EN351=0,INDEX('Lease Cycles'!$DD$28:$DJ$28,1,EN350),0))),0)</f>
        <v>0</v>
      </c>
      <c r="EO357" s="28">
        <f>IF(EO352=1,IF(INDEX('Lease Cycles'!$EF$28:$EL$28,1,EO350)=1,0,EO353*(1-IF(EO351&lt;INDEX('Lease Cycles'!$DK$28:$DQ$28,1,EO350),0,IF(EO351=INDEX('Lease Cycles'!$DK$28:$DQ$28,1,EO350),1-INDEX('Lease Cycles'!$DR$28:$DX$28,1,EO350),1))-IF(EO351=0,INDEX('Lease Cycles'!$DD$28:$DJ$28,1,EO350),0))),0)</f>
        <v>0</v>
      </c>
      <c r="EP357" s="28">
        <f>IF(EP352=1,IF(INDEX('Lease Cycles'!$EF$28:$EL$28,1,EP350)=1,0,EP353*(1-IF(EP351&lt;INDEX('Lease Cycles'!$DK$28:$DQ$28,1,EP350),0,IF(EP351=INDEX('Lease Cycles'!$DK$28:$DQ$28,1,EP350),1-INDEX('Lease Cycles'!$DR$28:$DX$28,1,EP350),1))-IF(EP351=0,INDEX('Lease Cycles'!$DD$28:$DJ$28,1,EP350),0))),0)</f>
        <v>0</v>
      </c>
      <c r="EQ357" s="28">
        <f>IF(EQ352=1,IF(INDEX('Lease Cycles'!$EF$28:$EL$28,1,EQ350)=1,0,EQ353*(1-IF(EQ351&lt;INDEX('Lease Cycles'!$DK$28:$DQ$28,1,EQ350),0,IF(EQ351=INDEX('Lease Cycles'!$DK$28:$DQ$28,1,EQ350),1-INDEX('Lease Cycles'!$DR$28:$DX$28,1,EQ350),1))-IF(EQ351=0,INDEX('Lease Cycles'!$DD$28:$DJ$28,1,EQ350),0))),0)</f>
        <v>0</v>
      </c>
      <c r="ER357" s="28">
        <f>IF(ER352=1,IF(INDEX('Lease Cycles'!$EF$28:$EL$28,1,ER350)=1,0,ER353*(1-IF(ER351&lt;INDEX('Lease Cycles'!$DK$28:$DQ$28,1,ER350),0,IF(ER351=INDEX('Lease Cycles'!$DK$28:$DQ$28,1,ER350),1-INDEX('Lease Cycles'!$DR$28:$DX$28,1,ER350),1))-IF(ER351=0,INDEX('Lease Cycles'!$DD$28:$DJ$28,1,ER350),0))),0)</f>
        <v>0</v>
      </c>
      <c r="ES357" s="28">
        <f>IF(ES352=1,IF(INDEX('Lease Cycles'!$EF$28:$EL$28,1,ES350)=1,0,ES353*(1-IF(ES351&lt;INDEX('Lease Cycles'!$DK$28:$DQ$28,1,ES350),0,IF(ES351=INDEX('Lease Cycles'!$DK$28:$DQ$28,1,ES350),1-INDEX('Lease Cycles'!$DR$28:$DX$28,1,ES350),1))-IF(ES351=0,INDEX('Lease Cycles'!$DD$28:$DJ$28,1,ES350),0))),0)</f>
        <v>0</v>
      </c>
      <c r="ET357" s="28">
        <f>IF(ET352=1,IF(INDEX('Lease Cycles'!$EF$28:$EL$28,1,ET350)=1,0,ET353*(1-IF(ET351&lt;INDEX('Lease Cycles'!$DK$28:$DQ$28,1,ET350),0,IF(ET351=INDEX('Lease Cycles'!$DK$28:$DQ$28,1,ET350),1-INDEX('Lease Cycles'!$DR$28:$DX$28,1,ET350),1))-IF(ET351=0,INDEX('Lease Cycles'!$DD$28:$DJ$28,1,ET350),0))),0)</f>
        <v>0</v>
      </c>
    </row>
    <row r="358">
      <c r="A358" s="103">
        <v>21</v>
      </c>
      <c r="B358" s="23" t="str">
        <f>IF('Lease Cycles'!$B$28="","(empty slot)",'Lease Cycles'!$B$28)</f>
        <v>(empty slot)</v>
      </c>
      <c r="C358" s="23" t="s">
        <v>683</v>
      </c>
      <c r="D358" s="104" t="s">
        <v>684</v>
      </c>
      <c r="E358" s="25">
        <f>'Lease Cycles'!$AL$28</f>
        <v>0</v>
      </c>
      <c r="G358" s="24">
        <f>SUM(S358:AD358)</f>
        <v>0</v>
      </c>
      <c r="H358" s="24">
        <f>SUM(AE358:AP358)</f>
        <v>0</v>
      </c>
      <c r="I358" s="24">
        <f>SUM(AQ358:BB358)</f>
        <v>0</v>
      </c>
      <c r="J358" s="24">
        <f>SUM(BC358:BN358)</f>
        <v>0</v>
      </c>
      <c r="K358" s="24">
        <f>SUM(BO358:BZ358)</f>
        <v>0</v>
      </c>
      <c r="L358" s="24">
        <f>SUM(CA358:CL358)</f>
        <v>0</v>
      </c>
      <c r="M358" s="24">
        <f>SUM(CM358:CX358)</f>
        <v>0</v>
      </c>
      <c r="N358" s="24">
        <f>SUM(CY358:DJ358)</f>
        <v>0</v>
      </c>
      <c r="O358" s="24">
        <f>SUM(DK358:DV358)</f>
        <v>0</v>
      </c>
      <c r="P358" s="24">
        <f>SUM(DW358:EH358)</f>
        <v>0</v>
      </c>
      <c r="Q358" s="24">
        <f>SUM(EI358:ET358)</f>
        <v>0</v>
      </c>
      <c r="S358" s="24">
        <f>IF(S352=1,'Lease Cycles'!$D$28*IF(INDEX('Lease Cycles'!$EF$28:$EL$28,1,S350)=1,(1-'Lease Cycles'!$AJ$28)*INDEX('Lease Cycles'!$EM$28:$ES$28,1,S350)+(1-'Lease Cycles'!$BE$28)*IF(S351&lt;INDEX('Lease Cycles'!$FA$28:$FG$28,1,S350),0,1-INDEX('Lease Cycles'!$EM$28:$ES$28,1,S350)),IF(OR(INDEX('Lease Cycles'!$DY$28:$EE$28,1,S350)=1,S351&gt;0),1,1-INDEX('Lease Cycles'!$DD$28:$DJ$28,1,S350))*((1-'Lease Cycles'!$AJ$28)*INDEX('Lease Cycles'!$FO$28:$FU$28,1,S350)+(1-'Lease Cycles'!$BE$28)*(1-INDEX('Lease Cycles'!$FO$28:$FU$28,1,S350)))),0)</f>
        <v>0</v>
      </c>
      <c r="T358" s="24">
        <f>IF(T352=1,'Lease Cycles'!$D$28*IF(INDEX('Lease Cycles'!$EF$28:$EL$28,1,T350)=1,(1-'Lease Cycles'!$AJ$28)*INDEX('Lease Cycles'!$EM$28:$ES$28,1,T350)+(1-'Lease Cycles'!$BE$28)*IF(T351&lt;INDEX('Lease Cycles'!$FA$28:$FG$28,1,T350),0,1-INDEX('Lease Cycles'!$EM$28:$ES$28,1,T350)),IF(OR(INDEX('Lease Cycles'!$DY$28:$EE$28,1,T350)=1,T351&gt;0),1,1-INDEX('Lease Cycles'!$DD$28:$DJ$28,1,T350))*((1-'Lease Cycles'!$AJ$28)*INDEX('Lease Cycles'!$FO$28:$FU$28,1,T350)+(1-'Lease Cycles'!$BE$28)*(1-INDEX('Lease Cycles'!$FO$28:$FU$28,1,T350)))),0)</f>
        <v>0</v>
      </c>
      <c r="U358" s="24">
        <f>IF(U352=1,'Lease Cycles'!$D$28*IF(INDEX('Lease Cycles'!$EF$28:$EL$28,1,U350)=1,(1-'Lease Cycles'!$AJ$28)*INDEX('Lease Cycles'!$EM$28:$ES$28,1,U350)+(1-'Lease Cycles'!$BE$28)*IF(U351&lt;INDEX('Lease Cycles'!$FA$28:$FG$28,1,U350),0,1-INDEX('Lease Cycles'!$EM$28:$ES$28,1,U350)),IF(OR(INDEX('Lease Cycles'!$DY$28:$EE$28,1,U350)=1,U351&gt;0),1,1-INDEX('Lease Cycles'!$DD$28:$DJ$28,1,U350))*((1-'Lease Cycles'!$AJ$28)*INDEX('Lease Cycles'!$FO$28:$FU$28,1,U350)+(1-'Lease Cycles'!$BE$28)*(1-INDEX('Lease Cycles'!$FO$28:$FU$28,1,U350)))),0)</f>
        <v>0</v>
      </c>
      <c r="V358" s="24">
        <f>IF(V352=1,'Lease Cycles'!$D$28*IF(INDEX('Lease Cycles'!$EF$28:$EL$28,1,V350)=1,(1-'Lease Cycles'!$AJ$28)*INDEX('Lease Cycles'!$EM$28:$ES$28,1,V350)+(1-'Lease Cycles'!$BE$28)*IF(V351&lt;INDEX('Lease Cycles'!$FA$28:$FG$28,1,V350),0,1-INDEX('Lease Cycles'!$EM$28:$ES$28,1,V350)),IF(OR(INDEX('Lease Cycles'!$DY$28:$EE$28,1,V350)=1,V351&gt;0),1,1-INDEX('Lease Cycles'!$DD$28:$DJ$28,1,V350))*((1-'Lease Cycles'!$AJ$28)*INDEX('Lease Cycles'!$FO$28:$FU$28,1,V350)+(1-'Lease Cycles'!$BE$28)*(1-INDEX('Lease Cycles'!$FO$28:$FU$28,1,V350)))),0)</f>
        <v>0</v>
      </c>
      <c r="W358" s="24">
        <f>IF(W352=1,'Lease Cycles'!$D$28*IF(INDEX('Lease Cycles'!$EF$28:$EL$28,1,W350)=1,(1-'Lease Cycles'!$AJ$28)*INDEX('Lease Cycles'!$EM$28:$ES$28,1,W350)+(1-'Lease Cycles'!$BE$28)*IF(W351&lt;INDEX('Lease Cycles'!$FA$28:$FG$28,1,W350),0,1-INDEX('Lease Cycles'!$EM$28:$ES$28,1,W350)),IF(OR(INDEX('Lease Cycles'!$DY$28:$EE$28,1,W350)=1,W351&gt;0),1,1-INDEX('Lease Cycles'!$DD$28:$DJ$28,1,W350))*((1-'Lease Cycles'!$AJ$28)*INDEX('Lease Cycles'!$FO$28:$FU$28,1,W350)+(1-'Lease Cycles'!$BE$28)*(1-INDEX('Lease Cycles'!$FO$28:$FU$28,1,W350)))),0)</f>
        <v>0</v>
      </c>
      <c r="X358" s="24">
        <f>IF(X352=1,'Lease Cycles'!$D$28*IF(INDEX('Lease Cycles'!$EF$28:$EL$28,1,X350)=1,(1-'Lease Cycles'!$AJ$28)*INDEX('Lease Cycles'!$EM$28:$ES$28,1,X350)+(1-'Lease Cycles'!$BE$28)*IF(X351&lt;INDEX('Lease Cycles'!$FA$28:$FG$28,1,X350),0,1-INDEX('Lease Cycles'!$EM$28:$ES$28,1,X350)),IF(OR(INDEX('Lease Cycles'!$DY$28:$EE$28,1,X350)=1,X351&gt;0),1,1-INDEX('Lease Cycles'!$DD$28:$DJ$28,1,X350))*((1-'Lease Cycles'!$AJ$28)*INDEX('Lease Cycles'!$FO$28:$FU$28,1,X350)+(1-'Lease Cycles'!$BE$28)*(1-INDEX('Lease Cycles'!$FO$28:$FU$28,1,X350)))),0)</f>
        <v>0</v>
      </c>
      <c r="Y358" s="24">
        <f>IF(Y352=1,'Lease Cycles'!$D$28*IF(INDEX('Lease Cycles'!$EF$28:$EL$28,1,Y350)=1,(1-'Lease Cycles'!$AJ$28)*INDEX('Lease Cycles'!$EM$28:$ES$28,1,Y350)+(1-'Lease Cycles'!$BE$28)*IF(Y351&lt;INDEX('Lease Cycles'!$FA$28:$FG$28,1,Y350),0,1-INDEX('Lease Cycles'!$EM$28:$ES$28,1,Y350)),IF(OR(INDEX('Lease Cycles'!$DY$28:$EE$28,1,Y350)=1,Y351&gt;0),1,1-INDEX('Lease Cycles'!$DD$28:$DJ$28,1,Y350))*((1-'Lease Cycles'!$AJ$28)*INDEX('Lease Cycles'!$FO$28:$FU$28,1,Y350)+(1-'Lease Cycles'!$BE$28)*(1-INDEX('Lease Cycles'!$FO$28:$FU$28,1,Y350)))),0)</f>
        <v>0</v>
      </c>
      <c r="Z358" s="24">
        <f>IF(Z352=1,'Lease Cycles'!$D$28*IF(INDEX('Lease Cycles'!$EF$28:$EL$28,1,Z350)=1,(1-'Lease Cycles'!$AJ$28)*INDEX('Lease Cycles'!$EM$28:$ES$28,1,Z350)+(1-'Lease Cycles'!$BE$28)*IF(Z351&lt;INDEX('Lease Cycles'!$FA$28:$FG$28,1,Z350),0,1-INDEX('Lease Cycles'!$EM$28:$ES$28,1,Z350)),IF(OR(INDEX('Lease Cycles'!$DY$28:$EE$28,1,Z350)=1,Z351&gt;0),1,1-INDEX('Lease Cycles'!$DD$28:$DJ$28,1,Z350))*((1-'Lease Cycles'!$AJ$28)*INDEX('Lease Cycles'!$FO$28:$FU$28,1,Z350)+(1-'Lease Cycles'!$BE$28)*(1-INDEX('Lease Cycles'!$FO$28:$FU$28,1,Z350)))),0)</f>
        <v>0</v>
      </c>
      <c r="AA358" s="24">
        <f>IF(AA352=1,'Lease Cycles'!$D$28*IF(INDEX('Lease Cycles'!$EF$28:$EL$28,1,AA350)=1,(1-'Lease Cycles'!$AJ$28)*INDEX('Lease Cycles'!$EM$28:$ES$28,1,AA350)+(1-'Lease Cycles'!$BE$28)*IF(AA351&lt;INDEX('Lease Cycles'!$FA$28:$FG$28,1,AA350),0,1-INDEX('Lease Cycles'!$EM$28:$ES$28,1,AA350)),IF(OR(INDEX('Lease Cycles'!$DY$28:$EE$28,1,AA350)=1,AA351&gt;0),1,1-INDEX('Lease Cycles'!$DD$28:$DJ$28,1,AA350))*((1-'Lease Cycles'!$AJ$28)*INDEX('Lease Cycles'!$FO$28:$FU$28,1,AA350)+(1-'Lease Cycles'!$BE$28)*(1-INDEX('Lease Cycles'!$FO$28:$FU$28,1,AA350)))),0)</f>
        <v>0</v>
      </c>
      <c r="AB358" s="24">
        <f>IF(AB352=1,'Lease Cycles'!$D$28*IF(INDEX('Lease Cycles'!$EF$28:$EL$28,1,AB350)=1,(1-'Lease Cycles'!$AJ$28)*INDEX('Lease Cycles'!$EM$28:$ES$28,1,AB350)+(1-'Lease Cycles'!$BE$28)*IF(AB351&lt;INDEX('Lease Cycles'!$FA$28:$FG$28,1,AB350),0,1-INDEX('Lease Cycles'!$EM$28:$ES$28,1,AB350)),IF(OR(INDEX('Lease Cycles'!$DY$28:$EE$28,1,AB350)=1,AB351&gt;0),1,1-INDEX('Lease Cycles'!$DD$28:$DJ$28,1,AB350))*((1-'Lease Cycles'!$AJ$28)*INDEX('Lease Cycles'!$FO$28:$FU$28,1,AB350)+(1-'Lease Cycles'!$BE$28)*(1-INDEX('Lease Cycles'!$FO$28:$FU$28,1,AB350)))),0)</f>
        <v>0</v>
      </c>
      <c r="AC358" s="24">
        <f>IF(AC352=1,'Lease Cycles'!$D$28*IF(INDEX('Lease Cycles'!$EF$28:$EL$28,1,AC350)=1,(1-'Lease Cycles'!$AJ$28)*INDEX('Lease Cycles'!$EM$28:$ES$28,1,AC350)+(1-'Lease Cycles'!$BE$28)*IF(AC351&lt;INDEX('Lease Cycles'!$FA$28:$FG$28,1,AC350),0,1-INDEX('Lease Cycles'!$EM$28:$ES$28,1,AC350)),IF(OR(INDEX('Lease Cycles'!$DY$28:$EE$28,1,AC350)=1,AC351&gt;0),1,1-INDEX('Lease Cycles'!$DD$28:$DJ$28,1,AC350))*((1-'Lease Cycles'!$AJ$28)*INDEX('Lease Cycles'!$FO$28:$FU$28,1,AC350)+(1-'Lease Cycles'!$BE$28)*(1-INDEX('Lease Cycles'!$FO$28:$FU$28,1,AC350)))),0)</f>
        <v>0</v>
      </c>
      <c r="AD358" s="24">
        <f>IF(AD352=1,'Lease Cycles'!$D$28*IF(INDEX('Lease Cycles'!$EF$28:$EL$28,1,AD350)=1,(1-'Lease Cycles'!$AJ$28)*INDEX('Lease Cycles'!$EM$28:$ES$28,1,AD350)+(1-'Lease Cycles'!$BE$28)*IF(AD351&lt;INDEX('Lease Cycles'!$FA$28:$FG$28,1,AD350),0,1-INDEX('Lease Cycles'!$EM$28:$ES$28,1,AD350)),IF(OR(INDEX('Lease Cycles'!$DY$28:$EE$28,1,AD350)=1,AD351&gt;0),1,1-INDEX('Lease Cycles'!$DD$28:$DJ$28,1,AD350))*((1-'Lease Cycles'!$AJ$28)*INDEX('Lease Cycles'!$FO$28:$FU$28,1,AD350)+(1-'Lease Cycles'!$BE$28)*(1-INDEX('Lease Cycles'!$FO$28:$FU$28,1,AD350)))),0)</f>
        <v>0</v>
      </c>
      <c r="AE358" s="24">
        <f>IF(AE352=1,'Lease Cycles'!$D$28*IF(INDEX('Lease Cycles'!$EF$28:$EL$28,1,AE350)=1,(1-'Lease Cycles'!$AJ$28)*INDEX('Lease Cycles'!$EM$28:$ES$28,1,AE350)+(1-'Lease Cycles'!$BE$28)*IF(AE351&lt;INDEX('Lease Cycles'!$FA$28:$FG$28,1,AE350),0,1-INDEX('Lease Cycles'!$EM$28:$ES$28,1,AE350)),IF(OR(INDEX('Lease Cycles'!$DY$28:$EE$28,1,AE350)=1,AE351&gt;0),1,1-INDEX('Lease Cycles'!$DD$28:$DJ$28,1,AE350))*((1-'Lease Cycles'!$AJ$28)*INDEX('Lease Cycles'!$FO$28:$FU$28,1,AE350)+(1-'Lease Cycles'!$BE$28)*(1-INDEX('Lease Cycles'!$FO$28:$FU$28,1,AE350)))),0)</f>
        <v>0</v>
      </c>
      <c r="AF358" s="24">
        <f>IF(AF352=1,'Lease Cycles'!$D$28*IF(INDEX('Lease Cycles'!$EF$28:$EL$28,1,AF350)=1,(1-'Lease Cycles'!$AJ$28)*INDEX('Lease Cycles'!$EM$28:$ES$28,1,AF350)+(1-'Lease Cycles'!$BE$28)*IF(AF351&lt;INDEX('Lease Cycles'!$FA$28:$FG$28,1,AF350),0,1-INDEX('Lease Cycles'!$EM$28:$ES$28,1,AF350)),IF(OR(INDEX('Lease Cycles'!$DY$28:$EE$28,1,AF350)=1,AF351&gt;0),1,1-INDEX('Lease Cycles'!$DD$28:$DJ$28,1,AF350))*((1-'Lease Cycles'!$AJ$28)*INDEX('Lease Cycles'!$FO$28:$FU$28,1,AF350)+(1-'Lease Cycles'!$BE$28)*(1-INDEX('Lease Cycles'!$FO$28:$FU$28,1,AF350)))),0)</f>
        <v>0</v>
      </c>
      <c r="AG358" s="24">
        <f>IF(AG352=1,'Lease Cycles'!$D$28*IF(INDEX('Lease Cycles'!$EF$28:$EL$28,1,AG350)=1,(1-'Lease Cycles'!$AJ$28)*INDEX('Lease Cycles'!$EM$28:$ES$28,1,AG350)+(1-'Lease Cycles'!$BE$28)*IF(AG351&lt;INDEX('Lease Cycles'!$FA$28:$FG$28,1,AG350),0,1-INDEX('Lease Cycles'!$EM$28:$ES$28,1,AG350)),IF(OR(INDEX('Lease Cycles'!$DY$28:$EE$28,1,AG350)=1,AG351&gt;0),1,1-INDEX('Lease Cycles'!$DD$28:$DJ$28,1,AG350))*((1-'Lease Cycles'!$AJ$28)*INDEX('Lease Cycles'!$FO$28:$FU$28,1,AG350)+(1-'Lease Cycles'!$BE$28)*(1-INDEX('Lease Cycles'!$FO$28:$FU$28,1,AG350)))),0)</f>
        <v>0</v>
      </c>
      <c r="AH358" s="24">
        <f>IF(AH352=1,'Lease Cycles'!$D$28*IF(INDEX('Lease Cycles'!$EF$28:$EL$28,1,AH350)=1,(1-'Lease Cycles'!$AJ$28)*INDEX('Lease Cycles'!$EM$28:$ES$28,1,AH350)+(1-'Lease Cycles'!$BE$28)*IF(AH351&lt;INDEX('Lease Cycles'!$FA$28:$FG$28,1,AH350),0,1-INDEX('Lease Cycles'!$EM$28:$ES$28,1,AH350)),IF(OR(INDEX('Lease Cycles'!$DY$28:$EE$28,1,AH350)=1,AH351&gt;0),1,1-INDEX('Lease Cycles'!$DD$28:$DJ$28,1,AH350))*((1-'Lease Cycles'!$AJ$28)*INDEX('Lease Cycles'!$FO$28:$FU$28,1,AH350)+(1-'Lease Cycles'!$BE$28)*(1-INDEX('Lease Cycles'!$FO$28:$FU$28,1,AH350)))),0)</f>
        <v>0</v>
      </c>
      <c r="AI358" s="24">
        <f>IF(AI352=1,'Lease Cycles'!$D$28*IF(INDEX('Lease Cycles'!$EF$28:$EL$28,1,AI350)=1,(1-'Lease Cycles'!$AJ$28)*INDEX('Lease Cycles'!$EM$28:$ES$28,1,AI350)+(1-'Lease Cycles'!$BE$28)*IF(AI351&lt;INDEX('Lease Cycles'!$FA$28:$FG$28,1,AI350),0,1-INDEX('Lease Cycles'!$EM$28:$ES$28,1,AI350)),IF(OR(INDEX('Lease Cycles'!$DY$28:$EE$28,1,AI350)=1,AI351&gt;0),1,1-INDEX('Lease Cycles'!$DD$28:$DJ$28,1,AI350))*((1-'Lease Cycles'!$AJ$28)*INDEX('Lease Cycles'!$FO$28:$FU$28,1,AI350)+(1-'Lease Cycles'!$BE$28)*(1-INDEX('Lease Cycles'!$FO$28:$FU$28,1,AI350)))),0)</f>
        <v>0</v>
      </c>
      <c r="AJ358" s="24">
        <f>IF(AJ352=1,'Lease Cycles'!$D$28*IF(INDEX('Lease Cycles'!$EF$28:$EL$28,1,AJ350)=1,(1-'Lease Cycles'!$AJ$28)*INDEX('Lease Cycles'!$EM$28:$ES$28,1,AJ350)+(1-'Lease Cycles'!$BE$28)*IF(AJ351&lt;INDEX('Lease Cycles'!$FA$28:$FG$28,1,AJ350),0,1-INDEX('Lease Cycles'!$EM$28:$ES$28,1,AJ350)),IF(OR(INDEX('Lease Cycles'!$DY$28:$EE$28,1,AJ350)=1,AJ351&gt;0),1,1-INDEX('Lease Cycles'!$DD$28:$DJ$28,1,AJ350))*((1-'Lease Cycles'!$AJ$28)*INDEX('Lease Cycles'!$FO$28:$FU$28,1,AJ350)+(1-'Lease Cycles'!$BE$28)*(1-INDEX('Lease Cycles'!$FO$28:$FU$28,1,AJ350)))),0)</f>
        <v>0</v>
      </c>
      <c r="AK358" s="24">
        <f>IF(AK352=1,'Lease Cycles'!$D$28*IF(INDEX('Lease Cycles'!$EF$28:$EL$28,1,AK350)=1,(1-'Lease Cycles'!$AJ$28)*INDEX('Lease Cycles'!$EM$28:$ES$28,1,AK350)+(1-'Lease Cycles'!$BE$28)*IF(AK351&lt;INDEX('Lease Cycles'!$FA$28:$FG$28,1,AK350),0,1-INDEX('Lease Cycles'!$EM$28:$ES$28,1,AK350)),IF(OR(INDEX('Lease Cycles'!$DY$28:$EE$28,1,AK350)=1,AK351&gt;0),1,1-INDEX('Lease Cycles'!$DD$28:$DJ$28,1,AK350))*((1-'Lease Cycles'!$AJ$28)*INDEX('Lease Cycles'!$FO$28:$FU$28,1,AK350)+(1-'Lease Cycles'!$BE$28)*(1-INDEX('Lease Cycles'!$FO$28:$FU$28,1,AK350)))),0)</f>
        <v>0</v>
      </c>
      <c r="AL358" s="24">
        <f>IF(AL352=1,'Lease Cycles'!$D$28*IF(INDEX('Lease Cycles'!$EF$28:$EL$28,1,AL350)=1,(1-'Lease Cycles'!$AJ$28)*INDEX('Lease Cycles'!$EM$28:$ES$28,1,AL350)+(1-'Lease Cycles'!$BE$28)*IF(AL351&lt;INDEX('Lease Cycles'!$FA$28:$FG$28,1,AL350),0,1-INDEX('Lease Cycles'!$EM$28:$ES$28,1,AL350)),IF(OR(INDEX('Lease Cycles'!$DY$28:$EE$28,1,AL350)=1,AL351&gt;0),1,1-INDEX('Lease Cycles'!$DD$28:$DJ$28,1,AL350))*((1-'Lease Cycles'!$AJ$28)*INDEX('Lease Cycles'!$FO$28:$FU$28,1,AL350)+(1-'Lease Cycles'!$BE$28)*(1-INDEX('Lease Cycles'!$FO$28:$FU$28,1,AL350)))),0)</f>
        <v>0</v>
      </c>
      <c r="AM358" s="24">
        <f>IF(AM352=1,'Lease Cycles'!$D$28*IF(INDEX('Lease Cycles'!$EF$28:$EL$28,1,AM350)=1,(1-'Lease Cycles'!$AJ$28)*INDEX('Lease Cycles'!$EM$28:$ES$28,1,AM350)+(1-'Lease Cycles'!$BE$28)*IF(AM351&lt;INDEX('Lease Cycles'!$FA$28:$FG$28,1,AM350),0,1-INDEX('Lease Cycles'!$EM$28:$ES$28,1,AM350)),IF(OR(INDEX('Lease Cycles'!$DY$28:$EE$28,1,AM350)=1,AM351&gt;0),1,1-INDEX('Lease Cycles'!$DD$28:$DJ$28,1,AM350))*((1-'Lease Cycles'!$AJ$28)*INDEX('Lease Cycles'!$FO$28:$FU$28,1,AM350)+(1-'Lease Cycles'!$BE$28)*(1-INDEX('Lease Cycles'!$FO$28:$FU$28,1,AM350)))),0)</f>
        <v>0</v>
      </c>
      <c r="AN358" s="24">
        <f>IF(AN352=1,'Lease Cycles'!$D$28*IF(INDEX('Lease Cycles'!$EF$28:$EL$28,1,AN350)=1,(1-'Lease Cycles'!$AJ$28)*INDEX('Lease Cycles'!$EM$28:$ES$28,1,AN350)+(1-'Lease Cycles'!$BE$28)*IF(AN351&lt;INDEX('Lease Cycles'!$FA$28:$FG$28,1,AN350),0,1-INDEX('Lease Cycles'!$EM$28:$ES$28,1,AN350)),IF(OR(INDEX('Lease Cycles'!$DY$28:$EE$28,1,AN350)=1,AN351&gt;0),1,1-INDEX('Lease Cycles'!$DD$28:$DJ$28,1,AN350))*((1-'Lease Cycles'!$AJ$28)*INDEX('Lease Cycles'!$FO$28:$FU$28,1,AN350)+(1-'Lease Cycles'!$BE$28)*(1-INDEX('Lease Cycles'!$FO$28:$FU$28,1,AN350)))),0)</f>
        <v>0</v>
      </c>
      <c r="AO358" s="24">
        <f>IF(AO352=1,'Lease Cycles'!$D$28*IF(INDEX('Lease Cycles'!$EF$28:$EL$28,1,AO350)=1,(1-'Lease Cycles'!$AJ$28)*INDEX('Lease Cycles'!$EM$28:$ES$28,1,AO350)+(1-'Lease Cycles'!$BE$28)*IF(AO351&lt;INDEX('Lease Cycles'!$FA$28:$FG$28,1,AO350),0,1-INDEX('Lease Cycles'!$EM$28:$ES$28,1,AO350)),IF(OR(INDEX('Lease Cycles'!$DY$28:$EE$28,1,AO350)=1,AO351&gt;0),1,1-INDEX('Lease Cycles'!$DD$28:$DJ$28,1,AO350))*((1-'Lease Cycles'!$AJ$28)*INDEX('Lease Cycles'!$FO$28:$FU$28,1,AO350)+(1-'Lease Cycles'!$BE$28)*(1-INDEX('Lease Cycles'!$FO$28:$FU$28,1,AO350)))),0)</f>
        <v>0</v>
      </c>
      <c r="AP358" s="24">
        <f>IF(AP352=1,'Lease Cycles'!$D$28*IF(INDEX('Lease Cycles'!$EF$28:$EL$28,1,AP350)=1,(1-'Lease Cycles'!$AJ$28)*INDEX('Lease Cycles'!$EM$28:$ES$28,1,AP350)+(1-'Lease Cycles'!$BE$28)*IF(AP351&lt;INDEX('Lease Cycles'!$FA$28:$FG$28,1,AP350),0,1-INDEX('Lease Cycles'!$EM$28:$ES$28,1,AP350)),IF(OR(INDEX('Lease Cycles'!$DY$28:$EE$28,1,AP350)=1,AP351&gt;0),1,1-INDEX('Lease Cycles'!$DD$28:$DJ$28,1,AP350))*((1-'Lease Cycles'!$AJ$28)*INDEX('Lease Cycles'!$FO$28:$FU$28,1,AP350)+(1-'Lease Cycles'!$BE$28)*(1-INDEX('Lease Cycles'!$FO$28:$FU$28,1,AP350)))),0)</f>
        <v>0</v>
      </c>
      <c r="AQ358" s="24">
        <f>IF(AQ352=1,'Lease Cycles'!$D$28*IF(INDEX('Lease Cycles'!$EF$28:$EL$28,1,AQ350)=1,(1-'Lease Cycles'!$AJ$28)*INDEX('Lease Cycles'!$EM$28:$ES$28,1,AQ350)+(1-'Lease Cycles'!$BE$28)*IF(AQ351&lt;INDEX('Lease Cycles'!$FA$28:$FG$28,1,AQ350),0,1-INDEX('Lease Cycles'!$EM$28:$ES$28,1,AQ350)),IF(OR(INDEX('Lease Cycles'!$DY$28:$EE$28,1,AQ350)=1,AQ351&gt;0),1,1-INDEX('Lease Cycles'!$DD$28:$DJ$28,1,AQ350))*((1-'Lease Cycles'!$AJ$28)*INDEX('Lease Cycles'!$FO$28:$FU$28,1,AQ350)+(1-'Lease Cycles'!$BE$28)*(1-INDEX('Lease Cycles'!$FO$28:$FU$28,1,AQ350)))),0)</f>
        <v>0</v>
      </c>
      <c r="AR358" s="24">
        <f>IF(AR352=1,'Lease Cycles'!$D$28*IF(INDEX('Lease Cycles'!$EF$28:$EL$28,1,AR350)=1,(1-'Lease Cycles'!$AJ$28)*INDEX('Lease Cycles'!$EM$28:$ES$28,1,AR350)+(1-'Lease Cycles'!$BE$28)*IF(AR351&lt;INDEX('Lease Cycles'!$FA$28:$FG$28,1,AR350),0,1-INDEX('Lease Cycles'!$EM$28:$ES$28,1,AR350)),IF(OR(INDEX('Lease Cycles'!$DY$28:$EE$28,1,AR350)=1,AR351&gt;0),1,1-INDEX('Lease Cycles'!$DD$28:$DJ$28,1,AR350))*((1-'Lease Cycles'!$AJ$28)*INDEX('Lease Cycles'!$FO$28:$FU$28,1,AR350)+(1-'Lease Cycles'!$BE$28)*(1-INDEX('Lease Cycles'!$FO$28:$FU$28,1,AR350)))),0)</f>
        <v>0</v>
      </c>
      <c r="AS358" s="24">
        <f>IF(AS352=1,'Lease Cycles'!$D$28*IF(INDEX('Lease Cycles'!$EF$28:$EL$28,1,AS350)=1,(1-'Lease Cycles'!$AJ$28)*INDEX('Lease Cycles'!$EM$28:$ES$28,1,AS350)+(1-'Lease Cycles'!$BE$28)*IF(AS351&lt;INDEX('Lease Cycles'!$FA$28:$FG$28,1,AS350),0,1-INDEX('Lease Cycles'!$EM$28:$ES$28,1,AS350)),IF(OR(INDEX('Lease Cycles'!$DY$28:$EE$28,1,AS350)=1,AS351&gt;0),1,1-INDEX('Lease Cycles'!$DD$28:$DJ$28,1,AS350))*((1-'Lease Cycles'!$AJ$28)*INDEX('Lease Cycles'!$FO$28:$FU$28,1,AS350)+(1-'Lease Cycles'!$BE$28)*(1-INDEX('Lease Cycles'!$FO$28:$FU$28,1,AS350)))),0)</f>
        <v>0</v>
      </c>
      <c r="AT358" s="24">
        <f>IF(AT352=1,'Lease Cycles'!$D$28*IF(INDEX('Lease Cycles'!$EF$28:$EL$28,1,AT350)=1,(1-'Lease Cycles'!$AJ$28)*INDEX('Lease Cycles'!$EM$28:$ES$28,1,AT350)+(1-'Lease Cycles'!$BE$28)*IF(AT351&lt;INDEX('Lease Cycles'!$FA$28:$FG$28,1,AT350),0,1-INDEX('Lease Cycles'!$EM$28:$ES$28,1,AT350)),IF(OR(INDEX('Lease Cycles'!$DY$28:$EE$28,1,AT350)=1,AT351&gt;0),1,1-INDEX('Lease Cycles'!$DD$28:$DJ$28,1,AT350))*((1-'Lease Cycles'!$AJ$28)*INDEX('Lease Cycles'!$FO$28:$FU$28,1,AT350)+(1-'Lease Cycles'!$BE$28)*(1-INDEX('Lease Cycles'!$FO$28:$FU$28,1,AT350)))),0)</f>
        <v>0</v>
      </c>
      <c r="AU358" s="24">
        <f>IF(AU352=1,'Lease Cycles'!$D$28*IF(INDEX('Lease Cycles'!$EF$28:$EL$28,1,AU350)=1,(1-'Lease Cycles'!$AJ$28)*INDEX('Lease Cycles'!$EM$28:$ES$28,1,AU350)+(1-'Lease Cycles'!$BE$28)*IF(AU351&lt;INDEX('Lease Cycles'!$FA$28:$FG$28,1,AU350),0,1-INDEX('Lease Cycles'!$EM$28:$ES$28,1,AU350)),IF(OR(INDEX('Lease Cycles'!$DY$28:$EE$28,1,AU350)=1,AU351&gt;0),1,1-INDEX('Lease Cycles'!$DD$28:$DJ$28,1,AU350))*((1-'Lease Cycles'!$AJ$28)*INDEX('Lease Cycles'!$FO$28:$FU$28,1,AU350)+(1-'Lease Cycles'!$BE$28)*(1-INDEX('Lease Cycles'!$FO$28:$FU$28,1,AU350)))),0)</f>
        <v>0</v>
      </c>
      <c r="AV358" s="24">
        <f>IF(AV352=1,'Lease Cycles'!$D$28*IF(INDEX('Lease Cycles'!$EF$28:$EL$28,1,AV350)=1,(1-'Lease Cycles'!$AJ$28)*INDEX('Lease Cycles'!$EM$28:$ES$28,1,AV350)+(1-'Lease Cycles'!$BE$28)*IF(AV351&lt;INDEX('Lease Cycles'!$FA$28:$FG$28,1,AV350),0,1-INDEX('Lease Cycles'!$EM$28:$ES$28,1,AV350)),IF(OR(INDEX('Lease Cycles'!$DY$28:$EE$28,1,AV350)=1,AV351&gt;0),1,1-INDEX('Lease Cycles'!$DD$28:$DJ$28,1,AV350))*((1-'Lease Cycles'!$AJ$28)*INDEX('Lease Cycles'!$FO$28:$FU$28,1,AV350)+(1-'Lease Cycles'!$BE$28)*(1-INDEX('Lease Cycles'!$FO$28:$FU$28,1,AV350)))),0)</f>
        <v>0</v>
      </c>
      <c r="AW358" s="24">
        <f>IF(AW352=1,'Lease Cycles'!$D$28*IF(INDEX('Lease Cycles'!$EF$28:$EL$28,1,AW350)=1,(1-'Lease Cycles'!$AJ$28)*INDEX('Lease Cycles'!$EM$28:$ES$28,1,AW350)+(1-'Lease Cycles'!$BE$28)*IF(AW351&lt;INDEX('Lease Cycles'!$FA$28:$FG$28,1,AW350),0,1-INDEX('Lease Cycles'!$EM$28:$ES$28,1,AW350)),IF(OR(INDEX('Lease Cycles'!$DY$28:$EE$28,1,AW350)=1,AW351&gt;0),1,1-INDEX('Lease Cycles'!$DD$28:$DJ$28,1,AW350))*((1-'Lease Cycles'!$AJ$28)*INDEX('Lease Cycles'!$FO$28:$FU$28,1,AW350)+(1-'Lease Cycles'!$BE$28)*(1-INDEX('Lease Cycles'!$FO$28:$FU$28,1,AW350)))),0)</f>
        <v>0</v>
      </c>
      <c r="AX358" s="24">
        <f>IF(AX352=1,'Lease Cycles'!$D$28*IF(INDEX('Lease Cycles'!$EF$28:$EL$28,1,AX350)=1,(1-'Lease Cycles'!$AJ$28)*INDEX('Lease Cycles'!$EM$28:$ES$28,1,AX350)+(1-'Lease Cycles'!$BE$28)*IF(AX351&lt;INDEX('Lease Cycles'!$FA$28:$FG$28,1,AX350),0,1-INDEX('Lease Cycles'!$EM$28:$ES$28,1,AX350)),IF(OR(INDEX('Lease Cycles'!$DY$28:$EE$28,1,AX350)=1,AX351&gt;0),1,1-INDEX('Lease Cycles'!$DD$28:$DJ$28,1,AX350))*((1-'Lease Cycles'!$AJ$28)*INDEX('Lease Cycles'!$FO$28:$FU$28,1,AX350)+(1-'Lease Cycles'!$BE$28)*(1-INDEX('Lease Cycles'!$FO$28:$FU$28,1,AX350)))),0)</f>
        <v>0</v>
      </c>
      <c r="AY358" s="24">
        <f>IF(AY352=1,'Lease Cycles'!$D$28*IF(INDEX('Lease Cycles'!$EF$28:$EL$28,1,AY350)=1,(1-'Lease Cycles'!$AJ$28)*INDEX('Lease Cycles'!$EM$28:$ES$28,1,AY350)+(1-'Lease Cycles'!$BE$28)*IF(AY351&lt;INDEX('Lease Cycles'!$FA$28:$FG$28,1,AY350),0,1-INDEX('Lease Cycles'!$EM$28:$ES$28,1,AY350)),IF(OR(INDEX('Lease Cycles'!$DY$28:$EE$28,1,AY350)=1,AY351&gt;0),1,1-INDEX('Lease Cycles'!$DD$28:$DJ$28,1,AY350))*((1-'Lease Cycles'!$AJ$28)*INDEX('Lease Cycles'!$FO$28:$FU$28,1,AY350)+(1-'Lease Cycles'!$BE$28)*(1-INDEX('Lease Cycles'!$FO$28:$FU$28,1,AY350)))),0)</f>
        <v>0</v>
      </c>
      <c r="AZ358" s="24">
        <f>IF(AZ352=1,'Lease Cycles'!$D$28*IF(INDEX('Lease Cycles'!$EF$28:$EL$28,1,AZ350)=1,(1-'Lease Cycles'!$AJ$28)*INDEX('Lease Cycles'!$EM$28:$ES$28,1,AZ350)+(1-'Lease Cycles'!$BE$28)*IF(AZ351&lt;INDEX('Lease Cycles'!$FA$28:$FG$28,1,AZ350),0,1-INDEX('Lease Cycles'!$EM$28:$ES$28,1,AZ350)),IF(OR(INDEX('Lease Cycles'!$DY$28:$EE$28,1,AZ350)=1,AZ351&gt;0),1,1-INDEX('Lease Cycles'!$DD$28:$DJ$28,1,AZ350))*((1-'Lease Cycles'!$AJ$28)*INDEX('Lease Cycles'!$FO$28:$FU$28,1,AZ350)+(1-'Lease Cycles'!$BE$28)*(1-INDEX('Lease Cycles'!$FO$28:$FU$28,1,AZ350)))),0)</f>
        <v>0</v>
      </c>
      <c r="BA358" s="24">
        <f>IF(BA352=1,'Lease Cycles'!$D$28*IF(INDEX('Lease Cycles'!$EF$28:$EL$28,1,BA350)=1,(1-'Lease Cycles'!$AJ$28)*INDEX('Lease Cycles'!$EM$28:$ES$28,1,BA350)+(1-'Lease Cycles'!$BE$28)*IF(BA351&lt;INDEX('Lease Cycles'!$FA$28:$FG$28,1,BA350),0,1-INDEX('Lease Cycles'!$EM$28:$ES$28,1,BA350)),IF(OR(INDEX('Lease Cycles'!$DY$28:$EE$28,1,BA350)=1,BA351&gt;0),1,1-INDEX('Lease Cycles'!$DD$28:$DJ$28,1,BA350))*((1-'Lease Cycles'!$AJ$28)*INDEX('Lease Cycles'!$FO$28:$FU$28,1,BA350)+(1-'Lease Cycles'!$BE$28)*(1-INDEX('Lease Cycles'!$FO$28:$FU$28,1,BA350)))),0)</f>
        <v>0</v>
      </c>
      <c r="BB358" s="24">
        <f>IF(BB352=1,'Lease Cycles'!$D$28*IF(INDEX('Lease Cycles'!$EF$28:$EL$28,1,BB350)=1,(1-'Lease Cycles'!$AJ$28)*INDEX('Lease Cycles'!$EM$28:$ES$28,1,BB350)+(1-'Lease Cycles'!$BE$28)*IF(BB351&lt;INDEX('Lease Cycles'!$FA$28:$FG$28,1,BB350),0,1-INDEX('Lease Cycles'!$EM$28:$ES$28,1,BB350)),IF(OR(INDEX('Lease Cycles'!$DY$28:$EE$28,1,BB350)=1,BB351&gt;0),1,1-INDEX('Lease Cycles'!$DD$28:$DJ$28,1,BB350))*((1-'Lease Cycles'!$AJ$28)*INDEX('Lease Cycles'!$FO$28:$FU$28,1,BB350)+(1-'Lease Cycles'!$BE$28)*(1-INDEX('Lease Cycles'!$FO$28:$FU$28,1,BB350)))),0)</f>
        <v>0</v>
      </c>
      <c r="BC358" s="24">
        <f>IF(BC352=1,'Lease Cycles'!$D$28*IF(INDEX('Lease Cycles'!$EF$28:$EL$28,1,BC350)=1,(1-'Lease Cycles'!$AJ$28)*INDEX('Lease Cycles'!$EM$28:$ES$28,1,BC350)+(1-'Lease Cycles'!$BE$28)*IF(BC351&lt;INDEX('Lease Cycles'!$FA$28:$FG$28,1,BC350),0,1-INDEX('Lease Cycles'!$EM$28:$ES$28,1,BC350)),IF(OR(INDEX('Lease Cycles'!$DY$28:$EE$28,1,BC350)=1,BC351&gt;0),1,1-INDEX('Lease Cycles'!$DD$28:$DJ$28,1,BC350))*((1-'Lease Cycles'!$AJ$28)*INDEX('Lease Cycles'!$FO$28:$FU$28,1,BC350)+(1-'Lease Cycles'!$BE$28)*(1-INDEX('Lease Cycles'!$FO$28:$FU$28,1,BC350)))),0)</f>
        <v>0</v>
      </c>
      <c r="BD358" s="24">
        <f>IF(BD352=1,'Lease Cycles'!$D$28*IF(INDEX('Lease Cycles'!$EF$28:$EL$28,1,BD350)=1,(1-'Lease Cycles'!$AJ$28)*INDEX('Lease Cycles'!$EM$28:$ES$28,1,BD350)+(1-'Lease Cycles'!$BE$28)*IF(BD351&lt;INDEX('Lease Cycles'!$FA$28:$FG$28,1,BD350),0,1-INDEX('Lease Cycles'!$EM$28:$ES$28,1,BD350)),IF(OR(INDEX('Lease Cycles'!$DY$28:$EE$28,1,BD350)=1,BD351&gt;0),1,1-INDEX('Lease Cycles'!$DD$28:$DJ$28,1,BD350))*((1-'Lease Cycles'!$AJ$28)*INDEX('Lease Cycles'!$FO$28:$FU$28,1,BD350)+(1-'Lease Cycles'!$BE$28)*(1-INDEX('Lease Cycles'!$FO$28:$FU$28,1,BD350)))),0)</f>
        <v>0</v>
      </c>
      <c r="BE358" s="24">
        <f>IF(BE352=1,'Lease Cycles'!$D$28*IF(INDEX('Lease Cycles'!$EF$28:$EL$28,1,BE350)=1,(1-'Lease Cycles'!$AJ$28)*INDEX('Lease Cycles'!$EM$28:$ES$28,1,BE350)+(1-'Lease Cycles'!$BE$28)*IF(BE351&lt;INDEX('Lease Cycles'!$FA$28:$FG$28,1,BE350),0,1-INDEX('Lease Cycles'!$EM$28:$ES$28,1,BE350)),IF(OR(INDEX('Lease Cycles'!$DY$28:$EE$28,1,BE350)=1,BE351&gt;0),1,1-INDEX('Lease Cycles'!$DD$28:$DJ$28,1,BE350))*((1-'Lease Cycles'!$AJ$28)*INDEX('Lease Cycles'!$FO$28:$FU$28,1,BE350)+(1-'Lease Cycles'!$BE$28)*(1-INDEX('Lease Cycles'!$FO$28:$FU$28,1,BE350)))),0)</f>
        <v>0</v>
      </c>
      <c r="BF358" s="24">
        <f>IF(BF352=1,'Lease Cycles'!$D$28*IF(INDEX('Lease Cycles'!$EF$28:$EL$28,1,BF350)=1,(1-'Lease Cycles'!$AJ$28)*INDEX('Lease Cycles'!$EM$28:$ES$28,1,BF350)+(1-'Lease Cycles'!$BE$28)*IF(BF351&lt;INDEX('Lease Cycles'!$FA$28:$FG$28,1,BF350),0,1-INDEX('Lease Cycles'!$EM$28:$ES$28,1,BF350)),IF(OR(INDEX('Lease Cycles'!$DY$28:$EE$28,1,BF350)=1,BF351&gt;0),1,1-INDEX('Lease Cycles'!$DD$28:$DJ$28,1,BF350))*((1-'Lease Cycles'!$AJ$28)*INDEX('Lease Cycles'!$FO$28:$FU$28,1,BF350)+(1-'Lease Cycles'!$BE$28)*(1-INDEX('Lease Cycles'!$FO$28:$FU$28,1,BF350)))),0)</f>
        <v>0</v>
      </c>
      <c r="BG358" s="24">
        <f>IF(BG352=1,'Lease Cycles'!$D$28*IF(INDEX('Lease Cycles'!$EF$28:$EL$28,1,BG350)=1,(1-'Lease Cycles'!$AJ$28)*INDEX('Lease Cycles'!$EM$28:$ES$28,1,BG350)+(1-'Lease Cycles'!$BE$28)*IF(BG351&lt;INDEX('Lease Cycles'!$FA$28:$FG$28,1,BG350),0,1-INDEX('Lease Cycles'!$EM$28:$ES$28,1,BG350)),IF(OR(INDEX('Lease Cycles'!$DY$28:$EE$28,1,BG350)=1,BG351&gt;0),1,1-INDEX('Lease Cycles'!$DD$28:$DJ$28,1,BG350))*((1-'Lease Cycles'!$AJ$28)*INDEX('Lease Cycles'!$FO$28:$FU$28,1,BG350)+(1-'Lease Cycles'!$BE$28)*(1-INDEX('Lease Cycles'!$FO$28:$FU$28,1,BG350)))),0)</f>
        <v>0</v>
      </c>
      <c r="BH358" s="24">
        <f>IF(BH352=1,'Lease Cycles'!$D$28*IF(INDEX('Lease Cycles'!$EF$28:$EL$28,1,BH350)=1,(1-'Lease Cycles'!$AJ$28)*INDEX('Lease Cycles'!$EM$28:$ES$28,1,BH350)+(1-'Lease Cycles'!$BE$28)*IF(BH351&lt;INDEX('Lease Cycles'!$FA$28:$FG$28,1,BH350),0,1-INDEX('Lease Cycles'!$EM$28:$ES$28,1,BH350)),IF(OR(INDEX('Lease Cycles'!$DY$28:$EE$28,1,BH350)=1,BH351&gt;0),1,1-INDEX('Lease Cycles'!$DD$28:$DJ$28,1,BH350))*((1-'Lease Cycles'!$AJ$28)*INDEX('Lease Cycles'!$FO$28:$FU$28,1,BH350)+(1-'Lease Cycles'!$BE$28)*(1-INDEX('Lease Cycles'!$FO$28:$FU$28,1,BH350)))),0)</f>
        <v>0</v>
      </c>
      <c r="BI358" s="24">
        <f>IF(BI352=1,'Lease Cycles'!$D$28*IF(INDEX('Lease Cycles'!$EF$28:$EL$28,1,BI350)=1,(1-'Lease Cycles'!$AJ$28)*INDEX('Lease Cycles'!$EM$28:$ES$28,1,BI350)+(1-'Lease Cycles'!$BE$28)*IF(BI351&lt;INDEX('Lease Cycles'!$FA$28:$FG$28,1,BI350),0,1-INDEX('Lease Cycles'!$EM$28:$ES$28,1,BI350)),IF(OR(INDEX('Lease Cycles'!$DY$28:$EE$28,1,BI350)=1,BI351&gt;0),1,1-INDEX('Lease Cycles'!$DD$28:$DJ$28,1,BI350))*((1-'Lease Cycles'!$AJ$28)*INDEX('Lease Cycles'!$FO$28:$FU$28,1,BI350)+(1-'Lease Cycles'!$BE$28)*(1-INDEX('Lease Cycles'!$FO$28:$FU$28,1,BI350)))),0)</f>
        <v>0</v>
      </c>
      <c r="BJ358" s="24">
        <f>IF(BJ352=1,'Lease Cycles'!$D$28*IF(INDEX('Lease Cycles'!$EF$28:$EL$28,1,BJ350)=1,(1-'Lease Cycles'!$AJ$28)*INDEX('Lease Cycles'!$EM$28:$ES$28,1,BJ350)+(1-'Lease Cycles'!$BE$28)*IF(BJ351&lt;INDEX('Lease Cycles'!$FA$28:$FG$28,1,BJ350),0,1-INDEX('Lease Cycles'!$EM$28:$ES$28,1,BJ350)),IF(OR(INDEX('Lease Cycles'!$DY$28:$EE$28,1,BJ350)=1,BJ351&gt;0),1,1-INDEX('Lease Cycles'!$DD$28:$DJ$28,1,BJ350))*((1-'Lease Cycles'!$AJ$28)*INDEX('Lease Cycles'!$FO$28:$FU$28,1,BJ350)+(1-'Lease Cycles'!$BE$28)*(1-INDEX('Lease Cycles'!$FO$28:$FU$28,1,BJ350)))),0)</f>
        <v>0</v>
      </c>
      <c r="BK358" s="24">
        <f>IF(BK352=1,'Lease Cycles'!$D$28*IF(INDEX('Lease Cycles'!$EF$28:$EL$28,1,BK350)=1,(1-'Lease Cycles'!$AJ$28)*INDEX('Lease Cycles'!$EM$28:$ES$28,1,BK350)+(1-'Lease Cycles'!$BE$28)*IF(BK351&lt;INDEX('Lease Cycles'!$FA$28:$FG$28,1,BK350),0,1-INDEX('Lease Cycles'!$EM$28:$ES$28,1,BK350)),IF(OR(INDEX('Lease Cycles'!$DY$28:$EE$28,1,BK350)=1,BK351&gt;0),1,1-INDEX('Lease Cycles'!$DD$28:$DJ$28,1,BK350))*((1-'Lease Cycles'!$AJ$28)*INDEX('Lease Cycles'!$FO$28:$FU$28,1,BK350)+(1-'Lease Cycles'!$BE$28)*(1-INDEX('Lease Cycles'!$FO$28:$FU$28,1,BK350)))),0)</f>
        <v>0</v>
      </c>
      <c r="BL358" s="24">
        <f>IF(BL352=1,'Lease Cycles'!$D$28*IF(INDEX('Lease Cycles'!$EF$28:$EL$28,1,BL350)=1,(1-'Lease Cycles'!$AJ$28)*INDEX('Lease Cycles'!$EM$28:$ES$28,1,BL350)+(1-'Lease Cycles'!$BE$28)*IF(BL351&lt;INDEX('Lease Cycles'!$FA$28:$FG$28,1,BL350),0,1-INDEX('Lease Cycles'!$EM$28:$ES$28,1,BL350)),IF(OR(INDEX('Lease Cycles'!$DY$28:$EE$28,1,BL350)=1,BL351&gt;0),1,1-INDEX('Lease Cycles'!$DD$28:$DJ$28,1,BL350))*((1-'Lease Cycles'!$AJ$28)*INDEX('Lease Cycles'!$FO$28:$FU$28,1,BL350)+(1-'Lease Cycles'!$BE$28)*(1-INDEX('Lease Cycles'!$FO$28:$FU$28,1,BL350)))),0)</f>
        <v>0</v>
      </c>
      <c r="BM358" s="24">
        <f>IF(BM352=1,'Lease Cycles'!$D$28*IF(INDEX('Lease Cycles'!$EF$28:$EL$28,1,BM350)=1,(1-'Lease Cycles'!$AJ$28)*INDEX('Lease Cycles'!$EM$28:$ES$28,1,BM350)+(1-'Lease Cycles'!$BE$28)*IF(BM351&lt;INDEX('Lease Cycles'!$FA$28:$FG$28,1,BM350),0,1-INDEX('Lease Cycles'!$EM$28:$ES$28,1,BM350)),IF(OR(INDEX('Lease Cycles'!$DY$28:$EE$28,1,BM350)=1,BM351&gt;0),1,1-INDEX('Lease Cycles'!$DD$28:$DJ$28,1,BM350))*((1-'Lease Cycles'!$AJ$28)*INDEX('Lease Cycles'!$FO$28:$FU$28,1,BM350)+(1-'Lease Cycles'!$BE$28)*(1-INDEX('Lease Cycles'!$FO$28:$FU$28,1,BM350)))),0)</f>
        <v>0</v>
      </c>
      <c r="BN358" s="24">
        <f>IF(BN352=1,'Lease Cycles'!$D$28*IF(INDEX('Lease Cycles'!$EF$28:$EL$28,1,BN350)=1,(1-'Lease Cycles'!$AJ$28)*INDEX('Lease Cycles'!$EM$28:$ES$28,1,BN350)+(1-'Lease Cycles'!$BE$28)*IF(BN351&lt;INDEX('Lease Cycles'!$FA$28:$FG$28,1,BN350),0,1-INDEX('Lease Cycles'!$EM$28:$ES$28,1,BN350)),IF(OR(INDEX('Lease Cycles'!$DY$28:$EE$28,1,BN350)=1,BN351&gt;0),1,1-INDEX('Lease Cycles'!$DD$28:$DJ$28,1,BN350))*((1-'Lease Cycles'!$AJ$28)*INDEX('Lease Cycles'!$FO$28:$FU$28,1,BN350)+(1-'Lease Cycles'!$BE$28)*(1-INDEX('Lease Cycles'!$FO$28:$FU$28,1,BN350)))),0)</f>
        <v>0</v>
      </c>
      <c r="BO358" s="24">
        <f>IF(BO352=1,'Lease Cycles'!$D$28*IF(INDEX('Lease Cycles'!$EF$28:$EL$28,1,BO350)=1,(1-'Lease Cycles'!$AJ$28)*INDEX('Lease Cycles'!$EM$28:$ES$28,1,BO350)+(1-'Lease Cycles'!$BE$28)*IF(BO351&lt;INDEX('Lease Cycles'!$FA$28:$FG$28,1,BO350),0,1-INDEX('Lease Cycles'!$EM$28:$ES$28,1,BO350)),IF(OR(INDEX('Lease Cycles'!$DY$28:$EE$28,1,BO350)=1,BO351&gt;0),1,1-INDEX('Lease Cycles'!$DD$28:$DJ$28,1,BO350))*((1-'Lease Cycles'!$AJ$28)*INDEX('Lease Cycles'!$FO$28:$FU$28,1,BO350)+(1-'Lease Cycles'!$BE$28)*(1-INDEX('Lease Cycles'!$FO$28:$FU$28,1,BO350)))),0)</f>
        <v>0</v>
      </c>
      <c r="BP358" s="24">
        <f>IF(BP352=1,'Lease Cycles'!$D$28*IF(INDEX('Lease Cycles'!$EF$28:$EL$28,1,BP350)=1,(1-'Lease Cycles'!$AJ$28)*INDEX('Lease Cycles'!$EM$28:$ES$28,1,BP350)+(1-'Lease Cycles'!$BE$28)*IF(BP351&lt;INDEX('Lease Cycles'!$FA$28:$FG$28,1,BP350),0,1-INDEX('Lease Cycles'!$EM$28:$ES$28,1,BP350)),IF(OR(INDEX('Lease Cycles'!$DY$28:$EE$28,1,BP350)=1,BP351&gt;0),1,1-INDEX('Lease Cycles'!$DD$28:$DJ$28,1,BP350))*((1-'Lease Cycles'!$AJ$28)*INDEX('Lease Cycles'!$FO$28:$FU$28,1,BP350)+(1-'Lease Cycles'!$BE$28)*(1-INDEX('Lease Cycles'!$FO$28:$FU$28,1,BP350)))),0)</f>
        <v>0</v>
      </c>
      <c r="BQ358" s="24">
        <f>IF(BQ352=1,'Lease Cycles'!$D$28*IF(INDEX('Lease Cycles'!$EF$28:$EL$28,1,BQ350)=1,(1-'Lease Cycles'!$AJ$28)*INDEX('Lease Cycles'!$EM$28:$ES$28,1,BQ350)+(1-'Lease Cycles'!$BE$28)*IF(BQ351&lt;INDEX('Lease Cycles'!$FA$28:$FG$28,1,BQ350),0,1-INDEX('Lease Cycles'!$EM$28:$ES$28,1,BQ350)),IF(OR(INDEX('Lease Cycles'!$DY$28:$EE$28,1,BQ350)=1,BQ351&gt;0),1,1-INDEX('Lease Cycles'!$DD$28:$DJ$28,1,BQ350))*((1-'Lease Cycles'!$AJ$28)*INDEX('Lease Cycles'!$FO$28:$FU$28,1,BQ350)+(1-'Lease Cycles'!$BE$28)*(1-INDEX('Lease Cycles'!$FO$28:$FU$28,1,BQ350)))),0)</f>
        <v>0</v>
      </c>
      <c r="BR358" s="24">
        <f>IF(BR352=1,'Lease Cycles'!$D$28*IF(INDEX('Lease Cycles'!$EF$28:$EL$28,1,BR350)=1,(1-'Lease Cycles'!$AJ$28)*INDEX('Lease Cycles'!$EM$28:$ES$28,1,BR350)+(1-'Lease Cycles'!$BE$28)*IF(BR351&lt;INDEX('Lease Cycles'!$FA$28:$FG$28,1,BR350),0,1-INDEX('Lease Cycles'!$EM$28:$ES$28,1,BR350)),IF(OR(INDEX('Lease Cycles'!$DY$28:$EE$28,1,BR350)=1,BR351&gt;0),1,1-INDEX('Lease Cycles'!$DD$28:$DJ$28,1,BR350))*((1-'Lease Cycles'!$AJ$28)*INDEX('Lease Cycles'!$FO$28:$FU$28,1,BR350)+(1-'Lease Cycles'!$BE$28)*(1-INDEX('Lease Cycles'!$FO$28:$FU$28,1,BR350)))),0)</f>
        <v>0</v>
      </c>
      <c r="BS358" s="24">
        <f>IF(BS352=1,'Lease Cycles'!$D$28*IF(INDEX('Lease Cycles'!$EF$28:$EL$28,1,BS350)=1,(1-'Lease Cycles'!$AJ$28)*INDEX('Lease Cycles'!$EM$28:$ES$28,1,BS350)+(1-'Lease Cycles'!$BE$28)*IF(BS351&lt;INDEX('Lease Cycles'!$FA$28:$FG$28,1,BS350),0,1-INDEX('Lease Cycles'!$EM$28:$ES$28,1,BS350)),IF(OR(INDEX('Lease Cycles'!$DY$28:$EE$28,1,BS350)=1,BS351&gt;0),1,1-INDEX('Lease Cycles'!$DD$28:$DJ$28,1,BS350))*((1-'Lease Cycles'!$AJ$28)*INDEX('Lease Cycles'!$FO$28:$FU$28,1,BS350)+(1-'Lease Cycles'!$BE$28)*(1-INDEX('Lease Cycles'!$FO$28:$FU$28,1,BS350)))),0)</f>
        <v>0</v>
      </c>
      <c r="BT358" s="24">
        <f>IF(BT352=1,'Lease Cycles'!$D$28*IF(INDEX('Lease Cycles'!$EF$28:$EL$28,1,BT350)=1,(1-'Lease Cycles'!$AJ$28)*INDEX('Lease Cycles'!$EM$28:$ES$28,1,BT350)+(1-'Lease Cycles'!$BE$28)*IF(BT351&lt;INDEX('Lease Cycles'!$FA$28:$FG$28,1,BT350),0,1-INDEX('Lease Cycles'!$EM$28:$ES$28,1,BT350)),IF(OR(INDEX('Lease Cycles'!$DY$28:$EE$28,1,BT350)=1,BT351&gt;0),1,1-INDEX('Lease Cycles'!$DD$28:$DJ$28,1,BT350))*((1-'Lease Cycles'!$AJ$28)*INDEX('Lease Cycles'!$FO$28:$FU$28,1,BT350)+(1-'Lease Cycles'!$BE$28)*(1-INDEX('Lease Cycles'!$FO$28:$FU$28,1,BT350)))),0)</f>
        <v>0</v>
      </c>
      <c r="BU358" s="24">
        <f>IF(BU352=1,'Lease Cycles'!$D$28*IF(INDEX('Lease Cycles'!$EF$28:$EL$28,1,BU350)=1,(1-'Lease Cycles'!$AJ$28)*INDEX('Lease Cycles'!$EM$28:$ES$28,1,BU350)+(1-'Lease Cycles'!$BE$28)*IF(BU351&lt;INDEX('Lease Cycles'!$FA$28:$FG$28,1,BU350),0,1-INDEX('Lease Cycles'!$EM$28:$ES$28,1,BU350)),IF(OR(INDEX('Lease Cycles'!$DY$28:$EE$28,1,BU350)=1,BU351&gt;0),1,1-INDEX('Lease Cycles'!$DD$28:$DJ$28,1,BU350))*((1-'Lease Cycles'!$AJ$28)*INDEX('Lease Cycles'!$FO$28:$FU$28,1,BU350)+(1-'Lease Cycles'!$BE$28)*(1-INDEX('Lease Cycles'!$FO$28:$FU$28,1,BU350)))),0)</f>
        <v>0</v>
      </c>
      <c r="BV358" s="24">
        <f>IF(BV352=1,'Lease Cycles'!$D$28*IF(INDEX('Lease Cycles'!$EF$28:$EL$28,1,BV350)=1,(1-'Lease Cycles'!$AJ$28)*INDEX('Lease Cycles'!$EM$28:$ES$28,1,BV350)+(1-'Lease Cycles'!$BE$28)*IF(BV351&lt;INDEX('Lease Cycles'!$FA$28:$FG$28,1,BV350),0,1-INDEX('Lease Cycles'!$EM$28:$ES$28,1,BV350)),IF(OR(INDEX('Lease Cycles'!$DY$28:$EE$28,1,BV350)=1,BV351&gt;0),1,1-INDEX('Lease Cycles'!$DD$28:$DJ$28,1,BV350))*((1-'Lease Cycles'!$AJ$28)*INDEX('Lease Cycles'!$FO$28:$FU$28,1,BV350)+(1-'Lease Cycles'!$BE$28)*(1-INDEX('Lease Cycles'!$FO$28:$FU$28,1,BV350)))),0)</f>
        <v>0</v>
      </c>
      <c r="BW358" s="24">
        <f>IF(BW352=1,'Lease Cycles'!$D$28*IF(INDEX('Lease Cycles'!$EF$28:$EL$28,1,BW350)=1,(1-'Lease Cycles'!$AJ$28)*INDEX('Lease Cycles'!$EM$28:$ES$28,1,BW350)+(1-'Lease Cycles'!$BE$28)*IF(BW351&lt;INDEX('Lease Cycles'!$FA$28:$FG$28,1,BW350),0,1-INDEX('Lease Cycles'!$EM$28:$ES$28,1,BW350)),IF(OR(INDEX('Lease Cycles'!$DY$28:$EE$28,1,BW350)=1,BW351&gt;0),1,1-INDEX('Lease Cycles'!$DD$28:$DJ$28,1,BW350))*((1-'Lease Cycles'!$AJ$28)*INDEX('Lease Cycles'!$FO$28:$FU$28,1,BW350)+(1-'Lease Cycles'!$BE$28)*(1-INDEX('Lease Cycles'!$FO$28:$FU$28,1,BW350)))),0)</f>
        <v>0</v>
      </c>
      <c r="BX358" s="24">
        <f>IF(BX352=1,'Lease Cycles'!$D$28*IF(INDEX('Lease Cycles'!$EF$28:$EL$28,1,BX350)=1,(1-'Lease Cycles'!$AJ$28)*INDEX('Lease Cycles'!$EM$28:$ES$28,1,BX350)+(1-'Lease Cycles'!$BE$28)*IF(BX351&lt;INDEX('Lease Cycles'!$FA$28:$FG$28,1,BX350),0,1-INDEX('Lease Cycles'!$EM$28:$ES$28,1,BX350)),IF(OR(INDEX('Lease Cycles'!$DY$28:$EE$28,1,BX350)=1,BX351&gt;0),1,1-INDEX('Lease Cycles'!$DD$28:$DJ$28,1,BX350))*((1-'Lease Cycles'!$AJ$28)*INDEX('Lease Cycles'!$FO$28:$FU$28,1,BX350)+(1-'Lease Cycles'!$BE$28)*(1-INDEX('Lease Cycles'!$FO$28:$FU$28,1,BX350)))),0)</f>
        <v>0</v>
      </c>
      <c r="BY358" s="24">
        <f>IF(BY352=1,'Lease Cycles'!$D$28*IF(INDEX('Lease Cycles'!$EF$28:$EL$28,1,BY350)=1,(1-'Lease Cycles'!$AJ$28)*INDEX('Lease Cycles'!$EM$28:$ES$28,1,BY350)+(1-'Lease Cycles'!$BE$28)*IF(BY351&lt;INDEX('Lease Cycles'!$FA$28:$FG$28,1,BY350),0,1-INDEX('Lease Cycles'!$EM$28:$ES$28,1,BY350)),IF(OR(INDEX('Lease Cycles'!$DY$28:$EE$28,1,BY350)=1,BY351&gt;0),1,1-INDEX('Lease Cycles'!$DD$28:$DJ$28,1,BY350))*((1-'Lease Cycles'!$AJ$28)*INDEX('Lease Cycles'!$FO$28:$FU$28,1,BY350)+(1-'Lease Cycles'!$BE$28)*(1-INDEX('Lease Cycles'!$FO$28:$FU$28,1,BY350)))),0)</f>
        <v>0</v>
      </c>
      <c r="BZ358" s="24">
        <f>IF(BZ352=1,'Lease Cycles'!$D$28*IF(INDEX('Lease Cycles'!$EF$28:$EL$28,1,BZ350)=1,(1-'Lease Cycles'!$AJ$28)*INDEX('Lease Cycles'!$EM$28:$ES$28,1,BZ350)+(1-'Lease Cycles'!$BE$28)*IF(BZ351&lt;INDEX('Lease Cycles'!$FA$28:$FG$28,1,BZ350),0,1-INDEX('Lease Cycles'!$EM$28:$ES$28,1,BZ350)),IF(OR(INDEX('Lease Cycles'!$DY$28:$EE$28,1,BZ350)=1,BZ351&gt;0),1,1-INDEX('Lease Cycles'!$DD$28:$DJ$28,1,BZ350))*((1-'Lease Cycles'!$AJ$28)*INDEX('Lease Cycles'!$FO$28:$FU$28,1,BZ350)+(1-'Lease Cycles'!$BE$28)*(1-INDEX('Lease Cycles'!$FO$28:$FU$28,1,BZ350)))),0)</f>
        <v>0</v>
      </c>
      <c r="CA358" s="24">
        <f>IF(CA352=1,'Lease Cycles'!$D$28*IF(INDEX('Lease Cycles'!$EF$28:$EL$28,1,CA350)=1,(1-'Lease Cycles'!$AJ$28)*INDEX('Lease Cycles'!$EM$28:$ES$28,1,CA350)+(1-'Lease Cycles'!$BE$28)*IF(CA351&lt;INDEX('Lease Cycles'!$FA$28:$FG$28,1,CA350),0,1-INDEX('Lease Cycles'!$EM$28:$ES$28,1,CA350)),IF(OR(INDEX('Lease Cycles'!$DY$28:$EE$28,1,CA350)=1,CA351&gt;0),1,1-INDEX('Lease Cycles'!$DD$28:$DJ$28,1,CA350))*((1-'Lease Cycles'!$AJ$28)*INDEX('Lease Cycles'!$FO$28:$FU$28,1,CA350)+(1-'Lease Cycles'!$BE$28)*(1-INDEX('Lease Cycles'!$FO$28:$FU$28,1,CA350)))),0)</f>
        <v>0</v>
      </c>
      <c r="CB358" s="24">
        <f>IF(CB352=1,'Lease Cycles'!$D$28*IF(INDEX('Lease Cycles'!$EF$28:$EL$28,1,CB350)=1,(1-'Lease Cycles'!$AJ$28)*INDEX('Lease Cycles'!$EM$28:$ES$28,1,CB350)+(1-'Lease Cycles'!$BE$28)*IF(CB351&lt;INDEX('Lease Cycles'!$FA$28:$FG$28,1,CB350),0,1-INDEX('Lease Cycles'!$EM$28:$ES$28,1,CB350)),IF(OR(INDEX('Lease Cycles'!$DY$28:$EE$28,1,CB350)=1,CB351&gt;0),1,1-INDEX('Lease Cycles'!$DD$28:$DJ$28,1,CB350))*((1-'Lease Cycles'!$AJ$28)*INDEX('Lease Cycles'!$FO$28:$FU$28,1,CB350)+(1-'Lease Cycles'!$BE$28)*(1-INDEX('Lease Cycles'!$FO$28:$FU$28,1,CB350)))),0)</f>
        <v>0</v>
      </c>
      <c r="CC358" s="24">
        <f>IF(CC352=1,'Lease Cycles'!$D$28*IF(INDEX('Lease Cycles'!$EF$28:$EL$28,1,CC350)=1,(1-'Lease Cycles'!$AJ$28)*INDEX('Lease Cycles'!$EM$28:$ES$28,1,CC350)+(1-'Lease Cycles'!$BE$28)*IF(CC351&lt;INDEX('Lease Cycles'!$FA$28:$FG$28,1,CC350),0,1-INDEX('Lease Cycles'!$EM$28:$ES$28,1,CC350)),IF(OR(INDEX('Lease Cycles'!$DY$28:$EE$28,1,CC350)=1,CC351&gt;0),1,1-INDEX('Lease Cycles'!$DD$28:$DJ$28,1,CC350))*((1-'Lease Cycles'!$AJ$28)*INDEX('Lease Cycles'!$FO$28:$FU$28,1,CC350)+(1-'Lease Cycles'!$BE$28)*(1-INDEX('Lease Cycles'!$FO$28:$FU$28,1,CC350)))),0)</f>
        <v>0</v>
      </c>
      <c r="CD358" s="24">
        <f>IF(CD352=1,'Lease Cycles'!$D$28*IF(INDEX('Lease Cycles'!$EF$28:$EL$28,1,CD350)=1,(1-'Lease Cycles'!$AJ$28)*INDEX('Lease Cycles'!$EM$28:$ES$28,1,CD350)+(1-'Lease Cycles'!$BE$28)*IF(CD351&lt;INDEX('Lease Cycles'!$FA$28:$FG$28,1,CD350),0,1-INDEX('Lease Cycles'!$EM$28:$ES$28,1,CD350)),IF(OR(INDEX('Lease Cycles'!$DY$28:$EE$28,1,CD350)=1,CD351&gt;0),1,1-INDEX('Lease Cycles'!$DD$28:$DJ$28,1,CD350))*((1-'Lease Cycles'!$AJ$28)*INDEX('Lease Cycles'!$FO$28:$FU$28,1,CD350)+(1-'Lease Cycles'!$BE$28)*(1-INDEX('Lease Cycles'!$FO$28:$FU$28,1,CD350)))),0)</f>
        <v>0</v>
      </c>
      <c r="CE358" s="24">
        <f>IF(CE352=1,'Lease Cycles'!$D$28*IF(INDEX('Lease Cycles'!$EF$28:$EL$28,1,CE350)=1,(1-'Lease Cycles'!$AJ$28)*INDEX('Lease Cycles'!$EM$28:$ES$28,1,CE350)+(1-'Lease Cycles'!$BE$28)*IF(CE351&lt;INDEX('Lease Cycles'!$FA$28:$FG$28,1,CE350),0,1-INDEX('Lease Cycles'!$EM$28:$ES$28,1,CE350)),IF(OR(INDEX('Lease Cycles'!$DY$28:$EE$28,1,CE350)=1,CE351&gt;0),1,1-INDEX('Lease Cycles'!$DD$28:$DJ$28,1,CE350))*((1-'Lease Cycles'!$AJ$28)*INDEX('Lease Cycles'!$FO$28:$FU$28,1,CE350)+(1-'Lease Cycles'!$BE$28)*(1-INDEX('Lease Cycles'!$FO$28:$FU$28,1,CE350)))),0)</f>
        <v>0</v>
      </c>
      <c r="CF358" s="24">
        <f>IF(CF352=1,'Lease Cycles'!$D$28*IF(INDEX('Lease Cycles'!$EF$28:$EL$28,1,CF350)=1,(1-'Lease Cycles'!$AJ$28)*INDEX('Lease Cycles'!$EM$28:$ES$28,1,CF350)+(1-'Lease Cycles'!$BE$28)*IF(CF351&lt;INDEX('Lease Cycles'!$FA$28:$FG$28,1,CF350),0,1-INDEX('Lease Cycles'!$EM$28:$ES$28,1,CF350)),IF(OR(INDEX('Lease Cycles'!$DY$28:$EE$28,1,CF350)=1,CF351&gt;0),1,1-INDEX('Lease Cycles'!$DD$28:$DJ$28,1,CF350))*((1-'Lease Cycles'!$AJ$28)*INDEX('Lease Cycles'!$FO$28:$FU$28,1,CF350)+(1-'Lease Cycles'!$BE$28)*(1-INDEX('Lease Cycles'!$FO$28:$FU$28,1,CF350)))),0)</f>
        <v>0</v>
      </c>
      <c r="CG358" s="24">
        <f>IF(CG352=1,'Lease Cycles'!$D$28*IF(INDEX('Lease Cycles'!$EF$28:$EL$28,1,CG350)=1,(1-'Lease Cycles'!$AJ$28)*INDEX('Lease Cycles'!$EM$28:$ES$28,1,CG350)+(1-'Lease Cycles'!$BE$28)*IF(CG351&lt;INDEX('Lease Cycles'!$FA$28:$FG$28,1,CG350),0,1-INDEX('Lease Cycles'!$EM$28:$ES$28,1,CG350)),IF(OR(INDEX('Lease Cycles'!$DY$28:$EE$28,1,CG350)=1,CG351&gt;0),1,1-INDEX('Lease Cycles'!$DD$28:$DJ$28,1,CG350))*((1-'Lease Cycles'!$AJ$28)*INDEX('Lease Cycles'!$FO$28:$FU$28,1,CG350)+(1-'Lease Cycles'!$BE$28)*(1-INDEX('Lease Cycles'!$FO$28:$FU$28,1,CG350)))),0)</f>
        <v>0</v>
      </c>
      <c r="CH358" s="24">
        <f>IF(CH352=1,'Lease Cycles'!$D$28*IF(INDEX('Lease Cycles'!$EF$28:$EL$28,1,CH350)=1,(1-'Lease Cycles'!$AJ$28)*INDEX('Lease Cycles'!$EM$28:$ES$28,1,CH350)+(1-'Lease Cycles'!$BE$28)*IF(CH351&lt;INDEX('Lease Cycles'!$FA$28:$FG$28,1,CH350),0,1-INDEX('Lease Cycles'!$EM$28:$ES$28,1,CH350)),IF(OR(INDEX('Lease Cycles'!$DY$28:$EE$28,1,CH350)=1,CH351&gt;0),1,1-INDEX('Lease Cycles'!$DD$28:$DJ$28,1,CH350))*((1-'Lease Cycles'!$AJ$28)*INDEX('Lease Cycles'!$FO$28:$FU$28,1,CH350)+(1-'Lease Cycles'!$BE$28)*(1-INDEX('Lease Cycles'!$FO$28:$FU$28,1,CH350)))),0)</f>
        <v>0</v>
      </c>
      <c r="CI358" s="24">
        <f>IF(CI352=1,'Lease Cycles'!$D$28*IF(INDEX('Lease Cycles'!$EF$28:$EL$28,1,CI350)=1,(1-'Lease Cycles'!$AJ$28)*INDEX('Lease Cycles'!$EM$28:$ES$28,1,CI350)+(1-'Lease Cycles'!$BE$28)*IF(CI351&lt;INDEX('Lease Cycles'!$FA$28:$FG$28,1,CI350),0,1-INDEX('Lease Cycles'!$EM$28:$ES$28,1,CI350)),IF(OR(INDEX('Lease Cycles'!$DY$28:$EE$28,1,CI350)=1,CI351&gt;0),1,1-INDEX('Lease Cycles'!$DD$28:$DJ$28,1,CI350))*((1-'Lease Cycles'!$AJ$28)*INDEX('Lease Cycles'!$FO$28:$FU$28,1,CI350)+(1-'Lease Cycles'!$BE$28)*(1-INDEX('Lease Cycles'!$FO$28:$FU$28,1,CI350)))),0)</f>
        <v>0</v>
      </c>
      <c r="CJ358" s="24">
        <f>IF(CJ352=1,'Lease Cycles'!$D$28*IF(INDEX('Lease Cycles'!$EF$28:$EL$28,1,CJ350)=1,(1-'Lease Cycles'!$AJ$28)*INDEX('Lease Cycles'!$EM$28:$ES$28,1,CJ350)+(1-'Lease Cycles'!$BE$28)*IF(CJ351&lt;INDEX('Lease Cycles'!$FA$28:$FG$28,1,CJ350),0,1-INDEX('Lease Cycles'!$EM$28:$ES$28,1,CJ350)),IF(OR(INDEX('Lease Cycles'!$DY$28:$EE$28,1,CJ350)=1,CJ351&gt;0),1,1-INDEX('Lease Cycles'!$DD$28:$DJ$28,1,CJ350))*((1-'Lease Cycles'!$AJ$28)*INDEX('Lease Cycles'!$FO$28:$FU$28,1,CJ350)+(1-'Lease Cycles'!$BE$28)*(1-INDEX('Lease Cycles'!$FO$28:$FU$28,1,CJ350)))),0)</f>
        <v>0</v>
      </c>
      <c r="CK358" s="24">
        <f>IF(CK352=1,'Lease Cycles'!$D$28*IF(INDEX('Lease Cycles'!$EF$28:$EL$28,1,CK350)=1,(1-'Lease Cycles'!$AJ$28)*INDEX('Lease Cycles'!$EM$28:$ES$28,1,CK350)+(1-'Lease Cycles'!$BE$28)*IF(CK351&lt;INDEX('Lease Cycles'!$FA$28:$FG$28,1,CK350),0,1-INDEX('Lease Cycles'!$EM$28:$ES$28,1,CK350)),IF(OR(INDEX('Lease Cycles'!$DY$28:$EE$28,1,CK350)=1,CK351&gt;0),1,1-INDEX('Lease Cycles'!$DD$28:$DJ$28,1,CK350))*((1-'Lease Cycles'!$AJ$28)*INDEX('Lease Cycles'!$FO$28:$FU$28,1,CK350)+(1-'Lease Cycles'!$BE$28)*(1-INDEX('Lease Cycles'!$FO$28:$FU$28,1,CK350)))),0)</f>
        <v>0</v>
      </c>
      <c r="CL358" s="24">
        <f>IF(CL352=1,'Lease Cycles'!$D$28*IF(INDEX('Lease Cycles'!$EF$28:$EL$28,1,CL350)=1,(1-'Lease Cycles'!$AJ$28)*INDEX('Lease Cycles'!$EM$28:$ES$28,1,CL350)+(1-'Lease Cycles'!$BE$28)*IF(CL351&lt;INDEX('Lease Cycles'!$FA$28:$FG$28,1,CL350),0,1-INDEX('Lease Cycles'!$EM$28:$ES$28,1,CL350)),IF(OR(INDEX('Lease Cycles'!$DY$28:$EE$28,1,CL350)=1,CL351&gt;0),1,1-INDEX('Lease Cycles'!$DD$28:$DJ$28,1,CL350))*((1-'Lease Cycles'!$AJ$28)*INDEX('Lease Cycles'!$FO$28:$FU$28,1,CL350)+(1-'Lease Cycles'!$BE$28)*(1-INDEX('Lease Cycles'!$FO$28:$FU$28,1,CL350)))),0)</f>
        <v>0</v>
      </c>
      <c r="CM358" s="24">
        <f>IF(CM352=1,'Lease Cycles'!$D$28*IF(INDEX('Lease Cycles'!$EF$28:$EL$28,1,CM350)=1,(1-'Lease Cycles'!$AJ$28)*INDEX('Lease Cycles'!$EM$28:$ES$28,1,CM350)+(1-'Lease Cycles'!$BE$28)*IF(CM351&lt;INDEX('Lease Cycles'!$FA$28:$FG$28,1,CM350),0,1-INDEX('Lease Cycles'!$EM$28:$ES$28,1,CM350)),IF(OR(INDEX('Lease Cycles'!$DY$28:$EE$28,1,CM350)=1,CM351&gt;0),1,1-INDEX('Lease Cycles'!$DD$28:$DJ$28,1,CM350))*((1-'Lease Cycles'!$AJ$28)*INDEX('Lease Cycles'!$FO$28:$FU$28,1,CM350)+(1-'Lease Cycles'!$BE$28)*(1-INDEX('Lease Cycles'!$FO$28:$FU$28,1,CM350)))),0)</f>
        <v>0</v>
      </c>
      <c r="CN358" s="24">
        <f>IF(CN352=1,'Lease Cycles'!$D$28*IF(INDEX('Lease Cycles'!$EF$28:$EL$28,1,CN350)=1,(1-'Lease Cycles'!$AJ$28)*INDEX('Lease Cycles'!$EM$28:$ES$28,1,CN350)+(1-'Lease Cycles'!$BE$28)*IF(CN351&lt;INDEX('Lease Cycles'!$FA$28:$FG$28,1,CN350),0,1-INDEX('Lease Cycles'!$EM$28:$ES$28,1,CN350)),IF(OR(INDEX('Lease Cycles'!$DY$28:$EE$28,1,CN350)=1,CN351&gt;0),1,1-INDEX('Lease Cycles'!$DD$28:$DJ$28,1,CN350))*((1-'Lease Cycles'!$AJ$28)*INDEX('Lease Cycles'!$FO$28:$FU$28,1,CN350)+(1-'Lease Cycles'!$BE$28)*(1-INDEX('Lease Cycles'!$FO$28:$FU$28,1,CN350)))),0)</f>
        <v>0</v>
      </c>
      <c r="CO358" s="24">
        <f>IF(CO352=1,'Lease Cycles'!$D$28*IF(INDEX('Lease Cycles'!$EF$28:$EL$28,1,CO350)=1,(1-'Lease Cycles'!$AJ$28)*INDEX('Lease Cycles'!$EM$28:$ES$28,1,CO350)+(1-'Lease Cycles'!$BE$28)*IF(CO351&lt;INDEX('Lease Cycles'!$FA$28:$FG$28,1,CO350),0,1-INDEX('Lease Cycles'!$EM$28:$ES$28,1,CO350)),IF(OR(INDEX('Lease Cycles'!$DY$28:$EE$28,1,CO350)=1,CO351&gt;0),1,1-INDEX('Lease Cycles'!$DD$28:$DJ$28,1,CO350))*((1-'Lease Cycles'!$AJ$28)*INDEX('Lease Cycles'!$FO$28:$FU$28,1,CO350)+(1-'Lease Cycles'!$BE$28)*(1-INDEX('Lease Cycles'!$FO$28:$FU$28,1,CO350)))),0)</f>
        <v>0</v>
      </c>
      <c r="CP358" s="24">
        <f>IF(CP352=1,'Lease Cycles'!$D$28*IF(INDEX('Lease Cycles'!$EF$28:$EL$28,1,CP350)=1,(1-'Lease Cycles'!$AJ$28)*INDEX('Lease Cycles'!$EM$28:$ES$28,1,CP350)+(1-'Lease Cycles'!$BE$28)*IF(CP351&lt;INDEX('Lease Cycles'!$FA$28:$FG$28,1,CP350),0,1-INDEX('Lease Cycles'!$EM$28:$ES$28,1,CP350)),IF(OR(INDEX('Lease Cycles'!$DY$28:$EE$28,1,CP350)=1,CP351&gt;0),1,1-INDEX('Lease Cycles'!$DD$28:$DJ$28,1,CP350))*((1-'Lease Cycles'!$AJ$28)*INDEX('Lease Cycles'!$FO$28:$FU$28,1,CP350)+(1-'Lease Cycles'!$BE$28)*(1-INDEX('Lease Cycles'!$FO$28:$FU$28,1,CP350)))),0)</f>
        <v>0</v>
      </c>
      <c r="CQ358" s="24">
        <f>IF(CQ352=1,'Lease Cycles'!$D$28*IF(INDEX('Lease Cycles'!$EF$28:$EL$28,1,CQ350)=1,(1-'Lease Cycles'!$AJ$28)*INDEX('Lease Cycles'!$EM$28:$ES$28,1,CQ350)+(1-'Lease Cycles'!$BE$28)*IF(CQ351&lt;INDEX('Lease Cycles'!$FA$28:$FG$28,1,CQ350),0,1-INDEX('Lease Cycles'!$EM$28:$ES$28,1,CQ350)),IF(OR(INDEX('Lease Cycles'!$DY$28:$EE$28,1,CQ350)=1,CQ351&gt;0),1,1-INDEX('Lease Cycles'!$DD$28:$DJ$28,1,CQ350))*((1-'Lease Cycles'!$AJ$28)*INDEX('Lease Cycles'!$FO$28:$FU$28,1,CQ350)+(1-'Lease Cycles'!$BE$28)*(1-INDEX('Lease Cycles'!$FO$28:$FU$28,1,CQ350)))),0)</f>
        <v>0</v>
      </c>
      <c r="CR358" s="24">
        <f>IF(CR352=1,'Lease Cycles'!$D$28*IF(INDEX('Lease Cycles'!$EF$28:$EL$28,1,CR350)=1,(1-'Lease Cycles'!$AJ$28)*INDEX('Lease Cycles'!$EM$28:$ES$28,1,CR350)+(1-'Lease Cycles'!$BE$28)*IF(CR351&lt;INDEX('Lease Cycles'!$FA$28:$FG$28,1,CR350),0,1-INDEX('Lease Cycles'!$EM$28:$ES$28,1,CR350)),IF(OR(INDEX('Lease Cycles'!$DY$28:$EE$28,1,CR350)=1,CR351&gt;0),1,1-INDEX('Lease Cycles'!$DD$28:$DJ$28,1,CR350))*((1-'Lease Cycles'!$AJ$28)*INDEX('Lease Cycles'!$FO$28:$FU$28,1,CR350)+(1-'Lease Cycles'!$BE$28)*(1-INDEX('Lease Cycles'!$FO$28:$FU$28,1,CR350)))),0)</f>
        <v>0</v>
      </c>
      <c r="CS358" s="24">
        <f>IF(CS352=1,'Lease Cycles'!$D$28*IF(INDEX('Lease Cycles'!$EF$28:$EL$28,1,CS350)=1,(1-'Lease Cycles'!$AJ$28)*INDEX('Lease Cycles'!$EM$28:$ES$28,1,CS350)+(1-'Lease Cycles'!$BE$28)*IF(CS351&lt;INDEX('Lease Cycles'!$FA$28:$FG$28,1,CS350),0,1-INDEX('Lease Cycles'!$EM$28:$ES$28,1,CS350)),IF(OR(INDEX('Lease Cycles'!$DY$28:$EE$28,1,CS350)=1,CS351&gt;0),1,1-INDEX('Lease Cycles'!$DD$28:$DJ$28,1,CS350))*((1-'Lease Cycles'!$AJ$28)*INDEX('Lease Cycles'!$FO$28:$FU$28,1,CS350)+(1-'Lease Cycles'!$BE$28)*(1-INDEX('Lease Cycles'!$FO$28:$FU$28,1,CS350)))),0)</f>
        <v>0</v>
      </c>
      <c r="CT358" s="24">
        <f>IF(CT352=1,'Lease Cycles'!$D$28*IF(INDEX('Lease Cycles'!$EF$28:$EL$28,1,CT350)=1,(1-'Lease Cycles'!$AJ$28)*INDEX('Lease Cycles'!$EM$28:$ES$28,1,CT350)+(1-'Lease Cycles'!$BE$28)*IF(CT351&lt;INDEX('Lease Cycles'!$FA$28:$FG$28,1,CT350),0,1-INDEX('Lease Cycles'!$EM$28:$ES$28,1,CT350)),IF(OR(INDEX('Lease Cycles'!$DY$28:$EE$28,1,CT350)=1,CT351&gt;0),1,1-INDEX('Lease Cycles'!$DD$28:$DJ$28,1,CT350))*((1-'Lease Cycles'!$AJ$28)*INDEX('Lease Cycles'!$FO$28:$FU$28,1,CT350)+(1-'Lease Cycles'!$BE$28)*(1-INDEX('Lease Cycles'!$FO$28:$FU$28,1,CT350)))),0)</f>
        <v>0</v>
      </c>
      <c r="CU358" s="24">
        <f>IF(CU352=1,'Lease Cycles'!$D$28*IF(INDEX('Lease Cycles'!$EF$28:$EL$28,1,CU350)=1,(1-'Lease Cycles'!$AJ$28)*INDEX('Lease Cycles'!$EM$28:$ES$28,1,CU350)+(1-'Lease Cycles'!$BE$28)*IF(CU351&lt;INDEX('Lease Cycles'!$FA$28:$FG$28,1,CU350),0,1-INDEX('Lease Cycles'!$EM$28:$ES$28,1,CU350)),IF(OR(INDEX('Lease Cycles'!$DY$28:$EE$28,1,CU350)=1,CU351&gt;0),1,1-INDEX('Lease Cycles'!$DD$28:$DJ$28,1,CU350))*((1-'Lease Cycles'!$AJ$28)*INDEX('Lease Cycles'!$FO$28:$FU$28,1,CU350)+(1-'Lease Cycles'!$BE$28)*(1-INDEX('Lease Cycles'!$FO$28:$FU$28,1,CU350)))),0)</f>
        <v>0</v>
      </c>
      <c r="CV358" s="24">
        <f>IF(CV352=1,'Lease Cycles'!$D$28*IF(INDEX('Lease Cycles'!$EF$28:$EL$28,1,CV350)=1,(1-'Lease Cycles'!$AJ$28)*INDEX('Lease Cycles'!$EM$28:$ES$28,1,CV350)+(1-'Lease Cycles'!$BE$28)*IF(CV351&lt;INDEX('Lease Cycles'!$FA$28:$FG$28,1,CV350),0,1-INDEX('Lease Cycles'!$EM$28:$ES$28,1,CV350)),IF(OR(INDEX('Lease Cycles'!$DY$28:$EE$28,1,CV350)=1,CV351&gt;0),1,1-INDEX('Lease Cycles'!$DD$28:$DJ$28,1,CV350))*((1-'Lease Cycles'!$AJ$28)*INDEX('Lease Cycles'!$FO$28:$FU$28,1,CV350)+(1-'Lease Cycles'!$BE$28)*(1-INDEX('Lease Cycles'!$FO$28:$FU$28,1,CV350)))),0)</f>
        <v>0</v>
      </c>
      <c r="CW358" s="24">
        <f>IF(CW352=1,'Lease Cycles'!$D$28*IF(INDEX('Lease Cycles'!$EF$28:$EL$28,1,CW350)=1,(1-'Lease Cycles'!$AJ$28)*INDEX('Lease Cycles'!$EM$28:$ES$28,1,CW350)+(1-'Lease Cycles'!$BE$28)*IF(CW351&lt;INDEX('Lease Cycles'!$FA$28:$FG$28,1,CW350),0,1-INDEX('Lease Cycles'!$EM$28:$ES$28,1,CW350)),IF(OR(INDEX('Lease Cycles'!$DY$28:$EE$28,1,CW350)=1,CW351&gt;0),1,1-INDEX('Lease Cycles'!$DD$28:$DJ$28,1,CW350))*((1-'Lease Cycles'!$AJ$28)*INDEX('Lease Cycles'!$FO$28:$FU$28,1,CW350)+(1-'Lease Cycles'!$BE$28)*(1-INDEX('Lease Cycles'!$FO$28:$FU$28,1,CW350)))),0)</f>
        <v>0</v>
      </c>
      <c r="CX358" s="24">
        <f>IF(CX352=1,'Lease Cycles'!$D$28*IF(INDEX('Lease Cycles'!$EF$28:$EL$28,1,CX350)=1,(1-'Lease Cycles'!$AJ$28)*INDEX('Lease Cycles'!$EM$28:$ES$28,1,CX350)+(1-'Lease Cycles'!$BE$28)*IF(CX351&lt;INDEX('Lease Cycles'!$FA$28:$FG$28,1,CX350),0,1-INDEX('Lease Cycles'!$EM$28:$ES$28,1,CX350)),IF(OR(INDEX('Lease Cycles'!$DY$28:$EE$28,1,CX350)=1,CX351&gt;0),1,1-INDEX('Lease Cycles'!$DD$28:$DJ$28,1,CX350))*((1-'Lease Cycles'!$AJ$28)*INDEX('Lease Cycles'!$FO$28:$FU$28,1,CX350)+(1-'Lease Cycles'!$BE$28)*(1-INDEX('Lease Cycles'!$FO$28:$FU$28,1,CX350)))),0)</f>
        <v>0</v>
      </c>
      <c r="CY358" s="24">
        <f>IF(CY352=1,'Lease Cycles'!$D$28*IF(INDEX('Lease Cycles'!$EF$28:$EL$28,1,CY350)=1,(1-'Lease Cycles'!$AJ$28)*INDEX('Lease Cycles'!$EM$28:$ES$28,1,CY350)+(1-'Lease Cycles'!$BE$28)*IF(CY351&lt;INDEX('Lease Cycles'!$FA$28:$FG$28,1,CY350),0,1-INDEX('Lease Cycles'!$EM$28:$ES$28,1,CY350)),IF(OR(INDEX('Lease Cycles'!$DY$28:$EE$28,1,CY350)=1,CY351&gt;0),1,1-INDEX('Lease Cycles'!$DD$28:$DJ$28,1,CY350))*((1-'Lease Cycles'!$AJ$28)*INDEX('Lease Cycles'!$FO$28:$FU$28,1,CY350)+(1-'Lease Cycles'!$BE$28)*(1-INDEX('Lease Cycles'!$FO$28:$FU$28,1,CY350)))),0)</f>
        <v>0</v>
      </c>
      <c r="CZ358" s="24">
        <f>IF(CZ352=1,'Lease Cycles'!$D$28*IF(INDEX('Lease Cycles'!$EF$28:$EL$28,1,CZ350)=1,(1-'Lease Cycles'!$AJ$28)*INDEX('Lease Cycles'!$EM$28:$ES$28,1,CZ350)+(1-'Lease Cycles'!$BE$28)*IF(CZ351&lt;INDEX('Lease Cycles'!$FA$28:$FG$28,1,CZ350),0,1-INDEX('Lease Cycles'!$EM$28:$ES$28,1,CZ350)),IF(OR(INDEX('Lease Cycles'!$DY$28:$EE$28,1,CZ350)=1,CZ351&gt;0),1,1-INDEX('Lease Cycles'!$DD$28:$DJ$28,1,CZ350))*((1-'Lease Cycles'!$AJ$28)*INDEX('Lease Cycles'!$FO$28:$FU$28,1,CZ350)+(1-'Lease Cycles'!$BE$28)*(1-INDEX('Lease Cycles'!$FO$28:$FU$28,1,CZ350)))),0)</f>
        <v>0</v>
      </c>
      <c r="DA358" s="24">
        <f>IF(DA352=1,'Lease Cycles'!$D$28*IF(INDEX('Lease Cycles'!$EF$28:$EL$28,1,DA350)=1,(1-'Lease Cycles'!$AJ$28)*INDEX('Lease Cycles'!$EM$28:$ES$28,1,DA350)+(1-'Lease Cycles'!$BE$28)*IF(DA351&lt;INDEX('Lease Cycles'!$FA$28:$FG$28,1,DA350),0,1-INDEX('Lease Cycles'!$EM$28:$ES$28,1,DA350)),IF(OR(INDEX('Lease Cycles'!$DY$28:$EE$28,1,DA350)=1,DA351&gt;0),1,1-INDEX('Lease Cycles'!$DD$28:$DJ$28,1,DA350))*((1-'Lease Cycles'!$AJ$28)*INDEX('Lease Cycles'!$FO$28:$FU$28,1,DA350)+(1-'Lease Cycles'!$BE$28)*(1-INDEX('Lease Cycles'!$FO$28:$FU$28,1,DA350)))),0)</f>
        <v>0</v>
      </c>
      <c r="DB358" s="24">
        <f>IF(DB352=1,'Lease Cycles'!$D$28*IF(INDEX('Lease Cycles'!$EF$28:$EL$28,1,DB350)=1,(1-'Lease Cycles'!$AJ$28)*INDEX('Lease Cycles'!$EM$28:$ES$28,1,DB350)+(1-'Lease Cycles'!$BE$28)*IF(DB351&lt;INDEX('Lease Cycles'!$FA$28:$FG$28,1,DB350),0,1-INDEX('Lease Cycles'!$EM$28:$ES$28,1,DB350)),IF(OR(INDEX('Lease Cycles'!$DY$28:$EE$28,1,DB350)=1,DB351&gt;0),1,1-INDEX('Lease Cycles'!$DD$28:$DJ$28,1,DB350))*((1-'Lease Cycles'!$AJ$28)*INDEX('Lease Cycles'!$FO$28:$FU$28,1,DB350)+(1-'Lease Cycles'!$BE$28)*(1-INDEX('Lease Cycles'!$FO$28:$FU$28,1,DB350)))),0)</f>
        <v>0</v>
      </c>
      <c r="DC358" s="24">
        <f>IF(DC352=1,'Lease Cycles'!$D$28*IF(INDEX('Lease Cycles'!$EF$28:$EL$28,1,DC350)=1,(1-'Lease Cycles'!$AJ$28)*INDEX('Lease Cycles'!$EM$28:$ES$28,1,DC350)+(1-'Lease Cycles'!$BE$28)*IF(DC351&lt;INDEX('Lease Cycles'!$FA$28:$FG$28,1,DC350),0,1-INDEX('Lease Cycles'!$EM$28:$ES$28,1,DC350)),IF(OR(INDEX('Lease Cycles'!$DY$28:$EE$28,1,DC350)=1,DC351&gt;0),1,1-INDEX('Lease Cycles'!$DD$28:$DJ$28,1,DC350))*((1-'Lease Cycles'!$AJ$28)*INDEX('Lease Cycles'!$FO$28:$FU$28,1,DC350)+(1-'Lease Cycles'!$BE$28)*(1-INDEX('Lease Cycles'!$FO$28:$FU$28,1,DC350)))),0)</f>
        <v>0</v>
      </c>
      <c r="DD358" s="24">
        <f>IF(DD352=1,'Lease Cycles'!$D$28*IF(INDEX('Lease Cycles'!$EF$28:$EL$28,1,DD350)=1,(1-'Lease Cycles'!$AJ$28)*INDEX('Lease Cycles'!$EM$28:$ES$28,1,DD350)+(1-'Lease Cycles'!$BE$28)*IF(DD351&lt;INDEX('Lease Cycles'!$FA$28:$FG$28,1,DD350),0,1-INDEX('Lease Cycles'!$EM$28:$ES$28,1,DD350)),IF(OR(INDEX('Lease Cycles'!$DY$28:$EE$28,1,DD350)=1,DD351&gt;0),1,1-INDEX('Lease Cycles'!$DD$28:$DJ$28,1,DD350))*((1-'Lease Cycles'!$AJ$28)*INDEX('Lease Cycles'!$FO$28:$FU$28,1,DD350)+(1-'Lease Cycles'!$BE$28)*(1-INDEX('Lease Cycles'!$FO$28:$FU$28,1,DD350)))),0)</f>
        <v>0</v>
      </c>
      <c r="DE358" s="24">
        <f>IF(DE352=1,'Lease Cycles'!$D$28*IF(INDEX('Lease Cycles'!$EF$28:$EL$28,1,DE350)=1,(1-'Lease Cycles'!$AJ$28)*INDEX('Lease Cycles'!$EM$28:$ES$28,1,DE350)+(1-'Lease Cycles'!$BE$28)*IF(DE351&lt;INDEX('Lease Cycles'!$FA$28:$FG$28,1,DE350),0,1-INDEX('Lease Cycles'!$EM$28:$ES$28,1,DE350)),IF(OR(INDEX('Lease Cycles'!$DY$28:$EE$28,1,DE350)=1,DE351&gt;0),1,1-INDEX('Lease Cycles'!$DD$28:$DJ$28,1,DE350))*((1-'Lease Cycles'!$AJ$28)*INDEX('Lease Cycles'!$FO$28:$FU$28,1,DE350)+(1-'Lease Cycles'!$BE$28)*(1-INDEX('Lease Cycles'!$FO$28:$FU$28,1,DE350)))),0)</f>
        <v>0</v>
      </c>
      <c r="DF358" s="24">
        <f>IF(DF352=1,'Lease Cycles'!$D$28*IF(INDEX('Lease Cycles'!$EF$28:$EL$28,1,DF350)=1,(1-'Lease Cycles'!$AJ$28)*INDEX('Lease Cycles'!$EM$28:$ES$28,1,DF350)+(1-'Lease Cycles'!$BE$28)*IF(DF351&lt;INDEX('Lease Cycles'!$FA$28:$FG$28,1,DF350),0,1-INDEX('Lease Cycles'!$EM$28:$ES$28,1,DF350)),IF(OR(INDEX('Lease Cycles'!$DY$28:$EE$28,1,DF350)=1,DF351&gt;0),1,1-INDEX('Lease Cycles'!$DD$28:$DJ$28,1,DF350))*((1-'Lease Cycles'!$AJ$28)*INDEX('Lease Cycles'!$FO$28:$FU$28,1,DF350)+(1-'Lease Cycles'!$BE$28)*(1-INDEX('Lease Cycles'!$FO$28:$FU$28,1,DF350)))),0)</f>
        <v>0</v>
      </c>
      <c r="DG358" s="24">
        <f>IF(DG352=1,'Lease Cycles'!$D$28*IF(INDEX('Lease Cycles'!$EF$28:$EL$28,1,DG350)=1,(1-'Lease Cycles'!$AJ$28)*INDEX('Lease Cycles'!$EM$28:$ES$28,1,DG350)+(1-'Lease Cycles'!$BE$28)*IF(DG351&lt;INDEX('Lease Cycles'!$FA$28:$FG$28,1,DG350),0,1-INDEX('Lease Cycles'!$EM$28:$ES$28,1,DG350)),IF(OR(INDEX('Lease Cycles'!$DY$28:$EE$28,1,DG350)=1,DG351&gt;0),1,1-INDEX('Lease Cycles'!$DD$28:$DJ$28,1,DG350))*((1-'Lease Cycles'!$AJ$28)*INDEX('Lease Cycles'!$FO$28:$FU$28,1,DG350)+(1-'Lease Cycles'!$BE$28)*(1-INDEX('Lease Cycles'!$FO$28:$FU$28,1,DG350)))),0)</f>
        <v>0</v>
      </c>
      <c r="DH358" s="24">
        <f>IF(DH352=1,'Lease Cycles'!$D$28*IF(INDEX('Lease Cycles'!$EF$28:$EL$28,1,DH350)=1,(1-'Lease Cycles'!$AJ$28)*INDEX('Lease Cycles'!$EM$28:$ES$28,1,DH350)+(1-'Lease Cycles'!$BE$28)*IF(DH351&lt;INDEX('Lease Cycles'!$FA$28:$FG$28,1,DH350),0,1-INDEX('Lease Cycles'!$EM$28:$ES$28,1,DH350)),IF(OR(INDEX('Lease Cycles'!$DY$28:$EE$28,1,DH350)=1,DH351&gt;0),1,1-INDEX('Lease Cycles'!$DD$28:$DJ$28,1,DH350))*((1-'Lease Cycles'!$AJ$28)*INDEX('Lease Cycles'!$FO$28:$FU$28,1,DH350)+(1-'Lease Cycles'!$BE$28)*(1-INDEX('Lease Cycles'!$FO$28:$FU$28,1,DH350)))),0)</f>
        <v>0</v>
      </c>
      <c r="DI358" s="24">
        <f>IF(DI352=1,'Lease Cycles'!$D$28*IF(INDEX('Lease Cycles'!$EF$28:$EL$28,1,DI350)=1,(1-'Lease Cycles'!$AJ$28)*INDEX('Lease Cycles'!$EM$28:$ES$28,1,DI350)+(1-'Lease Cycles'!$BE$28)*IF(DI351&lt;INDEX('Lease Cycles'!$FA$28:$FG$28,1,DI350),0,1-INDEX('Lease Cycles'!$EM$28:$ES$28,1,DI350)),IF(OR(INDEX('Lease Cycles'!$DY$28:$EE$28,1,DI350)=1,DI351&gt;0),1,1-INDEX('Lease Cycles'!$DD$28:$DJ$28,1,DI350))*((1-'Lease Cycles'!$AJ$28)*INDEX('Lease Cycles'!$FO$28:$FU$28,1,DI350)+(1-'Lease Cycles'!$BE$28)*(1-INDEX('Lease Cycles'!$FO$28:$FU$28,1,DI350)))),0)</f>
        <v>0</v>
      </c>
      <c r="DJ358" s="24">
        <f>IF(DJ352=1,'Lease Cycles'!$D$28*IF(INDEX('Lease Cycles'!$EF$28:$EL$28,1,DJ350)=1,(1-'Lease Cycles'!$AJ$28)*INDEX('Lease Cycles'!$EM$28:$ES$28,1,DJ350)+(1-'Lease Cycles'!$BE$28)*IF(DJ351&lt;INDEX('Lease Cycles'!$FA$28:$FG$28,1,DJ350),0,1-INDEX('Lease Cycles'!$EM$28:$ES$28,1,DJ350)),IF(OR(INDEX('Lease Cycles'!$DY$28:$EE$28,1,DJ350)=1,DJ351&gt;0),1,1-INDEX('Lease Cycles'!$DD$28:$DJ$28,1,DJ350))*((1-'Lease Cycles'!$AJ$28)*INDEX('Lease Cycles'!$FO$28:$FU$28,1,DJ350)+(1-'Lease Cycles'!$BE$28)*(1-INDEX('Lease Cycles'!$FO$28:$FU$28,1,DJ350)))),0)</f>
        <v>0</v>
      </c>
      <c r="DK358" s="24">
        <f>IF(DK352=1,'Lease Cycles'!$D$28*IF(INDEX('Lease Cycles'!$EF$28:$EL$28,1,DK350)=1,(1-'Lease Cycles'!$AJ$28)*INDEX('Lease Cycles'!$EM$28:$ES$28,1,DK350)+(1-'Lease Cycles'!$BE$28)*IF(DK351&lt;INDEX('Lease Cycles'!$FA$28:$FG$28,1,DK350),0,1-INDEX('Lease Cycles'!$EM$28:$ES$28,1,DK350)),IF(OR(INDEX('Lease Cycles'!$DY$28:$EE$28,1,DK350)=1,DK351&gt;0),1,1-INDEX('Lease Cycles'!$DD$28:$DJ$28,1,DK350))*((1-'Lease Cycles'!$AJ$28)*INDEX('Lease Cycles'!$FO$28:$FU$28,1,DK350)+(1-'Lease Cycles'!$BE$28)*(1-INDEX('Lease Cycles'!$FO$28:$FU$28,1,DK350)))),0)</f>
        <v>0</v>
      </c>
      <c r="DL358" s="24">
        <f>IF(DL352=1,'Lease Cycles'!$D$28*IF(INDEX('Lease Cycles'!$EF$28:$EL$28,1,DL350)=1,(1-'Lease Cycles'!$AJ$28)*INDEX('Lease Cycles'!$EM$28:$ES$28,1,DL350)+(1-'Lease Cycles'!$BE$28)*IF(DL351&lt;INDEX('Lease Cycles'!$FA$28:$FG$28,1,DL350),0,1-INDEX('Lease Cycles'!$EM$28:$ES$28,1,DL350)),IF(OR(INDEX('Lease Cycles'!$DY$28:$EE$28,1,DL350)=1,DL351&gt;0),1,1-INDEX('Lease Cycles'!$DD$28:$DJ$28,1,DL350))*((1-'Lease Cycles'!$AJ$28)*INDEX('Lease Cycles'!$FO$28:$FU$28,1,DL350)+(1-'Lease Cycles'!$BE$28)*(1-INDEX('Lease Cycles'!$FO$28:$FU$28,1,DL350)))),0)</f>
        <v>0</v>
      </c>
      <c r="DM358" s="24">
        <f>IF(DM352=1,'Lease Cycles'!$D$28*IF(INDEX('Lease Cycles'!$EF$28:$EL$28,1,DM350)=1,(1-'Lease Cycles'!$AJ$28)*INDEX('Lease Cycles'!$EM$28:$ES$28,1,DM350)+(1-'Lease Cycles'!$BE$28)*IF(DM351&lt;INDEX('Lease Cycles'!$FA$28:$FG$28,1,DM350),0,1-INDEX('Lease Cycles'!$EM$28:$ES$28,1,DM350)),IF(OR(INDEX('Lease Cycles'!$DY$28:$EE$28,1,DM350)=1,DM351&gt;0),1,1-INDEX('Lease Cycles'!$DD$28:$DJ$28,1,DM350))*((1-'Lease Cycles'!$AJ$28)*INDEX('Lease Cycles'!$FO$28:$FU$28,1,DM350)+(1-'Lease Cycles'!$BE$28)*(1-INDEX('Lease Cycles'!$FO$28:$FU$28,1,DM350)))),0)</f>
        <v>0</v>
      </c>
      <c r="DN358" s="24">
        <f>IF(DN352=1,'Lease Cycles'!$D$28*IF(INDEX('Lease Cycles'!$EF$28:$EL$28,1,DN350)=1,(1-'Lease Cycles'!$AJ$28)*INDEX('Lease Cycles'!$EM$28:$ES$28,1,DN350)+(1-'Lease Cycles'!$BE$28)*IF(DN351&lt;INDEX('Lease Cycles'!$FA$28:$FG$28,1,DN350),0,1-INDEX('Lease Cycles'!$EM$28:$ES$28,1,DN350)),IF(OR(INDEX('Lease Cycles'!$DY$28:$EE$28,1,DN350)=1,DN351&gt;0),1,1-INDEX('Lease Cycles'!$DD$28:$DJ$28,1,DN350))*((1-'Lease Cycles'!$AJ$28)*INDEX('Lease Cycles'!$FO$28:$FU$28,1,DN350)+(1-'Lease Cycles'!$BE$28)*(1-INDEX('Lease Cycles'!$FO$28:$FU$28,1,DN350)))),0)</f>
        <v>0</v>
      </c>
      <c r="DO358" s="24">
        <f>IF(DO352=1,'Lease Cycles'!$D$28*IF(INDEX('Lease Cycles'!$EF$28:$EL$28,1,DO350)=1,(1-'Lease Cycles'!$AJ$28)*INDEX('Lease Cycles'!$EM$28:$ES$28,1,DO350)+(1-'Lease Cycles'!$BE$28)*IF(DO351&lt;INDEX('Lease Cycles'!$FA$28:$FG$28,1,DO350),0,1-INDEX('Lease Cycles'!$EM$28:$ES$28,1,DO350)),IF(OR(INDEX('Lease Cycles'!$DY$28:$EE$28,1,DO350)=1,DO351&gt;0),1,1-INDEX('Lease Cycles'!$DD$28:$DJ$28,1,DO350))*((1-'Lease Cycles'!$AJ$28)*INDEX('Lease Cycles'!$FO$28:$FU$28,1,DO350)+(1-'Lease Cycles'!$BE$28)*(1-INDEX('Lease Cycles'!$FO$28:$FU$28,1,DO350)))),0)</f>
        <v>0</v>
      </c>
      <c r="DP358" s="24">
        <f>IF(DP352=1,'Lease Cycles'!$D$28*IF(INDEX('Lease Cycles'!$EF$28:$EL$28,1,DP350)=1,(1-'Lease Cycles'!$AJ$28)*INDEX('Lease Cycles'!$EM$28:$ES$28,1,DP350)+(1-'Lease Cycles'!$BE$28)*IF(DP351&lt;INDEX('Lease Cycles'!$FA$28:$FG$28,1,DP350),0,1-INDEX('Lease Cycles'!$EM$28:$ES$28,1,DP350)),IF(OR(INDEX('Lease Cycles'!$DY$28:$EE$28,1,DP350)=1,DP351&gt;0),1,1-INDEX('Lease Cycles'!$DD$28:$DJ$28,1,DP350))*((1-'Lease Cycles'!$AJ$28)*INDEX('Lease Cycles'!$FO$28:$FU$28,1,DP350)+(1-'Lease Cycles'!$BE$28)*(1-INDEX('Lease Cycles'!$FO$28:$FU$28,1,DP350)))),0)</f>
        <v>0</v>
      </c>
      <c r="DQ358" s="24">
        <f>IF(DQ352=1,'Lease Cycles'!$D$28*IF(INDEX('Lease Cycles'!$EF$28:$EL$28,1,DQ350)=1,(1-'Lease Cycles'!$AJ$28)*INDEX('Lease Cycles'!$EM$28:$ES$28,1,DQ350)+(1-'Lease Cycles'!$BE$28)*IF(DQ351&lt;INDEX('Lease Cycles'!$FA$28:$FG$28,1,DQ350),0,1-INDEX('Lease Cycles'!$EM$28:$ES$28,1,DQ350)),IF(OR(INDEX('Lease Cycles'!$DY$28:$EE$28,1,DQ350)=1,DQ351&gt;0),1,1-INDEX('Lease Cycles'!$DD$28:$DJ$28,1,DQ350))*((1-'Lease Cycles'!$AJ$28)*INDEX('Lease Cycles'!$FO$28:$FU$28,1,DQ350)+(1-'Lease Cycles'!$BE$28)*(1-INDEX('Lease Cycles'!$FO$28:$FU$28,1,DQ350)))),0)</f>
        <v>0</v>
      </c>
      <c r="DR358" s="24">
        <f>IF(DR352=1,'Lease Cycles'!$D$28*IF(INDEX('Lease Cycles'!$EF$28:$EL$28,1,DR350)=1,(1-'Lease Cycles'!$AJ$28)*INDEX('Lease Cycles'!$EM$28:$ES$28,1,DR350)+(1-'Lease Cycles'!$BE$28)*IF(DR351&lt;INDEX('Lease Cycles'!$FA$28:$FG$28,1,DR350),0,1-INDEX('Lease Cycles'!$EM$28:$ES$28,1,DR350)),IF(OR(INDEX('Lease Cycles'!$DY$28:$EE$28,1,DR350)=1,DR351&gt;0),1,1-INDEX('Lease Cycles'!$DD$28:$DJ$28,1,DR350))*((1-'Lease Cycles'!$AJ$28)*INDEX('Lease Cycles'!$FO$28:$FU$28,1,DR350)+(1-'Lease Cycles'!$BE$28)*(1-INDEX('Lease Cycles'!$FO$28:$FU$28,1,DR350)))),0)</f>
        <v>0</v>
      </c>
      <c r="DS358" s="24">
        <f>IF(DS352=1,'Lease Cycles'!$D$28*IF(INDEX('Lease Cycles'!$EF$28:$EL$28,1,DS350)=1,(1-'Lease Cycles'!$AJ$28)*INDEX('Lease Cycles'!$EM$28:$ES$28,1,DS350)+(1-'Lease Cycles'!$BE$28)*IF(DS351&lt;INDEX('Lease Cycles'!$FA$28:$FG$28,1,DS350),0,1-INDEX('Lease Cycles'!$EM$28:$ES$28,1,DS350)),IF(OR(INDEX('Lease Cycles'!$DY$28:$EE$28,1,DS350)=1,DS351&gt;0),1,1-INDEX('Lease Cycles'!$DD$28:$DJ$28,1,DS350))*((1-'Lease Cycles'!$AJ$28)*INDEX('Lease Cycles'!$FO$28:$FU$28,1,DS350)+(1-'Lease Cycles'!$BE$28)*(1-INDEX('Lease Cycles'!$FO$28:$FU$28,1,DS350)))),0)</f>
        <v>0</v>
      </c>
      <c r="DT358" s="24">
        <f>IF(DT352=1,'Lease Cycles'!$D$28*IF(INDEX('Lease Cycles'!$EF$28:$EL$28,1,DT350)=1,(1-'Lease Cycles'!$AJ$28)*INDEX('Lease Cycles'!$EM$28:$ES$28,1,DT350)+(1-'Lease Cycles'!$BE$28)*IF(DT351&lt;INDEX('Lease Cycles'!$FA$28:$FG$28,1,DT350),0,1-INDEX('Lease Cycles'!$EM$28:$ES$28,1,DT350)),IF(OR(INDEX('Lease Cycles'!$DY$28:$EE$28,1,DT350)=1,DT351&gt;0),1,1-INDEX('Lease Cycles'!$DD$28:$DJ$28,1,DT350))*((1-'Lease Cycles'!$AJ$28)*INDEX('Lease Cycles'!$FO$28:$FU$28,1,DT350)+(1-'Lease Cycles'!$BE$28)*(1-INDEX('Lease Cycles'!$FO$28:$FU$28,1,DT350)))),0)</f>
        <v>0</v>
      </c>
      <c r="DU358" s="24">
        <f>IF(DU352=1,'Lease Cycles'!$D$28*IF(INDEX('Lease Cycles'!$EF$28:$EL$28,1,DU350)=1,(1-'Lease Cycles'!$AJ$28)*INDEX('Lease Cycles'!$EM$28:$ES$28,1,DU350)+(1-'Lease Cycles'!$BE$28)*IF(DU351&lt;INDEX('Lease Cycles'!$FA$28:$FG$28,1,DU350),0,1-INDEX('Lease Cycles'!$EM$28:$ES$28,1,DU350)),IF(OR(INDEX('Lease Cycles'!$DY$28:$EE$28,1,DU350)=1,DU351&gt;0),1,1-INDEX('Lease Cycles'!$DD$28:$DJ$28,1,DU350))*((1-'Lease Cycles'!$AJ$28)*INDEX('Lease Cycles'!$FO$28:$FU$28,1,DU350)+(1-'Lease Cycles'!$BE$28)*(1-INDEX('Lease Cycles'!$FO$28:$FU$28,1,DU350)))),0)</f>
        <v>0</v>
      </c>
      <c r="DV358" s="24">
        <f>IF(DV352=1,'Lease Cycles'!$D$28*IF(INDEX('Lease Cycles'!$EF$28:$EL$28,1,DV350)=1,(1-'Lease Cycles'!$AJ$28)*INDEX('Lease Cycles'!$EM$28:$ES$28,1,DV350)+(1-'Lease Cycles'!$BE$28)*IF(DV351&lt;INDEX('Lease Cycles'!$FA$28:$FG$28,1,DV350),0,1-INDEX('Lease Cycles'!$EM$28:$ES$28,1,DV350)),IF(OR(INDEX('Lease Cycles'!$DY$28:$EE$28,1,DV350)=1,DV351&gt;0),1,1-INDEX('Lease Cycles'!$DD$28:$DJ$28,1,DV350))*((1-'Lease Cycles'!$AJ$28)*INDEX('Lease Cycles'!$FO$28:$FU$28,1,DV350)+(1-'Lease Cycles'!$BE$28)*(1-INDEX('Lease Cycles'!$FO$28:$FU$28,1,DV350)))),0)</f>
        <v>0</v>
      </c>
      <c r="DW358" s="24">
        <f>IF(DW352=1,'Lease Cycles'!$D$28*IF(INDEX('Lease Cycles'!$EF$28:$EL$28,1,DW350)=1,(1-'Lease Cycles'!$AJ$28)*INDEX('Lease Cycles'!$EM$28:$ES$28,1,DW350)+(1-'Lease Cycles'!$BE$28)*IF(DW351&lt;INDEX('Lease Cycles'!$FA$28:$FG$28,1,DW350),0,1-INDEX('Lease Cycles'!$EM$28:$ES$28,1,DW350)),IF(OR(INDEX('Lease Cycles'!$DY$28:$EE$28,1,DW350)=1,DW351&gt;0),1,1-INDEX('Lease Cycles'!$DD$28:$DJ$28,1,DW350))*((1-'Lease Cycles'!$AJ$28)*INDEX('Lease Cycles'!$FO$28:$FU$28,1,DW350)+(1-'Lease Cycles'!$BE$28)*(1-INDEX('Lease Cycles'!$FO$28:$FU$28,1,DW350)))),0)</f>
        <v>0</v>
      </c>
      <c r="DX358" s="24">
        <f>IF(DX352=1,'Lease Cycles'!$D$28*IF(INDEX('Lease Cycles'!$EF$28:$EL$28,1,DX350)=1,(1-'Lease Cycles'!$AJ$28)*INDEX('Lease Cycles'!$EM$28:$ES$28,1,DX350)+(1-'Lease Cycles'!$BE$28)*IF(DX351&lt;INDEX('Lease Cycles'!$FA$28:$FG$28,1,DX350),0,1-INDEX('Lease Cycles'!$EM$28:$ES$28,1,DX350)),IF(OR(INDEX('Lease Cycles'!$DY$28:$EE$28,1,DX350)=1,DX351&gt;0),1,1-INDEX('Lease Cycles'!$DD$28:$DJ$28,1,DX350))*((1-'Lease Cycles'!$AJ$28)*INDEX('Lease Cycles'!$FO$28:$FU$28,1,DX350)+(1-'Lease Cycles'!$BE$28)*(1-INDEX('Lease Cycles'!$FO$28:$FU$28,1,DX350)))),0)</f>
        <v>0</v>
      </c>
      <c r="DY358" s="24">
        <f>IF(DY352=1,'Lease Cycles'!$D$28*IF(INDEX('Lease Cycles'!$EF$28:$EL$28,1,DY350)=1,(1-'Lease Cycles'!$AJ$28)*INDEX('Lease Cycles'!$EM$28:$ES$28,1,DY350)+(1-'Lease Cycles'!$BE$28)*IF(DY351&lt;INDEX('Lease Cycles'!$FA$28:$FG$28,1,DY350),0,1-INDEX('Lease Cycles'!$EM$28:$ES$28,1,DY350)),IF(OR(INDEX('Lease Cycles'!$DY$28:$EE$28,1,DY350)=1,DY351&gt;0),1,1-INDEX('Lease Cycles'!$DD$28:$DJ$28,1,DY350))*((1-'Lease Cycles'!$AJ$28)*INDEX('Lease Cycles'!$FO$28:$FU$28,1,DY350)+(1-'Lease Cycles'!$BE$28)*(1-INDEX('Lease Cycles'!$FO$28:$FU$28,1,DY350)))),0)</f>
        <v>0</v>
      </c>
      <c r="DZ358" s="24">
        <f>IF(DZ352=1,'Lease Cycles'!$D$28*IF(INDEX('Lease Cycles'!$EF$28:$EL$28,1,DZ350)=1,(1-'Lease Cycles'!$AJ$28)*INDEX('Lease Cycles'!$EM$28:$ES$28,1,DZ350)+(1-'Lease Cycles'!$BE$28)*IF(DZ351&lt;INDEX('Lease Cycles'!$FA$28:$FG$28,1,DZ350),0,1-INDEX('Lease Cycles'!$EM$28:$ES$28,1,DZ350)),IF(OR(INDEX('Lease Cycles'!$DY$28:$EE$28,1,DZ350)=1,DZ351&gt;0),1,1-INDEX('Lease Cycles'!$DD$28:$DJ$28,1,DZ350))*((1-'Lease Cycles'!$AJ$28)*INDEX('Lease Cycles'!$FO$28:$FU$28,1,DZ350)+(1-'Lease Cycles'!$BE$28)*(1-INDEX('Lease Cycles'!$FO$28:$FU$28,1,DZ350)))),0)</f>
        <v>0</v>
      </c>
      <c r="EA358" s="24">
        <f>IF(EA352=1,'Lease Cycles'!$D$28*IF(INDEX('Lease Cycles'!$EF$28:$EL$28,1,EA350)=1,(1-'Lease Cycles'!$AJ$28)*INDEX('Lease Cycles'!$EM$28:$ES$28,1,EA350)+(1-'Lease Cycles'!$BE$28)*IF(EA351&lt;INDEX('Lease Cycles'!$FA$28:$FG$28,1,EA350),0,1-INDEX('Lease Cycles'!$EM$28:$ES$28,1,EA350)),IF(OR(INDEX('Lease Cycles'!$DY$28:$EE$28,1,EA350)=1,EA351&gt;0),1,1-INDEX('Lease Cycles'!$DD$28:$DJ$28,1,EA350))*((1-'Lease Cycles'!$AJ$28)*INDEX('Lease Cycles'!$FO$28:$FU$28,1,EA350)+(1-'Lease Cycles'!$BE$28)*(1-INDEX('Lease Cycles'!$FO$28:$FU$28,1,EA350)))),0)</f>
        <v>0</v>
      </c>
      <c r="EB358" s="24">
        <f>IF(EB352=1,'Lease Cycles'!$D$28*IF(INDEX('Lease Cycles'!$EF$28:$EL$28,1,EB350)=1,(1-'Lease Cycles'!$AJ$28)*INDEX('Lease Cycles'!$EM$28:$ES$28,1,EB350)+(1-'Lease Cycles'!$BE$28)*IF(EB351&lt;INDEX('Lease Cycles'!$FA$28:$FG$28,1,EB350),0,1-INDEX('Lease Cycles'!$EM$28:$ES$28,1,EB350)),IF(OR(INDEX('Lease Cycles'!$DY$28:$EE$28,1,EB350)=1,EB351&gt;0),1,1-INDEX('Lease Cycles'!$DD$28:$DJ$28,1,EB350))*((1-'Lease Cycles'!$AJ$28)*INDEX('Lease Cycles'!$FO$28:$FU$28,1,EB350)+(1-'Lease Cycles'!$BE$28)*(1-INDEX('Lease Cycles'!$FO$28:$FU$28,1,EB350)))),0)</f>
        <v>0</v>
      </c>
      <c r="EC358" s="24">
        <f>IF(EC352=1,'Lease Cycles'!$D$28*IF(INDEX('Lease Cycles'!$EF$28:$EL$28,1,EC350)=1,(1-'Lease Cycles'!$AJ$28)*INDEX('Lease Cycles'!$EM$28:$ES$28,1,EC350)+(1-'Lease Cycles'!$BE$28)*IF(EC351&lt;INDEX('Lease Cycles'!$FA$28:$FG$28,1,EC350),0,1-INDEX('Lease Cycles'!$EM$28:$ES$28,1,EC350)),IF(OR(INDEX('Lease Cycles'!$DY$28:$EE$28,1,EC350)=1,EC351&gt;0),1,1-INDEX('Lease Cycles'!$DD$28:$DJ$28,1,EC350))*((1-'Lease Cycles'!$AJ$28)*INDEX('Lease Cycles'!$FO$28:$FU$28,1,EC350)+(1-'Lease Cycles'!$BE$28)*(1-INDEX('Lease Cycles'!$FO$28:$FU$28,1,EC350)))),0)</f>
        <v>0</v>
      </c>
      <c r="ED358" s="24">
        <f>IF(ED352=1,'Lease Cycles'!$D$28*IF(INDEX('Lease Cycles'!$EF$28:$EL$28,1,ED350)=1,(1-'Lease Cycles'!$AJ$28)*INDEX('Lease Cycles'!$EM$28:$ES$28,1,ED350)+(1-'Lease Cycles'!$BE$28)*IF(ED351&lt;INDEX('Lease Cycles'!$FA$28:$FG$28,1,ED350),0,1-INDEX('Lease Cycles'!$EM$28:$ES$28,1,ED350)),IF(OR(INDEX('Lease Cycles'!$DY$28:$EE$28,1,ED350)=1,ED351&gt;0),1,1-INDEX('Lease Cycles'!$DD$28:$DJ$28,1,ED350))*((1-'Lease Cycles'!$AJ$28)*INDEX('Lease Cycles'!$FO$28:$FU$28,1,ED350)+(1-'Lease Cycles'!$BE$28)*(1-INDEX('Lease Cycles'!$FO$28:$FU$28,1,ED350)))),0)</f>
        <v>0</v>
      </c>
      <c r="EE358" s="24">
        <f>IF(EE352=1,'Lease Cycles'!$D$28*IF(INDEX('Lease Cycles'!$EF$28:$EL$28,1,EE350)=1,(1-'Lease Cycles'!$AJ$28)*INDEX('Lease Cycles'!$EM$28:$ES$28,1,EE350)+(1-'Lease Cycles'!$BE$28)*IF(EE351&lt;INDEX('Lease Cycles'!$FA$28:$FG$28,1,EE350),0,1-INDEX('Lease Cycles'!$EM$28:$ES$28,1,EE350)),IF(OR(INDEX('Lease Cycles'!$DY$28:$EE$28,1,EE350)=1,EE351&gt;0),1,1-INDEX('Lease Cycles'!$DD$28:$DJ$28,1,EE350))*((1-'Lease Cycles'!$AJ$28)*INDEX('Lease Cycles'!$FO$28:$FU$28,1,EE350)+(1-'Lease Cycles'!$BE$28)*(1-INDEX('Lease Cycles'!$FO$28:$FU$28,1,EE350)))),0)</f>
        <v>0</v>
      </c>
      <c r="EF358" s="24">
        <f>IF(EF352=1,'Lease Cycles'!$D$28*IF(INDEX('Lease Cycles'!$EF$28:$EL$28,1,EF350)=1,(1-'Lease Cycles'!$AJ$28)*INDEX('Lease Cycles'!$EM$28:$ES$28,1,EF350)+(1-'Lease Cycles'!$BE$28)*IF(EF351&lt;INDEX('Lease Cycles'!$FA$28:$FG$28,1,EF350),0,1-INDEX('Lease Cycles'!$EM$28:$ES$28,1,EF350)),IF(OR(INDEX('Lease Cycles'!$DY$28:$EE$28,1,EF350)=1,EF351&gt;0),1,1-INDEX('Lease Cycles'!$DD$28:$DJ$28,1,EF350))*((1-'Lease Cycles'!$AJ$28)*INDEX('Lease Cycles'!$FO$28:$FU$28,1,EF350)+(1-'Lease Cycles'!$BE$28)*(1-INDEX('Lease Cycles'!$FO$28:$FU$28,1,EF350)))),0)</f>
        <v>0</v>
      </c>
      <c r="EG358" s="24">
        <f>IF(EG352=1,'Lease Cycles'!$D$28*IF(INDEX('Lease Cycles'!$EF$28:$EL$28,1,EG350)=1,(1-'Lease Cycles'!$AJ$28)*INDEX('Lease Cycles'!$EM$28:$ES$28,1,EG350)+(1-'Lease Cycles'!$BE$28)*IF(EG351&lt;INDEX('Lease Cycles'!$FA$28:$FG$28,1,EG350),0,1-INDEX('Lease Cycles'!$EM$28:$ES$28,1,EG350)),IF(OR(INDEX('Lease Cycles'!$DY$28:$EE$28,1,EG350)=1,EG351&gt;0),1,1-INDEX('Lease Cycles'!$DD$28:$DJ$28,1,EG350))*((1-'Lease Cycles'!$AJ$28)*INDEX('Lease Cycles'!$FO$28:$FU$28,1,EG350)+(1-'Lease Cycles'!$BE$28)*(1-INDEX('Lease Cycles'!$FO$28:$FU$28,1,EG350)))),0)</f>
        <v>0</v>
      </c>
      <c r="EH358" s="24">
        <f>IF(EH352=1,'Lease Cycles'!$D$28*IF(INDEX('Lease Cycles'!$EF$28:$EL$28,1,EH350)=1,(1-'Lease Cycles'!$AJ$28)*INDEX('Lease Cycles'!$EM$28:$ES$28,1,EH350)+(1-'Lease Cycles'!$BE$28)*IF(EH351&lt;INDEX('Lease Cycles'!$FA$28:$FG$28,1,EH350),0,1-INDEX('Lease Cycles'!$EM$28:$ES$28,1,EH350)),IF(OR(INDEX('Lease Cycles'!$DY$28:$EE$28,1,EH350)=1,EH351&gt;0),1,1-INDEX('Lease Cycles'!$DD$28:$DJ$28,1,EH350))*((1-'Lease Cycles'!$AJ$28)*INDEX('Lease Cycles'!$FO$28:$FU$28,1,EH350)+(1-'Lease Cycles'!$BE$28)*(1-INDEX('Lease Cycles'!$FO$28:$FU$28,1,EH350)))),0)</f>
        <v>0</v>
      </c>
      <c r="EI358" s="24">
        <f>IF(EI352=1,'Lease Cycles'!$D$28*IF(INDEX('Lease Cycles'!$EF$28:$EL$28,1,EI350)=1,(1-'Lease Cycles'!$AJ$28)*INDEX('Lease Cycles'!$EM$28:$ES$28,1,EI350)+(1-'Lease Cycles'!$BE$28)*IF(EI351&lt;INDEX('Lease Cycles'!$FA$28:$FG$28,1,EI350),0,1-INDEX('Lease Cycles'!$EM$28:$ES$28,1,EI350)),IF(OR(INDEX('Lease Cycles'!$DY$28:$EE$28,1,EI350)=1,EI351&gt;0),1,1-INDEX('Lease Cycles'!$DD$28:$DJ$28,1,EI350))*((1-'Lease Cycles'!$AJ$28)*INDEX('Lease Cycles'!$FO$28:$FU$28,1,EI350)+(1-'Lease Cycles'!$BE$28)*(1-INDEX('Lease Cycles'!$FO$28:$FU$28,1,EI350)))),0)</f>
        <v>0</v>
      </c>
      <c r="EJ358" s="24">
        <f>IF(EJ352=1,'Lease Cycles'!$D$28*IF(INDEX('Lease Cycles'!$EF$28:$EL$28,1,EJ350)=1,(1-'Lease Cycles'!$AJ$28)*INDEX('Lease Cycles'!$EM$28:$ES$28,1,EJ350)+(1-'Lease Cycles'!$BE$28)*IF(EJ351&lt;INDEX('Lease Cycles'!$FA$28:$FG$28,1,EJ350),0,1-INDEX('Lease Cycles'!$EM$28:$ES$28,1,EJ350)),IF(OR(INDEX('Lease Cycles'!$DY$28:$EE$28,1,EJ350)=1,EJ351&gt;0),1,1-INDEX('Lease Cycles'!$DD$28:$DJ$28,1,EJ350))*((1-'Lease Cycles'!$AJ$28)*INDEX('Lease Cycles'!$FO$28:$FU$28,1,EJ350)+(1-'Lease Cycles'!$BE$28)*(1-INDEX('Lease Cycles'!$FO$28:$FU$28,1,EJ350)))),0)</f>
        <v>0</v>
      </c>
      <c r="EK358" s="24">
        <f>IF(EK352=1,'Lease Cycles'!$D$28*IF(INDEX('Lease Cycles'!$EF$28:$EL$28,1,EK350)=1,(1-'Lease Cycles'!$AJ$28)*INDEX('Lease Cycles'!$EM$28:$ES$28,1,EK350)+(1-'Lease Cycles'!$BE$28)*IF(EK351&lt;INDEX('Lease Cycles'!$FA$28:$FG$28,1,EK350),0,1-INDEX('Lease Cycles'!$EM$28:$ES$28,1,EK350)),IF(OR(INDEX('Lease Cycles'!$DY$28:$EE$28,1,EK350)=1,EK351&gt;0),1,1-INDEX('Lease Cycles'!$DD$28:$DJ$28,1,EK350))*((1-'Lease Cycles'!$AJ$28)*INDEX('Lease Cycles'!$FO$28:$FU$28,1,EK350)+(1-'Lease Cycles'!$BE$28)*(1-INDEX('Lease Cycles'!$FO$28:$FU$28,1,EK350)))),0)</f>
        <v>0</v>
      </c>
      <c r="EL358" s="24">
        <f>IF(EL352=1,'Lease Cycles'!$D$28*IF(INDEX('Lease Cycles'!$EF$28:$EL$28,1,EL350)=1,(1-'Lease Cycles'!$AJ$28)*INDEX('Lease Cycles'!$EM$28:$ES$28,1,EL350)+(1-'Lease Cycles'!$BE$28)*IF(EL351&lt;INDEX('Lease Cycles'!$FA$28:$FG$28,1,EL350),0,1-INDEX('Lease Cycles'!$EM$28:$ES$28,1,EL350)),IF(OR(INDEX('Lease Cycles'!$DY$28:$EE$28,1,EL350)=1,EL351&gt;0),1,1-INDEX('Lease Cycles'!$DD$28:$DJ$28,1,EL350))*((1-'Lease Cycles'!$AJ$28)*INDEX('Lease Cycles'!$FO$28:$FU$28,1,EL350)+(1-'Lease Cycles'!$BE$28)*(1-INDEX('Lease Cycles'!$FO$28:$FU$28,1,EL350)))),0)</f>
        <v>0</v>
      </c>
      <c r="EM358" s="24">
        <f>IF(EM352=1,'Lease Cycles'!$D$28*IF(INDEX('Lease Cycles'!$EF$28:$EL$28,1,EM350)=1,(1-'Lease Cycles'!$AJ$28)*INDEX('Lease Cycles'!$EM$28:$ES$28,1,EM350)+(1-'Lease Cycles'!$BE$28)*IF(EM351&lt;INDEX('Lease Cycles'!$FA$28:$FG$28,1,EM350),0,1-INDEX('Lease Cycles'!$EM$28:$ES$28,1,EM350)),IF(OR(INDEX('Lease Cycles'!$DY$28:$EE$28,1,EM350)=1,EM351&gt;0),1,1-INDEX('Lease Cycles'!$DD$28:$DJ$28,1,EM350))*((1-'Lease Cycles'!$AJ$28)*INDEX('Lease Cycles'!$FO$28:$FU$28,1,EM350)+(1-'Lease Cycles'!$BE$28)*(1-INDEX('Lease Cycles'!$FO$28:$FU$28,1,EM350)))),0)</f>
        <v>0</v>
      </c>
      <c r="EN358" s="24">
        <f>IF(EN352=1,'Lease Cycles'!$D$28*IF(INDEX('Lease Cycles'!$EF$28:$EL$28,1,EN350)=1,(1-'Lease Cycles'!$AJ$28)*INDEX('Lease Cycles'!$EM$28:$ES$28,1,EN350)+(1-'Lease Cycles'!$BE$28)*IF(EN351&lt;INDEX('Lease Cycles'!$FA$28:$FG$28,1,EN350),0,1-INDEX('Lease Cycles'!$EM$28:$ES$28,1,EN350)),IF(OR(INDEX('Lease Cycles'!$DY$28:$EE$28,1,EN350)=1,EN351&gt;0),1,1-INDEX('Lease Cycles'!$DD$28:$DJ$28,1,EN350))*((1-'Lease Cycles'!$AJ$28)*INDEX('Lease Cycles'!$FO$28:$FU$28,1,EN350)+(1-'Lease Cycles'!$BE$28)*(1-INDEX('Lease Cycles'!$FO$28:$FU$28,1,EN350)))),0)</f>
        <v>0</v>
      </c>
      <c r="EO358" s="24">
        <f>IF(EO352=1,'Lease Cycles'!$D$28*IF(INDEX('Lease Cycles'!$EF$28:$EL$28,1,EO350)=1,(1-'Lease Cycles'!$AJ$28)*INDEX('Lease Cycles'!$EM$28:$ES$28,1,EO350)+(1-'Lease Cycles'!$BE$28)*IF(EO351&lt;INDEX('Lease Cycles'!$FA$28:$FG$28,1,EO350),0,1-INDEX('Lease Cycles'!$EM$28:$ES$28,1,EO350)),IF(OR(INDEX('Lease Cycles'!$DY$28:$EE$28,1,EO350)=1,EO351&gt;0),1,1-INDEX('Lease Cycles'!$DD$28:$DJ$28,1,EO350))*((1-'Lease Cycles'!$AJ$28)*INDEX('Lease Cycles'!$FO$28:$FU$28,1,EO350)+(1-'Lease Cycles'!$BE$28)*(1-INDEX('Lease Cycles'!$FO$28:$FU$28,1,EO350)))),0)</f>
        <v>0</v>
      </c>
      <c r="EP358" s="24">
        <f>IF(EP352=1,'Lease Cycles'!$D$28*IF(INDEX('Lease Cycles'!$EF$28:$EL$28,1,EP350)=1,(1-'Lease Cycles'!$AJ$28)*INDEX('Lease Cycles'!$EM$28:$ES$28,1,EP350)+(1-'Lease Cycles'!$BE$28)*IF(EP351&lt;INDEX('Lease Cycles'!$FA$28:$FG$28,1,EP350),0,1-INDEX('Lease Cycles'!$EM$28:$ES$28,1,EP350)),IF(OR(INDEX('Lease Cycles'!$DY$28:$EE$28,1,EP350)=1,EP351&gt;0),1,1-INDEX('Lease Cycles'!$DD$28:$DJ$28,1,EP350))*((1-'Lease Cycles'!$AJ$28)*INDEX('Lease Cycles'!$FO$28:$FU$28,1,EP350)+(1-'Lease Cycles'!$BE$28)*(1-INDEX('Lease Cycles'!$FO$28:$FU$28,1,EP350)))),0)</f>
        <v>0</v>
      </c>
      <c r="EQ358" s="24">
        <f>IF(EQ352=1,'Lease Cycles'!$D$28*IF(INDEX('Lease Cycles'!$EF$28:$EL$28,1,EQ350)=1,(1-'Lease Cycles'!$AJ$28)*INDEX('Lease Cycles'!$EM$28:$ES$28,1,EQ350)+(1-'Lease Cycles'!$BE$28)*IF(EQ351&lt;INDEX('Lease Cycles'!$FA$28:$FG$28,1,EQ350),0,1-INDEX('Lease Cycles'!$EM$28:$ES$28,1,EQ350)),IF(OR(INDEX('Lease Cycles'!$DY$28:$EE$28,1,EQ350)=1,EQ351&gt;0),1,1-INDEX('Lease Cycles'!$DD$28:$DJ$28,1,EQ350))*((1-'Lease Cycles'!$AJ$28)*INDEX('Lease Cycles'!$FO$28:$FU$28,1,EQ350)+(1-'Lease Cycles'!$BE$28)*(1-INDEX('Lease Cycles'!$FO$28:$FU$28,1,EQ350)))),0)</f>
        <v>0</v>
      </c>
      <c r="ER358" s="24">
        <f>IF(ER352=1,'Lease Cycles'!$D$28*IF(INDEX('Lease Cycles'!$EF$28:$EL$28,1,ER350)=1,(1-'Lease Cycles'!$AJ$28)*INDEX('Lease Cycles'!$EM$28:$ES$28,1,ER350)+(1-'Lease Cycles'!$BE$28)*IF(ER351&lt;INDEX('Lease Cycles'!$FA$28:$FG$28,1,ER350),0,1-INDEX('Lease Cycles'!$EM$28:$ES$28,1,ER350)),IF(OR(INDEX('Lease Cycles'!$DY$28:$EE$28,1,ER350)=1,ER351&gt;0),1,1-INDEX('Lease Cycles'!$DD$28:$DJ$28,1,ER350))*((1-'Lease Cycles'!$AJ$28)*INDEX('Lease Cycles'!$FO$28:$FU$28,1,ER350)+(1-'Lease Cycles'!$BE$28)*(1-INDEX('Lease Cycles'!$FO$28:$FU$28,1,ER350)))),0)</f>
        <v>0</v>
      </c>
      <c r="ES358" s="24">
        <f>IF(ES352=1,'Lease Cycles'!$D$28*IF(INDEX('Lease Cycles'!$EF$28:$EL$28,1,ES350)=1,(1-'Lease Cycles'!$AJ$28)*INDEX('Lease Cycles'!$EM$28:$ES$28,1,ES350)+(1-'Lease Cycles'!$BE$28)*IF(ES351&lt;INDEX('Lease Cycles'!$FA$28:$FG$28,1,ES350),0,1-INDEX('Lease Cycles'!$EM$28:$ES$28,1,ES350)),IF(OR(INDEX('Lease Cycles'!$DY$28:$EE$28,1,ES350)=1,ES351&gt;0),1,1-INDEX('Lease Cycles'!$DD$28:$DJ$28,1,ES350))*((1-'Lease Cycles'!$AJ$28)*INDEX('Lease Cycles'!$FO$28:$FU$28,1,ES350)+(1-'Lease Cycles'!$BE$28)*(1-INDEX('Lease Cycles'!$FO$28:$FU$28,1,ES350)))),0)</f>
        <v>0</v>
      </c>
      <c r="ET358" s="24">
        <f>IF(ET352=1,'Lease Cycles'!$D$28*IF(INDEX('Lease Cycles'!$EF$28:$EL$28,1,ET350)=1,(1-'Lease Cycles'!$AJ$28)*INDEX('Lease Cycles'!$EM$28:$ES$28,1,ET350)+(1-'Lease Cycles'!$BE$28)*IF(ET351&lt;INDEX('Lease Cycles'!$FA$28:$FG$28,1,ET350),0,1-INDEX('Lease Cycles'!$EM$28:$ES$28,1,ET350)),IF(OR(INDEX('Lease Cycles'!$DY$28:$EE$28,1,ET350)=1,ET351&gt;0),1,1-INDEX('Lease Cycles'!$DD$28:$DJ$28,1,ET350))*((1-'Lease Cycles'!$AJ$28)*INDEX('Lease Cycles'!$FO$28:$FU$28,1,ET350)+(1-'Lease Cycles'!$BE$28)*(1-INDEX('Lease Cycles'!$FO$28:$FU$28,1,ET350)))),0)</f>
        <v>0</v>
      </c>
    </row>
    <row r="359">
      <c r="A359" s="103">
        <v>21</v>
      </c>
      <c r="B359" s="23" t="str">
        <f>IF('Lease Cycles'!$B$28="","(empty slot)",'Lease Cycles'!$B$28)</f>
        <v>(empty slot)</v>
      </c>
      <c r="C359" s="23" t="s">
        <v>685</v>
      </c>
      <c r="D359" s="104" t="s">
        <v>686</v>
      </c>
      <c r="E359" s="25">
        <f>'Lease Cycles'!$AL$28</f>
        <v>0</v>
      </c>
      <c r="G359" s="24">
        <f>SUM(S359:AD359)</f>
        <v>0</v>
      </c>
      <c r="H359" s="24">
        <f>SUM(AE359:AP359)</f>
        <v>0</v>
      </c>
      <c r="I359" s="24">
        <f>SUM(AQ359:BB359)</f>
        <v>0</v>
      </c>
      <c r="J359" s="24">
        <f>SUM(BC359:BN359)</f>
        <v>0</v>
      </c>
      <c r="K359" s="24">
        <f>SUM(BO359:BZ359)</f>
        <v>0</v>
      </c>
      <c r="L359" s="24">
        <f>SUM(CA359:CL359)</f>
        <v>0</v>
      </c>
      <c r="M359" s="24">
        <f>SUM(CM359:CX359)</f>
        <v>0</v>
      </c>
      <c r="N359" s="24">
        <f>SUM(CY359:DJ359)</f>
        <v>0</v>
      </c>
      <c r="O359" s="24">
        <f>SUM(DK359:DV359)</f>
        <v>0</v>
      </c>
      <c r="P359" s="24">
        <f>SUM(DW359:EH359)</f>
        <v>0</v>
      </c>
      <c r="Q359" s="24">
        <f>SUM(EI359:ET359)</f>
        <v>0</v>
      </c>
      <c r="S359" s="24">
        <f>IF(S352=1,IF('Lease Cycles'!$AJ$28=1,0,'Lease Cycles'!$D$28*INDEX('Lease Cycles'!$FH$28:$FN$28,1,S350)*IF(INDEX('Lease Cycles'!$EF$28:$EL$28,1,S350)=1,1,IF(OR(INDEX('Lease Cycles'!$DY$28:$EE$28,1,S350)=1,S351&gt;0),1,1-INDEX('Lease Cycles'!$DD$28:$DJ$28,1,S350)))),0)</f>
        <v>0</v>
      </c>
      <c r="T359" s="24">
        <f>IF(T352=1,IF('Lease Cycles'!$AJ$28=1,0,'Lease Cycles'!$D$28*INDEX('Lease Cycles'!$FH$28:$FN$28,1,T350)*IF(INDEX('Lease Cycles'!$EF$28:$EL$28,1,T350)=1,1,IF(OR(INDEX('Lease Cycles'!$DY$28:$EE$28,1,T350)=1,T351&gt;0),1,1-INDEX('Lease Cycles'!$DD$28:$DJ$28,1,T350)))),0)</f>
        <v>0</v>
      </c>
      <c r="U359" s="24">
        <f>IF(U352=1,IF('Lease Cycles'!$AJ$28=1,0,'Lease Cycles'!$D$28*INDEX('Lease Cycles'!$FH$28:$FN$28,1,U350)*IF(INDEX('Lease Cycles'!$EF$28:$EL$28,1,U350)=1,1,IF(OR(INDEX('Lease Cycles'!$DY$28:$EE$28,1,U350)=1,U351&gt;0),1,1-INDEX('Lease Cycles'!$DD$28:$DJ$28,1,U350)))),0)</f>
        <v>0</v>
      </c>
      <c r="V359" s="24">
        <f>IF(V352=1,IF('Lease Cycles'!$AJ$28=1,0,'Lease Cycles'!$D$28*INDEX('Lease Cycles'!$FH$28:$FN$28,1,V350)*IF(INDEX('Lease Cycles'!$EF$28:$EL$28,1,V350)=1,1,IF(OR(INDEX('Lease Cycles'!$DY$28:$EE$28,1,V350)=1,V351&gt;0),1,1-INDEX('Lease Cycles'!$DD$28:$DJ$28,1,V350)))),0)</f>
        <v>0</v>
      </c>
      <c r="W359" s="24">
        <f>IF(W352=1,IF('Lease Cycles'!$AJ$28=1,0,'Lease Cycles'!$D$28*INDEX('Lease Cycles'!$FH$28:$FN$28,1,W350)*IF(INDEX('Lease Cycles'!$EF$28:$EL$28,1,W350)=1,1,IF(OR(INDEX('Lease Cycles'!$DY$28:$EE$28,1,W350)=1,W351&gt;0),1,1-INDEX('Lease Cycles'!$DD$28:$DJ$28,1,W350)))),0)</f>
        <v>0</v>
      </c>
      <c r="X359" s="24">
        <f>IF(X352=1,IF('Lease Cycles'!$AJ$28=1,0,'Lease Cycles'!$D$28*INDEX('Lease Cycles'!$FH$28:$FN$28,1,X350)*IF(INDEX('Lease Cycles'!$EF$28:$EL$28,1,X350)=1,1,IF(OR(INDEX('Lease Cycles'!$DY$28:$EE$28,1,X350)=1,X351&gt;0),1,1-INDEX('Lease Cycles'!$DD$28:$DJ$28,1,X350)))),0)</f>
        <v>0</v>
      </c>
      <c r="Y359" s="24">
        <f>IF(Y352=1,IF('Lease Cycles'!$AJ$28=1,0,'Lease Cycles'!$D$28*INDEX('Lease Cycles'!$FH$28:$FN$28,1,Y350)*IF(INDEX('Lease Cycles'!$EF$28:$EL$28,1,Y350)=1,1,IF(OR(INDEX('Lease Cycles'!$DY$28:$EE$28,1,Y350)=1,Y351&gt;0),1,1-INDEX('Lease Cycles'!$DD$28:$DJ$28,1,Y350)))),0)</f>
        <v>0</v>
      </c>
      <c r="Z359" s="24">
        <f>IF(Z352=1,IF('Lease Cycles'!$AJ$28=1,0,'Lease Cycles'!$D$28*INDEX('Lease Cycles'!$FH$28:$FN$28,1,Z350)*IF(INDEX('Lease Cycles'!$EF$28:$EL$28,1,Z350)=1,1,IF(OR(INDEX('Lease Cycles'!$DY$28:$EE$28,1,Z350)=1,Z351&gt;0),1,1-INDEX('Lease Cycles'!$DD$28:$DJ$28,1,Z350)))),0)</f>
        <v>0</v>
      </c>
      <c r="AA359" s="24">
        <f>IF(AA352=1,IF('Lease Cycles'!$AJ$28=1,0,'Lease Cycles'!$D$28*INDEX('Lease Cycles'!$FH$28:$FN$28,1,AA350)*IF(INDEX('Lease Cycles'!$EF$28:$EL$28,1,AA350)=1,1,IF(OR(INDEX('Lease Cycles'!$DY$28:$EE$28,1,AA350)=1,AA351&gt;0),1,1-INDEX('Lease Cycles'!$DD$28:$DJ$28,1,AA350)))),0)</f>
        <v>0</v>
      </c>
      <c r="AB359" s="24">
        <f>IF(AB352=1,IF('Lease Cycles'!$AJ$28=1,0,'Lease Cycles'!$D$28*INDEX('Lease Cycles'!$FH$28:$FN$28,1,AB350)*IF(INDEX('Lease Cycles'!$EF$28:$EL$28,1,AB350)=1,1,IF(OR(INDEX('Lease Cycles'!$DY$28:$EE$28,1,AB350)=1,AB351&gt;0),1,1-INDEX('Lease Cycles'!$DD$28:$DJ$28,1,AB350)))),0)</f>
        <v>0</v>
      </c>
      <c r="AC359" s="24">
        <f>IF(AC352=1,IF('Lease Cycles'!$AJ$28=1,0,'Lease Cycles'!$D$28*INDEX('Lease Cycles'!$FH$28:$FN$28,1,AC350)*IF(INDEX('Lease Cycles'!$EF$28:$EL$28,1,AC350)=1,1,IF(OR(INDEX('Lease Cycles'!$DY$28:$EE$28,1,AC350)=1,AC351&gt;0),1,1-INDEX('Lease Cycles'!$DD$28:$DJ$28,1,AC350)))),0)</f>
        <v>0</v>
      </c>
      <c r="AD359" s="24">
        <f>IF(AD352=1,IF('Lease Cycles'!$AJ$28=1,0,'Lease Cycles'!$D$28*INDEX('Lease Cycles'!$FH$28:$FN$28,1,AD350)*IF(INDEX('Lease Cycles'!$EF$28:$EL$28,1,AD350)=1,1,IF(OR(INDEX('Lease Cycles'!$DY$28:$EE$28,1,AD350)=1,AD351&gt;0),1,1-INDEX('Lease Cycles'!$DD$28:$DJ$28,1,AD350)))),0)</f>
        <v>0</v>
      </c>
      <c r="AE359" s="24">
        <f>IF(AE352=1,IF('Lease Cycles'!$AJ$28=1,0,'Lease Cycles'!$D$28*INDEX('Lease Cycles'!$FH$28:$FN$28,1,AE350)*IF(INDEX('Lease Cycles'!$EF$28:$EL$28,1,AE350)=1,1,IF(OR(INDEX('Lease Cycles'!$DY$28:$EE$28,1,AE350)=1,AE351&gt;0),1,1-INDEX('Lease Cycles'!$DD$28:$DJ$28,1,AE350)))),0)</f>
        <v>0</v>
      </c>
      <c r="AF359" s="24">
        <f>IF(AF352=1,IF('Lease Cycles'!$AJ$28=1,0,'Lease Cycles'!$D$28*INDEX('Lease Cycles'!$FH$28:$FN$28,1,AF350)*IF(INDEX('Lease Cycles'!$EF$28:$EL$28,1,AF350)=1,1,IF(OR(INDEX('Lease Cycles'!$DY$28:$EE$28,1,AF350)=1,AF351&gt;0),1,1-INDEX('Lease Cycles'!$DD$28:$DJ$28,1,AF350)))),0)</f>
        <v>0</v>
      </c>
      <c r="AG359" s="24">
        <f>IF(AG352=1,IF('Lease Cycles'!$AJ$28=1,0,'Lease Cycles'!$D$28*INDEX('Lease Cycles'!$FH$28:$FN$28,1,AG350)*IF(INDEX('Lease Cycles'!$EF$28:$EL$28,1,AG350)=1,1,IF(OR(INDEX('Lease Cycles'!$DY$28:$EE$28,1,AG350)=1,AG351&gt;0),1,1-INDEX('Lease Cycles'!$DD$28:$DJ$28,1,AG350)))),0)</f>
        <v>0</v>
      </c>
      <c r="AH359" s="24">
        <f>IF(AH352=1,IF('Lease Cycles'!$AJ$28=1,0,'Lease Cycles'!$D$28*INDEX('Lease Cycles'!$FH$28:$FN$28,1,AH350)*IF(INDEX('Lease Cycles'!$EF$28:$EL$28,1,AH350)=1,1,IF(OR(INDEX('Lease Cycles'!$DY$28:$EE$28,1,AH350)=1,AH351&gt;0),1,1-INDEX('Lease Cycles'!$DD$28:$DJ$28,1,AH350)))),0)</f>
        <v>0</v>
      </c>
      <c r="AI359" s="24">
        <f>IF(AI352=1,IF('Lease Cycles'!$AJ$28=1,0,'Lease Cycles'!$D$28*INDEX('Lease Cycles'!$FH$28:$FN$28,1,AI350)*IF(INDEX('Lease Cycles'!$EF$28:$EL$28,1,AI350)=1,1,IF(OR(INDEX('Lease Cycles'!$DY$28:$EE$28,1,AI350)=1,AI351&gt;0),1,1-INDEX('Lease Cycles'!$DD$28:$DJ$28,1,AI350)))),0)</f>
        <v>0</v>
      </c>
      <c r="AJ359" s="24">
        <f>IF(AJ352=1,IF('Lease Cycles'!$AJ$28=1,0,'Lease Cycles'!$D$28*INDEX('Lease Cycles'!$FH$28:$FN$28,1,AJ350)*IF(INDEX('Lease Cycles'!$EF$28:$EL$28,1,AJ350)=1,1,IF(OR(INDEX('Lease Cycles'!$DY$28:$EE$28,1,AJ350)=1,AJ351&gt;0),1,1-INDEX('Lease Cycles'!$DD$28:$DJ$28,1,AJ350)))),0)</f>
        <v>0</v>
      </c>
      <c r="AK359" s="24">
        <f>IF(AK352=1,IF('Lease Cycles'!$AJ$28=1,0,'Lease Cycles'!$D$28*INDEX('Lease Cycles'!$FH$28:$FN$28,1,AK350)*IF(INDEX('Lease Cycles'!$EF$28:$EL$28,1,AK350)=1,1,IF(OR(INDEX('Lease Cycles'!$DY$28:$EE$28,1,AK350)=1,AK351&gt;0),1,1-INDEX('Lease Cycles'!$DD$28:$DJ$28,1,AK350)))),0)</f>
        <v>0</v>
      </c>
      <c r="AL359" s="24">
        <f>IF(AL352=1,IF('Lease Cycles'!$AJ$28=1,0,'Lease Cycles'!$D$28*INDEX('Lease Cycles'!$FH$28:$FN$28,1,AL350)*IF(INDEX('Lease Cycles'!$EF$28:$EL$28,1,AL350)=1,1,IF(OR(INDEX('Lease Cycles'!$DY$28:$EE$28,1,AL350)=1,AL351&gt;0),1,1-INDEX('Lease Cycles'!$DD$28:$DJ$28,1,AL350)))),0)</f>
        <v>0</v>
      </c>
      <c r="AM359" s="24">
        <f>IF(AM352=1,IF('Lease Cycles'!$AJ$28=1,0,'Lease Cycles'!$D$28*INDEX('Lease Cycles'!$FH$28:$FN$28,1,AM350)*IF(INDEX('Lease Cycles'!$EF$28:$EL$28,1,AM350)=1,1,IF(OR(INDEX('Lease Cycles'!$DY$28:$EE$28,1,AM350)=1,AM351&gt;0),1,1-INDEX('Lease Cycles'!$DD$28:$DJ$28,1,AM350)))),0)</f>
        <v>0</v>
      </c>
      <c r="AN359" s="24">
        <f>IF(AN352=1,IF('Lease Cycles'!$AJ$28=1,0,'Lease Cycles'!$D$28*INDEX('Lease Cycles'!$FH$28:$FN$28,1,AN350)*IF(INDEX('Lease Cycles'!$EF$28:$EL$28,1,AN350)=1,1,IF(OR(INDEX('Lease Cycles'!$DY$28:$EE$28,1,AN350)=1,AN351&gt;0),1,1-INDEX('Lease Cycles'!$DD$28:$DJ$28,1,AN350)))),0)</f>
        <v>0</v>
      </c>
      <c r="AO359" s="24">
        <f>IF(AO352=1,IF('Lease Cycles'!$AJ$28=1,0,'Lease Cycles'!$D$28*INDEX('Lease Cycles'!$FH$28:$FN$28,1,AO350)*IF(INDEX('Lease Cycles'!$EF$28:$EL$28,1,AO350)=1,1,IF(OR(INDEX('Lease Cycles'!$DY$28:$EE$28,1,AO350)=1,AO351&gt;0),1,1-INDEX('Lease Cycles'!$DD$28:$DJ$28,1,AO350)))),0)</f>
        <v>0</v>
      </c>
      <c r="AP359" s="24">
        <f>IF(AP352=1,IF('Lease Cycles'!$AJ$28=1,0,'Lease Cycles'!$D$28*INDEX('Lease Cycles'!$FH$28:$FN$28,1,AP350)*IF(INDEX('Lease Cycles'!$EF$28:$EL$28,1,AP350)=1,1,IF(OR(INDEX('Lease Cycles'!$DY$28:$EE$28,1,AP350)=1,AP351&gt;0),1,1-INDEX('Lease Cycles'!$DD$28:$DJ$28,1,AP350)))),0)</f>
        <v>0</v>
      </c>
      <c r="AQ359" s="24">
        <f>IF(AQ352=1,IF('Lease Cycles'!$AJ$28=1,0,'Lease Cycles'!$D$28*INDEX('Lease Cycles'!$FH$28:$FN$28,1,AQ350)*IF(INDEX('Lease Cycles'!$EF$28:$EL$28,1,AQ350)=1,1,IF(OR(INDEX('Lease Cycles'!$DY$28:$EE$28,1,AQ350)=1,AQ351&gt;0),1,1-INDEX('Lease Cycles'!$DD$28:$DJ$28,1,AQ350)))),0)</f>
        <v>0</v>
      </c>
      <c r="AR359" s="24">
        <f>IF(AR352=1,IF('Lease Cycles'!$AJ$28=1,0,'Lease Cycles'!$D$28*INDEX('Lease Cycles'!$FH$28:$FN$28,1,AR350)*IF(INDEX('Lease Cycles'!$EF$28:$EL$28,1,AR350)=1,1,IF(OR(INDEX('Lease Cycles'!$DY$28:$EE$28,1,AR350)=1,AR351&gt;0),1,1-INDEX('Lease Cycles'!$DD$28:$DJ$28,1,AR350)))),0)</f>
        <v>0</v>
      </c>
      <c r="AS359" s="24">
        <f>IF(AS352=1,IF('Lease Cycles'!$AJ$28=1,0,'Lease Cycles'!$D$28*INDEX('Lease Cycles'!$FH$28:$FN$28,1,AS350)*IF(INDEX('Lease Cycles'!$EF$28:$EL$28,1,AS350)=1,1,IF(OR(INDEX('Lease Cycles'!$DY$28:$EE$28,1,AS350)=1,AS351&gt;0),1,1-INDEX('Lease Cycles'!$DD$28:$DJ$28,1,AS350)))),0)</f>
        <v>0</v>
      </c>
      <c r="AT359" s="24">
        <f>IF(AT352=1,IF('Lease Cycles'!$AJ$28=1,0,'Lease Cycles'!$D$28*INDEX('Lease Cycles'!$FH$28:$FN$28,1,AT350)*IF(INDEX('Lease Cycles'!$EF$28:$EL$28,1,AT350)=1,1,IF(OR(INDEX('Lease Cycles'!$DY$28:$EE$28,1,AT350)=1,AT351&gt;0),1,1-INDEX('Lease Cycles'!$DD$28:$DJ$28,1,AT350)))),0)</f>
        <v>0</v>
      </c>
      <c r="AU359" s="24">
        <f>IF(AU352=1,IF('Lease Cycles'!$AJ$28=1,0,'Lease Cycles'!$D$28*INDEX('Lease Cycles'!$FH$28:$FN$28,1,AU350)*IF(INDEX('Lease Cycles'!$EF$28:$EL$28,1,AU350)=1,1,IF(OR(INDEX('Lease Cycles'!$DY$28:$EE$28,1,AU350)=1,AU351&gt;0),1,1-INDEX('Lease Cycles'!$DD$28:$DJ$28,1,AU350)))),0)</f>
        <v>0</v>
      </c>
      <c r="AV359" s="24">
        <f>IF(AV352=1,IF('Lease Cycles'!$AJ$28=1,0,'Lease Cycles'!$D$28*INDEX('Lease Cycles'!$FH$28:$FN$28,1,AV350)*IF(INDEX('Lease Cycles'!$EF$28:$EL$28,1,AV350)=1,1,IF(OR(INDEX('Lease Cycles'!$DY$28:$EE$28,1,AV350)=1,AV351&gt;0),1,1-INDEX('Lease Cycles'!$DD$28:$DJ$28,1,AV350)))),0)</f>
        <v>0</v>
      </c>
      <c r="AW359" s="24">
        <f>IF(AW352=1,IF('Lease Cycles'!$AJ$28=1,0,'Lease Cycles'!$D$28*INDEX('Lease Cycles'!$FH$28:$FN$28,1,AW350)*IF(INDEX('Lease Cycles'!$EF$28:$EL$28,1,AW350)=1,1,IF(OR(INDEX('Lease Cycles'!$DY$28:$EE$28,1,AW350)=1,AW351&gt;0),1,1-INDEX('Lease Cycles'!$DD$28:$DJ$28,1,AW350)))),0)</f>
        <v>0</v>
      </c>
      <c r="AX359" s="24">
        <f>IF(AX352=1,IF('Lease Cycles'!$AJ$28=1,0,'Lease Cycles'!$D$28*INDEX('Lease Cycles'!$FH$28:$FN$28,1,AX350)*IF(INDEX('Lease Cycles'!$EF$28:$EL$28,1,AX350)=1,1,IF(OR(INDEX('Lease Cycles'!$DY$28:$EE$28,1,AX350)=1,AX351&gt;0),1,1-INDEX('Lease Cycles'!$DD$28:$DJ$28,1,AX350)))),0)</f>
        <v>0</v>
      </c>
      <c r="AY359" s="24">
        <f>IF(AY352=1,IF('Lease Cycles'!$AJ$28=1,0,'Lease Cycles'!$D$28*INDEX('Lease Cycles'!$FH$28:$FN$28,1,AY350)*IF(INDEX('Lease Cycles'!$EF$28:$EL$28,1,AY350)=1,1,IF(OR(INDEX('Lease Cycles'!$DY$28:$EE$28,1,AY350)=1,AY351&gt;0),1,1-INDEX('Lease Cycles'!$DD$28:$DJ$28,1,AY350)))),0)</f>
        <v>0</v>
      </c>
      <c r="AZ359" s="24">
        <f>IF(AZ352=1,IF('Lease Cycles'!$AJ$28=1,0,'Lease Cycles'!$D$28*INDEX('Lease Cycles'!$FH$28:$FN$28,1,AZ350)*IF(INDEX('Lease Cycles'!$EF$28:$EL$28,1,AZ350)=1,1,IF(OR(INDEX('Lease Cycles'!$DY$28:$EE$28,1,AZ350)=1,AZ351&gt;0),1,1-INDEX('Lease Cycles'!$DD$28:$DJ$28,1,AZ350)))),0)</f>
        <v>0</v>
      </c>
      <c r="BA359" s="24">
        <f>IF(BA352=1,IF('Lease Cycles'!$AJ$28=1,0,'Lease Cycles'!$D$28*INDEX('Lease Cycles'!$FH$28:$FN$28,1,BA350)*IF(INDEX('Lease Cycles'!$EF$28:$EL$28,1,BA350)=1,1,IF(OR(INDEX('Lease Cycles'!$DY$28:$EE$28,1,BA350)=1,BA351&gt;0),1,1-INDEX('Lease Cycles'!$DD$28:$DJ$28,1,BA350)))),0)</f>
        <v>0</v>
      </c>
      <c r="BB359" s="24">
        <f>IF(BB352=1,IF('Lease Cycles'!$AJ$28=1,0,'Lease Cycles'!$D$28*INDEX('Lease Cycles'!$FH$28:$FN$28,1,BB350)*IF(INDEX('Lease Cycles'!$EF$28:$EL$28,1,BB350)=1,1,IF(OR(INDEX('Lease Cycles'!$DY$28:$EE$28,1,BB350)=1,BB351&gt;0),1,1-INDEX('Lease Cycles'!$DD$28:$DJ$28,1,BB350)))),0)</f>
        <v>0</v>
      </c>
      <c r="BC359" s="24">
        <f>IF(BC352=1,IF('Lease Cycles'!$AJ$28=1,0,'Lease Cycles'!$D$28*INDEX('Lease Cycles'!$FH$28:$FN$28,1,BC350)*IF(INDEX('Lease Cycles'!$EF$28:$EL$28,1,BC350)=1,1,IF(OR(INDEX('Lease Cycles'!$DY$28:$EE$28,1,BC350)=1,BC351&gt;0),1,1-INDEX('Lease Cycles'!$DD$28:$DJ$28,1,BC350)))),0)</f>
        <v>0</v>
      </c>
      <c r="BD359" s="24">
        <f>IF(BD352=1,IF('Lease Cycles'!$AJ$28=1,0,'Lease Cycles'!$D$28*INDEX('Lease Cycles'!$FH$28:$FN$28,1,BD350)*IF(INDEX('Lease Cycles'!$EF$28:$EL$28,1,BD350)=1,1,IF(OR(INDEX('Lease Cycles'!$DY$28:$EE$28,1,BD350)=1,BD351&gt;0),1,1-INDEX('Lease Cycles'!$DD$28:$DJ$28,1,BD350)))),0)</f>
        <v>0</v>
      </c>
      <c r="BE359" s="24">
        <f>IF(BE352=1,IF('Lease Cycles'!$AJ$28=1,0,'Lease Cycles'!$D$28*INDEX('Lease Cycles'!$FH$28:$FN$28,1,BE350)*IF(INDEX('Lease Cycles'!$EF$28:$EL$28,1,BE350)=1,1,IF(OR(INDEX('Lease Cycles'!$DY$28:$EE$28,1,BE350)=1,BE351&gt;0),1,1-INDEX('Lease Cycles'!$DD$28:$DJ$28,1,BE350)))),0)</f>
        <v>0</v>
      </c>
      <c r="BF359" s="24">
        <f>IF(BF352=1,IF('Lease Cycles'!$AJ$28=1,0,'Lease Cycles'!$D$28*INDEX('Lease Cycles'!$FH$28:$FN$28,1,BF350)*IF(INDEX('Lease Cycles'!$EF$28:$EL$28,1,BF350)=1,1,IF(OR(INDEX('Lease Cycles'!$DY$28:$EE$28,1,BF350)=1,BF351&gt;0),1,1-INDEX('Lease Cycles'!$DD$28:$DJ$28,1,BF350)))),0)</f>
        <v>0</v>
      </c>
      <c r="BG359" s="24">
        <f>IF(BG352=1,IF('Lease Cycles'!$AJ$28=1,0,'Lease Cycles'!$D$28*INDEX('Lease Cycles'!$FH$28:$FN$28,1,BG350)*IF(INDEX('Lease Cycles'!$EF$28:$EL$28,1,BG350)=1,1,IF(OR(INDEX('Lease Cycles'!$DY$28:$EE$28,1,BG350)=1,BG351&gt;0),1,1-INDEX('Lease Cycles'!$DD$28:$DJ$28,1,BG350)))),0)</f>
        <v>0</v>
      </c>
      <c r="BH359" s="24">
        <f>IF(BH352=1,IF('Lease Cycles'!$AJ$28=1,0,'Lease Cycles'!$D$28*INDEX('Lease Cycles'!$FH$28:$FN$28,1,BH350)*IF(INDEX('Lease Cycles'!$EF$28:$EL$28,1,BH350)=1,1,IF(OR(INDEX('Lease Cycles'!$DY$28:$EE$28,1,BH350)=1,BH351&gt;0),1,1-INDEX('Lease Cycles'!$DD$28:$DJ$28,1,BH350)))),0)</f>
        <v>0</v>
      </c>
      <c r="BI359" s="24">
        <f>IF(BI352=1,IF('Lease Cycles'!$AJ$28=1,0,'Lease Cycles'!$D$28*INDEX('Lease Cycles'!$FH$28:$FN$28,1,BI350)*IF(INDEX('Lease Cycles'!$EF$28:$EL$28,1,BI350)=1,1,IF(OR(INDEX('Lease Cycles'!$DY$28:$EE$28,1,BI350)=1,BI351&gt;0),1,1-INDEX('Lease Cycles'!$DD$28:$DJ$28,1,BI350)))),0)</f>
        <v>0</v>
      </c>
      <c r="BJ359" s="24">
        <f>IF(BJ352=1,IF('Lease Cycles'!$AJ$28=1,0,'Lease Cycles'!$D$28*INDEX('Lease Cycles'!$FH$28:$FN$28,1,BJ350)*IF(INDEX('Lease Cycles'!$EF$28:$EL$28,1,BJ350)=1,1,IF(OR(INDEX('Lease Cycles'!$DY$28:$EE$28,1,BJ350)=1,BJ351&gt;0),1,1-INDEX('Lease Cycles'!$DD$28:$DJ$28,1,BJ350)))),0)</f>
        <v>0</v>
      </c>
      <c r="BK359" s="24">
        <f>IF(BK352=1,IF('Lease Cycles'!$AJ$28=1,0,'Lease Cycles'!$D$28*INDEX('Lease Cycles'!$FH$28:$FN$28,1,BK350)*IF(INDEX('Lease Cycles'!$EF$28:$EL$28,1,BK350)=1,1,IF(OR(INDEX('Lease Cycles'!$DY$28:$EE$28,1,BK350)=1,BK351&gt;0),1,1-INDEX('Lease Cycles'!$DD$28:$DJ$28,1,BK350)))),0)</f>
        <v>0</v>
      </c>
      <c r="BL359" s="24">
        <f>IF(BL352=1,IF('Lease Cycles'!$AJ$28=1,0,'Lease Cycles'!$D$28*INDEX('Lease Cycles'!$FH$28:$FN$28,1,BL350)*IF(INDEX('Lease Cycles'!$EF$28:$EL$28,1,BL350)=1,1,IF(OR(INDEX('Lease Cycles'!$DY$28:$EE$28,1,BL350)=1,BL351&gt;0),1,1-INDEX('Lease Cycles'!$DD$28:$DJ$28,1,BL350)))),0)</f>
        <v>0</v>
      </c>
      <c r="BM359" s="24">
        <f>IF(BM352=1,IF('Lease Cycles'!$AJ$28=1,0,'Lease Cycles'!$D$28*INDEX('Lease Cycles'!$FH$28:$FN$28,1,BM350)*IF(INDEX('Lease Cycles'!$EF$28:$EL$28,1,BM350)=1,1,IF(OR(INDEX('Lease Cycles'!$DY$28:$EE$28,1,BM350)=1,BM351&gt;0),1,1-INDEX('Lease Cycles'!$DD$28:$DJ$28,1,BM350)))),0)</f>
        <v>0</v>
      </c>
      <c r="BN359" s="24">
        <f>IF(BN352=1,IF('Lease Cycles'!$AJ$28=1,0,'Lease Cycles'!$D$28*INDEX('Lease Cycles'!$FH$28:$FN$28,1,BN350)*IF(INDEX('Lease Cycles'!$EF$28:$EL$28,1,BN350)=1,1,IF(OR(INDEX('Lease Cycles'!$DY$28:$EE$28,1,BN350)=1,BN351&gt;0),1,1-INDEX('Lease Cycles'!$DD$28:$DJ$28,1,BN350)))),0)</f>
        <v>0</v>
      </c>
      <c r="BO359" s="24">
        <f>IF(BO352=1,IF('Lease Cycles'!$AJ$28=1,0,'Lease Cycles'!$D$28*INDEX('Lease Cycles'!$FH$28:$FN$28,1,BO350)*IF(INDEX('Lease Cycles'!$EF$28:$EL$28,1,BO350)=1,1,IF(OR(INDEX('Lease Cycles'!$DY$28:$EE$28,1,BO350)=1,BO351&gt;0),1,1-INDEX('Lease Cycles'!$DD$28:$DJ$28,1,BO350)))),0)</f>
        <v>0</v>
      </c>
      <c r="BP359" s="24">
        <f>IF(BP352=1,IF('Lease Cycles'!$AJ$28=1,0,'Lease Cycles'!$D$28*INDEX('Lease Cycles'!$FH$28:$FN$28,1,BP350)*IF(INDEX('Lease Cycles'!$EF$28:$EL$28,1,BP350)=1,1,IF(OR(INDEX('Lease Cycles'!$DY$28:$EE$28,1,BP350)=1,BP351&gt;0),1,1-INDEX('Lease Cycles'!$DD$28:$DJ$28,1,BP350)))),0)</f>
        <v>0</v>
      </c>
      <c r="BQ359" s="24">
        <f>IF(BQ352=1,IF('Lease Cycles'!$AJ$28=1,0,'Lease Cycles'!$D$28*INDEX('Lease Cycles'!$FH$28:$FN$28,1,BQ350)*IF(INDEX('Lease Cycles'!$EF$28:$EL$28,1,BQ350)=1,1,IF(OR(INDEX('Lease Cycles'!$DY$28:$EE$28,1,BQ350)=1,BQ351&gt;0),1,1-INDEX('Lease Cycles'!$DD$28:$DJ$28,1,BQ350)))),0)</f>
        <v>0</v>
      </c>
      <c r="BR359" s="24">
        <f>IF(BR352=1,IF('Lease Cycles'!$AJ$28=1,0,'Lease Cycles'!$D$28*INDEX('Lease Cycles'!$FH$28:$FN$28,1,BR350)*IF(INDEX('Lease Cycles'!$EF$28:$EL$28,1,BR350)=1,1,IF(OR(INDEX('Lease Cycles'!$DY$28:$EE$28,1,BR350)=1,BR351&gt;0),1,1-INDEX('Lease Cycles'!$DD$28:$DJ$28,1,BR350)))),0)</f>
        <v>0</v>
      </c>
      <c r="BS359" s="24">
        <f>IF(BS352=1,IF('Lease Cycles'!$AJ$28=1,0,'Lease Cycles'!$D$28*INDEX('Lease Cycles'!$FH$28:$FN$28,1,BS350)*IF(INDEX('Lease Cycles'!$EF$28:$EL$28,1,BS350)=1,1,IF(OR(INDEX('Lease Cycles'!$DY$28:$EE$28,1,BS350)=1,BS351&gt;0),1,1-INDEX('Lease Cycles'!$DD$28:$DJ$28,1,BS350)))),0)</f>
        <v>0</v>
      </c>
      <c r="BT359" s="24">
        <f>IF(BT352=1,IF('Lease Cycles'!$AJ$28=1,0,'Lease Cycles'!$D$28*INDEX('Lease Cycles'!$FH$28:$FN$28,1,BT350)*IF(INDEX('Lease Cycles'!$EF$28:$EL$28,1,BT350)=1,1,IF(OR(INDEX('Lease Cycles'!$DY$28:$EE$28,1,BT350)=1,BT351&gt;0),1,1-INDEX('Lease Cycles'!$DD$28:$DJ$28,1,BT350)))),0)</f>
        <v>0</v>
      </c>
      <c r="BU359" s="24">
        <f>IF(BU352=1,IF('Lease Cycles'!$AJ$28=1,0,'Lease Cycles'!$D$28*INDEX('Lease Cycles'!$FH$28:$FN$28,1,BU350)*IF(INDEX('Lease Cycles'!$EF$28:$EL$28,1,BU350)=1,1,IF(OR(INDEX('Lease Cycles'!$DY$28:$EE$28,1,BU350)=1,BU351&gt;0),1,1-INDEX('Lease Cycles'!$DD$28:$DJ$28,1,BU350)))),0)</f>
        <v>0</v>
      </c>
      <c r="BV359" s="24">
        <f>IF(BV352=1,IF('Lease Cycles'!$AJ$28=1,0,'Lease Cycles'!$D$28*INDEX('Lease Cycles'!$FH$28:$FN$28,1,BV350)*IF(INDEX('Lease Cycles'!$EF$28:$EL$28,1,BV350)=1,1,IF(OR(INDEX('Lease Cycles'!$DY$28:$EE$28,1,BV350)=1,BV351&gt;0),1,1-INDEX('Lease Cycles'!$DD$28:$DJ$28,1,BV350)))),0)</f>
        <v>0</v>
      </c>
      <c r="BW359" s="24">
        <f>IF(BW352=1,IF('Lease Cycles'!$AJ$28=1,0,'Lease Cycles'!$D$28*INDEX('Lease Cycles'!$FH$28:$FN$28,1,BW350)*IF(INDEX('Lease Cycles'!$EF$28:$EL$28,1,BW350)=1,1,IF(OR(INDEX('Lease Cycles'!$DY$28:$EE$28,1,BW350)=1,BW351&gt;0),1,1-INDEX('Lease Cycles'!$DD$28:$DJ$28,1,BW350)))),0)</f>
        <v>0</v>
      </c>
      <c r="BX359" s="24">
        <f>IF(BX352=1,IF('Lease Cycles'!$AJ$28=1,0,'Lease Cycles'!$D$28*INDEX('Lease Cycles'!$FH$28:$FN$28,1,BX350)*IF(INDEX('Lease Cycles'!$EF$28:$EL$28,1,BX350)=1,1,IF(OR(INDEX('Lease Cycles'!$DY$28:$EE$28,1,BX350)=1,BX351&gt;0),1,1-INDEX('Lease Cycles'!$DD$28:$DJ$28,1,BX350)))),0)</f>
        <v>0</v>
      </c>
      <c r="BY359" s="24">
        <f>IF(BY352=1,IF('Lease Cycles'!$AJ$28=1,0,'Lease Cycles'!$D$28*INDEX('Lease Cycles'!$FH$28:$FN$28,1,BY350)*IF(INDEX('Lease Cycles'!$EF$28:$EL$28,1,BY350)=1,1,IF(OR(INDEX('Lease Cycles'!$DY$28:$EE$28,1,BY350)=1,BY351&gt;0),1,1-INDEX('Lease Cycles'!$DD$28:$DJ$28,1,BY350)))),0)</f>
        <v>0</v>
      </c>
      <c r="BZ359" s="24">
        <f>IF(BZ352=1,IF('Lease Cycles'!$AJ$28=1,0,'Lease Cycles'!$D$28*INDEX('Lease Cycles'!$FH$28:$FN$28,1,BZ350)*IF(INDEX('Lease Cycles'!$EF$28:$EL$28,1,BZ350)=1,1,IF(OR(INDEX('Lease Cycles'!$DY$28:$EE$28,1,BZ350)=1,BZ351&gt;0),1,1-INDEX('Lease Cycles'!$DD$28:$DJ$28,1,BZ350)))),0)</f>
        <v>0</v>
      </c>
      <c r="CA359" s="24">
        <f>IF(CA352=1,IF('Lease Cycles'!$AJ$28=1,0,'Lease Cycles'!$D$28*INDEX('Lease Cycles'!$FH$28:$FN$28,1,CA350)*IF(INDEX('Lease Cycles'!$EF$28:$EL$28,1,CA350)=1,1,IF(OR(INDEX('Lease Cycles'!$DY$28:$EE$28,1,CA350)=1,CA351&gt;0),1,1-INDEX('Lease Cycles'!$DD$28:$DJ$28,1,CA350)))),0)</f>
        <v>0</v>
      </c>
      <c r="CB359" s="24">
        <f>IF(CB352=1,IF('Lease Cycles'!$AJ$28=1,0,'Lease Cycles'!$D$28*INDEX('Lease Cycles'!$FH$28:$FN$28,1,CB350)*IF(INDEX('Lease Cycles'!$EF$28:$EL$28,1,CB350)=1,1,IF(OR(INDEX('Lease Cycles'!$DY$28:$EE$28,1,CB350)=1,CB351&gt;0),1,1-INDEX('Lease Cycles'!$DD$28:$DJ$28,1,CB350)))),0)</f>
        <v>0</v>
      </c>
      <c r="CC359" s="24">
        <f>IF(CC352=1,IF('Lease Cycles'!$AJ$28=1,0,'Lease Cycles'!$D$28*INDEX('Lease Cycles'!$FH$28:$FN$28,1,CC350)*IF(INDEX('Lease Cycles'!$EF$28:$EL$28,1,CC350)=1,1,IF(OR(INDEX('Lease Cycles'!$DY$28:$EE$28,1,CC350)=1,CC351&gt;0),1,1-INDEX('Lease Cycles'!$DD$28:$DJ$28,1,CC350)))),0)</f>
        <v>0</v>
      </c>
      <c r="CD359" s="24">
        <f>IF(CD352=1,IF('Lease Cycles'!$AJ$28=1,0,'Lease Cycles'!$D$28*INDEX('Lease Cycles'!$FH$28:$FN$28,1,CD350)*IF(INDEX('Lease Cycles'!$EF$28:$EL$28,1,CD350)=1,1,IF(OR(INDEX('Lease Cycles'!$DY$28:$EE$28,1,CD350)=1,CD351&gt;0),1,1-INDEX('Lease Cycles'!$DD$28:$DJ$28,1,CD350)))),0)</f>
        <v>0</v>
      </c>
      <c r="CE359" s="24">
        <f>IF(CE352=1,IF('Lease Cycles'!$AJ$28=1,0,'Lease Cycles'!$D$28*INDEX('Lease Cycles'!$FH$28:$FN$28,1,CE350)*IF(INDEX('Lease Cycles'!$EF$28:$EL$28,1,CE350)=1,1,IF(OR(INDEX('Lease Cycles'!$DY$28:$EE$28,1,CE350)=1,CE351&gt;0),1,1-INDEX('Lease Cycles'!$DD$28:$DJ$28,1,CE350)))),0)</f>
        <v>0</v>
      </c>
      <c r="CF359" s="24">
        <f>IF(CF352=1,IF('Lease Cycles'!$AJ$28=1,0,'Lease Cycles'!$D$28*INDEX('Lease Cycles'!$FH$28:$FN$28,1,CF350)*IF(INDEX('Lease Cycles'!$EF$28:$EL$28,1,CF350)=1,1,IF(OR(INDEX('Lease Cycles'!$DY$28:$EE$28,1,CF350)=1,CF351&gt;0),1,1-INDEX('Lease Cycles'!$DD$28:$DJ$28,1,CF350)))),0)</f>
        <v>0</v>
      </c>
      <c r="CG359" s="24">
        <f>IF(CG352=1,IF('Lease Cycles'!$AJ$28=1,0,'Lease Cycles'!$D$28*INDEX('Lease Cycles'!$FH$28:$FN$28,1,CG350)*IF(INDEX('Lease Cycles'!$EF$28:$EL$28,1,CG350)=1,1,IF(OR(INDEX('Lease Cycles'!$DY$28:$EE$28,1,CG350)=1,CG351&gt;0),1,1-INDEX('Lease Cycles'!$DD$28:$DJ$28,1,CG350)))),0)</f>
        <v>0</v>
      </c>
      <c r="CH359" s="24">
        <f>IF(CH352=1,IF('Lease Cycles'!$AJ$28=1,0,'Lease Cycles'!$D$28*INDEX('Lease Cycles'!$FH$28:$FN$28,1,CH350)*IF(INDEX('Lease Cycles'!$EF$28:$EL$28,1,CH350)=1,1,IF(OR(INDEX('Lease Cycles'!$DY$28:$EE$28,1,CH350)=1,CH351&gt;0),1,1-INDEX('Lease Cycles'!$DD$28:$DJ$28,1,CH350)))),0)</f>
        <v>0</v>
      </c>
      <c r="CI359" s="24">
        <f>IF(CI352=1,IF('Lease Cycles'!$AJ$28=1,0,'Lease Cycles'!$D$28*INDEX('Lease Cycles'!$FH$28:$FN$28,1,CI350)*IF(INDEX('Lease Cycles'!$EF$28:$EL$28,1,CI350)=1,1,IF(OR(INDEX('Lease Cycles'!$DY$28:$EE$28,1,CI350)=1,CI351&gt;0),1,1-INDEX('Lease Cycles'!$DD$28:$DJ$28,1,CI350)))),0)</f>
        <v>0</v>
      </c>
      <c r="CJ359" s="24">
        <f>IF(CJ352=1,IF('Lease Cycles'!$AJ$28=1,0,'Lease Cycles'!$D$28*INDEX('Lease Cycles'!$FH$28:$FN$28,1,CJ350)*IF(INDEX('Lease Cycles'!$EF$28:$EL$28,1,CJ350)=1,1,IF(OR(INDEX('Lease Cycles'!$DY$28:$EE$28,1,CJ350)=1,CJ351&gt;0),1,1-INDEX('Lease Cycles'!$DD$28:$DJ$28,1,CJ350)))),0)</f>
        <v>0</v>
      </c>
      <c r="CK359" s="24">
        <f>IF(CK352=1,IF('Lease Cycles'!$AJ$28=1,0,'Lease Cycles'!$D$28*INDEX('Lease Cycles'!$FH$28:$FN$28,1,CK350)*IF(INDEX('Lease Cycles'!$EF$28:$EL$28,1,CK350)=1,1,IF(OR(INDEX('Lease Cycles'!$DY$28:$EE$28,1,CK350)=1,CK351&gt;0),1,1-INDEX('Lease Cycles'!$DD$28:$DJ$28,1,CK350)))),0)</f>
        <v>0</v>
      </c>
      <c r="CL359" s="24">
        <f>IF(CL352=1,IF('Lease Cycles'!$AJ$28=1,0,'Lease Cycles'!$D$28*INDEX('Lease Cycles'!$FH$28:$FN$28,1,CL350)*IF(INDEX('Lease Cycles'!$EF$28:$EL$28,1,CL350)=1,1,IF(OR(INDEX('Lease Cycles'!$DY$28:$EE$28,1,CL350)=1,CL351&gt;0),1,1-INDEX('Lease Cycles'!$DD$28:$DJ$28,1,CL350)))),0)</f>
        <v>0</v>
      </c>
      <c r="CM359" s="24">
        <f>IF(CM352=1,IF('Lease Cycles'!$AJ$28=1,0,'Lease Cycles'!$D$28*INDEX('Lease Cycles'!$FH$28:$FN$28,1,CM350)*IF(INDEX('Lease Cycles'!$EF$28:$EL$28,1,CM350)=1,1,IF(OR(INDEX('Lease Cycles'!$DY$28:$EE$28,1,CM350)=1,CM351&gt;0),1,1-INDEX('Lease Cycles'!$DD$28:$DJ$28,1,CM350)))),0)</f>
        <v>0</v>
      </c>
      <c r="CN359" s="24">
        <f>IF(CN352=1,IF('Lease Cycles'!$AJ$28=1,0,'Lease Cycles'!$D$28*INDEX('Lease Cycles'!$FH$28:$FN$28,1,CN350)*IF(INDEX('Lease Cycles'!$EF$28:$EL$28,1,CN350)=1,1,IF(OR(INDEX('Lease Cycles'!$DY$28:$EE$28,1,CN350)=1,CN351&gt;0),1,1-INDEX('Lease Cycles'!$DD$28:$DJ$28,1,CN350)))),0)</f>
        <v>0</v>
      </c>
      <c r="CO359" s="24">
        <f>IF(CO352=1,IF('Lease Cycles'!$AJ$28=1,0,'Lease Cycles'!$D$28*INDEX('Lease Cycles'!$FH$28:$FN$28,1,CO350)*IF(INDEX('Lease Cycles'!$EF$28:$EL$28,1,CO350)=1,1,IF(OR(INDEX('Lease Cycles'!$DY$28:$EE$28,1,CO350)=1,CO351&gt;0),1,1-INDEX('Lease Cycles'!$DD$28:$DJ$28,1,CO350)))),0)</f>
        <v>0</v>
      </c>
      <c r="CP359" s="24">
        <f>IF(CP352=1,IF('Lease Cycles'!$AJ$28=1,0,'Lease Cycles'!$D$28*INDEX('Lease Cycles'!$FH$28:$FN$28,1,CP350)*IF(INDEX('Lease Cycles'!$EF$28:$EL$28,1,CP350)=1,1,IF(OR(INDEX('Lease Cycles'!$DY$28:$EE$28,1,CP350)=1,CP351&gt;0),1,1-INDEX('Lease Cycles'!$DD$28:$DJ$28,1,CP350)))),0)</f>
        <v>0</v>
      </c>
      <c r="CQ359" s="24">
        <f>IF(CQ352=1,IF('Lease Cycles'!$AJ$28=1,0,'Lease Cycles'!$D$28*INDEX('Lease Cycles'!$FH$28:$FN$28,1,CQ350)*IF(INDEX('Lease Cycles'!$EF$28:$EL$28,1,CQ350)=1,1,IF(OR(INDEX('Lease Cycles'!$DY$28:$EE$28,1,CQ350)=1,CQ351&gt;0),1,1-INDEX('Lease Cycles'!$DD$28:$DJ$28,1,CQ350)))),0)</f>
        <v>0</v>
      </c>
      <c r="CR359" s="24">
        <f>IF(CR352=1,IF('Lease Cycles'!$AJ$28=1,0,'Lease Cycles'!$D$28*INDEX('Lease Cycles'!$FH$28:$FN$28,1,CR350)*IF(INDEX('Lease Cycles'!$EF$28:$EL$28,1,CR350)=1,1,IF(OR(INDEX('Lease Cycles'!$DY$28:$EE$28,1,CR350)=1,CR351&gt;0),1,1-INDEX('Lease Cycles'!$DD$28:$DJ$28,1,CR350)))),0)</f>
        <v>0</v>
      </c>
      <c r="CS359" s="24">
        <f>IF(CS352=1,IF('Lease Cycles'!$AJ$28=1,0,'Lease Cycles'!$D$28*INDEX('Lease Cycles'!$FH$28:$FN$28,1,CS350)*IF(INDEX('Lease Cycles'!$EF$28:$EL$28,1,CS350)=1,1,IF(OR(INDEX('Lease Cycles'!$DY$28:$EE$28,1,CS350)=1,CS351&gt;0),1,1-INDEX('Lease Cycles'!$DD$28:$DJ$28,1,CS350)))),0)</f>
        <v>0</v>
      </c>
      <c r="CT359" s="24">
        <f>IF(CT352=1,IF('Lease Cycles'!$AJ$28=1,0,'Lease Cycles'!$D$28*INDEX('Lease Cycles'!$FH$28:$FN$28,1,CT350)*IF(INDEX('Lease Cycles'!$EF$28:$EL$28,1,CT350)=1,1,IF(OR(INDEX('Lease Cycles'!$DY$28:$EE$28,1,CT350)=1,CT351&gt;0),1,1-INDEX('Lease Cycles'!$DD$28:$DJ$28,1,CT350)))),0)</f>
        <v>0</v>
      </c>
      <c r="CU359" s="24">
        <f>IF(CU352=1,IF('Lease Cycles'!$AJ$28=1,0,'Lease Cycles'!$D$28*INDEX('Lease Cycles'!$FH$28:$FN$28,1,CU350)*IF(INDEX('Lease Cycles'!$EF$28:$EL$28,1,CU350)=1,1,IF(OR(INDEX('Lease Cycles'!$DY$28:$EE$28,1,CU350)=1,CU351&gt;0),1,1-INDEX('Lease Cycles'!$DD$28:$DJ$28,1,CU350)))),0)</f>
        <v>0</v>
      </c>
      <c r="CV359" s="24">
        <f>IF(CV352=1,IF('Lease Cycles'!$AJ$28=1,0,'Lease Cycles'!$D$28*INDEX('Lease Cycles'!$FH$28:$FN$28,1,CV350)*IF(INDEX('Lease Cycles'!$EF$28:$EL$28,1,CV350)=1,1,IF(OR(INDEX('Lease Cycles'!$DY$28:$EE$28,1,CV350)=1,CV351&gt;0),1,1-INDEX('Lease Cycles'!$DD$28:$DJ$28,1,CV350)))),0)</f>
        <v>0</v>
      </c>
      <c r="CW359" s="24">
        <f>IF(CW352=1,IF('Lease Cycles'!$AJ$28=1,0,'Lease Cycles'!$D$28*INDEX('Lease Cycles'!$FH$28:$FN$28,1,CW350)*IF(INDEX('Lease Cycles'!$EF$28:$EL$28,1,CW350)=1,1,IF(OR(INDEX('Lease Cycles'!$DY$28:$EE$28,1,CW350)=1,CW351&gt;0),1,1-INDEX('Lease Cycles'!$DD$28:$DJ$28,1,CW350)))),0)</f>
        <v>0</v>
      </c>
      <c r="CX359" s="24">
        <f>IF(CX352=1,IF('Lease Cycles'!$AJ$28=1,0,'Lease Cycles'!$D$28*INDEX('Lease Cycles'!$FH$28:$FN$28,1,CX350)*IF(INDEX('Lease Cycles'!$EF$28:$EL$28,1,CX350)=1,1,IF(OR(INDEX('Lease Cycles'!$DY$28:$EE$28,1,CX350)=1,CX351&gt;0),1,1-INDEX('Lease Cycles'!$DD$28:$DJ$28,1,CX350)))),0)</f>
        <v>0</v>
      </c>
      <c r="CY359" s="24">
        <f>IF(CY352=1,IF('Lease Cycles'!$AJ$28=1,0,'Lease Cycles'!$D$28*INDEX('Lease Cycles'!$FH$28:$FN$28,1,CY350)*IF(INDEX('Lease Cycles'!$EF$28:$EL$28,1,CY350)=1,1,IF(OR(INDEX('Lease Cycles'!$DY$28:$EE$28,1,CY350)=1,CY351&gt;0),1,1-INDEX('Lease Cycles'!$DD$28:$DJ$28,1,CY350)))),0)</f>
        <v>0</v>
      </c>
      <c r="CZ359" s="24">
        <f>IF(CZ352=1,IF('Lease Cycles'!$AJ$28=1,0,'Lease Cycles'!$D$28*INDEX('Lease Cycles'!$FH$28:$FN$28,1,CZ350)*IF(INDEX('Lease Cycles'!$EF$28:$EL$28,1,CZ350)=1,1,IF(OR(INDEX('Lease Cycles'!$DY$28:$EE$28,1,CZ350)=1,CZ351&gt;0),1,1-INDEX('Lease Cycles'!$DD$28:$DJ$28,1,CZ350)))),0)</f>
        <v>0</v>
      </c>
      <c r="DA359" s="24">
        <f>IF(DA352=1,IF('Lease Cycles'!$AJ$28=1,0,'Lease Cycles'!$D$28*INDEX('Lease Cycles'!$FH$28:$FN$28,1,DA350)*IF(INDEX('Lease Cycles'!$EF$28:$EL$28,1,DA350)=1,1,IF(OR(INDEX('Lease Cycles'!$DY$28:$EE$28,1,DA350)=1,DA351&gt;0),1,1-INDEX('Lease Cycles'!$DD$28:$DJ$28,1,DA350)))),0)</f>
        <v>0</v>
      </c>
      <c r="DB359" s="24">
        <f>IF(DB352=1,IF('Lease Cycles'!$AJ$28=1,0,'Lease Cycles'!$D$28*INDEX('Lease Cycles'!$FH$28:$FN$28,1,DB350)*IF(INDEX('Lease Cycles'!$EF$28:$EL$28,1,DB350)=1,1,IF(OR(INDEX('Lease Cycles'!$DY$28:$EE$28,1,DB350)=1,DB351&gt;0),1,1-INDEX('Lease Cycles'!$DD$28:$DJ$28,1,DB350)))),0)</f>
        <v>0</v>
      </c>
      <c r="DC359" s="24">
        <f>IF(DC352=1,IF('Lease Cycles'!$AJ$28=1,0,'Lease Cycles'!$D$28*INDEX('Lease Cycles'!$FH$28:$FN$28,1,DC350)*IF(INDEX('Lease Cycles'!$EF$28:$EL$28,1,DC350)=1,1,IF(OR(INDEX('Lease Cycles'!$DY$28:$EE$28,1,DC350)=1,DC351&gt;0),1,1-INDEX('Lease Cycles'!$DD$28:$DJ$28,1,DC350)))),0)</f>
        <v>0</v>
      </c>
      <c r="DD359" s="24">
        <f>IF(DD352=1,IF('Lease Cycles'!$AJ$28=1,0,'Lease Cycles'!$D$28*INDEX('Lease Cycles'!$FH$28:$FN$28,1,DD350)*IF(INDEX('Lease Cycles'!$EF$28:$EL$28,1,DD350)=1,1,IF(OR(INDEX('Lease Cycles'!$DY$28:$EE$28,1,DD350)=1,DD351&gt;0),1,1-INDEX('Lease Cycles'!$DD$28:$DJ$28,1,DD350)))),0)</f>
        <v>0</v>
      </c>
      <c r="DE359" s="24">
        <f>IF(DE352=1,IF('Lease Cycles'!$AJ$28=1,0,'Lease Cycles'!$D$28*INDEX('Lease Cycles'!$FH$28:$FN$28,1,DE350)*IF(INDEX('Lease Cycles'!$EF$28:$EL$28,1,DE350)=1,1,IF(OR(INDEX('Lease Cycles'!$DY$28:$EE$28,1,DE350)=1,DE351&gt;0),1,1-INDEX('Lease Cycles'!$DD$28:$DJ$28,1,DE350)))),0)</f>
        <v>0</v>
      </c>
      <c r="DF359" s="24">
        <f>IF(DF352=1,IF('Lease Cycles'!$AJ$28=1,0,'Lease Cycles'!$D$28*INDEX('Lease Cycles'!$FH$28:$FN$28,1,DF350)*IF(INDEX('Lease Cycles'!$EF$28:$EL$28,1,DF350)=1,1,IF(OR(INDEX('Lease Cycles'!$DY$28:$EE$28,1,DF350)=1,DF351&gt;0),1,1-INDEX('Lease Cycles'!$DD$28:$DJ$28,1,DF350)))),0)</f>
        <v>0</v>
      </c>
      <c r="DG359" s="24">
        <f>IF(DG352=1,IF('Lease Cycles'!$AJ$28=1,0,'Lease Cycles'!$D$28*INDEX('Lease Cycles'!$FH$28:$FN$28,1,DG350)*IF(INDEX('Lease Cycles'!$EF$28:$EL$28,1,DG350)=1,1,IF(OR(INDEX('Lease Cycles'!$DY$28:$EE$28,1,DG350)=1,DG351&gt;0),1,1-INDEX('Lease Cycles'!$DD$28:$DJ$28,1,DG350)))),0)</f>
        <v>0</v>
      </c>
      <c r="DH359" s="24">
        <f>IF(DH352=1,IF('Lease Cycles'!$AJ$28=1,0,'Lease Cycles'!$D$28*INDEX('Lease Cycles'!$FH$28:$FN$28,1,DH350)*IF(INDEX('Lease Cycles'!$EF$28:$EL$28,1,DH350)=1,1,IF(OR(INDEX('Lease Cycles'!$DY$28:$EE$28,1,DH350)=1,DH351&gt;0),1,1-INDEX('Lease Cycles'!$DD$28:$DJ$28,1,DH350)))),0)</f>
        <v>0</v>
      </c>
      <c r="DI359" s="24">
        <f>IF(DI352=1,IF('Lease Cycles'!$AJ$28=1,0,'Lease Cycles'!$D$28*INDEX('Lease Cycles'!$FH$28:$FN$28,1,DI350)*IF(INDEX('Lease Cycles'!$EF$28:$EL$28,1,DI350)=1,1,IF(OR(INDEX('Lease Cycles'!$DY$28:$EE$28,1,DI350)=1,DI351&gt;0),1,1-INDEX('Lease Cycles'!$DD$28:$DJ$28,1,DI350)))),0)</f>
        <v>0</v>
      </c>
      <c r="DJ359" s="24">
        <f>IF(DJ352=1,IF('Lease Cycles'!$AJ$28=1,0,'Lease Cycles'!$D$28*INDEX('Lease Cycles'!$FH$28:$FN$28,1,DJ350)*IF(INDEX('Lease Cycles'!$EF$28:$EL$28,1,DJ350)=1,1,IF(OR(INDEX('Lease Cycles'!$DY$28:$EE$28,1,DJ350)=1,DJ351&gt;0),1,1-INDEX('Lease Cycles'!$DD$28:$DJ$28,1,DJ350)))),0)</f>
        <v>0</v>
      </c>
      <c r="DK359" s="24">
        <f>IF(DK352=1,IF('Lease Cycles'!$AJ$28=1,0,'Lease Cycles'!$D$28*INDEX('Lease Cycles'!$FH$28:$FN$28,1,DK350)*IF(INDEX('Lease Cycles'!$EF$28:$EL$28,1,DK350)=1,1,IF(OR(INDEX('Lease Cycles'!$DY$28:$EE$28,1,DK350)=1,DK351&gt;0),1,1-INDEX('Lease Cycles'!$DD$28:$DJ$28,1,DK350)))),0)</f>
        <v>0</v>
      </c>
      <c r="DL359" s="24">
        <f>IF(DL352=1,IF('Lease Cycles'!$AJ$28=1,0,'Lease Cycles'!$D$28*INDEX('Lease Cycles'!$FH$28:$FN$28,1,DL350)*IF(INDEX('Lease Cycles'!$EF$28:$EL$28,1,DL350)=1,1,IF(OR(INDEX('Lease Cycles'!$DY$28:$EE$28,1,DL350)=1,DL351&gt;0),1,1-INDEX('Lease Cycles'!$DD$28:$DJ$28,1,DL350)))),0)</f>
        <v>0</v>
      </c>
      <c r="DM359" s="24">
        <f>IF(DM352=1,IF('Lease Cycles'!$AJ$28=1,0,'Lease Cycles'!$D$28*INDEX('Lease Cycles'!$FH$28:$FN$28,1,DM350)*IF(INDEX('Lease Cycles'!$EF$28:$EL$28,1,DM350)=1,1,IF(OR(INDEX('Lease Cycles'!$DY$28:$EE$28,1,DM350)=1,DM351&gt;0),1,1-INDEX('Lease Cycles'!$DD$28:$DJ$28,1,DM350)))),0)</f>
        <v>0</v>
      </c>
      <c r="DN359" s="24">
        <f>IF(DN352=1,IF('Lease Cycles'!$AJ$28=1,0,'Lease Cycles'!$D$28*INDEX('Lease Cycles'!$FH$28:$FN$28,1,DN350)*IF(INDEX('Lease Cycles'!$EF$28:$EL$28,1,DN350)=1,1,IF(OR(INDEX('Lease Cycles'!$DY$28:$EE$28,1,DN350)=1,DN351&gt;0),1,1-INDEX('Lease Cycles'!$DD$28:$DJ$28,1,DN350)))),0)</f>
        <v>0</v>
      </c>
      <c r="DO359" s="24">
        <f>IF(DO352=1,IF('Lease Cycles'!$AJ$28=1,0,'Lease Cycles'!$D$28*INDEX('Lease Cycles'!$FH$28:$FN$28,1,DO350)*IF(INDEX('Lease Cycles'!$EF$28:$EL$28,1,DO350)=1,1,IF(OR(INDEX('Lease Cycles'!$DY$28:$EE$28,1,DO350)=1,DO351&gt;0),1,1-INDEX('Lease Cycles'!$DD$28:$DJ$28,1,DO350)))),0)</f>
        <v>0</v>
      </c>
      <c r="DP359" s="24">
        <f>IF(DP352=1,IF('Lease Cycles'!$AJ$28=1,0,'Lease Cycles'!$D$28*INDEX('Lease Cycles'!$FH$28:$FN$28,1,DP350)*IF(INDEX('Lease Cycles'!$EF$28:$EL$28,1,DP350)=1,1,IF(OR(INDEX('Lease Cycles'!$DY$28:$EE$28,1,DP350)=1,DP351&gt;0),1,1-INDEX('Lease Cycles'!$DD$28:$DJ$28,1,DP350)))),0)</f>
        <v>0</v>
      </c>
      <c r="DQ359" s="24">
        <f>IF(DQ352=1,IF('Lease Cycles'!$AJ$28=1,0,'Lease Cycles'!$D$28*INDEX('Lease Cycles'!$FH$28:$FN$28,1,DQ350)*IF(INDEX('Lease Cycles'!$EF$28:$EL$28,1,DQ350)=1,1,IF(OR(INDEX('Lease Cycles'!$DY$28:$EE$28,1,DQ350)=1,DQ351&gt;0),1,1-INDEX('Lease Cycles'!$DD$28:$DJ$28,1,DQ350)))),0)</f>
        <v>0</v>
      </c>
      <c r="DR359" s="24">
        <f>IF(DR352=1,IF('Lease Cycles'!$AJ$28=1,0,'Lease Cycles'!$D$28*INDEX('Lease Cycles'!$FH$28:$FN$28,1,DR350)*IF(INDEX('Lease Cycles'!$EF$28:$EL$28,1,DR350)=1,1,IF(OR(INDEX('Lease Cycles'!$DY$28:$EE$28,1,DR350)=1,DR351&gt;0),1,1-INDEX('Lease Cycles'!$DD$28:$DJ$28,1,DR350)))),0)</f>
        <v>0</v>
      </c>
      <c r="DS359" s="24">
        <f>IF(DS352=1,IF('Lease Cycles'!$AJ$28=1,0,'Lease Cycles'!$D$28*INDEX('Lease Cycles'!$FH$28:$FN$28,1,DS350)*IF(INDEX('Lease Cycles'!$EF$28:$EL$28,1,DS350)=1,1,IF(OR(INDEX('Lease Cycles'!$DY$28:$EE$28,1,DS350)=1,DS351&gt;0),1,1-INDEX('Lease Cycles'!$DD$28:$DJ$28,1,DS350)))),0)</f>
        <v>0</v>
      </c>
      <c r="DT359" s="24">
        <f>IF(DT352=1,IF('Lease Cycles'!$AJ$28=1,0,'Lease Cycles'!$D$28*INDEX('Lease Cycles'!$FH$28:$FN$28,1,DT350)*IF(INDEX('Lease Cycles'!$EF$28:$EL$28,1,DT350)=1,1,IF(OR(INDEX('Lease Cycles'!$DY$28:$EE$28,1,DT350)=1,DT351&gt;0),1,1-INDEX('Lease Cycles'!$DD$28:$DJ$28,1,DT350)))),0)</f>
        <v>0</v>
      </c>
      <c r="DU359" s="24">
        <f>IF(DU352=1,IF('Lease Cycles'!$AJ$28=1,0,'Lease Cycles'!$D$28*INDEX('Lease Cycles'!$FH$28:$FN$28,1,DU350)*IF(INDEX('Lease Cycles'!$EF$28:$EL$28,1,DU350)=1,1,IF(OR(INDEX('Lease Cycles'!$DY$28:$EE$28,1,DU350)=1,DU351&gt;0),1,1-INDEX('Lease Cycles'!$DD$28:$DJ$28,1,DU350)))),0)</f>
        <v>0</v>
      </c>
      <c r="DV359" s="24">
        <f>IF(DV352=1,IF('Lease Cycles'!$AJ$28=1,0,'Lease Cycles'!$D$28*INDEX('Lease Cycles'!$FH$28:$FN$28,1,DV350)*IF(INDEX('Lease Cycles'!$EF$28:$EL$28,1,DV350)=1,1,IF(OR(INDEX('Lease Cycles'!$DY$28:$EE$28,1,DV350)=1,DV351&gt;0),1,1-INDEX('Lease Cycles'!$DD$28:$DJ$28,1,DV350)))),0)</f>
        <v>0</v>
      </c>
      <c r="DW359" s="24">
        <f>IF(DW352=1,IF('Lease Cycles'!$AJ$28=1,0,'Lease Cycles'!$D$28*INDEX('Lease Cycles'!$FH$28:$FN$28,1,DW350)*IF(INDEX('Lease Cycles'!$EF$28:$EL$28,1,DW350)=1,1,IF(OR(INDEX('Lease Cycles'!$DY$28:$EE$28,1,DW350)=1,DW351&gt;0),1,1-INDEX('Lease Cycles'!$DD$28:$DJ$28,1,DW350)))),0)</f>
        <v>0</v>
      </c>
      <c r="DX359" s="24">
        <f>IF(DX352=1,IF('Lease Cycles'!$AJ$28=1,0,'Lease Cycles'!$D$28*INDEX('Lease Cycles'!$FH$28:$FN$28,1,DX350)*IF(INDEX('Lease Cycles'!$EF$28:$EL$28,1,DX350)=1,1,IF(OR(INDEX('Lease Cycles'!$DY$28:$EE$28,1,DX350)=1,DX351&gt;0),1,1-INDEX('Lease Cycles'!$DD$28:$DJ$28,1,DX350)))),0)</f>
        <v>0</v>
      </c>
      <c r="DY359" s="24">
        <f>IF(DY352=1,IF('Lease Cycles'!$AJ$28=1,0,'Lease Cycles'!$D$28*INDEX('Lease Cycles'!$FH$28:$FN$28,1,DY350)*IF(INDEX('Lease Cycles'!$EF$28:$EL$28,1,DY350)=1,1,IF(OR(INDEX('Lease Cycles'!$DY$28:$EE$28,1,DY350)=1,DY351&gt;0),1,1-INDEX('Lease Cycles'!$DD$28:$DJ$28,1,DY350)))),0)</f>
        <v>0</v>
      </c>
      <c r="DZ359" s="24">
        <f>IF(DZ352=1,IF('Lease Cycles'!$AJ$28=1,0,'Lease Cycles'!$D$28*INDEX('Lease Cycles'!$FH$28:$FN$28,1,DZ350)*IF(INDEX('Lease Cycles'!$EF$28:$EL$28,1,DZ350)=1,1,IF(OR(INDEX('Lease Cycles'!$DY$28:$EE$28,1,DZ350)=1,DZ351&gt;0),1,1-INDEX('Lease Cycles'!$DD$28:$DJ$28,1,DZ350)))),0)</f>
        <v>0</v>
      </c>
      <c r="EA359" s="24">
        <f>IF(EA352=1,IF('Lease Cycles'!$AJ$28=1,0,'Lease Cycles'!$D$28*INDEX('Lease Cycles'!$FH$28:$FN$28,1,EA350)*IF(INDEX('Lease Cycles'!$EF$28:$EL$28,1,EA350)=1,1,IF(OR(INDEX('Lease Cycles'!$DY$28:$EE$28,1,EA350)=1,EA351&gt;0),1,1-INDEX('Lease Cycles'!$DD$28:$DJ$28,1,EA350)))),0)</f>
        <v>0</v>
      </c>
      <c r="EB359" s="24">
        <f>IF(EB352=1,IF('Lease Cycles'!$AJ$28=1,0,'Lease Cycles'!$D$28*INDEX('Lease Cycles'!$FH$28:$FN$28,1,EB350)*IF(INDEX('Lease Cycles'!$EF$28:$EL$28,1,EB350)=1,1,IF(OR(INDEX('Lease Cycles'!$DY$28:$EE$28,1,EB350)=1,EB351&gt;0),1,1-INDEX('Lease Cycles'!$DD$28:$DJ$28,1,EB350)))),0)</f>
        <v>0</v>
      </c>
      <c r="EC359" s="24">
        <f>IF(EC352=1,IF('Lease Cycles'!$AJ$28=1,0,'Lease Cycles'!$D$28*INDEX('Lease Cycles'!$FH$28:$FN$28,1,EC350)*IF(INDEX('Lease Cycles'!$EF$28:$EL$28,1,EC350)=1,1,IF(OR(INDEX('Lease Cycles'!$DY$28:$EE$28,1,EC350)=1,EC351&gt;0),1,1-INDEX('Lease Cycles'!$DD$28:$DJ$28,1,EC350)))),0)</f>
        <v>0</v>
      </c>
      <c r="ED359" s="24">
        <f>IF(ED352=1,IF('Lease Cycles'!$AJ$28=1,0,'Lease Cycles'!$D$28*INDEX('Lease Cycles'!$FH$28:$FN$28,1,ED350)*IF(INDEX('Lease Cycles'!$EF$28:$EL$28,1,ED350)=1,1,IF(OR(INDEX('Lease Cycles'!$DY$28:$EE$28,1,ED350)=1,ED351&gt;0),1,1-INDEX('Lease Cycles'!$DD$28:$DJ$28,1,ED350)))),0)</f>
        <v>0</v>
      </c>
      <c r="EE359" s="24">
        <f>IF(EE352=1,IF('Lease Cycles'!$AJ$28=1,0,'Lease Cycles'!$D$28*INDEX('Lease Cycles'!$FH$28:$FN$28,1,EE350)*IF(INDEX('Lease Cycles'!$EF$28:$EL$28,1,EE350)=1,1,IF(OR(INDEX('Lease Cycles'!$DY$28:$EE$28,1,EE350)=1,EE351&gt;0),1,1-INDEX('Lease Cycles'!$DD$28:$DJ$28,1,EE350)))),0)</f>
        <v>0</v>
      </c>
      <c r="EF359" s="24">
        <f>IF(EF352=1,IF('Lease Cycles'!$AJ$28=1,0,'Lease Cycles'!$D$28*INDEX('Lease Cycles'!$FH$28:$FN$28,1,EF350)*IF(INDEX('Lease Cycles'!$EF$28:$EL$28,1,EF350)=1,1,IF(OR(INDEX('Lease Cycles'!$DY$28:$EE$28,1,EF350)=1,EF351&gt;0),1,1-INDEX('Lease Cycles'!$DD$28:$DJ$28,1,EF350)))),0)</f>
        <v>0</v>
      </c>
      <c r="EG359" s="24">
        <f>IF(EG352=1,IF('Lease Cycles'!$AJ$28=1,0,'Lease Cycles'!$D$28*INDEX('Lease Cycles'!$FH$28:$FN$28,1,EG350)*IF(INDEX('Lease Cycles'!$EF$28:$EL$28,1,EG350)=1,1,IF(OR(INDEX('Lease Cycles'!$DY$28:$EE$28,1,EG350)=1,EG351&gt;0),1,1-INDEX('Lease Cycles'!$DD$28:$DJ$28,1,EG350)))),0)</f>
        <v>0</v>
      </c>
      <c r="EH359" s="24">
        <f>IF(EH352=1,IF('Lease Cycles'!$AJ$28=1,0,'Lease Cycles'!$D$28*INDEX('Lease Cycles'!$FH$28:$FN$28,1,EH350)*IF(INDEX('Lease Cycles'!$EF$28:$EL$28,1,EH350)=1,1,IF(OR(INDEX('Lease Cycles'!$DY$28:$EE$28,1,EH350)=1,EH351&gt;0),1,1-INDEX('Lease Cycles'!$DD$28:$DJ$28,1,EH350)))),0)</f>
        <v>0</v>
      </c>
      <c r="EI359" s="24">
        <f>IF(EI352=1,IF('Lease Cycles'!$AJ$28=1,0,'Lease Cycles'!$D$28*INDEX('Lease Cycles'!$FH$28:$FN$28,1,EI350)*IF(INDEX('Lease Cycles'!$EF$28:$EL$28,1,EI350)=1,1,IF(OR(INDEX('Lease Cycles'!$DY$28:$EE$28,1,EI350)=1,EI351&gt;0),1,1-INDEX('Lease Cycles'!$DD$28:$DJ$28,1,EI350)))),0)</f>
        <v>0</v>
      </c>
      <c r="EJ359" s="24">
        <f>IF(EJ352=1,IF('Lease Cycles'!$AJ$28=1,0,'Lease Cycles'!$D$28*INDEX('Lease Cycles'!$FH$28:$FN$28,1,EJ350)*IF(INDEX('Lease Cycles'!$EF$28:$EL$28,1,EJ350)=1,1,IF(OR(INDEX('Lease Cycles'!$DY$28:$EE$28,1,EJ350)=1,EJ351&gt;0),1,1-INDEX('Lease Cycles'!$DD$28:$DJ$28,1,EJ350)))),0)</f>
        <v>0</v>
      </c>
      <c r="EK359" s="24">
        <f>IF(EK352=1,IF('Lease Cycles'!$AJ$28=1,0,'Lease Cycles'!$D$28*INDEX('Lease Cycles'!$FH$28:$FN$28,1,EK350)*IF(INDEX('Lease Cycles'!$EF$28:$EL$28,1,EK350)=1,1,IF(OR(INDEX('Lease Cycles'!$DY$28:$EE$28,1,EK350)=1,EK351&gt;0),1,1-INDEX('Lease Cycles'!$DD$28:$DJ$28,1,EK350)))),0)</f>
        <v>0</v>
      </c>
      <c r="EL359" s="24">
        <f>IF(EL352=1,IF('Lease Cycles'!$AJ$28=1,0,'Lease Cycles'!$D$28*INDEX('Lease Cycles'!$FH$28:$FN$28,1,EL350)*IF(INDEX('Lease Cycles'!$EF$28:$EL$28,1,EL350)=1,1,IF(OR(INDEX('Lease Cycles'!$DY$28:$EE$28,1,EL350)=1,EL351&gt;0),1,1-INDEX('Lease Cycles'!$DD$28:$DJ$28,1,EL350)))),0)</f>
        <v>0</v>
      </c>
      <c r="EM359" s="24">
        <f>IF(EM352=1,IF('Lease Cycles'!$AJ$28=1,0,'Lease Cycles'!$D$28*INDEX('Lease Cycles'!$FH$28:$FN$28,1,EM350)*IF(INDEX('Lease Cycles'!$EF$28:$EL$28,1,EM350)=1,1,IF(OR(INDEX('Lease Cycles'!$DY$28:$EE$28,1,EM350)=1,EM351&gt;0),1,1-INDEX('Lease Cycles'!$DD$28:$DJ$28,1,EM350)))),0)</f>
        <v>0</v>
      </c>
      <c r="EN359" s="24">
        <f>IF(EN352=1,IF('Lease Cycles'!$AJ$28=1,0,'Lease Cycles'!$D$28*INDEX('Lease Cycles'!$FH$28:$FN$28,1,EN350)*IF(INDEX('Lease Cycles'!$EF$28:$EL$28,1,EN350)=1,1,IF(OR(INDEX('Lease Cycles'!$DY$28:$EE$28,1,EN350)=1,EN351&gt;0),1,1-INDEX('Lease Cycles'!$DD$28:$DJ$28,1,EN350)))),0)</f>
        <v>0</v>
      </c>
      <c r="EO359" s="24">
        <f>IF(EO352=1,IF('Lease Cycles'!$AJ$28=1,0,'Lease Cycles'!$D$28*INDEX('Lease Cycles'!$FH$28:$FN$28,1,EO350)*IF(INDEX('Lease Cycles'!$EF$28:$EL$28,1,EO350)=1,1,IF(OR(INDEX('Lease Cycles'!$DY$28:$EE$28,1,EO350)=1,EO351&gt;0),1,1-INDEX('Lease Cycles'!$DD$28:$DJ$28,1,EO350)))),0)</f>
        <v>0</v>
      </c>
      <c r="EP359" s="24">
        <f>IF(EP352=1,IF('Lease Cycles'!$AJ$28=1,0,'Lease Cycles'!$D$28*INDEX('Lease Cycles'!$FH$28:$FN$28,1,EP350)*IF(INDEX('Lease Cycles'!$EF$28:$EL$28,1,EP350)=1,1,IF(OR(INDEX('Lease Cycles'!$DY$28:$EE$28,1,EP350)=1,EP351&gt;0),1,1-INDEX('Lease Cycles'!$DD$28:$DJ$28,1,EP350)))),0)</f>
        <v>0</v>
      </c>
      <c r="EQ359" s="24">
        <f>IF(EQ352=1,IF('Lease Cycles'!$AJ$28=1,0,'Lease Cycles'!$D$28*INDEX('Lease Cycles'!$FH$28:$FN$28,1,EQ350)*IF(INDEX('Lease Cycles'!$EF$28:$EL$28,1,EQ350)=1,1,IF(OR(INDEX('Lease Cycles'!$DY$28:$EE$28,1,EQ350)=1,EQ351&gt;0),1,1-INDEX('Lease Cycles'!$DD$28:$DJ$28,1,EQ350)))),0)</f>
        <v>0</v>
      </c>
      <c r="ER359" s="24">
        <f>IF(ER352=1,IF('Lease Cycles'!$AJ$28=1,0,'Lease Cycles'!$D$28*INDEX('Lease Cycles'!$FH$28:$FN$28,1,ER350)*IF(INDEX('Lease Cycles'!$EF$28:$EL$28,1,ER350)=1,1,IF(OR(INDEX('Lease Cycles'!$DY$28:$EE$28,1,ER350)=1,ER351&gt;0),1,1-INDEX('Lease Cycles'!$DD$28:$DJ$28,1,ER350)))),0)</f>
        <v>0</v>
      </c>
      <c r="ES359" s="24">
        <f>IF(ES352=1,IF('Lease Cycles'!$AJ$28=1,0,'Lease Cycles'!$D$28*INDEX('Lease Cycles'!$FH$28:$FN$28,1,ES350)*IF(INDEX('Lease Cycles'!$EF$28:$EL$28,1,ES350)=1,1,IF(OR(INDEX('Lease Cycles'!$DY$28:$EE$28,1,ES350)=1,ES351&gt;0),1,1-INDEX('Lease Cycles'!$DD$28:$DJ$28,1,ES350)))),0)</f>
        <v>0</v>
      </c>
      <c r="ET359" s="24">
        <f>IF(ET352=1,IF('Lease Cycles'!$AJ$28=1,0,'Lease Cycles'!$D$28*INDEX('Lease Cycles'!$FH$28:$FN$28,1,ET350)*IF(INDEX('Lease Cycles'!$EF$28:$EL$28,1,ET350)=1,1,IF(OR(INDEX('Lease Cycles'!$DY$28:$EE$28,1,ET350)=1,ET351&gt;0),1,1-INDEX('Lease Cycles'!$DD$28:$DJ$28,1,ET350)))),0)</f>
        <v>0</v>
      </c>
    </row>
    <row r="360">
      <c r="A360" s="103">
        <v>21</v>
      </c>
      <c r="B360" s="23" t="str">
        <f>IF('Lease Cycles'!$B$28="","(empty slot)",'Lease Cycles'!$B$28)</f>
        <v>(empty slot)</v>
      </c>
      <c r="C360" s="23" t="s">
        <v>687</v>
      </c>
      <c r="D360" s="104" t="s">
        <v>688</v>
      </c>
      <c r="E360" s="25">
        <f>'Lease Cycles'!$AL$28</f>
        <v>0</v>
      </c>
      <c r="G360" s="24">
        <f>SUM(S360:AD360)</f>
        <v>0</v>
      </c>
      <c r="H360" s="24">
        <f>SUM(AE360:AP360)</f>
        <v>0</v>
      </c>
      <c r="I360" s="24">
        <f>SUM(AQ360:BB360)</f>
        <v>0</v>
      </c>
      <c r="J360" s="24">
        <f>SUM(BC360:BN360)</f>
        <v>0</v>
      </c>
      <c r="K360" s="24">
        <f>SUM(BO360:BZ360)</f>
        <v>0</v>
      </c>
      <c r="L360" s="24">
        <f>SUM(CA360:CL360)</f>
        <v>0</v>
      </c>
      <c r="M360" s="24">
        <f>SUM(CM360:CX360)</f>
        <v>0</v>
      </c>
      <c r="N360" s="24">
        <f>SUM(CY360:DJ360)</f>
        <v>0</v>
      </c>
      <c r="O360" s="24">
        <f>SUM(DK360:DV360)</f>
        <v>0</v>
      </c>
      <c r="P360" s="24">
        <f>SUM(DW360:EH360)</f>
        <v>0</v>
      </c>
      <c r="Q360" s="24">
        <f>SUM(EI360:ET360)</f>
        <v>0</v>
      </c>
      <c r="S360" s="24">
        <f>IF(S352=1,'Lease Cycles'!$D$28*IF(INDEX('Lease Cycles'!$EF$28:$EL$28,1,S350)=1,'Lease Cycles'!$AJ$28*INDEX('Lease Cycles'!$FO$28:$FU$28,1,S350)*INDEX('Lease Cycles'!$EM$28:$ES$28,1,S350)+'Lease Cycles'!$BE$28*IF(S351&lt;INDEX('Lease Cycles'!$FA$28:$FG$28,1,S350),0,1-INDEX('Lease Cycles'!$EM$28:$ES$28,1,S350)),IF(OR(INDEX('Lease Cycles'!$DY$28:$EE$28,1,S350)=1,S351&gt;0),1,1-INDEX('Lease Cycles'!$DD$28:$DJ$28,1,S350))*('Lease Cycles'!$AJ$28*INDEX('Lease Cycles'!$FO$28:$FU$28,1,S350)+'Lease Cycles'!$BE$28*(1-INDEX('Lease Cycles'!$FO$28:$FU$28,1,S350)))),0)</f>
        <v>0</v>
      </c>
      <c r="T360" s="24">
        <f>IF(T352=1,'Lease Cycles'!$D$28*IF(INDEX('Lease Cycles'!$EF$28:$EL$28,1,T350)=1,'Lease Cycles'!$AJ$28*INDEX('Lease Cycles'!$FO$28:$FU$28,1,T350)*INDEX('Lease Cycles'!$EM$28:$ES$28,1,T350)+'Lease Cycles'!$BE$28*IF(T351&lt;INDEX('Lease Cycles'!$FA$28:$FG$28,1,T350),0,1-INDEX('Lease Cycles'!$EM$28:$ES$28,1,T350)),IF(OR(INDEX('Lease Cycles'!$DY$28:$EE$28,1,T350)=1,T351&gt;0),1,1-INDEX('Lease Cycles'!$DD$28:$DJ$28,1,T350))*('Lease Cycles'!$AJ$28*INDEX('Lease Cycles'!$FO$28:$FU$28,1,T350)+'Lease Cycles'!$BE$28*(1-INDEX('Lease Cycles'!$FO$28:$FU$28,1,T350)))),0)</f>
        <v>0</v>
      </c>
      <c r="U360" s="24">
        <f>IF(U352=1,'Lease Cycles'!$D$28*IF(INDEX('Lease Cycles'!$EF$28:$EL$28,1,U350)=1,'Lease Cycles'!$AJ$28*INDEX('Lease Cycles'!$FO$28:$FU$28,1,U350)*INDEX('Lease Cycles'!$EM$28:$ES$28,1,U350)+'Lease Cycles'!$BE$28*IF(U351&lt;INDEX('Lease Cycles'!$FA$28:$FG$28,1,U350),0,1-INDEX('Lease Cycles'!$EM$28:$ES$28,1,U350)),IF(OR(INDEX('Lease Cycles'!$DY$28:$EE$28,1,U350)=1,U351&gt;0),1,1-INDEX('Lease Cycles'!$DD$28:$DJ$28,1,U350))*('Lease Cycles'!$AJ$28*INDEX('Lease Cycles'!$FO$28:$FU$28,1,U350)+'Lease Cycles'!$BE$28*(1-INDEX('Lease Cycles'!$FO$28:$FU$28,1,U350)))),0)</f>
        <v>0</v>
      </c>
      <c r="V360" s="24">
        <f>IF(V352=1,'Lease Cycles'!$D$28*IF(INDEX('Lease Cycles'!$EF$28:$EL$28,1,V350)=1,'Lease Cycles'!$AJ$28*INDEX('Lease Cycles'!$FO$28:$FU$28,1,V350)*INDEX('Lease Cycles'!$EM$28:$ES$28,1,V350)+'Lease Cycles'!$BE$28*IF(V351&lt;INDEX('Lease Cycles'!$FA$28:$FG$28,1,V350),0,1-INDEX('Lease Cycles'!$EM$28:$ES$28,1,V350)),IF(OR(INDEX('Lease Cycles'!$DY$28:$EE$28,1,V350)=1,V351&gt;0),1,1-INDEX('Lease Cycles'!$DD$28:$DJ$28,1,V350))*('Lease Cycles'!$AJ$28*INDEX('Lease Cycles'!$FO$28:$FU$28,1,V350)+'Lease Cycles'!$BE$28*(1-INDEX('Lease Cycles'!$FO$28:$FU$28,1,V350)))),0)</f>
        <v>0</v>
      </c>
      <c r="W360" s="24">
        <f>IF(W352=1,'Lease Cycles'!$D$28*IF(INDEX('Lease Cycles'!$EF$28:$EL$28,1,W350)=1,'Lease Cycles'!$AJ$28*INDEX('Lease Cycles'!$FO$28:$FU$28,1,W350)*INDEX('Lease Cycles'!$EM$28:$ES$28,1,W350)+'Lease Cycles'!$BE$28*IF(W351&lt;INDEX('Lease Cycles'!$FA$28:$FG$28,1,W350),0,1-INDEX('Lease Cycles'!$EM$28:$ES$28,1,W350)),IF(OR(INDEX('Lease Cycles'!$DY$28:$EE$28,1,W350)=1,W351&gt;0),1,1-INDEX('Lease Cycles'!$DD$28:$DJ$28,1,W350))*('Lease Cycles'!$AJ$28*INDEX('Lease Cycles'!$FO$28:$FU$28,1,W350)+'Lease Cycles'!$BE$28*(1-INDEX('Lease Cycles'!$FO$28:$FU$28,1,W350)))),0)</f>
        <v>0</v>
      </c>
      <c r="X360" s="24">
        <f>IF(X352=1,'Lease Cycles'!$D$28*IF(INDEX('Lease Cycles'!$EF$28:$EL$28,1,X350)=1,'Lease Cycles'!$AJ$28*INDEX('Lease Cycles'!$FO$28:$FU$28,1,X350)*INDEX('Lease Cycles'!$EM$28:$ES$28,1,X350)+'Lease Cycles'!$BE$28*IF(X351&lt;INDEX('Lease Cycles'!$FA$28:$FG$28,1,X350),0,1-INDEX('Lease Cycles'!$EM$28:$ES$28,1,X350)),IF(OR(INDEX('Lease Cycles'!$DY$28:$EE$28,1,X350)=1,X351&gt;0),1,1-INDEX('Lease Cycles'!$DD$28:$DJ$28,1,X350))*('Lease Cycles'!$AJ$28*INDEX('Lease Cycles'!$FO$28:$FU$28,1,X350)+'Lease Cycles'!$BE$28*(1-INDEX('Lease Cycles'!$FO$28:$FU$28,1,X350)))),0)</f>
        <v>0</v>
      </c>
      <c r="Y360" s="24">
        <f>IF(Y352=1,'Lease Cycles'!$D$28*IF(INDEX('Lease Cycles'!$EF$28:$EL$28,1,Y350)=1,'Lease Cycles'!$AJ$28*INDEX('Lease Cycles'!$FO$28:$FU$28,1,Y350)*INDEX('Lease Cycles'!$EM$28:$ES$28,1,Y350)+'Lease Cycles'!$BE$28*IF(Y351&lt;INDEX('Lease Cycles'!$FA$28:$FG$28,1,Y350),0,1-INDEX('Lease Cycles'!$EM$28:$ES$28,1,Y350)),IF(OR(INDEX('Lease Cycles'!$DY$28:$EE$28,1,Y350)=1,Y351&gt;0),1,1-INDEX('Lease Cycles'!$DD$28:$DJ$28,1,Y350))*('Lease Cycles'!$AJ$28*INDEX('Lease Cycles'!$FO$28:$FU$28,1,Y350)+'Lease Cycles'!$BE$28*(1-INDEX('Lease Cycles'!$FO$28:$FU$28,1,Y350)))),0)</f>
        <v>0</v>
      </c>
      <c r="Z360" s="24">
        <f>IF(Z352=1,'Lease Cycles'!$D$28*IF(INDEX('Lease Cycles'!$EF$28:$EL$28,1,Z350)=1,'Lease Cycles'!$AJ$28*INDEX('Lease Cycles'!$FO$28:$FU$28,1,Z350)*INDEX('Lease Cycles'!$EM$28:$ES$28,1,Z350)+'Lease Cycles'!$BE$28*IF(Z351&lt;INDEX('Lease Cycles'!$FA$28:$FG$28,1,Z350),0,1-INDEX('Lease Cycles'!$EM$28:$ES$28,1,Z350)),IF(OR(INDEX('Lease Cycles'!$DY$28:$EE$28,1,Z350)=1,Z351&gt;0),1,1-INDEX('Lease Cycles'!$DD$28:$DJ$28,1,Z350))*('Lease Cycles'!$AJ$28*INDEX('Lease Cycles'!$FO$28:$FU$28,1,Z350)+'Lease Cycles'!$BE$28*(1-INDEX('Lease Cycles'!$FO$28:$FU$28,1,Z350)))),0)</f>
        <v>0</v>
      </c>
      <c r="AA360" s="24">
        <f>IF(AA352=1,'Lease Cycles'!$D$28*IF(INDEX('Lease Cycles'!$EF$28:$EL$28,1,AA350)=1,'Lease Cycles'!$AJ$28*INDEX('Lease Cycles'!$FO$28:$FU$28,1,AA350)*INDEX('Lease Cycles'!$EM$28:$ES$28,1,AA350)+'Lease Cycles'!$BE$28*IF(AA351&lt;INDEX('Lease Cycles'!$FA$28:$FG$28,1,AA350),0,1-INDEX('Lease Cycles'!$EM$28:$ES$28,1,AA350)),IF(OR(INDEX('Lease Cycles'!$DY$28:$EE$28,1,AA350)=1,AA351&gt;0),1,1-INDEX('Lease Cycles'!$DD$28:$DJ$28,1,AA350))*('Lease Cycles'!$AJ$28*INDEX('Lease Cycles'!$FO$28:$FU$28,1,AA350)+'Lease Cycles'!$BE$28*(1-INDEX('Lease Cycles'!$FO$28:$FU$28,1,AA350)))),0)</f>
        <v>0</v>
      </c>
      <c r="AB360" s="24">
        <f>IF(AB352=1,'Lease Cycles'!$D$28*IF(INDEX('Lease Cycles'!$EF$28:$EL$28,1,AB350)=1,'Lease Cycles'!$AJ$28*INDEX('Lease Cycles'!$FO$28:$FU$28,1,AB350)*INDEX('Lease Cycles'!$EM$28:$ES$28,1,AB350)+'Lease Cycles'!$BE$28*IF(AB351&lt;INDEX('Lease Cycles'!$FA$28:$FG$28,1,AB350),0,1-INDEX('Lease Cycles'!$EM$28:$ES$28,1,AB350)),IF(OR(INDEX('Lease Cycles'!$DY$28:$EE$28,1,AB350)=1,AB351&gt;0),1,1-INDEX('Lease Cycles'!$DD$28:$DJ$28,1,AB350))*('Lease Cycles'!$AJ$28*INDEX('Lease Cycles'!$FO$28:$FU$28,1,AB350)+'Lease Cycles'!$BE$28*(1-INDEX('Lease Cycles'!$FO$28:$FU$28,1,AB350)))),0)</f>
        <v>0</v>
      </c>
      <c r="AC360" s="24">
        <f>IF(AC352=1,'Lease Cycles'!$D$28*IF(INDEX('Lease Cycles'!$EF$28:$EL$28,1,AC350)=1,'Lease Cycles'!$AJ$28*INDEX('Lease Cycles'!$FO$28:$FU$28,1,AC350)*INDEX('Lease Cycles'!$EM$28:$ES$28,1,AC350)+'Lease Cycles'!$BE$28*IF(AC351&lt;INDEX('Lease Cycles'!$FA$28:$FG$28,1,AC350),0,1-INDEX('Lease Cycles'!$EM$28:$ES$28,1,AC350)),IF(OR(INDEX('Lease Cycles'!$DY$28:$EE$28,1,AC350)=1,AC351&gt;0),1,1-INDEX('Lease Cycles'!$DD$28:$DJ$28,1,AC350))*('Lease Cycles'!$AJ$28*INDEX('Lease Cycles'!$FO$28:$FU$28,1,AC350)+'Lease Cycles'!$BE$28*(1-INDEX('Lease Cycles'!$FO$28:$FU$28,1,AC350)))),0)</f>
        <v>0</v>
      </c>
      <c r="AD360" s="24">
        <f>IF(AD352=1,'Lease Cycles'!$D$28*IF(INDEX('Lease Cycles'!$EF$28:$EL$28,1,AD350)=1,'Lease Cycles'!$AJ$28*INDEX('Lease Cycles'!$FO$28:$FU$28,1,AD350)*INDEX('Lease Cycles'!$EM$28:$ES$28,1,AD350)+'Lease Cycles'!$BE$28*IF(AD351&lt;INDEX('Lease Cycles'!$FA$28:$FG$28,1,AD350),0,1-INDEX('Lease Cycles'!$EM$28:$ES$28,1,AD350)),IF(OR(INDEX('Lease Cycles'!$DY$28:$EE$28,1,AD350)=1,AD351&gt;0),1,1-INDEX('Lease Cycles'!$DD$28:$DJ$28,1,AD350))*('Lease Cycles'!$AJ$28*INDEX('Lease Cycles'!$FO$28:$FU$28,1,AD350)+'Lease Cycles'!$BE$28*(1-INDEX('Lease Cycles'!$FO$28:$FU$28,1,AD350)))),0)</f>
        <v>0</v>
      </c>
      <c r="AE360" s="24">
        <f>IF(AE352=1,'Lease Cycles'!$D$28*IF(INDEX('Lease Cycles'!$EF$28:$EL$28,1,AE350)=1,'Lease Cycles'!$AJ$28*INDEX('Lease Cycles'!$FO$28:$FU$28,1,AE350)*INDEX('Lease Cycles'!$EM$28:$ES$28,1,AE350)+'Lease Cycles'!$BE$28*IF(AE351&lt;INDEX('Lease Cycles'!$FA$28:$FG$28,1,AE350),0,1-INDEX('Lease Cycles'!$EM$28:$ES$28,1,AE350)),IF(OR(INDEX('Lease Cycles'!$DY$28:$EE$28,1,AE350)=1,AE351&gt;0),1,1-INDEX('Lease Cycles'!$DD$28:$DJ$28,1,AE350))*('Lease Cycles'!$AJ$28*INDEX('Lease Cycles'!$FO$28:$FU$28,1,AE350)+'Lease Cycles'!$BE$28*(1-INDEX('Lease Cycles'!$FO$28:$FU$28,1,AE350)))),0)</f>
        <v>0</v>
      </c>
      <c r="AF360" s="24">
        <f>IF(AF352=1,'Lease Cycles'!$D$28*IF(INDEX('Lease Cycles'!$EF$28:$EL$28,1,AF350)=1,'Lease Cycles'!$AJ$28*INDEX('Lease Cycles'!$FO$28:$FU$28,1,AF350)*INDEX('Lease Cycles'!$EM$28:$ES$28,1,AF350)+'Lease Cycles'!$BE$28*IF(AF351&lt;INDEX('Lease Cycles'!$FA$28:$FG$28,1,AF350),0,1-INDEX('Lease Cycles'!$EM$28:$ES$28,1,AF350)),IF(OR(INDEX('Lease Cycles'!$DY$28:$EE$28,1,AF350)=1,AF351&gt;0),1,1-INDEX('Lease Cycles'!$DD$28:$DJ$28,1,AF350))*('Lease Cycles'!$AJ$28*INDEX('Lease Cycles'!$FO$28:$FU$28,1,AF350)+'Lease Cycles'!$BE$28*(1-INDEX('Lease Cycles'!$FO$28:$FU$28,1,AF350)))),0)</f>
        <v>0</v>
      </c>
      <c r="AG360" s="24">
        <f>IF(AG352=1,'Lease Cycles'!$D$28*IF(INDEX('Lease Cycles'!$EF$28:$EL$28,1,AG350)=1,'Lease Cycles'!$AJ$28*INDEX('Lease Cycles'!$FO$28:$FU$28,1,AG350)*INDEX('Lease Cycles'!$EM$28:$ES$28,1,AG350)+'Lease Cycles'!$BE$28*IF(AG351&lt;INDEX('Lease Cycles'!$FA$28:$FG$28,1,AG350),0,1-INDEX('Lease Cycles'!$EM$28:$ES$28,1,AG350)),IF(OR(INDEX('Lease Cycles'!$DY$28:$EE$28,1,AG350)=1,AG351&gt;0),1,1-INDEX('Lease Cycles'!$DD$28:$DJ$28,1,AG350))*('Lease Cycles'!$AJ$28*INDEX('Lease Cycles'!$FO$28:$FU$28,1,AG350)+'Lease Cycles'!$BE$28*(1-INDEX('Lease Cycles'!$FO$28:$FU$28,1,AG350)))),0)</f>
        <v>0</v>
      </c>
      <c r="AH360" s="24">
        <f>IF(AH352=1,'Lease Cycles'!$D$28*IF(INDEX('Lease Cycles'!$EF$28:$EL$28,1,AH350)=1,'Lease Cycles'!$AJ$28*INDEX('Lease Cycles'!$FO$28:$FU$28,1,AH350)*INDEX('Lease Cycles'!$EM$28:$ES$28,1,AH350)+'Lease Cycles'!$BE$28*IF(AH351&lt;INDEX('Lease Cycles'!$FA$28:$FG$28,1,AH350),0,1-INDEX('Lease Cycles'!$EM$28:$ES$28,1,AH350)),IF(OR(INDEX('Lease Cycles'!$DY$28:$EE$28,1,AH350)=1,AH351&gt;0),1,1-INDEX('Lease Cycles'!$DD$28:$DJ$28,1,AH350))*('Lease Cycles'!$AJ$28*INDEX('Lease Cycles'!$FO$28:$FU$28,1,AH350)+'Lease Cycles'!$BE$28*(1-INDEX('Lease Cycles'!$FO$28:$FU$28,1,AH350)))),0)</f>
        <v>0</v>
      </c>
      <c r="AI360" s="24">
        <f>IF(AI352=1,'Lease Cycles'!$D$28*IF(INDEX('Lease Cycles'!$EF$28:$EL$28,1,AI350)=1,'Lease Cycles'!$AJ$28*INDEX('Lease Cycles'!$FO$28:$FU$28,1,AI350)*INDEX('Lease Cycles'!$EM$28:$ES$28,1,AI350)+'Lease Cycles'!$BE$28*IF(AI351&lt;INDEX('Lease Cycles'!$FA$28:$FG$28,1,AI350),0,1-INDEX('Lease Cycles'!$EM$28:$ES$28,1,AI350)),IF(OR(INDEX('Lease Cycles'!$DY$28:$EE$28,1,AI350)=1,AI351&gt;0),1,1-INDEX('Lease Cycles'!$DD$28:$DJ$28,1,AI350))*('Lease Cycles'!$AJ$28*INDEX('Lease Cycles'!$FO$28:$FU$28,1,AI350)+'Lease Cycles'!$BE$28*(1-INDEX('Lease Cycles'!$FO$28:$FU$28,1,AI350)))),0)</f>
        <v>0</v>
      </c>
      <c r="AJ360" s="24">
        <f>IF(AJ352=1,'Lease Cycles'!$D$28*IF(INDEX('Lease Cycles'!$EF$28:$EL$28,1,AJ350)=1,'Lease Cycles'!$AJ$28*INDEX('Lease Cycles'!$FO$28:$FU$28,1,AJ350)*INDEX('Lease Cycles'!$EM$28:$ES$28,1,AJ350)+'Lease Cycles'!$BE$28*IF(AJ351&lt;INDEX('Lease Cycles'!$FA$28:$FG$28,1,AJ350),0,1-INDEX('Lease Cycles'!$EM$28:$ES$28,1,AJ350)),IF(OR(INDEX('Lease Cycles'!$DY$28:$EE$28,1,AJ350)=1,AJ351&gt;0),1,1-INDEX('Lease Cycles'!$DD$28:$DJ$28,1,AJ350))*('Lease Cycles'!$AJ$28*INDEX('Lease Cycles'!$FO$28:$FU$28,1,AJ350)+'Lease Cycles'!$BE$28*(1-INDEX('Lease Cycles'!$FO$28:$FU$28,1,AJ350)))),0)</f>
        <v>0</v>
      </c>
      <c r="AK360" s="24">
        <f>IF(AK352=1,'Lease Cycles'!$D$28*IF(INDEX('Lease Cycles'!$EF$28:$EL$28,1,AK350)=1,'Lease Cycles'!$AJ$28*INDEX('Lease Cycles'!$FO$28:$FU$28,1,AK350)*INDEX('Lease Cycles'!$EM$28:$ES$28,1,AK350)+'Lease Cycles'!$BE$28*IF(AK351&lt;INDEX('Lease Cycles'!$FA$28:$FG$28,1,AK350),0,1-INDEX('Lease Cycles'!$EM$28:$ES$28,1,AK350)),IF(OR(INDEX('Lease Cycles'!$DY$28:$EE$28,1,AK350)=1,AK351&gt;0),1,1-INDEX('Lease Cycles'!$DD$28:$DJ$28,1,AK350))*('Lease Cycles'!$AJ$28*INDEX('Lease Cycles'!$FO$28:$FU$28,1,AK350)+'Lease Cycles'!$BE$28*(1-INDEX('Lease Cycles'!$FO$28:$FU$28,1,AK350)))),0)</f>
        <v>0</v>
      </c>
      <c r="AL360" s="24">
        <f>IF(AL352=1,'Lease Cycles'!$D$28*IF(INDEX('Lease Cycles'!$EF$28:$EL$28,1,AL350)=1,'Lease Cycles'!$AJ$28*INDEX('Lease Cycles'!$FO$28:$FU$28,1,AL350)*INDEX('Lease Cycles'!$EM$28:$ES$28,1,AL350)+'Lease Cycles'!$BE$28*IF(AL351&lt;INDEX('Lease Cycles'!$FA$28:$FG$28,1,AL350),0,1-INDEX('Lease Cycles'!$EM$28:$ES$28,1,AL350)),IF(OR(INDEX('Lease Cycles'!$DY$28:$EE$28,1,AL350)=1,AL351&gt;0),1,1-INDEX('Lease Cycles'!$DD$28:$DJ$28,1,AL350))*('Lease Cycles'!$AJ$28*INDEX('Lease Cycles'!$FO$28:$FU$28,1,AL350)+'Lease Cycles'!$BE$28*(1-INDEX('Lease Cycles'!$FO$28:$FU$28,1,AL350)))),0)</f>
        <v>0</v>
      </c>
      <c r="AM360" s="24">
        <f>IF(AM352=1,'Lease Cycles'!$D$28*IF(INDEX('Lease Cycles'!$EF$28:$EL$28,1,AM350)=1,'Lease Cycles'!$AJ$28*INDEX('Lease Cycles'!$FO$28:$FU$28,1,AM350)*INDEX('Lease Cycles'!$EM$28:$ES$28,1,AM350)+'Lease Cycles'!$BE$28*IF(AM351&lt;INDEX('Lease Cycles'!$FA$28:$FG$28,1,AM350),0,1-INDEX('Lease Cycles'!$EM$28:$ES$28,1,AM350)),IF(OR(INDEX('Lease Cycles'!$DY$28:$EE$28,1,AM350)=1,AM351&gt;0),1,1-INDEX('Lease Cycles'!$DD$28:$DJ$28,1,AM350))*('Lease Cycles'!$AJ$28*INDEX('Lease Cycles'!$FO$28:$FU$28,1,AM350)+'Lease Cycles'!$BE$28*(1-INDEX('Lease Cycles'!$FO$28:$FU$28,1,AM350)))),0)</f>
        <v>0</v>
      </c>
      <c r="AN360" s="24">
        <f>IF(AN352=1,'Lease Cycles'!$D$28*IF(INDEX('Lease Cycles'!$EF$28:$EL$28,1,AN350)=1,'Lease Cycles'!$AJ$28*INDEX('Lease Cycles'!$FO$28:$FU$28,1,AN350)*INDEX('Lease Cycles'!$EM$28:$ES$28,1,AN350)+'Lease Cycles'!$BE$28*IF(AN351&lt;INDEX('Lease Cycles'!$FA$28:$FG$28,1,AN350),0,1-INDEX('Lease Cycles'!$EM$28:$ES$28,1,AN350)),IF(OR(INDEX('Lease Cycles'!$DY$28:$EE$28,1,AN350)=1,AN351&gt;0),1,1-INDEX('Lease Cycles'!$DD$28:$DJ$28,1,AN350))*('Lease Cycles'!$AJ$28*INDEX('Lease Cycles'!$FO$28:$FU$28,1,AN350)+'Lease Cycles'!$BE$28*(1-INDEX('Lease Cycles'!$FO$28:$FU$28,1,AN350)))),0)</f>
        <v>0</v>
      </c>
      <c r="AO360" s="24">
        <f>IF(AO352=1,'Lease Cycles'!$D$28*IF(INDEX('Lease Cycles'!$EF$28:$EL$28,1,AO350)=1,'Lease Cycles'!$AJ$28*INDEX('Lease Cycles'!$FO$28:$FU$28,1,AO350)*INDEX('Lease Cycles'!$EM$28:$ES$28,1,AO350)+'Lease Cycles'!$BE$28*IF(AO351&lt;INDEX('Lease Cycles'!$FA$28:$FG$28,1,AO350),0,1-INDEX('Lease Cycles'!$EM$28:$ES$28,1,AO350)),IF(OR(INDEX('Lease Cycles'!$DY$28:$EE$28,1,AO350)=1,AO351&gt;0),1,1-INDEX('Lease Cycles'!$DD$28:$DJ$28,1,AO350))*('Lease Cycles'!$AJ$28*INDEX('Lease Cycles'!$FO$28:$FU$28,1,AO350)+'Lease Cycles'!$BE$28*(1-INDEX('Lease Cycles'!$FO$28:$FU$28,1,AO350)))),0)</f>
        <v>0</v>
      </c>
      <c r="AP360" s="24">
        <f>IF(AP352=1,'Lease Cycles'!$D$28*IF(INDEX('Lease Cycles'!$EF$28:$EL$28,1,AP350)=1,'Lease Cycles'!$AJ$28*INDEX('Lease Cycles'!$FO$28:$FU$28,1,AP350)*INDEX('Lease Cycles'!$EM$28:$ES$28,1,AP350)+'Lease Cycles'!$BE$28*IF(AP351&lt;INDEX('Lease Cycles'!$FA$28:$FG$28,1,AP350),0,1-INDEX('Lease Cycles'!$EM$28:$ES$28,1,AP350)),IF(OR(INDEX('Lease Cycles'!$DY$28:$EE$28,1,AP350)=1,AP351&gt;0),1,1-INDEX('Lease Cycles'!$DD$28:$DJ$28,1,AP350))*('Lease Cycles'!$AJ$28*INDEX('Lease Cycles'!$FO$28:$FU$28,1,AP350)+'Lease Cycles'!$BE$28*(1-INDEX('Lease Cycles'!$FO$28:$FU$28,1,AP350)))),0)</f>
        <v>0</v>
      </c>
      <c r="AQ360" s="24">
        <f>IF(AQ352=1,'Lease Cycles'!$D$28*IF(INDEX('Lease Cycles'!$EF$28:$EL$28,1,AQ350)=1,'Lease Cycles'!$AJ$28*INDEX('Lease Cycles'!$FO$28:$FU$28,1,AQ350)*INDEX('Lease Cycles'!$EM$28:$ES$28,1,AQ350)+'Lease Cycles'!$BE$28*IF(AQ351&lt;INDEX('Lease Cycles'!$FA$28:$FG$28,1,AQ350),0,1-INDEX('Lease Cycles'!$EM$28:$ES$28,1,AQ350)),IF(OR(INDEX('Lease Cycles'!$DY$28:$EE$28,1,AQ350)=1,AQ351&gt;0),1,1-INDEX('Lease Cycles'!$DD$28:$DJ$28,1,AQ350))*('Lease Cycles'!$AJ$28*INDEX('Lease Cycles'!$FO$28:$FU$28,1,AQ350)+'Lease Cycles'!$BE$28*(1-INDEX('Lease Cycles'!$FO$28:$FU$28,1,AQ350)))),0)</f>
        <v>0</v>
      </c>
      <c r="AR360" s="24">
        <f>IF(AR352=1,'Lease Cycles'!$D$28*IF(INDEX('Lease Cycles'!$EF$28:$EL$28,1,AR350)=1,'Lease Cycles'!$AJ$28*INDEX('Lease Cycles'!$FO$28:$FU$28,1,AR350)*INDEX('Lease Cycles'!$EM$28:$ES$28,1,AR350)+'Lease Cycles'!$BE$28*IF(AR351&lt;INDEX('Lease Cycles'!$FA$28:$FG$28,1,AR350),0,1-INDEX('Lease Cycles'!$EM$28:$ES$28,1,AR350)),IF(OR(INDEX('Lease Cycles'!$DY$28:$EE$28,1,AR350)=1,AR351&gt;0),1,1-INDEX('Lease Cycles'!$DD$28:$DJ$28,1,AR350))*('Lease Cycles'!$AJ$28*INDEX('Lease Cycles'!$FO$28:$FU$28,1,AR350)+'Lease Cycles'!$BE$28*(1-INDEX('Lease Cycles'!$FO$28:$FU$28,1,AR350)))),0)</f>
        <v>0</v>
      </c>
      <c r="AS360" s="24">
        <f>IF(AS352=1,'Lease Cycles'!$D$28*IF(INDEX('Lease Cycles'!$EF$28:$EL$28,1,AS350)=1,'Lease Cycles'!$AJ$28*INDEX('Lease Cycles'!$FO$28:$FU$28,1,AS350)*INDEX('Lease Cycles'!$EM$28:$ES$28,1,AS350)+'Lease Cycles'!$BE$28*IF(AS351&lt;INDEX('Lease Cycles'!$FA$28:$FG$28,1,AS350),0,1-INDEX('Lease Cycles'!$EM$28:$ES$28,1,AS350)),IF(OR(INDEX('Lease Cycles'!$DY$28:$EE$28,1,AS350)=1,AS351&gt;0),1,1-INDEX('Lease Cycles'!$DD$28:$DJ$28,1,AS350))*('Lease Cycles'!$AJ$28*INDEX('Lease Cycles'!$FO$28:$FU$28,1,AS350)+'Lease Cycles'!$BE$28*(1-INDEX('Lease Cycles'!$FO$28:$FU$28,1,AS350)))),0)</f>
        <v>0</v>
      </c>
      <c r="AT360" s="24">
        <f>IF(AT352=1,'Lease Cycles'!$D$28*IF(INDEX('Lease Cycles'!$EF$28:$EL$28,1,AT350)=1,'Lease Cycles'!$AJ$28*INDEX('Lease Cycles'!$FO$28:$FU$28,1,AT350)*INDEX('Lease Cycles'!$EM$28:$ES$28,1,AT350)+'Lease Cycles'!$BE$28*IF(AT351&lt;INDEX('Lease Cycles'!$FA$28:$FG$28,1,AT350),0,1-INDEX('Lease Cycles'!$EM$28:$ES$28,1,AT350)),IF(OR(INDEX('Lease Cycles'!$DY$28:$EE$28,1,AT350)=1,AT351&gt;0),1,1-INDEX('Lease Cycles'!$DD$28:$DJ$28,1,AT350))*('Lease Cycles'!$AJ$28*INDEX('Lease Cycles'!$FO$28:$FU$28,1,AT350)+'Lease Cycles'!$BE$28*(1-INDEX('Lease Cycles'!$FO$28:$FU$28,1,AT350)))),0)</f>
        <v>0</v>
      </c>
      <c r="AU360" s="24">
        <f>IF(AU352=1,'Lease Cycles'!$D$28*IF(INDEX('Lease Cycles'!$EF$28:$EL$28,1,AU350)=1,'Lease Cycles'!$AJ$28*INDEX('Lease Cycles'!$FO$28:$FU$28,1,AU350)*INDEX('Lease Cycles'!$EM$28:$ES$28,1,AU350)+'Lease Cycles'!$BE$28*IF(AU351&lt;INDEX('Lease Cycles'!$FA$28:$FG$28,1,AU350),0,1-INDEX('Lease Cycles'!$EM$28:$ES$28,1,AU350)),IF(OR(INDEX('Lease Cycles'!$DY$28:$EE$28,1,AU350)=1,AU351&gt;0),1,1-INDEX('Lease Cycles'!$DD$28:$DJ$28,1,AU350))*('Lease Cycles'!$AJ$28*INDEX('Lease Cycles'!$FO$28:$FU$28,1,AU350)+'Lease Cycles'!$BE$28*(1-INDEX('Lease Cycles'!$FO$28:$FU$28,1,AU350)))),0)</f>
        <v>0</v>
      </c>
      <c r="AV360" s="24">
        <f>IF(AV352=1,'Lease Cycles'!$D$28*IF(INDEX('Lease Cycles'!$EF$28:$EL$28,1,AV350)=1,'Lease Cycles'!$AJ$28*INDEX('Lease Cycles'!$FO$28:$FU$28,1,AV350)*INDEX('Lease Cycles'!$EM$28:$ES$28,1,AV350)+'Lease Cycles'!$BE$28*IF(AV351&lt;INDEX('Lease Cycles'!$FA$28:$FG$28,1,AV350),0,1-INDEX('Lease Cycles'!$EM$28:$ES$28,1,AV350)),IF(OR(INDEX('Lease Cycles'!$DY$28:$EE$28,1,AV350)=1,AV351&gt;0),1,1-INDEX('Lease Cycles'!$DD$28:$DJ$28,1,AV350))*('Lease Cycles'!$AJ$28*INDEX('Lease Cycles'!$FO$28:$FU$28,1,AV350)+'Lease Cycles'!$BE$28*(1-INDEX('Lease Cycles'!$FO$28:$FU$28,1,AV350)))),0)</f>
        <v>0</v>
      </c>
      <c r="AW360" s="24">
        <f>IF(AW352=1,'Lease Cycles'!$D$28*IF(INDEX('Lease Cycles'!$EF$28:$EL$28,1,AW350)=1,'Lease Cycles'!$AJ$28*INDEX('Lease Cycles'!$FO$28:$FU$28,1,AW350)*INDEX('Lease Cycles'!$EM$28:$ES$28,1,AW350)+'Lease Cycles'!$BE$28*IF(AW351&lt;INDEX('Lease Cycles'!$FA$28:$FG$28,1,AW350),0,1-INDEX('Lease Cycles'!$EM$28:$ES$28,1,AW350)),IF(OR(INDEX('Lease Cycles'!$DY$28:$EE$28,1,AW350)=1,AW351&gt;0),1,1-INDEX('Lease Cycles'!$DD$28:$DJ$28,1,AW350))*('Lease Cycles'!$AJ$28*INDEX('Lease Cycles'!$FO$28:$FU$28,1,AW350)+'Lease Cycles'!$BE$28*(1-INDEX('Lease Cycles'!$FO$28:$FU$28,1,AW350)))),0)</f>
        <v>0</v>
      </c>
      <c r="AX360" s="24">
        <f>IF(AX352=1,'Lease Cycles'!$D$28*IF(INDEX('Lease Cycles'!$EF$28:$EL$28,1,AX350)=1,'Lease Cycles'!$AJ$28*INDEX('Lease Cycles'!$FO$28:$FU$28,1,AX350)*INDEX('Lease Cycles'!$EM$28:$ES$28,1,AX350)+'Lease Cycles'!$BE$28*IF(AX351&lt;INDEX('Lease Cycles'!$FA$28:$FG$28,1,AX350),0,1-INDEX('Lease Cycles'!$EM$28:$ES$28,1,AX350)),IF(OR(INDEX('Lease Cycles'!$DY$28:$EE$28,1,AX350)=1,AX351&gt;0),1,1-INDEX('Lease Cycles'!$DD$28:$DJ$28,1,AX350))*('Lease Cycles'!$AJ$28*INDEX('Lease Cycles'!$FO$28:$FU$28,1,AX350)+'Lease Cycles'!$BE$28*(1-INDEX('Lease Cycles'!$FO$28:$FU$28,1,AX350)))),0)</f>
        <v>0</v>
      </c>
      <c r="AY360" s="24">
        <f>IF(AY352=1,'Lease Cycles'!$D$28*IF(INDEX('Lease Cycles'!$EF$28:$EL$28,1,AY350)=1,'Lease Cycles'!$AJ$28*INDEX('Lease Cycles'!$FO$28:$FU$28,1,AY350)*INDEX('Lease Cycles'!$EM$28:$ES$28,1,AY350)+'Lease Cycles'!$BE$28*IF(AY351&lt;INDEX('Lease Cycles'!$FA$28:$FG$28,1,AY350),0,1-INDEX('Lease Cycles'!$EM$28:$ES$28,1,AY350)),IF(OR(INDEX('Lease Cycles'!$DY$28:$EE$28,1,AY350)=1,AY351&gt;0),1,1-INDEX('Lease Cycles'!$DD$28:$DJ$28,1,AY350))*('Lease Cycles'!$AJ$28*INDEX('Lease Cycles'!$FO$28:$FU$28,1,AY350)+'Lease Cycles'!$BE$28*(1-INDEX('Lease Cycles'!$FO$28:$FU$28,1,AY350)))),0)</f>
        <v>0</v>
      </c>
      <c r="AZ360" s="24">
        <f>IF(AZ352=1,'Lease Cycles'!$D$28*IF(INDEX('Lease Cycles'!$EF$28:$EL$28,1,AZ350)=1,'Lease Cycles'!$AJ$28*INDEX('Lease Cycles'!$FO$28:$FU$28,1,AZ350)*INDEX('Lease Cycles'!$EM$28:$ES$28,1,AZ350)+'Lease Cycles'!$BE$28*IF(AZ351&lt;INDEX('Lease Cycles'!$FA$28:$FG$28,1,AZ350),0,1-INDEX('Lease Cycles'!$EM$28:$ES$28,1,AZ350)),IF(OR(INDEX('Lease Cycles'!$DY$28:$EE$28,1,AZ350)=1,AZ351&gt;0),1,1-INDEX('Lease Cycles'!$DD$28:$DJ$28,1,AZ350))*('Lease Cycles'!$AJ$28*INDEX('Lease Cycles'!$FO$28:$FU$28,1,AZ350)+'Lease Cycles'!$BE$28*(1-INDEX('Lease Cycles'!$FO$28:$FU$28,1,AZ350)))),0)</f>
        <v>0</v>
      </c>
      <c r="BA360" s="24">
        <f>IF(BA352=1,'Lease Cycles'!$D$28*IF(INDEX('Lease Cycles'!$EF$28:$EL$28,1,BA350)=1,'Lease Cycles'!$AJ$28*INDEX('Lease Cycles'!$FO$28:$FU$28,1,BA350)*INDEX('Lease Cycles'!$EM$28:$ES$28,1,BA350)+'Lease Cycles'!$BE$28*IF(BA351&lt;INDEX('Lease Cycles'!$FA$28:$FG$28,1,BA350),0,1-INDEX('Lease Cycles'!$EM$28:$ES$28,1,BA350)),IF(OR(INDEX('Lease Cycles'!$DY$28:$EE$28,1,BA350)=1,BA351&gt;0),1,1-INDEX('Lease Cycles'!$DD$28:$DJ$28,1,BA350))*('Lease Cycles'!$AJ$28*INDEX('Lease Cycles'!$FO$28:$FU$28,1,BA350)+'Lease Cycles'!$BE$28*(1-INDEX('Lease Cycles'!$FO$28:$FU$28,1,BA350)))),0)</f>
        <v>0</v>
      </c>
      <c r="BB360" s="24">
        <f>IF(BB352=1,'Lease Cycles'!$D$28*IF(INDEX('Lease Cycles'!$EF$28:$EL$28,1,BB350)=1,'Lease Cycles'!$AJ$28*INDEX('Lease Cycles'!$FO$28:$FU$28,1,BB350)*INDEX('Lease Cycles'!$EM$28:$ES$28,1,BB350)+'Lease Cycles'!$BE$28*IF(BB351&lt;INDEX('Lease Cycles'!$FA$28:$FG$28,1,BB350),0,1-INDEX('Lease Cycles'!$EM$28:$ES$28,1,BB350)),IF(OR(INDEX('Lease Cycles'!$DY$28:$EE$28,1,BB350)=1,BB351&gt;0),1,1-INDEX('Lease Cycles'!$DD$28:$DJ$28,1,BB350))*('Lease Cycles'!$AJ$28*INDEX('Lease Cycles'!$FO$28:$FU$28,1,BB350)+'Lease Cycles'!$BE$28*(1-INDEX('Lease Cycles'!$FO$28:$FU$28,1,BB350)))),0)</f>
        <v>0</v>
      </c>
      <c r="BC360" s="24">
        <f>IF(BC352=1,'Lease Cycles'!$D$28*IF(INDEX('Lease Cycles'!$EF$28:$EL$28,1,BC350)=1,'Lease Cycles'!$AJ$28*INDEX('Lease Cycles'!$FO$28:$FU$28,1,BC350)*INDEX('Lease Cycles'!$EM$28:$ES$28,1,BC350)+'Lease Cycles'!$BE$28*IF(BC351&lt;INDEX('Lease Cycles'!$FA$28:$FG$28,1,BC350),0,1-INDEX('Lease Cycles'!$EM$28:$ES$28,1,BC350)),IF(OR(INDEX('Lease Cycles'!$DY$28:$EE$28,1,BC350)=1,BC351&gt;0),1,1-INDEX('Lease Cycles'!$DD$28:$DJ$28,1,BC350))*('Lease Cycles'!$AJ$28*INDEX('Lease Cycles'!$FO$28:$FU$28,1,BC350)+'Lease Cycles'!$BE$28*(1-INDEX('Lease Cycles'!$FO$28:$FU$28,1,BC350)))),0)</f>
        <v>0</v>
      </c>
      <c r="BD360" s="24">
        <f>IF(BD352=1,'Lease Cycles'!$D$28*IF(INDEX('Lease Cycles'!$EF$28:$EL$28,1,BD350)=1,'Lease Cycles'!$AJ$28*INDEX('Lease Cycles'!$FO$28:$FU$28,1,BD350)*INDEX('Lease Cycles'!$EM$28:$ES$28,1,BD350)+'Lease Cycles'!$BE$28*IF(BD351&lt;INDEX('Lease Cycles'!$FA$28:$FG$28,1,BD350),0,1-INDEX('Lease Cycles'!$EM$28:$ES$28,1,BD350)),IF(OR(INDEX('Lease Cycles'!$DY$28:$EE$28,1,BD350)=1,BD351&gt;0),1,1-INDEX('Lease Cycles'!$DD$28:$DJ$28,1,BD350))*('Lease Cycles'!$AJ$28*INDEX('Lease Cycles'!$FO$28:$FU$28,1,BD350)+'Lease Cycles'!$BE$28*(1-INDEX('Lease Cycles'!$FO$28:$FU$28,1,BD350)))),0)</f>
        <v>0</v>
      </c>
      <c r="BE360" s="24">
        <f>IF(BE352=1,'Lease Cycles'!$D$28*IF(INDEX('Lease Cycles'!$EF$28:$EL$28,1,BE350)=1,'Lease Cycles'!$AJ$28*INDEX('Lease Cycles'!$FO$28:$FU$28,1,BE350)*INDEX('Lease Cycles'!$EM$28:$ES$28,1,BE350)+'Lease Cycles'!$BE$28*IF(BE351&lt;INDEX('Lease Cycles'!$FA$28:$FG$28,1,BE350),0,1-INDEX('Lease Cycles'!$EM$28:$ES$28,1,BE350)),IF(OR(INDEX('Lease Cycles'!$DY$28:$EE$28,1,BE350)=1,BE351&gt;0),1,1-INDEX('Lease Cycles'!$DD$28:$DJ$28,1,BE350))*('Lease Cycles'!$AJ$28*INDEX('Lease Cycles'!$FO$28:$FU$28,1,BE350)+'Lease Cycles'!$BE$28*(1-INDEX('Lease Cycles'!$FO$28:$FU$28,1,BE350)))),0)</f>
        <v>0</v>
      </c>
      <c r="BF360" s="24">
        <f>IF(BF352=1,'Lease Cycles'!$D$28*IF(INDEX('Lease Cycles'!$EF$28:$EL$28,1,BF350)=1,'Lease Cycles'!$AJ$28*INDEX('Lease Cycles'!$FO$28:$FU$28,1,BF350)*INDEX('Lease Cycles'!$EM$28:$ES$28,1,BF350)+'Lease Cycles'!$BE$28*IF(BF351&lt;INDEX('Lease Cycles'!$FA$28:$FG$28,1,BF350),0,1-INDEX('Lease Cycles'!$EM$28:$ES$28,1,BF350)),IF(OR(INDEX('Lease Cycles'!$DY$28:$EE$28,1,BF350)=1,BF351&gt;0),1,1-INDEX('Lease Cycles'!$DD$28:$DJ$28,1,BF350))*('Lease Cycles'!$AJ$28*INDEX('Lease Cycles'!$FO$28:$FU$28,1,BF350)+'Lease Cycles'!$BE$28*(1-INDEX('Lease Cycles'!$FO$28:$FU$28,1,BF350)))),0)</f>
        <v>0</v>
      </c>
      <c r="BG360" s="24">
        <f>IF(BG352=1,'Lease Cycles'!$D$28*IF(INDEX('Lease Cycles'!$EF$28:$EL$28,1,BG350)=1,'Lease Cycles'!$AJ$28*INDEX('Lease Cycles'!$FO$28:$FU$28,1,BG350)*INDEX('Lease Cycles'!$EM$28:$ES$28,1,BG350)+'Lease Cycles'!$BE$28*IF(BG351&lt;INDEX('Lease Cycles'!$FA$28:$FG$28,1,BG350),0,1-INDEX('Lease Cycles'!$EM$28:$ES$28,1,BG350)),IF(OR(INDEX('Lease Cycles'!$DY$28:$EE$28,1,BG350)=1,BG351&gt;0),1,1-INDEX('Lease Cycles'!$DD$28:$DJ$28,1,BG350))*('Lease Cycles'!$AJ$28*INDEX('Lease Cycles'!$FO$28:$FU$28,1,BG350)+'Lease Cycles'!$BE$28*(1-INDEX('Lease Cycles'!$FO$28:$FU$28,1,BG350)))),0)</f>
        <v>0</v>
      </c>
      <c r="BH360" s="24">
        <f>IF(BH352=1,'Lease Cycles'!$D$28*IF(INDEX('Lease Cycles'!$EF$28:$EL$28,1,BH350)=1,'Lease Cycles'!$AJ$28*INDEX('Lease Cycles'!$FO$28:$FU$28,1,BH350)*INDEX('Lease Cycles'!$EM$28:$ES$28,1,BH350)+'Lease Cycles'!$BE$28*IF(BH351&lt;INDEX('Lease Cycles'!$FA$28:$FG$28,1,BH350),0,1-INDEX('Lease Cycles'!$EM$28:$ES$28,1,BH350)),IF(OR(INDEX('Lease Cycles'!$DY$28:$EE$28,1,BH350)=1,BH351&gt;0),1,1-INDEX('Lease Cycles'!$DD$28:$DJ$28,1,BH350))*('Lease Cycles'!$AJ$28*INDEX('Lease Cycles'!$FO$28:$FU$28,1,BH350)+'Lease Cycles'!$BE$28*(1-INDEX('Lease Cycles'!$FO$28:$FU$28,1,BH350)))),0)</f>
        <v>0</v>
      </c>
      <c r="BI360" s="24">
        <f>IF(BI352=1,'Lease Cycles'!$D$28*IF(INDEX('Lease Cycles'!$EF$28:$EL$28,1,BI350)=1,'Lease Cycles'!$AJ$28*INDEX('Lease Cycles'!$FO$28:$FU$28,1,BI350)*INDEX('Lease Cycles'!$EM$28:$ES$28,1,BI350)+'Lease Cycles'!$BE$28*IF(BI351&lt;INDEX('Lease Cycles'!$FA$28:$FG$28,1,BI350),0,1-INDEX('Lease Cycles'!$EM$28:$ES$28,1,BI350)),IF(OR(INDEX('Lease Cycles'!$DY$28:$EE$28,1,BI350)=1,BI351&gt;0),1,1-INDEX('Lease Cycles'!$DD$28:$DJ$28,1,BI350))*('Lease Cycles'!$AJ$28*INDEX('Lease Cycles'!$FO$28:$FU$28,1,BI350)+'Lease Cycles'!$BE$28*(1-INDEX('Lease Cycles'!$FO$28:$FU$28,1,BI350)))),0)</f>
        <v>0</v>
      </c>
      <c r="BJ360" s="24">
        <f>IF(BJ352=1,'Lease Cycles'!$D$28*IF(INDEX('Lease Cycles'!$EF$28:$EL$28,1,BJ350)=1,'Lease Cycles'!$AJ$28*INDEX('Lease Cycles'!$FO$28:$FU$28,1,BJ350)*INDEX('Lease Cycles'!$EM$28:$ES$28,1,BJ350)+'Lease Cycles'!$BE$28*IF(BJ351&lt;INDEX('Lease Cycles'!$FA$28:$FG$28,1,BJ350),0,1-INDEX('Lease Cycles'!$EM$28:$ES$28,1,BJ350)),IF(OR(INDEX('Lease Cycles'!$DY$28:$EE$28,1,BJ350)=1,BJ351&gt;0),1,1-INDEX('Lease Cycles'!$DD$28:$DJ$28,1,BJ350))*('Lease Cycles'!$AJ$28*INDEX('Lease Cycles'!$FO$28:$FU$28,1,BJ350)+'Lease Cycles'!$BE$28*(1-INDEX('Lease Cycles'!$FO$28:$FU$28,1,BJ350)))),0)</f>
        <v>0</v>
      </c>
      <c r="BK360" s="24">
        <f>IF(BK352=1,'Lease Cycles'!$D$28*IF(INDEX('Lease Cycles'!$EF$28:$EL$28,1,BK350)=1,'Lease Cycles'!$AJ$28*INDEX('Lease Cycles'!$FO$28:$FU$28,1,BK350)*INDEX('Lease Cycles'!$EM$28:$ES$28,1,BK350)+'Lease Cycles'!$BE$28*IF(BK351&lt;INDEX('Lease Cycles'!$FA$28:$FG$28,1,BK350),0,1-INDEX('Lease Cycles'!$EM$28:$ES$28,1,BK350)),IF(OR(INDEX('Lease Cycles'!$DY$28:$EE$28,1,BK350)=1,BK351&gt;0),1,1-INDEX('Lease Cycles'!$DD$28:$DJ$28,1,BK350))*('Lease Cycles'!$AJ$28*INDEX('Lease Cycles'!$FO$28:$FU$28,1,BK350)+'Lease Cycles'!$BE$28*(1-INDEX('Lease Cycles'!$FO$28:$FU$28,1,BK350)))),0)</f>
        <v>0</v>
      </c>
      <c r="BL360" s="24">
        <f>IF(BL352=1,'Lease Cycles'!$D$28*IF(INDEX('Lease Cycles'!$EF$28:$EL$28,1,BL350)=1,'Lease Cycles'!$AJ$28*INDEX('Lease Cycles'!$FO$28:$FU$28,1,BL350)*INDEX('Lease Cycles'!$EM$28:$ES$28,1,BL350)+'Lease Cycles'!$BE$28*IF(BL351&lt;INDEX('Lease Cycles'!$FA$28:$FG$28,1,BL350),0,1-INDEX('Lease Cycles'!$EM$28:$ES$28,1,BL350)),IF(OR(INDEX('Lease Cycles'!$DY$28:$EE$28,1,BL350)=1,BL351&gt;0),1,1-INDEX('Lease Cycles'!$DD$28:$DJ$28,1,BL350))*('Lease Cycles'!$AJ$28*INDEX('Lease Cycles'!$FO$28:$FU$28,1,BL350)+'Lease Cycles'!$BE$28*(1-INDEX('Lease Cycles'!$FO$28:$FU$28,1,BL350)))),0)</f>
        <v>0</v>
      </c>
      <c r="BM360" s="24">
        <f>IF(BM352=1,'Lease Cycles'!$D$28*IF(INDEX('Lease Cycles'!$EF$28:$EL$28,1,BM350)=1,'Lease Cycles'!$AJ$28*INDEX('Lease Cycles'!$FO$28:$FU$28,1,BM350)*INDEX('Lease Cycles'!$EM$28:$ES$28,1,BM350)+'Lease Cycles'!$BE$28*IF(BM351&lt;INDEX('Lease Cycles'!$FA$28:$FG$28,1,BM350),0,1-INDEX('Lease Cycles'!$EM$28:$ES$28,1,BM350)),IF(OR(INDEX('Lease Cycles'!$DY$28:$EE$28,1,BM350)=1,BM351&gt;0),1,1-INDEX('Lease Cycles'!$DD$28:$DJ$28,1,BM350))*('Lease Cycles'!$AJ$28*INDEX('Lease Cycles'!$FO$28:$FU$28,1,BM350)+'Lease Cycles'!$BE$28*(1-INDEX('Lease Cycles'!$FO$28:$FU$28,1,BM350)))),0)</f>
        <v>0</v>
      </c>
      <c r="BN360" s="24">
        <f>IF(BN352=1,'Lease Cycles'!$D$28*IF(INDEX('Lease Cycles'!$EF$28:$EL$28,1,BN350)=1,'Lease Cycles'!$AJ$28*INDEX('Lease Cycles'!$FO$28:$FU$28,1,BN350)*INDEX('Lease Cycles'!$EM$28:$ES$28,1,BN350)+'Lease Cycles'!$BE$28*IF(BN351&lt;INDEX('Lease Cycles'!$FA$28:$FG$28,1,BN350),0,1-INDEX('Lease Cycles'!$EM$28:$ES$28,1,BN350)),IF(OR(INDEX('Lease Cycles'!$DY$28:$EE$28,1,BN350)=1,BN351&gt;0),1,1-INDEX('Lease Cycles'!$DD$28:$DJ$28,1,BN350))*('Lease Cycles'!$AJ$28*INDEX('Lease Cycles'!$FO$28:$FU$28,1,BN350)+'Lease Cycles'!$BE$28*(1-INDEX('Lease Cycles'!$FO$28:$FU$28,1,BN350)))),0)</f>
        <v>0</v>
      </c>
      <c r="BO360" s="24">
        <f>IF(BO352=1,'Lease Cycles'!$D$28*IF(INDEX('Lease Cycles'!$EF$28:$EL$28,1,BO350)=1,'Lease Cycles'!$AJ$28*INDEX('Lease Cycles'!$FO$28:$FU$28,1,BO350)*INDEX('Lease Cycles'!$EM$28:$ES$28,1,BO350)+'Lease Cycles'!$BE$28*IF(BO351&lt;INDEX('Lease Cycles'!$FA$28:$FG$28,1,BO350),0,1-INDEX('Lease Cycles'!$EM$28:$ES$28,1,BO350)),IF(OR(INDEX('Lease Cycles'!$DY$28:$EE$28,1,BO350)=1,BO351&gt;0),1,1-INDEX('Lease Cycles'!$DD$28:$DJ$28,1,BO350))*('Lease Cycles'!$AJ$28*INDEX('Lease Cycles'!$FO$28:$FU$28,1,BO350)+'Lease Cycles'!$BE$28*(1-INDEX('Lease Cycles'!$FO$28:$FU$28,1,BO350)))),0)</f>
        <v>0</v>
      </c>
      <c r="BP360" s="24">
        <f>IF(BP352=1,'Lease Cycles'!$D$28*IF(INDEX('Lease Cycles'!$EF$28:$EL$28,1,BP350)=1,'Lease Cycles'!$AJ$28*INDEX('Lease Cycles'!$FO$28:$FU$28,1,BP350)*INDEX('Lease Cycles'!$EM$28:$ES$28,1,BP350)+'Lease Cycles'!$BE$28*IF(BP351&lt;INDEX('Lease Cycles'!$FA$28:$FG$28,1,BP350),0,1-INDEX('Lease Cycles'!$EM$28:$ES$28,1,BP350)),IF(OR(INDEX('Lease Cycles'!$DY$28:$EE$28,1,BP350)=1,BP351&gt;0),1,1-INDEX('Lease Cycles'!$DD$28:$DJ$28,1,BP350))*('Lease Cycles'!$AJ$28*INDEX('Lease Cycles'!$FO$28:$FU$28,1,BP350)+'Lease Cycles'!$BE$28*(1-INDEX('Lease Cycles'!$FO$28:$FU$28,1,BP350)))),0)</f>
        <v>0</v>
      </c>
      <c r="BQ360" s="24">
        <f>IF(BQ352=1,'Lease Cycles'!$D$28*IF(INDEX('Lease Cycles'!$EF$28:$EL$28,1,BQ350)=1,'Lease Cycles'!$AJ$28*INDEX('Lease Cycles'!$FO$28:$FU$28,1,BQ350)*INDEX('Lease Cycles'!$EM$28:$ES$28,1,BQ350)+'Lease Cycles'!$BE$28*IF(BQ351&lt;INDEX('Lease Cycles'!$FA$28:$FG$28,1,BQ350),0,1-INDEX('Lease Cycles'!$EM$28:$ES$28,1,BQ350)),IF(OR(INDEX('Lease Cycles'!$DY$28:$EE$28,1,BQ350)=1,BQ351&gt;0),1,1-INDEX('Lease Cycles'!$DD$28:$DJ$28,1,BQ350))*('Lease Cycles'!$AJ$28*INDEX('Lease Cycles'!$FO$28:$FU$28,1,BQ350)+'Lease Cycles'!$BE$28*(1-INDEX('Lease Cycles'!$FO$28:$FU$28,1,BQ350)))),0)</f>
        <v>0</v>
      </c>
      <c r="BR360" s="24">
        <f>IF(BR352=1,'Lease Cycles'!$D$28*IF(INDEX('Lease Cycles'!$EF$28:$EL$28,1,BR350)=1,'Lease Cycles'!$AJ$28*INDEX('Lease Cycles'!$FO$28:$FU$28,1,BR350)*INDEX('Lease Cycles'!$EM$28:$ES$28,1,BR350)+'Lease Cycles'!$BE$28*IF(BR351&lt;INDEX('Lease Cycles'!$FA$28:$FG$28,1,BR350),0,1-INDEX('Lease Cycles'!$EM$28:$ES$28,1,BR350)),IF(OR(INDEX('Lease Cycles'!$DY$28:$EE$28,1,BR350)=1,BR351&gt;0),1,1-INDEX('Lease Cycles'!$DD$28:$DJ$28,1,BR350))*('Lease Cycles'!$AJ$28*INDEX('Lease Cycles'!$FO$28:$FU$28,1,BR350)+'Lease Cycles'!$BE$28*(1-INDEX('Lease Cycles'!$FO$28:$FU$28,1,BR350)))),0)</f>
        <v>0</v>
      </c>
      <c r="BS360" s="24">
        <f>IF(BS352=1,'Lease Cycles'!$D$28*IF(INDEX('Lease Cycles'!$EF$28:$EL$28,1,BS350)=1,'Lease Cycles'!$AJ$28*INDEX('Lease Cycles'!$FO$28:$FU$28,1,BS350)*INDEX('Lease Cycles'!$EM$28:$ES$28,1,BS350)+'Lease Cycles'!$BE$28*IF(BS351&lt;INDEX('Lease Cycles'!$FA$28:$FG$28,1,BS350),0,1-INDEX('Lease Cycles'!$EM$28:$ES$28,1,BS350)),IF(OR(INDEX('Lease Cycles'!$DY$28:$EE$28,1,BS350)=1,BS351&gt;0),1,1-INDEX('Lease Cycles'!$DD$28:$DJ$28,1,BS350))*('Lease Cycles'!$AJ$28*INDEX('Lease Cycles'!$FO$28:$FU$28,1,BS350)+'Lease Cycles'!$BE$28*(1-INDEX('Lease Cycles'!$FO$28:$FU$28,1,BS350)))),0)</f>
        <v>0</v>
      </c>
      <c r="BT360" s="24">
        <f>IF(BT352=1,'Lease Cycles'!$D$28*IF(INDEX('Lease Cycles'!$EF$28:$EL$28,1,BT350)=1,'Lease Cycles'!$AJ$28*INDEX('Lease Cycles'!$FO$28:$FU$28,1,BT350)*INDEX('Lease Cycles'!$EM$28:$ES$28,1,BT350)+'Lease Cycles'!$BE$28*IF(BT351&lt;INDEX('Lease Cycles'!$FA$28:$FG$28,1,BT350),0,1-INDEX('Lease Cycles'!$EM$28:$ES$28,1,BT350)),IF(OR(INDEX('Lease Cycles'!$DY$28:$EE$28,1,BT350)=1,BT351&gt;0),1,1-INDEX('Lease Cycles'!$DD$28:$DJ$28,1,BT350))*('Lease Cycles'!$AJ$28*INDEX('Lease Cycles'!$FO$28:$FU$28,1,BT350)+'Lease Cycles'!$BE$28*(1-INDEX('Lease Cycles'!$FO$28:$FU$28,1,BT350)))),0)</f>
        <v>0</v>
      </c>
      <c r="BU360" s="24">
        <f>IF(BU352=1,'Lease Cycles'!$D$28*IF(INDEX('Lease Cycles'!$EF$28:$EL$28,1,BU350)=1,'Lease Cycles'!$AJ$28*INDEX('Lease Cycles'!$FO$28:$FU$28,1,BU350)*INDEX('Lease Cycles'!$EM$28:$ES$28,1,BU350)+'Lease Cycles'!$BE$28*IF(BU351&lt;INDEX('Lease Cycles'!$FA$28:$FG$28,1,BU350),0,1-INDEX('Lease Cycles'!$EM$28:$ES$28,1,BU350)),IF(OR(INDEX('Lease Cycles'!$DY$28:$EE$28,1,BU350)=1,BU351&gt;0),1,1-INDEX('Lease Cycles'!$DD$28:$DJ$28,1,BU350))*('Lease Cycles'!$AJ$28*INDEX('Lease Cycles'!$FO$28:$FU$28,1,BU350)+'Lease Cycles'!$BE$28*(1-INDEX('Lease Cycles'!$FO$28:$FU$28,1,BU350)))),0)</f>
        <v>0</v>
      </c>
      <c r="BV360" s="24">
        <f>IF(BV352=1,'Lease Cycles'!$D$28*IF(INDEX('Lease Cycles'!$EF$28:$EL$28,1,BV350)=1,'Lease Cycles'!$AJ$28*INDEX('Lease Cycles'!$FO$28:$FU$28,1,BV350)*INDEX('Lease Cycles'!$EM$28:$ES$28,1,BV350)+'Lease Cycles'!$BE$28*IF(BV351&lt;INDEX('Lease Cycles'!$FA$28:$FG$28,1,BV350),0,1-INDEX('Lease Cycles'!$EM$28:$ES$28,1,BV350)),IF(OR(INDEX('Lease Cycles'!$DY$28:$EE$28,1,BV350)=1,BV351&gt;0),1,1-INDEX('Lease Cycles'!$DD$28:$DJ$28,1,BV350))*('Lease Cycles'!$AJ$28*INDEX('Lease Cycles'!$FO$28:$FU$28,1,BV350)+'Lease Cycles'!$BE$28*(1-INDEX('Lease Cycles'!$FO$28:$FU$28,1,BV350)))),0)</f>
        <v>0</v>
      </c>
      <c r="BW360" s="24">
        <f>IF(BW352=1,'Lease Cycles'!$D$28*IF(INDEX('Lease Cycles'!$EF$28:$EL$28,1,BW350)=1,'Lease Cycles'!$AJ$28*INDEX('Lease Cycles'!$FO$28:$FU$28,1,BW350)*INDEX('Lease Cycles'!$EM$28:$ES$28,1,BW350)+'Lease Cycles'!$BE$28*IF(BW351&lt;INDEX('Lease Cycles'!$FA$28:$FG$28,1,BW350),0,1-INDEX('Lease Cycles'!$EM$28:$ES$28,1,BW350)),IF(OR(INDEX('Lease Cycles'!$DY$28:$EE$28,1,BW350)=1,BW351&gt;0),1,1-INDEX('Lease Cycles'!$DD$28:$DJ$28,1,BW350))*('Lease Cycles'!$AJ$28*INDEX('Lease Cycles'!$FO$28:$FU$28,1,BW350)+'Lease Cycles'!$BE$28*(1-INDEX('Lease Cycles'!$FO$28:$FU$28,1,BW350)))),0)</f>
        <v>0</v>
      </c>
      <c r="BX360" s="24">
        <f>IF(BX352=1,'Lease Cycles'!$D$28*IF(INDEX('Lease Cycles'!$EF$28:$EL$28,1,BX350)=1,'Lease Cycles'!$AJ$28*INDEX('Lease Cycles'!$FO$28:$FU$28,1,BX350)*INDEX('Lease Cycles'!$EM$28:$ES$28,1,BX350)+'Lease Cycles'!$BE$28*IF(BX351&lt;INDEX('Lease Cycles'!$FA$28:$FG$28,1,BX350),0,1-INDEX('Lease Cycles'!$EM$28:$ES$28,1,BX350)),IF(OR(INDEX('Lease Cycles'!$DY$28:$EE$28,1,BX350)=1,BX351&gt;0),1,1-INDEX('Lease Cycles'!$DD$28:$DJ$28,1,BX350))*('Lease Cycles'!$AJ$28*INDEX('Lease Cycles'!$FO$28:$FU$28,1,BX350)+'Lease Cycles'!$BE$28*(1-INDEX('Lease Cycles'!$FO$28:$FU$28,1,BX350)))),0)</f>
        <v>0</v>
      </c>
      <c r="BY360" s="24">
        <f>IF(BY352=1,'Lease Cycles'!$D$28*IF(INDEX('Lease Cycles'!$EF$28:$EL$28,1,BY350)=1,'Lease Cycles'!$AJ$28*INDEX('Lease Cycles'!$FO$28:$FU$28,1,BY350)*INDEX('Lease Cycles'!$EM$28:$ES$28,1,BY350)+'Lease Cycles'!$BE$28*IF(BY351&lt;INDEX('Lease Cycles'!$FA$28:$FG$28,1,BY350),0,1-INDEX('Lease Cycles'!$EM$28:$ES$28,1,BY350)),IF(OR(INDEX('Lease Cycles'!$DY$28:$EE$28,1,BY350)=1,BY351&gt;0),1,1-INDEX('Lease Cycles'!$DD$28:$DJ$28,1,BY350))*('Lease Cycles'!$AJ$28*INDEX('Lease Cycles'!$FO$28:$FU$28,1,BY350)+'Lease Cycles'!$BE$28*(1-INDEX('Lease Cycles'!$FO$28:$FU$28,1,BY350)))),0)</f>
        <v>0</v>
      </c>
      <c r="BZ360" s="24">
        <f>IF(BZ352=1,'Lease Cycles'!$D$28*IF(INDEX('Lease Cycles'!$EF$28:$EL$28,1,BZ350)=1,'Lease Cycles'!$AJ$28*INDEX('Lease Cycles'!$FO$28:$FU$28,1,BZ350)*INDEX('Lease Cycles'!$EM$28:$ES$28,1,BZ350)+'Lease Cycles'!$BE$28*IF(BZ351&lt;INDEX('Lease Cycles'!$FA$28:$FG$28,1,BZ350),0,1-INDEX('Lease Cycles'!$EM$28:$ES$28,1,BZ350)),IF(OR(INDEX('Lease Cycles'!$DY$28:$EE$28,1,BZ350)=1,BZ351&gt;0),1,1-INDEX('Lease Cycles'!$DD$28:$DJ$28,1,BZ350))*('Lease Cycles'!$AJ$28*INDEX('Lease Cycles'!$FO$28:$FU$28,1,BZ350)+'Lease Cycles'!$BE$28*(1-INDEX('Lease Cycles'!$FO$28:$FU$28,1,BZ350)))),0)</f>
        <v>0</v>
      </c>
      <c r="CA360" s="24">
        <f>IF(CA352=1,'Lease Cycles'!$D$28*IF(INDEX('Lease Cycles'!$EF$28:$EL$28,1,CA350)=1,'Lease Cycles'!$AJ$28*INDEX('Lease Cycles'!$FO$28:$FU$28,1,CA350)*INDEX('Lease Cycles'!$EM$28:$ES$28,1,CA350)+'Lease Cycles'!$BE$28*IF(CA351&lt;INDEX('Lease Cycles'!$FA$28:$FG$28,1,CA350),0,1-INDEX('Lease Cycles'!$EM$28:$ES$28,1,CA350)),IF(OR(INDEX('Lease Cycles'!$DY$28:$EE$28,1,CA350)=1,CA351&gt;0),1,1-INDEX('Lease Cycles'!$DD$28:$DJ$28,1,CA350))*('Lease Cycles'!$AJ$28*INDEX('Lease Cycles'!$FO$28:$FU$28,1,CA350)+'Lease Cycles'!$BE$28*(1-INDEX('Lease Cycles'!$FO$28:$FU$28,1,CA350)))),0)</f>
        <v>0</v>
      </c>
      <c r="CB360" s="24">
        <f>IF(CB352=1,'Lease Cycles'!$D$28*IF(INDEX('Lease Cycles'!$EF$28:$EL$28,1,CB350)=1,'Lease Cycles'!$AJ$28*INDEX('Lease Cycles'!$FO$28:$FU$28,1,CB350)*INDEX('Lease Cycles'!$EM$28:$ES$28,1,CB350)+'Lease Cycles'!$BE$28*IF(CB351&lt;INDEX('Lease Cycles'!$FA$28:$FG$28,1,CB350),0,1-INDEX('Lease Cycles'!$EM$28:$ES$28,1,CB350)),IF(OR(INDEX('Lease Cycles'!$DY$28:$EE$28,1,CB350)=1,CB351&gt;0),1,1-INDEX('Lease Cycles'!$DD$28:$DJ$28,1,CB350))*('Lease Cycles'!$AJ$28*INDEX('Lease Cycles'!$FO$28:$FU$28,1,CB350)+'Lease Cycles'!$BE$28*(1-INDEX('Lease Cycles'!$FO$28:$FU$28,1,CB350)))),0)</f>
        <v>0</v>
      </c>
      <c r="CC360" s="24">
        <f>IF(CC352=1,'Lease Cycles'!$D$28*IF(INDEX('Lease Cycles'!$EF$28:$EL$28,1,CC350)=1,'Lease Cycles'!$AJ$28*INDEX('Lease Cycles'!$FO$28:$FU$28,1,CC350)*INDEX('Lease Cycles'!$EM$28:$ES$28,1,CC350)+'Lease Cycles'!$BE$28*IF(CC351&lt;INDEX('Lease Cycles'!$FA$28:$FG$28,1,CC350),0,1-INDEX('Lease Cycles'!$EM$28:$ES$28,1,CC350)),IF(OR(INDEX('Lease Cycles'!$DY$28:$EE$28,1,CC350)=1,CC351&gt;0),1,1-INDEX('Lease Cycles'!$DD$28:$DJ$28,1,CC350))*('Lease Cycles'!$AJ$28*INDEX('Lease Cycles'!$FO$28:$FU$28,1,CC350)+'Lease Cycles'!$BE$28*(1-INDEX('Lease Cycles'!$FO$28:$FU$28,1,CC350)))),0)</f>
        <v>0</v>
      </c>
      <c r="CD360" s="24">
        <f>IF(CD352=1,'Lease Cycles'!$D$28*IF(INDEX('Lease Cycles'!$EF$28:$EL$28,1,CD350)=1,'Lease Cycles'!$AJ$28*INDEX('Lease Cycles'!$FO$28:$FU$28,1,CD350)*INDEX('Lease Cycles'!$EM$28:$ES$28,1,CD350)+'Lease Cycles'!$BE$28*IF(CD351&lt;INDEX('Lease Cycles'!$FA$28:$FG$28,1,CD350),0,1-INDEX('Lease Cycles'!$EM$28:$ES$28,1,CD350)),IF(OR(INDEX('Lease Cycles'!$DY$28:$EE$28,1,CD350)=1,CD351&gt;0),1,1-INDEX('Lease Cycles'!$DD$28:$DJ$28,1,CD350))*('Lease Cycles'!$AJ$28*INDEX('Lease Cycles'!$FO$28:$FU$28,1,CD350)+'Lease Cycles'!$BE$28*(1-INDEX('Lease Cycles'!$FO$28:$FU$28,1,CD350)))),0)</f>
        <v>0</v>
      </c>
      <c r="CE360" s="24">
        <f>IF(CE352=1,'Lease Cycles'!$D$28*IF(INDEX('Lease Cycles'!$EF$28:$EL$28,1,CE350)=1,'Lease Cycles'!$AJ$28*INDEX('Lease Cycles'!$FO$28:$FU$28,1,CE350)*INDEX('Lease Cycles'!$EM$28:$ES$28,1,CE350)+'Lease Cycles'!$BE$28*IF(CE351&lt;INDEX('Lease Cycles'!$FA$28:$FG$28,1,CE350),0,1-INDEX('Lease Cycles'!$EM$28:$ES$28,1,CE350)),IF(OR(INDEX('Lease Cycles'!$DY$28:$EE$28,1,CE350)=1,CE351&gt;0),1,1-INDEX('Lease Cycles'!$DD$28:$DJ$28,1,CE350))*('Lease Cycles'!$AJ$28*INDEX('Lease Cycles'!$FO$28:$FU$28,1,CE350)+'Lease Cycles'!$BE$28*(1-INDEX('Lease Cycles'!$FO$28:$FU$28,1,CE350)))),0)</f>
        <v>0</v>
      </c>
      <c r="CF360" s="24">
        <f>IF(CF352=1,'Lease Cycles'!$D$28*IF(INDEX('Lease Cycles'!$EF$28:$EL$28,1,CF350)=1,'Lease Cycles'!$AJ$28*INDEX('Lease Cycles'!$FO$28:$FU$28,1,CF350)*INDEX('Lease Cycles'!$EM$28:$ES$28,1,CF350)+'Lease Cycles'!$BE$28*IF(CF351&lt;INDEX('Lease Cycles'!$FA$28:$FG$28,1,CF350),0,1-INDEX('Lease Cycles'!$EM$28:$ES$28,1,CF350)),IF(OR(INDEX('Lease Cycles'!$DY$28:$EE$28,1,CF350)=1,CF351&gt;0),1,1-INDEX('Lease Cycles'!$DD$28:$DJ$28,1,CF350))*('Lease Cycles'!$AJ$28*INDEX('Lease Cycles'!$FO$28:$FU$28,1,CF350)+'Lease Cycles'!$BE$28*(1-INDEX('Lease Cycles'!$FO$28:$FU$28,1,CF350)))),0)</f>
        <v>0</v>
      </c>
      <c r="CG360" s="24">
        <f>IF(CG352=1,'Lease Cycles'!$D$28*IF(INDEX('Lease Cycles'!$EF$28:$EL$28,1,CG350)=1,'Lease Cycles'!$AJ$28*INDEX('Lease Cycles'!$FO$28:$FU$28,1,CG350)*INDEX('Lease Cycles'!$EM$28:$ES$28,1,CG350)+'Lease Cycles'!$BE$28*IF(CG351&lt;INDEX('Lease Cycles'!$FA$28:$FG$28,1,CG350),0,1-INDEX('Lease Cycles'!$EM$28:$ES$28,1,CG350)),IF(OR(INDEX('Lease Cycles'!$DY$28:$EE$28,1,CG350)=1,CG351&gt;0),1,1-INDEX('Lease Cycles'!$DD$28:$DJ$28,1,CG350))*('Lease Cycles'!$AJ$28*INDEX('Lease Cycles'!$FO$28:$FU$28,1,CG350)+'Lease Cycles'!$BE$28*(1-INDEX('Lease Cycles'!$FO$28:$FU$28,1,CG350)))),0)</f>
        <v>0</v>
      </c>
      <c r="CH360" s="24">
        <f>IF(CH352=1,'Lease Cycles'!$D$28*IF(INDEX('Lease Cycles'!$EF$28:$EL$28,1,CH350)=1,'Lease Cycles'!$AJ$28*INDEX('Lease Cycles'!$FO$28:$FU$28,1,CH350)*INDEX('Lease Cycles'!$EM$28:$ES$28,1,CH350)+'Lease Cycles'!$BE$28*IF(CH351&lt;INDEX('Lease Cycles'!$FA$28:$FG$28,1,CH350),0,1-INDEX('Lease Cycles'!$EM$28:$ES$28,1,CH350)),IF(OR(INDEX('Lease Cycles'!$DY$28:$EE$28,1,CH350)=1,CH351&gt;0),1,1-INDEX('Lease Cycles'!$DD$28:$DJ$28,1,CH350))*('Lease Cycles'!$AJ$28*INDEX('Lease Cycles'!$FO$28:$FU$28,1,CH350)+'Lease Cycles'!$BE$28*(1-INDEX('Lease Cycles'!$FO$28:$FU$28,1,CH350)))),0)</f>
        <v>0</v>
      </c>
      <c r="CI360" s="24">
        <f>IF(CI352=1,'Lease Cycles'!$D$28*IF(INDEX('Lease Cycles'!$EF$28:$EL$28,1,CI350)=1,'Lease Cycles'!$AJ$28*INDEX('Lease Cycles'!$FO$28:$FU$28,1,CI350)*INDEX('Lease Cycles'!$EM$28:$ES$28,1,CI350)+'Lease Cycles'!$BE$28*IF(CI351&lt;INDEX('Lease Cycles'!$FA$28:$FG$28,1,CI350),0,1-INDEX('Lease Cycles'!$EM$28:$ES$28,1,CI350)),IF(OR(INDEX('Lease Cycles'!$DY$28:$EE$28,1,CI350)=1,CI351&gt;0),1,1-INDEX('Lease Cycles'!$DD$28:$DJ$28,1,CI350))*('Lease Cycles'!$AJ$28*INDEX('Lease Cycles'!$FO$28:$FU$28,1,CI350)+'Lease Cycles'!$BE$28*(1-INDEX('Lease Cycles'!$FO$28:$FU$28,1,CI350)))),0)</f>
        <v>0</v>
      </c>
      <c r="CJ360" s="24">
        <f>IF(CJ352=1,'Lease Cycles'!$D$28*IF(INDEX('Lease Cycles'!$EF$28:$EL$28,1,CJ350)=1,'Lease Cycles'!$AJ$28*INDEX('Lease Cycles'!$FO$28:$FU$28,1,CJ350)*INDEX('Lease Cycles'!$EM$28:$ES$28,1,CJ350)+'Lease Cycles'!$BE$28*IF(CJ351&lt;INDEX('Lease Cycles'!$FA$28:$FG$28,1,CJ350),0,1-INDEX('Lease Cycles'!$EM$28:$ES$28,1,CJ350)),IF(OR(INDEX('Lease Cycles'!$DY$28:$EE$28,1,CJ350)=1,CJ351&gt;0),1,1-INDEX('Lease Cycles'!$DD$28:$DJ$28,1,CJ350))*('Lease Cycles'!$AJ$28*INDEX('Lease Cycles'!$FO$28:$FU$28,1,CJ350)+'Lease Cycles'!$BE$28*(1-INDEX('Lease Cycles'!$FO$28:$FU$28,1,CJ350)))),0)</f>
        <v>0</v>
      </c>
      <c r="CK360" s="24">
        <f>IF(CK352=1,'Lease Cycles'!$D$28*IF(INDEX('Lease Cycles'!$EF$28:$EL$28,1,CK350)=1,'Lease Cycles'!$AJ$28*INDEX('Lease Cycles'!$FO$28:$FU$28,1,CK350)*INDEX('Lease Cycles'!$EM$28:$ES$28,1,CK350)+'Lease Cycles'!$BE$28*IF(CK351&lt;INDEX('Lease Cycles'!$FA$28:$FG$28,1,CK350),0,1-INDEX('Lease Cycles'!$EM$28:$ES$28,1,CK350)),IF(OR(INDEX('Lease Cycles'!$DY$28:$EE$28,1,CK350)=1,CK351&gt;0),1,1-INDEX('Lease Cycles'!$DD$28:$DJ$28,1,CK350))*('Lease Cycles'!$AJ$28*INDEX('Lease Cycles'!$FO$28:$FU$28,1,CK350)+'Lease Cycles'!$BE$28*(1-INDEX('Lease Cycles'!$FO$28:$FU$28,1,CK350)))),0)</f>
        <v>0</v>
      </c>
      <c r="CL360" s="24">
        <f>IF(CL352=1,'Lease Cycles'!$D$28*IF(INDEX('Lease Cycles'!$EF$28:$EL$28,1,CL350)=1,'Lease Cycles'!$AJ$28*INDEX('Lease Cycles'!$FO$28:$FU$28,1,CL350)*INDEX('Lease Cycles'!$EM$28:$ES$28,1,CL350)+'Lease Cycles'!$BE$28*IF(CL351&lt;INDEX('Lease Cycles'!$FA$28:$FG$28,1,CL350),0,1-INDEX('Lease Cycles'!$EM$28:$ES$28,1,CL350)),IF(OR(INDEX('Lease Cycles'!$DY$28:$EE$28,1,CL350)=1,CL351&gt;0),1,1-INDEX('Lease Cycles'!$DD$28:$DJ$28,1,CL350))*('Lease Cycles'!$AJ$28*INDEX('Lease Cycles'!$FO$28:$FU$28,1,CL350)+'Lease Cycles'!$BE$28*(1-INDEX('Lease Cycles'!$FO$28:$FU$28,1,CL350)))),0)</f>
        <v>0</v>
      </c>
      <c r="CM360" s="24">
        <f>IF(CM352=1,'Lease Cycles'!$D$28*IF(INDEX('Lease Cycles'!$EF$28:$EL$28,1,CM350)=1,'Lease Cycles'!$AJ$28*INDEX('Lease Cycles'!$FO$28:$FU$28,1,CM350)*INDEX('Lease Cycles'!$EM$28:$ES$28,1,CM350)+'Lease Cycles'!$BE$28*IF(CM351&lt;INDEX('Lease Cycles'!$FA$28:$FG$28,1,CM350),0,1-INDEX('Lease Cycles'!$EM$28:$ES$28,1,CM350)),IF(OR(INDEX('Lease Cycles'!$DY$28:$EE$28,1,CM350)=1,CM351&gt;0),1,1-INDEX('Lease Cycles'!$DD$28:$DJ$28,1,CM350))*('Lease Cycles'!$AJ$28*INDEX('Lease Cycles'!$FO$28:$FU$28,1,CM350)+'Lease Cycles'!$BE$28*(1-INDEX('Lease Cycles'!$FO$28:$FU$28,1,CM350)))),0)</f>
        <v>0</v>
      </c>
      <c r="CN360" s="24">
        <f>IF(CN352=1,'Lease Cycles'!$D$28*IF(INDEX('Lease Cycles'!$EF$28:$EL$28,1,CN350)=1,'Lease Cycles'!$AJ$28*INDEX('Lease Cycles'!$FO$28:$FU$28,1,CN350)*INDEX('Lease Cycles'!$EM$28:$ES$28,1,CN350)+'Lease Cycles'!$BE$28*IF(CN351&lt;INDEX('Lease Cycles'!$FA$28:$FG$28,1,CN350),0,1-INDEX('Lease Cycles'!$EM$28:$ES$28,1,CN350)),IF(OR(INDEX('Lease Cycles'!$DY$28:$EE$28,1,CN350)=1,CN351&gt;0),1,1-INDEX('Lease Cycles'!$DD$28:$DJ$28,1,CN350))*('Lease Cycles'!$AJ$28*INDEX('Lease Cycles'!$FO$28:$FU$28,1,CN350)+'Lease Cycles'!$BE$28*(1-INDEX('Lease Cycles'!$FO$28:$FU$28,1,CN350)))),0)</f>
        <v>0</v>
      </c>
      <c r="CO360" s="24">
        <f>IF(CO352=1,'Lease Cycles'!$D$28*IF(INDEX('Lease Cycles'!$EF$28:$EL$28,1,CO350)=1,'Lease Cycles'!$AJ$28*INDEX('Lease Cycles'!$FO$28:$FU$28,1,CO350)*INDEX('Lease Cycles'!$EM$28:$ES$28,1,CO350)+'Lease Cycles'!$BE$28*IF(CO351&lt;INDEX('Lease Cycles'!$FA$28:$FG$28,1,CO350),0,1-INDEX('Lease Cycles'!$EM$28:$ES$28,1,CO350)),IF(OR(INDEX('Lease Cycles'!$DY$28:$EE$28,1,CO350)=1,CO351&gt;0),1,1-INDEX('Lease Cycles'!$DD$28:$DJ$28,1,CO350))*('Lease Cycles'!$AJ$28*INDEX('Lease Cycles'!$FO$28:$FU$28,1,CO350)+'Lease Cycles'!$BE$28*(1-INDEX('Lease Cycles'!$FO$28:$FU$28,1,CO350)))),0)</f>
        <v>0</v>
      </c>
      <c r="CP360" s="24">
        <f>IF(CP352=1,'Lease Cycles'!$D$28*IF(INDEX('Lease Cycles'!$EF$28:$EL$28,1,CP350)=1,'Lease Cycles'!$AJ$28*INDEX('Lease Cycles'!$FO$28:$FU$28,1,CP350)*INDEX('Lease Cycles'!$EM$28:$ES$28,1,CP350)+'Lease Cycles'!$BE$28*IF(CP351&lt;INDEX('Lease Cycles'!$FA$28:$FG$28,1,CP350),0,1-INDEX('Lease Cycles'!$EM$28:$ES$28,1,CP350)),IF(OR(INDEX('Lease Cycles'!$DY$28:$EE$28,1,CP350)=1,CP351&gt;0),1,1-INDEX('Lease Cycles'!$DD$28:$DJ$28,1,CP350))*('Lease Cycles'!$AJ$28*INDEX('Lease Cycles'!$FO$28:$FU$28,1,CP350)+'Lease Cycles'!$BE$28*(1-INDEX('Lease Cycles'!$FO$28:$FU$28,1,CP350)))),0)</f>
        <v>0</v>
      </c>
      <c r="CQ360" s="24">
        <f>IF(CQ352=1,'Lease Cycles'!$D$28*IF(INDEX('Lease Cycles'!$EF$28:$EL$28,1,CQ350)=1,'Lease Cycles'!$AJ$28*INDEX('Lease Cycles'!$FO$28:$FU$28,1,CQ350)*INDEX('Lease Cycles'!$EM$28:$ES$28,1,CQ350)+'Lease Cycles'!$BE$28*IF(CQ351&lt;INDEX('Lease Cycles'!$FA$28:$FG$28,1,CQ350),0,1-INDEX('Lease Cycles'!$EM$28:$ES$28,1,CQ350)),IF(OR(INDEX('Lease Cycles'!$DY$28:$EE$28,1,CQ350)=1,CQ351&gt;0),1,1-INDEX('Lease Cycles'!$DD$28:$DJ$28,1,CQ350))*('Lease Cycles'!$AJ$28*INDEX('Lease Cycles'!$FO$28:$FU$28,1,CQ350)+'Lease Cycles'!$BE$28*(1-INDEX('Lease Cycles'!$FO$28:$FU$28,1,CQ350)))),0)</f>
        <v>0</v>
      </c>
      <c r="CR360" s="24">
        <f>IF(CR352=1,'Lease Cycles'!$D$28*IF(INDEX('Lease Cycles'!$EF$28:$EL$28,1,CR350)=1,'Lease Cycles'!$AJ$28*INDEX('Lease Cycles'!$FO$28:$FU$28,1,CR350)*INDEX('Lease Cycles'!$EM$28:$ES$28,1,CR350)+'Lease Cycles'!$BE$28*IF(CR351&lt;INDEX('Lease Cycles'!$FA$28:$FG$28,1,CR350),0,1-INDEX('Lease Cycles'!$EM$28:$ES$28,1,CR350)),IF(OR(INDEX('Lease Cycles'!$DY$28:$EE$28,1,CR350)=1,CR351&gt;0),1,1-INDEX('Lease Cycles'!$DD$28:$DJ$28,1,CR350))*('Lease Cycles'!$AJ$28*INDEX('Lease Cycles'!$FO$28:$FU$28,1,CR350)+'Lease Cycles'!$BE$28*(1-INDEX('Lease Cycles'!$FO$28:$FU$28,1,CR350)))),0)</f>
        <v>0</v>
      </c>
      <c r="CS360" s="24">
        <f>IF(CS352=1,'Lease Cycles'!$D$28*IF(INDEX('Lease Cycles'!$EF$28:$EL$28,1,CS350)=1,'Lease Cycles'!$AJ$28*INDEX('Lease Cycles'!$FO$28:$FU$28,1,CS350)*INDEX('Lease Cycles'!$EM$28:$ES$28,1,CS350)+'Lease Cycles'!$BE$28*IF(CS351&lt;INDEX('Lease Cycles'!$FA$28:$FG$28,1,CS350),0,1-INDEX('Lease Cycles'!$EM$28:$ES$28,1,CS350)),IF(OR(INDEX('Lease Cycles'!$DY$28:$EE$28,1,CS350)=1,CS351&gt;0),1,1-INDEX('Lease Cycles'!$DD$28:$DJ$28,1,CS350))*('Lease Cycles'!$AJ$28*INDEX('Lease Cycles'!$FO$28:$FU$28,1,CS350)+'Lease Cycles'!$BE$28*(1-INDEX('Lease Cycles'!$FO$28:$FU$28,1,CS350)))),0)</f>
        <v>0</v>
      </c>
      <c r="CT360" s="24">
        <f>IF(CT352=1,'Lease Cycles'!$D$28*IF(INDEX('Lease Cycles'!$EF$28:$EL$28,1,CT350)=1,'Lease Cycles'!$AJ$28*INDEX('Lease Cycles'!$FO$28:$FU$28,1,CT350)*INDEX('Lease Cycles'!$EM$28:$ES$28,1,CT350)+'Lease Cycles'!$BE$28*IF(CT351&lt;INDEX('Lease Cycles'!$FA$28:$FG$28,1,CT350),0,1-INDEX('Lease Cycles'!$EM$28:$ES$28,1,CT350)),IF(OR(INDEX('Lease Cycles'!$DY$28:$EE$28,1,CT350)=1,CT351&gt;0),1,1-INDEX('Lease Cycles'!$DD$28:$DJ$28,1,CT350))*('Lease Cycles'!$AJ$28*INDEX('Lease Cycles'!$FO$28:$FU$28,1,CT350)+'Lease Cycles'!$BE$28*(1-INDEX('Lease Cycles'!$FO$28:$FU$28,1,CT350)))),0)</f>
        <v>0</v>
      </c>
      <c r="CU360" s="24">
        <f>IF(CU352=1,'Lease Cycles'!$D$28*IF(INDEX('Lease Cycles'!$EF$28:$EL$28,1,CU350)=1,'Lease Cycles'!$AJ$28*INDEX('Lease Cycles'!$FO$28:$FU$28,1,CU350)*INDEX('Lease Cycles'!$EM$28:$ES$28,1,CU350)+'Lease Cycles'!$BE$28*IF(CU351&lt;INDEX('Lease Cycles'!$FA$28:$FG$28,1,CU350),0,1-INDEX('Lease Cycles'!$EM$28:$ES$28,1,CU350)),IF(OR(INDEX('Lease Cycles'!$DY$28:$EE$28,1,CU350)=1,CU351&gt;0),1,1-INDEX('Lease Cycles'!$DD$28:$DJ$28,1,CU350))*('Lease Cycles'!$AJ$28*INDEX('Lease Cycles'!$FO$28:$FU$28,1,CU350)+'Lease Cycles'!$BE$28*(1-INDEX('Lease Cycles'!$FO$28:$FU$28,1,CU350)))),0)</f>
        <v>0</v>
      </c>
      <c r="CV360" s="24">
        <f>IF(CV352=1,'Lease Cycles'!$D$28*IF(INDEX('Lease Cycles'!$EF$28:$EL$28,1,CV350)=1,'Lease Cycles'!$AJ$28*INDEX('Lease Cycles'!$FO$28:$FU$28,1,CV350)*INDEX('Lease Cycles'!$EM$28:$ES$28,1,CV350)+'Lease Cycles'!$BE$28*IF(CV351&lt;INDEX('Lease Cycles'!$FA$28:$FG$28,1,CV350),0,1-INDEX('Lease Cycles'!$EM$28:$ES$28,1,CV350)),IF(OR(INDEX('Lease Cycles'!$DY$28:$EE$28,1,CV350)=1,CV351&gt;0),1,1-INDEX('Lease Cycles'!$DD$28:$DJ$28,1,CV350))*('Lease Cycles'!$AJ$28*INDEX('Lease Cycles'!$FO$28:$FU$28,1,CV350)+'Lease Cycles'!$BE$28*(1-INDEX('Lease Cycles'!$FO$28:$FU$28,1,CV350)))),0)</f>
        <v>0</v>
      </c>
      <c r="CW360" s="24">
        <f>IF(CW352=1,'Lease Cycles'!$D$28*IF(INDEX('Lease Cycles'!$EF$28:$EL$28,1,CW350)=1,'Lease Cycles'!$AJ$28*INDEX('Lease Cycles'!$FO$28:$FU$28,1,CW350)*INDEX('Lease Cycles'!$EM$28:$ES$28,1,CW350)+'Lease Cycles'!$BE$28*IF(CW351&lt;INDEX('Lease Cycles'!$FA$28:$FG$28,1,CW350),0,1-INDEX('Lease Cycles'!$EM$28:$ES$28,1,CW350)),IF(OR(INDEX('Lease Cycles'!$DY$28:$EE$28,1,CW350)=1,CW351&gt;0),1,1-INDEX('Lease Cycles'!$DD$28:$DJ$28,1,CW350))*('Lease Cycles'!$AJ$28*INDEX('Lease Cycles'!$FO$28:$FU$28,1,CW350)+'Lease Cycles'!$BE$28*(1-INDEX('Lease Cycles'!$FO$28:$FU$28,1,CW350)))),0)</f>
        <v>0</v>
      </c>
      <c r="CX360" s="24">
        <f>IF(CX352=1,'Lease Cycles'!$D$28*IF(INDEX('Lease Cycles'!$EF$28:$EL$28,1,CX350)=1,'Lease Cycles'!$AJ$28*INDEX('Lease Cycles'!$FO$28:$FU$28,1,CX350)*INDEX('Lease Cycles'!$EM$28:$ES$28,1,CX350)+'Lease Cycles'!$BE$28*IF(CX351&lt;INDEX('Lease Cycles'!$FA$28:$FG$28,1,CX350),0,1-INDEX('Lease Cycles'!$EM$28:$ES$28,1,CX350)),IF(OR(INDEX('Lease Cycles'!$DY$28:$EE$28,1,CX350)=1,CX351&gt;0),1,1-INDEX('Lease Cycles'!$DD$28:$DJ$28,1,CX350))*('Lease Cycles'!$AJ$28*INDEX('Lease Cycles'!$FO$28:$FU$28,1,CX350)+'Lease Cycles'!$BE$28*(1-INDEX('Lease Cycles'!$FO$28:$FU$28,1,CX350)))),0)</f>
        <v>0</v>
      </c>
      <c r="CY360" s="24">
        <f>IF(CY352=1,'Lease Cycles'!$D$28*IF(INDEX('Lease Cycles'!$EF$28:$EL$28,1,CY350)=1,'Lease Cycles'!$AJ$28*INDEX('Lease Cycles'!$FO$28:$FU$28,1,CY350)*INDEX('Lease Cycles'!$EM$28:$ES$28,1,CY350)+'Lease Cycles'!$BE$28*IF(CY351&lt;INDEX('Lease Cycles'!$FA$28:$FG$28,1,CY350),0,1-INDEX('Lease Cycles'!$EM$28:$ES$28,1,CY350)),IF(OR(INDEX('Lease Cycles'!$DY$28:$EE$28,1,CY350)=1,CY351&gt;0),1,1-INDEX('Lease Cycles'!$DD$28:$DJ$28,1,CY350))*('Lease Cycles'!$AJ$28*INDEX('Lease Cycles'!$FO$28:$FU$28,1,CY350)+'Lease Cycles'!$BE$28*(1-INDEX('Lease Cycles'!$FO$28:$FU$28,1,CY350)))),0)</f>
        <v>0</v>
      </c>
      <c r="CZ360" s="24">
        <f>IF(CZ352=1,'Lease Cycles'!$D$28*IF(INDEX('Lease Cycles'!$EF$28:$EL$28,1,CZ350)=1,'Lease Cycles'!$AJ$28*INDEX('Lease Cycles'!$FO$28:$FU$28,1,CZ350)*INDEX('Lease Cycles'!$EM$28:$ES$28,1,CZ350)+'Lease Cycles'!$BE$28*IF(CZ351&lt;INDEX('Lease Cycles'!$FA$28:$FG$28,1,CZ350),0,1-INDEX('Lease Cycles'!$EM$28:$ES$28,1,CZ350)),IF(OR(INDEX('Lease Cycles'!$DY$28:$EE$28,1,CZ350)=1,CZ351&gt;0),1,1-INDEX('Lease Cycles'!$DD$28:$DJ$28,1,CZ350))*('Lease Cycles'!$AJ$28*INDEX('Lease Cycles'!$FO$28:$FU$28,1,CZ350)+'Lease Cycles'!$BE$28*(1-INDEX('Lease Cycles'!$FO$28:$FU$28,1,CZ350)))),0)</f>
        <v>0</v>
      </c>
      <c r="DA360" s="24">
        <f>IF(DA352=1,'Lease Cycles'!$D$28*IF(INDEX('Lease Cycles'!$EF$28:$EL$28,1,DA350)=1,'Lease Cycles'!$AJ$28*INDEX('Lease Cycles'!$FO$28:$FU$28,1,DA350)*INDEX('Lease Cycles'!$EM$28:$ES$28,1,DA350)+'Lease Cycles'!$BE$28*IF(DA351&lt;INDEX('Lease Cycles'!$FA$28:$FG$28,1,DA350),0,1-INDEX('Lease Cycles'!$EM$28:$ES$28,1,DA350)),IF(OR(INDEX('Lease Cycles'!$DY$28:$EE$28,1,DA350)=1,DA351&gt;0),1,1-INDEX('Lease Cycles'!$DD$28:$DJ$28,1,DA350))*('Lease Cycles'!$AJ$28*INDEX('Lease Cycles'!$FO$28:$FU$28,1,DA350)+'Lease Cycles'!$BE$28*(1-INDEX('Lease Cycles'!$FO$28:$FU$28,1,DA350)))),0)</f>
        <v>0</v>
      </c>
      <c r="DB360" s="24">
        <f>IF(DB352=1,'Lease Cycles'!$D$28*IF(INDEX('Lease Cycles'!$EF$28:$EL$28,1,DB350)=1,'Lease Cycles'!$AJ$28*INDEX('Lease Cycles'!$FO$28:$FU$28,1,DB350)*INDEX('Lease Cycles'!$EM$28:$ES$28,1,DB350)+'Lease Cycles'!$BE$28*IF(DB351&lt;INDEX('Lease Cycles'!$FA$28:$FG$28,1,DB350),0,1-INDEX('Lease Cycles'!$EM$28:$ES$28,1,DB350)),IF(OR(INDEX('Lease Cycles'!$DY$28:$EE$28,1,DB350)=1,DB351&gt;0),1,1-INDEX('Lease Cycles'!$DD$28:$DJ$28,1,DB350))*('Lease Cycles'!$AJ$28*INDEX('Lease Cycles'!$FO$28:$FU$28,1,DB350)+'Lease Cycles'!$BE$28*(1-INDEX('Lease Cycles'!$FO$28:$FU$28,1,DB350)))),0)</f>
        <v>0</v>
      </c>
      <c r="DC360" s="24">
        <f>IF(DC352=1,'Lease Cycles'!$D$28*IF(INDEX('Lease Cycles'!$EF$28:$EL$28,1,DC350)=1,'Lease Cycles'!$AJ$28*INDEX('Lease Cycles'!$FO$28:$FU$28,1,DC350)*INDEX('Lease Cycles'!$EM$28:$ES$28,1,DC350)+'Lease Cycles'!$BE$28*IF(DC351&lt;INDEX('Lease Cycles'!$FA$28:$FG$28,1,DC350),0,1-INDEX('Lease Cycles'!$EM$28:$ES$28,1,DC350)),IF(OR(INDEX('Lease Cycles'!$DY$28:$EE$28,1,DC350)=1,DC351&gt;0),1,1-INDEX('Lease Cycles'!$DD$28:$DJ$28,1,DC350))*('Lease Cycles'!$AJ$28*INDEX('Lease Cycles'!$FO$28:$FU$28,1,DC350)+'Lease Cycles'!$BE$28*(1-INDEX('Lease Cycles'!$FO$28:$FU$28,1,DC350)))),0)</f>
        <v>0</v>
      </c>
      <c r="DD360" s="24">
        <f>IF(DD352=1,'Lease Cycles'!$D$28*IF(INDEX('Lease Cycles'!$EF$28:$EL$28,1,DD350)=1,'Lease Cycles'!$AJ$28*INDEX('Lease Cycles'!$FO$28:$FU$28,1,DD350)*INDEX('Lease Cycles'!$EM$28:$ES$28,1,DD350)+'Lease Cycles'!$BE$28*IF(DD351&lt;INDEX('Lease Cycles'!$FA$28:$FG$28,1,DD350),0,1-INDEX('Lease Cycles'!$EM$28:$ES$28,1,DD350)),IF(OR(INDEX('Lease Cycles'!$DY$28:$EE$28,1,DD350)=1,DD351&gt;0),1,1-INDEX('Lease Cycles'!$DD$28:$DJ$28,1,DD350))*('Lease Cycles'!$AJ$28*INDEX('Lease Cycles'!$FO$28:$FU$28,1,DD350)+'Lease Cycles'!$BE$28*(1-INDEX('Lease Cycles'!$FO$28:$FU$28,1,DD350)))),0)</f>
        <v>0</v>
      </c>
      <c r="DE360" s="24">
        <f>IF(DE352=1,'Lease Cycles'!$D$28*IF(INDEX('Lease Cycles'!$EF$28:$EL$28,1,DE350)=1,'Lease Cycles'!$AJ$28*INDEX('Lease Cycles'!$FO$28:$FU$28,1,DE350)*INDEX('Lease Cycles'!$EM$28:$ES$28,1,DE350)+'Lease Cycles'!$BE$28*IF(DE351&lt;INDEX('Lease Cycles'!$FA$28:$FG$28,1,DE350),0,1-INDEX('Lease Cycles'!$EM$28:$ES$28,1,DE350)),IF(OR(INDEX('Lease Cycles'!$DY$28:$EE$28,1,DE350)=1,DE351&gt;0),1,1-INDEX('Lease Cycles'!$DD$28:$DJ$28,1,DE350))*('Lease Cycles'!$AJ$28*INDEX('Lease Cycles'!$FO$28:$FU$28,1,DE350)+'Lease Cycles'!$BE$28*(1-INDEX('Lease Cycles'!$FO$28:$FU$28,1,DE350)))),0)</f>
        <v>0</v>
      </c>
      <c r="DF360" s="24">
        <f>IF(DF352=1,'Lease Cycles'!$D$28*IF(INDEX('Lease Cycles'!$EF$28:$EL$28,1,DF350)=1,'Lease Cycles'!$AJ$28*INDEX('Lease Cycles'!$FO$28:$FU$28,1,DF350)*INDEX('Lease Cycles'!$EM$28:$ES$28,1,DF350)+'Lease Cycles'!$BE$28*IF(DF351&lt;INDEX('Lease Cycles'!$FA$28:$FG$28,1,DF350),0,1-INDEX('Lease Cycles'!$EM$28:$ES$28,1,DF350)),IF(OR(INDEX('Lease Cycles'!$DY$28:$EE$28,1,DF350)=1,DF351&gt;0),1,1-INDEX('Lease Cycles'!$DD$28:$DJ$28,1,DF350))*('Lease Cycles'!$AJ$28*INDEX('Lease Cycles'!$FO$28:$FU$28,1,DF350)+'Lease Cycles'!$BE$28*(1-INDEX('Lease Cycles'!$FO$28:$FU$28,1,DF350)))),0)</f>
        <v>0</v>
      </c>
      <c r="DG360" s="24">
        <f>IF(DG352=1,'Lease Cycles'!$D$28*IF(INDEX('Lease Cycles'!$EF$28:$EL$28,1,DG350)=1,'Lease Cycles'!$AJ$28*INDEX('Lease Cycles'!$FO$28:$FU$28,1,DG350)*INDEX('Lease Cycles'!$EM$28:$ES$28,1,DG350)+'Lease Cycles'!$BE$28*IF(DG351&lt;INDEX('Lease Cycles'!$FA$28:$FG$28,1,DG350),0,1-INDEX('Lease Cycles'!$EM$28:$ES$28,1,DG350)),IF(OR(INDEX('Lease Cycles'!$DY$28:$EE$28,1,DG350)=1,DG351&gt;0),1,1-INDEX('Lease Cycles'!$DD$28:$DJ$28,1,DG350))*('Lease Cycles'!$AJ$28*INDEX('Lease Cycles'!$FO$28:$FU$28,1,DG350)+'Lease Cycles'!$BE$28*(1-INDEX('Lease Cycles'!$FO$28:$FU$28,1,DG350)))),0)</f>
        <v>0</v>
      </c>
      <c r="DH360" s="24">
        <f>IF(DH352=1,'Lease Cycles'!$D$28*IF(INDEX('Lease Cycles'!$EF$28:$EL$28,1,DH350)=1,'Lease Cycles'!$AJ$28*INDEX('Lease Cycles'!$FO$28:$FU$28,1,DH350)*INDEX('Lease Cycles'!$EM$28:$ES$28,1,DH350)+'Lease Cycles'!$BE$28*IF(DH351&lt;INDEX('Lease Cycles'!$FA$28:$FG$28,1,DH350),0,1-INDEX('Lease Cycles'!$EM$28:$ES$28,1,DH350)),IF(OR(INDEX('Lease Cycles'!$DY$28:$EE$28,1,DH350)=1,DH351&gt;0),1,1-INDEX('Lease Cycles'!$DD$28:$DJ$28,1,DH350))*('Lease Cycles'!$AJ$28*INDEX('Lease Cycles'!$FO$28:$FU$28,1,DH350)+'Lease Cycles'!$BE$28*(1-INDEX('Lease Cycles'!$FO$28:$FU$28,1,DH350)))),0)</f>
        <v>0</v>
      </c>
      <c r="DI360" s="24">
        <f>IF(DI352=1,'Lease Cycles'!$D$28*IF(INDEX('Lease Cycles'!$EF$28:$EL$28,1,DI350)=1,'Lease Cycles'!$AJ$28*INDEX('Lease Cycles'!$FO$28:$FU$28,1,DI350)*INDEX('Lease Cycles'!$EM$28:$ES$28,1,DI350)+'Lease Cycles'!$BE$28*IF(DI351&lt;INDEX('Lease Cycles'!$FA$28:$FG$28,1,DI350),0,1-INDEX('Lease Cycles'!$EM$28:$ES$28,1,DI350)),IF(OR(INDEX('Lease Cycles'!$DY$28:$EE$28,1,DI350)=1,DI351&gt;0),1,1-INDEX('Lease Cycles'!$DD$28:$DJ$28,1,DI350))*('Lease Cycles'!$AJ$28*INDEX('Lease Cycles'!$FO$28:$FU$28,1,DI350)+'Lease Cycles'!$BE$28*(1-INDEX('Lease Cycles'!$FO$28:$FU$28,1,DI350)))),0)</f>
        <v>0</v>
      </c>
      <c r="DJ360" s="24">
        <f>IF(DJ352=1,'Lease Cycles'!$D$28*IF(INDEX('Lease Cycles'!$EF$28:$EL$28,1,DJ350)=1,'Lease Cycles'!$AJ$28*INDEX('Lease Cycles'!$FO$28:$FU$28,1,DJ350)*INDEX('Lease Cycles'!$EM$28:$ES$28,1,DJ350)+'Lease Cycles'!$BE$28*IF(DJ351&lt;INDEX('Lease Cycles'!$FA$28:$FG$28,1,DJ350),0,1-INDEX('Lease Cycles'!$EM$28:$ES$28,1,DJ350)),IF(OR(INDEX('Lease Cycles'!$DY$28:$EE$28,1,DJ350)=1,DJ351&gt;0),1,1-INDEX('Lease Cycles'!$DD$28:$DJ$28,1,DJ350))*('Lease Cycles'!$AJ$28*INDEX('Lease Cycles'!$FO$28:$FU$28,1,DJ350)+'Lease Cycles'!$BE$28*(1-INDEX('Lease Cycles'!$FO$28:$FU$28,1,DJ350)))),0)</f>
        <v>0</v>
      </c>
      <c r="DK360" s="24">
        <f>IF(DK352=1,'Lease Cycles'!$D$28*IF(INDEX('Lease Cycles'!$EF$28:$EL$28,1,DK350)=1,'Lease Cycles'!$AJ$28*INDEX('Lease Cycles'!$FO$28:$FU$28,1,DK350)*INDEX('Lease Cycles'!$EM$28:$ES$28,1,DK350)+'Lease Cycles'!$BE$28*IF(DK351&lt;INDEX('Lease Cycles'!$FA$28:$FG$28,1,DK350),0,1-INDEX('Lease Cycles'!$EM$28:$ES$28,1,DK350)),IF(OR(INDEX('Lease Cycles'!$DY$28:$EE$28,1,DK350)=1,DK351&gt;0),1,1-INDEX('Lease Cycles'!$DD$28:$DJ$28,1,DK350))*('Lease Cycles'!$AJ$28*INDEX('Lease Cycles'!$FO$28:$FU$28,1,DK350)+'Lease Cycles'!$BE$28*(1-INDEX('Lease Cycles'!$FO$28:$FU$28,1,DK350)))),0)</f>
        <v>0</v>
      </c>
      <c r="DL360" s="24">
        <f>IF(DL352=1,'Lease Cycles'!$D$28*IF(INDEX('Lease Cycles'!$EF$28:$EL$28,1,DL350)=1,'Lease Cycles'!$AJ$28*INDEX('Lease Cycles'!$FO$28:$FU$28,1,DL350)*INDEX('Lease Cycles'!$EM$28:$ES$28,1,DL350)+'Lease Cycles'!$BE$28*IF(DL351&lt;INDEX('Lease Cycles'!$FA$28:$FG$28,1,DL350),0,1-INDEX('Lease Cycles'!$EM$28:$ES$28,1,DL350)),IF(OR(INDEX('Lease Cycles'!$DY$28:$EE$28,1,DL350)=1,DL351&gt;0),1,1-INDEX('Lease Cycles'!$DD$28:$DJ$28,1,DL350))*('Lease Cycles'!$AJ$28*INDEX('Lease Cycles'!$FO$28:$FU$28,1,DL350)+'Lease Cycles'!$BE$28*(1-INDEX('Lease Cycles'!$FO$28:$FU$28,1,DL350)))),0)</f>
        <v>0</v>
      </c>
      <c r="DM360" s="24">
        <f>IF(DM352=1,'Lease Cycles'!$D$28*IF(INDEX('Lease Cycles'!$EF$28:$EL$28,1,DM350)=1,'Lease Cycles'!$AJ$28*INDEX('Lease Cycles'!$FO$28:$FU$28,1,DM350)*INDEX('Lease Cycles'!$EM$28:$ES$28,1,DM350)+'Lease Cycles'!$BE$28*IF(DM351&lt;INDEX('Lease Cycles'!$FA$28:$FG$28,1,DM350),0,1-INDEX('Lease Cycles'!$EM$28:$ES$28,1,DM350)),IF(OR(INDEX('Lease Cycles'!$DY$28:$EE$28,1,DM350)=1,DM351&gt;0),1,1-INDEX('Lease Cycles'!$DD$28:$DJ$28,1,DM350))*('Lease Cycles'!$AJ$28*INDEX('Lease Cycles'!$FO$28:$FU$28,1,DM350)+'Lease Cycles'!$BE$28*(1-INDEX('Lease Cycles'!$FO$28:$FU$28,1,DM350)))),0)</f>
        <v>0</v>
      </c>
      <c r="DN360" s="24">
        <f>IF(DN352=1,'Lease Cycles'!$D$28*IF(INDEX('Lease Cycles'!$EF$28:$EL$28,1,DN350)=1,'Lease Cycles'!$AJ$28*INDEX('Lease Cycles'!$FO$28:$FU$28,1,DN350)*INDEX('Lease Cycles'!$EM$28:$ES$28,1,DN350)+'Lease Cycles'!$BE$28*IF(DN351&lt;INDEX('Lease Cycles'!$FA$28:$FG$28,1,DN350),0,1-INDEX('Lease Cycles'!$EM$28:$ES$28,1,DN350)),IF(OR(INDEX('Lease Cycles'!$DY$28:$EE$28,1,DN350)=1,DN351&gt;0),1,1-INDEX('Lease Cycles'!$DD$28:$DJ$28,1,DN350))*('Lease Cycles'!$AJ$28*INDEX('Lease Cycles'!$FO$28:$FU$28,1,DN350)+'Lease Cycles'!$BE$28*(1-INDEX('Lease Cycles'!$FO$28:$FU$28,1,DN350)))),0)</f>
        <v>0</v>
      </c>
      <c r="DO360" s="24">
        <f>IF(DO352=1,'Lease Cycles'!$D$28*IF(INDEX('Lease Cycles'!$EF$28:$EL$28,1,DO350)=1,'Lease Cycles'!$AJ$28*INDEX('Lease Cycles'!$FO$28:$FU$28,1,DO350)*INDEX('Lease Cycles'!$EM$28:$ES$28,1,DO350)+'Lease Cycles'!$BE$28*IF(DO351&lt;INDEX('Lease Cycles'!$FA$28:$FG$28,1,DO350),0,1-INDEX('Lease Cycles'!$EM$28:$ES$28,1,DO350)),IF(OR(INDEX('Lease Cycles'!$DY$28:$EE$28,1,DO350)=1,DO351&gt;0),1,1-INDEX('Lease Cycles'!$DD$28:$DJ$28,1,DO350))*('Lease Cycles'!$AJ$28*INDEX('Lease Cycles'!$FO$28:$FU$28,1,DO350)+'Lease Cycles'!$BE$28*(1-INDEX('Lease Cycles'!$FO$28:$FU$28,1,DO350)))),0)</f>
        <v>0</v>
      </c>
      <c r="DP360" s="24">
        <f>IF(DP352=1,'Lease Cycles'!$D$28*IF(INDEX('Lease Cycles'!$EF$28:$EL$28,1,DP350)=1,'Lease Cycles'!$AJ$28*INDEX('Lease Cycles'!$FO$28:$FU$28,1,DP350)*INDEX('Lease Cycles'!$EM$28:$ES$28,1,DP350)+'Lease Cycles'!$BE$28*IF(DP351&lt;INDEX('Lease Cycles'!$FA$28:$FG$28,1,DP350),0,1-INDEX('Lease Cycles'!$EM$28:$ES$28,1,DP350)),IF(OR(INDEX('Lease Cycles'!$DY$28:$EE$28,1,DP350)=1,DP351&gt;0),1,1-INDEX('Lease Cycles'!$DD$28:$DJ$28,1,DP350))*('Lease Cycles'!$AJ$28*INDEX('Lease Cycles'!$FO$28:$FU$28,1,DP350)+'Lease Cycles'!$BE$28*(1-INDEX('Lease Cycles'!$FO$28:$FU$28,1,DP350)))),0)</f>
        <v>0</v>
      </c>
      <c r="DQ360" s="24">
        <f>IF(DQ352=1,'Lease Cycles'!$D$28*IF(INDEX('Lease Cycles'!$EF$28:$EL$28,1,DQ350)=1,'Lease Cycles'!$AJ$28*INDEX('Lease Cycles'!$FO$28:$FU$28,1,DQ350)*INDEX('Lease Cycles'!$EM$28:$ES$28,1,DQ350)+'Lease Cycles'!$BE$28*IF(DQ351&lt;INDEX('Lease Cycles'!$FA$28:$FG$28,1,DQ350),0,1-INDEX('Lease Cycles'!$EM$28:$ES$28,1,DQ350)),IF(OR(INDEX('Lease Cycles'!$DY$28:$EE$28,1,DQ350)=1,DQ351&gt;0),1,1-INDEX('Lease Cycles'!$DD$28:$DJ$28,1,DQ350))*('Lease Cycles'!$AJ$28*INDEX('Lease Cycles'!$FO$28:$FU$28,1,DQ350)+'Lease Cycles'!$BE$28*(1-INDEX('Lease Cycles'!$FO$28:$FU$28,1,DQ350)))),0)</f>
        <v>0</v>
      </c>
      <c r="DR360" s="24">
        <f>IF(DR352=1,'Lease Cycles'!$D$28*IF(INDEX('Lease Cycles'!$EF$28:$EL$28,1,DR350)=1,'Lease Cycles'!$AJ$28*INDEX('Lease Cycles'!$FO$28:$FU$28,1,DR350)*INDEX('Lease Cycles'!$EM$28:$ES$28,1,DR350)+'Lease Cycles'!$BE$28*IF(DR351&lt;INDEX('Lease Cycles'!$FA$28:$FG$28,1,DR350),0,1-INDEX('Lease Cycles'!$EM$28:$ES$28,1,DR350)),IF(OR(INDEX('Lease Cycles'!$DY$28:$EE$28,1,DR350)=1,DR351&gt;0),1,1-INDEX('Lease Cycles'!$DD$28:$DJ$28,1,DR350))*('Lease Cycles'!$AJ$28*INDEX('Lease Cycles'!$FO$28:$FU$28,1,DR350)+'Lease Cycles'!$BE$28*(1-INDEX('Lease Cycles'!$FO$28:$FU$28,1,DR350)))),0)</f>
        <v>0</v>
      </c>
      <c r="DS360" s="24">
        <f>IF(DS352=1,'Lease Cycles'!$D$28*IF(INDEX('Lease Cycles'!$EF$28:$EL$28,1,DS350)=1,'Lease Cycles'!$AJ$28*INDEX('Lease Cycles'!$FO$28:$FU$28,1,DS350)*INDEX('Lease Cycles'!$EM$28:$ES$28,1,DS350)+'Lease Cycles'!$BE$28*IF(DS351&lt;INDEX('Lease Cycles'!$FA$28:$FG$28,1,DS350),0,1-INDEX('Lease Cycles'!$EM$28:$ES$28,1,DS350)),IF(OR(INDEX('Lease Cycles'!$DY$28:$EE$28,1,DS350)=1,DS351&gt;0),1,1-INDEX('Lease Cycles'!$DD$28:$DJ$28,1,DS350))*('Lease Cycles'!$AJ$28*INDEX('Lease Cycles'!$FO$28:$FU$28,1,DS350)+'Lease Cycles'!$BE$28*(1-INDEX('Lease Cycles'!$FO$28:$FU$28,1,DS350)))),0)</f>
        <v>0</v>
      </c>
      <c r="DT360" s="24">
        <f>IF(DT352=1,'Lease Cycles'!$D$28*IF(INDEX('Lease Cycles'!$EF$28:$EL$28,1,DT350)=1,'Lease Cycles'!$AJ$28*INDEX('Lease Cycles'!$FO$28:$FU$28,1,DT350)*INDEX('Lease Cycles'!$EM$28:$ES$28,1,DT350)+'Lease Cycles'!$BE$28*IF(DT351&lt;INDEX('Lease Cycles'!$FA$28:$FG$28,1,DT350),0,1-INDEX('Lease Cycles'!$EM$28:$ES$28,1,DT350)),IF(OR(INDEX('Lease Cycles'!$DY$28:$EE$28,1,DT350)=1,DT351&gt;0),1,1-INDEX('Lease Cycles'!$DD$28:$DJ$28,1,DT350))*('Lease Cycles'!$AJ$28*INDEX('Lease Cycles'!$FO$28:$FU$28,1,DT350)+'Lease Cycles'!$BE$28*(1-INDEX('Lease Cycles'!$FO$28:$FU$28,1,DT350)))),0)</f>
        <v>0</v>
      </c>
      <c r="DU360" s="24">
        <f>IF(DU352=1,'Lease Cycles'!$D$28*IF(INDEX('Lease Cycles'!$EF$28:$EL$28,1,DU350)=1,'Lease Cycles'!$AJ$28*INDEX('Lease Cycles'!$FO$28:$FU$28,1,DU350)*INDEX('Lease Cycles'!$EM$28:$ES$28,1,DU350)+'Lease Cycles'!$BE$28*IF(DU351&lt;INDEX('Lease Cycles'!$FA$28:$FG$28,1,DU350),0,1-INDEX('Lease Cycles'!$EM$28:$ES$28,1,DU350)),IF(OR(INDEX('Lease Cycles'!$DY$28:$EE$28,1,DU350)=1,DU351&gt;0),1,1-INDEX('Lease Cycles'!$DD$28:$DJ$28,1,DU350))*('Lease Cycles'!$AJ$28*INDEX('Lease Cycles'!$FO$28:$FU$28,1,DU350)+'Lease Cycles'!$BE$28*(1-INDEX('Lease Cycles'!$FO$28:$FU$28,1,DU350)))),0)</f>
        <v>0</v>
      </c>
      <c r="DV360" s="24">
        <f>IF(DV352=1,'Lease Cycles'!$D$28*IF(INDEX('Lease Cycles'!$EF$28:$EL$28,1,DV350)=1,'Lease Cycles'!$AJ$28*INDEX('Lease Cycles'!$FO$28:$FU$28,1,DV350)*INDEX('Lease Cycles'!$EM$28:$ES$28,1,DV350)+'Lease Cycles'!$BE$28*IF(DV351&lt;INDEX('Lease Cycles'!$FA$28:$FG$28,1,DV350),0,1-INDEX('Lease Cycles'!$EM$28:$ES$28,1,DV350)),IF(OR(INDEX('Lease Cycles'!$DY$28:$EE$28,1,DV350)=1,DV351&gt;0),1,1-INDEX('Lease Cycles'!$DD$28:$DJ$28,1,DV350))*('Lease Cycles'!$AJ$28*INDEX('Lease Cycles'!$FO$28:$FU$28,1,DV350)+'Lease Cycles'!$BE$28*(1-INDEX('Lease Cycles'!$FO$28:$FU$28,1,DV350)))),0)</f>
        <v>0</v>
      </c>
      <c r="DW360" s="24">
        <f>IF(DW352=1,'Lease Cycles'!$D$28*IF(INDEX('Lease Cycles'!$EF$28:$EL$28,1,DW350)=1,'Lease Cycles'!$AJ$28*INDEX('Lease Cycles'!$FO$28:$FU$28,1,DW350)*INDEX('Lease Cycles'!$EM$28:$ES$28,1,DW350)+'Lease Cycles'!$BE$28*IF(DW351&lt;INDEX('Lease Cycles'!$FA$28:$FG$28,1,DW350),0,1-INDEX('Lease Cycles'!$EM$28:$ES$28,1,DW350)),IF(OR(INDEX('Lease Cycles'!$DY$28:$EE$28,1,DW350)=1,DW351&gt;0),1,1-INDEX('Lease Cycles'!$DD$28:$DJ$28,1,DW350))*('Lease Cycles'!$AJ$28*INDEX('Lease Cycles'!$FO$28:$FU$28,1,DW350)+'Lease Cycles'!$BE$28*(1-INDEX('Lease Cycles'!$FO$28:$FU$28,1,DW350)))),0)</f>
        <v>0</v>
      </c>
      <c r="DX360" s="24">
        <f>IF(DX352=1,'Lease Cycles'!$D$28*IF(INDEX('Lease Cycles'!$EF$28:$EL$28,1,DX350)=1,'Lease Cycles'!$AJ$28*INDEX('Lease Cycles'!$FO$28:$FU$28,1,DX350)*INDEX('Lease Cycles'!$EM$28:$ES$28,1,DX350)+'Lease Cycles'!$BE$28*IF(DX351&lt;INDEX('Lease Cycles'!$FA$28:$FG$28,1,DX350),0,1-INDEX('Lease Cycles'!$EM$28:$ES$28,1,DX350)),IF(OR(INDEX('Lease Cycles'!$DY$28:$EE$28,1,DX350)=1,DX351&gt;0),1,1-INDEX('Lease Cycles'!$DD$28:$DJ$28,1,DX350))*('Lease Cycles'!$AJ$28*INDEX('Lease Cycles'!$FO$28:$FU$28,1,DX350)+'Lease Cycles'!$BE$28*(1-INDEX('Lease Cycles'!$FO$28:$FU$28,1,DX350)))),0)</f>
        <v>0</v>
      </c>
      <c r="DY360" s="24">
        <f>IF(DY352=1,'Lease Cycles'!$D$28*IF(INDEX('Lease Cycles'!$EF$28:$EL$28,1,DY350)=1,'Lease Cycles'!$AJ$28*INDEX('Lease Cycles'!$FO$28:$FU$28,1,DY350)*INDEX('Lease Cycles'!$EM$28:$ES$28,1,DY350)+'Lease Cycles'!$BE$28*IF(DY351&lt;INDEX('Lease Cycles'!$FA$28:$FG$28,1,DY350),0,1-INDEX('Lease Cycles'!$EM$28:$ES$28,1,DY350)),IF(OR(INDEX('Lease Cycles'!$DY$28:$EE$28,1,DY350)=1,DY351&gt;0),1,1-INDEX('Lease Cycles'!$DD$28:$DJ$28,1,DY350))*('Lease Cycles'!$AJ$28*INDEX('Lease Cycles'!$FO$28:$FU$28,1,DY350)+'Lease Cycles'!$BE$28*(1-INDEX('Lease Cycles'!$FO$28:$FU$28,1,DY350)))),0)</f>
        <v>0</v>
      </c>
      <c r="DZ360" s="24">
        <f>IF(DZ352=1,'Lease Cycles'!$D$28*IF(INDEX('Lease Cycles'!$EF$28:$EL$28,1,DZ350)=1,'Lease Cycles'!$AJ$28*INDEX('Lease Cycles'!$FO$28:$FU$28,1,DZ350)*INDEX('Lease Cycles'!$EM$28:$ES$28,1,DZ350)+'Lease Cycles'!$BE$28*IF(DZ351&lt;INDEX('Lease Cycles'!$FA$28:$FG$28,1,DZ350),0,1-INDEX('Lease Cycles'!$EM$28:$ES$28,1,DZ350)),IF(OR(INDEX('Lease Cycles'!$DY$28:$EE$28,1,DZ350)=1,DZ351&gt;0),1,1-INDEX('Lease Cycles'!$DD$28:$DJ$28,1,DZ350))*('Lease Cycles'!$AJ$28*INDEX('Lease Cycles'!$FO$28:$FU$28,1,DZ350)+'Lease Cycles'!$BE$28*(1-INDEX('Lease Cycles'!$FO$28:$FU$28,1,DZ350)))),0)</f>
        <v>0</v>
      </c>
      <c r="EA360" s="24">
        <f>IF(EA352=1,'Lease Cycles'!$D$28*IF(INDEX('Lease Cycles'!$EF$28:$EL$28,1,EA350)=1,'Lease Cycles'!$AJ$28*INDEX('Lease Cycles'!$FO$28:$FU$28,1,EA350)*INDEX('Lease Cycles'!$EM$28:$ES$28,1,EA350)+'Lease Cycles'!$BE$28*IF(EA351&lt;INDEX('Lease Cycles'!$FA$28:$FG$28,1,EA350),0,1-INDEX('Lease Cycles'!$EM$28:$ES$28,1,EA350)),IF(OR(INDEX('Lease Cycles'!$DY$28:$EE$28,1,EA350)=1,EA351&gt;0),1,1-INDEX('Lease Cycles'!$DD$28:$DJ$28,1,EA350))*('Lease Cycles'!$AJ$28*INDEX('Lease Cycles'!$FO$28:$FU$28,1,EA350)+'Lease Cycles'!$BE$28*(1-INDEX('Lease Cycles'!$FO$28:$FU$28,1,EA350)))),0)</f>
        <v>0</v>
      </c>
      <c r="EB360" s="24">
        <f>IF(EB352=1,'Lease Cycles'!$D$28*IF(INDEX('Lease Cycles'!$EF$28:$EL$28,1,EB350)=1,'Lease Cycles'!$AJ$28*INDEX('Lease Cycles'!$FO$28:$FU$28,1,EB350)*INDEX('Lease Cycles'!$EM$28:$ES$28,1,EB350)+'Lease Cycles'!$BE$28*IF(EB351&lt;INDEX('Lease Cycles'!$FA$28:$FG$28,1,EB350),0,1-INDEX('Lease Cycles'!$EM$28:$ES$28,1,EB350)),IF(OR(INDEX('Lease Cycles'!$DY$28:$EE$28,1,EB350)=1,EB351&gt;0),1,1-INDEX('Lease Cycles'!$DD$28:$DJ$28,1,EB350))*('Lease Cycles'!$AJ$28*INDEX('Lease Cycles'!$FO$28:$FU$28,1,EB350)+'Lease Cycles'!$BE$28*(1-INDEX('Lease Cycles'!$FO$28:$FU$28,1,EB350)))),0)</f>
        <v>0</v>
      </c>
      <c r="EC360" s="24">
        <f>IF(EC352=1,'Lease Cycles'!$D$28*IF(INDEX('Lease Cycles'!$EF$28:$EL$28,1,EC350)=1,'Lease Cycles'!$AJ$28*INDEX('Lease Cycles'!$FO$28:$FU$28,1,EC350)*INDEX('Lease Cycles'!$EM$28:$ES$28,1,EC350)+'Lease Cycles'!$BE$28*IF(EC351&lt;INDEX('Lease Cycles'!$FA$28:$FG$28,1,EC350),0,1-INDEX('Lease Cycles'!$EM$28:$ES$28,1,EC350)),IF(OR(INDEX('Lease Cycles'!$DY$28:$EE$28,1,EC350)=1,EC351&gt;0),1,1-INDEX('Lease Cycles'!$DD$28:$DJ$28,1,EC350))*('Lease Cycles'!$AJ$28*INDEX('Lease Cycles'!$FO$28:$FU$28,1,EC350)+'Lease Cycles'!$BE$28*(1-INDEX('Lease Cycles'!$FO$28:$FU$28,1,EC350)))),0)</f>
        <v>0</v>
      </c>
      <c r="ED360" s="24">
        <f>IF(ED352=1,'Lease Cycles'!$D$28*IF(INDEX('Lease Cycles'!$EF$28:$EL$28,1,ED350)=1,'Lease Cycles'!$AJ$28*INDEX('Lease Cycles'!$FO$28:$FU$28,1,ED350)*INDEX('Lease Cycles'!$EM$28:$ES$28,1,ED350)+'Lease Cycles'!$BE$28*IF(ED351&lt;INDEX('Lease Cycles'!$FA$28:$FG$28,1,ED350),0,1-INDEX('Lease Cycles'!$EM$28:$ES$28,1,ED350)),IF(OR(INDEX('Lease Cycles'!$DY$28:$EE$28,1,ED350)=1,ED351&gt;0),1,1-INDEX('Lease Cycles'!$DD$28:$DJ$28,1,ED350))*('Lease Cycles'!$AJ$28*INDEX('Lease Cycles'!$FO$28:$FU$28,1,ED350)+'Lease Cycles'!$BE$28*(1-INDEX('Lease Cycles'!$FO$28:$FU$28,1,ED350)))),0)</f>
        <v>0</v>
      </c>
      <c r="EE360" s="24">
        <f>IF(EE352=1,'Lease Cycles'!$D$28*IF(INDEX('Lease Cycles'!$EF$28:$EL$28,1,EE350)=1,'Lease Cycles'!$AJ$28*INDEX('Lease Cycles'!$FO$28:$FU$28,1,EE350)*INDEX('Lease Cycles'!$EM$28:$ES$28,1,EE350)+'Lease Cycles'!$BE$28*IF(EE351&lt;INDEX('Lease Cycles'!$FA$28:$FG$28,1,EE350),0,1-INDEX('Lease Cycles'!$EM$28:$ES$28,1,EE350)),IF(OR(INDEX('Lease Cycles'!$DY$28:$EE$28,1,EE350)=1,EE351&gt;0),1,1-INDEX('Lease Cycles'!$DD$28:$DJ$28,1,EE350))*('Lease Cycles'!$AJ$28*INDEX('Lease Cycles'!$FO$28:$FU$28,1,EE350)+'Lease Cycles'!$BE$28*(1-INDEX('Lease Cycles'!$FO$28:$FU$28,1,EE350)))),0)</f>
        <v>0</v>
      </c>
      <c r="EF360" s="24">
        <f>IF(EF352=1,'Lease Cycles'!$D$28*IF(INDEX('Lease Cycles'!$EF$28:$EL$28,1,EF350)=1,'Lease Cycles'!$AJ$28*INDEX('Lease Cycles'!$FO$28:$FU$28,1,EF350)*INDEX('Lease Cycles'!$EM$28:$ES$28,1,EF350)+'Lease Cycles'!$BE$28*IF(EF351&lt;INDEX('Lease Cycles'!$FA$28:$FG$28,1,EF350),0,1-INDEX('Lease Cycles'!$EM$28:$ES$28,1,EF350)),IF(OR(INDEX('Lease Cycles'!$DY$28:$EE$28,1,EF350)=1,EF351&gt;0),1,1-INDEX('Lease Cycles'!$DD$28:$DJ$28,1,EF350))*('Lease Cycles'!$AJ$28*INDEX('Lease Cycles'!$FO$28:$FU$28,1,EF350)+'Lease Cycles'!$BE$28*(1-INDEX('Lease Cycles'!$FO$28:$FU$28,1,EF350)))),0)</f>
        <v>0</v>
      </c>
      <c r="EG360" s="24">
        <f>IF(EG352=1,'Lease Cycles'!$D$28*IF(INDEX('Lease Cycles'!$EF$28:$EL$28,1,EG350)=1,'Lease Cycles'!$AJ$28*INDEX('Lease Cycles'!$FO$28:$FU$28,1,EG350)*INDEX('Lease Cycles'!$EM$28:$ES$28,1,EG350)+'Lease Cycles'!$BE$28*IF(EG351&lt;INDEX('Lease Cycles'!$FA$28:$FG$28,1,EG350),0,1-INDEX('Lease Cycles'!$EM$28:$ES$28,1,EG350)),IF(OR(INDEX('Lease Cycles'!$DY$28:$EE$28,1,EG350)=1,EG351&gt;0),1,1-INDEX('Lease Cycles'!$DD$28:$DJ$28,1,EG350))*('Lease Cycles'!$AJ$28*INDEX('Lease Cycles'!$FO$28:$FU$28,1,EG350)+'Lease Cycles'!$BE$28*(1-INDEX('Lease Cycles'!$FO$28:$FU$28,1,EG350)))),0)</f>
        <v>0</v>
      </c>
      <c r="EH360" s="24">
        <f>IF(EH352=1,'Lease Cycles'!$D$28*IF(INDEX('Lease Cycles'!$EF$28:$EL$28,1,EH350)=1,'Lease Cycles'!$AJ$28*INDEX('Lease Cycles'!$FO$28:$FU$28,1,EH350)*INDEX('Lease Cycles'!$EM$28:$ES$28,1,EH350)+'Lease Cycles'!$BE$28*IF(EH351&lt;INDEX('Lease Cycles'!$FA$28:$FG$28,1,EH350),0,1-INDEX('Lease Cycles'!$EM$28:$ES$28,1,EH350)),IF(OR(INDEX('Lease Cycles'!$DY$28:$EE$28,1,EH350)=1,EH351&gt;0),1,1-INDEX('Lease Cycles'!$DD$28:$DJ$28,1,EH350))*('Lease Cycles'!$AJ$28*INDEX('Lease Cycles'!$FO$28:$FU$28,1,EH350)+'Lease Cycles'!$BE$28*(1-INDEX('Lease Cycles'!$FO$28:$FU$28,1,EH350)))),0)</f>
        <v>0</v>
      </c>
      <c r="EI360" s="24">
        <f>IF(EI352=1,'Lease Cycles'!$D$28*IF(INDEX('Lease Cycles'!$EF$28:$EL$28,1,EI350)=1,'Lease Cycles'!$AJ$28*INDEX('Lease Cycles'!$FO$28:$FU$28,1,EI350)*INDEX('Lease Cycles'!$EM$28:$ES$28,1,EI350)+'Lease Cycles'!$BE$28*IF(EI351&lt;INDEX('Lease Cycles'!$FA$28:$FG$28,1,EI350),0,1-INDEX('Lease Cycles'!$EM$28:$ES$28,1,EI350)),IF(OR(INDEX('Lease Cycles'!$DY$28:$EE$28,1,EI350)=1,EI351&gt;0),1,1-INDEX('Lease Cycles'!$DD$28:$DJ$28,1,EI350))*('Lease Cycles'!$AJ$28*INDEX('Lease Cycles'!$FO$28:$FU$28,1,EI350)+'Lease Cycles'!$BE$28*(1-INDEX('Lease Cycles'!$FO$28:$FU$28,1,EI350)))),0)</f>
        <v>0</v>
      </c>
      <c r="EJ360" s="24">
        <f>IF(EJ352=1,'Lease Cycles'!$D$28*IF(INDEX('Lease Cycles'!$EF$28:$EL$28,1,EJ350)=1,'Lease Cycles'!$AJ$28*INDEX('Lease Cycles'!$FO$28:$FU$28,1,EJ350)*INDEX('Lease Cycles'!$EM$28:$ES$28,1,EJ350)+'Lease Cycles'!$BE$28*IF(EJ351&lt;INDEX('Lease Cycles'!$FA$28:$FG$28,1,EJ350),0,1-INDEX('Lease Cycles'!$EM$28:$ES$28,1,EJ350)),IF(OR(INDEX('Lease Cycles'!$DY$28:$EE$28,1,EJ350)=1,EJ351&gt;0),1,1-INDEX('Lease Cycles'!$DD$28:$DJ$28,1,EJ350))*('Lease Cycles'!$AJ$28*INDEX('Lease Cycles'!$FO$28:$FU$28,1,EJ350)+'Lease Cycles'!$BE$28*(1-INDEX('Lease Cycles'!$FO$28:$FU$28,1,EJ350)))),0)</f>
        <v>0</v>
      </c>
      <c r="EK360" s="24">
        <f>IF(EK352=1,'Lease Cycles'!$D$28*IF(INDEX('Lease Cycles'!$EF$28:$EL$28,1,EK350)=1,'Lease Cycles'!$AJ$28*INDEX('Lease Cycles'!$FO$28:$FU$28,1,EK350)*INDEX('Lease Cycles'!$EM$28:$ES$28,1,EK350)+'Lease Cycles'!$BE$28*IF(EK351&lt;INDEX('Lease Cycles'!$FA$28:$FG$28,1,EK350),0,1-INDEX('Lease Cycles'!$EM$28:$ES$28,1,EK350)),IF(OR(INDEX('Lease Cycles'!$DY$28:$EE$28,1,EK350)=1,EK351&gt;0),1,1-INDEX('Lease Cycles'!$DD$28:$DJ$28,1,EK350))*('Lease Cycles'!$AJ$28*INDEX('Lease Cycles'!$FO$28:$FU$28,1,EK350)+'Lease Cycles'!$BE$28*(1-INDEX('Lease Cycles'!$FO$28:$FU$28,1,EK350)))),0)</f>
        <v>0</v>
      </c>
      <c r="EL360" s="24">
        <f>IF(EL352=1,'Lease Cycles'!$D$28*IF(INDEX('Lease Cycles'!$EF$28:$EL$28,1,EL350)=1,'Lease Cycles'!$AJ$28*INDEX('Lease Cycles'!$FO$28:$FU$28,1,EL350)*INDEX('Lease Cycles'!$EM$28:$ES$28,1,EL350)+'Lease Cycles'!$BE$28*IF(EL351&lt;INDEX('Lease Cycles'!$FA$28:$FG$28,1,EL350),0,1-INDEX('Lease Cycles'!$EM$28:$ES$28,1,EL350)),IF(OR(INDEX('Lease Cycles'!$DY$28:$EE$28,1,EL350)=1,EL351&gt;0),1,1-INDEX('Lease Cycles'!$DD$28:$DJ$28,1,EL350))*('Lease Cycles'!$AJ$28*INDEX('Lease Cycles'!$FO$28:$FU$28,1,EL350)+'Lease Cycles'!$BE$28*(1-INDEX('Lease Cycles'!$FO$28:$FU$28,1,EL350)))),0)</f>
        <v>0</v>
      </c>
      <c r="EM360" s="24">
        <f>IF(EM352=1,'Lease Cycles'!$D$28*IF(INDEX('Lease Cycles'!$EF$28:$EL$28,1,EM350)=1,'Lease Cycles'!$AJ$28*INDEX('Lease Cycles'!$FO$28:$FU$28,1,EM350)*INDEX('Lease Cycles'!$EM$28:$ES$28,1,EM350)+'Lease Cycles'!$BE$28*IF(EM351&lt;INDEX('Lease Cycles'!$FA$28:$FG$28,1,EM350),0,1-INDEX('Lease Cycles'!$EM$28:$ES$28,1,EM350)),IF(OR(INDEX('Lease Cycles'!$DY$28:$EE$28,1,EM350)=1,EM351&gt;0),1,1-INDEX('Lease Cycles'!$DD$28:$DJ$28,1,EM350))*('Lease Cycles'!$AJ$28*INDEX('Lease Cycles'!$FO$28:$FU$28,1,EM350)+'Lease Cycles'!$BE$28*(1-INDEX('Lease Cycles'!$FO$28:$FU$28,1,EM350)))),0)</f>
        <v>0</v>
      </c>
      <c r="EN360" s="24">
        <f>IF(EN352=1,'Lease Cycles'!$D$28*IF(INDEX('Lease Cycles'!$EF$28:$EL$28,1,EN350)=1,'Lease Cycles'!$AJ$28*INDEX('Lease Cycles'!$FO$28:$FU$28,1,EN350)*INDEX('Lease Cycles'!$EM$28:$ES$28,1,EN350)+'Lease Cycles'!$BE$28*IF(EN351&lt;INDEX('Lease Cycles'!$FA$28:$FG$28,1,EN350),0,1-INDEX('Lease Cycles'!$EM$28:$ES$28,1,EN350)),IF(OR(INDEX('Lease Cycles'!$DY$28:$EE$28,1,EN350)=1,EN351&gt;0),1,1-INDEX('Lease Cycles'!$DD$28:$DJ$28,1,EN350))*('Lease Cycles'!$AJ$28*INDEX('Lease Cycles'!$FO$28:$FU$28,1,EN350)+'Lease Cycles'!$BE$28*(1-INDEX('Lease Cycles'!$FO$28:$FU$28,1,EN350)))),0)</f>
        <v>0</v>
      </c>
      <c r="EO360" s="24">
        <f>IF(EO352=1,'Lease Cycles'!$D$28*IF(INDEX('Lease Cycles'!$EF$28:$EL$28,1,EO350)=1,'Lease Cycles'!$AJ$28*INDEX('Lease Cycles'!$FO$28:$FU$28,1,EO350)*INDEX('Lease Cycles'!$EM$28:$ES$28,1,EO350)+'Lease Cycles'!$BE$28*IF(EO351&lt;INDEX('Lease Cycles'!$FA$28:$FG$28,1,EO350),0,1-INDEX('Lease Cycles'!$EM$28:$ES$28,1,EO350)),IF(OR(INDEX('Lease Cycles'!$DY$28:$EE$28,1,EO350)=1,EO351&gt;0),1,1-INDEX('Lease Cycles'!$DD$28:$DJ$28,1,EO350))*('Lease Cycles'!$AJ$28*INDEX('Lease Cycles'!$FO$28:$FU$28,1,EO350)+'Lease Cycles'!$BE$28*(1-INDEX('Lease Cycles'!$FO$28:$FU$28,1,EO350)))),0)</f>
        <v>0</v>
      </c>
      <c r="EP360" s="24">
        <f>IF(EP352=1,'Lease Cycles'!$D$28*IF(INDEX('Lease Cycles'!$EF$28:$EL$28,1,EP350)=1,'Lease Cycles'!$AJ$28*INDEX('Lease Cycles'!$FO$28:$FU$28,1,EP350)*INDEX('Lease Cycles'!$EM$28:$ES$28,1,EP350)+'Lease Cycles'!$BE$28*IF(EP351&lt;INDEX('Lease Cycles'!$FA$28:$FG$28,1,EP350),0,1-INDEX('Lease Cycles'!$EM$28:$ES$28,1,EP350)),IF(OR(INDEX('Lease Cycles'!$DY$28:$EE$28,1,EP350)=1,EP351&gt;0),1,1-INDEX('Lease Cycles'!$DD$28:$DJ$28,1,EP350))*('Lease Cycles'!$AJ$28*INDEX('Lease Cycles'!$FO$28:$FU$28,1,EP350)+'Lease Cycles'!$BE$28*(1-INDEX('Lease Cycles'!$FO$28:$FU$28,1,EP350)))),0)</f>
        <v>0</v>
      </c>
      <c r="EQ360" s="24">
        <f>IF(EQ352=1,'Lease Cycles'!$D$28*IF(INDEX('Lease Cycles'!$EF$28:$EL$28,1,EQ350)=1,'Lease Cycles'!$AJ$28*INDEX('Lease Cycles'!$FO$28:$FU$28,1,EQ350)*INDEX('Lease Cycles'!$EM$28:$ES$28,1,EQ350)+'Lease Cycles'!$BE$28*IF(EQ351&lt;INDEX('Lease Cycles'!$FA$28:$FG$28,1,EQ350),0,1-INDEX('Lease Cycles'!$EM$28:$ES$28,1,EQ350)),IF(OR(INDEX('Lease Cycles'!$DY$28:$EE$28,1,EQ350)=1,EQ351&gt;0),1,1-INDEX('Lease Cycles'!$DD$28:$DJ$28,1,EQ350))*('Lease Cycles'!$AJ$28*INDEX('Lease Cycles'!$FO$28:$FU$28,1,EQ350)+'Lease Cycles'!$BE$28*(1-INDEX('Lease Cycles'!$FO$28:$FU$28,1,EQ350)))),0)</f>
        <v>0</v>
      </c>
      <c r="ER360" s="24">
        <f>IF(ER352=1,'Lease Cycles'!$D$28*IF(INDEX('Lease Cycles'!$EF$28:$EL$28,1,ER350)=1,'Lease Cycles'!$AJ$28*INDEX('Lease Cycles'!$FO$28:$FU$28,1,ER350)*INDEX('Lease Cycles'!$EM$28:$ES$28,1,ER350)+'Lease Cycles'!$BE$28*IF(ER351&lt;INDEX('Lease Cycles'!$FA$28:$FG$28,1,ER350),0,1-INDEX('Lease Cycles'!$EM$28:$ES$28,1,ER350)),IF(OR(INDEX('Lease Cycles'!$DY$28:$EE$28,1,ER350)=1,ER351&gt;0),1,1-INDEX('Lease Cycles'!$DD$28:$DJ$28,1,ER350))*('Lease Cycles'!$AJ$28*INDEX('Lease Cycles'!$FO$28:$FU$28,1,ER350)+'Lease Cycles'!$BE$28*(1-INDEX('Lease Cycles'!$FO$28:$FU$28,1,ER350)))),0)</f>
        <v>0</v>
      </c>
      <c r="ES360" s="24">
        <f>IF(ES352=1,'Lease Cycles'!$D$28*IF(INDEX('Lease Cycles'!$EF$28:$EL$28,1,ES350)=1,'Lease Cycles'!$AJ$28*INDEX('Lease Cycles'!$FO$28:$FU$28,1,ES350)*INDEX('Lease Cycles'!$EM$28:$ES$28,1,ES350)+'Lease Cycles'!$BE$28*IF(ES351&lt;INDEX('Lease Cycles'!$FA$28:$FG$28,1,ES350),0,1-INDEX('Lease Cycles'!$EM$28:$ES$28,1,ES350)),IF(OR(INDEX('Lease Cycles'!$DY$28:$EE$28,1,ES350)=1,ES351&gt;0),1,1-INDEX('Lease Cycles'!$DD$28:$DJ$28,1,ES350))*('Lease Cycles'!$AJ$28*INDEX('Lease Cycles'!$FO$28:$FU$28,1,ES350)+'Lease Cycles'!$BE$28*(1-INDEX('Lease Cycles'!$FO$28:$FU$28,1,ES350)))),0)</f>
        <v>0</v>
      </c>
      <c r="ET360" s="24">
        <f>IF(ET352=1,'Lease Cycles'!$D$28*IF(INDEX('Lease Cycles'!$EF$28:$EL$28,1,ET350)=1,'Lease Cycles'!$AJ$28*INDEX('Lease Cycles'!$FO$28:$FU$28,1,ET350)*INDEX('Lease Cycles'!$EM$28:$ES$28,1,ET350)+'Lease Cycles'!$BE$28*IF(ET351&lt;INDEX('Lease Cycles'!$FA$28:$FG$28,1,ET350),0,1-INDEX('Lease Cycles'!$EM$28:$ES$28,1,ET350)),IF(OR(INDEX('Lease Cycles'!$DY$28:$EE$28,1,ET350)=1,ET351&gt;0),1,1-INDEX('Lease Cycles'!$DD$28:$DJ$28,1,ET350))*('Lease Cycles'!$AJ$28*INDEX('Lease Cycles'!$FO$28:$FU$28,1,ET350)+'Lease Cycles'!$BE$28*(1-INDEX('Lease Cycles'!$FO$28:$FU$28,1,ET350)))),0)</f>
        <v>0</v>
      </c>
    </row>
    <row r="361">
      <c r="A361" s="103">
        <v>21</v>
      </c>
      <c r="B361" s="23" t="str">
        <f>IF('Lease Cycles'!$B$28="","(empty slot)",'Lease Cycles'!$B$28)</f>
        <v>(empty slot)</v>
      </c>
      <c r="C361" s="23" t="s">
        <v>689</v>
      </c>
      <c r="D361" s="104" t="s">
        <v>690</v>
      </c>
      <c r="E361" s="25">
        <f>'Lease Cycles'!$AL$28</f>
        <v>0</v>
      </c>
      <c r="G361" s="28">
        <f>SUM(S361:AD361)</f>
        <v>0</v>
      </c>
      <c r="H361" s="28">
        <f>SUM(AE361:AP361)</f>
        <v>0</v>
      </c>
      <c r="I361" s="28">
        <f>SUM(AQ361:BB361)</f>
        <v>0</v>
      </c>
      <c r="J361" s="28">
        <f>SUM(BC361:BN361)</f>
        <v>0</v>
      </c>
      <c r="K361" s="28">
        <f>SUM(BO361:BZ361)</f>
        <v>0</v>
      </c>
      <c r="L361" s="28">
        <f>SUM(CA361:CL361)</f>
        <v>0</v>
      </c>
      <c r="M361" s="28">
        <f>SUM(CM361:CX361)</f>
        <v>0</v>
      </c>
      <c r="N361" s="28">
        <f>SUM(CY361:DJ361)</f>
        <v>0</v>
      </c>
      <c r="O361" s="28">
        <f>SUM(DK361:DV361)</f>
        <v>0</v>
      </c>
      <c r="P361" s="28">
        <f>SUM(DW361:EH361)</f>
        <v>0</v>
      </c>
      <c r="Q361" s="28">
        <f>SUM(EI361:ET361)</f>
        <v>0</v>
      </c>
      <c r="S361" s="28">
        <f>IF(S360=0,0,S360*MAX(0,(INDEX(c_CAMy,1,S$7)-INDEX(c_CAMy,1,INDEX('Lease Cycles'!$GC$28:$GI$28,1,S350)+1))*(1+'Lease Cycles'!$AK$28)+(INDEX(c_TAXy,1,S$7)-INDEX(c_TAXy,1,INDEX('Lease Cycles'!$GC$28:$GI$28,1,S350)+1))+(INDEX(c_INSy,1,S$7)-INDEX(c_INSy,1,INDEX('Lease Cycles'!$GC$28:$GI$28,1,S350)+1)))/12)</f>
        <v>0</v>
      </c>
      <c r="T361" s="28">
        <f>IF(T360=0,0,T360*MAX(0,(INDEX(c_CAMy,1,T$7)-INDEX(c_CAMy,1,INDEX('Lease Cycles'!$GC$28:$GI$28,1,T350)+1))*(1+'Lease Cycles'!$AK$28)+(INDEX(c_TAXy,1,T$7)-INDEX(c_TAXy,1,INDEX('Lease Cycles'!$GC$28:$GI$28,1,T350)+1))+(INDEX(c_INSy,1,T$7)-INDEX(c_INSy,1,INDEX('Lease Cycles'!$GC$28:$GI$28,1,T350)+1)))/12)</f>
        <v>0</v>
      </c>
      <c r="U361" s="28">
        <f>IF(U360=0,0,U360*MAX(0,(INDEX(c_CAMy,1,U$7)-INDEX(c_CAMy,1,INDEX('Lease Cycles'!$GC$28:$GI$28,1,U350)+1))*(1+'Lease Cycles'!$AK$28)+(INDEX(c_TAXy,1,U$7)-INDEX(c_TAXy,1,INDEX('Lease Cycles'!$GC$28:$GI$28,1,U350)+1))+(INDEX(c_INSy,1,U$7)-INDEX(c_INSy,1,INDEX('Lease Cycles'!$GC$28:$GI$28,1,U350)+1)))/12)</f>
        <v>0</v>
      </c>
      <c r="V361" s="28">
        <f>IF(V360=0,0,V360*MAX(0,(INDEX(c_CAMy,1,V$7)-INDEX(c_CAMy,1,INDEX('Lease Cycles'!$GC$28:$GI$28,1,V350)+1))*(1+'Lease Cycles'!$AK$28)+(INDEX(c_TAXy,1,V$7)-INDEX(c_TAXy,1,INDEX('Lease Cycles'!$GC$28:$GI$28,1,V350)+1))+(INDEX(c_INSy,1,V$7)-INDEX(c_INSy,1,INDEX('Lease Cycles'!$GC$28:$GI$28,1,V350)+1)))/12)</f>
        <v>0</v>
      </c>
      <c r="W361" s="28">
        <f>IF(W360=0,0,W360*MAX(0,(INDEX(c_CAMy,1,W$7)-INDEX(c_CAMy,1,INDEX('Lease Cycles'!$GC$28:$GI$28,1,W350)+1))*(1+'Lease Cycles'!$AK$28)+(INDEX(c_TAXy,1,W$7)-INDEX(c_TAXy,1,INDEX('Lease Cycles'!$GC$28:$GI$28,1,W350)+1))+(INDEX(c_INSy,1,W$7)-INDEX(c_INSy,1,INDEX('Lease Cycles'!$GC$28:$GI$28,1,W350)+1)))/12)</f>
        <v>0</v>
      </c>
      <c r="X361" s="28">
        <f>IF(X360=0,0,X360*MAX(0,(INDEX(c_CAMy,1,X$7)-INDEX(c_CAMy,1,INDEX('Lease Cycles'!$GC$28:$GI$28,1,X350)+1))*(1+'Lease Cycles'!$AK$28)+(INDEX(c_TAXy,1,X$7)-INDEX(c_TAXy,1,INDEX('Lease Cycles'!$GC$28:$GI$28,1,X350)+1))+(INDEX(c_INSy,1,X$7)-INDEX(c_INSy,1,INDEX('Lease Cycles'!$GC$28:$GI$28,1,X350)+1)))/12)</f>
        <v>0</v>
      </c>
      <c r="Y361" s="28">
        <f>IF(Y360=0,0,Y360*MAX(0,(INDEX(c_CAMy,1,Y$7)-INDEX(c_CAMy,1,INDEX('Lease Cycles'!$GC$28:$GI$28,1,Y350)+1))*(1+'Lease Cycles'!$AK$28)+(INDEX(c_TAXy,1,Y$7)-INDEX(c_TAXy,1,INDEX('Lease Cycles'!$GC$28:$GI$28,1,Y350)+1))+(INDEX(c_INSy,1,Y$7)-INDEX(c_INSy,1,INDEX('Lease Cycles'!$GC$28:$GI$28,1,Y350)+1)))/12)</f>
        <v>0</v>
      </c>
      <c r="Z361" s="28">
        <f>IF(Z360=0,0,Z360*MAX(0,(INDEX(c_CAMy,1,Z$7)-INDEX(c_CAMy,1,INDEX('Lease Cycles'!$GC$28:$GI$28,1,Z350)+1))*(1+'Lease Cycles'!$AK$28)+(INDEX(c_TAXy,1,Z$7)-INDEX(c_TAXy,1,INDEX('Lease Cycles'!$GC$28:$GI$28,1,Z350)+1))+(INDEX(c_INSy,1,Z$7)-INDEX(c_INSy,1,INDEX('Lease Cycles'!$GC$28:$GI$28,1,Z350)+1)))/12)</f>
        <v>0</v>
      </c>
      <c r="AA361" s="28">
        <f>IF(AA360=0,0,AA360*MAX(0,(INDEX(c_CAMy,1,AA$7)-INDEX(c_CAMy,1,INDEX('Lease Cycles'!$GC$28:$GI$28,1,AA350)+1))*(1+'Lease Cycles'!$AK$28)+(INDEX(c_TAXy,1,AA$7)-INDEX(c_TAXy,1,INDEX('Lease Cycles'!$GC$28:$GI$28,1,AA350)+1))+(INDEX(c_INSy,1,AA$7)-INDEX(c_INSy,1,INDEX('Lease Cycles'!$GC$28:$GI$28,1,AA350)+1)))/12)</f>
        <v>0</v>
      </c>
      <c r="AB361" s="28">
        <f>IF(AB360=0,0,AB360*MAX(0,(INDEX(c_CAMy,1,AB$7)-INDEX(c_CAMy,1,INDEX('Lease Cycles'!$GC$28:$GI$28,1,AB350)+1))*(1+'Lease Cycles'!$AK$28)+(INDEX(c_TAXy,1,AB$7)-INDEX(c_TAXy,1,INDEX('Lease Cycles'!$GC$28:$GI$28,1,AB350)+1))+(INDEX(c_INSy,1,AB$7)-INDEX(c_INSy,1,INDEX('Lease Cycles'!$GC$28:$GI$28,1,AB350)+1)))/12)</f>
        <v>0</v>
      </c>
      <c r="AC361" s="28">
        <f>IF(AC360=0,0,AC360*MAX(0,(INDEX(c_CAMy,1,AC$7)-INDEX(c_CAMy,1,INDEX('Lease Cycles'!$GC$28:$GI$28,1,AC350)+1))*(1+'Lease Cycles'!$AK$28)+(INDEX(c_TAXy,1,AC$7)-INDEX(c_TAXy,1,INDEX('Lease Cycles'!$GC$28:$GI$28,1,AC350)+1))+(INDEX(c_INSy,1,AC$7)-INDEX(c_INSy,1,INDEX('Lease Cycles'!$GC$28:$GI$28,1,AC350)+1)))/12)</f>
        <v>0</v>
      </c>
      <c r="AD361" s="28">
        <f>IF(AD360=0,0,AD360*MAX(0,(INDEX(c_CAMy,1,AD$7)-INDEX(c_CAMy,1,INDEX('Lease Cycles'!$GC$28:$GI$28,1,AD350)+1))*(1+'Lease Cycles'!$AK$28)+(INDEX(c_TAXy,1,AD$7)-INDEX(c_TAXy,1,INDEX('Lease Cycles'!$GC$28:$GI$28,1,AD350)+1))+(INDEX(c_INSy,1,AD$7)-INDEX(c_INSy,1,INDEX('Lease Cycles'!$GC$28:$GI$28,1,AD350)+1)))/12)</f>
        <v>0</v>
      </c>
      <c r="AE361" s="28">
        <f>IF(AE360=0,0,AE360*MAX(0,(INDEX(c_CAMy,1,AE$7)-INDEX(c_CAMy,1,INDEX('Lease Cycles'!$GC$28:$GI$28,1,AE350)+1))*(1+'Lease Cycles'!$AK$28)+(INDEX(c_TAXy,1,AE$7)-INDEX(c_TAXy,1,INDEX('Lease Cycles'!$GC$28:$GI$28,1,AE350)+1))+(INDEX(c_INSy,1,AE$7)-INDEX(c_INSy,1,INDEX('Lease Cycles'!$GC$28:$GI$28,1,AE350)+1)))/12)</f>
        <v>0</v>
      </c>
      <c r="AF361" s="28">
        <f>IF(AF360=0,0,AF360*MAX(0,(INDEX(c_CAMy,1,AF$7)-INDEX(c_CAMy,1,INDEX('Lease Cycles'!$GC$28:$GI$28,1,AF350)+1))*(1+'Lease Cycles'!$AK$28)+(INDEX(c_TAXy,1,AF$7)-INDEX(c_TAXy,1,INDEX('Lease Cycles'!$GC$28:$GI$28,1,AF350)+1))+(INDEX(c_INSy,1,AF$7)-INDEX(c_INSy,1,INDEX('Lease Cycles'!$GC$28:$GI$28,1,AF350)+1)))/12)</f>
        <v>0</v>
      </c>
      <c r="AG361" s="28">
        <f>IF(AG360=0,0,AG360*MAX(0,(INDEX(c_CAMy,1,AG$7)-INDEX(c_CAMy,1,INDEX('Lease Cycles'!$GC$28:$GI$28,1,AG350)+1))*(1+'Lease Cycles'!$AK$28)+(INDEX(c_TAXy,1,AG$7)-INDEX(c_TAXy,1,INDEX('Lease Cycles'!$GC$28:$GI$28,1,AG350)+1))+(INDEX(c_INSy,1,AG$7)-INDEX(c_INSy,1,INDEX('Lease Cycles'!$GC$28:$GI$28,1,AG350)+1)))/12)</f>
        <v>0</v>
      </c>
      <c r="AH361" s="28">
        <f>IF(AH360=0,0,AH360*MAX(0,(INDEX(c_CAMy,1,AH$7)-INDEX(c_CAMy,1,INDEX('Lease Cycles'!$GC$28:$GI$28,1,AH350)+1))*(1+'Lease Cycles'!$AK$28)+(INDEX(c_TAXy,1,AH$7)-INDEX(c_TAXy,1,INDEX('Lease Cycles'!$GC$28:$GI$28,1,AH350)+1))+(INDEX(c_INSy,1,AH$7)-INDEX(c_INSy,1,INDEX('Lease Cycles'!$GC$28:$GI$28,1,AH350)+1)))/12)</f>
        <v>0</v>
      </c>
      <c r="AI361" s="28">
        <f>IF(AI360=0,0,AI360*MAX(0,(INDEX(c_CAMy,1,AI$7)-INDEX(c_CAMy,1,INDEX('Lease Cycles'!$GC$28:$GI$28,1,AI350)+1))*(1+'Lease Cycles'!$AK$28)+(INDEX(c_TAXy,1,AI$7)-INDEX(c_TAXy,1,INDEX('Lease Cycles'!$GC$28:$GI$28,1,AI350)+1))+(INDEX(c_INSy,1,AI$7)-INDEX(c_INSy,1,INDEX('Lease Cycles'!$GC$28:$GI$28,1,AI350)+1)))/12)</f>
        <v>0</v>
      </c>
      <c r="AJ361" s="28">
        <f>IF(AJ360=0,0,AJ360*MAX(0,(INDEX(c_CAMy,1,AJ$7)-INDEX(c_CAMy,1,INDEX('Lease Cycles'!$GC$28:$GI$28,1,AJ350)+1))*(1+'Lease Cycles'!$AK$28)+(INDEX(c_TAXy,1,AJ$7)-INDEX(c_TAXy,1,INDEX('Lease Cycles'!$GC$28:$GI$28,1,AJ350)+1))+(INDEX(c_INSy,1,AJ$7)-INDEX(c_INSy,1,INDEX('Lease Cycles'!$GC$28:$GI$28,1,AJ350)+1)))/12)</f>
        <v>0</v>
      </c>
      <c r="AK361" s="28">
        <f>IF(AK360=0,0,AK360*MAX(0,(INDEX(c_CAMy,1,AK$7)-INDEX(c_CAMy,1,INDEX('Lease Cycles'!$GC$28:$GI$28,1,AK350)+1))*(1+'Lease Cycles'!$AK$28)+(INDEX(c_TAXy,1,AK$7)-INDEX(c_TAXy,1,INDEX('Lease Cycles'!$GC$28:$GI$28,1,AK350)+1))+(INDEX(c_INSy,1,AK$7)-INDEX(c_INSy,1,INDEX('Lease Cycles'!$GC$28:$GI$28,1,AK350)+1)))/12)</f>
        <v>0</v>
      </c>
      <c r="AL361" s="28">
        <f>IF(AL360=0,0,AL360*MAX(0,(INDEX(c_CAMy,1,AL$7)-INDEX(c_CAMy,1,INDEX('Lease Cycles'!$GC$28:$GI$28,1,AL350)+1))*(1+'Lease Cycles'!$AK$28)+(INDEX(c_TAXy,1,AL$7)-INDEX(c_TAXy,1,INDEX('Lease Cycles'!$GC$28:$GI$28,1,AL350)+1))+(INDEX(c_INSy,1,AL$7)-INDEX(c_INSy,1,INDEX('Lease Cycles'!$GC$28:$GI$28,1,AL350)+1)))/12)</f>
        <v>0</v>
      </c>
      <c r="AM361" s="28">
        <f>IF(AM360=0,0,AM360*MAX(0,(INDEX(c_CAMy,1,AM$7)-INDEX(c_CAMy,1,INDEX('Lease Cycles'!$GC$28:$GI$28,1,AM350)+1))*(1+'Lease Cycles'!$AK$28)+(INDEX(c_TAXy,1,AM$7)-INDEX(c_TAXy,1,INDEX('Lease Cycles'!$GC$28:$GI$28,1,AM350)+1))+(INDEX(c_INSy,1,AM$7)-INDEX(c_INSy,1,INDEX('Lease Cycles'!$GC$28:$GI$28,1,AM350)+1)))/12)</f>
        <v>0</v>
      </c>
      <c r="AN361" s="28">
        <f>IF(AN360=0,0,AN360*MAX(0,(INDEX(c_CAMy,1,AN$7)-INDEX(c_CAMy,1,INDEX('Lease Cycles'!$GC$28:$GI$28,1,AN350)+1))*(1+'Lease Cycles'!$AK$28)+(INDEX(c_TAXy,1,AN$7)-INDEX(c_TAXy,1,INDEX('Lease Cycles'!$GC$28:$GI$28,1,AN350)+1))+(INDEX(c_INSy,1,AN$7)-INDEX(c_INSy,1,INDEX('Lease Cycles'!$GC$28:$GI$28,1,AN350)+1)))/12)</f>
        <v>0</v>
      </c>
      <c r="AO361" s="28">
        <f>IF(AO360=0,0,AO360*MAX(0,(INDEX(c_CAMy,1,AO$7)-INDEX(c_CAMy,1,INDEX('Lease Cycles'!$GC$28:$GI$28,1,AO350)+1))*(1+'Lease Cycles'!$AK$28)+(INDEX(c_TAXy,1,AO$7)-INDEX(c_TAXy,1,INDEX('Lease Cycles'!$GC$28:$GI$28,1,AO350)+1))+(INDEX(c_INSy,1,AO$7)-INDEX(c_INSy,1,INDEX('Lease Cycles'!$GC$28:$GI$28,1,AO350)+1)))/12)</f>
        <v>0</v>
      </c>
      <c r="AP361" s="28">
        <f>IF(AP360=0,0,AP360*MAX(0,(INDEX(c_CAMy,1,AP$7)-INDEX(c_CAMy,1,INDEX('Lease Cycles'!$GC$28:$GI$28,1,AP350)+1))*(1+'Lease Cycles'!$AK$28)+(INDEX(c_TAXy,1,AP$7)-INDEX(c_TAXy,1,INDEX('Lease Cycles'!$GC$28:$GI$28,1,AP350)+1))+(INDEX(c_INSy,1,AP$7)-INDEX(c_INSy,1,INDEX('Lease Cycles'!$GC$28:$GI$28,1,AP350)+1)))/12)</f>
        <v>0</v>
      </c>
      <c r="AQ361" s="28">
        <f>IF(AQ360=0,0,AQ360*MAX(0,(INDEX(c_CAMy,1,AQ$7)-INDEX(c_CAMy,1,INDEX('Lease Cycles'!$GC$28:$GI$28,1,AQ350)+1))*(1+'Lease Cycles'!$AK$28)+(INDEX(c_TAXy,1,AQ$7)-INDEX(c_TAXy,1,INDEX('Lease Cycles'!$GC$28:$GI$28,1,AQ350)+1))+(INDEX(c_INSy,1,AQ$7)-INDEX(c_INSy,1,INDEX('Lease Cycles'!$GC$28:$GI$28,1,AQ350)+1)))/12)</f>
        <v>0</v>
      </c>
      <c r="AR361" s="28">
        <f>IF(AR360=0,0,AR360*MAX(0,(INDEX(c_CAMy,1,AR$7)-INDEX(c_CAMy,1,INDEX('Lease Cycles'!$GC$28:$GI$28,1,AR350)+1))*(1+'Lease Cycles'!$AK$28)+(INDEX(c_TAXy,1,AR$7)-INDEX(c_TAXy,1,INDEX('Lease Cycles'!$GC$28:$GI$28,1,AR350)+1))+(INDEX(c_INSy,1,AR$7)-INDEX(c_INSy,1,INDEX('Lease Cycles'!$GC$28:$GI$28,1,AR350)+1)))/12)</f>
        <v>0</v>
      </c>
      <c r="AS361" s="28">
        <f>IF(AS360=0,0,AS360*MAX(0,(INDEX(c_CAMy,1,AS$7)-INDEX(c_CAMy,1,INDEX('Lease Cycles'!$GC$28:$GI$28,1,AS350)+1))*(1+'Lease Cycles'!$AK$28)+(INDEX(c_TAXy,1,AS$7)-INDEX(c_TAXy,1,INDEX('Lease Cycles'!$GC$28:$GI$28,1,AS350)+1))+(INDEX(c_INSy,1,AS$7)-INDEX(c_INSy,1,INDEX('Lease Cycles'!$GC$28:$GI$28,1,AS350)+1)))/12)</f>
        <v>0</v>
      </c>
      <c r="AT361" s="28">
        <f>IF(AT360=0,0,AT360*MAX(0,(INDEX(c_CAMy,1,AT$7)-INDEX(c_CAMy,1,INDEX('Lease Cycles'!$GC$28:$GI$28,1,AT350)+1))*(1+'Lease Cycles'!$AK$28)+(INDEX(c_TAXy,1,AT$7)-INDEX(c_TAXy,1,INDEX('Lease Cycles'!$GC$28:$GI$28,1,AT350)+1))+(INDEX(c_INSy,1,AT$7)-INDEX(c_INSy,1,INDEX('Lease Cycles'!$GC$28:$GI$28,1,AT350)+1)))/12)</f>
        <v>0</v>
      </c>
      <c r="AU361" s="28">
        <f>IF(AU360=0,0,AU360*MAX(0,(INDEX(c_CAMy,1,AU$7)-INDEX(c_CAMy,1,INDEX('Lease Cycles'!$GC$28:$GI$28,1,AU350)+1))*(1+'Lease Cycles'!$AK$28)+(INDEX(c_TAXy,1,AU$7)-INDEX(c_TAXy,1,INDEX('Lease Cycles'!$GC$28:$GI$28,1,AU350)+1))+(INDEX(c_INSy,1,AU$7)-INDEX(c_INSy,1,INDEX('Lease Cycles'!$GC$28:$GI$28,1,AU350)+1)))/12)</f>
        <v>0</v>
      </c>
      <c r="AV361" s="28">
        <f>IF(AV360=0,0,AV360*MAX(0,(INDEX(c_CAMy,1,AV$7)-INDEX(c_CAMy,1,INDEX('Lease Cycles'!$GC$28:$GI$28,1,AV350)+1))*(1+'Lease Cycles'!$AK$28)+(INDEX(c_TAXy,1,AV$7)-INDEX(c_TAXy,1,INDEX('Lease Cycles'!$GC$28:$GI$28,1,AV350)+1))+(INDEX(c_INSy,1,AV$7)-INDEX(c_INSy,1,INDEX('Lease Cycles'!$GC$28:$GI$28,1,AV350)+1)))/12)</f>
        <v>0</v>
      </c>
      <c r="AW361" s="28">
        <f>IF(AW360=0,0,AW360*MAX(0,(INDEX(c_CAMy,1,AW$7)-INDEX(c_CAMy,1,INDEX('Lease Cycles'!$GC$28:$GI$28,1,AW350)+1))*(1+'Lease Cycles'!$AK$28)+(INDEX(c_TAXy,1,AW$7)-INDEX(c_TAXy,1,INDEX('Lease Cycles'!$GC$28:$GI$28,1,AW350)+1))+(INDEX(c_INSy,1,AW$7)-INDEX(c_INSy,1,INDEX('Lease Cycles'!$GC$28:$GI$28,1,AW350)+1)))/12)</f>
        <v>0</v>
      </c>
      <c r="AX361" s="28">
        <f>IF(AX360=0,0,AX360*MAX(0,(INDEX(c_CAMy,1,AX$7)-INDEX(c_CAMy,1,INDEX('Lease Cycles'!$GC$28:$GI$28,1,AX350)+1))*(1+'Lease Cycles'!$AK$28)+(INDEX(c_TAXy,1,AX$7)-INDEX(c_TAXy,1,INDEX('Lease Cycles'!$GC$28:$GI$28,1,AX350)+1))+(INDEX(c_INSy,1,AX$7)-INDEX(c_INSy,1,INDEX('Lease Cycles'!$GC$28:$GI$28,1,AX350)+1)))/12)</f>
        <v>0</v>
      </c>
      <c r="AY361" s="28">
        <f>IF(AY360=0,0,AY360*MAX(0,(INDEX(c_CAMy,1,AY$7)-INDEX(c_CAMy,1,INDEX('Lease Cycles'!$GC$28:$GI$28,1,AY350)+1))*(1+'Lease Cycles'!$AK$28)+(INDEX(c_TAXy,1,AY$7)-INDEX(c_TAXy,1,INDEX('Lease Cycles'!$GC$28:$GI$28,1,AY350)+1))+(INDEX(c_INSy,1,AY$7)-INDEX(c_INSy,1,INDEX('Lease Cycles'!$GC$28:$GI$28,1,AY350)+1)))/12)</f>
        <v>0</v>
      </c>
      <c r="AZ361" s="28">
        <f>IF(AZ360=0,0,AZ360*MAX(0,(INDEX(c_CAMy,1,AZ$7)-INDEX(c_CAMy,1,INDEX('Lease Cycles'!$GC$28:$GI$28,1,AZ350)+1))*(1+'Lease Cycles'!$AK$28)+(INDEX(c_TAXy,1,AZ$7)-INDEX(c_TAXy,1,INDEX('Lease Cycles'!$GC$28:$GI$28,1,AZ350)+1))+(INDEX(c_INSy,1,AZ$7)-INDEX(c_INSy,1,INDEX('Lease Cycles'!$GC$28:$GI$28,1,AZ350)+1)))/12)</f>
        <v>0</v>
      </c>
      <c r="BA361" s="28">
        <f>IF(BA360=0,0,BA360*MAX(0,(INDEX(c_CAMy,1,BA$7)-INDEX(c_CAMy,1,INDEX('Lease Cycles'!$GC$28:$GI$28,1,BA350)+1))*(1+'Lease Cycles'!$AK$28)+(INDEX(c_TAXy,1,BA$7)-INDEX(c_TAXy,1,INDEX('Lease Cycles'!$GC$28:$GI$28,1,BA350)+1))+(INDEX(c_INSy,1,BA$7)-INDEX(c_INSy,1,INDEX('Lease Cycles'!$GC$28:$GI$28,1,BA350)+1)))/12)</f>
        <v>0</v>
      </c>
      <c r="BB361" s="28">
        <f>IF(BB360=0,0,BB360*MAX(0,(INDEX(c_CAMy,1,BB$7)-INDEX(c_CAMy,1,INDEX('Lease Cycles'!$GC$28:$GI$28,1,BB350)+1))*(1+'Lease Cycles'!$AK$28)+(INDEX(c_TAXy,1,BB$7)-INDEX(c_TAXy,1,INDEX('Lease Cycles'!$GC$28:$GI$28,1,BB350)+1))+(INDEX(c_INSy,1,BB$7)-INDEX(c_INSy,1,INDEX('Lease Cycles'!$GC$28:$GI$28,1,BB350)+1)))/12)</f>
        <v>0</v>
      </c>
      <c r="BC361" s="28">
        <f>IF(BC360=0,0,BC360*MAX(0,(INDEX(c_CAMy,1,BC$7)-INDEX(c_CAMy,1,INDEX('Lease Cycles'!$GC$28:$GI$28,1,BC350)+1))*(1+'Lease Cycles'!$AK$28)+(INDEX(c_TAXy,1,BC$7)-INDEX(c_TAXy,1,INDEX('Lease Cycles'!$GC$28:$GI$28,1,BC350)+1))+(INDEX(c_INSy,1,BC$7)-INDEX(c_INSy,1,INDEX('Lease Cycles'!$GC$28:$GI$28,1,BC350)+1)))/12)</f>
        <v>0</v>
      </c>
      <c r="BD361" s="28">
        <f>IF(BD360=0,0,BD360*MAX(0,(INDEX(c_CAMy,1,BD$7)-INDEX(c_CAMy,1,INDEX('Lease Cycles'!$GC$28:$GI$28,1,BD350)+1))*(1+'Lease Cycles'!$AK$28)+(INDEX(c_TAXy,1,BD$7)-INDEX(c_TAXy,1,INDEX('Lease Cycles'!$GC$28:$GI$28,1,BD350)+1))+(INDEX(c_INSy,1,BD$7)-INDEX(c_INSy,1,INDEX('Lease Cycles'!$GC$28:$GI$28,1,BD350)+1)))/12)</f>
        <v>0</v>
      </c>
      <c r="BE361" s="28">
        <f>IF(BE360=0,0,BE360*MAX(0,(INDEX(c_CAMy,1,BE$7)-INDEX(c_CAMy,1,INDEX('Lease Cycles'!$GC$28:$GI$28,1,BE350)+1))*(1+'Lease Cycles'!$AK$28)+(INDEX(c_TAXy,1,BE$7)-INDEX(c_TAXy,1,INDEX('Lease Cycles'!$GC$28:$GI$28,1,BE350)+1))+(INDEX(c_INSy,1,BE$7)-INDEX(c_INSy,1,INDEX('Lease Cycles'!$GC$28:$GI$28,1,BE350)+1)))/12)</f>
        <v>0</v>
      </c>
      <c r="BF361" s="28">
        <f>IF(BF360=0,0,BF360*MAX(0,(INDEX(c_CAMy,1,BF$7)-INDEX(c_CAMy,1,INDEX('Lease Cycles'!$GC$28:$GI$28,1,BF350)+1))*(1+'Lease Cycles'!$AK$28)+(INDEX(c_TAXy,1,BF$7)-INDEX(c_TAXy,1,INDEX('Lease Cycles'!$GC$28:$GI$28,1,BF350)+1))+(INDEX(c_INSy,1,BF$7)-INDEX(c_INSy,1,INDEX('Lease Cycles'!$GC$28:$GI$28,1,BF350)+1)))/12)</f>
        <v>0</v>
      </c>
      <c r="BG361" s="28">
        <f>IF(BG360=0,0,BG360*MAX(0,(INDEX(c_CAMy,1,BG$7)-INDEX(c_CAMy,1,INDEX('Lease Cycles'!$GC$28:$GI$28,1,BG350)+1))*(1+'Lease Cycles'!$AK$28)+(INDEX(c_TAXy,1,BG$7)-INDEX(c_TAXy,1,INDEX('Lease Cycles'!$GC$28:$GI$28,1,BG350)+1))+(INDEX(c_INSy,1,BG$7)-INDEX(c_INSy,1,INDEX('Lease Cycles'!$GC$28:$GI$28,1,BG350)+1)))/12)</f>
        <v>0</v>
      </c>
      <c r="BH361" s="28">
        <f>IF(BH360=0,0,BH360*MAX(0,(INDEX(c_CAMy,1,BH$7)-INDEX(c_CAMy,1,INDEX('Lease Cycles'!$GC$28:$GI$28,1,BH350)+1))*(1+'Lease Cycles'!$AK$28)+(INDEX(c_TAXy,1,BH$7)-INDEX(c_TAXy,1,INDEX('Lease Cycles'!$GC$28:$GI$28,1,BH350)+1))+(INDEX(c_INSy,1,BH$7)-INDEX(c_INSy,1,INDEX('Lease Cycles'!$GC$28:$GI$28,1,BH350)+1)))/12)</f>
        <v>0</v>
      </c>
      <c r="BI361" s="28">
        <f>IF(BI360=0,0,BI360*MAX(0,(INDEX(c_CAMy,1,BI$7)-INDEX(c_CAMy,1,INDEX('Lease Cycles'!$GC$28:$GI$28,1,BI350)+1))*(1+'Lease Cycles'!$AK$28)+(INDEX(c_TAXy,1,BI$7)-INDEX(c_TAXy,1,INDEX('Lease Cycles'!$GC$28:$GI$28,1,BI350)+1))+(INDEX(c_INSy,1,BI$7)-INDEX(c_INSy,1,INDEX('Lease Cycles'!$GC$28:$GI$28,1,BI350)+1)))/12)</f>
        <v>0</v>
      </c>
      <c r="BJ361" s="28">
        <f>IF(BJ360=0,0,BJ360*MAX(0,(INDEX(c_CAMy,1,BJ$7)-INDEX(c_CAMy,1,INDEX('Lease Cycles'!$GC$28:$GI$28,1,BJ350)+1))*(1+'Lease Cycles'!$AK$28)+(INDEX(c_TAXy,1,BJ$7)-INDEX(c_TAXy,1,INDEX('Lease Cycles'!$GC$28:$GI$28,1,BJ350)+1))+(INDEX(c_INSy,1,BJ$7)-INDEX(c_INSy,1,INDEX('Lease Cycles'!$GC$28:$GI$28,1,BJ350)+1)))/12)</f>
        <v>0</v>
      </c>
      <c r="BK361" s="28">
        <f>IF(BK360=0,0,BK360*MAX(0,(INDEX(c_CAMy,1,BK$7)-INDEX(c_CAMy,1,INDEX('Lease Cycles'!$GC$28:$GI$28,1,BK350)+1))*(1+'Lease Cycles'!$AK$28)+(INDEX(c_TAXy,1,BK$7)-INDEX(c_TAXy,1,INDEX('Lease Cycles'!$GC$28:$GI$28,1,BK350)+1))+(INDEX(c_INSy,1,BK$7)-INDEX(c_INSy,1,INDEX('Lease Cycles'!$GC$28:$GI$28,1,BK350)+1)))/12)</f>
        <v>0</v>
      </c>
      <c r="BL361" s="28">
        <f>IF(BL360=0,0,BL360*MAX(0,(INDEX(c_CAMy,1,BL$7)-INDEX(c_CAMy,1,INDEX('Lease Cycles'!$GC$28:$GI$28,1,BL350)+1))*(1+'Lease Cycles'!$AK$28)+(INDEX(c_TAXy,1,BL$7)-INDEX(c_TAXy,1,INDEX('Lease Cycles'!$GC$28:$GI$28,1,BL350)+1))+(INDEX(c_INSy,1,BL$7)-INDEX(c_INSy,1,INDEX('Lease Cycles'!$GC$28:$GI$28,1,BL350)+1)))/12)</f>
        <v>0</v>
      </c>
      <c r="BM361" s="28">
        <f>IF(BM360=0,0,BM360*MAX(0,(INDEX(c_CAMy,1,BM$7)-INDEX(c_CAMy,1,INDEX('Lease Cycles'!$GC$28:$GI$28,1,BM350)+1))*(1+'Lease Cycles'!$AK$28)+(INDEX(c_TAXy,1,BM$7)-INDEX(c_TAXy,1,INDEX('Lease Cycles'!$GC$28:$GI$28,1,BM350)+1))+(INDEX(c_INSy,1,BM$7)-INDEX(c_INSy,1,INDEX('Lease Cycles'!$GC$28:$GI$28,1,BM350)+1)))/12)</f>
        <v>0</v>
      </c>
      <c r="BN361" s="28">
        <f>IF(BN360=0,0,BN360*MAX(0,(INDEX(c_CAMy,1,BN$7)-INDEX(c_CAMy,1,INDEX('Lease Cycles'!$GC$28:$GI$28,1,BN350)+1))*(1+'Lease Cycles'!$AK$28)+(INDEX(c_TAXy,1,BN$7)-INDEX(c_TAXy,1,INDEX('Lease Cycles'!$GC$28:$GI$28,1,BN350)+1))+(INDEX(c_INSy,1,BN$7)-INDEX(c_INSy,1,INDEX('Lease Cycles'!$GC$28:$GI$28,1,BN350)+1)))/12)</f>
        <v>0</v>
      </c>
      <c r="BO361" s="28">
        <f>IF(BO360=0,0,BO360*MAX(0,(INDEX(c_CAMy,1,BO$7)-INDEX(c_CAMy,1,INDEX('Lease Cycles'!$GC$28:$GI$28,1,BO350)+1))*(1+'Lease Cycles'!$AK$28)+(INDEX(c_TAXy,1,BO$7)-INDEX(c_TAXy,1,INDEX('Lease Cycles'!$GC$28:$GI$28,1,BO350)+1))+(INDEX(c_INSy,1,BO$7)-INDEX(c_INSy,1,INDEX('Lease Cycles'!$GC$28:$GI$28,1,BO350)+1)))/12)</f>
        <v>0</v>
      </c>
      <c r="BP361" s="28">
        <f>IF(BP360=0,0,BP360*MAX(0,(INDEX(c_CAMy,1,BP$7)-INDEX(c_CAMy,1,INDEX('Lease Cycles'!$GC$28:$GI$28,1,BP350)+1))*(1+'Lease Cycles'!$AK$28)+(INDEX(c_TAXy,1,BP$7)-INDEX(c_TAXy,1,INDEX('Lease Cycles'!$GC$28:$GI$28,1,BP350)+1))+(INDEX(c_INSy,1,BP$7)-INDEX(c_INSy,1,INDEX('Lease Cycles'!$GC$28:$GI$28,1,BP350)+1)))/12)</f>
        <v>0</v>
      </c>
      <c r="BQ361" s="28">
        <f>IF(BQ360=0,0,BQ360*MAX(0,(INDEX(c_CAMy,1,BQ$7)-INDEX(c_CAMy,1,INDEX('Lease Cycles'!$GC$28:$GI$28,1,BQ350)+1))*(1+'Lease Cycles'!$AK$28)+(INDEX(c_TAXy,1,BQ$7)-INDEX(c_TAXy,1,INDEX('Lease Cycles'!$GC$28:$GI$28,1,BQ350)+1))+(INDEX(c_INSy,1,BQ$7)-INDEX(c_INSy,1,INDEX('Lease Cycles'!$GC$28:$GI$28,1,BQ350)+1)))/12)</f>
        <v>0</v>
      </c>
      <c r="BR361" s="28">
        <f>IF(BR360=0,0,BR360*MAX(0,(INDEX(c_CAMy,1,BR$7)-INDEX(c_CAMy,1,INDEX('Lease Cycles'!$GC$28:$GI$28,1,BR350)+1))*(1+'Lease Cycles'!$AK$28)+(INDEX(c_TAXy,1,BR$7)-INDEX(c_TAXy,1,INDEX('Lease Cycles'!$GC$28:$GI$28,1,BR350)+1))+(INDEX(c_INSy,1,BR$7)-INDEX(c_INSy,1,INDEX('Lease Cycles'!$GC$28:$GI$28,1,BR350)+1)))/12)</f>
        <v>0</v>
      </c>
      <c r="BS361" s="28">
        <f>IF(BS360=0,0,BS360*MAX(0,(INDEX(c_CAMy,1,BS$7)-INDEX(c_CAMy,1,INDEX('Lease Cycles'!$GC$28:$GI$28,1,BS350)+1))*(1+'Lease Cycles'!$AK$28)+(INDEX(c_TAXy,1,BS$7)-INDEX(c_TAXy,1,INDEX('Lease Cycles'!$GC$28:$GI$28,1,BS350)+1))+(INDEX(c_INSy,1,BS$7)-INDEX(c_INSy,1,INDEX('Lease Cycles'!$GC$28:$GI$28,1,BS350)+1)))/12)</f>
        <v>0</v>
      </c>
      <c r="BT361" s="28">
        <f>IF(BT360=0,0,BT360*MAX(0,(INDEX(c_CAMy,1,BT$7)-INDEX(c_CAMy,1,INDEX('Lease Cycles'!$GC$28:$GI$28,1,BT350)+1))*(1+'Lease Cycles'!$AK$28)+(INDEX(c_TAXy,1,BT$7)-INDEX(c_TAXy,1,INDEX('Lease Cycles'!$GC$28:$GI$28,1,BT350)+1))+(INDEX(c_INSy,1,BT$7)-INDEX(c_INSy,1,INDEX('Lease Cycles'!$GC$28:$GI$28,1,BT350)+1)))/12)</f>
        <v>0</v>
      </c>
      <c r="BU361" s="28">
        <f>IF(BU360=0,0,BU360*MAX(0,(INDEX(c_CAMy,1,BU$7)-INDEX(c_CAMy,1,INDEX('Lease Cycles'!$GC$28:$GI$28,1,BU350)+1))*(1+'Lease Cycles'!$AK$28)+(INDEX(c_TAXy,1,BU$7)-INDEX(c_TAXy,1,INDEX('Lease Cycles'!$GC$28:$GI$28,1,BU350)+1))+(INDEX(c_INSy,1,BU$7)-INDEX(c_INSy,1,INDEX('Lease Cycles'!$GC$28:$GI$28,1,BU350)+1)))/12)</f>
        <v>0</v>
      </c>
      <c r="BV361" s="28">
        <f>IF(BV360=0,0,BV360*MAX(0,(INDEX(c_CAMy,1,BV$7)-INDEX(c_CAMy,1,INDEX('Lease Cycles'!$GC$28:$GI$28,1,BV350)+1))*(1+'Lease Cycles'!$AK$28)+(INDEX(c_TAXy,1,BV$7)-INDEX(c_TAXy,1,INDEX('Lease Cycles'!$GC$28:$GI$28,1,BV350)+1))+(INDEX(c_INSy,1,BV$7)-INDEX(c_INSy,1,INDEX('Lease Cycles'!$GC$28:$GI$28,1,BV350)+1)))/12)</f>
        <v>0</v>
      </c>
      <c r="BW361" s="28">
        <f>IF(BW360=0,0,BW360*MAX(0,(INDEX(c_CAMy,1,BW$7)-INDEX(c_CAMy,1,INDEX('Lease Cycles'!$GC$28:$GI$28,1,BW350)+1))*(1+'Lease Cycles'!$AK$28)+(INDEX(c_TAXy,1,BW$7)-INDEX(c_TAXy,1,INDEX('Lease Cycles'!$GC$28:$GI$28,1,BW350)+1))+(INDEX(c_INSy,1,BW$7)-INDEX(c_INSy,1,INDEX('Lease Cycles'!$GC$28:$GI$28,1,BW350)+1)))/12)</f>
        <v>0</v>
      </c>
      <c r="BX361" s="28">
        <f>IF(BX360=0,0,BX360*MAX(0,(INDEX(c_CAMy,1,BX$7)-INDEX(c_CAMy,1,INDEX('Lease Cycles'!$GC$28:$GI$28,1,BX350)+1))*(1+'Lease Cycles'!$AK$28)+(INDEX(c_TAXy,1,BX$7)-INDEX(c_TAXy,1,INDEX('Lease Cycles'!$GC$28:$GI$28,1,BX350)+1))+(INDEX(c_INSy,1,BX$7)-INDEX(c_INSy,1,INDEX('Lease Cycles'!$GC$28:$GI$28,1,BX350)+1)))/12)</f>
        <v>0</v>
      </c>
      <c r="BY361" s="28">
        <f>IF(BY360=0,0,BY360*MAX(0,(INDEX(c_CAMy,1,BY$7)-INDEX(c_CAMy,1,INDEX('Lease Cycles'!$GC$28:$GI$28,1,BY350)+1))*(1+'Lease Cycles'!$AK$28)+(INDEX(c_TAXy,1,BY$7)-INDEX(c_TAXy,1,INDEX('Lease Cycles'!$GC$28:$GI$28,1,BY350)+1))+(INDEX(c_INSy,1,BY$7)-INDEX(c_INSy,1,INDEX('Lease Cycles'!$GC$28:$GI$28,1,BY350)+1)))/12)</f>
        <v>0</v>
      </c>
      <c r="BZ361" s="28">
        <f>IF(BZ360=0,0,BZ360*MAX(0,(INDEX(c_CAMy,1,BZ$7)-INDEX(c_CAMy,1,INDEX('Lease Cycles'!$GC$28:$GI$28,1,BZ350)+1))*(1+'Lease Cycles'!$AK$28)+(INDEX(c_TAXy,1,BZ$7)-INDEX(c_TAXy,1,INDEX('Lease Cycles'!$GC$28:$GI$28,1,BZ350)+1))+(INDEX(c_INSy,1,BZ$7)-INDEX(c_INSy,1,INDEX('Lease Cycles'!$GC$28:$GI$28,1,BZ350)+1)))/12)</f>
        <v>0</v>
      </c>
      <c r="CA361" s="28">
        <f>IF(CA360=0,0,CA360*MAX(0,(INDEX(c_CAMy,1,CA$7)-INDEX(c_CAMy,1,INDEX('Lease Cycles'!$GC$28:$GI$28,1,CA350)+1))*(1+'Lease Cycles'!$AK$28)+(INDEX(c_TAXy,1,CA$7)-INDEX(c_TAXy,1,INDEX('Lease Cycles'!$GC$28:$GI$28,1,CA350)+1))+(INDEX(c_INSy,1,CA$7)-INDEX(c_INSy,1,INDEX('Lease Cycles'!$GC$28:$GI$28,1,CA350)+1)))/12)</f>
        <v>0</v>
      </c>
      <c r="CB361" s="28">
        <f>IF(CB360=0,0,CB360*MAX(0,(INDEX(c_CAMy,1,CB$7)-INDEX(c_CAMy,1,INDEX('Lease Cycles'!$GC$28:$GI$28,1,CB350)+1))*(1+'Lease Cycles'!$AK$28)+(INDEX(c_TAXy,1,CB$7)-INDEX(c_TAXy,1,INDEX('Lease Cycles'!$GC$28:$GI$28,1,CB350)+1))+(INDEX(c_INSy,1,CB$7)-INDEX(c_INSy,1,INDEX('Lease Cycles'!$GC$28:$GI$28,1,CB350)+1)))/12)</f>
        <v>0</v>
      </c>
      <c r="CC361" s="28">
        <f>IF(CC360=0,0,CC360*MAX(0,(INDEX(c_CAMy,1,CC$7)-INDEX(c_CAMy,1,INDEX('Lease Cycles'!$GC$28:$GI$28,1,CC350)+1))*(1+'Lease Cycles'!$AK$28)+(INDEX(c_TAXy,1,CC$7)-INDEX(c_TAXy,1,INDEX('Lease Cycles'!$GC$28:$GI$28,1,CC350)+1))+(INDEX(c_INSy,1,CC$7)-INDEX(c_INSy,1,INDEX('Lease Cycles'!$GC$28:$GI$28,1,CC350)+1)))/12)</f>
        <v>0</v>
      </c>
      <c r="CD361" s="28">
        <f>IF(CD360=0,0,CD360*MAX(0,(INDEX(c_CAMy,1,CD$7)-INDEX(c_CAMy,1,INDEX('Lease Cycles'!$GC$28:$GI$28,1,CD350)+1))*(1+'Lease Cycles'!$AK$28)+(INDEX(c_TAXy,1,CD$7)-INDEX(c_TAXy,1,INDEX('Lease Cycles'!$GC$28:$GI$28,1,CD350)+1))+(INDEX(c_INSy,1,CD$7)-INDEX(c_INSy,1,INDEX('Lease Cycles'!$GC$28:$GI$28,1,CD350)+1)))/12)</f>
        <v>0</v>
      </c>
      <c r="CE361" s="28">
        <f>IF(CE360=0,0,CE360*MAX(0,(INDEX(c_CAMy,1,CE$7)-INDEX(c_CAMy,1,INDEX('Lease Cycles'!$GC$28:$GI$28,1,CE350)+1))*(1+'Lease Cycles'!$AK$28)+(INDEX(c_TAXy,1,CE$7)-INDEX(c_TAXy,1,INDEX('Lease Cycles'!$GC$28:$GI$28,1,CE350)+1))+(INDEX(c_INSy,1,CE$7)-INDEX(c_INSy,1,INDEX('Lease Cycles'!$GC$28:$GI$28,1,CE350)+1)))/12)</f>
        <v>0</v>
      </c>
      <c r="CF361" s="28">
        <f>IF(CF360=0,0,CF360*MAX(0,(INDEX(c_CAMy,1,CF$7)-INDEX(c_CAMy,1,INDEX('Lease Cycles'!$GC$28:$GI$28,1,CF350)+1))*(1+'Lease Cycles'!$AK$28)+(INDEX(c_TAXy,1,CF$7)-INDEX(c_TAXy,1,INDEX('Lease Cycles'!$GC$28:$GI$28,1,CF350)+1))+(INDEX(c_INSy,1,CF$7)-INDEX(c_INSy,1,INDEX('Lease Cycles'!$GC$28:$GI$28,1,CF350)+1)))/12)</f>
        <v>0</v>
      </c>
      <c r="CG361" s="28">
        <f>IF(CG360=0,0,CG360*MAX(0,(INDEX(c_CAMy,1,CG$7)-INDEX(c_CAMy,1,INDEX('Lease Cycles'!$GC$28:$GI$28,1,CG350)+1))*(1+'Lease Cycles'!$AK$28)+(INDEX(c_TAXy,1,CG$7)-INDEX(c_TAXy,1,INDEX('Lease Cycles'!$GC$28:$GI$28,1,CG350)+1))+(INDEX(c_INSy,1,CG$7)-INDEX(c_INSy,1,INDEX('Lease Cycles'!$GC$28:$GI$28,1,CG350)+1)))/12)</f>
        <v>0</v>
      </c>
      <c r="CH361" s="28">
        <f>IF(CH360=0,0,CH360*MAX(0,(INDEX(c_CAMy,1,CH$7)-INDEX(c_CAMy,1,INDEX('Lease Cycles'!$GC$28:$GI$28,1,CH350)+1))*(1+'Lease Cycles'!$AK$28)+(INDEX(c_TAXy,1,CH$7)-INDEX(c_TAXy,1,INDEX('Lease Cycles'!$GC$28:$GI$28,1,CH350)+1))+(INDEX(c_INSy,1,CH$7)-INDEX(c_INSy,1,INDEX('Lease Cycles'!$GC$28:$GI$28,1,CH350)+1)))/12)</f>
        <v>0</v>
      </c>
      <c r="CI361" s="28">
        <f>IF(CI360=0,0,CI360*MAX(0,(INDEX(c_CAMy,1,CI$7)-INDEX(c_CAMy,1,INDEX('Lease Cycles'!$GC$28:$GI$28,1,CI350)+1))*(1+'Lease Cycles'!$AK$28)+(INDEX(c_TAXy,1,CI$7)-INDEX(c_TAXy,1,INDEX('Lease Cycles'!$GC$28:$GI$28,1,CI350)+1))+(INDEX(c_INSy,1,CI$7)-INDEX(c_INSy,1,INDEX('Lease Cycles'!$GC$28:$GI$28,1,CI350)+1)))/12)</f>
        <v>0</v>
      </c>
      <c r="CJ361" s="28">
        <f>IF(CJ360=0,0,CJ360*MAX(0,(INDEX(c_CAMy,1,CJ$7)-INDEX(c_CAMy,1,INDEX('Lease Cycles'!$GC$28:$GI$28,1,CJ350)+1))*(1+'Lease Cycles'!$AK$28)+(INDEX(c_TAXy,1,CJ$7)-INDEX(c_TAXy,1,INDEX('Lease Cycles'!$GC$28:$GI$28,1,CJ350)+1))+(INDEX(c_INSy,1,CJ$7)-INDEX(c_INSy,1,INDEX('Lease Cycles'!$GC$28:$GI$28,1,CJ350)+1)))/12)</f>
        <v>0</v>
      </c>
      <c r="CK361" s="28">
        <f>IF(CK360=0,0,CK360*MAX(0,(INDEX(c_CAMy,1,CK$7)-INDEX(c_CAMy,1,INDEX('Lease Cycles'!$GC$28:$GI$28,1,CK350)+1))*(1+'Lease Cycles'!$AK$28)+(INDEX(c_TAXy,1,CK$7)-INDEX(c_TAXy,1,INDEX('Lease Cycles'!$GC$28:$GI$28,1,CK350)+1))+(INDEX(c_INSy,1,CK$7)-INDEX(c_INSy,1,INDEX('Lease Cycles'!$GC$28:$GI$28,1,CK350)+1)))/12)</f>
        <v>0</v>
      </c>
      <c r="CL361" s="28">
        <f>IF(CL360=0,0,CL360*MAX(0,(INDEX(c_CAMy,1,CL$7)-INDEX(c_CAMy,1,INDEX('Lease Cycles'!$GC$28:$GI$28,1,CL350)+1))*(1+'Lease Cycles'!$AK$28)+(INDEX(c_TAXy,1,CL$7)-INDEX(c_TAXy,1,INDEX('Lease Cycles'!$GC$28:$GI$28,1,CL350)+1))+(INDEX(c_INSy,1,CL$7)-INDEX(c_INSy,1,INDEX('Lease Cycles'!$GC$28:$GI$28,1,CL350)+1)))/12)</f>
        <v>0</v>
      </c>
      <c r="CM361" s="28">
        <f>IF(CM360=0,0,CM360*MAX(0,(INDEX(c_CAMy,1,CM$7)-INDEX(c_CAMy,1,INDEX('Lease Cycles'!$GC$28:$GI$28,1,CM350)+1))*(1+'Lease Cycles'!$AK$28)+(INDEX(c_TAXy,1,CM$7)-INDEX(c_TAXy,1,INDEX('Lease Cycles'!$GC$28:$GI$28,1,CM350)+1))+(INDEX(c_INSy,1,CM$7)-INDEX(c_INSy,1,INDEX('Lease Cycles'!$GC$28:$GI$28,1,CM350)+1)))/12)</f>
        <v>0</v>
      </c>
      <c r="CN361" s="28">
        <f>IF(CN360=0,0,CN360*MAX(0,(INDEX(c_CAMy,1,CN$7)-INDEX(c_CAMy,1,INDEX('Lease Cycles'!$GC$28:$GI$28,1,CN350)+1))*(1+'Lease Cycles'!$AK$28)+(INDEX(c_TAXy,1,CN$7)-INDEX(c_TAXy,1,INDEX('Lease Cycles'!$GC$28:$GI$28,1,CN350)+1))+(INDEX(c_INSy,1,CN$7)-INDEX(c_INSy,1,INDEX('Lease Cycles'!$GC$28:$GI$28,1,CN350)+1)))/12)</f>
        <v>0</v>
      </c>
      <c r="CO361" s="28">
        <f>IF(CO360=0,0,CO360*MAX(0,(INDEX(c_CAMy,1,CO$7)-INDEX(c_CAMy,1,INDEX('Lease Cycles'!$GC$28:$GI$28,1,CO350)+1))*(1+'Lease Cycles'!$AK$28)+(INDEX(c_TAXy,1,CO$7)-INDEX(c_TAXy,1,INDEX('Lease Cycles'!$GC$28:$GI$28,1,CO350)+1))+(INDEX(c_INSy,1,CO$7)-INDEX(c_INSy,1,INDEX('Lease Cycles'!$GC$28:$GI$28,1,CO350)+1)))/12)</f>
        <v>0</v>
      </c>
      <c r="CP361" s="28">
        <f>IF(CP360=0,0,CP360*MAX(0,(INDEX(c_CAMy,1,CP$7)-INDEX(c_CAMy,1,INDEX('Lease Cycles'!$GC$28:$GI$28,1,CP350)+1))*(1+'Lease Cycles'!$AK$28)+(INDEX(c_TAXy,1,CP$7)-INDEX(c_TAXy,1,INDEX('Lease Cycles'!$GC$28:$GI$28,1,CP350)+1))+(INDEX(c_INSy,1,CP$7)-INDEX(c_INSy,1,INDEX('Lease Cycles'!$GC$28:$GI$28,1,CP350)+1)))/12)</f>
        <v>0</v>
      </c>
      <c r="CQ361" s="28">
        <f>IF(CQ360=0,0,CQ360*MAX(0,(INDEX(c_CAMy,1,CQ$7)-INDEX(c_CAMy,1,INDEX('Lease Cycles'!$GC$28:$GI$28,1,CQ350)+1))*(1+'Lease Cycles'!$AK$28)+(INDEX(c_TAXy,1,CQ$7)-INDEX(c_TAXy,1,INDEX('Lease Cycles'!$GC$28:$GI$28,1,CQ350)+1))+(INDEX(c_INSy,1,CQ$7)-INDEX(c_INSy,1,INDEX('Lease Cycles'!$GC$28:$GI$28,1,CQ350)+1)))/12)</f>
        <v>0</v>
      </c>
      <c r="CR361" s="28">
        <f>IF(CR360=0,0,CR360*MAX(0,(INDEX(c_CAMy,1,CR$7)-INDEX(c_CAMy,1,INDEX('Lease Cycles'!$GC$28:$GI$28,1,CR350)+1))*(1+'Lease Cycles'!$AK$28)+(INDEX(c_TAXy,1,CR$7)-INDEX(c_TAXy,1,INDEX('Lease Cycles'!$GC$28:$GI$28,1,CR350)+1))+(INDEX(c_INSy,1,CR$7)-INDEX(c_INSy,1,INDEX('Lease Cycles'!$GC$28:$GI$28,1,CR350)+1)))/12)</f>
        <v>0</v>
      </c>
      <c r="CS361" s="28">
        <f>IF(CS360=0,0,CS360*MAX(0,(INDEX(c_CAMy,1,CS$7)-INDEX(c_CAMy,1,INDEX('Lease Cycles'!$GC$28:$GI$28,1,CS350)+1))*(1+'Lease Cycles'!$AK$28)+(INDEX(c_TAXy,1,CS$7)-INDEX(c_TAXy,1,INDEX('Lease Cycles'!$GC$28:$GI$28,1,CS350)+1))+(INDEX(c_INSy,1,CS$7)-INDEX(c_INSy,1,INDEX('Lease Cycles'!$GC$28:$GI$28,1,CS350)+1)))/12)</f>
        <v>0</v>
      </c>
      <c r="CT361" s="28">
        <f>IF(CT360=0,0,CT360*MAX(0,(INDEX(c_CAMy,1,CT$7)-INDEX(c_CAMy,1,INDEX('Lease Cycles'!$GC$28:$GI$28,1,CT350)+1))*(1+'Lease Cycles'!$AK$28)+(INDEX(c_TAXy,1,CT$7)-INDEX(c_TAXy,1,INDEX('Lease Cycles'!$GC$28:$GI$28,1,CT350)+1))+(INDEX(c_INSy,1,CT$7)-INDEX(c_INSy,1,INDEX('Lease Cycles'!$GC$28:$GI$28,1,CT350)+1)))/12)</f>
        <v>0</v>
      </c>
      <c r="CU361" s="28">
        <f>IF(CU360=0,0,CU360*MAX(0,(INDEX(c_CAMy,1,CU$7)-INDEX(c_CAMy,1,INDEX('Lease Cycles'!$GC$28:$GI$28,1,CU350)+1))*(1+'Lease Cycles'!$AK$28)+(INDEX(c_TAXy,1,CU$7)-INDEX(c_TAXy,1,INDEX('Lease Cycles'!$GC$28:$GI$28,1,CU350)+1))+(INDEX(c_INSy,1,CU$7)-INDEX(c_INSy,1,INDEX('Lease Cycles'!$GC$28:$GI$28,1,CU350)+1)))/12)</f>
        <v>0</v>
      </c>
      <c r="CV361" s="28">
        <f>IF(CV360=0,0,CV360*MAX(0,(INDEX(c_CAMy,1,CV$7)-INDEX(c_CAMy,1,INDEX('Lease Cycles'!$GC$28:$GI$28,1,CV350)+1))*(1+'Lease Cycles'!$AK$28)+(INDEX(c_TAXy,1,CV$7)-INDEX(c_TAXy,1,INDEX('Lease Cycles'!$GC$28:$GI$28,1,CV350)+1))+(INDEX(c_INSy,1,CV$7)-INDEX(c_INSy,1,INDEX('Lease Cycles'!$GC$28:$GI$28,1,CV350)+1)))/12)</f>
        <v>0</v>
      </c>
      <c r="CW361" s="28">
        <f>IF(CW360=0,0,CW360*MAX(0,(INDEX(c_CAMy,1,CW$7)-INDEX(c_CAMy,1,INDEX('Lease Cycles'!$GC$28:$GI$28,1,CW350)+1))*(1+'Lease Cycles'!$AK$28)+(INDEX(c_TAXy,1,CW$7)-INDEX(c_TAXy,1,INDEX('Lease Cycles'!$GC$28:$GI$28,1,CW350)+1))+(INDEX(c_INSy,1,CW$7)-INDEX(c_INSy,1,INDEX('Lease Cycles'!$GC$28:$GI$28,1,CW350)+1)))/12)</f>
        <v>0</v>
      </c>
      <c r="CX361" s="28">
        <f>IF(CX360=0,0,CX360*MAX(0,(INDEX(c_CAMy,1,CX$7)-INDEX(c_CAMy,1,INDEX('Lease Cycles'!$GC$28:$GI$28,1,CX350)+1))*(1+'Lease Cycles'!$AK$28)+(INDEX(c_TAXy,1,CX$7)-INDEX(c_TAXy,1,INDEX('Lease Cycles'!$GC$28:$GI$28,1,CX350)+1))+(INDEX(c_INSy,1,CX$7)-INDEX(c_INSy,1,INDEX('Lease Cycles'!$GC$28:$GI$28,1,CX350)+1)))/12)</f>
        <v>0</v>
      </c>
      <c r="CY361" s="28">
        <f>IF(CY360=0,0,CY360*MAX(0,(INDEX(c_CAMy,1,CY$7)-INDEX(c_CAMy,1,INDEX('Lease Cycles'!$GC$28:$GI$28,1,CY350)+1))*(1+'Lease Cycles'!$AK$28)+(INDEX(c_TAXy,1,CY$7)-INDEX(c_TAXy,1,INDEX('Lease Cycles'!$GC$28:$GI$28,1,CY350)+1))+(INDEX(c_INSy,1,CY$7)-INDEX(c_INSy,1,INDEX('Lease Cycles'!$GC$28:$GI$28,1,CY350)+1)))/12)</f>
        <v>0</v>
      </c>
      <c r="CZ361" s="28">
        <f>IF(CZ360=0,0,CZ360*MAX(0,(INDEX(c_CAMy,1,CZ$7)-INDEX(c_CAMy,1,INDEX('Lease Cycles'!$GC$28:$GI$28,1,CZ350)+1))*(1+'Lease Cycles'!$AK$28)+(INDEX(c_TAXy,1,CZ$7)-INDEX(c_TAXy,1,INDEX('Lease Cycles'!$GC$28:$GI$28,1,CZ350)+1))+(INDEX(c_INSy,1,CZ$7)-INDEX(c_INSy,1,INDEX('Lease Cycles'!$GC$28:$GI$28,1,CZ350)+1)))/12)</f>
        <v>0</v>
      </c>
      <c r="DA361" s="28">
        <f>IF(DA360=0,0,DA360*MAX(0,(INDEX(c_CAMy,1,DA$7)-INDEX(c_CAMy,1,INDEX('Lease Cycles'!$GC$28:$GI$28,1,DA350)+1))*(1+'Lease Cycles'!$AK$28)+(INDEX(c_TAXy,1,DA$7)-INDEX(c_TAXy,1,INDEX('Lease Cycles'!$GC$28:$GI$28,1,DA350)+1))+(INDEX(c_INSy,1,DA$7)-INDEX(c_INSy,1,INDEX('Lease Cycles'!$GC$28:$GI$28,1,DA350)+1)))/12)</f>
        <v>0</v>
      </c>
      <c r="DB361" s="28">
        <f>IF(DB360=0,0,DB360*MAX(0,(INDEX(c_CAMy,1,DB$7)-INDEX(c_CAMy,1,INDEX('Lease Cycles'!$GC$28:$GI$28,1,DB350)+1))*(1+'Lease Cycles'!$AK$28)+(INDEX(c_TAXy,1,DB$7)-INDEX(c_TAXy,1,INDEX('Lease Cycles'!$GC$28:$GI$28,1,DB350)+1))+(INDEX(c_INSy,1,DB$7)-INDEX(c_INSy,1,INDEX('Lease Cycles'!$GC$28:$GI$28,1,DB350)+1)))/12)</f>
        <v>0</v>
      </c>
      <c r="DC361" s="28">
        <f>IF(DC360=0,0,DC360*MAX(0,(INDEX(c_CAMy,1,DC$7)-INDEX(c_CAMy,1,INDEX('Lease Cycles'!$GC$28:$GI$28,1,DC350)+1))*(1+'Lease Cycles'!$AK$28)+(INDEX(c_TAXy,1,DC$7)-INDEX(c_TAXy,1,INDEX('Lease Cycles'!$GC$28:$GI$28,1,DC350)+1))+(INDEX(c_INSy,1,DC$7)-INDEX(c_INSy,1,INDEX('Lease Cycles'!$GC$28:$GI$28,1,DC350)+1)))/12)</f>
        <v>0</v>
      </c>
      <c r="DD361" s="28">
        <f>IF(DD360=0,0,DD360*MAX(0,(INDEX(c_CAMy,1,DD$7)-INDEX(c_CAMy,1,INDEX('Lease Cycles'!$GC$28:$GI$28,1,DD350)+1))*(1+'Lease Cycles'!$AK$28)+(INDEX(c_TAXy,1,DD$7)-INDEX(c_TAXy,1,INDEX('Lease Cycles'!$GC$28:$GI$28,1,DD350)+1))+(INDEX(c_INSy,1,DD$7)-INDEX(c_INSy,1,INDEX('Lease Cycles'!$GC$28:$GI$28,1,DD350)+1)))/12)</f>
        <v>0</v>
      </c>
      <c r="DE361" s="28">
        <f>IF(DE360=0,0,DE360*MAX(0,(INDEX(c_CAMy,1,DE$7)-INDEX(c_CAMy,1,INDEX('Lease Cycles'!$GC$28:$GI$28,1,DE350)+1))*(1+'Lease Cycles'!$AK$28)+(INDEX(c_TAXy,1,DE$7)-INDEX(c_TAXy,1,INDEX('Lease Cycles'!$GC$28:$GI$28,1,DE350)+1))+(INDEX(c_INSy,1,DE$7)-INDEX(c_INSy,1,INDEX('Lease Cycles'!$GC$28:$GI$28,1,DE350)+1)))/12)</f>
        <v>0</v>
      </c>
      <c r="DF361" s="28">
        <f>IF(DF360=0,0,DF360*MAX(0,(INDEX(c_CAMy,1,DF$7)-INDEX(c_CAMy,1,INDEX('Lease Cycles'!$GC$28:$GI$28,1,DF350)+1))*(1+'Lease Cycles'!$AK$28)+(INDEX(c_TAXy,1,DF$7)-INDEX(c_TAXy,1,INDEX('Lease Cycles'!$GC$28:$GI$28,1,DF350)+1))+(INDEX(c_INSy,1,DF$7)-INDEX(c_INSy,1,INDEX('Lease Cycles'!$GC$28:$GI$28,1,DF350)+1)))/12)</f>
        <v>0</v>
      </c>
      <c r="DG361" s="28">
        <f>IF(DG360=0,0,DG360*MAX(0,(INDEX(c_CAMy,1,DG$7)-INDEX(c_CAMy,1,INDEX('Lease Cycles'!$GC$28:$GI$28,1,DG350)+1))*(1+'Lease Cycles'!$AK$28)+(INDEX(c_TAXy,1,DG$7)-INDEX(c_TAXy,1,INDEX('Lease Cycles'!$GC$28:$GI$28,1,DG350)+1))+(INDEX(c_INSy,1,DG$7)-INDEX(c_INSy,1,INDEX('Lease Cycles'!$GC$28:$GI$28,1,DG350)+1)))/12)</f>
        <v>0</v>
      </c>
      <c r="DH361" s="28">
        <f>IF(DH360=0,0,DH360*MAX(0,(INDEX(c_CAMy,1,DH$7)-INDEX(c_CAMy,1,INDEX('Lease Cycles'!$GC$28:$GI$28,1,DH350)+1))*(1+'Lease Cycles'!$AK$28)+(INDEX(c_TAXy,1,DH$7)-INDEX(c_TAXy,1,INDEX('Lease Cycles'!$GC$28:$GI$28,1,DH350)+1))+(INDEX(c_INSy,1,DH$7)-INDEX(c_INSy,1,INDEX('Lease Cycles'!$GC$28:$GI$28,1,DH350)+1)))/12)</f>
        <v>0</v>
      </c>
      <c r="DI361" s="28">
        <f>IF(DI360=0,0,DI360*MAX(0,(INDEX(c_CAMy,1,DI$7)-INDEX(c_CAMy,1,INDEX('Lease Cycles'!$GC$28:$GI$28,1,DI350)+1))*(1+'Lease Cycles'!$AK$28)+(INDEX(c_TAXy,1,DI$7)-INDEX(c_TAXy,1,INDEX('Lease Cycles'!$GC$28:$GI$28,1,DI350)+1))+(INDEX(c_INSy,1,DI$7)-INDEX(c_INSy,1,INDEX('Lease Cycles'!$GC$28:$GI$28,1,DI350)+1)))/12)</f>
        <v>0</v>
      </c>
      <c r="DJ361" s="28">
        <f>IF(DJ360=0,0,DJ360*MAX(0,(INDEX(c_CAMy,1,DJ$7)-INDEX(c_CAMy,1,INDEX('Lease Cycles'!$GC$28:$GI$28,1,DJ350)+1))*(1+'Lease Cycles'!$AK$28)+(INDEX(c_TAXy,1,DJ$7)-INDEX(c_TAXy,1,INDEX('Lease Cycles'!$GC$28:$GI$28,1,DJ350)+1))+(INDEX(c_INSy,1,DJ$7)-INDEX(c_INSy,1,INDEX('Lease Cycles'!$GC$28:$GI$28,1,DJ350)+1)))/12)</f>
        <v>0</v>
      </c>
      <c r="DK361" s="28">
        <f>IF(DK360=0,0,DK360*MAX(0,(INDEX(c_CAMy,1,DK$7)-INDEX(c_CAMy,1,INDEX('Lease Cycles'!$GC$28:$GI$28,1,DK350)+1))*(1+'Lease Cycles'!$AK$28)+(INDEX(c_TAXy,1,DK$7)-INDEX(c_TAXy,1,INDEX('Lease Cycles'!$GC$28:$GI$28,1,DK350)+1))+(INDEX(c_INSy,1,DK$7)-INDEX(c_INSy,1,INDEX('Lease Cycles'!$GC$28:$GI$28,1,DK350)+1)))/12)</f>
        <v>0</v>
      </c>
      <c r="DL361" s="28">
        <f>IF(DL360=0,0,DL360*MAX(0,(INDEX(c_CAMy,1,DL$7)-INDEX(c_CAMy,1,INDEX('Lease Cycles'!$GC$28:$GI$28,1,DL350)+1))*(1+'Lease Cycles'!$AK$28)+(INDEX(c_TAXy,1,DL$7)-INDEX(c_TAXy,1,INDEX('Lease Cycles'!$GC$28:$GI$28,1,DL350)+1))+(INDEX(c_INSy,1,DL$7)-INDEX(c_INSy,1,INDEX('Lease Cycles'!$GC$28:$GI$28,1,DL350)+1)))/12)</f>
        <v>0</v>
      </c>
      <c r="DM361" s="28">
        <f>IF(DM360=0,0,DM360*MAX(0,(INDEX(c_CAMy,1,DM$7)-INDEX(c_CAMy,1,INDEX('Lease Cycles'!$GC$28:$GI$28,1,DM350)+1))*(1+'Lease Cycles'!$AK$28)+(INDEX(c_TAXy,1,DM$7)-INDEX(c_TAXy,1,INDEX('Lease Cycles'!$GC$28:$GI$28,1,DM350)+1))+(INDEX(c_INSy,1,DM$7)-INDEX(c_INSy,1,INDEX('Lease Cycles'!$GC$28:$GI$28,1,DM350)+1)))/12)</f>
        <v>0</v>
      </c>
      <c r="DN361" s="28">
        <f>IF(DN360=0,0,DN360*MAX(0,(INDEX(c_CAMy,1,DN$7)-INDEX(c_CAMy,1,INDEX('Lease Cycles'!$GC$28:$GI$28,1,DN350)+1))*(1+'Lease Cycles'!$AK$28)+(INDEX(c_TAXy,1,DN$7)-INDEX(c_TAXy,1,INDEX('Lease Cycles'!$GC$28:$GI$28,1,DN350)+1))+(INDEX(c_INSy,1,DN$7)-INDEX(c_INSy,1,INDEX('Lease Cycles'!$GC$28:$GI$28,1,DN350)+1)))/12)</f>
        <v>0</v>
      </c>
      <c r="DO361" s="28">
        <f>IF(DO360=0,0,DO360*MAX(0,(INDEX(c_CAMy,1,DO$7)-INDEX(c_CAMy,1,INDEX('Lease Cycles'!$GC$28:$GI$28,1,DO350)+1))*(1+'Lease Cycles'!$AK$28)+(INDEX(c_TAXy,1,DO$7)-INDEX(c_TAXy,1,INDEX('Lease Cycles'!$GC$28:$GI$28,1,DO350)+1))+(INDEX(c_INSy,1,DO$7)-INDEX(c_INSy,1,INDEX('Lease Cycles'!$GC$28:$GI$28,1,DO350)+1)))/12)</f>
        <v>0</v>
      </c>
      <c r="DP361" s="28">
        <f>IF(DP360=0,0,DP360*MAX(0,(INDEX(c_CAMy,1,DP$7)-INDEX(c_CAMy,1,INDEX('Lease Cycles'!$GC$28:$GI$28,1,DP350)+1))*(1+'Lease Cycles'!$AK$28)+(INDEX(c_TAXy,1,DP$7)-INDEX(c_TAXy,1,INDEX('Lease Cycles'!$GC$28:$GI$28,1,DP350)+1))+(INDEX(c_INSy,1,DP$7)-INDEX(c_INSy,1,INDEX('Lease Cycles'!$GC$28:$GI$28,1,DP350)+1)))/12)</f>
        <v>0</v>
      </c>
      <c r="DQ361" s="28">
        <f>IF(DQ360=0,0,DQ360*MAX(0,(INDEX(c_CAMy,1,DQ$7)-INDEX(c_CAMy,1,INDEX('Lease Cycles'!$GC$28:$GI$28,1,DQ350)+1))*(1+'Lease Cycles'!$AK$28)+(INDEX(c_TAXy,1,DQ$7)-INDEX(c_TAXy,1,INDEX('Lease Cycles'!$GC$28:$GI$28,1,DQ350)+1))+(INDEX(c_INSy,1,DQ$7)-INDEX(c_INSy,1,INDEX('Lease Cycles'!$GC$28:$GI$28,1,DQ350)+1)))/12)</f>
        <v>0</v>
      </c>
      <c r="DR361" s="28">
        <f>IF(DR360=0,0,DR360*MAX(0,(INDEX(c_CAMy,1,DR$7)-INDEX(c_CAMy,1,INDEX('Lease Cycles'!$GC$28:$GI$28,1,DR350)+1))*(1+'Lease Cycles'!$AK$28)+(INDEX(c_TAXy,1,DR$7)-INDEX(c_TAXy,1,INDEX('Lease Cycles'!$GC$28:$GI$28,1,DR350)+1))+(INDEX(c_INSy,1,DR$7)-INDEX(c_INSy,1,INDEX('Lease Cycles'!$GC$28:$GI$28,1,DR350)+1)))/12)</f>
        <v>0</v>
      </c>
      <c r="DS361" s="28">
        <f>IF(DS360=0,0,DS360*MAX(0,(INDEX(c_CAMy,1,DS$7)-INDEX(c_CAMy,1,INDEX('Lease Cycles'!$GC$28:$GI$28,1,DS350)+1))*(1+'Lease Cycles'!$AK$28)+(INDEX(c_TAXy,1,DS$7)-INDEX(c_TAXy,1,INDEX('Lease Cycles'!$GC$28:$GI$28,1,DS350)+1))+(INDEX(c_INSy,1,DS$7)-INDEX(c_INSy,1,INDEX('Lease Cycles'!$GC$28:$GI$28,1,DS350)+1)))/12)</f>
        <v>0</v>
      </c>
      <c r="DT361" s="28">
        <f>IF(DT360=0,0,DT360*MAX(0,(INDEX(c_CAMy,1,DT$7)-INDEX(c_CAMy,1,INDEX('Lease Cycles'!$GC$28:$GI$28,1,DT350)+1))*(1+'Lease Cycles'!$AK$28)+(INDEX(c_TAXy,1,DT$7)-INDEX(c_TAXy,1,INDEX('Lease Cycles'!$GC$28:$GI$28,1,DT350)+1))+(INDEX(c_INSy,1,DT$7)-INDEX(c_INSy,1,INDEX('Lease Cycles'!$GC$28:$GI$28,1,DT350)+1)))/12)</f>
        <v>0</v>
      </c>
      <c r="DU361" s="28">
        <f>IF(DU360=0,0,DU360*MAX(0,(INDEX(c_CAMy,1,DU$7)-INDEX(c_CAMy,1,INDEX('Lease Cycles'!$GC$28:$GI$28,1,DU350)+1))*(1+'Lease Cycles'!$AK$28)+(INDEX(c_TAXy,1,DU$7)-INDEX(c_TAXy,1,INDEX('Lease Cycles'!$GC$28:$GI$28,1,DU350)+1))+(INDEX(c_INSy,1,DU$7)-INDEX(c_INSy,1,INDEX('Lease Cycles'!$GC$28:$GI$28,1,DU350)+1)))/12)</f>
        <v>0</v>
      </c>
      <c r="DV361" s="28">
        <f>IF(DV360=0,0,DV360*MAX(0,(INDEX(c_CAMy,1,DV$7)-INDEX(c_CAMy,1,INDEX('Lease Cycles'!$GC$28:$GI$28,1,DV350)+1))*(1+'Lease Cycles'!$AK$28)+(INDEX(c_TAXy,1,DV$7)-INDEX(c_TAXy,1,INDEX('Lease Cycles'!$GC$28:$GI$28,1,DV350)+1))+(INDEX(c_INSy,1,DV$7)-INDEX(c_INSy,1,INDEX('Lease Cycles'!$GC$28:$GI$28,1,DV350)+1)))/12)</f>
        <v>0</v>
      </c>
      <c r="DW361" s="28">
        <f>IF(DW360=0,0,DW360*MAX(0,(INDEX(c_CAMy,1,DW$7)-INDEX(c_CAMy,1,INDEX('Lease Cycles'!$GC$28:$GI$28,1,DW350)+1))*(1+'Lease Cycles'!$AK$28)+(INDEX(c_TAXy,1,DW$7)-INDEX(c_TAXy,1,INDEX('Lease Cycles'!$GC$28:$GI$28,1,DW350)+1))+(INDEX(c_INSy,1,DW$7)-INDEX(c_INSy,1,INDEX('Lease Cycles'!$GC$28:$GI$28,1,DW350)+1)))/12)</f>
        <v>0</v>
      </c>
      <c r="DX361" s="28">
        <f>IF(DX360=0,0,DX360*MAX(0,(INDEX(c_CAMy,1,DX$7)-INDEX(c_CAMy,1,INDEX('Lease Cycles'!$GC$28:$GI$28,1,DX350)+1))*(1+'Lease Cycles'!$AK$28)+(INDEX(c_TAXy,1,DX$7)-INDEX(c_TAXy,1,INDEX('Lease Cycles'!$GC$28:$GI$28,1,DX350)+1))+(INDEX(c_INSy,1,DX$7)-INDEX(c_INSy,1,INDEX('Lease Cycles'!$GC$28:$GI$28,1,DX350)+1)))/12)</f>
        <v>0</v>
      </c>
      <c r="DY361" s="28">
        <f>IF(DY360=0,0,DY360*MAX(0,(INDEX(c_CAMy,1,DY$7)-INDEX(c_CAMy,1,INDEX('Lease Cycles'!$GC$28:$GI$28,1,DY350)+1))*(1+'Lease Cycles'!$AK$28)+(INDEX(c_TAXy,1,DY$7)-INDEX(c_TAXy,1,INDEX('Lease Cycles'!$GC$28:$GI$28,1,DY350)+1))+(INDEX(c_INSy,1,DY$7)-INDEX(c_INSy,1,INDEX('Lease Cycles'!$GC$28:$GI$28,1,DY350)+1)))/12)</f>
        <v>0</v>
      </c>
      <c r="DZ361" s="28">
        <f>IF(DZ360=0,0,DZ360*MAX(0,(INDEX(c_CAMy,1,DZ$7)-INDEX(c_CAMy,1,INDEX('Lease Cycles'!$GC$28:$GI$28,1,DZ350)+1))*(1+'Lease Cycles'!$AK$28)+(INDEX(c_TAXy,1,DZ$7)-INDEX(c_TAXy,1,INDEX('Lease Cycles'!$GC$28:$GI$28,1,DZ350)+1))+(INDEX(c_INSy,1,DZ$7)-INDEX(c_INSy,1,INDEX('Lease Cycles'!$GC$28:$GI$28,1,DZ350)+1)))/12)</f>
        <v>0</v>
      </c>
      <c r="EA361" s="28">
        <f>IF(EA360=0,0,EA360*MAX(0,(INDEX(c_CAMy,1,EA$7)-INDEX(c_CAMy,1,INDEX('Lease Cycles'!$GC$28:$GI$28,1,EA350)+1))*(1+'Lease Cycles'!$AK$28)+(INDEX(c_TAXy,1,EA$7)-INDEX(c_TAXy,1,INDEX('Lease Cycles'!$GC$28:$GI$28,1,EA350)+1))+(INDEX(c_INSy,1,EA$7)-INDEX(c_INSy,1,INDEX('Lease Cycles'!$GC$28:$GI$28,1,EA350)+1)))/12)</f>
        <v>0</v>
      </c>
      <c r="EB361" s="28">
        <f>IF(EB360=0,0,EB360*MAX(0,(INDEX(c_CAMy,1,EB$7)-INDEX(c_CAMy,1,INDEX('Lease Cycles'!$GC$28:$GI$28,1,EB350)+1))*(1+'Lease Cycles'!$AK$28)+(INDEX(c_TAXy,1,EB$7)-INDEX(c_TAXy,1,INDEX('Lease Cycles'!$GC$28:$GI$28,1,EB350)+1))+(INDEX(c_INSy,1,EB$7)-INDEX(c_INSy,1,INDEX('Lease Cycles'!$GC$28:$GI$28,1,EB350)+1)))/12)</f>
        <v>0</v>
      </c>
      <c r="EC361" s="28">
        <f>IF(EC360=0,0,EC360*MAX(0,(INDEX(c_CAMy,1,EC$7)-INDEX(c_CAMy,1,INDEX('Lease Cycles'!$GC$28:$GI$28,1,EC350)+1))*(1+'Lease Cycles'!$AK$28)+(INDEX(c_TAXy,1,EC$7)-INDEX(c_TAXy,1,INDEX('Lease Cycles'!$GC$28:$GI$28,1,EC350)+1))+(INDEX(c_INSy,1,EC$7)-INDEX(c_INSy,1,INDEX('Lease Cycles'!$GC$28:$GI$28,1,EC350)+1)))/12)</f>
        <v>0</v>
      </c>
      <c r="ED361" s="28">
        <f>IF(ED360=0,0,ED360*MAX(0,(INDEX(c_CAMy,1,ED$7)-INDEX(c_CAMy,1,INDEX('Lease Cycles'!$GC$28:$GI$28,1,ED350)+1))*(1+'Lease Cycles'!$AK$28)+(INDEX(c_TAXy,1,ED$7)-INDEX(c_TAXy,1,INDEX('Lease Cycles'!$GC$28:$GI$28,1,ED350)+1))+(INDEX(c_INSy,1,ED$7)-INDEX(c_INSy,1,INDEX('Lease Cycles'!$GC$28:$GI$28,1,ED350)+1)))/12)</f>
        <v>0</v>
      </c>
      <c r="EE361" s="28">
        <f>IF(EE360=0,0,EE360*MAX(0,(INDEX(c_CAMy,1,EE$7)-INDEX(c_CAMy,1,INDEX('Lease Cycles'!$GC$28:$GI$28,1,EE350)+1))*(1+'Lease Cycles'!$AK$28)+(INDEX(c_TAXy,1,EE$7)-INDEX(c_TAXy,1,INDEX('Lease Cycles'!$GC$28:$GI$28,1,EE350)+1))+(INDEX(c_INSy,1,EE$7)-INDEX(c_INSy,1,INDEX('Lease Cycles'!$GC$28:$GI$28,1,EE350)+1)))/12)</f>
        <v>0</v>
      </c>
      <c r="EF361" s="28">
        <f>IF(EF360=0,0,EF360*MAX(0,(INDEX(c_CAMy,1,EF$7)-INDEX(c_CAMy,1,INDEX('Lease Cycles'!$GC$28:$GI$28,1,EF350)+1))*(1+'Lease Cycles'!$AK$28)+(INDEX(c_TAXy,1,EF$7)-INDEX(c_TAXy,1,INDEX('Lease Cycles'!$GC$28:$GI$28,1,EF350)+1))+(INDEX(c_INSy,1,EF$7)-INDEX(c_INSy,1,INDEX('Lease Cycles'!$GC$28:$GI$28,1,EF350)+1)))/12)</f>
        <v>0</v>
      </c>
      <c r="EG361" s="28">
        <f>IF(EG360=0,0,EG360*MAX(0,(INDEX(c_CAMy,1,EG$7)-INDEX(c_CAMy,1,INDEX('Lease Cycles'!$GC$28:$GI$28,1,EG350)+1))*(1+'Lease Cycles'!$AK$28)+(INDEX(c_TAXy,1,EG$7)-INDEX(c_TAXy,1,INDEX('Lease Cycles'!$GC$28:$GI$28,1,EG350)+1))+(INDEX(c_INSy,1,EG$7)-INDEX(c_INSy,1,INDEX('Lease Cycles'!$GC$28:$GI$28,1,EG350)+1)))/12)</f>
        <v>0</v>
      </c>
      <c r="EH361" s="28">
        <f>IF(EH360=0,0,EH360*MAX(0,(INDEX(c_CAMy,1,EH$7)-INDEX(c_CAMy,1,INDEX('Lease Cycles'!$GC$28:$GI$28,1,EH350)+1))*(1+'Lease Cycles'!$AK$28)+(INDEX(c_TAXy,1,EH$7)-INDEX(c_TAXy,1,INDEX('Lease Cycles'!$GC$28:$GI$28,1,EH350)+1))+(INDEX(c_INSy,1,EH$7)-INDEX(c_INSy,1,INDEX('Lease Cycles'!$GC$28:$GI$28,1,EH350)+1)))/12)</f>
        <v>0</v>
      </c>
      <c r="EI361" s="28">
        <f>IF(EI360=0,0,EI360*MAX(0,(INDEX(c_CAMy,1,EI$7)-INDEX(c_CAMy,1,INDEX('Lease Cycles'!$GC$28:$GI$28,1,EI350)+1))*(1+'Lease Cycles'!$AK$28)+(INDEX(c_TAXy,1,EI$7)-INDEX(c_TAXy,1,INDEX('Lease Cycles'!$GC$28:$GI$28,1,EI350)+1))+(INDEX(c_INSy,1,EI$7)-INDEX(c_INSy,1,INDEX('Lease Cycles'!$GC$28:$GI$28,1,EI350)+1)))/12)</f>
        <v>0</v>
      </c>
      <c r="EJ361" s="28">
        <f>IF(EJ360=0,0,EJ360*MAX(0,(INDEX(c_CAMy,1,EJ$7)-INDEX(c_CAMy,1,INDEX('Lease Cycles'!$GC$28:$GI$28,1,EJ350)+1))*(1+'Lease Cycles'!$AK$28)+(INDEX(c_TAXy,1,EJ$7)-INDEX(c_TAXy,1,INDEX('Lease Cycles'!$GC$28:$GI$28,1,EJ350)+1))+(INDEX(c_INSy,1,EJ$7)-INDEX(c_INSy,1,INDEX('Lease Cycles'!$GC$28:$GI$28,1,EJ350)+1)))/12)</f>
        <v>0</v>
      </c>
      <c r="EK361" s="28">
        <f>IF(EK360=0,0,EK360*MAX(0,(INDEX(c_CAMy,1,EK$7)-INDEX(c_CAMy,1,INDEX('Lease Cycles'!$GC$28:$GI$28,1,EK350)+1))*(1+'Lease Cycles'!$AK$28)+(INDEX(c_TAXy,1,EK$7)-INDEX(c_TAXy,1,INDEX('Lease Cycles'!$GC$28:$GI$28,1,EK350)+1))+(INDEX(c_INSy,1,EK$7)-INDEX(c_INSy,1,INDEX('Lease Cycles'!$GC$28:$GI$28,1,EK350)+1)))/12)</f>
        <v>0</v>
      </c>
      <c r="EL361" s="28">
        <f>IF(EL360=0,0,EL360*MAX(0,(INDEX(c_CAMy,1,EL$7)-INDEX(c_CAMy,1,INDEX('Lease Cycles'!$GC$28:$GI$28,1,EL350)+1))*(1+'Lease Cycles'!$AK$28)+(INDEX(c_TAXy,1,EL$7)-INDEX(c_TAXy,1,INDEX('Lease Cycles'!$GC$28:$GI$28,1,EL350)+1))+(INDEX(c_INSy,1,EL$7)-INDEX(c_INSy,1,INDEX('Lease Cycles'!$GC$28:$GI$28,1,EL350)+1)))/12)</f>
        <v>0</v>
      </c>
      <c r="EM361" s="28">
        <f>IF(EM360=0,0,EM360*MAX(0,(INDEX(c_CAMy,1,EM$7)-INDEX(c_CAMy,1,INDEX('Lease Cycles'!$GC$28:$GI$28,1,EM350)+1))*(1+'Lease Cycles'!$AK$28)+(INDEX(c_TAXy,1,EM$7)-INDEX(c_TAXy,1,INDEX('Lease Cycles'!$GC$28:$GI$28,1,EM350)+1))+(INDEX(c_INSy,1,EM$7)-INDEX(c_INSy,1,INDEX('Lease Cycles'!$GC$28:$GI$28,1,EM350)+1)))/12)</f>
        <v>0</v>
      </c>
      <c r="EN361" s="28">
        <f>IF(EN360=0,0,EN360*MAX(0,(INDEX(c_CAMy,1,EN$7)-INDEX(c_CAMy,1,INDEX('Lease Cycles'!$GC$28:$GI$28,1,EN350)+1))*(1+'Lease Cycles'!$AK$28)+(INDEX(c_TAXy,1,EN$7)-INDEX(c_TAXy,1,INDEX('Lease Cycles'!$GC$28:$GI$28,1,EN350)+1))+(INDEX(c_INSy,1,EN$7)-INDEX(c_INSy,1,INDEX('Lease Cycles'!$GC$28:$GI$28,1,EN350)+1)))/12)</f>
        <v>0</v>
      </c>
      <c r="EO361" s="28">
        <f>IF(EO360=0,0,EO360*MAX(0,(INDEX(c_CAMy,1,EO$7)-INDEX(c_CAMy,1,INDEX('Lease Cycles'!$GC$28:$GI$28,1,EO350)+1))*(1+'Lease Cycles'!$AK$28)+(INDEX(c_TAXy,1,EO$7)-INDEX(c_TAXy,1,INDEX('Lease Cycles'!$GC$28:$GI$28,1,EO350)+1))+(INDEX(c_INSy,1,EO$7)-INDEX(c_INSy,1,INDEX('Lease Cycles'!$GC$28:$GI$28,1,EO350)+1)))/12)</f>
        <v>0</v>
      </c>
      <c r="EP361" s="28">
        <f>IF(EP360=0,0,EP360*MAX(0,(INDEX(c_CAMy,1,EP$7)-INDEX(c_CAMy,1,INDEX('Lease Cycles'!$GC$28:$GI$28,1,EP350)+1))*(1+'Lease Cycles'!$AK$28)+(INDEX(c_TAXy,1,EP$7)-INDEX(c_TAXy,1,INDEX('Lease Cycles'!$GC$28:$GI$28,1,EP350)+1))+(INDEX(c_INSy,1,EP$7)-INDEX(c_INSy,1,INDEX('Lease Cycles'!$GC$28:$GI$28,1,EP350)+1)))/12)</f>
        <v>0</v>
      </c>
      <c r="EQ361" s="28">
        <f>IF(EQ360=0,0,EQ360*MAX(0,(INDEX(c_CAMy,1,EQ$7)-INDEX(c_CAMy,1,INDEX('Lease Cycles'!$GC$28:$GI$28,1,EQ350)+1))*(1+'Lease Cycles'!$AK$28)+(INDEX(c_TAXy,1,EQ$7)-INDEX(c_TAXy,1,INDEX('Lease Cycles'!$GC$28:$GI$28,1,EQ350)+1))+(INDEX(c_INSy,1,EQ$7)-INDEX(c_INSy,1,INDEX('Lease Cycles'!$GC$28:$GI$28,1,EQ350)+1)))/12)</f>
        <v>0</v>
      </c>
      <c r="ER361" s="28">
        <f>IF(ER360=0,0,ER360*MAX(0,(INDEX(c_CAMy,1,ER$7)-INDEX(c_CAMy,1,INDEX('Lease Cycles'!$GC$28:$GI$28,1,ER350)+1))*(1+'Lease Cycles'!$AK$28)+(INDEX(c_TAXy,1,ER$7)-INDEX(c_TAXy,1,INDEX('Lease Cycles'!$GC$28:$GI$28,1,ER350)+1))+(INDEX(c_INSy,1,ER$7)-INDEX(c_INSy,1,INDEX('Lease Cycles'!$GC$28:$GI$28,1,ER350)+1)))/12)</f>
        <v>0</v>
      </c>
      <c r="ES361" s="28">
        <f>IF(ES360=0,0,ES360*MAX(0,(INDEX(c_CAMy,1,ES$7)-INDEX(c_CAMy,1,INDEX('Lease Cycles'!$GC$28:$GI$28,1,ES350)+1))*(1+'Lease Cycles'!$AK$28)+(INDEX(c_TAXy,1,ES$7)-INDEX(c_TAXy,1,INDEX('Lease Cycles'!$GC$28:$GI$28,1,ES350)+1))+(INDEX(c_INSy,1,ES$7)-INDEX(c_INSy,1,INDEX('Lease Cycles'!$GC$28:$GI$28,1,ES350)+1)))/12)</f>
        <v>0</v>
      </c>
      <c r="ET361" s="28">
        <f>IF(ET360=0,0,ET360*MAX(0,(INDEX(c_CAMy,1,ET$7)-INDEX(c_CAMy,1,INDEX('Lease Cycles'!$GC$28:$GI$28,1,ET350)+1))*(1+'Lease Cycles'!$AK$28)+(INDEX(c_TAXy,1,ET$7)-INDEX(c_TAXy,1,INDEX('Lease Cycles'!$GC$28:$GI$28,1,ET350)+1))+(INDEX(c_INSy,1,ET$7)-INDEX(c_INSy,1,INDEX('Lease Cycles'!$GC$28:$GI$28,1,ET350)+1)))/12)</f>
        <v>0</v>
      </c>
    </row>
    <row r="362">
      <c r="A362" s="103">
        <v>21</v>
      </c>
      <c r="B362" s="23" t="str">
        <f>IF('Lease Cycles'!$B$28="","(empty slot)",'Lease Cycles'!$B$28)</f>
        <v>(empty slot)</v>
      </c>
      <c r="C362" s="23" t="s">
        <v>530</v>
      </c>
      <c r="D362" s="104" t="s">
        <v>531</v>
      </c>
      <c r="E362" s="25">
        <f>'Lease Cycles'!$AL$28</f>
        <v>0</v>
      </c>
      <c r="G362" s="28">
        <f>SUM(S362:AD362)</f>
        <v>0</v>
      </c>
      <c r="H362" s="28">
        <f>SUM(AE362:AP362)</f>
        <v>0</v>
      </c>
      <c r="I362" s="28">
        <f>SUM(AQ362:BB362)</f>
        <v>0</v>
      </c>
      <c r="J362" s="28">
        <f>SUM(BC362:BN362)</f>
        <v>0</v>
      </c>
      <c r="K362" s="28">
        <f>SUM(BO362:BZ362)</f>
        <v>0</v>
      </c>
      <c r="L362" s="28">
        <f>SUM(CA362:CL362)</f>
        <v>0</v>
      </c>
      <c r="M362" s="28">
        <f>SUM(CM362:CX362)</f>
        <v>0</v>
      </c>
      <c r="N362" s="28">
        <f>SUM(CY362:DJ362)</f>
        <v>0</v>
      </c>
      <c r="O362" s="28">
        <f>SUM(DK362:DV362)</f>
        <v>0</v>
      </c>
      <c r="P362" s="28">
        <f>SUM(DW362:EH362)</f>
        <v>0</v>
      </c>
      <c r="Q362" s="28">
        <f>SUM(EI362:ET362)</f>
        <v>0</v>
      </c>
      <c r="S362" s="28">
        <f>SUMIF('Lease Cycles'!$HL$28:$HR$28,S$6,'Lease Cycles'!$HS$28:$HY$28)</f>
        <v>0</v>
      </c>
      <c r="T362" s="28">
        <f>SUMIF('Lease Cycles'!$HL$28:$HR$28,T$6,'Lease Cycles'!$HS$28:$HY$28)</f>
        <v>0</v>
      </c>
      <c r="U362" s="28">
        <f>SUMIF('Lease Cycles'!$HL$28:$HR$28,U$6,'Lease Cycles'!$HS$28:$HY$28)</f>
        <v>0</v>
      </c>
      <c r="V362" s="28">
        <f>SUMIF('Lease Cycles'!$HL$28:$HR$28,V$6,'Lease Cycles'!$HS$28:$HY$28)</f>
        <v>0</v>
      </c>
      <c r="W362" s="28">
        <f>SUMIF('Lease Cycles'!$HL$28:$HR$28,W$6,'Lease Cycles'!$HS$28:$HY$28)</f>
        <v>0</v>
      </c>
      <c r="X362" s="28">
        <f>SUMIF('Lease Cycles'!$HL$28:$HR$28,X$6,'Lease Cycles'!$HS$28:$HY$28)</f>
        <v>0</v>
      </c>
      <c r="Y362" s="28">
        <f>SUMIF('Lease Cycles'!$HL$28:$HR$28,Y$6,'Lease Cycles'!$HS$28:$HY$28)</f>
        <v>0</v>
      </c>
      <c r="Z362" s="28">
        <f>SUMIF('Lease Cycles'!$HL$28:$HR$28,Z$6,'Lease Cycles'!$HS$28:$HY$28)</f>
        <v>0</v>
      </c>
      <c r="AA362" s="28">
        <f>SUMIF('Lease Cycles'!$HL$28:$HR$28,AA$6,'Lease Cycles'!$HS$28:$HY$28)</f>
        <v>0</v>
      </c>
      <c r="AB362" s="28">
        <f>SUMIF('Lease Cycles'!$HL$28:$HR$28,AB$6,'Lease Cycles'!$HS$28:$HY$28)</f>
        <v>0</v>
      </c>
      <c r="AC362" s="28">
        <f>SUMIF('Lease Cycles'!$HL$28:$HR$28,AC$6,'Lease Cycles'!$HS$28:$HY$28)</f>
        <v>0</v>
      </c>
      <c r="AD362" s="28">
        <f>SUMIF('Lease Cycles'!$HL$28:$HR$28,AD$6,'Lease Cycles'!$HS$28:$HY$28)</f>
        <v>0</v>
      </c>
      <c r="AE362" s="28">
        <f>SUMIF('Lease Cycles'!$HL$28:$HR$28,AE$6,'Lease Cycles'!$HS$28:$HY$28)</f>
        <v>0</v>
      </c>
      <c r="AF362" s="28">
        <f>SUMIF('Lease Cycles'!$HL$28:$HR$28,AF$6,'Lease Cycles'!$HS$28:$HY$28)</f>
        <v>0</v>
      </c>
      <c r="AG362" s="28">
        <f>SUMIF('Lease Cycles'!$HL$28:$HR$28,AG$6,'Lease Cycles'!$HS$28:$HY$28)</f>
        <v>0</v>
      </c>
      <c r="AH362" s="28">
        <f>SUMIF('Lease Cycles'!$HL$28:$HR$28,AH$6,'Lease Cycles'!$HS$28:$HY$28)</f>
        <v>0</v>
      </c>
      <c r="AI362" s="28">
        <f>SUMIF('Lease Cycles'!$HL$28:$HR$28,AI$6,'Lease Cycles'!$HS$28:$HY$28)</f>
        <v>0</v>
      </c>
      <c r="AJ362" s="28">
        <f>SUMIF('Lease Cycles'!$HL$28:$HR$28,AJ$6,'Lease Cycles'!$HS$28:$HY$28)</f>
        <v>0</v>
      </c>
      <c r="AK362" s="28">
        <f>SUMIF('Lease Cycles'!$HL$28:$HR$28,AK$6,'Lease Cycles'!$HS$28:$HY$28)</f>
        <v>0</v>
      </c>
      <c r="AL362" s="28">
        <f>SUMIF('Lease Cycles'!$HL$28:$HR$28,AL$6,'Lease Cycles'!$HS$28:$HY$28)</f>
        <v>0</v>
      </c>
      <c r="AM362" s="28">
        <f>SUMIF('Lease Cycles'!$HL$28:$HR$28,AM$6,'Lease Cycles'!$HS$28:$HY$28)</f>
        <v>0</v>
      </c>
      <c r="AN362" s="28">
        <f>SUMIF('Lease Cycles'!$HL$28:$HR$28,AN$6,'Lease Cycles'!$HS$28:$HY$28)</f>
        <v>0</v>
      </c>
      <c r="AO362" s="28">
        <f>SUMIF('Lease Cycles'!$HL$28:$HR$28,AO$6,'Lease Cycles'!$HS$28:$HY$28)</f>
        <v>0</v>
      </c>
      <c r="AP362" s="28">
        <f>SUMIF('Lease Cycles'!$HL$28:$HR$28,AP$6,'Lease Cycles'!$HS$28:$HY$28)</f>
        <v>0</v>
      </c>
      <c r="AQ362" s="28">
        <f>SUMIF('Lease Cycles'!$HL$28:$HR$28,AQ$6,'Lease Cycles'!$HS$28:$HY$28)</f>
        <v>0</v>
      </c>
      <c r="AR362" s="28">
        <f>SUMIF('Lease Cycles'!$HL$28:$HR$28,AR$6,'Lease Cycles'!$HS$28:$HY$28)</f>
        <v>0</v>
      </c>
      <c r="AS362" s="28">
        <f>SUMIF('Lease Cycles'!$HL$28:$HR$28,AS$6,'Lease Cycles'!$HS$28:$HY$28)</f>
        <v>0</v>
      </c>
      <c r="AT362" s="28">
        <f>SUMIF('Lease Cycles'!$HL$28:$HR$28,AT$6,'Lease Cycles'!$HS$28:$HY$28)</f>
        <v>0</v>
      </c>
      <c r="AU362" s="28">
        <f>SUMIF('Lease Cycles'!$HL$28:$HR$28,AU$6,'Lease Cycles'!$HS$28:$HY$28)</f>
        <v>0</v>
      </c>
      <c r="AV362" s="28">
        <f>SUMIF('Lease Cycles'!$HL$28:$HR$28,AV$6,'Lease Cycles'!$HS$28:$HY$28)</f>
        <v>0</v>
      </c>
      <c r="AW362" s="28">
        <f>SUMIF('Lease Cycles'!$HL$28:$HR$28,AW$6,'Lease Cycles'!$HS$28:$HY$28)</f>
        <v>0</v>
      </c>
      <c r="AX362" s="28">
        <f>SUMIF('Lease Cycles'!$HL$28:$HR$28,AX$6,'Lease Cycles'!$HS$28:$HY$28)</f>
        <v>0</v>
      </c>
      <c r="AY362" s="28">
        <f>SUMIF('Lease Cycles'!$HL$28:$HR$28,AY$6,'Lease Cycles'!$HS$28:$HY$28)</f>
        <v>0</v>
      </c>
      <c r="AZ362" s="28">
        <f>SUMIF('Lease Cycles'!$HL$28:$HR$28,AZ$6,'Lease Cycles'!$HS$28:$HY$28)</f>
        <v>0</v>
      </c>
      <c r="BA362" s="28">
        <f>SUMIF('Lease Cycles'!$HL$28:$HR$28,BA$6,'Lease Cycles'!$HS$28:$HY$28)</f>
        <v>0</v>
      </c>
      <c r="BB362" s="28">
        <f>SUMIF('Lease Cycles'!$HL$28:$HR$28,BB$6,'Lease Cycles'!$HS$28:$HY$28)</f>
        <v>0</v>
      </c>
      <c r="BC362" s="28">
        <f>SUMIF('Lease Cycles'!$HL$28:$HR$28,BC$6,'Lease Cycles'!$HS$28:$HY$28)</f>
        <v>0</v>
      </c>
      <c r="BD362" s="28">
        <f>SUMIF('Lease Cycles'!$HL$28:$HR$28,BD$6,'Lease Cycles'!$HS$28:$HY$28)</f>
        <v>0</v>
      </c>
      <c r="BE362" s="28">
        <f>SUMIF('Lease Cycles'!$HL$28:$HR$28,BE$6,'Lease Cycles'!$HS$28:$HY$28)</f>
        <v>0</v>
      </c>
      <c r="BF362" s="28">
        <f>SUMIF('Lease Cycles'!$HL$28:$HR$28,BF$6,'Lease Cycles'!$HS$28:$HY$28)</f>
        <v>0</v>
      </c>
      <c r="BG362" s="28">
        <f>SUMIF('Lease Cycles'!$HL$28:$HR$28,BG$6,'Lease Cycles'!$HS$28:$HY$28)</f>
        <v>0</v>
      </c>
      <c r="BH362" s="28">
        <f>SUMIF('Lease Cycles'!$HL$28:$HR$28,BH$6,'Lease Cycles'!$HS$28:$HY$28)</f>
        <v>0</v>
      </c>
      <c r="BI362" s="28">
        <f>SUMIF('Lease Cycles'!$HL$28:$HR$28,BI$6,'Lease Cycles'!$HS$28:$HY$28)</f>
        <v>0</v>
      </c>
      <c r="BJ362" s="28">
        <f>SUMIF('Lease Cycles'!$HL$28:$HR$28,BJ$6,'Lease Cycles'!$HS$28:$HY$28)</f>
        <v>0</v>
      </c>
      <c r="BK362" s="28">
        <f>SUMIF('Lease Cycles'!$HL$28:$HR$28,BK$6,'Lease Cycles'!$HS$28:$HY$28)</f>
        <v>0</v>
      </c>
      <c r="BL362" s="28">
        <f>SUMIF('Lease Cycles'!$HL$28:$HR$28,BL$6,'Lease Cycles'!$HS$28:$HY$28)</f>
        <v>0</v>
      </c>
      <c r="BM362" s="28">
        <f>SUMIF('Lease Cycles'!$HL$28:$HR$28,BM$6,'Lease Cycles'!$HS$28:$HY$28)</f>
        <v>0</v>
      </c>
      <c r="BN362" s="28">
        <f>SUMIF('Lease Cycles'!$HL$28:$HR$28,BN$6,'Lease Cycles'!$HS$28:$HY$28)</f>
        <v>0</v>
      </c>
      <c r="BO362" s="28">
        <f>SUMIF('Lease Cycles'!$HL$28:$HR$28,BO$6,'Lease Cycles'!$HS$28:$HY$28)</f>
        <v>0</v>
      </c>
      <c r="BP362" s="28">
        <f>SUMIF('Lease Cycles'!$HL$28:$HR$28,BP$6,'Lease Cycles'!$HS$28:$HY$28)</f>
        <v>0</v>
      </c>
      <c r="BQ362" s="28">
        <f>SUMIF('Lease Cycles'!$HL$28:$HR$28,BQ$6,'Lease Cycles'!$HS$28:$HY$28)</f>
        <v>0</v>
      </c>
      <c r="BR362" s="28">
        <f>SUMIF('Lease Cycles'!$HL$28:$HR$28,BR$6,'Lease Cycles'!$HS$28:$HY$28)</f>
        <v>0</v>
      </c>
      <c r="BS362" s="28">
        <f>SUMIF('Lease Cycles'!$HL$28:$HR$28,BS$6,'Lease Cycles'!$HS$28:$HY$28)</f>
        <v>0</v>
      </c>
      <c r="BT362" s="28">
        <f>SUMIF('Lease Cycles'!$HL$28:$HR$28,BT$6,'Lease Cycles'!$HS$28:$HY$28)</f>
        <v>0</v>
      </c>
      <c r="BU362" s="28">
        <f>SUMIF('Lease Cycles'!$HL$28:$HR$28,BU$6,'Lease Cycles'!$HS$28:$HY$28)</f>
        <v>0</v>
      </c>
      <c r="BV362" s="28">
        <f>SUMIF('Lease Cycles'!$HL$28:$HR$28,BV$6,'Lease Cycles'!$HS$28:$HY$28)</f>
        <v>0</v>
      </c>
      <c r="BW362" s="28">
        <f>SUMIF('Lease Cycles'!$HL$28:$HR$28,BW$6,'Lease Cycles'!$HS$28:$HY$28)</f>
        <v>0</v>
      </c>
      <c r="BX362" s="28">
        <f>SUMIF('Lease Cycles'!$HL$28:$HR$28,BX$6,'Lease Cycles'!$HS$28:$HY$28)</f>
        <v>0</v>
      </c>
      <c r="BY362" s="28">
        <f>SUMIF('Lease Cycles'!$HL$28:$HR$28,BY$6,'Lease Cycles'!$HS$28:$HY$28)</f>
        <v>0</v>
      </c>
      <c r="BZ362" s="28">
        <f>SUMIF('Lease Cycles'!$HL$28:$HR$28,BZ$6,'Lease Cycles'!$HS$28:$HY$28)</f>
        <v>0</v>
      </c>
      <c r="CA362" s="28">
        <f>SUMIF('Lease Cycles'!$HL$28:$HR$28,CA$6,'Lease Cycles'!$HS$28:$HY$28)</f>
        <v>0</v>
      </c>
      <c r="CB362" s="28">
        <f>SUMIF('Lease Cycles'!$HL$28:$HR$28,CB$6,'Lease Cycles'!$HS$28:$HY$28)</f>
        <v>0</v>
      </c>
      <c r="CC362" s="28">
        <f>SUMIF('Lease Cycles'!$HL$28:$HR$28,CC$6,'Lease Cycles'!$HS$28:$HY$28)</f>
        <v>0</v>
      </c>
      <c r="CD362" s="28">
        <f>SUMIF('Lease Cycles'!$HL$28:$HR$28,CD$6,'Lease Cycles'!$HS$28:$HY$28)</f>
        <v>0</v>
      </c>
      <c r="CE362" s="28">
        <f>SUMIF('Lease Cycles'!$HL$28:$HR$28,CE$6,'Lease Cycles'!$HS$28:$HY$28)</f>
        <v>0</v>
      </c>
      <c r="CF362" s="28">
        <f>SUMIF('Lease Cycles'!$HL$28:$HR$28,CF$6,'Lease Cycles'!$HS$28:$HY$28)</f>
        <v>0</v>
      </c>
      <c r="CG362" s="28">
        <f>SUMIF('Lease Cycles'!$HL$28:$HR$28,CG$6,'Lease Cycles'!$HS$28:$HY$28)</f>
        <v>0</v>
      </c>
      <c r="CH362" s="28">
        <f>SUMIF('Lease Cycles'!$HL$28:$HR$28,CH$6,'Lease Cycles'!$HS$28:$HY$28)</f>
        <v>0</v>
      </c>
      <c r="CI362" s="28">
        <f>SUMIF('Lease Cycles'!$HL$28:$HR$28,CI$6,'Lease Cycles'!$HS$28:$HY$28)</f>
        <v>0</v>
      </c>
      <c r="CJ362" s="28">
        <f>SUMIF('Lease Cycles'!$HL$28:$HR$28,CJ$6,'Lease Cycles'!$HS$28:$HY$28)</f>
        <v>0</v>
      </c>
      <c r="CK362" s="28">
        <f>SUMIF('Lease Cycles'!$HL$28:$HR$28,CK$6,'Lease Cycles'!$HS$28:$HY$28)</f>
        <v>0</v>
      </c>
      <c r="CL362" s="28">
        <f>SUMIF('Lease Cycles'!$HL$28:$HR$28,CL$6,'Lease Cycles'!$HS$28:$HY$28)</f>
        <v>0</v>
      </c>
      <c r="CM362" s="28">
        <f>SUMIF('Lease Cycles'!$HL$28:$HR$28,CM$6,'Lease Cycles'!$HS$28:$HY$28)</f>
        <v>0</v>
      </c>
      <c r="CN362" s="28">
        <f>SUMIF('Lease Cycles'!$HL$28:$HR$28,CN$6,'Lease Cycles'!$HS$28:$HY$28)</f>
        <v>0</v>
      </c>
      <c r="CO362" s="28">
        <f>SUMIF('Lease Cycles'!$HL$28:$HR$28,CO$6,'Lease Cycles'!$HS$28:$HY$28)</f>
        <v>0</v>
      </c>
      <c r="CP362" s="28">
        <f>SUMIF('Lease Cycles'!$HL$28:$HR$28,CP$6,'Lease Cycles'!$HS$28:$HY$28)</f>
        <v>0</v>
      </c>
      <c r="CQ362" s="28">
        <f>SUMIF('Lease Cycles'!$HL$28:$HR$28,CQ$6,'Lease Cycles'!$HS$28:$HY$28)</f>
        <v>0</v>
      </c>
      <c r="CR362" s="28">
        <f>SUMIF('Lease Cycles'!$HL$28:$HR$28,CR$6,'Lease Cycles'!$HS$28:$HY$28)</f>
        <v>0</v>
      </c>
      <c r="CS362" s="28">
        <f>SUMIF('Lease Cycles'!$HL$28:$HR$28,CS$6,'Lease Cycles'!$HS$28:$HY$28)</f>
        <v>0</v>
      </c>
      <c r="CT362" s="28">
        <f>SUMIF('Lease Cycles'!$HL$28:$HR$28,CT$6,'Lease Cycles'!$HS$28:$HY$28)</f>
        <v>0</v>
      </c>
      <c r="CU362" s="28">
        <f>SUMIF('Lease Cycles'!$HL$28:$HR$28,CU$6,'Lease Cycles'!$HS$28:$HY$28)</f>
        <v>0</v>
      </c>
      <c r="CV362" s="28">
        <f>SUMIF('Lease Cycles'!$HL$28:$HR$28,CV$6,'Lease Cycles'!$HS$28:$HY$28)</f>
        <v>0</v>
      </c>
      <c r="CW362" s="28">
        <f>SUMIF('Lease Cycles'!$HL$28:$HR$28,CW$6,'Lease Cycles'!$HS$28:$HY$28)</f>
        <v>0</v>
      </c>
      <c r="CX362" s="28">
        <f>SUMIF('Lease Cycles'!$HL$28:$HR$28,CX$6,'Lease Cycles'!$HS$28:$HY$28)</f>
        <v>0</v>
      </c>
      <c r="CY362" s="28">
        <f>SUMIF('Lease Cycles'!$HL$28:$HR$28,CY$6,'Lease Cycles'!$HS$28:$HY$28)</f>
        <v>0</v>
      </c>
      <c r="CZ362" s="28">
        <f>SUMIF('Lease Cycles'!$HL$28:$HR$28,CZ$6,'Lease Cycles'!$HS$28:$HY$28)</f>
        <v>0</v>
      </c>
      <c r="DA362" s="28">
        <f>SUMIF('Lease Cycles'!$HL$28:$HR$28,DA$6,'Lease Cycles'!$HS$28:$HY$28)</f>
        <v>0</v>
      </c>
      <c r="DB362" s="28">
        <f>SUMIF('Lease Cycles'!$HL$28:$HR$28,DB$6,'Lease Cycles'!$HS$28:$HY$28)</f>
        <v>0</v>
      </c>
      <c r="DC362" s="28">
        <f>SUMIF('Lease Cycles'!$HL$28:$HR$28,DC$6,'Lease Cycles'!$HS$28:$HY$28)</f>
        <v>0</v>
      </c>
      <c r="DD362" s="28">
        <f>SUMIF('Lease Cycles'!$HL$28:$HR$28,DD$6,'Lease Cycles'!$HS$28:$HY$28)</f>
        <v>0</v>
      </c>
      <c r="DE362" s="28">
        <f>SUMIF('Lease Cycles'!$HL$28:$HR$28,DE$6,'Lease Cycles'!$HS$28:$HY$28)</f>
        <v>0</v>
      </c>
      <c r="DF362" s="28">
        <f>SUMIF('Lease Cycles'!$HL$28:$HR$28,DF$6,'Lease Cycles'!$HS$28:$HY$28)</f>
        <v>0</v>
      </c>
      <c r="DG362" s="28">
        <f>SUMIF('Lease Cycles'!$HL$28:$HR$28,DG$6,'Lease Cycles'!$HS$28:$HY$28)</f>
        <v>0</v>
      </c>
      <c r="DH362" s="28">
        <f>SUMIF('Lease Cycles'!$HL$28:$HR$28,DH$6,'Lease Cycles'!$HS$28:$HY$28)</f>
        <v>0</v>
      </c>
      <c r="DI362" s="28">
        <f>SUMIF('Lease Cycles'!$HL$28:$HR$28,DI$6,'Lease Cycles'!$HS$28:$HY$28)</f>
        <v>0</v>
      </c>
      <c r="DJ362" s="28">
        <f>SUMIF('Lease Cycles'!$HL$28:$HR$28,DJ$6,'Lease Cycles'!$HS$28:$HY$28)</f>
        <v>0</v>
      </c>
      <c r="DK362" s="28">
        <f>SUMIF('Lease Cycles'!$HL$28:$HR$28,DK$6,'Lease Cycles'!$HS$28:$HY$28)</f>
        <v>0</v>
      </c>
      <c r="DL362" s="28">
        <f>SUMIF('Lease Cycles'!$HL$28:$HR$28,DL$6,'Lease Cycles'!$HS$28:$HY$28)</f>
        <v>0</v>
      </c>
      <c r="DM362" s="28">
        <f>SUMIF('Lease Cycles'!$HL$28:$HR$28,DM$6,'Lease Cycles'!$HS$28:$HY$28)</f>
        <v>0</v>
      </c>
      <c r="DN362" s="28">
        <f>SUMIF('Lease Cycles'!$HL$28:$HR$28,DN$6,'Lease Cycles'!$HS$28:$HY$28)</f>
        <v>0</v>
      </c>
      <c r="DO362" s="28">
        <f>SUMIF('Lease Cycles'!$HL$28:$HR$28,DO$6,'Lease Cycles'!$HS$28:$HY$28)</f>
        <v>0</v>
      </c>
      <c r="DP362" s="28">
        <f>SUMIF('Lease Cycles'!$HL$28:$HR$28,DP$6,'Lease Cycles'!$HS$28:$HY$28)</f>
        <v>0</v>
      </c>
      <c r="DQ362" s="28">
        <f>SUMIF('Lease Cycles'!$HL$28:$HR$28,DQ$6,'Lease Cycles'!$HS$28:$HY$28)</f>
        <v>0</v>
      </c>
      <c r="DR362" s="28">
        <f>SUMIF('Lease Cycles'!$HL$28:$HR$28,DR$6,'Lease Cycles'!$HS$28:$HY$28)</f>
        <v>0</v>
      </c>
      <c r="DS362" s="28">
        <f>SUMIF('Lease Cycles'!$HL$28:$HR$28,DS$6,'Lease Cycles'!$HS$28:$HY$28)</f>
        <v>0</v>
      </c>
      <c r="DT362" s="28">
        <f>SUMIF('Lease Cycles'!$HL$28:$HR$28,DT$6,'Lease Cycles'!$HS$28:$HY$28)</f>
        <v>0</v>
      </c>
      <c r="DU362" s="28">
        <f>SUMIF('Lease Cycles'!$HL$28:$HR$28,DU$6,'Lease Cycles'!$HS$28:$HY$28)</f>
        <v>0</v>
      </c>
      <c r="DV362" s="28">
        <f>SUMIF('Lease Cycles'!$HL$28:$HR$28,DV$6,'Lease Cycles'!$HS$28:$HY$28)</f>
        <v>0</v>
      </c>
      <c r="DW362" s="28">
        <f>SUMIF('Lease Cycles'!$HL$28:$HR$28,DW$6,'Lease Cycles'!$HS$28:$HY$28)</f>
        <v>0</v>
      </c>
      <c r="DX362" s="28">
        <f>SUMIF('Lease Cycles'!$HL$28:$HR$28,DX$6,'Lease Cycles'!$HS$28:$HY$28)</f>
        <v>0</v>
      </c>
      <c r="DY362" s="28">
        <f>SUMIF('Lease Cycles'!$HL$28:$HR$28,DY$6,'Lease Cycles'!$HS$28:$HY$28)</f>
        <v>0</v>
      </c>
      <c r="DZ362" s="28">
        <f>SUMIF('Lease Cycles'!$HL$28:$HR$28,DZ$6,'Lease Cycles'!$HS$28:$HY$28)</f>
        <v>0</v>
      </c>
      <c r="EA362" s="28">
        <f>SUMIF('Lease Cycles'!$HL$28:$HR$28,EA$6,'Lease Cycles'!$HS$28:$HY$28)</f>
        <v>0</v>
      </c>
      <c r="EB362" s="28">
        <f>SUMIF('Lease Cycles'!$HL$28:$HR$28,EB$6,'Lease Cycles'!$HS$28:$HY$28)</f>
        <v>0</v>
      </c>
      <c r="EC362" s="28">
        <f>SUMIF('Lease Cycles'!$HL$28:$HR$28,EC$6,'Lease Cycles'!$HS$28:$HY$28)</f>
        <v>0</v>
      </c>
      <c r="ED362" s="28">
        <f>SUMIF('Lease Cycles'!$HL$28:$HR$28,ED$6,'Lease Cycles'!$HS$28:$HY$28)</f>
        <v>0</v>
      </c>
      <c r="EE362" s="28">
        <f>SUMIF('Lease Cycles'!$HL$28:$HR$28,EE$6,'Lease Cycles'!$HS$28:$HY$28)</f>
        <v>0</v>
      </c>
      <c r="EF362" s="28">
        <f>SUMIF('Lease Cycles'!$HL$28:$HR$28,EF$6,'Lease Cycles'!$HS$28:$HY$28)</f>
        <v>0</v>
      </c>
      <c r="EG362" s="28">
        <f>SUMIF('Lease Cycles'!$HL$28:$HR$28,EG$6,'Lease Cycles'!$HS$28:$HY$28)</f>
        <v>0</v>
      </c>
      <c r="EH362" s="28">
        <f>SUMIF('Lease Cycles'!$HL$28:$HR$28,EH$6,'Lease Cycles'!$HS$28:$HY$28)</f>
        <v>0</v>
      </c>
      <c r="EI362" s="28">
        <f>SUMIF('Lease Cycles'!$HL$28:$HR$28,EI$6,'Lease Cycles'!$HS$28:$HY$28)</f>
        <v>0</v>
      </c>
      <c r="EJ362" s="28">
        <f>SUMIF('Lease Cycles'!$HL$28:$HR$28,EJ$6,'Lease Cycles'!$HS$28:$HY$28)</f>
        <v>0</v>
      </c>
      <c r="EK362" s="28">
        <f>SUMIF('Lease Cycles'!$HL$28:$HR$28,EK$6,'Lease Cycles'!$HS$28:$HY$28)</f>
        <v>0</v>
      </c>
      <c r="EL362" s="28">
        <f>SUMIF('Lease Cycles'!$HL$28:$HR$28,EL$6,'Lease Cycles'!$HS$28:$HY$28)</f>
        <v>0</v>
      </c>
      <c r="EM362" s="28">
        <f>SUMIF('Lease Cycles'!$HL$28:$HR$28,EM$6,'Lease Cycles'!$HS$28:$HY$28)</f>
        <v>0</v>
      </c>
      <c r="EN362" s="28">
        <f>SUMIF('Lease Cycles'!$HL$28:$HR$28,EN$6,'Lease Cycles'!$HS$28:$HY$28)</f>
        <v>0</v>
      </c>
      <c r="EO362" s="28">
        <f>SUMIF('Lease Cycles'!$HL$28:$HR$28,EO$6,'Lease Cycles'!$HS$28:$HY$28)</f>
        <v>0</v>
      </c>
      <c r="EP362" s="28">
        <f>SUMIF('Lease Cycles'!$HL$28:$HR$28,EP$6,'Lease Cycles'!$HS$28:$HY$28)</f>
        <v>0</v>
      </c>
      <c r="EQ362" s="28">
        <f>SUMIF('Lease Cycles'!$HL$28:$HR$28,EQ$6,'Lease Cycles'!$HS$28:$HY$28)</f>
        <v>0</v>
      </c>
      <c r="ER362" s="28">
        <f>SUMIF('Lease Cycles'!$HL$28:$HR$28,ER$6,'Lease Cycles'!$HS$28:$HY$28)</f>
        <v>0</v>
      </c>
      <c r="ES362" s="28">
        <f>SUMIF('Lease Cycles'!$HL$28:$HR$28,ES$6,'Lease Cycles'!$HS$28:$HY$28)</f>
        <v>0</v>
      </c>
      <c r="ET362" s="28">
        <f>SUMIF('Lease Cycles'!$HL$28:$HR$28,ET$6,'Lease Cycles'!$HS$28:$HY$28)</f>
        <v>0</v>
      </c>
    </row>
    <row r="363">
      <c r="A363" s="103">
        <v>21</v>
      </c>
      <c r="B363" s="23" t="str">
        <f>IF('Lease Cycles'!$B$28="","(empty slot)",'Lease Cycles'!$B$28)</f>
        <v>(empty slot)</v>
      </c>
      <c r="C363" s="23" t="s">
        <v>532</v>
      </c>
      <c r="D363" s="104" t="s">
        <v>533</v>
      </c>
      <c r="E363" s="25">
        <f>'Lease Cycles'!$AL$28</f>
        <v>0</v>
      </c>
      <c r="G363" s="28">
        <f>SUM(S363:AD363)</f>
        <v>0</v>
      </c>
      <c r="H363" s="28">
        <f>SUM(AE363:AP363)</f>
        <v>0</v>
      </c>
      <c r="I363" s="28">
        <f>SUM(AQ363:BB363)</f>
        <v>0</v>
      </c>
      <c r="J363" s="28">
        <f>SUM(BC363:BN363)</f>
        <v>0</v>
      </c>
      <c r="K363" s="28">
        <f>SUM(BO363:BZ363)</f>
        <v>0</v>
      </c>
      <c r="L363" s="28">
        <f>SUM(CA363:CL363)</f>
        <v>0</v>
      </c>
      <c r="M363" s="28">
        <f>SUM(CM363:CX363)</f>
        <v>0</v>
      </c>
      <c r="N363" s="28">
        <f>SUM(CY363:DJ363)</f>
        <v>0</v>
      </c>
      <c r="O363" s="28">
        <f>SUM(DK363:DV363)</f>
        <v>0</v>
      </c>
      <c r="P363" s="28">
        <f>SUM(DW363:EH363)</f>
        <v>0</v>
      </c>
      <c r="Q363" s="28">
        <f>SUM(EI363:ET363)</f>
        <v>0</v>
      </c>
      <c r="S363" s="28">
        <f>SUMIF('Lease Cycles'!$HL$28:$HR$28,S$6,'Lease Cycles'!$HZ$28:$IF$28)</f>
        <v>0</v>
      </c>
      <c r="T363" s="28">
        <f>SUMIF('Lease Cycles'!$HL$28:$HR$28,T$6,'Lease Cycles'!$HZ$28:$IF$28)</f>
        <v>0</v>
      </c>
      <c r="U363" s="28">
        <f>SUMIF('Lease Cycles'!$HL$28:$HR$28,U$6,'Lease Cycles'!$HZ$28:$IF$28)</f>
        <v>0</v>
      </c>
      <c r="V363" s="28">
        <f>SUMIF('Lease Cycles'!$HL$28:$HR$28,V$6,'Lease Cycles'!$HZ$28:$IF$28)</f>
        <v>0</v>
      </c>
      <c r="W363" s="28">
        <f>SUMIF('Lease Cycles'!$HL$28:$HR$28,W$6,'Lease Cycles'!$HZ$28:$IF$28)</f>
        <v>0</v>
      </c>
      <c r="X363" s="28">
        <f>SUMIF('Lease Cycles'!$HL$28:$HR$28,X$6,'Lease Cycles'!$HZ$28:$IF$28)</f>
        <v>0</v>
      </c>
      <c r="Y363" s="28">
        <f>SUMIF('Lease Cycles'!$HL$28:$HR$28,Y$6,'Lease Cycles'!$HZ$28:$IF$28)</f>
        <v>0</v>
      </c>
      <c r="Z363" s="28">
        <f>SUMIF('Lease Cycles'!$HL$28:$HR$28,Z$6,'Lease Cycles'!$HZ$28:$IF$28)</f>
        <v>0</v>
      </c>
      <c r="AA363" s="28">
        <f>SUMIF('Lease Cycles'!$HL$28:$HR$28,AA$6,'Lease Cycles'!$HZ$28:$IF$28)</f>
        <v>0</v>
      </c>
      <c r="AB363" s="28">
        <f>SUMIF('Lease Cycles'!$HL$28:$HR$28,AB$6,'Lease Cycles'!$HZ$28:$IF$28)</f>
        <v>0</v>
      </c>
      <c r="AC363" s="28">
        <f>SUMIF('Lease Cycles'!$HL$28:$HR$28,AC$6,'Lease Cycles'!$HZ$28:$IF$28)</f>
        <v>0</v>
      </c>
      <c r="AD363" s="28">
        <f>SUMIF('Lease Cycles'!$HL$28:$HR$28,AD$6,'Lease Cycles'!$HZ$28:$IF$28)</f>
        <v>0</v>
      </c>
      <c r="AE363" s="28">
        <f>SUMIF('Lease Cycles'!$HL$28:$HR$28,AE$6,'Lease Cycles'!$HZ$28:$IF$28)</f>
        <v>0</v>
      </c>
      <c r="AF363" s="28">
        <f>SUMIF('Lease Cycles'!$HL$28:$HR$28,AF$6,'Lease Cycles'!$HZ$28:$IF$28)</f>
        <v>0</v>
      </c>
      <c r="AG363" s="28">
        <f>SUMIF('Lease Cycles'!$HL$28:$HR$28,AG$6,'Lease Cycles'!$HZ$28:$IF$28)</f>
        <v>0</v>
      </c>
      <c r="AH363" s="28">
        <f>SUMIF('Lease Cycles'!$HL$28:$HR$28,AH$6,'Lease Cycles'!$HZ$28:$IF$28)</f>
        <v>0</v>
      </c>
      <c r="AI363" s="28">
        <f>SUMIF('Lease Cycles'!$HL$28:$HR$28,AI$6,'Lease Cycles'!$HZ$28:$IF$28)</f>
        <v>0</v>
      </c>
      <c r="AJ363" s="28">
        <f>SUMIF('Lease Cycles'!$HL$28:$HR$28,AJ$6,'Lease Cycles'!$HZ$28:$IF$28)</f>
        <v>0</v>
      </c>
      <c r="AK363" s="28">
        <f>SUMIF('Lease Cycles'!$HL$28:$HR$28,AK$6,'Lease Cycles'!$HZ$28:$IF$28)</f>
        <v>0</v>
      </c>
      <c r="AL363" s="28">
        <f>SUMIF('Lease Cycles'!$HL$28:$HR$28,AL$6,'Lease Cycles'!$HZ$28:$IF$28)</f>
        <v>0</v>
      </c>
      <c r="AM363" s="28">
        <f>SUMIF('Lease Cycles'!$HL$28:$HR$28,AM$6,'Lease Cycles'!$HZ$28:$IF$28)</f>
        <v>0</v>
      </c>
      <c r="AN363" s="28">
        <f>SUMIF('Lease Cycles'!$HL$28:$HR$28,AN$6,'Lease Cycles'!$HZ$28:$IF$28)</f>
        <v>0</v>
      </c>
      <c r="AO363" s="28">
        <f>SUMIF('Lease Cycles'!$HL$28:$HR$28,AO$6,'Lease Cycles'!$HZ$28:$IF$28)</f>
        <v>0</v>
      </c>
      <c r="AP363" s="28">
        <f>SUMIF('Lease Cycles'!$HL$28:$HR$28,AP$6,'Lease Cycles'!$HZ$28:$IF$28)</f>
        <v>0</v>
      </c>
      <c r="AQ363" s="28">
        <f>SUMIF('Lease Cycles'!$HL$28:$HR$28,AQ$6,'Lease Cycles'!$HZ$28:$IF$28)</f>
        <v>0</v>
      </c>
      <c r="AR363" s="28">
        <f>SUMIF('Lease Cycles'!$HL$28:$HR$28,AR$6,'Lease Cycles'!$HZ$28:$IF$28)</f>
        <v>0</v>
      </c>
      <c r="AS363" s="28">
        <f>SUMIF('Lease Cycles'!$HL$28:$HR$28,AS$6,'Lease Cycles'!$HZ$28:$IF$28)</f>
        <v>0</v>
      </c>
      <c r="AT363" s="28">
        <f>SUMIF('Lease Cycles'!$HL$28:$HR$28,AT$6,'Lease Cycles'!$HZ$28:$IF$28)</f>
        <v>0</v>
      </c>
      <c r="AU363" s="28">
        <f>SUMIF('Lease Cycles'!$HL$28:$HR$28,AU$6,'Lease Cycles'!$HZ$28:$IF$28)</f>
        <v>0</v>
      </c>
      <c r="AV363" s="28">
        <f>SUMIF('Lease Cycles'!$HL$28:$HR$28,AV$6,'Lease Cycles'!$HZ$28:$IF$28)</f>
        <v>0</v>
      </c>
      <c r="AW363" s="28">
        <f>SUMIF('Lease Cycles'!$HL$28:$HR$28,AW$6,'Lease Cycles'!$HZ$28:$IF$28)</f>
        <v>0</v>
      </c>
      <c r="AX363" s="28">
        <f>SUMIF('Lease Cycles'!$HL$28:$HR$28,AX$6,'Lease Cycles'!$HZ$28:$IF$28)</f>
        <v>0</v>
      </c>
      <c r="AY363" s="28">
        <f>SUMIF('Lease Cycles'!$HL$28:$HR$28,AY$6,'Lease Cycles'!$HZ$28:$IF$28)</f>
        <v>0</v>
      </c>
      <c r="AZ363" s="28">
        <f>SUMIF('Lease Cycles'!$HL$28:$HR$28,AZ$6,'Lease Cycles'!$HZ$28:$IF$28)</f>
        <v>0</v>
      </c>
      <c r="BA363" s="28">
        <f>SUMIF('Lease Cycles'!$HL$28:$HR$28,BA$6,'Lease Cycles'!$HZ$28:$IF$28)</f>
        <v>0</v>
      </c>
      <c r="BB363" s="28">
        <f>SUMIF('Lease Cycles'!$HL$28:$HR$28,BB$6,'Lease Cycles'!$HZ$28:$IF$28)</f>
        <v>0</v>
      </c>
      <c r="BC363" s="28">
        <f>SUMIF('Lease Cycles'!$HL$28:$HR$28,BC$6,'Lease Cycles'!$HZ$28:$IF$28)</f>
        <v>0</v>
      </c>
      <c r="BD363" s="28">
        <f>SUMIF('Lease Cycles'!$HL$28:$HR$28,BD$6,'Lease Cycles'!$HZ$28:$IF$28)</f>
        <v>0</v>
      </c>
      <c r="BE363" s="28">
        <f>SUMIF('Lease Cycles'!$HL$28:$HR$28,BE$6,'Lease Cycles'!$HZ$28:$IF$28)</f>
        <v>0</v>
      </c>
      <c r="BF363" s="28">
        <f>SUMIF('Lease Cycles'!$HL$28:$HR$28,BF$6,'Lease Cycles'!$HZ$28:$IF$28)</f>
        <v>0</v>
      </c>
      <c r="BG363" s="28">
        <f>SUMIF('Lease Cycles'!$HL$28:$HR$28,BG$6,'Lease Cycles'!$HZ$28:$IF$28)</f>
        <v>0</v>
      </c>
      <c r="BH363" s="28">
        <f>SUMIF('Lease Cycles'!$HL$28:$HR$28,BH$6,'Lease Cycles'!$HZ$28:$IF$28)</f>
        <v>0</v>
      </c>
      <c r="BI363" s="28">
        <f>SUMIF('Lease Cycles'!$HL$28:$HR$28,BI$6,'Lease Cycles'!$HZ$28:$IF$28)</f>
        <v>0</v>
      </c>
      <c r="BJ363" s="28">
        <f>SUMIF('Lease Cycles'!$HL$28:$HR$28,BJ$6,'Lease Cycles'!$HZ$28:$IF$28)</f>
        <v>0</v>
      </c>
      <c r="BK363" s="28">
        <f>SUMIF('Lease Cycles'!$HL$28:$HR$28,BK$6,'Lease Cycles'!$HZ$28:$IF$28)</f>
        <v>0</v>
      </c>
      <c r="BL363" s="28">
        <f>SUMIF('Lease Cycles'!$HL$28:$HR$28,BL$6,'Lease Cycles'!$HZ$28:$IF$28)</f>
        <v>0</v>
      </c>
      <c r="BM363" s="28">
        <f>SUMIF('Lease Cycles'!$HL$28:$HR$28,BM$6,'Lease Cycles'!$HZ$28:$IF$28)</f>
        <v>0</v>
      </c>
      <c r="BN363" s="28">
        <f>SUMIF('Lease Cycles'!$HL$28:$HR$28,BN$6,'Lease Cycles'!$HZ$28:$IF$28)</f>
        <v>0</v>
      </c>
      <c r="BO363" s="28">
        <f>SUMIF('Lease Cycles'!$HL$28:$HR$28,BO$6,'Lease Cycles'!$HZ$28:$IF$28)</f>
        <v>0</v>
      </c>
      <c r="BP363" s="28">
        <f>SUMIF('Lease Cycles'!$HL$28:$HR$28,BP$6,'Lease Cycles'!$HZ$28:$IF$28)</f>
        <v>0</v>
      </c>
      <c r="BQ363" s="28">
        <f>SUMIF('Lease Cycles'!$HL$28:$HR$28,BQ$6,'Lease Cycles'!$HZ$28:$IF$28)</f>
        <v>0</v>
      </c>
      <c r="BR363" s="28">
        <f>SUMIF('Lease Cycles'!$HL$28:$HR$28,BR$6,'Lease Cycles'!$HZ$28:$IF$28)</f>
        <v>0</v>
      </c>
      <c r="BS363" s="28">
        <f>SUMIF('Lease Cycles'!$HL$28:$HR$28,BS$6,'Lease Cycles'!$HZ$28:$IF$28)</f>
        <v>0</v>
      </c>
      <c r="BT363" s="28">
        <f>SUMIF('Lease Cycles'!$HL$28:$HR$28,BT$6,'Lease Cycles'!$HZ$28:$IF$28)</f>
        <v>0</v>
      </c>
      <c r="BU363" s="28">
        <f>SUMIF('Lease Cycles'!$HL$28:$HR$28,BU$6,'Lease Cycles'!$HZ$28:$IF$28)</f>
        <v>0</v>
      </c>
      <c r="BV363" s="28">
        <f>SUMIF('Lease Cycles'!$HL$28:$HR$28,BV$6,'Lease Cycles'!$HZ$28:$IF$28)</f>
        <v>0</v>
      </c>
      <c r="BW363" s="28">
        <f>SUMIF('Lease Cycles'!$HL$28:$HR$28,BW$6,'Lease Cycles'!$HZ$28:$IF$28)</f>
        <v>0</v>
      </c>
      <c r="BX363" s="28">
        <f>SUMIF('Lease Cycles'!$HL$28:$HR$28,BX$6,'Lease Cycles'!$HZ$28:$IF$28)</f>
        <v>0</v>
      </c>
      <c r="BY363" s="28">
        <f>SUMIF('Lease Cycles'!$HL$28:$HR$28,BY$6,'Lease Cycles'!$HZ$28:$IF$28)</f>
        <v>0</v>
      </c>
      <c r="BZ363" s="28">
        <f>SUMIF('Lease Cycles'!$HL$28:$HR$28,BZ$6,'Lease Cycles'!$HZ$28:$IF$28)</f>
        <v>0</v>
      </c>
      <c r="CA363" s="28">
        <f>SUMIF('Lease Cycles'!$HL$28:$HR$28,CA$6,'Lease Cycles'!$HZ$28:$IF$28)</f>
        <v>0</v>
      </c>
      <c r="CB363" s="28">
        <f>SUMIF('Lease Cycles'!$HL$28:$HR$28,CB$6,'Lease Cycles'!$HZ$28:$IF$28)</f>
        <v>0</v>
      </c>
      <c r="CC363" s="28">
        <f>SUMIF('Lease Cycles'!$HL$28:$HR$28,CC$6,'Lease Cycles'!$HZ$28:$IF$28)</f>
        <v>0</v>
      </c>
      <c r="CD363" s="28">
        <f>SUMIF('Lease Cycles'!$HL$28:$HR$28,CD$6,'Lease Cycles'!$HZ$28:$IF$28)</f>
        <v>0</v>
      </c>
      <c r="CE363" s="28">
        <f>SUMIF('Lease Cycles'!$HL$28:$HR$28,CE$6,'Lease Cycles'!$HZ$28:$IF$28)</f>
        <v>0</v>
      </c>
      <c r="CF363" s="28">
        <f>SUMIF('Lease Cycles'!$HL$28:$HR$28,CF$6,'Lease Cycles'!$HZ$28:$IF$28)</f>
        <v>0</v>
      </c>
      <c r="CG363" s="28">
        <f>SUMIF('Lease Cycles'!$HL$28:$HR$28,CG$6,'Lease Cycles'!$HZ$28:$IF$28)</f>
        <v>0</v>
      </c>
      <c r="CH363" s="28">
        <f>SUMIF('Lease Cycles'!$HL$28:$HR$28,CH$6,'Lease Cycles'!$HZ$28:$IF$28)</f>
        <v>0</v>
      </c>
      <c r="CI363" s="28">
        <f>SUMIF('Lease Cycles'!$HL$28:$HR$28,CI$6,'Lease Cycles'!$HZ$28:$IF$28)</f>
        <v>0</v>
      </c>
      <c r="CJ363" s="28">
        <f>SUMIF('Lease Cycles'!$HL$28:$HR$28,CJ$6,'Lease Cycles'!$HZ$28:$IF$28)</f>
        <v>0</v>
      </c>
      <c r="CK363" s="28">
        <f>SUMIF('Lease Cycles'!$HL$28:$HR$28,CK$6,'Lease Cycles'!$HZ$28:$IF$28)</f>
        <v>0</v>
      </c>
      <c r="CL363" s="28">
        <f>SUMIF('Lease Cycles'!$HL$28:$HR$28,CL$6,'Lease Cycles'!$HZ$28:$IF$28)</f>
        <v>0</v>
      </c>
      <c r="CM363" s="28">
        <f>SUMIF('Lease Cycles'!$HL$28:$HR$28,CM$6,'Lease Cycles'!$HZ$28:$IF$28)</f>
        <v>0</v>
      </c>
      <c r="CN363" s="28">
        <f>SUMIF('Lease Cycles'!$HL$28:$HR$28,CN$6,'Lease Cycles'!$HZ$28:$IF$28)</f>
        <v>0</v>
      </c>
      <c r="CO363" s="28">
        <f>SUMIF('Lease Cycles'!$HL$28:$HR$28,CO$6,'Lease Cycles'!$HZ$28:$IF$28)</f>
        <v>0</v>
      </c>
      <c r="CP363" s="28">
        <f>SUMIF('Lease Cycles'!$HL$28:$HR$28,CP$6,'Lease Cycles'!$HZ$28:$IF$28)</f>
        <v>0</v>
      </c>
      <c r="CQ363" s="28">
        <f>SUMIF('Lease Cycles'!$HL$28:$HR$28,CQ$6,'Lease Cycles'!$HZ$28:$IF$28)</f>
        <v>0</v>
      </c>
      <c r="CR363" s="28">
        <f>SUMIF('Lease Cycles'!$HL$28:$HR$28,CR$6,'Lease Cycles'!$HZ$28:$IF$28)</f>
        <v>0</v>
      </c>
      <c r="CS363" s="28">
        <f>SUMIF('Lease Cycles'!$HL$28:$HR$28,CS$6,'Lease Cycles'!$HZ$28:$IF$28)</f>
        <v>0</v>
      </c>
      <c r="CT363" s="28">
        <f>SUMIF('Lease Cycles'!$HL$28:$HR$28,CT$6,'Lease Cycles'!$HZ$28:$IF$28)</f>
        <v>0</v>
      </c>
      <c r="CU363" s="28">
        <f>SUMIF('Lease Cycles'!$HL$28:$HR$28,CU$6,'Lease Cycles'!$HZ$28:$IF$28)</f>
        <v>0</v>
      </c>
      <c r="CV363" s="28">
        <f>SUMIF('Lease Cycles'!$HL$28:$HR$28,CV$6,'Lease Cycles'!$HZ$28:$IF$28)</f>
        <v>0</v>
      </c>
      <c r="CW363" s="28">
        <f>SUMIF('Lease Cycles'!$HL$28:$HR$28,CW$6,'Lease Cycles'!$HZ$28:$IF$28)</f>
        <v>0</v>
      </c>
      <c r="CX363" s="28">
        <f>SUMIF('Lease Cycles'!$HL$28:$HR$28,CX$6,'Lease Cycles'!$HZ$28:$IF$28)</f>
        <v>0</v>
      </c>
      <c r="CY363" s="28">
        <f>SUMIF('Lease Cycles'!$HL$28:$HR$28,CY$6,'Lease Cycles'!$HZ$28:$IF$28)</f>
        <v>0</v>
      </c>
      <c r="CZ363" s="28">
        <f>SUMIF('Lease Cycles'!$HL$28:$HR$28,CZ$6,'Lease Cycles'!$HZ$28:$IF$28)</f>
        <v>0</v>
      </c>
      <c r="DA363" s="28">
        <f>SUMIF('Lease Cycles'!$HL$28:$HR$28,DA$6,'Lease Cycles'!$HZ$28:$IF$28)</f>
        <v>0</v>
      </c>
      <c r="DB363" s="28">
        <f>SUMIF('Lease Cycles'!$HL$28:$HR$28,DB$6,'Lease Cycles'!$HZ$28:$IF$28)</f>
        <v>0</v>
      </c>
      <c r="DC363" s="28">
        <f>SUMIF('Lease Cycles'!$HL$28:$HR$28,DC$6,'Lease Cycles'!$HZ$28:$IF$28)</f>
        <v>0</v>
      </c>
      <c r="DD363" s="28">
        <f>SUMIF('Lease Cycles'!$HL$28:$HR$28,DD$6,'Lease Cycles'!$HZ$28:$IF$28)</f>
        <v>0</v>
      </c>
      <c r="DE363" s="28">
        <f>SUMIF('Lease Cycles'!$HL$28:$HR$28,DE$6,'Lease Cycles'!$HZ$28:$IF$28)</f>
        <v>0</v>
      </c>
      <c r="DF363" s="28">
        <f>SUMIF('Lease Cycles'!$HL$28:$HR$28,DF$6,'Lease Cycles'!$HZ$28:$IF$28)</f>
        <v>0</v>
      </c>
      <c r="DG363" s="28">
        <f>SUMIF('Lease Cycles'!$HL$28:$HR$28,DG$6,'Lease Cycles'!$HZ$28:$IF$28)</f>
        <v>0</v>
      </c>
      <c r="DH363" s="28">
        <f>SUMIF('Lease Cycles'!$HL$28:$HR$28,DH$6,'Lease Cycles'!$HZ$28:$IF$28)</f>
        <v>0</v>
      </c>
      <c r="DI363" s="28">
        <f>SUMIF('Lease Cycles'!$HL$28:$HR$28,DI$6,'Lease Cycles'!$HZ$28:$IF$28)</f>
        <v>0</v>
      </c>
      <c r="DJ363" s="28">
        <f>SUMIF('Lease Cycles'!$HL$28:$HR$28,DJ$6,'Lease Cycles'!$HZ$28:$IF$28)</f>
        <v>0</v>
      </c>
      <c r="DK363" s="28">
        <f>SUMIF('Lease Cycles'!$HL$28:$HR$28,DK$6,'Lease Cycles'!$HZ$28:$IF$28)</f>
        <v>0</v>
      </c>
      <c r="DL363" s="28">
        <f>SUMIF('Lease Cycles'!$HL$28:$HR$28,DL$6,'Lease Cycles'!$HZ$28:$IF$28)</f>
        <v>0</v>
      </c>
      <c r="DM363" s="28">
        <f>SUMIF('Lease Cycles'!$HL$28:$HR$28,DM$6,'Lease Cycles'!$HZ$28:$IF$28)</f>
        <v>0</v>
      </c>
      <c r="DN363" s="28">
        <f>SUMIF('Lease Cycles'!$HL$28:$HR$28,DN$6,'Lease Cycles'!$HZ$28:$IF$28)</f>
        <v>0</v>
      </c>
      <c r="DO363" s="28">
        <f>SUMIF('Lease Cycles'!$HL$28:$HR$28,DO$6,'Lease Cycles'!$HZ$28:$IF$28)</f>
        <v>0</v>
      </c>
      <c r="DP363" s="28">
        <f>SUMIF('Lease Cycles'!$HL$28:$HR$28,DP$6,'Lease Cycles'!$HZ$28:$IF$28)</f>
        <v>0</v>
      </c>
      <c r="DQ363" s="28">
        <f>SUMIF('Lease Cycles'!$HL$28:$HR$28,DQ$6,'Lease Cycles'!$HZ$28:$IF$28)</f>
        <v>0</v>
      </c>
      <c r="DR363" s="28">
        <f>SUMIF('Lease Cycles'!$HL$28:$HR$28,DR$6,'Lease Cycles'!$HZ$28:$IF$28)</f>
        <v>0</v>
      </c>
      <c r="DS363" s="28">
        <f>SUMIF('Lease Cycles'!$HL$28:$HR$28,DS$6,'Lease Cycles'!$HZ$28:$IF$28)</f>
        <v>0</v>
      </c>
      <c r="DT363" s="28">
        <f>SUMIF('Lease Cycles'!$HL$28:$HR$28,DT$6,'Lease Cycles'!$HZ$28:$IF$28)</f>
        <v>0</v>
      </c>
      <c r="DU363" s="28">
        <f>SUMIF('Lease Cycles'!$HL$28:$HR$28,DU$6,'Lease Cycles'!$HZ$28:$IF$28)</f>
        <v>0</v>
      </c>
      <c r="DV363" s="28">
        <f>SUMIF('Lease Cycles'!$HL$28:$HR$28,DV$6,'Lease Cycles'!$HZ$28:$IF$28)</f>
        <v>0</v>
      </c>
      <c r="DW363" s="28">
        <f>SUMIF('Lease Cycles'!$HL$28:$HR$28,DW$6,'Lease Cycles'!$HZ$28:$IF$28)</f>
        <v>0</v>
      </c>
      <c r="DX363" s="28">
        <f>SUMIF('Lease Cycles'!$HL$28:$HR$28,DX$6,'Lease Cycles'!$HZ$28:$IF$28)</f>
        <v>0</v>
      </c>
      <c r="DY363" s="28">
        <f>SUMIF('Lease Cycles'!$HL$28:$HR$28,DY$6,'Lease Cycles'!$HZ$28:$IF$28)</f>
        <v>0</v>
      </c>
      <c r="DZ363" s="28">
        <f>SUMIF('Lease Cycles'!$HL$28:$HR$28,DZ$6,'Lease Cycles'!$HZ$28:$IF$28)</f>
        <v>0</v>
      </c>
      <c r="EA363" s="28">
        <f>SUMIF('Lease Cycles'!$HL$28:$HR$28,EA$6,'Lease Cycles'!$HZ$28:$IF$28)</f>
        <v>0</v>
      </c>
      <c r="EB363" s="28">
        <f>SUMIF('Lease Cycles'!$HL$28:$HR$28,EB$6,'Lease Cycles'!$HZ$28:$IF$28)</f>
        <v>0</v>
      </c>
      <c r="EC363" s="28">
        <f>SUMIF('Lease Cycles'!$HL$28:$HR$28,EC$6,'Lease Cycles'!$HZ$28:$IF$28)</f>
        <v>0</v>
      </c>
      <c r="ED363" s="28">
        <f>SUMIF('Lease Cycles'!$HL$28:$HR$28,ED$6,'Lease Cycles'!$HZ$28:$IF$28)</f>
        <v>0</v>
      </c>
      <c r="EE363" s="28">
        <f>SUMIF('Lease Cycles'!$HL$28:$HR$28,EE$6,'Lease Cycles'!$HZ$28:$IF$28)</f>
        <v>0</v>
      </c>
      <c r="EF363" s="28">
        <f>SUMIF('Lease Cycles'!$HL$28:$HR$28,EF$6,'Lease Cycles'!$HZ$28:$IF$28)</f>
        <v>0</v>
      </c>
      <c r="EG363" s="28">
        <f>SUMIF('Lease Cycles'!$HL$28:$HR$28,EG$6,'Lease Cycles'!$HZ$28:$IF$28)</f>
        <v>0</v>
      </c>
      <c r="EH363" s="28">
        <f>SUMIF('Lease Cycles'!$HL$28:$HR$28,EH$6,'Lease Cycles'!$HZ$28:$IF$28)</f>
        <v>0</v>
      </c>
      <c r="EI363" s="28">
        <f>SUMIF('Lease Cycles'!$HL$28:$HR$28,EI$6,'Lease Cycles'!$HZ$28:$IF$28)</f>
        <v>0</v>
      </c>
      <c r="EJ363" s="28">
        <f>SUMIF('Lease Cycles'!$HL$28:$HR$28,EJ$6,'Lease Cycles'!$HZ$28:$IF$28)</f>
        <v>0</v>
      </c>
      <c r="EK363" s="28">
        <f>SUMIF('Lease Cycles'!$HL$28:$HR$28,EK$6,'Lease Cycles'!$HZ$28:$IF$28)</f>
        <v>0</v>
      </c>
      <c r="EL363" s="28">
        <f>SUMIF('Lease Cycles'!$HL$28:$HR$28,EL$6,'Lease Cycles'!$HZ$28:$IF$28)</f>
        <v>0</v>
      </c>
      <c r="EM363" s="28">
        <f>SUMIF('Lease Cycles'!$HL$28:$HR$28,EM$6,'Lease Cycles'!$HZ$28:$IF$28)</f>
        <v>0</v>
      </c>
      <c r="EN363" s="28">
        <f>SUMIF('Lease Cycles'!$HL$28:$HR$28,EN$6,'Lease Cycles'!$HZ$28:$IF$28)</f>
        <v>0</v>
      </c>
      <c r="EO363" s="28">
        <f>SUMIF('Lease Cycles'!$HL$28:$HR$28,EO$6,'Lease Cycles'!$HZ$28:$IF$28)</f>
        <v>0</v>
      </c>
      <c r="EP363" s="28">
        <f>SUMIF('Lease Cycles'!$HL$28:$HR$28,EP$6,'Lease Cycles'!$HZ$28:$IF$28)</f>
        <v>0</v>
      </c>
      <c r="EQ363" s="28">
        <f>SUMIF('Lease Cycles'!$HL$28:$HR$28,EQ$6,'Lease Cycles'!$HZ$28:$IF$28)</f>
        <v>0</v>
      </c>
      <c r="ER363" s="28">
        <f>SUMIF('Lease Cycles'!$HL$28:$HR$28,ER$6,'Lease Cycles'!$HZ$28:$IF$28)</f>
        <v>0</v>
      </c>
      <c r="ES363" s="28">
        <f>SUMIF('Lease Cycles'!$HL$28:$HR$28,ES$6,'Lease Cycles'!$HZ$28:$IF$28)</f>
        <v>0</v>
      </c>
      <c r="ET363" s="28">
        <f>SUMIF('Lease Cycles'!$HL$28:$HR$28,ET$6,'Lease Cycles'!$HZ$28:$IF$28)</f>
        <v>0</v>
      </c>
    </row>
    <row r="364">
      <c r="A364" s="103">
        <v>21</v>
      </c>
      <c r="B364" s="23" t="str">
        <f>IF('Lease Cycles'!$B$28="","(empty slot)",'Lease Cycles'!$B$28)</f>
        <v>(empty slot)</v>
      </c>
      <c r="C364" s="23" t="s">
        <v>691</v>
      </c>
      <c r="D364" s="104" t="s">
        <v>692</v>
      </c>
      <c r="E364" s="25">
        <f>'Lease Cycles'!$AL$28</f>
        <v>0</v>
      </c>
      <c r="G364" s="28">
        <f>SUM(S364:AD364)</f>
        <v>0</v>
      </c>
      <c r="H364" s="28">
        <f>SUM(AE364:AP364)</f>
        <v>0</v>
      </c>
      <c r="I364" s="28">
        <f>SUM(AQ364:BB364)</f>
        <v>0</v>
      </c>
      <c r="J364" s="28">
        <f>SUM(BC364:BN364)</f>
        <v>0</v>
      </c>
      <c r="K364" s="28">
        <f>SUM(BO364:BZ364)</f>
        <v>0</v>
      </c>
      <c r="L364" s="28">
        <f>SUM(CA364:CL364)</f>
        <v>0</v>
      </c>
      <c r="M364" s="28">
        <f>SUM(CM364:CX364)</f>
        <v>0</v>
      </c>
      <c r="N364" s="28">
        <f>SUM(CY364:DJ364)</f>
        <v>0</v>
      </c>
      <c r="O364" s="28">
        <f>SUM(DK364:DV364)</f>
        <v>0</v>
      </c>
      <c r="P364" s="28">
        <f>SUM(DW364:EH364)</f>
        <v>0</v>
      </c>
      <c r="Q364" s="28">
        <f>SUM(EI364:ET364)</f>
        <v>0</v>
      </c>
      <c r="S364" s="28">
        <f>IF(S$6='Lease Cycles'!$HL$28,'Lease Cycles'!$HS$28+'Lease Cycles'!$HZ$28,0)</f>
        <v>0</v>
      </c>
      <c r="T364" s="28">
        <f>IF(T$6='Lease Cycles'!$HL$28,'Lease Cycles'!$HS$28+'Lease Cycles'!$HZ$28,0)</f>
        <v>0</v>
      </c>
      <c r="U364" s="28">
        <f>IF(U$6='Lease Cycles'!$HL$28,'Lease Cycles'!$HS$28+'Lease Cycles'!$HZ$28,0)</f>
        <v>0</v>
      </c>
      <c r="V364" s="28">
        <f>IF(V$6='Lease Cycles'!$HL$28,'Lease Cycles'!$HS$28+'Lease Cycles'!$HZ$28,0)</f>
        <v>0</v>
      </c>
      <c r="W364" s="28">
        <f>IF(W$6='Lease Cycles'!$HL$28,'Lease Cycles'!$HS$28+'Lease Cycles'!$HZ$28,0)</f>
        <v>0</v>
      </c>
      <c r="X364" s="28">
        <f>IF(X$6='Lease Cycles'!$HL$28,'Lease Cycles'!$HS$28+'Lease Cycles'!$HZ$28,0)</f>
        <v>0</v>
      </c>
      <c r="Y364" s="28">
        <f>IF(Y$6='Lease Cycles'!$HL$28,'Lease Cycles'!$HS$28+'Lease Cycles'!$HZ$28,0)</f>
        <v>0</v>
      </c>
      <c r="Z364" s="28">
        <f>IF(Z$6='Lease Cycles'!$HL$28,'Lease Cycles'!$HS$28+'Lease Cycles'!$HZ$28,0)</f>
        <v>0</v>
      </c>
      <c r="AA364" s="28">
        <f>IF(AA$6='Lease Cycles'!$HL$28,'Lease Cycles'!$HS$28+'Lease Cycles'!$HZ$28,0)</f>
        <v>0</v>
      </c>
      <c r="AB364" s="28">
        <f>IF(AB$6='Lease Cycles'!$HL$28,'Lease Cycles'!$HS$28+'Lease Cycles'!$HZ$28,0)</f>
        <v>0</v>
      </c>
      <c r="AC364" s="28">
        <f>IF(AC$6='Lease Cycles'!$HL$28,'Lease Cycles'!$HS$28+'Lease Cycles'!$HZ$28,0)</f>
        <v>0</v>
      </c>
      <c r="AD364" s="28">
        <f>IF(AD$6='Lease Cycles'!$HL$28,'Lease Cycles'!$HS$28+'Lease Cycles'!$HZ$28,0)</f>
        <v>0</v>
      </c>
      <c r="AE364" s="28">
        <f>IF(AE$6='Lease Cycles'!$HL$28,'Lease Cycles'!$HS$28+'Lease Cycles'!$HZ$28,0)</f>
        <v>0</v>
      </c>
      <c r="AF364" s="28">
        <f>IF(AF$6='Lease Cycles'!$HL$28,'Lease Cycles'!$HS$28+'Lease Cycles'!$HZ$28,0)</f>
        <v>0</v>
      </c>
      <c r="AG364" s="28">
        <f>IF(AG$6='Lease Cycles'!$HL$28,'Lease Cycles'!$HS$28+'Lease Cycles'!$HZ$28,0)</f>
        <v>0</v>
      </c>
      <c r="AH364" s="28">
        <f>IF(AH$6='Lease Cycles'!$HL$28,'Lease Cycles'!$HS$28+'Lease Cycles'!$HZ$28,0)</f>
        <v>0</v>
      </c>
      <c r="AI364" s="28">
        <f>IF(AI$6='Lease Cycles'!$HL$28,'Lease Cycles'!$HS$28+'Lease Cycles'!$HZ$28,0)</f>
        <v>0</v>
      </c>
      <c r="AJ364" s="28">
        <f>IF(AJ$6='Lease Cycles'!$HL$28,'Lease Cycles'!$HS$28+'Lease Cycles'!$HZ$28,0)</f>
        <v>0</v>
      </c>
      <c r="AK364" s="28">
        <f>IF(AK$6='Lease Cycles'!$HL$28,'Lease Cycles'!$HS$28+'Lease Cycles'!$HZ$28,0)</f>
        <v>0</v>
      </c>
      <c r="AL364" s="28">
        <f>IF(AL$6='Lease Cycles'!$HL$28,'Lease Cycles'!$HS$28+'Lease Cycles'!$HZ$28,0)</f>
        <v>0</v>
      </c>
      <c r="AM364" s="28">
        <f>IF(AM$6='Lease Cycles'!$HL$28,'Lease Cycles'!$HS$28+'Lease Cycles'!$HZ$28,0)</f>
        <v>0</v>
      </c>
      <c r="AN364" s="28">
        <f>IF(AN$6='Lease Cycles'!$HL$28,'Lease Cycles'!$HS$28+'Lease Cycles'!$HZ$28,0)</f>
        <v>0</v>
      </c>
      <c r="AO364" s="28">
        <f>IF(AO$6='Lease Cycles'!$HL$28,'Lease Cycles'!$HS$28+'Lease Cycles'!$HZ$28,0)</f>
        <v>0</v>
      </c>
      <c r="AP364" s="28">
        <f>IF(AP$6='Lease Cycles'!$HL$28,'Lease Cycles'!$HS$28+'Lease Cycles'!$HZ$28,0)</f>
        <v>0</v>
      </c>
      <c r="AQ364" s="28">
        <f>IF(AQ$6='Lease Cycles'!$HL$28,'Lease Cycles'!$HS$28+'Lease Cycles'!$HZ$28,0)</f>
        <v>0</v>
      </c>
      <c r="AR364" s="28">
        <f>IF(AR$6='Lease Cycles'!$HL$28,'Lease Cycles'!$HS$28+'Lease Cycles'!$HZ$28,0)</f>
        <v>0</v>
      </c>
      <c r="AS364" s="28">
        <f>IF(AS$6='Lease Cycles'!$HL$28,'Lease Cycles'!$HS$28+'Lease Cycles'!$HZ$28,0)</f>
        <v>0</v>
      </c>
      <c r="AT364" s="28">
        <f>IF(AT$6='Lease Cycles'!$HL$28,'Lease Cycles'!$HS$28+'Lease Cycles'!$HZ$28,0)</f>
        <v>0</v>
      </c>
      <c r="AU364" s="28">
        <f>IF(AU$6='Lease Cycles'!$HL$28,'Lease Cycles'!$HS$28+'Lease Cycles'!$HZ$28,0)</f>
        <v>0</v>
      </c>
      <c r="AV364" s="28">
        <f>IF(AV$6='Lease Cycles'!$HL$28,'Lease Cycles'!$HS$28+'Lease Cycles'!$HZ$28,0)</f>
        <v>0</v>
      </c>
      <c r="AW364" s="28">
        <f>IF(AW$6='Lease Cycles'!$HL$28,'Lease Cycles'!$HS$28+'Lease Cycles'!$HZ$28,0)</f>
        <v>0</v>
      </c>
      <c r="AX364" s="28">
        <f>IF(AX$6='Lease Cycles'!$HL$28,'Lease Cycles'!$HS$28+'Lease Cycles'!$HZ$28,0)</f>
        <v>0</v>
      </c>
      <c r="AY364" s="28">
        <f>IF(AY$6='Lease Cycles'!$HL$28,'Lease Cycles'!$HS$28+'Lease Cycles'!$HZ$28,0)</f>
        <v>0</v>
      </c>
      <c r="AZ364" s="28">
        <f>IF(AZ$6='Lease Cycles'!$HL$28,'Lease Cycles'!$HS$28+'Lease Cycles'!$HZ$28,0)</f>
        <v>0</v>
      </c>
      <c r="BA364" s="28">
        <f>IF(BA$6='Lease Cycles'!$HL$28,'Lease Cycles'!$HS$28+'Lease Cycles'!$HZ$28,0)</f>
        <v>0</v>
      </c>
      <c r="BB364" s="28">
        <f>IF(BB$6='Lease Cycles'!$HL$28,'Lease Cycles'!$HS$28+'Lease Cycles'!$HZ$28,0)</f>
        <v>0</v>
      </c>
      <c r="BC364" s="28">
        <f>IF(BC$6='Lease Cycles'!$HL$28,'Lease Cycles'!$HS$28+'Lease Cycles'!$HZ$28,0)</f>
        <v>0</v>
      </c>
      <c r="BD364" s="28">
        <f>IF(BD$6='Lease Cycles'!$HL$28,'Lease Cycles'!$HS$28+'Lease Cycles'!$HZ$28,0)</f>
        <v>0</v>
      </c>
      <c r="BE364" s="28">
        <f>IF(BE$6='Lease Cycles'!$HL$28,'Lease Cycles'!$HS$28+'Lease Cycles'!$HZ$28,0)</f>
        <v>0</v>
      </c>
      <c r="BF364" s="28">
        <f>IF(BF$6='Lease Cycles'!$HL$28,'Lease Cycles'!$HS$28+'Lease Cycles'!$HZ$28,0)</f>
        <v>0</v>
      </c>
      <c r="BG364" s="28">
        <f>IF(BG$6='Lease Cycles'!$HL$28,'Lease Cycles'!$HS$28+'Lease Cycles'!$HZ$28,0)</f>
        <v>0</v>
      </c>
      <c r="BH364" s="28">
        <f>IF(BH$6='Lease Cycles'!$HL$28,'Lease Cycles'!$HS$28+'Lease Cycles'!$HZ$28,0)</f>
        <v>0</v>
      </c>
      <c r="BI364" s="28">
        <f>IF(BI$6='Lease Cycles'!$HL$28,'Lease Cycles'!$HS$28+'Lease Cycles'!$HZ$28,0)</f>
        <v>0</v>
      </c>
      <c r="BJ364" s="28">
        <f>IF(BJ$6='Lease Cycles'!$HL$28,'Lease Cycles'!$HS$28+'Lease Cycles'!$HZ$28,0)</f>
        <v>0</v>
      </c>
      <c r="BK364" s="28">
        <f>IF(BK$6='Lease Cycles'!$HL$28,'Lease Cycles'!$HS$28+'Lease Cycles'!$HZ$28,0)</f>
        <v>0</v>
      </c>
      <c r="BL364" s="28">
        <f>IF(BL$6='Lease Cycles'!$HL$28,'Lease Cycles'!$HS$28+'Lease Cycles'!$HZ$28,0)</f>
        <v>0</v>
      </c>
      <c r="BM364" s="28">
        <f>IF(BM$6='Lease Cycles'!$HL$28,'Lease Cycles'!$HS$28+'Lease Cycles'!$HZ$28,0)</f>
        <v>0</v>
      </c>
      <c r="BN364" s="28">
        <f>IF(BN$6='Lease Cycles'!$HL$28,'Lease Cycles'!$HS$28+'Lease Cycles'!$HZ$28,0)</f>
        <v>0</v>
      </c>
      <c r="BO364" s="28">
        <f>IF(BO$6='Lease Cycles'!$HL$28,'Lease Cycles'!$HS$28+'Lease Cycles'!$HZ$28,0)</f>
        <v>0</v>
      </c>
      <c r="BP364" s="28">
        <f>IF(BP$6='Lease Cycles'!$HL$28,'Lease Cycles'!$HS$28+'Lease Cycles'!$HZ$28,0)</f>
        <v>0</v>
      </c>
      <c r="BQ364" s="28">
        <f>IF(BQ$6='Lease Cycles'!$HL$28,'Lease Cycles'!$HS$28+'Lease Cycles'!$HZ$28,0)</f>
        <v>0</v>
      </c>
      <c r="BR364" s="28">
        <f>IF(BR$6='Lease Cycles'!$HL$28,'Lease Cycles'!$HS$28+'Lease Cycles'!$HZ$28,0)</f>
        <v>0</v>
      </c>
      <c r="BS364" s="28">
        <f>IF(BS$6='Lease Cycles'!$HL$28,'Lease Cycles'!$HS$28+'Lease Cycles'!$HZ$28,0)</f>
        <v>0</v>
      </c>
      <c r="BT364" s="28">
        <f>IF(BT$6='Lease Cycles'!$HL$28,'Lease Cycles'!$HS$28+'Lease Cycles'!$HZ$28,0)</f>
        <v>0</v>
      </c>
      <c r="BU364" s="28">
        <f>IF(BU$6='Lease Cycles'!$HL$28,'Lease Cycles'!$HS$28+'Lease Cycles'!$HZ$28,0)</f>
        <v>0</v>
      </c>
      <c r="BV364" s="28">
        <f>IF(BV$6='Lease Cycles'!$HL$28,'Lease Cycles'!$HS$28+'Lease Cycles'!$HZ$28,0)</f>
        <v>0</v>
      </c>
      <c r="BW364" s="28">
        <f>IF(BW$6='Lease Cycles'!$HL$28,'Lease Cycles'!$HS$28+'Lease Cycles'!$HZ$28,0)</f>
        <v>0</v>
      </c>
      <c r="BX364" s="28">
        <f>IF(BX$6='Lease Cycles'!$HL$28,'Lease Cycles'!$HS$28+'Lease Cycles'!$HZ$28,0)</f>
        <v>0</v>
      </c>
      <c r="BY364" s="28">
        <f>IF(BY$6='Lease Cycles'!$HL$28,'Lease Cycles'!$HS$28+'Lease Cycles'!$HZ$28,0)</f>
        <v>0</v>
      </c>
      <c r="BZ364" s="28">
        <f>IF(BZ$6='Lease Cycles'!$HL$28,'Lease Cycles'!$HS$28+'Lease Cycles'!$HZ$28,0)</f>
        <v>0</v>
      </c>
      <c r="CA364" s="28">
        <f>IF(CA$6='Lease Cycles'!$HL$28,'Lease Cycles'!$HS$28+'Lease Cycles'!$HZ$28,0)</f>
        <v>0</v>
      </c>
      <c r="CB364" s="28">
        <f>IF(CB$6='Lease Cycles'!$HL$28,'Lease Cycles'!$HS$28+'Lease Cycles'!$HZ$28,0)</f>
        <v>0</v>
      </c>
      <c r="CC364" s="28">
        <f>IF(CC$6='Lease Cycles'!$HL$28,'Lease Cycles'!$HS$28+'Lease Cycles'!$HZ$28,0)</f>
        <v>0</v>
      </c>
      <c r="CD364" s="28">
        <f>IF(CD$6='Lease Cycles'!$HL$28,'Lease Cycles'!$HS$28+'Lease Cycles'!$HZ$28,0)</f>
        <v>0</v>
      </c>
      <c r="CE364" s="28">
        <f>IF(CE$6='Lease Cycles'!$HL$28,'Lease Cycles'!$HS$28+'Lease Cycles'!$HZ$28,0)</f>
        <v>0</v>
      </c>
      <c r="CF364" s="28">
        <f>IF(CF$6='Lease Cycles'!$HL$28,'Lease Cycles'!$HS$28+'Lease Cycles'!$HZ$28,0)</f>
        <v>0</v>
      </c>
      <c r="CG364" s="28">
        <f>IF(CG$6='Lease Cycles'!$HL$28,'Lease Cycles'!$HS$28+'Lease Cycles'!$HZ$28,0)</f>
        <v>0</v>
      </c>
      <c r="CH364" s="28">
        <f>IF(CH$6='Lease Cycles'!$HL$28,'Lease Cycles'!$HS$28+'Lease Cycles'!$HZ$28,0)</f>
        <v>0</v>
      </c>
      <c r="CI364" s="28">
        <f>IF(CI$6='Lease Cycles'!$HL$28,'Lease Cycles'!$HS$28+'Lease Cycles'!$HZ$28,0)</f>
        <v>0</v>
      </c>
      <c r="CJ364" s="28">
        <f>IF(CJ$6='Lease Cycles'!$HL$28,'Lease Cycles'!$HS$28+'Lease Cycles'!$HZ$28,0)</f>
        <v>0</v>
      </c>
      <c r="CK364" s="28">
        <f>IF(CK$6='Lease Cycles'!$HL$28,'Lease Cycles'!$HS$28+'Lease Cycles'!$HZ$28,0)</f>
        <v>0</v>
      </c>
      <c r="CL364" s="28">
        <f>IF(CL$6='Lease Cycles'!$HL$28,'Lease Cycles'!$HS$28+'Lease Cycles'!$HZ$28,0)</f>
        <v>0</v>
      </c>
      <c r="CM364" s="28">
        <f>IF(CM$6='Lease Cycles'!$HL$28,'Lease Cycles'!$HS$28+'Lease Cycles'!$HZ$28,0)</f>
        <v>0</v>
      </c>
      <c r="CN364" s="28">
        <f>IF(CN$6='Lease Cycles'!$HL$28,'Lease Cycles'!$HS$28+'Lease Cycles'!$HZ$28,0)</f>
        <v>0</v>
      </c>
      <c r="CO364" s="28">
        <f>IF(CO$6='Lease Cycles'!$HL$28,'Lease Cycles'!$HS$28+'Lease Cycles'!$HZ$28,0)</f>
        <v>0</v>
      </c>
      <c r="CP364" s="28">
        <f>IF(CP$6='Lease Cycles'!$HL$28,'Lease Cycles'!$HS$28+'Lease Cycles'!$HZ$28,0)</f>
        <v>0</v>
      </c>
      <c r="CQ364" s="28">
        <f>IF(CQ$6='Lease Cycles'!$HL$28,'Lease Cycles'!$HS$28+'Lease Cycles'!$HZ$28,0)</f>
        <v>0</v>
      </c>
      <c r="CR364" s="28">
        <f>IF(CR$6='Lease Cycles'!$HL$28,'Lease Cycles'!$HS$28+'Lease Cycles'!$HZ$28,0)</f>
        <v>0</v>
      </c>
      <c r="CS364" s="28">
        <f>IF(CS$6='Lease Cycles'!$HL$28,'Lease Cycles'!$HS$28+'Lease Cycles'!$HZ$28,0)</f>
        <v>0</v>
      </c>
      <c r="CT364" s="28">
        <f>IF(CT$6='Lease Cycles'!$HL$28,'Lease Cycles'!$HS$28+'Lease Cycles'!$HZ$28,0)</f>
        <v>0</v>
      </c>
      <c r="CU364" s="28">
        <f>IF(CU$6='Lease Cycles'!$HL$28,'Lease Cycles'!$HS$28+'Lease Cycles'!$HZ$28,0)</f>
        <v>0</v>
      </c>
      <c r="CV364" s="28">
        <f>IF(CV$6='Lease Cycles'!$HL$28,'Lease Cycles'!$HS$28+'Lease Cycles'!$HZ$28,0)</f>
        <v>0</v>
      </c>
      <c r="CW364" s="28">
        <f>IF(CW$6='Lease Cycles'!$HL$28,'Lease Cycles'!$HS$28+'Lease Cycles'!$HZ$28,0)</f>
        <v>0</v>
      </c>
      <c r="CX364" s="28">
        <f>IF(CX$6='Lease Cycles'!$HL$28,'Lease Cycles'!$HS$28+'Lease Cycles'!$HZ$28,0)</f>
        <v>0</v>
      </c>
      <c r="CY364" s="28">
        <f>IF(CY$6='Lease Cycles'!$HL$28,'Lease Cycles'!$HS$28+'Lease Cycles'!$HZ$28,0)</f>
        <v>0</v>
      </c>
      <c r="CZ364" s="28">
        <f>IF(CZ$6='Lease Cycles'!$HL$28,'Lease Cycles'!$HS$28+'Lease Cycles'!$HZ$28,0)</f>
        <v>0</v>
      </c>
      <c r="DA364" s="28">
        <f>IF(DA$6='Lease Cycles'!$HL$28,'Lease Cycles'!$HS$28+'Lease Cycles'!$HZ$28,0)</f>
        <v>0</v>
      </c>
      <c r="DB364" s="28">
        <f>IF(DB$6='Lease Cycles'!$HL$28,'Lease Cycles'!$HS$28+'Lease Cycles'!$HZ$28,0)</f>
        <v>0</v>
      </c>
      <c r="DC364" s="28">
        <f>IF(DC$6='Lease Cycles'!$HL$28,'Lease Cycles'!$HS$28+'Lease Cycles'!$HZ$28,0)</f>
        <v>0</v>
      </c>
      <c r="DD364" s="28">
        <f>IF(DD$6='Lease Cycles'!$HL$28,'Lease Cycles'!$HS$28+'Lease Cycles'!$HZ$28,0)</f>
        <v>0</v>
      </c>
      <c r="DE364" s="28">
        <f>IF(DE$6='Lease Cycles'!$HL$28,'Lease Cycles'!$HS$28+'Lease Cycles'!$HZ$28,0)</f>
        <v>0</v>
      </c>
      <c r="DF364" s="28">
        <f>IF(DF$6='Lease Cycles'!$HL$28,'Lease Cycles'!$HS$28+'Lease Cycles'!$HZ$28,0)</f>
        <v>0</v>
      </c>
      <c r="DG364" s="28">
        <f>IF(DG$6='Lease Cycles'!$HL$28,'Lease Cycles'!$HS$28+'Lease Cycles'!$HZ$28,0)</f>
        <v>0</v>
      </c>
      <c r="DH364" s="28">
        <f>IF(DH$6='Lease Cycles'!$HL$28,'Lease Cycles'!$HS$28+'Lease Cycles'!$HZ$28,0)</f>
        <v>0</v>
      </c>
      <c r="DI364" s="28">
        <f>IF(DI$6='Lease Cycles'!$HL$28,'Lease Cycles'!$HS$28+'Lease Cycles'!$HZ$28,0)</f>
        <v>0</v>
      </c>
      <c r="DJ364" s="28">
        <f>IF(DJ$6='Lease Cycles'!$HL$28,'Lease Cycles'!$HS$28+'Lease Cycles'!$HZ$28,0)</f>
        <v>0</v>
      </c>
      <c r="DK364" s="28">
        <f>IF(DK$6='Lease Cycles'!$HL$28,'Lease Cycles'!$HS$28+'Lease Cycles'!$HZ$28,0)</f>
        <v>0</v>
      </c>
      <c r="DL364" s="28">
        <f>IF(DL$6='Lease Cycles'!$HL$28,'Lease Cycles'!$HS$28+'Lease Cycles'!$HZ$28,0)</f>
        <v>0</v>
      </c>
      <c r="DM364" s="28">
        <f>IF(DM$6='Lease Cycles'!$HL$28,'Lease Cycles'!$HS$28+'Lease Cycles'!$HZ$28,0)</f>
        <v>0</v>
      </c>
      <c r="DN364" s="28">
        <f>IF(DN$6='Lease Cycles'!$HL$28,'Lease Cycles'!$HS$28+'Lease Cycles'!$HZ$28,0)</f>
        <v>0</v>
      </c>
      <c r="DO364" s="28">
        <f>IF(DO$6='Lease Cycles'!$HL$28,'Lease Cycles'!$HS$28+'Lease Cycles'!$HZ$28,0)</f>
        <v>0</v>
      </c>
      <c r="DP364" s="28">
        <f>IF(DP$6='Lease Cycles'!$HL$28,'Lease Cycles'!$HS$28+'Lease Cycles'!$HZ$28,0)</f>
        <v>0</v>
      </c>
      <c r="DQ364" s="28">
        <f>IF(DQ$6='Lease Cycles'!$HL$28,'Lease Cycles'!$HS$28+'Lease Cycles'!$HZ$28,0)</f>
        <v>0</v>
      </c>
      <c r="DR364" s="28">
        <f>IF(DR$6='Lease Cycles'!$HL$28,'Lease Cycles'!$HS$28+'Lease Cycles'!$HZ$28,0)</f>
        <v>0</v>
      </c>
      <c r="DS364" s="28">
        <f>IF(DS$6='Lease Cycles'!$HL$28,'Lease Cycles'!$HS$28+'Lease Cycles'!$HZ$28,0)</f>
        <v>0</v>
      </c>
      <c r="DT364" s="28">
        <f>IF(DT$6='Lease Cycles'!$HL$28,'Lease Cycles'!$HS$28+'Lease Cycles'!$HZ$28,0)</f>
        <v>0</v>
      </c>
      <c r="DU364" s="28">
        <f>IF(DU$6='Lease Cycles'!$HL$28,'Lease Cycles'!$HS$28+'Lease Cycles'!$HZ$28,0)</f>
        <v>0</v>
      </c>
      <c r="DV364" s="28">
        <f>IF(DV$6='Lease Cycles'!$HL$28,'Lease Cycles'!$HS$28+'Lease Cycles'!$HZ$28,0)</f>
        <v>0</v>
      </c>
      <c r="DW364" s="28">
        <f>IF(DW$6='Lease Cycles'!$HL$28,'Lease Cycles'!$HS$28+'Lease Cycles'!$HZ$28,0)</f>
        <v>0</v>
      </c>
      <c r="DX364" s="28">
        <f>IF(DX$6='Lease Cycles'!$HL$28,'Lease Cycles'!$HS$28+'Lease Cycles'!$HZ$28,0)</f>
        <v>0</v>
      </c>
      <c r="DY364" s="28">
        <f>IF(DY$6='Lease Cycles'!$HL$28,'Lease Cycles'!$HS$28+'Lease Cycles'!$HZ$28,0)</f>
        <v>0</v>
      </c>
      <c r="DZ364" s="28">
        <f>IF(DZ$6='Lease Cycles'!$HL$28,'Lease Cycles'!$HS$28+'Lease Cycles'!$HZ$28,0)</f>
        <v>0</v>
      </c>
      <c r="EA364" s="28">
        <f>IF(EA$6='Lease Cycles'!$HL$28,'Lease Cycles'!$HS$28+'Lease Cycles'!$HZ$28,0)</f>
        <v>0</v>
      </c>
      <c r="EB364" s="28">
        <f>IF(EB$6='Lease Cycles'!$HL$28,'Lease Cycles'!$HS$28+'Lease Cycles'!$HZ$28,0)</f>
        <v>0</v>
      </c>
      <c r="EC364" s="28">
        <f>IF(EC$6='Lease Cycles'!$HL$28,'Lease Cycles'!$HS$28+'Lease Cycles'!$HZ$28,0)</f>
        <v>0</v>
      </c>
      <c r="ED364" s="28">
        <f>IF(ED$6='Lease Cycles'!$HL$28,'Lease Cycles'!$HS$28+'Lease Cycles'!$HZ$28,0)</f>
        <v>0</v>
      </c>
      <c r="EE364" s="28">
        <f>IF(EE$6='Lease Cycles'!$HL$28,'Lease Cycles'!$HS$28+'Lease Cycles'!$HZ$28,0)</f>
        <v>0</v>
      </c>
      <c r="EF364" s="28">
        <f>IF(EF$6='Lease Cycles'!$HL$28,'Lease Cycles'!$HS$28+'Lease Cycles'!$HZ$28,0)</f>
        <v>0</v>
      </c>
      <c r="EG364" s="28">
        <f>IF(EG$6='Lease Cycles'!$HL$28,'Lease Cycles'!$HS$28+'Lease Cycles'!$HZ$28,0)</f>
        <v>0</v>
      </c>
      <c r="EH364" s="28">
        <f>IF(EH$6='Lease Cycles'!$HL$28,'Lease Cycles'!$HS$28+'Lease Cycles'!$HZ$28,0)</f>
        <v>0</v>
      </c>
      <c r="EI364" s="28">
        <f>IF(EI$6='Lease Cycles'!$HL$28,'Lease Cycles'!$HS$28+'Lease Cycles'!$HZ$28,0)</f>
        <v>0</v>
      </c>
      <c r="EJ364" s="28">
        <f>IF(EJ$6='Lease Cycles'!$HL$28,'Lease Cycles'!$HS$28+'Lease Cycles'!$HZ$28,0)</f>
        <v>0</v>
      </c>
      <c r="EK364" s="28">
        <f>IF(EK$6='Lease Cycles'!$HL$28,'Lease Cycles'!$HS$28+'Lease Cycles'!$HZ$28,0)</f>
        <v>0</v>
      </c>
      <c r="EL364" s="28">
        <f>IF(EL$6='Lease Cycles'!$HL$28,'Lease Cycles'!$HS$28+'Lease Cycles'!$HZ$28,0)</f>
        <v>0</v>
      </c>
      <c r="EM364" s="28">
        <f>IF(EM$6='Lease Cycles'!$HL$28,'Lease Cycles'!$HS$28+'Lease Cycles'!$HZ$28,0)</f>
        <v>0</v>
      </c>
      <c r="EN364" s="28">
        <f>IF(EN$6='Lease Cycles'!$HL$28,'Lease Cycles'!$HS$28+'Lease Cycles'!$HZ$28,0)</f>
        <v>0</v>
      </c>
      <c r="EO364" s="28">
        <f>IF(EO$6='Lease Cycles'!$HL$28,'Lease Cycles'!$HS$28+'Lease Cycles'!$HZ$28,0)</f>
        <v>0</v>
      </c>
      <c r="EP364" s="28">
        <f>IF(EP$6='Lease Cycles'!$HL$28,'Lease Cycles'!$HS$28+'Lease Cycles'!$HZ$28,0)</f>
        <v>0</v>
      </c>
      <c r="EQ364" s="28">
        <f>IF(EQ$6='Lease Cycles'!$HL$28,'Lease Cycles'!$HS$28+'Lease Cycles'!$HZ$28,0)</f>
        <v>0</v>
      </c>
      <c r="ER364" s="28">
        <f>IF(ER$6='Lease Cycles'!$HL$28,'Lease Cycles'!$HS$28+'Lease Cycles'!$HZ$28,0)</f>
        <v>0</v>
      </c>
      <c r="ES364" s="28">
        <f>IF(ES$6='Lease Cycles'!$HL$28,'Lease Cycles'!$HS$28+'Lease Cycles'!$HZ$28,0)</f>
        <v>0</v>
      </c>
      <c r="ET364" s="28">
        <f>IF(ET$6='Lease Cycles'!$HL$28,'Lease Cycles'!$HS$28+'Lease Cycles'!$HZ$28,0)</f>
        <v>0</v>
      </c>
    </row>
    <row r="365">
      <c r="A365" s="103">
        <v>21</v>
      </c>
      <c r="B365" s="23" t="str">
        <f>IF('Lease Cycles'!$B$28="","(empty slot)",'Lease Cycles'!$B$28)</f>
        <v>(empty slot)</v>
      </c>
      <c r="C365" s="23" t="s">
        <v>499</v>
      </c>
      <c r="D365" s="104" t="s">
        <v>500</v>
      </c>
      <c r="E365" s="25">
        <f>'Lease Cycles'!$AL$28</f>
        <v>0</v>
      </c>
      <c r="G365" s="28">
        <f>MAX(0,'Lease Cycles'!$AN$28*'Lease Cycles'!$C$28*'Lease Cycles'!$AM$28*(1+a_SalesGrowth)^(G$6-1)-G355)</f>
        <v>0</v>
      </c>
      <c r="H365" s="28">
        <f>MAX(0,'Lease Cycles'!$AN$28*'Lease Cycles'!$C$28*'Lease Cycles'!$AM$28*(1+a_SalesGrowth)^(H$6-1)-H355)</f>
        <v>0</v>
      </c>
      <c r="I365" s="28">
        <f>MAX(0,'Lease Cycles'!$AN$28*'Lease Cycles'!$C$28*'Lease Cycles'!$AM$28*(1+a_SalesGrowth)^(I$6-1)-I355)</f>
        <v>0</v>
      </c>
      <c r="J365" s="28">
        <f>MAX(0,'Lease Cycles'!$AN$28*'Lease Cycles'!$C$28*'Lease Cycles'!$AM$28*(1+a_SalesGrowth)^(J$6-1)-J355)</f>
        <v>0</v>
      </c>
      <c r="K365" s="28">
        <f>MAX(0,'Lease Cycles'!$AN$28*'Lease Cycles'!$C$28*'Lease Cycles'!$AM$28*(1+a_SalesGrowth)^(K$6-1)-K355)</f>
        <v>0</v>
      </c>
      <c r="L365" s="28">
        <f>MAX(0,'Lease Cycles'!$AN$28*'Lease Cycles'!$C$28*'Lease Cycles'!$AM$28*(1+a_SalesGrowth)^(L$6-1)-L355)</f>
        <v>0</v>
      </c>
      <c r="M365" s="28">
        <f>MAX(0,'Lease Cycles'!$AN$28*'Lease Cycles'!$C$28*'Lease Cycles'!$AM$28*(1+a_SalesGrowth)^(M$6-1)-M355)</f>
        <v>0</v>
      </c>
      <c r="N365" s="28">
        <f>MAX(0,'Lease Cycles'!$AN$28*'Lease Cycles'!$C$28*'Lease Cycles'!$AM$28*(1+a_SalesGrowth)^(N$6-1)-N355)</f>
        <v>0</v>
      </c>
      <c r="O365" s="28">
        <f>MAX(0,'Lease Cycles'!$AN$28*'Lease Cycles'!$C$28*'Lease Cycles'!$AM$28*(1+a_SalesGrowth)^(O$6-1)-O355)</f>
        <v>0</v>
      </c>
      <c r="P365" s="28">
        <f>MAX(0,'Lease Cycles'!$AN$28*'Lease Cycles'!$C$28*'Lease Cycles'!$AM$28*(1+a_SalesGrowth)^(P$6-1)-P355)</f>
        <v>0</v>
      </c>
      <c r="Q365" s="28">
        <f>MAX(0,'Lease Cycles'!$AN$28*'Lease Cycles'!$C$28*'Lease Cycles'!$AM$28*(1+a_SalesGrowth)^(Q$6-1)-Q355)</f>
        <v>0</v>
      </c>
    </row>
    <row r="367">
      <c r="A367" s="103">
        <v>22</v>
      </c>
      <c r="B367" s="23" t="str">
        <f>IF('Lease Cycles'!$B$29="","(empty slot)",'Lease Cycles'!$B$29)</f>
        <v>(empty slot)</v>
      </c>
      <c r="C367" s="23" t="s">
        <v>671</v>
      </c>
      <c r="D367" s="104" t="s">
        <v>672</v>
      </c>
      <c r="E367" s="25">
        <f>'Lease Cycles'!$AL$29</f>
        <v>0</v>
      </c>
      <c r="S367" s="25">
        <f>IF('Lease Cycles'!$C$29&gt;0,COUNTIF('Lease Cycles'!$BG$29:$BM$29,"&lt;="&amp;S$6),0)</f>
        <v>0</v>
      </c>
      <c r="T367" s="25">
        <f>IF('Lease Cycles'!$C$29&gt;0,COUNTIF('Lease Cycles'!$BG$29:$BM$29,"&lt;="&amp;T$6),0)</f>
        <v>0</v>
      </c>
      <c r="U367" s="25">
        <f>IF('Lease Cycles'!$C$29&gt;0,COUNTIF('Lease Cycles'!$BG$29:$BM$29,"&lt;="&amp;U$6),0)</f>
        <v>0</v>
      </c>
      <c r="V367" s="25">
        <f>IF('Lease Cycles'!$C$29&gt;0,COUNTIF('Lease Cycles'!$BG$29:$BM$29,"&lt;="&amp;V$6),0)</f>
        <v>0</v>
      </c>
      <c r="W367" s="25">
        <f>IF('Lease Cycles'!$C$29&gt;0,COUNTIF('Lease Cycles'!$BG$29:$BM$29,"&lt;="&amp;W$6),0)</f>
        <v>0</v>
      </c>
      <c r="X367" s="25">
        <f>IF('Lease Cycles'!$C$29&gt;0,COUNTIF('Lease Cycles'!$BG$29:$BM$29,"&lt;="&amp;X$6),0)</f>
        <v>0</v>
      </c>
      <c r="Y367" s="25">
        <f>IF('Lease Cycles'!$C$29&gt;0,COUNTIF('Lease Cycles'!$BG$29:$BM$29,"&lt;="&amp;Y$6),0)</f>
        <v>0</v>
      </c>
      <c r="Z367" s="25">
        <f>IF('Lease Cycles'!$C$29&gt;0,COUNTIF('Lease Cycles'!$BG$29:$BM$29,"&lt;="&amp;Z$6),0)</f>
        <v>0</v>
      </c>
      <c r="AA367" s="25">
        <f>IF('Lease Cycles'!$C$29&gt;0,COUNTIF('Lease Cycles'!$BG$29:$BM$29,"&lt;="&amp;AA$6),0)</f>
        <v>0</v>
      </c>
      <c r="AB367" s="25">
        <f>IF('Lease Cycles'!$C$29&gt;0,COUNTIF('Lease Cycles'!$BG$29:$BM$29,"&lt;="&amp;AB$6),0)</f>
        <v>0</v>
      </c>
      <c r="AC367" s="25">
        <f>IF('Lease Cycles'!$C$29&gt;0,COUNTIF('Lease Cycles'!$BG$29:$BM$29,"&lt;="&amp;AC$6),0)</f>
        <v>0</v>
      </c>
      <c r="AD367" s="25">
        <f>IF('Lease Cycles'!$C$29&gt;0,COUNTIF('Lease Cycles'!$BG$29:$BM$29,"&lt;="&amp;AD$6),0)</f>
        <v>0</v>
      </c>
      <c r="AE367" s="25">
        <f>IF('Lease Cycles'!$C$29&gt;0,COUNTIF('Lease Cycles'!$BG$29:$BM$29,"&lt;="&amp;AE$6),0)</f>
        <v>0</v>
      </c>
      <c r="AF367" s="25">
        <f>IF('Lease Cycles'!$C$29&gt;0,COUNTIF('Lease Cycles'!$BG$29:$BM$29,"&lt;="&amp;AF$6),0)</f>
        <v>0</v>
      </c>
      <c r="AG367" s="25">
        <f>IF('Lease Cycles'!$C$29&gt;0,COUNTIF('Lease Cycles'!$BG$29:$BM$29,"&lt;="&amp;AG$6),0)</f>
        <v>0</v>
      </c>
      <c r="AH367" s="25">
        <f>IF('Lease Cycles'!$C$29&gt;0,COUNTIF('Lease Cycles'!$BG$29:$BM$29,"&lt;="&amp;AH$6),0)</f>
        <v>0</v>
      </c>
      <c r="AI367" s="25">
        <f>IF('Lease Cycles'!$C$29&gt;0,COUNTIF('Lease Cycles'!$BG$29:$BM$29,"&lt;="&amp;AI$6),0)</f>
        <v>0</v>
      </c>
      <c r="AJ367" s="25">
        <f>IF('Lease Cycles'!$C$29&gt;0,COUNTIF('Lease Cycles'!$BG$29:$BM$29,"&lt;="&amp;AJ$6),0)</f>
        <v>0</v>
      </c>
      <c r="AK367" s="25">
        <f>IF('Lease Cycles'!$C$29&gt;0,COUNTIF('Lease Cycles'!$BG$29:$BM$29,"&lt;="&amp;AK$6),0)</f>
        <v>0</v>
      </c>
      <c r="AL367" s="25">
        <f>IF('Lease Cycles'!$C$29&gt;0,COUNTIF('Lease Cycles'!$BG$29:$BM$29,"&lt;="&amp;AL$6),0)</f>
        <v>0</v>
      </c>
      <c r="AM367" s="25">
        <f>IF('Lease Cycles'!$C$29&gt;0,COUNTIF('Lease Cycles'!$BG$29:$BM$29,"&lt;="&amp;AM$6),0)</f>
        <v>0</v>
      </c>
      <c r="AN367" s="25">
        <f>IF('Lease Cycles'!$C$29&gt;0,COUNTIF('Lease Cycles'!$BG$29:$BM$29,"&lt;="&amp;AN$6),0)</f>
        <v>0</v>
      </c>
      <c r="AO367" s="25">
        <f>IF('Lease Cycles'!$C$29&gt;0,COUNTIF('Lease Cycles'!$BG$29:$BM$29,"&lt;="&amp;AO$6),0)</f>
        <v>0</v>
      </c>
      <c r="AP367" s="25">
        <f>IF('Lease Cycles'!$C$29&gt;0,COUNTIF('Lease Cycles'!$BG$29:$BM$29,"&lt;="&amp;AP$6),0)</f>
        <v>0</v>
      </c>
      <c r="AQ367" s="25">
        <f>IF('Lease Cycles'!$C$29&gt;0,COUNTIF('Lease Cycles'!$BG$29:$BM$29,"&lt;="&amp;AQ$6),0)</f>
        <v>0</v>
      </c>
      <c r="AR367" s="25">
        <f>IF('Lease Cycles'!$C$29&gt;0,COUNTIF('Lease Cycles'!$BG$29:$BM$29,"&lt;="&amp;AR$6),0)</f>
        <v>0</v>
      </c>
      <c r="AS367" s="25">
        <f>IF('Lease Cycles'!$C$29&gt;0,COUNTIF('Lease Cycles'!$BG$29:$BM$29,"&lt;="&amp;AS$6),0)</f>
        <v>0</v>
      </c>
      <c r="AT367" s="25">
        <f>IF('Lease Cycles'!$C$29&gt;0,COUNTIF('Lease Cycles'!$BG$29:$BM$29,"&lt;="&amp;AT$6),0)</f>
        <v>0</v>
      </c>
      <c r="AU367" s="25">
        <f>IF('Lease Cycles'!$C$29&gt;0,COUNTIF('Lease Cycles'!$BG$29:$BM$29,"&lt;="&amp;AU$6),0)</f>
        <v>0</v>
      </c>
      <c r="AV367" s="25">
        <f>IF('Lease Cycles'!$C$29&gt;0,COUNTIF('Lease Cycles'!$BG$29:$BM$29,"&lt;="&amp;AV$6),0)</f>
        <v>0</v>
      </c>
      <c r="AW367" s="25">
        <f>IF('Lease Cycles'!$C$29&gt;0,COUNTIF('Lease Cycles'!$BG$29:$BM$29,"&lt;="&amp;AW$6),0)</f>
        <v>0</v>
      </c>
      <c r="AX367" s="25">
        <f>IF('Lease Cycles'!$C$29&gt;0,COUNTIF('Lease Cycles'!$BG$29:$BM$29,"&lt;="&amp;AX$6),0)</f>
        <v>0</v>
      </c>
      <c r="AY367" s="25">
        <f>IF('Lease Cycles'!$C$29&gt;0,COUNTIF('Lease Cycles'!$BG$29:$BM$29,"&lt;="&amp;AY$6),0)</f>
        <v>0</v>
      </c>
      <c r="AZ367" s="25">
        <f>IF('Lease Cycles'!$C$29&gt;0,COUNTIF('Lease Cycles'!$BG$29:$BM$29,"&lt;="&amp;AZ$6),0)</f>
        <v>0</v>
      </c>
      <c r="BA367" s="25">
        <f>IF('Lease Cycles'!$C$29&gt;0,COUNTIF('Lease Cycles'!$BG$29:$BM$29,"&lt;="&amp;BA$6),0)</f>
        <v>0</v>
      </c>
      <c r="BB367" s="25">
        <f>IF('Lease Cycles'!$C$29&gt;0,COUNTIF('Lease Cycles'!$BG$29:$BM$29,"&lt;="&amp;BB$6),0)</f>
        <v>0</v>
      </c>
      <c r="BC367" s="25">
        <f>IF('Lease Cycles'!$C$29&gt;0,COUNTIF('Lease Cycles'!$BG$29:$BM$29,"&lt;="&amp;BC$6),0)</f>
        <v>0</v>
      </c>
      <c r="BD367" s="25">
        <f>IF('Lease Cycles'!$C$29&gt;0,COUNTIF('Lease Cycles'!$BG$29:$BM$29,"&lt;="&amp;BD$6),0)</f>
        <v>0</v>
      </c>
      <c r="BE367" s="25">
        <f>IF('Lease Cycles'!$C$29&gt;0,COUNTIF('Lease Cycles'!$BG$29:$BM$29,"&lt;="&amp;BE$6),0)</f>
        <v>0</v>
      </c>
      <c r="BF367" s="25">
        <f>IF('Lease Cycles'!$C$29&gt;0,COUNTIF('Lease Cycles'!$BG$29:$BM$29,"&lt;="&amp;BF$6),0)</f>
        <v>0</v>
      </c>
      <c r="BG367" s="25">
        <f>IF('Lease Cycles'!$C$29&gt;0,COUNTIF('Lease Cycles'!$BG$29:$BM$29,"&lt;="&amp;BG$6),0)</f>
        <v>0</v>
      </c>
      <c r="BH367" s="25">
        <f>IF('Lease Cycles'!$C$29&gt;0,COUNTIF('Lease Cycles'!$BG$29:$BM$29,"&lt;="&amp;BH$6),0)</f>
        <v>0</v>
      </c>
      <c r="BI367" s="25">
        <f>IF('Lease Cycles'!$C$29&gt;0,COUNTIF('Lease Cycles'!$BG$29:$BM$29,"&lt;="&amp;BI$6),0)</f>
        <v>0</v>
      </c>
      <c r="BJ367" s="25">
        <f>IF('Lease Cycles'!$C$29&gt;0,COUNTIF('Lease Cycles'!$BG$29:$BM$29,"&lt;="&amp;BJ$6),0)</f>
        <v>0</v>
      </c>
      <c r="BK367" s="25">
        <f>IF('Lease Cycles'!$C$29&gt;0,COUNTIF('Lease Cycles'!$BG$29:$BM$29,"&lt;="&amp;BK$6),0)</f>
        <v>0</v>
      </c>
      <c r="BL367" s="25">
        <f>IF('Lease Cycles'!$C$29&gt;0,COUNTIF('Lease Cycles'!$BG$29:$BM$29,"&lt;="&amp;BL$6),0)</f>
        <v>0</v>
      </c>
      <c r="BM367" s="25">
        <f>IF('Lease Cycles'!$C$29&gt;0,COUNTIF('Lease Cycles'!$BG$29:$BM$29,"&lt;="&amp;BM$6),0)</f>
        <v>0</v>
      </c>
      <c r="BN367" s="25">
        <f>IF('Lease Cycles'!$C$29&gt;0,COUNTIF('Lease Cycles'!$BG$29:$BM$29,"&lt;="&amp;BN$6),0)</f>
        <v>0</v>
      </c>
      <c r="BO367" s="25">
        <f>IF('Lease Cycles'!$C$29&gt;0,COUNTIF('Lease Cycles'!$BG$29:$BM$29,"&lt;="&amp;BO$6),0)</f>
        <v>0</v>
      </c>
      <c r="BP367" s="25">
        <f>IF('Lease Cycles'!$C$29&gt;0,COUNTIF('Lease Cycles'!$BG$29:$BM$29,"&lt;="&amp;BP$6),0)</f>
        <v>0</v>
      </c>
      <c r="BQ367" s="25">
        <f>IF('Lease Cycles'!$C$29&gt;0,COUNTIF('Lease Cycles'!$BG$29:$BM$29,"&lt;="&amp;BQ$6),0)</f>
        <v>0</v>
      </c>
      <c r="BR367" s="25">
        <f>IF('Lease Cycles'!$C$29&gt;0,COUNTIF('Lease Cycles'!$BG$29:$BM$29,"&lt;="&amp;BR$6),0)</f>
        <v>0</v>
      </c>
      <c r="BS367" s="25">
        <f>IF('Lease Cycles'!$C$29&gt;0,COUNTIF('Lease Cycles'!$BG$29:$BM$29,"&lt;="&amp;BS$6),0)</f>
        <v>0</v>
      </c>
      <c r="BT367" s="25">
        <f>IF('Lease Cycles'!$C$29&gt;0,COUNTIF('Lease Cycles'!$BG$29:$BM$29,"&lt;="&amp;BT$6),0)</f>
        <v>0</v>
      </c>
      <c r="BU367" s="25">
        <f>IF('Lease Cycles'!$C$29&gt;0,COUNTIF('Lease Cycles'!$BG$29:$BM$29,"&lt;="&amp;BU$6),0)</f>
        <v>0</v>
      </c>
      <c r="BV367" s="25">
        <f>IF('Lease Cycles'!$C$29&gt;0,COUNTIF('Lease Cycles'!$BG$29:$BM$29,"&lt;="&amp;BV$6),0)</f>
        <v>0</v>
      </c>
      <c r="BW367" s="25">
        <f>IF('Lease Cycles'!$C$29&gt;0,COUNTIF('Lease Cycles'!$BG$29:$BM$29,"&lt;="&amp;BW$6),0)</f>
        <v>0</v>
      </c>
      <c r="BX367" s="25">
        <f>IF('Lease Cycles'!$C$29&gt;0,COUNTIF('Lease Cycles'!$BG$29:$BM$29,"&lt;="&amp;BX$6),0)</f>
        <v>0</v>
      </c>
      <c r="BY367" s="25">
        <f>IF('Lease Cycles'!$C$29&gt;0,COUNTIF('Lease Cycles'!$BG$29:$BM$29,"&lt;="&amp;BY$6),0)</f>
        <v>0</v>
      </c>
      <c r="BZ367" s="25">
        <f>IF('Lease Cycles'!$C$29&gt;0,COUNTIF('Lease Cycles'!$BG$29:$BM$29,"&lt;="&amp;BZ$6),0)</f>
        <v>0</v>
      </c>
      <c r="CA367" s="25">
        <f>IF('Lease Cycles'!$C$29&gt;0,COUNTIF('Lease Cycles'!$BG$29:$BM$29,"&lt;="&amp;CA$6),0)</f>
        <v>0</v>
      </c>
      <c r="CB367" s="25">
        <f>IF('Lease Cycles'!$C$29&gt;0,COUNTIF('Lease Cycles'!$BG$29:$BM$29,"&lt;="&amp;CB$6),0)</f>
        <v>0</v>
      </c>
      <c r="CC367" s="25">
        <f>IF('Lease Cycles'!$C$29&gt;0,COUNTIF('Lease Cycles'!$BG$29:$BM$29,"&lt;="&amp;CC$6),0)</f>
        <v>0</v>
      </c>
      <c r="CD367" s="25">
        <f>IF('Lease Cycles'!$C$29&gt;0,COUNTIF('Lease Cycles'!$BG$29:$BM$29,"&lt;="&amp;CD$6),0)</f>
        <v>0</v>
      </c>
      <c r="CE367" s="25">
        <f>IF('Lease Cycles'!$C$29&gt;0,COUNTIF('Lease Cycles'!$BG$29:$BM$29,"&lt;="&amp;CE$6),0)</f>
        <v>0</v>
      </c>
      <c r="CF367" s="25">
        <f>IF('Lease Cycles'!$C$29&gt;0,COUNTIF('Lease Cycles'!$BG$29:$BM$29,"&lt;="&amp;CF$6),0)</f>
        <v>0</v>
      </c>
      <c r="CG367" s="25">
        <f>IF('Lease Cycles'!$C$29&gt;0,COUNTIF('Lease Cycles'!$BG$29:$BM$29,"&lt;="&amp;CG$6),0)</f>
        <v>0</v>
      </c>
      <c r="CH367" s="25">
        <f>IF('Lease Cycles'!$C$29&gt;0,COUNTIF('Lease Cycles'!$BG$29:$BM$29,"&lt;="&amp;CH$6),0)</f>
        <v>0</v>
      </c>
      <c r="CI367" s="25">
        <f>IF('Lease Cycles'!$C$29&gt;0,COUNTIF('Lease Cycles'!$BG$29:$BM$29,"&lt;="&amp;CI$6),0)</f>
        <v>0</v>
      </c>
      <c r="CJ367" s="25">
        <f>IF('Lease Cycles'!$C$29&gt;0,COUNTIF('Lease Cycles'!$BG$29:$BM$29,"&lt;="&amp;CJ$6),0)</f>
        <v>0</v>
      </c>
      <c r="CK367" s="25">
        <f>IF('Lease Cycles'!$C$29&gt;0,COUNTIF('Lease Cycles'!$BG$29:$BM$29,"&lt;="&amp;CK$6),0)</f>
        <v>0</v>
      </c>
      <c r="CL367" s="25">
        <f>IF('Lease Cycles'!$C$29&gt;0,COUNTIF('Lease Cycles'!$BG$29:$BM$29,"&lt;="&amp;CL$6),0)</f>
        <v>0</v>
      </c>
      <c r="CM367" s="25">
        <f>IF('Lease Cycles'!$C$29&gt;0,COUNTIF('Lease Cycles'!$BG$29:$BM$29,"&lt;="&amp;CM$6),0)</f>
        <v>0</v>
      </c>
      <c r="CN367" s="25">
        <f>IF('Lease Cycles'!$C$29&gt;0,COUNTIF('Lease Cycles'!$BG$29:$BM$29,"&lt;="&amp;CN$6),0)</f>
        <v>0</v>
      </c>
      <c r="CO367" s="25">
        <f>IF('Lease Cycles'!$C$29&gt;0,COUNTIF('Lease Cycles'!$BG$29:$BM$29,"&lt;="&amp;CO$6),0)</f>
        <v>0</v>
      </c>
      <c r="CP367" s="25">
        <f>IF('Lease Cycles'!$C$29&gt;0,COUNTIF('Lease Cycles'!$BG$29:$BM$29,"&lt;="&amp;CP$6),0)</f>
        <v>0</v>
      </c>
      <c r="CQ367" s="25">
        <f>IF('Lease Cycles'!$C$29&gt;0,COUNTIF('Lease Cycles'!$BG$29:$BM$29,"&lt;="&amp;CQ$6),0)</f>
        <v>0</v>
      </c>
      <c r="CR367" s="25">
        <f>IF('Lease Cycles'!$C$29&gt;0,COUNTIF('Lease Cycles'!$BG$29:$BM$29,"&lt;="&amp;CR$6),0)</f>
        <v>0</v>
      </c>
      <c r="CS367" s="25">
        <f>IF('Lease Cycles'!$C$29&gt;0,COUNTIF('Lease Cycles'!$BG$29:$BM$29,"&lt;="&amp;CS$6),0)</f>
        <v>0</v>
      </c>
      <c r="CT367" s="25">
        <f>IF('Lease Cycles'!$C$29&gt;0,COUNTIF('Lease Cycles'!$BG$29:$BM$29,"&lt;="&amp;CT$6),0)</f>
        <v>0</v>
      </c>
      <c r="CU367" s="25">
        <f>IF('Lease Cycles'!$C$29&gt;0,COUNTIF('Lease Cycles'!$BG$29:$BM$29,"&lt;="&amp;CU$6),0)</f>
        <v>0</v>
      </c>
      <c r="CV367" s="25">
        <f>IF('Lease Cycles'!$C$29&gt;0,COUNTIF('Lease Cycles'!$BG$29:$BM$29,"&lt;="&amp;CV$6),0)</f>
        <v>0</v>
      </c>
      <c r="CW367" s="25">
        <f>IF('Lease Cycles'!$C$29&gt;0,COUNTIF('Lease Cycles'!$BG$29:$BM$29,"&lt;="&amp;CW$6),0)</f>
        <v>0</v>
      </c>
      <c r="CX367" s="25">
        <f>IF('Lease Cycles'!$C$29&gt;0,COUNTIF('Lease Cycles'!$BG$29:$BM$29,"&lt;="&amp;CX$6),0)</f>
        <v>0</v>
      </c>
      <c r="CY367" s="25">
        <f>IF('Lease Cycles'!$C$29&gt;0,COUNTIF('Lease Cycles'!$BG$29:$BM$29,"&lt;="&amp;CY$6),0)</f>
        <v>0</v>
      </c>
      <c r="CZ367" s="25">
        <f>IF('Lease Cycles'!$C$29&gt;0,COUNTIF('Lease Cycles'!$BG$29:$BM$29,"&lt;="&amp;CZ$6),0)</f>
        <v>0</v>
      </c>
      <c r="DA367" s="25">
        <f>IF('Lease Cycles'!$C$29&gt;0,COUNTIF('Lease Cycles'!$BG$29:$BM$29,"&lt;="&amp;DA$6),0)</f>
        <v>0</v>
      </c>
      <c r="DB367" s="25">
        <f>IF('Lease Cycles'!$C$29&gt;0,COUNTIF('Lease Cycles'!$BG$29:$BM$29,"&lt;="&amp;DB$6),0)</f>
        <v>0</v>
      </c>
      <c r="DC367" s="25">
        <f>IF('Lease Cycles'!$C$29&gt;0,COUNTIF('Lease Cycles'!$BG$29:$BM$29,"&lt;="&amp;DC$6),0)</f>
        <v>0</v>
      </c>
      <c r="DD367" s="25">
        <f>IF('Lease Cycles'!$C$29&gt;0,COUNTIF('Lease Cycles'!$BG$29:$BM$29,"&lt;="&amp;DD$6),0)</f>
        <v>0</v>
      </c>
      <c r="DE367" s="25">
        <f>IF('Lease Cycles'!$C$29&gt;0,COUNTIF('Lease Cycles'!$BG$29:$BM$29,"&lt;="&amp;DE$6),0)</f>
        <v>0</v>
      </c>
      <c r="DF367" s="25">
        <f>IF('Lease Cycles'!$C$29&gt;0,COUNTIF('Lease Cycles'!$BG$29:$BM$29,"&lt;="&amp;DF$6),0)</f>
        <v>0</v>
      </c>
      <c r="DG367" s="25">
        <f>IF('Lease Cycles'!$C$29&gt;0,COUNTIF('Lease Cycles'!$BG$29:$BM$29,"&lt;="&amp;DG$6),0)</f>
        <v>0</v>
      </c>
      <c r="DH367" s="25">
        <f>IF('Lease Cycles'!$C$29&gt;0,COUNTIF('Lease Cycles'!$BG$29:$BM$29,"&lt;="&amp;DH$6),0)</f>
        <v>0</v>
      </c>
      <c r="DI367" s="25">
        <f>IF('Lease Cycles'!$C$29&gt;0,COUNTIF('Lease Cycles'!$BG$29:$BM$29,"&lt;="&amp;DI$6),0)</f>
        <v>0</v>
      </c>
      <c r="DJ367" s="25">
        <f>IF('Lease Cycles'!$C$29&gt;0,COUNTIF('Lease Cycles'!$BG$29:$BM$29,"&lt;="&amp;DJ$6),0)</f>
        <v>0</v>
      </c>
      <c r="DK367" s="25">
        <f>IF('Lease Cycles'!$C$29&gt;0,COUNTIF('Lease Cycles'!$BG$29:$BM$29,"&lt;="&amp;DK$6),0)</f>
        <v>0</v>
      </c>
      <c r="DL367" s="25">
        <f>IF('Lease Cycles'!$C$29&gt;0,COUNTIF('Lease Cycles'!$BG$29:$BM$29,"&lt;="&amp;DL$6),0)</f>
        <v>0</v>
      </c>
      <c r="DM367" s="25">
        <f>IF('Lease Cycles'!$C$29&gt;0,COUNTIF('Lease Cycles'!$BG$29:$BM$29,"&lt;="&amp;DM$6),0)</f>
        <v>0</v>
      </c>
      <c r="DN367" s="25">
        <f>IF('Lease Cycles'!$C$29&gt;0,COUNTIF('Lease Cycles'!$BG$29:$BM$29,"&lt;="&amp;DN$6),0)</f>
        <v>0</v>
      </c>
      <c r="DO367" s="25">
        <f>IF('Lease Cycles'!$C$29&gt;0,COUNTIF('Lease Cycles'!$BG$29:$BM$29,"&lt;="&amp;DO$6),0)</f>
        <v>0</v>
      </c>
      <c r="DP367" s="25">
        <f>IF('Lease Cycles'!$C$29&gt;0,COUNTIF('Lease Cycles'!$BG$29:$BM$29,"&lt;="&amp;DP$6),0)</f>
        <v>0</v>
      </c>
      <c r="DQ367" s="25">
        <f>IF('Lease Cycles'!$C$29&gt;0,COUNTIF('Lease Cycles'!$BG$29:$BM$29,"&lt;="&amp;DQ$6),0)</f>
        <v>0</v>
      </c>
      <c r="DR367" s="25">
        <f>IF('Lease Cycles'!$C$29&gt;0,COUNTIF('Lease Cycles'!$BG$29:$BM$29,"&lt;="&amp;DR$6),0)</f>
        <v>0</v>
      </c>
      <c r="DS367" s="25">
        <f>IF('Lease Cycles'!$C$29&gt;0,COUNTIF('Lease Cycles'!$BG$29:$BM$29,"&lt;="&amp;DS$6),0)</f>
        <v>0</v>
      </c>
      <c r="DT367" s="25">
        <f>IF('Lease Cycles'!$C$29&gt;0,COUNTIF('Lease Cycles'!$BG$29:$BM$29,"&lt;="&amp;DT$6),0)</f>
        <v>0</v>
      </c>
      <c r="DU367" s="25">
        <f>IF('Lease Cycles'!$C$29&gt;0,COUNTIF('Lease Cycles'!$BG$29:$BM$29,"&lt;="&amp;DU$6),0)</f>
        <v>0</v>
      </c>
      <c r="DV367" s="25">
        <f>IF('Lease Cycles'!$C$29&gt;0,COUNTIF('Lease Cycles'!$BG$29:$BM$29,"&lt;="&amp;DV$6),0)</f>
        <v>0</v>
      </c>
      <c r="DW367" s="25">
        <f>IF('Lease Cycles'!$C$29&gt;0,COUNTIF('Lease Cycles'!$BG$29:$BM$29,"&lt;="&amp;DW$6),0)</f>
        <v>0</v>
      </c>
      <c r="DX367" s="25">
        <f>IF('Lease Cycles'!$C$29&gt;0,COUNTIF('Lease Cycles'!$BG$29:$BM$29,"&lt;="&amp;DX$6),0)</f>
        <v>0</v>
      </c>
      <c r="DY367" s="25">
        <f>IF('Lease Cycles'!$C$29&gt;0,COUNTIF('Lease Cycles'!$BG$29:$BM$29,"&lt;="&amp;DY$6),0)</f>
        <v>0</v>
      </c>
      <c r="DZ367" s="25">
        <f>IF('Lease Cycles'!$C$29&gt;0,COUNTIF('Lease Cycles'!$BG$29:$BM$29,"&lt;="&amp;DZ$6),0)</f>
        <v>0</v>
      </c>
      <c r="EA367" s="25">
        <f>IF('Lease Cycles'!$C$29&gt;0,COUNTIF('Lease Cycles'!$BG$29:$BM$29,"&lt;="&amp;EA$6),0)</f>
        <v>0</v>
      </c>
      <c r="EB367" s="25">
        <f>IF('Lease Cycles'!$C$29&gt;0,COUNTIF('Lease Cycles'!$BG$29:$BM$29,"&lt;="&amp;EB$6),0)</f>
        <v>0</v>
      </c>
      <c r="EC367" s="25">
        <f>IF('Lease Cycles'!$C$29&gt;0,COUNTIF('Lease Cycles'!$BG$29:$BM$29,"&lt;="&amp;EC$6),0)</f>
        <v>0</v>
      </c>
      <c r="ED367" s="25">
        <f>IF('Lease Cycles'!$C$29&gt;0,COUNTIF('Lease Cycles'!$BG$29:$BM$29,"&lt;="&amp;ED$6),0)</f>
        <v>0</v>
      </c>
      <c r="EE367" s="25">
        <f>IF('Lease Cycles'!$C$29&gt;0,COUNTIF('Lease Cycles'!$BG$29:$BM$29,"&lt;="&amp;EE$6),0)</f>
        <v>0</v>
      </c>
      <c r="EF367" s="25">
        <f>IF('Lease Cycles'!$C$29&gt;0,COUNTIF('Lease Cycles'!$BG$29:$BM$29,"&lt;="&amp;EF$6),0)</f>
        <v>0</v>
      </c>
      <c r="EG367" s="25">
        <f>IF('Lease Cycles'!$C$29&gt;0,COUNTIF('Lease Cycles'!$BG$29:$BM$29,"&lt;="&amp;EG$6),0)</f>
        <v>0</v>
      </c>
      <c r="EH367" s="25">
        <f>IF('Lease Cycles'!$C$29&gt;0,COUNTIF('Lease Cycles'!$BG$29:$BM$29,"&lt;="&amp;EH$6),0)</f>
        <v>0</v>
      </c>
      <c r="EI367" s="25">
        <f>IF('Lease Cycles'!$C$29&gt;0,COUNTIF('Lease Cycles'!$BG$29:$BM$29,"&lt;="&amp;EI$6),0)</f>
        <v>0</v>
      </c>
      <c r="EJ367" s="25">
        <f>IF('Lease Cycles'!$C$29&gt;0,COUNTIF('Lease Cycles'!$BG$29:$BM$29,"&lt;="&amp;EJ$6),0)</f>
        <v>0</v>
      </c>
      <c r="EK367" s="25">
        <f>IF('Lease Cycles'!$C$29&gt;0,COUNTIF('Lease Cycles'!$BG$29:$BM$29,"&lt;="&amp;EK$6),0)</f>
        <v>0</v>
      </c>
      <c r="EL367" s="25">
        <f>IF('Lease Cycles'!$C$29&gt;0,COUNTIF('Lease Cycles'!$BG$29:$BM$29,"&lt;="&amp;EL$6),0)</f>
        <v>0</v>
      </c>
      <c r="EM367" s="25">
        <f>IF('Lease Cycles'!$C$29&gt;0,COUNTIF('Lease Cycles'!$BG$29:$BM$29,"&lt;="&amp;EM$6),0)</f>
        <v>0</v>
      </c>
      <c r="EN367" s="25">
        <f>IF('Lease Cycles'!$C$29&gt;0,COUNTIF('Lease Cycles'!$BG$29:$BM$29,"&lt;="&amp;EN$6),0)</f>
        <v>0</v>
      </c>
      <c r="EO367" s="25">
        <f>IF('Lease Cycles'!$C$29&gt;0,COUNTIF('Lease Cycles'!$BG$29:$BM$29,"&lt;="&amp;EO$6),0)</f>
        <v>0</v>
      </c>
      <c r="EP367" s="25">
        <f>IF('Lease Cycles'!$C$29&gt;0,COUNTIF('Lease Cycles'!$BG$29:$BM$29,"&lt;="&amp;EP$6),0)</f>
        <v>0</v>
      </c>
      <c r="EQ367" s="25">
        <f>IF('Lease Cycles'!$C$29&gt;0,COUNTIF('Lease Cycles'!$BG$29:$BM$29,"&lt;="&amp;EQ$6),0)</f>
        <v>0</v>
      </c>
      <c r="ER367" s="25">
        <f>IF('Lease Cycles'!$C$29&gt;0,COUNTIF('Lease Cycles'!$BG$29:$BM$29,"&lt;="&amp;ER$6),0)</f>
        <v>0</v>
      </c>
      <c r="ES367" s="25">
        <f>IF('Lease Cycles'!$C$29&gt;0,COUNTIF('Lease Cycles'!$BG$29:$BM$29,"&lt;="&amp;ES$6),0)</f>
        <v>0</v>
      </c>
      <c r="ET367" s="25">
        <f>IF('Lease Cycles'!$C$29&gt;0,COUNTIF('Lease Cycles'!$BG$29:$BM$29,"&lt;="&amp;ET$6),0)</f>
        <v>0</v>
      </c>
    </row>
    <row r="368">
      <c r="A368" s="103">
        <v>22</v>
      </c>
      <c r="B368" s="23" t="str">
        <f>IF('Lease Cycles'!$B$29="","(empty slot)",'Lease Cycles'!$B$29)</f>
        <v>(empty slot)</v>
      </c>
      <c r="C368" s="23" t="s">
        <v>673</v>
      </c>
      <c r="D368" s="104" t="s">
        <v>674</v>
      </c>
      <c r="E368" s="25">
        <f>'Lease Cycles'!$AL$29</f>
        <v>0</v>
      </c>
      <c r="S368" s="25">
        <f>IF(S367=0,-1,S$6-INDEX('Lease Cycles'!$BG$29:$BM$29,1,S367))</f>
        <v>-1</v>
      </c>
      <c r="T368" s="25">
        <f>IF(T367=0,-1,T$6-INDEX('Lease Cycles'!$BG$29:$BM$29,1,T367))</f>
        <v>-1</v>
      </c>
      <c r="U368" s="25">
        <f>IF(U367=0,-1,U$6-INDEX('Lease Cycles'!$BG$29:$BM$29,1,U367))</f>
        <v>-1</v>
      </c>
      <c r="V368" s="25">
        <f>IF(V367=0,-1,V$6-INDEX('Lease Cycles'!$BG$29:$BM$29,1,V367))</f>
        <v>-1</v>
      </c>
      <c r="W368" s="25">
        <f>IF(W367=0,-1,W$6-INDEX('Lease Cycles'!$BG$29:$BM$29,1,W367))</f>
        <v>-1</v>
      </c>
      <c r="X368" s="25">
        <f>IF(X367=0,-1,X$6-INDEX('Lease Cycles'!$BG$29:$BM$29,1,X367))</f>
        <v>-1</v>
      </c>
      <c r="Y368" s="25">
        <f>IF(Y367=0,-1,Y$6-INDEX('Lease Cycles'!$BG$29:$BM$29,1,Y367))</f>
        <v>-1</v>
      </c>
      <c r="Z368" s="25">
        <f>IF(Z367=0,-1,Z$6-INDEX('Lease Cycles'!$BG$29:$BM$29,1,Z367))</f>
        <v>-1</v>
      </c>
      <c r="AA368" s="25">
        <f>IF(AA367=0,-1,AA$6-INDEX('Lease Cycles'!$BG$29:$BM$29,1,AA367))</f>
        <v>-1</v>
      </c>
      <c r="AB368" s="25">
        <f>IF(AB367=0,-1,AB$6-INDEX('Lease Cycles'!$BG$29:$BM$29,1,AB367))</f>
        <v>-1</v>
      </c>
      <c r="AC368" s="25">
        <f>IF(AC367=0,-1,AC$6-INDEX('Lease Cycles'!$BG$29:$BM$29,1,AC367))</f>
        <v>-1</v>
      </c>
      <c r="AD368" s="25">
        <f>IF(AD367=0,-1,AD$6-INDEX('Lease Cycles'!$BG$29:$BM$29,1,AD367))</f>
        <v>-1</v>
      </c>
      <c r="AE368" s="25">
        <f>IF(AE367=0,-1,AE$6-INDEX('Lease Cycles'!$BG$29:$BM$29,1,AE367))</f>
        <v>-1</v>
      </c>
      <c r="AF368" s="25">
        <f>IF(AF367=0,-1,AF$6-INDEX('Lease Cycles'!$BG$29:$BM$29,1,AF367))</f>
        <v>-1</v>
      </c>
      <c r="AG368" s="25">
        <f>IF(AG367=0,-1,AG$6-INDEX('Lease Cycles'!$BG$29:$BM$29,1,AG367))</f>
        <v>-1</v>
      </c>
      <c r="AH368" s="25">
        <f>IF(AH367=0,-1,AH$6-INDEX('Lease Cycles'!$BG$29:$BM$29,1,AH367))</f>
        <v>-1</v>
      </c>
      <c r="AI368" s="25">
        <f>IF(AI367=0,-1,AI$6-INDEX('Lease Cycles'!$BG$29:$BM$29,1,AI367))</f>
        <v>-1</v>
      </c>
      <c r="AJ368" s="25">
        <f>IF(AJ367=0,-1,AJ$6-INDEX('Lease Cycles'!$BG$29:$BM$29,1,AJ367))</f>
        <v>-1</v>
      </c>
      <c r="AK368" s="25">
        <f>IF(AK367=0,-1,AK$6-INDEX('Lease Cycles'!$BG$29:$BM$29,1,AK367))</f>
        <v>-1</v>
      </c>
      <c r="AL368" s="25">
        <f>IF(AL367=0,-1,AL$6-INDEX('Lease Cycles'!$BG$29:$BM$29,1,AL367))</f>
        <v>-1</v>
      </c>
      <c r="AM368" s="25">
        <f>IF(AM367=0,-1,AM$6-INDEX('Lease Cycles'!$BG$29:$BM$29,1,AM367))</f>
        <v>-1</v>
      </c>
      <c r="AN368" s="25">
        <f>IF(AN367=0,-1,AN$6-INDEX('Lease Cycles'!$BG$29:$BM$29,1,AN367))</f>
        <v>-1</v>
      </c>
      <c r="AO368" s="25">
        <f>IF(AO367=0,-1,AO$6-INDEX('Lease Cycles'!$BG$29:$BM$29,1,AO367))</f>
        <v>-1</v>
      </c>
      <c r="AP368" s="25">
        <f>IF(AP367=0,-1,AP$6-INDEX('Lease Cycles'!$BG$29:$BM$29,1,AP367))</f>
        <v>-1</v>
      </c>
      <c r="AQ368" s="25">
        <f>IF(AQ367=0,-1,AQ$6-INDEX('Lease Cycles'!$BG$29:$BM$29,1,AQ367))</f>
        <v>-1</v>
      </c>
      <c r="AR368" s="25">
        <f>IF(AR367=0,-1,AR$6-INDEX('Lease Cycles'!$BG$29:$BM$29,1,AR367))</f>
        <v>-1</v>
      </c>
      <c r="AS368" s="25">
        <f>IF(AS367=0,-1,AS$6-INDEX('Lease Cycles'!$BG$29:$BM$29,1,AS367))</f>
        <v>-1</v>
      </c>
      <c r="AT368" s="25">
        <f>IF(AT367=0,-1,AT$6-INDEX('Lease Cycles'!$BG$29:$BM$29,1,AT367))</f>
        <v>-1</v>
      </c>
      <c r="AU368" s="25">
        <f>IF(AU367=0,-1,AU$6-INDEX('Lease Cycles'!$BG$29:$BM$29,1,AU367))</f>
        <v>-1</v>
      </c>
      <c r="AV368" s="25">
        <f>IF(AV367=0,-1,AV$6-INDEX('Lease Cycles'!$BG$29:$BM$29,1,AV367))</f>
        <v>-1</v>
      </c>
      <c r="AW368" s="25">
        <f>IF(AW367=0,-1,AW$6-INDEX('Lease Cycles'!$BG$29:$BM$29,1,AW367))</f>
        <v>-1</v>
      </c>
      <c r="AX368" s="25">
        <f>IF(AX367=0,-1,AX$6-INDEX('Lease Cycles'!$BG$29:$BM$29,1,AX367))</f>
        <v>-1</v>
      </c>
      <c r="AY368" s="25">
        <f>IF(AY367=0,-1,AY$6-INDEX('Lease Cycles'!$BG$29:$BM$29,1,AY367))</f>
        <v>-1</v>
      </c>
      <c r="AZ368" s="25">
        <f>IF(AZ367=0,-1,AZ$6-INDEX('Lease Cycles'!$BG$29:$BM$29,1,AZ367))</f>
        <v>-1</v>
      </c>
      <c r="BA368" s="25">
        <f>IF(BA367=0,-1,BA$6-INDEX('Lease Cycles'!$BG$29:$BM$29,1,BA367))</f>
        <v>-1</v>
      </c>
      <c r="BB368" s="25">
        <f>IF(BB367=0,-1,BB$6-INDEX('Lease Cycles'!$BG$29:$BM$29,1,BB367))</f>
        <v>-1</v>
      </c>
      <c r="BC368" s="25">
        <f>IF(BC367=0,-1,BC$6-INDEX('Lease Cycles'!$BG$29:$BM$29,1,BC367))</f>
        <v>-1</v>
      </c>
      <c r="BD368" s="25">
        <f>IF(BD367=0,-1,BD$6-INDEX('Lease Cycles'!$BG$29:$BM$29,1,BD367))</f>
        <v>-1</v>
      </c>
      <c r="BE368" s="25">
        <f>IF(BE367=0,-1,BE$6-INDEX('Lease Cycles'!$BG$29:$BM$29,1,BE367))</f>
        <v>-1</v>
      </c>
      <c r="BF368" s="25">
        <f>IF(BF367=0,-1,BF$6-INDEX('Lease Cycles'!$BG$29:$BM$29,1,BF367))</f>
        <v>-1</v>
      </c>
      <c r="BG368" s="25">
        <f>IF(BG367=0,-1,BG$6-INDEX('Lease Cycles'!$BG$29:$BM$29,1,BG367))</f>
        <v>-1</v>
      </c>
      <c r="BH368" s="25">
        <f>IF(BH367=0,-1,BH$6-INDEX('Lease Cycles'!$BG$29:$BM$29,1,BH367))</f>
        <v>-1</v>
      </c>
      <c r="BI368" s="25">
        <f>IF(BI367=0,-1,BI$6-INDEX('Lease Cycles'!$BG$29:$BM$29,1,BI367))</f>
        <v>-1</v>
      </c>
      <c r="BJ368" s="25">
        <f>IF(BJ367=0,-1,BJ$6-INDEX('Lease Cycles'!$BG$29:$BM$29,1,BJ367))</f>
        <v>-1</v>
      </c>
      <c r="BK368" s="25">
        <f>IF(BK367=0,-1,BK$6-INDEX('Lease Cycles'!$BG$29:$BM$29,1,BK367))</f>
        <v>-1</v>
      </c>
      <c r="BL368" s="25">
        <f>IF(BL367=0,-1,BL$6-INDEX('Lease Cycles'!$BG$29:$BM$29,1,BL367))</f>
        <v>-1</v>
      </c>
      <c r="BM368" s="25">
        <f>IF(BM367=0,-1,BM$6-INDEX('Lease Cycles'!$BG$29:$BM$29,1,BM367))</f>
        <v>-1</v>
      </c>
      <c r="BN368" s="25">
        <f>IF(BN367=0,-1,BN$6-INDEX('Lease Cycles'!$BG$29:$BM$29,1,BN367))</f>
        <v>-1</v>
      </c>
      <c r="BO368" s="25">
        <f>IF(BO367=0,-1,BO$6-INDEX('Lease Cycles'!$BG$29:$BM$29,1,BO367))</f>
        <v>-1</v>
      </c>
      <c r="BP368" s="25">
        <f>IF(BP367=0,-1,BP$6-INDEX('Lease Cycles'!$BG$29:$BM$29,1,BP367))</f>
        <v>-1</v>
      </c>
      <c r="BQ368" s="25">
        <f>IF(BQ367=0,-1,BQ$6-INDEX('Lease Cycles'!$BG$29:$BM$29,1,BQ367))</f>
        <v>-1</v>
      </c>
      <c r="BR368" s="25">
        <f>IF(BR367=0,-1,BR$6-INDEX('Lease Cycles'!$BG$29:$BM$29,1,BR367))</f>
        <v>-1</v>
      </c>
      <c r="BS368" s="25">
        <f>IF(BS367=0,-1,BS$6-INDEX('Lease Cycles'!$BG$29:$BM$29,1,BS367))</f>
        <v>-1</v>
      </c>
      <c r="BT368" s="25">
        <f>IF(BT367=0,-1,BT$6-INDEX('Lease Cycles'!$BG$29:$BM$29,1,BT367))</f>
        <v>-1</v>
      </c>
      <c r="BU368" s="25">
        <f>IF(BU367=0,-1,BU$6-INDEX('Lease Cycles'!$BG$29:$BM$29,1,BU367))</f>
        <v>-1</v>
      </c>
      <c r="BV368" s="25">
        <f>IF(BV367=0,-1,BV$6-INDEX('Lease Cycles'!$BG$29:$BM$29,1,BV367))</f>
        <v>-1</v>
      </c>
      <c r="BW368" s="25">
        <f>IF(BW367=0,-1,BW$6-INDEX('Lease Cycles'!$BG$29:$BM$29,1,BW367))</f>
        <v>-1</v>
      </c>
      <c r="BX368" s="25">
        <f>IF(BX367=0,-1,BX$6-INDEX('Lease Cycles'!$BG$29:$BM$29,1,BX367))</f>
        <v>-1</v>
      </c>
      <c r="BY368" s="25">
        <f>IF(BY367=0,-1,BY$6-INDEX('Lease Cycles'!$BG$29:$BM$29,1,BY367))</f>
        <v>-1</v>
      </c>
      <c r="BZ368" s="25">
        <f>IF(BZ367=0,-1,BZ$6-INDEX('Lease Cycles'!$BG$29:$BM$29,1,BZ367))</f>
        <v>-1</v>
      </c>
      <c r="CA368" s="25">
        <f>IF(CA367=0,-1,CA$6-INDEX('Lease Cycles'!$BG$29:$BM$29,1,CA367))</f>
        <v>-1</v>
      </c>
      <c r="CB368" s="25">
        <f>IF(CB367=0,-1,CB$6-INDEX('Lease Cycles'!$BG$29:$BM$29,1,CB367))</f>
        <v>-1</v>
      </c>
      <c r="CC368" s="25">
        <f>IF(CC367=0,-1,CC$6-INDEX('Lease Cycles'!$BG$29:$BM$29,1,CC367))</f>
        <v>-1</v>
      </c>
      <c r="CD368" s="25">
        <f>IF(CD367=0,-1,CD$6-INDEX('Lease Cycles'!$BG$29:$BM$29,1,CD367))</f>
        <v>-1</v>
      </c>
      <c r="CE368" s="25">
        <f>IF(CE367=0,-1,CE$6-INDEX('Lease Cycles'!$BG$29:$BM$29,1,CE367))</f>
        <v>-1</v>
      </c>
      <c r="CF368" s="25">
        <f>IF(CF367=0,-1,CF$6-INDEX('Lease Cycles'!$BG$29:$BM$29,1,CF367))</f>
        <v>-1</v>
      </c>
      <c r="CG368" s="25">
        <f>IF(CG367=0,-1,CG$6-INDEX('Lease Cycles'!$BG$29:$BM$29,1,CG367))</f>
        <v>-1</v>
      </c>
      <c r="CH368" s="25">
        <f>IF(CH367=0,-1,CH$6-INDEX('Lease Cycles'!$BG$29:$BM$29,1,CH367))</f>
        <v>-1</v>
      </c>
      <c r="CI368" s="25">
        <f>IF(CI367=0,-1,CI$6-INDEX('Lease Cycles'!$BG$29:$BM$29,1,CI367))</f>
        <v>-1</v>
      </c>
      <c r="CJ368" s="25">
        <f>IF(CJ367=0,-1,CJ$6-INDEX('Lease Cycles'!$BG$29:$BM$29,1,CJ367))</f>
        <v>-1</v>
      </c>
      <c r="CK368" s="25">
        <f>IF(CK367=0,-1,CK$6-INDEX('Lease Cycles'!$BG$29:$BM$29,1,CK367))</f>
        <v>-1</v>
      </c>
      <c r="CL368" s="25">
        <f>IF(CL367=0,-1,CL$6-INDEX('Lease Cycles'!$BG$29:$BM$29,1,CL367))</f>
        <v>-1</v>
      </c>
      <c r="CM368" s="25">
        <f>IF(CM367=0,-1,CM$6-INDEX('Lease Cycles'!$BG$29:$BM$29,1,CM367))</f>
        <v>-1</v>
      </c>
      <c r="CN368" s="25">
        <f>IF(CN367=0,-1,CN$6-INDEX('Lease Cycles'!$BG$29:$BM$29,1,CN367))</f>
        <v>-1</v>
      </c>
      <c r="CO368" s="25">
        <f>IF(CO367=0,-1,CO$6-INDEX('Lease Cycles'!$BG$29:$BM$29,1,CO367))</f>
        <v>-1</v>
      </c>
      <c r="CP368" s="25">
        <f>IF(CP367=0,-1,CP$6-INDEX('Lease Cycles'!$BG$29:$BM$29,1,CP367))</f>
        <v>-1</v>
      </c>
      <c r="CQ368" s="25">
        <f>IF(CQ367=0,-1,CQ$6-INDEX('Lease Cycles'!$BG$29:$BM$29,1,CQ367))</f>
        <v>-1</v>
      </c>
      <c r="CR368" s="25">
        <f>IF(CR367=0,-1,CR$6-INDEX('Lease Cycles'!$BG$29:$BM$29,1,CR367))</f>
        <v>-1</v>
      </c>
      <c r="CS368" s="25">
        <f>IF(CS367=0,-1,CS$6-INDEX('Lease Cycles'!$BG$29:$BM$29,1,CS367))</f>
        <v>-1</v>
      </c>
      <c r="CT368" s="25">
        <f>IF(CT367=0,-1,CT$6-INDEX('Lease Cycles'!$BG$29:$BM$29,1,CT367))</f>
        <v>-1</v>
      </c>
      <c r="CU368" s="25">
        <f>IF(CU367=0,-1,CU$6-INDEX('Lease Cycles'!$BG$29:$BM$29,1,CU367))</f>
        <v>-1</v>
      </c>
      <c r="CV368" s="25">
        <f>IF(CV367=0,-1,CV$6-INDEX('Lease Cycles'!$BG$29:$BM$29,1,CV367))</f>
        <v>-1</v>
      </c>
      <c r="CW368" s="25">
        <f>IF(CW367=0,-1,CW$6-INDEX('Lease Cycles'!$BG$29:$BM$29,1,CW367))</f>
        <v>-1</v>
      </c>
      <c r="CX368" s="25">
        <f>IF(CX367=0,-1,CX$6-INDEX('Lease Cycles'!$BG$29:$BM$29,1,CX367))</f>
        <v>-1</v>
      </c>
      <c r="CY368" s="25">
        <f>IF(CY367=0,-1,CY$6-INDEX('Lease Cycles'!$BG$29:$BM$29,1,CY367))</f>
        <v>-1</v>
      </c>
      <c r="CZ368" s="25">
        <f>IF(CZ367=0,-1,CZ$6-INDEX('Lease Cycles'!$BG$29:$BM$29,1,CZ367))</f>
        <v>-1</v>
      </c>
      <c r="DA368" s="25">
        <f>IF(DA367=0,-1,DA$6-INDEX('Lease Cycles'!$BG$29:$BM$29,1,DA367))</f>
        <v>-1</v>
      </c>
      <c r="DB368" s="25">
        <f>IF(DB367=0,-1,DB$6-INDEX('Lease Cycles'!$BG$29:$BM$29,1,DB367))</f>
        <v>-1</v>
      </c>
      <c r="DC368" s="25">
        <f>IF(DC367=0,-1,DC$6-INDEX('Lease Cycles'!$BG$29:$BM$29,1,DC367))</f>
        <v>-1</v>
      </c>
      <c r="DD368" s="25">
        <f>IF(DD367=0,-1,DD$6-INDEX('Lease Cycles'!$BG$29:$BM$29,1,DD367))</f>
        <v>-1</v>
      </c>
      <c r="DE368" s="25">
        <f>IF(DE367=0,-1,DE$6-INDEX('Lease Cycles'!$BG$29:$BM$29,1,DE367))</f>
        <v>-1</v>
      </c>
      <c r="DF368" s="25">
        <f>IF(DF367=0,-1,DF$6-INDEX('Lease Cycles'!$BG$29:$BM$29,1,DF367))</f>
        <v>-1</v>
      </c>
      <c r="DG368" s="25">
        <f>IF(DG367=0,-1,DG$6-INDEX('Lease Cycles'!$BG$29:$BM$29,1,DG367))</f>
        <v>-1</v>
      </c>
      <c r="DH368" s="25">
        <f>IF(DH367=0,-1,DH$6-INDEX('Lease Cycles'!$BG$29:$BM$29,1,DH367))</f>
        <v>-1</v>
      </c>
      <c r="DI368" s="25">
        <f>IF(DI367=0,-1,DI$6-INDEX('Lease Cycles'!$BG$29:$BM$29,1,DI367))</f>
        <v>-1</v>
      </c>
      <c r="DJ368" s="25">
        <f>IF(DJ367=0,-1,DJ$6-INDEX('Lease Cycles'!$BG$29:$BM$29,1,DJ367))</f>
        <v>-1</v>
      </c>
      <c r="DK368" s="25">
        <f>IF(DK367=0,-1,DK$6-INDEX('Lease Cycles'!$BG$29:$BM$29,1,DK367))</f>
        <v>-1</v>
      </c>
      <c r="DL368" s="25">
        <f>IF(DL367=0,-1,DL$6-INDEX('Lease Cycles'!$BG$29:$BM$29,1,DL367))</f>
        <v>-1</v>
      </c>
      <c r="DM368" s="25">
        <f>IF(DM367=0,-1,DM$6-INDEX('Lease Cycles'!$BG$29:$BM$29,1,DM367))</f>
        <v>-1</v>
      </c>
      <c r="DN368" s="25">
        <f>IF(DN367=0,-1,DN$6-INDEX('Lease Cycles'!$BG$29:$BM$29,1,DN367))</f>
        <v>-1</v>
      </c>
      <c r="DO368" s="25">
        <f>IF(DO367=0,-1,DO$6-INDEX('Lease Cycles'!$BG$29:$BM$29,1,DO367))</f>
        <v>-1</v>
      </c>
      <c r="DP368" s="25">
        <f>IF(DP367=0,-1,DP$6-INDEX('Lease Cycles'!$BG$29:$BM$29,1,DP367))</f>
        <v>-1</v>
      </c>
      <c r="DQ368" s="25">
        <f>IF(DQ367=0,-1,DQ$6-INDEX('Lease Cycles'!$BG$29:$BM$29,1,DQ367))</f>
        <v>-1</v>
      </c>
      <c r="DR368" s="25">
        <f>IF(DR367=0,-1,DR$6-INDEX('Lease Cycles'!$BG$29:$BM$29,1,DR367))</f>
        <v>-1</v>
      </c>
      <c r="DS368" s="25">
        <f>IF(DS367=0,-1,DS$6-INDEX('Lease Cycles'!$BG$29:$BM$29,1,DS367))</f>
        <v>-1</v>
      </c>
      <c r="DT368" s="25">
        <f>IF(DT367=0,-1,DT$6-INDEX('Lease Cycles'!$BG$29:$BM$29,1,DT367))</f>
        <v>-1</v>
      </c>
      <c r="DU368" s="25">
        <f>IF(DU367=0,-1,DU$6-INDEX('Lease Cycles'!$BG$29:$BM$29,1,DU367))</f>
        <v>-1</v>
      </c>
      <c r="DV368" s="25">
        <f>IF(DV367=0,-1,DV$6-INDEX('Lease Cycles'!$BG$29:$BM$29,1,DV367))</f>
        <v>-1</v>
      </c>
      <c r="DW368" s="25">
        <f>IF(DW367=0,-1,DW$6-INDEX('Lease Cycles'!$BG$29:$BM$29,1,DW367))</f>
        <v>-1</v>
      </c>
      <c r="DX368" s="25">
        <f>IF(DX367=0,-1,DX$6-INDEX('Lease Cycles'!$BG$29:$BM$29,1,DX367))</f>
        <v>-1</v>
      </c>
      <c r="DY368" s="25">
        <f>IF(DY367=0,-1,DY$6-INDEX('Lease Cycles'!$BG$29:$BM$29,1,DY367))</f>
        <v>-1</v>
      </c>
      <c r="DZ368" s="25">
        <f>IF(DZ367=0,-1,DZ$6-INDEX('Lease Cycles'!$BG$29:$BM$29,1,DZ367))</f>
        <v>-1</v>
      </c>
      <c r="EA368" s="25">
        <f>IF(EA367=0,-1,EA$6-INDEX('Lease Cycles'!$BG$29:$BM$29,1,EA367))</f>
        <v>-1</v>
      </c>
      <c r="EB368" s="25">
        <f>IF(EB367=0,-1,EB$6-INDEX('Lease Cycles'!$BG$29:$BM$29,1,EB367))</f>
        <v>-1</v>
      </c>
      <c r="EC368" s="25">
        <f>IF(EC367=0,-1,EC$6-INDEX('Lease Cycles'!$BG$29:$BM$29,1,EC367))</f>
        <v>-1</v>
      </c>
      <c r="ED368" s="25">
        <f>IF(ED367=0,-1,ED$6-INDEX('Lease Cycles'!$BG$29:$BM$29,1,ED367))</f>
        <v>-1</v>
      </c>
      <c r="EE368" s="25">
        <f>IF(EE367=0,-1,EE$6-INDEX('Lease Cycles'!$BG$29:$BM$29,1,EE367))</f>
        <v>-1</v>
      </c>
      <c r="EF368" s="25">
        <f>IF(EF367=0,-1,EF$6-INDEX('Lease Cycles'!$BG$29:$BM$29,1,EF367))</f>
        <v>-1</v>
      </c>
      <c r="EG368" s="25">
        <f>IF(EG367=0,-1,EG$6-INDEX('Lease Cycles'!$BG$29:$BM$29,1,EG367))</f>
        <v>-1</v>
      </c>
      <c r="EH368" s="25">
        <f>IF(EH367=0,-1,EH$6-INDEX('Lease Cycles'!$BG$29:$BM$29,1,EH367))</f>
        <v>-1</v>
      </c>
      <c r="EI368" s="25">
        <f>IF(EI367=0,-1,EI$6-INDEX('Lease Cycles'!$BG$29:$BM$29,1,EI367))</f>
        <v>-1</v>
      </c>
      <c r="EJ368" s="25">
        <f>IF(EJ367=0,-1,EJ$6-INDEX('Lease Cycles'!$BG$29:$BM$29,1,EJ367))</f>
        <v>-1</v>
      </c>
      <c r="EK368" s="25">
        <f>IF(EK367=0,-1,EK$6-INDEX('Lease Cycles'!$BG$29:$BM$29,1,EK367))</f>
        <v>-1</v>
      </c>
      <c r="EL368" s="25">
        <f>IF(EL367=0,-1,EL$6-INDEX('Lease Cycles'!$BG$29:$BM$29,1,EL367))</f>
        <v>-1</v>
      </c>
      <c r="EM368" s="25">
        <f>IF(EM367=0,-1,EM$6-INDEX('Lease Cycles'!$BG$29:$BM$29,1,EM367))</f>
        <v>-1</v>
      </c>
      <c r="EN368" s="25">
        <f>IF(EN367=0,-1,EN$6-INDEX('Lease Cycles'!$BG$29:$BM$29,1,EN367))</f>
        <v>-1</v>
      </c>
      <c r="EO368" s="25">
        <f>IF(EO367=0,-1,EO$6-INDEX('Lease Cycles'!$BG$29:$BM$29,1,EO367))</f>
        <v>-1</v>
      </c>
      <c r="EP368" s="25">
        <f>IF(EP367=0,-1,EP$6-INDEX('Lease Cycles'!$BG$29:$BM$29,1,EP367))</f>
        <v>-1</v>
      </c>
      <c r="EQ368" s="25">
        <f>IF(EQ367=0,-1,EQ$6-INDEX('Lease Cycles'!$BG$29:$BM$29,1,EQ367))</f>
        <v>-1</v>
      </c>
      <c r="ER368" s="25">
        <f>IF(ER367=0,-1,ER$6-INDEX('Lease Cycles'!$BG$29:$BM$29,1,ER367))</f>
        <v>-1</v>
      </c>
      <c r="ES368" s="25">
        <f>IF(ES367=0,-1,ES$6-INDEX('Lease Cycles'!$BG$29:$BM$29,1,ES367))</f>
        <v>-1</v>
      </c>
      <c r="ET368" s="25">
        <f>IF(ET367=0,-1,ET$6-INDEX('Lease Cycles'!$BG$29:$BM$29,1,ET367))</f>
        <v>-1</v>
      </c>
    </row>
    <row r="369">
      <c r="A369" s="103">
        <v>22</v>
      </c>
      <c r="B369" s="23" t="str">
        <f>IF('Lease Cycles'!$B$29="","(empty slot)",'Lease Cycles'!$B$29)</f>
        <v>(empty slot)</v>
      </c>
      <c r="C369" s="23" t="s">
        <v>675</v>
      </c>
      <c r="D369" s="104" t="s">
        <v>676</v>
      </c>
      <c r="E369" s="25">
        <f>'Lease Cycles'!$AL$29</f>
        <v>0</v>
      </c>
      <c r="S369" s="25">
        <f>IF(S367=0,0,IF(S368&lt;INDEX('Lease Cycles'!$BN$29:$BT$29,1,S367),1,0))</f>
        <v>0</v>
      </c>
      <c r="T369" s="25">
        <f>IF(T367=0,0,IF(T368&lt;INDEX('Lease Cycles'!$BN$29:$BT$29,1,T367),1,0))</f>
        <v>0</v>
      </c>
      <c r="U369" s="25">
        <f>IF(U367=0,0,IF(U368&lt;INDEX('Lease Cycles'!$BN$29:$BT$29,1,U367),1,0))</f>
        <v>0</v>
      </c>
      <c r="V369" s="25">
        <f>IF(V367=0,0,IF(V368&lt;INDEX('Lease Cycles'!$BN$29:$BT$29,1,V367),1,0))</f>
        <v>0</v>
      </c>
      <c r="W369" s="25">
        <f>IF(W367=0,0,IF(W368&lt;INDEX('Lease Cycles'!$BN$29:$BT$29,1,W367),1,0))</f>
        <v>0</v>
      </c>
      <c r="X369" s="25">
        <f>IF(X367=0,0,IF(X368&lt;INDEX('Lease Cycles'!$BN$29:$BT$29,1,X367),1,0))</f>
        <v>0</v>
      </c>
      <c r="Y369" s="25">
        <f>IF(Y367=0,0,IF(Y368&lt;INDEX('Lease Cycles'!$BN$29:$BT$29,1,Y367),1,0))</f>
        <v>0</v>
      </c>
      <c r="Z369" s="25">
        <f>IF(Z367=0,0,IF(Z368&lt;INDEX('Lease Cycles'!$BN$29:$BT$29,1,Z367),1,0))</f>
        <v>0</v>
      </c>
      <c r="AA369" s="25">
        <f>IF(AA367=0,0,IF(AA368&lt;INDEX('Lease Cycles'!$BN$29:$BT$29,1,AA367),1,0))</f>
        <v>0</v>
      </c>
      <c r="AB369" s="25">
        <f>IF(AB367=0,0,IF(AB368&lt;INDEX('Lease Cycles'!$BN$29:$BT$29,1,AB367),1,0))</f>
        <v>0</v>
      </c>
      <c r="AC369" s="25">
        <f>IF(AC367=0,0,IF(AC368&lt;INDEX('Lease Cycles'!$BN$29:$BT$29,1,AC367),1,0))</f>
        <v>0</v>
      </c>
      <c r="AD369" s="25">
        <f>IF(AD367=0,0,IF(AD368&lt;INDEX('Lease Cycles'!$BN$29:$BT$29,1,AD367),1,0))</f>
        <v>0</v>
      </c>
      <c r="AE369" s="25">
        <f>IF(AE367=0,0,IF(AE368&lt;INDEX('Lease Cycles'!$BN$29:$BT$29,1,AE367),1,0))</f>
        <v>0</v>
      </c>
      <c r="AF369" s="25">
        <f>IF(AF367=0,0,IF(AF368&lt;INDEX('Lease Cycles'!$BN$29:$BT$29,1,AF367),1,0))</f>
        <v>0</v>
      </c>
      <c r="AG369" s="25">
        <f>IF(AG367=0,0,IF(AG368&lt;INDEX('Lease Cycles'!$BN$29:$BT$29,1,AG367),1,0))</f>
        <v>0</v>
      </c>
      <c r="AH369" s="25">
        <f>IF(AH367=0,0,IF(AH368&lt;INDEX('Lease Cycles'!$BN$29:$BT$29,1,AH367),1,0))</f>
        <v>0</v>
      </c>
      <c r="AI369" s="25">
        <f>IF(AI367=0,0,IF(AI368&lt;INDEX('Lease Cycles'!$BN$29:$BT$29,1,AI367),1,0))</f>
        <v>0</v>
      </c>
      <c r="AJ369" s="25">
        <f>IF(AJ367=0,0,IF(AJ368&lt;INDEX('Lease Cycles'!$BN$29:$BT$29,1,AJ367),1,0))</f>
        <v>0</v>
      </c>
      <c r="AK369" s="25">
        <f>IF(AK367=0,0,IF(AK368&lt;INDEX('Lease Cycles'!$BN$29:$BT$29,1,AK367),1,0))</f>
        <v>0</v>
      </c>
      <c r="AL369" s="25">
        <f>IF(AL367=0,0,IF(AL368&lt;INDEX('Lease Cycles'!$BN$29:$BT$29,1,AL367),1,0))</f>
        <v>0</v>
      </c>
      <c r="AM369" s="25">
        <f>IF(AM367=0,0,IF(AM368&lt;INDEX('Lease Cycles'!$BN$29:$BT$29,1,AM367),1,0))</f>
        <v>0</v>
      </c>
      <c r="AN369" s="25">
        <f>IF(AN367=0,0,IF(AN368&lt;INDEX('Lease Cycles'!$BN$29:$BT$29,1,AN367),1,0))</f>
        <v>0</v>
      </c>
      <c r="AO369" s="25">
        <f>IF(AO367=0,0,IF(AO368&lt;INDEX('Lease Cycles'!$BN$29:$BT$29,1,AO367),1,0))</f>
        <v>0</v>
      </c>
      <c r="AP369" s="25">
        <f>IF(AP367=0,0,IF(AP368&lt;INDEX('Lease Cycles'!$BN$29:$BT$29,1,AP367),1,0))</f>
        <v>0</v>
      </c>
      <c r="AQ369" s="25">
        <f>IF(AQ367=0,0,IF(AQ368&lt;INDEX('Lease Cycles'!$BN$29:$BT$29,1,AQ367),1,0))</f>
        <v>0</v>
      </c>
      <c r="AR369" s="25">
        <f>IF(AR367=0,0,IF(AR368&lt;INDEX('Lease Cycles'!$BN$29:$BT$29,1,AR367),1,0))</f>
        <v>0</v>
      </c>
      <c r="AS369" s="25">
        <f>IF(AS367=0,0,IF(AS368&lt;INDEX('Lease Cycles'!$BN$29:$BT$29,1,AS367),1,0))</f>
        <v>0</v>
      </c>
      <c r="AT369" s="25">
        <f>IF(AT367=0,0,IF(AT368&lt;INDEX('Lease Cycles'!$BN$29:$BT$29,1,AT367),1,0))</f>
        <v>0</v>
      </c>
      <c r="AU369" s="25">
        <f>IF(AU367=0,0,IF(AU368&lt;INDEX('Lease Cycles'!$BN$29:$BT$29,1,AU367),1,0))</f>
        <v>0</v>
      </c>
      <c r="AV369" s="25">
        <f>IF(AV367=0,0,IF(AV368&lt;INDEX('Lease Cycles'!$BN$29:$BT$29,1,AV367),1,0))</f>
        <v>0</v>
      </c>
      <c r="AW369" s="25">
        <f>IF(AW367=0,0,IF(AW368&lt;INDEX('Lease Cycles'!$BN$29:$BT$29,1,AW367),1,0))</f>
        <v>0</v>
      </c>
      <c r="AX369" s="25">
        <f>IF(AX367=0,0,IF(AX368&lt;INDEX('Lease Cycles'!$BN$29:$BT$29,1,AX367),1,0))</f>
        <v>0</v>
      </c>
      <c r="AY369" s="25">
        <f>IF(AY367=0,0,IF(AY368&lt;INDEX('Lease Cycles'!$BN$29:$BT$29,1,AY367),1,0))</f>
        <v>0</v>
      </c>
      <c r="AZ369" s="25">
        <f>IF(AZ367=0,0,IF(AZ368&lt;INDEX('Lease Cycles'!$BN$29:$BT$29,1,AZ367),1,0))</f>
        <v>0</v>
      </c>
      <c r="BA369" s="25">
        <f>IF(BA367=0,0,IF(BA368&lt;INDEX('Lease Cycles'!$BN$29:$BT$29,1,BA367),1,0))</f>
        <v>0</v>
      </c>
      <c r="BB369" s="25">
        <f>IF(BB367=0,0,IF(BB368&lt;INDEX('Lease Cycles'!$BN$29:$BT$29,1,BB367),1,0))</f>
        <v>0</v>
      </c>
      <c r="BC369" s="25">
        <f>IF(BC367=0,0,IF(BC368&lt;INDEX('Lease Cycles'!$BN$29:$BT$29,1,BC367),1,0))</f>
        <v>0</v>
      </c>
      <c r="BD369" s="25">
        <f>IF(BD367=0,0,IF(BD368&lt;INDEX('Lease Cycles'!$BN$29:$BT$29,1,BD367),1,0))</f>
        <v>0</v>
      </c>
      <c r="BE369" s="25">
        <f>IF(BE367=0,0,IF(BE368&lt;INDEX('Lease Cycles'!$BN$29:$BT$29,1,BE367),1,0))</f>
        <v>0</v>
      </c>
      <c r="BF369" s="25">
        <f>IF(BF367=0,0,IF(BF368&lt;INDEX('Lease Cycles'!$BN$29:$BT$29,1,BF367),1,0))</f>
        <v>0</v>
      </c>
      <c r="BG369" s="25">
        <f>IF(BG367=0,0,IF(BG368&lt;INDEX('Lease Cycles'!$BN$29:$BT$29,1,BG367),1,0))</f>
        <v>0</v>
      </c>
      <c r="BH369" s="25">
        <f>IF(BH367=0,0,IF(BH368&lt;INDEX('Lease Cycles'!$BN$29:$BT$29,1,BH367),1,0))</f>
        <v>0</v>
      </c>
      <c r="BI369" s="25">
        <f>IF(BI367=0,0,IF(BI368&lt;INDEX('Lease Cycles'!$BN$29:$BT$29,1,BI367),1,0))</f>
        <v>0</v>
      </c>
      <c r="BJ369" s="25">
        <f>IF(BJ367=0,0,IF(BJ368&lt;INDEX('Lease Cycles'!$BN$29:$BT$29,1,BJ367),1,0))</f>
        <v>0</v>
      </c>
      <c r="BK369" s="25">
        <f>IF(BK367=0,0,IF(BK368&lt;INDEX('Lease Cycles'!$BN$29:$BT$29,1,BK367),1,0))</f>
        <v>0</v>
      </c>
      <c r="BL369" s="25">
        <f>IF(BL367=0,0,IF(BL368&lt;INDEX('Lease Cycles'!$BN$29:$BT$29,1,BL367),1,0))</f>
        <v>0</v>
      </c>
      <c r="BM369" s="25">
        <f>IF(BM367=0,0,IF(BM368&lt;INDEX('Lease Cycles'!$BN$29:$BT$29,1,BM367),1,0))</f>
        <v>0</v>
      </c>
      <c r="BN369" s="25">
        <f>IF(BN367=0,0,IF(BN368&lt;INDEX('Lease Cycles'!$BN$29:$BT$29,1,BN367),1,0))</f>
        <v>0</v>
      </c>
      <c r="BO369" s="25">
        <f>IF(BO367=0,0,IF(BO368&lt;INDEX('Lease Cycles'!$BN$29:$BT$29,1,BO367),1,0))</f>
        <v>0</v>
      </c>
      <c r="BP369" s="25">
        <f>IF(BP367=0,0,IF(BP368&lt;INDEX('Lease Cycles'!$BN$29:$BT$29,1,BP367),1,0))</f>
        <v>0</v>
      </c>
      <c r="BQ369" s="25">
        <f>IF(BQ367=0,0,IF(BQ368&lt;INDEX('Lease Cycles'!$BN$29:$BT$29,1,BQ367),1,0))</f>
        <v>0</v>
      </c>
      <c r="BR369" s="25">
        <f>IF(BR367=0,0,IF(BR368&lt;INDEX('Lease Cycles'!$BN$29:$BT$29,1,BR367),1,0))</f>
        <v>0</v>
      </c>
      <c r="BS369" s="25">
        <f>IF(BS367=0,0,IF(BS368&lt;INDEX('Lease Cycles'!$BN$29:$BT$29,1,BS367),1,0))</f>
        <v>0</v>
      </c>
      <c r="BT369" s="25">
        <f>IF(BT367=0,0,IF(BT368&lt;INDEX('Lease Cycles'!$BN$29:$BT$29,1,BT367),1,0))</f>
        <v>0</v>
      </c>
      <c r="BU369" s="25">
        <f>IF(BU367=0,0,IF(BU368&lt;INDEX('Lease Cycles'!$BN$29:$BT$29,1,BU367),1,0))</f>
        <v>0</v>
      </c>
      <c r="BV369" s="25">
        <f>IF(BV367=0,0,IF(BV368&lt;INDEX('Lease Cycles'!$BN$29:$BT$29,1,BV367),1,0))</f>
        <v>0</v>
      </c>
      <c r="BW369" s="25">
        <f>IF(BW367=0,0,IF(BW368&lt;INDEX('Lease Cycles'!$BN$29:$BT$29,1,BW367),1,0))</f>
        <v>0</v>
      </c>
      <c r="BX369" s="25">
        <f>IF(BX367=0,0,IF(BX368&lt;INDEX('Lease Cycles'!$BN$29:$BT$29,1,BX367),1,0))</f>
        <v>0</v>
      </c>
      <c r="BY369" s="25">
        <f>IF(BY367=0,0,IF(BY368&lt;INDEX('Lease Cycles'!$BN$29:$BT$29,1,BY367),1,0))</f>
        <v>0</v>
      </c>
      <c r="BZ369" s="25">
        <f>IF(BZ367=0,0,IF(BZ368&lt;INDEX('Lease Cycles'!$BN$29:$BT$29,1,BZ367),1,0))</f>
        <v>0</v>
      </c>
      <c r="CA369" s="25">
        <f>IF(CA367=0,0,IF(CA368&lt;INDEX('Lease Cycles'!$BN$29:$BT$29,1,CA367),1,0))</f>
        <v>0</v>
      </c>
      <c r="CB369" s="25">
        <f>IF(CB367=0,0,IF(CB368&lt;INDEX('Lease Cycles'!$BN$29:$BT$29,1,CB367),1,0))</f>
        <v>0</v>
      </c>
      <c r="CC369" s="25">
        <f>IF(CC367=0,0,IF(CC368&lt;INDEX('Lease Cycles'!$BN$29:$BT$29,1,CC367),1,0))</f>
        <v>0</v>
      </c>
      <c r="CD369" s="25">
        <f>IF(CD367=0,0,IF(CD368&lt;INDEX('Lease Cycles'!$BN$29:$BT$29,1,CD367),1,0))</f>
        <v>0</v>
      </c>
      <c r="CE369" s="25">
        <f>IF(CE367=0,0,IF(CE368&lt;INDEX('Lease Cycles'!$BN$29:$BT$29,1,CE367),1,0))</f>
        <v>0</v>
      </c>
      <c r="CF369" s="25">
        <f>IF(CF367=0,0,IF(CF368&lt;INDEX('Lease Cycles'!$BN$29:$BT$29,1,CF367),1,0))</f>
        <v>0</v>
      </c>
      <c r="CG369" s="25">
        <f>IF(CG367=0,0,IF(CG368&lt;INDEX('Lease Cycles'!$BN$29:$BT$29,1,CG367),1,0))</f>
        <v>0</v>
      </c>
      <c r="CH369" s="25">
        <f>IF(CH367=0,0,IF(CH368&lt;INDEX('Lease Cycles'!$BN$29:$BT$29,1,CH367),1,0))</f>
        <v>0</v>
      </c>
      <c r="CI369" s="25">
        <f>IF(CI367=0,0,IF(CI368&lt;INDEX('Lease Cycles'!$BN$29:$BT$29,1,CI367),1,0))</f>
        <v>0</v>
      </c>
      <c r="CJ369" s="25">
        <f>IF(CJ367=0,0,IF(CJ368&lt;INDEX('Lease Cycles'!$BN$29:$BT$29,1,CJ367),1,0))</f>
        <v>0</v>
      </c>
      <c r="CK369" s="25">
        <f>IF(CK367=0,0,IF(CK368&lt;INDEX('Lease Cycles'!$BN$29:$BT$29,1,CK367),1,0))</f>
        <v>0</v>
      </c>
      <c r="CL369" s="25">
        <f>IF(CL367=0,0,IF(CL368&lt;INDEX('Lease Cycles'!$BN$29:$BT$29,1,CL367),1,0))</f>
        <v>0</v>
      </c>
      <c r="CM369" s="25">
        <f>IF(CM367=0,0,IF(CM368&lt;INDEX('Lease Cycles'!$BN$29:$BT$29,1,CM367),1,0))</f>
        <v>0</v>
      </c>
      <c r="CN369" s="25">
        <f>IF(CN367=0,0,IF(CN368&lt;INDEX('Lease Cycles'!$BN$29:$BT$29,1,CN367),1,0))</f>
        <v>0</v>
      </c>
      <c r="CO369" s="25">
        <f>IF(CO367=0,0,IF(CO368&lt;INDEX('Lease Cycles'!$BN$29:$BT$29,1,CO367),1,0))</f>
        <v>0</v>
      </c>
      <c r="CP369" s="25">
        <f>IF(CP367=0,0,IF(CP368&lt;INDEX('Lease Cycles'!$BN$29:$BT$29,1,CP367),1,0))</f>
        <v>0</v>
      </c>
      <c r="CQ369" s="25">
        <f>IF(CQ367=0,0,IF(CQ368&lt;INDEX('Lease Cycles'!$BN$29:$BT$29,1,CQ367),1,0))</f>
        <v>0</v>
      </c>
      <c r="CR369" s="25">
        <f>IF(CR367=0,0,IF(CR368&lt;INDEX('Lease Cycles'!$BN$29:$BT$29,1,CR367),1,0))</f>
        <v>0</v>
      </c>
      <c r="CS369" s="25">
        <f>IF(CS367=0,0,IF(CS368&lt;INDEX('Lease Cycles'!$BN$29:$BT$29,1,CS367),1,0))</f>
        <v>0</v>
      </c>
      <c r="CT369" s="25">
        <f>IF(CT367=0,0,IF(CT368&lt;INDEX('Lease Cycles'!$BN$29:$BT$29,1,CT367),1,0))</f>
        <v>0</v>
      </c>
      <c r="CU369" s="25">
        <f>IF(CU367=0,0,IF(CU368&lt;INDEX('Lease Cycles'!$BN$29:$BT$29,1,CU367),1,0))</f>
        <v>0</v>
      </c>
      <c r="CV369" s="25">
        <f>IF(CV367=0,0,IF(CV368&lt;INDEX('Lease Cycles'!$BN$29:$BT$29,1,CV367),1,0))</f>
        <v>0</v>
      </c>
      <c r="CW369" s="25">
        <f>IF(CW367=0,0,IF(CW368&lt;INDEX('Lease Cycles'!$BN$29:$BT$29,1,CW367),1,0))</f>
        <v>0</v>
      </c>
      <c r="CX369" s="25">
        <f>IF(CX367=0,0,IF(CX368&lt;INDEX('Lease Cycles'!$BN$29:$BT$29,1,CX367),1,0))</f>
        <v>0</v>
      </c>
      <c r="CY369" s="25">
        <f>IF(CY367=0,0,IF(CY368&lt;INDEX('Lease Cycles'!$BN$29:$BT$29,1,CY367),1,0))</f>
        <v>0</v>
      </c>
      <c r="CZ369" s="25">
        <f>IF(CZ367=0,0,IF(CZ368&lt;INDEX('Lease Cycles'!$BN$29:$BT$29,1,CZ367),1,0))</f>
        <v>0</v>
      </c>
      <c r="DA369" s="25">
        <f>IF(DA367=0,0,IF(DA368&lt;INDEX('Lease Cycles'!$BN$29:$BT$29,1,DA367),1,0))</f>
        <v>0</v>
      </c>
      <c r="DB369" s="25">
        <f>IF(DB367=0,0,IF(DB368&lt;INDEX('Lease Cycles'!$BN$29:$BT$29,1,DB367),1,0))</f>
        <v>0</v>
      </c>
      <c r="DC369" s="25">
        <f>IF(DC367=0,0,IF(DC368&lt;INDEX('Lease Cycles'!$BN$29:$BT$29,1,DC367),1,0))</f>
        <v>0</v>
      </c>
      <c r="DD369" s="25">
        <f>IF(DD367=0,0,IF(DD368&lt;INDEX('Lease Cycles'!$BN$29:$BT$29,1,DD367),1,0))</f>
        <v>0</v>
      </c>
      <c r="DE369" s="25">
        <f>IF(DE367=0,0,IF(DE368&lt;INDEX('Lease Cycles'!$BN$29:$BT$29,1,DE367),1,0))</f>
        <v>0</v>
      </c>
      <c r="DF369" s="25">
        <f>IF(DF367=0,0,IF(DF368&lt;INDEX('Lease Cycles'!$BN$29:$BT$29,1,DF367),1,0))</f>
        <v>0</v>
      </c>
      <c r="DG369" s="25">
        <f>IF(DG367=0,0,IF(DG368&lt;INDEX('Lease Cycles'!$BN$29:$BT$29,1,DG367),1,0))</f>
        <v>0</v>
      </c>
      <c r="DH369" s="25">
        <f>IF(DH367=0,0,IF(DH368&lt;INDEX('Lease Cycles'!$BN$29:$BT$29,1,DH367),1,0))</f>
        <v>0</v>
      </c>
      <c r="DI369" s="25">
        <f>IF(DI367=0,0,IF(DI368&lt;INDEX('Lease Cycles'!$BN$29:$BT$29,1,DI367),1,0))</f>
        <v>0</v>
      </c>
      <c r="DJ369" s="25">
        <f>IF(DJ367=0,0,IF(DJ368&lt;INDEX('Lease Cycles'!$BN$29:$BT$29,1,DJ367),1,0))</f>
        <v>0</v>
      </c>
      <c r="DK369" s="25">
        <f>IF(DK367=0,0,IF(DK368&lt;INDEX('Lease Cycles'!$BN$29:$BT$29,1,DK367),1,0))</f>
        <v>0</v>
      </c>
      <c r="DL369" s="25">
        <f>IF(DL367=0,0,IF(DL368&lt;INDEX('Lease Cycles'!$BN$29:$BT$29,1,DL367),1,0))</f>
        <v>0</v>
      </c>
      <c r="DM369" s="25">
        <f>IF(DM367=0,0,IF(DM368&lt;INDEX('Lease Cycles'!$BN$29:$BT$29,1,DM367),1,0))</f>
        <v>0</v>
      </c>
      <c r="DN369" s="25">
        <f>IF(DN367=0,0,IF(DN368&lt;INDEX('Lease Cycles'!$BN$29:$BT$29,1,DN367),1,0))</f>
        <v>0</v>
      </c>
      <c r="DO369" s="25">
        <f>IF(DO367=0,0,IF(DO368&lt;INDEX('Lease Cycles'!$BN$29:$BT$29,1,DO367),1,0))</f>
        <v>0</v>
      </c>
      <c r="DP369" s="25">
        <f>IF(DP367=0,0,IF(DP368&lt;INDEX('Lease Cycles'!$BN$29:$BT$29,1,DP367),1,0))</f>
        <v>0</v>
      </c>
      <c r="DQ369" s="25">
        <f>IF(DQ367=0,0,IF(DQ368&lt;INDEX('Lease Cycles'!$BN$29:$BT$29,1,DQ367),1,0))</f>
        <v>0</v>
      </c>
      <c r="DR369" s="25">
        <f>IF(DR367=0,0,IF(DR368&lt;INDEX('Lease Cycles'!$BN$29:$BT$29,1,DR367),1,0))</f>
        <v>0</v>
      </c>
      <c r="DS369" s="25">
        <f>IF(DS367=0,0,IF(DS368&lt;INDEX('Lease Cycles'!$BN$29:$BT$29,1,DS367),1,0))</f>
        <v>0</v>
      </c>
      <c r="DT369" s="25">
        <f>IF(DT367=0,0,IF(DT368&lt;INDEX('Lease Cycles'!$BN$29:$BT$29,1,DT367),1,0))</f>
        <v>0</v>
      </c>
      <c r="DU369" s="25">
        <f>IF(DU367=0,0,IF(DU368&lt;INDEX('Lease Cycles'!$BN$29:$BT$29,1,DU367),1,0))</f>
        <v>0</v>
      </c>
      <c r="DV369" s="25">
        <f>IF(DV367=0,0,IF(DV368&lt;INDEX('Lease Cycles'!$BN$29:$BT$29,1,DV367),1,0))</f>
        <v>0</v>
      </c>
      <c r="DW369" s="25">
        <f>IF(DW367=0,0,IF(DW368&lt;INDEX('Lease Cycles'!$BN$29:$BT$29,1,DW367),1,0))</f>
        <v>0</v>
      </c>
      <c r="DX369" s="25">
        <f>IF(DX367=0,0,IF(DX368&lt;INDEX('Lease Cycles'!$BN$29:$BT$29,1,DX367),1,0))</f>
        <v>0</v>
      </c>
      <c r="DY369" s="25">
        <f>IF(DY367=0,0,IF(DY368&lt;INDEX('Lease Cycles'!$BN$29:$BT$29,1,DY367),1,0))</f>
        <v>0</v>
      </c>
      <c r="DZ369" s="25">
        <f>IF(DZ367=0,0,IF(DZ368&lt;INDEX('Lease Cycles'!$BN$29:$BT$29,1,DZ367),1,0))</f>
        <v>0</v>
      </c>
      <c r="EA369" s="25">
        <f>IF(EA367=0,0,IF(EA368&lt;INDEX('Lease Cycles'!$BN$29:$BT$29,1,EA367),1,0))</f>
        <v>0</v>
      </c>
      <c r="EB369" s="25">
        <f>IF(EB367=0,0,IF(EB368&lt;INDEX('Lease Cycles'!$BN$29:$BT$29,1,EB367),1,0))</f>
        <v>0</v>
      </c>
      <c r="EC369" s="25">
        <f>IF(EC367=0,0,IF(EC368&lt;INDEX('Lease Cycles'!$BN$29:$BT$29,1,EC367),1,0))</f>
        <v>0</v>
      </c>
      <c r="ED369" s="25">
        <f>IF(ED367=0,0,IF(ED368&lt;INDEX('Lease Cycles'!$BN$29:$BT$29,1,ED367),1,0))</f>
        <v>0</v>
      </c>
      <c r="EE369" s="25">
        <f>IF(EE367=0,0,IF(EE368&lt;INDEX('Lease Cycles'!$BN$29:$BT$29,1,EE367),1,0))</f>
        <v>0</v>
      </c>
      <c r="EF369" s="25">
        <f>IF(EF367=0,0,IF(EF368&lt;INDEX('Lease Cycles'!$BN$29:$BT$29,1,EF367),1,0))</f>
        <v>0</v>
      </c>
      <c r="EG369" s="25">
        <f>IF(EG367=0,0,IF(EG368&lt;INDEX('Lease Cycles'!$BN$29:$BT$29,1,EG367),1,0))</f>
        <v>0</v>
      </c>
      <c r="EH369" s="25">
        <f>IF(EH367=0,0,IF(EH368&lt;INDEX('Lease Cycles'!$BN$29:$BT$29,1,EH367),1,0))</f>
        <v>0</v>
      </c>
      <c r="EI369" s="25">
        <f>IF(EI367=0,0,IF(EI368&lt;INDEX('Lease Cycles'!$BN$29:$BT$29,1,EI367),1,0))</f>
        <v>0</v>
      </c>
      <c r="EJ369" s="25">
        <f>IF(EJ367=0,0,IF(EJ368&lt;INDEX('Lease Cycles'!$BN$29:$BT$29,1,EJ367),1,0))</f>
        <v>0</v>
      </c>
      <c r="EK369" s="25">
        <f>IF(EK367=0,0,IF(EK368&lt;INDEX('Lease Cycles'!$BN$29:$BT$29,1,EK367),1,0))</f>
        <v>0</v>
      </c>
      <c r="EL369" s="25">
        <f>IF(EL367=0,0,IF(EL368&lt;INDEX('Lease Cycles'!$BN$29:$BT$29,1,EL367),1,0))</f>
        <v>0</v>
      </c>
      <c r="EM369" s="25">
        <f>IF(EM367=0,0,IF(EM368&lt;INDEX('Lease Cycles'!$BN$29:$BT$29,1,EM367),1,0))</f>
        <v>0</v>
      </c>
      <c r="EN369" s="25">
        <f>IF(EN367=0,0,IF(EN368&lt;INDEX('Lease Cycles'!$BN$29:$BT$29,1,EN367),1,0))</f>
        <v>0</v>
      </c>
      <c r="EO369" s="25">
        <f>IF(EO367=0,0,IF(EO368&lt;INDEX('Lease Cycles'!$BN$29:$BT$29,1,EO367),1,0))</f>
        <v>0</v>
      </c>
      <c r="EP369" s="25">
        <f>IF(EP367=0,0,IF(EP368&lt;INDEX('Lease Cycles'!$BN$29:$BT$29,1,EP367),1,0))</f>
        <v>0</v>
      </c>
      <c r="EQ369" s="25">
        <f>IF(EQ367=0,0,IF(EQ368&lt;INDEX('Lease Cycles'!$BN$29:$BT$29,1,EQ367),1,0))</f>
        <v>0</v>
      </c>
      <c r="ER369" s="25">
        <f>IF(ER367=0,0,IF(ER368&lt;INDEX('Lease Cycles'!$BN$29:$BT$29,1,ER367),1,0))</f>
        <v>0</v>
      </c>
      <c r="ES369" s="25">
        <f>IF(ES367=0,0,IF(ES368&lt;INDEX('Lease Cycles'!$BN$29:$BT$29,1,ES367),1,0))</f>
        <v>0</v>
      </c>
      <c r="ET369" s="25">
        <f>IF(ET367=0,0,IF(ET368&lt;INDEX('Lease Cycles'!$BN$29:$BT$29,1,ET367),1,0))</f>
        <v>0</v>
      </c>
    </row>
    <row r="370">
      <c r="A370" s="103">
        <v>22</v>
      </c>
      <c r="B370" s="23" t="str">
        <f>IF('Lease Cycles'!$B$29="","(empty slot)",'Lease Cycles'!$B$29)</f>
        <v>(empty slot)</v>
      </c>
      <c r="C370" s="23" t="s">
        <v>677</v>
      </c>
      <c r="D370" s="104" t="s">
        <v>678</v>
      </c>
      <c r="E370" s="25">
        <f>'Lease Cycles'!$AL$29</f>
        <v>0</v>
      </c>
      <c r="S370" s="28">
        <f>IF(S367=0,IF('Lease Cycles'!$F$29&gt;0,'Lease Cycles'!$C$29*'Lease Cycles'!$E$29/12,0),IF(S369=1,IF('Lease Cycles'!$AT$29&gt;=9999,'Lease Cycles'!$C$29*INDEX('Lease Cycles'!$CB$29:$CH$29,1,S367)*(1+INDEX('Lease Cycles'!$CI$29:$CO$29,1,S367))^INT(INT(S368/12)/INDEX('Lease Cycles'!$CP$29:$CV$29,1,S367))/12,IF(S367=1,IF(S368&gt;=INDEX('Lease Cycles'!$DK$29:$DQ$29,1,S367),IF(S$6&gt;='Lease Cycles'!$AZ$29,'Lease Cycles'!$C$29*'Lease Cycles'!$BA$29/12,IF(S$6&gt;='Lease Cycles'!$AX$29,'Lease Cycles'!$C$29*'Lease Cycles'!$AY$29/12,IF(S$6&gt;='Lease Cycles'!$AV$29,'Lease Cycles'!$C$29*'Lease Cycles'!$AW$29/12,IF(S$6&gt;='Lease Cycles'!$AT$29,'Lease Cycles'!$C$29*'Lease Cycles'!$AU$29/12,'Lease Cycles'!$C$29*INDEX('Lease Cycles'!$CB$29:$CH$29,1,S367)*(1+INDEX('Lease Cycles'!$CI$29:$CO$29,1,S367))^INT(INT(S368/12)/INDEX('Lease Cycles'!$CP$29:$CV$29,1,S367))/12)))),'Lease Cycles'!$C$29*INDEX('Lease Cycles'!$CB$29:$CH$29,1,S367)*(1+INDEX('Lease Cycles'!$CI$29:$CO$29,1,S367))^INT(INT(S368/12)/INDEX('Lease Cycles'!$CP$29:$CV$29,1,S367))/12),IF(INDEX('Lease Cycles'!$EF$29:$EL$29,1,S367)=1,IF(AND('Lease Cycles'!$AZ$29&gt;=INDEX('Lease Cycles'!$BG$29:$BM$29,1,S367),'Lease Cycles'!$AZ$29&lt;=S$6),'Lease Cycles'!$C$29*'Lease Cycles'!$BA$29/12,IF(AND('Lease Cycles'!$AX$29&gt;=INDEX('Lease Cycles'!$BG$29:$BM$29,1,S367),'Lease Cycles'!$AX$29&lt;=S$6),'Lease Cycles'!$C$29*'Lease Cycles'!$AY$29/12,IF(AND('Lease Cycles'!$AV$29&gt;=INDEX('Lease Cycles'!$BG$29:$BM$29,1,S367),'Lease Cycles'!$AV$29&lt;=S$6),'Lease Cycles'!$C$29*'Lease Cycles'!$AW$29/12,IF(AND('Lease Cycles'!$AT$29&gt;=INDEX('Lease Cycles'!$BG$29:$BM$29,1,S367),'Lease Cycles'!$AT$29&lt;=S$6),'Lease Cycles'!$C$29*'Lease Cycles'!$AU$29/12,'Lease Cycles'!$C$29*INDEX('Lease Cycles'!$CB$29:$CH$29,1,S367)*(1+INDEX('Lease Cycles'!$CI$29:$CO$29,1,S367))^INT(INT(S368/12)/INDEX('Lease Cycles'!$CP$29:$CV$29,1,S367))/12)))),'Lease Cycles'!$C$29*INDEX('Lease Cycles'!$CB$29:$CH$29,1,S367)*(1+INDEX('Lease Cycles'!$CI$29:$CO$29,1,S367))^INT(INT(S368/12)/INDEX('Lease Cycles'!$CP$29:$CV$29,1,S367))/12))),IF('Lease Cycles'!$N$29=1,'Lease Cycles'!$C$29*'Lease Cycles'!$E$29*INDEX('Lease Cycles'!$HE$29:$HK$29,1,S367)*(1+INDEX('Lease Cycles'!$GQ$29:$GW$29,1,S367))^INT(INT((S$6-INDEX('Lease Cycles'!$GJ$29:$GP$29,1,S367))/12)/INDEX('Lease Cycles'!$GX$29:$HD$29,1,S367))/12,0)))</f>
        <v>0</v>
      </c>
      <c r="T370" s="28">
        <f>IF(T367=0,IF('Lease Cycles'!$F$29&gt;0,'Lease Cycles'!$C$29*'Lease Cycles'!$E$29/12,0),IF(T369=1,IF('Lease Cycles'!$AT$29&gt;=9999,'Lease Cycles'!$C$29*INDEX('Lease Cycles'!$CB$29:$CH$29,1,T367)*(1+INDEX('Lease Cycles'!$CI$29:$CO$29,1,T367))^INT(INT(T368/12)/INDEX('Lease Cycles'!$CP$29:$CV$29,1,T367))/12,IF(T367=1,IF(T368&gt;=INDEX('Lease Cycles'!$DK$29:$DQ$29,1,T367),IF(T$6&gt;='Lease Cycles'!$AZ$29,'Lease Cycles'!$C$29*'Lease Cycles'!$BA$29/12,IF(T$6&gt;='Lease Cycles'!$AX$29,'Lease Cycles'!$C$29*'Lease Cycles'!$AY$29/12,IF(T$6&gt;='Lease Cycles'!$AV$29,'Lease Cycles'!$C$29*'Lease Cycles'!$AW$29/12,IF(T$6&gt;='Lease Cycles'!$AT$29,'Lease Cycles'!$C$29*'Lease Cycles'!$AU$29/12,'Lease Cycles'!$C$29*INDEX('Lease Cycles'!$CB$29:$CH$29,1,T367)*(1+INDEX('Lease Cycles'!$CI$29:$CO$29,1,T367))^INT(INT(T368/12)/INDEX('Lease Cycles'!$CP$29:$CV$29,1,T367))/12)))),'Lease Cycles'!$C$29*INDEX('Lease Cycles'!$CB$29:$CH$29,1,T367)*(1+INDEX('Lease Cycles'!$CI$29:$CO$29,1,T367))^INT(INT(T368/12)/INDEX('Lease Cycles'!$CP$29:$CV$29,1,T367))/12),IF(INDEX('Lease Cycles'!$EF$29:$EL$29,1,T367)=1,IF(AND('Lease Cycles'!$AZ$29&gt;=INDEX('Lease Cycles'!$BG$29:$BM$29,1,T367),'Lease Cycles'!$AZ$29&lt;=T$6),'Lease Cycles'!$C$29*'Lease Cycles'!$BA$29/12,IF(AND('Lease Cycles'!$AX$29&gt;=INDEX('Lease Cycles'!$BG$29:$BM$29,1,T367),'Lease Cycles'!$AX$29&lt;=T$6),'Lease Cycles'!$C$29*'Lease Cycles'!$AY$29/12,IF(AND('Lease Cycles'!$AV$29&gt;=INDEX('Lease Cycles'!$BG$29:$BM$29,1,T367),'Lease Cycles'!$AV$29&lt;=T$6),'Lease Cycles'!$C$29*'Lease Cycles'!$AW$29/12,IF(AND('Lease Cycles'!$AT$29&gt;=INDEX('Lease Cycles'!$BG$29:$BM$29,1,T367),'Lease Cycles'!$AT$29&lt;=T$6),'Lease Cycles'!$C$29*'Lease Cycles'!$AU$29/12,'Lease Cycles'!$C$29*INDEX('Lease Cycles'!$CB$29:$CH$29,1,T367)*(1+INDEX('Lease Cycles'!$CI$29:$CO$29,1,T367))^INT(INT(T368/12)/INDEX('Lease Cycles'!$CP$29:$CV$29,1,T367))/12)))),'Lease Cycles'!$C$29*INDEX('Lease Cycles'!$CB$29:$CH$29,1,T367)*(1+INDEX('Lease Cycles'!$CI$29:$CO$29,1,T367))^INT(INT(T368/12)/INDEX('Lease Cycles'!$CP$29:$CV$29,1,T367))/12))),IF('Lease Cycles'!$N$29=1,'Lease Cycles'!$C$29*'Lease Cycles'!$E$29*INDEX('Lease Cycles'!$HE$29:$HK$29,1,T367)*(1+INDEX('Lease Cycles'!$GQ$29:$GW$29,1,T367))^INT(INT((T$6-INDEX('Lease Cycles'!$GJ$29:$GP$29,1,T367))/12)/INDEX('Lease Cycles'!$GX$29:$HD$29,1,T367))/12,0)))</f>
        <v>0</v>
      </c>
      <c r="U370" s="28">
        <f>IF(U367=0,IF('Lease Cycles'!$F$29&gt;0,'Lease Cycles'!$C$29*'Lease Cycles'!$E$29/12,0),IF(U369=1,IF('Lease Cycles'!$AT$29&gt;=9999,'Lease Cycles'!$C$29*INDEX('Lease Cycles'!$CB$29:$CH$29,1,U367)*(1+INDEX('Lease Cycles'!$CI$29:$CO$29,1,U367))^INT(INT(U368/12)/INDEX('Lease Cycles'!$CP$29:$CV$29,1,U367))/12,IF(U367=1,IF(U368&gt;=INDEX('Lease Cycles'!$DK$29:$DQ$29,1,U367),IF(U$6&gt;='Lease Cycles'!$AZ$29,'Lease Cycles'!$C$29*'Lease Cycles'!$BA$29/12,IF(U$6&gt;='Lease Cycles'!$AX$29,'Lease Cycles'!$C$29*'Lease Cycles'!$AY$29/12,IF(U$6&gt;='Lease Cycles'!$AV$29,'Lease Cycles'!$C$29*'Lease Cycles'!$AW$29/12,IF(U$6&gt;='Lease Cycles'!$AT$29,'Lease Cycles'!$C$29*'Lease Cycles'!$AU$29/12,'Lease Cycles'!$C$29*INDEX('Lease Cycles'!$CB$29:$CH$29,1,U367)*(1+INDEX('Lease Cycles'!$CI$29:$CO$29,1,U367))^INT(INT(U368/12)/INDEX('Lease Cycles'!$CP$29:$CV$29,1,U367))/12)))),'Lease Cycles'!$C$29*INDEX('Lease Cycles'!$CB$29:$CH$29,1,U367)*(1+INDEX('Lease Cycles'!$CI$29:$CO$29,1,U367))^INT(INT(U368/12)/INDEX('Lease Cycles'!$CP$29:$CV$29,1,U367))/12),IF(INDEX('Lease Cycles'!$EF$29:$EL$29,1,U367)=1,IF(AND('Lease Cycles'!$AZ$29&gt;=INDEX('Lease Cycles'!$BG$29:$BM$29,1,U367),'Lease Cycles'!$AZ$29&lt;=U$6),'Lease Cycles'!$C$29*'Lease Cycles'!$BA$29/12,IF(AND('Lease Cycles'!$AX$29&gt;=INDEX('Lease Cycles'!$BG$29:$BM$29,1,U367),'Lease Cycles'!$AX$29&lt;=U$6),'Lease Cycles'!$C$29*'Lease Cycles'!$AY$29/12,IF(AND('Lease Cycles'!$AV$29&gt;=INDEX('Lease Cycles'!$BG$29:$BM$29,1,U367),'Lease Cycles'!$AV$29&lt;=U$6),'Lease Cycles'!$C$29*'Lease Cycles'!$AW$29/12,IF(AND('Lease Cycles'!$AT$29&gt;=INDEX('Lease Cycles'!$BG$29:$BM$29,1,U367),'Lease Cycles'!$AT$29&lt;=U$6),'Lease Cycles'!$C$29*'Lease Cycles'!$AU$29/12,'Lease Cycles'!$C$29*INDEX('Lease Cycles'!$CB$29:$CH$29,1,U367)*(1+INDEX('Lease Cycles'!$CI$29:$CO$29,1,U367))^INT(INT(U368/12)/INDEX('Lease Cycles'!$CP$29:$CV$29,1,U367))/12)))),'Lease Cycles'!$C$29*INDEX('Lease Cycles'!$CB$29:$CH$29,1,U367)*(1+INDEX('Lease Cycles'!$CI$29:$CO$29,1,U367))^INT(INT(U368/12)/INDEX('Lease Cycles'!$CP$29:$CV$29,1,U367))/12))),IF('Lease Cycles'!$N$29=1,'Lease Cycles'!$C$29*'Lease Cycles'!$E$29*INDEX('Lease Cycles'!$HE$29:$HK$29,1,U367)*(1+INDEX('Lease Cycles'!$GQ$29:$GW$29,1,U367))^INT(INT((U$6-INDEX('Lease Cycles'!$GJ$29:$GP$29,1,U367))/12)/INDEX('Lease Cycles'!$GX$29:$HD$29,1,U367))/12,0)))</f>
        <v>0</v>
      </c>
      <c r="V370" s="28">
        <f>IF(V367=0,IF('Lease Cycles'!$F$29&gt;0,'Lease Cycles'!$C$29*'Lease Cycles'!$E$29/12,0),IF(V369=1,IF('Lease Cycles'!$AT$29&gt;=9999,'Lease Cycles'!$C$29*INDEX('Lease Cycles'!$CB$29:$CH$29,1,V367)*(1+INDEX('Lease Cycles'!$CI$29:$CO$29,1,V367))^INT(INT(V368/12)/INDEX('Lease Cycles'!$CP$29:$CV$29,1,V367))/12,IF(V367=1,IF(V368&gt;=INDEX('Lease Cycles'!$DK$29:$DQ$29,1,V367),IF(V$6&gt;='Lease Cycles'!$AZ$29,'Lease Cycles'!$C$29*'Lease Cycles'!$BA$29/12,IF(V$6&gt;='Lease Cycles'!$AX$29,'Lease Cycles'!$C$29*'Lease Cycles'!$AY$29/12,IF(V$6&gt;='Lease Cycles'!$AV$29,'Lease Cycles'!$C$29*'Lease Cycles'!$AW$29/12,IF(V$6&gt;='Lease Cycles'!$AT$29,'Lease Cycles'!$C$29*'Lease Cycles'!$AU$29/12,'Lease Cycles'!$C$29*INDEX('Lease Cycles'!$CB$29:$CH$29,1,V367)*(1+INDEX('Lease Cycles'!$CI$29:$CO$29,1,V367))^INT(INT(V368/12)/INDEX('Lease Cycles'!$CP$29:$CV$29,1,V367))/12)))),'Lease Cycles'!$C$29*INDEX('Lease Cycles'!$CB$29:$CH$29,1,V367)*(1+INDEX('Lease Cycles'!$CI$29:$CO$29,1,V367))^INT(INT(V368/12)/INDEX('Lease Cycles'!$CP$29:$CV$29,1,V367))/12),IF(INDEX('Lease Cycles'!$EF$29:$EL$29,1,V367)=1,IF(AND('Lease Cycles'!$AZ$29&gt;=INDEX('Lease Cycles'!$BG$29:$BM$29,1,V367),'Lease Cycles'!$AZ$29&lt;=V$6),'Lease Cycles'!$C$29*'Lease Cycles'!$BA$29/12,IF(AND('Lease Cycles'!$AX$29&gt;=INDEX('Lease Cycles'!$BG$29:$BM$29,1,V367),'Lease Cycles'!$AX$29&lt;=V$6),'Lease Cycles'!$C$29*'Lease Cycles'!$AY$29/12,IF(AND('Lease Cycles'!$AV$29&gt;=INDEX('Lease Cycles'!$BG$29:$BM$29,1,V367),'Lease Cycles'!$AV$29&lt;=V$6),'Lease Cycles'!$C$29*'Lease Cycles'!$AW$29/12,IF(AND('Lease Cycles'!$AT$29&gt;=INDEX('Lease Cycles'!$BG$29:$BM$29,1,V367),'Lease Cycles'!$AT$29&lt;=V$6),'Lease Cycles'!$C$29*'Lease Cycles'!$AU$29/12,'Lease Cycles'!$C$29*INDEX('Lease Cycles'!$CB$29:$CH$29,1,V367)*(1+INDEX('Lease Cycles'!$CI$29:$CO$29,1,V367))^INT(INT(V368/12)/INDEX('Lease Cycles'!$CP$29:$CV$29,1,V367))/12)))),'Lease Cycles'!$C$29*INDEX('Lease Cycles'!$CB$29:$CH$29,1,V367)*(1+INDEX('Lease Cycles'!$CI$29:$CO$29,1,V367))^INT(INT(V368/12)/INDEX('Lease Cycles'!$CP$29:$CV$29,1,V367))/12))),IF('Lease Cycles'!$N$29=1,'Lease Cycles'!$C$29*'Lease Cycles'!$E$29*INDEX('Lease Cycles'!$HE$29:$HK$29,1,V367)*(1+INDEX('Lease Cycles'!$GQ$29:$GW$29,1,V367))^INT(INT((V$6-INDEX('Lease Cycles'!$GJ$29:$GP$29,1,V367))/12)/INDEX('Lease Cycles'!$GX$29:$HD$29,1,V367))/12,0)))</f>
        <v>0</v>
      </c>
      <c r="W370" s="28">
        <f>IF(W367=0,IF('Lease Cycles'!$F$29&gt;0,'Lease Cycles'!$C$29*'Lease Cycles'!$E$29/12,0),IF(W369=1,IF('Lease Cycles'!$AT$29&gt;=9999,'Lease Cycles'!$C$29*INDEX('Lease Cycles'!$CB$29:$CH$29,1,W367)*(1+INDEX('Lease Cycles'!$CI$29:$CO$29,1,W367))^INT(INT(W368/12)/INDEX('Lease Cycles'!$CP$29:$CV$29,1,W367))/12,IF(W367=1,IF(W368&gt;=INDEX('Lease Cycles'!$DK$29:$DQ$29,1,W367),IF(W$6&gt;='Lease Cycles'!$AZ$29,'Lease Cycles'!$C$29*'Lease Cycles'!$BA$29/12,IF(W$6&gt;='Lease Cycles'!$AX$29,'Lease Cycles'!$C$29*'Lease Cycles'!$AY$29/12,IF(W$6&gt;='Lease Cycles'!$AV$29,'Lease Cycles'!$C$29*'Lease Cycles'!$AW$29/12,IF(W$6&gt;='Lease Cycles'!$AT$29,'Lease Cycles'!$C$29*'Lease Cycles'!$AU$29/12,'Lease Cycles'!$C$29*INDEX('Lease Cycles'!$CB$29:$CH$29,1,W367)*(1+INDEX('Lease Cycles'!$CI$29:$CO$29,1,W367))^INT(INT(W368/12)/INDEX('Lease Cycles'!$CP$29:$CV$29,1,W367))/12)))),'Lease Cycles'!$C$29*INDEX('Lease Cycles'!$CB$29:$CH$29,1,W367)*(1+INDEX('Lease Cycles'!$CI$29:$CO$29,1,W367))^INT(INT(W368/12)/INDEX('Lease Cycles'!$CP$29:$CV$29,1,W367))/12),IF(INDEX('Lease Cycles'!$EF$29:$EL$29,1,W367)=1,IF(AND('Lease Cycles'!$AZ$29&gt;=INDEX('Lease Cycles'!$BG$29:$BM$29,1,W367),'Lease Cycles'!$AZ$29&lt;=W$6),'Lease Cycles'!$C$29*'Lease Cycles'!$BA$29/12,IF(AND('Lease Cycles'!$AX$29&gt;=INDEX('Lease Cycles'!$BG$29:$BM$29,1,W367),'Lease Cycles'!$AX$29&lt;=W$6),'Lease Cycles'!$C$29*'Lease Cycles'!$AY$29/12,IF(AND('Lease Cycles'!$AV$29&gt;=INDEX('Lease Cycles'!$BG$29:$BM$29,1,W367),'Lease Cycles'!$AV$29&lt;=W$6),'Lease Cycles'!$C$29*'Lease Cycles'!$AW$29/12,IF(AND('Lease Cycles'!$AT$29&gt;=INDEX('Lease Cycles'!$BG$29:$BM$29,1,W367),'Lease Cycles'!$AT$29&lt;=W$6),'Lease Cycles'!$C$29*'Lease Cycles'!$AU$29/12,'Lease Cycles'!$C$29*INDEX('Lease Cycles'!$CB$29:$CH$29,1,W367)*(1+INDEX('Lease Cycles'!$CI$29:$CO$29,1,W367))^INT(INT(W368/12)/INDEX('Lease Cycles'!$CP$29:$CV$29,1,W367))/12)))),'Lease Cycles'!$C$29*INDEX('Lease Cycles'!$CB$29:$CH$29,1,W367)*(1+INDEX('Lease Cycles'!$CI$29:$CO$29,1,W367))^INT(INT(W368/12)/INDEX('Lease Cycles'!$CP$29:$CV$29,1,W367))/12))),IF('Lease Cycles'!$N$29=1,'Lease Cycles'!$C$29*'Lease Cycles'!$E$29*INDEX('Lease Cycles'!$HE$29:$HK$29,1,W367)*(1+INDEX('Lease Cycles'!$GQ$29:$GW$29,1,W367))^INT(INT((W$6-INDEX('Lease Cycles'!$GJ$29:$GP$29,1,W367))/12)/INDEX('Lease Cycles'!$GX$29:$HD$29,1,W367))/12,0)))</f>
        <v>0</v>
      </c>
      <c r="X370" s="28">
        <f>IF(X367=0,IF('Lease Cycles'!$F$29&gt;0,'Lease Cycles'!$C$29*'Lease Cycles'!$E$29/12,0),IF(X369=1,IF('Lease Cycles'!$AT$29&gt;=9999,'Lease Cycles'!$C$29*INDEX('Lease Cycles'!$CB$29:$CH$29,1,X367)*(1+INDEX('Lease Cycles'!$CI$29:$CO$29,1,X367))^INT(INT(X368/12)/INDEX('Lease Cycles'!$CP$29:$CV$29,1,X367))/12,IF(X367=1,IF(X368&gt;=INDEX('Lease Cycles'!$DK$29:$DQ$29,1,X367),IF(X$6&gt;='Lease Cycles'!$AZ$29,'Lease Cycles'!$C$29*'Lease Cycles'!$BA$29/12,IF(X$6&gt;='Lease Cycles'!$AX$29,'Lease Cycles'!$C$29*'Lease Cycles'!$AY$29/12,IF(X$6&gt;='Lease Cycles'!$AV$29,'Lease Cycles'!$C$29*'Lease Cycles'!$AW$29/12,IF(X$6&gt;='Lease Cycles'!$AT$29,'Lease Cycles'!$C$29*'Lease Cycles'!$AU$29/12,'Lease Cycles'!$C$29*INDEX('Lease Cycles'!$CB$29:$CH$29,1,X367)*(1+INDEX('Lease Cycles'!$CI$29:$CO$29,1,X367))^INT(INT(X368/12)/INDEX('Lease Cycles'!$CP$29:$CV$29,1,X367))/12)))),'Lease Cycles'!$C$29*INDEX('Lease Cycles'!$CB$29:$CH$29,1,X367)*(1+INDEX('Lease Cycles'!$CI$29:$CO$29,1,X367))^INT(INT(X368/12)/INDEX('Lease Cycles'!$CP$29:$CV$29,1,X367))/12),IF(INDEX('Lease Cycles'!$EF$29:$EL$29,1,X367)=1,IF(AND('Lease Cycles'!$AZ$29&gt;=INDEX('Lease Cycles'!$BG$29:$BM$29,1,X367),'Lease Cycles'!$AZ$29&lt;=X$6),'Lease Cycles'!$C$29*'Lease Cycles'!$BA$29/12,IF(AND('Lease Cycles'!$AX$29&gt;=INDEX('Lease Cycles'!$BG$29:$BM$29,1,X367),'Lease Cycles'!$AX$29&lt;=X$6),'Lease Cycles'!$C$29*'Lease Cycles'!$AY$29/12,IF(AND('Lease Cycles'!$AV$29&gt;=INDEX('Lease Cycles'!$BG$29:$BM$29,1,X367),'Lease Cycles'!$AV$29&lt;=X$6),'Lease Cycles'!$C$29*'Lease Cycles'!$AW$29/12,IF(AND('Lease Cycles'!$AT$29&gt;=INDEX('Lease Cycles'!$BG$29:$BM$29,1,X367),'Lease Cycles'!$AT$29&lt;=X$6),'Lease Cycles'!$C$29*'Lease Cycles'!$AU$29/12,'Lease Cycles'!$C$29*INDEX('Lease Cycles'!$CB$29:$CH$29,1,X367)*(1+INDEX('Lease Cycles'!$CI$29:$CO$29,1,X367))^INT(INT(X368/12)/INDEX('Lease Cycles'!$CP$29:$CV$29,1,X367))/12)))),'Lease Cycles'!$C$29*INDEX('Lease Cycles'!$CB$29:$CH$29,1,X367)*(1+INDEX('Lease Cycles'!$CI$29:$CO$29,1,X367))^INT(INT(X368/12)/INDEX('Lease Cycles'!$CP$29:$CV$29,1,X367))/12))),IF('Lease Cycles'!$N$29=1,'Lease Cycles'!$C$29*'Lease Cycles'!$E$29*INDEX('Lease Cycles'!$HE$29:$HK$29,1,X367)*(1+INDEX('Lease Cycles'!$GQ$29:$GW$29,1,X367))^INT(INT((X$6-INDEX('Lease Cycles'!$GJ$29:$GP$29,1,X367))/12)/INDEX('Lease Cycles'!$GX$29:$HD$29,1,X367))/12,0)))</f>
        <v>0</v>
      </c>
      <c r="Y370" s="28">
        <f>IF(Y367=0,IF('Lease Cycles'!$F$29&gt;0,'Lease Cycles'!$C$29*'Lease Cycles'!$E$29/12,0),IF(Y369=1,IF('Lease Cycles'!$AT$29&gt;=9999,'Lease Cycles'!$C$29*INDEX('Lease Cycles'!$CB$29:$CH$29,1,Y367)*(1+INDEX('Lease Cycles'!$CI$29:$CO$29,1,Y367))^INT(INT(Y368/12)/INDEX('Lease Cycles'!$CP$29:$CV$29,1,Y367))/12,IF(Y367=1,IF(Y368&gt;=INDEX('Lease Cycles'!$DK$29:$DQ$29,1,Y367),IF(Y$6&gt;='Lease Cycles'!$AZ$29,'Lease Cycles'!$C$29*'Lease Cycles'!$BA$29/12,IF(Y$6&gt;='Lease Cycles'!$AX$29,'Lease Cycles'!$C$29*'Lease Cycles'!$AY$29/12,IF(Y$6&gt;='Lease Cycles'!$AV$29,'Lease Cycles'!$C$29*'Lease Cycles'!$AW$29/12,IF(Y$6&gt;='Lease Cycles'!$AT$29,'Lease Cycles'!$C$29*'Lease Cycles'!$AU$29/12,'Lease Cycles'!$C$29*INDEX('Lease Cycles'!$CB$29:$CH$29,1,Y367)*(1+INDEX('Lease Cycles'!$CI$29:$CO$29,1,Y367))^INT(INT(Y368/12)/INDEX('Lease Cycles'!$CP$29:$CV$29,1,Y367))/12)))),'Lease Cycles'!$C$29*INDEX('Lease Cycles'!$CB$29:$CH$29,1,Y367)*(1+INDEX('Lease Cycles'!$CI$29:$CO$29,1,Y367))^INT(INT(Y368/12)/INDEX('Lease Cycles'!$CP$29:$CV$29,1,Y367))/12),IF(INDEX('Lease Cycles'!$EF$29:$EL$29,1,Y367)=1,IF(AND('Lease Cycles'!$AZ$29&gt;=INDEX('Lease Cycles'!$BG$29:$BM$29,1,Y367),'Lease Cycles'!$AZ$29&lt;=Y$6),'Lease Cycles'!$C$29*'Lease Cycles'!$BA$29/12,IF(AND('Lease Cycles'!$AX$29&gt;=INDEX('Lease Cycles'!$BG$29:$BM$29,1,Y367),'Lease Cycles'!$AX$29&lt;=Y$6),'Lease Cycles'!$C$29*'Lease Cycles'!$AY$29/12,IF(AND('Lease Cycles'!$AV$29&gt;=INDEX('Lease Cycles'!$BG$29:$BM$29,1,Y367),'Lease Cycles'!$AV$29&lt;=Y$6),'Lease Cycles'!$C$29*'Lease Cycles'!$AW$29/12,IF(AND('Lease Cycles'!$AT$29&gt;=INDEX('Lease Cycles'!$BG$29:$BM$29,1,Y367),'Lease Cycles'!$AT$29&lt;=Y$6),'Lease Cycles'!$C$29*'Lease Cycles'!$AU$29/12,'Lease Cycles'!$C$29*INDEX('Lease Cycles'!$CB$29:$CH$29,1,Y367)*(1+INDEX('Lease Cycles'!$CI$29:$CO$29,1,Y367))^INT(INT(Y368/12)/INDEX('Lease Cycles'!$CP$29:$CV$29,1,Y367))/12)))),'Lease Cycles'!$C$29*INDEX('Lease Cycles'!$CB$29:$CH$29,1,Y367)*(1+INDEX('Lease Cycles'!$CI$29:$CO$29,1,Y367))^INT(INT(Y368/12)/INDEX('Lease Cycles'!$CP$29:$CV$29,1,Y367))/12))),IF('Lease Cycles'!$N$29=1,'Lease Cycles'!$C$29*'Lease Cycles'!$E$29*INDEX('Lease Cycles'!$HE$29:$HK$29,1,Y367)*(1+INDEX('Lease Cycles'!$GQ$29:$GW$29,1,Y367))^INT(INT((Y$6-INDEX('Lease Cycles'!$GJ$29:$GP$29,1,Y367))/12)/INDEX('Lease Cycles'!$GX$29:$HD$29,1,Y367))/12,0)))</f>
        <v>0</v>
      </c>
      <c r="Z370" s="28">
        <f>IF(Z367=0,IF('Lease Cycles'!$F$29&gt;0,'Lease Cycles'!$C$29*'Lease Cycles'!$E$29/12,0),IF(Z369=1,IF('Lease Cycles'!$AT$29&gt;=9999,'Lease Cycles'!$C$29*INDEX('Lease Cycles'!$CB$29:$CH$29,1,Z367)*(1+INDEX('Lease Cycles'!$CI$29:$CO$29,1,Z367))^INT(INT(Z368/12)/INDEX('Lease Cycles'!$CP$29:$CV$29,1,Z367))/12,IF(Z367=1,IF(Z368&gt;=INDEX('Lease Cycles'!$DK$29:$DQ$29,1,Z367),IF(Z$6&gt;='Lease Cycles'!$AZ$29,'Lease Cycles'!$C$29*'Lease Cycles'!$BA$29/12,IF(Z$6&gt;='Lease Cycles'!$AX$29,'Lease Cycles'!$C$29*'Lease Cycles'!$AY$29/12,IF(Z$6&gt;='Lease Cycles'!$AV$29,'Lease Cycles'!$C$29*'Lease Cycles'!$AW$29/12,IF(Z$6&gt;='Lease Cycles'!$AT$29,'Lease Cycles'!$C$29*'Lease Cycles'!$AU$29/12,'Lease Cycles'!$C$29*INDEX('Lease Cycles'!$CB$29:$CH$29,1,Z367)*(1+INDEX('Lease Cycles'!$CI$29:$CO$29,1,Z367))^INT(INT(Z368/12)/INDEX('Lease Cycles'!$CP$29:$CV$29,1,Z367))/12)))),'Lease Cycles'!$C$29*INDEX('Lease Cycles'!$CB$29:$CH$29,1,Z367)*(1+INDEX('Lease Cycles'!$CI$29:$CO$29,1,Z367))^INT(INT(Z368/12)/INDEX('Lease Cycles'!$CP$29:$CV$29,1,Z367))/12),IF(INDEX('Lease Cycles'!$EF$29:$EL$29,1,Z367)=1,IF(AND('Lease Cycles'!$AZ$29&gt;=INDEX('Lease Cycles'!$BG$29:$BM$29,1,Z367),'Lease Cycles'!$AZ$29&lt;=Z$6),'Lease Cycles'!$C$29*'Lease Cycles'!$BA$29/12,IF(AND('Lease Cycles'!$AX$29&gt;=INDEX('Lease Cycles'!$BG$29:$BM$29,1,Z367),'Lease Cycles'!$AX$29&lt;=Z$6),'Lease Cycles'!$C$29*'Lease Cycles'!$AY$29/12,IF(AND('Lease Cycles'!$AV$29&gt;=INDEX('Lease Cycles'!$BG$29:$BM$29,1,Z367),'Lease Cycles'!$AV$29&lt;=Z$6),'Lease Cycles'!$C$29*'Lease Cycles'!$AW$29/12,IF(AND('Lease Cycles'!$AT$29&gt;=INDEX('Lease Cycles'!$BG$29:$BM$29,1,Z367),'Lease Cycles'!$AT$29&lt;=Z$6),'Lease Cycles'!$C$29*'Lease Cycles'!$AU$29/12,'Lease Cycles'!$C$29*INDEX('Lease Cycles'!$CB$29:$CH$29,1,Z367)*(1+INDEX('Lease Cycles'!$CI$29:$CO$29,1,Z367))^INT(INT(Z368/12)/INDEX('Lease Cycles'!$CP$29:$CV$29,1,Z367))/12)))),'Lease Cycles'!$C$29*INDEX('Lease Cycles'!$CB$29:$CH$29,1,Z367)*(1+INDEX('Lease Cycles'!$CI$29:$CO$29,1,Z367))^INT(INT(Z368/12)/INDEX('Lease Cycles'!$CP$29:$CV$29,1,Z367))/12))),IF('Lease Cycles'!$N$29=1,'Lease Cycles'!$C$29*'Lease Cycles'!$E$29*INDEX('Lease Cycles'!$HE$29:$HK$29,1,Z367)*(1+INDEX('Lease Cycles'!$GQ$29:$GW$29,1,Z367))^INT(INT((Z$6-INDEX('Lease Cycles'!$GJ$29:$GP$29,1,Z367))/12)/INDEX('Lease Cycles'!$GX$29:$HD$29,1,Z367))/12,0)))</f>
        <v>0</v>
      </c>
      <c r="AA370" s="28">
        <f>IF(AA367=0,IF('Lease Cycles'!$F$29&gt;0,'Lease Cycles'!$C$29*'Lease Cycles'!$E$29/12,0),IF(AA369=1,IF('Lease Cycles'!$AT$29&gt;=9999,'Lease Cycles'!$C$29*INDEX('Lease Cycles'!$CB$29:$CH$29,1,AA367)*(1+INDEX('Lease Cycles'!$CI$29:$CO$29,1,AA367))^INT(INT(AA368/12)/INDEX('Lease Cycles'!$CP$29:$CV$29,1,AA367))/12,IF(AA367=1,IF(AA368&gt;=INDEX('Lease Cycles'!$DK$29:$DQ$29,1,AA367),IF(AA$6&gt;='Lease Cycles'!$AZ$29,'Lease Cycles'!$C$29*'Lease Cycles'!$BA$29/12,IF(AA$6&gt;='Lease Cycles'!$AX$29,'Lease Cycles'!$C$29*'Lease Cycles'!$AY$29/12,IF(AA$6&gt;='Lease Cycles'!$AV$29,'Lease Cycles'!$C$29*'Lease Cycles'!$AW$29/12,IF(AA$6&gt;='Lease Cycles'!$AT$29,'Lease Cycles'!$C$29*'Lease Cycles'!$AU$29/12,'Lease Cycles'!$C$29*INDEX('Lease Cycles'!$CB$29:$CH$29,1,AA367)*(1+INDEX('Lease Cycles'!$CI$29:$CO$29,1,AA367))^INT(INT(AA368/12)/INDEX('Lease Cycles'!$CP$29:$CV$29,1,AA367))/12)))),'Lease Cycles'!$C$29*INDEX('Lease Cycles'!$CB$29:$CH$29,1,AA367)*(1+INDEX('Lease Cycles'!$CI$29:$CO$29,1,AA367))^INT(INT(AA368/12)/INDEX('Lease Cycles'!$CP$29:$CV$29,1,AA367))/12),IF(INDEX('Lease Cycles'!$EF$29:$EL$29,1,AA367)=1,IF(AND('Lease Cycles'!$AZ$29&gt;=INDEX('Lease Cycles'!$BG$29:$BM$29,1,AA367),'Lease Cycles'!$AZ$29&lt;=AA$6),'Lease Cycles'!$C$29*'Lease Cycles'!$BA$29/12,IF(AND('Lease Cycles'!$AX$29&gt;=INDEX('Lease Cycles'!$BG$29:$BM$29,1,AA367),'Lease Cycles'!$AX$29&lt;=AA$6),'Lease Cycles'!$C$29*'Lease Cycles'!$AY$29/12,IF(AND('Lease Cycles'!$AV$29&gt;=INDEX('Lease Cycles'!$BG$29:$BM$29,1,AA367),'Lease Cycles'!$AV$29&lt;=AA$6),'Lease Cycles'!$C$29*'Lease Cycles'!$AW$29/12,IF(AND('Lease Cycles'!$AT$29&gt;=INDEX('Lease Cycles'!$BG$29:$BM$29,1,AA367),'Lease Cycles'!$AT$29&lt;=AA$6),'Lease Cycles'!$C$29*'Lease Cycles'!$AU$29/12,'Lease Cycles'!$C$29*INDEX('Lease Cycles'!$CB$29:$CH$29,1,AA367)*(1+INDEX('Lease Cycles'!$CI$29:$CO$29,1,AA367))^INT(INT(AA368/12)/INDEX('Lease Cycles'!$CP$29:$CV$29,1,AA367))/12)))),'Lease Cycles'!$C$29*INDEX('Lease Cycles'!$CB$29:$CH$29,1,AA367)*(1+INDEX('Lease Cycles'!$CI$29:$CO$29,1,AA367))^INT(INT(AA368/12)/INDEX('Lease Cycles'!$CP$29:$CV$29,1,AA367))/12))),IF('Lease Cycles'!$N$29=1,'Lease Cycles'!$C$29*'Lease Cycles'!$E$29*INDEX('Lease Cycles'!$HE$29:$HK$29,1,AA367)*(1+INDEX('Lease Cycles'!$GQ$29:$GW$29,1,AA367))^INT(INT((AA$6-INDEX('Lease Cycles'!$GJ$29:$GP$29,1,AA367))/12)/INDEX('Lease Cycles'!$GX$29:$HD$29,1,AA367))/12,0)))</f>
        <v>0</v>
      </c>
      <c r="AB370" s="28">
        <f>IF(AB367=0,IF('Lease Cycles'!$F$29&gt;0,'Lease Cycles'!$C$29*'Lease Cycles'!$E$29/12,0),IF(AB369=1,IF('Lease Cycles'!$AT$29&gt;=9999,'Lease Cycles'!$C$29*INDEX('Lease Cycles'!$CB$29:$CH$29,1,AB367)*(1+INDEX('Lease Cycles'!$CI$29:$CO$29,1,AB367))^INT(INT(AB368/12)/INDEX('Lease Cycles'!$CP$29:$CV$29,1,AB367))/12,IF(AB367=1,IF(AB368&gt;=INDEX('Lease Cycles'!$DK$29:$DQ$29,1,AB367),IF(AB$6&gt;='Lease Cycles'!$AZ$29,'Lease Cycles'!$C$29*'Lease Cycles'!$BA$29/12,IF(AB$6&gt;='Lease Cycles'!$AX$29,'Lease Cycles'!$C$29*'Lease Cycles'!$AY$29/12,IF(AB$6&gt;='Lease Cycles'!$AV$29,'Lease Cycles'!$C$29*'Lease Cycles'!$AW$29/12,IF(AB$6&gt;='Lease Cycles'!$AT$29,'Lease Cycles'!$C$29*'Lease Cycles'!$AU$29/12,'Lease Cycles'!$C$29*INDEX('Lease Cycles'!$CB$29:$CH$29,1,AB367)*(1+INDEX('Lease Cycles'!$CI$29:$CO$29,1,AB367))^INT(INT(AB368/12)/INDEX('Lease Cycles'!$CP$29:$CV$29,1,AB367))/12)))),'Lease Cycles'!$C$29*INDEX('Lease Cycles'!$CB$29:$CH$29,1,AB367)*(1+INDEX('Lease Cycles'!$CI$29:$CO$29,1,AB367))^INT(INT(AB368/12)/INDEX('Lease Cycles'!$CP$29:$CV$29,1,AB367))/12),IF(INDEX('Lease Cycles'!$EF$29:$EL$29,1,AB367)=1,IF(AND('Lease Cycles'!$AZ$29&gt;=INDEX('Lease Cycles'!$BG$29:$BM$29,1,AB367),'Lease Cycles'!$AZ$29&lt;=AB$6),'Lease Cycles'!$C$29*'Lease Cycles'!$BA$29/12,IF(AND('Lease Cycles'!$AX$29&gt;=INDEX('Lease Cycles'!$BG$29:$BM$29,1,AB367),'Lease Cycles'!$AX$29&lt;=AB$6),'Lease Cycles'!$C$29*'Lease Cycles'!$AY$29/12,IF(AND('Lease Cycles'!$AV$29&gt;=INDEX('Lease Cycles'!$BG$29:$BM$29,1,AB367),'Lease Cycles'!$AV$29&lt;=AB$6),'Lease Cycles'!$C$29*'Lease Cycles'!$AW$29/12,IF(AND('Lease Cycles'!$AT$29&gt;=INDEX('Lease Cycles'!$BG$29:$BM$29,1,AB367),'Lease Cycles'!$AT$29&lt;=AB$6),'Lease Cycles'!$C$29*'Lease Cycles'!$AU$29/12,'Lease Cycles'!$C$29*INDEX('Lease Cycles'!$CB$29:$CH$29,1,AB367)*(1+INDEX('Lease Cycles'!$CI$29:$CO$29,1,AB367))^INT(INT(AB368/12)/INDEX('Lease Cycles'!$CP$29:$CV$29,1,AB367))/12)))),'Lease Cycles'!$C$29*INDEX('Lease Cycles'!$CB$29:$CH$29,1,AB367)*(1+INDEX('Lease Cycles'!$CI$29:$CO$29,1,AB367))^INT(INT(AB368/12)/INDEX('Lease Cycles'!$CP$29:$CV$29,1,AB367))/12))),IF('Lease Cycles'!$N$29=1,'Lease Cycles'!$C$29*'Lease Cycles'!$E$29*INDEX('Lease Cycles'!$HE$29:$HK$29,1,AB367)*(1+INDEX('Lease Cycles'!$GQ$29:$GW$29,1,AB367))^INT(INT((AB$6-INDEX('Lease Cycles'!$GJ$29:$GP$29,1,AB367))/12)/INDEX('Lease Cycles'!$GX$29:$HD$29,1,AB367))/12,0)))</f>
        <v>0</v>
      </c>
      <c r="AC370" s="28">
        <f>IF(AC367=0,IF('Lease Cycles'!$F$29&gt;0,'Lease Cycles'!$C$29*'Lease Cycles'!$E$29/12,0),IF(AC369=1,IF('Lease Cycles'!$AT$29&gt;=9999,'Lease Cycles'!$C$29*INDEX('Lease Cycles'!$CB$29:$CH$29,1,AC367)*(1+INDEX('Lease Cycles'!$CI$29:$CO$29,1,AC367))^INT(INT(AC368/12)/INDEX('Lease Cycles'!$CP$29:$CV$29,1,AC367))/12,IF(AC367=1,IF(AC368&gt;=INDEX('Lease Cycles'!$DK$29:$DQ$29,1,AC367),IF(AC$6&gt;='Lease Cycles'!$AZ$29,'Lease Cycles'!$C$29*'Lease Cycles'!$BA$29/12,IF(AC$6&gt;='Lease Cycles'!$AX$29,'Lease Cycles'!$C$29*'Lease Cycles'!$AY$29/12,IF(AC$6&gt;='Lease Cycles'!$AV$29,'Lease Cycles'!$C$29*'Lease Cycles'!$AW$29/12,IF(AC$6&gt;='Lease Cycles'!$AT$29,'Lease Cycles'!$C$29*'Lease Cycles'!$AU$29/12,'Lease Cycles'!$C$29*INDEX('Lease Cycles'!$CB$29:$CH$29,1,AC367)*(1+INDEX('Lease Cycles'!$CI$29:$CO$29,1,AC367))^INT(INT(AC368/12)/INDEX('Lease Cycles'!$CP$29:$CV$29,1,AC367))/12)))),'Lease Cycles'!$C$29*INDEX('Lease Cycles'!$CB$29:$CH$29,1,AC367)*(1+INDEX('Lease Cycles'!$CI$29:$CO$29,1,AC367))^INT(INT(AC368/12)/INDEX('Lease Cycles'!$CP$29:$CV$29,1,AC367))/12),IF(INDEX('Lease Cycles'!$EF$29:$EL$29,1,AC367)=1,IF(AND('Lease Cycles'!$AZ$29&gt;=INDEX('Lease Cycles'!$BG$29:$BM$29,1,AC367),'Lease Cycles'!$AZ$29&lt;=AC$6),'Lease Cycles'!$C$29*'Lease Cycles'!$BA$29/12,IF(AND('Lease Cycles'!$AX$29&gt;=INDEX('Lease Cycles'!$BG$29:$BM$29,1,AC367),'Lease Cycles'!$AX$29&lt;=AC$6),'Lease Cycles'!$C$29*'Lease Cycles'!$AY$29/12,IF(AND('Lease Cycles'!$AV$29&gt;=INDEX('Lease Cycles'!$BG$29:$BM$29,1,AC367),'Lease Cycles'!$AV$29&lt;=AC$6),'Lease Cycles'!$C$29*'Lease Cycles'!$AW$29/12,IF(AND('Lease Cycles'!$AT$29&gt;=INDEX('Lease Cycles'!$BG$29:$BM$29,1,AC367),'Lease Cycles'!$AT$29&lt;=AC$6),'Lease Cycles'!$C$29*'Lease Cycles'!$AU$29/12,'Lease Cycles'!$C$29*INDEX('Lease Cycles'!$CB$29:$CH$29,1,AC367)*(1+INDEX('Lease Cycles'!$CI$29:$CO$29,1,AC367))^INT(INT(AC368/12)/INDEX('Lease Cycles'!$CP$29:$CV$29,1,AC367))/12)))),'Lease Cycles'!$C$29*INDEX('Lease Cycles'!$CB$29:$CH$29,1,AC367)*(1+INDEX('Lease Cycles'!$CI$29:$CO$29,1,AC367))^INT(INT(AC368/12)/INDEX('Lease Cycles'!$CP$29:$CV$29,1,AC367))/12))),IF('Lease Cycles'!$N$29=1,'Lease Cycles'!$C$29*'Lease Cycles'!$E$29*INDEX('Lease Cycles'!$HE$29:$HK$29,1,AC367)*(1+INDEX('Lease Cycles'!$GQ$29:$GW$29,1,AC367))^INT(INT((AC$6-INDEX('Lease Cycles'!$GJ$29:$GP$29,1,AC367))/12)/INDEX('Lease Cycles'!$GX$29:$HD$29,1,AC367))/12,0)))</f>
        <v>0</v>
      </c>
      <c r="AD370" s="28">
        <f>IF(AD367=0,IF('Lease Cycles'!$F$29&gt;0,'Lease Cycles'!$C$29*'Lease Cycles'!$E$29/12,0),IF(AD369=1,IF('Lease Cycles'!$AT$29&gt;=9999,'Lease Cycles'!$C$29*INDEX('Lease Cycles'!$CB$29:$CH$29,1,AD367)*(1+INDEX('Lease Cycles'!$CI$29:$CO$29,1,AD367))^INT(INT(AD368/12)/INDEX('Lease Cycles'!$CP$29:$CV$29,1,AD367))/12,IF(AD367=1,IF(AD368&gt;=INDEX('Lease Cycles'!$DK$29:$DQ$29,1,AD367),IF(AD$6&gt;='Lease Cycles'!$AZ$29,'Lease Cycles'!$C$29*'Lease Cycles'!$BA$29/12,IF(AD$6&gt;='Lease Cycles'!$AX$29,'Lease Cycles'!$C$29*'Lease Cycles'!$AY$29/12,IF(AD$6&gt;='Lease Cycles'!$AV$29,'Lease Cycles'!$C$29*'Lease Cycles'!$AW$29/12,IF(AD$6&gt;='Lease Cycles'!$AT$29,'Lease Cycles'!$C$29*'Lease Cycles'!$AU$29/12,'Lease Cycles'!$C$29*INDEX('Lease Cycles'!$CB$29:$CH$29,1,AD367)*(1+INDEX('Lease Cycles'!$CI$29:$CO$29,1,AD367))^INT(INT(AD368/12)/INDEX('Lease Cycles'!$CP$29:$CV$29,1,AD367))/12)))),'Lease Cycles'!$C$29*INDEX('Lease Cycles'!$CB$29:$CH$29,1,AD367)*(1+INDEX('Lease Cycles'!$CI$29:$CO$29,1,AD367))^INT(INT(AD368/12)/INDEX('Lease Cycles'!$CP$29:$CV$29,1,AD367))/12),IF(INDEX('Lease Cycles'!$EF$29:$EL$29,1,AD367)=1,IF(AND('Lease Cycles'!$AZ$29&gt;=INDEX('Lease Cycles'!$BG$29:$BM$29,1,AD367),'Lease Cycles'!$AZ$29&lt;=AD$6),'Lease Cycles'!$C$29*'Lease Cycles'!$BA$29/12,IF(AND('Lease Cycles'!$AX$29&gt;=INDEX('Lease Cycles'!$BG$29:$BM$29,1,AD367),'Lease Cycles'!$AX$29&lt;=AD$6),'Lease Cycles'!$C$29*'Lease Cycles'!$AY$29/12,IF(AND('Lease Cycles'!$AV$29&gt;=INDEX('Lease Cycles'!$BG$29:$BM$29,1,AD367),'Lease Cycles'!$AV$29&lt;=AD$6),'Lease Cycles'!$C$29*'Lease Cycles'!$AW$29/12,IF(AND('Lease Cycles'!$AT$29&gt;=INDEX('Lease Cycles'!$BG$29:$BM$29,1,AD367),'Lease Cycles'!$AT$29&lt;=AD$6),'Lease Cycles'!$C$29*'Lease Cycles'!$AU$29/12,'Lease Cycles'!$C$29*INDEX('Lease Cycles'!$CB$29:$CH$29,1,AD367)*(1+INDEX('Lease Cycles'!$CI$29:$CO$29,1,AD367))^INT(INT(AD368/12)/INDEX('Lease Cycles'!$CP$29:$CV$29,1,AD367))/12)))),'Lease Cycles'!$C$29*INDEX('Lease Cycles'!$CB$29:$CH$29,1,AD367)*(1+INDEX('Lease Cycles'!$CI$29:$CO$29,1,AD367))^INT(INT(AD368/12)/INDEX('Lease Cycles'!$CP$29:$CV$29,1,AD367))/12))),IF('Lease Cycles'!$N$29=1,'Lease Cycles'!$C$29*'Lease Cycles'!$E$29*INDEX('Lease Cycles'!$HE$29:$HK$29,1,AD367)*(1+INDEX('Lease Cycles'!$GQ$29:$GW$29,1,AD367))^INT(INT((AD$6-INDEX('Lease Cycles'!$GJ$29:$GP$29,1,AD367))/12)/INDEX('Lease Cycles'!$GX$29:$HD$29,1,AD367))/12,0)))</f>
        <v>0</v>
      </c>
      <c r="AE370" s="28">
        <f>IF(AE367=0,IF('Lease Cycles'!$F$29&gt;0,'Lease Cycles'!$C$29*'Lease Cycles'!$E$29/12,0),IF(AE369=1,IF('Lease Cycles'!$AT$29&gt;=9999,'Lease Cycles'!$C$29*INDEX('Lease Cycles'!$CB$29:$CH$29,1,AE367)*(1+INDEX('Lease Cycles'!$CI$29:$CO$29,1,AE367))^INT(INT(AE368/12)/INDEX('Lease Cycles'!$CP$29:$CV$29,1,AE367))/12,IF(AE367=1,IF(AE368&gt;=INDEX('Lease Cycles'!$DK$29:$DQ$29,1,AE367),IF(AE$6&gt;='Lease Cycles'!$AZ$29,'Lease Cycles'!$C$29*'Lease Cycles'!$BA$29/12,IF(AE$6&gt;='Lease Cycles'!$AX$29,'Lease Cycles'!$C$29*'Lease Cycles'!$AY$29/12,IF(AE$6&gt;='Lease Cycles'!$AV$29,'Lease Cycles'!$C$29*'Lease Cycles'!$AW$29/12,IF(AE$6&gt;='Lease Cycles'!$AT$29,'Lease Cycles'!$C$29*'Lease Cycles'!$AU$29/12,'Lease Cycles'!$C$29*INDEX('Lease Cycles'!$CB$29:$CH$29,1,AE367)*(1+INDEX('Lease Cycles'!$CI$29:$CO$29,1,AE367))^INT(INT(AE368/12)/INDEX('Lease Cycles'!$CP$29:$CV$29,1,AE367))/12)))),'Lease Cycles'!$C$29*INDEX('Lease Cycles'!$CB$29:$CH$29,1,AE367)*(1+INDEX('Lease Cycles'!$CI$29:$CO$29,1,AE367))^INT(INT(AE368/12)/INDEX('Lease Cycles'!$CP$29:$CV$29,1,AE367))/12),IF(INDEX('Lease Cycles'!$EF$29:$EL$29,1,AE367)=1,IF(AND('Lease Cycles'!$AZ$29&gt;=INDEX('Lease Cycles'!$BG$29:$BM$29,1,AE367),'Lease Cycles'!$AZ$29&lt;=AE$6),'Lease Cycles'!$C$29*'Lease Cycles'!$BA$29/12,IF(AND('Lease Cycles'!$AX$29&gt;=INDEX('Lease Cycles'!$BG$29:$BM$29,1,AE367),'Lease Cycles'!$AX$29&lt;=AE$6),'Lease Cycles'!$C$29*'Lease Cycles'!$AY$29/12,IF(AND('Lease Cycles'!$AV$29&gt;=INDEX('Lease Cycles'!$BG$29:$BM$29,1,AE367),'Lease Cycles'!$AV$29&lt;=AE$6),'Lease Cycles'!$C$29*'Lease Cycles'!$AW$29/12,IF(AND('Lease Cycles'!$AT$29&gt;=INDEX('Lease Cycles'!$BG$29:$BM$29,1,AE367),'Lease Cycles'!$AT$29&lt;=AE$6),'Lease Cycles'!$C$29*'Lease Cycles'!$AU$29/12,'Lease Cycles'!$C$29*INDEX('Lease Cycles'!$CB$29:$CH$29,1,AE367)*(1+INDEX('Lease Cycles'!$CI$29:$CO$29,1,AE367))^INT(INT(AE368/12)/INDEX('Lease Cycles'!$CP$29:$CV$29,1,AE367))/12)))),'Lease Cycles'!$C$29*INDEX('Lease Cycles'!$CB$29:$CH$29,1,AE367)*(1+INDEX('Lease Cycles'!$CI$29:$CO$29,1,AE367))^INT(INT(AE368/12)/INDEX('Lease Cycles'!$CP$29:$CV$29,1,AE367))/12))),IF('Lease Cycles'!$N$29=1,'Lease Cycles'!$C$29*'Lease Cycles'!$E$29*INDEX('Lease Cycles'!$HE$29:$HK$29,1,AE367)*(1+INDEX('Lease Cycles'!$GQ$29:$GW$29,1,AE367))^INT(INT((AE$6-INDEX('Lease Cycles'!$GJ$29:$GP$29,1,AE367))/12)/INDEX('Lease Cycles'!$GX$29:$HD$29,1,AE367))/12,0)))</f>
        <v>0</v>
      </c>
      <c r="AF370" s="28">
        <f>IF(AF367=0,IF('Lease Cycles'!$F$29&gt;0,'Lease Cycles'!$C$29*'Lease Cycles'!$E$29/12,0),IF(AF369=1,IF('Lease Cycles'!$AT$29&gt;=9999,'Lease Cycles'!$C$29*INDEX('Lease Cycles'!$CB$29:$CH$29,1,AF367)*(1+INDEX('Lease Cycles'!$CI$29:$CO$29,1,AF367))^INT(INT(AF368/12)/INDEX('Lease Cycles'!$CP$29:$CV$29,1,AF367))/12,IF(AF367=1,IF(AF368&gt;=INDEX('Lease Cycles'!$DK$29:$DQ$29,1,AF367),IF(AF$6&gt;='Lease Cycles'!$AZ$29,'Lease Cycles'!$C$29*'Lease Cycles'!$BA$29/12,IF(AF$6&gt;='Lease Cycles'!$AX$29,'Lease Cycles'!$C$29*'Lease Cycles'!$AY$29/12,IF(AF$6&gt;='Lease Cycles'!$AV$29,'Lease Cycles'!$C$29*'Lease Cycles'!$AW$29/12,IF(AF$6&gt;='Lease Cycles'!$AT$29,'Lease Cycles'!$C$29*'Lease Cycles'!$AU$29/12,'Lease Cycles'!$C$29*INDEX('Lease Cycles'!$CB$29:$CH$29,1,AF367)*(1+INDEX('Lease Cycles'!$CI$29:$CO$29,1,AF367))^INT(INT(AF368/12)/INDEX('Lease Cycles'!$CP$29:$CV$29,1,AF367))/12)))),'Lease Cycles'!$C$29*INDEX('Lease Cycles'!$CB$29:$CH$29,1,AF367)*(1+INDEX('Lease Cycles'!$CI$29:$CO$29,1,AF367))^INT(INT(AF368/12)/INDEX('Lease Cycles'!$CP$29:$CV$29,1,AF367))/12),IF(INDEX('Lease Cycles'!$EF$29:$EL$29,1,AF367)=1,IF(AND('Lease Cycles'!$AZ$29&gt;=INDEX('Lease Cycles'!$BG$29:$BM$29,1,AF367),'Lease Cycles'!$AZ$29&lt;=AF$6),'Lease Cycles'!$C$29*'Lease Cycles'!$BA$29/12,IF(AND('Lease Cycles'!$AX$29&gt;=INDEX('Lease Cycles'!$BG$29:$BM$29,1,AF367),'Lease Cycles'!$AX$29&lt;=AF$6),'Lease Cycles'!$C$29*'Lease Cycles'!$AY$29/12,IF(AND('Lease Cycles'!$AV$29&gt;=INDEX('Lease Cycles'!$BG$29:$BM$29,1,AF367),'Lease Cycles'!$AV$29&lt;=AF$6),'Lease Cycles'!$C$29*'Lease Cycles'!$AW$29/12,IF(AND('Lease Cycles'!$AT$29&gt;=INDEX('Lease Cycles'!$BG$29:$BM$29,1,AF367),'Lease Cycles'!$AT$29&lt;=AF$6),'Lease Cycles'!$C$29*'Lease Cycles'!$AU$29/12,'Lease Cycles'!$C$29*INDEX('Lease Cycles'!$CB$29:$CH$29,1,AF367)*(1+INDEX('Lease Cycles'!$CI$29:$CO$29,1,AF367))^INT(INT(AF368/12)/INDEX('Lease Cycles'!$CP$29:$CV$29,1,AF367))/12)))),'Lease Cycles'!$C$29*INDEX('Lease Cycles'!$CB$29:$CH$29,1,AF367)*(1+INDEX('Lease Cycles'!$CI$29:$CO$29,1,AF367))^INT(INT(AF368/12)/INDEX('Lease Cycles'!$CP$29:$CV$29,1,AF367))/12))),IF('Lease Cycles'!$N$29=1,'Lease Cycles'!$C$29*'Lease Cycles'!$E$29*INDEX('Lease Cycles'!$HE$29:$HK$29,1,AF367)*(1+INDEX('Lease Cycles'!$GQ$29:$GW$29,1,AF367))^INT(INT((AF$6-INDEX('Lease Cycles'!$GJ$29:$GP$29,1,AF367))/12)/INDEX('Lease Cycles'!$GX$29:$HD$29,1,AF367))/12,0)))</f>
        <v>0</v>
      </c>
      <c r="AG370" s="28">
        <f>IF(AG367=0,IF('Lease Cycles'!$F$29&gt;0,'Lease Cycles'!$C$29*'Lease Cycles'!$E$29/12,0),IF(AG369=1,IF('Lease Cycles'!$AT$29&gt;=9999,'Lease Cycles'!$C$29*INDEX('Lease Cycles'!$CB$29:$CH$29,1,AG367)*(1+INDEX('Lease Cycles'!$CI$29:$CO$29,1,AG367))^INT(INT(AG368/12)/INDEX('Lease Cycles'!$CP$29:$CV$29,1,AG367))/12,IF(AG367=1,IF(AG368&gt;=INDEX('Lease Cycles'!$DK$29:$DQ$29,1,AG367),IF(AG$6&gt;='Lease Cycles'!$AZ$29,'Lease Cycles'!$C$29*'Lease Cycles'!$BA$29/12,IF(AG$6&gt;='Lease Cycles'!$AX$29,'Lease Cycles'!$C$29*'Lease Cycles'!$AY$29/12,IF(AG$6&gt;='Lease Cycles'!$AV$29,'Lease Cycles'!$C$29*'Lease Cycles'!$AW$29/12,IF(AG$6&gt;='Lease Cycles'!$AT$29,'Lease Cycles'!$C$29*'Lease Cycles'!$AU$29/12,'Lease Cycles'!$C$29*INDEX('Lease Cycles'!$CB$29:$CH$29,1,AG367)*(1+INDEX('Lease Cycles'!$CI$29:$CO$29,1,AG367))^INT(INT(AG368/12)/INDEX('Lease Cycles'!$CP$29:$CV$29,1,AG367))/12)))),'Lease Cycles'!$C$29*INDEX('Lease Cycles'!$CB$29:$CH$29,1,AG367)*(1+INDEX('Lease Cycles'!$CI$29:$CO$29,1,AG367))^INT(INT(AG368/12)/INDEX('Lease Cycles'!$CP$29:$CV$29,1,AG367))/12),IF(INDEX('Lease Cycles'!$EF$29:$EL$29,1,AG367)=1,IF(AND('Lease Cycles'!$AZ$29&gt;=INDEX('Lease Cycles'!$BG$29:$BM$29,1,AG367),'Lease Cycles'!$AZ$29&lt;=AG$6),'Lease Cycles'!$C$29*'Lease Cycles'!$BA$29/12,IF(AND('Lease Cycles'!$AX$29&gt;=INDEX('Lease Cycles'!$BG$29:$BM$29,1,AG367),'Lease Cycles'!$AX$29&lt;=AG$6),'Lease Cycles'!$C$29*'Lease Cycles'!$AY$29/12,IF(AND('Lease Cycles'!$AV$29&gt;=INDEX('Lease Cycles'!$BG$29:$BM$29,1,AG367),'Lease Cycles'!$AV$29&lt;=AG$6),'Lease Cycles'!$C$29*'Lease Cycles'!$AW$29/12,IF(AND('Lease Cycles'!$AT$29&gt;=INDEX('Lease Cycles'!$BG$29:$BM$29,1,AG367),'Lease Cycles'!$AT$29&lt;=AG$6),'Lease Cycles'!$C$29*'Lease Cycles'!$AU$29/12,'Lease Cycles'!$C$29*INDEX('Lease Cycles'!$CB$29:$CH$29,1,AG367)*(1+INDEX('Lease Cycles'!$CI$29:$CO$29,1,AG367))^INT(INT(AG368/12)/INDEX('Lease Cycles'!$CP$29:$CV$29,1,AG367))/12)))),'Lease Cycles'!$C$29*INDEX('Lease Cycles'!$CB$29:$CH$29,1,AG367)*(1+INDEX('Lease Cycles'!$CI$29:$CO$29,1,AG367))^INT(INT(AG368/12)/INDEX('Lease Cycles'!$CP$29:$CV$29,1,AG367))/12))),IF('Lease Cycles'!$N$29=1,'Lease Cycles'!$C$29*'Lease Cycles'!$E$29*INDEX('Lease Cycles'!$HE$29:$HK$29,1,AG367)*(1+INDEX('Lease Cycles'!$GQ$29:$GW$29,1,AG367))^INT(INT((AG$6-INDEX('Lease Cycles'!$GJ$29:$GP$29,1,AG367))/12)/INDEX('Lease Cycles'!$GX$29:$HD$29,1,AG367))/12,0)))</f>
        <v>0</v>
      </c>
      <c r="AH370" s="28">
        <f>IF(AH367=0,IF('Lease Cycles'!$F$29&gt;0,'Lease Cycles'!$C$29*'Lease Cycles'!$E$29/12,0),IF(AH369=1,IF('Lease Cycles'!$AT$29&gt;=9999,'Lease Cycles'!$C$29*INDEX('Lease Cycles'!$CB$29:$CH$29,1,AH367)*(1+INDEX('Lease Cycles'!$CI$29:$CO$29,1,AH367))^INT(INT(AH368/12)/INDEX('Lease Cycles'!$CP$29:$CV$29,1,AH367))/12,IF(AH367=1,IF(AH368&gt;=INDEX('Lease Cycles'!$DK$29:$DQ$29,1,AH367),IF(AH$6&gt;='Lease Cycles'!$AZ$29,'Lease Cycles'!$C$29*'Lease Cycles'!$BA$29/12,IF(AH$6&gt;='Lease Cycles'!$AX$29,'Lease Cycles'!$C$29*'Lease Cycles'!$AY$29/12,IF(AH$6&gt;='Lease Cycles'!$AV$29,'Lease Cycles'!$C$29*'Lease Cycles'!$AW$29/12,IF(AH$6&gt;='Lease Cycles'!$AT$29,'Lease Cycles'!$C$29*'Lease Cycles'!$AU$29/12,'Lease Cycles'!$C$29*INDEX('Lease Cycles'!$CB$29:$CH$29,1,AH367)*(1+INDEX('Lease Cycles'!$CI$29:$CO$29,1,AH367))^INT(INT(AH368/12)/INDEX('Lease Cycles'!$CP$29:$CV$29,1,AH367))/12)))),'Lease Cycles'!$C$29*INDEX('Lease Cycles'!$CB$29:$CH$29,1,AH367)*(1+INDEX('Lease Cycles'!$CI$29:$CO$29,1,AH367))^INT(INT(AH368/12)/INDEX('Lease Cycles'!$CP$29:$CV$29,1,AH367))/12),IF(INDEX('Lease Cycles'!$EF$29:$EL$29,1,AH367)=1,IF(AND('Lease Cycles'!$AZ$29&gt;=INDEX('Lease Cycles'!$BG$29:$BM$29,1,AH367),'Lease Cycles'!$AZ$29&lt;=AH$6),'Lease Cycles'!$C$29*'Lease Cycles'!$BA$29/12,IF(AND('Lease Cycles'!$AX$29&gt;=INDEX('Lease Cycles'!$BG$29:$BM$29,1,AH367),'Lease Cycles'!$AX$29&lt;=AH$6),'Lease Cycles'!$C$29*'Lease Cycles'!$AY$29/12,IF(AND('Lease Cycles'!$AV$29&gt;=INDEX('Lease Cycles'!$BG$29:$BM$29,1,AH367),'Lease Cycles'!$AV$29&lt;=AH$6),'Lease Cycles'!$C$29*'Lease Cycles'!$AW$29/12,IF(AND('Lease Cycles'!$AT$29&gt;=INDEX('Lease Cycles'!$BG$29:$BM$29,1,AH367),'Lease Cycles'!$AT$29&lt;=AH$6),'Lease Cycles'!$C$29*'Lease Cycles'!$AU$29/12,'Lease Cycles'!$C$29*INDEX('Lease Cycles'!$CB$29:$CH$29,1,AH367)*(1+INDEX('Lease Cycles'!$CI$29:$CO$29,1,AH367))^INT(INT(AH368/12)/INDEX('Lease Cycles'!$CP$29:$CV$29,1,AH367))/12)))),'Lease Cycles'!$C$29*INDEX('Lease Cycles'!$CB$29:$CH$29,1,AH367)*(1+INDEX('Lease Cycles'!$CI$29:$CO$29,1,AH367))^INT(INT(AH368/12)/INDEX('Lease Cycles'!$CP$29:$CV$29,1,AH367))/12))),IF('Lease Cycles'!$N$29=1,'Lease Cycles'!$C$29*'Lease Cycles'!$E$29*INDEX('Lease Cycles'!$HE$29:$HK$29,1,AH367)*(1+INDEX('Lease Cycles'!$GQ$29:$GW$29,1,AH367))^INT(INT((AH$6-INDEX('Lease Cycles'!$GJ$29:$GP$29,1,AH367))/12)/INDEX('Lease Cycles'!$GX$29:$HD$29,1,AH367))/12,0)))</f>
        <v>0</v>
      </c>
      <c r="AI370" s="28">
        <f>IF(AI367=0,IF('Lease Cycles'!$F$29&gt;0,'Lease Cycles'!$C$29*'Lease Cycles'!$E$29/12,0),IF(AI369=1,IF('Lease Cycles'!$AT$29&gt;=9999,'Lease Cycles'!$C$29*INDEX('Lease Cycles'!$CB$29:$CH$29,1,AI367)*(1+INDEX('Lease Cycles'!$CI$29:$CO$29,1,AI367))^INT(INT(AI368/12)/INDEX('Lease Cycles'!$CP$29:$CV$29,1,AI367))/12,IF(AI367=1,IF(AI368&gt;=INDEX('Lease Cycles'!$DK$29:$DQ$29,1,AI367),IF(AI$6&gt;='Lease Cycles'!$AZ$29,'Lease Cycles'!$C$29*'Lease Cycles'!$BA$29/12,IF(AI$6&gt;='Lease Cycles'!$AX$29,'Lease Cycles'!$C$29*'Lease Cycles'!$AY$29/12,IF(AI$6&gt;='Lease Cycles'!$AV$29,'Lease Cycles'!$C$29*'Lease Cycles'!$AW$29/12,IF(AI$6&gt;='Lease Cycles'!$AT$29,'Lease Cycles'!$C$29*'Lease Cycles'!$AU$29/12,'Lease Cycles'!$C$29*INDEX('Lease Cycles'!$CB$29:$CH$29,1,AI367)*(1+INDEX('Lease Cycles'!$CI$29:$CO$29,1,AI367))^INT(INT(AI368/12)/INDEX('Lease Cycles'!$CP$29:$CV$29,1,AI367))/12)))),'Lease Cycles'!$C$29*INDEX('Lease Cycles'!$CB$29:$CH$29,1,AI367)*(1+INDEX('Lease Cycles'!$CI$29:$CO$29,1,AI367))^INT(INT(AI368/12)/INDEX('Lease Cycles'!$CP$29:$CV$29,1,AI367))/12),IF(INDEX('Lease Cycles'!$EF$29:$EL$29,1,AI367)=1,IF(AND('Lease Cycles'!$AZ$29&gt;=INDEX('Lease Cycles'!$BG$29:$BM$29,1,AI367),'Lease Cycles'!$AZ$29&lt;=AI$6),'Lease Cycles'!$C$29*'Lease Cycles'!$BA$29/12,IF(AND('Lease Cycles'!$AX$29&gt;=INDEX('Lease Cycles'!$BG$29:$BM$29,1,AI367),'Lease Cycles'!$AX$29&lt;=AI$6),'Lease Cycles'!$C$29*'Lease Cycles'!$AY$29/12,IF(AND('Lease Cycles'!$AV$29&gt;=INDEX('Lease Cycles'!$BG$29:$BM$29,1,AI367),'Lease Cycles'!$AV$29&lt;=AI$6),'Lease Cycles'!$C$29*'Lease Cycles'!$AW$29/12,IF(AND('Lease Cycles'!$AT$29&gt;=INDEX('Lease Cycles'!$BG$29:$BM$29,1,AI367),'Lease Cycles'!$AT$29&lt;=AI$6),'Lease Cycles'!$C$29*'Lease Cycles'!$AU$29/12,'Lease Cycles'!$C$29*INDEX('Lease Cycles'!$CB$29:$CH$29,1,AI367)*(1+INDEX('Lease Cycles'!$CI$29:$CO$29,1,AI367))^INT(INT(AI368/12)/INDEX('Lease Cycles'!$CP$29:$CV$29,1,AI367))/12)))),'Lease Cycles'!$C$29*INDEX('Lease Cycles'!$CB$29:$CH$29,1,AI367)*(1+INDEX('Lease Cycles'!$CI$29:$CO$29,1,AI367))^INT(INT(AI368/12)/INDEX('Lease Cycles'!$CP$29:$CV$29,1,AI367))/12))),IF('Lease Cycles'!$N$29=1,'Lease Cycles'!$C$29*'Lease Cycles'!$E$29*INDEX('Lease Cycles'!$HE$29:$HK$29,1,AI367)*(1+INDEX('Lease Cycles'!$GQ$29:$GW$29,1,AI367))^INT(INT((AI$6-INDEX('Lease Cycles'!$GJ$29:$GP$29,1,AI367))/12)/INDEX('Lease Cycles'!$GX$29:$HD$29,1,AI367))/12,0)))</f>
        <v>0</v>
      </c>
      <c r="AJ370" s="28">
        <f>IF(AJ367=0,IF('Lease Cycles'!$F$29&gt;0,'Lease Cycles'!$C$29*'Lease Cycles'!$E$29/12,0),IF(AJ369=1,IF('Lease Cycles'!$AT$29&gt;=9999,'Lease Cycles'!$C$29*INDEX('Lease Cycles'!$CB$29:$CH$29,1,AJ367)*(1+INDEX('Lease Cycles'!$CI$29:$CO$29,1,AJ367))^INT(INT(AJ368/12)/INDEX('Lease Cycles'!$CP$29:$CV$29,1,AJ367))/12,IF(AJ367=1,IF(AJ368&gt;=INDEX('Lease Cycles'!$DK$29:$DQ$29,1,AJ367),IF(AJ$6&gt;='Lease Cycles'!$AZ$29,'Lease Cycles'!$C$29*'Lease Cycles'!$BA$29/12,IF(AJ$6&gt;='Lease Cycles'!$AX$29,'Lease Cycles'!$C$29*'Lease Cycles'!$AY$29/12,IF(AJ$6&gt;='Lease Cycles'!$AV$29,'Lease Cycles'!$C$29*'Lease Cycles'!$AW$29/12,IF(AJ$6&gt;='Lease Cycles'!$AT$29,'Lease Cycles'!$C$29*'Lease Cycles'!$AU$29/12,'Lease Cycles'!$C$29*INDEX('Lease Cycles'!$CB$29:$CH$29,1,AJ367)*(1+INDEX('Lease Cycles'!$CI$29:$CO$29,1,AJ367))^INT(INT(AJ368/12)/INDEX('Lease Cycles'!$CP$29:$CV$29,1,AJ367))/12)))),'Lease Cycles'!$C$29*INDEX('Lease Cycles'!$CB$29:$CH$29,1,AJ367)*(1+INDEX('Lease Cycles'!$CI$29:$CO$29,1,AJ367))^INT(INT(AJ368/12)/INDEX('Lease Cycles'!$CP$29:$CV$29,1,AJ367))/12),IF(INDEX('Lease Cycles'!$EF$29:$EL$29,1,AJ367)=1,IF(AND('Lease Cycles'!$AZ$29&gt;=INDEX('Lease Cycles'!$BG$29:$BM$29,1,AJ367),'Lease Cycles'!$AZ$29&lt;=AJ$6),'Lease Cycles'!$C$29*'Lease Cycles'!$BA$29/12,IF(AND('Lease Cycles'!$AX$29&gt;=INDEX('Lease Cycles'!$BG$29:$BM$29,1,AJ367),'Lease Cycles'!$AX$29&lt;=AJ$6),'Lease Cycles'!$C$29*'Lease Cycles'!$AY$29/12,IF(AND('Lease Cycles'!$AV$29&gt;=INDEX('Lease Cycles'!$BG$29:$BM$29,1,AJ367),'Lease Cycles'!$AV$29&lt;=AJ$6),'Lease Cycles'!$C$29*'Lease Cycles'!$AW$29/12,IF(AND('Lease Cycles'!$AT$29&gt;=INDEX('Lease Cycles'!$BG$29:$BM$29,1,AJ367),'Lease Cycles'!$AT$29&lt;=AJ$6),'Lease Cycles'!$C$29*'Lease Cycles'!$AU$29/12,'Lease Cycles'!$C$29*INDEX('Lease Cycles'!$CB$29:$CH$29,1,AJ367)*(1+INDEX('Lease Cycles'!$CI$29:$CO$29,1,AJ367))^INT(INT(AJ368/12)/INDEX('Lease Cycles'!$CP$29:$CV$29,1,AJ367))/12)))),'Lease Cycles'!$C$29*INDEX('Lease Cycles'!$CB$29:$CH$29,1,AJ367)*(1+INDEX('Lease Cycles'!$CI$29:$CO$29,1,AJ367))^INT(INT(AJ368/12)/INDEX('Lease Cycles'!$CP$29:$CV$29,1,AJ367))/12))),IF('Lease Cycles'!$N$29=1,'Lease Cycles'!$C$29*'Lease Cycles'!$E$29*INDEX('Lease Cycles'!$HE$29:$HK$29,1,AJ367)*(1+INDEX('Lease Cycles'!$GQ$29:$GW$29,1,AJ367))^INT(INT((AJ$6-INDEX('Lease Cycles'!$GJ$29:$GP$29,1,AJ367))/12)/INDEX('Lease Cycles'!$GX$29:$HD$29,1,AJ367))/12,0)))</f>
        <v>0</v>
      </c>
      <c r="AK370" s="28">
        <f>IF(AK367=0,IF('Lease Cycles'!$F$29&gt;0,'Lease Cycles'!$C$29*'Lease Cycles'!$E$29/12,0),IF(AK369=1,IF('Lease Cycles'!$AT$29&gt;=9999,'Lease Cycles'!$C$29*INDEX('Lease Cycles'!$CB$29:$CH$29,1,AK367)*(1+INDEX('Lease Cycles'!$CI$29:$CO$29,1,AK367))^INT(INT(AK368/12)/INDEX('Lease Cycles'!$CP$29:$CV$29,1,AK367))/12,IF(AK367=1,IF(AK368&gt;=INDEX('Lease Cycles'!$DK$29:$DQ$29,1,AK367),IF(AK$6&gt;='Lease Cycles'!$AZ$29,'Lease Cycles'!$C$29*'Lease Cycles'!$BA$29/12,IF(AK$6&gt;='Lease Cycles'!$AX$29,'Lease Cycles'!$C$29*'Lease Cycles'!$AY$29/12,IF(AK$6&gt;='Lease Cycles'!$AV$29,'Lease Cycles'!$C$29*'Lease Cycles'!$AW$29/12,IF(AK$6&gt;='Lease Cycles'!$AT$29,'Lease Cycles'!$C$29*'Lease Cycles'!$AU$29/12,'Lease Cycles'!$C$29*INDEX('Lease Cycles'!$CB$29:$CH$29,1,AK367)*(1+INDEX('Lease Cycles'!$CI$29:$CO$29,1,AK367))^INT(INT(AK368/12)/INDEX('Lease Cycles'!$CP$29:$CV$29,1,AK367))/12)))),'Lease Cycles'!$C$29*INDEX('Lease Cycles'!$CB$29:$CH$29,1,AK367)*(1+INDEX('Lease Cycles'!$CI$29:$CO$29,1,AK367))^INT(INT(AK368/12)/INDEX('Lease Cycles'!$CP$29:$CV$29,1,AK367))/12),IF(INDEX('Lease Cycles'!$EF$29:$EL$29,1,AK367)=1,IF(AND('Lease Cycles'!$AZ$29&gt;=INDEX('Lease Cycles'!$BG$29:$BM$29,1,AK367),'Lease Cycles'!$AZ$29&lt;=AK$6),'Lease Cycles'!$C$29*'Lease Cycles'!$BA$29/12,IF(AND('Lease Cycles'!$AX$29&gt;=INDEX('Lease Cycles'!$BG$29:$BM$29,1,AK367),'Lease Cycles'!$AX$29&lt;=AK$6),'Lease Cycles'!$C$29*'Lease Cycles'!$AY$29/12,IF(AND('Lease Cycles'!$AV$29&gt;=INDEX('Lease Cycles'!$BG$29:$BM$29,1,AK367),'Lease Cycles'!$AV$29&lt;=AK$6),'Lease Cycles'!$C$29*'Lease Cycles'!$AW$29/12,IF(AND('Lease Cycles'!$AT$29&gt;=INDEX('Lease Cycles'!$BG$29:$BM$29,1,AK367),'Lease Cycles'!$AT$29&lt;=AK$6),'Lease Cycles'!$C$29*'Lease Cycles'!$AU$29/12,'Lease Cycles'!$C$29*INDEX('Lease Cycles'!$CB$29:$CH$29,1,AK367)*(1+INDEX('Lease Cycles'!$CI$29:$CO$29,1,AK367))^INT(INT(AK368/12)/INDEX('Lease Cycles'!$CP$29:$CV$29,1,AK367))/12)))),'Lease Cycles'!$C$29*INDEX('Lease Cycles'!$CB$29:$CH$29,1,AK367)*(1+INDEX('Lease Cycles'!$CI$29:$CO$29,1,AK367))^INT(INT(AK368/12)/INDEX('Lease Cycles'!$CP$29:$CV$29,1,AK367))/12))),IF('Lease Cycles'!$N$29=1,'Lease Cycles'!$C$29*'Lease Cycles'!$E$29*INDEX('Lease Cycles'!$HE$29:$HK$29,1,AK367)*(1+INDEX('Lease Cycles'!$GQ$29:$GW$29,1,AK367))^INT(INT((AK$6-INDEX('Lease Cycles'!$GJ$29:$GP$29,1,AK367))/12)/INDEX('Lease Cycles'!$GX$29:$HD$29,1,AK367))/12,0)))</f>
        <v>0</v>
      </c>
      <c r="AL370" s="28">
        <f>IF(AL367=0,IF('Lease Cycles'!$F$29&gt;0,'Lease Cycles'!$C$29*'Lease Cycles'!$E$29/12,0),IF(AL369=1,IF('Lease Cycles'!$AT$29&gt;=9999,'Lease Cycles'!$C$29*INDEX('Lease Cycles'!$CB$29:$CH$29,1,AL367)*(1+INDEX('Lease Cycles'!$CI$29:$CO$29,1,AL367))^INT(INT(AL368/12)/INDEX('Lease Cycles'!$CP$29:$CV$29,1,AL367))/12,IF(AL367=1,IF(AL368&gt;=INDEX('Lease Cycles'!$DK$29:$DQ$29,1,AL367),IF(AL$6&gt;='Lease Cycles'!$AZ$29,'Lease Cycles'!$C$29*'Lease Cycles'!$BA$29/12,IF(AL$6&gt;='Lease Cycles'!$AX$29,'Lease Cycles'!$C$29*'Lease Cycles'!$AY$29/12,IF(AL$6&gt;='Lease Cycles'!$AV$29,'Lease Cycles'!$C$29*'Lease Cycles'!$AW$29/12,IF(AL$6&gt;='Lease Cycles'!$AT$29,'Lease Cycles'!$C$29*'Lease Cycles'!$AU$29/12,'Lease Cycles'!$C$29*INDEX('Lease Cycles'!$CB$29:$CH$29,1,AL367)*(1+INDEX('Lease Cycles'!$CI$29:$CO$29,1,AL367))^INT(INT(AL368/12)/INDEX('Lease Cycles'!$CP$29:$CV$29,1,AL367))/12)))),'Lease Cycles'!$C$29*INDEX('Lease Cycles'!$CB$29:$CH$29,1,AL367)*(1+INDEX('Lease Cycles'!$CI$29:$CO$29,1,AL367))^INT(INT(AL368/12)/INDEX('Lease Cycles'!$CP$29:$CV$29,1,AL367))/12),IF(INDEX('Lease Cycles'!$EF$29:$EL$29,1,AL367)=1,IF(AND('Lease Cycles'!$AZ$29&gt;=INDEX('Lease Cycles'!$BG$29:$BM$29,1,AL367),'Lease Cycles'!$AZ$29&lt;=AL$6),'Lease Cycles'!$C$29*'Lease Cycles'!$BA$29/12,IF(AND('Lease Cycles'!$AX$29&gt;=INDEX('Lease Cycles'!$BG$29:$BM$29,1,AL367),'Lease Cycles'!$AX$29&lt;=AL$6),'Lease Cycles'!$C$29*'Lease Cycles'!$AY$29/12,IF(AND('Lease Cycles'!$AV$29&gt;=INDEX('Lease Cycles'!$BG$29:$BM$29,1,AL367),'Lease Cycles'!$AV$29&lt;=AL$6),'Lease Cycles'!$C$29*'Lease Cycles'!$AW$29/12,IF(AND('Lease Cycles'!$AT$29&gt;=INDEX('Lease Cycles'!$BG$29:$BM$29,1,AL367),'Lease Cycles'!$AT$29&lt;=AL$6),'Lease Cycles'!$C$29*'Lease Cycles'!$AU$29/12,'Lease Cycles'!$C$29*INDEX('Lease Cycles'!$CB$29:$CH$29,1,AL367)*(1+INDEX('Lease Cycles'!$CI$29:$CO$29,1,AL367))^INT(INT(AL368/12)/INDEX('Lease Cycles'!$CP$29:$CV$29,1,AL367))/12)))),'Lease Cycles'!$C$29*INDEX('Lease Cycles'!$CB$29:$CH$29,1,AL367)*(1+INDEX('Lease Cycles'!$CI$29:$CO$29,1,AL367))^INT(INT(AL368/12)/INDEX('Lease Cycles'!$CP$29:$CV$29,1,AL367))/12))),IF('Lease Cycles'!$N$29=1,'Lease Cycles'!$C$29*'Lease Cycles'!$E$29*INDEX('Lease Cycles'!$HE$29:$HK$29,1,AL367)*(1+INDEX('Lease Cycles'!$GQ$29:$GW$29,1,AL367))^INT(INT((AL$6-INDEX('Lease Cycles'!$GJ$29:$GP$29,1,AL367))/12)/INDEX('Lease Cycles'!$GX$29:$HD$29,1,AL367))/12,0)))</f>
        <v>0</v>
      </c>
      <c r="AM370" s="28">
        <f>IF(AM367=0,IF('Lease Cycles'!$F$29&gt;0,'Lease Cycles'!$C$29*'Lease Cycles'!$E$29/12,0),IF(AM369=1,IF('Lease Cycles'!$AT$29&gt;=9999,'Lease Cycles'!$C$29*INDEX('Lease Cycles'!$CB$29:$CH$29,1,AM367)*(1+INDEX('Lease Cycles'!$CI$29:$CO$29,1,AM367))^INT(INT(AM368/12)/INDEX('Lease Cycles'!$CP$29:$CV$29,1,AM367))/12,IF(AM367=1,IF(AM368&gt;=INDEX('Lease Cycles'!$DK$29:$DQ$29,1,AM367),IF(AM$6&gt;='Lease Cycles'!$AZ$29,'Lease Cycles'!$C$29*'Lease Cycles'!$BA$29/12,IF(AM$6&gt;='Lease Cycles'!$AX$29,'Lease Cycles'!$C$29*'Lease Cycles'!$AY$29/12,IF(AM$6&gt;='Lease Cycles'!$AV$29,'Lease Cycles'!$C$29*'Lease Cycles'!$AW$29/12,IF(AM$6&gt;='Lease Cycles'!$AT$29,'Lease Cycles'!$C$29*'Lease Cycles'!$AU$29/12,'Lease Cycles'!$C$29*INDEX('Lease Cycles'!$CB$29:$CH$29,1,AM367)*(1+INDEX('Lease Cycles'!$CI$29:$CO$29,1,AM367))^INT(INT(AM368/12)/INDEX('Lease Cycles'!$CP$29:$CV$29,1,AM367))/12)))),'Lease Cycles'!$C$29*INDEX('Lease Cycles'!$CB$29:$CH$29,1,AM367)*(1+INDEX('Lease Cycles'!$CI$29:$CO$29,1,AM367))^INT(INT(AM368/12)/INDEX('Lease Cycles'!$CP$29:$CV$29,1,AM367))/12),IF(INDEX('Lease Cycles'!$EF$29:$EL$29,1,AM367)=1,IF(AND('Lease Cycles'!$AZ$29&gt;=INDEX('Lease Cycles'!$BG$29:$BM$29,1,AM367),'Lease Cycles'!$AZ$29&lt;=AM$6),'Lease Cycles'!$C$29*'Lease Cycles'!$BA$29/12,IF(AND('Lease Cycles'!$AX$29&gt;=INDEX('Lease Cycles'!$BG$29:$BM$29,1,AM367),'Lease Cycles'!$AX$29&lt;=AM$6),'Lease Cycles'!$C$29*'Lease Cycles'!$AY$29/12,IF(AND('Lease Cycles'!$AV$29&gt;=INDEX('Lease Cycles'!$BG$29:$BM$29,1,AM367),'Lease Cycles'!$AV$29&lt;=AM$6),'Lease Cycles'!$C$29*'Lease Cycles'!$AW$29/12,IF(AND('Lease Cycles'!$AT$29&gt;=INDEX('Lease Cycles'!$BG$29:$BM$29,1,AM367),'Lease Cycles'!$AT$29&lt;=AM$6),'Lease Cycles'!$C$29*'Lease Cycles'!$AU$29/12,'Lease Cycles'!$C$29*INDEX('Lease Cycles'!$CB$29:$CH$29,1,AM367)*(1+INDEX('Lease Cycles'!$CI$29:$CO$29,1,AM367))^INT(INT(AM368/12)/INDEX('Lease Cycles'!$CP$29:$CV$29,1,AM367))/12)))),'Lease Cycles'!$C$29*INDEX('Lease Cycles'!$CB$29:$CH$29,1,AM367)*(1+INDEX('Lease Cycles'!$CI$29:$CO$29,1,AM367))^INT(INT(AM368/12)/INDEX('Lease Cycles'!$CP$29:$CV$29,1,AM367))/12))),IF('Lease Cycles'!$N$29=1,'Lease Cycles'!$C$29*'Lease Cycles'!$E$29*INDEX('Lease Cycles'!$HE$29:$HK$29,1,AM367)*(1+INDEX('Lease Cycles'!$GQ$29:$GW$29,1,AM367))^INT(INT((AM$6-INDEX('Lease Cycles'!$GJ$29:$GP$29,1,AM367))/12)/INDEX('Lease Cycles'!$GX$29:$HD$29,1,AM367))/12,0)))</f>
        <v>0</v>
      </c>
      <c r="AN370" s="28">
        <f>IF(AN367=0,IF('Lease Cycles'!$F$29&gt;0,'Lease Cycles'!$C$29*'Lease Cycles'!$E$29/12,0),IF(AN369=1,IF('Lease Cycles'!$AT$29&gt;=9999,'Lease Cycles'!$C$29*INDEX('Lease Cycles'!$CB$29:$CH$29,1,AN367)*(1+INDEX('Lease Cycles'!$CI$29:$CO$29,1,AN367))^INT(INT(AN368/12)/INDEX('Lease Cycles'!$CP$29:$CV$29,1,AN367))/12,IF(AN367=1,IF(AN368&gt;=INDEX('Lease Cycles'!$DK$29:$DQ$29,1,AN367),IF(AN$6&gt;='Lease Cycles'!$AZ$29,'Lease Cycles'!$C$29*'Lease Cycles'!$BA$29/12,IF(AN$6&gt;='Lease Cycles'!$AX$29,'Lease Cycles'!$C$29*'Lease Cycles'!$AY$29/12,IF(AN$6&gt;='Lease Cycles'!$AV$29,'Lease Cycles'!$C$29*'Lease Cycles'!$AW$29/12,IF(AN$6&gt;='Lease Cycles'!$AT$29,'Lease Cycles'!$C$29*'Lease Cycles'!$AU$29/12,'Lease Cycles'!$C$29*INDEX('Lease Cycles'!$CB$29:$CH$29,1,AN367)*(1+INDEX('Lease Cycles'!$CI$29:$CO$29,1,AN367))^INT(INT(AN368/12)/INDEX('Lease Cycles'!$CP$29:$CV$29,1,AN367))/12)))),'Lease Cycles'!$C$29*INDEX('Lease Cycles'!$CB$29:$CH$29,1,AN367)*(1+INDEX('Lease Cycles'!$CI$29:$CO$29,1,AN367))^INT(INT(AN368/12)/INDEX('Lease Cycles'!$CP$29:$CV$29,1,AN367))/12),IF(INDEX('Lease Cycles'!$EF$29:$EL$29,1,AN367)=1,IF(AND('Lease Cycles'!$AZ$29&gt;=INDEX('Lease Cycles'!$BG$29:$BM$29,1,AN367),'Lease Cycles'!$AZ$29&lt;=AN$6),'Lease Cycles'!$C$29*'Lease Cycles'!$BA$29/12,IF(AND('Lease Cycles'!$AX$29&gt;=INDEX('Lease Cycles'!$BG$29:$BM$29,1,AN367),'Lease Cycles'!$AX$29&lt;=AN$6),'Lease Cycles'!$C$29*'Lease Cycles'!$AY$29/12,IF(AND('Lease Cycles'!$AV$29&gt;=INDEX('Lease Cycles'!$BG$29:$BM$29,1,AN367),'Lease Cycles'!$AV$29&lt;=AN$6),'Lease Cycles'!$C$29*'Lease Cycles'!$AW$29/12,IF(AND('Lease Cycles'!$AT$29&gt;=INDEX('Lease Cycles'!$BG$29:$BM$29,1,AN367),'Lease Cycles'!$AT$29&lt;=AN$6),'Lease Cycles'!$C$29*'Lease Cycles'!$AU$29/12,'Lease Cycles'!$C$29*INDEX('Lease Cycles'!$CB$29:$CH$29,1,AN367)*(1+INDEX('Lease Cycles'!$CI$29:$CO$29,1,AN367))^INT(INT(AN368/12)/INDEX('Lease Cycles'!$CP$29:$CV$29,1,AN367))/12)))),'Lease Cycles'!$C$29*INDEX('Lease Cycles'!$CB$29:$CH$29,1,AN367)*(1+INDEX('Lease Cycles'!$CI$29:$CO$29,1,AN367))^INT(INT(AN368/12)/INDEX('Lease Cycles'!$CP$29:$CV$29,1,AN367))/12))),IF('Lease Cycles'!$N$29=1,'Lease Cycles'!$C$29*'Lease Cycles'!$E$29*INDEX('Lease Cycles'!$HE$29:$HK$29,1,AN367)*(1+INDEX('Lease Cycles'!$GQ$29:$GW$29,1,AN367))^INT(INT((AN$6-INDEX('Lease Cycles'!$GJ$29:$GP$29,1,AN367))/12)/INDEX('Lease Cycles'!$GX$29:$HD$29,1,AN367))/12,0)))</f>
        <v>0</v>
      </c>
      <c r="AO370" s="28">
        <f>IF(AO367=0,IF('Lease Cycles'!$F$29&gt;0,'Lease Cycles'!$C$29*'Lease Cycles'!$E$29/12,0),IF(AO369=1,IF('Lease Cycles'!$AT$29&gt;=9999,'Lease Cycles'!$C$29*INDEX('Lease Cycles'!$CB$29:$CH$29,1,AO367)*(1+INDEX('Lease Cycles'!$CI$29:$CO$29,1,AO367))^INT(INT(AO368/12)/INDEX('Lease Cycles'!$CP$29:$CV$29,1,AO367))/12,IF(AO367=1,IF(AO368&gt;=INDEX('Lease Cycles'!$DK$29:$DQ$29,1,AO367),IF(AO$6&gt;='Lease Cycles'!$AZ$29,'Lease Cycles'!$C$29*'Lease Cycles'!$BA$29/12,IF(AO$6&gt;='Lease Cycles'!$AX$29,'Lease Cycles'!$C$29*'Lease Cycles'!$AY$29/12,IF(AO$6&gt;='Lease Cycles'!$AV$29,'Lease Cycles'!$C$29*'Lease Cycles'!$AW$29/12,IF(AO$6&gt;='Lease Cycles'!$AT$29,'Lease Cycles'!$C$29*'Lease Cycles'!$AU$29/12,'Lease Cycles'!$C$29*INDEX('Lease Cycles'!$CB$29:$CH$29,1,AO367)*(1+INDEX('Lease Cycles'!$CI$29:$CO$29,1,AO367))^INT(INT(AO368/12)/INDEX('Lease Cycles'!$CP$29:$CV$29,1,AO367))/12)))),'Lease Cycles'!$C$29*INDEX('Lease Cycles'!$CB$29:$CH$29,1,AO367)*(1+INDEX('Lease Cycles'!$CI$29:$CO$29,1,AO367))^INT(INT(AO368/12)/INDEX('Lease Cycles'!$CP$29:$CV$29,1,AO367))/12),IF(INDEX('Lease Cycles'!$EF$29:$EL$29,1,AO367)=1,IF(AND('Lease Cycles'!$AZ$29&gt;=INDEX('Lease Cycles'!$BG$29:$BM$29,1,AO367),'Lease Cycles'!$AZ$29&lt;=AO$6),'Lease Cycles'!$C$29*'Lease Cycles'!$BA$29/12,IF(AND('Lease Cycles'!$AX$29&gt;=INDEX('Lease Cycles'!$BG$29:$BM$29,1,AO367),'Lease Cycles'!$AX$29&lt;=AO$6),'Lease Cycles'!$C$29*'Lease Cycles'!$AY$29/12,IF(AND('Lease Cycles'!$AV$29&gt;=INDEX('Lease Cycles'!$BG$29:$BM$29,1,AO367),'Lease Cycles'!$AV$29&lt;=AO$6),'Lease Cycles'!$C$29*'Lease Cycles'!$AW$29/12,IF(AND('Lease Cycles'!$AT$29&gt;=INDEX('Lease Cycles'!$BG$29:$BM$29,1,AO367),'Lease Cycles'!$AT$29&lt;=AO$6),'Lease Cycles'!$C$29*'Lease Cycles'!$AU$29/12,'Lease Cycles'!$C$29*INDEX('Lease Cycles'!$CB$29:$CH$29,1,AO367)*(1+INDEX('Lease Cycles'!$CI$29:$CO$29,1,AO367))^INT(INT(AO368/12)/INDEX('Lease Cycles'!$CP$29:$CV$29,1,AO367))/12)))),'Lease Cycles'!$C$29*INDEX('Lease Cycles'!$CB$29:$CH$29,1,AO367)*(1+INDEX('Lease Cycles'!$CI$29:$CO$29,1,AO367))^INT(INT(AO368/12)/INDEX('Lease Cycles'!$CP$29:$CV$29,1,AO367))/12))),IF('Lease Cycles'!$N$29=1,'Lease Cycles'!$C$29*'Lease Cycles'!$E$29*INDEX('Lease Cycles'!$HE$29:$HK$29,1,AO367)*(1+INDEX('Lease Cycles'!$GQ$29:$GW$29,1,AO367))^INT(INT((AO$6-INDEX('Lease Cycles'!$GJ$29:$GP$29,1,AO367))/12)/INDEX('Lease Cycles'!$GX$29:$HD$29,1,AO367))/12,0)))</f>
        <v>0</v>
      </c>
      <c r="AP370" s="28">
        <f>IF(AP367=0,IF('Lease Cycles'!$F$29&gt;0,'Lease Cycles'!$C$29*'Lease Cycles'!$E$29/12,0),IF(AP369=1,IF('Lease Cycles'!$AT$29&gt;=9999,'Lease Cycles'!$C$29*INDEX('Lease Cycles'!$CB$29:$CH$29,1,AP367)*(1+INDEX('Lease Cycles'!$CI$29:$CO$29,1,AP367))^INT(INT(AP368/12)/INDEX('Lease Cycles'!$CP$29:$CV$29,1,AP367))/12,IF(AP367=1,IF(AP368&gt;=INDEX('Lease Cycles'!$DK$29:$DQ$29,1,AP367),IF(AP$6&gt;='Lease Cycles'!$AZ$29,'Lease Cycles'!$C$29*'Lease Cycles'!$BA$29/12,IF(AP$6&gt;='Lease Cycles'!$AX$29,'Lease Cycles'!$C$29*'Lease Cycles'!$AY$29/12,IF(AP$6&gt;='Lease Cycles'!$AV$29,'Lease Cycles'!$C$29*'Lease Cycles'!$AW$29/12,IF(AP$6&gt;='Lease Cycles'!$AT$29,'Lease Cycles'!$C$29*'Lease Cycles'!$AU$29/12,'Lease Cycles'!$C$29*INDEX('Lease Cycles'!$CB$29:$CH$29,1,AP367)*(1+INDEX('Lease Cycles'!$CI$29:$CO$29,1,AP367))^INT(INT(AP368/12)/INDEX('Lease Cycles'!$CP$29:$CV$29,1,AP367))/12)))),'Lease Cycles'!$C$29*INDEX('Lease Cycles'!$CB$29:$CH$29,1,AP367)*(1+INDEX('Lease Cycles'!$CI$29:$CO$29,1,AP367))^INT(INT(AP368/12)/INDEX('Lease Cycles'!$CP$29:$CV$29,1,AP367))/12),IF(INDEX('Lease Cycles'!$EF$29:$EL$29,1,AP367)=1,IF(AND('Lease Cycles'!$AZ$29&gt;=INDEX('Lease Cycles'!$BG$29:$BM$29,1,AP367),'Lease Cycles'!$AZ$29&lt;=AP$6),'Lease Cycles'!$C$29*'Lease Cycles'!$BA$29/12,IF(AND('Lease Cycles'!$AX$29&gt;=INDEX('Lease Cycles'!$BG$29:$BM$29,1,AP367),'Lease Cycles'!$AX$29&lt;=AP$6),'Lease Cycles'!$C$29*'Lease Cycles'!$AY$29/12,IF(AND('Lease Cycles'!$AV$29&gt;=INDEX('Lease Cycles'!$BG$29:$BM$29,1,AP367),'Lease Cycles'!$AV$29&lt;=AP$6),'Lease Cycles'!$C$29*'Lease Cycles'!$AW$29/12,IF(AND('Lease Cycles'!$AT$29&gt;=INDEX('Lease Cycles'!$BG$29:$BM$29,1,AP367),'Lease Cycles'!$AT$29&lt;=AP$6),'Lease Cycles'!$C$29*'Lease Cycles'!$AU$29/12,'Lease Cycles'!$C$29*INDEX('Lease Cycles'!$CB$29:$CH$29,1,AP367)*(1+INDEX('Lease Cycles'!$CI$29:$CO$29,1,AP367))^INT(INT(AP368/12)/INDEX('Lease Cycles'!$CP$29:$CV$29,1,AP367))/12)))),'Lease Cycles'!$C$29*INDEX('Lease Cycles'!$CB$29:$CH$29,1,AP367)*(1+INDEX('Lease Cycles'!$CI$29:$CO$29,1,AP367))^INT(INT(AP368/12)/INDEX('Lease Cycles'!$CP$29:$CV$29,1,AP367))/12))),IF('Lease Cycles'!$N$29=1,'Lease Cycles'!$C$29*'Lease Cycles'!$E$29*INDEX('Lease Cycles'!$HE$29:$HK$29,1,AP367)*(1+INDEX('Lease Cycles'!$GQ$29:$GW$29,1,AP367))^INT(INT((AP$6-INDEX('Lease Cycles'!$GJ$29:$GP$29,1,AP367))/12)/INDEX('Lease Cycles'!$GX$29:$HD$29,1,AP367))/12,0)))</f>
        <v>0</v>
      </c>
      <c r="AQ370" s="28">
        <f>IF(AQ367=0,IF('Lease Cycles'!$F$29&gt;0,'Lease Cycles'!$C$29*'Lease Cycles'!$E$29/12,0),IF(AQ369=1,IF('Lease Cycles'!$AT$29&gt;=9999,'Lease Cycles'!$C$29*INDEX('Lease Cycles'!$CB$29:$CH$29,1,AQ367)*(1+INDEX('Lease Cycles'!$CI$29:$CO$29,1,AQ367))^INT(INT(AQ368/12)/INDEX('Lease Cycles'!$CP$29:$CV$29,1,AQ367))/12,IF(AQ367=1,IF(AQ368&gt;=INDEX('Lease Cycles'!$DK$29:$DQ$29,1,AQ367),IF(AQ$6&gt;='Lease Cycles'!$AZ$29,'Lease Cycles'!$C$29*'Lease Cycles'!$BA$29/12,IF(AQ$6&gt;='Lease Cycles'!$AX$29,'Lease Cycles'!$C$29*'Lease Cycles'!$AY$29/12,IF(AQ$6&gt;='Lease Cycles'!$AV$29,'Lease Cycles'!$C$29*'Lease Cycles'!$AW$29/12,IF(AQ$6&gt;='Lease Cycles'!$AT$29,'Lease Cycles'!$C$29*'Lease Cycles'!$AU$29/12,'Lease Cycles'!$C$29*INDEX('Lease Cycles'!$CB$29:$CH$29,1,AQ367)*(1+INDEX('Lease Cycles'!$CI$29:$CO$29,1,AQ367))^INT(INT(AQ368/12)/INDEX('Lease Cycles'!$CP$29:$CV$29,1,AQ367))/12)))),'Lease Cycles'!$C$29*INDEX('Lease Cycles'!$CB$29:$CH$29,1,AQ367)*(1+INDEX('Lease Cycles'!$CI$29:$CO$29,1,AQ367))^INT(INT(AQ368/12)/INDEX('Lease Cycles'!$CP$29:$CV$29,1,AQ367))/12),IF(INDEX('Lease Cycles'!$EF$29:$EL$29,1,AQ367)=1,IF(AND('Lease Cycles'!$AZ$29&gt;=INDEX('Lease Cycles'!$BG$29:$BM$29,1,AQ367),'Lease Cycles'!$AZ$29&lt;=AQ$6),'Lease Cycles'!$C$29*'Lease Cycles'!$BA$29/12,IF(AND('Lease Cycles'!$AX$29&gt;=INDEX('Lease Cycles'!$BG$29:$BM$29,1,AQ367),'Lease Cycles'!$AX$29&lt;=AQ$6),'Lease Cycles'!$C$29*'Lease Cycles'!$AY$29/12,IF(AND('Lease Cycles'!$AV$29&gt;=INDEX('Lease Cycles'!$BG$29:$BM$29,1,AQ367),'Lease Cycles'!$AV$29&lt;=AQ$6),'Lease Cycles'!$C$29*'Lease Cycles'!$AW$29/12,IF(AND('Lease Cycles'!$AT$29&gt;=INDEX('Lease Cycles'!$BG$29:$BM$29,1,AQ367),'Lease Cycles'!$AT$29&lt;=AQ$6),'Lease Cycles'!$C$29*'Lease Cycles'!$AU$29/12,'Lease Cycles'!$C$29*INDEX('Lease Cycles'!$CB$29:$CH$29,1,AQ367)*(1+INDEX('Lease Cycles'!$CI$29:$CO$29,1,AQ367))^INT(INT(AQ368/12)/INDEX('Lease Cycles'!$CP$29:$CV$29,1,AQ367))/12)))),'Lease Cycles'!$C$29*INDEX('Lease Cycles'!$CB$29:$CH$29,1,AQ367)*(1+INDEX('Lease Cycles'!$CI$29:$CO$29,1,AQ367))^INT(INT(AQ368/12)/INDEX('Lease Cycles'!$CP$29:$CV$29,1,AQ367))/12))),IF('Lease Cycles'!$N$29=1,'Lease Cycles'!$C$29*'Lease Cycles'!$E$29*INDEX('Lease Cycles'!$HE$29:$HK$29,1,AQ367)*(1+INDEX('Lease Cycles'!$GQ$29:$GW$29,1,AQ367))^INT(INT((AQ$6-INDEX('Lease Cycles'!$GJ$29:$GP$29,1,AQ367))/12)/INDEX('Lease Cycles'!$GX$29:$HD$29,1,AQ367))/12,0)))</f>
        <v>0</v>
      </c>
      <c r="AR370" s="28">
        <f>IF(AR367=0,IF('Lease Cycles'!$F$29&gt;0,'Lease Cycles'!$C$29*'Lease Cycles'!$E$29/12,0),IF(AR369=1,IF('Lease Cycles'!$AT$29&gt;=9999,'Lease Cycles'!$C$29*INDEX('Lease Cycles'!$CB$29:$CH$29,1,AR367)*(1+INDEX('Lease Cycles'!$CI$29:$CO$29,1,AR367))^INT(INT(AR368/12)/INDEX('Lease Cycles'!$CP$29:$CV$29,1,AR367))/12,IF(AR367=1,IF(AR368&gt;=INDEX('Lease Cycles'!$DK$29:$DQ$29,1,AR367),IF(AR$6&gt;='Lease Cycles'!$AZ$29,'Lease Cycles'!$C$29*'Lease Cycles'!$BA$29/12,IF(AR$6&gt;='Lease Cycles'!$AX$29,'Lease Cycles'!$C$29*'Lease Cycles'!$AY$29/12,IF(AR$6&gt;='Lease Cycles'!$AV$29,'Lease Cycles'!$C$29*'Lease Cycles'!$AW$29/12,IF(AR$6&gt;='Lease Cycles'!$AT$29,'Lease Cycles'!$C$29*'Lease Cycles'!$AU$29/12,'Lease Cycles'!$C$29*INDEX('Lease Cycles'!$CB$29:$CH$29,1,AR367)*(1+INDEX('Lease Cycles'!$CI$29:$CO$29,1,AR367))^INT(INT(AR368/12)/INDEX('Lease Cycles'!$CP$29:$CV$29,1,AR367))/12)))),'Lease Cycles'!$C$29*INDEX('Lease Cycles'!$CB$29:$CH$29,1,AR367)*(1+INDEX('Lease Cycles'!$CI$29:$CO$29,1,AR367))^INT(INT(AR368/12)/INDEX('Lease Cycles'!$CP$29:$CV$29,1,AR367))/12),IF(INDEX('Lease Cycles'!$EF$29:$EL$29,1,AR367)=1,IF(AND('Lease Cycles'!$AZ$29&gt;=INDEX('Lease Cycles'!$BG$29:$BM$29,1,AR367),'Lease Cycles'!$AZ$29&lt;=AR$6),'Lease Cycles'!$C$29*'Lease Cycles'!$BA$29/12,IF(AND('Lease Cycles'!$AX$29&gt;=INDEX('Lease Cycles'!$BG$29:$BM$29,1,AR367),'Lease Cycles'!$AX$29&lt;=AR$6),'Lease Cycles'!$C$29*'Lease Cycles'!$AY$29/12,IF(AND('Lease Cycles'!$AV$29&gt;=INDEX('Lease Cycles'!$BG$29:$BM$29,1,AR367),'Lease Cycles'!$AV$29&lt;=AR$6),'Lease Cycles'!$C$29*'Lease Cycles'!$AW$29/12,IF(AND('Lease Cycles'!$AT$29&gt;=INDEX('Lease Cycles'!$BG$29:$BM$29,1,AR367),'Lease Cycles'!$AT$29&lt;=AR$6),'Lease Cycles'!$C$29*'Lease Cycles'!$AU$29/12,'Lease Cycles'!$C$29*INDEX('Lease Cycles'!$CB$29:$CH$29,1,AR367)*(1+INDEX('Lease Cycles'!$CI$29:$CO$29,1,AR367))^INT(INT(AR368/12)/INDEX('Lease Cycles'!$CP$29:$CV$29,1,AR367))/12)))),'Lease Cycles'!$C$29*INDEX('Lease Cycles'!$CB$29:$CH$29,1,AR367)*(1+INDEX('Lease Cycles'!$CI$29:$CO$29,1,AR367))^INT(INT(AR368/12)/INDEX('Lease Cycles'!$CP$29:$CV$29,1,AR367))/12))),IF('Lease Cycles'!$N$29=1,'Lease Cycles'!$C$29*'Lease Cycles'!$E$29*INDEX('Lease Cycles'!$HE$29:$HK$29,1,AR367)*(1+INDEX('Lease Cycles'!$GQ$29:$GW$29,1,AR367))^INT(INT((AR$6-INDEX('Lease Cycles'!$GJ$29:$GP$29,1,AR367))/12)/INDEX('Lease Cycles'!$GX$29:$HD$29,1,AR367))/12,0)))</f>
        <v>0</v>
      </c>
      <c r="AS370" s="28">
        <f>IF(AS367=0,IF('Lease Cycles'!$F$29&gt;0,'Lease Cycles'!$C$29*'Lease Cycles'!$E$29/12,0),IF(AS369=1,IF('Lease Cycles'!$AT$29&gt;=9999,'Lease Cycles'!$C$29*INDEX('Lease Cycles'!$CB$29:$CH$29,1,AS367)*(1+INDEX('Lease Cycles'!$CI$29:$CO$29,1,AS367))^INT(INT(AS368/12)/INDEX('Lease Cycles'!$CP$29:$CV$29,1,AS367))/12,IF(AS367=1,IF(AS368&gt;=INDEX('Lease Cycles'!$DK$29:$DQ$29,1,AS367),IF(AS$6&gt;='Lease Cycles'!$AZ$29,'Lease Cycles'!$C$29*'Lease Cycles'!$BA$29/12,IF(AS$6&gt;='Lease Cycles'!$AX$29,'Lease Cycles'!$C$29*'Lease Cycles'!$AY$29/12,IF(AS$6&gt;='Lease Cycles'!$AV$29,'Lease Cycles'!$C$29*'Lease Cycles'!$AW$29/12,IF(AS$6&gt;='Lease Cycles'!$AT$29,'Lease Cycles'!$C$29*'Lease Cycles'!$AU$29/12,'Lease Cycles'!$C$29*INDEX('Lease Cycles'!$CB$29:$CH$29,1,AS367)*(1+INDEX('Lease Cycles'!$CI$29:$CO$29,1,AS367))^INT(INT(AS368/12)/INDEX('Lease Cycles'!$CP$29:$CV$29,1,AS367))/12)))),'Lease Cycles'!$C$29*INDEX('Lease Cycles'!$CB$29:$CH$29,1,AS367)*(1+INDEX('Lease Cycles'!$CI$29:$CO$29,1,AS367))^INT(INT(AS368/12)/INDEX('Lease Cycles'!$CP$29:$CV$29,1,AS367))/12),IF(INDEX('Lease Cycles'!$EF$29:$EL$29,1,AS367)=1,IF(AND('Lease Cycles'!$AZ$29&gt;=INDEX('Lease Cycles'!$BG$29:$BM$29,1,AS367),'Lease Cycles'!$AZ$29&lt;=AS$6),'Lease Cycles'!$C$29*'Lease Cycles'!$BA$29/12,IF(AND('Lease Cycles'!$AX$29&gt;=INDEX('Lease Cycles'!$BG$29:$BM$29,1,AS367),'Lease Cycles'!$AX$29&lt;=AS$6),'Lease Cycles'!$C$29*'Lease Cycles'!$AY$29/12,IF(AND('Lease Cycles'!$AV$29&gt;=INDEX('Lease Cycles'!$BG$29:$BM$29,1,AS367),'Lease Cycles'!$AV$29&lt;=AS$6),'Lease Cycles'!$C$29*'Lease Cycles'!$AW$29/12,IF(AND('Lease Cycles'!$AT$29&gt;=INDEX('Lease Cycles'!$BG$29:$BM$29,1,AS367),'Lease Cycles'!$AT$29&lt;=AS$6),'Lease Cycles'!$C$29*'Lease Cycles'!$AU$29/12,'Lease Cycles'!$C$29*INDEX('Lease Cycles'!$CB$29:$CH$29,1,AS367)*(1+INDEX('Lease Cycles'!$CI$29:$CO$29,1,AS367))^INT(INT(AS368/12)/INDEX('Lease Cycles'!$CP$29:$CV$29,1,AS367))/12)))),'Lease Cycles'!$C$29*INDEX('Lease Cycles'!$CB$29:$CH$29,1,AS367)*(1+INDEX('Lease Cycles'!$CI$29:$CO$29,1,AS367))^INT(INT(AS368/12)/INDEX('Lease Cycles'!$CP$29:$CV$29,1,AS367))/12))),IF('Lease Cycles'!$N$29=1,'Lease Cycles'!$C$29*'Lease Cycles'!$E$29*INDEX('Lease Cycles'!$HE$29:$HK$29,1,AS367)*(1+INDEX('Lease Cycles'!$GQ$29:$GW$29,1,AS367))^INT(INT((AS$6-INDEX('Lease Cycles'!$GJ$29:$GP$29,1,AS367))/12)/INDEX('Lease Cycles'!$GX$29:$HD$29,1,AS367))/12,0)))</f>
        <v>0</v>
      </c>
      <c r="AT370" s="28">
        <f>IF(AT367=0,IF('Lease Cycles'!$F$29&gt;0,'Lease Cycles'!$C$29*'Lease Cycles'!$E$29/12,0),IF(AT369=1,IF('Lease Cycles'!$AT$29&gt;=9999,'Lease Cycles'!$C$29*INDEX('Lease Cycles'!$CB$29:$CH$29,1,AT367)*(1+INDEX('Lease Cycles'!$CI$29:$CO$29,1,AT367))^INT(INT(AT368/12)/INDEX('Lease Cycles'!$CP$29:$CV$29,1,AT367))/12,IF(AT367=1,IF(AT368&gt;=INDEX('Lease Cycles'!$DK$29:$DQ$29,1,AT367),IF(AT$6&gt;='Lease Cycles'!$AZ$29,'Lease Cycles'!$C$29*'Lease Cycles'!$BA$29/12,IF(AT$6&gt;='Lease Cycles'!$AX$29,'Lease Cycles'!$C$29*'Lease Cycles'!$AY$29/12,IF(AT$6&gt;='Lease Cycles'!$AV$29,'Lease Cycles'!$C$29*'Lease Cycles'!$AW$29/12,IF(AT$6&gt;='Lease Cycles'!$AT$29,'Lease Cycles'!$C$29*'Lease Cycles'!$AU$29/12,'Lease Cycles'!$C$29*INDEX('Lease Cycles'!$CB$29:$CH$29,1,AT367)*(1+INDEX('Lease Cycles'!$CI$29:$CO$29,1,AT367))^INT(INT(AT368/12)/INDEX('Lease Cycles'!$CP$29:$CV$29,1,AT367))/12)))),'Lease Cycles'!$C$29*INDEX('Lease Cycles'!$CB$29:$CH$29,1,AT367)*(1+INDEX('Lease Cycles'!$CI$29:$CO$29,1,AT367))^INT(INT(AT368/12)/INDEX('Lease Cycles'!$CP$29:$CV$29,1,AT367))/12),IF(INDEX('Lease Cycles'!$EF$29:$EL$29,1,AT367)=1,IF(AND('Lease Cycles'!$AZ$29&gt;=INDEX('Lease Cycles'!$BG$29:$BM$29,1,AT367),'Lease Cycles'!$AZ$29&lt;=AT$6),'Lease Cycles'!$C$29*'Lease Cycles'!$BA$29/12,IF(AND('Lease Cycles'!$AX$29&gt;=INDEX('Lease Cycles'!$BG$29:$BM$29,1,AT367),'Lease Cycles'!$AX$29&lt;=AT$6),'Lease Cycles'!$C$29*'Lease Cycles'!$AY$29/12,IF(AND('Lease Cycles'!$AV$29&gt;=INDEX('Lease Cycles'!$BG$29:$BM$29,1,AT367),'Lease Cycles'!$AV$29&lt;=AT$6),'Lease Cycles'!$C$29*'Lease Cycles'!$AW$29/12,IF(AND('Lease Cycles'!$AT$29&gt;=INDEX('Lease Cycles'!$BG$29:$BM$29,1,AT367),'Lease Cycles'!$AT$29&lt;=AT$6),'Lease Cycles'!$C$29*'Lease Cycles'!$AU$29/12,'Lease Cycles'!$C$29*INDEX('Lease Cycles'!$CB$29:$CH$29,1,AT367)*(1+INDEX('Lease Cycles'!$CI$29:$CO$29,1,AT367))^INT(INT(AT368/12)/INDEX('Lease Cycles'!$CP$29:$CV$29,1,AT367))/12)))),'Lease Cycles'!$C$29*INDEX('Lease Cycles'!$CB$29:$CH$29,1,AT367)*(1+INDEX('Lease Cycles'!$CI$29:$CO$29,1,AT367))^INT(INT(AT368/12)/INDEX('Lease Cycles'!$CP$29:$CV$29,1,AT367))/12))),IF('Lease Cycles'!$N$29=1,'Lease Cycles'!$C$29*'Lease Cycles'!$E$29*INDEX('Lease Cycles'!$HE$29:$HK$29,1,AT367)*(1+INDEX('Lease Cycles'!$GQ$29:$GW$29,1,AT367))^INT(INT((AT$6-INDEX('Lease Cycles'!$GJ$29:$GP$29,1,AT367))/12)/INDEX('Lease Cycles'!$GX$29:$HD$29,1,AT367))/12,0)))</f>
        <v>0</v>
      </c>
      <c r="AU370" s="28">
        <f>IF(AU367=0,IF('Lease Cycles'!$F$29&gt;0,'Lease Cycles'!$C$29*'Lease Cycles'!$E$29/12,0),IF(AU369=1,IF('Lease Cycles'!$AT$29&gt;=9999,'Lease Cycles'!$C$29*INDEX('Lease Cycles'!$CB$29:$CH$29,1,AU367)*(1+INDEX('Lease Cycles'!$CI$29:$CO$29,1,AU367))^INT(INT(AU368/12)/INDEX('Lease Cycles'!$CP$29:$CV$29,1,AU367))/12,IF(AU367=1,IF(AU368&gt;=INDEX('Lease Cycles'!$DK$29:$DQ$29,1,AU367),IF(AU$6&gt;='Lease Cycles'!$AZ$29,'Lease Cycles'!$C$29*'Lease Cycles'!$BA$29/12,IF(AU$6&gt;='Lease Cycles'!$AX$29,'Lease Cycles'!$C$29*'Lease Cycles'!$AY$29/12,IF(AU$6&gt;='Lease Cycles'!$AV$29,'Lease Cycles'!$C$29*'Lease Cycles'!$AW$29/12,IF(AU$6&gt;='Lease Cycles'!$AT$29,'Lease Cycles'!$C$29*'Lease Cycles'!$AU$29/12,'Lease Cycles'!$C$29*INDEX('Lease Cycles'!$CB$29:$CH$29,1,AU367)*(1+INDEX('Lease Cycles'!$CI$29:$CO$29,1,AU367))^INT(INT(AU368/12)/INDEX('Lease Cycles'!$CP$29:$CV$29,1,AU367))/12)))),'Lease Cycles'!$C$29*INDEX('Lease Cycles'!$CB$29:$CH$29,1,AU367)*(1+INDEX('Lease Cycles'!$CI$29:$CO$29,1,AU367))^INT(INT(AU368/12)/INDEX('Lease Cycles'!$CP$29:$CV$29,1,AU367))/12),IF(INDEX('Lease Cycles'!$EF$29:$EL$29,1,AU367)=1,IF(AND('Lease Cycles'!$AZ$29&gt;=INDEX('Lease Cycles'!$BG$29:$BM$29,1,AU367),'Lease Cycles'!$AZ$29&lt;=AU$6),'Lease Cycles'!$C$29*'Lease Cycles'!$BA$29/12,IF(AND('Lease Cycles'!$AX$29&gt;=INDEX('Lease Cycles'!$BG$29:$BM$29,1,AU367),'Lease Cycles'!$AX$29&lt;=AU$6),'Lease Cycles'!$C$29*'Lease Cycles'!$AY$29/12,IF(AND('Lease Cycles'!$AV$29&gt;=INDEX('Lease Cycles'!$BG$29:$BM$29,1,AU367),'Lease Cycles'!$AV$29&lt;=AU$6),'Lease Cycles'!$C$29*'Lease Cycles'!$AW$29/12,IF(AND('Lease Cycles'!$AT$29&gt;=INDEX('Lease Cycles'!$BG$29:$BM$29,1,AU367),'Lease Cycles'!$AT$29&lt;=AU$6),'Lease Cycles'!$C$29*'Lease Cycles'!$AU$29/12,'Lease Cycles'!$C$29*INDEX('Lease Cycles'!$CB$29:$CH$29,1,AU367)*(1+INDEX('Lease Cycles'!$CI$29:$CO$29,1,AU367))^INT(INT(AU368/12)/INDEX('Lease Cycles'!$CP$29:$CV$29,1,AU367))/12)))),'Lease Cycles'!$C$29*INDEX('Lease Cycles'!$CB$29:$CH$29,1,AU367)*(1+INDEX('Lease Cycles'!$CI$29:$CO$29,1,AU367))^INT(INT(AU368/12)/INDEX('Lease Cycles'!$CP$29:$CV$29,1,AU367))/12))),IF('Lease Cycles'!$N$29=1,'Lease Cycles'!$C$29*'Lease Cycles'!$E$29*INDEX('Lease Cycles'!$HE$29:$HK$29,1,AU367)*(1+INDEX('Lease Cycles'!$GQ$29:$GW$29,1,AU367))^INT(INT((AU$6-INDEX('Lease Cycles'!$GJ$29:$GP$29,1,AU367))/12)/INDEX('Lease Cycles'!$GX$29:$HD$29,1,AU367))/12,0)))</f>
        <v>0</v>
      </c>
      <c r="AV370" s="28">
        <f>IF(AV367=0,IF('Lease Cycles'!$F$29&gt;0,'Lease Cycles'!$C$29*'Lease Cycles'!$E$29/12,0),IF(AV369=1,IF('Lease Cycles'!$AT$29&gt;=9999,'Lease Cycles'!$C$29*INDEX('Lease Cycles'!$CB$29:$CH$29,1,AV367)*(1+INDEX('Lease Cycles'!$CI$29:$CO$29,1,AV367))^INT(INT(AV368/12)/INDEX('Lease Cycles'!$CP$29:$CV$29,1,AV367))/12,IF(AV367=1,IF(AV368&gt;=INDEX('Lease Cycles'!$DK$29:$DQ$29,1,AV367),IF(AV$6&gt;='Lease Cycles'!$AZ$29,'Lease Cycles'!$C$29*'Lease Cycles'!$BA$29/12,IF(AV$6&gt;='Lease Cycles'!$AX$29,'Lease Cycles'!$C$29*'Lease Cycles'!$AY$29/12,IF(AV$6&gt;='Lease Cycles'!$AV$29,'Lease Cycles'!$C$29*'Lease Cycles'!$AW$29/12,IF(AV$6&gt;='Lease Cycles'!$AT$29,'Lease Cycles'!$C$29*'Lease Cycles'!$AU$29/12,'Lease Cycles'!$C$29*INDEX('Lease Cycles'!$CB$29:$CH$29,1,AV367)*(1+INDEX('Lease Cycles'!$CI$29:$CO$29,1,AV367))^INT(INT(AV368/12)/INDEX('Lease Cycles'!$CP$29:$CV$29,1,AV367))/12)))),'Lease Cycles'!$C$29*INDEX('Lease Cycles'!$CB$29:$CH$29,1,AV367)*(1+INDEX('Lease Cycles'!$CI$29:$CO$29,1,AV367))^INT(INT(AV368/12)/INDEX('Lease Cycles'!$CP$29:$CV$29,1,AV367))/12),IF(INDEX('Lease Cycles'!$EF$29:$EL$29,1,AV367)=1,IF(AND('Lease Cycles'!$AZ$29&gt;=INDEX('Lease Cycles'!$BG$29:$BM$29,1,AV367),'Lease Cycles'!$AZ$29&lt;=AV$6),'Lease Cycles'!$C$29*'Lease Cycles'!$BA$29/12,IF(AND('Lease Cycles'!$AX$29&gt;=INDEX('Lease Cycles'!$BG$29:$BM$29,1,AV367),'Lease Cycles'!$AX$29&lt;=AV$6),'Lease Cycles'!$C$29*'Lease Cycles'!$AY$29/12,IF(AND('Lease Cycles'!$AV$29&gt;=INDEX('Lease Cycles'!$BG$29:$BM$29,1,AV367),'Lease Cycles'!$AV$29&lt;=AV$6),'Lease Cycles'!$C$29*'Lease Cycles'!$AW$29/12,IF(AND('Lease Cycles'!$AT$29&gt;=INDEX('Lease Cycles'!$BG$29:$BM$29,1,AV367),'Lease Cycles'!$AT$29&lt;=AV$6),'Lease Cycles'!$C$29*'Lease Cycles'!$AU$29/12,'Lease Cycles'!$C$29*INDEX('Lease Cycles'!$CB$29:$CH$29,1,AV367)*(1+INDEX('Lease Cycles'!$CI$29:$CO$29,1,AV367))^INT(INT(AV368/12)/INDEX('Lease Cycles'!$CP$29:$CV$29,1,AV367))/12)))),'Lease Cycles'!$C$29*INDEX('Lease Cycles'!$CB$29:$CH$29,1,AV367)*(1+INDEX('Lease Cycles'!$CI$29:$CO$29,1,AV367))^INT(INT(AV368/12)/INDEX('Lease Cycles'!$CP$29:$CV$29,1,AV367))/12))),IF('Lease Cycles'!$N$29=1,'Lease Cycles'!$C$29*'Lease Cycles'!$E$29*INDEX('Lease Cycles'!$HE$29:$HK$29,1,AV367)*(1+INDEX('Lease Cycles'!$GQ$29:$GW$29,1,AV367))^INT(INT((AV$6-INDEX('Lease Cycles'!$GJ$29:$GP$29,1,AV367))/12)/INDEX('Lease Cycles'!$GX$29:$HD$29,1,AV367))/12,0)))</f>
        <v>0</v>
      </c>
      <c r="AW370" s="28">
        <f>IF(AW367=0,IF('Lease Cycles'!$F$29&gt;0,'Lease Cycles'!$C$29*'Lease Cycles'!$E$29/12,0),IF(AW369=1,IF('Lease Cycles'!$AT$29&gt;=9999,'Lease Cycles'!$C$29*INDEX('Lease Cycles'!$CB$29:$CH$29,1,AW367)*(1+INDEX('Lease Cycles'!$CI$29:$CO$29,1,AW367))^INT(INT(AW368/12)/INDEX('Lease Cycles'!$CP$29:$CV$29,1,AW367))/12,IF(AW367=1,IF(AW368&gt;=INDEX('Lease Cycles'!$DK$29:$DQ$29,1,AW367),IF(AW$6&gt;='Lease Cycles'!$AZ$29,'Lease Cycles'!$C$29*'Lease Cycles'!$BA$29/12,IF(AW$6&gt;='Lease Cycles'!$AX$29,'Lease Cycles'!$C$29*'Lease Cycles'!$AY$29/12,IF(AW$6&gt;='Lease Cycles'!$AV$29,'Lease Cycles'!$C$29*'Lease Cycles'!$AW$29/12,IF(AW$6&gt;='Lease Cycles'!$AT$29,'Lease Cycles'!$C$29*'Lease Cycles'!$AU$29/12,'Lease Cycles'!$C$29*INDEX('Lease Cycles'!$CB$29:$CH$29,1,AW367)*(1+INDEX('Lease Cycles'!$CI$29:$CO$29,1,AW367))^INT(INT(AW368/12)/INDEX('Lease Cycles'!$CP$29:$CV$29,1,AW367))/12)))),'Lease Cycles'!$C$29*INDEX('Lease Cycles'!$CB$29:$CH$29,1,AW367)*(1+INDEX('Lease Cycles'!$CI$29:$CO$29,1,AW367))^INT(INT(AW368/12)/INDEX('Lease Cycles'!$CP$29:$CV$29,1,AW367))/12),IF(INDEX('Lease Cycles'!$EF$29:$EL$29,1,AW367)=1,IF(AND('Lease Cycles'!$AZ$29&gt;=INDEX('Lease Cycles'!$BG$29:$BM$29,1,AW367),'Lease Cycles'!$AZ$29&lt;=AW$6),'Lease Cycles'!$C$29*'Lease Cycles'!$BA$29/12,IF(AND('Lease Cycles'!$AX$29&gt;=INDEX('Lease Cycles'!$BG$29:$BM$29,1,AW367),'Lease Cycles'!$AX$29&lt;=AW$6),'Lease Cycles'!$C$29*'Lease Cycles'!$AY$29/12,IF(AND('Lease Cycles'!$AV$29&gt;=INDEX('Lease Cycles'!$BG$29:$BM$29,1,AW367),'Lease Cycles'!$AV$29&lt;=AW$6),'Lease Cycles'!$C$29*'Lease Cycles'!$AW$29/12,IF(AND('Lease Cycles'!$AT$29&gt;=INDEX('Lease Cycles'!$BG$29:$BM$29,1,AW367),'Lease Cycles'!$AT$29&lt;=AW$6),'Lease Cycles'!$C$29*'Lease Cycles'!$AU$29/12,'Lease Cycles'!$C$29*INDEX('Lease Cycles'!$CB$29:$CH$29,1,AW367)*(1+INDEX('Lease Cycles'!$CI$29:$CO$29,1,AW367))^INT(INT(AW368/12)/INDEX('Lease Cycles'!$CP$29:$CV$29,1,AW367))/12)))),'Lease Cycles'!$C$29*INDEX('Lease Cycles'!$CB$29:$CH$29,1,AW367)*(1+INDEX('Lease Cycles'!$CI$29:$CO$29,1,AW367))^INT(INT(AW368/12)/INDEX('Lease Cycles'!$CP$29:$CV$29,1,AW367))/12))),IF('Lease Cycles'!$N$29=1,'Lease Cycles'!$C$29*'Lease Cycles'!$E$29*INDEX('Lease Cycles'!$HE$29:$HK$29,1,AW367)*(1+INDEX('Lease Cycles'!$GQ$29:$GW$29,1,AW367))^INT(INT((AW$6-INDEX('Lease Cycles'!$GJ$29:$GP$29,1,AW367))/12)/INDEX('Lease Cycles'!$GX$29:$HD$29,1,AW367))/12,0)))</f>
        <v>0</v>
      </c>
      <c r="AX370" s="28">
        <f>IF(AX367=0,IF('Lease Cycles'!$F$29&gt;0,'Lease Cycles'!$C$29*'Lease Cycles'!$E$29/12,0),IF(AX369=1,IF('Lease Cycles'!$AT$29&gt;=9999,'Lease Cycles'!$C$29*INDEX('Lease Cycles'!$CB$29:$CH$29,1,AX367)*(1+INDEX('Lease Cycles'!$CI$29:$CO$29,1,AX367))^INT(INT(AX368/12)/INDEX('Lease Cycles'!$CP$29:$CV$29,1,AX367))/12,IF(AX367=1,IF(AX368&gt;=INDEX('Lease Cycles'!$DK$29:$DQ$29,1,AX367),IF(AX$6&gt;='Lease Cycles'!$AZ$29,'Lease Cycles'!$C$29*'Lease Cycles'!$BA$29/12,IF(AX$6&gt;='Lease Cycles'!$AX$29,'Lease Cycles'!$C$29*'Lease Cycles'!$AY$29/12,IF(AX$6&gt;='Lease Cycles'!$AV$29,'Lease Cycles'!$C$29*'Lease Cycles'!$AW$29/12,IF(AX$6&gt;='Lease Cycles'!$AT$29,'Lease Cycles'!$C$29*'Lease Cycles'!$AU$29/12,'Lease Cycles'!$C$29*INDEX('Lease Cycles'!$CB$29:$CH$29,1,AX367)*(1+INDEX('Lease Cycles'!$CI$29:$CO$29,1,AX367))^INT(INT(AX368/12)/INDEX('Lease Cycles'!$CP$29:$CV$29,1,AX367))/12)))),'Lease Cycles'!$C$29*INDEX('Lease Cycles'!$CB$29:$CH$29,1,AX367)*(1+INDEX('Lease Cycles'!$CI$29:$CO$29,1,AX367))^INT(INT(AX368/12)/INDEX('Lease Cycles'!$CP$29:$CV$29,1,AX367))/12),IF(INDEX('Lease Cycles'!$EF$29:$EL$29,1,AX367)=1,IF(AND('Lease Cycles'!$AZ$29&gt;=INDEX('Lease Cycles'!$BG$29:$BM$29,1,AX367),'Lease Cycles'!$AZ$29&lt;=AX$6),'Lease Cycles'!$C$29*'Lease Cycles'!$BA$29/12,IF(AND('Lease Cycles'!$AX$29&gt;=INDEX('Lease Cycles'!$BG$29:$BM$29,1,AX367),'Lease Cycles'!$AX$29&lt;=AX$6),'Lease Cycles'!$C$29*'Lease Cycles'!$AY$29/12,IF(AND('Lease Cycles'!$AV$29&gt;=INDEX('Lease Cycles'!$BG$29:$BM$29,1,AX367),'Lease Cycles'!$AV$29&lt;=AX$6),'Lease Cycles'!$C$29*'Lease Cycles'!$AW$29/12,IF(AND('Lease Cycles'!$AT$29&gt;=INDEX('Lease Cycles'!$BG$29:$BM$29,1,AX367),'Lease Cycles'!$AT$29&lt;=AX$6),'Lease Cycles'!$C$29*'Lease Cycles'!$AU$29/12,'Lease Cycles'!$C$29*INDEX('Lease Cycles'!$CB$29:$CH$29,1,AX367)*(1+INDEX('Lease Cycles'!$CI$29:$CO$29,1,AX367))^INT(INT(AX368/12)/INDEX('Lease Cycles'!$CP$29:$CV$29,1,AX367))/12)))),'Lease Cycles'!$C$29*INDEX('Lease Cycles'!$CB$29:$CH$29,1,AX367)*(1+INDEX('Lease Cycles'!$CI$29:$CO$29,1,AX367))^INT(INT(AX368/12)/INDEX('Lease Cycles'!$CP$29:$CV$29,1,AX367))/12))),IF('Lease Cycles'!$N$29=1,'Lease Cycles'!$C$29*'Lease Cycles'!$E$29*INDEX('Lease Cycles'!$HE$29:$HK$29,1,AX367)*(1+INDEX('Lease Cycles'!$GQ$29:$GW$29,1,AX367))^INT(INT((AX$6-INDEX('Lease Cycles'!$GJ$29:$GP$29,1,AX367))/12)/INDEX('Lease Cycles'!$GX$29:$HD$29,1,AX367))/12,0)))</f>
        <v>0</v>
      </c>
      <c r="AY370" s="28">
        <f>IF(AY367=0,IF('Lease Cycles'!$F$29&gt;0,'Lease Cycles'!$C$29*'Lease Cycles'!$E$29/12,0),IF(AY369=1,IF('Lease Cycles'!$AT$29&gt;=9999,'Lease Cycles'!$C$29*INDEX('Lease Cycles'!$CB$29:$CH$29,1,AY367)*(1+INDEX('Lease Cycles'!$CI$29:$CO$29,1,AY367))^INT(INT(AY368/12)/INDEX('Lease Cycles'!$CP$29:$CV$29,1,AY367))/12,IF(AY367=1,IF(AY368&gt;=INDEX('Lease Cycles'!$DK$29:$DQ$29,1,AY367),IF(AY$6&gt;='Lease Cycles'!$AZ$29,'Lease Cycles'!$C$29*'Lease Cycles'!$BA$29/12,IF(AY$6&gt;='Lease Cycles'!$AX$29,'Lease Cycles'!$C$29*'Lease Cycles'!$AY$29/12,IF(AY$6&gt;='Lease Cycles'!$AV$29,'Lease Cycles'!$C$29*'Lease Cycles'!$AW$29/12,IF(AY$6&gt;='Lease Cycles'!$AT$29,'Lease Cycles'!$C$29*'Lease Cycles'!$AU$29/12,'Lease Cycles'!$C$29*INDEX('Lease Cycles'!$CB$29:$CH$29,1,AY367)*(1+INDEX('Lease Cycles'!$CI$29:$CO$29,1,AY367))^INT(INT(AY368/12)/INDEX('Lease Cycles'!$CP$29:$CV$29,1,AY367))/12)))),'Lease Cycles'!$C$29*INDEX('Lease Cycles'!$CB$29:$CH$29,1,AY367)*(1+INDEX('Lease Cycles'!$CI$29:$CO$29,1,AY367))^INT(INT(AY368/12)/INDEX('Lease Cycles'!$CP$29:$CV$29,1,AY367))/12),IF(INDEX('Lease Cycles'!$EF$29:$EL$29,1,AY367)=1,IF(AND('Lease Cycles'!$AZ$29&gt;=INDEX('Lease Cycles'!$BG$29:$BM$29,1,AY367),'Lease Cycles'!$AZ$29&lt;=AY$6),'Lease Cycles'!$C$29*'Lease Cycles'!$BA$29/12,IF(AND('Lease Cycles'!$AX$29&gt;=INDEX('Lease Cycles'!$BG$29:$BM$29,1,AY367),'Lease Cycles'!$AX$29&lt;=AY$6),'Lease Cycles'!$C$29*'Lease Cycles'!$AY$29/12,IF(AND('Lease Cycles'!$AV$29&gt;=INDEX('Lease Cycles'!$BG$29:$BM$29,1,AY367),'Lease Cycles'!$AV$29&lt;=AY$6),'Lease Cycles'!$C$29*'Lease Cycles'!$AW$29/12,IF(AND('Lease Cycles'!$AT$29&gt;=INDEX('Lease Cycles'!$BG$29:$BM$29,1,AY367),'Lease Cycles'!$AT$29&lt;=AY$6),'Lease Cycles'!$C$29*'Lease Cycles'!$AU$29/12,'Lease Cycles'!$C$29*INDEX('Lease Cycles'!$CB$29:$CH$29,1,AY367)*(1+INDEX('Lease Cycles'!$CI$29:$CO$29,1,AY367))^INT(INT(AY368/12)/INDEX('Lease Cycles'!$CP$29:$CV$29,1,AY367))/12)))),'Lease Cycles'!$C$29*INDEX('Lease Cycles'!$CB$29:$CH$29,1,AY367)*(1+INDEX('Lease Cycles'!$CI$29:$CO$29,1,AY367))^INT(INT(AY368/12)/INDEX('Lease Cycles'!$CP$29:$CV$29,1,AY367))/12))),IF('Lease Cycles'!$N$29=1,'Lease Cycles'!$C$29*'Lease Cycles'!$E$29*INDEX('Lease Cycles'!$HE$29:$HK$29,1,AY367)*(1+INDEX('Lease Cycles'!$GQ$29:$GW$29,1,AY367))^INT(INT((AY$6-INDEX('Lease Cycles'!$GJ$29:$GP$29,1,AY367))/12)/INDEX('Lease Cycles'!$GX$29:$HD$29,1,AY367))/12,0)))</f>
        <v>0</v>
      </c>
      <c r="AZ370" s="28">
        <f>IF(AZ367=0,IF('Lease Cycles'!$F$29&gt;0,'Lease Cycles'!$C$29*'Lease Cycles'!$E$29/12,0),IF(AZ369=1,IF('Lease Cycles'!$AT$29&gt;=9999,'Lease Cycles'!$C$29*INDEX('Lease Cycles'!$CB$29:$CH$29,1,AZ367)*(1+INDEX('Lease Cycles'!$CI$29:$CO$29,1,AZ367))^INT(INT(AZ368/12)/INDEX('Lease Cycles'!$CP$29:$CV$29,1,AZ367))/12,IF(AZ367=1,IF(AZ368&gt;=INDEX('Lease Cycles'!$DK$29:$DQ$29,1,AZ367),IF(AZ$6&gt;='Lease Cycles'!$AZ$29,'Lease Cycles'!$C$29*'Lease Cycles'!$BA$29/12,IF(AZ$6&gt;='Lease Cycles'!$AX$29,'Lease Cycles'!$C$29*'Lease Cycles'!$AY$29/12,IF(AZ$6&gt;='Lease Cycles'!$AV$29,'Lease Cycles'!$C$29*'Lease Cycles'!$AW$29/12,IF(AZ$6&gt;='Lease Cycles'!$AT$29,'Lease Cycles'!$C$29*'Lease Cycles'!$AU$29/12,'Lease Cycles'!$C$29*INDEX('Lease Cycles'!$CB$29:$CH$29,1,AZ367)*(1+INDEX('Lease Cycles'!$CI$29:$CO$29,1,AZ367))^INT(INT(AZ368/12)/INDEX('Lease Cycles'!$CP$29:$CV$29,1,AZ367))/12)))),'Lease Cycles'!$C$29*INDEX('Lease Cycles'!$CB$29:$CH$29,1,AZ367)*(1+INDEX('Lease Cycles'!$CI$29:$CO$29,1,AZ367))^INT(INT(AZ368/12)/INDEX('Lease Cycles'!$CP$29:$CV$29,1,AZ367))/12),IF(INDEX('Lease Cycles'!$EF$29:$EL$29,1,AZ367)=1,IF(AND('Lease Cycles'!$AZ$29&gt;=INDEX('Lease Cycles'!$BG$29:$BM$29,1,AZ367),'Lease Cycles'!$AZ$29&lt;=AZ$6),'Lease Cycles'!$C$29*'Lease Cycles'!$BA$29/12,IF(AND('Lease Cycles'!$AX$29&gt;=INDEX('Lease Cycles'!$BG$29:$BM$29,1,AZ367),'Lease Cycles'!$AX$29&lt;=AZ$6),'Lease Cycles'!$C$29*'Lease Cycles'!$AY$29/12,IF(AND('Lease Cycles'!$AV$29&gt;=INDEX('Lease Cycles'!$BG$29:$BM$29,1,AZ367),'Lease Cycles'!$AV$29&lt;=AZ$6),'Lease Cycles'!$C$29*'Lease Cycles'!$AW$29/12,IF(AND('Lease Cycles'!$AT$29&gt;=INDEX('Lease Cycles'!$BG$29:$BM$29,1,AZ367),'Lease Cycles'!$AT$29&lt;=AZ$6),'Lease Cycles'!$C$29*'Lease Cycles'!$AU$29/12,'Lease Cycles'!$C$29*INDEX('Lease Cycles'!$CB$29:$CH$29,1,AZ367)*(1+INDEX('Lease Cycles'!$CI$29:$CO$29,1,AZ367))^INT(INT(AZ368/12)/INDEX('Lease Cycles'!$CP$29:$CV$29,1,AZ367))/12)))),'Lease Cycles'!$C$29*INDEX('Lease Cycles'!$CB$29:$CH$29,1,AZ367)*(1+INDEX('Lease Cycles'!$CI$29:$CO$29,1,AZ367))^INT(INT(AZ368/12)/INDEX('Lease Cycles'!$CP$29:$CV$29,1,AZ367))/12))),IF('Lease Cycles'!$N$29=1,'Lease Cycles'!$C$29*'Lease Cycles'!$E$29*INDEX('Lease Cycles'!$HE$29:$HK$29,1,AZ367)*(1+INDEX('Lease Cycles'!$GQ$29:$GW$29,1,AZ367))^INT(INT((AZ$6-INDEX('Lease Cycles'!$GJ$29:$GP$29,1,AZ367))/12)/INDEX('Lease Cycles'!$GX$29:$HD$29,1,AZ367))/12,0)))</f>
        <v>0</v>
      </c>
      <c r="BA370" s="28">
        <f>IF(BA367=0,IF('Lease Cycles'!$F$29&gt;0,'Lease Cycles'!$C$29*'Lease Cycles'!$E$29/12,0),IF(BA369=1,IF('Lease Cycles'!$AT$29&gt;=9999,'Lease Cycles'!$C$29*INDEX('Lease Cycles'!$CB$29:$CH$29,1,BA367)*(1+INDEX('Lease Cycles'!$CI$29:$CO$29,1,BA367))^INT(INT(BA368/12)/INDEX('Lease Cycles'!$CP$29:$CV$29,1,BA367))/12,IF(BA367=1,IF(BA368&gt;=INDEX('Lease Cycles'!$DK$29:$DQ$29,1,BA367),IF(BA$6&gt;='Lease Cycles'!$AZ$29,'Lease Cycles'!$C$29*'Lease Cycles'!$BA$29/12,IF(BA$6&gt;='Lease Cycles'!$AX$29,'Lease Cycles'!$C$29*'Lease Cycles'!$AY$29/12,IF(BA$6&gt;='Lease Cycles'!$AV$29,'Lease Cycles'!$C$29*'Lease Cycles'!$AW$29/12,IF(BA$6&gt;='Lease Cycles'!$AT$29,'Lease Cycles'!$C$29*'Lease Cycles'!$AU$29/12,'Lease Cycles'!$C$29*INDEX('Lease Cycles'!$CB$29:$CH$29,1,BA367)*(1+INDEX('Lease Cycles'!$CI$29:$CO$29,1,BA367))^INT(INT(BA368/12)/INDEX('Lease Cycles'!$CP$29:$CV$29,1,BA367))/12)))),'Lease Cycles'!$C$29*INDEX('Lease Cycles'!$CB$29:$CH$29,1,BA367)*(1+INDEX('Lease Cycles'!$CI$29:$CO$29,1,BA367))^INT(INT(BA368/12)/INDEX('Lease Cycles'!$CP$29:$CV$29,1,BA367))/12),IF(INDEX('Lease Cycles'!$EF$29:$EL$29,1,BA367)=1,IF(AND('Lease Cycles'!$AZ$29&gt;=INDEX('Lease Cycles'!$BG$29:$BM$29,1,BA367),'Lease Cycles'!$AZ$29&lt;=BA$6),'Lease Cycles'!$C$29*'Lease Cycles'!$BA$29/12,IF(AND('Lease Cycles'!$AX$29&gt;=INDEX('Lease Cycles'!$BG$29:$BM$29,1,BA367),'Lease Cycles'!$AX$29&lt;=BA$6),'Lease Cycles'!$C$29*'Lease Cycles'!$AY$29/12,IF(AND('Lease Cycles'!$AV$29&gt;=INDEX('Lease Cycles'!$BG$29:$BM$29,1,BA367),'Lease Cycles'!$AV$29&lt;=BA$6),'Lease Cycles'!$C$29*'Lease Cycles'!$AW$29/12,IF(AND('Lease Cycles'!$AT$29&gt;=INDEX('Lease Cycles'!$BG$29:$BM$29,1,BA367),'Lease Cycles'!$AT$29&lt;=BA$6),'Lease Cycles'!$C$29*'Lease Cycles'!$AU$29/12,'Lease Cycles'!$C$29*INDEX('Lease Cycles'!$CB$29:$CH$29,1,BA367)*(1+INDEX('Lease Cycles'!$CI$29:$CO$29,1,BA367))^INT(INT(BA368/12)/INDEX('Lease Cycles'!$CP$29:$CV$29,1,BA367))/12)))),'Lease Cycles'!$C$29*INDEX('Lease Cycles'!$CB$29:$CH$29,1,BA367)*(1+INDEX('Lease Cycles'!$CI$29:$CO$29,1,BA367))^INT(INT(BA368/12)/INDEX('Lease Cycles'!$CP$29:$CV$29,1,BA367))/12))),IF('Lease Cycles'!$N$29=1,'Lease Cycles'!$C$29*'Lease Cycles'!$E$29*INDEX('Lease Cycles'!$HE$29:$HK$29,1,BA367)*(1+INDEX('Lease Cycles'!$GQ$29:$GW$29,1,BA367))^INT(INT((BA$6-INDEX('Lease Cycles'!$GJ$29:$GP$29,1,BA367))/12)/INDEX('Lease Cycles'!$GX$29:$HD$29,1,BA367))/12,0)))</f>
        <v>0</v>
      </c>
      <c r="BB370" s="28">
        <f>IF(BB367=0,IF('Lease Cycles'!$F$29&gt;0,'Lease Cycles'!$C$29*'Lease Cycles'!$E$29/12,0),IF(BB369=1,IF('Lease Cycles'!$AT$29&gt;=9999,'Lease Cycles'!$C$29*INDEX('Lease Cycles'!$CB$29:$CH$29,1,BB367)*(1+INDEX('Lease Cycles'!$CI$29:$CO$29,1,BB367))^INT(INT(BB368/12)/INDEX('Lease Cycles'!$CP$29:$CV$29,1,BB367))/12,IF(BB367=1,IF(BB368&gt;=INDEX('Lease Cycles'!$DK$29:$DQ$29,1,BB367),IF(BB$6&gt;='Lease Cycles'!$AZ$29,'Lease Cycles'!$C$29*'Lease Cycles'!$BA$29/12,IF(BB$6&gt;='Lease Cycles'!$AX$29,'Lease Cycles'!$C$29*'Lease Cycles'!$AY$29/12,IF(BB$6&gt;='Lease Cycles'!$AV$29,'Lease Cycles'!$C$29*'Lease Cycles'!$AW$29/12,IF(BB$6&gt;='Lease Cycles'!$AT$29,'Lease Cycles'!$C$29*'Lease Cycles'!$AU$29/12,'Lease Cycles'!$C$29*INDEX('Lease Cycles'!$CB$29:$CH$29,1,BB367)*(1+INDEX('Lease Cycles'!$CI$29:$CO$29,1,BB367))^INT(INT(BB368/12)/INDEX('Lease Cycles'!$CP$29:$CV$29,1,BB367))/12)))),'Lease Cycles'!$C$29*INDEX('Lease Cycles'!$CB$29:$CH$29,1,BB367)*(1+INDEX('Lease Cycles'!$CI$29:$CO$29,1,BB367))^INT(INT(BB368/12)/INDEX('Lease Cycles'!$CP$29:$CV$29,1,BB367))/12),IF(INDEX('Lease Cycles'!$EF$29:$EL$29,1,BB367)=1,IF(AND('Lease Cycles'!$AZ$29&gt;=INDEX('Lease Cycles'!$BG$29:$BM$29,1,BB367),'Lease Cycles'!$AZ$29&lt;=BB$6),'Lease Cycles'!$C$29*'Lease Cycles'!$BA$29/12,IF(AND('Lease Cycles'!$AX$29&gt;=INDEX('Lease Cycles'!$BG$29:$BM$29,1,BB367),'Lease Cycles'!$AX$29&lt;=BB$6),'Lease Cycles'!$C$29*'Lease Cycles'!$AY$29/12,IF(AND('Lease Cycles'!$AV$29&gt;=INDEX('Lease Cycles'!$BG$29:$BM$29,1,BB367),'Lease Cycles'!$AV$29&lt;=BB$6),'Lease Cycles'!$C$29*'Lease Cycles'!$AW$29/12,IF(AND('Lease Cycles'!$AT$29&gt;=INDEX('Lease Cycles'!$BG$29:$BM$29,1,BB367),'Lease Cycles'!$AT$29&lt;=BB$6),'Lease Cycles'!$C$29*'Lease Cycles'!$AU$29/12,'Lease Cycles'!$C$29*INDEX('Lease Cycles'!$CB$29:$CH$29,1,BB367)*(1+INDEX('Lease Cycles'!$CI$29:$CO$29,1,BB367))^INT(INT(BB368/12)/INDEX('Lease Cycles'!$CP$29:$CV$29,1,BB367))/12)))),'Lease Cycles'!$C$29*INDEX('Lease Cycles'!$CB$29:$CH$29,1,BB367)*(1+INDEX('Lease Cycles'!$CI$29:$CO$29,1,BB367))^INT(INT(BB368/12)/INDEX('Lease Cycles'!$CP$29:$CV$29,1,BB367))/12))),IF('Lease Cycles'!$N$29=1,'Lease Cycles'!$C$29*'Lease Cycles'!$E$29*INDEX('Lease Cycles'!$HE$29:$HK$29,1,BB367)*(1+INDEX('Lease Cycles'!$GQ$29:$GW$29,1,BB367))^INT(INT((BB$6-INDEX('Lease Cycles'!$GJ$29:$GP$29,1,BB367))/12)/INDEX('Lease Cycles'!$GX$29:$HD$29,1,BB367))/12,0)))</f>
        <v>0</v>
      </c>
      <c r="BC370" s="28">
        <f>IF(BC367=0,IF('Lease Cycles'!$F$29&gt;0,'Lease Cycles'!$C$29*'Lease Cycles'!$E$29/12,0),IF(BC369=1,IF('Lease Cycles'!$AT$29&gt;=9999,'Lease Cycles'!$C$29*INDEX('Lease Cycles'!$CB$29:$CH$29,1,BC367)*(1+INDEX('Lease Cycles'!$CI$29:$CO$29,1,BC367))^INT(INT(BC368/12)/INDEX('Lease Cycles'!$CP$29:$CV$29,1,BC367))/12,IF(BC367=1,IF(BC368&gt;=INDEX('Lease Cycles'!$DK$29:$DQ$29,1,BC367),IF(BC$6&gt;='Lease Cycles'!$AZ$29,'Lease Cycles'!$C$29*'Lease Cycles'!$BA$29/12,IF(BC$6&gt;='Lease Cycles'!$AX$29,'Lease Cycles'!$C$29*'Lease Cycles'!$AY$29/12,IF(BC$6&gt;='Lease Cycles'!$AV$29,'Lease Cycles'!$C$29*'Lease Cycles'!$AW$29/12,IF(BC$6&gt;='Lease Cycles'!$AT$29,'Lease Cycles'!$C$29*'Lease Cycles'!$AU$29/12,'Lease Cycles'!$C$29*INDEX('Lease Cycles'!$CB$29:$CH$29,1,BC367)*(1+INDEX('Lease Cycles'!$CI$29:$CO$29,1,BC367))^INT(INT(BC368/12)/INDEX('Lease Cycles'!$CP$29:$CV$29,1,BC367))/12)))),'Lease Cycles'!$C$29*INDEX('Lease Cycles'!$CB$29:$CH$29,1,BC367)*(1+INDEX('Lease Cycles'!$CI$29:$CO$29,1,BC367))^INT(INT(BC368/12)/INDEX('Lease Cycles'!$CP$29:$CV$29,1,BC367))/12),IF(INDEX('Lease Cycles'!$EF$29:$EL$29,1,BC367)=1,IF(AND('Lease Cycles'!$AZ$29&gt;=INDEX('Lease Cycles'!$BG$29:$BM$29,1,BC367),'Lease Cycles'!$AZ$29&lt;=BC$6),'Lease Cycles'!$C$29*'Lease Cycles'!$BA$29/12,IF(AND('Lease Cycles'!$AX$29&gt;=INDEX('Lease Cycles'!$BG$29:$BM$29,1,BC367),'Lease Cycles'!$AX$29&lt;=BC$6),'Lease Cycles'!$C$29*'Lease Cycles'!$AY$29/12,IF(AND('Lease Cycles'!$AV$29&gt;=INDEX('Lease Cycles'!$BG$29:$BM$29,1,BC367),'Lease Cycles'!$AV$29&lt;=BC$6),'Lease Cycles'!$C$29*'Lease Cycles'!$AW$29/12,IF(AND('Lease Cycles'!$AT$29&gt;=INDEX('Lease Cycles'!$BG$29:$BM$29,1,BC367),'Lease Cycles'!$AT$29&lt;=BC$6),'Lease Cycles'!$C$29*'Lease Cycles'!$AU$29/12,'Lease Cycles'!$C$29*INDEX('Lease Cycles'!$CB$29:$CH$29,1,BC367)*(1+INDEX('Lease Cycles'!$CI$29:$CO$29,1,BC367))^INT(INT(BC368/12)/INDEX('Lease Cycles'!$CP$29:$CV$29,1,BC367))/12)))),'Lease Cycles'!$C$29*INDEX('Lease Cycles'!$CB$29:$CH$29,1,BC367)*(1+INDEX('Lease Cycles'!$CI$29:$CO$29,1,BC367))^INT(INT(BC368/12)/INDEX('Lease Cycles'!$CP$29:$CV$29,1,BC367))/12))),IF('Lease Cycles'!$N$29=1,'Lease Cycles'!$C$29*'Lease Cycles'!$E$29*INDEX('Lease Cycles'!$HE$29:$HK$29,1,BC367)*(1+INDEX('Lease Cycles'!$GQ$29:$GW$29,1,BC367))^INT(INT((BC$6-INDEX('Lease Cycles'!$GJ$29:$GP$29,1,BC367))/12)/INDEX('Lease Cycles'!$GX$29:$HD$29,1,BC367))/12,0)))</f>
        <v>0</v>
      </c>
      <c r="BD370" s="28">
        <f>IF(BD367=0,IF('Lease Cycles'!$F$29&gt;0,'Lease Cycles'!$C$29*'Lease Cycles'!$E$29/12,0),IF(BD369=1,IF('Lease Cycles'!$AT$29&gt;=9999,'Lease Cycles'!$C$29*INDEX('Lease Cycles'!$CB$29:$CH$29,1,BD367)*(1+INDEX('Lease Cycles'!$CI$29:$CO$29,1,BD367))^INT(INT(BD368/12)/INDEX('Lease Cycles'!$CP$29:$CV$29,1,BD367))/12,IF(BD367=1,IF(BD368&gt;=INDEX('Lease Cycles'!$DK$29:$DQ$29,1,BD367),IF(BD$6&gt;='Lease Cycles'!$AZ$29,'Lease Cycles'!$C$29*'Lease Cycles'!$BA$29/12,IF(BD$6&gt;='Lease Cycles'!$AX$29,'Lease Cycles'!$C$29*'Lease Cycles'!$AY$29/12,IF(BD$6&gt;='Lease Cycles'!$AV$29,'Lease Cycles'!$C$29*'Lease Cycles'!$AW$29/12,IF(BD$6&gt;='Lease Cycles'!$AT$29,'Lease Cycles'!$C$29*'Lease Cycles'!$AU$29/12,'Lease Cycles'!$C$29*INDEX('Lease Cycles'!$CB$29:$CH$29,1,BD367)*(1+INDEX('Lease Cycles'!$CI$29:$CO$29,1,BD367))^INT(INT(BD368/12)/INDEX('Lease Cycles'!$CP$29:$CV$29,1,BD367))/12)))),'Lease Cycles'!$C$29*INDEX('Lease Cycles'!$CB$29:$CH$29,1,BD367)*(1+INDEX('Lease Cycles'!$CI$29:$CO$29,1,BD367))^INT(INT(BD368/12)/INDEX('Lease Cycles'!$CP$29:$CV$29,1,BD367))/12),IF(INDEX('Lease Cycles'!$EF$29:$EL$29,1,BD367)=1,IF(AND('Lease Cycles'!$AZ$29&gt;=INDEX('Lease Cycles'!$BG$29:$BM$29,1,BD367),'Lease Cycles'!$AZ$29&lt;=BD$6),'Lease Cycles'!$C$29*'Lease Cycles'!$BA$29/12,IF(AND('Lease Cycles'!$AX$29&gt;=INDEX('Lease Cycles'!$BG$29:$BM$29,1,BD367),'Lease Cycles'!$AX$29&lt;=BD$6),'Lease Cycles'!$C$29*'Lease Cycles'!$AY$29/12,IF(AND('Lease Cycles'!$AV$29&gt;=INDEX('Lease Cycles'!$BG$29:$BM$29,1,BD367),'Lease Cycles'!$AV$29&lt;=BD$6),'Lease Cycles'!$C$29*'Lease Cycles'!$AW$29/12,IF(AND('Lease Cycles'!$AT$29&gt;=INDEX('Lease Cycles'!$BG$29:$BM$29,1,BD367),'Lease Cycles'!$AT$29&lt;=BD$6),'Lease Cycles'!$C$29*'Lease Cycles'!$AU$29/12,'Lease Cycles'!$C$29*INDEX('Lease Cycles'!$CB$29:$CH$29,1,BD367)*(1+INDEX('Lease Cycles'!$CI$29:$CO$29,1,BD367))^INT(INT(BD368/12)/INDEX('Lease Cycles'!$CP$29:$CV$29,1,BD367))/12)))),'Lease Cycles'!$C$29*INDEX('Lease Cycles'!$CB$29:$CH$29,1,BD367)*(1+INDEX('Lease Cycles'!$CI$29:$CO$29,1,BD367))^INT(INT(BD368/12)/INDEX('Lease Cycles'!$CP$29:$CV$29,1,BD367))/12))),IF('Lease Cycles'!$N$29=1,'Lease Cycles'!$C$29*'Lease Cycles'!$E$29*INDEX('Lease Cycles'!$HE$29:$HK$29,1,BD367)*(1+INDEX('Lease Cycles'!$GQ$29:$GW$29,1,BD367))^INT(INT((BD$6-INDEX('Lease Cycles'!$GJ$29:$GP$29,1,BD367))/12)/INDEX('Lease Cycles'!$GX$29:$HD$29,1,BD367))/12,0)))</f>
        <v>0</v>
      </c>
      <c r="BE370" s="28">
        <f>IF(BE367=0,IF('Lease Cycles'!$F$29&gt;0,'Lease Cycles'!$C$29*'Lease Cycles'!$E$29/12,0),IF(BE369=1,IF('Lease Cycles'!$AT$29&gt;=9999,'Lease Cycles'!$C$29*INDEX('Lease Cycles'!$CB$29:$CH$29,1,BE367)*(1+INDEX('Lease Cycles'!$CI$29:$CO$29,1,BE367))^INT(INT(BE368/12)/INDEX('Lease Cycles'!$CP$29:$CV$29,1,BE367))/12,IF(BE367=1,IF(BE368&gt;=INDEX('Lease Cycles'!$DK$29:$DQ$29,1,BE367),IF(BE$6&gt;='Lease Cycles'!$AZ$29,'Lease Cycles'!$C$29*'Lease Cycles'!$BA$29/12,IF(BE$6&gt;='Lease Cycles'!$AX$29,'Lease Cycles'!$C$29*'Lease Cycles'!$AY$29/12,IF(BE$6&gt;='Lease Cycles'!$AV$29,'Lease Cycles'!$C$29*'Lease Cycles'!$AW$29/12,IF(BE$6&gt;='Lease Cycles'!$AT$29,'Lease Cycles'!$C$29*'Lease Cycles'!$AU$29/12,'Lease Cycles'!$C$29*INDEX('Lease Cycles'!$CB$29:$CH$29,1,BE367)*(1+INDEX('Lease Cycles'!$CI$29:$CO$29,1,BE367))^INT(INT(BE368/12)/INDEX('Lease Cycles'!$CP$29:$CV$29,1,BE367))/12)))),'Lease Cycles'!$C$29*INDEX('Lease Cycles'!$CB$29:$CH$29,1,BE367)*(1+INDEX('Lease Cycles'!$CI$29:$CO$29,1,BE367))^INT(INT(BE368/12)/INDEX('Lease Cycles'!$CP$29:$CV$29,1,BE367))/12),IF(INDEX('Lease Cycles'!$EF$29:$EL$29,1,BE367)=1,IF(AND('Lease Cycles'!$AZ$29&gt;=INDEX('Lease Cycles'!$BG$29:$BM$29,1,BE367),'Lease Cycles'!$AZ$29&lt;=BE$6),'Lease Cycles'!$C$29*'Lease Cycles'!$BA$29/12,IF(AND('Lease Cycles'!$AX$29&gt;=INDEX('Lease Cycles'!$BG$29:$BM$29,1,BE367),'Lease Cycles'!$AX$29&lt;=BE$6),'Lease Cycles'!$C$29*'Lease Cycles'!$AY$29/12,IF(AND('Lease Cycles'!$AV$29&gt;=INDEX('Lease Cycles'!$BG$29:$BM$29,1,BE367),'Lease Cycles'!$AV$29&lt;=BE$6),'Lease Cycles'!$C$29*'Lease Cycles'!$AW$29/12,IF(AND('Lease Cycles'!$AT$29&gt;=INDEX('Lease Cycles'!$BG$29:$BM$29,1,BE367),'Lease Cycles'!$AT$29&lt;=BE$6),'Lease Cycles'!$C$29*'Lease Cycles'!$AU$29/12,'Lease Cycles'!$C$29*INDEX('Lease Cycles'!$CB$29:$CH$29,1,BE367)*(1+INDEX('Lease Cycles'!$CI$29:$CO$29,1,BE367))^INT(INT(BE368/12)/INDEX('Lease Cycles'!$CP$29:$CV$29,1,BE367))/12)))),'Lease Cycles'!$C$29*INDEX('Lease Cycles'!$CB$29:$CH$29,1,BE367)*(1+INDEX('Lease Cycles'!$CI$29:$CO$29,1,BE367))^INT(INT(BE368/12)/INDEX('Lease Cycles'!$CP$29:$CV$29,1,BE367))/12))),IF('Lease Cycles'!$N$29=1,'Lease Cycles'!$C$29*'Lease Cycles'!$E$29*INDEX('Lease Cycles'!$HE$29:$HK$29,1,BE367)*(1+INDEX('Lease Cycles'!$GQ$29:$GW$29,1,BE367))^INT(INT((BE$6-INDEX('Lease Cycles'!$GJ$29:$GP$29,1,BE367))/12)/INDEX('Lease Cycles'!$GX$29:$HD$29,1,BE367))/12,0)))</f>
        <v>0</v>
      </c>
      <c r="BF370" s="28">
        <f>IF(BF367=0,IF('Lease Cycles'!$F$29&gt;0,'Lease Cycles'!$C$29*'Lease Cycles'!$E$29/12,0),IF(BF369=1,IF('Lease Cycles'!$AT$29&gt;=9999,'Lease Cycles'!$C$29*INDEX('Lease Cycles'!$CB$29:$CH$29,1,BF367)*(1+INDEX('Lease Cycles'!$CI$29:$CO$29,1,BF367))^INT(INT(BF368/12)/INDEX('Lease Cycles'!$CP$29:$CV$29,1,BF367))/12,IF(BF367=1,IF(BF368&gt;=INDEX('Lease Cycles'!$DK$29:$DQ$29,1,BF367),IF(BF$6&gt;='Lease Cycles'!$AZ$29,'Lease Cycles'!$C$29*'Lease Cycles'!$BA$29/12,IF(BF$6&gt;='Lease Cycles'!$AX$29,'Lease Cycles'!$C$29*'Lease Cycles'!$AY$29/12,IF(BF$6&gt;='Lease Cycles'!$AV$29,'Lease Cycles'!$C$29*'Lease Cycles'!$AW$29/12,IF(BF$6&gt;='Lease Cycles'!$AT$29,'Lease Cycles'!$C$29*'Lease Cycles'!$AU$29/12,'Lease Cycles'!$C$29*INDEX('Lease Cycles'!$CB$29:$CH$29,1,BF367)*(1+INDEX('Lease Cycles'!$CI$29:$CO$29,1,BF367))^INT(INT(BF368/12)/INDEX('Lease Cycles'!$CP$29:$CV$29,1,BF367))/12)))),'Lease Cycles'!$C$29*INDEX('Lease Cycles'!$CB$29:$CH$29,1,BF367)*(1+INDEX('Lease Cycles'!$CI$29:$CO$29,1,BF367))^INT(INT(BF368/12)/INDEX('Lease Cycles'!$CP$29:$CV$29,1,BF367))/12),IF(INDEX('Lease Cycles'!$EF$29:$EL$29,1,BF367)=1,IF(AND('Lease Cycles'!$AZ$29&gt;=INDEX('Lease Cycles'!$BG$29:$BM$29,1,BF367),'Lease Cycles'!$AZ$29&lt;=BF$6),'Lease Cycles'!$C$29*'Lease Cycles'!$BA$29/12,IF(AND('Lease Cycles'!$AX$29&gt;=INDEX('Lease Cycles'!$BG$29:$BM$29,1,BF367),'Lease Cycles'!$AX$29&lt;=BF$6),'Lease Cycles'!$C$29*'Lease Cycles'!$AY$29/12,IF(AND('Lease Cycles'!$AV$29&gt;=INDEX('Lease Cycles'!$BG$29:$BM$29,1,BF367),'Lease Cycles'!$AV$29&lt;=BF$6),'Lease Cycles'!$C$29*'Lease Cycles'!$AW$29/12,IF(AND('Lease Cycles'!$AT$29&gt;=INDEX('Lease Cycles'!$BG$29:$BM$29,1,BF367),'Lease Cycles'!$AT$29&lt;=BF$6),'Lease Cycles'!$C$29*'Lease Cycles'!$AU$29/12,'Lease Cycles'!$C$29*INDEX('Lease Cycles'!$CB$29:$CH$29,1,BF367)*(1+INDEX('Lease Cycles'!$CI$29:$CO$29,1,BF367))^INT(INT(BF368/12)/INDEX('Lease Cycles'!$CP$29:$CV$29,1,BF367))/12)))),'Lease Cycles'!$C$29*INDEX('Lease Cycles'!$CB$29:$CH$29,1,BF367)*(1+INDEX('Lease Cycles'!$CI$29:$CO$29,1,BF367))^INT(INT(BF368/12)/INDEX('Lease Cycles'!$CP$29:$CV$29,1,BF367))/12))),IF('Lease Cycles'!$N$29=1,'Lease Cycles'!$C$29*'Lease Cycles'!$E$29*INDEX('Lease Cycles'!$HE$29:$HK$29,1,BF367)*(1+INDEX('Lease Cycles'!$GQ$29:$GW$29,1,BF367))^INT(INT((BF$6-INDEX('Lease Cycles'!$GJ$29:$GP$29,1,BF367))/12)/INDEX('Lease Cycles'!$GX$29:$HD$29,1,BF367))/12,0)))</f>
        <v>0</v>
      </c>
      <c r="BG370" s="28">
        <f>IF(BG367=0,IF('Lease Cycles'!$F$29&gt;0,'Lease Cycles'!$C$29*'Lease Cycles'!$E$29/12,0),IF(BG369=1,IF('Lease Cycles'!$AT$29&gt;=9999,'Lease Cycles'!$C$29*INDEX('Lease Cycles'!$CB$29:$CH$29,1,BG367)*(1+INDEX('Lease Cycles'!$CI$29:$CO$29,1,BG367))^INT(INT(BG368/12)/INDEX('Lease Cycles'!$CP$29:$CV$29,1,BG367))/12,IF(BG367=1,IF(BG368&gt;=INDEX('Lease Cycles'!$DK$29:$DQ$29,1,BG367),IF(BG$6&gt;='Lease Cycles'!$AZ$29,'Lease Cycles'!$C$29*'Lease Cycles'!$BA$29/12,IF(BG$6&gt;='Lease Cycles'!$AX$29,'Lease Cycles'!$C$29*'Lease Cycles'!$AY$29/12,IF(BG$6&gt;='Lease Cycles'!$AV$29,'Lease Cycles'!$C$29*'Lease Cycles'!$AW$29/12,IF(BG$6&gt;='Lease Cycles'!$AT$29,'Lease Cycles'!$C$29*'Lease Cycles'!$AU$29/12,'Lease Cycles'!$C$29*INDEX('Lease Cycles'!$CB$29:$CH$29,1,BG367)*(1+INDEX('Lease Cycles'!$CI$29:$CO$29,1,BG367))^INT(INT(BG368/12)/INDEX('Lease Cycles'!$CP$29:$CV$29,1,BG367))/12)))),'Lease Cycles'!$C$29*INDEX('Lease Cycles'!$CB$29:$CH$29,1,BG367)*(1+INDEX('Lease Cycles'!$CI$29:$CO$29,1,BG367))^INT(INT(BG368/12)/INDEX('Lease Cycles'!$CP$29:$CV$29,1,BG367))/12),IF(INDEX('Lease Cycles'!$EF$29:$EL$29,1,BG367)=1,IF(AND('Lease Cycles'!$AZ$29&gt;=INDEX('Lease Cycles'!$BG$29:$BM$29,1,BG367),'Lease Cycles'!$AZ$29&lt;=BG$6),'Lease Cycles'!$C$29*'Lease Cycles'!$BA$29/12,IF(AND('Lease Cycles'!$AX$29&gt;=INDEX('Lease Cycles'!$BG$29:$BM$29,1,BG367),'Lease Cycles'!$AX$29&lt;=BG$6),'Lease Cycles'!$C$29*'Lease Cycles'!$AY$29/12,IF(AND('Lease Cycles'!$AV$29&gt;=INDEX('Lease Cycles'!$BG$29:$BM$29,1,BG367),'Lease Cycles'!$AV$29&lt;=BG$6),'Lease Cycles'!$C$29*'Lease Cycles'!$AW$29/12,IF(AND('Lease Cycles'!$AT$29&gt;=INDEX('Lease Cycles'!$BG$29:$BM$29,1,BG367),'Lease Cycles'!$AT$29&lt;=BG$6),'Lease Cycles'!$C$29*'Lease Cycles'!$AU$29/12,'Lease Cycles'!$C$29*INDEX('Lease Cycles'!$CB$29:$CH$29,1,BG367)*(1+INDEX('Lease Cycles'!$CI$29:$CO$29,1,BG367))^INT(INT(BG368/12)/INDEX('Lease Cycles'!$CP$29:$CV$29,1,BG367))/12)))),'Lease Cycles'!$C$29*INDEX('Lease Cycles'!$CB$29:$CH$29,1,BG367)*(1+INDEX('Lease Cycles'!$CI$29:$CO$29,1,BG367))^INT(INT(BG368/12)/INDEX('Lease Cycles'!$CP$29:$CV$29,1,BG367))/12))),IF('Lease Cycles'!$N$29=1,'Lease Cycles'!$C$29*'Lease Cycles'!$E$29*INDEX('Lease Cycles'!$HE$29:$HK$29,1,BG367)*(1+INDEX('Lease Cycles'!$GQ$29:$GW$29,1,BG367))^INT(INT((BG$6-INDEX('Lease Cycles'!$GJ$29:$GP$29,1,BG367))/12)/INDEX('Lease Cycles'!$GX$29:$HD$29,1,BG367))/12,0)))</f>
        <v>0</v>
      </c>
      <c r="BH370" s="28">
        <f>IF(BH367=0,IF('Lease Cycles'!$F$29&gt;0,'Lease Cycles'!$C$29*'Lease Cycles'!$E$29/12,0),IF(BH369=1,IF('Lease Cycles'!$AT$29&gt;=9999,'Lease Cycles'!$C$29*INDEX('Lease Cycles'!$CB$29:$CH$29,1,BH367)*(1+INDEX('Lease Cycles'!$CI$29:$CO$29,1,BH367))^INT(INT(BH368/12)/INDEX('Lease Cycles'!$CP$29:$CV$29,1,BH367))/12,IF(BH367=1,IF(BH368&gt;=INDEX('Lease Cycles'!$DK$29:$DQ$29,1,BH367),IF(BH$6&gt;='Lease Cycles'!$AZ$29,'Lease Cycles'!$C$29*'Lease Cycles'!$BA$29/12,IF(BH$6&gt;='Lease Cycles'!$AX$29,'Lease Cycles'!$C$29*'Lease Cycles'!$AY$29/12,IF(BH$6&gt;='Lease Cycles'!$AV$29,'Lease Cycles'!$C$29*'Lease Cycles'!$AW$29/12,IF(BH$6&gt;='Lease Cycles'!$AT$29,'Lease Cycles'!$C$29*'Lease Cycles'!$AU$29/12,'Lease Cycles'!$C$29*INDEX('Lease Cycles'!$CB$29:$CH$29,1,BH367)*(1+INDEX('Lease Cycles'!$CI$29:$CO$29,1,BH367))^INT(INT(BH368/12)/INDEX('Lease Cycles'!$CP$29:$CV$29,1,BH367))/12)))),'Lease Cycles'!$C$29*INDEX('Lease Cycles'!$CB$29:$CH$29,1,BH367)*(1+INDEX('Lease Cycles'!$CI$29:$CO$29,1,BH367))^INT(INT(BH368/12)/INDEX('Lease Cycles'!$CP$29:$CV$29,1,BH367))/12),IF(INDEX('Lease Cycles'!$EF$29:$EL$29,1,BH367)=1,IF(AND('Lease Cycles'!$AZ$29&gt;=INDEX('Lease Cycles'!$BG$29:$BM$29,1,BH367),'Lease Cycles'!$AZ$29&lt;=BH$6),'Lease Cycles'!$C$29*'Lease Cycles'!$BA$29/12,IF(AND('Lease Cycles'!$AX$29&gt;=INDEX('Lease Cycles'!$BG$29:$BM$29,1,BH367),'Lease Cycles'!$AX$29&lt;=BH$6),'Lease Cycles'!$C$29*'Lease Cycles'!$AY$29/12,IF(AND('Lease Cycles'!$AV$29&gt;=INDEX('Lease Cycles'!$BG$29:$BM$29,1,BH367),'Lease Cycles'!$AV$29&lt;=BH$6),'Lease Cycles'!$C$29*'Lease Cycles'!$AW$29/12,IF(AND('Lease Cycles'!$AT$29&gt;=INDEX('Lease Cycles'!$BG$29:$BM$29,1,BH367),'Lease Cycles'!$AT$29&lt;=BH$6),'Lease Cycles'!$C$29*'Lease Cycles'!$AU$29/12,'Lease Cycles'!$C$29*INDEX('Lease Cycles'!$CB$29:$CH$29,1,BH367)*(1+INDEX('Lease Cycles'!$CI$29:$CO$29,1,BH367))^INT(INT(BH368/12)/INDEX('Lease Cycles'!$CP$29:$CV$29,1,BH367))/12)))),'Lease Cycles'!$C$29*INDEX('Lease Cycles'!$CB$29:$CH$29,1,BH367)*(1+INDEX('Lease Cycles'!$CI$29:$CO$29,1,BH367))^INT(INT(BH368/12)/INDEX('Lease Cycles'!$CP$29:$CV$29,1,BH367))/12))),IF('Lease Cycles'!$N$29=1,'Lease Cycles'!$C$29*'Lease Cycles'!$E$29*INDEX('Lease Cycles'!$HE$29:$HK$29,1,BH367)*(1+INDEX('Lease Cycles'!$GQ$29:$GW$29,1,BH367))^INT(INT((BH$6-INDEX('Lease Cycles'!$GJ$29:$GP$29,1,BH367))/12)/INDEX('Lease Cycles'!$GX$29:$HD$29,1,BH367))/12,0)))</f>
        <v>0</v>
      </c>
      <c r="BI370" s="28">
        <f>IF(BI367=0,IF('Lease Cycles'!$F$29&gt;0,'Lease Cycles'!$C$29*'Lease Cycles'!$E$29/12,0),IF(BI369=1,IF('Lease Cycles'!$AT$29&gt;=9999,'Lease Cycles'!$C$29*INDEX('Lease Cycles'!$CB$29:$CH$29,1,BI367)*(1+INDEX('Lease Cycles'!$CI$29:$CO$29,1,BI367))^INT(INT(BI368/12)/INDEX('Lease Cycles'!$CP$29:$CV$29,1,BI367))/12,IF(BI367=1,IF(BI368&gt;=INDEX('Lease Cycles'!$DK$29:$DQ$29,1,BI367),IF(BI$6&gt;='Lease Cycles'!$AZ$29,'Lease Cycles'!$C$29*'Lease Cycles'!$BA$29/12,IF(BI$6&gt;='Lease Cycles'!$AX$29,'Lease Cycles'!$C$29*'Lease Cycles'!$AY$29/12,IF(BI$6&gt;='Lease Cycles'!$AV$29,'Lease Cycles'!$C$29*'Lease Cycles'!$AW$29/12,IF(BI$6&gt;='Lease Cycles'!$AT$29,'Lease Cycles'!$C$29*'Lease Cycles'!$AU$29/12,'Lease Cycles'!$C$29*INDEX('Lease Cycles'!$CB$29:$CH$29,1,BI367)*(1+INDEX('Lease Cycles'!$CI$29:$CO$29,1,BI367))^INT(INT(BI368/12)/INDEX('Lease Cycles'!$CP$29:$CV$29,1,BI367))/12)))),'Lease Cycles'!$C$29*INDEX('Lease Cycles'!$CB$29:$CH$29,1,BI367)*(1+INDEX('Lease Cycles'!$CI$29:$CO$29,1,BI367))^INT(INT(BI368/12)/INDEX('Lease Cycles'!$CP$29:$CV$29,1,BI367))/12),IF(INDEX('Lease Cycles'!$EF$29:$EL$29,1,BI367)=1,IF(AND('Lease Cycles'!$AZ$29&gt;=INDEX('Lease Cycles'!$BG$29:$BM$29,1,BI367),'Lease Cycles'!$AZ$29&lt;=BI$6),'Lease Cycles'!$C$29*'Lease Cycles'!$BA$29/12,IF(AND('Lease Cycles'!$AX$29&gt;=INDEX('Lease Cycles'!$BG$29:$BM$29,1,BI367),'Lease Cycles'!$AX$29&lt;=BI$6),'Lease Cycles'!$C$29*'Lease Cycles'!$AY$29/12,IF(AND('Lease Cycles'!$AV$29&gt;=INDEX('Lease Cycles'!$BG$29:$BM$29,1,BI367),'Lease Cycles'!$AV$29&lt;=BI$6),'Lease Cycles'!$C$29*'Lease Cycles'!$AW$29/12,IF(AND('Lease Cycles'!$AT$29&gt;=INDEX('Lease Cycles'!$BG$29:$BM$29,1,BI367),'Lease Cycles'!$AT$29&lt;=BI$6),'Lease Cycles'!$C$29*'Lease Cycles'!$AU$29/12,'Lease Cycles'!$C$29*INDEX('Lease Cycles'!$CB$29:$CH$29,1,BI367)*(1+INDEX('Lease Cycles'!$CI$29:$CO$29,1,BI367))^INT(INT(BI368/12)/INDEX('Lease Cycles'!$CP$29:$CV$29,1,BI367))/12)))),'Lease Cycles'!$C$29*INDEX('Lease Cycles'!$CB$29:$CH$29,1,BI367)*(1+INDEX('Lease Cycles'!$CI$29:$CO$29,1,BI367))^INT(INT(BI368/12)/INDEX('Lease Cycles'!$CP$29:$CV$29,1,BI367))/12))),IF('Lease Cycles'!$N$29=1,'Lease Cycles'!$C$29*'Lease Cycles'!$E$29*INDEX('Lease Cycles'!$HE$29:$HK$29,1,BI367)*(1+INDEX('Lease Cycles'!$GQ$29:$GW$29,1,BI367))^INT(INT((BI$6-INDEX('Lease Cycles'!$GJ$29:$GP$29,1,BI367))/12)/INDEX('Lease Cycles'!$GX$29:$HD$29,1,BI367))/12,0)))</f>
        <v>0</v>
      </c>
      <c r="BJ370" s="28">
        <f>IF(BJ367=0,IF('Lease Cycles'!$F$29&gt;0,'Lease Cycles'!$C$29*'Lease Cycles'!$E$29/12,0),IF(BJ369=1,IF('Lease Cycles'!$AT$29&gt;=9999,'Lease Cycles'!$C$29*INDEX('Lease Cycles'!$CB$29:$CH$29,1,BJ367)*(1+INDEX('Lease Cycles'!$CI$29:$CO$29,1,BJ367))^INT(INT(BJ368/12)/INDEX('Lease Cycles'!$CP$29:$CV$29,1,BJ367))/12,IF(BJ367=1,IF(BJ368&gt;=INDEX('Lease Cycles'!$DK$29:$DQ$29,1,BJ367),IF(BJ$6&gt;='Lease Cycles'!$AZ$29,'Lease Cycles'!$C$29*'Lease Cycles'!$BA$29/12,IF(BJ$6&gt;='Lease Cycles'!$AX$29,'Lease Cycles'!$C$29*'Lease Cycles'!$AY$29/12,IF(BJ$6&gt;='Lease Cycles'!$AV$29,'Lease Cycles'!$C$29*'Lease Cycles'!$AW$29/12,IF(BJ$6&gt;='Lease Cycles'!$AT$29,'Lease Cycles'!$C$29*'Lease Cycles'!$AU$29/12,'Lease Cycles'!$C$29*INDEX('Lease Cycles'!$CB$29:$CH$29,1,BJ367)*(1+INDEX('Lease Cycles'!$CI$29:$CO$29,1,BJ367))^INT(INT(BJ368/12)/INDEX('Lease Cycles'!$CP$29:$CV$29,1,BJ367))/12)))),'Lease Cycles'!$C$29*INDEX('Lease Cycles'!$CB$29:$CH$29,1,BJ367)*(1+INDEX('Lease Cycles'!$CI$29:$CO$29,1,BJ367))^INT(INT(BJ368/12)/INDEX('Lease Cycles'!$CP$29:$CV$29,1,BJ367))/12),IF(INDEX('Lease Cycles'!$EF$29:$EL$29,1,BJ367)=1,IF(AND('Lease Cycles'!$AZ$29&gt;=INDEX('Lease Cycles'!$BG$29:$BM$29,1,BJ367),'Lease Cycles'!$AZ$29&lt;=BJ$6),'Lease Cycles'!$C$29*'Lease Cycles'!$BA$29/12,IF(AND('Lease Cycles'!$AX$29&gt;=INDEX('Lease Cycles'!$BG$29:$BM$29,1,BJ367),'Lease Cycles'!$AX$29&lt;=BJ$6),'Lease Cycles'!$C$29*'Lease Cycles'!$AY$29/12,IF(AND('Lease Cycles'!$AV$29&gt;=INDEX('Lease Cycles'!$BG$29:$BM$29,1,BJ367),'Lease Cycles'!$AV$29&lt;=BJ$6),'Lease Cycles'!$C$29*'Lease Cycles'!$AW$29/12,IF(AND('Lease Cycles'!$AT$29&gt;=INDEX('Lease Cycles'!$BG$29:$BM$29,1,BJ367),'Lease Cycles'!$AT$29&lt;=BJ$6),'Lease Cycles'!$C$29*'Lease Cycles'!$AU$29/12,'Lease Cycles'!$C$29*INDEX('Lease Cycles'!$CB$29:$CH$29,1,BJ367)*(1+INDEX('Lease Cycles'!$CI$29:$CO$29,1,BJ367))^INT(INT(BJ368/12)/INDEX('Lease Cycles'!$CP$29:$CV$29,1,BJ367))/12)))),'Lease Cycles'!$C$29*INDEX('Lease Cycles'!$CB$29:$CH$29,1,BJ367)*(1+INDEX('Lease Cycles'!$CI$29:$CO$29,1,BJ367))^INT(INT(BJ368/12)/INDEX('Lease Cycles'!$CP$29:$CV$29,1,BJ367))/12))),IF('Lease Cycles'!$N$29=1,'Lease Cycles'!$C$29*'Lease Cycles'!$E$29*INDEX('Lease Cycles'!$HE$29:$HK$29,1,BJ367)*(1+INDEX('Lease Cycles'!$GQ$29:$GW$29,1,BJ367))^INT(INT((BJ$6-INDEX('Lease Cycles'!$GJ$29:$GP$29,1,BJ367))/12)/INDEX('Lease Cycles'!$GX$29:$HD$29,1,BJ367))/12,0)))</f>
        <v>0</v>
      </c>
      <c r="BK370" s="28">
        <f>IF(BK367=0,IF('Lease Cycles'!$F$29&gt;0,'Lease Cycles'!$C$29*'Lease Cycles'!$E$29/12,0),IF(BK369=1,IF('Lease Cycles'!$AT$29&gt;=9999,'Lease Cycles'!$C$29*INDEX('Lease Cycles'!$CB$29:$CH$29,1,BK367)*(1+INDEX('Lease Cycles'!$CI$29:$CO$29,1,BK367))^INT(INT(BK368/12)/INDEX('Lease Cycles'!$CP$29:$CV$29,1,BK367))/12,IF(BK367=1,IF(BK368&gt;=INDEX('Lease Cycles'!$DK$29:$DQ$29,1,BK367),IF(BK$6&gt;='Lease Cycles'!$AZ$29,'Lease Cycles'!$C$29*'Lease Cycles'!$BA$29/12,IF(BK$6&gt;='Lease Cycles'!$AX$29,'Lease Cycles'!$C$29*'Lease Cycles'!$AY$29/12,IF(BK$6&gt;='Lease Cycles'!$AV$29,'Lease Cycles'!$C$29*'Lease Cycles'!$AW$29/12,IF(BK$6&gt;='Lease Cycles'!$AT$29,'Lease Cycles'!$C$29*'Lease Cycles'!$AU$29/12,'Lease Cycles'!$C$29*INDEX('Lease Cycles'!$CB$29:$CH$29,1,BK367)*(1+INDEX('Lease Cycles'!$CI$29:$CO$29,1,BK367))^INT(INT(BK368/12)/INDEX('Lease Cycles'!$CP$29:$CV$29,1,BK367))/12)))),'Lease Cycles'!$C$29*INDEX('Lease Cycles'!$CB$29:$CH$29,1,BK367)*(1+INDEX('Lease Cycles'!$CI$29:$CO$29,1,BK367))^INT(INT(BK368/12)/INDEX('Lease Cycles'!$CP$29:$CV$29,1,BK367))/12),IF(INDEX('Lease Cycles'!$EF$29:$EL$29,1,BK367)=1,IF(AND('Lease Cycles'!$AZ$29&gt;=INDEX('Lease Cycles'!$BG$29:$BM$29,1,BK367),'Lease Cycles'!$AZ$29&lt;=BK$6),'Lease Cycles'!$C$29*'Lease Cycles'!$BA$29/12,IF(AND('Lease Cycles'!$AX$29&gt;=INDEX('Lease Cycles'!$BG$29:$BM$29,1,BK367),'Lease Cycles'!$AX$29&lt;=BK$6),'Lease Cycles'!$C$29*'Lease Cycles'!$AY$29/12,IF(AND('Lease Cycles'!$AV$29&gt;=INDEX('Lease Cycles'!$BG$29:$BM$29,1,BK367),'Lease Cycles'!$AV$29&lt;=BK$6),'Lease Cycles'!$C$29*'Lease Cycles'!$AW$29/12,IF(AND('Lease Cycles'!$AT$29&gt;=INDEX('Lease Cycles'!$BG$29:$BM$29,1,BK367),'Lease Cycles'!$AT$29&lt;=BK$6),'Lease Cycles'!$C$29*'Lease Cycles'!$AU$29/12,'Lease Cycles'!$C$29*INDEX('Lease Cycles'!$CB$29:$CH$29,1,BK367)*(1+INDEX('Lease Cycles'!$CI$29:$CO$29,1,BK367))^INT(INT(BK368/12)/INDEX('Lease Cycles'!$CP$29:$CV$29,1,BK367))/12)))),'Lease Cycles'!$C$29*INDEX('Lease Cycles'!$CB$29:$CH$29,1,BK367)*(1+INDEX('Lease Cycles'!$CI$29:$CO$29,1,BK367))^INT(INT(BK368/12)/INDEX('Lease Cycles'!$CP$29:$CV$29,1,BK367))/12))),IF('Lease Cycles'!$N$29=1,'Lease Cycles'!$C$29*'Lease Cycles'!$E$29*INDEX('Lease Cycles'!$HE$29:$HK$29,1,BK367)*(1+INDEX('Lease Cycles'!$GQ$29:$GW$29,1,BK367))^INT(INT((BK$6-INDEX('Lease Cycles'!$GJ$29:$GP$29,1,BK367))/12)/INDEX('Lease Cycles'!$GX$29:$HD$29,1,BK367))/12,0)))</f>
        <v>0</v>
      </c>
      <c r="BL370" s="28">
        <f>IF(BL367=0,IF('Lease Cycles'!$F$29&gt;0,'Lease Cycles'!$C$29*'Lease Cycles'!$E$29/12,0),IF(BL369=1,IF('Lease Cycles'!$AT$29&gt;=9999,'Lease Cycles'!$C$29*INDEX('Lease Cycles'!$CB$29:$CH$29,1,BL367)*(1+INDEX('Lease Cycles'!$CI$29:$CO$29,1,BL367))^INT(INT(BL368/12)/INDEX('Lease Cycles'!$CP$29:$CV$29,1,BL367))/12,IF(BL367=1,IF(BL368&gt;=INDEX('Lease Cycles'!$DK$29:$DQ$29,1,BL367),IF(BL$6&gt;='Lease Cycles'!$AZ$29,'Lease Cycles'!$C$29*'Lease Cycles'!$BA$29/12,IF(BL$6&gt;='Lease Cycles'!$AX$29,'Lease Cycles'!$C$29*'Lease Cycles'!$AY$29/12,IF(BL$6&gt;='Lease Cycles'!$AV$29,'Lease Cycles'!$C$29*'Lease Cycles'!$AW$29/12,IF(BL$6&gt;='Lease Cycles'!$AT$29,'Lease Cycles'!$C$29*'Lease Cycles'!$AU$29/12,'Lease Cycles'!$C$29*INDEX('Lease Cycles'!$CB$29:$CH$29,1,BL367)*(1+INDEX('Lease Cycles'!$CI$29:$CO$29,1,BL367))^INT(INT(BL368/12)/INDEX('Lease Cycles'!$CP$29:$CV$29,1,BL367))/12)))),'Lease Cycles'!$C$29*INDEX('Lease Cycles'!$CB$29:$CH$29,1,BL367)*(1+INDEX('Lease Cycles'!$CI$29:$CO$29,1,BL367))^INT(INT(BL368/12)/INDEX('Lease Cycles'!$CP$29:$CV$29,1,BL367))/12),IF(INDEX('Lease Cycles'!$EF$29:$EL$29,1,BL367)=1,IF(AND('Lease Cycles'!$AZ$29&gt;=INDEX('Lease Cycles'!$BG$29:$BM$29,1,BL367),'Lease Cycles'!$AZ$29&lt;=BL$6),'Lease Cycles'!$C$29*'Lease Cycles'!$BA$29/12,IF(AND('Lease Cycles'!$AX$29&gt;=INDEX('Lease Cycles'!$BG$29:$BM$29,1,BL367),'Lease Cycles'!$AX$29&lt;=BL$6),'Lease Cycles'!$C$29*'Lease Cycles'!$AY$29/12,IF(AND('Lease Cycles'!$AV$29&gt;=INDEX('Lease Cycles'!$BG$29:$BM$29,1,BL367),'Lease Cycles'!$AV$29&lt;=BL$6),'Lease Cycles'!$C$29*'Lease Cycles'!$AW$29/12,IF(AND('Lease Cycles'!$AT$29&gt;=INDEX('Lease Cycles'!$BG$29:$BM$29,1,BL367),'Lease Cycles'!$AT$29&lt;=BL$6),'Lease Cycles'!$C$29*'Lease Cycles'!$AU$29/12,'Lease Cycles'!$C$29*INDEX('Lease Cycles'!$CB$29:$CH$29,1,BL367)*(1+INDEX('Lease Cycles'!$CI$29:$CO$29,1,BL367))^INT(INT(BL368/12)/INDEX('Lease Cycles'!$CP$29:$CV$29,1,BL367))/12)))),'Lease Cycles'!$C$29*INDEX('Lease Cycles'!$CB$29:$CH$29,1,BL367)*(1+INDEX('Lease Cycles'!$CI$29:$CO$29,1,BL367))^INT(INT(BL368/12)/INDEX('Lease Cycles'!$CP$29:$CV$29,1,BL367))/12))),IF('Lease Cycles'!$N$29=1,'Lease Cycles'!$C$29*'Lease Cycles'!$E$29*INDEX('Lease Cycles'!$HE$29:$HK$29,1,BL367)*(1+INDEX('Lease Cycles'!$GQ$29:$GW$29,1,BL367))^INT(INT((BL$6-INDEX('Lease Cycles'!$GJ$29:$GP$29,1,BL367))/12)/INDEX('Lease Cycles'!$GX$29:$HD$29,1,BL367))/12,0)))</f>
        <v>0</v>
      </c>
      <c r="BM370" s="28">
        <f>IF(BM367=0,IF('Lease Cycles'!$F$29&gt;0,'Lease Cycles'!$C$29*'Lease Cycles'!$E$29/12,0),IF(BM369=1,IF('Lease Cycles'!$AT$29&gt;=9999,'Lease Cycles'!$C$29*INDEX('Lease Cycles'!$CB$29:$CH$29,1,BM367)*(1+INDEX('Lease Cycles'!$CI$29:$CO$29,1,BM367))^INT(INT(BM368/12)/INDEX('Lease Cycles'!$CP$29:$CV$29,1,BM367))/12,IF(BM367=1,IF(BM368&gt;=INDEX('Lease Cycles'!$DK$29:$DQ$29,1,BM367),IF(BM$6&gt;='Lease Cycles'!$AZ$29,'Lease Cycles'!$C$29*'Lease Cycles'!$BA$29/12,IF(BM$6&gt;='Lease Cycles'!$AX$29,'Lease Cycles'!$C$29*'Lease Cycles'!$AY$29/12,IF(BM$6&gt;='Lease Cycles'!$AV$29,'Lease Cycles'!$C$29*'Lease Cycles'!$AW$29/12,IF(BM$6&gt;='Lease Cycles'!$AT$29,'Lease Cycles'!$C$29*'Lease Cycles'!$AU$29/12,'Lease Cycles'!$C$29*INDEX('Lease Cycles'!$CB$29:$CH$29,1,BM367)*(1+INDEX('Lease Cycles'!$CI$29:$CO$29,1,BM367))^INT(INT(BM368/12)/INDEX('Lease Cycles'!$CP$29:$CV$29,1,BM367))/12)))),'Lease Cycles'!$C$29*INDEX('Lease Cycles'!$CB$29:$CH$29,1,BM367)*(1+INDEX('Lease Cycles'!$CI$29:$CO$29,1,BM367))^INT(INT(BM368/12)/INDEX('Lease Cycles'!$CP$29:$CV$29,1,BM367))/12),IF(INDEX('Lease Cycles'!$EF$29:$EL$29,1,BM367)=1,IF(AND('Lease Cycles'!$AZ$29&gt;=INDEX('Lease Cycles'!$BG$29:$BM$29,1,BM367),'Lease Cycles'!$AZ$29&lt;=BM$6),'Lease Cycles'!$C$29*'Lease Cycles'!$BA$29/12,IF(AND('Lease Cycles'!$AX$29&gt;=INDEX('Lease Cycles'!$BG$29:$BM$29,1,BM367),'Lease Cycles'!$AX$29&lt;=BM$6),'Lease Cycles'!$C$29*'Lease Cycles'!$AY$29/12,IF(AND('Lease Cycles'!$AV$29&gt;=INDEX('Lease Cycles'!$BG$29:$BM$29,1,BM367),'Lease Cycles'!$AV$29&lt;=BM$6),'Lease Cycles'!$C$29*'Lease Cycles'!$AW$29/12,IF(AND('Lease Cycles'!$AT$29&gt;=INDEX('Lease Cycles'!$BG$29:$BM$29,1,BM367),'Lease Cycles'!$AT$29&lt;=BM$6),'Lease Cycles'!$C$29*'Lease Cycles'!$AU$29/12,'Lease Cycles'!$C$29*INDEX('Lease Cycles'!$CB$29:$CH$29,1,BM367)*(1+INDEX('Lease Cycles'!$CI$29:$CO$29,1,BM367))^INT(INT(BM368/12)/INDEX('Lease Cycles'!$CP$29:$CV$29,1,BM367))/12)))),'Lease Cycles'!$C$29*INDEX('Lease Cycles'!$CB$29:$CH$29,1,BM367)*(1+INDEX('Lease Cycles'!$CI$29:$CO$29,1,BM367))^INT(INT(BM368/12)/INDEX('Lease Cycles'!$CP$29:$CV$29,1,BM367))/12))),IF('Lease Cycles'!$N$29=1,'Lease Cycles'!$C$29*'Lease Cycles'!$E$29*INDEX('Lease Cycles'!$HE$29:$HK$29,1,BM367)*(1+INDEX('Lease Cycles'!$GQ$29:$GW$29,1,BM367))^INT(INT((BM$6-INDEX('Lease Cycles'!$GJ$29:$GP$29,1,BM367))/12)/INDEX('Lease Cycles'!$GX$29:$HD$29,1,BM367))/12,0)))</f>
        <v>0</v>
      </c>
      <c r="BN370" s="28">
        <f>IF(BN367=0,IF('Lease Cycles'!$F$29&gt;0,'Lease Cycles'!$C$29*'Lease Cycles'!$E$29/12,0),IF(BN369=1,IF('Lease Cycles'!$AT$29&gt;=9999,'Lease Cycles'!$C$29*INDEX('Lease Cycles'!$CB$29:$CH$29,1,BN367)*(1+INDEX('Lease Cycles'!$CI$29:$CO$29,1,BN367))^INT(INT(BN368/12)/INDEX('Lease Cycles'!$CP$29:$CV$29,1,BN367))/12,IF(BN367=1,IF(BN368&gt;=INDEX('Lease Cycles'!$DK$29:$DQ$29,1,BN367),IF(BN$6&gt;='Lease Cycles'!$AZ$29,'Lease Cycles'!$C$29*'Lease Cycles'!$BA$29/12,IF(BN$6&gt;='Lease Cycles'!$AX$29,'Lease Cycles'!$C$29*'Lease Cycles'!$AY$29/12,IF(BN$6&gt;='Lease Cycles'!$AV$29,'Lease Cycles'!$C$29*'Lease Cycles'!$AW$29/12,IF(BN$6&gt;='Lease Cycles'!$AT$29,'Lease Cycles'!$C$29*'Lease Cycles'!$AU$29/12,'Lease Cycles'!$C$29*INDEX('Lease Cycles'!$CB$29:$CH$29,1,BN367)*(1+INDEX('Lease Cycles'!$CI$29:$CO$29,1,BN367))^INT(INT(BN368/12)/INDEX('Lease Cycles'!$CP$29:$CV$29,1,BN367))/12)))),'Lease Cycles'!$C$29*INDEX('Lease Cycles'!$CB$29:$CH$29,1,BN367)*(1+INDEX('Lease Cycles'!$CI$29:$CO$29,1,BN367))^INT(INT(BN368/12)/INDEX('Lease Cycles'!$CP$29:$CV$29,1,BN367))/12),IF(INDEX('Lease Cycles'!$EF$29:$EL$29,1,BN367)=1,IF(AND('Lease Cycles'!$AZ$29&gt;=INDEX('Lease Cycles'!$BG$29:$BM$29,1,BN367),'Lease Cycles'!$AZ$29&lt;=BN$6),'Lease Cycles'!$C$29*'Lease Cycles'!$BA$29/12,IF(AND('Lease Cycles'!$AX$29&gt;=INDEX('Lease Cycles'!$BG$29:$BM$29,1,BN367),'Lease Cycles'!$AX$29&lt;=BN$6),'Lease Cycles'!$C$29*'Lease Cycles'!$AY$29/12,IF(AND('Lease Cycles'!$AV$29&gt;=INDEX('Lease Cycles'!$BG$29:$BM$29,1,BN367),'Lease Cycles'!$AV$29&lt;=BN$6),'Lease Cycles'!$C$29*'Lease Cycles'!$AW$29/12,IF(AND('Lease Cycles'!$AT$29&gt;=INDEX('Lease Cycles'!$BG$29:$BM$29,1,BN367),'Lease Cycles'!$AT$29&lt;=BN$6),'Lease Cycles'!$C$29*'Lease Cycles'!$AU$29/12,'Lease Cycles'!$C$29*INDEX('Lease Cycles'!$CB$29:$CH$29,1,BN367)*(1+INDEX('Lease Cycles'!$CI$29:$CO$29,1,BN367))^INT(INT(BN368/12)/INDEX('Lease Cycles'!$CP$29:$CV$29,1,BN367))/12)))),'Lease Cycles'!$C$29*INDEX('Lease Cycles'!$CB$29:$CH$29,1,BN367)*(1+INDEX('Lease Cycles'!$CI$29:$CO$29,1,BN367))^INT(INT(BN368/12)/INDEX('Lease Cycles'!$CP$29:$CV$29,1,BN367))/12))),IF('Lease Cycles'!$N$29=1,'Lease Cycles'!$C$29*'Lease Cycles'!$E$29*INDEX('Lease Cycles'!$HE$29:$HK$29,1,BN367)*(1+INDEX('Lease Cycles'!$GQ$29:$GW$29,1,BN367))^INT(INT((BN$6-INDEX('Lease Cycles'!$GJ$29:$GP$29,1,BN367))/12)/INDEX('Lease Cycles'!$GX$29:$HD$29,1,BN367))/12,0)))</f>
        <v>0</v>
      </c>
      <c r="BO370" s="28">
        <f>IF(BO367=0,IF('Lease Cycles'!$F$29&gt;0,'Lease Cycles'!$C$29*'Lease Cycles'!$E$29/12,0),IF(BO369=1,IF('Lease Cycles'!$AT$29&gt;=9999,'Lease Cycles'!$C$29*INDEX('Lease Cycles'!$CB$29:$CH$29,1,BO367)*(1+INDEX('Lease Cycles'!$CI$29:$CO$29,1,BO367))^INT(INT(BO368/12)/INDEX('Lease Cycles'!$CP$29:$CV$29,1,BO367))/12,IF(BO367=1,IF(BO368&gt;=INDEX('Lease Cycles'!$DK$29:$DQ$29,1,BO367),IF(BO$6&gt;='Lease Cycles'!$AZ$29,'Lease Cycles'!$C$29*'Lease Cycles'!$BA$29/12,IF(BO$6&gt;='Lease Cycles'!$AX$29,'Lease Cycles'!$C$29*'Lease Cycles'!$AY$29/12,IF(BO$6&gt;='Lease Cycles'!$AV$29,'Lease Cycles'!$C$29*'Lease Cycles'!$AW$29/12,IF(BO$6&gt;='Lease Cycles'!$AT$29,'Lease Cycles'!$C$29*'Lease Cycles'!$AU$29/12,'Lease Cycles'!$C$29*INDEX('Lease Cycles'!$CB$29:$CH$29,1,BO367)*(1+INDEX('Lease Cycles'!$CI$29:$CO$29,1,BO367))^INT(INT(BO368/12)/INDEX('Lease Cycles'!$CP$29:$CV$29,1,BO367))/12)))),'Lease Cycles'!$C$29*INDEX('Lease Cycles'!$CB$29:$CH$29,1,BO367)*(1+INDEX('Lease Cycles'!$CI$29:$CO$29,1,BO367))^INT(INT(BO368/12)/INDEX('Lease Cycles'!$CP$29:$CV$29,1,BO367))/12),IF(INDEX('Lease Cycles'!$EF$29:$EL$29,1,BO367)=1,IF(AND('Lease Cycles'!$AZ$29&gt;=INDEX('Lease Cycles'!$BG$29:$BM$29,1,BO367),'Lease Cycles'!$AZ$29&lt;=BO$6),'Lease Cycles'!$C$29*'Lease Cycles'!$BA$29/12,IF(AND('Lease Cycles'!$AX$29&gt;=INDEX('Lease Cycles'!$BG$29:$BM$29,1,BO367),'Lease Cycles'!$AX$29&lt;=BO$6),'Lease Cycles'!$C$29*'Lease Cycles'!$AY$29/12,IF(AND('Lease Cycles'!$AV$29&gt;=INDEX('Lease Cycles'!$BG$29:$BM$29,1,BO367),'Lease Cycles'!$AV$29&lt;=BO$6),'Lease Cycles'!$C$29*'Lease Cycles'!$AW$29/12,IF(AND('Lease Cycles'!$AT$29&gt;=INDEX('Lease Cycles'!$BG$29:$BM$29,1,BO367),'Lease Cycles'!$AT$29&lt;=BO$6),'Lease Cycles'!$C$29*'Lease Cycles'!$AU$29/12,'Lease Cycles'!$C$29*INDEX('Lease Cycles'!$CB$29:$CH$29,1,BO367)*(1+INDEX('Lease Cycles'!$CI$29:$CO$29,1,BO367))^INT(INT(BO368/12)/INDEX('Lease Cycles'!$CP$29:$CV$29,1,BO367))/12)))),'Lease Cycles'!$C$29*INDEX('Lease Cycles'!$CB$29:$CH$29,1,BO367)*(1+INDEX('Lease Cycles'!$CI$29:$CO$29,1,BO367))^INT(INT(BO368/12)/INDEX('Lease Cycles'!$CP$29:$CV$29,1,BO367))/12))),IF('Lease Cycles'!$N$29=1,'Lease Cycles'!$C$29*'Lease Cycles'!$E$29*INDEX('Lease Cycles'!$HE$29:$HK$29,1,BO367)*(1+INDEX('Lease Cycles'!$GQ$29:$GW$29,1,BO367))^INT(INT((BO$6-INDEX('Lease Cycles'!$GJ$29:$GP$29,1,BO367))/12)/INDEX('Lease Cycles'!$GX$29:$HD$29,1,BO367))/12,0)))</f>
        <v>0</v>
      </c>
      <c r="BP370" s="28">
        <f>IF(BP367=0,IF('Lease Cycles'!$F$29&gt;0,'Lease Cycles'!$C$29*'Lease Cycles'!$E$29/12,0),IF(BP369=1,IF('Lease Cycles'!$AT$29&gt;=9999,'Lease Cycles'!$C$29*INDEX('Lease Cycles'!$CB$29:$CH$29,1,BP367)*(1+INDEX('Lease Cycles'!$CI$29:$CO$29,1,BP367))^INT(INT(BP368/12)/INDEX('Lease Cycles'!$CP$29:$CV$29,1,BP367))/12,IF(BP367=1,IF(BP368&gt;=INDEX('Lease Cycles'!$DK$29:$DQ$29,1,BP367),IF(BP$6&gt;='Lease Cycles'!$AZ$29,'Lease Cycles'!$C$29*'Lease Cycles'!$BA$29/12,IF(BP$6&gt;='Lease Cycles'!$AX$29,'Lease Cycles'!$C$29*'Lease Cycles'!$AY$29/12,IF(BP$6&gt;='Lease Cycles'!$AV$29,'Lease Cycles'!$C$29*'Lease Cycles'!$AW$29/12,IF(BP$6&gt;='Lease Cycles'!$AT$29,'Lease Cycles'!$C$29*'Lease Cycles'!$AU$29/12,'Lease Cycles'!$C$29*INDEX('Lease Cycles'!$CB$29:$CH$29,1,BP367)*(1+INDEX('Lease Cycles'!$CI$29:$CO$29,1,BP367))^INT(INT(BP368/12)/INDEX('Lease Cycles'!$CP$29:$CV$29,1,BP367))/12)))),'Lease Cycles'!$C$29*INDEX('Lease Cycles'!$CB$29:$CH$29,1,BP367)*(1+INDEX('Lease Cycles'!$CI$29:$CO$29,1,BP367))^INT(INT(BP368/12)/INDEX('Lease Cycles'!$CP$29:$CV$29,1,BP367))/12),IF(INDEX('Lease Cycles'!$EF$29:$EL$29,1,BP367)=1,IF(AND('Lease Cycles'!$AZ$29&gt;=INDEX('Lease Cycles'!$BG$29:$BM$29,1,BP367),'Lease Cycles'!$AZ$29&lt;=BP$6),'Lease Cycles'!$C$29*'Lease Cycles'!$BA$29/12,IF(AND('Lease Cycles'!$AX$29&gt;=INDEX('Lease Cycles'!$BG$29:$BM$29,1,BP367),'Lease Cycles'!$AX$29&lt;=BP$6),'Lease Cycles'!$C$29*'Lease Cycles'!$AY$29/12,IF(AND('Lease Cycles'!$AV$29&gt;=INDEX('Lease Cycles'!$BG$29:$BM$29,1,BP367),'Lease Cycles'!$AV$29&lt;=BP$6),'Lease Cycles'!$C$29*'Lease Cycles'!$AW$29/12,IF(AND('Lease Cycles'!$AT$29&gt;=INDEX('Lease Cycles'!$BG$29:$BM$29,1,BP367),'Lease Cycles'!$AT$29&lt;=BP$6),'Lease Cycles'!$C$29*'Lease Cycles'!$AU$29/12,'Lease Cycles'!$C$29*INDEX('Lease Cycles'!$CB$29:$CH$29,1,BP367)*(1+INDEX('Lease Cycles'!$CI$29:$CO$29,1,BP367))^INT(INT(BP368/12)/INDEX('Lease Cycles'!$CP$29:$CV$29,1,BP367))/12)))),'Lease Cycles'!$C$29*INDEX('Lease Cycles'!$CB$29:$CH$29,1,BP367)*(1+INDEX('Lease Cycles'!$CI$29:$CO$29,1,BP367))^INT(INT(BP368/12)/INDEX('Lease Cycles'!$CP$29:$CV$29,1,BP367))/12))),IF('Lease Cycles'!$N$29=1,'Lease Cycles'!$C$29*'Lease Cycles'!$E$29*INDEX('Lease Cycles'!$HE$29:$HK$29,1,BP367)*(1+INDEX('Lease Cycles'!$GQ$29:$GW$29,1,BP367))^INT(INT((BP$6-INDEX('Lease Cycles'!$GJ$29:$GP$29,1,BP367))/12)/INDEX('Lease Cycles'!$GX$29:$HD$29,1,BP367))/12,0)))</f>
        <v>0</v>
      </c>
      <c r="BQ370" s="28">
        <f>IF(BQ367=0,IF('Lease Cycles'!$F$29&gt;0,'Lease Cycles'!$C$29*'Lease Cycles'!$E$29/12,0),IF(BQ369=1,IF('Lease Cycles'!$AT$29&gt;=9999,'Lease Cycles'!$C$29*INDEX('Lease Cycles'!$CB$29:$CH$29,1,BQ367)*(1+INDEX('Lease Cycles'!$CI$29:$CO$29,1,BQ367))^INT(INT(BQ368/12)/INDEX('Lease Cycles'!$CP$29:$CV$29,1,BQ367))/12,IF(BQ367=1,IF(BQ368&gt;=INDEX('Lease Cycles'!$DK$29:$DQ$29,1,BQ367),IF(BQ$6&gt;='Lease Cycles'!$AZ$29,'Lease Cycles'!$C$29*'Lease Cycles'!$BA$29/12,IF(BQ$6&gt;='Lease Cycles'!$AX$29,'Lease Cycles'!$C$29*'Lease Cycles'!$AY$29/12,IF(BQ$6&gt;='Lease Cycles'!$AV$29,'Lease Cycles'!$C$29*'Lease Cycles'!$AW$29/12,IF(BQ$6&gt;='Lease Cycles'!$AT$29,'Lease Cycles'!$C$29*'Lease Cycles'!$AU$29/12,'Lease Cycles'!$C$29*INDEX('Lease Cycles'!$CB$29:$CH$29,1,BQ367)*(1+INDEX('Lease Cycles'!$CI$29:$CO$29,1,BQ367))^INT(INT(BQ368/12)/INDEX('Lease Cycles'!$CP$29:$CV$29,1,BQ367))/12)))),'Lease Cycles'!$C$29*INDEX('Lease Cycles'!$CB$29:$CH$29,1,BQ367)*(1+INDEX('Lease Cycles'!$CI$29:$CO$29,1,BQ367))^INT(INT(BQ368/12)/INDEX('Lease Cycles'!$CP$29:$CV$29,1,BQ367))/12),IF(INDEX('Lease Cycles'!$EF$29:$EL$29,1,BQ367)=1,IF(AND('Lease Cycles'!$AZ$29&gt;=INDEX('Lease Cycles'!$BG$29:$BM$29,1,BQ367),'Lease Cycles'!$AZ$29&lt;=BQ$6),'Lease Cycles'!$C$29*'Lease Cycles'!$BA$29/12,IF(AND('Lease Cycles'!$AX$29&gt;=INDEX('Lease Cycles'!$BG$29:$BM$29,1,BQ367),'Lease Cycles'!$AX$29&lt;=BQ$6),'Lease Cycles'!$C$29*'Lease Cycles'!$AY$29/12,IF(AND('Lease Cycles'!$AV$29&gt;=INDEX('Lease Cycles'!$BG$29:$BM$29,1,BQ367),'Lease Cycles'!$AV$29&lt;=BQ$6),'Lease Cycles'!$C$29*'Lease Cycles'!$AW$29/12,IF(AND('Lease Cycles'!$AT$29&gt;=INDEX('Lease Cycles'!$BG$29:$BM$29,1,BQ367),'Lease Cycles'!$AT$29&lt;=BQ$6),'Lease Cycles'!$C$29*'Lease Cycles'!$AU$29/12,'Lease Cycles'!$C$29*INDEX('Lease Cycles'!$CB$29:$CH$29,1,BQ367)*(1+INDEX('Lease Cycles'!$CI$29:$CO$29,1,BQ367))^INT(INT(BQ368/12)/INDEX('Lease Cycles'!$CP$29:$CV$29,1,BQ367))/12)))),'Lease Cycles'!$C$29*INDEX('Lease Cycles'!$CB$29:$CH$29,1,BQ367)*(1+INDEX('Lease Cycles'!$CI$29:$CO$29,1,BQ367))^INT(INT(BQ368/12)/INDEX('Lease Cycles'!$CP$29:$CV$29,1,BQ367))/12))),IF('Lease Cycles'!$N$29=1,'Lease Cycles'!$C$29*'Lease Cycles'!$E$29*INDEX('Lease Cycles'!$HE$29:$HK$29,1,BQ367)*(1+INDEX('Lease Cycles'!$GQ$29:$GW$29,1,BQ367))^INT(INT((BQ$6-INDEX('Lease Cycles'!$GJ$29:$GP$29,1,BQ367))/12)/INDEX('Lease Cycles'!$GX$29:$HD$29,1,BQ367))/12,0)))</f>
        <v>0</v>
      </c>
      <c r="BR370" s="28">
        <f>IF(BR367=0,IF('Lease Cycles'!$F$29&gt;0,'Lease Cycles'!$C$29*'Lease Cycles'!$E$29/12,0),IF(BR369=1,IF('Lease Cycles'!$AT$29&gt;=9999,'Lease Cycles'!$C$29*INDEX('Lease Cycles'!$CB$29:$CH$29,1,BR367)*(1+INDEX('Lease Cycles'!$CI$29:$CO$29,1,BR367))^INT(INT(BR368/12)/INDEX('Lease Cycles'!$CP$29:$CV$29,1,BR367))/12,IF(BR367=1,IF(BR368&gt;=INDEX('Lease Cycles'!$DK$29:$DQ$29,1,BR367),IF(BR$6&gt;='Lease Cycles'!$AZ$29,'Lease Cycles'!$C$29*'Lease Cycles'!$BA$29/12,IF(BR$6&gt;='Lease Cycles'!$AX$29,'Lease Cycles'!$C$29*'Lease Cycles'!$AY$29/12,IF(BR$6&gt;='Lease Cycles'!$AV$29,'Lease Cycles'!$C$29*'Lease Cycles'!$AW$29/12,IF(BR$6&gt;='Lease Cycles'!$AT$29,'Lease Cycles'!$C$29*'Lease Cycles'!$AU$29/12,'Lease Cycles'!$C$29*INDEX('Lease Cycles'!$CB$29:$CH$29,1,BR367)*(1+INDEX('Lease Cycles'!$CI$29:$CO$29,1,BR367))^INT(INT(BR368/12)/INDEX('Lease Cycles'!$CP$29:$CV$29,1,BR367))/12)))),'Lease Cycles'!$C$29*INDEX('Lease Cycles'!$CB$29:$CH$29,1,BR367)*(1+INDEX('Lease Cycles'!$CI$29:$CO$29,1,BR367))^INT(INT(BR368/12)/INDEX('Lease Cycles'!$CP$29:$CV$29,1,BR367))/12),IF(INDEX('Lease Cycles'!$EF$29:$EL$29,1,BR367)=1,IF(AND('Lease Cycles'!$AZ$29&gt;=INDEX('Lease Cycles'!$BG$29:$BM$29,1,BR367),'Lease Cycles'!$AZ$29&lt;=BR$6),'Lease Cycles'!$C$29*'Lease Cycles'!$BA$29/12,IF(AND('Lease Cycles'!$AX$29&gt;=INDEX('Lease Cycles'!$BG$29:$BM$29,1,BR367),'Lease Cycles'!$AX$29&lt;=BR$6),'Lease Cycles'!$C$29*'Lease Cycles'!$AY$29/12,IF(AND('Lease Cycles'!$AV$29&gt;=INDEX('Lease Cycles'!$BG$29:$BM$29,1,BR367),'Lease Cycles'!$AV$29&lt;=BR$6),'Lease Cycles'!$C$29*'Lease Cycles'!$AW$29/12,IF(AND('Lease Cycles'!$AT$29&gt;=INDEX('Lease Cycles'!$BG$29:$BM$29,1,BR367),'Lease Cycles'!$AT$29&lt;=BR$6),'Lease Cycles'!$C$29*'Lease Cycles'!$AU$29/12,'Lease Cycles'!$C$29*INDEX('Lease Cycles'!$CB$29:$CH$29,1,BR367)*(1+INDEX('Lease Cycles'!$CI$29:$CO$29,1,BR367))^INT(INT(BR368/12)/INDEX('Lease Cycles'!$CP$29:$CV$29,1,BR367))/12)))),'Lease Cycles'!$C$29*INDEX('Lease Cycles'!$CB$29:$CH$29,1,BR367)*(1+INDEX('Lease Cycles'!$CI$29:$CO$29,1,BR367))^INT(INT(BR368/12)/INDEX('Lease Cycles'!$CP$29:$CV$29,1,BR367))/12))),IF('Lease Cycles'!$N$29=1,'Lease Cycles'!$C$29*'Lease Cycles'!$E$29*INDEX('Lease Cycles'!$HE$29:$HK$29,1,BR367)*(1+INDEX('Lease Cycles'!$GQ$29:$GW$29,1,BR367))^INT(INT((BR$6-INDEX('Lease Cycles'!$GJ$29:$GP$29,1,BR367))/12)/INDEX('Lease Cycles'!$GX$29:$HD$29,1,BR367))/12,0)))</f>
        <v>0</v>
      </c>
      <c r="BS370" s="28">
        <f>IF(BS367=0,IF('Lease Cycles'!$F$29&gt;0,'Lease Cycles'!$C$29*'Lease Cycles'!$E$29/12,0),IF(BS369=1,IF('Lease Cycles'!$AT$29&gt;=9999,'Lease Cycles'!$C$29*INDEX('Lease Cycles'!$CB$29:$CH$29,1,BS367)*(1+INDEX('Lease Cycles'!$CI$29:$CO$29,1,BS367))^INT(INT(BS368/12)/INDEX('Lease Cycles'!$CP$29:$CV$29,1,BS367))/12,IF(BS367=1,IF(BS368&gt;=INDEX('Lease Cycles'!$DK$29:$DQ$29,1,BS367),IF(BS$6&gt;='Lease Cycles'!$AZ$29,'Lease Cycles'!$C$29*'Lease Cycles'!$BA$29/12,IF(BS$6&gt;='Lease Cycles'!$AX$29,'Lease Cycles'!$C$29*'Lease Cycles'!$AY$29/12,IF(BS$6&gt;='Lease Cycles'!$AV$29,'Lease Cycles'!$C$29*'Lease Cycles'!$AW$29/12,IF(BS$6&gt;='Lease Cycles'!$AT$29,'Lease Cycles'!$C$29*'Lease Cycles'!$AU$29/12,'Lease Cycles'!$C$29*INDEX('Lease Cycles'!$CB$29:$CH$29,1,BS367)*(1+INDEX('Lease Cycles'!$CI$29:$CO$29,1,BS367))^INT(INT(BS368/12)/INDEX('Lease Cycles'!$CP$29:$CV$29,1,BS367))/12)))),'Lease Cycles'!$C$29*INDEX('Lease Cycles'!$CB$29:$CH$29,1,BS367)*(1+INDEX('Lease Cycles'!$CI$29:$CO$29,1,BS367))^INT(INT(BS368/12)/INDEX('Lease Cycles'!$CP$29:$CV$29,1,BS367))/12),IF(INDEX('Lease Cycles'!$EF$29:$EL$29,1,BS367)=1,IF(AND('Lease Cycles'!$AZ$29&gt;=INDEX('Lease Cycles'!$BG$29:$BM$29,1,BS367),'Lease Cycles'!$AZ$29&lt;=BS$6),'Lease Cycles'!$C$29*'Lease Cycles'!$BA$29/12,IF(AND('Lease Cycles'!$AX$29&gt;=INDEX('Lease Cycles'!$BG$29:$BM$29,1,BS367),'Lease Cycles'!$AX$29&lt;=BS$6),'Lease Cycles'!$C$29*'Lease Cycles'!$AY$29/12,IF(AND('Lease Cycles'!$AV$29&gt;=INDEX('Lease Cycles'!$BG$29:$BM$29,1,BS367),'Lease Cycles'!$AV$29&lt;=BS$6),'Lease Cycles'!$C$29*'Lease Cycles'!$AW$29/12,IF(AND('Lease Cycles'!$AT$29&gt;=INDEX('Lease Cycles'!$BG$29:$BM$29,1,BS367),'Lease Cycles'!$AT$29&lt;=BS$6),'Lease Cycles'!$C$29*'Lease Cycles'!$AU$29/12,'Lease Cycles'!$C$29*INDEX('Lease Cycles'!$CB$29:$CH$29,1,BS367)*(1+INDEX('Lease Cycles'!$CI$29:$CO$29,1,BS367))^INT(INT(BS368/12)/INDEX('Lease Cycles'!$CP$29:$CV$29,1,BS367))/12)))),'Lease Cycles'!$C$29*INDEX('Lease Cycles'!$CB$29:$CH$29,1,BS367)*(1+INDEX('Lease Cycles'!$CI$29:$CO$29,1,BS367))^INT(INT(BS368/12)/INDEX('Lease Cycles'!$CP$29:$CV$29,1,BS367))/12))),IF('Lease Cycles'!$N$29=1,'Lease Cycles'!$C$29*'Lease Cycles'!$E$29*INDEX('Lease Cycles'!$HE$29:$HK$29,1,BS367)*(1+INDEX('Lease Cycles'!$GQ$29:$GW$29,1,BS367))^INT(INT((BS$6-INDEX('Lease Cycles'!$GJ$29:$GP$29,1,BS367))/12)/INDEX('Lease Cycles'!$GX$29:$HD$29,1,BS367))/12,0)))</f>
        <v>0</v>
      </c>
      <c r="BT370" s="28">
        <f>IF(BT367=0,IF('Lease Cycles'!$F$29&gt;0,'Lease Cycles'!$C$29*'Lease Cycles'!$E$29/12,0),IF(BT369=1,IF('Lease Cycles'!$AT$29&gt;=9999,'Lease Cycles'!$C$29*INDEX('Lease Cycles'!$CB$29:$CH$29,1,BT367)*(1+INDEX('Lease Cycles'!$CI$29:$CO$29,1,BT367))^INT(INT(BT368/12)/INDEX('Lease Cycles'!$CP$29:$CV$29,1,BT367))/12,IF(BT367=1,IF(BT368&gt;=INDEX('Lease Cycles'!$DK$29:$DQ$29,1,BT367),IF(BT$6&gt;='Lease Cycles'!$AZ$29,'Lease Cycles'!$C$29*'Lease Cycles'!$BA$29/12,IF(BT$6&gt;='Lease Cycles'!$AX$29,'Lease Cycles'!$C$29*'Lease Cycles'!$AY$29/12,IF(BT$6&gt;='Lease Cycles'!$AV$29,'Lease Cycles'!$C$29*'Lease Cycles'!$AW$29/12,IF(BT$6&gt;='Lease Cycles'!$AT$29,'Lease Cycles'!$C$29*'Lease Cycles'!$AU$29/12,'Lease Cycles'!$C$29*INDEX('Lease Cycles'!$CB$29:$CH$29,1,BT367)*(1+INDEX('Lease Cycles'!$CI$29:$CO$29,1,BT367))^INT(INT(BT368/12)/INDEX('Lease Cycles'!$CP$29:$CV$29,1,BT367))/12)))),'Lease Cycles'!$C$29*INDEX('Lease Cycles'!$CB$29:$CH$29,1,BT367)*(1+INDEX('Lease Cycles'!$CI$29:$CO$29,1,BT367))^INT(INT(BT368/12)/INDEX('Lease Cycles'!$CP$29:$CV$29,1,BT367))/12),IF(INDEX('Lease Cycles'!$EF$29:$EL$29,1,BT367)=1,IF(AND('Lease Cycles'!$AZ$29&gt;=INDEX('Lease Cycles'!$BG$29:$BM$29,1,BT367),'Lease Cycles'!$AZ$29&lt;=BT$6),'Lease Cycles'!$C$29*'Lease Cycles'!$BA$29/12,IF(AND('Lease Cycles'!$AX$29&gt;=INDEX('Lease Cycles'!$BG$29:$BM$29,1,BT367),'Lease Cycles'!$AX$29&lt;=BT$6),'Lease Cycles'!$C$29*'Lease Cycles'!$AY$29/12,IF(AND('Lease Cycles'!$AV$29&gt;=INDEX('Lease Cycles'!$BG$29:$BM$29,1,BT367),'Lease Cycles'!$AV$29&lt;=BT$6),'Lease Cycles'!$C$29*'Lease Cycles'!$AW$29/12,IF(AND('Lease Cycles'!$AT$29&gt;=INDEX('Lease Cycles'!$BG$29:$BM$29,1,BT367),'Lease Cycles'!$AT$29&lt;=BT$6),'Lease Cycles'!$C$29*'Lease Cycles'!$AU$29/12,'Lease Cycles'!$C$29*INDEX('Lease Cycles'!$CB$29:$CH$29,1,BT367)*(1+INDEX('Lease Cycles'!$CI$29:$CO$29,1,BT367))^INT(INT(BT368/12)/INDEX('Lease Cycles'!$CP$29:$CV$29,1,BT367))/12)))),'Lease Cycles'!$C$29*INDEX('Lease Cycles'!$CB$29:$CH$29,1,BT367)*(1+INDEX('Lease Cycles'!$CI$29:$CO$29,1,BT367))^INT(INT(BT368/12)/INDEX('Lease Cycles'!$CP$29:$CV$29,1,BT367))/12))),IF('Lease Cycles'!$N$29=1,'Lease Cycles'!$C$29*'Lease Cycles'!$E$29*INDEX('Lease Cycles'!$HE$29:$HK$29,1,BT367)*(1+INDEX('Lease Cycles'!$GQ$29:$GW$29,1,BT367))^INT(INT((BT$6-INDEX('Lease Cycles'!$GJ$29:$GP$29,1,BT367))/12)/INDEX('Lease Cycles'!$GX$29:$HD$29,1,BT367))/12,0)))</f>
        <v>0</v>
      </c>
      <c r="BU370" s="28">
        <f>IF(BU367=0,IF('Lease Cycles'!$F$29&gt;0,'Lease Cycles'!$C$29*'Lease Cycles'!$E$29/12,0),IF(BU369=1,IF('Lease Cycles'!$AT$29&gt;=9999,'Lease Cycles'!$C$29*INDEX('Lease Cycles'!$CB$29:$CH$29,1,BU367)*(1+INDEX('Lease Cycles'!$CI$29:$CO$29,1,BU367))^INT(INT(BU368/12)/INDEX('Lease Cycles'!$CP$29:$CV$29,1,BU367))/12,IF(BU367=1,IF(BU368&gt;=INDEX('Lease Cycles'!$DK$29:$DQ$29,1,BU367),IF(BU$6&gt;='Lease Cycles'!$AZ$29,'Lease Cycles'!$C$29*'Lease Cycles'!$BA$29/12,IF(BU$6&gt;='Lease Cycles'!$AX$29,'Lease Cycles'!$C$29*'Lease Cycles'!$AY$29/12,IF(BU$6&gt;='Lease Cycles'!$AV$29,'Lease Cycles'!$C$29*'Lease Cycles'!$AW$29/12,IF(BU$6&gt;='Lease Cycles'!$AT$29,'Lease Cycles'!$C$29*'Lease Cycles'!$AU$29/12,'Lease Cycles'!$C$29*INDEX('Lease Cycles'!$CB$29:$CH$29,1,BU367)*(1+INDEX('Lease Cycles'!$CI$29:$CO$29,1,BU367))^INT(INT(BU368/12)/INDEX('Lease Cycles'!$CP$29:$CV$29,1,BU367))/12)))),'Lease Cycles'!$C$29*INDEX('Lease Cycles'!$CB$29:$CH$29,1,BU367)*(1+INDEX('Lease Cycles'!$CI$29:$CO$29,1,BU367))^INT(INT(BU368/12)/INDEX('Lease Cycles'!$CP$29:$CV$29,1,BU367))/12),IF(INDEX('Lease Cycles'!$EF$29:$EL$29,1,BU367)=1,IF(AND('Lease Cycles'!$AZ$29&gt;=INDEX('Lease Cycles'!$BG$29:$BM$29,1,BU367),'Lease Cycles'!$AZ$29&lt;=BU$6),'Lease Cycles'!$C$29*'Lease Cycles'!$BA$29/12,IF(AND('Lease Cycles'!$AX$29&gt;=INDEX('Lease Cycles'!$BG$29:$BM$29,1,BU367),'Lease Cycles'!$AX$29&lt;=BU$6),'Lease Cycles'!$C$29*'Lease Cycles'!$AY$29/12,IF(AND('Lease Cycles'!$AV$29&gt;=INDEX('Lease Cycles'!$BG$29:$BM$29,1,BU367),'Lease Cycles'!$AV$29&lt;=BU$6),'Lease Cycles'!$C$29*'Lease Cycles'!$AW$29/12,IF(AND('Lease Cycles'!$AT$29&gt;=INDEX('Lease Cycles'!$BG$29:$BM$29,1,BU367),'Lease Cycles'!$AT$29&lt;=BU$6),'Lease Cycles'!$C$29*'Lease Cycles'!$AU$29/12,'Lease Cycles'!$C$29*INDEX('Lease Cycles'!$CB$29:$CH$29,1,BU367)*(1+INDEX('Lease Cycles'!$CI$29:$CO$29,1,BU367))^INT(INT(BU368/12)/INDEX('Lease Cycles'!$CP$29:$CV$29,1,BU367))/12)))),'Lease Cycles'!$C$29*INDEX('Lease Cycles'!$CB$29:$CH$29,1,BU367)*(1+INDEX('Lease Cycles'!$CI$29:$CO$29,1,BU367))^INT(INT(BU368/12)/INDEX('Lease Cycles'!$CP$29:$CV$29,1,BU367))/12))),IF('Lease Cycles'!$N$29=1,'Lease Cycles'!$C$29*'Lease Cycles'!$E$29*INDEX('Lease Cycles'!$HE$29:$HK$29,1,BU367)*(1+INDEX('Lease Cycles'!$GQ$29:$GW$29,1,BU367))^INT(INT((BU$6-INDEX('Lease Cycles'!$GJ$29:$GP$29,1,BU367))/12)/INDEX('Lease Cycles'!$GX$29:$HD$29,1,BU367))/12,0)))</f>
        <v>0</v>
      </c>
      <c r="BV370" s="28">
        <f>IF(BV367=0,IF('Lease Cycles'!$F$29&gt;0,'Lease Cycles'!$C$29*'Lease Cycles'!$E$29/12,0),IF(BV369=1,IF('Lease Cycles'!$AT$29&gt;=9999,'Lease Cycles'!$C$29*INDEX('Lease Cycles'!$CB$29:$CH$29,1,BV367)*(1+INDEX('Lease Cycles'!$CI$29:$CO$29,1,BV367))^INT(INT(BV368/12)/INDEX('Lease Cycles'!$CP$29:$CV$29,1,BV367))/12,IF(BV367=1,IF(BV368&gt;=INDEX('Lease Cycles'!$DK$29:$DQ$29,1,BV367),IF(BV$6&gt;='Lease Cycles'!$AZ$29,'Lease Cycles'!$C$29*'Lease Cycles'!$BA$29/12,IF(BV$6&gt;='Lease Cycles'!$AX$29,'Lease Cycles'!$C$29*'Lease Cycles'!$AY$29/12,IF(BV$6&gt;='Lease Cycles'!$AV$29,'Lease Cycles'!$C$29*'Lease Cycles'!$AW$29/12,IF(BV$6&gt;='Lease Cycles'!$AT$29,'Lease Cycles'!$C$29*'Lease Cycles'!$AU$29/12,'Lease Cycles'!$C$29*INDEX('Lease Cycles'!$CB$29:$CH$29,1,BV367)*(1+INDEX('Lease Cycles'!$CI$29:$CO$29,1,BV367))^INT(INT(BV368/12)/INDEX('Lease Cycles'!$CP$29:$CV$29,1,BV367))/12)))),'Lease Cycles'!$C$29*INDEX('Lease Cycles'!$CB$29:$CH$29,1,BV367)*(1+INDEX('Lease Cycles'!$CI$29:$CO$29,1,BV367))^INT(INT(BV368/12)/INDEX('Lease Cycles'!$CP$29:$CV$29,1,BV367))/12),IF(INDEX('Lease Cycles'!$EF$29:$EL$29,1,BV367)=1,IF(AND('Lease Cycles'!$AZ$29&gt;=INDEX('Lease Cycles'!$BG$29:$BM$29,1,BV367),'Lease Cycles'!$AZ$29&lt;=BV$6),'Lease Cycles'!$C$29*'Lease Cycles'!$BA$29/12,IF(AND('Lease Cycles'!$AX$29&gt;=INDEX('Lease Cycles'!$BG$29:$BM$29,1,BV367),'Lease Cycles'!$AX$29&lt;=BV$6),'Lease Cycles'!$C$29*'Lease Cycles'!$AY$29/12,IF(AND('Lease Cycles'!$AV$29&gt;=INDEX('Lease Cycles'!$BG$29:$BM$29,1,BV367),'Lease Cycles'!$AV$29&lt;=BV$6),'Lease Cycles'!$C$29*'Lease Cycles'!$AW$29/12,IF(AND('Lease Cycles'!$AT$29&gt;=INDEX('Lease Cycles'!$BG$29:$BM$29,1,BV367),'Lease Cycles'!$AT$29&lt;=BV$6),'Lease Cycles'!$C$29*'Lease Cycles'!$AU$29/12,'Lease Cycles'!$C$29*INDEX('Lease Cycles'!$CB$29:$CH$29,1,BV367)*(1+INDEX('Lease Cycles'!$CI$29:$CO$29,1,BV367))^INT(INT(BV368/12)/INDEX('Lease Cycles'!$CP$29:$CV$29,1,BV367))/12)))),'Lease Cycles'!$C$29*INDEX('Lease Cycles'!$CB$29:$CH$29,1,BV367)*(1+INDEX('Lease Cycles'!$CI$29:$CO$29,1,BV367))^INT(INT(BV368/12)/INDEX('Lease Cycles'!$CP$29:$CV$29,1,BV367))/12))),IF('Lease Cycles'!$N$29=1,'Lease Cycles'!$C$29*'Lease Cycles'!$E$29*INDEX('Lease Cycles'!$HE$29:$HK$29,1,BV367)*(1+INDEX('Lease Cycles'!$GQ$29:$GW$29,1,BV367))^INT(INT((BV$6-INDEX('Lease Cycles'!$GJ$29:$GP$29,1,BV367))/12)/INDEX('Lease Cycles'!$GX$29:$HD$29,1,BV367))/12,0)))</f>
        <v>0</v>
      </c>
      <c r="BW370" s="28">
        <f>IF(BW367=0,IF('Lease Cycles'!$F$29&gt;0,'Lease Cycles'!$C$29*'Lease Cycles'!$E$29/12,0),IF(BW369=1,IF('Lease Cycles'!$AT$29&gt;=9999,'Lease Cycles'!$C$29*INDEX('Lease Cycles'!$CB$29:$CH$29,1,BW367)*(1+INDEX('Lease Cycles'!$CI$29:$CO$29,1,BW367))^INT(INT(BW368/12)/INDEX('Lease Cycles'!$CP$29:$CV$29,1,BW367))/12,IF(BW367=1,IF(BW368&gt;=INDEX('Lease Cycles'!$DK$29:$DQ$29,1,BW367),IF(BW$6&gt;='Lease Cycles'!$AZ$29,'Lease Cycles'!$C$29*'Lease Cycles'!$BA$29/12,IF(BW$6&gt;='Lease Cycles'!$AX$29,'Lease Cycles'!$C$29*'Lease Cycles'!$AY$29/12,IF(BW$6&gt;='Lease Cycles'!$AV$29,'Lease Cycles'!$C$29*'Lease Cycles'!$AW$29/12,IF(BW$6&gt;='Lease Cycles'!$AT$29,'Lease Cycles'!$C$29*'Lease Cycles'!$AU$29/12,'Lease Cycles'!$C$29*INDEX('Lease Cycles'!$CB$29:$CH$29,1,BW367)*(1+INDEX('Lease Cycles'!$CI$29:$CO$29,1,BW367))^INT(INT(BW368/12)/INDEX('Lease Cycles'!$CP$29:$CV$29,1,BW367))/12)))),'Lease Cycles'!$C$29*INDEX('Lease Cycles'!$CB$29:$CH$29,1,BW367)*(1+INDEX('Lease Cycles'!$CI$29:$CO$29,1,BW367))^INT(INT(BW368/12)/INDEX('Lease Cycles'!$CP$29:$CV$29,1,BW367))/12),IF(INDEX('Lease Cycles'!$EF$29:$EL$29,1,BW367)=1,IF(AND('Lease Cycles'!$AZ$29&gt;=INDEX('Lease Cycles'!$BG$29:$BM$29,1,BW367),'Lease Cycles'!$AZ$29&lt;=BW$6),'Lease Cycles'!$C$29*'Lease Cycles'!$BA$29/12,IF(AND('Lease Cycles'!$AX$29&gt;=INDEX('Lease Cycles'!$BG$29:$BM$29,1,BW367),'Lease Cycles'!$AX$29&lt;=BW$6),'Lease Cycles'!$C$29*'Lease Cycles'!$AY$29/12,IF(AND('Lease Cycles'!$AV$29&gt;=INDEX('Lease Cycles'!$BG$29:$BM$29,1,BW367),'Lease Cycles'!$AV$29&lt;=BW$6),'Lease Cycles'!$C$29*'Lease Cycles'!$AW$29/12,IF(AND('Lease Cycles'!$AT$29&gt;=INDEX('Lease Cycles'!$BG$29:$BM$29,1,BW367),'Lease Cycles'!$AT$29&lt;=BW$6),'Lease Cycles'!$C$29*'Lease Cycles'!$AU$29/12,'Lease Cycles'!$C$29*INDEX('Lease Cycles'!$CB$29:$CH$29,1,BW367)*(1+INDEX('Lease Cycles'!$CI$29:$CO$29,1,BW367))^INT(INT(BW368/12)/INDEX('Lease Cycles'!$CP$29:$CV$29,1,BW367))/12)))),'Lease Cycles'!$C$29*INDEX('Lease Cycles'!$CB$29:$CH$29,1,BW367)*(1+INDEX('Lease Cycles'!$CI$29:$CO$29,1,BW367))^INT(INT(BW368/12)/INDEX('Lease Cycles'!$CP$29:$CV$29,1,BW367))/12))),IF('Lease Cycles'!$N$29=1,'Lease Cycles'!$C$29*'Lease Cycles'!$E$29*INDEX('Lease Cycles'!$HE$29:$HK$29,1,BW367)*(1+INDEX('Lease Cycles'!$GQ$29:$GW$29,1,BW367))^INT(INT((BW$6-INDEX('Lease Cycles'!$GJ$29:$GP$29,1,BW367))/12)/INDEX('Lease Cycles'!$GX$29:$HD$29,1,BW367))/12,0)))</f>
        <v>0</v>
      </c>
      <c r="BX370" s="28">
        <f>IF(BX367=0,IF('Lease Cycles'!$F$29&gt;0,'Lease Cycles'!$C$29*'Lease Cycles'!$E$29/12,0),IF(BX369=1,IF('Lease Cycles'!$AT$29&gt;=9999,'Lease Cycles'!$C$29*INDEX('Lease Cycles'!$CB$29:$CH$29,1,BX367)*(1+INDEX('Lease Cycles'!$CI$29:$CO$29,1,BX367))^INT(INT(BX368/12)/INDEX('Lease Cycles'!$CP$29:$CV$29,1,BX367))/12,IF(BX367=1,IF(BX368&gt;=INDEX('Lease Cycles'!$DK$29:$DQ$29,1,BX367),IF(BX$6&gt;='Lease Cycles'!$AZ$29,'Lease Cycles'!$C$29*'Lease Cycles'!$BA$29/12,IF(BX$6&gt;='Lease Cycles'!$AX$29,'Lease Cycles'!$C$29*'Lease Cycles'!$AY$29/12,IF(BX$6&gt;='Lease Cycles'!$AV$29,'Lease Cycles'!$C$29*'Lease Cycles'!$AW$29/12,IF(BX$6&gt;='Lease Cycles'!$AT$29,'Lease Cycles'!$C$29*'Lease Cycles'!$AU$29/12,'Lease Cycles'!$C$29*INDEX('Lease Cycles'!$CB$29:$CH$29,1,BX367)*(1+INDEX('Lease Cycles'!$CI$29:$CO$29,1,BX367))^INT(INT(BX368/12)/INDEX('Lease Cycles'!$CP$29:$CV$29,1,BX367))/12)))),'Lease Cycles'!$C$29*INDEX('Lease Cycles'!$CB$29:$CH$29,1,BX367)*(1+INDEX('Lease Cycles'!$CI$29:$CO$29,1,BX367))^INT(INT(BX368/12)/INDEX('Lease Cycles'!$CP$29:$CV$29,1,BX367))/12),IF(INDEX('Lease Cycles'!$EF$29:$EL$29,1,BX367)=1,IF(AND('Lease Cycles'!$AZ$29&gt;=INDEX('Lease Cycles'!$BG$29:$BM$29,1,BX367),'Lease Cycles'!$AZ$29&lt;=BX$6),'Lease Cycles'!$C$29*'Lease Cycles'!$BA$29/12,IF(AND('Lease Cycles'!$AX$29&gt;=INDEX('Lease Cycles'!$BG$29:$BM$29,1,BX367),'Lease Cycles'!$AX$29&lt;=BX$6),'Lease Cycles'!$C$29*'Lease Cycles'!$AY$29/12,IF(AND('Lease Cycles'!$AV$29&gt;=INDEX('Lease Cycles'!$BG$29:$BM$29,1,BX367),'Lease Cycles'!$AV$29&lt;=BX$6),'Lease Cycles'!$C$29*'Lease Cycles'!$AW$29/12,IF(AND('Lease Cycles'!$AT$29&gt;=INDEX('Lease Cycles'!$BG$29:$BM$29,1,BX367),'Lease Cycles'!$AT$29&lt;=BX$6),'Lease Cycles'!$C$29*'Lease Cycles'!$AU$29/12,'Lease Cycles'!$C$29*INDEX('Lease Cycles'!$CB$29:$CH$29,1,BX367)*(1+INDEX('Lease Cycles'!$CI$29:$CO$29,1,BX367))^INT(INT(BX368/12)/INDEX('Lease Cycles'!$CP$29:$CV$29,1,BX367))/12)))),'Lease Cycles'!$C$29*INDEX('Lease Cycles'!$CB$29:$CH$29,1,BX367)*(1+INDEX('Lease Cycles'!$CI$29:$CO$29,1,BX367))^INT(INT(BX368/12)/INDEX('Lease Cycles'!$CP$29:$CV$29,1,BX367))/12))),IF('Lease Cycles'!$N$29=1,'Lease Cycles'!$C$29*'Lease Cycles'!$E$29*INDEX('Lease Cycles'!$HE$29:$HK$29,1,BX367)*(1+INDEX('Lease Cycles'!$GQ$29:$GW$29,1,BX367))^INT(INT((BX$6-INDEX('Lease Cycles'!$GJ$29:$GP$29,1,BX367))/12)/INDEX('Lease Cycles'!$GX$29:$HD$29,1,BX367))/12,0)))</f>
        <v>0</v>
      </c>
      <c r="BY370" s="28">
        <f>IF(BY367=0,IF('Lease Cycles'!$F$29&gt;0,'Lease Cycles'!$C$29*'Lease Cycles'!$E$29/12,0),IF(BY369=1,IF('Lease Cycles'!$AT$29&gt;=9999,'Lease Cycles'!$C$29*INDEX('Lease Cycles'!$CB$29:$CH$29,1,BY367)*(1+INDEX('Lease Cycles'!$CI$29:$CO$29,1,BY367))^INT(INT(BY368/12)/INDEX('Lease Cycles'!$CP$29:$CV$29,1,BY367))/12,IF(BY367=1,IF(BY368&gt;=INDEX('Lease Cycles'!$DK$29:$DQ$29,1,BY367),IF(BY$6&gt;='Lease Cycles'!$AZ$29,'Lease Cycles'!$C$29*'Lease Cycles'!$BA$29/12,IF(BY$6&gt;='Lease Cycles'!$AX$29,'Lease Cycles'!$C$29*'Lease Cycles'!$AY$29/12,IF(BY$6&gt;='Lease Cycles'!$AV$29,'Lease Cycles'!$C$29*'Lease Cycles'!$AW$29/12,IF(BY$6&gt;='Lease Cycles'!$AT$29,'Lease Cycles'!$C$29*'Lease Cycles'!$AU$29/12,'Lease Cycles'!$C$29*INDEX('Lease Cycles'!$CB$29:$CH$29,1,BY367)*(1+INDEX('Lease Cycles'!$CI$29:$CO$29,1,BY367))^INT(INT(BY368/12)/INDEX('Lease Cycles'!$CP$29:$CV$29,1,BY367))/12)))),'Lease Cycles'!$C$29*INDEX('Lease Cycles'!$CB$29:$CH$29,1,BY367)*(1+INDEX('Lease Cycles'!$CI$29:$CO$29,1,BY367))^INT(INT(BY368/12)/INDEX('Lease Cycles'!$CP$29:$CV$29,1,BY367))/12),IF(INDEX('Lease Cycles'!$EF$29:$EL$29,1,BY367)=1,IF(AND('Lease Cycles'!$AZ$29&gt;=INDEX('Lease Cycles'!$BG$29:$BM$29,1,BY367),'Lease Cycles'!$AZ$29&lt;=BY$6),'Lease Cycles'!$C$29*'Lease Cycles'!$BA$29/12,IF(AND('Lease Cycles'!$AX$29&gt;=INDEX('Lease Cycles'!$BG$29:$BM$29,1,BY367),'Lease Cycles'!$AX$29&lt;=BY$6),'Lease Cycles'!$C$29*'Lease Cycles'!$AY$29/12,IF(AND('Lease Cycles'!$AV$29&gt;=INDEX('Lease Cycles'!$BG$29:$BM$29,1,BY367),'Lease Cycles'!$AV$29&lt;=BY$6),'Lease Cycles'!$C$29*'Lease Cycles'!$AW$29/12,IF(AND('Lease Cycles'!$AT$29&gt;=INDEX('Lease Cycles'!$BG$29:$BM$29,1,BY367),'Lease Cycles'!$AT$29&lt;=BY$6),'Lease Cycles'!$C$29*'Lease Cycles'!$AU$29/12,'Lease Cycles'!$C$29*INDEX('Lease Cycles'!$CB$29:$CH$29,1,BY367)*(1+INDEX('Lease Cycles'!$CI$29:$CO$29,1,BY367))^INT(INT(BY368/12)/INDEX('Lease Cycles'!$CP$29:$CV$29,1,BY367))/12)))),'Lease Cycles'!$C$29*INDEX('Lease Cycles'!$CB$29:$CH$29,1,BY367)*(1+INDEX('Lease Cycles'!$CI$29:$CO$29,1,BY367))^INT(INT(BY368/12)/INDEX('Lease Cycles'!$CP$29:$CV$29,1,BY367))/12))),IF('Lease Cycles'!$N$29=1,'Lease Cycles'!$C$29*'Lease Cycles'!$E$29*INDEX('Lease Cycles'!$HE$29:$HK$29,1,BY367)*(1+INDEX('Lease Cycles'!$GQ$29:$GW$29,1,BY367))^INT(INT((BY$6-INDEX('Lease Cycles'!$GJ$29:$GP$29,1,BY367))/12)/INDEX('Lease Cycles'!$GX$29:$HD$29,1,BY367))/12,0)))</f>
        <v>0</v>
      </c>
      <c r="BZ370" s="28">
        <f>IF(BZ367=0,IF('Lease Cycles'!$F$29&gt;0,'Lease Cycles'!$C$29*'Lease Cycles'!$E$29/12,0),IF(BZ369=1,IF('Lease Cycles'!$AT$29&gt;=9999,'Lease Cycles'!$C$29*INDEX('Lease Cycles'!$CB$29:$CH$29,1,BZ367)*(1+INDEX('Lease Cycles'!$CI$29:$CO$29,1,BZ367))^INT(INT(BZ368/12)/INDEX('Lease Cycles'!$CP$29:$CV$29,1,BZ367))/12,IF(BZ367=1,IF(BZ368&gt;=INDEX('Lease Cycles'!$DK$29:$DQ$29,1,BZ367),IF(BZ$6&gt;='Lease Cycles'!$AZ$29,'Lease Cycles'!$C$29*'Lease Cycles'!$BA$29/12,IF(BZ$6&gt;='Lease Cycles'!$AX$29,'Lease Cycles'!$C$29*'Lease Cycles'!$AY$29/12,IF(BZ$6&gt;='Lease Cycles'!$AV$29,'Lease Cycles'!$C$29*'Lease Cycles'!$AW$29/12,IF(BZ$6&gt;='Lease Cycles'!$AT$29,'Lease Cycles'!$C$29*'Lease Cycles'!$AU$29/12,'Lease Cycles'!$C$29*INDEX('Lease Cycles'!$CB$29:$CH$29,1,BZ367)*(1+INDEX('Lease Cycles'!$CI$29:$CO$29,1,BZ367))^INT(INT(BZ368/12)/INDEX('Lease Cycles'!$CP$29:$CV$29,1,BZ367))/12)))),'Lease Cycles'!$C$29*INDEX('Lease Cycles'!$CB$29:$CH$29,1,BZ367)*(1+INDEX('Lease Cycles'!$CI$29:$CO$29,1,BZ367))^INT(INT(BZ368/12)/INDEX('Lease Cycles'!$CP$29:$CV$29,1,BZ367))/12),IF(INDEX('Lease Cycles'!$EF$29:$EL$29,1,BZ367)=1,IF(AND('Lease Cycles'!$AZ$29&gt;=INDEX('Lease Cycles'!$BG$29:$BM$29,1,BZ367),'Lease Cycles'!$AZ$29&lt;=BZ$6),'Lease Cycles'!$C$29*'Lease Cycles'!$BA$29/12,IF(AND('Lease Cycles'!$AX$29&gt;=INDEX('Lease Cycles'!$BG$29:$BM$29,1,BZ367),'Lease Cycles'!$AX$29&lt;=BZ$6),'Lease Cycles'!$C$29*'Lease Cycles'!$AY$29/12,IF(AND('Lease Cycles'!$AV$29&gt;=INDEX('Lease Cycles'!$BG$29:$BM$29,1,BZ367),'Lease Cycles'!$AV$29&lt;=BZ$6),'Lease Cycles'!$C$29*'Lease Cycles'!$AW$29/12,IF(AND('Lease Cycles'!$AT$29&gt;=INDEX('Lease Cycles'!$BG$29:$BM$29,1,BZ367),'Lease Cycles'!$AT$29&lt;=BZ$6),'Lease Cycles'!$C$29*'Lease Cycles'!$AU$29/12,'Lease Cycles'!$C$29*INDEX('Lease Cycles'!$CB$29:$CH$29,1,BZ367)*(1+INDEX('Lease Cycles'!$CI$29:$CO$29,1,BZ367))^INT(INT(BZ368/12)/INDEX('Lease Cycles'!$CP$29:$CV$29,1,BZ367))/12)))),'Lease Cycles'!$C$29*INDEX('Lease Cycles'!$CB$29:$CH$29,1,BZ367)*(1+INDEX('Lease Cycles'!$CI$29:$CO$29,1,BZ367))^INT(INT(BZ368/12)/INDEX('Lease Cycles'!$CP$29:$CV$29,1,BZ367))/12))),IF('Lease Cycles'!$N$29=1,'Lease Cycles'!$C$29*'Lease Cycles'!$E$29*INDEX('Lease Cycles'!$HE$29:$HK$29,1,BZ367)*(1+INDEX('Lease Cycles'!$GQ$29:$GW$29,1,BZ367))^INT(INT((BZ$6-INDEX('Lease Cycles'!$GJ$29:$GP$29,1,BZ367))/12)/INDEX('Lease Cycles'!$GX$29:$HD$29,1,BZ367))/12,0)))</f>
        <v>0</v>
      </c>
      <c r="CA370" s="28">
        <f>IF(CA367=0,IF('Lease Cycles'!$F$29&gt;0,'Lease Cycles'!$C$29*'Lease Cycles'!$E$29/12,0),IF(CA369=1,IF('Lease Cycles'!$AT$29&gt;=9999,'Lease Cycles'!$C$29*INDEX('Lease Cycles'!$CB$29:$CH$29,1,CA367)*(1+INDEX('Lease Cycles'!$CI$29:$CO$29,1,CA367))^INT(INT(CA368/12)/INDEX('Lease Cycles'!$CP$29:$CV$29,1,CA367))/12,IF(CA367=1,IF(CA368&gt;=INDEX('Lease Cycles'!$DK$29:$DQ$29,1,CA367),IF(CA$6&gt;='Lease Cycles'!$AZ$29,'Lease Cycles'!$C$29*'Lease Cycles'!$BA$29/12,IF(CA$6&gt;='Lease Cycles'!$AX$29,'Lease Cycles'!$C$29*'Lease Cycles'!$AY$29/12,IF(CA$6&gt;='Lease Cycles'!$AV$29,'Lease Cycles'!$C$29*'Lease Cycles'!$AW$29/12,IF(CA$6&gt;='Lease Cycles'!$AT$29,'Lease Cycles'!$C$29*'Lease Cycles'!$AU$29/12,'Lease Cycles'!$C$29*INDEX('Lease Cycles'!$CB$29:$CH$29,1,CA367)*(1+INDEX('Lease Cycles'!$CI$29:$CO$29,1,CA367))^INT(INT(CA368/12)/INDEX('Lease Cycles'!$CP$29:$CV$29,1,CA367))/12)))),'Lease Cycles'!$C$29*INDEX('Lease Cycles'!$CB$29:$CH$29,1,CA367)*(1+INDEX('Lease Cycles'!$CI$29:$CO$29,1,CA367))^INT(INT(CA368/12)/INDEX('Lease Cycles'!$CP$29:$CV$29,1,CA367))/12),IF(INDEX('Lease Cycles'!$EF$29:$EL$29,1,CA367)=1,IF(AND('Lease Cycles'!$AZ$29&gt;=INDEX('Lease Cycles'!$BG$29:$BM$29,1,CA367),'Lease Cycles'!$AZ$29&lt;=CA$6),'Lease Cycles'!$C$29*'Lease Cycles'!$BA$29/12,IF(AND('Lease Cycles'!$AX$29&gt;=INDEX('Lease Cycles'!$BG$29:$BM$29,1,CA367),'Lease Cycles'!$AX$29&lt;=CA$6),'Lease Cycles'!$C$29*'Lease Cycles'!$AY$29/12,IF(AND('Lease Cycles'!$AV$29&gt;=INDEX('Lease Cycles'!$BG$29:$BM$29,1,CA367),'Lease Cycles'!$AV$29&lt;=CA$6),'Lease Cycles'!$C$29*'Lease Cycles'!$AW$29/12,IF(AND('Lease Cycles'!$AT$29&gt;=INDEX('Lease Cycles'!$BG$29:$BM$29,1,CA367),'Lease Cycles'!$AT$29&lt;=CA$6),'Lease Cycles'!$C$29*'Lease Cycles'!$AU$29/12,'Lease Cycles'!$C$29*INDEX('Lease Cycles'!$CB$29:$CH$29,1,CA367)*(1+INDEX('Lease Cycles'!$CI$29:$CO$29,1,CA367))^INT(INT(CA368/12)/INDEX('Lease Cycles'!$CP$29:$CV$29,1,CA367))/12)))),'Lease Cycles'!$C$29*INDEX('Lease Cycles'!$CB$29:$CH$29,1,CA367)*(1+INDEX('Lease Cycles'!$CI$29:$CO$29,1,CA367))^INT(INT(CA368/12)/INDEX('Lease Cycles'!$CP$29:$CV$29,1,CA367))/12))),IF('Lease Cycles'!$N$29=1,'Lease Cycles'!$C$29*'Lease Cycles'!$E$29*INDEX('Lease Cycles'!$HE$29:$HK$29,1,CA367)*(1+INDEX('Lease Cycles'!$GQ$29:$GW$29,1,CA367))^INT(INT((CA$6-INDEX('Lease Cycles'!$GJ$29:$GP$29,1,CA367))/12)/INDEX('Lease Cycles'!$GX$29:$HD$29,1,CA367))/12,0)))</f>
        <v>0</v>
      </c>
      <c r="CB370" s="28">
        <f>IF(CB367=0,IF('Lease Cycles'!$F$29&gt;0,'Lease Cycles'!$C$29*'Lease Cycles'!$E$29/12,0),IF(CB369=1,IF('Lease Cycles'!$AT$29&gt;=9999,'Lease Cycles'!$C$29*INDEX('Lease Cycles'!$CB$29:$CH$29,1,CB367)*(1+INDEX('Lease Cycles'!$CI$29:$CO$29,1,CB367))^INT(INT(CB368/12)/INDEX('Lease Cycles'!$CP$29:$CV$29,1,CB367))/12,IF(CB367=1,IF(CB368&gt;=INDEX('Lease Cycles'!$DK$29:$DQ$29,1,CB367),IF(CB$6&gt;='Lease Cycles'!$AZ$29,'Lease Cycles'!$C$29*'Lease Cycles'!$BA$29/12,IF(CB$6&gt;='Lease Cycles'!$AX$29,'Lease Cycles'!$C$29*'Lease Cycles'!$AY$29/12,IF(CB$6&gt;='Lease Cycles'!$AV$29,'Lease Cycles'!$C$29*'Lease Cycles'!$AW$29/12,IF(CB$6&gt;='Lease Cycles'!$AT$29,'Lease Cycles'!$C$29*'Lease Cycles'!$AU$29/12,'Lease Cycles'!$C$29*INDEX('Lease Cycles'!$CB$29:$CH$29,1,CB367)*(1+INDEX('Lease Cycles'!$CI$29:$CO$29,1,CB367))^INT(INT(CB368/12)/INDEX('Lease Cycles'!$CP$29:$CV$29,1,CB367))/12)))),'Lease Cycles'!$C$29*INDEX('Lease Cycles'!$CB$29:$CH$29,1,CB367)*(1+INDEX('Lease Cycles'!$CI$29:$CO$29,1,CB367))^INT(INT(CB368/12)/INDEX('Lease Cycles'!$CP$29:$CV$29,1,CB367))/12),IF(INDEX('Lease Cycles'!$EF$29:$EL$29,1,CB367)=1,IF(AND('Lease Cycles'!$AZ$29&gt;=INDEX('Lease Cycles'!$BG$29:$BM$29,1,CB367),'Lease Cycles'!$AZ$29&lt;=CB$6),'Lease Cycles'!$C$29*'Lease Cycles'!$BA$29/12,IF(AND('Lease Cycles'!$AX$29&gt;=INDEX('Lease Cycles'!$BG$29:$BM$29,1,CB367),'Lease Cycles'!$AX$29&lt;=CB$6),'Lease Cycles'!$C$29*'Lease Cycles'!$AY$29/12,IF(AND('Lease Cycles'!$AV$29&gt;=INDEX('Lease Cycles'!$BG$29:$BM$29,1,CB367),'Lease Cycles'!$AV$29&lt;=CB$6),'Lease Cycles'!$C$29*'Lease Cycles'!$AW$29/12,IF(AND('Lease Cycles'!$AT$29&gt;=INDEX('Lease Cycles'!$BG$29:$BM$29,1,CB367),'Lease Cycles'!$AT$29&lt;=CB$6),'Lease Cycles'!$C$29*'Lease Cycles'!$AU$29/12,'Lease Cycles'!$C$29*INDEX('Lease Cycles'!$CB$29:$CH$29,1,CB367)*(1+INDEX('Lease Cycles'!$CI$29:$CO$29,1,CB367))^INT(INT(CB368/12)/INDEX('Lease Cycles'!$CP$29:$CV$29,1,CB367))/12)))),'Lease Cycles'!$C$29*INDEX('Lease Cycles'!$CB$29:$CH$29,1,CB367)*(1+INDEX('Lease Cycles'!$CI$29:$CO$29,1,CB367))^INT(INT(CB368/12)/INDEX('Lease Cycles'!$CP$29:$CV$29,1,CB367))/12))),IF('Lease Cycles'!$N$29=1,'Lease Cycles'!$C$29*'Lease Cycles'!$E$29*INDEX('Lease Cycles'!$HE$29:$HK$29,1,CB367)*(1+INDEX('Lease Cycles'!$GQ$29:$GW$29,1,CB367))^INT(INT((CB$6-INDEX('Lease Cycles'!$GJ$29:$GP$29,1,CB367))/12)/INDEX('Lease Cycles'!$GX$29:$HD$29,1,CB367))/12,0)))</f>
        <v>0</v>
      </c>
      <c r="CC370" s="28">
        <f>IF(CC367=0,IF('Lease Cycles'!$F$29&gt;0,'Lease Cycles'!$C$29*'Lease Cycles'!$E$29/12,0),IF(CC369=1,IF('Lease Cycles'!$AT$29&gt;=9999,'Lease Cycles'!$C$29*INDEX('Lease Cycles'!$CB$29:$CH$29,1,CC367)*(1+INDEX('Lease Cycles'!$CI$29:$CO$29,1,CC367))^INT(INT(CC368/12)/INDEX('Lease Cycles'!$CP$29:$CV$29,1,CC367))/12,IF(CC367=1,IF(CC368&gt;=INDEX('Lease Cycles'!$DK$29:$DQ$29,1,CC367),IF(CC$6&gt;='Lease Cycles'!$AZ$29,'Lease Cycles'!$C$29*'Lease Cycles'!$BA$29/12,IF(CC$6&gt;='Lease Cycles'!$AX$29,'Lease Cycles'!$C$29*'Lease Cycles'!$AY$29/12,IF(CC$6&gt;='Lease Cycles'!$AV$29,'Lease Cycles'!$C$29*'Lease Cycles'!$AW$29/12,IF(CC$6&gt;='Lease Cycles'!$AT$29,'Lease Cycles'!$C$29*'Lease Cycles'!$AU$29/12,'Lease Cycles'!$C$29*INDEX('Lease Cycles'!$CB$29:$CH$29,1,CC367)*(1+INDEX('Lease Cycles'!$CI$29:$CO$29,1,CC367))^INT(INT(CC368/12)/INDEX('Lease Cycles'!$CP$29:$CV$29,1,CC367))/12)))),'Lease Cycles'!$C$29*INDEX('Lease Cycles'!$CB$29:$CH$29,1,CC367)*(1+INDEX('Lease Cycles'!$CI$29:$CO$29,1,CC367))^INT(INT(CC368/12)/INDEX('Lease Cycles'!$CP$29:$CV$29,1,CC367))/12),IF(INDEX('Lease Cycles'!$EF$29:$EL$29,1,CC367)=1,IF(AND('Lease Cycles'!$AZ$29&gt;=INDEX('Lease Cycles'!$BG$29:$BM$29,1,CC367),'Lease Cycles'!$AZ$29&lt;=CC$6),'Lease Cycles'!$C$29*'Lease Cycles'!$BA$29/12,IF(AND('Lease Cycles'!$AX$29&gt;=INDEX('Lease Cycles'!$BG$29:$BM$29,1,CC367),'Lease Cycles'!$AX$29&lt;=CC$6),'Lease Cycles'!$C$29*'Lease Cycles'!$AY$29/12,IF(AND('Lease Cycles'!$AV$29&gt;=INDEX('Lease Cycles'!$BG$29:$BM$29,1,CC367),'Lease Cycles'!$AV$29&lt;=CC$6),'Lease Cycles'!$C$29*'Lease Cycles'!$AW$29/12,IF(AND('Lease Cycles'!$AT$29&gt;=INDEX('Lease Cycles'!$BG$29:$BM$29,1,CC367),'Lease Cycles'!$AT$29&lt;=CC$6),'Lease Cycles'!$C$29*'Lease Cycles'!$AU$29/12,'Lease Cycles'!$C$29*INDEX('Lease Cycles'!$CB$29:$CH$29,1,CC367)*(1+INDEX('Lease Cycles'!$CI$29:$CO$29,1,CC367))^INT(INT(CC368/12)/INDEX('Lease Cycles'!$CP$29:$CV$29,1,CC367))/12)))),'Lease Cycles'!$C$29*INDEX('Lease Cycles'!$CB$29:$CH$29,1,CC367)*(1+INDEX('Lease Cycles'!$CI$29:$CO$29,1,CC367))^INT(INT(CC368/12)/INDEX('Lease Cycles'!$CP$29:$CV$29,1,CC367))/12))),IF('Lease Cycles'!$N$29=1,'Lease Cycles'!$C$29*'Lease Cycles'!$E$29*INDEX('Lease Cycles'!$HE$29:$HK$29,1,CC367)*(1+INDEX('Lease Cycles'!$GQ$29:$GW$29,1,CC367))^INT(INT((CC$6-INDEX('Lease Cycles'!$GJ$29:$GP$29,1,CC367))/12)/INDEX('Lease Cycles'!$GX$29:$HD$29,1,CC367))/12,0)))</f>
        <v>0</v>
      </c>
      <c r="CD370" s="28">
        <f>IF(CD367=0,IF('Lease Cycles'!$F$29&gt;0,'Lease Cycles'!$C$29*'Lease Cycles'!$E$29/12,0),IF(CD369=1,IF('Lease Cycles'!$AT$29&gt;=9999,'Lease Cycles'!$C$29*INDEX('Lease Cycles'!$CB$29:$CH$29,1,CD367)*(1+INDEX('Lease Cycles'!$CI$29:$CO$29,1,CD367))^INT(INT(CD368/12)/INDEX('Lease Cycles'!$CP$29:$CV$29,1,CD367))/12,IF(CD367=1,IF(CD368&gt;=INDEX('Lease Cycles'!$DK$29:$DQ$29,1,CD367),IF(CD$6&gt;='Lease Cycles'!$AZ$29,'Lease Cycles'!$C$29*'Lease Cycles'!$BA$29/12,IF(CD$6&gt;='Lease Cycles'!$AX$29,'Lease Cycles'!$C$29*'Lease Cycles'!$AY$29/12,IF(CD$6&gt;='Lease Cycles'!$AV$29,'Lease Cycles'!$C$29*'Lease Cycles'!$AW$29/12,IF(CD$6&gt;='Lease Cycles'!$AT$29,'Lease Cycles'!$C$29*'Lease Cycles'!$AU$29/12,'Lease Cycles'!$C$29*INDEX('Lease Cycles'!$CB$29:$CH$29,1,CD367)*(1+INDEX('Lease Cycles'!$CI$29:$CO$29,1,CD367))^INT(INT(CD368/12)/INDEX('Lease Cycles'!$CP$29:$CV$29,1,CD367))/12)))),'Lease Cycles'!$C$29*INDEX('Lease Cycles'!$CB$29:$CH$29,1,CD367)*(1+INDEX('Lease Cycles'!$CI$29:$CO$29,1,CD367))^INT(INT(CD368/12)/INDEX('Lease Cycles'!$CP$29:$CV$29,1,CD367))/12),IF(INDEX('Lease Cycles'!$EF$29:$EL$29,1,CD367)=1,IF(AND('Lease Cycles'!$AZ$29&gt;=INDEX('Lease Cycles'!$BG$29:$BM$29,1,CD367),'Lease Cycles'!$AZ$29&lt;=CD$6),'Lease Cycles'!$C$29*'Lease Cycles'!$BA$29/12,IF(AND('Lease Cycles'!$AX$29&gt;=INDEX('Lease Cycles'!$BG$29:$BM$29,1,CD367),'Lease Cycles'!$AX$29&lt;=CD$6),'Lease Cycles'!$C$29*'Lease Cycles'!$AY$29/12,IF(AND('Lease Cycles'!$AV$29&gt;=INDEX('Lease Cycles'!$BG$29:$BM$29,1,CD367),'Lease Cycles'!$AV$29&lt;=CD$6),'Lease Cycles'!$C$29*'Lease Cycles'!$AW$29/12,IF(AND('Lease Cycles'!$AT$29&gt;=INDEX('Lease Cycles'!$BG$29:$BM$29,1,CD367),'Lease Cycles'!$AT$29&lt;=CD$6),'Lease Cycles'!$C$29*'Lease Cycles'!$AU$29/12,'Lease Cycles'!$C$29*INDEX('Lease Cycles'!$CB$29:$CH$29,1,CD367)*(1+INDEX('Lease Cycles'!$CI$29:$CO$29,1,CD367))^INT(INT(CD368/12)/INDEX('Lease Cycles'!$CP$29:$CV$29,1,CD367))/12)))),'Lease Cycles'!$C$29*INDEX('Lease Cycles'!$CB$29:$CH$29,1,CD367)*(1+INDEX('Lease Cycles'!$CI$29:$CO$29,1,CD367))^INT(INT(CD368/12)/INDEX('Lease Cycles'!$CP$29:$CV$29,1,CD367))/12))),IF('Lease Cycles'!$N$29=1,'Lease Cycles'!$C$29*'Lease Cycles'!$E$29*INDEX('Lease Cycles'!$HE$29:$HK$29,1,CD367)*(1+INDEX('Lease Cycles'!$GQ$29:$GW$29,1,CD367))^INT(INT((CD$6-INDEX('Lease Cycles'!$GJ$29:$GP$29,1,CD367))/12)/INDEX('Lease Cycles'!$GX$29:$HD$29,1,CD367))/12,0)))</f>
        <v>0</v>
      </c>
      <c r="CE370" s="28">
        <f>IF(CE367=0,IF('Lease Cycles'!$F$29&gt;0,'Lease Cycles'!$C$29*'Lease Cycles'!$E$29/12,0),IF(CE369=1,IF('Lease Cycles'!$AT$29&gt;=9999,'Lease Cycles'!$C$29*INDEX('Lease Cycles'!$CB$29:$CH$29,1,CE367)*(1+INDEX('Lease Cycles'!$CI$29:$CO$29,1,CE367))^INT(INT(CE368/12)/INDEX('Lease Cycles'!$CP$29:$CV$29,1,CE367))/12,IF(CE367=1,IF(CE368&gt;=INDEX('Lease Cycles'!$DK$29:$DQ$29,1,CE367),IF(CE$6&gt;='Lease Cycles'!$AZ$29,'Lease Cycles'!$C$29*'Lease Cycles'!$BA$29/12,IF(CE$6&gt;='Lease Cycles'!$AX$29,'Lease Cycles'!$C$29*'Lease Cycles'!$AY$29/12,IF(CE$6&gt;='Lease Cycles'!$AV$29,'Lease Cycles'!$C$29*'Lease Cycles'!$AW$29/12,IF(CE$6&gt;='Lease Cycles'!$AT$29,'Lease Cycles'!$C$29*'Lease Cycles'!$AU$29/12,'Lease Cycles'!$C$29*INDEX('Lease Cycles'!$CB$29:$CH$29,1,CE367)*(1+INDEX('Lease Cycles'!$CI$29:$CO$29,1,CE367))^INT(INT(CE368/12)/INDEX('Lease Cycles'!$CP$29:$CV$29,1,CE367))/12)))),'Lease Cycles'!$C$29*INDEX('Lease Cycles'!$CB$29:$CH$29,1,CE367)*(1+INDEX('Lease Cycles'!$CI$29:$CO$29,1,CE367))^INT(INT(CE368/12)/INDEX('Lease Cycles'!$CP$29:$CV$29,1,CE367))/12),IF(INDEX('Lease Cycles'!$EF$29:$EL$29,1,CE367)=1,IF(AND('Lease Cycles'!$AZ$29&gt;=INDEX('Lease Cycles'!$BG$29:$BM$29,1,CE367),'Lease Cycles'!$AZ$29&lt;=CE$6),'Lease Cycles'!$C$29*'Lease Cycles'!$BA$29/12,IF(AND('Lease Cycles'!$AX$29&gt;=INDEX('Lease Cycles'!$BG$29:$BM$29,1,CE367),'Lease Cycles'!$AX$29&lt;=CE$6),'Lease Cycles'!$C$29*'Lease Cycles'!$AY$29/12,IF(AND('Lease Cycles'!$AV$29&gt;=INDEX('Lease Cycles'!$BG$29:$BM$29,1,CE367),'Lease Cycles'!$AV$29&lt;=CE$6),'Lease Cycles'!$C$29*'Lease Cycles'!$AW$29/12,IF(AND('Lease Cycles'!$AT$29&gt;=INDEX('Lease Cycles'!$BG$29:$BM$29,1,CE367),'Lease Cycles'!$AT$29&lt;=CE$6),'Lease Cycles'!$C$29*'Lease Cycles'!$AU$29/12,'Lease Cycles'!$C$29*INDEX('Lease Cycles'!$CB$29:$CH$29,1,CE367)*(1+INDEX('Lease Cycles'!$CI$29:$CO$29,1,CE367))^INT(INT(CE368/12)/INDEX('Lease Cycles'!$CP$29:$CV$29,1,CE367))/12)))),'Lease Cycles'!$C$29*INDEX('Lease Cycles'!$CB$29:$CH$29,1,CE367)*(1+INDEX('Lease Cycles'!$CI$29:$CO$29,1,CE367))^INT(INT(CE368/12)/INDEX('Lease Cycles'!$CP$29:$CV$29,1,CE367))/12))),IF('Lease Cycles'!$N$29=1,'Lease Cycles'!$C$29*'Lease Cycles'!$E$29*INDEX('Lease Cycles'!$HE$29:$HK$29,1,CE367)*(1+INDEX('Lease Cycles'!$GQ$29:$GW$29,1,CE367))^INT(INT((CE$6-INDEX('Lease Cycles'!$GJ$29:$GP$29,1,CE367))/12)/INDEX('Lease Cycles'!$GX$29:$HD$29,1,CE367))/12,0)))</f>
        <v>0</v>
      </c>
      <c r="CF370" s="28">
        <f>IF(CF367=0,IF('Lease Cycles'!$F$29&gt;0,'Lease Cycles'!$C$29*'Lease Cycles'!$E$29/12,0),IF(CF369=1,IF('Lease Cycles'!$AT$29&gt;=9999,'Lease Cycles'!$C$29*INDEX('Lease Cycles'!$CB$29:$CH$29,1,CF367)*(1+INDEX('Lease Cycles'!$CI$29:$CO$29,1,CF367))^INT(INT(CF368/12)/INDEX('Lease Cycles'!$CP$29:$CV$29,1,CF367))/12,IF(CF367=1,IF(CF368&gt;=INDEX('Lease Cycles'!$DK$29:$DQ$29,1,CF367),IF(CF$6&gt;='Lease Cycles'!$AZ$29,'Lease Cycles'!$C$29*'Lease Cycles'!$BA$29/12,IF(CF$6&gt;='Lease Cycles'!$AX$29,'Lease Cycles'!$C$29*'Lease Cycles'!$AY$29/12,IF(CF$6&gt;='Lease Cycles'!$AV$29,'Lease Cycles'!$C$29*'Lease Cycles'!$AW$29/12,IF(CF$6&gt;='Lease Cycles'!$AT$29,'Lease Cycles'!$C$29*'Lease Cycles'!$AU$29/12,'Lease Cycles'!$C$29*INDEX('Lease Cycles'!$CB$29:$CH$29,1,CF367)*(1+INDEX('Lease Cycles'!$CI$29:$CO$29,1,CF367))^INT(INT(CF368/12)/INDEX('Lease Cycles'!$CP$29:$CV$29,1,CF367))/12)))),'Lease Cycles'!$C$29*INDEX('Lease Cycles'!$CB$29:$CH$29,1,CF367)*(1+INDEX('Lease Cycles'!$CI$29:$CO$29,1,CF367))^INT(INT(CF368/12)/INDEX('Lease Cycles'!$CP$29:$CV$29,1,CF367))/12),IF(INDEX('Lease Cycles'!$EF$29:$EL$29,1,CF367)=1,IF(AND('Lease Cycles'!$AZ$29&gt;=INDEX('Lease Cycles'!$BG$29:$BM$29,1,CF367),'Lease Cycles'!$AZ$29&lt;=CF$6),'Lease Cycles'!$C$29*'Lease Cycles'!$BA$29/12,IF(AND('Lease Cycles'!$AX$29&gt;=INDEX('Lease Cycles'!$BG$29:$BM$29,1,CF367),'Lease Cycles'!$AX$29&lt;=CF$6),'Lease Cycles'!$C$29*'Lease Cycles'!$AY$29/12,IF(AND('Lease Cycles'!$AV$29&gt;=INDEX('Lease Cycles'!$BG$29:$BM$29,1,CF367),'Lease Cycles'!$AV$29&lt;=CF$6),'Lease Cycles'!$C$29*'Lease Cycles'!$AW$29/12,IF(AND('Lease Cycles'!$AT$29&gt;=INDEX('Lease Cycles'!$BG$29:$BM$29,1,CF367),'Lease Cycles'!$AT$29&lt;=CF$6),'Lease Cycles'!$C$29*'Lease Cycles'!$AU$29/12,'Lease Cycles'!$C$29*INDEX('Lease Cycles'!$CB$29:$CH$29,1,CF367)*(1+INDEX('Lease Cycles'!$CI$29:$CO$29,1,CF367))^INT(INT(CF368/12)/INDEX('Lease Cycles'!$CP$29:$CV$29,1,CF367))/12)))),'Lease Cycles'!$C$29*INDEX('Lease Cycles'!$CB$29:$CH$29,1,CF367)*(1+INDEX('Lease Cycles'!$CI$29:$CO$29,1,CF367))^INT(INT(CF368/12)/INDEX('Lease Cycles'!$CP$29:$CV$29,1,CF367))/12))),IF('Lease Cycles'!$N$29=1,'Lease Cycles'!$C$29*'Lease Cycles'!$E$29*INDEX('Lease Cycles'!$HE$29:$HK$29,1,CF367)*(1+INDEX('Lease Cycles'!$GQ$29:$GW$29,1,CF367))^INT(INT((CF$6-INDEX('Lease Cycles'!$GJ$29:$GP$29,1,CF367))/12)/INDEX('Lease Cycles'!$GX$29:$HD$29,1,CF367))/12,0)))</f>
        <v>0</v>
      </c>
      <c r="CG370" s="28">
        <f>IF(CG367=0,IF('Lease Cycles'!$F$29&gt;0,'Lease Cycles'!$C$29*'Lease Cycles'!$E$29/12,0),IF(CG369=1,IF('Lease Cycles'!$AT$29&gt;=9999,'Lease Cycles'!$C$29*INDEX('Lease Cycles'!$CB$29:$CH$29,1,CG367)*(1+INDEX('Lease Cycles'!$CI$29:$CO$29,1,CG367))^INT(INT(CG368/12)/INDEX('Lease Cycles'!$CP$29:$CV$29,1,CG367))/12,IF(CG367=1,IF(CG368&gt;=INDEX('Lease Cycles'!$DK$29:$DQ$29,1,CG367),IF(CG$6&gt;='Lease Cycles'!$AZ$29,'Lease Cycles'!$C$29*'Lease Cycles'!$BA$29/12,IF(CG$6&gt;='Lease Cycles'!$AX$29,'Lease Cycles'!$C$29*'Lease Cycles'!$AY$29/12,IF(CG$6&gt;='Lease Cycles'!$AV$29,'Lease Cycles'!$C$29*'Lease Cycles'!$AW$29/12,IF(CG$6&gt;='Lease Cycles'!$AT$29,'Lease Cycles'!$C$29*'Lease Cycles'!$AU$29/12,'Lease Cycles'!$C$29*INDEX('Lease Cycles'!$CB$29:$CH$29,1,CG367)*(1+INDEX('Lease Cycles'!$CI$29:$CO$29,1,CG367))^INT(INT(CG368/12)/INDEX('Lease Cycles'!$CP$29:$CV$29,1,CG367))/12)))),'Lease Cycles'!$C$29*INDEX('Lease Cycles'!$CB$29:$CH$29,1,CG367)*(1+INDEX('Lease Cycles'!$CI$29:$CO$29,1,CG367))^INT(INT(CG368/12)/INDEX('Lease Cycles'!$CP$29:$CV$29,1,CG367))/12),IF(INDEX('Lease Cycles'!$EF$29:$EL$29,1,CG367)=1,IF(AND('Lease Cycles'!$AZ$29&gt;=INDEX('Lease Cycles'!$BG$29:$BM$29,1,CG367),'Lease Cycles'!$AZ$29&lt;=CG$6),'Lease Cycles'!$C$29*'Lease Cycles'!$BA$29/12,IF(AND('Lease Cycles'!$AX$29&gt;=INDEX('Lease Cycles'!$BG$29:$BM$29,1,CG367),'Lease Cycles'!$AX$29&lt;=CG$6),'Lease Cycles'!$C$29*'Lease Cycles'!$AY$29/12,IF(AND('Lease Cycles'!$AV$29&gt;=INDEX('Lease Cycles'!$BG$29:$BM$29,1,CG367),'Lease Cycles'!$AV$29&lt;=CG$6),'Lease Cycles'!$C$29*'Lease Cycles'!$AW$29/12,IF(AND('Lease Cycles'!$AT$29&gt;=INDEX('Lease Cycles'!$BG$29:$BM$29,1,CG367),'Lease Cycles'!$AT$29&lt;=CG$6),'Lease Cycles'!$C$29*'Lease Cycles'!$AU$29/12,'Lease Cycles'!$C$29*INDEX('Lease Cycles'!$CB$29:$CH$29,1,CG367)*(1+INDEX('Lease Cycles'!$CI$29:$CO$29,1,CG367))^INT(INT(CG368/12)/INDEX('Lease Cycles'!$CP$29:$CV$29,1,CG367))/12)))),'Lease Cycles'!$C$29*INDEX('Lease Cycles'!$CB$29:$CH$29,1,CG367)*(1+INDEX('Lease Cycles'!$CI$29:$CO$29,1,CG367))^INT(INT(CG368/12)/INDEX('Lease Cycles'!$CP$29:$CV$29,1,CG367))/12))),IF('Lease Cycles'!$N$29=1,'Lease Cycles'!$C$29*'Lease Cycles'!$E$29*INDEX('Lease Cycles'!$HE$29:$HK$29,1,CG367)*(1+INDEX('Lease Cycles'!$GQ$29:$GW$29,1,CG367))^INT(INT((CG$6-INDEX('Lease Cycles'!$GJ$29:$GP$29,1,CG367))/12)/INDEX('Lease Cycles'!$GX$29:$HD$29,1,CG367))/12,0)))</f>
        <v>0</v>
      </c>
      <c r="CH370" s="28">
        <f>IF(CH367=0,IF('Lease Cycles'!$F$29&gt;0,'Lease Cycles'!$C$29*'Lease Cycles'!$E$29/12,0),IF(CH369=1,IF('Lease Cycles'!$AT$29&gt;=9999,'Lease Cycles'!$C$29*INDEX('Lease Cycles'!$CB$29:$CH$29,1,CH367)*(1+INDEX('Lease Cycles'!$CI$29:$CO$29,1,CH367))^INT(INT(CH368/12)/INDEX('Lease Cycles'!$CP$29:$CV$29,1,CH367))/12,IF(CH367=1,IF(CH368&gt;=INDEX('Lease Cycles'!$DK$29:$DQ$29,1,CH367),IF(CH$6&gt;='Lease Cycles'!$AZ$29,'Lease Cycles'!$C$29*'Lease Cycles'!$BA$29/12,IF(CH$6&gt;='Lease Cycles'!$AX$29,'Lease Cycles'!$C$29*'Lease Cycles'!$AY$29/12,IF(CH$6&gt;='Lease Cycles'!$AV$29,'Lease Cycles'!$C$29*'Lease Cycles'!$AW$29/12,IF(CH$6&gt;='Lease Cycles'!$AT$29,'Lease Cycles'!$C$29*'Lease Cycles'!$AU$29/12,'Lease Cycles'!$C$29*INDEX('Lease Cycles'!$CB$29:$CH$29,1,CH367)*(1+INDEX('Lease Cycles'!$CI$29:$CO$29,1,CH367))^INT(INT(CH368/12)/INDEX('Lease Cycles'!$CP$29:$CV$29,1,CH367))/12)))),'Lease Cycles'!$C$29*INDEX('Lease Cycles'!$CB$29:$CH$29,1,CH367)*(1+INDEX('Lease Cycles'!$CI$29:$CO$29,1,CH367))^INT(INT(CH368/12)/INDEX('Lease Cycles'!$CP$29:$CV$29,1,CH367))/12),IF(INDEX('Lease Cycles'!$EF$29:$EL$29,1,CH367)=1,IF(AND('Lease Cycles'!$AZ$29&gt;=INDEX('Lease Cycles'!$BG$29:$BM$29,1,CH367),'Lease Cycles'!$AZ$29&lt;=CH$6),'Lease Cycles'!$C$29*'Lease Cycles'!$BA$29/12,IF(AND('Lease Cycles'!$AX$29&gt;=INDEX('Lease Cycles'!$BG$29:$BM$29,1,CH367),'Lease Cycles'!$AX$29&lt;=CH$6),'Lease Cycles'!$C$29*'Lease Cycles'!$AY$29/12,IF(AND('Lease Cycles'!$AV$29&gt;=INDEX('Lease Cycles'!$BG$29:$BM$29,1,CH367),'Lease Cycles'!$AV$29&lt;=CH$6),'Lease Cycles'!$C$29*'Lease Cycles'!$AW$29/12,IF(AND('Lease Cycles'!$AT$29&gt;=INDEX('Lease Cycles'!$BG$29:$BM$29,1,CH367),'Lease Cycles'!$AT$29&lt;=CH$6),'Lease Cycles'!$C$29*'Lease Cycles'!$AU$29/12,'Lease Cycles'!$C$29*INDEX('Lease Cycles'!$CB$29:$CH$29,1,CH367)*(1+INDEX('Lease Cycles'!$CI$29:$CO$29,1,CH367))^INT(INT(CH368/12)/INDEX('Lease Cycles'!$CP$29:$CV$29,1,CH367))/12)))),'Lease Cycles'!$C$29*INDEX('Lease Cycles'!$CB$29:$CH$29,1,CH367)*(1+INDEX('Lease Cycles'!$CI$29:$CO$29,1,CH367))^INT(INT(CH368/12)/INDEX('Lease Cycles'!$CP$29:$CV$29,1,CH367))/12))),IF('Lease Cycles'!$N$29=1,'Lease Cycles'!$C$29*'Lease Cycles'!$E$29*INDEX('Lease Cycles'!$HE$29:$HK$29,1,CH367)*(1+INDEX('Lease Cycles'!$GQ$29:$GW$29,1,CH367))^INT(INT((CH$6-INDEX('Lease Cycles'!$GJ$29:$GP$29,1,CH367))/12)/INDEX('Lease Cycles'!$GX$29:$HD$29,1,CH367))/12,0)))</f>
        <v>0</v>
      </c>
      <c r="CI370" s="28">
        <f>IF(CI367=0,IF('Lease Cycles'!$F$29&gt;0,'Lease Cycles'!$C$29*'Lease Cycles'!$E$29/12,0),IF(CI369=1,IF('Lease Cycles'!$AT$29&gt;=9999,'Lease Cycles'!$C$29*INDEX('Lease Cycles'!$CB$29:$CH$29,1,CI367)*(1+INDEX('Lease Cycles'!$CI$29:$CO$29,1,CI367))^INT(INT(CI368/12)/INDEX('Lease Cycles'!$CP$29:$CV$29,1,CI367))/12,IF(CI367=1,IF(CI368&gt;=INDEX('Lease Cycles'!$DK$29:$DQ$29,1,CI367),IF(CI$6&gt;='Lease Cycles'!$AZ$29,'Lease Cycles'!$C$29*'Lease Cycles'!$BA$29/12,IF(CI$6&gt;='Lease Cycles'!$AX$29,'Lease Cycles'!$C$29*'Lease Cycles'!$AY$29/12,IF(CI$6&gt;='Lease Cycles'!$AV$29,'Lease Cycles'!$C$29*'Lease Cycles'!$AW$29/12,IF(CI$6&gt;='Lease Cycles'!$AT$29,'Lease Cycles'!$C$29*'Lease Cycles'!$AU$29/12,'Lease Cycles'!$C$29*INDEX('Lease Cycles'!$CB$29:$CH$29,1,CI367)*(1+INDEX('Lease Cycles'!$CI$29:$CO$29,1,CI367))^INT(INT(CI368/12)/INDEX('Lease Cycles'!$CP$29:$CV$29,1,CI367))/12)))),'Lease Cycles'!$C$29*INDEX('Lease Cycles'!$CB$29:$CH$29,1,CI367)*(1+INDEX('Lease Cycles'!$CI$29:$CO$29,1,CI367))^INT(INT(CI368/12)/INDEX('Lease Cycles'!$CP$29:$CV$29,1,CI367))/12),IF(INDEX('Lease Cycles'!$EF$29:$EL$29,1,CI367)=1,IF(AND('Lease Cycles'!$AZ$29&gt;=INDEX('Lease Cycles'!$BG$29:$BM$29,1,CI367),'Lease Cycles'!$AZ$29&lt;=CI$6),'Lease Cycles'!$C$29*'Lease Cycles'!$BA$29/12,IF(AND('Lease Cycles'!$AX$29&gt;=INDEX('Lease Cycles'!$BG$29:$BM$29,1,CI367),'Lease Cycles'!$AX$29&lt;=CI$6),'Lease Cycles'!$C$29*'Lease Cycles'!$AY$29/12,IF(AND('Lease Cycles'!$AV$29&gt;=INDEX('Lease Cycles'!$BG$29:$BM$29,1,CI367),'Lease Cycles'!$AV$29&lt;=CI$6),'Lease Cycles'!$C$29*'Lease Cycles'!$AW$29/12,IF(AND('Lease Cycles'!$AT$29&gt;=INDEX('Lease Cycles'!$BG$29:$BM$29,1,CI367),'Lease Cycles'!$AT$29&lt;=CI$6),'Lease Cycles'!$C$29*'Lease Cycles'!$AU$29/12,'Lease Cycles'!$C$29*INDEX('Lease Cycles'!$CB$29:$CH$29,1,CI367)*(1+INDEX('Lease Cycles'!$CI$29:$CO$29,1,CI367))^INT(INT(CI368/12)/INDEX('Lease Cycles'!$CP$29:$CV$29,1,CI367))/12)))),'Lease Cycles'!$C$29*INDEX('Lease Cycles'!$CB$29:$CH$29,1,CI367)*(1+INDEX('Lease Cycles'!$CI$29:$CO$29,1,CI367))^INT(INT(CI368/12)/INDEX('Lease Cycles'!$CP$29:$CV$29,1,CI367))/12))),IF('Lease Cycles'!$N$29=1,'Lease Cycles'!$C$29*'Lease Cycles'!$E$29*INDEX('Lease Cycles'!$HE$29:$HK$29,1,CI367)*(1+INDEX('Lease Cycles'!$GQ$29:$GW$29,1,CI367))^INT(INT((CI$6-INDEX('Lease Cycles'!$GJ$29:$GP$29,1,CI367))/12)/INDEX('Lease Cycles'!$GX$29:$HD$29,1,CI367))/12,0)))</f>
        <v>0</v>
      </c>
      <c r="CJ370" s="28">
        <f>IF(CJ367=0,IF('Lease Cycles'!$F$29&gt;0,'Lease Cycles'!$C$29*'Lease Cycles'!$E$29/12,0),IF(CJ369=1,IF('Lease Cycles'!$AT$29&gt;=9999,'Lease Cycles'!$C$29*INDEX('Lease Cycles'!$CB$29:$CH$29,1,CJ367)*(1+INDEX('Lease Cycles'!$CI$29:$CO$29,1,CJ367))^INT(INT(CJ368/12)/INDEX('Lease Cycles'!$CP$29:$CV$29,1,CJ367))/12,IF(CJ367=1,IF(CJ368&gt;=INDEX('Lease Cycles'!$DK$29:$DQ$29,1,CJ367),IF(CJ$6&gt;='Lease Cycles'!$AZ$29,'Lease Cycles'!$C$29*'Lease Cycles'!$BA$29/12,IF(CJ$6&gt;='Lease Cycles'!$AX$29,'Lease Cycles'!$C$29*'Lease Cycles'!$AY$29/12,IF(CJ$6&gt;='Lease Cycles'!$AV$29,'Lease Cycles'!$C$29*'Lease Cycles'!$AW$29/12,IF(CJ$6&gt;='Lease Cycles'!$AT$29,'Lease Cycles'!$C$29*'Lease Cycles'!$AU$29/12,'Lease Cycles'!$C$29*INDEX('Lease Cycles'!$CB$29:$CH$29,1,CJ367)*(1+INDEX('Lease Cycles'!$CI$29:$CO$29,1,CJ367))^INT(INT(CJ368/12)/INDEX('Lease Cycles'!$CP$29:$CV$29,1,CJ367))/12)))),'Lease Cycles'!$C$29*INDEX('Lease Cycles'!$CB$29:$CH$29,1,CJ367)*(1+INDEX('Lease Cycles'!$CI$29:$CO$29,1,CJ367))^INT(INT(CJ368/12)/INDEX('Lease Cycles'!$CP$29:$CV$29,1,CJ367))/12),IF(INDEX('Lease Cycles'!$EF$29:$EL$29,1,CJ367)=1,IF(AND('Lease Cycles'!$AZ$29&gt;=INDEX('Lease Cycles'!$BG$29:$BM$29,1,CJ367),'Lease Cycles'!$AZ$29&lt;=CJ$6),'Lease Cycles'!$C$29*'Lease Cycles'!$BA$29/12,IF(AND('Lease Cycles'!$AX$29&gt;=INDEX('Lease Cycles'!$BG$29:$BM$29,1,CJ367),'Lease Cycles'!$AX$29&lt;=CJ$6),'Lease Cycles'!$C$29*'Lease Cycles'!$AY$29/12,IF(AND('Lease Cycles'!$AV$29&gt;=INDEX('Lease Cycles'!$BG$29:$BM$29,1,CJ367),'Lease Cycles'!$AV$29&lt;=CJ$6),'Lease Cycles'!$C$29*'Lease Cycles'!$AW$29/12,IF(AND('Lease Cycles'!$AT$29&gt;=INDEX('Lease Cycles'!$BG$29:$BM$29,1,CJ367),'Lease Cycles'!$AT$29&lt;=CJ$6),'Lease Cycles'!$C$29*'Lease Cycles'!$AU$29/12,'Lease Cycles'!$C$29*INDEX('Lease Cycles'!$CB$29:$CH$29,1,CJ367)*(1+INDEX('Lease Cycles'!$CI$29:$CO$29,1,CJ367))^INT(INT(CJ368/12)/INDEX('Lease Cycles'!$CP$29:$CV$29,1,CJ367))/12)))),'Lease Cycles'!$C$29*INDEX('Lease Cycles'!$CB$29:$CH$29,1,CJ367)*(1+INDEX('Lease Cycles'!$CI$29:$CO$29,1,CJ367))^INT(INT(CJ368/12)/INDEX('Lease Cycles'!$CP$29:$CV$29,1,CJ367))/12))),IF('Lease Cycles'!$N$29=1,'Lease Cycles'!$C$29*'Lease Cycles'!$E$29*INDEX('Lease Cycles'!$HE$29:$HK$29,1,CJ367)*(1+INDEX('Lease Cycles'!$GQ$29:$GW$29,1,CJ367))^INT(INT((CJ$6-INDEX('Lease Cycles'!$GJ$29:$GP$29,1,CJ367))/12)/INDEX('Lease Cycles'!$GX$29:$HD$29,1,CJ367))/12,0)))</f>
        <v>0</v>
      </c>
      <c r="CK370" s="28">
        <f>IF(CK367=0,IF('Lease Cycles'!$F$29&gt;0,'Lease Cycles'!$C$29*'Lease Cycles'!$E$29/12,0),IF(CK369=1,IF('Lease Cycles'!$AT$29&gt;=9999,'Lease Cycles'!$C$29*INDEX('Lease Cycles'!$CB$29:$CH$29,1,CK367)*(1+INDEX('Lease Cycles'!$CI$29:$CO$29,1,CK367))^INT(INT(CK368/12)/INDEX('Lease Cycles'!$CP$29:$CV$29,1,CK367))/12,IF(CK367=1,IF(CK368&gt;=INDEX('Lease Cycles'!$DK$29:$DQ$29,1,CK367),IF(CK$6&gt;='Lease Cycles'!$AZ$29,'Lease Cycles'!$C$29*'Lease Cycles'!$BA$29/12,IF(CK$6&gt;='Lease Cycles'!$AX$29,'Lease Cycles'!$C$29*'Lease Cycles'!$AY$29/12,IF(CK$6&gt;='Lease Cycles'!$AV$29,'Lease Cycles'!$C$29*'Lease Cycles'!$AW$29/12,IF(CK$6&gt;='Lease Cycles'!$AT$29,'Lease Cycles'!$C$29*'Lease Cycles'!$AU$29/12,'Lease Cycles'!$C$29*INDEX('Lease Cycles'!$CB$29:$CH$29,1,CK367)*(1+INDEX('Lease Cycles'!$CI$29:$CO$29,1,CK367))^INT(INT(CK368/12)/INDEX('Lease Cycles'!$CP$29:$CV$29,1,CK367))/12)))),'Lease Cycles'!$C$29*INDEX('Lease Cycles'!$CB$29:$CH$29,1,CK367)*(1+INDEX('Lease Cycles'!$CI$29:$CO$29,1,CK367))^INT(INT(CK368/12)/INDEX('Lease Cycles'!$CP$29:$CV$29,1,CK367))/12),IF(INDEX('Lease Cycles'!$EF$29:$EL$29,1,CK367)=1,IF(AND('Lease Cycles'!$AZ$29&gt;=INDEX('Lease Cycles'!$BG$29:$BM$29,1,CK367),'Lease Cycles'!$AZ$29&lt;=CK$6),'Lease Cycles'!$C$29*'Lease Cycles'!$BA$29/12,IF(AND('Lease Cycles'!$AX$29&gt;=INDEX('Lease Cycles'!$BG$29:$BM$29,1,CK367),'Lease Cycles'!$AX$29&lt;=CK$6),'Lease Cycles'!$C$29*'Lease Cycles'!$AY$29/12,IF(AND('Lease Cycles'!$AV$29&gt;=INDEX('Lease Cycles'!$BG$29:$BM$29,1,CK367),'Lease Cycles'!$AV$29&lt;=CK$6),'Lease Cycles'!$C$29*'Lease Cycles'!$AW$29/12,IF(AND('Lease Cycles'!$AT$29&gt;=INDEX('Lease Cycles'!$BG$29:$BM$29,1,CK367),'Lease Cycles'!$AT$29&lt;=CK$6),'Lease Cycles'!$C$29*'Lease Cycles'!$AU$29/12,'Lease Cycles'!$C$29*INDEX('Lease Cycles'!$CB$29:$CH$29,1,CK367)*(1+INDEX('Lease Cycles'!$CI$29:$CO$29,1,CK367))^INT(INT(CK368/12)/INDEX('Lease Cycles'!$CP$29:$CV$29,1,CK367))/12)))),'Lease Cycles'!$C$29*INDEX('Lease Cycles'!$CB$29:$CH$29,1,CK367)*(1+INDEX('Lease Cycles'!$CI$29:$CO$29,1,CK367))^INT(INT(CK368/12)/INDEX('Lease Cycles'!$CP$29:$CV$29,1,CK367))/12))),IF('Lease Cycles'!$N$29=1,'Lease Cycles'!$C$29*'Lease Cycles'!$E$29*INDEX('Lease Cycles'!$HE$29:$HK$29,1,CK367)*(1+INDEX('Lease Cycles'!$GQ$29:$GW$29,1,CK367))^INT(INT((CK$6-INDEX('Lease Cycles'!$GJ$29:$GP$29,1,CK367))/12)/INDEX('Lease Cycles'!$GX$29:$HD$29,1,CK367))/12,0)))</f>
        <v>0</v>
      </c>
      <c r="CL370" s="28">
        <f>IF(CL367=0,IF('Lease Cycles'!$F$29&gt;0,'Lease Cycles'!$C$29*'Lease Cycles'!$E$29/12,0),IF(CL369=1,IF('Lease Cycles'!$AT$29&gt;=9999,'Lease Cycles'!$C$29*INDEX('Lease Cycles'!$CB$29:$CH$29,1,CL367)*(1+INDEX('Lease Cycles'!$CI$29:$CO$29,1,CL367))^INT(INT(CL368/12)/INDEX('Lease Cycles'!$CP$29:$CV$29,1,CL367))/12,IF(CL367=1,IF(CL368&gt;=INDEX('Lease Cycles'!$DK$29:$DQ$29,1,CL367),IF(CL$6&gt;='Lease Cycles'!$AZ$29,'Lease Cycles'!$C$29*'Lease Cycles'!$BA$29/12,IF(CL$6&gt;='Lease Cycles'!$AX$29,'Lease Cycles'!$C$29*'Lease Cycles'!$AY$29/12,IF(CL$6&gt;='Lease Cycles'!$AV$29,'Lease Cycles'!$C$29*'Lease Cycles'!$AW$29/12,IF(CL$6&gt;='Lease Cycles'!$AT$29,'Lease Cycles'!$C$29*'Lease Cycles'!$AU$29/12,'Lease Cycles'!$C$29*INDEX('Lease Cycles'!$CB$29:$CH$29,1,CL367)*(1+INDEX('Lease Cycles'!$CI$29:$CO$29,1,CL367))^INT(INT(CL368/12)/INDEX('Lease Cycles'!$CP$29:$CV$29,1,CL367))/12)))),'Lease Cycles'!$C$29*INDEX('Lease Cycles'!$CB$29:$CH$29,1,CL367)*(1+INDEX('Lease Cycles'!$CI$29:$CO$29,1,CL367))^INT(INT(CL368/12)/INDEX('Lease Cycles'!$CP$29:$CV$29,1,CL367))/12),IF(INDEX('Lease Cycles'!$EF$29:$EL$29,1,CL367)=1,IF(AND('Lease Cycles'!$AZ$29&gt;=INDEX('Lease Cycles'!$BG$29:$BM$29,1,CL367),'Lease Cycles'!$AZ$29&lt;=CL$6),'Lease Cycles'!$C$29*'Lease Cycles'!$BA$29/12,IF(AND('Lease Cycles'!$AX$29&gt;=INDEX('Lease Cycles'!$BG$29:$BM$29,1,CL367),'Lease Cycles'!$AX$29&lt;=CL$6),'Lease Cycles'!$C$29*'Lease Cycles'!$AY$29/12,IF(AND('Lease Cycles'!$AV$29&gt;=INDEX('Lease Cycles'!$BG$29:$BM$29,1,CL367),'Lease Cycles'!$AV$29&lt;=CL$6),'Lease Cycles'!$C$29*'Lease Cycles'!$AW$29/12,IF(AND('Lease Cycles'!$AT$29&gt;=INDEX('Lease Cycles'!$BG$29:$BM$29,1,CL367),'Lease Cycles'!$AT$29&lt;=CL$6),'Lease Cycles'!$C$29*'Lease Cycles'!$AU$29/12,'Lease Cycles'!$C$29*INDEX('Lease Cycles'!$CB$29:$CH$29,1,CL367)*(1+INDEX('Lease Cycles'!$CI$29:$CO$29,1,CL367))^INT(INT(CL368/12)/INDEX('Lease Cycles'!$CP$29:$CV$29,1,CL367))/12)))),'Lease Cycles'!$C$29*INDEX('Lease Cycles'!$CB$29:$CH$29,1,CL367)*(1+INDEX('Lease Cycles'!$CI$29:$CO$29,1,CL367))^INT(INT(CL368/12)/INDEX('Lease Cycles'!$CP$29:$CV$29,1,CL367))/12))),IF('Lease Cycles'!$N$29=1,'Lease Cycles'!$C$29*'Lease Cycles'!$E$29*INDEX('Lease Cycles'!$HE$29:$HK$29,1,CL367)*(1+INDEX('Lease Cycles'!$GQ$29:$GW$29,1,CL367))^INT(INT((CL$6-INDEX('Lease Cycles'!$GJ$29:$GP$29,1,CL367))/12)/INDEX('Lease Cycles'!$GX$29:$HD$29,1,CL367))/12,0)))</f>
        <v>0</v>
      </c>
      <c r="CM370" s="28">
        <f>IF(CM367=0,IF('Lease Cycles'!$F$29&gt;0,'Lease Cycles'!$C$29*'Lease Cycles'!$E$29/12,0),IF(CM369=1,IF('Lease Cycles'!$AT$29&gt;=9999,'Lease Cycles'!$C$29*INDEX('Lease Cycles'!$CB$29:$CH$29,1,CM367)*(1+INDEX('Lease Cycles'!$CI$29:$CO$29,1,CM367))^INT(INT(CM368/12)/INDEX('Lease Cycles'!$CP$29:$CV$29,1,CM367))/12,IF(CM367=1,IF(CM368&gt;=INDEX('Lease Cycles'!$DK$29:$DQ$29,1,CM367),IF(CM$6&gt;='Lease Cycles'!$AZ$29,'Lease Cycles'!$C$29*'Lease Cycles'!$BA$29/12,IF(CM$6&gt;='Lease Cycles'!$AX$29,'Lease Cycles'!$C$29*'Lease Cycles'!$AY$29/12,IF(CM$6&gt;='Lease Cycles'!$AV$29,'Lease Cycles'!$C$29*'Lease Cycles'!$AW$29/12,IF(CM$6&gt;='Lease Cycles'!$AT$29,'Lease Cycles'!$C$29*'Lease Cycles'!$AU$29/12,'Lease Cycles'!$C$29*INDEX('Lease Cycles'!$CB$29:$CH$29,1,CM367)*(1+INDEX('Lease Cycles'!$CI$29:$CO$29,1,CM367))^INT(INT(CM368/12)/INDEX('Lease Cycles'!$CP$29:$CV$29,1,CM367))/12)))),'Lease Cycles'!$C$29*INDEX('Lease Cycles'!$CB$29:$CH$29,1,CM367)*(1+INDEX('Lease Cycles'!$CI$29:$CO$29,1,CM367))^INT(INT(CM368/12)/INDEX('Lease Cycles'!$CP$29:$CV$29,1,CM367))/12),IF(INDEX('Lease Cycles'!$EF$29:$EL$29,1,CM367)=1,IF(AND('Lease Cycles'!$AZ$29&gt;=INDEX('Lease Cycles'!$BG$29:$BM$29,1,CM367),'Lease Cycles'!$AZ$29&lt;=CM$6),'Lease Cycles'!$C$29*'Lease Cycles'!$BA$29/12,IF(AND('Lease Cycles'!$AX$29&gt;=INDEX('Lease Cycles'!$BG$29:$BM$29,1,CM367),'Lease Cycles'!$AX$29&lt;=CM$6),'Lease Cycles'!$C$29*'Lease Cycles'!$AY$29/12,IF(AND('Lease Cycles'!$AV$29&gt;=INDEX('Lease Cycles'!$BG$29:$BM$29,1,CM367),'Lease Cycles'!$AV$29&lt;=CM$6),'Lease Cycles'!$C$29*'Lease Cycles'!$AW$29/12,IF(AND('Lease Cycles'!$AT$29&gt;=INDEX('Lease Cycles'!$BG$29:$BM$29,1,CM367),'Lease Cycles'!$AT$29&lt;=CM$6),'Lease Cycles'!$C$29*'Lease Cycles'!$AU$29/12,'Lease Cycles'!$C$29*INDEX('Lease Cycles'!$CB$29:$CH$29,1,CM367)*(1+INDEX('Lease Cycles'!$CI$29:$CO$29,1,CM367))^INT(INT(CM368/12)/INDEX('Lease Cycles'!$CP$29:$CV$29,1,CM367))/12)))),'Lease Cycles'!$C$29*INDEX('Lease Cycles'!$CB$29:$CH$29,1,CM367)*(1+INDEX('Lease Cycles'!$CI$29:$CO$29,1,CM367))^INT(INT(CM368/12)/INDEX('Lease Cycles'!$CP$29:$CV$29,1,CM367))/12))),IF('Lease Cycles'!$N$29=1,'Lease Cycles'!$C$29*'Lease Cycles'!$E$29*INDEX('Lease Cycles'!$HE$29:$HK$29,1,CM367)*(1+INDEX('Lease Cycles'!$GQ$29:$GW$29,1,CM367))^INT(INT((CM$6-INDEX('Lease Cycles'!$GJ$29:$GP$29,1,CM367))/12)/INDEX('Lease Cycles'!$GX$29:$HD$29,1,CM367))/12,0)))</f>
        <v>0</v>
      </c>
      <c r="CN370" s="28">
        <f>IF(CN367=0,IF('Lease Cycles'!$F$29&gt;0,'Lease Cycles'!$C$29*'Lease Cycles'!$E$29/12,0),IF(CN369=1,IF('Lease Cycles'!$AT$29&gt;=9999,'Lease Cycles'!$C$29*INDEX('Lease Cycles'!$CB$29:$CH$29,1,CN367)*(1+INDEX('Lease Cycles'!$CI$29:$CO$29,1,CN367))^INT(INT(CN368/12)/INDEX('Lease Cycles'!$CP$29:$CV$29,1,CN367))/12,IF(CN367=1,IF(CN368&gt;=INDEX('Lease Cycles'!$DK$29:$DQ$29,1,CN367),IF(CN$6&gt;='Lease Cycles'!$AZ$29,'Lease Cycles'!$C$29*'Lease Cycles'!$BA$29/12,IF(CN$6&gt;='Lease Cycles'!$AX$29,'Lease Cycles'!$C$29*'Lease Cycles'!$AY$29/12,IF(CN$6&gt;='Lease Cycles'!$AV$29,'Lease Cycles'!$C$29*'Lease Cycles'!$AW$29/12,IF(CN$6&gt;='Lease Cycles'!$AT$29,'Lease Cycles'!$C$29*'Lease Cycles'!$AU$29/12,'Lease Cycles'!$C$29*INDEX('Lease Cycles'!$CB$29:$CH$29,1,CN367)*(1+INDEX('Lease Cycles'!$CI$29:$CO$29,1,CN367))^INT(INT(CN368/12)/INDEX('Lease Cycles'!$CP$29:$CV$29,1,CN367))/12)))),'Lease Cycles'!$C$29*INDEX('Lease Cycles'!$CB$29:$CH$29,1,CN367)*(1+INDEX('Lease Cycles'!$CI$29:$CO$29,1,CN367))^INT(INT(CN368/12)/INDEX('Lease Cycles'!$CP$29:$CV$29,1,CN367))/12),IF(INDEX('Lease Cycles'!$EF$29:$EL$29,1,CN367)=1,IF(AND('Lease Cycles'!$AZ$29&gt;=INDEX('Lease Cycles'!$BG$29:$BM$29,1,CN367),'Lease Cycles'!$AZ$29&lt;=CN$6),'Lease Cycles'!$C$29*'Lease Cycles'!$BA$29/12,IF(AND('Lease Cycles'!$AX$29&gt;=INDEX('Lease Cycles'!$BG$29:$BM$29,1,CN367),'Lease Cycles'!$AX$29&lt;=CN$6),'Lease Cycles'!$C$29*'Lease Cycles'!$AY$29/12,IF(AND('Lease Cycles'!$AV$29&gt;=INDEX('Lease Cycles'!$BG$29:$BM$29,1,CN367),'Lease Cycles'!$AV$29&lt;=CN$6),'Lease Cycles'!$C$29*'Lease Cycles'!$AW$29/12,IF(AND('Lease Cycles'!$AT$29&gt;=INDEX('Lease Cycles'!$BG$29:$BM$29,1,CN367),'Lease Cycles'!$AT$29&lt;=CN$6),'Lease Cycles'!$C$29*'Lease Cycles'!$AU$29/12,'Lease Cycles'!$C$29*INDEX('Lease Cycles'!$CB$29:$CH$29,1,CN367)*(1+INDEX('Lease Cycles'!$CI$29:$CO$29,1,CN367))^INT(INT(CN368/12)/INDEX('Lease Cycles'!$CP$29:$CV$29,1,CN367))/12)))),'Lease Cycles'!$C$29*INDEX('Lease Cycles'!$CB$29:$CH$29,1,CN367)*(1+INDEX('Lease Cycles'!$CI$29:$CO$29,1,CN367))^INT(INT(CN368/12)/INDEX('Lease Cycles'!$CP$29:$CV$29,1,CN367))/12))),IF('Lease Cycles'!$N$29=1,'Lease Cycles'!$C$29*'Lease Cycles'!$E$29*INDEX('Lease Cycles'!$HE$29:$HK$29,1,CN367)*(1+INDEX('Lease Cycles'!$GQ$29:$GW$29,1,CN367))^INT(INT((CN$6-INDEX('Lease Cycles'!$GJ$29:$GP$29,1,CN367))/12)/INDEX('Lease Cycles'!$GX$29:$HD$29,1,CN367))/12,0)))</f>
        <v>0</v>
      </c>
      <c r="CO370" s="28">
        <f>IF(CO367=0,IF('Lease Cycles'!$F$29&gt;0,'Lease Cycles'!$C$29*'Lease Cycles'!$E$29/12,0),IF(CO369=1,IF('Lease Cycles'!$AT$29&gt;=9999,'Lease Cycles'!$C$29*INDEX('Lease Cycles'!$CB$29:$CH$29,1,CO367)*(1+INDEX('Lease Cycles'!$CI$29:$CO$29,1,CO367))^INT(INT(CO368/12)/INDEX('Lease Cycles'!$CP$29:$CV$29,1,CO367))/12,IF(CO367=1,IF(CO368&gt;=INDEX('Lease Cycles'!$DK$29:$DQ$29,1,CO367),IF(CO$6&gt;='Lease Cycles'!$AZ$29,'Lease Cycles'!$C$29*'Lease Cycles'!$BA$29/12,IF(CO$6&gt;='Lease Cycles'!$AX$29,'Lease Cycles'!$C$29*'Lease Cycles'!$AY$29/12,IF(CO$6&gt;='Lease Cycles'!$AV$29,'Lease Cycles'!$C$29*'Lease Cycles'!$AW$29/12,IF(CO$6&gt;='Lease Cycles'!$AT$29,'Lease Cycles'!$C$29*'Lease Cycles'!$AU$29/12,'Lease Cycles'!$C$29*INDEX('Lease Cycles'!$CB$29:$CH$29,1,CO367)*(1+INDEX('Lease Cycles'!$CI$29:$CO$29,1,CO367))^INT(INT(CO368/12)/INDEX('Lease Cycles'!$CP$29:$CV$29,1,CO367))/12)))),'Lease Cycles'!$C$29*INDEX('Lease Cycles'!$CB$29:$CH$29,1,CO367)*(1+INDEX('Lease Cycles'!$CI$29:$CO$29,1,CO367))^INT(INT(CO368/12)/INDEX('Lease Cycles'!$CP$29:$CV$29,1,CO367))/12),IF(INDEX('Lease Cycles'!$EF$29:$EL$29,1,CO367)=1,IF(AND('Lease Cycles'!$AZ$29&gt;=INDEX('Lease Cycles'!$BG$29:$BM$29,1,CO367),'Lease Cycles'!$AZ$29&lt;=CO$6),'Lease Cycles'!$C$29*'Lease Cycles'!$BA$29/12,IF(AND('Lease Cycles'!$AX$29&gt;=INDEX('Lease Cycles'!$BG$29:$BM$29,1,CO367),'Lease Cycles'!$AX$29&lt;=CO$6),'Lease Cycles'!$C$29*'Lease Cycles'!$AY$29/12,IF(AND('Lease Cycles'!$AV$29&gt;=INDEX('Lease Cycles'!$BG$29:$BM$29,1,CO367),'Lease Cycles'!$AV$29&lt;=CO$6),'Lease Cycles'!$C$29*'Lease Cycles'!$AW$29/12,IF(AND('Lease Cycles'!$AT$29&gt;=INDEX('Lease Cycles'!$BG$29:$BM$29,1,CO367),'Lease Cycles'!$AT$29&lt;=CO$6),'Lease Cycles'!$C$29*'Lease Cycles'!$AU$29/12,'Lease Cycles'!$C$29*INDEX('Lease Cycles'!$CB$29:$CH$29,1,CO367)*(1+INDEX('Lease Cycles'!$CI$29:$CO$29,1,CO367))^INT(INT(CO368/12)/INDEX('Lease Cycles'!$CP$29:$CV$29,1,CO367))/12)))),'Lease Cycles'!$C$29*INDEX('Lease Cycles'!$CB$29:$CH$29,1,CO367)*(1+INDEX('Lease Cycles'!$CI$29:$CO$29,1,CO367))^INT(INT(CO368/12)/INDEX('Lease Cycles'!$CP$29:$CV$29,1,CO367))/12))),IF('Lease Cycles'!$N$29=1,'Lease Cycles'!$C$29*'Lease Cycles'!$E$29*INDEX('Lease Cycles'!$HE$29:$HK$29,1,CO367)*(1+INDEX('Lease Cycles'!$GQ$29:$GW$29,1,CO367))^INT(INT((CO$6-INDEX('Lease Cycles'!$GJ$29:$GP$29,1,CO367))/12)/INDEX('Lease Cycles'!$GX$29:$HD$29,1,CO367))/12,0)))</f>
        <v>0</v>
      </c>
      <c r="CP370" s="28">
        <f>IF(CP367=0,IF('Lease Cycles'!$F$29&gt;0,'Lease Cycles'!$C$29*'Lease Cycles'!$E$29/12,0),IF(CP369=1,IF('Lease Cycles'!$AT$29&gt;=9999,'Lease Cycles'!$C$29*INDEX('Lease Cycles'!$CB$29:$CH$29,1,CP367)*(1+INDEX('Lease Cycles'!$CI$29:$CO$29,1,CP367))^INT(INT(CP368/12)/INDEX('Lease Cycles'!$CP$29:$CV$29,1,CP367))/12,IF(CP367=1,IF(CP368&gt;=INDEX('Lease Cycles'!$DK$29:$DQ$29,1,CP367),IF(CP$6&gt;='Lease Cycles'!$AZ$29,'Lease Cycles'!$C$29*'Lease Cycles'!$BA$29/12,IF(CP$6&gt;='Lease Cycles'!$AX$29,'Lease Cycles'!$C$29*'Lease Cycles'!$AY$29/12,IF(CP$6&gt;='Lease Cycles'!$AV$29,'Lease Cycles'!$C$29*'Lease Cycles'!$AW$29/12,IF(CP$6&gt;='Lease Cycles'!$AT$29,'Lease Cycles'!$C$29*'Lease Cycles'!$AU$29/12,'Lease Cycles'!$C$29*INDEX('Lease Cycles'!$CB$29:$CH$29,1,CP367)*(1+INDEX('Lease Cycles'!$CI$29:$CO$29,1,CP367))^INT(INT(CP368/12)/INDEX('Lease Cycles'!$CP$29:$CV$29,1,CP367))/12)))),'Lease Cycles'!$C$29*INDEX('Lease Cycles'!$CB$29:$CH$29,1,CP367)*(1+INDEX('Lease Cycles'!$CI$29:$CO$29,1,CP367))^INT(INT(CP368/12)/INDEX('Lease Cycles'!$CP$29:$CV$29,1,CP367))/12),IF(INDEX('Lease Cycles'!$EF$29:$EL$29,1,CP367)=1,IF(AND('Lease Cycles'!$AZ$29&gt;=INDEX('Lease Cycles'!$BG$29:$BM$29,1,CP367),'Lease Cycles'!$AZ$29&lt;=CP$6),'Lease Cycles'!$C$29*'Lease Cycles'!$BA$29/12,IF(AND('Lease Cycles'!$AX$29&gt;=INDEX('Lease Cycles'!$BG$29:$BM$29,1,CP367),'Lease Cycles'!$AX$29&lt;=CP$6),'Lease Cycles'!$C$29*'Lease Cycles'!$AY$29/12,IF(AND('Lease Cycles'!$AV$29&gt;=INDEX('Lease Cycles'!$BG$29:$BM$29,1,CP367),'Lease Cycles'!$AV$29&lt;=CP$6),'Lease Cycles'!$C$29*'Lease Cycles'!$AW$29/12,IF(AND('Lease Cycles'!$AT$29&gt;=INDEX('Lease Cycles'!$BG$29:$BM$29,1,CP367),'Lease Cycles'!$AT$29&lt;=CP$6),'Lease Cycles'!$C$29*'Lease Cycles'!$AU$29/12,'Lease Cycles'!$C$29*INDEX('Lease Cycles'!$CB$29:$CH$29,1,CP367)*(1+INDEX('Lease Cycles'!$CI$29:$CO$29,1,CP367))^INT(INT(CP368/12)/INDEX('Lease Cycles'!$CP$29:$CV$29,1,CP367))/12)))),'Lease Cycles'!$C$29*INDEX('Lease Cycles'!$CB$29:$CH$29,1,CP367)*(1+INDEX('Lease Cycles'!$CI$29:$CO$29,1,CP367))^INT(INT(CP368/12)/INDEX('Lease Cycles'!$CP$29:$CV$29,1,CP367))/12))),IF('Lease Cycles'!$N$29=1,'Lease Cycles'!$C$29*'Lease Cycles'!$E$29*INDEX('Lease Cycles'!$HE$29:$HK$29,1,CP367)*(1+INDEX('Lease Cycles'!$GQ$29:$GW$29,1,CP367))^INT(INT((CP$6-INDEX('Lease Cycles'!$GJ$29:$GP$29,1,CP367))/12)/INDEX('Lease Cycles'!$GX$29:$HD$29,1,CP367))/12,0)))</f>
        <v>0</v>
      </c>
      <c r="CQ370" s="28">
        <f>IF(CQ367=0,IF('Lease Cycles'!$F$29&gt;0,'Lease Cycles'!$C$29*'Lease Cycles'!$E$29/12,0),IF(CQ369=1,IF('Lease Cycles'!$AT$29&gt;=9999,'Lease Cycles'!$C$29*INDEX('Lease Cycles'!$CB$29:$CH$29,1,CQ367)*(1+INDEX('Lease Cycles'!$CI$29:$CO$29,1,CQ367))^INT(INT(CQ368/12)/INDEX('Lease Cycles'!$CP$29:$CV$29,1,CQ367))/12,IF(CQ367=1,IF(CQ368&gt;=INDEX('Lease Cycles'!$DK$29:$DQ$29,1,CQ367),IF(CQ$6&gt;='Lease Cycles'!$AZ$29,'Lease Cycles'!$C$29*'Lease Cycles'!$BA$29/12,IF(CQ$6&gt;='Lease Cycles'!$AX$29,'Lease Cycles'!$C$29*'Lease Cycles'!$AY$29/12,IF(CQ$6&gt;='Lease Cycles'!$AV$29,'Lease Cycles'!$C$29*'Lease Cycles'!$AW$29/12,IF(CQ$6&gt;='Lease Cycles'!$AT$29,'Lease Cycles'!$C$29*'Lease Cycles'!$AU$29/12,'Lease Cycles'!$C$29*INDEX('Lease Cycles'!$CB$29:$CH$29,1,CQ367)*(1+INDEX('Lease Cycles'!$CI$29:$CO$29,1,CQ367))^INT(INT(CQ368/12)/INDEX('Lease Cycles'!$CP$29:$CV$29,1,CQ367))/12)))),'Lease Cycles'!$C$29*INDEX('Lease Cycles'!$CB$29:$CH$29,1,CQ367)*(1+INDEX('Lease Cycles'!$CI$29:$CO$29,1,CQ367))^INT(INT(CQ368/12)/INDEX('Lease Cycles'!$CP$29:$CV$29,1,CQ367))/12),IF(INDEX('Lease Cycles'!$EF$29:$EL$29,1,CQ367)=1,IF(AND('Lease Cycles'!$AZ$29&gt;=INDEX('Lease Cycles'!$BG$29:$BM$29,1,CQ367),'Lease Cycles'!$AZ$29&lt;=CQ$6),'Lease Cycles'!$C$29*'Lease Cycles'!$BA$29/12,IF(AND('Lease Cycles'!$AX$29&gt;=INDEX('Lease Cycles'!$BG$29:$BM$29,1,CQ367),'Lease Cycles'!$AX$29&lt;=CQ$6),'Lease Cycles'!$C$29*'Lease Cycles'!$AY$29/12,IF(AND('Lease Cycles'!$AV$29&gt;=INDEX('Lease Cycles'!$BG$29:$BM$29,1,CQ367),'Lease Cycles'!$AV$29&lt;=CQ$6),'Lease Cycles'!$C$29*'Lease Cycles'!$AW$29/12,IF(AND('Lease Cycles'!$AT$29&gt;=INDEX('Lease Cycles'!$BG$29:$BM$29,1,CQ367),'Lease Cycles'!$AT$29&lt;=CQ$6),'Lease Cycles'!$C$29*'Lease Cycles'!$AU$29/12,'Lease Cycles'!$C$29*INDEX('Lease Cycles'!$CB$29:$CH$29,1,CQ367)*(1+INDEX('Lease Cycles'!$CI$29:$CO$29,1,CQ367))^INT(INT(CQ368/12)/INDEX('Lease Cycles'!$CP$29:$CV$29,1,CQ367))/12)))),'Lease Cycles'!$C$29*INDEX('Lease Cycles'!$CB$29:$CH$29,1,CQ367)*(1+INDEX('Lease Cycles'!$CI$29:$CO$29,1,CQ367))^INT(INT(CQ368/12)/INDEX('Lease Cycles'!$CP$29:$CV$29,1,CQ367))/12))),IF('Lease Cycles'!$N$29=1,'Lease Cycles'!$C$29*'Lease Cycles'!$E$29*INDEX('Lease Cycles'!$HE$29:$HK$29,1,CQ367)*(1+INDEX('Lease Cycles'!$GQ$29:$GW$29,1,CQ367))^INT(INT((CQ$6-INDEX('Lease Cycles'!$GJ$29:$GP$29,1,CQ367))/12)/INDEX('Lease Cycles'!$GX$29:$HD$29,1,CQ367))/12,0)))</f>
        <v>0</v>
      </c>
      <c r="CR370" s="28">
        <f>IF(CR367=0,IF('Lease Cycles'!$F$29&gt;0,'Lease Cycles'!$C$29*'Lease Cycles'!$E$29/12,0),IF(CR369=1,IF('Lease Cycles'!$AT$29&gt;=9999,'Lease Cycles'!$C$29*INDEX('Lease Cycles'!$CB$29:$CH$29,1,CR367)*(1+INDEX('Lease Cycles'!$CI$29:$CO$29,1,CR367))^INT(INT(CR368/12)/INDEX('Lease Cycles'!$CP$29:$CV$29,1,CR367))/12,IF(CR367=1,IF(CR368&gt;=INDEX('Lease Cycles'!$DK$29:$DQ$29,1,CR367),IF(CR$6&gt;='Lease Cycles'!$AZ$29,'Lease Cycles'!$C$29*'Lease Cycles'!$BA$29/12,IF(CR$6&gt;='Lease Cycles'!$AX$29,'Lease Cycles'!$C$29*'Lease Cycles'!$AY$29/12,IF(CR$6&gt;='Lease Cycles'!$AV$29,'Lease Cycles'!$C$29*'Lease Cycles'!$AW$29/12,IF(CR$6&gt;='Lease Cycles'!$AT$29,'Lease Cycles'!$C$29*'Lease Cycles'!$AU$29/12,'Lease Cycles'!$C$29*INDEX('Lease Cycles'!$CB$29:$CH$29,1,CR367)*(1+INDEX('Lease Cycles'!$CI$29:$CO$29,1,CR367))^INT(INT(CR368/12)/INDEX('Lease Cycles'!$CP$29:$CV$29,1,CR367))/12)))),'Lease Cycles'!$C$29*INDEX('Lease Cycles'!$CB$29:$CH$29,1,CR367)*(1+INDEX('Lease Cycles'!$CI$29:$CO$29,1,CR367))^INT(INT(CR368/12)/INDEX('Lease Cycles'!$CP$29:$CV$29,1,CR367))/12),IF(INDEX('Lease Cycles'!$EF$29:$EL$29,1,CR367)=1,IF(AND('Lease Cycles'!$AZ$29&gt;=INDEX('Lease Cycles'!$BG$29:$BM$29,1,CR367),'Lease Cycles'!$AZ$29&lt;=CR$6),'Lease Cycles'!$C$29*'Lease Cycles'!$BA$29/12,IF(AND('Lease Cycles'!$AX$29&gt;=INDEX('Lease Cycles'!$BG$29:$BM$29,1,CR367),'Lease Cycles'!$AX$29&lt;=CR$6),'Lease Cycles'!$C$29*'Lease Cycles'!$AY$29/12,IF(AND('Lease Cycles'!$AV$29&gt;=INDEX('Lease Cycles'!$BG$29:$BM$29,1,CR367),'Lease Cycles'!$AV$29&lt;=CR$6),'Lease Cycles'!$C$29*'Lease Cycles'!$AW$29/12,IF(AND('Lease Cycles'!$AT$29&gt;=INDEX('Lease Cycles'!$BG$29:$BM$29,1,CR367),'Lease Cycles'!$AT$29&lt;=CR$6),'Lease Cycles'!$C$29*'Lease Cycles'!$AU$29/12,'Lease Cycles'!$C$29*INDEX('Lease Cycles'!$CB$29:$CH$29,1,CR367)*(1+INDEX('Lease Cycles'!$CI$29:$CO$29,1,CR367))^INT(INT(CR368/12)/INDEX('Lease Cycles'!$CP$29:$CV$29,1,CR367))/12)))),'Lease Cycles'!$C$29*INDEX('Lease Cycles'!$CB$29:$CH$29,1,CR367)*(1+INDEX('Lease Cycles'!$CI$29:$CO$29,1,CR367))^INT(INT(CR368/12)/INDEX('Lease Cycles'!$CP$29:$CV$29,1,CR367))/12))),IF('Lease Cycles'!$N$29=1,'Lease Cycles'!$C$29*'Lease Cycles'!$E$29*INDEX('Lease Cycles'!$HE$29:$HK$29,1,CR367)*(1+INDEX('Lease Cycles'!$GQ$29:$GW$29,1,CR367))^INT(INT((CR$6-INDEX('Lease Cycles'!$GJ$29:$GP$29,1,CR367))/12)/INDEX('Lease Cycles'!$GX$29:$HD$29,1,CR367))/12,0)))</f>
        <v>0</v>
      </c>
      <c r="CS370" s="28">
        <f>IF(CS367=0,IF('Lease Cycles'!$F$29&gt;0,'Lease Cycles'!$C$29*'Lease Cycles'!$E$29/12,0),IF(CS369=1,IF('Lease Cycles'!$AT$29&gt;=9999,'Lease Cycles'!$C$29*INDEX('Lease Cycles'!$CB$29:$CH$29,1,CS367)*(1+INDEX('Lease Cycles'!$CI$29:$CO$29,1,CS367))^INT(INT(CS368/12)/INDEX('Lease Cycles'!$CP$29:$CV$29,1,CS367))/12,IF(CS367=1,IF(CS368&gt;=INDEX('Lease Cycles'!$DK$29:$DQ$29,1,CS367),IF(CS$6&gt;='Lease Cycles'!$AZ$29,'Lease Cycles'!$C$29*'Lease Cycles'!$BA$29/12,IF(CS$6&gt;='Lease Cycles'!$AX$29,'Lease Cycles'!$C$29*'Lease Cycles'!$AY$29/12,IF(CS$6&gt;='Lease Cycles'!$AV$29,'Lease Cycles'!$C$29*'Lease Cycles'!$AW$29/12,IF(CS$6&gt;='Lease Cycles'!$AT$29,'Lease Cycles'!$C$29*'Lease Cycles'!$AU$29/12,'Lease Cycles'!$C$29*INDEX('Lease Cycles'!$CB$29:$CH$29,1,CS367)*(1+INDEX('Lease Cycles'!$CI$29:$CO$29,1,CS367))^INT(INT(CS368/12)/INDEX('Lease Cycles'!$CP$29:$CV$29,1,CS367))/12)))),'Lease Cycles'!$C$29*INDEX('Lease Cycles'!$CB$29:$CH$29,1,CS367)*(1+INDEX('Lease Cycles'!$CI$29:$CO$29,1,CS367))^INT(INT(CS368/12)/INDEX('Lease Cycles'!$CP$29:$CV$29,1,CS367))/12),IF(INDEX('Lease Cycles'!$EF$29:$EL$29,1,CS367)=1,IF(AND('Lease Cycles'!$AZ$29&gt;=INDEX('Lease Cycles'!$BG$29:$BM$29,1,CS367),'Lease Cycles'!$AZ$29&lt;=CS$6),'Lease Cycles'!$C$29*'Lease Cycles'!$BA$29/12,IF(AND('Lease Cycles'!$AX$29&gt;=INDEX('Lease Cycles'!$BG$29:$BM$29,1,CS367),'Lease Cycles'!$AX$29&lt;=CS$6),'Lease Cycles'!$C$29*'Lease Cycles'!$AY$29/12,IF(AND('Lease Cycles'!$AV$29&gt;=INDEX('Lease Cycles'!$BG$29:$BM$29,1,CS367),'Lease Cycles'!$AV$29&lt;=CS$6),'Lease Cycles'!$C$29*'Lease Cycles'!$AW$29/12,IF(AND('Lease Cycles'!$AT$29&gt;=INDEX('Lease Cycles'!$BG$29:$BM$29,1,CS367),'Lease Cycles'!$AT$29&lt;=CS$6),'Lease Cycles'!$C$29*'Lease Cycles'!$AU$29/12,'Lease Cycles'!$C$29*INDEX('Lease Cycles'!$CB$29:$CH$29,1,CS367)*(1+INDEX('Lease Cycles'!$CI$29:$CO$29,1,CS367))^INT(INT(CS368/12)/INDEX('Lease Cycles'!$CP$29:$CV$29,1,CS367))/12)))),'Lease Cycles'!$C$29*INDEX('Lease Cycles'!$CB$29:$CH$29,1,CS367)*(1+INDEX('Lease Cycles'!$CI$29:$CO$29,1,CS367))^INT(INT(CS368/12)/INDEX('Lease Cycles'!$CP$29:$CV$29,1,CS367))/12))),IF('Lease Cycles'!$N$29=1,'Lease Cycles'!$C$29*'Lease Cycles'!$E$29*INDEX('Lease Cycles'!$HE$29:$HK$29,1,CS367)*(1+INDEX('Lease Cycles'!$GQ$29:$GW$29,1,CS367))^INT(INT((CS$6-INDEX('Lease Cycles'!$GJ$29:$GP$29,1,CS367))/12)/INDEX('Lease Cycles'!$GX$29:$HD$29,1,CS367))/12,0)))</f>
        <v>0</v>
      </c>
      <c r="CT370" s="28">
        <f>IF(CT367=0,IF('Lease Cycles'!$F$29&gt;0,'Lease Cycles'!$C$29*'Lease Cycles'!$E$29/12,0),IF(CT369=1,IF('Lease Cycles'!$AT$29&gt;=9999,'Lease Cycles'!$C$29*INDEX('Lease Cycles'!$CB$29:$CH$29,1,CT367)*(1+INDEX('Lease Cycles'!$CI$29:$CO$29,1,CT367))^INT(INT(CT368/12)/INDEX('Lease Cycles'!$CP$29:$CV$29,1,CT367))/12,IF(CT367=1,IF(CT368&gt;=INDEX('Lease Cycles'!$DK$29:$DQ$29,1,CT367),IF(CT$6&gt;='Lease Cycles'!$AZ$29,'Lease Cycles'!$C$29*'Lease Cycles'!$BA$29/12,IF(CT$6&gt;='Lease Cycles'!$AX$29,'Lease Cycles'!$C$29*'Lease Cycles'!$AY$29/12,IF(CT$6&gt;='Lease Cycles'!$AV$29,'Lease Cycles'!$C$29*'Lease Cycles'!$AW$29/12,IF(CT$6&gt;='Lease Cycles'!$AT$29,'Lease Cycles'!$C$29*'Lease Cycles'!$AU$29/12,'Lease Cycles'!$C$29*INDEX('Lease Cycles'!$CB$29:$CH$29,1,CT367)*(1+INDEX('Lease Cycles'!$CI$29:$CO$29,1,CT367))^INT(INT(CT368/12)/INDEX('Lease Cycles'!$CP$29:$CV$29,1,CT367))/12)))),'Lease Cycles'!$C$29*INDEX('Lease Cycles'!$CB$29:$CH$29,1,CT367)*(1+INDEX('Lease Cycles'!$CI$29:$CO$29,1,CT367))^INT(INT(CT368/12)/INDEX('Lease Cycles'!$CP$29:$CV$29,1,CT367))/12),IF(INDEX('Lease Cycles'!$EF$29:$EL$29,1,CT367)=1,IF(AND('Lease Cycles'!$AZ$29&gt;=INDEX('Lease Cycles'!$BG$29:$BM$29,1,CT367),'Lease Cycles'!$AZ$29&lt;=CT$6),'Lease Cycles'!$C$29*'Lease Cycles'!$BA$29/12,IF(AND('Lease Cycles'!$AX$29&gt;=INDEX('Lease Cycles'!$BG$29:$BM$29,1,CT367),'Lease Cycles'!$AX$29&lt;=CT$6),'Lease Cycles'!$C$29*'Lease Cycles'!$AY$29/12,IF(AND('Lease Cycles'!$AV$29&gt;=INDEX('Lease Cycles'!$BG$29:$BM$29,1,CT367),'Lease Cycles'!$AV$29&lt;=CT$6),'Lease Cycles'!$C$29*'Lease Cycles'!$AW$29/12,IF(AND('Lease Cycles'!$AT$29&gt;=INDEX('Lease Cycles'!$BG$29:$BM$29,1,CT367),'Lease Cycles'!$AT$29&lt;=CT$6),'Lease Cycles'!$C$29*'Lease Cycles'!$AU$29/12,'Lease Cycles'!$C$29*INDEX('Lease Cycles'!$CB$29:$CH$29,1,CT367)*(1+INDEX('Lease Cycles'!$CI$29:$CO$29,1,CT367))^INT(INT(CT368/12)/INDEX('Lease Cycles'!$CP$29:$CV$29,1,CT367))/12)))),'Lease Cycles'!$C$29*INDEX('Lease Cycles'!$CB$29:$CH$29,1,CT367)*(1+INDEX('Lease Cycles'!$CI$29:$CO$29,1,CT367))^INT(INT(CT368/12)/INDEX('Lease Cycles'!$CP$29:$CV$29,1,CT367))/12))),IF('Lease Cycles'!$N$29=1,'Lease Cycles'!$C$29*'Lease Cycles'!$E$29*INDEX('Lease Cycles'!$HE$29:$HK$29,1,CT367)*(1+INDEX('Lease Cycles'!$GQ$29:$GW$29,1,CT367))^INT(INT((CT$6-INDEX('Lease Cycles'!$GJ$29:$GP$29,1,CT367))/12)/INDEX('Lease Cycles'!$GX$29:$HD$29,1,CT367))/12,0)))</f>
        <v>0</v>
      </c>
      <c r="CU370" s="28">
        <f>IF(CU367=0,IF('Lease Cycles'!$F$29&gt;0,'Lease Cycles'!$C$29*'Lease Cycles'!$E$29/12,0),IF(CU369=1,IF('Lease Cycles'!$AT$29&gt;=9999,'Lease Cycles'!$C$29*INDEX('Lease Cycles'!$CB$29:$CH$29,1,CU367)*(1+INDEX('Lease Cycles'!$CI$29:$CO$29,1,CU367))^INT(INT(CU368/12)/INDEX('Lease Cycles'!$CP$29:$CV$29,1,CU367))/12,IF(CU367=1,IF(CU368&gt;=INDEX('Lease Cycles'!$DK$29:$DQ$29,1,CU367),IF(CU$6&gt;='Lease Cycles'!$AZ$29,'Lease Cycles'!$C$29*'Lease Cycles'!$BA$29/12,IF(CU$6&gt;='Lease Cycles'!$AX$29,'Lease Cycles'!$C$29*'Lease Cycles'!$AY$29/12,IF(CU$6&gt;='Lease Cycles'!$AV$29,'Lease Cycles'!$C$29*'Lease Cycles'!$AW$29/12,IF(CU$6&gt;='Lease Cycles'!$AT$29,'Lease Cycles'!$C$29*'Lease Cycles'!$AU$29/12,'Lease Cycles'!$C$29*INDEX('Lease Cycles'!$CB$29:$CH$29,1,CU367)*(1+INDEX('Lease Cycles'!$CI$29:$CO$29,1,CU367))^INT(INT(CU368/12)/INDEX('Lease Cycles'!$CP$29:$CV$29,1,CU367))/12)))),'Lease Cycles'!$C$29*INDEX('Lease Cycles'!$CB$29:$CH$29,1,CU367)*(1+INDEX('Lease Cycles'!$CI$29:$CO$29,1,CU367))^INT(INT(CU368/12)/INDEX('Lease Cycles'!$CP$29:$CV$29,1,CU367))/12),IF(INDEX('Lease Cycles'!$EF$29:$EL$29,1,CU367)=1,IF(AND('Lease Cycles'!$AZ$29&gt;=INDEX('Lease Cycles'!$BG$29:$BM$29,1,CU367),'Lease Cycles'!$AZ$29&lt;=CU$6),'Lease Cycles'!$C$29*'Lease Cycles'!$BA$29/12,IF(AND('Lease Cycles'!$AX$29&gt;=INDEX('Lease Cycles'!$BG$29:$BM$29,1,CU367),'Lease Cycles'!$AX$29&lt;=CU$6),'Lease Cycles'!$C$29*'Lease Cycles'!$AY$29/12,IF(AND('Lease Cycles'!$AV$29&gt;=INDEX('Lease Cycles'!$BG$29:$BM$29,1,CU367),'Lease Cycles'!$AV$29&lt;=CU$6),'Lease Cycles'!$C$29*'Lease Cycles'!$AW$29/12,IF(AND('Lease Cycles'!$AT$29&gt;=INDEX('Lease Cycles'!$BG$29:$BM$29,1,CU367),'Lease Cycles'!$AT$29&lt;=CU$6),'Lease Cycles'!$C$29*'Lease Cycles'!$AU$29/12,'Lease Cycles'!$C$29*INDEX('Lease Cycles'!$CB$29:$CH$29,1,CU367)*(1+INDEX('Lease Cycles'!$CI$29:$CO$29,1,CU367))^INT(INT(CU368/12)/INDEX('Lease Cycles'!$CP$29:$CV$29,1,CU367))/12)))),'Lease Cycles'!$C$29*INDEX('Lease Cycles'!$CB$29:$CH$29,1,CU367)*(1+INDEX('Lease Cycles'!$CI$29:$CO$29,1,CU367))^INT(INT(CU368/12)/INDEX('Lease Cycles'!$CP$29:$CV$29,1,CU367))/12))),IF('Lease Cycles'!$N$29=1,'Lease Cycles'!$C$29*'Lease Cycles'!$E$29*INDEX('Lease Cycles'!$HE$29:$HK$29,1,CU367)*(1+INDEX('Lease Cycles'!$GQ$29:$GW$29,1,CU367))^INT(INT((CU$6-INDEX('Lease Cycles'!$GJ$29:$GP$29,1,CU367))/12)/INDEX('Lease Cycles'!$GX$29:$HD$29,1,CU367))/12,0)))</f>
        <v>0</v>
      </c>
      <c r="CV370" s="28">
        <f>IF(CV367=0,IF('Lease Cycles'!$F$29&gt;0,'Lease Cycles'!$C$29*'Lease Cycles'!$E$29/12,0),IF(CV369=1,IF('Lease Cycles'!$AT$29&gt;=9999,'Lease Cycles'!$C$29*INDEX('Lease Cycles'!$CB$29:$CH$29,1,CV367)*(1+INDEX('Lease Cycles'!$CI$29:$CO$29,1,CV367))^INT(INT(CV368/12)/INDEX('Lease Cycles'!$CP$29:$CV$29,1,CV367))/12,IF(CV367=1,IF(CV368&gt;=INDEX('Lease Cycles'!$DK$29:$DQ$29,1,CV367),IF(CV$6&gt;='Lease Cycles'!$AZ$29,'Lease Cycles'!$C$29*'Lease Cycles'!$BA$29/12,IF(CV$6&gt;='Lease Cycles'!$AX$29,'Lease Cycles'!$C$29*'Lease Cycles'!$AY$29/12,IF(CV$6&gt;='Lease Cycles'!$AV$29,'Lease Cycles'!$C$29*'Lease Cycles'!$AW$29/12,IF(CV$6&gt;='Lease Cycles'!$AT$29,'Lease Cycles'!$C$29*'Lease Cycles'!$AU$29/12,'Lease Cycles'!$C$29*INDEX('Lease Cycles'!$CB$29:$CH$29,1,CV367)*(1+INDEX('Lease Cycles'!$CI$29:$CO$29,1,CV367))^INT(INT(CV368/12)/INDEX('Lease Cycles'!$CP$29:$CV$29,1,CV367))/12)))),'Lease Cycles'!$C$29*INDEX('Lease Cycles'!$CB$29:$CH$29,1,CV367)*(1+INDEX('Lease Cycles'!$CI$29:$CO$29,1,CV367))^INT(INT(CV368/12)/INDEX('Lease Cycles'!$CP$29:$CV$29,1,CV367))/12),IF(INDEX('Lease Cycles'!$EF$29:$EL$29,1,CV367)=1,IF(AND('Lease Cycles'!$AZ$29&gt;=INDEX('Lease Cycles'!$BG$29:$BM$29,1,CV367),'Lease Cycles'!$AZ$29&lt;=CV$6),'Lease Cycles'!$C$29*'Lease Cycles'!$BA$29/12,IF(AND('Lease Cycles'!$AX$29&gt;=INDEX('Lease Cycles'!$BG$29:$BM$29,1,CV367),'Lease Cycles'!$AX$29&lt;=CV$6),'Lease Cycles'!$C$29*'Lease Cycles'!$AY$29/12,IF(AND('Lease Cycles'!$AV$29&gt;=INDEX('Lease Cycles'!$BG$29:$BM$29,1,CV367),'Lease Cycles'!$AV$29&lt;=CV$6),'Lease Cycles'!$C$29*'Lease Cycles'!$AW$29/12,IF(AND('Lease Cycles'!$AT$29&gt;=INDEX('Lease Cycles'!$BG$29:$BM$29,1,CV367),'Lease Cycles'!$AT$29&lt;=CV$6),'Lease Cycles'!$C$29*'Lease Cycles'!$AU$29/12,'Lease Cycles'!$C$29*INDEX('Lease Cycles'!$CB$29:$CH$29,1,CV367)*(1+INDEX('Lease Cycles'!$CI$29:$CO$29,1,CV367))^INT(INT(CV368/12)/INDEX('Lease Cycles'!$CP$29:$CV$29,1,CV367))/12)))),'Lease Cycles'!$C$29*INDEX('Lease Cycles'!$CB$29:$CH$29,1,CV367)*(1+INDEX('Lease Cycles'!$CI$29:$CO$29,1,CV367))^INT(INT(CV368/12)/INDEX('Lease Cycles'!$CP$29:$CV$29,1,CV367))/12))),IF('Lease Cycles'!$N$29=1,'Lease Cycles'!$C$29*'Lease Cycles'!$E$29*INDEX('Lease Cycles'!$HE$29:$HK$29,1,CV367)*(1+INDEX('Lease Cycles'!$GQ$29:$GW$29,1,CV367))^INT(INT((CV$6-INDEX('Lease Cycles'!$GJ$29:$GP$29,1,CV367))/12)/INDEX('Lease Cycles'!$GX$29:$HD$29,1,CV367))/12,0)))</f>
        <v>0</v>
      </c>
      <c r="CW370" s="28">
        <f>IF(CW367=0,IF('Lease Cycles'!$F$29&gt;0,'Lease Cycles'!$C$29*'Lease Cycles'!$E$29/12,0),IF(CW369=1,IF('Lease Cycles'!$AT$29&gt;=9999,'Lease Cycles'!$C$29*INDEX('Lease Cycles'!$CB$29:$CH$29,1,CW367)*(1+INDEX('Lease Cycles'!$CI$29:$CO$29,1,CW367))^INT(INT(CW368/12)/INDEX('Lease Cycles'!$CP$29:$CV$29,1,CW367))/12,IF(CW367=1,IF(CW368&gt;=INDEX('Lease Cycles'!$DK$29:$DQ$29,1,CW367),IF(CW$6&gt;='Lease Cycles'!$AZ$29,'Lease Cycles'!$C$29*'Lease Cycles'!$BA$29/12,IF(CW$6&gt;='Lease Cycles'!$AX$29,'Lease Cycles'!$C$29*'Lease Cycles'!$AY$29/12,IF(CW$6&gt;='Lease Cycles'!$AV$29,'Lease Cycles'!$C$29*'Lease Cycles'!$AW$29/12,IF(CW$6&gt;='Lease Cycles'!$AT$29,'Lease Cycles'!$C$29*'Lease Cycles'!$AU$29/12,'Lease Cycles'!$C$29*INDEX('Lease Cycles'!$CB$29:$CH$29,1,CW367)*(1+INDEX('Lease Cycles'!$CI$29:$CO$29,1,CW367))^INT(INT(CW368/12)/INDEX('Lease Cycles'!$CP$29:$CV$29,1,CW367))/12)))),'Lease Cycles'!$C$29*INDEX('Lease Cycles'!$CB$29:$CH$29,1,CW367)*(1+INDEX('Lease Cycles'!$CI$29:$CO$29,1,CW367))^INT(INT(CW368/12)/INDEX('Lease Cycles'!$CP$29:$CV$29,1,CW367))/12),IF(INDEX('Lease Cycles'!$EF$29:$EL$29,1,CW367)=1,IF(AND('Lease Cycles'!$AZ$29&gt;=INDEX('Lease Cycles'!$BG$29:$BM$29,1,CW367),'Lease Cycles'!$AZ$29&lt;=CW$6),'Lease Cycles'!$C$29*'Lease Cycles'!$BA$29/12,IF(AND('Lease Cycles'!$AX$29&gt;=INDEX('Lease Cycles'!$BG$29:$BM$29,1,CW367),'Lease Cycles'!$AX$29&lt;=CW$6),'Lease Cycles'!$C$29*'Lease Cycles'!$AY$29/12,IF(AND('Lease Cycles'!$AV$29&gt;=INDEX('Lease Cycles'!$BG$29:$BM$29,1,CW367),'Lease Cycles'!$AV$29&lt;=CW$6),'Lease Cycles'!$C$29*'Lease Cycles'!$AW$29/12,IF(AND('Lease Cycles'!$AT$29&gt;=INDEX('Lease Cycles'!$BG$29:$BM$29,1,CW367),'Lease Cycles'!$AT$29&lt;=CW$6),'Lease Cycles'!$C$29*'Lease Cycles'!$AU$29/12,'Lease Cycles'!$C$29*INDEX('Lease Cycles'!$CB$29:$CH$29,1,CW367)*(1+INDEX('Lease Cycles'!$CI$29:$CO$29,1,CW367))^INT(INT(CW368/12)/INDEX('Lease Cycles'!$CP$29:$CV$29,1,CW367))/12)))),'Lease Cycles'!$C$29*INDEX('Lease Cycles'!$CB$29:$CH$29,1,CW367)*(1+INDEX('Lease Cycles'!$CI$29:$CO$29,1,CW367))^INT(INT(CW368/12)/INDEX('Lease Cycles'!$CP$29:$CV$29,1,CW367))/12))),IF('Lease Cycles'!$N$29=1,'Lease Cycles'!$C$29*'Lease Cycles'!$E$29*INDEX('Lease Cycles'!$HE$29:$HK$29,1,CW367)*(1+INDEX('Lease Cycles'!$GQ$29:$GW$29,1,CW367))^INT(INT((CW$6-INDEX('Lease Cycles'!$GJ$29:$GP$29,1,CW367))/12)/INDEX('Lease Cycles'!$GX$29:$HD$29,1,CW367))/12,0)))</f>
        <v>0</v>
      </c>
      <c r="CX370" s="28">
        <f>IF(CX367=0,IF('Lease Cycles'!$F$29&gt;0,'Lease Cycles'!$C$29*'Lease Cycles'!$E$29/12,0),IF(CX369=1,IF('Lease Cycles'!$AT$29&gt;=9999,'Lease Cycles'!$C$29*INDEX('Lease Cycles'!$CB$29:$CH$29,1,CX367)*(1+INDEX('Lease Cycles'!$CI$29:$CO$29,1,CX367))^INT(INT(CX368/12)/INDEX('Lease Cycles'!$CP$29:$CV$29,1,CX367))/12,IF(CX367=1,IF(CX368&gt;=INDEX('Lease Cycles'!$DK$29:$DQ$29,1,CX367),IF(CX$6&gt;='Lease Cycles'!$AZ$29,'Lease Cycles'!$C$29*'Lease Cycles'!$BA$29/12,IF(CX$6&gt;='Lease Cycles'!$AX$29,'Lease Cycles'!$C$29*'Lease Cycles'!$AY$29/12,IF(CX$6&gt;='Lease Cycles'!$AV$29,'Lease Cycles'!$C$29*'Lease Cycles'!$AW$29/12,IF(CX$6&gt;='Lease Cycles'!$AT$29,'Lease Cycles'!$C$29*'Lease Cycles'!$AU$29/12,'Lease Cycles'!$C$29*INDEX('Lease Cycles'!$CB$29:$CH$29,1,CX367)*(1+INDEX('Lease Cycles'!$CI$29:$CO$29,1,CX367))^INT(INT(CX368/12)/INDEX('Lease Cycles'!$CP$29:$CV$29,1,CX367))/12)))),'Lease Cycles'!$C$29*INDEX('Lease Cycles'!$CB$29:$CH$29,1,CX367)*(1+INDEX('Lease Cycles'!$CI$29:$CO$29,1,CX367))^INT(INT(CX368/12)/INDEX('Lease Cycles'!$CP$29:$CV$29,1,CX367))/12),IF(INDEX('Lease Cycles'!$EF$29:$EL$29,1,CX367)=1,IF(AND('Lease Cycles'!$AZ$29&gt;=INDEX('Lease Cycles'!$BG$29:$BM$29,1,CX367),'Lease Cycles'!$AZ$29&lt;=CX$6),'Lease Cycles'!$C$29*'Lease Cycles'!$BA$29/12,IF(AND('Lease Cycles'!$AX$29&gt;=INDEX('Lease Cycles'!$BG$29:$BM$29,1,CX367),'Lease Cycles'!$AX$29&lt;=CX$6),'Lease Cycles'!$C$29*'Lease Cycles'!$AY$29/12,IF(AND('Lease Cycles'!$AV$29&gt;=INDEX('Lease Cycles'!$BG$29:$BM$29,1,CX367),'Lease Cycles'!$AV$29&lt;=CX$6),'Lease Cycles'!$C$29*'Lease Cycles'!$AW$29/12,IF(AND('Lease Cycles'!$AT$29&gt;=INDEX('Lease Cycles'!$BG$29:$BM$29,1,CX367),'Lease Cycles'!$AT$29&lt;=CX$6),'Lease Cycles'!$C$29*'Lease Cycles'!$AU$29/12,'Lease Cycles'!$C$29*INDEX('Lease Cycles'!$CB$29:$CH$29,1,CX367)*(1+INDEX('Lease Cycles'!$CI$29:$CO$29,1,CX367))^INT(INT(CX368/12)/INDEX('Lease Cycles'!$CP$29:$CV$29,1,CX367))/12)))),'Lease Cycles'!$C$29*INDEX('Lease Cycles'!$CB$29:$CH$29,1,CX367)*(1+INDEX('Lease Cycles'!$CI$29:$CO$29,1,CX367))^INT(INT(CX368/12)/INDEX('Lease Cycles'!$CP$29:$CV$29,1,CX367))/12))),IF('Lease Cycles'!$N$29=1,'Lease Cycles'!$C$29*'Lease Cycles'!$E$29*INDEX('Lease Cycles'!$HE$29:$HK$29,1,CX367)*(1+INDEX('Lease Cycles'!$GQ$29:$GW$29,1,CX367))^INT(INT((CX$6-INDEX('Lease Cycles'!$GJ$29:$GP$29,1,CX367))/12)/INDEX('Lease Cycles'!$GX$29:$HD$29,1,CX367))/12,0)))</f>
        <v>0</v>
      </c>
      <c r="CY370" s="28">
        <f>IF(CY367=0,IF('Lease Cycles'!$F$29&gt;0,'Lease Cycles'!$C$29*'Lease Cycles'!$E$29/12,0),IF(CY369=1,IF('Lease Cycles'!$AT$29&gt;=9999,'Lease Cycles'!$C$29*INDEX('Lease Cycles'!$CB$29:$CH$29,1,CY367)*(1+INDEX('Lease Cycles'!$CI$29:$CO$29,1,CY367))^INT(INT(CY368/12)/INDEX('Lease Cycles'!$CP$29:$CV$29,1,CY367))/12,IF(CY367=1,IF(CY368&gt;=INDEX('Lease Cycles'!$DK$29:$DQ$29,1,CY367),IF(CY$6&gt;='Lease Cycles'!$AZ$29,'Lease Cycles'!$C$29*'Lease Cycles'!$BA$29/12,IF(CY$6&gt;='Lease Cycles'!$AX$29,'Lease Cycles'!$C$29*'Lease Cycles'!$AY$29/12,IF(CY$6&gt;='Lease Cycles'!$AV$29,'Lease Cycles'!$C$29*'Lease Cycles'!$AW$29/12,IF(CY$6&gt;='Lease Cycles'!$AT$29,'Lease Cycles'!$C$29*'Lease Cycles'!$AU$29/12,'Lease Cycles'!$C$29*INDEX('Lease Cycles'!$CB$29:$CH$29,1,CY367)*(1+INDEX('Lease Cycles'!$CI$29:$CO$29,1,CY367))^INT(INT(CY368/12)/INDEX('Lease Cycles'!$CP$29:$CV$29,1,CY367))/12)))),'Lease Cycles'!$C$29*INDEX('Lease Cycles'!$CB$29:$CH$29,1,CY367)*(1+INDEX('Lease Cycles'!$CI$29:$CO$29,1,CY367))^INT(INT(CY368/12)/INDEX('Lease Cycles'!$CP$29:$CV$29,1,CY367))/12),IF(INDEX('Lease Cycles'!$EF$29:$EL$29,1,CY367)=1,IF(AND('Lease Cycles'!$AZ$29&gt;=INDEX('Lease Cycles'!$BG$29:$BM$29,1,CY367),'Lease Cycles'!$AZ$29&lt;=CY$6),'Lease Cycles'!$C$29*'Lease Cycles'!$BA$29/12,IF(AND('Lease Cycles'!$AX$29&gt;=INDEX('Lease Cycles'!$BG$29:$BM$29,1,CY367),'Lease Cycles'!$AX$29&lt;=CY$6),'Lease Cycles'!$C$29*'Lease Cycles'!$AY$29/12,IF(AND('Lease Cycles'!$AV$29&gt;=INDEX('Lease Cycles'!$BG$29:$BM$29,1,CY367),'Lease Cycles'!$AV$29&lt;=CY$6),'Lease Cycles'!$C$29*'Lease Cycles'!$AW$29/12,IF(AND('Lease Cycles'!$AT$29&gt;=INDEX('Lease Cycles'!$BG$29:$BM$29,1,CY367),'Lease Cycles'!$AT$29&lt;=CY$6),'Lease Cycles'!$C$29*'Lease Cycles'!$AU$29/12,'Lease Cycles'!$C$29*INDEX('Lease Cycles'!$CB$29:$CH$29,1,CY367)*(1+INDEX('Lease Cycles'!$CI$29:$CO$29,1,CY367))^INT(INT(CY368/12)/INDEX('Lease Cycles'!$CP$29:$CV$29,1,CY367))/12)))),'Lease Cycles'!$C$29*INDEX('Lease Cycles'!$CB$29:$CH$29,1,CY367)*(1+INDEX('Lease Cycles'!$CI$29:$CO$29,1,CY367))^INT(INT(CY368/12)/INDEX('Lease Cycles'!$CP$29:$CV$29,1,CY367))/12))),IF('Lease Cycles'!$N$29=1,'Lease Cycles'!$C$29*'Lease Cycles'!$E$29*INDEX('Lease Cycles'!$HE$29:$HK$29,1,CY367)*(1+INDEX('Lease Cycles'!$GQ$29:$GW$29,1,CY367))^INT(INT((CY$6-INDEX('Lease Cycles'!$GJ$29:$GP$29,1,CY367))/12)/INDEX('Lease Cycles'!$GX$29:$HD$29,1,CY367))/12,0)))</f>
        <v>0</v>
      </c>
      <c r="CZ370" s="28">
        <f>IF(CZ367=0,IF('Lease Cycles'!$F$29&gt;0,'Lease Cycles'!$C$29*'Lease Cycles'!$E$29/12,0),IF(CZ369=1,IF('Lease Cycles'!$AT$29&gt;=9999,'Lease Cycles'!$C$29*INDEX('Lease Cycles'!$CB$29:$CH$29,1,CZ367)*(1+INDEX('Lease Cycles'!$CI$29:$CO$29,1,CZ367))^INT(INT(CZ368/12)/INDEX('Lease Cycles'!$CP$29:$CV$29,1,CZ367))/12,IF(CZ367=1,IF(CZ368&gt;=INDEX('Lease Cycles'!$DK$29:$DQ$29,1,CZ367),IF(CZ$6&gt;='Lease Cycles'!$AZ$29,'Lease Cycles'!$C$29*'Lease Cycles'!$BA$29/12,IF(CZ$6&gt;='Lease Cycles'!$AX$29,'Lease Cycles'!$C$29*'Lease Cycles'!$AY$29/12,IF(CZ$6&gt;='Lease Cycles'!$AV$29,'Lease Cycles'!$C$29*'Lease Cycles'!$AW$29/12,IF(CZ$6&gt;='Lease Cycles'!$AT$29,'Lease Cycles'!$C$29*'Lease Cycles'!$AU$29/12,'Lease Cycles'!$C$29*INDEX('Lease Cycles'!$CB$29:$CH$29,1,CZ367)*(1+INDEX('Lease Cycles'!$CI$29:$CO$29,1,CZ367))^INT(INT(CZ368/12)/INDEX('Lease Cycles'!$CP$29:$CV$29,1,CZ367))/12)))),'Lease Cycles'!$C$29*INDEX('Lease Cycles'!$CB$29:$CH$29,1,CZ367)*(1+INDEX('Lease Cycles'!$CI$29:$CO$29,1,CZ367))^INT(INT(CZ368/12)/INDEX('Lease Cycles'!$CP$29:$CV$29,1,CZ367))/12),IF(INDEX('Lease Cycles'!$EF$29:$EL$29,1,CZ367)=1,IF(AND('Lease Cycles'!$AZ$29&gt;=INDEX('Lease Cycles'!$BG$29:$BM$29,1,CZ367),'Lease Cycles'!$AZ$29&lt;=CZ$6),'Lease Cycles'!$C$29*'Lease Cycles'!$BA$29/12,IF(AND('Lease Cycles'!$AX$29&gt;=INDEX('Lease Cycles'!$BG$29:$BM$29,1,CZ367),'Lease Cycles'!$AX$29&lt;=CZ$6),'Lease Cycles'!$C$29*'Lease Cycles'!$AY$29/12,IF(AND('Lease Cycles'!$AV$29&gt;=INDEX('Lease Cycles'!$BG$29:$BM$29,1,CZ367),'Lease Cycles'!$AV$29&lt;=CZ$6),'Lease Cycles'!$C$29*'Lease Cycles'!$AW$29/12,IF(AND('Lease Cycles'!$AT$29&gt;=INDEX('Lease Cycles'!$BG$29:$BM$29,1,CZ367),'Lease Cycles'!$AT$29&lt;=CZ$6),'Lease Cycles'!$C$29*'Lease Cycles'!$AU$29/12,'Lease Cycles'!$C$29*INDEX('Lease Cycles'!$CB$29:$CH$29,1,CZ367)*(1+INDEX('Lease Cycles'!$CI$29:$CO$29,1,CZ367))^INT(INT(CZ368/12)/INDEX('Lease Cycles'!$CP$29:$CV$29,1,CZ367))/12)))),'Lease Cycles'!$C$29*INDEX('Lease Cycles'!$CB$29:$CH$29,1,CZ367)*(1+INDEX('Lease Cycles'!$CI$29:$CO$29,1,CZ367))^INT(INT(CZ368/12)/INDEX('Lease Cycles'!$CP$29:$CV$29,1,CZ367))/12))),IF('Lease Cycles'!$N$29=1,'Lease Cycles'!$C$29*'Lease Cycles'!$E$29*INDEX('Lease Cycles'!$HE$29:$HK$29,1,CZ367)*(1+INDEX('Lease Cycles'!$GQ$29:$GW$29,1,CZ367))^INT(INT((CZ$6-INDEX('Lease Cycles'!$GJ$29:$GP$29,1,CZ367))/12)/INDEX('Lease Cycles'!$GX$29:$HD$29,1,CZ367))/12,0)))</f>
        <v>0</v>
      </c>
      <c r="DA370" s="28">
        <f>IF(DA367=0,IF('Lease Cycles'!$F$29&gt;0,'Lease Cycles'!$C$29*'Lease Cycles'!$E$29/12,0),IF(DA369=1,IF('Lease Cycles'!$AT$29&gt;=9999,'Lease Cycles'!$C$29*INDEX('Lease Cycles'!$CB$29:$CH$29,1,DA367)*(1+INDEX('Lease Cycles'!$CI$29:$CO$29,1,DA367))^INT(INT(DA368/12)/INDEX('Lease Cycles'!$CP$29:$CV$29,1,DA367))/12,IF(DA367=1,IF(DA368&gt;=INDEX('Lease Cycles'!$DK$29:$DQ$29,1,DA367),IF(DA$6&gt;='Lease Cycles'!$AZ$29,'Lease Cycles'!$C$29*'Lease Cycles'!$BA$29/12,IF(DA$6&gt;='Lease Cycles'!$AX$29,'Lease Cycles'!$C$29*'Lease Cycles'!$AY$29/12,IF(DA$6&gt;='Lease Cycles'!$AV$29,'Lease Cycles'!$C$29*'Lease Cycles'!$AW$29/12,IF(DA$6&gt;='Lease Cycles'!$AT$29,'Lease Cycles'!$C$29*'Lease Cycles'!$AU$29/12,'Lease Cycles'!$C$29*INDEX('Lease Cycles'!$CB$29:$CH$29,1,DA367)*(1+INDEX('Lease Cycles'!$CI$29:$CO$29,1,DA367))^INT(INT(DA368/12)/INDEX('Lease Cycles'!$CP$29:$CV$29,1,DA367))/12)))),'Lease Cycles'!$C$29*INDEX('Lease Cycles'!$CB$29:$CH$29,1,DA367)*(1+INDEX('Lease Cycles'!$CI$29:$CO$29,1,DA367))^INT(INT(DA368/12)/INDEX('Lease Cycles'!$CP$29:$CV$29,1,DA367))/12),IF(INDEX('Lease Cycles'!$EF$29:$EL$29,1,DA367)=1,IF(AND('Lease Cycles'!$AZ$29&gt;=INDEX('Lease Cycles'!$BG$29:$BM$29,1,DA367),'Lease Cycles'!$AZ$29&lt;=DA$6),'Lease Cycles'!$C$29*'Lease Cycles'!$BA$29/12,IF(AND('Lease Cycles'!$AX$29&gt;=INDEX('Lease Cycles'!$BG$29:$BM$29,1,DA367),'Lease Cycles'!$AX$29&lt;=DA$6),'Lease Cycles'!$C$29*'Lease Cycles'!$AY$29/12,IF(AND('Lease Cycles'!$AV$29&gt;=INDEX('Lease Cycles'!$BG$29:$BM$29,1,DA367),'Lease Cycles'!$AV$29&lt;=DA$6),'Lease Cycles'!$C$29*'Lease Cycles'!$AW$29/12,IF(AND('Lease Cycles'!$AT$29&gt;=INDEX('Lease Cycles'!$BG$29:$BM$29,1,DA367),'Lease Cycles'!$AT$29&lt;=DA$6),'Lease Cycles'!$C$29*'Lease Cycles'!$AU$29/12,'Lease Cycles'!$C$29*INDEX('Lease Cycles'!$CB$29:$CH$29,1,DA367)*(1+INDEX('Lease Cycles'!$CI$29:$CO$29,1,DA367))^INT(INT(DA368/12)/INDEX('Lease Cycles'!$CP$29:$CV$29,1,DA367))/12)))),'Lease Cycles'!$C$29*INDEX('Lease Cycles'!$CB$29:$CH$29,1,DA367)*(1+INDEX('Lease Cycles'!$CI$29:$CO$29,1,DA367))^INT(INT(DA368/12)/INDEX('Lease Cycles'!$CP$29:$CV$29,1,DA367))/12))),IF('Lease Cycles'!$N$29=1,'Lease Cycles'!$C$29*'Lease Cycles'!$E$29*INDEX('Lease Cycles'!$HE$29:$HK$29,1,DA367)*(1+INDEX('Lease Cycles'!$GQ$29:$GW$29,1,DA367))^INT(INT((DA$6-INDEX('Lease Cycles'!$GJ$29:$GP$29,1,DA367))/12)/INDEX('Lease Cycles'!$GX$29:$HD$29,1,DA367))/12,0)))</f>
        <v>0</v>
      </c>
      <c r="DB370" s="28">
        <f>IF(DB367=0,IF('Lease Cycles'!$F$29&gt;0,'Lease Cycles'!$C$29*'Lease Cycles'!$E$29/12,0),IF(DB369=1,IF('Lease Cycles'!$AT$29&gt;=9999,'Lease Cycles'!$C$29*INDEX('Lease Cycles'!$CB$29:$CH$29,1,DB367)*(1+INDEX('Lease Cycles'!$CI$29:$CO$29,1,DB367))^INT(INT(DB368/12)/INDEX('Lease Cycles'!$CP$29:$CV$29,1,DB367))/12,IF(DB367=1,IF(DB368&gt;=INDEX('Lease Cycles'!$DK$29:$DQ$29,1,DB367),IF(DB$6&gt;='Lease Cycles'!$AZ$29,'Lease Cycles'!$C$29*'Lease Cycles'!$BA$29/12,IF(DB$6&gt;='Lease Cycles'!$AX$29,'Lease Cycles'!$C$29*'Lease Cycles'!$AY$29/12,IF(DB$6&gt;='Lease Cycles'!$AV$29,'Lease Cycles'!$C$29*'Lease Cycles'!$AW$29/12,IF(DB$6&gt;='Lease Cycles'!$AT$29,'Lease Cycles'!$C$29*'Lease Cycles'!$AU$29/12,'Lease Cycles'!$C$29*INDEX('Lease Cycles'!$CB$29:$CH$29,1,DB367)*(1+INDEX('Lease Cycles'!$CI$29:$CO$29,1,DB367))^INT(INT(DB368/12)/INDEX('Lease Cycles'!$CP$29:$CV$29,1,DB367))/12)))),'Lease Cycles'!$C$29*INDEX('Lease Cycles'!$CB$29:$CH$29,1,DB367)*(1+INDEX('Lease Cycles'!$CI$29:$CO$29,1,DB367))^INT(INT(DB368/12)/INDEX('Lease Cycles'!$CP$29:$CV$29,1,DB367))/12),IF(INDEX('Lease Cycles'!$EF$29:$EL$29,1,DB367)=1,IF(AND('Lease Cycles'!$AZ$29&gt;=INDEX('Lease Cycles'!$BG$29:$BM$29,1,DB367),'Lease Cycles'!$AZ$29&lt;=DB$6),'Lease Cycles'!$C$29*'Lease Cycles'!$BA$29/12,IF(AND('Lease Cycles'!$AX$29&gt;=INDEX('Lease Cycles'!$BG$29:$BM$29,1,DB367),'Lease Cycles'!$AX$29&lt;=DB$6),'Lease Cycles'!$C$29*'Lease Cycles'!$AY$29/12,IF(AND('Lease Cycles'!$AV$29&gt;=INDEX('Lease Cycles'!$BG$29:$BM$29,1,DB367),'Lease Cycles'!$AV$29&lt;=DB$6),'Lease Cycles'!$C$29*'Lease Cycles'!$AW$29/12,IF(AND('Lease Cycles'!$AT$29&gt;=INDEX('Lease Cycles'!$BG$29:$BM$29,1,DB367),'Lease Cycles'!$AT$29&lt;=DB$6),'Lease Cycles'!$C$29*'Lease Cycles'!$AU$29/12,'Lease Cycles'!$C$29*INDEX('Lease Cycles'!$CB$29:$CH$29,1,DB367)*(1+INDEX('Lease Cycles'!$CI$29:$CO$29,1,DB367))^INT(INT(DB368/12)/INDEX('Lease Cycles'!$CP$29:$CV$29,1,DB367))/12)))),'Lease Cycles'!$C$29*INDEX('Lease Cycles'!$CB$29:$CH$29,1,DB367)*(1+INDEX('Lease Cycles'!$CI$29:$CO$29,1,DB367))^INT(INT(DB368/12)/INDEX('Lease Cycles'!$CP$29:$CV$29,1,DB367))/12))),IF('Lease Cycles'!$N$29=1,'Lease Cycles'!$C$29*'Lease Cycles'!$E$29*INDEX('Lease Cycles'!$HE$29:$HK$29,1,DB367)*(1+INDEX('Lease Cycles'!$GQ$29:$GW$29,1,DB367))^INT(INT((DB$6-INDEX('Lease Cycles'!$GJ$29:$GP$29,1,DB367))/12)/INDEX('Lease Cycles'!$GX$29:$HD$29,1,DB367))/12,0)))</f>
        <v>0</v>
      </c>
      <c r="DC370" s="28">
        <f>IF(DC367=0,IF('Lease Cycles'!$F$29&gt;0,'Lease Cycles'!$C$29*'Lease Cycles'!$E$29/12,0),IF(DC369=1,IF('Lease Cycles'!$AT$29&gt;=9999,'Lease Cycles'!$C$29*INDEX('Lease Cycles'!$CB$29:$CH$29,1,DC367)*(1+INDEX('Lease Cycles'!$CI$29:$CO$29,1,DC367))^INT(INT(DC368/12)/INDEX('Lease Cycles'!$CP$29:$CV$29,1,DC367))/12,IF(DC367=1,IF(DC368&gt;=INDEX('Lease Cycles'!$DK$29:$DQ$29,1,DC367),IF(DC$6&gt;='Lease Cycles'!$AZ$29,'Lease Cycles'!$C$29*'Lease Cycles'!$BA$29/12,IF(DC$6&gt;='Lease Cycles'!$AX$29,'Lease Cycles'!$C$29*'Lease Cycles'!$AY$29/12,IF(DC$6&gt;='Lease Cycles'!$AV$29,'Lease Cycles'!$C$29*'Lease Cycles'!$AW$29/12,IF(DC$6&gt;='Lease Cycles'!$AT$29,'Lease Cycles'!$C$29*'Lease Cycles'!$AU$29/12,'Lease Cycles'!$C$29*INDEX('Lease Cycles'!$CB$29:$CH$29,1,DC367)*(1+INDEX('Lease Cycles'!$CI$29:$CO$29,1,DC367))^INT(INT(DC368/12)/INDEX('Lease Cycles'!$CP$29:$CV$29,1,DC367))/12)))),'Lease Cycles'!$C$29*INDEX('Lease Cycles'!$CB$29:$CH$29,1,DC367)*(1+INDEX('Lease Cycles'!$CI$29:$CO$29,1,DC367))^INT(INT(DC368/12)/INDEX('Lease Cycles'!$CP$29:$CV$29,1,DC367))/12),IF(INDEX('Lease Cycles'!$EF$29:$EL$29,1,DC367)=1,IF(AND('Lease Cycles'!$AZ$29&gt;=INDEX('Lease Cycles'!$BG$29:$BM$29,1,DC367),'Lease Cycles'!$AZ$29&lt;=DC$6),'Lease Cycles'!$C$29*'Lease Cycles'!$BA$29/12,IF(AND('Lease Cycles'!$AX$29&gt;=INDEX('Lease Cycles'!$BG$29:$BM$29,1,DC367),'Lease Cycles'!$AX$29&lt;=DC$6),'Lease Cycles'!$C$29*'Lease Cycles'!$AY$29/12,IF(AND('Lease Cycles'!$AV$29&gt;=INDEX('Lease Cycles'!$BG$29:$BM$29,1,DC367),'Lease Cycles'!$AV$29&lt;=DC$6),'Lease Cycles'!$C$29*'Lease Cycles'!$AW$29/12,IF(AND('Lease Cycles'!$AT$29&gt;=INDEX('Lease Cycles'!$BG$29:$BM$29,1,DC367),'Lease Cycles'!$AT$29&lt;=DC$6),'Lease Cycles'!$C$29*'Lease Cycles'!$AU$29/12,'Lease Cycles'!$C$29*INDEX('Lease Cycles'!$CB$29:$CH$29,1,DC367)*(1+INDEX('Lease Cycles'!$CI$29:$CO$29,1,DC367))^INT(INT(DC368/12)/INDEX('Lease Cycles'!$CP$29:$CV$29,1,DC367))/12)))),'Lease Cycles'!$C$29*INDEX('Lease Cycles'!$CB$29:$CH$29,1,DC367)*(1+INDEX('Lease Cycles'!$CI$29:$CO$29,1,DC367))^INT(INT(DC368/12)/INDEX('Lease Cycles'!$CP$29:$CV$29,1,DC367))/12))),IF('Lease Cycles'!$N$29=1,'Lease Cycles'!$C$29*'Lease Cycles'!$E$29*INDEX('Lease Cycles'!$HE$29:$HK$29,1,DC367)*(1+INDEX('Lease Cycles'!$GQ$29:$GW$29,1,DC367))^INT(INT((DC$6-INDEX('Lease Cycles'!$GJ$29:$GP$29,1,DC367))/12)/INDEX('Lease Cycles'!$GX$29:$HD$29,1,DC367))/12,0)))</f>
        <v>0</v>
      </c>
      <c r="DD370" s="28">
        <f>IF(DD367=0,IF('Lease Cycles'!$F$29&gt;0,'Lease Cycles'!$C$29*'Lease Cycles'!$E$29/12,0),IF(DD369=1,IF('Lease Cycles'!$AT$29&gt;=9999,'Lease Cycles'!$C$29*INDEX('Lease Cycles'!$CB$29:$CH$29,1,DD367)*(1+INDEX('Lease Cycles'!$CI$29:$CO$29,1,DD367))^INT(INT(DD368/12)/INDEX('Lease Cycles'!$CP$29:$CV$29,1,DD367))/12,IF(DD367=1,IF(DD368&gt;=INDEX('Lease Cycles'!$DK$29:$DQ$29,1,DD367),IF(DD$6&gt;='Lease Cycles'!$AZ$29,'Lease Cycles'!$C$29*'Lease Cycles'!$BA$29/12,IF(DD$6&gt;='Lease Cycles'!$AX$29,'Lease Cycles'!$C$29*'Lease Cycles'!$AY$29/12,IF(DD$6&gt;='Lease Cycles'!$AV$29,'Lease Cycles'!$C$29*'Lease Cycles'!$AW$29/12,IF(DD$6&gt;='Lease Cycles'!$AT$29,'Lease Cycles'!$C$29*'Lease Cycles'!$AU$29/12,'Lease Cycles'!$C$29*INDEX('Lease Cycles'!$CB$29:$CH$29,1,DD367)*(1+INDEX('Lease Cycles'!$CI$29:$CO$29,1,DD367))^INT(INT(DD368/12)/INDEX('Lease Cycles'!$CP$29:$CV$29,1,DD367))/12)))),'Lease Cycles'!$C$29*INDEX('Lease Cycles'!$CB$29:$CH$29,1,DD367)*(1+INDEX('Lease Cycles'!$CI$29:$CO$29,1,DD367))^INT(INT(DD368/12)/INDEX('Lease Cycles'!$CP$29:$CV$29,1,DD367))/12),IF(INDEX('Lease Cycles'!$EF$29:$EL$29,1,DD367)=1,IF(AND('Lease Cycles'!$AZ$29&gt;=INDEX('Lease Cycles'!$BG$29:$BM$29,1,DD367),'Lease Cycles'!$AZ$29&lt;=DD$6),'Lease Cycles'!$C$29*'Lease Cycles'!$BA$29/12,IF(AND('Lease Cycles'!$AX$29&gt;=INDEX('Lease Cycles'!$BG$29:$BM$29,1,DD367),'Lease Cycles'!$AX$29&lt;=DD$6),'Lease Cycles'!$C$29*'Lease Cycles'!$AY$29/12,IF(AND('Lease Cycles'!$AV$29&gt;=INDEX('Lease Cycles'!$BG$29:$BM$29,1,DD367),'Lease Cycles'!$AV$29&lt;=DD$6),'Lease Cycles'!$C$29*'Lease Cycles'!$AW$29/12,IF(AND('Lease Cycles'!$AT$29&gt;=INDEX('Lease Cycles'!$BG$29:$BM$29,1,DD367),'Lease Cycles'!$AT$29&lt;=DD$6),'Lease Cycles'!$C$29*'Lease Cycles'!$AU$29/12,'Lease Cycles'!$C$29*INDEX('Lease Cycles'!$CB$29:$CH$29,1,DD367)*(1+INDEX('Lease Cycles'!$CI$29:$CO$29,1,DD367))^INT(INT(DD368/12)/INDEX('Lease Cycles'!$CP$29:$CV$29,1,DD367))/12)))),'Lease Cycles'!$C$29*INDEX('Lease Cycles'!$CB$29:$CH$29,1,DD367)*(1+INDEX('Lease Cycles'!$CI$29:$CO$29,1,DD367))^INT(INT(DD368/12)/INDEX('Lease Cycles'!$CP$29:$CV$29,1,DD367))/12))),IF('Lease Cycles'!$N$29=1,'Lease Cycles'!$C$29*'Lease Cycles'!$E$29*INDEX('Lease Cycles'!$HE$29:$HK$29,1,DD367)*(1+INDEX('Lease Cycles'!$GQ$29:$GW$29,1,DD367))^INT(INT((DD$6-INDEX('Lease Cycles'!$GJ$29:$GP$29,1,DD367))/12)/INDEX('Lease Cycles'!$GX$29:$HD$29,1,DD367))/12,0)))</f>
        <v>0</v>
      </c>
      <c r="DE370" s="28">
        <f>IF(DE367=0,IF('Lease Cycles'!$F$29&gt;0,'Lease Cycles'!$C$29*'Lease Cycles'!$E$29/12,0),IF(DE369=1,IF('Lease Cycles'!$AT$29&gt;=9999,'Lease Cycles'!$C$29*INDEX('Lease Cycles'!$CB$29:$CH$29,1,DE367)*(1+INDEX('Lease Cycles'!$CI$29:$CO$29,1,DE367))^INT(INT(DE368/12)/INDEX('Lease Cycles'!$CP$29:$CV$29,1,DE367))/12,IF(DE367=1,IF(DE368&gt;=INDEX('Lease Cycles'!$DK$29:$DQ$29,1,DE367),IF(DE$6&gt;='Lease Cycles'!$AZ$29,'Lease Cycles'!$C$29*'Lease Cycles'!$BA$29/12,IF(DE$6&gt;='Lease Cycles'!$AX$29,'Lease Cycles'!$C$29*'Lease Cycles'!$AY$29/12,IF(DE$6&gt;='Lease Cycles'!$AV$29,'Lease Cycles'!$C$29*'Lease Cycles'!$AW$29/12,IF(DE$6&gt;='Lease Cycles'!$AT$29,'Lease Cycles'!$C$29*'Lease Cycles'!$AU$29/12,'Lease Cycles'!$C$29*INDEX('Lease Cycles'!$CB$29:$CH$29,1,DE367)*(1+INDEX('Lease Cycles'!$CI$29:$CO$29,1,DE367))^INT(INT(DE368/12)/INDEX('Lease Cycles'!$CP$29:$CV$29,1,DE367))/12)))),'Lease Cycles'!$C$29*INDEX('Lease Cycles'!$CB$29:$CH$29,1,DE367)*(1+INDEX('Lease Cycles'!$CI$29:$CO$29,1,DE367))^INT(INT(DE368/12)/INDEX('Lease Cycles'!$CP$29:$CV$29,1,DE367))/12),IF(INDEX('Lease Cycles'!$EF$29:$EL$29,1,DE367)=1,IF(AND('Lease Cycles'!$AZ$29&gt;=INDEX('Lease Cycles'!$BG$29:$BM$29,1,DE367),'Lease Cycles'!$AZ$29&lt;=DE$6),'Lease Cycles'!$C$29*'Lease Cycles'!$BA$29/12,IF(AND('Lease Cycles'!$AX$29&gt;=INDEX('Lease Cycles'!$BG$29:$BM$29,1,DE367),'Lease Cycles'!$AX$29&lt;=DE$6),'Lease Cycles'!$C$29*'Lease Cycles'!$AY$29/12,IF(AND('Lease Cycles'!$AV$29&gt;=INDEX('Lease Cycles'!$BG$29:$BM$29,1,DE367),'Lease Cycles'!$AV$29&lt;=DE$6),'Lease Cycles'!$C$29*'Lease Cycles'!$AW$29/12,IF(AND('Lease Cycles'!$AT$29&gt;=INDEX('Lease Cycles'!$BG$29:$BM$29,1,DE367),'Lease Cycles'!$AT$29&lt;=DE$6),'Lease Cycles'!$C$29*'Lease Cycles'!$AU$29/12,'Lease Cycles'!$C$29*INDEX('Lease Cycles'!$CB$29:$CH$29,1,DE367)*(1+INDEX('Lease Cycles'!$CI$29:$CO$29,1,DE367))^INT(INT(DE368/12)/INDEX('Lease Cycles'!$CP$29:$CV$29,1,DE367))/12)))),'Lease Cycles'!$C$29*INDEX('Lease Cycles'!$CB$29:$CH$29,1,DE367)*(1+INDEX('Lease Cycles'!$CI$29:$CO$29,1,DE367))^INT(INT(DE368/12)/INDEX('Lease Cycles'!$CP$29:$CV$29,1,DE367))/12))),IF('Lease Cycles'!$N$29=1,'Lease Cycles'!$C$29*'Lease Cycles'!$E$29*INDEX('Lease Cycles'!$HE$29:$HK$29,1,DE367)*(1+INDEX('Lease Cycles'!$GQ$29:$GW$29,1,DE367))^INT(INT((DE$6-INDEX('Lease Cycles'!$GJ$29:$GP$29,1,DE367))/12)/INDEX('Lease Cycles'!$GX$29:$HD$29,1,DE367))/12,0)))</f>
        <v>0</v>
      </c>
      <c r="DF370" s="28">
        <f>IF(DF367=0,IF('Lease Cycles'!$F$29&gt;0,'Lease Cycles'!$C$29*'Lease Cycles'!$E$29/12,0),IF(DF369=1,IF('Lease Cycles'!$AT$29&gt;=9999,'Lease Cycles'!$C$29*INDEX('Lease Cycles'!$CB$29:$CH$29,1,DF367)*(1+INDEX('Lease Cycles'!$CI$29:$CO$29,1,DF367))^INT(INT(DF368/12)/INDEX('Lease Cycles'!$CP$29:$CV$29,1,DF367))/12,IF(DF367=1,IF(DF368&gt;=INDEX('Lease Cycles'!$DK$29:$DQ$29,1,DF367),IF(DF$6&gt;='Lease Cycles'!$AZ$29,'Lease Cycles'!$C$29*'Lease Cycles'!$BA$29/12,IF(DF$6&gt;='Lease Cycles'!$AX$29,'Lease Cycles'!$C$29*'Lease Cycles'!$AY$29/12,IF(DF$6&gt;='Lease Cycles'!$AV$29,'Lease Cycles'!$C$29*'Lease Cycles'!$AW$29/12,IF(DF$6&gt;='Lease Cycles'!$AT$29,'Lease Cycles'!$C$29*'Lease Cycles'!$AU$29/12,'Lease Cycles'!$C$29*INDEX('Lease Cycles'!$CB$29:$CH$29,1,DF367)*(1+INDEX('Lease Cycles'!$CI$29:$CO$29,1,DF367))^INT(INT(DF368/12)/INDEX('Lease Cycles'!$CP$29:$CV$29,1,DF367))/12)))),'Lease Cycles'!$C$29*INDEX('Lease Cycles'!$CB$29:$CH$29,1,DF367)*(1+INDEX('Lease Cycles'!$CI$29:$CO$29,1,DF367))^INT(INT(DF368/12)/INDEX('Lease Cycles'!$CP$29:$CV$29,1,DF367))/12),IF(INDEX('Lease Cycles'!$EF$29:$EL$29,1,DF367)=1,IF(AND('Lease Cycles'!$AZ$29&gt;=INDEX('Lease Cycles'!$BG$29:$BM$29,1,DF367),'Lease Cycles'!$AZ$29&lt;=DF$6),'Lease Cycles'!$C$29*'Lease Cycles'!$BA$29/12,IF(AND('Lease Cycles'!$AX$29&gt;=INDEX('Lease Cycles'!$BG$29:$BM$29,1,DF367),'Lease Cycles'!$AX$29&lt;=DF$6),'Lease Cycles'!$C$29*'Lease Cycles'!$AY$29/12,IF(AND('Lease Cycles'!$AV$29&gt;=INDEX('Lease Cycles'!$BG$29:$BM$29,1,DF367),'Lease Cycles'!$AV$29&lt;=DF$6),'Lease Cycles'!$C$29*'Lease Cycles'!$AW$29/12,IF(AND('Lease Cycles'!$AT$29&gt;=INDEX('Lease Cycles'!$BG$29:$BM$29,1,DF367),'Lease Cycles'!$AT$29&lt;=DF$6),'Lease Cycles'!$C$29*'Lease Cycles'!$AU$29/12,'Lease Cycles'!$C$29*INDEX('Lease Cycles'!$CB$29:$CH$29,1,DF367)*(1+INDEX('Lease Cycles'!$CI$29:$CO$29,1,DF367))^INT(INT(DF368/12)/INDEX('Lease Cycles'!$CP$29:$CV$29,1,DF367))/12)))),'Lease Cycles'!$C$29*INDEX('Lease Cycles'!$CB$29:$CH$29,1,DF367)*(1+INDEX('Lease Cycles'!$CI$29:$CO$29,1,DF367))^INT(INT(DF368/12)/INDEX('Lease Cycles'!$CP$29:$CV$29,1,DF367))/12))),IF('Lease Cycles'!$N$29=1,'Lease Cycles'!$C$29*'Lease Cycles'!$E$29*INDEX('Lease Cycles'!$HE$29:$HK$29,1,DF367)*(1+INDEX('Lease Cycles'!$GQ$29:$GW$29,1,DF367))^INT(INT((DF$6-INDEX('Lease Cycles'!$GJ$29:$GP$29,1,DF367))/12)/INDEX('Lease Cycles'!$GX$29:$HD$29,1,DF367))/12,0)))</f>
        <v>0</v>
      </c>
      <c r="DG370" s="28">
        <f>IF(DG367=0,IF('Lease Cycles'!$F$29&gt;0,'Lease Cycles'!$C$29*'Lease Cycles'!$E$29/12,0),IF(DG369=1,IF('Lease Cycles'!$AT$29&gt;=9999,'Lease Cycles'!$C$29*INDEX('Lease Cycles'!$CB$29:$CH$29,1,DG367)*(1+INDEX('Lease Cycles'!$CI$29:$CO$29,1,DG367))^INT(INT(DG368/12)/INDEX('Lease Cycles'!$CP$29:$CV$29,1,DG367))/12,IF(DG367=1,IF(DG368&gt;=INDEX('Lease Cycles'!$DK$29:$DQ$29,1,DG367),IF(DG$6&gt;='Lease Cycles'!$AZ$29,'Lease Cycles'!$C$29*'Lease Cycles'!$BA$29/12,IF(DG$6&gt;='Lease Cycles'!$AX$29,'Lease Cycles'!$C$29*'Lease Cycles'!$AY$29/12,IF(DG$6&gt;='Lease Cycles'!$AV$29,'Lease Cycles'!$C$29*'Lease Cycles'!$AW$29/12,IF(DG$6&gt;='Lease Cycles'!$AT$29,'Lease Cycles'!$C$29*'Lease Cycles'!$AU$29/12,'Lease Cycles'!$C$29*INDEX('Lease Cycles'!$CB$29:$CH$29,1,DG367)*(1+INDEX('Lease Cycles'!$CI$29:$CO$29,1,DG367))^INT(INT(DG368/12)/INDEX('Lease Cycles'!$CP$29:$CV$29,1,DG367))/12)))),'Lease Cycles'!$C$29*INDEX('Lease Cycles'!$CB$29:$CH$29,1,DG367)*(1+INDEX('Lease Cycles'!$CI$29:$CO$29,1,DG367))^INT(INT(DG368/12)/INDEX('Lease Cycles'!$CP$29:$CV$29,1,DG367))/12),IF(INDEX('Lease Cycles'!$EF$29:$EL$29,1,DG367)=1,IF(AND('Lease Cycles'!$AZ$29&gt;=INDEX('Lease Cycles'!$BG$29:$BM$29,1,DG367),'Lease Cycles'!$AZ$29&lt;=DG$6),'Lease Cycles'!$C$29*'Lease Cycles'!$BA$29/12,IF(AND('Lease Cycles'!$AX$29&gt;=INDEX('Lease Cycles'!$BG$29:$BM$29,1,DG367),'Lease Cycles'!$AX$29&lt;=DG$6),'Lease Cycles'!$C$29*'Lease Cycles'!$AY$29/12,IF(AND('Lease Cycles'!$AV$29&gt;=INDEX('Lease Cycles'!$BG$29:$BM$29,1,DG367),'Lease Cycles'!$AV$29&lt;=DG$6),'Lease Cycles'!$C$29*'Lease Cycles'!$AW$29/12,IF(AND('Lease Cycles'!$AT$29&gt;=INDEX('Lease Cycles'!$BG$29:$BM$29,1,DG367),'Lease Cycles'!$AT$29&lt;=DG$6),'Lease Cycles'!$C$29*'Lease Cycles'!$AU$29/12,'Lease Cycles'!$C$29*INDEX('Lease Cycles'!$CB$29:$CH$29,1,DG367)*(1+INDEX('Lease Cycles'!$CI$29:$CO$29,1,DG367))^INT(INT(DG368/12)/INDEX('Lease Cycles'!$CP$29:$CV$29,1,DG367))/12)))),'Lease Cycles'!$C$29*INDEX('Lease Cycles'!$CB$29:$CH$29,1,DG367)*(1+INDEX('Lease Cycles'!$CI$29:$CO$29,1,DG367))^INT(INT(DG368/12)/INDEX('Lease Cycles'!$CP$29:$CV$29,1,DG367))/12))),IF('Lease Cycles'!$N$29=1,'Lease Cycles'!$C$29*'Lease Cycles'!$E$29*INDEX('Lease Cycles'!$HE$29:$HK$29,1,DG367)*(1+INDEX('Lease Cycles'!$GQ$29:$GW$29,1,DG367))^INT(INT((DG$6-INDEX('Lease Cycles'!$GJ$29:$GP$29,1,DG367))/12)/INDEX('Lease Cycles'!$GX$29:$HD$29,1,DG367))/12,0)))</f>
        <v>0</v>
      </c>
      <c r="DH370" s="28">
        <f>IF(DH367=0,IF('Lease Cycles'!$F$29&gt;0,'Lease Cycles'!$C$29*'Lease Cycles'!$E$29/12,0),IF(DH369=1,IF('Lease Cycles'!$AT$29&gt;=9999,'Lease Cycles'!$C$29*INDEX('Lease Cycles'!$CB$29:$CH$29,1,DH367)*(1+INDEX('Lease Cycles'!$CI$29:$CO$29,1,DH367))^INT(INT(DH368/12)/INDEX('Lease Cycles'!$CP$29:$CV$29,1,DH367))/12,IF(DH367=1,IF(DH368&gt;=INDEX('Lease Cycles'!$DK$29:$DQ$29,1,DH367),IF(DH$6&gt;='Lease Cycles'!$AZ$29,'Lease Cycles'!$C$29*'Lease Cycles'!$BA$29/12,IF(DH$6&gt;='Lease Cycles'!$AX$29,'Lease Cycles'!$C$29*'Lease Cycles'!$AY$29/12,IF(DH$6&gt;='Lease Cycles'!$AV$29,'Lease Cycles'!$C$29*'Lease Cycles'!$AW$29/12,IF(DH$6&gt;='Lease Cycles'!$AT$29,'Lease Cycles'!$C$29*'Lease Cycles'!$AU$29/12,'Lease Cycles'!$C$29*INDEX('Lease Cycles'!$CB$29:$CH$29,1,DH367)*(1+INDEX('Lease Cycles'!$CI$29:$CO$29,1,DH367))^INT(INT(DH368/12)/INDEX('Lease Cycles'!$CP$29:$CV$29,1,DH367))/12)))),'Lease Cycles'!$C$29*INDEX('Lease Cycles'!$CB$29:$CH$29,1,DH367)*(1+INDEX('Lease Cycles'!$CI$29:$CO$29,1,DH367))^INT(INT(DH368/12)/INDEX('Lease Cycles'!$CP$29:$CV$29,1,DH367))/12),IF(INDEX('Lease Cycles'!$EF$29:$EL$29,1,DH367)=1,IF(AND('Lease Cycles'!$AZ$29&gt;=INDEX('Lease Cycles'!$BG$29:$BM$29,1,DH367),'Lease Cycles'!$AZ$29&lt;=DH$6),'Lease Cycles'!$C$29*'Lease Cycles'!$BA$29/12,IF(AND('Lease Cycles'!$AX$29&gt;=INDEX('Lease Cycles'!$BG$29:$BM$29,1,DH367),'Lease Cycles'!$AX$29&lt;=DH$6),'Lease Cycles'!$C$29*'Lease Cycles'!$AY$29/12,IF(AND('Lease Cycles'!$AV$29&gt;=INDEX('Lease Cycles'!$BG$29:$BM$29,1,DH367),'Lease Cycles'!$AV$29&lt;=DH$6),'Lease Cycles'!$C$29*'Lease Cycles'!$AW$29/12,IF(AND('Lease Cycles'!$AT$29&gt;=INDEX('Lease Cycles'!$BG$29:$BM$29,1,DH367),'Lease Cycles'!$AT$29&lt;=DH$6),'Lease Cycles'!$C$29*'Lease Cycles'!$AU$29/12,'Lease Cycles'!$C$29*INDEX('Lease Cycles'!$CB$29:$CH$29,1,DH367)*(1+INDEX('Lease Cycles'!$CI$29:$CO$29,1,DH367))^INT(INT(DH368/12)/INDEX('Lease Cycles'!$CP$29:$CV$29,1,DH367))/12)))),'Lease Cycles'!$C$29*INDEX('Lease Cycles'!$CB$29:$CH$29,1,DH367)*(1+INDEX('Lease Cycles'!$CI$29:$CO$29,1,DH367))^INT(INT(DH368/12)/INDEX('Lease Cycles'!$CP$29:$CV$29,1,DH367))/12))),IF('Lease Cycles'!$N$29=1,'Lease Cycles'!$C$29*'Lease Cycles'!$E$29*INDEX('Lease Cycles'!$HE$29:$HK$29,1,DH367)*(1+INDEX('Lease Cycles'!$GQ$29:$GW$29,1,DH367))^INT(INT((DH$6-INDEX('Lease Cycles'!$GJ$29:$GP$29,1,DH367))/12)/INDEX('Lease Cycles'!$GX$29:$HD$29,1,DH367))/12,0)))</f>
        <v>0</v>
      </c>
      <c r="DI370" s="28">
        <f>IF(DI367=0,IF('Lease Cycles'!$F$29&gt;0,'Lease Cycles'!$C$29*'Lease Cycles'!$E$29/12,0),IF(DI369=1,IF('Lease Cycles'!$AT$29&gt;=9999,'Lease Cycles'!$C$29*INDEX('Lease Cycles'!$CB$29:$CH$29,1,DI367)*(1+INDEX('Lease Cycles'!$CI$29:$CO$29,1,DI367))^INT(INT(DI368/12)/INDEX('Lease Cycles'!$CP$29:$CV$29,1,DI367))/12,IF(DI367=1,IF(DI368&gt;=INDEX('Lease Cycles'!$DK$29:$DQ$29,1,DI367),IF(DI$6&gt;='Lease Cycles'!$AZ$29,'Lease Cycles'!$C$29*'Lease Cycles'!$BA$29/12,IF(DI$6&gt;='Lease Cycles'!$AX$29,'Lease Cycles'!$C$29*'Lease Cycles'!$AY$29/12,IF(DI$6&gt;='Lease Cycles'!$AV$29,'Lease Cycles'!$C$29*'Lease Cycles'!$AW$29/12,IF(DI$6&gt;='Lease Cycles'!$AT$29,'Lease Cycles'!$C$29*'Lease Cycles'!$AU$29/12,'Lease Cycles'!$C$29*INDEX('Lease Cycles'!$CB$29:$CH$29,1,DI367)*(1+INDEX('Lease Cycles'!$CI$29:$CO$29,1,DI367))^INT(INT(DI368/12)/INDEX('Lease Cycles'!$CP$29:$CV$29,1,DI367))/12)))),'Lease Cycles'!$C$29*INDEX('Lease Cycles'!$CB$29:$CH$29,1,DI367)*(1+INDEX('Lease Cycles'!$CI$29:$CO$29,1,DI367))^INT(INT(DI368/12)/INDEX('Lease Cycles'!$CP$29:$CV$29,1,DI367))/12),IF(INDEX('Lease Cycles'!$EF$29:$EL$29,1,DI367)=1,IF(AND('Lease Cycles'!$AZ$29&gt;=INDEX('Lease Cycles'!$BG$29:$BM$29,1,DI367),'Lease Cycles'!$AZ$29&lt;=DI$6),'Lease Cycles'!$C$29*'Lease Cycles'!$BA$29/12,IF(AND('Lease Cycles'!$AX$29&gt;=INDEX('Lease Cycles'!$BG$29:$BM$29,1,DI367),'Lease Cycles'!$AX$29&lt;=DI$6),'Lease Cycles'!$C$29*'Lease Cycles'!$AY$29/12,IF(AND('Lease Cycles'!$AV$29&gt;=INDEX('Lease Cycles'!$BG$29:$BM$29,1,DI367),'Lease Cycles'!$AV$29&lt;=DI$6),'Lease Cycles'!$C$29*'Lease Cycles'!$AW$29/12,IF(AND('Lease Cycles'!$AT$29&gt;=INDEX('Lease Cycles'!$BG$29:$BM$29,1,DI367),'Lease Cycles'!$AT$29&lt;=DI$6),'Lease Cycles'!$C$29*'Lease Cycles'!$AU$29/12,'Lease Cycles'!$C$29*INDEX('Lease Cycles'!$CB$29:$CH$29,1,DI367)*(1+INDEX('Lease Cycles'!$CI$29:$CO$29,1,DI367))^INT(INT(DI368/12)/INDEX('Lease Cycles'!$CP$29:$CV$29,1,DI367))/12)))),'Lease Cycles'!$C$29*INDEX('Lease Cycles'!$CB$29:$CH$29,1,DI367)*(1+INDEX('Lease Cycles'!$CI$29:$CO$29,1,DI367))^INT(INT(DI368/12)/INDEX('Lease Cycles'!$CP$29:$CV$29,1,DI367))/12))),IF('Lease Cycles'!$N$29=1,'Lease Cycles'!$C$29*'Lease Cycles'!$E$29*INDEX('Lease Cycles'!$HE$29:$HK$29,1,DI367)*(1+INDEX('Lease Cycles'!$GQ$29:$GW$29,1,DI367))^INT(INT((DI$6-INDEX('Lease Cycles'!$GJ$29:$GP$29,1,DI367))/12)/INDEX('Lease Cycles'!$GX$29:$HD$29,1,DI367))/12,0)))</f>
        <v>0</v>
      </c>
      <c r="DJ370" s="28">
        <f>IF(DJ367=0,IF('Lease Cycles'!$F$29&gt;0,'Lease Cycles'!$C$29*'Lease Cycles'!$E$29/12,0),IF(DJ369=1,IF('Lease Cycles'!$AT$29&gt;=9999,'Lease Cycles'!$C$29*INDEX('Lease Cycles'!$CB$29:$CH$29,1,DJ367)*(1+INDEX('Lease Cycles'!$CI$29:$CO$29,1,DJ367))^INT(INT(DJ368/12)/INDEX('Lease Cycles'!$CP$29:$CV$29,1,DJ367))/12,IF(DJ367=1,IF(DJ368&gt;=INDEX('Lease Cycles'!$DK$29:$DQ$29,1,DJ367),IF(DJ$6&gt;='Lease Cycles'!$AZ$29,'Lease Cycles'!$C$29*'Lease Cycles'!$BA$29/12,IF(DJ$6&gt;='Lease Cycles'!$AX$29,'Lease Cycles'!$C$29*'Lease Cycles'!$AY$29/12,IF(DJ$6&gt;='Lease Cycles'!$AV$29,'Lease Cycles'!$C$29*'Lease Cycles'!$AW$29/12,IF(DJ$6&gt;='Lease Cycles'!$AT$29,'Lease Cycles'!$C$29*'Lease Cycles'!$AU$29/12,'Lease Cycles'!$C$29*INDEX('Lease Cycles'!$CB$29:$CH$29,1,DJ367)*(1+INDEX('Lease Cycles'!$CI$29:$CO$29,1,DJ367))^INT(INT(DJ368/12)/INDEX('Lease Cycles'!$CP$29:$CV$29,1,DJ367))/12)))),'Lease Cycles'!$C$29*INDEX('Lease Cycles'!$CB$29:$CH$29,1,DJ367)*(1+INDEX('Lease Cycles'!$CI$29:$CO$29,1,DJ367))^INT(INT(DJ368/12)/INDEX('Lease Cycles'!$CP$29:$CV$29,1,DJ367))/12),IF(INDEX('Lease Cycles'!$EF$29:$EL$29,1,DJ367)=1,IF(AND('Lease Cycles'!$AZ$29&gt;=INDEX('Lease Cycles'!$BG$29:$BM$29,1,DJ367),'Lease Cycles'!$AZ$29&lt;=DJ$6),'Lease Cycles'!$C$29*'Lease Cycles'!$BA$29/12,IF(AND('Lease Cycles'!$AX$29&gt;=INDEX('Lease Cycles'!$BG$29:$BM$29,1,DJ367),'Lease Cycles'!$AX$29&lt;=DJ$6),'Lease Cycles'!$C$29*'Lease Cycles'!$AY$29/12,IF(AND('Lease Cycles'!$AV$29&gt;=INDEX('Lease Cycles'!$BG$29:$BM$29,1,DJ367),'Lease Cycles'!$AV$29&lt;=DJ$6),'Lease Cycles'!$C$29*'Lease Cycles'!$AW$29/12,IF(AND('Lease Cycles'!$AT$29&gt;=INDEX('Lease Cycles'!$BG$29:$BM$29,1,DJ367),'Lease Cycles'!$AT$29&lt;=DJ$6),'Lease Cycles'!$C$29*'Lease Cycles'!$AU$29/12,'Lease Cycles'!$C$29*INDEX('Lease Cycles'!$CB$29:$CH$29,1,DJ367)*(1+INDEX('Lease Cycles'!$CI$29:$CO$29,1,DJ367))^INT(INT(DJ368/12)/INDEX('Lease Cycles'!$CP$29:$CV$29,1,DJ367))/12)))),'Lease Cycles'!$C$29*INDEX('Lease Cycles'!$CB$29:$CH$29,1,DJ367)*(1+INDEX('Lease Cycles'!$CI$29:$CO$29,1,DJ367))^INT(INT(DJ368/12)/INDEX('Lease Cycles'!$CP$29:$CV$29,1,DJ367))/12))),IF('Lease Cycles'!$N$29=1,'Lease Cycles'!$C$29*'Lease Cycles'!$E$29*INDEX('Lease Cycles'!$HE$29:$HK$29,1,DJ367)*(1+INDEX('Lease Cycles'!$GQ$29:$GW$29,1,DJ367))^INT(INT((DJ$6-INDEX('Lease Cycles'!$GJ$29:$GP$29,1,DJ367))/12)/INDEX('Lease Cycles'!$GX$29:$HD$29,1,DJ367))/12,0)))</f>
        <v>0</v>
      </c>
      <c r="DK370" s="28">
        <f>IF(DK367=0,IF('Lease Cycles'!$F$29&gt;0,'Lease Cycles'!$C$29*'Lease Cycles'!$E$29/12,0),IF(DK369=1,IF('Lease Cycles'!$AT$29&gt;=9999,'Lease Cycles'!$C$29*INDEX('Lease Cycles'!$CB$29:$CH$29,1,DK367)*(1+INDEX('Lease Cycles'!$CI$29:$CO$29,1,DK367))^INT(INT(DK368/12)/INDEX('Lease Cycles'!$CP$29:$CV$29,1,DK367))/12,IF(DK367=1,IF(DK368&gt;=INDEX('Lease Cycles'!$DK$29:$DQ$29,1,DK367),IF(DK$6&gt;='Lease Cycles'!$AZ$29,'Lease Cycles'!$C$29*'Lease Cycles'!$BA$29/12,IF(DK$6&gt;='Lease Cycles'!$AX$29,'Lease Cycles'!$C$29*'Lease Cycles'!$AY$29/12,IF(DK$6&gt;='Lease Cycles'!$AV$29,'Lease Cycles'!$C$29*'Lease Cycles'!$AW$29/12,IF(DK$6&gt;='Lease Cycles'!$AT$29,'Lease Cycles'!$C$29*'Lease Cycles'!$AU$29/12,'Lease Cycles'!$C$29*INDEX('Lease Cycles'!$CB$29:$CH$29,1,DK367)*(1+INDEX('Lease Cycles'!$CI$29:$CO$29,1,DK367))^INT(INT(DK368/12)/INDEX('Lease Cycles'!$CP$29:$CV$29,1,DK367))/12)))),'Lease Cycles'!$C$29*INDEX('Lease Cycles'!$CB$29:$CH$29,1,DK367)*(1+INDEX('Lease Cycles'!$CI$29:$CO$29,1,DK367))^INT(INT(DK368/12)/INDEX('Lease Cycles'!$CP$29:$CV$29,1,DK367))/12),IF(INDEX('Lease Cycles'!$EF$29:$EL$29,1,DK367)=1,IF(AND('Lease Cycles'!$AZ$29&gt;=INDEX('Lease Cycles'!$BG$29:$BM$29,1,DK367),'Lease Cycles'!$AZ$29&lt;=DK$6),'Lease Cycles'!$C$29*'Lease Cycles'!$BA$29/12,IF(AND('Lease Cycles'!$AX$29&gt;=INDEX('Lease Cycles'!$BG$29:$BM$29,1,DK367),'Lease Cycles'!$AX$29&lt;=DK$6),'Lease Cycles'!$C$29*'Lease Cycles'!$AY$29/12,IF(AND('Lease Cycles'!$AV$29&gt;=INDEX('Lease Cycles'!$BG$29:$BM$29,1,DK367),'Lease Cycles'!$AV$29&lt;=DK$6),'Lease Cycles'!$C$29*'Lease Cycles'!$AW$29/12,IF(AND('Lease Cycles'!$AT$29&gt;=INDEX('Lease Cycles'!$BG$29:$BM$29,1,DK367),'Lease Cycles'!$AT$29&lt;=DK$6),'Lease Cycles'!$C$29*'Lease Cycles'!$AU$29/12,'Lease Cycles'!$C$29*INDEX('Lease Cycles'!$CB$29:$CH$29,1,DK367)*(1+INDEX('Lease Cycles'!$CI$29:$CO$29,1,DK367))^INT(INT(DK368/12)/INDEX('Lease Cycles'!$CP$29:$CV$29,1,DK367))/12)))),'Lease Cycles'!$C$29*INDEX('Lease Cycles'!$CB$29:$CH$29,1,DK367)*(1+INDEX('Lease Cycles'!$CI$29:$CO$29,1,DK367))^INT(INT(DK368/12)/INDEX('Lease Cycles'!$CP$29:$CV$29,1,DK367))/12))),IF('Lease Cycles'!$N$29=1,'Lease Cycles'!$C$29*'Lease Cycles'!$E$29*INDEX('Lease Cycles'!$HE$29:$HK$29,1,DK367)*(1+INDEX('Lease Cycles'!$GQ$29:$GW$29,1,DK367))^INT(INT((DK$6-INDEX('Lease Cycles'!$GJ$29:$GP$29,1,DK367))/12)/INDEX('Lease Cycles'!$GX$29:$HD$29,1,DK367))/12,0)))</f>
        <v>0</v>
      </c>
      <c r="DL370" s="28">
        <f>IF(DL367=0,IF('Lease Cycles'!$F$29&gt;0,'Lease Cycles'!$C$29*'Lease Cycles'!$E$29/12,0),IF(DL369=1,IF('Lease Cycles'!$AT$29&gt;=9999,'Lease Cycles'!$C$29*INDEX('Lease Cycles'!$CB$29:$CH$29,1,DL367)*(1+INDEX('Lease Cycles'!$CI$29:$CO$29,1,DL367))^INT(INT(DL368/12)/INDEX('Lease Cycles'!$CP$29:$CV$29,1,DL367))/12,IF(DL367=1,IF(DL368&gt;=INDEX('Lease Cycles'!$DK$29:$DQ$29,1,DL367),IF(DL$6&gt;='Lease Cycles'!$AZ$29,'Lease Cycles'!$C$29*'Lease Cycles'!$BA$29/12,IF(DL$6&gt;='Lease Cycles'!$AX$29,'Lease Cycles'!$C$29*'Lease Cycles'!$AY$29/12,IF(DL$6&gt;='Lease Cycles'!$AV$29,'Lease Cycles'!$C$29*'Lease Cycles'!$AW$29/12,IF(DL$6&gt;='Lease Cycles'!$AT$29,'Lease Cycles'!$C$29*'Lease Cycles'!$AU$29/12,'Lease Cycles'!$C$29*INDEX('Lease Cycles'!$CB$29:$CH$29,1,DL367)*(1+INDEX('Lease Cycles'!$CI$29:$CO$29,1,DL367))^INT(INT(DL368/12)/INDEX('Lease Cycles'!$CP$29:$CV$29,1,DL367))/12)))),'Lease Cycles'!$C$29*INDEX('Lease Cycles'!$CB$29:$CH$29,1,DL367)*(1+INDEX('Lease Cycles'!$CI$29:$CO$29,1,DL367))^INT(INT(DL368/12)/INDEX('Lease Cycles'!$CP$29:$CV$29,1,DL367))/12),IF(INDEX('Lease Cycles'!$EF$29:$EL$29,1,DL367)=1,IF(AND('Lease Cycles'!$AZ$29&gt;=INDEX('Lease Cycles'!$BG$29:$BM$29,1,DL367),'Lease Cycles'!$AZ$29&lt;=DL$6),'Lease Cycles'!$C$29*'Lease Cycles'!$BA$29/12,IF(AND('Lease Cycles'!$AX$29&gt;=INDEX('Lease Cycles'!$BG$29:$BM$29,1,DL367),'Lease Cycles'!$AX$29&lt;=DL$6),'Lease Cycles'!$C$29*'Lease Cycles'!$AY$29/12,IF(AND('Lease Cycles'!$AV$29&gt;=INDEX('Lease Cycles'!$BG$29:$BM$29,1,DL367),'Lease Cycles'!$AV$29&lt;=DL$6),'Lease Cycles'!$C$29*'Lease Cycles'!$AW$29/12,IF(AND('Lease Cycles'!$AT$29&gt;=INDEX('Lease Cycles'!$BG$29:$BM$29,1,DL367),'Lease Cycles'!$AT$29&lt;=DL$6),'Lease Cycles'!$C$29*'Lease Cycles'!$AU$29/12,'Lease Cycles'!$C$29*INDEX('Lease Cycles'!$CB$29:$CH$29,1,DL367)*(1+INDEX('Lease Cycles'!$CI$29:$CO$29,1,DL367))^INT(INT(DL368/12)/INDEX('Lease Cycles'!$CP$29:$CV$29,1,DL367))/12)))),'Lease Cycles'!$C$29*INDEX('Lease Cycles'!$CB$29:$CH$29,1,DL367)*(1+INDEX('Lease Cycles'!$CI$29:$CO$29,1,DL367))^INT(INT(DL368/12)/INDEX('Lease Cycles'!$CP$29:$CV$29,1,DL367))/12))),IF('Lease Cycles'!$N$29=1,'Lease Cycles'!$C$29*'Lease Cycles'!$E$29*INDEX('Lease Cycles'!$HE$29:$HK$29,1,DL367)*(1+INDEX('Lease Cycles'!$GQ$29:$GW$29,1,DL367))^INT(INT((DL$6-INDEX('Lease Cycles'!$GJ$29:$GP$29,1,DL367))/12)/INDEX('Lease Cycles'!$GX$29:$HD$29,1,DL367))/12,0)))</f>
        <v>0</v>
      </c>
      <c r="DM370" s="28">
        <f>IF(DM367=0,IF('Lease Cycles'!$F$29&gt;0,'Lease Cycles'!$C$29*'Lease Cycles'!$E$29/12,0),IF(DM369=1,IF('Lease Cycles'!$AT$29&gt;=9999,'Lease Cycles'!$C$29*INDEX('Lease Cycles'!$CB$29:$CH$29,1,DM367)*(1+INDEX('Lease Cycles'!$CI$29:$CO$29,1,DM367))^INT(INT(DM368/12)/INDEX('Lease Cycles'!$CP$29:$CV$29,1,DM367))/12,IF(DM367=1,IF(DM368&gt;=INDEX('Lease Cycles'!$DK$29:$DQ$29,1,DM367),IF(DM$6&gt;='Lease Cycles'!$AZ$29,'Lease Cycles'!$C$29*'Lease Cycles'!$BA$29/12,IF(DM$6&gt;='Lease Cycles'!$AX$29,'Lease Cycles'!$C$29*'Lease Cycles'!$AY$29/12,IF(DM$6&gt;='Lease Cycles'!$AV$29,'Lease Cycles'!$C$29*'Lease Cycles'!$AW$29/12,IF(DM$6&gt;='Lease Cycles'!$AT$29,'Lease Cycles'!$C$29*'Lease Cycles'!$AU$29/12,'Lease Cycles'!$C$29*INDEX('Lease Cycles'!$CB$29:$CH$29,1,DM367)*(1+INDEX('Lease Cycles'!$CI$29:$CO$29,1,DM367))^INT(INT(DM368/12)/INDEX('Lease Cycles'!$CP$29:$CV$29,1,DM367))/12)))),'Lease Cycles'!$C$29*INDEX('Lease Cycles'!$CB$29:$CH$29,1,DM367)*(1+INDEX('Lease Cycles'!$CI$29:$CO$29,1,DM367))^INT(INT(DM368/12)/INDEX('Lease Cycles'!$CP$29:$CV$29,1,DM367))/12),IF(INDEX('Lease Cycles'!$EF$29:$EL$29,1,DM367)=1,IF(AND('Lease Cycles'!$AZ$29&gt;=INDEX('Lease Cycles'!$BG$29:$BM$29,1,DM367),'Lease Cycles'!$AZ$29&lt;=DM$6),'Lease Cycles'!$C$29*'Lease Cycles'!$BA$29/12,IF(AND('Lease Cycles'!$AX$29&gt;=INDEX('Lease Cycles'!$BG$29:$BM$29,1,DM367),'Lease Cycles'!$AX$29&lt;=DM$6),'Lease Cycles'!$C$29*'Lease Cycles'!$AY$29/12,IF(AND('Lease Cycles'!$AV$29&gt;=INDEX('Lease Cycles'!$BG$29:$BM$29,1,DM367),'Lease Cycles'!$AV$29&lt;=DM$6),'Lease Cycles'!$C$29*'Lease Cycles'!$AW$29/12,IF(AND('Lease Cycles'!$AT$29&gt;=INDEX('Lease Cycles'!$BG$29:$BM$29,1,DM367),'Lease Cycles'!$AT$29&lt;=DM$6),'Lease Cycles'!$C$29*'Lease Cycles'!$AU$29/12,'Lease Cycles'!$C$29*INDEX('Lease Cycles'!$CB$29:$CH$29,1,DM367)*(1+INDEX('Lease Cycles'!$CI$29:$CO$29,1,DM367))^INT(INT(DM368/12)/INDEX('Lease Cycles'!$CP$29:$CV$29,1,DM367))/12)))),'Lease Cycles'!$C$29*INDEX('Lease Cycles'!$CB$29:$CH$29,1,DM367)*(1+INDEX('Lease Cycles'!$CI$29:$CO$29,1,DM367))^INT(INT(DM368/12)/INDEX('Lease Cycles'!$CP$29:$CV$29,1,DM367))/12))),IF('Lease Cycles'!$N$29=1,'Lease Cycles'!$C$29*'Lease Cycles'!$E$29*INDEX('Lease Cycles'!$HE$29:$HK$29,1,DM367)*(1+INDEX('Lease Cycles'!$GQ$29:$GW$29,1,DM367))^INT(INT((DM$6-INDEX('Lease Cycles'!$GJ$29:$GP$29,1,DM367))/12)/INDEX('Lease Cycles'!$GX$29:$HD$29,1,DM367))/12,0)))</f>
        <v>0</v>
      </c>
      <c r="DN370" s="28">
        <f>IF(DN367=0,IF('Lease Cycles'!$F$29&gt;0,'Lease Cycles'!$C$29*'Lease Cycles'!$E$29/12,0),IF(DN369=1,IF('Lease Cycles'!$AT$29&gt;=9999,'Lease Cycles'!$C$29*INDEX('Lease Cycles'!$CB$29:$CH$29,1,DN367)*(1+INDEX('Lease Cycles'!$CI$29:$CO$29,1,DN367))^INT(INT(DN368/12)/INDEX('Lease Cycles'!$CP$29:$CV$29,1,DN367))/12,IF(DN367=1,IF(DN368&gt;=INDEX('Lease Cycles'!$DK$29:$DQ$29,1,DN367),IF(DN$6&gt;='Lease Cycles'!$AZ$29,'Lease Cycles'!$C$29*'Lease Cycles'!$BA$29/12,IF(DN$6&gt;='Lease Cycles'!$AX$29,'Lease Cycles'!$C$29*'Lease Cycles'!$AY$29/12,IF(DN$6&gt;='Lease Cycles'!$AV$29,'Lease Cycles'!$C$29*'Lease Cycles'!$AW$29/12,IF(DN$6&gt;='Lease Cycles'!$AT$29,'Lease Cycles'!$C$29*'Lease Cycles'!$AU$29/12,'Lease Cycles'!$C$29*INDEX('Lease Cycles'!$CB$29:$CH$29,1,DN367)*(1+INDEX('Lease Cycles'!$CI$29:$CO$29,1,DN367))^INT(INT(DN368/12)/INDEX('Lease Cycles'!$CP$29:$CV$29,1,DN367))/12)))),'Lease Cycles'!$C$29*INDEX('Lease Cycles'!$CB$29:$CH$29,1,DN367)*(1+INDEX('Lease Cycles'!$CI$29:$CO$29,1,DN367))^INT(INT(DN368/12)/INDEX('Lease Cycles'!$CP$29:$CV$29,1,DN367))/12),IF(INDEX('Lease Cycles'!$EF$29:$EL$29,1,DN367)=1,IF(AND('Lease Cycles'!$AZ$29&gt;=INDEX('Lease Cycles'!$BG$29:$BM$29,1,DN367),'Lease Cycles'!$AZ$29&lt;=DN$6),'Lease Cycles'!$C$29*'Lease Cycles'!$BA$29/12,IF(AND('Lease Cycles'!$AX$29&gt;=INDEX('Lease Cycles'!$BG$29:$BM$29,1,DN367),'Lease Cycles'!$AX$29&lt;=DN$6),'Lease Cycles'!$C$29*'Lease Cycles'!$AY$29/12,IF(AND('Lease Cycles'!$AV$29&gt;=INDEX('Lease Cycles'!$BG$29:$BM$29,1,DN367),'Lease Cycles'!$AV$29&lt;=DN$6),'Lease Cycles'!$C$29*'Lease Cycles'!$AW$29/12,IF(AND('Lease Cycles'!$AT$29&gt;=INDEX('Lease Cycles'!$BG$29:$BM$29,1,DN367),'Lease Cycles'!$AT$29&lt;=DN$6),'Lease Cycles'!$C$29*'Lease Cycles'!$AU$29/12,'Lease Cycles'!$C$29*INDEX('Lease Cycles'!$CB$29:$CH$29,1,DN367)*(1+INDEX('Lease Cycles'!$CI$29:$CO$29,1,DN367))^INT(INT(DN368/12)/INDEX('Lease Cycles'!$CP$29:$CV$29,1,DN367))/12)))),'Lease Cycles'!$C$29*INDEX('Lease Cycles'!$CB$29:$CH$29,1,DN367)*(1+INDEX('Lease Cycles'!$CI$29:$CO$29,1,DN367))^INT(INT(DN368/12)/INDEX('Lease Cycles'!$CP$29:$CV$29,1,DN367))/12))),IF('Lease Cycles'!$N$29=1,'Lease Cycles'!$C$29*'Lease Cycles'!$E$29*INDEX('Lease Cycles'!$HE$29:$HK$29,1,DN367)*(1+INDEX('Lease Cycles'!$GQ$29:$GW$29,1,DN367))^INT(INT((DN$6-INDEX('Lease Cycles'!$GJ$29:$GP$29,1,DN367))/12)/INDEX('Lease Cycles'!$GX$29:$HD$29,1,DN367))/12,0)))</f>
        <v>0</v>
      </c>
      <c r="DO370" s="28">
        <f>IF(DO367=0,IF('Lease Cycles'!$F$29&gt;0,'Lease Cycles'!$C$29*'Lease Cycles'!$E$29/12,0),IF(DO369=1,IF('Lease Cycles'!$AT$29&gt;=9999,'Lease Cycles'!$C$29*INDEX('Lease Cycles'!$CB$29:$CH$29,1,DO367)*(1+INDEX('Lease Cycles'!$CI$29:$CO$29,1,DO367))^INT(INT(DO368/12)/INDEX('Lease Cycles'!$CP$29:$CV$29,1,DO367))/12,IF(DO367=1,IF(DO368&gt;=INDEX('Lease Cycles'!$DK$29:$DQ$29,1,DO367),IF(DO$6&gt;='Lease Cycles'!$AZ$29,'Lease Cycles'!$C$29*'Lease Cycles'!$BA$29/12,IF(DO$6&gt;='Lease Cycles'!$AX$29,'Lease Cycles'!$C$29*'Lease Cycles'!$AY$29/12,IF(DO$6&gt;='Lease Cycles'!$AV$29,'Lease Cycles'!$C$29*'Lease Cycles'!$AW$29/12,IF(DO$6&gt;='Lease Cycles'!$AT$29,'Lease Cycles'!$C$29*'Lease Cycles'!$AU$29/12,'Lease Cycles'!$C$29*INDEX('Lease Cycles'!$CB$29:$CH$29,1,DO367)*(1+INDEX('Lease Cycles'!$CI$29:$CO$29,1,DO367))^INT(INT(DO368/12)/INDEX('Lease Cycles'!$CP$29:$CV$29,1,DO367))/12)))),'Lease Cycles'!$C$29*INDEX('Lease Cycles'!$CB$29:$CH$29,1,DO367)*(1+INDEX('Lease Cycles'!$CI$29:$CO$29,1,DO367))^INT(INT(DO368/12)/INDEX('Lease Cycles'!$CP$29:$CV$29,1,DO367))/12),IF(INDEX('Lease Cycles'!$EF$29:$EL$29,1,DO367)=1,IF(AND('Lease Cycles'!$AZ$29&gt;=INDEX('Lease Cycles'!$BG$29:$BM$29,1,DO367),'Lease Cycles'!$AZ$29&lt;=DO$6),'Lease Cycles'!$C$29*'Lease Cycles'!$BA$29/12,IF(AND('Lease Cycles'!$AX$29&gt;=INDEX('Lease Cycles'!$BG$29:$BM$29,1,DO367),'Lease Cycles'!$AX$29&lt;=DO$6),'Lease Cycles'!$C$29*'Lease Cycles'!$AY$29/12,IF(AND('Lease Cycles'!$AV$29&gt;=INDEX('Lease Cycles'!$BG$29:$BM$29,1,DO367),'Lease Cycles'!$AV$29&lt;=DO$6),'Lease Cycles'!$C$29*'Lease Cycles'!$AW$29/12,IF(AND('Lease Cycles'!$AT$29&gt;=INDEX('Lease Cycles'!$BG$29:$BM$29,1,DO367),'Lease Cycles'!$AT$29&lt;=DO$6),'Lease Cycles'!$C$29*'Lease Cycles'!$AU$29/12,'Lease Cycles'!$C$29*INDEX('Lease Cycles'!$CB$29:$CH$29,1,DO367)*(1+INDEX('Lease Cycles'!$CI$29:$CO$29,1,DO367))^INT(INT(DO368/12)/INDEX('Lease Cycles'!$CP$29:$CV$29,1,DO367))/12)))),'Lease Cycles'!$C$29*INDEX('Lease Cycles'!$CB$29:$CH$29,1,DO367)*(1+INDEX('Lease Cycles'!$CI$29:$CO$29,1,DO367))^INT(INT(DO368/12)/INDEX('Lease Cycles'!$CP$29:$CV$29,1,DO367))/12))),IF('Lease Cycles'!$N$29=1,'Lease Cycles'!$C$29*'Lease Cycles'!$E$29*INDEX('Lease Cycles'!$HE$29:$HK$29,1,DO367)*(1+INDEX('Lease Cycles'!$GQ$29:$GW$29,1,DO367))^INT(INT((DO$6-INDEX('Lease Cycles'!$GJ$29:$GP$29,1,DO367))/12)/INDEX('Lease Cycles'!$GX$29:$HD$29,1,DO367))/12,0)))</f>
        <v>0</v>
      </c>
      <c r="DP370" s="28">
        <f>IF(DP367=0,IF('Lease Cycles'!$F$29&gt;0,'Lease Cycles'!$C$29*'Lease Cycles'!$E$29/12,0),IF(DP369=1,IF('Lease Cycles'!$AT$29&gt;=9999,'Lease Cycles'!$C$29*INDEX('Lease Cycles'!$CB$29:$CH$29,1,DP367)*(1+INDEX('Lease Cycles'!$CI$29:$CO$29,1,DP367))^INT(INT(DP368/12)/INDEX('Lease Cycles'!$CP$29:$CV$29,1,DP367))/12,IF(DP367=1,IF(DP368&gt;=INDEX('Lease Cycles'!$DK$29:$DQ$29,1,DP367),IF(DP$6&gt;='Lease Cycles'!$AZ$29,'Lease Cycles'!$C$29*'Lease Cycles'!$BA$29/12,IF(DP$6&gt;='Lease Cycles'!$AX$29,'Lease Cycles'!$C$29*'Lease Cycles'!$AY$29/12,IF(DP$6&gt;='Lease Cycles'!$AV$29,'Lease Cycles'!$C$29*'Lease Cycles'!$AW$29/12,IF(DP$6&gt;='Lease Cycles'!$AT$29,'Lease Cycles'!$C$29*'Lease Cycles'!$AU$29/12,'Lease Cycles'!$C$29*INDEX('Lease Cycles'!$CB$29:$CH$29,1,DP367)*(1+INDEX('Lease Cycles'!$CI$29:$CO$29,1,DP367))^INT(INT(DP368/12)/INDEX('Lease Cycles'!$CP$29:$CV$29,1,DP367))/12)))),'Lease Cycles'!$C$29*INDEX('Lease Cycles'!$CB$29:$CH$29,1,DP367)*(1+INDEX('Lease Cycles'!$CI$29:$CO$29,1,DP367))^INT(INT(DP368/12)/INDEX('Lease Cycles'!$CP$29:$CV$29,1,DP367))/12),IF(INDEX('Lease Cycles'!$EF$29:$EL$29,1,DP367)=1,IF(AND('Lease Cycles'!$AZ$29&gt;=INDEX('Lease Cycles'!$BG$29:$BM$29,1,DP367),'Lease Cycles'!$AZ$29&lt;=DP$6),'Lease Cycles'!$C$29*'Lease Cycles'!$BA$29/12,IF(AND('Lease Cycles'!$AX$29&gt;=INDEX('Lease Cycles'!$BG$29:$BM$29,1,DP367),'Lease Cycles'!$AX$29&lt;=DP$6),'Lease Cycles'!$C$29*'Lease Cycles'!$AY$29/12,IF(AND('Lease Cycles'!$AV$29&gt;=INDEX('Lease Cycles'!$BG$29:$BM$29,1,DP367),'Lease Cycles'!$AV$29&lt;=DP$6),'Lease Cycles'!$C$29*'Lease Cycles'!$AW$29/12,IF(AND('Lease Cycles'!$AT$29&gt;=INDEX('Lease Cycles'!$BG$29:$BM$29,1,DP367),'Lease Cycles'!$AT$29&lt;=DP$6),'Lease Cycles'!$C$29*'Lease Cycles'!$AU$29/12,'Lease Cycles'!$C$29*INDEX('Lease Cycles'!$CB$29:$CH$29,1,DP367)*(1+INDEX('Lease Cycles'!$CI$29:$CO$29,1,DP367))^INT(INT(DP368/12)/INDEX('Lease Cycles'!$CP$29:$CV$29,1,DP367))/12)))),'Lease Cycles'!$C$29*INDEX('Lease Cycles'!$CB$29:$CH$29,1,DP367)*(1+INDEX('Lease Cycles'!$CI$29:$CO$29,1,DP367))^INT(INT(DP368/12)/INDEX('Lease Cycles'!$CP$29:$CV$29,1,DP367))/12))),IF('Lease Cycles'!$N$29=1,'Lease Cycles'!$C$29*'Lease Cycles'!$E$29*INDEX('Lease Cycles'!$HE$29:$HK$29,1,DP367)*(1+INDEX('Lease Cycles'!$GQ$29:$GW$29,1,DP367))^INT(INT((DP$6-INDEX('Lease Cycles'!$GJ$29:$GP$29,1,DP367))/12)/INDEX('Lease Cycles'!$GX$29:$HD$29,1,DP367))/12,0)))</f>
        <v>0</v>
      </c>
      <c r="DQ370" s="28">
        <f>IF(DQ367=0,IF('Lease Cycles'!$F$29&gt;0,'Lease Cycles'!$C$29*'Lease Cycles'!$E$29/12,0),IF(DQ369=1,IF('Lease Cycles'!$AT$29&gt;=9999,'Lease Cycles'!$C$29*INDEX('Lease Cycles'!$CB$29:$CH$29,1,DQ367)*(1+INDEX('Lease Cycles'!$CI$29:$CO$29,1,DQ367))^INT(INT(DQ368/12)/INDEX('Lease Cycles'!$CP$29:$CV$29,1,DQ367))/12,IF(DQ367=1,IF(DQ368&gt;=INDEX('Lease Cycles'!$DK$29:$DQ$29,1,DQ367),IF(DQ$6&gt;='Lease Cycles'!$AZ$29,'Lease Cycles'!$C$29*'Lease Cycles'!$BA$29/12,IF(DQ$6&gt;='Lease Cycles'!$AX$29,'Lease Cycles'!$C$29*'Lease Cycles'!$AY$29/12,IF(DQ$6&gt;='Lease Cycles'!$AV$29,'Lease Cycles'!$C$29*'Lease Cycles'!$AW$29/12,IF(DQ$6&gt;='Lease Cycles'!$AT$29,'Lease Cycles'!$C$29*'Lease Cycles'!$AU$29/12,'Lease Cycles'!$C$29*INDEX('Lease Cycles'!$CB$29:$CH$29,1,DQ367)*(1+INDEX('Lease Cycles'!$CI$29:$CO$29,1,DQ367))^INT(INT(DQ368/12)/INDEX('Lease Cycles'!$CP$29:$CV$29,1,DQ367))/12)))),'Lease Cycles'!$C$29*INDEX('Lease Cycles'!$CB$29:$CH$29,1,DQ367)*(1+INDEX('Lease Cycles'!$CI$29:$CO$29,1,DQ367))^INT(INT(DQ368/12)/INDEX('Lease Cycles'!$CP$29:$CV$29,1,DQ367))/12),IF(INDEX('Lease Cycles'!$EF$29:$EL$29,1,DQ367)=1,IF(AND('Lease Cycles'!$AZ$29&gt;=INDEX('Lease Cycles'!$BG$29:$BM$29,1,DQ367),'Lease Cycles'!$AZ$29&lt;=DQ$6),'Lease Cycles'!$C$29*'Lease Cycles'!$BA$29/12,IF(AND('Lease Cycles'!$AX$29&gt;=INDEX('Lease Cycles'!$BG$29:$BM$29,1,DQ367),'Lease Cycles'!$AX$29&lt;=DQ$6),'Lease Cycles'!$C$29*'Lease Cycles'!$AY$29/12,IF(AND('Lease Cycles'!$AV$29&gt;=INDEX('Lease Cycles'!$BG$29:$BM$29,1,DQ367),'Lease Cycles'!$AV$29&lt;=DQ$6),'Lease Cycles'!$C$29*'Lease Cycles'!$AW$29/12,IF(AND('Lease Cycles'!$AT$29&gt;=INDEX('Lease Cycles'!$BG$29:$BM$29,1,DQ367),'Lease Cycles'!$AT$29&lt;=DQ$6),'Lease Cycles'!$C$29*'Lease Cycles'!$AU$29/12,'Lease Cycles'!$C$29*INDEX('Lease Cycles'!$CB$29:$CH$29,1,DQ367)*(1+INDEX('Lease Cycles'!$CI$29:$CO$29,1,DQ367))^INT(INT(DQ368/12)/INDEX('Lease Cycles'!$CP$29:$CV$29,1,DQ367))/12)))),'Lease Cycles'!$C$29*INDEX('Lease Cycles'!$CB$29:$CH$29,1,DQ367)*(1+INDEX('Lease Cycles'!$CI$29:$CO$29,1,DQ367))^INT(INT(DQ368/12)/INDEX('Lease Cycles'!$CP$29:$CV$29,1,DQ367))/12))),IF('Lease Cycles'!$N$29=1,'Lease Cycles'!$C$29*'Lease Cycles'!$E$29*INDEX('Lease Cycles'!$HE$29:$HK$29,1,DQ367)*(1+INDEX('Lease Cycles'!$GQ$29:$GW$29,1,DQ367))^INT(INT((DQ$6-INDEX('Lease Cycles'!$GJ$29:$GP$29,1,DQ367))/12)/INDEX('Lease Cycles'!$GX$29:$HD$29,1,DQ367))/12,0)))</f>
        <v>0</v>
      </c>
      <c r="DR370" s="28">
        <f>IF(DR367=0,IF('Lease Cycles'!$F$29&gt;0,'Lease Cycles'!$C$29*'Lease Cycles'!$E$29/12,0),IF(DR369=1,IF('Lease Cycles'!$AT$29&gt;=9999,'Lease Cycles'!$C$29*INDEX('Lease Cycles'!$CB$29:$CH$29,1,DR367)*(1+INDEX('Lease Cycles'!$CI$29:$CO$29,1,DR367))^INT(INT(DR368/12)/INDEX('Lease Cycles'!$CP$29:$CV$29,1,DR367))/12,IF(DR367=1,IF(DR368&gt;=INDEX('Lease Cycles'!$DK$29:$DQ$29,1,DR367),IF(DR$6&gt;='Lease Cycles'!$AZ$29,'Lease Cycles'!$C$29*'Lease Cycles'!$BA$29/12,IF(DR$6&gt;='Lease Cycles'!$AX$29,'Lease Cycles'!$C$29*'Lease Cycles'!$AY$29/12,IF(DR$6&gt;='Lease Cycles'!$AV$29,'Lease Cycles'!$C$29*'Lease Cycles'!$AW$29/12,IF(DR$6&gt;='Lease Cycles'!$AT$29,'Lease Cycles'!$C$29*'Lease Cycles'!$AU$29/12,'Lease Cycles'!$C$29*INDEX('Lease Cycles'!$CB$29:$CH$29,1,DR367)*(1+INDEX('Lease Cycles'!$CI$29:$CO$29,1,DR367))^INT(INT(DR368/12)/INDEX('Lease Cycles'!$CP$29:$CV$29,1,DR367))/12)))),'Lease Cycles'!$C$29*INDEX('Lease Cycles'!$CB$29:$CH$29,1,DR367)*(1+INDEX('Lease Cycles'!$CI$29:$CO$29,1,DR367))^INT(INT(DR368/12)/INDEX('Lease Cycles'!$CP$29:$CV$29,1,DR367))/12),IF(INDEX('Lease Cycles'!$EF$29:$EL$29,1,DR367)=1,IF(AND('Lease Cycles'!$AZ$29&gt;=INDEX('Lease Cycles'!$BG$29:$BM$29,1,DR367),'Lease Cycles'!$AZ$29&lt;=DR$6),'Lease Cycles'!$C$29*'Lease Cycles'!$BA$29/12,IF(AND('Lease Cycles'!$AX$29&gt;=INDEX('Lease Cycles'!$BG$29:$BM$29,1,DR367),'Lease Cycles'!$AX$29&lt;=DR$6),'Lease Cycles'!$C$29*'Lease Cycles'!$AY$29/12,IF(AND('Lease Cycles'!$AV$29&gt;=INDEX('Lease Cycles'!$BG$29:$BM$29,1,DR367),'Lease Cycles'!$AV$29&lt;=DR$6),'Lease Cycles'!$C$29*'Lease Cycles'!$AW$29/12,IF(AND('Lease Cycles'!$AT$29&gt;=INDEX('Lease Cycles'!$BG$29:$BM$29,1,DR367),'Lease Cycles'!$AT$29&lt;=DR$6),'Lease Cycles'!$C$29*'Lease Cycles'!$AU$29/12,'Lease Cycles'!$C$29*INDEX('Lease Cycles'!$CB$29:$CH$29,1,DR367)*(1+INDEX('Lease Cycles'!$CI$29:$CO$29,1,DR367))^INT(INT(DR368/12)/INDEX('Lease Cycles'!$CP$29:$CV$29,1,DR367))/12)))),'Lease Cycles'!$C$29*INDEX('Lease Cycles'!$CB$29:$CH$29,1,DR367)*(1+INDEX('Lease Cycles'!$CI$29:$CO$29,1,DR367))^INT(INT(DR368/12)/INDEX('Lease Cycles'!$CP$29:$CV$29,1,DR367))/12))),IF('Lease Cycles'!$N$29=1,'Lease Cycles'!$C$29*'Lease Cycles'!$E$29*INDEX('Lease Cycles'!$HE$29:$HK$29,1,DR367)*(1+INDEX('Lease Cycles'!$GQ$29:$GW$29,1,DR367))^INT(INT((DR$6-INDEX('Lease Cycles'!$GJ$29:$GP$29,1,DR367))/12)/INDEX('Lease Cycles'!$GX$29:$HD$29,1,DR367))/12,0)))</f>
        <v>0</v>
      </c>
      <c r="DS370" s="28">
        <f>IF(DS367=0,IF('Lease Cycles'!$F$29&gt;0,'Lease Cycles'!$C$29*'Lease Cycles'!$E$29/12,0),IF(DS369=1,IF('Lease Cycles'!$AT$29&gt;=9999,'Lease Cycles'!$C$29*INDEX('Lease Cycles'!$CB$29:$CH$29,1,DS367)*(1+INDEX('Lease Cycles'!$CI$29:$CO$29,1,DS367))^INT(INT(DS368/12)/INDEX('Lease Cycles'!$CP$29:$CV$29,1,DS367))/12,IF(DS367=1,IF(DS368&gt;=INDEX('Lease Cycles'!$DK$29:$DQ$29,1,DS367),IF(DS$6&gt;='Lease Cycles'!$AZ$29,'Lease Cycles'!$C$29*'Lease Cycles'!$BA$29/12,IF(DS$6&gt;='Lease Cycles'!$AX$29,'Lease Cycles'!$C$29*'Lease Cycles'!$AY$29/12,IF(DS$6&gt;='Lease Cycles'!$AV$29,'Lease Cycles'!$C$29*'Lease Cycles'!$AW$29/12,IF(DS$6&gt;='Lease Cycles'!$AT$29,'Lease Cycles'!$C$29*'Lease Cycles'!$AU$29/12,'Lease Cycles'!$C$29*INDEX('Lease Cycles'!$CB$29:$CH$29,1,DS367)*(1+INDEX('Lease Cycles'!$CI$29:$CO$29,1,DS367))^INT(INT(DS368/12)/INDEX('Lease Cycles'!$CP$29:$CV$29,1,DS367))/12)))),'Lease Cycles'!$C$29*INDEX('Lease Cycles'!$CB$29:$CH$29,1,DS367)*(1+INDEX('Lease Cycles'!$CI$29:$CO$29,1,DS367))^INT(INT(DS368/12)/INDEX('Lease Cycles'!$CP$29:$CV$29,1,DS367))/12),IF(INDEX('Lease Cycles'!$EF$29:$EL$29,1,DS367)=1,IF(AND('Lease Cycles'!$AZ$29&gt;=INDEX('Lease Cycles'!$BG$29:$BM$29,1,DS367),'Lease Cycles'!$AZ$29&lt;=DS$6),'Lease Cycles'!$C$29*'Lease Cycles'!$BA$29/12,IF(AND('Lease Cycles'!$AX$29&gt;=INDEX('Lease Cycles'!$BG$29:$BM$29,1,DS367),'Lease Cycles'!$AX$29&lt;=DS$6),'Lease Cycles'!$C$29*'Lease Cycles'!$AY$29/12,IF(AND('Lease Cycles'!$AV$29&gt;=INDEX('Lease Cycles'!$BG$29:$BM$29,1,DS367),'Lease Cycles'!$AV$29&lt;=DS$6),'Lease Cycles'!$C$29*'Lease Cycles'!$AW$29/12,IF(AND('Lease Cycles'!$AT$29&gt;=INDEX('Lease Cycles'!$BG$29:$BM$29,1,DS367),'Lease Cycles'!$AT$29&lt;=DS$6),'Lease Cycles'!$C$29*'Lease Cycles'!$AU$29/12,'Lease Cycles'!$C$29*INDEX('Lease Cycles'!$CB$29:$CH$29,1,DS367)*(1+INDEX('Lease Cycles'!$CI$29:$CO$29,1,DS367))^INT(INT(DS368/12)/INDEX('Lease Cycles'!$CP$29:$CV$29,1,DS367))/12)))),'Lease Cycles'!$C$29*INDEX('Lease Cycles'!$CB$29:$CH$29,1,DS367)*(1+INDEX('Lease Cycles'!$CI$29:$CO$29,1,DS367))^INT(INT(DS368/12)/INDEX('Lease Cycles'!$CP$29:$CV$29,1,DS367))/12))),IF('Lease Cycles'!$N$29=1,'Lease Cycles'!$C$29*'Lease Cycles'!$E$29*INDEX('Lease Cycles'!$HE$29:$HK$29,1,DS367)*(1+INDEX('Lease Cycles'!$GQ$29:$GW$29,1,DS367))^INT(INT((DS$6-INDEX('Lease Cycles'!$GJ$29:$GP$29,1,DS367))/12)/INDEX('Lease Cycles'!$GX$29:$HD$29,1,DS367))/12,0)))</f>
        <v>0</v>
      </c>
      <c r="DT370" s="28">
        <f>IF(DT367=0,IF('Lease Cycles'!$F$29&gt;0,'Lease Cycles'!$C$29*'Lease Cycles'!$E$29/12,0),IF(DT369=1,IF('Lease Cycles'!$AT$29&gt;=9999,'Lease Cycles'!$C$29*INDEX('Lease Cycles'!$CB$29:$CH$29,1,DT367)*(1+INDEX('Lease Cycles'!$CI$29:$CO$29,1,DT367))^INT(INT(DT368/12)/INDEX('Lease Cycles'!$CP$29:$CV$29,1,DT367))/12,IF(DT367=1,IF(DT368&gt;=INDEX('Lease Cycles'!$DK$29:$DQ$29,1,DT367),IF(DT$6&gt;='Lease Cycles'!$AZ$29,'Lease Cycles'!$C$29*'Lease Cycles'!$BA$29/12,IF(DT$6&gt;='Lease Cycles'!$AX$29,'Lease Cycles'!$C$29*'Lease Cycles'!$AY$29/12,IF(DT$6&gt;='Lease Cycles'!$AV$29,'Lease Cycles'!$C$29*'Lease Cycles'!$AW$29/12,IF(DT$6&gt;='Lease Cycles'!$AT$29,'Lease Cycles'!$C$29*'Lease Cycles'!$AU$29/12,'Lease Cycles'!$C$29*INDEX('Lease Cycles'!$CB$29:$CH$29,1,DT367)*(1+INDEX('Lease Cycles'!$CI$29:$CO$29,1,DT367))^INT(INT(DT368/12)/INDEX('Lease Cycles'!$CP$29:$CV$29,1,DT367))/12)))),'Lease Cycles'!$C$29*INDEX('Lease Cycles'!$CB$29:$CH$29,1,DT367)*(1+INDEX('Lease Cycles'!$CI$29:$CO$29,1,DT367))^INT(INT(DT368/12)/INDEX('Lease Cycles'!$CP$29:$CV$29,1,DT367))/12),IF(INDEX('Lease Cycles'!$EF$29:$EL$29,1,DT367)=1,IF(AND('Lease Cycles'!$AZ$29&gt;=INDEX('Lease Cycles'!$BG$29:$BM$29,1,DT367),'Lease Cycles'!$AZ$29&lt;=DT$6),'Lease Cycles'!$C$29*'Lease Cycles'!$BA$29/12,IF(AND('Lease Cycles'!$AX$29&gt;=INDEX('Lease Cycles'!$BG$29:$BM$29,1,DT367),'Lease Cycles'!$AX$29&lt;=DT$6),'Lease Cycles'!$C$29*'Lease Cycles'!$AY$29/12,IF(AND('Lease Cycles'!$AV$29&gt;=INDEX('Lease Cycles'!$BG$29:$BM$29,1,DT367),'Lease Cycles'!$AV$29&lt;=DT$6),'Lease Cycles'!$C$29*'Lease Cycles'!$AW$29/12,IF(AND('Lease Cycles'!$AT$29&gt;=INDEX('Lease Cycles'!$BG$29:$BM$29,1,DT367),'Lease Cycles'!$AT$29&lt;=DT$6),'Lease Cycles'!$C$29*'Lease Cycles'!$AU$29/12,'Lease Cycles'!$C$29*INDEX('Lease Cycles'!$CB$29:$CH$29,1,DT367)*(1+INDEX('Lease Cycles'!$CI$29:$CO$29,1,DT367))^INT(INT(DT368/12)/INDEX('Lease Cycles'!$CP$29:$CV$29,1,DT367))/12)))),'Lease Cycles'!$C$29*INDEX('Lease Cycles'!$CB$29:$CH$29,1,DT367)*(1+INDEX('Lease Cycles'!$CI$29:$CO$29,1,DT367))^INT(INT(DT368/12)/INDEX('Lease Cycles'!$CP$29:$CV$29,1,DT367))/12))),IF('Lease Cycles'!$N$29=1,'Lease Cycles'!$C$29*'Lease Cycles'!$E$29*INDEX('Lease Cycles'!$HE$29:$HK$29,1,DT367)*(1+INDEX('Lease Cycles'!$GQ$29:$GW$29,1,DT367))^INT(INT((DT$6-INDEX('Lease Cycles'!$GJ$29:$GP$29,1,DT367))/12)/INDEX('Lease Cycles'!$GX$29:$HD$29,1,DT367))/12,0)))</f>
        <v>0</v>
      </c>
      <c r="DU370" s="28">
        <f>IF(DU367=0,IF('Lease Cycles'!$F$29&gt;0,'Lease Cycles'!$C$29*'Lease Cycles'!$E$29/12,0),IF(DU369=1,IF('Lease Cycles'!$AT$29&gt;=9999,'Lease Cycles'!$C$29*INDEX('Lease Cycles'!$CB$29:$CH$29,1,DU367)*(1+INDEX('Lease Cycles'!$CI$29:$CO$29,1,DU367))^INT(INT(DU368/12)/INDEX('Lease Cycles'!$CP$29:$CV$29,1,DU367))/12,IF(DU367=1,IF(DU368&gt;=INDEX('Lease Cycles'!$DK$29:$DQ$29,1,DU367),IF(DU$6&gt;='Lease Cycles'!$AZ$29,'Lease Cycles'!$C$29*'Lease Cycles'!$BA$29/12,IF(DU$6&gt;='Lease Cycles'!$AX$29,'Lease Cycles'!$C$29*'Lease Cycles'!$AY$29/12,IF(DU$6&gt;='Lease Cycles'!$AV$29,'Lease Cycles'!$C$29*'Lease Cycles'!$AW$29/12,IF(DU$6&gt;='Lease Cycles'!$AT$29,'Lease Cycles'!$C$29*'Lease Cycles'!$AU$29/12,'Lease Cycles'!$C$29*INDEX('Lease Cycles'!$CB$29:$CH$29,1,DU367)*(1+INDEX('Lease Cycles'!$CI$29:$CO$29,1,DU367))^INT(INT(DU368/12)/INDEX('Lease Cycles'!$CP$29:$CV$29,1,DU367))/12)))),'Lease Cycles'!$C$29*INDEX('Lease Cycles'!$CB$29:$CH$29,1,DU367)*(1+INDEX('Lease Cycles'!$CI$29:$CO$29,1,DU367))^INT(INT(DU368/12)/INDEX('Lease Cycles'!$CP$29:$CV$29,1,DU367))/12),IF(INDEX('Lease Cycles'!$EF$29:$EL$29,1,DU367)=1,IF(AND('Lease Cycles'!$AZ$29&gt;=INDEX('Lease Cycles'!$BG$29:$BM$29,1,DU367),'Lease Cycles'!$AZ$29&lt;=DU$6),'Lease Cycles'!$C$29*'Lease Cycles'!$BA$29/12,IF(AND('Lease Cycles'!$AX$29&gt;=INDEX('Lease Cycles'!$BG$29:$BM$29,1,DU367),'Lease Cycles'!$AX$29&lt;=DU$6),'Lease Cycles'!$C$29*'Lease Cycles'!$AY$29/12,IF(AND('Lease Cycles'!$AV$29&gt;=INDEX('Lease Cycles'!$BG$29:$BM$29,1,DU367),'Lease Cycles'!$AV$29&lt;=DU$6),'Lease Cycles'!$C$29*'Lease Cycles'!$AW$29/12,IF(AND('Lease Cycles'!$AT$29&gt;=INDEX('Lease Cycles'!$BG$29:$BM$29,1,DU367),'Lease Cycles'!$AT$29&lt;=DU$6),'Lease Cycles'!$C$29*'Lease Cycles'!$AU$29/12,'Lease Cycles'!$C$29*INDEX('Lease Cycles'!$CB$29:$CH$29,1,DU367)*(1+INDEX('Lease Cycles'!$CI$29:$CO$29,1,DU367))^INT(INT(DU368/12)/INDEX('Lease Cycles'!$CP$29:$CV$29,1,DU367))/12)))),'Lease Cycles'!$C$29*INDEX('Lease Cycles'!$CB$29:$CH$29,1,DU367)*(1+INDEX('Lease Cycles'!$CI$29:$CO$29,1,DU367))^INT(INT(DU368/12)/INDEX('Lease Cycles'!$CP$29:$CV$29,1,DU367))/12))),IF('Lease Cycles'!$N$29=1,'Lease Cycles'!$C$29*'Lease Cycles'!$E$29*INDEX('Lease Cycles'!$HE$29:$HK$29,1,DU367)*(1+INDEX('Lease Cycles'!$GQ$29:$GW$29,1,DU367))^INT(INT((DU$6-INDEX('Lease Cycles'!$GJ$29:$GP$29,1,DU367))/12)/INDEX('Lease Cycles'!$GX$29:$HD$29,1,DU367))/12,0)))</f>
        <v>0</v>
      </c>
      <c r="DV370" s="28">
        <f>IF(DV367=0,IF('Lease Cycles'!$F$29&gt;0,'Lease Cycles'!$C$29*'Lease Cycles'!$E$29/12,0),IF(DV369=1,IF('Lease Cycles'!$AT$29&gt;=9999,'Lease Cycles'!$C$29*INDEX('Lease Cycles'!$CB$29:$CH$29,1,DV367)*(1+INDEX('Lease Cycles'!$CI$29:$CO$29,1,DV367))^INT(INT(DV368/12)/INDEX('Lease Cycles'!$CP$29:$CV$29,1,DV367))/12,IF(DV367=1,IF(DV368&gt;=INDEX('Lease Cycles'!$DK$29:$DQ$29,1,DV367),IF(DV$6&gt;='Lease Cycles'!$AZ$29,'Lease Cycles'!$C$29*'Lease Cycles'!$BA$29/12,IF(DV$6&gt;='Lease Cycles'!$AX$29,'Lease Cycles'!$C$29*'Lease Cycles'!$AY$29/12,IF(DV$6&gt;='Lease Cycles'!$AV$29,'Lease Cycles'!$C$29*'Lease Cycles'!$AW$29/12,IF(DV$6&gt;='Lease Cycles'!$AT$29,'Lease Cycles'!$C$29*'Lease Cycles'!$AU$29/12,'Lease Cycles'!$C$29*INDEX('Lease Cycles'!$CB$29:$CH$29,1,DV367)*(1+INDEX('Lease Cycles'!$CI$29:$CO$29,1,DV367))^INT(INT(DV368/12)/INDEX('Lease Cycles'!$CP$29:$CV$29,1,DV367))/12)))),'Lease Cycles'!$C$29*INDEX('Lease Cycles'!$CB$29:$CH$29,1,DV367)*(1+INDEX('Lease Cycles'!$CI$29:$CO$29,1,DV367))^INT(INT(DV368/12)/INDEX('Lease Cycles'!$CP$29:$CV$29,1,DV367))/12),IF(INDEX('Lease Cycles'!$EF$29:$EL$29,1,DV367)=1,IF(AND('Lease Cycles'!$AZ$29&gt;=INDEX('Lease Cycles'!$BG$29:$BM$29,1,DV367),'Lease Cycles'!$AZ$29&lt;=DV$6),'Lease Cycles'!$C$29*'Lease Cycles'!$BA$29/12,IF(AND('Lease Cycles'!$AX$29&gt;=INDEX('Lease Cycles'!$BG$29:$BM$29,1,DV367),'Lease Cycles'!$AX$29&lt;=DV$6),'Lease Cycles'!$C$29*'Lease Cycles'!$AY$29/12,IF(AND('Lease Cycles'!$AV$29&gt;=INDEX('Lease Cycles'!$BG$29:$BM$29,1,DV367),'Lease Cycles'!$AV$29&lt;=DV$6),'Lease Cycles'!$C$29*'Lease Cycles'!$AW$29/12,IF(AND('Lease Cycles'!$AT$29&gt;=INDEX('Lease Cycles'!$BG$29:$BM$29,1,DV367),'Lease Cycles'!$AT$29&lt;=DV$6),'Lease Cycles'!$C$29*'Lease Cycles'!$AU$29/12,'Lease Cycles'!$C$29*INDEX('Lease Cycles'!$CB$29:$CH$29,1,DV367)*(1+INDEX('Lease Cycles'!$CI$29:$CO$29,1,DV367))^INT(INT(DV368/12)/INDEX('Lease Cycles'!$CP$29:$CV$29,1,DV367))/12)))),'Lease Cycles'!$C$29*INDEX('Lease Cycles'!$CB$29:$CH$29,1,DV367)*(1+INDEX('Lease Cycles'!$CI$29:$CO$29,1,DV367))^INT(INT(DV368/12)/INDEX('Lease Cycles'!$CP$29:$CV$29,1,DV367))/12))),IF('Lease Cycles'!$N$29=1,'Lease Cycles'!$C$29*'Lease Cycles'!$E$29*INDEX('Lease Cycles'!$HE$29:$HK$29,1,DV367)*(1+INDEX('Lease Cycles'!$GQ$29:$GW$29,1,DV367))^INT(INT((DV$6-INDEX('Lease Cycles'!$GJ$29:$GP$29,1,DV367))/12)/INDEX('Lease Cycles'!$GX$29:$HD$29,1,DV367))/12,0)))</f>
        <v>0</v>
      </c>
      <c r="DW370" s="28">
        <f>IF(DW367=0,IF('Lease Cycles'!$F$29&gt;0,'Lease Cycles'!$C$29*'Lease Cycles'!$E$29/12,0),IF(DW369=1,IF('Lease Cycles'!$AT$29&gt;=9999,'Lease Cycles'!$C$29*INDEX('Lease Cycles'!$CB$29:$CH$29,1,DW367)*(1+INDEX('Lease Cycles'!$CI$29:$CO$29,1,DW367))^INT(INT(DW368/12)/INDEX('Lease Cycles'!$CP$29:$CV$29,1,DW367))/12,IF(DW367=1,IF(DW368&gt;=INDEX('Lease Cycles'!$DK$29:$DQ$29,1,DW367),IF(DW$6&gt;='Lease Cycles'!$AZ$29,'Lease Cycles'!$C$29*'Lease Cycles'!$BA$29/12,IF(DW$6&gt;='Lease Cycles'!$AX$29,'Lease Cycles'!$C$29*'Lease Cycles'!$AY$29/12,IF(DW$6&gt;='Lease Cycles'!$AV$29,'Lease Cycles'!$C$29*'Lease Cycles'!$AW$29/12,IF(DW$6&gt;='Lease Cycles'!$AT$29,'Lease Cycles'!$C$29*'Lease Cycles'!$AU$29/12,'Lease Cycles'!$C$29*INDEX('Lease Cycles'!$CB$29:$CH$29,1,DW367)*(1+INDEX('Lease Cycles'!$CI$29:$CO$29,1,DW367))^INT(INT(DW368/12)/INDEX('Lease Cycles'!$CP$29:$CV$29,1,DW367))/12)))),'Lease Cycles'!$C$29*INDEX('Lease Cycles'!$CB$29:$CH$29,1,DW367)*(1+INDEX('Lease Cycles'!$CI$29:$CO$29,1,DW367))^INT(INT(DW368/12)/INDEX('Lease Cycles'!$CP$29:$CV$29,1,DW367))/12),IF(INDEX('Lease Cycles'!$EF$29:$EL$29,1,DW367)=1,IF(AND('Lease Cycles'!$AZ$29&gt;=INDEX('Lease Cycles'!$BG$29:$BM$29,1,DW367),'Lease Cycles'!$AZ$29&lt;=DW$6),'Lease Cycles'!$C$29*'Lease Cycles'!$BA$29/12,IF(AND('Lease Cycles'!$AX$29&gt;=INDEX('Lease Cycles'!$BG$29:$BM$29,1,DW367),'Lease Cycles'!$AX$29&lt;=DW$6),'Lease Cycles'!$C$29*'Lease Cycles'!$AY$29/12,IF(AND('Lease Cycles'!$AV$29&gt;=INDEX('Lease Cycles'!$BG$29:$BM$29,1,DW367),'Lease Cycles'!$AV$29&lt;=DW$6),'Lease Cycles'!$C$29*'Lease Cycles'!$AW$29/12,IF(AND('Lease Cycles'!$AT$29&gt;=INDEX('Lease Cycles'!$BG$29:$BM$29,1,DW367),'Lease Cycles'!$AT$29&lt;=DW$6),'Lease Cycles'!$C$29*'Lease Cycles'!$AU$29/12,'Lease Cycles'!$C$29*INDEX('Lease Cycles'!$CB$29:$CH$29,1,DW367)*(1+INDEX('Lease Cycles'!$CI$29:$CO$29,1,DW367))^INT(INT(DW368/12)/INDEX('Lease Cycles'!$CP$29:$CV$29,1,DW367))/12)))),'Lease Cycles'!$C$29*INDEX('Lease Cycles'!$CB$29:$CH$29,1,DW367)*(1+INDEX('Lease Cycles'!$CI$29:$CO$29,1,DW367))^INT(INT(DW368/12)/INDEX('Lease Cycles'!$CP$29:$CV$29,1,DW367))/12))),IF('Lease Cycles'!$N$29=1,'Lease Cycles'!$C$29*'Lease Cycles'!$E$29*INDEX('Lease Cycles'!$HE$29:$HK$29,1,DW367)*(1+INDEX('Lease Cycles'!$GQ$29:$GW$29,1,DW367))^INT(INT((DW$6-INDEX('Lease Cycles'!$GJ$29:$GP$29,1,DW367))/12)/INDEX('Lease Cycles'!$GX$29:$HD$29,1,DW367))/12,0)))</f>
        <v>0</v>
      </c>
      <c r="DX370" s="28">
        <f>IF(DX367=0,IF('Lease Cycles'!$F$29&gt;0,'Lease Cycles'!$C$29*'Lease Cycles'!$E$29/12,0),IF(DX369=1,IF('Lease Cycles'!$AT$29&gt;=9999,'Lease Cycles'!$C$29*INDEX('Lease Cycles'!$CB$29:$CH$29,1,DX367)*(1+INDEX('Lease Cycles'!$CI$29:$CO$29,1,DX367))^INT(INT(DX368/12)/INDEX('Lease Cycles'!$CP$29:$CV$29,1,DX367))/12,IF(DX367=1,IF(DX368&gt;=INDEX('Lease Cycles'!$DK$29:$DQ$29,1,DX367),IF(DX$6&gt;='Lease Cycles'!$AZ$29,'Lease Cycles'!$C$29*'Lease Cycles'!$BA$29/12,IF(DX$6&gt;='Lease Cycles'!$AX$29,'Lease Cycles'!$C$29*'Lease Cycles'!$AY$29/12,IF(DX$6&gt;='Lease Cycles'!$AV$29,'Lease Cycles'!$C$29*'Lease Cycles'!$AW$29/12,IF(DX$6&gt;='Lease Cycles'!$AT$29,'Lease Cycles'!$C$29*'Lease Cycles'!$AU$29/12,'Lease Cycles'!$C$29*INDEX('Lease Cycles'!$CB$29:$CH$29,1,DX367)*(1+INDEX('Lease Cycles'!$CI$29:$CO$29,1,DX367))^INT(INT(DX368/12)/INDEX('Lease Cycles'!$CP$29:$CV$29,1,DX367))/12)))),'Lease Cycles'!$C$29*INDEX('Lease Cycles'!$CB$29:$CH$29,1,DX367)*(1+INDEX('Lease Cycles'!$CI$29:$CO$29,1,DX367))^INT(INT(DX368/12)/INDEX('Lease Cycles'!$CP$29:$CV$29,1,DX367))/12),IF(INDEX('Lease Cycles'!$EF$29:$EL$29,1,DX367)=1,IF(AND('Lease Cycles'!$AZ$29&gt;=INDEX('Lease Cycles'!$BG$29:$BM$29,1,DX367),'Lease Cycles'!$AZ$29&lt;=DX$6),'Lease Cycles'!$C$29*'Lease Cycles'!$BA$29/12,IF(AND('Lease Cycles'!$AX$29&gt;=INDEX('Lease Cycles'!$BG$29:$BM$29,1,DX367),'Lease Cycles'!$AX$29&lt;=DX$6),'Lease Cycles'!$C$29*'Lease Cycles'!$AY$29/12,IF(AND('Lease Cycles'!$AV$29&gt;=INDEX('Lease Cycles'!$BG$29:$BM$29,1,DX367),'Lease Cycles'!$AV$29&lt;=DX$6),'Lease Cycles'!$C$29*'Lease Cycles'!$AW$29/12,IF(AND('Lease Cycles'!$AT$29&gt;=INDEX('Lease Cycles'!$BG$29:$BM$29,1,DX367),'Lease Cycles'!$AT$29&lt;=DX$6),'Lease Cycles'!$C$29*'Lease Cycles'!$AU$29/12,'Lease Cycles'!$C$29*INDEX('Lease Cycles'!$CB$29:$CH$29,1,DX367)*(1+INDEX('Lease Cycles'!$CI$29:$CO$29,1,DX367))^INT(INT(DX368/12)/INDEX('Lease Cycles'!$CP$29:$CV$29,1,DX367))/12)))),'Lease Cycles'!$C$29*INDEX('Lease Cycles'!$CB$29:$CH$29,1,DX367)*(1+INDEX('Lease Cycles'!$CI$29:$CO$29,1,DX367))^INT(INT(DX368/12)/INDEX('Lease Cycles'!$CP$29:$CV$29,1,DX367))/12))),IF('Lease Cycles'!$N$29=1,'Lease Cycles'!$C$29*'Lease Cycles'!$E$29*INDEX('Lease Cycles'!$HE$29:$HK$29,1,DX367)*(1+INDEX('Lease Cycles'!$GQ$29:$GW$29,1,DX367))^INT(INT((DX$6-INDEX('Lease Cycles'!$GJ$29:$GP$29,1,DX367))/12)/INDEX('Lease Cycles'!$GX$29:$HD$29,1,DX367))/12,0)))</f>
        <v>0</v>
      </c>
      <c r="DY370" s="28">
        <f>IF(DY367=0,IF('Lease Cycles'!$F$29&gt;0,'Lease Cycles'!$C$29*'Lease Cycles'!$E$29/12,0),IF(DY369=1,IF('Lease Cycles'!$AT$29&gt;=9999,'Lease Cycles'!$C$29*INDEX('Lease Cycles'!$CB$29:$CH$29,1,DY367)*(1+INDEX('Lease Cycles'!$CI$29:$CO$29,1,DY367))^INT(INT(DY368/12)/INDEX('Lease Cycles'!$CP$29:$CV$29,1,DY367))/12,IF(DY367=1,IF(DY368&gt;=INDEX('Lease Cycles'!$DK$29:$DQ$29,1,DY367),IF(DY$6&gt;='Lease Cycles'!$AZ$29,'Lease Cycles'!$C$29*'Lease Cycles'!$BA$29/12,IF(DY$6&gt;='Lease Cycles'!$AX$29,'Lease Cycles'!$C$29*'Lease Cycles'!$AY$29/12,IF(DY$6&gt;='Lease Cycles'!$AV$29,'Lease Cycles'!$C$29*'Lease Cycles'!$AW$29/12,IF(DY$6&gt;='Lease Cycles'!$AT$29,'Lease Cycles'!$C$29*'Lease Cycles'!$AU$29/12,'Lease Cycles'!$C$29*INDEX('Lease Cycles'!$CB$29:$CH$29,1,DY367)*(1+INDEX('Lease Cycles'!$CI$29:$CO$29,1,DY367))^INT(INT(DY368/12)/INDEX('Lease Cycles'!$CP$29:$CV$29,1,DY367))/12)))),'Lease Cycles'!$C$29*INDEX('Lease Cycles'!$CB$29:$CH$29,1,DY367)*(1+INDEX('Lease Cycles'!$CI$29:$CO$29,1,DY367))^INT(INT(DY368/12)/INDEX('Lease Cycles'!$CP$29:$CV$29,1,DY367))/12),IF(INDEX('Lease Cycles'!$EF$29:$EL$29,1,DY367)=1,IF(AND('Lease Cycles'!$AZ$29&gt;=INDEX('Lease Cycles'!$BG$29:$BM$29,1,DY367),'Lease Cycles'!$AZ$29&lt;=DY$6),'Lease Cycles'!$C$29*'Lease Cycles'!$BA$29/12,IF(AND('Lease Cycles'!$AX$29&gt;=INDEX('Lease Cycles'!$BG$29:$BM$29,1,DY367),'Lease Cycles'!$AX$29&lt;=DY$6),'Lease Cycles'!$C$29*'Lease Cycles'!$AY$29/12,IF(AND('Lease Cycles'!$AV$29&gt;=INDEX('Lease Cycles'!$BG$29:$BM$29,1,DY367),'Lease Cycles'!$AV$29&lt;=DY$6),'Lease Cycles'!$C$29*'Lease Cycles'!$AW$29/12,IF(AND('Lease Cycles'!$AT$29&gt;=INDEX('Lease Cycles'!$BG$29:$BM$29,1,DY367),'Lease Cycles'!$AT$29&lt;=DY$6),'Lease Cycles'!$C$29*'Lease Cycles'!$AU$29/12,'Lease Cycles'!$C$29*INDEX('Lease Cycles'!$CB$29:$CH$29,1,DY367)*(1+INDEX('Lease Cycles'!$CI$29:$CO$29,1,DY367))^INT(INT(DY368/12)/INDEX('Lease Cycles'!$CP$29:$CV$29,1,DY367))/12)))),'Lease Cycles'!$C$29*INDEX('Lease Cycles'!$CB$29:$CH$29,1,DY367)*(1+INDEX('Lease Cycles'!$CI$29:$CO$29,1,DY367))^INT(INT(DY368/12)/INDEX('Lease Cycles'!$CP$29:$CV$29,1,DY367))/12))),IF('Lease Cycles'!$N$29=1,'Lease Cycles'!$C$29*'Lease Cycles'!$E$29*INDEX('Lease Cycles'!$HE$29:$HK$29,1,DY367)*(1+INDEX('Lease Cycles'!$GQ$29:$GW$29,1,DY367))^INT(INT((DY$6-INDEX('Lease Cycles'!$GJ$29:$GP$29,1,DY367))/12)/INDEX('Lease Cycles'!$GX$29:$HD$29,1,DY367))/12,0)))</f>
        <v>0</v>
      </c>
      <c r="DZ370" s="28">
        <f>IF(DZ367=0,IF('Lease Cycles'!$F$29&gt;0,'Lease Cycles'!$C$29*'Lease Cycles'!$E$29/12,0),IF(DZ369=1,IF('Lease Cycles'!$AT$29&gt;=9999,'Lease Cycles'!$C$29*INDEX('Lease Cycles'!$CB$29:$CH$29,1,DZ367)*(1+INDEX('Lease Cycles'!$CI$29:$CO$29,1,DZ367))^INT(INT(DZ368/12)/INDEX('Lease Cycles'!$CP$29:$CV$29,1,DZ367))/12,IF(DZ367=1,IF(DZ368&gt;=INDEX('Lease Cycles'!$DK$29:$DQ$29,1,DZ367),IF(DZ$6&gt;='Lease Cycles'!$AZ$29,'Lease Cycles'!$C$29*'Lease Cycles'!$BA$29/12,IF(DZ$6&gt;='Lease Cycles'!$AX$29,'Lease Cycles'!$C$29*'Lease Cycles'!$AY$29/12,IF(DZ$6&gt;='Lease Cycles'!$AV$29,'Lease Cycles'!$C$29*'Lease Cycles'!$AW$29/12,IF(DZ$6&gt;='Lease Cycles'!$AT$29,'Lease Cycles'!$C$29*'Lease Cycles'!$AU$29/12,'Lease Cycles'!$C$29*INDEX('Lease Cycles'!$CB$29:$CH$29,1,DZ367)*(1+INDEX('Lease Cycles'!$CI$29:$CO$29,1,DZ367))^INT(INT(DZ368/12)/INDEX('Lease Cycles'!$CP$29:$CV$29,1,DZ367))/12)))),'Lease Cycles'!$C$29*INDEX('Lease Cycles'!$CB$29:$CH$29,1,DZ367)*(1+INDEX('Lease Cycles'!$CI$29:$CO$29,1,DZ367))^INT(INT(DZ368/12)/INDEX('Lease Cycles'!$CP$29:$CV$29,1,DZ367))/12),IF(INDEX('Lease Cycles'!$EF$29:$EL$29,1,DZ367)=1,IF(AND('Lease Cycles'!$AZ$29&gt;=INDEX('Lease Cycles'!$BG$29:$BM$29,1,DZ367),'Lease Cycles'!$AZ$29&lt;=DZ$6),'Lease Cycles'!$C$29*'Lease Cycles'!$BA$29/12,IF(AND('Lease Cycles'!$AX$29&gt;=INDEX('Lease Cycles'!$BG$29:$BM$29,1,DZ367),'Lease Cycles'!$AX$29&lt;=DZ$6),'Lease Cycles'!$C$29*'Lease Cycles'!$AY$29/12,IF(AND('Lease Cycles'!$AV$29&gt;=INDEX('Lease Cycles'!$BG$29:$BM$29,1,DZ367),'Lease Cycles'!$AV$29&lt;=DZ$6),'Lease Cycles'!$C$29*'Lease Cycles'!$AW$29/12,IF(AND('Lease Cycles'!$AT$29&gt;=INDEX('Lease Cycles'!$BG$29:$BM$29,1,DZ367),'Lease Cycles'!$AT$29&lt;=DZ$6),'Lease Cycles'!$C$29*'Lease Cycles'!$AU$29/12,'Lease Cycles'!$C$29*INDEX('Lease Cycles'!$CB$29:$CH$29,1,DZ367)*(1+INDEX('Lease Cycles'!$CI$29:$CO$29,1,DZ367))^INT(INT(DZ368/12)/INDEX('Lease Cycles'!$CP$29:$CV$29,1,DZ367))/12)))),'Lease Cycles'!$C$29*INDEX('Lease Cycles'!$CB$29:$CH$29,1,DZ367)*(1+INDEX('Lease Cycles'!$CI$29:$CO$29,1,DZ367))^INT(INT(DZ368/12)/INDEX('Lease Cycles'!$CP$29:$CV$29,1,DZ367))/12))),IF('Lease Cycles'!$N$29=1,'Lease Cycles'!$C$29*'Lease Cycles'!$E$29*INDEX('Lease Cycles'!$HE$29:$HK$29,1,DZ367)*(1+INDEX('Lease Cycles'!$GQ$29:$GW$29,1,DZ367))^INT(INT((DZ$6-INDEX('Lease Cycles'!$GJ$29:$GP$29,1,DZ367))/12)/INDEX('Lease Cycles'!$GX$29:$HD$29,1,DZ367))/12,0)))</f>
        <v>0</v>
      </c>
      <c r="EA370" s="28">
        <f>IF(EA367=0,IF('Lease Cycles'!$F$29&gt;0,'Lease Cycles'!$C$29*'Lease Cycles'!$E$29/12,0),IF(EA369=1,IF('Lease Cycles'!$AT$29&gt;=9999,'Lease Cycles'!$C$29*INDEX('Lease Cycles'!$CB$29:$CH$29,1,EA367)*(1+INDEX('Lease Cycles'!$CI$29:$CO$29,1,EA367))^INT(INT(EA368/12)/INDEX('Lease Cycles'!$CP$29:$CV$29,1,EA367))/12,IF(EA367=1,IF(EA368&gt;=INDEX('Lease Cycles'!$DK$29:$DQ$29,1,EA367),IF(EA$6&gt;='Lease Cycles'!$AZ$29,'Lease Cycles'!$C$29*'Lease Cycles'!$BA$29/12,IF(EA$6&gt;='Lease Cycles'!$AX$29,'Lease Cycles'!$C$29*'Lease Cycles'!$AY$29/12,IF(EA$6&gt;='Lease Cycles'!$AV$29,'Lease Cycles'!$C$29*'Lease Cycles'!$AW$29/12,IF(EA$6&gt;='Lease Cycles'!$AT$29,'Lease Cycles'!$C$29*'Lease Cycles'!$AU$29/12,'Lease Cycles'!$C$29*INDEX('Lease Cycles'!$CB$29:$CH$29,1,EA367)*(1+INDEX('Lease Cycles'!$CI$29:$CO$29,1,EA367))^INT(INT(EA368/12)/INDEX('Lease Cycles'!$CP$29:$CV$29,1,EA367))/12)))),'Lease Cycles'!$C$29*INDEX('Lease Cycles'!$CB$29:$CH$29,1,EA367)*(1+INDEX('Lease Cycles'!$CI$29:$CO$29,1,EA367))^INT(INT(EA368/12)/INDEX('Lease Cycles'!$CP$29:$CV$29,1,EA367))/12),IF(INDEX('Lease Cycles'!$EF$29:$EL$29,1,EA367)=1,IF(AND('Lease Cycles'!$AZ$29&gt;=INDEX('Lease Cycles'!$BG$29:$BM$29,1,EA367),'Lease Cycles'!$AZ$29&lt;=EA$6),'Lease Cycles'!$C$29*'Lease Cycles'!$BA$29/12,IF(AND('Lease Cycles'!$AX$29&gt;=INDEX('Lease Cycles'!$BG$29:$BM$29,1,EA367),'Lease Cycles'!$AX$29&lt;=EA$6),'Lease Cycles'!$C$29*'Lease Cycles'!$AY$29/12,IF(AND('Lease Cycles'!$AV$29&gt;=INDEX('Lease Cycles'!$BG$29:$BM$29,1,EA367),'Lease Cycles'!$AV$29&lt;=EA$6),'Lease Cycles'!$C$29*'Lease Cycles'!$AW$29/12,IF(AND('Lease Cycles'!$AT$29&gt;=INDEX('Lease Cycles'!$BG$29:$BM$29,1,EA367),'Lease Cycles'!$AT$29&lt;=EA$6),'Lease Cycles'!$C$29*'Lease Cycles'!$AU$29/12,'Lease Cycles'!$C$29*INDEX('Lease Cycles'!$CB$29:$CH$29,1,EA367)*(1+INDEX('Lease Cycles'!$CI$29:$CO$29,1,EA367))^INT(INT(EA368/12)/INDEX('Lease Cycles'!$CP$29:$CV$29,1,EA367))/12)))),'Lease Cycles'!$C$29*INDEX('Lease Cycles'!$CB$29:$CH$29,1,EA367)*(1+INDEX('Lease Cycles'!$CI$29:$CO$29,1,EA367))^INT(INT(EA368/12)/INDEX('Lease Cycles'!$CP$29:$CV$29,1,EA367))/12))),IF('Lease Cycles'!$N$29=1,'Lease Cycles'!$C$29*'Lease Cycles'!$E$29*INDEX('Lease Cycles'!$HE$29:$HK$29,1,EA367)*(1+INDEX('Lease Cycles'!$GQ$29:$GW$29,1,EA367))^INT(INT((EA$6-INDEX('Lease Cycles'!$GJ$29:$GP$29,1,EA367))/12)/INDEX('Lease Cycles'!$GX$29:$HD$29,1,EA367))/12,0)))</f>
        <v>0</v>
      </c>
      <c r="EB370" s="28">
        <f>IF(EB367=0,IF('Lease Cycles'!$F$29&gt;0,'Lease Cycles'!$C$29*'Lease Cycles'!$E$29/12,0),IF(EB369=1,IF('Lease Cycles'!$AT$29&gt;=9999,'Lease Cycles'!$C$29*INDEX('Lease Cycles'!$CB$29:$CH$29,1,EB367)*(1+INDEX('Lease Cycles'!$CI$29:$CO$29,1,EB367))^INT(INT(EB368/12)/INDEX('Lease Cycles'!$CP$29:$CV$29,1,EB367))/12,IF(EB367=1,IF(EB368&gt;=INDEX('Lease Cycles'!$DK$29:$DQ$29,1,EB367),IF(EB$6&gt;='Lease Cycles'!$AZ$29,'Lease Cycles'!$C$29*'Lease Cycles'!$BA$29/12,IF(EB$6&gt;='Lease Cycles'!$AX$29,'Lease Cycles'!$C$29*'Lease Cycles'!$AY$29/12,IF(EB$6&gt;='Lease Cycles'!$AV$29,'Lease Cycles'!$C$29*'Lease Cycles'!$AW$29/12,IF(EB$6&gt;='Lease Cycles'!$AT$29,'Lease Cycles'!$C$29*'Lease Cycles'!$AU$29/12,'Lease Cycles'!$C$29*INDEX('Lease Cycles'!$CB$29:$CH$29,1,EB367)*(1+INDEX('Lease Cycles'!$CI$29:$CO$29,1,EB367))^INT(INT(EB368/12)/INDEX('Lease Cycles'!$CP$29:$CV$29,1,EB367))/12)))),'Lease Cycles'!$C$29*INDEX('Lease Cycles'!$CB$29:$CH$29,1,EB367)*(1+INDEX('Lease Cycles'!$CI$29:$CO$29,1,EB367))^INT(INT(EB368/12)/INDEX('Lease Cycles'!$CP$29:$CV$29,1,EB367))/12),IF(INDEX('Lease Cycles'!$EF$29:$EL$29,1,EB367)=1,IF(AND('Lease Cycles'!$AZ$29&gt;=INDEX('Lease Cycles'!$BG$29:$BM$29,1,EB367),'Lease Cycles'!$AZ$29&lt;=EB$6),'Lease Cycles'!$C$29*'Lease Cycles'!$BA$29/12,IF(AND('Lease Cycles'!$AX$29&gt;=INDEX('Lease Cycles'!$BG$29:$BM$29,1,EB367),'Lease Cycles'!$AX$29&lt;=EB$6),'Lease Cycles'!$C$29*'Lease Cycles'!$AY$29/12,IF(AND('Lease Cycles'!$AV$29&gt;=INDEX('Lease Cycles'!$BG$29:$BM$29,1,EB367),'Lease Cycles'!$AV$29&lt;=EB$6),'Lease Cycles'!$C$29*'Lease Cycles'!$AW$29/12,IF(AND('Lease Cycles'!$AT$29&gt;=INDEX('Lease Cycles'!$BG$29:$BM$29,1,EB367),'Lease Cycles'!$AT$29&lt;=EB$6),'Lease Cycles'!$C$29*'Lease Cycles'!$AU$29/12,'Lease Cycles'!$C$29*INDEX('Lease Cycles'!$CB$29:$CH$29,1,EB367)*(1+INDEX('Lease Cycles'!$CI$29:$CO$29,1,EB367))^INT(INT(EB368/12)/INDEX('Lease Cycles'!$CP$29:$CV$29,1,EB367))/12)))),'Lease Cycles'!$C$29*INDEX('Lease Cycles'!$CB$29:$CH$29,1,EB367)*(1+INDEX('Lease Cycles'!$CI$29:$CO$29,1,EB367))^INT(INT(EB368/12)/INDEX('Lease Cycles'!$CP$29:$CV$29,1,EB367))/12))),IF('Lease Cycles'!$N$29=1,'Lease Cycles'!$C$29*'Lease Cycles'!$E$29*INDEX('Lease Cycles'!$HE$29:$HK$29,1,EB367)*(1+INDEX('Lease Cycles'!$GQ$29:$GW$29,1,EB367))^INT(INT((EB$6-INDEX('Lease Cycles'!$GJ$29:$GP$29,1,EB367))/12)/INDEX('Lease Cycles'!$GX$29:$HD$29,1,EB367))/12,0)))</f>
        <v>0</v>
      </c>
      <c r="EC370" s="28">
        <f>IF(EC367=0,IF('Lease Cycles'!$F$29&gt;0,'Lease Cycles'!$C$29*'Lease Cycles'!$E$29/12,0),IF(EC369=1,IF('Lease Cycles'!$AT$29&gt;=9999,'Lease Cycles'!$C$29*INDEX('Lease Cycles'!$CB$29:$CH$29,1,EC367)*(1+INDEX('Lease Cycles'!$CI$29:$CO$29,1,EC367))^INT(INT(EC368/12)/INDEX('Lease Cycles'!$CP$29:$CV$29,1,EC367))/12,IF(EC367=1,IF(EC368&gt;=INDEX('Lease Cycles'!$DK$29:$DQ$29,1,EC367),IF(EC$6&gt;='Lease Cycles'!$AZ$29,'Lease Cycles'!$C$29*'Lease Cycles'!$BA$29/12,IF(EC$6&gt;='Lease Cycles'!$AX$29,'Lease Cycles'!$C$29*'Lease Cycles'!$AY$29/12,IF(EC$6&gt;='Lease Cycles'!$AV$29,'Lease Cycles'!$C$29*'Lease Cycles'!$AW$29/12,IF(EC$6&gt;='Lease Cycles'!$AT$29,'Lease Cycles'!$C$29*'Lease Cycles'!$AU$29/12,'Lease Cycles'!$C$29*INDEX('Lease Cycles'!$CB$29:$CH$29,1,EC367)*(1+INDEX('Lease Cycles'!$CI$29:$CO$29,1,EC367))^INT(INT(EC368/12)/INDEX('Lease Cycles'!$CP$29:$CV$29,1,EC367))/12)))),'Lease Cycles'!$C$29*INDEX('Lease Cycles'!$CB$29:$CH$29,1,EC367)*(1+INDEX('Lease Cycles'!$CI$29:$CO$29,1,EC367))^INT(INT(EC368/12)/INDEX('Lease Cycles'!$CP$29:$CV$29,1,EC367))/12),IF(INDEX('Lease Cycles'!$EF$29:$EL$29,1,EC367)=1,IF(AND('Lease Cycles'!$AZ$29&gt;=INDEX('Lease Cycles'!$BG$29:$BM$29,1,EC367),'Lease Cycles'!$AZ$29&lt;=EC$6),'Lease Cycles'!$C$29*'Lease Cycles'!$BA$29/12,IF(AND('Lease Cycles'!$AX$29&gt;=INDEX('Lease Cycles'!$BG$29:$BM$29,1,EC367),'Lease Cycles'!$AX$29&lt;=EC$6),'Lease Cycles'!$C$29*'Lease Cycles'!$AY$29/12,IF(AND('Lease Cycles'!$AV$29&gt;=INDEX('Lease Cycles'!$BG$29:$BM$29,1,EC367),'Lease Cycles'!$AV$29&lt;=EC$6),'Lease Cycles'!$C$29*'Lease Cycles'!$AW$29/12,IF(AND('Lease Cycles'!$AT$29&gt;=INDEX('Lease Cycles'!$BG$29:$BM$29,1,EC367),'Lease Cycles'!$AT$29&lt;=EC$6),'Lease Cycles'!$C$29*'Lease Cycles'!$AU$29/12,'Lease Cycles'!$C$29*INDEX('Lease Cycles'!$CB$29:$CH$29,1,EC367)*(1+INDEX('Lease Cycles'!$CI$29:$CO$29,1,EC367))^INT(INT(EC368/12)/INDEX('Lease Cycles'!$CP$29:$CV$29,1,EC367))/12)))),'Lease Cycles'!$C$29*INDEX('Lease Cycles'!$CB$29:$CH$29,1,EC367)*(1+INDEX('Lease Cycles'!$CI$29:$CO$29,1,EC367))^INT(INT(EC368/12)/INDEX('Lease Cycles'!$CP$29:$CV$29,1,EC367))/12))),IF('Lease Cycles'!$N$29=1,'Lease Cycles'!$C$29*'Lease Cycles'!$E$29*INDEX('Lease Cycles'!$HE$29:$HK$29,1,EC367)*(1+INDEX('Lease Cycles'!$GQ$29:$GW$29,1,EC367))^INT(INT((EC$6-INDEX('Lease Cycles'!$GJ$29:$GP$29,1,EC367))/12)/INDEX('Lease Cycles'!$GX$29:$HD$29,1,EC367))/12,0)))</f>
        <v>0</v>
      </c>
      <c r="ED370" s="28">
        <f>IF(ED367=0,IF('Lease Cycles'!$F$29&gt;0,'Lease Cycles'!$C$29*'Lease Cycles'!$E$29/12,0),IF(ED369=1,IF('Lease Cycles'!$AT$29&gt;=9999,'Lease Cycles'!$C$29*INDEX('Lease Cycles'!$CB$29:$CH$29,1,ED367)*(1+INDEX('Lease Cycles'!$CI$29:$CO$29,1,ED367))^INT(INT(ED368/12)/INDEX('Lease Cycles'!$CP$29:$CV$29,1,ED367))/12,IF(ED367=1,IF(ED368&gt;=INDEX('Lease Cycles'!$DK$29:$DQ$29,1,ED367),IF(ED$6&gt;='Lease Cycles'!$AZ$29,'Lease Cycles'!$C$29*'Lease Cycles'!$BA$29/12,IF(ED$6&gt;='Lease Cycles'!$AX$29,'Lease Cycles'!$C$29*'Lease Cycles'!$AY$29/12,IF(ED$6&gt;='Lease Cycles'!$AV$29,'Lease Cycles'!$C$29*'Lease Cycles'!$AW$29/12,IF(ED$6&gt;='Lease Cycles'!$AT$29,'Lease Cycles'!$C$29*'Lease Cycles'!$AU$29/12,'Lease Cycles'!$C$29*INDEX('Lease Cycles'!$CB$29:$CH$29,1,ED367)*(1+INDEX('Lease Cycles'!$CI$29:$CO$29,1,ED367))^INT(INT(ED368/12)/INDEX('Lease Cycles'!$CP$29:$CV$29,1,ED367))/12)))),'Lease Cycles'!$C$29*INDEX('Lease Cycles'!$CB$29:$CH$29,1,ED367)*(1+INDEX('Lease Cycles'!$CI$29:$CO$29,1,ED367))^INT(INT(ED368/12)/INDEX('Lease Cycles'!$CP$29:$CV$29,1,ED367))/12),IF(INDEX('Lease Cycles'!$EF$29:$EL$29,1,ED367)=1,IF(AND('Lease Cycles'!$AZ$29&gt;=INDEX('Lease Cycles'!$BG$29:$BM$29,1,ED367),'Lease Cycles'!$AZ$29&lt;=ED$6),'Lease Cycles'!$C$29*'Lease Cycles'!$BA$29/12,IF(AND('Lease Cycles'!$AX$29&gt;=INDEX('Lease Cycles'!$BG$29:$BM$29,1,ED367),'Lease Cycles'!$AX$29&lt;=ED$6),'Lease Cycles'!$C$29*'Lease Cycles'!$AY$29/12,IF(AND('Lease Cycles'!$AV$29&gt;=INDEX('Lease Cycles'!$BG$29:$BM$29,1,ED367),'Lease Cycles'!$AV$29&lt;=ED$6),'Lease Cycles'!$C$29*'Lease Cycles'!$AW$29/12,IF(AND('Lease Cycles'!$AT$29&gt;=INDEX('Lease Cycles'!$BG$29:$BM$29,1,ED367),'Lease Cycles'!$AT$29&lt;=ED$6),'Lease Cycles'!$C$29*'Lease Cycles'!$AU$29/12,'Lease Cycles'!$C$29*INDEX('Lease Cycles'!$CB$29:$CH$29,1,ED367)*(1+INDEX('Lease Cycles'!$CI$29:$CO$29,1,ED367))^INT(INT(ED368/12)/INDEX('Lease Cycles'!$CP$29:$CV$29,1,ED367))/12)))),'Lease Cycles'!$C$29*INDEX('Lease Cycles'!$CB$29:$CH$29,1,ED367)*(1+INDEX('Lease Cycles'!$CI$29:$CO$29,1,ED367))^INT(INT(ED368/12)/INDEX('Lease Cycles'!$CP$29:$CV$29,1,ED367))/12))),IF('Lease Cycles'!$N$29=1,'Lease Cycles'!$C$29*'Lease Cycles'!$E$29*INDEX('Lease Cycles'!$HE$29:$HK$29,1,ED367)*(1+INDEX('Lease Cycles'!$GQ$29:$GW$29,1,ED367))^INT(INT((ED$6-INDEX('Lease Cycles'!$GJ$29:$GP$29,1,ED367))/12)/INDEX('Lease Cycles'!$GX$29:$HD$29,1,ED367))/12,0)))</f>
        <v>0</v>
      </c>
      <c r="EE370" s="28">
        <f>IF(EE367=0,IF('Lease Cycles'!$F$29&gt;0,'Lease Cycles'!$C$29*'Lease Cycles'!$E$29/12,0),IF(EE369=1,IF('Lease Cycles'!$AT$29&gt;=9999,'Lease Cycles'!$C$29*INDEX('Lease Cycles'!$CB$29:$CH$29,1,EE367)*(1+INDEX('Lease Cycles'!$CI$29:$CO$29,1,EE367))^INT(INT(EE368/12)/INDEX('Lease Cycles'!$CP$29:$CV$29,1,EE367))/12,IF(EE367=1,IF(EE368&gt;=INDEX('Lease Cycles'!$DK$29:$DQ$29,1,EE367),IF(EE$6&gt;='Lease Cycles'!$AZ$29,'Lease Cycles'!$C$29*'Lease Cycles'!$BA$29/12,IF(EE$6&gt;='Lease Cycles'!$AX$29,'Lease Cycles'!$C$29*'Lease Cycles'!$AY$29/12,IF(EE$6&gt;='Lease Cycles'!$AV$29,'Lease Cycles'!$C$29*'Lease Cycles'!$AW$29/12,IF(EE$6&gt;='Lease Cycles'!$AT$29,'Lease Cycles'!$C$29*'Lease Cycles'!$AU$29/12,'Lease Cycles'!$C$29*INDEX('Lease Cycles'!$CB$29:$CH$29,1,EE367)*(1+INDEX('Lease Cycles'!$CI$29:$CO$29,1,EE367))^INT(INT(EE368/12)/INDEX('Lease Cycles'!$CP$29:$CV$29,1,EE367))/12)))),'Lease Cycles'!$C$29*INDEX('Lease Cycles'!$CB$29:$CH$29,1,EE367)*(1+INDEX('Lease Cycles'!$CI$29:$CO$29,1,EE367))^INT(INT(EE368/12)/INDEX('Lease Cycles'!$CP$29:$CV$29,1,EE367))/12),IF(INDEX('Lease Cycles'!$EF$29:$EL$29,1,EE367)=1,IF(AND('Lease Cycles'!$AZ$29&gt;=INDEX('Lease Cycles'!$BG$29:$BM$29,1,EE367),'Lease Cycles'!$AZ$29&lt;=EE$6),'Lease Cycles'!$C$29*'Lease Cycles'!$BA$29/12,IF(AND('Lease Cycles'!$AX$29&gt;=INDEX('Lease Cycles'!$BG$29:$BM$29,1,EE367),'Lease Cycles'!$AX$29&lt;=EE$6),'Lease Cycles'!$C$29*'Lease Cycles'!$AY$29/12,IF(AND('Lease Cycles'!$AV$29&gt;=INDEX('Lease Cycles'!$BG$29:$BM$29,1,EE367),'Lease Cycles'!$AV$29&lt;=EE$6),'Lease Cycles'!$C$29*'Lease Cycles'!$AW$29/12,IF(AND('Lease Cycles'!$AT$29&gt;=INDEX('Lease Cycles'!$BG$29:$BM$29,1,EE367),'Lease Cycles'!$AT$29&lt;=EE$6),'Lease Cycles'!$C$29*'Lease Cycles'!$AU$29/12,'Lease Cycles'!$C$29*INDEX('Lease Cycles'!$CB$29:$CH$29,1,EE367)*(1+INDEX('Lease Cycles'!$CI$29:$CO$29,1,EE367))^INT(INT(EE368/12)/INDEX('Lease Cycles'!$CP$29:$CV$29,1,EE367))/12)))),'Lease Cycles'!$C$29*INDEX('Lease Cycles'!$CB$29:$CH$29,1,EE367)*(1+INDEX('Lease Cycles'!$CI$29:$CO$29,1,EE367))^INT(INT(EE368/12)/INDEX('Lease Cycles'!$CP$29:$CV$29,1,EE367))/12))),IF('Lease Cycles'!$N$29=1,'Lease Cycles'!$C$29*'Lease Cycles'!$E$29*INDEX('Lease Cycles'!$HE$29:$HK$29,1,EE367)*(1+INDEX('Lease Cycles'!$GQ$29:$GW$29,1,EE367))^INT(INT((EE$6-INDEX('Lease Cycles'!$GJ$29:$GP$29,1,EE367))/12)/INDEX('Lease Cycles'!$GX$29:$HD$29,1,EE367))/12,0)))</f>
        <v>0</v>
      </c>
      <c r="EF370" s="28">
        <f>IF(EF367=0,IF('Lease Cycles'!$F$29&gt;0,'Lease Cycles'!$C$29*'Lease Cycles'!$E$29/12,0),IF(EF369=1,IF('Lease Cycles'!$AT$29&gt;=9999,'Lease Cycles'!$C$29*INDEX('Lease Cycles'!$CB$29:$CH$29,1,EF367)*(1+INDEX('Lease Cycles'!$CI$29:$CO$29,1,EF367))^INT(INT(EF368/12)/INDEX('Lease Cycles'!$CP$29:$CV$29,1,EF367))/12,IF(EF367=1,IF(EF368&gt;=INDEX('Lease Cycles'!$DK$29:$DQ$29,1,EF367),IF(EF$6&gt;='Lease Cycles'!$AZ$29,'Lease Cycles'!$C$29*'Lease Cycles'!$BA$29/12,IF(EF$6&gt;='Lease Cycles'!$AX$29,'Lease Cycles'!$C$29*'Lease Cycles'!$AY$29/12,IF(EF$6&gt;='Lease Cycles'!$AV$29,'Lease Cycles'!$C$29*'Lease Cycles'!$AW$29/12,IF(EF$6&gt;='Lease Cycles'!$AT$29,'Lease Cycles'!$C$29*'Lease Cycles'!$AU$29/12,'Lease Cycles'!$C$29*INDEX('Lease Cycles'!$CB$29:$CH$29,1,EF367)*(1+INDEX('Lease Cycles'!$CI$29:$CO$29,1,EF367))^INT(INT(EF368/12)/INDEX('Lease Cycles'!$CP$29:$CV$29,1,EF367))/12)))),'Lease Cycles'!$C$29*INDEX('Lease Cycles'!$CB$29:$CH$29,1,EF367)*(1+INDEX('Lease Cycles'!$CI$29:$CO$29,1,EF367))^INT(INT(EF368/12)/INDEX('Lease Cycles'!$CP$29:$CV$29,1,EF367))/12),IF(INDEX('Lease Cycles'!$EF$29:$EL$29,1,EF367)=1,IF(AND('Lease Cycles'!$AZ$29&gt;=INDEX('Lease Cycles'!$BG$29:$BM$29,1,EF367),'Lease Cycles'!$AZ$29&lt;=EF$6),'Lease Cycles'!$C$29*'Lease Cycles'!$BA$29/12,IF(AND('Lease Cycles'!$AX$29&gt;=INDEX('Lease Cycles'!$BG$29:$BM$29,1,EF367),'Lease Cycles'!$AX$29&lt;=EF$6),'Lease Cycles'!$C$29*'Lease Cycles'!$AY$29/12,IF(AND('Lease Cycles'!$AV$29&gt;=INDEX('Lease Cycles'!$BG$29:$BM$29,1,EF367),'Lease Cycles'!$AV$29&lt;=EF$6),'Lease Cycles'!$C$29*'Lease Cycles'!$AW$29/12,IF(AND('Lease Cycles'!$AT$29&gt;=INDEX('Lease Cycles'!$BG$29:$BM$29,1,EF367),'Lease Cycles'!$AT$29&lt;=EF$6),'Lease Cycles'!$C$29*'Lease Cycles'!$AU$29/12,'Lease Cycles'!$C$29*INDEX('Lease Cycles'!$CB$29:$CH$29,1,EF367)*(1+INDEX('Lease Cycles'!$CI$29:$CO$29,1,EF367))^INT(INT(EF368/12)/INDEX('Lease Cycles'!$CP$29:$CV$29,1,EF367))/12)))),'Lease Cycles'!$C$29*INDEX('Lease Cycles'!$CB$29:$CH$29,1,EF367)*(1+INDEX('Lease Cycles'!$CI$29:$CO$29,1,EF367))^INT(INT(EF368/12)/INDEX('Lease Cycles'!$CP$29:$CV$29,1,EF367))/12))),IF('Lease Cycles'!$N$29=1,'Lease Cycles'!$C$29*'Lease Cycles'!$E$29*INDEX('Lease Cycles'!$HE$29:$HK$29,1,EF367)*(1+INDEX('Lease Cycles'!$GQ$29:$GW$29,1,EF367))^INT(INT((EF$6-INDEX('Lease Cycles'!$GJ$29:$GP$29,1,EF367))/12)/INDEX('Lease Cycles'!$GX$29:$HD$29,1,EF367))/12,0)))</f>
        <v>0</v>
      </c>
      <c r="EG370" s="28">
        <f>IF(EG367=0,IF('Lease Cycles'!$F$29&gt;0,'Lease Cycles'!$C$29*'Lease Cycles'!$E$29/12,0),IF(EG369=1,IF('Lease Cycles'!$AT$29&gt;=9999,'Lease Cycles'!$C$29*INDEX('Lease Cycles'!$CB$29:$CH$29,1,EG367)*(1+INDEX('Lease Cycles'!$CI$29:$CO$29,1,EG367))^INT(INT(EG368/12)/INDEX('Lease Cycles'!$CP$29:$CV$29,1,EG367))/12,IF(EG367=1,IF(EG368&gt;=INDEX('Lease Cycles'!$DK$29:$DQ$29,1,EG367),IF(EG$6&gt;='Lease Cycles'!$AZ$29,'Lease Cycles'!$C$29*'Lease Cycles'!$BA$29/12,IF(EG$6&gt;='Lease Cycles'!$AX$29,'Lease Cycles'!$C$29*'Lease Cycles'!$AY$29/12,IF(EG$6&gt;='Lease Cycles'!$AV$29,'Lease Cycles'!$C$29*'Lease Cycles'!$AW$29/12,IF(EG$6&gt;='Lease Cycles'!$AT$29,'Lease Cycles'!$C$29*'Lease Cycles'!$AU$29/12,'Lease Cycles'!$C$29*INDEX('Lease Cycles'!$CB$29:$CH$29,1,EG367)*(1+INDEX('Lease Cycles'!$CI$29:$CO$29,1,EG367))^INT(INT(EG368/12)/INDEX('Lease Cycles'!$CP$29:$CV$29,1,EG367))/12)))),'Lease Cycles'!$C$29*INDEX('Lease Cycles'!$CB$29:$CH$29,1,EG367)*(1+INDEX('Lease Cycles'!$CI$29:$CO$29,1,EG367))^INT(INT(EG368/12)/INDEX('Lease Cycles'!$CP$29:$CV$29,1,EG367))/12),IF(INDEX('Lease Cycles'!$EF$29:$EL$29,1,EG367)=1,IF(AND('Lease Cycles'!$AZ$29&gt;=INDEX('Lease Cycles'!$BG$29:$BM$29,1,EG367),'Lease Cycles'!$AZ$29&lt;=EG$6),'Lease Cycles'!$C$29*'Lease Cycles'!$BA$29/12,IF(AND('Lease Cycles'!$AX$29&gt;=INDEX('Lease Cycles'!$BG$29:$BM$29,1,EG367),'Lease Cycles'!$AX$29&lt;=EG$6),'Lease Cycles'!$C$29*'Lease Cycles'!$AY$29/12,IF(AND('Lease Cycles'!$AV$29&gt;=INDEX('Lease Cycles'!$BG$29:$BM$29,1,EG367),'Lease Cycles'!$AV$29&lt;=EG$6),'Lease Cycles'!$C$29*'Lease Cycles'!$AW$29/12,IF(AND('Lease Cycles'!$AT$29&gt;=INDEX('Lease Cycles'!$BG$29:$BM$29,1,EG367),'Lease Cycles'!$AT$29&lt;=EG$6),'Lease Cycles'!$C$29*'Lease Cycles'!$AU$29/12,'Lease Cycles'!$C$29*INDEX('Lease Cycles'!$CB$29:$CH$29,1,EG367)*(1+INDEX('Lease Cycles'!$CI$29:$CO$29,1,EG367))^INT(INT(EG368/12)/INDEX('Lease Cycles'!$CP$29:$CV$29,1,EG367))/12)))),'Lease Cycles'!$C$29*INDEX('Lease Cycles'!$CB$29:$CH$29,1,EG367)*(1+INDEX('Lease Cycles'!$CI$29:$CO$29,1,EG367))^INT(INT(EG368/12)/INDEX('Lease Cycles'!$CP$29:$CV$29,1,EG367))/12))),IF('Lease Cycles'!$N$29=1,'Lease Cycles'!$C$29*'Lease Cycles'!$E$29*INDEX('Lease Cycles'!$HE$29:$HK$29,1,EG367)*(1+INDEX('Lease Cycles'!$GQ$29:$GW$29,1,EG367))^INT(INT((EG$6-INDEX('Lease Cycles'!$GJ$29:$GP$29,1,EG367))/12)/INDEX('Lease Cycles'!$GX$29:$HD$29,1,EG367))/12,0)))</f>
        <v>0</v>
      </c>
      <c r="EH370" s="28">
        <f>IF(EH367=0,IF('Lease Cycles'!$F$29&gt;0,'Lease Cycles'!$C$29*'Lease Cycles'!$E$29/12,0),IF(EH369=1,IF('Lease Cycles'!$AT$29&gt;=9999,'Lease Cycles'!$C$29*INDEX('Lease Cycles'!$CB$29:$CH$29,1,EH367)*(1+INDEX('Lease Cycles'!$CI$29:$CO$29,1,EH367))^INT(INT(EH368/12)/INDEX('Lease Cycles'!$CP$29:$CV$29,1,EH367))/12,IF(EH367=1,IF(EH368&gt;=INDEX('Lease Cycles'!$DK$29:$DQ$29,1,EH367),IF(EH$6&gt;='Lease Cycles'!$AZ$29,'Lease Cycles'!$C$29*'Lease Cycles'!$BA$29/12,IF(EH$6&gt;='Lease Cycles'!$AX$29,'Lease Cycles'!$C$29*'Lease Cycles'!$AY$29/12,IF(EH$6&gt;='Lease Cycles'!$AV$29,'Lease Cycles'!$C$29*'Lease Cycles'!$AW$29/12,IF(EH$6&gt;='Lease Cycles'!$AT$29,'Lease Cycles'!$C$29*'Lease Cycles'!$AU$29/12,'Lease Cycles'!$C$29*INDEX('Lease Cycles'!$CB$29:$CH$29,1,EH367)*(1+INDEX('Lease Cycles'!$CI$29:$CO$29,1,EH367))^INT(INT(EH368/12)/INDEX('Lease Cycles'!$CP$29:$CV$29,1,EH367))/12)))),'Lease Cycles'!$C$29*INDEX('Lease Cycles'!$CB$29:$CH$29,1,EH367)*(1+INDEX('Lease Cycles'!$CI$29:$CO$29,1,EH367))^INT(INT(EH368/12)/INDEX('Lease Cycles'!$CP$29:$CV$29,1,EH367))/12),IF(INDEX('Lease Cycles'!$EF$29:$EL$29,1,EH367)=1,IF(AND('Lease Cycles'!$AZ$29&gt;=INDEX('Lease Cycles'!$BG$29:$BM$29,1,EH367),'Lease Cycles'!$AZ$29&lt;=EH$6),'Lease Cycles'!$C$29*'Lease Cycles'!$BA$29/12,IF(AND('Lease Cycles'!$AX$29&gt;=INDEX('Lease Cycles'!$BG$29:$BM$29,1,EH367),'Lease Cycles'!$AX$29&lt;=EH$6),'Lease Cycles'!$C$29*'Lease Cycles'!$AY$29/12,IF(AND('Lease Cycles'!$AV$29&gt;=INDEX('Lease Cycles'!$BG$29:$BM$29,1,EH367),'Lease Cycles'!$AV$29&lt;=EH$6),'Lease Cycles'!$C$29*'Lease Cycles'!$AW$29/12,IF(AND('Lease Cycles'!$AT$29&gt;=INDEX('Lease Cycles'!$BG$29:$BM$29,1,EH367),'Lease Cycles'!$AT$29&lt;=EH$6),'Lease Cycles'!$C$29*'Lease Cycles'!$AU$29/12,'Lease Cycles'!$C$29*INDEX('Lease Cycles'!$CB$29:$CH$29,1,EH367)*(1+INDEX('Lease Cycles'!$CI$29:$CO$29,1,EH367))^INT(INT(EH368/12)/INDEX('Lease Cycles'!$CP$29:$CV$29,1,EH367))/12)))),'Lease Cycles'!$C$29*INDEX('Lease Cycles'!$CB$29:$CH$29,1,EH367)*(1+INDEX('Lease Cycles'!$CI$29:$CO$29,1,EH367))^INT(INT(EH368/12)/INDEX('Lease Cycles'!$CP$29:$CV$29,1,EH367))/12))),IF('Lease Cycles'!$N$29=1,'Lease Cycles'!$C$29*'Lease Cycles'!$E$29*INDEX('Lease Cycles'!$HE$29:$HK$29,1,EH367)*(1+INDEX('Lease Cycles'!$GQ$29:$GW$29,1,EH367))^INT(INT((EH$6-INDEX('Lease Cycles'!$GJ$29:$GP$29,1,EH367))/12)/INDEX('Lease Cycles'!$GX$29:$HD$29,1,EH367))/12,0)))</f>
        <v>0</v>
      </c>
      <c r="EI370" s="28">
        <f>IF(EI367=0,IF('Lease Cycles'!$F$29&gt;0,'Lease Cycles'!$C$29*'Lease Cycles'!$E$29/12,0),IF(EI369=1,IF('Lease Cycles'!$AT$29&gt;=9999,'Lease Cycles'!$C$29*INDEX('Lease Cycles'!$CB$29:$CH$29,1,EI367)*(1+INDEX('Lease Cycles'!$CI$29:$CO$29,1,EI367))^INT(INT(EI368/12)/INDEX('Lease Cycles'!$CP$29:$CV$29,1,EI367))/12,IF(EI367=1,IF(EI368&gt;=INDEX('Lease Cycles'!$DK$29:$DQ$29,1,EI367),IF(EI$6&gt;='Lease Cycles'!$AZ$29,'Lease Cycles'!$C$29*'Lease Cycles'!$BA$29/12,IF(EI$6&gt;='Lease Cycles'!$AX$29,'Lease Cycles'!$C$29*'Lease Cycles'!$AY$29/12,IF(EI$6&gt;='Lease Cycles'!$AV$29,'Lease Cycles'!$C$29*'Lease Cycles'!$AW$29/12,IF(EI$6&gt;='Lease Cycles'!$AT$29,'Lease Cycles'!$C$29*'Lease Cycles'!$AU$29/12,'Lease Cycles'!$C$29*INDEX('Lease Cycles'!$CB$29:$CH$29,1,EI367)*(1+INDEX('Lease Cycles'!$CI$29:$CO$29,1,EI367))^INT(INT(EI368/12)/INDEX('Lease Cycles'!$CP$29:$CV$29,1,EI367))/12)))),'Lease Cycles'!$C$29*INDEX('Lease Cycles'!$CB$29:$CH$29,1,EI367)*(1+INDEX('Lease Cycles'!$CI$29:$CO$29,1,EI367))^INT(INT(EI368/12)/INDEX('Lease Cycles'!$CP$29:$CV$29,1,EI367))/12),IF(INDEX('Lease Cycles'!$EF$29:$EL$29,1,EI367)=1,IF(AND('Lease Cycles'!$AZ$29&gt;=INDEX('Lease Cycles'!$BG$29:$BM$29,1,EI367),'Lease Cycles'!$AZ$29&lt;=EI$6),'Lease Cycles'!$C$29*'Lease Cycles'!$BA$29/12,IF(AND('Lease Cycles'!$AX$29&gt;=INDEX('Lease Cycles'!$BG$29:$BM$29,1,EI367),'Lease Cycles'!$AX$29&lt;=EI$6),'Lease Cycles'!$C$29*'Lease Cycles'!$AY$29/12,IF(AND('Lease Cycles'!$AV$29&gt;=INDEX('Lease Cycles'!$BG$29:$BM$29,1,EI367),'Lease Cycles'!$AV$29&lt;=EI$6),'Lease Cycles'!$C$29*'Lease Cycles'!$AW$29/12,IF(AND('Lease Cycles'!$AT$29&gt;=INDEX('Lease Cycles'!$BG$29:$BM$29,1,EI367),'Lease Cycles'!$AT$29&lt;=EI$6),'Lease Cycles'!$C$29*'Lease Cycles'!$AU$29/12,'Lease Cycles'!$C$29*INDEX('Lease Cycles'!$CB$29:$CH$29,1,EI367)*(1+INDEX('Lease Cycles'!$CI$29:$CO$29,1,EI367))^INT(INT(EI368/12)/INDEX('Lease Cycles'!$CP$29:$CV$29,1,EI367))/12)))),'Lease Cycles'!$C$29*INDEX('Lease Cycles'!$CB$29:$CH$29,1,EI367)*(1+INDEX('Lease Cycles'!$CI$29:$CO$29,1,EI367))^INT(INT(EI368/12)/INDEX('Lease Cycles'!$CP$29:$CV$29,1,EI367))/12))),IF('Lease Cycles'!$N$29=1,'Lease Cycles'!$C$29*'Lease Cycles'!$E$29*INDEX('Lease Cycles'!$HE$29:$HK$29,1,EI367)*(1+INDEX('Lease Cycles'!$GQ$29:$GW$29,1,EI367))^INT(INT((EI$6-INDEX('Lease Cycles'!$GJ$29:$GP$29,1,EI367))/12)/INDEX('Lease Cycles'!$GX$29:$HD$29,1,EI367))/12,0)))</f>
        <v>0</v>
      </c>
      <c r="EJ370" s="28">
        <f>IF(EJ367=0,IF('Lease Cycles'!$F$29&gt;0,'Lease Cycles'!$C$29*'Lease Cycles'!$E$29/12,0),IF(EJ369=1,IF('Lease Cycles'!$AT$29&gt;=9999,'Lease Cycles'!$C$29*INDEX('Lease Cycles'!$CB$29:$CH$29,1,EJ367)*(1+INDEX('Lease Cycles'!$CI$29:$CO$29,1,EJ367))^INT(INT(EJ368/12)/INDEX('Lease Cycles'!$CP$29:$CV$29,1,EJ367))/12,IF(EJ367=1,IF(EJ368&gt;=INDEX('Lease Cycles'!$DK$29:$DQ$29,1,EJ367),IF(EJ$6&gt;='Lease Cycles'!$AZ$29,'Lease Cycles'!$C$29*'Lease Cycles'!$BA$29/12,IF(EJ$6&gt;='Lease Cycles'!$AX$29,'Lease Cycles'!$C$29*'Lease Cycles'!$AY$29/12,IF(EJ$6&gt;='Lease Cycles'!$AV$29,'Lease Cycles'!$C$29*'Lease Cycles'!$AW$29/12,IF(EJ$6&gt;='Lease Cycles'!$AT$29,'Lease Cycles'!$C$29*'Lease Cycles'!$AU$29/12,'Lease Cycles'!$C$29*INDEX('Lease Cycles'!$CB$29:$CH$29,1,EJ367)*(1+INDEX('Lease Cycles'!$CI$29:$CO$29,1,EJ367))^INT(INT(EJ368/12)/INDEX('Lease Cycles'!$CP$29:$CV$29,1,EJ367))/12)))),'Lease Cycles'!$C$29*INDEX('Lease Cycles'!$CB$29:$CH$29,1,EJ367)*(1+INDEX('Lease Cycles'!$CI$29:$CO$29,1,EJ367))^INT(INT(EJ368/12)/INDEX('Lease Cycles'!$CP$29:$CV$29,1,EJ367))/12),IF(INDEX('Lease Cycles'!$EF$29:$EL$29,1,EJ367)=1,IF(AND('Lease Cycles'!$AZ$29&gt;=INDEX('Lease Cycles'!$BG$29:$BM$29,1,EJ367),'Lease Cycles'!$AZ$29&lt;=EJ$6),'Lease Cycles'!$C$29*'Lease Cycles'!$BA$29/12,IF(AND('Lease Cycles'!$AX$29&gt;=INDEX('Lease Cycles'!$BG$29:$BM$29,1,EJ367),'Lease Cycles'!$AX$29&lt;=EJ$6),'Lease Cycles'!$C$29*'Lease Cycles'!$AY$29/12,IF(AND('Lease Cycles'!$AV$29&gt;=INDEX('Lease Cycles'!$BG$29:$BM$29,1,EJ367),'Lease Cycles'!$AV$29&lt;=EJ$6),'Lease Cycles'!$C$29*'Lease Cycles'!$AW$29/12,IF(AND('Lease Cycles'!$AT$29&gt;=INDEX('Lease Cycles'!$BG$29:$BM$29,1,EJ367),'Lease Cycles'!$AT$29&lt;=EJ$6),'Lease Cycles'!$C$29*'Lease Cycles'!$AU$29/12,'Lease Cycles'!$C$29*INDEX('Lease Cycles'!$CB$29:$CH$29,1,EJ367)*(1+INDEX('Lease Cycles'!$CI$29:$CO$29,1,EJ367))^INT(INT(EJ368/12)/INDEX('Lease Cycles'!$CP$29:$CV$29,1,EJ367))/12)))),'Lease Cycles'!$C$29*INDEX('Lease Cycles'!$CB$29:$CH$29,1,EJ367)*(1+INDEX('Lease Cycles'!$CI$29:$CO$29,1,EJ367))^INT(INT(EJ368/12)/INDEX('Lease Cycles'!$CP$29:$CV$29,1,EJ367))/12))),IF('Lease Cycles'!$N$29=1,'Lease Cycles'!$C$29*'Lease Cycles'!$E$29*INDEX('Lease Cycles'!$HE$29:$HK$29,1,EJ367)*(1+INDEX('Lease Cycles'!$GQ$29:$GW$29,1,EJ367))^INT(INT((EJ$6-INDEX('Lease Cycles'!$GJ$29:$GP$29,1,EJ367))/12)/INDEX('Lease Cycles'!$GX$29:$HD$29,1,EJ367))/12,0)))</f>
        <v>0</v>
      </c>
      <c r="EK370" s="28">
        <f>IF(EK367=0,IF('Lease Cycles'!$F$29&gt;0,'Lease Cycles'!$C$29*'Lease Cycles'!$E$29/12,0),IF(EK369=1,IF('Lease Cycles'!$AT$29&gt;=9999,'Lease Cycles'!$C$29*INDEX('Lease Cycles'!$CB$29:$CH$29,1,EK367)*(1+INDEX('Lease Cycles'!$CI$29:$CO$29,1,EK367))^INT(INT(EK368/12)/INDEX('Lease Cycles'!$CP$29:$CV$29,1,EK367))/12,IF(EK367=1,IF(EK368&gt;=INDEX('Lease Cycles'!$DK$29:$DQ$29,1,EK367),IF(EK$6&gt;='Lease Cycles'!$AZ$29,'Lease Cycles'!$C$29*'Lease Cycles'!$BA$29/12,IF(EK$6&gt;='Lease Cycles'!$AX$29,'Lease Cycles'!$C$29*'Lease Cycles'!$AY$29/12,IF(EK$6&gt;='Lease Cycles'!$AV$29,'Lease Cycles'!$C$29*'Lease Cycles'!$AW$29/12,IF(EK$6&gt;='Lease Cycles'!$AT$29,'Lease Cycles'!$C$29*'Lease Cycles'!$AU$29/12,'Lease Cycles'!$C$29*INDEX('Lease Cycles'!$CB$29:$CH$29,1,EK367)*(1+INDEX('Lease Cycles'!$CI$29:$CO$29,1,EK367))^INT(INT(EK368/12)/INDEX('Lease Cycles'!$CP$29:$CV$29,1,EK367))/12)))),'Lease Cycles'!$C$29*INDEX('Lease Cycles'!$CB$29:$CH$29,1,EK367)*(1+INDEX('Lease Cycles'!$CI$29:$CO$29,1,EK367))^INT(INT(EK368/12)/INDEX('Lease Cycles'!$CP$29:$CV$29,1,EK367))/12),IF(INDEX('Lease Cycles'!$EF$29:$EL$29,1,EK367)=1,IF(AND('Lease Cycles'!$AZ$29&gt;=INDEX('Lease Cycles'!$BG$29:$BM$29,1,EK367),'Lease Cycles'!$AZ$29&lt;=EK$6),'Lease Cycles'!$C$29*'Lease Cycles'!$BA$29/12,IF(AND('Lease Cycles'!$AX$29&gt;=INDEX('Lease Cycles'!$BG$29:$BM$29,1,EK367),'Lease Cycles'!$AX$29&lt;=EK$6),'Lease Cycles'!$C$29*'Lease Cycles'!$AY$29/12,IF(AND('Lease Cycles'!$AV$29&gt;=INDEX('Lease Cycles'!$BG$29:$BM$29,1,EK367),'Lease Cycles'!$AV$29&lt;=EK$6),'Lease Cycles'!$C$29*'Lease Cycles'!$AW$29/12,IF(AND('Lease Cycles'!$AT$29&gt;=INDEX('Lease Cycles'!$BG$29:$BM$29,1,EK367),'Lease Cycles'!$AT$29&lt;=EK$6),'Lease Cycles'!$C$29*'Lease Cycles'!$AU$29/12,'Lease Cycles'!$C$29*INDEX('Lease Cycles'!$CB$29:$CH$29,1,EK367)*(1+INDEX('Lease Cycles'!$CI$29:$CO$29,1,EK367))^INT(INT(EK368/12)/INDEX('Lease Cycles'!$CP$29:$CV$29,1,EK367))/12)))),'Lease Cycles'!$C$29*INDEX('Lease Cycles'!$CB$29:$CH$29,1,EK367)*(1+INDEX('Lease Cycles'!$CI$29:$CO$29,1,EK367))^INT(INT(EK368/12)/INDEX('Lease Cycles'!$CP$29:$CV$29,1,EK367))/12))),IF('Lease Cycles'!$N$29=1,'Lease Cycles'!$C$29*'Lease Cycles'!$E$29*INDEX('Lease Cycles'!$HE$29:$HK$29,1,EK367)*(1+INDEX('Lease Cycles'!$GQ$29:$GW$29,1,EK367))^INT(INT((EK$6-INDEX('Lease Cycles'!$GJ$29:$GP$29,1,EK367))/12)/INDEX('Lease Cycles'!$GX$29:$HD$29,1,EK367))/12,0)))</f>
        <v>0</v>
      </c>
      <c r="EL370" s="28">
        <f>IF(EL367=0,IF('Lease Cycles'!$F$29&gt;0,'Lease Cycles'!$C$29*'Lease Cycles'!$E$29/12,0),IF(EL369=1,IF('Lease Cycles'!$AT$29&gt;=9999,'Lease Cycles'!$C$29*INDEX('Lease Cycles'!$CB$29:$CH$29,1,EL367)*(1+INDEX('Lease Cycles'!$CI$29:$CO$29,1,EL367))^INT(INT(EL368/12)/INDEX('Lease Cycles'!$CP$29:$CV$29,1,EL367))/12,IF(EL367=1,IF(EL368&gt;=INDEX('Lease Cycles'!$DK$29:$DQ$29,1,EL367),IF(EL$6&gt;='Lease Cycles'!$AZ$29,'Lease Cycles'!$C$29*'Lease Cycles'!$BA$29/12,IF(EL$6&gt;='Lease Cycles'!$AX$29,'Lease Cycles'!$C$29*'Lease Cycles'!$AY$29/12,IF(EL$6&gt;='Lease Cycles'!$AV$29,'Lease Cycles'!$C$29*'Lease Cycles'!$AW$29/12,IF(EL$6&gt;='Lease Cycles'!$AT$29,'Lease Cycles'!$C$29*'Lease Cycles'!$AU$29/12,'Lease Cycles'!$C$29*INDEX('Lease Cycles'!$CB$29:$CH$29,1,EL367)*(1+INDEX('Lease Cycles'!$CI$29:$CO$29,1,EL367))^INT(INT(EL368/12)/INDEX('Lease Cycles'!$CP$29:$CV$29,1,EL367))/12)))),'Lease Cycles'!$C$29*INDEX('Lease Cycles'!$CB$29:$CH$29,1,EL367)*(1+INDEX('Lease Cycles'!$CI$29:$CO$29,1,EL367))^INT(INT(EL368/12)/INDEX('Lease Cycles'!$CP$29:$CV$29,1,EL367))/12),IF(INDEX('Lease Cycles'!$EF$29:$EL$29,1,EL367)=1,IF(AND('Lease Cycles'!$AZ$29&gt;=INDEX('Lease Cycles'!$BG$29:$BM$29,1,EL367),'Lease Cycles'!$AZ$29&lt;=EL$6),'Lease Cycles'!$C$29*'Lease Cycles'!$BA$29/12,IF(AND('Lease Cycles'!$AX$29&gt;=INDEX('Lease Cycles'!$BG$29:$BM$29,1,EL367),'Lease Cycles'!$AX$29&lt;=EL$6),'Lease Cycles'!$C$29*'Lease Cycles'!$AY$29/12,IF(AND('Lease Cycles'!$AV$29&gt;=INDEX('Lease Cycles'!$BG$29:$BM$29,1,EL367),'Lease Cycles'!$AV$29&lt;=EL$6),'Lease Cycles'!$C$29*'Lease Cycles'!$AW$29/12,IF(AND('Lease Cycles'!$AT$29&gt;=INDEX('Lease Cycles'!$BG$29:$BM$29,1,EL367),'Lease Cycles'!$AT$29&lt;=EL$6),'Lease Cycles'!$C$29*'Lease Cycles'!$AU$29/12,'Lease Cycles'!$C$29*INDEX('Lease Cycles'!$CB$29:$CH$29,1,EL367)*(1+INDEX('Lease Cycles'!$CI$29:$CO$29,1,EL367))^INT(INT(EL368/12)/INDEX('Lease Cycles'!$CP$29:$CV$29,1,EL367))/12)))),'Lease Cycles'!$C$29*INDEX('Lease Cycles'!$CB$29:$CH$29,1,EL367)*(1+INDEX('Lease Cycles'!$CI$29:$CO$29,1,EL367))^INT(INT(EL368/12)/INDEX('Lease Cycles'!$CP$29:$CV$29,1,EL367))/12))),IF('Lease Cycles'!$N$29=1,'Lease Cycles'!$C$29*'Lease Cycles'!$E$29*INDEX('Lease Cycles'!$HE$29:$HK$29,1,EL367)*(1+INDEX('Lease Cycles'!$GQ$29:$GW$29,1,EL367))^INT(INT((EL$6-INDEX('Lease Cycles'!$GJ$29:$GP$29,1,EL367))/12)/INDEX('Lease Cycles'!$GX$29:$HD$29,1,EL367))/12,0)))</f>
        <v>0</v>
      </c>
      <c r="EM370" s="28">
        <f>IF(EM367=0,IF('Lease Cycles'!$F$29&gt;0,'Lease Cycles'!$C$29*'Lease Cycles'!$E$29/12,0),IF(EM369=1,IF('Lease Cycles'!$AT$29&gt;=9999,'Lease Cycles'!$C$29*INDEX('Lease Cycles'!$CB$29:$CH$29,1,EM367)*(1+INDEX('Lease Cycles'!$CI$29:$CO$29,1,EM367))^INT(INT(EM368/12)/INDEX('Lease Cycles'!$CP$29:$CV$29,1,EM367))/12,IF(EM367=1,IF(EM368&gt;=INDEX('Lease Cycles'!$DK$29:$DQ$29,1,EM367),IF(EM$6&gt;='Lease Cycles'!$AZ$29,'Lease Cycles'!$C$29*'Lease Cycles'!$BA$29/12,IF(EM$6&gt;='Lease Cycles'!$AX$29,'Lease Cycles'!$C$29*'Lease Cycles'!$AY$29/12,IF(EM$6&gt;='Lease Cycles'!$AV$29,'Lease Cycles'!$C$29*'Lease Cycles'!$AW$29/12,IF(EM$6&gt;='Lease Cycles'!$AT$29,'Lease Cycles'!$C$29*'Lease Cycles'!$AU$29/12,'Lease Cycles'!$C$29*INDEX('Lease Cycles'!$CB$29:$CH$29,1,EM367)*(1+INDEX('Lease Cycles'!$CI$29:$CO$29,1,EM367))^INT(INT(EM368/12)/INDEX('Lease Cycles'!$CP$29:$CV$29,1,EM367))/12)))),'Lease Cycles'!$C$29*INDEX('Lease Cycles'!$CB$29:$CH$29,1,EM367)*(1+INDEX('Lease Cycles'!$CI$29:$CO$29,1,EM367))^INT(INT(EM368/12)/INDEX('Lease Cycles'!$CP$29:$CV$29,1,EM367))/12),IF(INDEX('Lease Cycles'!$EF$29:$EL$29,1,EM367)=1,IF(AND('Lease Cycles'!$AZ$29&gt;=INDEX('Lease Cycles'!$BG$29:$BM$29,1,EM367),'Lease Cycles'!$AZ$29&lt;=EM$6),'Lease Cycles'!$C$29*'Lease Cycles'!$BA$29/12,IF(AND('Lease Cycles'!$AX$29&gt;=INDEX('Lease Cycles'!$BG$29:$BM$29,1,EM367),'Lease Cycles'!$AX$29&lt;=EM$6),'Lease Cycles'!$C$29*'Lease Cycles'!$AY$29/12,IF(AND('Lease Cycles'!$AV$29&gt;=INDEX('Lease Cycles'!$BG$29:$BM$29,1,EM367),'Lease Cycles'!$AV$29&lt;=EM$6),'Lease Cycles'!$C$29*'Lease Cycles'!$AW$29/12,IF(AND('Lease Cycles'!$AT$29&gt;=INDEX('Lease Cycles'!$BG$29:$BM$29,1,EM367),'Lease Cycles'!$AT$29&lt;=EM$6),'Lease Cycles'!$C$29*'Lease Cycles'!$AU$29/12,'Lease Cycles'!$C$29*INDEX('Lease Cycles'!$CB$29:$CH$29,1,EM367)*(1+INDEX('Lease Cycles'!$CI$29:$CO$29,1,EM367))^INT(INT(EM368/12)/INDEX('Lease Cycles'!$CP$29:$CV$29,1,EM367))/12)))),'Lease Cycles'!$C$29*INDEX('Lease Cycles'!$CB$29:$CH$29,1,EM367)*(1+INDEX('Lease Cycles'!$CI$29:$CO$29,1,EM367))^INT(INT(EM368/12)/INDEX('Lease Cycles'!$CP$29:$CV$29,1,EM367))/12))),IF('Lease Cycles'!$N$29=1,'Lease Cycles'!$C$29*'Lease Cycles'!$E$29*INDEX('Lease Cycles'!$HE$29:$HK$29,1,EM367)*(1+INDEX('Lease Cycles'!$GQ$29:$GW$29,1,EM367))^INT(INT((EM$6-INDEX('Lease Cycles'!$GJ$29:$GP$29,1,EM367))/12)/INDEX('Lease Cycles'!$GX$29:$HD$29,1,EM367))/12,0)))</f>
        <v>0</v>
      </c>
      <c r="EN370" s="28">
        <f>IF(EN367=0,IF('Lease Cycles'!$F$29&gt;0,'Lease Cycles'!$C$29*'Lease Cycles'!$E$29/12,0),IF(EN369=1,IF('Lease Cycles'!$AT$29&gt;=9999,'Lease Cycles'!$C$29*INDEX('Lease Cycles'!$CB$29:$CH$29,1,EN367)*(1+INDEX('Lease Cycles'!$CI$29:$CO$29,1,EN367))^INT(INT(EN368/12)/INDEX('Lease Cycles'!$CP$29:$CV$29,1,EN367))/12,IF(EN367=1,IF(EN368&gt;=INDEX('Lease Cycles'!$DK$29:$DQ$29,1,EN367),IF(EN$6&gt;='Lease Cycles'!$AZ$29,'Lease Cycles'!$C$29*'Lease Cycles'!$BA$29/12,IF(EN$6&gt;='Lease Cycles'!$AX$29,'Lease Cycles'!$C$29*'Lease Cycles'!$AY$29/12,IF(EN$6&gt;='Lease Cycles'!$AV$29,'Lease Cycles'!$C$29*'Lease Cycles'!$AW$29/12,IF(EN$6&gt;='Lease Cycles'!$AT$29,'Lease Cycles'!$C$29*'Lease Cycles'!$AU$29/12,'Lease Cycles'!$C$29*INDEX('Lease Cycles'!$CB$29:$CH$29,1,EN367)*(1+INDEX('Lease Cycles'!$CI$29:$CO$29,1,EN367))^INT(INT(EN368/12)/INDEX('Lease Cycles'!$CP$29:$CV$29,1,EN367))/12)))),'Lease Cycles'!$C$29*INDEX('Lease Cycles'!$CB$29:$CH$29,1,EN367)*(1+INDEX('Lease Cycles'!$CI$29:$CO$29,1,EN367))^INT(INT(EN368/12)/INDEX('Lease Cycles'!$CP$29:$CV$29,1,EN367))/12),IF(INDEX('Lease Cycles'!$EF$29:$EL$29,1,EN367)=1,IF(AND('Lease Cycles'!$AZ$29&gt;=INDEX('Lease Cycles'!$BG$29:$BM$29,1,EN367),'Lease Cycles'!$AZ$29&lt;=EN$6),'Lease Cycles'!$C$29*'Lease Cycles'!$BA$29/12,IF(AND('Lease Cycles'!$AX$29&gt;=INDEX('Lease Cycles'!$BG$29:$BM$29,1,EN367),'Lease Cycles'!$AX$29&lt;=EN$6),'Lease Cycles'!$C$29*'Lease Cycles'!$AY$29/12,IF(AND('Lease Cycles'!$AV$29&gt;=INDEX('Lease Cycles'!$BG$29:$BM$29,1,EN367),'Lease Cycles'!$AV$29&lt;=EN$6),'Lease Cycles'!$C$29*'Lease Cycles'!$AW$29/12,IF(AND('Lease Cycles'!$AT$29&gt;=INDEX('Lease Cycles'!$BG$29:$BM$29,1,EN367),'Lease Cycles'!$AT$29&lt;=EN$6),'Lease Cycles'!$C$29*'Lease Cycles'!$AU$29/12,'Lease Cycles'!$C$29*INDEX('Lease Cycles'!$CB$29:$CH$29,1,EN367)*(1+INDEX('Lease Cycles'!$CI$29:$CO$29,1,EN367))^INT(INT(EN368/12)/INDEX('Lease Cycles'!$CP$29:$CV$29,1,EN367))/12)))),'Lease Cycles'!$C$29*INDEX('Lease Cycles'!$CB$29:$CH$29,1,EN367)*(1+INDEX('Lease Cycles'!$CI$29:$CO$29,1,EN367))^INT(INT(EN368/12)/INDEX('Lease Cycles'!$CP$29:$CV$29,1,EN367))/12))),IF('Lease Cycles'!$N$29=1,'Lease Cycles'!$C$29*'Lease Cycles'!$E$29*INDEX('Lease Cycles'!$HE$29:$HK$29,1,EN367)*(1+INDEX('Lease Cycles'!$GQ$29:$GW$29,1,EN367))^INT(INT((EN$6-INDEX('Lease Cycles'!$GJ$29:$GP$29,1,EN367))/12)/INDEX('Lease Cycles'!$GX$29:$HD$29,1,EN367))/12,0)))</f>
        <v>0</v>
      </c>
      <c r="EO370" s="28">
        <f>IF(EO367=0,IF('Lease Cycles'!$F$29&gt;0,'Lease Cycles'!$C$29*'Lease Cycles'!$E$29/12,0),IF(EO369=1,IF('Lease Cycles'!$AT$29&gt;=9999,'Lease Cycles'!$C$29*INDEX('Lease Cycles'!$CB$29:$CH$29,1,EO367)*(1+INDEX('Lease Cycles'!$CI$29:$CO$29,1,EO367))^INT(INT(EO368/12)/INDEX('Lease Cycles'!$CP$29:$CV$29,1,EO367))/12,IF(EO367=1,IF(EO368&gt;=INDEX('Lease Cycles'!$DK$29:$DQ$29,1,EO367),IF(EO$6&gt;='Lease Cycles'!$AZ$29,'Lease Cycles'!$C$29*'Lease Cycles'!$BA$29/12,IF(EO$6&gt;='Lease Cycles'!$AX$29,'Lease Cycles'!$C$29*'Lease Cycles'!$AY$29/12,IF(EO$6&gt;='Lease Cycles'!$AV$29,'Lease Cycles'!$C$29*'Lease Cycles'!$AW$29/12,IF(EO$6&gt;='Lease Cycles'!$AT$29,'Lease Cycles'!$C$29*'Lease Cycles'!$AU$29/12,'Lease Cycles'!$C$29*INDEX('Lease Cycles'!$CB$29:$CH$29,1,EO367)*(1+INDEX('Lease Cycles'!$CI$29:$CO$29,1,EO367))^INT(INT(EO368/12)/INDEX('Lease Cycles'!$CP$29:$CV$29,1,EO367))/12)))),'Lease Cycles'!$C$29*INDEX('Lease Cycles'!$CB$29:$CH$29,1,EO367)*(1+INDEX('Lease Cycles'!$CI$29:$CO$29,1,EO367))^INT(INT(EO368/12)/INDEX('Lease Cycles'!$CP$29:$CV$29,1,EO367))/12),IF(INDEX('Lease Cycles'!$EF$29:$EL$29,1,EO367)=1,IF(AND('Lease Cycles'!$AZ$29&gt;=INDEX('Lease Cycles'!$BG$29:$BM$29,1,EO367),'Lease Cycles'!$AZ$29&lt;=EO$6),'Lease Cycles'!$C$29*'Lease Cycles'!$BA$29/12,IF(AND('Lease Cycles'!$AX$29&gt;=INDEX('Lease Cycles'!$BG$29:$BM$29,1,EO367),'Lease Cycles'!$AX$29&lt;=EO$6),'Lease Cycles'!$C$29*'Lease Cycles'!$AY$29/12,IF(AND('Lease Cycles'!$AV$29&gt;=INDEX('Lease Cycles'!$BG$29:$BM$29,1,EO367),'Lease Cycles'!$AV$29&lt;=EO$6),'Lease Cycles'!$C$29*'Lease Cycles'!$AW$29/12,IF(AND('Lease Cycles'!$AT$29&gt;=INDEX('Lease Cycles'!$BG$29:$BM$29,1,EO367),'Lease Cycles'!$AT$29&lt;=EO$6),'Lease Cycles'!$C$29*'Lease Cycles'!$AU$29/12,'Lease Cycles'!$C$29*INDEX('Lease Cycles'!$CB$29:$CH$29,1,EO367)*(1+INDEX('Lease Cycles'!$CI$29:$CO$29,1,EO367))^INT(INT(EO368/12)/INDEX('Lease Cycles'!$CP$29:$CV$29,1,EO367))/12)))),'Lease Cycles'!$C$29*INDEX('Lease Cycles'!$CB$29:$CH$29,1,EO367)*(1+INDEX('Lease Cycles'!$CI$29:$CO$29,1,EO367))^INT(INT(EO368/12)/INDEX('Lease Cycles'!$CP$29:$CV$29,1,EO367))/12))),IF('Lease Cycles'!$N$29=1,'Lease Cycles'!$C$29*'Lease Cycles'!$E$29*INDEX('Lease Cycles'!$HE$29:$HK$29,1,EO367)*(1+INDEX('Lease Cycles'!$GQ$29:$GW$29,1,EO367))^INT(INT((EO$6-INDEX('Lease Cycles'!$GJ$29:$GP$29,1,EO367))/12)/INDEX('Lease Cycles'!$GX$29:$HD$29,1,EO367))/12,0)))</f>
        <v>0</v>
      </c>
      <c r="EP370" s="28">
        <f>IF(EP367=0,IF('Lease Cycles'!$F$29&gt;0,'Lease Cycles'!$C$29*'Lease Cycles'!$E$29/12,0),IF(EP369=1,IF('Lease Cycles'!$AT$29&gt;=9999,'Lease Cycles'!$C$29*INDEX('Lease Cycles'!$CB$29:$CH$29,1,EP367)*(1+INDEX('Lease Cycles'!$CI$29:$CO$29,1,EP367))^INT(INT(EP368/12)/INDEX('Lease Cycles'!$CP$29:$CV$29,1,EP367))/12,IF(EP367=1,IF(EP368&gt;=INDEX('Lease Cycles'!$DK$29:$DQ$29,1,EP367),IF(EP$6&gt;='Lease Cycles'!$AZ$29,'Lease Cycles'!$C$29*'Lease Cycles'!$BA$29/12,IF(EP$6&gt;='Lease Cycles'!$AX$29,'Lease Cycles'!$C$29*'Lease Cycles'!$AY$29/12,IF(EP$6&gt;='Lease Cycles'!$AV$29,'Lease Cycles'!$C$29*'Lease Cycles'!$AW$29/12,IF(EP$6&gt;='Lease Cycles'!$AT$29,'Lease Cycles'!$C$29*'Lease Cycles'!$AU$29/12,'Lease Cycles'!$C$29*INDEX('Lease Cycles'!$CB$29:$CH$29,1,EP367)*(1+INDEX('Lease Cycles'!$CI$29:$CO$29,1,EP367))^INT(INT(EP368/12)/INDEX('Lease Cycles'!$CP$29:$CV$29,1,EP367))/12)))),'Lease Cycles'!$C$29*INDEX('Lease Cycles'!$CB$29:$CH$29,1,EP367)*(1+INDEX('Lease Cycles'!$CI$29:$CO$29,1,EP367))^INT(INT(EP368/12)/INDEX('Lease Cycles'!$CP$29:$CV$29,1,EP367))/12),IF(INDEX('Lease Cycles'!$EF$29:$EL$29,1,EP367)=1,IF(AND('Lease Cycles'!$AZ$29&gt;=INDEX('Lease Cycles'!$BG$29:$BM$29,1,EP367),'Lease Cycles'!$AZ$29&lt;=EP$6),'Lease Cycles'!$C$29*'Lease Cycles'!$BA$29/12,IF(AND('Lease Cycles'!$AX$29&gt;=INDEX('Lease Cycles'!$BG$29:$BM$29,1,EP367),'Lease Cycles'!$AX$29&lt;=EP$6),'Lease Cycles'!$C$29*'Lease Cycles'!$AY$29/12,IF(AND('Lease Cycles'!$AV$29&gt;=INDEX('Lease Cycles'!$BG$29:$BM$29,1,EP367),'Lease Cycles'!$AV$29&lt;=EP$6),'Lease Cycles'!$C$29*'Lease Cycles'!$AW$29/12,IF(AND('Lease Cycles'!$AT$29&gt;=INDEX('Lease Cycles'!$BG$29:$BM$29,1,EP367),'Lease Cycles'!$AT$29&lt;=EP$6),'Lease Cycles'!$C$29*'Lease Cycles'!$AU$29/12,'Lease Cycles'!$C$29*INDEX('Lease Cycles'!$CB$29:$CH$29,1,EP367)*(1+INDEX('Lease Cycles'!$CI$29:$CO$29,1,EP367))^INT(INT(EP368/12)/INDEX('Lease Cycles'!$CP$29:$CV$29,1,EP367))/12)))),'Lease Cycles'!$C$29*INDEX('Lease Cycles'!$CB$29:$CH$29,1,EP367)*(1+INDEX('Lease Cycles'!$CI$29:$CO$29,1,EP367))^INT(INT(EP368/12)/INDEX('Lease Cycles'!$CP$29:$CV$29,1,EP367))/12))),IF('Lease Cycles'!$N$29=1,'Lease Cycles'!$C$29*'Lease Cycles'!$E$29*INDEX('Lease Cycles'!$HE$29:$HK$29,1,EP367)*(1+INDEX('Lease Cycles'!$GQ$29:$GW$29,1,EP367))^INT(INT((EP$6-INDEX('Lease Cycles'!$GJ$29:$GP$29,1,EP367))/12)/INDEX('Lease Cycles'!$GX$29:$HD$29,1,EP367))/12,0)))</f>
        <v>0</v>
      </c>
      <c r="EQ370" s="28">
        <f>IF(EQ367=0,IF('Lease Cycles'!$F$29&gt;0,'Lease Cycles'!$C$29*'Lease Cycles'!$E$29/12,0),IF(EQ369=1,IF('Lease Cycles'!$AT$29&gt;=9999,'Lease Cycles'!$C$29*INDEX('Lease Cycles'!$CB$29:$CH$29,1,EQ367)*(1+INDEX('Lease Cycles'!$CI$29:$CO$29,1,EQ367))^INT(INT(EQ368/12)/INDEX('Lease Cycles'!$CP$29:$CV$29,1,EQ367))/12,IF(EQ367=1,IF(EQ368&gt;=INDEX('Lease Cycles'!$DK$29:$DQ$29,1,EQ367),IF(EQ$6&gt;='Lease Cycles'!$AZ$29,'Lease Cycles'!$C$29*'Lease Cycles'!$BA$29/12,IF(EQ$6&gt;='Lease Cycles'!$AX$29,'Lease Cycles'!$C$29*'Lease Cycles'!$AY$29/12,IF(EQ$6&gt;='Lease Cycles'!$AV$29,'Lease Cycles'!$C$29*'Lease Cycles'!$AW$29/12,IF(EQ$6&gt;='Lease Cycles'!$AT$29,'Lease Cycles'!$C$29*'Lease Cycles'!$AU$29/12,'Lease Cycles'!$C$29*INDEX('Lease Cycles'!$CB$29:$CH$29,1,EQ367)*(1+INDEX('Lease Cycles'!$CI$29:$CO$29,1,EQ367))^INT(INT(EQ368/12)/INDEX('Lease Cycles'!$CP$29:$CV$29,1,EQ367))/12)))),'Lease Cycles'!$C$29*INDEX('Lease Cycles'!$CB$29:$CH$29,1,EQ367)*(1+INDEX('Lease Cycles'!$CI$29:$CO$29,1,EQ367))^INT(INT(EQ368/12)/INDEX('Lease Cycles'!$CP$29:$CV$29,1,EQ367))/12),IF(INDEX('Lease Cycles'!$EF$29:$EL$29,1,EQ367)=1,IF(AND('Lease Cycles'!$AZ$29&gt;=INDEX('Lease Cycles'!$BG$29:$BM$29,1,EQ367),'Lease Cycles'!$AZ$29&lt;=EQ$6),'Lease Cycles'!$C$29*'Lease Cycles'!$BA$29/12,IF(AND('Lease Cycles'!$AX$29&gt;=INDEX('Lease Cycles'!$BG$29:$BM$29,1,EQ367),'Lease Cycles'!$AX$29&lt;=EQ$6),'Lease Cycles'!$C$29*'Lease Cycles'!$AY$29/12,IF(AND('Lease Cycles'!$AV$29&gt;=INDEX('Lease Cycles'!$BG$29:$BM$29,1,EQ367),'Lease Cycles'!$AV$29&lt;=EQ$6),'Lease Cycles'!$C$29*'Lease Cycles'!$AW$29/12,IF(AND('Lease Cycles'!$AT$29&gt;=INDEX('Lease Cycles'!$BG$29:$BM$29,1,EQ367),'Lease Cycles'!$AT$29&lt;=EQ$6),'Lease Cycles'!$C$29*'Lease Cycles'!$AU$29/12,'Lease Cycles'!$C$29*INDEX('Lease Cycles'!$CB$29:$CH$29,1,EQ367)*(1+INDEX('Lease Cycles'!$CI$29:$CO$29,1,EQ367))^INT(INT(EQ368/12)/INDEX('Lease Cycles'!$CP$29:$CV$29,1,EQ367))/12)))),'Lease Cycles'!$C$29*INDEX('Lease Cycles'!$CB$29:$CH$29,1,EQ367)*(1+INDEX('Lease Cycles'!$CI$29:$CO$29,1,EQ367))^INT(INT(EQ368/12)/INDEX('Lease Cycles'!$CP$29:$CV$29,1,EQ367))/12))),IF('Lease Cycles'!$N$29=1,'Lease Cycles'!$C$29*'Lease Cycles'!$E$29*INDEX('Lease Cycles'!$HE$29:$HK$29,1,EQ367)*(1+INDEX('Lease Cycles'!$GQ$29:$GW$29,1,EQ367))^INT(INT((EQ$6-INDEX('Lease Cycles'!$GJ$29:$GP$29,1,EQ367))/12)/INDEX('Lease Cycles'!$GX$29:$HD$29,1,EQ367))/12,0)))</f>
        <v>0</v>
      </c>
      <c r="ER370" s="28">
        <f>IF(ER367=0,IF('Lease Cycles'!$F$29&gt;0,'Lease Cycles'!$C$29*'Lease Cycles'!$E$29/12,0),IF(ER369=1,IF('Lease Cycles'!$AT$29&gt;=9999,'Lease Cycles'!$C$29*INDEX('Lease Cycles'!$CB$29:$CH$29,1,ER367)*(1+INDEX('Lease Cycles'!$CI$29:$CO$29,1,ER367))^INT(INT(ER368/12)/INDEX('Lease Cycles'!$CP$29:$CV$29,1,ER367))/12,IF(ER367=1,IF(ER368&gt;=INDEX('Lease Cycles'!$DK$29:$DQ$29,1,ER367),IF(ER$6&gt;='Lease Cycles'!$AZ$29,'Lease Cycles'!$C$29*'Lease Cycles'!$BA$29/12,IF(ER$6&gt;='Lease Cycles'!$AX$29,'Lease Cycles'!$C$29*'Lease Cycles'!$AY$29/12,IF(ER$6&gt;='Lease Cycles'!$AV$29,'Lease Cycles'!$C$29*'Lease Cycles'!$AW$29/12,IF(ER$6&gt;='Lease Cycles'!$AT$29,'Lease Cycles'!$C$29*'Lease Cycles'!$AU$29/12,'Lease Cycles'!$C$29*INDEX('Lease Cycles'!$CB$29:$CH$29,1,ER367)*(1+INDEX('Lease Cycles'!$CI$29:$CO$29,1,ER367))^INT(INT(ER368/12)/INDEX('Lease Cycles'!$CP$29:$CV$29,1,ER367))/12)))),'Lease Cycles'!$C$29*INDEX('Lease Cycles'!$CB$29:$CH$29,1,ER367)*(1+INDEX('Lease Cycles'!$CI$29:$CO$29,1,ER367))^INT(INT(ER368/12)/INDEX('Lease Cycles'!$CP$29:$CV$29,1,ER367))/12),IF(INDEX('Lease Cycles'!$EF$29:$EL$29,1,ER367)=1,IF(AND('Lease Cycles'!$AZ$29&gt;=INDEX('Lease Cycles'!$BG$29:$BM$29,1,ER367),'Lease Cycles'!$AZ$29&lt;=ER$6),'Lease Cycles'!$C$29*'Lease Cycles'!$BA$29/12,IF(AND('Lease Cycles'!$AX$29&gt;=INDEX('Lease Cycles'!$BG$29:$BM$29,1,ER367),'Lease Cycles'!$AX$29&lt;=ER$6),'Lease Cycles'!$C$29*'Lease Cycles'!$AY$29/12,IF(AND('Lease Cycles'!$AV$29&gt;=INDEX('Lease Cycles'!$BG$29:$BM$29,1,ER367),'Lease Cycles'!$AV$29&lt;=ER$6),'Lease Cycles'!$C$29*'Lease Cycles'!$AW$29/12,IF(AND('Lease Cycles'!$AT$29&gt;=INDEX('Lease Cycles'!$BG$29:$BM$29,1,ER367),'Lease Cycles'!$AT$29&lt;=ER$6),'Lease Cycles'!$C$29*'Lease Cycles'!$AU$29/12,'Lease Cycles'!$C$29*INDEX('Lease Cycles'!$CB$29:$CH$29,1,ER367)*(1+INDEX('Lease Cycles'!$CI$29:$CO$29,1,ER367))^INT(INT(ER368/12)/INDEX('Lease Cycles'!$CP$29:$CV$29,1,ER367))/12)))),'Lease Cycles'!$C$29*INDEX('Lease Cycles'!$CB$29:$CH$29,1,ER367)*(1+INDEX('Lease Cycles'!$CI$29:$CO$29,1,ER367))^INT(INT(ER368/12)/INDEX('Lease Cycles'!$CP$29:$CV$29,1,ER367))/12))),IF('Lease Cycles'!$N$29=1,'Lease Cycles'!$C$29*'Lease Cycles'!$E$29*INDEX('Lease Cycles'!$HE$29:$HK$29,1,ER367)*(1+INDEX('Lease Cycles'!$GQ$29:$GW$29,1,ER367))^INT(INT((ER$6-INDEX('Lease Cycles'!$GJ$29:$GP$29,1,ER367))/12)/INDEX('Lease Cycles'!$GX$29:$HD$29,1,ER367))/12,0)))</f>
        <v>0</v>
      </c>
      <c r="ES370" s="28">
        <f>IF(ES367=0,IF('Lease Cycles'!$F$29&gt;0,'Lease Cycles'!$C$29*'Lease Cycles'!$E$29/12,0),IF(ES369=1,IF('Lease Cycles'!$AT$29&gt;=9999,'Lease Cycles'!$C$29*INDEX('Lease Cycles'!$CB$29:$CH$29,1,ES367)*(1+INDEX('Lease Cycles'!$CI$29:$CO$29,1,ES367))^INT(INT(ES368/12)/INDEX('Lease Cycles'!$CP$29:$CV$29,1,ES367))/12,IF(ES367=1,IF(ES368&gt;=INDEX('Lease Cycles'!$DK$29:$DQ$29,1,ES367),IF(ES$6&gt;='Lease Cycles'!$AZ$29,'Lease Cycles'!$C$29*'Lease Cycles'!$BA$29/12,IF(ES$6&gt;='Lease Cycles'!$AX$29,'Lease Cycles'!$C$29*'Lease Cycles'!$AY$29/12,IF(ES$6&gt;='Lease Cycles'!$AV$29,'Lease Cycles'!$C$29*'Lease Cycles'!$AW$29/12,IF(ES$6&gt;='Lease Cycles'!$AT$29,'Lease Cycles'!$C$29*'Lease Cycles'!$AU$29/12,'Lease Cycles'!$C$29*INDEX('Lease Cycles'!$CB$29:$CH$29,1,ES367)*(1+INDEX('Lease Cycles'!$CI$29:$CO$29,1,ES367))^INT(INT(ES368/12)/INDEX('Lease Cycles'!$CP$29:$CV$29,1,ES367))/12)))),'Lease Cycles'!$C$29*INDEX('Lease Cycles'!$CB$29:$CH$29,1,ES367)*(1+INDEX('Lease Cycles'!$CI$29:$CO$29,1,ES367))^INT(INT(ES368/12)/INDEX('Lease Cycles'!$CP$29:$CV$29,1,ES367))/12),IF(INDEX('Lease Cycles'!$EF$29:$EL$29,1,ES367)=1,IF(AND('Lease Cycles'!$AZ$29&gt;=INDEX('Lease Cycles'!$BG$29:$BM$29,1,ES367),'Lease Cycles'!$AZ$29&lt;=ES$6),'Lease Cycles'!$C$29*'Lease Cycles'!$BA$29/12,IF(AND('Lease Cycles'!$AX$29&gt;=INDEX('Lease Cycles'!$BG$29:$BM$29,1,ES367),'Lease Cycles'!$AX$29&lt;=ES$6),'Lease Cycles'!$C$29*'Lease Cycles'!$AY$29/12,IF(AND('Lease Cycles'!$AV$29&gt;=INDEX('Lease Cycles'!$BG$29:$BM$29,1,ES367),'Lease Cycles'!$AV$29&lt;=ES$6),'Lease Cycles'!$C$29*'Lease Cycles'!$AW$29/12,IF(AND('Lease Cycles'!$AT$29&gt;=INDEX('Lease Cycles'!$BG$29:$BM$29,1,ES367),'Lease Cycles'!$AT$29&lt;=ES$6),'Lease Cycles'!$C$29*'Lease Cycles'!$AU$29/12,'Lease Cycles'!$C$29*INDEX('Lease Cycles'!$CB$29:$CH$29,1,ES367)*(1+INDEX('Lease Cycles'!$CI$29:$CO$29,1,ES367))^INT(INT(ES368/12)/INDEX('Lease Cycles'!$CP$29:$CV$29,1,ES367))/12)))),'Lease Cycles'!$C$29*INDEX('Lease Cycles'!$CB$29:$CH$29,1,ES367)*(1+INDEX('Lease Cycles'!$CI$29:$CO$29,1,ES367))^INT(INT(ES368/12)/INDEX('Lease Cycles'!$CP$29:$CV$29,1,ES367))/12))),IF('Lease Cycles'!$N$29=1,'Lease Cycles'!$C$29*'Lease Cycles'!$E$29*INDEX('Lease Cycles'!$HE$29:$HK$29,1,ES367)*(1+INDEX('Lease Cycles'!$GQ$29:$GW$29,1,ES367))^INT(INT((ES$6-INDEX('Lease Cycles'!$GJ$29:$GP$29,1,ES367))/12)/INDEX('Lease Cycles'!$GX$29:$HD$29,1,ES367))/12,0)))</f>
        <v>0</v>
      </c>
      <c r="ET370" s="28">
        <f>IF(ET367=0,IF('Lease Cycles'!$F$29&gt;0,'Lease Cycles'!$C$29*'Lease Cycles'!$E$29/12,0),IF(ET369=1,IF('Lease Cycles'!$AT$29&gt;=9999,'Lease Cycles'!$C$29*INDEX('Lease Cycles'!$CB$29:$CH$29,1,ET367)*(1+INDEX('Lease Cycles'!$CI$29:$CO$29,1,ET367))^INT(INT(ET368/12)/INDEX('Lease Cycles'!$CP$29:$CV$29,1,ET367))/12,IF(ET367=1,IF(ET368&gt;=INDEX('Lease Cycles'!$DK$29:$DQ$29,1,ET367),IF(ET$6&gt;='Lease Cycles'!$AZ$29,'Lease Cycles'!$C$29*'Lease Cycles'!$BA$29/12,IF(ET$6&gt;='Lease Cycles'!$AX$29,'Lease Cycles'!$C$29*'Lease Cycles'!$AY$29/12,IF(ET$6&gt;='Lease Cycles'!$AV$29,'Lease Cycles'!$C$29*'Lease Cycles'!$AW$29/12,IF(ET$6&gt;='Lease Cycles'!$AT$29,'Lease Cycles'!$C$29*'Lease Cycles'!$AU$29/12,'Lease Cycles'!$C$29*INDEX('Lease Cycles'!$CB$29:$CH$29,1,ET367)*(1+INDEX('Lease Cycles'!$CI$29:$CO$29,1,ET367))^INT(INT(ET368/12)/INDEX('Lease Cycles'!$CP$29:$CV$29,1,ET367))/12)))),'Lease Cycles'!$C$29*INDEX('Lease Cycles'!$CB$29:$CH$29,1,ET367)*(1+INDEX('Lease Cycles'!$CI$29:$CO$29,1,ET367))^INT(INT(ET368/12)/INDEX('Lease Cycles'!$CP$29:$CV$29,1,ET367))/12),IF(INDEX('Lease Cycles'!$EF$29:$EL$29,1,ET367)=1,IF(AND('Lease Cycles'!$AZ$29&gt;=INDEX('Lease Cycles'!$BG$29:$BM$29,1,ET367),'Lease Cycles'!$AZ$29&lt;=ET$6),'Lease Cycles'!$C$29*'Lease Cycles'!$BA$29/12,IF(AND('Lease Cycles'!$AX$29&gt;=INDEX('Lease Cycles'!$BG$29:$BM$29,1,ET367),'Lease Cycles'!$AX$29&lt;=ET$6),'Lease Cycles'!$C$29*'Lease Cycles'!$AY$29/12,IF(AND('Lease Cycles'!$AV$29&gt;=INDEX('Lease Cycles'!$BG$29:$BM$29,1,ET367),'Lease Cycles'!$AV$29&lt;=ET$6),'Lease Cycles'!$C$29*'Lease Cycles'!$AW$29/12,IF(AND('Lease Cycles'!$AT$29&gt;=INDEX('Lease Cycles'!$BG$29:$BM$29,1,ET367),'Lease Cycles'!$AT$29&lt;=ET$6),'Lease Cycles'!$C$29*'Lease Cycles'!$AU$29/12,'Lease Cycles'!$C$29*INDEX('Lease Cycles'!$CB$29:$CH$29,1,ET367)*(1+INDEX('Lease Cycles'!$CI$29:$CO$29,1,ET367))^INT(INT(ET368/12)/INDEX('Lease Cycles'!$CP$29:$CV$29,1,ET367))/12)))),'Lease Cycles'!$C$29*INDEX('Lease Cycles'!$CB$29:$CH$29,1,ET367)*(1+INDEX('Lease Cycles'!$CI$29:$CO$29,1,ET367))^INT(INT(ET368/12)/INDEX('Lease Cycles'!$CP$29:$CV$29,1,ET367))/12))),IF('Lease Cycles'!$N$29=1,'Lease Cycles'!$C$29*'Lease Cycles'!$E$29*INDEX('Lease Cycles'!$HE$29:$HK$29,1,ET367)*(1+INDEX('Lease Cycles'!$GQ$29:$GW$29,1,ET367))^INT(INT((ET$6-INDEX('Lease Cycles'!$GJ$29:$GP$29,1,ET367))/12)/INDEX('Lease Cycles'!$GX$29:$HD$29,1,ET367))/12,0)))</f>
        <v>0</v>
      </c>
    </row>
    <row r="371">
      <c r="A371" s="103">
        <v>22</v>
      </c>
      <c r="B371" s="23" t="str">
        <f>IF('Lease Cycles'!$B$29="","(empty slot)",'Lease Cycles'!$B$29)</f>
        <v>(empty slot)</v>
      </c>
      <c r="C371" s="23" t="s">
        <v>679</v>
      </c>
      <c r="D371" s="104" t="s">
        <v>680</v>
      </c>
      <c r="E371" s="25">
        <f>'Lease Cycles'!$AL$29</f>
        <v>0</v>
      </c>
      <c r="S371" s="28">
        <f>IF(S369=1,IF(INDEX('Lease Cycles'!$EF$29:$EL$29,1,S367)=1,'Lease Cycles'!$C$29*INDEX('Lease Cycles'!$ET$29:$EZ$29,1,S367)*(1+'Lease Cycles'!$V$29)^INT(INT(S368/12)/'Lease Cycles'!$W$29)/12,0),0)</f>
        <v>0</v>
      </c>
      <c r="T371" s="28">
        <f>IF(T369=1,IF(INDEX('Lease Cycles'!$EF$29:$EL$29,1,T367)=1,'Lease Cycles'!$C$29*INDEX('Lease Cycles'!$ET$29:$EZ$29,1,T367)*(1+'Lease Cycles'!$V$29)^INT(INT(T368/12)/'Lease Cycles'!$W$29)/12,0),0)</f>
        <v>0</v>
      </c>
      <c r="U371" s="28">
        <f>IF(U369=1,IF(INDEX('Lease Cycles'!$EF$29:$EL$29,1,U367)=1,'Lease Cycles'!$C$29*INDEX('Lease Cycles'!$ET$29:$EZ$29,1,U367)*(1+'Lease Cycles'!$V$29)^INT(INT(U368/12)/'Lease Cycles'!$W$29)/12,0),0)</f>
        <v>0</v>
      </c>
      <c r="V371" s="28">
        <f>IF(V369=1,IF(INDEX('Lease Cycles'!$EF$29:$EL$29,1,V367)=1,'Lease Cycles'!$C$29*INDEX('Lease Cycles'!$ET$29:$EZ$29,1,V367)*(1+'Lease Cycles'!$V$29)^INT(INT(V368/12)/'Lease Cycles'!$W$29)/12,0),0)</f>
        <v>0</v>
      </c>
      <c r="W371" s="28">
        <f>IF(W369=1,IF(INDEX('Lease Cycles'!$EF$29:$EL$29,1,W367)=1,'Lease Cycles'!$C$29*INDEX('Lease Cycles'!$ET$29:$EZ$29,1,W367)*(1+'Lease Cycles'!$V$29)^INT(INT(W368/12)/'Lease Cycles'!$W$29)/12,0),0)</f>
        <v>0</v>
      </c>
      <c r="X371" s="28">
        <f>IF(X369=1,IF(INDEX('Lease Cycles'!$EF$29:$EL$29,1,X367)=1,'Lease Cycles'!$C$29*INDEX('Lease Cycles'!$ET$29:$EZ$29,1,X367)*(1+'Lease Cycles'!$V$29)^INT(INT(X368/12)/'Lease Cycles'!$W$29)/12,0),0)</f>
        <v>0</v>
      </c>
      <c r="Y371" s="28">
        <f>IF(Y369=1,IF(INDEX('Lease Cycles'!$EF$29:$EL$29,1,Y367)=1,'Lease Cycles'!$C$29*INDEX('Lease Cycles'!$ET$29:$EZ$29,1,Y367)*(1+'Lease Cycles'!$V$29)^INT(INT(Y368/12)/'Lease Cycles'!$W$29)/12,0),0)</f>
        <v>0</v>
      </c>
      <c r="Z371" s="28">
        <f>IF(Z369=1,IF(INDEX('Lease Cycles'!$EF$29:$EL$29,1,Z367)=1,'Lease Cycles'!$C$29*INDEX('Lease Cycles'!$ET$29:$EZ$29,1,Z367)*(1+'Lease Cycles'!$V$29)^INT(INT(Z368/12)/'Lease Cycles'!$W$29)/12,0),0)</f>
        <v>0</v>
      </c>
      <c r="AA371" s="28">
        <f>IF(AA369=1,IF(INDEX('Lease Cycles'!$EF$29:$EL$29,1,AA367)=1,'Lease Cycles'!$C$29*INDEX('Lease Cycles'!$ET$29:$EZ$29,1,AA367)*(1+'Lease Cycles'!$V$29)^INT(INT(AA368/12)/'Lease Cycles'!$W$29)/12,0),0)</f>
        <v>0</v>
      </c>
      <c r="AB371" s="28">
        <f>IF(AB369=1,IF(INDEX('Lease Cycles'!$EF$29:$EL$29,1,AB367)=1,'Lease Cycles'!$C$29*INDEX('Lease Cycles'!$ET$29:$EZ$29,1,AB367)*(1+'Lease Cycles'!$V$29)^INT(INT(AB368/12)/'Lease Cycles'!$W$29)/12,0),0)</f>
        <v>0</v>
      </c>
      <c r="AC371" s="28">
        <f>IF(AC369=1,IF(INDEX('Lease Cycles'!$EF$29:$EL$29,1,AC367)=1,'Lease Cycles'!$C$29*INDEX('Lease Cycles'!$ET$29:$EZ$29,1,AC367)*(1+'Lease Cycles'!$V$29)^INT(INT(AC368/12)/'Lease Cycles'!$W$29)/12,0),0)</f>
        <v>0</v>
      </c>
      <c r="AD371" s="28">
        <f>IF(AD369=1,IF(INDEX('Lease Cycles'!$EF$29:$EL$29,1,AD367)=1,'Lease Cycles'!$C$29*INDEX('Lease Cycles'!$ET$29:$EZ$29,1,AD367)*(1+'Lease Cycles'!$V$29)^INT(INT(AD368/12)/'Lease Cycles'!$W$29)/12,0),0)</f>
        <v>0</v>
      </c>
      <c r="AE371" s="28">
        <f>IF(AE369=1,IF(INDEX('Lease Cycles'!$EF$29:$EL$29,1,AE367)=1,'Lease Cycles'!$C$29*INDEX('Lease Cycles'!$ET$29:$EZ$29,1,AE367)*(1+'Lease Cycles'!$V$29)^INT(INT(AE368/12)/'Lease Cycles'!$W$29)/12,0),0)</f>
        <v>0</v>
      </c>
      <c r="AF371" s="28">
        <f>IF(AF369=1,IF(INDEX('Lease Cycles'!$EF$29:$EL$29,1,AF367)=1,'Lease Cycles'!$C$29*INDEX('Lease Cycles'!$ET$29:$EZ$29,1,AF367)*(1+'Lease Cycles'!$V$29)^INT(INT(AF368/12)/'Lease Cycles'!$W$29)/12,0),0)</f>
        <v>0</v>
      </c>
      <c r="AG371" s="28">
        <f>IF(AG369=1,IF(INDEX('Lease Cycles'!$EF$29:$EL$29,1,AG367)=1,'Lease Cycles'!$C$29*INDEX('Lease Cycles'!$ET$29:$EZ$29,1,AG367)*(1+'Lease Cycles'!$V$29)^INT(INT(AG368/12)/'Lease Cycles'!$W$29)/12,0),0)</f>
        <v>0</v>
      </c>
      <c r="AH371" s="28">
        <f>IF(AH369=1,IF(INDEX('Lease Cycles'!$EF$29:$EL$29,1,AH367)=1,'Lease Cycles'!$C$29*INDEX('Lease Cycles'!$ET$29:$EZ$29,1,AH367)*(1+'Lease Cycles'!$V$29)^INT(INT(AH368/12)/'Lease Cycles'!$W$29)/12,0),0)</f>
        <v>0</v>
      </c>
      <c r="AI371" s="28">
        <f>IF(AI369=1,IF(INDEX('Lease Cycles'!$EF$29:$EL$29,1,AI367)=1,'Lease Cycles'!$C$29*INDEX('Lease Cycles'!$ET$29:$EZ$29,1,AI367)*(1+'Lease Cycles'!$V$29)^INT(INT(AI368/12)/'Lease Cycles'!$W$29)/12,0),0)</f>
        <v>0</v>
      </c>
      <c r="AJ371" s="28">
        <f>IF(AJ369=1,IF(INDEX('Lease Cycles'!$EF$29:$EL$29,1,AJ367)=1,'Lease Cycles'!$C$29*INDEX('Lease Cycles'!$ET$29:$EZ$29,1,AJ367)*(1+'Lease Cycles'!$V$29)^INT(INT(AJ368/12)/'Lease Cycles'!$W$29)/12,0),0)</f>
        <v>0</v>
      </c>
      <c r="AK371" s="28">
        <f>IF(AK369=1,IF(INDEX('Lease Cycles'!$EF$29:$EL$29,1,AK367)=1,'Lease Cycles'!$C$29*INDEX('Lease Cycles'!$ET$29:$EZ$29,1,AK367)*(1+'Lease Cycles'!$V$29)^INT(INT(AK368/12)/'Lease Cycles'!$W$29)/12,0),0)</f>
        <v>0</v>
      </c>
      <c r="AL371" s="28">
        <f>IF(AL369=1,IF(INDEX('Lease Cycles'!$EF$29:$EL$29,1,AL367)=1,'Lease Cycles'!$C$29*INDEX('Lease Cycles'!$ET$29:$EZ$29,1,AL367)*(1+'Lease Cycles'!$V$29)^INT(INT(AL368/12)/'Lease Cycles'!$W$29)/12,0),0)</f>
        <v>0</v>
      </c>
      <c r="AM371" s="28">
        <f>IF(AM369=1,IF(INDEX('Lease Cycles'!$EF$29:$EL$29,1,AM367)=1,'Lease Cycles'!$C$29*INDEX('Lease Cycles'!$ET$29:$EZ$29,1,AM367)*(1+'Lease Cycles'!$V$29)^INT(INT(AM368/12)/'Lease Cycles'!$W$29)/12,0),0)</f>
        <v>0</v>
      </c>
      <c r="AN371" s="28">
        <f>IF(AN369=1,IF(INDEX('Lease Cycles'!$EF$29:$EL$29,1,AN367)=1,'Lease Cycles'!$C$29*INDEX('Lease Cycles'!$ET$29:$EZ$29,1,AN367)*(1+'Lease Cycles'!$V$29)^INT(INT(AN368/12)/'Lease Cycles'!$W$29)/12,0),0)</f>
        <v>0</v>
      </c>
      <c r="AO371" s="28">
        <f>IF(AO369=1,IF(INDEX('Lease Cycles'!$EF$29:$EL$29,1,AO367)=1,'Lease Cycles'!$C$29*INDEX('Lease Cycles'!$ET$29:$EZ$29,1,AO367)*(1+'Lease Cycles'!$V$29)^INT(INT(AO368/12)/'Lease Cycles'!$W$29)/12,0),0)</f>
        <v>0</v>
      </c>
      <c r="AP371" s="28">
        <f>IF(AP369=1,IF(INDEX('Lease Cycles'!$EF$29:$EL$29,1,AP367)=1,'Lease Cycles'!$C$29*INDEX('Lease Cycles'!$ET$29:$EZ$29,1,AP367)*(1+'Lease Cycles'!$V$29)^INT(INT(AP368/12)/'Lease Cycles'!$W$29)/12,0),0)</f>
        <v>0</v>
      </c>
      <c r="AQ371" s="28">
        <f>IF(AQ369=1,IF(INDEX('Lease Cycles'!$EF$29:$EL$29,1,AQ367)=1,'Lease Cycles'!$C$29*INDEX('Lease Cycles'!$ET$29:$EZ$29,1,AQ367)*(1+'Lease Cycles'!$V$29)^INT(INT(AQ368/12)/'Lease Cycles'!$W$29)/12,0),0)</f>
        <v>0</v>
      </c>
      <c r="AR371" s="28">
        <f>IF(AR369=1,IF(INDEX('Lease Cycles'!$EF$29:$EL$29,1,AR367)=1,'Lease Cycles'!$C$29*INDEX('Lease Cycles'!$ET$29:$EZ$29,1,AR367)*(1+'Lease Cycles'!$V$29)^INT(INT(AR368/12)/'Lease Cycles'!$W$29)/12,0),0)</f>
        <v>0</v>
      </c>
      <c r="AS371" s="28">
        <f>IF(AS369=1,IF(INDEX('Lease Cycles'!$EF$29:$EL$29,1,AS367)=1,'Lease Cycles'!$C$29*INDEX('Lease Cycles'!$ET$29:$EZ$29,1,AS367)*(1+'Lease Cycles'!$V$29)^INT(INT(AS368/12)/'Lease Cycles'!$W$29)/12,0),0)</f>
        <v>0</v>
      </c>
      <c r="AT371" s="28">
        <f>IF(AT369=1,IF(INDEX('Lease Cycles'!$EF$29:$EL$29,1,AT367)=1,'Lease Cycles'!$C$29*INDEX('Lease Cycles'!$ET$29:$EZ$29,1,AT367)*(1+'Lease Cycles'!$V$29)^INT(INT(AT368/12)/'Lease Cycles'!$W$29)/12,0),0)</f>
        <v>0</v>
      </c>
      <c r="AU371" s="28">
        <f>IF(AU369=1,IF(INDEX('Lease Cycles'!$EF$29:$EL$29,1,AU367)=1,'Lease Cycles'!$C$29*INDEX('Lease Cycles'!$ET$29:$EZ$29,1,AU367)*(1+'Lease Cycles'!$V$29)^INT(INT(AU368/12)/'Lease Cycles'!$W$29)/12,0),0)</f>
        <v>0</v>
      </c>
      <c r="AV371" s="28">
        <f>IF(AV369=1,IF(INDEX('Lease Cycles'!$EF$29:$EL$29,1,AV367)=1,'Lease Cycles'!$C$29*INDEX('Lease Cycles'!$ET$29:$EZ$29,1,AV367)*(1+'Lease Cycles'!$V$29)^INT(INT(AV368/12)/'Lease Cycles'!$W$29)/12,0),0)</f>
        <v>0</v>
      </c>
      <c r="AW371" s="28">
        <f>IF(AW369=1,IF(INDEX('Lease Cycles'!$EF$29:$EL$29,1,AW367)=1,'Lease Cycles'!$C$29*INDEX('Lease Cycles'!$ET$29:$EZ$29,1,AW367)*(1+'Lease Cycles'!$V$29)^INT(INT(AW368/12)/'Lease Cycles'!$W$29)/12,0),0)</f>
        <v>0</v>
      </c>
      <c r="AX371" s="28">
        <f>IF(AX369=1,IF(INDEX('Lease Cycles'!$EF$29:$EL$29,1,AX367)=1,'Lease Cycles'!$C$29*INDEX('Lease Cycles'!$ET$29:$EZ$29,1,AX367)*(1+'Lease Cycles'!$V$29)^INT(INT(AX368/12)/'Lease Cycles'!$W$29)/12,0),0)</f>
        <v>0</v>
      </c>
      <c r="AY371" s="28">
        <f>IF(AY369=1,IF(INDEX('Lease Cycles'!$EF$29:$EL$29,1,AY367)=1,'Lease Cycles'!$C$29*INDEX('Lease Cycles'!$ET$29:$EZ$29,1,AY367)*(1+'Lease Cycles'!$V$29)^INT(INT(AY368/12)/'Lease Cycles'!$W$29)/12,0),0)</f>
        <v>0</v>
      </c>
      <c r="AZ371" s="28">
        <f>IF(AZ369=1,IF(INDEX('Lease Cycles'!$EF$29:$EL$29,1,AZ367)=1,'Lease Cycles'!$C$29*INDEX('Lease Cycles'!$ET$29:$EZ$29,1,AZ367)*(1+'Lease Cycles'!$V$29)^INT(INT(AZ368/12)/'Lease Cycles'!$W$29)/12,0),0)</f>
        <v>0</v>
      </c>
      <c r="BA371" s="28">
        <f>IF(BA369=1,IF(INDEX('Lease Cycles'!$EF$29:$EL$29,1,BA367)=1,'Lease Cycles'!$C$29*INDEX('Lease Cycles'!$ET$29:$EZ$29,1,BA367)*(1+'Lease Cycles'!$V$29)^INT(INT(BA368/12)/'Lease Cycles'!$W$29)/12,0),0)</f>
        <v>0</v>
      </c>
      <c r="BB371" s="28">
        <f>IF(BB369=1,IF(INDEX('Lease Cycles'!$EF$29:$EL$29,1,BB367)=1,'Lease Cycles'!$C$29*INDEX('Lease Cycles'!$ET$29:$EZ$29,1,BB367)*(1+'Lease Cycles'!$V$29)^INT(INT(BB368/12)/'Lease Cycles'!$W$29)/12,0),0)</f>
        <v>0</v>
      </c>
      <c r="BC371" s="28">
        <f>IF(BC369=1,IF(INDEX('Lease Cycles'!$EF$29:$EL$29,1,BC367)=1,'Lease Cycles'!$C$29*INDEX('Lease Cycles'!$ET$29:$EZ$29,1,BC367)*(1+'Lease Cycles'!$V$29)^INT(INT(BC368/12)/'Lease Cycles'!$W$29)/12,0),0)</f>
        <v>0</v>
      </c>
      <c r="BD371" s="28">
        <f>IF(BD369=1,IF(INDEX('Lease Cycles'!$EF$29:$EL$29,1,BD367)=1,'Lease Cycles'!$C$29*INDEX('Lease Cycles'!$ET$29:$EZ$29,1,BD367)*(1+'Lease Cycles'!$V$29)^INT(INT(BD368/12)/'Lease Cycles'!$W$29)/12,0),0)</f>
        <v>0</v>
      </c>
      <c r="BE371" s="28">
        <f>IF(BE369=1,IF(INDEX('Lease Cycles'!$EF$29:$EL$29,1,BE367)=1,'Lease Cycles'!$C$29*INDEX('Lease Cycles'!$ET$29:$EZ$29,1,BE367)*(1+'Lease Cycles'!$V$29)^INT(INT(BE368/12)/'Lease Cycles'!$W$29)/12,0),0)</f>
        <v>0</v>
      </c>
      <c r="BF371" s="28">
        <f>IF(BF369=1,IF(INDEX('Lease Cycles'!$EF$29:$EL$29,1,BF367)=1,'Lease Cycles'!$C$29*INDEX('Lease Cycles'!$ET$29:$EZ$29,1,BF367)*(1+'Lease Cycles'!$V$29)^INT(INT(BF368/12)/'Lease Cycles'!$W$29)/12,0),0)</f>
        <v>0</v>
      </c>
      <c r="BG371" s="28">
        <f>IF(BG369=1,IF(INDEX('Lease Cycles'!$EF$29:$EL$29,1,BG367)=1,'Lease Cycles'!$C$29*INDEX('Lease Cycles'!$ET$29:$EZ$29,1,BG367)*(1+'Lease Cycles'!$V$29)^INT(INT(BG368/12)/'Lease Cycles'!$W$29)/12,0),0)</f>
        <v>0</v>
      </c>
      <c r="BH371" s="28">
        <f>IF(BH369=1,IF(INDEX('Lease Cycles'!$EF$29:$EL$29,1,BH367)=1,'Lease Cycles'!$C$29*INDEX('Lease Cycles'!$ET$29:$EZ$29,1,BH367)*(1+'Lease Cycles'!$V$29)^INT(INT(BH368/12)/'Lease Cycles'!$W$29)/12,0),0)</f>
        <v>0</v>
      </c>
      <c r="BI371" s="28">
        <f>IF(BI369=1,IF(INDEX('Lease Cycles'!$EF$29:$EL$29,1,BI367)=1,'Lease Cycles'!$C$29*INDEX('Lease Cycles'!$ET$29:$EZ$29,1,BI367)*(1+'Lease Cycles'!$V$29)^INT(INT(BI368/12)/'Lease Cycles'!$W$29)/12,0),0)</f>
        <v>0</v>
      </c>
      <c r="BJ371" s="28">
        <f>IF(BJ369=1,IF(INDEX('Lease Cycles'!$EF$29:$EL$29,1,BJ367)=1,'Lease Cycles'!$C$29*INDEX('Lease Cycles'!$ET$29:$EZ$29,1,BJ367)*(1+'Lease Cycles'!$V$29)^INT(INT(BJ368/12)/'Lease Cycles'!$W$29)/12,0),0)</f>
        <v>0</v>
      </c>
      <c r="BK371" s="28">
        <f>IF(BK369=1,IF(INDEX('Lease Cycles'!$EF$29:$EL$29,1,BK367)=1,'Lease Cycles'!$C$29*INDEX('Lease Cycles'!$ET$29:$EZ$29,1,BK367)*(1+'Lease Cycles'!$V$29)^INT(INT(BK368/12)/'Lease Cycles'!$W$29)/12,0),0)</f>
        <v>0</v>
      </c>
      <c r="BL371" s="28">
        <f>IF(BL369=1,IF(INDEX('Lease Cycles'!$EF$29:$EL$29,1,BL367)=1,'Lease Cycles'!$C$29*INDEX('Lease Cycles'!$ET$29:$EZ$29,1,BL367)*(1+'Lease Cycles'!$V$29)^INT(INT(BL368/12)/'Lease Cycles'!$W$29)/12,0),0)</f>
        <v>0</v>
      </c>
      <c r="BM371" s="28">
        <f>IF(BM369=1,IF(INDEX('Lease Cycles'!$EF$29:$EL$29,1,BM367)=1,'Lease Cycles'!$C$29*INDEX('Lease Cycles'!$ET$29:$EZ$29,1,BM367)*(1+'Lease Cycles'!$V$29)^INT(INT(BM368/12)/'Lease Cycles'!$W$29)/12,0),0)</f>
        <v>0</v>
      </c>
      <c r="BN371" s="28">
        <f>IF(BN369=1,IF(INDEX('Lease Cycles'!$EF$29:$EL$29,1,BN367)=1,'Lease Cycles'!$C$29*INDEX('Lease Cycles'!$ET$29:$EZ$29,1,BN367)*(1+'Lease Cycles'!$V$29)^INT(INT(BN368/12)/'Lease Cycles'!$W$29)/12,0),0)</f>
        <v>0</v>
      </c>
      <c r="BO371" s="28">
        <f>IF(BO369=1,IF(INDEX('Lease Cycles'!$EF$29:$EL$29,1,BO367)=1,'Lease Cycles'!$C$29*INDEX('Lease Cycles'!$ET$29:$EZ$29,1,BO367)*(1+'Lease Cycles'!$V$29)^INT(INT(BO368/12)/'Lease Cycles'!$W$29)/12,0),0)</f>
        <v>0</v>
      </c>
      <c r="BP371" s="28">
        <f>IF(BP369=1,IF(INDEX('Lease Cycles'!$EF$29:$EL$29,1,BP367)=1,'Lease Cycles'!$C$29*INDEX('Lease Cycles'!$ET$29:$EZ$29,1,BP367)*(1+'Lease Cycles'!$V$29)^INT(INT(BP368/12)/'Lease Cycles'!$W$29)/12,0),0)</f>
        <v>0</v>
      </c>
      <c r="BQ371" s="28">
        <f>IF(BQ369=1,IF(INDEX('Lease Cycles'!$EF$29:$EL$29,1,BQ367)=1,'Lease Cycles'!$C$29*INDEX('Lease Cycles'!$ET$29:$EZ$29,1,BQ367)*(1+'Lease Cycles'!$V$29)^INT(INT(BQ368/12)/'Lease Cycles'!$W$29)/12,0),0)</f>
        <v>0</v>
      </c>
      <c r="BR371" s="28">
        <f>IF(BR369=1,IF(INDEX('Lease Cycles'!$EF$29:$EL$29,1,BR367)=1,'Lease Cycles'!$C$29*INDEX('Lease Cycles'!$ET$29:$EZ$29,1,BR367)*(1+'Lease Cycles'!$V$29)^INT(INT(BR368/12)/'Lease Cycles'!$W$29)/12,0),0)</f>
        <v>0</v>
      </c>
      <c r="BS371" s="28">
        <f>IF(BS369=1,IF(INDEX('Lease Cycles'!$EF$29:$EL$29,1,BS367)=1,'Lease Cycles'!$C$29*INDEX('Lease Cycles'!$ET$29:$EZ$29,1,BS367)*(1+'Lease Cycles'!$V$29)^INT(INT(BS368/12)/'Lease Cycles'!$W$29)/12,0),0)</f>
        <v>0</v>
      </c>
      <c r="BT371" s="28">
        <f>IF(BT369=1,IF(INDEX('Lease Cycles'!$EF$29:$EL$29,1,BT367)=1,'Lease Cycles'!$C$29*INDEX('Lease Cycles'!$ET$29:$EZ$29,1,BT367)*(1+'Lease Cycles'!$V$29)^INT(INT(BT368/12)/'Lease Cycles'!$W$29)/12,0),0)</f>
        <v>0</v>
      </c>
      <c r="BU371" s="28">
        <f>IF(BU369=1,IF(INDEX('Lease Cycles'!$EF$29:$EL$29,1,BU367)=1,'Lease Cycles'!$C$29*INDEX('Lease Cycles'!$ET$29:$EZ$29,1,BU367)*(1+'Lease Cycles'!$V$29)^INT(INT(BU368/12)/'Lease Cycles'!$W$29)/12,0),0)</f>
        <v>0</v>
      </c>
      <c r="BV371" s="28">
        <f>IF(BV369=1,IF(INDEX('Lease Cycles'!$EF$29:$EL$29,1,BV367)=1,'Lease Cycles'!$C$29*INDEX('Lease Cycles'!$ET$29:$EZ$29,1,BV367)*(1+'Lease Cycles'!$V$29)^INT(INT(BV368/12)/'Lease Cycles'!$W$29)/12,0),0)</f>
        <v>0</v>
      </c>
      <c r="BW371" s="28">
        <f>IF(BW369=1,IF(INDEX('Lease Cycles'!$EF$29:$EL$29,1,BW367)=1,'Lease Cycles'!$C$29*INDEX('Lease Cycles'!$ET$29:$EZ$29,1,BW367)*(1+'Lease Cycles'!$V$29)^INT(INT(BW368/12)/'Lease Cycles'!$W$29)/12,0),0)</f>
        <v>0</v>
      </c>
      <c r="BX371" s="28">
        <f>IF(BX369=1,IF(INDEX('Lease Cycles'!$EF$29:$EL$29,1,BX367)=1,'Lease Cycles'!$C$29*INDEX('Lease Cycles'!$ET$29:$EZ$29,1,BX367)*(1+'Lease Cycles'!$V$29)^INT(INT(BX368/12)/'Lease Cycles'!$W$29)/12,0),0)</f>
        <v>0</v>
      </c>
      <c r="BY371" s="28">
        <f>IF(BY369=1,IF(INDEX('Lease Cycles'!$EF$29:$EL$29,1,BY367)=1,'Lease Cycles'!$C$29*INDEX('Lease Cycles'!$ET$29:$EZ$29,1,BY367)*(1+'Lease Cycles'!$V$29)^INT(INT(BY368/12)/'Lease Cycles'!$W$29)/12,0),0)</f>
        <v>0</v>
      </c>
      <c r="BZ371" s="28">
        <f>IF(BZ369=1,IF(INDEX('Lease Cycles'!$EF$29:$EL$29,1,BZ367)=1,'Lease Cycles'!$C$29*INDEX('Lease Cycles'!$ET$29:$EZ$29,1,BZ367)*(1+'Lease Cycles'!$V$29)^INT(INT(BZ368/12)/'Lease Cycles'!$W$29)/12,0),0)</f>
        <v>0</v>
      </c>
      <c r="CA371" s="28">
        <f>IF(CA369=1,IF(INDEX('Lease Cycles'!$EF$29:$EL$29,1,CA367)=1,'Lease Cycles'!$C$29*INDEX('Lease Cycles'!$ET$29:$EZ$29,1,CA367)*(1+'Lease Cycles'!$V$29)^INT(INT(CA368/12)/'Lease Cycles'!$W$29)/12,0),0)</f>
        <v>0</v>
      </c>
      <c r="CB371" s="28">
        <f>IF(CB369=1,IF(INDEX('Lease Cycles'!$EF$29:$EL$29,1,CB367)=1,'Lease Cycles'!$C$29*INDEX('Lease Cycles'!$ET$29:$EZ$29,1,CB367)*(1+'Lease Cycles'!$V$29)^INT(INT(CB368/12)/'Lease Cycles'!$W$29)/12,0),0)</f>
        <v>0</v>
      </c>
      <c r="CC371" s="28">
        <f>IF(CC369=1,IF(INDEX('Lease Cycles'!$EF$29:$EL$29,1,CC367)=1,'Lease Cycles'!$C$29*INDEX('Lease Cycles'!$ET$29:$EZ$29,1,CC367)*(1+'Lease Cycles'!$V$29)^INT(INT(CC368/12)/'Lease Cycles'!$W$29)/12,0),0)</f>
        <v>0</v>
      </c>
      <c r="CD371" s="28">
        <f>IF(CD369=1,IF(INDEX('Lease Cycles'!$EF$29:$EL$29,1,CD367)=1,'Lease Cycles'!$C$29*INDEX('Lease Cycles'!$ET$29:$EZ$29,1,CD367)*(1+'Lease Cycles'!$V$29)^INT(INT(CD368/12)/'Lease Cycles'!$W$29)/12,0),0)</f>
        <v>0</v>
      </c>
      <c r="CE371" s="28">
        <f>IF(CE369=1,IF(INDEX('Lease Cycles'!$EF$29:$EL$29,1,CE367)=1,'Lease Cycles'!$C$29*INDEX('Lease Cycles'!$ET$29:$EZ$29,1,CE367)*(1+'Lease Cycles'!$V$29)^INT(INT(CE368/12)/'Lease Cycles'!$W$29)/12,0),0)</f>
        <v>0</v>
      </c>
      <c r="CF371" s="28">
        <f>IF(CF369=1,IF(INDEX('Lease Cycles'!$EF$29:$EL$29,1,CF367)=1,'Lease Cycles'!$C$29*INDEX('Lease Cycles'!$ET$29:$EZ$29,1,CF367)*(1+'Lease Cycles'!$V$29)^INT(INT(CF368/12)/'Lease Cycles'!$W$29)/12,0),0)</f>
        <v>0</v>
      </c>
      <c r="CG371" s="28">
        <f>IF(CG369=1,IF(INDEX('Lease Cycles'!$EF$29:$EL$29,1,CG367)=1,'Lease Cycles'!$C$29*INDEX('Lease Cycles'!$ET$29:$EZ$29,1,CG367)*(1+'Lease Cycles'!$V$29)^INT(INT(CG368/12)/'Lease Cycles'!$W$29)/12,0),0)</f>
        <v>0</v>
      </c>
      <c r="CH371" s="28">
        <f>IF(CH369=1,IF(INDEX('Lease Cycles'!$EF$29:$EL$29,1,CH367)=1,'Lease Cycles'!$C$29*INDEX('Lease Cycles'!$ET$29:$EZ$29,1,CH367)*(1+'Lease Cycles'!$V$29)^INT(INT(CH368/12)/'Lease Cycles'!$W$29)/12,0),0)</f>
        <v>0</v>
      </c>
      <c r="CI371" s="28">
        <f>IF(CI369=1,IF(INDEX('Lease Cycles'!$EF$29:$EL$29,1,CI367)=1,'Lease Cycles'!$C$29*INDEX('Lease Cycles'!$ET$29:$EZ$29,1,CI367)*(1+'Lease Cycles'!$V$29)^INT(INT(CI368/12)/'Lease Cycles'!$W$29)/12,0),0)</f>
        <v>0</v>
      </c>
      <c r="CJ371" s="28">
        <f>IF(CJ369=1,IF(INDEX('Lease Cycles'!$EF$29:$EL$29,1,CJ367)=1,'Lease Cycles'!$C$29*INDEX('Lease Cycles'!$ET$29:$EZ$29,1,CJ367)*(1+'Lease Cycles'!$V$29)^INT(INT(CJ368/12)/'Lease Cycles'!$W$29)/12,0),0)</f>
        <v>0</v>
      </c>
      <c r="CK371" s="28">
        <f>IF(CK369=1,IF(INDEX('Lease Cycles'!$EF$29:$EL$29,1,CK367)=1,'Lease Cycles'!$C$29*INDEX('Lease Cycles'!$ET$29:$EZ$29,1,CK367)*(1+'Lease Cycles'!$V$29)^INT(INT(CK368/12)/'Lease Cycles'!$W$29)/12,0),0)</f>
        <v>0</v>
      </c>
      <c r="CL371" s="28">
        <f>IF(CL369=1,IF(INDEX('Lease Cycles'!$EF$29:$EL$29,1,CL367)=1,'Lease Cycles'!$C$29*INDEX('Lease Cycles'!$ET$29:$EZ$29,1,CL367)*(1+'Lease Cycles'!$V$29)^INT(INT(CL368/12)/'Lease Cycles'!$W$29)/12,0),0)</f>
        <v>0</v>
      </c>
      <c r="CM371" s="28">
        <f>IF(CM369=1,IF(INDEX('Lease Cycles'!$EF$29:$EL$29,1,CM367)=1,'Lease Cycles'!$C$29*INDEX('Lease Cycles'!$ET$29:$EZ$29,1,CM367)*(1+'Lease Cycles'!$V$29)^INT(INT(CM368/12)/'Lease Cycles'!$W$29)/12,0),0)</f>
        <v>0</v>
      </c>
      <c r="CN371" s="28">
        <f>IF(CN369=1,IF(INDEX('Lease Cycles'!$EF$29:$EL$29,1,CN367)=1,'Lease Cycles'!$C$29*INDEX('Lease Cycles'!$ET$29:$EZ$29,1,CN367)*(1+'Lease Cycles'!$V$29)^INT(INT(CN368/12)/'Lease Cycles'!$W$29)/12,0),0)</f>
        <v>0</v>
      </c>
      <c r="CO371" s="28">
        <f>IF(CO369=1,IF(INDEX('Lease Cycles'!$EF$29:$EL$29,1,CO367)=1,'Lease Cycles'!$C$29*INDEX('Lease Cycles'!$ET$29:$EZ$29,1,CO367)*(1+'Lease Cycles'!$V$29)^INT(INT(CO368/12)/'Lease Cycles'!$W$29)/12,0),0)</f>
        <v>0</v>
      </c>
      <c r="CP371" s="28">
        <f>IF(CP369=1,IF(INDEX('Lease Cycles'!$EF$29:$EL$29,1,CP367)=1,'Lease Cycles'!$C$29*INDEX('Lease Cycles'!$ET$29:$EZ$29,1,CP367)*(1+'Lease Cycles'!$V$29)^INT(INT(CP368/12)/'Lease Cycles'!$W$29)/12,0),0)</f>
        <v>0</v>
      </c>
      <c r="CQ371" s="28">
        <f>IF(CQ369=1,IF(INDEX('Lease Cycles'!$EF$29:$EL$29,1,CQ367)=1,'Lease Cycles'!$C$29*INDEX('Lease Cycles'!$ET$29:$EZ$29,1,CQ367)*(1+'Lease Cycles'!$V$29)^INT(INT(CQ368/12)/'Lease Cycles'!$W$29)/12,0),0)</f>
        <v>0</v>
      </c>
      <c r="CR371" s="28">
        <f>IF(CR369=1,IF(INDEX('Lease Cycles'!$EF$29:$EL$29,1,CR367)=1,'Lease Cycles'!$C$29*INDEX('Lease Cycles'!$ET$29:$EZ$29,1,CR367)*(1+'Lease Cycles'!$V$29)^INT(INT(CR368/12)/'Lease Cycles'!$W$29)/12,0),0)</f>
        <v>0</v>
      </c>
      <c r="CS371" s="28">
        <f>IF(CS369=1,IF(INDEX('Lease Cycles'!$EF$29:$EL$29,1,CS367)=1,'Lease Cycles'!$C$29*INDEX('Lease Cycles'!$ET$29:$EZ$29,1,CS367)*(1+'Lease Cycles'!$V$29)^INT(INT(CS368/12)/'Lease Cycles'!$W$29)/12,0),0)</f>
        <v>0</v>
      </c>
      <c r="CT371" s="28">
        <f>IF(CT369=1,IF(INDEX('Lease Cycles'!$EF$29:$EL$29,1,CT367)=1,'Lease Cycles'!$C$29*INDEX('Lease Cycles'!$ET$29:$EZ$29,1,CT367)*(1+'Lease Cycles'!$V$29)^INT(INT(CT368/12)/'Lease Cycles'!$W$29)/12,0),0)</f>
        <v>0</v>
      </c>
      <c r="CU371" s="28">
        <f>IF(CU369=1,IF(INDEX('Lease Cycles'!$EF$29:$EL$29,1,CU367)=1,'Lease Cycles'!$C$29*INDEX('Lease Cycles'!$ET$29:$EZ$29,1,CU367)*(1+'Lease Cycles'!$V$29)^INT(INT(CU368/12)/'Lease Cycles'!$W$29)/12,0),0)</f>
        <v>0</v>
      </c>
      <c r="CV371" s="28">
        <f>IF(CV369=1,IF(INDEX('Lease Cycles'!$EF$29:$EL$29,1,CV367)=1,'Lease Cycles'!$C$29*INDEX('Lease Cycles'!$ET$29:$EZ$29,1,CV367)*(1+'Lease Cycles'!$V$29)^INT(INT(CV368/12)/'Lease Cycles'!$W$29)/12,0),0)</f>
        <v>0</v>
      </c>
      <c r="CW371" s="28">
        <f>IF(CW369=1,IF(INDEX('Lease Cycles'!$EF$29:$EL$29,1,CW367)=1,'Lease Cycles'!$C$29*INDEX('Lease Cycles'!$ET$29:$EZ$29,1,CW367)*(1+'Lease Cycles'!$V$29)^INT(INT(CW368/12)/'Lease Cycles'!$W$29)/12,0),0)</f>
        <v>0</v>
      </c>
      <c r="CX371" s="28">
        <f>IF(CX369=1,IF(INDEX('Lease Cycles'!$EF$29:$EL$29,1,CX367)=1,'Lease Cycles'!$C$29*INDEX('Lease Cycles'!$ET$29:$EZ$29,1,CX367)*(1+'Lease Cycles'!$V$29)^INT(INT(CX368/12)/'Lease Cycles'!$W$29)/12,0),0)</f>
        <v>0</v>
      </c>
      <c r="CY371" s="28">
        <f>IF(CY369=1,IF(INDEX('Lease Cycles'!$EF$29:$EL$29,1,CY367)=1,'Lease Cycles'!$C$29*INDEX('Lease Cycles'!$ET$29:$EZ$29,1,CY367)*(1+'Lease Cycles'!$V$29)^INT(INT(CY368/12)/'Lease Cycles'!$W$29)/12,0),0)</f>
        <v>0</v>
      </c>
      <c r="CZ371" s="28">
        <f>IF(CZ369=1,IF(INDEX('Lease Cycles'!$EF$29:$EL$29,1,CZ367)=1,'Lease Cycles'!$C$29*INDEX('Lease Cycles'!$ET$29:$EZ$29,1,CZ367)*(1+'Lease Cycles'!$V$29)^INT(INT(CZ368/12)/'Lease Cycles'!$W$29)/12,0),0)</f>
        <v>0</v>
      </c>
      <c r="DA371" s="28">
        <f>IF(DA369=1,IF(INDEX('Lease Cycles'!$EF$29:$EL$29,1,DA367)=1,'Lease Cycles'!$C$29*INDEX('Lease Cycles'!$ET$29:$EZ$29,1,DA367)*(1+'Lease Cycles'!$V$29)^INT(INT(DA368/12)/'Lease Cycles'!$W$29)/12,0),0)</f>
        <v>0</v>
      </c>
      <c r="DB371" s="28">
        <f>IF(DB369=1,IF(INDEX('Lease Cycles'!$EF$29:$EL$29,1,DB367)=1,'Lease Cycles'!$C$29*INDEX('Lease Cycles'!$ET$29:$EZ$29,1,DB367)*(1+'Lease Cycles'!$V$29)^INT(INT(DB368/12)/'Lease Cycles'!$W$29)/12,0),0)</f>
        <v>0</v>
      </c>
      <c r="DC371" s="28">
        <f>IF(DC369=1,IF(INDEX('Lease Cycles'!$EF$29:$EL$29,1,DC367)=1,'Lease Cycles'!$C$29*INDEX('Lease Cycles'!$ET$29:$EZ$29,1,DC367)*(1+'Lease Cycles'!$V$29)^INT(INT(DC368/12)/'Lease Cycles'!$W$29)/12,0),0)</f>
        <v>0</v>
      </c>
      <c r="DD371" s="28">
        <f>IF(DD369=1,IF(INDEX('Lease Cycles'!$EF$29:$EL$29,1,DD367)=1,'Lease Cycles'!$C$29*INDEX('Lease Cycles'!$ET$29:$EZ$29,1,DD367)*(1+'Lease Cycles'!$V$29)^INT(INT(DD368/12)/'Lease Cycles'!$W$29)/12,0),0)</f>
        <v>0</v>
      </c>
      <c r="DE371" s="28">
        <f>IF(DE369=1,IF(INDEX('Lease Cycles'!$EF$29:$EL$29,1,DE367)=1,'Lease Cycles'!$C$29*INDEX('Lease Cycles'!$ET$29:$EZ$29,1,DE367)*(1+'Lease Cycles'!$V$29)^INT(INT(DE368/12)/'Lease Cycles'!$W$29)/12,0),0)</f>
        <v>0</v>
      </c>
      <c r="DF371" s="28">
        <f>IF(DF369=1,IF(INDEX('Lease Cycles'!$EF$29:$EL$29,1,DF367)=1,'Lease Cycles'!$C$29*INDEX('Lease Cycles'!$ET$29:$EZ$29,1,DF367)*(1+'Lease Cycles'!$V$29)^INT(INT(DF368/12)/'Lease Cycles'!$W$29)/12,0),0)</f>
        <v>0</v>
      </c>
      <c r="DG371" s="28">
        <f>IF(DG369=1,IF(INDEX('Lease Cycles'!$EF$29:$EL$29,1,DG367)=1,'Lease Cycles'!$C$29*INDEX('Lease Cycles'!$ET$29:$EZ$29,1,DG367)*(1+'Lease Cycles'!$V$29)^INT(INT(DG368/12)/'Lease Cycles'!$W$29)/12,0),0)</f>
        <v>0</v>
      </c>
      <c r="DH371" s="28">
        <f>IF(DH369=1,IF(INDEX('Lease Cycles'!$EF$29:$EL$29,1,DH367)=1,'Lease Cycles'!$C$29*INDEX('Lease Cycles'!$ET$29:$EZ$29,1,DH367)*(1+'Lease Cycles'!$V$29)^INT(INT(DH368/12)/'Lease Cycles'!$W$29)/12,0),0)</f>
        <v>0</v>
      </c>
      <c r="DI371" s="28">
        <f>IF(DI369=1,IF(INDEX('Lease Cycles'!$EF$29:$EL$29,1,DI367)=1,'Lease Cycles'!$C$29*INDEX('Lease Cycles'!$ET$29:$EZ$29,1,DI367)*(1+'Lease Cycles'!$V$29)^INT(INT(DI368/12)/'Lease Cycles'!$W$29)/12,0),0)</f>
        <v>0</v>
      </c>
      <c r="DJ371" s="28">
        <f>IF(DJ369=1,IF(INDEX('Lease Cycles'!$EF$29:$EL$29,1,DJ367)=1,'Lease Cycles'!$C$29*INDEX('Lease Cycles'!$ET$29:$EZ$29,1,DJ367)*(1+'Lease Cycles'!$V$29)^INT(INT(DJ368/12)/'Lease Cycles'!$W$29)/12,0),0)</f>
        <v>0</v>
      </c>
      <c r="DK371" s="28">
        <f>IF(DK369=1,IF(INDEX('Lease Cycles'!$EF$29:$EL$29,1,DK367)=1,'Lease Cycles'!$C$29*INDEX('Lease Cycles'!$ET$29:$EZ$29,1,DK367)*(1+'Lease Cycles'!$V$29)^INT(INT(DK368/12)/'Lease Cycles'!$W$29)/12,0),0)</f>
        <v>0</v>
      </c>
      <c r="DL371" s="28">
        <f>IF(DL369=1,IF(INDEX('Lease Cycles'!$EF$29:$EL$29,1,DL367)=1,'Lease Cycles'!$C$29*INDEX('Lease Cycles'!$ET$29:$EZ$29,1,DL367)*(1+'Lease Cycles'!$V$29)^INT(INT(DL368/12)/'Lease Cycles'!$W$29)/12,0),0)</f>
        <v>0</v>
      </c>
      <c r="DM371" s="28">
        <f>IF(DM369=1,IF(INDEX('Lease Cycles'!$EF$29:$EL$29,1,DM367)=1,'Lease Cycles'!$C$29*INDEX('Lease Cycles'!$ET$29:$EZ$29,1,DM367)*(1+'Lease Cycles'!$V$29)^INT(INT(DM368/12)/'Lease Cycles'!$W$29)/12,0),0)</f>
        <v>0</v>
      </c>
      <c r="DN371" s="28">
        <f>IF(DN369=1,IF(INDEX('Lease Cycles'!$EF$29:$EL$29,1,DN367)=1,'Lease Cycles'!$C$29*INDEX('Lease Cycles'!$ET$29:$EZ$29,1,DN367)*(1+'Lease Cycles'!$V$29)^INT(INT(DN368/12)/'Lease Cycles'!$W$29)/12,0),0)</f>
        <v>0</v>
      </c>
      <c r="DO371" s="28">
        <f>IF(DO369=1,IF(INDEX('Lease Cycles'!$EF$29:$EL$29,1,DO367)=1,'Lease Cycles'!$C$29*INDEX('Lease Cycles'!$ET$29:$EZ$29,1,DO367)*(1+'Lease Cycles'!$V$29)^INT(INT(DO368/12)/'Lease Cycles'!$W$29)/12,0),0)</f>
        <v>0</v>
      </c>
      <c r="DP371" s="28">
        <f>IF(DP369=1,IF(INDEX('Lease Cycles'!$EF$29:$EL$29,1,DP367)=1,'Lease Cycles'!$C$29*INDEX('Lease Cycles'!$ET$29:$EZ$29,1,DP367)*(1+'Lease Cycles'!$V$29)^INT(INT(DP368/12)/'Lease Cycles'!$W$29)/12,0),0)</f>
        <v>0</v>
      </c>
      <c r="DQ371" s="28">
        <f>IF(DQ369=1,IF(INDEX('Lease Cycles'!$EF$29:$EL$29,1,DQ367)=1,'Lease Cycles'!$C$29*INDEX('Lease Cycles'!$ET$29:$EZ$29,1,DQ367)*(1+'Lease Cycles'!$V$29)^INT(INT(DQ368/12)/'Lease Cycles'!$W$29)/12,0),0)</f>
        <v>0</v>
      </c>
      <c r="DR371" s="28">
        <f>IF(DR369=1,IF(INDEX('Lease Cycles'!$EF$29:$EL$29,1,DR367)=1,'Lease Cycles'!$C$29*INDEX('Lease Cycles'!$ET$29:$EZ$29,1,DR367)*(1+'Lease Cycles'!$V$29)^INT(INT(DR368/12)/'Lease Cycles'!$W$29)/12,0),0)</f>
        <v>0</v>
      </c>
      <c r="DS371" s="28">
        <f>IF(DS369=1,IF(INDEX('Lease Cycles'!$EF$29:$EL$29,1,DS367)=1,'Lease Cycles'!$C$29*INDEX('Lease Cycles'!$ET$29:$EZ$29,1,DS367)*(1+'Lease Cycles'!$V$29)^INT(INT(DS368/12)/'Lease Cycles'!$W$29)/12,0),0)</f>
        <v>0</v>
      </c>
      <c r="DT371" s="28">
        <f>IF(DT369=1,IF(INDEX('Lease Cycles'!$EF$29:$EL$29,1,DT367)=1,'Lease Cycles'!$C$29*INDEX('Lease Cycles'!$ET$29:$EZ$29,1,DT367)*(1+'Lease Cycles'!$V$29)^INT(INT(DT368/12)/'Lease Cycles'!$W$29)/12,0),0)</f>
        <v>0</v>
      </c>
      <c r="DU371" s="28">
        <f>IF(DU369=1,IF(INDEX('Lease Cycles'!$EF$29:$EL$29,1,DU367)=1,'Lease Cycles'!$C$29*INDEX('Lease Cycles'!$ET$29:$EZ$29,1,DU367)*(1+'Lease Cycles'!$V$29)^INT(INT(DU368/12)/'Lease Cycles'!$W$29)/12,0),0)</f>
        <v>0</v>
      </c>
      <c r="DV371" s="28">
        <f>IF(DV369=1,IF(INDEX('Lease Cycles'!$EF$29:$EL$29,1,DV367)=1,'Lease Cycles'!$C$29*INDEX('Lease Cycles'!$ET$29:$EZ$29,1,DV367)*(1+'Lease Cycles'!$V$29)^INT(INT(DV368/12)/'Lease Cycles'!$W$29)/12,0),0)</f>
        <v>0</v>
      </c>
      <c r="DW371" s="28">
        <f>IF(DW369=1,IF(INDEX('Lease Cycles'!$EF$29:$EL$29,1,DW367)=1,'Lease Cycles'!$C$29*INDEX('Lease Cycles'!$ET$29:$EZ$29,1,DW367)*(1+'Lease Cycles'!$V$29)^INT(INT(DW368/12)/'Lease Cycles'!$W$29)/12,0),0)</f>
        <v>0</v>
      </c>
      <c r="DX371" s="28">
        <f>IF(DX369=1,IF(INDEX('Lease Cycles'!$EF$29:$EL$29,1,DX367)=1,'Lease Cycles'!$C$29*INDEX('Lease Cycles'!$ET$29:$EZ$29,1,DX367)*(1+'Lease Cycles'!$V$29)^INT(INT(DX368/12)/'Lease Cycles'!$W$29)/12,0),0)</f>
        <v>0</v>
      </c>
      <c r="DY371" s="28">
        <f>IF(DY369=1,IF(INDEX('Lease Cycles'!$EF$29:$EL$29,1,DY367)=1,'Lease Cycles'!$C$29*INDEX('Lease Cycles'!$ET$29:$EZ$29,1,DY367)*(1+'Lease Cycles'!$V$29)^INT(INT(DY368/12)/'Lease Cycles'!$W$29)/12,0),0)</f>
        <v>0</v>
      </c>
      <c r="DZ371" s="28">
        <f>IF(DZ369=1,IF(INDEX('Lease Cycles'!$EF$29:$EL$29,1,DZ367)=1,'Lease Cycles'!$C$29*INDEX('Lease Cycles'!$ET$29:$EZ$29,1,DZ367)*(1+'Lease Cycles'!$V$29)^INT(INT(DZ368/12)/'Lease Cycles'!$W$29)/12,0),0)</f>
        <v>0</v>
      </c>
      <c r="EA371" s="28">
        <f>IF(EA369=1,IF(INDEX('Lease Cycles'!$EF$29:$EL$29,1,EA367)=1,'Lease Cycles'!$C$29*INDEX('Lease Cycles'!$ET$29:$EZ$29,1,EA367)*(1+'Lease Cycles'!$V$29)^INT(INT(EA368/12)/'Lease Cycles'!$W$29)/12,0),0)</f>
        <v>0</v>
      </c>
      <c r="EB371" s="28">
        <f>IF(EB369=1,IF(INDEX('Lease Cycles'!$EF$29:$EL$29,1,EB367)=1,'Lease Cycles'!$C$29*INDEX('Lease Cycles'!$ET$29:$EZ$29,1,EB367)*(1+'Lease Cycles'!$V$29)^INT(INT(EB368/12)/'Lease Cycles'!$W$29)/12,0),0)</f>
        <v>0</v>
      </c>
      <c r="EC371" s="28">
        <f>IF(EC369=1,IF(INDEX('Lease Cycles'!$EF$29:$EL$29,1,EC367)=1,'Lease Cycles'!$C$29*INDEX('Lease Cycles'!$ET$29:$EZ$29,1,EC367)*(1+'Lease Cycles'!$V$29)^INT(INT(EC368/12)/'Lease Cycles'!$W$29)/12,0),0)</f>
        <v>0</v>
      </c>
      <c r="ED371" s="28">
        <f>IF(ED369=1,IF(INDEX('Lease Cycles'!$EF$29:$EL$29,1,ED367)=1,'Lease Cycles'!$C$29*INDEX('Lease Cycles'!$ET$29:$EZ$29,1,ED367)*(1+'Lease Cycles'!$V$29)^INT(INT(ED368/12)/'Lease Cycles'!$W$29)/12,0),0)</f>
        <v>0</v>
      </c>
      <c r="EE371" s="28">
        <f>IF(EE369=1,IF(INDEX('Lease Cycles'!$EF$29:$EL$29,1,EE367)=1,'Lease Cycles'!$C$29*INDEX('Lease Cycles'!$ET$29:$EZ$29,1,EE367)*(1+'Lease Cycles'!$V$29)^INT(INT(EE368/12)/'Lease Cycles'!$W$29)/12,0),0)</f>
        <v>0</v>
      </c>
      <c r="EF371" s="28">
        <f>IF(EF369=1,IF(INDEX('Lease Cycles'!$EF$29:$EL$29,1,EF367)=1,'Lease Cycles'!$C$29*INDEX('Lease Cycles'!$ET$29:$EZ$29,1,EF367)*(1+'Lease Cycles'!$V$29)^INT(INT(EF368/12)/'Lease Cycles'!$W$29)/12,0),0)</f>
        <v>0</v>
      </c>
      <c r="EG371" s="28">
        <f>IF(EG369=1,IF(INDEX('Lease Cycles'!$EF$29:$EL$29,1,EG367)=1,'Lease Cycles'!$C$29*INDEX('Lease Cycles'!$ET$29:$EZ$29,1,EG367)*(1+'Lease Cycles'!$V$29)^INT(INT(EG368/12)/'Lease Cycles'!$W$29)/12,0),0)</f>
        <v>0</v>
      </c>
      <c r="EH371" s="28">
        <f>IF(EH369=1,IF(INDEX('Lease Cycles'!$EF$29:$EL$29,1,EH367)=1,'Lease Cycles'!$C$29*INDEX('Lease Cycles'!$ET$29:$EZ$29,1,EH367)*(1+'Lease Cycles'!$V$29)^INT(INT(EH368/12)/'Lease Cycles'!$W$29)/12,0),0)</f>
        <v>0</v>
      </c>
      <c r="EI371" s="28">
        <f>IF(EI369=1,IF(INDEX('Lease Cycles'!$EF$29:$EL$29,1,EI367)=1,'Lease Cycles'!$C$29*INDEX('Lease Cycles'!$ET$29:$EZ$29,1,EI367)*(1+'Lease Cycles'!$V$29)^INT(INT(EI368/12)/'Lease Cycles'!$W$29)/12,0),0)</f>
        <v>0</v>
      </c>
      <c r="EJ371" s="28">
        <f>IF(EJ369=1,IF(INDEX('Lease Cycles'!$EF$29:$EL$29,1,EJ367)=1,'Lease Cycles'!$C$29*INDEX('Lease Cycles'!$ET$29:$EZ$29,1,EJ367)*(1+'Lease Cycles'!$V$29)^INT(INT(EJ368/12)/'Lease Cycles'!$W$29)/12,0),0)</f>
        <v>0</v>
      </c>
      <c r="EK371" s="28">
        <f>IF(EK369=1,IF(INDEX('Lease Cycles'!$EF$29:$EL$29,1,EK367)=1,'Lease Cycles'!$C$29*INDEX('Lease Cycles'!$ET$29:$EZ$29,1,EK367)*(1+'Lease Cycles'!$V$29)^INT(INT(EK368/12)/'Lease Cycles'!$W$29)/12,0),0)</f>
        <v>0</v>
      </c>
      <c r="EL371" s="28">
        <f>IF(EL369=1,IF(INDEX('Lease Cycles'!$EF$29:$EL$29,1,EL367)=1,'Lease Cycles'!$C$29*INDEX('Lease Cycles'!$ET$29:$EZ$29,1,EL367)*(1+'Lease Cycles'!$V$29)^INT(INT(EL368/12)/'Lease Cycles'!$W$29)/12,0),0)</f>
        <v>0</v>
      </c>
      <c r="EM371" s="28">
        <f>IF(EM369=1,IF(INDEX('Lease Cycles'!$EF$29:$EL$29,1,EM367)=1,'Lease Cycles'!$C$29*INDEX('Lease Cycles'!$ET$29:$EZ$29,1,EM367)*(1+'Lease Cycles'!$V$29)^INT(INT(EM368/12)/'Lease Cycles'!$W$29)/12,0),0)</f>
        <v>0</v>
      </c>
      <c r="EN371" s="28">
        <f>IF(EN369=1,IF(INDEX('Lease Cycles'!$EF$29:$EL$29,1,EN367)=1,'Lease Cycles'!$C$29*INDEX('Lease Cycles'!$ET$29:$EZ$29,1,EN367)*(1+'Lease Cycles'!$V$29)^INT(INT(EN368/12)/'Lease Cycles'!$W$29)/12,0),0)</f>
        <v>0</v>
      </c>
      <c r="EO371" s="28">
        <f>IF(EO369=1,IF(INDEX('Lease Cycles'!$EF$29:$EL$29,1,EO367)=1,'Lease Cycles'!$C$29*INDEX('Lease Cycles'!$ET$29:$EZ$29,1,EO367)*(1+'Lease Cycles'!$V$29)^INT(INT(EO368/12)/'Lease Cycles'!$W$29)/12,0),0)</f>
        <v>0</v>
      </c>
      <c r="EP371" s="28">
        <f>IF(EP369=1,IF(INDEX('Lease Cycles'!$EF$29:$EL$29,1,EP367)=1,'Lease Cycles'!$C$29*INDEX('Lease Cycles'!$ET$29:$EZ$29,1,EP367)*(1+'Lease Cycles'!$V$29)^INT(INT(EP368/12)/'Lease Cycles'!$W$29)/12,0),0)</f>
        <v>0</v>
      </c>
      <c r="EQ371" s="28">
        <f>IF(EQ369=1,IF(INDEX('Lease Cycles'!$EF$29:$EL$29,1,EQ367)=1,'Lease Cycles'!$C$29*INDEX('Lease Cycles'!$ET$29:$EZ$29,1,EQ367)*(1+'Lease Cycles'!$V$29)^INT(INT(EQ368/12)/'Lease Cycles'!$W$29)/12,0),0)</f>
        <v>0</v>
      </c>
      <c r="ER371" s="28">
        <f>IF(ER369=1,IF(INDEX('Lease Cycles'!$EF$29:$EL$29,1,ER367)=1,'Lease Cycles'!$C$29*INDEX('Lease Cycles'!$ET$29:$EZ$29,1,ER367)*(1+'Lease Cycles'!$V$29)^INT(INT(ER368/12)/'Lease Cycles'!$W$29)/12,0),0)</f>
        <v>0</v>
      </c>
      <c r="ES371" s="28">
        <f>IF(ES369=1,IF(INDEX('Lease Cycles'!$EF$29:$EL$29,1,ES367)=1,'Lease Cycles'!$C$29*INDEX('Lease Cycles'!$ET$29:$EZ$29,1,ES367)*(1+'Lease Cycles'!$V$29)^INT(INT(ES368/12)/'Lease Cycles'!$W$29)/12,0),0)</f>
        <v>0</v>
      </c>
      <c r="ET371" s="28">
        <f>IF(ET369=1,IF(INDEX('Lease Cycles'!$EF$29:$EL$29,1,ET367)=1,'Lease Cycles'!$C$29*INDEX('Lease Cycles'!$ET$29:$EZ$29,1,ET367)*(1+'Lease Cycles'!$V$29)^INT(INT(ET368/12)/'Lease Cycles'!$W$29)/12,0),0)</f>
        <v>0</v>
      </c>
    </row>
    <row r="372">
      <c r="A372" s="103">
        <v>22</v>
      </c>
      <c r="B372" s="23" t="str">
        <f>IF('Lease Cycles'!$B$29="","(empty slot)",'Lease Cycles'!$B$29)</f>
        <v>(empty slot)</v>
      </c>
      <c r="C372" s="23" t="s">
        <v>681</v>
      </c>
      <c r="D372" s="104" t="s">
        <v>490</v>
      </c>
      <c r="E372" s="25">
        <f>'Lease Cycles'!$AL$29</f>
        <v>0</v>
      </c>
      <c r="G372" s="28">
        <f>SUM(S372:AD372)</f>
        <v>0</v>
      </c>
      <c r="H372" s="28">
        <f>SUM(AE372:AP372)</f>
        <v>0</v>
      </c>
      <c r="I372" s="28">
        <f>SUM(AQ372:BB372)</f>
        <v>0</v>
      </c>
      <c r="J372" s="28">
        <f>SUM(BC372:BN372)</f>
        <v>0</v>
      </c>
      <c r="K372" s="28">
        <f>SUM(BO372:BZ372)</f>
        <v>0</v>
      </c>
      <c r="L372" s="28">
        <f>SUM(CA372:CL372)</f>
        <v>0</v>
      </c>
      <c r="M372" s="28">
        <f>SUM(CM372:CX372)</f>
        <v>0</v>
      </c>
      <c r="N372" s="28">
        <f>SUM(CY372:DJ372)</f>
        <v>0</v>
      </c>
      <c r="O372" s="28">
        <f>SUM(DK372:DV372)</f>
        <v>0</v>
      </c>
      <c r="P372" s="28">
        <f>SUM(DW372:EH372)</f>
        <v>0</v>
      </c>
      <c r="Q372" s="28">
        <f>SUM(EI372:ET372)</f>
        <v>0</v>
      </c>
      <c r="S372" s="28">
        <f>IF(S369=1,IF(INDEX('Lease Cycles'!$EF$29:$EL$29,1,S367)=1,S370*INDEX('Lease Cycles'!$EM$29:$ES$29,1,S367)+S371*(1-INDEX('Lease Cycles'!$EM$29:$ES$29,1,S367)),S370),S370)</f>
        <v>0</v>
      </c>
      <c r="T372" s="28">
        <f>IF(T369=1,IF(INDEX('Lease Cycles'!$EF$29:$EL$29,1,T367)=1,T370*INDEX('Lease Cycles'!$EM$29:$ES$29,1,T367)+T371*(1-INDEX('Lease Cycles'!$EM$29:$ES$29,1,T367)),T370),T370)</f>
        <v>0</v>
      </c>
      <c r="U372" s="28">
        <f>IF(U369=1,IF(INDEX('Lease Cycles'!$EF$29:$EL$29,1,U367)=1,U370*INDEX('Lease Cycles'!$EM$29:$ES$29,1,U367)+U371*(1-INDEX('Lease Cycles'!$EM$29:$ES$29,1,U367)),U370),U370)</f>
        <v>0</v>
      </c>
      <c r="V372" s="28">
        <f>IF(V369=1,IF(INDEX('Lease Cycles'!$EF$29:$EL$29,1,V367)=1,V370*INDEX('Lease Cycles'!$EM$29:$ES$29,1,V367)+V371*(1-INDEX('Lease Cycles'!$EM$29:$ES$29,1,V367)),V370),V370)</f>
        <v>0</v>
      </c>
      <c r="W372" s="28">
        <f>IF(W369=1,IF(INDEX('Lease Cycles'!$EF$29:$EL$29,1,W367)=1,W370*INDEX('Lease Cycles'!$EM$29:$ES$29,1,W367)+W371*(1-INDEX('Lease Cycles'!$EM$29:$ES$29,1,W367)),W370),W370)</f>
        <v>0</v>
      </c>
      <c r="X372" s="28">
        <f>IF(X369=1,IF(INDEX('Lease Cycles'!$EF$29:$EL$29,1,X367)=1,X370*INDEX('Lease Cycles'!$EM$29:$ES$29,1,X367)+X371*(1-INDEX('Lease Cycles'!$EM$29:$ES$29,1,X367)),X370),X370)</f>
        <v>0</v>
      </c>
      <c r="Y372" s="28">
        <f>IF(Y369=1,IF(INDEX('Lease Cycles'!$EF$29:$EL$29,1,Y367)=1,Y370*INDEX('Lease Cycles'!$EM$29:$ES$29,1,Y367)+Y371*(1-INDEX('Lease Cycles'!$EM$29:$ES$29,1,Y367)),Y370),Y370)</f>
        <v>0</v>
      </c>
      <c r="Z372" s="28">
        <f>IF(Z369=1,IF(INDEX('Lease Cycles'!$EF$29:$EL$29,1,Z367)=1,Z370*INDEX('Lease Cycles'!$EM$29:$ES$29,1,Z367)+Z371*(1-INDEX('Lease Cycles'!$EM$29:$ES$29,1,Z367)),Z370),Z370)</f>
        <v>0</v>
      </c>
      <c r="AA372" s="28">
        <f>IF(AA369=1,IF(INDEX('Lease Cycles'!$EF$29:$EL$29,1,AA367)=1,AA370*INDEX('Lease Cycles'!$EM$29:$ES$29,1,AA367)+AA371*(1-INDEX('Lease Cycles'!$EM$29:$ES$29,1,AA367)),AA370),AA370)</f>
        <v>0</v>
      </c>
      <c r="AB372" s="28">
        <f>IF(AB369=1,IF(INDEX('Lease Cycles'!$EF$29:$EL$29,1,AB367)=1,AB370*INDEX('Lease Cycles'!$EM$29:$ES$29,1,AB367)+AB371*(1-INDEX('Lease Cycles'!$EM$29:$ES$29,1,AB367)),AB370),AB370)</f>
        <v>0</v>
      </c>
      <c r="AC372" s="28">
        <f>IF(AC369=1,IF(INDEX('Lease Cycles'!$EF$29:$EL$29,1,AC367)=1,AC370*INDEX('Lease Cycles'!$EM$29:$ES$29,1,AC367)+AC371*(1-INDEX('Lease Cycles'!$EM$29:$ES$29,1,AC367)),AC370),AC370)</f>
        <v>0</v>
      </c>
      <c r="AD372" s="28">
        <f>IF(AD369=1,IF(INDEX('Lease Cycles'!$EF$29:$EL$29,1,AD367)=1,AD370*INDEX('Lease Cycles'!$EM$29:$ES$29,1,AD367)+AD371*(1-INDEX('Lease Cycles'!$EM$29:$ES$29,1,AD367)),AD370),AD370)</f>
        <v>0</v>
      </c>
      <c r="AE372" s="28">
        <f>IF(AE369=1,IF(INDEX('Lease Cycles'!$EF$29:$EL$29,1,AE367)=1,AE370*INDEX('Lease Cycles'!$EM$29:$ES$29,1,AE367)+AE371*(1-INDEX('Lease Cycles'!$EM$29:$ES$29,1,AE367)),AE370),AE370)</f>
        <v>0</v>
      </c>
      <c r="AF372" s="28">
        <f>IF(AF369=1,IF(INDEX('Lease Cycles'!$EF$29:$EL$29,1,AF367)=1,AF370*INDEX('Lease Cycles'!$EM$29:$ES$29,1,AF367)+AF371*(1-INDEX('Lease Cycles'!$EM$29:$ES$29,1,AF367)),AF370),AF370)</f>
        <v>0</v>
      </c>
      <c r="AG372" s="28">
        <f>IF(AG369=1,IF(INDEX('Lease Cycles'!$EF$29:$EL$29,1,AG367)=1,AG370*INDEX('Lease Cycles'!$EM$29:$ES$29,1,AG367)+AG371*(1-INDEX('Lease Cycles'!$EM$29:$ES$29,1,AG367)),AG370),AG370)</f>
        <v>0</v>
      </c>
      <c r="AH372" s="28">
        <f>IF(AH369=1,IF(INDEX('Lease Cycles'!$EF$29:$EL$29,1,AH367)=1,AH370*INDEX('Lease Cycles'!$EM$29:$ES$29,1,AH367)+AH371*(1-INDEX('Lease Cycles'!$EM$29:$ES$29,1,AH367)),AH370),AH370)</f>
        <v>0</v>
      </c>
      <c r="AI372" s="28">
        <f>IF(AI369=1,IF(INDEX('Lease Cycles'!$EF$29:$EL$29,1,AI367)=1,AI370*INDEX('Lease Cycles'!$EM$29:$ES$29,1,AI367)+AI371*(1-INDEX('Lease Cycles'!$EM$29:$ES$29,1,AI367)),AI370),AI370)</f>
        <v>0</v>
      </c>
      <c r="AJ372" s="28">
        <f>IF(AJ369=1,IF(INDEX('Lease Cycles'!$EF$29:$EL$29,1,AJ367)=1,AJ370*INDEX('Lease Cycles'!$EM$29:$ES$29,1,AJ367)+AJ371*(1-INDEX('Lease Cycles'!$EM$29:$ES$29,1,AJ367)),AJ370),AJ370)</f>
        <v>0</v>
      </c>
      <c r="AK372" s="28">
        <f>IF(AK369=1,IF(INDEX('Lease Cycles'!$EF$29:$EL$29,1,AK367)=1,AK370*INDEX('Lease Cycles'!$EM$29:$ES$29,1,AK367)+AK371*(1-INDEX('Lease Cycles'!$EM$29:$ES$29,1,AK367)),AK370),AK370)</f>
        <v>0</v>
      </c>
      <c r="AL372" s="28">
        <f>IF(AL369=1,IF(INDEX('Lease Cycles'!$EF$29:$EL$29,1,AL367)=1,AL370*INDEX('Lease Cycles'!$EM$29:$ES$29,1,AL367)+AL371*(1-INDEX('Lease Cycles'!$EM$29:$ES$29,1,AL367)),AL370),AL370)</f>
        <v>0</v>
      </c>
      <c r="AM372" s="28">
        <f>IF(AM369=1,IF(INDEX('Lease Cycles'!$EF$29:$EL$29,1,AM367)=1,AM370*INDEX('Lease Cycles'!$EM$29:$ES$29,1,AM367)+AM371*(1-INDEX('Lease Cycles'!$EM$29:$ES$29,1,AM367)),AM370),AM370)</f>
        <v>0</v>
      </c>
      <c r="AN372" s="28">
        <f>IF(AN369=1,IF(INDEX('Lease Cycles'!$EF$29:$EL$29,1,AN367)=1,AN370*INDEX('Lease Cycles'!$EM$29:$ES$29,1,AN367)+AN371*(1-INDEX('Lease Cycles'!$EM$29:$ES$29,1,AN367)),AN370),AN370)</f>
        <v>0</v>
      </c>
      <c r="AO372" s="28">
        <f>IF(AO369=1,IF(INDEX('Lease Cycles'!$EF$29:$EL$29,1,AO367)=1,AO370*INDEX('Lease Cycles'!$EM$29:$ES$29,1,AO367)+AO371*(1-INDEX('Lease Cycles'!$EM$29:$ES$29,1,AO367)),AO370),AO370)</f>
        <v>0</v>
      </c>
      <c r="AP372" s="28">
        <f>IF(AP369=1,IF(INDEX('Lease Cycles'!$EF$29:$EL$29,1,AP367)=1,AP370*INDEX('Lease Cycles'!$EM$29:$ES$29,1,AP367)+AP371*(1-INDEX('Lease Cycles'!$EM$29:$ES$29,1,AP367)),AP370),AP370)</f>
        <v>0</v>
      </c>
      <c r="AQ372" s="28">
        <f>IF(AQ369=1,IF(INDEX('Lease Cycles'!$EF$29:$EL$29,1,AQ367)=1,AQ370*INDEX('Lease Cycles'!$EM$29:$ES$29,1,AQ367)+AQ371*(1-INDEX('Lease Cycles'!$EM$29:$ES$29,1,AQ367)),AQ370),AQ370)</f>
        <v>0</v>
      </c>
      <c r="AR372" s="28">
        <f>IF(AR369=1,IF(INDEX('Lease Cycles'!$EF$29:$EL$29,1,AR367)=1,AR370*INDEX('Lease Cycles'!$EM$29:$ES$29,1,AR367)+AR371*(1-INDEX('Lease Cycles'!$EM$29:$ES$29,1,AR367)),AR370),AR370)</f>
        <v>0</v>
      </c>
      <c r="AS372" s="28">
        <f>IF(AS369=1,IF(INDEX('Lease Cycles'!$EF$29:$EL$29,1,AS367)=1,AS370*INDEX('Lease Cycles'!$EM$29:$ES$29,1,AS367)+AS371*(1-INDEX('Lease Cycles'!$EM$29:$ES$29,1,AS367)),AS370),AS370)</f>
        <v>0</v>
      </c>
      <c r="AT372" s="28">
        <f>IF(AT369=1,IF(INDEX('Lease Cycles'!$EF$29:$EL$29,1,AT367)=1,AT370*INDEX('Lease Cycles'!$EM$29:$ES$29,1,AT367)+AT371*(1-INDEX('Lease Cycles'!$EM$29:$ES$29,1,AT367)),AT370),AT370)</f>
        <v>0</v>
      </c>
      <c r="AU372" s="28">
        <f>IF(AU369=1,IF(INDEX('Lease Cycles'!$EF$29:$EL$29,1,AU367)=1,AU370*INDEX('Lease Cycles'!$EM$29:$ES$29,1,AU367)+AU371*(1-INDEX('Lease Cycles'!$EM$29:$ES$29,1,AU367)),AU370),AU370)</f>
        <v>0</v>
      </c>
      <c r="AV372" s="28">
        <f>IF(AV369=1,IF(INDEX('Lease Cycles'!$EF$29:$EL$29,1,AV367)=1,AV370*INDEX('Lease Cycles'!$EM$29:$ES$29,1,AV367)+AV371*(1-INDEX('Lease Cycles'!$EM$29:$ES$29,1,AV367)),AV370),AV370)</f>
        <v>0</v>
      </c>
      <c r="AW372" s="28">
        <f>IF(AW369=1,IF(INDEX('Lease Cycles'!$EF$29:$EL$29,1,AW367)=1,AW370*INDEX('Lease Cycles'!$EM$29:$ES$29,1,AW367)+AW371*(1-INDEX('Lease Cycles'!$EM$29:$ES$29,1,AW367)),AW370),AW370)</f>
        <v>0</v>
      </c>
      <c r="AX372" s="28">
        <f>IF(AX369=1,IF(INDEX('Lease Cycles'!$EF$29:$EL$29,1,AX367)=1,AX370*INDEX('Lease Cycles'!$EM$29:$ES$29,1,AX367)+AX371*(1-INDEX('Lease Cycles'!$EM$29:$ES$29,1,AX367)),AX370),AX370)</f>
        <v>0</v>
      </c>
      <c r="AY372" s="28">
        <f>IF(AY369=1,IF(INDEX('Lease Cycles'!$EF$29:$EL$29,1,AY367)=1,AY370*INDEX('Lease Cycles'!$EM$29:$ES$29,1,AY367)+AY371*(1-INDEX('Lease Cycles'!$EM$29:$ES$29,1,AY367)),AY370),AY370)</f>
        <v>0</v>
      </c>
      <c r="AZ372" s="28">
        <f>IF(AZ369=1,IF(INDEX('Lease Cycles'!$EF$29:$EL$29,1,AZ367)=1,AZ370*INDEX('Lease Cycles'!$EM$29:$ES$29,1,AZ367)+AZ371*(1-INDEX('Lease Cycles'!$EM$29:$ES$29,1,AZ367)),AZ370),AZ370)</f>
        <v>0</v>
      </c>
      <c r="BA372" s="28">
        <f>IF(BA369=1,IF(INDEX('Lease Cycles'!$EF$29:$EL$29,1,BA367)=1,BA370*INDEX('Lease Cycles'!$EM$29:$ES$29,1,BA367)+BA371*(1-INDEX('Lease Cycles'!$EM$29:$ES$29,1,BA367)),BA370),BA370)</f>
        <v>0</v>
      </c>
      <c r="BB372" s="28">
        <f>IF(BB369=1,IF(INDEX('Lease Cycles'!$EF$29:$EL$29,1,BB367)=1,BB370*INDEX('Lease Cycles'!$EM$29:$ES$29,1,BB367)+BB371*(1-INDEX('Lease Cycles'!$EM$29:$ES$29,1,BB367)),BB370),BB370)</f>
        <v>0</v>
      </c>
      <c r="BC372" s="28">
        <f>IF(BC369=1,IF(INDEX('Lease Cycles'!$EF$29:$EL$29,1,BC367)=1,BC370*INDEX('Lease Cycles'!$EM$29:$ES$29,1,BC367)+BC371*(1-INDEX('Lease Cycles'!$EM$29:$ES$29,1,BC367)),BC370),BC370)</f>
        <v>0</v>
      </c>
      <c r="BD372" s="28">
        <f>IF(BD369=1,IF(INDEX('Lease Cycles'!$EF$29:$EL$29,1,BD367)=1,BD370*INDEX('Lease Cycles'!$EM$29:$ES$29,1,BD367)+BD371*(1-INDEX('Lease Cycles'!$EM$29:$ES$29,1,BD367)),BD370),BD370)</f>
        <v>0</v>
      </c>
      <c r="BE372" s="28">
        <f>IF(BE369=1,IF(INDEX('Lease Cycles'!$EF$29:$EL$29,1,BE367)=1,BE370*INDEX('Lease Cycles'!$EM$29:$ES$29,1,BE367)+BE371*(1-INDEX('Lease Cycles'!$EM$29:$ES$29,1,BE367)),BE370),BE370)</f>
        <v>0</v>
      </c>
      <c r="BF372" s="28">
        <f>IF(BF369=1,IF(INDEX('Lease Cycles'!$EF$29:$EL$29,1,BF367)=1,BF370*INDEX('Lease Cycles'!$EM$29:$ES$29,1,BF367)+BF371*(1-INDEX('Lease Cycles'!$EM$29:$ES$29,1,BF367)),BF370),BF370)</f>
        <v>0</v>
      </c>
      <c r="BG372" s="28">
        <f>IF(BG369=1,IF(INDEX('Lease Cycles'!$EF$29:$EL$29,1,BG367)=1,BG370*INDEX('Lease Cycles'!$EM$29:$ES$29,1,BG367)+BG371*(1-INDEX('Lease Cycles'!$EM$29:$ES$29,1,BG367)),BG370),BG370)</f>
        <v>0</v>
      </c>
      <c r="BH372" s="28">
        <f>IF(BH369=1,IF(INDEX('Lease Cycles'!$EF$29:$EL$29,1,BH367)=1,BH370*INDEX('Lease Cycles'!$EM$29:$ES$29,1,BH367)+BH371*(1-INDEX('Lease Cycles'!$EM$29:$ES$29,1,BH367)),BH370),BH370)</f>
        <v>0</v>
      </c>
      <c r="BI372" s="28">
        <f>IF(BI369=1,IF(INDEX('Lease Cycles'!$EF$29:$EL$29,1,BI367)=1,BI370*INDEX('Lease Cycles'!$EM$29:$ES$29,1,BI367)+BI371*(1-INDEX('Lease Cycles'!$EM$29:$ES$29,1,BI367)),BI370),BI370)</f>
        <v>0</v>
      </c>
      <c r="BJ372" s="28">
        <f>IF(BJ369=1,IF(INDEX('Lease Cycles'!$EF$29:$EL$29,1,BJ367)=1,BJ370*INDEX('Lease Cycles'!$EM$29:$ES$29,1,BJ367)+BJ371*(1-INDEX('Lease Cycles'!$EM$29:$ES$29,1,BJ367)),BJ370),BJ370)</f>
        <v>0</v>
      </c>
      <c r="BK372" s="28">
        <f>IF(BK369=1,IF(INDEX('Lease Cycles'!$EF$29:$EL$29,1,BK367)=1,BK370*INDEX('Lease Cycles'!$EM$29:$ES$29,1,BK367)+BK371*(1-INDEX('Lease Cycles'!$EM$29:$ES$29,1,BK367)),BK370),BK370)</f>
        <v>0</v>
      </c>
      <c r="BL372" s="28">
        <f>IF(BL369=1,IF(INDEX('Lease Cycles'!$EF$29:$EL$29,1,BL367)=1,BL370*INDEX('Lease Cycles'!$EM$29:$ES$29,1,BL367)+BL371*(1-INDEX('Lease Cycles'!$EM$29:$ES$29,1,BL367)),BL370),BL370)</f>
        <v>0</v>
      </c>
      <c r="BM372" s="28">
        <f>IF(BM369=1,IF(INDEX('Lease Cycles'!$EF$29:$EL$29,1,BM367)=1,BM370*INDEX('Lease Cycles'!$EM$29:$ES$29,1,BM367)+BM371*(1-INDEX('Lease Cycles'!$EM$29:$ES$29,1,BM367)),BM370),BM370)</f>
        <v>0</v>
      </c>
      <c r="BN372" s="28">
        <f>IF(BN369=1,IF(INDEX('Lease Cycles'!$EF$29:$EL$29,1,BN367)=1,BN370*INDEX('Lease Cycles'!$EM$29:$ES$29,1,BN367)+BN371*(1-INDEX('Lease Cycles'!$EM$29:$ES$29,1,BN367)),BN370),BN370)</f>
        <v>0</v>
      </c>
      <c r="BO372" s="28">
        <f>IF(BO369=1,IF(INDEX('Lease Cycles'!$EF$29:$EL$29,1,BO367)=1,BO370*INDEX('Lease Cycles'!$EM$29:$ES$29,1,BO367)+BO371*(1-INDEX('Lease Cycles'!$EM$29:$ES$29,1,BO367)),BO370),BO370)</f>
        <v>0</v>
      </c>
      <c r="BP372" s="28">
        <f>IF(BP369=1,IF(INDEX('Lease Cycles'!$EF$29:$EL$29,1,BP367)=1,BP370*INDEX('Lease Cycles'!$EM$29:$ES$29,1,BP367)+BP371*(1-INDEX('Lease Cycles'!$EM$29:$ES$29,1,BP367)),BP370),BP370)</f>
        <v>0</v>
      </c>
      <c r="BQ372" s="28">
        <f>IF(BQ369=1,IF(INDEX('Lease Cycles'!$EF$29:$EL$29,1,BQ367)=1,BQ370*INDEX('Lease Cycles'!$EM$29:$ES$29,1,BQ367)+BQ371*(1-INDEX('Lease Cycles'!$EM$29:$ES$29,1,BQ367)),BQ370),BQ370)</f>
        <v>0</v>
      </c>
      <c r="BR372" s="28">
        <f>IF(BR369=1,IF(INDEX('Lease Cycles'!$EF$29:$EL$29,1,BR367)=1,BR370*INDEX('Lease Cycles'!$EM$29:$ES$29,1,BR367)+BR371*(1-INDEX('Lease Cycles'!$EM$29:$ES$29,1,BR367)),BR370),BR370)</f>
        <v>0</v>
      </c>
      <c r="BS372" s="28">
        <f>IF(BS369=1,IF(INDEX('Lease Cycles'!$EF$29:$EL$29,1,BS367)=1,BS370*INDEX('Lease Cycles'!$EM$29:$ES$29,1,BS367)+BS371*(1-INDEX('Lease Cycles'!$EM$29:$ES$29,1,BS367)),BS370),BS370)</f>
        <v>0</v>
      </c>
      <c r="BT372" s="28">
        <f>IF(BT369=1,IF(INDEX('Lease Cycles'!$EF$29:$EL$29,1,BT367)=1,BT370*INDEX('Lease Cycles'!$EM$29:$ES$29,1,BT367)+BT371*(1-INDEX('Lease Cycles'!$EM$29:$ES$29,1,BT367)),BT370),BT370)</f>
        <v>0</v>
      </c>
      <c r="BU372" s="28">
        <f>IF(BU369=1,IF(INDEX('Lease Cycles'!$EF$29:$EL$29,1,BU367)=1,BU370*INDEX('Lease Cycles'!$EM$29:$ES$29,1,BU367)+BU371*(1-INDEX('Lease Cycles'!$EM$29:$ES$29,1,BU367)),BU370),BU370)</f>
        <v>0</v>
      </c>
      <c r="BV372" s="28">
        <f>IF(BV369=1,IF(INDEX('Lease Cycles'!$EF$29:$EL$29,1,BV367)=1,BV370*INDEX('Lease Cycles'!$EM$29:$ES$29,1,BV367)+BV371*(1-INDEX('Lease Cycles'!$EM$29:$ES$29,1,BV367)),BV370),BV370)</f>
        <v>0</v>
      </c>
      <c r="BW372" s="28">
        <f>IF(BW369=1,IF(INDEX('Lease Cycles'!$EF$29:$EL$29,1,BW367)=1,BW370*INDEX('Lease Cycles'!$EM$29:$ES$29,1,BW367)+BW371*(1-INDEX('Lease Cycles'!$EM$29:$ES$29,1,BW367)),BW370),BW370)</f>
        <v>0</v>
      </c>
      <c r="BX372" s="28">
        <f>IF(BX369=1,IF(INDEX('Lease Cycles'!$EF$29:$EL$29,1,BX367)=1,BX370*INDEX('Lease Cycles'!$EM$29:$ES$29,1,BX367)+BX371*(1-INDEX('Lease Cycles'!$EM$29:$ES$29,1,BX367)),BX370),BX370)</f>
        <v>0</v>
      </c>
      <c r="BY372" s="28">
        <f>IF(BY369=1,IF(INDEX('Lease Cycles'!$EF$29:$EL$29,1,BY367)=1,BY370*INDEX('Lease Cycles'!$EM$29:$ES$29,1,BY367)+BY371*(1-INDEX('Lease Cycles'!$EM$29:$ES$29,1,BY367)),BY370),BY370)</f>
        <v>0</v>
      </c>
      <c r="BZ372" s="28">
        <f>IF(BZ369=1,IF(INDEX('Lease Cycles'!$EF$29:$EL$29,1,BZ367)=1,BZ370*INDEX('Lease Cycles'!$EM$29:$ES$29,1,BZ367)+BZ371*(1-INDEX('Lease Cycles'!$EM$29:$ES$29,1,BZ367)),BZ370),BZ370)</f>
        <v>0</v>
      </c>
      <c r="CA372" s="28">
        <f>IF(CA369=1,IF(INDEX('Lease Cycles'!$EF$29:$EL$29,1,CA367)=1,CA370*INDEX('Lease Cycles'!$EM$29:$ES$29,1,CA367)+CA371*(1-INDEX('Lease Cycles'!$EM$29:$ES$29,1,CA367)),CA370),CA370)</f>
        <v>0</v>
      </c>
      <c r="CB372" s="28">
        <f>IF(CB369=1,IF(INDEX('Lease Cycles'!$EF$29:$EL$29,1,CB367)=1,CB370*INDEX('Lease Cycles'!$EM$29:$ES$29,1,CB367)+CB371*(1-INDEX('Lease Cycles'!$EM$29:$ES$29,1,CB367)),CB370),CB370)</f>
        <v>0</v>
      </c>
      <c r="CC372" s="28">
        <f>IF(CC369=1,IF(INDEX('Lease Cycles'!$EF$29:$EL$29,1,CC367)=1,CC370*INDEX('Lease Cycles'!$EM$29:$ES$29,1,CC367)+CC371*(1-INDEX('Lease Cycles'!$EM$29:$ES$29,1,CC367)),CC370),CC370)</f>
        <v>0</v>
      </c>
      <c r="CD372" s="28">
        <f>IF(CD369=1,IF(INDEX('Lease Cycles'!$EF$29:$EL$29,1,CD367)=1,CD370*INDEX('Lease Cycles'!$EM$29:$ES$29,1,CD367)+CD371*(1-INDEX('Lease Cycles'!$EM$29:$ES$29,1,CD367)),CD370),CD370)</f>
        <v>0</v>
      </c>
      <c r="CE372" s="28">
        <f>IF(CE369=1,IF(INDEX('Lease Cycles'!$EF$29:$EL$29,1,CE367)=1,CE370*INDEX('Lease Cycles'!$EM$29:$ES$29,1,CE367)+CE371*(1-INDEX('Lease Cycles'!$EM$29:$ES$29,1,CE367)),CE370),CE370)</f>
        <v>0</v>
      </c>
      <c r="CF372" s="28">
        <f>IF(CF369=1,IF(INDEX('Lease Cycles'!$EF$29:$EL$29,1,CF367)=1,CF370*INDEX('Lease Cycles'!$EM$29:$ES$29,1,CF367)+CF371*(1-INDEX('Lease Cycles'!$EM$29:$ES$29,1,CF367)),CF370),CF370)</f>
        <v>0</v>
      </c>
      <c r="CG372" s="28">
        <f>IF(CG369=1,IF(INDEX('Lease Cycles'!$EF$29:$EL$29,1,CG367)=1,CG370*INDEX('Lease Cycles'!$EM$29:$ES$29,1,CG367)+CG371*(1-INDEX('Lease Cycles'!$EM$29:$ES$29,1,CG367)),CG370),CG370)</f>
        <v>0</v>
      </c>
      <c r="CH372" s="28">
        <f>IF(CH369=1,IF(INDEX('Lease Cycles'!$EF$29:$EL$29,1,CH367)=1,CH370*INDEX('Lease Cycles'!$EM$29:$ES$29,1,CH367)+CH371*(1-INDEX('Lease Cycles'!$EM$29:$ES$29,1,CH367)),CH370),CH370)</f>
        <v>0</v>
      </c>
      <c r="CI372" s="28">
        <f>IF(CI369=1,IF(INDEX('Lease Cycles'!$EF$29:$EL$29,1,CI367)=1,CI370*INDEX('Lease Cycles'!$EM$29:$ES$29,1,CI367)+CI371*(1-INDEX('Lease Cycles'!$EM$29:$ES$29,1,CI367)),CI370),CI370)</f>
        <v>0</v>
      </c>
      <c r="CJ372" s="28">
        <f>IF(CJ369=1,IF(INDEX('Lease Cycles'!$EF$29:$EL$29,1,CJ367)=1,CJ370*INDEX('Lease Cycles'!$EM$29:$ES$29,1,CJ367)+CJ371*(1-INDEX('Lease Cycles'!$EM$29:$ES$29,1,CJ367)),CJ370),CJ370)</f>
        <v>0</v>
      </c>
      <c r="CK372" s="28">
        <f>IF(CK369=1,IF(INDEX('Lease Cycles'!$EF$29:$EL$29,1,CK367)=1,CK370*INDEX('Lease Cycles'!$EM$29:$ES$29,1,CK367)+CK371*(1-INDEX('Lease Cycles'!$EM$29:$ES$29,1,CK367)),CK370),CK370)</f>
        <v>0</v>
      </c>
      <c r="CL372" s="28">
        <f>IF(CL369=1,IF(INDEX('Lease Cycles'!$EF$29:$EL$29,1,CL367)=1,CL370*INDEX('Lease Cycles'!$EM$29:$ES$29,1,CL367)+CL371*(1-INDEX('Lease Cycles'!$EM$29:$ES$29,1,CL367)),CL370),CL370)</f>
        <v>0</v>
      </c>
      <c r="CM372" s="28">
        <f>IF(CM369=1,IF(INDEX('Lease Cycles'!$EF$29:$EL$29,1,CM367)=1,CM370*INDEX('Lease Cycles'!$EM$29:$ES$29,1,CM367)+CM371*(1-INDEX('Lease Cycles'!$EM$29:$ES$29,1,CM367)),CM370),CM370)</f>
        <v>0</v>
      </c>
      <c r="CN372" s="28">
        <f>IF(CN369=1,IF(INDEX('Lease Cycles'!$EF$29:$EL$29,1,CN367)=1,CN370*INDEX('Lease Cycles'!$EM$29:$ES$29,1,CN367)+CN371*(1-INDEX('Lease Cycles'!$EM$29:$ES$29,1,CN367)),CN370),CN370)</f>
        <v>0</v>
      </c>
      <c r="CO372" s="28">
        <f>IF(CO369=1,IF(INDEX('Lease Cycles'!$EF$29:$EL$29,1,CO367)=1,CO370*INDEX('Lease Cycles'!$EM$29:$ES$29,1,CO367)+CO371*(1-INDEX('Lease Cycles'!$EM$29:$ES$29,1,CO367)),CO370),CO370)</f>
        <v>0</v>
      </c>
      <c r="CP372" s="28">
        <f>IF(CP369=1,IF(INDEX('Lease Cycles'!$EF$29:$EL$29,1,CP367)=1,CP370*INDEX('Lease Cycles'!$EM$29:$ES$29,1,CP367)+CP371*(1-INDEX('Lease Cycles'!$EM$29:$ES$29,1,CP367)),CP370),CP370)</f>
        <v>0</v>
      </c>
      <c r="CQ372" s="28">
        <f>IF(CQ369=1,IF(INDEX('Lease Cycles'!$EF$29:$EL$29,1,CQ367)=1,CQ370*INDEX('Lease Cycles'!$EM$29:$ES$29,1,CQ367)+CQ371*(1-INDEX('Lease Cycles'!$EM$29:$ES$29,1,CQ367)),CQ370),CQ370)</f>
        <v>0</v>
      </c>
      <c r="CR372" s="28">
        <f>IF(CR369=1,IF(INDEX('Lease Cycles'!$EF$29:$EL$29,1,CR367)=1,CR370*INDEX('Lease Cycles'!$EM$29:$ES$29,1,CR367)+CR371*(1-INDEX('Lease Cycles'!$EM$29:$ES$29,1,CR367)),CR370),CR370)</f>
        <v>0</v>
      </c>
      <c r="CS372" s="28">
        <f>IF(CS369=1,IF(INDEX('Lease Cycles'!$EF$29:$EL$29,1,CS367)=1,CS370*INDEX('Lease Cycles'!$EM$29:$ES$29,1,CS367)+CS371*(1-INDEX('Lease Cycles'!$EM$29:$ES$29,1,CS367)),CS370),CS370)</f>
        <v>0</v>
      </c>
      <c r="CT372" s="28">
        <f>IF(CT369=1,IF(INDEX('Lease Cycles'!$EF$29:$EL$29,1,CT367)=1,CT370*INDEX('Lease Cycles'!$EM$29:$ES$29,1,CT367)+CT371*(1-INDEX('Lease Cycles'!$EM$29:$ES$29,1,CT367)),CT370),CT370)</f>
        <v>0</v>
      </c>
      <c r="CU372" s="28">
        <f>IF(CU369=1,IF(INDEX('Lease Cycles'!$EF$29:$EL$29,1,CU367)=1,CU370*INDEX('Lease Cycles'!$EM$29:$ES$29,1,CU367)+CU371*(1-INDEX('Lease Cycles'!$EM$29:$ES$29,1,CU367)),CU370),CU370)</f>
        <v>0</v>
      </c>
      <c r="CV372" s="28">
        <f>IF(CV369=1,IF(INDEX('Lease Cycles'!$EF$29:$EL$29,1,CV367)=1,CV370*INDEX('Lease Cycles'!$EM$29:$ES$29,1,CV367)+CV371*(1-INDEX('Lease Cycles'!$EM$29:$ES$29,1,CV367)),CV370),CV370)</f>
        <v>0</v>
      </c>
      <c r="CW372" s="28">
        <f>IF(CW369=1,IF(INDEX('Lease Cycles'!$EF$29:$EL$29,1,CW367)=1,CW370*INDEX('Lease Cycles'!$EM$29:$ES$29,1,CW367)+CW371*(1-INDEX('Lease Cycles'!$EM$29:$ES$29,1,CW367)),CW370),CW370)</f>
        <v>0</v>
      </c>
      <c r="CX372" s="28">
        <f>IF(CX369=1,IF(INDEX('Lease Cycles'!$EF$29:$EL$29,1,CX367)=1,CX370*INDEX('Lease Cycles'!$EM$29:$ES$29,1,CX367)+CX371*(1-INDEX('Lease Cycles'!$EM$29:$ES$29,1,CX367)),CX370),CX370)</f>
        <v>0</v>
      </c>
      <c r="CY372" s="28">
        <f>IF(CY369=1,IF(INDEX('Lease Cycles'!$EF$29:$EL$29,1,CY367)=1,CY370*INDEX('Lease Cycles'!$EM$29:$ES$29,1,CY367)+CY371*(1-INDEX('Lease Cycles'!$EM$29:$ES$29,1,CY367)),CY370),CY370)</f>
        <v>0</v>
      </c>
      <c r="CZ372" s="28">
        <f>IF(CZ369=1,IF(INDEX('Lease Cycles'!$EF$29:$EL$29,1,CZ367)=1,CZ370*INDEX('Lease Cycles'!$EM$29:$ES$29,1,CZ367)+CZ371*(1-INDEX('Lease Cycles'!$EM$29:$ES$29,1,CZ367)),CZ370),CZ370)</f>
        <v>0</v>
      </c>
      <c r="DA372" s="28">
        <f>IF(DA369=1,IF(INDEX('Lease Cycles'!$EF$29:$EL$29,1,DA367)=1,DA370*INDEX('Lease Cycles'!$EM$29:$ES$29,1,DA367)+DA371*(1-INDEX('Lease Cycles'!$EM$29:$ES$29,1,DA367)),DA370),DA370)</f>
        <v>0</v>
      </c>
      <c r="DB372" s="28">
        <f>IF(DB369=1,IF(INDEX('Lease Cycles'!$EF$29:$EL$29,1,DB367)=1,DB370*INDEX('Lease Cycles'!$EM$29:$ES$29,1,DB367)+DB371*(1-INDEX('Lease Cycles'!$EM$29:$ES$29,1,DB367)),DB370),DB370)</f>
        <v>0</v>
      </c>
      <c r="DC372" s="28">
        <f>IF(DC369=1,IF(INDEX('Lease Cycles'!$EF$29:$EL$29,1,DC367)=1,DC370*INDEX('Lease Cycles'!$EM$29:$ES$29,1,DC367)+DC371*(1-INDEX('Lease Cycles'!$EM$29:$ES$29,1,DC367)),DC370),DC370)</f>
        <v>0</v>
      </c>
      <c r="DD372" s="28">
        <f>IF(DD369=1,IF(INDEX('Lease Cycles'!$EF$29:$EL$29,1,DD367)=1,DD370*INDEX('Lease Cycles'!$EM$29:$ES$29,1,DD367)+DD371*(1-INDEX('Lease Cycles'!$EM$29:$ES$29,1,DD367)),DD370),DD370)</f>
        <v>0</v>
      </c>
      <c r="DE372" s="28">
        <f>IF(DE369=1,IF(INDEX('Lease Cycles'!$EF$29:$EL$29,1,DE367)=1,DE370*INDEX('Lease Cycles'!$EM$29:$ES$29,1,DE367)+DE371*(1-INDEX('Lease Cycles'!$EM$29:$ES$29,1,DE367)),DE370),DE370)</f>
        <v>0</v>
      </c>
      <c r="DF372" s="28">
        <f>IF(DF369=1,IF(INDEX('Lease Cycles'!$EF$29:$EL$29,1,DF367)=1,DF370*INDEX('Lease Cycles'!$EM$29:$ES$29,1,DF367)+DF371*(1-INDEX('Lease Cycles'!$EM$29:$ES$29,1,DF367)),DF370),DF370)</f>
        <v>0</v>
      </c>
      <c r="DG372" s="28">
        <f>IF(DG369=1,IF(INDEX('Lease Cycles'!$EF$29:$EL$29,1,DG367)=1,DG370*INDEX('Lease Cycles'!$EM$29:$ES$29,1,DG367)+DG371*(1-INDEX('Lease Cycles'!$EM$29:$ES$29,1,DG367)),DG370),DG370)</f>
        <v>0</v>
      </c>
      <c r="DH372" s="28">
        <f>IF(DH369=1,IF(INDEX('Lease Cycles'!$EF$29:$EL$29,1,DH367)=1,DH370*INDEX('Lease Cycles'!$EM$29:$ES$29,1,DH367)+DH371*(1-INDEX('Lease Cycles'!$EM$29:$ES$29,1,DH367)),DH370),DH370)</f>
        <v>0</v>
      </c>
      <c r="DI372" s="28">
        <f>IF(DI369=1,IF(INDEX('Lease Cycles'!$EF$29:$EL$29,1,DI367)=1,DI370*INDEX('Lease Cycles'!$EM$29:$ES$29,1,DI367)+DI371*(1-INDEX('Lease Cycles'!$EM$29:$ES$29,1,DI367)),DI370),DI370)</f>
        <v>0</v>
      </c>
      <c r="DJ372" s="28">
        <f>IF(DJ369=1,IF(INDEX('Lease Cycles'!$EF$29:$EL$29,1,DJ367)=1,DJ370*INDEX('Lease Cycles'!$EM$29:$ES$29,1,DJ367)+DJ371*(1-INDEX('Lease Cycles'!$EM$29:$ES$29,1,DJ367)),DJ370),DJ370)</f>
        <v>0</v>
      </c>
      <c r="DK372" s="28">
        <f>IF(DK369=1,IF(INDEX('Lease Cycles'!$EF$29:$EL$29,1,DK367)=1,DK370*INDEX('Lease Cycles'!$EM$29:$ES$29,1,DK367)+DK371*(1-INDEX('Lease Cycles'!$EM$29:$ES$29,1,DK367)),DK370),DK370)</f>
        <v>0</v>
      </c>
      <c r="DL372" s="28">
        <f>IF(DL369=1,IF(INDEX('Lease Cycles'!$EF$29:$EL$29,1,DL367)=1,DL370*INDEX('Lease Cycles'!$EM$29:$ES$29,1,DL367)+DL371*(1-INDEX('Lease Cycles'!$EM$29:$ES$29,1,DL367)),DL370),DL370)</f>
        <v>0</v>
      </c>
      <c r="DM372" s="28">
        <f>IF(DM369=1,IF(INDEX('Lease Cycles'!$EF$29:$EL$29,1,DM367)=1,DM370*INDEX('Lease Cycles'!$EM$29:$ES$29,1,DM367)+DM371*(1-INDEX('Lease Cycles'!$EM$29:$ES$29,1,DM367)),DM370),DM370)</f>
        <v>0</v>
      </c>
      <c r="DN372" s="28">
        <f>IF(DN369=1,IF(INDEX('Lease Cycles'!$EF$29:$EL$29,1,DN367)=1,DN370*INDEX('Lease Cycles'!$EM$29:$ES$29,1,DN367)+DN371*(1-INDEX('Lease Cycles'!$EM$29:$ES$29,1,DN367)),DN370),DN370)</f>
        <v>0</v>
      </c>
      <c r="DO372" s="28">
        <f>IF(DO369=1,IF(INDEX('Lease Cycles'!$EF$29:$EL$29,1,DO367)=1,DO370*INDEX('Lease Cycles'!$EM$29:$ES$29,1,DO367)+DO371*(1-INDEX('Lease Cycles'!$EM$29:$ES$29,1,DO367)),DO370),DO370)</f>
        <v>0</v>
      </c>
      <c r="DP372" s="28">
        <f>IF(DP369=1,IF(INDEX('Lease Cycles'!$EF$29:$EL$29,1,DP367)=1,DP370*INDEX('Lease Cycles'!$EM$29:$ES$29,1,DP367)+DP371*(1-INDEX('Lease Cycles'!$EM$29:$ES$29,1,DP367)),DP370),DP370)</f>
        <v>0</v>
      </c>
      <c r="DQ372" s="28">
        <f>IF(DQ369=1,IF(INDEX('Lease Cycles'!$EF$29:$EL$29,1,DQ367)=1,DQ370*INDEX('Lease Cycles'!$EM$29:$ES$29,1,DQ367)+DQ371*(1-INDEX('Lease Cycles'!$EM$29:$ES$29,1,DQ367)),DQ370),DQ370)</f>
        <v>0</v>
      </c>
      <c r="DR372" s="28">
        <f>IF(DR369=1,IF(INDEX('Lease Cycles'!$EF$29:$EL$29,1,DR367)=1,DR370*INDEX('Lease Cycles'!$EM$29:$ES$29,1,DR367)+DR371*(1-INDEX('Lease Cycles'!$EM$29:$ES$29,1,DR367)),DR370),DR370)</f>
        <v>0</v>
      </c>
      <c r="DS372" s="28">
        <f>IF(DS369=1,IF(INDEX('Lease Cycles'!$EF$29:$EL$29,1,DS367)=1,DS370*INDEX('Lease Cycles'!$EM$29:$ES$29,1,DS367)+DS371*(1-INDEX('Lease Cycles'!$EM$29:$ES$29,1,DS367)),DS370),DS370)</f>
        <v>0</v>
      </c>
      <c r="DT372" s="28">
        <f>IF(DT369=1,IF(INDEX('Lease Cycles'!$EF$29:$EL$29,1,DT367)=1,DT370*INDEX('Lease Cycles'!$EM$29:$ES$29,1,DT367)+DT371*(1-INDEX('Lease Cycles'!$EM$29:$ES$29,1,DT367)),DT370),DT370)</f>
        <v>0</v>
      </c>
      <c r="DU372" s="28">
        <f>IF(DU369=1,IF(INDEX('Lease Cycles'!$EF$29:$EL$29,1,DU367)=1,DU370*INDEX('Lease Cycles'!$EM$29:$ES$29,1,DU367)+DU371*(1-INDEX('Lease Cycles'!$EM$29:$ES$29,1,DU367)),DU370),DU370)</f>
        <v>0</v>
      </c>
      <c r="DV372" s="28">
        <f>IF(DV369=1,IF(INDEX('Lease Cycles'!$EF$29:$EL$29,1,DV367)=1,DV370*INDEX('Lease Cycles'!$EM$29:$ES$29,1,DV367)+DV371*(1-INDEX('Lease Cycles'!$EM$29:$ES$29,1,DV367)),DV370),DV370)</f>
        <v>0</v>
      </c>
      <c r="DW372" s="28">
        <f>IF(DW369=1,IF(INDEX('Lease Cycles'!$EF$29:$EL$29,1,DW367)=1,DW370*INDEX('Lease Cycles'!$EM$29:$ES$29,1,DW367)+DW371*(1-INDEX('Lease Cycles'!$EM$29:$ES$29,1,DW367)),DW370),DW370)</f>
        <v>0</v>
      </c>
      <c r="DX372" s="28">
        <f>IF(DX369=1,IF(INDEX('Lease Cycles'!$EF$29:$EL$29,1,DX367)=1,DX370*INDEX('Lease Cycles'!$EM$29:$ES$29,1,DX367)+DX371*(1-INDEX('Lease Cycles'!$EM$29:$ES$29,1,DX367)),DX370),DX370)</f>
        <v>0</v>
      </c>
      <c r="DY372" s="28">
        <f>IF(DY369=1,IF(INDEX('Lease Cycles'!$EF$29:$EL$29,1,DY367)=1,DY370*INDEX('Lease Cycles'!$EM$29:$ES$29,1,DY367)+DY371*(1-INDEX('Lease Cycles'!$EM$29:$ES$29,1,DY367)),DY370),DY370)</f>
        <v>0</v>
      </c>
      <c r="DZ372" s="28">
        <f>IF(DZ369=1,IF(INDEX('Lease Cycles'!$EF$29:$EL$29,1,DZ367)=1,DZ370*INDEX('Lease Cycles'!$EM$29:$ES$29,1,DZ367)+DZ371*(1-INDEX('Lease Cycles'!$EM$29:$ES$29,1,DZ367)),DZ370),DZ370)</f>
        <v>0</v>
      </c>
      <c r="EA372" s="28">
        <f>IF(EA369=1,IF(INDEX('Lease Cycles'!$EF$29:$EL$29,1,EA367)=1,EA370*INDEX('Lease Cycles'!$EM$29:$ES$29,1,EA367)+EA371*(1-INDEX('Lease Cycles'!$EM$29:$ES$29,1,EA367)),EA370),EA370)</f>
        <v>0</v>
      </c>
      <c r="EB372" s="28">
        <f>IF(EB369=1,IF(INDEX('Lease Cycles'!$EF$29:$EL$29,1,EB367)=1,EB370*INDEX('Lease Cycles'!$EM$29:$ES$29,1,EB367)+EB371*(1-INDEX('Lease Cycles'!$EM$29:$ES$29,1,EB367)),EB370),EB370)</f>
        <v>0</v>
      </c>
      <c r="EC372" s="28">
        <f>IF(EC369=1,IF(INDEX('Lease Cycles'!$EF$29:$EL$29,1,EC367)=1,EC370*INDEX('Lease Cycles'!$EM$29:$ES$29,1,EC367)+EC371*(1-INDEX('Lease Cycles'!$EM$29:$ES$29,1,EC367)),EC370),EC370)</f>
        <v>0</v>
      </c>
      <c r="ED372" s="28">
        <f>IF(ED369=1,IF(INDEX('Lease Cycles'!$EF$29:$EL$29,1,ED367)=1,ED370*INDEX('Lease Cycles'!$EM$29:$ES$29,1,ED367)+ED371*(1-INDEX('Lease Cycles'!$EM$29:$ES$29,1,ED367)),ED370),ED370)</f>
        <v>0</v>
      </c>
      <c r="EE372" s="28">
        <f>IF(EE369=1,IF(INDEX('Lease Cycles'!$EF$29:$EL$29,1,EE367)=1,EE370*INDEX('Lease Cycles'!$EM$29:$ES$29,1,EE367)+EE371*(1-INDEX('Lease Cycles'!$EM$29:$ES$29,1,EE367)),EE370),EE370)</f>
        <v>0</v>
      </c>
      <c r="EF372" s="28">
        <f>IF(EF369=1,IF(INDEX('Lease Cycles'!$EF$29:$EL$29,1,EF367)=1,EF370*INDEX('Lease Cycles'!$EM$29:$ES$29,1,EF367)+EF371*(1-INDEX('Lease Cycles'!$EM$29:$ES$29,1,EF367)),EF370),EF370)</f>
        <v>0</v>
      </c>
      <c r="EG372" s="28">
        <f>IF(EG369=1,IF(INDEX('Lease Cycles'!$EF$29:$EL$29,1,EG367)=1,EG370*INDEX('Lease Cycles'!$EM$29:$ES$29,1,EG367)+EG371*(1-INDEX('Lease Cycles'!$EM$29:$ES$29,1,EG367)),EG370),EG370)</f>
        <v>0</v>
      </c>
      <c r="EH372" s="28">
        <f>IF(EH369=1,IF(INDEX('Lease Cycles'!$EF$29:$EL$29,1,EH367)=1,EH370*INDEX('Lease Cycles'!$EM$29:$ES$29,1,EH367)+EH371*(1-INDEX('Lease Cycles'!$EM$29:$ES$29,1,EH367)),EH370),EH370)</f>
        <v>0</v>
      </c>
      <c r="EI372" s="28">
        <f>IF(EI369=1,IF(INDEX('Lease Cycles'!$EF$29:$EL$29,1,EI367)=1,EI370*INDEX('Lease Cycles'!$EM$29:$ES$29,1,EI367)+EI371*(1-INDEX('Lease Cycles'!$EM$29:$ES$29,1,EI367)),EI370),EI370)</f>
        <v>0</v>
      </c>
      <c r="EJ372" s="28">
        <f>IF(EJ369=1,IF(INDEX('Lease Cycles'!$EF$29:$EL$29,1,EJ367)=1,EJ370*INDEX('Lease Cycles'!$EM$29:$ES$29,1,EJ367)+EJ371*(1-INDEX('Lease Cycles'!$EM$29:$ES$29,1,EJ367)),EJ370),EJ370)</f>
        <v>0</v>
      </c>
      <c r="EK372" s="28">
        <f>IF(EK369=1,IF(INDEX('Lease Cycles'!$EF$29:$EL$29,1,EK367)=1,EK370*INDEX('Lease Cycles'!$EM$29:$ES$29,1,EK367)+EK371*(1-INDEX('Lease Cycles'!$EM$29:$ES$29,1,EK367)),EK370),EK370)</f>
        <v>0</v>
      </c>
      <c r="EL372" s="28">
        <f>IF(EL369=1,IF(INDEX('Lease Cycles'!$EF$29:$EL$29,1,EL367)=1,EL370*INDEX('Lease Cycles'!$EM$29:$ES$29,1,EL367)+EL371*(1-INDEX('Lease Cycles'!$EM$29:$ES$29,1,EL367)),EL370),EL370)</f>
        <v>0</v>
      </c>
      <c r="EM372" s="28">
        <f>IF(EM369=1,IF(INDEX('Lease Cycles'!$EF$29:$EL$29,1,EM367)=1,EM370*INDEX('Lease Cycles'!$EM$29:$ES$29,1,EM367)+EM371*(1-INDEX('Lease Cycles'!$EM$29:$ES$29,1,EM367)),EM370),EM370)</f>
        <v>0</v>
      </c>
      <c r="EN372" s="28">
        <f>IF(EN369=1,IF(INDEX('Lease Cycles'!$EF$29:$EL$29,1,EN367)=1,EN370*INDEX('Lease Cycles'!$EM$29:$ES$29,1,EN367)+EN371*(1-INDEX('Lease Cycles'!$EM$29:$ES$29,1,EN367)),EN370),EN370)</f>
        <v>0</v>
      </c>
      <c r="EO372" s="28">
        <f>IF(EO369=1,IF(INDEX('Lease Cycles'!$EF$29:$EL$29,1,EO367)=1,EO370*INDEX('Lease Cycles'!$EM$29:$ES$29,1,EO367)+EO371*(1-INDEX('Lease Cycles'!$EM$29:$ES$29,1,EO367)),EO370),EO370)</f>
        <v>0</v>
      </c>
      <c r="EP372" s="28">
        <f>IF(EP369=1,IF(INDEX('Lease Cycles'!$EF$29:$EL$29,1,EP367)=1,EP370*INDEX('Lease Cycles'!$EM$29:$ES$29,1,EP367)+EP371*(1-INDEX('Lease Cycles'!$EM$29:$ES$29,1,EP367)),EP370),EP370)</f>
        <v>0</v>
      </c>
      <c r="EQ372" s="28">
        <f>IF(EQ369=1,IF(INDEX('Lease Cycles'!$EF$29:$EL$29,1,EQ367)=1,EQ370*INDEX('Lease Cycles'!$EM$29:$ES$29,1,EQ367)+EQ371*(1-INDEX('Lease Cycles'!$EM$29:$ES$29,1,EQ367)),EQ370),EQ370)</f>
        <v>0</v>
      </c>
      <c r="ER372" s="28">
        <f>IF(ER369=1,IF(INDEX('Lease Cycles'!$EF$29:$EL$29,1,ER367)=1,ER370*INDEX('Lease Cycles'!$EM$29:$ES$29,1,ER367)+ER371*(1-INDEX('Lease Cycles'!$EM$29:$ES$29,1,ER367)),ER370),ER370)</f>
        <v>0</v>
      </c>
      <c r="ES372" s="28">
        <f>IF(ES369=1,IF(INDEX('Lease Cycles'!$EF$29:$EL$29,1,ES367)=1,ES370*INDEX('Lease Cycles'!$EM$29:$ES$29,1,ES367)+ES371*(1-INDEX('Lease Cycles'!$EM$29:$ES$29,1,ES367)),ES370),ES370)</f>
        <v>0</v>
      </c>
      <c r="ET372" s="28">
        <f>IF(ET369=1,IF(INDEX('Lease Cycles'!$EF$29:$EL$29,1,ET367)=1,ET370*INDEX('Lease Cycles'!$EM$29:$ES$29,1,ET367)+ET371*(1-INDEX('Lease Cycles'!$EM$29:$ES$29,1,ET367)),ET370),ET370)</f>
        <v>0</v>
      </c>
    </row>
    <row r="373">
      <c r="A373" s="103">
        <v>22</v>
      </c>
      <c r="B373" s="23" t="str">
        <f>IF('Lease Cycles'!$B$29="","(empty slot)",'Lease Cycles'!$B$29)</f>
        <v>(empty slot)</v>
      </c>
      <c r="C373" s="23" t="s">
        <v>682</v>
      </c>
      <c r="D373" s="104" t="s">
        <v>495</v>
      </c>
      <c r="E373" s="25">
        <f>'Lease Cycles'!$AL$29</f>
        <v>0</v>
      </c>
      <c r="G373" s="28">
        <f>SUM(S373:AD373)</f>
        <v>0</v>
      </c>
      <c r="H373" s="28">
        <f>SUM(AE373:AP373)</f>
        <v>0</v>
      </c>
      <c r="I373" s="28">
        <f>SUM(AQ373:BB373)</f>
        <v>0</v>
      </c>
      <c r="J373" s="28">
        <f>SUM(BC373:BN373)</f>
        <v>0</v>
      </c>
      <c r="K373" s="28">
        <f>SUM(BO373:BZ373)</f>
        <v>0</v>
      </c>
      <c r="L373" s="28">
        <f>SUM(CA373:CL373)</f>
        <v>0</v>
      </c>
      <c r="M373" s="28">
        <f>SUM(CM373:CX373)</f>
        <v>0</v>
      </c>
      <c r="N373" s="28">
        <f>SUM(CY373:DJ373)</f>
        <v>0</v>
      </c>
      <c r="O373" s="28">
        <f>SUM(DK373:DV373)</f>
        <v>0</v>
      </c>
      <c r="P373" s="28">
        <f>SUM(DW373:EH373)</f>
        <v>0</v>
      </c>
      <c r="Q373" s="28">
        <f>SUM(EI373:ET373)</f>
        <v>0</v>
      </c>
      <c r="S373" s="28">
        <f>IF(S369=1,IF(INDEX('Lease Cycles'!$EF$29:$EL$29,1,S367)=1,S370*INDEX('Lease Cycles'!$EM$29:$ES$29,1,S367)+S371*IF(S368&lt;INDEX('Lease Cycles'!$FA$29:$FG$29,1,S367),0,1-INDEX('Lease Cycles'!$EM$29:$ES$29,1,S367)),S370*IF(S368&lt;INDEX('Lease Cycles'!$DK$29:$DQ$29,1,S367),0,IF(S368=INDEX('Lease Cycles'!$DK$29:$DQ$29,1,S367),1-INDEX('Lease Cycles'!$DR$29:$DX$29,1,S367),1))),0)</f>
        <v>0</v>
      </c>
      <c r="T373" s="28">
        <f>IF(T369=1,IF(INDEX('Lease Cycles'!$EF$29:$EL$29,1,T367)=1,T370*INDEX('Lease Cycles'!$EM$29:$ES$29,1,T367)+T371*IF(T368&lt;INDEX('Lease Cycles'!$FA$29:$FG$29,1,T367),0,1-INDEX('Lease Cycles'!$EM$29:$ES$29,1,T367)),T370*IF(T368&lt;INDEX('Lease Cycles'!$DK$29:$DQ$29,1,T367),0,IF(T368=INDEX('Lease Cycles'!$DK$29:$DQ$29,1,T367),1-INDEX('Lease Cycles'!$DR$29:$DX$29,1,T367),1))),0)</f>
        <v>0</v>
      </c>
      <c r="U373" s="28">
        <f>IF(U369=1,IF(INDEX('Lease Cycles'!$EF$29:$EL$29,1,U367)=1,U370*INDEX('Lease Cycles'!$EM$29:$ES$29,1,U367)+U371*IF(U368&lt;INDEX('Lease Cycles'!$FA$29:$FG$29,1,U367),0,1-INDEX('Lease Cycles'!$EM$29:$ES$29,1,U367)),U370*IF(U368&lt;INDEX('Lease Cycles'!$DK$29:$DQ$29,1,U367),0,IF(U368=INDEX('Lease Cycles'!$DK$29:$DQ$29,1,U367),1-INDEX('Lease Cycles'!$DR$29:$DX$29,1,U367),1))),0)</f>
        <v>0</v>
      </c>
      <c r="V373" s="28">
        <f>IF(V369=1,IF(INDEX('Lease Cycles'!$EF$29:$EL$29,1,V367)=1,V370*INDEX('Lease Cycles'!$EM$29:$ES$29,1,V367)+V371*IF(V368&lt;INDEX('Lease Cycles'!$FA$29:$FG$29,1,V367),0,1-INDEX('Lease Cycles'!$EM$29:$ES$29,1,V367)),V370*IF(V368&lt;INDEX('Lease Cycles'!$DK$29:$DQ$29,1,V367),0,IF(V368=INDEX('Lease Cycles'!$DK$29:$DQ$29,1,V367),1-INDEX('Lease Cycles'!$DR$29:$DX$29,1,V367),1))),0)</f>
        <v>0</v>
      </c>
      <c r="W373" s="28">
        <f>IF(W369=1,IF(INDEX('Lease Cycles'!$EF$29:$EL$29,1,W367)=1,W370*INDEX('Lease Cycles'!$EM$29:$ES$29,1,W367)+W371*IF(W368&lt;INDEX('Lease Cycles'!$FA$29:$FG$29,1,W367),0,1-INDEX('Lease Cycles'!$EM$29:$ES$29,1,W367)),W370*IF(W368&lt;INDEX('Lease Cycles'!$DK$29:$DQ$29,1,W367),0,IF(W368=INDEX('Lease Cycles'!$DK$29:$DQ$29,1,W367),1-INDEX('Lease Cycles'!$DR$29:$DX$29,1,W367),1))),0)</f>
        <v>0</v>
      </c>
      <c r="X373" s="28">
        <f>IF(X369=1,IF(INDEX('Lease Cycles'!$EF$29:$EL$29,1,X367)=1,X370*INDEX('Lease Cycles'!$EM$29:$ES$29,1,X367)+X371*IF(X368&lt;INDEX('Lease Cycles'!$FA$29:$FG$29,1,X367),0,1-INDEX('Lease Cycles'!$EM$29:$ES$29,1,X367)),X370*IF(X368&lt;INDEX('Lease Cycles'!$DK$29:$DQ$29,1,X367),0,IF(X368=INDEX('Lease Cycles'!$DK$29:$DQ$29,1,X367),1-INDEX('Lease Cycles'!$DR$29:$DX$29,1,X367),1))),0)</f>
        <v>0</v>
      </c>
      <c r="Y373" s="28">
        <f>IF(Y369=1,IF(INDEX('Lease Cycles'!$EF$29:$EL$29,1,Y367)=1,Y370*INDEX('Lease Cycles'!$EM$29:$ES$29,1,Y367)+Y371*IF(Y368&lt;INDEX('Lease Cycles'!$FA$29:$FG$29,1,Y367),0,1-INDEX('Lease Cycles'!$EM$29:$ES$29,1,Y367)),Y370*IF(Y368&lt;INDEX('Lease Cycles'!$DK$29:$DQ$29,1,Y367),0,IF(Y368=INDEX('Lease Cycles'!$DK$29:$DQ$29,1,Y367),1-INDEX('Lease Cycles'!$DR$29:$DX$29,1,Y367),1))),0)</f>
        <v>0</v>
      </c>
      <c r="Z373" s="28">
        <f>IF(Z369=1,IF(INDEX('Lease Cycles'!$EF$29:$EL$29,1,Z367)=1,Z370*INDEX('Lease Cycles'!$EM$29:$ES$29,1,Z367)+Z371*IF(Z368&lt;INDEX('Lease Cycles'!$FA$29:$FG$29,1,Z367),0,1-INDEX('Lease Cycles'!$EM$29:$ES$29,1,Z367)),Z370*IF(Z368&lt;INDEX('Lease Cycles'!$DK$29:$DQ$29,1,Z367),0,IF(Z368=INDEX('Lease Cycles'!$DK$29:$DQ$29,1,Z367),1-INDEX('Lease Cycles'!$DR$29:$DX$29,1,Z367),1))),0)</f>
        <v>0</v>
      </c>
      <c r="AA373" s="28">
        <f>IF(AA369=1,IF(INDEX('Lease Cycles'!$EF$29:$EL$29,1,AA367)=1,AA370*INDEX('Lease Cycles'!$EM$29:$ES$29,1,AA367)+AA371*IF(AA368&lt;INDEX('Lease Cycles'!$FA$29:$FG$29,1,AA367),0,1-INDEX('Lease Cycles'!$EM$29:$ES$29,1,AA367)),AA370*IF(AA368&lt;INDEX('Lease Cycles'!$DK$29:$DQ$29,1,AA367),0,IF(AA368=INDEX('Lease Cycles'!$DK$29:$DQ$29,1,AA367),1-INDEX('Lease Cycles'!$DR$29:$DX$29,1,AA367),1))),0)</f>
        <v>0</v>
      </c>
      <c r="AB373" s="28">
        <f>IF(AB369=1,IF(INDEX('Lease Cycles'!$EF$29:$EL$29,1,AB367)=1,AB370*INDEX('Lease Cycles'!$EM$29:$ES$29,1,AB367)+AB371*IF(AB368&lt;INDEX('Lease Cycles'!$FA$29:$FG$29,1,AB367),0,1-INDEX('Lease Cycles'!$EM$29:$ES$29,1,AB367)),AB370*IF(AB368&lt;INDEX('Lease Cycles'!$DK$29:$DQ$29,1,AB367),0,IF(AB368=INDEX('Lease Cycles'!$DK$29:$DQ$29,1,AB367),1-INDEX('Lease Cycles'!$DR$29:$DX$29,1,AB367),1))),0)</f>
        <v>0</v>
      </c>
      <c r="AC373" s="28">
        <f>IF(AC369=1,IF(INDEX('Lease Cycles'!$EF$29:$EL$29,1,AC367)=1,AC370*INDEX('Lease Cycles'!$EM$29:$ES$29,1,AC367)+AC371*IF(AC368&lt;INDEX('Lease Cycles'!$FA$29:$FG$29,1,AC367),0,1-INDEX('Lease Cycles'!$EM$29:$ES$29,1,AC367)),AC370*IF(AC368&lt;INDEX('Lease Cycles'!$DK$29:$DQ$29,1,AC367),0,IF(AC368=INDEX('Lease Cycles'!$DK$29:$DQ$29,1,AC367),1-INDEX('Lease Cycles'!$DR$29:$DX$29,1,AC367),1))),0)</f>
        <v>0</v>
      </c>
      <c r="AD373" s="28">
        <f>IF(AD369=1,IF(INDEX('Lease Cycles'!$EF$29:$EL$29,1,AD367)=1,AD370*INDEX('Lease Cycles'!$EM$29:$ES$29,1,AD367)+AD371*IF(AD368&lt;INDEX('Lease Cycles'!$FA$29:$FG$29,1,AD367),0,1-INDEX('Lease Cycles'!$EM$29:$ES$29,1,AD367)),AD370*IF(AD368&lt;INDEX('Lease Cycles'!$DK$29:$DQ$29,1,AD367),0,IF(AD368=INDEX('Lease Cycles'!$DK$29:$DQ$29,1,AD367),1-INDEX('Lease Cycles'!$DR$29:$DX$29,1,AD367),1))),0)</f>
        <v>0</v>
      </c>
      <c r="AE373" s="28">
        <f>IF(AE369=1,IF(INDEX('Lease Cycles'!$EF$29:$EL$29,1,AE367)=1,AE370*INDEX('Lease Cycles'!$EM$29:$ES$29,1,AE367)+AE371*IF(AE368&lt;INDEX('Lease Cycles'!$FA$29:$FG$29,1,AE367),0,1-INDEX('Lease Cycles'!$EM$29:$ES$29,1,AE367)),AE370*IF(AE368&lt;INDEX('Lease Cycles'!$DK$29:$DQ$29,1,AE367),0,IF(AE368=INDEX('Lease Cycles'!$DK$29:$DQ$29,1,AE367),1-INDEX('Lease Cycles'!$DR$29:$DX$29,1,AE367),1))),0)</f>
        <v>0</v>
      </c>
      <c r="AF373" s="28">
        <f>IF(AF369=1,IF(INDEX('Lease Cycles'!$EF$29:$EL$29,1,AF367)=1,AF370*INDEX('Lease Cycles'!$EM$29:$ES$29,1,AF367)+AF371*IF(AF368&lt;INDEX('Lease Cycles'!$FA$29:$FG$29,1,AF367),0,1-INDEX('Lease Cycles'!$EM$29:$ES$29,1,AF367)),AF370*IF(AF368&lt;INDEX('Lease Cycles'!$DK$29:$DQ$29,1,AF367),0,IF(AF368=INDEX('Lease Cycles'!$DK$29:$DQ$29,1,AF367),1-INDEX('Lease Cycles'!$DR$29:$DX$29,1,AF367),1))),0)</f>
        <v>0</v>
      </c>
      <c r="AG373" s="28">
        <f>IF(AG369=1,IF(INDEX('Lease Cycles'!$EF$29:$EL$29,1,AG367)=1,AG370*INDEX('Lease Cycles'!$EM$29:$ES$29,1,AG367)+AG371*IF(AG368&lt;INDEX('Lease Cycles'!$FA$29:$FG$29,1,AG367),0,1-INDEX('Lease Cycles'!$EM$29:$ES$29,1,AG367)),AG370*IF(AG368&lt;INDEX('Lease Cycles'!$DK$29:$DQ$29,1,AG367),0,IF(AG368=INDEX('Lease Cycles'!$DK$29:$DQ$29,1,AG367),1-INDEX('Lease Cycles'!$DR$29:$DX$29,1,AG367),1))),0)</f>
        <v>0</v>
      </c>
      <c r="AH373" s="28">
        <f>IF(AH369=1,IF(INDEX('Lease Cycles'!$EF$29:$EL$29,1,AH367)=1,AH370*INDEX('Lease Cycles'!$EM$29:$ES$29,1,AH367)+AH371*IF(AH368&lt;INDEX('Lease Cycles'!$FA$29:$FG$29,1,AH367),0,1-INDEX('Lease Cycles'!$EM$29:$ES$29,1,AH367)),AH370*IF(AH368&lt;INDEX('Lease Cycles'!$DK$29:$DQ$29,1,AH367),0,IF(AH368=INDEX('Lease Cycles'!$DK$29:$DQ$29,1,AH367),1-INDEX('Lease Cycles'!$DR$29:$DX$29,1,AH367),1))),0)</f>
        <v>0</v>
      </c>
      <c r="AI373" s="28">
        <f>IF(AI369=1,IF(INDEX('Lease Cycles'!$EF$29:$EL$29,1,AI367)=1,AI370*INDEX('Lease Cycles'!$EM$29:$ES$29,1,AI367)+AI371*IF(AI368&lt;INDEX('Lease Cycles'!$FA$29:$FG$29,1,AI367),0,1-INDEX('Lease Cycles'!$EM$29:$ES$29,1,AI367)),AI370*IF(AI368&lt;INDEX('Lease Cycles'!$DK$29:$DQ$29,1,AI367),0,IF(AI368=INDEX('Lease Cycles'!$DK$29:$DQ$29,1,AI367),1-INDEX('Lease Cycles'!$DR$29:$DX$29,1,AI367),1))),0)</f>
        <v>0</v>
      </c>
      <c r="AJ373" s="28">
        <f>IF(AJ369=1,IF(INDEX('Lease Cycles'!$EF$29:$EL$29,1,AJ367)=1,AJ370*INDEX('Lease Cycles'!$EM$29:$ES$29,1,AJ367)+AJ371*IF(AJ368&lt;INDEX('Lease Cycles'!$FA$29:$FG$29,1,AJ367),0,1-INDEX('Lease Cycles'!$EM$29:$ES$29,1,AJ367)),AJ370*IF(AJ368&lt;INDEX('Lease Cycles'!$DK$29:$DQ$29,1,AJ367),0,IF(AJ368=INDEX('Lease Cycles'!$DK$29:$DQ$29,1,AJ367),1-INDEX('Lease Cycles'!$DR$29:$DX$29,1,AJ367),1))),0)</f>
        <v>0</v>
      </c>
      <c r="AK373" s="28">
        <f>IF(AK369=1,IF(INDEX('Lease Cycles'!$EF$29:$EL$29,1,AK367)=1,AK370*INDEX('Lease Cycles'!$EM$29:$ES$29,1,AK367)+AK371*IF(AK368&lt;INDEX('Lease Cycles'!$FA$29:$FG$29,1,AK367),0,1-INDEX('Lease Cycles'!$EM$29:$ES$29,1,AK367)),AK370*IF(AK368&lt;INDEX('Lease Cycles'!$DK$29:$DQ$29,1,AK367),0,IF(AK368=INDEX('Lease Cycles'!$DK$29:$DQ$29,1,AK367),1-INDEX('Lease Cycles'!$DR$29:$DX$29,1,AK367),1))),0)</f>
        <v>0</v>
      </c>
      <c r="AL373" s="28">
        <f>IF(AL369=1,IF(INDEX('Lease Cycles'!$EF$29:$EL$29,1,AL367)=1,AL370*INDEX('Lease Cycles'!$EM$29:$ES$29,1,AL367)+AL371*IF(AL368&lt;INDEX('Lease Cycles'!$FA$29:$FG$29,1,AL367),0,1-INDEX('Lease Cycles'!$EM$29:$ES$29,1,AL367)),AL370*IF(AL368&lt;INDEX('Lease Cycles'!$DK$29:$DQ$29,1,AL367),0,IF(AL368=INDEX('Lease Cycles'!$DK$29:$DQ$29,1,AL367),1-INDEX('Lease Cycles'!$DR$29:$DX$29,1,AL367),1))),0)</f>
        <v>0</v>
      </c>
      <c r="AM373" s="28">
        <f>IF(AM369=1,IF(INDEX('Lease Cycles'!$EF$29:$EL$29,1,AM367)=1,AM370*INDEX('Lease Cycles'!$EM$29:$ES$29,1,AM367)+AM371*IF(AM368&lt;INDEX('Lease Cycles'!$FA$29:$FG$29,1,AM367),0,1-INDEX('Lease Cycles'!$EM$29:$ES$29,1,AM367)),AM370*IF(AM368&lt;INDEX('Lease Cycles'!$DK$29:$DQ$29,1,AM367),0,IF(AM368=INDEX('Lease Cycles'!$DK$29:$DQ$29,1,AM367),1-INDEX('Lease Cycles'!$DR$29:$DX$29,1,AM367),1))),0)</f>
        <v>0</v>
      </c>
      <c r="AN373" s="28">
        <f>IF(AN369=1,IF(INDEX('Lease Cycles'!$EF$29:$EL$29,1,AN367)=1,AN370*INDEX('Lease Cycles'!$EM$29:$ES$29,1,AN367)+AN371*IF(AN368&lt;INDEX('Lease Cycles'!$FA$29:$FG$29,1,AN367),0,1-INDEX('Lease Cycles'!$EM$29:$ES$29,1,AN367)),AN370*IF(AN368&lt;INDEX('Lease Cycles'!$DK$29:$DQ$29,1,AN367),0,IF(AN368=INDEX('Lease Cycles'!$DK$29:$DQ$29,1,AN367),1-INDEX('Lease Cycles'!$DR$29:$DX$29,1,AN367),1))),0)</f>
        <v>0</v>
      </c>
      <c r="AO373" s="28">
        <f>IF(AO369=1,IF(INDEX('Lease Cycles'!$EF$29:$EL$29,1,AO367)=1,AO370*INDEX('Lease Cycles'!$EM$29:$ES$29,1,AO367)+AO371*IF(AO368&lt;INDEX('Lease Cycles'!$FA$29:$FG$29,1,AO367),0,1-INDEX('Lease Cycles'!$EM$29:$ES$29,1,AO367)),AO370*IF(AO368&lt;INDEX('Lease Cycles'!$DK$29:$DQ$29,1,AO367),0,IF(AO368=INDEX('Lease Cycles'!$DK$29:$DQ$29,1,AO367),1-INDEX('Lease Cycles'!$DR$29:$DX$29,1,AO367),1))),0)</f>
        <v>0</v>
      </c>
      <c r="AP373" s="28">
        <f>IF(AP369=1,IF(INDEX('Lease Cycles'!$EF$29:$EL$29,1,AP367)=1,AP370*INDEX('Lease Cycles'!$EM$29:$ES$29,1,AP367)+AP371*IF(AP368&lt;INDEX('Lease Cycles'!$FA$29:$FG$29,1,AP367),0,1-INDEX('Lease Cycles'!$EM$29:$ES$29,1,AP367)),AP370*IF(AP368&lt;INDEX('Lease Cycles'!$DK$29:$DQ$29,1,AP367),0,IF(AP368=INDEX('Lease Cycles'!$DK$29:$DQ$29,1,AP367),1-INDEX('Lease Cycles'!$DR$29:$DX$29,1,AP367),1))),0)</f>
        <v>0</v>
      </c>
      <c r="AQ373" s="28">
        <f>IF(AQ369=1,IF(INDEX('Lease Cycles'!$EF$29:$EL$29,1,AQ367)=1,AQ370*INDEX('Lease Cycles'!$EM$29:$ES$29,1,AQ367)+AQ371*IF(AQ368&lt;INDEX('Lease Cycles'!$FA$29:$FG$29,1,AQ367),0,1-INDEX('Lease Cycles'!$EM$29:$ES$29,1,AQ367)),AQ370*IF(AQ368&lt;INDEX('Lease Cycles'!$DK$29:$DQ$29,1,AQ367),0,IF(AQ368=INDEX('Lease Cycles'!$DK$29:$DQ$29,1,AQ367),1-INDEX('Lease Cycles'!$DR$29:$DX$29,1,AQ367),1))),0)</f>
        <v>0</v>
      </c>
      <c r="AR373" s="28">
        <f>IF(AR369=1,IF(INDEX('Lease Cycles'!$EF$29:$EL$29,1,AR367)=1,AR370*INDEX('Lease Cycles'!$EM$29:$ES$29,1,AR367)+AR371*IF(AR368&lt;INDEX('Lease Cycles'!$FA$29:$FG$29,1,AR367),0,1-INDEX('Lease Cycles'!$EM$29:$ES$29,1,AR367)),AR370*IF(AR368&lt;INDEX('Lease Cycles'!$DK$29:$DQ$29,1,AR367),0,IF(AR368=INDEX('Lease Cycles'!$DK$29:$DQ$29,1,AR367),1-INDEX('Lease Cycles'!$DR$29:$DX$29,1,AR367),1))),0)</f>
        <v>0</v>
      </c>
      <c r="AS373" s="28">
        <f>IF(AS369=1,IF(INDEX('Lease Cycles'!$EF$29:$EL$29,1,AS367)=1,AS370*INDEX('Lease Cycles'!$EM$29:$ES$29,1,AS367)+AS371*IF(AS368&lt;INDEX('Lease Cycles'!$FA$29:$FG$29,1,AS367),0,1-INDEX('Lease Cycles'!$EM$29:$ES$29,1,AS367)),AS370*IF(AS368&lt;INDEX('Lease Cycles'!$DK$29:$DQ$29,1,AS367),0,IF(AS368=INDEX('Lease Cycles'!$DK$29:$DQ$29,1,AS367),1-INDEX('Lease Cycles'!$DR$29:$DX$29,1,AS367),1))),0)</f>
        <v>0</v>
      </c>
      <c r="AT373" s="28">
        <f>IF(AT369=1,IF(INDEX('Lease Cycles'!$EF$29:$EL$29,1,AT367)=1,AT370*INDEX('Lease Cycles'!$EM$29:$ES$29,1,AT367)+AT371*IF(AT368&lt;INDEX('Lease Cycles'!$FA$29:$FG$29,1,AT367),0,1-INDEX('Lease Cycles'!$EM$29:$ES$29,1,AT367)),AT370*IF(AT368&lt;INDEX('Lease Cycles'!$DK$29:$DQ$29,1,AT367),0,IF(AT368=INDEX('Lease Cycles'!$DK$29:$DQ$29,1,AT367),1-INDEX('Lease Cycles'!$DR$29:$DX$29,1,AT367),1))),0)</f>
        <v>0</v>
      </c>
      <c r="AU373" s="28">
        <f>IF(AU369=1,IF(INDEX('Lease Cycles'!$EF$29:$EL$29,1,AU367)=1,AU370*INDEX('Lease Cycles'!$EM$29:$ES$29,1,AU367)+AU371*IF(AU368&lt;INDEX('Lease Cycles'!$FA$29:$FG$29,1,AU367),0,1-INDEX('Lease Cycles'!$EM$29:$ES$29,1,AU367)),AU370*IF(AU368&lt;INDEX('Lease Cycles'!$DK$29:$DQ$29,1,AU367),0,IF(AU368=INDEX('Lease Cycles'!$DK$29:$DQ$29,1,AU367),1-INDEX('Lease Cycles'!$DR$29:$DX$29,1,AU367),1))),0)</f>
        <v>0</v>
      </c>
      <c r="AV373" s="28">
        <f>IF(AV369=1,IF(INDEX('Lease Cycles'!$EF$29:$EL$29,1,AV367)=1,AV370*INDEX('Lease Cycles'!$EM$29:$ES$29,1,AV367)+AV371*IF(AV368&lt;INDEX('Lease Cycles'!$FA$29:$FG$29,1,AV367),0,1-INDEX('Lease Cycles'!$EM$29:$ES$29,1,AV367)),AV370*IF(AV368&lt;INDEX('Lease Cycles'!$DK$29:$DQ$29,1,AV367),0,IF(AV368=INDEX('Lease Cycles'!$DK$29:$DQ$29,1,AV367),1-INDEX('Lease Cycles'!$DR$29:$DX$29,1,AV367),1))),0)</f>
        <v>0</v>
      </c>
      <c r="AW373" s="28">
        <f>IF(AW369=1,IF(INDEX('Lease Cycles'!$EF$29:$EL$29,1,AW367)=1,AW370*INDEX('Lease Cycles'!$EM$29:$ES$29,1,AW367)+AW371*IF(AW368&lt;INDEX('Lease Cycles'!$FA$29:$FG$29,1,AW367),0,1-INDEX('Lease Cycles'!$EM$29:$ES$29,1,AW367)),AW370*IF(AW368&lt;INDEX('Lease Cycles'!$DK$29:$DQ$29,1,AW367),0,IF(AW368=INDEX('Lease Cycles'!$DK$29:$DQ$29,1,AW367),1-INDEX('Lease Cycles'!$DR$29:$DX$29,1,AW367),1))),0)</f>
        <v>0</v>
      </c>
      <c r="AX373" s="28">
        <f>IF(AX369=1,IF(INDEX('Lease Cycles'!$EF$29:$EL$29,1,AX367)=1,AX370*INDEX('Lease Cycles'!$EM$29:$ES$29,1,AX367)+AX371*IF(AX368&lt;INDEX('Lease Cycles'!$FA$29:$FG$29,1,AX367),0,1-INDEX('Lease Cycles'!$EM$29:$ES$29,1,AX367)),AX370*IF(AX368&lt;INDEX('Lease Cycles'!$DK$29:$DQ$29,1,AX367),0,IF(AX368=INDEX('Lease Cycles'!$DK$29:$DQ$29,1,AX367),1-INDEX('Lease Cycles'!$DR$29:$DX$29,1,AX367),1))),0)</f>
        <v>0</v>
      </c>
      <c r="AY373" s="28">
        <f>IF(AY369=1,IF(INDEX('Lease Cycles'!$EF$29:$EL$29,1,AY367)=1,AY370*INDEX('Lease Cycles'!$EM$29:$ES$29,1,AY367)+AY371*IF(AY368&lt;INDEX('Lease Cycles'!$FA$29:$FG$29,1,AY367),0,1-INDEX('Lease Cycles'!$EM$29:$ES$29,1,AY367)),AY370*IF(AY368&lt;INDEX('Lease Cycles'!$DK$29:$DQ$29,1,AY367),0,IF(AY368=INDEX('Lease Cycles'!$DK$29:$DQ$29,1,AY367),1-INDEX('Lease Cycles'!$DR$29:$DX$29,1,AY367),1))),0)</f>
        <v>0</v>
      </c>
      <c r="AZ373" s="28">
        <f>IF(AZ369=1,IF(INDEX('Lease Cycles'!$EF$29:$EL$29,1,AZ367)=1,AZ370*INDEX('Lease Cycles'!$EM$29:$ES$29,1,AZ367)+AZ371*IF(AZ368&lt;INDEX('Lease Cycles'!$FA$29:$FG$29,1,AZ367),0,1-INDEX('Lease Cycles'!$EM$29:$ES$29,1,AZ367)),AZ370*IF(AZ368&lt;INDEX('Lease Cycles'!$DK$29:$DQ$29,1,AZ367),0,IF(AZ368=INDEX('Lease Cycles'!$DK$29:$DQ$29,1,AZ367),1-INDEX('Lease Cycles'!$DR$29:$DX$29,1,AZ367),1))),0)</f>
        <v>0</v>
      </c>
      <c r="BA373" s="28">
        <f>IF(BA369=1,IF(INDEX('Lease Cycles'!$EF$29:$EL$29,1,BA367)=1,BA370*INDEX('Lease Cycles'!$EM$29:$ES$29,1,BA367)+BA371*IF(BA368&lt;INDEX('Lease Cycles'!$FA$29:$FG$29,1,BA367),0,1-INDEX('Lease Cycles'!$EM$29:$ES$29,1,BA367)),BA370*IF(BA368&lt;INDEX('Lease Cycles'!$DK$29:$DQ$29,1,BA367),0,IF(BA368=INDEX('Lease Cycles'!$DK$29:$DQ$29,1,BA367),1-INDEX('Lease Cycles'!$DR$29:$DX$29,1,BA367),1))),0)</f>
        <v>0</v>
      </c>
      <c r="BB373" s="28">
        <f>IF(BB369=1,IF(INDEX('Lease Cycles'!$EF$29:$EL$29,1,BB367)=1,BB370*INDEX('Lease Cycles'!$EM$29:$ES$29,1,BB367)+BB371*IF(BB368&lt;INDEX('Lease Cycles'!$FA$29:$FG$29,1,BB367),0,1-INDEX('Lease Cycles'!$EM$29:$ES$29,1,BB367)),BB370*IF(BB368&lt;INDEX('Lease Cycles'!$DK$29:$DQ$29,1,BB367),0,IF(BB368=INDEX('Lease Cycles'!$DK$29:$DQ$29,1,BB367),1-INDEX('Lease Cycles'!$DR$29:$DX$29,1,BB367),1))),0)</f>
        <v>0</v>
      </c>
      <c r="BC373" s="28">
        <f>IF(BC369=1,IF(INDEX('Lease Cycles'!$EF$29:$EL$29,1,BC367)=1,BC370*INDEX('Lease Cycles'!$EM$29:$ES$29,1,BC367)+BC371*IF(BC368&lt;INDEX('Lease Cycles'!$FA$29:$FG$29,1,BC367),0,1-INDEX('Lease Cycles'!$EM$29:$ES$29,1,BC367)),BC370*IF(BC368&lt;INDEX('Lease Cycles'!$DK$29:$DQ$29,1,BC367),0,IF(BC368=INDEX('Lease Cycles'!$DK$29:$DQ$29,1,BC367),1-INDEX('Lease Cycles'!$DR$29:$DX$29,1,BC367),1))),0)</f>
        <v>0</v>
      </c>
      <c r="BD373" s="28">
        <f>IF(BD369=1,IF(INDEX('Lease Cycles'!$EF$29:$EL$29,1,BD367)=1,BD370*INDEX('Lease Cycles'!$EM$29:$ES$29,1,BD367)+BD371*IF(BD368&lt;INDEX('Lease Cycles'!$FA$29:$FG$29,1,BD367),0,1-INDEX('Lease Cycles'!$EM$29:$ES$29,1,BD367)),BD370*IF(BD368&lt;INDEX('Lease Cycles'!$DK$29:$DQ$29,1,BD367),0,IF(BD368=INDEX('Lease Cycles'!$DK$29:$DQ$29,1,BD367),1-INDEX('Lease Cycles'!$DR$29:$DX$29,1,BD367),1))),0)</f>
        <v>0</v>
      </c>
      <c r="BE373" s="28">
        <f>IF(BE369=1,IF(INDEX('Lease Cycles'!$EF$29:$EL$29,1,BE367)=1,BE370*INDEX('Lease Cycles'!$EM$29:$ES$29,1,BE367)+BE371*IF(BE368&lt;INDEX('Lease Cycles'!$FA$29:$FG$29,1,BE367),0,1-INDEX('Lease Cycles'!$EM$29:$ES$29,1,BE367)),BE370*IF(BE368&lt;INDEX('Lease Cycles'!$DK$29:$DQ$29,1,BE367),0,IF(BE368=INDEX('Lease Cycles'!$DK$29:$DQ$29,1,BE367),1-INDEX('Lease Cycles'!$DR$29:$DX$29,1,BE367),1))),0)</f>
        <v>0</v>
      </c>
      <c r="BF373" s="28">
        <f>IF(BF369=1,IF(INDEX('Lease Cycles'!$EF$29:$EL$29,1,BF367)=1,BF370*INDEX('Lease Cycles'!$EM$29:$ES$29,1,BF367)+BF371*IF(BF368&lt;INDEX('Lease Cycles'!$FA$29:$FG$29,1,BF367),0,1-INDEX('Lease Cycles'!$EM$29:$ES$29,1,BF367)),BF370*IF(BF368&lt;INDEX('Lease Cycles'!$DK$29:$DQ$29,1,BF367),0,IF(BF368=INDEX('Lease Cycles'!$DK$29:$DQ$29,1,BF367),1-INDEX('Lease Cycles'!$DR$29:$DX$29,1,BF367),1))),0)</f>
        <v>0</v>
      </c>
      <c r="BG373" s="28">
        <f>IF(BG369=1,IF(INDEX('Lease Cycles'!$EF$29:$EL$29,1,BG367)=1,BG370*INDEX('Lease Cycles'!$EM$29:$ES$29,1,BG367)+BG371*IF(BG368&lt;INDEX('Lease Cycles'!$FA$29:$FG$29,1,BG367),0,1-INDEX('Lease Cycles'!$EM$29:$ES$29,1,BG367)),BG370*IF(BG368&lt;INDEX('Lease Cycles'!$DK$29:$DQ$29,1,BG367),0,IF(BG368=INDEX('Lease Cycles'!$DK$29:$DQ$29,1,BG367),1-INDEX('Lease Cycles'!$DR$29:$DX$29,1,BG367),1))),0)</f>
        <v>0</v>
      </c>
      <c r="BH373" s="28">
        <f>IF(BH369=1,IF(INDEX('Lease Cycles'!$EF$29:$EL$29,1,BH367)=1,BH370*INDEX('Lease Cycles'!$EM$29:$ES$29,1,BH367)+BH371*IF(BH368&lt;INDEX('Lease Cycles'!$FA$29:$FG$29,1,BH367),0,1-INDEX('Lease Cycles'!$EM$29:$ES$29,1,BH367)),BH370*IF(BH368&lt;INDEX('Lease Cycles'!$DK$29:$DQ$29,1,BH367),0,IF(BH368=INDEX('Lease Cycles'!$DK$29:$DQ$29,1,BH367),1-INDEX('Lease Cycles'!$DR$29:$DX$29,1,BH367),1))),0)</f>
        <v>0</v>
      </c>
      <c r="BI373" s="28">
        <f>IF(BI369=1,IF(INDEX('Lease Cycles'!$EF$29:$EL$29,1,BI367)=1,BI370*INDEX('Lease Cycles'!$EM$29:$ES$29,1,BI367)+BI371*IF(BI368&lt;INDEX('Lease Cycles'!$FA$29:$FG$29,1,BI367),0,1-INDEX('Lease Cycles'!$EM$29:$ES$29,1,BI367)),BI370*IF(BI368&lt;INDEX('Lease Cycles'!$DK$29:$DQ$29,1,BI367),0,IF(BI368=INDEX('Lease Cycles'!$DK$29:$DQ$29,1,BI367),1-INDEX('Lease Cycles'!$DR$29:$DX$29,1,BI367),1))),0)</f>
        <v>0</v>
      </c>
      <c r="BJ373" s="28">
        <f>IF(BJ369=1,IF(INDEX('Lease Cycles'!$EF$29:$EL$29,1,BJ367)=1,BJ370*INDEX('Lease Cycles'!$EM$29:$ES$29,1,BJ367)+BJ371*IF(BJ368&lt;INDEX('Lease Cycles'!$FA$29:$FG$29,1,BJ367),0,1-INDEX('Lease Cycles'!$EM$29:$ES$29,1,BJ367)),BJ370*IF(BJ368&lt;INDEX('Lease Cycles'!$DK$29:$DQ$29,1,BJ367),0,IF(BJ368=INDEX('Lease Cycles'!$DK$29:$DQ$29,1,BJ367),1-INDEX('Lease Cycles'!$DR$29:$DX$29,1,BJ367),1))),0)</f>
        <v>0</v>
      </c>
      <c r="BK373" s="28">
        <f>IF(BK369=1,IF(INDEX('Lease Cycles'!$EF$29:$EL$29,1,BK367)=1,BK370*INDEX('Lease Cycles'!$EM$29:$ES$29,1,BK367)+BK371*IF(BK368&lt;INDEX('Lease Cycles'!$FA$29:$FG$29,1,BK367),0,1-INDEX('Lease Cycles'!$EM$29:$ES$29,1,BK367)),BK370*IF(BK368&lt;INDEX('Lease Cycles'!$DK$29:$DQ$29,1,BK367),0,IF(BK368=INDEX('Lease Cycles'!$DK$29:$DQ$29,1,BK367),1-INDEX('Lease Cycles'!$DR$29:$DX$29,1,BK367),1))),0)</f>
        <v>0</v>
      </c>
      <c r="BL373" s="28">
        <f>IF(BL369=1,IF(INDEX('Lease Cycles'!$EF$29:$EL$29,1,BL367)=1,BL370*INDEX('Lease Cycles'!$EM$29:$ES$29,1,BL367)+BL371*IF(BL368&lt;INDEX('Lease Cycles'!$FA$29:$FG$29,1,BL367),0,1-INDEX('Lease Cycles'!$EM$29:$ES$29,1,BL367)),BL370*IF(BL368&lt;INDEX('Lease Cycles'!$DK$29:$DQ$29,1,BL367),0,IF(BL368=INDEX('Lease Cycles'!$DK$29:$DQ$29,1,BL367),1-INDEX('Lease Cycles'!$DR$29:$DX$29,1,BL367),1))),0)</f>
        <v>0</v>
      </c>
      <c r="BM373" s="28">
        <f>IF(BM369=1,IF(INDEX('Lease Cycles'!$EF$29:$EL$29,1,BM367)=1,BM370*INDEX('Lease Cycles'!$EM$29:$ES$29,1,BM367)+BM371*IF(BM368&lt;INDEX('Lease Cycles'!$FA$29:$FG$29,1,BM367),0,1-INDEX('Lease Cycles'!$EM$29:$ES$29,1,BM367)),BM370*IF(BM368&lt;INDEX('Lease Cycles'!$DK$29:$DQ$29,1,BM367),0,IF(BM368=INDEX('Lease Cycles'!$DK$29:$DQ$29,1,BM367),1-INDEX('Lease Cycles'!$DR$29:$DX$29,1,BM367),1))),0)</f>
        <v>0</v>
      </c>
      <c r="BN373" s="28">
        <f>IF(BN369=1,IF(INDEX('Lease Cycles'!$EF$29:$EL$29,1,BN367)=1,BN370*INDEX('Lease Cycles'!$EM$29:$ES$29,1,BN367)+BN371*IF(BN368&lt;INDEX('Lease Cycles'!$FA$29:$FG$29,1,BN367),0,1-INDEX('Lease Cycles'!$EM$29:$ES$29,1,BN367)),BN370*IF(BN368&lt;INDEX('Lease Cycles'!$DK$29:$DQ$29,1,BN367),0,IF(BN368=INDEX('Lease Cycles'!$DK$29:$DQ$29,1,BN367),1-INDEX('Lease Cycles'!$DR$29:$DX$29,1,BN367),1))),0)</f>
        <v>0</v>
      </c>
      <c r="BO373" s="28">
        <f>IF(BO369=1,IF(INDEX('Lease Cycles'!$EF$29:$EL$29,1,BO367)=1,BO370*INDEX('Lease Cycles'!$EM$29:$ES$29,1,BO367)+BO371*IF(BO368&lt;INDEX('Lease Cycles'!$FA$29:$FG$29,1,BO367),0,1-INDEX('Lease Cycles'!$EM$29:$ES$29,1,BO367)),BO370*IF(BO368&lt;INDEX('Lease Cycles'!$DK$29:$DQ$29,1,BO367),0,IF(BO368=INDEX('Lease Cycles'!$DK$29:$DQ$29,1,BO367),1-INDEX('Lease Cycles'!$DR$29:$DX$29,1,BO367),1))),0)</f>
        <v>0</v>
      </c>
      <c r="BP373" s="28">
        <f>IF(BP369=1,IF(INDEX('Lease Cycles'!$EF$29:$EL$29,1,BP367)=1,BP370*INDEX('Lease Cycles'!$EM$29:$ES$29,1,BP367)+BP371*IF(BP368&lt;INDEX('Lease Cycles'!$FA$29:$FG$29,1,BP367),0,1-INDEX('Lease Cycles'!$EM$29:$ES$29,1,BP367)),BP370*IF(BP368&lt;INDEX('Lease Cycles'!$DK$29:$DQ$29,1,BP367),0,IF(BP368=INDEX('Lease Cycles'!$DK$29:$DQ$29,1,BP367),1-INDEX('Lease Cycles'!$DR$29:$DX$29,1,BP367),1))),0)</f>
        <v>0</v>
      </c>
      <c r="BQ373" s="28">
        <f>IF(BQ369=1,IF(INDEX('Lease Cycles'!$EF$29:$EL$29,1,BQ367)=1,BQ370*INDEX('Lease Cycles'!$EM$29:$ES$29,1,BQ367)+BQ371*IF(BQ368&lt;INDEX('Lease Cycles'!$FA$29:$FG$29,1,BQ367),0,1-INDEX('Lease Cycles'!$EM$29:$ES$29,1,BQ367)),BQ370*IF(BQ368&lt;INDEX('Lease Cycles'!$DK$29:$DQ$29,1,BQ367),0,IF(BQ368=INDEX('Lease Cycles'!$DK$29:$DQ$29,1,BQ367),1-INDEX('Lease Cycles'!$DR$29:$DX$29,1,BQ367),1))),0)</f>
        <v>0</v>
      </c>
      <c r="BR373" s="28">
        <f>IF(BR369=1,IF(INDEX('Lease Cycles'!$EF$29:$EL$29,1,BR367)=1,BR370*INDEX('Lease Cycles'!$EM$29:$ES$29,1,BR367)+BR371*IF(BR368&lt;INDEX('Lease Cycles'!$FA$29:$FG$29,1,BR367),0,1-INDEX('Lease Cycles'!$EM$29:$ES$29,1,BR367)),BR370*IF(BR368&lt;INDEX('Lease Cycles'!$DK$29:$DQ$29,1,BR367),0,IF(BR368=INDEX('Lease Cycles'!$DK$29:$DQ$29,1,BR367),1-INDEX('Lease Cycles'!$DR$29:$DX$29,1,BR367),1))),0)</f>
        <v>0</v>
      </c>
      <c r="BS373" s="28">
        <f>IF(BS369=1,IF(INDEX('Lease Cycles'!$EF$29:$EL$29,1,BS367)=1,BS370*INDEX('Lease Cycles'!$EM$29:$ES$29,1,BS367)+BS371*IF(BS368&lt;INDEX('Lease Cycles'!$FA$29:$FG$29,1,BS367),0,1-INDEX('Lease Cycles'!$EM$29:$ES$29,1,BS367)),BS370*IF(BS368&lt;INDEX('Lease Cycles'!$DK$29:$DQ$29,1,BS367),0,IF(BS368=INDEX('Lease Cycles'!$DK$29:$DQ$29,1,BS367),1-INDEX('Lease Cycles'!$DR$29:$DX$29,1,BS367),1))),0)</f>
        <v>0</v>
      </c>
      <c r="BT373" s="28">
        <f>IF(BT369=1,IF(INDEX('Lease Cycles'!$EF$29:$EL$29,1,BT367)=1,BT370*INDEX('Lease Cycles'!$EM$29:$ES$29,1,BT367)+BT371*IF(BT368&lt;INDEX('Lease Cycles'!$FA$29:$FG$29,1,BT367),0,1-INDEX('Lease Cycles'!$EM$29:$ES$29,1,BT367)),BT370*IF(BT368&lt;INDEX('Lease Cycles'!$DK$29:$DQ$29,1,BT367),0,IF(BT368=INDEX('Lease Cycles'!$DK$29:$DQ$29,1,BT367),1-INDEX('Lease Cycles'!$DR$29:$DX$29,1,BT367),1))),0)</f>
        <v>0</v>
      </c>
      <c r="BU373" s="28">
        <f>IF(BU369=1,IF(INDEX('Lease Cycles'!$EF$29:$EL$29,1,BU367)=1,BU370*INDEX('Lease Cycles'!$EM$29:$ES$29,1,BU367)+BU371*IF(BU368&lt;INDEX('Lease Cycles'!$FA$29:$FG$29,1,BU367),0,1-INDEX('Lease Cycles'!$EM$29:$ES$29,1,BU367)),BU370*IF(BU368&lt;INDEX('Lease Cycles'!$DK$29:$DQ$29,1,BU367),0,IF(BU368=INDEX('Lease Cycles'!$DK$29:$DQ$29,1,BU367),1-INDEX('Lease Cycles'!$DR$29:$DX$29,1,BU367),1))),0)</f>
        <v>0</v>
      </c>
      <c r="BV373" s="28">
        <f>IF(BV369=1,IF(INDEX('Lease Cycles'!$EF$29:$EL$29,1,BV367)=1,BV370*INDEX('Lease Cycles'!$EM$29:$ES$29,1,BV367)+BV371*IF(BV368&lt;INDEX('Lease Cycles'!$FA$29:$FG$29,1,BV367),0,1-INDEX('Lease Cycles'!$EM$29:$ES$29,1,BV367)),BV370*IF(BV368&lt;INDEX('Lease Cycles'!$DK$29:$DQ$29,1,BV367),0,IF(BV368=INDEX('Lease Cycles'!$DK$29:$DQ$29,1,BV367),1-INDEX('Lease Cycles'!$DR$29:$DX$29,1,BV367),1))),0)</f>
        <v>0</v>
      </c>
      <c r="BW373" s="28">
        <f>IF(BW369=1,IF(INDEX('Lease Cycles'!$EF$29:$EL$29,1,BW367)=1,BW370*INDEX('Lease Cycles'!$EM$29:$ES$29,1,BW367)+BW371*IF(BW368&lt;INDEX('Lease Cycles'!$FA$29:$FG$29,1,BW367),0,1-INDEX('Lease Cycles'!$EM$29:$ES$29,1,BW367)),BW370*IF(BW368&lt;INDEX('Lease Cycles'!$DK$29:$DQ$29,1,BW367),0,IF(BW368=INDEX('Lease Cycles'!$DK$29:$DQ$29,1,BW367),1-INDEX('Lease Cycles'!$DR$29:$DX$29,1,BW367),1))),0)</f>
        <v>0</v>
      </c>
      <c r="BX373" s="28">
        <f>IF(BX369=1,IF(INDEX('Lease Cycles'!$EF$29:$EL$29,1,BX367)=1,BX370*INDEX('Lease Cycles'!$EM$29:$ES$29,1,BX367)+BX371*IF(BX368&lt;INDEX('Lease Cycles'!$FA$29:$FG$29,1,BX367),0,1-INDEX('Lease Cycles'!$EM$29:$ES$29,1,BX367)),BX370*IF(BX368&lt;INDEX('Lease Cycles'!$DK$29:$DQ$29,1,BX367),0,IF(BX368=INDEX('Lease Cycles'!$DK$29:$DQ$29,1,BX367),1-INDEX('Lease Cycles'!$DR$29:$DX$29,1,BX367),1))),0)</f>
        <v>0</v>
      </c>
      <c r="BY373" s="28">
        <f>IF(BY369=1,IF(INDEX('Lease Cycles'!$EF$29:$EL$29,1,BY367)=1,BY370*INDEX('Lease Cycles'!$EM$29:$ES$29,1,BY367)+BY371*IF(BY368&lt;INDEX('Lease Cycles'!$FA$29:$FG$29,1,BY367),0,1-INDEX('Lease Cycles'!$EM$29:$ES$29,1,BY367)),BY370*IF(BY368&lt;INDEX('Lease Cycles'!$DK$29:$DQ$29,1,BY367),0,IF(BY368=INDEX('Lease Cycles'!$DK$29:$DQ$29,1,BY367),1-INDEX('Lease Cycles'!$DR$29:$DX$29,1,BY367),1))),0)</f>
        <v>0</v>
      </c>
      <c r="BZ373" s="28">
        <f>IF(BZ369=1,IF(INDEX('Lease Cycles'!$EF$29:$EL$29,1,BZ367)=1,BZ370*INDEX('Lease Cycles'!$EM$29:$ES$29,1,BZ367)+BZ371*IF(BZ368&lt;INDEX('Lease Cycles'!$FA$29:$FG$29,1,BZ367),0,1-INDEX('Lease Cycles'!$EM$29:$ES$29,1,BZ367)),BZ370*IF(BZ368&lt;INDEX('Lease Cycles'!$DK$29:$DQ$29,1,BZ367),0,IF(BZ368=INDEX('Lease Cycles'!$DK$29:$DQ$29,1,BZ367),1-INDEX('Lease Cycles'!$DR$29:$DX$29,1,BZ367),1))),0)</f>
        <v>0</v>
      </c>
      <c r="CA373" s="28">
        <f>IF(CA369=1,IF(INDEX('Lease Cycles'!$EF$29:$EL$29,1,CA367)=1,CA370*INDEX('Lease Cycles'!$EM$29:$ES$29,1,CA367)+CA371*IF(CA368&lt;INDEX('Lease Cycles'!$FA$29:$FG$29,1,CA367),0,1-INDEX('Lease Cycles'!$EM$29:$ES$29,1,CA367)),CA370*IF(CA368&lt;INDEX('Lease Cycles'!$DK$29:$DQ$29,1,CA367),0,IF(CA368=INDEX('Lease Cycles'!$DK$29:$DQ$29,1,CA367),1-INDEX('Lease Cycles'!$DR$29:$DX$29,1,CA367),1))),0)</f>
        <v>0</v>
      </c>
      <c r="CB373" s="28">
        <f>IF(CB369=1,IF(INDEX('Lease Cycles'!$EF$29:$EL$29,1,CB367)=1,CB370*INDEX('Lease Cycles'!$EM$29:$ES$29,1,CB367)+CB371*IF(CB368&lt;INDEX('Lease Cycles'!$FA$29:$FG$29,1,CB367),0,1-INDEX('Lease Cycles'!$EM$29:$ES$29,1,CB367)),CB370*IF(CB368&lt;INDEX('Lease Cycles'!$DK$29:$DQ$29,1,CB367),0,IF(CB368=INDEX('Lease Cycles'!$DK$29:$DQ$29,1,CB367),1-INDEX('Lease Cycles'!$DR$29:$DX$29,1,CB367),1))),0)</f>
        <v>0</v>
      </c>
      <c r="CC373" s="28">
        <f>IF(CC369=1,IF(INDEX('Lease Cycles'!$EF$29:$EL$29,1,CC367)=1,CC370*INDEX('Lease Cycles'!$EM$29:$ES$29,1,CC367)+CC371*IF(CC368&lt;INDEX('Lease Cycles'!$FA$29:$FG$29,1,CC367),0,1-INDEX('Lease Cycles'!$EM$29:$ES$29,1,CC367)),CC370*IF(CC368&lt;INDEX('Lease Cycles'!$DK$29:$DQ$29,1,CC367),0,IF(CC368=INDEX('Lease Cycles'!$DK$29:$DQ$29,1,CC367),1-INDEX('Lease Cycles'!$DR$29:$DX$29,1,CC367),1))),0)</f>
        <v>0</v>
      </c>
      <c r="CD373" s="28">
        <f>IF(CD369=1,IF(INDEX('Lease Cycles'!$EF$29:$EL$29,1,CD367)=1,CD370*INDEX('Lease Cycles'!$EM$29:$ES$29,1,CD367)+CD371*IF(CD368&lt;INDEX('Lease Cycles'!$FA$29:$FG$29,1,CD367),0,1-INDEX('Lease Cycles'!$EM$29:$ES$29,1,CD367)),CD370*IF(CD368&lt;INDEX('Lease Cycles'!$DK$29:$DQ$29,1,CD367),0,IF(CD368=INDEX('Lease Cycles'!$DK$29:$DQ$29,1,CD367),1-INDEX('Lease Cycles'!$DR$29:$DX$29,1,CD367),1))),0)</f>
        <v>0</v>
      </c>
      <c r="CE373" s="28">
        <f>IF(CE369=1,IF(INDEX('Lease Cycles'!$EF$29:$EL$29,1,CE367)=1,CE370*INDEX('Lease Cycles'!$EM$29:$ES$29,1,CE367)+CE371*IF(CE368&lt;INDEX('Lease Cycles'!$FA$29:$FG$29,1,CE367),0,1-INDEX('Lease Cycles'!$EM$29:$ES$29,1,CE367)),CE370*IF(CE368&lt;INDEX('Lease Cycles'!$DK$29:$DQ$29,1,CE367),0,IF(CE368=INDEX('Lease Cycles'!$DK$29:$DQ$29,1,CE367),1-INDEX('Lease Cycles'!$DR$29:$DX$29,1,CE367),1))),0)</f>
        <v>0</v>
      </c>
      <c r="CF373" s="28">
        <f>IF(CF369=1,IF(INDEX('Lease Cycles'!$EF$29:$EL$29,1,CF367)=1,CF370*INDEX('Lease Cycles'!$EM$29:$ES$29,1,CF367)+CF371*IF(CF368&lt;INDEX('Lease Cycles'!$FA$29:$FG$29,1,CF367),0,1-INDEX('Lease Cycles'!$EM$29:$ES$29,1,CF367)),CF370*IF(CF368&lt;INDEX('Lease Cycles'!$DK$29:$DQ$29,1,CF367),0,IF(CF368=INDEX('Lease Cycles'!$DK$29:$DQ$29,1,CF367),1-INDEX('Lease Cycles'!$DR$29:$DX$29,1,CF367),1))),0)</f>
        <v>0</v>
      </c>
      <c r="CG373" s="28">
        <f>IF(CG369=1,IF(INDEX('Lease Cycles'!$EF$29:$EL$29,1,CG367)=1,CG370*INDEX('Lease Cycles'!$EM$29:$ES$29,1,CG367)+CG371*IF(CG368&lt;INDEX('Lease Cycles'!$FA$29:$FG$29,1,CG367),0,1-INDEX('Lease Cycles'!$EM$29:$ES$29,1,CG367)),CG370*IF(CG368&lt;INDEX('Lease Cycles'!$DK$29:$DQ$29,1,CG367),0,IF(CG368=INDEX('Lease Cycles'!$DK$29:$DQ$29,1,CG367),1-INDEX('Lease Cycles'!$DR$29:$DX$29,1,CG367),1))),0)</f>
        <v>0</v>
      </c>
      <c r="CH373" s="28">
        <f>IF(CH369=1,IF(INDEX('Lease Cycles'!$EF$29:$EL$29,1,CH367)=1,CH370*INDEX('Lease Cycles'!$EM$29:$ES$29,1,CH367)+CH371*IF(CH368&lt;INDEX('Lease Cycles'!$FA$29:$FG$29,1,CH367),0,1-INDEX('Lease Cycles'!$EM$29:$ES$29,1,CH367)),CH370*IF(CH368&lt;INDEX('Lease Cycles'!$DK$29:$DQ$29,1,CH367),0,IF(CH368=INDEX('Lease Cycles'!$DK$29:$DQ$29,1,CH367),1-INDEX('Lease Cycles'!$DR$29:$DX$29,1,CH367),1))),0)</f>
        <v>0</v>
      </c>
      <c r="CI373" s="28">
        <f>IF(CI369=1,IF(INDEX('Lease Cycles'!$EF$29:$EL$29,1,CI367)=1,CI370*INDEX('Lease Cycles'!$EM$29:$ES$29,1,CI367)+CI371*IF(CI368&lt;INDEX('Lease Cycles'!$FA$29:$FG$29,1,CI367),0,1-INDEX('Lease Cycles'!$EM$29:$ES$29,1,CI367)),CI370*IF(CI368&lt;INDEX('Lease Cycles'!$DK$29:$DQ$29,1,CI367),0,IF(CI368=INDEX('Lease Cycles'!$DK$29:$DQ$29,1,CI367),1-INDEX('Lease Cycles'!$DR$29:$DX$29,1,CI367),1))),0)</f>
        <v>0</v>
      </c>
      <c r="CJ373" s="28">
        <f>IF(CJ369=1,IF(INDEX('Lease Cycles'!$EF$29:$EL$29,1,CJ367)=1,CJ370*INDEX('Lease Cycles'!$EM$29:$ES$29,1,CJ367)+CJ371*IF(CJ368&lt;INDEX('Lease Cycles'!$FA$29:$FG$29,1,CJ367),0,1-INDEX('Lease Cycles'!$EM$29:$ES$29,1,CJ367)),CJ370*IF(CJ368&lt;INDEX('Lease Cycles'!$DK$29:$DQ$29,1,CJ367),0,IF(CJ368=INDEX('Lease Cycles'!$DK$29:$DQ$29,1,CJ367),1-INDEX('Lease Cycles'!$DR$29:$DX$29,1,CJ367),1))),0)</f>
        <v>0</v>
      </c>
      <c r="CK373" s="28">
        <f>IF(CK369=1,IF(INDEX('Lease Cycles'!$EF$29:$EL$29,1,CK367)=1,CK370*INDEX('Lease Cycles'!$EM$29:$ES$29,1,CK367)+CK371*IF(CK368&lt;INDEX('Lease Cycles'!$FA$29:$FG$29,1,CK367),0,1-INDEX('Lease Cycles'!$EM$29:$ES$29,1,CK367)),CK370*IF(CK368&lt;INDEX('Lease Cycles'!$DK$29:$DQ$29,1,CK367),0,IF(CK368=INDEX('Lease Cycles'!$DK$29:$DQ$29,1,CK367),1-INDEX('Lease Cycles'!$DR$29:$DX$29,1,CK367),1))),0)</f>
        <v>0</v>
      </c>
      <c r="CL373" s="28">
        <f>IF(CL369=1,IF(INDEX('Lease Cycles'!$EF$29:$EL$29,1,CL367)=1,CL370*INDEX('Lease Cycles'!$EM$29:$ES$29,1,CL367)+CL371*IF(CL368&lt;INDEX('Lease Cycles'!$FA$29:$FG$29,1,CL367),0,1-INDEX('Lease Cycles'!$EM$29:$ES$29,1,CL367)),CL370*IF(CL368&lt;INDEX('Lease Cycles'!$DK$29:$DQ$29,1,CL367),0,IF(CL368=INDEX('Lease Cycles'!$DK$29:$DQ$29,1,CL367),1-INDEX('Lease Cycles'!$DR$29:$DX$29,1,CL367),1))),0)</f>
        <v>0</v>
      </c>
      <c r="CM373" s="28">
        <f>IF(CM369=1,IF(INDEX('Lease Cycles'!$EF$29:$EL$29,1,CM367)=1,CM370*INDEX('Lease Cycles'!$EM$29:$ES$29,1,CM367)+CM371*IF(CM368&lt;INDEX('Lease Cycles'!$FA$29:$FG$29,1,CM367),0,1-INDEX('Lease Cycles'!$EM$29:$ES$29,1,CM367)),CM370*IF(CM368&lt;INDEX('Lease Cycles'!$DK$29:$DQ$29,1,CM367),0,IF(CM368=INDEX('Lease Cycles'!$DK$29:$DQ$29,1,CM367),1-INDEX('Lease Cycles'!$DR$29:$DX$29,1,CM367),1))),0)</f>
        <v>0</v>
      </c>
      <c r="CN373" s="28">
        <f>IF(CN369=1,IF(INDEX('Lease Cycles'!$EF$29:$EL$29,1,CN367)=1,CN370*INDEX('Lease Cycles'!$EM$29:$ES$29,1,CN367)+CN371*IF(CN368&lt;INDEX('Lease Cycles'!$FA$29:$FG$29,1,CN367),0,1-INDEX('Lease Cycles'!$EM$29:$ES$29,1,CN367)),CN370*IF(CN368&lt;INDEX('Lease Cycles'!$DK$29:$DQ$29,1,CN367),0,IF(CN368=INDEX('Lease Cycles'!$DK$29:$DQ$29,1,CN367),1-INDEX('Lease Cycles'!$DR$29:$DX$29,1,CN367),1))),0)</f>
        <v>0</v>
      </c>
      <c r="CO373" s="28">
        <f>IF(CO369=1,IF(INDEX('Lease Cycles'!$EF$29:$EL$29,1,CO367)=1,CO370*INDEX('Lease Cycles'!$EM$29:$ES$29,1,CO367)+CO371*IF(CO368&lt;INDEX('Lease Cycles'!$FA$29:$FG$29,1,CO367),0,1-INDEX('Lease Cycles'!$EM$29:$ES$29,1,CO367)),CO370*IF(CO368&lt;INDEX('Lease Cycles'!$DK$29:$DQ$29,1,CO367),0,IF(CO368=INDEX('Lease Cycles'!$DK$29:$DQ$29,1,CO367),1-INDEX('Lease Cycles'!$DR$29:$DX$29,1,CO367),1))),0)</f>
        <v>0</v>
      </c>
      <c r="CP373" s="28">
        <f>IF(CP369=1,IF(INDEX('Lease Cycles'!$EF$29:$EL$29,1,CP367)=1,CP370*INDEX('Lease Cycles'!$EM$29:$ES$29,1,CP367)+CP371*IF(CP368&lt;INDEX('Lease Cycles'!$FA$29:$FG$29,1,CP367),0,1-INDEX('Lease Cycles'!$EM$29:$ES$29,1,CP367)),CP370*IF(CP368&lt;INDEX('Lease Cycles'!$DK$29:$DQ$29,1,CP367),0,IF(CP368=INDEX('Lease Cycles'!$DK$29:$DQ$29,1,CP367),1-INDEX('Lease Cycles'!$DR$29:$DX$29,1,CP367),1))),0)</f>
        <v>0</v>
      </c>
      <c r="CQ373" s="28">
        <f>IF(CQ369=1,IF(INDEX('Lease Cycles'!$EF$29:$EL$29,1,CQ367)=1,CQ370*INDEX('Lease Cycles'!$EM$29:$ES$29,1,CQ367)+CQ371*IF(CQ368&lt;INDEX('Lease Cycles'!$FA$29:$FG$29,1,CQ367),0,1-INDEX('Lease Cycles'!$EM$29:$ES$29,1,CQ367)),CQ370*IF(CQ368&lt;INDEX('Lease Cycles'!$DK$29:$DQ$29,1,CQ367),0,IF(CQ368=INDEX('Lease Cycles'!$DK$29:$DQ$29,1,CQ367),1-INDEX('Lease Cycles'!$DR$29:$DX$29,1,CQ367),1))),0)</f>
        <v>0</v>
      </c>
      <c r="CR373" s="28">
        <f>IF(CR369=1,IF(INDEX('Lease Cycles'!$EF$29:$EL$29,1,CR367)=1,CR370*INDEX('Lease Cycles'!$EM$29:$ES$29,1,CR367)+CR371*IF(CR368&lt;INDEX('Lease Cycles'!$FA$29:$FG$29,1,CR367),0,1-INDEX('Lease Cycles'!$EM$29:$ES$29,1,CR367)),CR370*IF(CR368&lt;INDEX('Lease Cycles'!$DK$29:$DQ$29,1,CR367),0,IF(CR368=INDEX('Lease Cycles'!$DK$29:$DQ$29,1,CR367),1-INDEX('Lease Cycles'!$DR$29:$DX$29,1,CR367),1))),0)</f>
        <v>0</v>
      </c>
      <c r="CS373" s="28">
        <f>IF(CS369=1,IF(INDEX('Lease Cycles'!$EF$29:$EL$29,1,CS367)=1,CS370*INDEX('Lease Cycles'!$EM$29:$ES$29,1,CS367)+CS371*IF(CS368&lt;INDEX('Lease Cycles'!$FA$29:$FG$29,1,CS367),0,1-INDEX('Lease Cycles'!$EM$29:$ES$29,1,CS367)),CS370*IF(CS368&lt;INDEX('Lease Cycles'!$DK$29:$DQ$29,1,CS367),0,IF(CS368=INDEX('Lease Cycles'!$DK$29:$DQ$29,1,CS367),1-INDEX('Lease Cycles'!$DR$29:$DX$29,1,CS367),1))),0)</f>
        <v>0</v>
      </c>
      <c r="CT373" s="28">
        <f>IF(CT369=1,IF(INDEX('Lease Cycles'!$EF$29:$EL$29,1,CT367)=1,CT370*INDEX('Lease Cycles'!$EM$29:$ES$29,1,CT367)+CT371*IF(CT368&lt;INDEX('Lease Cycles'!$FA$29:$FG$29,1,CT367),0,1-INDEX('Lease Cycles'!$EM$29:$ES$29,1,CT367)),CT370*IF(CT368&lt;INDEX('Lease Cycles'!$DK$29:$DQ$29,1,CT367),0,IF(CT368=INDEX('Lease Cycles'!$DK$29:$DQ$29,1,CT367),1-INDEX('Lease Cycles'!$DR$29:$DX$29,1,CT367),1))),0)</f>
        <v>0</v>
      </c>
      <c r="CU373" s="28">
        <f>IF(CU369=1,IF(INDEX('Lease Cycles'!$EF$29:$EL$29,1,CU367)=1,CU370*INDEX('Lease Cycles'!$EM$29:$ES$29,1,CU367)+CU371*IF(CU368&lt;INDEX('Lease Cycles'!$FA$29:$FG$29,1,CU367),0,1-INDEX('Lease Cycles'!$EM$29:$ES$29,1,CU367)),CU370*IF(CU368&lt;INDEX('Lease Cycles'!$DK$29:$DQ$29,1,CU367),0,IF(CU368=INDEX('Lease Cycles'!$DK$29:$DQ$29,1,CU367),1-INDEX('Lease Cycles'!$DR$29:$DX$29,1,CU367),1))),0)</f>
        <v>0</v>
      </c>
      <c r="CV373" s="28">
        <f>IF(CV369=1,IF(INDEX('Lease Cycles'!$EF$29:$EL$29,1,CV367)=1,CV370*INDEX('Lease Cycles'!$EM$29:$ES$29,1,CV367)+CV371*IF(CV368&lt;INDEX('Lease Cycles'!$FA$29:$FG$29,1,CV367),0,1-INDEX('Lease Cycles'!$EM$29:$ES$29,1,CV367)),CV370*IF(CV368&lt;INDEX('Lease Cycles'!$DK$29:$DQ$29,1,CV367),0,IF(CV368=INDEX('Lease Cycles'!$DK$29:$DQ$29,1,CV367),1-INDEX('Lease Cycles'!$DR$29:$DX$29,1,CV367),1))),0)</f>
        <v>0</v>
      </c>
      <c r="CW373" s="28">
        <f>IF(CW369=1,IF(INDEX('Lease Cycles'!$EF$29:$EL$29,1,CW367)=1,CW370*INDEX('Lease Cycles'!$EM$29:$ES$29,1,CW367)+CW371*IF(CW368&lt;INDEX('Lease Cycles'!$FA$29:$FG$29,1,CW367),0,1-INDEX('Lease Cycles'!$EM$29:$ES$29,1,CW367)),CW370*IF(CW368&lt;INDEX('Lease Cycles'!$DK$29:$DQ$29,1,CW367),0,IF(CW368=INDEX('Lease Cycles'!$DK$29:$DQ$29,1,CW367),1-INDEX('Lease Cycles'!$DR$29:$DX$29,1,CW367),1))),0)</f>
        <v>0</v>
      </c>
      <c r="CX373" s="28">
        <f>IF(CX369=1,IF(INDEX('Lease Cycles'!$EF$29:$EL$29,1,CX367)=1,CX370*INDEX('Lease Cycles'!$EM$29:$ES$29,1,CX367)+CX371*IF(CX368&lt;INDEX('Lease Cycles'!$FA$29:$FG$29,1,CX367),0,1-INDEX('Lease Cycles'!$EM$29:$ES$29,1,CX367)),CX370*IF(CX368&lt;INDEX('Lease Cycles'!$DK$29:$DQ$29,1,CX367),0,IF(CX368=INDEX('Lease Cycles'!$DK$29:$DQ$29,1,CX367),1-INDEX('Lease Cycles'!$DR$29:$DX$29,1,CX367),1))),0)</f>
        <v>0</v>
      </c>
      <c r="CY373" s="28">
        <f>IF(CY369=1,IF(INDEX('Lease Cycles'!$EF$29:$EL$29,1,CY367)=1,CY370*INDEX('Lease Cycles'!$EM$29:$ES$29,1,CY367)+CY371*IF(CY368&lt;INDEX('Lease Cycles'!$FA$29:$FG$29,1,CY367),0,1-INDEX('Lease Cycles'!$EM$29:$ES$29,1,CY367)),CY370*IF(CY368&lt;INDEX('Lease Cycles'!$DK$29:$DQ$29,1,CY367),0,IF(CY368=INDEX('Lease Cycles'!$DK$29:$DQ$29,1,CY367),1-INDEX('Lease Cycles'!$DR$29:$DX$29,1,CY367),1))),0)</f>
        <v>0</v>
      </c>
      <c r="CZ373" s="28">
        <f>IF(CZ369=1,IF(INDEX('Lease Cycles'!$EF$29:$EL$29,1,CZ367)=1,CZ370*INDEX('Lease Cycles'!$EM$29:$ES$29,1,CZ367)+CZ371*IF(CZ368&lt;INDEX('Lease Cycles'!$FA$29:$FG$29,1,CZ367),0,1-INDEX('Lease Cycles'!$EM$29:$ES$29,1,CZ367)),CZ370*IF(CZ368&lt;INDEX('Lease Cycles'!$DK$29:$DQ$29,1,CZ367),0,IF(CZ368=INDEX('Lease Cycles'!$DK$29:$DQ$29,1,CZ367),1-INDEX('Lease Cycles'!$DR$29:$DX$29,1,CZ367),1))),0)</f>
        <v>0</v>
      </c>
      <c r="DA373" s="28">
        <f>IF(DA369=1,IF(INDEX('Lease Cycles'!$EF$29:$EL$29,1,DA367)=1,DA370*INDEX('Lease Cycles'!$EM$29:$ES$29,1,DA367)+DA371*IF(DA368&lt;INDEX('Lease Cycles'!$FA$29:$FG$29,1,DA367),0,1-INDEX('Lease Cycles'!$EM$29:$ES$29,1,DA367)),DA370*IF(DA368&lt;INDEX('Lease Cycles'!$DK$29:$DQ$29,1,DA367),0,IF(DA368=INDEX('Lease Cycles'!$DK$29:$DQ$29,1,DA367),1-INDEX('Lease Cycles'!$DR$29:$DX$29,1,DA367),1))),0)</f>
        <v>0</v>
      </c>
      <c r="DB373" s="28">
        <f>IF(DB369=1,IF(INDEX('Lease Cycles'!$EF$29:$EL$29,1,DB367)=1,DB370*INDEX('Lease Cycles'!$EM$29:$ES$29,1,DB367)+DB371*IF(DB368&lt;INDEX('Lease Cycles'!$FA$29:$FG$29,1,DB367),0,1-INDEX('Lease Cycles'!$EM$29:$ES$29,1,DB367)),DB370*IF(DB368&lt;INDEX('Lease Cycles'!$DK$29:$DQ$29,1,DB367),0,IF(DB368=INDEX('Lease Cycles'!$DK$29:$DQ$29,1,DB367),1-INDEX('Lease Cycles'!$DR$29:$DX$29,1,DB367),1))),0)</f>
        <v>0</v>
      </c>
      <c r="DC373" s="28">
        <f>IF(DC369=1,IF(INDEX('Lease Cycles'!$EF$29:$EL$29,1,DC367)=1,DC370*INDEX('Lease Cycles'!$EM$29:$ES$29,1,DC367)+DC371*IF(DC368&lt;INDEX('Lease Cycles'!$FA$29:$FG$29,1,DC367),0,1-INDEX('Lease Cycles'!$EM$29:$ES$29,1,DC367)),DC370*IF(DC368&lt;INDEX('Lease Cycles'!$DK$29:$DQ$29,1,DC367),0,IF(DC368=INDEX('Lease Cycles'!$DK$29:$DQ$29,1,DC367),1-INDEX('Lease Cycles'!$DR$29:$DX$29,1,DC367),1))),0)</f>
        <v>0</v>
      </c>
      <c r="DD373" s="28">
        <f>IF(DD369=1,IF(INDEX('Lease Cycles'!$EF$29:$EL$29,1,DD367)=1,DD370*INDEX('Lease Cycles'!$EM$29:$ES$29,1,DD367)+DD371*IF(DD368&lt;INDEX('Lease Cycles'!$FA$29:$FG$29,1,DD367),0,1-INDEX('Lease Cycles'!$EM$29:$ES$29,1,DD367)),DD370*IF(DD368&lt;INDEX('Lease Cycles'!$DK$29:$DQ$29,1,DD367),0,IF(DD368=INDEX('Lease Cycles'!$DK$29:$DQ$29,1,DD367),1-INDEX('Lease Cycles'!$DR$29:$DX$29,1,DD367),1))),0)</f>
        <v>0</v>
      </c>
      <c r="DE373" s="28">
        <f>IF(DE369=1,IF(INDEX('Lease Cycles'!$EF$29:$EL$29,1,DE367)=1,DE370*INDEX('Lease Cycles'!$EM$29:$ES$29,1,DE367)+DE371*IF(DE368&lt;INDEX('Lease Cycles'!$FA$29:$FG$29,1,DE367),0,1-INDEX('Lease Cycles'!$EM$29:$ES$29,1,DE367)),DE370*IF(DE368&lt;INDEX('Lease Cycles'!$DK$29:$DQ$29,1,DE367),0,IF(DE368=INDEX('Lease Cycles'!$DK$29:$DQ$29,1,DE367),1-INDEX('Lease Cycles'!$DR$29:$DX$29,1,DE367),1))),0)</f>
        <v>0</v>
      </c>
      <c r="DF373" s="28">
        <f>IF(DF369=1,IF(INDEX('Lease Cycles'!$EF$29:$EL$29,1,DF367)=1,DF370*INDEX('Lease Cycles'!$EM$29:$ES$29,1,DF367)+DF371*IF(DF368&lt;INDEX('Lease Cycles'!$FA$29:$FG$29,1,DF367),0,1-INDEX('Lease Cycles'!$EM$29:$ES$29,1,DF367)),DF370*IF(DF368&lt;INDEX('Lease Cycles'!$DK$29:$DQ$29,1,DF367),0,IF(DF368=INDEX('Lease Cycles'!$DK$29:$DQ$29,1,DF367),1-INDEX('Lease Cycles'!$DR$29:$DX$29,1,DF367),1))),0)</f>
        <v>0</v>
      </c>
      <c r="DG373" s="28">
        <f>IF(DG369=1,IF(INDEX('Lease Cycles'!$EF$29:$EL$29,1,DG367)=1,DG370*INDEX('Lease Cycles'!$EM$29:$ES$29,1,DG367)+DG371*IF(DG368&lt;INDEX('Lease Cycles'!$FA$29:$FG$29,1,DG367),0,1-INDEX('Lease Cycles'!$EM$29:$ES$29,1,DG367)),DG370*IF(DG368&lt;INDEX('Lease Cycles'!$DK$29:$DQ$29,1,DG367),0,IF(DG368=INDEX('Lease Cycles'!$DK$29:$DQ$29,1,DG367),1-INDEX('Lease Cycles'!$DR$29:$DX$29,1,DG367),1))),0)</f>
        <v>0</v>
      </c>
      <c r="DH373" s="28">
        <f>IF(DH369=1,IF(INDEX('Lease Cycles'!$EF$29:$EL$29,1,DH367)=1,DH370*INDEX('Lease Cycles'!$EM$29:$ES$29,1,DH367)+DH371*IF(DH368&lt;INDEX('Lease Cycles'!$FA$29:$FG$29,1,DH367),0,1-INDEX('Lease Cycles'!$EM$29:$ES$29,1,DH367)),DH370*IF(DH368&lt;INDEX('Lease Cycles'!$DK$29:$DQ$29,1,DH367),0,IF(DH368=INDEX('Lease Cycles'!$DK$29:$DQ$29,1,DH367),1-INDEX('Lease Cycles'!$DR$29:$DX$29,1,DH367),1))),0)</f>
        <v>0</v>
      </c>
      <c r="DI373" s="28">
        <f>IF(DI369=1,IF(INDEX('Lease Cycles'!$EF$29:$EL$29,1,DI367)=1,DI370*INDEX('Lease Cycles'!$EM$29:$ES$29,1,DI367)+DI371*IF(DI368&lt;INDEX('Lease Cycles'!$FA$29:$FG$29,1,DI367),0,1-INDEX('Lease Cycles'!$EM$29:$ES$29,1,DI367)),DI370*IF(DI368&lt;INDEX('Lease Cycles'!$DK$29:$DQ$29,1,DI367),0,IF(DI368=INDEX('Lease Cycles'!$DK$29:$DQ$29,1,DI367),1-INDEX('Lease Cycles'!$DR$29:$DX$29,1,DI367),1))),0)</f>
        <v>0</v>
      </c>
      <c r="DJ373" s="28">
        <f>IF(DJ369=1,IF(INDEX('Lease Cycles'!$EF$29:$EL$29,1,DJ367)=1,DJ370*INDEX('Lease Cycles'!$EM$29:$ES$29,1,DJ367)+DJ371*IF(DJ368&lt;INDEX('Lease Cycles'!$FA$29:$FG$29,1,DJ367),0,1-INDEX('Lease Cycles'!$EM$29:$ES$29,1,DJ367)),DJ370*IF(DJ368&lt;INDEX('Lease Cycles'!$DK$29:$DQ$29,1,DJ367),0,IF(DJ368=INDEX('Lease Cycles'!$DK$29:$DQ$29,1,DJ367),1-INDEX('Lease Cycles'!$DR$29:$DX$29,1,DJ367),1))),0)</f>
        <v>0</v>
      </c>
      <c r="DK373" s="28">
        <f>IF(DK369=1,IF(INDEX('Lease Cycles'!$EF$29:$EL$29,1,DK367)=1,DK370*INDEX('Lease Cycles'!$EM$29:$ES$29,1,DK367)+DK371*IF(DK368&lt;INDEX('Lease Cycles'!$FA$29:$FG$29,1,DK367),0,1-INDEX('Lease Cycles'!$EM$29:$ES$29,1,DK367)),DK370*IF(DK368&lt;INDEX('Lease Cycles'!$DK$29:$DQ$29,1,DK367),0,IF(DK368=INDEX('Lease Cycles'!$DK$29:$DQ$29,1,DK367),1-INDEX('Lease Cycles'!$DR$29:$DX$29,1,DK367),1))),0)</f>
        <v>0</v>
      </c>
      <c r="DL373" s="28">
        <f>IF(DL369=1,IF(INDEX('Lease Cycles'!$EF$29:$EL$29,1,DL367)=1,DL370*INDEX('Lease Cycles'!$EM$29:$ES$29,1,DL367)+DL371*IF(DL368&lt;INDEX('Lease Cycles'!$FA$29:$FG$29,1,DL367),0,1-INDEX('Lease Cycles'!$EM$29:$ES$29,1,DL367)),DL370*IF(DL368&lt;INDEX('Lease Cycles'!$DK$29:$DQ$29,1,DL367),0,IF(DL368=INDEX('Lease Cycles'!$DK$29:$DQ$29,1,DL367),1-INDEX('Lease Cycles'!$DR$29:$DX$29,1,DL367),1))),0)</f>
        <v>0</v>
      </c>
      <c r="DM373" s="28">
        <f>IF(DM369=1,IF(INDEX('Lease Cycles'!$EF$29:$EL$29,1,DM367)=1,DM370*INDEX('Lease Cycles'!$EM$29:$ES$29,1,DM367)+DM371*IF(DM368&lt;INDEX('Lease Cycles'!$FA$29:$FG$29,1,DM367),0,1-INDEX('Lease Cycles'!$EM$29:$ES$29,1,DM367)),DM370*IF(DM368&lt;INDEX('Lease Cycles'!$DK$29:$DQ$29,1,DM367),0,IF(DM368=INDEX('Lease Cycles'!$DK$29:$DQ$29,1,DM367),1-INDEX('Lease Cycles'!$DR$29:$DX$29,1,DM367),1))),0)</f>
        <v>0</v>
      </c>
      <c r="DN373" s="28">
        <f>IF(DN369=1,IF(INDEX('Lease Cycles'!$EF$29:$EL$29,1,DN367)=1,DN370*INDEX('Lease Cycles'!$EM$29:$ES$29,1,DN367)+DN371*IF(DN368&lt;INDEX('Lease Cycles'!$FA$29:$FG$29,1,DN367),0,1-INDEX('Lease Cycles'!$EM$29:$ES$29,1,DN367)),DN370*IF(DN368&lt;INDEX('Lease Cycles'!$DK$29:$DQ$29,1,DN367),0,IF(DN368=INDEX('Lease Cycles'!$DK$29:$DQ$29,1,DN367),1-INDEX('Lease Cycles'!$DR$29:$DX$29,1,DN367),1))),0)</f>
        <v>0</v>
      </c>
      <c r="DO373" s="28">
        <f>IF(DO369=1,IF(INDEX('Lease Cycles'!$EF$29:$EL$29,1,DO367)=1,DO370*INDEX('Lease Cycles'!$EM$29:$ES$29,1,DO367)+DO371*IF(DO368&lt;INDEX('Lease Cycles'!$FA$29:$FG$29,1,DO367),0,1-INDEX('Lease Cycles'!$EM$29:$ES$29,1,DO367)),DO370*IF(DO368&lt;INDEX('Lease Cycles'!$DK$29:$DQ$29,1,DO367),0,IF(DO368=INDEX('Lease Cycles'!$DK$29:$DQ$29,1,DO367),1-INDEX('Lease Cycles'!$DR$29:$DX$29,1,DO367),1))),0)</f>
        <v>0</v>
      </c>
      <c r="DP373" s="28">
        <f>IF(DP369=1,IF(INDEX('Lease Cycles'!$EF$29:$EL$29,1,DP367)=1,DP370*INDEX('Lease Cycles'!$EM$29:$ES$29,1,DP367)+DP371*IF(DP368&lt;INDEX('Lease Cycles'!$FA$29:$FG$29,1,DP367),0,1-INDEX('Lease Cycles'!$EM$29:$ES$29,1,DP367)),DP370*IF(DP368&lt;INDEX('Lease Cycles'!$DK$29:$DQ$29,1,DP367),0,IF(DP368=INDEX('Lease Cycles'!$DK$29:$DQ$29,1,DP367),1-INDEX('Lease Cycles'!$DR$29:$DX$29,1,DP367),1))),0)</f>
        <v>0</v>
      </c>
      <c r="DQ373" s="28">
        <f>IF(DQ369=1,IF(INDEX('Lease Cycles'!$EF$29:$EL$29,1,DQ367)=1,DQ370*INDEX('Lease Cycles'!$EM$29:$ES$29,1,DQ367)+DQ371*IF(DQ368&lt;INDEX('Lease Cycles'!$FA$29:$FG$29,1,DQ367),0,1-INDEX('Lease Cycles'!$EM$29:$ES$29,1,DQ367)),DQ370*IF(DQ368&lt;INDEX('Lease Cycles'!$DK$29:$DQ$29,1,DQ367),0,IF(DQ368=INDEX('Lease Cycles'!$DK$29:$DQ$29,1,DQ367),1-INDEX('Lease Cycles'!$DR$29:$DX$29,1,DQ367),1))),0)</f>
        <v>0</v>
      </c>
      <c r="DR373" s="28">
        <f>IF(DR369=1,IF(INDEX('Lease Cycles'!$EF$29:$EL$29,1,DR367)=1,DR370*INDEX('Lease Cycles'!$EM$29:$ES$29,1,DR367)+DR371*IF(DR368&lt;INDEX('Lease Cycles'!$FA$29:$FG$29,1,DR367),0,1-INDEX('Lease Cycles'!$EM$29:$ES$29,1,DR367)),DR370*IF(DR368&lt;INDEX('Lease Cycles'!$DK$29:$DQ$29,1,DR367),0,IF(DR368=INDEX('Lease Cycles'!$DK$29:$DQ$29,1,DR367),1-INDEX('Lease Cycles'!$DR$29:$DX$29,1,DR367),1))),0)</f>
        <v>0</v>
      </c>
      <c r="DS373" s="28">
        <f>IF(DS369=1,IF(INDEX('Lease Cycles'!$EF$29:$EL$29,1,DS367)=1,DS370*INDEX('Lease Cycles'!$EM$29:$ES$29,1,DS367)+DS371*IF(DS368&lt;INDEX('Lease Cycles'!$FA$29:$FG$29,1,DS367),0,1-INDEX('Lease Cycles'!$EM$29:$ES$29,1,DS367)),DS370*IF(DS368&lt;INDEX('Lease Cycles'!$DK$29:$DQ$29,1,DS367),0,IF(DS368=INDEX('Lease Cycles'!$DK$29:$DQ$29,1,DS367),1-INDEX('Lease Cycles'!$DR$29:$DX$29,1,DS367),1))),0)</f>
        <v>0</v>
      </c>
      <c r="DT373" s="28">
        <f>IF(DT369=1,IF(INDEX('Lease Cycles'!$EF$29:$EL$29,1,DT367)=1,DT370*INDEX('Lease Cycles'!$EM$29:$ES$29,1,DT367)+DT371*IF(DT368&lt;INDEX('Lease Cycles'!$FA$29:$FG$29,1,DT367),0,1-INDEX('Lease Cycles'!$EM$29:$ES$29,1,DT367)),DT370*IF(DT368&lt;INDEX('Lease Cycles'!$DK$29:$DQ$29,1,DT367),0,IF(DT368=INDEX('Lease Cycles'!$DK$29:$DQ$29,1,DT367),1-INDEX('Lease Cycles'!$DR$29:$DX$29,1,DT367),1))),0)</f>
        <v>0</v>
      </c>
      <c r="DU373" s="28">
        <f>IF(DU369=1,IF(INDEX('Lease Cycles'!$EF$29:$EL$29,1,DU367)=1,DU370*INDEX('Lease Cycles'!$EM$29:$ES$29,1,DU367)+DU371*IF(DU368&lt;INDEX('Lease Cycles'!$FA$29:$FG$29,1,DU367),0,1-INDEX('Lease Cycles'!$EM$29:$ES$29,1,DU367)),DU370*IF(DU368&lt;INDEX('Lease Cycles'!$DK$29:$DQ$29,1,DU367),0,IF(DU368=INDEX('Lease Cycles'!$DK$29:$DQ$29,1,DU367),1-INDEX('Lease Cycles'!$DR$29:$DX$29,1,DU367),1))),0)</f>
        <v>0</v>
      </c>
      <c r="DV373" s="28">
        <f>IF(DV369=1,IF(INDEX('Lease Cycles'!$EF$29:$EL$29,1,DV367)=1,DV370*INDEX('Lease Cycles'!$EM$29:$ES$29,1,DV367)+DV371*IF(DV368&lt;INDEX('Lease Cycles'!$FA$29:$FG$29,1,DV367),0,1-INDEX('Lease Cycles'!$EM$29:$ES$29,1,DV367)),DV370*IF(DV368&lt;INDEX('Lease Cycles'!$DK$29:$DQ$29,1,DV367),0,IF(DV368=INDEX('Lease Cycles'!$DK$29:$DQ$29,1,DV367),1-INDEX('Lease Cycles'!$DR$29:$DX$29,1,DV367),1))),0)</f>
        <v>0</v>
      </c>
      <c r="DW373" s="28">
        <f>IF(DW369=1,IF(INDEX('Lease Cycles'!$EF$29:$EL$29,1,DW367)=1,DW370*INDEX('Lease Cycles'!$EM$29:$ES$29,1,DW367)+DW371*IF(DW368&lt;INDEX('Lease Cycles'!$FA$29:$FG$29,1,DW367),0,1-INDEX('Lease Cycles'!$EM$29:$ES$29,1,DW367)),DW370*IF(DW368&lt;INDEX('Lease Cycles'!$DK$29:$DQ$29,1,DW367),0,IF(DW368=INDEX('Lease Cycles'!$DK$29:$DQ$29,1,DW367),1-INDEX('Lease Cycles'!$DR$29:$DX$29,1,DW367),1))),0)</f>
        <v>0</v>
      </c>
      <c r="DX373" s="28">
        <f>IF(DX369=1,IF(INDEX('Lease Cycles'!$EF$29:$EL$29,1,DX367)=1,DX370*INDEX('Lease Cycles'!$EM$29:$ES$29,1,DX367)+DX371*IF(DX368&lt;INDEX('Lease Cycles'!$FA$29:$FG$29,1,DX367),0,1-INDEX('Lease Cycles'!$EM$29:$ES$29,1,DX367)),DX370*IF(DX368&lt;INDEX('Lease Cycles'!$DK$29:$DQ$29,1,DX367),0,IF(DX368=INDEX('Lease Cycles'!$DK$29:$DQ$29,1,DX367),1-INDEX('Lease Cycles'!$DR$29:$DX$29,1,DX367),1))),0)</f>
        <v>0</v>
      </c>
      <c r="DY373" s="28">
        <f>IF(DY369=1,IF(INDEX('Lease Cycles'!$EF$29:$EL$29,1,DY367)=1,DY370*INDEX('Lease Cycles'!$EM$29:$ES$29,1,DY367)+DY371*IF(DY368&lt;INDEX('Lease Cycles'!$FA$29:$FG$29,1,DY367),0,1-INDEX('Lease Cycles'!$EM$29:$ES$29,1,DY367)),DY370*IF(DY368&lt;INDEX('Lease Cycles'!$DK$29:$DQ$29,1,DY367),0,IF(DY368=INDEX('Lease Cycles'!$DK$29:$DQ$29,1,DY367),1-INDEX('Lease Cycles'!$DR$29:$DX$29,1,DY367),1))),0)</f>
        <v>0</v>
      </c>
      <c r="DZ373" s="28">
        <f>IF(DZ369=1,IF(INDEX('Lease Cycles'!$EF$29:$EL$29,1,DZ367)=1,DZ370*INDEX('Lease Cycles'!$EM$29:$ES$29,1,DZ367)+DZ371*IF(DZ368&lt;INDEX('Lease Cycles'!$FA$29:$FG$29,1,DZ367),0,1-INDEX('Lease Cycles'!$EM$29:$ES$29,1,DZ367)),DZ370*IF(DZ368&lt;INDEX('Lease Cycles'!$DK$29:$DQ$29,1,DZ367),0,IF(DZ368=INDEX('Lease Cycles'!$DK$29:$DQ$29,1,DZ367),1-INDEX('Lease Cycles'!$DR$29:$DX$29,1,DZ367),1))),0)</f>
        <v>0</v>
      </c>
      <c r="EA373" s="28">
        <f>IF(EA369=1,IF(INDEX('Lease Cycles'!$EF$29:$EL$29,1,EA367)=1,EA370*INDEX('Lease Cycles'!$EM$29:$ES$29,1,EA367)+EA371*IF(EA368&lt;INDEX('Lease Cycles'!$FA$29:$FG$29,1,EA367),0,1-INDEX('Lease Cycles'!$EM$29:$ES$29,1,EA367)),EA370*IF(EA368&lt;INDEX('Lease Cycles'!$DK$29:$DQ$29,1,EA367),0,IF(EA368=INDEX('Lease Cycles'!$DK$29:$DQ$29,1,EA367),1-INDEX('Lease Cycles'!$DR$29:$DX$29,1,EA367),1))),0)</f>
        <v>0</v>
      </c>
      <c r="EB373" s="28">
        <f>IF(EB369=1,IF(INDEX('Lease Cycles'!$EF$29:$EL$29,1,EB367)=1,EB370*INDEX('Lease Cycles'!$EM$29:$ES$29,1,EB367)+EB371*IF(EB368&lt;INDEX('Lease Cycles'!$FA$29:$FG$29,1,EB367),0,1-INDEX('Lease Cycles'!$EM$29:$ES$29,1,EB367)),EB370*IF(EB368&lt;INDEX('Lease Cycles'!$DK$29:$DQ$29,1,EB367),0,IF(EB368=INDEX('Lease Cycles'!$DK$29:$DQ$29,1,EB367),1-INDEX('Lease Cycles'!$DR$29:$DX$29,1,EB367),1))),0)</f>
        <v>0</v>
      </c>
      <c r="EC373" s="28">
        <f>IF(EC369=1,IF(INDEX('Lease Cycles'!$EF$29:$EL$29,1,EC367)=1,EC370*INDEX('Lease Cycles'!$EM$29:$ES$29,1,EC367)+EC371*IF(EC368&lt;INDEX('Lease Cycles'!$FA$29:$FG$29,1,EC367),0,1-INDEX('Lease Cycles'!$EM$29:$ES$29,1,EC367)),EC370*IF(EC368&lt;INDEX('Lease Cycles'!$DK$29:$DQ$29,1,EC367),0,IF(EC368=INDEX('Lease Cycles'!$DK$29:$DQ$29,1,EC367),1-INDEX('Lease Cycles'!$DR$29:$DX$29,1,EC367),1))),0)</f>
        <v>0</v>
      </c>
      <c r="ED373" s="28">
        <f>IF(ED369=1,IF(INDEX('Lease Cycles'!$EF$29:$EL$29,1,ED367)=1,ED370*INDEX('Lease Cycles'!$EM$29:$ES$29,1,ED367)+ED371*IF(ED368&lt;INDEX('Lease Cycles'!$FA$29:$FG$29,1,ED367),0,1-INDEX('Lease Cycles'!$EM$29:$ES$29,1,ED367)),ED370*IF(ED368&lt;INDEX('Lease Cycles'!$DK$29:$DQ$29,1,ED367),0,IF(ED368=INDEX('Lease Cycles'!$DK$29:$DQ$29,1,ED367),1-INDEX('Lease Cycles'!$DR$29:$DX$29,1,ED367),1))),0)</f>
        <v>0</v>
      </c>
      <c r="EE373" s="28">
        <f>IF(EE369=1,IF(INDEX('Lease Cycles'!$EF$29:$EL$29,1,EE367)=1,EE370*INDEX('Lease Cycles'!$EM$29:$ES$29,1,EE367)+EE371*IF(EE368&lt;INDEX('Lease Cycles'!$FA$29:$FG$29,1,EE367),0,1-INDEX('Lease Cycles'!$EM$29:$ES$29,1,EE367)),EE370*IF(EE368&lt;INDEX('Lease Cycles'!$DK$29:$DQ$29,1,EE367),0,IF(EE368=INDEX('Lease Cycles'!$DK$29:$DQ$29,1,EE367),1-INDEX('Lease Cycles'!$DR$29:$DX$29,1,EE367),1))),0)</f>
        <v>0</v>
      </c>
      <c r="EF373" s="28">
        <f>IF(EF369=1,IF(INDEX('Lease Cycles'!$EF$29:$EL$29,1,EF367)=1,EF370*INDEX('Lease Cycles'!$EM$29:$ES$29,1,EF367)+EF371*IF(EF368&lt;INDEX('Lease Cycles'!$FA$29:$FG$29,1,EF367),0,1-INDEX('Lease Cycles'!$EM$29:$ES$29,1,EF367)),EF370*IF(EF368&lt;INDEX('Lease Cycles'!$DK$29:$DQ$29,1,EF367),0,IF(EF368=INDEX('Lease Cycles'!$DK$29:$DQ$29,1,EF367),1-INDEX('Lease Cycles'!$DR$29:$DX$29,1,EF367),1))),0)</f>
        <v>0</v>
      </c>
      <c r="EG373" s="28">
        <f>IF(EG369=1,IF(INDEX('Lease Cycles'!$EF$29:$EL$29,1,EG367)=1,EG370*INDEX('Lease Cycles'!$EM$29:$ES$29,1,EG367)+EG371*IF(EG368&lt;INDEX('Lease Cycles'!$FA$29:$FG$29,1,EG367),0,1-INDEX('Lease Cycles'!$EM$29:$ES$29,1,EG367)),EG370*IF(EG368&lt;INDEX('Lease Cycles'!$DK$29:$DQ$29,1,EG367),0,IF(EG368=INDEX('Lease Cycles'!$DK$29:$DQ$29,1,EG367),1-INDEX('Lease Cycles'!$DR$29:$DX$29,1,EG367),1))),0)</f>
        <v>0</v>
      </c>
      <c r="EH373" s="28">
        <f>IF(EH369=1,IF(INDEX('Lease Cycles'!$EF$29:$EL$29,1,EH367)=1,EH370*INDEX('Lease Cycles'!$EM$29:$ES$29,1,EH367)+EH371*IF(EH368&lt;INDEX('Lease Cycles'!$FA$29:$FG$29,1,EH367),0,1-INDEX('Lease Cycles'!$EM$29:$ES$29,1,EH367)),EH370*IF(EH368&lt;INDEX('Lease Cycles'!$DK$29:$DQ$29,1,EH367),0,IF(EH368=INDEX('Lease Cycles'!$DK$29:$DQ$29,1,EH367),1-INDEX('Lease Cycles'!$DR$29:$DX$29,1,EH367),1))),0)</f>
        <v>0</v>
      </c>
      <c r="EI373" s="28">
        <f>IF(EI369=1,IF(INDEX('Lease Cycles'!$EF$29:$EL$29,1,EI367)=1,EI370*INDEX('Lease Cycles'!$EM$29:$ES$29,1,EI367)+EI371*IF(EI368&lt;INDEX('Lease Cycles'!$FA$29:$FG$29,1,EI367),0,1-INDEX('Lease Cycles'!$EM$29:$ES$29,1,EI367)),EI370*IF(EI368&lt;INDEX('Lease Cycles'!$DK$29:$DQ$29,1,EI367),0,IF(EI368=INDEX('Lease Cycles'!$DK$29:$DQ$29,1,EI367),1-INDEX('Lease Cycles'!$DR$29:$DX$29,1,EI367),1))),0)</f>
        <v>0</v>
      </c>
      <c r="EJ373" s="28">
        <f>IF(EJ369=1,IF(INDEX('Lease Cycles'!$EF$29:$EL$29,1,EJ367)=1,EJ370*INDEX('Lease Cycles'!$EM$29:$ES$29,1,EJ367)+EJ371*IF(EJ368&lt;INDEX('Lease Cycles'!$FA$29:$FG$29,1,EJ367),0,1-INDEX('Lease Cycles'!$EM$29:$ES$29,1,EJ367)),EJ370*IF(EJ368&lt;INDEX('Lease Cycles'!$DK$29:$DQ$29,1,EJ367),0,IF(EJ368=INDEX('Lease Cycles'!$DK$29:$DQ$29,1,EJ367),1-INDEX('Lease Cycles'!$DR$29:$DX$29,1,EJ367),1))),0)</f>
        <v>0</v>
      </c>
      <c r="EK373" s="28">
        <f>IF(EK369=1,IF(INDEX('Lease Cycles'!$EF$29:$EL$29,1,EK367)=1,EK370*INDEX('Lease Cycles'!$EM$29:$ES$29,1,EK367)+EK371*IF(EK368&lt;INDEX('Lease Cycles'!$FA$29:$FG$29,1,EK367),0,1-INDEX('Lease Cycles'!$EM$29:$ES$29,1,EK367)),EK370*IF(EK368&lt;INDEX('Lease Cycles'!$DK$29:$DQ$29,1,EK367),0,IF(EK368=INDEX('Lease Cycles'!$DK$29:$DQ$29,1,EK367),1-INDEX('Lease Cycles'!$DR$29:$DX$29,1,EK367),1))),0)</f>
        <v>0</v>
      </c>
      <c r="EL373" s="28">
        <f>IF(EL369=1,IF(INDEX('Lease Cycles'!$EF$29:$EL$29,1,EL367)=1,EL370*INDEX('Lease Cycles'!$EM$29:$ES$29,1,EL367)+EL371*IF(EL368&lt;INDEX('Lease Cycles'!$FA$29:$FG$29,1,EL367),0,1-INDEX('Lease Cycles'!$EM$29:$ES$29,1,EL367)),EL370*IF(EL368&lt;INDEX('Lease Cycles'!$DK$29:$DQ$29,1,EL367),0,IF(EL368=INDEX('Lease Cycles'!$DK$29:$DQ$29,1,EL367),1-INDEX('Lease Cycles'!$DR$29:$DX$29,1,EL367),1))),0)</f>
        <v>0</v>
      </c>
      <c r="EM373" s="28">
        <f>IF(EM369=1,IF(INDEX('Lease Cycles'!$EF$29:$EL$29,1,EM367)=1,EM370*INDEX('Lease Cycles'!$EM$29:$ES$29,1,EM367)+EM371*IF(EM368&lt;INDEX('Lease Cycles'!$FA$29:$FG$29,1,EM367),0,1-INDEX('Lease Cycles'!$EM$29:$ES$29,1,EM367)),EM370*IF(EM368&lt;INDEX('Lease Cycles'!$DK$29:$DQ$29,1,EM367),0,IF(EM368=INDEX('Lease Cycles'!$DK$29:$DQ$29,1,EM367),1-INDEX('Lease Cycles'!$DR$29:$DX$29,1,EM367),1))),0)</f>
        <v>0</v>
      </c>
      <c r="EN373" s="28">
        <f>IF(EN369=1,IF(INDEX('Lease Cycles'!$EF$29:$EL$29,1,EN367)=1,EN370*INDEX('Lease Cycles'!$EM$29:$ES$29,1,EN367)+EN371*IF(EN368&lt;INDEX('Lease Cycles'!$FA$29:$FG$29,1,EN367),0,1-INDEX('Lease Cycles'!$EM$29:$ES$29,1,EN367)),EN370*IF(EN368&lt;INDEX('Lease Cycles'!$DK$29:$DQ$29,1,EN367),0,IF(EN368=INDEX('Lease Cycles'!$DK$29:$DQ$29,1,EN367),1-INDEX('Lease Cycles'!$DR$29:$DX$29,1,EN367),1))),0)</f>
        <v>0</v>
      </c>
      <c r="EO373" s="28">
        <f>IF(EO369=1,IF(INDEX('Lease Cycles'!$EF$29:$EL$29,1,EO367)=1,EO370*INDEX('Lease Cycles'!$EM$29:$ES$29,1,EO367)+EO371*IF(EO368&lt;INDEX('Lease Cycles'!$FA$29:$FG$29,1,EO367),0,1-INDEX('Lease Cycles'!$EM$29:$ES$29,1,EO367)),EO370*IF(EO368&lt;INDEX('Lease Cycles'!$DK$29:$DQ$29,1,EO367),0,IF(EO368=INDEX('Lease Cycles'!$DK$29:$DQ$29,1,EO367),1-INDEX('Lease Cycles'!$DR$29:$DX$29,1,EO367),1))),0)</f>
        <v>0</v>
      </c>
      <c r="EP373" s="28">
        <f>IF(EP369=1,IF(INDEX('Lease Cycles'!$EF$29:$EL$29,1,EP367)=1,EP370*INDEX('Lease Cycles'!$EM$29:$ES$29,1,EP367)+EP371*IF(EP368&lt;INDEX('Lease Cycles'!$FA$29:$FG$29,1,EP367),0,1-INDEX('Lease Cycles'!$EM$29:$ES$29,1,EP367)),EP370*IF(EP368&lt;INDEX('Lease Cycles'!$DK$29:$DQ$29,1,EP367),0,IF(EP368=INDEX('Lease Cycles'!$DK$29:$DQ$29,1,EP367),1-INDEX('Lease Cycles'!$DR$29:$DX$29,1,EP367),1))),0)</f>
        <v>0</v>
      </c>
      <c r="EQ373" s="28">
        <f>IF(EQ369=1,IF(INDEX('Lease Cycles'!$EF$29:$EL$29,1,EQ367)=1,EQ370*INDEX('Lease Cycles'!$EM$29:$ES$29,1,EQ367)+EQ371*IF(EQ368&lt;INDEX('Lease Cycles'!$FA$29:$FG$29,1,EQ367),0,1-INDEX('Lease Cycles'!$EM$29:$ES$29,1,EQ367)),EQ370*IF(EQ368&lt;INDEX('Lease Cycles'!$DK$29:$DQ$29,1,EQ367),0,IF(EQ368=INDEX('Lease Cycles'!$DK$29:$DQ$29,1,EQ367),1-INDEX('Lease Cycles'!$DR$29:$DX$29,1,EQ367),1))),0)</f>
        <v>0</v>
      </c>
      <c r="ER373" s="28">
        <f>IF(ER369=1,IF(INDEX('Lease Cycles'!$EF$29:$EL$29,1,ER367)=1,ER370*INDEX('Lease Cycles'!$EM$29:$ES$29,1,ER367)+ER371*IF(ER368&lt;INDEX('Lease Cycles'!$FA$29:$FG$29,1,ER367),0,1-INDEX('Lease Cycles'!$EM$29:$ES$29,1,ER367)),ER370*IF(ER368&lt;INDEX('Lease Cycles'!$DK$29:$DQ$29,1,ER367),0,IF(ER368=INDEX('Lease Cycles'!$DK$29:$DQ$29,1,ER367),1-INDEX('Lease Cycles'!$DR$29:$DX$29,1,ER367),1))),0)</f>
        <v>0</v>
      </c>
      <c r="ES373" s="28">
        <f>IF(ES369=1,IF(INDEX('Lease Cycles'!$EF$29:$EL$29,1,ES367)=1,ES370*INDEX('Lease Cycles'!$EM$29:$ES$29,1,ES367)+ES371*IF(ES368&lt;INDEX('Lease Cycles'!$FA$29:$FG$29,1,ES367),0,1-INDEX('Lease Cycles'!$EM$29:$ES$29,1,ES367)),ES370*IF(ES368&lt;INDEX('Lease Cycles'!$DK$29:$DQ$29,1,ES367),0,IF(ES368=INDEX('Lease Cycles'!$DK$29:$DQ$29,1,ES367),1-INDEX('Lease Cycles'!$DR$29:$DX$29,1,ES367),1))),0)</f>
        <v>0</v>
      </c>
      <c r="ET373" s="28">
        <f>IF(ET369=1,IF(INDEX('Lease Cycles'!$EF$29:$EL$29,1,ET367)=1,ET370*INDEX('Lease Cycles'!$EM$29:$ES$29,1,ET367)+ET371*IF(ET368&lt;INDEX('Lease Cycles'!$FA$29:$FG$29,1,ET367),0,1-INDEX('Lease Cycles'!$EM$29:$ES$29,1,ET367)),ET370*IF(ET368&lt;INDEX('Lease Cycles'!$DK$29:$DQ$29,1,ET367),0,IF(ET368=INDEX('Lease Cycles'!$DK$29:$DQ$29,1,ET367),1-INDEX('Lease Cycles'!$DR$29:$DX$29,1,ET367),1))),0)</f>
        <v>0</v>
      </c>
    </row>
    <row r="374">
      <c r="A374" s="103">
        <v>22</v>
      </c>
      <c r="B374" s="23" t="str">
        <f>IF('Lease Cycles'!$B$29="","(empty slot)",'Lease Cycles'!$B$29)</f>
        <v>(empty slot)</v>
      </c>
      <c r="C374" s="23" t="s">
        <v>493</v>
      </c>
      <c r="D374" s="104" t="s">
        <v>494</v>
      </c>
      <c r="E374" s="25">
        <f>'Lease Cycles'!$AL$29</f>
        <v>0</v>
      </c>
      <c r="G374" s="28">
        <f>SUM(S374:AD374)</f>
        <v>0</v>
      </c>
      <c r="H374" s="28">
        <f>SUM(AE374:AP374)</f>
        <v>0</v>
      </c>
      <c r="I374" s="28">
        <f>SUM(AQ374:BB374)</f>
        <v>0</v>
      </c>
      <c r="J374" s="28">
        <f>SUM(BC374:BN374)</f>
        <v>0</v>
      </c>
      <c r="K374" s="28">
        <f>SUM(BO374:BZ374)</f>
        <v>0</v>
      </c>
      <c r="L374" s="28">
        <f>SUM(CA374:CL374)</f>
        <v>0</v>
      </c>
      <c r="M374" s="28">
        <f>SUM(CM374:CX374)</f>
        <v>0</v>
      </c>
      <c r="N374" s="28">
        <f>SUM(CY374:DJ374)</f>
        <v>0</v>
      </c>
      <c r="O374" s="28">
        <f>SUM(DK374:DV374)</f>
        <v>0</v>
      </c>
      <c r="P374" s="28">
        <f>SUM(DW374:EH374)</f>
        <v>0</v>
      </c>
      <c r="Q374" s="28">
        <f>SUM(EI374:ET374)</f>
        <v>0</v>
      </c>
      <c r="S374" s="28">
        <f>IF(S369=1,IF(INDEX('Lease Cycles'!$EF$29:$EL$29,1,S367)=1,0,S370*(1-IF(S368&lt;INDEX('Lease Cycles'!$DK$29:$DQ$29,1,S367),0,IF(S368=INDEX('Lease Cycles'!$DK$29:$DQ$29,1,S367),1-INDEX('Lease Cycles'!$DR$29:$DX$29,1,S367),1))-IF(S368=0,INDEX('Lease Cycles'!$DD$29:$DJ$29,1,S367),0))),0)</f>
        <v>0</v>
      </c>
      <c r="T374" s="28">
        <f>IF(T369=1,IF(INDEX('Lease Cycles'!$EF$29:$EL$29,1,T367)=1,0,T370*(1-IF(T368&lt;INDEX('Lease Cycles'!$DK$29:$DQ$29,1,T367),0,IF(T368=INDEX('Lease Cycles'!$DK$29:$DQ$29,1,T367),1-INDEX('Lease Cycles'!$DR$29:$DX$29,1,T367),1))-IF(T368=0,INDEX('Lease Cycles'!$DD$29:$DJ$29,1,T367),0))),0)</f>
        <v>0</v>
      </c>
      <c r="U374" s="28">
        <f>IF(U369=1,IF(INDEX('Lease Cycles'!$EF$29:$EL$29,1,U367)=1,0,U370*(1-IF(U368&lt;INDEX('Lease Cycles'!$DK$29:$DQ$29,1,U367),0,IF(U368=INDEX('Lease Cycles'!$DK$29:$DQ$29,1,U367),1-INDEX('Lease Cycles'!$DR$29:$DX$29,1,U367),1))-IF(U368=0,INDEX('Lease Cycles'!$DD$29:$DJ$29,1,U367),0))),0)</f>
        <v>0</v>
      </c>
      <c r="V374" s="28">
        <f>IF(V369=1,IF(INDEX('Lease Cycles'!$EF$29:$EL$29,1,V367)=1,0,V370*(1-IF(V368&lt;INDEX('Lease Cycles'!$DK$29:$DQ$29,1,V367),0,IF(V368=INDEX('Lease Cycles'!$DK$29:$DQ$29,1,V367),1-INDEX('Lease Cycles'!$DR$29:$DX$29,1,V367),1))-IF(V368=0,INDEX('Lease Cycles'!$DD$29:$DJ$29,1,V367),0))),0)</f>
        <v>0</v>
      </c>
      <c r="W374" s="28">
        <f>IF(W369=1,IF(INDEX('Lease Cycles'!$EF$29:$EL$29,1,W367)=1,0,W370*(1-IF(W368&lt;INDEX('Lease Cycles'!$DK$29:$DQ$29,1,W367),0,IF(W368=INDEX('Lease Cycles'!$DK$29:$DQ$29,1,W367),1-INDEX('Lease Cycles'!$DR$29:$DX$29,1,W367),1))-IF(W368=0,INDEX('Lease Cycles'!$DD$29:$DJ$29,1,W367),0))),0)</f>
        <v>0</v>
      </c>
      <c r="X374" s="28">
        <f>IF(X369=1,IF(INDEX('Lease Cycles'!$EF$29:$EL$29,1,X367)=1,0,X370*(1-IF(X368&lt;INDEX('Lease Cycles'!$DK$29:$DQ$29,1,X367),0,IF(X368=INDEX('Lease Cycles'!$DK$29:$DQ$29,1,X367),1-INDEX('Lease Cycles'!$DR$29:$DX$29,1,X367),1))-IF(X368=0,INDEX('Lease Cycles'!$DD$29:$DJ$29,1,X367),0))),0)</f>
        <v>0</v>
      </c>
      <c r="Y374" s="28">
        <f>IF(Y369=1,IF(INDEX('Lease Cycles'!$EF$29:$EL$29,1,Y367)=1,0,Y370*(1-IF(Y368&lt;INDEX('Lease Cycles'!$DK$29:$DQ$29,1,Y367),0,IF(Y368=INDEX('Lease Cycles'!$DK$29:$DQ$29,1,Y367),1-INDEX('Lease Cycles'!$DR$29:$DX$29,1,Y367),1))-IF(Y368=0,INDEX('Lease Cycles'!$DD$29:$DJ$29,1,Y367),0))),0)</f>
        <v>0</v>
      </c>
      <c r="Z374" s="28">
        <f>IF(Z369=1,IF(INDEX('Lease Cycles'!$EF$29:$EL$29,1,Z367)=1,0,Z370*(1-IF(Z368&lt;INDEX('Lease Cycles'!$DK$29:$DQ$29,1,Z367),0,IF(Z368=INDEX('Lease Cycles'!$DK$29:$DQ$29,1,Z367),1-INDEX('Lease Cycles'!$DR$29:$DX$29,1,Z367),1))-IF(Z368=0,INDEX('Lease Cycles'!$DD$29:$DJ$29,1,Z367),0))),0)</f>
        <v>0</v>
      </c>
      <c r="AA374" s="28">
        <f>IF(AA369=1,IF(INDEX('Lease Cycles'!$EF$29:$EL$29,1,AA367)=1,0,AA370*(1-IF(AA368&lt;INDEX('Lease Cycles'!$DK$29:$DQ$29,1,AA367),0,IF(AA368=INDEX('Lease Cycles'!$DK$29:$DQ$29,1,AA367),1-INDEX('Lease Cycles'!$DR$29:$DX$29,1,AA367),1))-IF(AA368=0,INDEX('Lease Cycles'!$DD$29:$DJ$29,1,AA367),0))),0)</f>
        <v>0</v>
      </c>
      <c r="AB374" s="28">
        <f>IF(AB369=1,IF(INDEX('Lease Cycles'!$EF$29:$EL$29,1,AB367)=1,0,AB370*(1-IF(AB368&lt;INDEX('Lease Cycles'!$DK$29:$DQ$29,1,AB367),0,IF(AB368=INDEX('Lease Cycles'!$DK$29:$DQ$29,1,AB367),1-INDEX('Lease Cycles'!$DR$29:$DX$29,1,AB367),1))-IF(AB368=0,INDEX('Lease Cycles'!$DD$29:$DJ$29,1,AB367),0))),0)</f>
        <v>0</v>
      </c>
      <c r="AC374" s="28">
        <f>IF(AC369=1,IF(INDEX('Lease Cycles'!$EF$29:$EL$29,1,AC367)=1,0,AC370*(1-IF(AC368&lt;INDEX('Lease Cycles'!$DK$29:$DQ$29,1,AC367),0,IF(AC368=INDEX('Lease Cycles'!$DK$29:$DQ$29,1,AC367),1-INDEX('Lease Cycles'!$DR$29:$DX$29,1,AC367),1))-IF(AC368=0,INDEX('Lease Cycles'!$DD$29:$DJ$29,1,AC367),0))),0)</f>
        <v>0</v>
      </c>
      <c r="AD374" s="28">
        <f>IF(AD369=1,IF(INDEX('Lease Cycles'!$EF$29:$EL$29,1,AD367)=1,0,AD370*(1-IF(AD368&lt;INDEX('Lease Cycles'!$DK$29:$DQ$29,1,AD367),0,IF(AD368=INDEX('Lease Cycles'!$DK$29:$DQ$29,1,AD367),1-INDEX('Lease Cycles'!$DR$29:$DX$29,1,AD367),1))-IF(AD368=0,INDEX('Lease Cycles'!$DD$29:$DJ$29,1,AD367),0))),0)</f>
        <v>0</v>
      </c>
      <c r="AE374" s="28">
        <f>IF(AE369=1,IF(INDEX('Lease Cycles'!$EF$29:$EL$29,1,AE367)=1,0,AE370*(1-IF(AE368&lt;INDEX('Lease Cycles'!$DK$29:$DQ$29,1,AE367),0,IF(AE368=INDEX('Lease Cycles'!$DK$29:$DQ$29,1,AE367),1-INDEX('Lease Cycles'!$DR$29:$DX$29,1,AE367),1))-IF(AE368=0,INDEX('Lease Cycles'!$DD$29:$DJ$29,1,AE367),0))),0)</f>
        <v>0</v>
      </c>
      <c r="AF374" s="28">
        <f>IF(AF369=1,IF(INDEX('Lease Cycles'!$EF$29:$EL$29,1,AF367)=1,0,AF370*(1-IF(AF368&lt;INDEX('Lease Cycles'!$DK$29:$DQ$29,1,AF367),0,IF(AF368=INDEX('Lease Cycles'!$DK$29:$DQ$29,1,AF367),1-INDEX('Lease Cycles'!$DR$29:$DX$29,1,AF367),1))-IF(AF368=0,INDEX('Lease Cycles'!$DD$29:$DJ$29,1,AF367),0))),0)</f>
        <v>0</v>
      </c>
      <c r="AG374" s="28">
        <f>IF(AG369=1,IF(INDEX('Lease Cycles'!$EF$29:$EL$29,1,AG367)=1,0,AG370*(1-IF(AG368&lt;INDEX('Lease Cycles'!$DK$29:$DQ$29,1,AG367),0,IF(AG368=INDEX('Lease Cycles'!$DK$29:$DQ$29,1,AG367),1-INDEX('Lease Cycles'!$DR$29:$DX$29,1,AG367),1))-IF(AG368=0,INDEX('Lease Cycles'!$DD$29:$DJ$29,1,AG367),0))),0)</f>
        <v>0</v>
      </c>
      <c r="AH374" s="28">
        <f>IF(AH369=1,IF(INDEX('Lease Cycles'!$EF$29:$EL$29,1,AH367)=1,0,AH370*(1-IF(AH368&lt;INDEX('Lease Cycles'!$DK$29:$DQ$29,1,AH367),0,IF(AH368=INDEX('Lease Cycles'!$DK$29:$DQ$29,1,AH367),1-INDEX('Lease Cycles'!$DR$29:$DX$29,1,AH367),1))-IF(AH368=0,INDEX('Lease Cycles'!$DD$29:$DJ$29,1,AH367),0))),0)</f>
        <v>0</v>
      </c>
      <c r="AI374" s="28">
        <f>IF(AI369=1,IF(INDEX('Lease Cycles'!$EF$29:$EL$29,1,AI367)=1,0,AI370*(1-IF(AI368&lt;INDEX('Lease Cycles'!$DK$29:$DQ$29,1,AI367),0,IF(AI368=INDEX('Lease Cycles'!$DK$29:$DQ$29,1,AI367),1-INDEX('Lease Cycles'!$DR$29:$DX$29,1,AI367),1))-IF(AI368=0,INDEX('Lease Cycles'!$DD$29:$DJ$29,1,AI367),0))),0)</f>
        <v>0</v>
      </c>
      <c r="AJ374" s="28">
        <f>IF(AJ369=1,IF(INDEX('Lease Cycles'!$EF$29:$EL$29,1,AJ367)=1,0,AJ370*(1-IF(AJ368&lt;INDEX('Lease Cycles'!$DK$29:$DQ$29,1,AJ367),0,IF(AJ368=INDEX('Lease Cycles'!$DK$29:$DQ$29,1,AJ367),1-INDEX('Lease Cycles'!$DR$29:$DX$29,1,AJ367),1))-IF(AJ368=0,INDEX('Lease Cycles'!$DD$29:$DJ$29,1,AJ367),0))),0)</f>
        <v>0</v>
      </c>
      <c r="AK374" s="28">
        <f>IF(AK369=1,IF(INDEX('Lease Cycles'!$EF$29:$EL$29,1,AK367)=1,0,AK370*(1-IF(AK368&lt;INDEX('Lease Cycles'!$DK$29:$DQ$29,1,AK367),0,IF(AK368=INDEX('Lease Cycles'!$DK$29:$DQ$29,1,AK367),1-INDEX('Lease Cycles'!$DR$29:$DX$29,1,AK367),1))-IF(AK368=0,INDEX('Lease Cycles'!$DD$29:$DJ$29,1,AK367),0))),0)</f>
        <v>0</v>
      </c>
      <c r="AL374" s="28">
        <f>IF(AL369=1,IF(INDEX('Lease Cycles'!$EF$29:$EL$29,1,AL367)=1,0,AL370*(1-IF(AL368&lt;INDEX('Lease Cycles'!$DK$29:$DQ$29,1,AL367),0,IF(AL368=INDEX('Lease Cycles'!$DK$29:$DQ$29,1,AL367),1-INDEX('Lease Cycles'!$DR$29:$DX$29,1,AL367),1))-IF(AL368=0,INDEX('Lease Cycles'!$DD$29:$DJ$29,1,AL367),0))),0)</f>
        <v>0</v>
      </c>
      <c r="AM374" s="28">
        <f>IF(AM369=1,IF(INDEX('Lease Cycles'!$EF$29:$EL$29,1,AM367)=1,0,AM370*(1-IF(AM368&lt;INDEX('Lease Cycles'!$DK$29:$DQ$29,1,AM367),0,IF(AM368=INDEX('Lease Cycles'!$DK$29:$DQ$29,1,AM367),1-INDEX('Lease Cycles'!$DR$29:$DX$29,1,AM367),1))-IF(AM368=0,INDEX('Lease Cycles'!$DD$29:$DJ$29,1,AM367),0))),0)</f>
        <v>0</v>
      </c>
      <c r="AN374" s="28">
        <f>IF(AN369=1,IF(INDEX('Lease Cycles'!$EF$29:$EL$29,1,AN367)=1,0,AN370*(1-IF(AN368&lt;INDEX('Lease Cycles'!$DK$29:$DQ$29,1,AN367),0,IF(AN368=INDEX('Lease Cycles'!$DK$29:$DQ$29,1,AN367),1-INDEX('Lease Cycles'!$DR$29:$DX$29,1,AN367),1))-IF(AN368=0,INDEX('Lease Cycles'!$DD$29:$DJ$29,1,AN367),0))),0)</f>
        <v>0</v>
      </c>
      <c r="AO374" s="28">
        <f>IF(AO369=1,IF(INDEX('Lease Cycles'!$EF$29:$EL$29,1,AO367)=1,0,AO370*(1-IF(AO368&lt;INDEX('Lease Cycles'!$DK$29:$DQ$29,1,AO367),0,IF(AO368=INDEX('Lease Cycles'!$DK$29:$DQ$29,1,AO367),1-INDEX('Lease Cycles'!$DR$29:$DX$29,1,AO367),1))-IF(AO368=0,INDEX('Lease Cycles'!$DD$29:$DJ$29,1,AO367),0))),0)</f>
        <v>0</v>
      </c>
      <c r="AP374" s="28">
        <f>IF(AP369=1,IF(INDEX('Lease Cycles'!$EF$29:$EL$29,1,AP367)=1,0,AP370*(1-IF(AP368&lt;INDEX('Lease Cycles'!$DK$29:$DQ$29,1,AP367),0,IF(AP368=INDEX('Lease Cycles'!$DK$29:$DQ$29,1,AP367),1-INDEX('Lease Cycles'!$DR$29:$DX$29,1,AP367),1))-IF(AP368=0,INDEX('Lease Cycles'!$DD$29:$DJ$29,1,AP367),0))),0)</f>
        <v>0</v>
      </c>
      <c r="AQ374" s="28">
        <f>IF(AQ369=1,IF(INDEX('Lease Cycles'!$EF$29:$EL$29,1,AQ367)=1,0,AQ370*(1-IF(AQ368&lt;INDEX('Lease Cycles'!$DK$29:$DQ$29,1,AQ367),0,IF(AQ368=INDEX('Lease Cycles'!$DK$29:$DQ$29,1,AQ367),1-INDEX('Lease Cycles'!$DR$29:$DX$29,1,AQ367),1))-IF(AQ368=0,INDEX('Lease Cycles'!$DD$29:$DJ$29,1,AQ367),0))),0)</f>
        <v>0</v>
      </c>
      <c r="AR374" s="28">
        <f>IF(AR369=1,IF(INDEX('Lease Cycles'!$EF$29:$EL$29,1,AR367)=1,0,AR370*(1-IF(AR368&lt;INDEX('Lease Cycles'!$DK$29:$DQ$29,1,AR367),0,IF(AR368=INDEX('Lease Cycles'!$DK$29:$DQ$29,1,AR367),1-INDEX('Lease Cycles'!$DR$29:$DX$29,1,AR367),1))-IF(AR368=0,INDEX('Lease Cycles'!$DD$29:$DJ$29,1,AR367),0))),0)</f>
        <v>0</v>
      </c>
      <c r="AS374" s="28">
        <f>IF(AS369=1,IF(INDEX('Lease Cycles'!$EF$29:$EL$29,1,AS367)=1,0,AS370*(1-IF(AS368&lt;INDEX('Lease Cycles'!$DK$29:$DQ$29,1,AS367),0,IF(AS368=INDEX('Lease Cycles'!$DK$29:$DQ$29,1,AS367),1-INDEX('Lease Cycles'!$DR$29:$DX$29,1,AS367),1))-IF(AS368=0,INDEX('Lease Cycles'!$DD$29:$DJ$29,1,AS367),0))),0)</f>
        <v>0</v>
      </c>
      <c r="AT374" s="28">
        <f>IF(AT369=1,IF(INDEX('Lease Cycles'!$EF$29:$EL$29,1,AT367)=1,0,AT370*(1-IF(AT368&lt;INDEX('Lease Cycles'!$DK$29:$DQ$29,1,AT367),0,IF(AT368=INDEX('Lease Cycles'!$DK$29:$DQ$29,1,AT367),1-INDEX('Lease Cycles'!$DR$29:$DX$29,1,AT367),1))-IF(AT368=0,INDEX('Lease Cycles'!$DD$29:$DJ$29,1,AT367),0))),0)</f>
        <v>0</v>
      </c>
      <c r="AU374" s="28">
        <f>IF(AU369=1,IF(INDEX('Lease Cycles'!$EF$29:$EL$29,1,AU367)=1,0,AU370*(1-IF(AU368&lt;INDEX('Lease Cycles'!$DK$29:$DQ$29,1,AU367),0,IF(AU368=INDEX('Lease Cycles'!$DK$29:$DQ$29,1,AU367),1-INDEX('Lease Cycles'!$DR$29:$DX$29,1,AU367),1))-IF(AU368=0,INDEX('Lease Cycles'!$DD$29:$DJ$29,1,AU367),0))),0)</f>
        <v>0</v>
      </c>
      <c r="AV374" s="28">
        <f>IF(AV369=1,IF(INDEX('Lease Cycles'!$EF$29:$EL$29,1,AV367)=1,0,AV370*(1-IF(AV368&lt;INDEX('Lease Cycles'!$DK$29:$DQ$29,1,AV367),0,IF(AV368=INDEX('Lease Cycles'!$DK$29:$DQ$29,1,AV367),1-INDEX('Lease Cycles'!$DR$29:$DX$29,1,AV367),1))-IF(AV368=0,INDEX('Lease Cycles'!$DD$29:$DJ$29,1,AV367),0))),0)</f>
        <v>0</v>
      </c>
      <c r="AW374" s="28">
        <f>IF(AW369=1,IF(INDEX('Lease Cycles'!$EF$29:$EL$29,1,AW367)=1,0,AW370*(1-IF(AW368&lt;INDEX('Lease Cycles'!$DK$29:$DQ$29,1,AW367),0,IF(AW368=INDEX('Lease Cycles'!$DK$29:$DQ$29,1,AW367),1-INDEX('Lease Cycles'!$DR$29:$DX$29,1,AW367),1))-IF(AW368=0,INDEX('Lease Cycles'!$DD$29:$DJ$29,1,AW367),0))),0)</f>
        <v>0</v>
      </c>
      <c r="AX374" s="28">
        <f>IF(AX369=1,IF(INDEX('Lease Cycles'!$EF$29:$EL$29,1,AX367)=1,0,AX370*(1-IF(AX368&lt;INDEX('Lease Cycles'!$DK$29:$DQ$29,1,AX367),0,IF(AX368=INDEX('Lease Cycles'!$DK$29:$DQ$29,1,AX367),1-INDEX('Lease Cycles'!$DR$29:$DX$29,1,AX367),1))-IF(AX368=0,INDEX('Lease Cycles'!$DD$29:$DJ$29,1,AX367),0))),0)</f>
        <v>0</v>
      </c>
      <c r="AY374" s="28">
        <f>IF(AY369=1,IF(INDEX('Lease Cycles'!$EF$29:$EL$29,1,AY367)=1,0,AY370*(1-IF(AY368&lt;INDEX('Lease Cycles'!$DK$29:$DQ$29,1,AY367),0,IF(AY368=INDEX('Lease Cycles'!$DK$29:$DQ$29,1,AY367),1-INDEX('Lease Cycles'!$DR$29:$DX$29,1,AY367),1))-IF(AY368=0,INDEX('Lease Cycles'!$DD$29:$DJ$29,1,AY367),0))),0)</f>
        <v>0</v>
      </c>
      <c r="AZ374" s="28">
        <f>IF(AZ369=1,IF(INDEX('Lease Cycles'!$EF$29:$EL$29,1,AZ367)=1,0,AZ370*(1-IF(AZ368&lt;INDEX('Lease Cycles'!$DK$29:$DQ$29,1,AZ367),0,IF(AZ368=INDEX('Lease Cycles'!$DK$29:$DQ$29,1,AZ367),1-INDEX('Lease Cycles'!$DR$29:$DX$29,1,AZ367),1))-IF(AZ368=0,INDEX('Lease Cycles'!$DD$29:$DJ$29,1,AZ367),0))),0)</f>
        <v>0</v>
      </c>
      <c r="BA374" s="28">
        <f>IF(BA369=1,IF(INDEX('Lease Cycles'!$EF$29:$EL$29,1,BA367)=1,0,BA370*(1-IF(BA368&lt;INDEX('Lease Cycles'!$DK$29:$DQ$29,1,BA367),0,IF(BA368=INDEX('Lease Cycles'!$DK$29:$DQ$29,1,BA367),1-INDEX('Lease Cycles'!$DR$29:$DX$29,1,BA367),1))-IF(BA368=0,INDEX('Lease Cycles'!$DD$29:$DJ$29,1,BA367),0))),0)</f>
        <v>0</v>
      </c>
      <c r="BB374" s="28">
        <f>IF(BB369=1,IF(INDEX('Lease Cycles'!$EF$29:$EL$29,1,BB367)=1,0,BB370*(1-IF(BB368&lt;INDEX('Lease Cycles'!$DK$29:$DQ$29,1,BB367),0,IF(BB368=INDEX('Lease Cycles'!$DK$29:$DQ$29,1,BB367),1-INDEX('Lease Cycles'!$DR$29:$DX$29,1,BB367),1))-IF(BB368=0,INDEX('Lease Cycles'!$DD$29:$DJ$29,1,BB367),0))),0)</f>
        <v>0</v>
      </c>
      <c r="BC374" s="28">
        <f>IF(BC369=1,IF(INDEX('Lease Cycles'!$EF$29:$EL$29,1,BC367)=1,0,BC370*(1-IF(BC368&lt;INDEX('Lease Cycles'!$DK$29:$DQ$29,1,BC367),0,IF(BC368=INDEX('Lease Cycles'!$DK$29:$DQ$29,1,BC367),1-INDEX('Lease Cycles'!$DR$29:$DX$29,1,BC367),1))-IF(BC368=0,INDEX('Lease Cycles'!$DD$29:$DJ$29,1,BC367),0))),0)</f>
        <v>0</v>
      </c>
      <c r="BD374" s="28">
        <f>IF(BD369=1,IF(INDEX('Lease Cycles'!$EF$29:$EL$29,1,BD367)=1,0,BD370*(1-IF(BD368&lt;INDEX('Lease Cycles'!$DK$29:$DQ$29,1,BD367),0,IF(BD368=INDEX('Lease Cycles'!$DK$29:$DQ$29,1,BD367),1-INDEX('Lease Cycles'!$DR$29:$DX$29,1,BD367),1))-IF(BD368=0,INDEX('Lease Cycles'!$DD$29:$DJ$29,1,BD367),0))),0)</f>
        <v>0</v>
      </c>
      <c r="BE374" s="28">
        <f>IF(BE369=1,IF(INDEX('Lease Cycles'!$EF$29:$EL$29,1,BE367)=1,0,BE370*(1-IF(BE368&lt;INDEX('Lease Cycles'!$DK$29:$DQ$29,1,BE367),0,IF(BE368=INDEX('Lease Cycles'!$DK$29:$DQ$29,1,BE367),1-INDEX('Lease Cycles'!$DR$29:$DX$29,1,BE367),1))-IF(BE368=0,INDEX('Lease Cycles'!$DD$29:$DJ$29,1,BE367),0))),0)</f>
        <v>0</v>
      </c>
      <c r="BF374" s="28">
        <f>IF(BF369=1,IF(INDEX('Lease Cycles'!$EF$29:$EL$29,1,BF367)=1,0,BF370*(1-IF(BF368&lt;INDEX('Lease Cycles'!$DK$29:$DQ$29,1,BF367),0,IF(BF368=INDEX('Lease Cycles'!$DK$29:$DQ$29,1,BF367),1-INDEX('Lease Cycles'!$DR$29:$DX$29,1,BF367),1))-IF(BF368=0,INDEX('Lease Cycles'!$DD$29:$DJ$29,1,BF367),0))),0)</f>
        <v>0</v>
      </c>
      <c r="BG374" s="28">
        <f>IF(BG369=1,IF(INDEX('Lease Cycles'!$EF$29:$EL$29,1,BG367)=1,0,BG370*(1-IF(BG368&lt;INDEX('Lease Cycles'!$DK$29:$DQ$29,1,BG367),0,IF(BG368=INDEX('Lease Cycles'!$DK$29:$DQ$29,1,BG367),1-INDEX('Lease Cycles'!$DR$29:$DX$29,1,BG367),1))-IF(BG368=0,INDEX('Lease Cycles'!$DD$29:$DJ$29,1,BG367),0))),0)</f>
        <v>0</v>
      </c>
      <c r="BH374" s="28">
        <f>IF(BH369=1,IF(INDEX('Lease Cycles'!$EF$29:$EL$29,1,BH367)=1,0,BH370*(1-IF(BH368&lt;INDEX('Lease Cycles'!$DK$29:$DQ$29,1,BH367),0,IF(BH368=INDEX('Lease Cycles'!$DK$29:$DQ$29,1,BH367),1-INDEX('Lease Cycles'!$DR$29:$DX$29,1,BH367),1))-IF(BH368=0,INDEX('Lease Cycles'!$DD$29:$DJ$29,1,BH367),0))),0)</f>
        <v>0</v>
      </c>
      <c r="BI374" s="28">
        <f>IF(BI369=1,IF(INDEX('Lease Cycles'!$EF$29:$EL$29,1,BI367)=1,0,BI370*(1-IF(BI368&lt;INDEX('Lease Cycles'!$DK$29:$DQ$29,1,BI367),0,IF(BI368=INDEX('Lease Cycles'!$DK$29:$DQ$29,1,BI367),1-INDEX('Lease Cycles'!$DR$29:$DX$29,1,BI367),1))-IF(BI368=0,INDEX('Lease Cycles'!$DD$29:$DJ$29,1,BI367),0))),0)</f>
        <v>0</v>
      </c>
      <c r="BJ374" s="28">
        <f>IF(BJ369=1,IF(INDEX('Lease Cycles'!$EF$29:$EL$29,1,BJ367)=1,0,BJ370*(1-IF(BJ368&lt;INDEX('Lease Cycles'!$DK$29:$DQ$29,1,BJ367),0,IF(BJ368=INDEX('Lease Cycles'!$DK$29:$DQ$29,1,BJ367),1-INDEX('Lease Cycles'!$DR$29:$DX$29,1,BJ367),1))-IF(BJ368=0,INDEX('Lease Cycles'!$DD$29:$DJ$29,1,BJ367),0))),0)</f>
        <v>0</v>
      </c>
      <c r="BK374" s="28">
        <f>IF(BK369=1,IF(INDEX('Lease Cycles'!$EF$29:$EL$29,1,BK367)=1,0,BK370*(1-IF(BK368&lt;INDEX('Lease Cycles'!$DK$29:$DQ$29,1,BK367),0,IF(BK368=INDEX('Lease Cycles'!$DK$29:$DQ$29,1,BK367),1-INDEX('Lease Cycles'!$DR$29:$DX$29,1,BK367),1))-IF(BK368=0,INDEX('Lease Cycles'!$DD$29:$DJ$29,1,BK367),0))),0)</f>
        <v>0</v>
      </c>
      <c r="BL374" s="28">
        <f>IF(BL369=1,IF(INDEX('Lease Cycles'!$EF$29:$EL$29,1,BL367)=1,0,BL370*(1-IF(BL368&lt;INDEX('Lease Cycles'!$DK$29:$DQ$29,1,BL367),0,IF(BL368=INDEX('Lease Cycles'!$DK$29:$DQ$29,1,BL367),1-INDEX('Lease Cycles'!$DR$29:$DX$29,1,BL367),1))-IF(BL368=0,INDEX('Lease Cycles'!$DD$29:$DJ$29,1,BL367),0))),0)</f>
        <v>0</v>
      </c>
      <c r="BM374" s="28">
        <f>IF(BM369=1,IF(INDEX('Lease Cycles'!$EF$29:$EL$29,1,BM367)=1,0,BM370*(1-IF(BM368&lt;INDEX('Lease Cycles'!$DK$29:$DQ$29,1,BM367),0,IF(BM368=INDEX('Lease Cycles'!$DK$29:$DQ$29,1,BM367),1-INDEX('Lease Cycles'!$DR$29:$DX$29,1,BM367),1))-IF(BM368=0,INDEX('Lease Cycles'!$DD$29:$DJ$29,1,BM367),0))),0)</f>
        <v>0</v>
      </c>
      <c r="BN374" s="28">
        <f>IF(BN369=1,IF(INDEX('Lease Cycles'!$EF$29:$EL$29,1,BN367)=1,0,BN370*(1-IF(BN368&lt;INDEX('Lease Cycles'!$DK$29:$DQ$29,1,BN367),0,IF(BN368=INDEX('Lease Cycles'!$DK$29:$DQ$29,1,BN367),1-INDEX('Lease Cycles'!$DR$29:$DX$29,1,BN367),1))-IF(BN368=0,INDEX('Lease Cycles'!$DD$29:$DJ$29,1,BN367),0))),0)</f>
        <v>0</v>
      </c>
      <c r="BO374" s="28">
        <f>IF(BO369=1,IF(INDEX('Lease Cycles'!$EF$29:$EL$29,1,BO367)=1,0,BO370*(1-IF(BO368&lt;INDEX('Lease Cycles'!$DK$29:$DQ$29,1,BO367),0,IF(BO368=INDEX('Lease Cycles'!$DK$29:$DQ$29,1,BO367),1-INDEX('Lease Cycles'!$DR$29:$DX$29,1,BO367),1))-IF(BO368=0,INDEX('Lease Cycles'!$DD$29:$DJ$29,1,BO367),0))),0)</f>
        <v>0</v>
      </c>
      <c r="BP374" s="28">
        <f>IF(BP369=1,IF(INDEX('Lease Cycles'!$EF$29:$EL$29,1,BP367)=1,0,BP370*(1-IF(BP368&lt;INDEX('Lease Cycles'!$DK$29:$DQ$29,1,BP367),0,IF(BP368=INDEX('Lease Cycles'!$DK$29:$DQ$29,1,BP367),1-INDEX('Lease Cycles'!$DR$29:$DX$29,1,BP367),1))-IF(BP368=0,INDEX('Lease Cycles'!$DD$29:$DJ$29,1,BP367),0))),0)</f>
        <v>0</v>
      </c>
      <c r="BQ374" s="28">
        <f>IF(BQ369=1,IF(INDEX('Lease Cycles'!$EF$29:$EL$29,1,BQ367)=1,0,BQ370*(1-IF(BQ368&lt;INDEX('Lease Cycles'!$DK$29:$DQ$29,1,BQ367),0,IF(BQ368=INDEX('Lease Cycles'!$DK$29:$DQ$29,1,BQ367),1-INDEX('Lease Cycles'!$DR$29:$DX$29,1,BQ367),1))-IF(BQ368=0,INDEX('Lease Cycles'!$DD$29:$DJ$29,1,BQ367),0))),0)</f>
        <v>0</v>
      </c>
      <c r="BR374" s="28">
        <f>IF(BR369=1,IF(INDEX('Lease Cycles'!$EF$29:$EL$29,1,BR367)=1,0,BR370*(1-IF(BR368&lt;INDEX('Lease Cycles'!$DK$29:$DQ$29,1,BR367),0,IF(BR368=INDEX('Lease Cycles'!$DK$29:$DQ$29,1,BR367),1-INDEX('Lease Cycles'!$DR$29:$DX$29,1,BR367),1))-IF(BR368=0,INDEX('Lease Cycles'!$DD$29:$DJ$29,1,BR367),0))),0)</f>
        <v>0</v>
      </c>
      <c r="BS374" s="28">
        <f>IF(BS369=1,IF(INDEX('Lease Cycles'!$EF$29:$EL$29,1,BS367)=1,0,BS370*(1-IF(BS368&lt;INDEX('Lease Cycles'!$DK$29:$DQ$29,1,BS367),0,IF(BS368=INDEX('Lease Cycles'!$DK$29:$DQ$29,1,BS367),1-INDEX('Lease Cycles'!$DR$29:$DX$29,1,BS367),1))-IF(BS368=0,INDEX('Lease Cycles'!$DD$29:$DJ$29,1,BS367),0))),0)</f>
        <v>0</v>
      </c>
      <c r="BT374" s="28">
        <f>IF(BT369=1,IF(INDEX('Lease Cycles'!$EF$29:$EL$29,1,BT367)=1,0,BT370*(1-IF(BT368&lt;INDEX('Lease Cycles'!$DK$29:$DQ$29,1,BT367),0,IF(BT368=INDEX('Lease Cycles'!$DK$29:$DQ$29,1,BT367),1-INDEX('Lease Cycles'!$DR$29:$DX$29,1,BT367),1))-IF(BT368=0,INDEX('Lease Cycles'!$DD$29:$DJ$29,1,BT367),0))),0)</f>
        <v>0</v>
      </c>
      <c r="BU374" s="28">
        <f>IF(BU369=1,IF(INDEX('Lease Cycles'!$EF$29:$EL$29,1,BU367)=1,0,BU370*(1-IF(BU368&lt;INDEX('Lease Cycles'!$DK$29:$DQ$29,1,BU367),0,IF(BU368=INDEX('Lease Cycles'!$DK$29:$DQ$29,1,BU367),1-INDEX('Lease Cycles'!$DR$29:$DX$29,1,BU367),1))-IF(BU368=0,INDEX('Lease Cycles'!$DD$29:$DJ$29,1,BU367),0))),0)</f>
        <v>0</v>
      </c>
      <c r="BV374" s="28">
        <f>IF(BV369=1,IF(INDEX('Lease Cycles'!$EF$29:$EL$29,1,BV367)=1,0,BV370*(1-IF(BV368&lt;INDEX('Lease Cycles'!$DK$29:$DQ$29,1,BV367),0,IF(BV368=INDEX('Lease Cycles'!$DK$29:$DQ$29,1,BV367),1-INDEX('Lease Cycles'!$DR$29:$DX$29,1,BV367),1))-IF(BV368=0,INDEX('Lease Cycles'!$DD$29:$DJ$29,1,BV367),0))),0)</f>
        <v>0</v>
      </c>
      <c r="BW374" s="28">
        <f>IF(BW369=1,IF(INDEX('Lease Cycles'!$EF$29:$EL$29,1,BW367)=1,0,BW370*(1-IF(BW368&lt;INDEX('Lease Cycles'!$DK$29:$DQ$29,1,BW367),0,IF(BW368=INDEX('Lease Cycles'!$DK$29:$DQ$29,1,BW367),1-INDEX('Lease Cycles'!$DR$29:$DX$29,1,BW367),1))-IF(BW368=0,INDEX('Lease Cycles'!$DD$29:$DJ$29,1,BW367),0))),0)</f>
        <v>0</v>
      </c>
      <c r="BX374" s="28">
        <f>IF(BX369=1,IF(INDEX('Lease Cycles'!$EF$29:$EL$29,1,BX367)=1,0,BX370*(1-IF(BX368&lt;INDEX('Lease Cycles'!$DK$29:$DQ$29,1,BX367),0,IF(BX368=INDEX('Lease Cycles'!$DK$29:$DQ$29,1,BX367),1-INDEX('Lease Cycles'!$DR$29:$DX$29,1,BX367),1))-IF(BX368=0,INDEX('Lease Cycles'!$DD$29:$DJ$29,1,BX367),0))),0)</f>
        <v>0</v>
      </c>
      <c r="BY374" s="28">
        <f>IF(BY369=1,IF(INDEX('Lease Cycles'!$EF$29:$EL$29,1,BY367)=1,0,BY370*(1-IF(BY368&lt;INDEX('Lease Cycles'!$DK$29:$DQ$29,1,BY367),0,IF(BY368=INDEX('Lease Cycles'!$DK$29:$DQ$29,1,BY367),1-INDEX('Lease Cycles'!$DR$29:$DX$29,1,BY367),1))-IF(BY368=0,INDEX('Lease Cycles'!$DD$29:$DJ$29,1,BY367),0))),0)</f>
        <v>0</v>
      </c>
      <c r="BZ374" s="28">
        <f>IF(BZ369=1,IF(INDEX('Lease Cycles'!$EF$29:$EL$29,1,BZ367)=1,0,BZ370*(1-IF(BZ368&lt;INDEX('Lease Cycles'!$DK$29:$DQ$29,1,BZ367),0,IF(BZ368=INDEX('Lease Cycles'!$DK$29:$DQ$29,1,BZ367),1-INDEX('Lease Cycles'!$DR$29:$DX$29,1,BZ367),1))-IF(BZ368=0,INDEX('Lease Cycles'!$DD$29:$DJ$29,1,BZ367),0))),0)</f>
        <v>0</v>
      </c>
      <c r="CA374" s="28">
        <f>IF(CA369=1,IF(INDEX('Lease Cycles'!$EF$29:$EL$29,1,CA367)=1,0,CA370*(1-IF(CA368&lt;INDEX('Lease Cycles'!$DK$29:$DQ$29,1,CA367),0,IF(CA368=INDEX('Lease Cycles'!$DK$29:$DQ$29,1,CA367),1-INDEX('Lease Cycles'!$DR$29:$DX$29,1,CA367),1))-IF(CA368=0,INDEX('Lease Cycles'!$DD$29:$DJ$29,1,CA367),0))),0)</f>
        <v>0</v>
      </c>
      <c r="CB374" s="28">
        <f>IF(CB369=1,IF(INDEX('Lease Cycles'!$EF$29:$EL$29,1,CB367)=1,0,CB370*(1-IF(CB368&lt;INDEX('Lease Cycles'!$DK$29:$DQ$29,1,CB367),0,IF(CB368=INDEX('Lease Cycles'!$DK$29:$DQ$29,1,CB367),1-INDEX('Lease Cycles'!$DR$29:$DX$29,1,CB367),1))-IF(CB368=0,INDEX('Lease Cycles'!$DD$29:$DJ$29,1,CB367),0))),0)</f>
        <v>0</v>
      </c>
      <c r="CC374" s="28">
        <f>IF(CC369=1,IF(INDEX('Lease Cycles'!$EF$29:$EL$29,1,CC367)=1,0,CC370*(1-IF(CC368&lt;INDEX('Lease Cycles'!$DK$29:$DQ$29,1,CC367),0,IF(CC368=INDEX('Lease Cycles'!$DK$29:$DQ$29,1,CC367),1-INDEX('Lease Cycles'!$DR$29:$DX$29,1,CC367),1))-IF(CC368=0,INDEX('Lease Cycles'!$DD$29:$DJ$29,1,CC367),0))),0)</f>
        <v>0</v>
      </c>
      <c r="CD374" s="28">
        <f>IF(CD369=1,IF(INDEX('Lease Cycles'!$EF$29:$EL$29,1,CD367)=1,0,CD370*(1-IF(CD368&lt;INDEX('Lease Cycles'!$DK$29:$DQ$29,1,CD367),0,IF(CD368=INDEX('Lease Cycles'!$DK$29:$DQ$29,1,CD367),1-INDEX('Lease Cycles'!$DR$29:$DX$29,1,CD367),1))-IF(CD368=0,INDEX('Lease Cycles'!$DD$29:$DJ$29,1,CD367),0))),0)</f>
        <v>0</v>
      </c>
      <c r="CE374" s="28">
        <f>IF(CE369=1,IF(INDEX('Lease Cycles'!$EF$29:$EL$29,1,CE367)=1,0,CE370*(1-IF(CE368&lt;INDEX('Lease Cycles'!$DK$29:$DQ$29,1,CE367),0,IF(CE368=INDEX('Lease Cycles'!$DK$29:$DQ$29,1,CE367),1-INDEX('Lease Cycles'!$DR$29:$DX$29,1,CE367),1))-IF(CE368=0,INDEX('Lease Cycles'!$DD$29:$DJ$29,1,CE367),0))),0)</f>
        <v>0</v>
      </c>
      <c r="CF374" s="28">
        <f>IF(CF369=1,IF(INDEX('Lease Cycles'!$EF$29:$EL$29,1,CF367)=1,0,CF370*(1-IF(CF368&lt;INDEX('Lease Cycles'!$DK$29:$DQ$29,1,CF367),0,IF(CF368=INDEX('Lease Cycles'!$DK$29:$DQ$29,1,CF367),1-INDEX('Lease Cycles'!$DR$29:$DX$29,1,CF367),1))-IF(CF368=0,INDEX('Lease Cycles'!$DD$29:$DJ$29,1,CF367),0))),0)</f>
        <v>0</v>
      </c>
      <c r="CG374" s="28">
        <f>IF(CG369=1,IF(INDEX('Lease Cycles'!$EF$29:$EL$29,1,CG367)=1,0,CG370*(1-IF(CG368&lt;INDEX('Lease Cycles'!$DK$29:$DQ$29,1,CG367),0,IF(CG368=INDEX('Lease Cycles'!$DK$29:$DQ$29,1,CG367),1-INDEX('Lease Cycles'!$DR$29:$DX$29,1,CG367),1))-IF(CG368=0,INDEX('Lease Cycles'!$DD$29:$DJ$29,1,CG367),0))),0)</f>
        <v>0</v>
      </c>
      <c r="CH374" s="28">
        <f>IF(CH369=1,IF(INDEX('Lease Cycles'!$EF$29:$EL$29,1,CH367)=1,0,CH370*(1-IF(CH368&lt;INDEX('Lease Cycles'!$DK$29:$DQ$29,1,CH367),0,IF(CH368=INDEX('Lease Cycles'!$DK$29:$DQ$29,1,CH367),1-INDEX('Lease Cycles'!$DR$29:$DX$29,1,CH367),1))-IF(CH368=0,INDEX('Lease Cycles'!$DD$29:$DJ$29,1,CH367),0))),0)</f>
        <v>0</v>
      </c>
      <c r="CI374" s="28">
        <f>IF(CI369=1,IF(INDEX('Lease Cycles'!$EF$29:$EL$29,1,CI367)=1,0,CI370*(1-IF(CI368&lt;INDEX('Lease Cycles'!$DK$29:$DQ$29,1,CI367),0,IF(CI368=INDEX('Lease Cycles'!$DK$29:$DQ$29,1,CI367),1-INDEX('Lease Cycles'!$DR$29:$DX$29,1,CI367),1))-IF(CI368=0,INDEX('Lease Cycles'!$DD$29:$DJ$29,1,CI367),0))),0)</f>
        <v>0</v>
      </c>
      <c r="CJ374" s="28">
        <f>IF(CJ369=1,IF(INDEX('Lease Cycles'!$EF$29:$EL$29,1,CJ367)=1,0,CJ370*(1-IF(CJ368&lt;INDEX('Lease Cycles'!$DK$29:$DQ$29,1,CJ367),0,IF(CJ368=INDEX('Lease Cycles'!$DK$29:$DQ$29,1,CJ367),1-INDEX('Lease Cycles'!$DR$29:$DX$29,1,CJ367),1))-IF(CJ368=0,INDEX('Lease Cycles'!$DD$29:$DJ$29,1,CJ367),0))),0)</f>
        <v>0</v>
      </c>
      <c r="CK374" s="28">
        <f>IF(CK369=1,IF(INDEX('Lease Cycles'!$EF$29:$EL$29,1,CK367)=1,0,CK370*(1-IF(CK368&lt;INDEX('Lease Cycles'!$DK$29:$DQ$29,1,CK367),0,IF(CK368=INDEX('Lease Cycles'!$DK$29:$DQ$29,1,CK367),1-INDEX('Lease Cycles'!$DR$29:$DX$29,1,CK367),1))-IF(CK368=0,INDEX('Lease Cycles'!$DD$29:$DJ$29,1,CK367),0))),0)</f>
        <v>0</v>
      </c>
      <c r="CL374" s="28">
        <f>IF(CL369=1,IF(INDEX('Lease Cycles'!$EF$29:$EL$29,1,CL367)=1,0,CL370*(1-IF(CL368&lt;INDEX('Lease Cycles'!$DK$29:$DQ$29,1,CL367),0,IF(CL368=INDEX('Lease Cycles'!$DK$29:$DQ$29,1,CL367),1-INDEX('Lease Cycles'!$DR$29:$DX$29,1,CL367),1))-IF(CL368=0,INDEX('Lease Cycles'!$DD$29:$DJ$29,1,CL367),0))),0)</f>
        <v>0</v>
      </c>
      <c r="CM374" s="28">
        <f>IF(CM369=1,IF(INDEX('Lease Cycles'!$EF$29:$EL$29,1,CM367)=1,0,CM370*(1-IF(CM368&lt;INDEX('Lease Cycles'!$DK$29:$DQ$29,1,CM367),0,IF(CM368=INDEX('Lease Cycles'!$DK$29:$DQ$29,1,CM367),1-INDEX('Lease Cycles'!$DR$29:$DX$29,1,CM367),1))-IF(CM368=0,INDEX('Lease Cycles'!$DD$29:$DJ$29,1,CM367),0))),0)</f>
        <v>0</v>
      </c>
      <c r="CN374" s="28">
        <f>IF(CN369=1,IF(INDEX('Lease Cycles'!$EF$29:$EL$29,1,CN367)=1,0,CN370*(1-IF(CN368&lt;INDEX('Lease Cycles'!$DK$29:$DQ$29,1,CN367),0,IF(CN368=INDEX('Lease Cycles'!$DK$29:$DQ$29,1,CN367),1-INDEX('Lease Cycles'!$DR$29:$DX$29,1,CN367),1))-IF(CN368=0,INDEX('Lease Cycles'!$DD$29:$DJ$29,1,CN367),0))),0)</f>
        <v>0</v>
      </c>
      <c r="CO374" s="28">
        <f>IF(CO369=1,IF(INDEX('Lease Cycles'!$EF$29:$EL$29,1,CO367)=1,0,CO370*(1-IF(CO368&lt;INDEX('Lease Cycles'!$DK$29:$DQ$29,1,CO367),0,IF(CO368=INDEX('Lease Cycles'!$DK$29:$DQ$29,1,CO367),1-INDEX('Lease Cycles'!$DR$29:$DX$29,1,CO367),1))-IF(CO368=0,INDEX('Lease Cycles'!$DD$29:$DJ$29,1,CO367),0))),0)</f>
        <v>0</v>
      </c>
      <c r="CP374" s="28">
        <f>IF(CP369=1,IF(INDEX('Lease Cycles'!$EF$29:$EL$29,1,CP367)=1,0,CP370*(1-IF(CP368&lt;INDEX('Lease Cycles'!$DK$29:$DQ$29,1,CP367),0,IF(CP368=INDEX('Lease Cycles'!$DK$29:$DQ$29,1,CP367),1-INDEX('Lease Cycles'!$DR$29:$DX$29,1,CP367),1))-IF(CP368=0,INDEX('Lease Cycles'!$DD$29:$DJ$29,1,CP367),0))),0)</f>
        <v>0</v>
      </c>
      <c r="CQ374" s="28">
        <f>IF(CQ369=1,IF(INDEX('Lease Cycles'!$EF$29:$EL$29,1,CQ367)=1,0,CQ370*(1-IF(CQ368&lt;INDEX('Lease Cycles'!$DK$29:$DQ$29,1,CQ367),0,IF(CQ368=INDEX('Lease Cycles'!$DK$29:$DQ$29,1,CQ367),1-INDEX('Lease Cycles'!$DR$29:$DX$29,1,CQ367),1))-IF(CQ368=0,INDEX('Lease Cycles'!$DD$29:$DJ$29,1,CQ367),0))),0)</f>
        <v>0</v>
      </c>
      <c r="CR374" s="28">
        <f>IF(CR369=1,IF(INDEX('Lease Cycles'!$EF$29:$EL$29,1,CR367)=1,0,CR370*(1-IF(CR368&lt;INDEX('Lease Cycles'!$DK$29:$DQ$29,1,CR367),0,IF(CR368=INDEX('Lease Cycles'!$DK$29:$DQ$29,1,CR367),1-INDEX('Lease Cycles'!$DR$29:$DX$29,1,CR367),1))-IF(CR368=0,INDEX('Lease Cycles'!$DD$29:$DJ$29,1,CR367),0))),0)</f>
        <v>0</v>
      </c>
      <c r="CS374" s="28">
        <f>IF(CS369=1,IF(INDEX('Lease Cycles'!$EF$29:$EL$29,1,CS367)=1,0,CS370*(1-IF(CS368&lt;INDEX('Lease Cycles'!$DK$29:$DQ$29,1,CS367),0,IF(CS368=INDEX('Lease Cycles'!$DK$29:$DQ$29,1,CS367),1-INDEX('Lease Cycles'!$DR$29:$DX$29,1,CS367),1))-IF(CS368=0,INDEX('Lease Cycles'!$DD$29:$DJ$29,1,CS367),0))),0)</f>
        <v>0</v>
      </c>
      <c r="CT374" s="28">
        <f>IF(CT369=1,IF(INDEX('Lease Cycles'!$EF$29:$EL$29,1,CT367)=1,0,CT370*(1-IF(CT368&lt;INDEX('Lease Cycles'!$DK$29:$DQ$29,1,CT367),0,IF(CT368=INDEX('Lease Cycles'!$DK$29:$DQ$29,1,CT367),1-INDEX('Lease Cycles'!$DR$29:$DX$29,1,CT367),1))-IF(CT368=0,INDEX('Lease Cycles'!$DD$29:$DJ$29,1,CT367),0))),0)</f>
        <v>0</v>
      </c>
      <c r="CU374" s="28">
        <f>IF(CU369=1,IF(INDEX('Lease Cycles'!$EF$29:$EL$29,1,CU367)=1,0,CU370*(1-IF(CU368&lt;INDEX('Lease Cycles'!$DK$29:$DQ$29,1,CU367),0,IF(CU368=INDEX('Lease Cycles'!$DK$29:$DQ$29,1,CU367),1-INDEX('Lease Cycles'!$DR$29:$DX$29,1,CU367),1))-IF(CU368=0,INDEX('Lease Cycles'!$DD$29:$DJ$29,1,CU367),0))),0)</f>
        <v>0</v>
      </c>
      <c r="CV374" s="28">
        <f>IF(CV369=1,IF(INDEX('Lease Cycles'!$EF$29:$EL$29,1,CV367)=1,0,CV370*(1-IF(CV368&lt;INDEX('Lease Cycles'!$DK$29:$DQ$29,1,CV367),0,IF(CV368=INDEX('Lease Cycles'!$DK$29:$DQ$29,1,CV367),1-INDEX('Lease Cycles'!$DR$29:$DX$29,1,CV367),1))-IF(CV368=0,INDEX('Lease Cycles'!$DD$29:$DJ$29,1,CV367),0))),0)</f>
        <v>0</v>
      </c>
      <c r="CW374" s="28">
        <f>IF(CW369=1,IF(INDEX('Lease Cycles'!$EF$29:$EL$29,1,CW367)=1,0,CW370*(1-IF(CW368&lt;INDEX('Lease Cycles'!$DK$29:$DQ$29,1,CW367),0,IF(CW368=INDEX('Lease Cycles'!$DK$29:$DQ$29,1,CW367),1-INDEX('Lease Cycles'!$DR$29:$DX$29,1,CW367),1))-IF(CW368=0,INDEX('Lease Cycles'!$DD$29:$DJ$29,1,CW367),0))),0)</f>
        <v>0</v>
      </c>
      <c r="CX374" s="28">
        <f>IF(CX369=1,IF(INDEX('Lease Cycles'!$EF$29:$EL$29,1,CX367)=1,0,CX370*(1-IF(CX368&lt;INDEX('Lease Cycles'!$DK$29:$DQ$29,1,CX367),0,IF(CX368=INDEX('Lease Cycles'!$DK$29:$DQ$29,1,CX367),1-INDEX('Lease Cycles'!$DR$29:$DX$29,1,CX367),1))-IF(CX368=0,INDEX('Lease Cycles'!$DD$29:$DJ$29,1,CX367),0))),0)</f>
        <v>0</v>
      </c>
      <c r="CY374" s="28">
        <f>IF(CY369=1,IF(INDEX('Lease Cycles'!$EF$29:$EL$29,1,CY367)=1,0,CY370*(1-IF(CY368&lt;INDEX('Lease Cycles'!$DK$29:$DQ$29,1,CY367),0,IF(CY368=INDEX('Lease Cycles'!$DK$29:$DQ$29,1,CY367),1-INDEX('Lease Cycles'!$DR$29:$DX$29,1,CY367),1))-IF(CY368=0,INDEX('Lease Cycles'!$DD$29:$DJ$29,1,CY367),0))),0)</f>
        <v>0</v>
      </c>
      <c r="CZ374" s="28">
        <f>IF(CZ369=1,IF(INDEX('Lease Cycles'!$EF$29:$EL$29,1,CZ367)=1,0,CZ370*(1-IF(CZ368&lt;INDEX('Lease Cycles'!$DK$29:$DQ$29,1,CZ367),0,IF(CZ368=INDEX('Lease Cycles'!$DK$29:$DQ$29,1,CZ367),1-INDEX('Lease Cycles'!$DR$29:$DX$29,1,CZ367),1))-IF(CZ368=0,INDEX('Lease Cycles'!$DD$29:$DJ$29,1,CZ367),0))),0)</f>
        <v>0</v>
      </c>
      <c r="DA374" s="28">
        <f>IF(DA369=1,IF(INDEX('Lease Cycles'!$EF$29:$EL$29,1,DA367)=1,0,DA370*(1-IF(DA368&lt;INDEX('Lease Cycles'!$DK$29:$DQ$29,1,DA367),0,IF(DA368=INDEX('Lease Cycles'!$DK$29:$DQ$29,1,DA367),1-INDEX('Lease Cycles'!$DR$29:$DX$29,1,DA367),1))-IF(DA368=0,INDEX('Lease Cycles'!$DD$29:$DJ$29,1,DA367),0))),0)</f>
        <v>0</v>
      </c>
      <c r="DB374" s="28">
        <f>IF(DB369=1,IF(INDEX('Lease Cycles'!$EF$29:$EL$29,1,DB367)=1,0,DB370*(1-IF(DB368&lt;INDEX('Lease Cycles'!$DK$29:$DQ$29,1,DB367),0,IF(DB368=INDEX('Lease Cycles'!$DK$29:$DQ$29,1,DB367),1-INDEX('Lease Cycles'!$DR$29:$DX$29,1,DB367),1))-IF(DB368=0,INDEX('Lease Cycles'!$DD$29:$DJ$29,1,DB367),0))),0)</f>
        <v>0</v>
      </c>
      <c r="DC374" s="28">
        <f>IF(DC369=1,IF(INDEX('Lease Cycles'!$EF$29:$EL$29,1,DC367)=1,0,DC370*(1-IF(DC368&lt;INDEX('Lease Cycles'!$DK$29:$DQ$29,1,DC367),0,IF(DC368=INDEX('Lease Cycles'!$DK$29:$DQ$29,1,DC367),1-INDEX('Lease Cycles'!$DR$29:$DX$29,1,DC367),1))-IF(DC368=0,INDEX('Lease Cycles'!$DD$29:$DJ$29,1,DC367),0))),0)</f>
        <v>0</v>
      </c>
      <c r="DD374" s="28">
        <f>IF(DD369=1,IF(INDEX('Lease Cycles'!$EF$29:$EL$29,1,DD367)=1,0,DD370*(1-IF(DD368&lt;INDEX('Lease Cycles'!$DK$29:$DQ$29,1,DD367),0,IF(DD368=INDEX('Lease Cycles'!$DK$29:$DQ$29,1,DD367),1-INDEX('Lease Cycles'!$DR$29:$DX$29,1,DD367),1))-IF(DD368=0,INDEX('Lease Cycles'!$DD$29:$DJ$29,1,DD367),0))),0)</f>
        <v>0</v>
      </c>
      <c r="DE374" s="28">
        <f>IF(DE369=1,IF(INDEX('Lease Cycles'!$EF$29:$EL$29,1,DE367)=1,0,DE370*(1-IF(DE368&lt;INDEX('Lease Cycles'!$DK$29:$DQ$29,1,DE367),0,IF(DE368=INDEX('Lease Cycles'!$DK$29:$DQ$29,1,DE367),1-INDEX('Lease Cycles'!$DR$29:$DX$29,1,DE367),1))-IF(DE368=0,INDEX('Lease Cycles'!$DD$29:$DJ$29,1,DE367),0))),0)</f>
        <v>0</v>
      </c>
      <c r="DF374" s="28">
        <f>IF(DF369=1,IF(INDEX('Lease Cycles'!$EF$29:$EL$29,1,DF367)=1,0,DF370*(1-IF(DF368&lt;INDEX('Lease Cycles'!$DK$29:$DQ$29,1,DF367),0,IF(DF368=INDEX('Lease Cycles'!$DK$29:$DQ$29,1,DF367),1-INDEX('Lease Cycles'!$DR$29:$DX$29,1,DF367),1))-IF(DF368=0,INDEX('Lease Cycles'!$DD$29:$DJ$29,1,DF367),0))),0)</f>
        <v>0</v>
      </c>
      <c r="DG374" s="28">
        <f>IF(DG369=1,IF(INDEX('Lease Cycles'!$EF$29:$EL$29,1,DG367)=1,0,DG370*(1-IF(DG368&lt;INDEX('Lease Cycles'!$DK$29:$DQ$29,1,DG367),0,IF(DG368=INDEX('Lease Cycles'!$DK$29:$DQ$29,1,DG367),1-INDEX('Lease Cycles'!$DR$29:$DX$29,1,DG367),1))-IF(DG368=0,INDEX('Lease Cycles'!$DD$29:$DJ$29,1,DG367),0))),0)</f>
        <v>0</v>
      </c>
      <c r="DH374" s="28">
        <f>IF(DH369=1,IF(INDEX('Lease Cycles'!$EF$29:$EL$29,1,DH367)=1,0,DH370*(1-IF(DH368&lt;INDEX('Lease Cycles'!$DK$29:$DQ$29,1,DH367),0,IF(DH368=INDEX('Lease Cycles'!$DK$29:$DQ$29,1,DH367),1-INDEX('Lease Cycles'!$DR$29:$DX$29,1,DH367),1))-IF(DH368=0,INDEX('Lease Cycles'!$DD$29:$DJ$29,1,DH367),0))),0)</f>
        <v>0</v>
      </c>
      <c r="DI374" s="28">
        <f>IF(DI369=1,IF(INDEX('Lease Cycles'!$EF$29:$EL$29,1,DI367)=1,0,DI370*(1-IF(DI368&lt;INDEX('Lease Cycles'!$DK$29:$DQ$29,1,DI367),0,IF(DI368=INDEX('Lease Cycles'!$DK$29:$DQ$29,1,DI367),1-INDEX('Lease Cycles'!$DR$29:$DX$29,1,DI367),1))-IF(DI368=0,INDEX('Lease Cycles'!$DD$29:$DJ$29,1,DI367),0))),0)</f>
        <v>0</v>
      </c>
      <c r="DJ374" s="28">
        <f>IF(DJ369=1,IF(INDEX('Lease Cycles'!$EF$29:$EL$29,1,DJ367)=1,0,DJ370*(1-IF(DJ368&lt;INDEX('Lease Cycles'!$DK$29:$DQ$29,1,DJ367),0,IF(DJ368=INDEX('Lease Cycles'!$DK$29:$DQ$29,1,DJ367),1-INDEX('Lease Cycles'!$DR$29:$DX$29,1,DJ367),1))-IF(DJ368=0,INDEX('Lease Cycles'!$DD$29:$DJ$29,1,DJ367),0))),0)</f>
        <v>0</v>
      </c>
      <c r="DK374" s="28">
        <f>IF(DK369=1,IF(INDEX('Lease Cycles'!$EF$29:$EL$29,1,DK367)=1,0,DK370*(1-IF(DK368&lt;INDEX('Lease Cycles'!$DK$29:$DQ$29,1,DK367),0,IF(DK368=INDEX('Lease Cycles'!$DK$29:$DQ$29,1,DK367),1-INDEX('Lease Cycles'!$DR$29:$DX$29,1,DK367),1))-IF(DK368=0,INDEX('Lease Cycles'!$DD$29:$DJ$29,1,DK367),0))),0)</f>
        <v>0</v>
      </c>
      <c r="DL374" s="28">
        <f>IF(DL369=1,IF(INDEX('Lease Cycles'!$EF$29:$EL$29,1,DL367)=1,0,DL370*(1-IF(DL368&lt;INDEX('Lease Cycles'!$DK$29:$DQ$29,1,DL367),0,IF(DL368=INDEX('Lease Cycles'!$DK$29:$DQ$29,1,DL367),1-INDEX('Lease Cycles'!$DR$29:$DX$29,1,DL367),1))-IF(DL368=0,INDEX('Lease Cycles'!$DD$29:$DJ$29,1,DL367),0))),0)</f>
        <v>0</v>
      </c>
      <c r="DM374" s="28">
        <f>IF(DM369=1,IF(INDEX('Lease Cycles'!$EF$29:$EL$29,1,DM367)=1,0,DM370*(1-IF(DM368&lt;INDEX('Lease Cycles'!$DK$29:$DQ$29,1,DM367),0,IF(DM368=INDEX('Lease Cycles'!$DK$29:$DQ$29,1,DM367),1-INDEX('Lease Cycles'!$DR$29:$DX$29,1,DM367),1))-IF(DM368=0,INDEX('Lease Cycles'!$DD$29:$DJ$29,1,DM367),0))),0)</f>
        <v>0</v>
      </c>
      <c r="DN374" s="28">
        <f>IF(DN369=1,IF(INDEX('Lease Cycles'!$EF$29:$EL$29,1,DN367)=1,0,DN370*(1-IF(DN368&lt;INDEX('Lease Cycles'!$DK$29:$DQ$29,1,DN367),0,IF(DN368=INDEX('Lease Cycles'!$DK$29:$DQ$29,1,DN367),1-INDEX('Lease Cycles'!$DR$29:$DX$29,1,DN367),1))-IF(DN368=0,INDEX('Lease Cycles'!$DD$29:$DJ$29,1,DN367),0))),0)</f>
        <v>0</v>
      </c>
      <c r="DO374" s="28">
        <f>IF(DO369=1,IF(INDEX('Lease Cycles'!$EF$29:$EL$29,1,DO367)=1,0,DO370*(1-IF(DO368&lt;INDEX('Lease Cycles'!$DK$29:$DQ$29,1,DO367),0,IF(DO368=INDEX('Lease Cycles'!$DK$29:$DQ$29,1,DO367),1-INDEX('Lease Cycles'!$DR$29:$DX$29,1,DO367),1))-IF(DO368=0,INDEX('Lease Cycles'!$DD$29:$DJ$29,1,DO367),0))),0)</f>
        <v>0</v>
      </c>
      <c r="DP374" s="28">
        <f>IF(DP369=1,IF(INDEX('Lease Cycles'!$EF$29:$EL$29,1,DP367)=1,0,DP370*(1-IF(DP368&lt;INDEX('Lease Cycles'!$DK$29:$DQ$29,1,DP367),0,IF(DP368=INDEX('Lease Cycles'!$DK$29:$DQ$29,1,DP367),1-INDEX('Lease Cycles'!$DR$29:$DX$29,1,DP367),1))-IF(DP368=0,INDEX('Lease Cycles'!$DD$29:$DJ$29,1,DP367),0))),0)</f>
        <v>0</v>
      </c>
      <c r="DQ374" s="28">
        <f>IF(DQ369=1,IF(INDEX('Lease Cycles'!$EF$29:$EL$29,1,DQ367)=1,0,DQ370*(1-IF(DQ368&lt;INDEX('Lease Cycles'!$DK$29:$DQ$29,1,DQ367),0,IF(DQ368=INDEX('Lease Cycles'!$DK$29:$DQ$29,1,DQ367),1-INDEX('Lease Cycles'!$DR$29:$DX$29,1,DQ367),1))-IF(DQ368=0,INDEX('Lease Cycles'!$DD$29:$DJ$29,1,DQ367),0))),0)</f>
        <v>0</v>
      </c>
      <c r="DR374" s="28">
        <f>IF(DR369=1,IF(INDEX('Lease Cycles'!$EF$29:$EL$29,1,DR367)=1,0,DR370*(1-IF(DR368&lt;INDEX('Lease Cycles'!$DK$29:$DQ$29,1,DR367),0,IF(DR368=INDEX('Lease Cycles'!$DK$29:$DQ$29,1,DR367),1-INDEX('Lease Cycles'!$DR$29:$DX$29,1,DR367),1))-IF(DR368=0,INDEX('Lease Cycles'!$DD$29:$DJ$29,1,DR367),0))),0)</f>
        <v>0</v>
      </c>
      <c r="DS374" s="28">
        <f>IF(DS369=1,IF(INDEX('Lease Cycles'!$EF$29:$EL$29,1,DS367)=1,0,DS370*(1-IF(DS368&lt;INDEX('Lease Cycles'!$DK$29:$DQ$29,1,DS367),0,IF(DS368=INDEX('Lease Cycles'!$DK$29:$DQ$29,1,DS367),1-INDEX('Lease Cycles'!$DR$29:$DX$29,1,DS367),1))-IF(DS368=0,INDEX('Lease Cycles'!$DD$29:$DJ$29,1,DS367),0))),0)</f>
        <v>0</v>
      </c>
      <c r="DT374" s="28">
        <f>IF(DT369=1,IF(INDEX('Lease Cycles'!$EF$29:$EL$29,1,DT367)=1,0,DT370*(1-IF(DT368&lt;INDEX('Lease Cycles'!$DK$29:$DQ$29,1,DT367),0,IF(DT368=INDEX('Lease Cycles'!$DK$29:$DQ$29,1,DT367),1-INDEX('Lease Cycles'!$DR$29:$DX$29,1,DT367),1))-IF(DT368=0,INDEX('Lease Cycles'!$DD$29:$DJ$29,1,DT367),0))),0)</f>
        <v>0</v>
      </c>
      <c r="DU374" s="28">
        <f>IF(DU369=1,IF(INDEX('Lease Cycles'!$EF$29:$EL$29,1,DU367)=1,0,DU370*(1-IF(DU368&lt;INDEX('Lease Cycles'!$DK$29:$DQ$29,1,DU367),0,IF(DU368=INDEX('Lease Cycles'!$DK$29:$DQ$29,1,DU367),1-INDEX('Lease Cycles'!$DR$29:$DX$29,1,DU367),1))-IF(DU368=0,INDEX('Lease Cycles'!$DD$29:$DJ$29,1,DU367),0))),0)</f>
        <v>0</v>
      </c>
      <c r="DV374" s="28">
        <f>IF(DV369=1,IF(INDEX('Lease Cycles'!$EF$29:$EL$29,1,DV367)=1,0,DV370*(1-IF(DV368&lt;INDEX('Lease Cycles'!$DK$29:$DQ$29,1,DV367),0,IF(DV368=INDEX('Lease Cycles'!$DK$29:$DQ$29,1,DV367),1-INDEX('Lease Cycles'!$DR$29:$DX$29,1,DV367),1))-IF(DV368=0,INDEX('Lease Cycles'!$DD$29:$DJ$29,1,DV367),0))),0)</f>
        <v>0</v>
      </c>
      <c r="DW374" s="28">
        <f>IF(DW369=1,IF(INDEX('Lease Cycles'!$EF$29:$EL$29,1,DW367)=1,0,DW370*(1-IF(DW368&lt;INDEX('Lease Cycles'!$DK$29:$DQ$29,1,DW367),0,IF(DW368=INDEX('Lease Cycles'!$DK$29:$DQ$29,1,DW367),1-INDEX('Lease Cycles'!$DR$29:$DX$29,1,DW367),1))-IF(DW368=0,INDEX('Lease Cycles'!$DD$29:$DJ$29,1,DW367),0))),0)</f>
        <v>0</v>
      </c>
      <c r="DX374" s="28">
        <f>IF(DX369=1,IF(INDEX('Lease Cycles'!$EF$29:$EL$29,1,DX367)=1,0,DX370*(1-IF(DX368&lt;INDEX('Lease Cycles'!$DK$29:$DQ$29,1,DX367),0,IF(DX368=INDEX('Lease Cycles'!$DK$29:$DQ$29,1,DX367),1-INDEX('Lease Cycles'!$DR$29:$DX$29,1,DX367),1))-IF(DX368=0,INDEX('Lease Cycles'!$DD$29:$DJ$29,1,DX367),0))),0)</f>
        <v>0</v>
      </c>
      <c r="DY374" s="28">
        <f>IF(DY369=1,IF(INDEX('Lease Cycles'!$EF$29:$EL$29,1,DY367)=1,0,DY370*(1-IF(DY368&lt;INDEX('Lease Cycles'!$DK$29:$DQ$29,1,DY367),0,IF(DY368=INDEX('Lease Cycles'!$DK$29:$DQ$29,1,DY367),1-INDEX('Lease Cycles'!$DR$29:$DX$29,1,DY367),1))-IF(DY368=0,INDEX('Lease Cycles'!$DD$29:$DJ$29,1,DY367),0))),0)</f>
        <v>0</v>
      </c>
      <c r="DZ374" s="28">
        <f>IF(DZ369=1,IF(INDEX('Lease Cycles'!$EF$29:$EL$29,1,DZ367)=1,0,DZ370*(1-IF(DZ368&lt;INDEX('Lease Cycles'!$DK$29:$DQ$29,1,DZ367),0,IF(DZ368=INDEX('Lease Cycles'!$DK$29:$DQ$29,1,DZ367),1-INDEX('Lease Cycles'!$DR$29:$DX$29,1,DZ367),1))-IF(DZ368=0,INDEX('Lease Cycles'!$DD$29:$DJ$29,1,DZ367),0))),0)</f>
        <v>0</v>
      </c>
      <c r="EA374" s="28">
        <f>IF(EA369=1,IF(INDEX('Lease Cycles'!$EF$29:$EL$29,1,EA367)=1,0,EA370*(1-IF(EA368&lt;INDEX('Lease Cycles'!$DK$29:$DQ$29,1,EA367),0,IF(EA368=INDEX('Lease Cycles'!$DK$29:$DQ$29,1,EA367),1-INDEX('Lease Cycles'!$DR$29:$DX$29,1,EA367),1))-IF(EA368=0,INDEX('Lease Cycles'!$DD$29:$DJ$29,1,EA367),0))),0)</f>
        <v>0</v>
      </c>
      <c r="EB374" s="28">
        <f>IF(EB369=1,IF(INDEX('Lease Cycles'!$EF$29:$EL$29,1,EB367)=1,0,EB370*(1-IF(EB368&lt;INDEX('Lease Cycles'!$DK$29:$DQ$29,1,EB367),0,IF(EB368=INDEX('Lease Cycles'!$DK$29:$DQ$29,1,EB367),1-INDEX('Lease Cycles'!$DR$29:$DX$29,1,EB367),1))-IF(EB368=0,INDEX('Lease Cycles'!$DD$29:$DJ$29,1,EB367),0))),0)</f>
        <v>0</v>
      </c>
      <c r="EC374" s="28">
        <f>IF(EC369=1,IF(INDEX('Lease Cycles'!$EF$29:$EL$29,1,EC367)=1,0,EC370*(1-IF(EC368&lt;INDEX('Lease Cycles'!$DK$29:$DQ$29,1,EC367),0,IF(EC368=INDEX('Lease Cycles'!$DK$29:$DQ$29,1,EC367),1-INDEX('Lease Cycles'!$DR$29:$DX$29,1,EC367),1))-IF(EC368=0,INDEX('Lease Cycles'!$DD$29:$DJ$29,1,EC367),0))),0)</f>
        <v>0</v>
      </c>
      <c r="ED374" s="28">
        <f>IF(ED369=1,IF(INDEX('Lease Cycles'!$EF$29:$EL$29,1,ED367)=1,0,ED370*(1-IF(ED368&lt;INDEX('Lease Cycles'!$DK$29:$DQ$29,1,ED367),0,IF(ED368=INDEX('Lease Cycles'!$DK$29:$DQ$29,1,ED367),1-INDEX('Lease Cycles'!$DR$29:$DX$29,1,ED367),1))-IF(ED368=0,INDEX('Lease Cycles'!$DD$29:$DJ$29,1,ED367),0))),0)</f>
        <v>0</v>
      </c>
      <c r="EE374" s="28">
        <f>IF(EE369=1,IF(INDEX('Lease Cycles'!$EF$29:$EL$29,1,EE367)=1,0,EE370*(1-IF(EE368&lt;INDEX('Lease Cycles'!$DK$29:$DQ$29,1,EE367),0,IF(EE368=INDEX('Lease Cycles'!$DK$29:$DQ$29,1,EE367),1-INDEX('Lease Cycles'!$DR$29:$DX$29,1,EE367),1))-IF(EE368=0,INDEX('Lease Cycles'!$DD$29:$DJ$29,1,EE367),0))),0)</f>
        <v>0</v>
      </c>
      <c r="EF374" s="28">
        <f>IF(EF369=1,IF(INDEX('Lease Cycles'!$EF$29:$EL$29,1,EF367)=1,0,EF370*(1-IF(EF368&lt;INDEX('Lease Cycles'!$DK$29:$DQ$29,1,EF367),0,IF(EF368=INDEX('Lease Cycles'!$DK$29:$DQ$29,1,EF367),1-INDEX('Lease Cycles'!$DR$29:$DX$29,1,EF367),1))-IF(EF368=0,INDEX('Lease Cycles'!$DD$29:$DJ$29,1,EF367),0))),0)</f>
        <v>0</v>
      </c>
      <c r="EG374" s="28">
        <f>IF(EG369=1,IF(INDEX('Lease Cycles'!$EF$29:$EL$29,1,EG367)=1,0,EG370*(1-IF(EG368&lt;INDEX('Lease Cycles'!$DK$29:$DQ$29,1,EG367),0,IF(EG368=INDEX('Lease Cycles'!$DK$29:$DQ$29,1,EG367),1-INDEX('Lease Cycles'!$DR$29:$DX$29,1,EG367),1))-IF(EG368=0,INDEX('Lease Cycles'!$DD$29:$DJ$29,1,EG367),0))),0)</f>
        <v>0</v>
      </c>
      <c r="EH374" s="28">
        <f>IF(EH369=1,IF(INDEX('Lease Cycles'!$EF$29:$EL$29,1,EH367)=1,0,EH370*(1-IF(EH368&lt;INDEX('Lease Cycles'!$DK$29:$DQ$29,1,EH367),0,IF(EH368=INDEX('Lease Cycles'!$DK$29:$DQ$29,1,EH367),1-INDEX('Lease Cycles'!$DR$29:$DX$29,1,EH367),1))-IF(EH368=0,INDEX('Lease Cycles'!$DD$29:$DJ$29,1,EH367),0))),0)</f>
        <v>0</v>
      </c>
      <c r="EI374" s="28">
        <f>IF(EI369=1,IF(INDEX('Lease Cycles'!$EF$29:$EL$29,1,EI367)=1,0,EI370*(1-IF(EI368&lt;INDEX('Lease Cycles'!$DK$29:$DQ$29,1,EI367),0,IF(EI368=INDEX('Lease Cycles'!$DK$29:$DQ$29,1,EI367),1-INDEX('Lease Cycles'!$DR$29:$DX$29,1,EI367),1))-IF(EI368=0,INDEX('Lease Cycles'!$DD$29:$DJ$29,1,EI367),0))),0)</f>
        <v>0</v>
      </c>
      <c r="EJ374" s="28">
        <f>IF(EJ369=1,IF(INDEX('Lease Cycles'!$EF$29:$EL$29,1,EJ367)=1,0,EJ370*(1-IF(EJ368&lt;INDEX('Lease Cycles'!$DK$29:$DQ$29,1,EJ367),0,IF(EJ368=INDEX('Lease Cycles'!$DK$29:$DQ$29,1,EJ367),1-INDEX('Lease Cycles'!$DR$29:$DX$29,1,EJ367),1))-IF(EJ368=0,INDEX('Lease Cycles'!$DD$29:$DJ$29,1,EJ367),0))),0)</f>
        <v>0</v>
      </c>
      <c r="EK374" s="28">
        <f>IF(EK369=1,IF(INDEX('Lease Cycles'!$EF$29:$EL$29,1,EK367)=1,0,EK370*(1-IF(EK368&lt;INDEX('Lease Cycles'!$DK$29:$DQ$29,1,EK367),0,IF(EK368=INDEX('Lease Cycles'!$DK$29:$DQ$29,1,EK367),1-INDEX('Lease Cycles'!$DR$29:$DX$29,1,EK367),1))-IF(EK368=0,INDEX('Lease Cycles'!$DD$29:$DJ$29,1,EK367),0))),0)</f>
        <v>0</v>
      </c>
      <c r="EL374" s="28">
        <f>IF(EL369=1,IF(INDEX('Lease Cycles'!$EF$29:$EL$29,1,EL367)=1,0,EL370*(1-IF(EL368&lt;INDEX('Lease Cycles'!$DK$29:$DQ$29,1,EL367),0,IF(EL368=INDEX('Lease Cycles'!$DK$29:$DQ$29,1,EL367),1-INDEX('Lease Cycles'!$DR$29:$DX$29,1,EL367),1))-IF(EL368=0,INDEX('Lease Cycles'!$DD$29:$DJ$29,1,EL367),0))),0)</f>
        <v>0</v>
      </c>
      <c r="EM374" s="28">
        <f>IF(EM369=1,IF(INDEX('Lease Cycles'!$EF$29:$EL$29,1,EM367)=1,0,EM370*(1-IF(EM368&lt;INDEX('Lease Cycles'!$DK$29:$DQ$29,1,EM367),0,IF(EM368=INDEX('Lease Cycles'!$DK$29:$DQ$29,1,EM367),1-INDEX('Lease Cycles'!$DR$29:$DX$29,1,EM367),1))-IF(EM368=0,INDEX('Lease Cycles'!$DD$29:$DJ$29,1,EM367),0))),0)</f>
        <v>0</v>
      </c>
      <c r="EN374" s="28">
        <f>IF(EN369=1,IF(INDEX('Lease Cycles'!$EF$29:$EL$29,1,EN367)=1,0,EN370*(1-IF(EN368&lt;INDEX('Lease Cycles'!$DK$29:$DQ$29,1,EN367),0,IF(EN368=INDEX('Lease Cycles'!$DK$29:$DQ$29,1,EN367),1-INDEX('Lease Cycles'!$DR$29:$DX$29,1,EN367),1))-IF(EN368=0,INDEX('Lease Cycles'!$DD$29:$DJ$29,1,EN367),0))),0)</f>
        <v>0</v>
      </c>
      <c r="EO374" s="28">
        <f>IF(EO369=1,IF(INDEX('Lease Cycles'!$EF$29:$EL$29,1,EO367)=1,0,EO370*(1-IF(EO368&lt;INDEX('Lease Cycles'!$DK$29:$DQ$29,1,EO367),0,IF(EO368=INDEX('Lease Cycles'!$DK$29:$DQ$29,1,EO367),1-INDEX('Lease Cycles'!$DR$29:$DX$29,1,EO367),1))-IF(EO368=0,INDEX('Lease Cycles'!$DD$29:$DJ$29,1,EO367),0))),0)</f>
        <v>0</v>
      </c>
      <c r="EP374" s="28">
        <f>IF(EP369=1,IF(INDEX('Lease Cycles'!$EF$29:$EL$29,1,EP367)=1,0,EP370*(1-IF(EP368&lt;INDEX('Lease Cycles'!$DK$29:$DQ$29,1,EP367),0,IF(EP368=INDEX('Lease Cycles'!$DK$29:$DQ$29,1,EP367),1-INDEX('Lease Cycles'!$DR$29:$DX$29,1,EP367),1))-IF(EP368=0,INDEX('Lease Cycles'!$DD$29:$DJ$29,1,EP367),0))),0)</f>
        <v>0</v>
      </c>
      <c r="EQ374" s="28">
        <f>IF(EQ369=1,IF(INDEX('Lease Cycles'!$EF$29:$EL$29,1,EQ367)=1,0,EQ370*(1-IF(EQ368&lt;INDEX('Lease Cycles'!$DK$29:$DQ$29,1,EQ367),0,IF(EQ368=INDEX('Lease Cycles'!$DK$29:$DQ$29,1,EQ367),1-INDEX('Lease Cycles'!$DR$29:$DX$29,1,EQ367),1))-IF(EQ368=0,INDEX('Lease Cycles'!$DD$29:$DJ$29,1,EQ367),0))),0)</f>
        <v>0</v>
      </c>
      <c r="ER374" s="28">
        <f>IF(ER369=1,IF(INDEX('Lease Cycles'!$EF$29:$EL$29,1,ER367)=1,0,ER370*(1-IF(ER368&lt;INDEX('Lease Cycles'!$DK$29:$DQ$29,1,ER367),0,IF(ER368=INDEX('Lease Cycles'!$DK$29:$DQ$29,1,ER367),1-INDEX('Lease Cycles'!$DR$29:$DX$29,1,ER367),1))-IF(ER368=0,INDEX('Lease Cycles'!$DD$29:$DJ$29,1,ER367),0))),0)</f>
        <v>0</v>
      </c>
      <c r="ES374" s="28">
        <f>IF(ES369=1,IF(INDEX('Lease Cycles'!$EF$29:$EL$29,1,ES367)=1,0,ES370*(1-IF(ES368&lt;INDEX('Lease Cycles'!$DK$29:$DQ$29,1,ES367),0,IF(ES368=INDEX('Lease Cycles'!$DK$29:$DQ$29,1,ES367),1-INDEX('Lease Cycles'!$DR$29:$DX$29,1,ES367),1))-IF(ES368=0,INDEX('Lease Cycles'!$DD$29:$DJ$29,1,ES367),0))),0)</f>
        <v>0</v>
      </c>
      <c r="ET374" s="28">
        <f>IF(ET369=1,IF(INDEX('Lease Cycles'!$EF$29:$EL$29,1,ET367)=1,0,ET370*(1-IF(ET368&lt;INDEX('Lease Cycles'!$DK$29:$DQ$29,1,ET367),0,IF(ET368=INDEX('Lease Cycles'!$DK$29:$DQ$29,1,ET367),1-INDEX('Lease Cycles'!$DR$29:$DX$29,1,ET367),1))-IF(ET368=0,INDEX('Lease Cycles'!$DD$29:$DJ$29,1,ET367),0))),0)</f>
        <v>0</v>
      </c>
    </row>
    <row r="375">
      <c r="A375" s="103">
        <v>22</v>
      </c>
      <c r="B375" s="23" t="str">
        <f>IF('Lease Cycles'!$B$29="","(empty slot)",'Lease Cycles'!$B$29)</f>
        <v>(empty slot)</v>
      </c>
      <c r="C375" s="23" t="s">
        <v>683</v>
      </c>
      <c r="D375" s="104" t="s">
        <v>684</v>
      </c>
      <c r="E375" s="25">
        <f>'Lease Cycles'!$AL$29</f>
        <v>0</v>
      </c>
      <c r="G375" s="24">
        <f>SUM(S375:AD375)</f>
        <v>0</v>
      </c>
      <c r="H375" s="24">
        <f>SUM(AE375:AP375)</f>
        <v>0</v>
      </c>
      <c r="I375" s="24">
        <f>SUM(AQ375:BB375)</f>
        <v>0</v>
      </c>
      <c r="J375" s="24">
        <f>SUM(BC375:BN375)</f>
        <v>0</v>
      </c>
      <c r="K375" s="24">
        <f>SUM(BO375:BZ375)</f>
        <v>0</v>
      </c>
      <c r="L375" s="24">
        <f>SUM(CA375:CL375)</f>
        <v>0</v>
      </c>
      <c r="M375" s="24">
        <f>SUM(CM375:CX375)</f>
        <v>0</v>
      </c>
      <c r="N375" s="24">
        <f>SUM(CY375:DJ375)</f>
        <v>0</v>
      </c>
      <c r="O375" s="24">
        <f>SUM(DK375:DV375)</f>
        <v>0</v>
      </c>
      <c r="P375" s="24">
        <f>SUM(DW375:EH375)</f>
        <v>0</v>
      </c>
      <c r="Q375" s="24">
        <f>SUM(EI375:ET375)</f>
        <v>0</v>
      </c>
      <c r="S375" s="24">
        <f>IF(S369=1,'Lease Cycles'!$D$29*IF(INDEX('Lease Cycles'!$EF$29:$EL$29,1,S367)=1,(1-'Lease Cycles'!$AJ$29)*INDEX('Lease Cycles'!$EM$29:$ES$29,1,S367)+(1-'Lease Cycles'!$BE$29)*IF(S368&lt;INDEX('Lease Cycles'!$FA$29:$FG$29,1,S367),0,1-INDEX('Lease Cycles'!$EM$29:$ES$29,1,S367)),IF(OR(INDEX('Lease Cycles'!$DY$29:$EE$29,1,S367)=1,S368&gt;0),1,1-INDEX('Lease Cycles'!$DD$29:$DJ$29,1,S367))*((1-'Lease Cycles'!$AJ$29)*INDEX('Lease Cycles'!$FO$29:$FU$29,1,S367)+(1-'Lease Cycles'!$BE$29)*(1-INDEX('Lease Cycles'!$FO$29:$FU$29,1,S367)))),0)</f>
        <v>0</v>
      </c>
      <c r="T375" s="24">
        <f>IF(T369=1,'Lease Cycles'!$D$29*IF(INDEX('Lease Cycles'!$EF$29:$EL$29,1,T367)=1,(1-'Lease Cycles'!$AJ$29)*INDEX('Lease Cycles'!$EM$29:$ES$29,1,T367)+(1-'Lease Cycles'!$BE$29)*IF(T368&lt;INDEX('Lease Cycles'!$FA$29:$FG$29,1,T367),0,1-INDEX('Lease Cycles'!$EM$29:$ES$29,1,T367)),IF(OR(INDEX('Lease Cycles'!$DY$29:$EE$29,1,T367)=1,T368&gt;0),1,1-INDEX('Lease Cycles'!$DD$29:$DJ$29,1,T367))*((1-'Lease Cycles'!$AJ$29)*INDEX('Lease Cycles'!$FO$29:$FU$29,1,T367)+(1-'Lease Cycles'!$BE$29)*(1-INDEX('Lease Cycles'!$FO$29:$FU$29,1,T367)))),0)</f>
        <v>0</v>
      </c>
      <c r="U375" s="24">
        <f>IF(U369=1,'Lease Cycles'!$D$29*IF(INDEX('Lease Cycles'!$EF$29:$EL$29,1,U367)=1,(1-'Lease Cycles'!$AJ$29)*INDEX('Lease Cycles'!$EM$29:$ES$29,1,U367)+(1-'Lease Cycles'!$BE$29)*IF(U368&lt;INDEX('Lease Cycles'!$FA$29:$FG$29,1,U367),0,1-INDEX('Lease Cycles'!$EM$29:$ES$29,1,U367)),IF(OR(INDEX('Lease Cycles'!$DY$29:$EE$29,1,U367)=1,U368&gt;0),1,1-INDEX('Lease Cycles'!$DD$29:$DJ$29,1,U367))*((1-'Lease Cycles'!$AJ$29)*INDEX('Lease Cycles'!$FO$29:$FU$29,1,U367)+(1-'Lease Cycles'!$BE$29)*(1-INDEX('Lease Cycles'!$FO$29:$FU$29,1,U367)))),0)</f>
        <v>0</v>
      </c>
      <c r="V375" s="24">
        <f>IF(V369=1,'Lease Cycles'!$D$29*IF(INDEX('Lease Cycles'!$EF$29:$EL$29,1,V367)=1,(1-'Lease Cycles'!$AJ$29)*INDEX('Lease Cycles'!$EM$29:$ES$29,1,V367)+(1-'Lease Cycles'!$BE$29)*IF(V368&lt;INDEX('Lease Cycles'!$FA$29:$FG$29,1,V367),0,1-INDEX('Lease Cycles'!$EM$29:$ES$29,1,V367)),IF(OR(INDEX('Lease Cycles'!$DY$29:$EE$29,1,V367)=1,V368&gt;0),1,1-INDEX('Lease Cycles'!$DD$29:$DJ$29,1,V367))*((1-'Lease Cycles'!$AJ$29)*INDEX('Lease Cycles'!$FO$29:$FU$29,1,V367)+(1-'Lease Cycles'!$BE$29)*(1-INDEX('Lease Cycles'!$FO$29:$FU$29,1,V367)))),0)</f>
        <v>0</v>
      </c>
      <c r="W375" s="24">
        <f>IF(W369=1,'Lease Cycles'!$D$29*IF(INDEX('Lease Cycles'!$EF$29:$EL$29,1,W367)=1,(1-'Lease Cycles'!$AJ$29)*INDEX('Lease Cycles'!$EM$29:$ES$29,1,W367)+(1-'Lease Cycles'!$BE$29)*IF(W368&lt;INDEX('Lease Cycles'!$FA$29:$FG$29,1,W367),0,1-INDEX('Lease Cycles'!$EM$29:$ES$29,1,W367)),IF(OR(INDEX('Lease Cycles'!$DY$29:$EE$29,1,W367)=1,W368&gt;0),1,1-INDEX('Lease Cycles'!$DD$29:$DJ$29,1,W367))*((1-'Lease Cycles'!$AJ$29)*INDEX('Lease Cycles'!$FO$29:$FU$29,1,W367)+(1-'Lease Cycles'!$BE$29)*(1-INDEX('Lease Cycles'!$FO$29:$FU$29,1,W367)))),0)</f>
        <v>0</v>
      </c>
      <c r="X375" s="24">
        <f>IF(X369=1,'Lease Cycles'!$D$29*IF(INDEX('Lease Cycles'!$EF$29:$EL$29,1,X367)=1,(1-'Lease Cycles'!$AJ$29)*INDEX('Lease Cycles'!$EM$29:$ES$29,1,X367)+(1-'Lease Cycles'!$BE$29)*IF(X368&lt;INDEX('Lease Cycles'!$FA$29:$FG$29,1,X367),0,1-INDEX('Lease Cycles'!$EM$29:$ES$29,1,X367)),IF(OR(INDEX('Lease Cycles'!$DY$29:$EE$29,1,X367)=1,X368&gt;0),1,1-INDEX('Lease Cycles'!$DD$29:$DJ$29,1,X367))*((1-'Lease Cycles'!$AJ$29)*INDEX('Lease Cycles'!$FO$29:$FU$29,1,X367)+(1-'Lease Cycles'!$BE$29)*(1-INDEX('Lease Cycles'!$FO$29:$FU$29,1,X367)))),0)</f>
        <v>0</v>
      </c>
      <c r="Y375" s="24">
        <f>IF(Y369=1,'Lease Cycles'!$D$29*IF(INDEX('Lease Cycles'!$EF$29:$EL$29,1,Y367)=1,(1-'Lease Cycles'!$AJ$29)*INDEX('Lease Cycles'!$EM$29:$ES$29,1,Y367)+(1-'Lease Cycles'!$BE$29)*IF(Y368&lt;INDEX('Lease Cycles'!$FA$29:$FG$29,1,Y367),0,1-INDEX('Lease Cycles'!$EM$29:$ES$29,1,Y367)),IF(OR(INDEX('Lease Cycles'!$DY$29:$EE$29,1,Y367)=1,Y368&gt;0),1,1-INDEX('Lease Cycles'!$DD$29:$DJ$29,1,Y367))*((1-'Lease Cycles'!$AJ$29)*INDEX('Lease Cycles'!$FO$29:$FU$29,1,Y367)+(1-'Lease Cycles'!$BE$29)*(1-INDEX('Lease Cycles'!$FO$29:$FU$29,1,Y367)))),0)</f>
        <v>0</v>
      </c>
      <c r="Z375" s="24">
        <f>IF(Z369=1,'Lease Cycles'!$D$29*IF(INDEX('Lease Cycles'!$EF$29:$EL$29,1,Z367)=1,(1-'Lease Cycles'!$AJ$29)*INDEX('Lease Cycles'!$EM$29:$ES$29,1,Z367)+(1-'Lease Cycles'!$BE$29)*IF(Z368&lt;INDEX('Lease Cycles'!$FA$29:$FG$29,1,Z367),0,1-INDEX('Lease Cycles'!$EM$29:$ES$29,1,Z367)),IF(OR(INDEX('Lease Cycles'!$DY$29:$EE$29,1,Z367)=1,Z368&gt;0),1,1-INDEX('Lease Cycles'!$DD$29:$DJ$29,1,Z367))*((1-'Lease Cycles'!$AJ$29)*INDEX('Lease Cycles'!$FO$29:$FU$29,1,Z367)+(1-'Lease Cycles'!$BE$29)*(1-INDEX('Lease Cycles'!$FO$29:$FU$29,1,Z367)))),0)</f>
        <v>0</v>
      </c>
      <c r="AA375" s="24">
        <f>IF(AA369=1,'Lease Cycles'!$D$29*IF(INDEX('Lease Cycles'!$EF$29:$EL$29,1,AA367)=1,(1-'Lease Cycles'!$AJ$29)*INDEX('Lease Cycles'!$EM$29:$ES$29,1,AA367)+(1-'Lease Cycles'!$BE$29)*IF(AA368&lt;INDEX('Lease Cycles'!$FA$29:$FG$29,1,AA367),0,1-INDEX('Lease Cycles'!$EM$29:$ES$29,1,AA367)),IF(OR(INDEX('Lease Cycles'!$DY$29:$EE$29,1,AA367)=1,AA368&gt;0),1,1-INDEX('Lease Cycles'!$DD$29:$DJ$29,1,AA367))*((1-'Lease Cycles'!$AJ$29)*INDEX('Lease Cycles'!$FO$29:$FU$29,1,AA367)+(1-'Lease Cycles'!$BE$29)*(1-INDEX('Lease Cycles'!$FO$29:$FU$29,1,AA367)))),0)</f>
        <v>0</v>
      </c>
      <c r="AB375" s="24">
        <f>IF(AB369=1,'Lease Cycles'!$D$29*IF(INDEX('Lease Cycles'!$EF$29:$EL$29,1,AB367)=1,(1-'Lease Cycles'!$AJ$29)*INDEX('Lease Cycles'!$EM$29:$ES$29,1,AB367)+(1-'Lease Cycles'!$BE$29)*IF(AB368&lt;INDEX('Lease Cycles'!$FA$29:$FG$29,1,AB367),0,1-INDEX('Lease Cycles'!$EM$29:$ES$29,1,AB367)),IF(OR(INDEX('Lease Cycles'!$DY$29:$EE$29,1,AB367)=1,AB368&gt;0),1,1-INDEX('Lease Cycles'!$DD$29:$DJ$29,1,AB367))*((1-'Lease Cycles'!$AJ$29)*INDEX('Lease Cycles'!$FO$29:$FU$29,1,AB367)+(1-'Lease Cycles'!$BE$29)*(1-INDEX('Lease Cycles'!$FO$29:$FU$29,1,AB367)))),0)</f>
        <v>0</v>
      </c>
      <c r="AC375" s="24">
        <f>IF(AC369=1,'Lease Cycles'!$D$29*IF(INDEX('Lease Cycles'!$EF$29:$EL$29,1,AC367)=1,(1-'Lease Cycles'!$AJ$29)*INDEX('Lease Cycles'!$EM$29:$ES$29,1,AC367)+(1-'Lease Cycles'!$BE$29)*IF(AC368&lt;INDEX('Lease Cycles'!$FA$29:$FG$29,1,AC367),0,1-INDEX('Lease Cycles'!$EM$29:$ES$29,1,AC367)),IF(OR(INDEX('Lease Cycles'!$DY$29:$EE$29,1,AC367)=1,AC368&gt;0),1,1-INDEX('Lease Cycles'!$DD$29:$DJ$29,1,AC367))*((1-'Lease Cycles'!$AJ$29)*INDEX('Lease Cycles'!$FO$29:$FU$29,1,AC367)+(1-'Lease Cycles'!$BE$29)*(1-INDEX('Lease Cycles'!$FO$29:$FU$29,1,AC367)))),0)</f>
        <v>0</v>
      </c>
      <c r="AD375" s="24">
        <f>IF(AD369=1,'Lease Cycles'!$D$29*IF(INDEX('Lease Cycles'!$EF$29:$EL$29,1,AD367)=1,(1-'Lease Cycles'!$AJ$29)*INDEX('Lease Cycles'!$EM$29:$ES$29,1,AD367)+(1-'Lease Cycles'!$BE$29)*IF(AD368&lt;INDEX('Lease Cycles'!$FA$29:$FG$29,1,AD367),0,1-INDEX('Lease Cycles'!$EM$29:$ES$29,1,AD367)),IF(OR(INDEX('Lease Cycles'!$DY$29:$EE$29,1,AD367)=1,AD368&gt;0),1,1-INDEX('Lease Cycles'!$DD$29:$DJ$29,1,AD367))*((1-'Lease Cycles'!$AJ$29)*INDEX('Lease Cycles'!$FO$29:$FU$29,1,AD367)+(1-'Lease Cycles'!$BE$29)*(1-INDEX('Lease Cycles'!$FO$29:$FU$29,1,AD367)))),0)</f>
        <v>0</v>
      </c>
      <c r="AE375" s="24">
        <f>IF(AE369=1,'Lease Cycles'!$D$29*IF(INDEX('Lease Cycles'!$EF$29:$EL$29,1,AE367)=1,(1-'Lease Cycles'!$AJ$29)*INDEX('Lease Cycles'!$EM$29:$ES$29,1,AE367)+(1-'Lease Cycles'!$BE$29)*IF(AE368&lt;INDEX('Lease Cycles'!$FA$29:$FG$29,1,AE367),0,1-INDEX('Lease Cycles'!$EM$29:$ES$29,1,AE367)),IF(OR(INDEX('Lease Cycles'!$DY$29:$EE$29,1,AE367)=1,AE368&gt;0),1,1-INDEX('Lease Cycles'!$DD$29:$DJ$29,1,AE367))*((1-'Lease Cycles'!$AJ$29)*INDEX('Lease Cycles'!$FO$29:$FU$29,1,AE367)+(1-'Lease Cycles'!$BE$29)*(1-INDEX('Lease Cycles'!$FO$29:$FU$29,1,AE367)))),0)</f>
        <v>0</v>
      </c>
      <c r="AF375" s="24">
        <f>IF(AF369=1,'Lease Cycles'!$D$29*IF(INDEX('Lease Cycles'!$EF$29:$EL$29,1,AF367)=1,(1-'Lease Cycles'!$AJ$29)*INDEX('Lease Cycles'!$EM$29:$ES$29,1,AF367)+(1-'Lease Cycles'!$BE$29)*IF(AF368&lt;INDEX('Lease Cycles'!$FA$29:$FG$29,1,AF367),0,1-INDEX('Lease Cycles'!$EM$29:$ES$29,1,AF367)),IF(OR(INDEX('Lease Cycles'!$DY$29:$EE$29,1,AF367)=1,AF368&gt;0),1,1-INDEX('Lease Cycles'!$DD$29:$DJ$29,1,AF367))*((1-'Lease Cycles'!$AJ$29)*INDEX('Lease Cycles'!$FO$29:$FU$29,1,AF367)+(1-'Lease Cycles'!$BE$29)*(1-INDEX('Lease Cycles'!$FO$29:$FU$29,1,AF367)))),0)</f>
        <v>0</v>
      </c>
      <c r="AG375" s="24">
        <f>IF(AG369=1,'Lease Cycles'!$D$29*IF(INDEX('Lease Cycles'!$EF$29:$EL$29,1,AG367)=1,(1-'Lease Cycles'!$AJ$29)*INDEX('Lease Cycles'!$EM$29:$ES$29,1,AG367)+(1-'Lease Cycles'!$BE$29)*IF(AG368&lt;INDEX('Lease Cycles'!$FA$29:$FG$29,1,AG367),0,1-INDEX('Lease Cycles'!$EM$29:$ES$29,1,AG367)),IF(OR(INDEX('Lease Cycles'!$DY$29:$EE$29,1,AG367)=1,AG368&gt;0),1,1-INDEX('Lease Cycles'!$DD$29:$DJ$29,1,AG367))*((1-'Lease Cycles'!$AJ$29)*INDEX('Lease Cycles'!$FO$29:$FU$29,1,AG367)+(1-'Lease Cycles'!$BE$29)*(1-INDEX('Lease Cycles'!$FO$29:$FU$29,1,AG367)))),0)</f>
        <v>0</v>
      </c>
      <c r="AH375" s="24">
        <f>IF(AH369=1,'Lease Cycles'!$D$29*IF(INDEX('Lease Cycles'!$EF$29:$EL$29,1,AH367)=1,(1-'Lease Cycles'!$AJ$29)*INDEX('Lease Cycles'!$EM$29:$ES$29,1,AH367)+(1-'Lease Cycles'!$BE$29)*IF(AH368&lt;INDEX('Lease Cycles'!$FA$29:$FG$29,1,AH367),0,1-INDEX('Lease Cycles'!$EM$29:$ES$29,1,AH367)),IF(OR(INDEX('Lease Cycles'!$DY$29:$EE$29,1,AH367)=1,AH368&gt;0),1,1-INDEX('Lease Cycles'!$DD$29:$DJ$29,1,AH367))*((1-'Lease Cycles'!$AJ$29)*INDEX('Lease Cycles'!$FO$29:$FU$29,1,AH367)+(1-'Lease Cycles'!$BE$29)*(1-INDEX('Lease Cycles'!$FO$29:$FU$29,1,AH367)))),0)</f>
        <v>0</v>
      </c>
      <c r="AI375" s="24">
        <f>IF(AI369=1,'Lease Cycles'!$D$29*IF(INDEX('Lease Cycles'!$EF$29:$EL$29,1,AI367)=1,(1-'Lease Cycles'!$AJ$29)*INDEX('Lease Cycles'!$EM$29:$ES$29,1,AI367)+(1-'Lease Cycles'!$BE$29)*IF(AI368&lt;INDEX('Lease Cycles'!$FA$29:$FG$29,1,AI367),0,1-INDEX('Lease Cycles'!$EM$29:$ES$29,1,AI367)),IF(OR(INDEX('Lease Cycles'!$DY$29:$EE$29,1,AI367)=1,AI368&gt;0),1,1-INDEX('Lease Cycles'!$DD$29:$DJ$29,1,AI367))*((1-'Lease Cycles'!$AJ$29)*INDEX('Lease Cycles'!$FO$29:$FU$29,1,AI367)+(1-'Lease Cycles'!$BE$29)*(1-INDEX('Lease Cycles'!$FO$29:$FU$29,1,AI367)))),0)</f>
        <v>0</v>
      </c>
      <c r="AJ375" s="24">
        <f>IF(AJ369=1,'Lease Cycles'!$D$29*IF(INDEX('Lease Cycles'!$EF$29:$EL$29,1,AJ367)=1,(1-'Lease Cycles'!$AJ$29)*INDEX('Lease Cycles'!$EM$29:$ES$29,1,AJ367)+(1-'Lease Cycles'!$BE$29)*IF(AJ368&lt;INDEX('Lease Cycles'!$FA$29:$FG$29,1,AJ367),0,1-INDEX('Lease Cycles'!$EM$29:$ES$29,1,AJ367)),IF(OR(INDEX('Lease Cycles'!$DY$29:$EE$29,1,AJ367)=1,AJ368&gt;0),1,1-INDEX('Lease Cycles'!$DD$29:$DJ$29,1,AJ367))*((1-'Lease Cycles'!$AJ$29)*INDEX('Lease Cycles'!$FO$29:$FU$29,1,AJ367)+(1-'Lease Cycles'!$BE$29)*(1-INDEX('Lease Cycles'!$FO$29:$FU$29,1,AJ367)))),0)</f>
        <v>0</v>
      </c>
      <c r="AK375" s="24">
        <f>IF(AK369=1,'Lease Cycles'!$D$29*IF(INDEX('Lease Cycles'!$EF$29:$EL$29,1,AK367)=1,(1-'Lease Cycles'!$AJ$29)*INDEX('Lease Cycles'!$EM$29:$ES$29,1,AK367)+(1-'Lease Cycles'!$BE$29)*IF(AK368&lt;INDEX('Lease Cycles'!$FA$29:$FG$29,1,AK367),0,1-INDEX('Lease Cycles'!$EM$29:$ES$29,1,AK367)),IF(OR(INDEX('Lease Cycles'!$DY$29:$EE$29,1,AK367)=1,AK368&gt;0),1,1-INDEX('Lease Cycles'!$DD$29:$DJ$29,1,AK367))*((1-'Lease Cycles'!$AJ$29)*INDEX('Lease Cycles'!$FO$29:$FU$29,1,AK367)+(1-'Lease Cycles'!$BE$29)*(1-INDEX('Lease Cycles'!$FO$29:$FU$29,1,AK367)))),0)</f>
        <v>0</v>
      </c>
      <c r="AL375" s="24">
        <f>IF(AL369=1,'Lease Cycles'!$D$29*IF(INDEX('Lease Cycles'!$EF$29:$EL$29,1,AL367)=1,(1-'Lease Cycles'!$AJ$29)*INDEX('Lease Cycles'!$EM$29:$ES$29,1,AL367)+(1-'Lease Cycles'!$BE$29)*IF(AL368&lt;INDEX('Lease Cycles'!$FA$29:$FG$29,1,AL367),0,1-INDEX('Lease Cycles'!$EM$29:$ES$29,1,AL367)),IF(OR(INDEX('Lease Cycles'!$DY$29:$EE$29,1,AL367)=1,AL368&gt;0),1,1-INDEX('Lease Cycles'!$DD$29:$DJ$29,1,AL367))*((1-'Lease Cycles'!$AJ$29)*INDEX('Lease Cycles'!$FO$29:$FU$29,1,AL367)+(1-'Lease Cycles'!$BE$29)*(1-INDEX('Lease Cycles'!$FO$29:$FU$29,1,AL367)))),0)</f>
        <v>0</v>
      </c>
      <c r="AM375" s="24">
        <f>IF(AM369=1,'Lease Cycles'!$D$29*IF(INDEX('Lease Cycles'!$EF$29:$EL$29,1,AM367)=1,(1-'Lease Cycles'!$AJ$29)*INDEX('Lease Cycles'!$EM$29:$ES$29,1,AM367)+(1-'Lease Cycles'!$BE$29)*IF(AM368&lt;INDEX('Lease Cycles'!$FA$29:$FG$29,1,AM367),0,1-INDEX('Lease Cycles'!$EM$29:$ES$29,1,AM367)),IF(OR(INDEX('Lease Cycles'!$DY$29:$EE$29,1,AM367)=1,AM368&gt;0),1,1-INDEX('Lease Cycles'!$DD$29:$DJ$29,1,AM367))*((1-'Lease Cycles'!$AJ$29)*INDEX('Lease Cycles'!$FO$29:$FU$29,1,AM367)+(1-'Lease Cycles'!$BE$29)*(1-INDEX('Lease Cycles'!$FO$29:$FU$29,1,AM367)))),0)</f>
        <v>0</v>
      </c>
      <c r="AN375" s="24">
        <f>IF(AN369=1,'Lease Cycles'!$D$29*IF(INDEX('Lease Cycles'!$EF$29:$EL$29,1,AN367)=1,(1-'Lease Cycles'!$AJ$29)*INDEX('Lease Cycles'!$EM$29:$ES$29,1,AN367)+(1-'Lease Cycles'!$BE$29)*IF(AN368&lt;INDEX('Lease Cycles'!$FA$29:$FG$29,1,AN367),0,1-INDEX('Lease Cycles'!$EM$29:$ES$29,1,AN367)),IF(OR(INDEX('Lease Cycles'!$DY$29:$EE$29,1,AN367)=1,AN368&gt;0),1,1-INDEX('Lease Cycles'!$DD$29:$DJ$29,1,AN367))*((1-'Lease Cycles'!$AJ$29)*INDEX('Lease Cycles'!$FO$29:$FU$29,1,AN367)+(1-'Lease Cycles'!$BE$29)*(1-INDEX('Lease Cycles'!$FO$29:$FU$29,1,AN367)))),0)</f>
        <v>0</v>
      </c>
      <c r="AO375" s="24">
        <f>IF(AO369=1,'Lease Cycles'!$D$29*IF(INDEX('Lease Cycles'!$EF$29:$EL$29,1,AO367)=1,(1-'Lease Cycles'!$AJ$29)*INDEX('Lease Cycles'!$EM$29:$ES$29,1,AO367)+(1-'Lease Cycles'!$BE$29)*IF(AO368&lt;INDEX('Lease Cycles'!$FA$29:$FG$29,1,AO367),0,1-INDEX('Lease Cycles'!$EM$29:$ES$29,1,AO367)),IF(OR(INDEX('Lease Cycles'!$DY$29:$EE$29,1,AO367)=1,AO368&gt;0),1,1-INDEX('Lease Cycles'!$DD$29:$DJ$29,1,AO367))*((1-'Lease Cycles'!$AJ$29)*INDEX('Lease Cycles'!$FO$29:$FU$29,1,AO367)+(1-'Lease Cycles'!$BE$29)*(1-INDEX('Lease Cycles'!$FO$29:$FU$29,1,AO367)))),0)</f>
        <v>0</v>
      </c>
      <c r="AP375" s="24">
        <f>IF(AP369=1,'Lease Cycles'!$D$29*IF(INDEX('Lease Cycles'!$EF$29:$EL$29,1,AP367)=1,(1-'Lease Cycles'!$AJ$29)*INDEX('Lease Cycles'!$EM$29:$ES$29,1,AP367)+(1-'Lease Cycles'!$BE$29)*IF(AP368&lt;INDEX('Lease Cycles'!$FA$29:$FG$29,1,AP367),0,1-INDEX('Lease Cycles'!$EM$29:$ES$29,1,AP367)),IF(OR(INDEX('Lease Cycles'!$DY$29:$EE$29,1,AP367)=1,AP368&gt;0),1,1-INDEX('Lease Cycles'!$DD$29:$DJ$29,1,AP367))*((1-'Lease Cycles'!$AJ$29)*INDEX('Lease Cycles'!$FO$29:$FU$29,1,AP367)+(1-'Lease Cycles'!$BE$29)*(1-INDEX('Lease Cycles'!$FO$29:$FU$29,1,AP367)))),0)</f>
        <v>0</v>
      </c>
      <c r="AQ375" s="24">
        <f>IF(AQ369=1,'Lease Cycles'!$D$29*IF(INDEX('Lease Cycles'!$EF$29:$EL$29,1,AQ367)=1,(1-'Lease Cycles'!$AJ$29)*INDEX('Lease Cycles'!$EM$29:$ES$29,1,AQ367)+(1-'Lease Cycles'!$BE$29)*IF(AQ368&lt;INDEX('Lease Cycles'!$FA$29:$FG$29,1,AQ367),0,1-INDEX('Lease Cycles'!$EM$29:$ES$29,1,AQ367)),IF(OR(INDEX('Lease Cycles'!$DY$29:$EE$29,1,AQ367)=1,AQ368&gt;0),1,1-INDEX('Lease Cycles'!$DD$29:$DJ$29,1,AQ367))*((1-'Lease Cycles'!$AJ$29)*INDEX('Lease Cycles'!$FO$29:$FU$29,1,AQ367)+(1-'Lease Cycles'!$BE$29)*(1-INDEX('Lease Cycles'!$FO$29:$FU$29,1,AQ367)))),0)</f>
        <v>0</v>
      </c>
      <c r="AR375" s="24">
        <f>IF(AR369=1,'Lease Cycles'!$D$29*IF(INDEX('Lease Cycles'!$EF$29:$EL$29,1,AR367)=1,(1-'Lease Cycles'!$AJ$29)*INDEX('Lease Cycles'!$EM$29:$ES$29,1,AR367)+(1-'Lease Cycles'!$BE$29)*IF(AR368&lt;INDEX('Lease Cycles'!$FA$29:$FG$29,1,AR367),0,1-INDEX('Lease Cycles'!$EM$29:$ES$29,1,AR367)),IF(OR(INDEX('Lease Cycles'!$DY$29:$EE$29,1,AR367)=1,AR368&gt;0),1,1-INDEX('Lease Cycles'!$DD$29:$DJ$29,1,AR367))*((1-'Lease Cycles'!$AJ$29)*INDEX('Lease Cycles'!$FO$29:$FU$29,1,AR367)+(1-'Lease Cycles'!$BE$29)*(1-INDEX('Lease Cycles'!$FO$29:$FU$29,1,AR367)))),0)</f>
        <v>0</v>
      </c>
      <c r="AS375" s="24">
        <f>IF(AS369=1,'Lease Cycles'!$D$29*IF(INDEX('Lease Cycles'!$EF$29:$EL$29,1,AS367)=1,(1-'Lease Cycles'!$AJ$29)*INDEX('Lease Cycles'!$EM$29:$ES$29,1,AS367)+(1-'Lease Cycles'!$BE$29)*IF(AS368&lt;INDEX('Lease Cycles'!$FA$29:$FG$29,1,AS367),0,1-INDEX('Lease Cycles'!$EM$29:$ES$29,1,AS367)),IF(OR(INDEX('Lease Cycles'!$DY$29:$EE$29,1,AS367)=1,AS368&gt;0),1,1-INDEX('Lease Cycles'!$DD$29:$DJ$29,1,AS367))*((1-'Lease Cycles'!$AJ$29)*INDEX('Lease Cycles'!$FO$29:$FU$29,1,AS367)+(1-'Lease Cycles'!$BE$29)*(1-INDEX('Lease Cycles'!$FO$29:$FU$29,1,AS367)))),0)</f>
        <v>0</v>
      </c>
      <c r="AT375" s="24">
        <f>IF(AT369=1,'Lease Cycles'!$D$29*IF(INDEX('Lease Cycles'!$EF$29:$EL$29,1,AT367)=1,(1-'Lease Cycles'!$AJ$29)*INDEX('Lease Cycles'!$EM$29:$ES$29,1,AT367)+(1-'Lease Cycles'!$BE$29)*IF(AT368&lt;INDEX('Lease Cycles'!$FA$29:$FG$29,1,AT367),0,1-INDEX('Lease Cycles'!$EM$29:$ES$29,1,AT367)),IF(OR(INDEX('Lease Cycles'!$DY$29:$EE$29,1,AT367)=1,AT368&gt;0),1,1-INDEX('Lease Cycles'!$DD$29:$DJ$29,1,AT367))*((1-'Lease Cycles'!$AJ$29)*INDEX('Lease Cycles'!$FO$29:$FU$29,1,AT367)+(1-'Lease Cycles'!$BE$29)*(1-INDEX('Lease Cycles'!$FO$29:$FU$29,1,AT367)))),0)</f>
        <v>0</v>
      </c>
      <c r="AU375" s="24">
        <f>IF(AU369=1,'Lease Cycles'!$D$29*IF(INDEX('Lease Cycles'!$EF$29:$EL$29,1,AU367)=1,(1-'Lease Cycles'!$AJ$29)*INDEX('Lease Cycles'!$EM$29:$ES$29,1,AU367)+(1-'Lease Cycles'!$BE$29)*IF(AU368&lt;INDEX('Lease Cycles'!$FA$29:$FG$29,1,AU367),0,1-INDEX('Lease Cycles'!$EM$29:$ES$29,1,AU367)),IF(OR(INDEX('Lease Cycles'!$DY$29:$EE$29,1,AU367)=1,AU368&gt;0),1,1-INDEX('Lease Cycles'!$DD$29:$DJ$29,1,AU367))*((1-'Lease Cycles'!$AJ$29)*INDEX('Lease Cycles'!$FO$29:$FU$29,1,AU367)+(1-'Lease Cycles'!$BE$29)*(1-INDEX('Lease Cycles'!$FO$29:$FU$29,1,AU367)))),0)</f>
        <v>0</v>
      </c>
      <c r="AV375" s="24">
        <f>IF(AV369=1,'Lease Cycles'!$D$29*IF(INDEX('Lease Cycles'!$EF$29:$EL$29,1,AV367)=1,(1-'Lease Cycles'!$AJ$29)*INDEX('Lease Cycles'!$EM$29:$ES$29,1,AV367)+(1-'Lease Cycles'!$BE$29)*IF(AV368&lt;INDEX('Lease Cycles'!$FA$29:$FG$29,1,AV367),0,1-INDEX('Lease Cycles'!$EM$29:$ES$29,1,AV367)),IF(OR(INDEX('Lease Cycles'!$DY$29:$EE$29,1,AV367)=1,AV368&gt;0),1,1-INDEX('Lease Cycles'!$DD$29:$DJ$29,1,AV367))*((1-'Lease Cycles'!$AJ$29)*INDEX('Lease Cycles'!$FO$29:$FU$29,1,AV367)+(1-'Lease Cycles'!$BE$29)*(1-INDEX('Lease Cycles'!$FO$29:$FU$29,1,AV367)))),0)</f>
        <v>0</v>
      </c>
      <c r="AW375" s="24">
        <f>IF(AW369=1,'Lease Cycles'!$D$29*IF(INDEX('Lease Cycles'!$EF$29:$EL$29,1,AW367)=1,(1-'Lease Cycles'!$AJ$29)*INDEX('Lease Cycles'!$EM$29:$ES$29,1,AW367)+(1-'Lease Cycles'!$BE$29)*IF(AW368&lt;INDEX('Lease Cycles'!$FA$29:$FG$29,1,AW367),0,1-INDEX('Lease Cycles'!$EM$29:$ES$29,1,AW367)),IF(OR(INDEX('Lease Cycles'!$DY$29:$EE$29,1,AW367)=1,AW368&gt;0),1,1-INDEX('Lease Cycles'!$DD$29:$DJ$29,1,AW367))*((1-'Lease Cycles'!$AJ$29)*INDEX('Lease Cycles'!$FO$29:$FU$29,1,AW367)+(1-'Lease Cycles'!$BE$29)*(1-INDEX('Lease Cycles'!$FO$29:$FU$29,1,AW367)))),0)</f>
        <v>0</v>
      </c>
      <c r="AX375" s="24">
        <f>IF(AX369=1,'Lease Cycles'!$D$29*IF(INDEX('Lease Cycles'!$EF$29:$EL$29,1,AX367)=1,(1-'Lease Cycles'!$AJ$29)*INDEX('Lease Cycles'!$EM$29:$ES$29,1,AX367)+(1-'Lease Cycles'!$BE$29)*IF(AX368&lt;INDEX('Lease Cycles'!$FA$29:$FG$29,1,AX367),0,1-INDEX('Lease Cycles'!$EM$29:$ES$29,1,AX367)),IF(OR(INDEX('Lease Cycles'!$DY$29:$EE$29,1,AX367)=1,AX368&gt;0),1,1-INDEX('Lease Cycles'!$DD$29:$DJ$29,1,AX367))*((1-'Lease Cycles'!$AJ$29)*INDEX('Lease Cycles'!$FO$29:$FU$29,1,AX367)+(1-'Lease Cycles'!$BE$29)*(1-INDEX('Lease Cycles'!$FO$29:$FU$29,1,AX367)))),0)</f>
        <v>0</v>
      </c>
      <c r="AY375" s="24">
        <f>IF(AY369=1,'Lease Cycles'!$D$29*IF(INDEX('Lease Cycles'!$EF$29:$EL$29,1,AY367)=1,(1-'Lease Cycles'!$AJ$29)*INDEX('Lease Cycles'!$EM$29:$ES$29,1,AY367)+(1-'Lease Cycles'!$BE$29)*IF(AY368&lt;INDEX('Lease Cycles'!$FA$29:$FG$29,1,AY367),0,1-INDEX('Lease Cycles'!$EM$29:$ES$29,1,AY367)),IF(OR(INDEX('Lease Cycles'!$DY$29:$EE$29,1,AY367)=1,AY368&gt;0),1,1-INDEX('Lease Cycles'!$DD$29:$DJ$29,1,AY367))*((1-'Lease Cycles'!$AJ$29)*INDEX('Lease Cycles'!$FO$29:$FU$29,1,AY367)+(1-'Lease Cycles'!$BE$29)*(1-INDEX('Lease Cycles'!$FO$29:$FU$29,1,AY367)))),0)</f>
        <v>0</v>
      </c>
      <c r="AZ375" s="24">
        <f>IF(AZ369=1,'Lease Cycles'!$D$29*IF(INDEX('Lease Cycles'!$EF$29:$EL$29,1,AZ367)=1,(1-'Lease Cycles'!$AJ$29)*INDEX('Lease Cycles'!$EM$29:$ES$29,1,AZ367)+(1-'Lease Cycles'!$BE$29)*IF(AZ368&lt;INDEX('Lease Cycles'!$FA$29:$FG$29,1,AZ367),0,1-INDEX('Lease Cycles'!$EM$29:$ES$29,1,AZ367)),IF(OR(INDEX('Lease Cycles'!$DY$29:$EE$29,1,AZ367)=1,AZ368&gt;0),1,1-INDEX('Lease Cycles'!$DD$29:$DJ$29,1,AZ367))*((1-'Lease Cycles'!$AJ$29)*INDEX('Lease Cycles'!$FO$29:$FU$29,1,AZ367)+(1-'Lease Cycles'!$BE$29)*(1-INDEX('Lease Cycles'!$FO$29:$FU$29,1,AZ367)))),0)</f>
        <v>0</v>
      </c>
      <c r="BA375" s="24">
        <f>IF(BA369=1,'Lease Cycles'!$D$29*IF(INDEX('Lease Cycles'!$EF$29:$EL$29,1,BA367)=1,(1-'Lease Cycles'!$AJ$29)*INDEX('Lease Cycles'!$EM$29:$ES$29,1,BA367)+(1-'Lease Cycles'!$BE$29)*IF(BA368&lt;INDEX('Lease Cycles'!$FA$29:$FG$29,1,BA367),0,1-INDEX('Lease Cycles'!$EM$29:$ES$29,1,BA367)),IF(OR(INDEX('Lease Cycles'!$DY$29:$EE$29,1,BA367)=1,BA368&gt;0),1,1-INDEX('Lease Cycles'!$DD$29:$DJ$29,1,BA367))*((1-'Lease Cycles'!$AJ$29)*INDEX('Lease Cycles'!$FO$29:$FU$29,1,BA367)+(1-'Lease Cycles'!$BE$29)*(1-INDEX('Lease Cycles'!$FO$29:$FU$29,1,BA367)))),0)</f>
        <v>0</v>
      </c>
      <c r="BB375" s="24">
        <f>IF(BB369=1,'Lease Cycles'!$D$29*IF(INDEX('Lease Cycles'!$EF$29:$EL$29,1,BB367)=1,(1-'Lease Cycles'!$AJ$29)*INDEX('Lease Cycles'!$EM$29:$ES$29,1,BB367)+(1-'Lease Cycles'!$BE$29)*IF(BB368&lt;INDEX('Lease Cycles'!$FA$29:$FG$29,1,BB367),0,1-INDEX('Lease Cycles'!$EM$29:$ES$29,1,BB367)),IF(OR(INDEX('Lease Cycles'!$DY$29:$EE$29,1,BB367)=1,BB368&gt;0),1,1-INDEX('Lease Cycles'!$DD$29:$DJ$29,1,BB367))*((1-'Lease Cycles'!$AJ$29)*INDEX('Lease Cycles'!$FO$29:$FU$29,1,BB367)+(1-'Lease Cycles'!$BE$29)*(1-INDEX('Lease Cycles'!$FO$29:$FU$29,1,BB367)))),0)</f>
        <v>0</v>
      </c>
      <c r="BC375" s="24">
        <f>IF(BC369=1,'Lease Cycles'!$D$29*IF(INDEX('Lease Cycles'!$EF$29:$EL$29,1,BC367)=1,(1-'Lease Cycles'!$AJ$29)*INDEX('Lease Cycles'!$EM$29:$ES$29,1,BC367)+(1-'Lease Cycles'!$BE$29)*IF(BC368&lt;INDEX('Lease Cycles'!$FA$29:$FG$29,1,BC367),0,1-INDEX('Lease Cycles'!$EM$29:$ES$29,1,BC367)),IF(OR(INDEX('Lease Cycles'!$DY$29:$EE$29,1,BC367)=1,BC368&gt;0),1,1-INDEX('Lease Cycles'!$DD$29:$DJ$29,1,BC367))*((1-'Lease Cycles'!$AJ$29)*INDEX('Lease Cycles'!$FO$29:$FU$29,1,BC367)+(1-'Lease Cycles'!$BE$29)*(1-INDEX('Lease Cycles'!$FO$29:$FU$29,1,BC367)))),0)</f>
        <v>0</v>
      </c>
      <c r="BD375" s="24">
        <f>IF(BD369=1,'Lease Cycles'!$D$29*IF(INDEX('Lease Cycles'!$EF$29:$EL$29,1,BD367)=1,(1-'Lease Cycles'!$AJ$29)*INDEX('Lease Cycles'!$EM$29:$ES$29,1,BD367)+(1-'Lease Cycles'!$BE$29)*IF(BD368&lt;INDEX('Lease Cycles'!$FA$29:$FG$29,1,BD367),0,1-INDEX('Lease Cycles'!$EM$29:$ES$29,1,BD367)),IF(OR(INDEX('Lease Cycles'!$DY$29:$EE$29,1,BD367)=1,BD368&gt;0),1,1-INDEX('Lease Cycles'!$DD$29:$DJ$29,1,BD367))*((1-'Lease Cycles'!$AJ$29)*INDEX('Lease Cycles'!$FO$29:$FU$29,1,BD367)+(1-'Lease Cycles'!$BE$29)*(1-INDEX('Lease Cycles'!$FO$29:$FU$29,1,BD367)))),0)</f>
        <v>0</v>
      </c>
      <c r="BE375" s="24">
        <f>IF(BE369=1,'Lease Cycles'!$D$29*IF(INDEX('Lease Cycles'!$EF$29:$EL$29,1,BE367)=1,(1-'Lease Cycles'!$AJ$29)*INDEX('Lease Cycles'!$EM$29:$ES$29,1,BE367)+(1-'Lease Cycles'!$BE$29)*IF(BE368&lt;INDEX('Lease Cycles'!$FA$29:$FG$29,1,BE367),0,1-INDEX('Lease Cycles'!$EM$29:$ES$29,1,BE367)),IF(OR(INDEX('Lease Cycles'!$DY$29:$EE$29,1,BE367)=1,BE368&gt;0),1,1-INDEX('Lease Cycles'!$DD$29:$DJ$29,1,BE367))*((1-'Lease Cycles'!$AJ$29)*INDEX('Lease Cycles'!$FO$29:$FU$29,1,BE367)+(1-'Lease Cycles'!$BE$29)*(1-INDEX('Lease Cycles'!$FO$29:$FU$29,1,BE367)))),0)</f>
        <v>0</v>
      </c>
      <c r="BF375" s="24">
        <f>IF(BF369=1,'Lease Cycles'!$D$29*IF(INDEX('Lease Cycles'!$EF$29:$EL$29,1,BF367)=1,(1-'Lease Cycles'!$AJ$29)*INDEX('Lease Cycles'!$EM$29:$ES$29,1,BF367)+(1-'Lease Cycles'!$BE$29)*IF(BF368&lt;INDEX('Lease Cycles'!$FA$29:$FG$29,1,BF367),0,1-INDEX('Lease Cycles'!$EM$29:$ES$29,1,BF367)),IF(OR(INDEX('Lease Cycles'!$DY$29:$EE$29,1,BF367)=1,BF368&gt;0),1,1-INDEX('Lease Cycles'!$DD$29:$DJ$29,1,BF367))*((1-'Lease Cycles'!$AJ$29)*INDEX('Lease Cycles'!$FO$29:$FU$29,1,BF367)+(1-'Lease Cycles'!$BE$29)*(1-INDEX('Lease Cycles'!$FO$29:$FU$29,1,BF367)))),0)</f>
        <v>0</v>
      </c>
      <c r="BG375" s="24">
        <f>IF(BG369=1,'Lease Cycles'!$D$29*IF(INDEX('Lease Cycles'!$EF$29:$EL$29,1,BG367)=1,(1-'Lease Cycles'!$AJ$29)*INDEX('Lease Cycles'!$EM$29:$ES$29,1,BG367)+(1-'Lease Cycles'!$BE$29)*IF(BG368&lt;INDEX('Lease Cycles'!$FA$29:$FG$29,1,BG367),0,1-INDEX('Lease Cycles'!$EM$29:$ES$29,1,BG367)),IF(OR(INDEX('Lease Cycles'!$DY$29:$EE$29,1,BG367)=1,BG368&gt;0),1,1-INDEX('Lease Cycles'!$DD$29:$DJ$29,1,BG367))*((1-'Lease Cycles'!$AJ$29)*INDEX('Lease Cycles'!$FO$29:$FU$29,1,BG367)+(1-'Lease Cycles'!$BE$29)*(1-INDEX('Lease Cycles'!$FO$29:$FU$29,1,BG367)))),0)</f>
        <v>0</v>
      </c>
      <c r="BH375" s="24">
        <f>IF(BH369=1,'Lease Cycles'!$D$29*IF(INDEX('Lease Cycles'!$EF$29:$EL$29,1,BH367)=1,(1-'Lease Cycles'!$AJ$29)*INDEX('Lease Cycles'!$EM$29:$ES$29,1,BH367)+(1-'Lease Cycles'!$BE$29)*IF(BH368&lt;INDEX('Lease Cycles'!$FA$29:$FG$29,1,BH367),0,1-INDEX('Lease Cycles'!$EM$29:$ES$29,1,BH367)),IF(OR(INDEX('Lease Cycles'!$DY$29:$EE$29,1,BH367)=1,BH368&gt;0),1,1-INDEX('Lease Cycles'!$DD$29:$DJ$29,1,BH367))*((1-'Lease Cycles'!$AJ$29)*INDEX('Lease Cycles'!$FO$29:$FU$29,1,BH367)+(1-'Lease Cycles'!$BE$29)*(1-INDEX('Lease Cycles'!$FO$29:$FU$29,1,BH367)))),0)</f>
        <v>0</v>
      </c>
      <c r="BI375" s="24">
        <f>IF(BI369=1,'Lease Cycles'!$D$29*IF(INDEX('Lease Cycles'!$EF$29:$EL$29,1,BI367)=1,(1-'Lease Cycles'!$AJ$29)*INDEX('Lease Cycles'!$EM$29:$ES$29,1,BI367)+(1-'Lease Cycles'!$BE$29)*IF(BI368&lt;INDEX('Lease Cycles'!$FA$29:$FG$29,1,BI367),0,1-INDEX('Lease Cycles'!$EM$29:$ES$29,1,BI367)),IF(OR(INDEX('Lease Cycles'!$DY$29:$EE$29,1,BI367)=1,BI368&gt;0),1,1-INDEX('Lease Cycles'!$DD$29:$DJ$29,1,BI367))*((1-'Lease Cycles'!$AJ$29)*INDEX('Lease Cycles'!$FO$29:$FU$29,1,BI367)+(1-'Lease Cycles'!$BE$29)*(1-INDEX('Lease Cycles'!$FO$29:$FU$29,1,BI367)))),0)</f>
        <v>0</v>
      </c>
      <c r="BJ375" s="24">
        <f>IF(BJ369=1,'Lease Cycles'!$D$29*IF(INDEX('Lease Cycles'!$EF$29:$EL$29,1,BJ367)=1,(1-'Lease Cycles'!$AJ$29)*INDEX('Lease Cycles'!$EM$29:$ES$29,1,BJ367)+(1-'Lease Cycles'!$BE$29)*IF(BJ368&lt;INDEX('Lease Cycles'!$FA$29:$FG$29,1,BJ367),0,1-INDEX('Lease Cycles'!$EM$29:$ES$29,1,BJ367)),IF(OR(INDEX('Lease Cycles'!$DY$29:$EE$29,1,BJ367)=1,BJ368&gt;0),1,1-INDEX('Lease Cycles'!$DD$29:$DJ$29,1,BJ367))*((1-'Lease Cycles'!$AJ$29)*INDEX('Lease Cycles'!$FO$29:$FU$29,1,BJ367)+(1-'Lease Cycles'!$BE$29)*(1-INDEX('Lease Cycles'!$FO$29:$FU$29,1,BJ367)))),0)</f>
        <v>0</v>
      </c>
      <c r="BK375" s="24">
        <f>IF(BK369=1,'Lease Cycles'!$D$29*IF(INDEX('Lease Cycles'!$EF$29:$EL$29,1,BK367)=1,(1-'Lease Cycles'!$AJ$29)*INDEX('Lease Cycles'!$EM$29:$ES$29,1,BK367)+(1-'Lease Cycles'!$BE$29)*IF(BK368&lt;INDEX('Lease Cycles'!$FA$29:$FG$29,1,BK367),0,1-INDEX('Lease Cycles'!$EM$29:$ES$29,1,BK367)),IF(OR(INDEX('Lease Cycles'!$DY$29:$EE$29,1,BK367)=1,BK368&gt;0),1,1-INDEX('Lease Cycles'!$DD$29:$DJ$29,1,BK367))*((1-'Lease Cycles'!$AJ$29)*INDEX('Lease Cycles'!$FO$29:$FU$29,1,BK367)+(1-'Lease Cycles'!$BE$29)*(1-INDEX('Lease Cycles'!$FO$29:$FU$29,1,BK367)))),0)</f>
        <v>0</v>
      </c>
      <c r="BL375" s="24">
        <f>IF(BL369=1,'Lease Cycles'!$D$29*IF(INDEX('Lease Cycles'!$EF$29:$EL$29,1,BL367)=1,(1-'Lease Cycles'!$AJ$29)*INDEX('Lease Cycles'!$EM$29:$ES$29,1,BL367)+(1-'Lease Cycles'!$BE$29)*IF(BL368&lt;INDEX('Lease Cycles'!$FA$29:$FG$29,1,BL367),0,1-INDEX('Lease Cycles'!$EM$29:$ES$29,1,BL367)),IF(OR(INDEX('Lease Cycles'!$DY$29:$EE$29,1,BL367)=1,BL368&gt;0),1,1-INDEX('Lease Cycles'!$DD$29:$DJ$29,1,BL367))*((1-'Lease Cycles'!$AJ$29)*INDEX('Lease Cycles'!$FO$29:$FU$29,1,BL367)+(1-'Lease Cycles'!$BE$29)*(1-INDEX('Lease Cycles'!$FO$29:$FU$29,1,BL367)))),0)</f>
        <v>0</v>
      </c>
      <c r="BM375" s="24">
        <f>IF(BM369=1,'Lease Cycles'!$D$29*IF(INDEX('Lease Cycles'!$EF$29:$EL$29,1,BM367)=1,(1-'Lease Cycles'!$AJ$29)*INDEX('Lease Cycles'!$EM$29:$ES$29,1,BM367)+(1-'Lease Cycles'!$BE$29)*IF(BM368&lt;INDEX('Lease Cycles'!$FA$29:$FG$29,1,BM367),0,1-INDEX('Lease Cycles'!$EM$29:$ES$29,1,BM367)),IF(OR(INDEX('Lease Cycles'!$DY$29:$EE$29,1,BM367)=1,BM368&gt;0),1,1-INDEX('Lease Cycles'!$DD$29:$DJ$29,1,BM367))*((1-'Lease Cycles'!$AJ$29)*INDEX('Lease Cycles'!$FO$29:$FU$29,1,BM367)+(1-'Lease Cycles'!$BE$29)*(1-INDEX('Lease Cycles'!$FO$29:$FU$29,1,BM367)))),0)</f>
        <v>0</v>
      </c>
      <c r="BN375" s="24">
        <f>IF(BN369=1,'Lease Cycles'!$D$29*IF(INDEX('Lease Cycles'!$EF$29:$EL$29,1,BN367)=1,(1-'Lease Cycles'!$AJ$29)*INDEX('Lease Cycles'!$EM$29:$ES$29,1,BN367)+(1-'Lease Cycles'!$BE$29)*IF(BN368&lt;INDEX('Lease Cycles'!$FA$29:$FG$29,1,BN367),0,1-INDEX('Lease Cycles'!$EM$29:$ES$29,1,BN367)),IF(OR(INDEX('Lease Cycles'!$DY$29:$EE$29,1,BN367)=1,BN368&gt;0),1,1-INDEX('Lease Cycles'!$DD$29:$DJ$29,1,BN367))*((1-'Lease Cycles'!$AJ$29)*INDEX('Lease Cycles'!$FO$29:$FU$29,1,BN367)+(1-'Lease Cycles'!$BE$29)*(1-INDEX('Lease Cycles'!$FO$29:$FU$29,1,BN367)))),0)</f>
        <v>0</v>
      </c>
      <c r="BO375" s="24">
        <f>IF(BO369=1,'Lease Cycles'!$D$29*IF(INDEX('Lease Cycles'!$EF$29:$EL$29,1,BO367)=1,(1-'Lease Cycles'!$AJ$29)*INDEX('Lease Cycles'!$EM$29:$ES$29,1,BO367)+(1-'Lease Cycles'!$BE$29)*IF(BO368&lt;INDEX('Lease Cycles'!$FA$29:$FG$29,1,BO367),0,1-INDEX('Lease Cycles'!$EM$29:$ES$29,1,BO367)),IF(OR(INDEX('Lease Cycles'!$DY$29:$EE$29,1,BO367)=1,BO368&gt;0),1,1-INDEX('Lease Cycles'!$DD$29:$DJ$29,1,BO367))*((1-'Lease Cycles'!$AJ$29)*INDEX('Lease Cycles'!$FO$29:$FU$29,1,BO367)+(1-'Lease Cycles'!$BE$29)*(1-INDEX('Lease Cycles'!$FO$29:$FU$29,1,BO367)))),0)</f>
        <v>0</v>
      </c>
      <c r="BP375" s="24">
        <f>IF(BP369=1,'Lease Cycles'!$D$29*IF(INDEX('Lease Cycles'!$EF$29:$EL$29,1,BP367)=1,(1-'Lease Cycles'!$AJ$29)*INDEX('Lease Cycles'!$EM$29:$ES$29,1,BP367)+(1-'Lease Cycles'!$BE$29)*IF(BP368&lt;INDEX('Lease Cycles'!$FA$29:$FG$29,1,BP367),0,1-INDEX('Lease Cycles'!$EM$29:$ES$29,1,BP367)),IF(OR(INDEX('Lease Cycles'!$DY$29:$EE$29,1,BP367)=1,BP368&gt;0),1,1-INDEX('Lease Cycles'!$DD$29:$DJ$29,1,BP367))*((1-'Lease Cycles'!$AJ$29)*INDEX('Lease Cycles'!$FO$29:$FU$29,1,BP367)+(1-'Lease Cycles'!$BE$29)*(1-INDEX('Lease Cycles'!$FO$29:$FU$29,1,BP367)))),0)</f>
        <v>0</v>
      </c>
      <c r="BQ375" s="24">
        <f>IF(BQ369=1,'Lease Cycles'!$D$29*IF(INDEX('Lease Cycles'!$EF$29:$EL$29,1,BQ367)=1,(1-'Lease Cycles'!$AJ$29)*INDEX('Lease Cycles'!$EM$29:$ES$29,1,BQ367)+(1-'Lease Cycles'!$BE$29)*IF(BQ368&lt;INDEX('Lease Cycles'!$FA$29:$FG$29,1,BQ367),0,1-INDEX('Lease Cycles'!$EM$29:$ES$29,1,BQ367)),IF(OR(INDEX('Lease Cycles'!$DY$29:$EE$29,1,BQ367)=1,BQ368&gt;0),1,1-INDEX('Lease Cycles'!$DD$29:$DJ$29,1,BQ367))*((1-'Lease Cycles'!$AJ$29)*INDEX('Lease Cycles'!$FO$29:$FU$29,1,BQ367)+(1-'Lease Cycles'!$BE$29)*(1-INDEX('Lease Cycles'!$FO$29:$FU$29,1,BQ367)))),0)</f>
        <v>0</v>
      </c>
      <c r="BR375" s="24">
        <f>IF(BR369=1,'Lease Cycles'!$D$29*IF(INDEX('Lease Cycles'!$EF$29:$EL$29,1,BR367)=1,(1-'Lease Cycles'!$AJ$29)*INDEX('Lease Cycles'!$EM$29:$ES$29,1,BR367)+(1-'Lease Cycles'!$BE$29)*IF(BR368&lt;INDEX('Lease Cycles'!$FA$29:$FG$29,1,BR367),0,1-INDEX('Lease Cycles'!$EM$29:$ES$29,1,BR367)),IF(OR(INDEX('Lease Cycles'!$DY$29:$EE$29,1,BR367)=1,BR368&gt;0),1,1-INDEX('Lease Cycles'!$DD$29:$DJ$29,1,BR367))*((1-'Lease Cycles'!$AJ$29)*INDEX('Lease Cycles'!$FO$29:$FU$29,1,BR367)+(1-'Lease Cycles'!$BE$29)*(1-INDEX('Lease Cycles'!$FO$29:$FU$29,1,BR367)))),0)</f>
        <v>0</v>
      </c>
      <c r="BS375" s="24">
        <f>IF(BS369=1,'Lease Cycles'!$D$29*IF(INDEX('Lease Cycles'!$EF$29:$EL$29,1,BS367)=1,(1-'Lease Cycles'!$AJ$29)*INDEX('Lease Cycles'!$EM$29:$ES$29,1,BS367)+(1-'Lease Cycles'!$BE$29)*IF(BS368&lt;INDEX('Lease Cycles'!$FA$29:$FG$29,1,BS367),0,1-INDEX('Lease Cycles'!$EM$29:$ES$29,1,BS367)),IF(OR(INDEX('Lease Cycles'!$DY$29:$EE$29,1,BS367)=1,BS368&gt;0),1,1-INDEX('Lease Cycles'!$DD$29:$DJ$29,1,BS367))*((1-'Lease Cycles'!$AJ$29)*INDEX('Lease Cycles'!$FO$29:$FU$29,1,BS367)+(1-'Lease Cycles'!$BE$29)*(1-INDEX('Lease Cycles'!$FO$29:$FU$29,1,BS367)))),0)</f>
        <v>0</v>
      </c>
      <c r="BT375" s="24">
        <f>IF(BT369=1,'Lease Cycles'!$D$29*IF(INDEX('Lease Cycles'!$EF$29:$EL$29,1,BT367)=1,(1-'Lease Cycles'!$AJ$29)*INDEX('Lease Cycles'!$EM$29:$ES$29,1,BT367)+(1-'Lease Cycles'!$BE$29)*IF(BT368&lt;INDEX('Lease Cycles'!$FA$29:$FG$29,1,BT367),0,1-INDEX('Lease Cycles'!$EM$29:$ES$29,1,BT367)),IF(OR(INDEX('Lease Cycles'!$DY$29:$EE$29,1,BT367)=1,BT368&gt;0),1,1-INDEX('Lease Cycles'!$DD$29:$DJ$29,1,BT367))*((1-'Lease Cycles'!$AJ$29)*INDEX('Lease Cycles'!$FO$29:$FU$29,1,BT367)+(1-'Lease Cycles'!$BE$29)*(1-INDEX('Lease Cycles'!$FO$29:$FU$29,1,BT367)))),0)</f>
        <v>0</v>
      </c>
      <c r="BU375" s="24">
        <f>IF(BU369=1,'Lease Cycles'!$D$29*IF(INDEX('Lease Cycles'!$EF$29:$EL$29,1,BU367)=1,(1-'Lease Cycles'!$AJ$29)*INDEX('Lease Cycles'!$EM$29:$ES$29,1,BU367)+(1-'Lease Cycles'!$BE$29)*IF(BU368&lt;INDEX('Lease Cycles'!$FA$29:$FG$29,1,BU367),0,1-INDEX('Lease Cycles'!$EM$29:$ES$29,1,BU367)),IF(OR(INDEX('Lease Cycles'!$DY$29:$EE$29,1,BU367)=1,BU368&gt;0),1,1-INDEX('Lease Cycles'!$DD$29:$DJ$29,1,BU367))*((1-'Lease Cycles'!$AJ$29)*INDEX('Lease Cycles'!$FO$29:$FU$29,1,BU367)+(1-'Lease Cycles'!$BE$29)*(1-INDEX('Lease Cycles'!$FO$29:$FU$29,1,BU367)))),0)</f>
        <v>0</v>
      </c>
      <c r="BV375" s="24">
        <f>IF(BV369=1,'Lease Cycles'!$D$29*IF(INDEX('Lease Cycles'!$EF$29:$EL$29,1,BV367)=1,(1-'Lease Cycles'!$AJ$29)*INDEX('Lease Cycles'!$EM$29:$ES$29,1,BV367)+(1-'Lease Cycles'!$BE$29)*IF(BV368&lt;INDEX('Lease Cycles'!$FA$29:$FG$29,1,BV367),0,1-INDEX('Lease Cycles'!$EM$29:$ES$29,1,BV367)),IF(OR(INDEX('Lease Cycles'!$DY$29:$EE$29,1,BV367)=1,BV368&gt;0),1,1-INDEX('Lease Cycles'!$DD$29:$DJ$29,1,BV367))*((1-'Lease Cycles'!$AJ$29)*INDEX('Lease Cycles'!$FO$29:$FU$29,1,BV367)+(1-'Lease Cycles'!$BE$29)*(1-INDEX('Lease Cycles'!$FO$29:$FU$29,1,BV367)))),0)</f>
        <v>0</v>
      </c>
      <c r="BW375" s="24">
        <f>IF(BW369=1,'Lease Cycles'!$D$29*IF(INDEX('Lease Cycles'!$EF$29:$EL$29,1,BW367)=1,(1-'Lease Cycles'!$AJ$29)*INDEX('Lease Cycles'!$EM$29:$ES$29,1,BW367)+(1-'Lease Cycles'!$BE$29)*IF(BW368&lt;INDEX('Lease Cycles'!$FA$29:$FG$29,1,BW367),0,1-INDEX('Lease Cycles'!$EM$29:$ES$29,1,BW367)),IF(OR(INDEX('Lease Cycles'!$DY$29:$EE$29,1,BW367)=1,BW368&gt;0),1,1-INDEX('Lease Cycles'!$DD$29:$DJ$29,1,BW367))*((1-'Lease Cycles'!$AJ$29)*INDEX('Lease Cycles'!$FO$29:$FU$29,1,BW367)+(1-'Lease Cycles'!$BE$29)*(1-INDEX('Lease Cycles'!$FO$29:$FU$29,1,BW367)))),0)</f>
        <v>0</v>
      </c>
      <c r="BX375" s="24">
        <f>IF(BX369=1,'Lease Cycles'!$D$29*IF(INDEX('Lease Cycles'!$EF$29:$EL$29,1,BX367)=1,(1-'Lease Cycles'!$AJ$29)*INDEX('Lease Cycles'!$EM$29:$ES$29,1,BX367)+(1-'Lease Cycles'!$BE$29)*IF(BX368&lt;INDEX('Lease Cycles'!$FA$29:$FG$29,1,BX367),0,1-INDEX('Lease Cycles'!$EM$29:$ES$29,1,BX367)),IF(OR(INDEX('Lease Cycles'!$DY$29:$EE$29,1,BX367)=1,BX368&gt;0),1,1-INDEX('Lease Cycles'!$DD$29:$DJ$29,1,BX367))*((1-'Lease Cycles'!$AJ$29)*INDEX('Lease Cycles'!$FO$29:$FU$29,1,BX367)+(1-'Lease Cycles'!$BE$29)*(1-INDEX('Lease Cycles'!$FO$29:$FU$29,1,BX367)))),0)</f>
        <v>0</v>
      </c>
      <c r="BY375" s="24">
        <f>IF(BY369=1,'Lease Cycles'!$D$29*IF(INDEX('Lease Cycles'!$EF$29:$EL$29,1,BY367)=1,(1-'Lease Cycles'!$AJ$29)*INDEX('Lease Cycles'!$EM$29:$ES$29,1,BY367)+(1-'Lease Cycles'!$BE$29)*IF(BY368&lt;INDEX('Lease Cycles'!$FA$29:$FG$29,1,BY367),0,1-INDEX('Lease Cycles'!$EM$29:$ES$29,1,BY367)),IF(OR(INDEX('Lease Cycles'!$DY$29:$EE$29,1,BY367)=1,BY368&gt;0),1,1-INDEX('Lease Cycles'!$DD$29:$DJ$29,1,BY367))*((1-'Lease Cycles'!$AJ$29)*INDEX('Lease Cycles'!$FO$29:$FU$29,1,BY367)+(1-'Lease Cycles'!$BE$29)*(1-INDEX('Lease Cycles'!$FO$29:$FU$29,1,BY367)))),0)</f>
        <v>0</v>
      </c>
      <c r="BZ375" s="24">
        <f>IF(BZ369=1,'Lease Cycles'!$D$29*IF(INDEX('Lease Cycles'!$EF$29:$EL$29,1,BZ367)=1,(1-'Lease Cycles'!$AJ$29)*INDEX('Lease Cycles'!$EM$29:$ES$29,1,BZ367)+(1-'Lease Cycles'!$BE$29)*IF(BZ368&lt;INDEX('Lease Cycles'!$FA$29:$FG$29,1,BZ367),0,1-INDEX('Lease Cycles'!$EM$29:$ES$29,1,BZ367)),IF(OR(INDEX('Lease Cycles'!$DY$29:$EE$29,1,BZ367)=1,BZ368&gt;0),1,1-INDEX('Lease Cycles'!$DD$29:$DJ$29,1,BZ367))*((1-'Lease Cycles'!$AJ$29)*INDEX('Lease Cycles'!$FO$29:$FU$29,1,BZ367)+(1-'Lease Cycles'!$BE$29)*(1-INDEX('Lease Cycles'!$FO$29:$FU$29,1,BZ367)))),0)</f>
        <v>0</v>
      </c>
      <c r="CA375" s="24">
        <f>IF(CA369=1,'Lease Cycles'!$D$29*IF(INDEX('Lease Cycles'!$EF$29:$EL$29,1,CA367)=1,(1-'Lease Cycles'!$AJ$29)*INDEX('Lease Cycles'!$EM$29:$ES$29,1,CA367)+(1-'Lease Cycles'!$BE$29)*IF(CA368&lt;INDEX('Lease Cycles'!$FA$29:$FG$29,1,CA367),0,1-INDEX('Lease Cycles'!$EM$29:$ES$29,1,CA367)),IF(OR(INDEX('Lease Cycles'!$DY$29:$EE$29,1,CA367)=1,CA368&gt;0),1,1-INDEX('Lease Cycles'!$DD$29:$DJ$29,1,CA367))*((1-'Lease Cycles'!$AJ$29)*INDEX('Lease Cycles'!$FO$29:$FU$29,1,CA367)+(1-'Lease Cycles'!$BE$29)*(1-INDEX('Lease Cycles'!$FO$29:$FU$29,1,CA367)))),0)</f>
        <v>0</v>
      </c>
      <c r="CB375" s="24">
        <f>IF(CB369=1,'Lease Cycles'!$D$29*IF(INDEX('Lease Cycles'!$EF$29:$EL$29,1,CB367)=1,(1-'Lease Cycles'!$AJ$29)*INDEX('Lease Cycles'!$EM$29:$ES$29,1,CB367)+(1-'Lease Cycles'!$BE$29)*IF(CB368&lt;INDEX('Lease Cycles'!$FA$29:$FG$29,1,CB367),0,1-INDEX('Lease Cycles'!$EM$29:$ES$29,1,CB367)),IF(OR(INDEX('Lease Cycles'!$DY$29:$EE$29,1,CB367)=1,CB368&gt;0),1,1-INDEX('Lease Cycles'!$DD$29:$DJ$29,1,CB367))*((1-'Lease Cycles'!$AJ$29)*INDEX('Lease Cycles'!$FO$29:$FU$29,1,CB367)+(1-'Lease Cycles'!$BE$29)*(1-INDEX('Lease Cycles'!$FO$29:$FU$29,1,CB367)))),0)</f>
        <v>0</v>
      </c>
      <c r="CC375" s="24">
        <f>IF(CC369=1,'Lease Cycles'!$D$29*IF(INDEX('Lease Cycles'!$EF$29:$EL$29,1,CC367)=1,(1-'Lease Cycles'!$AJ$29)*INDEX('Lease Cycles'!$EM$29:$ES$29,1,CC367)+(1-'Lease Cycles'!$BE$29)*IF(CC368&lt;INDEX('Lease Cycles'!$FA$29:$FG$29,1,CC367),0,1-INDEX('Lease Cycles'!$EM$29:$ES$29,1,CC367)),IF(OR(INDEX('Lease Cycles'!$DY$29:$EE$29,1,CC367)=1,CC368&gt;0),1,1-INDEX('Lease Cycles'!$DD$29:$DJ$29,1,CC367))*((1-'Lease Cycles'!$AJ$29)*INDEX('Lease Cycles'!$FO$29:$FU$29,1,CC367)+(1-'Lease Cycles'!$BE$29)*(1-INDEX('Lease Cycles'!$FO$29:$FU$29,1,CC367)))),0)</f>
        <v>0</v>
      </c>
      <c r="CD375" s="24">
        <f>IF(CD369=1,'Lease Cycles'!$D$29*IF(INDEX('Lease Cycles'!$EF$29:$EL$29,1,CD367)=1,(1-'Lease Cycles'!$AJ$29)*INDEX('Lease Cycles'!$EM$29:$ES$29,1,CD367)+(1-'Lease Cycles'!$BE$29)*IF(CD368&lt;INDEX('Lease Cycles'!$FA$29:$FG$29,1,CD367),0,1-INDEX('Lease Cycles'!$EM$29:$ES$29,1,CD367)),IF(OR(INDEX('Lease Cycles'!$DY$29:$EE$29,1,CD367)=1,CD368&gt;0),1,1-INDEX('Lease Cycles'!$DD$29:$DJ$29,1,CD367))*((1-'Lease Cycles'!$AJ$29)*INDEX('Lease Cycles'!$FO$29:$FU$29,1,CD367)+(1-'Lease Cycles'!$BE$29)*(1-INDEX('Lease Cycles'!$FO$29:$FU$29,1,CD367)))),0)</f>
        <v>0</v>
      </c>
      <c r="CE375" s="24">
        <f>IF(CE369=1,'Lease Cycles'!$D$29*IF(INDEX('Lease Cycles'!$EF$29:$EL$29,1,CE367)=1,(1-'Lease Cycles'!$AJ$29)*INDEX('Lease Cycles'!$EM$29:$ES$29,1,CE367)+(1-'Lease Cycles'!$BE$29)*IF(CE368&lt;INDEX('Lease Cycles'!$FA$29:$FG$29,1,CE367),0,1-INDEX('Lease Cycles'!$EM$29:$ES$29,1,CE367)),IF(OR(INDEX('Lease Cycles'!$DY$29:$EE$29,1,CE367)=1,CE368&gt;0),1,1-INDEX('Lease Cycles'!$DD$29:$DJ$29,1,CE367))*((1-'Lease Cycles'!$AJ$29)*INDEX('Lease Cycles'!$FO$29:$FU$29,1,CE367)+(1-'Lease Cycles'!$BE$29)*(1-INDEX('Lease Cycles'!$FO$29:$FU$29,1,CE367)))),0)</f>
        <v>0</v>
      </c>
      <c r="CF375" s="24">
        <f>IF(CF369=1,'Lease Cycles'!$D$29*IF(INDEX('Lease Cycles'!$EF$29:$EL$29,1,CF367)=1,(1-'Lease Cycles'!$AJ$29)*INDEX('Lease Cycles'!$EM$29:$ES$29,1,CF367)+(1-'Lease Cycles'!$BE$29)*IF(CF368&lt;INDEX('Lease Cycles'!$FA$29:$FG$29,1,CF367),0,1-INDEX('Lease Cycles'!$EM$29:$ES$29,1,CF367)),IF(OR(INDEX('Lease Cycles'!$DY$29:$EE$29,1,CF367)=1,CF368&gt;0),1,1-INDEX('Lease Cycles'!$DD$29:$DJ$29,1,CF367))*((1-'Lease Cycles'!$AJ$29)*INDEX('Lease Cycles'!$FO$29:$FU$29,1,CF367)+(1-'Lease Cycles'!$BE$29)*(1-INDEX('Lease Cycles'!$FO$29:$FU$29,1,CF367)))),0)</f>
        <v>0</v>
      </c>
      <c r="CG375" s="24">
        <f>IF(CG369=1,'Lease Cycles'!$D$29*IF(INDEX('Lease Cycles'!$EF$29:$EL$29,1,CG367)=1,(1-'Lease Cycles'!$AJ$29)*INDEX('Lease Cycles'!$EM$29:$ES$29,1,CG367)+(1-'Lease Cycles'!$BE$29)*IF(CG368&lt;INDEX('Lease Cycles'!$FA$29:$FG$29,1,CG367),0,1-INDEX('Lease Cycles'!$EM$29:$ES$29,1,CG367)),IF(OR(INDEX('Lease Cycles'!$DY$29:$EE$29,1,CG367)=1,CG368&gt;0),1,1-INDEX('Lease Cycles'!$DD$29:$DJ$29,1,CG367))*((1-'Lease Cycles'!$AJ$29)*INDEX('Lease Cycles'!$FO$29:$FU$29,1,CG367)+(1-'Lease Cycles'!$BE$29)*(1-INDEX('Lease Cycles'!$FO$29:$FU$29,1,CG367)))),0)</f>
        <v>0</v>
      </c>
      <c r="CH375" s="24">
        <f>IF(CH369=1,'Lease Cycles'!$D$29*IF(INDEX('Lease Cycles'!$EF$29:$EL$29,1,CH367)=1,(1-'Lease Cycles'!$AJ$29)*INDEX('Lease Cycles'!$EM$29:$ES$29,1,CH367)+(1-'Lease Cycles'!$BE$29)*IF(CH368&lt;INDEX('Lease Cycles'!$FA$29:$FG$29,1,CH367),0,1-INDEX('Lease Cycles'!$EM$29:$ES$29,1,CH367)),IF(OR(INDEX('Lease Cycles'!$DY$29:$EE$29,1,CH367)=1,CH368&gt;0),1,1-INDEX('Lease Cycles'!$DD$29:$DJ$29,1,CH367))*((1-'Lease Cycles'!$AJ$29)*INDEX('Lease Cycles'!$FO$29:$FU$29,1,CH367)+(1-'Lease Cycles'!$BE$29)*(1-INDEX('Lease Cycles'!$FO$29:$FU$29,1,CH367)))),0)</f>
        <v>0</v>
      </c>
      <c r="CI375" s="24">
        <f>IF(CI369=1,'Lease Cycles'!$D$29*IF(INDEX('Lease Cycles'!$EF$29:$EL$29,1,CI367)=1,(1-'Lease Cycles'!$AJ$29)*INDEX('Lease Cycles'!$EM$29:$ES$29,1,CI367)+(1-'Lease Cycles'!$BE$29)*IF(CI368&lt;INDEX('Lease Cycles'!$FA$29:$FG$29,1,CI367),0,1-INDEX('Lease Cycles'!$EM$29:$ES$29,1,CI367)),IF(OR(INDEX('Lease Cycles'!$DY$29:$EE$29,1,CI367)=1,CI368&gt;0),1,1-INDEX('Lease Cycles'!$DD$29:$DJ$29,1,CI367))*((1-'Lease Cycles'!$AJ$29)*INDEX('Lease Cycles'!$FO$29:$FU$29,1,CI367)+(1-'Lease Cycles'!$BE$29)*(1-INDEX('Lease Cycles'!$FO$29:$FU$29,1,CI367)))),0)</f>
        <v>0</v>
      </c>
      <c r="CJ375" s="24">
        <f>IF(CJ369=1,'Lease Cycles'!$D$29*IF(INDEX('Lease Cycles'!$EF$29:$EL$29,1,CJ367)=1,(1-'Lease Cycles'!$AJ$29)*INDEX('Lease Cycles'!$EM$29:$ES$29,1,CJ367)+(1-'Lease Cycles'!$BE$29)*IF(CJ368&lt;INDEX('Lease Cycles'!$FA$29:$FG$29,1,CJ367),0,1-INDEX('Lease Cycles'!$EM$29:$ES$29,1,CJ367)),IF(OR(INDEX('Lease Cycles'!$DY$29:$EE$29,1,CJ367)=1,CJ368&gt;0),1,1-INDEX('Lease Cycles'!$DD$29:$DJ$29,1,CJ367))*((1-'Lease Cycles'!$AJ$29)*INDEX('Lease Cycles'!$FO$29:$FU$29,1,CJ367)+(1-'Lease Cycles'!$BE$29)*(1-INDEX('Lease Cycles'!$FO$29:$FU$29,1,CJ367)))),0)</f>
        <v>0</v>
      </c>
      <c r="CK375" s="24">
        <f>IF(CK369=1,'Lease Cycles'!$D$29*IF(INDEX('Lease Cycles'!$EF$29:$EL$29,1,CK367)=1,(1-'Lease Cycles'!$AJ$29)*INDEX('Lease Cycles'!$EM$29:$ES$29,1,CK367)+(1-'Lease Cycles'!$BE$29)*IF(CK368&lt;INDEX('Lease Cycles'!$FA$29:$FG$29,1,CK367),0,1-INDEX('Lease Cycles'!$EM$29:$ES$29,1,CK367)),IF(OR(INDEX('Lease Cycles'!$DY$29:$EE$29,1,CK367)=1,CK368&gt;0),1,1-INDEX('Lease Cycles'!$DD$29:$DJ$29,1,CK367))*((1-'Lease Cycles'!$AJ$29)*INDEX('Lease Cycles'!$FO$29:$FU$29,1,CK367)+(1-'Lease Cycles'!$BE$29)*(1-INDEX('Lease Cycles'!$FO$29:$FU$29,1,CK367)))),0)</f>
        <v>0</v>
      </c>
      <c r="CL375" s="24">
        <f>IF(CL369=1,'Lease Cycles'!$D$29*IF(INDEX('Lease Cycles'!$EF$29:$EL$29,1,CL367)=1,(1-'Lease Cycles'!$AJ$29)*INDEX('Lease Cycles'!$EM$29:$ES$29,1,CL367)+(1-'Lease Cycles'!$BE$29)*IF(CL368&lt;INDEX('Lease Cycles'!$FA$29:$FG$29,1,CL367),0,1-INDEX('Lease Cycles'!$EM$29:$ES$29,1,CL367)),IF(OR(INDEX('Lease Cycles'!$DY$29:$EE$29,1,CL367)=1,CL368&gt;0),1,1-INDEX('Lease Cycles'!$DD$29:$DJ$29,1,CL367))*((1-'Lease Cycles'!$AJ$29)*INDEX('Lease Cycles'!$FO$29:$FU$29,1,CL367)+(1-'Lease Cycles'!$BE$29)*(1-INDEX('Lease Cycles'!$FO$29:$FU$29,1,CL367)))),0)</f>
        <v>0</v>
      </c>
      <c r="CM375" s="24">
        <f>IF(CM369=1,'Lease Cycles'!$D$29*IF(INDEX('Lease Cycles'!$EF$29:$EL$29,1,CM367)=1,(1-'Lease Cycles'!$AJ$29)*INDEX('Lease Cycles'!$EM$29:$ES$29,1,CM367)+(1-'Lease Cycles'!$BE$29)*IF(CM368&lt;INDEX('Lease Cycles'!$FA$29:$FG$29,1,CM367),0,1-INDEX('Lease Cycles'!$EM$29:$ES$29,1,CM367)),IF(OR(INDEX('Lease Cycles'!$DY$29:$EE$29,1,CM367)=1,CM368&gt;0),1,1-INDEX('Lease Cycles'!$DD$29:$DJ$29,1,CM367))*((1-'Lease Cycles'!$AJ$29)*INDEX('Lease Cycles'!$FO$29:$FU$29,1,CM367)+(1-'Lease Cycles'!$BE$29)*(1-INDEX('Lease Cycles'!$FO$29:$FU$29,1,CM367)))),0)</f>
        <v>0</v>
      </c>
      <c r="CN375" s="24">
        <f>IF(CN369=1,'Lease Cycles'!$D$29*IF(INDEX('Lease Cycles'!$EF$29:$EL$29,1,CN367)=1,(1-'Lease Cycles'!$AJ$29)*INDEX('Lease Cycles'!$EM$29:$ES$29,1,CN367)+(1-'Lease Cycles'!$BE$29)*IF(CN368&lt;INDEX('Lease Cycles'!$FA$29:$FG$29,1,CN367),0,1-INDEX('Lease Cycles'!$EM$29:$ES$29,1,CN367)),IF(OR(INDEX('Lease Cycles'!$DY$29:$EE$29,1,CN367)=1,CN368&gt;0),1,1-INDEX('Lease Cycles'!$DD$29:$DJ$29,1,CN367))*((1-'Lease Cycles'!$AJ$29)*INDEX('Lease Cycles'!$FO$29:$FU$29,1,CN367)+(1-'Lease Cycles'!$BE$29)*(1-INDEX('Lease Cycles'!$FO$29:$FU$29,1,CN367)))),0)</f>
        <v>0</v>
      </c>
      <c r="CO375" s="24">
        <f>IF(CO369=1,'Lease Cycles'!$D$29*IF(INDEX('Lease Cycles'!$EF$29:$EL$29,1,CO367)=1,(1-'Lease Cycles'!$AJ$29)*INDEX('Lease Cycles'!$EM$29:$ES$29,1,CO367)+(1-'Lease Cycles'!$BE$29)*IF(CO368&lt;INDEX('Lease Cycles'!$FA$29:$FG$29,1,CO367),0,1-INDEX('Lease Cycles'!$EM$29:$ES$29,1,CO367)),IF(OR(INDEX('Lease Cycles'!$DY$29:$EE$29,1,CO367)=1,CO368&gt;0),1,1-INDEX('Lease Cycles'!$DD$29:$DJ$29,1,CO367))*((1-'Lease Cycles'!$AJ$29)*INDEX('Lease Cycles'!$FO$29:$FU$29,1,CO367)+(1-'Lease Cycles'!$BE$29)*(1-INDEX('Lease Cycles'!$FO$29:$FU$29,1,CO367)))),0)</f>
        <v>0</v>
      </c>
      <c r="CP375" s="24">
        <f>IF(CP369=1,'Lease Cycles'!$D$29*IF(INDEX('Lease Cycles'!$EF$29:$EL$29,1,CP367)=1,(1-'Lease Cycles'!$AJ$29)*INDEX('Lease Cycles'!$EM$29:$ES$29,1,CP367)+(1-'Lease Cycles'!$BE$29)*IF(CP368&lt;INDEX('Lease Cycles'!$FA$29:$FG$29,1,CP367),0,1-INDEX('Lease Cycles'!$EM$29:$ES$29,1,CP367)),IF(OR(INDEX('Lease Cycles'!$DY$29:$EE$29,1,CP367)=1,CP368&gt;0),1,1-INDEX('Lease Cycles'!$DD$29:$DJ$29,1,CP367))*((1-'Lease Cycles'!$AJ$29)*INDEX('Lease Cycles'!$FO$29:$FU$29,1,CP367)+(1-'Lease Cycles'!$BE$29)*(1-INDEX('Lease Cycles'!$FO$29:$FU$29,1,CP367)))),0)</f>
        <v>0</v>
      </c>
      <c r="CQ375" s="24">
        <f>IF(CQ369=1,'Lease Cycles'!$D$29*IF(INDEX('Lease Cycles'!$EF$29:$EL$29,1,CQ367)=1,(1-'Lease Cycles'!$AJ$29)*INDEX('Lease Cycles'!$EM$29:$ES$29,1,CQ367)+(1-'Lease Cycles'!$BE$29)*IF(CQ368&lt;INDEX('Lease Cycles'!$FA$29:$FG$29,1,CQ367),0,1-INDEX('Lease Cycles'!$EM$29:$ES$29,1,CQ367)),IF(OR(INDEX('Lease Cycles'!$DY$29:$EE$29,1,CQ367)=1,CQ368&gt;0),1,1-INDEX('Lease Cycles'!$DD$29:$DJ$29,1,CQ367))*((1-'Lease Cycles'!$AJ$29)*INDEX('Lease Cycles'!$FO$29:$FU$29,1,CQ367)+(1-'Lease Cycles'!$BE$29)*(1-INDEX('Lease Cycles'!$FO$29:$FU$29,1,CQ367)))),0)</f>
        <v>0</v>
      </c>
      <c r="CR375" s="24">
        <f>IF(CR369=1,'Lease Cycles'!$D$29*IF(INDEX('Lease Cycles'!$EF$29:$EL$29,1,CR367)=1,(1-'Lease Cycles'!$AJ$29)*INDEX('Lease Cycles'!$EM$29:$ES$29,1,CR367)+(1-'Lease Cycles'!$BE$29)*IF(CR368&lt;INDEX('Lease Cycles'!$FA$29:$FG$29,1,CR367),0,1-INDEX('Lease Cycles'!$EM$29:$ES$29,1,CR367)),IF(OR(INDEX('Lease Cycles'!$DY$29:$EE$29,1,CR367)=1,CR368&gt;0),1,1-INDEX('Lease Cycles'!$DD$29:$DJ$29,1,CR367))*((1-'Lease Cycles'!$AJ$29)*INDEX('Lease Cycles'!$FO$29:$FU$29,1,CR367)+(1-'Lease Cycles'!$BE$29)*(1-INDEX('Lease Cycles'!$FO$29:$FU$29,1,CR367)))),0)</f>
        <v>0</v>
      </c>
      <c r="CS375" s="24">
        <f>IF(CS369=1,'Lease Cycles'!$D$29*IF(INDEX('Lease Cycles'!$EF$29:$EL$29,1,CS367)=1,(1-'Lease Cycles'!$AJ$29)*INDEX('Lease Cycles'!$EM$29:$ES$29,1,CS367)+(1-'Lease Cycles'!$BE$29)*IF(CS368&lt;INDEX('Lease Cycles'!$FA$29:$FG$29,1,CS367),0,1-INDEX('Lease Cycles'!$EM$29:$ES$29,1,CS367)),IF(OR(INDEX('Lease Cycles'!$DY$29:$EE$29,1,CS367)=1,CS368&gt;0),1,1-INDEX('Lease Cycles'!$DD$29:$DJ$29,1,CS367))*((1-'Lease Cycles'!$AJ$29)*INDEX('Lease Cycles'!$FO$29:$FU$29,1,CS367)+(1-'Lease Cycles'!$BE$29)*(1-INDEX('Lease Cycles'!$FO$29:$FU$29,1,CS367)))),0)</f>
        <v>0</v>
      </c>
      <c r="CT375" s="24">
        <f>IF(CT369=1,'Lease Cycles'!$D$29*IF(INDEX('Lease Cycles'!$EF$29:$EL$29,1,CT367)=1,(1-'Lease Cycles'!$AJ$29)*INDEX('Lease Cycles'!$EM$29:$ES$29,1,CT367)+(1-'Lease Cycles'!$BE$29)*IF(CT368&lt;INDEX('Lease Cycles'!$FA$29:$FG$29,1,CT367),0,1-INDEX('Lease Cycles'!$EM$29:$ES$29,1,CT367)),IF(OR(INDEX('Lease Cycles'!$DY$29:$EE$29,1,CT367)=1,CT368&gt;0),1,1-INDEX('Lease Cycles'!$DD$29:$DJ$29,1,CT367))*((1-'Lease Cycles'!$AJ$29)*INDEX('Lease Cycles'!$FO$29:$FU$29,1,CT367)+(1-'Lease Cycles'!$BE$29)*(1-INDEX('Lease Cycles'!$FO$29:$FU$29,1,CT367)))),0)</f>
        <v>0</v>
      </c>
      <c r="CU375" s="24">
        <f>IF(CU369=1,'Lease Cycles'!$D$29*IF(INDEX('Lease Cycles'!$EF$29:$EL$29,1,CU367)=1,(1-'Lease Cycles'!$AJ$29)*INDEX('Lease Cycles'!$EM$29:$ES$29,1,CU367)+(1-'Lease Cycles'!$BE$29)*IF(CU368&lt;INDEX('Lease Cycles'!$FA$29:$FG$29,1,CU367),0,1-INDEX('Lease Cycles'!$EM$29:$ES$29,1,CU367)),IF(OR(INDEX('Lease Cycles'!$DY$29:$EE$29,1,CU367)=1,CU368&gt;0),1,1-INDEX('Lease Cycles'!$DD$29:$DJ$29,1,CU367))*((1-'Lease Cycles'!$AJ$29)*INDEX('Lease Cycles'!$FO$29:$FU$29,1,CU367)+(1-'Lease Cycles'!$BE$29)*(1-INDEX('Lease Cycles'!$FO$29:$FU$29,1,CU367)))),0)</f>
        <v>0</v>
      </c>
      <c r="CV375" s="24">
        <f>IF(CV369=1,'Lease Cycles'!$D$29*IF(INDEX('Lease Cycles'!$EF$29:$EL$29,1,CV367)=1,(1-'Lease Cycles'!$AJ$29)*INDEX('Lease Cycles'!$EM$29:$ES$29,1,CV367)+(1-'Lease Cycles'!$BE$29)*IF(CV368&lt;INDEX('Lease Cycles'!$FA$29:$FG$29,1,CV367),0,1-INDEX('Lease Cycles'!$EM$29:$ES$29,1,CV367)),IF(OR(INDEX('Lease Cycles'!$DY$29:$EE$29,1,CV367)=1,CV368&gt;0),1,1-INDEX('Lease Cycles'!$DD$29:$DJ$29,1,CV367))*((1-'Lease Cycles'!$AJ$29)*INDEX('Lease Cycles'!$FO$29:$FU$29,1,CV367)+(1-'Lease Cycles'!$BE$29)*(1-INDEX('Lease Cycles'!$FO$29:$FU$29,1,CV367)))),0)</f>
        <v>0</v>
      </c>
      <c r="CW375" s="24">
        <f>IF(CW369=1,'Lease Cycles'!$D$29*IF(INDEX('Lease Cycles'!$EF$29:$EL$29,1,CW367)=1,(1-'Lease Cycles'!$AJ$29)*INDEX('Lease Cycles'!$EM$29:$ES$29,1,CW367)+(1-'Lease Cycles'!$BE$29)*IF(CW368&lt;INDEX('Lease Cycles'!$FA$29:$FG$29,1,CW367),0,1-INDEX('Lease Cycles'!$EM$29:$ES$29,1,CW367)),IF(OR(INDEX('Lease Cycles'!$DY$29:$EE$29,1,CW367)=1,CW368&gt;0),1,1-INDEX('Lease Cycles'!$DD$29:$DJ$29,1,CW367))*((1-'Lease Cycles'!$AJ$29)*INDEX('Lease Cycles'!$FO$29:$FU$29,1,CW367)+(1-'Lease Cycles'!$BE$29)*(1-INDEX('Lease Cycles'!$FO$29:$FU$29,1,CW367)))),0)</f>
        <v>0</v>
      </c>
      <c r="CX375" s="24">
        <f>IF(CX369=1,'Lease Cycles'!$D$29*IF(INDEX('Lease Cycles'!$EF$29:$EL$29,1,CX367)=1,(1-'Lease Cycles'!$AJ$29)*INDEX('Lease Cycles'!$EM$29:$ES$29,1,CX367)+(1-'Lease Cycles'!$BE$29)*IF(CX368&lt;INDEX('Lease Cycles'!$FA$29:$FG$29,1,CX367),0,1-INDEX('Lease Cycles'!$EM$29:$ES$29,1,CX367)),IF(OR(INDEX('Lease Cycles'!$DY$29:$EE$29,1,CX367)=1,CX368&gt;0),1,1-INDEX('Lease Cycles'!$DD$29:$DJ$29,1,CX367))*((1-'Lease Cycles'!$AJ$29)*INDEX('Lease Cycles'!$FO$29:$FU$29,1,CX367)+(1-'Lease Cycles'!$BE$29)*(1-INDEX('Lease Cycles'!$FO$29:$FU$29,1,CX367)))),0)</f>
        <v>0</v>
      </c>
      <c r="CY375" s="24">
        <f>IF(CY369=1,'Lease Cycles'!$D$29*IF(INDEX('Lease Cycles'!$EF$29:$EL$29,1,CY367)=1,(1-'Lease Cycles'!$AJ$29)*INDEX('Lease Cycles'!$EM$29:$ES$29,1,CY367)+(1-'Lease Cycles'!$BE$29)*IF(CY368&lt;INDEX('Lease Cycles'!$FA$29:$FG$29,1,CY367),0,1-INDEX('Lease Cycles'!$EM$29:$ES$29,1,CY367)),IF(OR(INDEX('Lease Cycles'!$DY$29:$EE$29,1,CY367)=1,CY368&gt;0),1,1-INDEX('Lease Cycles'!$DD$29:$DJ$29,1,CY367))*((1-'Lease Cycles'!$AJ$29)*INDEX('Lease Cycles'!$FO$29:$FU$29,1,CY367)+(1-'Lease Cycles'!$BE$29)*(1-INDEX('Lease Cycles'!$FO$29:$FU$29,1,CY367)))),0)</f>
        <v>0</v>
      </c>
      <c r="CZ375" s="24">
        <f>IF(CZ369=1,'Lease Cycles'!$D$29*IF(INDEX('Lease Cycles'!$EF$29:$EL$29,1,CZ367)=1,(1-'Lease Cycles'!$AJ$29)*INDEX('Lease Cycles'!$EM$29:$ES$29,1,CZ367)+(1-'Lease Cycles'!$BE$29)*IF(CZ368&lt;INDEX('Lease Cycles'!$FA$29:$FG$29,1,CZ367),0,1-INDEX('Lease Cycles'!$EM$29:$ES$29,1,CZ367)),IF(OR(INDEX('Lease Cycles'!$DY$29:$EE$29,1,CZ367)=1,CZ368&gt;0),1,1-INDEX('Lease Cycles'!$DD$29:$DJ$29,1,CZ367))*((1-'Lease Cycles'!$AJ$29)*INDEX('Lease Cycles'!$FO$29:$FU$29,1,CZ367)+(1-'Lease Cycles'!$BE$29)*(1-INDEX('Lease Cycles'!$FO$29:$FU$29,1,CZ367)))),0)</f>
        <v>0</v>
      </c>
      <c r="DA375" s="24">
        <f>IF(DA369=1,'Lease Cycles'!$D$29*IF(INDEX('Lease Cycles'!$EF$29:$EL$29,1,DA367)=1,(1-'Lease Cycles'!$AJ$29)*INDEX('Lease Cycles'!$EM$29:$ES$29,1,DA367)+(1-'Lease Cycles'!$BE$29)*IF(DA368&lt;INDEX('Lease Cycles'!$FA$29:$FG$29,1,DA367),0,1-INDEX('Lease Cycles'!$EM$29:$ES$29,1,DA367)),IF(OR(INDEX('Lease Cycles'!$DY$29:$EE$29,1,DA367)=1,DA368&gt;0),1,1-INDEX('Lease Cycles'!$DD$29:$DJ$29,1,DA367))*((1-'Lease Cycles'!$AJ$29)*INDEX('Lease Cycles'!$FO$29:$FU$29,1,DA367)+(1-'Lease Cycles'!$BE$29)*(1-INDEX('Lease Cycles'!$FO$29:$FU$29,1,DA367)))),0)</f>
        <v>0</v>
      </c>
      <c r="DB375" s="24">
        <f>IF(DB369=1,'Lease Cycles'!$D$29*IF(INDEX('Lease Cycles'!$EF$29:$EL$29,1,DB367)=1,(1-'Lease Cycles'!$AJ$29)*INDEX('Lease Cycles'!$EM$29:$ES$29,1,DB367)+(1-'Lease Cycles'!$BE$29)*IF(DB368&lt;INDEX('Lease Cycles'!$FA$29:$FG$29,1,DB367),0,1-INDEX('Lease Cycles'!$EM$29:$ES$29,1,DB367)),IF(OR(INDEX('Lease Cycles'!$DY$29:$EE$29,1,DB367)=1,DB368&gt;0),1,1-INDEX('Lease Cycles'!$DD$29:$DJ$29,1,DB367))*((1-'Lease Cycles'!$AJ$29)*INDEX('Lease Cycles'!$FO$29:$FU$29,1,DB367)+(1-'Lease Cycles'!$BE$29)*(1-INDEX('Lease Cycles'!$FO$29:$FU$29,1,DB367)))),0)</f>
        <v>0</v>
      </c>
      <c r="DC375" s="24">
        <f>IF(DC369=1,'Lease Cycles'!$D$29*IF(INDEX('Lease Cycles'!$EF$29:$EL$29,1,DC367)=1,(1-'Lease Cycles'!$AJ$29)*INDEX('Lease Cycles'!$EM$29:$ES$29,1,DC367)+(1-'Lease Cycles'!$BE$29)*IF(DC368&lt;INDEX('Lease Cycles'!$FA$29:$FG$29,1,DC367),0,1-INDEX('Lease Cycles'!$EM$29:$ES$29,1,DC367)),IF(OR(INDEX('Lease Cycles'!$DY$29:$EE$29,1,DC367)=1,DC368&gt;0),1,1-INDEX('Lease Cycles'!$DD$29:$DJ$29,1,DC367))*((1-'Lease Cycles'!$AJ$29)*INDEX('Lease Cycles'!$FO$29:$FU$29,1,DC367)+(1-'Lease Cycles'!$BE$29)*(1-INDEX('Lease Cycles'!$FO$29:$FU$29,1,DC367)))),0)</f>
        <v>0</v>
      </c>
      <c r="DD375" s="24">
        <f>IF(DD369=1,'Lease Cycles'!$D$29*IF(INDEX('Lease Cycles'!$EF$29:$EL$29,1,DD367)=1,(1-'Lease Cycles'!$AJ$29)*INDEX('Lease Cycles'!$EM$29:$ES$29,1,DD367)+(1-'Lease Cycles'!$BE$29)*IF(DD368&lt;INDEX('Lease Cycles'!$FA$29:$FG$29,1,DD367),0,1-INDEX('Lease Cycles'!$EM$29:$ES$29,1,DD367)),IF(OR(INDEX('Lease Cycles'!$DY$29:$EE$29,1,DD367)=1,DD368&gt;0),1,1-INDEX('Lease Cycles'!$DD$29:$DJ$29,1,DD367))*((1-'Lease Cycles'!$AJ$29)*INDEX('Lease Cycles'!$FO$29:$FU$29,1,DD367)+(1-'Lease Cycles'!$BE$29)*(1-INDEX('Lease Cycles'!$FO$29:$FU$29,1,DD367)))),0)</f>
        <v>0</v>
      </c>
      <c r="DE375" s="24">
        <f>IF(DE369=1,'Lease Cycles'!$D$29*IF(INDEX('Lease Cycles'!$EF$29:$EL$29,1,DE367)=1,(1-'Lease Cycles'!$AJ$29)*INDEX('Lease Cycles'!$EM$29:$ES$29,1,DE367)+(1-'Lease Cycles'!$BE$29)*IF(DE368&lt;INDEX('Lease Cycles'!$FA$29:$FG$29,1,DE367),0,1-INDEX('Lease Cycles'!$EM$29:$ES$29,1,DE367)),IF(OR(INDEX('Lease Cycles'!$DY$29:$EE$29,1,DE367)=1,DE368&gt;0),1,1-INDEX('Lease Cycles'!$DD$29:$DJ$29,1,DE367))*((1-'Lease Cycles'!$AJ$29)*INDEX('Lease Cycles'!$FO$29:$FU$29,1,DE367)+(1-'Lease Cycles'!$BE$29)*(1-INDEX('Lease Cycles'!$FO$29:$FU$29,1,DE367)))),0)</f>
        <v>0</v>
      </c>
      <c r="DF375" s="24">
        <f>IF(DF369=1,'Lease Cycles'!$D$29*IF(INDEX('Lease Cycles'!$EF$29:$EL$29,1,DF367)=1,(1-'Lease Cycles'!$AJ$29)*INDEX('Lease Cycles'!$EM$29:$ES$29,1,DF367)+(1-'Lease Cycles'!$BE$29)*IF(DF368&lt;INDEX('Lease Cycles'!$FA$29:$FG$29,1,DF367),0,1-INDEX('Lease Cycles'!$EM$29:$ES$29,1,DF367)),IF(OR(INDEX('Lease Cycles'!$DY$29:$EE$29,1,DF367)=1,DF368&gt;0),1,1-INDEX('Lease Cycles'!$DD$29:$DJ$29,1,DF367))*((1-'Lease Cycles'!$AJ$29)*INDEX('Lease Cycles'!$FO$29:$FU$29,1,DF367)+(1-'Lease Cycles'!$BE$29)*(1-INDEX('Lease Cycles'!$FO$29:$FU$29,1,DF367)))),0)</f>
        <v>0</v>
      </c>
      <c r="DG375" s="24">
        <f>IF(DG369=1,'Lease Cycles'!$D$29*IF(INDEX('Lease Cycles'!$EF$29:$EL$29,1,DG367)=1,(1-'Lease Cycles'!$AJ$29)*INDEX('Lease Cycles'!$EM$29:$ES$29,1,DG367)+(1-'Lease Cycles'!$BE$29)*IF(DG368&lt;INDEX('Lease Cycles'!$FA$29:$FG$29,1,DG367),0,1-INDEX('Lease Cycles'!$EM$29:$ES$29,1,DG367)),IF(OR(INDEX('Lease Cycles'!$DY$29:$EE$29,1,DG367)=1,DG368&gt;0),1,1-INDEX('Lease Cycles'!$DD$29:$DJ$29,1,DG367))*((1-'Lease Cycles'!$AJ$29)*INDEX('Lease Cycles'!$FO$29:$FU$29,1,DG367)+(1-'Lease Cycles'!$BE$29)*(1-INDEX('Lease Cycles'!$FO$29:$FU$29,1,DG367)))),0)</f>
        <v>0</v>
      </c>
      <c r="DH375" s="24">
        <f>IF(DH369=1,'Lease Cycles'!$D$29*IF(INDEX('Lease Cycles'!$EF$29:$EL$29,1,DH367)=1,(1-'Lease Cycles'!$AJ$29)*INDEX('Lease Cycles'!$EM$29:$ES$29,1,DH367)+(1-'Lease Cycles'!$BE$29)*IF(DH368&lt;INDEX('Lease Cycles'!$FA$29:$FG$29,1,DH367),0,1-INDEX('Lease Cycles'!$EM$29:$ES$29,1,DH367)),IF(OR(INDEX('Lease Cycles'!$DY$29:$EE$29,1,DH367)=1,DH368&gt;0),1,1-INDEX('Lease Cycles'!$DD$29:$DJ$29,1,DH367))*((1-'Lease Cycles'!$AJ$29)*INDEX('Lease Cycles'!$FO$29:$FU$29,1,DH367)+(1-'Lease Cycles'!$BE$29)*(1-INDEX('Lease Cycles'!$FO$29:$FU$29,1,DH367)))),0)</f>
        <v>0</v>
      </c>
      <c r="DI375" s="24">
        <f>IF(DI369=1,'Lease Cycles'!$D$29*IF(INDEX('Lease Cycles'!$EF$29:$EL$29,1,DI367)=1,(1-'Lease Cycles'!$AJ$29)*INDEX('Lease Cycles'!$EM$29:$ES$29,1,DI367)+(1-'Lease Cycles'!$BE$29)*IF(DI368&lt;INDEX('Lease Cycles'!$FA$29:$FG$29,1,DI367),0,1-INDEX('Lease Cycles'!$EM$29:$ES$29,1,DI367)),IF(OR(INDEX('Lease Cycles'!$DY$29:$EE$29,1,DI367)=1,DI368&gt;0),1,1-INDEX('Lease Cycles'!$DD$29:$DJ$29,1,DI367))*((1-'Lease Cycles'!$AJ$29)*INDEX('Lease Cycles'!$FO$29:$FU$29,1,DI367)+(1-'Lease Cycles'!$BE$29)*(1-INDEX('Lease Cycles'!$FO$29:$FU$29,1,DI367)))),0)</f>
        <v>0</v>
      </c>
      <c r="DJ375" s="24">
        <f>IF(DJ369=1,'Lease Cycles'!$D$29*IF(INDEX('Lease Cycles'!$EF$29:$EL$29,1,DJ367)=1,(1-'Lease Cycles'!$AJ$29)*INDEX('Lease Cycles'!$EM$29:$ES$29,1,DJ367)+(1-'Lease Cycles'!$BE$29)*IF(DJ368&lt;INDEX('Lease Cycles'!$FA$29:$FG$29,1,DJ367),0,1-INDEX('Lease Cycles'!$EM$29:$ES$29,1,DJ367)),IF(OR(INDEX('Lease Cycles'!$DY$29:$EE$29,1,DJ367)=1,DJ368&gt;0),1,1-INDEX('Lease Cycles'!$DD$29:$DJ$29,1,DJ367))*((1-'Lease Cycles'!$AJ$29)*INDEX('Lease Cycles'!$FO$29:$FU$29,1,DJ367)+(1-'Lease Cycles'!$BE$29)*(1-INDEX('Lease Cycles'!$FO$29:$FU$29,1,DJ367)))),0)</f>
        <v>0</v>
      </c>
      <c r="DK375" s="24">
        <f>IF(DK369=1,'Lease Cycles'!$D$29*IF(INDEX('Lease Cycles'!$EF$29:$EL$29,1,DK367)=1,(1-'Lease Cycles'!$AJ$29)*INDEX('Lease Cycles'!$EM$29:$ES$29,1,DK367)+(1-'Lease Cycles'!$BE$29)*IF(DK368&lt;INDEX('Lease Cycles'!$FA$29:$FG$29,1,DK367),0,1-INDEX('Lease Cycles'!$EM$29:$ES$29,1,DK367)),IF(OR(INDEX('Lease Cycles'!$DY$29:$EE$29,1,DK367)=1,DK368&gt;0),1,1-INDEX('Lease Cycles'!$DD$29:$DJ$29,1,DK367))*((1-'Lease Cycles'!$AJ$29)*INDEX('Lease Cycles'!$FO$29:$FU$29,1,DK367)+(1-'Lease Cycles'!$BE$29)*(1-INDEX('Lease Cycles'!$FO$29:$FU$29,1,DK367)))),0)</f>
        <v>0</v>
      </c>
      <c r="DL375" s="24">
        <f>IF(DL369=1,'Lease Cycles'!$D$29*IF(INDEX('Lease Cycles'!$EF$29:$EL$29,1,DL367)=1,(1-'Lease Cycles'!$AJ$29)*INDEX('Lease Cycles'!$EM$29:$ES$29,1,DL367)+(1-'Lease Cycles'!$BE$29)*IF(DL368&lt;INDEX('Lease Cycles'!$FA$29:$FG$29,1,DL367),0,1-INDEX('Lease Cycles'!$EM$29:$ES$29,1,DL367)),IF(OR(INDEX('Lease Cycles'!$DY$29:$EE$29,1,DL367)=1,DL368&gt;0),1,1-INDEX('Lease Cycles'!$DD$29:$DJ$29,1,DL367))*((1-'Lease Cycles'!$AJ$29)*INDEX('Lease Cycles'!$FO$29:$FU$29,1,DL367)+(1-'Lease Cycles'!$BE$29)*(1-INDEX('Lease Cycles'!$FO$29:$FU$29,1,DL367)))),0)</f>
        <v>0</v>
      </c>
      <c r="DM375" s="24">
        <f>IF(DM369=1,'Lease Cycles'!$D$29*IF(INDEX('Lease Cycles'!$EF$29:$EL$29,1,DM367)=1,(1-'Lease Cycles'!$AJ$29)*INDEX('Lease Cycles'!$EM$29:$ES$29,1,DM367)+(1-'Lease Cycles'!$BE$29)*IF(DM368&lt;INDEX('Lease Cycles'!$FA$29:$FG$29,1,DM367),0,1-INDEX('Lease Cycles'!$EM$29:$ES$29,1,DM367)),IF(OR(INDEX('Lease Cycles'!$DY$29:$EE$29,1,DM367)=1,DM368&gt;0),1,1-INDEX('Lease Cycles'!$DD$29:$DJ$29,1,DM367))*((1-'Lease Cycles'!$AJ$29)*INDEX('Lease Cycles'!$FO$29:$FU$29,1,DM367)+(1-'Lease Cycles'!$BE$29)*(1-INDEX('Lease Cycles'!$FO$29:$FU$29,1,DM367)))),0)</f>
        <v>0</v>
      </c>
      <c r="DN375" s="24">
        <f>IF(DN369=1,'Lease Cycles'!$D$29*IF(INDEX('Lease Cycles'!$EF$29:$EL$29,1,DN367)=1,(1-'Lease Cycles'!$AJ$29)*INDEX('Lease Cycles'!$EM$29:$ES$29,1,DN367)+(1-'Lease Cycles'!$BE$29)*IF(DN368&lt;INDEX('Lease Cycles'!$FA$29:$FG$29,1,DN367),0,1-INDEX('Lease Cycles'!$EM$29:$ES$29,1,DN367)),IF(OR(INDEX('Lease Cycles'!$DY$29:$EE$29,1,DN367)=1,DN368&gt;0),1,1-INDEX('Lease Cycles'!$DD$29:$DJ$29,1,DN367))*((1-'Lease Cycles'!$AJ$29)*INDEX('Lease Cycles'!$FO$29:$FU$29,1,DN367)+(1-'Lease Cycles'!$BE$29)*(1-INDEX('Lease Cycles'!$FO$29:$FU$29,1,DN367)))),0)</f>
        <v>0</v>
      </c>
      <c r="DO375" s="24">
        <f>IF(DO369=1,'Lease Cycles'!$D$29*IF(INDEX('Lease Cycles'!$EF$29:$EL$29,1,DO367)=1,(1-'Lease Cycles'!$AJ$29)*INDEX('Lease Cycles'!$EM$29:$ES$29,1,DO367)+(1-'Lease Cycles'!$BE$29)*IF(DO368&lt;INDEX('Lease Cycles'!$FA$29:$FG$29,1,DO367),0,1-INDEX('Lease Cycles'!$EM$29:$ES$29,1,DO367)),IF(OR(INDEX('Lease Cycles'!$DY$29:$EE$29,1,DO367)=1,DO368&gt;0),1,1-INDEX('Lease Cycles'!$DD$29:$DJ$29,1,DO367))*((1-'Lease Cycles'!$AJ$29)*INDEX('Lease Cycles'!$FO$29:$FU$29,1,DO367)+(1-'Lease Cycles'!$BE$29)*(1-INDEX('Lease Cycles'!$FO$29:$FU$29,1,DO367)))),0)</f>
        <v>0</v>
      </c>
      <c r="DP375" s="24">
        <f>IF(DP369=1,'Lease Cycles'!$D$29*IF(INDEX('Lease Cycles'!$EF$29:$EL$29,1,DP367)=1,(1-'Lease Cycles'!$AJ$29)*INDEX('Lease Cycles'!$EM$29:$ES$29,1,DP367)+(1-'Lease Cycles'!$BE$29)*IF(DP368&lt;INDEX('Lease Cycles'!$FA$29:$FG$29,1,DP367),0,1-INDEX('Lease Cycles'!$EM$29:$ES$29,1,DP367)),IF(OR(INDEX('Lease Cycles'!$DY$29:$EE$29,1,DP367)=1,DP368&gt;0),1,1-INDEX('Lease Cycles'!$DD$29:$DJ$29,1,DP367))*((1-'Lease Cycles'!$AJ$29)*INDEX('Lease Cycles'!$FO$29:$FU$29,1,DP367)+(1-'Lease Cycles'!$BE$29)*(1-INDEX('Lease Cycles'!$FO$29:$FU$29,1,DP367)))),0)</f>
        <v>0</v>
      </c>
      <c r="DQ375" s="24">
        <f>IF(DQ369=1,'Lease Cycles'!$D$29*IF(INDEX('Lease Cycles'!$EF$29:$EL$29,1,DQ367)=1,(1-'Lease Cycles'!$AJ$29)*INDEX('Lease Cycles'!$EM$29:$ES$29,1,DQ367)+(1-'Lease Cycles'!$BE$29)*IF(DQ368&lt;INDEX('Lease Cycles'!$FA$29:$FG$29,1,DQ367),0,1-INDEX('Lease Cycles'!$EM$29:$ES$29,1,DQ367)),IF(OR(INDEX('Lease Cycles'!$DY$29:$EE$29,1,DQ367)=1,DQ368&gt;0),1,1-INDEX('Lease Cycles'!$DD$29:$DJ$29,1,DQ367))*((1-'Lease Cycles'!$AJ$29)*INDEX('Lease Cycles'!$FO$29:$FU$29,1,DQ367)+(1-'Lease Cycles'!$BE$29)*(1-INDEX('Lease Cycles'!$FO$29:$FU$29,1,DQ367)))),0)</f>
        <v>0</v>
      </c>
      <c r="DR375" s="24">
        <f>IF(DR369=1,'Lease Cycles'!$D$29*IF(INDEX('Lease Cycles'!$EF$29:$EL$29,1,DR367)=1,(1-'Lease Cycles'!$AJ$29)*INDEX('Lease Cycles'!$EM$29:$ES$29,1,DR367)+(1-'Lease Cycles'!$BE$29)*IF(DR368&lt;INDEX('Lease Cycles'!$FA$29:$FG$29,1,DR367),0,1-INDEX('Lease Cycles'!$EM$29:$ES$29,1,DR367)),IF(OR(INDEX('Lease Cycles'!$DY$29:$EE$29,1,DR367)=1,DR368&gt;0),1,1-INDEX('Lease Cycles'!$DD$29:$DJ$29,1,DR367))*((1-'Lease Cycles'!$AJ$29)*INDEX('Lease Cycles'!$FO$29:$FU$29,1,DR367)+(1-'Lease Cycles'!$BE$29)*(1-INDEX('Lease Cycles'!$FO$29:$FU$29,1,DR367)))),0)</f>
        <v>0</v>
      </c>
      <c r="DS375" s="24">
        <f>IF(DS369=1,'Lease Cycles'!$D$29*IF(INDEX('Lease Cycles'!$EF$29:$EL$29,1,DS367)=1,(1-'Lease Cycles'!$AJ$29)*INDEX('Lease Cycles'!$EM$29:$ES$29,1,DS367)+(1-'Lease Cycles'!$BE$29)*IF(DS368&lt;INDEX('Lease Cycles'!$FA$29:$FG$29,1,DS367),0,1-INDEX('Lease Cycles'!$EM$29:$ES$29,1,DS367)),IF(OR(INDEX('Lease Cycles'!$DY$29:$EE$29,1,DS367)=1,DS368&gt;0),1,1-INDEX('Lease Cycles'!$DD$29:$DJ$29,1,DS367))*((1-'Lease Cycles'!$AJ$29)*INDEX('Lease Cycles'!$FO$29:$FU$29,1,DS367)+(1-'Lease Cycles'!$BE$29)*(1-INDEX('Lease Cycles'!$FO$29:$FU$29,1,DS367)))),0)</f>
        <v>0</v>
      </c>
      <c r="DT375" s="24">
        <f>IF(DT369=1,'Lease Cycles'!$D$29*IF(INDEX('Lease Cycles'!$EF$29:$EL$29,1,DT367)=1,(1-'Lease Cycles'!$AJ$29)*INDEX('Lease Cycles'!$EM$29:$ES$29,1,DT367)+(1-'Lease Cycles'!$BE$29)*IF(DT368&lt;INDEX('Lease Cycles'!$FA$29:$FG$29,1,DT367),0,1-INDEX('Lease Cycles'!$EM$29:$ES$29,1,DT367)),IF(OR(INDEX('Lease Cycles'!$DY$29:$EE$29,1,DT367)=1,DT368&gt;0),1,1-INDEX('Lease Cycles'!$DD$29:$DJ$29,1,DT367))*((1-'Lease Cycles'!$AJ$29)*INDEX('Lease Cycles'!$FO$29:$FU$29,1,DT367)+(1-'Lease Cycles'!$BE$29)*(1-INDEX('Lease Cycles'!$FO$29:$FU$29,1,DT367)))),0)</f>
        <v>0</v>
      </c>
      <c r="DU375" s="24">
        <f>IF(DU369=1,'Lease Cycles'!$D$29*IF(INDEX('Lease Cycles'!$EF$29:$EL$29,1,DU367)=1,(1-'Lease Cycles'!$AJ$29)*INDEX('Lease Cycles'!$EM$29:$ES$29,1,DU367)+(1-'Lease Cycles'!$BE$29)*IF(DU368&lt;INDEX('Lease Cycles'!$FA$29:$FG$29,1,DU367),0,1-INDEX('Lease Cycles'!$EM$29:$ES$29,1,DU367)),IF(OR(INDEX('Lease Cycles'!$DY$29:$EE$29,1,DU367)=1,DU368&gt;0),1,1-INDEX('Lease Cycles'!$DD$29:$DJ$29,1,DU367))*((1-'Lease Cycles'!$AJ$29)*INDEX('Lease Cycles'!$FO$29:$FU$29,1,DU367)+(1-'Lease Cycles'!$BE$29)*(1-INDEX('Lease Cycles'!$FO$29:$FU$29,1,DU367)))),0)</f>
        <v>0</v>
      </c>
      <c r="DV375" s="24">
        <f>IF(DV369=1,'Lease Cycles'!$D$29*IF(INDEX('Lease Cycles'!$EF$29:$EL$29,1,DV367)=1,(1-'Lease Cycles'!$AJ$29)*INDEX('Lease Cycles'!$EM$29:$ES$29,1,DV367)+(1-'Lease Cycles'!$BE$29)*IF(DV368&lt;INDEX('Lease Cycles'!$FA$29:$FG$29,1,DV367),0,1-INDEX('Lease Cycles'!$EM$29:$ES$29,1,DV367)),IF(OR(INDEX('Lease Cycles'!$DY$29:$EE$29,1,DV367)=1,DV368&gt;0),1,1-INDEX('Lease Cycles'!$DD$29:$DJ$29,1,DV367))*((1-'Lease Cycles'!$AJ$29)*INDEX('Lease Cycles'!$FO$29:$FU$29,1,DV367)+(1-'Lease Cycles'!$BE$29)*(1-INDEX('Lease Cycles'!$FO$29:$FU$29,1,DV367)))),0)</f>
        <v>0</v>
      </c>
      <c r="DW375" s="24">
        <f>IF(DW369=1,'Lease Cycles'!$D$29*IF(INDEX('Lease Cycles'!$EF$29:$EL$29,1,DW367)=1,(1-'Lease Cycles'!$AJ$29)*INDEX('Lease Cycles'!$EM$29:$ES$29,1,DW367)+(1-'Lease Cycles'!$BE$29)*IF(DW368&lt;INDEX('Lease Cycles'!$FA$29:$FG$29,1,DW367),0,1-INDEX('Lease Cycles'!$EM$29:$ES$29,1,DW367)),IF(OR(INDEX('Lease Cycles'!$DY$29:$EE$29,1,DW367)=1,DW368&gt;0),1,1-INDEX('Lease Cycles'!$DD$29:$DJ$29,1,DW367))*((1-'Lease Cycles'!$AJ$29)*INDEX('Lease Cycles'!$FO$29:$FU$29,1,DW367)+(1-'Lease Cycles'!$BE$29)*(1-INDEX('Lease Cycles'!$FO$29:$FU$29,1,DW367)))),0)</f>
        <v>0</v>
      </c>
      <c r="DX375" s="24">
        <f>IF(DX369=1,'Lease Cycles'!$D$29*IF(INDEX('Lease Cycles'!$EF$29:$EL$29,1,DX367)=1,(1-'Lease Cycles'!$AJ$29)*INDEX('Lease Cycles'!$EM$29:$ES$29,1,DX367)+(1-'Lease Cycles'!$BE$29)*IF(DX368&lt;INDEX('Lease Cycles'!$FA$29:$FG$29,1,DX367),0,1-INDEX('Lease Cycles'!$EM$29:$ES$29,1,DX367)),IF(OR(INDEX('Lease Cycles'!$DY$29:$EE$29,1,DX367)=1,DX368&gt;0),1,1-INDEX('Lease Cycles'!$DD$29:$DJ$29,1,DX367))*((1-'Lease Cycles'!$AJ$29)*INDEX('Lease Cycles'!$FO$29:$FU$29,1,DX367)+(1-'Lease Cycles'!$BE$29)*(1-INDEX('Lease Cycles'!$FO$29:$FU$29,1,DX367)))),0)</f>
        <v>0</v>
      </c>
      <c r="DY375" s="24">
        <f>IF(DY369=1,'Lease Cycles'!$D$29*IF(INDEX('Lease Cycles'!$EF$29:$EL$29,1,DY367)=1,(1-'Lease Cycles'!$AJ$29)*INDEX('Lease Cycles'!$EM$29:$ES$29,1,DY367)+(1-'Lease Cycles'!$BE$29)*IF(DY368&lt;INDEX('Lease Cycles'!$FA$29:$FG$29,1,DY367),0,1-INDEX('Lease Cycles'!$EM$29:$ES$29,1,DY367)),IF(OR(INDEX('Lease Cycles'!$DY$29:$EE$29,1,DY367)=1,DY368&gt;0),1,1-INDEX('Lease Cycles'!$DD$29:$DJ$29,1,DY367))*((1-'Lease Cycles'!$AJ$29)*INDEX('Lease Cycles'!$FO$29:$FU$29,1,DY367)+(1-'Lease Cycles'!$BE$29)*(1-INDEX('Lease Cycles'!$FO$29:$FU$29,1,DY367)))),0)</f>
        <v>0</v>
      </c>
      <c r="DZ375" s="24">
        <f>IF(DZ369=1,'Lease Cycles'!$D$29*IF(INDEX('Lease Cycles'!$EF$29:$EL$29,1,DZ367)=1,(1-'Lease Cycles'!$AJ$29)*INDEX('Lease Cycles'!$EM$29:$ES$29,1,DZ367)+(1-'Lease Cycles'!$BE$29)*IF(DZ368&lt;INDEX('Lease Cycles'!$FA$29:$FG$29,1,DZ367),0,1-INDEX('Lease Cycles'!$EM$29:$ES$29,1,DZ367)),IF(OR(INDEX('Lease Cycles'!$DY$29:$EE$29,1,DZ367)=1,DZ368&gt;0),1,1-INDEX('Lease Cycles'!$DD$29:$DJ$29,1,DZ367))*((1-'Lease Cycles'!$AJ$29)*INDEX('Lease Cycles'!$FO$29:$FU$29,1,DZ367)+(1-'Lease Cycles'!$BE$29)*(1-INDEX('Lease Cycles'!$FO$29:$FU$29,1,DZ367)))),0)</f>
        <v>0</v>
      </c>
      <c r="EA375" s="24">
        <f>IF(EA369=1,'Lease Cycles'!$D$29*IF(INDEX('Lease Cycles'!$EF$29:$EL$29,1,EA367)=1,(1-'Lease Cycles'!$AJ$29)*INDEX('Lease Cycles'!$EM$29:$ES$29,1,EA367)+(1-'Lease Cycles'!$BE$29)*IF(EA368&lt;INDEX('Lease Cycles'!$FA$29:$FG$29,1,EA367),0,1-INDEX('Lease Cycles'!$EM$29:$ES$29,1,EA367)),IF(OR(INDEX('Lease Cycles'!$DY$29:$EE$29,1,EA367)=1,EA368&gt;0),1,1-INDEX('Lease Cycles'!$DD$29:$DJ$29,1,EA367))*((1-'Lease Cycles'!$AJ$29)*INDEX('Lease Cycles'!$FO$29:$FU$29,1,EA367)+(1-'Lease Cycles'!$BE$29)*(1-INDEX('Lease Cycles'!$FO$29:$FU$29,1,EA367)))),0)</f>
        <v>0</v>
      </c>
      <c r="EB375" s="24">
        <f>IF(EB369=1,'Lease Cycles'!$D$29*IF(INDEX('Lease Cycles'!$EF$29:$EL$29,1,EB367)=1,(1-'Lease Cycles'!$AJ$29)*INDEX('Lease Cycles'!$EM$29:$ES$29,1,EB367)+(1-'Lease Cycles'!$BE$29)*IF(EB368&lt;INDEX('Lease Cycles'!$FA$29:$FG$29,1,EB367),0,1-INDEX('Lease Cycles'!$EM$29:$ES$29,1,EB367)),IF(OR(INDEX('Lease Cycles'!$DY$29:$EE$29,1,EB367)=1,EB368&gt;0),1,1-INDEX('Lease Cycles'!$DD$29:$DJ$29,1,EB367))*((1-'Lease Cycles'!$AJ$29)*INDEX('Lease Cycles'!$FO$29:$FU$29,1,EB367)+(1-'Lease Cycles'!$BE$29)*(1-INDEX('Lease Cycles'!$FO$29:$FU$29,1,EB367)))),0)</f>
        <v>0</v>
      </c>
      <c r="EC375" s="24">
        <f>IF(EC369=1,'Lease Cycles'!$D$29*IF(INDEX('Lease Cycles'!$EF$29:$EL$29,1,EC367)=1,(1-'Lease Cycles'!$AJ$29)*INDEX('Lease Cycles'!$EM$29:$ES$29,1,EC367)+(1-'Lease Cycles'!$BE$29)*IF(EC368&lt;INDEX('Lease Cycles'!$FA$29:$FG$29,1,EC367),0,1-INDEX('Lease Cycles'!$EM$29:$ES$29,1,EC367)),IF(OR(INDEX('Lease Cycles'!$DY$29:$EE$29,1,EC367)=1,EC368&gt;0),1,1-INDEX('Lease Cycles'!$DD$29:$DJ$29,1,EC367))*((1-'Lease Cycles'!$AJ$29)*INDEX('Lease Cycles'!$FO$29:$FU$29,1,EC367)+(1-'Lease Cycles'!$BE$29)*(1-INDEX('Lease Cycles'!$FO$29:$FU$29,1,EC367)))),0)</f>
        <v>0</v>
      </c>
      <c r="ED375" s="24">
        <f>IF(ED369=1,'Lease Cycles'!$D$29*IF(INDEX('Lease Cycles'!$EF$29:$EL$29,1,ED367)=1,(1-'Lease Cycles'!$AJ$29)*INDEX('Lease Cycles'!$EM$29:$ES$29,1,ED367)+(1-'Lease Cycles'!$BE$29)*IF(ED368&lt;INDEX('Lease Cycles'!$FA$29:$FG$29,1,ED367),0,1-INDEX('Lease Cycles'!$EM$29:$ES$29,1,ED367)),IF(OR(INDEX('Lease Cycles'!$DY$29:$EE$29,1,ED367)=1,ED368&gt;0),1,1-INDEX('Lease Cycles'!$DD$29:$DJ$29,1,ED367))*((1-'Lease Cycles'!$AJ$29)*INDEX('Lease Cycles'!$FO$29:$FU$29,1,ED367)+(1-'Lease Cycles'!$BE$29)*(1-INDEX('Lease Cycles'!$FO$29:$FU$29,1,ED367)))),0)</f>
        <v>0</v>
      </c>
      <c r="EE375" s="24">
        <f>IF(EE369=1,'Lease Cycles'!$D$29*IF(INDEX('Lease Cycles'!$EF$29:$EL$29,1,EE367)=1,(1-'Lease Cycles'!$AJ$29)*INDEX('Lease Cycles'!$EM$29:$ES$29,1,EE367)+(1-'Lease Cycles'!$BE$29)*IF(EE368&lt;INDEX('Lease Cycles'!$FA$29:$FG$29,1,EE367),0,1-INDEX('Lease Cycles'!$EM$29:$ES$29,1,EE367)),IF(OR(INDEX('Lease Cycles'!$DY$29:$EE$29,1,EE367)=1,EE368&gt;0),1,1-INDEX('Lease Cycles'!$DD$29:$DJ$29,1,EE367))*((1-'Lease Cycles'!$AJ$29)*INDEX('Lease Cycles'!$FO$29:$FU$29,1,EE367)+(1-'Lease Cycles'!$BE$29)*(1-INDEX('Lease Cycles'!$FO$29:$FU$29,1,EE367)))),0)</f>
        <v>0</v>
      </c>
      <c r="EF375" s="24">
        <f>IF(EF369=1,'Lease Cycles'!$D$29*IF(INDEX('Lease Cycles'!$EF$29:$EL$29,1,EF367)=1,(1-'Lease Cycles'!$AJ$29)*INDEX('Lease Cycles'!$EM$29:$ES$29,1,EF367)+(1-'Lease Cycles'!$BE$29)*IF(EF368&lt;INDEX('Lease Cycles'!$FA$29:$FG$29,1,EF367),0,1-INDEX('Lease Cycles'!$EM$29:$ES$29,1,EF367)),IF(OR(INDEX('Lease Cycles'!$DY$29:$EE$29,1,EF367)=1,EF368&gt;0),1,1-INDEX('Lease Cycles'!$DD$29:$DJ$29,1,EF367))*((1-'Lease Cycles'!$AJ$29)*INDEX('Lease Cycles'!$FO$29:$FU$29,1,EF367)+(1-'Lease Cycles'!$BE$29)*(1-INDEX('Lease Cycles'!$FO$29:$FU$29,1,EF367)))),0)</f>
        <v>0</v>
      </c>
      <c r="EG375" s="24">
        <f>IF(EG369=1,'Lease Cycles'!$D$29*IF(INDEX('Lease Cycles'!$EF$29:$EL$29,1,EG367)=1,(1-'Lease Cycles'!$AJ$29)*INDEX('Lease Cycles'!$EM$29:$ES$29,1,EG367)+(1-'Lease Cycles'!$BE$29)*IF(EG368&lt;INDEX('Lease Cycles'!$FA$29:$FG$29,1,EG367),0,1-INDEX('Lease Cycles'!$EM$29:$ES$29,1,EG367)),IF(OR(INDEX('Lease Cycles'!$DY$29:$EE$29,1,EG367)=1,EG368&gt;0),1,1-INDEX('Lease Cycles'!$DD$29:$DJ$29,1,EG367))*((1-'Lease Cycles'!$AJ$29)*INDEX('Lease Cycles'!$FO$29:$FU$29,1,EG367)+(1-'Lease Cycles'!$BE$29)*(1-INDEX('Lease Cycles'!$FO$29:$FU$29,1,EG367)))),0)</f>
        <v>0</v>
      </c>
      <c r="EH375" s="24">
        <f>IF(EH369=1,'Lease Cycles'!$D$29*IF(INDEX('Lease Cycles'!$EF$29:$EL$29,1,EH367)=1,(1-'Lease Cycles'!$AJ$29)*INDEX('Lease Cycles'!$EM$29:$ES$29,1,EH367)+(1-'Lease Cycles'!$BE$29)*IF(EH368&lt;INDEX('Lease Cycles'!$FA$29:$FG$29,1,EH367),0,1-INDEX('Lease Cycles'!$EM$29:$ES$29,1,EH367)),IF(OR(INDEX('Lease Cycles'!$DY$29:$EE$29,1,EH367)=1,EH368&gt;0),1,1-INDEX('Lease Cycles'!$DD$29:$DJ$29,1,EH367))*((1-'Lease Cycles'!$AJ$29)*INDEX('Lease Cycles'!$FO$29:$FU$29,1,EH367)+(1-'Lease Cycles'!$BE$29)*(1-INDEX('Lease Cycles'!$FO$29:$FU$29,1,EH367)))),0)</f>
        <v>0</v>
      </c>
      <c r="EI375" s="24">
        <f>IF(EI369=1,'Lease Cycles'!$D$29*IF(INDEX('Lease Cycles'!$EF$29:$EL$29,1,EI367)=1,(1-'Lease Cycles'!$AJ$29)*INDEX('Lease Cycles'!$EM$29:$ES$29,1,EI367)+(1-'Lease Cycles'!$BE$29)*IF(EI368&lt;INDEX('Lease Cycles'!$FA$29:$FG$29,1,EI367),0,1-INDEX('Lease Cycles'!$EM$29:$ES$29,1,EI367)),IF(OR(INDEX('Lease Cycles'!$DY$29:$EE$29,1,EI367)=1,EI368&gt;0),1,1-INDEX('Lease Cycles'!$DD$29:$DJ$29,1,EI367))*((1-'Lease Cycles'!$AJ$29)*INDEX('Lease Cycles'!$FO$29:$FU$29,1,EI367)+(1-'Lease Cycles'!$BE$29)*(1-INDEX('Lease Cycles'!$FO$29:$FU$29,1,EI367)))),0)</f>
        <v>0</v>
      </c>
      <c r="EJ375" s="24">
        <f>IF(EJ369=1,'Lease Cycles'!$D$29*IF(INDEX('Lease Cycles'!$EF$29:$EL$29,1,EJ367)=1,(1-'Lease Cycles'!$AJ$29)*INDEX('Lease Cycles'!$EM$29:$ES$29,1,EJ367)+(1-'Lease Cycles'!$BE$29)*IF(EJ368&lt;INDEX('Lease Cycles'!$FA$29:$FG$29,1,EJ367),0,1-INDEX('Lease Cycles'!$EM$29:$ES$29,1,EJ367)),IF(OR(INDEX('Lease Cycles'!$DY$29:$EE$29,1,EJ367)=1,EJ368&gt;0),1,1-INDEX('Lease Cycles'!$DD$29:$DJ$29,1,EJ367))*((1-'Lease Cycles'!$AJ$29)*INDEX('Lease Cycles'!$FO$29:$FU$29,1,EJ367)+(1-'Lease Cycles'!$BE$29)*(1-INDEX('Lease Cycles'!$FO$29:$FU$29,1,EJ367)))),0)</f>
        <v>0</v>
      </c>
      <c r="EK375" s="24">
        <f>IF(EK369=1,'Lease Cycles'!$D$29*IF(INDEX('Lease Cycles'!$EF$29:$EL$29,1,EK367)=1,(1-'Lease Cycles'!$AJ$29)*INDEX('Lease Cycles'!$EM$29:$ES$29,1,EK367)+(1-'Lease Cycles'!$BE$29)*IF(EK368&lt;INDEX('Lease Cycles'!$FA$29:$FG$29,1,EK367),0,1-INDEX('Lease Cycles'!$EM$29:$ES$29,1,EK367)),IF(OR(INDEX('Lease Cycles'!$DY$29:$EE$29,1,EK367)=1,EK368&gt;0),1,1-INDEX('Lease Cycles'!$DD$29:$DJ$29,1,EK367))*((1-'Lease Cycles'!$AJ$29)*INDEX('Lease Cycles'!$FO$29:$FU$29,1,EK367)+(1-'Lease Cycles'!$BE$29)*(1-INDEX('Lease Cycles'!$FO$29:$FU$29,1,EK367)))),0)</f>
        <v>0</v>
      </c>
      <c r="EL375" s="24">
        <f>IF(EL369=1,'Lease Cycles'!$D$29*IF(INDEX('Lease Cycles'!$EF$29:$EL$29,1,EL367)=1,(1-'Lease Cycles'!$AJ$29)*INDEX('Lease Cycles'!$EM$29:$ES$29,1,EL367)+(1-'Lease Cycles'!$BE$29)*IF(EL368&lt;INDEX('Lease Cycles'!$FA$29:$FG$29,1,EL367),0,1-INDEX('Lease Cycles'!$EM$29:$ES$29,1,EL367)),IF(OR(INDEX('Lease Cycles'!$DY$29:$EE$29,1,EL367)=1,EL368&gt;0),1,1-INDEX('Lease Cycles'!$DD$29:$DJ$29,1,EL367))*((1-'Lease Cycles'!$AJ$29)*INDEX('Lease Cycles'!$FO$29:$FU$29,1,EL367)+(1-'Lease Cycles'!$BE$29)*(1-INDEX('Lease Cycles'!$FO$29:$FU$29,1,EL367)))),0)</f>
        <v>0</v>
      </c>
      <c r="EM375" s="24">
        <f>IF(EM369=1,'Lease Cycles'!$D$29*IF(INDEX('Lease Cycles'!$EF$29:$EL$29,1,EM367)=1,(1-'Lease Cycles'!$AJ$29)*INDEX('Lease Cycles'!$EM$29:$ES$29,1,EM367)+(1-'Lease Cycles'!$BE$29)*IF(EM368&lt;INDEX('Lease Cycles'!$FA$29:$FG$29,1,EM367),0,1-INDEX('Lease Cycles'!$EM$29:$ES$29,1,EM367)),IF(OR(INDEX('Lease Cycles'!$DY$29:$EE$29,1,EM367)=1,EM368&gt;0),1,1-INDEX('Lease Cycles'!$DD$29:$DJ$29,1,EM367))*((1-'Lease Cycles'!$AJ$29)*INDEX('Lease Cycles'!$FO$29:$FU$29,1,EM367)+(1-'Lease Cycles'!$BE$29)*(1-INDEX('Lease Cycles'!$FO$29:$FU$29,1,EM367)))),0)</f>
        <v>0</v>
      </c>
      <c r="EN375" s="24">
        <f>IF(EN369=1,'Lease Cycles'!$D$29*IF(INDEX('Lease Cycles'!$EF$29:$EL$29,1,EN367)=1,(1-'Lease Cycles'!$AJ$29)*INDEX('Lease Cycles'!$EM$29:$ES$29,1,EN367)+(1-'Lease Cycles'!$BE$29)*IF(EN368&lt;INDEX('Lease Cycles'!$FA$29:$FG$29,1,EN367),0,1-INDEX('Lease Cycles'!$EM$29:$ES$29,1,EN367)),IF(OR(INDEX('Lease Cycles'!$DY$29:$EE$29,1,EN367)=1,EN368&gt;0),1,1-INDEX('Lease Cycles'!$DD$29:$DJ$29,1,EN367))*((1-'Lease Cycles'!$AJ$29)*INDEX('Lease Cycles'!$FO$29:$FU$29,1,EN367)+(1-'Lease Cycles'!$BE$29)*(1-INDEX('Lease Cycles'!$FO$29:$FU$29,1,EN367)))),0)</f>
        <v>0</v>
      </c>
      <c r="EO375" s="24">
        <f>IF(EO369=1,'Lease Cycles'!$D$29*IF(INDEX('Lease Cycles'!$EF$29:$EL$29,1,EO367)=1,(1-'Lease Cycles'!$AJ$29)*INDEX('Lease Cycles'!$EM$29:$ES$29,1,EO367)+(1-'Lease Cycles'!$BE$29)*IF(EO368&lt;INDEX('Lease Cycles'!$FA$29:$FG$29,1,EO367),0,1-INDEX('Lease Cycles'!$EM$29:$ES$29,1,EO367)),IF(OR(INDEX('Lease Cycles'!$DY$29:$EE$29,1,EO367)=1,EO368&gt;0),1,1-INDEX('Lease Cycles'!$DD$29:$DJ$29,1,EO367))*((1-'Lease Cycles'!$AJ$29)*INDEX('Lease Cycles'!$FO$29:$FU$29,1,EO367)+(1-'Lease Cycles'!$BE$29)*(1-INDEX('Lease Cycles'!$FO$29:$FU$29,1,EO367)))),0)</f>
        <v>0</v>
      </c>
      <c r="EP375" s="24">
        <f>IF(EP369=1,'Lease Cycles'!$D$29*IF(INDEX('Lease Cycles'!$EF$29:$EL$29,1,EP367)=1,(1-'Lease Cycles'!$AJ$29)*INDEX('Lease Cycles'!$EM$29:$ES$29,1,EP367)+(1-'Lease Cycles'!$BE$29)*IF(EP368&lt;INDEX('Lease Cycles'!$FA$29:$FG$29,1,EP367),0,1-INDEX('Lease Cycles'!$EM$29:$ES$29,1,EP367)),IF(OR(INDEX('Lease Cycles'!$DY$29:$EE$29,1,EP367)=1,EP368&gt;0),1,1-INDEX('Lease Cycles'!$DD$29:$DJ$29,1,EP367))*((1-'Lease Cycles'!$AJ$29)*INDEX('Lease Cycles'!$FO$29:$FU$29,1,EP367)+(1-'Lease Cycles'!$BE$29)*(1-INDEX('Lease Cycles'!$FO$29:$FU$29,1,EP367)))),0)</f>
        <v>0</v>
      </c>
      <c r="EQ375" s="24">
        <f>IF(EQ369=1,'Lease Cycles'!$D$29*IF(INDEX('Lease Cycles'!$EF$29:$EL$29,1,EQ367)=1,(1-'Lease Cycles'!$AJ$29)*INDEX('Lease Cycles'!$EM$29:$ES$29,1,EQ367)+(1-'Lease Cycles'!$BE$29)*IF(EQ368&lt;INDEX('Lease Cycles'!$FA$29:$FG$29,1,EQ367),0,1-INDEX('Lease Cycles'!$EM$29:$ES$29,1,EQ367)),IF(OR(INDEX('Lease Cycles'!$DY$29:$EE$29,1,EQ367)=1,EQ368&gt;0),1,1-INDEX('Lease Cycles'!$DD$29:$DJ$29,1,EQ367))*((1-'Lease Cycles'!$AJ$29)*INDEX('Lease Cycles'!$FO$29:$FU$29,1,EQ367)+(1-'Lease Cycles'!$BE$29)*(1-INDEX('Lease Cycles'!$FO$29:$FU$29,1,EQ367)))),0)</f>
        <v>0</v>
      </c>
      <c r="ER375" s="24">
        <f>IF(ER369=1,'Lease Cycles'!$D$29*IF(INDEX('Lease Cycles'!$EF$29:$EL$29,1,ER367)=1,(1-'Lease Cycles'!$AJ$29)*INDEX('Lease Cycles'!$EM$29:$ES$29,1,ER367)+(1-'Lease Cycles'!$BE$29)*IF(ER368&lt;INDEX('Lease Cycles'!$FA$29:$FG$29,1,ER367),0,1-INDEX('Lease Cycles'!$EM$29:$ES$29,1,ER367)),IF(OR(INDEX('Lease Cycles'!$DY$29:$EE$29,1,ER367)=1,ER368&gt;0),1,1-INDEX('Lease Cycles'!$DD$29:$DJ$29,1,ER367))*((1-'Lease Cycles'!$AJ$29)*INDEX('Lease Cycles'!$FO$29:$FU$29,1,ER367)+(1-'Lease Cycles'!$BE$29)*(1-INDEX('Lease Cycles'!$FO$29:$FU$29,1,ER367)))),0)</f>
        <v>0</v>
      </c>
      <c r="ES375" s="24">
        <f>IF(ES369=1,'Lease Cycles'!$D$29*IF(INDEX('Lease Cycles'!$EF$29:$EL$29,1,ES367)=1,(1-'Lease Cycles'!$AJ$29)*INDEX('Lease Cycles'!$EM$29:$ES$29,1,ES367)+(1-'Lease Cycles'!$BE$29)*IF(ES368&lt;INDEX('Lease Cycles'!$FA$29:$FG$29,1,ES367),0,1-INDEX('Lease Cycles'!$EM$29:$ES$29,1,ES367)),IF(OR(INDEX('Lease Cycles'!$DY$29:$EE$29,1,ES367)=1,ES368&gt;0),1,1-INDEX('Lease Cycles'!$DD$29:$DJ$29,1,ES367))*((1-'Lease Cycles'!$AJ$29)*INDEX('Lease Cycles'!$FO$29:$FU$29,1,ES367)+(1-'Lease Cycles'!$BE$29)*(1-INDEX('Lease Cycles'!$FO$29:$FU$29,1,ES367)))),0)</f>
        <v>0</v>
      </c>
      <c r="ET375" s="24">
        <f>IF(ET369=1,'Lease Cycles'!$D$29*IF(INDEX('Lease Cycles'!$EF$29:$EL$29,1,ET367)=1,(1-'Lease Cycles'!$AJ$29)*INDEX('Lease Cycles'!$EM$29:$ES$29,1,ET367)+(1-'Lease Cycles'!$BE$29)*IF(ET368&lt;INDEX('Lease Cycles'!$FA$29:$FG$29,1,ET367),0,1-INDEX('Lease Cycles'!$EM$29:$ES$29,1,ET367)),IF(OR(INDEX('Lease Cycles'!$DY$29:$EE$29,1,ET367)=1,ET368&gt;0),1,1-INDEX('Lease Cycles'!$DD$29:$DJ$29,1,ET367))*((1-'Lease Cycles'!$AJ$29)*INDEX('Lease Cycles'!$FO$29:$FU$29,1,ET367)+(1-'Lease Cycles'!$BE$29)*(1-INDEX('Lease Cycles'!$FO$29:$FU$29,1,ET367)))),0)</f>
        <v>0</v>
      </c>
    </row>
    <row r="376">
      <c r="A376" s="103">
        <v>22</v>
      </c>
      <c r="B376" s="23" t="str">
        <f>IF('Lease Cycles'!$B$29="","(empty slot)",'Lease Cycles'!$B$29)</f>
        <v>(empty slot)</v>
      </c>
      <c r="C376" s="23" t="s">
        <v>685</v>
      </c>
      <c r="D376" s="104" t="s">
        <v>686</v>
      </c>
      <c r="E376" s="25">
        <f>'Lease Cycles'!$AL$29</f>
        <v>0</v>
      </c>
      <c r="G376" s="24">
        <f>SUM(S376:AD376)</f>
        <v>0</v>
      </c>
      <c r="H376" s="24">
        <f>SUM(AE376:AP376)</f>
        <v>0</v>
      </c>
      <c r="I376" s="24">
        <f>SUM(AQ376:BB376)</f>
        <v>0</v>
      </c>
      <c r="J376" s="24">
        <f>SUM(BC376:BN376)</f>
        <v>0</v>
      </c>
      <c r="K376" s="24">
        <f>SUM(BO376:BZ376)</f>
        <v>0</v>
      </c>
      <c r="L376" s="24">
        <f>SUM(CA376:CL376)</f>
        <v>0</v>
      </c>
      <c r="M376" s="24">
        <f>SUM(CM376:CX376)</f>
        <v>0</v>
      </c>
      <c r="N376" s="24">
        <f>SUM(CY376:DJ376)</f>
        <v>0</v>
      </c>
      <c r="O376" s="24">
        <f>SUM(DK376:DV376)</f>
        <v>0</v>
      </c>
      <c r="P376" s="24">
        <f>SUM(DW376:EH376)</f>
        <v>0</v>
      </c>
      <c r="Q376" s="24">
        <f>SUM(EI376:ET376)</f>
        <v>0</v>
      </c>
      <c r="S376" s="24">
        <f>IF(S369=1,IF('Lease Cycles'!$AJ$29=1,0,'Lease Cycles'!$D$29*INDEX('Lease Cycles'!$FH$29:$FN$29,1,S367)*IF(INDEX('Lease Cycles'!$EF$29:$EL$29,1,S367)=1,1,IF(OR(INDEX('Lease Cycles'!$DY$29:$EE$29,1,S367)=1,S368&gt;0),1,1-INDEX('Lease Cycles'!$DD$29:$DJ$29,1,S367)))),0)</f>
        <v>0</v>
      </c>
      <c r="T376" s="24">
        <f>IF(T369=1,IF('Lease Cycles'!$AJ$29=1,0,'Lease Cycles'!$D$29*INDEX('Lease Cycles'!$FH$29:$FN$29,1,T367)*IF(INDEX('Lease Cycles'!$EF$29:$EL$29,1,T367)=1,1,IF(OR(INDEX('Lease Cycles'!$DY$29:$EE$29,1,T367)=1,T368&gt;0),1,1-INDEX('Lease Cycles'!$DD$29:$DJ$29,1,T367)))),0)</f>
        <v>0</v>
      </c>
      <c r="U376" s="24">
        <f>IF(U369=1,IF('Lease Cycles'!$AJ$29=1,0,'Lease Cycles'!$D$29*INDEX('Lease Cycles'!$FH$29:$FN$29,1,U367)*IF(INDEX('Lease Cycles'!$EF$29:$EL$29,1,U367)=1,1,IF(OR(INDEX('Lease Cycles'!$DY$29:$EE$29,1,U367)=1,U368&gt;0),1,1-INDEX('Lease Cycles'!$DD$29:$DJ$29,1,U367)))),0)</f>
        <v>0</v>
      </c>
      <c r="V376" s="24">
        <f>IF(V369=1,IF('Lease Cycles'!$AJ$29=1,0,'Lease Cycles'!$D$29*INDEX('Lease Cycles'!$FH$29:$FN$29,1,V367)*IF(INDEX('Lease Cycles'!$EF$29:$EL$29,1,V367)=1,1,IF(OR(INDEX('Lease Cycles'!$DY$29:$EE$29,1,V367)=1,V368&gt;0),1,1-INDEX('Lease Cycles'!$DD$29:$DJ$29,1,V367)))),0)</f>
        <v>0</v>
      </c>
      <c r="W376" s="24">
        <f>IF(W369=1,IF('Lease Cycles'!$AJ$29=1,0,'Lease Cycles'!$D$29*INDEX('Lease Cycles'!$FH$29:$FN$29,1,W367)*IF(INDEX('Lease Cycles'!$EF$29:$EL$29,1,W367)=1,1,IF(OR(INDEX('Lease Cycles'!$DY$29:$EE$29,1,W367)=1,W368&gt;0),1,1-INDEX('Lease Cycles'!$DD$29:$DJ$29,1,W367)))),0)</f>
        <v>0</v>
      </c>
      <c r="X376" s="24">
        <f>IF(X369=1,IF('Lease Cycles'!$AJ$29=1,0,'Lease Cycles'!$D$29*INDEX('Lease Cycles'!$FH$29:$FN$29,1,X367)*IF(INDEX('Lease Cycles'!$EF$29:$EL$29,1,X367)=1,1,IF(OR(INDEX('Lease Cycles'!$DY$29:$EE$29,1,X367)=1,X368&gt;0),1,1-INDEX('Lease Cycles'!$DD$29:$DJ$29,1,X367)))),0)</f>
        <v>0</v>
      </c>
      <c r="Y376" s="24">
        <f>IF(Y369=1,IF('Lease Cycles'!$AJ$29=1,0,'Lease Cycles'!$D$29*INDEX('Lease Cycles'!$FH$29:$FN$29,1,Y367)*IF(INDEX('Lease Cycles'!$EF$29:$EL$29,1,Y367)=1,1,IF(OR(INDEX('Lease Cycles'!$DY$29:$EE$29,1,Y367)=1,Y368&gt;0),1,1-INDEX('Lease Cycles'!$DD$29:$DJ$29,1,Y367)))),0)</f>
        <v>0</v>
      </c>
      <c r="Z376" s="24">
        <f>IF(Z369=1,IF('Lease Cycles'!$AJ$29=1,0,'Lease Cycles'!$D$29*INDEX('Lease Cycles'!$FH$29:$FN$29,1,Z367)*IF(INDEX('Lease Cycles'!$EF$29:$EL$29,1,Z367)=1,1,IF(OR(INDEX('Lease Cycles'!$DY$29:$EE$29,1,Z367)=1,Z368&gt;0),1,1-INDEX('Lease Cycles'!$DD$29:$DJ$29,1,Z367)))),0)</f>
        <v>0</v>
      </c>
      <c r="AA376" s="24">
        <f>IF(AA369=1,IF('Lease Cycles'!$AJ$29=1,0,'Lease Cycles'!$D$29*INDEX('Lease Cycles'!$FH$29:$FN$29,1,AA367)*IF(INDEX('Lease Cycles'!$EF$29:$EL$29,1,AA367)=1,1,IF(OR(INDEX('Lease Cycles'!$DY$29:$EE$29,1,AA367)=1,AA368&gt;0),1,1-INDEX('Lease Cycles'!$DD$29:$DJ$29,1,AA367)))),0)</f>
        <v>0</v>
      </c>
      <c r="AB376" s="24">
        <f>IF(AB369=1,IF('Lease Cycles'!$AJ$29=1,0,'Lease Cycles'!$D$29*INDEX('Lease Cycles'!$FH$29:$FN$29,1,AB367)*IF(INDEX('Lease Cycles'!$EF$29:$EL$29,1,AB367)=1,1,IF(OR(INDEX('Lease Cycles'!$DY$29:$EE$29,1,AB367)=1,AB368&gt;0),1,1-INDEX('Lease Cycles'!$DD$29:$DJ$29,1,AB367)))),0)</f>
        <v>0</v>
      </c>
      <c r="AC376" s="24">
        <f>IF(AC369=1,IF('Lease Cycles'!$AJ$29=1,0,'Lease Cycles'!$D$29*INDEX('Lease Cycles'!$FH$29:$FN$29,1,AC367)*IF(INDEX('Lease Cycles'!$EF$29:$EL$29,1,AC367)=1,1,IF(OR(INDEX('Lease Cycles'!$DY$29:$EE$29,1,AC367)=1,AC368&gt;0),1,1-INDEX('Lease Cycles'!$DD$29:$DJ$29,1,AC367)))),0)</f>
        <v>0</v>
      </c>
      <c r="AD376" s="24">
        <f>IF(AD369=1,IF('Lease Cycles'!$AJ$29=1,0,'Lease Cycles'!$D$29*INDEX('Lease Cycles'!$FH$29:$FN$29,1,AD367)*IF(INDEX('Lease Cycles'!$EF$29:$EL$29,1,AD367)=1,1,IF(OR(INDEX('Lease Cycles'!$DY$29:$EE$29,1,AD367)=1,AD368&gt;0),1,1-INDEX('Lease Cycles'!$DD$29:$DJ$29,1,AD367)))),0)</f>
        <v>0</v>
      </c>
      <c r="AE376" s="24">
        <f>IF(AE369=1,IF('Lease Cycles'!$AJ$29=1,0,'Lease Cycles'!$D$29*INDEX('Lease Cycles'!$FH$29:$FN$29,1,AE367)*IF(INDEX('Lease Cycles'!$EF$29:$EL$29,1,AE367)=1,1,IF(OR(INDEX('Lease Cycles'!$DY$29:$EE$29,1,AE367)=1,AE368&gt;0),1,1-INDEX('Lease Cycles'!$DD$29:$DJ$29,1,AE367)))),0)</f>
        <v>0</v>
      </c>
      <c r="AF376" s="24">
        <f>IF(AF369=1,IF('Lease Cycles'!$AJ$29=1,0,'Lease Cycles'!$D$29*INDEX('Lease Cycles'!$FH$29:$FN$29,1,AF367)*IF(INDEX('Lease Cycles'!$EF$29:$EL$29,1,AF367)=1,1,IF(OR(INDEX('Lease Cycles'!$DY$29:$EE$29,1,AF367)=1,AF368&gt;0),1,1-INDEX('Lease Cycles'!$DD$29:$DJ$29,1,AF367)))),0)</f>
        <v>0</v>
      </c>
      <c r="AG376" s="24">
        <f>IF(AG369=1,IF('Lease Cycles'!$AJ$29=1,0,'Lease Cycles'!$D$29*INDEX('Lease Cycles'!$FH$29:$FN$29,1,AG367)*IF(INDEX('Lease Cycles'!$EF$29:$EL$29,1,AG367)=1,1,IF(OR(INDEX('Lease Cycles'!$DY$29:$EE$29,1,AG367)=1,AG368&gt;0),1,1-INDEX('Lease Cycles'!$DD$29:$DJ$29,1,AG367)))),0)</f>
        <v>0</v>
      </c>
      <c r="AH376" s="24">
        <f>IF(AH369=1,IF('Lease Cycles'!$AJ$29=1,0,'Lease Cycles'!$D$29*INDEX('Lease Cycles'!$FH$29:$FN$29,1,AH367)*IF(INDEX('Lease Cycles'!$EF$29:$EL$29,1,AH367)=1,1,IF(OR(INDEX('Lease Cycles'!$DY$29:$EE$29,1,AH367)=1,AH368&gt;0),1,1-INDEX('Lease Cycles'!$DD$29:$DJ$29,1,AH367)))),0)</f>
        <v>0</v>
      </c>
      <c r="AI376" s="24">
        <f>IF(AI369=1,IF('Lease Cycles'!$AJ$29=1,0,'Lease Cycles'!$D$29*INDEX('Lease Cycles'!$FH$29:$FN$29,1,AI367)*IF(INDEX('Lease Cycles'!$EF$29:$EL$29,1,AI367)=1,1,IF(OR(INDEX('Lease Cycles'!$DY$29:$EE$29,1,AI367)=1,AI368&gt;0),1,1-INDEX('Lease Cycles'!$DD$29:$DJ$29,1,AI367)))),0)</f>
        <v>0</v>
      </c>
      <c r="AJ376" s="24">
        <f>IF(AJ369=1,IF('Lease Cycles'!$AJ$29=1,0,'Lease Cycles'!$D$29*INDEX('Lease Cycles'!$FH$29:$FN$29,1,AJ367)*IF(INDEX('Lease Cycles'!$EF$29:$EL$29,1,AJ367)=1,1,IF(OR(INDEX('Lease Cycles'!$DY$29:$EE$29,1,AJ367)=1,AJ368&gt;0),1,1-INDEX('Lease Cycles'!$DD$29:$DJ$29,1,AJ367)))),0)</f>
        <v>0</v>
      </c>
      <c r="AK376" s="24">
        <f>IF(AK369=1,IF('Lease Cycles'!$AJ$29=1,0,'Lease Cycles'!$D$29*INDEX('Lease Cycles'!$FH$29:$FN$29,1,AK367)*IF(INDEX('Lease Cycles'!$EF$29:$EL$29,1,AK367)=1,1,IF(OR(INDEX('Lease Cycles'!$DY$29:$EE$29,1,AK367)=1,AK368&gt;0),1,1-INDEX('Lease Cycles'!$DD$29:$DJ$29,1,AK367)))),0)</f>
        <v>0</v>
      </c>
      <c r="AL376" s="24">
        <f>IF(AL369=1,IF('Lease Cycles'!$AJ$29=1,0,'Lease Cycles'!$D$29*INDEX('Lease Cycles'!$FH$29:$FN$29,1,AL367)*IF(INDEX('Lease Cycles'!$EF$29:$EL$29,1,AL367)=1,1,IF(OR(INDEX('Lease Cycles'!$DY$29:$EE$29,1,AL367)=1,AL368&gt;0),1,1-INDEX('Lease Cycles'!$DD$29:$DJ$29,1,AL367)))),0)</f>
        <v>0</v>
      </c>
      <c r="AM376" s="24">
        <f>IF(AM369=1,IF('Lease Cycles'!$AJ$29=1,0,'Lease Cycles'!$D$29*INDEX('Lease Cycles'!$FH$29:$FN$29,1,AM367)*IF(INDEX('Lease Cycles'!$EF$29:$EL$29,1,AM367)=1,1,IF(OR(INDEX('Lease Cycles'!$DY$29:$EE$29,1,AM367)=1,AM368&gt;0),1,1-INDEX('Lease Cycles'!$DD$29:$DJ$29,1,AM367)))),0)</f>
        <v>0</v>
      </c>
      <c r="AN376" s="24">
        <f>IF(AN369=1,IF('Lease Cycles'!$AJ$29=1,0,'Lease Cycles'!$D$29*INDEX('Lease Cycles'!$FH$29:$FN$29,1,AN367)*IF(INDEX('Lease Cycles'!$EF$29:$EL$29,1,AN367)=1,1,IF(OR(INDEX('Lease Cycles'!$DY$29:$EE$29,1,AN367)=1,AN368&gt;0),1,1-INDEX('Lease Cycles'!$DD$29:$DJ$29,1,AN367)))),0)</f>
        <v>0</v>
      </c>
      <c r="AO376" s="24">
        <f>IF(AO369=1,IF('Lease Cycles'!$AJ$29=1,0,'Lease Cycles'!$D$29*INDEX('Lease Cycles'!$FH$29:$FN$29,1,AO367)*IF(INDEX('Lease Cycles'!$EF$29:$EL$29,1,AO367)=1,1,IF(OR(INDEX('Lease Cycles'!$DY$29:$EE$29,1,AO367)=1,AO368&gt;0),1,1-INDEX('Lease Cycles'!$DD$29:$DJ$29,1,AO367)))),0)</f>
        <v>0</v>
      </c>
      <c r="AP376" s="24">
        <f>IF(AP369=1,IF('Lease Cycles'!$AJ$29=1,0,'Lease Cycles'!$D$29*INDEX('Lease Cycles'!$FH$29:$FN$29,1,AP367)*IF(INDEX('Lease Cycles'!$EF$29:$EL$29,1,AP367)=1,1,IF(OR(INDEX('Lease Cycles'!$DY$29:$EE$29,1,AP367)=1,AP368&gt;0),1,1-INDEX('Lease Cycles'!$DD$29:$DJ$29,1,AP367)))),0)</f>
        <v>0</v>
      </c>
      <c r="AQ376" s="24">
        <f>IF(AQ369=1,IF('Lease Cycles'!$AJ$29=1,0,'Lease Cycles'!$D$29*INDEX('Lease Cycles'!$FH$29:$FN$29,1,AQ367)*IF(INDEX('Lease Cycles'!$EF$29:$EL$29,1,AQ367)=1,1,IF(OR(INDEX('Lease Cycles'!$DY$29:$EE$29,1,AQ367)=1,AQ368&gt;0),1,1-INDEX('Lease Cycles'!$DD$29:$DJ$29,1,AQ367)))),0)</f>
        <v>0</v>
      </c>
      <c r="AR376" s="24">
        <f>IF(AR369=1,IF('Lease Cycles'!$AJ$29=1,0,'Lease Cycles'!$D$29*INDEX('Lease Cycles'!$FH$29:$FN$29,1,AR367)*IF(INDEX('Lease Cycles'!$EF$29:$EL$29,1,AR367)=1,1,IF(OR(INDEX('Lease Cycles'!$DY$29:$EE$29,1,AR367)=1,AR368&gt;0),1,1-INDEX('Lease Cycles'!$DD$29:$DJ$29,1,AR367)))),0)</f>
        <v>0</v>
      </c>
      <c r="AS376" s="24">
        <f>IF(AS369=1,IF('Lease Cycles'!$AJ$29=1,0,'Lease Cycles'!$D$29*INDEX('Lease Cycles'!$FH$29:$FN$29,1,AS367)*IF(INDEX('Lease Cycles'!$EF$29:$EL$29,1,AS367)=1,1,IF(OR(INDEX('Lease Cycles'!$DY$29:$EE$29,1,AS367)=1,AS368&gt;0),1,1-INDEX('Lease Cycles'!$DD$29:$DJ$29,1,AS367)))),0)</f>
        <v>0</v>
      </c>
      <c r="AT376" s="24">
        <f>IF(AT369=1,IF('Lease Cycles'!$AJ$29=1,0,'Lease Cycles'!$D$29*INDEX('Lease Cycles'!$FH$29:$FN$29,1,AT367)*IF(INDEX('Lease Cycles'!$EF$29:$EL$29,1,AT367)=1,1,IF(OR(INDEX('Lease Cycles'!$DY$29:$EE$29,1,AT367)=1,AT368&gt;0),1,1-INDEX('Lease Cycles'!$DD$29:$DJ$29,1,AT367)))),0)</f>
        <v>0</v>
      </c>
      <c r="AU376" s="24">
        <f>IF(AU369=1,IF('Lease Cycles'!$AJ$29=1,0,'Lease Cycles'!$D$29*INDEX('Lease Cycles'!$FH$29:$FN$29,1,AU367)*IF(INDEX('Lease Cycles'!$EF$29:$EL$29,1,AU367)=1,1,IF(OR(INDEX('Lease Cycles'!$DY$29:$EE$29,1,AU367)=1,AU368&gt;0),1,1-INDEX('Lease Cycles'!$DD$29:$DJ$29,1,AU367)))),0)</f>
        <v>0</v>
      </c>
      <c r="AV376" s="24">
        <f>IF(AV369=1,IF('Lease Cycles'!$AJ$29=1,0,'Lease Cycles'!$D$29*INDEX('Lease Cycles'!$FH$29:$FN$29,1,AV367)*IF(INDEX('Lease Cycles'!$EF$29:$EL$29,1,AV367)=1,1,IF(OR(INDEX('Lease Cycles'!$DY$29:$EE$29,1,AV367)=1,AV368&gt;0),1,1-INDEX('Lease Cycles'!$DD$29:$DJ$29,1,AV367)))),0)</f>
        <v>0</v>
      </c>
      <c r="AW376" s="24">
        <f>IF(AW369=1,IF('Lease Cycles'!$AJ$29=1,0,'Lease Cycles'!$D$29*INDEX('Lease Cycles'!$FH$29:$FN$29,1,AW367)*IF(INDEX('Lease Cycles'!$EF$29:$EL$29,1,AW367)=1,1,IF(OR(INDEX('Lease Cycles'!$DY$29:$EE$29,1,AW367)=1,AW368&gt;0),1,1-INDEX('Lease Cycles'!$DD$29:$DJ$29,1,AW367)))),0)</f>
        <v>0</v>
      </c>
      <c r="AX376" s="24">
        <f>IF(AX369=1,IF('Lease Cycles'!$AJ$29=1,0,'Lease Cycles'!$D$29*INDEX('Lease Cycles'!$FH$29:$FN$29,1,AX367)*IF(INDEX('Lease Cycles'!$EF$29:$EL$29,1,AX367)=1,1,IF(OR(INDEX('Lease Cycles'!$DY$29:$EE$29,1,AX367)=1,AX368&gt;0),1,1-INDEX('Lease Cycles'!$DD$29:$DJ$29,1,AX367)))),0)</f>
        <v>0</v>
      </c>
      <c r="AY376" s="24">
        <f>IF(AY369=1,IF('Lease Cycles'!$AJ$29=1,0,'Lease Cycles'!$D$29*INDEX('Lease Cycles'!$FH$29:$FN$29,1,AY367)*IF(INDEX('Lease Cycles'!$EF$29:$EL$29,1,AY367)=1,1,IF(OR(INDEX('Lease Cycles'!$DY$29:$EE$29,1,AY367)=1,AY368&gt;0),1,1-INDEX('Lease Cycles'!$DD$29:$DJ$29,1,AY367)))),0)</f>
        <v>0</v>
      </c>
      <c r="AZ376" s="24">
        <f>IF(AZ369=1,IF('Lease Cycles'!$AJ$29=1,0,'Lease Cycles'!$D$29*INDEX('Lease Cycles'!$FH$29:$FN$29,1,AZ367)*IF(INDEX('Lease Cycles'!$EF$29:$EL$29,1,AZ367)=1,1,IF(OR(INDEX('Lease Cycles'!$DY$29:$EE$29,1,AZ367)=1,AZ368&gt;0),1,1-INDEX('Lease Cycles'!$DD$29:$DJ$29,1,AZ367)))),0)</f>
        <v>0</v>
      </c>
      <c r="BA376" s="24">
        <f>IF(BA369=1,IF('Lease Cycles'!$AJ$29=1,0,'Lease Cycles'!$D$29*INDEX('Lease Cycles'!$FH$29:$FN$29,1,BA367)*IF(INDEX('Lease Cycles'!$EF$29:$EL$29,1,BA367)=1,1,IF(OR(INDEX('Lease Cycles'!$DY$29:$EE$29,1,BA367)=1,BA368&gt;0),1,1-INDEX('Lease Cycles'!$DD$29:$DJ$29,1,BA367)))),0)</f>
        <v>0</v>
      </c>
      <c r="BB376" s="24">
        <f>IF(BB369=1,IF('Lease Cycles'!$AJ$29=1,0,'Lease Cycles'!$D$29*INDEX('Lease Cycles'!$FH$29:$FN$29,1,BB367)*IF(INDEX('Lease Cycles'!$EF$29:$EL$29,1,BB367)=1,1,IF(OR(INDEX('Lease Cycles'!$DY$29:$EE$29,1,BB367)=1,BB368&gt;0),1,1-INDEX('Lease Cycles'!$DD$29:$DJ$29,1,BB367)))),0)</f>
        <v>0</v>
      </c>
      <c r="BC376" s="24">
        <f>IF(BC369=1,IF('Lease Cycles'!$AJ$29=1,0,'Lease Cycles'!$D$29*INDEX('Lease Cycles'!$FH$29:$FN$29,1,BC367)*IF(INDEX('Lease Cycles'!$EF$29:$EL$29,1,BC367)=1,1,IF(OR(INDEX('Lease Cycles'!$DY$29:$EE$29,1,BC367)=1,BC368&gt;0),1,1-INDEX('Lease Cycles'!$DD$29:$DJ$29,1,BC367)))),0)</f>
        <v>0</v>
      </c>
      <c r="BD376" s="24">
        <f>IF(BD369=1,IF('Lease Cycles'!$AJ$29=1,0,'Lease Cycles'!$D$29*INDEX('Lease Cycles'!$FH$29:$FN$29,1,BD367)*IF(INDEX('Lease Cycles'!$EF$29:$EL$29,1,BD367)=1,1,IF(OR(INDEX('Lease Cycles'!$DY$29:$EE$29,1,BD367)=1,BD368&gt;0),1,1-INDEX('Lease Cycles'!$DD$29:$DJ$29,1,BD367)))),0)</f>
        <v>0</v>
      </c>
      <c r="BE376" s="24">
        <f>IF(BE369=1,IF('Lease Cycles'!$AJ$29=1,0,'Lease Cycles'!$D$29*INDEX('Lease Cycles'!$FH$29:$FN$29,1,BE367)*IF(INDEX('Lease Cycles'!$EF$29:$EL$29,1,BE367)=1,1,IF(OR(INDEX('Lease Cycles'!$DY$29:$EE$29,1,BE367)=1,BE368&gt;0),1,1-INDEX('Lease Cycles'!$DD$29:$DJ$29,1,BE367)))),0)</f>
        <v>0</v>
      </c>
      <c r="BF376" s="24">
        <f>IF(BF369=1,IF('Lease Cycles'!$AJ$29=1,0,'Lease Cycles'!$D$29*INDEX('Lease Cycles'!$FH$29:$FN$29,1,BF367)*IF(INDEX('Lease Cycles'!$EF$29:$EL$29,1,BF367)=1,1,IF(OR(INDEX('Lease Cycles'!$DY$29:$EE$29,1,BF367)=1,BF368&gt;0),1,1-INDEX('Lease Cycles'!$DD$29:$DJ$29,1,BF367)))),0)</f>
        <v>0</v>
      </c>
      <c r="BG376" s="24">
        <f>IF(BG369=1,IF('Lease Cycles'!$AJ$29=1,0,'Lease Cycles'!$D$29*INDEX('Lease Cycles'!$FH$29:$FN$29,1,BG367)*IF(INDEX('Lease Cycles'!$EF$29:$EL$29,1,BG367)=1,1,IF(OR(INDEX('Lease Cycles'!$DY$29:$EE$29,1,BG367)=1,BG368&gt;0),1,1-INDEX('Lease Cycles'!$DD$29:$DJ$29,1,BG367)))),0)</f>
        <v>0</v>
      </c>
      <c r="BH376" s="24">
        <f>IF(BH369=1,IF('Lease Cycles'!$AJ$29=1,0,'Lease Cycles'!$D$29*INDEX('Lease Cycles'!$FH$29:$FN$29,1,BH367)*IF(INDEX('Lease Cycles'!$EF$29:$EL$29,1,BH367)=1,1,IF(OR(INDEX('Lease Cycles'!$DY$29:$EE$29,1,BH367)=1,BH368&gt;0),1,1-INDEX('Lease Cycles'!$DD$29:$DJ$29,1,BH367)))),0)</f>
        <v>0</v>
      </c>
      <c r="BI376" s="24">
        <f>IF(BI369=1,IF('Lease Cycles'!$AJ$29=1,0,'Lease Cycles'!$D$29*INDEX('Lease Cycles'!$FH$29:$FN$29,1,BI367)*IF(INDEX('Lease Cycles'!$EF$29:$EL$29,1,BI367)=1,1,IF(OR(INDEX('Lease Cycles'!$DY$29:$EE$29,1,BI367)=1,BI368&gt;0),1,1-INDEX('Lease Cycles'!$DD$29:$DJ$29,1,BI367)))),0)</f>
        <v>0</v>
      </c>
      <c r="BJ376" s="24">
        <f>IF(BJ369=1,IF('Lease Cycles'!$AJ$29=1,0,'Lease Cycles'!$D$29*INDEX('Lease Cycles'!$FH$29:$FN$29,1,BJ367)*IF(INDEX('Lease Cycles'!$EF$29:$EL$29,1,BJ367)=1,1,IF(OR(INDEX('Lease Cycles'!$DY$29:$EE$29,1,BJ367)=1,BJ368&gt;0),1,1-INDEX('Lease Cycles'!$DD$29:$DJ$29,1,BJ367)))),0)</f>
        <v>0</v>
      </c>
      <c r="BK376" s="24">
        <f>IF(BK369=1,IF('Lease Cycles'!$AJ$29=1,0,'Lease Cycles'!$D$29*INDEX('Lease Cycles'!$FH$29:$FN$29,1,BK367)*IF(INDEX('Lease Cycles'!$EF$29:$EL$29,1,BK367)=1,1,IF(OR(INDEX('Lease Cycles'!$DY$29:$EE$29,1,BK367)=1,BK368&gt;0),1,1-INDEX('Lease Cycles'!$DD$29:$DJ$29,1,BK367)))),0)</f>
        <v>0</v>
      </c>
      <c r="BL376" s="24">
        <f>IF(BL369=1,IF('Lease Cycles'!$AJ$29=1,0,'Lease Cycles'!$D$29*INDEX('Lease Cycles'!$FH$29:$FN$29,1,BL367)*IF(INDEX('Lease Cycles'!$EF$29:$EL$29,1,BL367)=1,1,IF(OR(INDEX('Lease Cycles'!$DY$29:$EE$29,1,BL367)=1,BL368&gt;0),1,1-INDEX('Lease Cycles'!$DD$29:$DJ$29,1,BL367)))),0)</f>
        <v>0</v>
      </c>
      <c r="BM376" s="24">
        <f>IF(BM369=1,IF('Lease Cycles'!$AJ$29=1,0,'Lease Cycles'!$D$29*INDEX('Lease Cycles'!$FH$29:$FN$29,1,BM367)*IF(INDEX('Lease Cycles'!$EF$29:$EL$29,1,BM367)=1,1,IF(OR(INDEX('Lease Cycles'!$DY$29:$EE$29,1,BM367)=1,BM368&gt;0),1,1-INDEX('Lease Cycles'!$DD$29:$DJ$29,1,BM367)))),0)</f>
        <v>0</v>
      </c>
      <c r="BN376" s="24">
        <f>IF(BN369=1,IF('Lease Cycles'!$AJ$29=1,0,'Lease Cycles'!$D$29*INDEX('Lease Cycles'!$FH$29:$FN$29,1,BN367)*IF(INDEX('Lease Cycles'!$EF$29:$EL$29,1,BN367)=1,1,IF(OR(INDEX('Lease Cycles'!$DY$29:$EE$29,1,BN367)=1,BN368&gt;0),1,1-INDEX('Lease Cycles'!$DD$29:$DJ$29,1,BN367)))),0)</f>
        <v>0</v>
      </c>
      <c r="BO376" s="24">
        <f>IF(BO369=1,IF('Lease Cycles'!$AJ$29=1,0,'Lease Cycles'!$D$29*INDEX('Lease Cycles'!$FH$29:$FN$29,1,BO367)*IF(INDEX('Lease Cycles'!$EF$29:$EL$29,1,BO367)=1,1,IF(OR(INDEX('Lease Cycles'!$DY$29:$EE$29,1,BO367)=1,BO368&gt;0),1,1-INDEX('Lease Cycles'!$DD$29:$DJ$29,1,BO367)))),0)</f>
        <v>0</v>
      </c>
      <c r="BP376" s="24">
        <f>IF(BP369=1,IF('Lease Cycles'!$AJ$29=1,0,'Lease Cycles'!$D$29*INDEX('Lease Cycles'!$FH$29:$FN$29,1,BP367)*IF(INDEX('Lease Cycles'!$EF$29:$EL$29,1,BP367)=1,1,IF(OR(INDEX('Lease Cycles'!$DY$29:$EE$29,1,BP367)=1,BP368&gt;0),1,1-INDEX('Lease Cycles'!$DD$29:$DJ$29,1,BP367)))),0)</f>
        <v>0</v>
      </c>
      <c r="BQ376" s="24">
        <f>IF(BQ369=1,IF('Lease Cycles'!$AJ$29=1,0,'Lease Cycles'!$D$29*INDEX('Lease Cycles'!$FH$29:$FN$29,1,BQ367)*IF(INDEX('Lease Cycles'!$EF$29:$EL$29,1,BQ367)=1,1,IF(OR(INDEX('Lease Cycles'!$DY$29:$EE$29,1,BQ367)=1,BQ368&gt;0),1,1-INDEX('Lease Cycles'!$DD$29:$DJ$29,1,BQ367)))),0)</f>
        <v>0</v>
      </c>
      <c r="BR376" s="24">
        <f>IF(BR369=1,IF('Lease Cycles'!$AJ$29=1,0,'Lease Cycles'!$D$29*INDEX('Lease Cycles'!$FH$29:$FN$29,1,BR367)*IF(INDEX('Lease Cycles'!$EF$29:$EL$29,1,BR367)=1,1,IF(OR(INDEX('Lease Cycles'!$DY$29:$EE$29,1,BR367)=1,BR368&gt;0),1,1-INDEX('Lease Cycles'!$DD$29:$DJ$29,1,BR367)))),0)</f>
        <v>0</v>
      </c>
      <c r="BS376" s="24">
        <f>IF(BS369=1,IF('Lease Cycles'!$AJ$29=1,0,'Lease Cycles'!$D$29*INDEX('Lease Cycles'!$FH$29:$FN$29,1,BS367)*IF(INDEX('Lease Cycles'!$EF$29:$EL$29,1,BS367)=1,1,IF(OR(INDEX('Lease Cycles'!$DY$29:$EE$29,1,BS367)=1,BS368&gt;0),1,1-INDEX('Lease Cycles'!$DD$29:$DJ$29,1,BS367)))),0)</f>
        <v>0</v>
      </c>
      <c r="BT376" s="24">
        <f>IF(BT369=1,IF('Lease Cycles'!$AJ$29=1,0,'Lease Cycles'!$D$29*INDEX('Lease Cycles'!$FH$29:$FN$29,1,BT367)*IF(INDEX('Lease Cycles'!$EF$29:$EL$29,1,BT367)=1,1,IF(OR(INDEX('Lease Cycles'!$DY$29:$EE$29,1,BT367)=1,BT368&gt;0),1,1-INDEX('Lease Cycles'!$DD$29:$DJ$29,1,BT367)))),0)</f>
        <v>0</v>
      </c>
      <c r="BU376" s="24">
        <f>IF(BU369=1,IF('Lease Cycles'!$AJ$29=1,0,'Lease Cycles'!$D$29*INDEX('Lease Cycles'!$FH$29:$FN$29,1,BU367)*IF(INDEX('Lease Cycles'!$EF$29:$EL$29,1,BU367)=1,1,IF(OR(INDEX('Lease Cycles'!$DY$29:$EE$29,1,BU367)=1,BU368&gt;0),1,1-INDEX('Lease Cycles'!$DD$29:$DJ$29,1,BU367)))),0)</f>
        <v>0</v>
      </c>
      <c r="BV376" s="24">
        <f>IF(BV369=1,IF('Lease Cycles'!$AJ$29=1,0,'Lease Cycles'!$D$29*INDEX('Lease Cycles'!$FH$29:$FN$29,1,BV367)*IF(INDEX('Lease Cycles'!$EF$29:$EL$29,1,BV367)=1,1,IF(OR(INDEX('Lease Cycles'!$DY$29:$EE$29,1,BV367)=1,BV368&gt;0),1,1-INDEX('Lease Cycles'!$DD$29:$DJ$29,1,BV367)))),0)</f>
        <v>0</v>
      </c>
      <c r="BW376" s="24">
        <f>IF(BW369=1,IF('Lease Cycles'!$AJ$29=1,0,'Lease Cycles'!$D$29*INDEX('Lease Cycles'!$FH$29:$FN$29,1,BW367)*IF(INDEX('Lease Cycles'!$EF$29:$EL$29,1,BW367)=1,1,IF(OR(INDEX('Lease Cycles'!$DY$29:$EE$29,1,BW367)=1,BW368&gt;0),1,1-INDEX('Lease Cycles'!$DD$29:$DJ$29,1,BW367)))),0)</f>
        <v>0</v>
      </c>
      <c r="BX376" s="24">
        <f>IF(BX369=1,IF('Lease Cycles'!$AJ$29=1,0,'Lease Cycles'!$D$29*INDEX('Lease Cycles'!$FH$29:$FN$29,1,BX367)*IF(INDEX('Lease Cycles'!$EF$29:$EL$29,1,BX367)=1,1,IF(OR(INDEX('Lease Cycles'!$DY$29:$EE$29,1,BX367)=1,BX368&gt;0),1,1-INDEX('Lease Cycles'!$DD$29:$DJ$29,1,BX367)))),0)</f>
        <v>0</v>
      </c>
      <c r="BY376" s="24">
        <f>IF(BY369=1,IF('Lease Cycles'!$AJ$29=1,0,'Lease Cycles'!$D$29*INDEX('Lease Cycles'!$FH$29:$FN$29,1,BY367)*IF(INDEX('Lease Cycles'!$EF$29:$EL$29,1,BY367)=1,1,IF(OR(INDEX('Lease Cycles'!$DY$29:$EE$29,1,BY367)=1,BY368&gt;0),1,1-INDEX('Lease Cycles'!$DD$29:$DJ$29,1,BY367)))),0)</f>
        <v>0</v>
      </c>
      <c r="BZ376" s="24">
        <f>IF(BZ369=1,IF('Lease Cycles'!$AJ$29=1,0,'Lease Cycles'!$D$29*INDEX('Lease Cycles'!$FH$29:$FN$29,1,BZ367)*IF(INDEX('Lease Cycles'!$EF$29:$EL$29,1,BZ367)=1,1,IF(OR(INDEX('Lease Cycles'!$DY$29:$EE$29,1,BZ367)=1,BZ368&gt;0),1,1-INDEX('Lease Cycles'!$DD$29:$DJ$29,1,BZ367)))),0)</f>
        <v>0</v>
      </c>
      <c r="CA376" s="24">
        <f>IF(CA369=1,IF('Lease Cycles'!$AJ$29=1,0,'Lease Cycles'!$D$29*INDEX('Lease Cycles'!$FH$29:$FN$29,1,CA367)*IF(INDEX('Lease Cycles'!$EF$29:$EL$29,1,CA367)=1,1,IF(OR(INDEX('Lease Cycles'!$DY$29:$EE$29,1,CA367)=1,CA368&gt;0),1,1-INDEX('Lease Cycles'!$DD$29:$DJ$29,1,CA367)))),0)</f>
        <v>0</v>
      </c>
      <c r="CB376" s="24">
        <f>IF(CB369=1,IF('Lease Cycles'!$AJ$29=1,0,'Lease Cycles'!$D$29*INDEX('Lease Cycles'!$FH$29:$FN$29,1,CB367)*IF(INDEX('Lease Cycles'!$EF$29:$EL$29,1,CB367)=1,1,IF(OR(INDEX('Lease Cycles'!$DY$29:$EE$29,1,CB367)=1,CB368&gt;0),1,1-INDEX('Lease Cycles'!$DD$29:$DJ$29,1,CB367)))),0)</f>
        <v>0</v>
      </c>
      <c r="CC376" s="24">
        <f>IF(CC369=1,IF('Lease Cycles'!$AJ$29=1,0,'Lease Cycles'!$D$29*INDEX('Lease Cycles'!$FH$29:$FN$29,1,CC367)*IF(INDEX('Lease Cycles'!$EF$29:$EL$29,1,CC367)=1,1,IF(OR(INDEX('Lease Cycles'!$DY$29:$EE$29,1,CC367)=1,CC368&gt;0),1,1-INDEX('Lease Cycles'!$DD$29:$DJ$29,1,CC367)))),0)</f>
        <v>0</v>
      </c>
      <c r="CD376" s="24">
        <f>IF(CD369=1,IF('Lease Cycles'!$AJ$29=1,0,'Lease Cycles'!$D$29*INDEX('Lease Cycles'!$FH$29:$FN$29,1,CD367)*IF(INDEX('Lease Cycles'!$EF$29:$EL$29,1,CD367)=1,1,IF(OR(INDEX('Lease Cycles'!$DY$29:$EE$29,1,CD367)=1,CD368&gt;0),1,1-INDEX('Lease Cycles'!$DD$29:$DJ$29,1,CD367)))),0)</f>
        <v>0</v>
      </c>
      <c r="CE376" s="24">
        <f>IF(CE369=1,IF('Lease Cycles'!$AJ$29=1,0,'Lease Cycles'!$D$29*INDEX('Lease Cycles'!$FH$29:$FN$29,1,CE367)*IF(INDEX('Lease Cycles'!$EF$29:$EL$29,1,CE367)=1,1,IF(OR(INDEX('Lease Cycles'!$DY$29:$EE$29,1,CE367)=1,CE368&gt;0),1,1-INDEX('Lease Cycles'!$DD$29:$DJ$29,1,CE367)))),0)</f>
        <v>0</v>
      </c>
      <c r="CF376" s="24">
        <f>IF(CF369=1,IF('Lease Cycles'!$AJ$29=1,0,'Lease Cycles'!$D$29*INDEX('Lease Cycles'!$FH$29:$FN$29,1,CF367)*IF(INDEX('Lease Cycles'!$EF$29:$EL$29,1,CF367)=1,1,IF(OR(INDEX('Lease Cycles'!$DY$29:$EE$29,1,CF367)=1,CF368&gt;0),1,1-INDEX('Lease Cycles'!$DD$29:$DJ$29,1,CF367)))),0)</f>
        <v>0</v>
      </c>
      <c r="CG376" s="24">
        <f>IF(CG369=1,IF('Lease Cycles'!$AJ$29=1,0,'Lease Cycles'!$D$29*INDEX('Lease Cycles'!$FH$29:$FN$29,1,CG367)*IF(INDEX('Lease Cycles'!$EF$29:$EL$29,1,CG367)=1,1,IF(OR(INDEX('Lease Cycles'!$DY$29:$EE$29,1,CG367)=1,CG368&gt;0),1,1-INDEX('Lease Cycles'!$DD$29:$DJ$29,1,CG367)))),0)</f>
        <v>0</v>
      </c>
      <c r="CH376" s="24">
        <f>IF(CH369=1,IF('Lease Cycles'!$AJ$29=1,0,'Lease Cycles'!$D$29*INDEX('Lease Cycles'!$FH$29:$FN$29,1,CH367)*IF(INDEX('Lease Cycles'!$EF$29:$EL$29,1,CH367)=1,1,IF(OR(INDEX('Lease Cycles'!$DY$29:$EE$29,1,CH367)=1,CH368&gt;0),1,1-INDEX('Lease Cycles'!$DD$29:$DJ$29,1,CH367)))),0)</f>
        <v>0</v>
      </c>
      <c r="CI376" s="24">
        <f>IF(CI369=1,IF('Lease Cycles'!$AJ$29=1,0,'Lease Cycles'!$D$29*INDEX('Lease Cycles'!$FH$29:$FN$29,1,CI367)*IF(INDEX('Lease Cycles'!$EF$29:$EL$29,1,CI367)=1,1,IF(OR(INDEX('Lease Cycles'!$DY$29:$EE$29,1,CI367)=1,CI368&gt;0),1,1-INDEX('Lease Cycles'!$DD$29:$DJ$29,1,CI367)))),0)</f>
        <v>0</v>
      </c>
      <c r="CJ376" s="24">
        <f>IF(CJ369=1,IF('Lease Cycles'!$AJ$29=1,0,'Lease Cycles'!$D$29*INDEX('Lease Cycles'!$FH$29:$FN$29,1,CJ367)*IF(INDEX('Lease Cycles'!$EF$29:$EL$29,1,CJ367)=1,1,IF(OR(INDEX('Lease Cycles'!$DY$29:$EE$29,1,CJ367)=1,CJ368&gt;0),1,1-INDEX('Lease Cycles'!$DD$29:$DJ$29,1,CJ367)))),0)</f>
        <v>0</v>
      </c>
      <c r="CK376" s="24">
        <f>IF(CK369=1,IF('Lease Cycles'!$AJ$29=1,0,'Lease Cycles'!$D$29*INDEX('Lease Cycles'!$FH$29:$FN$29,1,CK367)*IF(INDEX('Lease Cycles'!$EF$29:$EL$29,1,CK367)=1,1,IF(OR(INDEX('Lease Cycles'!$DY$29:$EE$29,1,CK367)=1,CK368&gt;0),1,1-INDEX('Lease Cycles'!$DD$29:$DJ$29,1,CK367)))),0)</f>
        <v>0</v>
      </c>
      <c r="CL376" s="24">
        <f>IF(CL369=1,IF('Lease Cycles'!$AJ$29=1,0,'Lease Cycles'!$D$29*INDEX('Lease Cycles'!$FH$29:$FN$29,1,CL367)*IF(INDEX('Lease Cycles'!$EF$29:$EL$29,1,CL367)=1,1,IF(OR(INDEX('Lease Cycles'!$DY$29:$EE$29,1,CL367)=1,CL368&gt;0),1,1-INDEX('Lease Cycles'!$DD$29:$DJ$29,1,CL367)))),0)</f>
        <v>0</v>
      </c>
      <c r="CM376" s="24">
        <f>IF(CM369=1,IF('Lease Cycles'!$AJ$29=1,0,'Lease Cycles'!$D$29*INDEX('Lease Cycles'!$FH$29:$FN$29,1,CM367)*IF(INDEX('Lease Cycles'!$EF$29:$EL$29,1,CM367)=1,1,IF(OR(INDEX('Lease Cycles'!$DY$29:$EE$29,1,CM367)=1,CM368&gt;0),1,1-INDEX('Lease Cycles'!$DD$29:$DJ$29,1,CM367)))),0)</f>
        <v>0</v>
      </c>
      <c r="CN376" s="24">
        <f>IF(CN369=1,IF('Lease Cycles'!$AJ$29=1,0,'Lease Cycles'!$D$29*INDEX('Lease Cycles'!$FH$29:$FN$29,1,CN367)*IF(INDEX('Lease Cycles'!$EF$29:$EL$29,1,CN367)=1,1,IF(OR(INDEX('Lease Cycles'!$DY$29:$EE$29,1,CN367)=1,CN368&gt;0),1,1-INDEX('Lease Cycles'!$DD$29:$DJ$29,1,CN367)))),0)</f>
        <v>0</v>
      </c>
      <c r="CO376" s="24">
        <f>IF(CO369=1,IF('Lease Cycles'!$AJ$29=1,0,'Lease Cycles'!$D$29*INDEX('Lease Cycles'!$FH$29:$FN$29,1,CO367)*IF(INDEX('Lease Cycles'!$EF$29:$EL$29,1,CO367)=1,1,IF(OR(INDEX('Lease Cycles'!$DY$29:$EE$29,1,CO367)=1,CO368&gt;0),1,1-INDEX('Lease Cycles'!$DD$29:$DJ$29,1,CO367)))),0)</f>
        <v>0</v>
      </c>
      <c r="CP376" s="24">
        <f>IF(CP369=1,IF('Lease Cycles'!$AJ$29=1,0,'Lease Cycles'!$D$29*INDEX('Lease Cycles'!$FH$29:$FN$29,1,CP367)*IF(INDEX('Lease Cycles'!$EF$29:$EL$29,1,CP367)=1,1,IF(OR(INDEX('Lease Cycles'!$DY$29:$EE$29,1,CP367)=1,CP368&gt;0),1,1-INDEX('Lease Cycles'!$DD$29:$DJ$29,1,CP367)))),0)</f>
        <v>0</v>
      </c>
      <c r="CQ376" s="24">
        <f>IF(CQ369=1,IF('Lease Cycles'!$AJ$29=1,0,'Lease Cycles'!$D$29*INDEX('Lease Cycles'!$FH$29:$FN$29,1,CQ367)*IF(INDEX('Lease Cycles'!$EF$29:$EL$29,1,CQ367)=1,1,IF(OR(INDEX('Lease Cycles'!$DY$29:$EE$29,1,CQ367)=1,CQ368&gt;0),1,1-INDEX('Lease Cycles'!$DD$29:$DJ$29,1,CQ367)))),0)</f>
        <v>0</v>
      </c>
      <c r="CR376" s="24">
        <f>IF(CR369=1,IF('Lease Cycles'!$AJ$29=1,0,'Lease Cycles'!$D$29*INDEX('Lease Cycles'!$FH$29:$FN$29,1,CR367)*IF(INDEX('Lease Cycles'!$EF$29:$EL$29,1,CR367)=1,1,IF(OR(INDEX('Lease Cycles'!$DY$29:$EE$29,1,CR367)=1,CR368&gt;0),1,1-INDEX('Lease Cycles'!$DD$29:$DJ$29,1,CR367)))),0)</f>
        <v>0</v>
      </c>
      <c r="CS376" s="24">
        <f>IF(CS369=1,IF('Lease Cycles'!$AJ$29=1,0,'Lease Cycles'!$D$29*INDEX('Lease Cycles'!$FH$29:$FN$29,1,CS367)*IF(INDEX('Lease Cycles'!$EF$29:$EL$29,1,CS367)=1,1,IF(OR(INDEX('Lease Cycles'!$DY$29:$EE$29,1,CS367)=1,CS368&gt;0),1,1-INDEX('Lease Cycles'!$DD$29:$DJ$29,1,CS367)))),0)</f>
        <v>0</v>
      </c>
      <c r="CT376" s="24">
        <f>IF(CT369=1,IF('Lease Cycles'!$AJ$29=1,0,'Lease Cycles'!$D$29*INDEX('Lease Cycles'!$FH$29:$FN$29,1,CT367)*IF(INDEX('Lease Cycles'!$EF$29:$EL$29,1,CT367)=1,1,IF(OR(INDEX('Lease Cycles'!$DY$29:$EE$29,1,CT367)=1,CT368&gt;0),1,1-INDEX('Lease Cycles'!$DD$29:$DJ$29,1,CT367)))),0)</f>
        <v>0</v>
      </c>
      <c r="CU376" s="24">
        <f>IF(CU369=1,IF('Lease Cycles'!$AJ$29=1,0,'Lease Cycles'!$D$29*INDEX('Lease Cycles'!$FH$29:$FN$29,1,CU367)*IF(INDEX('Lease Cycles'!$EF$29:$EL$29,1,CU367)=1,1,IF(OR(INDEX('Lease Cycles'!$DY$29:$EE$29,1,CU367)=1,CU368&gt;0),1,1-INDEX('Lease Cycles'!$DD$29:$DJ$29,1,CU367)))),0)</f>
        <v>0</v>
      </c>
      <c r="CV376" s="24">
        <f>IF(CV369=1,IF('Lease Cycles'!$AJ$29=1,0,'Lease Cycles'!$D$29*INDEX('Lease Cycles'!$FH$29:$FN$29,1,CV367)*IF(INDEX('Lease Cycles'!$EF$29:$EL$29,1,CV367)=1,1,IF(OR(INDEX('Lease Cycles'!$DY$29:$EE$29,1,CV367)=1,CV368&gt;0),1,1-INDEX('Lease Cycles'!$DD$29:$DJ$29,1,CV367)))),0)</f>
        <v>0</v>
      </c>
      <c r="CW376" s="24">
        <f>IF(CW369=1,IF('Lease Cycles'!$AJ$29=1,0,'Lease Cycles'!$D$29*INDEX('Lease Cycles'!$FH$29:$FN$29,1,CW367)*IF(INDEX('Lease Cycles'!$EF$29:$EL$29,1,CW367)=1,1,IF(OR(INDEX('Lease Cycles'!$DY$29:$EE$29,1,CW367)=1,CW368&gt;0),1,1-INDEX('Lease Cycles'!$DD$29:$DJ$29,1,CW367)))),0)</f>
        <v>0</v>
      </c>
      <c r="CX376" s="24">
        <f>IF(CX369=1,IF('Lease Cycles'!$AJ$29=1,0,'Lease Cycles'!$D$29*INDEX('Lease Cycles'!$FH$29:$FN$29,1,CX367)*IF(INDEX('Lease Cycles'!$EF$29:$EL$29,1,CX367)=1,1,IF(OR(INDEX('Lease Cycles'!$DY$29:$EE$29,1,CX367)=1,CX368&gt;0),1,1-INDEX('Lease Cycles'!$DD$29:$DJ$29,1,CX367)))),0)</f>
        <v>0</v>
      </c>
      <c r="CY376" s="24">
        <f>IF(CY369=1,IF('Lease Cycles'!$AJ$29=1,0,'Lease Cycles'!$D$29*INDEX('Lease Cycles'!$FH$29:$FN$29,1,CY367)*IF(INDEX('Lease Cycles'!$EF$29:$EL$29,1,CY367)=1,1,IF(OR(INDEX('Lease Cycles'!$DY$29:$EE$29,1,CY367)=1,CY368&gt;0),1,1-INDEX('Lease Cycles'!$DD$29:$DJ$29,1,CY367)))),0)</f>
        <v>0</v>
      </c>
      <c r="CZ376" s="24">
        <f>IF(CZ369=1,IF('Lease Cycles'!$AJ$29=1,0,'Lease Cycles'!$D$29*INDEX('Lease Cycles'!$FH$29:$FN$29,1,CZ367)*IF(INDEX('Lease Cycles'!$EF$29:$EL$29,1,CZ367)=1,1,IF(OR(INDEX('Lease Cycles'!$DY$29:$EE$29,1,CZ367)=1,CZ368&gt;0),1,1-INDEX('Lease Cycles'!$DD$29:$DJ$29,1,CZ367)))),0)</f>
        <v>0</v>
      </c>
      <c r="DA376" s="24">
        <f>IF(DA369=1,IF('Lease Cycles'!$AJ$29=1,0,'Lease Cycles'!$D$29*INDEX('Lease Cycles'!$FH$29:$FN$29,1,DA367)*IF(INDEX('Lease Cycles'!$EF$29:$EL$29,1,DA367)=1,1,IF(OR(INDEX('Lease Cycles'!$DY$29:$EE$29,1,DA367)=1,DA368&gt;0),1,1-INDEX('Lease Cycles'!$DD$29:$DJ$29,1,DA367)))),0)</f>
        <v>0</v>
      </c>
      <c r="DB376" s="24">
        <f>IF(DB369=1,IF('Lease Cycles'!$AJ$29=1,0,'Lease Cycles'!$D$29*INDEX('Lease Cycles'!$FH$29:$FN$29,1,DB367)*IF(INDEX('Lease Cycles'!$EF$29:$EL$29,1,DB367)=1,1,IF(OR(INDEX('Lease Cycles'!$DY$29:$EE$29,1,DB367)=1,DB368&gt;0),1,1-INDEX('Lease Cycles'!$DD$29:$DJ$29,1,DB367)))),0)</f>
        <v>0</v>
      </c>
      <c r="DC376" s="24">
        <f>IF(DC369=1,IF('Lease Cycles'!$AJ$29=1,0,'Lease Cycles'!$D$29*INDEX('Lease Cycles'!$FH$29:$FN$29,1,DC367)*IF(INDEX('Lease Cycles'!$EF$29:$EL$29,1,DC367)=1,1,IF(OR(INDEX('Lease Cycles'!$DY$29:$EE$29,1,DC367)=1,DC368&gt;0),1,1-INDEX('Lease Cycles'!$DD$29:$DJ$29,1,DC367)))),0)</f>
        <v>0</v>
      </c>
      <c r="DD376" s="24">
        <f>IF(DD369=1,IF('Lease Cycles'!$AJ$29=1,0,'Lease Cycles'!$D$29*INDEX('Lease Cycles'!$FH$29:$FN$29,1,DD367)*IF(INDEX('Lease Cycles'!$EF$29:$EL$29,1,DD367)=1,1,IF(OR(INDEX('Lease Cycles'!$DY$29:$EE$29,1,DD367)=1,DD368&gt;0),1,1-INDEX('Lease Cycles'!$DD$29:$DJ$29,1,DD367)))),0)</f>
        <v>0</v>
      </c>
      <c r="DE376" s="24">
        <f>IF(DE369=1,IF('Lease Cycles'!$AJ$29=1,0,'Lease Cycles'!$D$29*INDEX('Lease Cycles'!$FH$29:$FN$29,1,DE367)*IF(INDEX('Lease Cycles'!$EF$29:$EL$29,1,DE367)=1,1,IF(OR(INDEX('Lease Cycles'!$DY$29:$EE$29,1,DE367)=1,DE368&gt;0),1,1-INDEX('Lease Cycles'!$DD$29:$DJ$29,1,DE367)))),0)</f>
        <v>0</v>
      </c>
      <c r="DF376" s="24">
        <f>IF(DF369=1,IF('Lease Cycles'!$AJ$29=1,0,'Lease Cycles'!$D$29*INDEX('Lease Cycles'!$FH$29:$FN$29,1,DF367)*IF(INDEX('Lease Cycles'!$EF$29:$EL$29,1,DF367)=1,1,IF(OR(INDEX('Lease Cycles'!$DY$29:$EE$29,1,DF367)=1,DF368&gt;0),1,1-INDEX('Lease Cycles'!$DD$29:$DJ$29,1,DF367)))),0)</f>
        <v>0</v>
      </c>
      <c r="DG376" s="24">
        <f>IF(DG369=1,IF('Lease Cycles'!$AJ$29=1,0,'Lease Cycles'!$D$29*INDEX('Lease Cycles'!$FH$29:$FN$29,1,DG367)*IF(INDEX('Lease Cycles'!$EF$29:$EL$29,1,DG367)=1,1,IF(OR(INDEX('Lease Cycles'!$DY$29:$EE$29,1,DG367)=1,DG368&gt;0),1,1-INDEX('Lease Cycles'!$DD$29:$DJ$29,1,DG367)))),0)</f>
        <v>0</v>
      </c>
      <c r="DH376" s="24">
        <f>IF(DH369=1,IF('Lease Cycles'!$AJ$29=1,0,'Lease Cycles'!$D$29*INDEX('Lease Cycles'!$FH$29:$FN$29,1,DH367)*IF(INDEX('Lease Cycles'!$EF$29:$EL$29,1,DH367)=1,1,IF(OR(INDEX('Lease Cycles'!$DY$29:$EE$29,1,DH367)=1,DH368&gt;0),1,1-INDEX('Lease Cycles'!$DD$29:$DJ$29,1,DH367)))),0)</f>
        <v>0</v>
      </c>
      <c r="DI376" s="24">
        <f>IF(DI369=1,IF('Lease Cycles'!$AJ$29=1,0,'Lease Cycles'!$D$29*INDEX('Lease Cycles'!$FH$29:$FN$29,1,DI367)*IF(INDEX('Lease Cycles'!$EF$29:$EL$29,1,DI367)=1,1,IF(OR(INDEX('Lease Cycles'!$DY$29:$EE$29,1,DI367)=1,DI368&gt;0),1,1-INDEX('Lease Cycles'!$DD$29:$DJ$29,1,DI367)))),0)</f>
        <v>0</v>
      </c>
      <c r="DJ376" s="24">
        <f>IF(DJ369=1,IF('Lease Cycles'!$AJ$29=1,0,'Lease Cycles'!$D$29*INDEX('Lease Cycles'!$FH$29:$FN$29,1,DJ367)*IF(INDEX('Lease Cycles'!$EF$29:$EL$29,1,DJ367)=1,1,IF(OR(INDEX('Lease Cycles'!$DY$29:$EE$29,1,DJ367)=1,DJ368&gt;0),1,1-INDEX('Lease Cycles'!$DD$29:$DJ$29,1,DJ367)))),0)</f>
        <v>0</v>
      </c>
      <c r="DK376" s="24">
        <f>IF(DK369=1,IF('Lease Cycles'!$AJ$29=1,0,'Lease Cycles'!$D$29*INDEX('Lease Cycles'!$FH$29:$FN$29,1,DK367)*IF(INDEX('Lease Cycles'!$EF$29:$EL$29,1,DK367)=1,1,IF(OR(INDEX('Lease Cycles'!$DY$29:$EE$29,1,DK367)=1,DK368&gt;0),1,1-INDEX('Lease Cycles'!$DD$29:$DJ$29,1,DK367)))),0)</f>
        <v>0</v>
      </c>
      <c r="DL376" s="24">
        <f>IF(DL369=1,IF('Lease Cycles'!$AJ$29=1,0,'Lease Cycles'!$D$29*INDEX('Lease Cycles'!$FH$29:$FN$29,1,DL367)*IF(INDEX('Lease Cycles'!$EF$29:$EL$29,1,DL367)=1,1,IF(OR(INDEX('Lease Cycles'!$DY$29:$EE$29,1,DL367)=1,DL368&gt;0),1,1-INDEX('Lease Cycles'!$DD$29:$DJ$29,1,DL367)))),0)</f>
        <v>0</v>
      </c>
      <c r="DM376" s="24">
        <f>IF(DM369=1,IF('Lease Cycles'!$AJ$29=1,0,'Lease Cycles'!$D$29*INDEX('Lease Cycles'!$FH$29:$FN$29,1,DM367)*IF(INDEX('Lease Cycles'!$EF$29:$EL$29,1,DM367)=1,1,IF(OR(INDEX('Lease Cycles'!$DY$29:$EE$29,1,DM367)=1,DM368&gt;0),1,1-INDEX('Lease Cycles'!$DD$29:$DJ$29,1,DM367)))),0)</f>
        <v>0</v>
      </c>
      <c r="DN376" s="24">
        <f>IF(DN369=1,IF('Lease Cycles'!$AJ$29=1,0,'Lease Cycles'!$D$29*INDEX('Lease Cycles'!$FH$29:$FN$29,1,DN367)*IF(INDEX('Lease Cycles'!$EF$29:$EL$29,1,DN367)=1,1,IF(OR(INDEX('Lease Cycles'!$DY$29:$EE$29,1,DN367)=1,DN368&gt;0),1,1-INDEX('Lease Cycles'!$DD$29:$DJ$29,1,DN367)))),0)</f>
        <v>0</v>
      </c>
      <c r="DO376" s="24">
        <f>IF(DO369=1,IF('Lease Cycles'!$AJ$29=1,0,'Lease Cycles'!$D$29*INDEX('Lease Cycles'!$FH$29:$FN$29,1,DO367)*IF(INDEX('Lease Cycles'!$EF$29:$EL$29,1,DO367)=1,1,IF(OR(INDEX('Lease Cycles'!$DY$29:$EE$29,1,DO367)=1,DO368&gt;0),1,1-INDEX('Lease Cycles'!$DD$29:$DJ$29,1,DO367)))),0)</f>
        <v>0</v>
      </c>
      <c r="DP376" s="24">
        <f>IF(DP369=1,IF('Lease Cycles'!$AJ$29=1,0,'Lease Cycles'!$D$29*INDEX('Lease Cycles'!$FH$29:$FN$29,1,DP367)*IF(INDEX('Lease Cycles'!$EF$29:$EL$29,1,DP367)=1,1,IF(OR(INDEX('Lease Cycles'!$DY$29:$EE$29,1,DP367)=1,DP368&gt;0),1,1-INDEX('Lease Cycles'!$DD$29:$DJ$29,1,DP367)))),0)</f>
        <v>0</v>
      </c>
      <c r="DQ376" s="24">
        <f>IF(DQ369=1,IF('Lease Cycles'!$AJ$29=1,0,'Lease Cycles'!$D$29*INDEX('Lease Cycles'!$FH$29:$FN$29,1,DQ367)*IF(INDEX('Lease Cycles'!$EF$29:$EL$29,1,DQ367)=1,1,IF(OR(INDEX('Lease Cycles'!$DY$29:$EE$29,1,DQ367)=1,DQ368&gt;0),1,1-INDEX('Lease Cycles'!$DD$29:$DJ$29,1,DQ367)))),0)</f>
        <v>0</v>
      </c>
      <c r="DR376" s="24">
        <f>IF(DR369=1,IF('Lease Cycles'!$AJ$29=1,0,'Lease Cycles'!$D$29*INDEX('Lease Cycles'!$FH$29:$FN$29,1,DR367)*IF(INDEX('Lease Cycles'!$EF$29:$EL$29,1,DR367)=1,1,IF(OR(INDEX('Lease Cycles'!$DY$29:$EE$29,1,DR367)=1,DR368&gt;0),1,1-INDEX('Lease Cycles'!$DD$29:$DJ$29,1,DR367)))),0)</f>
        <v>0</v>
      </c>
      <c r="DS376" s="24">
        <f>IF(DS369=1,IF('Lease Cycles'!$AJ$29=1,0,'Lease Cycles'!$D$29*INDEX('Lease Cycles'!$FH$29:$FN$29,1,DS367)*IF(INDEX('Lease Cycles'!$EF$29:$EL$29,1,DS367)=1,1,IF(OR(INDEX('Lease Cycles'!$DY$29:$EE$29,1,DS367)=1,DS368&gt;0),1,1-INDEX('Lease Cycles'!$DD$29:$DJ$29,1,DS367)))),0)</f>
        <v>0</v>
      </c>
      <c r="DT376" s="24">
        <f>IF(DT369=1,IF('Lease Cycles'!$AJ$29=1,0,'Lease Cycles'!$D$29*INDEX('Lease Cycles'!$FH$29:$FN$29,1,DT367)*IF(INDEX('Lease Cycles'!$EF$29:$EL$29,1,DT367)=1,1,IF(OR(INDEX('Lease Cycles'!$DY$29:$EE$29,1,DT367)=1,DT368&gt;0),1,1-INDEX('Lease Cycles'!$DD$29:$DJ$29,1,DT367)))),0)</f>
        <v>0</v>
      </c>
      <c r="DU376" s="24">
        <f>IF(DU369=1,IF('Lease Cycles'!$AJ$29=1,0,'Lease Cycles'!$D$29*INDEX('Lease Cycles'!$FH$29:$FN$29,1,DU367)*IF(INDEX('Lease Cycles'!$EF$29:$EL$29,1,DU367)=1,1,IF(OR(INDEX('Lease Cycles'!$DY$29:$EE$29,1,DU367)=1,DU368&gt;0),1,1-INDEX('Lease Cycles'!$DD$29:$DJ$29,1,DU367)))),0)</f>
        <v>0</v>
      </c>
      <c r="DV376" s="24">
        <f>IF(DV369=1,IF('Lease Cycles'!$AJ$29=1,0,'Lease Cycles'!$D$29*INDEX('Lease Cycles'!$FH$29:$FN$29,1,DV367)*IF(INDEX('Lease Cycles'!$EF$29:$EL$29,1,DV367)=1,1,IF(OR(INDEX('Lease Cycles'!$DY$29:$EE$29,1,DV367)=1,DV368&gt;0),1,1-INDEX('Lease Cycles'!$DD$29:$DJ$29,1,DV367)))),0)</f>
        <v>0</v>
      </c>
      <c r="DW376" s="24">
        <f>IF(DW369=1,IF('Lease Cycles'!$AJ$29=1,0,'Lease Cycles'!$D$29*INDEX('Lease Cycles'!$FH$29:$FN$29,1,DW367)*IF(INDEX('Lease Cycles'!$EF$29:$EL$29,1,DW367)=1,1,IF(OR(INDEX('Lease Cycles'!$DY$29:$EE$29,1,DW367)=1,DW368&gt;0),1,1-INDEX('Lease Cycles'!$DD$29:$DJ$29,1,DW367)))),0)</f>
        <v>0</v>
      </c>
      <c r="DX376" s="24">
        <f>IF(DX369=1,IF('Lease Cycles'!$AJ$29=1,0,'Lease Cycles'!$D$29*INDEX('Lease Cycles'!$FH$29:$FN$29,1,DX367)*IF(INDEX('Lease Cycles'!$EF$29:$EL$29,1,DX367)=1,1,IF(OR(INDEX('Lease Cycles'!$DY$29:$EE$29,1,DX367)=1,DX368&gt;0),1,1-INDEX('Lease Cycles'!$DD$29:$DJ$29,1,DX367)))),0)</f>
        <v>0</v>
      </c>
      <c r="DY376" s="24">
        <f>IF(DY369=1,IF('Lease Cycles'!$AJ$29=1,0,'Lease Cycles'!$D$29*INDEX('Lease Cycles'!$FH$29:$FN$29,1,DY367)*IF(INDEX('Lease Cycles'!$EF$29:$EL$29,1,DY367)=1,1,IF(OR(INDEX('Lease Cycles'!$DY$29:$EE$29,1,DY367)=1,DY368&gt;0),1,1-INDEX('Lease Cycles'!$DD$29:$DJ$29,1,DY367)))),0)</f>
        <v>0</v>
      </c>
      <c r="DZ376" s="24">
        <f>IF(DZ369=1,IF('Lease Cycles'!$AJ$29=1,0,'Lease Cycles'!$D$29*INDEX('Lease Cycles'!$FH$29:$FN$29,1,DZ367)*IF(INDEX('Lease Cycles'!$EF$29:$EL$29,1,DZ367)=1,1,IF(OR(INDEX('Lease Cycles'!$DY$29:$EE$29,1,DZ367)=1,DZ368&gt;0),1,1-INDEX('Lease Cycles'!$DD$29:$DJ$29,1,DZ367)))),0)</f>
        <v>0</v>
      </c>
      <c r="EA376" s="24">
        <f>IF(EA369=1,IF('Lease Cycles'!$AJ$29=1,0,'Lease Cycles'!$D$29*INDEX('Lease Cycles'!$FH$29:$FN$29,1,EA367)*IF(INDEX('Lease Cycles'!$EF$29:$EL$29,1,EA367)=1,1,IF(OR(INDEX('Lease Cycles'!$DY$29:$EE$29,1,EA367)=1,EA368&gt;0),1,1-INDEX('Lease Cycles'!$DD$29:$DJ$29,1,EA367)))),0)</f>
        <v>0</v>
      </c>
      <c r="EB376" s="24">
        <f>IF(EB369=1,IF('Lease Cycles'!$AJ$29=1,0,'Lease Cycles'!$D$29*INDEX('Lease Cycles'!$FH$29:$FN$29,1,EB367)*IF(INDEX('Lease Cycles'!$EF$29:$EL$29,1,EB367)=1,1,IF(OR(INDEX('Lease Cycles'!$DY$29:$EE$29,1,EB367)=1,EB368&gt;0),1,1-INDEX('Lease Cycles'!$DD$29:$DJ$29,1,EB367)))),0)</f>
        <v>0</v>
      </c>
      <c r="EC376" s="24">
        <f>IF(EC369=1,IF('Lease Cycles'!$AJ$29=1,0,'Lease Cycles'!$D$29*INDEX('Lease Cycles'!$FH$29:$FN$29,1,EC367)*IF(INDEX('Lease Cycles'!$EF$29:$EL$29,1,EC367)=1,1,IF(OR(INDEX('Lease Cycles'!$DY$29:$EE$29,1,EC367)=1,EC368&gt;0),1,1-INDEX('Lease Cycles'!$DD$29:$DJ$29,1,EC367)))),0)</f>
        <v>0</v>
      </c>
      <c r="ED376" s="24">
        <f>IF(ED369=1,IF('Lease Cycles'!$AJ$29=1,0,'Lease Cycles'!$D$29*INDEX('Lease Cycles'!$FH$29:$FN$29,1,ED367)*IF(INDEX('Lease Cycles'!$EF$29:$EL$29,1,ED367)=1,1,IF(OR(INDEX('Lease Cycles'!$DY$29:$EE$29,1,ED367)=1,ED368&gt;0),1,1-INDEX('Lease Cycles'!$DD$29:$DJ$29,1,ED367)))),0)</f>
        <v>0</v>
      </c>
      <c r="EE376" s="24">
        <f>IF(EE369=1,IF('Lease Cycles'!$AJ$29=1,0,'Lease Cycles'!$D$29*INDEX('Lease Cycles'!$FH$29:$FN$29,1,EE367)*IF(INDEX('Lease Cycles'!$EF$29:$EL$29,1,EE367)=1,1,IF(OR(INDEX('Lease Cycles'!$DY$29:$EE$29,1,EE367)=1,EE368&gt;0),1,1-INDEX('Lease Cycles'!$DD$29:$DJ$29,1,EE367)))),0)</f>
        <v>0</v>
      </c>
      <c r="EF376" s="24">
        <f>IF(EF369=1,IF('Lease Cycles'!$AJ$29=1,0,'Lease Cycles'!$D$29*INDEX('Lease Cycles'!$FH$29:$FN$29,1,EF367)*IF(INDEX('Lease Cycles'!$EF$29:$EL$29,1,EF367)=1,1,IF(OR(INDEX('Lease Cycles'!$DY$29:$EE$29,1,EF367)=1,EF368&gt;0),1,1-INDEX('Lease Cycles'!$DD$29:$DJ$29,1,EF367)))),0)</f>
        <v>0</v>
      </c>
      <c r="EG376" s="24">
        <f>IF(EG369=1,IF('Lease Cycles'!$AJ$29=1,0,'Lease Cycles'!$D$29*INDEX('Lease Cycles'!$FH$29:$FN$29,1,EG367)*IF(INDEX('Lease Cycles'!$EF$29:$EL$29,1,EG367)=1,1,IF(OR(INDEX('Lease Cycles'!$DY$29:$EE$29,1,EG367)=1,EG368&gt;0),1,1-INDEX('Lease Cycles'!$DD$29:$DJ$29,1,EG367)))),0)</f>
        <v>0</v>
      </c>
      <c r="EH376" s="24">
        <f>IF(EH369=1,IF('Lease Cycles'!$AJ$29=1,0,'Lease Cycles'!$D$29*INDEX('Lease Cycles'!$FH$29:$FN$29,1,EH367)*IF(INDEX('Lease Cycles'!$EF$29:$EL$29,1,EH367)=1,1,IF(OR(INDEX('Lease Cycles'!$DY$29:$EE$29,1,EH367)=1,EH368&gt;0),1,1-INDEX('Lease Cycles'!$DD$29:$DJ$29,1,EH367)))),0)</f>
        <v>0</v>
      </c>
      <c r="EI376" s="24">
        <f>IF(EI369=1,IF('Lease Cycles'!$AJ$29=1,0,'Lease Cycles'!$D$29*INDEX('Lease Cycles'!$FH$29:$FN$29,1,EI367)*IF(INDEX('Lease Cycles'!$EF$29:$EL$29,1,EI367)=1,1,IF(OR(INDEX('Lease Cycles'!$DY$29:$EE$29,1,EI367)=1,EI368&gt;0),1,1-INDEX('Lease Cycles'!$DD$29:$DJ$29,1,EI367)))),0)</f>
        <v>0</v>
      </c>
      <c r="EJ376" s="24">
        <f>IF(EJ369=1,IF('Lease Cycles'!$AJ$29=1,0,'Lease Cycles'!$D$29*INDEX('Lease Cycles'!$FH$29:$FN$29,1,EJ367)*IF(INDEX('Lease Cycles'!$EF$29:$EL$29,1,EJ367)=1,1,IF(OR(INDEX('Lease Cycles'!$DY$29:$EE$29,1,EJ367)=1,EJ368&gt;0),1,1-INDEX('Lease Cycles'!$DD$29:$DJ$29,1,EJ367)))),0)</f>
        <v>0</v>
      </c>
      <c r="EK376" s="24">
        <f>IF(EK369=1,IF('Lease Cycles'!$AJ$29=1,0,'Lease Cycles'!$D$29*INDEX('Lease Cycles'!$FH$29:$FN$29,1,EK367)*IF(INDEX('Lease Cycles'!$EF$29:$EL$29,1,EK367)=1,1,IF(OR(INDEX('Lease Cycles'!$DY$29:$EE$29,1,EK367)=1,EK368&gt;0),1,1-INDEX('Lease Cycles'!$DD$29:$DJ$29,1,EK367)))),0)</f>
        <v>0</v>
      </c>
      <c r="EL376" s="24">
        <f>IF(EL369=1,IF('Lease Cycles'!$AJ$29=1,0,'Lease Cycles'!$D$29*INDEX('Lease Cycles'!$FH$29:$FN$29,1,EL367)*IF(INDEX('Lease Cycles'!$EF$29:$EL$29,1,EL367)=1,1,IF(OR(INDEX('Lease Cycles'!$DY$29:$EE$29,1,EL367)=1,EL368&gt;0),1,1-INDEX('Lease Cycles'!$DD$29:$DJ$29,1,EL367)))),0)</f>
        <v>0</v>
      </c>
      <c r="EM376" s="24">
        <f>IF(EM369=1,IF('Lease Cycles'!$AJ$29=1,0,'Lease Cycles'!$D$29*INDEX('Lease Cycles'!$FH$29:$FN$29,1,EM367)*IF(INDEX('Lease Cycles'!$EF$29:$EL$29,1,EM367)=1,1,IF(OR(INDEX('Lease Cycles'!$DY$29:$EE$29,1,EM367)=1,EM368&gt;0),1,1-INDEX('Lease Cycles'!$DD$29:$DJ$29,1,EM367)))),0)</f>
        <v>0</v>
      </c>
      <c r="EN376" s="24">
        <f>IF(EN369=1,IF('Lease Cycles'!$AJ$29=1,0,'Lease Cycles'!$D$29*INDEX('Lease Cycles'!$FH$29:$FN$29,1,EN367)*IF(INDEX('Lease Cycles'!$EF$29:$EL$29,1,EN367)=1,1,IF(OR(INDEX('Lease Cycles'!$DY$29:$EE$29,1,EN367)=1,EN368&gt;0),1,1-INDEX('Lease Cycles'!$DD$29:$DJ$29,1,EN367)))),0)</f>
        <v>0</v>
      </c>
      <c r="EO376" s="24">
        <f>IF(EO369=1,IF('Lease Cycles'!$AJ$29=1,0,'Lease Cycles'!$D$29*INDEX('Lease Cycles'!$FH$29:$FN$29,1,EO367)*IF(INDEX('Lease Cycles'!$EF$29:$EL$29,1,EO367)=1,1,IF(OR(INDEX('Lease Cycles'!$DY$29:$EE$29,1,EO367)=1,EO368&gt;0),1,1-INDEX('Lease Cycles'!$DD$29:$DJ$29,1,EO367)))),0)</f>
        <v>0</v>
      </c>
      <c r="EP376" s="24">
        <f>IF(EP369=1,IF('Lease Cycles'!$AJ$29=1,0,'Lease Cycles'!$D$29*INDEX('Lease Cycles'!$FH$29:$FN$29,1,EP367)*IF(INDEX('Lease Cycles'!$EF$29:$EL$29,1,EP367)=1,1,IF(OR(INDEX('Lease Cycles'!$DY$29:$EE$29,1,EP367)=1,EP368&gt;0),1,1-INDEX('Lease Cycles'!$DD$29:$DJ$29,1,EP367)))),0)</f>
        <v>0</v>
      </c>
      <c r="EQ376" s="24">
        <f>IF(EQ369=1,IF('Lease Cycles'!$AJ$29=1,0,'Lease Cycles'!$D$29*INDEX('Lease Cycles'!$FH$29:$FN$29,1,EQ367)*IF(INDEX('Lease Cycles'!$EF$29:$EL$29,1,EQ367)=1,1,IF(OR(INDEX('Lease Cycles'!$DY$29:$EE$29,1,EQ367)=1,EQ368&gt;0),1,1-INDEX('Lease Cycles'!$DD$29:$DJ$29,1,EQ367)))),0)</f>
        <v>0</v>
      </c>
      <c r="ER376" s="24">
        <f>IF(ER369=1,IF('Lease Cycles'!$AJ$29=1,0,'Lease Cycles'!$D$29*INDEX('Lease Cycles'!$FH$29:$FN$29,1,ER367)*IF(INDEX('Lease Cycles'!$EF$29:$EL$29,1,ER367)=1,1,IF(OR(INDEX('Lease Cycles'!$DY$29:$EE$29,1,ER367)=1,ER368&gt;0),1,1-INDEX('Lease Cycles'!$DD$29:$DJ$29,1,ER367)))),0)</f>
        <v>0</v>
      </c>
      <c r="ES376" s="24">
        <f>IF(ES369=1,IF('Lease Cycles'!$AJ$29=1,0,'Lease Cycles'!$D$29*INDEX('Lease Cycles'!$FH$29:$FN$29,1,ES367)*IF(INDEX('Lease Cycles'!$EF$29:$EL$29,1,ES367)=1,1,IF(OR(INDEX('Lease Cycles'!$DY$29:$EE$29,1,ES367)=1,ES368&gt;0),1,1-INDEX('Lease Cycles'!$DD$29:$DJ$29,1,ES367)))),0)</f>
        <v>0</v>
      </c>
      <c r="ET376" s="24">
        <f>IF(ET369=1,IF('Lease Cycles'!$AJ$29=1,0,'Lease Cycles'!$D$29*INDEX('Lease Cycles'!$FH$29:$FN$29,1,ET367)*IF(INDEX('Lease Cycles'!$EF$29:$EL$29,1,ET367)=1,1,IF(OR(INDEX('Lease Cycles'!$DY$29:$EE$29,1,ET367)=1,ET368&gt;0),1,1-INDEX('Lease Cycles'!$DD$29:$DJ$29,1,ET367)))),0)</f>
        <v>0</v>
      </c>
    </row>
    <row r="377">
      <c r="A377" s="103">
        <v>22</v>
      </c>
      <c r="B377" s="23" t="str">
        <f>IF('Lease Cycles'!$B$29="","(empty slot)",'Lease Cycles'!$B$29)</f>
        <v>(empty slot)</v>
      </c>
      <c r="C377" s="23" t="s">
        <v>687</v>
      </c>
      <c r="D377" s="104" t="s">
        <v>688</v>
      </c>
      <c r="E377" s="25">
        <f>'Lease Cycles'!$AL$29</f>
        <v>0</v>
      </c>
      <c r="G377" s="24">
        <f>SUM(S377:AD377)</f>
        <v>0</v>
      </c>
      <c r="H377" s="24">
        <f>SUM(AE377:AP377)</f>
        <v>0</v>
      </c>
      <c r="I377" s="24">
        <f>SUM(AQ377:BB377)</f>
        <v>0</v>
      </c>
      <c r="J377" s="24">
        <f>SUM(BC377:BN377)</f>
        <v>0</v>
      </c>
      <c r="K377" s="24">
        <f>SUM(BO377:BZ377)</f>
        <v>0</v>
      </c>
      <c r="L377" s="24">
        <f>SUM(CA377:CL377)</f>
        <v>0</v>
      </c>
      <c r="M377" s="24">
        <f>SUM(CM377:CX377)</f>
        <v>0</v>
      </c>
      <c r="N377" s="24">
        <f>SUM(CY377:DJ377)</f>
        <v>0</v>
      </c>
      <c r="O377" s="24">
        <f>SUM(DK377:DV377)</f>
        <v>0</v>
      </c>
      <c r="P377" s="24">
        <f>SUM(DW377:EH377)</f>
        <v>0</v>
      </c>
      <c r="Q377" s="24">
        <f>SUM(EI377:ET377)</f>
        <v>0</v>
      </c>
      <c r="S377" s="24">
        <f>IF(S369=1,'Lease Cycles'!$D$29*IF(INDEX('Lease Cycles'!$EF$29:$EL$29,1,S367)=1,'Lease Cycles'!$AJ$29*INDEX('Lease Cycles'!$FO$29:$FU$29,1,S367)*INDEX('Lease Cycles'!$EM$29:$ES$29,1,S367)+'Lease Cycles'!$BE$29*IF(S368&lt;INDEX('Lease Cycles'!$FA$29:$FG$29,1,S367),0,1-INDEX('Lease Cycles'!$EM$29:$ES$29,1,S367)),IF(OR(INDEX('Lease Cycles'!$DY$29:$EE$29,1,S367)=1,S368&gt;0),1,1-INDEX('Lease Cycles'!$DD$29:$DJ$29,1,S367))*('Lease Cycles'!$AJ$29*INDEX('Lease Cycles'!$FO$29:$FU$29,1,S367)+'Lease Cycles'!$BE$29*(1-INDEX('Lease Cycles'!$FO$29:$FU$29,1,S367)))),0)</f>
        <v>0</v>
      </c>
      <c r="T377" s="24">
        <f>IF(T369=1,'Lease Cycles'!$D$29*IF(INDEX('Lease Cycles'!$EF$29:$EL$29,1,T367)=1,'Lease Cycles'!$AJ$29*INDEX('Lease Cycles'!$FO$29:$FU$29,1,T367)*INDEX('Lease Cycles'!$EM$29:$ES$29,1,T367)+'Lease Cycles'!$BE$29*IF(T368&lt;INDEX('Lease Cycles'!$FA$29:$FG$29,1,T367),0,1-INDEX('Lease Cycles'!$EM$29:$ES$29,1,T367)),IF(OR(INDEX('Lease Cycles'!$DY$29:$EE$29,1,T367)=1,T368&gt;0),1,1-INDEX('Lease Cycles'!$DD$29:$DJ$29,1,T367))*('Lease Cycles'!$AJ$29*INDEX('Lease Cycles'!$FO$29:$FU$29,1,T367)+'Lease Cycles'!$BE$29*(1-INDEX('Lease Cycles'!$FO$29:$FU$29,1,T367)))),0)</f>
        <v>0</v>
      </c>
      <c r="U377" s="24">
        <f>IF(U369=1,'Lease Cycles'!$D$29*IF(INDEX('Lease Cycles'!$EF$29:$EL$29,1,U367)=1,'Lease Cycles'!$AJ$29*INDEX('Lease Cycles'!$FO$29:$FU$29,1,U367)*INDEX('Lease Cycles'!$EM$29:$ES$29,1,U367)+'Lease Cycles'!$BE$29*IF(U368&lt;INDEX('Lease Cycles'!$FA$29:$FG$29,1,U367),0,1-INDEX('Lease Cycles'!$EM$29:$ES$29,1,U367)),IF(OR(INDEX('Lease Cycles'!$DY$29:$EE$29,1,U367)=1,U368&gt;0),1,1-INDEX('Lease Cycles'!$DD$29:$DJ$29,1,U367))*('Lease Cycles'!$AJ$29*INDEX('Lease Cycles'!$FO$29:$FU$29,1,U367)+'Lease Cycles'!$BE$29*(1-INDEX('Lease Cycles'!$FO$29:$FU$29,1,U367)))),0)</f>
        <v>0</v>
      </c>
      <c r="V377" s="24">
        <f>IF(V369=1,'Lease Cycles'!$D$29*IF(INDEX('Lease Cycles'!$EF$29:$EL$29,1,V367)=1,'Lease Cycles'!$AJ$29*INDEX('Lease Cycles'!$FO$29:$FU$29,1,V367)*INDEX('Lease Cycles'!$EM$29:$ES$29,1,V367)+'Lease Cycles'!$BE$29*IF(V368&lt;INDEX('Lease Cycles'!$FA$29:$FG$29,1,V367),0,1-INDEX('Lease Cycles'!$EM$29:$ES$29,1,V367)),IF(OR(INDEX('Lease Cycles'!$DY$29:$EE$29,1,V367)=1,V368&gt;0),1,1-INDEX('Lease Cycles'!$DD$29:$DJ$29,1,V367))*('Lease Cycles'!$AJ$29*INDEX('Lease Cycles'!$FO$29:$FU$29,1,V367)+'Lease Cycles'!$BE$29*(1-INDEX('Lease Cycles'!$FO$29:$FU$29,1,V367)))),0)</f>
        <v>0</v>
      </c>
      <c r="W377" s="24">
        <f>IF(W369=1,'Lease Cycles'!$D$29*IF(INDEX('Lease Cycles'!$EF$29:$EL$29,1,W367)=1,'Lease Cycles'!$AJ$29*INDEX('Lease Cycles'!$FO$29:$FU$29,1,W367)*INDEX('Lease Cycles'!$EM$29:$ES$29,1,W367)+'Lease Cycles'!$BE$29*IF(W368&lt;INDEX('Lease Cycles'!$FA$29:$FG$29,1,W367),0,1-INDEX('Lease Cycles'!$EM$29:$ES$29,1,W367)),IF(OR(INDEX('Lease Cycles'!$DY$29:$EE$29,1,W367)=1,W368&gt;0),1,1-INDEX('Lease Cycles'!$DD$29:$DJ$29,1,W367))*('Lease Cycles'!$AJ$29*INDEX('Lease Cycles'!$FO$29:$FU$29,1,W367)+'Lease Cycles'!$BE$29*(1-INDEX('Lease Cycles'!$FO$29:$FU$29,1,W367)))),0)</f>
        <v>0</v>
      </c>
      <c r="X377" s="24">
        <f>IF(X369=1,'Lease Cycles'!$D$29*IF(INDEX('Lease Cycles'!$EF$29:$EL$29,1,X367)=1,'Lease Cycles'!$AJ$29*INDEX('Lease Cycles'!$FO$29:$FU$29,1,X367)*INDEX('Lease Cycles'!$EM$29:$ES$29,1,X367)+'Lease Cycles'!$BE$29*IF(X368&lt;INDEX('Lease Cycles'!$FA$29:$FG$29,1,X367),0,1-INDEX('Lease Cycles'!$EM$29:$ES$29,1,X367)),IF(OR(INDEX('Lease Cycles'!$DY$29:$EE$29,1,X367)=1,X368&gt;0),1,1-INDEX('Lease Cycles'!$DD$29:$DJ$29,1,X367))*('Lease Cycles'!$AJ$29*INDEX('Lease Cycles'!$FO$29:$FU$29,1,X367)+'Lease Cycles'!$BE$29*(1-INDEX('Lease Cycles'!$FO$29:$FU$29,1,X367)))),0)</f>
        <v>0</v>
      </c>
      <c r="Y377" s="24">
        <f>IF(Y369=1,'Lease Cycles'!$D$29*IF(INDEX('Lease Cycles'!$EF$29:$EL$29,1,Y367)=1,'Lease Cycles'!$AJ$29*INDEX('Lease Cycles'!$FO$29:$FU$29,1,Y367)*INDEX('Lease Cycles'!$EM$29:$ES$29,1,Y367)+'Lease Cycles'!$BE$29*IF(Y368&lt;INDEX('Lease Cycles'!$FA$29:$FG$29,1,Y367),0,1-INDEX('Lease Cycles'!$EM$29:$ES$29,1,Y367)),IF(OR(INDEX('Lease Cycles'!$DY$29:$EE$29,1,Y367)=1,Y368&gt;0),1,1-INDEX('Lease Cycles'!$DD$29:$DJ$29,1,Y367))*('Lease Cycles'!$AJ$29*INDEX('Lease Cycles'!$FO$29:$FU$29,1,Y367)+'Lease Cycles'!$BE$29*(1-INDEX('Lease Cycles'!$FO$29:$FU$29,1,Y367)))),0)</f>
        <v>0</v>
      </c>
      <c r="Z377" s="24">
        <f>IF(Z369=1,'Lease Cycles'!$D$29*IF(INDEX('Lease Cycles'!$EF$29:$EL$29,1,Z367)=1,'Lease Cycles'!$AJ$29*INDEX('Lease Cycles'!$FO$29:$FU$29,1,Z367)*INDEX('Lease Cycles'!$EM$29:$ES$29,1,Z367)+'Lease Cycles'!$BE$29*IF(Z368&lt;INDEX('Lease Cycles'!$FA$29:$FG$29,1,Z367),0,1-INDEX('Lease Cycles'!$EM$29:$ES$29,1,Z367)),IF(OR(INDEX('Lease Cycles'!$DY$29:$EE$29,1,Z367)=1,Z368&gt;0),1,1-INDEX('Lease Cycles'!$DD$29:$DJ$29,1,Z367))*('Lease Cycles'!$AJ$29*INDEX('Lease Cycles'!$FO$29:$FU$29,1,Z367)+'Lease Cycles'!$BE$29*(1-INDEX('Lease Cycles'!$FO$29:$FU$29,1,Z367)))),0)</f>
        <v>0</v>
      </c>
      <c r="AA377" s="24">
        <f>IF(AA369=1,'Lease Cycles'!$D$29*IF(INDEX('Lease Cycles'!$EF$29:$EL$29,1,AA367)=1,'Lease Cycles'!$AJ$29*INDEX('Lease Cycles'!$FO$29:$FU$29,1,AA367)*INDEX('Lease Cycles'!$EM$29:$ES$29,1,AA367)+'Lease Cycles'!$BE$29*IF(AA368&lt;INDEX('Lease Cycles'!$FA$29:$FG$29,1,AA367),0,1-INDEX('Lease Cycles'!$EM$29:$ES$29,1,AA367)),IF(OR(INDEX('Lease Cycles'!$DY$29:$EE$29,1,AA367)=1,AA368&gt;0),1,1-INDEX('Lease Cycles'!$DD$29:$DJ$29,1,AA367))*('Lease Cycles'!$AJ$29*INDEX('Lease Cycles'!$FO$29:$FU$29,1,AA367)+'Lease Cycles'!$BE$29*(1-INDEX('Lease Cycles'!$FO$29:$FU$29,1,AA367)))),0)</f>
        <v>0</v>
      </c>
      <c r="AB377" s="24">
        <f>IF(AB369=1,'Lease Cycles'!$D$29*IF(INDEX('Lease Cycles'!$EF$29:$EL$29,1,AB367)=1,'Lease Cycles'!$AJ$29*INDEX('Lease Cycles'!$FO$29:$FU$29,1,AB367)*INDEX('Lease Cycles'!$EM$29:$ES$29,1,AB367)+'Lease Cycles'!$BE$29*IF(AB368&lt;INDEX('Lease Cycles'!$FA$29:$FG$29,1,AB367),0,1-INDEX('Lease Cycles'!$EM$29:$ES$29,1,AB367)),IF(OR(INDEX('Lease Cycles'!$DY$29:$EE$29,1,AB367)=1,AB368&gt;0),1,1-INDEX('Lease Cycles'!$DD$29:$DJ$29,1,AB367))*('Lease Cycles'!$AJ$29*INDEX('Lease Cycles'!$FO$29:$FU$29,1,AB367)+'Lease Cycles'!$BE$29*(1-INDEX('Lease Cycles'!$FO$29:$FU$29,1,AB367)))),0)</f>
        <v>0</v>
      </c>
      <c r="AC377" s="24">
        <f>IF(AC369=1,'Lease Cycles'!$D$29*IF(INDEX('Lease Cycles'!$EF$29:$EL$29,1,AC367)=1,'Lease Cycles'!$AJ$29*INDEX('Lease Cycles'!$FO$29:$FU$29,1,AC367)*INDEX('Lease Cycles'!$EM$29:$ES$29,1,AC367)+'Lease Cycles'!$BE$29*IF(AC368&lt;INDEX('Lease Cycles'!$FA$29:$FG$29,1,AC367),0,1-INDEX('Lease Cycles'!$EM$29:$ES$29,1,AC367)),IF(OR(INDEX('Lease Cycles'!$DY$29:$EE$29,1,AC367)=1,AC368&gt;0),1,1-INDEX('Lease Cycles'!$DD$29:$DJ$29,1,AC367))*('Lease Cycles'!$AJ$29*INDEX('Lease Cycles'!$FO$29:$FU$29,1,AC367)+'Lease Cycles'!$BE$29*(1-INDEX('Lease Cycles'!$FO$29:$FU$29,1,AC367)))),0)</f>
        <v>0</v>
      </c>
      <c r="AD377" s="24">
        <f>IF(AD369=1,'Lease Cycles'!$D$29*IF(INDEX('Lease Cycles'!$EF$29:$EL$29,1,AD367)=1,'Lease Cycles'!$AJ$29*INDEX('Lease Cycles'!$FO$29:$FU$29,1,AD367)*INDEX('Lease Cycles'!$EM$29:$ES$29,1,AD367)+'Lease Cycles'!$BE$29*IF(AD368&lt;INDEX('Lease Cycles'!$FA$29:$FG$29,1,AD367),0,1-INDEX('Lease Cycles'!$EM$29:$ES$29,1,AD367)),IF(OR(INDEX('Lease Cycles'!$DY$29:$EE$29,1,AD367)=1,AD368&gt;0),1,1-INDEX('Lease Cycles'!$DD$29:$DJ$29,1,AD367))*('Lease Cycles'!$AJ$29*INDEX('Lease Cycles'!$FO$29:$FU$29,1,AD367)+'Lease Cycles'!$BE$29*(1-INDEX('Lease Cycles'!$FO$29:$FU$29,1,AD367)))),0)</f>
        <v>0</v>
      </c>
      <c r="AE377" s="24">
        <f>IF(AE369=1,'Lease Cycles'!$D$29*IF(INDEX('Lease Cycles'!$EF$29:$EL$29,1,AE367)=1,'Lease Cycles'!$AJ$29*INDEX('Lease Cycles'!$FO$29:$FU$29,1,AE367)*INDEX('Lease Cycles'!$EM$29:$ES$29,1,AE367)+'Lease Cycles'!$BE$29*IF(AE368&lt;INDEX('Lease Cycles'!$FA$29:$FG$29,1,AE367),0,1-INDEX('Lease Cycles'!$EM$29:$ES$29,1,AE367)),IF(OR(INDEX('Lease Cycles'!$DY$29:$EE$29,1,AE367)=1,AE368&gt;0),1,1-INDEX('Lease Cycles'!$DD$29:$DJ$29,1,AE367))*('Lease Cycles'!$AJ$29*INDEX('Lease Cycles'!$FO$29:$FU$29,1,AE367)+'Lease Cycles'!$BE$29*(1-INDEX('Lease Cycles'!$FO$29:$FU$29,1,AE367)))),0)</f>
        <v>0</v>
      </c>
      <c r="AF377" s="24">
        <f>IF(AF369=1,'Lease Cycles'!$D$29*IF(INDEX('Lease Cycles'!$EF$29:$EL$29,1,AF367)=1,'Lease Cycles'!$AJ$29*INDEX('Lease Cycles'!$FO$29:$FU$29,1,AF367)*INDEX('Lease Cycles'!$EM$29:$ES$29,1,AF367)+'Lease Cycles'!$BE$29*IF(AF368&lt;INDEX('Lease Cycles'!$FA$29:$FG$29,1,AF367),0,1-INDEX('Lease Cycles'!$EM$29:$ES$29,1,AF367)),IF(OR(INDEX('Lease Cycles'!$DY$29:$EE$29,1,AF367)=1,AF368&gt;0),1,1-INDEX('Lease Cycles'!$DD$29:$DJ$29,1,AF367))*('Lease Cycles'!$AJ$29*INDEX('Lease Cycles'!$FO$29:$FU$29,1,AF367)+'Lease Cycles'!$BE$29*(1-INDEX('Lease Cycles'!$FO$29:$FU$29,1,AF367)))),0)</f>
        <v>0</v>
      </c>
      <c r="AG377" s="24">
        <f>IF(AG369=1,'Lease Cycles'!$D$29*IF(INDEX('Lease Cycles'!$EF$29:$EL$29,1,AG367)=1,'Lease Cycles'!$AJ$29*INDEX('Lease Cycles'!$FO$29:$FU$29,1,AG367)*INDEX('Lease Cycles'!$EM$29:$ES$29,1,AG367)+'Lease Cycles'!$BE$29*IF(AG368&lt;INDEX('Lease Cycles'!$FA$29:$FG$29,1,AG367),0,1-INDEX('Lease Cycles'!$EM$29:$ES$29,1,AG367)),IF(OR(INDEX('Lease Cycles'!$DY$29:$EE$29,1,AG367)=1,AG368&gt;0),1,1-INDEX('Lease Cycles'!$DD$29:$DJ$29,1,AG367))*('Lease Cycles'!$AJ$29*INDEX('Lease Cycles'!$FO$29:$FU$29,1,AG367)+'Lease Cycles'!$BE$29*(1-INDEX('Lease Cycles'!$FO$29:$FU$29,1,AG367)))),0)</f>
        <v>0</v>
      </c>
      <c r="AH377" s="24">
        <f>IF(AH369=1,'Lease Cycles'!$D$29*IF(INDEX('Lease Cycles'!$EF$29:$EL$29,1,AH367)=1,'Lease Cycles'!$AJ$29*INDEX('Lease Cycles'!$FO$29:$FU$29,1,AH367)*INDEX('Lease Cycles'!$EM$29:$ES$29,1,AH367)+'Lease Cycles'!$BE$29*IF(AH368&lt;INDEX('Lease Cycles'!$FA$29:$FG$29,1,AH367),0,1-INDEX('Lease Cycles'!$EM$29:$ES$29,1,AH367)),IF(OR(INDEX('Lease Cycles'!$DY$29:$EE$29,1,AH367)=1,AH368&gt;0),1,1-INDEX('Lease Cycles'!$DD$29:$DJ$29,1,AH367))*('Lease Cycles'!$AJ$29*INDEX('Lease Cycles'!$FO$29:$FU$29,1,AH367)+'Lease Cycles'!$BE$29*(1-INDEX('Lease Cycles'!$FO$29:$FU$29,1,AH367)))),0)</f>
        <v>0</v>
      </c>
      <c r="AI377" s="24">
        <f>IF(AI369=1,'Lease Cycles'!$D$29*IF(INDEX('Lease Cycles'!$EF$29:$EL$29,1,AI367)=1,'Lease Cycles'!$AJ$29*INDEX('Lease Cycles'!$FO$29:$FU$29,1,AI367)*INDEX('Lease Cycles'!$EM$29:$ES$29,1,AI367)+'Lease Cycles'!$BE$29*IF(AI368&lt;INDEX('Lease Cycles'!$FA$29:$FG$29,1,AI367),0,1-INDEX('Lease Cycles'!$EM$29:$ES$29,1,AI367)),IF(OR(INDEX('Lease Cycles'!$DY$29:$EE$29,1,AI367)=1,AI368&gt;0),1,1-INDEX('Lease Cycles'!$DD$29:$DJ$29,1,AI367))*('Lease Cycles'!$AJ$29*INDEX('Lease Cycles'!$FO$29:$FU$29,1,AI367)+'Lease Cycles'!$BE$29*(1-INDEX('Lease Cycles'!$FO$29:$FU$29,1,AI367)))),0)</f>
        <v>0</v>
      </c>
      <c r="AJ377" s="24">
        <f>IF(AJ369=1,'Lease Cycles'!$D$29*IF(INDEX('Lease Cycles'!$EF$29:$EL$29,1,AJ367)=1,'Lease Cycles'!$AJ$29*INDEX('Lease Cycles'!$FO$29:$FU$29,1,AJ367)*INDEX('Lease Cycles'!$EM$29:$ES$29,1,AJ367)+'Lease Cycles'!$BE$29*IF(AJ368&lt;INDEX('Lease Cycles'!$FA$29:$FG$29,1,AJ367),0,1-INDEX('Lease Cycles'!$EM$29:$ES$29,1,AJ367)),IF(OR(INDEX('Lease Cycles'!$DY$29:$EE$29,1,AJ367)=1,AJ368&gt;0),1,1-INDEX('Lease Cycles'!$DD$29:$DJ$29,1,AJ367))*('Lease Cycles'!$AJ$29*INDEX('Lease Cycles'!$FO$29:$FU$29,1,AJ367)+'Lease Cycles'!$BE$29*(1-INDEX('Lease Cycles'!$FO$29:$FU$29,1,AJ367)))),0)</f>
        <v>0</v>
      </c>
      <c r="AK377" s="24">
        <f>IF(AK369=1,'Lease Cycles'!$D$29*IF(INDEX('Lease Cycles'!$EF$29:$EL$29,1,AK367)=1,'Lease Cycles'!$AJ$29*INDEX('Lease Cycles'!$FO$29:$FU$29,1,AK367)*INDEX('Lease Cycles'!$EM$29:$ES$29,1,AK367)+'Lease Cycles'!$BE$29*IF(AK368&lt;INDEX('Lease Cycles'!$FA$29:$FG$29,1,AK367),0,1-INDEX('Lease Cycles'!$EM$29:$ES$29,1,AK367)),IF(OR(INDEX('Lease Cycles'!$DY$29:$EE$29,1,AK367)=1,AK368&gt;0),1,1-INDEX('Lease Cycles'!$DD$29:$DJ$29,1,AK367))*('Lease Cycles'!$AJ$29*INDEX('Lease Cycles'!$FO$29:$FU$29,1,AK367)+'Lease Cycles'!$BE$29*(1-INDEX('Lease Cycles'!$FO$29:$FU$29,1,AK367)))),0)</f>
        <v>0</v>
      </c>
      <c r="AL377" s="24">
        <f>IF(AL369=1,'Lease Cycles'!$D$29*IF(INDEX('Lease Cycles'!$EF$29:$EL$29,1,AL367)=1,'Lease Cycles'!$AJ$29*INDEX('Lease Cycles'!$FO$29:$FU$29,1,AL367)*INDEX('Lease Cycles'!$EM$29:$ES$29,1,AL367)+'Lease Cycles'!$BE$29*IF(AL368&lt;INDEX('Lease Cycles'!$FA$29:$FG$29,1,AL367),0,1-INDEX('Lease Cycles'!$EM$29:$ES$29,1,AL367)),IF(OR(INDEX('Lease Cycles'!$DY$29:$EE$29,1,AL367)=1,AL368&gt;0),1,1-INDEX('Lease Cycles'!$DD$29:$DJ$29,1,AL367))*('Lease Cycles'!$AJ$29*INDEX('Lease Cycles'!$FO$29:$FU$29,1,AL367)+'Lease Cycles'!$BE$29*(1-INDEX('Lease Cycles'!$FO$29:$FU$29,1,AL367)))),0)</f>
        <v>0</v>
      </c>
      <c r="AM377" s="24">
        <f>IF(AM369=1,'Lease Cycles'!$D$29*IF(INDEX('Lease Cycles'!$EF$29:$EL$29,1,AM367)=1,'Lease Cycles'!$AJ$29*INDEX('Lease Cycles'!$FO$29:$FU$29,1,AM367)*INDEX('Lease Cycles'!$EM$29:$ES$29,1,AM367)+'Lease Cycles'!$BE$29*IF(AM368&lt;INDEX('Lease Cycles'!$FA$29:$FG$29,1,AM367),0,1-INDEX('Lease Cycles'!$EM$29:$ES$29,1,AM367)),IF(OR(INDEX('Lease Cycles'!$DY$29:$EE$29,1,AM367)=1,AM368&gt;0),1,1-INDEX('Lease Cycles'!$DD$29:$DJ$29,1,AM367))*('Lease Cycles'!$AJ$29*INDEX('Lease Cycles'!$FO$29:$FU$29,1,AM367)+'Lease Cycles'!$BE$29*(1-INDEX('Lease Cycles'!$FO$29:$FU$29,1,AM367)))),0)</f>
        <v>0</v>
      </c>
      <c r="AN377" s="24">
        <f>IF(AN369=1,'Lease Cycles'!$D$29*IF(INDEX('Lease Cycles'!$EF$29:$EL$29,1,AN367)=1,'Lease Cycles'!$AJ$29*INDEX('Lease Cycles'!$FO$29:$FU$29,1,AN367)*INDEX('Lease Cycles'!$EM$29:$ES$29,1,AN367)+'Lease Cycles'!$BE$29*IF(AN368&lt;INDEX('Lease Cycles'!$FA$29:$FG$29,1,AN367),0,1-INDEX('Lease Cycles'!$EM$29:$ES$29,1,AN367)),IF(OR(INDEX('Lease Cycles'!$DY$29:$EE$29,1,AN367)=1,AN368&gt;0),1,1-INDEX('Lease Cycles'!$DD$29:$DJ$29,1,AN367))*('Lease Cycles'!$AJ$29*INDEX('Lease Cycles'!$FO$29:$FU$29,1,AN367)+'Lease Cycles'!$BE$29*(1-INDEX('Lease Cycles'!$FO$29:$FU$29,1,AN367)))),0)</f>
        <v>0</v>
      </c>
      <c r="AO377" s="24">
        <f>IF(AO369=1,'Lease Cycles'!$D$29*IF(INDEX('Lease Cycles'!$EF$29:$EL$29,1,AO367)=1,'Lease Cycles'!$AJ$29*INDEX('Lease Cycles'!$FO$29:$FU$29,1,AO367)*INDEX('Lease Cycles'!$EM$29:$ES$29,1,AO367)+'Lease Cycles'!$BE$29*IF(AO368&lt;INDEX('Lease Cycles'!$FA$29:$FG$29,1,AO367),0,1-INDEX('Lease Cycles'!$EM$29:$ES$29,1,AO367)),IF(OR(INDEX('Lease Cycles'!$DY$29:$EE$29,1,AO367)=1,AO368&gt;0),1,1-INDEX('Lease Cycles'!$DD$29:$DJ$29,1,AO367))*('Lease Cycles'!$AJ$29*INDEX('Lease Cycles'!$FO$29:$FU$29,1,AO367)+'Lease Cycles'!$BE$29*(1-INDEX('Lease Cycles'!$FO$29:$FU$29,1,AO367)))),0)</f>
        <v>0</v>
      </c>
      <c r="AP377" s="24">
        <f>IF(AP369=1,'Lease Cycles'!$D$29*IF(INDEX('Lease Cycles'!$EF$29:$EL$29,1,AP367)=1,'Lease Cycles'!$AJ$29*INDEX('Lease Cycles'!$FO$29:$FU$29,1,AP367)*INDEX('Lease Cycles'!$EM$29:$ES$29,1,AP367)+'Lease Cycles'!$BE$29*IF(AP368&lt;INDEX('Lease Cycles'!$FA$29:$FG$29,1,AP367),0,1-INDEX('Lease Cycles'!$EM$29:$ES$29,1,AP367)),IF(OR(INDEX('Lease Cycles'!$DY$29:$EE$29,1,AP367)=1,AP368&gt;0),1,1-INDEX('Lease Cycles'!$DD$29:$DJ$29,1,AP367))*('Lease Cycles'!$AJ$29*INDEX('Lease Cycles'!$FO$29:$FU$29,1,AP367)+'Lease Cycles'!$BE$29*(1-INDEX('Lease Cycles'!$FO$29:$FU$29,1,AP367)))),0)</f>
        <v>0</v>
      </c>
      <c r="AQ377" s="24">
        <f>IF(AQ369=1,'Lease Cycles'!$D$29*IF(INDEX('Lease Cycles'!$EF$29:$EL$29,1,AQ367)=1,'Lease Cycles'!$AJ$29*INDEX('Lease Cycles'!$FO$29:$FU$29,1,AQ367)*INDEX('Lease Cycles'!$EM$29:$ES$29,1,AQ367)+'Lease Cycles'!$BE$29*IF(AQ368&lt;INDEX('Lease Cycles'!$FA$29:$FG$29,1,AQ367),0,1-INDEX('Lease Cycles'!$EM$29:$ES$29,1,AQ367)),IF(OR(INDEX('Lease Cycles'!$DY$29:$EE$29,1,AQ367)=1,AQ368&gt;0),1,1-INDEX('Lease Cycles'!$DD$29:$DJ$29,1,AQ367))*('Lease Cycles'!$AJ$29*INDEX('Lease Cycles'!$FO$29:$FU$29,1,AQ367)+'Lease Cycles'!$BE$29*(1-INDEX('Lease Cycles'!$FO$29:$FU$29,1,AQ367)))),0)</f>
        <v>0</v>
      </c>
      <c r="AR377" s="24">
        <f>IF(AR369=1,'Lease Cycles'!$D$29*IF(INDEX('Lease Cycles'!$EF$29:$EL$29,1,AR367)=1,'Lease Cycles'!$AJ$29*INDEX('Lease Cycles'!$FO$29:$FU$29,1,AR367)*INDEX('Lease Cycles'!$EM$29:$ES$29,1,AR367)+'Lease Cycles'!$BE$29*IF(AR368&lt;INDEX('Lease Cycles'!$FA$29:$FG$29,1,AR367),0,1-INDEX('Lease Cycles'!$EM$29:$ES$29,1,AR367)),IF(OR(INDEX('Lease Cycles'!$DY$29:$EE$29,1,AR367)=1,AR368&gt;0),1,1-INDEX('Lease Cycles'!$DD$29:$DJ$29,1,AR367))*('Lease Cycles'!$AJ$29*INDEX('Lease Cycles'!$FO$29:$FU$29,1,AR367)+'Lease Cycles'!$BE$29*(1-INDEX('Lease Cycles'!$FO$29:$FU$29,1,AR367)))),0)</f>
        <v>0</v>
      </c>
      <c r="AS377" s="24">
        <f>IF(AS369=1,'Lease Cycles'!$D$29*IF(INDEX('Lease Cycles'!$EF$29:$EL$29,1,AS367)=1,'Lease Cycles'!$AJ$29*INDEX('Lease Cycles'!$FO$29:$FU$29,1,AS367)*INDEX('Lease Cycles'!$EM$29:$ES$29,1,AS367)+'Lease Cycles'!$BE$29*IF(AS368&lt;INDEX('Lease Cycles'!$FA$29:$FG$29,1,AS367),0,1-INDEX('Lease Cycles'!$EM$29:$ES$29,1,AS367)),IF(OR(INDEX('Lease Cycles'!$DY$29:$EE$29,1,AS367)=1,AS368&gt;0),1,1-INDEX('Lease Cycles'!$DD$29:$DJ$29,1,AS367))*('Lease Cycles'!$AJ$29*INDEX('Lease Cycles'!$FO$29:$FU$29,1,AS367)+'Lease Cycles'!$BE$29*(1-INDEX('Lease Cycles'!$FO$29:$FU$29,1,AS367)))),0)</f>
        <v>0</v>
      </c>
      <c r="AT377" s="24">
        <f>IF(AT369=1,'Lease Cycles'!$D$29*IF(INDEX('Lease Cycles'!$EF$29:$EL$29,1,AT367)=1,'Lease Cycles'!$AJ$29*INDEX('Lease Cycles'!$FO$29:$FU$29,1,AT367)*INDEX('Lease Cycles'!$EM$29:$ES$29,1,AT367)+'Lease Cycles'!$BE$29*IF(AT368&lt;INDEX('Lease Cycles'!$FA$29:$FG$29,1,AT367),0,1-INDEX('Lease Cycles'!$EM$29:$ES$29,1,AT367)),IF(OR(INDEX('Lease Cycles'!$DY$29:$EE$29,1,AT367)=1,AT368&gt;0),1,1-INDEX('Lease Cycles'!$DD$29:$DJ$29,1,AT367))*('Lease Cycles'!$AJ$29*INDEX('Lease Cycles'!$FO$29:$FU$29,1,AT367)+'Lease Cycles'!$BE$29*(1-INDEX('Lease Cycles'!$FO$29:$FU$29,1,AT367)))),0)</f>
        <v>0</v>
      </c>
      <c r="AU377" s="24">
        <f>IF(AU369=1,'Lease Cycles'!$D$29*IF(INDEX('Lease Cycles'!$EF$29:$EL$29,1,AU367)=1,'Lease Cycles'!$AJ$29*INDEX('Lease Cycles'!$FO$29:$FU$29,1,AU367)*INDEX('Lease Cycles'!$EM$29:$ES$29,1,AU367)+'Lease Cycles'!$BE$29*IF(AU368&lt;INDEX('Lease Cycles'!$FA$29:$FG$29,1,AU367),0,1-INDEX('Lease Cycles'!$EM$29:$ES$29,1,AU367)),IF(OR(INDEX('Lease Cycles'!$DY$29:$EE$29,1,AU367)=1,AU368&gt;0),1,1-INDEX('Lease Cycles'!$DD$29:$DJ$29,1,AU367))*('Lease Cycles'!$AJ$29*INDEX('Lease Cycles'!$FO$29:$FU$29,1,AU367)+'Lease Cycles'!$BE$29*(1-INDEX('Lease Cycles'!$FO$29:$FU$29,1,AU367)))),0)</f>
        <v>0</v>
      </c>
      <c r="AV377" s="24">
        <f>IF(AV369=1,'Lease Cycles'!$D$29*IF(INDEX('Lease Cycles'!$EF$29:$EL$29,1,AV367)=1,'Lease Cycles'!$AJ$29*INDEX('Lease Cycles'!$FO$29:$FU$29,1,AV367)*INDEX('Lease Cycles'!$EM$29:$ES$29,1,AV367)+'Lease Cycles'!$BE$29*IF(AV368&lt;INDEX('Lease Cycles'!$FA$29:$FG$29,1,AV367),0,1-INDEX('Lease Cycles'!$EM$29:$ES$29,1,AV367)),IF(OR(INDEX('Lease Cycles'!$DY$29:$EE$29,1,AV367)=1,AV368&gt;0),1,1-INDEX('Lease Cycles'!$DD$29:$DJ$29,1,AV367))*('Lease Cycles'!$AJ$29*INDEX('Lease Cycles'!$FO$29:$FU$29,1,AV367)+'Lease Cycles'!$BE$29*(1-INDEX('Lease Cycles'!$FO$29:$FU$29,1,AV367)))),0)</f>
        <v>0</v>
      </c>
      <c r="AW377" s="24">
        <f>IF(AW369=1,'Lease Cycles'!$D$29*IF(INDEX('Lease Cycles'!$EF$29:$EL$29,1,AW367)=1,'Lease Cycles'!$AJ$29*INDEX('Lease Cycles'!$FO$29:$FU$29,1,AW367)*INDEX('Lease Cycles'!$EM$29:$ES$29,1,AW367)+'Lease Cycles'!$BE$29*IF(AW368&lt;INDEX('Lease Cycles'!$FA$29:$FG$29,1,AW367),0,1-INDEX('Lease Cycles'!$EM$29:$ES$29,1,AW367)),IF(OR(INDEX('Lease Cycles'!$DY$29:$EE$29,1,AW367)=1,AW368&gt;0),1,1-INDEX('Lease Cycles'!$DD$29:$DJ$29,1,AW367))*('Lease Cycles'!$AJ$29*INDEX('Lease Cycles'!$FO$29:$FU$29,1,AW367)+'Lease Cycles'!$BE$29*(1-INDEX('Lease Cycles'!$FO$29:$FU$29,1,AW367)))),0)</f>
        <v>0</v>
      </c>
      <c r="AX377" s="24">
        <f>IF(AX369=1,'Lease Cycles'!$D$29*IF(INDEX('Lease Cycles'!$EF$29:$EL$29,1,AX367)=1,'Lease Cycles'!$AJ$29*INDEX('Lease Cycles'!$FO$29:$FU$29,1,AX367)*INDEX('Lease Cycles'!$EM$29:$ES$29,1,AX367)+'Lease Cycles'!$BE$29*IF(AX368&lt;INDEX('Lease Cycles'!$FA$29:$FG$29,1,AX367),0,1-INDEX('Lease Cycles'!$EM$29:$ES$29,1,AX367)),IF(OR(INDEX('Lease Cycles'!$DY$29:$EE$29,1,AX367)=1,AX368&gt;0),1,1-INDEX('Lease Cycles'!$DD$29:$DJ$29,1,AX367))*('Lease Cycles'!$AJ$29*INDEX('Lease Cycles'!$FO$29:$FU$29,1,AX367)+'Lease Cycles'!$BE$29*(1-INDEX('Lease Cycles'!$FO$29:$FU$29,1,AX367)))),0)</f>
        <v>0</v>
      </c>
      <c r="AY377" s="24">
        <f>IF(AY369=1,'Lease Cycles'!$D$29*IF(INDEX('Lease Cycles'!$EF$29:$EL$29,1,AY367)=1,'Lease Cycles'!$AJ$29*INDEX('Lease Cycles'!$FO$29:$FU$29,1,AY367)*INDEX('Lease Cycles'!$EM$29:$ES$29,1,AY367)+'Lease Cycles'!$BE$29*IF(AY368&lt;INDEX('Lease Cycles'!$FA$29:$FG$29,1,AY367),0,1-INDEX('Lease Cycles'!$EM$29:$ES$29,1,AY367)),IF(OR(INDEX('Lease Cycles'!$DY$29:$EE$29,1,AY367)=1,AY368&gt;0),1,1-INDEX('Lease Cycles'!$DD$29:$DJ$29,1,AY367))*('Lease Cycles'!$AJ$29*INDEX('Lease Cycles'!$FO$29:$FU$29,1,AY367)+'Lease Cycles'!$BE$29*(1-INDEX('Lease Cycles'!$FO$29:$FU$29,1,AY367)))),0)</f>
        <v>0</v>
      </c>
      <c r="AZ377" s="24">
        <f>IF(AZ369=1,'Lease Cycles'!$D$29*IF(INDEX('Lease Cycles'!$EF$29:$EL$29,1,AZ367)=1,'Lease Cycles'!$AJ$29*INDEX('Lease Cycles'!$FO$29:$FU$29,1,AZ367)*INDEX('Lease Cycles'!$EM$29:$ES$29,1,AZ367)+'Lease Cycles'!$BE$29*IF(AZ368&lt;INDEX('Lease Cycles'!$FA$29:$FG$29,1,AZ367),0,1-INDEX('Lease Cycles'!$EM$29:$ES$29,1,AZ367)),IF(OR(INDEX('Lease Cycles'!$DY$29:$EE$29,1,AZ367)=1,AZ368&gt;0),1,1-INDEX('Lease Cycles'!$DD$29:$DJ$29,1,AZ367))*('Lease Cycles'!$AJ$29*INDEX('Lease Cycles'!$FO$29:$FU$29,1,AZ367)+'Lease Cycles'!$BE$29*(1-INDEX('Lease Cycles'!$FO$29:$FU$29,1,AZ367)))),0)</f>
        <v>0</v>
      </c>
      <c r="BA377" s="24">
        <f>IF(BA369=1,'Lease Cycles'!$D$29*IF(INDEX('Lease Cycles'!$EF$29:$EL$29,1,BA367)=1,'Lease Cycles'!$AJ$29*INDEX('Lease Cycles'!$FO$29:$FU$29,1,BA367)*INDEX('Lease Cycles'!$EM$29:$ES$29,1,BA367)+'Lease Cycles'!$BE$29*IF(BA368&lt;INDEX('Lease Cycles'!$FA$29:$FG$29,1,BA367),0,1-INDEX('Lease Cycles'!$EM$29:$ES$29,1,BA367)),IF(OR(INDEX('Lease Cycles'!$DY$29:$EE$29,1,BA367)=1,BA368&gt;0),1,1-INDEX('Lease Cycles'!$DD$29:$DJ$29,1,BA367))*('Lease Cycles'!$AJ$29*INDEX('Lease Cycles'!$FO$29:$FU$29,1,BA367)+'Lease Cycles'!$BE$29*(1-INDEX('Lease Cycles'!$FO$29:$FU$29,1,BA367)))),0)</f>
        <v>0</v>
      </c>
      <c r="BB377" s="24">
        <f>IF(BB369=1,'Lease Cycles'!$D$29*IF(INDEX('Lease Cycles'!$EF$29:$EL$29,1,BB367)=1,'Lease Cycles'!$AJ$29*INDEX('Lease Cycles'!$FO$29:$FU$29,1,BB367)*INDEX('Lease Cycles'!$EM$29:$ES$29,1,BB367)+'Lease Cycles'!$BE$29*IF(BB368&lt;INDEX('Lease Cycles'!$FA$29:$FG$29,1,BB367),0,1-INDEX('Lease Cycles'!$EM$29:$ES$29,1,BB367)),IF(OR(INDEX('Lease Cycles'!$DY$29:$EE$29,1,BB367)=1,BB368&gt;0),1,1-INDEX('Lease Cycles'!$DD$29:$DJ$29,1,BB367))*('Lease Cycles'!$AJ$29*INDEX('Lease Cycles'!$FO$29:$FU$29,1,BB367)+'Lease Cycles'!$BE$29*(1-INDEX('Lease Cycles'!$FO$29:$FU$29,1,BB367)))),0)</f>
        <v>0</v>
      </c>
      <c r="BC377" s="24">
        <f>IF(BC369=1,'Lease Cycles'!$D$29*IF(INDEX('Lease Cycles'!$EF$29:$EL$29,1,BC367)=1,'Lease Cycles'!$AJ$29*INDEX('Lease Cycles'!$FO$29:$FU$29,1,BC367)*INDEX('Lease Cycles'!$EM$29:$ES$29,1,BC367)+'Lease Cycles'!$BE$29*IF(BC368&lt;INDEX('Lease Cycles'!$FA$29:$FG$29,1,BC367),0,1-INDEX('Lease Cycles'!$EM$29:$ES$29,1,BC367)),IF(OR(INDEX('Lease Cycles'!$DY$29:$EE$29,1,BC367)=1,BC368&gt;0),1,1-INDEX('Lease Cycles'!$DD$29:$DJ$29,1,BC367))*('Lease Cycles'!$AJ$29*INDEX('Lease Cycles'!$FO$29:$FU$29,1,BC367)+'Lease Cycles'!$BE$29*(1-INDEX('Lease Cycles'!$FO$29:$FU$29,1,BC367)))),0)</f>
        <v>0</v>
      </c>
      <c r="BD377" s="24">
        <f>IF(BD369=1,'Lease Cycles'!$D$29*IF(INDEX('Lease Cycles'!$EF$29:$EL$29,1,BD367)=1,'Lease Cycles'!$AJ$29*INDEX('Lease Cycles'!$FO$29:$FU$29,1,BD367)*INDEX('Lease Cycles'!$EM$29:$ES$29,1,BD367)+'Lease Cycles'!$BE$29*IF(BD368&lt;INDEX('Lease Cycles'!$FA$29:$FG$29,1,BD367),0,1-INDEX('Lease Cycles'!$EM$29:$ES$29,1,BD367)),IF(OR(INDEX('Lease Cycles'!$DY$29:$EE$29,1,BD367)=1,BD368&gt;0),1,1-INDEX('Lease Cycles'!$DD$29:$DJ$29,1,BD367))*('Lease Cycles'!$AJ$29*INDEX('Lease Cycles'!$FO$29:$FU$29,1,BD367)+'Lease Cycles'!$BE$29*(1-INDEX('Lease Cycles'!$FO$29:$FU$29,1,BD367)))),0)</f>
        <v>0</v>
      </c>
      <c r="BE377" s="24">
        <f>IF(BE369=1,'Lease Cycles'!$D$29*IF(INDEX('Lease Cycles'!$EF$29:$EL$29,1,BE367)=1,'Lease Cycles'!$AJ$29*INDEX('Lease Cycles'!$FO$29:$FU$29,1,BE367)*INDEX('Lease Cycles'!$EM$29:$ES$29,1,BE367)+'Lease Cycles'!$BE$29*IF(BE368&lt;INDEX('Lease Cycles'!$FA$29:$FG$29,1,BE367),0,1-INDEX('Lease Cycles'!$EM$29:$ES$29,1,BE367)),IF(OR(INDEX('Lease Cycles'!$DY$29:$EE$29,1,BE367)=1,BE368&gt;0),1,1-INDEX('Lease Cycles'!$DD$29:$DJ$29,1,BE367))*('Lease Cycles'!$AJ$29*INDEX('Lease Cycles'!$FO$29:$FU$29,1,BE367)+'Lease Cycles'!$BE$29*(1-INDEX('Lease Cycles'!$FO$29:$FU$29,1,BE367)))),0)</f>
        <v>0</v>
      </c>
      <c r="BF377" s="24">
        <f>IF(BF369=1,'Lease Cycles'!$D$29*IF(INDEX('Lease Cycles'!$EF$29:$EL$29,1,BF367)=1,'Lease Cycles'!$AJ$29*INDEX('Lease Cycles'!$FO$29:$FU$29,1,BF367)*INDEX('Lease Cycles'!$EM$29:$ES$29,1,BF367)+'Lease Cycles'!$BE$29*IF(BF368&lt;INDEX('Lease Cycles'!$FA$29:$FG$29,1,BF367),0,1-INDEX('Lease Cycles'!$EM$29:$ES$29,1,BF367)),IF(OR(INDEX('Lease Cycles'!$DY$29:$EE$29,1,BF367)=1,BF368&gt;0),1,1-INDEX('Lease Cycles'!$DD$29:$DJ$29,1,BF367))*('Lease Cycles'!$AJ$29*INDEX('Lease Cycles'!$FO$29:$FU$29,1,BF367)+'Lease Cycles'!$BE$29*(1-INDEX('Lease Cycles'!$FO$29:$FU$29,1,BF367)))),0)</f>
        <v>0</v>
      </c>
      <c r="BG377" s="24">
        <f>IF(BG369=1,'Lease Cycles'!$D$29*IF(INDEX('Lease Cycles'!$EF$29:$EL$29,1,BG367)=1,'Lease Cycles'!$AJ$29*INDEX('Lease Cycles'!$FO$29:$FU$29,1,BG367)*INDEX('Lease Cycles'!$EM$29:$ES$29,1,BG367)+'Lease Cycles'!$BE$29*IF(BG368&lt;INDEX('Lease Cycles'!$FA$29:$FG$29,1,BG367),0,1-INDEX('Lease Cycles'!$EM$29:$ES$29,1,BG367)),IF(OR(INDEX('Lease Cycles'!$DY$29:$EE$29,1,BG367)=1,BG368&gt;0),1,1-INDEX('Lease Cycles'!$DD$29:$DJ$29,1,BG367))*('Lease Cycles'!$AJ$29*INDEX('Lease Cycles'!$FO$29:$FU$29,1,BG367)+'Lease Cycles'!$BE$29*(1-INDEX('Lease Cycles'!$FO$29:$FU$29,1,BG367)))),0)</f>
        <v>0</v>
      </c>
      <c r="BH377" s="24">
        <f>IF(BH369=1,'Lease Cycles'!$D$29*IF(INDEX('Lease Cycles'!$EF$29:$EL$29,1,BH367)=1,'Lease Cycles'!$AJ$29*INDEX('Lease Cycles'!$FO$29:$FU$29,1,BH367)*INDEX('Lease Cycles'!$EM$29:$ES$29,1,BH367)+'Lease Cycles'!$BE$29*IF(BH368&lt;INDEX('Lease Cycles'!$FA$29:$FG$29,1,BH367),0,1-INDEX('Lease Cycles'!$EM$29:$ES$29,1,BH367)),IF(OR(INDEX('Lease Cycles'!$DY$29:$EE$29,1,BH367)=1,BH368&gt;0),1,1-INDEX('Lease Cycles'!$DD$29:$DJ$29,1,BH367))*('Lease Cycles'!$AJ$29*INDEX('Lease Cycles'!$FO$29:$FU$29,1,BH367)+'Lease Cycles'!$BE$29*(1-INDEX('Lease Cycles'!$FO$29:$FU$29,1,BH367)))),0)</f>
        <v>0</v>
      </c>
      <c r="BI377" s="24">
        <f>IF(BI369=1,'Lease Cycles'!$D$29*IF(INDEX('Lease Cycles'!$EF$29:$EL$29,1,BI367)=1,'Lease Cycles'!$AJ$29*INDEX('Lease Cycles'!$FO$29:$FU$29,1,BI367)*INDEX('Lease Cycles'!$EM$29:$ES$29,1,BI367)+'Lease Cycles'!$BE$29*IF(BI368&lt;INDEX('Lease Cycles'!$FA$29:$FG$29,1,BI367),0,1-INDEX('Lease Cycles'!$EM$29:$ES$29,1,BI367)),IF(OR(INDEX('Lease Cycles'!$DY$29:$EE$29,1,BI367)=1,BI368&gt;0),1,1-INDEX('Lease Cycles'!$DD$29:$DJ$29,1,BI367))*('Lease Cycles'!$AJ$29*INDEX('Lease Cycles'!$FO$29:$FU$29,1,BI367)+'Lease Cycles'!$BE$29*(1-INDEX('Lease Cycles'!$FO$29:$FU$29,1,BI367)))),0)</f>
        <v>0</v>
      </c>
      <c r="BJ377" s="24">
        <f>IF(BJ369=1,'Lease Cycles'!$D$29*IF(INDEX('Lease Cycles'!$EF$29:$EL$29,1,BJ367)=1,'Lease Cycles'!$AJ$29*INDEX('Lease Cycles'!$FO$29:$FU$29,1,BJ367)*INDEX('Lease Cycles'!$EM$29:$ES$29,1,BJ367)+'Lease Cycles'!$BE$29*IF(BJ368&lt;INDEX('Lease Cycles'!$FA$29:$FG$29,1,BJ367),0,1-INDEX('Lease Cycles'!$EM$29:$ES$29,1,BJ367)),IF(OR(INDEX('Lease Cycles'!$DY$29:$EE$29,1,BJ367)=1,BJ368&gt;0),1,1-INDEX('Lease Cycles'!$DD$29:$DJ$29,1,BJ367))*('Lease Cycles'!$AJ$29*INDEX('Lease Cycles'!$FO$29:$FU$29,1,BJ367)+'Lease Cycles'!$BE$29*(1-INDEX('Lease Cycles'!$FO$29:$FU$29,1,BJ367)))),0)</f>
        <v>0</v>
      </c>
      <c r="BK377" s="24">
        <f>IF(BK369=1,'Lease Cycles'!$D$29*IF(INDEX('Lease Cycles'!$EF$29:$EL$29,1,BK367)=1,'Lease Cycles'!$AJ$29*INDEX('Lease Cycles'!$FO$29:$FU$29,1,BK367)*INDEX('Lease Cycles'!$EM$29:$ES$29,1,BK367)+'Lease Cycles'!$BE$29*IF(BK368&lt;INDEX('Lease Cycles'!$FA$29:$FG$29,1,BK367),0,1-INDEX('Lease Cycles'!$EM$29:$ES$29,1,BK367)),IF(OR(INDEX('Lease Cycles'!$DY$29:$EE$29,1,BK367)=1,BK368&gt;0),1,1-INDEX('Lease Cycles'!$DD$29:$DJ$29,1,BK367))*('Lease Cycles'!$AJ$29*INDEX('Lease Cycles'!$FO$29:$FU$29,1,BK367)+'Lease Cycles'!$BE$29*(1-INDEX('Lease Cycles'!$FO$29:$FU$29,1,BK367)))),0)</f>
        <v>0</v>
      </c>
      <c r="BL377" s="24">
        <f>IF(BL369=1,'Lease Cycles'!$D$29*IF(INDEX('Lease Cycles'!$EF$29:$EL$29,1,BL367)=1,'Lease Cycles'!$AJ$29*INDEX('Lease Cycles'!$FO$29:$FU$29,1,BL367)*INDEX('Lease Cycles'!$EM$29:$ES$29,1,BL367)+'Lease Cycles'!$BE$29*IF(BL368&lt;INDEX('Lease Cycles'!$FA$29:$FG$29,1,BL367),0,1-INDEX('Lease Cycles'!$EM$29:$ES$29,1,BL367)),IF(OR(INDEX('Lease Cycles'!$DY$29:$EE$29,1,BL367)=1,BL368&gt;0),1,1-INDEX('Lease Cycles'!$DD$29:$DJ$29,1,BL367))*('Lease Cycles'!$AJ$29*INDEX('Lease Cycles'!$FO$29:$FU$29,1,BL367)+'Lease Cycles'!$BE$29*(1-INDEX('Lease Cycles'!$FO$29:$FU$29,1,BL367)))),0)</f>
        <v>0</v>
      </c>
      <c r="BM377" s="24">
        <f>IF(BM369=1,'Lease Cycles'!$D$29*IF(INDEX('Lease Cycles'!$EF$29:$EL$29,1,BM367)=1,'Lease Cycles'!$AJ$29*INDEX('Lease Cycles'!$FO$29:$FU$29,1,BM367)*INDEX('Lease Cycles'!$EM$29:$ES$29,1,BM367)+'Lease Cycles'!$BE$29*IF(BM368&lt;INDEX('Lease Cycles'!$FA$29:$FG$29,1,BM367),0,1-INDEX('Lease Cycles'!$EM$29:$ES$29,1,BM367)),IF(OR(INDEX('Lease Cycles'!$DY$29:$EE$29,1,BM367)=1,BM368&gt;0),1,1-INDEX('Lease Cycles'!$DD$29:$DJ$29,1,BM367))*('Lease Cycles'!$AJ$29*INDEX('Lease Cycles'!$FO$29:$FU$29,1,BM367)+'Lease Cycles'!$BE$29*(1-INDEX('Lease Cycles'!$FO$29:$FU$29,1,BM367)))),0)</f>
        <v>0</v>
      </c>
      <c r="BN377" s="24">
        <f>IF(BN369=1,'Lease Cycles'!$D$29*IF(INDEX('Lease Cycles'!$EF$29:$EL$29,1,BN367)=1,'Lease Cycles'!$AJ$29*INDEX('Lease Cycles'!$FO$29:$FU$29,1,BN367)*INDEX('Lease Cycles'!$EM$29:$ES$29,1,BN367)+'Lease Cycles'!$BE$29*IF(BN368&lt;INDEX('Lease Cycles'!$FA$29:$FG$29,1,BN367),0,1-INDEX('Lease Cycles'!$EM$29:$ES$29,1,BN367)),IF(OR(INDEX('Lease Cycles'!$DY$29:$EE$29,1,BN367)=1,BN368&gt;0),1,1-INDEX('Lease Cycles'!$DD$29:$DJ$29,1,BN367))*('Lease Cycles'!$AJ$29*INDEX('Lease Cycles'!$FO$29:$FU$29,1,BN367)+'Lease Cycles'!$BE$29*(1-INDEX('Lease Cycles'!$FO$29:$FU$29,1,BN367)))),0)</f>
        <v>0</v>
      </c>
      <c r="BO377" s="24">
        <f>IF(BO369=1,'Lease Cycles'!$D$29*IF(INDEX('Lease Cycles'!$EF$29:$EL$29,1,BO367)=1,'Lease Cycles'!$AJ$29*INDEX('Lease Cycles'!$FO$29:$FU$29,1,BO367)*INDEX('Lease Cycles'!$EM$29:$ES$29,1,BO367)+'Lease Cycles'!$BE$29*IF(BO368&lt;INDEX('Lease Cycles'!$FA$29:$FG$29,1,BO367),0,1-INDEX('Lease Cycles'!$EM$29:$ES$29,1,BO367)),IF(OR(INDEX('Lease Cycles'!$DY$29:$EE$29,1,BO367)=1,BO368&gt;0),1,1-INDEX('Lease Cycles'!$DD$29:$DJ$29,1,BO367))*('Lease Cycles'!$AJ$29*INDEX('Lease Cycles'!$FO$29:$FU$29,1,BO367)+'Lease Cycles'!$BE$29*(1-INDEX('Lease Cycles'!$FO$29:$FU$29,1,BO367)))),0)</f>
        <v>0</v>
      </c>
      <c r="BP377" s="24">
        <f>IF(BP369=1,'Lease Cycles'!$D$29*IF(INDEX('Lease Cycles'!$EF$29:$EL$29,1,BP367)=1,'Lease Cycles'!$AJ$29*INDEX('Lease Cycles'!$FO$29:$FU$29,1,BP367)*INDEX('Lease Cycles'!$EM$29:$ES$29,1,BP367)+'Lease Cycles'!$BE$29*IF(BP368&lt;INDEX('Lease Cycles'!$FA$29:$FG$29,1,BP367),0,1-INDEX('Lease Cycles'!$EM$29:$ES$29,1,BP367)),IF(OR(INDEX('Lease Cycles'!$DY$29:$EE$29,1,BP367)=1,BP368&gt;0),1,1-INDEX('Lease Cycles'!$DD$29:$DJ$29,1,BP367))*('Lease Cycles'!$AJ$29*INDEX('Lease Cycles'!$FO$29:$FU$29,1,BP367)+'Lease Cycles'!$BE$29*(1-INDEX('Lease Cycles'!$FO$29:$FU$29,1,BP367)))),0)</f>
        <v>0</v>
      </c>
      <c r="BQ377" s="24">
        <f>IF(BQ369=1,'Lease Cycles'!$D$29*IF(INDEX('Lease Cycles'!$EF$29:$EL$29,1,BQ367)=1,'Lease Cycles'!$AJ$29*INDEX('Lease Cycles'!$FO$29:$FU$29,1,BQ367)*INDEX('Lease Cycles'!$EM$29:$ES$29,1,BQ367)+'Lease Cycles'!$BE$29*IF(BQ368&lt;INDEX('Lease Cycles'!$FA$29:$FG$29,1,BQ367),0,1-INDEX('Lease Cycles'!$EM$29:$ES$29,1,BQ367)),IF(OR(INDEX('Lease Cycles'!$DY$29:$EE$29,1,BQ367)=1,BQ368&gt;0),1,1-INDEX('Lease Cycles'!$DD$29:$DJ$29,1,BQ367))*('Lease Cycles'!$AJ$29*INDEX('Lease Cycles'!$FO$29:$FU$29,1,BQ367)+'Lease Cycles'!$BE$29*(1-INDEX('Lease Cycles'!$FO$29:$FU$29,1,BQ367)))),0)</f>
        <v>0</v>
      </c>
      <c r="BR377" s="24">
        <f>IF(BR369=1,'Lease Cycles'!$D$29*IF(INDEX('Lease Cycles'!$EF$29:$EL$29,1,BR367)=1,'Lease Cycles'!$AJ$29*INDEX('Lease Cycles'!$FO$29:$FU$29,1,BR367)*INDEX('Lease Cycles'!$EM$29:$ES$29,1,BR367)+'Lease Cycles'!$BE$29*IF(BR368&lt;INDEX('Lease Cycles'!$FA$29:$FG$29,1,BR367),0,1-INDEX('Lease Cycles'!$EM$29:$ES$29,1,BR367)),IF(OR(INDEX('Lease Cycles'!$DY$29:$EE$29,1,BR367)=1,BR368&gt;0),1,1-INDEX('Lease Cycles'!$DD$29:$DJ$29,1,BR367))*('Lease Cycles'!$AJ$29*INDEX('Lease Cycles'!$FO$29:$FU$29,1,BR367)+'Lease Cycles'!$BE$29*(1-INDEX('Lease Cycles'!$FO$29:$FU$29,1,BR367)))),0)</f>
        <v>0</v>
      </c>
      <c r="BS377" s="24">
        <f>IF(BS369=1,'Lease Cycles'!$D$29*IF(INDEX('Lease Cycles'!$EF$29:$EL$29,1,BS367)=1,'Lease Cycles'!$AJ$29*INDEX('Lease Cycles'!$FO$29:$FU$29,1,BS367)*INDEX('Lease Cycles'!$EM$29:$ES$29,1,BS367)+'Lease Cycles'!$BE$29*IF(BS368&lt;INDEX('Lease Cycles'!$FA$29:$FG$29,1,BS367),0,1-INDEX('Lease Cycles'!$EM$29:$ES$29,1,BS367)),IF(OR(INDEX('Lease Cycles'!$DY$29:$EE$29,1,BS367)=1,BS368&gt;0),1,1-INDEX('Lease Cycles'!$DD$29:$DJ$29,1,BS367))*('Lease Cycles'!$AJ$29*INDEX('Lease Cycles'!$FO$29:$FU$29,1,BS367)+'Lease Cycles'!$BE$29*(1-INDEX('Lease Cycles'!$FO$29:$FU$29,1,BS367)))),0)</f>
        <v>0</v>
      </c>
      <c r="BT377" s="24">
        <f>IF(BT369=1,'Lease Cycles'!$D$29*IF(INDEX('Lease Cycles'!$EF$29:$EL$29,1,BT367)=1,'Lease Cycles'!$AJ$29*INDEX('Lease Cycles'!$FO$29:$FU$29,1,BT367)*INDEX('Lease Cycles'!$EM$29:$ES$29,1,BT367)+'Lease Cycles'!$BE$29*IF(BT368&lt;INDEX('Lease Cycles'!$FA$29:$FG$29,1,BT367),0,1-INDEX('Lease Cycles'!$EM$29:$ES$29,1,BT367)),IF(OR(INDEX('Lease Cycles'!$DY$29:$EE$29,1,BT367)=1,BT368&gt;0),1,1-INDEX('Lease Cycles'!$DD$29:$DJ$29,1,BT367))*('Lease Cycles'!$AJ$29*INDEX('Lease Cycles'!$FO$29:$FU$29,1,BT367)+'Lease Cycles'!$BE$29*(1-INDEX('Lease Cycles'!$FO$29:$FU$29,1,BT367)))),0)</f>
        <v>0</v>
      </c>
      <c r="BU377" s="24">
        <f>IF(BU369=1,'Lease Cycles'!$D$29*IF(INDEX('Lease Cycles'!$EF$29:$EL$29,1,BU367)=1,'Lease Cycles'!$AJ$29*INDEX('Lease Cycles'!$FO$29:$FU$29,1,BU367)*INDEX('Lease Cycles'!$EM$29:$ES$29,1,BU367)+'Lease Cycles'!$BE$29*IF(BU368&lt;INDEX('Lease Cycles'!$FA$29:$FG$29,1,BU367),0,1-INDEX('Lease Cycles'!$EM$29:$ES$29,1,BU367)),IF(OR(INDEX('Lease Cycles'!$DY$29:$EE$29,1,BU367)=1,BU368&gt;0),1,1-INDEX('Lease Cycles'!$DD$29:$DJ$29,1,BU367))*('Lease Cycles'!$AJ$29*INDEX('Lease Cycles'!$FO$29:$FU$29,1,BU367)+'Lease Cycles'!$BE$29*(1-INDEX('Lease Cycles'!$FO$29:$FU$29,1,BU367)))),0)</f>
        <v>0</v>
      </c>
      <c r="BV377" s="24">
        <f>IF(BV369=1,'Lease Cycles'!$D$29*IF(INDEX('Lease Cycles'!$EF$29:$EL$29,1,BV367)=1,'Lease Cycles'!$AJ$29*INDEX('Lease Cycles'!$FO$29:$FU$29,1,BV367)*INDEX('Lease Cycles'!$EM$29:$ES$29,1,BV367)+'Lease Cycles'!$BE$29*IF(BV368&lt;INDEX('Lease Cycles'!$FA$29:$FG$29,1,BV367),0,1-INDEX('Lease Cycles'!$EM$29:$ES$29,1,BV367)),IF(OR(INDEX('Lease Cycles'!$DY$29:$EE$29,1,BV367)=1,BV368&gt;0),1,1-INDEX('Lease Cycles'!$DD$29:$DJ$29,1,BV367))*('Lease Cycles'!$AJ$29*INDEX('Lease Cycles'!$FO$29:$FU$29,1,BV367)+'Lease Cycles'!$BE$29*(1-INDEX('Lease Cycles'!$FO$29:$FU$29,1,BV367)))),0)</f>
        <v>0</v>
      </c>
      <c r="BW377" s="24">
        <f>IF(BW369=1,'Lease Cycles'!$D$29*IF(INDEX('Lease Cycles'!$EF$29:$EL$29,1,BW367)=1,'Lease Cycles'!$AJ$29*INDEX('Lease Cycles'!$FO$29:$FU$29,1,BW367)*INDEX('Lease Cycles'!$EM$29:$ES$29,1,BW367)+'Lease Cycles'!$BE$29*IF(BW368&lt;INDEX('Lease Cycles'!$FA$29:$FG$29,1,BW367),0,1-INDEX('Lease Cycles'!$EM$29:$ES$29,1,BW367)),IF(OR(INDEX('Lease Cycles'!$DY$29:$EE$29,1,BW367)=1,BW368&gt;0),1,1-INDEX('Lease Cycles'!$DD$29:$DJ$29,1,BW367))*('Lease Cycles'!$AJ$29*INDEX('Lease Cycles'!$FO$29:$FU$29,1,BW367)+'Lease Cycles'!$BE$29*(1-INDEX('Lease Cycles'!$FO$29:$FU$29,1,BW367)))),0)</f>
        <v>0</v>
      </c>
      <c r="BX377" s="24">
        <f>IF(BX369=1,'Lease Cycles'!$D$29*IF(INDEX('Lease Cycles'!$EF$29:$EL$29,1,BX367)=1,'Lease Cycles'!$AJ$29*INDEX('Lease Cycles'!$FO$29:$FU$29,1,BX367)*INDEX('Lease Cycles'!$EM$29:$ES$29,1,BX367)+'Lease Cycles'!$BE$29*IF(BX368&lt;INDEX('Lease Cycles'!$FA$29:$FG$29,1,BX367),0,1-INDEX('Lease Cycles'!$EM$29:$ES$29,1,BX367)),IF(OR(INDEX('Lease Cycles'!$DY$29:$EE$29,1,BX367)=1,BX368&gt;0),1,1-INDEX('Lease Cycles'!$DD$29:$DJ$29,1,BX367))*('Lease Cycles'!$AJ$29*INDEX('Lease Cycles'!$FO$29:$FU$29,1,BX367)+'Lease Cycles'!$BE$29*(1-INDEX('Lease Cycles'!$FO$29:$FU$29,1,BX367)))),0)</f>
        <v>0</v>
      </c>
      <c r="BY377" s="24">
        <f>IF(BY369=1,'Lease Cycles'!$D$29*IF(INDEX('Lease Cycles'!$EF$29:$EL$29,1,BY367)=1,'Lease Cycles'!$AJ$29*INDEX('Lease Cycles'!$FO$29:$FU$29,1,BY367)*INDEX('Lease Cycles'!$EM$29:$ES$29,1,BY367)+'Lease Cycles'!$BE$29*IF(BY368&lt;INDEX('Lease Cycles'!$FA$29:$FG$29,1,BY367),0,1-INDEX('Lease Cycles'!$EM$29:$ES$29,1,BY367)),IF(OR(INDEX('Lease Cycles'!$DY$29:$EE$29,1,BY367)=1,BY368&gt;0),1,1-INDEX('Lease Cycles'!$DD$29:$DJ$29,1,BY367))*('Lease Cycles'!$AJ$29*INDEX('Lease Cycles'!$FO$29:$FU$29,1,BY367)+'Lease Cycles'!$BE$29*(1-INDEX('Lease Cycles'!$FO$29:$FU$29,1,BY367)))),0)</f>
        <v>0</v>
      </c>
      <c r="BZ377" s="24">
        <f>IF(BZ369=1,'Lease Cycles'!$D$29*IF(INDEX('Lease Cycles'!$EF$29:$EL$29,1,BZ367)=1,'Lease Cycles'!$AJ$29*INDEX('Lease Cycles'!$FO$29:$FU$29,1,BZ367)*INDEX('Lease Cycles'!$EM$29:$ES$29,1,BZ367)+'Lease Cycles'!$BE$29*IF(BZ368&lt;INDEX('Lease Cycles'!$FA$29:$FG$29,1,BZ367),0,1-INDEX('Lease Cycles'!$EM$29:$ES$29,1,BZ367)),IF(OR(INDEX('Lease Cycles'!$DY$29:$EE$29,1,BZ367)=1,BZ368&gt;0),1,1-INDEX('Lease Cycles'!$DD$29:$DJ$29,1,BZ367))*('Lease Cycles'!$AJ$29*INDEX('Lease Cycles'!$FO$29:$FU$29,1,BZ367)+'Lease Cycles'!$BE$29*(1-INDEX('Lease Cycles'!$FO$29:$FU$29,1,BZ367)))),0)</f>
        <v>0</v>
      </c>
      <c r="CA377" s="24">
        <f>IF(CA369=1,'Lease Cycles'!$D$29*IF(INDEX('Lease Cycles'!$EF$29:$EL$29,1,CA367)=1,'Lease Cycles'!$AJ$29*INDEX('Lease Cycles'!$FO$29:$FU$29,1,CA367)*INDEX('Lease Cycles'!$EM$29:$ES$29,1,CA367)+'Lease Cycles'!$BE$29*IF(CA368&lt;INDEX('Lease Cycles'!$FA$29:$FG$29,1,CA367),0,1-INDEX('Lease Cycles'!$EM$29:$ES$29,1,CA367)),IF(OR(INDEX('Lease Cycles'!$DY$29:$EE$29,1,CA367)=1,CA368&gt;0),1,1-INDEX('Lease Cycles'!$DD$29:$DJ$29,1,CA367))*('Lease Cycles'!$AJ$29*INDEX('Lease Cycles'!$FO$29:$FU$29,1,CA367)+'Lease Cycles'!$BE$29*(1-INDEX('Lease Cycles'!$FO$29:$FU$29,1,CA367)))),0)</f>
        <v>0</v>
      </c>
      <c r="CB377" s="24">
        <f>IF(CB369=1,'Lease Cycles'!$D$29*IF(INDEX('Lease Cycles'!$EF$29:$EL$29,1,CB367)=1,'Lease Cycles'!$AJ$29*INDEX('Lease Cycles'!$FO$29:$FU$29,1,CB367)*INDEX('Lease Cycles'!$EM$29:$ES$29,1,CB367)+'Lease Cycles'!$BE$29*IF(CB368&lt;INDEX('Lease Cycles'!$FA$29:$FG$29,1,CB367),0,1-INDEX('Lease Cycles'!$EM$29:$ES$29,1,CB367)),IF(OR(INDEX('Lease Cycles'!$DY$29:$EE$29,1,CB367)=1,CB368&gt;0),1,1-INDEX('Lease Cycles'!$DD$29:$DJ$29,1,CB367))*('Lease Cycles'!$AJ$29*INDEX('Lease Cycles'!$FO$29:$FU$29,1,CB367)+'Lease Cycles'!$BE$29*(1-INDEX('Lease Cycles'!$FO$29:$FU$29,1,CB367)))),0)</f>
        <v>0</v>
      </c>
      <c r="CC377" s="24">
        <f>IF(CC369=1,'Lease Cycles'!$D$29*IF(INDEX('Lease Cycles'!$EF$29:$EL$29,1,CC367)=1,'Lease Cycles'!$AJ$29*INDEX('Lease Cycles'!$FO$29:$FU$29,1,CC367)*INDEX('Lease Cycles'!$EM$29:$ES$29,1,CC367)+'Lease Cycles'!$BE$29*IF(CC368&lt;INDEX('Lease Cycles'!$FA$29:$FG$29,1,CC367),0,1-INDEX('Lease Cycles'!$EM$29:$ES$29,1,CC367)),IF(OR(INDEX('Lease Cycles'!$DY$29:$EE$29,1,CC367)=1,CC368&gt;0),1,1-INDEX('Lease Cycles'!$DD$29:$DJ$29,1,CC367))*('Lease Cycles'!$AJ$29*INDEX('Lease Cycles'!$FO$29:$FU$29,1,CC367)+'Lease Cycles'!$BE$29*(1-INDEX('Lease Cycles'!$FO$29:$FU$29,1,CC367)))),0)</f>
        <v>0</v>
      </c>
      <c r="CD377" s="24">
        <f>IF(CD369=1,'Lease Cycles'!$D$29*IF(INDEX('Lease Cycles'!$EF$29:$EL$29,1,CD367)=1,'Lease Cycles'!$AJ$29*INDEX('Lease Cycles'!$FO$29:$FU$29,1,CD367)*INDEX('Lease Cycles'!$EM$29:$ES$29,1,CD367)+'Lease Cycles'!$BE$29*IF(CD368&lt;INDEX('Lease Cycles'!$FA$29:$FG$29,1,CD367),0,1-INDEX('Lease Cycles'!$EM$29:$ES$29,1,CD367)),IF(OR(INDEX('Lease Cycles'!$DY$29:$EE$29,1,CD367)=1,CD368&gt;0),1,1-INDEX('Lease Cycles'!$DD$29:$DJ$29,1,CD367))*('Lease Cycles'!$AJ$29*INDEX('Lease Cycles'!$FO$29:$FU$29,1,CD367)+'Lease Cycles'!$BE$29*(1-INDEX('Lease Cycles'!$FO$29:$FU$29,1,CD367)))),0)</f>
        <v>0</v>
      </c>
      <c r="CE377" s="24">
        <f>IF(CE369=1,'Lease Cycles'!$D$29*IF(INDEX('Lease Cycles'!$EF$29:$EL$29,1,CE367)=1,'Lease Cycles'!$AJ$29*INDEX('Lease Cycles'!$FO$29:$FU$29,1,CE367)*INDEX('Lease Cycles'!$EM$29:$ES$29,1,CE367)+'Lease Cycles'!$BE$29*IF(CE368&lt;INDEX('Lease Cycles'!$FA$29:$FG$29,1,CE367),0,1-INDEX('Lease Cycles'!$EM$29:$ES$29,1,CE367)),IF(OR(INDEX('Lease Cycles'!$DY$29:$EE$29,1,CE367)=1,CE368&gt;0),1,1-INDEX('Lease Cycles'!$DD$29:$DJ$29,1,CE367))*('Lease Cycles'!$AJ$29*INDEX('Lease Cycles'!$FO$29:$FU$29,1,CE367)+'Lease Cycles'!$BE$29*(1-INDEX('Lease Cycles'!$FO$29:$FU$29,1,CE367)))),0)</f>
        <v>0</v>
      </c>
      <c r="CF377" s="24">
        <f>IF(CF369=1,'Lease Cycles'!$D$29*IF(INDEX('Lease Cycles'!$EF$29:$EL$29,1,CF367)=1,'Lease Cycles'!$AJ$29*INDEX('Lease Cycles'!$FO$29:$FU$29,1,CF367)*INDEX('Lease Cycles'!$EM$29:$ES$29,1,CF367)+'Lease Cycles'!$BE$29*IF(CF368&lt;INDEX('Lease Cycles'!$FA$29:$FG$29,1,CF367),0,1-INDEX('Lease Cycles'!$EM$29:$ES$29,1,CF367)),IF(OR(INDEX('Lease Cycles'!$DY$29:$EE$29,1,CF367)=1,CF368&gt;0),1,1-INDEX('Lease Cycles'!$DD$29:$DJ$29,1,CF367))*('Lease Cycles'!$AJ$29*INDEX('Lease Cycles'!$FO$29:$FU$29,1,CF367)+'Lease Cycles'!$BE$29*(1-INDEX('Lease Cycles'!$FO$29:$FU$29,1,CF367)))),0)</f>
        <v>0</v>
      </c>
      <c r="CG377" s="24">
        <f>IF(CG369=1,'Lease Cycles'!$D$29*IF(INDEX('Lease Cycles'!$EF$29:$EL$29,1,CG367)=1,'Lease Cycles'!$AJ$29*INDEX('Lease Cycles'!$FO$29:$FU$29,1,CG367)*INDEX('Lease Cycles'!$EM$29:$ES$29,1,CG367)+'Lease Cycles'!$BE$29*IF(CG368&lt;INDEX('Lease Cycles'!$FA$29:$FG$29,1,CG367),0,1-INDEX('Lease Cycles'!$EM$29:$ES$29,1,CG367)),IF(OR(INDEX('Lease Cycles'!$DY$29:$EE$29,1,CG367)=1,CG368&gt;0),1,1-INDEX('Lease Cycles'!$DD$29:$DJ$29,1,CG367))*('Lease Cycles'!$AJ$29*INDEX('Lease Cycles'!$FO$29:$FU$29,1,CG367)+'Lease Cycles'!$BE$29*(1-INDEX('Lease Cycles'!$FO$29:$FU$29,1,CG367)))),0)</f>
        <v>0</v>
      </c>
      <c r="CH377" s="24">
        <f>IF(CH369=1,'Lease Cycles'!$D$29*IF(INDEX('Lease Cycles'!$EF$29:$EL$29,1,CH367)=1,'Lease Cycles'!$AJ$29*INDEX('Lease Cycles'!$FO$29:$FU$29,1,CH367)*INDEX('Lease Cycles'!$EM$29:$ES$29,1,CH367)+'Lease Cycles'!$BE$29*IF(CH368&lt;INDEX('Lease Cycles'!$FA$29:$FG$29,1,CH367),0,1-INDEX('Lease Cycles'!$EM$29:$ES$29,1,CH367)),IF(OR(INDEX('Lease Cycles'!$DY$29:$EE$29,1,CH367)=1,CH368&gt;0),1,1-INDEX('Lease Cycles'!$DD$29:$DJ$29,1,CH367))*('Lease Cycles'!$AJ$29*INDEX('Lease Cycles'!$FO$29:$FU$29,1,CH367)+'Lease Cycles'!$BE$29*(1-INDEX('Lease Cycles'!$FO$29:$FU$29,1,CH367)))),0)</f>
        <v>0</v>
      </c>
      <c r="CI377" s="24">
        <f>IF(CI369=1,'Lease Cycles'!$D$29*IF(INDEX('Lease Cycles'!$EF$29:$EL$29,1,CI367)=1,'Lease Cycles'!$AJ$29*INDEX('Lease Cycles'!$FO$29:$FU$29,1,CI367)*INDEX('Lease Cycles'!$EM$29:$ES$29,1,CI367)+'Lease Cycles'!$BE$29*IF(CI368&lt;INDEX('Lease Cycles'!$FA$29:$FG$29,1,CI367),0,1-INDEX('Lease Cycles'!$EM$29:$ES$29,1,CI367)),IF(OR(INDEX('Lease Cycles'!$DY$29:$EE$29,1,CI367)=1,CI368&gt;0),1,1-INDEX('Lease Cycles'!$DD$29:$DJ$29,1,CI367))*('Lease Cycles'!$AJ$29*INDEX('Lease Cycles'!$FO$29:$FU$29,1,CI367)+'Lease Cycles'!$BE$29*(1-INDEX('Lease Cycles'!$FO$29:$FU$29,1,CI367)))),0)</f>
        <v>0</v>
      </c>
      <c r="CJ377" s="24">
        <f>IF(CJ369=1,'Lease Cycles'!$D$29*IF(INDEX('Lease Cycles'!$EF$29:$EL$29,1,CJ367)=1,'Lease Cycles'!$AJ$29*INDEX('Lease Cycles'!$FO$29:$FU$29,1,CJ367)*INDEX('Lease Cycles'!$EM$29:$ES$29,1,CJ367)+'Lease Cycles'!$BE$29*IF(CJ368&lt;INDEX('Lease Cycles'!$FA$29:$FG$29,1,CJ367),0,1-INDEX('Lease Cycles'!$EM$29:$ES$29,1,CJ367)),IF(OR(INDEX('Lease Cycles'!$DY$29:$EE$29,1,CJ367)=1,CJ368&gt;0),1,1-INDEX('Lease Cycles'!$DD$29:$DJ$29,1,CJ367))*('Lease Cycles'!$AJ$29*INDEX('Lease Cycles'!$FO$29:$FU$29,1,CJ367)+'Lease Cycles'!$BE$29*(1-INDEX('Lease Cycles'!$FO$29:$FU$29,1,CJ367)))),0)</f>
        <v>0</v>
      </c>
      <c r="CK377" s="24">
        <f>IF(CK369=1,'Lease Cycles'!$D$29*IF(INDEX('Lease Cycles'!$EF$29:$EL$29,1,CK367)=1,'Lease Cycles'!$AJ$29*INDEX('Lease Cycles'!$FO$29:$FU$29,1,CK367)*INDEX('Lease Cycles'!$EM$29:$ES$29,1,CK367)+'Lease Cycles'!$BE$29*IF(CK368&lt;INDEX('Lease Cycles'!$FA$29:$FG$29,1,CK367),0,1-INDEX('Lease Cycles'!$EM$29:$ES$29,1,CK367)),IF(OR(INDEX('Lease Cycles'!$DY$29:$EE$29,1,CK367)=1,CK368&gt;0),1,1-INDEX('Lease Cycles'!$DD$29:$DJ$29,1,CK367))*('Lease Cycles'!$AJ$29*INDEX('Lease Cycles'!$FO$29:$FU$29,1,CK367)+'Lease Cycles'!$BE$29*(1-INDEX('Lease Cycles'!$FO$29:$FU$29,1,CK367)))),0)</f>
        <v>0</v>
      </c>
      <c r="CL377" s="24">
        <f>IF(CL369=1,'Lease Cycles'!$D$29*IF(INDEX('Lease Cycles'!$EF$29:$EL$29,1,CL367)=1,'Lease Cycles'!$AJ$29*INDEX('Lease Cycles'!$FO$29:$FU$29,1,CL367)*INDEX('Lease Cycles'!$EM$29:$ES$29,1,CL367)+'Lease Cycles'!$BE$29*IF(CL368&lt;INDEX('Lease Cycles'!$FA$29:$FG$29,1,CL367),0,1-INDEX('Lease Cycles'!$EM$29:$ES$29,1,CL367)),IF(OR(INDEX('Lease Cycles'!$DY$29:$EE$29,1,CL367)=1,CL368&gt;0),1,1-INDEX('Lease Cycles'!$DD$29:$DJ$29,1,CL367))*('Lease Cycles'!$AJ$29*INDEX('Lease Cycles'!$FO$29:$FU$29,1,CL367)+'Lease Cycles'!$BE$29*(1-INDEX('Lease Cycles'!$FO$29:$FU$29,1,CL367)))),0)</f>
        <v>0</v>
      </c>
      <c r="CM377" s="24">
        <f>IF(CM369=1,'Lease Cycles'!$D$29*IF(INDEX('Lease Cycles'!$EF$29:$EL$29,1,CM367)=1,'Lease Cycles'!$AJ$29*INDEX('Lease Cycles'!$FO$29:$FU$29,1,CM367)*INDEX('Lease Cycles'!$EM$29:$ES$29,1,CM367)+'Lease Cycles'!$BE$29*IF(CM368&lt;INDEX('Lease Cycles'!$FA$29:$FG$29,1,CM367),0,1-INDEX('Lease Cycles'!$EM$29:$ES$29,1,CM367)),IF(OR(INDEX('Lease Cycles'!$DY$29:$EE$29,1,CM367)=1,CM368&gt;0),1,1-INDEX('Lease Cycles'!$DD$29:$DJ$29,1,CM367))*('Lease Cycles'!$AJ$29*INDEX('Lease Cycles'!$FO$29:$FU$29,1,CM367)+'Lease Cycles'!$BE$29*(1-INDEX('Lease Cycles'!$FO$29:$FU$29,1,CM367)))),0)</f>
        <v>0</v>
      </c>
      <c r="CN377" s="24">
        <f>IF(CN369=1,'Lease Cycles'!$D$29*IF(INDEX('Lease Cycles'!$EF$29:$EL$29,1,CN367)=1,'Lease Cycles'!$AJ$29*INDEX('Lease Cycles'!$FO$29:$FU$29,1,CN367)*INDEX('Lease Cycles'!$EM$29:$ES$29,1,CN367)+'Lease Cycles'!$BE$29*IF(CN368&lt;INDEX('Lease Cycles'!$FA$29:$FG$29,1,CN367),0,1-INDEX('Lease Cycles'!$EM$29:$ES$29,1,CN367)),IF(OR(INDEX('Lease Cycles'!$DY$29:$EE$29,1,CN367)=1,CN368&gt;0),1,1-INDEX('Lease Cycles'!$DD$29:$DJ$29,1,CN367))*('Lease Cycles'!$AJ$29*INDEX('Lease Cycles'!$FO$29:$FU$29,1,CN367)+'Lease Cycles'!$BE$29*(1-INDEX('Lease Cycles'!$FO$29:$FU$29,1,CN367)))),0)</f>
        <v>0</v>
      </c>
      <c r="CO377" s="24">
        <f>IF(CO369=1,'Lease Cycles'!$D$29*IF(INDEX('Lease Cycles'!$EF$29:$EL$29,1,CO367)=1,'Lease Cycles'!$AJ$29*INDEX('Lease Cycles'!$FO$29:$FU$29,1,CO367)*INDEX('Lease Cycles'!$EM$29:$ES$29,1,CO367)+'Lease Cycles'!$BE$29*IF(CO368&lt;INDEX('Lease Cycles'!$FA$29:$FG$29,1,CO367),0,1-INDEX('Lease Cycles'!$EM$29:$ES$29,1,CO367)),IF(OR(INDEX('Lease Cycles'!$DY$29:$EE$29,1,CO367)=1,CO368&gt;0),1,1-INDEX('Lease Cycles'!$DD$29:$DJ$29,1,CO367))*('Lease Cycles'!$AJ$29*INDEX('Lease Cycles'!$FO$29:$FU$29,1,CO367)+'Lease Cycles'!$BE$29*(1-INDEX('Lease Cycles'!$FO$29:$FU$29,1,CO367)))),0)</f>
        <v>0</v>
      </c>
      <c r="CP377" s="24">
        <f>IF(CP369=1,'Lease Cycles'!$D$29*IF(INDEX('Lease Cycles'!$EF$29:$EL$29,1,CP367)=1,'Lease Cycles'!$AJ$29*INDEX('Lease Cycles'!$FO$29:$FU$29,1,CP367)*INDEX('Lease Cycles'!$EM$29:$ES$29,1,CP367)+'Lease Cycles'!$BE$29*IF(CP368&lt;INDEX('Lease Cycles'!$FA$29:$FG$29,1,CP367),0,1-INDEX('Lease Cycles'!$EM$29:$ES$29,1,CP367)),IF(OR(INDEX('Lease Cycles'!$DY$29:$EE$29,1,CP367)=1,CP368&gt;0),1,1-INDEX('Lease Cycles'!$DD$29:$DJ$29,1,CP367))*('Lease Cycles'!$AJ$29*INDEX('Lease Cycles'!$FO$29:$FU$29,1,CP367)+'Lease Cycles'!$BE$29*(1-INDEX('Lease Cycles'!$FO$29:$FU$29,1,CP367)))),0)</f>
        <v>0</v>
      </c>
      <c r="CQ377" s="24">
        <f>IF(CQ369=1,'Lease Cycles'!$D$29*IF(INDEX('Lease Cycles'!$EF$29:$EL$29,1,CQ367)=1,'Lease Cycles'!$AJ$29*INDEX('Lease Cycles'!$FO$29:$FU$29,1,CQ367)*INDEX('Lease Cycles'!$EM$29:$ES$29,1,CQ367)+'Lease Cycles'!$BE$29*IF(CQ368&lt;INDEX('Lease Cycles'!$FA$29:$FG$29,1,CQ367),0,1-INDEX('Lease Cycles'!$EM$29:$ES$29,1,CQ367)),IF(OR(INDEX('Lease Cycles'!$DY$29:$EE$29,1,CQ367)=1,CQ368&gt;0),1,1-INDEX('Lease Cycles'!$DD$29:$DJ$29,1,CQ367))*('Lease Cycles'!$AJ$29*INDEX('Lease Cycles'!$FO$29:$FU$29,1,CQ367)+'Lease Cycles'!$BE$29*(1-INDEX('Lease Cycles'!$FO$29:$FU$29,1,CQ367)))),0)</f>
        <v>0</v>
      </c>
      <c r="CR377" s="24">
        <f>IF(CR369=1,'Lease Cycles'!$D$29*IF(INDEX('Lease Cycles'!$EF$29:$EL$29,1,CR367)=1,'Lease Cycles'!$AJ$29*INDEX('Lease Cycles'!$FO$29:$FU$29,1,CR367)*INDEX('Lease Cycles'!$EM$29:$ES$29,1,CR367)+'Lease Cycles'!$BE$29*IF(CR368&lt;INDEX('Lease Cycles'!$FA$29:$FG$29,1,CR367),0,1-INDEX('Lease Cycles'!$EM$29:$ES$29,1,CR367)),IF(OR(INDEX('Lease Cycles'!$DY$29:$EE$29,1,CR367)=1,CR368&gt;0),1,1-INDEX('Lease Cycles'!$DD$29:$DJ$29,1,CR367))*('Lease Cycles'!$AJ$29*INDEX('Lease Cycles'!$FO$29:$FU$29,1,CR367)+'Lease Cycles'!$BE$29*(1-INDEX('Lease Cycles'!$FO$29:$FU$29,1,CR367)))),0)</f>
        <v>0</v>
      </c>
      <c r="CS377" s="24">
        <f>IF(CS369=1,'Lease Cycles'!$D$29*IF(INDEX('Lease Cycles'!$EF$29:$EL$29,1,CS367)=1,'Lease Cycles'!$AJ$29*INDEX('Lease Cycles'!$FO$29:$FU$29,1,CS367)*INDEX('Lease Cycles'!$EM$29:$ES$29,1,CS367)+'Lease Cycles'!$BE$29*IF(CS368&lt;INDEX('Lease Cycles'!$FA$29:$FG$29,1,CS367),0,1-INDEX('Lease Cycles'!$EM$29:$ES$29,1,CS367)),IF(OR(INDEX('Lease Cycles'!$DY$29:$EE$29,1,CS367)=1,CS368&gt;0),1,1-INDEX('Lease Cycles'!$DD$29:$DJ$29,1,CS367))*('Lease Cycles'!$AJ$29*INDEX('Lease Cycles'!$FO$29:$FU$29,1,CS367)+'Lease Cycles'!$BE$29*(1-INDEX('Lease Cycles'!$FO$29:$FU$29,1,CS367)))),0)</f>
        <v>0</v>
      </c>
      <c r="CT377" s="24">
        <f>IF(CT369=1,'Lease Cycles'!$D$29*IF(INDEX('Lease Cycles'!$EF$29:$EL$29,1,CT367)=1,'Lease Cycles'!$AJ$29*INDEX('Lease Cycles'!$FO$29:$FU$29,1,CT367)*INDEX('Lease Cycles'!$EM$29:$ES$29,1,CT367)+'Lease Cycles'!$BE$29*IF(CT368&lt;INDEX('Lease Cycles'!$FA$29:$FG$29,1,CT367),0,1-INDEX('Lease Cycles'!$EM$29:$ES$29,1,CT367)),IF(OR(INDEX('Lease Cycles'!$DY$29:$EE$29,1,CT367)=1,CT368&gt;0),1,1-INDEX('Lease Cycles'!$DD$29:$DJ$29,1,CT367))*('Lease Cycles'!$AJ$29*INDEX('Lease Cycles'!$FO$29:$FU$29,1,CT367)+'Lease Cycles'!$BE$29*(1-INDEX('Lease Cycles'!$FO$29:$FU$29,1,CT367)))),0)</f>
        <v>0</v>
      </c>
      <c r="CU377" s="24">
        <f>IF(CU369=1,'Lease Cycles'!$D$29*IF(INDEX('Lease Cycles'!$EF$29:$EL$29,1,CU367)=1,'Lease Cycles'!$AJ$29*INDEX('Lease Cycles'!$FO$29:$FU$29,1,CU367)*INDEX('Lease Cycles'!$EM$29:$ES$29,1,CU367)+'Lease Cycles'!$BE$29*IF(CU368&lt;INDEX('Lease Cycles'!$FA$29:$FG$29,1,CU367),0,1-INDEX('Lease Cycles'!$EM$29:$ES$29,1,CU367)),IF(OR(INDEX('Lease Cycles'!$DY$29:$EE$29,1,CU367)=1,CU368&gt;0),1,1-INDEX('Lease Cycles'!$DD$29:$DJ$29,1,CU367))*('Lease Cycles'!$AJ$29*INDEX('Lease Cycles'!$FO$29:$FU$29,1,CU367)+'Lease Cycles'!$BE$29*(1-INDEX('Lease Cycles'!$FO$29:$FU$29,1,CU367)))),0)</f>
        <v>0</v>
      </c>
      <c r="CV377" s="24">
        <f>IF(CV369=1,'Lease Cycles'!$D$29*IF(INDEX('Lease Cycles'!$EF$29:$EL$29,1,CV367)=1,'Lease Cycles'!$AJ$29*INDEX('Lease Cycles'!$FO$29:$FU$29,1,CV367)*INDEX('Lease Cycles'!$EM$29:$ES$29,1,CV367)+'Lease Cycles'!$BE$29*IF(CV368&lt;INDEX('Lease Cycles'!$FA$29:$FG$29,1,CV367),0,1-INDEX('Lease Cycles'!$EM$29:$ES$29,1,CV367)),IF(OR(INDEX('Lease Cycles'!$DY$29:$EE$29,1,CV367)=1,CV368&gt;0),1,1-INDEX('Lease Cycles'!$DD$29:$DJ$29,1,CV367))*('Lease Cycles'!$AJ$29*INDEX('Lease Cycles'!$FO$29:$FU$29,1,CV367)+'Lease Cycles'!$BE$29*(1-INDEX('Lease Cycles'!$FO$29:$FU$29,1,CV367)))),0)</f>
        <v>0</v>
      </c>
      <c r="CW377" s="24">
        <f>IF(CW369=1,'Lease Cycles'!$D$29*IF(INDEX('Lease Cycles'!$EF$29:$EL$29,1,CW367)=1,'Lease Cycles'!$AJ$29*INDEX('Lease Cycles'!$FO$29:$FU$29,1,CW367)*INDEX('Lease Cycles'!$EM$29:$ES$29,1,CW367)+'Lease Cycles'!$BE$29*IF(CW368&lt;INDEX('Lease Cycles'!$FA$29:$FG$29,1,CW367),0,1-INDEX('Lease Cycles'!$EM$29:$ES$29,1,CW367)),IF(OR(INDEX('Lease Cycles'!$DY$29:$EE$29,1,CW367)=1,CW368&gt;0),1,1-INDEX('Lease Cycles'!$DD$29:$DJ$29,1,CW367))*('Lease Cycles'!$AJ$29*INDEX('Lease Cycles'!$FO$29:$FU$29,1,CW367)+'Lease Cycles'!$BE$29*(1-INDEX('Lease Cycles'!$FO$29:$FU$29,1,CW367)))),0)</f>
        <v>0</v>
      </c>
      <c r="CX377" s="24">
        <f>IF(CX369=1,'Lease Cycles'!$D$29*IF(INDEX('Lease Cycles'!$EF$29:$EL$29,1,CX367)=1,'Lease Cycles'!$AJ$29*INDEX('Lease Cycles'!$FO$29:$FU$29,1,CX367)*INDEX('Lease Cycles'!$EM$29:$ES$29,1,CX367)+'Lease Cycles'!$BE$29*IF(CX368&lt;INDEX('Lease Cycles'!$FA$29:$FG$29,1,CX367),0,1-INDEX('Lease Cycles'!$EM$29:$ES$29,1,CX367)),IF(OR(INDEX('Lease Cycles'!$DY$29:$EE$29,1,CX367)=1,CX368&gt;0),1,1-INDEX('Lease Cycles'!$DD$29:$DJ$29,1,CX367))*('Lease Cycles'!$AJ$29*INDEX('Lease Cycles'!$FO$29:$FU$29,1,CX367)+'Lease Cycles'!$BE$29*(1-INDEX('Lease Cycles'!$FO$29:$FU$29,1,CX367)))),0)</f>
        <v>0</v>
      </c>
      <c r="CY377" s="24">
        <f>IF(CY369=1,'Lease Cycles'!$D$29*IF(INDEX('Lease Cycles'!$EF$29:$EL$29,1,CY367)=1,'Lease Cycles'!$AJ$29*INDEX('Lease Cycles'!$FO$29:$FU$29,1,CY367)*INDEX('Lease Cycles'!$EM$29:$ES$29,1,CY367)+'Lease Cycles'!$BE$29*IF(CY368&lt;INDEX('Lease Cycles'!$FA$29:$FG$29,1,CY367),0,1-INDEX('Lease Cycles'!$EM$29:$ES$29,1,CY367)),IF(OR(INDEX('Lease Cycles'!$DY$29:$EE$29,1,CY367)=1,CY368&gt;0),1,1-INDEX('Lease Cycles'!$DD$29:$DJ$29,1,CY367))*('Lease Cycles'!$AJ$29*INDEX('Lease Cycles'!$FO$29:$FU$29,1,CY367)+'Lease Cycles'!$BE$29*(1-INDEX('Lease Cycles'!$FO$29:$FU$29,1,CY367)))),0)</f>
        <v>0</v>
      </c>
      <c r="CZ377" s="24">
        <f>IF(CZ369=1,'Lease Cycles'!$D$29*IF(INDEX('Lease Cycles'!$EF$29:$EL$29,1,CZ367)=1,'Lease Cycles'!$AJ$29*INDEX('Lease Cycles'!$FO$29:$FU$29,1,CZ367)*INDEX('Lease Cycles'!$EM$29:$ES$29,1,CZ367)+'Lease Cycles'!$BE$29*IF(CZ368&lt;INDEX('Lease Cycles'!$FA$29:$FG$29,1,CZ367),0,1-INDEX('Lease Cycles'!$EM$29:$ES$29,1,CZ367)),IF(OR(INDEX('Lease Cycles'!$DY$29:$EE$29,1,CZ367)=1,CZ368&gt;0),1,1-INDEX('Lease Cycles'!$DD$29:$DJ$29,1,CZ367))*('Lease Cycles'!$AJ$29*INDEX('Lease Cycles'!$FO$29:$FU$29,1,CZ367)+'Lease Cycles'!$BE$29*(1-INDEX('Lease Cycles'!$FO$29:$FU$29,1,CZ367)))),0)</f>
        <v>0</v>
      </c>
      <c r="DA377" s="24">
        <f>IF(DA369=1,'Lease Cycles'!$D$29*IF(INDEX('Lease Cycles'!$EF$29:$EL$29,1,DA367)=1,'Lease Cycles'!$AJ$29*INDEX('Lease Cycles'!$FO$29:$FU$29,1,DA367)*INDEX('Lease Cycles'!$EM$29:$ES$29,1,DA367)+'Lease Cycles'!$BE$29*IF(DA368&lt;INDEX('Lease Cycles'!$FA$29:$FG$29,1,DA367),0,1-INDEX('Lease Cycles'!$EM$29:$ES$29,1,DA367)),IF(OR(INDEX('Lease Cycles'!$DY$29:$EE$29,1,DA367)=1,DA368&gt;0),1,1-INDEX('Lease Cycles'!$DD$29:$DJ$29,1,DA367))*('Lease Cycles'!$AJ$29*INDEX('Lease Cycles'!$FO$29:$FU$29,1,DA367)+'Lease Cycles'!$BE$29*(1-INDEX('Lease Cycles'!$FO$29:$FU$29,1,DA367)))),0)</f>
        <v>0</v>
      </c>
      <c r="DB377" s="24">
        <f>IF(DB369=1,'Lease Cycles'!$D$29*IF(INDEX('Lease Cycles'!$EF$29:$EL$29,1,DB367)=1,'Lease Cycles'!$AJ$29*INDEX('Lease Cycles'!$FO$29:$FU$29,1,DB367)*INDEX('Lease Cycles'!$EM$29:$ES$29,1,DB367)+'Lease Cycles'!$BE$29*IF(DB368&lt;INDEX('Lease Cycles'!$FA$29:$FG$29,1,DB367),0,1-INDEX('Lease Cycles'!$EM$29:$ES$29,1,DB367)),IF(OR(INDEX('Lease Cycles'!$DY$29:$EE$29,1,DB367)=1,DB368&gt;0),1,1-INDEX('Lease Cycles'!$DD$29:$DJ$29,1,DB367))*('Lease Cycles'!$AJ$29*INDEX('Lease Cycles'!$FO$29:$FU$29,1,DB367)+'Lease Cycles'!$BE$29*(1-INDEX('Lease Cycles'!$FO$29:$FU$29,1,DB367)))),0)</f>
        <v>0</v>
      </c>
      <c r="DC377" s="24">
        <f>IF(DC369=1,'Lease Cycles'!$D$29*IF(INDEX('Lease Cycles'!$EF$29:$EL$29,1,DC367)=1,'Lease Cycles'!$AJ$29*INDEX('Lease Cycles'!$FO$29:$FU$29,1,DC367)*INDEX('Lease Cycles'!$EM$29:$ES$29,1,DC367)+'Lease Cycles'!$BE$29*IF(DC368&lt;INDEX('Lease Cycles'!$FA$29:$FG$29,1,DC367),0,1-INDEX('Lease Cycles'!$EM$29:$ES$29,1,DC367)),IF(OR(INDEX('Lease Cycles'!$DY$29:$EE$29,1,DC367)=1,DC368&gt;0),1,1-INDEX('Lease Cycles'!$DD$29:$DJ$29,1,DC367))*('Lease Cycles'!$AJ$29*INDEX('Lease Cycles'!$FO$29:$FU$29,1,DC367)+'Lease Cycles'!$BE$29*(1-INDEX('Lease Cycles'!$FO$29:$FU$29,1,DC367)))),0)</f>
        <v>0</v>
      </c>
      <c r="DD377" s="24">
        <f>IF(DD369=1,'Lease Cycles'!$D$29*IF(INDEX('Lease Cycles'!$EF$29:$EL$29,1,DD367)=1,'Lease Cycles'!$AJ$29*INDEX('Lease Cycles'!$FO$29:$FU$29,1,DD367)*INDEX('Lease Cycles'!$EM$29:$ES$29,1,DD367)+'Lease Cycles'!$BE$29*IF(DD368&lt;INDEX('Lease Cycles'!$FA$29:$FG$29,1,DD367),0,1-INDEX('Lease Cycles'!$EM$29:$ES$29,1,DD367)),IF(OR(INDEX('Lease Cycles'!$DY$29:$EE$29,1,DD367)=1,DD368&gt;0),1,1-INDEX('Lease Cycles'!$DD$29:$DJ$29,1,DD367))*('Lease Cycles'!$AJ$29*INDEX('Lease Cycles'!$FO$29:$FU$29,1,DD367)+'Lease Cycles'!$BE$29*(1-INDEX('Lease Cycles'!$FO$29:$FU$29,1,DD367)))),0)</f>
        <v>0</v>
      </c>
      <c r="DE377" s="24">
        <f>IF(DE369=1,'Lease Cycles'!$D$29*IF(INDEX('Lease Cycles'!$EF$29:$EL$29,1,DE367)=1,'Lease Cycles'!$AJ$29*INDEX('Lease Cycles'!$FO$29:$FU$29,1,DE367)*INDEX('Lease Cycles'!$EM$29:$ES$29,1,DE367)+'Lease Cycles'!$BE$29*IF(DE368&lt;INDEX('Lease Cycles'!$FA$29:$FG$29,1,DE367),0,1-INDEX('Lease Cycles'!$EM$29:$ES$29,1,DE367)),IF(OR(INDEX('Lease Cycles'!$DY$29:$EE$29,1,DE367)=1,DE368&gt;0),1,1-INDEX('Lease Cycles'!$DD$29:$DJ$29,1,DE367))*('Lease Cycles'!$AJ$29*INDEX('Lease Cycles'!$FO$29:$FU$29,1,DE367)+'Lease Cycles'!$BE$29*(1-INDEX('Lease Cycles'!$FO$29:$FU$29,1,DE367)))),0)</f>
        <v>0</v>
      </c>
      <c r="DF377" s="24">
        <f>IF(DF369=1,'Lease Cycles'!$D$29*IF(INDEX('Lease Cycles'!$EF$29:$EL$29,1,DF367)=1,'Lease Cycles'!$AJ$29*INDEX('Lease Cycles'!$FO$29:$FU$29,1,DF367)*INDEX('Lease Cycles'!$EM$29:$ES$29,1,DF367)+'Lease Cycles'!$BE$29*IF(DF368&lt;INDEX('Lease Cycles'!$FA$29:$FG$29,1,DF367),0,1-INDEX('Lease Cycles'!$EM$29:$ES$29,1,DF367)),IF(OR(INDEX('Lease Cycles'!$DY$29:$EE$29,1,DF367)=1,DF368&gt;0),1,1-INDEX('Lease Cycles'!$DD$29:$DJ$29,1,DF367))*('Lease Cycles'!$AJ$29*INDEX('Lease Cycles'!$FO$29:$FU$29,1,DF367)+'Lease Cycles'!$BE$29*(1-INDEX('Lease Cycles'!$FO$29:$FU$29,1,DF367)))),0)</f>
        <v>0</v>
      </c>
      <c r="DG377" s="24">
        <f>IF(DG369=1,'Lease Cycles'!$D$29*IF(INDEX('Lease Cycles'!$EF$29:$EL$29,1,DG367)=1,'Lease Cycles'!$AJ$29*INDEX('Lease Cycles'!$FO$29:$FU$29,1,DG367)*INDEX('Lease Cycles'!$EM$29:$ES$29,1,DG367)+'Lease Cycles'!$BE$29*IF(DG368&lt;INDEX('Lease Cycles'!$FA$29:$FG$29,1,DG367),0,1-INDEX('Lease Cycles'!$EM$29:$ES$29,1,DG367)),IF(OR(INDEX('Lease Cycles'!$DY$29:$EE$29,1,DG367)=1,DG368&gt;0),1,1-INDEX('Lease Cycles'!$DD$29:$DJ$29,1,DG367))*('Lease Cycles'!$AJ$29*INDEX('Lease Cycles'!$FO$29:$FU$29,1,DG367)+'Lease Cycles'!$BE$29*(1-INDEX('Lease Cycles'!$FO$29:$FU$29,1,DG367)))),0)</f>
        <v>0</v>
      </c>
      <c r="DH377" s="24">
        <f>IF(DH369=1,'Lease Cycles'!$D$29*IF(INDEX('Lease Cycles'!$EF$29:$EL$29,1,DH367)=1,'Lease Cycles'!$AJ$29*INDEX('Lease Cycles'!$FO$29:$FU$29,1,DH367)*INDEX('Lease Cycles'!$EM$29:$ES$29,1,DH367)+'Lease Cycles'!$BE$29*IF(DH368&lt;INDEX('Lease Cycles'!$FA$29:$FG$29,1,DH367),0,1-INDEX('Lease Cycles'!$EM$29:$ES$29,1,DH367)),IF(OR(INDEX('Lease Cycles'!$DY$29:$EE$29,1,DH367)=1,DH368&gt;0),1,1-INDEX('Lease Cycles'!$DD$29:$DJ$29,1,DH367))*('Lease Cycles'!$AJ$29*INDEX('Lease Cycles'!$FO$29:$FU$29,1,DH367)+'Lease Cycles'!$BE$29*(1-INDEX('Lease Cycles'!$FO$29:$FU$29,1,DH367)))),0)</f>
        <v>0</v>
      </c>
      <c r="DI377" s="24">
        <f>IF(DI369=1,'Lease Cycles'!$D$29*IF(INDEX('Lease Cycles'!$EF$29:$EL$29,1,DI367)=1,'Lease Cycles'!$AJ$29*INDEX('Lease Cycles'!$FO$29:$FU$29,1,DI367)*INDEX('Lease Cycles'!$EM$29:$ES$29,1,DI367)+'Lease Cycles'!$BE$29*IF(DI368&lt;INDEX('Lease Cycles'!$FA$29:$FG$29,1,DI367),0,1-INDEX('Lease Cycles'!$EM$29:$ES$29,1,DI367)),IF(OR(INDEX('Lease Cycles'!$DY$29:$EE$29,1,DI367)=1,DI368&gt;0),1,1-INDEX('Lease Cycles'!$DD$29:$DJ$29,1,DI367))*('Lease Cycles'!$AJ$29*INDEX('Lease Cycles'!$FO$29:$FU$29,1,DI367)+'Lease Cycles'!$BE$29*(1-INDEX('Lease Cycles'!$FO$29:$FU$29,1,DI367)))),0)</f>
        <v>0</v>
      </c>
      <c r="DJ377" s="24">
        <f>IF(DJ369=1,'Lease Cycles'!$D$29*IF(INDEX('Lease Cycles'!$EF$29:$EL$29,1,DJ367)=1,'Lease Cycles'!$AJ$29*INDEX('Lease Cycles'!$FO$29:$FU$29,1,DJ367)*INDEX('Lease Cycles'!$EM$29:$ES$29,1,DJ367)+'Lease Cycles'!$BE$29*IF(DJ368&lt;INDEX('Lease Cycles'!$FA$29:$FG$29,1,DJ367),0,1-INDEX('Lease Cycles'!$EM$29:$ES$29,1,DJ367)),IF(OR(INDEX('Lease Cycles'!$DY$29:$EE$29,1,DJ367)=1,DJ368&gt;0),1,1-INDEX('Lease Cycles'!$DD$29:$DJ$29,1,DJ367))*('Lease Cycles'!$AJ$29*INDEX('Lease Cycles'!$FO$29:$FU$29,1,DJ367)+'Lease Cycles'!$BE$29*(1-INDEX('Lease Cycles'!$FO$29:$FU$29,1,DJ367)))),0)</f>
        <v>0</v>
      </c>
      <c r="DK377" s="24">
        <f>IF(DK369=1,'Lease Cycles'!$D$29*IF(INDEX('Lease Cycles'!$EF$29:$EL$29,1,DK367)=1,'Lease Cycles'!$AJ$29*INDEX('Lease Cycles'!$FO$29:$FU$29,1,DK367)*INDEX('Lease Cycles'!$EM$29:$ES$29,1,DK367)+'Lease Cycles'!$BE$29*IF(DK368&lt;INDEX('Lease Cycles'!$FA$29:$FG$29,1,DK367),0,1-INDEX('Lease Cycles'!$EM$29:$ES$29,1,DK367)),IF(OR(INDEX('Lease Cycles'!$DY$29:$EE$29,1,DK367)=1,DK368&gt;0),1,1-INDEX('Lease Cycles'!$DD$29:$DJ$29,1,DK367))*('Lease Cycles'!$AJ$29*INDEX('Lease Cycles'!$FO$29:$FU$29,1,DK367)+'Lease Cycles'!$BE$29*(1-INDEX('Lease Cycles'!$FO$29:$FU$29,1,DK367)))),0)</f>
        <v>0</v>
      </c>
      <c r="DL377" s="24">
        <f>IF(DL369=1,'Lease Cycles'!$D$29*IF(INDEX('Lease Cycles'!$EF$29:$EL$29,1,DL367)=1,'Lease Cycles'!$AJ$29*INDEX('Lease Cycles'!$FO$29:$FU$29,1,DL367)*INDEX('Lease Cycles'!$EM$29:$ES$29,1,DL367)+'Lease Cycles'!$BE$29*IF(DL368&lt;INDEX('Lease Cycles'!$FA$29:$FG$29,1,DL367),0,1-INDEX('Lease Cycles'!$EM$29:$ES$29,1,DL367)),IF(OR(INDEX('Lease Cycles'!$DY$29:$EE$29,1,DL367)=1,DL368&gt;0),1,1-INDEX('Lease Cycles'!$DD$29:$DJ$29,1,DL367))*('Lease Cycles'!$AJ$29*INDEX('Lease Cycles'!$FO$29:$FU$29,1,DL367)+'Lease Cycles'!$BE$29*(1-INDEX('Lease Cycles'!$FO$29:$FU$29,1,DL367)))),0)</f>
        <v>0</v>
      </c>
      <c r="DM377" s="24">
        <f>IF(DM369=1,'Lease Cycles'!$D$29*IF(INDEX('Lease Cycles'!$EF$29:$EL$29,1,DM367)=1,'Lease Cycles'!$AJ$29*INDEX('Lease Cycles'!$FO$29:$FU$29,1,DM367)*INDEX('Lease Cycles'!$EM$29:$ES$29,1,DM367)+'Lease Cycles'!$BE$29*IF(DM368&lt;INDEX('Lease Cycles'!$FA$29:$FG$29,1,DM367),0,1-INDEX('Lease Cycles'!$EM$29:$ES$29,1,DM367)),IF(OR(INDEX('Lease Cycles'!$DY$29:$EE$29,1,DM367)=1,DM368&gt;0),1,1-INDEX('Lease Cycles'!$DD$29:$DJ$29,1,DM367))*('Lease Cycles'!$AJ$29*INDEX('Lease Cycles'!$FO$29:$FU$29,1,DM367)+'Lease Cycles'!$BE$29*(1-INDEX('Lease Cycles'!$FO$29:$FU$29,1,DM367)))),0)</f>
        <v>0</v>
      </c>
      <c r="DN377" s="24">
        <f>IF(DN369=1,'Lease Cycles'!$D$29*IF(INDEX('Lease Cycles'!$EF$29:$EL$29,1,DN367)=1,'Lease Cycles'!$AJ$29*INDEX('Lease Cycles'!$FO$29:$FU$29,1,DN367)*INDEX('Lease Cycles'!$EM$29:$ES$29,1,DN367)+'Lease Cycles'!$BE$29*IF(DN368&lt;INDEX('Lease Cycles'!$FA$29:$FG$29,1,DN367),0,1-INDEX('Lease Cycles'!$EM$29:$ES$29,1,DN367)),IF(OR(INDEX('Lease Cycles'!$DY$29:$EE$29,1,DN367)=1,DN368&gt;0),1,1-INDEX('Lease Cycles'!$DD$29:$DJ$29,1,DN367))*('Lease Cycles'!$AJ$29*INDEX('Lease Cycles'!$FO$29:$FU$29,1,DN367)+'Lease Cycles'!$BE$29*(1-INDEX('Lease Cycles'!$FO$29:$FU$29,1,DN367)))),0)</f>
        <v>0</v>
      </c>
      <c r="DO377" s="24">
        <f>IF(DO369=1,'Lease Cycles'!$D$29*IF(INDEX('Lease Cycles'!$EF$29:$EL$29,1,DO367)=1,'Lease Cycles'!$AJ$29*INDEX('Lease Cycles'!$FO$29:$FU$29,1,DO367)*INDEX('Lease Cycles'!$EM$29:$ES$29,1,DO367)+'Lease Cycles'!$BE$29*IF(DO368&lt;INDEX('Lease Cycles'!$FA$29:$FG$29,1,DO367),0,1-INDEX('Lease Cycles'!$EM$29:$ES$29,1,DO367)),IF(OR(INDEX('Lease Cycles'!$DY$29:$EE$29,1,DO367)=1,DO368&gt;0),1,1-INDEX('Lease Cycles'!$DD$29:$DJ$29,1,DO367))*('Lease Cycles'!$AJ$29*INDEX('Lease Cycles'!$FO$29:$FU$29,1,DO367)+'Lease Cycles'!$BE$29*(1-INDEX('Lease Cycles'!$FO$29:$FU$29,1,DO367)))),0)</f>
        <v>0</v>
      </c>
      <c r="DP377" s="24">
        <f>IF(DP369=1,'Lease Cycles'!$D$29*IF(INDEX('Lease Cycles'!$EF$29:$EL$29,1,DP367)=1,'Lease Cycles'!$AJ$29*INDEX('Lease Cycles'!$FO$29:$FU$29,1,DP367)*INDEX('Lease Cycles'!$EM$29:$ES$29,1,DP367)+'Lease Cycles'!$BE$29*IF(DP368&lt;INDEX('Lease Cycles'!$FA$29:$FG$29,1,DP367),0,1-INDEX('Lease Cycles'!$EM$29:$ES$29,1,DP367)),IF(OR(INDEX('Lease Cycles'!$DY$29:$EE$29,1,DP367)=1,DP368&gt;0),1,1-INDEX('Lease Cycles'!$DD$29:$DJ$29,1,DP367))*('Lease Cycles'!$AJ$29*INDEX('Lease Cycles'!$FO$29:$FU$29,1,DP367)+'Lease Cycles'!$BE$29*(1-INDEX('Lease Cycles'!$FO$29:$FU$29,1,DP367)))),0)</f>
        <v>0</v>
      </c>
      <c r="DQ377" s="24">
        <f>IF(DQ369=1,'Lease Cycles'!$D$29*IF(INDEX('Lease Cycles'!$EF$29:$EL$29,1,DQ367)=1,'Lease Cycles'!$AJ$29*INDEX('Lease Cycles'!$FO$29:$FU$29,1,DQ367)*INDEX('Lease Cycles'!$EM$29:$ES$29,1,DQ367)+'Lease Cycles'!$BE$29*IF(DQ368&lt;INDEX('Lease Cycles'!$FA$29:$FG$29,1,DQ367),0,1-INDEX('Lease Cycles'!$EM$29:$ES$29,1,DQ367)),IF(OR(INDEX('Lease Cycles'!$DY$29:$EE$29,1,DQ367)=1,DQ368&gt;0),1,1-INDEX('Lease Cycles'!$DD$29:$DJ$29,1,DQ367))*('Lease Cycles'!$AJ$29*INDEX('Lease Cycles'!$FO$29:$FU$29,1,DQ367)+'Lease Cycles'!$BE$29*(1-INDEX('Lease Cycles'!$FO$29:$FU$29,1,DQ367)))),0)</f>
        <v>0</v>
      </c>
      <c r="DR377" s="24">
        <f>IF(DR369=1,'Lease Cycles'!$D$29*IF(INDEX('Lease Cycles'!$EF$29:$EL$29,1,DR367)=1,'Lease Cycles'!$AJ$29*INDEX('Lease Cycles'!$FO$29:$FU$29,1,DR367)*INDEX('Lease Cycles'!$EM$29:$ES$29,1,DR367)+'Lease Cycles'!$BE$29*IF(DR368&lt;INDEX('Lease Cycles'!$FA$29:$FG$29,1,DR367),0,1-INDEX('Lease Cycles'!$EM$29:$ES$29,1,DR367)),IF(OR(INDEX('Lease Cycles'!$DY$29:$EE$29,1,DR367)=1,DR368&gt;0),1,1-INDEX('Lease Cycles'!$DD$29:$DJ$29,1,DR367))*('Lease Cycles'!$AJ$29*INDEX('Lease Cycles'!$FO$29:$FU$29,1,DR367)+'Lease Cycles'!$BE$29*(1-INDEX('Lease Cycles'!$FO$29:$FU$29,1,DR367)))),0)</f>
        <v>0</v>
      </c>
      <c r="DS377" s="24">
        <f>IF(DS369=1,'Lease Cycles'!$D$29*IF(INDEX('Lease Cycles'!$EF$29:$EL$29,1,DS367)=1,'Lease Cycles'!$AJ$29*INDEX('Lease Cycles'!$FO$29:$FU$29,1,DS367)*INDEX('Lease Cycles'!$EM$29:$ES$29,1,DS367)+'Lease Cycles'!$BE$29*IF(DS368&lt;INDEX('Lease Cycles'!$FA$29:$FG$29,1,DS367),0,1-INDEX('Lease Cycles'!$EM$29:$ES$29,1,DS367)),IF(OR(INDEX('Lease Cycles'!$DY$29:$EE$29,1,DS367)=1,DS368&gt;0),1,1-INDEX('Lease Cycles'!$DD$29:$DJ$29,1,DS367))*('Lease Cycles'!$AJ$29*INDEX('Lease Cycles'!$FO$29:$FU$29,1,DS367)+'Lease Cycles'!$BE$29*(1-INDEX('Lease Cycles'!$FO$29:$FU$29,1,DS367)))),0)</f>
        <v>0</v>
      </c>
      <c r="DT377" s="24">
        <f>IF(DT369=1,'Lease Cycles'!$D$29*IF(INDEX('Lease Cycles'!$EF$29:$EL$29,1,DT367)=1,'Lease Cycles'!$AJ$29*INDEX('Lease Cycles'!$FO$29:$FU$29,1,DT367)*INDEX('Lease Cycles'!$EM$29:$ES$29,1,DT367)+'Lease Cycles'!$BE$29*IF(DT368&lt;INDEX('Lease Cycles'!$FA$29:$FG$29,1,DT367),0,1-INDEX('Lease Cycles'!$EM$29:$ES$29,1,DT367)),IF(OR(INDEX('Lease Cycles'!$DY$29:$EE$29,1,DT367)=1,DT368&gt;0),1,1-INDEX('Lease Cycles'!$DD$29:$DJ$29,1,DT367))*('Lease Cycles'!$AJ$29*INDEX('Lease Cycles'!$FO$29:$FU$29,1,DT367)+'Lease Cycles'!$BE$29*(1-INDEX('Lease Cycles'!$FO$29:$FU$29,1,DT367)))),0)</f>
        <v>0</v>
      </c>
      <c r="DU377" s="24">
        <f>IF(DU369=1,'Lease Cycles'!$D$29*IF(INDEX('Lease Cycles'!$EF$29:$EL$29,1,DU367)=1,'Lease Cycles'!$AJ$29*INDEX('Lease Cycles'!$FO$29:$FU$29,1,DU367)*INDEX('Lease Cycles'!$EM$29:$ES$29,1,DU367)+'Lease Cycles'!$BE$29*IF(DU368&lt;INDEX('Lease Cycles'!$FA$29:$FG$29,1,DU367),0,1-INDEX('Lease Cycles'!$EM$29:$ES$29,1,DU367)),IF(OR(INDEX('Lease Cycles'!$DY$29:$EE$29,1,DU367)=1,DU368&gt;0),1,1-INDEX('Lease Cycles'!$DD$29:$DJ$29,1,DU367))*('Lease Cycles'!$AJ$29*INDEX('Lease Cycles'!$FO$29:$FU$29,1,DU367)+'Lease Cycles'!$BE$29*(1-INDEX('Lease Cycles'!$FO$29:$FU$29,1,DU367)))),0)</f>
        <v>0</v>
      </c>
      <c r="DV377" s="24">
        <f>IF(DV369=1,'Lease Cycles'!$D$29*IF(INDEX('Lease Cycles'!$EF$29:$EL$29,1,DV367)=1,'Lease Cycles'!$AJ$29*INDEX('Lease Cycles'!$FO$29:$FU$29,1,DV367)*INDEX('Lease Cycles'!$EM$29:$ES$29,1,DV367)+'Lease Cycles'!$BE$29*IF(DV368&lt;INDEX('Lease Cycles'!$FA$29:$FG$29,1,DV367),0,1-INDEX('Lease Cycles'!$EM$29:$ES$29,1,DV367)),IF(OR(INDEX('Lease Cycles'!$DY$29:$EE$29,1,DV367)=1,DV368&gt;0),1,1-INDEX('Lease Cycles'!$DD$29:$DJ$29,1,DV367))*('Lease Cycles'!$AJ$29*INDEX('Lease Cycles'!$FO$29:$FU$29,1,DV367)+'Lease Cycles'!$BE$29*(1-INDEX('Lease Cycles'!$FO$29:$FU$29,1,DV367)))),0)</f>
        <v>0</v>
      </c>
      <c r="DW377" s="24">
        <f>IF(DW369=1,'Lease Cycles'!$D$29*IF(INDEX('Lease Cycles'!$EF$29:$EL$29,1,DW367)=1,'Lease Cycles'!$AJ$29*INDEX('Lease Cycles'!$FO$29:$FU$29,1,DW367)*INDEX('Lease Cycles'!$EM$29:$ES$29,1,DW367)+'Lease Cycles'!$BE$29*IF(DW368&lt;INDEX('Lease Cycles'!$FA$29:$FG$29,1,DW367),0,1-INDEX('Lease Cycles'!$EM$29:$ES$29,1,DW367)),IF(OR(INDEX('Lease Cycles'!$DY$29:$EE$29,1,DW367)=1,DW368&gt;0),1,1-INDEX('Lease Cycles'!$DD$29:$DJ$29,1,DW367))*('Lease Cycles'!$AJ$29*INDEX('Lease Cycles'!$FO$29:$FU$29,1,DW367)+'Lease Cycles'!$BE$29*(1-INDEX('Lease Cycles'!$FO$29:$FU$29,1,DW367)))),0)</f>
        <v>0</v>
      </c>
      <c r="DX377" s="24">
        <f>IF(DX369=1,'Lease Cycles'!$D$29*IF(INDEX('Lease Cycles'!$EF$29:$EL$29,1,DX367)=1,'Lease Cycles'!$AJ$29*INDEX('Lease Cycles'!$FO$29:$FU$29,1,DX367)*INDEX('Lease Cycles'!$EM$29:$ES$29,1,DX367)+'Lease Cycles'!$BE$29*IF(DX368&lt;INDEX('Lease Cycles'!$FA$29:$FG$29,1,DX367),0,1-INDEX('Lease Cycles'!$EM$29:$ES$29,1,DX367)),IF(OR(INDEX('Lease Cycles'!$DY$29:$EE$29,1,DX367)=1,DX368&gt;0),1,1-INDEX('Lease Cycles'!$DD$29:$DJ$29,1,DX367))*('Lease Cycles'!$AJ$29*INDEX('Lease Cycles'!$FO$29:$FU$29,1,DX367)+'Lease Cycles'!$BE$29*(1-INDEX('Lease Cycles'!$FO$29:$FU$29,1,DX367)))),0)</f>
        <v>0</v>
      </c>
      <c r="DY377" s="24">
        <f>IF(DY369=1,'Lease Cycles'!$D$29*IF(INDEX('Lease Cycles'!$EF$29:$EL$29,1,DY367)=1,'Lease Cycles'!$AJ$29*INDEX('Lease Cycles'!$FO$29:$FU$29,1,DY367)*INDEX('Lease Cycles'!$EM$29:$ES$29,1,DY367)+'Lease Cycles'!$BE$29*IF(DY368&lt;INDEX('Lease Cycles'!$FA$29:$FG$29,1,DY367),0,1-INDEX('Lease Cycles'!$EM$29:$ES$29,1,DY367)),IF(OR(INDEX('Lease Cycles'!$DY$29:$EE$29,1,DY367)=1,DY368&gt;0),1,1-INDEX('Lease Cycles'!$DD$29:$DJ$29,1,DY367))*('Lease Cycles'!$AJ$29*INDEX('Lease Cycles'!$FO$29:$FU$29,1,DY367)+'Lease Cycles'!$BE$29*(1-INDEX('Lease Cycles'!$FO$29:$FU$29,1,DY367)))),0)</f>
        <v>0</v>
      </c>
      <c r="DZ377" s="24">
        <f>IF(DZ369=1,'Lease Cycles'!$D$29*IF(INDEX('Lease Cycles'!$EF$29:$EL$29,1,DZ367)=1,'Lease Cycles'!$AJ$29*INDEX('Lease Cycles'!$FO$29:$FU$29,1,DZ367)*INDEX('Lease Cycles'!$EM$29:$ES$29,1,DZ367)+'Lease Cycles'!$BE$29*IF(DZ368&lt;INDEX('Lease Cycles'!$FA$29:$FG$29,1,DZ367),0,1-INDEX('Lease Cycles'!$EM$29:$ES$29,1,DZ367)),IF(OR(INDEX('Lease Cycles'!$DY$29:$EE$29,1,DZ367)=1,DZ368&gt;0),1,1-INDEX('Lease Cycles'!$DD$29:$DJ$29,1,DZ367))*('Lease Cycles'!$AJ$29*INDEX('Lease Cycles'!$FO$29:$FU$29,1,DZ367)+'Lease Cycles'!$BE$29*(1-INDEX('Lease Cycles'!$FO$29:$FU$29,1,DZ367)))),0)</f>
        <v>0</v>
      </c>
      <c r="EA377" s="24">
        <f>IF(EA369=1,'Lease Cycles'!$D$29*IF(INDEX('Lease Cycles'!$EF$29:$EL$29,1,EA367)=1,'Lease Cycles'!$AJ$29*INDEX('Lease Cycles'!$FO$29:$FU$29,1,EA367)*INDEX('Lease Cycles'!$EM$29:$ES$29,1,EA367)+'Lease Cycles'!$BE$29*IF(EA368&lt;INDEX('Lease Cycles'!$FA$29:$FG$29,1,EA367),0,1-INDEX('Lease Cycles'!$EM$29:$ES$29,1,EA367)),IF(OR(INDEX('Lease Cycles'!$DY$29:$EE$29,1,EA367)=1,EA368&gt;0),1,1-INDEX('Lease Cycles'!$DD$29:$DJ$29,1,EA367))*('Lease Cycles'!$AJ$29*INDEX('Lease Cycles'!$FO$29:$FU$29,1,EA367)+'Lease Cycles'!$BE$29*(1-INDEX('Lease Cycles'!$FO$29:$FU$29,1,EA367)))),0)</f>
        <v>0</v>
      </c>
      <c r="EB377" s="24">
        <f>IF(EB369=1,'Lease Cycles'!$D$29*IF(INDEX('Lease Cycles'!$EF$29:$EL$29,1,EB367)=1,'Lease Cycles'!$AJ$29*INDEX('Lease Cycles'!$FO$29:$FU$29,1,EB367)*INDEX('Lease Cycles'!$EM$29:$ES$29,1,EB367)+'Lease Cycles'!$BE$29*IF(EB368&lt;INDEX('Lease Cycles'!$FA$29:$FG$29,1,EB367),0,1-INDEX('Lease Cycles'!$EM$29:$ES$29,1,EB367)),IF(OR(INDEX('Lease Cycles'!$DY$29:$EE$29,1,EB367)=1,EB368&gt;0),1,1-INDEX('Lease Cycles'!$DD$29:$DJ$29,1,EB367))*('Lease Cycles'!$AJ$29*INDEX('Lease Cycles'!$FO$29:$FU$29,1,EB367)+'Lease Cycles'!$BE$29*(1-INDEX('Lease Cycles'!$FO$29:$FU$29,1,EB367)))),0)</f>
        <v>0</v>
      </c>
      <c r="EC377" s="24">
        <f>IF(EC369=1,'Lease Cycles'!$D$29*IF(INDEX('Lease Cycles'!$EF$29:$EL$29,1,EC367)=1,'Lease Cycles'!$AJ$29*INDEX('Lease Cycles'!$FO$29:$FU$29,1,EC367)*INDEX('Lease Cycles'!$EM$29:$ES$29,1,EC367)+'Lease Cycles'!$BE$29*IF(EC368&lt;INDEX('Lease Cycles'!$FA$29:$FG$29,1,EC367),0,1-INDEX('Lease Cycles'!$EM$29:$ES$29,1,EC367)),IF(OR(INDEX('Lease Cycles'!$DY$29:$EE$29,1,EC367)=1,EC368&gt;0),1,1-INDEX('Lease Cycles'!$DD$29:$DJ$29,1,EC367))*('Lease Cycles'!$AJ$29*INDEX('Lease Cycles'!$FO$29:$FU$29,1,EC367)+'Lease Cycles'!$BE$29*(1-INDEX('Lease Cycles'!$FO$29:$FU$29,1,EC367)))),0)</f>
        <v>0</v>
      </c>
      <c r="ED377" s="24">
        <f>IF(ED369=1,'Lease Cycles'!$D$29*IF(INDEX('Lease Cycles'!$EF$29:$EL$29,1,ED367)=1,'Lease Cycles'!$AJ$29*INDEX('Lease Cycles'!$FO$29:$FU$29,1,ED367)*INDEX('Lease Cycles'!$EM$29:$ES$29,1,ED367)+'Lease Cycles'!$BE$29*IF(ED368&lt;INDEX('Lease Cycles'!$FA$29:$FG$29,1,ED367),0,1-INDEX('Lease Cycles'!$EM$29:$ES$29,1,ED367)),IF(OR(INDEX('Lease Cycles'!$DY$29:$EE$29,1,ED367)=1,ED368&gt;0),1,1-INDEX('Lease Cycles'!$DD$29:$DJ$29,1,ED367))*('Lease Cycles'!$AJ$29*INDEX('Lease Cycles'!$FO$29:$FU$29,1,ED367)+'Lease Cycles'!$BE$29*(1-INDEX('Lease Cycles'!$FO$29:$FU$29,1,ED367)))),0)</f>
        <v>0</v>
      </c>
      <c r="EE377" s="24">
        <f>IF(EE369=1,'Lease Cycles'!$D$29*IF(INDEX('Lease Cycles'!$EF$29:$EL$29,1,EE367)=1,'Lease Cycles'!$AJ$29*INDEX('Lease Cycles'!$FO$29:$FU$29,1,EE367)*INDEX('Lease Cycles'!$EM$29:$ES$29,1,EE367)+'Lease Cycles'!$BE$29*IF(EE368&lt;INDEX('Lease Cycles'!$FA$29:$FG$29,1,EE367),0,1-INDEX('Lease Cycles'!$EM$29:$ES$29,1,EE367)),IF(OR(INDEX('Lease Cycles'!$DY$29:$EE$29,1,EE367)=1,EE368&gt;0),1,1-INDEX('Lease Cycles'!$DD$29:$DJ$29,1,EE367))*('Lease Cycles'!$AJ$29*INDEX('Lease Cycles'!$FO$29:$FU$29,1,EE367)+'Lease Cycles'!$BE$29*(1-INDEX('Lease Cycles'!$FO$29:$FU$29,1,EE367)))),0)</f>
        <v>0</v>
      </c>
      <c r="EF377" s="24">
        <f>IF(EF369=1,'Lease Cycles'!$D$29*IF(INDEX('Lease Cycles'!$EF$29:$EL$29,1,EF367)=1,'Lease Cycles'!$AJ$29*INDEX('Lease Cycles'!$FO$29:$FU$29,1,EF367)*INDEX('Lease Cycles'!$EM$29:$ES$29,1,EF367)+'Lease Cycles'!$BE$29*IF(EF368&lt;INDEX('Lease Cycles'!$FA$29:$FG$29,1,EF367),0,1-INDEX('Lease Cycles'!$EM$29:$ES$29,1,EF367)),IF(OR(INDEX('Lease Cycles'!$DY$29:$EE$29,1,EF367)=1,EF368&gt;0),1,1-INDEX('Lease Cycles'!$DD$29:$DJ$29,1,EF367))*('Lease Cycles'!$AJ$29*INDEX('Lease Cycles'!$FO$29:$FU$29,1,EF367)+'Lease Cycles'!$BE$29*(1-INDEX('Lease Cycles'!$FO$29:$FU$29,1,EF367)))),0)</f>
        <v>0</v>
      </c>
      <c r="EG377" s="24">
        <f>IF(EG369=1,'Lease Cycles'!$D$29*IF(INDEX('Lease Cycles'!$EF$29:$EL$29,1,EG367)=1,'Lease Cycles'!$AJ$29*INDEX('Lease Cycles'!$FO$29:$FU$29,1,EG367)*INDEX('Lease Cycles'!$EM$29:$ES$29,1,EG367)+'Lease Cycles'!$BE$29*IF(EG368&lt;INDEX('Lease Cycles'!$FA$29:$FG$29,1,EG367),0,1-INDEX('Lease Cycles'!$EM$29:$ES$29,1,EG367)),IF(OR(INDEX('Lease Cycles'!$DY$29:$EE$29,1,EG367)=1,EG368&gt;0),1,1-INDEX('Lease Cycles'!$DD$29:$DJ$29,1,EG367))*('Lease Cycles'!$AJ$29*INDEX('Lease Cycles'!$FO$29:$FU$29,1,EG367)+'Lease Cycles'!$BE$29*(1-INDEX('Lease Cycles'!$FO$29:$FU$29,1,EG367)))),0)</f>
        <v>0</v>
      </c>
      <c r="EH377" s="24">
        <f>IF(EH369=1,'Lease Cycles'!$D$29*IF(INDEX('Lease Cycles'!$EF$29:$EL$29,1,EH367)=1,'Lease Cycles'!$AJ$29*INDEX('Lease Cycles'!$FO$29:$FU$29,1,EH367)*INDEX('Lease Cycles'!$EM$29:$ES$29,1,EH367)+'Lease Cycles'!$BE$29*IF(EH368&lt;INDEX('Lease Cycles'!$FA$29:$FG$29,1,EH367),0,1-INDEX('Lease Cycles'!$EM$29:$ES$29,1,EH367)),IF(OR(INDEX('Lease Cycles'!$DY$29:$EE$29,1,EH367)=1,EH368&gt;0),1,1-INDEX('Lease Cycles'!$DD$29:$DJ$29,1,EH367))*('Lease Cycles'!$AJ$29*INDEX('Lease Cycles'!$FO$29:$FU$29,1,EH367)+'Lease Cycles'!$BE$29*(1-INDEX('Lease Cycles'!$FO$29:$FU$29,1,EH367)))),0)</f>
        <v>0</v>
      </c>
      <c r="EI377" s="24">
        <f>IF(EI369=1,'Lease Cycles'!$D$29*IF(INDEX('Lease Cycles'!$EF$29:$EL$29,1,EI367)=1,'Lease Cycles'!$AJ$29*INDEX('Lease Cycles'!$FO$29:$FU$29,1,EI367)*INDEX('Lease Cycles'!$EM$29:$ES$29,1,EI367)+'Lease Cycles'!$BE$29*IF(EI368&lt;INDEX('Lease Cycles'!$FA$29:$FG$29,1,EI367),0,1-INDEX('Lease Cycles'!$EM$29:$ES$29,1,EI367)),IF(OR(INDEX('Lease Cycles'!$DY$29:$EE$29,1,EI367)=1,EI368&gt;0),1,1-INDEX('Lease Cycles'!$DD$29:$DJ$29,1,EI367))*('Lease Cycles'!$AJ$29*INDEX('Lease Cycles'!$FO$29:$FU$29,1,EI367)+'Lease Cycles'!$BE$29*(1-INDEX('Lease Cycles'!$FO$29:$FU$29,1,EI367)))),0)</f>
        <v>0</v>
      </c>
      <c r="EJ377" s="24">
        <f>IF(EJ369=1,'Lease Cycles'!$D$29*IF(INDEX('Lease Cycles'!$EF$29:$EL$29,1,EJ367)=1,'Lease Cycles'!$AJ$29*INDEX('Lease Cycles'!$FO$29:$FU$29,1,EJ367)*INDEX('Lease Cycles'!$EM$29:$ES$29,1,EJ367)+'Lease Cycles'!$BE$29*IF(EJ368&lt;INDEX('Lease Cycles'!$FA$29:$FG$29,1,EJ367),0,1-INDEX('Lease Cycles'!$EM$29:$ES$29,1,EJ367)),IF(OR(INDEX('Lease Cycles'!$DY$29:$EE$29,1,EJ367)=1,EJ368&gt;0),1,1-INDEX('Lease Cycles'!$DD$29:$DJ$29,1,EJ367))*('Lease Cycles'!$AJ$29*INDEX('Lease Cycles'!$FO$29:$FU$29,1,EJ367)+'Lease Cycles'!$BE$29*(1-INDEX('Lease Cycles'!$FO$29:$FU$29,1,EJ367)))),0)</f>
        <v>0</v>
      </c>
      <c r="EK377" s="24">
        <f>IF(EK369=1,'Lease Cycles'!$D$29*IF(INDEX('Lease Cycles'!$EF$29:$EL$29,1,EK367)=1,'Lease Cycles'!$AJ$29*INDEX('Lease Cycles'!$FO$29:$FU$29,1,EK367)*INDEX('Lease Cycles'!$EM$29:$ES$29,1,EK367)+'Lease Cycles'!$BE$29*IF(EK368&lt;INDEX('Lease Cycles'!$FA$29:$FG$29,1,EK367),0,1-INDEX('Lease Cycles'!$EM$29:$ES$29,1,EK367)),IF(OR(INDEX('Lease Cycles'!$DY$29:$EE$29,1,EK367)=1,EK368&gt;0),1,1-INDEX('Lease Cycles'!$DD$29:$DJ$29,1,EK367))*('Lease Cycles'!$AJ$29*INDEX('Lease Cycles'!$FO$29:$FU$29,1,EK367)+'Lease Cycles'!$BE$29*(1-INDEX('Lease Cycles'!$FO$29:$FU$29,1,EK367)))),0)</f>
        <v>0</v>
      </c>
      <c r="EL377" s="24">
        <f>IF(EL369=1,'Lease Cycles'!$D$29*IF(INDEX('Lease Cycles'!$EF$29:$EL$29,1,EL367)=1,'Lease Cycles'!$AJ$29*INDEX('Lease Cycles'!$FO$29:$FU$29,1,EL367)*INDEX('Lease Cycles'!$EM$29:$ES$29,1,EL367)+'Lease Cycles'!$BE$29*IF(EL368&lt;INDEX('Lease Cycles'!$FA$29:$FG$29,1,EL367),0,1-INDEX('Lease Cycles'!$EM$29:$ES$29,1,EL367)),IF(OR(INDEX('Lease Cycles'!$DY$29:$EE$29,1,EL367)=1,EL368&gt;0),1,1-INDEX('Lease Cycles'!$DD$29:$DJ$29,1,EL367))*('Lease Cycles'!$AJ$29*INDEX('Lease Cycles'!$FO$29:$FU$29,1,EL367)+'Lease Cycles'!$BE$29*(1-INDEX('Lease Cycles'!$FO$29:$FU$29,1,EL367)))),0)</f>
        <v>0</v>
      </c>
      <c r="EM377" s="24">
        <f>IF(EM369=1,'Lease Cycles'!$D$29*IF(INDEX('Lease Cycles'!$EF$29:$EL$29,1,EM367)=1,'Lease Cycles'!$AJ$29*INDEX('Lease Cycles'!$FO$29:$FU$29,1,EM367)*INDEX('Lease Cycles'!$EM$29:$ES$29,1,EM367)+'Lease Cycles'!$BE$29*IF(EM368&lt;INDEX('Lease Cycles'!$FA$29:$FG$29,1,EM367),0,1-INDEX('Lease Cycles'!$EM$29:$ES$29,1,EM367)),IF(OR(INDEX('Lease Cycles'!$DY$29:$EE$29,1,EM367)=1,EM368&gt;0),1,1-INDEX('Lease Cycles'!$DD$29:$DJ$29,1,EM367))*('Lease Cycles'!$AJ$29*INDEX('Lease Cycles'!$FO$29:$FU$29,1,EM367)+'Lease Cycles'!$BE$29*(1-INDEX('Lease Cycles'!$FO$29:$FU$29,1,EM367)))),0)</f>
        <v>0</v>
      </c>
      <c r="EN377" s="24">
        <f>IF(EN369=1,'Lease Cycles'!$D$29*IF(INDEX('Lease Cycles'!$EF$29:$EL$29,1,EN367)=1,'Lease Cycles'!$AJ$29*INDEX('Lease Cycles'!$FO$29:$FU$29,1,EN367)*INDEX('Lease Cycles'!$EM$29:$ES$29,1,EN367)+'Lease Cycles'!$BE$29*IF(EN368&lt;INDEX('Lease Cycles'!$FA$29:$FG$29,1,EN367),0,1-INDEX('Lease Cycles'!$EM$29:$ES$29,1,EN367)),IF(OR(INDEX('Lease Cycles'!$DY$29:$EE$29,1,EN367)=1,EN368&gt;0),1,1-INDEX('Lease Cycles'!$DD$29:$DJ$29,1,EN367))*('Lease Cycles'!$AJ$29*INDEX('Lease Cycles'!$FO$29:$FU$29,1,EN367)+'Lease Cycles'!$BE$29*(1-INDEX('Lease Cycles'!$FO$29:$FU$29,1,EN367)))),0)</f>
        <v>0</v>
      </c>
      <c r="EO377" s="24">
        <f>IF(EO369=1,'Lease Cycles'!$D$29*IF(INDEX('Lease Cycles'!$EF$29:$EL$29,1,EO367)=1,'Lease Cycles'!$AJ$29*INDEX('Lease Cycles'!$FO$29:$FU$29,1,EO367)*INDEX('Lease Cycles'!$EM$29:$ES$29,1,EO367)+'Lease Cycles'!$BE$29*IF(EO368&lt;INDEX('Lease Cycles'!$FA$29:$FG$29,1,EO367),0,1-INDEX('Lease Cycles'!$EM$29:$ES$29,1,EO367)),IF(OR(INDEX('Lease Cycles'!$DY$29:$EE$29,1,EO367)=1,EO368&gt;0),1,1-INDEX('Lease Cycles'!$DD$29:$DJ$29,1,EO367))*('Lease Cycles'!$AJ$29*INDEX('Lease Cycles'!$FO$29:$FU$29,1,EO367)+'Lease Cycles'!$BE$29*(1-INDEX('Lease Cycles'!$FO$29:$FU$29,1,EO367)))),0)</f>
        <v>0</v>
      </c>
      <c r="EP377" s="24">
        <f>IF(EP369=1,'Lease Cycles'!$D$29*IF(INDEX('Lease Cycles'!$EF$29:$EL$29,1,EP367)=1,'Lease Cycles'!$AJ$29*INDEX('Lease Cycles'!$FO$29:$FU$29,1,EP367)*INDEX('Lease Cycles'!$EM$29:$ES$29,1,EP367)+'Lease Cycles'!$BE$29*IF(EP368&lt;INDEX('Lease Cycles'!$FA$29:$FG$29,1,EP367),0,1-INDEX('Lease Cycles'!$EM$29:$ES$29,1,EP367)),IF(OR(INDEX('Lease Cycles'!$DY$29:$EE$29,1,EP367)=1,EP368&gt;0),1,1-INDEX('Lease Cycles'!$DD$29:$DJ$29,1,EP367))*('Lease Cycles'!$AJ$29*INDEX('Lease Cycles'!$FO$29:$FU$29,1,EP367)+'Lease Cycles'!$BE$29*(1-INDEX('Lease Cycles'!$FO$29:$FU$29,1,EP367)))),0)</f>
        <v>0</v>
      </c>
      <c r="EQ377" s="24">
        <f>IF(EQ369=1,'Lease Cycles'!$D$29*IF(INDEX('Lease Cycles'!$EF$29:$EL$29,1,EQ367)=1,'Lease Cycles'!$AJ$29*INDEX('Lease Cycles'!$FO$29:$FU$29,1,EQ367)*INDEX('Lease Cycles'!$EM$29:$ES$29,1,EQ367)+'Lease Cycles'!$BE$29*IF(EQ368&lt;INDEX('Lease Cycles'!$FA$29:$FG$29,1,EQ367),0,1-INDEX('Lease Cycles'!$EM$29:$ES$29,1,EQ367)),IF(OR(INDEX('Lease Cycles'!$DY$29:$EE$29,1,EQ367)=1,EQ368&gt;0),1,1-INDEX('Lease Cycles'!$DD$29:$DJ$29,1,EQ367))*('Lease Cycles'!$AJ$29*INDEX('Lease Cycles'!$FO$29:$FU$29,1,EQ367)+'Lease Cycles'!$BE$29*(1-INDEX('Lease Cycles'!$FO$29:$FU$29,1,EQ367)))),0)</f>
        <v>0</v>
      </c>
      <c r="ER377" s="24">
        <f>IF(ER369=1,'Lease Cycles'!$D$29*IF(INDEX('Lease Cycles'!$EF$29:$EL$29,1,ER367)=1,'Lease Cycles'!$AJ$29*INDEX('Lease Cycles'!$FO$29:$FU$29,1,ER367)*INDEX('Lease Cycles'!$EM$29:$ES$29,1,ER367)+'Lease Cycles'!$BE$29*IF(ER368&lt;INDEX('Lease Cycles'!$FA$29:$FG$29,1,ER367),0,1-INDEX('Lease Cycles'!$EM$29:$ES$29,1,ER367)),IF(OR(INDEX('Lease Cycles'!$DY$29:$EE$29,1,ER367)=1,ER368&gt;0),1,1-INDEX('Lease Cycles'!$DD$29:$DJ$29,1,ER367))*('Lease Cycles'!$AJ$29*INDEX('Lease Cycles'!$FO$29:$FU$29,1,ER367)+'Lease Cycles'!$BE$29*(1-INDEX('Lease Cycles'!$FO$29:$FU$29,1,ER367)))),0)</f>
        <v>0</v>
      </c>
      <c r="ES377" s="24">
        <f>IF(ES369=1,'Lease Cycles'!$D$29*IF(INDEX('Lease Cycles'!$EF$29:$EL$29,1,ES367)=1,'Lease Cycles'!$AJ$29*INDEX('Lease Cycles'!$FO$29:$FU$29,1,ES367)*INDEX('Lease Cycles'!$EM$29:$ES$29,1,ES367)+'Lease Cycles'!$BE$29*IF(ES368&lt;INDEX('Lease Cycles'!$FA$29:$FG$29,1,ES367),0,1-INDEX('Lease Cycles'!$EM$29:$ES$29,1,ES367)),IF(OR(INDEX('Lease Cycles'!$DY$29:$EE$29,1,ES367)=1,ES368&gt;0),1,1-INDEX('Lease Cycles'!$DD$29:$DJ$29,1,ES367))*('Lease Cycles'!$AJ$29*INDEX('Lease Cycles'!$FO$29:$FU$29,1,ES367)+'Lease Cycles'!$BE$29*(1-INDEX('Lease Cycles'!$FO$29:$FU$29,1,ES367)))),0)</f>
        <v>0</v>
      </c>
      <c r="ET377" s="24">
        <f>IF(ET369=1,'Lease Cycles'!$D$29*IF(INDEX('Lease Cycles'!$EF$29:$EL$29,1,ET367)=1,'Lease Cycles'!$AJ$29*INDEX('Lease Cycles'!$FO$29:$FU$29,1,ET367)*INDEX('Lease Cycles'!$EM$29:$ES$29,1,ET367)+'Lease Cycles'!$BE$29*IF(ET368&lt;INDEX('Lease Cycles'!$FA$29:$FG$29,1,ET367),0,1-INDEX('Lease Cycles'!$EM$29:$ES$29,1,ET367)),IF(OR(INDEX('Lease Cycles'!$DY$29:$EE$29,1,ET367)=1,ET368&gt;0),1,1-INDEX('Lease Cycles'!$DD$29:$DJ$29,1,ET367))*('Lease Cycles'!$AJ$29*INDEX('Lease Cycles'!$FO$29:$FU$29,1,ET367)+'Lease Cycles'!$BE$29*(1-INDEX('Lease Cycles'!$FO$29:$FU$29,1,ET367)))),0)</f>
        <v>0</v>
      </c>
    </row>
    <row r="378">
      <c r="A378" s="103">
        <v>22</v>
      </c>
      <c r="B378" s="23" t="str">
        <f>IF('Lease Cycles'!$B$29="","(empty slot)",'Lease Cycles'!$B$29)</f>
        <v>(empty slot)</v>
      </c>
      <c r="C378" s="23" t="s">
        <v>689</v>
      </c>
      <c r="D378" s="104" t="s">
        <v>690</v>
      </c>
      <c r="E378" s="25">
        <f>'Lease Cycles'!$AL$29</f>
        <v>0</v>
      </c>
      <c r="G378" s="28">
        <f>SUM(S378:AD378)</f>
        <v>0</v>
      </c>
      <c r="H378" s="28">
        <f>SUM(AE378:AP378)</f>
        <v>0</v>
      </c>
      <c r="I378" s="28">
        <f>SUM(AQ378:BB378)</f>
        <v>0</v>
      </c>
      <c r="J378" s="28">
        <f>SUM(BC378:BN378)</f>
        <v>0</v>
      </c>
      <c r="K378" s="28">
        <f>SUM(BO378:BZ378)</f>
        <v>0</v>
      </c>
      <c r="L378" s="28">
        <f>SUM(CA378:CL378)</f>
        <v>0</v>
      </c>
      <c r="M378" s="28">
        <f>SUM(CM378:CX378)</f>
        <v>0</v>
      </c>
      <c r="N378" s="28">
        <f>SUM(CY378:DJ378)</f>
        <v>0</v>
      </c>
      <c r="O378" s="28">
        <f>SUM(DK378:DV378)</f>
        <v>0</v>
      </c>
      <c r="P378" s="28">
        <f>SUM(DW378:EH378)</f>
        <v>0</v>
      </c>
      <c r="Q378" s="28">
        <f>SUM(EI378:ET378)</f>
        <v>0</v>
      </c>
      <c r="S378" s="28">
        <f>IF(S377=0,0,S377*MAX(0,(INDEX(c_CAMy,1,S$7)-INDEX(c_CAMy,1,INDEX('Lease Cycles'!$GC$29:$GI$29,1,S367)+1))*(1+'Lease Cycles'!$AK$29)+(INDEX(c_TAXy,1,S$7)-INDEX(c_TAXy,1,INDEX('Lease Cycles'!$GC$29:$GI$29,1,S367)+1))+(INDEX(c_INSy,1,S$7)-INDEX(c_INSy,1,INDEX('Lease Cycles'!$GC$29:$GI$29,1,S367)+1)))/12)</f>
        <v>0</v>
      </c>
      <c r="T378" s="28">
        <f>IF(T377=0,0,T377*MAX(0,(INDEX(c_CAMy,1,T$7)-INDEX(c_CAMy,1,INDEX('Lease Cycles'!$GC$29:$GI$29,1,T367)+1))*(1+'Lease Cycles'!$AK$29)+(INDEX(c_TAXy,1,T$7)-INDEX(c_TAXy,1,INDEX('Lease Cycles'!$GC$29:$GI$29,1,T367)+1))+(INDEX(c_INSy,1,T$7)-INDEX(c_INSy,1,INDEX('Lease Cycles'!$GC$29:$GI$29,1,T367)+1)))/12)</f>
        <v>0</v>
      </c>
      <c r="U378" s="28">
        <f>IF(U377=0,0,U377*MAX(0,(INDEX(c_CAMy,1,U$7)-INDEX(c_CAMy,1,INDEX('Lease Cycles'!$GC$29:$GI$29,1,U367)+1))*(1+'Lease Cycles'!$AK$29)+(INDEX(c_TAXy,1,U$7)-INDEX(c_TAXy,1,INDEX('Lease Cycles'!$GC$29:$GI$29,1,U367)+1))+(INDEX(c_INSy,1,U$7)-INDEX(c_INSy,1,INDEX('Lease Cycles'!$GC$29:$GI$29,1,U367)+1)))/12)</f>
        <v>0</v>
      </c>
      <c r="V378" s="28">
        <f>IF(V377=0,0,V377*MAX(0,(INDEX(c_CAMy,1,V$7)-INDEX(c_CAMy,1,INDEX('Lease Cycles'!$GC$29:$GI$29,1,V367)+1))*(1+'Lease Cycles'!$AK$29)+(INDEX(c_TAXy,1,V$7)-INDEX(c_TAXy,1,INDEX('Lease Cycles'!$GC$29:$GI$29,1,V367)+1))+(INDEX(c_INSy,1,V$7)-INDEX(c_INSy,1,INDEX('Lease Cycles'!$GC$29:$GI$29,1,V367)+1)))/12)</f>
        <v>0</v>
      </c>
      <c r="W378" s="28">
        <f>IF(W377=0,0,W377*MAX(0,(INDEX(c_CAMy,1,W$7)-INDEX(c_CAMy,1,INDEX('Lease Cycles'!$GC$29:$GI$29,1,W367)+1))*(1+'Lease Cycles'!$AK$29)+(INDEX(c_TAXy,1,W$7)-INDEX(c_TAXy,1,INDEX('Lease Cycles'!$GC$29:$GI$29,1,W367)+1))+(INDEX(c_INSy,1,W$7)-INDEX(c_INSy,1,INDEX('Lease Cycles'!$GC$29:$GI$29,1,W367)+1)))/12)</f>
        <v>0</v>
      </c>
      <c r="X378" s="28">
        <f>IF(X377=0,0,X377*MAX(0,(INDEX(c_CAMy,1,X$7)-INDEX(c_CAMy,1,INDEX('Lease Cycles'!$GC$29:$GI$29,1,X367)+1))*(1+'Lease Cycles'!$AK$29)+(INDEX(c_TAXy,1,X$7)-INDEX(c_TAXy,1,INDEX('Lease Cycles'!$GC$29:$GI$29,1,X367)+1))+(INDEX(c_INSy,1,X$7)-INDEX(c_INSy,1,INDEX('Lease Cycles'!$GC$29:$GI$29,1,X367)+1)))/12)</f>
        <v>0</v>
      </c>
      <c r="Y378" s="28">
        <f>IF(Y377=0,0,Y377*MAX(0,(INDEX(c_CAMy,1,Y$7)-INDEX(c_CAMy,1,INDEX('Lease Cycles'!$GC$29:$GI$29,1,Y367)+1))*(1+'Lease Cycles'!$AK$29)+(INDEX(c_TAXy,1,Y$7)-INDEX(c_TAXy,1,INDEX('Lease Cycles'!$GC$29:$GI$29,1,Y367)+1))+(INDEX(c_INSy,1,Y$7)-INDEX(c_INSy,1,INDEX('Lease Cycles'!$GC$29:$GI$29,1,Y367)+1)))/12)</f>
        <v>0</v>
      </c>
      <c r="Z378" s="28">
        <f>IF(Z377=0,0,Z377*MAX(0,(INDEX(c_CAMy,1,Z$7)-INDEX(c_CAMy,1,INDEX('Lease Cycles'!$GC$29:$GI$29,1,Z367)+1))*(1+'Lease Cycles'!$AK$29)+(INDEX(c_TAXy,1,Z$7)-INDEX(c_TAXy,1,INDEX('Lease Cycles'!$GC$29:$GI$29,1,Z367)+1))+(INDEX(c_INSy,1,Z$7)-INDEX(c_INSy,1,INDEX('Lease Cycles'!$GC$29:$GI$29,1,Z367)+1)))/12)</f>
        <v>0</v>
      </c>
      <c r="AA378" s="28">
        <f>IF(AA377=0,0,AA377*MAX(0,(INDEX(c_CAMy,1,AA$7)-INDEX(c_CAMy,1,INDEX('Lease Cycles'!$GC$29:$GI$29,1,AA367)+1))*(1+'Lease Cycles'!$AK$29)+(INDEX(c_TAXy,1,AA$7)-INDEX(c_TAXy,1,INDEX('Lease Cycles'!$GC$29:$GI$29,1,AA367)+1))+(INDEX(c_INSy,1,AA$7)-INDEX(c_INSy,1,INDEX('Lease Cycles'!$GC$29:$GI$29,1,AA367)+1)))/12)</f>
        <v>0</v>
      </c>
      <c r="AB378" s="28">
        <f>IF(AB377=0,0,AB377*MAX(0,(INDEX(c_CAMy,1,AB$7)-INDEX(c_CAMy,1,INDEX('Lease Cycles'!$GC$29:$GI$29,1,AB367)+1))*(1+'Lease Cycles'!$AK$29)+(INDEX(c_TAXy,1,AB$7)-INDEX(c_TAXy,1,INDEX('Lease Cycles'!$GC$29:$GI$29,1,AB367)+1))+(INDEX(c_INSy,1,AB$7)-INDEX(c_INSy,1,INDEX('Lease Cycles'!$GC$29:$GI$29,1,AB367)+1)))/12)</f>
        <v>0</v>
      </c>
      <c r="AC378" s="28">
        <f>IF(AC377=0,0,AC377*MAX(0,(INDEX(c_CAMy,1,AC$7)-INDEX(c_CAMy,1,INDEX('Lease Cycles'!$GC$29:$GI$29,1,AC367)+1))*(1+'Lease Cycles'!$AK$29)+(INDEX(c_TAXy,1,AC$7)-INDEX(c_TAXy,1,INDEX('Lease Cycles'!$GC$29:$GI$29,1,AC367)+1))+(INDEX(c_INSy,1,AC$7)-INDEX(c_INSy,1,INDEX('Lease Cycles'!$GC$29:$GI$29,1,AC367)+1)))/12)</f>
        <v>0</v>
      </c>
      <c r="AD378" s="28">
        <f>IF(AD377=0,0,AD377*MAX(0,(INDEX(c_CAMy,1,AD$7)-INDEX(c_CAMy,1,INDEX('Lease Cycles'!$GC$29:$GI$29,1,AD367)+1))*(1+'Lease Cycles'!$AK$29)+(INDEX(c_TAXy,1,AD$7)-INDEX(c_TAXy,1,INDEX('Lease Cycles'!$GC$29:$GI$29,1,AD367)+1))+(INDEX(c_INSy,1,AD$7)-INDEX(c_INSy,1,INDEX('Lease Cycles'!$GC$29:$GI$29,1,AD367)+1)))/12)</f>
        <v>0</v>
      </c>
      <c r="AE378" s="28">
        <f>IF(AE377=0,0,AE377*MAX(0,(INDEX(c_CAMy,1,AE$7)-INDEX(c_CAMy,1,INDEX('Lease Cycles'!$GC$29:$GI$29,1,AE367)+1))*(1+'Lease Cycles'!$AK$29)+(INDEX(c_TAXy,1,AE$7)-INDEX(c_TAXy,1,INDEX('Lease Cycles'!$GC$29:$GI$29,1,AE367)+1))+(INDEX(c_INSy,1,AE$7)-INDEX(c_INSy,1,INDEX('Lease Cycles'!$GC$29:$GI$29,1,AE367)+1)))/12)</f>
        <v>0</v>
      </c>
      <c r="AF378" s="28">
        <f>IF(AF377=0,0,AF377*MAX(0,(INDEX(c_CAMy,1,AF$7)-INDEX(c_CAMy,1,INDEX('Lease Cycles'!$GC$29:$GI$29,1,AF367)+1))*(1+'Lease Cycles'!$AK$29)+(INDEX(c_TAXy,1,AF$7)-INDEX(c_TAXy,1,INDEX('Lease Cycles'!$GC$29:$GI$29,1,AF367)+1))+(INDEX(c_INSy,1,AF$7)-INDEX(c_INSy,1,INDEX('Lease Cycles'!$GC$29:$GI$29,1,AF367)+1)))/12)</f>
        <v>0</v>
      </c>
      <c r="AG378" s="28">
        <f>IF(AG377=0,0,AG377*MAX(0,(INDEX(c_CAMy,1,AG$7)-INDEX(c_CAMy,1,INDEX('Lease Cycles'!$GC$29:$GI$29,1,AG367)+1))*(1+'Lease Cycles'!$AK$29)+(INDEX(c_TAXy,1,AG$7)-INDEX(c_TAXy,1,INDEX('Lease Cycles'!$GC$29:$GI$29,1,AG367)+1))+(INDEX(c_INSy,1,AG$7)-INDEX(c_INSy,1,INDEX('Lease Cycles'!$GC$29:$GI$29,1,AG367)+1)))/12)</f>
        <v>0</v>
      </c>
      <c r="AH378" s="28">
        <f>IF(AH377=0,0,AH377*MAX(0,(INDEX(c_CAMy,1,AH$7)-INDEX(c_CAMy,1,INDEX('Lease Cycles'!$GC$29:$GI$29,1,AH367)+1))*(1+'Lease Cycles'!$AK$29)+(INDEX(c_TAXy,1,AH$7)-INDEX(c_TAXy,1,INDEX('Lease Cycles'!$GC$29:$GI$29,1,AH367)+1))+(INDEX(c_INSy,1,AH$7)-INDEX(c_INSy,1,INDEX('Lease Cycles'!$GC$29:$GI$29,1,AH367)+1)))/12)</f>
        <v>0</v>
      </c>
      <c r="AI378" s="28">
        <f>IF(AI377=0,0,AI377*MAX(0,(INDEX(c_CAMy,1,AI$7)-INDEX(c_CAMy,1,INDEX('Lease Cycles'!$GC$29:$GI$29,1,AI367)+1))*(1+'Lease Cycles'!$AK$29)+(INDEX(c_TAXy,1,AI$7)-INDEX(c_TAXy,1,INDEX('Lease Cycles'!$GC$29:$GI$29,1,AI367)+1))+(INDEX(c_INSy,1,AI$7)-INDEX(c_INSy,1,INDEX('Lease Cycles'!$GC$29:$GI$29,1,AI367)+1)))/12)</f>
        <v>0</v>
      </c>
      <c r="AJ378" s="28">
        <f>IF(AJ377=0,0,AJ377*MAX(0,(INDEX(c_CAMy,1,AJ$7)-INDEX(c_CAMy,1,INDEX('Lease Cycles'!$GC$29:$GI$29,1,AJ367)+1))*(1+'Lease Cycles'!$AK$29)+(INDEX(c_TAXy,1,AJ$7)-INDEX(c_TAXy,1,INDEX('Lease Cycles'!$GC$29:$GI$29,1,AJ367)+1))+(INDEX(c_INSy,1,AJ$7)-INDEX(c_INSy,1,INDEX('Lease Cycles'!$GC$29:$GI$29,1,AJ367)+1)))/12)</f>
        <v>0</v>
      </c>
      <c r="AK378" s="28">
        <f>IF(AK377=0,0,AK377*MAX(0,(INDEX(c_CAMy,1,AK$7)-INDEX(c_CAMy,1,INDEX('Lease Cycles'!$GC$29:$GI$29,1,AK367)+1))*(1+'Lease Cycles'!$AK$29)+(INDEX(c_TAXy,1,AK$7)-INDEX(c_TAXy,1,INDEX('Lease Cycles'!$GC$29:$GI$29,1,AK367)+1))+(INDEX(c_INSy,1,AK$7)-INDEX(c_INSy,1,INDEX('Lease Cycles'!$GC$29:$GI$29,1,AK367)+1)))/12)</f>
        <v>0</v>
      </c>
      <c r="AL378" s="28">
        <f>IF(AL377=0,0,AL377*MAX(0,(INDEX(c_CAMy,1,AL$7)-INDEX(c_CAMy,1,INDEX('Lease Cycles'!$GC$29:$GI$29,1,AL367)+1))*(1+'Lease Cycles'!$AK$29)+(INDEX(c_TAXy,1,AL$7)-INDEX(c_TAXy,1,INDEX('Lease Cycles'!$GC$29:$GI$29,1,AL367)+1))+(INDEX(c_INSy,1,AL$7)-INDEX(c_INSy,1,INDEX('Lease Cycles'!$GC$29:$GI$29,1,AL367)+1)))/12)</f>
        <v>0</v>
      </c>
      <c r="AM378" s="28">
        <f>IF(AM377=0,0,AM377*MAX(0,(INDEX(c_CAMy,1,AM$7)-INDEX(c_CAMy,1,INDEX('Lease Cycles'!$GC$29:$GI$29,1,AM367)+1))*(1+'Lease Cycles'!$AK$29)+(INDEX(c_TAXy,1,AM$7)-INDEX(c_TAXy,1,INDEX('Lease Cycles'!$GC$29:$GI$29,1,AM367)+1))+(INDEX(c_INSy,1,AM$7)-INDEX(c_INSy,1,INDEX('Lease Cycles'!$GC$29:$GI$29,1,AM367)+1)))/12)</f>
        <v>0</v>
      </c>
      <c r="AN378" s="28">
        <f>IF(AN377=0,0,AN377*MAX(0,(INDEX(c_CAMy,1,AN$7)-INDEX(c_CAMy,1,INDEX('Lease Cycles'!$GC$29:$GI$29,1,AN367)+1))*(1+'Lease Cycles'!$AK$29)+(INDEX(c_TAXy,1,AN$7)-INDEX(c_TAXy,1,INDEX('Lease Cycles'!$GC$29:$GI$29,1,AN367)+1))+(INDEX(c_INSy,1,AN$7)-INDEX(c_INSy,1,INDEX('Lease Cycles'!$GC$29:$GI$29,1,AN367)+1)))/12)</f>
        <v>0</v>
      </c>
      <c r="AO378" s="28">
        <f>IF(AO377=0,0,AO377*MAX(0,(INDEX(c_CAMy,1,AO$7)-INDEX(c_CAMy,1,INDEX('Lease Cycles'!$GC$29:$GI$29,1,AO367)+1))*(1+'Lease Cycles'!$AK$29)+(INDEX(c_TAXy,1,AO$7)-INDEX(c_TAXy,1,INDEX('Lease Cycles'!$GC$29:$GI$29,1,AO367)+1))+(INDEX(c_INSy,1,AO$7)-INDEX(c_INSy,1,INDEX('Lease Cycles'!$GC$29:$GI$29,1,AO367)+1)))/12)</f>
        <v>0</v>
      </c>
      <c r="AP378" s="28">
        <f>IF(AP377=0,0,AP377*MAX(0,(INDEX(c_CAMy,1,AP$7)-INDEX(c_CAMy,1,INDEX('Lease Cycles'!$GC$29:$GI$29,1,AP367)+1))*(1+'Lease Cycles'!$AK$29)+(INDEX(c_TAXy,1,AP$7)-INDEX(c_TAXy,1,INDEX('Lease Cycles'!$GC$29:$GI$29,1,AP367)+1))+(INDEX(c_INSy,1,AP$7)-INDEX(c_INSy,1,INDEX('Lease Cycles'!$GC$29:$GI$29,1,AP367)+1)))/12)</f>
        <v>0</v>
      </c>
      <c r="AQ378" s="28">
        <f>IF(AQ377=0,0,AQ377*MAX(0,(INDEX(c_CAMy,1,AQ$7)-INDEX(c_CAMy,1,INDEX('Lease Cycles'!$GC$29:$GI$29,1,AQ367)+1))*(1+'Lease Cycles'!$AK$29)+(INDEX(c_TAXy,1,AQ$7)-INDEX(c_TAXy,1,INDEX('Lease Cycles'!$GC$29:$GI$29,1,AQ367)+1))+(INDEX(c_INSy,1,AQ$7)-INDEX(c_INSy,1,INDEX('Lease Cycles'!$GC$29:$GI$29,1,AQ367)+1)))/12)</f>
        <v>0</v>
      </c>
      <c r="AR378" s="28">
        <f>IF(AR377=0,0,AR377*MAX(0,(INDEX(c_CAMy,1,AR$7)-INDEX(c_CAMy,1,INDEX('Lease Cycles'!$GC$29:$GI$29,1,AR367)+1))*(1+'Lease Cycles'!$AK$29)+(INDEX(c_TAXy,1,AR$7)-INDEX(c_TAXy,1,INDEX('Lease Cycles'!$GC$29:$GI$29,1,AR367)+1))+(INDEX(c_INSy,1,AR$7)-INDEX(c_INSy,1,INDEX('Lease Cycles'!$GC$29:$GI$29,1,AR367)+1)))/12)</f>
        <v>0</v>
      </c>
      <c r="AS378" s="28">
        <f>IF(AS377=0,0,AS377*MAX(0,(INDEX(c_CAMy,1,AS$7)-INDEX(c_CAMy,1,INDEX('Lease Cycles'!$GC$29:$GI$29,1,AS367)+1))*(1+'Lease Cycles'!$AK$29)+(INDEX(c_TAXy,1,AS$7)-INDEX(c_TAXy,1,INDEX('Lease Cycles'!$GC$29:$GI$29,1,AS367)+1))+(INDEX(c_INSy,1,AS$7)-INDEX(c_INSy,1,INDEX('Lease Cycles'!$GC$29:$GI$29,1,AS367)+1)))/12)</f>
        <v>0</v>
      </c>
      <c r="AT378" s="28">
        <f>IF(AT377=0,0,AT377*MAX(0,(INDEX(c_CAMy,1,AT$7)-INDEX(c_CAMy,1,INDEX('Lease Cycles'!$GC$29:$GI$29,1,AT367)+1))*(1+'Lease Cycles'!$AK$29)+(INDEX(c_TAXy,1,AT$7)-INDEX(c_TAXy,1,INDEX('Lease Cycles'!$GC$29:$GI$29,1,AT367)+1))+(INDEX(c_INSy,1,AT$7)-INDEX(c_INSy,1,INDEX('Lease Cycles'!$GC$29:$GI$29,1,AT367)+1)))/12)</f>
        <v>0</v>
      </c>
      <c r="AU378" s="28">
        <f>IF(AU377=0,0,AU377*MAX(0,(INDEX(c_CAMy,1,AU$7)-INDEX(c_CAMy,1,INDEX('Lease Cycles'!$GC$29:$GI$29,1,AU367)+1))*(1+'Lease Cycles'!$AK$29)+(INDEX(c_TAXy,1,AU$7)-INDEX(c_TAXy,1,INDEX('Lease Cycles'!$GC$29:$GI$29,1,AU367)+1))+(INDEX(c_INSy,1,AU$7)-INDEX(c_INSy,1,INDEX('Lease Cycles'!$GC$29:$GI$29,1,AU367)+1)))/12)</f>
        <v>0</v>
      </c>
      <c r="AV378" s="28">
        <f>IF(AV377=0,0,AV377*MAX(0,(INDEX(c_CAMy,1,AV$7)-INDEX(c_CAMy,1,INDEX('Lease Cycles'!$GC$29:$GI$29,1,AV367)+1))*(1+'Lease Cycles'!$AK$29)+(INDEX(c_TAXy,1,AV$7)-INDEX(c_TAXy,1,INDEX('Lease Cycles'!$GC$29:$GI$29,1,AV367)+1))+(INDEX(c_INSy,1,AV$7)-INDEX(c_INSy,1,INDEX('Lease Cycles'!$GC$29:$GI$29,1,AV367)+1)))/12)</f>
        <v>0</v>
      </c>
      <c r="AW378" s="28">
        <f>IF(AW377=0,0,AW377*MAX(0,(INDEX(c_CAMy,1,AW$7)-INDEX(c_CAMy,1,INDEX('Lease Cycles'!$GC$29:$GI$29,1,AW367)+1))*(1+'Lease Cycles'!$AK$29)+(INDEX(c_TAXy,1,AW$7)-INDEX(c_TAXy,1,INDEX('Lease Cycles'!$GC$29:$GI$29,1,AW367)+1))+(INDEX(c_INSy,1,AW$7)-INDEX(c_INSy,1,INDEX('Lease Cycles'!$GC$29:$GI$29,1,AW367)+1)))/12)</f>
        <v>0</v>
      </c>
      <c r="AX378" s="28">
        <f>IF(AX377=0,0,AX377*MAX(0,(INDEX(c_CAMy,1,AX$7)-INDEX(c_CAMy,1,INDEX('Lease Cycles'!$GC$29:$GI$29,1,AX367)+1))*(1+'Lease Cycles'!$AK$29)+(INDEX(c_TAXy,1,AX$7)-INDEX(c_TAXy,1,INDEX('Lease Cycles'!$GC$29:$GI$29,1,AX367)+1))+(INDEX(c_INSy,1,AX$7)-INDEX(c_INSy,1,INDEX('Lease Cycles'!$GC$29:$GI$29,1,AX367)+1)))/12)</f>
        <v>0</v>
      </c>
      <c r="AY378" s="28">
        <f>IF(AY377=0,0,AY377*MAX(0,(INDEX(c_CAMy,1,AY$7)-INDEX(c_CAMy,1,INDEX('Lease Cycles'!$GC$29:$GI$29,1,AY367)+1))*(1+'Lease Cycles'!$AK$29)+(INDEX(c_TAXy,1,AY$7)-INDEX(c_TAXy,1,INDEX('Lease Cycles'!$GC$29:$GI$29,1,AY367)+1))+(INDEX(c_INSy,1,AY$7)-INDEX(c_INSy,1,INDEX('Lease Cycles'!$GC$29:$GI$29,1,AY367)+1)))/12)</f>
        <v>0</v>
      </c>
      <c r="AZ378" s="28">
        <f>IF(AZ377=0,0,AZ377*MAX(0,(INDEX(c_CAMy,1,AZ$7)-INDEX(c_CAMy,1,INDEX('Lease Cycles'!$GC$29:$GI$29,1,AZ367)+1))*(1+'Lease Cycles'!$AK$29)+(INDEX(c_TAXy,1,AZ$7)-INDEX(c_TAXy,1,INDEX('Lease Cycles'!$GC$29:$GI$29,1,AZ367)+1))+(INDEX(c_INSy,1,AZ$7)-INDEX(c_INSy,1,INDEX('Lease Cycles'!$GC$29:$GI$29,1,AZ367)+1)))/12)</f>
        <v>0</v>
      </c>
      <c r="BA378" s="28">
        <f>IF(BA377=0,0,BA377*MAX(0,(INDEX(c_CAMy,1,BA$7)-INDEX(c_CAMy,1,INDEX('Lease Cycles'!$GC$29:$GI$29,1,BA367)+1))*(1+'Lease Cycles'!$AK$29)+(INDEX(c_TAXy,1,BA$7)-INDEX(c_TAXy,1,INDEX('Lease Cycles'!$GC$29:$GI$29,1,BA367)+1))+(INDEX(c_INSy,1,BA$7)-INDEX(c_INSy,1,INDEX('Lease Cycles'!$GC$29:$GI$29,1,BA367)+1)))/12)</f>
        <v>0</v>
      </c>
      <c r="BB378" s="28">
        <f>IF(BB377=0,0,BB377*MAX(0,(INDEX(c_CAMy,1,BB$7)-INDEX(c_CAMy,1,INDEX('Lease Cycles'!$GC$29:$GI$29,1,BB367)+1))*(1+'Lease Cycles'!$AK$29)+(INDEX(c_TAXy,1,BB$7)-INDEX(c_TAXy,1,INDEX('Lease Cycles'!$GC$29:$GI$29,1,BB367)+1))+(INDEX(c_INSy,1,BB$7)-INDEX(c_INSy,1,INDEX('Lease Cycles'!$GC$29:$GI$29,1,BB367)+1)))/12)</f>
        <v>0</v>
      </c>
      <c r="BC378" s="28">
        <f>IF(BC377=0,0,BC377*MAX(0,(INDEX(c_CAMy,1,BC$7)-INDEX(c_CAMy,1,INDEX('Lease Cycles'!$GC$29:$GI$29,1,BC367)+1))*(1+'Lease Cycles'!$AK$29)+(INDEX(c_TAXy,1,BC$7)-INDEX(c_TAXy,1,INDEX('Lease Cycles'!$GC$29:$GI$29,1,BC367)+1))+(INDEX(c_INSy,1,BC$7)-INDEX(c_INSy,1,INDEX('Lease Cycles'!$GC$29:$GI$29,1,BC367)+1)))/12)</f>
        <v>0</v>
      </c>
      <c r="BD378" s="28">
        <f>IF(BD377=0,0,BD377*MAX(0,(INDEX(c_CAMy,1,BD$7)-INDEX(c_CAMy,1,INDEX('Lease Cycles'!$GC$29:$GI$29,1,BD367)+1))*(1+'Lease Cycles'!$AK$29)+(INDEX(c_TAXy,1,BD$7)-INDEX(c_TAXy,1,INDEX('Lease Cycles'!$GC$29:$GI$29,1,BD367)+1))+(INDEX(c_INSy,1,BD$7)-INDEX(c_INSy,1,INDEX('Lease Cycles'!$GC$29:$GI$29,1,BD367)+1)))/12)</f>
        <v>0</v>
      </c>
      <c r="BE378" s="28">
        <f>IF(BE377=0,0,BE377*MAX(0,(INDEX(c_CAMy,1,BE$7)-INDEX(c_CAMy,1,INDEX('Lease Cycles'!$GC$29:$GI$29,1,BE367)+1))*(1+'Lease Cycles'!$AK$29)+(INDEX(c_TAXy,1,BE$7)-INDEX(c_TAXy,1,INDEX('Lease Cycles'!$GC$29:$GI$29,1,BE367)+1))+(INDEX(c_INSy,1,BE$7)-INDEX(c_INSy,1,INDEX('Lease Cycles'!$GC$29:$GI$29,1,BE367)+1)))/12)</f>
        <v>0</v>
      </c>
      <c r="BF378" s="28">
        <f>IF(BF377=0,0,BF377*MAX(0,(INDEX(c_CAMy,1,BF$7)-INDEX(c_CAMy,1,INDEX('Lease Cycles'!$GC$29:$GI$29,1,BF367)+1))*(1+'Lease Cycles'!$AK$29)+(INDEX(c_TAXy,1,BF$7)-INDEX(c_TAXy,1,INDEX('Lease Cycles'!$GC$29:$GI$29,1,BF367)+1))+(INDEX(c_INSy,1,BF$7)-INDEX(c_INSy,1,INDEX('Lease Cycles'!$GC$29:$GI$29,1,BF367)+1)))/12)</f>
        <v>0</v>
      </c>
      <c r="BG378" s="28">
        <f>IF(BG377=0,0,BG377*MAX(0,(INDEX(c_CAMy,1,BG$7)-INDEX(c_CAMy,1,INDEX('Lease Cycles'!$GC$29:$GI$29,1,BG367)+1))*(1+'Lease Cycles'!$AK$29)+(INDEX(c_TAXy,1,BG$7)-INDEX(c_TAXy,1,INDEX('Lease Cycles'!$GC$29:$GI$29,1,BG367)+1))+(INDEX(c_INSy,1,BG$7)-INDEX(c_INSy,1,INDEX('Lease Cycles'!$GC$29:$GI$29,1,BG367)+1)))/12)</f>
        <v>0</v>
      </c>
      <c r="BH378" s="28">
        <f>IF(BH377=0,0,BH377*MAX(0,(INDEX(c_CAMy,1,BH$7)-INDEX(c_CAMy,1,INDEX('Lease Cycles'!$GC$29:$GI$29,1,BH367)+1))*(1+'Lease Cycles'!$AK$29)+(INDEX(c_TAXy,1,BH$7)-INDEX(c_TAXy,1,INDEX('Lease Cycles'!$GC$29:$GI$29,1,BH367)+1))+(INDEX(c_INSy,1,BH$7)-INDEX(c_INSy,1,INDEX('Lease Cycles'!$GC$29:$GI$29,1,BH367)+1)))/12)</f>
        <v>0</v>
      </c>
      <c r="BI378" s="28">
        <f>IF(BI377=0,0,BI377*MAX(0,(INDEX(c_CAMy,1,BI$7)-INDEX(c_CAMy,1,INDEX('Lease Cycles'!$GC$29:$GI$29,1,BI367)+1))*(1+'Lease Cycles'!$AK$29)+(INDEX(c_TAXy,1,BI$7)-INDEX(c_TAXy,1,INDEX('Lease Cycles'!$GC$29:$GI$29,1,BI367)+1))+(INDEX(c_INSy,1,BI$7)-INDEX(c_INSy,1,INDEX('Lease Cycles'!$GC$29:$GI$29,1,BI367)+1)))/12)</f>
        <v>0</v>
      </c>
      <c r="BJ378" s="28">
        <f>IF(BJ377=0,0,BJ377*MAX(0,(INDEX(c_CAMy,1,BJ$7)-INDEX(c_CAMy,1,INDEX('Lease Cycles'!$GC$29:$GI$29,1,BJ367)+1))*(1+'Lease Cycles'!$AK$29)+(INDEX(c_TAXy,1,BJ$7)-INDEX(c_TAXy,1,INDEX('Lease Cycles'!$GC$29:$GI$29,1,BJ367)+1))+(INDEX(c_INSy,1,BJ$7)-INDEX(c_INSy,1,INDEX('Lease Cycles'!$GC$29:$GI$29,1,BJ367)+1)))/12)</f>
        <v>0</v>
      </c>
      <c r="BK378" s="28">
        <f>IF(BK377=0,0,BK377*MAX(0,(INDEX(c_CAMy,1,BK$7)-INDEX(c_CAMy,1,INDEX('Lease Cycles'!$GC$29:$GI$29,1,BK367)+1))*(1+'Lease Cycles'!$AK$29)+(INDEX(c_TAXy,1,BK$7)-INDEX(c_TAXy,1,INDEX('Lease Cycles'!$GC$29:$GI$29,1,BK367)+1))+(INDEX(c_INSy,1,BK$7)-INDEX(c_INSy,1,INDEX('Lease Cycles'!$GC$29:$GI$29,1,BK367)+1)))/12)</f>
        <v>0</v>
      </c>
      <c r="BL378" s="28">
        <f>IF(BL377=0,0,BL377*MAX(0,(INDEX(c_CAMy,1,BL$7)-INDEX(c_CAMy,1,INDEX('Lease Cycles'!$GC$29:$GI$29,1,BL367)+1))*(1+'Lease Cycles'!$AK$29)+(INDEX(c_TAXy,1,BL$7)-INDEX(c_TAXy,1,INDEX('Lease Cycles'!$GC$29:$GI$29,1,BL367)+1))+(INDEX(c_INSy,1,BL$7)-INDEX(c_INSy,1,INDEX('Lease Cycles'!$GC$29:$GI$29,1,BL367)+1)))/12)</f>
        <v>0</v>
      </c>
      <c r="BM378" s="28">
        <f>IF(BM377=0,0,BM377*MAX(0,(INDEX(c_CAMy,1,BM$7)-INDEX(c_CAMy,1,INDEX('Lease Cycles'!$GC$29:$GI$29,1,BM367)+1))*(1+'Lease Cycles'!$AK$29)+(INDEX(c_TAXy,1,BM$7)-INDEX(c_TAXy,1,INDEX('Lease Cycles'!$GC$29:$GI$29,1,BM367)+1))+(INDEX(c_INSy,1,BM$7)-INDEX(c_INSy,1,INDEX('Lease Cycles'!$GC$29:$GI$29,1,BM367)+1)))/12)</f>
        <v>0</v>
      </c>
      <c r="BN378" s="28">
        <f>IF(BN377=0,0,BN377*MAX(0,(INDEX(c_CAMy,1,BN$7)-INDEX(c_CAMy,1,INDEX('Lease Cycles'!$GC$29:$GI$29,1,BN367)+1))*(1+'Lease Cycles'!$AK$29)+(INDEX(c_TAXy,1,BN$7)-INDEX(c_TAXy,1,INDEX('Lease Cycles'!$GC$29:$GI$29,1,BN367)+1))+(INDEX(c_INSy,1,BN$7)-INDEX(c_INSy,1,INDEX('Lease Cycles'!$GC$29:$GI$29,1,BN367)+1)))/12)</f>
        <v>0</v>
      </c>
      <c r="BO378" s="28">
        <f>IF(BO377=0,0,BO377*MAX(0,(INDEX(c_CAMy,1,BO$7)-INDEX(c_CAMy,1,INDEX('Lease Cycles'!$GC$29:$GI$29,1,BO367)+1))*(1+'Lease Cycles'!$AK$29)+(INDEX(c_TAXy,1,BO$7)-INDEX(c_TAXy,1,INDEX('Lease Cycles'!$GC$29:$GI$29,1,BO367)+1))+(INDEX(c_INSy,1,BO$7)-INDEX(c_INSy,1,INDEX('Lease Cycles'!$GC$29:$GI$29,1,BO367)+1)))/12)</f>
        <v>0</v>
      </c>
      <c r="BP378" s="28">
        <f>IF(BP377=0,0,BP377*MAX(0,(INDEX(c_CAMy,1,BP$7)-INDEX(c_CAMy,1,INDEX('Lease Cycles'!$GC$29:$GI$29,1,BP367)+1))*(1+'Lease Cycles'!$AK$29)+(INDEX(c_TAXy,1,BP$7)-INDEX(c_TAXy,1,INDEX('Lease Cycles'!$GC$29:$GI$29,1,BP367)+1))+(INDEX(c_INSy,1,BP$7)-INDEX(c_INSy,1,INDEX('Lease Cycles'!$GC$29:$GI$29,1,BP367)+1)))/12)</f>
        <v>0</v>
      </c>
      <c r="BQ378" s="28">
        <f>IF(BQ377=0,0,BQ377*MAX(0,(INDEX(c_CAMy,1,BQ$7)-INDEX(c_CAMy,1,INDEX('Lease Cycles'!$GC$29:$GI$29,1,BQ367)+1))*(1+'Lease Cycles'!$AK$29)+(INDEX(c_TAXy,1,BQ$7)-INDEX(c_TAXy,1,INDEX('Lease Cycles'!$GC$29:$GI$29,1,BQ367)+1))+(INDEX(c_INSy,1,BQ$7)-INDEX(c_INSy,1,INDEX('Lease Cycles'!$GC$29:$GI$29,1,BQ367)+1)))/12)</f>
        <v>0</v>
      </c>
      <c r="BR378" s="28">
        <f>IF(BR377=0,0,BR377*MAX(0,(INDEX(c_CAMy,1,BR$7)-INDEX(c_CAMy,1,INDEX('Lease Cycles'!$GC$29:$GI$29,1,BR367)+1))*(1+'Lease Cycles'!$AK$29)+(INDEX(c_TAXy,1,BR$7)-INDEX(c_TAXy,1,INDEX('Lease Cycles'!$GC$29:$GI$29,1,BR367)+1))+(INDEX(c_INSy,1,BR$7)-INDEX(c_INSy,1,INDEX('Lease Cycles'!$GC$29:$GI$29,1,BR367)+1)))/12)</f>
        <v>0</v>
      </c>
      <c r="BS378" s="28">
        <f>IF(BS377=0,0,BS377*MAX(0,(INDEX(c_CAMy,1,BS$7)-INDEX(c_CAMy,1,INDEX('Lease Cycles'!$GC$29:$GI$29,1,BS367)+1))*(1+'Lease Cycles'!$AK$29)+(INDEX(c_TAXy,1,BS$7)-INDEX(c_TAXy,1,INDEX('Lease Cycles'!$GC$29:$GI$29,1,BS367)+1))+(INDEX(c_INSy,1,BS$7)-INDEX(c_INSy,1,INDEX('Lease Cycles'!$GC$29:$GI$29,1,BS367)+1)))/12)</f>
        <v>0</v>
      </c>
      <c r="BT378" s="28">
        <f>IF(BT377=0,0,BT377*MAX(0,(INDEX(c_CAMy,1,BT$7)-INDEX(c_CAMy,1,INDEX('Lease Cycles'!$GC$29:$GI$29,1,BT367)+1))*(1+'Lease Cycles'!$AK$29)+(INDEX(c_TAXy,1,BT$7)-INDEX(c_TAXy,1,INDEX('Lease Cycles'!$GC$29:$GI$29,1,BT367)+1))+(INDEX(c_INSy,1,BT$7)-INDEX(c_INSy,1,INDEX('Lease Cycles'!$GC$29:$GI$29,1,BT367)+1)))/12)</f>
        <v>0</v>
      </c>
      <c r="BU378" s="28">
        <f>IF(BU377=0,0,BU377*MAX(0,(INDEX(c_CAMy,1,BU$7)-INDEX(c_CAMy,1,INDEX('Lease Cycles'!$GC$29:$GI$29,1,BU367)+1))*(1+'Lease Cycles'!$AK$29)+(INDEX(c_TAXy,1,BU$7)-INDEX(c_TAXy,1,INDEX('Lease Cycles'!$GC$29:$GI$29,1,BU367)+1))+(INDEX(c_INSy,1,BU$7)-INDEX(c_INSy,1,INDEX('Lease Cycles'!$GC$29:$GI$29,1,BU367)+1)))/12)</f>
        <v>0</v>
      </c>
      <c r="BV378" s="28">
        <f>IF(BV377=0,0,BV377*MAX(0,(INDEX(c_CAMy,1,BV$7)-INDEX(c_CAMy,1,INDEX('Lease Cycles'!$GC$29:$GI$29,1,BV367)+1))*(1+'Lease Cycles'!$AK$29)+(INDEX(c_TAXy,1,BV$7)-INDEX(c_TAXy,1,INDEX('Lease Cycles'!$GC$29:$GI$29,1,BV367)+1))+(INDEX(c_INSy,1,BV$7)-INDEX(c_INSy,1,INDEX('Lease Cycles'!$GC$29:$GI$29,1,BV367)+1)))/12)</f>
        <v>0</v>
      </c>
      <c r="BW378" s="28">
        <f>IF(BW377=0,0,BW377*MAX(0,(INDEX(c_CAMy,1,BW$7)-INDEX(c_CAMy,1,INDEX('Lease Cycles'!$GC$29:$GI$29,1,BW367)+1))*(1+'Lease Cycles'!$AK$29)+(INDEX(c_TAXy,1,BW$7)-INDEX(c_TAXy,1,INDEX('Lease Cycles'!$GC$29:$GI$29,1,BW367)+1))+(INDEX(c_INSy,1,BW$7)-INDEX(c_INSy,1,INDEX('Lease Cycles'!$GC$29:$GI$29,1,BW367)+1)))/12)</f>
        <v>0</v>
      </c>
      <c r="BX378" s="28">
        <f>IF(BX377=0,0,BX377*MAX(0,(INDEX(c_CAMy,1,BX$7)-INDEX(c_CAMy,1,INDEX('Lease Cycles'!$GC$29:$GI$29,1,BX367)+1))*(1+'Lease Cycles'!$AK$29)+(INDEX(c_TAXy,1,BX$7)-INDEX(c_TAXy,1,INDEX('Lease Cycles'!$GC$29:$GI$29,1,BX367)+1))+(INDEX(c_INSy,1,BX$7)-INDEX(c_INSy,1,INDEX('Lease Cycles'!$GC$29:$GI$29,1,BX367)+1)))/12)</f>
        <v>0</v>
      </c>
      <c r="BY378" s="28">
        <f>IF(BY377=0,0,BY377*MAX(0,(INDEX(c_CAMy,1,BY$7)-INDEX(c_CAMy,1,INDEX('Lease Cycles'!$GC$29:$GI$29,1,BY367)+1))*(1+'Lease Cycles'!$AK$29)+(INDEX(c_TAXy,1,BY$7)-INDEX(c_TAXy,1,INDEX('Lease Cycles'!$GC$29:$GI$29,1,BY367)+1))+(INDEX(c_INSy,1,BY$7)-INDEX(c_INSy,1,INDEX('Lease Cycles'!$GC$29:$GI$29,1,BY367)+1)))/12)</f>
        <v>0</v>
      </c>
      <c r="BZ378" s="28">
        <f>IF(BZ377=0,0,BZ377*MAX(0,(INDEX(c_CAMy,1,BZ$7)-INDEX(c_CAMy,1,INDEX('Lease Cycles'!$GC$29:$GI$29,1,BZ367)+1))*(1+'Lease Cycles'!$AK$29)+(INDEX(c_TAXy,1,BZ$7)-INDEX(c_TAXy,1,INDEX('Lease Cycles'!$GC$29:$GI$29,1,BZ367)+1))+(INDEX(c_INSy,1,BZ$7)-INDEX(c_INSy,1,INDEX('Lease Cycles'!$GC$29:$GI$29,1,BZ367)+1)))/12)</f>
        <v>0</v>
      </c>
      <c r="CA378" s="28">
        <f>IF(CA377=0,0,CA377*MAX(0,(INDEX(c_CAMy,1,CA$7)-INDEX(c_CAMy,1,INDEX('Lease Cycles'!$GC$29:$GI$29,1,CA367)+1))*(1+'Lease Cycles'!$AK$29)+(INDEX(c_TAXy,1,CA$7)-INDEX(c_TAXy,1,INDEX('Lease Cycles'!$GC$29:$GI$29,1,CA367)+1))+(INDEX(c_INSy,1,CA$7)-INDEX(c_INSy,1,INDEX('Lease Cycles'!$GC$29:$GI$29,1,CA367)+1)))/12)</f>
        <v>0</v>
      </c>
      <c r="CB378" s="28">
        <f>IF(CB377=0,0,CB377*MAX(0,(INDEX(c_CAMy,1,CB$7)-INDEX(c_CAMy,1,INDEX('Lease Cycles'!$GC$29:$GI$29,1,CB367)+1))*(1+'Lease Cycles'!$AK$29)+(INDEX(c_TAXy,1,CB$7)-INDEX(c_TAXy,1,INDEX('Lease Cycles'!$GC$29:$GI$29,1,CB367)+1))+(INDEX(c_INSy,1,CB$7)-INDEX(c_INSy,1,INDEX('Lease Cycles'!$GC$29:$GI$29,1,CB367)+1)))/12)</f>
        <v>0</v>
      </c>
      <c r="CC378" s="28">
        <f>IF(CC377=0,0,CC377*MAX(0,(INDEX(c_CAMy,1,CC$7)-INDEX(c_CAMy,1,INDEX('Lease Cycles'!$GC$29:$GI$29,1,CC367)+1))*(1+'Lease Cycles'!$AK$29)+(INDEX(c_TAXy,1,CC$7)-INDEX(c_TAXy,1,INDEX('Lease Cycles'!$GC$29:$GI$29,1,CC367)+1))+(INDEX(c_INSy,1,CC$7)-INDEX(c_INSy,1,INDEX('Lease Cycles'!$GC$29:$GI$29,1,CC367)+1)))/12)</f>
        <v>0</v>
      </c>
      <c r="CD378" s="28">
        <f>IF(CD377=0,0,CD377*MAX(0,(INDEX(c_CAMy,1,CD$7)-INDEX(c_CAMy,1,INDEX('Lease Cycles'!$GC$29:$GI$29,1,CD367)+1))*(1+'Lease Cycles'!$AK$29)+(INDEX(c_TAXy,1,CD$7)-INDEX(c_TAXy,1,INDEX('Lease Cycles'!$GC$29:$GI$29,1,CD367)+1))+(INDEX(c_INSy,1,CD$7)-INDEX(c_INSy,1,INDEX('Lease Cycles'!$GC$29:$GI$29,1,CD367)+1)))/12)</f>
        <v>0</v>
      </c>
      <c r="CE378" s="28">
        <f>IF(CE377=0,0,CE377*MAX(0,(INDEX(c_CAMy,1,CE$7)-INDEX(c_CAMy,1,INDEX('Lease Cycles'!$GC$29:$GI$29,1,CE367)+1))*(1+'Lease Cycles'!$AK$29)+(INDEX(c_TAXy,1,CE$7)-INDEX(c_TAXy,1,INDEX('Lease Cycles'!$GC$29:$GI$29,1,CE367)+1))+(INDEX(c_INSy,1,CE$7)-INDEX(c_INSy,1,INDEX('Lease Cycles'!$GC$29:$GI$29,1,CE367)+1)))/12)</f>
        <v>0</v>
      </c>
      <c r="CF378" s="28">
        <f>IF(CF377=0,0,CF377*MAX(0,(INDEX(c_CAMy,1,CF$7)-INDEX(c_CAMy,1,INDEX('Lease Cycles'!$GC$29:$GI$29,1,CF367)+1))*(1+'Lease Cycles'!$AK$29)+(INDEX(c_TAXy,1,CF$7)-INDEX(c_TAXy,1,INDEX('Lease Cycles'!$GC$29:$GI$29,1,CF367)+1))+(INDEX(c_INSy,1,CF$7)-INDEX(c_INSy,1,INDEX('Lease Cycles'!$GC$29:$GI$29,1,CF367)+1)))/12)</f>
        <v>0</v>
      </c>
      <c r="CG378" s="28">
        <f>IF(CG377=0,0,CG377*MAX(0,(INDEX(c_CAMy,1,CG$7)-INDEX(c_CAMy,1,INDEX('Lease Cycles'!$GC$29:$GI$29,1,CG367)+1))*(1+'Lease Cycles'!$AK$29)+(INDEX(c_TAXy,1,CG$7)-INDEX(c_TAXy,1,INDEX('Lease Cycles'!$GC$29:$GI$29,1,CG367)+1))+(INDEX(c_INSy,1,CG$7)-INDEX(c_INSy,1,INDEX('Lease Cycles'!$GC$29:$GI$29,1,CG367)+1)))/12)</f>
        <v>0</v>
      </c>
      <c r="CH378" s="28">
        <f>IF(CH377=0,0,CH377*MAX(0,(INDEX(c_CAMy,1,CH$7)-INDEX(c_CAMy,1,INDEX('Lease Cycles'!$GC$29:$GI$29,1,CH367)+1))*(1+'Lease Cycles'!$AK$29)+(INDEX(c_TAXy,1,CH$7)-INDEX(c_TAXy,1,INDEX('Lease Cycles'!$GC$29:$GI$29,1,CH367)+1))+(INDEX(c_INSy,1,CH$7)-INDEX(c_INSy,1,INDEX('Lease Cycles'!$GC$29:$GI$29,1,CH367)+1)))/12)</f>
        <v>0</v>
      </c>
      <c r="CI378" s="28">
        <f>IF(CI377=0,0,CI377*MAX(0,(INDEX(c_CAMy,1,CI$7)-INDEX(c_CAMy,1,INDEX('Lease Cycles'!$GC$29:$GI$29,1,CI367)+1))*(1+'Lease Cycles'!$AK$29)+(INDEX(c_TAXy,1,CI$7)-INDEX(c_TAXy,1,INDEX('Lease Cycles'!$GC$29:$GI$29,1,CI367)+1))+(INDEX(c_INSy,1,CI$7)-INDEX(c_INSy,1,INDEX('Lease Cycles'!$GC$29:$GI$29,1,CI367)+1)))/12)</f>
        <v>0</v>
      </c>
      <c r="CJ378" s="28">
        <f>IF(CJ377=0,0,CJ377*MAX(0,(INDEX(c_CAMy,1,CJ$7)-INDEX(c_CAMy,1,INDEX('Lease Cycles'!$GC$29:$GI$29,1,CJ367)+1))*(1+'Lease Cycles'!$AK$29)+(INDEX(c_TAXy,1,CJ$7)-INDEX(c_TAXy,1,INDEX('Lease Cycles'!$GC$29:$GI$29,1,CJ367)+1))+(INDEX(c_INSy,1,CJ$7)-INDEX(c_INSy,1,INDEX('Lease Cycles'!$GC$29:$GI$29,1,CJ367)+1)))/12)</f>
        <v>0</v>
      </c>
      <c r="CK378" s="28">
        <f>IF(CK377=0,0,CK377*MAX(0,(INDEX(c_CAMy,1,CK$7)-INDEX(c_CAMy,1,INDEX('Lease Cycles'!$GC$29:$GI$29,1,CK367)+1))*(1+'Lease Cycles'!$AK$29)+(INDEX(c_TAXy,1,CK$7)-INDEX(c_TAXy,1,INDEX('Lease Cycles'!$GC$29:$GI$29,1,CK367)+1))+(INDEX(c_INSy,1,CK$7)-INDEX(c_INSy,1,INDEX('Lease Cycles'!$GC$29:$GI$29,1,CK367)+1)))/12)</f>
        <v>0</v>
      </c>
      <c r="CL378" s="28">
        <f>IF(CL377=0,0,CL377*MAX(0,(INDEX(c_CAMy,1,CL$7)-INDEX(c_CAMy,1,INDEX('Lease Cycles'!$GC$29:$GI$29,1,CL367)+1))*(1+'Lease Cycles'!$AK$29)+(INDEX(c_TAXy,1,CL$7)-INDEX(c_TAXy,1,INDEX('Lease Cycles'!$GC$29:$GI$29,1,CL367)+1))+(INDEX(c_INSy,1,CL$7)-INDEX(c_INSy,1,INDEX('Lease Cycles'!$GC$29:$GI$29,1,CL367)+1)))/12)</f>
        <v>0</v>
      </c>
      <c r="CM378" s="28">
        <f>IF(CM377=0,0,CM377*MAX(0,(INDEX(c_CAMy,1,CM$7)-INDEX(c_CAMy,1,INDEX('Lease Cycles'!$GC$29:$GI$29,1,CM367)+1))*(1+'Lease Cycles'!$AK$29)+(INDEX(c_TAXy,1,CM$7)-INDEX(c_TAXy,1,INDEX('Lease Cycles'!$GC$29:$GI$29,1,CM367)+1))+(INDEX(c_INSy,1,CM$7)-INDEX(c_INSy,1,INDEX('Lease Cycles'!$GC$29:$GI$29,1,CM367)+1)))/12)</f>
        <v>0</v>
      </c>
      <c r="CN378" s="28">
        <f>IF(CN377=0,0,CN377*MAX(0,(INDEX(c_CAMy,1,CN$7)-INDEX(c_CAMy,1,INDEX('Lease Cycles'!$GC$29:$GI$29,1,CN367)+1))*(1+'Lease Cycles'!$AK$29)+(INDEX(c_TAXy,1,CN$7)-INDEX(c_TAXy,1,INDEX('Lease Cycles'!$GC$29:$GI$29,1,CN367)+1))+(INDEX(c_INSy,1,CN$7)-INDEX(c_INSy,1,INDEX('Lease Cycles'!$GC$29:$GI$29,1,CN367)+1)))/12)</f>
        <v>0</v>
      </c>
      <c r="CO378" s="28">
        <f>IF(CO377=0,0,CO377*MAX(0,(INDEX(c_CAMy,1,CO$7)-INDEX(c_CAMy,1,INDEX('Lease Cycles'!$GC$29:$GI$29,1,CO367)+1))*(1+'Lease Cycles'!$AK$29)+(INDEX(c_TAXy,1,CO$7)-INDEX(c_TAXy,1,INDEX('Lease Cycles'!$GC$29:$GI$29,1,CO367)+1))+(INDEX(c_INSy,1,CO$7)-INDEX(c_INSy,1,INDEX('Lease Cycles'!$GC$29:$GI$29,1,CO367)+1)))/12)</f>
        <v>0</v>
      </c>
      <c r="CP378" s="28">
        <f>IF(CP377=0,0,CP377*MAX(0,(INDEX(c_CAMy,1,CP$7)-INDEX(c_CAMy,1,INDEX('Lease Cycles'!$GC$29:$GI$29,1,CP367)+1))*(1+'Lease Cycles'!$AK$29)+(INDEX(c_TAXy,1,CP$7)-INDEX(c_TAXy,1,INDEX('Lease Cycles'!$GC$29:$GI$29,1,CP367)+1))+(INDEX(c_INSy,1,CP$7)-INDEX(c_INSy,1,INDEX('Lease Cycles'!$GC$29:$GI$29,1,CP367)+1)))/12)</f>
        <v>0</v>
      </c>
      <c r="CQ378" s="28">
        <f>IF(CQ377=0,0,CQ377*MAX(0,(INDEX(c_CAMy,1,CQ$7)-INDEX(c_CAMy,1,INDEX('Lease Cycles'!$GC$29:$GI$29,1,CQ367)+1))*(1+'Lease Cycles'!$AK$29)+(INDEX(c_TAXy,1,CQ$7)-INDEX(c_TAXy,1,INDEX('Lease Cycles'!$GC$29:$GI$29,1,CQ367)+1))+(INDEX(c_INSy,1,CQ$7)-INDEX(c_INSy,1,INDEX('Lease Cycles'!$GC$29:$GI$29,1,CQ367)+1)))/12)</f>
        <v>0</v>
      </c>
      <c r="CR378" s="28">
        <f>IF(CR377=0,0,CR377*MAX(0,(INDEX(c_CAMy,1,CR$7)-INDEX(c_CAMy,1,INDEX('Lease Cycles'!$GC$29:$GI$29,1,CR367)+1))*(1+'Lease Cycles'!$AK$29)+(INDEX(c_TAXy,1,CR$7)-INDEX(c_TAXy,1,INDEX('Lease Cycles'!$GC$29:$GI$29,1,CR367)+1))+(INDEX(c_INSy,1,CR$7)-INDEX(c_INSy,1,INDEX('Lease Cycles'!$GC$29:$GI$29,1,CR367)+1)))/12)</f>
        <v>0</v>
      </c>
      <c r="CS378" s="28">
        <f>IF(CS377=0,0,CS377*MAX(0,(INDEX(c_CAMy,1,CS$7)-INDEX(c_CAMy,1,INDEX('Lease Cycles'!$GC$29:$GI$29,1,CS367)+1))*(1+'Lease Cycles'!$AK$29)+(INDEX(c_TAXy,1,CS$7)-INDEX(c_TAXy,1,INDEX('Lease Cycles'!$GC$29:$GI$29,1,CS367)+1))+(INDEX(c_INSy,1,CS$7)-INDEX(c_INSy,1,INDEX('Lease Cycles'!$GC$29:$GI$29,1,CS367)+1)))/12)</f>
        <v>0</v>
      </c>
      <c r="CT378" s="28">
        <f>IF(CT377=0,0,CT377*MAX(0,(INDEX(c_CAMy,1,CT$7)-INDEX(c_CAMy,1,INDEX('Lease Cycles'!$GC$29:$GI$29,1,CT367)+1))*(1+'Lease Cycles'!$AK$29)+(INDEX(c_TAXy,1,CT$7)-INDEX(c_TAXy,1,INDEX('Lease Cycles'!$GC$29:$GI$29,1,CT367)+1))+(INDEX(c_INSy,1,CT$7)-INDEX(c_INSy,1,INDEX('Lease Cycles'!$GC$29:$GI$29,1,CT367)+1)))/12)</f>
        <v>0</v>
      </c>
      <c r="CU378" s="28">
        <f>IF(CU377=0,0,CU377*MAX(0,(INDEX(c_CAMy,1,CU$7)-INDEX(c_CAMy,1,INDEX('Lease Cycles'!$GC$29:$GI$29,1,CU367)+1))*(1+'Lease Cycles'!$AK$29)+(INDEX(c_TAXy,1,CU$7)-INDEX(c_TAXy,1,INDEX('Lease Cycles'!$GC$29:$GI$29,1,CU367)+1))+(INDEX(c_INSy,1,CU$7)-INDEX(c_INSy,1,INDEX('Lease Cycles'!$GC$29:$GI$29,1,CU367)+1)))/12)</f>
        <v>0</v>
      </c>
      <c r="CV378" s="28">
        <f>IF(CV377=0,0,CV377*MAX(0,(INDEX(c_CAMy,1,CV$7)-INDEX(c_CAMy,1,INDEX('Lease Cycles'!$GC$29:$GI$29,1,CV367)+1))*(1+'Lease Cycles'!$AK$29)+(INDEX(c_TAXy,1,CV$7)-INDEX(c_TAXy,1,INDEX('Lease Cycles'!$GC$29:$GI$29,1,CV367)+1))+(INDEX(c_INSy,1,CV$7)-INDEX(c_INSy,1,INDEX('Lease Cycles'!$GC$29:$GI$29,1,CV367)+1)))/12)</f>
        <v>0</v>
      </c>
      <c r="CW378" s="28">
        <f>IF(CW377=0,0,CW377*MAX(0,(INDEX(c_CAMy,1,CW$7)-INDEX(c_CAMy,1,INDEX('Lease Cycles'!$GC$29:$GI$29,1,CW367)+1))*(1+'Lease Cycles'!$AK$29)+(INDEX(c_TAXy,1,CW$7)-INDEX(c_TAXy,1,INDEX('Lease Cycles'!$GC$29:$GI$29,1,CW367)+1))+(INDEX(c_INSy,1,CW$7)-INDEX(c_INSy,1,INDEX('Lease Cycles'!$GC$29:$GI$29,1,CW367)+1)))/12)</f>
        <v>0</v>
      </c>
      <c r="CX378" s="28">
        <f>IF(CX377=0,0,CX377*MAX(0,(INDEX(c_CAMy,1,CX$7)-INDEX(c_CAMy,1,INDEX('Lease Cycles'!$GC$29:$GI$29,1,CX367)+1))*(1+'Lease Cycles'!$AK$29)+(INDEX(c_TAXy,1,CX$7)-INDEX(c_TAXy,1,INDEX('Lease Cycles'!$GC$29:$GI$29,1,CX367)+1))+(INDEX(c_INSy,1,CX$7)-INDEX(c_INSy,1,INDEX('Lease Cycles'!$GC$29:$GI$29,1,CX367)+1)))/12)</f>
        <v>0</v>
      </c>
      <c r="CY378" s="28">
        <f>IF(CY377=0,0,CY377*MAX(0,(INDEX(c_CAMy,1,CY$7)-INDEX(c_CAMy,1,INDEX('Lease Cycles'!$GC$29:$GI$29,1,CY367)+1))*(1+'Lease Cycles'!$AK$29)+(INDEX(c_TAXy,1,CY$7)-INDEX(c_TAXy,1,INDEX('Lease Cycles'!$GC$29:$GI$29,1,CY367)+1))+(INDEX(c_INSy,1,CY$7)-INDEX(c_INSy,1,INDEX('Lease Cycles'!$GC$29:$GI$29,1,CY367)+1)))/12)</f>
        <v>0</v>
      </c>
      <c r="CZ378" s="28">
        <f>IF(CZ377=0,0,CZ377*MAX(0,(INDEX(c_CAMy,1,CZ$7)-INDEX(c_CAMy,1,INDEX('Lease Cycles'!$GC$29:$GI$29,1,CZ367)+1))*(1+'Lease Cycles'!$AK$29)+(INDEX(c_TAXy,1,CZ$7)-INDEX(c_TAXy,1,INDEX('Lease Cycles'!$GC$29:$GI$29,1,CZ367)+1))+(INDEX(c_INSy,1,CZ$7)-INDEX(c_INSy,1,INDEX('Lease Cycles'!$GC$29:$GI$29,1,CZ367)+1)))/12)</f>
        <v>0</v>
      </c>
      <c r="DA378" s="28">
        <f>IF(DA377=0,0,DA377*MAX(0,(INDEX(c_CAMy,1,DA$7)-INDEX(c_CAMy,1,INDEX('Lease Cycles'!$GC$29:$GI$29,1,DA367)+1))*(1+'Lease Cycles'!$AK$29)+(INDEX(c_TAXy,1,DA$7)-INDEX(c_TAXy,1,INDEX('Lease Cycles'!$GC$29:$GI$29,1,DA367)+1))+(INDEX(c_INSy,1,DA$7)-INDEX(c_INSy,1,INDEX('Lease Cycles'!$GC$29:$GI$29,1,DA367)+1)))/12)</f>
        <v>0</v>
      </c>
      <c r="DB378" s="28">
        <f>IF(DB377=0,0,DB377*MAX(0,(INDEX(c_CAMy,1,DB$7)-INDEX(c_CAMy,1,INDEX('Lease Cycles'!$GC$29:$GI$29,1,DB367)+1))*(1+'Lease Cycles'!$AK$29)+(INDEX(c_TAXy,1,DB$7)-INDEX(c_TAXy,1,INDEX('Lease Cycles'!$GC$29:$GI$29,1,DB367)+1))+(INDEX(c_INSy,1,DB$7)-INDEX(c_INSy,1,INDEX('Lease Cycles'!$GC$29:$GI$29,1,DB367)+1)))/12)</f>
        <v>0</v>
      </c>
      <c r="DC378" s="28">
        <f>IF(DC377=0,0,DC377*MAX(0,(INDEX(c_CAMy,1,DC$7)-INDEX(c_CAMy,1,INDEX('Lease Cycles'!$GC$29:$GI$29,1,DC367)+1))*(1+'Lease Cycles'!$AK$29)+(INDEX(c_TAXy,1,DC$7)-INDEX(c_TAXy,1,INDEX('Lease Cycles'!$GC$29:$GI$29,1,DC367)+1))+(INDEX(c_INSy,1,DC$7)-INDEX(c_INSy,1,INDEX('Lease Cycles'!$GC$29:$GI$29,1,DC367)+1)))/12)</f>
        <v>0</v>
      </c>
      <c r="DD378" s="28">
        <f>IF(DD377=0,0,DD377*MAX(0,(INDEX(c_CAMy,1,DD$7)-INDEX(c_CAMy,1,INDEX('Lease Cycles'!$GC$29:$GI$29,1,DD367)+1))*(1+'Lease Cycles'!$AK$29)+(INDEX(c_TAXy,1,DD$7)-INDEX(c_TAXy,1,INDEX('Lease Cycles'!$GC$29:$GI$29,1,DD367)+1))+(INDEX(c_INSy,1,DD$7)-INDEX(c_INSy,1,INDEX('Lease Cycles'!$GC$29:$GI$29,1,DD367)+1)))/12)</f>
        <v>0</v>
      </c>
      <c r="DE378" s="28">
        <f>IF(DE377=0,0,DE377*MAX(0,(INDEX(c_CAMy,1,DE$7)-INDEX(c_CAMy,1,INDEX('Lease Cycles'!$GC$29:$GI$29,1,DE367)+1))*(1+'Lease Cycles'!$AK$29)+(INDEX(c_TAXy,1,DE$7)-INDEX(c_TAXy,1,INDEX('Lease Cycles'!$GC$29:$GI$29,1,DE367)+1))+(INDEX(c_INSy,1,DE$7)-INDEX(c_INSy,1,INDEX('Lease Cycles'!$GC$29:$GI$29,1,DE367)+1)))/12)</f>
        <v>0</v>
      </c>
      <c r="DF378" s="28">
        <f>IF(DF377=0,0,DF377*MAX(0,(INDEX(c_CAMy,1,DF$7)-INDEX(c_CAMy,1,INDEX('Lease Cycles'!$GC$29:$GI$29,1,DF367)+1))*(1+'Lease Cycles'!$AK$29)+(INDEX(c_TAXy,1,DF$7)-INDEX(c_TAXy,1,INDEX('Lease Cycles'!$GC$29:$GI$29,1,DF367)+1))+(INDEX(c_INSy,1,DF$7)-INDEX(c_INSy,1,INDEX('Lease Cycles'!$GC$29:$GI$29,1,DF367)+1)))/12)</f>
        <v>0</v>
      </c>
      <c r="DG378" s="28">
        <f>IF(DG377=0,0,DG377*MAX(0,(INDEX(c_CAMy,1,DG$7)-INDEX(c_CAMy,1,INDEX('Lease Cycles'!$GC$29:$GI$29,1,DG367)+1))*(1+'Lease Cycles'!$AK$29)+(INDEX(c_TAXy,1,DG$7)-INDEX(c_TAXy,1,INDEX('Lease Cycles'!$GC$29:$GI$29,1,DG367)+1))+(INDEX(c_INSy,1,DG$7)-INDEX(c_INSy,1,INDEX('Lease Cycles'!$GC$29:$GI$29,1,DG367)+1)))/12)</f>
        <v>0</v>
      </c>
      <c r="DH378" s="28">
        <f>IF(DH377=0,0,DH377*MAX(0,(INDEX(c_CAMy,1,DH$7)-INDEX(c_CAMy,1,INDEX('Lease Cycles'!$GC$29:$GI$29,1,DH367)+1))*(1+'Lease Cycles'!$AK$29)+(INDEX(c_TAXy,1,DH$7)-INDEX(c_TAXy,1,INDEX('Lease Cycles'!$GC$29:$GI$29,1,DH367)+1))+(INDEX(c_INSy,1,DH$7)-INDEX(c_INSy,1,INDEX('Lease Cycles'!$GC$29:$GI$29,1,DH367)+1)))/12)</f>
        <v>0</v>
      </c>
      <c r="DI378" s="28">
        <f>IF(DI377=0,0,DI377*MAX(0,(INDEX(c_CAMy,1,DI$7)-INDEX(c_CAMy,1,INDEX('Lease Cycles'!$GC$29:$GI$29,1,DI367)+1))*(1+'Lease Cycles'!$AK$29)+(INDEX(c_TAXy,1,DI$7)-INDEX(c_TAXy,1,INDEX('Lease Cycles'!$GC$29:$GI$29,1,DI367)+1))+(INDEX(c_INSy,1,DI$7)-INDEX(c_INSy,1,INDEX('Lease Cycles'!$GC$29:$GI$29,1,DI367)+1)))/12)</f>
        <v>0</v>
      </c>
      <c r="DJ378" s="28">
        <f>IF(DJ377=0,0,DJ377*MAX(0,(INDEX(c_CAMy,1,DJ$7)-INDEX(c_CAMy,1,INDEX('Lease Cycles'!$GC$29:$GI$29,1,DJ367)+1))*(1+'Lease Cycles'!$AK$29)+(INDEX(c_TAXy,1,DJ$7)-INDEX(c_TAXy,1,INDEX('Lease Cycles'!$GC$29:$GI$29,1,DJ367)+1))+(INDEX(c_INSy,1,DJ$7)-INDEX(c_INSy,1,INDEX('Lease Cycles'!$GC$29:$GI$29,1,DJ367)+1)))/12)</f>
        <v>0</v>
      </c>
      <c r="DK378" s="28">
        <f>IF(DK377=0,0,DK377*MAX(0,(INDEX(c_CAMy,1,DK$7)-INDEX(c_CAMy,1,INDEX('Lease Cycles'!$GC$29:$GI$29,1,DK367)+1))*(1+'Lease Cycles'!$AK$29)+(INDEX(c_TAXy,1,DK$7)-INDEX(c_TAXy,1,INDEX('Lease Cycles'!$GC$29:$GI$29,1,DK367)+1))+(INDEX(c_INSy,1,DK$7)-INDEX(c_INSy,1,INDEX('Lease Cycles'!$GC$29:$GI$29,1,DK367)+1)))/12)</f>
        <v>0</v>
      </c>
      <c r="DL378" s="28">
        <f>IF(DL377=0,0,DL377*MAX(0,(INDEX(c_CAMy,1,DL$7)-INDEX(c_CAMy,1,INDEX('Lease Cycles'!$GC$29:$GI$29,1,DL367)+1))*(1+'Lease Cycles'!$AK$29)+(INDEX(c_TAXy,1,DL$7)-INDEX(c_TAXy,1,INDEX('Lease Cycles'!$GC$29:$GI$29,1,DL367)+1))+(INDEX(c_INSy,1,DL$7)-INDEX(c_INSy,1,INDEX('Lease Cycles'!$GC$29:$GI$29,1,DL367)+1)))/12)</f>
        <v>0</v>
      </c>
      <c r="DM378" s="28">
        <f>IF(DM377=0,0,DM377*MAX(0,(INDEX(c_CAMy,1,DM$7)-INDEX(c_CAMy,1,INDEX('Lease Cycles'!$GC$29:$GI$29,1,DM367)+1))*(1+'Lease Cycles'!$AK$29)+(INDEX(c_TAXy,1,DM$7)-INDEX(c_TAXy,1,INDEX('Lease Cycles'!$GC$29:$GI$29,1,DM367)+1))+(INDEX(c_INSy,1,DM$7)-INDEX(c_INSy,1,INDEX('Lease Cycles'!$GC$29:$GI$29,1,DM367)+1)))/12)</f>
        <v>0</v>
      </c>
      <c r="DN378" s="28">
        <f>IF(DN377=0,0,DN377*MAX(0,(INDEX(c_CAMy,1,DN$7)-INDEX(c_CAMy,1,INDEX('Lease Cycles'!$GC$29:$GI$29,1,DN367)+1))*(1+'Lease Cycles'!$AK$29)+(INDEX(c_TAXy,1,DN$7)-INDEX(c_TAXy,1,INDEX('Lease Cycles'!$GC$29:$GI$29,1,DN367)+1))+(INDEX(c_INSy,1,DN$7)-INDEX(c_INSy,1,INDEX('Lease Cycles'!$GC$29:$GI$29,1,DN367)+1)))/12)</f>
        <v>0</v>
      </c>
      <c r="DO378" s="28">
        <f>IF(DO377=0,0,DO377*MAX(0,(INDEX(c_CAMy,1,DO$7)-INDEX(c_CAMy,1,INDEX('Lease Cycles'!$GC$29:$GI$29,1,DO367)+1))*(1+'Lease Cycles'!$AK$29)+(INDEX(c_TAXy,1,DO$7)-INDEX(c_TAXy,1,INDEX('Lease Cycles'!$GC$29:$GI$29,1,DO367)+1))+(INDEX(c_INSy,1,DO$7)-INDEX(c_INSy,1,INDEX('Lease Cycles'!$GC$29:$GI$29,1,DO367)+1)))/12)</f>
        <v>0</v>
      </c>
      <c r="DP378" s="28">
        <f>IF(DP377=0,0,DP377*MAX(0,(INDEX(c_CAMy,1,DP$7)-INDEX(c_CAMy,1,INDEX('Lease Cycles'!$GC$29:$GI$29,1,DP367)+1))*(1+'Lease Cycles'!$AK$29)+(INDEX(c_TAXy,1,DP$7)-INDEX(c_TAXy,1,INDEX('Lease Cycles'!$GC$29:$GI$29,1,DP367)+1))+(INDEX(c_INSy,1,DP$7)-INDEX(c_INSy,1,INDEX('Lease Cycles'!$GC$29:$GI$29,1,DP367)+1)))/12)</f>
        <v>0</v>
      </c>
      <c r="DQ378" s="28">
        <f>IF(DQ377=0,0,DQ377*MAX(0,(INDEX(c_CAMy,1,DQ$7)-INDEX(c_CAMy,1,INDEX('Lease Cycles'!$GC$29:$GI$29,1,DQ367)+1))*(1+'Lease Cycles'!$AK$29)+(INDEX(c_TAXy,1,DQ$7)-INDEX(c_TAXy,1,INDEX('Lease Cycles'!$GC$29:$GI$29,1,DQ367)+1))+(INDEX(c_INSy,1,DQ$7)-INDEX(c_INSy,1,INDEX('Lease Cycles'!$GC$29:$GI$29,1,DQ367)+1)))/12)</f>
        <v>0</v>
      </c>
      <c r="DR378" s="28">
        <f>IF(DR377=0,0,DR377*MAX(0,(INDEX(c_CAMy,1,DR$7)-INDEX(c_CAMy,1,INDEX('Lease Cycles'!$GC$29:$GI$29,1,DR367)+1))*(1+'Lease Cycles'!$AK$29)+(INDEX(c_TAXy,1,DR$7)-INDEX(c_TAXy,1,INDEX('Lease Cycles'!$GC$29:$GI$29,1,DR367)+1))+(INDEX(c_INSy,1,DR$7)-INDEX(c_INSy,1,INDEX('Lease Cycles'!$GC$29:$GI$29,1,DR367)+1)))/12)</f>
        <v>0</v>
      </c>
      <c r="DS378" s="28">
        <f>IF(DS377=0,0,DS377*MAX(0,(INDEX(c_CAMy,1,DS$7)-INDEX(c_CAMy,1,INDEX('Lease Cycles'!$GC$29:$GI$29,1,DS367)+1))*(1+'Lease Cycles'!$AK$29)+(INDEX(c_TAXy,1,DS$7)-INDEX(c_TAXy,1,INDEX('Lease Cycles'!$GC$29:$GI$29,1,DS367)+1))+(INDEX(c_INSy,1,DS$7)-INDEX(c_INSy,1,INDEX('Lease Cycles'!$GC$29:$GI$29,1,DS367)+1)))/12)</f>
        <v>0</v>
      </c>
      <c r="DT378" s="28">
        <f>IF(DT377=0,0,DT377*MAX(0,(INDEX(c_CAMy,1,DT$7)-INDEX(c_CAMy,1,INDEX('Lease Cycles'!$GC$29:$GI$29,1,DT367)+1))*(1+'Lease Cycles'!$AK$29)+(INDEX(c_TAXy,1,DT$7)-INDEX(c_TAXy,1,INDEX('Lease Cycles'!$GC$29:$GI$29,1,DT367)+1))+(INDEX(c_INSy,1,DT$7)-INDEX(c_INSy,1,INDEX('Lease Cycles'!$GC$29:$GI$29,1,DT367)+1)))/12)</f>
        <v>0</v>
      </c>
      <c r="DU378" s="28">
        <f>IF(DU377=0,0,DU377*MAX(0,(INDEX(c_CAMy,1,DU$7)-INDEX(c_CAMy,1,INDEX('Lease Cycles'!$GC$29:$GI$29,1,DU367)+1))*(1+'Lease Cycles'!$AK$29)+(INDEX(c_TAXy,1,DU$7)-INDEX(c_TAXy,1,INDEX('Lease Cycles'!$GC$29:$GI$29,1,DU367)+1))+(INDEX(c_INSy,1,DU$7)-INDEX(c_INSy,1,INDEX('Lease Cycles'!$GC$29:$GI$29,1,DU367)+1)))/12)</f>
        <v>0</v>
      </c>
      <c r="DV378" s="28">
        <f>IF(DV377=0,0,DV377*MAX(0,(INDEX(c_CAMy,1,DV$7)-INDEX(c_CAMy,1,INDEX('Lease Cycles'!$GC$29:$GI$29,1,DV367)+1))*(1+'Lease Cycles'!$AK$29)+(INDEX(c_TAXy,1,DV$7)-INDEX(c_TAXy,1,INDEX('Lease Cycles'!$GC$29:$GI$29,1,DV367)+1))+(INDEX(c_INSy,1,DV$7)-INDEX(c_INSy,1,INDEX('Lease Cycles'!$GC$29:$GI$29,1,DV367)+1)))/12)</f>
        <v>0</v>
      </c>
      <c r="DW378" s="28">
        <f>IF(DW377=0,0,DW377*MAX(0,(INDEX(c_CAMy,1,DW$7)-INDEX(c_CAMy,1,INDEX('Lease Cycles'!$GC$29:$GI$29,1,DW367)+1))*(1+'Lease Cycles'!$AK$29)+(INDEX(c_TAXy,1,DW$7)-INDEX(c_TAXy,1,INDEX('Lease Cycles'!$GC$29:$GI$29,1,DW367)+1))+(INDEX(c_INSy,1,DW$7)-INDEX(c_INSy,1,INDEX('Lease Cycles'!$GC$29:$GI$29,1,DW367)+1)))/12)</f>
        <v>0</v>
      </c>
      <c r="DX378" s="28">
        <f>IF(DX377=0,0,DX377*MAX(0,(INDEX(c_CAMy,1,DX$7)-INDEX(c_CAMy,1,INDEX('Lease Cycles'!$GC$29:$GI$29,1,DX367)+1))*(1+'Lease Cycles'!$AK$29)+(INDEX(c_TAXy,1,DX$7)-INDEX(c_TAXy,1,INDEX('Lease Cycles'!$GC$29:$GI$29,1,DX367)+1))+(INDEX(c_INSy,1,DX$7)-INDEX(c_INSy,1,INDEX('Lease Cycles'!$GC$29:$GI$29,1,DX367)+1)))/12)</f>
        <v>0</v>
      </c>
      <c r="DY378" s="28">
        <f>IF(DY377=0,0,DY377*MAX(0,(INDEX(c_CAMy,1,DY$7)-INDEX(c_CAMy,1,INDEX('Lease Cycles'!$GC$29:$GI$29,1,DY367)+1))*(1+'Lease Cycles'!$AK$29)+(INDEX(c_TAXy,1,DY$7)-INDEX(c_TAXy,1,INDEX('Lease Cycles'!$GC$29:$GI$29,1,DY367)+1))+(INDEX(c_INSy,1,DY$7)-INDEX(c_INSy,1,INDEX('Lease Cycles'!$GC$29:$GI$29,1,DY367)+1)))/12)</f>
        <v>0</v>
      </c>
      <c r="DZ378" s="28">
        <f>IF(DZ377=0,0,DZ377*MAX(0,(INDEX(c_CAMy,1,DZ$7)-INDEX(c_CAMy,1,INDEX('Lease Cycles'!$GC$29:$GI$29,1,DZ367)+1))*(1+'Lease Cycles'!$AK$29)+(INDEX(c_TAXy,1,DZ$7)-INDEX(c_TAXy,1,INDEX('Lease Cycles'!$GC$29:$GI$29,1,DZ367)+1))+(INDEX(c_INSy,1,DZ$7)-INDEX(c_INSy,1,INDEX('Lease Cycles'!$GC$29:$GI$29,1,DZ367)+1)))/12)</f>
        <v>0</v>
      </c>
      <c r="EA378" s="28">
        <f>IF(EA377=0,0,EA377*MAX(0,(INDEX(c_CAMy,1,EA$7)-INDEX(c_CAMy,1,INDEX('Lease Cycles'!$GC$29:$GI$29,1,EA367)+1))*(1+'Lease Cycles'!$AK$29)+(INDEX(c_TAXy,1,EA$7)-INDEX(c_TAXy,1,INDEX('Lease Cycles'!$GC$29:$GI$29,1,EA367)+1))+(INDEX(c_INSy,1,EA$7)-INDEX(c_INSy,1,INDEX('Lease Cycles'!$GC$29:$GI$29,1,EA367)+1)))/12)</f>
        <v>0</v>
      </c>
      <c r="EB378" s="28">
        <f>IF(EB377=0,0,EB377*MAX(0,(INDEX(c_CAMy,1,EB$7)-INDEX(c_CAMy,1,INDEX('Lease Cycles'!$GC$29:$GI$29,1,EB367)+1))*(1+'Lease Cycles'!$AK$29)+(INDEX(c_TAXy,1,EB$7)-INDEX(c_TAXy,1,INDEX('Lease Cycles'!$GC$29:$GI$29,1,EB367)+1))+(INDEX(c_INSy,1,EB$7)-INDEX(c_INSy,1,INDEX('Lease Cycles'!$GC$29:$GI$29,1,EB367)+1)))/12)</f>
        <v>0</v>
      </c>
      <c r="EC378" s="28">
        <f>IF(EC377=0,0,EC377*MAX(0,(INDEX(c_CAMy,1,EC$7)-INDEX(c_CAMy,1,INDEX('Lease Cycles'!$GC$29:$GI$29,1,EC367)+1))*(1+'Lease Cycles'!$AK$29)+(INDEX(c_TAXy,1,EC$7)-INDEX(c_TAXy,1,INDEX('Lease Cycles'!$GC$29:$GI$29,1,EC367)+1))+(INDEX(c_INSy,1,EC$7)-INDEX(c_INSy,1,INDEX('Lease Cycles'!$GC$29:$GI$29,1,EC367)+1)))/12)</f>
        <v>0</v>
      </c>
      <c r="ED378" s="28">
        <f>IF(ED377=0,0,ED377*MAX(0,(INDEX(c_CAMy,1,ED$7)-INDEX(c_CAMy,1,INDEX('Lease Cycles'!$GC$29:$GI$29,1,ED367)+1))*(1+'Lease Cycles'!$AK$29)+(INDEX(c_TAXy,1,ED$7)-INDEX(c_TAXy,1,INDEX('Lease Cycles'!$GC$29:$GI$29,1,ED367)+1))+(INDEX(c_INSy,1,ED$7)-INDEX(c_INSy,1,INDEX('Lease Cycles'!$GC$29:$GI$29,1,ED367)+1)))/12)</f>
        <v>0</v>
      </c>
      <c r="EE378" s="28">
        <f>IF(EE377=0,0,EE377*MAX(0,(INDEX(c_CAMy,1,EE$7)-INDEX(c_CAMy,1,INDEX('Lease Cycles'!$GC$29:$GI$29,1,EE367)+1))*(1+'Lease Cycles'!$AK$29)+(INDEX(c_TAXy,1,EE$7)-INDEX(c_TAXy,1,INDEX('Lease Cycles'!$GC$29:$GI$29,1,EE367)+1))+(INDEX(c_INSy,1,EE$7)-INDEX(c_INSy,1,INDEX('Lease Cycles'!$GC$29:$GI$29,1,EE367)+1)))/12)</f>
        <v>0</v>
      </c>
      <c r="EF378" s="28">
        <f>IF(EF377=0,0,EF377*MAX(0,(INDEX(c_CAMy,1,EF$7)-INDEX(c_CAMy,1,INDEX('Lease Cycles'!$GC$29:$GI$29,1,EF367)+1))*(1+'Lease Cycles'!$AK$29)+(INDEX(c_TAXy,1,EF$7)-INDEX(c_TAXy,1,INDEX('Lease Cycles'!$GC$29:$GI$29,1,EF367)+1))+(INDEX(c_INSy,1,EF$7)-INDEX(c_INSy,1,INDEX('Lease Cycles'!$GC$29:$GI$29,1,EF367)+1)))/12)</f>
        <v>0</v>
      </c>
      <c r="EG378" s="28">
        <f>IF(EG377=0,0,EG377*MAX(0,(INDEX(c_CAMy,1,EG$7)-INDEX(c_CAMy,1,INDEX('Lease Cycles'!$GC$29:$GI$29,1,EG367)+1))*(1+'Lease Cycles'!$AK$29)+(INDEX(c_TAXy,1,EG$7)-INDEX(c_TAXy,1,INDEX('Lease Cycles'!$GC$29:$GI$29,1,EG367)+1))+(INDEX(c_INSy,1,EG$7)-INDEX(c_INSy,1,INDEX('Lease Cycles'!$GC$29:$GI$29,1,EG367)+1)))/12)</f>
        <v>0</v>
      </c>
      <c r="EH378" s="28">
        <f>IF(EH377=0,0,EH377*MAX(0,(INDEX(c_CAMy,1,EH$7)-INDEX(c_CAMy,1,INDEX('Lease Cycles'!$GC$29:$GI$29,1,EH367)+1))*(1+'Lease Cycles'!$AK$29)+(INDEX(c_TAXy,1,EH$7)-INDEX(c_TAXy,1,INDEX('Lease Cycles'!$GC$29:$GI$29,1,EH367)+1))+(INDEX(c_INSy,1,EH$7)-INDEX(c_INSy,1,INDEX('Lease Cycles'!$GC$29:$GI$29,1,EH367)+1)))/12)</f>
        <v>0</v>
      </c>
      <c r="EI378" s="28">
        <f>IF(EI377=0,0,EI377*MAX(0,(INDEX(c_CAMy,1,EI$7)-INDEX(c_CAMy,1,INDEX('Lease Cycles'!$GC$29:$GI$29,1,EI367)+1))*(1+'Lease Cycles'!$AK$29)+(INDEX(c_TAXy,1,EI$7)-INDEX(c_TAXy,1,INDEX('Lease Cycles'!$GC$29:$GI$29,1,EI367)+1))+(INDEX(c_INSy,1,EI$7)-INDEX(c_INSy,1,INDEX('Lease Cycles'!$GC$29:$GI$29,1,EI367)+1)))/12)</f>
        <v>0</v>
      </c>
      <c r="EJ378" s="28">
        <f>IF(EJ377=0,0,EJ377*MAX(0,(INDEX(c_CAMy,1,EJ$7)-INDEX(c_CAMy,1,INDEX('Lease Cycles'!$GC$29:$GI$29,1,EJ367)+1))*(1+'Lease Cycles'!$AK$29)+(INDEX(c_TAXy,1,EJ$7)-INDEX(c_TAXy,1,INDEX('Lease Cycles'!$GC$29:$GI$29,1,EJ367)+1))+(INDEX(c_INSy,1,EJ$7)-INDEX(c_INSy,1,INDEX('Lease Cycles'!$GC$29:$GI$29,1,EJ367)+1)))/12)</f>
        <v>0</v>
      </c>
      <c r="EK378" s="28">
        <f>IF(EK377=0,0,EK377*MAX(0,(INDEX(c_CAMy,1,EK$7)-INDEX(c_CAMy,1,INDEX('Lease Cycles'!$GC$29:$GI$29,1,EK367)+1))*(1+'Lease Cycles'!$AK$29)+(INDEX(c_TAXy,1,EK$7)-INDEX(c_TAXy,1,INDEX('Lease Cycles'!$GC$29:$GI$29,1,EK367)+1))+(INDEX(c_INSy,1,EK$7)-INDEX(c_INSy,1,INDEX('Lease Cycles'!$GC$29:$GI$29,1,EK367)+1)))/12)</f>
        <v>0</v>
      </c>
      <c r="EL378" s="28">
        <f>IF(EL377=0,0,EL377*MAX(0,(INDEX(c_CAMy,1,EL$7)-INDEX(c_CAMy,1,INDEX('Lease Cycles'!$GC$29:$GI$29,1,EL367)+1))*(1+'Lease Cycles'!$AK$29)+(INDEX(c_TAXy,1,EL$7)-INDEX(c_TAXy,1,INDEX('Lease Cycles'!$GC$29:$GI$29,1,EL367)+1))+(INDEX(c_INSy,1,EL$7)-INDEX(c_INSy,1,INDEX('Lease Cycles'!$GC$29:$GI$29,1,EL367)+1)))/12)</f>
        <v>0</v>
      </c>
      <c r="EM378" s="28">
        <f>IF(EM377=0,0,EM377*MAX(0,(INDEX(c_CAMy,1,EM$7)-INDEX(c_CAMy,1,INDEX('Lease Cycles'!$GC$29:$GI$29,1,EM367)+1))*(1+'Lease Cycles'!$AK$29)+(INDEX(c_TAXy,1,EM$7)-INDEX(c_TAXy,1,INDEX('Lease Cycles'!$GC$29:$GI$29,1,EM367)+1))+(INDEX(c_INSy,1,EM$7)-INDEX(c_INSy,1,INDEX('Lease Cycles'!$GC$29:$GI$29,1,EM367)+1)))/12)</f>
        <v>0</v>
      </c>
      <c r="EN378" s="28">
        <f>IF(EN377=0,0,EN377*MAX(0,(INDEX(c_CAMy,1,EN$7)-INDEX(c_CAMy,1,INDEX('Lease Cycles'!$GC$29:$GI$29,1,EN367)+1))*(1+'Lease Cycles'!$AK$29)+(INDEX(c_TAXy,1,EN$7)-INDEX(c_TAXy,1,INDEX('Lease Cycles'!$GC$29:$GI$29,1,EN367)+1))+(INDEX(c_INSy,1,EN$7)-INDEX(c_INSy,1,INDEX('Lease Cycles'!$GC$29:$GI$29,1,EN367)+1)))/12)</f>
        <v>0</v>
      </c>
      <c r="EO378" s="28">
        <f>IF(EO377=0,0,EO377*MAX(0,(INDEX(c_CAMy,1,EO$7)-INDEX(c_CAMy,1,INDEX('Lease Cycles'!$GC$29:$GI$29,1,EO367)+1))*(1+'Lease Cycles'!$AK$29)+(INDEX(c_TAXy,1,EO$7)-INDEX(c_TAXy,1,INDEX('Lease Cycles'!$GC$29:$GI$29,1,EO367)+1))+(INDEX(c_INSy,1,EO$7)-INDEX(c_INSy,1,INDEX('Lease Cycles'!$GC$29:$GI$29,1,EO367)+1)))/12)</f>
        <v>0</v>
      </c>
      <c r="EP378" s="28">
        <f>IF(EP377=0,0,EP377*MAX(0,(INDEX(c_CAMy,1,EP$7)-INDEX(c_CAMy,1,INDEX('Lease Cycles'!$GC$29:$GI$29,1,EP367)+1))*(1+'Lease Cycles'!$AK$29)+(INDEX(c_TAXy,1,EP$7)-INDEX(c_TAXy,1,INDEX('Lease Cycles'!$GC$29:$GI$29,1,EP367)+1))+(INDEX(c_INSy,1,EP$7)-INDEX(c_INSy,1,INDEX('Lease Cycles'!$GC$29:$GI$29,1,EP367)+1)))/12)</f>
        <v>0</v>
      </c>
      <c r="EQ378" s="28">
        <f>IF(EQ377=0,0,EQ377*MAX(0,(INDEX(c_CAMy,1,EQ$7)-INDEX(c_CAMy,1,INDEX('Lease Cycles'!$GC$29:$GI$29,1,EQ367)+1))*(1+'Lease Cycles'!$AK$29)+(INDEX(c_TAXy,1,EQ$7)-INDEX(c_TAXy,1,INDEX('Lease Cycles'!$GC$29:$GI$29,1,EQ367)+1))+(INDEX(c_INSy,1,EQ$7)-INDEX(c_INSy,1,INDEX('Lease Cycles'!$GC$29:$GI$29,1,EQ367)+1)))/12)</f>
        <v>0</v>
      </c>
      <c r="ER378" s="28">
        <f>IF(ER377=0,0,ER377*MAX(0,(INDEX(c_CAMy,1,ER$7)-INDEX(c_CAMy,1,INDEX('Lease Cycles'!$GC$29:$GI$29,1,ER367)+1))*(1+'Lease Cycles'!$AK$29)+(INDEX(c_TAXy,1,ER$7)-INDEX(c_TAXy,1,INDEX('Lease Cycles'!$GC$29:$GI$29,1,ER367)+1))+(INDEX(c_INSy,1,ER$7)-INDEX(c_INSy,1,INDEX('Lease Cycles'!$GC$29:$GI$29,1,ER367)+1)))/12)</f>
        <v>0</v>
      </c>
      <c r="ES378" s="28">
        <f>IF(ES377=0,0,ES377*MAX(0,(INDEX(c_CAMy,1,ES$7)-INDEX(c_CAMy,1,INDEX('Lease Cycles'!$GC$29:$GI$29,1,ES367)+1))*(1+'Lease Cycles'!$AK$29)+(INDEX(c_TAXy,1,ES$7)-INDEX(c_TAXy,1,INDEX('Lease Cycles'!$GC$29:$GI$29,1,ES367)+1))+(INDEX(c_INSy,1,ES$7)-INDEX(c_INSy,1,INDEX('Lease Cycles'!$GC$29:$GI$29,1,ES367)+1)))/12)</f>
        <v>0</v>
      </c>
      <c r="ET378" s="28">
        <f>IF(ET377=0,0,ET377*MAX(0,(INDEX(c_CAMy,1,ET$7)-INDEX(c_CAMy,1,INDEX('Lease Cycles'!$GC$29:$GI$29,1,ET367)+1))*(1+'Lease Cycles'!$AK$29)+(INDEX(c_TAXy,1,ET$7)-INDEX(c_TAXy,1,INDEX('Lease Cycles'!$GC$29:$GI$29,1,ET367)+1))+(INDEX(c_INSy,1,ET$7)-INDEX(c_INSy,1,INDEX('Lease Cycles'!$GC$29:$GI$29,1,ET367)+1)))/12)</f>
        <v>0</v>
      </c>
    </row>
    <row r="379">
      <c r="A379" s="103">
        <v>22</v>
      </c>
      <c r="B379" s="23" t="str">
        <f>IF('Lease Cycles'!$B$29="","(empty slot)",'Lease Cycles'!$B$29)</f>
        <v>(empty slot)</v>
      </c>
      <c r="C379" s="23" t="s">
        <v>530</v>
      </c>
      <c r="D379" s="104" t="s">
        <v>531</v>
      </c>
      <c r="E379" s="25">
        <f>'Lease Cycles'!$AL$29</f>
        <v>0</v>
      </c>
      <c r="G379" s="28">
        <f>SUM(S379:AD379)</f>
        <v>0</v>
      </c>
      <c r="H379" s="28">
        <f>SUM(AE379:AP379)</f>
        <v>0</v>
      </c>
      <c r="I379" s="28">
        <f>SUM(AQ379:BB379)</f>
        <v>0</v>
      </c>
      <c r="J379" s="28">
        <f>SUM(BC379:BN379)</f>
        <v>0</v>
      </c>
      <c r="K379" s="28">
        <f>SUM(BO379:BZ379)</f>
        <v>0</v>
      </c>
      <c r="L379" s="28">
        <f>SUM(CA379:CL379)</f>
        <v>0</v>
      </c>
      <c r="M379" s="28">
        <f>SUM(CM379:CX379)</f>
        <v>0</v>
      </c>
      <c r="N379" s="28">
        <f>SUM(CY379:DJ379)</f>
        <v>0</v>
      </c>
      <c r="O379" s="28">
        <f>SUM(DK379:DV379)</f>
        <v>0</v>
      </c>
      <c r="P379" s="28">
        <f>SUM(DW379:EH379)</f>
        <v>0</v>
      </c>
      <c r="Q379" s="28">
        <f>SUM(EI379:ET379)</f>
        <v>0</v>
      </c>
      <c r="S379" s="28">
        <f>SUMIF('Lease Cycles'!$HL$29:$HR$29,S$6,'Lease Cycles'!$HS$29:$HY$29)</f>
        <v>0</v>
      </c>
      <c r="T379" s="28">
        <f>SUMIF('Lease Cycles'!$HL$29:$HR$29,T$6,'Lease Cycles'!$HS$29:$HY$29)</f>
        <v>0</v>
      </c>
      <c r="U379" s="28">
        <f>SUMIF('Lease Cycles'!$HL$29:$HR$29,U$6,'Lease Cycles'!$HS$29:$HY$29)</f>
        <v>0</v>
      </c>
      <c r="V379" s="28">
        <f>SUMIF('Lease Cycles'!$HL$29:$HR$29,V$6,'Lease Cycles'!$HS$29:$HY$29)</f>
        <v>0</v>
      </c>
      <c r="W379" s="28">
        <f>SUMIF('Lease Cycles'!$HL$29:$HR$29,W$6,'Lease Cycles'!$HS$29:$HY$29)</f>
        <v>0</v>
      </c>
      <c r="X379" s="28">
        <f>SUMIF('Lease Cycles'!$HL$29:$HR$29,X$6,'Lease Cycles'!$HS$29:$HY$29)</f>
        <v>0</v>
      </c>
      <c r="Y379" s="28">
        <f>SUMIF('Lease Cycles'!$HL$29:$HR$29,Y$6,'Lease Cycles'!$HS$29:$HY$29)</f>
        <v>0</v>
      </c>
      <c r="Z379" s="28">
        <f>SUMIF('Lease Cycles'!$HL$29:$HR$29,Z$6,'Lease Cycles'!$HS$29:$HY$29)</f>
        <v>0</v>
      </c>
      <c r="AA379" s="28">
        <f>SUMIF('Lease Cycles'!$HL$29:$HR$29,AA$6,'Lease Cycles'!$HS$29:$HY$29)</f>
        <v>0</v>
      </c>
      <c r="AB379" s="28">
        <f>SUMIF('Lease Cycles'!$HL$29:$HR$29,AB$6,'Lease Cycles'!$HS$29:$HY$29)</f>
        <v>0</v>
      </c>
      <c r="AC379" s="28">
        <f>SUMIF('Lease Cycles'!$HL$29:$HR$29,AC$6,'Lease Cycles'!$HS$29:$HY$29)</f>
        <v>0</v>
      </c>
      <c r="AD379" s="28">
        <f>SUMIF('Lease Cycles'!$HL$29:$HR$29,AD$6,'Lease Cycles'!$HS$29:$HY$29)</f>
        <v>0</v>
      </c>
      <c r="AE379" s="28">
        <f>SUMIF('Lease Cycles'!$HL$29:$HR$29,AE$6,'Lease Cycles'!$HS$29:$HY$29)</f>
        <v>0</v>
      </c>
      <c r="AF379" s="28">
        <f>SUMIF('Lease Cycles'!$HL$29:$HR$29,AF$6,'Lease Cycles'!$HS$29:$HY$29)</f>
        <v>0</v>
      </c>
      <c r="AG379" s="28">
        <f>SUMIF('Lease Cycles'!$HL$29:$HR$29,AG$6,'Lease Cycles'!$HS$29:$HY$29)</f>
        <v>0</v>
      </c>
      <c r="AH379" s="28">
        <f>SUMIF('Lease Cycles'!$HL$29:$HR$29,AH$6,'Lease Cycles'!$HS$29:$HY$29)</f>
        <v>0</v>
      </c>
      <c r="AI379" s="28">
        <f>SUMIF('Lease Cycles'!$HL$29:$HR$29,AI$6,'Lease Cycles'!$HS$29:$HY$29)</f>
        <v>0</v>
      </c>
      <c r="AJ379" s="28">
        <f>SUMIF('Lease Cycles'!$HL$29:$HR$29,AJ$6,'Lease Cycles'!$HS$29:$HY$29)</f>
        <v>0</v>
      </c>
      <c r="AK379" s="28">
        <f>SUMIF('Lease Cycles'!$HL$29:$HR$29,AK$6,'Lease Cycles'!$HS$29:$HY$29)</f>
        <v>0</v>
      </c>
      <c r="AL379" s="28">
        <f>SUMIF('Lease Cycles'!$HL$29:$HR$29,AL$6,'Lease Cycles'!$HS$29:$HY$29)</f>
        <v>0</v>
      </c>
      <c r="AM379" s="28">
        <f>SUMIF('Lease Cycles'!$HL$29:$HR$29,AM$6,'Lease Cycles'!$HS$29:$HY$29)</f>
        <v>0</v>
      </c>
      <c r="AN379" s="28">
        <f>SUMIF('Lease Cycles'!$HL$29:$HR$29,AN$6,'Lease Cycles'!$HS$29:$HY$29)</f>
        <v>0</v>
      </c>
      <c r="AO379" s="28">
        <f>SUMIF('Lease Cycles'!$HL$29:$HR$29,AO$6,'Lease Cycles'!$HS$29:$HY$29)</f>
        <v>0</v>
      </c>
      <c r="AP379" s="28">
        <f>SUMIF('Lease Cycles'!$HL$29:$HR$29,AP$6,'Lease Cycles'!$HS$29:$HY$29)</f>
        <v>0</v>
      </c>
      <c r="AQ379" s="28">
        <f>SUMIF('Lease Cycles'!$HL$29:$HR$29,AQ$6,'Lease Cycles'!$HS$29:$HY$29)</f>
        <v>0</v>
      </c>
      <c r="AR379" s="28">
        <f>SUMIF('Lease Cycles'!$HL$29:$HR$29,AR$6,'Lease Cycles'!$HS$29:$HY$29)</f>
        <v>0</v>
      </c>
      <c r="AS379" s="28">
        <f>SUMIF('Lease Cycles'!$HL$29:$HR$29,AS$6,'Lease Cycles'!$HS$29:$HY$29)</f>
        <v>0</v>
      </c>
      <c r="AT379" s="28">
        <f>SUMIF('Lease Cycles'!$HL$29:$HR$29,AT$6,'Lease Cycles'!$HS$29:$HY$29)</f>
        <v>0</v>
      </c>
      <c r="AU379" s="28">
        <f>SUMIF('Lease Cycles'!$HL$29:$HR$29,AU$6,'Lease Cycles'!$HS$29:$HY$29)</f>
        <v>0</v>
      </c>
      <c r="AV379" s="28">
        <f>SUMIF('Lease Cycles'!$HL$29:$HR$29,AV$6,'Lease Cycles'!$HS$29:$HY$29)</f>
        <v>0</v>
      </c>
      <c r="AW379" s="28">
        <f>SUMIF('Lease Cycles'!$HL$29:$HR$29,AW$6,'Lease Cycles'!$HS$29:$HY$29)</f>
        <v>0</v>
      </c>
      <c r="AX379" s="28">
        <f>SUMIF('Lease Cycles'!$HL$29:$HR$29,AX$6,'Lease Cycles'!$HS$29:$HY$29)</f>
        <v>0</v>
      </c>
      <c r="AY379" s="28">
        <f>SUMIF('Lease Cycles'!$HL$29:$HR$29,AY$6,'Lease Cycles'!$HS$29:$HY$29)</f>
        <v>0</v>
      </c>
      <c r="AZ379" s="28">
        <f>SUMIF('Lease Cycles'!$HL$29:$HR$29,AZ$6,'Lease Cycles'!$HS$29:$HY$29)</f>
        <v>0</v>
      </c>
      <c r="BA379" s="28">
        <f>SUMIF('Lease Cycles'!$HL$29:$HR$29,BA$6,'Lease Cycles'!$HS$29:$HY$29)</f>
        <v>0</v>
      </c>
      <c r="BB379" s="28">
        <f>SUMIF('Lease Cycles'!$HL$29:$HR$29,BB$6,'Lease Cycles'!$HS$29:$HY$29)</f>
        <v>0</v>
      </c>
      <c r="BC379" s="28">
        <f>SUMIF('Lease Cycles'!$HL$29:$HR$29,BC$6,'Lease Cycles'!$HS$29:$HY$29)</f>
        <v>0</v>
      </c>
      <c r="BD379" s="28">
        <f>SUMIF('Lease Cycles'!$HL$29:$HR$29,BD$6,'Lease Cycles'!$HS$29:$HY$29)</f>
        <v>0</v>
      </c>
      <c r="BE379" s="28">
        <f>SUMIF('Lease Cycles'!$HL$29:$HR$29,BE$6,'Lease Cycles'!$HS$29:$HY$29)</f>
        <v>0</v>
      </c>
      <c r="BF379" s="28">
        <f>SUMIF('Lease Cycles'!$HL$29:$HR$29,BF$6,'Lease Cycles'!$HS$29:$HY$29)</f>
        <v>0</v>
      </c>
      <c r="BG379" s="28">
        <f>SUMIF('Lease Cycles'!$HL$29:$HR$29,BG$6,'Lease Cycles'!$HS$29:$HY$29)</f>
        <v>0</v>
      </c>
      <c r="BH379" s="28">
        <f>SUMIF('Lease Cycles'!$HL$29:$HR$29,BH$6,'Lease Cycles'!$HS$29:$HY$29)</f>
        <v>0</v>
      </c>
      <c r="BI379" s="28">
        <f>SUMIF('Lease Cycles'!$HL$29:$HR$29,BI$6,'Lease Cycles'!$HS$29:$HY$29)</f>
        <v>0</v>
      </c>
      <c r="BJ379" s="28">
        <f>SUMIF('Lease Cycles'!$HL$29:$HR$29,BJ$6,'Lease Cycles'!$HS$29:$HY$29)</f>
        <v>0</v>
      </c>
      <c r="BK379" s="28">
        <f>SUMIF('Lease Cycles'!$HL$29:$HR$29,BK$6,'Lease Cycles'!$HS$29:$HY$29)</f>
        <v>0</v>
      </c>
      <c r="BL379" s="28">
        <f>SUMIF('Lease Cycles'!$HL$29:$HR$29,BL$6,'Lease Cycles'!$HS$29:$HY$29)</f>
        <v>0</v>
      </c>
      <c r="BM379" s="28">
        <f>SUMIF('Lease Cycles'!$HL$29:$HR$29,BM$6,'Lease Cycles'!$HS$29:$HY$29)</f>
        <v>0</v>
      </c>
      <c r="BN379" s="28">
        <f>SUMIF('Lease Cycles'!$HL$29:$HR$29,BN$6,'Lease Cycles'!$HS$29:$HY$29)</f>
        <v>0</v>
      </c>
      <c r="BO379" s="28">
        <f>SUMIF('Lease Cycles'!$HL$29:$HR$29,BO$6,'Lease Cycles'!$HS$29:$HY$29)</f>
        <v>0</v>
      </c>
      <c r="BP379" s="28">
        <f>SUMIF('Lease Cycles'!$HL$29:$HR$29,BP$6,'Lease Cycles'!$HS$29:$HY$29)</f>
        <v>0</v>
      </c>
      <c r="BQ379" s="28">
        <f>SUMIF('Lease Cycles'!$HL$29:$HR$29,BQ$6,'Lease Cycles'!$HS$29:$HY$29)</f>
        <v>0</v>
      </c>
      <c r="BR379" s="28">
        <f>SUMIF('Lease Cycles'!$HL$29:$HR$29,BR$6,'Lease Cycles'!$HS$29:$HY$29)</f>
        <v>0</v>
      </c>
      <c r="BS379" s="28">
        <f>SUMIF('Lease Cycles'!$HL$29:$HR$29,BS$6,'Lease Cycles'!$HS$29:$HY$29)</f>
        <v>0</v>
      </c>
      <c r="BT379" s="28">
        <f>SUMIF('Lease Cycles'!$HL$29:$HR$29,BT$6,'Lease Cycles'!$HS$29:$HY$29)</f>
        <v>0</v>
      </c>
      <c r="BU379" s="28">
        <f>SUMIF('Lease Cycles'!$HL$29:$HR$29,BU$6,'Lease Cycles'!$HS$29:$HY$29)</f>
        <v>0</v>
      </c>
      <c r="BV379" s="28">
        <f>SUMIF('Lease Cycles'!$HL$29:$HR$29,BV$6,'Lease Cycles'!$HS$29:$HY$29)</f>
        <v>0</v>
      </c>
      <c r="BW379" s="28">
        <f>SUMIF('Lease Cycles'!$HL$29:$HR$29,BW$6,'Lease Cycles'!$HS$29:$HY$29)</f>
        <v>0</v>
      </c>
      <c r="BX379" s="28">
        <f>SUMIF('Lease Cycles'!$HL$29:$HR$29,BX$6,'Lease Cycles'!$HS$29:$HY$29)</f>
        <v>0</v>
      </c>
      <c r="BY379" s="28">
        <f>SUMIF('Lease Cycles'!$HL$29:$HR$29,BY$6,'Lease Cycles'!$HS$29:$HY$29)</f>
        <v>0</v>
      </c>
      <c r="BZ379" s="28">
        <f>SUMIF('Lease Cycles'!$HL$29:$HR$29,BZ$6,'Lease Cycles'!$HS$29:$HY$29)</f>
        <v>0</v>
      </c>
      <c r="CA379" s="28">
        <f>SUMIF('Lease Cycles'!$HL$29:$HR$29,CA$6,'Lease Cycles'!$HS$29:$HY$29)</f>
        <v>0</v>
      </c>
      <c r="CB379" s="28">
        <f>SUMIF('Lease Cycles'!$HL$29:$HR$29,CB$6,'Lease Cycles'!$HS$29:$HY$29)</f>
        <v>0</v>
      </c>
      <c r="CC379" s="28">
        <f>SUMIF('Lease Cycles'!$HL$29:$HR$29,CC$6,'Lease Cycles'!$HS$29:$HY$29)</f>
        <v>0</v>
      </c>
      <c r="CD379" s="28">
        <f>SUMIF('Lease Cycles'!$HL$29:$HR$29,CD$6,'Lease Cycles'!$HS$29:$HY$29)</f>
        <v>0</v>
      </c>
      <c r="CE379" s="28">
        <f>SUMIF('Lease Cycles'!$HL$29:$HR$29,CE$6,'Lease Cycles'!$HS$29:$HY$29)</f>
        <v>0</v>
      </c>
      <c r="CF379" s="28">
        <f>SUMIF('Lease Cycles'!$HL$29:$HR$29,CF$6,'Lease Cycles'!$HS$29:$HY$29)</f>
        <v>0</v>
      </c>
      <c r="CG379" s="28">
        <f>SUMIF('Lease Cycles'!$HL$29:$HR$29,CG$6,'Lease Cycles'!$HS$29:$HY$29)</f>
        <v>0</v>
      </c>
      <c r="CH379" s="28">
        <f>SUMIF('Lease Cycles'!$HL$29:$HR$29,CH$6,'Lease Cycles'!$HS$29:$HY$29)</f>
        <v>0</v>
      </c>
      <c r="CI379" s="28">
        <f>SUMIF('Lease Cycles'!$HL$29:$HR$29,CI$6,'Lease Cycles'!$HS$29:$HY$29)</f>
        <v>0</v>
      </c>
      <c r="CJ379" s="28">
        <f>SUMIF('Lease Cycles'!$HL$29:$HR$29,CJ$6,'Lease Cycles'!$HS$29:$HY$29)</f>
        <v>0</v>
      </c>
      <c r="CK379" s="28">
        <f>SUMIF('Lease Cycles'!$HL$29:$HR$29,CK$6,'Lease Cycles'!$HS$29:$HY$29)</f>
        <v>0</v>
      </c>
      <c r="CL379" s="28">
        <f>SUMIF('Lease Cycles'!$HL$29:$HR$29,CL$6,'Lease Cycles'!$HS$29:$HY$29)</f>
        <v>0</v>
      </c>
      <c r="CM379" s="28">
        <f>SUMIF('Lease Cycles'!$HL$29:$HR$29,CM$6,'Lease Cycles'!$HS$29:$HY$29)</f>
        <v>0</v>
      </c>
      <c r="CN379" s="28">
        <f>SUMIF('Lease Cycles'!$HL$29:$HR$29,CN$6,'Lease Cycles'!$HS$29:$HY$29)</f>
        <v>0</v>
      </c>
      <c r="CO379" s="28">
        <f>SUMIF('Lease Cycles'!$HL$29:$HR$29,CO$6,'Lease Cycles'!$HS$29:$HY$29)</f>
        <v>0</v>
      </c>
      <c r="CP379" s="28">
        <f>SUMIF('Lease Cycles'!$HL$29:$HR$29,CP$6,'Lease Cycles'!$HS$29:$HY$29)</f>
        <v>0</v>
      </c>
      <c r="CQ379" s="28">
        <f>SUMIF('Lease Cycles'!$HL$29:$HR$29,CQ$6,'Lease Cycles'!$HS$29:$HY$29)</f>
        <v>0</v>
      </c>
      <c r="CR379" s="28">
        <f>SUMIF('Lease Cycles'!$HL$29:$HR$29,CR$6,'Lease Cycles'!$HS$29:$HY$29)</f>
        <v>0</v>
      </c>
      <c r="CS379" s="28">
        <f>SUMIF('Lease Cycles'!$HL$29:$HR$29,CS$6,'Lease Cycles'!$HS$29:$HY$29)</f>
        <v>0</v>
      </c>
      <c r="CT379" s="28">
        <f>SUMIF('Lease Cycles'!$HL$29:$HR$29,CT$6,'Lease Cycles'!$HS$29:$HY$29)</f>
        <v>0</v>
      </c>
      <c r="CU379" s="28">
        <f>SUMIF('Lease Cycles'!$HL$29:$HR$29,CU$6,'Lease Cycles'!$HS$29:$HY$29)</f>
        <v>0</v>
      </c>
      <c r="CV379" s="28">
        <f>SUMIF('Lease Cycles'!$HL$29:$HR$29,CV$6,'Lease Cycles'!$HS$29:$HY$29)</f>
        <v>0</v>
      </c>
      <c r="CW379" s="28">
        <f>SUMIF('Lease Cycles'!$HL$29:$HR$29,CW$6,'Lease Cycles'!$HS$29:$HY$29)</f>
        <v>0</v>
      </c>
      <c r="CX379" s="28">
        <f>SUMIF('Lease Cycles'!$HL$29:$HR$29,CX$6,'Lease Cycles'!$HS$29:$HY$29)</f>
        <v>0</v>
      </c>
      <c r="CY379" s="28">
        <f>SUMIF('Lease Cycles'!$HL$29:$HR$29,CY$6,'Lease Cycles'!$HS$29:$HY$29)</f>
        <v>0</v>
      </c>
      <c r="CZ379" s="28">
        <f>SUMIF('Lease Cycles'!$HL$29:$HR$29,CZ$6,'Lease Cycles'!$HS$29:$HY$29)</f>
        <v>0</v>
      </c>
      <c r="DA379" s="28">
        <f>SUMIF('Lease Cycles'!$HL$29:$HR$29,DA$6,'Lease Cycles'!$HS$29:$HY$29)</f>
        <v>0</v>
      </c>
      <c r="DB379" s="28">
        <f>SUMIF('Lease Cycles'!$HL$29:$HR$29,DB$6,'Lease Cycles'!$HS$29:$HY$29)</f>
        <v>0</v>
      </c>
      <c r="DC379" s="28">
        <f>SUMIF('Lease Cycles'!$HL$29:$HR$29,DC$6,'Lease Cycles'!$HS$29:$HY$29)</f>
        <v>0</v>
      </c>
      <c r="DD379" s="28">
        <f>SUMIF('Lease Cycles'!$HL$29:$HR$29,DD$6,'Lease Cycles'!$HS$29:$HY$29)</f>
        <v>0</v>
      </c>
      <c r="DE379" s="28">
        <f>SUMIF('Lease Cycles'!$HL$29:$HR$29,DE$6,'Lease Cycles'!$HS$29:$HY$29)</f>
        <v>0</v>
      </c>
      <c r="DF379" s="28">
        <f>SUMIF('Lease Cycles'!$HL$29:$HR$29,DF$6,'Lease Cycles'!$HS$29:$HY$29)</f>
        <v>0</v>
      </c>
      <c r="DG379" s="28">
        <f>SUMIF('Lease Cycles'!$HL$29:$HR$29,DG$6,'Lease Cycles'!$HS$29:$HY$29)</f>
        <v>0</v>
      </c>
      <c r="DH379" s="28">
        <f>SUMIF('Lease Cycles'!$HL$29:$HR$29,DH$6,'Lease Cycles'!$HS$29:$HY$29)</f>
        <v>0</v>
      </c>
      <c r="DI379" s="28">
        <f>SUMIF('Lease Cycles'!$HL$29:$HR$29,DI$6,'Lease Cycles'!$HS$29:$HY$29)</f>
        <v>0</v>
      </c>
      <c r="DJ379" s="28">
        <f>SUMIF('Lease Cycles'!$HL$29:$HR$29,DJ$6,'Lease Cycles'!$HS$29:$HY$29)</f>
        <v>0</v>
      </c>
      <c r="DK379" s="28">
        <f>SUMIF('Lease Cycles'!$HL$29:$HR$29,DK$6,'Lease Cycles'!$HS$29:$HY$29)</f>
        <v>0</v>
      </c>
      <c r="DL379" s="28">
        <f>SUMIF('Lease Cycles'!$HL$29:$HR$29,DL$6,'Lease Cycles'!$HS$29:$HY$29)</f>
        <v>0</v>
      </c>
      <c r="DM379" s="28">
        <f>SUMIF('Lease Cycles'!$HL$29:$HR$29,DM$6,'Lease Cycles'!$HS$29:$HY$29)</f>
        <v>0</v>
      </c>
      <c r="DN379" s="28">
        <f>SUMIF('Lease Cycles'!$HL$29:$HR$29,DN$6,'Lease Cycles'!$HS$29:$HY$29)</f>
        <v>0</v>
      </c>
      <c r="DO379" s="28">
        <f>SUMIF('Lease Cycles'!$HL$29:$HR$29,DO$6,'Lease Cycles'!$HS$29:$HY$29)</f>
        <v>0</v>
      </c>
      <c r="DP379" s="28">
        <f>SUMIF('Lease Cycles'!$HL$29:$HR$29,DP$6,'Lease Cycles'!$HS$29:$HY$29)</f>
        <v>0</v>
      </c>
      <c r="DQ379" s="28">
        <f>SUMIF('Lease Cycles'!$HL$29:$HR$29,DQ$6,'Lease Cycles'!$HS$29:$HY$29)</f>
        <v>0</v>
      </c>
      <c r="DR379" s="28">
        <f>SUMIF('Lease Cycles'!$HL$29:$HR$29,DR$6,'Lease Cycles'!$HS$29:$HY$29)</f>
        <v>0</v>
      </c>
      <c r="DS379" s="28">
        <f>SUMIF('Lease Cycles'!$HL$29:$HR$29,DS$6,'Lease Cycles'!$HS$29:$HY$29)</f>
        <v>0</v>
      </c>
      <c r="DT379" s="28">
        <f>SUMIF('Lease Cycles'!$HL$29:$HR$29,DT$6,'Lease Cycles'!$HS$29:$HY$29)</f>
        <v>0</v>
      </c>
      <c r="DU379" s="28">
        <f>SUMIF('Lease Cycles'!$HL$29:$HR$29,DU$6,'Lease Cycles'!$HS$29:$HY$29)</f>
        <v>0</v>
      </c>
      <c r="DV379" s="28">
        <f>SUMIF('Lease Cycles'!$HL$29:$HR$29,DV$6,'Lease Cycles'!$HS$29:$HY$29)</f>
        <v>0</v>
      </c>
      <c r="DW379" s="28">
        <f>SUMIF('Lease Cycles'!$HL$29:$HR$29,DW$6,'Lease Cycles'!$HS$29:$HY$29)</f>
        <v>0</v>
      </c>
      <c r="DX379" s="28">
        <f>SUMIF('Lease Cycles'!$HL$29:$HR$29,DX$6,'Lease Cycles'!$HS$29:$HY$29)</f>
        <v>0</v>
      </c>
      <c r="DY379" s="28">
        <f>SUMIF('Lease Cycles'!$HL$29:$HR$29,DY$6,'Lease Cycles'!$HS$29:$HY$29)</f>
        <v>0</v>
      </c>
      <c r="DZ379" s="28">
        <f>SUMIF('Lease Cycles'!$HL$29:$HR$29,DZ$6,'Lease Cycles'!$HS$29:$HY$29)</f>
        <v>0</v>
      </c>
      <c r="EA379" s="28">
        <f>SUMIF('Lease Cycles'!$HL$29:$HR$29,EA$6,'Lease Cycles'!$HS$29:$HY$29)</f>
        <v>0</v>
      </c>
      <c r="EB379" s="28">
        <f>SUMIF('Lease Cycles'!$HL$29:$HR$29,EB$6,'Lease Cycles'!$HS$29:$HY$29)</f>
        <v>0</v>
      </c>
      <c r="EC379" s="28">
        <f>SUMIF('Lease Cycles'!$HL$29:$HR$29,EC$6,'Lease Cycles'!$HS$29:$HY$29)</f>
        <v>0</v>
      </c>
      <c r="ED379" s="28">
        <f>SUMIF('Lease Cycles'!$HL$29:$HR$29,ED$6,'Lease Cycles'!$HS$29:$HY$29)</f>
        <v>0</v>
      </c>
      <c r="EE379" s="28">
        <f>SUMIF('Lease Cycles'!$HL$29:$HR$29,EE$6,'Lease Cycles'!$HS$29:$HY$29)</f>
        <v>0</v>
      </c>
      <c r="EF379" s="28">
        <f>SUMIF('Lease Cycles'!$HL$29:$HR$29,EF$6,'Lease Cycles'!$HS$29:$HY$29)</f>
        <v>0</v>
      </c>
      <c r="EG379" s="28">
        <f>SUMIF('Lease Cycles'!$HL$29:$HR$29,EG$6,'Lease Cycles'!$HS$29:$HY$29)</f>
        <v>0</v>
      </c>
      <c r="EH379" s="28">
        <f>SUMIF('Lease Cycles'!$HL$29:$HR$29,EH$6,'Lease Cycles'!$HS$29:$HY$29)</f>
        <v>0</v>
      </c>
      <c r="EI379" s="28">
        <f>SUMIF('Lease Cycles'!$HL$29:$HR$29,EI$6,'Lease Cycles'!$HS$29:$HY$29)</f>
        <v>0</v>
      </c>
      <c r="EJ379" s="28">
        <f>SUMIF('Lease Cycles'!$HL$29:$HR$29,EJ$6,'Lease Cycles'!$HS$29:$HY$29)</f>
        <v>0</v>
      </c>
      <c r="EK379" s="28">
        <f>SUMIF('Lease Cycles'!$HL$29:$HR$29,EK$6,'Lease Cycles'!$HS$29:$HY$29)</f>
        <v>0</v>
      </c>
      <c r="EL379" s="28">
        <f>SUMIF('Lease Cycles'!$HL$29:$HR$29,EL$6,'Lease Cycles'!$HS$29:$HY$29)</f>
        <v>0</v>
      </c>
      <c r="EM379" s="28">
        <f>SUMIF('Lease Cycles'!$HL$29:$HR$29,EM$6,'Lease Cycles'!$HS$29:$HY$29)</f>
        <v>0</v>
      </c>
      <c r="EN379" s="28">
        <f>SUMIF('Lease Cycles'!$HL$29:$HR$29,EN$6,'Lease Cycles'!$HS$29:$HY$29)</f>
        <v>0</v>
      </c>
      <c r="EO379" s="28">
        <f>SUMIF('Lease Cycles'!$HL$29:$HR$29,EO$6,'Lease Cycles'!$HS$29:$HY$29)</f>
        <v>0</v>
      </c>
      <c r="EP379" s="28">
        <f>SUMIF('Lease Cycles'!$HL$29:$HR$29,EP$6,'Lease Cycles'!$HS$29:$HY$29)</f>
        <v>0</v>
      </c>
      <c r="EQ379" s="28">
        <f>SUMIF('Lease Cycles'!$HL$29:$HR$29,EQ$6,'Lease Cycles'!$HS$29:$HY$29)</f>
        <v>0</v>
      </c>
      <c r="ER379" s="28">
        <f>SUMIF('Lease Cycles'!$HL$29:$HR$29,ER$6,'Lease Cycles'!$HS$29:$HY$29)</f>
        <v>0</v>
      </c>
      <c r="ES379" s="28">
        <f>SUMIF('Lease Cycles'!$HL$29:$HR$29,ES$6,'Lease Cycles'!$HS$29:$HY$29)</f>
        <v>0</v>
      </c>
      <c r="ET379" s="28">
        <f>SUMIF('Lease Cycles'!$HL$29:$HR$29,ET$6,'Lease Cycles'!$HS$29:$HY$29)</f>
        <v>0</v>
      </c>
    </row>
    <row r="380">
      <c r="A380" s="103">
        <v>22</v>
      </c>
      <c r="B380" s="23" t="str">
        <f>IF('Lease Cycles'!$B$29="","(empty slot)",'Lease Cycles'!$B$29)</f>
        <v>(empty slot)</v>
      </c>
      <c r="C380" s="23" t="s">
        <v>532</v>
      </c>
      <c r="D380" s="104" t="s">
        <v>533</v>
      </c>
      <c r="E380" s="25">
        <f>'Lease Cycles'!$AL$29</f>
        <v>0</v>
      </c>
      <c r="G380" s="28">
        <f>SUM(S380:AD380)</f>
        <v>0</v>
      </c>
      <c r="H380" s="28">
        <f>SUM(AE380:AP380)</f>
        <v>0</v>
      </c>
      <c r="I380" s="28">
        <f>SUM(AQ380:BB380)</f>
        <v>0</v>
      </c>
      <c r="J380" s="28">
        <f>SUM(BC380:BN380)</f>
        <v>0</v>
      </c>
      <c r="K380" s="28">
        <f>SUM(BO380:BZ380)</f>
        <v>0</v>
      </c>
      <c r="L380" s="28">
        <f>SUM(CA380:CL380)</f>
        <v>0</v>
      </c>
      <c r="M380" s="28">
        <f>SUM(CM380:CX380)</f>
        <v>0</v>
      </c>
      <c r="N380" s="28">
        <f>SUM(CY380:DJ380)</f>
        <v>0</v>
      </c>
      <c r="O380" s="28">
        <f>SUM(DK380:DV380)</f>
        <v>0</v>
      </c>
      <c r="P380" s="28">
        <f>SUM(DW380:EH380)</f>
        <v>0</v>
      </c>
      <c r="Q380" s="28">
        <f>SUM(EI380:ET380)</f>
        <v>0</v>
      </c>
      <c r="S380" s="28">
        <f>SUMIF('Lease Cycles'!$HL$29:$HR$29,S$6,'Lease Cycles'!$HZ$29:$IF$29)</f>
        <v>0</v>
      </c>
      <c r="T380" s="28">
        <f>SUMIF('Lease Cycles'!$HL$29:$HR$29,T$6,'Lease Cycles'!$HZ$29:$IF$29)</f>
        <v>0</v>
      </c>
      <c r="U380" s="28">
        <f>SUMIF('Lease Cycles'!$HL$29:$HR$29,U$6,'Lease Cycles'!$HZ$29:$IF$29)</f>
        <v>0</v>
      </c>
      <c r="V380" s="28">
        <f>SUMIF('Lease Cycles'!$HL$29:$HR$29,V$6,'Lease Cycles'!$HZ$29:$IF$29)</f>
        <v>0</v>
      </c>
      <c r="W380" s="28">
        <f>SUMIF('Lease Cycles'!$HL$29:$HR$29,W$6,'Lease Cycles'!$HZ$29:$IF$29)</f>
        <v>0</v>
      </c>
      <c r="X380" s="28">
        <f>SUMIF('Lease Cycles'!$HL$29:$HR$29,X$6,'Lease Cycles'!$HZ$29:$IF$29)</f>
        <v>0</v>
      </c>
      <c r="Y380" s="28">
        <f>SUMIF('Lease Cycles'!$HL$29:$HR$29,Y$6,'Lease Cycles'!$HZ$29:$IF$29)</f>
        <v>0</v>
      </c>
      <c r="Z380" s="28">
        <f>SUMIF('Lease Cycles'!$HL$29:$HR$29,Z$6,'Lease Cycles'!$HZ$29:$IF$29)</f>
        <v>0</v>
      </c>
      <c r="AA380" s="28">
        <f>SUMIF('Lease Cycles'!$HL$29:$HR$29,AA$6,'Lease Cycles'!$HZ$29:$IF$29)</f>
        <v>0</v>
      </c>
      <c r="AB380" s="28">
        <f>SUMIF('Lease Cycles'!$HL$29:$HR$29,AB$6,'Lease Cycles'!$HZ$29:$IF$29)</f>
        <v>0</v>
      </c>
      <c r="AC380" s="28">
        <f>SUMIF('Lease Cycles'!$HL$29:$HR$29,AC$6,'Lease Cycles'!$HZ$29:$IF$29)</f>
        <v>0</v>
      </c>
      <c r="AD380" s="28">
        <f>SUMIF('Lease Cycles'!$HL$29:$HR$29,AD$6,'Lease Cycles'!$HZ$29:$IF$29)</f>
        <v>0</v>
      </c>
      <c r="AE380" s="28">
        <f>SUMIF('Lease Cycles'!$HL$29:$HR$29,AE$6,'Lease Cycles'!$HZ$29:$IF$29)</f>
        <v>0</v>
      </c>
      <c r="AF380" s="28">
        <f>SUMIF('Lease Cycles'!$HL$29:$HR$29,AF$6,'Lease Cycles'!$HZ$29:$IF$29)</f>
        <v>0</v>
      </c>
      <c r="AG380" s="28">
        <f>SUMIF('Lease Cycles'!$HL$29:$HR$29,AG$6,'Lease Cycles'!$HZ$29:$IF$29)</f>
        <v>0</v>
      </c>
      <c r="AH380" s="28">
        <f>SUMIF('Lease Cycles'!$HL$29:$HR$29,AH$6,'Lease Cycles'!$HZ$29:$IF$29)</f>
        <v>0</v>
      </c>
      <c r="AI380" s="28">
        <f>SUMIF('Lease Cycles'!$HL$29:$HR$29,AI$6,'Lease Cycles'!$HZ$29:$IF$29)</f>
        <v>0</v>
      </c>
      <c r="AJ380" s="28">
        <f>SUMIF('Lease Cycles'!$HL$29:$HR$29,AJ$6,'Lease Cycles'!$HZ$29:$IF$29)</f>
        <v>0</v>
      </c>
      <c r="AK380" s="28">
        <f>SUMIF('Lease Cycles'!$HL$29:$HR$29,AK$6,'Lease Cycles'!$HZ$29:$IF$29)</f>
        <v>0</v>
      </c>
      <c r="AL380" s="28">
        <f>SUMIF('Lease Cycles'!$HL$29:$HR$29,AL$6,'Lease Cycles'!$HZ$29:$IF$29)</f>
        <v>0</v>
      </c>
      <c r="AM380" s="28">
        <f>SUMIF('Lease Cycles'!$HL$29:$HR$29,AM$6,'Lease Cycles'!$HZ$29:$IF$29)</f>
        <v>0</v>
      </c>
      <c r="AN380" s="28">
        <f>SUMIF('Lease Cycles'!$HL$29:$HR$29,AN$6,'Lease Cycles'!$HZ$29:$IF$29)</f>
        <v>0</v>
      </c>
      <c r="AO380" s="28">
        <f>SUMIF('Lease Cycles'!$HL$29:$HR$29,AO$6,'Lease Cycles'!$HZ$29:$IF$29)</f>
        <v>0</v>
      </c>
      <c r="AP380" s="28">
        <f>SUMIF('Lease Cycles'!$HL$29:$HR$29,AP$6,'Lease Cycles'!$HZ$29:$IF$29)</f>
        <v>0</v>
      </c>
      <c r="AQ380" s="28">
        <f>SUMIF('Lease Cycles'!$HL$29:$HR$29,AQ$6,'Lease Cycles'!$HZ$29:$IF$29)</f>
        <v>0</v>
      </c>
      <c r="AR380" s="28">
        <f>SUMIF('Lease Cycles'!$HL$29:$HR$29,AR$6,'Lease Cycles'!$HZ$29:$IF$29)</f>
        <v>0</v>
      </c>
      <c r="AS380" s="28">
        <f>SUMIF('Lease Cycles'!$HL$29:$HR$29,AS$6,'Lease Cycles'!$HZ$29:$IF$29)</f>
        <v>0</v>
      </c>
      <c r="AT380" s="28">
        <f>SUMIF('Lease Cycles'!$HL$29:$HR$29,AT$6,'Lease Cycles'!$HZ$29:$IF$29)</f>
        <v>0</v>
      </c>
      <c r="AU380" s="28">
        <f>SUMIF('Lease Cycles'!$HL$29:$HR$29,AU$6,'Lease Cycles'!$HZ$29:$IF$29)</f>
        <v>0</v>
      </c>
      <c r="AV380" s="28">
        <f>SUMIF('Lease Cycles'!$HL$29:$HR$29,AV$6,'Lease Cycles'!$HZ$29:$IF$29)</f>
        <v>0</v>
      </c>
      <c r="AW380" s="28">
        <f>SUMIF('Lease Cycles'!$HL$29:$HR$29,AW$6,'Lease Cycles'!$HZ$29:$IF$29)</f>
        <v>0</v>
      </c>
      <c r="AX380" s="28">
        <f>SUMIF('Lease Cycles'!$HL$29:$HR$29,AX$6,'Lease Cycles'!$HZ$29:$IF$29)</f>
        <v>0</v>
      </c>
      <c r="AY380" s="28">
        <f>SUMIF('Lease Cycles'!$HL$29:$HR$29,AY$6,'Lease Cycles'!$HZ$29:$IF$29)</f>
        <v>0</v>
      </c>
      <c r="AZ380" s="28">
        <f>SUMIF('Lease Cycles'!$HL$29:$HR$29,AZ$6,'Lease Cycles'!$HZ$29:$IF$29)</f>
        <v>0</v>
      </c>
      <c r="BA380" s="28">
        <f>SUMIF('Lease Cycles'!$HL$29:$HR$29,BA$6,'Lease Cycles'!$HZ$29:$IF$29)</f>
        <v>0</v>
      </c>
      <c r="BB380" s="28">
        <f>SUMIF('Lease Cycles'!$HL$29:$HR$29,BB$6,'Lease Cycles'!$HZ$29:$IF$29)</f>
        <v>0</v>
      </c>
      <c r="BC380" s="28">
        <f>SUMIF('Lease Cycles'!$HL$29:$HR$29,BC$6,'Lease Cycles'!$HZ$29:$IF$29)</f>
        <v>0</v>
      </c>
      <c r="BD380" s="28">
        <f>SUMIF('Lease Cycles'!$HL$29:$HR$29,BD$6,'Lease Cycles'!$HZ$29:$IF$29)</f>
        <v>0</v>
      </c>
      <c r="BE380" s="28">
        <f>SUMIF('Lease Cycles'!$HL$29:$HR$29,BE$6,'Lease Cycles'!$HZ$29:$IF$29)</f>
        <v>0</v>
      </c>
      <c r="BF380" s="28">
        <f>SUMIF('Lease Cycles'!$HL$29:$HR$29,BF$6,'Lease Cycles'!$HZ$29:$IF$29)</f>
        <v>0</v>
      </c>
      <c r="BG380" s="28">
        <f>SUMIF('Lease Cycles'!$HL$29:$HR$29,BG$6,'Lease Cycles'!$HZ$29:$IF$29)</f>
        <v>0</v>
      </c>
      <c r="BH380" s="28">
        <f>SUMIF('Lease Cycles'!$HL$29:$HR$29,BH$6,'Lease Cycles'!$HZ$29:$IF$29)</f>
        <v>0</v>
      </c>
      <c r="BI380" s="28">
        <f>SUMIF('Lease Cycles'!$HL$29:$HR$29,BI$6,'Lease Cycles'!$HZ$29:$IF$29)</f>
        <v>0</v>
      </c>
      <c r="BJ380" s="28">
        <f>SUMIF('Lease Cycles'!$HL$29:$HR$29,BJ$6,'Lease Cycles'!$HZ$29:$IF$29)</f>
        <v>0</v>
      </c>
      <c r="BK380" s="28">
        <f>SUMIF('Lease Cycles'!$HL$29:$HR$29,BK$6,'Lease Cycles'!$HZ$29:$IF$29)</f>
        <v>0</v>
      </c>
      <c r="BL380" s="28">
        <f>SUMIF('Lease Cycles'!$HL$29:$HR$29,BL$6,'Lease Cycles'!$HZ$29:$IF$29)</f>
        <v>0</v>
      </c>
      <c r="BM380" s="28">
        <f>SUMIF('Lease Cycles'!$HL$29:$HR$29,BM$6,'Lease Cycles'!$HZ$29:$IF$29)</f>
        <v>0</v>
      </c>
      <c r="BN380" s="28">
        <f>SUMIF('Lease Cycles'!$HL$29:$HR$29,BN$6,'Lease Cycles'!$HZ$29:$IF$29)</f>
        <v>0</v>
      </c>
      <c r="BO380" s="28">
        <f>SUMIF('Lease Cycles'!$HL$29:$HR$29,BO$6,'Lease Cycles'!$HZ$29:$IF$29)</f>
        <v>0</v>
      </c>
      <c r="BP380" s="28">
        <f>SUMIF('Lease Cycles'!$HL$29:$HR$29,BP$6,'Lease Cycles'!$HZ$29:$IF$29)</f>
        <v>0</v>
      </c>
      <c r="BQ380" s="28">
        <f>SUMIF('Lease Cycles'!$HL$29:$HR$29,BQ$6,'Lease Cycles'!$HZ$29:$IF$29)</f>
        <v>0</v>
      </c>
      <c r="BR380" s="28">
        <f>SUMIF('Lease Cycles'!$HL$29:$HR$29,BR$6,'Lease Cycles'!$HZ$29:$IF$29)</f>
        <v>0</v>
      </c>
      <c r="BS380" s="28">
        <f>SUMIF('Lease Cycles'!$HL$29:$HR$29,BS$6,'Lease Cycles'!$HZ$29:$IF$29)</f>
        <v>0</v>
      </c>
      <c r="BT380" s="28">
        <f>SUMIF('Lease Cycles'!$HL$29:$HR$29,BT$6,'Lease Cycles'!$HZ$29:$IF$29)</f>
        <v>0</v>
      </c>
      <c r="BU380" s="28">
        <f>SUMIF('Lease Cycles'!$HL$29:$HR$29,BU$6,'Lease Cycles'!$HZ$29:$IF$29)</f>
        <v>0</v>
      </c>
      <c r="BV380" s="28">
        <f>SUMIF('Lease Cycles'!$HL$29:$HR$29,BV$6,'Lease Cycles'!$HZ$29:$IF$29)</f>
        <v>0</v>
      </c>
      <c r="BW380" s="28">
        <f>SUMIF('Lease Cycles'!$HL$29:$HR$29,BW$6,'Lease Cycles'!$HZ$29:$IF$29)</f>
        <v>0</v>
      </c>
      <c r="BX380" s="28">
        <f>SUMIF('Lease Cycles'!$HL$29:$HR$29,BX$6,'Lease Cycles'!$HZ$29:$IF$29)</f>
        <v>0</v>
      </c>
      <c r="BY380" s="28">
        <f>SUMIF('Lease Cycles'!$HL$29:$HR$29,BY$6,'Lease Cycles'!$HZ$29:$IF$29)</f>
        <v>0</v>
      </c>
      <c r="BZ380" s="28">
        <f>SUMIF('Lease Cycles'!$HL$29:$HR$29,BZ$6,'Lease Cycles'!$HZ$29:$IF$29)</f>
        <v>0</v>
      </c>
      <c r="CA380" s="28">
        <f>SUMIF('Lease Cycles'!$HL$29:$HR$29,CA$6,'Lease Cycles'!$HZ$29:$IF$29)</f>
        <v>0</v>
      </c>
      <c r="CB380" s="28">
        <f>SUMIF('Lease Cycles'!$HL$29:$HR$29,CB$6,'Lease Cycles'!$HZ$29:$IF$29)</f>
        <v>0</v>
      </c>
      <c r="CC380" s="28">
        <f>SUMIF('Lease Cycles'!$HL$29:$HR$29,CC$6,'Lease Cycles'!$HZ$29:$IF$29)</f>
        <v>0</v>
      </c>
      <c r="CD380" s="28">
        <f>SUMIF('Lease Cycles'!$HL$29:$HR$29,CD$6,'Lease Cycles'!$HZ$29:$IF$29)</f>
        <v>0</v>
      </c>
      <c r="CE380" s="28">
        <f>SUMIF('Lease Cycles'!$HL$29:$HR$29,CE$6,'Lease Cycles'!$HZ$29:$IF$29)</f>
        <v>0</v>
      </c>
      <c r="CF380" s="28">
        <f>SUMIF('Lease Cycles'!$HL$29:$HR$29,CF$6,'Lease Cycles'!$HZ$29:$IF$29)</f>
        <v>0</v>
      </c>
      <c r="CG380" s="28">
        <f>SUMIF('Lease Cycles'!$HL$29:$HR$29,CG$6,'Lease Cycles'!$HZ$29:$IF$29)</f>
        <v>0</v>
      </c>
      <c r="CH380" s="28">
        <f>SUMIF('Lease Cycles'!$HL$29:$HR$29,CH$6,'Lease Cycles'!$HZ$29:$IF$29)</f>
        <v>0</v>
      </c>
      <c r="CI380" s="28">
        <f>SUMIF('Lease Cycles'!$HL$29:$HR$29,CI$6,'Lease Cycles'!$HZ$29:$IF$29)</f>
        <v>0</v>
      </c>
      <c r="CJ380" s="28">
        <f>SUMIF('Lease Cycles'!$HL$29:$HR$29,CJ$6,'Lease Cycles'!$HZ$29:$IF$29)</f>
        <v>0</v>
      </c>
      <c r="CK380" s="28">
        <f>SUMIF('Lease Cycles'!$HL$29:$HR$29,CK$6,'Lease Cycles'!$HZ$29:$IF$29)</f>
        <v>0</v>
      </c>
      <c r="CL380" s="28">
        <f>SUMIF('Lease Cycles'!$HL$29:$HR$29,CL$6,'Lease Cycles'!$HZ$29:$IF$29)</f>
        <v>0</v>
      </c>
      <c r="CM380" s="28">
        <f>SUMIF('Lease Cycles'!$HL$29:$HR$29,CM$6,'Lease Cycles'!$HZ$29:$IF$29)</f>
        <v>0</v>
      </c>
      <c r="CN380" s="28">
        <f>SUMIF('Lease Cycles'!$HL$29:$HR$29,CN$6,'Lease Cycles'!$HZ$29:$IF$29)</f>
        <v>0</v>
      </c>
      <c r="CO380" s="28">
        <f>SUMIF('Lease Cycles'!$HL$29:$HR$29,CO$6,'Lease Cycles'!$HZ$29:$IF$29)</f>
        <v>0</v>
      </c>
      <c r="CP380" s="28">
        <f>SUMIF('Lease Cycles'!$HL$29:$HR$29,CP$6,'Lease Cycles'!$HZ$29:$IF$29)</f>
        <v>0</v>
      </c>
      <c r="CQ380" s="28">
        <f>SUMIF('Lease Cycles'!$HL$29:$HR$29,CQ$6,'Lease Cycles'!$HZ$29:$IF$29)</f>
        <v>0</v>
      </c>
      <c r="CR380" s="28">
        <f>SUMIF('Lease Cycles'!$HL$29:$HR$29,CR$6,'Lease Cycles'!$HZ$29:$IF$29)</f>
        <v>0</v>
      </c>
      <c r="CS380" s="28">
        <f>SUMIF('Lease Cycles'!$HL$29:$HR$29,CS$6,'Lease Cycles'!$HZ$29:$IF$29)</f>
        <v>0</v>
      </c>
      <c r="CT380" s="28">
        <f>SUMIF('Lease Cycles'!$HL$29:$HR$29,CT$6,'Lease Cycles'!$HZ$29:$IF$29)</f>
        <v>0</v>
      </c>
      <c r="CU380" s="28">
        <f>SUMIF('Lease Cycles'!$HL$29:$HR$29,CU$6,'Lease Cycles'!$HZ$29:$IF$29)</f>
        <v>0</v>
      </c>
      <c r="CV380" s="28">
        <f>SUMIF('Lease Cycles'!$HL$29:$HR$29,CV$6,'Lease Cycles'!$HZ$29:$IF$29)</f>
        <v>0</v>
      </c>
      <c r="CW380" s="28">
        <f>SUMIF('Lease Cycles'!$HL$29:$HR$29,CW$6,'Lease Cycles'!$HZ$29:$IF$29)</f>
        <v>0</v>
      </c>
      <c r="CX380" s="28">
        <f>SUMIF('Lease Cycles'!$HL$29:$HR$29,CX$6,'Lease Cycles'!$HZ$29:$IF$29)</f>
        <v>0</v>
      </c>
      <c r="CY380" s="28">
        <f>SUMIF('Lease Cycles'!$HL$29:$HR$29,CY$6,'Lease Cycles'!$HZ$29:$IF$29)</f>
        <v>0</v>
      </c>
      <c r="CZ380" s="28">
        <f>SUMIF('Lease Cycles'!$HL$29:$HR$29,CZ$6,'Lease Cycles'!$HZ$29:$IF$29)</f>
        <v>0</v>
      </c>
      <c r="DA380" s="28">
        <f>SUMIF('Lease Cycles'!$HL$29:$HR$29,DA$6,'Lease Cycles'!$HZ$29:$IF$29)</f>
        <v>0</v>
      </c>
      <c r="DB380" s="28">
        <f>SUMIF('Lease Cycles'!$HL$29:$HR$29,DB$6,'Lease Cycles'!$HZ$29:$IF$29)</f>
        <v>0</v>
      </c>
      <c r="DC380" s="28">
        <f>SUMIF('Lease Cycles'!$HL$29:$HR$29,DC$6,'Lease Cycles'!$HZ$29:$IF$29)</f>
        <v>0</v>
      </c>
      <c r="DD380" s="28">
        <f>SUMIF('Lease Cycles'!$HL$29:$HR$29,DD$6,'Lease Cycles'!$HZ$29:$IF$29)</f>
        <v>0</v>
      </c>
      <c r="DE380" s="28">
        <f>SUMIF('Lease Cycles'!$HL$29:$HR$29,DE$6,'Lease Cycles'!$HZ$29:$IF$29)</f>
        <v>0</v>
      </c>
      <c r="DF380" s="28">
        <f>SUMIF('Lease Cycles'!$HL$29:$HR$29,DF$6,'Lease Cycles'!$HZ$29:$IF$29)</f>
        <v>0</v>
      </c>
      <c r="DG380" s="28">
        <f>SUMIF('Lease Cycles'!$HL$29:$HR$29,DG$6,'Lease Cycles'!$HZ$29:$IF$29)</f>
        <v>0</v>
      </c>
      <c r="DH380" s="28">
        <f>SUMIF('Lease Cycles'!$HL$29:$HR$29,DH$6,'Lease Cycles'!$HZ$29:$IF$29)</f>
        <v>0</v>
      </c>
      <c r="DI380" s="28">
        <f>SUMIF('Lease Cycles'!$HL$29:$HR$29,DI$6,'Lease Cycles'!$HZ$29:$IF$29)</f>
        <v>0</v>
      </c>
      <c r="DJ380" s="28">
        <f>SUMIF('Lease Cycles'!$HL$29:$HR$29,DJ$6,'Lease Cycles'!$HZ$29:$IF$29)</f>
        <v>0</v>
      </c>
      <c r="DK380" s="28">
        <f>SUMIF('Lease Cycles'!$HL$29:$HR$29,DK$6,'Lease Cycles'!$HZ$29:$IF$29)</f>
        <v>0</v>
      </c>
      <c r="DL380" s="28">
        <f>SUMIF('Lease Cycles'!$HL$29:$HR$29,DL$6,'Lease Cycles'!$HZ$29:$IF$29)</f>
        <v>0</v>
      </c>
      <c r="DM380" s="28">
        <f>SUMIF('Lease Cycles'!$HL$29:$HR$29,DM$6,'Lease Cycles'!$HZ$29:$IF$29)</f>
        <v>0</v>
      </c>
      <c r="DN380" s="28">
        <f>SUMIF('Lease Cycles'!$HL$29:$HR$29,DN$6,'Lease Cycles'!$HZ$29:$IF$29)</f>
        <v>0</v>
      </c>
      <c r="DO380" s="28">
        <f>SUMIF('Lease Cycles'!$HL$29:$HR$29,DO$6,'Lease Cycles'!$HZ$29:$IF$29)</f>
        <v>0</v>
      </c>
      <c r="DP380" s="28">
        <f>SUMIF('Lease Cycles'!$HL$29:$HR$29,DP$6,'Lease Cycles'!$HZ$29:$IF$29)</f>
        <v>0</v>
      </c>
      <c r="DQ380" s="28">
        <f>SUMIF('Lease Cycles'!$HL$29:$HR$29,DQ$6,'Lease Cycles'!$HZ$29:$IF$29)</f>
        <v>0</v>
      </c>
      <c r="DR380" s="28">
        <f>SUMIF('Lease Cycles'!$HL$29:$HR$29,DR$6,'Lease Cycles'!$HZ$29:$IF$29)</f>
        <v>0</v>
      </c>
      <c r="DS380" s="28">
        <f>SUMIF('Lease Cycles'!$HL$29:$HR$29,DS$6,'Lease Cycles'!$HZ$29:$IF$29)</f>
        <v>0</v>
      </c>
      <c r="DT380" s="28">
        <f>SUMIF('Lease Cycles'!$HL$29:$HR$29,DT$6,'Lease Cycles'!$HZ$29:$IF$29)</f>
        <v>0</v>
      </c>
      <c r="DU380" s="28">
        <f>SUMIF('Lease Cycles'!$HL$29:$HR$29,DU$6,'Lease Cycles'!$HZ$29:$IF$29)</f>
        <v>0</v>
      </c>
      <c r="DV380" s="28">
        <f>SUMIF('Lease Cycles'!$HL$29:$HR$29,DV$6,'Lease Cycles'!$HZ$29:$IF$29)</f>
        <v>0</v>
      </c>
      <c r="DW380" s="28">
        <f>SUMIF('Lease Cycles'!$HL$29:$HR$29,DW$6,'Lease Cycles'!$HZ$29:$IF$29)</f>
        <v>0</v>
      </c>
      <c r="DX380" s="28">
        <f>SUMIF('Lease Cycles'!$HL$29:$HR$29,DX$6,'Lease Cycles'!$HZ$29:$IF$29)</f>
        <v>0</v>
      </c>
      <c r="DY380" s="28">
        <f>SUMIF('Lease Cycles'!$HL$29:$HR$29,DY$6,'Lease Cycles'!$HZ$29:$IF$29)</f>
        <v>0</v>
      </c>
      <c r="DZ380" s="28">
        <f>SUMIF('Lease Cycles'!$HL$29:$HR$29,DZ$6,'Lease Cycles'!$HZ$29:$IF$29)</f>
        <v>0</v>
      </c>
      <c r="EA380" s="28">
        <f>SUMIF('Lease Cycles'!$HL$29:$HR$29,EA$6,'Lease Cycles'!$HZ$29:$IF$29)</f>
        <v>0</v>
      </c>
      <c r="EB380" s="28">
        <f>SUMIF('Lease Cycles'!$HL$29:$HR$29,EB$6,'Lease Cycles'!$HZ$29:$IF$29)</f>
        <v>0</v>
      </c>
      <c r="EC380" s="28">
        <f>SUMIF('Lease Cycles'!$HL$29:$HR$29,EC$6,'Lease Cycles'!$HZ$29:$IF$29)</f>
        <v>0</v>
      </c>
      <c r="ED380" s="28">
        <f>SUMIF('Lease Cycles'!$HL$29:$HR$29,ED$6,'Lease Cycles'!$HZ$29:$IF$29)</f>
        <v>0</v>
      </c>
      <c r="EE380" s="28">
        <f>SUMIF('Lease Cycles'!$HL$29:$HR$29,EE$6,'Lease Cycles'!$HZ$29:$IF$29)</f>
        <v>0</v>
      </c>
      <c r="EF380" s="28">
        <f>SUMIF('Lease Cycles'!$HL$29:$HR$29,EF$6,'Lease Cycles'!$HZ$29:$IF$29)</f>
        <v>0</v>
      </c>
      <c r="EG380" s="28">
        <f>SUMIF('Lease Cycles'!$HL$29:$HR$29,EG$6,'Lease Cycles'!$HZ$29:$IF$29)</f>
        <v>0</v>
      </c>
      <c r="EH380" s="28">
        <f>SUMIF('Lease Cycles'!$HL$29:$HR$29,EH$6,'Lease Cycles'!$HZ$29:$IF$29)</f>
        <v>0</v>
      </c>
      <c r="EI380" s="28">
        <f>SUMIF('Lease Cycles'!$HL$29:$HR$29,EI$6,'Lease Cycles'!$HZ$29:$IF$29)</f>
        <v>0</v>
      </c>
      <c r="EJ380" s="28">
        <f>SUMIF('Lease Cycles'!$HL$29:$HR$29,EJ$6,'Lease Cycles'!$HZ$29:$IF$29)</f>
        <v>0</v>
      </c>
      <c r="EK380" s="28">
        <f>SUMIF('Lease Cycles'!$HL$29:$HR$29,EK$6,'Lease Cycles'!$HZ$29:$IF$29)</f>
        <v>0</v>
      </c>
      <c r="EL380" s="28">
        <f>SUMIF('Lease Cycles'!$HL$29:$HR$29,EL$6,'Lease Cycles'!$HZ$29:$IF$29)</f>
        <v>0</v>
      </c>
      <c r="EM380" s="28">
        <f>SUMIF('Lease Cycles'!$HL$29:$HR$29,EM$6,'Lease Cycles'!$HZ$29:$IF$29)</f>
        <v>0</v>
      </c>
      <c r="EN380" s="28">
        <f>SUMIF('Lease Cycles'!$HL$29:$HR$29,EN$6,'Lease Cycles'!$HZ$29:$IF$29)</f>
        <v>0</v>
      </c>
      <c r="EO380" s="28">
        <f>SUMIF('Lease Cycles'!$HL$29:$HR$29,EO$6,'Lease Cycles'!$HZ$29:$IF$29)</f>
        <v>0</v>
      </c>
      <c r="EP380" s="28">
        <f>SUMIF('Lease Cycles'!$HL$29:$HR$29,EP$6,'Lease Cycles'!$HZ$29:$IF$29)</f>
        <v>0</v>
      </c>
      <c r="EQ380" s="28">
        <f>SUMIF('Lease Cycles'!$HL$29:$HR$29,EQ$6,'Lease Cycles'!$HZ$29:$IF$29)</f>
        <v>0</v>
      </c>
      <c r="ER380" s="28">
        <f>SUMIF('Lease Cycles'!$HL$29:$HR$29,ER$6,'Lease Cycles'!$HZ$29:$IF$29)</f>
        <v>0</v>
      </c>
      <c r="ES380" s="28">
        <f>SUMIF('Lease Cycles'!$HL$29:$HR$29,ES$6,'Lease Cycles'!$HZ$29:$IF$29)</f>
        <v>0</v>
      </c>
      <c r="ET380" s="28">
        <f>SUMIF('Lease Cycles'!$HL$29:$HR$29,ET$6,'Lease Cycles'!$HZ$29:$IF$29)</f>
        <v>0</v>
      </c>
    </row>
    <row r="381">
      <c r="A381" s="103">
        <v>22</v>
      </c>
      <c r="B381" s="23" t="str">
        <f>IF('Lease Cycles'!$B$29="","(empty slot)",'Lease Cycles'!$B$29)</f>
        <v>(empty slot)</v>
      </c>
      <c r="C381" s="23" t="s">
        <v>691</v>
      </c>
      <c r="D381" s="104" t="s">
        <v>692</v>
      </c>
      <c r="E381" s="25">
        <f>'Lease Cycles'!$AL$29</f>
        <v>0</v>
      </c>
      <c r="G381" s="28">
        <f>SUM(S381:AD381)</f>
        <v>0</v>
      </c>
      <c r="H381" s="28">
        <f>SUM(AE381:AP381)</f>
        <v>0</v>
      </c>
      <c r="I381" s="28">
        <f>SUM(AQ381:BB381)</f>
        <v>0</v>
      </c>
      <c r="J381" s="28">
        <f>SUM(BC381:BN381)</f>
        <v>0</v>
      </c>
      <c r="K381" s="28">
        <f>SUM(BO381:BZ381)</f>
        <v>0</v>
      </c>
      <c r="L381" s="28">
        <f>SUM(CA381:CL381)</f>
        <v>0</v>
      </c>
      <c r="M381" s="28">
        <f>SUM(CM381:CX381)</f>
        <v>0</v>
      </c>
      <c r="N381" s="28">
        <f>SUM(CY381:DJ381)</f>
        <v>0</v>
      </c>
      <c r="O381" s="28">
        <f>SUM(DK381:DV381)</f>
        <v>0</v>
      </c>
      <c r="P381" s="28">
        <f>SUM(DW381:EH381)</f>
        <v>0</v>
      </c>
      <c r="Q381" s="28">
        <f>SUM(EI381:ET381)</f>
        <v>0</v>
      </c>
      <c r="S381" s="28">
        <f>IF(S$6='Lease Cycles'!$HL$29,'Lease Cycles'!$HS$29+'Lease Cycles'!$HZ$29,0)</f>
        <v>0</v>
      </c>
      <c r="T381" s="28">
        <f>IF(T$6='Lease Cycles'!$HL$29,'Lease Cycles'!$HS$29+'Lease Cycles'!$HZ$29,0)</f>
        <v>0</v>
      </c>
      <c r="U381" s="28">
        <f>IF(U$6='Lease Cycles'!$HL$29,'Lease Cycles'!$HS$29+'Lease Cycles'!$HZ$29,0)</f>
        <v>0</v>
      </c>
      <c r="V381" s="28">
        <f>IF(V$6='Lease Cycles'!$HL$29,'Lease Cycles'!$HS$29+'Lease Cycles'!$HZ$29,0)</f>
        <v>0</v>
      </c>
      <c r="W381" s="28">
        <f>IF(W$6='Lease Cycles'!$HL$29,'Lease Cycles'!$HS$29+'Lease Cycles'!$HZ$29,0)</f>
        <v>0</v>
      </c>
      <c r="X381" s="28">
        <f>IF(X$6='Lease Cycles'!$HL$29,'Lease Cycles'!$HS$29+'Lease Cycles'!$HZ$29,0)</f>
        <v>0</v>
      </c>
      <c r="Y381" s="28">
        <f>IF(Y$6='Lease Cycles'!$HL$29,'Lease Cycles'!$HS$29+'Lease Cycles'!$HZ$29,0)</f>
        <v>0</v>
      </c>
      <c r="Z381" s="28">
        <f>IF(Z$6='Lease Cycles'!$HL$29,'Lease Cycles'!$HS$29+'Lease Cycles'!$HZ$29,0)</f>
        <v>0</v>
      </c>
      <c r="AA381" s="28">
        <f>IF(AA$6='Lease Cycles'!$HL$29,'Lease Cycles'!$HS$29+'Lease Cycles'!$HZ$29,0)</f>
        <v>0</v>
      </c>
      <c r="AB381" s="28">
        <f>IF(AB$6='Lease Cycles'!$HL$29,'Lease Cycles'!$HS$29+'Lease Cycles'!$HZ$29,0)</f>
        <v>0</v>
      </c>
      <c r="AC381" s="28">
        <f>IF(AC$6='Lease Cycles'!$HL$29,'Lease Cycles'!$HS$29+'Lease Cycles'!$HZ$29,0)</f>
        <v>0</v>
      </c>
      <c r="AD381" s="28">
        <f>IF(AD$6='Lease Cycles'!$HL$29,'Lease Cycles'!$HS$29+'Lease Cycles'!$HZ$29,0)</f>
        <v>0</v>
      </c>
      <c r="AE381" s="28">
        <f>IF(AE$6='Lease Cycles'!$HL$29,'Lease Cycles'!$HS$29+'Lease Cycles'!$HZ$29,0)</f>
        <v>0</v>
      </c>
      <c r="AF381" s="28">
        <f>IF(AF$6='Lease Cycles'!$HL$29,'Lease Cycles'!$HS$29+'Lease Cycles'!$HZ$29,0)</f>
        <v>0</v>
      </c>
      <c r="AG381" s="28">
        <f>IF(AG$6='Lease Cycles'!$HL$29,'Lease Cycles'!$HS$29+'Lease Cycles'!$HZ$29,0)</f>
        <v>0</v>
      </c>
      <c r="AH381" s="28">
        <f>IF(AH$6='Lease Cycles'!$HL$29,'Lease Cycles'!$HS$29+'Lease Cycles'!$HZ$29,0)</f>
        <v>0</v>
      </c>
      <c r="AI381" s="28">
        <f>IF(AI$6='Lease Cycles'!$HL$29,'Lease Cycles'!$HS$29+'Lease Cycles'!$HZ$29,0)</f>
        <v>0</v>
      </c>
      <c r="AJ381" s="28">
        <f>IF(AJ$6='Lease Cycles'!$HL$29,'Lease Cycles'!$HS$29+'Lease Cycles'!$HZ$29,0)</f>
        <v>0</v>
      </c>
      <c r="AK381" s="28">
        <f>IF(AK$6='Lease Cycles'!$HL$29,'Lease Cycles'!$HS$29+'Lease Cycles'!$HZ$29,0)</f>
        <v>0</v>
      </c>
      <c r="AL381" s="28">
        <f>IF(AL$6='Lease Cycles'!$HL$29,'Lease Cycles'!$HS$29+'Lease Cycles'!$HZ$29,0)</f>
        <v>0</v>
      </c>
      <c r="AM381" s="28">
        <f>IF(AM$6='Lease Cycles'!$HL$29,'Lease Cycles'!$HS$29+'Lease Cycles'!$HZ$29,0)</f>
        <v>0</v>
      </c>
      <c r="AN381" s="28">
        <f>IF(AN$6='Lease Cycles'!$HL$29,'Lease Cycles'!$HS$29+'Lease Cycles'!$HZ$29,0)</f>
        <v>0</v>
      </c>
      <c r="AO381" s="28">
        <f>IF(AO$6='Lease Cycles'!$HL$29,'Lease Cycles'!$HS$29+'Lease Cycles'!$HZ$29,0)</f>
        <v>0</v>
      </c>
      <c r="AP381" s="28">
        <f>IF(AP$6='Lease Cycles'!$HL$29,'Lease Cycles'!$HS$29+'Lease Cycles'!$HZ$29,0)</f>
        <v>0</v>
      </c>
      <c r="AQ381" s="28">
        <f>IF(AQ$6='Lease Cycles'!$HL$29,'Lease Cycles'!$HS$29+'Lease Cycles'!$HZ$29,0)</f>
        <v>0</v>
      </c>
      <c r="AR381" s="28">
        <f>IF(AR$6='Lease Cycles'!$HL$29,'Lease Cycles'!$HS$29+'Lease Cycles'!$HZ$29,0)</f>
        <v>0</v>
      </c>
      <c r="AS381" s="28">
        <f>IF(AS$6='Lease Cycles'!$HL$29,'Lease Cycles'!$HS$29+'Lease Cycles'!$HZ$29,0)</f>
        <v>0</v>
      </c>
      <c r="AT381" s="28">
        <f>IF(AT$6='Lease Cycles'!$HL$29,'Lease Cycles'!$HS$29+'Lease Cycles'!$HZ$29,0)</f>
        <v>0</v>
      </c>
      <c r="AU381" s="28">
        <f>IF(AU$6='Lease Cycles'!$HL$29,'Lease Cycles'!$HS$29+'Lease Cycles'!$HZ$29,0)</f>
        <v>0</v>
      </c>
      <c r="AV381" s="28">
        <f>IF(AV$6='Lease Cycles'!$HL$29,'Lease Cycles'!$HS$29+'Lease Cycles'!$HZ$29,0)</f>
        <v>0</v>
      </c>
      <c r="AW381" s="28">
        <f>IF(AW$6='Lease Cycles'!$HL$29,'Lease Cycles'!$HS$29+'Lease Cycles'!$HZ$29,0)</f>
        <v>0</v>
      </c>
      <c r="AX381" s="28">
        <f>IF(AX$6='Lease Cycles'!$HL$29,'Lease Cycles'!$HS$29+'Lease Cycles'!$HZ$29,0)</f>
        <v>0</v>
      </c>
      <c r="AY381" s="28">
        <f>IF(AY$6='Lease Cycles'!$HL$29,'Lease Cycles'!$HS$29+'Lease Cycles'!$HZ$29,0)</f>
        <v>0</v>
      </c>
      <c r="AZ381" s="28">
        <f>IF(AZ$6='Lease Cycles'!$HL$29,'Lease Cycles'!$HS$29+'Lease Cycles'!$HZ$29,0)</f>
        <v>0</v>
      </c>
      <c r="BA381" s="28">
        <f>IF(BA$6='Lease Cycles'!$HL$29,'Lease Cycles'!$HS$29+'Lease Cycles'!$HZ$29,0)</f>
        <v>0</v>
      </c>
      <c r="BB381" s="28">
        <f>IF(BB$6='Lease Cycles'!$HL$29,'Lease Cycles'!$HS$29+'Lease Cycles'!$HZ$29,0)</f>
        <v>0</v>
      </c>
      <c r="BC381" s="28">
        <f>IF(BC$6='Lease Cycles'!$HL$29,'Lease Cycles'!$HS$29+'Lease Cycles'!$HZ$29,0)</f>
        <v>0</v>
      </c>
      <c r="BD381" s="28">
        <f>IF(BD$6='Lease Cycles'!$HL$29,'Lease Cycles'!$HS$29+'Lease Cycles'!$HZ$29,0)</f>
        <v>0</v>
      </c>
      <c r="BE381" s="28">
        <f>IF(BE$6='Lease Cycles'!$HL$29,'Lease Cycles'!$HS$29+'Lease Cycles'!$HZ$29,0)</f>
        <v>0</v>
      </c>
      <c r="BF381" s="28">
        <f>IF(BF$6='Lease Cycles'!$HL$29,'Lease Cycles'!$HS$29+'Lease Cycles'!$HZ$29,0)</f>
        <v>0</v>
      </c>
      <c r="BG381" s="28">
        <f>IF(BG$6='Lease Cycles'!$HL$29,'Lease Cycles'!$HS$29+'Lease Cycles'!$HZ$29,0)</f>
        <v>0</v>
      </c>
      <c r="BH381" s="28">
        <f>IF(BH$6='Lease Cycles'!$HL$29,'Lease Cycles'!$HS$29+'Lease Cycles'!$HZ$29,0)</f>
        <v>0</v>
      </c>
      <c r="BI381" s="28">
        <f>IF(BI$6='Lease Cycles'!$HL$29,'Lease Cycles'!$HS$29+'Lease Cycles'!$HZ$29,0)</f>
        <v>0</v>
      </c>
      <c r="BJ381" s="28">
        <f>IF(BJ$6='Lease Cycles'!$HL$29,'Lease Cycles'!$HS$29+'Lease Cycles'!$HZ$29,0)</f>
        <v>0</v>
      </c>
      <c r="BK381" s="28">
        <f>IF(BK$6='Lease Cycles'!$HL$29,'Lease Cycles'!$HS$29+'Lease Cycles'!$HZ$29,0)</f>
        <v>0</v>
      </c>
      <c r="BL381" s="28">
        <f>IF(BL$6='Lease Cycles'!$HL$29,'Lease Cycles'!$HS$29+'Lease Cycles'!$HZ$29,0)</f>
        <v>0</v>
      </c>
      <c r="BM381" s="28">
        <f>IF(BM$6='Lease Cycles'!$HL$29,'Lease Cycles'!$HS$29+'Lease Cycles'!$HZ$29,0)</f>
        <v>0</v>
      </c>
      <c r="BN381" s="28">
        <f>IF(BN$6='Lease Cycles'!$HL$29,'Lease Cycles'!$HS$29+'Lease Cycles'!$HZ$29,0)</f>
        <v>0</v>
      </c>
      <c r="BO381" s="28">
        <f>IF(BO$6='Lease Cycles'!$HL$29,'Lease Cycles'!$HS$29+'Lease Cycles'!$HZ$29,0)</f>
        <v>0</v>
      </c>
      <c r="BP381" s="28">
        <f>IF(BP$6='Lease Cycles'!$HL$29,'Lease Cycles'!$HS$29+'Lease Cycles'!$HZ$29,0)</f>
        <v>0</v>
      </c>
      <c r="BQ381" s="28">
        <f>IF(BQ$6='Lease Cycles'!$HL$29,'Lease Cycles'!$HS$29+'Lease Cycles'!$HZ$29,0)</f>
        <v>0</v>
      </c>
      <c r="BR381" s="28">
        <f>IF(BR$6='Lease Cycles'!$HL$29,'Lease Cycles'!$HS$29+'Lease Cycles'!$HZ$29,0)</f>
        <v>0</v>
      </c>
      <c r="BS381" s="28">
        <f>IF(BS$6='Lease Cycles'!$HL$29,'Lease Cycles'!$HS$29+'Lease Cycles'!$HZ$29,0)</f>
        <v>0</v>
      </c>
      <c r="BT381" s="28">
        <f>IF(BT$6='Lease Cycles'!$HL$29,'Lease Cycles'!$HS$29+'Lease Cycles'!$HZ$29,0)</f>
        <v>0</v>
      </c>
      <c r="BU381" s="28">
        <f>IF(BU$6='Lease Cycles'!$HL$29,'Lease Cycles'!$HS$29+'Lease Cycles'!$HZ$29,0)</f>
        <v>0</v>
      </c>
      <c r="BV381" s="28">
        <f>IF(BV$6='Lease Cycles'!$HL$29,'Lease Cycles'!$HS$29+'Lease Cycles'!$HZ$29,0)</f>
        <v>0</v>
      </c>
      <c r="BW381" s="28">
        <f>IF(BW$6='Lease Cycles'!$HL$29,'Lease Cycles'!$HS$29+'Lease Cycles'!$HZ$29,0)</f>
        <v>0</v>
      </c>
      <c r="BX381" s="28">
        <f>IF(BX$6='Lease Cycles'!$HL$29,'Lease Cycles'!$HS$29+'Lease Cycles'!$HZ$29,0)</f>
        <v>0</v>
      </c>
      <c r="BY381" s="28">
        <f>IF(BY$6='Lease Cycles'!$HL$29,'Lease Cycles'!$HS$29+'Lease Cycles'!$HZ$29,0)</f>
        <v>0</v>
      </c>
      <c r="BZ381" s="28">
        <f>IF(BZ$6='Lease Cycles'!$HL$29,'Lease Cycles'!$HS$29+'Lease Cycles'!$HZ$29,0)</f>
        <v>0</v>
      </c>
      <c r="CA381" s="28">
        <f>IF(CA$6='Lease Cycles'!$HL$29,'Lease Cycles'!$HS$29+'Lease Cycles'!$HZ$29,0)</f>
        <v>0</v>
      </c>
      <c r="CB381" s="28">
        <f>IF(CB$6='Lease Cycles'!$HL$29,'Lease Cycles'!$HS$29+'Lease Cycles'!$HZ$29,0)</f>
        <v>0</v>
      </c>
      <c r="CC381" s="28">
        <f>IF(CC$6='Lease Cycles'!$HL$29,'Lease Cycles'!$HS$29+'Lease Cycles'!$HZ$29,0)</f>
        <v>0</v>
      </c>
      <c r="CD381" s="28">
        <f>IF(CD$6='Lease Cycles'!$HL$29,'Lease Cycles'!$HS$29+'Lease Cycles'!$HZ$29,0)</f>
        <v>0</v>
      </c>
      <c r="CE381" s="28">
        <f>IF(CE$6='Lease Cycles'!$HL$29,'Lease Cycles'!$HS$29+'Lease Cycles'!$HZ$29,0)</f>
        <v>0</v>
      </c>
      <c r="CF381" s="28">
        <f>IF(CF$6='Lease Cycles'!$HL$29,'Lease Cycles'!$HS$29+'Lease Cycles'!$HZ$29,0)</f>
        <v>0</v>
      </c>
      <c r="CG381" s="28">
        <f>IF(CG$6='Lease Cycles'!$HL$29,'Lease Cycles'!$HS$29+'Lease Cycles'!$HZ$29,0)</f>
        <v>0</v>
      </c>
      <c r="CH381" s="28">
        <f>IF(CH$6='Lease Cycles'!$HL$29,'Lease Cycles'!$HS$29+'Lease Cycles'!$HZ$29,0)</f>
        <v>0</v>
      </c>
      <c r="CI381" s="28">
        <f>IF(CI$6='Lease Cycles'!$HL$29,'Lease Cycles'!$HS$29+'Lease Cycles'!$HZ$29,0)</f>
        <v>0</v>
      </c>
      <c r="CJ381" s="28">
        <f>IF(CJ$6='Lease Cycles'!$HL$29,'Lease Cycles'!$HS$29+'Lease Cycles'!$HZ$29,0)</f>
        <v>0</v>
      </c>
      <c r="CK381" s="28">
        <f>IF(CK$6='Lease Cycles'!$HL$29,'Lease Cycles'!$HS$29+'Lease Cycles'!$HZ$29,0)</f>
        <v>0</v>
      </c>
      <c r="CL381" s="28">
        <f>IF(CL$6='Lease Cycles'!$HL$29,'Lease Cycles'!$HS$29+'Lease Cycles'!$HZ$29,0)</f>
        <v>0</v>
      </c>
      <c r="CM381" s="28">
        <f>IF(CM$6='Lease Cycles'!$HL$29,'Lease Cycles'!$HS$29+'Lease Cycles'!$HZ$29,0)</f>
        <v>0</v>
      </c>
      <c r="CN381" s="28">
        <f>IF(CN$6='Lease Cycles'!$HL$29,'Lease Cycles'!$HS$29+'Lease Cycles'!$HZ$29,0)</f>
        <v>0</v>
      </c>
      <c r="CO381" s="28">
        <f>IF(CO$6='Lease Cycles'!$HL$29,'Lease Cycles'!$HS$29+'Lease Cycles'!$HZ$29,0)</f>
        <v>0</v>
      </c>
      <c r="CP381" s="28">
        <f>IF(CP$6='Lease Cycles'!$HL$29,'Lease Cycles'!$HS$29+'Lease Cycles'!$HZ$29,0)</f>
        <v>0</v>
      </c>
      <c r="CQ381" s="28">
        <f>IF(CQ$6='Lease Cycles'!$HL$29,'Lease Cycles'!$HS$29+'Lease Cycles'!$HZ$29,0)</f>
        <v>0</v>
      </c>
      <c r="CR381" s="28">
        <f>IF(CR$6='Lease Cycles'!$HL$29,'Lease Cycles'!$HS$29+'Lease Cycles'!$HZ$29,0)</f>
        <v>0</v>
      </c>
      <c r="CS381" s="28">
        <f>IF(CS$6='Lease Cycles'!$HL$29,'Lease Cycles'!$HS$29+'Lease Cycles'!$HZ$29,0)</f>
        <v>0</v>
      </c>
      <c r="CT381" s="28">
        <f>IF(CT$6='Lease Cycles'!$HL$29,'Lease Cycles'!$HS$29+'Lease Cycles'!$HZ$29,0)</f>
        <v>0</v>
      </c>
      <c r="CU381" s="28">
        <f>IF(CU$6='Lease Cycles'!$HL$29,'Lease Cycles'!$HS$29+'Lease Cycles'!$HZ$29,0)</f>
        <v>0</v>
      </c>
      <c r="CV381" s="28">
        <f>IF(CV$6='Lease Cycles'!$HL$29,'Lease Cycles'!$HS$29+'Lease Cycles'!$HZ$29,0)</f>
        <v>0</v>
      </c>
      <c r="CW381" s="28">
        <f>IF(CW$6='Lease Cycles'!$HL$29,'Lease Cycles'!$HS$29+'Lease Cycles'!$HZ$29,0)</f>
        <v>0</v>
      </c>
      <c r="CX381" s="28">
        <f>IF(CX$6='Lease Cycles'!$HL$29,'Lease Cycles'!$HS$29+'Lease Cycles'!$HZ$29,0)</f>
        <v>0</v>
      </c>
      <c r="CY381" s="28">
        <f>IF(CY$6='Lease Cycles'!$HL$29,'Lease Cycles'!$HS$29+'Lease Cycles'!$HZ$29,0)</f>
        <v>0</v>
      </c>
      <c r="CZ381" s="28">
        <f>IF(CZ$6='Lease Cycles'!$HL$29,'Lease Cycles'!$HS$29+'Lease Cycles'!$HZ$29,0)</f>
        <v>0</v>
      </c>
      <c r="DA381" s="28">
        <f>IF(DA$6='Lease Cycles'!$HL$29,'Lease Cycles'!$HS$29+'Lease Cycles'!$HZ$29,0)</f>
        <v>0</v>
      </c>
      <c r="DB381" s="28">
        <f>IF(DB$6='Lease Cycles'!$HL$29,'Lease Cycles'!$HS$29+'Lease Cycles'!$HZ$29,0)</f>
        <v>0</v>
      </c>
      <c r="DC381" s="28">
        <f>IF(DC$6='Lease Cycles'!$HL$29,'Lease Cycles'!$HS$29+'Lease Cycles'!$HZ$29,0)</f>
        <v>0</v>
      </c>
      <c r="DD381" s="28">
        <f>IF(DD$6='Lease Cycles'!$HL$29,'Lease Cycles'!$HS$29+'Lease Cycles'!$HZ$29,0)</f>
        <v>0</v>
      </c>
      <c r="DE381" s="28">
        <f>IF(DE$6='Lease Cycles'!$HL$29,'Lease Cycles'!$HS$29+'Lease Cycles'!$HZ$29,0)</f>
        <v>0</v>
      </c>
      <c r="DF381" s="28">
        <f>IF(DF$6='Lease Cycles'!$HL$29,'Lease Cycles'!$HS$29+'Lease Cycles'!$HZ$29,0)</f>
        <v>0</v>
      </c>
      <c r="DG381" s="28">
        <f>IF(DG$6='Lease Cycles'!$HL$29,'Lease Cycles'!$HS$29+'Lease Cycles'!$HZ$29,0)</f>
        <v>0</v>
      </c>
      <c r="DH381" s="28">
        <f>IF(DH$6='Lease Cycles'!$HL$29,'Lease Cycles'!$HS$29+'Lease Cycles'!$HZ$29,0)</f>
        <v>0</v>
      </c>
      <c r="DI381" s="28">
        <f>IF(DI$6='Lease Cycles'!$HL$29,'Lease Cycles'!$HS$29+'Lease Cycles'!$HZ$29,0)</f>
        <v>0</v>
      </c>
      <c r="DJ381" s="28">
        <f>IF(DJ$6='Lease Cycles'!$HL$29,'Lease Cycles'!$HS$29+'Lease Cycles'!$HZ$29,0)</f>
        <v>0</v>
      </c>
      <c r="DK381" s="28">
        <f>IF(DK$6='Lease Cycles'!$HL$29,'Lease Cycles'!$HS$29+'Lease Cycles'!$HZ$29,0)</f>
        <v>0</v>
      </c>
      <c r="DL381" s="28">
        <f>IF(DL$6='Lease Cycles'!$HL$29,'Lease Cycles'!$HS$29+'Lease Cycles'!$HZ$29,0)</f>
        <v>0</v>
      </c>
      <c r="DM381" s="28">
        <f>IF(DM$6='Lease Cycles'!$HL$29,'Lease Cycles'!$HS$29+'Lease Cycles'!$HZ$29,0)</f>
        <v>0</v>
      </c>
      <c r="DN381" s="28">
        <f>IF(DN$6='Lease Cycles'!$HL$29,'Lease Cycles'!$HS$29+'Lease Cycles'!$HZ$29,0)</f>
        <v>0</v>
      </c>
      <c r="DO381" s="28">
        <f>IF(DO$6='Lease Cycles'!$HL$29,'Lease Cycles'!$HS$29+'Lease Cycles'!$HZ$29,0)</f>
        <v>0</v>
      </c>
      <c r="DP381" s="28">
        <f>IF(DP$6='Lease Cycles'!$HL$29,'Lease Cycles'!$HS$29+'Lease Cycles'!$HZ$29,0)</f>
        <v>0</v>
      </c>
      <c r="DQ381" s="28">
        <f>IF(DQ$6='Lease Cycles'!$HL$29,'Lease Cycles'!$HS$29+'Lease Cycles'!$HZ$29,0)</f>
        <v>0</v>
      </c>
      <c r="DR381" s="28">
        <f>IF(DR$6='Lease Cycles'!$HL$29,'Lease Cycles'!$HS$29+'Lease Cycles'!$HZ$29,0)</f>
        <v>0</v>
      </c>
      <c r="DS381" s="28">
        <f>IF(DS$6='Lease Cycles'!$HL$29,'Lease Cycles'!$HS$29+'Lease Cycles'!$HZ$29,0)</f>
        <v>0</v>
      </c>
      <c r="DT381" s="28">
        <f>IF(DT$6='Lease Cycles'!$HL$29,'Lease Cycles'!$HS$29+'Lease Cycles'!$HZ$29,0)</f>
        <v>0</v>
      </c>
      <c r="DU381" s="28">
        <f>IF(DU$6='Lease Cycles'!$HL$29,'Lease Cycles'!$HS$29+'Lease Cycles'!$HZ$29,0)</f>
        <v>0</v>
      </c>
      <c r="DV381" s="28">
        <f>IF(DV$6='Lease Cycles'!$HL$29,'Lease Cycles'!$HS$29+'Lease Cycles'!$HZ$29,0)</f>
        <v>0</v>
      </c>
      <c r="DW381" s="28">
        <f>IF(DW$6='Lease Cycles'!$HL$29,'Lease Cycles'!$HS$29+'Lease Cycles'!$HZ$29,0)</f>
        <v>0</v>
      </c>
      <c r="DX381" s="28">
        <f>IF(DX$6='Lease Cycles'!$HL$29,'Lease Cycles'!$HS$29+'Lease Cycles'!$HZ$29,0)</f>
        <v>0</v>
      </c>
      <c r="DY381" s="28">
        <f>IF(DY$6='Lease Cycles'!$HL$29,'Lease Cycles'!$HS$29+'Lease Cycles'!$HZ$29,0)</f>
        <v>0</v>
      </c>
      <c r="DZ381" s="28">
        <f>IF(DZ$6='Lease Cycles'!$HL$29,'Lease Cycles'!$HS$29+'Lease Cycles'!$HZ$29,0)</f>
        <v>0</v>
      </c>
      <c r="EA381" s="28">
        <f>IF(EA$6='Lease Cycles'!$HL$29,'Lease Cycles'!$HS$29+'Lease Cycles'!$HZ$29,0)</f>
        <v>0</v>
      </c>
      <c r="EB381" s="28">
        <f>IF(EB$6='Lease Cycles'!$HL$29,'Lease Cycles'!$HS$29+'Lease Cycles'!$HZ$29,0)</f>
        <v>0</v>
      </c>
      <c r="EC381" s="28">
        <f>IF(EC$6='Lease Cycles'!$HL$29,'Lease Cycles'!$HS$29+'Lease Cycles'!$HZ$29,0)</f>
        <v>0</v>
      </c>
      <c r="ED381" s="28">
        <f>IF(ED$6='Lease Cycles'!$HL$29,'Lease Cycles'!$HS$29+'Lease Cycles'!$HZ$29,0)</f>
        <v>0</v>
      </c>
      <c r="EE381" s="28">
        <f>IF(EE$6='Lease Cycles'!$HL$29,'Lease Cycles'!$HS$29+'Lease Cycles'!$HZ$29,0)</f>
        <v>0</v>
      </c>
      <c r="EF381" s="28">
        <f>IF(EF$6='Lease Cycles'!$HL$29,'Lease Cycles'!$HS$29+'Lease Cycles'!$HZ$29,0)</f>
        <v>0</v>
      </c>
      <c r="EG381" s="28">
        <f>IF(EG$6='Lease Cycles'!$HL$29,'Lease Cycles'!$HS$29+'Lease Cycles'!$HZ$29,0)</f>
        <v>0</v>
      </c>
      <c r="EH381" s="28">
        <f>IF(EH$6='Lease Cycles'!$HL$29,'Lease Cycles'!$HS$29+'Lease Cycles'!$HZ$29,0)</f>
        <v>0</v>
      </c>
      <c r="EI381" s="28">
        <f>IF(EI$6='Lease Cycles'!$HL$29,'Lease Cycles'!$HS$29+'Lease Cycles'!$HZ$29,0)</f>
        <v>0</v>
      </c>
      <c r="EJ381" s="28">
        <f>IF(EJ$6='Lease Cycles'!$HL$29,'Lease Cycles'!$HS$29+'Lease Cycles'!$HZ$29,0)</f>
        <v>0</v>
      </c>
      <c r="EK381" s="28">
        <f>IF(EK$6='Lease Cycles'!$HL$29,'Lease Cycles'!$HS$29+'Lease Cycles'!$HZ$29,0)</f>
        <v>0</v>
      </c>
      <c r="EL381" s="28">
        <f>IF(EL$6='Lease Cycles'!$HL$29,'Lease Cycles'!$HS$29+'Lease Cycles'!$HZ$29,0)</f>
        <v>0</v>
      </c>
      <c r="EM381" s="28">
        <f>IF(EM$6='Lease Cycles'!$HL$29,'Lease Cycles'!$HS$29+'Lease Cycles'!$HZ$29,0)</f>
        <v>0</v>
      </c>
      <c r="EN381" s="28">
        <f>IF(EN$6='Lease Cycles'!$HL$29,'Lease Cycles'!$HS$29+'Lease Cycles'!$HZ$29,0)</f>
        <v>0</v>
      </c>
      <c r="EO381" s="28">
        <f>IF(EO$6='Lease Cycles'!$HL$29,'Lease Cycles'!$HS$29+'Lease Cycles'!$HZ$29,0)</f>
        <v>0</v>
      </c>
      <c r="EP381" s="28">
        <f>IF(EP$6='Lease Cycles'!$HL$29,'Lease Cycles'!$HS$29+'Lease Cycles'!$HZ$29,0)</f>
        <v>0</v>
      </c>
      <c r="EQ381" s="28">
        <f>IF(EQ$6='Lease Cycles'!$HL$29,'Lease Cycles'!$HS$29+'Lease Cycles'!$HZ$29,0)</f>
        <v>0</v>
      </c>
      <c r="ER381" s="28">
        <f>IF(ER$6='Lease Cycles'!$HL$29,'Lease Cycles'!$HS$29+'Lease Cycles'!$HZ$29,0)</f>
        <v>0</v>
      </c>
      <c r="ES381" s="28">
        <f>IF(ES$6='Lease Cycles'!$HL$29,'Lease Cycles'!$HS$29+'Lease Cycles'!$HZ$29,0)</f>
        <v>0</v>
      </c>
      <c r="ET381" s="28">
        <f>IF(ET$6='Lease Cycles'!$HL$29,'Lease Cycles'!$HS$29+'Lease Cycles'!$HZ$29,0)</f>
        <v>0</v>
      </c>
    </row>
    <row r="382">
      <c r="A382" s="103">
        <v>22</v>
      </c>
      <c r="B382" s="23" t="str">
        <f>IF('Lease Cycles'!$B$29="","(empty slot)",'Lease Cycles'!$B$29)</f>
        <v>(empty slot)</v>
      </c>
      <c r="C382" s="23" t="s">
        <v>499</v>
      </c>
      <c r="D382" s="104" t="s">
        <v>500</v>
      </c>
      <c r="E382" s="25">
        <f>'Lease Cycles'!$AL$29</f>
        <v>0</v>
      </c>
      <c r="G382" s="28">
        <f>MAX(0,'Lease Cycles'!$AN$29*'Lease Cycles'!$C$29*'Lease Cycles'!$AM$29*(1+a_SalesGrowth)^(G$6-1)-G372)</f>
        <v>0</v>
      </c>
      <c r="H382" s="28">
        <f>MAX(0,'Lease Cycles'!$AN$29*'Lease Cycles'!$C$29*'Lease Cycles'!$AM$29*(1+a_SalesGrowth)^(H$6-1)-H372)</f>
        <v>0</v>
      </c>
      <c r="I382" s="28">
        <f>MAX(0,'Lease Cycles'!$AN$29*'Lease Cycles'!$C$29*'Lease Cycles'!$AM$29*(1+a_SalesGrowth)^(I$6-1)-I372)</f>
        <v>0</v>
      </c>
      <c r="J382" s="28">
        <f>MAX(0,'Lease Cycles'!$AN$29*'Lease Cycles'!$C$29*'Lease Cycles'!$AM$29*(1+a_SalesGrowth)^(J$6-1)-J372)</f>
        <v>0</v>
      </c>
      <c r="K382" s="28">
        <f>MAX(0,'Lease Cycles'!$AN$29*'Lease Cycles'!$C$29*'Lease Cycles'!$AM$29*(1+a_SalesGrowth)^(K$6-1)-K372)</f>
        <v>0</v>
      </c>
      <c r="L382" s="28">
        <f>MAX(0,'Lease Cycles'!$AN$29*'Lease Cycles'!$C$29*'Lease Cycles'!$AM$29*(1+a_SalesGrowth)^(L$6-1)-L372)</f>
        <v>0</v>
      </c>
      <c r="M382" s="28">
        <f>MAX(0,'Lease Cycles'!$AN$29*'Lease Cycles'!$C$29*'Lease Cycles'!$AM$29*(1+a_SalesGrowth)^(M$6-1)-M372)</f>
        <v>0</v>
      </c>
      <c r="N382" s="28">
        <f>MAX(0,'Lease Cycles'!$AN$29*'Lease Cycles'!$C$29*'Lease Cycles'!$AM$29*(1+a_SalesGrowth)^(N$6-1)-N372)</f>
        <v>0</v>
      </c>
      <c r="O382" s="28">
        <f>MAX(0,'Lease Cycles'!$AN$29*'Lease Cycles'!$C$29*'Lease Cycles'!$AM$29*(1+a_SalesGrowth)^(O$6-1)-O372)</f>
        <v>0</v>
      </c>
      <c r="P382" s="28">
        <f>MAX(0,'Lease Cycles'!$AN$29*'Lease Cycles'!$C$29*'Lease Cycles'!$AM$29*(1+a_SalesGrowth)^(P$6-1)-P372)</f>
        <v>0</v>
      </c>
      <c r="Q382" s="28">
        <f>MAX(0,'Lease Cycles'!$AN$29*'Lease Cycles'!$C$29*'Lease Cycles'!$AM$29*(1+a_SalesGrowth)^(Q$6-1)-Q372)</f>
        <v>0</v>
      </c>
    </row>
    <row r="384">
      <c r="A384" s="103">
        <v>23</v>
      </c>
      <c r="B384" s="23" t="str">
        <f>IF('Lease Cycles'!$B$30="","(empty slot)",'Lease Cycles'!$B$30)</f>
        <v>(empty slot)</v>
      </c>
      <c r="C384" s="23" t="s">
        <v>671</v>
      </c>
      <c r="D384" s="104" t="s">
        <v>672</v>
      </c>
      <c r="E384" s="25">
        <f>'Lease Cycles'!$AL$30</f>
        <v>0</v>
      </c>
      <c r="S384" s="25">
        <f>IF('Lease Cycles'!$C$30&gt;0,COUNTIF('Lease Cycles'!$BG$30:$BM$30,"&lt;="&amp;S$6),0)</f>
        <v>0</v>
      </c>
      <c r="T384" s="25">
        <f>IF('Lease Cycles'!$C$30&gt;0,COUNTIF('Lease Cycles'!$BG$30:$BM$30,"&lt;="&amp;T$6),0)</f>
        <v>0</v>
      </c>
      <c r="U384" s="25">
        <f>IF('Lease Cycles'!$C$30&gt;0,COUNTIF('Lease Cycles'!$BG$30:$BM$30,"&lt;="&amp;U$6),0)</f>
        <v>0</v>
      </c>
      <c r="V384" s="25">
        <f>IF('Lease Cycles'!$C$30&gt;0,COUNTIF('Lease Cycles'!$BG$30:$BM$30,"&lt;="&amp;V$6),0)</f>
        <v>0</v>
      </c>
      <c r="W384" s="25">
        <f>IF('Lease Cycles'!$C$30&gt;0,COUNTIF('Lease Cycles'!$BG$30:$BM$30,"&lt;="&amp;W$6),0)</f>
        <v>0</v>
      </c>
      <c r="X384" s="25">
        <f>IF('Lease Cycles'!$C$30&gt;0,COUNTIF('Lease Cycles'!$BG$30:$BM$30,"&lt;="&amp;X$6),0)</f>
        <v>0</v>
      </c>
      <c r="Y384" s="25">
        <f>IF('Lease Cycles'!$C$30&gt;0,COUNTIF('Lease Cycles'!$BG$30:$BM$30,"&lt;="&amp;Y$6),0)</f>
        <v>0</v>
      </c>
      <c r="Z384" s="25">
        <f>IF('Lease Cycles'!$C$30&gt;0,COUNTIF('Lease Cycles'!$BG$30:$BM$30,"&lt;="&amp;Z$6),0)</f>
        <v>0</v>
      </c>
      <c r="AA384" s="25">
        <f>IF('Lease Cycles'!$C$30&gt;0,COUNTIF('Lease Cycles'!$BG$30:$BM$30,"&lt;="&amp;AA$6),0)</f>
        <v>0</v>
      </c>
      <c r="AB384" s="25">
        <f>IF('Lease Cycles'!$C$30&gt;0,COUNTIF('Lease Cycles'!$BG$30:$BM$30,"&lt;="&amp;AB$6),0)</f>
        <v>0</v>
      </c>
      <c r="AC384" s="25">
        <f>IF('Lease Cycles'!$C$30&gt;0,COUNTIF('Lease Cycles'!$BG$30:$BM$30,"&lt;="&amp;AC$6),0)</f>
        <v>0</v>
      </c>
      <c r="AD384" s="25">
        <f>IF('Lease Cycles'!$C$30&gt;0,COUNTIF('Lease Cycles'!$BG$30:$BM$30,"&lt;="&amp;AD$6),0)</f>
        <v>0</v>
      </c>
      <c r="AE384" s="25">
        <f>IF('Lease Cycles'!$C$30&gt;0,COUNTIF('Lease Cycles'!$BG$30:$BM$30,"&lt;="&amp;AE$6),0)</f>
        <v>0</v>
      </c>
      <c r="AF384" s="25">
        <f>IF('Lease Cycles'!$C$30&gt;0,COUNTIF('Lease Cycles'!$BG$30:$BM$30,"&lt;="&amp;AF$6),0)</f>
        <v>0</v>
      </c>
      <c r="AG384" s="25">
        <f>IF('Lease Cycles'!$C$30&gt;0,COUNTIF('Lease Cycles'!$BG$30:$BM$30,"&lt;="&amp;AG$6),0)</f>
        <v>0</v>
      </c>
      <c r="AH384" s="25">
        <f>IF('Lease Cycles'!$C$30&gt;0,COUNTIF('Lease Cycles'!$BG$30:$BM$30,"&lt;="&amp;AH$6),0)</f>
        <v>0</v>
      </c>
      <c r="AI384" s="25">
        <f>IF('Lease Cycles'!$C$30&gt;0,COUNTIF('Lease Cycles'!$BG$30:$BM$30,"&lt;="&amp;AI$6),0)</f>
        <v>0</v>
      </c>
      <c r="AJ384" s="25">
        <f>IF('Lease Cycles'!$C$30&gt;0,COUNTIF('Lease Cycles'!$BG$30:$BM$30,"&lt;="&amp;AJ$6),0)</f>
        <v>0</v>
      </c>
      <c r="AK384" s="25">
        <f>IF('Lease Cycles'!$C$30&gt;0,COUNTIF('Lease Cycles'!$BG$30:$BM$30,"&lt;="&amp;AK$6),0)</f>
        <v>0</v>
      </c>
      <c r="AL384" s="25">
        <f>IF('Lease Cycles'!$C$30&gt;0,COUNTIF('Lease Cycles'!$BG$30:$BM$30,"&lt;="&amp;AL$6),0)</f>
        <v>0</v>
      </c>
      <c r="AM384" s="25">
        <f>IF('Lease Cycles'!$C$30&gt;0,COUNTIF('Lease Cycles'!$BG$30:$BM$30,"&lt;="&amp;AM$6),0)</f>
        <v>0</v>
      </c>
      <c r="AN384" s="25">
        <f>IF('Lease Cycles'!$C$30&gt;0,COUNTIF('Lease Cycles'!$BG$30:$BM$30,"&lt;="&amp;AN$6),0)</f>
        <v>0</v>
      </c>
      <c r="AO384" s="25">
        <f>IF('Lease Cycles'!$C$30&gt;0,COUNTIF('Lease Cycles'!$BG$30:$BM$30,"&lt;="&amp;AO$6),0)</f>
        <v>0</v>
      </c>
      <c r="AP384" s="25">
        <f>IF('Lease Cycles'!$C$30&gt;0,COUNTIF('Lease Cycles'!$BG$30:$BM$30,"&lt;="&amp;AP$6),0)</f>
        <v>0</v>
      </c>
      <c r="AQ384" s="25">
        <f>IF('Lease Cycles'!$C$30&gt;0,COUNTIF('Lease Cycles'!$BG$30:$BM$30,"&lt;="&amp;AQ$6),0)</f>
        <v>0</v>
      </c>
      <c r="AR384" s="25">
        <f>IF('Lease Cycles'!$C$30&gt;0,COUNTIF('Lease Cycles'!$BG$30:$BM$30,"&lt;="&amp;AR$6),0)</f>
        <v>0</v>
      </c>
      <c r="AS384" s="25">
        <f>IF('Lease Cycles'!$C$30&gt;0,COUNTIF('Lease Cycles'!$BG$30:$BM$30,"&lt;="&amp;AS$6),0)</f>
        <v>0</v>
      </c>
      <c r="AT384" s="25">
        <f>IF('Lease Cycles'!$C$30&gt;0,COUNTIF('Lease Cycles'!$BG$30:$BM$30,"&lt;="&amp;AT$6),0)</f>
        <v>0</v>
      </c>
      <c r="AU384" s="25">
        <f>IF('Lease Cycles'!$C$30&gt;0,COUNTIF('Lease Cycles'!$BG$30:$BM$30,"&lt;="&amp;AU$6),0)</f>
        <v>0</v>
      </c>
      <c r="AV384" s="25">
        <f>IF('Lease Cycles'!$C$30&gt;0,COUNTIF('Lease Cycles'!$BG$30:$BM$30,"&lt;="&amp;AV$6),0)</f>
        <v>0</v>
      </c>
      <c r="AW384" s="25">
        <f>IF('Lease Cycles'!$C$30&gt;0,COUNTIF('Lease Cycles'!$BG$30:$BM$30,"&lt;="&amp;AW$6),0)</f>
        <v>0</v>
      </c>
      <c r="AX384" s="25">
        <f>IF('Lease Cycles'!$C$30&gt;0,COUNTIF('Lease Cycles'!$BG$30:$BM$30,"&lt;="&amp;AX$6),0)</f>
        <v>0</v>
      </c>
      <c r="AY384" s="25">
        <f>IF('Lease Cycles'!$C$30&gt;0,COUNTIF('Lease Cycles'!$BG$30:$BM$30,"&lt;="&amp;AY$6),0)</f>
        <v>0</v>
      </c>
      <c r="AZ384" s="25">
        <f>IF('Lease Cycles'!$C$30&gt;0,COUNTIF('Lease Cycles'!$BG$30:$BM$30,"&lt;="&amp;AZ$6),0)</f>
        <v>0</v>
      </c>
      <c r="BA384" s="25">
        <f>IF('Lease Cycles'!$C$30&gt;0,COUNTIF('Lease Cycles'!$BG$30:$BM$30,"&lt;="&amp;BA$6),0)</f>
        <v>0</v>
      </c>
      <c r="BB384" s="25">
        <f>IF('Lease Cycles'!$C$30&gt;0,COUNTIF('Lease Cycles'!$BG$30:$BM$30,"&lt;="&amp;BB$6),0)</f>
        <v>0</v>
      </c>
      <c r="BC384" s="25">
        <f>IF('Lease Cycles'!$C$30&gt;0,COUNTIF('Lease Cycles'!$BG$30:$BM$30,"&lt;="&amp;BC$6),0)</f>
        <v>0</v>
      </c>
      <c r="BD384" s="25">
        <f>IF('Lease Cycles'!$C$30&gt;0,COUNTIF('Lease Cycles'!$BG$30:$BM$30,"&lt;="&amp;BD$6),0)</f>
        <v>0</v>
      </c>
      <c r="BE384" s="25">
        <f>IF('Lease Cycles'!$C$30&gt;0,COUNTIF('Lease Cycles'!$BG$30:$BM$30,"&lt;="&amp;BE$6),0)</f>
        <v>0</v>
      </c>
      <c r="BF384" s="25">
        <f>IF('Lease Cycles'!$C$30&gt;0,COUNTIF('Lease Cycles'!$BG$30:$BM$30,"&lt;="&amp;BF$6),0)</f>
        <v>0</v>
      </c>
      <c r="BG384" s="25">
        <f>IF('Lease Cycles'!$C$30&gt;0,COUNTIF('Lease Cycles'!$BG$30:$BM$30,"&lt;="&amp;BG$6),0)</f>
        <v>0</v>
      </c>
      <c r="BH384" s="25">
        <f>IF('Lease Cycles'!$C$30&gt;0,COUNTIF('Lease Cycles'!$BG$30:$BM$30,"&lt;="&amp;BH$6),0)</f>
        <v>0</v>
      </c>
      <c r="BI384" s="25">
        <f>IF('Lease Cycles'!$C$30&gt;0,COUNTIF('Lease Cycles'!$BG$30:$BM$30,"&lt;="&amp;BI$6),0)</f>
        <v>0</v>
      </c>
      <c r="BJ384" s="25">
        <f>IF('Lease Cycles'!$C$30&gt;0,COUNTIF('Lease Cycles'!$BG$30:$BM$30,"&lt;="&amp;BJ$6),0)</f>
        <v>0</v>
      </c>
      <c r="BK384" s="25">
        <f>IF('Lease Cycles'!$C$30&gt;0,COUNTIF('Lease Cycles'!$BG$30:$BM$30,"&lt;="&amp;BK$6),0)</f>
        <v>0</v>
      </c>
      <c r="BL384" s="25">
        <f>IF('Lease Cycles'!$C$30&gt;0,COUNTIF('Lease Cycles'!$BG$30:$BM$30,"&lt;="&amp;BL$6),0)</f>
        <v>0</v>
      </c>
      <c r="BM384" s="25">
        <f>IF('Lease Cycles'!$C$30&gt;0,COUNTIF('Lease Cycles'!$BG$30:$BM$30,"&lt;="&amp;BM$6),0)</f>
        <v>0</v>
      </c>
      <c r="BN384" s="25">
        <f>IF('Lease Cycles'!$C$30&gt;0,COUNTIF('Lease Cycles'!$BG$30:$BM$30,"&lt;="&amp;BN$6),0)</f>
        <v>0</v>
      </c>
      <c r="BO384" s="25">
        <f>IF('Lease Cycles'!$C$30&gt;0,COUNTIF('Lease Cycles'!$BG$30:$BM$30,"&lt;="&amp;BO$6),0)</f>
        <v>0</v>
      </c>
      <c r="BP384" s="25">
        <f>IF('Lease Cycles'!$C$30&gt;0,COUNTIF('Lease Cycles'!$BG$30:$BM$30,"&lt;="&amp;BP$6),0)</f>
        <v>0</v>
      </c>
      <c r="BQ384" s="25">
        <f>IF('Lease Cycles'!$C$30&gt;0,COUNTIF('Lease Cycles'!$BG$30:$BM$30,"&lt;="&amp;BQ$6),0)</f>
        <v>0</v>
      </c>
      <c r="BR384" s="25">
        <f>IF('Lease Cycles'!$C$30&gt;0,COUNTIF('Lease Cycles'!$BG$30:$BM$30,"&lt;="&amp;BR$6),0)</f>
        <v>0</v>
      </c>
      <c r="BS384" s="25">
        <f>IF('Lease Cycles'!$C$30&gt;0,COUNTIF('Lease Cycles'!$BG$30:$BM$30,"&lt;="&amp;BS$6),0)</f>
        <v>0</v>
      </c>
      <c r="BT384" s="25">
        <f>IF('Lease Cycles'!$C$30&gt;0,COUNTIF('Lease Cycles'!$BG$30:$BM$30,"&lt;="&amp;BT$6),0)</f>
        <v>0</v>
      </c>
      <c r="BU384" s="25">
        <f>IF('Lease Cycles'!$C$30&gt;0,COUNTIF('Lease Cycles'!$BG$30:$BM$30,"&lt;="&amp;BU$6),0)</f>
        <v>0</v>
      </c>
      <c r="BV384" s="25">
        <f>IF('Lease Cycles'!$C$30&gt;0,COUNTIF('Lease Cycles'!$BG$30:$BM$30,"&lt;="&amp;BV$6),0)</f>
        <v>0</v>
      </c>
      <c r="BW384" s="25">
        <f>IF('Lease Cycles'!$C$30&gt;0,COUNTIF('Lease Cycles'!$BG$30:$BM$30,"&lt;="&amp;BW$6),0)</f>
        <v>0</v>
      </c>
      <c r="BX384" s="25">
        <f>IF('Lease Cycles'!$C$30&gt;0,COUNTIF('Lease Cycles'!$BG$30:$BM$30,"&lt;="&amp;BX$6),0)</f>
        <v>0</v>
      </c>
      <c r="BY384" s="25">
        <f>IF('Lease Cycles'!$C$30&gt;0,COUNTIF('Lease Cycles'!$BG$30:$BM$30,"&lt;="&amp;BY$6),0)</f>
        <v>0</v>
      </c>
      <c r="BZ384" s="25">
        <f>IF('Lease Cycles'!$C$30&gt;0,COUNTIF('Lease Cycles'!$BG$30:$BM$30,"&lt;="&amp;BZ$6),0)</f>
        <v>0</v>
      </c>
      <c r="CA384" s="25">
        <f>IF('Lease Cycles'!$C$30&gt;0,COUNTIF('Lease Cycles'!$BG$30:$BM$30,"&lt;="&amp;CA$6),0)</f>
        <v>0</v>
      </c>
      <c r="CB384" s="25">
        <f>IF('Lease Cycles'!$C$30&gt;0,COUNTIF('Lease Cycles'!$BG$30:$BM$30,"&lt;="&amp;CB$6),0)</f>
        <v>0</v>
      </c>
      <c r="CC384" s="25">
        <f>IF('Lease Cycles'!$C$30&gt;0,COUNTIF('Lease Cycles'!$BG$30:$BM$30,"&lt;="&amp;CC$6),0)</f>
        <v>0</v>
      </c>
      <c r="CD384" s="25">
        <f>IF('Lease Cycles'!$C$30&gt;0,COUNTIF('Lease Cycles'!$BG$30:$BM$30,"&lt;="&amp;CD$6),0)</f>
        <v>0</v>
      </c>
      <c r="CE384" s="25">
        <f>IF('Lease Cycles'!$C$30&gt;0,COUNTIF('Lease Cycles'!$BG$30:$BM$30,"&lt;="&amp;CE$6),0)</f>
        <v>0</v>
      </c>
      <c r="CF384" s="25">
        <f>IF('Lease Cycles'!$C$30&gt;0,COUNTIF('Lease Cycles'!$BG$30:$BM$30,"&lt;="&amp;CF$6),0)</f>
        <v>0</v>
      </c>
      <c r="CG384" s="25">
        <f>IF('Lease Cycles'!$C$30&gt;0,COUNTIF('Lease Cycles'!$BG$30:$BM$30,"&lt;="&amp;CG$6),0)</f>
        <v>0</v>
      </c>
      <c r="CH384" s="25">
        <f>IF('Lease Cycles'!$C$30&gt;0,COUNTIF('Lease Cycles'!$BG$30:$BM$30,"&lt;="&amp;CH$6),0)</f>
        <v>0</v>
      </c>
      <c r="CI384" s="25">
        <f>IF('Lease Cycles'!$C$30&gt;0,COUNTIF('Lease Cycles'!$BG$30:$BM$30,"&lt;="&amp;CI$6),0)</f>
        <v>0</v>
      </c>
      <c r="CJ384" s="25">
        <f>IF('Lease Cycles'!$C$30&gt;0,COUNTIF('Lease Cycles'!$BG$30:$BM$30,"&lt;="&amp;CJ$6),0)</f>
        <v>0</v>
      </c>
      <c r="CK384" s="25">
        <f>IF('Lease Cycles'!$C$30&gt;0,COUNTIF('Lease Cycles'!$BG$30:$BM$30,"&lt;="&amp;CK$6),0)</f>
        <v>0</v>
      </c>
      <c r="CL384" s="25">
        <f>IF('Lease Cycles'!$C$30&gt;0,COUNTIF('Lease Cycles'!$BG$30:$BM$30,"&lt;="&amp;CL$6),0)</f>
        <v>0</v>
      </c>
      <c r="CM384" s="25">
        <f>IF('Lease Cycles'!$C$30&gt;0,COUNTIF('Lease Cycles'!$BG$30:$BM$30,"&lt;="&amp;CM$6),0)</f>
        <v>0</v>
      </c>
      <c r="CN384" s="25">
        <f>IF('Lease Cycles'!$C$30&gt;0,COUNTIF('Lease Cycles'!$BG$30:$BM$30,"&lt;="&amp;CN$6),0)</f>
        <v>0</v>
      </c>
      <c r="CO384" s="25">
        <f>IF('Lease Cycles'!$C$30&gt;0,COUNTIF('Lease Cycles'!$BG$30:$BM$30,"&lt;="&amp;CO$6),0)</f>
        <v>0</v>
      </c>
      <c r="CP384" s="25">
        <f>IF('Lease Cycles'!$C$30&gt;0,COUNTIF('Lease Cycles'!$BG$30:$BM$30,"&lt;="&amp;CP$6),0)</f>
        <v>0</v>
      </c>
      <c r="CQ384" s="25">
        <f>IF('Lease Cycles'!$C$30&gt;0,COUNTIF('Lease Cycles'!$BG$30:$BM$30,"&lt;="&amp;CQ$6),0)</f>
        <v>0</v>
      </c>
      <c r="CR384" s="25">
        <f>IF('Lease Cycles'!$C$30&gt;0,COUNTIF('Lease Cycles'!$BG$30:$BM$30,"&lt;="&amp;CR$6),0)</f>
        <v>0</v>
      </c>
      <c r="CS384" s="25">
        <f>IF('Lease Cycles'!$C$30&gt;0,COUNTIF('Lease Cycles'!$BG$30:$BM$30,"&lt;="&amp;CS$6),0)</f>
        <v>0</v>
      </c>
      <c r="CT384" s="25">
        <f>IF('Lease Cycles'!$C$30&gt;0,COUNTIF('Lease Cycles'!$BG$30:$BM$30,"&lt;="&amp;CT$6),0)</f>
        <v>0</v>
      </c>
      <c r="CU384" s="25">
        <f>IF('Lease Cycles'!$C$30&gt;0,COUNTIF('Lease Cycles'!$BG$30:$BM$30,"&lt;="&amp;CU$6),0)</f>
        <v>0</v>
      </c>
      <c r="CV384" s="25">
        <f>IF('Lease Cycles'!$C$30&gt;0,COUNTIF('Lease Cycles'!$BG$30:$BM$30,"&lt;="&amp;CV$6),0)</f>
        <v>0</v>
      </c>
      <c r="CW384" s="25">
        <f>IF('Lease Cycles'!$C$30&gt;0,COUNTIF('Lease Cycles'!$BG$30:$BM$30,"&lt;="&amp;CW$6),0)</f>
        <v>0</v>
      </c>
      <c r="CX384" s="25">
        <f>IF('Lease Cycles'!$C$30&gt;0,COUNTIF('Lease Cycles'!$BG$30:$BM$30,"&lt;="&amp;CX$6),0)</f>
        <v>0</v>
      </c>
      <c r="CY384" s="25">
        <f>IF('Lease Cycles'!$C$30&gt;0,COUNTIF('Lease Cycles'!$BG$30:$BM$30,"&lt;="&amp;CY$6),0)</f>
        <v>0</v>
      </c>
      <c r="CZ384" s="25">
        <f>IF('Lease Cycles'!$C$30&gt;0,COUNTIF('Lease Cycles'!$BG$30:$BM$30,"&lt;="&amp;CZ$6),0)</f>
        <v>0</v>
      </c>
      <c r="DA384" s="25">
        <f>IF('Lease Cycles'!$C$30&gt;0,COUNTIF('Lease Cycles'!$BG$30:$BM$30,"&lt;="&amp;DA$6),0)</f>
        <v>0</v>
      </c>
      <c r="DB384" s="25">
        <f>IF('Lease Cycles'!$C$30&gt;0,COUNTIF('Lease Cycles'!$BG$30:$BM$30,"&lt;="&amp;DB$6),0)</f>
        <v>0</v>
      </c>
      <c r="DC384" s="25">
        <f>IF('Lease Cycles'!$C$30&gt;0,COUNTIF('Lease Cycles'!$BG$30:$BM$30,"&lt;="&amp;DC$6),0)</f>
        <v>0</v>
      </c>
      <c r="DD384" s="25">
        <f>IF('Lease Cycles'!$C$30&gt;0,COUNTIF('Lease Cycles'!$BG$30:$BM$30,"&lt;="&amp;DD$6),0)</f>
        <v>0</v>
      </c>
      <c r="DE384" s="25">
        <f>IF('Lease Cycles'!$C$30&gt;0,COUNTIF('Lease Cycles'!$BG$30:$BM$30,"&lt;="&amp;DE$6),0)</f>
        <v>0</v>
      </c>
      <c r="DF384" s="25">
        <f>IF('Lease Cycles'!$C$30&gt;0,COUNTIF('Lease Cycles'!$BG$30:$BM$30,"&lt;="&amp;DF$6),0)</f>
        <v>0</v>
      </c>
      <c r="DG384" s="25">
        <f>IF('Lease Cycles'!$C$30&gt;0,COUNTIF('Lease Cycles'!$BG$30:$BM$30,"&lt;="&amp;DG$6),0)</f>
        <v>0</v>
      </c>
      <c r="DH384" s="25">
        <f>IF('Lease Cycles'!$C$30&gt;0,COUNTIF('Lease Cycles'!$BG$30:$BM$30,"&lt;="&amp;DH$6),0)</f>
        <v>0</v>
      </c>
      <c r="DI384" s="25">
        <f>IF('Lease Cycles'!$C$30&gt;0,COUNTIF('Lease Cycles'!$BG$30:$BM$30,"&lt;="&amp;DI$6),0)</f>
        <v>0</v>
      </c>
      <c r="DJ384" s="25">
        <f>IF('Lease Cycles'!$C$30&gt;0,COUNTIF('Lease Cycles'!$BG$30:$BM$30,"&lt;="&amp;DJ$6),0)</f>
        <v>0</v>
      </c>
      <c r="DK384" s="25">
        <f>IF('Lease Cycles'!$C$30&gt;0,COUNTIF('Lease Cycles'!$BG$30:$BM$30,"&lt;="&amp;DK$6),0)</f>
        <v>0</v>
      </c>
      <c r="DL384" s="25">
        <f>IF('Lease Cycles'!$C$30&gt;0,COUNTIF('Lease Cycles'!$BG$30:$BM$30,"&lt;="&amp;DL$6),0)</f>
        <v>0</v>
      </c>
      <c r="DM384" s="25">
        <f>IF('Lease Cycles'!$C$30&gt;0,COUNTIF('Lease Cycles'!$BG$30:$BM$30,"&lt;="&amp;DM$6),0)</f>
        <v>0</v>
      </c>
      <c r="DN384" s="25">
        <f>IF('Lease Cycles'!$C$30&gt;0,COUNTIF('Lease Cycles'!$BG$30:$BM$30,"&lt;="&amp;DN$6),0)</f>
        <v>0</v>
      </c>
      <c r="DO384" s="25">
        <f>IF('Lease Cycles'!$C$30&gt;0,COUNTIF('Lease Cycles'!$BG$30:$BM$30,"&lt;="&amp;DO$6),0)</f>
        <v>0</v>
      </c>
      <c r="DP384" s="25">
        <f>IF('Lease Cycles'!$C$30&gt;0,COUNTIF('Lease Cycles'!$BG$30:$BM$30,"&lt;="&amp;DP$6),0)</f>
        <v>0</v>
      </c>
      <c r="DQ384" s="25">
        <f>IF('Lease Cycles'!$C$30&gt;0,COUNTIF('Lease Cycles'!$BG$30:$BM$30,"&lt;="&amp;DQ$6),0)</f>
        <v>0</v>
      </c>
      <c r="DR384" s="25">
        <f>IF('Lease Cycles'!$C$30&gt;0,COUNTIF('Lease Cycles'!$BG$30:$BM$30,"&lt;="&amp;DR$6),0)</f>
        <v>0</v>
      </c>
      <c r="DS384" s="25">
        <f>IF('Lease Cycles'!$C$30&gt;0,COUNTIF('Lease Cycles'!$BG$30:$BM$30,"&lt;="&amp;DS$6),0)</f>
        <v>0</v>
      </c>
      <c r="DT384" s="25">
        <f>IF('Lease Cycles'!$C$30&gt;0,COUNTIF('Lease Cycles'!$BG$30:$BM$30,"&lt;="&amp;DT$6),0)</f>
        <v>0</v>
      </c>
      <c r="DU384" s="25">
        <f>IF('Lease Cycles'!$C$30&gt;0,COUNTIF('Lease Cycles'!$BG$30:$BM$30,"&lt;="&amp;DU$6),0)</f>
        <v>0</v>
      </c>
      <c r="DV384" s="25">
        <f>IF('Lease Cycles'!$C$30&gt;0,COUNTIF('Lease Cycles'!$BG$30:$BM$30,"&lt;="&amp;DV$6),0)</f>
        <v>0</v>
      </c>
      <c r="DW384" s="25">
        <f>IF('Lease Cycles'!$C$30&gt;0,COUNTIF('Lease Cycles'!$BG$30:$BM$30,"&lt;="&amp;DW$6),0)</f>
        <v>0</v>
      </c>
      <c r="DX384" s="25">
        <f>IF('Lease Cycles'!$C$30&gt;0,COUNTIF('Lease Cycles'!$BG$30:$BM$30,"&lt;="&amp;DX$6),0)</f>
        <v>0</v>
      </c>
      <c r="DY384" s="25">
        <f>IF('Lease Cycles'!$C$30&gt;0,COUNTIF('Lease Cycles'!$BG$30:$BM$30,"&lt;="&amp;DY$6),0)</f>
        <v>0</v>
      </c>
      <c r="DZ384" s="25">
        <f>IF('Lease Cycles'!$C$30&gt;0,COUNTIF('Lease Cycles'!$BG$30:$BM$30,"&lt;="&amp;DZ$6),0)</f>
        <v>0</v>
      </c>
      <c r="EA384" s="25">
        <f>IF('Lease Cycles'!$C$30&gt;0,COUNTIF('Lease Cycles'!$BG$30:$BM$30,"&lt;="&amp;EA$6),0)</f>
        <v>0</v>
      </c>
      <c r="EB384" s="25">
        <f>IF('Lease Cycles'!$C$30&gt;0,COUNTIF('Lease Cycles'!$BG$30:$BM$30,"&lt;="&amp;EB$6),0)</f>
        <v>0</v>
      </c>
      <c r="EC384" s="25">
        <f>IF('Lease Cycles'!$C$30&gt;0,COUNTIF('Lease Cycles'!$BG$30:$BM$30,"&lt;="&amp;EC$6),0)</f>
        <v>0</v>
      </c>
      <c r="ED384" s="25">
        <f>IF('Lease Cycles'!$C$30&gt;0,COUNTIF('Lease Cycles'!$BG$30:$BM$30,"&lt;="&amp;ED$6),0)</f>
        <v>0</v>
      </c>
      <c r="EE384" s="25">
        <f>IF('Lease Cycles'!$C$30&gt;0,COUNTIF('Lease Cycles'!$BG$30:$BM$30,"&lt;="&amp;EE$6),0)</f>
        <v>0</v>
      </c>
      <c r="EF384" s="25">
        <f>IF('Lease Cycles'!$C$30&gt;0,COUNTIF('Lease Cycles'!$BG$30:$BM$30,"&lt;="&amp;EF$6),0)</f>
        <v>0</v>
      </c>
      <c r="EG384" s="25">
        <f>IF('Lease Cycles'!$C$30&gt;0,COUNTIF('Lease Cycles'!$BG$30:$BM$30,"&lt;="&amp;EG$6),0)</f>
        <v>0</v>
      </c>
      <c r="EH384" s="25">
        <f>IF('Lease Cycles'!$C$30&gt;0,COUNTIF('Lease Cycles'!$BG$30:$BM$30,"&lt;="&amp;EH$6),0)</f>
        <v>0</v>
      </c>
      <c r="EI384" s="25">
        <f>IF('Lease Cycles'!$C$30&gt;0,COUNTIF('Lease Cycles'!$BG$30:$BM$30,"&lt;="&amp;EI$6),0)</f>
        <v>0</v>
      </c>
      <c r="EJ384" s="25">
        <f>IF('Lease Cycles'!$C$30&gt;0,COUNTIF('Lease Cycles'!$BG$30:$BM$30,"&lt;="&amp;EJ$6),0)</f>
        <v>0</v>
      </c>
      <c r="EK384" s="25">
        <f>IF('Lease Cycles'!$C$30&gt;0,COUNTIF('Lease Cycles'!$BG$30:$BM$30,"&lt;="&amp;EK$6),0)</f>
        <v>0</v>
      </c>
      <c r="EL384" s="25">
        <f>IF('Lease Cycles'!$C$30&gt;0,COUNTIF('Lease Cycles'!$BG$30:$BM$30,"&lt;="&amp;EL$6),0)</f>
        <v>0</v>
      </c>
      <c r="EM384" s="25">
        <f>IF('Lease Cycles'!$C$30&gt;0,COUNTIF('Lease Cycles'!$BG$30:$BM$30,"&lt;="&amp;EM$6),0)</f>
        <v>0</v>
      </c>
      <c r="EN384" s="25">
        <f>IF('Lease Cycles'!$C$30&gt;0,COUNTIF('Lease Cycles'!$BG$30:$BM$30,"&lt;="&amp;EN$6),0)</f>
        <v>0</v>
      </c>
      <c r="EO384" s="25">
        <f>IF('Lease Cycles'!$C$30&gt;0,COUNTIF('Lease Cycles'!$BG$30:$BM$30,"&lt;="&amp;EO$6),0)</f>
        <v>0</v>
      </c>
      <c r="EP384" s="25">
        <f>IF('Lease Cycles'!$C$30&gt;0,COUNTIF('Lease Cycles'!$BG$30:$BM$30,"&lt;="&amp;EP$6),0)</f>
        <v>0</v>
      </c>
      <c r="EQ384" s="25">
        <f>IF('Lease Cycles'!$C$30&gt;0,COUNTIF('Lease Cycles'!$BG$30:$BM$30,"&lt;="&amp;EQ$6),0)</f>
        <v>0</v>
      </c>
      <c r="ER384" s="25">
        <f>IF('Lease Cycles'!$C$30&gt;0,COUNTIF('Lease Cycles'!$BG$30:$BM$30,"&lt;="&amp;ER$6),0)</f>
        <v>0</v>
      </c>
      <c r="ES384" s="25">
        <f>IF('Lease Cycles'!$C$30&gt;0,COUNTIF('Lease Cycles'!$BG$30:$BM$30,"&lt;="&amp;ES$6),0)</f>
        <v>0</v>
      </c>
      <c r="ET384" s="25">
        <f>IF('Lease Cycles'!$C$30&gt;0,COUNTIF('Lease Cycles'!$BG$30:$BM$30,"&lt;="&amp;ET$6),0)</f>
        <v>0</v>
      </c>
    </row>
    <row r="385">
      <c r="A385" s="103">
        <v>23</v>
      </c>
      <c r="B385" s="23" t="str">
        <f>IF('Lease Cycles'!$B$30="","(empty slot)",'Lease Cycles'!$B$30)</f>
        <v>(empty slot)</v>
      </c>
      <c r="C385" s="23" t="s">
        <v>673</v>
      </c>
      <c r="D385" s="104" t="s">
        <v>674</v>
      </c>
      <c r="E385" s="25">
        <f>'Lease Cycles'!$AL$30</f>
        <v>0</v>
      </c>
      <c r="S385" s="25">
        <f>IF(S384=0,-1,S$6-INDEX('Lease Cycles'!$BG$30:$BM$30,1,S384))</f>
        <v>-1</v>
      </c>
      <c r="T385" s="25">
        <f>IF(T384=0,-1,T$6-INDEX('Lease Cycles'!$BG$30:$BM$30,1,T384))</f>
        <v>-1</v>
      </c>
      <c r="U385" s="25">
        <f>IF(U384=0,-1,U$6-INDEX('Lease Cycles'!$BG$30:$BM$30,1,U384))</f>
        <v>-1</v>
      </c>
      <c r="V385" s="25">
        <f>IF(V384=0,-1,V$6-INDEX('Lease Cycles'!$BG$30:$BM$30,1,V384))</f>
        <v>-1</v>
      </c>
      <c r="W385" s="25">
        <f>IF(W384=0,-1,W$6-INDEX('Lease Cycles'!$BG$30:$BM$30,1,W384))</f>
        <v>-1</v>
      </c>
      <c r="X385" s="25">
        <f>IF(X384=0,-1,X$6-INDEX('Lease Cycles'!$BG$30:$BM$30,1,X384))</f>
        <v>-1</v>
      </c>
      <c r="Y385" s="25">
        <f>IF(Y384=0,-1,Y$6-INDEX('Lease Cycles'!$BG$30:$BM$30,1,Y384))</f>
        <v>-1</v>
      </c>
      <c r="Z385" s="25">
        <f>IF(Z384=0,-1,Z$6-INDEX('Lease Cycles'!$BG$30:$BM$30,1,Z384))</f>
        <v>-1</v>
      </c>
      <c r="AA385" s="25">
        <f>IF(AA384=0,-1,AA$6-INDEX('Lease Cycles'!$BG$30:$BM$30,1,AA384))</f>
        <v>-1</v>
      </c>
      <c r="AB385" s="25">
        <f>IF(AB384=0,-1,AB$6-INDEX('Lease Cycles'!$BG$30:$BM$30,1,AB384))</f>
        <v>-1</v>
      </c>
      <c r="AC385" s="25">
        <f>IF(AC384=0,-1,AC$6-INDEX('Lease Cycles'!$BG$30:$BM$30,1,AC384))</f>
        <v>-1</v>
      </c>
      <c r="AD385" s="25">
        <f>IF(AD384=0,-1,AD$6-INDEX('Lease Cycles'!$BG$30:$BM$30,1,AD384))</f>
        <v>-1</v>
      </c>
      <c r="AE385" s="25">
        <f>IF(AE384=0,-1,AE$6-INDEX('Lease Cycles'!$BG$30:$BM$30,1,AE384))</f>
        <v>-1</v>
      </c>
      <c r="AF385" s="25">
        <f>IF(AF384=0,-1,AF$6-INDEX('Lease Cycles'!$BG$30:$BM$30,1,AF384))</f>
        <v>-1</v>
      </c>
      <c r="AG385" s="25">
        <f>IF(AG384=0,-1,AG$6-INDEX('Lease Cycles'!$BG$30:$BM$30,1,AG384))</f>
        <v>-1</v>
      </c>
      <c r="AH385" s="25">
        <f>IF(AH384=0,-1,AH$6-INDEX('Lease Cycles'!$BG$30:$BM$30,1,AH384))</f>
        <v>-1</v>
      </c>
      <c r="AI385" s="25">
        <f>IF(AI384=0,-1,AI$6-INDEX('Lease Cycles'!$BG$30:$BM$30,1,AI384))</f>
        <v>-1</v>
      </c>
      <c r="AJ385" s="25">
        <f>IF(AJ384=0,-1,AJ$6-INDEX('Lease Cycles'!$BG$30:$BM$30,1,AJ384))</f>
        <v>-1</v>
      </c>
      <c r="AK385" s="25">
        <f>IF(AK384=0,-1,AK$6-INDEX('Lease Cycles'!$BG$30:$BM$30,1,AK384))</f>
        <v>-1</v>
      </c>
      <c r="AL385" s="25">
        <f>IF(AL384=0,-1,AL$6-INDEX('Lease Cycles'!$BG$30:$BM$30,1,AL384))</f>
        <v>-1</v>
      </c>
      <c r="AM385" s="25">
        <f>IF(AM384=0,-1,AM$6-INDEX('Lease Cycles'!$BG$30:$BM$30,1,AM384))</f>
        <v>-1</v>
      </c>
      <c r="AN385" s="25">
        <f>IF(AN384=0,-1,AN$6-INDEX('Lease Cycles'!$BG$30:$BM$30,1,AN384))</f>
        <v>-1</v>
      </c>
      <c r="AO385" s="25">
        <f>IF(AO384=0,-1,AO$6-INDEX('Lease Cycles'!$BG$30:$BM$30,1,AO384))</f>
        <v>-1</v>
      </c>
      <c r="AP385" s="25">
        <f>IF(AP384=0,-1,AP$6-INDEX('Lease Cycles'!$BG$30:$BM$30,1,AP384))</f>
        <v>-1</v>
      </c>
      <c r="AQ385" s="25">
        <f>IF(AQ384=0,-1,AQ$6-INDEX('Lease Cycles'!$BG$30:$BM$30,1,AQ384))</f>
        <v>-1</v>
      </c>
      <c r="AR385" s="25">
        <f>IF(AR384=0,-1,AR$6-INDEX('Lease Cycles'!$BG$30:$BM$30,1,AR384))</f>
        <v>-1</v>
      </c>
      <c r="AS385" s="25">
        <f>IF(AS384=0,-1,AS$6-INDEX('Lease Cycles'!$BG$30:$BM$30,1,AS384))</f>
        <v>-1</v>
      </c>
      <c r="AT385" s="25">
        <f>IF(AT384=0,-1,AT$6-INDEX('Lease Cycles'!$BG$30:$BM$30,1,AT384))</f>
        <v>-1</v>
      </c>
      <c r="AU385" s="25">
        <f>IF(AU384=0,-1,AU$6-INDEX('Lease Cycles'!$BG$30:$BM$30,1,AU384))</f>
        <v>-1</v>
      </c>
      <c r="AV385" s="25">
        <f>IF(AV384=0,-1,AV$6-INDEX('Lease Cycles'!$BG$30:$BM$30,1,AV384))</f>
        <v>-1</v>
      </c>
      <c r="AW385" s="25">
        <f>IF(AW384=0,-1,AW$6-INDEX('Lease Cycles'!$BG$30:$BM$30,1,AW384))</f>
        <v>-1</v>
      </c>
      <c r="AX385" s="25">
        <f>IF(AX384=0,-1,AX$6-INDEX('Lease Cycles'!$BG$30:$BM$30,1,AX384))</f>
        <v>-1</v>
      </c>
      <c r="AY385" s="25">
        <f>IF(AY384=0,-1,AY$6-INDEX('Lease Cycles'!$BG$30:$BM$30,1,AY384))</f>
        <v>-1</v>
      </c>
      <c r="AZ385" s="25">
        <f>IF(AZ384=0,-1,AZ$6-INDEX('Lease Cycles'!$BG$30:$BM$30,1,AZ384))</f>
        <v>-1</v>
      </c>
      <c r="BA385" s="25">
        <f>IF(BA384=0,-1,BA$6-INDEX('Lease Cycles'!$BG$30:$BM$30,1,BA384))</f>
        <v>-1</v>
      </c>
      <c r="BB385" s="25">
        <f>IF(BB384=0,-1,BB$6-INDEX('Lease Cycles'!$BG$30:$BM$30,1,BB384))</f>
        <v>-1</v>
      </c>
      <c r="BC385" s="25">
        <f>IF(BC384=0,-1,BC$6-INDEX('Lease Cycles'!$BG$30:$BM$30,1,BC384))</f>
        <v>-1</v>
      </c>
      <c r="BD385" s="25">
        <f>IF(BD384=0,-1,BD$6-INDEX('Lease Cycles'!$BG$30:$BM$30,1,BD384))</f>
        <v>-1</v>
      </c>
      <c r="BE385" s="25">
        <f>IF(BE384=0,-1,BE$6-INDEX('Lease Cycles'!$BG$30:$BM$30,1,BE384))</f>
        <v>-1</v>
      </c>
      <c r="BF385" s="25">
        <f>IF(BF384=0,-1,BF$6-INDEX('Lease Cycles'!$BG$30:$BM$30,1,BF384))</f>
        <v>-1</v>
      </c>
      <c r="BG385" s="25">
        <f>IF(BG384=0,-1,BG$6-INDEX('Lease Cycles'!$BG$30:$BM$30,1,BG384))</f>
        <v>-1</v>
      </c>
      <c r="BH385" s="25">
        <f>IF(BH384=0,-1,BH$6-INDEX('Lease Cycles'!$BG$30:$BM$30,1,BH384))</f>
        <v>-1</v>
      </c>
      <c r="BI385" s="25">
        <f>IF(BI384=0,-1,BI$6-INDEX('Lease Cycles'!$BG$30:$BM$30,1,BI384))</f>
        <v>-1</v>
      </c>
      <c r="BJ385" s="25">
        <f>IF(BJ384=0,-1,BJ$6-INDEX('Lease Cycles'!$BG$30:$BM$30,1,BJ384))</f>
        <v>-1</v>
      </c>
      <c r="BK385" s="25">
        <f>IF(BK384=0,-1,BK$6-INDEX('Lease Cycles'!$BG$30:$BM$30,1,BK384))</f>
        <v>-1</v>
      </c>
      <c r="BL385" s="25">
        <f>IF(BL384=0,-1,BL$6-INDEX('Lease Cycles'!$BG$30:$BM$30,1,BL384))</f>
        <v>-1</v>
      </c>
      <c r="BM385" s="25">
        <f>IF(BM384=0,-1,BM$6-INDEX('Lease Cycles'!$BG$30:$BM$30,1,BM384))</f>
        <v>-1</v>
      </c>
      <c r="BN385" s="25">
        <f>IF(BN384=0,-1,BN$6-INDEX('Lease Cycles'!$BG$30:$BM$30,1,BN384))</f>
        <v>-1</v>
      </c>
      <c r="BO385" s="25">
        <f>IF(BO384=0,-1,BO$6-INDEX('Lease Cycles'!$BG$30:$BM$30,1,BO384))</f>
        <v>-1</v>
      </c>
      <c r="BP385" s="25">
        <f>IF(BP384=0,-1,BP$6-INDEX('Lease Cycles'!$BG$30:$BM$30,1,BP384))</f>
        <v>-1</v>
      </c>
      <c r="BQ385" s="25">
        <f>IF(BQ384=0,-1,BQ$6-INDEX('Lease Cycles'!$BG$30:$BM$30,1,BQ384))</f>
        <v>-1</v>
      </c>
      <c r="BR385" s="25">
        <f>IF(BR384=0,-1,BR$6-INDEX('Lease Cycles'!$BG$30:$BM$30,1,BR384))</f>
        <v>-1</v>
      </c>
      <c r="BS385" s="25">
        <f>IF(BS384=0,-1,BS$6-INDEX('Lease Cycles'!$BG$30:$BM$30,1,BS384))</f>
        <v>-1</v>
      </c>
      <c r="BT385" s="25">
        <f>IF(BT384=0,-1,BT$6-INDEX('Lease Cycles'!$BG$30:$BM$30,1,BT384))</f>
        <v>-1</v>
      </c>
      <c r="BU385" s="25">
        <f>IF(BU384=0,-1,BU$6-INDEX('Lease Cycles'!$BG$30:$BM$30,1,BU384))</f>
        <v>-1</v>
      </c>
      <c r="BV385" s="25">
        <f>IF(BV384=0,-1,BV$6-INDEX('Lease Cycles'!$BG$30:$BM$30,1,BV384))</f>
        <v>-1</v>
      </c>
      <c r="BW385" s="25">
        <f>IF(BW384=0,-1,BW$6-INDEX('Lease Cycles'!$BG$30:$BM$30,1,BW384))</f>
        <v>-1</v>
      </c>
      <c r="BX385" s="25">
        <f>IF(BX384=0,-1,BX$6-INDEX('Lease Cycles'!$BG$30:$BM$30,1,BX384))</f>
        <v>-1</v>
      </c>
      <c r="BY385" s="25">
        <f>IF(BY384=0,-1,BY$6-INDEX('Lease Cycles'!$BG$30:$BM$30,1,BY384))</f>
        <v>-1</v>
      </c>
      <c r="BZ385" s="25">
        <f>IF(BZ384=0,-1,BZ$6-INDEX('Lease Cycles'!$BG$30:$BM$30,1,BZ384))</f>
        <v>-1</v>
      </c>
      <c r="CA385" s="25">
        <f>IF(CA384=0,-1,CA$6-INDEX('Lease Cycles'!$BG$30:$BM$30,1,CA384))</f>
        <v>-1</v>
      </c>
      <c r="CB385" s="25">
        <f>IF(CB384=0,-1,CB$6-INDEX('Lease Cycles'!$BG$30:$BM$30,1,CB384))</f>
        <v>-1</v>
      </c>
      <c r="CC385" s="25">
        <f>IF(CC384=0,-1,CC$6-INDEX('Lease Cycles'!$BG$30:$BM$30,1,CC384))</f>
        <v>-1</v>
      </c>
      <c r="CD385" s="25">
        <f>IF(CD384=0,-1,CD$6-INDEX('Lease Cycles'!$BG$30:$BM$30,1,CD384))</f>
        <v>-1</v>
      </c>
      <c r="CE385" s="25">
        <f>IF(CE384=0,-1,CE$6-INDEX('Lease Cycles'!$BG$30:$BM$30,1,CE384))</f>
        <v>-1</v>
      </c>
      <c r="CF385" s="25">
        <f>IF(CF384=0,-1,CF$6-INDEX('Lease Cycles'!$BG$30:$BM$30,1,CF384))</f>
        <v>-1</v>
      </c>
      <c r="CG385" s="25">
        <f>IF(CG384=0,-1,CG$6-INDEX('Lease Cycles'!$BG$30:$BM$30,1,CG384))</f>
        <v>-1</v>
      </c>
      <c r="CH385" s="25">
        <f>IF(CH384=0,-1,CH$6-INDEX('Lease Cycles'!$BG$30:$BM$30,1,CH384))</f>
        <v>-1</v>
      </c>
      <c r="CI385" s="25">
        <f>IF(CI384=0,-1,CI$6-INDEX('Lease Cycles'!$BG$30:$BM$30,1,CI384))</f>
        <v>-1</v>
      </c>
      <c r="CJ385" s="25">
        <f>IF(CJ384=0,-1,CJ$6-INDEX('Lease Cycles'!$BG$30:$BM$30,1,CJ384))</f>
        <v>-1</v>
      </c>
      <c r="CK385" s="25">
        <f>IF(CK384=0,-1,CK$6-INDEX('Lease Cycles'!$BG$30:$BM$30,1,CK384))</f>
        <v>-1</v>
      </c>
      <c r="CL385" s="25">
        <f>IF(CL384=0,-1,CL$6-INDEX('Lease Cycles'!$BG$30:$BM$30,1,CL384))</f>
        <v>-1</v>
      </c>
      <c r="CM385" s="25">
        <f>IF(CM384=0,-1,CM$6-INDEX('Lease Cycles'!$BG$30:$BM$30,1,CM384))</f>
        <v>-1</v>
      </c>
      <c r="CN385" s="25">
        <f>IF(CN384=0,-1,CN$6-INDEX('Lease Cycles'!$BG$30:$BM$30,1,CN384))</f>
        <v>-1</v>
      </c>
      <c r="CO385" s="25">
        <f>IF(CO384=0,-1,CO$6-INDEX('Lease Cycles'!$BG$30:$BM$30,1,CO384))</f>
        <v>-1</v>
      </c>
      <c r="CP385" s="25">
        <f>IF(CP384=0,-1,CP$6-INDEX('Lease Cycles'!$BG$30:$BM$30,1,CP384))</f>
        <v>-1</v>
      </c>
      <c r="CQ385" s="25">
        <f>IF(CQ384=0,-1,CQ$6-INDEX('Lease Cycles'!$BG$30:$BM$30,1,CQ384))</f>
        <v>-1</v>
      </c>
      <c r="CR385" s="25">
        <f>IF(CR384=0,-1,CR$6-INDEX('Lease Cycles'!$BG$30:$BM$30,1,CR384))</f>
        <v>-1</v>
      </c>
      <c r="CS385" s="25">
        <f>IF(CS384=0,-1,CS$6-INDEX('Lease Cycles'!$BG$30:$BM$30,1,CS384))</f>
        <v>-1</v>
      </c>
      <c r="CT385" s="25">
        <f>IF(CT384=0,-1,CT$6-INDEX('Lease Cycles'!$BG$30:$BM$30,1,CT384))</f>
        <v>-1</v>
      </c>
      <c r="CU385" s="25">
        <f>IF(CU384=0,-1,CU$6-INDEX('Lease Cycles'!$BG$30:$BM$30,1,CU384))</f>
        <v>-1</v>
      </c>
      <c r="CV385" s="25">
        <f>IF(CV384=0,-1,CV$6-INDEX('Lease Cycles'!$BG$30:$BM$30,1,CV384))</f>
        <v>-1</v>
      </c>
      <c r="CW385" s="25">
        <f>IF(CW384=0,-1,CW$6-INDEX('Lease Cycles'!$BG$30:$BM$30,1,CW384))</f>
        <v>-1</v>
      </c>
      <c r="CX385" s="25">
        <f>IF(CX384=0,-1,CX$6-INDEX('Lease Cycles'!$BG$30:$BM$30,1,CX384))</f>
        <v>-1</v>
      </c>
      <c r="CY385" s="25">
        <f>IF(CY384=0,-1,CY$6-INDEX('Lease Cycles'!$BG$30:$BM$30,1,CY384))</f>
        <v>-1</v>
      </c>
      <c r="CZ385" s="25">
        <f>IF(CZ384=0,-1,CZ$6-INDEX('Lease Cycles'!$BG$30:$BM$30,1,CZ384))</f>
        <v>-1</v>
      </c>
      <c r="DA385" s="25">
        <f>IF(DA384=0,-1,DA$6-INDEX('Lease Cycles'!$BG$30:$BM$30,1,DA384))</f>
        <v>-1</v>
      </c>
      <c r="DB385" s="25">
        <f>IF(DB384=0,-1,DB$6-INDEX('Lease Cycles'!$BG$30:$BM$30,1,DB384))</f>
        <v>-1</v>
      </c>
      <c r="DC385" s="25">
        <f>IF(DC384=0,-1,DC$6-INDEX('Lease Cycles'!$BG$30:$BM$30,1,DC384))</f>
        <v>-1</v>
      </c>
      <c r="DD385" s="25">
        <f>IF(DD384=0,-1,DD$6-INDEX('Lease Cycles'!$BG$30:$BM$30,1,DD384))</f>
        <v>-1</v>
      </c>
      <c r="DE385" s="25">
        <f>IF(DE384=0,-1,DE$6-INDEX('Lease Cycles'!$BG$30:$BM$30,1,DE384))</f>
        <v>-1</v>
      </c>
      <c r="DF385" s="25">
        <f>IF(DF384=0,-1,DF$6-INDEX('Lease Cycles'!$BG$30:$BM$30,1,DF384))</f>
        <v>-1</v>
      </c>
      <c r="DG385" s="25">
        <f>IF(DG384=0,-1,DG$6-INDEX('Lease Cycles'!$BG$30:$BM$30,1,DG384))</f>
        <v>-1</v>
      </c>
      <c r="DH385" s="25">
        <f>IF(DH384=0,-1,DH$6-INDEX('Lease Cycles'!$BG$30:$BM$30,1,DH384))</f>
        <v>-1</v>
      </c>
      <c r="DI385" s="25">
        <f>IF(DI384=0,-1,DI$6-INDEX('Lease Cycles'!$BG$30:$BM$30,1,DI384))</f>
        <v>-1</v>
      </c>
      <c r="DJ385" s="25">
        <f>IF(DJ384=0,-1,DJ$6-INDEX('Lease Cycles'!$BG$30:$BM$30,1,DJ384))</f>
        <v>-1</v>
      </c>
      <c r="DK385" s="25">
        <f>IF(DK384=0,-1,DK$6-INDEX('Lease Cycles'!$BG$30:$BM$30,1,DK384))</f>
        <v>-1</v>
      </c>
      <c r="DL385" s="25">
        <f>IF(DL384=0,-1,DL$6-INDEX('Lease Cycles'!$BG$30:$BM$30,1,DL384))</f>
        <v>-1</v>
      </c>
      <c r="DM385" s="25">
        <f>IF(DM384=0,-1,DM$6-INDEX('Lease Cycles'!$BG$30:$BM$30,1,DM384))</f>
        <v>-1</v>
      </c>
      <c r="DN385" s="25">
        <f>IF(DN384=0,-1,DN$6-INDEX('Lease Cycles'!$BG$30:$BM$30,1,DN384))</f>
        <v>-1</v>
      </c>
      <c r="DO385" s="25">
        <f>IF(DO384=0,-1,DO$6-INDEX('Lease Cycles'!$BG$30:$BM$30,1,DO384))</f>
        <v>-1</v>
      </c>
      <c r="DP385" s="25">
        <f>IF(DP384=0,-1,DP$6-INDEX('Lease Cycles'!$BG$30:$BM$30,1,DP384))</f>
        <v>-1</v>
      </c>
      <c r="DQ385" s="25">
        <f>IF(DQ384=0,-1,DQ$6-INDEX('Lease Cycles'!$BG$30:$BM$30,1,DQ384))</f>
        <v>-1</v>
      </c>
      <c r="DR385" s="25">
        <f>IF(DR384=0,-1,DR$6-INDEX('Lease Cycles'!$BG$30:$BM$30,1,DR384))</f>
        <v>-1</v>
      </c>
      <c r="DS385" s="25">
        <f>IF(DS384=0,-1,DS$6-INDEX('Lease Cycles'!$BG$30:$BM$30,1,DS384))</f>
        <v>-1</v>
      </c>
      <c r="DT385" s="25">
        <f>IF(DT384=0,-1,DT$6-INDEX('Lease Cycles'!$BG$30:$BM$30,1,DT384))</f>
        <v>-1</v>
      </c>
      <c r="DU385" s="25">
        <f>IF(DU384=0,-1,DU$6-INDEX('Lease Cycles'!$BG$30:$BM$30,1,DU384))</f>
        <v>-1</v>
      </c>
      <c r="DV385" s="25">
        <f>IF(DV384=0,-1,DV$6-INDEX('Lease Cycles'!$BG$30:$BM$30,1,DV384))</f>
        <v>-1</v>
      </c>
      <c r="DW385" s="25">
        <f>IF(DW384=0,-1,DW$6-INDEX('Lease Cycles'!$BG$30:$BM$30,1,DW384))</f>
        <v>-1</v>
      </c>
      <c r="DX385" s="25">
        <f>IF(DX384=0,-1,DX$6-INDEX('Lease Cycles'!$BG$30:$BM$30,1,DX384))</f>
        <v>-1</v>
      </c>
      <c r="DY385" s="25">
        <f>IF(DY384=0,-1,DY$6-INDEX('Lease Cycles'!$BG$30:$BM$30,1,DY384))</f>
        <v>-1</v>
      </c>
      <c r="DZ385" s="25">
        <f>IF(DZ384=0,-1,DZ$6-INDEX('Lease Cycles'!$BG$30:$BM$30,1,DZ384))</f>
        <v>-1</v>
      </c>
      <c r="EA385" s="25">
        <f>IF(EA384=0,-1,EA$6-INDEX('Lease Cycles'!$BG$30:$BM$30,1,EA384))</f>
        <v>-1</v>
      </c>
      <c r="EB385" s="25">
        <f>IF(EB384=0,-1,EB$6-INDEX('Lease Cycles'!$BG$30:$BM$30,1,EB384))</f>
        <v>-1</v>
      </c>
      <c r="EC385" s="25">
        <f>IF(EC384=0,-1,EC$6-INDEX('Lease Cycles'!$BG$30:$BM$30,1,EC384))</f>
        <v>-1</v>
      </c>
      <c r="ED385" s="25">
        <f>IF(ED384=0,-1,ED$6-INDEX('Lease Cycles'!$BG$30:$BM$30,1,ED384))</f>
        <v>-1</v>
      </c>
      <c r="EE385" s="25">
        <f>IF(EE384=0,-1,EE$6-INDEX('Lease Cycles'!$BG$30:$BM$30,1,EE384))</f>
        <v>-1</v>
      </c>
      <c r="EF385" s="25">
        <f>IF(EF384=0,-1,EF$6-INDEX('Lease Cycles'!$BG$30:$BM$30,1,EF384))</f>
        <v>-1</v>
      </c>
      <c r="EG385" s="25">
        <f>IF(EG384=0,-1,EG$6-INDEX('Lease Cycles'!$BG$30:$BM$30,1,EG384))</f>
        <v>-1</v>
      </c>
      <c r="EH385" s="25">
        <f>IF(EH384=0,-1,EH$6-INDEX('Lease Cycles'!$BG$30:$BM$30,1,EH384))</f>
        <v>-1</v>
      </c>
      <c r="EI385" s="25">
        <f>IF(EI384=0,-1,EI$6-INDEX('Lease Cycles'!$BG$30:$BM$30,1,EI384))</f>
        <v>-1</v>
      </c>
      <c r="EJ385" s="25">
        <f>IF(EJ384=0,-1,EJ$6-INDEX('Lease Cycles'!$BG$30:$BM$30,1,EJ384))</f>
        <v>-1</v>
      </c>
      <c r="EK385" s="25">
        <f>IF(EK384=0,-1,EK$6-INDEX('Lease Cycles'!$BG$30:$BM$30,1,EK384))</f>
        <v>-1</v>
      </c>
      <c r="EL385" s="25">
        <f>IF(EL384=0,-1,EL$6-INDEX('Lease Cycles'!$BG$30:$BM$30,1,EL384))</f>
        <v>-1</v>
      </c>
      <c r="EM385" s="25">
        <f>IF(EM384=0,-1,EM$6-INDEX('Lease Cycles'!$BG$30:$BM$30,1,EM384))</f>
        <v>-1</v>
      </c>
      <c r="EN385" s="25">
        <f>IF(EN384=0,-1,EN$6-INDEX('Lease Cycles'!$BG$30:$BM$30,1,EN384))</f>
        <v>-1</v>
      </c>
      <c r="EO385" s="25">
        <f>IF(EO384=0,-1,EO$6-INDEX('Lease Cycles'!$BG$30:$BM$30,1,EO384))</f>
        <v>-1</v>
      </c>
      <c r="EP385" s="25">
        <f>IF(EP384=0,-1,EP$6-INDEX('Lease Cycles'!$BG$30:$BM$30,1,EP384))</f>
        <v>-1</v>
      </c>
      <c r="EQ385" s="25">
        <f>IF(EQ384=0,-1,EQ$6-INDEX('Lease Cycles'!$BG$30:$BM$30,1,EQ384))</f>
        <v>-1</v>
      </c>
      <c r="ER385" s="25">
        <f>IF(ER384=0,-1,ER$6-INDEX('Lease Cycles'!$BG$30:$BM$30,1,ER384))</f>
        <v>-1</v>
      </c>
      <c r="ES385" s="25">
        <f>IF(ES384=0,-1,ES$6-INDEX('Lease Cycles'!$BG$30:$BM$30,1,ES384))</f>
        <v>-1</v>
      </c>
      <c r="ET385" s="25">
        <f>IF(ET384=0,-1,ET$6-INDEX('Lease Cycles'!$BG$30:$BM$30,1,ET384))</f>
        <v>-1</v>
      </c>
    </row>
    <row r="386">
      <c r="A386" s="103">
        <v>23</v>
      </c>
      <c r="B386" s="23" t="str">
        <f>IF('Lease Cycles'!$B$30="","(empty slot)",'Lease Cycles'!$B$30)</f>
        <v>(empty slot)</v>
      </c>
      <c r="C386" s="23" t="s">
        <v>675</v>
      </c>
      <c r="D386" s="104" t="s">
        <v>676</v>
      </c>
      <c r="E386" s="25">
        <f>'Lease Cycles'!$AL$30</f>
        <v>0</v>
      </c>
      <c r="S386" s="25">
        <f>IF(S384=0,0,IF(S385&lt;INDEX('Lease Cycles'!$BN$30:$BT$30,1,S384),1,0))</f>
        <v>0</v>
      </c>
      <c r="T386" s="25">
        <f>IF(T384=0,0,IF(T385&lt;INDEX('Lease Cycles'!$BN$30:$BT$30,1,T384),1,0))</f>
        <v>0</v>
      </c>
      <c r="U386" s="25">
        <f>IF(U384=0,0,IF(U385&lt;INDEX('Lease Cycles'!$BN$30:$BT$30,1,U384),1,0))</f>
        <v>0</v>
      </c>
      <c r="V386" s="25">
        <f>IF(V384=0,0,IF(V385&lt;INDEX('Lease Cycles'!$BN$30:$BT$30,1,V384),1,0))</f>
        <v>0</v>
      </c>
      <c r="W386" s="25">
        <f>IF(W384=0,0,IF(W385&lt;INDEX('Lease Cycles'!$BN$30:$BT$30,1,W384),1,0))</f>
        <v>0</v>
      </c>
      <c r="X386" s="25">
        <f>IF(X384=0,0,IF(X385&lt;INDEX('Lease Cycles'!$BN$30:$BT$30,1,X384),1,0))</f>
        <v>0</v>
      </c>
      <c r="Y386" s="25">
        <f>IF(Y384=0,0,IF(Y385&lt;INDEX('Lease Cycles'!$BN$30:$BT$30,1,Y384),1,0))</f>
        <v>0</v>
      </c>
      <c r="Z386" s="25">
        <f>IF(Z384=0,0,IF(Z385&lt;INDEX('Lease Cycles'!$BN$30:$BT$30,1,Z384),1,0))</f>
        <v>0</v>
      </c>
      <c r="AA386" s="25">
        <f>IF(AA384=0,0,IF(AA385&lt;INDEX('Lease Cycles'!$BN$30:$BT$30,1,AA384),1,0))</f>
        <v>0</v>
      </c>
      <c r="AB386" s="25">
        <f>IF(AB384=0,0,IF(AB385&lt;INDEX('Lease Cycles'!$BN$30:$BT$30,1,AB384),1,0))</f>
        <v>0</v>
      </c>
      <c r="AC386" s="25">
        <f>IF(AC384=0,0,IF(AC385&lt;INDEX('Lease Cycles'!$BN$30:$BT$30,1,AC384),1,0))</f>
        <v>0</v>
      </c>
      <c r="AD386" s="25">
        <f>IF(AD384=0,0,IF(AD385&lt;INDEX('Lease Cycles'!$BN$30:$BT$30,1,AD384),1,0))</f>
        <v>0</v>
      </c>
      <c r="AE386" s="25">
        <f>IF(AE384=0,0,IF(AE385&lt;INDEX('Lease Cycles'!$BN$30:$BT$30,1,AE384),1,0))</f>
        <v>0</v>
      </c>
      <c r="AF386" s="25">
        <f>IF(AF384=0,0,IF(AF385&lt;INDEX('Lease Cycles'!$BN$30:$BT$30,1,AF384),1,0))</f>
        <v>0</v>
      </c>
      <c r="AG386" s="25">
        <f>IF(AG384=0,0,IF(AG385&lt;INDEX('Lease Cycles'!$BN$30:$BT$30,1,AG384),1,0))</f>
        <v>0</v>
      </c>
      <c r="AH386" s="25">
        <f>IF(AH384=0,0,IF(AH385&lt;INDEX('Lease Cycles'!$BN$30:$BT$30,1,AH384),1,0))</f>
        <v>0</v>
      </c>
      <c r="AI386" s="25">
        <f>IF(AI384=0,0,IF(AI385&lt;INDEX('Lease Cycles'!$BN$30:$BT$30,1,AI384),1,0))</f>
        <v>0</v>
      </c>
      <c r="AJ386" s="25">
        <f>IF(AJ384=0,0,IF(AJ385&lt;INDEX('Lease Cycles'!$BN$30:$BT$30,1,AJ384),1,0))</f>
        <v>0</v>
      </c>
      <c r="AK386" s="25">
        <f>IF(AK384=0,0,IF(AK385&lt;INDEX('Lease Cycles'!$BN$30:$BT$30,1,AK384),1,0))</f>
        <v>0</v>
      </c>
      <c r="AL386" s="25">
        <f>IF(AL384=0,0,IF(AL385&lt;INDEX('Lease Cycles'!$BN$30:$BT$30,1,AL384),1,0))</f>
        <v>0</v>
      </c>
      <c r="AM386" s="25">
        <f>IF(AM384=0,0,IF(AM385&lt;INDEX('Lease Cycles'!$BN$30:$BT$30,1,AM384),1,0))</f>
        <v>0</v>
      </c>
      <c r="AN386" s="25">
        <f>IF(AN384=0,0,IF(AN385&lt;INDEX('Lease Cycles'!$BN$30:$BT$30,1,AN384),1,0))</f>
        <v>0</v>
      </c>
      <c r="AO386" s="25">
        <f>IF(AO384=0,0,IF(AO385&lt;INDEX('Lease Cycles'!$BN$30:$BT$30,1,AO384),1,0))</f>
        <v>0</v>
      </c>
      <c r="AP386" s="25">
        <f>IF(AP384=0,0,IF(AP385&lt;INDEX('Lease Cycles'!$BN$30:$BT$30,1,AP384),1,0))</f>
        <v>0</v>
      </c>
      <c r="AQ386" s="25">
        <f>IF(AQ384=0,0,IF(AQ385&lt;INDEX('Lease Cycles'!$BN$30:$BT$30,1,AQ384),1,0))</f>
        <v>0</v>
      </c>
      <c r="AR386" s="25">
        <f>IF(AR384=0,0,IF(AR385&lt;INDEX('Lease Cycles'!$BN$30:$BT$30,1,AR384),1,0))</f>
        <v>0</v>
      </c>
      <c r="AS386" s="25">
        <f>IF(AS384=0,0,IF(AS385&lt;INDEX('Lease Cycles'!$BN$30:$BT$30,1,AS384),1,0))</f>
        <v>0</v>
      </c>
      <c r="AT386" s="25">
        <f>IF(AT384=0,0,IF(AT385&lt;INDEX('Lease Cycles'!$BN$30:$BT$30,1,AT384),1,0))</f>
        <v>0</v>
      </c>
      <c r="AU386" s="25">
        <f>IF(AU384=0,0,IF(AU385&lt;INDEX('Lease Cycles'!$BN$30:$BT$30,1,AU384),1,0))</f>
        <v>0</v>
      </c>
      <c r="AV386" s="25">
        <f>IF(AV384=0,0,IF(AV385&lt;INDEX('Lease Cycles'!$BN$30:$BT$30,1,AV384),1,0))</f>
        <v>0</v>
      </c>
      <c r="AW386" s="25">
        <f>IF(AW384=0,0,IF(AW385&lt;INDEX('Lease Cycles'!$BN$30:$BT$30,1,AW384),1,0))</f>
        <v>0</v>
      </c>
      <c r="AX386" s="25">
        <f>IF(AX384=0,0,IF(AX385&lt;INDEX('Lease Cycles'!$BN$30:$BT$30,1,AX384),1,0))</f>
        <v>0</v>
      </c>
      <c r="AY386" s="25">
        <f>IF(AY384=0,0,IF(AY385&lt;INDEX('Lease Cycles'!$BN$30:$BT$30,1,AY384),1,0))</f>
        <v>0</v>
      </c>
      <c r="AZ386" s="25">
        <f>IF(AZ384=0,0,IF(AZ385&lt;INDEX('Lease Cycles'!$BN$30:$BT$30,1,AZ384),1,0))</f>
        <v>0</v>
      </c>
      <c r="BA386" s="25">
        <f>IF(BA384=0,0,IF(BA385&lt;INDEX('Lease Cycles'!$BN$30:$BT$30,1,BA384),1,0))</f>
        <v>0</v>
      </c>
      <c r="BB386" s="25">
        <f>IF(BB384=0,0,IF(BB385&lt;INDEX('Lease Cycles'!$BN$30:$BT$30,1,BB384),1,0))</f>
        <v>0</v>
      </c>
      <c r="BC386" s="25">
        <f>IF(BC384=0,0,IF(BC385&lt;INDEX('Lease Cycles'!$BN$30:$BT$30,1,BC384),1,0))</f>
        <v>0</v>
      </c>
      <c r="BD386" s="25">
        <f>IF(BD384=0,0,IF(BD385&lt;INDEX('Lease Cycles'!$BN$30:$BT$30,1,BD384),1,0))</f>
        <v>0</v>
      </c>
      <c r="BE386" s="25">
        <f>IF(BE384=0,0,IF(BE385&lt;INDEX('Lease Cycles'!$BN$30:$BT$30,1,BE384),1,0))</f>
        <v>0</v>
      </c>
      <c r="BF386" s="25">
        <f>IF(BF384=0,0,IF(BF385&lt;INDEX('Lease Cycles'!$BN$30:$BT$30,1,BF384),1,0))</f>
        <v>0</v>
      </c>
      <c r="BG386" s="25">
        <f>IF(BG384=0,0,IF(BG385&lt;INDEX('Lease Cycles'!$BN$30:$BT$30,1,BG384),1,0))</f>
        <v>0</v>
      </c>
      <c r="BH386" s="25">
        <f>IF(BH384=0,0,IF(BH385&lt;INDEX('Lease Cycles'!$BN$30:$BT$30,1,BH384),1,0))</f>
        <v>0</v>
      </c>
      <c r="BI386" s="25">
        <f>IF(BI384=0,0,IF(BI385&lt;INDEX('Lease Cycles'!$BN$30:$BT$30,1,BI384),1,0))</f>
        <v>0</v>
      </c>
      <c r="BJ386" s="25">
        <f>IF(BJ384=0,0,IF(BJ385&lt;INDEX('Lease Cycles'!$BN$30:$BT$30,1,BJ384),1,0))</f>
        <v>0</v>
      </c>
      <c r="BK386" s="25">
        <f>IF(BK384=0,0,IF(BK385&lt;INDEX('Lease Cycles'!$BN$30:$BT$30,1,BK384),1,0))</f>
        <v>0</v>
      </c>
      <c r="BL386" s="25">
        <f>IF(BL384=0,0,IF(BL385&lt;INDEX('Lease Cycles'!$BN$30:$BT$30,1,BL384),1,0))</f>
        <v>0</v>
      </c>
      <c r="BM386" s="25">
        <f>IF(BM384=0,0,IF(BM385&lt;INDEX('Lease Cycles'!$BN$30:$BT$30,1,BM384),1,0))</f>
        <v>0</v>
      </c>
      <c r="BN386" s="25">
        <f>IF(BN384=0,0,IF(BN385&lt;INDEX('Lease Cycles'!$BN$30:$BT$30,1,BN384),1,0))</f>
        <v>0</v>
      </c>
      <c r="BO386" s="25">
        <f>IF(BO384=0,0,IF(BO385&lt;INDEX('Lease Cycles'!$BN$30:$BT$30,1,BO384),1,0))</f>
        <v>0</v>
      </c>
      <c r="BP386" s="25">
        <f>IF(BP384=0,0,IF(BP385&lt;INDEX('Lease Cycles'!$BN$30:$BT$30,1,BP384),1,0))</f>
        <v>0</v>
      </c>
      <c r="BQ386" s="25">
        <f>IF(BQ384=0,0,IF(BQ385&lt;INDEX('Lease Cycles'!$BN$30:$BT$30,1,BQ384),1,0))</f>
        <v>0</v>
      </c>
      <c r="BR386" s="25">
        <f>IF(BR384=0,0,IF(BR385&lt;INDEX('Lease Cycles'!$BN$30:$BT$30,1,BR384),1,0))</f>
        <v>0</v>
      </c>
      <c r="BS386" s="25">
        <f>IF(BS384=0,0,IF(BS385&lt;INDEX('Lease Cycles'!$BN$30:$BT$30,1,BS384),1,0))</f>
        <v>0</v>
      </c>
      <c r="BT386" s="25">
        <f>IF(BT384=0,0,IF(BT385&lt;INDEX('Lease Cycles'!$BN$30:$BT$30,1,BT384),1,0))</f>
        <v>0</v>
      </c>
      <c r="BU386" s="25">
        <f>IF(BU384=0,0,IF(BU385&lt;INDEX('Lease Cycles'!$BN$30:$BT$30,1,BU384),1,0))</f>
        <v>0</v>
      </c>
      <c r="BV386" s="25">
        <f>IF(BV384=0,0,IF(BV385&lt;INDEX('Lease Cycles'!$BN$30:$BT$30,1,BV384),1,0))</f>
        <v>0</v>
      </c>
      <c r="BW386" s="25">
        <f>IF(BW384=0,0,IF(BW385&lt;INDEX('Lease Cycles'!$BN$30:$BT$30,1,BW384),1,0))</f>
        <v>0</v>
      </c>
      <c r="BX386" s="25">
        <f>IF(BX384=0,0,IF(BX385&lt;INDEX('Lease Cycles'!$BN$30:$BT$30,1,BX384),1,0))</f>
        <v>0</v>
      </c>
      <c r="BY386" s="25">
        <f>IF(BY384=0,0,IF(BY385&lt;INDEX('Lease Cycles'!$BN$30:$BT$30,1,BY384),1,0))</f>
        <v>0</v>
      </c>
      <c r="BZ386" s="25">
        <f>IF(BZ384=0,0,IF(BZ385&lt;INDEX('Lease Cycles'!$BN$30:$BT$30,1,BZ384),1,0))</f>
        <v>0</v>
      </c>
      <c r="CA386" s="25">
        <f>IF(CA384=0,0,IF(CA385&lt;INDEX('Lease Cycles'!$BN$30:$BT$30,1,CA384),1,0))</f>
        <v>0</v>
      </c>
      <c r="CB386" s="25">
        <f>IF(CB384=0,0,IF(CB385&lt;INDEX('Lease Cycles'!$BN$30:$BT$30,1,CB384),1,0))</f>
        <v>0</v>
      </c>
      <c r="CC386" s="25">
        <f>IF(CC384=0,0,IF(CC385&lt;INDEX('Lease Cycles'!$BN$30:$BT$30,1,CC384),1,0))</f>
        <v>0</v>
      </c>
      <c r="CD386" s="25">
        <f>IF(CD384=0,0,IF(CD385&lt;INDEX('Lease Cycles'!$BN$30:$BT$30,1,CD384),1,0))</f>
        <v>0</v>
      </c>
      <c r="CE386" s="25">
        <f>IF(CE384=0,0,IF(CE385&lt;INDEX('Lease Cycles'!$BN$30:$BT$30,1,CE384),1,0))</f>
        <v>0</v>
      </c>
      <c r="CF386" s="25">
        <f>IF(CF384=0,0,IF(CF385&lt;INDEX('Lease Cycles'!$BN$30:$BT$30,1,CF384),1,0))</f>
        <v>0</v>
      </c>
      <c r="CG386" s="25">
        <f>IF(CG384=0,0,IF(CG385&lt;INDEX('Lease Cycles'!$BN$30:$BT$30,1,CG384),1,0))</f>
        <v>0</v>
      </c>
      <c r="CH386" s="25">
        <f>IF(CH384=0,0,IF(CH385&lt;INDEX('Lease Cycles'!$BN$30:$BT$30,1,CH384),1,0))</f>
        <v>0</v>
      </c>
      <c r="CI386" s="25">
        <f>IF(CI384=0,0,IF(CI385&lt;INDEX('Lease Cycles'!$BN$30:$BT$30,1,CI384),1,0))</f>
        <v>0</v>
      </c>
      <c r="CJ386" s="25">
        <f>IF(CJ384=0,0,IF(CJ385&lt;INDEX('Lease Cycles'!$BN$30:$BT$30,1,CJ384),1,0))</f>
        <v>0</v>
      </c>
      <c r="CK386" s="25">
        <f>IF(CK384=0,0,IF(CK385&lt;INDEX('Lease Cycles'!$BN$30:$BT$30,1,CK384),1,0))</f>
        <v>0</v>
      </c>
      <c r="CL386" s="25">
        <f>IF(CL384=0,0,IF(CL385&lt;INDEX('Lease Cycles'!$BN$30:$BT$30,1,CL384),1,0))</f>
        <v>0</v>
      </c>
      <c r="CM386" s="25">
        <f>IF(CM384=0,0,IF(CM385&lt;INDEX('Lease Cycles'!$BN$30:$BT$30,1,CM384),1,0))</f>
        <v>0</v>
      </c>
      <c r="CN386" s="25">
        <f>IF(CN384=0,0,IF(CN385&lt;INDEX('Lease Cycles'!$BN$30:$BT$30,1,CN384),1,0))</f>
        <v>0</v>
      </c>
      <c r="CO386" s="25">
        <f>IF(CO384=0,0,IF(CO385&lt;INDEX('Lease Cycles'!$BN$30:$BT$30,1,CO384),1,0))</f>
        <v>0</v>
      </c>
      <c r="CP386" s="25">
        <f>IF(CP384=0,0,IF(CP385&lt;INDEX('Lease Cycles'!$BN$30:$BT$30,1,CP384),1,0))</f>
        <v>0</v>
      </c>
      <c r="CQ386" s="25">
        <f>IF(CQ384=0,0,IF(CQ385&lt;INDEX('Lease Cycles'!$BN$30:$BT$30,1,CQ384),1,0))</f>
        <v>0</v>
      </c>
      <c r="CR386" s="25">
        <f>IF(CR384=0,0,IF(CR385&lt;INDEX('Lease Cycles'!$BN$30:$BT$30,1,CR384),1,0))</f>
        <v>0</v>
      </c>
      <c r="CS386" s="25">
        <f>IF(CS384=0,0,IF(CS385&lt;INDEX('Lease Cycles'!$BN$30:$BT$30,1,CS384),1,0))</f>
        <v>0</v>
      </c>
      <c r="CT386" s="25">
        <f>IF(CT384=0,0,IF(CT385&lt;INDEX('Lease Cycles'!$BN$30:$BT$30,1,CT384),1,0))</f>
        <v>0</v>
      </c>
      <c r="CU386" s="25">
        <f>IF(CU384=0,0,IF(CU385&lt;INDEX('Lease Cycles'!$BN$30:$BT$30,1,CU384),1,0))</f>
        <v>0</v>
      </c>
      <c r="CV386" s="25">
        <f>IF(CV384=0,0,IF(CV385&lt;INDEX('Lease Cycles'!$BN$30:$BT$30,1,CV384),1,0))</f>
        <v>0</v>
      </c>
      <c r="CW386" s="25">
        <f>IF(CW384=0,0,IF(CW385&lt;INDEX('Lease Cycles'!$BN$30:$BT$30,1,CW384),1,0))</f>
        <v>0</v>
      </c>
      <c r="CX386" s="25">
        <f>IF(CX384=0,0,IF(CX385&lt;INDEX('Lease Cycles'!$BN$30:$BT$30,1,CX384),1,0))</f>
        <v>0</v>
      </c>
      <c r="CY386" s="25">
        <f>IF(CY384=0,0,IF(CY385&lt;INDEX('Lease Cycles'!$BN$30:$BT$30,1,CY384),1,0))</f>
        <v>0</v>
      </c>
      <c r="CZ386" s="25">
        <f>IF(CZ384=0,0,IF(CZ385&lt;INDEX('Lease Cycles'!$BN$30:$BT$30,1,CZ384),1,0))</f>
        <v>0</v>
      </c>
      <c r="DA386" s="25">
        <f>IF(DA384=0,0,IF(DA385&lt;INDEX('Lease Cycles'!$BN$30:$BT$30,1,DA384),1,0))</f>
        <v>0</v>
      </c>
      <c r="DB386" s="25">
        <f>IF(DB384=0,0,IF(DB385&lt;INDEX('Lease Cycles'!$BN$30:$BT$30,1,DB384),1,0))</f>
        <v>0</v>
      </c>
      <c r="DC386" s="25">
        <f>IF(DC384=0,0,IF(DC385&lt;INDEX('Lease Cycles'!$BN$30:$BT$30,1,DC384),1,0))</f>
        <v>0</v>
      </c>
      <c r="DD386" s="25">
        <f>IF(DD384=0,0,IF(DD385&lt;INDEX('Lease Cycles'!$BN$30:$BT$30,1,DD384),1,0))</f>
        <v>0</v>
      </c>
      <c r="DE386" s="25">
        <f>IF(DE384=0,0,IF(DE385&lt;INDEX('Lease Cycles'!$BN$30:$BT$30,1,DE384),1,0))</f>
        <v>0</v>
      </c>
      <c r="DF386" s="25">
        <f>IF(DF384=0,0,IF(DF385&lt;INDEX('Lease Cycles'!$BN$30:$BT$30,1,DF384),1,0))</f>
        <v>0</v>
      </c>
      <c r="DG386" s="25">
        <f>IF(DG384=0,0,IF(DG385&lt;INDEX('Lease Cycles'!$BN$30:$BT$30,1,DG384),1,0))</f>
        <v>0</v>
      </c>
      <c r="DH386" s="25">
        <f>IF(DH384=0,0,IF(DH385&lt;INDEX('Lease Cycles'!$BN$30:$BT$30,1,DH384),1,0))</f>
        <v>0</v>
      </c>
      <c r="DI386" s="25">
        <f>IF(DI384=0,0,IF(DI385&lt;INDEX('Lease Cycles'!$BN$30:$BT$30,1,DI384),1,0))</f>
        <v>0</v>
      </c>
      <c r="DJ386" s="25">
        <f>IF(DJ384=0,0,IF(DJ385&lt;INDEX('Lease Cycles'!$BN$30:$BT$30,1,DJ384),1,0))</f>
        <v>0</v>
      </c>
      <c r="DK386" s="25">
        <f>IF(DK384=0,0,IF(DK385&lt;INDEX('Lease Cycles'!$BN$30:$BT$30,1,DK384),1,0))</f>
        <v>0</v>
      </c>
      <c r="DL386" s="25">
        <f>IF(DL384=0,0,IF(DL385&lt;INDEX('Lease Cycles'!$BN$30:$BT$30,1,DL384),1,0))</f>
        <v>0</v>
      </c>
      <c r="DM386" s="25">
        <f>IF(DM384=0,0,IF(DM385&lt;INDEX('Lease Cycles'!$BN$30:$BT$30,1,DM384),1,0))</f>
        <v>0</v>
      </c>
      <c r="DN386" s="25">
        <f>IF(DN384=0,0,IF(DN385&lt;INDEX('Lease Cycles'!$BN$30:$BT$30,1,DN384),1,0))</f>
        <v>0</v>
      </c>
      <c r="DO386" s="25">
        <f>IF(DO384=0,0,IF(DO385&lt;INDEX('Lease Cycles'!$BN$30:$BT$30,1,DO384),1,0))</f>
        <v>0</v>
      </c>
      <c r="DP386" s="25">
        <f>IF(DP384=0,0,IF(DP385&lt;INDEX('Lease Cycles'!$BN$30:$BT$30,1,DP384),1,0))</f>
        <v>0</v>
      </c>
      <c r="DQ386" s="25">
        <f>IF(DQ384=0,0,IF(DQ385&lt;INDEX('Lease Cycles'!$BN$30:$BT$30,1,DQ384),1,0))</f>
        <v>0</v>
      </c>
      <c r="DR386" s="25">
        <f>IF(DR384=0,0,IF(DR385&lt;INDEX('Lease Cycles'!$BN$30:$BT$30,1,DR384),1,0))</f>
        <v>0</v>
      </c>
      <c r="DS386" s="25">
        <f>IF(DS384=0,0,IF(DS385&lt;INDEX('Lease Cycles'!$BN$30:$BT$30,1,DS384),1,0))</f>
        <v>0</v>
      </c>
      <c r="DT386" s="25">
        <f>IF(DT384=0,0,IF(DT385&lt;INDEX('Lease Cycles'!$BN$30:$BT$30,1,DT384),1,0))</f>
        <v>0</v>
      </c>
      <c r="DU386" s="25">
        <f>IF(DU384=0,0,IF(DU385&lt;INDEX('Lease Cycles'!$BN$30:$BT$30,1,DU384),1,0))</f>
        <v>0</v>
      </c>
      <c r="DV386" s="25">
        <f>IF(DV384=0,0,IF(DV385&lt;INDEX('Lease Cycles'!$BN$30:$BT$30,1,DV384),1,0))</f>
        <v>0</v>
      </c>
      <c r="DW386" s="25">
        <f>IF(DW384=0,0,IF(DW385&lt;INDEX('Lease Cycles'!$BN$30:$BT$30,1,DW384),1,0))</f>
        <v>0</v>
      </c>
      <c r="DX386" s="25">
        <f>IF(DX384=0,0,IF(DX385&lt;INDEX('Lease Cycles'!$BN$30:$BT$30,1,DX384),1,0))</f>
        <v>0</v>
      </c>
      <c r="DY386" s="25">
        <f>IF(DY384=0,0,IF(DY385&lt;INDEX('Lease Cycles'!$BN$30:$BT$30,1,DY384),1,0))</f>
        <v>0</v>
      </c>
      <c r="DZ386" s="25">
        <f>IF(DZ384=0,0,IF(DZ385&lt;INDEX('Lease Cycles'!$BN$30:$BT$30,1,DZ384),1,0))</f>
        <v>0</v>
      </c>
      <c r="EA386" s="25">
        <f>IF(EA384=0,0,IF(EA385&lt;INDEX('Lease Cycles'!$BN$30:$BT$30,1,EA384),1,0))</f>
        <v>0</v>
      </c>
      <c r="EB386" s="25">
        <f>IF(EB384=0,0,IF(EB385&lt;INDEX('Lease Cycles'!$BN$30:$BT$30,1,EB384),1,0))</f>
        <v>0</v>
      </c>
      <c r="EC386" s="25">
        <f>IF(EC384=0,0,IF(EC385&lt;INDEX('Lease Cycles'!$BN$30:$BT$30,1,EC384),1,0))</f>
        <v>0</v>
      </c>
      <c r="ED386" s="25">
        <f>IF(ED384=0,0,IF(ED385&lt;INDEX('Lease Cycles'!$BN$30:$BT$30,1,ED384),1,0))</f>
        <v>0</v>
      </c>
      <c r="EE386" s="25">
        <f>IF(EE384=0,0,IF(EE385&lt;INDEX('Lease Cycles'!$BN$30:$BT$30,1,EE384),1,0))</f>
        <v>0</v>
      </c>
      <c r="EF386" s="25">
        <f>IF(EF384=0,0,IF(EF385&lt;INDEX('Lease Cycles'!$BN$30:$BT$30,1,EF384),1,0))</f>
        <v>0</v>
      </c>
      <c r="EG386" s="25">
        <f>IF(EG384=0,0,IF(EG385&lt;INDEX('Lease Cycles'!$BN$30:$BT$30,1,EG384),1,0))</f>
        <v>0</v>
      </c>
      <c r="EH386" s="25">
        <f>IF(EH384=0,0,IF(EH385&lt;INDEX('Lease Cycles'!$BN$30:$BT$30,1,EH384),1,0))</f>
        <v>0</v>
      </c>
      <c r="EI386" s="25">
        <f>IF(EI384=0,0,IF(EI385&lt;INDEX('Lease Cycles'!$BN$30:$BT$30,1,EI384),1,0))</f>
        <v>0</v>
      </c>
      <c r="EJ386" s="25">
        <f>IF(EJ384=0,0,IF(EJ385&lt;INDEX('Lease Cycles'!$BN$30:$BT$30,1,EJ384),1,0))</f>
        <v>0</v>
      </c>
      <c r="EK386" s="25">
        <f>IF(EK384=0,0,IF(EK385&lt;INDEX('Lease Cycles'!$BN$30:$BT$30,1,EK384),1,0))</f>
        <v>0</v>
      </c>
      <c r="EL386" s="25">
        <f>IF(EL384=0,0,IF(EL385&lt;INDEX('Lease Cycles'!$BN$30:$BT$30,1,EL384),1,0))</f>
        <v>0</v>
      </c>
      <c r="EM386" s="25">
        <f>IF(EM384=0,0,IF(EM385&lt;INDEX('Lease Cycles'!$BN$30:$BT$30,1,EM384),1,0))</f>
        <v>0</v>
      </c>
      <c r="EN386" s="25">
        <f>IF(EN384=0,0,IF(EN385&lt;INDEX('Lease Cycles'!$BN$30:$BT$30,1,EN384),1,0))</f>
        <v>0</v>
      </c>
      <c r="EO386" s="25">
        <f>IF(EO384=0,0,IF(EO385&lt;INDEX('Lease Cycles'!$BN$30:$BT$30,1,EO384),1,0))</f>
        <v>0</v>
      </c>
      <c r="EP386" s="25">
        <f>IF(EP384=0,0,IF(EP385&lt;INDEX('Lease Cycles'!$BN$30:$BT$30,1,EP384),1,0))</f>
        <v>0</v>
      </c>
      <c r="EQ386" s="25">
        <f>IF(EQ384=0,0,IF(EQ385&lt;INDEX('Lease Cycles'!$BN$30:$BT$30,1,EQ384),1,0))</f>
        <v>0</v>
      </c>
      <c r="ER386" s="25">
        <f>IF(ER384=0,0,IF(ER385&lt;INDEX('Lease Cycles'!$BN$30:$BT$30,1,ER384),1,0))</f>
        <v>0</v>
      </c>
      <c r="ES386" s="25">
        <f>IF(ES384=0,0,IF(ES385&lt;INDEX('Lease Cycles'!$BN$30:$BT$30,1,ES384),1,0))</f>
        <v>0</v>
      </c>
      <c r="ET386" s="25">
        <f>IF(ET384=0,0,IF(ET385&lt;INDEX('Lease Cycles'!$BN$30:$BT$30,1,ET384),1,0))</f>
        <v>0</v>
      </c>
    </row>
    <row r="387">
      <c r="A387" s="103">
        <v>23</v>
      </c>
      <c r="B387" s="23" t="str">
        <f>IF('Lease Cycles'!$B$30="","(empty slot)",'Lease Cycles'!$B$30)</f>
        <v>(empty slot)</v>
      </c>
      <c r="C387" s="23" t="s">
        <v>677</v>
      </c>
      <c r="D387" s="104" t="s">
        <v>678</v>
      </c>
      <c r="E387" s="25">
        <f>'Lease Cycles'!$AL$30</f>
        <v>0</v>
      </c>
      <c r="S387" s="28">
        <f>IF(S384=0,IF('Lease Cycles'!$F$30&gt;0,'Lease Cycles'!$C$30*'Lease Cycles'!$E$30/12,0),IF(S386=1,IF('Lease Cycles'!$AT$30&gt;=9999,'Lease Cycles'!$C$30*INDEX('Lease Cycles'!$CB$30:$CH$30,1,S384)*(1+INDEX('Lease Cycles'!$CI$30:$CO$30,1,S384))^INT(INT(S385/12)/INDEX('Lease Cycles'!$CP$30:$CV$30,1,S384))/12,IF(S384=1,IF(S385&gt;=INDEX('Lease Cycles'!$DK$30:$DQ$30,1,S384),IF(S$6&gt;='Lease Cycles'!$AZ$30,'Lease Cycles'!$C$30*'Lease Cycles'!$BA$30/12,IF(S$6&gt;='Lease Cycles'!$AX$30,'Lease Cycles'!$C$30*'Lease Cycles'!$AY$30/12,IF(S$6&gt;='Lease Cycles'!$AV$30,'Lease Cycles'!$C$30*'Lease Cycles'!$AW$30/12,IF(S$6&gt;='Lease Cycles'!$AT$30,'Lease Cycles'!$C$30*'Lease Cycles'!$AU$30/12,'Lease Cycles'!$C$30*INDEX('Lease Cycles'!$CB$30:$CH$30,1,S384)*(1+INDEX('Lease Cycles'!$CI$30:$CO$30,1,S384))^INT(INT(S385/12)/INDEX('Lease Cycles'!$CP$30:$CV$30,1,S384))/12)))),'Lease Cycles'!$C$30*INDEX('Lease Cycles'!$CB$30:$CH$30,1,S384)*(1+INDEX('Lease Cycles'!$CI$30:$CO$30,1,S384))^INT(INT(S385/12)/INDEX('Lease Cycles'!$CP$30:$CV$30,1,S384))/12),IF(INDEX('Lease Cycles'!$EF$30:$EL$30,1,S384)=1,IF(AND('Lease Cycles'!$AZ$30&gt;=INDEX('Lease Cycles'!$BG$30:$BM$30,1,S384),'Lease Cycles'!$AZ$30&lt;=S$6),'Lease Cycles'!$C$30*'Lease Cycles'!$BA$30/12,IF(AND('Lease Cycles'!$AX$30&gt;=INDEX('Lease Cycles'!$BG$30:$BM$30,1,S384),'Lease Cycles'!$AX$30&lt;=S$6),'Lease Cycles'!$C$30*'Lease Cycles'!$AY$30/12,IF(AND('Lease Cycles'!$AV$30&gt;=INDEX('Lease Cycles'!$BG$30:$BM$30,1,S384),'Lease Cycles'!$AV$30&lt;=S$6),'Lease Cycles'!$C$30*'Lease Cycles'!$AW$30/12,IF(AND('Lease Cycles'!$AT$30&gt;=INDEX('Lease Cycles'!$BG$30:$BM$30,1,S384),'Lease Cycles'!$AT$30&lt;=S$6),'Lease Cycles'!$C$30*'Lease Cycles'!$AU$30/12,'Lease Cycles'!$C$30*INDEX('Lease Cycles'!$CB$30:$CH$30,1,S384)*(1+INDEX('Lease Cycles'!$CI$30:$CO$30,1,S384))^INT(INT(S385/12)/INDEX('Lease Cycles'!$CP$30:$CV$30,1,S384))/12)))),'Lease Cycles'!$C$30*INDEX('Lease Cycles'!$CB$30:$CH$30,1,S384)*(1+INDEX('Lease Cycles'!$CI$30:$CO$30,1,S384))^INT(INT(S385/12)/INDEX('Lease Cycles'!$CP$30:$CV$30,1,S384))/12))),IF('Lease Cycles'!$N$30=1,'Lease Cycles'!$C$30*'Lease Cycles'!$E$30*INDEX('Lease Cycles'!$HE$30:$HK$30,1,S384)*(1+INDEX('Lease Cycles'!$GQ$30:$GW$30,1,S384))^INT(INT((S$6-INDEX('Lease Cycles'!$GJ$30:$GP$30,1,S384))/12)/INDEX('Lease Cycles'!$GX$30:$HD$30,1,S384))/12,0)))</f>
        <v>0</v>
      </c>
      <c r="T387" s="28">
        <f>IF(T384=0,IF('Lease Cycles'!$F$30&gt;0,'Lease Cycles'!$C$30*'Lease Cycles'!$E$30/12,0),IF(T386=1,IF('Lease Cycles'!$AT$30&gt;=9999,'Lease Cycles'!$C$30*INDEX('Lease Cycles'!$CB$30:$CH$30,1,T384)*(1+INDEX('Lease Cycles'!$CI$30:$CO$30,1,T384))^INT(INT(T385/12)/INDEX('Lease Cycles'!$CP$30:$CV$30,1,T384))/12,IF(T384=1,IF(T385&gt;=INDEX('Lease Cycles'!$DK$30:$DQ$30,1,T384),IF(T$6&gt;='Lease Cycles'!$AZ$30,'Lease Cycles'!$C$30*'Lease Cycles'!$BA$30/12,IF(T$6&gt;='Lease Cycles'!$AX$30,'Lease Cycles'!$C$30*'Lease Cycles'!$AY$30/12,IF(T$6&gt;='Lease Cycles'!$AV$30,'Lease Cycles'!$C$30*'Lease Cycles'!$AW$30/12,IF(T$6&gt;='Lease Cycles'!$AT$30,'Lease Cycles'!$C$30*'Lease Cycles'!$AU$30/12,'Lease Cycles'!$C$30*INDEX('Lease Cycles'!$CB$30:$CH$30,1,T384)*(1+INDEX('Lease Cycles'!$CI$30:$CO$30,1,T384))^INT(INT(T385/12)/INDEX('Lease Cycles'!$CP$30:$CV$30,1,T384))/12)))),'Lease Cycles'!$C$30*INDEX('Lease Cycles'!$CB$30:$CH$30,1,T384)*(1+INDEX('Lease Cycles'!$CI$30:$CO$30,1,T384))^INT(INT(T385/12)/INDEX('Lease Cycles'!$CP$30:$CV$30,1,T384))/12),IF(INDEX('Lease Cycles'!$EF$30:$EL$30,1,T384)=1,IF(AND('Lease Cycles'!$AZ$30&gt;=INDEX('Lease Cycles'!$BG$30:$BM$30,1,T384),'Lease Cycles'!$AZ$30&lt;=T$6),'Lease Cycles'!$C$30*'Lease Cycles'!$BA$30/12,IF(AND('Lease Cycles'!$AX$30&gt;=INDEX('Lease Cycles'!$BG$30:$BM$30,1,T384),'Lease Cycles'!$AX$30&lt;=T$6),'Lease Cycles'!$C$30*'Lease Cycles'!$AY$30/12,IF(AND('Lease Cycles'!$AV$30&gt;=INDEX('Lease Cycles'!$BG$30:$BM$30,1,T384),'Lease Cycles'!$AV$30&lt;=T$6),'Lease Cycles'!$C$30*'Lease Cycles'!$AW$30/12,IF(AND('Lease Cycles'!$AT$30&gt;=INDEX('Lease Cycles'!$BG$30:$BM$30,1,T384),'Lease Cycles'!$AT$30&lt;=T$6),'Lease Cycles'!$C$30*'Lease Cycles'!$AU$30/12,'Lease Cycles'!$C$30*INDEX('Lease Cycles'!$CB$30:$CH$30,1,T384)*(1+INDEX('Lease Cycles'!$CI$30:$CO$30,1,T384))^INT(INT(T385/12)/INDEX('Lease Cycles'!$CP$30:$CV$30,1,T384))/12)))),'Lease Cycles'!$C$30*INDEX('Lease Cycles'!$CB$30:$CH$30,1,T384)*(1+INDEX('Lease Cycles'!$CI$30:$CO$30,1,T384))^INT(INT(T385/12)/INDEX('Lease Cycles'!$CP$30:$CV$30,1,T384))/12))),IF('Lease Cycles'!$N$30=1,'Lease Cycles'!$C$30*'Lease Cycles'!$E$30*INDEX('Lease Cycles'!$HE$30:$HK$30,1,T384)*(1+INDEX('Lease Cycles'!$GQ$30:$GW$30,1,T384))^INT(INT((T$6-INDEX('Lease Cycles'!$GJ$30:$GP$30,1,T384))/12)/INDEX('Lease Cycles'!$GX$30:$HD$30,1,T384))/12,0)))</f>
        <v>0</v>
      </c>
      <c r="U387" s="28">
        <f>IF(U384=0,IF('Lease Cycles'!$F$30&gt;0,'Lease Cycles'!$C$30*'Lease Cycles'!$E$30/12,0),IF(U386=1,IF('Lease Cycles'!$AT$30&gt;=9999,'Lease Cycles'!$C$30*INDEX('Lease Cycles'!$CB$30:$CH$30,1,U384)*(1+INDEX('Lease Cycles'!$CI$30:$CO$30,1,U384))^INT(INT(U385/12)/INDEX('Lease Cycles'!$CP$30:$CV$30,1,U384))/12,IF(U384=1,IF(U385&gt;=INDEX('Lease Cycles'!$DK$30:$DQ$30,1,U384),IF(U$6&gt;='Lease Cycles'!$AZ$30,'Lease Cycles'!$C$30*'Lease Cycles'!$BA$30/12,IF(U$6&gt;='Lease Cycles'!$AX$30,'Lease Cycles'!$C$30*'Lease Cycles'!$AY$30/12,IF(U$6&gt;='Lease Cycles'!$AV$30,'Lease Cycles'!$C$30*'Lease Cycles'!$AW$30/12,IF(U$6&gt;='Lease Cycles'!$AT$30,'Lease Cycles'!$C$30*'Lease Cycles'!$AU$30/12,'Lease Cycles'!$C$30*INDEX('Lease Cycles'!$CB$30:$CH$30,1,U384)*(1+INDEX('Lease Cycles'!$CI$30:$CO$30,1,U384))^INT(INT(U385/12)/INDEX('Lease Cycles'!$CP$30:$CV$30,1,U384))/12)))),'Lease Cycles'!$C$30*INDEX('Lease Cycles'!$CB$30:$CH$30,1,U384)*(1+INDEX('Lease Cycles'!$CI$30:$CO$30,1,U384))^INT(INT(U385/12)/INDEX('Lease Cycles'!$CP$30:$CV$30,1,U384))/12),IF(INDEX('Lease Cycles'!$EF$30:$EL$30,1,U384)=1,IF(AND('Lease Cycles'!$AZ$30&gt;=INDEX('Lease Cycles'!$BG$30:$BM$30,1,U384),'Lease Cycles'!$AZ$30&lt;=U$6),'Lease Cycles'!$C$30*'Lease Cycles'!$BA$30/12,IF(AND('Lease Cycles'!$AX$30&gt;=INDEX('Lease Cycles'!$BG$30:$BM$30,1,U384),'Lease Cycles'!$AX$30&lt;=U$6),'Lease Cycles'!$C$30*'Lease Cycles'!$AY$30/12,IF(AND('Lease Cycles'!$AV$30&gt;=INDEX('Lease Cycles'!$BG$30:$BM$30,1,U384),'Lease Cycles'!$AV$30&lt;=U$6),'Lease Cycles'!$C$30*'Lease Cycles'!$AW$30/12,IF(AND('Lease Cycles'!$AT$30&gt;=INDEX('Lease Cycles'!$BG$30:$BM$30,1,U384),'Lease Cycles'!$AT$30&lt;=U$6),'Lease Cycles'!$C$30*'Lease Cycles'!$AU$30/12,'Lease Cycles'!$C$30*INDEX('Lease Cycles'!$CB$30:$CH$30,1,U384)*(1+INDEX('Lease Cycles'!$CI$30:$CO$30,1,U384))^INT(INT(U385/12)/INDEX('Lease Cycles'!$CP$30:$CV$30,1,U384))/12)))),'Lease Cycles'!$C$30*INDEX('Lease Cycles'!$CB$30:$CH$30,1,U384)*(1+INDEX('Lease Cycles'!$CI$30:$CO$30,1,U384))^INT(INT(U385/12)/INDEX('Lease Cycles'!$CP$30:$CV$30,1,U384))/12))),IF('Lease Cycles'!$N$30=1,'Lease Cycles'!$C$30*'Lease Cycles'!$E$30*INDEX('Lease Cycles'!$HE$30:$HK$30,1,U384)*(1+INDEX('Lease Cycles'!$GQ$30:$GW$30,1,U384))^INT(INT((U$6-INDEX('Lease Cycles'!$GJ$30:$GP$30,1,U384))/12)/INDEX('Lease Cycles'!$GX$30:$HD$30,1,U384))/12,0)))</f>
        <v>0</v>
      </c>
      <c r="V387" s="28">
        <f>IF(V384=0,IF('Lease Cycles'!$F$30&gt;0,'Lease Cycles'!$C$30*'Lease Cycles'!$E$30/12,0),IF(V386=1,IF('Lease Cycles'!$AT$30&gt;=9999,'Lease Cycles'!$C$30*INDEX('Lease Cycles'!$CB$30:$CH$30,1,V384)*(1+INDEX('Lease Cycles'!$CI$30:$CO$30,1,V384))^INT(INT(V385/12)/INDEX('Lease Cycles'!$CP$30:$CV$30,1,V384))/12,IF(V384=1,IF(V385&gt;=INDEX('Lease Cycles'!$DK$30:$DQ$30,1,V384),IF(V$6&gt;='Lease Cycles'!$AZ$30,'Lease Cycles'!$C$30*'Lease Cycles'!$BA$30/12,IF(V$6&gt;='Lease Cycles'!$AX$30,'Lease Cycles'!$C$30*'Lease Cycles'!$AY$30/12,IF(V$6&gt;='Lease Cycles'!$AV$30,'Lease Cycles'!$C$30*'Lease Cycles'!$AW$30/12,IF(V$6&gt;='Lease Cycles'!$AT$30,'Lease Cycles'!$C$30*'Lease Cycles'!$AU$30/12,'Lease Cycles'!$C$30*INDEX('Lease Cycles'!$CB$30:$CH$30,1,V384)*(1+INDEX('Lease Cycles'!$CI$30:$CO$30,1,V384))^INT(INT(V385/12)/INDEX('Lease Cycles'!$CP$30:$CV$30,1,V384))/12)))),'Lease Cycles'!$C$30*INDEX('Lease Cycles'!$CB$30:$CH$30,1,V384)*(1+INDEX('Lease Cycles'!$CI$30:$CO$30,1,V384))^INT(INT(V385/12)/INDEX('Lease Cycles'!$CP$30:$CV$30,1,V384))/12),IF(INDEX('Lease Cycles'!$EF$30:$EL$30,1,V384)=1,IF(AND('Lease Cycles'!$AZ$30&gt;=INDEX('Lease Cycles'!$BG$30:$BM$30,1,V384),'Lease Cycles'!$AZ$30&lt;=V$6),'Lease Cycles'!$C$30*'Lease Cycles'!$BA$30/12,IF(AND('Lease Cycles'!$AX$30&gt;=INDEX('Lease Cycles'!$BG$30:$BM$30,1,V384),'Lease Cycles'!$AX$30&lt;=V$6),'Lease Cycles'!$C$30*'Lease Cycles'!$AY$30/12,IF(AND('Lease Cycles'!$AV$30&gt;=INDEX('Lease Cycles'!$BG$30:$BM$30,1,V384),'Lease Cycles'!$AV$30&lt;=V$6),'Lease Cycles'!$C$30*'Lease Cycles'!$AW$30/12,IF(AND('Lease Cycles'!$AT$30&gt;=INDEX('Lease Cycles'!$BG$30:$BM$30,1,V384),'Lease Cycles'!$AT$30&lt;=V$6),'Lease Cycles'!$C$30*'Lease Cycles'!$AU$30/12,'Lease Cycles'!$C$30*INDEX('Lease Cycles'!$CB$30:$CH$30,1,V384)*(1+INDEX('Lease Cycles'!$CI$30:$CO$30,1,V384))^INT(INT(V385/12)/INDEX('Lease Cycles'!$CP$30:$CV$30,1,V384))/12)))),'Lease Cycles'!$C$30*INDEX('Lease Cycles'!$CB$30:$CH$30,1,V384)*(1+INDEX('Lease Cycles'!$CI$30:$CO$30,1,V384))^INT(INT(V385/12)/INDEX('Lease Cycles'!$CP$30:$CV$30,1,V384))/12))),IF('Lease Cycles'!$N$30=1,'Lease Cycles'!$C$30*'Lease Cycles'!$E$30*INDEX('Lease Cycles'!$HE$30:$HK$30,1,V384)*(1+INDEX('Lease Cycles'!$GQ$30:$GW$30,1,V384))^INT(INT((V$6-INDEX('Lease Cycles'!$GJ$30:$GP$30,1,V384))/12)/INDEX('Lease Cycles'!$GX$30:$HD$30,1,V384))/12,0)))</f>
        <v>0</v>
      </c>
      <c r="W387" s="28">
        <f>IF(W384=0,IF('Lease Cycles'!$F$30&gt;0,'Lease Cycles'!$C$30*'Lease Cycles'!$E$30/12,0),IF(W386=1,IF('Lease Cycles'!$AT$30&gt;=9999,'Lease Cycles'!$C$30*INDEX('Lease Cycles'!$CB$30:$CH$30,1,W384)*(1+INDEX('Lease Cycles'!$CI$30:$CO$30,1,W384))^INT(INT(W385/12)/INDEX('Lease Cycles'!$CP$30:$CV$30,1,W384))/12,IF(W384=1,IF(W385&gt;=INDEX('Lease Cycles'!$DK$30:$DQ$30,1,W384),IF(W$6&gt;='Lease Cycles'!$AZ$30,'Lease Cycles'!$C$30*'Lease Cycles'!$BA$30/12,IF(W$6&gt;='Lease Cycles'!$AX$30,'Lease Cycles'!$C$30*'Lease Cycles'!$AY$30/12,IF(W$6&gt;='Lease Cycles'!$AV$30,'Lease Cycles'!$C$30*'Lease Cycles'!$AW$30/12,IF(W$6&gt;='Lease Cycles'!$AT$30,'Lease Cycles'!$C$30*'Lease Cycles'!$AU$30/12,'Lease Cycles'!$C$30*INDEX('Lease Cycles'!$CB$30:$CH$30,1,W384)*(1+INDEX('Lease Cycles'!$CI$30:$CO$30,1,W384))^INT(INT(W385/12)/INDEX('Lease Cycles'!$CP$30:$CV$30,1,W384))/12)))),'Lease Cycles'!$C$30*INDEX('Lease Cycles'!$CB$30:$CH$30,1,W384)*(1+INDEX('Lease Cycles'!$CI$30:$CO$30,1,W384))^INT(INT(W385/12)/INDEX('Lease Cycles'!$CP$30:$CV$30,1,W384))/12),IF(INDEX('Lease Cycles'!$EF$30:$EL$30,1,W384)=1,IF(AND('Lease Cycles'!$AZ$30&gt;=INDEX('Lease Cycles'!$BG$30:$BM$30,1,W384),'Lease Cycles'!$AZ$30&lt;=W$6),'Lease Cycles'!$C$30*'Lease Cycles'!$BA$30/12,IF(AND('Lease Cycles'!$AX$30&gt;=INDEX('Lease Cycles'!$BG$30:$BM$30,1,W384),'Lease Cycles'!$AX$30&lt;=W$6),'Lease Cycles'!$C$30*'Lease Cycles'!$AY$30/12,IF(AND('Lease Cycles'!$AV$30&gt;=INDEX('Lease Cycles'!$BG$30:$BM$30,1,W384),'Lease Cycles'!$AV$30&lt;=W$6),'Lease Cycles'!$C$30*'Lease Cycles'!$AW$30/12,IF(AND('Lease Cycles'!$AT$30&gt;=INDEX('Lease Cycles'!$BG$30:$BM$30,1,W384),'Lease Cycles'!$AT$30&lt;=W$6),'Lease Cycles'!$C$30*'Lease Cycles'!$AU$30/12,'Lease Cycles'!$C$30*INDEX('Lease Cycles'!$CB$30:$CH$30,1,W384)*(1+INDEX('Lease Cycles'!$CI$30:$CO$30,1,W384))^INT(INT(W385/12)/INDEX('Lease Cycles'!$CP$30:$CV$30,1,W384))/12)))),'Lease Cycles'!$C$30*INDEX('Lease Cycles'!$CB$30:$CH$30,1,W384)*(1+INDEX('Lease Cycles'!$CI$30:$CO$30,1,W384))^INT(INT(W385/12)/INDEX('Lease Cycles'!$CP$30:$CV$30,1,W384))/12))),IF('Lease Cycles'!$N$30=1,'Lease Cycles'!$C$30*'Lease Cycles'!$E$30*INDEX('Lease Cycles'!$HE$30:$HK$30,1,W384)*(1+INDEX('Lease Cycles'!$GQ$30:$GW$30,1,W384))^INT(INT((W$6-INDEX('Lease Cycles'!$GJ$30:$GP$30,1,W384))/12)/INDEX('Lease Cycles'!$GX$30:$HD$30,1,W384))/12,0)))</f>
        <v>0</v>
      </c>
      <c r="X387" s="28">
        <f>IF(X384=0,IF('Lease Cycles'!$F$30&gt;0,'Lease Cycles'!$C$30*'Lease Cycles'!$E$30/12,0),IF(X386=1,IF('Lease Cycles'!$AT$30&gt;=9999,'Lease Cycles'!$C$30*INDEX('Lease Cycles'!$CB$30:$CH$30,1,X384)*(1+INDEX('Lease Cycles'!$CI$30:$CO$30,1,X384))^INT(INT(X385/12)/INDEX('Lease Cycles'!$CP$30:$CV$30,1,X384))/12,IF(X384=1,IF(X385&gt;=INDEX('Lease Cycles'!$DK$30:$DQ$30,1,X384),IF(X$6&gt;='Lease Cycles'!$AZ$30,'Lease Cycles'!$C$30*'Lease Cycles'!$BA$30/12,IF(X$6&gt;='Lease Cycles'!$AX$30,'Lease Cycles'!$C$30*'Lease Cycles'!$AY$30/12,IF(X$6&gt;='Lease Cycles'!$AV$30,'Lease Cycles'!$C$30*'Lease Cycles'!$AW$30/12,IF(X$6&gt;='Lease Cycles'!$AT$30,'Lease Cycles'!$C$30*'Lease Cycles'!$AU$30/12,'Lease Cycles'!$C$30*INDEX('Lease Cycles'!$CB$30:$CH$30,1,X384)*(1+INDEX('Lease Cycles'!$CI$30:$CO$30,1,X384))^INT(INT(X385/12)/INDEX('Lease Cycles'!$CP$30:$CV$30,1,X384))/12)))),'Lease Cycles'!$C$30*INDEX('Lease Cycles'!$CB$30:$CH$30,1,X384)*(1+INDEX('Lease Cycles'!$CI$30:$CO$30,1,X384))^INT(INT(X385/12)/INDEX('Lease Cycles'!$CP$30:$CV$30,1,X384))/12),IF(INDEX('Lease Cycles'!$EF$30:$EL$30,1,X384)=1,IF(AND('Lease Cycles'!$AZ$30&gt;=INDEX('Lease Cycles'!$BG$30:$BM$30,1,X384),'Lease Cycles'!$AZ$30&lt;=X$6),'Lease Cycles'!$C$30*'Lease Cycles'!$BA$30/12,IF(AND('Lease Cycles'!$AX$30&gt;=INDEX('Lease Cycles'!$BG$30:$BM$30,1,X384),'Lease Cycles'!$AX$30&lt;=X$6),'Lease Cycles'!$C$30*'Lease Cycles'!$AY$30/12,IF(AND('Lease Cycles'!$AV$30&gt;=INDEX('Lease Cycles'!$BG$30:$BM$30,1,X384),'Lease Cycles'!$AV$30&lt;=X$6),'Lease Cycles'!$C$30*'Lease Cycles'!$AW$30/12,IF(AND('Lease Cycles'!$AT$30&gt;=INDEX('Lease Cycles'!$BG$30:$BM$30,1,X384),'Lease Cycles'!$AT$30&lt;=X$6),'Lease Cycles'!$C$30*'Lease Cycles'!$AU$30/12,'Lease Cycles'!$C$30*INDEX('Lease Cycles'!$CB$30:$CH$30,1,X384)*(1+INDEX('Lease Cycles'!$CI$30:$CO$30,1,X384))^INT(INT(X385/12)/INDEX('Lease Cycles'!$CP$30:$CV$30,1,X384))/12)))),'Lease Cycles'!$C$30*INDEX('Lease Cycles'!$CB$30:$CH$30,1,X384)*(1+INDEX('Lease Cycles'!$CI$30:$CO$30,1,X384))^INT(INT(X385/12)/INDEX('Lease Cycles'!$CP$30:$CV$30,1,X384))/12))),IF('Lease Cycles'!$N$30=1,'Lease Cycles'!$C$30*'Lease Cycles'!$E$30*INDEX('Lease Cycles'!$HE$30:$HK$30,1,X384)*(1+INDEX('Lease Cycles'!$GQ$30:$GW$30,1,X384))^INT(INT((X$6-INDEX('Lease Cycles'!$GJ$30:$GP$30,1,X384))/12)/INDEX('Lease Cycles'!$GX$30:$HD$30,1,X384))/12,0)))</f>
        <v>0</v>
      </c>
      <c r="Y387" s="28">
        <f>IF(Y384=0,IF('Lease Cycles'!$F$30&gt;0,'Lease Cycles'!$C$30*'Lease Cycles'!$E$30/12,0),IF(Y386=1,IF('Lease Cycles'!$AT$30&gt;=9999,'Lease Cycles'!$C$30*INDEX('Lease Cycles'!$CB$30:$CH$30,1,Y384)*(1+INDEX('Lease Cycles'!$CI$30:$CO$30,1,Y384))^INT(INT(Y385/12)/INDEX('Lease Cycles'!$CP$30:$CV$30,1,Y384))/12,IF(Y384=1,IF(Y385&gt;=INDEX('Lease Cycles'!$DK$30:$DQ$30,1,Y384),IF(Y$6&gt;='Lease Cycles'!$AZ$30,'Lease Cycles'!$C$30*'Lease Cycles'!$BA$30/12,IF(Y$6&gt;='Lease Cycles'!$AX$30,'Lease Cycles'!$C$30*'Lease Cycles'!$AY$30/12,IF(Y$6&gt;='Lease Cycles'!$AV$30,'Lease Cycles'!$C$30*'Lease Cycles'!$AW$30/12,IF(Y$6&gt;='Lease Cycles'!$AT$30,'Lease Cycles'!$C$30*'Lease Cycles'!$AU$30/12,'Lease Cycles'!$C$30*INDEX('Lease Cycles'!$CB$30:$CH$30,1,Y384)*(1+INDEX('Lease Cycles'!$CI$30:$CO$30,1,Y384))^INT(INT(Y385/12)/INDEX('Lease Cycles'!$CP$30:$CV$30,1,Y384))/12)))),'Lease Cycles'!$C$30*INDEX('Lease Cycles'!$CB$30:$CH$30,1,Y384)*(1+INDEX('Lease Cycles'!$CI$30:$CO$30,1,Y384))^INT(INT(Y385/12)/INDEX('Lease Cycles'!$CP$30:$CV$30,1,Y384))/12),IF(INDEX('Lease Cycles'!$EF$30:$EL$30,1,Y384)=1,IF(AND('Lease Cycles'!$AZ$30&gt;=INDEX('Lease Cycles'!$BG$30:$BM$30,1,Y384),'Lease Cycles'!$AZ$30&lt;=Y$6),'Lease Cycles'!$C$30*'Lease Cycles'!$BA$30/12,IF(AND('Lease Cycles'!$AX$30&gt;=INDEX('Lease Cycles'!$BG$30:$BM$30,1,Y384),'Lease Cycles'!$AX$30&lt;=Y$6),'Lease Cycles'!$C$30*'Lease Cycles'!$AY$30/12,IF(AND('Lease Cycles'!$AV$30&gt;=INDEX('Lease Cycles'!$BG$30:$BM$30,1,Y384),'Lease Cycles'!$AV$30&lt;=Y$6),'Lease Cycles'!$C$30*'Lease Cycles'!$AW$30/12,IF(AND('Lease Cycles'!$AT$30&gt;=INDEX('Lease Cycles'!$BG$30:$BM$30,1,Y384),'Lease Cycles'!$AT$30&lt;=Y$6),'Lease Cycles'!$C$30*'Lease Cycles'!$AU$30/12,'Lease Cycles'!$C$30*INDEX('Lease Cycles'!$CB$30:$CH$30,1,Y384)*(1+INDEX('Lease Cycles'!$CI$30:$CO$30,1,Y384))^INT(INT(Y385/12)/INDEX('Lease Cycles'!$CP$30:$CV$30,1,Y384))/12)))),'Lease Cycles'!$C$30*INDEX('Lease Cycles'!$CB$30:$CH$30,1,Y384)*(1+INDEX('Lease Cycles'!$CI$30:$CO$30,1,Y384))^INT(INT(Y385/12)/INDEX('Lease Cycles'!$CP$30:$CV$30,1,Y384))/12))),IF('Lease Cycles'!$N$30=1,'Lease Cycles'!$C$30*'Lease Cycles'!$E$30*INDEX('Lease Cycles'!$HE$30:$HK$30,1,Y384)*(1+INDEX('Lease Cycles'!$GQ$30:$GW$30,1,Y384))^INT(INT((Y$6-INDEX('Lease Cycles'!$GJ$30:$GP$30,1,Y384))/12)/INDEX('Lease Cycles'!$GX$30:$HD$30,1,Y384))/12,0)))</f>
        <v>0</v>
      </c>
      <c r="Z387" s="28">
        <f>IF(Z384=0,IF('Lease Cycles'!$F$30&gt;0,'Lease Cycles'!$C$30*'Lease Cycles'!$E$30/12,0),IF(Z386=1,IF('Lease Cycles'!$AT$30&gt;=9999,'Lease Cycles'!$C$30*INDEX('Lease Cycles'!$CB$30:$CH$30,1,Z384)*(1+INDEX('Lease Cycles'!$CI$30:$CO$30,1,Z384))^INT(INT(Z385/12)/INDEX('Lease Cycles'!$CP$30:$CV$30,1,Z384))/12,IF(Z384=1,IF(Z385&gt;=INDEX('Lease Cycles'!$DK$30:$DQ$30,1,Z384),IF(Z$6&gt;='Lease Cycles'!$AZ$30,'Lease Cycles'!$C$30*'Lease Cycles'!$BA$30/12,IF(Z$6&gt;='Lease Cycles'!$AX$30,'Lease Cycles'!$C$30*'Lease Cycles'!$AY$30/12,IF(Z$6&gt;='Lease Cycles'!$AV$30,'Lease Cycles'!$C$30*'Lease Cycles'!$AW$30/12,IF(Z$6&gt;='Lease Cycles'!$AT$30,'Lease Cycles'!$C$30*'Lease Cycles'!$AU$30/12,'Lease Cycles'!$C$30*INDEX('Lease Cycles'!$CB$30:$CH$30,1,Z384)*(1+INDEX('Lease Cycles'!$CI$30:$CO$30,1,Z384))^INT(INT(Z385/12)/INDEX('Lease Cycles'!$CP$30:$CV$30,1,Z384))/12)))),'Lease Cycles'!$C$30*INDEX('Lease Cycles'!$CB$30:$CH$30,1,Z384)*(1+INDEX('Lease Cycles'!$CI$30:$CO$30,1,Z384))^INT(INT(Z385/12)/INDEX('Lease Cycles'!$CP$30:$CV$30,1,Z384))/12),IF(INDEX('Lease Cycles'!$EF$30:$EL$30,1,Z384)=1,IF(AND('Lease Cycles'!$AZ$30&gt;=INDEX('Lease Cycles'!$BG$30:$BM$30,1,Z384),'Lease Cycles'!$AZ$30&lt;=Z$6),'Lease Cycles'!$C$30*'Lease Cycles'!$BA$30/12,IF(AND('Lease Cycles'!$AX$30&gt;=INDEX('Lease Cycles'!$BG$30:$BM$30,1,Z384),'Lease Cycles'!$AX$30&lt;=Z$6),'Lease Cycles'!$C$30*'Lease Cycles'!$AY$30/12,IF(AND('Lease Cycles'!$AV$30&gt;=INDEX('Lease Cycles'!$BG$30:$BM$30,1,Z384),'Lease Cycles'!$AV$30&lt;=Z$6),'Lease Cycles'!$C$30*'Lease Cycles'!$AW$30/12,IF(AND('Lease Cycles'!$AT$30&gt;=INDEX('Lease Cycles'!$BG$30:$BM$30,1,Z384),'Lease Cycles'!$AT$30&lt;=Z$6),'Lease Cycles'!$C$30*'Lease Cycles'!$AU$30/12,'Lease Cycles'!$C$30*INDEX('Lease Cycles'!$CB$30:$CH$30,1,Z384)*(1+INDEX('Lease Cycles'!$CI$30:$CO$30,1,Z384))^INT(INT(Z385/12)/INDEX('Lease Cycles'!$CP$30:$CV$30,1,Z384))/12)))),'Lease Cycles'!$C$30*INDEX('Lease Cycles'!$CB$30:$CH$30,1,Z384)*(1+INDEX('Lease Cycles'!$CI$30:$CO$30,1,Z384))^INT(INT(Z385/12)/INDEX('Lease Cycles'!$CP$30:$CV$30,1,Z384))/12))),IF('Lease Cycles'!$N$30=1,'Lease Cycles'!$C$30*'Lease Cycles'!$E$30*INDEX('Lease Cycles'!$HE$30:$HK$30,1,Z384)*(1+INDEX('Lease Cycles'!$GQ$30:$GW$30,1,Z384))^INT(INT((Z$6-INDEX('Lease Cycles'!$GJ$30:$GP$30,1,Z384))/12)/INDEX('Lease Cycles'!$GX$30:$HD$30,1,Z384))/12,0)))</f>
        <v>0</v>
      </c>
      <c r="AA387" s="28">
        <f>IF(AA384=0,IF('Lease Cycles'!$F$30&gt;0,'Lease Cycles'!$C$30*'Lease Cycles'!$E$30/12,0),IF(AA386=1,IF('Lease Cycles'!$AT$30&gt;=9999,'Lease Cycles'!$C$30*INDEX('Lease Cycles'!$CB$30:$CH$30,1,AA384)*(1+INDEX('Lease Cycles'!$CI$30:$CO$30,1,AA384))^INT(INT(AA385/12)/INDEX('Lease Cycles'!$CP$30:$CV$30,1,AA384))/12,IF(AA384=1,IF(AA385&gt;=INDEX('Lease Cycles'!$DK$30:$DQ$30,1,AA384),IF(AA$6&gt;='Lease Cycles'!$AZ$30,'Lease Cycles'!$C$30*'Lease Cycles'!$BA$30/12,IF(AA$6&gt;='Lease Cycles'!$AX$30,'Lease Cycles'!$C$30*'Lease Cycles'!$AY$30/12,IF(AA$6&gt;='Lease Cycles'!$AV$30,'Lease Cycles'!$C$30*'Lease Cycles'!$AW$30/12,IF(AA$6&gt;='Lease Cycles'!$AT$30,'Lease Cycles'!$C$30*'Lease Cycles'!$AU$30/12,'Lease Cycles'!$C$30*INDEX('Lease Cycles'!$CB$30:$CH$30,1,AA384)*(1+INDEX('Lease Cycles'!$CI$30:$CO$30,1,AA384))^INT(INT(AA385/12)/INDEX('Lease Cycles'!$CP$30:$CV$30,1,AA384))/12)))),'Lease Cycles'!$C$30*INDEX('Lease Cycles'!$CB$30:$CH$30,1,AA384)*(1+INDEX('Lease Cycles'!$CI$30:$CO$30,1,AA384))^INT(INT(AA385/12)/INDEX('Lease Cycles'!$CP$30:$CV$30,1,AA384))/12),IF(INDEX('Lease Cycles'!$EF$30:$EL$30,1,AA384)=1,IF(AND('Lease Cycles'!$AZ$30&gt;=INDEX('Lease Cycles'!$BG$30:$BM$30,1,AA384),'Lease Cycles'!$AZ$30&lt;=AA$6),'Lease Cycles'!$C$30*'Lease Cycles'!$BA$30/12,IF(AND('Lease Cycles'!$AX$30&gt;=INDEX('Lease Cycles'!$BG$30:$BM$30,1,AA384),'Lease Cycles'!$AX$30&lt;=AA$6),'Lease Cycles'!$C$30*'Lease Cycles'!$AY$30/12,IF(AND('Lease Cycles'!$AV$30&gt;=INDEX('Lease Cycles'!$BG$30:$BM$30,1,AA384),'Lease Cycles'!$AV$30&lt;=AA$6),'Lease Cycles'!$C$30*'Lease Cycles'!$AW$30/12,IF(AND('Lease Cycles'!$AT$30&gt;=INDEX('Lease Cycles'!$BG$30:$BM$30,1,AA384),'Lease Cycles'!$AT$30&lt;=AA$6),'Lease Cycles'!$C$30*'Lease Cycles'!$AU$30/12,'Lease Cycles'!$C$30*INDEX('Lease Cycles'!$CB$30:$CH$30,1,AA384)*(1+INDEX('Lease Cycles'!$CI$30:$CO$30,1,AA384))^INT(INT(AA385/12)/INDEX('Lease Cycles'!$CP$30:$CV$30,1,AA384))/12)))),'Lease Cycles'!$C$30*INDEX('Lease Cycles'!$CB$30:$CH$30,1,AA384)*(1+INDEX('Lease Cycles'!$CI$30:$CO$30,1,AA384))^INT(INT(AA385/12)/INDEX('Lease Cycles'!$CP$30:$CV$30,1,AA384))/12))),IF('Lease Cycles'!$N$30=1,'Lease Cycles'!$C$30*'Lease Cycles'!$E$30*INDEX('Lease Cycles'!$HE$30:$HK$30,1,AA384)*(1+INDEX('Lease Cycles'!$GQ$30:$GW$30,1,AA384))^INT(INT((AA$6-INDEX('Lease Cycles'!$GJ$30:$GP$30,1,AA384))/12)/INDEX('Lease Cycles'!$GX$30:$HD$30,1,AA384))/12,0)))</f>
        <v>0</v>
      </c>
      <c r="AB387" s="28">
        <f>IF(AB384=0,IF('Lease Cycles'!$F$30&gt;0,'Lease Cycles'!$C$30*'Lease Cycles'!$E$30/12,0),IF(AB386=1,IF('Lease Cycles'!$AT$30&gt;=9999,'Lease Cycles'!$C$30*INDEX('Lease Cycles'!$CB$30:$CH$30,1,AB384)*(1+INDEX('Lease Cycles'!$CI$30:$CO$30,1,AB384))^INT(INT(AB385/12)/INDEX('Lease Cycles'!$CP$30:$CV$30,1,AB384))/12,IF(AB384=1,IF(AB385&gt;=INDEX('Lease Cycles'!$DK$30:$DQ$30,1,AB384),IF(AB$6&gt;='Lease Cycles'!$AZ$30,'Lease Cycles'!$C$30*'Lease Cycles'!$BA$30/12,IF(AB$6&gt;='Lease Cycles'!$AX$30,'Lease Cycles'!$C$30*'Lease Cycles'!$AY$30/12,IF(AB$6&gt;='Lease Cycles'!$AV$30,'Lease Cycles'!$C$30*'Lease Cycles'!$AW$30/12,IF(AB$6&gt;='Lease Cycles'!$AT$30,'Lease Cycles'!$C$30*'Lease Cycles'!$AU$30/12,'Lease Cycles'!$C$30*INDEX('Lease Cycles'!$CB$30:$CH$30,1,AB384)*(1+INDEX('Lease Cycles'!$CI$30:$CO$30,1,AB384))^INT(INT(AB385/12)/INDEX('Lease Cycles'!$CP$30:$CV$30,1,AB384))/12)))),'Lease Cycles'!$C$30*INDEX('Lease Cycles'!$CB$30:$CH$30,1,AB384)*(1+INDEX('Lease Cycles'!$CI$30:$CO$30,1,AB384))^INT(INT(AB385/12)/INDEX('Lease Cycles'!$CP$30:$CV$30,1,AB384))/12),IF(INDEX('Lease Cycles'!$EF$30:$EL$30,1,AB384)=1,IF(AND('Lease Cycles'!$AZ$30&gt;=INDEX('Lease Cycles'!$BG$30:$BM$30,1,AB384),'Lease Cycles'!$AZ$30&lt;=AB$6),'Lease Cycles'!$C$30*'Lease Cycles'!$BA$30/12,IF(AND('Lease Cycles'!$AX$30&gt;=INDEX('Lease Cycles'!$BG$30:$BM$30,1,AB384),'Lease Cycles'!$AX$30&lt;=AB$6),'Lease Cycles'!$C$30*'Lease Cycles'!$AY$30/12,IF(AND('Lease Cycles'!$AV$30&gt;=INDEX('Lease Cycles'!$BG$30:$BM$30,1,AB384),'Lease Cycles'!$AV$30&lt;=AB$6),'Lease Cycles'!$C$30*'Lease Cycles'!$AW$30/12,IF(AND('Lease Cycles'!$AT$30&gt;=INDEX('Lease Cycles'!$BG$30:$BM$30,1,AB384),'Lease Cycles'!$AT$30&lt;=AB$6),'Lease Cycles'!$C$30*'Lease Cycles'!$AU$30/12,'Lease Cycles'!$C$30*INDEX('Lease Cycles'!$CB$30:$CH$30,1,AB384)*(1+INDEX('Lease Cycles'!$CI$30:$CO$30,1,AB384))^INT(INT(AB385/12)/INDEX('Lease Cycles'!$CP$30:$CV$30,1,AB384))/12)))),'Lease Cycles'!$C$30*INDEX('Lease Cycles'!$CB$30:$CH$30,1,AB384)*(1+INDEX('Lease Cycles'!$CI$30:$CO$30,1,AB384))^INT(INT(AB385/12)/INDEX('Lease Cycles'!$CP$30:$CV$30,1,AB384))/12))),IF('Lease Cycles'!$N$30=1,'Lease Cycles'!$C$30*'Lease Cycles'!$E$30*INDEX('Lease Cycles'!$HE$30:$HK$30,1,AB384)*(1+INDEX('Lease Cycles'!$GQ$30:$GW$30,1,AB384))^INT(INT((AB$6-INDEX('Lease Cycles'!$GJ$30:$GP$30,1,AB384))/12)/INDEX('Lease Cycles'!$GX$30:$HD$30,1,AB384))/12,0)))</f>
        <v>0</v>
      </c>
      <c r="AC387" s="28">
        <f>IF(AC384=0,IF('Lease Cycles'!$F$30&gt;0,'Lease Cycles'!$C$30*'Lease Cycles'!$E$30/12,0),IF(AC386=1,IF('Lease Cycles'!$AT$30&gt;=9999,'Lease Cycles'!$C$30*INDEX('Lease Cycles'!$CB$30:$CH$30,1,AC384)*(1+INDEX('Lease Cycles'!$CI$30:$CO$30,1,AC384))^INT(INT(AC385/12)/INDEX('Lease Cycles'!$CP$30:$CV$30,1,AC384))/12,IF(AC384=1,IF(AC385&gt;=INDEX('Lease Cycles'!$DK$30:$DQ$30,1,AC384),IF(AC$6&gt;='Lease Cycles'!$AZ$30,'Lease Cycles'!$C$30*'Lease Cycles'!$BA$30/12,IF(AC$6&gt;='Lease Cycles'!$AX$30,'Lease Cycles'!$C$30*'Lease Cycles'!$AY$30/12,IF(AC$6&gt;='Lease Cycles'!$AV$30,'Lease Cycles'!$C$30*'Lease Cycles'!$AW$30/12,IF(AC$6&gt;='Lease Cycles'!$AT$30,'Lease Cycles'!$C$30*'Lease Cycles'!$AU$30/12,'Lease Cycles'!$C$30*INDEX('Lease Cycles'!$CB$30:$CH$30,1,AC384)*(1+INDEX('Lease Cycles'!$CI$30:$CO$30,1,AC384))^INT(INT(AC385/12)/INDEX('Lease Cycles'!$CP$30:$CV$30,1,AC384))/12)))),'Lease Cycles'!$C$30*INDEX('Lease Cycles'!$CB$30:$CH$30,1,AC384)*(1+INDEX('Lease Cycles'!$CI$30:$CO$30,1,AC384))^INT(INT(AC385/12)/INDEX('Lease Cycles'!$CP$30:$CV$30,1,AC384))/12),IF(INDEX('Lease Cycles'!$EF$30:$EL$30,1,AC384)=1,IF(AND('Lease Cycles'!$AZ$30&gt;=INDEX('Lease Cycles'!$BG$30:$BM$30,1,AC384),'Lease Cycles'!$AZ$30&lt;=AC$6),'Lease Cycles'!$C$30*'Lease Cycles'!$BA$30/12,IF(AND('Lease Cycles'!$AX$30&gt;=INDEX('Lease Cycles'!$BG$30:$BM$30,1,AC384),'Lease Cycles'!$AX$30&lt;=AC$6),'Lease Cycles'!$C$30*'Lease Cycles'!$AY$30/12,IF(AND('Lease Cycles'!$AV$30&gt;=INDEX('Lease Cycles'!$BG$30:$BM$30,1,AC384),'Lease Cycles'!$AV$30&lt;=AC$6),'Lease Cycles'!$C$30*'Lease Cycles'!$AW$30/12,IF(AND('Lease Cycles'!$AT$30&gt;=INDEX('Lease Cycles'!$BG$30:$BM$30,1,AC384),'Lease Cycles'!$AT$30&lt;=AC$6),'Lease Cycles'!$C$30*'Lease Cycles'!$AU$30/12,'Lease Cycles'!$C$30*INDEX('Lease Cycles'!$CB$30:$CH$30,1,AC384)*(1+INDEX('Lease Cycles'!$CI$30:$CO$30,1,AC384))^INT(INT(AC385/12)/INDEX('Lease Cycles'!$CP$30:$CV$30,1,AC384))/12)))),'Lease Cycles'!$C$30*INDEX('Lease Cycles'!$CB$30:$CH$30,1,AC384)*(1+INDEX('Lease Cycles'!$CI$30:$CO$30,1,AC384))^INT(INT(AC385/12)/INDEX('Lease Cycles'!$CP$30:$CV$30,1,AC384))/12))),IF('Lease Cycles'!$N$30=1,'Lease Cycles'!$C$30*'Lease Cycles'!$E$30*INDEX('Lease Cycles'!$HE$30:$HK$30,1,AC384)*(1+INDEX('Lease Cycles'!$GQ$30:$GW$30,1,AC384))^INT(INT((AC$6-INDEX('Lease Cycles'!$GJ$30:$GP$30,1,AC384))/12)/INDEX('Lease Cycles'!$GX$30:$HD$30,1,AC384))/12,0)))</f>
        <v>0</v>
      </c>
      <c r="AD387" s="28">
        <f>IF(AD384=0,IF('Lease Cycles'!$F$30&gt;0,'Lease Cycles'!$C$30*'Lease Cycles'!$E$30/12,0),IF(AD386=1,IF('Lease Cycles'!$AT$30&gt;=9999,'Lease Cycles'!$C$30*INDEX('Lease Cycles'!$CB$30:$CH$30,1,AD384)*(1+INDEX('Lease Cycles'!$CI$30:$CO$30,1,AD384))^INT(INT(AD385/12)/INDEX('Lease Cycles'!$CP$30:$CV$30,1,AD384))/12,IF(AD384=1,IF(AD385&gt;=INDEX('Lease Cycles'!$DK$30:$DQ$30,1,AD384),IF(AD$6&gt;='Lease Cycles'!$AZ$30,'Lease Cycles'!$C$30*'Lease Cycles'!$BA$30/12,IF(AD$6&gt;='Lease Cycles'!$AX$30,'Lease Cycles'!$C$30*'Lease Cycles'!$AY$30/12,IF(AD$6&gt;='Lease Cycles'!$AV$30,'Lease Cycles'!$C$30*'Lease Cycles'!$AW$30/12,IF(AD$6&gt;='Lease Cycles'!$AT$30,'Lease Cycles'!$C$30*'Lease Cycles'!$AU$30/12,'Lease Cycles'!$C$30*INDEX('Lease Cycles'!$CB$30:$CH$30,1,AD384)*(1+INDEX('Lease Cycles'!$CI$30:$CO$30,1,AD384))^INT(INT(AD385/12)/INDEX('Lease Cycles'!$CP$30:$CV$30,1,AD384))/12)))),'Lease Cycles'!$C$30*INDEX('Lease Cycles'!$CB$30:$CH$30,1,AD384)*(1+INDEX('Lease Cycles'!$CI$30:$CO$30,1,AD384))^INT(INT(AD385/12)/INDEX('Lease Cycles'!$CP$30:$CV$30,1,AD384))/12),IF(INDEX('Lease Cycles'!$EF$30:$EL$30,1,AD384)=1,IF(AND('Lease Cycles'!$AZ$30&gt;=INDEX('Lease Cycles'!$BG$30:$BM$30,1,AD384),'Lease Cycles'!$AZ$30&lt;=AD$6),'Lease Cycles'!$C$30*'Lease Cycles'!$BA$30/12,IF(AND('Lease Cycles'!$AX$30&gt;=INDEX('Lease Cycles'!$BG$30:$BM$30,1,AD384),'Lease Cycles'!$AX$30&lt;=AD$6),'Lease Cycles'!$C$30*'Lease Cycles'!$AY$30/12,IF(AND('Lease Cycles'!$AV$30&gt;=INDEX('Lease Cycles'!$BG$30:$BM$30,1,AD384),'Lease Cycles'!$AV$30&lt;=AD$6),'Lease Cycles'!$C$30*'Lease Cycles'!$AW$30/12,IF(AND('Lease Cycles'!$AT$30&gt;=INDEX('Lease Cycles'!$BG$30:$BM$30,1,AD384),'Lease Cycles'!$AT$30&lt;=AD$6),'Lease Cycles'!$C$30*'Lease Cycles'!$AU$30/12,'Lease Cycles'!$C$30*INDEX('Lease Cycles'!$CB$30:$CH$30,1,AD384)*(1+INDEX('Lease Cycles'!$CI$30:$CO$30,1,AD384))^INT(INT(AD385/12)/INDEX('Lease Cycles'!$CP$30:$CV$30,1,AD384))/12)))),'Lease Cycles'!$C$30*INDEX('Lease Cycles'!$CB$30:$CH$30,1,AD384)*(1+INDEX('Lease Cycles'!$CI$30:$CO$30,1,AD384))^INT(INT(AD385/12)/INDEX('Lease Cycles'!$CP$30:$CV$30,1,AD384))/12))),IF('Lease Cycles'!$N$30=1,'Lease Cycles'!$C$30*'Lease Cycles'!$E$30*INDEX('Lease Cycles'!$HE$30:$HK$30,1,AD384)*(1+INDEX('Lease Cycles'!$GQ$30:$GW$30,1,AD384))^INT(INT((AD$6-INDEX('Lease Cycles'!$GJ$30:$GP$30,1,AD384))/12)/INDEX('Lease Cycles'!$GX$30:$HD$30,1,AD384))/12,0)))</f>
        <v>0</v>
      </c>
      <c r="AE387" s="28">
        <f>IF(AE384=0,IF('Lease Cycles'!$F$30&gt;0,'Lease Cycles'!$C$30*'Lease Cycles'!$E$30/12,0),IF(AE386=1,IF('Lease Cycles'!$AT$30&gt;=9999,'Lease Cycles'!$C$30*INDEX('Lease Cycles'!$CB$30:$CH$30,1,AE384)*(1+INDEX('Lease Cycles'!$CI$30:$CO$30,1,AE384))^INT(INT(AE385/12)/INDEX('Lease Cycles'!$CP$30:$CV$30,1,AE384))/12,IF(AE384=1,IF(AE385&gt;=INDEX('Lease Cycles'!$DK$30:$DQ$30,1,AE384),IF(AE$6&gt;='Lease Cycles'!$AZ$30,'Lease Cycles'!$C$30*'Lease Cycles'!$BA$30/12,IF(AE$6&gt;='Lease Cycles'!$AX$30,'Lease Cycles'!$C$30*'Lease Cycles'!$AY$30/12,IF(AE$6&gt;='Lease Cycles'!$AV$30,'Lease Cycles'!$C$30*'Lease Cycles'!$AW$30/12,IF(AE$6&gt;='Lease Cycles'!$AT$30,'Lease Cycles'!$C$30*'Lease Cycles'!$AU$30/12,'Lease Cycles'!$C$30*INDEX('Lease Cycles'!$CB$30:$CH$30,1,AE384)*(1+INDEX('Lease Cycles'!$CI$30:$CO$30,1,AE384))^INT(INT(AE385/12)/INDEX('Lease Cycles'!$CP$30:$CV$30,1,AE384))/12)))),'Lease Cycles'!$C$30*INDEX('Lease Cycles'!$CB$30:$CH$30,1,AE384)*(1+INDEX('Lease Cycles'!$CI$30:$CO$30,1,AE384))^INT(INT(AE385/12)/INDEX('Lease Cycles'!$CP$30:$CV$30,1,AE384))/12),IF(INDEX('Lease Cycles'!$EF$30:$EL$30,1,AE384)=1,IF(AND('Lease Cycles'!$AZ$30&gt;=INDEX('Lease Cycles'!$BG$30:$BM$30,1,AE384),'Lease Cycles'!$AZ$30&lt;=AE$6),'Lease Cycles'!$C$30*'Lease Cycles'!$BA$30/12,IF(AND('Lease Cycles'!$AX$30&gt;=INDEX('Lease Cycles'!$BG$30:$BM$30,1,AE384),'Lease Cycles'!$AX$30&lt;=AE$6),'Lease Cycles'!$C$30*'Lease Cycles'!$AY$30/12,IF(AND('Lease Cycles'!$AV$30&gt;=INDEX('Lease Cycles'!$BG$30:$BM$30,1,AE384),'Lease Cycles'!$AV$30&lt;=AE$6),'Lease Cycles'!$C$30*'Lease Cycles'!$AW$30/12,IF(AND('Lease Cycles'!$AT$30&gt;=INDEX('Lease Cycles'!$BG$30:$BM$30,1,AE384),'Lease Cycles'!$AT$30&lt;=AE$6),'Lease Cycles'!$C$30*'Lease Cycles'!$AU$30/12,'Lease Cycles'!$C$30*INDEX('Lease Cycles'!$CB$30:$CH$30,1,AE384)*(1+INDEX('Lease Cycles'!$CI$30:$CO$30,1,AE384))^INT(INT(AE385/12)/INDEX('Lease Cycles'!$CP$30:$CV$30,1,AE384))/12)))),'Lease Cycles'!$C$30*INDEX('Lease Cycles'!$CB$30:$CH$30,1,AE384)*(1+INDEX('Lease Cycles'!$CI$30:$CO$30,1,AE384))^INT(INT(AE385/12)/INDEX('Lease Cycles'!$CP$30:$CV$30,1,AE384))/12))),IF('Lease Cycles'!$N$30=1,'Lease Cycles'!$C$30*'Lease Cycles'!$E$30*INDEX('Lease Cycles'!$HE$30:$HK$30,1,AE384)*(1+INDEX('Lease Cycles'!$GQ$30:$GW$30,1,AE384))^INT(INT((AE$6-INDEX('Lease Cycles'!$GJ$30:$GP$30,1,AE384))/12)/INDEX('Lease Cycles'!$GX$30:$HD$30,1,AE384))/12,0)))</f>
        <v>0</v>
      </c>
      <c r="AF387" s="28">
        <f>IF(AF384=0,IF('Lease Cycles'!$F$30&gt;0,'Lease Cycles'!$C$30*'Lease Cycles'!$E$30/12,0),IF(AF386=1,IF('Lease Cycles'!$AT$30&gt;=9999,'Lease Cycles'!$C$30*INDEX('Lease Cycles'!$CB$30:$CH$30,1,AF384)*(1+INDEX('Lease Cycles'!$CI$30:$CO$30,1,AF384))^INT(INT(AF385/12)/INDEX('Lease Cycles'!$CP$30:$CV$30,1,AF384))/12,IF(AF384=1,IF(AF385&gt;=INDEX('Lease Cycles'!$DK$30:$DQ$30,1,AF384),IF(AF$6&gt;='Lease Cycles'!$AZ$30,'Lease Cycles'!$C$30*'Lease Cycles'!$BA$30/12,IF(AF$6&gt;='Lease Cycles'!$AX$30,'Lease Cycles'!$C$30*'Lease Cycles'!$AY$30/12,IF(AF$6&gt;='Lease Cycles'!$AV$30,'Lease Cycles'!$C$30*'Lease Cycles'!$AW$30/12,IF(AF$6&gt;='Lease Cycles'!$AT$30,'Lease Cycles'!$C$30*'Lease Cycles'!$AU$30/12,'Lease Cycles'!$C$30*INDEX('Lease Cycles'!$CB$30:$CH$30,1,AF384)*(1+INDEX('Lease Cycles'!$CI$30:$CO$30,1,AF384))^INT(INT(AF385/12)/INDEX('Lease Cycles'!$CP$30:$CV$30,1,AF384))/12)))),'Lease Cycles'!$C$30*INDEX('Lease Cycles'!$CB$30:$CH$30,1,AF384)*(1+INDEX('Lease Cycles'!$CI$30:$CO$30,1,AF384))^INT(INT(AF385/12)/INDEX('Lease Cycles'!$CP$30:$CV$30,1,AF384))/12),IF(INDEX('Lease Cycles'!$EF$30:$EL$30,1,AF384)=1,IF(AND('Lease Cycles'!$AZ$30&gt;=INDEX('Lease Cycles'!$BG$30:$BM$30,1,AF384),'Lease Cycles'!$AZ$30&lt;=AF$6),'Lease Cycles'!$C$30*'Lease Cycles'!$BA$30/12,IF(AND('Lease Cycles'!$AX$30&gt;=INDEX('Lease Cycles'!$BG$30:$BM$30,1,AF384),'Lease Cycles'!$AX$30&lt;=AF$6),'Lease Cycles'!$C$30*'Lease Cycles'!$AY$30/12,IF(AND('Lease Cycles'!$AV$30&gt;=INDEX('Lease Cycles'!$BG$30:$BM$30,1,AF384),'Lease Cycles'!$AV$30&lt;=AF$6),'Lease Cycles'!$C$30*'Lease Cycles'!$AW$30/12,IF(AND('Lease Cycles'!$AT$30&gt;=INDEX('Lease Cycles'!$BG$30:$BM$30,1,AF384),'Lease Cycles'!$AT$30&lt;=AF$6),'Lease Cycles'!$C$30*'Lease Cycles'!$AU$30/12,'Lease Cycles'!$C$30*INDEX('Lease Cycles'!$CB$30:$CH$30,1,AF384)*(1+INDEX('Lease Cycles'!$CI$30:$CO$30,1,AF384))^INT(INT(AF385/12)/INDEX('Lease Cycles'!$CP$30:$CV$30,1,AF384))/12)))),'Lease Cycles'!$C$30*INDEX('Lease Cycles'!$CB$30:$CH$30,1,AF384)*(1+INDEX('Lease Cycles'!$CI$30:$CO$30,1,AF384))^INT(INT(AF385/12)/INDEX('Lease Cycles'!$CP$30:$CV$30,1,AF384))/12))),IF('Lease Cycles'!$N$30=1,'Lease Cycles'!$C$30*'Lease Cycles'!$E$30*INDEX('Lease Cycles'!$HE$30:$HK$30,1,AF384)*(1+INDEX('Lease Cycles'!$GQ$30:$GW$30,1,AF384))^INT(INT((AF$6-INDEX('Lease Cycles'!$GJ$30:$GP$30,1,AF384))/12)/INDEX('Lease Cycles'!$GX$30:$HD$30,1,AF384))/12,0)))</f>
        <v>0</v>
      </c>
      <c r="AG387" s="28">
        <f>IF(AG384=0,IF('Lease Cycles'!$F$30&gt;0,'Lease Cycles'!$C$30*'Lease Cycles'!$E$30/12,0),IF(AG386=1,IF('Lease Cycles'!$AT$30&gt;=9999,'Lease Cycles'!$C$30*INDEX('Lease Cycles'!$CB$30:$CH$30,1,AG384)*(1+INDEX('Lease Cycles'!$CI$30:$CO$30,1,AG384))^INT(INT(AG385/12)/INDEX('Lease Cycles'!$CP$30:$CV$30,1,AG384))/12,IF(AG384=1,IF(AG385&gt;=INDEX('Lease Cycles'!$DK$30:$DQ$30,1,AG384),IF(AG$6&gt;='Lease Cycles'!$AZ$30,'Lease Cycles'!$C$30*'Lease Cycles'!$BA$30/12,IF(AG$6&gt;='Lease Cycles'!$AX$30,'Lease Cycles'!$C$30*'Lease Cycles'!$AY$30/12,IF(AG$6&gt;='Lease Cycles'!$AV$30,'Lease Cycles'!$C$30*'Lease Cycles'!$AW$30/12,IF(AG$6&gt;='Lease Cycles'!$AT$30,'Lease Cycles'!$C$30*'Lease Cycles'!$AU$30/12,'Lease Cycles'!$C$30*INDEX('Lease Cycles'!$CB$30:$CH$30,1,AG384)*(1+INDEX('Lease Cycles'!$CI$30:$CO$30,1,AG384))^INT(INT(AG385/12)/INDEX('Lease Cycles'!$CP$30:$CV$30,1,AG384))/12)))),'Lease Cycles'!$C$30*INDEX('Lease Cycles'!$CB$30:$CH$30,1,AG384)*(1+INDEX('Lease Cycles'!$CI$30:$CO$30,1,AG384))^INT(INT(AG385/12)/INDEX('Lease Cycles'!$CP$30:$CV$30,1,AG384))/12),IF(INDEX('Lease Cycles'!$EF$30:$EL$30,1,AG384)=1,IF(AND('Lease Cycles'!$AZ$30&gt;=INDEX('Lease Cycles'!$BG$30:$BM$30,1,AG384),'Lease Cycles'!$AZ$30&lt;=AG$6),'Lease Cycles'!$C$30*'Lease Cycles'!$BA$30/12,IF(AND('Lease Cycles'!$AX$30&gt;=INDEX('Lease Cycles'!$BG$30:$BM$30,1,AG384),'Lease Cycles'!$AX$30&lt;=AG$6),'Lease Cycles'!$C$30*'Lease Cycles'!$AY$30/12,IF(AND('Lease Cycles'!$AV$30&gt;=INDEX('Lease Cycles'!$BG$30:$BM$30,1,AG384),'Lease Cycles'!$AV$30&lt;=AG$6),'Lease Cycles'!$C$30*'Lease Cycles'!$AW$30/12,IF(AND('Lease Cycles'!$AT$30&gt;=INDEX('Lease Cycles'!$BG$30:$BM$30,1,AG384),'Lease Cycles'!$AT$30&lt;=AG$6),'Lease Cycles'!$C$30*'Lease Cycles'!$AU$30/12,'Lease Cycles'!$C$30*INDEX('Lease Cycles'!$CB$30:$CH$30,1,AG384)*(1+INDEX('Lease Cycles'!$CI$30:$CO$30,1,AG384))^INT(INT(AG385/12)/INDEX('Lease Cycles'!$CP$30:$CV$30,1,AG384))/12)))),'Lease Cycles'!$C$30*INDEX('Lease Cycles'!$CB$30:$CH$30,1,AG384)*(1+INDEX('Lease Cycles'!$CI$30:$CO$30,1,AG384))^INT(INT(AG385/12)/INDEX('Lease Cycles'!$CP$30:$CV$30,1,AG384))/12))),IF('Lease Cycles'!$N$30=1,'Lease Cycles'!$C$30*'Lease Cycles'!$E$30*INDEX('Lease Cycles'!$HE$30:$HK$30,1,AG384)*(1+INDEX('Lease Cycles'!$GQ$30:$GW$30,1,AG384))^INT(INT((AG$6-INDEX('Lease Cycles'!$GJ$30:$GP$30,1,AG384))/12)/INDEX('Lease Cycles'!$GX$30:$HD$30,1,AG384))/12,0)))</f>
        <v>0</v>
      </c>
      <c r="AH387" s="28">
        <f>IF(AH384=0,IF('Lease Cycles'!$F$30&gt;0,'Lease Cycles'!$C$30*'Lease Cycles'!$E$30/12,0),IF(AH386=1,IF('Lease Cycles'!$AT$30&gt;=9999,'Lease Cycles'!$C$30*INDEX('Lease Cycles'!$CB$30:$CH$30,1,AH384)*(1+INDEX('Lease Cycles'!$CI$30:$CO$30,1,AH384))^INT(INT(AH385/12)/INDEX('Lease Cycles'!$CP$30:$CV$30,1,AH384))/12,IF(AH384=1,IF(AH385&gt;=INDEX('Lease Cycles'!$DK$30:$DQ$30,1,AH384),IF(AH$6&gt;='Lease Cycles'!$AZ$30,'Lease Cycles'!$C$30*'Lease Cycles'!$BA$30/12,IF(AH$6&gt;='Lease Cycles'!$AX$30,'Lease Cycles'!$C$30*'Lease Cycles'!$AY$30/12,IF(AH$6&gt;='Lease Cycles'!$AV$30,'Lease Cycles'!$C$30*'Lease Cycles'!$AW$30/12,IF(AH$6&gt;='Lease Cycles'!$AT$30,'Lease Cycles'!$C$30*'Lease Cycles'!$AU$30/12,'Lease Cycles'!$C$30*INDEX('Lease Cycles'!$CB$30:$CH$30,1,AH384)*(1+INDEX('Lease Cycles'!$CI$30:$CO$30,1,AH384))^INT(INT(AH385/12)/INDEX('Lease Cycles'!$CP$30:$CV$30,1,AH384))/12)))),'Lease Cycles'!$C$30*INDEX('Lease Cycles'!$CB$30:$CH$30,1,AH384)*(1+INDEX('Lease Cycles'!$CI$30:$CO$30,1,AH384))^INT(INT(AH385/12)/INDEX('Lease Cycles'!$CP$30:$CV$30,1,AH384))/12),IF(INDEX('Lease Cycles'!$EF$30:$EL$30,1,AH384)=1,IF(AND('Lease Cycles'!$AZ$30&gt;=INDEX('Lease Cycles'!$BG$30:$BM$30,1,AH384),'Lease Cycles'!$AZ$30&lt;=AH$6),'Lease Cycles'!$C$30*'Lease Cycles'!$BA$30/12,IF(AND('Lease Cycles'!$AX$30&gt;=INDEX('Lease Cycles'!$BG$30:$BM$30,1,AH384),'Lease Cycles'!$AX$30&lt;=AH$6),'Lease Cycles'!$C$30*'Lease Cycles'!$AY$30/12,IF(AND('Lease Cycles'!$AV$30&gt;=INDEX('Lease Cycles'!$BG$30:$BM$30,1,AH384),'Lease Cycles'!$AV$30&lt;=AH$6),'Lease Cycles'!$C$30*'Lease Cycles'!$AW$30/12,IF(AND('Lease Cycles'!$AT$30&gt;=INDEX('Lease Cycles'!$BG$30:$BM$30,1,AH384),'Lease Cycles'!$AT$30&lt;=AH$6),'Lease Cycles'!$C$30*'Lease Cycles'!$AU$30/12,'Lease Cycles'!$C$30*INDEX('Lease Cycles'!$CB$30:$CH$30,1,AH384)*(1+INDEX('Lease Cycles'!$CI$30:$CO$30,1,AH384))^INT(INT(AH385/12)/INDEX('Lease Cycles'!$CP$30:$CV$30,1,AH384))/12)))),'Lease Cycles'!$C$30*INDEX('Lease Cycles'!$CB$30:$CH$30,1,AH384)*(1+INDEX('Lease Cycles'!$CI$30:$CO$30,1,AH384))^INT(INT(AH385/12)/INDEX('Lease Cycles'!$CP$30:$CV$30,1,AH384))/12))),IF('Lease Cycles'!$N$30=1,'Lease Cycles'!$C$30*'Lease Cycles'!$E$30*INDEX('Lease Cycles'!$HE$30:$HK$30,1,AH384)*(1+INDEX('Lease Cycles'!$GQ$30:$GW$30,1,AH384))^INT(INT((AH$6-INDEX('Lease Cycles'!$GJ$30:$GP$30,1,AH384))/12)/INDEX('Lease Cycles'!$GX$30:$HD$30,1,AH384))/12,0)))</f>
        <v>0</v>
      </c>
      <c r="AI387" s="28">
        <f>IF(AI384=0,IF('Lease Cycles'!$F$30&gt;0,'Lease Cycles'!$C$30*'Lease Cycles'!$E$30/12,0),IF(AI386=1,IF('Lease Cycles'!$AT$30&gt;=9999,'Lease Cycles'!$C$30*INDEX('Lease Cycles'!$CB$30:$CH$30,1,AI384)*(1+INDEX('Lease Cycles'!$CI$30:$CO$30,1,AI384))^INT(INT(AI385/12)/INDEX('Lease Cycles'!$CP$30:$CV$30,1,AI384))/12,IF(AI384=1,IF(AI385&gt;=INDEX('Lease Cycles'!$DK$30:$DQ$30,1,AI384),IF(AI$6&gt;='Lease Cycles'!$AZ$30,'Lease Cycles'!$C$30*'Lease Cycles'!$BA$30/12,IF(AI$6&gt;='Lease Cycles'!$AX$30,'Lease Cycles'!$C$30*'Lease Cycles'!$AY$30/12,IF(AI$6&gt;='Lease Cycles'!$AV$30,'Lease Cycles'!$C$30*'Lease Cycles'!$AW$30/12,IF(AI$6&gt;='Lease Cycles'!$AT$30,'Lease Cycles'!$C$30*'Lease Cycles'!$AU$30/12,'Lease Cycles'!$C$30*INDEX('Lease Cycles'!$CB$30:$CH$30,1,AI384)*(1+INDEX('Lease Cycles'!$CI$30:$CO$30,1,AI384))^INT(INT(AI385/12)/INDEX('Lease Cycles'!$CP$30:$CV$30,1,AI384))/12)))),'Lease Cycles'!$C$30*INDEX('Lease Cycles'!$CB$30:$CH$30,1,AI384)*(1+INDEX('Lease Cycles'!$CI$30:$CO$30,1,AI384))^INT(INT(AI385/12)/INDEX('Lease Cycles'!$CP$30:$CV$30,1,AI384))/12),IF(INDEX('Lease Cycles'!$EF$30:$EL$30,1,AI384)=1,IF(AND('Lease Cycles'!$AZ$30&gt;=INDEX('Lease Cycles'!$BG$30:$BM$30,1,AI384),'Lease Cycles'!$AZ$30&lt;=AI$6),'Lease Cycles'!$C$30*'Lease Cycles'!$BA$30/12,IF(AND('Lease Cycles'!$AX$30&gt;=INDEX('Lease Cycles'!$BG$30:$BM$30,1,AI384),'Lease Cycles'!$AX$30&lt;=AI$6),'Lease Cycles'!$C$30*'Lease Cycles'!$AY$30/12,IF(AND('Lease Cycles'!$AV$30&gt;=INDEX('Lease Cycles'!$BG$30:$BM$30,1,AI384),'Lease Cycles'!$AV$30&lt;=AI$6),'Lease Cycles'!$C$30*'Lease Cycles'!$AW$30/12,IF(AND('Lease Cycles'!$AT$30&gt;=INDEX('Lease Cycles'!$BG$30:$BM$30,1,AI384),'Lease Cycles'!$AT$30&lt;=AI$6),'Lease Cycles'!$C$30*'Lease Cycles'!$AU$30/12,'Lease Cycles'!$C$30*INDEX('Lease Cycles'!$CB$30:$CH$30,1,AI384)*(1+INDEX('Lease Cycles'!$CI$30:$CO$30,1,AI384))^INT(INT(AI385/12)/INDEX('Lease Cycles'!$CP$30:$CV$30,1,AI384))/12)))),'Lease Cycles'!$C$30*INDEX('Lease Cycles'!$CB$30:$CH$30,1,AI384)*(1+INDEX('Lease Cycles'!$CI$30:$CO$30,1,AI384))^INT(INT(AI385/12)/INDEX('Lease Cycles'!$CP$30:$CV$30,1,AI384))/12))),IF('Lease Cycles'!$N$30=1,'Lease Cycles'!$C$30*'Lease Cycles'!$E$30*INDEX('Lease Cycles'!$HE$30:$HK$30,1,AI384)*(1+INDEX('Lease Cycles'!$GQ$30:$GW$30,1,AI384))^INT(INT((AI$6-INDEX('Lease Cycles'!$GJ$30:$GP$30,1,AI384))/12)/INDEX('Lease Cycles'!$GX$30:$HD$30,1,AI384))/12,0)))</f>
        <v>0</v>
      </c>
      <c r="AJ387" s="28">
        <f>IF(AJ384=0,IF('Lease Cycles'!$F$30&gt;0,'Lease Cycles'!$C$30*'Lease Cycles'!$E$30/12,0),IF(AJ386=1,IF('Lease Cycles'!$AT$30&gt;=9999,'Lease Cycles'!$C$30*INDEX('Lease Cycles'!$CB$30:$CH$30,1,AJ384)*(1+INDEX('Lease Cycles'!$CI$30:$CO$30,1,AJ384))^INT(INT(AJ385/12)/INDEX('Lease Cycles'!$CP$30:$CV$30,1,AJ384))/12,IF(AJ384=1,IF(AJ385&gt;=INDEX('Lease Cycles'!$DK$30:$DQ$30,1,AJ384),IF(AJ$6&gt;='Lease Cycles'!$AZ$30,'Lease Cycles'!$C$30*'Lease Cycles'!$BA$30/12,IF(AJ$6&gt;='Lease Cycles'!$AX$30,'Lease Cycles'!$C$30*'Lease Cycles'!$AY$30/12,IF(AJ$6&gt;='Lease Cycles'!$AV$30,'Lease Cycles'!$C$30*'Lease Cycles'!$AW$30/12,IF(AJ$6&gt;='Lease Cycles'!$AT$30,'Lease Cycles'!$C$30*'Lease Cycles'!$AU$30/12,'Lease Cycles'!$C$30*INDEX('Lease Cycles'!$CB$30:$CH$30,1,AJ384)*(1+INDEX('Lease Cycles'!$CI$30:$CO$30,1,AJ384))^INT(INT(AJ385/12)/INDEX('Lease Cycles'!$CP$30:$CV$30,1,AJ384))/12)))),'Lease Cycles'!$C$30*INDEX('Lease Cycles'!$CB$30:$CH$30,1,AJ384)*(1+INDEX('Lease Cycles'!$CI$30:$CO$30,1,AJ384))^INT(INT(AJ385/12)/INDEX('Lease Cycles'!$CP$30:$CV$30,1,AJ384))/12),IF(INDEX('Lease Cycles'!$EF$30:$EL$30,1,AJ384)=1,IF(AND('Lease Cycles'!$AZ$30&gt;=INDEX('Lease Cycles'!$BG$30:$BM$30,1,AJ384),'Lease Cycles'!$AZ$30&lt;=AJ$6),'Lease Cycles'!$C$30*'Lease Cycles'!$BA$30/12,IF(AND('Lease Cycles'!$AX$30&gt;=INDEX('Lease Cycles'!$BG$30:$BM$30,1,AJ384),'Lease Cycles'!$AX$30&lt;=AJ$6),'Lease Cycles'!$C$30*'Lease Cycles'!$AY$30/12,IF(AND('Lease Cycles'!$AV$30&gt;=INDEX('Lease Cycles'!$BG$30:$BM$30,1,AJ384),'Lease Cycles'!$AV$30&lt;=AJ$6),'Lease Cycles'!$C$30*'Lease Cycles'!$AW$30/12,IF(AND('Lease Cycles'!$AT$30&gt;=INDEX('Lease Cycles'!$BG$30:$BM$30,1,AJ384),'Lease Cycles'!$AT$30&lt;=AJ$6),'Lease Cycles'!$C$30*'Lease Cycles'!$AU$30/12,'Lease Cycles'!$C$30*INDEX('Lease Cycles'!$CB$30:$CH$30,1,AJ384)*(1+INDEX('Lease Cycles'!$CI$30:$CO$30,1,AJ384))^INT(INT(AJ385/12)/INDEX('Lease Cycles'!$CP$30:$CV$30,1,AJ384))/12)))),'Lease Cycles'!$C$30*INDEX('Lease Cycles'!$CB$30:$CH$30,1,AJ384)*(1+INDEX('Lease Cycles'!$CI$30:$CO$30,1,AJ384))^INT(INT(AJ385/12)/INDEX('Lease Cycles'!$CP$30:$CV$30,1,AJ384))/12))),IF('Lease Cycles'!$N$30=1,'Lease Cycles'!$C$30*'Lease Cycles'!$E$30*INDEX('Lease Cycles'!$HE$30:$HK$30,1,AJ384)*(1+INDEX('Lease Cycles'!$GQ$30:$GW$30,1,AJ384))^INT(INT((AJ$6-INDEX('Lease Cycles'!$GJ$30:$GP$30,1,AJ384))/12)/INDEX('Lease Cycles'!$GX$30:$HD$30,1,AJ384))/12,0)))</f>
        <v>0</v>
      </c>
      <c r="AK387" s="28">
        <f>IF(AK384=0,IF('Lease Cycles'!$F$30&gt;0,'Lease Cycles'!$C$30*'Lease Cycles'!$E$30/12,0),IF(AK386=1,IF('Lease Cycles'!$AT$30&gt;=9999,'Lease Cycles'!$C$30*INDEX('Lease Cycles'!$CB$30:$CH$30,1,AK384)*(1+INDEX('Lease Cycles'!$CI$30:$CO$30,1,AK384))^INT(INT(AK385/12)/INDEX('Lease Cycles'!$CP$30:$CV$30,1,AK384))/12,IF(AK384=1,IF(AK385&gt;=INDEX('Lease Cycles'!$DK$30:$DQ$30,1,AK384),IF(AK$6&gt;='Lease Cycles'!$AZ$30,'Lease Cycles'!$C$30*'Lease Cycles'!$BA$30/12,IF(AK$6&gt;='Lease Cycles'!$AX$30,'Lease Cycles'!$C$30*'Lease Cycles'!$AY$30/12,IF(AK$6&gt;='Lease Cycles'!$AV$30,'Lease Cycles'!$C$30*'Lease Cycles'!$AW$30/12,IF(AK$6&gt;='Lease Cycles'!$AT$30,'Lease Cycles'!$C$30*'Lease Cycles'!$AU$30/12,'Lease Cycles'!$C$30*INDEX('Lease Cycles'!$CB$30:$CH$30,1,AK384)*(1+INDEX('Lease Cycles'!$CI$30:$CO$30,1,AK384))^INT(INT(AK385/12)/INDEX('Lease Cycles'!$CP$30:$CV$30,1,AK384))/12)))),'Lease Cycles'!$C$30*INDEX('Lease Cycles'!$CB$30:$CH$30,1,AK384)*(1+INDEX('Lease Cycles'!$CI$30:$CO$30,1,AK384))^INT(INT(AK385/12)/INDEX('Lease Cycles'!$CP$30:$CV$30,1,AK384))/12),IF(INDEX('Lease Cycles'!$EF$30:$EL$30,1,AK384)=1,IF(AND('Lease Cycles'!$AZ$30&gt;=INDEX('Lease Cycles'!$BG$30:$BM$30,1,AK384),'Lease Cycles'!$AZ$30&lt;=AK$6),'Lease Cycles'!$C$30*'Lease Cycles'!$BA$30/12,IF(AND('Lease Cycles'!$AX$30&gt;=INDEX('Lease Cycles'!$BG$30:$BM$30,1,AK384),'Lease Cycles'!$AX$30&lt;=AK$6),'Lease Cycles'!$C$30*'Lease Cycles'!$AY$30/12,IF(AND('Lease Cycles'!$AV$30&gt;=INDEX('Lease Cycles'!$BG$30:$BM$30,1,AK384),'Lease Cycles'!$AV$30&lt;=AK$6),'Lease Cycles'!$C$30*'Lease Cycles'!$AW$30/12,IF(AND('Lease Cycles'!$AT$30&gt;=INDEX('Lease Cycles'!$BG$30:$BM$30,1,AK384),'Lease Cycles'!$AT$30&lt;=AK$6),'Lease Cycles'!$C$30*'Lease Cycles'!$AU$30/12,'Lease Cycles'!$C$30*INDEX('Lease Cycles'!$CB$30:$CH$30,1,AK384)*(1+INDEX('Lease Cycles'!$CI$30:$CO$30,1,AK384))^INT(INT(AK385/12)/INDEX('Lease Cycles'!$CP$30:$CV$30,1,AK384))/12)))),'Lease Cycles'!$C$30*INDEX('Lease Cycles'!$CB$30:$CH$30,1,AK384)*(1+INDEX('Lease Cycles'!$CI$30:$CO$30,1,AK384))^INT(INT(AK385/12)/INDEX('Lease Cycles'!$CP$30:$CV$30,1,AK384))/12))),IF('Lease Cycles'!$N$30=1,'Lease Cycles'!$C$30*'Lease Cycles'!$E$30*INDEX('Lease Cycles'!$HE$30:$HK$30,1,AK384)*(1+INDEX('Lease Cycles'!$GQ$30:$GW$30,1,AK384))^INT(INT((AK$6-INDEX('Lease Cycles'!$GJ$30:$GP$30,1,AK384))/12)/INDEX('Lease Cycles'!$GX$30:$HD$30,1,AK384))/12,0)))</f>
        <v>0</v>
      </c>
      <c r="AL387" s="28">
        <f>IF(AL384=0,IF('Lease Cycles'!$F$30&gt;0,'Lease Cycles'!$C$30*'Lease Cycles'!$E$30/12,0),IF(AL386=1,IF('Lease Cycles'!$AT$30&gt;=9999,'Lease Cycles'!$C$30*INDEX('Lease Cycles'!$CB$30:$CH$30,1,AL384)*(1+INDEX('Lease Cycles'!$CI$30:$CO$30,1,AL384))^INT(INT(AL385/12)/INDEX('Lease Cycles'!$CP$30:$CV$30,1,AL384))/12,IF(AL384=1,IF(AL385&gt;=INDEX('Lease Cycles'!$DK$30:$DQ$30,1,AL384),IF(AL$6&gt;='Lease Cycles'!$AZ$30,'Lease Cycles'!$C$30*'Lease Cycles'!$BA$30/12,IF(AL$6&gt;='Lease Cycles'!$AX$30,'Lease Cycles'!$C$30*'Lease Cycles'!$AY$30/12,IF(AL$6&gt;='Lease Cycles'!$AV$30,'Lease Cycles'!$C$30*'Lease Cycles'!$AW$30/12,IF(AL$6&gt;='Lease Cycles'!$AT$30,'Lease Cycles'!$C$30*'Lease Cycles'!$AU$30/12,'Lease Cycles'!$C$30*INDEX('Lease Cycles'!$CB$30:$CH$30,1,AL384)*(1+INDEX('Lease Cycles'!$CI$30:$CO$30,1,AL384))^INT(INT(AL385/12)/INDEX('Lease Cycles'!$CP$30:$CV$30,1,AL384))/12)))),'Lease Cycles'!$C$30*INDEX('Lease Cycles'!$CB$30:$CH$30,1,AL384)*(1+INDEX('Lease Cycles'!$CI$30:$CO$30,1,AL384))^INT(INT(AL385/12)/INDEX('Lease Cycles'!$CP$30:$CV$30,1,AL384))/12),IF(INDEX('Lease Cycles'!$EF$30:$EL$30,1,AL384)=1,IF(AND('Lease Cycles'!$AZ$30&gt;=INDEX('Lease Cycles'!$BG$30:$BM$30,1,AL384),'Lease Cycles'!$AZ$30&lt;=AL$6),'Lease Cycles'!$C$30*'Lease Cycles'!$BA$30/12,IF(AND('Lease Cycles'!$AX$30&gt;=INDEX('Lease Cycles'!$BG$30:$BM$30,1,AL384),'Lease Cycles'!$AX$30&lt;=AL$6),'Lease Cycles'!$C$30*'Lease Cycles'!$AY$30/12,IF(AND('Lease Cycles'!$AV$30&gt;=INDEX('Lease Cycles'!$BG$30:$BM$30,1,AL384),'Lease Cycles'!$AV$30&lt;=AL$6),'Lease Cycles'!$C$30*'Lease Cycles'!$AW$30/12,IF(AND('Lease Cycles'!$AT$30&gt;=INDEX('Lease Cycles'!$BG$30:$BM$30,1,AL384),'Lease Cycles'!$AT$30&lt;=AL$6),'Lease Cycles'!$C$30*'Lease Cycles'!$AU$30/12,'Lease Cycles'!$C$30*INDEX('Lease Cycles'!$CB$30:$CH$30,1,AL384)*(1+INDEX('Lease Cycles'!$CI$30:$CO$30,1,AL384))^INT(INT(AL385/12)/INDEX('Lease Cycles'!$CP$30:$CV$30,1,AL384))/12)))),'Lease Cycles'!$C$30*INDEX('Lease Cycles'!$CB$30:$CH$30,1,AL384)*(1+INDEX('Lease Cycles'!$CI$30:$CO$30,1,AL384))^INT(INT(AL385/12)/INDEX('Lease Cycles'!$CP$30:$CV$30,1,AL384))/12))),IF('Lease Cycles'!$N$30=1,'Lease Cycles'!$C$30*'Lease Cycles'!$E$30*INDEX('Lease Cycles'!$HE$30:$HK$30,1,AL384)*(1+INDEX('Lease Cycles'!$GQ$30:$GW$30,1,AL384))^INT(INT((AL$6-INDEX('Lease Cycles'!$GJ$30:$GP$30,1,AL384))/12)/INDEX('Lease Cycles'!$GX$30:$HD$30,1,AL384))/12,0)))</f>
        <v>0</v>
      </c>
      <c r="AM387" s="28">
        <f>IF(AM384=0,IF('Lease Cycles'!$F$30&gt;0,'Lease Cycles'!$C$30*'Lease Cycles'!$E$30/12,0),IF(AM386=1,IF('Lease Cycles'!$AT$30&gt;=9999,'Lease Cycles'!$C$30*INDEX('Lease Cycles'!$CB$30:$CH$30,1,AM384)*(1+INDEX('Lease Cycles'!$CI$30:$CO$30,1,AM384))^INT(INT(AM385/12)/INDEX('Lease Cycles'!$CP$30:$CV$30,1,AM384))/12,IF(AM384=1,IF(AM385&gt;=INDEX('Lease Cycles'!$DK$30:$DQ$30,1,AM384),IF(AM$6&gt;='Lease Cycles'!$AZ$30,'Lease Cycles'!$C$30*'Lease Cycles'!$BA$30/12,IF(AM$6&gt;='Lease Cycles'!$AX$30,'Lease Cycles'!$C$30*'Lease Cycles'!$AY$30/12,IF(AM$6&gt;='Lease Cycles'!$AV$30,'Lease Cycles'!$C$30*'Lease Cycles'!$AW$30/12,IF(AM$6&gt;='Lease Cycles'!$AT$30,'Lease Cycles'!$C$30*'Lease Cycles'!$AU$30/12,'Lease Cycles'!$C$30*INDEX('Lease Cycles'!$CB$30:$CH$30,1,AM384)*(1+INDEX('Lease Cycles'!$CI$30:$CO$30,1,AM384))^INT(INT(AM385/12)/INDEX('Lease Cycles'!$CP$30:$CV$30,1,AM384))/12)))),'Lease Cycles'!$C$30*INDEX('Lease Cycles'!$CB$30:$CH$30,1,AM384)*(1+INDEX('Lease Cycles'!$CI$30:$CO$30,1,AM384))^INT(INT(AM385/12)/INDEX('Lease Cycles'!$CP$30:$CV$30,1,AM384))/12),IF(INDEX('Lease Cycles'!$EF$30:$EL$30,1,AM384)=1,IF(AND('Lease Cycles'!$AZ$30&gt;=INDEX('Lease Cycles'!$BG$30:$BM$30,1,AM384),'Lease Cycles'!$AZ$30&lt;=AM$6),'Lease Cycles'!$C$30*'Lease Cycles'!$BA$30/12,IF(AND('Lease Cycles'!$AX$30&gt;=INDEX('Lease Cycles'!$BG$30:$BM$30,1,AM384),'Lease Cycles'!$AX$30&lt;=AM$6),'Lease Cycles'!$C$30*'Lease Cycles'!$AY$30/12,IF(AND('Lease Cycles'!$AV$30&gt;=INDEX('Lease Cycles'!$BG$30:$BM$30,1,AM384),'Lease Cycles'!$AV$30&lt;=AM$6),'Lease Cycles'!$C$30*'Lease Cycles'!$AW$30/12,IF(AND('Lease Cycles'!$AT$30&gt;=INDEX('Lease Cycles'!$BG$30:$BM$30,1,AM384),'Lease Cycles'!$AT$30&lt;=AM$6),'Lease Cycles'!$C$30*'Lease Cycles'!$AU$30/12,'Lease Cycles'!$C$30*INDEX('Lease Cycles'!$CB$30:$CH$30,1,AM384)*(1+INDEX('Lease Cycles'!$CI$30:$CO$30,1,AM384))^INT(INT(AM385/12)/INDEX('Lease Cycles'!$CP$30:$CV$30,1,AM384))/12)))),'Lease Cycles'!$C$30*INDEX('Lease Cycles'!$CB$30:$CH$30,1,AM384)*(1+INDEX('Lease Cycles'!$CI$30:$CO$30,1,AM384))^INT(INT(AM385/12)/INDEX('Lease Cycles'!$CP$30:$CV$30,1,AM384))/12))),IF('Lease Cycles'!$N$30=1,'Lease Cycles'!$C$30*'Lease Cycles'!$E$30*INDEX('Lease Cycles'!$HE$30:$HK$30,1,AM384)*(1+INDEX('Lease Cycles'!$GQ$30:$GW$30,1,AM384))^INT(INT((AM$6-INDEX('Lease Cycles'!$GJ$30:$GP$30,1,AM384))/12)/INDEX('Lease Cycles'!$GX$30:$HD$30,1,AM384))/12,0)))</f>
        <v>0</v>
      </c>
      <c r="AN387" s="28">
        <f>IF(AN384=0,IF('Lease Cycles'!$F$30&gt;0,'Lease Cycles'!$C$30*'Lease Cycles'!$E$30/12,0),IF(AN386=1,IF('Lease Cycles'!$AT$30&gt;=9999,'Lease Cycles'!$C$30*INDEX('Lease Cycles'!$CB$30:$CH$30,1,AN384)*(1+INDEX('Lease Cycles'!$CI$30:$CO$30,1,AN384))^INT(INT(AN385/12)/INDEX('Lease Cycles'!$CP$30:$CV$30,1,AN384))/12,IF(AN384=1,IF(AN385&gt;=INDEX('Lease Cycles'!$DK$30:$DQ$30,1,AN384),IF(AN$6&gt;='Lease Cycles'!$AZ$30,'Lease Cycles'!$C$30*'Lease Cycles'!$BA$30/12,IF(AN$6&gt;='Lease Cycles'!$AX$30,'Lease Cycles'!$C$30*'Lease Cycles'!$AY$30/12,IF(AN$6&gt;='Lease Cycles'!$AV$30,'Lease Cycles'!$C$30*'Lease Cycles'!$AW$30/12,IF(AN$6&gt;='Lease Cycles'!$AT$30,'Lease Cycles'!$C$30*'Lease Cycles'!$AU$30/12,'Lease Cycles'!$C$30*INDEX('Lease Cycles'!$CB$30:$CH$30,1,AN384)*(1+INDEX('Lease Cycles'!$CI$30:$CO$30,1,AN384))^INT(INT(AN385/12)/INDEX('Lease Cycles'!$CP$30:$CV$30,1,AN384))/12)))),'Lease Cycles'!$C$30*INDEX('Lease Cycles'!$CB$30:$CH$30,1,AN384)*(1+INDEX('Lease Cycles'!$CI$30:$CO$30,1,AN384))^INT(INT(AN385/12)/INDEX('Lease Cycles'!$CP$30:$CV$30,1,AN384))/12),IF(INDEX('Lease Cycles'!$EF$30:$EL$30,1,AN384)=1,IF(AND('Lease Cycles'!$AZ$30&gt;=INDEX('Lease Cycles'!$BG$30:$BM$30,1,AN384),'Lease Cycles'!$AZ$30&lt;=AN$6),'Lease Cycles'!$C$30*'Lease Cycles'!$BA$30/12,IF(AND('Lease Cycles'!$AX$30&gt;=INDEX('Lease Cycles'!$BG$30:$BM$30,1,AN384),'Lease Cycles'!$AX$30&lt;=AN$6),'Lease Cycles'!$C$30*'Lease Cycles'!$AY$30/12,IF(AND('Lease Cycles'!$AV$30&gt;=INDEX('Lease Cycles'!$BG$30:$BM$30,1,AN384),'Lease Cycles'!$AV$30&lt;=AN$6),'Lease Cycles'!$C$30*'Lease Cycles'!$AW$30/12,IF(AND('Lease Cycles'!$AT$30&gt;=INDEX('Lease Cycles'!$BG$30:$BM$30,1,AN384),'Lease Cycles'!$AT$30&lt;=AN$6),'Lease Cycles'!$C$30*'Lease Cycles'!$AU$30/12,'Lease Cycles'!$C$30*INDEX('Lease Cycles'!$CB$30:$CH$30,1,AN384)*(1+INDEX('Lease Cycles'!$CI$30:$CO$30,1,AN384))^INT(INT(AN385/12)/INDEX('Lease Cycles'!$CP$30:$CV$30,1,AN384))/12)))),'Lease Cycles'!$C$30*INDEX('Lease Cycles'!$CB$30:$CH$30,1,AN384)*(1+INDEX('Lease Cycles'!$CI$30:$CO$30,1,AN384))^INT(INT(AN385/12)/INDEX('Lease Cycles'!$CP$30:$CV$30,1,AN384))/12))),IF('Lease Cycles'!$N$30=1,'Lease Cycles'!$C$30*'Lease Cycles'!$E$30*INDEX('Lease Cycles'!$HE$30:$HK$30,1,AN384)*(1+INDEX('Lease Cycles'!$GQ$30:$GW$30,1,AN384))^INT(INT((AN$6-INDEX('Lease Cycles'!$GJ$30:$GP$30,1,AN384))/12)/INDEX('Lease Cycles'!$GX$30:$HD$30,1,AN384))/12,0)))</f>
        <v>0</v>
      </c>
      <c r="AO387" s="28">
        <f>IF(AO384=0,IF('Lease Cycles'!$F$30&gt;0,'Lease Cycles'!$C$30*'Lease Cycles'!$E$30/12,0),IF(AO386=1,IF('Lease Cycles'!$AT$30&gt;=9999,'Lease Cycles'!$C$30*INDEX('Lease Cycles'!$CB$30:$CH$30,1,AO384)*(1+INDEX('Lease Cycles'!$CI$30:$CO$30,1,AO384))^INT(INT(AO385/12)/INDEX('Lease Cycles'!$CP$30:$CV$30,1,AO384))/12,IF(AO384=1,IF(AO385&gt;=INDEX('Lease Cycles'!$DK$30:$DQ$30,1,AO384),IF(AO$6&gt;='Lease Cycles'!$AZ$30,'Lease Cycles'!$C$30*'Lease Cycles'!$BA$30/12,IF(AO$6&gt;='Lease Cycles'!$AX$30,'Lease Cycles'!$C$30*'Lease Cycles'!$AY$30/12,IF(AO$6&gt;='Lease Cycles'!$AV$30,'Lease Cycles'!$C$30*'Lease Cycles'!$AW$30/12,IF(AO$6&gt;='Lease Cycles'!$AT$30,'Lease Cycles'!$C$30*'Lease Cycles'!$AU$30/12,'Lease Cycles'!$C$30*INDEX('Lease Cycles'!$CB$30:$CH$30,1,AO384)*(1+INDEX('Lease Cycles'!$CI$30:$CO$30,1,AO384))^INT(INT(AO385/12)/INDEX('Lease Cycles'!$CP$30:$CV$30,1,AO384))/12)))),'Lease Cycles'!$C$30*INDEX('Lease Cycles'!$CB$30:$CH$30,1,AO384)*(1+INDEX('Lease Cycles'!$CI$30:$CO$30,1,AO384))^INT(INT(AO385/12)/INDEX('Lease Cycles'!$CP$30:$CV$30,1,AO384))/12),IF(INDEX('Lease Cycles'!$EF$30:$EL$30,1,AO384)=1,IF(AND('Lease Cycles'!$AZ$30&gt;=INDEX('Lease Cycles'!$BG$30:$BM$30,1,AO384),'Lease Cycles'!$AZ$30&lt;=AO$6),'Lease Cycles'!$C$30*'Lease Cycles'!$BA$30/12,IF(AND('Lease Cycles'!$AX$30&gt;=INDEX('Lease Cycles'!$BG$30:$BM$30,1,AO384),'Lease Cycles'!$AX$30&lt;=AO$6),'Lease Cycles'!$C$30*'Lease Cycles'!$AY$30/12,IF(AND('Lease Cycles'!$AV$30&gt;=INDEX('Lease Cycles'!$BG$30:$BM$30,1,AO384),'Lease Cycles'!$AV$30&lt;=AO$6),'Lease Cycles'!$C$30*'Lease Cycles'!$AW$30/12,IF(AND('Lease Cycles'!$AT$30&gt;=INDEX('Lease Cycles'!$BG$30:$BM$30,1,AO384),'Lease Cycles'!$AT$30&lt;=AO$6),'Lease Cycles'!$C$30*'Lease Cycles'!$AU$30/12,'Lease Cycles'!$C$30*INDEX('Lease Cycles'!$CB$30:$CH$30,1,AO384)*(1+INDEX('Lease Cycles'!$CI$30:$CO$30,1,AO384))^INT(INT(AO385/12)/INDEX('Lease Cycles'!$CP$30:$CV$30,1,AO384))/12)))),'Lease Cycles'!$C$30*INDEX('Lease Cycles'!$CB$30:$CH$30,1,AO384)*(1+INDEX('Lease Cycles'!$CI$30:$CO$30,1,AO384))^INT(INT(AO385/12)/INDEX('Lease Cycles'!$CP$30:$CV$30,1,AO384))/12))),IF('Lease Cycles'!$N$30=1,'Lease Cycles'!$C$30*'Lease Cycles'!$E$30*INDEX('Lease Cycles'!$HE$30:$HK$30,1,AO384)*(1+INDEX('Lease Cycles'!$GQ$30:$GW$30,1,AO384))^INT(INT((AO$6-INDEX('Lease Cycles'!$GJ$30:$GP$30,1,AO384))/12)/INDEX('Lease Cycles'!$GX$30:$HD$30,1,AO384))/12,0)))</f>
        <v>0</v>
      </c>
      <c r="AP387" s="28">
        <f>IF(AP384=0,IF('Lease Cycles'!$F$30&gt;0,'Lease Cycles'!$C$30*'Lease Cycles'!$E$30/12,0),IF(AP386=1,IF('Lease Cycles'!$AT$30&gt;=9999,'Lease Cycles'!$C$30*INDEX('Lease Cycles'!$CB$30:$CH$30,1,AP384)*(1+INDEX('Lease Cycles'!$CI$30:$CO$30,1,AP384))^INT(INT(AP385/12)/INDEX('Lease Cycles'!$CP$30:$CV$30,1,AP384))/12,IF(AP384=1,IF(AP385&gt;=INDEX('Lease Cycles'!$DK$30:$DQ$30,1,AP384),IF(AP$6&gt;='Lease Cycles'!$AZ$30,'Lease Cycles'!$C$30*'Lease Cycles'!$BA$30/12,IF(AP$6&gt;='Lease Cycles'!$AX$30,'Lease Cycles'!$C$30*'Lease Cycles'!$AY$30/12,IF(AP$6&gt;='Lease Cycles'!$AV$30,'Lease Cycles'!$C$30*'Lease Cycles'!$AW$30/12,IF(AP$6&gt;='Lease Cycles'!$AT$30,'Lease Cycles'!$C$30*'Lease Cycles'!$AU$30/12,'Lease Cycles'!$C$30*INDEX('Lease Cycles'!$CB$30:$CH$30,1,AP384)*(1+INDEX('Lease Cycles'!$CI$30:$CO$30,1,AP384))^INT(INT(AP385/12)/INDEX('Lease Cycles'!$CP$30:$CV$30,1,AP384))/12)))),'Lease Cycles'!$C$30*INDEX('Lease Cycles'!$CB$30:$CH$30,1,AP384)*(1+INDEX('Lease Cycles'!$CI$30:$CO$30,1,AP384))^INT(INT(AP385/12)/INDEX('Lease Cycles'!$CP$30:$CV$30,1,AP384))/12),IF(INDEX('Lease Cycles'!$EF$30:$EL$30,1,AP384)=1,IF(AND('Lease Cycles'!$AZ$30&gt;=INDEX('Lease Cycles'!$BG$30:$BM$30,1,AP384),'Lease Cycles'!$AZ$30&lt;=AP$6),'Lease Cycles'!$C$30*'Lease Cycles'!$BA$30/12,IF(AND('Lease Cycles'!$AX$30&gt;=INDEX('Lease Cycles'!$BG$30:$BM$30,1,AP384),'Lease Cycles'!$AX$30&lt;=AP$6),'Lease Cycles'!$C$30*'Lease Cycles'!$AY$30/12,IF(AND('Lease Cycles'!$AV$30&gt;=INDEX('Lease Cycles'!$BG$30:$BM$30,1,AP384),'Lease Cycles'!$AV$30&lt;=AP$6),'Lease Cycles'!$C$30*'Lease Cycles'!$AW$30/12,IF(AND('Lease Cycles'!$AT$30&gt;=INDEX('Lease Cycles'!$BG$30:$BM$30,1,AP384),'Lease Cycles'!$AT$30&lt;=AP$6),'Lease Cycles'!$C$30*'Lease Cycles'!$AU$30/12,'Lease Cycles'!$C$30*INDEX('Lease Cycles'!$CB$30:$CH$30,1,AP384)*(1+INDEX('Lease Cycles'!$CI$30:$CO$30,1,AP384))^INT(INT(AP385/12)/INDEX('Lease Cycles'!$CP$30:$CV$30,1,AP384))/12)))),'Lease Cycles'!$C$30*INDEX('Lease Cycles'!$CB$30:$CH$30,1,AP384)*(1+INDEX('Lease Cycles'!$CI$30:$CO$30,1,AP384))^INT(INT(AP385/12)/INDEX('Lease Cycles'!$CP$30:$CV$30,1,AP384))/12))),IF('Lease Cycles'!$N$30=1,'Lease Cycles'!$C$30*'Lease Cycles'!$E$30*INDEX('Lease Cycles'!$HE$30:$HK$30,1,AP384)*(1+INDEX('Lease Cycles'!$GQ$30:$GW$30,1,AP384))^INT(INT((AP$6-INDEX('Lease Cycles'!$GJ$30:$GP$30,1,AP384))/12)/INDEX('Lease Cycles'!$GX$30:$HD$30,1,AP384))/12,0)))</f>
        <v>0</v>
      </c>
      <c r="AQ387" s="28">
        <f>IF(AQ384=0,IF('Lease Cycles'!$F$30&gt;0,'Lease Cycles'!$C$30*'Lease Cycles'!$E$30/12,0),IF(AQ386=1,IF('Lease Cycles'!$AT$30&gt;=9999,'Lease Cycles'!$C$30*INDEX('Lease Cycles'!$CB$30:$CH$30,1,AQ384)*(1+INDEX('Lease Cycles'!$CI$30:$CO$30,1,AQ384))^INT(INT(AQ385/12)/INDEX('Lease Cycles'!$CP$30:$CV$30,1,AQ384))/12,IF(AQ384=1,IF(AQ385&gt;=INDEX('Lease Cycles'!$DK$30:$DQ$30,1,AQ384),IF(AQ$6&gt;='Lease Cycles'!$AZ$30,'Lease Cycles'!$C$30*'Lease Cycles'!$BA$30/12,IF(AQ$6&gt;='Lease Cycles'!$AX$30,'Lease Cycles'!$C$30*'Lease Cycles'!$AY$30/12,IF(AQ$6&gt;='Lease Cycles'!$AV$30,'Lease Cycles'!$C$30*'Lease Cycles'!$AW$30/12,IF(AQ$6&gt;='Lease Cycles'!$AT$30,'Lease Cycles'!$C$30*'Lease Cycles'!$AU$30/12,'Lease Cycles'!$C$30*INDEX('Lease Cycles'!$CB$30:$CH$30,1,AQ384)*(1+INDEX('Lease Cycles'!$CI$30:$CO$30,1,AQ384))^INT(INT(AQ385/12)/INDEX('Lease Cycles'!$CP$30:$CV$30,1,AQ384))/12)))),'Lease Cycles'!$C$30*INDEX('Lease Cycles'!$CB$30:$CH$30,1,AQ384)*(1+INDEX('Lease Cycles'!$CI$30:$CO$30,1,AQ384))^INT(INT(AQ385/12)/INDEX('Lease Cycles'!$CP$30:$CV$30,1,AQ384))/12),IF(INDEX('Lease Cycles'!$EF$30:$EL$30,1,AQ384)=1,IF(AND('Lease Cycles'!$AZ$30&gt;=INDEX('Lease Cycles'!$BG$30:$BM$30,1,AQ384),'Lease Cycles'!$AZ$30&lt;=AQ$6),'Lease Cycles'!$C$30*'Lease Cycles'!$BA$30/12,IF(AND('Lease Cycles'!$AX$30&gt;=INDEX('Lease Cycles'!$BG$30:$BM$30,1,AQ384),'Lease Cycles'!$AX$30&lt;=AQ$6),'Lease Cycles'!$C$30*'Lease Cycles'!$AY$30/12,IF(AND('Lease Cycles'!$AV$30&gt;=INDEX('Lease Cycles'!$BG$30:$BM$30,1,AQ384),'Lease Cycles'!$AV$30&lt;=AQ$6),'Lease Cycles'!$C$30*'Lease Cycles'!$AW$30/12,IF(AND('Lease Cycles'!$AT$30&gt;=INDEX('Lease Cycles'!$BG$30:$BM$30,1,AQ384),'Lease Cycles'!$AT$30&lt;=AQ$6),'Lease Cycles'!$C$30*'Lease Cycles'!$AU$30/12,'Lease Cycles'!$C$30*INDEX('Lease Cycles'!$CB$30:$CH$30,1,AQ384)*(1+INDEX('Lease Cycles'!$CI$30:$CO$30,1,AQ384))^INT(INT(AQ385/12)/INDEX('Lease Cycles'!$CP$30:$CV$30,1,AQ384))/12)))),'Lease Cycles'!$C$30*INDEX('Lease Cycles'!$CB$30:$CH$30,1,AQ384)*(1+INDEX('Lease Cycles'!$CI$30:$CO$30,1,AQ384))^INT(INT(AQ385/12)/INDEX('Lease Cycles'!$CP$30:$CV$30,1,AQ384))/12))),IF('Lease Cycles'!$N$30=1,'Lease Cycles'!$C$30*'Lease Cycles'!$E$30*INDEX('Lease Cycles'!$HE$30:$HK$30,1,AQ384)*(1+INDEX('Lease Cycles'!$GQ$30:$GW$30,1,AQ384))^INT(INT((AQ$6-INDEX('Lease Cycles'!$GJ$30:$GP$30,1,AQ384))/12)/INDEX('Lease Cycles'!$GX$30:$HD$30,1,AQ384))/12,0)))</f>
        <v>0</v>
      </c>
      <c r="AR387" s="28">
        <f>IF(AR384=0,IF('Lease Cycles'!$F$30&gt;0,'Lease Cycles'!$C$30*'Lease Cycles'!$E$30/12,0),IF(AR386=1,IF('Lease Cycles'!$AT$30&gt;=9999,'Lease Cycles'!$C$30*INDEX('Lease Cycles'!$CB$30:$CH$30,1,AR384)*(1+INDEX('Lease Cycles'!$CI$30:$CO$30,1,AR384))^INT(INT(AR385/12)/INDEX('Lease Cycles'!$CP$30:$CV$30,1,AR384))/12,IF(AR384=1,IF(AR385&gt;=INDEX('Lease Cycles'!$DK$30:$DQ$30,1,AR384),IF(AR$6&gt;='Lease Cycles'!$AZ$30,'Lease Cycles'!$C$30*'Lease Cycles'!$BA$30/12,IF(AR$6&gt;='Lease Cycles'!$AX$30,'Lease Cycles'!$C$30*'Lease Cycles'!$AY$30/12,IF(AR$6&gt;='Lease Cycles'!$AV$30,'Lease Cycles'!$C$30*'Lease Cycles'!$AW$30/12,IF(AR$6&gt;='Lease Cycles'!$AT$30,'Lease Cycles'!$C$30*'Lease Cycles'!$AU$30/12,'Lease Cycles'!$C$30*INDEX('Lease Cycles'!$CB$30:$CH$30,1,AR384)*(1+INDEX('Lease Cycles'!$CI$30:$CO$30,1,AR384))^INT(INT(AR385/12)/INDEX('Lease Cycles'!$CP$30:$CV$30,1,AR384))/12)))),'Lease Cycles'!$C$30*INDEX('Lease Cycles'!$CB$30:$CH$30,1,AR384)*(1+INDEX('Lease Cycles'!$CI$30:$CO$30,1,AR384))^INT(INT(AR385/12)/INDEX('Lease Cycles'!$CP$30:$CV$30,1,AR384))/12),IF(INDEX('Lease Cycles'!$EF$30:$EL$30,1,AR384)=1,IF(AND('Lease Cycles'!$AZ$30&gt;=INDEX('Lease Cycles'!$BG$30:$BM$30,1,AR384),'Lease Cycles'!$AZ$30&lt;=AR$6),'Lease Cycles'!$C$30*'Lease Cycles'!$BA$30/12,IF(AND('Lease Cycles'!$AX$30&gt;=INDEX('Lease Cycles'!$BG$30:$BM$30,1,AR384),'Lease Cycles'!$AX$30&lt;=AR$6),'Lease Cycles'!$C$30*'Lease Cycles'!$AY$30/12,IF(AND('Lease Cycles'!$AV$30&gt;=INDEX('Lease Cycles'!$BG$30:$BM$30,1,AR384),'Lease Cycles'!$AV$30&lt;=AR$6),'Lease Cycles'!$C$30*'Lease Cycles'!$AW$30/12,IF(AND('Lease Cycles'!$AT$30&gt;=INDEX('Lease Cycles'!$BG$30:$BM$30,1,AR384),'Lease Cycles'!$AT$30&lt;=AR$6),'Lease Cycles'!$C$30*'Lease Cycles'!$AU$30/12,'Lease Cycles'!$C$30*INDEX('Lease Cycles'!$CB$30:$CH$30,1,AR384)*(1+INDEX('Lease Cycles'!$CI$30:$CO$30,1,AR384))^INT(INT(AR385/12)/INDEX('Lease Cycles'!$CP$30:$CV$30,1,AR384))/12)))),'Lease Cycles'!$C$30*INDEX('Lease Cycles'!$CB$30:$CH$30,1,AR384)*(1+INDEX('Lease Cycles'!$CI$30:$CO$30,1,AR384))^INT(INT(AR385/12)/INDEX('Lease Cycles'!$CP$30:$CV$30,1,AR384))/12))),IF('Lease Cycles'!$N$30=1,'Lease Cycles'!$C$30*'Lease Cycles'!$E$30*INDEX('Lease Cycles'!$HE$30:$HK$30,1,AR384)*(1+INDEX('Lease Cycles'!$GQ$30:$GW$30,1,AR384))^INT(INT((AR$6-INDEX('Lease Cycles'!$GJ$30:$GP$30,1,AR384))/12)/INDEX('Lease Cycles'!$GX$30:$HD$30,1,AR384))/12,0)))</f>
        <v>0</v>
      </c>
      <c r="AS387" s="28">
        <f>IF(AS384=0,IF('Lease Cycles'!$F$30&gt;0,'Lease Cycles'!$C$30*'Lease Cycles'!$E$30/12,0),IF(AS386=1,IF('Lease Cycles'!$AT$30&gt;=9999,'Lease Cycles'!$C$30*INDEX('Lease Cycles'!$CB$30:$CH$30,1,AS384)*(1+INDEX('Lease Cycles'!$CI$30:$CO$30,1,AS384))^INT(INT(AS385/12)/INDEX('Lease Cycles'!$CP$30:$CV$30,1,AS384))/12,IF(AS384=1,IF(AS385&gt;=INDEX('Lease Cycles'!$DK$30:$DQ$30,1,AS384),IF(AS$6&gt;='Lease Cycles'!$AZ$30,'Lease Cycles'!$C$30*'Lease Cycles'!$BA$30/12,IF(AS$6&gt;='Lease Cycles'!$AX$30,'Lease Cycles'!$C$30*'Lease Cycles'!$AY$30/12,IF(AS$6&gt;='Lease Cycles'!$AV$30,'Lease Cycles'!$C$30*'Lease Cycles'!$AW$30/12,IF(AS$6&gt;='Lease Cycles'!$AT$30,'Lease Cycles'!$C$30*'Lease Cycles'!$AU$30/12,'Lease Cycles'!$C$30*INDEX('Lease Cycles'!$CB$30:$CH$30,1,AS384)*(1+INDEX('Lease Cycles'!$CI$30:$CO$30,1,AS384))^INT(INT(AS385/12)/INDEX('Lease Cycles'!$CP$30:$CV$30,1,AS384))/12)))),'Lease Cycles'!$C$30*INDEX('Lease Cycles'!$CB$30:$CH$30,1,AS384)*(1+INDEX('Lease Cycles'!$CI$30:$CO$30,1,AS384))^INT(INT(AS385/12)/INDEX('Lease Cycles'!$CP$30:$CV$30,1,AS384))/12),IF(INDEX('Lease Cycles'!$EF$30:$EL$30,1,AS384)=1,IF(AND('Lease Cycles'!$AZ$30&gt;=INDEX('Lease Cycles'!$BG$30:$BM$30,1,AS384),'Lease Cycles'!$AZ$30&lt;=AS$6),'Lease Cycles'!$C$30*'Lease Cycles'!$BA$30/12,IF(AND('Lease Cycles'!$AX$30&gt;=INDEX('Lease Cycles'!$BG$30:$BM$30,1,AS384),'Lease Cycles'!$AX$30&lt;=AS$6),'Lease Cycles'!$C$30*'Lease Cycles'!$AY$30/12,IF(AND('Lease Cycles'!$AV$30&gt;=INDEX('Lease Cycles'!$BG$30:$BM$30,1,AS384),'Lease Cycles'!$AV$30&lt;=AS$6),'Lease Cycles'!$C$30*'Lease Cycles'!$AW$30/12,IF(AND('Lease Cycles'!$AT$30&gt;=INDEX('Lease Cycles'!$BG$30:$BM$30,1,AS384),'Lease Cycles'!$AT$30&lt;=AS$6),'Lease Cycles'!$C$30*'Lease Cycles'!$AU$30/12,'Lease Cycles'!$C$30*INDEX('Lease Cycles'!$CB$30:$CH$30,1,AS384)*(1+INDEX('Lease Cycles'!$CI$30:$CO$30,1,AS384))^INT(INT(AS385/12)/INDEX('Lease Cycles'!$CP$30:$CV$30,1,AS384))/12)))),'Lease Cycles'!$C$30*INDEX('Lease Cycles'!$CB$30:$CH$30,1,AS384)*(1+INDEX('Lease Cycles'!$CI$30:$CO$30,1,AS384))^INT(INT(AS385/12)/INDEX('Lease Cycles'!$CP$30:$CV$30,1,AS384))/12))),IF('Lease Cycles'!$N$30=1,'Lease Cycles'!$C$30*'Lease Cycles'!$E$30*INDEX('Lease Cycles'!$HE$30:$HK$30,1,AS384)*(1+INDEX('Lease Cycles'!$GQ$30:$GW$30,1,AS384))^INT(INT((AS$6-INDEX('Lease Cycles'!$GJ$30:$GP$30,1,AS384))/12)/INDEX('Lease Cycles'!$GX$30:$HD$30,1,AS384))/12,0)))</f>
        <v>0</v>
      </c>
      <c r="AT387" s="28">
        <f>IF(AT384=0,IF('Lease Cycles'!$F$30&gt;0,'Lease Cycles'!$C$30*'Lease Cycles'!$E$30/12,0),IF(AT386=1,IF('Lease Cycles'!$AT$30&gt;=9999,'Lease Cycles'!$C$30*INDEX('Lease Cycles'!$CB$30:$CH$30,1,AT384)*(1+INDEX('Lease Cycles'!$CI$30:$CO$30,1,AT384))^INT(INT(AT385/12)/INDEX('Lease Cycles'!$CP$30:$CV$30,1,AT384))/12,IF(AT384=1,IF(AT385&gt;=INDEX('Lease Cycles'!$DK$30:$DQ$30,1,AT384),IF(AT$6&gt;='Lease Cycles'!$AZ$30,'Lease Cycles'!$C$30*'Lease Cycles'!$BA$30/12,IF(AT$6&gt;='Lease Cycles'!$AX$30,'Lease Cycles'!$C$30*'Lease Cycles'!$AY$30/12,IF(AT$6&gt;='Lease Cycles'!$AV$30,'Lease Cycles'!$C$30*'Lease Cycles'!$AW$30/12,IF(AT$6&gt;='Lease Cycles'!$AT$30,'Lease Cycles'!$C$30*'Lease Cycles'!$AU$30/12,'Lease Cycles'!$C$30*INDEX('Lease Cycles'!$CB$30:$CH$30,1,AT384)*(1+INDEX('Lease Cycles'!$CI$30:$CO$30,1,AT384))^INT(INT(AT385/12)/INDEX('Lease Cycles'!$CP$30:$CV$30,1,AT384))/12)))),'Lease Cycles'!$C$30*INDEX('Lease Cycles'!$CB$30:$CH$30,1,AT384)*(1+INDEX('Lease Cycles'!$CI$30:$CO$30,1,AT384))^INT(INT(AT385/12)/INDEX('Lease Cycles'!$CP$30:$CV$30,1,AT384))/12),IF(INDEX('Lease Cycles'!$EF$30:$EL$30,1,AT384)=1,IF(AND('Lease Cycles'!$AZ$30&gt;=INDEX('Lease Cycles'!$BG$30:$BM$30,1,AT384),'Lease Cycles'!$AZ$30&lt;=AT$6),'Lease Cycles'!$C$30*'Lease Cycles'!$BA$30/12,IF(AND('Lease Cycles'!$AX$30&gt;=INDEX('Lease Cycles'!$BG$30:$BM$30,1,AT384),'Lease Cycles'!$AX$30&lt;=AT$6),'Lease Cycles'!$C$30*'Lease Cycles'!$AY$30/12,IF(AND('Lease Cycles'!$AV$30&gt;=INDEX('Lease Cycles'!$BG$30:$BM$30,1,AT384),'Lease Cycles'!$AV$30&lt;=AT$6),'Lease Cycles'!$C$30*'Lease Cycles'!$AW$30/12,IF(AND('Lease Cycles'!$AT$30&gt;=INDEX('Lease Cycles'!$BG$30:$BM$30,1,AT384),'Lease Cycles'!$AT$30&lt;=AT$6),'Lease Cycles'!$C$30*'Lease Cycles'!$AU$30/12,'Lease Cycles'!$C$30*INDEX('Lease Cycles'!$CB$30:$CH$30,1,AT384)*(1+INDEX('Lease Cycles'!$CI$30:$CO$30,1,AT384))^INT(INT(AT385/12)/INDEX('Lease Cycles'!$CP$30:$CV$30,1,AT384))/12)))),'Lease Cycles'!$C$30*INDEX('Lease Cycles'!$CB$30:$CH$30,1,AT384)*(1+INDEX('Lease Cycles'!$CI$30:$CO$30,1,AT384))^INT(INT(AT385/12)/INDEX('Lease Cycles'!$CP$30:$CV$30,1,AT384))/12))),IF('Lease Cycles'!$N$30=1,'Lease Cycles'!$C$30*'Lease Cycles'!$E$30*INDEX('Lease Cycles'!$HE$30:$HK$30,1,AT384)*(1+INDEX('Lease Cycles'!$GQ$30:$GW$30,1,AT384))^INT(INT((AT$6-INDEX('Lease Cycles'!$GJ$30:$GP$30,1,AT384))/12)/INDEX('Lease Cycles'!$GX$30:$HD$30,1,AT384))/12,0)))</f>
        <v>0</v>
      </c>
      <c r="AU387" s="28">
        <f>IF(AU384=0,IF('Lease Cycles'!$F$30&gt;0,'Lease Cycles'!$C$30*'Lease Cycles'!$E$30/12,0),IF(AU386=1,IF('Lease Cycles'!$AT$30&gt;=9999,'Lease Cycles'!$C$30*INDEX('Lease Cycles'!$CB$30:$CH$30,1,AU384)*(1+INDEX('Lease Cycles'!$CI$30:$CO$30,1,AU384))^INT(INT(AU385/12)/INDEX('Lease Cycles'!$CP$30:$CV$30,1,AU384))/12,IF(AU384=1,IF(AU385&gt;=INDEX('Lease Cycles'!$DK$30:$DQ$30,1,AU384),IF(AU$6&gt;='Lease Cycles'!$AZ$30,'Lease Cycles'!$C$30*'Lease Cycles'!$BA$30/12,IF(AU$6&gt;='Lease Cycles'!$AX$30,'Lease Cycles'!$C$30*'Lease Cycles'!$AY$30/12,IF(AU$6&gt;='Lease Cycles'!$AV$30,'Lease Cycles'!$C$30*'Lease Cycles'!$AW$30/12,IF(AU$6&gt;='Lease Cycles'!$AT$30,'Lease Cycles'!$C$30*'Lease Cycles'!$AU$30/12,'Lease Cycles'!$C$30*INDEX('Lease Cycles'!$CB$30:$CH$30,1,AU384)*(1+INDEX('Lease Cycles'!$CI$30:$CO$30,1,AU384))^INT(INT(AU385/12)/INDEX('Lease Cycles'!$CP$30:$CV$30,1,AU384))/12)))),'Lease Cycles'!$C$30*INDEX('Lease Cycles'!$CB$30:$CH$30,1,AU384)*(1+INDEX('Lease Cycles'!$CI$30:$CO$30,1,AU384))^INT(INT(AU385/12)/INDEX('Lease Cycles'!$CP$30:$CV$30,1,AU384))/12),IF(INDEX('Lease Cycles'!$EF$30:$EL$30,1,AU384)=1,IF(AND('Lease Cycles'!$AZ$30&gt;=INDEX('Lease Cycles'!$BG$30:$BM$30,1,AU384),'Lease Cycles'!$AZ$30&lt;=AU$6),'Lease Cycles'!$C$30*'Lease Cycles'!$BA$30/12,IF(AND('Lease Cycles'!$AX$30&gt;=INDEX('Lease Cycles'!$BG$30:$BM$30,1,AU384),'Lease Cycles'!$AX$30&lt;=AU$6),'Lease Cycles'!$C$30*'Lease Cycles'!$AY$30/12,IF(AND('Lease Cycles'!$AV$30&gt;=INDEX('Lease Cycles'!$BG$30:$BM$30,1,AU384),'Lease Cycles'!$AV$30&lt;=AU$6),'Lease Cycles'!$C$30*'Lease Cycles'!$AW$30/12,IF(AND('Lease Cycles'!$AT$30&gt;=INDEX('Lease Cycles'!$BG$30:$BM$30,1,AU384),'Lease Cycles'!$AT$30&lt;=AU$6),'Lease Cycles'!$C$30*'Lease Cycles'!$AU$30/12,'Lease Cycles'!$C$30*INDEX('Lease Cycles'!$CB$30:$CH$30,1,AU384)*(1+INDEX('Lease Cycles'!$CI$30:$CO$30,1,AU384))^INT(INT(AU385/12)/INDEX('Lease Cycles'!$CP$30:$CV$30,1,AU384))/12)))),'Lease Cycles'!$C$30*INDEX('Lease Cycles'!$CB$30:$CH$30,1,AU384)*(1+INDEX('Lease Cycles'!$CI$30:$CO$30,1,AU384))^INT(INT(AU385/12)/INDEX('Lease Cycles'!$CP$30:$CV$30,1,AU384))/12))),IF('Lease Cycles'!$N$30=1,'Lease Cycles'!$C$30*'Lease Cycles'!$E$30*INDEX('Lease Cycles'!$HE$30:$HK$30,1,AU384)*(1+INDEX('Lease Cycles'!$GQ$30:$GW$30,1,AU384))^INT(INT((AU$6-INDEX('Lease Cycles'!$GJ$30:$GP$30,1,AU384))/12)/INDEX('Lease Cycles'!$GX$30:$HD$30,1,AU384))/12,0)))</f>
        <v>0</v>
      </c>
      <c r="AV387" s="28">
        <f>IF(AV384=0,IF('Lease Cycles'!$F$30&gt;0,'Lease Cycles'!$C$30*'Lease Cycles'!$E$30/12,0),IF(AV386=1,IF('Lease Cycles'!$AT$30&gt;=9999,'Lease Cycles'!$C$30*INDEX('Lease Cycles'!$CB$30:$CH$30,1,AV384)*(1+INDEX('Lease Cycles'!$CI$30:$CO$30,1,AV384))^INT(INT(AV385/12)/INDEX('Lease Cycles'!$CP$30:$CV$30,1,AV384))/12,IF(AV384=1,IF(AV385&gt;=INDEX('Lease Cycles'!$DK$30:$DQ$30,1,AV384),IF(AV$6&gt;='Lease Cycles'!$AZ$30,'Lease Cycles'!$C$30*'Lease Cycles'!$BA$30/12,IF(AV$6&gt;='Lease Cycles'!$AX$30,'Lease Cycles'!$C$30*'Lease Cycles'!$AY$30/12,IF(AV$6&gt;='Lease Cycles'!$AV$30,'Lease Cycles'!$C$30*'Lease Cycles'!$AW$30/12,IF(AV$6&gt;='Lease Cycles'!$AT$30,'Lease Cycles'!$C$30*'Lease Cycles'!$AU$30/12,'Lease Cycles'!$C$30*INDEX('Lease Cycles'!$CB$30:$CH$30,1,AV384)*(1+INDEX('Lease Cycles'!$CI$30:$CO$30,1,AV384))^INT(INT(AV385/12)/INDEX('Lease Cycles'!$CP$30:$CV$30,1,AV384))/12)))),'Lease Cycles'!$C$30*INDEX('Lease Cycles'!$CB$30:$CH$30,1,AV384)*(1+INDEX('Lease Cycles'!$CI$30:$CO$30,1,AV384))^INT(INT(AV385/12)/INDEX('Lease Cycles'!$CP$30:$CV$30,1,AV384))/12),IF(INDEX('Lease Cycles'!$EF$30:$EL$30,1,AV384)=1,IF(AND('Lease Cycles'!$AZ$30&gt;=INDEX('Lease Cycles'!$BG$30:$BM$30,1,AV384),'Lease Cycles'!$AZ$30&lt;=AV$6),'Lease Cycles'!$C$30*'Lease Cycles'!$BA$30/12,IF(AND('Lease Cycles'!$AX$30&gt;=INDEX('Lease Cycles'!$BG$30:$BM$30,1,AV384),'Lease Cycles'!$AX$30&lt;=AV$6),'Lease Cycles'!$C$30*'Lease Cycles'!$AY$30/12,IF(AND('Lease Cycles'!$AV$30&gt;=INDEX('Lease Cycles'!$BG$30:$BM$30,1,AV384),'Lease Cycles'!$AV$30&lt;=AV$6),'Lease Cycles'!$C$30*'Lease Cycles'!$AW$30/12,IF(AND('Lease Cycles'!$AT$30&gt;=INDEX('Lease Cycles'!$BG$30:$BM$30,1,AV384),'Lease Cycles'!$AT$30&lt;=AV$6),'Lease Cycles'!$C$30*'Lease Cycles'!$AU$30/12,'Lease Cycles'!$C$30*INDEX('Lease Cycles'!$CB$30:$CH$30,1,AV384)*(1+INDEX('Lease Cycles'!$CI$30:$CO$30,1,AV384))^INT(INT(AV385/12)/INDEX('Lease Cycles'!$CP$30:$CV$30,1,AV384))/12)))),'Lease Cycles'!$C$30*INDEX('Lease Cycles'!$CB$30:$CH$30,1,AV384)*(1+INDEX('Lease Cycles'!$CI$30:$CO$30,1,AV384))^INT(INT(AV385/12)/INDEX('Lease Cycles'!$CP$30:$CV$30,1,AV384))/12))),IF('Lease Cycles'!$N$30=1,'Lease Cycles'!$C$30*'Lease Cycles'!$E$30*INDEX('Lease Cycles'!$HE$30:$HK$30,1,AV384)*(1+INDEX('Lease Cycles'!$GQ$30:$GW$30,1,AV384))^INT(INT((AV$6-INDEX('Lease Cycles'!$GJ$30:$GP$30,1,AV384))/12)/INDEX('Lease Cycles'!$GX$30:$HD$30,1,AV384))/12,0)))</f>
        <v>0</v>
      </c>
      <c r="AW387" s="28">
        <f>IF(AW384=0,IF('Lease Cycles'!$F$30&gt;0,'Lease Cycles'!$C$30*'Lease Cycles'!$E$30/12,0),IF(AW386=1,IF('Lease Cycles'!$AT$30&gt;=9999,'Lease Cycles'!$C$30*INDEX('Lease Cycles'!$CB$30:$CH$30,1,AW384)*(1+INDEX('Lease Cycles'!$CI$30:$CO$30,1,AW384))^INT(INT(AW385/12)/INDEX('Lease Cycles'!$CP$30:$CV$30,1,AW384))/12,IF(AW384=1,IF(AW385&gt;=INDEX('Lease Cycles'!$DK$30:$DQ$30,1,AW384),IF(AW$6&gt;='Lease Cycles'!$AZ$30,'Lease Cycles'!$C$30*'Lease Cycles'!$BA$30/12,IF(AW$6&gt;='Lease Cycles'!$AX$30,'Lease Cycles'!$C$30*'Lease Cycles'!$AY$30/12,IF(AW$6&gt;='Lease Cycles'!$AV$30,'Lease Cycles'!$C$30*'Lease Cycles'!$AW$30/12,IF(AW$6&gt;='Lease Cycles'!$AT$30,'Lease Cycles'!$C$30*'Lease Cycles'!$AU$30/12,'Lease Cycles'!$C$30*INDEX('Lease Cycles'!$CB$30:$CH$30,1,AW384)*(1+INDEX('Lease Cycles'!$CI$30:$CO$30,1,AW384))^INT(INT(AW385/12)/INDEX('Lease Cycles'!$CP$30:$CV$30,1,AW384))/12)))),'Lease Cycles'!$C$30*INDEX('Lease Cycles'!$CB$30:$CH$30,1,AW384)*(1+INDEX('Lease Cycles'!$CI$30:$CO$30,1,AW384))^INT(INT(AW385/12)/INDEX('Lease Cycles'!$CP$30:$CV$30,1,AW384))/12),IF(INDEX('Lease Cycles'!$EF$30:$EL$30,1,AW384)=1,IF(AND('Lease Cycles'!$AZ$30&gt;=INDEX('Lease Cycles'!$BG$30:$BM$30,1,AW384),'Lease Cycles'!$AZ$30&lt;=AW$6),'Lease Cycles'!$C$30*'Lease Cycles'!$BA$30/12,IF(AND('Lease Cycles'!$AX$30&gt;=INDEX('Lease Cycles'!$BG$30:$BM$30,1,AW384),'Lease Cycles'!$AX$30&lt;=AW$6),'Lease Cycles'!$C$30*'Lease Cycles'!$AY$30/12,IF(AND('Lease Cycles'!$AV$30&gt;=INDEX('Lease Cycles'!$BG$30:$BM$30,1,AW384),'Lease Cycles'!$AV$30&lt;=AW$6),'Lease Cycles'!$C$30*'Lease Cycles'!$AW$30/12,IF(AND('Lease Cycles'!$AT$30&gt;=INDEX('Lease Cycles'!$BG$30:$BM$30,1,AW384),'Lease Cycles'!$AT$30&lt;=AW$6),'Lease Cycles'!$C$30*'Lease Cycles'!$AU$30/12,'Lease Cycles'!$C$30*INDEX('Lease Cycles'!$CB$30:$CH$30,1,AW384)*(1+INDEX('Lease Cycles'!$CI$30:$CO$30,1,AW384))^INT(INT(AW385/12)/INDEX('Lease Cycles'!$CP$30:$CV$30,1,AW384))/12)))),'Lease Cycles'!$C$30*INDEX('Lease Cycles'!$CB$30:$CH$30,1,AW384)*(1+INDEX('Lease Cycles'!$CI$30:$CO$30,1,AW384))^INT(INT(AW385/12)/INDEX('Lease Cycles'!$CP$30:$CV$30,1,AW384))/12))),IF('Lease Cycles'!$N$30=1,'Lease Cycles'!$C$30*'Lease Cycles'!$E$30*INDEX('Lease Cycles'!$HE$30:$HK$30,1,AW384)*(1+INDEX('Lease Cycles'!$GQ$30:$GW$30,1,AW384))^INT(INT((AW$6-INDEX('Lease Cycles'!$GJ$30:$GP$30,1,AW384))/12)/INDEX('Lease Cycles'!$GX$30:$HD$30,1,AW384))/12,0)))</f>
        <v>0</v>
      </c>
      <c r="AX387" s="28">
        <f>IF(AX384=0,IF('Lease Cycles'!$F$30&gt;0,'Lease Cycles'!$C$30*'Lease Cycles'!$E$30/12,0),IF(AX386=1,IF('Lease Cycles'!$AT$30&gt;=9999,'Lease Cycles'!$C$30*INDEX('Lease Cycles'!$CB$30:$CH$30,1,AX384)*(1+INDEX('Lease Cycles'!$CI$30:$CO$30,1,AX384))^INT(INT(AX385/12)/INDEX('Lease Cycles'!$CP$30:$CV$30,1,AX384))/12,IF(AX384=1,IF(AX385&gt;=INDEX('Lease Cycles'!$DK$30:$DQ$30,1,AX384),IF(AX$6&gt;='Lease Cycles'!$AZ$30,'Lease Cycles'!$C$30*'Lease Cycles'!$BA$30/12,IF(AX$6&gt;='Lease Cycles'!$AX$30,'Lease Cycles'!$C$30*'Lease Cycles'!$AY$30/12,IF(AX$6&gt;='Lease Cycles'!$AV$30,'Lease Cycles'!$C$30*'Lease Cycles'!$AW$30/12,IF(AX$6&gt;='Lease Cycles'!$AT$30,'Lease Cycles'!$C$30*'Lease Cycles'!$AU$30/12,'Lease Cycles'!$C$30*INDEX('Lease Cycles'!$CB$30:$CH$30,1,AX384)*(1+INDEX('Lease Cycles'!$CI$30:$CO$30,1,AX384))^INT(INT(AX385/12)/INDEX('Lease Cycles'!$CP$30:$CV$30,1,AX384))/12)))),'Lease Cycles'!$C$30*INDEX('Lease Cycles'!$CB$30:$CH$30,1,AX384)*(1+INDEX('Lease Cycles'!$CI$30:$CO$30,1,AX384))^INT(INT(AX385/12)/INDEX('Lease Cycles'!$CP$30:$CV$30,1,AX384))/12),IF(INDEX('Lease Cycles'!$EF$30:$EL$30,1,AX384)=1,IF(AND('Lease Cycles'!$AZ$30&gt;=INDEX('Lease Cycles'!$BG$30:$BM$30,1,AX384),'Lease Cycles'!$AZ$30&lt;=AX$6),'Lease Cycles'!$C$30*'Lease Cycles'!$BA$30/12,IF(AND('Lease Cycles'!$AX$30&gt;=INDEX('Lease Cycles'!$BG$30:$BM$30,1,AX384),'Lease Cycles'!$AX$30&lt;=AX$6),'Lease Cycles'!$C$30*'Lease Cycles'!$AY$30/12,IF(AND('Lease Cycles'!$AV$30&gt;=INDEX('Lease Cycles'!$BG$30:$BM$30,1,AX384),'Lease Cycles'!$AV$30&lt;=AX$6),'Lease Cycles'!$C$30*'Lease Cycles'!$AW$30/12,IF(AND('Lease Cycles'!$AT$30&gt;=INDEX('Lease Cycles'!$BG$30:$BM$30,1,AX384),'Lease Cycles'!$AT$30&lt;=AX$6),'Lease Cycles'!$C$30*'Lease Cycles'!$AU$30/12,'Lease Cycles'!$C$30*INDEX('Lease Cycles'!$CB$30:$CH$30,1,AX384)*(1+INDEX('Lease Cycles'!$CI$30:$CO$30,1,AX384))^INT(INT(AX385/12)/INDEX('Lease Cycles'!$CP$30:$CV$30,1,AX384))/12)))),'Lease Cycles'!$C$30*INDEX('Lease Cycles'!$CB$30:$CH$30,1,AX384)*(1+INDEX('Lease Cycles'!$CI$30:$CO$30,1,AX384))^INT(INT(AX385/12)/INDEX('Lease Cycles'!$CP$30:$CV$30,1,AX384))/12))),IF('Lease Cycles'!$N$30=1,'Lease Cycles'!$C$30*'Lease Cycles'!$E$30*INDEX('Lease Cycles'!$HE$30:$HK$30,1,AX384)*(1+INDEX('Lease Cycles'!$GQ$30:$GW$30,1,AX384))^INT(INT((AX$6-INDEX('Lease Cycles'!$GJ$30:$GP$30,1,AX384))/12)/INDEX('Lease Cycles'!$GX$30:$HD$30,1,AX384))/12,0)))</f>
        <v>0</v>
      </c>
      <c r="AY387" s="28">
        <f>IF(AY384=0,IF('Lease Cycles'!$F$30&gt;0,'Lease Cycles'!$C$30*'Lease Cycles'!$E$30/12,0),IF(AY386=1,IF('Lease Cycles'!$AT$30&gt;=9999,'Lease Cycles'!$C$30*INDEX('Lease Cycles'!$CB$30:$CH$30,1,AY384)*(1+INDEX('Lease Cycles'!$CI$30:$CO$30,1,AY384))^INT(INT(AY385/12)/INDEX('Lease Cycles'!$CP$30:$CV$30,1,AY384))/12,IF(AY384=1,IF(AY385&gt;=INDEX('Lease Cycles'!$DK$30:$DQ$30,1,AY384),IF(AY$6&gt;='Lease Cycles'!$AZ$30,'Lease Cycles'!$C$30*'Lease Cycles'!$BA$30/12,IF(AY$6&gt;='Lease Cycles'!$AX$30,'Lease Cycles'!$C$30*'Lease Cycles'!$AY$30/12,IF(AY$6&gt;='Lease Cycles'!$AV$30,'Lease Cycles'!$C$30*'Lease Cycles'!$AW$30/12,IF(AY$6&gt;='Lease Cycles'!$AT$30,'Lease Cycles'!$C$30*'Lease Cycles'!$AU$30/12,'Lease Cycles'!$C$30*INDEX('Lease Cycles'!$CB$30:$CH$30,1,AY384)*(1+INDEX('Lease Cycles'!$CI$30:$CO$30,1,AY384))^INT(INT(AY385/12)/INDEX('Lease Cycles'!$CP$30:$CV$30,1,AY384))/12)))),'Lease Cycles'!$C$30*INDEX('Lease Cycles'!$CB$30:$CH$30,1,AY384)*(1+INDEX('Lease Cycles'!$CI$30:$CO$30,1,AY384))^INT(INT(AY385/12)/INDEX('Lease Cycles'!$CP$30:$CV$30,1,AY384))/12),IF(INDEX('Lease Cycles'!$EF$30:$EL$30,1,AY384)=1,IF(AND('Lease Cycles'!$AZ$30&gt;=INDEX('Lease Cycles'!$BG$30:$BM$30,1,AY384),'Lease Cycles'!$AZ$30&lt;=AY$6),'Lease Cycles'!$C$30*'Lease Cycles'!$BA$30/12,IF(AND('Lease Cycles'!$AX$30&gt;=INDEX('Lease Cycles'!$BG$30:$BM$30,1,AY384),'Lease Cycles'!$AX$30&lt;=AY$6),'Lease Cycles'!$C$30*'Lease Cycles'!$AY$30/12,IF(AND('Lease Cycles'!$AV$30&gt;=INDEX('Lease Cycles'!$BG$30:$BM$30,1,AY384),'Lease Cycles'!$AV$30&lt;=AY$6),'Lease Cycles'!$C$30*'Lease Cycles'!$AW$30/12,IF(AND('Lease Cycles'!$AT$30&gt;=INDEX('Lease Cycles'!$BG$30:$BM$30,1,AY384),'Lease Cycles'!$AT$30&lt;=AY$6),'Lease Cycles'!$C$30*'Lease Cycles'!$AU$30/12,'Lease Cycles'!$C$30*INDEX('Lease Cycles'!$CB$30:$CH$30,1,AY384)*(1+INDEX('Lease Cycles'!$CI$30:$CO$30,1,AY384))^INT(INT(AY385/12)/INDEX('Lease Cycles'!$CP$30:$CV$30,1,AY384))/12)))),'Lease Cycles'!$C$30*INDEX('Lease Cycles'!$CB$30:$CH$30,1,AY384)*(1+INDEX('Lease Cycles'!$CI$30:$CO$30,1,AY384))^INT(INT(AY385/12)/INDEX('Lease Cycles'!$CP$30:$CV$30,1,AY384))/12))),IF('Lease Cycles'!$N$30=1,'Lease Cycles'!$C$30*'Lease Cycles'!$E$30*INDEX('Lease Cycles'!$HE$30:$HK$30,1,AY384)*(1+INDEX('Lease Cycles'!$GQ$30:$GW$30,1,AY384))^INT(INT((AY$6-INDEX('Lease Cycles'!$GJ$30:$GP$30,1,AY384))/12)/INDEX('Lease Cycles'!$GX$30:$HD$30,1,AY384))/12,0)))</f>
        <v>0</v>
      </c>
      <c r="AZ387" s="28">
        <f>IF(AZ384=0,IF('Lease Cycles'!$F$30&gt;0,'Lease Cycles'!$C$30*'Lease Cycles'!$E$30/12,0),IF(AZ386=1,IF('Lease Cycles'!$AT$30&gt;=9999,'Lease Cycles'!$C$30*INDEX('Lease Cycles'!$CB$30:$CH$30,1,AZ384)*(1+INDEX('Lease Cycles'!$CI$30:$CO$30,1,AZ384))^INT(INT(AZ385/12)/INDEX('Lease Cycles'!$CP$30:$CV$30,1,AZ384))/12,IF(AZ384=1,IF(AZ385&gt;=INDEX('Lease Cycles'!$DK$30:$DQ$30,1,AZ384),IF(AZ$6&gt;='Lease Cycles'!$AZ$30,'Lease Cycles'!$C$30*'Lease Cycles'!$BA$30/12,IF(AZ$6&gt;='Lease Cycles'!$AX$30,'Lease Cycles'!$C$30*'Lease Cycles'!$AY$30/12,IF(AZ$6&gt;='Lease Cycles'!$AV$30,'Lease Cycles'!$C$30*'Lease Cycles'!$AW$30/12,IF(AZ$6&gt;='Lease Cycles'!$AT$30,'Lease Cycles'!$C$30*'Lease Cycles'!$AU$30/12,'Lease Cycles'!$C$30*INDEX('Lease Cycles'!$CB$30:$CH$30,1,AZ384)*(1+INDEX('Lease Cycles'!$CI$30:$CO$30,1,AZ384))^INT(INT(AZ385/12)/INDEX('Lease Cycles'!$CP$30:$CV$30,1,AZ384))/12)))),'Lease Cycles'!$C$30*INDEX('Lease Cycles'!$CB$30:$CH$30,1,AZ384)*(1+INDEX('Lease Cycles'!$CI$30:$CO$30,1,AZ384))^INT(INT(AZ385/12)/INDEX('Lease Cycles'!$CP$30:$CV$30,1,AZ384))/12),IF(INDEX('Lease Cycles'!$EF$30:$EL$30,1,AZ384)=1,IF(AND('Lease Cycles'!$AZ$30&gt;=INDEX('Lease Cycles'!$BG$30:$BM$30,1,AZ384),'Lease Cycles'!$AZ$30&lt;=AZ$6),'Lease Cycles'!$C$30*'Lease Cycles'!$BA$30/12,IF(AND('Lease Cycles'!$AX$30&gt;=INDEX('Lease Cycles'!$BG$30:$BM$30,1,AZ384),'Lease Cycles'!$AX$30&lt;=AZ$6),'Lease Cycles'!$C$30*'Lease Cycles'!$AY$30/12,IF(AND('Lease Cycles'!$AV$30&gt;=INDEX('Lease Cycles'!$BG$30:$BM$30,1,AZ384),'Lease Cycles'!$AV$30&lt;=AZ$6),'Lease Cycles'!$C$30*'Lease Cycles'!$AW$30/12,IF(AND('Lease Cycles'!$AT$30&gt;=INDEX('Lease Cycles'!$BG$30:$BM$30,1,AZ384),'Lease Cycles'!$AT$30&lt;=AZ$6),'Lease Cycles'!$C$30*'Lease Cycles'!$AU$30/12,'Lease Cycles'!$C$30*INDEX('Lease Cycles'!$CB$30:$CH$30,1,AZ384)*(1+INDEX('Lease Cycles'!$CI$30:$CO$30,1,AZ384))^INT(INT(AZ385/12)/INDEX('Lease Cycles'!$CP$30:$CV$30,1,AZ384))/12)))),'Lease Cycles'!$C$30*INDEX('Lease Cycles'!$CB$30:$CH$30,1,AZ384)*(1+INDEX('Lease Cycles'!$CI$30:$CO$30,1,AZ384))^INT(INT(AZ385/12)/INDEX('Lease Cycles'!$CP$30:$CV$30,1,AZ384))/12))),IF('Lease Cycles'!$N$30=1,'Lease Cycles'!$C$30*'Lease Cycles'!$E$30*INDEX('Lease Cycles'!$HE$30:$HK$30,1,AZ384)*(1+INDEX('Lease Cycles'!$GQ$30:$GW$30,1,AZ384))^INT(INT((AZ$6-INDEX('Lease Cycles'!$GJ$30:$GP$30,1,AZ384))/12)/INDEX('Lease Cycles'!$GX$30:$HD$30,1,AZ384))/12,0)))</f>
        <v>0</v>
      </c>
      <c r="BA387" s="28">
        <f>IF(BA384=0,IF('Lease Cycles'!$F$30&gt;0,'Lease Cycles'!$C$30*'Lease Cycles'!$E$30/12,0),IF(BA386=1,IF('Lease Cycles'!$AT$30&gt;=9999,'Lease Cycles'!$C$30*INDEX('Lease Cycles'!$CB$30:$CH$30,1,BA384)*(1+INDEX('Lease Cycles'!$CI$30:$CO$30,1,BA384))^INT(INT(BA385/12)/INDEX('Lease Cycles'!$CP$30:$CV$30,1,BA384))/12,IF(BA384=1,IF(BA385&gt;=INDEX('Lease Cycles'!$DK$30:$DQ$30,1,BA384),IF(BA$6&gt;='Lease Cycles'!$AZ$30,'Lease Cycles'!$C$30*'Lease Cycles'!$BA$30/12,IF(BA$6&gt;='Lease Cycles'!$AX$30,'Lease Cycles'!$C$30*'Lease Cycles'!$AY$30/12,IF(BA$6&gt;='Lease Cycles'!$AV$30,'Lease Cycles'!$C$30*'Lease Cycles'!$AW$30/12,IF(BA$6&gt;='Lease Cycles'!$AT$30,'Lease Cycles'!$C$30*'Lease Cycles'!$AU$30/12,'Lease Cycles'!$C$30*INDEX('Lease Cycles'!$CB$30:$CH$30,1,BA384)*(1+INDEX('Lease Cycles'!$CI$30:$CO$30,1,BA384))^INT(INT(BA385/12)/INDEX('Lease Cycles'!$CP$30:$CV$30,1,BA384))/12)))),'Lease Cycles'!$C$30*INDEX('Lease Cycles'!$CB$30:$CH$30,1,BA384)*(1+INDEX('Lease Cycles'!$CI$30:$CO$30,1,BA384))^INT(INT(BA385/12)/INDEX('Lease Cycles'!$CP$30:$CV$30,1,BA384))/12),IF(INDEX('Lease Cycles'!$EF$30:$EL$30,1,BA384)=1,IF(AND('Lease Cycles'!$AZ$30&gt;=INDEX('Lease Cycles'!$BG$30:$BM$30,1,BA384),'Lease Cycles'!$AZ$30&lt;=BA$6),'Lease Cycles'!$C$30*'Lease Cycles'!$BA$30/12,IF(AND('Lease Cycles'!$AX$30&gt;=INDEX('Lease Cycles'!$BG$30:$BM$30,1,BA384),'Lease Cycles'!$AX$30&lt;=BA$6),'Lease Cycles'!$C$30*'Lease Cycles'!$AY$30/12,IF(AND('Lease Cycles'!$AV$30&gt;=INDEX('Lease Cycles'!$BG$30:$BM$30,1,BA384),'Lease Cycles'!$AV$30&lt;=BA$6),'Lease Cycles'!$C$30*'Lease Cycles'!$AW$30/12,IF(AND('Lease Cycles'!$AT$30&gt;=INDEX('Lease Cycles'!$BG$30:$BM$30,1,BA384),'Lease Cycles'!$AT$30&lt;=BA$6),'Lease Cycles'!$C$30*'Lease Cycles'!$AU$30/12,'Lease Cycles'!$C$30*INDEX('Lease Cycles'!$CB$30:$CH$30,1,BA384)*(1+INDEX('Lease Cycles'!$CI$30:$CO$30,1,BA384))^INT(INT(BA385/12)/INDEX('Lease Cycles'!$CP$30:$CV$30,1,BA384))/12)))),'Lease Cycles'!$C$30*INDEX('Lease Cycles'!$CB$30:$CH$30,1,BA384)*(1+INDEX('Lease Cycles'!$CI$30:$CO$30,1,BA384))^INT(INT(BA385/12)/INDEX('Lease Cycles'!$CP$30:$CV$30,1,BA384))/12))),IF('Lease Cycles'!$N$30=1,'Lease Cycles'!$C$30*'Lease Cycles'!$E$30*INDEX('Lease Cycles'!$HE$30:$HK$30,1,BA384)*(1+INDEX('Lease Cycles'!$GQ$30:$GW$30,1,BA384))^INT(INT((BA$6-INDEX('Lease Cycles'!$GJ$30:$GP$30,1,BA384))/12)/INDEX('Lease Cycles'!$GX$30:$HD$30,1,BA384))/12,0)))</f>
        <v>0</v>
      </c>
      <c r="BB387" s="28">
        <f>IF(BB384=0,IF('Lease Cycles'!$F$30&gt;0,'Lease Cycles'!$C$30*'Lease Cycles'!$E$30/12,0),IF(BB386=1,IF('Lease Cycles'!$AT$30&gt;=9999,'Lease Cycles'!$C$30*INDEX('Lease Cycles'!$CB$30:$CH$30,1,BB384)*(1+INDEX('Lease Cycles'!$CI$30:$CO$30,1,BB384))^INT(INT(BB385/12)/INDEX('Lease Cycles'!$CP$30:$CV$30,1,BB384))/12,IF(BB384=1,IF(BB385&gt;=INDEX('Lease Cycles'!$DK$30:$DQ$30,1,BB384),IF(BB$6&gt;='Lease Cycles'!$AZ$30,'Lease Cycles'!$C$30*'Lease Cycles'!$BA$30/12,IF(BB$6&gt;='Lease Cycles'!$AX$30,'Lease Cycles'!$C$30*'Lease Cycles'!$AY$30/12,IF(BB$6&gt;='Lease Cycles'!$AV$30,'Lease Cycles'!$C$30*'Lease Cycles'!$AW$30/12,IF(BB$6&gt;='Lease Cycles'!$AT$30,'Lease Cycles'!$C$30*'Lease Cycles'!$AU$30/12,'Lease Cycles'!$C$30*INDEX('Lease Cycles'!$CB$30:$CH$30,1,BB384)*(1+INDEX('Lease Cycles'!$CI$30:$CO$30,1,BB384))^INT(INT(BB385/12)/INDEX('Lease Cycles'!$CP$30:$CV$30,1,BB384))/12)))),'Lease Cycles'!$C$30*INDEX('Lease Cycles'!$CB$30:$CH$30,1,BB384)*(1+INDEX('Lease Cycles'!$CI$30:$CO$30,1,BB384))^INT(INT(BB385/12)/INDEX('Lease Cycles'!$CP$30:$CV$30,1,BB384))/12),IF(INDEX('Lease Cycles'!$EF$30:$EL$30,1,BB384)=1,IF(AND('Lease Cycles'!$AZ$30&gt;=INDEX('Lease Cycles'!$BG$30:$BM$30,1,BB384),'Lease Cycles'!$AZ$30&lt;=BB$6),'Lease Cycles'!$C$30*'Lease Cycles'!$BA$30/12,IF(AND('Lease Cycles'!$AX$30&gt;=INDEX('Lease Cycles'!$BG$30:$BM$30,1,BB384),'Lease Cycles'!$AX$30&lt;=BB$6),'Lease Cycles'!$C$30*'Lease Cycles'!$AY$30/12,IF(AND('Lease Cycles'!$AV$30&gt;=INDEX('Lease Cycles'!$BG$30:$BM$30,1,BB384),'Lease Cycles'!$AV$30&lt;=BB$6),'Lease Cycles'!$C$30*'Lease Cycles'!$AW$30/12,IF(AND('Lease Cycles'!$AT$30&gt;=INDEX('Lease Cycles'!$BG$30:$BM$30,1,BB384),'Lease Cycles'!$AT$30&lt;=BB$6),'Lease Cycles'!$C$30*'Lease Cycles'!$AU$30/12,'Lease Cycles'!$C$30*INDEX('Lease Cycles'!$CB$30:$CH$30,1,BB384)*(1+INDEX('Lease Cycles'!$CI$30:$CO$30,1,BB384))^INT(INT(BB385/12)/INDEX('Lease Cycles'!$CP$30:$CV$30,1,BB384))/12)))),'Lease Cycles'!$C$30*INDEX('Lease Cycles'!$CB$30:$CH$30,1,BB384)*(1+INDEX('Lease Cycles'!$CI$30:$CO$30,1,BB384))^INT(INT(BB385/12)/INDEX('Lease Cycles'!$CP$30:$CV$30,1,BB384))/12))),IF('Lease Cycles'!$N$30=1,'Lease Cycles'!$C$30*'Lease Cycles'!$E$30*INDEX('Lease Cycles'!$HE$30:$HK$30,1,BB384)*(1+INDEX('Lease Cycles'!$GQ$30:$GW$30,1,BB384))^INT(INT((BB$6-INDEX('Lease Cycles'!$GJ$30:$GP$30,1,BB384))/12)/INDEX('Lease Cycles'!$GX$30:$HD$30,1,BB384))/12,0)))</f>
        <v>0</v>
      </c>
      <c r="BC387" s="28">
        <f>IF(BC384=0,IF('Lease Cycles'!$F$30&gt;0,'Lease Cycles'!$C$30*'Lease Cycles'!$E$30/12,0),IF(BC386=1,IF('Lease Cycles'!$AT$30&gt;=9999,'Lease Cycles'!$C$30*INDEX('Lease Cycles'!$CB$30:$CH$30,1,BC384)*(1+INDEX('Lease Cycles'!$CI$30:$CO$30,1,BC384))^INT(INT(BC385/12)/INDEX('Lease Cycles'!$CP$30:$CV$30,1,BC384))/12,IF(BC384=1,IF(BC385&gt;=INDEX('Lease Cycles'!$DK$30:$DQ$30,1,BC384),IF(BC$6&gt;='Lease Cycles'!$AZ$30,'Lease Cycles'!$C$30*'Lease Cycles'!$BA$30/12,IF(BC$6&gt;='Lease Cycles'!$AX$30,'Lease Cycles'!$C$30*'Lease Cycles'!$AY$30/12,IF(BC$6&gt;='Lease Cycles'!$AV$30,'Lease Cycles'!$C$30*'Lease Cycles'!$AW$30/12,IF(BC$6&gt;='Lease Cycles'!$AT$30,'Lease Cycles'!$C$30*'Lease Cycles'!$AU$30/12,'Lease Cycles'!$C$30*INDEX('Lease Cycles'!$CB$30:$CH$30,1,BC384)*(1+INDEX('Lease Cycles'!$CI$30:$CO$30,1,BC384))^INT(INT(BC385/12)/INDEX('Lease Cycles'!$CP$30:$CV$30,1,BC384))/12)))),'Lease Cycles'!$C$30*INDEX('Lease Cycles'!$CB$30:$CH$30,1,BC384)*(1+INDEX('Lease Cycles'!$CI$30:$CO$30,1,BC384))^INT(INT(BC385/12)/INDEX('Lease Cycles'!$CP$30:$CV$30,1,BC384))/12),IF(INDEX('Lease Cycles'!$EF$30:$EL$30,1,BC384)=1,IF(AND('Lease Cycles'!$AZ$30&gt;=INDEX('Lease Cycles'!$BG$30:$BM$30,1,BC384),'Lease Cycles'!$AZ$30&lt;=BC$6),'Lease Cycles'!$C$30*'Lease Cycles'!$BA$30/12,IF(AND('Lease Cycles'!$AX$30&gt;=INDEX('Lease Cycles'!$BG$30:$BM$30,1,BC384),'Lease Cycles'!$AX$30&lt;=BC$6),'Lease Cycles'!$C$30*'Lease Cycles'!$AY$30/12,IF(AND('Lease Cycles'!$AV$30&gt;=INDEX('Lease Cycles'!$BG$30:$BM$30,1,BC384),'Lease Cycles'!$AV$30&lt;=BC$6),'Lease Cycles'!$C$30*'Lease Cycles'!$AW$30/12,IF(AND('Lease Cycles'!$AT$30&gt;=INDEX('Lease Cycles'!$BG$30:$BM$30,1,BC384),'Lease Cycles'!$AT$30&lt;=BC$6),'Lease Cycles'!$C$30*'Lease Cycles'!$AU$30/12,'Lease Cycles'!$C$30*INDEX('Lease Cycles'!$CB$30:$CH$30,1,BC384)*(1+INDEX('Lease Cycles'!$CI$30:$CO$30,1,BC384))^INT(INT(BC385/12)/INDEX('Lease Cycles'!$CP$30:$CV$30,1,BC384))/12)))),'Lease Cycles'!$C$30*INDEX('Lease Cycles'!$CB$30:$CH$30,1,BC384)*(1+INDEX('Lease Cycles'!$CI$30:$CO$30,1,BC384))^INT(INT(BC385/12)/INDEX('Lease Cycles'!$CP$30:$CV$30,1,BC384))/12))),IF('Lease Cycles'!$N$30=1,'Lease Cycles'!$C$30*'Lease Cycles'!$E$30*INDEX('Lease Cycles'!$HE$30:$HK$30,1,BC384)*(1+INDEX('Lease Cycles'!$GQ$30:$GW$30,1,BC384))^INT(INT((BC$6-INDEX('Lease Cycles'!$GJ$30:$GP$30,1,BC384))/12)/INDEX('Lease Cycles'!$GX$30:$HD$30,1,BC384))/12,0)))</f>
        <v>0</v>
      </c>
      <c r="BD387" s="28">
        <f>IF(BD384=0,IF('Lease Cycles'!$F$30&gt;0,'Lease Cycles'!$C$30*'Lease Cycles'!$E$30/12,0),IF(BD386=1,IF('Lease Cycles'!$AT$30&gt;=9999,'Lease Cycles'!$C$30*INDEX('Lease Cycles'!$CB$30:$CH$30,1,BD384)*(1+INDEX('Lease Cycles'!$CI$30:$CO$30,1,BD384))^INT(INT(BD385/12)/INDEX('Lease Cycles'!$CP$30:$CV$30,1,BD384))/12,IF(BD384=1,IF(BD385&gt;=INDEX('Lease Cycles'!$DK$30:$DQ$30,1,BD384),IF(BD$6&gt;='Lease Cycles'!$AZ$30,'Lease Cycles'!$C$30*'Lease Cycles'!$BA$30/12,IF(BD$6&gt;='Lease Cycles'!$AX$30,'Lease Cycles'!$C$30*'Lease Cycles'!$AY$30/12,IF(BD$6&gt;='Lease Cycles'!$AV$30,'Lease Cycles'!$C$30*'Lease Cycles'!$AW$30/12,IF(BD$6&gt;='Lease Cycles'!$AT$30,'Lease Cycles'!$C$30*'Lease Cycles'!$AU$30/12,'Lease Cycles'!$C$30*INDEX('Lease Cycles'!$CB$30:$CH$30,1,BD384)*(1+INDEX('Lease Cycles'!$CI$30:$CO$30,1,BD384))^INT(INT(BD385/12)/INDEX('Lease Cycles'!$CP$30:$CV$30,1,BD384))/12)))),'Lease Cycles'!$C$30*INDEX('Lease Cycles'!$CB$30:$CH$30,1,BD384)*(1+INDEX('Lease Cycles'!$CI$30:$CO$30,1,BD384))^INT(INT(BD385/12)/INDEX('Lease Cycles'!$CP$30:$CV$30,1,BD384))/12),IF(INDEX('Lease Cycles'!$EF$30:$EL$30,1,BD384)=1,IF(AND('Lease Cycles'!$AZ$30&gt;=INDEX('Lease Cycles'!$BG$30:$BM$30,1,BD384),'Lease Cycles'!$AZ$30&lt;=BD$6),'Lease Cycles'!$C$30*'Lease Cycles'!$BA$30/12,IF(AND('Lease Cycles'!$AX$30&gt;=INDEX('Lease Cycles'!$BG$30:$BM$30,1,BD384),'Lease Cycles'!$AX$30&lt;=BD$6),'Lease Cycles'!$C$30*'Lease Cycles'!$AY$30/12,IF(AND('Lease Cycles'!$AV$30&gt;=INDEX('Lease Cycles'!$BG$30:$BM$30,1,BD384),'Lease Cycles'!$AV$30&lt;=BD$6),'Lease Cycles'!$C$30*'Lease Cycles'!$AW$30/12,IF(AND('Lease Cycles'!$AT$30&gt;=INDEX('Lease Cycles'!$BG$30:$BM$30,1,BD384),'Lease Cycles'!$AT$30&lt;=BD$6),'Lease Cycles'!$C$30*'Lease Cycles'!$AU$30/12,'Lease Cycles'!$C$30*INDEX('Lease Cycles'!$CB$30:$CH$30,1,BD384)*(1+INDEX('Lease Cycles'!$CI$30:$CO$30,1,BD384))^INT(INT(BD385/12)/INDEX('Lease Cycles'!$CP$30:$CV$30,1,BD384))/12)))),'Lease Cycles'!$C$30*INDEX('Lease Cycles'!$CB$30:$CH$30,1,BD384)*(1+INDEX('Lease Cycles'!$CI$30:$CO$30,1,BD384))^INT(INT(BD385/12)/INDEX('Lease Cycles'!$CP$30:$CV$30,1,BD384))/12))),IF('Lease Cycles'!$N$30=1,'Lease Cycles'!$C$30*'Lease Cycles'!$E$30*INDEX('Lease Cycles'!$HE$30:$HK$30,1,BD384)*(1+INDEX('Lease Cycles'!$GQ$30:$GW$30,1,BD384))^INT(INT((BD$6-INDEX('Lease Cycles'!$GJ$30:$GP$30,1,BD384))/12)/INDEX('Lease Cycles'!$GX$30:$HD$30,1,BD384))/12,0)))</f>
        <v>0</v>
      </c>
      <c r="BE387" s="28">
        <f>IF(BE384=0,IF('Lease Cycles'!$F$30&gt;0,'Lease Cycles'!$C$30*'Lease Cycles'!$E$30/12,0),IF(BE386=1,IF('Lease Cycles'!$AT$30&gt;=9999,'Lease Cycles'!$C$30*INDEX('Lease Cycles'!$CB$30:$CH$30,1,BE384)*(1+INDEX('Lease Cycles'!$CI$30:$CO$30,1,BE384))^INT(INT(BE385/12)/INDEX('Lease Cycles'!$CP$30:$CV$30,1,BE384))/12,IF(BE384=1,IF(BE385&gt;=INDEX('Lease Cycles'!$DK$30:$DQ$30,1,BE384),IF(BE$6&gt;='Lease Cycles'!$AZ$30,'Lease Cycles'!$C$30*'Lease Cycles'!$BA$30/12,IF(BE$6&gt;='Lease Cycles'!$AX$30,'Lease Cycles'!$C$30*'Lease Cycles'!$AY$30/12,IF(BE$6&gt;='Lease Cycles'!$AV$30,'Lease Cycles'!$C$30*'Lease Cycles'!$AW$30/12,IF(BE$6&gt;='Lease Cycles'!$AT$30,'Lease Cycles'!$C$30*'Lease Cycles'!$AU$30/12,'Lease Cycles'!$C$30*INDEX('Lease Cycles'!$CB$30:$CH$30,1,BE384)*(1+INDEX('Lease Cycles'!$CI$30:$CO$30,1,BE384))^INT(INT(BE385/12)/INDEX('Lease Cycles'!$CP$30:$CV$30,1,BE384))/12)))),'Lease Cycles'!$C$30*INDEX('Lease Cycles'!$CB$30:$CH$30,1,BE384)*(1+INDEX('Lease Cycles'!$CI$30:$CO$30,1,BE384))^INT(INT(BE385/12)/INDEX('Lease Cycles'!$CP$30:$CV$30,1,BE384))/12),IF(INDEX('Lease Cycles'!$EF$30:$EL$30,1,BE384)=1,IF(AND('Lease Cycles'!$AZ$30&gt;=INDEX('Lease Cycles'!$BG$30:$BM$30,1,BE384),'Lease Cycles'!$AZ$30&lt;=BE$6),'Lease Cycles'!$C$30*'Lease Cycles'!$BA$30/12,IF(AND('Lease Cycles'!$AX$30&gt;=INDEX('Lease Cycles'!$BG$30:$BM$30,1,BE384),'Lease Cycles'!$AX$30&lt;=BE$6),'Lease Cycles'!$C$30*'Lease Cycles'!$AY$30/12,IF(AND('Lease Cycles'!$AV$30&gt;=INDEX('Lease Cycles'!$BG$30:$BM$30,1,BE384),'Lease Cycles'!$AV$30&lt;=BE$6),'Lease Cycles'!$C$30*'Lease Cycles'!$AW$30/12,IF(AND('Lease Cycles'!$AT$30&gt;=INDEX('Lease Cycles'!$BG$30:$BM$30,1,BE384),'Lease Cycles'!$AT$30&lt;=BE$6),'Lease Cycles'!$C$30*'Lease Cycles'!$AU$30/12,'Lease Cycles'!$C$30*INDEX('Lease Cycles'!$CB$30:$CH$30,1,BE384)*(1+INDEX('Lease Cycles'!$CI$30:$CO$30,1,BE384))^INT(INT(BE385/12)/INDEX('Lease Cycles'!$CP$30:$CV$30,1,BE384))/12)))),'Lease Cycles'!$C$30*INDEX('Lease Cycles'!$CB$30:$CH$30,1,BE384)*(1+INDEX('Lease Cycles'!$CI$30:$CO$30,1,BE384))^INT(INT(BE385/12)/INDEX('Lease Cycles'!$CP$30:$CV$30,1,BE384))/12))),IF('Lease Cycles'!$N$30=1,'Lease Cycles'!$C$30*'Lease Cycles'!$E$30*INDEX('Lease Cycles'!$HE$30:$HK$30,1,BE384)*(1+INDEX('Lease Cycles'!$GQ$30:$GW$30,1,BE384))^INT(INT((BE$6-INDEX('Lease Cycles'!$GJ$30:$GP$30,1,BE384))/12)/INDEX('Lease Cycles'!$GX$30:$HD$30,1,BE384))/12,0)))</f>
        <v>0</v>
      </c>
      <c r="BF387" s="28">
        <f>IF(BF384=0,IF('Lease Cycles'!$F$30&gt;0,'Lease Cycles'!$C$30*'Lease Cycles'!$E$30/12,0),IF(BF386=1,IF('Lease Cycles'!$AT$30&gt;=9999,'Lease Cycles'!$C$30*INDEX('Lease Cycles'!$CB$30:$CH$30,1,BF384)*(1+INDEX('Lease Cycles'!$CI$30:$CO$30,1,BF384))^INT(INT(BF385/12)/INDEX('Lease Cycles'!$CP$30:$CV$30,1,BF384))/12,IF(BF384=1,IF(BF385&gt;=INDEX('Lease Cycles'!$DK$30:$DQ$30,1,BF384),IF(BF$6&gt;='Lease Cycles'!$AZ$30,'Lease Cycles'!$C$30*'Lease Cycles'!$BA$30/12,IF(BF$6&gt;='Lease Cycles'!$AX$30,'Lease Cycles'!$C$30*'Lease Cycles'!$AY$30/12,IF(BF$6&gt;='Lease Cycles'!$AV$30,'Lease Cycles'!$C$30*'Lease Cycles'!$AW$30/12,IF(BF$6&gt;='Lease Cycles'!$AT$30,'Lease Cycles'!$C$30*'Lease Cycles'!$AU$30/12,'Lease Cycles'!$C$30*INDEX('Lease Cycles'!$CB$30:$CH$30,1,BF384)*(1+INDEX('Lease Cycles'!$CI$30:$CO$30,1,BF384))^INT(INT(BF385/12)/INDEX('Lease Cycles'!$CP$30:$CV$30,1,BF384))/12)))),'Lease Cycles'!$C$30*INDEX('Lease Cycles'!$CB$30:$CH$30,1,BF384)*(1+INDEX('Lease Cycles'!$CI$30:$CO$30,1,BF384))^INT(INT(BF385/12)/INDEX('Lease Cycles'!$CP$30:$CV$30,1,BF384))/12),IF(INDEX('Lease Cycles'!$EF$30:$EL$30,1,BF384)=1,IF(AND('Lease Cycles'!$AZ$30&gt;=INDEX('Lease Cycles'!$BG$30:$BM$30,1,BF384),'Lease Cycles'!$AZ$30&lt;=BF$6),'Lease Cycles'!$C$30*'Lease Cycles'!$BA$30/12,IF(AND('Lease Cycles'!$AX$30&gt;=INDEX('Lease Cycles'!$BG$30:$BM$30,1,BF384),'Lease Cycles'!$AX$30&lt;=BF$6),'Lease Cycles'!$C$30*'Lease Cycles'!$AY$30/12,IF(AND('Lease Cycles'!$AV$30&gt;=INDEX('Lease Cycles'!$BG$30:$BM$30,1,BF384),'Lease Cycles'!$AV$30&lt;=BF$6),'Lease Cycles'!$C$30*'Lease Cycles'!$AW$30/12,IF(AND('Lease Cycles'!$AT$30&gt;=INDEX('Lease Cycles'!$BG$30:$BM$30,1,BF384),'Lease Cycles'!$AT$30&lt;=BF$6),'Lease Cycles'!$C$30*'Lease Cycles'!$AU$30/12,'Lease Cycles'!$C$30*INDEX('Lease Cycles'!$CB$30:$CH$30,1,BF384)*(1+INDEX('Lease Cycles'!$CI$30:$CO$30,1,BF384))^INT(INT(BF385/12)/INDEX('Lease Cycles'!$CP$30:$CV$30,1,BF384))/12)))),'Lease Cycles'!$C$30*INDEX('Lease Cycles'!$CB$30:$CH$30,1,BF384)*(1+INDEX('Lease Cycles'!$CI$30:$CO$30,1,BF384))^INT(INT(BF385/12)/INDEX('Lease Cycles'!$CP$30:$CV$30,1,BF384))/12))),IF('Lease Cycles'!$N$30=1,'Lease Cycles'!$C$30*'Lease Cycles'!$E$30*INDEX('Lease Cycles'!$HE$30:$HK$30,1,BF384)*(1+INDEX('Lease Cycles'!$GQ$30:$GW$30,1,BF384))^INT(INT((BF$6-INDEX('Lease Cycles'!$GJ$30:$GP$30,1,BF384))/12)/INDEX('Lease Cycles'!$GX$30:$HD$30,1,BF384))/12,0)))</f>
        <v>0</v>
      </c>
      <c r="BG387" s="28">
        <f>IF(BG384=0,IF('Lease Cycles'!$F$30&gt;0,'Lease Cycles'!$C$30*'Lease Cycles'!$E$30/12,0),IF(BG386=1,IF('Lease Cycles'!$AT$30&gt;=9999,'Lease Cycles'!$C$30*INDEX('Lease Cycles'!$CB$30:$CH$30,1,BG384)*(1+INDEX('Lease Cycles'!$CI$30:$CO$30,1,BG384))^INT(INT(BG385/12)/INDEX('Lease Cycles'!$CP$30:$CV$30,1,BG384))/12,IF(BG384=1,IF(BG385&gt;=INDEX('Lease Cycles'!$DK$30:$DQ$30,1,BG384),IF(BG$6&gt;='Lease Cycles'!$AZ$30,'Lease Cycles'!$C$30*'Lease Cycles'!$BA$30/12,IF(BG$6&gt;='Lease Cycles'!$AX$30,'Lease Cycles'!$C$30*'Lease Cycles'!$AY$30/12,IF(BG$6&gt;='Lease Cycles'!$AV$30,'Lease Cycles'!$C$30*'Lease Cycles'!$AW$30/12,IF(BG$6&gt;='Lease Cycles'!$AT$30,'Lease Cycles'!$C$30*'Lease Cycles'!$AU$30/12,'Lease Cycles'!$C$30*INDEX('Lease Cycles'!$CB$30:$CH$30,1,BG384)*(1+INDEX('Lease Cycles'!$CI$30:$CO$30,1,BG384))^INT(INT(BG385/12)/INDEX('Lease Cycles'!$CP$30:$CV$30,1,BG384))/12)))),'Lease Cycles'!$C$30*INDEX('Lease Cycles'!$CB$30:$CH$30,1,BG384)*(1+INDEX('Lease Cycles'!$CI$30:$CO$30,1,BG384))^INT(INT(BG385/12)/INDEX('Lease Cycles'!$CP$30:$CV$30,1,BG384))/12),IF(INDEX('Lease Cycles'!$EF$30:$EL$30,1,BG384)=1,IF(AND('Lease Cycles'!$AZ$30&gt;=INDEX('Lease Cycles'!$BG$30:$BM$30,1,BG384),'Lease Cycles'!$AZ$30&lt;=BG$6),'Lease Cycles'!$C$30*'Lease Cycles'!$BA$30/12,IF(AND('Lease Cycles'!$AX$30&gt;=INDEX('Lease Cycles'!$BG$30:$BM$30,1,BG384),'Lease Cycles'!$AX$30&lt;=BG$6),'Lease Cycles'!$C$30*'Lease Cycles'!$AY$30/12,IF(AND('Lease Cycles'!$AV$30&gt;=INDEX('Lease Cycles'!$BG$30:$BM$30,1,BG384),'Lease Cycles'!$AV$30&lt;=BG$6),'Lease Cycles'!$C$30*'Lease Cycles'!$AW$30/12,IF(AND('Lease Cycles'!$AT$30&gt;=INDEX('Lease Cycles'!$BG$30:$BM$30,1,BG384),'Lease Cycles'!$AT$30&lt;=BG$6),'Lease Cycles'!$C$30*'Lease Cycles'!$AU$30/12,'Lease Cycles'!$C$30*INDEX('Lease Cycles'!$CB$30:$CH$30,1,BG384)*(1+INDEX('Lease Cycles'!$CI$30:$CO$30,1,BG384))^INT(INT(BG385/12)/INDEX('Lease Cycles'!$CP$30:$CV$30,1,BG384))/12)))),'Lease Cycles'!$C$30*INDEX('Lease Cycles'!$CB$30:$CH$30,1,BG384)*(1+INDEX('Lease Cycles'!$CI$30:$CO$30,1,BG384))^INT(INT(BG385/12)/INDEX('Lease Cycles'!$CP$30:$CV$30,1,BG384))/12))),IF('Lease Cycles'!$N$30=1,'Lease Cycles'!$C$30*'Lease Cycles'!$E$30*INDEX('Lease Cycles'!$HE$30:$HK$30,1,BG384)*(1+INDEX('Lease Cycles'!$GQ$30:$GW$30,1,BG384))^INT(INT((BG$6-INDEX('Lease Cycles'!$GJ$30:$GP$30,1,BG384))/12)/INDEX('Lease Cycles'!$GX$30:$HD$30,1,BG384))/12,0)))</f>
        <v>0</v>
      </c>
      <c r="BH387" s="28">
        <f>IF(BH384=0,IF('Lease Cycles'!$F$30&gt;0,'Lease Cycles'!$C$30*'Lease Cycles'!$E$30/12,0),IF(BH386=1,IF('Lease Cycles'!$AT$30&gt;=9999,'Lease Cycles'!$C$30*INDEX('Lease Cycles'!$CB$30:$CH$30,1,BH384)*(1+INDEX('Lease Cycles'!$CI$30:$CO$30,1,BH384))^INT(INT(BH385/12)/INDEX('Lease Cycles'!$CP$30:$CV$30,1,BH384))/12,IF(BH384=1,IF(BH385&gt;=INDEX('Lease Cycles'!$DK$30:$DQ$30,1,BH384),IF(BH$6&gt;='Lease Cycles'!$AZ$30,'Lease Cycles'!$C$30*'Lease Cycles'!$BA$30/12,IF(BH$6&gt;='Lease Cycles'!$AX$30,'Lease Cycles'!$C$30*'Lease Cycles'!$AY$30/12,IF(BH$6&gt;='Lease Cycles'!$AV$30,'Lease Cycles'!$C$30*'Lease Cycles'!$AW$30/12,IF(BH$6&gt;='Lease Cycles'!$AT$30,'Lease Cycles'!$C$30*'Lease Cycles'!$AU$30/12,'Lease Cycles'!$C$30*INDEX('Lease Cycles'!$CB$30:$CH$30,1,BH384)*(1+INDEX('Lease Cycles'!$CI$30:$CO$30,1,BH384))^INT(INT(BH385/12)/INDEX('Lease Cycles'!$CP$30:$CV$30,1,BH384))/12)))),'Lease Cycles'!$C$30*INDEX('Lease Cycles'!$CB$30:$CH$30,1,BH384)*(1+INDEX('Lease Cycles'!$CI$30:$CO$30,1,BH384))^INT(INT(BH385/12)/INDEX('Lease Cycles'!$CP$30:$CV$30,1,BH384))/12),IF(INDEX('Lease Cycles'!$EF$30:$EL$30,1,BH384)=1,IF(AND('Lease Cycles'!$AZ$30&gt;=INDEX('Lease Cycles'!$BG$30:$BM$30,1,BH384),'Lease Cycles'!$AZ$30&lt;=BH$6),'Lease Cycles'!$C$30*'Lease Cycles'!$BA$30/12,IF(AND('Lease Cycles'!$AX$30&gt;=INDEX('Lease Cycles'!$BG$30:$BM$30,1,BH384),'Lease Cycles'!$AX$30&lt;=BH$6),'Lease Cycles'!$C$30*'Lease Cycles'!$AY$30/12,IF(AND('Lease Cycles'!$AV$30&gt;=INDEX('Lease Cycles'!$BG$30:$BM$30,1,BH384),'Lease Cycles'!$AV$30&lt;=BH$6),'Lease Cycles'!$C$30*'Lease Cycles'!$AW$30/12,IF(AND('Lease Cycles'!$AT$30&gt;=INDEX('Lease Cycles'!$BG$30:$BM$30,1,BH384),'Lease Cycles'!$AT$30&lt;=BH$6),'Lease Cycles'!$C$30*'Lease Cycles'!$AU$30/12,'Lease Cycles'!$C$30*INDEX('Lease Cycles'!$CB$30:$CH$30,1,BH384)*(1+INDEX('Lease Cycles'!$CI$30:$CO$30,1,BH384))^INT(INT(BH385/12)/INDEX('Lease Cycles'!$CP$30:$CV$30,1,BH384))/12)))),'Lease Cycles'!$C$30*INDEX('Lease Cycles'!$CB$30:$CH$30,1,BH384)*(1+INDEX('Lease Cycles'!$CI$30:$CO$30,1,BH384))^INT(INT(BH385/12)/INDEX('Lease Cycles'!$CP$30:$CV$30,1,BH384))/12))),IF('Lease Cycles'!$N$30=1,'Lease Cycles'!$C$30*'Lease Cycles'!$E$30*INDEX('Lease Cycles'!$HE$30:$HK$30,1,BH384)*(1+INDEX('Lease Cycles'!$GQ$30:$GW$30,1,BH384))^INT(INT((BH$6-INDEX('Lease Cycles'!$GJ$30:$GP$30,1,BH384))/12)/INDEX('Lease Cycles'!$GX$30:$HD$30,1,BH384))/12,0)))</f>
        <v>0</v>
      </c>
      <c r="BI387" s="28">
        <f>IF(BI384=0,IF('Lease Cycles'!$F$30&gt;0,'Lease Cycles'!$C$30*'Lease Cycles'!$E$30/12,0),IF(BI386=1,IF('Lease Cycles'!$AT$30&gt;=9999,'Lease Cycles'!$C$30*INDEX('Lease Cycles'!$CB$30:$CH$30,1,BI384)*(1+INDEX('Lease Cycles'!$CI$30:$CO$30,1,BI384))^INT(INT(BI385/12)/INDEX('Lease Cycles'!$CP$30:$CV$30,1,BI384))/12,IF(BI384=1,IF(BI385&gt;=INDEX('Lease Cycles'!$DK$30:$DQ$30,1,BI384),IF(BI$6&gt;='Lease Cycles'!$AZ$30,'Lease Cycles'!$C$30*'Lease Cycles'!$BA$30/12,IF(BI$6&gt;='Lease Cycles'!$AX$30,'Lease Cycles'!$C$30*'Lease Cycles'!$AY$30/12,IF(BI$6&gt;='Lease Cycles'!$AV$30,'Lease Cycles'!$C$30*'Lease Cycles'!$AW$30/12,IF(BI$6&gt;='Lease Cycles'!$AT$30,'Lease Cycles'!$C$30*'Lease Cycles'!$AU$30/12,'Lease Cycles'!$C$30*INDEX('Lease Cycles'!$CB$30:$CH$30,1,BI384)*(1+INDEX('Lease Cycles'!$CI$30:$CO$30,1,BI384))^INT(INT(BI385/12)/INDEX('Lease Cycles'!$CP$30:$CV$30,1,BI384))/12)))),'Lease Cycles'!$C$30*INDEX('Lease Cycles'!$CB$30:$CH$30,1,BI384)*(1+INDEX('Lease Cycles'!$CI$30:$CO$30,1,BI384))^INT(INT(BI385/12)/INDEX('Lease Cycles'!$CP$30:$CV$30,1,BI384))/12),IF(INDEX('Lease Cycles'!$EF$30:$EL$30,1,BI384)=1,IF(AND('Lease Cycles'!$AZ$30&gt;=INDEX('Lease Cycles'!$BG$30:$BM$30,1,BI384),'Lease Cycles'!$AZ$30&lt;=BI$6),'Lease Cycles'!$C$30*'Lease Cycles'!$BA$30/12,IF(AND('Lease Cycles'!$AX$30&gt;=INDEX('Lease Cycles'!$BG$30:$BM$30,1,BI384),'Lease Cycles'!$AX$30&lt;=BI$6),'Lease Cycles'!$C$30*'Lease Cycles'!$AY$30/12,IF(AND('Lease Cycles'!$AV$30&gt;=INDEX('Lease Cycles'!$BG$30:$BM$30,1,BI384),'Lease Cycles'!$AV$30&lt;=BI$6),'Lease Cycles'!$C$30*'Lease Cycles'!$AW$30/12,IF(AND('Lease Cycles'!$AT$30&gt;=INDEX('Lease Cycles'!$BG$30:$BM$30,1,BI384),'Lease Cycles'!$AT$30&lt;=BI$6),'Lease Cycles'!$C$30*'Lease Cycles'!$AU$30/12,'Lease Cycles'!$C$30*INDEX('Lease Cycles'!$CB$30:$CH$30,1,BI384)*(1+INDEX('Lease Cycles'!$CI$30:$CO$30,1,BI384))^INT(INT(BI385/12)/INDEX('Lease Cycles'!$CP$30:$CV$30,1,BI384))/12)))),'Lease Cycles'!$C$30*INDEX('Lease Cycles'!$CB$30:$CH$30,1,BI384)*(1+INDEX('Lease Cycles'!$CI$30:$CO$30,1,BI384))^INT(INT(BI385/12)/INDEX('Lease Cycles'!$CP$30:$CV$30,1,BI384))/12))),IF('Lease Cycles'!$N$30=1,'Lease Cycles'!$C$30*'Lease Cycles'!$E$30*INDEX('Lease Cycles'!$HE$30:$HK$30,1,BI384)*(1+INDEX('Lease Cycles'!$GQ$30:$GW$30,1,BI384))^INT(INT((BI$6-INDEX('Lease Cycles'!$GJ$30:$GP$30,1,BI384))/12)/INDEX('Lease Cycles'!$GX$30:$HD$30,1,BI384))/12,0)))</f>
        <v>0</v>
      </c>
      <c r="BJ387" s="28">
        <f>IF(BJ384=0,IF('Lease Cycles'!$F$30&gt;0,'Lease Cycles'!$C$30*'Lease Cycles'!$E$30/12,0),IF(BJ386=1,IF('Lease Cycles'!$AT$30&gt;=9999,'Lease Cycles'!$C$30*INDEX('Lease Cycles'!$CB$30:$CH$30,1,BJ384)*(1+INDEX('Lease Cycles'!$CI$30:$CO$30,1,BJ384))^INT(INT(BJ385/12)/INDEX('Lease Cycles'!$CP$30:$CV$30,1,BJ384))/12,IF(BJ384=1,IF(BJ385&gt;=INDEX('Lease Cycles'!$DK$30:$DQ$30,1,BJ384),IF(BJ$6&gt;='Lease Cycles'!$AZ$30,'Lease Cycles'!$C$30*'Lease Cycles'!$BA$30/12,IF(BJ$6&gt;='Lease Cycles'!$AX$30,'Lease Cycles'!$C$30*'Lease Cycles'!$AY$30/12,IF(BJ$6&gt;='Lease Cycles'!$AV$30,'Lease Cycles'!$C$30*'Lease Cycles'!$AW$30/12,IF(BJ$6&gt;='Lease Cycles'!$AT$30,'Lease Cycles'!$C$30*'Lease Cycles'!$AU$30/12,'Lease Cycles'!$C$30*INDEX('Lease Cycles'!$CB$30:$CH$30,1,BJ384)*(1+INDEX('Lease Cycles'!$CI$30:$CO$30,1,BJ384))^INT(INT(BJ385/12)/INDEX('Lease Cycles'!$CP$30:$CV$30,1,BJ384))/12)))),'Lease Cycles'!$C$30*INDEX('Lease Cycles'!$CB$30:$CH$30,1,BJ384)*(1+INDEX('Lease Cycles'!$CI$30:$CO$30,1,BJ384))^INT(INT(BJ385/12)/INDEX('Lease Cycles'!$CP$30:$CV$30,1,BJ384))/12),IF(INDEX('Lease Cycles'!$EF$30:$EL$30,1,BJ384)=1,IF(AND('Lease Cycles'!$AZ$30&gt;=INDEX('Lease Cycles'!$BG$30:$BM$30,1,BJ384),'Lease Cycles'!$AZ$30&lt;=BJ$6),'Lease Cycles'!$C$30*'Lease Cycles'!$BA$30/12,IF(AND('Lease Cycles'!$AX$30&gt;=INDEX('Lease Cycles'!$BG$30:$BM$30,1,BJ384),'Lease Cycles'!$AX$30&lt;=BJ$6),'Lease Cycles'!$C$30*'Lease Cycles'!$AY$30/12,IF(AND('Lease Cycles'!$AV$30&gt;=INDEX('Lease Cycles'!$BG$30:$BM$30,1,BJ384),'Lease Cycles'!$AV$30&lt;=BJ$6),'Lease Cycles'!$C$30*'Lease Cycles'!$AW$30/12,IF(AND('Lease Cycles'!$AT$30&gt;=INDEX('Lease Cycles'!$BG$30:$BM$30,1,BJ384),'Lease Cycles'!$AT$30&lt;=BJ$6),'Lease Cycles'!$C$30*'Lease Cycles'!$AU$30/12,'Lease Cycles'!$C$30*INDEX('Lease Cycles'!$CB$30:$CH$30,1,BJ384)*(1+INDEX('Lease Cycles'!$CI$30:$CO$30,1,BJ384))^INT(INT(BJ385/12)/INDEX('Lease Cycles'!$CP$30:$CV$30,1,BJ384))/12)))),'Lease Cycles'!$C$30*INDEX('Lease Cycles'!$CB$30:$CH$30,1,BJ384)*(1+INDEX('Lease Cycles'!$CI$30:$CO$30,1,BJ384))^INT(INT(BJ385/12)/INDEX('Lease Cycles'!$CP$30:$CV$30,1,BJ384))/12))),IF('Lease Cycles'!$N$30=1,'Lease Cycles'!$C$30*'Lease Cycles'!$E$30*INDEX('Lease Cycles'!$HE$30:$HK$30,1,BJ384)*(1+INDEX('Lease Cycles'!$GQ$30:$GW$30,1,BJ384))^INT(INT((BJ$6-INDEX('Lease Cycles'!$GJ$30:$GP$30,1,BJ384))/12)/INDEX('Lease Cycles'!$GX$30:$HD$30,1,BJ384))/12,0)))</f>
        <v>0</v>
      </c>
      <c r="BK387" s="28">
        <f>IF(BK384=0,IF('Lease Cycles'!$F$30&gt;0,'Lease Cycles'!$C$30*'Lease Cycles'!$E$30/12,0),IF(BK386=1,IF('Lease Cycles'!$AT$30&gt;=9999,'Lease Cycles'!$C$30*INDEX('Lease Cycles'!$CB$30:$CH$30,1,BK384)*(1+INDEX('Lease Cycles'!$CI$30:$CO$30,1,BK384))^INT(INT(BK385/12)/INDEX('Lease Cycles'!$CP$30:$CV$30,1,BK384))/12,IF(BK384=1,IF(BK385&gt;=INDEX('Lease Cycles'!$DK$30:$DQ$30,1,BK384),IF(BK$6&gt;='Lease Cycles'!$AZ$30,'Lease Cycles'!$C$30*'Lease Cycles'!$BA$30/12,IF(BK$6&gt;='Lease Cycles'!$AX$30,'Lease Cycles'!$C$30*'Lease Cycles'!$AY$30/12,IF(BK$6&gt;='Lease Cycles'!$AV$30,'Lease Cycles'!$C$30*'Lease Cycles'!$AW$30/12,IF(BK$6&gt;='Lease Cycles'!$AT$30,'Lease Cycles'!$C$30*'Lease Cycles'!$AU$30/12,'Lease Cycles'!$C$30*INDEX('Lease Cycles'!$CB$30:$CH$30,1,BK384)*(1+INDEX('Lease Cycles'!$CI$30:$CO$30,1,BK384))^INT(INT(BK385/12)/INDEX('Lease Cycles'!$CP$30:$CV$30,1,BK384))/12)))),'Lease Cycles'!$C$30*INDEX('Lease Cycles'!$CB$30:$CH$30,1,BK384)*(1+INDEX('Lease Cycles'!$CI$30:$CO$30,1,BK384))^INT(INT(BK385/12)/INDEX('Lease Cycles'!$CP$30:$CV$30,1,BK384))/12),IF(INDEX('Lease Cycles'!$EF$30:$EL$30,1,BK384)=1,IF(AND('Lease Cycles'!$AZ$30&gt;=INDEX('Lease Cycles'!$BG$30:$BM$30,1,BK384),'Lease Cycles'!$AZ$30&lt;=BK$6),'Lease Cycles'!$C$30*'Lease Cycles'!$BA$30/12,IF(AND('Lease Cycles'!$AX$30&gt;=INDEX('Lease Cycles'!$BG$30:$BM$30,1,BK384),'Lease Cycles'!$AX$30&lt;=BK$6),'Lease Cycles'!$C$30*'Lease Cycles'!$AY$30/12,IF(AND('Lease Cycles'!$AV$30&gt;=INDEX('Lease Cycles'!$BG$30:$BM$30,1,BK384),'Lease Cycles'!$AV$30&lt;=BK$6),'Lease Cycles'!$C$30*'Lease Cycles'!$AW$30/12,IF(AND('Lease Cycles'!$AT$30&gt;=INDEX('Lease Cycles'!$BG$30:$BM$30,1,BK384),'Lease Cycles'!$AT$30&lt;=BK$6),'Lease Cycles'!$C$30*'Lease Cycles'!$AU$30/12,'Lease Cycles'!$C$30*INDEX('Lease Cycles'!$CB$30:$CH$30,1,BK384)*(1+INDEX('Lease Cycles'!$CI$30:$CO$30,1,BK384))^INT(INT(BK385/12)/INDEX('Lease Cycles'!$CP$30:$CV$30,1,BK384))/12)))),'Lease Cycles'!$C$30*INDEX('Lease Cycles'!$CB$30:$CH$30,1,BK384)*(1+INDEX('Lease Cycles'!$CI$30:$CO$30,1,BK384))^INT(INT(BK385/12)/INDEX('Lease Cycles'!$CP$30:$CV$30,1,BK384))/12))),IF('Lease Cycles'!$N$30=1,'Lease Cycles'!$C$30*'Lease Cycles'!$E$30*INDEX('Lease Cycles'!$HE$30:$HK$30,1,BK384)*(1+INDEX('Lease Cycles'!$GQ$30:$GW$30,1,BK384))^INT(INT((BK$6-INDEX('Lease Cycles'!$GJ$30:$GP$30,1,BK384))/12)/INDEX('Lease Cycles'!$GX$30:$HD$30,1,BK384))/12,0)))</f>
        <v>0</v>
      </c>
      <c r="BL387" s="28">
        <f>IF(BL384=0,IF('Lease Cycles'!$F$30&gt;0,'Lease Cycles'!$C$30*'Lease Cycles'!$E$30/12,0),IF(BL386=1,IF('Lease Cycles'!$AT$30&gt;=9999,'Lease Cycles'!$C$30*INDEX('Lease Cycles'!$CB$30:$CH$30,1,BL384)*(1+INDEX('Lease Cycles'!$CI$30:$CO$30,1,BL384))^INT(INT(BL385/12)/INDEX('Lease Cycles'!$CP$30:$CV$30,1,BL384))/12,IF(BL384=1,IF(BL385&gt;=INDEX('Lease Cycles'!$DK$30:$DQ$30,1,BL384),IF(BL$6&gt;='Lease Cycles'!$AZ$30,'Lease Cycles'!$C$30*'Lease Cycles'!$BA$30/12,IF(BL$6&gt;='Lease Cycles'!$AX$30,'Lease Cycles'!$C$30*'Lease Cycles'!$AY$30/12,IF(BL$6&gt;='Lease Cycles'!$AV$30,'Lease Cycles'!$C$30*'Lease Cycles'!$AW$30/12,IF(BL$6&gt;='Lease Cycles'!$AT$30,'Lease Cycles'!$C$30*'Lease Cycles'!$AU$30/12,'Lease Cycles'!$C$30*INDEX('Lease Cycles'!$CB$30:$CH$30,1,BL384)*(1+INDEX('Lease Cycles'!$CI$30:$CO$30,1,BL384))^INT(INT(BL385/12)/INDEX('Lease Cycles'!$CP$30:$CV$30,1,BL384))/12)))),'Lease Cycles'!$C$30*INDEX('Lease Cycles'!$CB$30:$CH$30,1,BL384)*(1+INDEX('Lease Cycles'!$CI$30:$CO$30,1,BL384))^INT(INT(BL385/12)/INDEX('Lease Cycles'!$CP$30:$CV$30,1,BL384))/12),IF(INDEX('Lease Cycles'!$EF$30:$EL$30,1,BL384)=1,IF(AND('Lease Cycles'!$AZ$30&gt;=INDEX('Lease Cycles'!$BG$30:$BM$30,1,BL384),'Lease Cycles'!$AZ$30&lt;=BL$6),'Lease Cycles'!$C$30*'Lease Cycles'!$BA$30/12,IF(AND('Lease Cycles'!$AX$30&gt;=INDEX('Lease Cycles'!$BG$30:$BM$30,1,BL384),'Lease Cycles'!$AX$30&lt;=BL$6),'Lease Cycles'!$C$30*'Lease Cycles'!$AY$30/12,IF(AND('Lease Cycles'!$AV$30&gt;=INDEX('Lease Cycles'!$BG$30:$BM$30,1,BL384),'Lease Cycles'!$AV$30&lt;=BL$6),'Lease Cycles'!$C$30*'Lease Cycles'!$AW$30/12,IF(AND('Lease Cycles'!$AT$30&gt;=INDEX('Lease Cycles'!$BG$30:$BM$30,1,BL384),'Lease Cycles'!$AT$30&lt;=BL$6),'Lease Cycles'!$C$30*'Lease Cycles'!$AU$30/12,'Lease Cycles'!$C$30*INDEX('Lease Cycles'!$CB$30:$CH$30,1,BL384)*(1+INDEX('Lease Cycles'!$CI$30:$CO$30,1,BL384))^INT(INT(BL385/12)/INDEX('Lease Cycles'!$CP$30:$CV$30,1,BL384))/12)))),'Lease Cycles'!$C$30*INDEX('Lease Cycles'!$CB$30:$CH$30,1,BL384)*(1+INDEX('Lease Cycles'!$CI$30:$CO$30,1,BL384))^INT(INT(BL385/12)/INDEX('Lease Cycles'!$CP$30:$CV$30,1,BL384))/12))),IF('Lease Cycles'!$N$30=1,'Lease Cycles'!$C$30*'Lease Cycles'!$E$30*INDEX('Lease Cycles'!$HE$30:$HK$30,1,BL384)*(1+INDEX('Lease Cycles'!$GQ$30:$GW$30,1,BL384))^INT(INT((BL$6-INDEX('Lease Cycles'!$GJ$30:$GP$30,1,BL384))/12)/INDEX('Lease Cycles'!$GX$30:$HD$30,1,BL384))/12,0)))</f>
        <v>0</v>
      </c>
      <c r="BM387" s="28">
        <f>IF(BM384=0,IF('Lease Cycles'!$F$30&gt;0,'Lease Cycles'!$C$30*'Lease Cycles'!$E$30/12,0),IF(BM386=1,IF('Lease Cycles'!$AT$30&gt;=9999,'Lease Cycles'!$C$30*INDEX('Lease Cycles'!$CB$30:$CH$30,1,BM384)*(1+INDEX('Lease Cycles'!$CI$30:$CO$30,1,BM384))^INT(INT(BM385/12)/INDEX('Lease Cycles'!$CP$30:$CV$30,1,BM384))/12,IF(BM384=1,IF(BM385&gt;=INDEX('Lease Cycles'!$DK$30:$DQ$30,1,BM384),IF(BM$6&gt;='Lease Cycles'!$AZ$30,'Lease Cycles'!$C$30*'Lease Cycles'!$BA$30/12,IF(BM$6&gt;='Lease Cycles'!$AX$30,'Lease Cycles'!$C$30*'Lease Cycles'!$AY$30/12,IF(BM$6&gt;='Lease Cycles'!$AV$30,'Lease Cycles'!$C$30*'Lease Cycles'!$AW$30/12,IF(BM$6&gt;='Lease Cycles'!$AT$30,'Lease Cycles'!$C$30*'Lease Cycles'!$AU$30/12,'Lease Cycles'!$C$30*INDEX('Lease Cycles'!$CB$30:$CH$30,1,BM384)*(1+INDEX('Lease Cycles'!$CI$30:$CO$30,1,BM384))^INT(INT(BM385/12)/INDEX('Lease Cycles'!$CP$30:$CV$30,1,BM384))/12)))),'Lease Cycles'!$C$30*INDEX('Lease Cycles'!$CB$30:$CH$30,1,BM384)*(1+INDEX('Lease Cycles'!$CI$30:$CO$30,1,BM384))^INT(INT(BM385/12)/INDEX('Lease Cycles'!$CP$30:$CV$30,1,BM384))/12),IF(INDEX('Lease Cycles'!$EF$30:$EL$30,1,BM384)=1,IF(AND('Lease Cycles'!$AZ$30&gt;=INDEX('Lease Cycles'!$BG$30:$BM$30,1,BM384),'Lease Cycles'!$AZ$30&lt;=BM$6),'Lease Cycles'!$C$30*'Lease Cycles'!$BA$30/12,IF(AND('Lease Cycles'!$AX$30&gt;=INDEX('Lease Cycles'!$BG$30:$BM$30,1,BM384),'Lease Cycles'!$AX$30&lt;=BM$6),'Lease Cycles'!$C$30*'Lease Cycles'!$AY$30/12,IF(AND('Lease Cycles'!$AV$30&gt;=INDEX('Lease Cycles'!$BG$30:$BM$30,1,BM384),'Lease Cycles'!$AV$30&lt;=BM$6),'Lease Cycles'!$C$30*'Lease Cycles'!$AW$30/12,IF(AND('Lease Cycles'!$AT$30&gt;=INDEX('Lease Cycles'!$BG$30:$BM$30,1,BM384),'Lease Cycles'!$AT$30&lt;=BM$6),'Lease Cycles'!$C$30*'Lease Cycles'!$AU$30/12,'Lease Cycles'!$C$30*INDEX('Lease Cycles'!$CB$30:$CH$30,1,BM384)*(1+INDEX('Lease Cycles'!$CI$30:$CO$30,1,BM384))^INT(INT(BM385/12)/INDEX('Lease Cycles'!$CP$30:$CV$30,1,BM384))/12)))),'Lease Cycles'!$C$30*INDEX('Lease Cycles'!$CB$30:$CH$30,1,BM384)*(1+INDEX('Lease Cycles'!$CI$30:$CO$30,1,BM384))^INT(INT(BM385/12)/INDEX('Lease Cycles'!$CP$30:$CV$30,1,BM384))/12))),IF('Lease Cycles'!$N$30=1,'Lease Cycles'!$C$30*'Lease Cycles'!$E$30*INDEX('Lease Cycles'!$HE$30:$HK$30,1,BM384)*(1+INDEX('Lease Cycles'!$GQ$30:$GW$30,1,BM384))^INT(INT((BM$6-INDEX('Lease Cycles'!$GJ$30:$GP$30,1,BM384))/12)/INDEX('Lease Cycles'!$GX$30:$HD$30,1,BM384))/12,0)))</f>
        <v>0</v>
      </c>
      <c r="BN387" s="28">
        <f>IF(BN384=0,IF('Lease Cycles'!$F$30&gt;0,'Lease Cycles'!$C$30*'Lease Cycles'!$E$30/12,0),IF(BN386=1,IF('Lease Cycles'!$AT$30&gt;=9999,'Lease Cycles'!$C$30*INDEX('Lease Cycles'!$CB$30:$CH$30,1,BN384)*(1+INDEX('Lease Cycles'!$CI$30:$CO$30,1,BN384))^INT(INT(BN385/12)/INDEX('Lease Cycles'!$CP$30:$CV$30,1,BN384))/12,IF(BN384=1,IF(BN385&gt;=INDEX('Lease Cycles'!$DK$30:$DQ$30,1,BN384),IF(BN$6&gt;='Lease Cycles'!$AZ$30,'Lease Cycles'!$C$30*'Lease Cycles'!$BA$30/12,IF(BN$6&gt;='Lease Cycles'!$AX$30,'Lease Cycles'!$C$30*'Lease Cycles'!$AY$30/12,IF(BN$6&gt;='Lease Cycles'!$AV$30,'Lease Cycles'!$C$30*'Lease Cycles'!$AW$30/12,IF(BN$6&gt;='Lease Cycles'!$AT$30,'Lease Cycles'!$C$30*'Lease Cycles'!$AU$30/12,'Lease Cycles'!$C$30*INDEX('Lease Cycles'!$CB$30:$CH$30,1,BN384)*(1+INDEX('Lease Cycles'!$CI$30:$CO$30,1,BN384))^INT(INT(BN385/12)/INDEX('Lease Cycles'!$CP$30:$CV$30,1,BN384))/12)))),'Lease Cycles'!$C$30*INDEX('Lease Cycles'!$CB$30:$CH$30,1,BN384)*(1+INDEX('Lease Cycles'!$CI$30:$CO$30,1,BN384))^INT(INT(BN385/12)/INDEX('Lease Cycles'!$CP$30:$CV$30,1,BN384))/12),IF(INDEX('Lease Cycles'!$EF$30:$EL$30,1,BN384)=1,IF(AND('Lease Cycles'!$AZ$30&gt;=INDEX('Lease Cycles'!$BG$30:$BM$30,1,BN384),'Lease Cycles'!$AZ$30&lt;=BN$6),'Lease Cycles'!$C$30*'Lease Cycles'!$BA$30/12,IF(AND('Lease Cycles'!$AX$30&gt;=INDEX('Lease Cycles'!$BG$30:$BM$30,1,BN384),'Lease Cycles'!$AX$30&lt;=BN$6),'Lease Cycles'!$C$30*'Lease Cycles'!$AY$30/12,IF(AND('Lease Cycles'!$AV$30&gt;=INDEX('Lease Cycles'!$BG$30:$BM$30,1,BN384),'Lease Cycles'!$AV$30&lt;=BN$6),'Lease Cycles'!$C$30*'Lease Cycles'!$AW$30/12,IF(AND('Lease Cycles'!$AT$30&gt;=INDEX('Lease Cycles'!$BG$30:$BM$30,1,BN384),'Lease Cycles'!$AT$30&lt;=BN$6),'Lease Cycles'!$C$30*'Lease Cycles'!$AU$30/12,'Lease Cycles'!$C$30*INDEX('Lease Cycles'!$CB$30:$CH$30,1,BN384)*(1+INDEX('Lease Cycles'!$CI$30:$CO$30,1,BN384))^INT(INT(BN385/12)/INDEX('Lease Cycles'!$CP$30:$CV$30,1,BN384))/12)))),'Lease Cycles'!$C$30*INDEX('Lease Cycles'!$CB$30:$CH$30,1,BN384)*(1+INDEX('Lease Cycles'!$CI$30:$CO$30,1,BN384))^INT(INT(BN385/12)/INDEX('Lease Cycles'!$CP$30:$CV$30,1,BN384))/12))),IF('Lease Cycles'!$N$30=1,'Lease Cycles'!$C$30*'Lease Cycles'!$E$30*INDEX('Lease Cycles'!$HE$30:$HK$30,1,BN384)*(1+INDEX('Lease Cycles'!$GQ$30:$GW$30,1,BN384))^INT(INT((BN$6-INDEX('Lease Cycles'!$GJ$30:$GP$30,1,BN384))/12)/INDEX('Lease Cycles'!$GX$30:$HD$30,1,BN384))/12,0)))</f>
        <v>0</v>
      </c>
      <c r="BO387" s="28">
        <f>IF(BO384=0,IF('Lease Cycles'!$F$30&gt;0,'Lease Cycles'!$C$30*'Lease Cycles'!$E$30/12,0),IF(BO386=1,IF('Lease Cycles'!$AT$30&gt;=9999,'Lease Cycles'!$C$30*INDEX('Lease Cycles'!$CB$30:$CH$30,1,BO384)*(1+INDEX('Lease Cycles'!$CI$30:$CO$30,1,BO384))^INT(INT(BO385/12)/INDEX('Lease Cycles'!$CP$30:$CV$30,1,BO384))/12,IF(BO384=1,IF(BO385&gt;=INDEX('Lease Cycles'!$DK$30:$DQ$30,1,BO384),IF(BO$6&gt;='Lease Cycles'!$AZ$30,'Lease Cycles'!$C$30*'Lease Cycles'!$BA$30/12,IF(BO$6&gt;='Lease Cycles'!$AX$30,'Lease Cycles'!$C$30*'Lease Cycles'!$AY$30/12,IF(BO$6&gt;='Lease Cycles'!$AV$30,'Lease Cycles'!$C$30*'Lease Cycles'!$AW$30/12,IF(BO$6&gt;='Lease Cycles'!$AT$30,'Lease Cycles'!$C$30*'Lease Cycles'!$AU$30/12,'Lease Cycles'!$C$30*INDEX('Lease Cycles'!$CB$30:$CH$30,1,BO384)*(1+INDEX('Lease Cycles'!$CI$30:$CO$30,1,BO384))^INT(INT(BO385/12)/INDEX('Lease Cycles'!$CP$30:$CV$30,1,BO384))/12)))),'Lease Cycles'!$C$30*INDEX('Lease Cycles'!$CB$30:$CH$30,1,BO384)*(1+INDEX('Lease Cycles'!$CI$30:$CO$30,1,BO384))^INT(INT(BO385/12)/INDEX('Lease Cycles'!$CP$30:$CV$30,1,BO384))/12),IF(INDEX('Lease Cycles'!$EF$30:$EL$30,1,BO384)=1,IF(AND('Lease Cycles'!$AZ$30&gt;=INDEX('Lease Cycles'!$BG$30:$BM$30,1,BO384),'Lease Cycles'!$AZ$30&lt;=BO$6),'Lease Cycles'!$C$30*'Lease Cycles'!$BA$30/12,IF(AND('Lease Cycles'!$AX$30&gt;=INDEX('Lease Cycles'!$BG$30:$BM$30,1,BO384),'Lease Cycles'!$AX$30&lt;=BO$6),'Lease Cycles'!$C$30*'Lease Cycles'!$AY$30/12,IF(AND('Lease Cycles'!$AV$30&gt;=INDEX('Lease Cycles'!$BG$30:$BM$30,1,BO384),'Lease Cycles'!$AV$30&lt;=BO$6),'Lease Cycles'!$C$30*'Lease Cycles'!$AW$30/12,IF(AND('Lease Cycles'!$AT$30&gt;=INDEX('Lease Cycles'!$BG$30:$BM$30,1,BO384),'Lease Cycles'!$AT$30&lt;=BO$6),'Lease Cycles'!$C$30*'Lease Cycles'!$AU$30/12,'Lease Cycles'!$C$30*INDEX('Lease Cycles'!$CB$30:$CH$30,1,BO384)*(1+INDEX('Lease Cycles'!$CI$30:$CO$30,1,BO384))^INT(INT(BO385/12)/INDEX('Lease Cycles'!$CP$30:$CV$30,1,BO384))/12)))),'Lease Cycles'!$C$30*INDEX('Lease Cycles'!$CB$30:$CH$30,1,BO384)*(1+INDEX('Lease Cycles'!$CI$30:$CO$30,1,BO384))^INT(INT(BO385/12)/INDEX('Lease Cycles'!$CP$30:$CV$30,1,BO384))/12))),IF('Lease Cycles'!$N$30=1,'Lease Cycles'!$C$30*'Lease Cycles'!$E$30*INDEX('Lease Cycles'!$HE$30:$HK$30,1,BO384)*(1+INDEX('Lease Cycles'!$GQ$30:$GW$30,1,BO384))^INT(INT((BO$6-INDEX('Lease Cycles'!$GJ$30:$GP$30,1,BO384))/12)/INDEX('Lease Cycles'!$GX$30:$HD$30,1,BO384))/12,0)))</f>
        <v>0</v>
      </c>
      <c r="BP387" s="28">
        <f>IF(BP384=0,IF('Lease Cycles'!$F$30&gt;0,'Lease Cycles'!$C$30*'Lease Cycles'!$E$30/12,0),IF(BP386=1,IF('Lease Cycles'!$AT$30&gt;=9999,'Lease Cycles'!$C$30*INDEX('Lease Cycles'!$CB$30:$CH$30,1,BP384)*(1+INDEX('Lease Cycles'!$CI$30:$CO$30,1,BP384))^INT(INT(BP385/12)/INDEX('Lease Cycles'!$CP$30:$CV$30,1,BP384))/12,IF(BP384=1,IF(BP385&gt;=INDEX('Lease Cycles'!$DK$30:$DQ$30,1,BP384),IF(BP$6&gt;='Lease Cycles'!$AZ$30,'Lease Cycles'!$C$30*'Lease Cycles'!$BA$30/12,IF(BP$6&gt;='Lease Cycles'!$AX$30,'Lease Cycles'!$C$30*'Lease Cycles'!$AY$30/12,IF(BP$6&gt;='Lease Cycles'!$AV$30,'Lease Cycles'!$C$30*'Lease Cycles'!$AW$30/12,IF(BP$6&gt;='Lease Cycles'!$AT$30,'Lease Cycles'!$C$30*'Lease Cycles'!$AU$30/12,'Lease Cycles'!$C$30*INDEX('Lease Cycles'!$CB$30:$CH$30,1,BP384)*(1+INDEX('Lease Cycles'!$CI$30:$CO$30,1,BP384))^INT(INT(BP385/12)/INDEX('Lease Cycles'!$CP$30:$CV$30,1,BP384))/12)))),'Lease Cycles'!$C$30*INDEX('Lease Cycles'!$CB$30:$CH$30,1,BP384)*(1+INDEX('Lease Cycles'!$CI$30:$CO$30,1,BP384))^INT(INT(BP385/12)/INDEX('Lease Cycles'!$CP$30:$CV$30,1,BP384))/12),IF(INDEX('Lease Cycles'!$EF$30:$EL$30,1,BP384)=1,IF(AND('Lease Cycles'!$AZ$30&gt;=INDEX('Lease Cycles'!$BG$30:$BM$30,1,BP384),'Lease Cycles'!$AZ$30&lt;=BP$6),'Lease Cycles'!$C$30*'Lease Cycles'!$BA$30/12,IF(AND('Lease Cycles'!$AX$30&gt;=INDEX('Lease Cycles'!$BG$30:$BM$30,1,BP384),'Lease Cycles'!$AX$30&lt;=BP$6),'Lease Cycles'!$C$30*'Lease Cycles'!$AY$30/12,IF(AND('Lease Cycles'!$AV$30&gt;=INDEX('Lease Cycles'!$BG$30:$BM$30,1,BP384),'Lease Cycles'!$AV$30&lt;=BP$6),'Lease Cycles'!$C$30*'Lease Cycles'!$AW$30/12,IF(AND('Lease Cycles'!$AT$30&gt;=INDEX('Lease Cycles'!$BG$30:$BM$30,1,BP384),'Lease Cycles'!$AT$30&lt;=BP$6),'Lease Cycles'!$C$30*'Lease Cycles'!$AU$30/12,'Lease Cycles'!$C$30*INDEX('Lease Cycles'!$CB$30:$CH$30,1,BP384)*(1+INDEX('Lease Cycles'!$CI$30:$CO$30,1,BP384))^INT(INT(BP385/12)/INDEX('Lease Cycles'!$CP$30:$CV$30,1,BP384))/12)))),'Lease Cycles'!$C$30*INDEX('Lease Cycles'!$CB$30:$CH$30,1,BP384)*(1+INDEX('Lease Cycles'!$CI$30:$CO$30,1,BP384))^INT(INT(BP385/12)/INDEX('Lease Cycles'!$CP$30:$CV$30,1,BP384))/12))),IF('Lease Cycles'!$N$30=1,'Lease Cycles'!$C$30*'Lease Cycles'!$E$30*INDEX('Lease Cycles'!$HE$30:$HK$30,1,BP384)*(1+INDEX('Lease Cycles'!$GQ$30:$GW$30,1,BP384))^INT(INT((BP$6-INDEX('Lease Cycles'!$GJ$30:$GP$30,1,BP384))/12)/INDEX('Lease Cycles'!$GX$30:$HD$30,1,BP384))/12,0)))</f>
        <v>0</v>
      </c>
      <c r="BQ387" s="28">
        <f>IF(BQ384=0,IF('Lease Cycles'!$F$30&gt;0,'Lease Cycles'!$C$30*'Lease Cycles'!$E$30/12,0),IF(BQ386=1,IF('Lease Cycles'!$AT$30&gt;=9999,'Lease Cycles'!$C$30*INDEX('Lease Cycles'!$CB$30:$CH$30,1,BQ384)*(1+INDEX('Lease Cycles'!$CI$30:$CO$30,1,BQ384))^INT(INT(BQ385/12)/INDEX('Lease Cycles'!$CP$30:$CV$30,1,BQ384))/12,IF(BQ384=1,IF(BQ385&gt;=INDEX('Lease Cycles'!$DK$30:$DQ$30,1,BQ384),IF(BQ$6&gt;='Lease Cycles'!$AZ$30,'Lease Cycles'!$C$30*'Lease Cycles'!$BA$30/12,IF(BQ$6&gt;='Lease Cycles'!$AX$30,'Lease Cycles'!$C$30*'Lease Cycles'!$AY$30/12,IF(BQ$6&gt;='Lease Cycles'!$AV$30,'Lease Cycles'!$C$30*'Lease Cycles'!$AW$30/12,IF(BQ$6&gt;='Lease Cycles'!$AT$30,'Lease Cycles'!$C$30*'Lease Cycles'!$AU$30/12,'Lease Cycles'!$C$30*INDEX('Lease Cycles'!$CB$30:$CH$30,1,BQ384)*(1+INDEX('Lease Cycles'!$CI$30:$CO$30,1,BQ384))^INT(INT(BQ385/12)/INDEX('Lease Cycles'!$CP$30:$CV$30,1,BQ384))/12)))),'Lease Cycles'!$C$30*INDEX('Lease Cycles'!$CB$30:$CH$30,1,BQ384)*(1+INDEX('Lease Cycles'!$CI$30:$CO$30,1,BQ384))^INT(INT(BQ385/12)/INDEX('Lease Cycles'!$CP$30:$CV$30,1,BQ384))/12),IF(INDEX('Lease Cycles'!$EF$30:$EL$30,1,BQ384)=1,IF(AND('Lease Cycles'!$AZ$30&gt;=INDEX('Lease Cycles'!$BG$30:$BM$30,1,BQ384),'Lease Cycles'!$AZ$30&lt;=BQ$6),'Lease Cycles'!$C$30*'Lease Cycles'!$BA$30/12,IF(AND('Lease Cycles'!$AX$30&gt;=INDEX('Lease Cycles'!$BG$30:$BM$30,1,BQ384),'Lease Cycles'!$AX$30&lt;=BQ$6),'Lease Cycles'!$C$30*'Lease Cycles'!$AY$30/12,IF(AND('Lease Cycles'!$AV$30&gt;=INDEX('Lease Cycles'!$BG$30:$BM$30,1,BQ384),'Lease Cycles'!$AV$30&lt;=BQ$6),'Lease Cycles'!$C$30*'Lease Cycles'!$AW$30/12,IF(AND('Lease Cycles'!$AT$30&gt;=INDEX('Lease Cycles'!$BG$30:$BM$30,1,BQ384),'Lease Cycles'!$AT$30&lt;=BQ$6),'Lease Cycles'!$C$30*'Lease Cycles'!$AU$30/12,'Lease Cycles'!$C$30*INDEX('Lease Cycles'!$CB$30:$CH$30,1,BQ384)*(1+INDEX('Lease Cycles'!$CI$30:$CO$30,1,BQ384))^INT(INT(BQ385/12)/INDEX('Lease Cycles'!$CP$30:$CV$30,1,BQ384))/12)))),'Lease Cycles'!$C$30*INDEX('Lease Cycles'!$CB$30:$CH$30,1,BQ384)*(1+INDEX('Lease Cycles'!$CI$30:$CO$30,1,BQ384))^INT(INT(BQ385/12)/INDEX('Lease Cycles'!$CP$30:$CV$30,1,BQ384))/12))),IF('Lease Cycles'!$N$30=1,'Lease Cycles'!$C$30*'Lease Cycles'!$E$30*INDEX('Lease Cycles'!$HE$30:$HK$30,1,BQ384)*(1+INDEX('Lease Cycles'!$GQ$30:$GW$30,1,BQ384))^INT(INT((BQ$6-INDEX('Lease Cycles'!$GJ$30:$GP$30,1,BQ384))/12)/INDEX('Lease Cycles'!$GX$30:$HD$30,1,BQ384))/12,0)))</f>
        <v>0</v>
      </c>
      <c r="BR387" s="28">
        <f>IF(BR384=0,IF('Lease Cycles'!$F$30&gt;0,'Lease Cycles'!$C$30*'Lease Cycles'!$E$30/12,0),IF(BR386=1,IF('Lease Cycles'!$AT$30&gt;=9999,'Lease Cycles'!$C$30*INDEX('Lease Cycles'!$CB$30:$CH$30,1,BR384)*(1+INDEX('Lease Cycles'!$CI$30:$CO$30,1,BR384))^INT(INT(BR385/12)/INDEX('Lease Cycles'!$CP$30:$CV$30,1,BR384))/12,IF(BR384=1,IF(BR385&gt;=INDEX('Lease Cycles'!$DK$30:$DQ$30,1,BR384),IF(BR$6&gt;='Lease Cycles'!$AZ$30,'Lease Cycles'!$C$30*'Lease Cycles'!$BA$30/12,IF(BR$6&gt;='Lease Cycles'!$AX$30,'Lease Cycles'!$C$30*'Lease Cycles'!$AY$30/12,IF(BR$6&gt;='Lease Cycles'!$AV$30,'Lease Cycles'!$C$30*'Lease Cycles'!$AW$30/12,IF(BR$6&gt;='Lease Cycles'!$AT$30,'Lease Cycles'!$C$30*'Lease Cycles'!$AU$30/12,'Lease Cycles'!$C$30*INDEX('Lease Cycles'!$CB$30:$CH$30,1,BR384)*(1+INDEX('Lease Cycles'!$CI$30:$CO$30,1,BR384))^INT(INT(BR385/12)/INDEX('Lease Cycles'!$CP$30:$CV$30,1,BR384))/12)))),'Lease Cycles'!$C$30*INDEX('Lease Cycles'!$CB$30:$CH$30,1,BR384)*(1+INDEX('Lease Cycles'!$CI$30:$CO$30,1,BR384))^INT(INT(BR385/12)/INDEX('Lease Cycles'!$CP$30:$CV$30,1,BR384))/12),IF(INDEX('Lease Cycles'!$EF$30:$EL$30,1,BR384)=1,IF(AND('Lease Cycles'!$AZ$30&gt;=INDEX('Lease Cycles'!$BG$30:$BM$30,1,BR384),'Lease Cycles'!$AZ$30&lt;=BR$6),'Lease Cycles'!$C$30*'Lease Cycles'!$BA$30/12,IF(AND('Lease Cycles'!$AX$30&gt;=INDEX('Lease Cycles'!$BG$30:$BM$30,1,BR384),'Lease Cycles'!$AX$30&lt;=BR$6),'Lease Cycles'!$C$30*'Lease Cycles'!$AY$30/12,IF(AND('Lease Cycles'!$AV$30&gt;=INDEX('Lease Cycles'!$BG$30:$BM$30,1,BR384),'Lease Cycles'!$AV$30&lt;=BR$6),'Lease Cycles'!$C$30*'Lease Cycles'!$AW$30/12,IF(AND('Lease Cycles'!$AT$30&gt;=INDEX('Lease Cycles'!$BG$30:$BM$30,1,BR384),'Lease Cycles'!$AT$30&lt;=BR$6),'Lease Cycles'!$C$30*'Lease Cycles'!$AU$30/12,'Lease Cycles'!$C$30*INDEX('Lease Cycles'!$CB$30:$CH$30,1,BR384)*(1+INDEX('Lease Cycles'!$CI$30:$CO$30,1,BR384))^INT(INT(BR385/12)/INDEX('Lease Cycles'!$CP$30:$CV$30,1,BR384))/12)))),'Lease Cycles'!$C$30*INDEX('Lease Cycles'!$CB$30:$CH$30,1,BR384)*(1+INDEX('Lease Cycles'!$CI$30:$CO$30,1,BR384))^INT(INT(BR385/12)/INDEX('Lease Cycles'!$CP$30:$CV$30,1,BR384))/12))),IF('Lease Cycles'!$N$30=1,'Lease Cycles'!$C$30*'Lease Cycles'!$E$30*INDEX('Lease Cycles'!$HE$30:$HK$30,1,BR384)*(1+INDEX('Lease Cycles'!$GQ$30:$GW$30,1,BR384))^INT(INT((BR$6-INDEX('Lease Cycles'!$GJ$30:$GP$30,1,BR384))/12)/INDEX('Lease Cycles'!$GX$30:$HD$30,1,BR384))/12,0)))</f>
        <v>0</v>
      </c>
      <c r="BS387" s="28">
        <f>IF(BS384=0,IF('Lease Cycles'!$F$30&gt;0,'Lease Cycles'!$C$30*'Lease Cycles'!$E$30/12,0),IF(BS386=1,IF('Lease Cycles'!$AT$30&gt;=9999,'Lease Cycles'!$C$30*INDEX('Lease Cycles'!$CB$30:$CH$30,1,BS384)*(1+INDEX('Lease Cycles'!$CI$30:$CO$30,1,BS384))^INT(INT(BS385/12)/INDEX('Lease Cycles'!$CP$30:$CV$30,1,BS384))/12,IF(BS384=1,IF(BS385&gt;=INDEX('Lease Cycles'!$DK$30:$DQ$30,1,BS384),IF(BS$6&gt;='Lease Cycles'!$AZ$30,'Lease Cycles'!$C$30*'Lease Cycles'!$BA$30/12,IF(BS$6&gt;='Lease Cycles'!$AX$30,'Lease Cycles'!$C$30*'Lease Cycles'!$AY$30/12,IF(BS$6&gt;='Lease Cycles'!$AV$30,'Lease Cycles'!$C$30*'Lease Cycles'!$AW$30/12,IF(BS$6&gt;='Lease Cycles'!$AT$30,'Lease Cycles'!$C$30*'Lease Cycles'!$AU$30/12,'Lease Cycles'!$C$30*INDEX('Lease Cycles'!$CB$30:$CH$30,1,BS384)*(1+INDEX('Lease Cycles'!$CI$30:$CO$30,1,BS384))^INT(INT(BS385/12)/INDEX('Lease Cycles'!$CP$30:$CV$30,1,BS384))/12)))),'Lease Cycles'!$C$30*INDEX('Lease Cycles'!$CB$30:$CH$30,1,BS384)*(1+INDEX('Lease Cycles'!$CI$30:$CO$30,1,BS384))^INT(INT(BS385/12)/INDEX('Lease Cycles'!$CP$30:$CV$30,1,BS384))/12),IF(INDEX('Lease Cycles'!$EF$30:$EL$30,1,BS384)=1,IF(AND('Lease Cycles'!$AZ$30&gt;=INDEX('Lease Cycles'!$BG$30:$BM$30,1,BS384),'Lease Cycles'!$AZ$30&lt;=BS$6),'Lease Cycles'!$C$30*'Lease Cycles'!$BA$30/12,IF(AND('Lease Cycles'!$AX$30&gt;=INDEX('Lease Cycles'!$BG$30:$BM$30,1,BS384),'Lease Cycles'!$AX$30&lt;=BS$6),'Lease Cycles'!$C$30*'Lease Cycles'!$AY$30/12,IF(AND('Lease Cycles'!$AV$30&gt;=INDEX('Lease Cycles'!$BG$30:$BM$30,1,BS384),'Lease Cycles'!$AV$30&lt;=BS$6),'Lease Cycles'!$C$30*'Lease Cycles'!$AW$30/12,IF(AND('Lease Cycles'!$AT$30&gt;=INDEX('Lease Cycles'!$BG$30:$BM$30,1,BS384),'Lease Cycles'!$AT$30&lt;=BS$6),'Lease Cycles'!$C$30*'Lease Cycles'!$AU$30/12,'Lease Cycles'!$C$30*INDEX('Lease Cycles'!$CB$30:$CH$30,1,BS384)*(1+INDEX('Lease Cycles'!$CI$30:$CO$30,1,BS384))^INT(INT(BS385/12)/INDEX('Lease Cycles'!$CP$30:$CV$30,1,BS384))/12)))),'Lease Cycles'!$C$30*INDEX('Lease Cycles'!$CB$30:$CH$30,1,BS384)*(1+INDEX('Lease Cycles'!$CI$30:$CO$30,1,BS384))^INT(INT(BS385/12)/INDEX('Lease Cycles'!$CP$30:$CV$30,1,BS384))/12))),IF('Lease Cycles'!$N$30=1,'Lease Cycles'!$C$30*'Lease Cycles'!$E$30*INDEX('Lease Cycles'!$HE$30:$HK$30,1,BS384)*(1+INDEX('Lease Cycles'!$GQ$30:$GW$30,1,BS384))^INT(INT((BS$6-INDEX('Lease Cycles'!$GJ$30:$GP$30,1,BS384))/12)/INDEX('Lease Cycles'!$GX$30:$HD$30,1,BS384))/12,0)))</f>
        <v>0</v>
      </c>
      <c r="BT387" s="28">
        <f>IF(BT384=0,IF('Lease Cycles'!$F$30&gt;0,'Lease Cycles'!$C$30*'Lease Cycles'!$E$30/12,0),IF(BT386=1,IF('Lease Cycles'!$AT$30&gt;=9999,'Lease Cycles'!$C$30*INDEX('Lease Cycles'!$CB$30:$CH$30,1,BT384)*(1+INDEX('Lease Cycles'!$CI$30:$CO$30,1,BT384))^INT(INT(BT385/12)/INDEX('Lease Cycles'!$CP$30:$CV$30,1,BT384))/12,IF(BT384=1,IF(BT385&gt;=INDEX('Lease Cycles'!$DK$30:$DQ$30,1,BT384),IF(BT$6&gt;='Lease Cycles'!$AZ$30,'Lease Cycles'!$C$30*'Lease Cycles'!$BA$30/12,IF(BT$6&gt;='Lease Cycles'!$AX$30,'Lease Cycles'!$C$30*'Lease Cycles'!$AY$30/12,IF(BT$6&gt;='Lease Cycles'!$AV$30,'Lease Cycles'!$C$30*'Lease Cycles'!$AW$30/12,IF(BT$6&gt;='Lease Cycles'!$AT$30,'Lease Cycles'!$C$30*'Lease Cycles'!$AU$30/12,'Lease Cycles'!$C$30*INDEX('Lease Cycles'!$CB$30:$CH$30,1,BT384)*(1+INDEX('Lease Cycles'!$CI$30:$CO$30,1,BT384))^INT(INT(BT385/12)/INDEX('Lease Cycles'!$CP$30:$CV$30,1,BT384))/12)))),'Lease Cycles'!$C$30*INDEX('Lease Cycles'!$CB$30:$CH$30,1,BT384)*(1+INDEX('Lease Cycles'!$CI$30:$CO$30,1,BT384))^INT(INT(BT385/12)/INDEX('Lease Cycles'!$CP$30:$CV$30,1,BT384))/12),IF(INDEX('Lease Cycles'!$EF$30:$EL$30,1,BT384)=1,IF(AND('Lease Cycles'!$AZ$30&gt;=INDEX('Lease Cycles'!$BG$30:$BM$30,1,BT384),'Lease Cycles'!$AZ$30&lt;=BT$6),'Lease Cycles'!$C$30*'Lease Cycles'!$BA$30/12,IF(AND('Lease Cycles'!$AX$30&gt;=INDEX('Lease Cycles'!$BG$30:$BM$30,1,BT384),'Lease Cycles'!$AX$30&lt;=BT$6),'Lease Cycles'!$C$30*'Lease Cycles'!$AY$30/12,IF(AND('Lease Cycles'!$AV$30&gt;=INDEX('Lease Cycles'!$BG$30:$BM$30,1,BT384),'Lease Cycles'!$AV$30&lt;=BT$6),'Lease Cycles'!$C$30*'Lease Cycles'!$AW$30/12,IF(AND('Lease Cycles'!$AT$30&gt;=INDEX('Lease Cycles'!$BG$30:$BM$30,1,BT384),'Lease Cycles'!$AT$30&lt;=BT$6),'Lease Cycles'!$C$30*'Lease Cycles'!$AU$30/12,'Lease Cycles'!$C$30*INDEX('Lease Cycles'!$CB$30:$CH$30,1,BT384)*(1+INDEX('Lease Cycles'!$CI$30:$CO$30,1,BT384))^INT(INT(BT385/12)/INDEX('Lease Cycles'!$CP$30:$CV$30,1,BT384))/12)))),'Lease Cycles'!$C$30*INDEX('Lease Cycles'!$CB$30:$CH$30,1,BT384)*(1+INDEX('Lease Cycles'!$CI$30:$CO$30,1,BT384))^INT(INT(BT385/12)/INDEX('Lease Cycles'!$CP$30:$CV$30,1,BT384))/12))),IF('Lease Cycles'!$N$30=1,'Lease Cycles'!$C$30*'Lease Cycles'!$E$30*INDEX('Lease Cycles'!$HE$30:$HK$30,1,BT384)*(1+INDEX('Lease Cycles'!$GQ$30:$GW$30,1,BT384))^INT(INT((BT$6-INDEX('Lease Cycles'!$GJ$30:$GP$30,1,BT384))/12)/INDEX('Lease Cycles'!$GX$30:$HD$30,1,BT384))/12,0)))</f>
        <v>0</v>
      </c>
      <c r="BU387" s="28">
        <f>IF(BU384=0,IF('Lease Cycles'!$F$30&gt;0,'Lease Cycles'!$C$30*'Lease Cycles'!$E$30/12,0),IF(BU386=1,IF('Lease Cycles'!$AT$30&gt;=9999,'Lease Cycles'!$C$30*INDEX('Lease Cycles'!$CB$30:$CH$30,1,BU384)*(1+INDEX('Lease Cycles'!$CI$30:$CO$30,1,BU384))^INT(INT(BU385/12)/INDEX('Lease Cycles'!$CP$30:$CV$30,1,BU384))/12,IF(BU384=1,IF(BU385&gt;=INDEX('Lease Cycles'!$DK$30:$DQ$30,1,BU384),IF(BU$6&gt;='Lease Cycles'!$AZ$30,'Lease Cycles'!$C$30*'Lease Cycles'!$BA$30/12,IF(BU$6&gt;='Lease Cycles'!$AX$30,'Lease Cycles'!$C$30*'Lease Cycles'!$AY$30/12,IF(BU$6&gt;='Lease Cycles'!$AV$30,'Lease Cycles'!$C$30*'Lease Cycles'!$AW$30/12,IF(BU$6&gt;='Lease Cycles'!$AT$30,'Lease Cycles'!$C$30*'Lease Cycles'!$AU$30/12,'Lease Cycles'!$C$30*INDEX('Lease Cycles'!$CB$30:$CH$30,1,BU384)*(1+INDEX('Lease Cycles'!$CI$30:$CO$30,1,BU384))^INT(INT(BU385/12)/INDEX('Lease Cycles'!$CP$30:$CV$30,1,BU384))/12)))),'Lease Cycles'!$C$30*INDEX('Lease Cycles'!$CB$30:$CH$30,1,BU384)*(1+INDEX('Lease Cycles'!$CI$30:$CO$30,1,BU384))^INT(INT(BU385/12)/INDEX('Lease Cycles'!$CP$30:$CV$30,1,BU384))/12),IF(INDEX('Lease Cycles'!$EF$30:$EL$30,1,BU384)=1,IF(AND('Lease Cycles'!$AZ$30&gt;=INDEX('Lease Cycles'!$BG$30:$BM$30,1,BU384),'Lease Cycles'!$AZ$30&lt;=BU$6),'Lease Cycles'!$C$30*'Lease Cycles'!$BA$30/12,IF(AND('Lease Cycles'!$AX$30&gt;=INDEX('Lease Cycles'!$BG$30:$BM$30,1,BU384),'Lease Cycles'!$AX$30&lt;=BU$6),'Lease Cycles'!$C$30*'Lease Cycles'!$AY$30/12,IF(AND('Lease Cycles'!$AV$30&gt;=INDEX('Lease Cycles'!$BG$30:$BM$30,1,BU384),'Lease Cycles'!$AV$30&lt;=BU$6),'Lease Cycles'!$C$30*'Lease Cycles'!$AW$30/12,IF(AND('Lease Cycles'!$AT$30&gt;=INDEX('Lease Cycles'!$BG$30:$BM$30,1,BU384),'Lease Cycles'!$AT$30&lt;=BU$6),'Lease Cycles'!$C$30*'Lease Cycles'!$AU$30/12,'Lease Cycles'!$C$30*INDEX('Lease Cycles'!$CB$30:$CH$30,1,BU384)*(1+INDEX('Lease Cycles'!$CI$30:$CO$30,1,BU384))^INT(INT(BU385/12)/INDEX('Lease Cycles'!$CP$30:$CV$30,1,BU384))/12)))),'Lease Cycles'!$C$30*INDEX('Lease Cycles'!$CB$30:$CH$30,1,BU384)*(1+INDEX('Lease Cycles'!$CI$30:$CO$30,1,BU384))^INT(INT(BU385/12)/INDEX('Lease Cycles'!$CP$30:$CV$30,1,BU384))/12))),IF('Lease Cycles'!$N$30=1,'Lease Cycles'!$C$30*'Lease Cycles'!$E$30*INDEX('Lease Cycles'!$HE$30:$HK$30,1,BU384)*(1+INDEX('Lease Cycles'!$GQ$30:$GW$30,1,BU384))^INT(INT((BU$6-INDEX('Lease Cycles'!$GJ$30:$GP$30,1,BU384))/12)/INDEX('Lease Cycles'!$GX$30:$HD$30,1,BU384))/12,0)))</f>
        <v>0</v>
      </c>
      <c r="BV387" s="28">
        <f>IF(BV384=0,IF('Lease Cycles'!$F$30&gt;0,'Lease Cycles'!$C$30*'Lease Cycles'!$E$30/12,0),IF(BV386=1,IF('Lease Cycles'!$AT$30&gt;=9999,'Lease Cycles'!$C$30*INDEX('Lease Cycles'!$CB$30:$CH$30,1,BV384)*(1+INDEX('Lease Cycles'!$CI$30:$CO$30,1,BV384))^INT(INT(BV385/12)/INDEX('Lease Cycles'!$CP$30:$CV$30,1,BV384))/12,IF(BV384=1,IF(BV385&gt;=INDEX('Lease Cycles'!$DK$30:$DQ$30,1,BV384),IF(BV$6&gt;='Lease Cycles'!$AZ$30,'Lease Cycles'!$C$30*'Lease Cycles'!$BA$30/12,IF(BV$6&gt;='Lease Cycles'!$AX$30,'Lease Cycles'!$C$30*'Lease Cycles'!$AY$30/12,IF(BV$6&gt;='Lease Cycles'!$AV$30,'Lease Cycles'!$C$30*'Lease Cycles'!$AW$30/12,IF(BV$6&gt;='Lease Cycles'!$AT$30,'Lease Cycles'!$C$30*'Lease Cycles'!$AU$30/12,'Lease Cycles'!$C$30*INDEX('Lease Cycles'!$CB$30:$CH$30,1,BV384)*(1+INDEX('Lease Cycles'!$CI$30:$CO$30,1,BV384))^INT(INT(BV385/12)/INDEX('Lease Cycles'!$CP$30:$CV$30,1,BV384))/12)))),'Lease Cycles'!$C$30*INDEX('Lease Cycles'!$CB$30:$CH$30,1,BV384)*(1+INDEX('Lease Cycles'!$CI$30:$CO$30,1,BV384))^INT(INT(BV385/12)/INDEX('Lease Cycles'!$CP$30:$CV$30,1,BV384))/12),IF(INDEX('Lease Cycles'!$EF$30:$EL$30,1,BV384)=1,IF(AND('Lease Cycles'!$AZ$30&gt;=INDEX('Lease Cycles'!$BG$30:$BM$30,1,BV384),'Lease Cycles'!$AZ$30&lt;=BV$6),'Lease Cycles'!$C$30*'Lease Cycles'!$BA$30/12,IF(AND('Lease Cycles'!$AX$30&gt;=INDEX('Lease Cycles'!$BG$30:$BM$30,1,BV384),'Lease Cycles'!$AX$30&lt;=BV$6),'Lease Cycles'!$C$30*'Lease Cycles'!$AY$30/12,IF(AND('Lease Cycles'!$AV$30&gt;=INDEX('Lease Cycles'!$BG$30:$BM$30,1,BV384),'Lease Cycles'!$AV$30&lt;=BV$6),'Lease Cycles'!$C$30*'Lease Cycles'!$AW$30/12,IF(AND('Lease Cycles'!$AT$30&gt;=INDEX('Lease Cycles'!$BG$30:$BM$30,1,BV384),'Lease Cycles'!$AT$30&lt;=BV$6),'Lease Cycles'!$C$30*'Lease Cycles'!$AU$30/12,'Lease Cycles'!$C$30*INDEX('Lease Cycles'!$CB$30:$CH$30,1,BV384)*(1+INDEX('Lease Cycles'!$CI$30:$CO$30,1,BV384))^INT(INT(BV385/12)/INDEX('Lease Cycles'!$CP$30:$CV$30,1,BV384))/12)))),'Lease Cycles'!$C$30*INDEX('Lease Cycles'!$CB$30:$CH$30,1,BV384)*(1+INDEX('Lease Cycles'!$CI$30:$CO$30,1,BV384))^INT(INT(BV385/12)/INDEX('Lease Cycles'!$CP$30:$CV$30,1,BV384))/12))),IF('Lease Cycles'!$N$30=1,'Lease Cycles'!$C$30*'Lease Cycles'!$E$30*INDEX('Lease Cycles'!$HE$30:$HK$30,1,BV384)*(1+INDEX('Lease Cycles'!$GQ$30:$GW$30,1,BV384))^INT(INT((BV$6-INDEX('Lease Cycles'!$GJ$30:$GP$30,1,BV384))/12)/INDEX('Lease Cycles'!$GX$30:$HD$30,1,BV384))/12,0)))</f>
        <v>0</v>
      </c>
      <c r="BW387" s="28">
        <f>IF(BW384=0,IF('Lease Cycles'!$F$30&gt;0,'Lease Cycles'!$C$30*'Lease Cycles'!$E$30/12,0),IF(BW386=1,IF('Lease Cycles'!$AT$30&gt;=9999,'Lease Cycles'!$C$30*INDEX('Lease Cycles'!$CB$30:$CH$30,1,BW384)*(1+INDEX('Lease Cycles'!$CI$30:$CO$30,1,BW384))^INT(INT(BW385/12)/INDEX('Lease Cycles'!$CP$30:$CV$30,1,BW384))/12,IF(BW384=1,IF(BW385&gt;=INDEX('Lease Cycles'!$DK$30:$DQ$30,1,BW384),IF(BW$6&gt;='Lease Cycles'!$AZ$30,'Lease Cycles'!$C$30*'Lease Cycles'!$BA$30/12,IF(BW$6&gt;='Lease Cycles'!$AX$30,'Lease Cycles'!$C$30*'Lease Cycles'!$AY$30/12,IF(BW$6&gt;='Lease Cycles'!$AV$30,'Lease Cycles'!$C$30*'Lease Cycles'!$AW$30/12,IF(BW$6&gt;='Lease Cycles'!$AT$30,'Lease Cycles'!$C$30*'Lease Cycles'!$AU$30/12,'Lease Cycles'!$C$30*INDEX('Lease Cycles'!$CB$30:$CH$30,1,BW384)*(1+INDEX('Lease Cycles'!$CI$30:$CO$30,1,BW384))^INT(INT(BW385/12)/INDEX('Lease Cycles'!$CP$30:$CV$30,1,BW384))/12)))),'Lease Cycles'!$C$30*INDEX('Lease Cycles'!$CB$30:$CH$30,1,BW384)*(1+INDEX('Lease Cycles'!$CI$30:$CO$30,1,BW384))^INT(INT(BW385/12)/INDEX('Lease Cycles'!$CP$30:$CV$30,1,BW384))/12),IF(INDEX('Lease Cycles'!$EF$30:$EL$30,1,BW384)=1,IF(AND('Lease Cycles'!$AZ$30&gt;=INDEX('Lease Cycles'!$BG$30:$BM$30,1,BW384),'Lease Cycles'!$AZ$30&lt;=BW$6),'Lease Cycles'!$C$30*'Lease Cycles'!$BA$30/12,IF(AND('Lease Cycles'!$AX$30&gt;=INDEX('Lease Cycles'!$BG$30:$BM$30,1,BW384),'Lease Cycles'!$AX$30&lt;=BW$6),'Lease Cycles'!$C$30*'Lease Cycles'!$AY$30/12,IF(AND('Lease Cycles'!$AV$30&gt;=INDEX('Lease Cycles'!$BG$30:$BM$30,1,BW384),'Lease Cycles'!$AV$30&lt;=BW$6),'Lease Cycles'!$C$30*'Lease Cycles'!$AW$30/12,IF(AND('Lease Cycles'!$AT$30&gt;=INDEX('Lease Cycles'!$BG$30:$BM$30,1,BW384),'Lease Cycles'!$AT$30&lt;=BW$6),'Lease Cycles'!$C$30*'Lease Cycles'!$AU$30/12,'Lease Cycles'!$C$30*INDEX('Lease Cycles'!$CB$30:$CH$30,1,BW384)*(1+INDEX('Lease Cycles'!$CI$30:$CO$30,1,BW384))^INT(INT(BW385/12)/INDEX('Lease Cycles'!$CP$30:$CV$30,1,BW384))/12)))),'Lease Cycles'!$C$30*INDEX('Lease Cycles'!$CB$30:$CH$30,1,BW384)*(1+INDEX('Lease Cycles'!$CI$30:$CO$30,1,BW384))^INT(INT(BW385/12)/INDEX('Lease Cycles'!$CP$30:$CV$30,1,BW384))/12))),IF('Lease Cycles'!$N$30=1,'Lease Cycles'!$C$30*'Lease Cycles'!$E$30*INDEX('Lease Cycles'!$HE$30:$HK$30,1,BW384)*(1+INDEX('Lease Cycles'!$GQ$30:$GW$30,1,BW384))^INT(INT((BW$6-INDEX('Lease Cycles'!$GJ$30:$GP$30,1,BW384))/12)/INDEX('Lease Cycles'!$GX$30:$HD$30,1,BW384))/12,0)))</f>
        <v>0</v>
      </c>
      <c r="BX387" s="28">
        <f>IF(BX384=0,IF('Lease Cycles'!$F$30&gt;0,'Lease Cycles'!$C$30*'Lease Cycles'!$E$30/12,0),IF(BX386=1,IF('Lease Cycles'!$AT$30&gt;=9999,'Lease Cycles'!$C$30*INDEX('Lease Cycles'!$CB$30:$CH$30,1,BX384)*(1+INDEX('Lease Cycles'!$CI$30:$CO$30,1,BX384))^INT(INT(BX385/12)/INDEX('Lease Cycles'!$CP$30:$CV$30,1,BX384))/12,IF(BX384=1,IF(BX385&gt;=INDEX('Lease Cycles'!$DK$30:$DQ$30,1,BX384),IF(BX$6&gt;='Lease Cycles'!$AZ$30,'Lease Cycles'!$C$30*'Lease Cycles'!$BA$30/12,IF(BX$6&gt;='Lease Cycles'!$AX$30,'Lease Cycles'!$C$30*'Lease Cycles'!$AY$30/12,IF(BX$6&gt;='Lease Cycles'!$AV$30,'Lease Cycles'!$C$30*'Lease Cycles'!$AW$30/12,IF(BX$6&gt;='Lease Cycles'!$AT$30,'Lease Cycles'!$C$30*'Lease Cycles'!$AU$30/12,'Lease Cycles'!$C$30*INDEX('Lease Cycles'!$CB$30:$CH$30,1,BX384)*(1+INDEX('Lease Cycles'!$CI$30:$CO$30,1,BX384))^INT(INT(BX385/12)/INDEX('Lease Cycles'!$CP$30:$CV$30,1,BX384))/12)))),'Lease Cycles'!$C$30*INDEX('Lease Cycles'!$CB$30:$CH$30,1,BX384)*(1+INDEX('Lease Cycles'!$CI$30:$CO$30,1,BX384))^INT(INT(BX385/12)/INDEX('Lease Cycles'!$CP$30:$CV$30,1,BX384))/12),IF(INDEX('Lease Cycles'!$EF$30:$EL$30,1,BX384)=1,IF(AND('Lease Cycles'!$AZ$30&gt;=INDEX('Lease Cycles'!$BG$30:$BM$30,1,BX384),'Lease Cycles'!$AZ$30&lt;=BX$6),'Lease Cycles'!$C$30*'Lease Cycles'!$BA$30/12,IF(AND('Lease Cycles'!$AX$30&gt;=INDEX('Lease Cycles'!$BG$30:$BM$30,1,BX384),'Lease Cycles'!$AX$30&lt;=BX$6),'Lease Cycles'!$C$30*'Lease Cycles'!$AY$30/12,IF(AND('Lease Cycles'!$AV$30&gt;=INDEX('Lease Cycles'!$BG$30:$BM$30,1,BX384),'Lease Cycles'!$AV$30&lt;=BX$6),'Lease Cycles'!$C$30*'Lease Cycles'!$AW$30/12,IF(AND('Lease Cycles'!$AT$30&gt;=INDEX('Lease Cycles'!$BG$30:$BM$30,1,BX384),'Lease Cycles'!$AT$30&lt;=BX$6),'Lease Cycles'!$C$30*'Lease Cycles'!$AU$30/12,'Lease Cycles'!$C$30*INDEX('Lease Cycles'!$CB$30:$CH$30,1,BX384)*(1+INDEX('Lease Cycles'!$CI$30:$CO$30,1,BX384))^INT(INT(BX385/12)/INDEX('Lease Cycles'!$CP$30:$CV$30,1,BX384))/12)))),'Lease Cycles'!$C$30*INDEX('Lease Cycles'!$CB$30:$CH$30,1,BX384)*(1+INDEX('Lease Cycles'!$CI$30:$CO$30,1,BX384))^INT(INT(BX385/12)/INDEX('Lease Cycles'!$CP$30:$CV$30,1,BX384))/12))),IF('Lease Cycles'!$N$30=1,'Lease Cycles'!$C$30*'Lease Cycles'!$E$30*INDEX('Lease Cycles'!$HE$30:$HK$30,1,BX384)*(1+INDEX('Lease Cycles'!$GQ$30:$GW$30,1,BX384))^INT(INT((BX$6-INDEX('Lease Cycles'!$GJ$30:$GP$30,1,BX384))/12)/INDEX('Lease Cycles'!$GX$30:$HD$30,1,BX384))/12,0)))</f>
        <v>0</v>
      </c>
      <c r="BY387" s="28">
        <f>IF(BY384=0,IF('Lease Cycles'!$F$30&gt;0,'Lease Cycles'!$C$30*'Lease Cycles'!$E$30/12,0),IF(BY386=1,IF('Lease Cycles'!$AT$30&gt;=9999,'Lease Cycles'!$C$30*INDEX('Lease Cycles'!$CB$30:$CH$30,1,BY384)*(1+INDEX('Lease Cycles'!$CI$30:$CO$30,1,BY384))^INT(INT(BY385/12)/INDEX('Lease Cycles'!$CP$30:$CV$30,1,BY384))/12,IF(BY384=1,IF(BY385&gt;=INDEX('Lease Cycles'!$DK$30:$DQ$30,1,BY384),IF(BY$6&gt;='Lease Cycles'!$AZ$30,'Lease Cycles'!$C$30*'Lease Cycles'!$BA$30/12,IF(BY$6&gt;='Lease Cycles'!$AX$30,'Lease Cycles'!$C$30*'Lease Cycles'!$AY$30/12,IF(BY$6&gt;='Lease Cycles'!$AV$30,'Lease Cycles'!$C$30*'Lease Cycles'!$AW$30/12,IF(BY$6&gt;='Lease Cycles'!$AT$30,'Lease Cycles'!$C$30*'Lease Cycles'!$AU$30/12,'Lease Cycles'!$C$30*INDEX('Lease Cycles'!$CB$30:$CH$30,1,BY384)*(1+INDEX('Lease Cycles'!$CI$30:$CO$30,1,BY384))^INT(INT(BY385/12)/INDEX('Lease Cycles'!$CP$30:$CV$30,1,BY384))/12)))),'Lease Cycles'!$C$30*INDEX('Lease Cycles'!$CB$30:$CH$30,1,BY384)*(1+INDEX('Lease Cycles'!$CI$30:$CO$30,1,BY384))^INT(INT(BY385/12)/INDEX('Lease Cycles'!$CP$30:$CV$30,1,BY384))/12),IF(INDEX('Lease Cycles'!$EF$30:$EL$30,1,BY384)=1,IF(AND('Lease Cycles'!$AZ$30&gt;=INDEX('Lease Cycles'!$BG$30:$BM$30,1,BY384),'Lease Cycles'!$AZ$30&lt;=BY$6),'Lease Cycles'!$C$30*'Lease Cycles'!$BA$30/12,IF(AND('Lease Cycles'!$AX$30&gt;=INDEX('Lease Cycles'!$BG$30:$BM$30,1,BY384),'Lease Cycles'!$AX$30&lt;=BY$6),'Lease Cycles'!$C$30*'Lease Cycles'!$AY$30/12,IF(AND('Lease Cycles'!$AV$30&gt;=INDEX('Lease Cycles'!$BG$30:$BM$30,1,BY384),'Lease Cycles'!$AV$30&lt;=BY$6),'Lease Cycles'!$C$30*'Lease Cycles'!$AW$30/12,IF(AND('Lease Cycles'!$AT$30&gt;=INDEX('Lease Cycles'!$BG$30:$BM$30,1,BY384),'Lease Cycles'!$AT$30&lt;=BY$6),'Lease Cycles'!$C$30*'Lease Cycles'!$AU$30/12,'Lease Cycles'!$C$30*INDEX('Lease Cycles'!$CB$30:$CH$30,1,BY384)*(1+INDEX('Lease Cycles'!$CI$30:$CO$30,1,BY384))^INT(INT(BY385/12)/INDEX('Lease Cycles'!$CP$30:$CV$30,1,BY384))/12)))),'Lease Cycles'!$C$30*INDEX('Lease Cycles'!$CB$30:$CH$30,1,BY384)*(1+INDEX('Lease Cycles'!$CI$30:$CO$30,1,BY384))^INT(INT(BY385/12)/INDEX('Lease Cycles'!$CP$30:$CV$30,1,BY384))/12))),IF('Lease Cycles'!$N$30=1,'Lease Cycles'!$C$30*'Lease Cycles'!$E$30*INDEX('Lease Cycles'!$HE$30:$HK$30,1,BY384)*(1+INDEX('Lease Cycles'!$GQ$30:$GW$30,1,BY384))^INT(INT((BY$6-INDEX('Lease Cycles'!$GJ$30:$GP$30,1,BY384))/12)/INDEX('Lease Cycles'!$GX$30:$HD$30,1,BY384))/12,0)))</f>
        <v>0</v>
      </c>
      <c r="BZ387" s="28">
        <f>IF(BZ384=0,IF('Lease Cycles'!$F$30&gt;0,'Lease Cycles'!$C$30*'Lease Cycles'!$E$30/12,0),IF(BZ386=1,IF('Lease Cycles'!$AT$30&gt;=9999,'Lease Cycles'!$C$30*INDEX('Lease Cycles'!$CB$30:$CH$30,1,BZ384)*(1+INDEX('Lease Cycles'!$CI$30:$CO$30,1,BZ384))^INT(INT(BZ385/12)/INDEX('Lease Cycles'!$CP$30:$CV$30,1,BZ384))/12,IF(BZ384=1,IF(BZ385&gt;=INDEX('Lease Cycles'!$DK$30:$DQ$30,1,BZ384),IF(BZ$6&gt;='Lease Cycles'!$AZ$30,'Lease Cycles'!$C$30*'Lease Cycles'!$BA$30/12,IF(BZ$6&gt;='Lease Cycles'!$AX$30,'Lease Cycles'!$C$30*'Lease Cycles'!$AY$30/12,IF(BZ$6&gt;='Lease Cycles'!$AV$30,'Lease Cycles'!$C$30*'Lease Cycles'!$AW$30/12,IF(BZ$6&gt;='Lease Cycles'!$AT$30,'Lease Cycles'!$C$30*'Lease Cycles'!$AU$30/12,'Lease Cycles'!$C$30*INDEX('Lease Cycles'!$CB$30:$CH$30,1,BZ384)*(1+INDEX('Lease Cycles'!$CI$30:$CO$30,1,BZ384))^INT(INT(BZ385/12)/INDEX('Lease Cycles'!$CP$30:$CV$30,1,BZ384))/12)))),'Lease Cycles'!$C$30*INDEX('Lease Cycles'!$CB$30:$CH$30,1,BZ384)*(1+INDEX('Lease Cycles'!$CI$30:$CO$30,1,BZ384))^INT(INT(BZ385/12)/INDEX('Lease Cycles'!$CP$30:$CV$30,1,BZ384))/12),IF(INDEX('Lease Cycles'!$EF$30:$EL$30,1,BZ384)=1,IF(AND('Lease Cycles'!$AZ$30&gt;=INDEX('Lease Cycles'!$BG$30:$BM$30,1,BZ384),'Lease Cycles'!$AZ$30&lt;=BZ$6),'Lease Cycles'!$C$30*'Lease Cycles'!$BA$30/12,IF(AND('Lease Cycles'!$AX$30&gt;=INDEX('Lease Cycles'!$BG$30:$BM$30,1,BZ384),'Lease Cycles'!$AX$30&lt;=BZ$6),'Lease Cycles'!$C$30*'Lease Cycles'!$AY$30/12,IF(AND('Lease Cycles'!$AV$30&gt;=INDEX('Lease Cycles'!$BG$30:$BM$30,1,BZ384),'Lease Cycles'!$AV$30&lt;=BZ$6),'Lease Cycles'!$C$30*'Lease Cycles'!$AW$30/12,IF(AND('Lease Cycles'!$AT$30&gt;=INDEX('Lease Cycles'!$BG$30:$BM$30,1,BZ384),'Lease Cycles'!$AT$30&lt;=BZ$6),'Lease Cycles'!$C$30*'Lease Cycles'!$AU$30/12,'Lease Cycles'!$C$30*INDEX('Lease Cycles'!$CB$30:$CH$30,1,BZ384)*(1+INDEX('Lease Cycles'!$CI$30:$CO$30,1,BZ384))^INT(INT(BZ385/12)/INDEX('Lease Cycles'!$CP$30:$CV$30,1,BZ384))/12)))),'Lease Cycles'!$C$30*INDEX('Lease Cycles'!$CB$30:$CH$30,1,BZ384)*(1+INDEX('Lease Cycles'!$CI$30:$CO$30,1,BZ384))^INT(INT(BZ385/12)/INDEX('Lease Cycles'!$CP$30:$CV$30,1,BZ384))/12))),IF('Lease Cycles'!$N$30=1,'Lease Cycles'!$C$30*'Lease Cycles'!$E$30*INDEX('Lease Cycles'!$HE$30:$HK$30,1,BZ384)*(1+INDEX('Lease Cycles'!$GQ$30:$GW$30,1,BZ384))^INT(INT((BZ$6-INDEX('Lease Cycles'!$GJ$30:$GP$30,1,BZ384))/12)/INDEX('Lease Cycles'!$GX$30:$HD$30,1,BZ384))/12,0)))</f>
        <v>0</v>
      </c>
      <c r="CA387" s="28">
        <f>IF(CA384=0,IF('Lease Cycles'!$F$30&gt;0,'Lease Cycles'!$C$30*'Lease Cycles'!$E$30/12,0),IF(CA386=1,IF('Lease Cycles'!$AT$30&gt;=9999,'Lease Cycles'!$C$30*INDEX('Lease Cycles'!$CB$30:$CH$30,1,CA384)*(1+INDEX('Lease Cycles'!$CI$30:$CO$30,1,CA384))^INT(INT(CA385/12)/INDEX('Lease Cycles'!$CP$30:$CV$30,1,CA384))/12,IF(CA384=1,IF(CA385&gt;=INDEX('Lease Cycles'!$DK$30:$DQ$30,1,CA384),IF(CA$6&gt;='Lease Cycles'!$AZ$30,'Lease Cycles'!$C$30*'Lease Cycles'!$BA$30/12,IF(CA$6&gt;='Lease Cycles'!$AX$30,'Lease Cycles'!$C$30*'Lease Cycles'!$AY$30/12,IF(CA$6&gt;='Lease Cycles'!$AV$30,'Lease Cycles'!$C$30*'Lease Cycles'!$AW$30/12,IF(CA$6&gt;='Lease Cycles'!$AT$30,'Lease Cycles'!$C$30*'Lease Cycles'!$AU$30/12,'Lease Cycles'!$C$30*INDEX('Lease Cycles'!$CB$30:$CH$30,1,CA384)*(1+INDEX('Lease Cycles'!$CI$30:$CO$30,1,CA384))^INT(INT(CA385/12)/INDEX('Lease Cycles'!$CP$30:$CV$30,1,CA384))/12)))),'Lease Cycles'!$C$30*INDEX('Lease Cycles'!$CB$30:$CH$30,1,CA384)*(1+INDEX('Lease Cycles'!$CI$30:$CO$30,1,CA384))^INT(INT(CA385/12)/INDEX('Lease Cycles'!$CP$30:$CV$30,1,CA384))/12),IF(INDEX('Lease Cycles'!$EF$30:$EL$30,1,CA384)=1,IF(AND('Lease Cycles'!$AZ$30&gt;=INDEX('Lease Cycles'!$BG$30:$BM$30,1,CA384),'Lease Cycles'!$AZ$30&lt;=CA$6),'Lease Cycles'!$C$30*'Lease Cycles'!$BA$30/12,IF(AND('Lease Cycles'!$AX$30&gt;=INDEX('Lease Cycles'!$BG$30:$BM$30,1,CA384),'Lease Cycles'!$AX$30&lt;=CA$6),'Lease Cycles'!$C$30*'Lease Cycles'!$AY$30/12,IF(AND('Lease Cycles'!$AV$30&gt;=INDEX('Lease Cycles'!$BG$30:$BM$30,1,CA384),'Lease Cycles'!$AV$30&lt;=CA$6),'Lease Cycles'!$C$30*'Lease Cycles'!$AW$30/12,IF(AND('Lease Cycles'!$AT$30&gt;=INDEX('Lease Cycles'!$BG$30:$BM$30,1,CA384),'Lease Cycles'!$AT$30&lt;=CA$6),'Lease Cycles'!$C$30*'Lease Cycles'!$AU$30/12,'Lease Cycles'!$C$30*INDEX('Lease Cycles'!$CB$30:$CH$30,1,CA384)*(1+INDEX('Lease Cycles'!$CI$30:$CO$30,1,CA384))^INT(INT(CA385/12)/INDEX('Lease Cycles'!$CP$30:$CV$30,1,CA384))/12)))),'Lease Cycles'!$C$30*INDEX('Lease Cycles'!$CB$30:$CH$30,1,CA384)*(1+INDEX('Lease Cycles'!$CI$30:$CO$30,1,CA384))^INT(INT(CA385/12)/INDEX('Lease Cycles'!$CP$30:$CV$30,1,CA384))/12))),IF('Lease Cycles'!$N$30=1,'Lease Cycles'!$C$30*'Lease Cycles'!$E$30*INDEX('Lease Cycles'!$HE$30:$HK$30,1,CA384)*(1+INDEX('Lease Cycles'!$GQ$30:$GW$30,1,CA384))^INT(INT((CA$6-INDEX('Lease Cycles'!$GJ$30:$GP$30,1,CA384))/12)/INDEX('Lease Cycles'!$GX$30:$HD$30,1,CA384))/12,0)))</f>
        <v>0</v>
      </c>
      <c r="CB387" s="28">
        <f>IF(CB384=0,IF('Lease Cycles'!$F$30&gt;0,'Lease Cycles'!$C$30*'Lease Cycles'!$E$30/12,0),IF(CB386=1,IF('Lease Cycles'!$AT$30&gt;=9999,'Lease Cycles'!$C$30*INDEX('Lease Cycles'!$CB$30:$CH$30,1,CB384)*(1+INDEX('Lease Cycles'!$CI$30:$CO$30,1,CB384))^INT(INT(CB385/12)/INDEX('Lease Cycles'!$CP$30:$CV$30,1,CB384))/12,IF(CB384=1,IF(CB385&gt;=INDEX('Lease Cycles'!$DK$30:$DQ$30,1,CB384),IF(CB$6&gt;='Lease Cycles'!$AZ$30,'Lease Cycles'!$C$30*'Lease Cycles'!$BA$30/12,IF(CB$6&gt;='Lease Cycles'!$AX$30,'Lease Cycles'!$C$30*'Lease Cycles'!$AY$30/12,IF(CB$6&gt;='Lease Cycles'!$AV$30,'Lease Cycles'!$C$30*'Lease Cycles'!$AW$30/12,IF(CB$6&gt;='Lease Cycles'!$AT$30,'Lease Cycles'!$C$30*'Lease Cycles'!$AU$30/12,'Lease Cycles'!$C$30*INDEX('Lease Cycles'!$CB$30:$CH$30,1,CB384)*(1+INDEX('Lease Cycles'!$CI$30:$CO$30,1,CB384))^INT(INT(CB385/12)/INDEX('Lease Cycles'!$CP$30:$CV$30,1,CB384))/12)))),'Lease Cycles'!$C$30*INDEX('Lease Cycles'!$CB$30:$CH$30,1,CB384)*(1+INDEX('Lease Cycles'!$CI$30:$CO$30,1,CB384))^INT(INT(CB385/12)/INDEX('Lease Cycles'!$CP$30:$CV$30,1,CB384))/12),IF(INDEX('Lease Cycles'!$EF$30:$EL$30,1,CB384)=1,IF(AND('Lease Cycles'!$AZ$30&gt;=INDEX('Lease Cycles'!$BG$30:$BM$30,1,CB384),'Lease Cycles'!$AZ$30&lt;=CB$6),'Lease Cycles'!$C$30*'Lease Cycles'!$BA$30/12,IF(AND('Lease Cycles'!$AX$30&gt;=INDEX('Lease Cycles'!$BG$30:$BM$30,1,CB384),'Lease Cycles'!$AX$30&lt;=CB$6),'Lease Cycles'!$C$30*'Lease Cycles'!$AY$30/12,IF(AND('Lease Cycles'!$AV$30&gt;=INDEX('Lease Cycles'!$BG$30:$BM$30,1,CB384),'Lease Cycles'!$AV$30&lt;=CB$6),'Lease Cycles'!$C$30*'Lease Cycles'!$AW$30/12,IF(AND('Lease Cycles'!$AT$30&gt;=INDEX('Lease Cycles'!$BG$30:$BM$30,1,CB384),'Lease Cycles'!$AT$30&lt;=CB$6),'Lease Cycles'!$C$30*'Lease Cycles'!$AU$30/12,'Lease Cycles'!$C$30*INDEX('Lease Cycles'!$CB$30:$CH$30,1,CB384)*(1+INDEX('Lease Cycles'!$CI$30:$CO$30,1,CB384))^INT(INT(CB385/12)/INDEX('Lease Cycles'!$CP$30:$CV$30,1,CB384))/12)))),'Lease Cycles'!$C$30*INDEX('Lease Cycles'!$CB$30:$CH$30,1,CB384)*(1+INDEX('Lease Cycles'!$CI$30:$CO$30,1,CB384))^INT(INT(CB385/12)/INDEX('Lease Cycles'!$CP$30:$CV$30,1,CB384))/12))),IF('Lease Cycles'!$N$30=1,'Lease Cycles'!$C$30*'Lease Cycles'!$E$30*INDEX('Lease Cycles'!$HE$30:$HK$30,1,CB384)*(1+INDEX('Lease Cycles'!$GQ$30:$GW$30,1,CB384))^INT(INT((CB$6-INDEX('Lease Cycles'!$GJ$30:$GP$30,1,CB384))/12)/INDEX('Lease Cycles'!$GX$30:$HD$30,1,CB384))/12,0)))</f>
        <v>0</v>
      </c>
      <c r="CC387" s="28">
        <f>IF(CC384=0,IF('Lease Cycles'!$F$30&gt;0,'Lease Cycles'!$C$30*'Lease Cycles'!$E$30/12,0),IF(CC386=1,IF('Lease Cycles'!$AT$30&gt;=9999,'Lease Cycles'!$C$30*INDEX('Lease Cycles'!$CB$30:$CH$30,1,CC384)*(1+INDEX('Lease Cycles'!$CI$30:$CO$30,1,CC384))^INT(INT(CC385/12)/INDEX('Lease Cycles'!$CP$30:$CV$30,1,CC384))/12,IF(CC384=1,IF(CC385&gt;=INDEX('Lease Cycles'!$DK$30:$DQ$30,1,CC384),IF(CC$6&gt;='Lease Cycles'!$AZ$30,'Lease Cycles'!$C$30*'Lease Cycles'!$BA$30/12,IF(CC$6&gt;='Lease Cycles'!$AX$30,'Lease Cycles'!$C$30*'Lease Cycles'!$AY$30/12,IF(CC$6&gt;='Lease Cycles'!$AV$30,'Lease Cycles'!$C$30*'Lease Cycles'!$AW$30/12,IF(CC$6&gt;='Lease Cycles'!$AT$30,'Lease Cycles'!$C$30*'Lease Cycles'!$AU$30/12,'Lease Cycles'!$C$30*INDEX('Lease Cycles'!$CB$30:$CH$30,1,CC384)*(1+INDEX('Lease Cycles'!$CI$30:$CO$30,1,CC384))^INT(INT(CC385/12)/INDEX('Lease Cycles'!$CP$30:$CV$30,1,CC384))/12)))),'Lease Cycles'!$C$30*INDEX('Lease Cycles'!$CB$30:$CH$30,1,CC384)*(1+INDEX('Lease Cycles'!$CI$30:$CO$30,1,CC384))^INT(INT(CC385/12)/INDEX('Lease Cycles'!$CP$30:$CV$30,1,CC384))/12),IF(INDEX('Lease Cycles'!$EF$30:$EL$30,1,CC384)=1,IF(AND('Lease Cycles'!$AZ$30&gt;=INDEX('Lease Cycles'!$BG$30:$BM$30,1,CC384),'Lease Cycles'!$AZ$30&lt;=CC$6),'Lease Cycles'!$C$30*'Lease Cycles'!$BA$30/12,IF(AND('Lease Cycles'!$AX$30&gt;=INDEX('Lease Cycles'!$BG$30:$BM$30,1,CC384),'Lease Cycles'!$AX$30&lt;=CC$6),'Lease Cycles'!$C$30*'Lease Cycles'!$AY$30/12,IF(AND('Lease Cycles'!$AV$30&gt;=INDEX('Lease Cycles'!$BG$30:$BM$30,1,CC384),'Lease Cycles'!$AV$30&lt;=CC$6),'Lease Cycles'!$C$30*'Lease Cycles'!$AW$30/12,IF(AND('Lease Cycles'!$AT$30&gt;=INDEX('Lease Cycles'!$BG$30:$BM$30,1,CC384),'Lease Cycles'!$AT$30&lt;=CC$6),'Lease Cycles'!$C$30*'Lease Cycles'!$AU$30/12,'Lease Cycles'!$C$30*INDEX('Lease Cycles'!$CB$30:$CH$30,1,CC384)*(1+INDEX('Lease Cycles'!$CI$30:$CO$30,1,CC384))^INT(INT(CC385/12)/INDEX('Lease Cycles'!$CP$30:$CV$30,1,CC384))/12)))),'Lease Cycles'!$C$30*INDEX('Lease Cycles'!$CB$30:$CH$30,1,CC384)*(1+INDEX('Lease Cycles'!$CI$30:$CO$30,1,CC384))^INT(INT(CC385/12)/INDEX('Lease Cycles'!$CP$30:$CV$30,1,CC384))/12))),IF('Lease Cycles'!$N$30=1,'Lease Cycles'!$C$30*'Lease Cycles'!$E$30*INDEX('Lease Cycles'!$HE$30:$HK$30,1,CC384)*(1+INDEX('Lease Cycles'!$GQ$30:$GW$30,1,CC384))^INT(INT((CC$6-INDEX('Lease Cycles'!$GJ$30:$GP$30,1,CC384))/12)/INDEX('Lease Cycles'!$GX$30:$HD$30,1,CC384))/12,0)))</f>
        <v>0</v>
      </c>
      <c r="CD387" s="28">
        <f>IF(CD384=0,IF('Lease Cycles'!$F$30&gt;0,'Lease Cycles'!$C$30*'Lease Cycles'!$E$30/12,0),IF(CD386=1,IF('Lease Cycles'!$AT$30&gt;=9999,'Lease Cycles'!$C$30*INDEX('Lease Cycles'!$CB$30:$CH$30,1,CD384)*(1+INDEX('Lease Cycles'!$CI$30:$CO$30,1,CD384))^INT(INT(CD385/12)/INDEX('Lease Cycles'!$CP$30:$CV$30,1,CD384))/12,IF(CD384=1,IF(CD385&gt;=INDEX('Lease Cycles'!$DK$30:$DQ$30,1,CD384),IF(CD$6&gt;='Lease Cycles'!$AZ$30,'Lease Cycles'!$C$30*'Lease Cycles'!$BA$30/12,IF(CD$6&gt;='Lease Cycles'!$AX$30,'Lease Cycles'!$C$30*'Lease Cycles'!$AY$30/12,IF(CD$6&gt;='Lease Cycles'!$AV$30,'Lease Cycles'!$C$30*'Lease Cycles'!$AW$30/12,IF(CD$6&gt;='Lease Cycles'!$AT$30,'Lease Cycles'!$C$30*'Lease Cycles'!$AU$30/12,'Lease Cycles'!$C$30*INDEX('Lease Cycles'!$CB$30:$CH$30,1,CD384)*(1+INDEX('Lease Cycles'!$CI$30:$CO$30,1,CD384))^INT(INT(CD385/12)/INDEX('Lease Cycles'!$CP$30:$CV$30,1,CD384))/12)))),'Lease Cycles'!$C$30*INDEX('Lease Cycles'!$CB$30:$CH$30,1,CD384)*(1+INDEX('Lease Cycles'!$CI$30:$CO$30,1,CD384))^INT(INT(CD385/12)/INDEX('Lease Cycles'!$CP$30:$CV$30,1,CD384))/12),IF(INDEX('Lease Cycles'!$EF$30:$EL$30,1,CD384)=1,IF(AND('Lease Cycles'!$AZ$30&gt;=INDEX('Lease Cycles'!$BG$30:$BM$30,1,CD384),'Lease Cycles'!$AZ$30&lt;=CD$6),'Lease Cycles'!$C$30*'Lease Cycles'!$BA$30/12,IF(AND('Lease Cycles'!$AX$30&gt;=INDEX('Lease Cycles'!$BG$30:$BM$30,1,CD384),'Lease Cycles'!$AX$30&lt;=CD$6),'Lease Cycles'!$C$30*'Lease Cycles'!$AY$30/12,IF(AND('Lease Cycles'!$AV$30&gt;=INDEX('Lease Cycles'!$BG$30:$BM$30,1,CD384),'Lease Cycles'!$AV$30&lt;=CD$6),'Lease Cycles'!$C$30*'Lease Cycles'!$AW$30/12,IF(AND('Lease Cycles'!$AT$30&gt;=INDEX('Lease Cycles'!$BG$30:$BM$30,1,CD384),'Lease Cycles'!$AT$30&lt;=CD$6),'Lease Cycles'!$C$30*'Lease Cycles'!$AU$30/12,'Lease Cycles'!$C$30*INDEX('Lease Cycles'!$CB$30:$CH$30,1,CD384)*(1+INDEX('Lease Cycles'!$CI$30:$CO$30,1,CD384))^INT(INT(CD385/12)/INDEX('Lease Cycles'!$CP$30:$CV$30,1,CD384))/12)))),'Lease Cycles'!$C$30*INDEX('Lease Cycles'!$CB$30:$CH$30,1,CD384)*(1+INDEX('Lease Cycles'!$CI$30:$CO$30,1,CD384))^INT(INT(CD385/12)/INDEX('Lease Cycles'!$CP$30:$CV$30,1,CD384))/12))),IF('Lease Cycles'!$N$30=1,'Lease Cycles'!$C$30*'Lease Cycles'!$E$30*INDEX('Lease Cycles'!$HE$30:$HK$30,1,CD384)*(1+INDEX('Lease Cycles'!$GQ$30:$GW$30,1,CD384))^INT(INT((CD$6-INDEX('Lease Cycles'!$GJ$30:$GP$30,1,CD384))/12)/INDEX('Lease Cycles'!$GX$30:$HD$30,1,CD384))/12,0)))</f>
        <v>0</v>
      </c>
      <c r="CE387" s="28">
        <f>IF(CE384=0,IF('Lease Cycles'!$F$30&gt;0,'Lease Cycles'!$C$30*'Lease Cycles'!$E$30/12,0),IF(CE386=1,IF('Lease Cycles'!$AT$30&gt;=9999,'Lease Cycles'!$C$30*INDEX('Lease Cycles'!$CB$30:$CH$30,1,CE384)*(1+INDEX('Lease Cycles'!$CI$30:$CO$30,1,CE384))^INT(INT(CE385/12)/INDEX('Lease Cycles'!$CP$30:$CV$30,1,CE384))/12,IF(CE384=1,IF(CE385&gt;=INDEX('Lease Cycles'!$DK$30:$DQ$30,1,CE384),IF(CE$6&gt;='Lease Cycles'!$AZ$30,'Lease Cycles'!$C$30*'Lease Cycles'!$BA$30/12,IF(CE$6&gt;='Lease Cycles'!$AX$30,'Lease Cycles'!$C$30*'Lease Cycles'!$AY$30/12,IF(CE$6&gt;='Lease Cycles'!$AV$30,'Lease Cycles'!$C$30*'Lease Cycles'!$AW$30/12,IF(CE$6&gt;='Lease Cycles'!$AT$30,'Lease Cycles'!$C$30*'Lease Cycles'!$AU$30/12,'Lease Cycles'!$C$30*INDEX('Lease Cycles'!$CB$30:$CH$30,1,CE384)*(1+INDEX('Lease Cycles'!$CI$30:$CO$30,1,CE384))^INT(INT(CE385/12)/INDEX('Lease Cycles'!$CP$30:$CV$30,1,CE384))/12)))),'Lease Cycles'!$C$30*INDEX('Lease Cycles'!$CB$30:$CH$30,1,CE384)*(1+INDEX('Lease Cycles'!$CI$30:$CO$30,1,CE384))^INT(INT(CE385/12)/INDEX('Lease Cycles'!$CP$30:$CV$30,1,CE384))/12),IF(INDEX('Lease Cycles'!$EF$30:$EL$30,1,CE384)=1,IF(AND('Lease Cycles'!$AZ$30&gt;=INDEX('Lease Cycles'!$BG$30:$BM$30,1,CE384),'Lease Cycles'!$AZ$30&lt;=CE$6),'Lease Cycles'!$C$30*'Lease Cycles'!$BA$30/12,IF(AND('Lease Cycles'!$AX$30&gt;=INDEX('Lease Cycles'!$BG$30:$BM$30,1,CE384),'Lease Cycles'!$AX$30&lt;=CE$6),'Lease Cycles'!$C$30*'Lease Cycles'!$AY$30/12,IF(AND('Lease Cycles'!$AV$30&gt;=INDEX('Lease Cycles'!$BG$30:$BM$30,1,CE384),'Lease Cycles'!$AV$30&lt;=CE$6),'Lease Cycles'!$C$30*'Lease Cycles'!$AW$30/12,IF(AND('Lease Cycles'!$AT$30&gt;=INDEX('Lease Cycles'!$BG$30:$BM$30,1,CE384),'Lease Cycles'!$AT$30&lt;=CE$6),'Lease Cycles'!$C$30*'Lease Cycles'!$AU$30/12,'Lease Cycles'!$C$30*INDEX('Lease Cycles'!$CB$30:$CH$30,1,CE384)*(1+INDEX('Lease Cycles'!$CI$30:$CO$30,1,CE384))^INT(INT(CE385/12)/INDEX('Lease Cycles'!$CP$30:$CV$30,1,CE384))/12)))),'Lease Cycles'!$C$30*INDEX('Lease Cycles'!$CB$30:$CH$30,1,CE384)*(1+INDEX('Lease Cycles'!$CI$30:$CO$30,1,CE384))^INT(INT(CE385/12)/INDEX('Lease Cycles'!$CP$30:$CV$30,1,CE384))/12))),IF('Lease Cycles'!$N$30=1,'Lease Cycles'!$C$30*'Lease Cycles'!$E$30*INDEX('Lease Cycles'!$HE$30:$HK$30,1,CE384)*(1+INDEX('Lease Cycles'!$GQ$30:$GW$30,1,CE384))^INT(INT((CE$6-INDEX('Lease Cycles'!$GJ$30:$GP$30,1,CE384))/12)/INDEX('Lease Cycles'!$GX$30:$HD$30,1,CE384))/12,0)))</f>
        <v>0</v>
      </c>
      <c r="CF387" s="28">
        <f>IF(CF384=0,IF('Lease Cycles'!$F$30&gt;0,'Lease Cycles'!$C$30*'Lease Cycles'!$E$30/12,0),IF(CF386=1,IF('Lease Cycles'!$AT$30&gt;=9999,'Lease Cycles'!$C$30*INDEX('Lease Cycles'!$CB$30:$CH$30,1,CF384)*(1+INDEX('Lease Cycles'!$CI$30:$CO$30,1,CF384))^INT(INT(CF385/12)/INDEX('Lease Cycles'!$CP$30:$CV$30,1,CF384))/12,IF(CF384=1,IF(CF385&gt;=INDEX('Lease Cycles'!$DK$30:$DQ$30,1,CF384),IF(CF$6&gt;='Lease Cycles'!$AZ$30,'Lease Cycles'!$C$30*'Lease Cycles'!$BA$30/12,IF(CF$6&gt;='Lease Cycles'!$AX$30,'Lease Cycles'!$C$30*'Lease Cycles'!$AY$30/12,IF(CF$6&gt;='Lease Cycles'!$AV$30,'Lease Cycles'!$C$30*'Lease Cycles'!$AW$30/12,IF(CF$6&gt;='Lease Cycles'!$AT$30,'Lease Cycles'!$C$30*'Lease Cycles'!$AU$30/12,'Lease Cycles'!$C$30*INDEX('Lease Cycles'!$CB$30:$CH$30,1,CF384)*(1+INDEX('Lease Cycles'!$CI$30:$CO$30,1,CF384))^INT(INT(CF385/12)/INDEX('Lease Cycles'!$CP$30:$CV$30,1,CF384))/12)))),'Lease Cycles'!$C$30*INDEX('Lease Cycles'!$CB$30:$CH$30,1,CF384)*(1+INDEX('Lease Cycles'!$CI$30:$CO$30,1,CF384))^INT(INT(CF385/12)/INDEX('Lease Cycles'!$CP$30:$CV$30,1,CF384))/12),IF(INDEX('Lease Cycles'!$EF$30:$EL$30,1,CF384)=1,IF(AND('Lease Cycles'!$AZ$30&gt;=INDEX('Lease Cycles'!$BG$30:$BM$30,1,CF384),'Lease Cycles'!$AZ$30&lt;=CF$6),'Lease Cycles'!$C$30*'Lease Cycles'!$BA$30/12,IF(AND('Lease Cycles'!$AX$30&gt;=INDEX('Lease Cycles'!$BG$30:$BM$30,1,CF384),'Lease Cycles'!$AX$30&lt;=CF$6),'Lease Cycles'!$C$30*'Lease Cycles'!$AY$30/12,IF(AND('Lease Cycles'!$AV$30&gt;=INDEX('Lease Cycles'!$BG$30:$BM$30,1,CF384),'Lease Cycles'!$AV$30&lt;=CF$6),'Lease Cycles'!$C$30*'Lease Cycles'!$AW$30/12,IF(AND('Lease Cycles'!$AT$30&gt;=INDEX('Lease Cycles'!$BG$30:$BM$30,1,CF384),'Lease Cycles'!$AT$30&lt;=CF$6),'Lease Cycles'!$C$30*'Lease Cycles'!$AU$30/12,'Lease Cycles'!$C$30*INDEX('Lease Cycles'!$CB$30:$CH$30,1,CF384)*(1+INDEX('Lease Cycles'!$CI$30:$CO$30,1,CF384))^INT(INT(CF385/12)/INDEX('Lease Cycles'!$CP$30:$CV$30,1,CF384))/12)))),'Lease Cycles'!$C$30*INDEX('Lease Cycles'!$CB$30:$CH$30,1,CF384)*(1+INDEX('Lease Cycles'!$CI$30:$CO$30,1,CF384))^INT(INT(CF385/12)/INDEX('Lease Cycles'!$CP$30:$CV$30,1,CF384))/12))),IF('Lease Cycles'!$N$30=1,'Lease Cycles'!$C$30*'Lease Cycles'!$E$30*INDEX('Lease Cycles'!$HE$30:$HK$30,1,CF384)*(1+INDEX('Lease Cycles'!$GQ$30:$GW$30,1,CF384))^INT(INT((CF$6-INDEX('Lease Cycles'!$GJ$30:$GP$30,1,CF384))/12)/INDEX('Lease Cycles'!$GX$30:$HD$30,1,CF384))/12,0)))</f>
        <v>0</v>
      </c>
      <c r="CG387" s="28">
        <f>IF(CG384=0,IF('Lease Cycles'!$F$30&gt;0,'Lease Cycles'!$C$30*'Lease Cycles'!$E$30/12,0),IF(CG386=1,IF('Lease Cycles'!$AT$30&gt;=9999,'Lease Cycles'!$C$30*INDEX('Lease Cycles'!$CB$30:$CH$30,1,CG384)*(1+INDEX('Lease Cycles'!$CI$30:$CO$30,1,CG384))^INT(INT(CG385/12)/INDEX('Lease Cycles'!$CP$30:$CV$30,1,CG384))/12,IF(CG384=1,IF(CG385&gt;=INDEX('Lease Cycles'!$DK$30:$DQ$30,1,CG384),IF(CG$6&gt;='Lease Cycles'!$AZ$30,'Lease Cycles'!$C$30*'Lease Cycles'!$BA$30/12,IF(CG$6&gt;='Lease Cycles'!$AX$30,'Lease Cycles'!$C$30*'Lease Cycles'!$AY$30/12,IF(CG$6&gt;='Lease Cycles'!$AV$30,'Lease Cycles'!$C$30*'Lease Cycles'!$AW$30/12,IF(CG$6&gt;='Lease Cycles'!$AT$30,'Lease Cycles'!$C$30*'Lease Cycles'!$AU$30/12,'Lease Cycles'!$C$30*INDEX('Lease Cycles'!$CB$30:$CH$30,1,CG384)*(1+INDEX('Lease Cycles'!$CI$30:$CO$30,1,CG384))^INT(INT(CG385/12)/INDEX('Lease Cycles'!$CP$30:$CV$30,1,CG384))/12)))),'Lease Cycles'!$C$30*INDEX('Lease Cycles'!$CB$30:$CH$30,1,CG384)*(1+INDEX('Lease Cycles'!$CI$30:$CO$30,1,CG384))^INT(INT(CG385/12)/INDEX('Lease Cycles'!$CP$30:$CV$30,1,CG384))/12),IF(INDEX('Lease Cycles'!$EF$30:$EL$30,1,CG384)=1,IF(AND('Lease Cycles'!$AZ$30&gt;=INDEX('Lease Cycles'!$BG$30:$BM$30,1,CG384),'Lease Cycles'!$AZ$30&lt;=CG$6),'Lease Cycles'!$C$30*'Lease Cycles'!$BA$30/12,IF(AND('Lease Cycles'!$AX$30&gt;=INDEX('Lease Cycles'!$BG$30:$BM$30,1,CG384),'Lease Cycles'!$AX$30&lt;=CG$6),'Lease Cycles'!$C$30*'Lease Cycles'!$AY$30/12,IF(AND('Lease Cycles'!$AV$30&gt;=INDEX('Lease Cycles'!$BG$30:$BM$30,1,CG384),'Lease Cycles'!$AV$30&lt;=CG$6),'Lease Cycles'!$C$30*'Lease Cycles'!$AW$30/12,IF(AND('Lease Cycles'!$AT$30&gt;=INDEX('Lease Cycles'!$BG$30:$BM$30,1,CG384),'Lease Cycles'!$AT$30&lt;=CG$6),'Lease Cycles'!$C$30*'Lease Cycles'!$AU$30/12,'Lease Cycles'!$C$30*INDEX('Lease Cycles'!$CB$30:$CH$30,1,CG384)*(1+INDEX('Lease Cycles'!$CI$30:$CO$30,1,CG384))^INT(INT(CG385/12)/INDEX('Lease Cycles'!$CP$30:$CV$30,1,CG384))/12)))),'Lease Cycles'!$C$30*INDEX('Lease Cycles'!$CB$30:$CH$30,1,CG384)*(1+INDEX('Lease Cycles'!$CI$30:$CO$30,1,CG384))^INT(INT(CG385/12)/INDEX('Lease Cycles'!$CP$30:$CV$30,1,CG384))/12))),IF('Lease Cycles'!$N$30=1,'Lease Cycles'!$C$30*'Lease Cycles'!$E$30*INDEX('Lease Cycles'!$HE$30:$HK$30,1,CG384)*(1+INDEX('Lease Cycles'!$GQ$30:$GW$30,1,CG384))^INT(INT((CG$6-INDEX('Lease Cycles'!$GJ$30:$GP$30,1,CG384))/12)/INDEX('Lease Cycles'!$GX$30:$HD$30,1,CG384))/12,0)))</f>
        <v>0</v>
      </c>
      <c r="CH387" s="28">
        <f>IF(CH384=0,IF('Lease Cycles'!$F$30&gt;0,'Lease Cycles'!$C$30*'Lease Cycles'!$E$30/12,0),IF(CH386=1,IF('Lease Cycles'!$AT$30&gt;=9999,'Lease Cycles'!$C$30*INDEX('Lease Cycles'!$CB$30:$CH$30,1,CH384)*(1+INDEX('Lease Cycles'!$CI$30:$CO$30,1,CH384))^INT(INT(CH385/12)/INDEX('Lease Cycles'!$CP$30:$CV$30,1,CH384))/12,IF(CH384=1,IF(CH385&gt;=INDEX('Lease Cycles'!$DK$30:$DQ$30,1,CH384),IF(CH$6&gt;='Lease Cycles'!$AZ$30,'Lease Cycles'!$C$30*'Lease Cycles'!$BA$30/12,IF(CH$6&gt;='Lease Cycles'!$AX$30,'Lease Cycles'!$C$30*'Lease Cycles'!$AY$30/12,IF(CH$6&gt;='Lease Cycles'!$AV$30,'Lease Cycles'!$C$30*'Lease Cycles'!$AW$30/12,IF(CH$6&gt;='Lease Cycles'!$AT$30,'Lease Cycles'!$C$30*'Lease Cycles'!$AU$30/12,'Lease Cycles'!$C$30*INDEX('Lease Cycles'!$CB$30:$CH$30,1,CH384)*(1+INDEX('Lease Cycles'!$CI$30:$CO$30,1,CH384))^INT(INT(CH385/12)/INDEX('Lease Cycles'!$CP$30:$CV$30,1,CH384))/12)))),'Lease Cycles'!$C$30*INDEX('Lease Cycles'!$CB$30:$CH$30,1,CH384)*(1+INDEX('Lease Cycles'!$CI$30:$CO$30,1,CH384))^INT(INT(CH385/12)/INDEX('Lease Cycles'!$CP$30:$CV$30,1,CH384))/12),IF(INDEX('Lease Cycles'!$EF$30:$EL$30,1,CH384)=1,IF(AND('Lease Cycles'!$AZ$30&gt;=INDEX('Lease Cycles'!$BG$30:$BM$30,1,CH384),'Lease Cycles'!$AZ$30&lt;=CH$6),'Lease Cycles'!$C$30*'Lease Cycles'!$BA$30/12,IF(AND('Lease Cycles'!$AX$30&gt;=INDEX('Lease Cycles'!$BG$30:$BM$30,1,CH384),'Lease Cycles'!$AX$30&lt;=CH$6),'Lease Cycles'!$C$30*'Lease Cycles'!$AY$30/12,IF(AND('Lease Cycles'!$AV$30&gt;=INDEX('Lease Cycles'!$BG$30:$BM$30,1,CH384),'Lease Cycles'!$AV$30&lt;=CH$6),'Lease Cycles'!$C$30*'Lease Cycles'!$AW$30/12,IF(AND('Lease Cycles'!$AT$30&gt;=INDEX('Lease Cycles'!$BG$30:$BM$30,1,CH384),'Lease Cycles'!$AT$30&lt;=CH$6),'Lease Cycles'!$C$30*'Lease Cycles'!$AU$30/12,'Lease Cycles'!$C$30*INDEX('Lease Cycles'!$CB$30:$CH$30,1,CH384)*(1+INDEX('Lease Cycles'!$CI$30:$CO$30,1,CH384))^INT(INT(CH385/12)/INDEX('Lease Cycles'!$CP$30:$CV$30,1,CH384))/12)))),'Lease Cycles'!$C$30*INDEX('Lease Cycles'!$CB$30:$CH$30,1,CH384)*(1+INDEX('Lease Cycles'!$CI$30:$CO$30,1,CH384))^INT(INT(CH385/12)/INDEX('Lease Cycles'!$CP$30:$CV$30,1,CH384))/12))),IF('Lease Cycles'!$N$30=1,'Lease Cycles'!$C$30*'Lease Cycles'!$E$30*INDEX('Lease Cycles'!$HE$30:$HK$30,1,CH384)*(1+INDEX('Lease Cycles'!$GQ$30:$GW$30,1,CH384))^INT(INT((CH$6-INDEX('Lease Cycles'!$GJ$30:$GP$30,1,CH384))/12)/INDEX('Lease Cycles'!$GX$30:$HD$30,1,CH384))/12,0)))</f>
        <v>0</v>
      </c>
      <c r="CI387" s="28">
        <f>IF(CI384=0,IF('Lease Cycles'!$F$30&gt;0,'Lease Cycles'!$C$30*'Lease Cycles'!$E$30/12,0),IF(CI386=1,IF('Lease Cycles'!$AT$30&gt;=9999,'Lease Cycles'!$C$30*INDEX('Lease Cycles'!$CB$30:$CH$30,1,CI384)*(1+INDEX('Lease Cycles'!$CI$30:$CO$30,1,CI384))^INT(INT(CI385/12)/INDEX('Lease Cycles'!$CP$30:$CV$30,1,CI384))/12,IF(CI384=1,IF(CI385&gt;=INDEX('Lease Cycles'!$DK$30:$DQ$30,1,CI384),IF(CI$6&gt;='Lease Cycles'!$AZ$30,'Lease Cycles'!$C$30*'Lease Cycles'!$BA$30/12,IF(CI$6&gt;='Lease Cycles'!$AX$30,'Lease Cycles'!$C$30*'Lease Cycles'!$AY$30/12,IF(CI$6&gt;='Lease Cycles'!$AV$30,'Lease Cycles'!$C$30*'Lease Cycles'!$AW$30/12,IF(CI$6&gt;='Lease Cycles'!$AT$30,'Lease Cycles'!$C$30*'Lease Cycles'!$AU$30/12,'Lease Cycles'!$C$30*INDEX('Lease Cycles'!$CB$30:$CH$30,1,CI384)*(1+INDEX('Lease Cycles'!$CI$30:$CO$30,1,CI384))^INT(INT(CI385/12)/INDEX('Lease Cycles'!$CP$30:$CV$30,1,CI384))/12)))),'Lease Cycles'!$C$30*INDEX('Lease Cycles'!$CB$30:$CH$30,1,CI384)*(1+INDEX('Lease Cycles'!$CI$30:$CO$30,1,CI384))^INT(INT(CI385/12)/INDEX('Lease Cycles'!$CP$30:$CV$30,1,CI384))/12),IF(INDEX('Lease Cycles'!$EF$30:$EL$30,1,CI384)=1,IF(AND('Lease Cycles'!$AZ$30&gt;=INDEX('Lease Cycles'!$BG$30:$BM$30,1,CI384),'Lease Cycles'!$AZ$30&lt;=CI$6),'Lease Cycles'!$C$30*'Lease Cycles'!$BA$30/12,IF(AND('Lease Cycles'!$AX$30&gt;=INDEX('Lease Cycles'!$BG$30:$BM$30,1,CI384),'Lease Cycles'!$AX$30&lt;=CI$6),'Lease Cycles'!$C$30*'Lease Cycles'!$AY$30/12,IF(AND('Lease Cycles'!$AV$30&gt;=INDEX('Lease Cycles'!$BG$30:$BM$30,1,CI384),'Lease Cycles'!$AV$30&lt;=CI$6),'Lease Cycles'!$C$30*'Lease Cycles'!$AW$30/12,IF(AND('Lease Cycles'!$AT$30&gt;=INDEX('Lease Cycles'!$BG$30:$BM$30,1,CI384),'Lease Cycles'!$AT$30&lt;=CI$6),'Lease Cycles'!$C$30*'Lease Cycles'!$AU$30/12,'Lease Cycles'!$C$30*INDEX('Lease Cycles'!$CB$30:$CH$30,1,CI384)*(1+INDEX('Lease Cycles'!$CI$30:$CO$30,1,CI384))^INT(INT(CI385/12)/INDEX('Lease Cycles'!$CP$30:$CV$30,1,CI384))/12)))),'Lease Cycles'!$C$30*INDEX('Lease Cycles'!$CB$30:$CH$30,1,CI384)*(1+INDEX('Lease Cycles'!$CI$30:$CO$30,1,CI384))^INT(INT(CI385/12)/INDEX('Lease Cycles'!$CP$30:$CV$30,1,CI384))/12))),IF('Lease Cycles'!$N$30=1,'Lease Cycles'!$C$30*'Lease Cycles'!$E$30*INDEX('Lease Cycles'!$HE$30:$HK$30,1,CI384)*(1+INDEX('Lease Cycles'!$GQ$30:$GW$30,1,CI384))^INT(INT((CI$6-INDEX('Lease Cycles'!$GJ$30:$GP$30,1,CI384))/12)/INDEX('Lease Cycles'!$GX$30:$HD$30,1,CI384))/12,0)))</f>
        <v>0</v>
      </c>
      <c r="CJ387" s="28">
        <f>IF(CJ384=0,IF('Lease Cycles'!$F$30&gt;0,'Lease Cycles'!$C$30*'Lease Cycles'!$E$30/12,0),IF(CJ386=1,IF('Lease Cycles'!$AT$30&gt;=9999,'Lease Cycles'!$C$30*INDEX('Lease Cycles'!$CB$30:$CH$30,1,CJ384)*(1+INDEX('Lease Cycles'!$CI$30:$CO$30,1,CJ384))^INT(INT(CJ385/12)/INDEX('Lease Cycles'!$CP$30:$CV$30,1,CJ384))/12,IF(CJ384=1,IF(CJ385&gt;=INDEX('Lease Cycles'!$DK$30:$DQ$30,1,CJ384),IF(CJ$6&gt;='Lease Cycles'!$AZ$30,'Lease Cycles'!$C$30*'Lease Cycles'!$BA$30/12,IF(CJ$6&gt;='Lease Cycles'!$AX$30,'Lease Cycles'!$C$30*'Lease Cycles'!$AY$30/12,IF(CJ$6&gt;='Lease Cycles'!$AV$30,'Lease Cycles'!$C$30*'Lease Cycles'!$AW$30/12,IF(CJ$6&gt;='Lease Cycles'!$AT$30,'Lease Cycles'!$C$30*'Lease Cycles'!$AU$30/12,'Lease Cycles'!$C$30*INDEX('Lease Cycles'!$CB$30:$CH$30,1,CJ384)*(1+INDEX('Lease Cycles'!$CI$30:$CO$30,1,CJ384))^INT(INT(CJ385/12)/INDEX('Lease Cycles'!$CP$30:$CV$30,1,CJ384))/12)))),'Lease Cycles'!$C$30*INDEX('Lease Cycles'!$CB$30:$CH$30,1,CJ384)*(1+INDEX('Lease Cycles'!$CI$30:$CO$30,1,CJ384))^INT(INT(CJ385/12)/INDEX('Lease Cycles'!$CP$30:$CV$30,1,CJ384))/12),IF(INDEX('Lease Cycles'!$EF$30:$EL$30,1,CJ384)=1,IF(AND('Lease Cycles'!$AZ$30&gt;=INDEX('Lease Cycles'!$BG$30:$BM$30,1,CJ384),'Lease Cycles'!$AZ$30&lt;=CJ$6),'Lease Cycles'!$C$30*'Lease Cycles'!$BA$30/12,IF(AND('Lease Cycles'!$AX$30&gt;=INDEX('Lease Cycles'!$BG$30:$BM$30,1,CJ384),'Lease Cycles'!$AX$30&lt;=CJ$6),'Lease Cycles'!$C$30*'Lease Cycles'!$AY$30/12,IF(AND('Lease Cycles'!$AV$30&gt;=INDEX('Lease Cycles'!$BG$30:$BM$30,1,CJ384),'Lease Cycles'!$AV$30&lt;=CJ$6),'Lease Cycles'!$C$30*'Lease Cycles'!$AW$30/12,IF(AND('Lease Cycles'!$AT$30&gt;=INDEX('Lease Cycles'!$BG$30:$BM$30,1,CJ384),'Lease Cycles'!$AT$30&lt;=CJ$6),'Lease Cycles'!$C$30*'Lease Cycles'!$AU$30/12,'Lease Cycles'!$C$30*INDEX('Lease Cycles'!$CB$30:$CH$30,1,CJ384)*(1+INDEX('Lease Cycles'!$CI$30:$CO$30,1,CJ384))^INT(INT(CJ385/12)/INDEX('Lease Cycles'!$CP$30:$CV$30,1,CJ384))/12)))),'Lease Cycles'!$C$30*INDEX('Lease Cycles'!$CB$30:$CH$30,1,CJ384)*(1+INDEX('Lease Cycles'!$CI$30:$CO$30,1,CJ384))^INT(INT(CJ385/12)/INDEX('Lease Cycles'!$CP$30:$CV$30,1,CJ384))/12))),IF('Lease Cycles'!$N$30=1,'Lease Cycles'!$C$30*'Lease Cycles'!$E$30*INDEX('Lease Cycles'!$HE$30:$HK$30,1,CJ384)*(1+INDEX('Lease Cycles'!$GQ$30:$GW$30,1,CJ384))^INT(INT((CJ$6-INDEX('Lease Cycles'!$GJ$30:$GP$30,1,CJ384))/12)/INDEX('Lease Cycles'!$GX$30:$HD$30,1,CJ384))/12,0)))</f>
        <v>0</v>
      </c>
      <c r="CK387" s="28">
        <f>IF(CK384=0,IF('Lease Cycles'!$F$30&gt;0,'Lease Cycles'!$C$30*'Lease Cycles'!$E$30/12,0),IF(CK386=1,IF('Lease Cycles'!$AT$30&gt;=9999,'Lease Cycles'!$C$30*INDEX('Lease Cycles'!$CB$30:$CH$30,1,CK384)*(1+INDEX('Lease Cycles'!$CI$30:$CO$30,1,CK384))^INT(INT(CK385/12)/INDEX('Lease Cycles'!$CP$30:$CV$30,1,CK384))/12,IF(CK384=1,IF(CK385&gt;=INDEX('Lease Cycles'!$DK$30:$DQ$30,1,CK384),IF(CK$6&gt;='Lease Cycles'!$AZ$30,'Lease Cycles'!$C$30*'Lease Cycles'!$BA$30/12,IF(CK$6&gt;='Lease Cycles'!$AX$30,'Lease Cycles'!$C$30*'Lease Cycles'!$AY$30/12,IF(CK$6&gt;='Lease Cycles'!$AV$30,'Lease Cycles'!$C$30*'Lease Cycles'!$AW$30/12,IF(CK$6&gt;='Lease Cycles'!$AT$30,'Lease Cycles'!$C$30*'Lease Cycles'!$AU$30/12,'Lease Cycles'!$C$30*INDEX('Lease Cycles'!$CB$30:$CH$30,1,CK384)*(1+INDEX('Lease Cycles'!$CI$30:$CO$30,1,CK384))^INT(INT(CK385/12)/INDEX('Lease Cycles'!$CP$30:$CV$30,1,CK384))/12)))),'Lease Cycles'!$C$30*INDEX('Lease Cycles'!$CB$30:$CH$30,1,CK384)*(1+INDEX('Lease Cycles'!$CI$30:$CO$30,1,CK384))^INT(INT(CK385/12)/INDEX('Lease Cycles'!$CP$30:$CV$30,1,CK384))/12),IF(INDEX('Lease Cycles'!$EF$30:$EL$30,1,CK384)=1,IF(AND('Lease Cycles'!$AZ$30&gt;=INDEX('Lease Cycles'!$BG$30:$BM$30,1,CK384),'Lease Cycles'!$AZ$30&lt;=CK$6),'Lease Cycles'!$C$30*'Lease Cycles'!$BA$30/12,IF(AND('Lease Cycles'!$AX$30&gt;=INDEX('Lease Cycles'!$BG$30:$BM$30,1,CK384),'Lease Cycles'!$AX$30&lt;=CK$6),'Lease Cycles'!$C$30*'Lease Cycles'!$AY$30/12,IF(AND('Lease Cycles'!$AV$30&gt;=INDEX('Lease Cycles'!$BG$30:$BM$30,1,CK384),'Lease Cycles'!$AV$30&lt;=CK$6),'Lease Cycles'!$C$30*'Lease Cycles'!$AW$30/12,IF(AND('Lease Cycles'!$AT$30&gt;=INDEX('Lease Cycles'!$BG$30:$BM$30,1,CK384),'Lease Cycles'!$AT$30&lt;=CK$6),'Lease Cycles'!$C$30*'Lease Cycles'!$AU$30/12,'Lease Cycles'!$C$30*INDEX('Lease Cycles'!$CB$30:$CH$30,1,CK384)*(1+INDEX('Lease Cycles'!$CI$30:$CO$30,1,CK384))^INT(INT(CK385/12)/INDEX('Lease Cycles'!$CP$30:$CV$30,1,CK384))/12)))),'Lease Cycles'!$C$30*INDEX('Lease Cycles'!$CB$30:$CH$30,1,CK384)*(1+INDEX('Lease Cycles'!$CI$30:$CO$30,1,CK384))^INT(INT(CK385/12)/INDEX('Lease Cycles'!$CP$30:$CV$30,1,CK384))/12))),IF('Lease Cycles'!$N$30=1,'Lease Cycles'!$C$30*'Lease Cycles'!$E$30*INDEX('Lease Cycles'!$HE$30:$HK$30,1,CK384)*(1+INDEX('Lease Cycles'!$GQ$30:$GW$30,1,CK384))^INT(INT((CK$6-INDEX('Lease Cycles'!$GJ$30:$GP$30,1,CK384))/12)/INDEX('Lease Cycles'!$GX$30:$HD$30,1,CK384))/12,0)))</f>
        <v>0</v>
      </c>
      <c r="CL387" s="28">
        <f>IF(CL384=0,IF('Lease Cycles'!$F$30&gt;0,'Lease Cycles'!$C$30*'Lease Cycles'!$E$30/12,0),IF(CL386=1,IF('Lease Cycles'!$AT$30&gt;=9999,'Lease Cycles'!$C$30*INDEX('Lease Cycles'!$CB$30:$CH$30,1,CL384)*(1+INDEX('Lease Cycles'!$CI$30:$CO$30,1,CL384))^INT(INT(CL385/12)/INDEX('Lease Cycles'!$CP$30:$CV$30,1,CL384))/12,IF(CL384=1,IF(CL385&gt;=INDEX('Lease Cycles'!$DK$30:$DQ$30,1,CL384),IF(CL$6&gt;='Lease Cycles'!$AZ$30,'Lease Cycles'!$C$30*'Lease Cycles'!$BA$30/12,IF(CL$6&gt;='Lease Cycles'!$AX$30,'Lease Cycles'!$C$30*'Lease Cycles'!$AY$30/12,IF(CL$6&gt;='Lease Cycles'!$AV$30,'Lease Cycles'!$C$30*'Lease Cycles'!$AW$30/12,IF(CL$6&gt;='Lease Cycles'!$AT$30,'Lease Cycles'!$C$30*'Lease Cycles'!$AU$30/12,'Lease Cycles'!$C$30*INDEX('Lease Cycles'!$CB$30:$CH$30,1,CL384)*(1+INDEX('Lease Cycles'!$CI$30:$CO$30,1,CL384))^INT(INT(CL385/12)/INDEX('Lease Cycles'!$CP$30:$CV$30,1,CL384))/12)))),'Lease Cycles'!$C$30*INDEX('Lease Cycles'!$CB$30:$CH$30,1,CL384)*(1+INDEX('Lease Cycles'!$CI$30:$CO$30,1,CL384))^INT(INT(CL385/12)/INDEX('Lease Cycles'!$CP$30:$CV$30,1,CL384))/12),IF(INDEX('Lease Cycles'!$EF$30:$EL$30,1,CL384)=1,IF(AND('Lease Cycles'!$AZ$30&gt;=INDEX('Lease Cycles'!$BG$30:$BM$30,1,CL384),'Lease Cycles'!$AZ$30&lt;=CL$6),'Lease Cycles'!$C$30*'Lease Cycles'!$BA$30/12,IF(AND('Lease Cycles'!$AX$30&gt;=INDEX('Lease Cycles'!$BG$30:$BM$30,1,CL384),'Lease Cycles'!$AX$30&lt;=CL$6),'Lease Cycles'!$C$30*'Lease Cycles'!$AY$30/12,IF(AND('Lease Cycles'!$AV$30&gt;=INDEX('Lease Cycles'!$BG$30:$BM$30,1,CL384),'Lease Cycles'!$AV$30&lt;=CL$6),'Lease Cycles'!$C$30*'Lease Cycles'!$AW$30/12,IF(AND('Lease Cycles'!$AT$30&gt;=INDEX('Lease Cycles'!$BG$30:$BM$30,1,CL384),'Lease Cycles'!$AT$30&lt;=CL$6),'Lease Cycles'!$C$30*'Lease Cycles'!$AU$30/12,'Lease Cycles'!$C$30*INDEX('Lease Cycles'!$CB$30:$CH$30,1,CL384)*(1+INDEX('Lease Cycles'!$CI$30:$CO$30,1,CL384))^INT(INT(CL385/12)/INDEX('Lease Cycles'!$CP$30:$CV$30,1,CL384))/12)))),'Lease Cycles'!$C$30*INDEX('Lease Cycles'!$CB$30:$CH$30,1,CL384)*(1+INDEX('Lease Cycles'!$CI$30:$CO$30,1,CL384))^INT(INT(CL385/12)/INDEX('Lease Cycles'!$CP$30:$CV$30,1,CL384))/12))),IF('Lease Cycles'!$N$30=1,'Lease Cycles'!$C$30*'Lease Cycles'!$E$30*INDEX('Lease Cycles'!$HE$30:$HK$30,1,CL384)*(1+INDEX('Lease Cycles'!$GQ$30:$GW$30,1,CL384))^INT(INT((CL$6-INDEX('Lease Cycles'!$GJ$30:$GP$30,1,CL384))/12)/INDEX('Lease Cycles'!$GX$30:$HD$30,1,CL384))/12,0)))</f>
        <v>0</v>
      </c>
      <c r="CM387" s="28">
        <f>IF(CM384=0,IF('Lease Cycles'!$F$30&gt;0,'Lease Cycles'!$C$30*'Lease Cycles'!$E$30/12,0),IF(CM386=1,IF('Lease Cycles'!$AT$30&gt;=9999,'Lease Cycles'!$C$30*INDEX('Lease Cycles'!$CB$30:$CH$30,1,CM384)*(1+INDEX('Lease Cycles'!$CI$30:$CO$30,1,CM384))^INT(INT(CM385/12)/INDEX('Lease Cycles'!$CP$30:$CV$30,1,CM384))/12,IF(CM384=1,IF(CM385&gt;=INDEX('Lease Cycles'!$DK$30:$DQ$30,1,CM384),IF(CM$6&gt;='Lease Cycles'!$AZ$30,'Lease Cycles'!$C$30*'Lease Cycles'!$BA$30/12,IF(CM$6&gt;='Lease Cycles'!$AX$30,'Lease Cycles'!$C$30*'Lease Cycles'!$AY$30/12,IF(CM$6&gt;='Lease Cycles'!$AV$30,'Lease Cycles'!$C$30*'Lease Cycles'!$AW$30/12,IF(CM$6&gt;='Lease Cycles'!$AT$30,'Lease Cycles'!$C$30*'Lease Cycles'!$AU$30/12,'Lease Cycles'!$C$30*INDEX('Lease Cycles'!$CB$30:$CH$30,1,CM384)*(1+INDEX('Lease Cycles'!$CI$30:$CO$30,1,CM384))^INT(INT(CM385/12)/INDEX('Lease Cycles'!$CP$30:$CV$30,1,CM384))/12)))),'Lease Cycles'!$C$30*INDEX('Lease Cycles'!$CB$30:$CH$30,1,CM384)*(1+INDEX('Lease Cycles'!$CI$30:$CO$30,1,CM384))^INT(INT(CM385/12)/INDEX('Lease Cycles'!$CP$30:$CV$30,1,CM384))/12),IF(INDEX('Lease Cycles'!$EF$30:$EL$30,1,CM384)=1,IF(AND('Lease Cycles'!$AZ$30&gt;=INDEX('Lease Cycles'!$BG$30:$BM$30,1,CM384),'Lease Cycles'!$AZ$30&lt;=CM$6),'Lease Cycles'!$C$30*'Lease Cycles'!$BA$30/12,IF(AND('Lease Cycles'!$AX$30&gt;=INDEX('Lease Cycles'!$BG$30:$BM$30,1,CM384),'Lease Cycles'!$AX$30&lt;=CM$6),'Lease Cycles'!$C$30*'Lease Cycles'!$AY$30/12,IF(AND('Lease Cycles'!$AV$30&gt;=INDEX('Lease Cycles'!$BG$30:$BM$30,1,CM384),'Lease Cycles'!$AV$30&lt;=CM$6),'Lease Cycles'!$C$30*'Lease Cycles'!$AW$30/12,IF(AND('Lease Cycles'!$AT$30&gt;=INDEX('Lease Cycles'!$BG$30:$BM$30,1,CM384),'Lease Cycles'!$AT$30&lt;=CM$6),'Lease Cycles'!$C$30*'Lease Cycles'!$AU$30/12,'Lease Cycles'!$C$30*INDEX('Lease Cycles'!$CB$30:$CH$30,1,CM384)*(1+INDEX('Lease Cycles'!$CI$30:$CO$30,1,CM384))^INT(INT(CM385/12)/INDEX('Lease Cycles'!$CP$30:$CV$30,1,CM384))/12)))),'Lease Cycles'!$C$30*INDEX('Lease Cycles'!$CB$30:$CH$30,1,CM384)*(1+INDEX('Lease Cycles'!$CI$30:$CO$30,1,CM384))^INT(INT(CM385/12)/INDEX('Lease Cycles'!$CP$30:$CV$30,1,CM384))/12))),IF('Lease Cycles'!$N$30=1,'Lease Cycles'!$C$30*'Lease Cycles'!$E$30*INDEX('Lease Cycles'!$HE$30:$HK$30,1,CM384)*(1+INDEX('Lease Cycles'!$GQ$30:$GW$30,1,CM384))^INT(INT((CM$6-INDEX('Lease Cycles'!$GJ$30:$GP$30,1,CM384))/12)/INDEX('Lease Cycles'!$GX$30:$HD$30,1,CM384))/12,0)))</f>
        <v>0</v>
      </c>
      <c r="CN387" s="28">
        <f>IF(CN384=0,IF('Lease Cycles'!$F$30&gt;0,'Lease Cycles'!$C$30*'Lease Cycles'!$E$30/12,0),IF(CN386=1,IF('Lease Cycles'!$AT$30&gt;=9999,'Lease Cycles'!$C$30*INDEX('Lease Cycles'!$CB$30:$CH$30,1,CN384)*(1+INDEX('Lease Cycles'!$CI$30:$CO$30,1,CN384))^INT(INT(CN385/12)/INDEX('Lease Cycles'!$CP$30:$CV$30,1,CN384))/12,IF(CN384=1,IF(CN385&gt;=INDEX('Lease Cycles'!$DK$30:$DQ$30,1,CN384),IF(CN$6&gt;='Lease Cycles'!$AZ$30,'Lease Cycles'!$C$30*'Lease Cycles'!$BA$30/12,IF(CN$6&gt;='Lease Cycles'!$AX$30,'Lease Cycles'!$C$30*'Lease Cycles'!$AY$30/12,IF(CN$6&gt;='Lease Cycles'!$AV$30,'Lease Cycles'!$C$30*'Lease Cycles'!$AW$30/12,IF(CN$6&gt;='Lease Cycles'!$AT$30,'Lease Cycles'!$C$30*'Lease Cycles'!$AU$30/12,'Lease Cycles'!$C$30*INDEX('Lease Cycles'!$CB$30:$CH$30,1,CN384)*(1+INDEX('Lease Cycles'!$CI$30:$CO$30,1,CN384))^INT(INT(CN385/12)/INDEX('Lease Cycles'!$CP$30:$CV$30,1,CN384))/12)))),'Lease Cycles'!$C$30*INDEX('Lease Cycles'!$CB$30:$CH$30,1,CN384)*(1+INDEX('Lease Cycles'!$CI$30:$CO$30,1,CN384))^INT(INT(CN385/12)/INDEX('Lease Cycles'!$CP$30:$CV$30,1,CN384))/12),IF(INDEX('Lease Cycles'!$EF$30:$EL$30,1,CN384)=1,IF(AND('Lease Cycles'!$AZ$30&gt;=INDEX('Lease Cycles'!$BG$30:$BM$30,1,CN384),'Lease Cycles'!$AZ$30&lt;=CN$6),'Lease Cycles'!$C$30*'Lease Cycles'!$BA$30/12,IF(AND('Lease Cycles'!$AX$30&gt;=INDEX('Lease Cycles'!$BG$30:$BM$30,1,CN384),'Lease Cycles'!$AX$30&lt;=CN$6),'Lease Cycles'!$C$30*'Lease Cycles'!$AY$30/12,IF(AND('Lease Cycles'!$AV$30&gt;=INDEX('Lease Cycles'!$BG$30:$BM$30,1,CN384),'Lease Cycles'!$AV$30&lt;=CN$6),'Lease Cycles'!$C$30*'Lease Cycles'!$AW$30/12,IF(AND('Lease Cycles'!$AT$30&gt;=INDEX('Lease Cycles'!$BG$30:$BM$30,1,CN384),'Lease Cycles'!$AT$30&lt;=CN$6),'Lease Cycles'!$C$30*'Lease Cycles'!$AU$30/12,'Lease Cycles'!$C$30*INDEX('Lease Cycles'!$CB$30:$CH$30,1,CN384)*(1+INDEX('Lease Cycles'!$CI$30:$CO$30,1,CN384))^INT(INT(CN385/12)/INDEX('Lease Cycles'!$CP$30:$CV$30,1,CN384))/12)))),'Lease Cycles'!$C$30*INDEX('Lease Cycles'!$CB$30:$CH$30,1,CN384)*(1+INDEX('Lease Cycles'!$CI$30:$CO$30,1,CN384))^INT(INT(CN385/12)/INDEX('Lease Cycles'!$CP$30:$CV$30,1,CN384))/12))),IF('Lease Cycles'!$N$30=1,'Lease Cycles'!$C$30*'Lease Cycles'!$E$30*INDEX('Lease Cycles'!$HE$30:$HK$30,1,CN384)*(1+INDEX('Lease Cycles'!$GQ$30:$GW$30,1,CN384))^INT(INT((CN$6-INDEX('Lease Cycles'!$GJ$30:$GP$30,1,CN384))/12)/INDEX('Lease Cycles'!$GX$30:$HD$30,1,CN384))/12,0)))</f>
        <v>0</v>
      </c>
      <c r="CO387" s="28">
        <f>IF(CO384=0,IF('Lease Cycles'!$F$30&gt;0,'Lease Cycles'!$C$30*'Lease Cycles'!$E$30/12,0),IF(CO386=1,IF('Lease Cycles'!$AT$30&gt;=9999,'Lease Cycles'!$C$30*INDEX('Lease Cycles'!$CB$30:$CH$30,1,CO384)*(1+INDEX('Lease Cycles'!$CI$30:$CO$30,1,CO384))^INT(INT(CO385/12)/INDEX('Lease Cycles'!$CP$30:$CV$30,1,CO384))/12,IF(CO384=1,IF(CO385&gt;=INDEX('Lease Cycles'!$DK$30:$DQ$30,1,CO384),IF(CO$6&gt;='Lease Cycles'!$AZ$30,'Lease Cycles'!$C$30*'Lease Cycles'!$BA$30/12,IF(CO$6&gt;='Lease Cycles'!$AX$30,'Lease Cycles'!$C$30*'Lease Cycles'!$AY$30/12,IF(CO$6&gt;='Lease Cycles'!$AV$30,'Lease Cycles'!$C$30*'Lease Cycles'!$AW$30/12,IF(CO$6&gt;='Lease Cycles'!$AT$30,'Lease Cycles'!$C$30*'Lease Cycles'!$AU$30/12,'Lease Cycles'!$C$30*INDEX('Lease Cycles'!$CB$30:$CH$30,1,CO384)*(1+INDEX('Lease Cycles'!$CI$30:$CO$30,1,CO384))^INT(INT(CO385/12)/INDEX('Lease Cycles'!$CP$30:$CV$30,1,CO384))/12)))),'Lease Cycles'!$C$30*INDEX('Lease Cycles'!$CB$30:$CH$30,1,CO384)*(1+INDEX('Lease Cycles'!$CI$30:$CO$30,1,CO384))^INT(INT(CO385/12)/INDEX('Lease Cycles'!$CP$30:$CV$30,1,CO384))/12),IF(INDEX('Lease Cycles'!$EF$30:$EL$30,1,CO384)=1,IF(AND('Lease Cycles'!$AZ$30&gt;=INDEX('Lease Cycles'!$BG$30:$BM$30,1,CO384),'Lease Cycles'!$AZ$30&lt;=CO$6),'Lease Cycles'!$C$30*'Lease Cycles'!$BA$30/12,IF(AND('Lease Cycles'!$AX$30&gt;=INDEX('Lease Cycles'!$BG$30:$BM$30,1,CO384),'Lease Cycles'!$AX$30&lt;=CO$6),'Lease Cycles'!$C$30*'Lease Cycles'!$AY$30/12,IF(AND('Lease Cycles'!$AV$30&gt;=INDEX('Lease Cycles'!$BG$30:$BM$30,1,CO384),'Lease Cycles'!$AV$30&lt;=CO$6),'Lease Cycles'!$C$30*'Lease Cycles'!$AW$30/12,IF(AND('Lease Cycles'!$AT$30&gt;=INDEX('Lease Cycles'!$BG$30:$BM$30,1,CO384),'Lease Cycles'!$AT$30&lt;=CO$6),'Lease Cycles'!$C$30*'Lease Cycles'!$AU$30/12,'Lease Cycles'!$C$30*INDEX('Lease Cycles'!$CB$30:$CH$30,1,CO384)*(1+INDEX('Lease Cycles'!$CI$30:$CO$30,1,CO384))^INT(INT(CO385/12)/INDEX('Lease Cycles'!$CP$30:$CV$30,1,CO384))/12)))),'Lease Cycles'!$C$30*INDEX('Lease Cycles'!$CB$30:$CH$30,1,CO384)*(1+INDEX('Lease Cycles'!$CI$30:$CO$30,1,CO384))^INT(INT(CO385/12)/INDEX('Lease Cycles'!$CP$30:$CV$30,1,CO384))/12))),IF('Lease Cycles'!$N$30=1,'Lease Cycles'!$C$30*'Lease Cycles'!$E$30*INDEX('Lease Cycles'!$HE$30:$HK$30,1,CO384)*(1+INDEX('Lease Cycles'!$GQ$30:$GW$30,1,CO384))^INT(INT((CO$6-INDEX('Lease Cycles'!$GJ$30:$GP$30,1,CO384))/12)/INDEX('Lease Cycles'!$GX$30:$HD$30,1,CO384))/12,0)))</f>
        <v>0</v>
      </c>
      <c r="CP387" s="28">
        <f>IF(CP384=0,IF('Lease Cycles'!$F$30&gt;0,'Lease Cycles'!$C$30*'Lease Cycles'!$E$30/12,0),IF(CP386=1,IF('Lease Cycles'!$AT$30&gt;=9999,'Lease Cycles'!$C$30*INDEX('Lease Cycles'!$CB$30:$CH$30,1,CP384)*(1+INDEX('Lease Cycles'!$CI$30:$CO$30,1,CP384))^INT(INT(CP385/12)/INDEX('Lease Cycles'!$CP$30:$CV$30,1,CP384))/12,IF(CP384=1,IF(CP385&gt;=INDEX('Lease Cycles'!$DK$30:$DQ$30,1,CP384),IF(CP$6&gt;='Lease Cycles'!$AZ$30,'Lease Cycles'!$C$30*'Lease Cycles'!$BA$30/12,IF(CP$6&gt;='Lease Cycles'!$AX$30,'Lease Cycles'!$C$30*'Lease Cycles'!$AY$30/12,IF(CP$6&gt;='Lease Cycles'!$AV$30,'Lease Cycles'!$C$30*'Lease Cycles'!$AW$30/12,IF(CP$6&gt;='Lease Cycles'!$AT$30,'Lease Cycles'!$C$30*'Lease Cycles'!$AU$30/12,'Lease Cycles'!$C$30*INDEX('Lease Cycles'!$CB$30:$CH$30,1,CP384)*(1+INDEX('Lease Cycles'!$CI$30:$CO$30,1,CP384))^INT(INT(CP385/12)/INDEX('Lease Cycles'!$CP$30:$CV$30,1,CP384))/12)))),'Lease Cycles'!$C$30*INDEX('Lease Cycles'!$CB$30:$CH$30,1,CP384)*(1+INDEX('Lease Cycles'!$CI$30:$CO$30,1,CP384))^INT(INT(CP385/12)/INDEX('Lease Cycles'!$CP$30:$CV$30,1,CP384))/12),IF(INDEX('Lease Cycles'!$EF$30:$EL$30,1,CP384)=1,IF(AND('Lease Cycles'!$AZ$30&gt;=INDEX('Lease Cycles'!$BG$30:$BM$30,1,CP384),'Lease Cycles'!$AZ$30&lt;=CP$6),'Lease Cycles'!$C$30*'Lease Cycles'!$BA$30/12,IF(AND('Lease Cycles'!$AX$30&gt;=INDEX('Lease Cycles'!$BG$30:$BM$30,1,CP384),'Lease Cycles'!$AX$30&lt;=CP$6),'Lease Cycles'!$C$30*'Lease Cycles'!$AY$30/12,IF(AND('Lease Cycles'!$AV$30&gt;=INDEX('Lease Cycles'!$BG$30:$BM$30,1,CP384),'Lease Cycles'!$AV$30&lt;=CP$6),'Lease Cycles'!$C$30*'Lease Cycles'!$AW$30/12,IF(AND('Lease Cycles'!$AT$30&gt;=INDEX('Lease Cycles'!$BG$30:$BM$30,1,CP384),'Lease Cycles'!$AT$30&lt;=CP$6),'Lease Cycles'!$C$30*'Lease Cycles'!$AU$30/12,'Lease Cycles'!$C$30*INDEX('Lease Cycles'!$CB$30:$CH$30,1,CP384)*(1+INDEX('Lease Cycles'!$CI$30:$CO$30,1,CP384))^INT(INT(CP385/12)/INDEX('Lease Cycles'!$CP$30:$CV$30,1,CP384))/12)))),'Lease Cycles'!$C$30*INDEX('Lease Cycles'!$CB$30:$CH$30,1,CP384)*(1+INDEX('Lease Cycles'!$CI$30:$CO$30,1,CP384))^INT(INT(CP385/12)/INDEX('Lease Cycles'!$CP$30:$CV$30,1,CP384))/12))),IF('Lease Cycles'!$N$30=1,'Lease Cycles'!$C$30*'Lease Cycles'!$E$30*INDEX('Lease Cycles'!$HE$30:$HK$30,1,CP384)*(1+INDEX('Lease Cycles'!$GQ$30:$GW$30,1,CP384))^INT(INT((CP$6-INDEX('Lease Cycles'!$GJ$30:$GP$30,1,CP384))/12)/INDEX('Lease Cycles'!$GX$30:$HD$30,1,CP384))/12,0)))</f>
        <v>0</v>
      </c>
      <c r="CQ387" s="28">
        <f>IF(CQ384=0,IF('Lease Cycles'!$F$30&gt;0,'Lease Cycles'!$C$30*'Lease Cycles'!$E$30/12,0),IF(CQ386=1,IF('Lease Cycles'!$AT$30&gt;=9999,'Lease Cycles'!$C$30*INDEX('Lease Cycles'!$CB$30:$CH$30,1,CQ384)*(1+INDEX('Lease Cycles'!$CI$30:$CO$30,1,CQ384))^INT(INT(CQ385/12)/INDEX('Lease Cycles'!$CP$30:$CV$30,1,CQ384))/12,IF(CQ384=1,IF(CQ385&gt;=INDEX('Lease Cycles'!$DK$30:$DQ$30,1,CQ384),IF(CQ$6&gt;='Lease Cycles'!$AZ$30,'Lease Cycles'!$C$30*'Lease Cycles'!$BA$30/12,IF(CQ$6&gt;='Lease Cycles'!$AX$30,'Lease Cycles'!$C$30*'Lease Cycles'!$AY$30/12,IF(CQ$6&gt;='Lease Cycles'!$AV$30,'Lease Cycles'!$C$30*'Lease Cycles'!$AW$30/12,IF(CQ$6&gt;='Lease Cycles'!$AT$30,'Lease Cycles'!$C$30*'Lease Cycles'!$AU$30/12,'Lease Cycles'!$C$30*INDEX('Lease Cycles'!$CB$30:$CH$30,1,CQ384)*(1+INDEX('Lease Cycles'!$CI$30:$CO$30,1,CQ384))^INT(INT(CQ385/12)/INDEX('Lease Cycles'!$CP$30:$CV$30,1,CQ384))/12)))),'Lease Cycles'!$C$30*INDEX('Lease Cycles'!$CB$30:$CH$30,1,CQ384)*(1+INDEX('Lease Cycles'!$CI$30:$CO$30,1,CQ384))^INT(INT(CQ385/12)/INDEX('Lease Cycles'!$CP$30:$CV$30,1,CQ384))/12),IF(INDEX('Lease Cycles'!$EF$30:$EL$30,1,CQ384)=1,IF(AND('Lease Cycles'!$AZ$30&gt;=INDEX('Lease Cycles'!$BG$30:$BM$30,1,CQ384),'Lease Cycles'!$AZ$30&lt;=CQ$6),'Lease Cycles'!$C$30*'Lease Cycles'!$BA$30/12,IF(AND('Lease Cycles'!$AX$30&gt;=INDEX('Lease Cycles'!$BG$30:$BM$30,1,CQ384),'Lease Cycles'!$AX$30&lt;=CQ$6),'Lease Cycles'!$C$30*'Lease Cycles'!$AY$30/12,IF(AND('Lease Cycles'!$AV$30&gt;=INDEX('Lease Cycles'!$BG$30:$BM$30,1,CQ384),'Lease Cycles'!$AV$30&lt;=CQ$6),'Lease Cycles'!$C$30*'Lease Cycles'!$AW$30/12,IF(AND('Lease Cycles'!$AT$30&gt;=INDEX('Lease Cycles'!$BG$30:$BM$30,1,CQ384),'Lease Cycles'!$AT$30&lt;=CQ$6),'Lease Cycles'!$C$30*'Lease Cycles'!$AU$30/12,'Lease Cycles'!$C$30*INDEX('Lease Cycles'!$CB$30:$CH$30,1,CQ384)*(1+INDEX('Lease Cycles'!$CI$30:$CO$30,1,CQ384))^INT(INT(CQ385/12)/INDEX('Lease Cycles'!$CP$30:$CV$30,1,CQ384))/12)))),'Lease Cycles'!$C$30*INDEX('Lease Cycles'!$CB$30:$CH$30,1,CQ384)*(1+INDEX('Lease Cycles'!$CI$30:$CO$30,1,CQ384))^INT(INT(CQ385/12)/INDEX('Lease Cycles'!$CP$30:$CV$30,1,CQ384))/12))),IF('Lease Cycles'!$N$30=1,'Lease Cycles'!$C$30*'Lease Cycles'!$E$30*INDEX('Lease Cycles'!$HE$30:$HK$30,1,CQ384)*(1+INDEX('Lease Cycles'!$GQ$30:$GW$30,1,CQ384))^INT(INT((CQ$6-INDEX('Lease Cycles'!$GJ$30:$GP$30,1,CQ384))/12)/INDEX('Lease Cycles'!$GX$30:$HD$30,1,CQ384))/12,0)))</f>
        <v>0</v>
      </c>
      <c r="CR387" s="28">
        <f>IF(CR384=0,IF('Lease Cycles'!$F$30&gt;0,'Lease Cycles'!$C$30*'Lease Cycles'!$E$30/12,0),IF(CR386=1,IF('Lease Cycles'!$AT$30&gt;=9999,'Lease Cycles'!$C$30*INDEX('Lease Cycles'!$CB$30:$CH$30,1,CR384)*(1+INDEX('Lease Cycles'!$CI$30:$CO$30,1,CR384))^INT(INT(CR385/12)/INDEX('Lease Cycles'!$CP$30:$CV$30,1,CR384))/12,IF(CR384=1,IF(CR385&gt;=INDEX('Lease Cycles'!$DK$30:$DQ$30,1,CR384),IF(CR$6&gt;='Lease Cycles'!$AZ$30,'Lease Cycles'!$C$30*'Lease Cycles'!$BA$30/12,IF(CR$6&gt;='Lease Cycles'!$AX$30,'Lease Cycles'!$C$30*'Lease Cycles'!$AY$30/12,IF(CR$6&gt;='Lease Cycles'!$AV$30,'Lease Cycles'!$C$30*'Lease Cycles'!$AW$30/12,IF(CR$6&gt;='Lease Cycles'!$AT$30,'Lease Cycles'!$C$30*'Lease Cycles'!$AU$30/12,'Lease Cycles'!$C$30*INDEX('Lease Cycles'!$CB$30:$CH$30,1,CR384)*(1+INDEX('Lease Cycles'!$CI$30:$CO$30,1,CR384))^INT(INT(CR385/12)/INDEX('Lease Cycles'!$CP$30:$CV$30,1,CR384))/12)))),'Lease Cycles'!$C$30*INDEX('Lease Cycles'!$CB$30:$CH$30,1,CR384)*(1+INDEX('Lease Cycles'!$CI$30:$CO$30,1,CR384))^INT(INT(CR385/12)/INDEX('Lease Cycles'!$CP$30:$CV$30,1,CR384))/12),IF(INDEX('Lease Cycles'!$EF$30:$EL$30,1,CR384)=1,IF(AND('Lease Cycles'!$AZ$30&gt;=INDEX('Lease Cycles'!$BG$30:$BM$30,1,CR384),'Lease Cycles'!$AZ$30&lt;=CR$6),'Lease Cycles'!$C$30*'Lease Cycles'!$BA$30/12,IF(AND('Lease Cycles'!$AX$30&gt;=INDEX('Lease Cycles'!$BG$30:$BM$30,1,CR384),'Lease Cycles'!$AX$30&lt;=CR$6),'Lease Cycles'!$C$30*'Lease Cycles'!$AY$30/12,IF(AND('Lease Cycles'!$AV$30&gt;=INDEX('Lease Cycles'!$BG$30:$BM$30,1,CR384),'Lease Cycles'!$AV$30&lt;=CR$6),'Lease Cycles'!$C$30*'Lease Cycles'!$AW$30/12,IF(AND('Lease Cycles'!$AT$30&gt;=INDEX('Lease Cycles'!$BG$30:$BM$30,1,CR384),'Lease Cycles'!$AT$30&lt;=CR$6),'Lease Cycles'!$C$30*'Lease Cycles'!$AU$30/12,'Lease Cycles'!$C$30*INDEX('Lease Cycles'!$CB$30:$CH$30,1,CR384)*(1+INDEX('Lease Cycles'!$CI$30:$CO$30,1,CR384))^INT(INT(CR385/12)/INDEX('Lease Cycles'!$CP$30:$CV$30,1,CR384))/12)))),'Lease Cycles'!$C$30*INDEX('Lease Cycles'!$CB$30:$CH$30,1,CR384)*(1+INDEX('Lease Cycles'!$CI$30:$CO$30,1,CR384))^INT(INT(CR385/12)/INDEX('Lease Cycles'!$CP$30:$CV$30,1,CR384))/12))),IF('Lease Cycles'!$N$30=1,'Lease Cycles'!$C$30*'Lease Cycles'!$E$30*INDEX('Lease Cycles'!$HE$30:$HK$30,1,CR384)*(1+INDEX('Lease Cycles'!$GQ$30:$GW$30,1,CR384))^INT(INT((CR$6-INDEX('Lease Cycles'!$GJ$30:$GP$30,1,CR384))/12)/INDEX('Lease Cycles'!$GX$30:$HD$30,1,CR384))/12,0)))</f>
        <v>0</v>
      </c>
      <c r="CS387" s="28">
        <f>IF(CS384=0,IF('Lease Cycles'!$F$30&gt;0,'Lease Cycles'!$C$30*'Lease Cycles'!$E$30/12,0),IF(CS386=1,IF('Lease Cycles'!$AT$30&gt;=9999,'Lease Cycles'!$C$30*INDEX('Lease Cycles'!$CB$30:$CH$30,1,CS384)*(1+INDEX('Lease Cycles'!$CI$30:$CO$30,1,CS384))^INT(INT(CS385/12)/INDEX('Lease Cycles'!$CP$30:$CV$30,1,CS384))/12,IF(CS384=1,IF(CS385&gt;=INDEX('Lease Cycles'!$DK$30:$DQ$30,1,CS384),IF(CS$6&gt;='Lease Cycles'!$AZ$30,'Lease Cycles'!$C$30*'Lease Cycles'!$BA$30/12,IF(CS$6&gt;='Lease Cycles'!$AX$30,'Lease Cycles'!$C$30*'Lease Cycles'!$AY$30/12,IF(CS$6&gt;='Lease Cycles'!$AV$30,'Lease Cycles'!$C$30*'Lease Cycles'!$AW$30/12,IF(CS$6&gt;='Lease Cycles'!$AT$30,'Lease Cycles'!$C$30*'Lease Cycles'!$AU$30/12,'Lease Cycles'!$C$30*INDEX('Lease Cycles'!$CB$30:$CH$30,1,CS384)*(1+INDEX('Lease Cycles'!$CI$30:$CO$30,1,CS384))^INT(INT(CS385/12)/INDEX('Lease Cycles'!$CP$30:$CV$30,1,CS384))/12)))),'Lease Cycles'!$C$30*INDEX('Lease Cycles'!$CB$30:$CH$30,1,CS384)*(1+INDEX('Lease Cycles'!$CI$30:$CO$30,1,CS384))^INT(INT(CS385/12)/INDEX('Lease Cycles'!$CP$30:$CV$30,1,CS384))/12),IF(INDEX('Lease Cycles'!$EF$30:$EL$30,1,CS384)=1,IF(AND('Lease Cycles'!$AZ$30&gt;=INDEX('Lease Cycles'!$BG$30:$BM$30,1,CS384),'Lease Cycles'!$AZ$30&lt;=CS$6),'Lease Cycles'!$C$30*'Lease Cycles'!$BA$30/12,IF(AND('Lease Cycles'!$AX$30&gt;=INDEX('Lease Cycles'!$BG$30:$BM$30,1,CS384),'Lease Cycles'!$AX$30&lt;=CS$6),'Lease Cycles'!$C$30*'Lease Cycles'!$AY$30/12,IF(AND('Lease Cycles'!$AV$30&gt;=INDEX('Lease Cycles'!$BG$30:$BM$30,1,CS384),'Lease Cycles'!$AV$30&lt;=CS$6),'Lease Cycles'!$C$30*'Lease Cycles'!$AW$30/12,IF(AND('Lease Cycles'!$AT$30&gt;=INDEX('Lease Cycles'!$BG$30:$BM$30,1,CS384),'Lease Cycles'!$AT$30&lt;=CS$6),'Lease Cycles'!$C$30*'Lease Cycles'!$AU$30/12,'Lease Cycles'!$C$30*INDEX('Lease Cycles'!$CB$30:$CH$30,1,CS384)*(1+INDEX('Lease Cycles'!$CI$30:$CO$30,1,CS384))^INT(INT(CS385/12)/INDEX('Lease Cycles'!$CP$30:$CV$30,1,CS384))/12)))),'Lease Cycles'!$C$30*INDEX('Lease Cycles'!$CB$30:$CH$30,1,CS384)*(1+INDEX('Lease Cycles'!$CI$30:$CO$30,1,CS384))^INT(INT(CS385/12)/INDEX('Lease Cycles'!$CP$30:$CV$30,1,CS384))/12))),IF('Lease Cycles'!$N$30=1,'Lease Cycles'!$C$30*'Lease Cycles'!$E$30*INDEX('Lease Cycles'!$HE$30:$HK$30,1,CS384)*(1+INDEX('Lease Cycles'!$GQ$30:$GW$30,1,CS384))^INT(INT((CS$6-INDEX('Lease Cycles'!$GJ$30:$GP$30,1,CS384))/12)/INDEX('Lease Cycles'!$GX$30:$HD$30,1,CS384))/12,0)))</f>
        <v>0</v>
      </c>
      <c r="CT387" s="28">
        <f>IF(CT384=0,IF('Lease Cycles'!$F$30&gt;0,'Lease Cycles'!$C$30*'Lease Cycles'!$E$30/12,0),IF(CT386=1,IF('Lease Cycles'!$AT$30&gt;=9999,'Lease Cycles'!$C$30*INDEX('Lease Cycles'!$CB$30:$CH$30,1,CT384)*(1+INDEX('Lease Cycles'!$CI$30:$CO$30,1,CT384))^INT(INT(CT385/12)/INDEX('Lease Cycles'!$CP$30:$CV$30,1,CT384))/12,IF(CT384=1,IF(CT385&gt;=INDEX('Lease Cycles'!$DK$30:$DQ$30,1,CT384),IF(CT$6&gt;='Lease Cycles'!$AZ$30,'Lease Cycles'!$C$30*'Lease Cycles'!$BA$30/12,IF(CT$6&gt;='Lease Cycles'!$AX$30,'Lease Cycles'!$C$30*'Lease Cycles'!$AY$30/12,IF(CT$6&gt;='Lease Cycles'!$AV$30,'Lease Cycles'!$C$30*'Lease Cycles'!$AW$30/12,IF(CT$6&gt;='Lease Cycles'!$AT$30,'Lease Cycles'!$C$30*'Lease Cycles'!$AU$30/12,'Lease Cycles'!$C$30*INDEX('Lease Cycles'!$CB$30:$CH$30,1,CT384)*(1+INDEX('Lease Cycles'!$CI$30:$CO$30,1,CT384))^INT(INT(CT385/12)/INDEX('Lease Cycles'!$CP$30:$CV$30,1,CT384))/12)))),'Lease Cycles'!$C$30*INDEX('Lease Cycles'!$CB$30:$CH$30,1,CT384)*(1+INDEX('Lease Cycles'!$CI$30:$CO$30,1,CT384))^INT(INT(CT385/12)/INDEX('Lease Cycles'!$CP$30:$CV$30,1,CT384))/12),IF(INDEX('Lease Cycles'!$EF$30:$EL$30,1,CT384)=1,IF(AND('Lease Cycles'!$AZ$30&gt;=INDEX('Lease Cycles'!$BG$30:$BM$30,1,CT384),'Lease Cycles'!$AZ$30&lt;=CT$6),'Lease Cycles'!$C$30*'Lease Cycles'!$BA$30/12,IF(AND('Lease Cycles'!$AX$30&gt;=INDEX('Lease Cycles'!$BG$30:$BM$30,1,CT384),'Lease Cycles'!$AX$30&lt;=CT$6),'Lease Cycles'!$C$30*'Lease Cycles'!$AY$30/12,IF(AND('Lease Cycles'!$AV$30&gt;=INDEX('Lease Cycles'!$BG$30:$BM$30,1,CT384),'Lease Cycles'!$AV$30&lt;=CT$6),'Lease Cycles'!$C$30*'Lease Cycles'!$AW$30/12,IF(AND('Lease Cycles'!$AT$30&gt;=INDEX('Lease Cycles'!$BG$30:$BM$30,1,CT384),'Lease Cycles'!$AT$30&lt;=CT$6),'Lease Cycles'!$C$30*'Lease Cycles'!$AU$30/12,'Lease Cycles'!$C$30*INDEX('Lease Cycles'!$CB$30:$CH$30,1,CT384)*(1+INDEX('Lease Cycles'!$CI$30:$CO$30,1,CT384))^INT(INT(CT385/12)/INDEX('Lease Cycles'!$CP$30:$CV$30,1,CT384))/12)))),'Lease Cycles'!$C$30*INDEX('Lease Cycles'!$CB$30:$CH$30,1,CT384)*(1+INDEX('Lease Cycles'!$CI$30:$CO$30,1,CT384))^INT(INT(CT385/12)/INDEX('Lease Cycles'!$CP$30:$CV$30,1,CT384))/12))),IF('Lease Cycles'!$N$30=1,'Lease Cycles'!$C$30*'Lease Cycles'!$E$30*INDEX('Lease Cycles'!$HE$30:$HK$30,1,CT384)*(1+INDEX('Lease Cycles'!$GQ$30:$GW$30,1,CT384))^INT(INT((CT$6-INDEX('Lease Cycles'!$GJ$30:$GP$30,1,CT384))/12)/INDEX('Lease Cycles'!$GX$30:$HD$30,1,CT384))/12,0)))</f>
        <v>0</v>
      </c>
      <c r="CU387" s="28">
        <f>IF(CU384=0,IF('Lease Cycles'!$F$30&gt;0,'Lease Cycles'!$C$30*'Lease Cycles'!$E$30/12,0),IF(CU386=1,IF('Lease Cycles'!$AT$30&gt;=9999,'Lease Cycles'!$C$30*INDEX('Lease Cycles'!$CB$30:$CH$30,1,CU384)*(1+INDEX('Lease Cycles'!$CI$30:$CO$30,1,CU384))^INT(INT(CU385/12)/INDEX('Lease Cycles'!$CP$30:$CV$30,1,CU384))/12,IF(CU384=1,IF(CU385&gt;=INDEX('Lease Cycles'!$DK$30:$DQ$30,1,CU384),IF(CU$6&gt;='Lease Cycles'!$AZ$30,'Lease Cycles'!$C$30*'Lease Cycles'!$BA$30/12,IF(CU$6&gt;='Lease Cycles'!$AX$30,'Lease Cycles'!$C$30*'Lease Cycles'!$AY$30/12,IF(CU$6&gt;='Lease Cycles'!$AV$30,'Lease Cycles'!$C$30*'Lease Cycles'!$AW$30/12,IF(CU$6&gt;='Lease Cycles'!$AT$30,'Lease Cycles'!$C$30*'Lease Cycles'!$AU$30/12,'Lease Cycles'!$C$30*INDEX('Lease Cycles'!$CB$30:$CH$30,1,CU384)*(1+INDEX('Lease Cycles'!$CI$30:$CO$30,1,CU384))^INT(INT(CU385/12)/INDEX('Lease Cycles'!$CP$30:$CV$30,1,CU384))/12)))),'Lease Cycles'!$C$30*INDEX('Lease Cycles'!$CB$30:$CH$30,1,CU384)*(1+INDEX('Lease Cycles'!$CI$30:$CO$30,1,CU384))^INT(INT(CU385/12)/INDEX('Lease Cycles'!$CP$30:$CV$30,1,CU384))/12),IF(INDEX('Lease Cycles'!$EF$30:$EL$30,1,CU384)=1,IF(AND('Lease Cycles'!$AZ$30&gt;=INDEX('Lease Cycles'!$BG$30:$BM$30,1,CU384),'Lease Cycles'!$AZ$30&lt;=CU$6),'Lease Cycles'!$C$30*'Lease Cycles'!$BA$30/12,IF(AND('Lease Cycles'!$AX$30&gt;=INDEX('Lease Cycles'!$BG$30:$BM$30,1,CU384),'Lease Cycles'!$AX$30&lt;=CU$6),'Lease Cycles'!$C$30*'Lease Cycles'!$AY$30/12,IF(AND('Lease Cycles'!$AV$30&gt;=INDEX('Lease Cycles'!$BG$30:$BM$30,1,CU384),'Lease Cycles'!$AV$30&lt;=CU$6),'Lease Cycles'!$C$30*'Lease Cycles'!$AW$30/12,IF(AND('Lease Cycles'!$AT$30&gt;=INDEX('Lease Cycles'!$BG$30:$BM$30,1,CU384),'Lease Cycles'!$AT$30&lt;=CU$6),'Lease Cycles'!$C$30*'Lease Cycles'!$AU$30/12,'Lease Cycles'!$C$30*INDEX('Lease Cycles'!$CB$30:$CH$30,1,CU384)*(1+INDEX('Lease Cycles'!$CI$30:$CO$30,1,CU384))^INT(INT(CU385/12)/INDEX('Lease Cycles'!$CP$30:$CV$30,1,CU384))/12)))),'Lease Cycles'!$C$30*INDEX('Lease Cycles'!$CB$30:$CH$30,1,CU384)*(1+INDEX('Lease Cycles'!$CI$30:$CO$30,1,CU384))^INT(INT(CU385/12)/INDEX('Lease Cycles'!$CP$30:$CV$30,1,CU384))/12))),IF('Lease Cycles'!$N$30=1,'Lease Cycles'!$C$30*'Lease Cycles'!$E$30*INDEX('Lease Cycles'!$HE$30:$HK$30,1,CU384)*(1+INDEX('Lease Cycles'!$GQ$30:$GW$30,1,CU384))^INT(INT((CU$6-INDEX('Lease Cycles'!$GJ$30:$GP$30,1,CU384))/12)/INDEX('Lease Cycles'!$GX$30:$HD$30,1,CU384))/12,0)))</f>
        <v>0</v>
      </c>
      <c r="CV387" s="28">
        <f>IF(CV384=0,IF('Lease Cycles'!$F$30&gt;0,'Lease Cycles'!$C$30*'Lease Cycles'!$E$30/12,0),IF(CV386=1,IF('Lease Cycles'!$AT$30&gt;=9999,'Lease Cycles'!$C$30*INDEX('Lease Cycles'!$CB$30:$CH$30,1,CV384)*(1+INDEX('Lease Cycles'!$CI$30:$CO$30,1,CV384))^INT(INT(CV385/12)/INDEX('Lease Cycles'!$CP$30:$CV$30,1,CV384))/12,IF(CV384=1,IF(CV385&gt;=INDEX('Lease Cycles'!$DK$30:$DQ$30,1,CV384),IF(CV$6&gt;='Lease Cycles'!$AZ$30,'Lease Cycles'!$C$30*'Lease Cycles'!$BA$30/12,IF(CV$6&gt;='Lease Cycles'!$AX$30,'Lease Cycles'!$C$30*'Lease Cycles'!$AY$30/12,IF(CV$6&gt;='Lease Cycles'!$AV$30,'Lease Cycles'!$C$30*'Lease Cycles'!$AW$30/12,IF(CV$6&gt;='Lease Cycles'!$AT$30,'Lease Cycles'!$C$30*'Lease Cycles'!$AU$30/12,'Lease Cycles'!$C$30*INDEX('Lease Cycles'!$CB$30:$CH$30,1,CV384)*(1+INDEX('Lease Cycles'!$CI$30:$CO$30,1,CV384))^INT(INT(CV385/12)/INDEX('Lease Cycles'!$CP$30:$CV$30,1,CV384))/12)))),'Lease Cycles'!$C$30*INDEX('Lease Cycles'!$CB$30:$CH$30,1,CV384)*(1+INDEX('Lease Cycles'!$CI$30:$CO$30,1,CV384))^INT(INT(CV385/12)/INDEX('Lease Cycles'!$CP$30:$CV$30,1,CV384))/12),IF(INDEX('Lease Cycles'!$EF$30:$EL$30,1,CV384)=1,IF(AND('Lease Cycles'!$AZ$30&gt;=INDEX('Lease Cycles'!$BG$30:$BM$30,1,CV384),'Lease Cycles'!$AZ$30&lt;=CV$6),'Lease Cycles'!$C$30*'Lease Cycles'!$BA$30/12,IF(AND('Lease Cycles'!$AX$30&gt;=INDEX('Lease Cycles'!$BG$30:$BM$30,1,CV384),'Lease Cycles'!$AX$30&lt;=CV$6),'Lease Cycles'!$C$30*'Lease Cycles'!$AY$30/12,IF(AND('Lease Cycles'!$AV$30&gt;=INDEX('Lease Cycles'!$BG$30:$BM$30,1,CV384),'Lease Cycles'!$AV$30&lt;=CV$6),'Lease Cycles'!$C$30*'Lease Cycles'!$AW$30/12,IF(AND('Lease Cycles'!$AT$30&gt;=INDEX('Lease Cycles'!$BG$30:$BM$30,1,CV384),'Lease Cycles'!$AT$30&lt;=CV$6),'Lease Cycles'!$C$30*'Lease Cycles'!$AU$30/12,'Lease Cycles'!$C$30*INDEX('Lease Cycles'!$CB$30:$CH$30,1,CV384)*(1+INDEX('Lease Cycles'!$CI$30:$CO$30,1,CV384))^INT(INT(CV385/12)/INDEX('Lease Cycles'!$CP$30:$CV$30,1,CV384))/12)))),'Lease Cycles'!$C$30*INDEX('Lease Cycles'!$CB$30:$CH$30,1,CV384)*(1+INDEX('Lease Cycles'!$CI$30:$CO$30,1,CV384))^INT(INT(CV385/12)/INDEX('Lease Cycles'!$CP$30:$CV$30,1,CV384))/12))),IF('Lease Cycles'!$N$30=1,'Lease Cycles'!$C$30*'Lease Cycles'!$E$30*INDEX('Lease Cycles'!$HE$30:$HK$30,1,CV384)*(1+INDEX('Lease Cycles'!$GQ$30:$GW$30,1,CV384))^INT(INT((CV$6-INDEX('Lease Cycles'!$GJ$30:$GP$30,1,CV384))/12)/INDEX('Lease Cycles'!$GX$30:$HD$30,1,CV384))/12,0)))</f>
        <v>0</v>
      </c>
      <c r="CW387" s="28">
        <f>IF(CW384=0,IF('Lease Cycles'!$F$30&gt;0,'Lease Cycles'!$C$30*'Lease Cycles'!$E$30/12,0),IF(CW386=1,IF('Lease Cycles'!$AT$30&gt;=9999,'Lease Cycles'!$C$30*INDEX('Lease Cycles'!$CB$30:$CH$30,1,CW384)*(1+INDEX('Lease Cycles'!$CI$30:$CO$30,1,CW384))^INT(INT(CW385/12)/INDEX('Lease Cycles'!$CP$30:$CV$30,1,CW384))/12,IF(CW384=1,IF(CW385&gt;=INDEX('Lease Cycles'!$DK$30:$DQ$30,1,CW384),IF(CW$6&gt;='Lease Cycles'!$AZ$30,'Lease Cycles'!$C$30*'Lease Cycles'!$BA$30/12,IF(CW$6&gt;='Lease Cycles'!$AX$30,'Lease Cycles'!$C$30*'Lease Cycles'!$AY$30/12,IF(CW$6&gt;='Lease Cycles'!$AV$30,'Lease Cycles'!$C$30*'Lease Cycles'!$AW$30/12,IF(CW$6&gt;='Lease Cycles'!$AT$30,'Lease Cycles'!$C$30*'Lease Cycles'!$AU$30/12,'Lease Cycles'!$C$30*INDEX('Lease Cycles'!$CB$30:$CH$30,1,CW384)*(1+INDEX('Lease Cycles'!$CI$30:$CO$30,1,CW384))^INT(INT(CW385/12)/INDEX('Lease Cycles'!$CP$30:$CV$30,1,CW384))/12)))),'Lease Cycles'!$C$30*INDEX('Lease Cycles'!$CB$30:$CH$30,1,CW384)*(1+INDEX('Lease Cycles'!$CI$30:$CO$30,1,CW384))^INT(INT(CW385/12)/INDEX('Lease Cycles'!$CP$30:$CV$30,1,CW384))/12),IF(INDEX('Lease Cycles'!$EF$30:$EL$30,1,CW384)=1,IF(AND('Lease Cycles'!$AZ$30&gt;=INDEX('Lease Cycles'!$BG$30:$BM$30,1,CW384),'Lease Cycles'!$AZ$30&lt;=CW$6),'Lease Cycles'!$C$30*'Lease Cycles'!$BA$30/12,IF(AND('Lease Cycles'!$AX$30&gt;=INDEX('Lease Cycles'!$BG$30:$BM$30,1,CW384),'Lease Cycles'!$AX$30&lt;=CW$6),'Lease Cycles'!$C$30*'Lease Cycles'!$AY$30/12,IF(AND('Lease Cycles'!$AV$30&gt;=INDEX('Lease Cycles'!$BG$30:$BM$30,1,CW384),'Lease Cycles'!$AV$30&lt;=CW$6),'Lease Cycles'!$C$30*'Lease Cycles'!$AW$30/12,IF(AND('Lease Cycles'!$AT$30&gt;=INDEX('Lease Cycles'!$BG$30:$BM$30,1,CW384),'Lease Cycles'!$AT$30&lt;=CW$6),'Lease Cycles'!$C$30*'Lease Cycles'!$AU$30/12,'Lease Cycles'!$C$30*INDEX('Lease Cycles'!$CB$30:$CH$30,1,CW384)*(1+INDEX('Lease Cycles'!$CI$30:$CO$30,1,CW384))^INT(INT(CW385/12)/INDEX('Lease Cycles'!$CP$30:$CV$30,1,CW384))/12)))),'Lease Cycles'!$C$30*INDEX('Lease Cycles'!$CB$30:$CH$30,1,CW384)*(1+INDEX('Lease Cycles'!$CI$30:$CO$30,1,CW384))^INT(INT(CW385/12)/INDEX('Lease Cycles'!$CP$30:$CV$30,1,CW384))/12))),IF('Lease Cycles'!$N$30=1,'Lease Cycles'!$C$30*'Lease Cycles'!$E$30*INDEX('Lease Cycles'!$HE$30:$HK$30,1,CW384)*(1+INDEX('Lease Cycles'!$GQ$30:$GW$30,1,CW384))^INT(INT((CW$6-INDEX('Lease Cycles'!$GJ$30:$GP$30,1,CW384))/12)/INDEX('Lease Cycles'!$GX$30:$HD$30,1,CW384))/12,0)))</f>
        <v>0</v>
      </c>
      <c r="CX387" s="28">
        <f>IF(CX384=0,IF('Lease Cycles'!$F$30&gt;0,'Lease Cycles'!$C$30*'Lease Cycles'!$E$30/12,0),IF(CX386=1,IF('Lease Cycles'!$AT$30&gt;=9999,'Lease Cycles'!$C$30*INDEX('Lease Cycles'!$CB$30:$CH$30,1,CX384)*(1+INDEX('Lease Cycles'!$CI$30:$CO$30,1,CX384))^INT(INT(CX385/12)/INDEX('Lease Cycles'!$CP$30:$CV$30,1,CX384))/12,IF(CX384=1,IF(CX385&gt;=INDEX('Lease Cycles'!$DK$30:$DQ$30,1,CX384),IF(CX$6&gt;='Lease Cycles'!$AZ$30,'Lease Cycles'!$C$30*'Lease Cycles'!$BA$30/12,IF(CX$6&gt;='Lease Cycles'!$AX$30,'Lease Cycles'!$C$30*'Lease Cycles'!$AY$30/12,IF(CX$6&gt;='Lease Cycles'!$AV$30,'Lease Cycles'!$C$30*'Lease Cycles'!$AW$30/12,IF(CX$6&gt;='Lease Cycles'!$AT$30,'Lease Cycles'!$C$30*'Lease Cycles'!$AU$30/12,'Lease Cycles'!$C$30*INDEX('Lease Cycles'!$CB$30:$CH$30,1,CX384)*(1+INDEX('Lease Cycles'!$CI$30:$CO$30,1,CX384))^INT(INT(CX385/12)/INDEX('Lease Cycles'!$CP$30:$CV$30,1,CX384))/12)))),'Lease Cycles'!$C$30*INDEX('Lease Cycles'!$CB$30:$CH$30,1,CX384)*(1+INDEX('Lease Cycles'!$CI$30:$CO$30,1,CX384))^INT(INT(CX385/12)/INDEX('Lease Cycles'!$CP$30:$CV$30,1,CX384))/12),IF(INDEX('Lease Cycles'!$EF$30:$EL$30,1,CX384)=1,IF(AND('Lease Cycles'!$AZ$30&gt;=INDEX('Lease Cycles'!$BG$30:$BM$30,1,CX384),'Lease Cycles'!$AZ$30&lt;=CX$6),'Lease Cycles'!$C$30*'Lease Cycles'!$BA$30/12,IF(AND('Lease Cycles'!$AX$30&gt;=INDEX('Lease Cycles'!$BG$30:$BM$30,1,CX384),'Lease Cycles'!$AX$30&lt;=CX$6),'Lease Cycles'!$C$30*'Lease Cycles'!$AY$30/12,IF(AND('Lease Cycles'!$AV$30&gt;=INDEX('Lease Cycles'!$BG$30:$BM$30,1,CX384),'Lease Cycles'!$AV$30&lt;=CX$6),'Lease Cycles'!$C$30*'Lease Cycles'!$AW$30/12,IF(AND('Lease Cycles'!$AT$30&gt;=INDEX('Lease Cycles'!$BG$30:$BM$30,1,CX384),'Lease Cycles'!$AT$30&lt;=CX$6),'Lease Cycles'!$C$30*'Lease Cycles'!$AU$30/12,'Lease Cycles'!$C$30*INDEX('Lease Cycles'!$CB$30:$CH$30,1,CX384)*(1+INDEX('Lease Cycles'!$CI$30:$CO$30,1,CX384))^INT(INT(CX385/12)/INDEX('Lease Cycles'!$CP$30:$CV$30,1,CX384))/12)))),'Lease Cycles'!$C$30*INDEX('Lease Cycles'!$CB$30:$CH$30,1,CX384)*(1+INDEX('Lease Cycles'!$CI$30:$CO$30,1,CX384))^INT(INT(CX385/12)/INDEX('Lease Cycles'!$CP$30:$CV$30,1,CX384))/12))),IF('Lease Cycles'!$N$30=1,'Lease Cycles'!$C$30*'Lease Cycles'!$E$30*INDEX('Lease Cycles'!$HE$30:$HK$30,1,CX384)*(1+INDEX('Lease Cycles'!$GQ$30:$GW$30,1,CX384))^INT(INT((CX$6-INDEX('Lease Cycles'!$GJ$30:$GP$30,1,CX384))/12)/INDEX('Lease Cycles'!$GX$30:$HD$30,1,CX384))/12,0)))</f>
        <v>0</v>
      </c>
      <c r="CY387" s="28">
        <f>IF(CY384=0,IF('Lease Cycles'!$F$30&gt;0,'Lease Cycles'!$C$30*'Lease Cycles'!$E$30/12,0),IF(CY386=1,IF('Lease Cycles'!$AT$30&gt;=9999,'Lease Cycles'!$C$30*INDEX('Lease Cycles'!$CB$30:$CH$30,1,CY384)*(1+INDEX('Lease Cycles'!$CI$30:$CO$30,1,CY384))^INT(INT(CY385/12)/INDEX('Lease Cycles'!$CP$30:$CV$30,1,CY384))/12,IF(CY384=1,IF(CY385&gt;=INDEX('Lease Cycles'!$DK$30:$DQ$30,1,CY384),IF(CY$6&gt;='Lease Cycles'!$AZ$30,'Lease Cycles'!$C$30*'Lease Cycles'!$BA$30/12,IF(CY$6&gt;='Lease Cycles'!$AX$30,'Lease Cycles'!$C$30*'Lease Cycles'!$AY$30/12,IF(CY$6&gt;='Lease Cycles'!$AV$30,'Lease Cycles'!$C$30*'Lease Cycles'!$AW$30/12,IF(CY$6&gt;='Lease Cycles'!$AT$30,'Lease Cycles'!$C$30*'Lease Cycles'!$AU$30/12,'Lease Cycles'!$C$30*INDEX('Lease Cycles'!$CB$30:$CH$30,1,CY384)*(1+INDEX('Lease Cycles'!$CI$30:$CO$30,1,CY384))^INT(INT(CY385/12)/INDEX('Lease Cycles'!$CP$30:$CV$30,1,CY384))/12)))),'Lease Cycles'!$C$30*INDEX('Lease Cycles'!$CB$30:$CH$30,1,CY384)*(1+INDEX('Lease Cycles'!$CI$30:$CO$30,1,CY384))^INT(INT(CY385/12)/INDEX('Lease Cycles'!$CP$30:$CV$30,1,CY384))/12),IF(INDEX('Lease Cycles'!$EF$30:$EL$30,1,CY384)=1,IF(AND('Lease Cycles'!$AZ$30&gt;=INDEX('Lease Cycles'!$BG$30:$BM$30,1,CY384),'Lease Cycles'!$AZ$30&lt;=CY$6),'Lease Cycles'!$C$30*'Lease Cycles'!$BA$30/12,IF(AND('Lease Cycles'!$AX$30&gt;=INDEX('Lease Cycles'!$BG$30:$BM$30,1,CY384),'Lease Cycles'!$AX$30&lt;=CY$6),'Lease Cycles'!$C$30*'Lease Cycles'!$AY$30/12,IF(AND('Lease Cycles'!$AV$30&gt;=INDEX('Lease Cycles'!$BG$30:$BM$30,1,CY384),'Lease Cycles'!$AV$30&lt;=CY$6),'Lease Cycles'!$C$30*'Lease Cycles'!$AW$30/12,IF(AND('Lease Cycles'!$AT$30&gt;=INDEX('Lease Cycles'!$BG$30:$BM$30,1,CY384),'Lease Cycles'!$AT$30&lt;=CY$6),'Lease Cycles'!$C$30*'Lease Cycles'!$AU$30/12,'Lease Cycles'!$C$30*INDEX('Lease Cycles'!$CB$30:$CH$30,1,CY384)*(1+INDEX('Lease Cycles'!$CI$30:$CO$30,1,CY384))^INT(INT(CY385/12)/INDEX('Lease Cycles'!$CP$30:$CV$30,1,CY384))/12)))),'Lease Cycles'!$C$30*INDEX('Lease Cycles'!$CB$30:$CH$30,1,CY384)*(1+INDEX('Lease Cycles'!$CI$30:$CO$30,1,CY384))^INT(INT(CY385/12)/INDEX('Lease Cycles'!$CP$30:$CV$30,1,CY384))/12))),IF('Lease Cycles'!$N$30=1,'Lease Cycles'!$C$30*'Lease Cycles'!$E$30*INDEX('Lease Cycles'!$HE$30:$HK$30,1,CY384)*(1+INDEX('Lease Cycles'!$GQ$30:$GW$30,1,CY384))^INT(INT((CY$6-INDEX('Lease Cycles'!$GJ$30:$GP$30,1,CY384))/12)/INDEX('Lease Cycles'!$GX$30:$HD$30,1,CY384))/12,0)))</f>
        <v>0</v>
      </c>
      <c r="CZ387" s="28">
        <f>IF(CZ384=0,IF('Lease Cycles'!$F$30&gt;0,'Lease Cycles'!$C$30*'Lease Cycles'!$E$30/12,0),IF(CZ386=1,IF('Lease Cycles'!$AT$30&gt;=9999,'Lease Cycles'!$C$30*INDEX('Lease Cycles'!$CB$30:$CH$30,1,CZ384)*(1+INDEX('Lease Cycles'!$CI$30:$CO$30,1,CZ384))^INT(INT(CZ385/12)/INDEX('Lease Cycles'!$CP$30:$CV$30,1,CZ384))/12,IF(CZ384=1,IF(CZ385&gt;=INDEX('Lease Cycles'!$DK$30:$DQ$30,1,CZ384),IF(CZ$6&gt;='Lease Cycles'!$AZ$30,'Lease Cycles'!$C$30*'Lease Cycles'!$BA$30/12,IF(CZ$6&gt;='Lease Cycles'!$AX$30,'Lease Cycles'!$C$30*'Lease Cycles'!$AY$30/12,IF(CZ$6&gt;='Lease Cycles'!$AV$30,'Lease Cycles'!$C$30*'Lease Cycles'!$AW$30/12,IF(CZ$6&gt;='Lease Cycles'!$AT$30,'Lease Cycles'!$C$30*'Lease Cycles'!$AU$30/12,'Lease Cycles'!$C$30*INDEX('Lease Cycles'!$CB$30:$CH$30,1,CZ384)*(1+INDEX('Lease Cycles'!$CI$30:$CO$30,1,CZ384))^INT(INT(CZ385/12)/INDEX('Lease Cycles'!$CP$30:$CV$30,1,CZ384))/12)))),'Lease Cycles'!$C$30*INDEX('Lease Cycles'!$CB$30:$CH$30,1,CZ384)*(1+INDEX('Lease Cycles'!$CI$30:$CO$30,1,CZ384))^INT(INT(CZ385/12)/INDEX('Lease Cycles'!$CP$30:$CV$30,1,CZ384))/12),IF(INDEX('Lease Cycles'!$EF$30:$EL$30,1,CZ384)=1,IF(AND('Lease Cycles'!$AZ$30&gt;=INDEX('Lease Cycles'!$BG$30:$BM$30,1,CZ384),'Lease Cycles'!$AZ$30&lt;=CZ$6),'Lease Cycles'!$C$30*'Lease Cycles'!$BA$30/12,IF(AND('Lease Cycles'!$AX$30&gt;=INDEX('Lease Cycles'!$BG$30:$BM$30,1,CZ384),'Lease Cycles'!$AX$30&lt;=CZ$6),'Lease Cycles'!$C$30*'Lease Cycles'!$AY$30/12,IF(AND('Lease Cycles'!$AV$30&gt;=INDEX('Lease Cycles'!$BG$30:$BM$30,1,CZ384),'Lease Cycles'!$AV$30&lt;=CZ$6),'Lease Cycles'!$C$30*'Lease Cycles'!$AW$30/12,IF(AND('Lease Cycles'!$AT$30&gt;=INDEX('Lease Cycles'!$BG$30:$BM$30,1,CZ384),'Lease Cycles'!$AT$30&lt;=CZ$6),'Lease Cycles'!$C$30*'Lease Cycles'!$AU$30/12,'Lease Cycles'!$C$30*INDEX('Lease Cycles'!$CB$30:$CH$30,1,CZ384)*(1+INDEX('Lease Cycles'!$CI$30:$CO$30,1,CZ384))^INT(INT(CZ385/12)/INDEX('Lease Cycles'!$CP$30:$CV$30,1,CZ384))/12)))),'Lease Cycles'!$C$30*INDEX('Lease Cycles'!$CB$30:$CH$30,1,CZ384)*(1+INDEX('Lease Cycles'!$CI$30:$CO$30,1,CZ384))^INT(INT(CZ385/12)/INDEX('Lease Cycles'!$CP$30:$CV$30,1,CZ384))/12))),IF('Lease Cycles'!$N$30=1,'Lease Cycles'!$C$30*'Lease Cycles'!$E$30*INDEX('Lease Cycles'!$HE$30:$HK$30,1,CZ384)*(1+INDEX('Lease Cycles'!$GQ$30:$GW$30,1,CZ384))^INT(INT((CZ$6-INDEX('Lease Cycles'!$GJ$30:$GP$30,1,CZ384))/12)/INDEX('Lease Cycles'!$GX$30:$HD$30,1,CZ384))/12,0)))</f>
        <v>0</v>
      </c>
      <c r="DA387" s="28">
        <f>IF(DA384=0,IF('Lease Cycles'!$F$30&gt;0,'Lease Cycles'!$C$30*'Lease Cycles'!$E$30/12,0),IF(DA386=1,IF('Lease Cycles'!$AT$30&gt;=9999,'Lease Cycles'!$C$30*INDEX('Lease Cycles'!$CB$30:$CH$30,1,DA384)*(1+INDEX('Lease Cycles'!$CI$30:$CO$30,1,DA384))^INT(INT(DA385/12)/INDEX('Lease Cycles'!$CP$30:$CV$30,1,DA384))/12,IF(DA384=1,IF(DA385&gt;=INDEX('Lease Cycles'!$DK$30:$DQ$30,1,DA384),IF(DA$6&gt;='Lease Cycles'!$AZ$30,'Lease Cycles'!$C$30*'Lease Cycles'!$BA$30/12,IF(DA$6&gt;='Lease Cycles'!$AX$30,'Lease Cycles'!$C$30*'Lease Cycles'!$AY$30/12,IF(DA$6&gt;='Lease Cycles'!$AV$30,'Lease Cycles'!$C$30*'Lease Cycles'!$AW$30/12,IF(DA$6&gt;='Lease Cycles'!$AT$30,'Lease Cycles'!$C$30*'Lease Cycles'!$AU$30/12,'Lease Cycles'!$C$30*INDEX('Lease Cycles'!$CB$30:$CH$30,1,DA384)*(1+INDEX('Lease Cycles'!$CI$30:$CO$30,1,DA384))^INT(INT(DA385/12)/INDEX('Lease Cycles'!$CP$30:$CV$30,1,DA384))/12)))),'Lease Cycles'!$C$30*INDEX('Lease Cycles'!$CB$30:$CH$30,1,DA384)*(1+INDEX('Lease Cycles'!$CI$30:$CO$30,1,DA384))^INT(INT(DA385/12)/INDEX('Lease Cycles'!$CP$30:$CV$30,1,DA384))/12),IF(INDEX('Lease Cycles'!$EF$30:$EL$30,1,DA384)=1,IF(AND('Lease Cycles'!$AZ$30&gt;=INDEX('Lease Cycles'!$BG$30:$BM$30,1,DA384),'Lease Cycles'!$AZ$30&lt;=DA$6),'Lease Cycles'!$C$30*'Lease Cycles'!$BA$30/12,IF(AND('Lease Cycles'!$AX$30&gt;=INDEX('Lease Cycles'!$BG$30:$BM$30,1,DA384),'Lease Cycles'!$AX$30&lt;=DA$6),'Lease Cycles'!$C$30*'Lease Cycles'!$AY$30/12,IF(AND('Lease Cycles'!$AV$30&gt;=INDEX('Lease Cycles'!$BG$30:$BM$30,1,DA384),'Lease Cycles'!$AV$30&lt;=DA$6),'Lease Cycles'!$C$30*'Lease Cycles'!$AW$30/12,IF(AND('Lease Cycles'!$AT$30&gt;=INDEX('Lease Cycles'!$BG$30:$BM$30,1,DA384),'Lease Cycles'!$AT$30&lt;=DA$6),'Lease Cycles'!$C$30*'Lease Cycles'!$AU$30/12,'Lease Cycles'!$C$30*INDEX('Lease Cycles'!$CB$30:$CH$30,1,DA384)*(1+INDEX('Lease Cycles'!$CI$30:$CO$30,1,DA384))^INT(INT(DA385/12)/INDEX('Lease Cycles'!$CP$30:$CV$30,1,DA384))/12)))),'Lease Cycles'!$C$30*INDEX('Lease Cycles'!$CB$30:$CH$30,1,DA384)*(1+INDEX('Lease Cycles'!$CI$30:$CO$30,1,DA384))^INT(INT(DA385/12)/INDEX('Lease Cycles'!$CP$30:$CV$30,1,DA384))/12))),IF('Lease Cycles'!$N$30=1,'Lease Cycles'!$C$30*'Lease Cycles'!$E$30*INDEX('Lease Cycles'!$HE$30:$HK$30,1,DA384)*(1+INDEX('Lease Cycles'!$GQ$30:$GW$30,1,DA384))^INT(INT((DA$6-INDEX('Lease Cycles'!$GJ$30:$GP$30,1,DA384))/12)/INDEX('Lease Cycles'!$GX$30:$HD$30,1,DA384))/12,0)))</f>
        <v>0</v>
      </c>
      <c r="DB387" s="28">
        <f>IF(DB384=0,IF('Lease Cycles'!$F$30&gt;0,'Lease Cycles'!$C$30*'Lease Cycles'!$E$30/12,0),IF(DB386=1,IF('Lease Cycles'!$AT$30&gt;=9999,'Lease Cycles'!$C$30*INDEX('Lease Cycles'!$CB$30:$CH$30,1,DB384)*(1+INDEX('Lease Cycles'!$CI$30:$CO$30,1,DB384))^INT(INT(DB385/12)/INDEX('Lease Cycles'!$CP$30:$CV$30,1,DB384))/12,IF(DB384=1,IF(DB385&gt;=INDEX('Lease Cycles'!$DK$30:$DQ$30,1,DB384),IF(DB$6&gt;='Lease Cycles'!$AZ$30,'Lease Cycles'!$C$30*'Lease Cycles'!$BA$30/12,IF(DB$6&gt;='Lease Cycles'!$AX$30,'Lease Cycles'!$C$30*'Lease Cycles'!$AY$30/12,IF(DB$6&gt;='Lease Cycles'!$AV$30,'Lease Cycles'!$C$30*'Lease Cycles'!$AW$30/12,IF(DB$6&gt;='Lease Cycles'!$AT$30,'Lease Cycles'!$C$30*'Lease Cycles'!$AU$30/12,'Lease Cycles'!$C$30*INDEX('Lease Cycles'!$CB$30:$CH$30,1,DB384)*(1+INDEX('Lease Cycles'!$CI$30:$CO$30,1,DB384))^INT(INT(DB385/12)/INDEX('Lease Cycles'!$CP$30:$CV$30,1,DB384))/12)))),'Lease Cycles'!$C$30*INDEX('Lease Cycles'!$CB$30:$CH$30,1,DB384)*(1+INDEX('Lease Cycles'!$CI$30:$CO$30,1,DB384))^INT(INT(DB385/12)/INDEX('Lease Cycles'!$CP$30:$CV$30,1,DB384))/12),IF(INDEX('Lease Cycles'!$EF$30:$EL$30,1,DB384)=1,IF(AND('Lease Cycles'!$AZ$30&gt;=INDEX('Lease Cycles'!$BG$30:$BM$30,1,DB384),'Lease Cycles'!$AZ$30&lt;=DB$6),'Lease Cycles'!$C$30*'Lease Cycles'!$BA$30/12,IF(AND('Lease Cycles'!$AX$30&gt;=INDEX('Lease Cycles'!$BG$30:$BM$30,1,DB384),'Lease Cycles'!$AX$30&lt;=DB$6),'Lease Cycles'!$C$30*'Lease Cycles'!$AY$30/12,IF(AND('Lease Cycles'!$AV$30&gt;=INDEX('Lease Cycles'!$BG$30:$BM$30,1,DB384),'Lease Cycles'!$AV$30&lt;=DB$6),'Lease Cycles'!$C$30*'Lease Cycles'!$AW$30/12,IF(AND('Lease Cycles'!$AT$30&gt;=INDEX('Lease Cycles'!$BG$30:$BM$30,1,DB384),'Lease Cycles'!$AT$30&lt;=DB$6),'Lease Cycles'!$C$30*'Lease Cycles'!$AU$30/12,'Lease Cycles'!$C$30*INDEX('Lease Cycles'!$CB$30:$CH$30,1,DB384)*(1+INDEX('Lease Cycles'!$CI$30:$CO$30,1,DB384))^INT(INT(DB385/12)/INDEX('Lease Cycles'!$CP$30:$CV$30,1,DB384))/12)))),'Lease Cycles'!$C$30*INDEX('Lease Cycles'!$CB$30:$CH$30,1,DB384)*(1+INDEX('Lease Cycles'!$CI$30:$CO$30,1,DB384))^INT(INT(DB385/12)/INDEX('Lease Cycles'!$CP$30:$CV$30,1,DB384))/12))),IF('Lease Cycles'!$N$30=1,'Lease Cycles'!$C$30*'Lease Cycles'!$E$30*INDEX('Lease Cycles'!$HE$30:$HK$30,1,DB384)*(1+INDEX('Lease Cycles'!$GQ$30:$GW$30,1,DB384))^INT(INT((DB$6-INDEX('Lease Cycles'!$GJ$30:$GP$30,1,DB384))/12)/INDEX('Lease Cycles'!$GX$30:$HD$30,1,DB384))/12,0)))</f>
        <v>0</v>
      </c>
      <c r="DC387" s="28">
        <f>IF(DC384=0,IF('Lease Cycles'!$F$30&gt;0,'Lease Cycles'!$C$30*'Lease Cycles'!$E$30/12,0),IF(DC386=1,IF('Lease Cycles'!$AT$30&gt;=9999,'Lease Cycles'!$C$30*INDEX('Lease Cycles'!$CB$30:$CH$30,1,DC384)*(1+INDEX('Lease Cycles'!$CI$30:$CO$30,1,DC384))^INT(INT(DC385/12)/INDEX('Lease Cycles'!$CP$30:$CV$30,1,DC384))/12,IF(DC384=1,IF(DC385&gt;=INDEX('Lease Cycles'!$DK$30:$DQ$30,1,DC384),IF(DC$6&gt;='Lease Cycles'!$AZ$30,'Lease Cycles'!$C$30*'Lease Cycles'!$BA$30/12,IF(DC$6&gt;='Lease Cycles'!$AX$30,'Lease Cycles'!$C$30*'Lease Cycles'!$AY$30/12,IF(DC$6&gt;='Lease Cycles'!$AV$30,'Lease Cycles'!$C$30*'Lease Cycles'!$AW$30/12,IF(DC$6&gt;='Lease Cycles'!$AT$30,'Lease Cycles'!$C$30*'Lease Cycles'!$AU$30/12,'Lease Cycles'!$C$30*INDEX('Lease Cycles'!$CB$30:$CH$30,1,DC384)*(1+INDEX('Lease Cycles'!$CI$30:$CO$30,1,DC384))^INT(INT(DC385/12)/INDEX('Lease Cycles'!$CP$30:$CV$30,1,DC384))/12)))),'Lease Cycles'!$C$30*INDEX('Lease Cycles'!$CB$30:$CH$30,1,DC384)*(1+INDEX('Lease Cycles'!$CI$30:$CO$30,1,DC384))^INT(INT(DC385/12)/INDEX('Lease Cycles'!$CP$30:$CV$30,1,DC384))/12),IF(INDEX('Lease Cycles'!$EF$30:$EL$30,1,DC384)=1,IF(AND('Lease Cycles'!$AZ$30&gt;=INDEX('Lease Cycles'!$BG$30:$BM$30,1,DC384),'Lease Cycles'!$AZ$30&lt;=DC$6),'Lease Cycles'!$C$30*'Lease Cycles'!$BA$30/12,IF(AND('Lease Cycles'!$AX$30&gt;=INDEX('Lease Cycles'!$BG$30:$BM$30,1,DC384),'Lease Cycles'!$AX$30&lt;=DC$6),'Lease Cycles'!$C$30*'Lease Cycles'!$AY$30/12,IF(AND('Lease Cycles'!$AV$30&gt;=INDEX('Lease Cycles'!$BG$30:$BM$30,1,DC384),'Lease Cycles'!$AV$30&lt;=DC$6),'Lease Cycles'!$C$30*'Lease Cycles'!$AW$30/12,IF(AND('Lease Cycles'!$AT$30&gt;=INDEX('Lease Cycles'!$BG$30:$BM$30,1,DC384),'Lease Cycles'!$AT$30&lt;=DC$6),'Lease Cycles'!$C$30*'Lease Cycles'!$AU$30/12,'Lease Cycles'!$C$30*INDEX('Lease Cycles'!$CB$30:$CH$30,1,DC384)*(1+INDEX('Lease Cycles'!$CI$30:$CO$30,1,DC384))^INT(INT(DC385/12)/INDEX('Lease Cycles'!$CP$30:$CV$30,1,DC384))/12)))),'Lease Cycles'!$C$30*INDEX('Lease Cycles'!$CB$30:$CH$30,1,DC384)*(1+INDEX('Lease Cycles'!$CI$30:$CO$30,1,DC384))^INT(INT(DC385/12)/INDEX('Lease Cycles'!$CP$30:$CV$30,1,DC384))/12))),IF('Lease Cycles'!$N$30=1,'Lease Cycles'!$C$30*'Lease Cycles'!$E$30*INDEX('Lease Cycles'!$HE$30:$HK$30,1,DC384)*(1+INDEX('Lease Cycles'!$GQ$30:$GW$30,1,DC384))^INT(INT((DC$6-INDEX('Lease Cycles'!$GJ$30:$GP$30,1,DC384))/12)/INDEX('Lease Cycles'!$GX$30:$HD$30,1,DC384))/12,0)))</f>
        <v>0</v>
      </c>
      <c r="DD387" s="28">
        <f>IF(DD384=0,IF('Lease Cycles'!$F$30&gt;0,'Lease Cycles'!$C$30*'Lease Cycles'!$E$30/12,0),IF(DD386=1,IF('Lease Cycles'!$AT$30&gt;=9999,'Lease Cycles'!$C$30*INDEX('Lease Cycles'!$CB$30:$CH$30,1,DD384)*(1+INDEX('Lease Cycles'!$CI$30:$CO$30,1,DD384))^INT(INT(DD385/12)/INDEX('Lease Cycles'!$CP$30:$CV$30,1,DD384))/12,IF(DD384=1,IF(DD385&gt;=INDEX('Lease Cycles'!$DK$30:$DQ$30,1,DD384),IF(DD$6&gt;='Lease Cycles'!$AZ$30,'Lease Cycles'!$C$30*'Lease Cycles'!$BA$30/12,IF(DD$6&gt;='Lease Cycles'!$AX$30,'Lease Cycles'!$C$30*'Lease Cycles'!$AY$30/12,IF(DD$6&gt;='Lease Cycles'!$AV$30,'Lease Cycles'!$C$30*'Lease Cycles'!$AW$30/12,IF(DD$6&gt;='Lease Cycles'!$AT$30,'Lease Cycles'!$C$30*'Lease Cycles'!$AU$30/12,'Lease Cycles'!$C$30*INDEX('Lease Cycles'!$CB$30:$CH$30,1,DD384)*(1+INDEX('Lease Cycles'!$CI$30:$CO$30,1,DD384))^INT(INT(DD385/12)/INDEX('Lease Cycles'!$CP$30:$CV$30,1,DD384))/12)))),'Lease Cycles'!$C$30*INDEX('Lease Cycles'!$CB$30:$CH$30,1,DD384)*(1+INDEX('Lease Cycles'!$CI$30:$CO$30,1,DD384))^INT(INT(DD385/12)/INDEX('Lease Cycles'!$CP$30:$CV$30,1,DD384))/12),IF(INDEX('Lease Cycles'!$EF$30:$EL$30,1,DD384)=1,IF(AND('Lease Cycles'!$AZ$30&gt;=INDEX('Lease Cycles'!$BG$30:$BM$30,1,DD384),'Lease Cycles'!$AZ$30&lt;=DD$6),'Lease Cycles'!$C$30*'Lease Cycles'!$BA$30/12,IF(AND('Lease Cycles'!$AX$30&gt;=INDEX('Lease Cycles'!$BG$30:$BM$30,1,DD384),'Lease Cycles'!$AX$30&lt;=DD$6),'Lease Cycles'!$C$30*'Lease Cycles'!$AY$30/12,IF(AND('Lease Cycles'!$AV$30&gt;=INDEX('Lease Cycles'!$BG$30:$BM$30,1,DD384),'Lease Cycles'!$AV$30&lt;=DD$6),'Lease Cycles'!$C$30*'Lease Cycles'!$AW$30/12,IF(AND('Lease Cycles'!$AT$30&gt;=INDEX('Lease Cycles'!$BG$30:$BM$30,1,DD384),'Lease Cycles'!$AT$30&lt;=DD$6),'Lease Cycles'!$C$30*'Lease Cycles'!$AU$30/12,'Lease Cycles'!$C$30*INDEX('Lease Cycles'!$CB$30:$CH$30,1,DD384)*(1+INDEX('Lease Cycles'!$CI$30:$CO$30,1,DD384))^INT(INT(DD385/12)/INDEX('Lease Cycles'!$CP$30:$CV$30,1,DD384))/12)))),'Lease Cycles'!$C$30*INDEX('Lease Cycles'!$CB$30:$CH$30,1,DD384)*(1+INDEX('Lease Cycles'!$CI$30:$CO$30,1,DD384))^INT(INT(DD385/12)/INDEX('Lease Cycles'!$CP$30:$CV$30,1,DD384))/12))),IF('Lease Cycles'!$N$30=1,'Lease Cycles'!$C$30*'Lease Cycles'!$E$30*INDEX('Lease Cycles'!$HE$30:$HK$30,1,DD384)*(1+INDEX('Lease Cycles'!$GQ$30:$GW$30,1,DD384))^INT(INT((DD$6-INDEX('Lease Cycles'!$GJ$30:$GP$30,1,DD384))/12)/INDEX('Lease Cycles'!$GX$30:$HD$30,1,DD384))/12,0)))</f>
        <v>0</v>
      </c>
      <c r="DE387" s="28">
        <f>IF(DE384=0,IF('Lease Cycles'!$F$30&gt;0,'Lease Cycles'!$C$30*'Lease Cycles'!$E$30/12,0),IF(DE386=1,IF('Lease Cycles'!$AT$30&gt;=9999,'Lease Cycles'!$C$30*INDEX('Lease Cycles'!$CB$30:$CH$30,1,DE384)*(1+INDEX('Lease Cycles'!$CI$30:$CO$30,1,DE384))^INT(INT(DE385/12)/INDEX('Lease Cycles'!$CP$30:$CV$30,1,DE384))/12,IF(DE384=1,IF(DE385&gt;=INDEX('Lease Cycles'!$DK$30:$DQ$30,1,DE384),IF(DE$6&gt;='Lease Cycles'!$AZ$30,'Lease Cycles'!$C$30*'Lease Cycles'!$BA$30/12,IF(DE$6&gt;='Lease Cycles'!$AX$30,'Lease Cycles'!$C$30*'Lease Cycles'!$AY$30/12,IF(DE$6&gt;='Lease Cycles'!$AV$30,'Lease Cycles'!$C$30*'Lease Cycles'!$AW$30/12,IF(DE$6&gt;='Lease Cycles'!$AT$30,'Lease Cycles'!$C$30*'Lease Cycles'!$AU$30/12,'Lease Cycles'!$C$30*INDEX('Lease Cycles'!$CB$30:$CH$30,1,DE384)*(1+INDEX('Lease Cycles'!$CI$30:$CO$30,1,DE384))^INT(INT(DE385/12)/INDEX('Lease Cycles'!$CP$30:$CV$30,1,DE384))/12)))),'Lease Cycles'!$C$30*INDEX('Lease Cycles'!$CB$30:$CH$30,1,DE384)*(1+INDEX('Lease Cycles'!$CI$30:$CO$30,1,DE384))^INT(INT(DE385/12)/INDEX('Lease Cycles'!$CP$30:$CV$30,1,DE384))/12),IF(INDEX('Lease Cycles'!$EF$30:$EL$30,1,DE384)=1,IF(AND('Lease Cycles'!$AZ$30&gt;=INDEX('Lease Cycles'!$BG$30:$BM$30,1,DE384),'Lease Cycles'!$AZ$30&lt;=DE$6),'Lease Cycles'!$C$30*'Lease Cycles'!$BA$30/12,IF(AND('Lease Cycles'!$AX$30&gt;=INDEX('Lease Cycles'!$BG$30:$BM$30,1,DE384),'Lease Cycles'!$AX$30&lt;=DE$6),'Lease Cycles'!$C$30*'Lease Cycles'!$AY$30/12,IF(AND('Lease Cycles'!$AV$30&gt;=INDEX('Lease Cycles'!$BG$30:$BM$30,1,DE384),'Lease Cycles'!$AV$30&lt;=DE$6),'Lease Cycles'!$C$30*'Lease Cycles'!$AW$30/12,IF(AND('Lease Cycles'!$AT$30&gt;=INDEX('Lease Cycles'!$BG$30:$BM$30,1,DE384),'Lease Cycles'!$AT$30&lt;=DE$6),'Lease Cycles'!$C$30*'Lease Cycles'!$AU$30/12,'Lease Cycles'!$C$30*INDEX('Lease Cycles'!$CB$30:$CH$30,1,DE384)*(1+INDEX('Lease Cycles'!$CI$30:$CO$30,1,DE384))^INT(INT(DE385/12)/INDEX('Lease Cycles'!$CP$30:$CV$30,1,DE384))/12)))),'Lease Cycles'!$C$30*INDEX('Lease Cycles'!$CB$30:$CH$30,1,DE384)*(1+INDEX('Lease Cycles'!$CI$30:$CO$30,1,DE384))^INT(INT(DE385/12)/INDEX('Lease Cycles'!$CP$30:$CV$30,1,DE384))/12))),IF('Lease Cycles'!$N$30=1,'Lease Cycles'!$C$30*'Lease Cycles'!$E$30*INDEX('Lease Cycles'!$HE$30:$HK$30,1,DE384)*(1+INDEX('Lease Cycles'!$GQ$30:$GW$30,1,DE384))^INT(INT((DE$6-INDEX('Lease Cycles'!$GJ$30:$GP$30,1,DE384))/12)/INDEX('Lease Cycles'!$GX$30:$HD$30,1,DE384))/12,0)))</f>
        <v>0</v>
      </c>
      <c r="DF387" s="28">
        <f>IF(DF384=0,IF('Lease Cycles'!$F$30&gt;0,'Lease Cycles'!$C$30*'Lease Cycles'!$E$30/12,0),IF(DF386=1,IF('Lease Cycles'!$AT$30&gt;=9999,'Lease Cycles'!$C$30*INDEX('Lease Cycles'!$CB$30:$CH$30,1,DF384)*(1+INDEX('Lease Cycles'!$CI$30:$CO$30,1,DF384))^INT(INT(DF385/12)/INDEX('Lease Cycles'!$CP$30:$CV$30,1,DF384))/12,IF(DF384=1,IF(DF385&gt;=INDEX('Lease Cycles'!$DK$30:$DQ$30,1,DF384),IF(DF$6&gt;='Lease Cycles'!$AZ$30,'Lease Cycles'!$C$30*'Lease Cycles'!$BA$30/12,IF(DF$6&gt;='Lease Cycles'!$AX$30,'Lease Cycles'!$C$30*'Lease Cycles'!$AY$30/12,IF(DF$6&gt;='Lease Cycles'!$AV$30,'Lease Cycles'!$C$30*'Lease Cycles'!$AW$30/12,IF(DF$6&gt;='Lease Cycles'!$AT$30,'Lease Cycles'!$C$30*'Lease Cycles'!$AU$30/12,'Lease Cycles'!$C$30*INDEX('Lease Cycles'!$CB$30:$CH$30,1,DF384)*(1+INDEX('Lease Cycles'!$CI$30:$CO$30,1,DF384))^INT(INT(DF385/12)/INDEX('Lease Cycles'!$CP$30:$CV$30,1,DF384))/12)))),'Lease Cycles'!$C$30*INDEX('Lease Cycles'!$CB$30:$CH$30,1,DF384)*(1+INDEX('Lease Cycles'!$CI$30:$CO$30,1,DF384))^INT(INT(DF385/12)/INDEX('Lease Cycles'!$CP$30:$CV$30,1,DF384))/12),IF(INDEX('Lease Cycles'!$EF$30:$EL$30,1,DF384)=1,IF(AND('Lease Cycles'!$AZ$30&gt;=INDEX('Lease Cycles'!$BG$30:$BM$30,1,DF384),'Lease Cycles'!$AZ$30&lt;=DF$6),'Lease Cycles'!$C$30*'Lease Cycles'!$BA$30/12,IF(AND('Lease Cycles'!$AX$30&gt;=INDEX('Lease Cycles'!$BG$30:$BM$30,1,DF384),'Lease Cycles'!$AX$30&lt;=DF$6),'Lease Cycles'!$C$30*'Lease Cycles'!$AY$30/12,IF(AND('Lease Cycles'!$AV$30&gt;=INDEX('Lease Cycles'!$BG$30:$BM$30,1,DF384),'Lease Cycles'!$AV$30&lt;=DF$6),'Lease Cycles'!$C$30*'Lease Cycles'!$AW$30/12,IF(AND('Lease Cycles'!$AT$30&gt;=INDEX('Lease Cycles'!$BG$30:$BM$30,1,DF384),'Lease Cycles'!$AT$30&lt;=DF$6),'Lease Cycles'!$C$30*'Lease Cycles'!$AU$30/12,'Lease Cycles'!$C$30*INDEX('Lease Cycles'!$CB$30:$CH$30,1,DF384)*(1+INDEX('Lease Cycles'!$CI$30:$CO$30,1,DF384))^INT(INT(DF385/12)/INDEX('Lease Cycles'!$CP$30:$CV$30,1,DF384))/12)))),'Lease Cycles'!$C$30*INDEX('Lease Cycles'!$CB$30:$CH$30,1,DF384)*(1+INDEX('Lease Cycles'!$CI$30:$CO$30,1,DF384))^INT(INT(DF385/12)/INDEX('Lease Cycles'!$CP$30:$CV$30,1,DF384))/12))),IF('Lease Cycles'!$N$30=1,'Lease Cycles'!$C$30*'Lease Cycles'!$E$30*INDEX('Lease Cycles'!$HE$30:$HK$30,1,DF384)*(1+INDEX('Lease Cycles'!$GQ$30:$GW$30,1,DF384))^INT(INT((DF$6-INDEX('Lease Cycles'!$GJ$30:$GP$30,1,DF384))/12)/INDEX('Lease Cycles'!$GX$30:$HD$30,1,DF384))/12,0)))</f>
        <v>0</v>
      </c>
      <c r="DG387" s="28">
        <f>IF(DG384=0,IF('Lease Cycles'!$F$30&gt;0,'Lease Cycles'!$C$30*'Lease Cycles'!$E$30/12,0),IF(DG386=1,IF('Lease Cycles'!$AT$30&gt;=9999,'Lease Cycles'!$C$30*INDEX('Lease Cycles'!$CB$30:$CH$30,1,DG384)*(1+INDEX('Lease Cycles'!$CI$30:$CO$30,1,DG384))^INT(INT(DG385/12)/INDEX('Lease Cycles'!$CP$30:$CV$30,1,DG384))/12,IF(DG384=1,IF(DG385&gt;=INDEX('Lease Cycles'!$DK$30:$DQ$30,1,DG384),IF(DG$6&gt;='Lease Cycles'!$AZ$30,'Lease Cycles'!$C$30*'Lease Cycles'!$BA$30/12,IF(DG$6&gt;='Lease Cycles'!$AX$30,'Lease Cycles'!$C$30*'Lease Cycles'!$AY$30/12,IF(DG$6&gt;='Lease Cycles'!$AV$30,'Lease Cycles'!$C$30*'Lease Cycles'!$AW$30/12,IF(DG$6&gt;='Lease Cycles'!$AT$30,'Lease Cycles'!$C$30*'Lease Cycles'!$AU$30/12,'Lease Cycles'!$C$30*INDEX('Lease Cycles'!$CB$30:$CH$30,1,DG384)*(1+INDEX('Lease Cycles'!$CI$30:$CO$30,1,DG384))^INT(INT(DG385/12)/INDEX('Lease Cycles'!$CP$30:$CV$30,1,DG384))/12)))),'Lease Cycles'!$C$30*INDEX('Lease Cycles'!$CB$30:$CH$30,1,DG384)*(1+INDEX('Lease Cycles'!$CI$30:$CO$30,1,DG384))^INT(INT(DG385/12)/INDEX('Lease Cycles'!$CP$30:$CV$30,1,DG384))/12),IF(INDEX('Lease Cycles'!$EF$30:$EL$30,1,DG384)=1,IF(AND('Lease Cycles'!$AZ$30&gt;=INDEX('Lease Cycles'!$BG$30:$BM$30,1,DG384),'Lease Cycles'!$AZ$30&lt;=DG$6),'Lease Cycles'!$C$30*'Lease Cycles'!$BA$30/12,IF(AND('Lease Cycles'!$AX$30&gt;=INDEX('Lease Cycles'!$BG$30:$BM$30,1,DG384),'Lease Cycles'!$AX$30&lt;=DG$6),'Lease Cycles'!$C$30*'Lease Cycles'!$AY$30/12,IF(AND('Lease Cycles'!$AV$30&gt;=INDEX('Lease Cycles'!$BG$30:$BM$30,1,DG384),'Lease Cycles'!$AV$30&lt;=DG$6),'Lease Cycles'!$C$30*'Lease Cycles'!$AW$30/12,IF(AND('Lease Cycles'!$AT$30&gt;=INDEX('Lease Cycles'!$BG$30:$BM$30,1,DG384),'Lease Cycles'!$AT$30&lt;=DG$6),'Lease Cycles'!$C$30*'Lease Cycles'!$AU$30/12,'Lease Cycles'!$C$30*INDEX('Lease Cycles'!$CB$30:$CH$30,1,DG384)*(1+INDEX('Lease Cycles'!$CI$30:$CO$30,1,DG384))^INT(INT(DG385/12)/INDEX('Lease Cycles'!$CP$30:$CV$30,1,DG384))/12)))),'Lease Cycles'!$C$30*INDEX('Lease Cycles'!$CB$30:$CH$30,1,DG384)*(1+INDEX('Lease Cycles'!$CI$30:$CO$30,1,DG384))^INT(INT(DG385/12)/INDEX('Lease Cycles'!$CP$30:$CV$30,1,DG384))/12))),IF('Lease Cycles'!$N$30=1,'Lease Cycles'!$C$30*'Lease Cycles'!$E$30*INDEX('Lease Cycles'!$HE$30:$HK$30,1,DG384)*(1+INDEX('Lease Cycles'!$GQ$30:$GW$30,1,DG384))^INT(INT((DG$6-INDEX('Lease Cycles'!$GJ$30:$GP$30,1,DG384))/12)/INDEX('Lease Cycles'!$GX$30:$HD$30,1,DG384))/12,0)))</f>
        <v>0</v>
      </c>
      <c r="DH387" s="28">
        <f>IF(DH384=0,IF('Lease Cycles'!$F$30&gt;0,'Lease Cycles'!$C$30*'Lease Cycles'!$E$30/12,0),IF(DH386=1,IF('Lease Cycles'!$AT$30&gt;=9999,'Lease Cycles'!$C$30*INDEX('Lease Cycles'!$CB$30:$CH$30,1,DH384)*(1+INDEX('Lease Cycles'!$CI$30:$CO$30,1,DH384))^INT(INT(DH385/12)/INDEX('Lease Cycles'!$CP$30:$CV$30,1,DH384))/12,IF(DH384=1,IF(DH385&gt;=INDEX('Lease Cycles'!$DK$30:$DQ$30,1,DH384),IF(DH$6&gt;='Lease Cycles'!$AZ$30,'Lease Cycles'!$C$30*'Lease Cycles'!$BA$30/12,IF(DH$6&gt;='Lease Cycles'!$AX$30,'Lease Cycles'!$C$30*'Lease Cycles'!$AY$30/12,IF(DH$6&gt;='Lease Cycles'!$AV$30,'Lease Cycles'!$C$30*'Lease Cycles'!$AW$30/12,IF(DH$6&gt;='Lease Cycles'!$AT$30,'Lease Cycles'!$C$30*'Lease Cycles'!$AU$30/12,'Lease Cycles'!$C$30*INDEX('Lease Cycles'!$CB$30:$CH$30,1,DH384)*(1+INDEX('Lease Cycles'!$CI$30:$CO$30,1,DH384))^INT(INT(DH385/12)/INDEX('Lease Cycles'!$CP$30:$CV$30,1,DH384))/12)))),'Lease Cycles'!$C$30*INDEX('Lease Cycles'!$CB$30:$CH$30,1,DH384)*(1+INDEX('Lease Cycles'!$CI$30:$CO$30,1,DH384))^INT(INT(DH385/12)/INDEX('Lease Cycles'!$CP$30:$CV$30,1,DH384))/12),IF(INDEX('Lease Cycles'!$EF$30:$EL$30,1,DH384)=1,IF(AND('Lease Cycles'!$AZ$30&gt;=INDEX('Lease Cycles'!$BG$30:$BM$30,1,DH384),'Lease Cycles'!$AZ$30&lt;=DH$6),'Lease Cycles'!$C$30*'Lease Cycles'!$BA$30/12,IF(AND('Lease Cycles'!$AX$30&gt;=INDEX('Lease Cycles'!$BG$30:$BM$30,1,DH384),'Lease Cycles'!$AX$30&lt;=DH$6),'Lease Cycles'!$C$30*'Lease Cycles'!$AY$30/12,IF(AND('Lease Cycles'!$AV$30&gt;=INDEX('Lease Cycles'!$BG$30:$BM$30,1,DH384),'Lease Cycles'!$AV$30&lt;=DH$6),'Lease Cycles'!$C$30*'Lease Cycles'!$AW$30/12,IF(AND('Lease Cycles'!$AT$30&gt;=INDEX('Lease Cycles'!$BG$30:$BM$30,1,DH384),'Lease Cycles'!$AT$30&lt;=DH$6),'Lease Cycles'!$C$30*'Lease Cycles'!$AU$30/12,'Lease Cycles'!$C$30*INDEX('Lease Cycles'!$CB$30:$CH$30,1,DH384)*(1+INDEX('Lease Cycles'!$CI$30:$CO$30,1,DH384))^INT(INT(DH385/12)/INDEX('Lease Cycles'!$CP$30:$CV$30,1,DH384))/12)))),'Lease Cycles'!$C$30*INDEX('Lease Cycles'!$CB$30:$CH$30,1,DH384)*(1+INDEX('Lease Cycles'!$CI$30:$CO$30,1,DH384))^INT(INT(DH385/12)/INDEX('Lease Cycles'!$CP$30:$CV$30,1,DH384))/12))),IF('Lease Cycles'!$N$30=1,'Lease Cycles'!$C$30*'Lease Cycles'!$E$30*INDEX('Lease Cycles'!$HE$30:$HK$30,1,DH384)*(1+INDEX('Lease Cycles'!$GQ$30:$GW$30,1,DH384))^INT(INT((DH$6-INDEX('Lease Cycles'!$GJ$30:$GP$30,1,DH384))/12)/INDEX('Lease Cycles'!$GX$30:$HD$30,1,DH384))/12,0)))</f>
        <v>0</v>
      </c>
      <c r="DI387" s="28">
        <f>IF(DI384=0,IF('Lease Cycles'!$F$30&gt;0,'Lease Cycles'!$C$30*'Lease Cycles'!$E$30/12,0),IF(DI386=1,IF('Lease Cycles'!$AT$30&gt;=9999,'Lease Cycles'!$C$30*INDEX('Lease Cycles'!$CB$30:$CH$30,1,DI384)*(1+INDEX('Lease Cycles'!$CI$30:$CO$30,1,DI384))^INT(INT(DI385/12)/INDEX('Lease Cycles'!$CP$30:$CV$30,1,DI384))/12,IF(DI384=1,IF(DI385&gt;=INDEX('Lease Cycles'!$DK$30:$DQ$30,1,DI384),IF(DI$6&gt;='Lease Cycles'!$AZ$30,'Lease Cycles'!$C$30*'Lease Cycles'!$BA$30/12,IF(DI$6&gt;='Lease Cycles'!$AX$30,'Lease Cycles'!$C$30*'Lease Cycles'!$AY$30/12,IF(DI$6&gt;='Lease Cycles'!$AV$30,'Lease Cycles'!$C$30*'Lease Cycles'!$AW$30/12,IF(DI$6&gt;='Lease Cycles'!$AT$30,'Lease Cycles'!$C$30*'Lease Cycles'!$AU$30/12,'Lease Cycles'!$C$30*INDEX('Lease Cycles'!$CB$30:$CH$30,1,DI384)*(1+INDEX('Lease Cycles'!$CI$30:$CO$30,1,DI384))^INT(INT(DI385/12)/INDEX('Lease Cycles'!$CP$30:$CV$30,1,DI384))/12)))),'Lease Cycles'!$C$30*INDEX('Lease Cycles'!$CB$30:$CH$30,1,DI384)*(1+INDEX('Lease Cycles'!$CI$30:$CO$30,1,DI384))^INT(INT(DI385/12)/INDEX('Lease Cycles'!$CP$30:$CV$30,1,DI384))/12),IF(INDEX('Lease Cycles'!$EF$30:$EL$30,1,DI384)=1,IF(AND('Lease Cycles'!$AZ$30&gt;=INDEX('Lease Cycles'!$BG$30:$BM$30,1,DI384),'Lease Cycles'!$AZ$30&lt;=DI$6),'Lease Cycles'!$C$30*'Lease Cycles'!$BA$30/12,IF(AND('Lease Cycles'!$AX$30&gt;=INDEX('Lease Cycles'!$BG$30:$BM$30,1,DI384),'Lease Cycles'!$AX$30&lt;=DI$6),'Lease Cycles'!$C$30*'Lease Cycles'!$AY$30/12,IF(AND('Lease Cycles'!$AV$30&gt;=INDEX('Lease Cycles'!$BG$30:$BM$30,1,DI384),'Lease Cycles'!$AV$30&lt;=DI$6),'Lease Cycles'!$C$30*'Lease Cycles'!$AW$30/12,IF(AND('Lease Cycles'!$AT$30&gt;=INDEX('Lease Cycles'!$BG$30:$BM$30,1,DI384),'Lease Cycles'!$AT$30&lt;=DI$6),'Lease Cycles'!$C$30*'Lease Cycles'!$AU$30/12,'Lease Cycles'!$C$30*INDEX('Lease Cycles'!$CB$30:$CH$30,1,DI384)*(1+INDEX('Lease Cycles'!$CI$30:$CO$30,1,DI384))^INT(INT(DI385/12)/INDEX('Lease Cycles'!$CP$30:$CV$30,1,DI384))/12)))),'Lease Cycles'!$C$30*INDEX('Lease Cycles'!$CB$30:$CH$30,1,DI384)*(1+INDEX('Lease Cycles'!$CI$30:$CO$30,1,DI384))^INT(INT(DI385/12)/INDEX('Lease Cycles'!$CP$30:$CV$30,1,DI384))/12))),IF('Lease Cycles'!$N$30=1,'Lease Cycles'!$C$30*'Lease Cycles'!$E$30*INDEX('Lease Cycles'!$HE$30:$HK$30,1,DI384)*(1+INDEX('Lease Cycles'!$GQ$30:$GW$30,1,DI384))^INT(INT((DI$6-INDEX('Lease Cycles'!$GJ$30:$GP$30,1,DI384))/12)/INDEX('Lease Cycles'!$GX$30:$HD$30,1,DI384))/12,0)))</f>
        <v>0</v>
      </c>
      <c r="DJ387" s="28">
        <f>IF(DJ384=0,IF('Lease Cycles'!$F$30&gt;0,'Lease Cycles'!$C$30*'Lease Cycles'!$E$30/12,0),IF(DJ386=1,IF('Lease Cycles'!$AT$30&gt;=9999,'Lease Cycles'!$C$30*INDEX('Lease Cycles'!$CB$30:$CH$30,1,DJ384)*(1+INDEX('Lease Cycles'!$CI$30:$CO$30,1,DJ384))^INT(INT(DJ385/12)/INDEX('Lease Cycles'!$CP$30:$CV$30,1,DJ384))/12,IF(DJ384=1,IF(DJ385&gt;=INDEX('Lease Cycles'!$DK$30:$DQ$30,1,DJ384),IF(DJ$6&gt;='Lease Cycles'!$AZ$30,'Lease Cycles'!$C$30*'Lease Cycles'!$BA$30/12,IF(DJ$6&gt;='Lease Cycles'!$AX$30,'Lease Cycles'!$C$30*'Lease Cycles'!$AY$30/12,IF(DJ$6&gt;='Lease Cycles'!$AV$30,'Lease Cycles'!$C$30*'Lease Cycles'!$AW$30/12,IF(DJ$6&gt;='Lease Cycles'!$AT$30,'Lease Cycles'!$C$30*'Lease Cycles'!$AU$30/12,'Lease Cycles'!$C$30*INDEX('Lease Cycles'!$CB$30:$CH$30,1,DJ384)*(1+INDEX('Lease Cycles'!$CI$30:$CO$30,1,DJ384))^INT(INT(DJ385/12)/INDEX('Lease Cycles'!$CP$30:$CV$30,1,DJ384))/12)))),'Lease Cycles'!$C$30*INDEX('Lease Cycles'!$CB$30:$CH$30,1,DJ384)*(1+INDEX('Lease Cycles'!$CI$30:$CO$30,1,DJ384))^INT(INT(DJ385/12)/INDEX('Lease Cycles'!$CP$30:$CV$30,1,DJ384))/12),IF(INDEX('Lease Cycles'!$EF$30:$EL$30,1,DJ384)=1,IF(AND('Lease Cycles'!$AZ$30&gt;=INDEX('Lease Cycles'!$BG$30:$BM$30,1,DJ384),'Lease Cycles'!$AZ$30&lt;=DJ$6),'Lease Cycles'!$C$30*'Lease Cycles'!$BA$30/12,IF(AND('Lease Cycles'!$AX$30&gt;=INDEX('Lease Cycles'!$BG$30:$BM$30,1,DJ384),'Lease Cycles'!$AX$30&lt;=DJ$6),'Lease Cycles'!$C$30*'Lease Cycles'!$AY$30/12,IF(AND('Lease Cycles'!$AV$30&gt;=INDEX('Lease Cycles'!$BG$30:$BM$30,1,DJ384),'Lease Cycles'!$AV$30&lt;=DJ$6),'Lease Cycles'!$C$30*'Lease Cycles'!$AW$30/12,IF(AND('Lease Cycles'!$AT$30&gt;=INDEX('Lease Cycles'!$BG$30:$BM$30,1,DJ384),'Lease Cycles'!$AT$30&lt;=DJ$6),'Lease Cycles'!$C$30*'Lease Cycles'!$AU$30/12,'Lease Cycles'!$C$30*INDEX('Lease Cycles'!$CB$30:$CH$30,1,DJ384)*(1+INDEX('Lease Cycles'!$CI$30:$CO$30,1,DJ384))^INT(INT(DJ385/12)/INDEX('Lease Cycles'!$CP$30:$CV$30,1,DJ384))/12)))),'Lease Cycles'!$C$30*INDEX('Lease Cycles'!$CB$30:$CH$30,1,DJ384)*(1+INDEX('Lease Cycles'!$CI$30:$CO$30,1,DJ384))^INT(INT(DJ385/12)/INDEX('Lease Cycles'!$CP$30:$CV$30,1,DJ384))/12))),IF('Lease Cycles'!$N$30=1,'Lease Cycles'!$C$30*'Lease Cycles'!$E$30*INDEX('Lease Cycles'!$HE$30:$HK$30,1,DJ384)*(1+INDEX('Lease Cycles'!$GQ$30:$GW$30,1,DJ384))^INT(INT((DJ$6-INDEX('Lease Cycles'!$GJ$30:$GP$30,1,DJ384))/12)/INDEX('Lease Cycles'!$GX$30:$HD$30,1,DJ384))/12,0)))</f>
        <v>0</v>
      </c>
      <c r="DK387" s="28">
        <f>IF(DK384=0,IF('Lease Cycles'!$F$30&gt;0,'Lease Cycles'!$C$30*'Lease Cycles'!$E$30/12,0),IF(DK386=1,IF('Lease Cycles'!$AT$30&gt;=9999,'Lease Cycles'!$C$30*INDEX('Lease Cycles'!$CB$30:$CH$30,1,DK384)*(1+INDEX('Lease Cycles'!$CI$30:$CO$30,1,DK384))^INT(INT(DK385/12)/INDEX('Lease Cycles'!$CP$30:$CV$30,1,DK384))/12,IF(DK384=1,IF(DK385&gt;=INDEX('Lease Cycles'!$DK$30:$DQ$30,1,DK384),IF(DK$6&gt;='Lease Cycles'!$AZ$30,'Lease Cycles'!$C$30*'Lease Cycles'!$BA$30/12,IF(DK$6&gt;='Lease Cycles'!$AX$30,'Lease Cycles'!$C$30*'Lease Cycles'!$AY$30/12,IF(DK$6&gt;='Lease Cycles'!$AV$30,'Lease Cycles'!$C$30*'Lease Cycles'!$AW$30/12,IF(DK$6&gt;='Lease Cycles'!$AT$30,'Lease Cycles'!$C$30*'Lease Cycles'!$AU$30/12,'Lease Cycles'!$C$30*INDEX('Lease Cycles'!$CB$30:$CH$30,1,DK384)*(1+INDEX('Lease Cycles'!$CI$30:$CO$30,1,DK384))^INT(INT(DK385/12)/INDEX('Lease Cycles'!$CP$30:$CV$30,1,DK384))/12)))),'Lease Cycles'!$C$30*INDEX('Lease Cycles'!$CB$30:$CH$30,1,DK384)*(1+INDEX('Lease Cycles'!$CI$30:$CO$30,1,DK384))^INT(INT(DK385/12)/INDEX('Lease Cycles'!$CP$30:$CV$30,1,DK384))/12),IF(INDEX('Lease Cycles'!$EF$30:$EL$30,1,DK384)=1,IF(AND('Lease Cycles'!$AZ$30&gt;=INDEX('Lease Cycles'!$BG$30:$BM$30,1,DK384),'Lease Cycles'!$AZ$30&lt;=DK$6),'Lease Cycles'!$C$30*'Lease Cycles'!$BA$30/12,IF(AND('Lease Cycles'!$AX$30&gt;=INDEX('Lease Cycles'!$BG$30:$BM$30,1,DK384),'Lease Cycles'!$AX$30&lt;=DK$6),'Lease Cycles'!$C$30*'Lease Cycles'!$AY$30/12,IF(AND('Lease Cycles'!$AV$30&gt;=INDEX('Lease Cycles'!$BG$30:$BM$30,1,DK384),'Lease Cycles'!$AV$30&lt;=DK$6),'Lease Cycles'!$C$30*'Lease Cycles'!$AW$30/12,IF(AND('Lease Cycles'!$AT$30&gt;=INDEX('Lease Cycles'!$BG$30:$BM$30,1,DK384),'Lease Cycles'!$AT$30&lt;=DK$6),'Lease Cycles'!$C$30*'Lease Cycles'!$AU$30/12,'Lease Cycles'!$C$30*INDEX('Lease Cycles'!$CB$30:$CH$30,1,DK384)*(1+INDEX('Lease Cycles'!$CI$30:$CO$30,1,DK384))^INT(INT(DK385/12)/INDEX('Lease Cycles'!$CP$30:$CV$30,1,DK384))/12)))),'Lease Cycles'!$C$30*INDEX('Lease Cycles'!$CB$30:$CH$30,1,DK384)*(1+INDEX('Lease Cycles'!$CI$30:$CO$30,1,DK384))^INT(INT(DK385/12)/INDEX('Lease Cycles'!$CP$30:$CV$30,1,DK384))/12))),IF('Lease Cycles'!$N$30=1,'Lease Cycles'!$C$30*'Lease Cycles'!$E$30*INDEX('Lease Cycles'!$HE$30:$HK$30,1,DK384)*(1+INDEX('Lease Cycles'!$GQ$30:$GW$30,1,DK384))^INT(INT((DK$6-INDEX('Lease Cycles'!$GJ$30:$GP$30,1,DK384))/12)/INDEX('Lease Cycles'!$GX$30:$HD$30,1,DK384))/12,0)))</f>
        <v>0</v>
      </c>
      <c r="DL387" s="28">
        <f>IF(DL384=0,IF('Lease Cycles'!$F$30&gt;0,'Lease Cycles'!$C$30*'Lease Cycles'!$E$30/12,0),IF(DL386=1,IF('Lease Cycles'!$AT$30&gt;=9999,'Lease Cycles'!$C$30*INDEX('Lease Cycles'!$CB$30:$CH$30,1,DL384)*(1+INDEX('Lease Cycles'!$CI$30:$CO$30,1,DL384))^INT(INT(DL385/12)/INDEX('Lease Cycles'!$CP$30:$CV$30,1,DL384))/12,IF(DL384=1,IF(DL385&gt;=INDEX('Lease Cycles'!$DK$30:$DQ$30,1,DL384),IF(DL$6&gt;='Lease Cycles'!$AZ$30,'Lease Cycles'!$C$30*'Lease Cycles'!$BA$30/12,IF(DL$6&gt;='Lease Cycles'!$AX$30,'Lease Cycles'!$C$30*'Lease Cycles'!$AY$30/12,IF(DL$6&gt;='Lease Cycles'!$AV$30,'Lease Cycles'!$C$30*'Lease Cycles'!$AW$30/12,IF(DL$6&gt;='Lease Cycles'!$AT$30,'Lease Cycles'!$C$30*'Lease Cycles'!$AU$30/12,'Lease Cycles'!$C$30*INDEX('Lease Cycles'!$CB$30:$CH$30,1,DL384)*(1+INDEX('Lease Cycles'!$CI$30:$CO$30,1,DL384))^INT(INT(DL385/12)/INDEX('Lease Cycles'!$CP$30:$CV$30,1,DL384))/12)))),'Lease Cycles'!$C$30*INDEX('Lease Cycles'!$CB$30:$CH$30,1,DL384)*(1+INDEX('Lease Cycles'!$CI$30:$CO$30,1,DL384))^INT(INT(DL385/12)/INDEX('Lease Cycles'!$CP$30:$CV$30,1,DL384))/12),IF(INDEX('Lease Cycles'!$EF$30:$EL$30,1,DL384)=1,IF(AND('Lease Cycles'!$AZ$30&gt;=INDEX('Lease Cycles'!$BG$30:$BM$30,1,DL384),'Lease Cycles'!$AZ$30&lt;=DL$6),'Lease Cycles'!$C$30*'Lease Cycles'!$BA$30/12,IF(AND('Lease Cycles'!$AX$30&gt;=INDEX('Lease Cycles'!$BG$30:$BM$30,1,DL384),'Lease Cycles'!$AX$30&lt;=DL$6),'Lease Cycles'!$C$30*'Lease Cycles'!$AY$30/12,IF(AND('Lease Cycles'!$AV$30&gt;=INDEX('Lease Cycles'!$BG$30:$BM$30,1,DL384),'Lease Cycles'!$AV$30&lt;=DL$6),'Lease Cycles'!$C$30*'Lease Cycles'!$AW$30/12,IF(AND('Lease Cycles'!$AT$30&gt;=INDEX('Lease Cycles'!$BG$30:$BM$30,1,DL384),'Lease Cycles'!$AT$30&lt;=DL$6),'Lease Cycles'!$C$30*'Lease Cycles'!$AU$30/12,'Lease Cycles'!$C$30*INDEX('Lease Cycles'!$CB$30:$CH$30,1,DL384)*(1+INDEX('Lease Cycles'!$CI$30:$CO$30,1,DL384))^INT(INT(DL385/12)/INDEX('Lease Cycles'!$CP$30:$CV$30,1,DL384))/12)))),'Lease Cycles'!$C$30*INDEX('Lease Cycles'!$CB$30:$CH$30,1,DL384)*(1+INDEX('Lease Cycles'!$CI$30:$CO$30,1,DL384))^INT(INT(DL385/12)/INDEX('Lease Cycles'!$CP$30:$CV$30,1,DL384))/12))),IF('Lease Cycles'!$N$30=1,'Lease Cycles'!$C$30*'Lease Cycles'!$E$30*INDEX('Lease Cycles'!$HE$30:$HK$30,1,DL384)*(1+INDEX('Lease Cycles'!$GQ$30:$GW$30,1,DL384))^INT(INT((DL$6-INDEX('Lease Cycles'!$GJ$30:$GP$30,1,DL384))/12)/INDEX('Lease Cycles'!$GX$30:$HD$30,1,DL384))/12,0)))</f>
        <v>0</v>
      </c>
      <c r="DM387" s="28">
        <f>IF(DM384=0,IF('Lease Cycles'!$F$30&gt;0,'Lease Cycles'!$C$30*'Lease Cycles'!$E$30/12,0),IF(DM386=1,IF('Lease Cycles'!$AT$30&gt;=9999,'Lease Cycles'!$C$30*INDEX('Lease Cycles'!$CB$30:$CH$30,1,DM384)*(1+INDEX('Lease Cycles'!$CI$30:$CO$30,1,DM384))^INT(INT(DM385/12)/INDEX('Lease Cycles'!$CP$30:$CV$30,1,DM384))/12,IF(DM384=1,IF(DM385&gt;=INDEX('Lease Cycles'!$DK$30:$DQ$30,1,DM384),IF(DM$6&gt;='Lease Cycles'!$AZ$30,'Lease Cycles'!$C$30*'Lease Cycles'!$BA$30/12,IF(DM$6&gt;='Lease Cycles'!$AX$30,'Lease Cycles'!$C$30*'Lease Cycles'!$AY$30/12,IF(DM$6&gt;='Lease Cycles'!$AV$30,'Lease Cycles'!$C$30*'Lease Cycles'!$AW$30/12,IF(DM$6&gt;='Lease Cycles'!$AT$30,'Lease Cycles'!$C$30*'Lease Cycles'!$AU$30/12,'Lease Cycles'!$C$30*INDEX('Lease Cycles'!$CB$30:$CH$30,1,DM384)*(1+INDEX('Lease Cycles'!$CI$30:$CO$30,1,DM384))^INT(INT(DM385/12)/INDEX('Lease Cycles'!$CP$30:$CV$30,1,DM384))/12)))),'Lease Cycles'!$C$30*INDEX('Lease Cycles'!$CB$30:$CH$30,1,DM384)*(1+INDEX('Lease Cycles'!$CI$30:$CO$30,1,DM384))^INT(INT(DM385/12)/INDEX('Lease Cycles'!$CP$30:$CV$30,1,DM384))/12),IF(INDEX('Lease Cycles'!$EF$30:$EL$30,1,DM384)=1,IF(AND('Lease Cycles'!$AZ$30&gt;=INDEX('Lease Cycles'!$BG$30:$BM$30,1,DM384),'Lease Cycles'!$AZ$30&lt;=DM$6),'Lease Cycles'!$C$30*'Lease Cycles'!$BA$30/12,IF(AND('Lease Cycles'!$AX$30&gt;=INDEX('Lease Cycles'!$BG$30:$BM$30,1,DM384),'Lease Cycles'!$AX$30&lt;=DM$6),'Lease Cycles'!$C$30*'Lease Cycles'!$AY$30/12,IF(AND('Lease Cycles'!$AV$30&gt;=INDEX('Lease Cycles'!$BG$30:$BM$30,1,DM384),'Lease Cycles'!$AV$30&lt;=DM$6),'Lease Cycles'!$C$30*'Lease Cycles'!$AW$30/12,IF(AND('Lease Cycles'!$AT$30&gt;=INDEX('Lease Cycles'!$BG$30:$BM$30,1,DM384),'Lease Cycles'!$AT$30&lt;=DM$6),'Lease Cycles'!$C$30*'Lease Cycles'!$AU$30/12,'Lease Cycles'!$C$30*INDEX('Lease Cycles'!$CB$30:$CH$30,1,DM384)*(1+INDEX('Lease Cycles'!$CI$30:$CO$30,1,DM384))^INT(INT(DM385/12)/INDEX('Lease Cycles'!$CP$30:$CV$30,1,DM384))/12)))),'Lease Cycles'!$C$30*INDEX('Lease Cycles'!$CB$30:$CH$30,1,DM384)*(1+INDEX('Lease Cycles'!$CI$30:$CO$30,1,DM384))^INT(INT(DM385/12)/INDEX('Lease Cycles'!$CP$30:$CV$30,1,DM384))/12))),IF('Lease Cycles'!$N$30=1,'Lease Cycles'!$C$30*'Lease Cycles'!$E$30*INDEX('Lease Cycles'!$HE$30:$HK$30,1,DM384)*(1+INDEX('Lease Cycles'!$GQ$30:$GW$30,1,DM384))^INT(INT((DM$6-INDEX('Lease Cycles'!$GJ$30:$GP$30,1,DM384))/12)/INDEX('Lease Cycles'!$GX$30:$HD$30,1,DM384))/12,0)))</f>
        <v>0</v>
      </c>
      <c r="DN387" s="28">
        <f>IF(DN384=0,IF('Lease Cycles'!$F$30&gt;0,'Lease Cycles'!$C$30*'Lease Cycles'!$E$30/12,0),IF(DN386=1,IF('Lease Cycles'!$AT$30&gt;=9999,'Lease Cycles'!$C$30*INDEX('Lease Cycles'!$CB$30:$CH$30,1,DN384)*(1+INDEX('Lease Cycles'!$CI$30:$CO$30,1,DN384))^INT(INT(DN385/12)/INDEX('Lease Cycles'!$CP$30:$CV$30,1,DN384))/12,IF(DN384=1,IF(DN385&gt;=INDEX('Lease Cycles'!$DK$30:$DQ$30,1,DN384),IF(DN$6&gt;='Lease Cycles'!$AZ$30,'Lease Cycles'!$C$30*'Lease Cycles'!$BA$30/12,IF(DN$6&gt;='Lease Cycles'!$AX$30,'Lease Cycles'!$C$30*'Lease Cycles'!$AY$30/12,IF(DN$6&gt;='Lease Cycles'!$AV$30,'Lease Cycles'!$C$30*'Lease Cycles'!$AW$30/12,IF(DN$6&gt;='Lease Cycles'!$AT$30,'Lease Cycles'!$C$30*'Lease Cycles'!$AU$30/12,'Lease Cycles'!$C$30*INDEX('Lease Cycles'!$CB$30:$CH$30,1,DN384)*(1+INDEX('Lease Cycles'!$CI$30:$CO$30,1,DN384))^INT(INT(DN385/12)/INDEX('Lease Cycles'!$CP$30:$CV$30,1,DN384))/12)))),'Lease Cycles'!$C$30*INDEX('Lease Cycles'!$CB$30:$CH$30,1,DN384)*(1+INDEX('Lease Cycles'!$CI$30:$CO$30,1,DN384))^INT(INT(DN385/12)/INDEX('Lease Cycles'!$CP$30:$CV$30,1,DN384))/12),IF(INDEX('Lease Cycles'!$EF$30:$EL$30,1,DN384)=1,IF(AND('Lease Cycles'!$AZ$30&gt;=INDEX('Lease Cycles'!$BG$30:$BM$30,1,DN384),'Lease Cycles'!$AZ$30&lt;=DN$6),'Lease Cycles'!$C$30*'Lease Cycles'!$BA$30/12,IF(AND('Lease Cycles'!$AX$30&gt;=INDEX('Lease Cycles'!$BG$30:$BM$30,1,DN384),'Lease Cycles'!$AX$30&lt;=DN$6),'Lease Cycles'!$C$30*'Lease Cycles'!$AY$30/12,IF(AND('Lease Cycles'!$AV$30&gt;=INDEX('Lease Cycles'!$BG$30:$BM$30,1,DN384),'Lease Cycles'!$AV$30&lt;=DN$6),'Lease Cycles'!$C$30*'Lease Cycles'!$AW$30/12,IF(AND('Lease Cycles'!$AT$30&gt;=INDEX('Lease Cycles'!$BG$30:$BM$30,1,DN384),'Lease Cycles'!$AT$30&lt;=DN$6),'Lease Cycles'!$C$30*'Lease Cycles'!$AU$30/12,'Lease Cycles'!$C$30*INDEX('Lease Cycles'!$CB$30:$CH$30,1,DN384)*(1+INDEX('Lease Cycles'!$CI$30:$CO$30,1,DN384))^INT(INT(DN385/12)/INDEX('Lease Cycles'!$CP$30:$CV$30,1,DN384))/12)))),'Lease Cycles'!$C$30*INDEX('Lease Cycles'!$CB$30:$CH$30,1,DN384)*(1+INDEX('Lease Cycles'!$CI$30:$CO$30,1,DN384))^INT(INT(DN385/12)/INDEX('Lease Cycles'!$CP$30:$CV$30,1,DN384))/12))),IF('Lease Cycles'!$N$30=1,'Lease Cycles'!$C$30*'Lease Cycles'!$E$30*INDEX('Lease Cycles'!$HE$30:$HK$30,1,DN384)*(1+INDEX('Lease Cycles'!$GQ$30:$GW$30,1,DN384))^INT(INT((DN$6-INDEX('Lease Cycles'!$GJ$30:$GP$30,1,DN384))/12)/INDEX('Lease Cycles'!$GX$30:$HD$30,1,DN384))/12,0)))</f>
        <v>0</v>
      </c>
      <c r="DO387" s="28">
        <f>IF(DO384=0,IF('Lease Cycles'!$F$30&gt;0,'Lease Cycles'!$C$30*'Lease Cycles'!$E$30/12,0),IF(DO386=1,IF('Lease Cycles'!$AT$30&gt;=9999,'Lease Cycles'!$C$30*INDEX('Lease Cycles'!$CB$30:$CH$30,1,DO384)*(1+INDEX('Lease Cycles'!$CI$30:$CO$30,1,DO384))^INT(INT(DO385/12)/INDEX('Lease Cycles'!$CP$30:$CV$30,1,DO384))/12,IF(DO384=1,IF(DO385&gt;=INDEX('Lease Cycles'!$DK$30:$DQ$30,1,DO384),IF(DO$6&gt;='Lease Cycles'!$AZ$30,'Lease Cycles'!$C$30*'Lease Cycles'!$BA$30/12,IF(DO$6&gt;='Lease Cycles'!$AX$30,'Lease Cycles'!$C$30*'Lease Cycles'!$AY$30/12,IF(DO$6&gt;='Lease Cycles'!$AV$30,'Lease Cycles'!$C$30*'Lease Cycles'!$AW$30/12,IF(DO$6&gt;='Lease Cycles'!$AT$30,'Lease Cycles'!$C$30*'Lease Cycles'!$AU$30/12,'Lease Cycles'!$C$30*INDEX('Lease Cycles'!$CB$30:$CH$30,1,DO384)*(1+INDEX('Lease Cycles'!$CI$30:$CO$30,1,DO384))^INT(INT(DO385/12)/INDEX('Lease Cycles'!$CP$30:$CV$30,1,DO384))/12)))),'Lease Cycles'!$C$30*INDEX('Lease Cycles'!$CB$30:$CH$30,1,DO384)*(1+INDEX('Lease Cycles'!$CI$30:$CO$30,1,DO384))^INT(INT(DO385/12)/INDEX('Lease Cycles'!$CP$30:$CV$30,1,DO384))/12),IF(INDEX('Lease Cycles'!$EF$30:$EL$30,1,DO384)=1,IF(AND('Lease Cycles'!$AZ$30&gt;=INDEX('Lease Cycles'!$BG$30:$BM$30,1,DO384),'Lease Cycles'!$AZ$30&lt;=DO$6),'Lease Cycles'!$C$30*'Lease Cycles'!$BA$30/12,IF(AND('Lease Cycles'!$AX$30&gt;=INDEX('Lease Cycles'!$BG$30:$BM$30,1,DO384),'Lease Cycles'!$AX$30&lt;=DO$6),'Lease Cycles'!$C$30*'Lease Cycles'!$AY$30/12,IF(AND('Lease Cycles'!$AV$30&gt;=INDEX('Lease Cycles'!$BG$30:$BM$30,1,DO384),'Lease Cycles'!$AV$30&lt;=DO$6),'Lease Cycles'!$C$30*'Lease Cycles'!$AW$30/12,IF(AND('Lease Cycles'!$AT$30&gt;=INDEX('Lease Cycles'!$BG$30:$BM$30,1,DO384),'Lease Cycles'!$AT$30&lt;=DO$6),'Lease Cycles'!$C$30*'Lease Cycles'!$AU$30/12,'Lease Cycles'!$C$30*INDEX('Lease Cycles'!$CB$30:$CH$30,1,DO384)*(1+INDEX('Lease Cycles'!$CI$30:$CO$30,1,DO384))^INT(INT(DO385/12)/INDEX('Lease Cycles'!$CP$30:$CV$30,1,DO384))/12)))),'Lease Cycles'!$C$30*INDEX('Lease Cycles'!$CB$30:$CH$30,1,DO384)*(1+INDEX('Lease Cycles'!$CI$30:$CO$30,1,DO384))^INT(INT(DO385/12)/INDEX('Lease Cycles'!$CP$30:$CV$30,1,DO384))/12))),IF('Lease Cycles'!$N$30=1,'Lease Cycles'!$C$30*'Lease Cycles'!$E$30*INDEX('Lease Cycles'!$HE$30:$HK$30,1,DO384)*(1+INDEX('Lease Cycles'!$GQ$30:$GW$30,1,DO384))^INT(INT((DO$6-INDEX('Lease Cycles'!$GJ$30:$GP$30,1,DO384))/12)/INDEX('Lease Cycles'!$GX$30:$HD$30,1,DO384))/12,0)))</f>
        <v>0</v>
      </c>
      <c r="DP387" s="28">
        <f>IF(DP384=0,IF('Lease Cycles'!$F$30&gt;0,'Lease Cycles'!$C$30*'Lease Cycles'!$E$30/12,0),IF(DP386=1,IF('Lease Cycles'!$AT$30&gt;=9999,'Lease Cycles'!$C$30*INDEX('Lease Cycles'!$CB$30:$CH$30,1,DP384)*(1+INDEX('Lease Cycles'!$CI$30:$CO$30,1,DP384))^INT(INT(DP385/12)/INDEX('Lease Cycles'!$CP$30:$CV$30,1,DP384))/12,IF(DP384=1,IF(DP385&gt;=INDEX('Lease Cycles'!$DK$30:$DQ$30,1,DP384),IF(DP$6&gt;='Lease Cycles'!$AZ$30,'Lease Cycles'!$C$30*'Lease Cycles'!$BA$30/12,IF(DP$6&gt;='Lease Cycles'!$AX$30,'Lease Cycles'!$C$30*'Lease Cycles'!$AY$30/12,IF(DP$6&gt;='Lease Cycles'!$AV$30,'Lease Cycles'!$C$30*'Lease Cycles'!$AW$30/12,IF(DP$6&gt;='Lease Cycles'!$AT$30,'Lease Cycles'!$C$30*'Lease Cycles'!$AU$30/12,'Lease Cycles'!$C$30*INDEX('Lease Cycles'!$CB$30:$CH$30,1,DP384)*(1+INDEX('Lease Cycles'!$CI$30:$CO$30,1,DP384))^INT(INT(DP385/12)/INDEX('Lease Cycles'!$CP$30:$CV$30,1,DP384))/12)))),'Lease Cycles'!$C$30*INDEX('Lease Cycles'!$CB$30:$CH$30,1,DP384)*(1+INDEX('Lease Cycles'!$CI$30:$CO$30,1,DP384))^INT(INT(DP385/12)/INDEX('Lease Cycles'!$CP$30:$CV$30,1,DP384))/12),IF(INDEX('Lease Cycles'!$EF$30:$EL$30,1,DP384)=1,IF(AND('Lease Cycles'!$AZ$30&gt;=INDEX('Lease Cycles'!$BG$30:$BM$30,1,DP384),'Lease Cycles'!$AZ$30&lt;=DP$6),'Lease Cycles'!$C$30*'Lease Cycles'!$BA$30/12,IF(AND('Lease Cycles'!$AX$30&gt;=INDEX('Lease Cycles'!$BG$30:$BM$30,1,DP384),'Lease Cycles'!$AX$30&lt;=DP$6),'Lease Cycles'!$C$30*'Lease Cycles'!$AY$30/12,IF(AND('Lease Cycles'!$AV$30&gt;=INDEX('Lease Cycles'!$BG$30:$BM$30,1,DP384),'Lease Cycles'!$AV$30&lt;=DP$6),'Lease Cycles'!$C$30*'Lease Cycles'!$AW$30/12,IF(AND('Lease Cycles'!$AT$30&gt;=INDEX('Lease Cycles'!$BG$30:$BM$30,1,DP384),'Lease Cycles'!$AT$30&lt;=DP$6),'Lease Cycles'!$C$30*'Lease Cycles'!$AU$30/12,'Lease Cycles'!$C$30*INDEX('Lease Cycles'!$CB$30:$CH$30,1,DP384)*(1+INDEX('Lease Cycles'!$CI$30:$CO$30,1,DP384))^INT(INT(DP385/12)/INDEX('Lease Cycles'!$CP$30:$CV$30,1,DP384))/12)))),'Lease Cycles'!$C$30*INDEX('Lease Cycles'!$CB$30:$CH$30,1,DP384)*(1+INDEX('Lease Cycles'!$CI$30:$CO$30,1,DP384))^INT(INT(DP385/12)/INDEX('Lease Cycles'!$CP$30:$CV$30,1,DP384))/12))),IF('Lease Cycles'!$N$30=1,'Lease Cycles'!$C$30*'Lease Cycles'!$E$30*INDEX('Lease Cycles'!$HE$30:$HK$30,1,DP384)*(1+INDEX('Lease Cycles'!$GQ$30:$GW$30,1,DP384))^INT(INT((DP$6-INDEX('Lease Cycles'!$GJ$30:$GP$30,1,DP384))/12)/INDEX('Lease Cycles'!$GX$30:$HD$30,1,DP384))/12,0)))</f>
        <v>0</v>
      </c>
      <c r="DQ387" s="28">
        <f>IF(DQ384=0,IF('Lease Cycles'!$F$30&gt;0,'Lease Cycles'!$C$30*'Lease Cycles'!$E$30/12,0),IF(DQ386=1,IF('Lease Cycles'!$AT$30&gt;=9999,'Lease Cycles'!$C$30*INDEX('Lease Cycles'!$CB$30:$CH$30,1,DQ384)*(1+INDEX('Lease Cycles'!$CI$30:$CO$30,1,DQ384))^INT(INT(DQ385/12)/INDEX('Lease Cycles'!$CP$30:$CV$30,1,DQ384))/12,IF(DQ384=1,IF(DQ385&gt;=INDEX('Lease Cycles'!$DK$30:$DQ$30,1,DQ384),IF(DQ$6&gt;='Lease Cycles'!$AZ$30,'Lease Cycles'!$C$30*'Lease Cycles'!$BA$30/12,IF(DQ$6&gt;='Lease Cycles'!$AX$30,'Lease Cycles'!$C$30*'Lease Cycles'!$AY$30/12,IF(DQ$6&gt;='Lease Cycles'!$AV$30,'Lease Cycles'!$C$30*'Lease Cycles'!$AW$30/12,IF(DQ$6&gt;='Lease Cycles'!$AT$30,'Lease Cycles'!$C$30*'Lease Cycles'!$AU$30/12,'Lease Cycles'!$C$30*INDEX('Lease Cycles'!$CB$30:$CH$30,1,DQ384)*(1+INDEX('Lease Cycles'!$CI$30:$CO$30,1,DQ384))^INT(INT(DQ385/12)/INDEX('Lease Cycles'!$CP$30:$CV$30,1,DQ384))/12)))),'Lease Cycles'!$C$30*INDEX('Lease Cycles'!$CB$30:$CH$30,1,DQ384)*(1+INDEX('Lease Cycles'!$CI$30:$CO$30,1,DQ384))^INT(INT(DQ385/12)/INDEX('Lease Cycles'!$CP$30:$CV$30,1,DQ384))/12),IF(INDEX('Lease Cycles'!$EF$30:$EL$30,1,DQ384)=1,IF(AND('Lease Cycles'!$AZ$30&gt;=INDEX('Lease Cycles'!$BG$30:$BM$30,1,DQ384),'Lease Cycles'!$AZ$30&lt;=DQ$6),'Lease Cycles'!$C$30*'Lease Cycles'!$BA$30/12,IF(AND('Lease Cycles'!$AX$30&gt;=INDEX('Lease Cycles'!$BG$30:$BM$30,1,DQ384),'Lease Cycles'!$AX$30&lt;=DQ$6),'Lease Cycles'!$C$30*'Lease Cycles'!$AY$30/12,IF(AND('Lease Cycles'!$AV$30&gt;=INDEX('Lease Cycles'!$BG$30:$BM$30,1,DQ384),'Lease Cycles'!$AV$30&lt;=DQ$6),'Lease Cycles'!$C$30*'Lease Cycles'!$AW$30/12,IF(AND('Lease Cycles'!$AT$30&gt;=INDEX('Lease Cycles'!$BG$30:$BM$30,1,DQ384),'Lease Cycles'!$AT$30&lt;=DQ$6),'Lease Cycles'!$C$30*'Lease Cycles'!$AU$30/12,'Lease Cycles'!$C$30*INDEX('Lease Cycles'!$CB$30:$CH$30,1,DQ384)*(1+INDEX('Lease Cycles'!$CI$30:$CO$30,1,DQ384))^INT(INT(DQ385/12)/INDEX('Lease Cycles'!$CP$30:$CV$30,1,DQ384))/12)))),'Lease Cycles'!$C$30*INDEX('Lease Cycles'!$CB$30:$CH$30,1,DQ384)*(1+INDEX('Lease Cycles'!$CI$30:$CO$30,1,DQ384))^INT(INT(DQ385/12)/INDEX('Lease Cycles'!$CP$30:$CV$30,1,DQ384))/12))),IF('Lease Cycles'!$N$30=1,'Lease Cycles'!$C$30*'Lease Cycles'!$E$30*INDEX('Lease Cycles'!$HE$30:$HK$30,1,DQ384)*(1+INDEX('Lease Cycles'!$GQ$30:$GW$30,1,DQ384))^INT(INT((DQ$6-INDEX('Lease Cycles'!$GJ$30:$GP$30,1,DQ384))/12)/INDEX('Lease Cycles'!$GX$30:$HD$30,1,DQ384))/12,0)))</f>
        <v>0</v>
      </c>
      <c r="DR387" s="28">
        <f>IF(DR384=0,IF('Lease Cycles'!$F$30&gt;0,'Lease Cycles'!$C$30*'Lease Cycles'!$E$30/12,0),IF(DR386=1,IF('Lease Cycles'!$AT$30&gt;=9999,'Lease Cycles'!$C$30*INDEX('Lease Cycles'!$CB$30:$CH$30,1,DR384)*(1+INDEX('Lease Cycles'!$CI$30:$CO$30,1,DR384))^INT(INT(DR385/12)/INDEX('Lease Cycles'!$CP$30:$CV$30,1,DR384))/12,IF(DR384=1,IF(DR385&gt;=INDEX('Lease Cycles'!$DK$30:$DQ$30,1,DR384),IF(DR$6&gt;='Lease Cycles'!$AZ$30,'Lease Cycles'!$C$30*'Lease Cycles'!$BA$30/12,IF(DR$6&gt;='Lease Cycles'!$AX$30,'Lease Cycles'!$C$30*'Lease Cycles'!$AY$30/12,IF(DR$6&gt;='Lease Cycles'!$AV$30,'Lease Cycles'!$C$30*'Lease Cycles'!$AW$30/12,IF(DR$6&gt;='Lease Cycles'!$AT$30,'Lease Cycles'!$C$30*'Lease Cycles'!$AU$30/12,'Lease Cycles'!$C$30*INDEX('Lease Cycles'!$CB$30:$CH$30,1,DR384)*(1+INDEX('Lease Cycles'!$CI$30:$CO$30,1,DR384))^INT(INT(DR385/12)/INDEX('Lease Cycles'!$CP$30:$CV$30,1,DR384))/12)))),'Lease Cycles'!$C$30*INDEX('Lease Cycles'!$CB$30:$CH$30,1,DR384)*(1+INDEX('Lease Cycles'!$CI$30:$CO$30,1,DR384))^INT(INT(DR385/12)/INDEX('Lease Cycles'!$CP$30:$CV$30,1,DR384))/12),IF(INDEX('Lease Cycles'!$EF$30:$EL$30,1,DR384)=1,IF(AND('Lease Cycles'!$AZ$30&gt;=INDEX('Lease Cycles'!$BG$30:$BM$30,1,DR384),'Lease Cycles'!$AZ$30&lt;=DR$6),'Lease Cycles'!$C$30*'Lease Cycles'!$BA$30/12,IF(AND('Lease Cycles'!$AX$30&gt;=INDEX('Lease Cycles'!$BG$30:$BM$30,1,DR384),'Lease Cycles'!$AX$30&lt;=DR$6),'Lease Cycles'!$C$30*'Lease Cycles'!$AY$30/12,IF(AND('Lease Cycles'!$AV$30&gt;=INDEX('Lease Cycles'!$BG$30:$BM$30,1,DR384),'Lease Cycles'!$AV$30&lt;=DR$6),'Lease Cycles'!$C$30*'Lease Cycles'!$AW$30/12,IF(AND('Lease Cycles'!$AT$30&gt;=INDEX('Lease Cycles'!$BG$30:$BM$30,1,DR384),'Lease Cycles'!$AT$30&lt;=DR$6),'Lease Cycles'!$C$30*'Lease Cycles'!$AU$30/12,'Lease Cycles'!$C$30*INDEX('Lease Cycles'!$CB$30:$CH$30,1,DR384)*(1+INDEX('Lease Cycles'!$CI$30:$CO$30,1,DR384))^INT(INT(DR385/12)/INDEX('Lease Cycles'!$CP$30:$CV$30,1,DR384))/12)))),'Lease Cycles'!$C$30*INDEX('Lease Cycles'!$CB$30:$CH$30,1,DR384)*(1+INDEX('Lease Cycles'!$CI$30:$CO$30,1,DR384))^INT(INT(DR385/12)/INDEX('Lease Cycles'!$CP$30:$CV$30,1,DR384))/12))),IF('Lease Cycles'!$N$30=1,'Lease Cycles'!$C$30*'Lease Cycles'!$E$30*INDEX('Lease Cycles'!$HE$30:$HK$30,1,DR384)*(1+INDEX('Lease Cycles'!$GQ$30:$GW$30,1,DR384))^INT(INT((DR$6-INDEX('Lease Cycles'!$GJ$30:$GP$30,1,DR384))/12)/INDEX('Lease Cycles'!$GX$30:$HD$30,1,DR384))/12,0)))</f>
        <v>0</v>
      </c>
      <c r="DS387" s="28">
        <f>IF(DS384=0,IF('Lease Cycles'!$F$30&gt;0,'Lease Cycles'!$C$30*'Lease Cycles'!$E$30/12,0),IF(DS386=1,IF('Lease Cycles'!$AT$30&gt;=9999,'Lease Cycles'!$C$30*INDEX('Lease Cycles'!$CB$30:$CH$30,1,DS384)*(1+INDEX('Lease Cycles'!$CI$30:$CO$30,1,DS384))^INT(INT(DS385/12)/INDEX('Lease Cycles'!$CP$30:$CV$30,1,DS384))/12,IF(DS384=1,IF(DS385&gt;=INDEX('Lease Cycles'!$DK$30:$DQ$30,1,DS384),IF(DS$6&gt;='Lease Cycles'!$AZ$30,'Lease Cycles'!$C$30*'Lease Cycles'!$BA$30/12,IF(DS$6&gt;='Lease Cycles'!$AX$30,'Lease Cycles'!$C$30*'Lease Cycles'!$AY$30/12,IF(DS$6&gt;='Lease Cycles'!$AV$30,'Lease Cycles'!$C$30*'Lease Cycles'!$AW$30/12,IF(DS$6&gt;='Lease Cycles'!$AT$30,'Lease Cycles'!$C$30*'Lease Cycles'!$AU$30/12,'Lease Cycles'!$C$30*INDEX('Lease Cycles'!$CB$30:$CH$30,1,DS384)*(1+INDEX('Lease Cycles'!$CI$30:$CO$30,1,DS384))^INT(INT(DS385/12)/INDEX('Lease Cycles'!$CP$30:$CV$30,1,DS384))/12)))),'Lease Cycles'!$C$30*INDEX('Lease Cycles'!$CB$30:$CH$30,1,DS384)*(1+INDEX('Lease Cycles'!$CI$30:$CO$30,1,DS384))^INT(INT(DS385/12)/INDEX('Lease Cycles'!$CP$30:$CV$30,1,DS384))/12),IF(INDEX('Lease Cycles'!$EF$30:$EL$30,1,DS384)=1,IF(AND('Lease Cycles'!$AZ$30&gt;=INDEX('Lease Cycles'!$BG$30:$BM$30,1,DS384),'Lease Cycles'!$AZ$30&lt;=DS$6),'Lease Cycles'!$C$30*'Lease Cycles'!$BA$30/12,IF(AND('Lease Cycles'!$AX$30&gt;=INDEX('Lease Cycles'!$BG$30:$BM$30,1,DS384),'Lease Cycles'!$AX$30&lt;=DS$6),'Lease Cycles'!$C$30*'Lease Cycles'!$AY$30/12,IF(AND('Lease Cycles'!$AV$30&gt;=INDEX('Lease Cycles'!$BG$30:$BM$30,1,DS384),'Lease Cycles'!$AV$30&lt;=DS$6),'Lease Cycles'!$C$30*'Lease Cycles'!$AW$30/12,IF(AND('Lease Cycles'!$AT$30&gt;=INDEX('Lease Cycles'!$BG$30:$BM$30,1,DS384),'Lease Cycles'!$AT$30&lt;=DS$6),'Lease Cycles'!$C$30*'Lease Cycles'!$AU$30/12,'Lease Cycles'!$C$30*INDEX('Lease Cycles'!$CB$30:$CH$30,1,DS384)*(1+INDEX('Lease Cycles'!$CI$30:$CO$30,1,DS384))^INT(INT(DS385/12)/INDEX('Lease Cycles'!$CP$30:$CV$30,1,DS384))/12)))),'Lease Cycles'!$C$30*INDEX('Lease Cycles'!$CB$30:$CH$30,1,DS384)*(1+INDEX('Lease Cycles'!$CI$30:$CO$30,1,DS384))^INT(INT(DS385/12)/INDEX('Lease Cycles'!$CP$30:$CV$30,1,DS384))/12))),IF('Lease Cycles'!$N$30=1,'Lease Cycles'!$C$30*'Lease Cycles'!$E$30*INDEX('Lease Cycles'!$HE$30:$HK$30,1,DS384)*(1+INDEX('Lease Cycles'!$GQ$30:$GW$30,1,DS384))^INT(INT((DS$6-INDEX('Lease Cycles'!$GJ$30:$GP$30,1,DS384))/12)/INDEX('Lease Cycles'!$GX$30:$HD$30,1,DS384))/12,0)))</f>
        <v>0</v>
      </c>
      <c r="DT387" s="28">
        <f>IF(DT384=0,IF('Lease Cycles'!$F$30&gt;0,'Lease Cycles'!$C$30*'Lease Cycles'!$E$30/12,0),IF(DT386=1,IF('Lease Cycles'!$AT$30&gt;=9999,'Lease Cycles'!$C$30*INDEX('Lease Cycles'!$CB$30:$CH$30,1,DT384)*(1+INDEX('Lease Cycles'!$CI$30:$CO$30,1,DT384))^INT(INT(DT385/12)/INDEX('Lease Cycles'!$CP$30:$CV$30,1,DT384))/12,IF(DT384=1,IF(DT385&gt;=INDEX('Lease Cycles'!$DK$30:$DQ$30,1,DT384),IF(DT$6&gt;='Lease Cycles'!$AZ$30,'Lease Cycles'!$C$30*'Lease Cycles'!$BA$30/12,IF(DT$6&gt;='Lease Cycles'!$AX$30,'Lease Cycles'!$C$30*'Lease Cycles'!$AY$30/12,IF(DT$6&gt;='Lease Cycles'!$AV$30,'Lease Cycles'!$C$30*'Lease Cycles'!$AW$30/12,IF(DT$6&gt;='Lease Cycles'!$AT$30,'Lease Cycles'!$C$30*'Lease Cycles'!$AU$30/12,'Lease Cycles'!$C$30*INDEX('Lease Cycles'!$CB$30:$CH$30,1,DT384)*(1+INDEX('Lease Cycles'!$CI$30:$CO$30,1,DT384))^INT(INT(DT385/12)/INDEX('Lease Cycles'!$CP$30:$CV$30,1,DT384))/12)))),'Lease Cycles'!$C$30*INDEX('Lease Cycles'!$CB$30:$CH$30,1,DT384)*(1+INDEX('Lease Cycles'!$CI$30:$CO$30,1,DT384))^INT(INT(DT385/12)/INDEX('Lease Cycles'!$CP$30:$CV$30,1,DT384))/12),IF(INDEX('Lease Cycles'!$EF$30:$EL$30,1,DT384)=1,IF(AND('Lease Cycles'!$AZ$30&gt;=INDEX('Lease Cycles'!$BG$30:$BM$30,1,DT384),'Lease Cycles'!$AZ$30&lt;=DT$6),'Lease Cycles'!$C$30*'Lease Cycles'!$BA$30/12,IF(AND('Lease Cycles'!$AX$30&gt;=INDEX('Lease Cycles'!$BG$30:$BM$30,1,DT384),'Lease Cycles'!$AX$30&lt;=DT$6),'Lease Cycles'!$C$30*'Lease Cycles'!$AY$30/12,IF(AND('Lease Cycles'!$AV$30&gt;=INDEX('Lease Cycles'!$BG$30:$BM$30,1,DT384),'Lease Cycles'!$AV$30&lt;=DT$6),'Lease Cycles'!$C$30*'Lease Cycles'!$AW$30/12,IF(AND('Lease Cycles'!$AT$30&gt;=INDEX('Lease Cycles'!$BG$30:$BM$30,1,DT384),'Lease Cycles'!$AT$30&lt;=DT$6),'Lease Cycles'!$C$30*'Lease Cycles'!$AU$30/12,'Lease Cycles'!$C$30*INDEX('Lease Cycles'!$CB$30:$CH$30,1,DT384)*(1+INDEX('Lease Cycles'!$CI$30:$CO$30,1,DT384))^INT(INT(DT385/12)/INDEX('Lease Cycles'!$CP$30:$CV$30,1,DT384))/12)))),'Lease Cycles'!$C$30*INDEX('Lease Cycles'!$CB$30:$CH$30,1,DT384)*(1+INDEX('Lease Cycles'!$CI$30:$CO$30,1,DT384))^INT(INT(DT385/12)/INDEX('Lease Cycles'!$CP$30:$CV$30,1,DT384))/12))),IF('Lease Cycles'!$N$30=1,'Lease Cycles'!$C$30*'Lease Cycles'!$E$30*INDEX('Lease Cycles'!$HE$30:$HK$30,1,DT384)*(1+INDEX('Lease Cycles'!$GQ$30:$GW$30,1,DT384))^INT(INT((DT$6-INDEX('Lease Cycles'!$GJ$30:$GP$30,1,DT384))/12)/INDEX('Lease Cycles'!$GX$30:$HD$30,1,DT384))/12,0)))</f>
        <v>0</v>
      </c>
      <c r="DU387" s="28">
        <f>IF(DU384=0,IF('Lease Cycles'!$F$30&gt;0,'Lease Cycles'!$C$30*'Lease Cycles'!$E$30/12,0),IF(DU386=1,IF('Lease Cycles'!$AT$30&gt;=9999,'Lease Cycles'!$C$30*INDEX('Lease Cycles'!$CB$30:$CH$30,1,DU384)*(1+INDEX('Lease Cycles'!$CI$30:$CO$30,1,DU384))^INT(INT(DU385/12)/INDEX('Lease Cycles'!$CP$30:$CV$30,1,DU384))/12,IF(DU384=1,IF(DU385&gt;=INDEX('Lease Cycles'!$DK$30:$DQ$30,1,DU384),IF(DU$6&gt;='Lease Cycles'!$AZ$30,'Lease Cycles'!$C$30*'Lease Cycles'!$BA$30/12,IF(DU$6&gt;='Lease Cycles'!$AX$30,'Lease Cycles'!$C$30*'Lease Cycles'!$AY$30/12,IF(DU$6&gt;='Lease Cycles'!$AV$30,'Lease Cycles'!$C$30*'Lease Cycles'!$AW$30/12,IF(DU$6&gt;='Lease Cycles'!$AT$30,'Lease Cycles'!$C$30*'Lease Cycles'!$AU$30/12,'Lease Cycles'!$C$30*INDEX('Lease Cycles'!$CB$30:$CH$30,1,DU384)*(1+INDEX('Lease Cycles'!$CI$30:$CO$30,1,DU384))^INT(INT(DU385/12)/INDEX('Lease Cycles'!$CP$30:$CV$30,1,DU384))/12)))),'Lease Cycles'!$C$30*INDEX('Lease Cycles'!$CB$30:$CH$30,1,DU384)*(1+INDEX('Lease Cycles'!$CI$30:$CO$30,1,DU384))^INT(INT(DU385/12)/INDEX('Lease Cycles'!$CP$30:$CV$30,1,DU384))/12),IF(INDEX('Lease Cycles'!$EF$30:$EL$30,1,DU384)=1,IF(AND('Lease Cycles'!$AZ$30&gt;=INDEX('Lease Cycles'!$BG$30:$BM$30,1,DU384),'Lease Cycles'!$AZ$30&lt;=DU$6),'Lease Cycles'!$C$30*'Lease Cycles'!$BA$30/12,IF(AND('Lease Cycles'!$AX$30&gt;=INDEX('Lease Cycles'!$BG$30:$BM$30,1,DU384),'Lease Cycles'!$AX$30&lt;=DU$6),'Lease Cycles'!$C$30*'Lease Cycles'!$AY$30/12,IF(AND('Lease Cycles'!$AV$30&gt;=INDEX('Lease Cycles'!$BG$30:$BM$30,1,DU384),'Lease Cycles'!$AV$30&lt;=DU$6),'Lease Cycles'!$C$30*'Lease Cycles'!$AW$30/12,IF(AND('Lease Cycles'!$AT$30&gt;=INDEX('Lease Cycles'!$BG$30:$BM$30,1,DU384),'Lease Cycles'!$AT$30&lt;=DU$6),'Lease Cycles'!$C$30*'Lease Cycles'!$AU$30/12,'Lease Cycles'!$C$30*INDEX('Lease Cycles'!$CB$30:$CH$30,1,DU384)*(1+INDEX('Lease Cycles'!$CI$30:$CO$30,1,DU384))^INT(INT(DU385/12)/INDEX('Lease Cycles'!$CP$30:$CV$30,1,DU384))/12)))),'Lease Cycles'!$C$30*INDEX('Lease Cycles'!$CB$30:$CH$30,1,DU384)*(1+INDEX('Lease Cycles'!$CI$30:$CO$30,1,DU384))^INT(INT(DU385/12)/INDEX('Lease Cycles'!$CP$30:$CV$30,1,DU384))/12))),IF('Lease Cycles'!$N$30=1,'Lease Cycles'!$C$30*'Lease Cycles'!$E$30*INDEX('Lease Cycles'!$HE$30:$HK$30,1,DU384)*(1+INDEX('Lease Cycles'!$GQ$30:$GW$30,1,DU384))^INT(INT((DU$6-INDEX('Lease Cycles'!$GJ$30:$GP$30,1,DU384))/12)/INDEX('Lease Cycles'!$GX$30:$HD$30,1,DU384))/12,0)))</f>
        <v>0</v>
      </c>
      <c r="DV387" s="28">
        <f>IF(DV384=0,IF('Lease Cycles'!$F$30&gt;0,'Lease Cycles'!$C$30*'Lease Cycles'!$E$30/12,0),IF(DV386=1,IF('Lease Cycles'!$AT$30&gt;=9999,'Lease Cycles'!$C$30*INDEX('Lease Cycles'!$CB$30:$CH$30,1,DV384)*(1+INDEX('Lease Cycles'!$CI$30:$CO$30,1,DV384))^INT(INT(DV385/12)/INDEX('Lease Cycles'!$CP$30:$CV$30,1,DV384))/12,IF(DV384=1,IF(DV385&gt;=INDEX('Lease Cycles'!$DK$30:$DQ$30,1,DV384),IF(DV$6&gt;='Lease Cycles'!$AZ$30,'Lease Cycles'!$C$30*'Lease Cycles'!$BA$30/12,IF(DV$6&gt;='Lease Cycles'!$AX$30,'Lease Cycles'!$C$30*'Lease Cycles'!$AY$30/12,IF(DV$6&gt;='Lease Cycles'!$AV$30,'Lease Cycles'!$C$30*'Lease Cycles'!$AW$30/12,IF(DV$6&gt;='Lease Cycles'!$AT$30,'Lease Cycles'!$C$30*'Lease Cycles'!$AU$30/12,'Lease Cycles'!$C$30*INDEX('Lease Cycles'!$CB$30:$CH$30,1,DV384)*(1+INDEX('Lease Cycles'!$CI$30:$CO$30,1,DV384))^INT(INT(DV385/12)/INDEX('Lease Cycles'!$CP$30:$CV$30,1,DV384))/12)))),'Lease Cycles'!$C$30*INDEX('Lease Cycles'!$CB$30:$CH$30,1,DV384)*(1+INDEX('Lease Cycles'!$CI$30:$CO$30,1,DV384))^INT(INT(DV385/12)/INDEX('Lease Cycles'!$CP$30:$CV$30,1,DV384))/12),IF(INDEX('Lease Cycles'!$EF$30:$EL$30,1,DV384)=1,IF(AND('Lease Cycles'!$AZ$30&gt;=INDEX('Lease Cycles'!$BG$30:$BM$30,1,DV384),'Lease Cycles'!$AZ$30&lt;=DV$6),'Lease Cycles'!$C$30*'Lease Cycles'!$BA$30/12,IF(AND('Lease Cycles'!$AX$30&gt;=INDEX('Lease Cycles'!$BG$30:$BM$30,1,DV384),'Lease Cycles'!$AX$30&lt;=DV$6),'Lease Cycles'!$C$30*'Lease Cycles'!$AY$30/12,IF(AND('Lease Cycles'!$AV$30&gt;=INDEX('Lease Cycles'!$BG$30:$BM$30,1,DV384),'Lease Cycles'!$AV$30&lt;=DV$6),'Lease Cycles'!$C$30*'Lease Cycles'!$AW$30/12,IF(AND('Lease Cycles'!$AT$30&gt;=INDEX('Lease Cycles'!$BG$30:$BM$30,1,DV384),'Lease Cycles'!$AT$30&lt;=DV$6),'Lease Cycles'!$C$30*'Lease Cycles'!$AU$30/12,'Lease Cycles'!$C$30*INDEX('Lease Cycles'!$CB$30:$CH$30,1,DV384)*(1+INDEX('Lease Cycles'!$CI$30:$CO$30,1,DV384))^INT(INT(DV385/12)/INDEX('Lease Cycles'!$CP$30:$CV$30,1,DV384))/12)))),'Lease Cycles'!$C$30*INDEX('Lease Cycles'!$CB$30:$CH$30,1,DV384)*(1+INDEX('Lease Cycles'!$CI$30:$CO$30,1,DV384))^INT(INT(DV385/12)/INDEX('Lease Cycles'!$CP$30:$CV$30,1,DV384))/12))),IF('Lease Cycles'!$N$30=1,'Lease Cycles'!$C$30*'Lease Cycles'!$E$30*INDEX('Lease Cycles'!$HE$30:$HK$30,1,DV384)*(1+INDEX('Lease Cycles'!$GQ$30:$GW$30,1,DV384))^INT(INT((DV$6-INDEX('Lease Cycles'!$GJ$30:$GP$30,1,DV384))/12)/INDEX('Lease Cycles'!$GX$30:$HD$30,1,DV384))/12,0)))</f>
        <v>0</v>
      </c>
      <c r="DW387" s="28">
        <f>IF(DW384=0,IF('Lease Cycles'!$F$30&gt;0,'Lease Cycles'!$C$30*'Lease Cycles'!$E$30/12,0),IF(DW386=1,IF('Lease Cycles'!$AT$30&gt;=9999,'Lease Cycles'!$C$30*INDEX('Lease Cycles'!$CB$30:$CH$30,1,DW384)*(1+INDEX('Lease Cycles'!$CI$30:$CO$30,1,DW384))^INT(INT(DW385/12)/INDEX('Lease Cycles'!$CP$30:$CV$30,1,DW384))/12,IF(DW384=1,IF(DW385&gt;=INDEX('Lease Cycles'!$DK$30:$DQ$30,1,DW384),IF(DW$6&gt;='Lease Cycles'!$AZ$30,'Lease Cycles'!$C$30*'Lease Cycles'!$BA$30/12,IF(DW$6&gt;='Lease Cycles'!$AX$30,'Lease Cycles'!$C$30*'Lease Cycles'!$AY$30/12,IF(DW$6&gt;='Lease Cycles'!$AV$30,'Lease Cycles'!$C$30*'Lease Cycles'!$AW$30/12,IF(DW$6&gt;='Lease Cycles'!$AT$30,'Lease Cycles'!$C$30*'Lease Cycles'!$AU$30/12,'Lease Cycles'!$C$30*INDEX('Lease Cycles'!$CB$30:$CH$30,1,DW384)*(1+INDEX('Lease Cycles'!$CI$30:$CO$30,1,DW384))^INT(INT(DW385/12)/INDEX('Lease Cycles'!$CP$30:$CV$30,1,DW384))/12)))),'Lease Cycles'!$C$30*INDEX('Lease Cycles'!$CB$30:$CH$30,1,DW384)*(1+INDEX('Lease Cycles'!$CI$30:$CO$30,1,DW384))^INT(INT(DW385/12)/INDEX('Lease Cycles'!$CP$30:$CV$30,1,DW384))/12),IF(INDEX('Lease Cycles'!$EF$30:$EL$30,1,DW384)=1,IF(AND('Lease Cycles'!$AZ$30&gt;=INDEX('Lease Cycles'!$BG$30:$BM$30,1,DW384),'Lease Cycles'!$AZ$30&lt;=DW$6),'Lease Cycles'!$C$30*'Lease Cycles'!$BA$30/12,IF(AND('Lease Cycles'!$AX$30&gt;=INDEX('Lease Cycles'!$BG$30:$BM$30,1,DW384),'Lease Cycles'!$AX$30&lt;=DW$6),'Lease Cycles'!$C$30*'Lease Cycles'!$AY$30/12,IF(AND('Lease Cycles'!$AV$30&gt;=INDEX('Lease Cycles'!$BG$30:$BM$30,1,DW384),'Lease Cycles'!$AV$30&lt;=DW$6),'Lease Cycles'!$C$30*'Lease Cycles'!$AW$30/12,IF(AND('Lease Cycles'!$AT$30&gt;=INDEX('Lease Cycles'!$BG$30:$BM$30,1,DW384),'Lease Cycles'!$AT$30&lt;=DW$6),'Lease Cycles'!$C$30*'Lease Cycles'!$AU$30/12,'Lease Cycles'!$C$30*INDEX('Lease Cycles'!$CB$30:$CH$30,1,DW384)*(1+INDEX('Lease Cycles'!$CI$30:$CO$30,1,DW384))^INT(INT(DW385/12)/INDEX('Lease Cycles'!$CP$30:$CV$30,1,DW384))/12)))),'Lease Cycles'!$C$30*INDEX('Lease Cycles'!$CB$30:$CH$30,1,DW384)*(1+INDEX('Lease Cycles'!$CI$30:$CO$30,1,DW384))^INT(INT(DW385/12)/INDEX('Lease Cycles'!$CP$30:$CV$30,1,DW384))/12))),IF('Lease Cycles'!$N$30=1,'Lease Cycles'!$C$30*'Lease Cycles'!$E$30*INDEX('Lease Cycles'!$HE$30:$HK$30,1,DW384)*(1+INDEX('Lease Cycles'!$GQ$30:$GW$30,1,DW384))^INT(INT((DW$6-INDEX('Lease Cycles'!$GJ$30:$GP$30,1,DW384))/12)/INDEX('Lease Cycles'!$GX$30:$HD$30,1,DW384))/12,0)))</f>
        <v>0</v>
      </c>
      <c r="DX387" s="28">
        <f>IF(DX384=0,IF('Lease Cycles'!$F$30&gt;0,'Lease Cycles'!$C$30*'Lease Cycles'!$E$30/12,0),IF(DX386=1,IF('Lease Cycles'!$AT$30&gt;=9999,'Lease Cycles'!$C$30*INDEX('Lease Cycles'!$CB$30:$CH$30,1,DX384)*(1+INDEX('Lease Cycles'!$CI$30:$CO$30,1,DX384))^INT(INT(DX385/12)/INDEX('Lease Cycles'!$CP$30:$CV$30,1,DX384))/12,IF(DX384=1,IF(DX385&gt;=INDEX('Lease Cycles'!$DK$30:$DQ$30,1,DX384),IF(DX$6&gt;='Lease Cycles'!$AZ$30,'Lease Cycles'!$C$30*'Lease Cycles'!$BA$30/12,IF(DX$6&gt;='Lease Cycles'!$AX$30,'Lease Cycles'!$C$30*'Lease Cycles'!$AY$30/12,IF(DX$6&gt;='Lease Cycles'!$AV$30,'Lease Cycles'!$C$30*'Lease Cycles'!$AW$30/12,IF(DX$6&gt;='Lease Cycles'!$AT$30,'Lease Cycles'!$C$30*'Lease Cycles'!$AU$30/12,'Lease Cycles'!$C$30*INDEX('Lease Cycles'!$CB$30:$CH$30,1,DX384)*(1+INDEX('Lease Cycles'!$CI$30:$CO$30,1,DX384))^INT(INT(DX385/12)/INDEX('Lease Cycles'!$CP$30:$CV$30,1,DX384))/12)))),'Lease Cycles'!$C$30*INDEX('Lease Cycles'!$CB$30:$CH$30,1,DX384)*(1+INDEX('Lease Cycles'!$CI$30:$CO$30,1,DX384))^INT(INT(DX385/12)/INDEX('Lease Cycles'!$CP$30:$CV$30,1,DX384))/12),IF(INDEX('Lease Cycles'!$EF$30:$EL$30,1,DX384)=1,IF(AND('Lease Cycles'!$AZ$30&gt;=INDEX('Lease Cycles'!$BG$30:$BM$30,1,DX384),'Lease Cycles'!$AZ$30&lt;=DX$6),'Lease Cycles'!$C$30*'Lease Cycles'!$BA$30/12,IF(AND('Lease Cycles'!$AX$30&gt;=INDEX('Lease Cycles'!$BG$30:$BM$30,1,DX384),'Lease Cycles'!$AX$30&lt;=DX$6),'Lease Cycles'!$C$30*'Lease Cycles'!$AY$30/12,IF(AND('Lease Cycles'!$AV$30&gt;=INDEX('Lease Cycles'!$BG$30:$BM$30,1,DX384),'Lease Cycles'!$AV$30&lt;=DX$6),'Lease Cycles'!$C$30*'Lease Cycles'!$AW$30/12,IF(AND('Lease Cycles'!$AT$30&gt;=INDEX('Lease Cycles'!$BG$30:$BM$30,1,DX384),'Lease Cycles'!$AT$30&lt;=DX$6),'Lease Cycles'!$C$30*'Lease Cycles'!$AU$30/12,'Lease Cycles'!$C$30*INDEX('Lease Cycles'!$CB$30:$CH$30,1,DX384)*(1+INDEX('Lease Cycles'!$CI$30:$CO$30,1,DX384))^INT(INT(DX385/12)/INDEX('Lease Cycles'!$CP$30:$CV$30,1,DX384))/12)))),'Lease Cycles'!$C$30*INDEX('Lease Cycles'!$CB$30:$CH$30,1,DX384)*(1+INDEX('Lease Cycles'!$CI$30:$CO$30,1,DX384))^INT(INT(DX385/12)/INDEX('Lease Cycles'!$CP$30:$CV$30,1,DX384))/12))),IF('Lease Cycles'!$N$30=1,'Lease Cycles'!$C$30*'Lease Cycles'!$E$30*INDEX('Lease Cycles'!$HE$30:$HK$30,1,DX384)*(1+INDEX('Lease Cycles'!$GQ$30:$GW$30,1,DX384))^INT(INT((DX$6-INDEX('Lease Cycles'!$GJ$30:$GP$30,1,DX384))/12)/INDEX('Lease Cycles'!$GX$30:$HD$30,1,DX384))/12,0)))</f>
        <v>0</v>
      </c>
      <c r="DY387" s="28">
        <f>IF(DY384=0,IF('Lease Cycles'!$F$30&gt;0,'Lease Cycles'!$C$30*'Lease Cycles'!$E$30/12,0),IF(DY386=1,IF('Lease Cycles'!$AT$30&gt;=9999,'Lease Cycles'!$C$30*INDEX('Lease Cycles'!$CB$30:$CH$30,1,DY384)*(1+INDEX('Lease Cycles'!$CI$30:$CO$30,1,DY384))^INT(INT(DY385/12)/INDEX('Lease Cycles'!$CP$30:$CV$30,1,DY384))/12,IF(DY384=1,IF(DY385&gt;=INDEX('Lease Cycles'!$DK$30:$DQ$30,1,DY384),IF(DY$6&gt;='Lease Cycles'!$AZ$30,'Lease Cycles'!$C$30*'Lease Cycles'!$BA$30/12,IF(DY$6&gt;='Lease Cycles'!$AX$30,'Lease Cycles'!$C$30*'Lease Cycles'!$AY$30/12,IF(DY$6&gt;='Lease Cycles'!$AV$30,'Lease Cycles'!$C$30*'Lease Cycles'!$AW$30/12,IF(DY$6&gt;='Lease Cycles'!$AT$30,'Lease Cycles'!$C$30*'Lease Cycles'!$AU$30/12,'Lease Cycles'!$C$30*INDEX('Lease Cycles'!$CB$30:$CH$30,1,DY384)*(1+INDEX('Lease Cycles'!$CI$30:$CO$30,1,DY384))^INT(INT(DY385/12)/INDEX('Lease Cycles'!$CP$30:$CV$30,1,DY384))/12)))),'Lease Cycles'!$C$30*INDEX('Lease Cycles'!$CB$30:$CH$30,1,DY384)*(1+INDEX('Lease Cycles'!$CI$30:$CO$30,1,DY384))^INT(INT(DY385/12)/INDEX('Lease Cycles'!$CP$30:$CV$30,1,DY384))/12),IF(INDEX('Lease Cycles'!$EF$30:$EL$30,1,DY384)=1,IF(AND('Lease Cycles'!$AZ$30&gt;=INDEX('Lease Cycles'!$BG$30:$BM$30,1,DY384),'Lease Cycles'!$AZ$30&lt;=DY$6),'Lease Cycles'!$C$30*'Lease Cycles'!$BA$30/12,IF(AND('Lease Cycles'!$AX$30&gt;=INDEX('Lease Cycles'!$BG$30:$BM$30,1,DY384),'Lease Cycles'!$AX$30&lt;=DY$6),'Lease Cycles'!$C$30*'Lease Cycles'!$AY$30/12,IF(AND('Lease Cycles'!$AV$30&gt;=INDEX('Lease Cycles'!$BG$30:$BM$30,1,DY384),'Lease Cycles'!$AV$30&lt;=DY$6),'Lease Cycles'!$C$30*'Lease Cycles'!$AW$30/12,IF(AND('Lease Cycles'!$AT$30&gt;=INDEX('Lease Cycles'!$BG$30:$BM$30,1,DY384),'Lease Cycles'!$AT$30&lt;=DY$6),'Lease Cycles'!$C$30*'Lease Cycles'!$AU$30/12,'Lease Cycles'!$C$30*INDEX('Lease Cycles'!$CB$30:$CH$30,1,DY384)*(1+INDEX('Lease Cycles'!$CI$30:$CO$30,1,DY384))^INT(INT(DY385/12)/INDEX('Lease Cycles'!$CP$30:$CV$30,1,DY384))/12)))),'Lease Cycles'!$C$30*INDEX('Lease Cycles'!$CB$30:$CH$30,1,DY384)*(1+INDEX('Lease Cycles'!$CI$30:$CO$30,1,DY384))^INT(INT(DY385/12)/INDEX('Lease Cycles'!$CP$30:$CV$30,1,DY384))/12))),IF('Lease Cycles'!$N$30=1,'Lease Cycles'!$C$30*'Lease Cycles'!$E$30*INDEX('Lease Cycles'!$HE$30:$HK$30,1,DY384)*(1+INDEX('Lease Cycles'!$GQ$30:$GW$30,1,DY384))^INT(INT((DY$6-INDEX('Lease Cycles'!$GJ$30:$GP$30,1,DY384))/12)/INDEX('Lease Cycles'!$GX$30:$HD$30,1,DY384))/12,0)))</f>
        <v>0</v>
      </c>
      <c r="DZ387" s="28">
        <f>IF(DZ384=0,IF('Lease Cycles'!$F$30&gt;0,'Lease Cycles'!$C$30*'Lease Cycles'!$E$30/12,0),IF(DZ386=1,IF('Lease Cycles'!$AT$30&gt;=9999,'Lease Cycles'!$C$30*INDEX('Lease Cycles'!$CB$30:$CH$30,1,DZ384)*(1+INDEX('Lease Cycles'!$CI$30:$CO$30,1,DZ384))^INT(INT(DZ385/12)/INDEX('Lease Cycles'!$CP$30:$CV$30,1,DZ384))/12,IF(DZ384=1,IF(DZ385&gt;=INDEX('Lease Cycles'!$DK$30:$DQ$30,1,DZ384),IF(DZ$6&gt;='Lease Cycles'!$AZ$30,'Lease Cycles'!$C$30*'Lease Cycles'!$BA$30/12,IF(DZ$6&gt;='Lease Cycles'!$AX$30,'Lease Cycles'!$C$30*'Lease Cycles'!$AY$30/12,IF(DZ$6&gt;='Lease Cycles'!$AV$30,'Lease Cycles'!$C$30*'Lease Cycles'!$AW$30/12,IF(DZ$6&gt;='Lease Cycles'!$AT$30,'Lease Cycles'!$C$30*'Lease Cycles'!$AU$30/12,'Lease Cycles'!$C$30*INDEX('Lease Cycles'!$CB$30:$CH$30,1,DZ384)*(1+INDEX('Lease Cycles'!$CI$30:$CO$30,1,DZ384))^INT(INT(DZ385/12)/INDEX('Lease Cycles'!$CP$30:$CV$30,1,DZ384))/12)))),'Lease Cycles'!$C$30*INDEX('Lease Cycles'!$CB$30:$CH$30,1,DZ384)*(1+INDEX('Lease Cycles'!$CI$30:$CO$30,1,DZ384))^INT(INT(DZ385/12)/INDEX('Lease Cycles'!$CP$30:$CV$30,1,DZ384))/12),IF(INDEX('Lease Cycles'!$EF$30:$EL$30,1,DZ384)=1,IF(AND('Lease Cycles'!$AZ$30&gt;=INDEX('Lease Cycles'!$BG$30:$BM$30,1,DZ384),'Lease Cycles'!$AZ$30&lt;=DZ$6),'Lease Cycles'!$C$30*'Lease Cycles'!$BA$30/12,IF(AND('Lease Cycles'!$AX$30&gt;=INDEX('Lease Cycles'!$BG$30:$BM$30,1,DZ384),'Lease Cycles'!$AX$30&lt;=DZ$6),'Lease Cycles'!$C$30*'Lease Cycles'!$AY$30/12,IF(AND('Lease Cycles'!$AV$30&gt;=INDEX('Lease Cycles'!$BG$30:$BM$30,1,DZ384),'Lease Cycles'!$AV$30&lt;=DZ$6),'Lease Cycles'!$C$30*'Lease Cycles'!$AW$30/12,IF(AND('Lease Cycles'!$AT$30&gt;=INDEX('Lease Cycles'!$BG$30:$BM$30,1,DZ384),'Lease Cycles'!$AT$30&lt;=DZ$6),'Lease Cycles'!$C$30*'Lease Cycles'!$AU$30/12,'Lease Cycles'!$C$30*INDEX('Lease Cycles'!$CB$30:$CH$30,1,DZ384)*(1+INDEX('Lease Cycles'!$CI$30:$CO$30,1,DZ384))^INT(INT(DZ385/12)/INDEX('Lease Cycles'!$CP$30:$CV$30,1,DZ384))/12)))),'Lease Cycles'!$C$30*INDEX('Lease Cycles'!$CB$30:$CH$30,1,DZ384)*(1+INDEX('Lease Cycles'!$CI$30:$CO$30,1,DZ384))^INT(INT(DZ385/12)/INDEX('Lease Cycles'!$CP$30:$CV$30,1,DZ384))/12))),IF('Lease Cycles'!$N$30=1,'Lease Cycles'!$C$30*'Lease Cycles'!$E$30*INDEX('Lease Cycles'!$HE$30:$HK$30,1,DZ384)*(1+INDEX('Lease Cycles'!$GQ$30:$GW$30,1,DZ384))^INT(INT((DZ$6-INDEX('Lease Cycles'!$GJ$30:$GP$30,1,DZ384))/12)/INDEX('Lease Cycles'!$GX$30:$HD$30,1,DZ384))/12,0)))</f>
        <v>0</v>
      </c>
      <c r="EA387" s="28">
        <f>IF(EA384=0,IF('Lease Cycles'!$F$30&gt;0,'Lease Cycles'!$C$30*'Lease Cycles'!$E$30/12,0),IF(EA386=1,IF('Lease Cycles'!$AT$30&gt;=9999,'Lease Cycles'!$C$30*INDEX('Lease Cycles'!$CB$30:$CH$30,1,EA384)*(1+INDEX('Lease Cycles'!$CI$30:$CO$30,1,EA384))^INT(INT(EA385/12)/INDEX('Lease Cycles'!$CP$30:$CV$30,1,EA384))/12,IF(EA384=1,IF(EA385&gt;=INDEX('Lease Cycles'!$DK$30:$DQ$30,1,EA384),IF(EA$6&gt;='Lease Cycles'!$AZ$30,'Lease Cycles'!$C$30*'Lease Cycles'!$BA$30/12,IF(EA$6&gt;='Lease Cycles'!$AX$30,'Lease Cycles'!$C$30*'Lease Cycles'!$AY$30/12,IF(EA$6&gt;='Lease Cycles'!$AV$30,'Lease Cycles'!$C$30*'Lease Cycles'!$AW$30/12,IF(EA$6&gt;='Lease Cycles'!$AT$30,'Lease Cycles'!$C$30*'Lease Cycles'!$AU$30/12,'Lease Cycles'!$C$30*INDEX('Lease Cycles'!$CB$30:$CH$30,1,EA384)*(1+INDEX('Lease Cycles'!$CI$30:$CO$30,1,EA384))^INT(INT(EA385/12)/INDEX('Lease Cycles'!$CP$30:$CV$30,1,EA384))/12)))),'Lease Cycles'!$C$30*INDEX('Lease Cycles'!$CB$30:$CH$30,1,EA384)*(1+INDEX('Lease Cycles'!$CI$30:$CO$30,1,EA384))^INT(INT(EA385/12)/INDEX('Lease Cycles'!$CP$30:$CV$30,1,EA384))/12),IF(INDEX('Lease Cycles'!$EF$30:$EL$30,1,EA384)=1,IF(AND('Lease Cycles'!$AZ$30&gt;=INDEX('Lease Cycles'!$BG$30:$BM$30,1,EA384),'Lease Cycles'!$AZ$30&lt;=EA$6),'Lease Cycles'!$C$30*'Lease Cycles'!$BA$30/12,IF(AND('Lease Cycles'!$AX$30&gt;=INDEX('Lease Cycles'!$BG$30:$BM$30,1,EA384),'Lease Cycles'!$AX$30&lt;=EA$6),'Lease Cycles'!$C$30*'Lease Cycles'!$AY$30/12,IF(AND('Lease Cycles'!$AV$30&gt;=INDEX('Lease Cycles'!$BG$30:$BM$30,1,EA384),'Lease Cycles'!$AV$30&lt;=EA$6),'Lease Cycles'!$C$30*'Lease Cycles'!$AW$30/12,IF(AND('Lease Cycles'!$AT$30&gt;=INDEX('Lease Cycles'!$BG$30:$BM$30,1,EA384),'Lease Cycles'!$AT$30&lt;=EA$6),'Lease Cycles'!$C$30*'Lease Cycles'!$AU$30/12,'Lease Cycles'!$C$30*INDEX('Lease Cycles'!$CB$30:$CH$30,1,EA384)*(1+INDEX('Lease Cycles'!$CI$30:$CO$30,1,EA384))^INT(INT(EA385/12)/INDEX('Lease Cycles'!$CP$30:$CV$30,1,EA384))/12)))),'Lease Cycles'!$C$30*INDEX('Lease Cycles'!$CB$30:$CH$30,1,EA384)*(1+INDEX('Lease Cycles'!$CI$30:$CO$30,1,EA384))^INT(INT(EA385/12)/INDEX('Lease Cycles'!$CP$30:$CV$30,1,EA384))/12))),IF('Lease Cycles'!$N$30=1,'Lease Cycles'!$C$30*'Lease Cycles'!$E$30*INDEX('Lease Cycles'!$HE$30:$HK$30,1,EA384)*(1+INDEX('Lease Cycles'!$GQ$30:$GW$30,1,EA384))^INT(INT((EA$6-INDEX('Lease Cycles'!$GJ$30:$GP$30,1,EA384))/12)/INDEX('Lease Cycles'!$GX$30:$HD$30,1,EA384))/12,0)))</f>
        <v>0</v>
      </c>
      <c r="EB387" s="28">
        <f>IF(EB384=0,IF('Lease Cycles'!$F$30&gt;0,'Lease Cycles'!$C$30*'Lease Cycles'!$E$30/12,0),IF(EB386=1,IF('Lease Cycles'!$AT$30&gt;=9999,'Lease Cycles'!$C$30*INDEX('Lease Cycles'!$CB$30:$CH$30,1,EB384)*(1+INDEX('Lease Cycles'!$CI$30:$CO$30,1,EB384))^INT(INT(EB385/12)/INDEX('Lease Cycles'!$CP$30:$CV$30,1,EB384))/12,IF(EB384=1,IF(EB385&gt;=INDEX('Lease Cycles'!$DK$30:$DQ$30,1,EB384),IF(EB$6&gt;='Lease Cycles'!$AZ$30,'Lease Cycles'!$C$30*'Lease Cycles'!$BA$30/12,IF(EB$6&gt;='Lease Cycles'!$AX$30,'Lease Cycles'!$C$30*'Lease Cycles'!$AY$30/12,IF(EB$6&gt;='Lease Cycles'!$AV$30,'Lease Cycles'!$C$30*'Lease Cycles'!$AW$30/12,IF(EB$6&gt;='Lease Cycles'!$AT$30,'Lease Cycles'!$C$30*'Lease Cycles'!$AU$30/12,'Lease Cycles'!$C$30*INDEX('Lease Cycles'!$CB$30:$CH$30,1,EB384)*(1+INDEX('Lease Cycles'!$CI$30:$CO$30,1,EB384))^INT(INT(EB385/12)/INDEX('Lease Cycles'!$CP$30:$CV$30,1,EB384))/12)))),'Lease Cycles'!$C$30*INDEX('Lease Cycles'!$CB$30:$CH$30,1,EB384)*(1+INDEX('Lease Cycles'!$CI$30:$CO$30,1,EB384))^INT(INT(EB385/12)/INDEX('Lease Cycles'!$CP$30:$CV$30,1,EB384))/12),IF(INDEX('Lease Cycles'!$EF$30:$EL$30,1,EB384)=1,IF(AND('Lease Cycles'!$AZ$30&gt;=INDEX('Lease Cycles'!$BG$30:$BM$30,1,EB384),'Lease Cycles'!$AZ$30&lt;=EB$6),'Lease Cycles'!$C$30*'Lease Cycles'!$BA$30/12,IF(AND('Lease Cycles'!$AX$30&gt;=INDEX('Lease Cycles'!$BG$30:$BM$30,1,EB384),'Lease Cycles'!$AX$30&lt;=EB$6),'Lease Cycles'!$C$30*'Lease Cycles'!$AY$30/12,IF(AND('Lease Cycles'!$AV$30&gt;=INDEX('Lease Cycles'!$BG$30:$BM$30,1,EB384),'Lease Cycles'!$AV$30&lt;=EB$6),'Lease Cycles'!$C$30*'Lease Cycles'!$AW$30/12,IF(AND('Lease Cycles'!$AT$30&gt;=INDEX('Lease Cycles'!$BG$30:$BM$30,1,EB384),'Lease Cycles'!$AT$30&lt;=EB$6),'Lease Cycles'!$C$30*'Lease Cycles'!$AU$30/12,'Lease Cycles'!$C$30*INDEX('Lease Cycles'!$CB$30:$CH$30,1,EB384)*(1+INDEX('Lease Cycles'!$CI$30:$CO$30,1,EB384))^INT(INT(EB385/12)/INDEX('Lease Cycles'!$CP$30:$CV$30,1,EB384))/12)))),'Lease Cycles'!$C$30*INDEX('Lease Cycles'!$CB$30:$CH$30,1,EB384)*(1+INDEX('Lease Cycles'!$CI$30:$CO$30,1,EB384))^INT(INT(EB385/12)/INDEX('Lease Cycles'!$CP$30:$CV$30,1,EB384))/12))),IF('Lease Cycles'!$N$30=1,'Lease Cycles'!$C$30*'Lease Cycles'!$E$30*INDEX('Lease Cycles'!$HE$30:$HK$30,1,EB384)*(1+INDEX('Lease Cycles'!$GQ$30:$GW$30,1,EB384))^INT(INT((EB$6-INDEX('Lease Cycles'!$GJ$30:$GP$30,1,EB384))/12)/INDEX('Lease Cycles'!$GX$30:$HD$30,1,EB384))/12,0)))</f>
        <v>0</v>
      </c>
      <c r="EC387" s="28">
        <f>IF(EC384=0,IF('Lease Cycles'!$F$30&gt;0,'Lease Cycles'!$C$30*'Lease Cycles'!$E$30/12,0),IF(EC386=1,IF('Lease Cycles'!$AT$30&gt;=9999,'Lease Cycles'!$C$30*INDEX('Lease Cycles'!$CB$30:$CH$30,1,EC384)*(1+INDEX('Lease Cycles'!$CI$30:$CO$30,1,EC384))^INT(INT(EC385/12)/INDEX('Lease Cycles'!$CP$30:$CV$30,1,EC384))/12,IF(EC384=1,IF(EC385&gt;=INDEX('Lease Cycles'!$DK$30:$DQ$30,1,EC384),IF(EC$6&gt;='Lease Cycles'!$AZ$30,'Lease Cycles'!$C$30*'Lease Cycles'!$BA$30/12,IF(EC$6&gt;='Lease Cycles'!$AX$30,'Lease Cycles'!$C$30*'Lease Cycles'!$AY$30/12,IF(EC$6&gt;='Lease Cycles'!$AV$30,'Lease Cycles'!$C$30*'Lease Cycles'!$AW$30/12,IF(EC$6&gt;='Lease Cycles'!$AT$30,'Lease Cycles'!$C$30*'Lease Cycles'!$AU$30/12,'Lease Cycles'!$C$30*INDEX('Lease Cycles'!$CB$30:$CH$30,1,EC384)*(1+INDEX('Lease Cycles'!$CI$30:$CO$30,1,EC384))^INT(INT(EC385/12)/INDEX('Lease Cycles'!$CP$30:$CV$30,1,EC384))/12)))),'Lease Cycles'!$C$30*INDEX('Lease Cycles'!$CB$30:$CH$30,1,EC384)*(1+INDEX('Lease Cycles'!$CI$30:$CO$30,1,EC384))^INT(INT(EC385/12)/INDEX('Lease Cycles'!$CP$30:$CV$30,1,EC384))/12),IF(INDEX('Lease Cycles'!$EF$30:$EL$30,1,EC384)=1,IF(AND('Lease Cycles'!$AZ$30&gt;=INDEX('Lease Cycles'!$BG$30:$BM$30,1,EC384),'Lease Cycles'!$AZ$30&lt;=EC$6),'Lease Cycles'!$C$30*'Lease Cycles'!$BA$30/12,IF(AND('Lease Cycles'!$AX$30&gt;=INDEX('Lease Cycles'!$BG$30:$BM$30,1,EC384),'Lease Cycles'!$AX$30&lt;=EC$6),'Lease Cycles'!$C$30*'Lease Cycles'!$AY$30/12,IF(AND('Lease Cycles'!$AV$30&gt;=INDEX('Lease Cycles'!$BG$30:$BM$30,1,EC384),'Lease Cycles'!$AV$30&lt;=EC$6),'Lease Cycles'!$C$30*'Lease Cycles'!$AW$30/12,IF(AND('Lease Cycles'!$AT$30&gt;=INDEX('Lease Cycles'!$BG$30:$BM$30,1,EC384),'Lease Cycles'!$AT$30&lt;=EC$6),'Lease Cycles'!$C$30*'Lease Cycles'!$AU$30/12,'Lease Cycles'!$C$30*INDEX('Lease Cycles'!$CB$30:$CH$30,1,EC384)*(1+INDEX('Lease Cycles'!$CI$30:$CO$30,1,EC384))^INT(INT(EC385/12)/INDEX('Lease Cycles'!$CP$30:$CV$30,1,EC384))/12)))),'Lease Cycles'!$C$30*INDEX('Lease Cycles'!$CB$30:$CH$30,1,EC384)*(1+INDEX('Lease Cycles'!$CI$30:$CO$30,1,EC384))^INT(INT(EC385/12)/INDEX('Lease Cycles'!$CP$30:$CV$30,1,EC384))/12))),IF('Lease Cycles'!$N$30=1,'Lease Cycles'!$C$30*'Lease Cycles'!$E$30*INDEX('Lease Cycles'!$HE$30:$HK$30,1,EC384)*(1+INDEX('Lease Cycles'!$GQ$30:$GW$30,1,EC384))^INT(INT((EC$6-INDEX('Lease Cycles'!$GJ$30:$GP$30,1,EC384))/12)/INDEX('Lease Cycles'!$GX$30:$HD$30,1,EC384))/12,0)))</f>
        <v>0</v>
      </c>
      <c r="ED387" s="28">
        <f>IF(ED384=0,IF('Lease Cycles'!$F$30&gt;0,'Lease Cycles'!$C$30*'Lease Cycles'!$E$30/12,0),IF(ED386=1,IF('Lease Cycles'!$AT$30&gt;=9999,'Lease Cycles'!$C$30*INDEX('Lease Cycles'!$CB$30:$CH$30,1,ED384)*(1+INDEX('Lease Cycles'!$CI$30:$CO$30,1,ED384))^INT(INT(ED385/12)/INDEX('Lease Cycles'!$CP$30:$CV$30,1,ED384))/12,IF(ED384=1,IF(ED385&gt;=INDEX('Lease Cycles'!$DK$30:$DQ$30,1,ED384),IF(ED$6&gt;='Lease Cycles'!$AZ$30,'Lease Cycles'!$C$30*'Lease Cycles'!$BA$30/12,IF(ED$6&gt;='Lease Cycles'!$AX$30,'Lease Cycles'!$C$30*'Lease Cycles'!$AY$30/12,IF(ED$6&gt;='Lease Cycles'!$AV$30,'Lease Cycles'!$C$30*'Lease Cycles'!$AW$30/12,IF(ED$6&gt;='Lease Cycles'!$AT$30,'Lease Cycles'!$C$30*'Lease Cycles'!$AU$30/12,'Lease Cycles'!$C$30*INDEX('Lease Cycles'!$CB$30:$CH$30,1,ED384)*(1+INDEX('Lease Cycles'!$CI$30:$CO$30,1,ED384))^INT(INT(ED385/12)/INDEX('Lease Cycles'!$CP$30:$CV$30,1,ED384))/12)))),'Lease Cycles'!$C$30*INDEX('Lease Cycles'!$CB$30:$CH$30,1,ED384)*(1+INDEX('Lease Cycles'!$CI$30:$CO$30,1,ED384))^INT(INT(ED385/12)/INDEX('Lease Cycles'!$CP$30:$CV$30,1,ED384))/12),IF(INDEX('Lease Cycles'!$EF$30:$EL$30,1,ED384)=1,IF(AND('Lease Cycles'!$AZ$30&gt;=INDEX('Lease Cycles'!$BG$30:$BM$30,1,ED384),'Lease Cycles'!$AZ$30&lt;=ED$6),'Lease Cycles'!$C$30*'Lease Cycles'!$BA$30/12,IF(AND('Lease Cycles'!$AX$30&gt;=INDEX('Lease Cycles'!$BG$30:$BM$30,1,ED384),'Lease Cycles'!$AX$30&lt;=ED$6),'Lease Cycles'!$C$30*'Lease Cycles'!$AY$30/12,IF(AND('Lease Cycles'!$AV$30&gt;=INDEX('Lease Cycles'!$BG$30:$BM$30,1,ED384),'Lease Cycles'!$AV$30&lt;=ED$6),'Lease Cycles'!$C$30*'Lease Cycles'!$AW$30/12,IF(AND('Lease Cycles'!$AT$30&gt;=INDEX('Lease Cycles'!$BG$30:$BM$30,1,ED384),'Lease Cycles'!$AT$30&lt;=ED$6),'Lease Cycles'!$C$30*'Lease Cycles'!$AU$30/12,'Lease Cycles'!$C$30*INDEX('Lease Cycles'!$CB$30:$CH$30,1,ED384)*(1+INDEX('Lease Cycles'!$CI$30:$CO$30,1,ED384))^INT(INT(ED385/12)/INDEX('Lease Cycles'!$CP$30:$CV$30,1,ED384))/12)))),'Lease Cycles'!$C$30*INDEX('Lease Cycles'!$CB$30:$CH$30,1,ED384)*(1+INDEX('Lease Cycles'!$CI$30:$CO$30,1,ED384))^INT(INT(ED385/12)/INDEX('Lease Cycles'!$CP$30:$CV$30,1,ED384))/12))),IF('Lease Cycles'!$N$30=1,'Lease Cycles'!$C$30*'Lease Cycles'!$E$30*INDEX('Lease Cycles'!$HE$30:$HK$30,1,ED384)*(1+INDEX('Lease Cycles'!$GQ$30:$GW$30,1,ED384))^INT(INT((ED$6-INDEX('Lease Cycles'!$GJ$30:$GP$30,1,ED384))/12)/INDEX('Lease Cycles'!$GX$30:$HD$30,1,ED384))/12,0)))</f>
        <v>0</v>
      </c>
      <c r="EE387" s="28">
        <f>IF(EE384=0,IF('Lease Cycles'!$F$30&gt;0,'Lease Cycles'!$C$30*'Lease Cycles'!$E$30/12,0),IF(EE386=1,IF('Lease Cycles'!$AT$30&gt;=9999,'Lease Cycles'!$C$30*INDEX('Lease Cycles'!$CB$30:$CH$30,1,EE384)*(1+INDEX('Lease Cycles'!$CI$30:$CO$30,1,EE384))^INT(INT(EE385/12)/INDEX('Lease Cycles'!$CP$30:$CV$30,1,EE384))/12,IF(EE384=1,IF(EE385&gt;=INDEX('Lease Cycles'!$DK$30:$DQ$30,1,EE384),IF(EE$6&gt;='Lease Cycles'!$AZ$30,'Lease Cycles'!$C$30*'Lease Cycles'!$BA$30/12,IF(EE$6&gt;='Lease Cycles'!$AX$30,'Lease Cycles'!$C$30*'Lease Cycles'!$AY$30/12,IF(EE$6&gt;='Lease Cycles'!$AV$30,'Lease Cycles'!$C$30*'Lease Cycles'!$AW$30/12,IF(EE$6&gt;='Lease Cycles'!$AT$30,'Lease Cycles'!$C$30*'Lease Cycles'!$AU$30/12,'Lease Cycles'!$C$30*INDEX('Lease Cycles'!$CB$30:$CH$30,1,EE384)*(1+INDEX('Lease Cycles'!$CI$30:$CO$30,1,EE384))^INT(INT(EE385/12)/INDEX('Lease Cycles'!$CP$30:$CV$30,1,EE384))/12)))),'Lease Cycles'!$C$30*INDEX('Lease Cycles'!$CB$30:$CH$30,1,EE384)*(1+INDEX('Lease Cycles'!$CI$30:$CO$30,1,EE384))^INT(INT(EE385/12)/INDEX('Lease Cycles'!$CP$30:$CV$30,1,EE384))/12),IF(INDEX('Lease Cycles'!$EF$30:$EL$30,1,EE384)=1,IF(AND('Lease Cycles'!$AZ$30&gt;=INDEX('Lease Cycles'!$BG$30:$BM$30,1,EE384),'Lease Cycles'!$AZ$30&lt;=EE$6),'Lease Cycles'!$C$30*'Lease Cycles'!$BA$30/12,IF(AND('Lease Cycles'!$AX$30&gt;=INDEX('Lease Cycles'!$BG$30:$BM$30,1,EE384),'Lease Cycles'!$AX$30&lt;=EE$6),'Lease Cycles'!$C$30*'Lease Cycles'!$AY$30/12,IF(AND('Lease Cycles'!$AV$30&gt;=INDEX('Lease Cycles'!$BG$30:$BM$30,1,EE384),'Lease Cycles'!$AV$30&lt;=EE$6),'Lease Cycles'!$C$30*'Lease Cycles'!$AW$30/12,IF(AND('Lease Cycles'!$AT$30&gt;=INDEX('Lease Cycles'!$BG$30:$BM$30,1,EE384),'Lease Cycles'!$AT$30&lt;=EE$6),'Lease Cycles'!$C$30*'Lease Cycles'!$AU$30/12,'Lease Cycles'!$C$30*INDEX('Lease Cycles'!$CB$30:$CH$30,1,EE384)*(1+INDEX('Lease Cycles'!$CI$30:$CO$30,1,EE384))^INT(INT(EE385/12)/INDEX('Lease Cycles'!$CP$30:$CV$30,1,EE384))/12)))),'Lease Cycles'!$C$30*INDEX('Lease Cycles'!$CB$30:$CH$30,1,EE384)*(1+INDEX('Lease Cycles'!$CI$30:$CO$30,1,EE384))^INT(INT(EE385/12)/INDEX('Lease Cycles'!$CP$30:$CV$30,1,EE384))/12))),IF('Lease Cycles'!$N$30=1,'Lease Cycles'!$C$30*'Lease Cycles'!$E$30*INDEX('Lease Cycles'!$HE$30:$HK$30,1,EE384)*(1+INDEX('Lease Cycles'!$GQ$30:$GW$30,1,EE384))^INT(INT((EE$6-INDEX('Lease Cycles'!$GJ$30:$GP$30,1,EE384))/12)/INDEX('Lease Cycles'!$GX$30:$HD$30,1,EE384))/12,0)))</f>
        <v>0</v>
      </c>
      <c r="EF387" s="28">
        <f>IF(EF384=0,IF('Lease Cycles'!$F$30&gt;0,'Lease Cycles'!$C$30*'Lease Cycles'!$E$30/12,0),IF(EF386=1,IF('Lease Cycles'!$AT$30&gt;=9999,'Lease Cycles'!$C$30*INDEX('Lease Cycles'!$CB$30:$CH$30,1,EF384)*(1+INDEX('Lease Cycles'!$CI$30:$CO$30,1,EF384))^INT(INT(EF385/12)/INDEX('Lease Cycles'!$CP$30:$CV$30,1,EF384))/12,IF(EF384=1,IF(EF385&gt;=INDEX('Lease Cycles'!$DK$30:$DQ$30,1,EF384),IF(EF$6&gt;='Lease Cycles'!$AZ$30,'Lease Cycles'!$C$30*'Lease Cycles'!$BA$30/12,IF(EF$6&gt;='Lease Cycles'!$AX$30,'Lease Cycles'!$C$30*'Lease Cycles'!$AY$30/12,IF(EF$6&gt;='Lease Cycles'!$AV$30,'Lease Cycles'!$C$30*'Lease Cycles'!$AW$30/12,IF(EF$6&gt;='Lease Cycles'!$AT$30,'Lease Cycles'!$C$30*'Lease Cycles'!$AU$30/12,'Lease Cycles'!$C$30*INDEX('Lease Cycles'!$CB$30:$CH$30,1,EF384)*(1+INDEX('Lease Cycles'!$CI$30:$CO$30,1,EF384))^INT(INT(EF385/12)/INDEX('Lease Cycles'!$CP$30:$CV$30,1,EF384))/12)))),'Lease Cycles'!$C$30*INDEX('Lease Cycles'!$CB$30:$CH$30,1,EF384)*(1+INDEX('Lease Cycles'!$CI$30:$CO$30,1,EF384))^INT(INT(EF385/12)/INDEX('Lease Cycles'!$CP$30:$CV$30,1,EF384))/12),IF(INDEX('Lease Cycles'!$EF$30:$EL$30,1,EF384)=1,IF(AND('Lease Cycles'!$AZ$30&gt;=INDEX('Lease Cycles'!$BG$30:$BM$30,1,EF384),'Lease Cycles'!$AZ$30&lt;=EF$6),'Lease Cycles'!$C$30*'Lease Cycles'!$BA$30/12,IF(AND('Lease Cycles'!$AX$30&gt;=INDEX('Lease Cycles'!$BG$30:$BM$30,1,EF384),'Lease Cycles'!$AX$30&lt;=EF$6),'Lease Cycles'!$C$30*'Lease Cycles'!$AY$30/12,IF(AND('Lease Cycles'!$AV$30&gt;=INDEX('Lease Cycles'!$BG$30:$BM$30,1,EF384),'Lease Cycles'!$AV$30&lt;=EF$6),'Lease Cycles'!$C$30*'Lease Cycles'!$AW$30/12,IF(AND('Lease Cycles'!$AT$30&gt;=INDEX('Lease Cycles'!$BG$30:$BM$30,1,EF384),'Lease Cycles'!$AT$30&lt;=EF$6),'Lease Cycles'!$C$30*'Lease Cycles'!$AU$30/12,'Lease Cycles'!$C$30*INDEX('Lease Cycles'!$CB$30:$CH$30,1,EF384)*(1+INDEX('Lease Cycles'!$CI$30:$CO$30,1,EF384))^INT(INT(EF385/12)/INDEX('Lease Cycles'!$CP$30:$CV$30,1,EF384))/12)))),'Lease Cycles'!$C$30*INDEX('Lease Cycles'!$CB$30:$CH$30,1,EF384)*(1+INDEX('Lease Cycles'!$CI$30:$CO$30,1,EF384))^INT(INT(EF385/12)/INDEX('Lease Cycles'!$CP$30:$CV$30,1,EF384))/12))),IF('Lease Cycles'!$N$30=1,'Lease Cycles'!$C$30*'Lease Cycles'!$E$30*INDEX('Lease Cycles'!$HE$30:$HK$30,1,EF384)*(1+INDEX('Lease Cycles'!$GQ$30:$GW$30,1,EF384))^INT(INT((EF$6-INDEX('Lease Cycles'!$GJ$30:$GP$30,1,EF384))/12)/INDEX('Lease Cycles'!$GX$30:$HD$30,1,EF384))/12,0)))</f>
        <v>0</v>
      </c>
      <c r="EG387" s="28">
        <f>IF(EG384=0,IF('Lease Cycles'!$F$30&gt;0,'Lease Cycles'!$C$30*'Lease Cycles'!$E$30/12,0),IF(EG386=1,IF('Lease Cycles'!$AT$30&gt;=9999,'Lease Cycles'!$C$30*INDEX('Lease Cycles'!$CB$30:$CH$30,1,EG384)*(1+INDEX('Lease Cycles'!$CI$30:$CO$30,1,EG384))^INT(INT(EG385/12)/INDEX('Lease Cycles'!$CP$30:$CV$30,1,EG384))/12,IF(EG384=1,IF(EG385&gt;=INDEX('Lease Cycles'!$DK$30:$DQ$30,1,EG384),IF(EG$6&gt;='Lease Cycles'!$AZ$30,'Lease Cycles'!$C$30*'Lease Cycles'!$BA$30/12,IF(EG$6&gt;='Lease Cycles'!$AX$30,'Lease Cycles'!$C$30*'Lease Cycles'!$AY$30/12,IF(EG$6&gt;='Lease Cycles'!$AV$30,'Lease Cycles'!$C$30*'Lease Cycles'!$AW$30/12,IF(EG$6&gt;='Lease Cycles'!$AT$30,'Lease Cycles'!$C$30*'Lease Cycles'!$AU$30/12,'Lease Cycles'!$C$30*INDEX('Lease Cycles'!$CB$30:$CH$30,1,EG384)*(1+INDEX('Lease Cycles'!$CI$30:$CO$30,1,EG384))^INT(INT(EG385/12)/INDEX('Lease Cycles'!$CP$30:$CV$30,1,EG384))/12)))),'Lease Cycles'!$C$30*INDEX('Lease Cycles'!$CB$30:$CH$30,1,EG384)*(1+INDEX('Lease Cycles'!$CI$30:$CO$30,1,EG384))^INT(INT(EG385/12)/INDEX('Lease Cycles'!$CP$30:$CV$30,1,EG384))/12),IF(INDEX('Lease Cycles'!$EF$30:$EL$30,1,EG384)=1,IF(AND('Lease Cycles'!$AZ$30&gt;=INDEX('Lease Cycles'!$BG$30:$BM$30,1,EG384),'Lease Cycles'!$AZ$30&lt;=EG$6),'Lease Cycles'!$C$30*'Lease Cycles'!$BA$30/12,IF(AND('Lease Cycles'!$AX$30&gt;=INDEX('Lease Cycles'!$BG$30:$BM$30,1,EG384),'Lease Cycles'!$AX$30&lt;=EG$6),'Lease Cycles'!$C$30*'Lease Cycles'!$AY$30/12,IF(AND('Lease Cycles'!$AV$30&gt;=INDEX('Lease Cycles'!$BG$30:$BM$30,1,EG384),'Lease Cycles'!$AV$30&lt;=EG$6),'Lease Cycles'!$C$30*'Lease Cycles'!$AW$30/12,IF(AND('Lease Cycles'!$AT$30&gt;=INDEX('Lease Cycles'!$BG$30:$BM$30,1,EG384),'Lease Cycles'!$AT$30&lt;=EG$6),'Lease Cycles'!$C$30*'Lease Cycles'!$AU$30/12,'Lease Cycles'!$C$30*INDEX('Lease Cycles'!$CB$30:$CH$30,1,EG384)*(1+INDEX('Lease Cycles'!$CI$30:$CO$30,1,EG384))^INT(INT(EG385/12)/INDEX('Lease Cycles'!$CP$30:$CV$30,1,EG384))/12)))),'Lease Cycles'!$C$30*INDEX('Lease Cycles'!$CB$30:$CH$30,1,EG384)*(1+INDEX('Lease Cycles'!$CI$30:$CO$30,1,EG384))^INT(INT(EG385/12)/INDEX('Lease Cycles'!$CP$30:$CV$30,1,EG384))/12))),IF('Lease Cycles'!$N$30=1,'Lease Cycles'!$C$30*'Lease Cycles'!$E$30*INDEX('Lease Cycles'!$HE$30:$HK$30,1,EG384)*(1+INDEX('Lease Cycles'!$GQ$30:$GW$30,1,EG384))^INT(INT((EG$6-INDEX('Lease Cycles'!$GJ$30:$GP$30,1,EG384))/12)/INDEX('Lease Cycles'!$GX$30:$HD$30,1,EG384))/12,0)))</f>
        <v>0</v>
      </c>
      <c r="EH387" s="28">
        <f>IF(EH384=0,IF('Lease Cycles'!$F$30&gt;0,'Lease Cycles'!$C$30*'Lease Cycles'!$E$30/12,0),IF(EH386=1,IF('Lease Cycles'!$AT$30&gt;=9999,'Lease Cycles'!$C$30*INDEX('Lease Cycles'!$CB$30:$CH$30,1,EH384)*(1+INDEX('Lease Cycles'!$CI$30:$CO$30,1,EH384))^INT(INT(EH385/12)/INDEX('Lease Cycles'!$CP$30:$CV$30,1,EH384))/12,IF(EH384=1,IF(EH385&gt;=INDEX('Lease Cycles'!$DK$30:$DQ$30,1,EH384),IF(EH$6&gt;='Lease Cycles'!$AZ$30,'Lease Cycles'!$C$30*'Lease Cycles'!$BA$30/12,IF(EH$6&gt;='Lease Cycles'!$AX$30,'Lease Cycles'!$C$30*'Lease Cycles'!$AY$30/12,IF(EH$6&gt;='Lease Cycles'!$AV$30,'Lease Cycles'!$C$30*'Lease Cycles'!$AW$30/12,IF(EH$6&gt;='Lease Cycles'!$AT$30,'Lease Cycles'!$C$30*'Lease Cycles'!$AU$30/12,'Lease Cycles'!$C$30*INDEX('Lease Cycles'!$CB$30:$CH$30,1,EH384)*(1+INDEX('Lease Cycles'!$CI$30:$CO$30,1,EH384))^INT(INT(EH385/12)/INDEX('Lease Cycles'!$CP$30:$CV$30,1,EH384))/12)))),'Lease Cycles'!$C$30*INDEX('Lease Cycles'!$CB$30:$CH$30,1,EH384)*(1+INDEX('Lease Cycles'!$CI$30:$CO$30,1,EH384))^INT(INT(EH385/12)/INDEX('Lease Cycles'!$CP$30:$CV$30,1,EH384))/12),IF(INDEX('Lease Cycles'!$EF$30:$EL$30,1,EH384)=1,IF(AND('Lease Cycles'!$AZ$30&gt;=INDEX('Lease Cycles'!$BG$30:$BM$30,1,EH384),'Lease Cycles'!$AZ$30&lt;=EH$6),'Lease Cycles'!$C$30*'Lease Cycles'!$BA$30/12,IF(AND('Lease Cycles'!$AX$30&gt;=INDEX('Lease Cycles'!$BG$30:$BM$30,1,EH384),'Lease Cycles'!$AX$30&lt;=EH$6),'Lease Cycles'!$C$30*'Lease Cycles'!$AY$30/12,IF(AND('Lease Cycles'!$AV$30&gt;=INDEX('Lease Cycles'!$BG$30:$BM$30,1,EH384),'Lease Cycles'!$AV$30&lt;=EH$6),'Lease Cycles'!$C$30*'Lease Cycles'!$AW$30/12,IF(AND('Lease Cycles'!$AT$30&gt;=INDEX('Lease Cycles'!$BG$30:$BM$30,1,EH384),'Lease Cycles'!$AT$30&lt;=EH$6),'Lease Cycles'!$C$30*'Lease Cycles'!$AU$30/12,'Lease Cycles'!$C$30*INDEX('Lease Cycles'!$CB$30:$CH$30,1,EH384)*(1+INDEX('Lease Cycles'!$CI$30:$CO$30,1,EH384))^INT(INT(EH385/12)/INDEX('Lease Cycles'!$CP$30:$CV$30,1,EH384))/12)))),'Lease Cycles'!$C$30*INDEX('Lease Cycles'!$CB$30:$CH$30,1,EH384)*(1+INDEX('Lease Cycles'!$CI$30:$CO$30,1,EH384))^INT(INT(EH385/12)/INDEX('Lease Cycles'!$CP$30:$CV$30,1,EH384))/12))),IF('Lease Cycles'!$N$30=1,'Lease Cycles'!$C$30*'Lease Cycles'!$E$30*INDEX('Lease Cycles'!$HE$30:$HK$30,1,EH384)*(1+INDEX('Lease Cycles'!$GQ$30:$GW$30,1,EH384))^INT(INT((EH$6-INDEX('Lease Cycles'!$GJ$30:$GP$30,1,EH384))/12)/INDEX('Lease Cycles'!$GX$30:$HD$30,1,EH384))/12,0)))</f>
        <v>0</v>
      </c>
      <c r="EI387" s="28">
        <f>IF(EI384=0,IF('Lease Cycles'!$F$30&gt;0,'Lease Cycles'!$C$30*'Lease Cycles'!$E$30/12,0),IF(EI386=1,IF('Lease Cycles'!$AT$30&gt;=9999,'Lease Cycles'!$C$30*INDEX('Lease Cycles'!$CB$30:$CH$30,1,EI384)*(1+INDEX('Lease Cycles'!$CI$30:$CO$30,1,EI384))^INT(INT(EI385/12)/INDEX('Lease Cycles'!$CP$30:$CV$30,1,EI384))/12,IF(EI384=1,IF(EI385&gt;=INDEX('Lease Cycles'!$DK$30:$DQ$30,1,EI384),IF(EI$6&gt;='Lease Cycles'!$AZ$30,'Lease Cycles'!$C$30*'Lease Cycles'!$BA$30/12,IF(EI$6&gt;='Lease Cycles'!$AX$30,'Lease Cycles'!$C$30*'Lease Cycles'!$AY$30/12,IF(EI$6&gt;='Lease Cycles'!$AV$30,'Lease Cycles'!$C$30*'Lease Cycles'!$AW$30/12,IF(EI$6&gt;='Lease Cycles'!$AT$30,'Lease Cycles'!$C$30*'Lease Cycles'!$AU$30/12,'Lease Cycles'!$C$30*INDEX('Lease Cycles'!$CB$30:$CH$30,1,EI384)*(1+INDEX('Lease Cycles'!$CI$30:$CO$30,1,EI384))^INT(INT(EI385/12)/INDEX('Lease Cycles'!$CP$30:$CV$30,1,EI384))/12)))),'Lease Cycles'!$C$30*INDEX('Lease Cycles'!$CB$30:$CH$30,1,EI384)*(1+INDEX('Lease Cycles'!$CI$30:$CO$30,1,EI384))^INT(INT(EI385/12)/INDEX('Lease Cycles'!$CP$30:$CV$30,1,EI384))/12),IF(INDEX('Lease Cycles'!$EF$30:$EL$30,1,EI384)=1,IF(AND('Lease Cycles'!$AZ$30&gt;=INDEX('Lease Cycles'!$BG$30:$BM$30,1,EI384),'Lease Cycles'!$AZ$30&lt;=EI$6),'Lease Cycles'!$C$30*'Lease Cycles'!$BA$30/12,IF(AND('Lease Cycles'!$AX$30&gt;=INDEX('Lease Cycles'!$BG$30:$BM$30,1,EI384),'Lease Cycles'!$AX$30&lt;=EI$6),'Lease Cycles'!$C$30*'Lease Cycles'!$AY$30/12,IF(AND('Lease Cycles'!$AV$30&gt;=INDEX('Lease Cycles'!$BG$30:$BM$30,1,EI384),'Lease Cycles'!$AV$30&lt;=EI$6),'Lease Cycles'!$C$30*'Lease Cycles'!$AW$30/12,IF(AND('Lease Cycles'!$AT$30&gt;=INDEX('Lease Cycles'!$BG$30:$BM$30,1,EI384),'Lease Cycles'!$AT$30&lt;=EI$6),'Lease Cycles'!$C$30*'Lease Cycles'!$AU$30/12,'Lease Cycles'!$C$30*INDEX('Lease Cycles'!$CB$30:$CH$30,1,EI384)*(1+INDEX('Lease Cycles'!$CI$30:$CO$30,1,EI384))^INT(INT(EI385/12)/INDEX('Lease Cycles'!$CP$30:$CV$30,1,EI384))/12)))),'Lease Cycles'!$C$30*INDEX('Lease Cycles'!$CB$30:$CH$30,1,EI384)*(1+INDEX('Lease Cycles'!$CI$30:$CO$30,1,EI384))^INT(INT(EI385/12)/INDEX('Lease Cycles'!$CP$30:$CV$30,1,EI384))/12))),IF('Lease Cycles'!$N$30=1,'Lease Cycles'!$C$30*'Lease Cycles'!$E$30*INDEX('Lease Cycles'!$HE$30:$HK$30,1,EI384)*(1+INDEX('Lease Cycles'!$GQ$30:$GW$30,1,EI384))^INT(INT((EI$6-INDEX('Lease Cycles'!$GJ$30:$GP$30,1,EI384))/12)/INDEX('Lease Cycles'!$GX$30:$HD$30,1,EI384))/12,0)))</f>
        <v>0</v>
      </c>
      <c r="EJ387" s="28">
        <f>IF(EJ384=0,IF('Lease Cycles'!$F$30&gt;0,'Lease Cycles'!$C$30*'Lease Cycles'!$E$30/12,0),IF(EJ386=1,IF('Lease Cycles'!$AT$30&gt;=9999,'Lease Cycles'!$C$30*INDEX('Lease Cycles'!$CB$30:$CH$30,1,EJ384)*(1+INDEX('Lease Cycles'!$CI$30:$CO$30,1,EJ384))^INT(INT(EJ385/12)/INDEX('Lease Cycles'!$CP$30:$CV$30,1,EJ384))/12,IF(EJ384=1,IF(EJ385&gt;=INDEX('Lease Cycles'!$DK$30:$DQ$30,1,EJ384),IF(EJ$6&gt;='Lease Cycles'!$AZ$30,'Lease Cycles'!$C$30*'Lease Cycles'!$BA$30/12,IF(EJ$6&gt;='Lease Cycles'!$AX$30,'Lease Cycles'!$C$30*'Lease Cycles'!$AY$30/12,IF(EJ$6&gt;='Lease Cycles'!$AV$30,'Lease Cycles'!$C$30*'Lease Cycles'!$AW$30/12,IF(EJ$6&gt;='Lease Cycles'!$AT$30,'Lease Cycles'!$C$30*'Lease Cycles'!$AU$30/12,'Lease Cycles'!$C$30*INDEX('Lease Cycles'!$CB$30:$CH$30,1,EJ384)*(1+INDEX('Lease Cycles'!$CI$30:$CO$30,1,EJ384))^INT(INT(EJ385/12)/INDEX('Lease Cycles'!$CP$30:$CV$30,1,EJ384))/12)))),'Lease Cycles'!$C$30*INDEX('Lease Cycles'!$CB$30:$CH$30,1,EJ384)*(1+INDEX('Lease Cycles'!$CI$30:$CO$30,1,EJ384))^INT(INT(EJ385/12)/INDEX('Lease Cycles'!$CP$30:$CV$30,1,EJ384))/12),IF(INDEX('Lease Cycles'!$EF$30:$EL$30,1,EJ384)=1,IF(AND('Lease Cycles'!$AZ$30&gt;=INDEX('Lease Cycles'!$BG$30:$BM$30,1,EJ384),'Lease Cycles'!$AZ$30&lt;=EJ$6),'Lease Cycles'!$C$30*'Lease Cycles'!$BA$30/12,IF(AND('Lease Cycles'!$AX$30&gt;=INDEX('Lease Cycles'!$BG$30:$BM$30,1,EJ384),'Lease Cycles'!$AX$30&lt;=EJ$6),'Lease Cycles'!$C$30*'Lease Cycles'!$AY$30/12,IF(AND('Lease Cycles'!$AV$30&gt;=INDEX('Lease Cycles'!$BG$30:$BM$30,1,EJ384),'Lease Cycles'!$AV$30&lt;=EJ$6),'Lease Cycles'!$C$30*'Lease Cycles'!$AW$30/12,IF(AND('Lease Cycles'!$AT$30&gt;=INDEX('Lease Cycles'!$BG$30:$BM$30,1,EJ384),'Lease Cycles'!$AT$30&lt;=EJ$6),'Lease Cycles'!$C$30*'Lease Cycles'!$AU$30/12,'Lease Cycles'!$C$30*INDEX('Lease Cycles'!$CB$30:$CH$30,1,EJ384)*(1+INDEX('Lease Cycles'!$CI$30:$CO$30,1,EJ384))^INT(INT(EJ385/12)/INDEX('Lease Cycles'!$CP$30:$CV$30,1,EJ384))/12)))),'Lease Cycles'!$C$30*INDEX('Lease Cycles'!$CB$30:$CH$30,1,EJ384)*(1+INDEX('Lease Cycles'!$CI$30:$CO$30,1,EJ384))^INT(INT(EJ385/12)/INDEX('Lease Cycles'!$CP$30:$CV$30,1,EJ384))/12))),IF('Lease Cycles'!$N$30=1,'Lease Cycles'!$C$30*'Lease Cycles'!$E$30*INDEX('Lease Cycles'!$HE$30:$HK$30,1,EJ384)*(1+INDEX('Lease Cycles'!$GQ$30:$GW$30,1,EJ384))^INT(INT((EJ$6-INDEX('Lease Cycles'!$GJ$30:$GP$30,1,EJ384))/12)/INDEX('Lease Cycles'!$GX$30:$HD$30,1,EJ384))/12,0)))</f>
        <v>0</v>
      </c>
      <c r="EK387" s="28">
        <f>IF(EK384=0,IF('Lease Cycles'!$F$30&gt;0,'Lease Cycles'!$C$30*'Lease Cycles'!$E$30/12,0),IF(EK386=1,IF('Lease Cycles'!$AT$30&gt;=9999,'Lease Cycles'!$C$30*INDEX('Lease Cycles'!$CB$30:$CH$30,1,EK384)*(1+INDEX('Lease Cycles'!$CI$30:$CO$30,1,EK384))^INT(INT(EK385/12)/INDEX('Lease Cycles'!$CP$30:$CV$30,1,EK384))/12,IF(EK384=1,IF(EK385&gt;=INDEX('Lease Cycles'!$DK$30:$DQ$30,1,EK384),IF(EK$6&gt;='Lease Cycles'!$AZ$30,'Lease Cycles'!$C$30*'Lease Cycles'!$BA$30/12,IF(EK$6&gt;='Lease Cycles'!$AX$30,'Lease Cycles'!$C$30*'Lease Cycles'!$AY$30/12,IF(EK$6&gt;='Lease Cycles'!$AV$30,'Lease Cycles'!$C$30*'Lease Cycles'!$AW$30/12,IF(EK$6&gt;='Lease Cycles'!$AT$30,'Lease Cycles'!$C$30*'Lease Cycles'!$AU$30/12,'Lease Cycles'!$C$30*INDEX('Lease Cycles'!$CB$30:$CH$30,1,EK384)*(1+INDEX('Lease Cycles'!$CI$30:$CO$30,1,EK384))^INT(INT(EK385/12)/INDEX('Lease Cycles'!$CP$30:$CV$30,1,EK384))/12)))),'Lease Cycles'!$C$30*INDEX('Lease Cycles'!$CB$30:$CH$30,1,EK384)*(1+INDEX('Lease Cycles'!$CI$30:$CO$30,1,EK384))^INT(INT(EK385/12)/INDEX('Lease Cycles'!$CP$30:$CV$30,1,EK384))/12),IF(INDEX('Lease Cycles'!$EF$30:$EL$30,1,EK384)=1,IF(AND('Lease Cycles'!$AZ$30&gt;=INDEX('Lease Cycles'!$BG$30:$BM$30,1,EK384),'Lease Cycles'!$AZ$30&lt;=EK$6),'Lease Cycles'!$C$30*'Lease Cycles'!$BA$30/12,IF(AND('Lease Cycles'!$AX$30&gt;=INDEX('Lease Cycles'!$BG$30:$BM$30,1,EK384),'Lease Cycles'!$AX$30&lt;=EK$6),'Lease Cycles'!$C$30*'Lease Cycles'!$AY$30/12,IF(AND('Lease Cycles'!$AV$30&gt;=INDEX('Lease Cycles'!$BG$30:$BM$30,1,EK384),'Lease Cycles'!$AV$30&lt;=EK$6),'Lease Cycles'!$C$30*'Lease Cycles'!$AW$30/12,IF(AND('Lease Cycles'!$AT$30&gt;=INDEX('Lease Cycles'!$BG$30:$BM$30,1,EK384),'Lease Cycles'!$AT$30&lt;=EK$6),'Lease Cycles'!$C$30*'Lease Cycles'!$AU$30/12,'Lease Cycles'!$C$30*INDEX('Lease Cycles'!$CB$30:$CH$30,1,EK384)*(1+INDEX('Lease Cycles'!$CI$30:$CO$30,1,EK384))^INT(INT(EK385/12)/INDEX('Lease Cycles'!$CP$30:$CV$30,1,EK384))/12)))),'Lease Cycles'!$C$30*INDEX('Lease Cycles'!$CB$30:$CH$30,1,EK384)*(1+INDEX('Lease Cycles'!$CI$30:$CO$30,1,EK384))^INT(INT(EK385/12)/INDEX('Lease Cycles'!$CP$30:$CV$30,1,EK384))/12))),IF('Lease Cycles'!$N$30=1,'Lease Cycles'!$C$30*'Lease Cycles'!$E$30*INDEX('Lease Cycles'!$HE$30:$HK$30,1,EK384)*(1+INDEX('Lease Cycles'!$GQ$30:$GW$30,1,EK384))^INT(INT((EK$6-INDEX('Lease Cycles'!$GJ$30:$GP$30,1,EK384))/12)/INDEX('Lease Cycles'!$GX$30:$HD$30,1,EK384))/12,0)))</f>
        <v>0</v>
      </c>
      <c r="EL387" s="28">
        <f>IF(EL384=0,IF('Lease Cycles'!$F$30&gt;0,'Lease Cycles'!$C$30*'Lease Cycles'!$E$30/12,0),IF(EL386=1,IF('Lease Cycles'!$AT$30&gt;=9999,'Lease Cycles'!$C$30*INDEX('Lease Cycles'!$CB$30:$CH$30,1,EL384)*(1+INDEX('Lease Cycles'!$CI$30:$CO$30,1,EL384))^INT(INT(EL385/12)/INDEX('Lease Cycles'!$CP$30:$CV$30,1,EL384))/12,IF(EL384=1,IF(EL385&gt;=INDEX('Lease Cycles'!$DK$30:$DQ$30,1,EL384),IF(EL$6&gt;='Lease Cycles'!$AZ$30,'Lease Cycles'!$C$30*'Lease Cycles'!$BA$30/12,IF(EL$6&gt;='Lease Cycles'!$AX$30,'Lease Cycles'!$C$30*'Lease Cycles'!$AY$30/12,IF(EL$6&gt;='Lease Cycles'!$AV$30,'Lease Cycles'!$C$30*'Lease Cycles'!$AW$30/12,IF(EL$6&gt;='Lease Cycles'!$AT$30,'Lease Cycles'!$C$30*'Lease Cycles'!$AU$30/12,'Lease Cycles'!$C$30*INDEX('Lease Cycles'!$CB$30:$CH$30,1,EL384)*(1+INDEX('Lease Cycles'!$CI$30:$CO$30,1,EL384))^INT(INT(EL385/12)/INDEX('Lease Cycles'!$CP$30:$CV$30,1,EL384))/12)))),'Lease Cycles'!$C$30*INDEX('Lease Cycles'!$CB$30:$CH$30,1,EL384)*(1+INDEX('Lease Cycles'!$CI$30:$CO$30,1,EL384))^INT(INT(EL385/12)/INDEX('Lease Cycles'!$CP$30:$CV$30,1,EL384))/12),IF(INDEX('Lease Cycles'!$EF$30:$EL$30,1,EL384)=1,IF(AND('Lease Cycles'!$AZ$30&gt;=INDEX('Lease Cycles'!$BG$30:$BM$30,1,EL384),'Lease Cycles'!$AZ$30&lt;=EL$6),'Lease Cycles'!$C$30*'Lease Cycles'!$BA$30/12,IF(AND('Lease Cycles'!$AX$30&gt;=INDEX('Lease Cycles'!$BG$30:$BM$30,1,EL384),'Lease Cycles'!$AX$30&lt;=EL$6),'Lease Cycles'!$C$30*'Lease Cycles'!$AY$30/12,IF(AND('Lease Cycles'!$AV$30&gt;=INDEX('Lease Cycles'!$BG$30:$BM$30,1,EL384),'Lease Cycles'!$AV$30&lt;=EL$6),'Lease Cycles'!$C$30*'Lease Cycles'!$AW$30/12,IF(AND('Lease Cycles'!$AT$30&gt;=INDEX('Lease Cycles'!$BG$30:$BM$30,1,EL384),'Lease Cycles'!$AT$30&lt;=EL$6),'Lease Cycles'!$C$30*'Lease Cycles'!$AU$30/12,'Lease Cycles'!$C$30*INDEX('Lease Cycles'!$CB$30:$CH$30,1,EL384)*(1+INDEX('Lease Cycles'!$CI$30:$CO$30,1,EL384))^INT(INT(EL385/12)/INDEX('Lease Cycles'!$CP$30:$CV$30,1,EL384))/12)))),'Lease Cycles'!$C$30*INDEX('Lease Cycles'!$CB$30:$CH$30,1,EL384)*(1+INDEX('Lease Cycles'!$CI$30:$CO$30,1,EL384))^INT(INT(EL385/12)/INDEX('Lease Cycles'!$CP$30:$CV$30,1,EL384))/12))),IF('Lease Cycles'!$N$30=1,'Lease Cycles'!$C$30*'Lease Cycles'!$E$30*INDEX('Lease Cycles'!$HE$30:$HK$30,1,EL384)*(1+INDEX('Lease Cycles'!$GQ$30:$GW$30,1,EL384))^INT(INT((EL$6-INDEX('Lease Cycles'!$GJ$30:$GP$30,1,EL384))/12)/INDEX('Lease Cycles'!$GX$30:$HD$30,1,EL384))/12,0)))</f>
        <v>0</v>
      </c>
      <c r="EM387" s="28">
        <f>IF(EM384=0,IF('Lease Cycles'!$F$30&gt;0,'Lease Cycles'!$C$30*'Lease Cycles'!$E$30/12,0),IF(EM386=1,IF('Lease Cycles'!$AT$30&gt;=9999,'Lease Cycles'!$C$30*INDEX('Lease Cycles'!$CB$30:$CH$30,1,EM384)*(1+INDEX('Lease Cycles'!$CI$30:$CO$30,1,EM384))^INT(INT(EM385/12)/INDEX('Lease Cycles'!$CP$30:$CV$30,1,EM384))/12,IF(EM384=1,IF(EM385&gt;=INDEX('Lease Cycles'!$DK$30:$DQ$30,1,EM384),IF(EM$6&gt;='Lease Cycles'!$AZ$30,'Lease Cycles'!$C$30*'Lease Cycles'!$BA$30/12,IF(EM$6&gt;='Lease Cycles'!$AX$30,'Lease Cycles'!$C$30*'Lease Cycles'!$AY$30/12,IF(EM$6&gt;='Lease Cycles'!$AV$30,'Lease Cycles'!$C$30*'Lease Cycles'!$AW$30/12,IF(EM$6&gt;='Lease Cycles'!$AT$30,'Lease Cycles'!$C$30*'Lease Cycles'!$AU$30/12,'Lease Cycles'!$C$30*INDEX('Lease Cycles'!$CB$30:$CH$30,1,EM384)*(1+INDEX('Lease Cycles'!$CI$30:$CO$30,1,EM384))^INT(INT(EM385/12)/INDEX('Lease Cycles'!$CP$30:$CV$30,1,EM384))/12)))),'Lease Cycles'!$C$30*INDEX('Lease Cycles'!$CB$30:$CH$30,1,EM384)*(1+INDEX('Lease Cycles'!$CI$30:$CO$30,1,EM384))^INT(INT(EM385/12)/INDEX('Lease Cycles'!$CP$30:$CV$30,1,EM384))/12),IF(INDEX('Lease Cycles'!$EF$30:$EL$30,1,EM384)=1,IF(AND('Lease Cycles'!$AZ$30&gt;=INDEX('Lease Cycles'!$BG$30:$BM$30,1,EM384),'Lease Cycles'!$AZ$30&lt;=EM$6),'Lease Cycles'!$C$30*'Lease Cycles'!$BA$30/12,IF(AND('Lease Cycles'!$AX$30&gt;=INDEX('Lease Cycles'!$BG$30:$BM$30,1,EM384),'Lease Cycles'!$AX$30&lt;=EM$6),'Lease Cycles'!$C$30*'Lease Cycles'!$AY$30/12,IF(AND('Lease Cycles'!$AV$30&gt;=INDEX('Lease Cycles'!$BG$30:$BM$30,1,EM384),'Lease Cycles'!$AV$30&lt;=EM$6),'Lease Cycles'!$C$30*'Lease Cycles'!$AW$30/12,IF(AND('Lease Cycles'!$AT$30&gt;=INDEX('Lease Cycles'!$BG$30:$BM$30,1,EM384),'Lease Cycles'!$AT$30&lt;=EM$6),'Lease Cycles'!$C$30*'Lease Cycles'!$AU$30/12,'Lease Cycles'!$C$30*INDEX('Lease Cycles'!$CB$30:$CH$30,1,EM384)*(1+INDEX('Lease Cycles'!$CI$30:$CO$30,1,EM384))^INT(INT(EM385/12)/INDEX('Lease Cycles'!$CP$30:$CV$30,1,EM384))/12)))),'Lease Cycles'!$C$30*INDEX('Lease Cycles'!$CB$30:$CH$30,1,EM384)*(1+INDEX('Lease Cycles'!$CI$30:$CO$30,1,EM384))^INT(INT(EM385/12)/INDEX('Lease Cycles'!$CP$30:$CV$30,1,EM384))/12))),IF('Lease Cycles'!$N$30=1,'Lease Cycles'!$C$30*'Lease Cycles'!$E$30*INDEX('Lease Cycles'!$HE$30:$HK$30,1,EM384)*(1+INDEX('Lease Cycles'!$GQ$30:$GW$30,1,EM384))^INT(INT((EM$6-INDEX('Lease Cycles'!$GJ$30:$GP$30,1,EM384))/12)/INDEX('Lease Cycles'!$GX$30:$HD$30,1,EM384))/12,0)))</f>
        <v>0</v>
      </c>
      <c r="EN387" s="28">
        <f>IF(EN384=0,IF('Lease Cycles'!$F$30&gt;0,'Lease Cycles'!$C$30*'Lease Cycles'!$E$30/12,0),IF(EN386=1,IF('Lease Cycles'!$AT$30&gt;=9999,'Lease Cycles'!$C$30*INDEX('Lease Cycles'!$CB$30:$CH$30,1,EN384)*(1+INDEX('Lease Cycles'!$CI$30:$CO$30,1,EN384))^INT(INT(EN385/12)/INDEX('Lease Cycles'!$CP$30:$CV$30,1,EN384))/12,IF(EN384=1,IF(EN385&gt;=INDEX('Lease Cycles'!$DK$30:$DQ$30,1,EN384),IF(EN$6&gt;='Lease Cycles'!$AZ$30,'Lease Cycles'!$C$30*'Lease Cycles'!$BA$30/12,IF(EN$6&gt;='Lease Cycles'!$AX$30,'Lease Cycles'!$C$30*'Lease Cycles'!$AY$30/12,IF(EN$6&gt;='Lease Cycles'!$AV$30,'Lease Cycles'!$C$30*'Lease Cycles'!$AW$30/12,IF(EN$6&gt;='Lease Cycles'!$AT$30,'Lease Cycles'!$C$30*'Lease Cycles'!$AU$30/12,'Lease Cycles'!$C$30*INDEX('Lease Cycles'!$CB$30:$CH$30,1,EN384)*(1+INDEX('Lease Cycles'!$CI$30:$CO$30,1,EN384))^INT(INT(EN385/12)/INDEX('Lease Cycles'!$CP$30:$CV$30,1,EN384))/12)))),'Lease Cycles'!$C$30*INDEX('Lease Cycles'!$CB$30:$CH$30,1,EN384)*(1+INDEX('Lease Cycles'!$CI$30:$CO$30,1,EN384))^INT(INT(EN385/12)/INDEX('Lease Cycles'!$CP$30:$CV$30,1,EN384))/12),IF(INDEX('Lease Cycles'!$EF$30:$EL$30,1,EN384)=1,IF(AND('Lease Cycles'!$AZ$30&gt;=INDEX('Lease Cycles'!$BG$30:$BM$30,1,EN384),'Lease Cycles'!$AZ$30&lt;=EN$6),'Lease Cycles'!$C$30*'Lease Cycles'!$BA$30/12,IF(AND('Lease Cycles'!$AX$30&gt;=INDEX('Lease Cycles'!$BG$30:$BM$30,1,EN384),'Lease Cycles'!$AX$30&lt;=EN$6),'Lease Cycles'!$C$30*'Lease Cycles'!$AY$30/12,IF(AND('Lease Cycles'!$AV$30&gt;=INDEX('Lease Cycles'!$BG$30:$BM$30,1,EN384),'Lease Cycles'!$AV$30&lt;=EN$6),'Lease Cycles'!$C$30*'Lease Cycles'!$AW$30/12,IF(AND('Lease Cycles'!$AT$30&gt;=INDEX('Lease Cycles'!$BG$30:$BM$30,1,EN384),'Lease Cycles'!$AT$30&lt;=EN$6),'Lease Cycles'!$C$30*'Lease Cycles'!$AU$30/12,'Lease Cycles'!$C$30*INDEX('Lease Cycles'!$CB$30:$CH$30,1,EN384)*(1+INDEX('Lease Cycles'!$CI$30:$CO$30,1,EN384))^INT(INT(EN385/12)/INDEX('Lease Cycles'!$CP$30:$CV$30,1,EN384))/12)))),'Lease Cycles'!$C$30*INDEX('Lease Cycles'!$CB$30:$CH$30,1,EN384)*(1+INDEX('Lease Cycles'!$CI$30:$CO$30,1,EN384))^INT(INT(EN385/12)/INDEX('Lease Cycles'!$CP$30:$CV$30,1,EN384))/12))),IF('Lease Cycles'!$N$30=1,'Lease Cycles'!$C$30*'Lease Cycles'!$E$30*INDEX('Lease Cycles'!$HE$30:$HK$30,1,EN384)*(1+INDEX('Lease Cycles'!$GQ$30:$GW$30,1,EN384))^INT(INT((EN$6-INDEX('Lease Cycles'!$GJ$30:$GP$30,1,EN384))/12)/INDEX('Lease Cycles'!$GX$30:$HD$30,1,EN384))/12,0)))</f>
        <v>0</v>
      </c>
      <c r="EO387" s="28">
        <f>IF(EO384=0,IF('Lease Cycles'!$F$30&gt;0,'Lease Cycles'!$C$30*'Lease Cycles'!$E$30/12,0),IF(EO386=1,IF('Lease Cycles'!$AT$30&gt;=9999,'Lease Cycles'!$C$30*INDEX('Lease Cycles'!$CB$30:$CH$30,1,EO384)*(1+INDEX('Lease Cycles'!$CI$30:$CO$30,1,EO384))^INT(INT(EO385/12)/INDEX('Lease Cycles'!$CP$30:$CV$30,1,EO384))/12,IF(EO384=1,IF(EO385&gt;=INDEX('Lease Cycles'!$DK$30:$DQ$30,1,EO384),IF(EO$6&gt;='Lease Cycles'!$AZ$30,'Lease Cycles'!$C$30*'Lease Cycles'!$BA$30/12,IF(EO$6&gt;='Lease Cycles'!$AX$30,'Lease Cycles'!$C$30*'Lease Cycles'!$AY$30/12,IF(EO$6&gt;='Lease Cycles'!$AV$30,'Lease Cycles'!$C$30*'Lease Cycles'!$AW$30/12,IF(EO$6&gt;='Lease Cycles'!$AT$30,'Lease Cycles'!$C$30*'Lease Cycles'!$AU$30/12,'Lease Cycles'!$C$30*INDEX('Lease Cycles'!$CB$30:$CH$30,1,EO384)*(1+INDEX('Lease Cycles'!$CI$30:$CO$30,1,EO384))^INT(INT(EO385/12)/INDEX('Lease Cycles'!$CP$30:$CV$30,1,EO384))/12)))),'Lease Cycles'!$C$30*INDEX('Lease Cycles'!$CB$30:$CH$30,1,EO384)*(1+INDEX('Lease Cycles'!$CI$30:$CO$30,1,EO384))^INT(INT(EO385/12)/INDEX('Lease Cycles'!$CP$30:$CV$30,1,EO384))/12),IF(INDEX('Lease Cycles'!$EF$30:$EL$30,1,EO384)=1,IF(AND('Lease Cycles'!$AZ$30&gt;=INDEX('Lease Cycles'!$BG$30:$BM$30,1,EO384),'Lease Cycles'!$AZ$30&lt;=EO$6),'Lease Cycles'!$C$30*'Lease Cycles'!$BA$30/12,IF(AND('Lease Cycles'!$AX$30&gt;=INDEX('Lease Cycles'!$BG$30:$BM$30,1,EO384),'Lease Cycles'!$AX$30&lt;=EO$6),'Lease Cycles'!$C$30*'Lease Cycles'!$AY$30/12,IF(AND('Lease Cycles'!$AV$30&gt;=INDEX('Lease Cycles'!$BG$30:$BM$30,1,EO384),'Lease Cycles'!$AV$30&lt;=EO$6),'Lease Cycles'!$C$30*'Lease Cycles'!$AW$30/12,IF(AND('Lease Cycles'!$AT$30&gt;=INDEX('Lease Cycles'!$BG$30:$BM$30,1,EO384),'Lease Cycles'!$AT$30&lt;=EO$6),'Lease Cycles'!$C$30*'Lease Cycles'!$AU$30/12,'Lease Cycles'!$C$30*INDEX('Lease Cycles'!$CB$30:$CH$30,1,EO384)*(1+INDEX('Lease Cycles'!$CI$30:$CO$30,1,EO384))^INT(INT(EO385/12)/INDEX('Lease Cycles'!$CP$30:$CV$30,1,EO384))/12)))),'Lease Cycles'!$C$30*INDEX('Lease Cycles'!$CB$30:$CH$30,1,EO384)*(1+INDEX('Lease Cycles'!$CI$30:$CO$30,1,EO384))^INT(INT(EO385/12)/INDEX('Lease Cycles'!$CP$30:$CV$30,1,EO384))/12))),IF('Lease Cycles'!$N$30=1,'Lease Cycles'!$C$30*'Lease Cycles'!$E$30*INDEX('Lease Cycles'!$HE$30:$HK$30,1,EO384)*(1+INDEX('Lease Cycles'!$GQ$30:$GW$30,1,EO384))^INT(INT((EO$6-INDEX('Lease Cycles'!$GJ$30:$GP$30,1,EO384))/12)/INDEX('Lease Cycles'!$GX$30:$HD$30,1,EO384))/12,0)))</f>
        <v>0</v>
      </c>
      <c r="EP387" s="28">
        <f>IF(EP384=0,IF('Lease Cycles'!$F$30&gt;0,'Lease Cycles'!$C$30*'Lease Cycles'!$E$30/12,0),IF(EP386=1,IF('Lease Cycles'!$AT$30&gt;=9999,'Lease Cycles'!$C$30*INDEX('Lease Cycles'!$CB$30:$CH$30,1,EP384)*(1+INDEX('Lease Cycles'!$CI$30:$CO$30,1,EP384))^INT(INT(EP385/12)/INDEX('Lease Cycles'!$CP$30:$CV$30,1,EP384))/12,IF(EP384=1,IF(EP385&gt;=INDEX('Lease Cycles'!$DK$30:$DQ$30,1,EP384),IF(EP$6&gt;='Lease Cycles'!$AZ$30,'Lease Cycles'!$C$30*'Lease Cycles'!$BA$30/12,IF(EP$6&gt;='Lease Cycles'!$AX$30,'Lease Cycles'!$C$30*'Lease Cycles'!$AY$30/12,IF(EP$6&gt;='Lease Cycles'!$AV$30,'Lease Cycles'!$C$30*'Lease Cycles'!$AW$30/12,IF(EP$6&gt;='Lease Cycles'!$AT$30,'Lease Cycles'!$C$30*'Lease Cycles'!$AU$30/12,'Lease Cycles'!$C$30*INDEX('Lease Cycles'!$CB$30:$CH$30,1,EP384)*(1+INDEX('Lease Cycles'!$CI$30:$CO$30,1,EP384))^INT(INT(EP385/12)/INDEX('Lease Cycles'!$CP$30:$CV$30,1,EP384))/12)))),'Lease Cycles'!$C$30*INDEX('Lease Cycles'!$CB$30:$CH$30,1,EP384)*(1+INDEX('Lease Cycles'!$CI$30:$CO$30,1,EP384))^INT(INT(EP385/12)/INDEX('Lease Cycles'!$CP$30:$CV$30,1,EP384))/12),IF(INDEX('Lease Cycles'!$EF$30:$EL$30,1,EP384)=1,IF(AND('Lease Cycles'!$AZ$30&gt;=INDEX('Lease Cycles'!$BG$30:$BM$30,1,EP384),'Lease Cycles'!$AZ$30&lt;=EP$6),'Lease Cycles'!$C$30*'Lease Cycles'!$BA$30/12,IF(AND('Lease Cycles'!$AX$30&gt;=INDEX('Lease Cycles'!$BG$30:$BM$30,1,EP384),'Lease Cycles'!$AX$30&lt;=EP$6),'Lease Cycles'!$C$30*'Lease Cycles'!$AY$30/12,IF(AND('Lease Cycles'!$AV$30&gt;=INDEX('Lease Cycles'!$BG$30:$BM$30,1,EP384),'Lease Cycles'!$AV$30&lt;=EP$6),'Lease Cycles'!$C$30*'Lease Cycles'!$AW$30/12,IF(AND('Lease Cycles'!$AT$30&gt;=INDEX('Lease Cycles'!$BG$30:$BM$30,1,EP384),'Lease Cycles'!$AT$30&lt;=EP$6),'Lease Cycles'!$C$30*'Lease Cycles'!$AU$30/12,'Lease Cycles'!$C$30*INDEX('Lease Cycles'!$CB$30:$CH$30,1,EP384)*(1+INDEX('Lease Cycles'!$CI$30:$CO$30,1,EP384))^INT(INT(EP385/12)/INDEX('Lease Cycles'!$CP$30:$CV$30,1,EP384))/12)))),'Lease Cycles'!$C$30*INDEX('Lease Cycles'!$CB$30:$CH$30,1,EP384)*(1+INDEX('Lease Cycles'!$CI$30:$CO$30,1,EP384))^INT(INT(EP385/12)/INDEX('Lease Cycles'!$CP$30:$CV$30,1,EP384))/12))),IF('Lease Cycles'!$N$30=1,'Lease Cycles'!$C$30*'Lease Cycles'!$E$30*INDEX('Lease Cycles'!$HE$30:$HK$30,1,EP384)*(1+INDEX('Lease Cycles'!$GQ$30:$GW$30,1,EP384))^INT(INT((EP$6-INDEX('Lease Cycles'!$GJ$30:$GP$30,1,EP384))/12)/INDEX('Lease Cycles'!$GX$30:$HD$30,1,EP384))/12,0)))</f>
        <v>0</v>
      </c>
      <c r="EQ387" s="28">
        <f>IF(EQ384=0,IF('Lease Cycles'!$F$30&gt;0,'Lease Cycles'!$C$30*'Lease Cycles'!$E$30/12,0),IF(EQ386=1,IF('Lease Cycles'!$AT$30&gt;=9999,'Lease Cycles'!$C$30*INDEX('Lease Cycles'!$CB$30:$CH$30,1,EQ384)*(1+INDEX('Lease Cycles'!$CI$30:$CO$30,1,EQ384))^INT(INT(EQ385/12)/INDEX('Lease Cycles'!$CP$30:$CV$30,1,EQ384))/12,IF(EQ384=1,IF(EQ385&gt;=INDEX('Lease Cycles'!$DK$30:$DQ$30,1,EQ384),IF(EQ$6&gt;='Lease Cycles'!$AZ$30,'Lease Cycles'!$C$30*'Lease Cycles'!$BA$30/12,IF(EQ$6&gt;='Lease Cycles'!$AX$30,'Lease Cycles'!$C$30*'Lease Cycles'!$AY$30/12,IF(EQ$6&gt;='Lease Cycles'!$AV$30,'Lease Cycles'!$C$30*'Lease Cycles'!$AW$30/12,IF(EQ$6&gt;='Lease Cycles'!$AT$30,'Lease Cycles'!$C$30*'Lease Cycles'!$AU$30/12,'Lease Cycles'!$C$30*INDEX('Lease Cycles'!$CB$30:$CH$30,1,EQ384)*(1+INDEX('Lease Cycles'!$CI$30:$CO$30,1,EQ384))^INT(INT(EQ385/12)/INDEX('Lease Cycles'!$CP$30:$CV$30,1,EQ384))/12)))),'Lease Cycles'!$C$30*INDEX('Lease Cycles'!$CB$30:$CH$30,1,EQ384)*(1+INDEX('Lease Cycles'!$CI$30:$CO$30,1,EQ384))^INT(INT(EQ385/12)/INDEX('Lease Cycles'!$CP$30:$CV$30,1,EQ384))/12),IF(INDEX('Lease Cycles'!$EF$30:$EL$30,1,EQ384)=1,IF(AND('Lease Cycles'!$AZ$30&gt;=INDEX('Lease Cycles'!$BG$30:$BM$30,1,EQ384),'Lease Cycles'!$AZ$30&lt;=EQ$6),'Lease Cycles'!$C$30*'Lease Cycles'!$BA$30/12,IF(AND('Lease Cycles'!$AX$30&gt;=INDEX('Lease Cycles'!$BG$30:$BM$30,1,EQ384),'Lease Cycles'!$AX$30&lt;=EQ$6),'Lease Cycles'!$C$30*'Lease Cycles'!$AY$30/12,IF(AND('Lease Cycles'!$AV$30&gt;=INDEX('Lease Cycles'!$BG$30:$BM$30,1,EQ384),'Lease Cycles'!$AV$30&lt;=EQ$6),'Lease Cycles'!$C$30*'Lease Cycles'!$AW$30/12,IF(AND('Lease Cycles'!$AT$30&gt;=INDEX('Lease Cycles'!$BG$30:$BM$30,1,EQ384),'Lease Cycles'!$AT$30&lt;=EQ$6),'Lease Cycles'!$C$30*'Lease Cycles'!$AU$30/12,'Lease Cycles'!$C$30*INDEX('Lease Cycles'!$CB$30:$CH$30,1,EQ384)*(1+INDEX('Lease Cycles'!$CI$30:$CO$30,1,EQ384))^INT(INT(EQ385/12)/INDEX('Lease Cycles'!$CP$30:$CV$30,1,EQ384))/12)))),'Lease Cycles'!$C$30*INDEX('Lease Cycles'!$CB$30:$CH$30,1,EQ384)*(1+INDEX('Lease Cycles'!$CI$30:$CO$30,1,EQ384))^INT(INT(EQ385/12)/INDEX('Lease Cycles'!$CP$30:$CV$30,1,EQ384))/12))),IF('Lease Cycles'!$N$30=1,'Lease Cycles'!$C$30*'Lease Cycles'!$E$30*INDEX('Lease Cycles'!$HE$30:$HK$30,1,EQ384)*(1+INDEX('Lease Cycles'!$GQ$30:$GW$30,1,EQ384))^INT(INT((EQ$6-INDEX('Lease Cycles'!$GJ$30:$GP$30,1,EQ384))/12)/INDEX('Lease Cycles'!$GX$30:$HD$30,1,EQ384))/12,0)))</f>
        <v>0</v>
      </c>
      <c r="ER387" s="28">
        <f>IF(ER384=0,IF('Lease Cycles'!$F$30&gt;0,'Lease Cycles'!$C$30*'Lease Cycles'!$E$30/12,0),IF(ER386=1,IF('Lease Cycles'!$AT$30&gt;=9999,'Lease Cycles'!$C$30*INDEX('Lease Cycles'!$CB$30:$CH$30,1,ER384)*(1+INDEX('Lease Cycles'!$CI$30:$CO$30,1,ER384))^INT(INT(ER385/12)/INDEX('Lease Cycles'!$CP$30:$CV$30,1,ER384))/12,IF(ER384=1,IF(ER385&gt;=INDEX('Lease Cycles'!$DK$30:$DQ$30,1,ER384),IF(ER$6&gt;='Lease Cycles'!$AZ$30,'Lease Cycles'!$C$30*'Lease Cycles'!$BA$30/12,IF(ER$6&gt;='Lease Cycles'!$AX$30,'Lease Cycles'!$C$30*'Lease Cycles'!$AY$30/12,IF(ER$6&gt;='Lease Cycles'!$AV$30,'Lease Cycles'!$C$30*'Lease Cycles'!$AW$30/12,IF(ER$6&gt;='Lease Cycles'!$AT$30,'Lease Cycles'!$C$30*'Lease Cycles'!$AU$30/12,'Lease Cycles'!$C$30*INDEX('Lease Cycles'!$CB$30:$CH$30,1,ER384)*(1+INDEX('Lease Cycles'!$CI$30:$CO$30,1,ER384))^INT(INT(ER385/12)/INDEX('Lease Cycles'!$CP$30:$CV$30,1,ER384))/12)))),'Lease Cycles'!$C$30*INDEX('Lease Cycles'!$CB$30:$CH$30,1,ER384)*(1+INDEX('Lease Cycles'!$CI$30:$CO$30,1,ER384))^INT(INT(ER385/12)/INDEX('Lease Cycles'!$CP$30:$CV$30,1,ER384))/12),IF(INDEX('Lease Cycles'!$EF$30:$EL$30,1,ER384)=1,IF(AND('Lease Cycles'!$AZ$30&gt;=INDEX('Lease Cycles'!$BG$30:$BM$30,1,ER384),'Lease Cycles'!$AZ$30&lt;=ER$6),'Lease Cycles'!$C$30*'Lease Cycles'!$BA$30/12,IF(AND('Lease Cycles'!$AX$30&gt;=INDEX('Lease Cycles'!$BG$30:$BM$30,1,ER384),'Lease Cycles'!$AX$30&lt;=ER$6),'Lease Cycles'!$C$30*'Lease Cycles'!$AY$30/12,IF(AND('Lease Cycles'!$AV$30&gt;=INDEX('Lease Cycles'!$BG$30:$BM$30,1,ER384),'Lease Cycles'!$AV$30&lt;=ER$6),'Lease Cycles'!$C$30*'Lease Cycles'!$AW$30/12,IF(AND('Lease Cycles'!$AT$30&gt;=INDEX('Lease Cycles'!$BG$30:$BM$30,1,ER384),'Lease Cycles'!$AT$30&lt;=ER$6),'Lease Cycles'!$C$30*'Lease Cycles'!$AU$30/12,'Lease Cycles'!$C$30*INDEX('Lease Cycles'!$CB$30:$CH$30,1,ER384)*(1+INDEX('Lease Cycles'!$CI$30:$CO$30,1,ER384))^INT(INT(ER385/12)/INDEX('Lease Cycles'!$CP$30:$CV$30,1,ER384))/12)))),'Lease Cycles'!$C$30*INDEX('Lease Cycles'!$CB$30:$CH$30,1,ER384)*(1+INDEX('Lease Cycles'!$CI$30:$CO$30,1,ER384))^INT(INT(ER385/12)/INDEX('Lease Cycles'!$CP$30:$CV$30,1,ER384))/12))),IF('Lease Cycles'!$N$30=1,'Lease Cycles'!$C$30*'Lease Cycles'!$E$30*INDEX('Lease Cycles'!$HE$30:$HK$30,1,ER384)*(1+INDEX('Lease Cycles'!$GQ$30:$GW$30,1,ER384))^INT(INT((ER$6-INDEX('Lease Cycles'!$GJ$30:$GP$30,1,ER384))/12)/INDEX('Lease Cycles'!$GX$30:$HD$30,1,ER384))/12,0)))</f>
        <v>0</v>
      </c>
      <c r="ES387" s="28">
        <f>IF(ES384=0,IF('Lease Cycles'!$F$30&gt;0,'Lease Cycles'!$C$30*'Lease Cycles'!$E$30/12,0),IF(ES386=1,IF('Lease Cycles'!$AT$30&gt;=9999,'Lease Cycles'!$C$30*INDEX('Lease Cycles'!$CB$30:$CH$30,1,ES384)*(1+INDEX('Lease Cycles'!$CI$30:$CO$30,1,ES384))^INT(INT(ES385/12)/INDEX('Lease Cycles'!$CP$30:$CV$30,1,ES384))/12,IF(ES384=1,IF(ES385&gt;=INDEX('Lease Cycles'!$DK$30:$DQ$30,1,ES384),IF(ES$6&gt;='Lease Cycles'!$AZ$30,'Lease Cycles'!$C$30*'Lease Cycles'!$BA$30/12,IF(ES$6&gt;='Lease Cycles'!$AX$30,'Lease Cycles'!$C$30*'Lease Cycles'!$AY$30/12,IF(ES$6&gt;='Lease Cycles'!$AV$30,'Lease Cycles'!$C$30*'Lease Cycles'!$AW$30/12,IF(ES$6&gt;='Lease Cycles'!$AT$30,'Lease Cycles'!$C$30*'Lease Cycles'!$AU$30/12,'Lease Cycles'!$C$30*INDEX('Lease Cycles'!$CB$30:$CH$30,1,ES384)*(1+INDEX('Lease Cycles'!$CI$30:$CO$30,1,ES384))^INT(INT(ES385/12)/INDEX('Lease Cycles'!$CP$30:$CV$30,1,ES384))/12)))),'Lease Cycles'!$C$30*INDEX('Lease Cycles'!$CB$30:$CH$30,1,ES384)*(1+INDEX('Lease Cycles'!$CI$30:$CO$30,1,ES384))^INT(INT(ES385/12)/INDEX('Lease Cycles'!$CP$30:$CV$30,1,ES384))/12),IF(INDEX('Lease Cycles'!$EF$30:$EL$30,1,ES384)=1,IF(AND('Lease Cycles'!$AZ$30&gt;=INDEX('Lease Cycles'!$BG$30:$BM$30,1,ES384),'Lease Cycles'!$AZ$30&lt;=ES$6),'Lease Cycles'!$C$30*'Lease Cycles'!$BA$30/12,IF(AND('Lease Cycles'!$AX$30&gt;=INDEX('Lease Cycles'!$BG$30:$BM$30,1,ES384),'Lease Cycles'!$AX$30&lt;=ES$6),'Lease Cycles'!$C$30*'Lease Cycles'!$AY$30/12,IF(AND('Lease Cycles'!$AV$30&gt;=INDEX('Lease Cycles'!$BG$30:$BM$30,1,ES384),'Lease Cycles'!$AV$30&lt;=ES$6),'Lease Cycles'!$C$30*'Lease Cycles'!$AW$30/12,IF(AND('Lease Cycles'!$AT$30&gt;=INDEX('Lease Cycles'!$BG$30:$BM$30,1,ES384),'Lease Cycles'!$AT$30&lt;=ES$6),'Lease Cycles'!$C$30*'Lease Cycles'!$AU$30/12,'Lease Cycles'!$C$30*INDEX('Lease Cycles'!$CB$30:$CH$30,1,ES384)*(1+INDEX('Lease Cycles'!$CI$30:$CO$30,1,ES384))^INT(INT(ES385/12)/INDEX('Lease Cycles'!$CP$30:$CV$30,1,ES384))/12)))),'Lease Cycles'!$C$30*INDEX('Lease Cycles'!$CB$30:$CH$30,1,ES384)*(1+INDEX('Lease Cycles'!$CI$30:$CO$30,1,ES384))^INT(INT(ES385/12)/INDEX('Lease Cycles'!$CP$30:$CV$30,1,ES384))/12))),IF('Lease Cycles'!$N$30=1,'Lease Cycles'!$C$30*'Lease Cycles'!$E$30*INDEX('Lease Cycles'!$HE$30:$HK$30,1,ES384)*(1+INDEX('Lease Cycles'!$GQ$30:$GW$30,1,ES384))^INT(INT((ES$6-INDEX('Lease Cycles'!$GJ$30:$GP$30,1,ES384))/12)/INDEX('Lease Cycles'!$GX$30:$HD$30,1,ES384))/12,0)))</f>
        <v>0</v>
      </c>
      <c r="ET387" s="28">
        <f>IF(ET384=0,IF('Lease Cycles'!$F$30&gt;0,'Lease Cycles'!$C$30*'Lease Cycles'!$E$30/12,0),IF(ET386=1,IF('Lease Cycles'!$AT$30&gt;=9999,'Lease Cycles'!$C$30*INDEX('Lease Cycles'!$CB$30:$CH$30,1,ET384)*(1+INDEX('Lease Cycles'!$CI$30:$CO$30,1,ET384))^INT(INT(ET385/12)/INDEX('Lease Cycles'!$CP$30:$CV$30,1,ET384))/12,IF(ET384=1,IF(ET385&gt;=INDEX('Lease Cycles'!$DK$30:$DQ$30,1,ET384),IF(ET$6&gt;='Lease Cycles'!$AZ$30,'Lease Cycles'!$C$30*'Lease Cycles'!$BA$30/12,IF(ET$6&gt;='Lease Cycles'!$AX$30,'Lease Cycles'!$C$30*'Lease Cycles'!$AY$30/12,IF(ET$6&gt;='Lease Cycles'!$AV$30,'Lease Cycles'!$C$30*'Lease Cycles'!$AW$30/12,IF(ET$6&gt;='Lease Cycles'!$AT$30,'Lease Cycles'!$C$30*'Lease Cycles'!$AU$30/12,'Lease Cycles'!$C$30*INDEX('Lease Cycles'!$CB$30:$CH$30,1,ET384)*(1+INDEX('Lease Cycles'!$CI$30:$CO$30,1,ET384))^INT(INT(ET385/12)/INDEX('Lease Cycles'!$CP$30:$CV$30,1,ET384))/12)))),'Lease Cycles'!$C$30*INDEX('Lease Cycles'!$CB$30:$CH$30,1,ET384)*(1+INDEX('Lease Cycles'!$CI$30:$CO$30,1,ET384))^INT(INT(ET385/12)/INDEX('Lease Cycles'!$CP$30:$CV$30,1,ET384))/12),IF(INDEX('Lease Cycles'!$EF$30:$EL$30,1,ET384)=1,IF(AND('Lease Cycles'!$AZ$30&gt;=INDEX('Lease Cycles'!$BG$30:$BM$30,1,ET384),'Lease Cycles'!$AZ$30&lt;=ET$6),'Lease Cycles'!$C$30*'Lease Cycles'!$BA$30/12,IF(AND('Lease Cycles'!$AX$30&gt;=INDEX('Lease Cycles'!$BG$30:$BM$30,1,ET384),'Lease Cycles'!$AX$30&lt;=ET$6),'Lease Cycles'!$C$30*'Lease Cycles'!$AY$30/12,IF(AND('Lease Cycles'!$AV$30&gt;=INDEX('Lease Cycles'!$BG$30:$BM$30,1,ET384),'Lease Cycles'!$AV$30&lt;=ET$6),'Lease Cycles'!$C$30*'Lease Cycles'!$AW$30/12,IF(AND('Lease Cycles'!$AT$30&gt;=INDEX('Lease Cycles'!$BG$30:$BM$30,1,ET384),'Lease Cycles'!$AT$30&lt;=ET$6),'Lease Cycles'!$C$30*'Lease Cycles'!$AU$30/12,'Lease Cycles'!$C$30*INDEX('Lease Cycles'!$CB$30:$CH$30,1,ET384)*(1+INDEX('Lease Cycles'!$CI$30:$CO$30,1,ET384))^INT(INT(ET385/12)/INDEX('Lease Cycles'!$CP$30:$CV$30,1,ET384))/12)))),'Lease Cycles'!$C$30*INDEX('Lease Cycles'!$CB$30:$CH$30,1,ET384)*(1+INDEX('Lease Cycles'!$CI$30:$CO$30,1,ET384))^INT(INT(ET385/12)/INDEX('Lease Cycles'!$CP$30:$CV$30,1,ET384))/12))),IF('Lease Cycles'!$N$30=1,'Lease Cycles'!$C$30*'Lease Cycles'!$E$30*INDEX('Lease Cycles'!$HE$30:$HK$30,1,ET384)*(1+INDEX('Lease Cycles'!$GQ$30:$GW$30,1,ET384))^INT(INT((ET$6-INDEX('Lease Cycles'!$GJ$30:$GP$30,1,ET384))/12)/INDEX('Lease Cycles'!$GX$30:$HD$30,1,ET384))/12,0)))</f>
        <v>0</v>
      </c>
    </row>
    <row r="388">
      <c r="A388" s="103">
        <v>23</v>
      </c>
      <c r="B388" s="23" t="str">
        <f>IF('Lease Cycles'!$B$30="","(empty slot)",'Lease Cycles'!$B$30)</f>
        <v>(empty slot)</v>
      </c>
      <c r="C388" s="23" t="s">
        <v>679</v>
      </c>
      <c r="D388" s="104" t="s">
        <v>680</v>
      </c>
      <c r="E388" s="25">
        <f>'Lease Cycles'!$AL$30</f>
        <v>0</v>
      </c>
      <c r="S388" s="28">
        <f>IF(S386=1,IF(INDEX('Lease Cycles'!$EF$30:$EL$30,1,S384)=1,'Lease Cycles'!$C$30*INDEX('Lease Cycles'!$ET$30:$EZ$30,1,S384)*(1+'Lease Cycles'!$V$30)^INT(INT(S385/12)/'Lease Cycles'!$W$30)/12,0),0)</f>
        <v>0</v>
      </c>
      <c r="T388" s="28">
        <f>IF(T386=1,IF(INDEX('Lease Cycles'!$EF$30:$EL$30,1,T384)=1,'Lease Cycles'!$C$30*INDEX('Lease Cycles'!$ET$30:$EZ$30,1,T384)*(1+'Lease Cycles'!$V$30)^INT(INT(T385/12)/'Lease Cycles'!$W$30)/12,0),0)</f>
        <v>0</v>
      </c>
      <c r="U388" s="28">
        <f>IF(U386=1,IF(INDEX('Lease Cycles'!$EF$30:$EL$30,1,U384)=1,'Lease Cycles'!$C$30*INDEX('Lease Cycles'!$ET$30:$EZ$30,1,U384)*(1+'Lease Cycles'!$V$30)^INT(INT(U385/12)/'Lease Cycles'!$W$30)/12,0),0)</f>
        <v>0</v>
      </c>
      <c r="V388" s="28">
        <f>IF(V386=1,IF(INDEX('Lease Cycles'!$EF$30:$EL$30,1,V384)=1,'Lease Cycles'!$C$30*INDEX('Lease Cycles'!$ET$30:$EZ$30,1,V384)*(1+'Lease Cycles'!$V$30)^INT(INT(V385/12)/'Lease Cycles'!$W$30)/12,0),0)</f>
        <v>0</v>
      </c>
      <c r="W388" s="28">
        <f>IF(W386=1,IF(INDEX('Lease Cycles'!$EF$30:$EL$30,1,W384)=1,'Lease Cycles'!$C$30*INDEX('Lease Cycles'!$ET$30:$EZ$30,1,W384)*(1+'Lease Cycles'!$V$30)^INT(INT(W385/12)/'Lease Cycles'!$W$30)/12,0),0)</f>
        <v>0</v>
      </c>
      <c r="X388" s="28">
        <f>IF(X386=1,IF(INDEX('Lease Cycles'!$EF$30:$EL$30,1,X384)=1,'Lease Cycles'!$C$30*INDEX('Lease Cycles'!$ET$30:$EZ$30,1,X384)*(1+'Lease Cycles'!$V$30)^INT(INT(X385/12)/'Lease Cycles'!$W$30)/12,0),0)</f>
        <v>0</v>
      </c>
      <c r="Y388" s="28">
        <f>IF(Y386=1,IF(INDEX('Lease Cycles'!$EF$30:$EL$30,1,Y384)=1,'Lease Cycles'!$C$30*INDEX('Lease Cycles'!$ET$30:$EZ$30,1,Y384)*(1+'Lease Cycles'!$V$30)^INT(INT(Y385/12)/'Lease Cycles'!$W$30)/12,0),0)</f>
        <v>0</v>
      </c>
      <c r="Z388" s="28">
        <f>IF(Z386=1,IF(INDEX('Lease Cycles'!$EF$30:$EL$30,1,Z384)=1,'Lease Cycles'!$C$30*INDEX('Lease Cycles'!$ET$30:$EZ$30,1,Z384)*(1+'Lease Cycles'!$V$30)^INT(INT(Z385/12)/'Lease Cycles'!$W$30)/12,0),0)</f>
        <v>0</v>
      </c>
      <c r="AA388" s="28">
        <f>IF(AA386=1,IF(INDEX('Lease Cycles'!$EF$30:$EL$30,1,AA384)=1,'Lease Cycles'!$C$30*INDEX('Lease Cycles'!$ET$30:$EZ$30,1,AA384)*(1+'Lease Cycles'!$V$30)^INT(INT(AA385/12)/'Lease Cycles'!$W$30)/12,0),0)</f>
        <v>0</v>
      </c>
      <c r="AB388" s="28">
        <f>IF(AB386=1,IF(INDEX('Lease Cycles'!$EF$30:$EL$30,1,AB384)=1,'Lease Cycles'!$C$30*INDEX('Lease Cycles'!$ET$30:$EZ$30,1,AB384)*(1+'Lease Cycles'!$V$30)^INT(INT(AB385/12)/'Lease Cycles'!$W$30)/12,0),0)</f>
        <v>0</v>
      </c>
      <c r="AC388" s="28">
        <f>IF(AC386=1,IF(INDEX('Lease Cycles'!$EF$30:$EL$30,1,AC384)=1,'Lease Cycles'!$C$30*INDEX('Lease Cycles'!$ET$30:$EZ$30,1,AC384)*(1+'Lease Cycles'!$V$30)^INT(INT(AC385/12)/'Lease Cycles'!$W$30)/12,0),0)</f>
        <v>0</v>
      </c>
      <c r="AD388" s="28">
        <f>IF(AD386=1,IF(INDEX('Lease Cycles'!$EF$30:$EL$30,1,AD384)=1,'Lease Cycles'!$C$30*INDEX('Lease Cycles'!$ET$30:$EZ$30,1,AD384)*(1+'Lease Cycles'!$V$30)^INT(INT(AD385/12)/'Lease Cycles'!$W$30)/12,0),0)</f>
        <v>0</v>
      </c>
      <c r="AE388" s="28">
        <f>IF(AE386=1,IF(INDEX('Lease Cycles'!$EF$30:$EL$30,1,AE384)=1,'Lease Cycles'!$C$30*INDEX('Lease Cycles'!$ET$30:$EZ$30,1,AE384)*(1+'Lease Cycles'!$V$30)^INT(INT(AE385/12)/'Lease Cycles'!$W$30)/12,0),0)</f>
        <v>0</v>
      </c>
      <c r="AF388" s="28">
        <f>IF(AF386=1,IF(INDEX('Lease Cycles'!$EF$30:$EL$30,1,AF384)=1,'Lease Cycles'!$C$30*INDEX('Lease Cycles'!$ET$30:$EZ$30,1,AF384)*(1+'Lease Cycles'!$V$30)^INT(INT(AF385/12)/'Lease Cycles'!$W$30)/12,0),0)</f>
        <v>0</v>
      </c>
      <c r="AG388" s="28">
        <f>IF(AG386=1,IF(INDEX('Lease Cycles'!$EF$30:$EL$30,1,AG384)=1,'Lease Cycles'!$C$30*INDEX('Lease Cycles'!$ET$30:$EZ$30,1,AG384)*(1+'Lease Cycles'!$V$30)^INT(INT(AG385/12)/'Lease Cycles'!$W$30)/12,0),0)</f>
        <v>0</v>
      </c>
      <c r="AH388" s="28">
        <f>IF(AH386=1,IF(INDEX('Lease Cycles'!$EF$30:$EL$30,1,AH384)=1,'Lease Cycles'!$C$30*INDEX('Lease Cycles'!$ET$30:$EZ$30,1,AH384)*(1+'Lease Cycles'!$V$30)^INT(INT(AH385/12)/'Lease Cycles'!$W$30)/12,0),0)</f>
        <v>0</v>
      </c>
      <c r="AI388" s="28">
        <f>IF(AI386=1,IF(INDEX('Lease Cycles'!$EF$30:$EL$30,1,AI384)=1,'Lease Cycles'!$C$30*INDEX('Lease Cycles'!$ET$30:$EZ$30,1,AI384)*(1+'Lease Cycles'!$V$30)^INT(INT(AI385/12)/'Lease Cycles'!$W$30)/12,0),0)</f>
        <v>0</v>
      </c>
      <c r="AJ388" s="28">
        <f>IF(AJ386=1,IF(INDEX('Lease Cycles'!$EF$30:$EL$30,1,AJ384)=1,'Lease Cycles'!$C$30*INDEX('Lease Cycles'!$ET$30:$EZ$30,1,AJ384)*(1+'Lease Cycles'!$V$30)^INT(INT(AJ385/12)/'Lease Cycles'!$W$30)/12,0),0)</f>
        <v>0</v>
      </c>
      <c r="AK388" s="28">
        <f>IF(AK386=1,IF(INDEX('Lease Cycles'!$EF$30:$EL$30,1,AK384)=1,'Lease Cycles'!$C$30*INDEX('Lease Cycles'!$ET$30:$EZ$30,1,AK384)*(1+'Lease Cycles'!$V$30)^INT(INT(AK385/12)/'Lease Cycles'!$W$30)/12,0),0)</f>
        <v>0</v>
      </c>
      <c r="AL388" s="28">
        <f>IF(AL386=1,IF(INDEX('Lease Cycles'!$EF$30:$EL$30,1,AL384)=1,'Lease Cycles'!$C$30*INDEX('Lease Cycles'!$ET$30:$EZ$30,1,AL384)*(1+'Lease Cycles'!$V$30)^INT(INT(AL385/12)/'Lease Cycles'!$W$30)/12,0),0)</f>
        <v>0</v>
      </c>
      <c r="AM388" s="28">
        <f>IF(AM386=1,IF(INDEX('Lease Cycles'!$EF$30:$EL$30,1,AM384)=1,'Lease Cycles'!$C$30*INDEX('Lease Cycles'!$ET$30:$EZ$30,1,AM384)*(1+'Lease Cycles'!$V$30)^INT(INT(AM385/12)/'Lease Cycles'!$W$30)/12,0),0)</f>
        <v>0</v>
      </c>
      <c r="AN388" s="28">
        <f>IF(AN386=1,IF(INDEX('Lease Cycles'!$EF$30:$EL$30,1,AN384)=1,'Lease Cycles'!$C$30*INDEX('Lease Cycles'!$ET$30:$EZ$30,1,AN384)*(1+'Lease Cycles'!$V$30)^INT(INT(AN385/12)/'Lease Cycles'!$W$30)/12,0),0)</f>
        <v>0</v>
      </c>
      <c r="AO388" s="28">
        <f>IF(AO386=1,IF(INDEX('Lease Cycles'!$EF$30:$EL$30,1,AO384)=1,'Lease Cycles'!$C$30*INDEX('Lease Cycles'!$ET$30:$EZ$30,1,AO384)*(1+'Lease Cycles'!$V$30)^INT(INT(AO385/12)/'Lease Cycles'!$W$30)/12,0),0)</f>
        <v>0</v>
      </c>
      <c r="AP388" s="28">
        <f>IF(AP386=1,IF(INDEX('Lease Cycles'!$EF$30:$EL$30,1,AP384)=1,'Lease Cycles'!$C$30*INDEX('Lease Cycles'!$ET$30:$EZ$30,1,AP384)*(1+'Lease Cycles'!$V$30)^INT(INT(AP385/12)/'Lease Cycles'!$W$30)/12,0),0)</f>
        <v>0</v>
      </c>
      <c r="AQ388" s="28">
        <f>IF(AQ386=1,IF(INDEX('Lease Cycles'!$EF$30:$EL$30,1,AQ384)=1,'Lease Cycles'!$C$30*INDEX('Lease Cycles'!$ET$30:$EZ$30,1,AQ384)*(1+'Lease Cycles'!$V$30)^INT(INT(AQ385/12)/'Lease Cycles'!$W$30)/12,0),0)</f>
        <v>0</v>
      </c>
      <c r="AR388" s="28">
        <f>IF(AR386=1,IF(INDEX('Lease Cycles'!$EF$30:$EL$30,1,AR384)=1,'Lease Cycles'!$C$30*INDEX('Lease Cycles'!$ET$30:$EZ$30,1,AR384)*(1+'Lease Cycles'!$V$30)^INT(INT(AR385/12)/'Lease Cycles'!$W$30)/12,0),0)</f>
        <v>0</v>
      </c>
      <c r="AS388" s="28">
        <f>IF(AS386=1,IF(INDEX('Lease Cycles'!$EF$30:$EL$30,1,AS384)=1,'Lease Cycles'!$C$30*INDEX('Lease Cycles'!$ET$30:$EZ$30,1,AS384)*(1+'Lease Cycles'!$V$30)^INT(INT(AS385/12)/'Lease Cycles'!$W$30)/12,0),0)</f>
        <v>0</v>
      </c>
      <c r="AT388" s="28">
        <f>IF(AT386=1,IF(INDEX('Lease Cycles'!$EF$30:$EL$30,1,AT384)=1,'Lease Cycles'!$C$30*INDEX('Lease Cycles'!$ET$30:$EZ$30,1,AT384)*(1+'Lease Cycles'!$V$30)^INT(INT(AT385/12)/'Lease Cycles'!$W$30)/12,0),0)</f>
        <v>0</v>
      </c>
      <c r="AU388" s="28">
        <f>IF(AU386=1,IF(INDEX('Lease Cycles'!$EF$30:$EL$30,1,AU384)=1,'Lease Cycles'!$C$30*INDEX('Lease Cycles'!$ET$30:$EZ$30,1,AU384)*(1+'Lease Cycles'!$V$30)^INT(INT(AU385/12)/'Lease Cycles'!$W$30)/12,0),0)</f>
        <v>0</v>
      </c>
      <c r="AV388" s="28">
        <f>IF(AV386=1,IF(INDEX('Lease Cycles'!$EF$30:$EL$30,1,AV384)=1,'Lease Cycles'!$C$30*INDEX('Lease Cycles'!$ET$30:$EZ$30,1,AV384)*(1+'Lease Cycles'!$V$30)^INT(INT(AV385/12)/'Lease Cycles'!$W$30)/12,0),0)</f>
        <v>0</v>
      </c>
      <c r="AW388" s="28">
        <f>IF(AW386=1,IF(INDEX('Lease Cycles'!$EF$30:$EL$30,1,AW384)=1,'Lease Cycles'!$C$30*INDEX('Lease Cycles'!$ET$30:$EZ$30,1,AW384)*(1+'Lease Cycles'!$V$30)^INT(INT(AW385/12)/'Lease Cycles'!$W$30)/12,0),0)</f>
        <v>0</v>
      </c>
      <c r="AX388" s="28">
        <f>IF(AX386=1,IF(INDEX('Lease Cycles'!$EF$30:$EL$30,1,AX384)=1,'Lease Cycles'!$C$30*INDEX('Lease Cycles'!$ET$30:$EZ$30,1,AX384)*(1+'Lease Cycles'!$V$30)^INT(INT(AX385/12)/'Lease Cycles'!$W$30)/12,0),0)</f>
        <v>0</v>
      </c>
      <c r="AY388" s="28">
        <f>IF(AY386=1,IF(INDEX('Lease Cycles'!$EF$30:$EL$30,1,AY384)=1,'Lease Cycles'!$C$30*INDEX('Lease Cycles'!$ET$30:$EZ$30,1,AY384)*(1+'Lease Cycles'!$V$30)^INT(INT(AY385/12)/'Lease Cycles'!$W$30)/12,0),0)</f>
        <v>0</v>
      </c>
      <c r="AZ388" s="28">
        <f>IF(AZ386=1,IF(INDEX('Lease Cycles'!$EF$30:$EL$30,1,AZ384)=1,'Lease Cycles'!$C$30*INDEX('Lease Cycles'!$ET$30:$EZ$30,1,AZ384)*(1+'Lease Cycles'!$V$30)^INT(INT(AZ385/12)/'Lease Cycles'!$W$30)/12,0),0)</f>
        <v>0</v>
      </c>
      <c r="BA388" s="28">
        <f>IF(BA386=1,IF(INDEX('Lease Cycles'!$EF$30:$EL$30,1,BA384)=1,'Lease Cycles'!$C$30*INDEX('Lease Cycles'!$ET$30:$EZ$30,1,BA384)*(1+'Lease Cycles'!$V$30)^INT(INT(BA385/12)/'Lease Cycles'!$W$30)/12,0),0)</f>
        <v>0</v>
      </c>
      <c r="BB388" s="28">
        <f>IF(BB386=1,IF(INDEX('Lease Cycles'!$EF$30:$EL$30,1,BB384)=1,'Lease Cycles'!$C$30*INDEX('Lease Cycles'!$ET$30:$EZ$30,1,BB384)*(1+'Lease Cycles'!$V$30)^INT(INT(BB385/12)/'Lease Cycles'!$W$30)/12,0),0)</f>
        <v>0</v>
      </c>
      <c r="BC388" s="28">
        <f>IF(BC386=1,IF(INDEX('Lease Cycles'!$EF$30:$EL$30,1,BC384)=1,'Lease Cycles'!$C$30*INDEX('Lease Cycles'!$ET$30:$EZ$30,1,BC384)*(1+'Lease Cycles'!$V$30)^INT(INT(BC385/12)/'Lease Cycles'!$W$30)/12,0),0)</f>
        <v>0</v>
      </c>
      <c r="BD388" s="28">
        <f>IF(BD386=1,IF(INDEX('Lease Cycles'!$EF$30:$EL$30,1,BD384)=1,'Lease Cycles'!$C$30*INDEX('Lease Cycles'!$ET$30:$EZ$30,1,BD384)*(1+'Lease Cycles'!$V$30)^INT(INT(BD385/12)/'Lease Cycles'!$W$30)/12,0),0)</f>
        <v>0</v>
      </c>
      <c r="BE388" s="28">
        <f>IF(BE386=1,IF(INDEX('Lease Cycles'!$EF$30:$EL$30,1,BE384)=1,'Lease Cycles'!$C$30*INDEX('Lease Cycles'!$ET$30:$EZ$30,1,BE384)*(1+'Lease Cycles'!$V$30)^INT(INT(BE385/12)/'Lease Cycles'!$W$30)/12,0),0)</f>
        <v>0</v>
      </c>
      <c r="BF388" s="28">
        <f>IF(BF386=1,IF(INDEX('Lease Cycles'!$EF$30:$EL$30,1,BF384)=1,'Lease Cycles'!$C$30*INDEX('Lease Cycles'!$ET$30:$EZ$30,1,BF384)*(1+'Lease Cycles'!$V$30)^INT(INT(BF385/12)/'Lease Cycles'!$W$30)/12,0),0)</f>
        <v>0</v>
      </c>
      <c r="BG388" s="28">
        <f>IF(BG386=1,IF(INDEX('Lease Cycles'!$EF$30:$EL$30,1,BG384)=1,'Lease Cycles'!$C$30*INDEX('Lease Cycles'!$ET$30:$EZ$30,1,BG384)*(1+'Lease Cycles'!$V$30)^INT(INT(BG385/12)/'Lease Cycles'!$W$30)/12,0),0)</f>
        <v>0</v>
      </c>
      <c r="BH388" s="28">
        <f>IF(BH386=1,IF(INDEX('Lease Cycles'!$EF$30:$EL$30,1,BH384)=1,'Lease Cycles'!$C$30*INDEX('Lease Cycles'!$ET$30:$EZ$30,1,BH384)*(1+'Lease Cycles'!$V$30)^INT(INT(BH385/12)/'Lease Cycles'!$W$30)/12,0),0)</f>
        <v>0</v>
      </c>
      <c r="BI388" s="28">
        <f>IF(BI386=1,IF(INDEX('Lease Cycles'!$EF$30:$EL$30,1,BI384)=1,'Lease Cycles'!$C$30*INDEX('Lease Cycles'!$ET$30:$EZ$30,1,BI384)*(1+'Lease Cycles'!$V$30)^INT(INT(BI385/12)/'Lease Cycles'!$W$30)/12,0),0)</f>
        <v>0</v>
      </c>
      <c r="BJ388" s="28">
        <f>IF(BJ386=1,IF(INDEX('Lease Cycles'!$EF$30:$EL$30,1,BJ384)=1,'Lease Cycles'!$C$30*INDEX('Lease Cycles'!$ET$30:$EZ$30,1,BJ384)*(1+'Lease Cycles'!$V$30)^INT(INT(BJ385/12)/'Lease Cycles'!$W$30)/12,0),0)</f>
        <v>0</v>
      </c>
      <c r="BK388" s="28">
        <f>IF(BK386=1,IF(INDEX('Lease Cycles'!$EF$30:$EL$30,1,BK384)=1,'Lease Cycles'!$C$30*INDEX('Lease Cycles'!$ET$30:$EZ$30,1,BK384)*(1+'Lease Cycles'!$V$30)^INT(INT(BK385/12)/'Lease Cycles'!$W$30)/12,0),0)</f>
        <v>0</v>
      </c>
      <c r="BL388" s="28">
        <f>IF(BL386=1,IF(INDEX('Lease Cycles'!$EF$30:$EL$30,1,BL384)=1,'Lease Cycles'!$C$30*INDEX('Lease Cycles'!$ET$30:$EZ$30,1,BL384)*(1+'Lease Cycles'!$V$30)^INT(INT(BL385/12)/'Lease Cycles'!$W$30)/12,0),0)</f>
        <v>0</v>
      </c>
      <c r="BM388" s="28">
        <f>IF(BM386=1,IF(INDEX('Lease Cycles'!$EF$30:$EL$30,1,BM384)=1,'Lease Cycles'!$C$30*INDEX('Lease Cycles'!$ET$30:$EZ$30,1,BM384)*(1+'Lease Cycles'!$V$30)^INT(INT(BM385/12)/'Lease Cycles'!$W$30)/12,0),0)</f>
        <v>0</v>
      </c>
      <c r="BN388" s="28">
        <f>IF(BN386=1,IF(INDEX('Lease Cycles'!$EF$30:$EL$30,1,BN384)=1,'Lease Cycles'!$C$30*INDEX('Lease Cycles'!$ET$30:$EZ$30,1,BN384)*(1+'Lease Cycles'!$V$30)^INT(INT(BN385/12)/'Lease Cycles'!$W$30)/12,0),0)</f>
        <v>0</v>
      </c>
      <c r="BO388" s="28">
        <f>IF(BO386=1,IF(INDEX('Lease Cycles'!$EF$30:$EL$30,1,BO384)=1,'Lease Cycles'!$C$30*INDEX('Lease Cycles'!$ET$30:$EZ$30,1,BO384)*(1+'Lease Cycles'!$V$30)^INT(INT(BO385/12)/'Lease Cycles'!$W$30)/12,0),0)</f>
        <v>0</v>
      </c>
      <c r="BP388" s="28">
        <f>IF(BP386=1,IF(INDEX('Lease Cycles'!$EF$30:$EL$30,1,BP384)=1,'Lease Cycles'!$C$30*INDEX('Lease Cycles'!$ET$30:$EZ$30,1,BP384)*(1+'Lease Cycles'!$V$30)^INT(INT(BP385/12)/'Lease Cycles'!$W$30)/12,0),0)</f>
        <v>0</v>
      </c>
      <c r="BQ388" s="28">
        <f>IF(BQ386=1,IF(INDEX('Lease Cycles'!$EF$30:$EL$30,1,BQ384)=1,'Lease Cycles'!$C$30*INDEX('Lease Cycles'!$ET$30:$EZ$30,1,BQ384)*(1+'Lease Cycles'!$V$30)^INT(INT(BQ385/12)/'Lease Cycles'!$W$30)/12,0),0)</f>
        <v>0</v>
      </c>
      <c r="BR388" s="28">
        <f>IF(BR386=1,IF(INDEX('Lease Cycles'!$EF$30:$EL$30,1,BR384)=1,'Lease Cycles'!$C$30*INDEX('Lease Cycles'!$ET$30:$EZ$30,1,BR384)*(1+'Lease Cycles'!$V$30)^INT(INT(BR385/12)/'Lease Cycles'!$W$30)/12,0),0)</f>
        <v>0</v>
      </c>
      <c r="BS388" s="28">
        <f>IF(BS386=1,IF(INDEX('Lease Cycles'!$EF$30:$EL$30,1,BS384)=1,'Lease Cycles'!$C$30*INDEX('Lease Cycles'!$ET$30:$EZ$30,1,BS384)*(1+'Lease Cycles'!$V$30)^INT(INT(BS385/12)/'Lease Cycles'!$W$30)/12,0),0)</f>
        <v>0</v>
      </c>
      <c r="BT388" s="28">
        <f>IF(BT386=1,IF(INDEX('Lease Cycles'!$EF$30:$EL$30,1,BT384)=1,'Lease Cycles'!$C$30*INDEX('Lease Cycles'!$ET$30:$EZ$30,1,BT384)*(1+'Lease Cycles'!$V$30)^INT(INT(BT385/12)/'Lease Cycles'!$W$30)/12,0),0)</f>
        <v>0</v>
      </c>
      <c r="BU388" s="28">
        <f>IF(BU386=1,IF(INDEX('Lease Cycles'!$EF$30:$EL$30,1,BU384)=1,'Lease Cycles'!$C$30*INDEX('Lease Cycles'!$ET$30:$EZ$30,1,BU384)*(1+'Lease Cycles'!$V$30)^INT(INT(BU385/12)/'Lease Cycles'!$W$30)/12,0),0)</f>
        <v>0</v>
      </c>
      <c r="BV388" s="28">
        <f>IF(BV386=1,IF(INDEX('Lease Cycles'!$EF$30:$EL$30,1,BV384)=1,'Lease Cycles'!$C$30*INDEX('Lease Cycles'!$ET$30:$EZ$30,1,BV384)*(1+'Lease Cycles'!$V$30)^INT(INT(BV385/12)/'Lease Cycles'!$W$30)/12,0),0)</f>
        <v>0</v>
      </c>
      <c r="BW388" s="28">
        <f>IF(BW386=1,IF(INDEX('Lease Cycles'!$EF$30:$EL$30,1,BW384)=1,'Lease Cycles'!$C$30*INDEX('Lease Cycles'!$ET$30:$EZ$30,1,BW384)*(1+'Lease Cycles'!$V$30)^INT(INT(BW385/12)/'Lease Cycles'!$W$30)/12,0),0)</f>
        <v>0</v>
      </c>
      <c r="BX388" s="28">
        <f>IF(BX386=1,IF(INDEX('Lease Cycles'!$EF$30:$EL$30,1,BX384)=1,'Lease Cycles'!$C$30*INDEX('Lease Cycles'!$ET$30:$EZ$30,1,BX384)*(1+'Lease Cycles'!$V$30)^INT(INT(BX385/12)/'Lease Cycles'!$W$30)/12,0),0)</f>
        <v>0</v>
      </c>
      <c r="BY388" s="28">
        <f>IF(BY386=1,IF(INDEX('Lease Cycles'!$EF$30:$EL$30,1,BY384)=1,'Lease Cycles'!$C$30*INDEX('Lease Cycles'!$ET$30:$EZ$30,1,BY384)*(1+'Lease Cycles'!$V$30)^INT(INT(BY385/12)/'Lease Cycles'!$W$30)/12,0),0)</f>
        <v>0</v>
      </c>
      <c r="BZ388" s="28">
        <f>IF(BZ386=1,IF(INDEX('Lease Cycles'!$EF$30:$EL$30,1,BZ384)=1,'Lease Cycles'!$C$30*INDEX('Lease Cycles'!$ET$30:$EZ$30,1,BZ384)*(1+'Lease Cycles'!$V$30)^INT(INT(BZ385/12)/'Lease Cycles'!$W$30)/12,0),0)</f>
        <v>0</v>
      </c>
      <c r="CA388" s="28">
        <f>IF(CA386=1,IF(INDEX('Lease Cycles'!$EF$30:$EL$30,1,CA384)=1,'Lease Cycles'!$C$30*INDEX('Lease Cycles'!$ET$30:$EZ$30,1,CA384)*(1+'Lease Cycles'!$V$30)^INT(INT(CA385/12)/'Lease Cycles'!$W$30)/12,0),0)</f>
        <v>0</v>
      </c>
      <c r="CB388" s="28">
        <f>IF(CB386=1,IF(INDEX('Lease Cycles'!$EF$30:$EL$30,1,CB384)=1,'Lease Cycles'!$C$30*INDEX('Lease Cycles'!$ET$30:$EZ$30,1,CB384)*(1+'Lease Cycles'!$V$30)^INT(INT(CB385/12)/'Lease Cycles'!$W$30)/12,0),0)</f>
        <v>0</v>
      </c>
      <c r="CC388" s="28">
        <f>IF(CC386=1,IF(INDEX('Lease Cycles'!$EF$30:$EL$30,1,CC384)=1,'Lease Cycles'!$C$30*INDEX('Lease Cycles'!$ET$30:$EZ$30,1,CC384)*(1+'Lease Cycles'!$V$30)^INT(INT(CC385/12)/'Lease Cycles'!$W$30)/12,0),0)</f>
        <v>0</v>
      </c>
      <c r="CD388" s="28">
        <f>IF(CD386=1,IF(INDEX('Lease Cycles'!$EF$30:$EL$30,1,CD384)=1,'Lease Cycles'!$C$30*INDEX('Lease Cycles'!$ET$30:$EZ$30,1,CD384)*(1+'Lease Cycles'!$V$30)^INT(INT(CD385/12)/'Lease Cycles'!$W$30)/12,0),0)</f>
        <v>0</v>
      </c>
      <c r="CE388" s="28">
        <f>IF(CE386=1,IF(INDEX('Lease Cycles'!$EF$30:$EL$30,1,CE384)=1,'Lease Cycles'!$C$30*INDEX('Lease Cycles'!$ET$30:$EZ$30,1,CE384)*(1+'Lease Cycles'!$V$30)^INT(INT(CE385/12)/'Lease Cycles'!$W$30)/12,0),0)</f>
        <v>0</v>
      </c>
      <c r="CF388" s="28">
        <f>IF(CF386=1,IF(INDEX('Lease Cycles'!$EF$30:$EL$30,1,CF384)=1,'Lease Cycles'!$C$30*INDEX('Lease Cycles'!$ET$30:$EZ$30,1,CF384)*(1+'Lease Cycles'!$V$30)^INT(INT(CF385/12)/'Lease Cycles'!$W$30)/12,0),0)</f>
        <v>0</v>
      </c>
      <c r="CG388" s="28">
        <f>IF(CG386=1,IF(INDEX('Lease Cycles'!$EF$30:$EL$30,1,CG384)=1,'Lease Cycles'!$C$30*INDEX('Lease Cycles'!$ET$30:$EZ$30,1,CG384)*(1+'Lease Cycles'!$V$30)^INT(INT(CG385/12)/'Lease Cycles'!$W$30)/12,0),0)</f>
        <v>0</v>
      </c>
      <c r="CH388" s="28">
        <f>IF(CH386=1,IF(INDEX('Lease Cycles'!$EF$30:$EL$30,1,CH384)=1,'Lease Cycles'!$C$30*INDEX('Lease Cycles'!$ET$30:$EZ$30,1,CH384)*(1+'Lease Cycles'!$V$30)^INT(INT(CH385/12)/'Lease Cycles'!$W$30)/12,0),0)</f>
        <v>0</v>
      </c>
      <c r="CI388" s="28">
        <f>IF(CI386=1,IF(INDEX('Lease Cycles'!$EF$30:$EL$30,1,CI384)=1,'Lease Cycles'!$C$30*INDEX('Lease Cycles'!$ET$30:$EZ$30,1,CI384)*(1+'Lease Cycles'!$V$30)^INT(INT(CI385/12)/'Lease Cycles'!$W$30)/12,0),0)</f>
        <v>0</v>
      </c>
      <c r="CJ388" s="28">
        <f>IF(CJ386=1,IF(INDEX('Lease Cycles'!$EF$30:$EL$30,1,CJ384)=1,'Lease Cycles'!$C$30*INDEX('Lease Cycles'!$ET$30:$EZ$30,1,CJ384)*(1+'Lease Cycles'!$V$30)^INT(INT(CJ385/12)/'Lease Cycles'!$W$30)/12,0),0)</f>
        <v>0</v>
      </c>
      <c r="CK388" s="28">
        <f>IF(CK386=1,IF(INDEX('Lease Cycles'!$EF$30:$EL$30,1,CK384)=1,'Lease Cycles'!$C$30*INDEX('Lease Cycles'!$ET$30:$EZ$30,1,CK384)*(1+'Lease Cycles'!$V$30)^INT(INT(CK385/12)/'Lease Cycles'!$W$30)/12,0),0)</f>
        <v>0</v>
      </c>
      <c r="CL388" s="28">
        <f>IF(CL386=1,IF(INDEX('Lease Cycles'!$EF$30:$EL$30,1,CL384)=1,'Lease Cycles'!$C$30*INDEX('Lease Cycles'!$ET$30:$EZ$30,1,CL384)*(1+'Lease Cycles'!$V$30)^INT(INT(CL385/12)/'Lease Cycles'!$W$30)/12,0),0)</f>
        <v>0</v>
      </c>
      <c r="CM388" s="28">
        <f>IF(CM386=1,IF(INDEX('Lease Cycles'!$EF$30:$EL$30,1,CM384)=1,'Lease Cycles'!$C$30*INDEX('Lease Cycles'!$ET$30:$EZ$30,1,CM384)*(1+'Lease Cycles'!$V$30)^INT(INT(CM385/12)/'Lease Cycles'!$W$30)/12,0),0)</f>
        <v>0</v>
      </c>
      <c r="CN388" s="28">
        <f>IF(CN386=1,IF(INDEX('Lease Cycles'!$EF$30:$EL$30,1,CN384)=1,'Lease Cycles'!$C$30*INDEX('Lease Cycles'!$ET$30:$EZ$30,1,CN384)*(1+'Lease Cycles'!$V$30)^INT(INT(CN385/12)/'Lease Cycles'!$W$30)/12,0),0)</f>
        <v>0</v>
      </c>
      <c r="CO388" s="28">
        <f>IF(CO386=1,IF(INDEX('Lease Cycles'!$EF$30:$EL$30,1,CO384)=1,'Lease Cycles'!$C$30*INDEX('Lease Cycles'!$ET$30:$EZ$30,1,CO384)*(1+'Lease Cycles'!$V$30)^INT(INT(CO385/12)/'Lease Cycles'!$W$30)/12,0),0)</f>
        <v>0</v>
      </c>
      <c r="CP388" s="28">
        <f>IF(CP386=1,IF(INDEX('Lease Cycles'!$EF$30:$EL$30,1,CP384)=1,'Lease Cycles'!$C$30*INDEX('Lease Cycles'!$ET$30:$EZ$30,1,CP384)*(1+'Lease Cycles'!$V$30)^INT(INT(CP385/12)/'Lease Cycles'!$W$30)/12,0),0)</f>
        <v>0</v>
      </c>
      <c r="CQ388" s="28">
        <f>IF(CQ386=1,IF(INDEX('Lease Cycles'!$EF$30:$EL$30,1,CQ384)=1,'Lease Cycles'!$C$30*INDEX('Lease Cycles'!$ET$30:$EZ$30,1,CQ384)*(1+'Lease Cycles'!$V$30)^INT(INT(CQ385/12)/'Lease Cycles'!$W$30)/12,0),0)</f>
        <v>0</v>
      </c>
      <c r="CR388" s="28">
        <f>IF(CR386=1,IF(INDEX('Lease Cycles'!$EF$30:$EL$30,1,CR384)=1,'Lease Cycles'!$C$30*INDEX('Lease Cycles'!$ET$30:$EZ$30,1,CR384)*(1+'Lease Cycles'!$V$30)^INT(INT(CR385/12)/'Lease Cycles'!$W$30)/12,0),0)</f>
        <v>0</v>
      </c>
      <c r="CS388" s="28">
        <f>IF(CS386=1,IF(INDEX('Lease Cycles'!$EF$30:$EL$30,1,CS384)=1,'Lease Cycles'!$C$30*INDEX('Lease Cycles'!$ET$30:$EZ$30,1,CS384)*(1+'Lease Cycles'!$V$30)^INT(INT(CS385/12)/'Lease Cycles'!$W$30)/12,0),0)</f>
        <v>0</v>
      </c>
      <c r="CT388" s="28">
        <f>IF(CT386=1,IF(INDEX('Lease Cycles'!$EF$30:$EL$30,1,CT384)=1,'Lease Cycles'!$C$30*INDEX('Lease Cycles'!$ET$30:$EZ$30,1,CT384)*(1+'Lease Cycles'!$V$30)^INT(INT(CT385/12)/'Lease Cycles'!$W$30)/12,0),0)</f>
        <v>0</v>
      </c>
      <c r="CU388" s="28">
        <f>IF(CU386=1,IF(INDEX('Lease Cycles'!$EF$30:$EL$30,1,CU384)=1,'Lease Cycles'!$C$30*INDEX('Lease Cycles'!$ET$30:$EZ$30,1,CU384)*(1+'Lease Cycles'!$V$30)^INT(INT(CU385/12)/'Lease Cycles'!$W$30)/12,0),0)</f>
        <v>0</v>
      </c>
      <c r="CV388" s="28">
        <f>IF(CV386=1,IF(INDEX('Lease Cycles'!$EF$30:$EL$30,1,CV384)=1,'Lease Cycles'!$C$30*INDEX('Lease Cycles'!$ET$30:$EZ$30,1,CV384)*(1+'Lease Cycles'!$V$30)^INT(INT(CV385/12)/'Lease Cycles'!$W$30)/12,0),0)</f>
        <v>0</v>
      </c>
      <c r="CW388" s="28">
        <f>IF(CW386=1,IF(INDEX('Lease Cycles'!$EF$30:$EL$30,1,CW384)=1,'Lease Cycles'!$C$30*INDEX('Lease Cycles'!$ET$30:$EZ$30,1,CW384)*(1+'Lease Cycles'!$V$30)^INT(INT(CW385/12)/'Lease Cycles'!$W$30)/12,0),0)</f>
        <v>0</v>
      </c>
      <c r="CX388" s="28">
        <f>IF(CX386=1,IF(INDEX('Lease Cycles'!$EF$30:$EL$30,1,CX384)=1,'Lease Cycles'!$C$30*INDEX('Lease Cycles'!$ET$30:$EZ$30,1,CX384)*(1+'Lease Cycles'!$V$30)^INT(INT(CX385/12)/'Lease Cycles'!$W$30)/12,0),0)</f>
        <v>0</v>
      </c>
      <c r="CY388" s="28">
        <f>IF(CY386=1,IF(INDEX('Lease Cycles'!$EF$30:$EL$30,1,CY384)=1,'Lease Cycles'!$C$30*INDEX('Lease Cycles'!$ET$30:$EZ$30,1,CY384)*(1+'Lease Cycles'!$V$30)^INT(INT(CY385/12)/'Lease Cycles'!$W$30)/12,0),0)</f>
        <v>0</v>
      </c>
      <c r="CZ388" s="28">
        <f>IF(CZ386=1,IF(INDEX('Lease Cycles'!$EF$30:$EL$30,1,CZ384)=1,'Lease Cycles'!$C$30*INDEX('Lease Cycles'!$ET$30:$EZ$30,1,CZ384)*(1+'Lease Cycles'!$V$30)^INT(INT(CZ385/12)/'Lease Cycles'!$W$30)/12,0),0)</f>
        <v>0</v>
      </c>
      <c r="DA388" s="28">
        <f>IF(DA386=1,IF(INDEX('Lease Cycles'!$EF$30:$EL$30,1,DA384)=1,'Lease Cycles'!$C$30*INDEX('Lease Cycles'!$ET$30:$EZ$30,1,DA384)*(1+'Lease Cycles'!$V$30)^INT(INT(DA385/12)/'Lease Cycles'!$W$30)/12,0),0)</f>
        <v>0</v>
      </c>
      <c r="DB388" s="28">
        <f>IF(DB386=1,IF(INDEX('Lease Cycles'!$EF$30:$EL$30,1,DB384)=1,'Lease Cycles'!$C$30*INDEX('Lease Cycles'!$ET$30:$EZ$30,1,DB384)*(1+'Lease Cycles'!$V$30)^INT(INT(DB385/12)/'Lease Cycles'!$W$30)/12,0),0)</f>
        <v>0</v>
      </c>
      <c r="DC388" s="28">
        <f>IF(DC386=1,IF(INDEX('Lease Cycles'!$EF$30:$EL$30,1,DC384)=1,'Lease Cycles'!$C$30*INDEX('Lease Cycles'!$ET$30:$EZ$30,1,DC384)*(1+'Lease Cycles'!$V$30)^INT(INT(DC385/12)/'Lease Cycles'!$W$30)/12,0),0)</f>
        <v>0</v>
      </c>
      <c r="DD388" s="28">
        <f>IF(DD386=1,IF(INDEX('Lease Cycles'!$EF$30:$EL$30,1,DD384)=1,'Lease Cycles'!$C$30*INDEX('Lease Cycles'!$ET$30:$EZ$30,1,DD384)*(1+'Lease Cycles'!$V$30)^INT(INT(DD385/12)/'Lease Cycles'!$W$30)/12,0),0)</f>
        <v>0</v>
      </c>
      <c r="DE388" s="28">
        <f>IF(DE386=1,IF(INDEX('Lease Cycles'!$EF$30:$EL$30,1,DE384)=1,'Lease Cycles'!$C$30*INDEX('Lease Cycles'!$ET$30:$EZ$30,1,DE384)*(1+'Lease Cycles'!$V$30)^INT(INT(DE385/12)/'Lease Cycles'!$W$30)/12,0),0)</f>
        <v>0</v>
      </c>
      <c r="DF388" s="28">
        <f>IF(DF386=1,IF(INDEX('Lease Cycles'!$EF$30:$EL$30,1,DF384)=1,'Lease Cycles'!$C$30*INDEX('Lease Cycles'!$ET$30:$EZ$30,1,DF384)*(1+'Lease Cycles'!$V$30)^INT(INT(DF385/12)/'Lease Cycles'!$W$30)/12,0),0)</f>
        <v>0</v>
      </c>
      <c r="DG388" s="28">
        <f>IF(DG386=1,IF(INDEX('Lease Cycles'!$EF$30:$EL$30,1,DG384)=1,'Lease Cycles'!$C$30*INDEX('Lease Cycles'!$ET$30:$EZ$30,1,DG384)*(1+'Lease Cycles'!$V$30)^INT(INT(DG385/12)/'Lease Cycles'!$W$30)/12,0),0)</f>
        <v>0</v>
      </c>
      <c r="DH388" s="28">
        <f>IF(DH386=1,IF(INDEX('Lease Cycles'!$EF$30:$EL$30,1,DH384)=1,'Lease Cycles'!$C$30*INDEX('Lease Cycles'!$ET$30:$EZ$30,1,DH384)*(1+'Lease Cycles'!$V$30)^INT(INT(DH385/12)/'Lease Cycles'!$W$30)/12,0),0)</f>
        <v>0</v>
      </c>
      <c r="DI388" s="28">
        <f>IF(DI386=1,IF(INDEX('Lease Cycles'!$EF$30:$EL$30,1,DI384)=1,'Lease Cycles'!$C$30*INDEX('Lease Cycles'!$ET$30:$EZ$30,1,DI384)*(1+'Lease Cycles'!$V$30)^INT(INT(DI385/12)/'Lease Cycles'!$W$30)/12,0),0)</f>
        <v>0</v>
      </c>
      <c r="DJ388" s="28">
        <f>IF(DJ386=1,IF(INDEX('Lease Cycles'!$EF$30:$EL$30,1,DJ384)=1,'Lease Cycles'!$C$30*INDEX('Lease Cycles'!$ET$30:$EZ$30,1,DJ384)*(1+'Lease Cycles'!$V$30)^INT(INT(DJ385/12)/'Lease Cycles'!$W$30)/12,0),0)</f>
        <v>0</v>
      </c>
      <c r="DK388" s="28">
        <f>IF(DK386=1,IF(INDEX('Lease Cycles'!$EF$30:$EL$30,1,DK384)=1,'Lease Cycles'!$C$30*INDEX('Lease Cycles'!$ET$30:$EZ$30,1,DK384)*(1+'Lease Cycles'!$V$30)^INT(INT(DK385/12)/'Lease Cycles'!$W$30)/12,0),0)</f>
        <v>0</v>
      </c>
      <c r="DL388" s="28">
        <f>IF(DL386=1,IF(INDEX('Lease Cycles'!$EF$30:$EL$30,1,DL384)=1,'Lease Cycles'!$C$30*INDEX('Lease Cycles'!$ET$30:$EZ$30,1,DL384)*(1+'Lease Cycles'!$V$30)^INT(INT(DL385/12)/'Lease Cycles'!$W$30)/12,0),0)</f>
        <v>0</v>
      </c>
      <c r="DM388" s="28">
        <f>IF(DM386=1,IF(INDEX('Lease Cycles'!$EF$30:$EL$30,1,DM384)=1,'Lease Cycles'!$C$30*INDEX('Lease Cycles'!$ET$30:$EZ$30,1,DM384)*(1+'Lease Cycles'!$V$30)^INT(INT(DM385/12)/'Lease Cycles'!$W$30)/12,0),0)</f>
        <v>0</v>
      </c>
      <c r="DN388" s="28">
        <f>IF(DN386=1,IF(INDEX('Lease Cycles'!$EF$30:$EL$30,1,DN384)=1,'Lease Cycles'!$C$30*INDEX('Lease Cycles'!$ET$30:$EZ$30,1,DN384)*(1+'Lease Cycles'!$V$30)^INT(INT(DN385/12)/'Lease Cycles'!$W$30)/12,0),0)</f>
        <v>0</v>
      </c>
      <c r="DO388" s="28">
        <f>IF(DO386=1,IF(INDEX('Lease Cycles'!$EF$30:$EL$30,1,DO384)=1,'Lease Cycles'!$C$30*INDEX('Lease Cycles'!$ET$30:$EZ$30,1,DO384)*(1+'Lease Cycles'!$V$30)^INT(INT(DO385/12)/'Lease Cycles'!$W$30)/12,0),0)</f>
        <v>0</v>
      </c>
      <c r="DP388" s="28">
        <f>IF(DP386=1,IF(INDEX('Lease Cycles'!$EF$30:$EL$30,1,DP384)=1,'Lease Cycles'!$C$30*INDEX('Lease Cycles'!$ET$30:$EZ$30,1,DP384)*(1+'Lease Cycles'!$V$30)^INT(INT(DP385/12)/'Lease Cycles'!$W$30)/12,0),0)</f>
        <v>0</v>
      </c>
      <c r="DQ388" s="28">
        <f>IF(DQ386=1,IF(INDEX('Lease Cycles'!$EF$30:$EL$30,1,DQ384)=1,'Lease Cycles'!$C$30*INDEX('Lease Cycles'!$ET$30:$EZ$30,1,DQ384)*(1+'Lease Cycles'!$V$30)^INT(INT(DQ385/12)/'Lease Cycles'!$W$30)/12,0),0)</f>
        <v>0</v>
      </c>
      <c r="DR388" s="28">
        <f>IF(DR386=1,IF(INDEX('Lease Cycles'!$EF$30:$EL$30,1,DR384)=1,'Lease Cycles'!$C$30*INDEX('Lease Cycles'!$ET$30:$EZ$30,1,DR384)*(1+'Lease Cycles'!$V$30)^INT(INT(DR385/12)/'Lease Cycles'!$W$30)/12,0),0)</f>
        <v>0</v>
      </c>
      <c r="DS388" s="28">
        <f>IF(DS386=1,IF(INDEX('Lease Cycles'!$EF$30:$EL$30,1,DS384)=1,'Lease Cycles'!$C$30*INDEX('Lease Cycles'!$ET$30:$EZ$30,1,DS384)*(1+'Lease Cycles'!$V$30)^INT(INT(DS385/12)/'Lease Cycles'!$W$30)/12,0),0)</f>
        <v>0</v>
      </c>
      <c r="DT388" s="28">
        <f>IF(DT386=1,IF(INDEX('Lease Cycles'!$EF$30:$EL$30,1,DT384)=1,'Lease Cycles'!$C$30*INDEX('Lease Cycles'!$ET$30:$EZ$30,1,DT384)*(1+'Lease Cycles'!$V$30)^INT(INT(DT385/12)/'Lease Cycles'!$W$30)/12,0),0)</f>
        <v>0</v>
      </c>
      <c r="DU388" s="28">
        <f>IF(DU386=1,IF(INDEX('Lease Cycles'!$EF$30:$EL$30,1,DU384)=1,'Lease Cycles'!$C$30*INDEX('Lease Cycles'!$ET$30:$EZ$30,1,DU384)*(1+'Lease Cycles'!$V$30)^INT(INT(DU385/12)/'Lease Cycles'!$W$30)/12,0),0)</f>
        <v>0</v>
      </c>
      <c r="DV388" s="28">
        <f>IF(DV386=1,IF(INDEX('Lease Cycles'!$EF$30:$EL$30,1,DV384)=1,'Lease Cycles'!$C$30*INDEX('Lease Cycles'!$ET$30:$EZ$30,1,DV384)*(1+'Lease Cycles'!$V$30)^INT(INT(DV385/12)/'Lease Cycles'!$W$30)/12,0),0)</f>
        <v>0</v>
      </c>
      <c r="DW388" s="28">
        <f>IF(DW386=1,IF(INDEX('Lease Cycles'!$EF$30:$EL$30,1,DW384)=1,'Lease Cycles'!$C$30*INDEX('Lease Cycles'!$ET$30:$EZ$30,1,DW384)*(1+'Lease Cycles'!$V$30)^INT(INT(DW385/12)/'Lease Cycles'!$W$30)/12,0),0)</f>
        <v>0</v>
      </c>
      <c r="DX388" s="28">
        <f>IF(DX386=1,IF(INDEX('Lease Cycles'!$EF$30:$EL$30,1,DX384)=1,'Lease Cycles'!$C$30*INDEX('Lease Cycles'!$ET$30:$EZ$30,1,DX384)*(1+'Lease Cycles'!$V$30)^INT(INT(DX385/12)/'Lease Cycles'!$W$30)/12,0),0)</f>
        <v>0</v>
      </c>
      <c r="DY388" s="28">
        <f>IF(DY386=1,IF(INDEX('Lease Cycles'!$EF$30:$EL$30,1,DY384)=1,'Lease Cycles'!$C$30*INDEX('Lease Cycles'!$ET$30:$EZ$30,1,DY384)*(1+'Lease Cycles'!$V$30)^INT(INT(DY385/12)/'Lease Cycles'!$W$30)/12,0),0)</f>
        <v>0</v>
      </c>
      <c r="DZ388" s="28">
        <f>IF(DZ386=1,IF(INDEX('Lease Cycles'!$EF$30:$EL$30,1,DZ384)=1,'Lease Cycles'!$C$30*INDEX('Lease Cycles'!$ET$30:$EZ$30,1,DZ384)*(1+'Lease Cycles'!$V$30)^INT(INT(DZ385/12)/'Lease Cycles'!$W$30)/12,0),0)</f>
        <v>0</v>
      </c>
      <c r="EA388" s="28">
        <f>IF(EA386=1,IF(INDEX('Lease Cycles'!$EF$30:$EL$30,1,EA384)=1,'Lease Cycles'!$C$30*INDEX('Lease Cycles'!$ET$30:$EZ$30,1,EA384)*(1+'Lease Cycles'!$V$30)^INT(INT(EA385/12)/'Lease Cycles'!$W$30)/12,0),0)</f>
        <v>0</v>
      </c>
      <c r="EB388" s="28">
        <f>IF(EB386=1,IF(INDEX('Lease Cycles'!$EF$30:$EL$30,1,EB384)=1,'Lease Cycles'!$C$30*INDEX('Lease Cycles'!$ET$30:$EZ$30,1,EB384)*(1+'Lease Cycles'!$V$30)^INT(INT(EB385/12)/'Lease Cycles'!$W$30)/12,0),0)</f>
        <v>0</v>
      </c>
      <c r="EC388" s="28">
        <f>IF(EC386=1,IF(INDEX('Lease Cycles'!$EF$30:$EL$30,1,EC384)=1,'Lease Cycles'!$C$30*INDEX('Lease Cycles'!$ET$30:$EZ$30,1,EC384)*(1+'Lease Cycles'!$V$30)^INT(INT(EC385/12)/'Lease Cycles'!$W$30)/12,0),0)</f>
        <v>0</v>
      </c>
      <c r="ED388" s="28">
        <f>IF(ED386=1,IF(INDEX('Lease Cycles'!$EF$30:$EL$30,1,ED384)=1,'Lease Cycles'!$C$30*INDEX('Lease Cycles'!$ET$30:$EZ$30,1,ED384)*(1+'Lease Cycles'!$V$30)^INT(INT(ED385/12)/'Lease Cycles'!$W$30)/12,0),0)</f>
        <v>0</v>
      </c>
      <c r="EE388" s="28">
        <f>IF(EE386=1,IF(INDEX('Lease Cycles'!$EF$30:$EL$30,1,EE384)=1,'Lease Cycles'!$C$30*INDEX('Lease Cycles'!$ET$30:$EZ$30,1,EE384)*(1+'Lease Cycles'!$V$30)^INT(INT(EE385/12)/'Lease Cycles'!$W$30)/12,0),0)</f>
        <v>0</v>
      </c>
      <c r="EF388" s="28">
        <f>IF(EF386=1,IF(INDEX('Lease Cycles'!$EF$30:$EL$30,1,EF384)=1,'Lease Cycles'!$C$30*INDEX('Lease Cycles'!$ET$30:$EZ$30,1,EF384)*(1+'Lease Cycles'!$V$30)^INT(INT(EF385/12)/'Lease Cycles'!$W$30)/12,0),0)</f>
        <v>0</v>
      </c>
      <c r="EG388" s="28">
        <f>IF(EG386=1,IF(INDEX('Lease Cycles'!$EF$30:$EL$30,1,EG384)=1,'Lease Cycles'!$C$30*INDEX('Lease Cycles'!$ET$30:$EZ$30,1,EG384)*(1+'Lease Cycles'!$V$30)^INT(INT(EG385/12)/'Lease Cycles'!$W$30)/12,0),0)</f>
        <v>0</v>
      </c>
      <c r="EH388" s="28">
        <f>IF(EH386=1,IF(INDEX('Lease Cycles'!$EF$30:$EL$30,1,EH384)=1,'Lease Cycles'!$C$30*INDEX('Lease Cycles'!$ET$30:$EZ$30,1,EH384)*(1+'Lease Cycles'!$V$30)^INT(INT(EH385/12)/'Lease Cycles'!$W$30)/12,0),0)</f>
        <v>0</v>
      </c>
      <c r="EI388" s="28">
        <f>IF(EI386=1,IF(INDEX('Lease Cycles'!$EF$30:$EL$30,1,EI384)=1,'Lease Cycles'!$C$30*INDEX('Lease Cycles'!$ET$30:$EZ$30,1,EI384)*(1+'Lease Cycles'!$V$30)^INT(INT(EI385/12)/'Lease Cycles'!$W$30)/12,0),0)</f>
        <v>0</v>
      </c>
      <c r="EJ388" s="28">
        <f>IF(EJ386=1,IF(INDEX('Lease Cycles'!$EF$30:$EL$30,1,EJ384)=1,'Lease Cycles'!$C$30*INDEX('Lease Cycles'!$ET$30:$EZ$30,1,EJ384)*(1+'Lease Cycles'!$V$30)^INT(INT(EJ385/12)/'Lease Cycles'!$W$30)/12,0),0)</f>
        <v>0</v>
      </c>
      <c r="EK388" s="28">
        <f>IF(EK386=1,IF(INDEX('Lease Cycles'!$EF$30:$EL$30,1,EK384)=1,'Lease Cycles'!$C$30*INDEX('Lease Cycles'!$ET$30:$EZ$30,1,EK384)*(1+'Lease Cycles'!$V$30)^INT(INT(EK385/12)/'Lease Cycles'!$W$30)/12,0),0)</f>
        <v>0</v>
      </c>
      <c r="EL388" s="28">
        <f>IF(EL386=1,IF(INDEX('Lease Cycles'!$EF$30:$EL$30,1,EL384)=1,'Lease Cycles'!$C$30*INDEX('Lease Cycles'!$ET$30:$EZ$30,1,EL384)*(1+'Lease Cycles'!$V$30)^INT(INT(EL385/12)/'Lease Cycles'!$W$30)/12,0),0)</f>
        <v>0</v>
      </c>
      <c r="EM388" s="28">
        <f>IF(EM386=1,IF(INDEX('Lease Cycles'!$EF$30:$EL$30,1,EM384)=1,'Lease Cycles'!$C$30*INDEX('Lease Cycles'!$ET$30:$EZ$30,1,EM384)*(1+'Lease Cycles'!$V$30)^INT(INT(EM385/12)/'Lease Cycles'!$W$30)/12,0),0)</f>
        <v>0</v>
      </c>
      <c r="EN388" s="28">
        <f>IF(EN386=1,IF(INDEX('Lease Cycles'!$EF$30:$EL$30,1,EN384)=1,'Lease Cycles'!$C$30*INDEX('Lease Cycles'!$ET$30:$EZ$30,1,EN384)*(1+'Lease Cycles'!$V$30)^INT(INT(EN385/12)/'Lease Cycles'!$W$30)/12,0),0)</f>
        <v>0</v>
      </c>
      <c r="EO388" s="28">
        <f>IF(EO386=1,IF(INDEX('Lease Cycles'!$EF$30:$EL$30,1,EO384)=1,'Lease Cycles'!$C$30*INDEX('Lease Cycles'!$ET$30:$EZ$30,1,EO384)*(1+'Lease Cycles'!$V$30)^INT(INT(EO385/12)/'Lease Cycles'!$W$30)/12,0),0)</f>
        <v>0</v>
      </c>
      <c r="EP388" s="28">
        <f>IF(EP386=1,IF(INDEX('Lease Cycles'!$EF$30:$EL$30,1,EP384)=1,'Lease Cycles'!$C$30*INDEX('Lease Cycles'!$ET$30:$EZ$30,1,EP384)*(1+'Lease Cycles'!$V$30)^INT(INT(EP385/12)/'Lease Cycles'!$W$30)/12,0),0)</f>
        <v>0</v>
      </c>
      <c r="EQ388" s="28">
        <f>IF(EQ386=1,IF(INDEX('Lease Cycles'!$EF$30:$EL$30,1,EQ384)=1,'Lease Cycles'!$C$30*INDEX('Lease Cycles'!$ET$30:$EZ$30,1,EQ384)*(1+'Lease Cycles'!$V$30)^INT(INT(EQ385/12)/'Lease Cycles'!$W$30)/12,0),0)</f>
        <v>0</v>
      </c>
      <c r="ER388" s="28">
        <f>IF(ER386=1,IF(INDEX('Lease Cycles'!$EF$30:$EL$30,1,ER384)=1,'Lease Cycles'!$C$30*INDEX('Lease Cycles'!$ET$30:$EZ$30,1,ER384)*(1+'Lease Cycles'!$V$30)^INT(INT(ER385/12)/'Lease Cycles'!$W$30)/12,0),0)</f>
        <v>0</v>
      </c>
      <c r="ES388" s="28">
        <f>IF(ES386=1,IF(INDEX('Lease Cycles'!$EF$30:$EL$30,1,ES384)=1,'Lease Cycles'!$C$30*INDEX('Lease Cycles'!$ET$30:$EZ$30,1,ES384)*(1+'Lease Cycles'!$V$30)^INT(INT(ES385/12)/'Lease Cycles'!$W$30)/12,0),0)</f>
        <v>0</v>
      </c>
      <c r="ET388" s="28">
        <f>IF(ET386=1,IF(INDEX('Lease Cycles'!$EF$30:$EL$30,1,ET384)=1,'Lease Cycles'!$C$30*INDEX('Lease Cycles'!$ET$30:$EZ$30,1,ET384)*(1+'Lease Cycles'!$V$30)^INT(INT(ET385/12)/'Lease Cycles'!$W$30)/12,0),0)</f>
        <v>0</v>
      </c>
    </row>
    <row r="389">
      <c r="A389" s="103">
        <v>23</v>
      </c>
      <c r="B389" s="23" t="str">
        <f>IF('Lease Cycles'!$B$30="","(empty slot)",'Lease Cycles'!$B$30)</f>
        <v>(empty slot)</v>
      </c>
      <c r="C389" s="23" t="s">
        <v>681</v>
      </c>
      <c r="D389" s="104" t="s">
        <v>490</v>
      </c>
      <c r="E389" s="25">
        <f>'Lease Cycles'!$AL$30</f>
        <v>0</v>
      </c>
      <c r="G389" s="28">
        <f>SUM(S389:AD389)</f>
        <v>0</v>
      </c>
      <c r="H389" s="28">
        <f>SUM(AE389:AP389)</f>
        <v>0</v>
      </c>
      <c r="I389" s="28">
        <f>SUM(AQ389:BB389)</f>
        <v>0</v>
      </c>
      <c r="J389" s="28">
        <f>SUM(BC389:BN389)</f>
        <v>0</v>
      </c>
      <c r="K389" s="28">
        <f>SUM(BO389:BZ389)</f>
        <v>0</v>
      </c>
      <c r="L389" s="28">
        <f>SUM(CA389:CL389)</f>
        <v>0</v>
      </c>
      <c r="M389" s="28">
        <f>SUM(CM389:CX389)</f>
        <v>0</v>
      </c>
      <c r="N389" s="28">
        <f>SUM(CY389:DJ389)</f>
        <v>0</v>
      </c>
      <c r="O389" s="28">
        <f>SUM(DK389:DV389)</f>
        <v>0</v>
      </c>
      <c r="P389" s="28">
        <f>SUM(DW389:EH389)</f>
        <v>0</v>
      </c>
      <c r="Q389" s="28">
        <f>SUM(EI389:ET389)</f>
        <v>0</v>
      </c>
      <c r="S389" s="28">
        <f>IF(S386=1,IF(INDEX('Lease Cycles'!$EF$30:$EL$30,1,S384)=1,S387*INDEX('Lease Cycles'!$EM$30:$ES$30,1,S384)+S388*(1-INDEX('Lease Cycles'!$EM$30:$ES$30,1,S384)),S387),S387)</f>
        <v>0</v>
      </c>
      <c r="T389" s="28">
        <f>IF(T386=1,IF(INDEX('Lease Cycles'!$EF$30:$EL$30,1,T384)=1,T387*INDEX('Lease Cycles'!$EM$30:$ES$30,1,T384)+T388*(1-INDEX('Lease Cycles'!$EM$30:$ES$30,1,T384)),T387),T387)</f>
        <v>0</v>
      </c>
      <c r="U389" s="28">
        <f>IF(U386=1,IF(INDEX('Lease Cycles'!$EF$30:$EL$30,1,U384)=1,U387*INDEX('Lease Cycles'!$EM$30:$ES$30,1,U384)+U388*(1-INDEX('Lease Cycles'!$EM$30:$ES$30,1,U384)),U387),U387)</f>
        <v>0</v>
      </c>
      <c r="V389" s="28">
        <f>IF(V386=1,IF(INDEX('Lease Cycles'!$EF$30:$EL$30,1,V384)=1,V387*INDEX('Lease Cycles'!$EM$30:$ES$30,1,V384)+V388*(1-INDEX('Lease Cycles'!$EM$30:$ES$30,1,V384)),V387),V387)</f>
        <v>0</v>
      </c>
      <c r="W389" s="28">
        <f>IF(W386=1,IF(INDEX('Lease Cycles'!$EF$30:$EL$30,1,W384)=1,W387*INDEX('Lease Cycles'!$EM$30:$ES$30,1,W384)+W388*(1-INDEX('Lease Cycles'!$EM$30:$ES$30,1,W384)),W387),W387)</f>
        <v>0</v>
      </c>
      <c r="X389" s="28">
        <f>IF(X386=1,IF(INDEX('Lease Cycles'!$EF$30:$EL$30,1,X384)=1,X387*INDEX('Lease Cycles'!$EM$30:$ES$30,1,X384)+X388*(1-INDEX('Lease Cycles'!$EM$30:$ES$30,1,X384)),X387),X387)</f>
        <v>0</v>
      </c>
      <c r="Y389" s="28">
        <f>IF(Y386=1,IF(INDEX('Lease Cycles'!$EF$30:$EL$30,1,Y384)=1,Y387*INDEX('Lease Cycles'!$EM$30:$ES$30,1,Y384)+Y388*(1-INDEX('Lease Cycles'!$EM$30:$ES$30,1,Y384)),Y387),Y387)</f>
        <v>0</v>
      </c>
      <c r="Z389" s="28">
        <f>IF(Z386=1,IF(INDEX('Lease Cycles'!$EF$30:$EL$30,1,Z384)=1,Z387*INDEX('Lease Cycles'!$EM$30:$ES$30,1,Z384)+Z388*(1-INDEX('Lease Cycles'!$EM$30:$ES$30,1,Z384)),Z387),Z387)</f>
        <v>0</v>
      </c>
      <c r="AA389" s="28">
        <f>IF(AA386=1,IF(INDEX('Lease Cycles'!$EF$30:$EL$30,1,AA384)=1,AA387*INDEX('Lease Cycles'!$EM$30:$ES$30,1,AA384)+AA388*(1-INDEX('Lease Cycles'!$EM$30:$ES$30,1,AA384)),AA387),AA387)</f>
        <v>0</v>
      </c>
      <c r="AB389" s="28">
        <f>IF(AB386=1,IF(INDEX('Lease Cycles'!$EF$30:$EL$30,1,AB384)=1,AB387*INDEX('Lease Cycles'!$EM$30:$ES$30,1,AB384)+AB388*(1-INDEX('Lease Cycles'!$EM$30:$ES$30,1,AB384)),AB387),AB387)</f>
        <v>0</v>
      </c>
      <c r="AC389" s="28">
        <f>IF(AC386=1,IF(INDEX('Lease Cycles'!$EF$30:$EL$30,1,AC384)=1,AC387*INDEX('Lease Cycles'!$EM$30:$ES$30,1,AC384)+AC388*(1-INDEX('Lease Cycles'!$EM$30:$ES$30,1,AC384)),AC387),AC387)</f>
        <v>0</v>
      </c>
      <c r="AD389" s="28">
        <f>IF(AD386=1,IF(INDEX('Lease Cycles'!$EF$30:$EL$30,1,AD384)=1,AD387*INDEX('Lease Cycles'!$EM$30:$ES$30,1,AD384)+AD388*(1-INDEX('Lease Cycles'!$EM$30:$ES$30,1,AD384)),AD387),AD387)</f>
        <v>0</v>
      </c>
      <c r="AE389" s="28">
        <f>IF(AE386=1,IF(INDEX('Lease Cycles'!$EF$30:$EL$30,1,AE384)=1,AE387*INDEX('Lease Cycles'!$EM$30:$ES$30,1,AE384)+AE388*(1-INDEX('Lease Cycles'!$EM$30:$ES$30,1,AE384)),AE387),AE387)</f>
        <v>0</v>
      </c>
      <c r="AF389" s="28">
        <f>IF(AF386=1,IF(INDEX('Lease Cycles'!$EF$30:$EL$30,1,AF384)=1,AF387*INDEX('Lease Cycles'!$EM$30:$ES$30,1,AF384)+AF388*(1-INDEX('Lease Cycles'!$EM$30:$ES$30,1,AF384)),AF387),AF387)</f>
        <v>0</v>
      </c>
      <c r="AG389" s="28">
        <f>IF(AG386=1,IF(INDEX('Lease Cycles'!$EF$30:$EL$30,1,AG384)=1,AG387*INDEX('Lease Cycles'!$EM$30:$ES$30,1,AG384)+AG388*(1-INDEX('Lease Cycles'!$EM$30:$ES$30,1,AG384)),AG387),AG387)</f>
        <v>0</v>
      </c>
      <c r="AH389" s="28">
        <f>IF(AH386=1,IF(INDEX('Lease Cycles'!$EF$30:$EL$30,1,AH384)=1,AH387*INDEX('Lease Cycles'!$EM$30:$ES$30,1,AH384)+AH388*(1-INDEX('Lease Cycles'!$EM$30:$ES$30,1,AH384)),AH387),AH387)</f>
        <v>0</v>
      </c>
      <c r="AI389" s="28">
        <f>IF(AI386=1,IF(INDEX('Lease Cycles'!$EF$30:$EL$30,1,AI384)=1,AI387*INDEX('Lease Cycles'!$EM$30:$ES$30,1,AI384)+AI388*(1-INDEX('Lease Cycles'!$EM$30:$ES$30,1,AI384)),AI387),AI387)</f>
        <v>0</v>
      </c>
      <c r="AJ389" s="28">
        <f>IF(AJ386=1,IF(INDEX('Lease Cycles'!$EF$30:$EL$30,1,AJ384)=1,AJ387*INDEX('Lease Cycles'!$EM$30:$ES$30,1,AJ384)+AJ388*(1-INDEX('Lease Cycles'!$EM$30:$ES$30,1,AJ384)),AJ387),AJ387)</f>
        <v>0</v>
      </c>
      <c r="AK389" s="28">
        <f>IF(AK386=1,IF(INDEX('Lease Cycles'!$EF$30:$EL$30,1,AK384)=1,AK387*INDEX('Lease Cycles'!$EM$30:$ES$30,1,AK384)+AK388*(1-INDEX('Lease Cycles'!$EM$30:$ES$30,1,AK384)),AK387),AK387)</f>
        <v>0</v>
      </c>
      <c r="AL389" s="28">
        <f>IF(AL386=1,IF(INDEX('Lease Cycles'!$EF$30:$EL$30,1,AL384)=1,AL387*INDEX('Lease Cycles'!$EM$30:$ES$30,1,AL384)+AL388*(1-INDEX('Lease Cycles'!$EM$30:$ES$30,1,AL384)),AL387),AL387)</f>
        <v>0</v>
      </c>
      <c r="AM389" s="28">
        <f>IF(AM386=1,IF(INDEX('Lease Cycles'!$EF$30:$EL$30,1,AM384)=1,AM387*INDEX('Lease Cycles'!$EM$30:$ES$30,1,AM384)+AM388*(1-INDEX('Lease Cycles'!$EM$30:$ES$30,1,AM384)),AM387),AM387)</f>
        <v>0</v>
      </c>
      <c r="AN389" s="28">
        <f>IF(AN386=1,IF(INDEX('Lease Cycles'!$EF$30:$EL$30,1,AN384)=1,AN387*INDEX('Lease Cycles'!$EM$30:$ES$30,1,AN384)+AN388*(1-INDEX('Lease Cycles'!$EM$30:$ES$30,1,AN384)),AN387),AN387)</f>
        <v>0</v>
      </c>
      <c r="AO389" s="28">
        <f>IF(AO386=1,IF(INDEX('Lease Cycles'!$EF$30:$EL$30,1,AO384)=1,AO387*INDEX('Lease Cycles'!$EM$30:$ES$30,1,AO384)+AO388*(1-INDEX('Lease Cycles'!$EM$30:$ES$30,1,AO384)),AO387),AO387)</f>
        <v>0</v>
      </c>
      <c r="AP389" s="28">
        <f>IF(AP386=1,IF(INDEX('Lease Cycles'!$EF$30:$EL$30,1,AP384)=1,AP387*INDEX('Lease Cycles'!$EM$30:$ES$30,1,AP384)+AP388*(1-INDEX('Lease Cycles'!$EM$30:$ES$30,1,AP384)),AP387),AP387)</f>
        <v>0</v>
      </c>
      <c r="AQ389" s="28">
        <f>IF(AQ386=1,IF(INDEX('Lease Cycles'!$EF$30:$EL$30,1,AQ384)=1,AQ387*INDEX('Lease Cycles'!$EM$30:$ES$30,1,AQ384)+AQ388*(1-INDEX('Lease Cycles'!$EM$30:$ES$30,1,AQ384)),AQ387),AQ387)</f>
        <v>0</v>
      </c>
      <c r="AR389" s="28">
        <f>IF(AR386=1,IF(INDEX('Lease Cycles'!$EF$30:$EL$30,1,AR384)=1,AR387*INDEX('Lease Cycles'!$EM$30:$ES$30,1,AR384)+AR388*(1-INDEX('Lease Cycles'!$EM$30:$ES$30,1,AR384)),AR387),AR387)</f>
        <v>0</v>
      </c>
      <c r="AS389" s="28">
        <f>IF(AS386=1,IF(INDEX('Lease Cycles'!$EF$30:$EL$30,1,AS384)=1,AS387*INDEX('Lease Cycles'!$EM$30:$ES$30,1,AS384)+AS388*(1-INDEX('Lease Cycles'!$EM$30:$ES$30,1,AS384)),AS387),AS387)</f>
        <v>0</v>
      </c>
      <c r="AT389" s="28">
        <f>IF(AT386=1,IF(INDEX('Lease Cycles'!$EF$30:$EL$30,1,AT384)=1,AT387*INDEX('Lease Cycles'!$EM$30:$ES$30,1,AT384)+AT388*(1-INDEX('Lease Cycles'!$EM$30:$ES$30,1,AT384)),AT387),AT387)</f>
        <v>0</v>
      </c>
      <c r="AU389" s="28">
        <f>IF(AU386=1,IF(INDEX('Lease Cycles'!$EF$30:$EL$30,1,AU384)=1,AU387*INDEX('Lease Cycles'!$EM$30:$ES$30,1,AU384)+AU388*(1-INDEX('Lease Cycles'!$EM$30:$ES$30,1,AU384)),AU387),AU387)</f>
        <v>0</v>
      </c>
      <c r="AV389" s="28">
        <f>IF(AV386=1,IF(INDEX('Lease Cycles'!$EF$30:$EL$30,1,AV384)=1,AV387*INDEX('Lease Cycles'!$EM$30:$ES$30,1,AV384)+AV388*(1-INDEX('Lease Cycles'!$EM$30:$ES$30,1,AV384)),AV387),AV387)</f>
        <v>0</v>
      </c>
      <c r="AW389" s="28">
        <f>IF(AW386=1,IF(INDEX('Lease Cycles'!$EF$30:$EL$30,1,AW384)=1,AW387*INDEX('Lease Cycles'!$EM$30:$ES$30,1,AW384)+AW388*(1-INDEX('Lease Cycles'!$EM$30:$ES$30,1,AW384)),AW387),AW387)</f>
        <v>0</v>
      </c>
      <c r="AX389" s="28">
        <f>IF(AX386=1,IF(INDEX('Lease Cycles'!$EF$30:$EL$30,1,AX384)=1,AX387*INDEX('Lease Cycles'!$EM$30:$ES$30,1,AX384)+AX388*(1-INDEX('Lease Cycles'!$EM$30:$ES$30,1,AX384)),AX387),AX387)</f>
        <v>0</v>
      </c>
      <c r="AY389" s="28">
        <f>IF(AY386=1,IF(INDEX('Lease Cycles'!$EF$30:$EL$30,1,AY384)=1,AY387*INDEX('Lease Cycles'!$EM$30:$ES$30,1,AY384)+AY388*(1-INDEX('Lease Cycles'!$EM$30:$ES$30,1,AY384)),AY387),AY387)</f>
        <v>0</v>
      </c>
      <c r="AZ389" s="28">
        <f>IF(AZ386=1,IF(INDEX('Lease Cycles'!$EF$30:$EL$30,1,AZ384)=1,AZ387*INDEX('Lease Cycles'!$EM$30:$ES$30,1,AZ384)+AZ388*(1-INDEX('Lease Cycles'!$EM$30:$ES$30,1,AZ384)),AZ387),AZ387)</f>
        <v>0</v>
      </c>
      <c r="BA389" s="28">
        <f>IF(BA386=1,IF(INDEX('Lease Cycles'!$EF$30:$EL$30,1,BA384)=1,BA387*INDEX('Lease Cycles'!$EM$30:$ES$30,1,BA384)+BA388*(1-INDEX('Lease Cycles'!$EM$30:$ES$30,1,BA384)),BA387),BA387)</f>
        <v>0</v>
      </c>
      <c r="BB389" s="28">
        <f>IF(BB386=1,IF(INDEX('Lease Cycles'!$EF$30:$EL$30,1,BB384)=1,BB387*INDEX('Lease Cycles'!$EM$30:$ES$30,1,BB384)+BB388*(1-INDEX('Lease Cycles'!$EM$30:$ES$30,1,BB384)),BB387),BB387)</f>
        <v>0</v>
      </c>
      <c r="BC389" s="28">
        <f>IF(BC386=1,IF(INDEX('Lease Cycles'!$EF$30:$EL$30,1,BC384)=1,BC387*INDEX('Lease Cycles'!$EM$30:$ES$30,1,BC384)+BC388*(1-INDEX('Lease Cycles'!$EM$30:$ES$30,1,BC384)),BC387),BC387)</f>
        <v>0</v>
      </c>
      <c r="BD389" s="28">
        <f>IF(BD386=1,IF(INDEX('Lease Cycles'!$EF$30:$EL$30,1,BD384)=1,BD387*INDEX('Lease Cycles'!$EM$30:$ES$30,1,BD384)+BD388*(1-INDEX('Lease Cycles'!$EM$30:$ES$30,1,BD384)),BD387),BD387)</f>
        <v>0</v>
      </c>
      <c r="BE389" s="28">
        <f>IF(BE386=1,IF(INDEX('Lease Cycles'!$EF$30:$EL$30,1,BE384)=1,BE387*INDEX('Lease Cycles'!$EM$30:$ES$30,1,BE384)+BE388*(1-INDEX('Lease Cycles'!$EM$30:$ES$30,1,BE384)),BE387),BE387)</f>
        <v>0</v>
      </c>
      <c r="BF389" s="28">
        <f>IF(BF386=1,IF(INDEX('Lease Cycles'!$EF$30:$EL$30,1,BF384)=1,BF387*INDEX('Lease Cycles'!$EM$30:$ES$30,1,BF384)+BF388*(1-INDEX('Lease Cycles'!$EM$30:$ES$30,1,BF384)),BF387),BF387)</f>
        <v>0</v>
      </c>
      <c r="BG389" s="28">
        <f>IF(BG386=1,IF(INDEX('Lease Cycles'!$EF$30:$EL$30,1,BG384)=1,BG387*INDEX('Lease Cycles'!$EM$30:$ES$30,1,BG384)+BG388*(1-INDEX('Lease Cycles'!$EM$30:$ES$30,1,BG384)),BG387),BG387)</f>
        <v>0</v>
      </c>
      <c r="BH389" s="28">
        <f>IF(BH386=1,IF(INDEX('Lease Cycles'!$EF$30:$EL$30,1,BH384)=1,BH387*INDEX('Lease Cycles'!$EM$30:$ES$30,1,BH384)+BH388*(1-INDEX('Lease Cycles'!$EM$30:$ES$30,1,BH384)),BH387),BH387)</f>
        <v>0</v>
      </c>
      <c r="BI389" s="28">
        <f>IF(BI386=1,IF(INDEX('Lease Cycles'!$EF$30:$EL$30,1,BI384)=1,BI387*INDEX('Lease Cycles'!$EM$30:$ES$30,1,BI384)+BI388*(1-INDEX('Lease Cycles'!$EM$30:$ES$30,1,BI384)),BI387),BI387)</f>
        <v>0</v>
      </c>
      <c r="BJ389" s="28">
        <f>IF(BJ386=1,IF(INDEX('Lease Cycles'!$EF$30:$EL$30,1,BJ384)=1,BJ387*INDEX('Lease Cycles'!$EM$30:$ES$30,1,BJ384)+BJ388*(1-INDEX('Lease Cycles'!$EM$30:$ES$30,1,BJ384)),BJ387),BJ387)</f>
        <v>0</v>
      </c>
      <c r="BK389" s="28">
        <f>IF(BK386=1,IF(INDEX('Lease Cycles'!$EF$30:$EL$30,1,BK384)=1,BK387*INDEX('Lease Cycles'!$EM$30:$ES$30,1,BK384)+BK388*(1-INDEX('Lease Cycles'!$EM$30:$ES$30,1,BK384)),BK387),BK387)</f>
        <v>0</v>
      </c>
      <c r="BL389" s="28">
        <f>IF(BL386=1,IF(INDEX('Lease Cycles'!$EF$30:$EL$30,1,BL384)=1,BL387*INDEX('Lease Cycles'!$EM$30:$ES$30,1,BL384)+BL388*(1-INDEX('Lease Cycles'!$EM$30:$ES$30,1,BL384)),BL387),BL387)</f>
        <v>0</v>
      </c>
      <c r="BM389" s="28">
        <f>IF(BM386=1,IF(INDEX('Lease Cycles'!$EF$30:$EL$30,1,BM384)=1,BM387*INDEX('Lease Cycles'!$EM$30:$ES$30,1,BM384)+BM388*(1-INDEX('Lease Cycles'!$EM$30:$ES$30,1,BM384)),BM387),BM387)</f>
        <v>0</v>
      </c>
      <c r="BN389" s="28">
        <f>IF(BN386=1,IF(INDEX('Lease Cycles'!$EF$30:$EL$30,1,BN384)=1,BN387*INDEX('Lease Cycles'!$EM$30:$ES$30,1,BN384)+BN388*(1-INDEX('Lease Cycles'!$EM$30:$ES$30,1,BN384)),BN387),BN387)</f>
        <v>0</v>
      </c>
      <c r="BO389" s="28">
        <f>IF(BO386=1,IF(INDEX('Lease Cycles'!$EF$30:$EL$30,1,BO384)=1,BO387*INDEX('Lease Cycles'!$EM$30:$ES$30,1,BO384)+BO388*(1-INDEX('Lease Cycles'!$EM$30:$ES$30,1,BO384)),BO387),BO387)</f>
        <v>0</v>
      </c>
      <c r="BP389" s="28">
        <f>IF(BP386=1,IF(INDEX('Lease Cycles'!$EF$30:$EL$30,1,BP384)=1,BP387*INDEX('Lease Cycles'!$EM$30:$ES$30,1,BP384)+BP388*(1-INDEX('Lease Cycles'!$EM$30:$ES$30,1,BP384)),BP387),BP387)</f>
        <v>0</v>
      </c>
      <c r="BQ389" s="28">
        <f>IF(BQ386=1,IF(INDEX('Lease Cycles'!$EF$30:$EL$30,1,BQ384)=1,BQ387*INDEX('Lease Cycles'!$EM$30:$ES$30,1,BQ384)+BQ388*(1-INDEX('Lease Cycles'!$EM$30:$ES$30,1,BQ384)),BQ387),BQ387)</f>
        <v>0</v>
      </c>
      <c r="BR389" s="28">
        <f>IF(BR386=1,IF(INDEX('Lease Cycles'!$EF$30:$EL$30,1,BR384)=1,BR387*INDEX('Lease Cycles'!$EM$30:$ES$30,1,BR384)+BR388*(1-INDEX('Lease Cycles'!$EM$30:$ES$30,1,BR384)),BR387),BR387)</f>
        <v>0</v>
      </c>
      <c r="BS389" s="28">
        <f>IF(BS386=1,IF(INDEX('Lease Cycles'!$EF$30:$EL$30,1,BS384)=1,BS387*INDEX('Lease Cycles'!$EM$30:$ES$30,1,BS384)+BS388*(1-INDEX('Lease Cycles'!$EM$30:$ES$30,1,BS384)),BS387),BS387)</f>
        <v>0</v>
      </c>
      <c r="BT389" s="28">
        <f>IF(BT386=1,IF(INDEX('Lease Cycles'!$EF$30:$EL$30,1,BT384)=1,BT387*INDEX('Lease Cycles'!$EM$30:$ES$30,1,BT384)+BT388*(1-INDEX('Lease Cycles'!$EM$30:$ES$30,1,BT384)),BT387),BT387)</f>
        <v>0</v>
      </c>
      <c r="BU389" s="28">
        <f>IF(BU386=1,IF(INDEX('Lease Cycles'!$EF$30:$EL$30,1,BU384)=1,BU387*INDEX('Lease Cycles'!$EM$30:$ES$30,1,BU384)+BU388*(1-INDEX('Lease Cycles'!$EM$30:$ES$30,1,BU384)),BU387),BU387)</f>
        <v>0</v>
      </c>
      <c r="BV389" s="28">
        <f>IF(BV386=1,IF(INDEX('Lease Cycles'!$EF$30:$EL$30,1,BV384)=1,BV387*INDEX('Lease Cycles'!$EM$30:$ES$30,1,BV384)+BV388*(1-INDEX('Lease Cycles'!$EM$30:$ES$30,1,BV384)),BV387),BV387)</f>
        <v>0</v>
      </c>
      <c r="BW389" s="28">
        <f>IF(BW386=1,IF(INDEX('Lease Cycles'!$EF$30:$EL$30,1,BW384)=1,BW387*INDEX('Lease Cycles'!$EM$30:$ES$30,1,BW384)+BW388*(1-INDEX('Lease Cycles'!$EM$30:$ES$30,1,BW384)),BW387),BW387)</f>
        <v>0</v>
      </c>
      <c r="BX389" s="28">
        <f>IF(BX386=1,IF(INDEX('Lease Cycles'!$EF$30:$EL$30,1,BX384)=1,BX387*INDEX('Lease Cycles'!$EM$30:$ES$30,1,BX384)+BX388*(1-INDEX('Lease Cycles'!$EM$30:$ES$30,1,BX384)),BX387),BX387)</f>
        <v>0</v>
      </c>
      <c r="BY389" s="28">
        <f>IF(BY386=1,IF(INDEX('Lease Cycles'!$EF$30:$EL$30,1,BY384)=1,BY387*INDEX('Lease Cycles'!$EM$30:$ES$30,1,BY384)+BY388*(1-INDEX('Lease Cycles'!$EM$30:$ES$30,1,BY384)),BY387),BY387)</f>
        <v>0</v>
      </c>
      <c r="BZ389" s="28">
        <f>IF(BZ386=1,IF(INDEX('Lease Cycles'!$EF$30:$EL$30,1,BZ384)=1,BZ387*INDEX('Lease Cycles'!$EM$30:$ES$30,1,BZ384)+BZ388*(1-INDEX('Lease Cycles'!$EM$30:$ES$30,1,BZ384)),BZ387),BZ387)</f>
        <v>0</v>
      </c>
      <c r="CA389" s="28">
        <f>IF(CA386=1,IF(INDEX('Lease Cycles'!$EF$30:$EL$30,1,CA384)=1,CA387*INDEX('Lease Cycles'!$EM$30:$ES$30,1,CA384)+CA388*(1-INDEX('Lease Cycles'!$EM$30:$ES$30,1,CA384)),CA387),CA387)</f>
        <v>0</v>
      </c>
      <c r="CB389" s="28">
        <f>IF(CB386=1,IF(INDEX('Lease Cycles'!$EF$30:$EL$30,1,CB384)=1,CB387*INDEX('Lease Cycles'!$EM$30:$ES$30,1,CB384)+CB388*(1-INDEX('Lease Cycles'!$EM$30:$ES$30,1,CB384)),CB387),CB387)</f>
        <v>0</v>
      </c>
      <c r="CC389" s="28">
        <f>IF(CC386=1,IF(INDEX('Lease Cycles'!$EF$30:$EL$30,1,CC384)=1,CC387*INDEX('Lease Cycles'!$EM$30:$ES$30,1,CC384)+CC388*(1-INDEX('Lease Cycles'!$EM$30:$ES$30,1,CC384)),CC387),CC387)</f>
        <v>0</v>
      </c>
      <c r="CD389" s="28">
        <f>IF(CD386=1,IF(INDEX('Lease Cycles'!$EF$30:$EL$30,1,CD384)=1,CD387*INDEX('Lease Cycles'!$EM$30:$ES$30,1,CD384)+CD388*(1-INDEX('Lease Cycles'!$EM$30:$ES$30,1,CD384)),CD387),CD387)</f>
        <v>0</v>
      </c>
      <c r="CE389" s="28">
        <f>IF(CE386=1,IF(INDEX('Lease Cycles'!$EF$30:$EL$30,1,CE384)=1,CE387*INDEX('Lease Cycles'!$EM$30:$ES$30,1,CE384)+CE388*(1-INDEX('Lease Cycles'!$EM$30:$ES$30,1,CE384)),CE387),CE387)</f>
        <v>0</v>
      </c>
      <c r="CF389" s="28">
        <f>IF(CF386=1,IF(INDEX('Lease Cycles'!$EF$30:$EL$30,1,CF384)=1,CF387*INDEX('Lease Cycles'!$EM$30:$ES$30,1,CF384)+CF388*(1-INDEX('Lease Cycles'!$EM$30:$ES$30,1,CF384)),CF387),CF387)</f>
        <v>0</v>
      </c>
      <c r="CG389" s="28">
        <f>IF(CG386=1,IF(INDEX('Lease Cycles'!$EF$30:$EL$30,1,CG384)=1,CG387*INDEX('Lease Cycles'!$EM$30:$ES$30,1,CG384)+CG388*(1-INDEX('Lease Cycles'!$EM$30:$ES$30,1,CG384)),CG387),CG387)</f>
        <v>0</v>
      </c>
      <c r="CH389" s="28">
        <f>IF(CH386=1,IF(INDEX('Lease Cycles'!$EF$30:$EL$30,1,CH384)=1,CH387*INDEX('Lease Cycles'!$EM$30:$ES$30,1,CH384)+CH388*(1-INDEX('Lease Cycles'!$EM$30:$ES$30,1,CH384)),CH387),CH387)</f>
        <v>0</v>
      </c>
      <c r="CI389" s="28">
        <f>IF(CI386=1,IF(INDEX('Lease Cycles'!$EF$30:$EL$30,1,CI384)=1,CI387*INDEX('Lease Cycles'!$EM$30:$ES$30,1,CI384)+CI388*(1-INDEX('Lease Cycles'!$EM$30:$ES$30,1,CI384)),CI387),CI387)</f>
        <v>0</v>
      </c>
      <c r="CJ389" s="28">
        <f>IF(CJ386=1,IF(INDEX('Lease Cycles'!$EF$30:$EL$30,1,CJ384)=1,CJ387*INDEX('Lease Cycles'!$EM$30:$ES$30,1,CJ384)+CJ388*(1-INDEX('Lease Cycles'!$EM$30:$ES$30,1,CJ384)),CJ387),CJ387)</f>
        <v>0</v>
      </c>
      <c r="CK389" s="28">
        <f>IF(CK386=1,IF(INDEX('Lease Cycles'!$EF$30:$EL$30,1,CK384)=1,CK387*INDEX('Lease Cycles'!$EM$30:$ES$30,1,CK384)+CK388*(1-INDEX('Lease Cycles'!$EM$30:$ES$30,1,CK384)),CK387),CK387)</f>
        <v>0</v>
      </c>
      <c r="CL389" s="28">
        <f>IF(CL386=1,IF(INDEX('Lease Cycles'!$EF$30:$EL$30,1,CL384)=1,CL387*INDEX('Lease Cycles'!$EM$30:$ES$30,1,CL384)+CL388*(1-INDEX('Lease Cycles'!$EM$30:$ES$30,1,CL384)),CL387),CL387)</f>
        <v>0</v>
      </c>
      <c r="CM389" s="28">
        <f>IF(CM386=1,IF(INDEX('Lease Cycles'!$EF$30:$EL$30,1,CM384)=1,CM387*INDEX('Lease Cycles'!$EM$30:$ES$30,1,CM384)+CM388*(1-INDEX('Lease Cycles'!$EM$30:$ES$30,1,CM384)),CM387),CM387)</f>
        <v>0</v>
      </c>
      <c r="CN389" s="28">
        <f>IF(CN386=1,IF(INDEX('Lease Cycles'!$EF$30:$EL$30,1,CN384)=1,CN387*INDEX('Lease Cycles'!$EM$30:$ES$30,1,CN384)+CN388*(1-INDEX('Lease Cycles'!$EM$30:$ES$30,1,CN384)),CN387),CN387)</f>
        <v>0</v>
      </c>
      <c r="CO389" s="28">
        <f>IF(CO386=1,IF(INDEX('Lease Cycles'!$EF$30:$EL$30,1,CO384)=1,CO387*INDEX('Lease Cycles'!$EM$30:$ES$30,1,CO384)+CO388*(1-INDEX('Lease Cycles'!$EM$30:$ES$30,1,CO384)),CO387),CO387)</f>
        <v>0</v>
      </c>
      <c r="CP389" s="28">
        <f>IF(CP386=1,IF(INDEX('Lease Cycles'!$EF$30:$EL$30,1,CP384)=1,CP387*INDEX('Lease Cycles'!$EM$30:$ES$30,1,CP384)+CP388*(1-INDEX('Lease Cycles'!$EM$30:$ES$30,1,CP384)),CP387),CP387)</f>
        <v>0</v>
      </c>
      <c r="CQ389" s="28">
        <f>IF(CQ386=1,IF(INDEX('Lease Cycles'!$EF$30:$EL$30,1,CQ384)=1,CQ387*INDEX('Lease Cycles'!$EM$30:$ES$30,1,CQ384)+CQ388*(1-INDEX('Lease Cycles'!$EM$30:$ES$30,1,CQ384)),CQ387),CQ387)</f>
        <v>0</v>
      </c>
      <c r="CR389" s="28">
        <f>IF(CR386=1,IF(INDEX('Lease Cycles'!$EF$30:$EL$30,1,CR384)=1,CR387*INDEX('Lease Cycles'!$EM$30:$ES$30,1,CR384)+CR388*(1-INDEX('Lease Cycles'!$EM$30:$ES$30,1,CR384)),CR387),CR387)</f>
        <v>0</v>
      </c>
      <c r="CS389" s="28">
        <f>IF(CS386=1,IF(INDEX('Lease Cycles'!$EF$30:$EL$30,1,CS384)=1,CS387*INDEX('Lease Cycles'!$EM$30:$ES$30,1,CS384)+CS388*(1-INDEX('Lease Cycles'!$EM$30:$ES$30,1,CS384)),CS387),CS387)</f>
        <v>0</v>
      </c>
      <c r="CT389" s="28">
        <f>IF(CT386=1,IF(INDEX('Lease Cycles'!$EF$30:$EL$30,1,CT384)=1,CT387*INDEX('Lease Cycles'!$EM$30:$ES$30,1,CT384)+CT388*(1-INDEX('Lease Cycles'!$EM$30:$ES$30,1,CT384)),CT387),CT387)</f>
        <v>0</v>
      </c>
      <c r="CU389" s="28">
        <f>IF(CU386=1,IF(INDEX('Lease Cycles'!$EF$30:$EL$30,1,CU384)=1,CU387*INDEX('Lease Cycles'!$EM$30:$ES$30,1,CU384)+CU388*(1-INDEX('Lease Cycles'!$EM$30:$ES$30,1,CU384)),CU387),CU387)</f>
        <v>0</v>
      </c>
      <c r="CV389" s="28">
        <f>IF(CV386=1,IF(INDEX('Lease Cycles'!$EF$30:$EL$30,1,CV384)=1,CV387*INDEX('Lease Cycles'!$EM$30:$ES$30,1,CV384)+CV388*(1-INDEX('Lease Cycles'!$EM$30:$ES$30,1,CV384)),CV387),CV387)</f>
        <v>0</v>
      </c>
      <c r="CW389" s="28">
        <f>IF(CW386=1,IF(INDEX('Lease Cycles'!$EF$30:$EL$30,1,CW384)=1,CW387*INDEX('Lease Cycles'!$EM$30:$ES$30,1,CW384)+CW388*(1-INDEX('Lease Cycles'!$EM$30:$ES$30,1,CW384)),CW387),CW387)</f>
        <v>0</v>
      </c>
      <c r="CX389" s="28">
        <f>IF(CX386=1,IF(INDEX('Lease Cycles'!$EF$30:$EL$30,1,CX384)=1,CX387*INDEX('Lease Cycles'!$EM$30:$ES$30,1,CX384)+CX388*(1-INDEX('Lease Cycles'!$EM$30:$ES$30,1,CX384)),CX387),CX387)</f>
        <v>0</v>
      </c>
      <c r="CY389" s="28">
        <f>IF(CY386=1,IF(INDEX('Lease Cycles'!$EF$30:$EL$30,1,CY384)=1,CY387*INDEX('Lease Cycles'!$EM$30:$ES$30,1,CY384)+CY388*(1-INDEX('Lease Cycles'!$EM$30:$ES$30,1,CY384)),CY387),CY387)</f>
        <v>0</v>
      </c>
      <c r="CZ389" s="28">
        <f>IF(CZ386=1,IF(INDEX('Lease Cycles'!$EF$30:$EL$30,1,CZ384)=1,CZ387*INDEX('Lease Cycles'!$EM$30:$ES$30,1,CZ384)+CZ388*(1-INDEX('Lease Cycles'!$EM$30:$ES$30,1,CZ384)),CZ387),CZ387)</f>
        <v>0</v>
      </c>
      <c r="DA389" s="28">
        <f>IF(DA386=1,IF(INDEX('Lease Cycles'!$EF$30:$EL$30,1,DA384)=1,DA387*INDEX('Lease Cycles'!$EM$30:$ES$30,1,DA384)+DA388*(1-INDEX('Lease Cycles'!$EM$30:$ES$30,1,DA384)),DA387),DA387)</f>
        <v>0</v>
      </c>
      <c r="DB389" s="28">
        <f>IF(DB386=1,IF(INDEX('Lease Cycles'!$EF$30:$EL$30,1,DB384)=1,DB387*INDEX('Lease Cycles'!$EM$30:$ES$30,1,DB384)+DB388*(1-INDEX('Lease Cycles'!$EM$30:$ES$30,1,DB384)),DB387),DB387)</f>
        <v>0</v>
      </c>
      <c r="DC389" s="28">
        <f>IF(DC386=1,IF(INDEX('Lease Cycles'!$EF$30:$EL$30,1,DC384)=1,DC387*INDEX('Lease Cycles'!$EM$30:$ES$30,1,DC384)+DC388*(1-INDEX('Lease Cycles'!$EM$30:$ES$30,1,DC384)),DC387),DC387)</f>
        <v>0</v>
      </c>
      <c r="DD389" s="28">
        <f>IF(DD386=1,IF(INDEX('Lease Cycles'!$EF$30:$EL$30,1,DD384)=1,DD387*INDEX('Lease Cycles'!$EM$30:$ES$30,1,DD384)+DD388*(1-INDEX('Lease Cycles'!$EM$30:$ES$30,1,DD384)),DD387),DD387)</f>
        <v>0</v>
      </c>
      <c r="DE389" s="28">
        <f>IF(DE386=1,IF(INDEX('Lease Cycles'!$EF$30:$EL$30,1,DE384)=1,DE387*INDEX('Lease Cycles'!$EM$30:$ES$30,1,DE384)+DE388*(1-INDEX('Lease Cycles'!$EM$30:$ES$30,1,DE384)),DE387),DE387)</f>
        <v>0</v>
      </c>
      <c r="DF389" s="28">
        <f>IF(DF386=1,IF(INDEX('Lease Cycles'!$EF$30:$EL$30,1,DF384)=1,DF387*INDEX('Lease Cycles'!$EM$30:$ES$30,1,DF384)+DF388*(1-INDEX('Lease Cycles'!$EM$30:$ES$30,1,DF384)),DF387),DF387)</f>
        <v>0</v>
      </c>
      <c r="DG389" s="28">
        <f>IF(DG386=1,IF(INDEX('Lease Cycles'!$EF$30:$EL$30,1,DG384)=1,DG387*INDEX('Lease Cycles'!$EM$30:$ES$30,1,DG384)+DG388*(1-INDEX('Lease Cycles'!$EM$30:$ES$30,1,DG384)),DG387),DG387)</f>
        <v>0</v>
      </c>
      <c r="DH389" s="28">
        <f>IF(DH386=1,IF(INDEX('Lease Cycles'!$EF$30:$EL$30,1,DH384)=1,DH387*INDEX('Lease Cycles'!$EM$30:$ES$30,1,DH384)+DH388*(1-INDEX('Lease Cycles'!$EM$30:$ES$30,1,DH384)),DH387),DH387)</f>
        <v>0</v>
      </c>
      <c r="DI389" s="28">
        <f>IF(DI386=1,IF(INDEX('Lease Cycles'!$EF$30:$EL$30,1,DI384)=1,DI387*INDEX('Lease Cycles'!$EM$30:$ES$30,1,DI384)+DI388*(1-INDEX('Lease Cycles'!$EM$30:$ES$30,1,DI384)),DI387),DI387)</f>
        <v>0</v>
      </c>
      <c r="DJ389" s="28">
        <f>IF(DJ386=1,IF(INDEX('Lease Cycles'!$EF$30:$EL$30,1,DJ384)=1,DJ387*INDEX('Lease Cycles'!$EM$30:$ES$30,1,DJ384)+DJ388*(1-INDEX('Lease Cycles'!$EM$30:$ES$30,1,DJ384)),DJ387),DJ387)</f>
        <v>0</v>
      </c>
      <c r="DK389" s="28">
        <f>IF(DK386=1,IF(INDEX('Lease Cycles'!$EF$30:$EL$30,1,DK384)=1,DK387*INDEX('Lease Cycles'!$EM$30:$ES$30,1,DK384)+DK388*(1-INDEX('Lease Cycles'!$EM$30:$ES$30,1,DK384)),DK387),DK387)</f>
        <v>0</v>
      </c>
      <c r="DL389" s="28">
        <f>IF(DL386=1,IF(INDEX('Lease Cycles'!$EF$30:$EL$30,1,DL384)=1,DL387*INDEX('Lease Cycles'!$EM$30:$ES$30,1,DL384)+DL388*(1-INDEX('Lease Cycles'!$EM$30:$ES$30,1,DL384)),DL387),DL387)</f>
        <v>0</v>
      </c>
      <c r="DM389" s="28">
        <f>IF(DM386=1,IF(INDEX('Lease Cycles'!$EF$30:$EL$30,1,DM384)=1,DM387*INDEX('Lease Cycles'!$EM$30:$ES$30,1,DM384)+DM388*(1-INDEX('Lease Cycles'!$EM$30:$ES$30,1,DM384)),DM387),DM387)</f>
        <v>0</v>
      </c>
      <c r="DN389" s="28">
        <f>IF(DN386=1,IF(INDEX('Lease Cycles'!$EF$30:$EL$30,1,DN384)=1,DN387*INDEX('Lease Cycles'!$EM$30:$ES$30,1,DN384)+DN388*(1-INDEX('Lease Cycles'!$EM$30:$ES$30,1,DN384)),DN387),DN387)</f>
        <v>0</v>
      </c>
      <c r="DO389" s="28">
        <f>IF(DO386=1,IF(INDEX('Lease Cycles'!$EF$30:$EL$30,1,DO384)=1,DO387*INDEX('Lease Cycles'!$EM$30:$ES$30,1,DO384)+DO388*(1-INDEX('Lease Cycles'!$EM$30:$ES$30,1,DO384)),DO387),DO387)</f>
        <v>0</v>
      </c>
      <c r="DP389" s="28">
        <f>IF(DP386=1,IF(INDEX('Lease Cycles'!$EF$30:$EL$30,1,DP384)=1,DP387*INDEX('Lease Cycles'!$EM$30:$ES$30,1,DP384)+DP388*(1-INDEX('Lease Cycles'!$EM$30:$ES$30,1,DP384)),DP387),DP387)</f>
        <v>0</v>
      </c>
      <c r="DQ389" s="28">
        <f>IF(DQ386=1,IF(INDEX('Lease Cycles'!$EF$30:$EL$30,1,DQ384)=1,DQ387*INDEX('Lease Cycles'!$EM$30:$ES$30,1,DQ384)+DQ388*(1-INDEX('Lease Cycles'!$EM$30:$ES$30,1,DQ384)),DQ387),DQ387)</f>
        <v>0</v>
      </c>
      <c r="DR389" s="28">
        <f>IF(DR386=1,IF(INDEX('Lease Cycles'!$EF$30:$EL$30,1,DR384)=1,DR387*INDEX('Lease Cycles'!$EM$30:$ES$30,1,DR384)+DR388*(1-INDEX('Lease Cycles'!$EM$30:$ES$30,1,DR384)),DR387),DR387)</f>
        <v>0</v>
      </c>
      <c r="DS389" s="28">
        <f>IF(DS386=1,IF(INDEX('Lease Cycles'!$EF$30:$EL$30,1,DS384)=1,DS387*INDEX('Lease Cycles'!$EM$30:$ES$30,1,DS384)+DS388*(1-INDEX('Lease Cycles'!$EM$30:$ES$30,1,DS384)),DS387),DS387)</f>
        <v>0</v>
      </c>
      <c r="DT389" s="28">
        <f>IF(DT386=1,IF(INDEX('Lease Cycles'!$EF$30:$EL$30,1,DT384)=1,DT387*INDEX('Lease Cycles'!$EM$30:$ES$30,1,DT384)+DT388*(1-INDEX('Lease Cycles'!$EM$30:$ES$30,1,DT384)),DT387),DT387)</f>
        <v>0</v>
      </c>
      <c r="DU389" s="28">
        <f>IF(DU386=1,IF(INDEX('Lease Cycles'!$EF$30:$EL$30,1,DU384)=1,DU387*INDEX('Lease Cycles'!$EM$30:$ES$30,1,DU384)+DU388*(1-INDEX('Lease Cycles'!$EM$30:$ES$30,1,DU384)),DU387),DU387)</f>
        <v>0</v>
      </c>
      <c r="DV389" s="28">
        <f>IF(DV386=1,IF(INDEX('Lease Cycles'!$EF$30:$EL$30,1,DV384)=1,DV387*INDEX('Lease Cycles'!$EM$30:$ES$30,1,DV384)+DV388*(1-INDEX('Lease Cycles'!$EM$30:$ES$30,1,DV384)),DV387),DV387)</f>
        <v>0</v>
      </c>
      <c r="DW389" s="28">
        <f>IF(DW386=1,IF(INDEX('Lease Cycles'!$EF$30:$EL$30,1,DW384)=1,DW387*INDEX('Lease Cycles'!$EM$30:$ES$30,1,DW384)+DW388*(1-INDEX('Lease Cycles'!$EM$30:$ES$30,1,DW384)),DW387),DW387)</f>
        <v>0</v>
      </c>
      <c r="DX389" s="28">
        <f>IF(DX386=1,IF(INDEX('Lease Cycles'!$EF$30:$EL$30,1,DX384)=1,DX387*INDEX('Lease Cycles'!$EM$30:$ES$30,1,DX384)+DX388*(1-INDEX('Lease Cycles'!$EM$30:$ES$30,1,DX384)),DX387),DX387)</f>
        <v>0</v>
      </c>
      <c r="DY389" s="28">
        <f>IF(DY386=1,IF(INDEX('Lease Cycles'!$EF$30:$EL$30,1,DY384)=1,DY387*INDEX('Lease Cycles'!$EM$30:$ES$30,1,DY384)+DY388*(1-INDEX('Lease Cycles'!$EM$30:$ES$30,1,DY384)),DY387),DY387)</f>
        <v>0</v>
      </c>
      <c r="DZ389" s="28">
        <f>IF(DZ386=1,IF(INDEX('Lease Cycles'!$EF$30:$EL$30,1,DZ384)=1,DZ387*INDEX('Lease Cycles'!$EM$30:$ES$30,1,DZ384)+DZ388*(1-INDEX('Lease Cycles'!$EM$30:$ES$30,1,DZ384)),DZ387),DZ387)</f>
        <v>0</v>
      </c>
      <c r="EA389" s="28">
        <f>IF(EA386=1,IF(INDEX('Lease Cycles'!$EF$30:$EL$30,1,EA384)=1,EA387*INDEX('Lease Cycles'!$EM$30:$ES$30,1,EA384)+EA388*(1-INDEX('Lease Cycles'!$EM$30:$ES$30,1,EA384)),EA387),EA387)</f>
        <v>0</v>
      </c>
      <c r="EB389" s="28">
        <f>IF(EB386=1,IF(INDEX('Lease Cycles'!$EF$30:$EL$30,1,EB384)=1,EB387*INDEX('Lease Cycles'!$EM$30:$ES$30,1,EB384)+EB388*(1-INDEX('Lease Cycles'!$EM$30:$ES$30,1,EB384)),EB387),EB387)</f>
        <v>0</v>
      </c>
      <c r="EC389" s="28">
        <f>IF(EC386=1,IF(INDEX('Lease Cycles'!$EF$30:$EL$30,1,EC384)=1,EC387*INDEX('Lease Cycles'!$EM$30:$ES$30,1,EC384)+EC388*(1-INDEX('Lease Cycles'!$EM$30:$ES$30,1,EC384)),EC387),EC387)</f>
        <v>0</v>
      </c>
      <c r="ED389" s="28">
        <f>IF(ED386=1,IF(INDEX('Lease Cycles'!$EF$30:$EL$30,1,ED384)=1,ED387*INDEX('Lease Cycles'!$EM$30:$ES$30,1,ED384)+ED388*(1-INDEX('Lease Cycles'!$EM$30:$ES$30,1,ED384)),ED387),ED387)</f>
        <v>0</v>
      </c>
      <c r="EE389" s="28">
        <f>IF(EE386=1,IF(INDEX('Lease Cycles'!$EF$30:$EL$30,1,EE384)=1,EE387*INDEX('Lease Cycles'!$EM$30:$ES$30,1,EE384)+EE388*(1-INDEX('Lease Cycles'!$EM$30:$ES$30,1,EE384)),EE387),EE387)</f>
        <v>0</v>
      </c>
      <c r="EF389" s="28">
        <f>IF(EF386=1,IF(INDEX('Lease Cycles'!$EF$30:$EL$30,1,EF384)=1,EF387*INDEX('Lease Cycles'!$EM$30:$ES$30,1,EF384)+EF388*(1-INDEX('Lease Cycles'!$EM$30:$ES$30,1,EF384)),EF387),EF387)</f>
        <v>0</v>
      </c>
      <c r="EG389" s="28">
        <f>IF(EG386=1,IF(INDEX('Lease Cycles'!$EF$30:$EL$30,1,EG384)=1,EG387*INDEX('Lease Cycles'!$EM$30:$ES$30,1,EG384)+EG388*(1-INDEX('Lease Cycles'!$EM$30:$ES$30,1,EG384)),EG387),EG387)</f>
        <v>0</v>
      </c>
      <c r="EH389" s="28">
        <f>IF(EH386=1,IF(INDEX('Lease Cycles'!$EF$30:$EL$30,1,EH384)=1,EH387*INDEX('Lease Cycles'!$EM$30:$ES$30,1,EH384)+EH388*(1-INDEX('Lease Cycles'!$EM$30:$ES$30,1,EH384)),EH387),EH387)</f>
        <v>0</v>
      </c>
      <c r="EI389" s="28">
        <f>IF(EI386=1,IF(INDEX('Lease Cycles'!$EF$30:$EL$30,1,EI384)=1,EI387*INDEX('Lease Cycles'!$EM$30:$ES$30,1,EI384)+EI388*(1-INDEX('Lease Cycles'!$EM$30:$ES$30,1,EI384)),EI387),EI387)</f>
        <v>0</v>
      </c>
      <c r="EJ389" s="28">
        <f>IF(EJ386=1,IF(INDEX('Lease Cycles'!$EF$30:$EL$30,1,EJ384)=1,EJ387*INDEX('Lease Cycles'!$EM$30:$ES$30,1,EJ384)+EJ388*(1-INDEX('Lease Cycles'!$EM$30:$ES$30,1,EJ384)),EJ387),EJ387)</f>
        <v>0</v>
      </c>
      <c r="EK389" s="28">
        <f>IF(EK386=1,IF(INDEX('Lease Cycles'!$EF$30:$EL$30,1,EK384)=1,EK387*INDEX('Lease Cycles'!$EM$30:$ES$30,1,EK384)+EK388*(1-INDEX('Lease Cycles'!$EM$30:$ES$30,1,EK384)),EK387),EK387)</f>
        <v>0</v>
      </c>
      <c r="EL389" s="28">
        <f>IF(EL386=1,IF(INDEX('Lease Cycles'!$EF$30:$EL$30,1,EL384)=1,EL387*INDEX('Lease Cycles'!$EM$30:$ES$30,1,EL384)+EL388*(1-INDEX('Lease Cycles'!$EM$30:$ES$30,1,EL384)),EL387),EL387)</f>
        <v>0</v>
      </c>
      <c r="EM389" s="28">
        <f>IF(EM386=1,IF(INDEX('Lease Cycles'!$EF$30:$EL$30,1,EM384)=1,EM387*INDEX('Lease Cycles'!$EM$30:$ES$30,1,EM384)+EM388*(1-INDEX('Lease Cycles'!$EM$30:$ES$30,1,EM384)),EM387),EM387)</f>
        <v>0</v>
      </c>
      <c r="EN389" s="28">
        <f>IF(EN386=1,IF(INDEX('Lease Cycles'!$EF$30:$EL$30,1,EN384)=1,EN387*INDEX('Lease Cycles'!$EM$30:$ES$30,1,EN384)+EN388*(1-INDEX('Lease Cycles'!$EM$30:$ES$30,1,EN384)),EN387),EN387)</f>
        <v>0</v>
      </c>
      <c r="EO389" s="28">
        <f>IF(EO386=1,IF(INDEX('Lease Cycles'!$EF$30:$EL$30,1,EO384)=1,EO387*INDEX('Lease Cycles'!$EM$30:$ES$30,1,EO384)+EO388*(1-INDEX('Lease Cycles'!$EM$30:$ES$30,1,EO384)),EO387),EO387)</f>
        <v>0</v>
      </c>
      <c r="EP389" s="28">
        <f>IF(EP386=1,IF(INDEX('Lease Cycles'!$EF$30:$EL$30,1,EP384)=1,EP387*INDEX('Lease Cycles'!$EM$30:$ES$30,1,EP384)+EP388*(1-INDEX('Lease Cycles'!$EM$30:$ES$30,1,EP384)),EP387),EP387)</f>
        <v>0</v>
      </c>
      <c r="EQ389" s="28">
        <f>IF(EQ386=1,IF(INDEX('Lease Cycles'!$EF$30:$EL$30,1,EQ384)=1,EQ387*INDEX('Lease Cycles'!$EM$30:$ES$30,1,EQ384)+EQ388*(1-INDEX('Lease Cycles'!$EM$30:$ES$30,1,EQ384)),EQ387),EQ387)</f>
        <v>0</v>
      </c>
      <c r="ER389" s="28">
        <f>IF(ER386=1,IF(INDEX('Lease Cycles'!$EF$30:$EL$30,1,ER384)=1,ER387*INDEX('Lease Cycles'!$EM$30:$ES$30,1,ER384)+ER388*(1-INDEX('Lease Cycles'!$EM$30:$ES$30,1,ER384)),ER387),ER387)</f>
        <v>0</v>
      </c>
      <c r="ES389" s="28">
        <f>IF(ES386=1,IF(INDEX('Lease Cycles'!$EF$30:$EL$30,1,ES384)=1,ES387*INDEX('Lease Cycles'!$EM$30:$ES$30,1,ES384)+ES388*(1-INDEX('Lease Cycles'!$EM$30:$ES$30,1,ES384)),ES387),ES387)</f>
        <v>0</v>
      </c>
      <c r="ET389" s="28">
        <f>IF(ET386=1,IF(INDEX('Lease Cycles'!$EF$30:$EL$30,1,ET384)=1,ET387*INDEX('Lease Cycles'!$EM$30:$ES$30,1,ET384)+ET388*(1-INDEX('Lease Cycles'!$EM$30:$ES$30,1,ET384)),ET387),ET387)</f>
        <v>0</v>
      </c>
    </row>
    <row r="390">
      <c r="A390" s="103">
        <v>23</v>
      </c>
      <c r="B390" s="23" t="str">
        <f>IF('Lease Cycles'!$B$30="","(empty slot)",'Lease Cycles'!$B$30)</f>
        <v>(empty slot)</v>
      </c>
      <c r="C390" s="23" t="s">
        <v>682</v>
      </c>
      <c r="D390" s="104" t="s">
        <v>495</v>
      </c>
      <c r="E390" s="25">
        <f>'Lease Cycles'!$AL$30</f>
        <v>0</v>
      </c>
      <c r="G390" s="28">
        <f>SUM(S390:AD390)</f>
        <v>0</v>
      </c>
      <c r="H390" s="28">
        <f>SUM(AE390:AP390)</f>
        <v>0</v>
      </c>
      <c r="I390" s="28">
        <f>SUM(AQ390:BB390)</f>
        <v>0</v>
      </c>
      <c r="J390" s="28">
        <f>SUM(BC390:BN390)</f>
        <v>0</v>
      </c>
      <c r="K390" s="28">
        <f>SUM(BO390:BZ390)</f>
        <v>0</v>
      </c>
      <c r="L390" s="28">
        <f>SUM(CA390:CL390)</f>
        <v>0</v>
      </c>
      <c r="M390" s="28">
        <f>SUM(CM390:CX390)</f>
        <v>0</v>
      </c>
      <c r="N390" s="28">
        <f>SUM(CY390:DJ390)</f>
        <v>0</v>
      </c>
      <c r="O390" s="28">
        <f>SUM(DK390:DV390)</f>
        <v>0</v>
      </c>
      <c r="P390" s="28">
        <f>SUM(DW390:EH390)</f>
        <v>0</v>
      </c>
      <c r="Q390" s="28">
        <f>SUM(EI390:ET390)</f>
        <v>0</v>
      </c>
      <c r="S390" s="28">
        <f>IF(S386=1,IF(INDEX('Lease Cycles'!$EF$30:$EL$30,1,S384)=1,S387*INDEX('Lease Cycles'!$EM$30:$ES$30,1,S384)+S388*IF(S385&lt;INDEX('Lease Cycles'!$FA$30:$FG$30,1,S384),0,1-INDEX('Lease Cycles'!$EM$30:$ES$30,1,S384)),S387*IF(S385&lt;INDEX('Lease Cycles'!$DK$30:$DQ$30,1,S384),0,IF(S385=INDEX('Lease Cycles'!$DK$30:$DQ$30,1,S384),1-INDEX('Lease Cycles'!$DR$30:$DX$30,1,S384),1))),0)</f>
        <v>0</v>
      </c>
      <c r="T390" s="28">
        <f>IF(T386=1,IF(INDEX('Lease Cycles'!$EF$30:$EL$30,1,T384)=1,T387*INDEX('Lease Cycles'!$EM$30:$ES$30,1,T384)+T388*IF(T385&lt;INDEX('Lease Cycles'!$FA$30:$FG$30,1,T384),0,1-INDEX('Lease Cycles'!$EM$30:$ES$30,1,T384)),T387*IF(T385&lt;INDEX('Lease Cycles'!$DK$30:$DQ$30,1,T384),0,IF(T385=INDEX('Lease Cycles'!$DK$30:$DQ$30,1,T384),1-INDEX('Lease Cycles'!$DR$30:$DX$30,1,T384),1))),0)</f>
        <v>0</v>
      </c>
      <c r="U390" s="28">
        <f>IF(U386=1,IF(INDEX('Lease Cycles'!$EF$30:$EL$30,1,U384)=1,U387*INDEX('Lease Cycles'!$EM$30:$ES$30,1,U384)+U388*IF(U385&lt;INDEX('Lease Cycles'!$FA$30:$FG$30,1,U384),0,1-INDEX('Lease Cycles'!$EM$30:$ES$30,1,U384)),U387*IF(U385&lt;INDEX('Lease Cycles'!$DK$30:$DQ$30,1,U384),0,IF(U385=INDEX('Lease Cycles'!$DK$30:$DQ$30,1,U384),1-INDEX('Lease Cycles'!$DR$30:$DX$30,1,U384),1))),0)</f>
        <v>0</v>
      </c>
      <c r="V390" s="28">
        <f>IF(V386=1,IF(INDEX('Lease Cycles'!$EF$30:$EL$30,1,V384)=1,V387*INDEX('Lease Cycles'!$EM$30:$ES$30,1,V384)+V388*IF(V385&lt;INDEX('Lease Cycles'!$FA$30:$FG$30,1,V384),0,1-INDEX('Lease Cycles'!$EM$30:$ES$30,1,V384)),V387*IF(V385&lt;INDEX('Lease Cycles'!$DK$30:$DQ$30,1,V384),0,IF(V385=INDEX('Lease Cycles'!$DK$30:$DQ$30,1,V384),1-INDEX('Lease Cycles'!$DR$30:$DX$30,1,V384),1))),0)</f>
        <v>0</v>
      </c>
      <c r="W390" s="28">
        <f>IF(W386=1,IF(INDEX('Lease Cycles'!$EF$30:$EL$30,1,W384)=1,W387*INDEX('Lease Cycles'!$EM$30:$ES$30,1,W384)+W388*IF(W385&lt;INDEX('Lease Cycles'!$FA$30:$FG$30,1,W384),0,1-INDEX('Lease Cycles'!$EM$30:$ES$30,1,W384)),W387*IF(W385&lt;INDEX('Lease Cycles'!$DK$30:$DQ$30,1,W384),0,IF(W385=INDEX('Lease Cycles'!$DK$30:$DQ$30,1,W384),1-INDEX('Lease Cycles'!$DR$30:$DX$30,1,W384),1))),0)</f>
        <v>0</v>
      </c>
      <c r="X390" s="28">
        <f>IF(X386=1,IF(INDEX('Lease Cycles'!$EF$30:$EL$30,1,X384)=1,X387*INDEX('Lease Cycles'!$EM$30:$ES$30,1,X384)+X388*IF(X385&lt;INDEX('Lease Cycles'!$FA$30:$FG$30,1,X384),0,1-INDEX('Lease Cycles'!$EM$30:$ES$30,1,X384)),X387*IF(X385&lt;INDEX('Lease Cycles'!$DK$30:$DQ$30,1,X384),0,IF(X385=INDEX('Lease Cycles'!$DK$30:$DQ$30,1,X384),1-INDEX('Lease Cycles'!$DR$30:$DX$30,1,X384),1))),0)</f>
        <v>0</v>
      </c>
      <c r="Y390" s="28">
        <f>IF(Y386=1,IF(INDEX('Lease Cycles'!$EF$30:$EL$30,1,Y384)=1,Y387*INDEX('Lease Cycles'!$EM$30:$ES$30,1,Y384)+Y388*IF(Y385&lt;INDEX('Lease Cycles'!$FA$30:$FG$30,1,Y384),0,1-INDEX('Lease Cycles'!$EM$30:$ES$30,1,Y384)),Y387*IF(Y385&lt;INDEX('Lease Cycles'!$DK$30:$DQ$30,1,Y384),0,IF(Y385=INDEX('Lease Cycles'!$DK$30:$DQ$30,1,Y384),1-INDEX('Lease Cycles'!$DR$30:$DX$30,1,Y384),1))),0)</f>
        <v>0</v>
      </c>
      <c r="Z390" s="28">
        <f>IF(Z386=1,IF(INDEX('Lease Cycles'!$EF$30:$EL$30,1,Z384)=1,Z387*INDEX('Lease Cycles'!$EM$30:$ES$30,1,Z384)+Z388*IF(Z385&lt;INDEX('Lease Cycles'!$FA$30:$FG$30,1,Z384),0,1-INDEX('Lease Cycles'!$EM$30:$ES$30,1,Z384)),Z387*IF(Z385&lt;INDEX('Lease Cycles'!$DK$30:$DQ$30,1,Z384),0,IF(Z385=INDEX('Lease Cycles'!$DK$30:$DQ$30,1,Z384),1-INDEX('Lease Cycles'!$DR$30:$DX$30,1,Z384),1))),0)</f>
        <v>0</v>
      </c>
      <c r="AA390" s="28">
        <f>IF(AA386=1,IF(INDEX('Lease Cycles'!$EF$30:$EL$30,1,AA384)=1,AA387*INDEX('Lease Cycles'!$EM$30:$ES$30,1,AA384)+AA388*IF(AA385&lt;INDEX('Lease Cycles'!$FA$30:$FG$30,1,AA384),0,1-INDEX('Lease Cycles'!$EM$30:$ES$30,1,AA384)),AA387*IF(AA385&lt;INDEX('Lease Cycles'!$DK$30:$DQ$30,1,AA384),0,IF(AA385=INDEX('Lease Cycles'!$DK$30:$DQ$30,1,AA384),1-INDEX('Lease Cycles'!$DR$30:$DX$30,1,AA384),1))),0)</f>
        <v>0</v>
      </c>
      <c r="AB390" s="28">
        <f>IF(AB386=1,IF(INDEX('Lease Cycles'!$EF$30:$EL$30,1,AB384)=1,AB387*INDEX('Lease Cycles'!$EM$30:$ES$30,1,AB384)+AB388*IF(AB385&lt;INDEX('Lease Cycles'!$FA$30:$FG$30,1,AB384),0,1-INDEX('Lease Cycles'!$EM$30:$ES$30,1,AB384)),AB387*IF(AB385&lt;INDEX('Lease Cycles'!$DK$30:$DQ$30,1,AB384),0,IF(AB385=INDEX('Lease Cycles'!$DK$30:$DQ$30,1,AB384),1-INDEX('Lease Cycles'!$DR$30:$DX$30,1,AB384),1))),0)</f>
        <v>0</v>
      </c>
      <c r="AC390" s="28">
        <f>IF(AC386=1,IF(INDEX('Lease Cycles'!$EF$30:$EL$30,1,AC384)=1,AC387*INDEX('Lease Cycles'!$EM$30:$ES$30,1,AC384)+AC388*IF(AC385&lt;INDEX('Lease Cycles'!$FA$30:$FG$30,1,AC384),0,1-INDEX('Lease Cycles'!$EM$30:$ES$30,1,AC384)),AC387*IF(AC385&lt;INDEX('Lease Cycles'!$DK$30:$DQ$30,1,AC384),0,IF(AC385=INDEX('Lease Cycles'!$DK$30:$DQ$30,1,AC384),1-INDEX('Lease Cycles'!$DR$30:$DX$30,1,AC384),1))),0)</f>
        <v>0</v>
      </c>
      <c r="AD390" s="28">
        <f>IF(AD386=1,IF(INDEX('Lease Cycles'!$EF$30:$EL$30,1,AD384)=1,AD387*INDEX('Lease Cycles'!$EM$30:$ES$30,1,AD384)+AD388*IF(AD385&lt;INDEX('Lease Cycles'!$FA$30:$FG$30,1,AD384),0,1-INDEX('Lease Cycles'!$EM$30:$ES$30,1,AD384)),AD387*IF(AD385&lt;INDEX('Lease Cycles'!$DK$30:$DQ$30,1,AD384),0,IF(AD385=INDEX('Lease Cycles'!$DK$30:$DQ$30,1,AD384),1-INDEX('Lease Cycles'!$DR$30:$DX$30,1,AD384),1))),0)</f>
        <v>0</v>
      </c>
      <c r="AE390" s="28">
        <f>IF(AE386=1,IF(INDEX('Lease Cycles'!$EF$30:$EL$30,1,AE384)=1,AE387*INDEX('Lease Cycles'!$EM$30:$ES$30,1,AE384)+AE388*IF(AE385&lt;INDEX('Lease Cycles'!$FA$30:$FG$30,1,AE384),0,1-INDEX('Lease Cycles'!$EM$30:$ES$30,1,AE384)),AE387*IF(AE385&lt;INDEX('Lease Cycles'!$DK$30:$DQ$30,1,AE384),0,IF(AE385=INDEX('Lease Cycles'!$DK$30:$DQ$30,1,AE384),1-INDEX('Lease Cycles'!$DR$30:$DX$30,1,AE384),1))),0)</f>
        <v>0</v>
      </c>
      <c r="AF390" s="28">
        <f>IF(AF386=1,IF(INDEX('Lease Cycles'!$EF$30:$EL$30,1,AF384)=1,AF387*INDEX('Lease Cycles'!$EM$30:$ES$30,1,AF384)+AF388*IF(AF385&lt;INDEX('Lease Cycles'!$FA$30:$FG$30,1,AF384),0,1-INDEX('Lease Cycles'!$EM$30:$ES$30,1,AF384)),AF387*IF(AF385&lt;INDEX('Lease Cycles'!$DK$30:$DQ$30,1,AF384),0,IF(AF385=INDEX('Lease Cycles'!$DK$30:$DQ$30,1,AF384),1-INDEX('Lease Cycles'!$DR$30:$DX$30,1,AF384),1))),0)</f>
        <v>0</v>
      </c>
      <c r="AG390" s="28">
        <f>IF(AG386=1,IF(INDEX('Lease Cycles'!$EF$30:$EL$30,1,AG384)=1,AG387*INDEX('Lease Cycles'!$EM$30:$ES$30,1,AG384)+AG388*IF(AG385&lt;INDEX('Lease Cycles'!$FA$30:$FG$30,1,AG384),0,1-INDEX('Lease Cycles'!$EM$30:$ES$30,1,AG384)),AG387*IF(AG385&lt;INDEX('Lease Cycles'!$DK$30:$DQ$30,1,AG384),0,IF(AG385=INDEX('Lease Cycles'!$DK$30:$DQ$30,1,AG384),1-INDEX('Lease Cycles'!$DR$30:$DX$30,1,AG384),1))),0)</f>
        <v>0</v>
      </c>
      <c r="AH390" s="28">
        <f>IF(AH386=1,IF(INDEX('Lease Cycles'!$EF$30:$EL$30,1,AH384)=1,AH387*INDEX('Lease Cycles'!$EM$30:$ES$30,1,AH384)+AH388*IF(AH385&lt;INDEX('Lease Cycles'!$FA$30:$FG$30,1,AH384),0,1-INDEX('Lease Cycles'!$EM$30:$ES$30,1,AH384)),AH387*IF(AH385&lt;INDEX('Lease Cycles'!$DK$30:$DQ$30,1,AH384),0,IF(AH385=INDEX('Lease Cycles'!$DK$30:$DQ$30,1,AH384),1-INDEX('Lease Cycles'!$DR$30:$DX$30,1,AH384),1))),0)</f>
        <v>0</v>
      </c>
      <c r="AI390" s="28">
        <f>IF(AI386=1,IF(INDEX('Lease Cycles'!$EF$30:$EL$30,1,AI384)=1,AI387*INDEX('Lease Cycles'!$EM$30:$ES$30,1,AI384)+AI388*IF(AI385&lt;INDEX('Lease Cycles'!$FA$30:$FG$30,1,AI384),0,1-INDEX('Lease Cycles'!$EM$30:$ES$30,1,AI384)),AI387*IF(AI385&lt;INDEX('Lease Cycles'!$DK$30:$DQ$30,1,AI384),0,IF(AI385=INDEX('Lease Cycles'!$DK$30:$DQ$30,1,AI384),1-INDEX('Lease Cycles'!$DR$30:$DX$30,1,AI384),1))),0)</f>
        <v>0</v>
      </c>
      <c r="AJ390" s="28">
        <f>IF(AJ386=1,IF(INDEX('Lease Cycles'!$EF$30:$EL$30,1,AJ384)=1,AJ387*INDEX('Lease Cycles'!$EM$30:$ES$30,1,AJ384)+AJ388*IF(AJ385&lt;INDEX('Lease Cycles'!$FA$30:$FG$30,1,AJ384),0,1-INDEX('Lease Cycles'!$EM$30:$ES$30,1,AJ384)),AJ387*IF(AJ385&lt;INDEX('Lease Cycles'!$DK$30:$DQ$30,1,AJ384),0,IF(AJ385=INDEX('Lease Cycles'!$DK$30:$DQ$30,1,AJ384),1-INDEX('Lease Cycles'!$DR$30:$DX$30,1,AJ384),1))),0)</f>
        <v>0</v>
      </c>
      <c r="AK390" s="28">
        <f>IF(AK386=1,IF(INDEX('Lease Cycles'!$EF$30:$EL$30,1,AK384)=1,AK387*INDEX('Lease Cycles'!$EM$30:$ES$30,1,AK384)+AK388*IF(AK385&lt;INDEX('Lease Cycles'!$FA$30:$FG$30,1,AK384),0,1-INDEX('Lease Cycles'!$EM$30:$ES$30,1,AK384)),AK387*IF(AK385&lt;INDEX('Lease Cycles'!$DK$30:$DQ$30,1,AK384),0,IF(AK385=INDEX('Lease Cycles'!$DK$30:$DQ$30,1,AK384),1-INDEX('Lease Cycles'!$DR$30:$DX$30,1,AK384),1))),0)</f>
        <v>0</v>
      </c>
      <c r="AL390" s="28">
        <f>IF(AL386=1,IF(INDEX('Lease Cycles'!$EF$30:$EL$30,1,AL384)=1,AL387*INDEX('Lease Cycles'!$EM$30:$ES$30,1,AL384)+AL388*IF(AL385&lt;INDEX('Lease Cycles'!$FA$30:$FG$30,1,AL384),0,1-INDEX('Lease Cycles'!$EM$30:$ES$30,1,AL384)),AL387*IF(AL385&lt;INDEX('Lease Cycles'!$DK$30:$DQ$30,1,AL384),0,IF(AL385=INDEX('Lease Cycles'!$DK$30:$DQ$30,1,AL384),1-INDEX('Lease Cycles'!$DR$30:$DX$30,1,AL384),1))),0)</f>
        <v>0</v>
      </c>
      <c r="AM390" s="28">
        <f>IF(AM386=1,IF(INDEX('Lease Cycles'!$EF$30:$EL$30,1,AM384)=1,AM387*INDEX('Lease Cycles'!$EM$30:$ES$30,1,AM384)+AM388*IF(AM385&lt;INDEX('Lease Cycles'!$FA$30:$FG$30,1,AM384),0,1-INDEX('Lease Cycles'!$EM$30:$ES$30,1,AM384)),AM387*IF(AM385&lt;INDEX('Lease Cycles'!$DK$30:$DQ$30,1,AM384),0,IF(AM385=INDEX('Lease Cycles'!$DK$30:$DQ$30,1,AM384),1-INDEX('Lease Cycles'!$DR$30:$DX$30,1,AM384),1))),0)</f>
        <v>0</v>
      </c>
      <c r="AN390" s="28">
        <f>IF(AN386=1,IF(INDEX('Lease Cycles'!$EF$30:$EL$30,1,AN384)=1,AN387*INDEX('Lease Cycles'!$EM$30:$ES$30,1,AN384)+AN388*IF(AN385&lt;INDEX('Lease Cycles'!$FA$30:$FG$30,1,AN384),0,1-INDEX('Lease Cycles'!$EM$30:$ES$30,1,AN384)),AN387*IF(AN385&lt;INDEX('Lease Cycles'!$DK$30:$DQ$30,1,AN384),0,IF(AN385=INDEX('Lease Cycles'!$DK$30:$DQ$30,1,AN384),1-INDEX('Lease Cycles'!$DR$30:$DX$30,1,AN384),1))),0)</f>
        <v>0</v>
      </c>
      <c r="AO390" s="28">
        <f>IF(AO386=1,IF(INDEX('Lease Cycles'!$EF$30:$EL$30,1,AO384)=1,AO387*INDEX('Lease Cycles'!$EM$30:$ES$30,1,AO384)+AO388*IF(AO385&lt;INDEX('Lease Cycles'!$FA$30:$FG$30,1,AO384),0,1-INDEX('Lease Cycles'!$EM$30:$ES$30,1,AO384)),AO387*IF(AO385&lt;INDEX('Lease Cycles'!$DK$30:$DQ$30,1,AO384),0,IF(AO385=INDEX('Lease Cycles'!$DK$30:$DQ$30,1,AO384),1-INDEX('Lease Cycles'!$DR$30:$DX$30,1,AO384),1))),0)</f>
        <v>0</v>
      </c>
      <c r="AP390" s="28">
        <f>IF(AP386=1,IF(INDEX('Lease Cycles'!$EF$30:$EL$30,1,AP384)=1,AP387*INDEX('Lease Cycles'!$EM$30:$ES$30,1,AP384)+AP388*IF(AP385&lt;INDEX('Lease Cycles'!$FA$30:$FG$30,1,AP384),0,1-INDEX('Lease Cycles'!$EM$30:$ES$30,1,AP384)),AP387*IF(AP385&lt;INDEX('Lease Cycles'!$DK$30:$DQ$30,1,AP384),0,IF(AP385=INDEX('Lease Cycles'!$DK$30:$DQ$30,1,AP384),1-INDEX('Lease Cycles'!$DR$30:$DX$30,1,AP384),1))),0)</f>
        <v>0</v>
      </c>
      <c r="AQ390" s="28">
        <f>IF(AQ386=1,IF(INDEX('Lease Cycles'!$EF$30:$EL$30,1,AQ384)=1,AQ387*INDEX('Lease Cycles'!$EM$30:$ES$30,1,AQ384)+AQ388*IF(AQ385&lt;INDEX('Lease Cycles'!$FA$30:$FG$30,1,AQ384),0,1-INDEX('Lease Cycles'!$EM$30:$ES$30,1,AQ384)),AQ387*IF(AQ385&lt;INDEX('Lease Cycles'!$DK$30:$DQ$30,1,AQ384),0,IF(AQ385=INDEX('Lease Cycles'!$DK$30:$DQ$30,1,AQ384),1-INDEX('Lease Cycles'!$DR$30:$DX$30,1,AQ384),1))),0)</f>
        <v>0</v>
      </c>
      <c r="AR390" s="28">
        <f>IF(AR386=1,IF(INDEX('Lease Cycles'!$EF$30:$EL$30,1,AR384)=1,AR387*INDEX('Lease Cycles'!$EM$30:$ES$30,1,AR384)+AR388*IF(AR385&lt;INDEX('Lease Cycles'!$FA$30:$FG$30,1,AR384),0,1-INDEX('Lease Cycles'!$EM$30:$ES$30,1,AR384)),AR387*IF(AR385&lt;INDEX('Lease Cycles'!$DK$30:$DQ$30,1,AR384),0,IF(AR385=INDEX('Lease Cycles'!$DK$30:$DQ$30,1,AR384),1-INDEX('Lease Cycles'!$DR$30:$DX$30,1,AR384),1))),0)</f>
        <v>0</v>
      </c>
      <c r="AS390" s="28">
        <f>IF(AS386=1,IF(INDEX('Lease Cycles'!$EF$30:$EL$30,1,AS384)=1,AS387*INDEX('Lease Cycles'!$EM$30:$ES$30,1,AS384)+AS388*IF(AS385&lt;INDEX('Lease Cycles'!$FA$30:$FG$30,1,AS384),0,1-INDEX('Lease Cycles'!$EM$30:$ES$30,1,AS384)),AS387*IF(AS385&lt;INDEX('Lease Cycles'!$DK$30:$DQ$30,1,AS384),0,IF(AS385=INDEX('Lease Cycles'!$DK$30:$DQ$30,1,AS384),1-INDEX('Lease Cycles'!$DR$30:$DX$30,1,AS384),1))),0)</f>
        <v>0</v>
      </c>
      <c r="AT390" s="28">
        <f>IF(AT386=1,IF(INDEX('Lease Cycles'!$EF$30:$EL$30,1,AT384)=1,AT387*INDEX('Lease Cycles'!$EM$30:$ES$30,1,AT384)+AT388*IF(AT385&lt;INDEX('Lease Cycles'!$FA$30:$FG$30,1,AT384),0,1-INDEX('Lease Cycles'!$EM$30:$ES$30,1,AT384)),AT387*IF(AT385&lt;INDEX('Lease Cycles'!$DK$30:$DQ$30,1,AT384),0,IF(AT385=INDEX('Lease Cycles'!$DK$30:$DQ$30,1,AT384),1-INDEX('Lease Cycles'!$DR$30:$DX$30,1,AT384),1))),0)</f>
        <v>0</v>
      </c>
      <c r="AU390" s="28">
        <f>IF(AU386=1,IF(INDEX('Lease Cycles'!$EF$30:$EL$30,1,AU384)=1,AU387*INDEX('Lease Cycles'!$EM$30:$ES$30,1,AU384)+AU388*IF(AU385&lt;INDEX('Lease Cycles'!$FA$30:$FG$30,1,AU384),0,1-INDEX('Lease Cycles'!$EM$30:$ES$30,1,AU384)),AU387*IF(AU385&lt;INDEX('Lease Cycles'!$DK$30:$DQ$30,1,AU384),0,IF(AU385=INDEX('Lease Cycles'!$DK$30:$DQ$30,1,AU384),1-INDEX('Lease Cycles'!$DR$30:$DX$30,1,AU384),1))),0)</f>
        <v>0</v>
      </c>
      <c r="AV390" s="28">
        <f>IF(AV386=1,IF(INDEX('Lease Cycles'!$EF$30:$EL$30,1,AV384)=1,AV387*INDEX('Lease Cycles'!$EM$30:$ES$30,1,AV384)+AV388*IF(AV385&lt;INDEX('Lease Cycles'!$FA$30:$FG$30,1,AV384),0,1-INDEX('Lease Cycles'!$EM$30:$ES$30,1,AV384)),AV387*IF(AV385&lt;INDEX('Lease Cycles'!$DK$30:$DQ$30,1,AV384),0,IF(AV385=INDEX('Lease Cycles'!$DK$30:$DQ$30,1,AV384),1-INDEX('Lease Cycles'!$DR$30:$DX$30,1,AV384),1))),0)</f>
        <v>0</v>
      </c>
      <c r="AW390" s="28">
        <f>IF(AW386=1,IF(INDEX('Lease Cycles'!$EF$30:$EL$30,1,AW384)=1,AW387*INDEX('Lease Cycles'!$EM$30:$ES$30,1,AW384)+AW388*IF(AW385&lt;INDEX('Lease Cycles'!$FA$30:$FG$30,1,AW384),0,1-INDEX('Lease Cycles'!$EM$30:$ES$30,1,AW384)),AW387*IF(AW385&lt;INDEX('Lease Cycles'!$DK$30:$DQ$30,1,AW384),0,IF(AW385=INDEX('Lease Cycles'!$DK$30:$DQ$30,1,AW384),1-INDEX('Lease Cycles'!$DR$30:$DX$30,1,AW384),1))),0)</f>
        <v>0</v>
      </c>
      <c r="AX390" s="28">
        <f>IF(AX386=1,IF(INDEX('Lease Cycles'!$EF$30:$EL$30,1,AX384)=1,AX387*INDEX('Lease Cycles'!$EM$30:$ES$30,1,AX384)+AX388*IF(AX385&lt;INDEX('Lease Cycles'!$FA$30:$FG$30,1,AX384),0,1-INDEX('Lease Cycles'!$EM$30:$ES$30,1,AX384)),AX387*IF(AX385&lt;INDEX('Lease Cycles'!$DK$30:$DQ$30,1,AX384),0,IF(AX385=INDEX('Lease Cycles'!$DK$30:$DQ$30,1,AX384),1-INDEX('Lease Cycles'!$DR$30:$DX$30,1,AX384),1))),0)</f>
        <v>0</v>
      </c>
      <c r="AY390" s="28">
        <f>IF(AY386=1,IF(INDEX('Lease Cycles'!$EF$30:$EL$30,1,AY384)=1,AY387*INDEX('Lease Cycles'!$EM$30:$ES$30,1,AY384)+AY388*IF(AY385&lt;INDEX('Lease Cycles'!$FA$30:$FG$30,1,AY384),0,1-INDEX('Lease Cycles'!$EM$30:$ES$30,1,AY384)),AY387*IF(AY385&lt;INDEX('Lease Cycles'!$DK$30:$DQ$30,1,AY384),0,IF(AY385=INDEX('Lease Cycles'!$DK$30:$DQ$30,1,AY384),1-INDEX('Lease Cycles'!$DR$30:$DX$30,1,AY384),1))),0)</f>
        <v>0</v>
      </c>
      <c r="AZ390" s="28">
        <f>IF(AZ386=1,IF(INDEX('Lease Cycles'!$EF$30:$EL$30,1,AZ384)=1,AZ387*INDEX('Lease Cycles'!$EM$30:$ES$30,1,AZ384)+AZ388*IF(AZ385&lt;INDEX('Lease Cycles'!$FA$30:$FG$30,1,AZ384),0,1-INDEX('Lease Cycles'!$EM$30:$ES$30,1,AZ384)),AZ387*IF(AZ385&lt;INDEX('Lease Cycles'!$DK$30:$DQ$30,1,AZ384),0,IF(AZ385=INDEX('Lease Cycles'!$DK$30:$DQ$30,1,AZ384),1-INDEX('Lease Cycles'!$DR$30:$DX$30,1,AZ384),1))),0)</f>
        <v>0</v>
      </c>
      <c r="BA390" s="28">
        <f>IF(BA386=1,IF(INDEX('Lease Cycles'!$EF$30:$EL$30,1,BA384)=1,BA387*INDEX('Lease Cycles'!$EM$30:$ES$30,1,BA384)+BA388*IF(BA385&lt;INDEX('Lease Cycles'!$FA$30:$FG$30,1,BA384),0,1-INDEX('Lease Cycles'!$EM$30:$ES$30,1,BA384)),BA387*IF(BA385&lt;INDEX('Lease Cycles'!$DK$30:$DQ$30,1,BA384),0,IF(BA385=INDEX('Lease Cycles'!$DK$30:$DQ$30,1,BA384),1-INDEX('Lease Cycles'!$DR$30:$DX$30,1,BA384),1))),0)</f>
        <v>0</v>
      </c>
      <c r="BB390" s="28">
        <f>IF(BB386=1,IF(INDEX('Lease Cycles'!$EF$30:$EL$30,1,BB384)=1,BB387*INDEX('Lease Cycles'!$EM$30:$ES$30,1,BB384)+BB388*IF(BB385&lt;INDEX('Lease Cycles'!$FA$30:$FG$30,1,BB384),0,1-INDEX('Lease Cycles'!$EM$30:$ES$30,1,BB384)),BB387*IF(BB385&lt;INDEX('Lease Cycles'!$DK$30:$DQ$30,1,BB384),0,IF(BB385=INDEX('Lease Cycles'!$DK$30:$DQ$30,1,BB384),1-INDEX('Lease Cycles'!$DR$30:$DX$30,1,BB384),1))),0)</f>
        <v>0</v>
      </c>
      <c r="BC390" s="28">
        <f>IF(BC386=1,IF(INDEX('Lease Cycles'!$EF$30:$EL$30,1,BC384)=1,BC387*INDEX('Lease Cycles'!$EM$30:$ES$30,1,BC384)+BC388*IF(BC385&lt;INDEX('Lease Cycles'!$FA$30:$FG$30,1,BC384),0,1-INDEX('Lease Cycles'!$EM$30:$ES$30,1,BC384)),BC387*IF(BC385&lt;INDEX('Lease Cycles'!$DK$30:$DQ$30,1,BC384),0,IF(BC385=INDEX('Lease Cycles'!$DK$30:$DQ$30,1,BC384),1-INDEX('Lease Cycles'!$DR$30:$DX$30,1,BC384),1))),0)</f>
        <v>0</v>
      </c>
      <c r="BD390" s="28">
        <f>IF(BD386=1,IF(INDEX('Lease Cycles'!$EF$30:$EL$30,1,BD384)=1,BD387*INDEX('Lease Cycles'!$EM$30:$ES$30,1,BD384)+BD388*IF(BD385&lt;INDEX('Lease Cycles'!$FA$30:$FG$30,1,BD384),0,1-INDEX('Lease Cycles'!$EM$30:$ES$30,1,BD384)),BD387*IF(BD385&lt;INDEX('Lease Cycles'!$DK$30:$DQ$30,1,BD384),0,IF(BD385=INDEX('Lease Cycles'!$DK$30:$DQ$30,1,BD384),1-INDEX('Lease Cycles'!$DR$30:$DX$30,1,BD384),1))),0)</f>
        <v>0</v>
      </c>
      <c r="BE390" s="28">
        <f>IF(BE386=1,IF(INDEX('Lease Cycles'!$EF$30:$EL$30,1,BE384)=1,BE387*INDEX('Lease Cycles'!$EM$30:$ES$30,1,BE384)+BE388*IF(BE385&lt;INDEX('Lease Cycles'!$FA$30:$FG$30,1,BE384),0,1-INDEX('Lease Cycles'!$EM$30:$ES$30,1,BE384)),BE387*IF(BE385&lt;INDEX('Lease Cycles'!$DK$30:$DQ$30,1,BE384),0,IF(BE385=INDEX('Lease Cycles'!$DK$30:$DQ$30,1,BE384),1-INDEX('Lease Cycles'!$DR$30:$DX$30,1,BE384),1))),0)</f>
        <v>0</v>
      </c>
      <c r="BF390" s="28">
        <f>IF(BF386=1,IF(INDEX('Lease Cycles'!$EF$30:$EL$30,1,BF384)=1,BF387*INDEX('Lease Cycles'!$EM$30:$ES$30,1,BF384)+BF388*IF(BF385&lt;INDEX('Lease Cycles'!$FA$30:$FG$30,1,BF384),0,1-INDEX('Lease Cycles'!$EM$30:$ES$30,1,BF384)),BF387*IF(BF385&lt;INDEX('Lease Cycles'!$DK$30:$DQ$30,1,BF384),0,IF(BF385=INDEX('Lease Cycles'!$DK$30:$DQ$30,1,BF384),1-INDEX('Lease Cycles'!$DR$30:$DX$30,1,BF384),1))),0)</f>
        <v>0</v>
      </c>
      <c r="BG390" s="28">
        <f>IF(BG386=1,IF(INDEX('Lease Cycles'!$EF$30:$EL$30,1,BG384)=1,BG387*INDEX('Lease Cycles'!$EM$30:$ES$30,1,BG384)+BG388*IF(BG385&lt;INDEX('Lease Cycles'!$FA$30:$FG$30,1,BG384),0,1-INDEX('Lease Cycles'!$EM$30:$ES$30,1,BG384)),BG387*IF(BG385&lt;INDEX('Lease Cycles'!$DK$30:$DQ$30,1,BG384),0,IF(BG385=INDEX('Lease Cycles'!$DK$30:$DQ$30,1,BG384),1-INDEX('Lease Cycles'!$DR$30:$DX$30,1,BG384),1))),0)</f>
        <v>0</v>
      </c>
      <c r="BH390" s="28">
        <f>IF(BH386=1,IF(INDEX('Lease Cycles'!$EF$30:$EL$30,1,BH384)=1,BH387*INDEX('Lease Cycles'!$EM$30:$ES$30,1,BH384)+BH388*IF(BH385&lt;INDEX('Lease Cycles'!$FA$30:$FG$30,1,BH384),0,1-INDEX('Lease Cycles'!$EM$30:$ES$30,1,BH384)),BH387*IF(BH385&lt;INDEX('Lease Cycles'!$DK$30:$DQ$30,1,BH384),0,IF(BH385=INDEX('Lease Cycles'!$DK$30:$DQ$30,1,BH384),1-INDEX('Lease Cycles'!$DR$30:$DX$30,1,BH384),1))),0)</f>
        <v>0</v>
      </c>
      <c r="BI390" s="28">
        <f>IF(BI386=1,IF(INDEX('Lease Cycles'!$EF$30:$EL$30,1,BI384)=1,BI387*INDEX('Lease Cycles'!$EM$30:$ES$30,1,BI384)+BI388*IF(BI385&lt;INDEX('Lease Cycles'!$FA$30:$FG$30,1,BI384),0,1-INDEX('Lease Cycles'!$EM$30:$ES$30,1,BI384)),BI387*IF(BI385&lt;INDEX('Lease Cycles'!$DK$30:$DQ$30,1,BI384),0,IF(BI385=INDEX('Lease Cycles'!$DK$30:$DQ$30,1,BI384),1-INDEX('Lease Cycles'!$DR$30:$DX$30,1,BI384),1))),0)</f>
        <v>0</v>
      </c>
      <c r="BJ390" s="28">
        <f>IF(BJ386=1,IF(INDEX('Lease Cycles'!$EF$30:$EL$30,1,BJ384)=1,BJ387*INDEX('Lease Cycles'!$EM$30:$ES$30,1,BJ384)+BJ388*IF(BJ385&lt;INDEX('Lease Cycles'!$FA$30:$FG$30,1,BJ384),0,1-INDEX('Lease Cycles'!$EM$30:$ES$30,1,BJ384)),BJ387*IF(BJ385&lt;INDEX('Lease Cycles'!$DK$30:$DQ$30,1,BJ384),0,IF(BJ385=INDEX('Lease Cycles'!$DK$30:$DQ$30,1,BJ384),1-INDEX('Lease Cycles'!$DR$30:$DX$30,1,BJ384),1))),0)</f>
        <v>0</v>
      </c>
      <c r="BK390" s="28">
        <f>IF(BK386=1,IF(INDEX('Lease Cycles'!$EF$30:$EL$30,1,BK384)=1,BK387*INDEX('Lease Cycles'!$EM$30:$ES$30,1,BK384)+BK388*IF(BK385&lt;INDEX('Lease Cycles'!$FA$30:$FG$30,1,BK384),0,1-INDEX('Lease Cycles'!$EM$30:$ES$30,1,BK384)),BK387*IF(BK385&lt;INDEX('Lease Cycles'!$DK$30:$DQ$30,1,BK384),0,IF(BK385=INDEX('Lease Cycles'!$DK$30:$DQ$30,1,BK384),1-INDEX('Lease Cycles'!$DR$30:$DX$30,1,BK384),1))),0)</f>
        <v>0</v>
      </c>
      <c r="BL390" s="28">
        <f>IF(BL386=1,IF(INDEX('Lease Cycles'!$EF$30:$EL$30,1,BL384)=1,BL387*INDEX('Lease Cycles'!$EM$30:$ES$30,1,BL384)+BL388*IF(BL385&lt;INDEX('Lease Cycles'!$FA$30:$FG$30,1,BL384),0,1-INDEX('Lease Cycles'!$EM$30:$ES$30,1,BL384)),BL387*IF(BL385&lt;INDEX('Lease Cycles'!$DK$30:$DQ$30,1,BL384),0,IF(BL385=INDEX('Lease Cycles'!$DK$30:$DQ$30,1,BL384),1-INDEX('Lease Cycles'!$DR$30:$DX$30,1,BL384),1))),0)</f>
        <v>0</v>
      </c>
      <c r="BM390" s="28">
        <f>IF(BM386=1,IF(INDEX('Lease Cycles'!$EF$30:$EL$30,1,BM384)=1,BM387*INDEX('Lease Cycles'!$EM$30:$ES$30,1,BM384)+BM388*IF(BM385&lt;INDEX('Lease Cycles'!$FA$30:$FG$30,1,BM384),0,1-INDEX('Lease Cycles'!$EM$30:$ES$30,1,BM384)),BM387*IF(BM385&lt;INDEX('Lease Cycles'!$DK$30:$DQ$30,1,BM384),0,IF(BM385=INDEX('Lease Cycles'!$DK$30:$DQ$30,1,BM384),1-INDEX('Lease Cycles'!$DR$30:$DX$30,1,BM384),1))),0)</f>
        <v>0</v>
      </c>
      <c r="BN390" s="28">
        <f>IF(BN386=1,IF(INDEX('Lease Cycles'!$EF$30:$EL$30,1,BN384)=1,BN387*INDEX('Lease Cycles'!$EM$30:$ES$30,1,BN384)+BN388*IF(BN385&lt;INDEX('Lease Cycles'!$FA$30:$FG$30,1,BN384),0,1-INDEX('Lease Cycles'!$EM$30:$ES$30,1,BN384)),BN387*IF(BN385&lt;INDEX('Lease Cycles'!$DK$30:$DQ$30,1,BN384),0,IF(BN385=INDEX('Lease Cycles'!$DK$30:$DQ$30,1,BN384),1-INDEX('Lease Cycles'!$DR$30:$DX$30,1,BN384),1))),0)</f>
        <v>0</v>
      </c>
      <c r="BO390" s="28">
        <f>IF(BO386=1,IF(INDEX('Lease Cycles'!$EF$30:$EL$30,1,BO384)=1,BO387*INDEX('Lease Cycles'!$EM$30:$ES$30,1,BO384)+BO388*IF(BO385&lt;INDEX('Lease Cycles'!$FA$30:$FG$30,1,BO384),0,1-INDEX('Lease Cycles'!$EM$30:$ES$30,1,BO384)),BO387*IF(BO385&lt;INDEX('Lease Cycles'!$DK$30:$DQ$30,1,BO384),0,IF(BO385=INDEX('Lease Cycles'!$DK$30:$DQ$30,1,BO384),1-INDEX('Lease Cycles'!$DR$30:$DX$30,1,BO384),1))),0)</f>
        <v>0</v>
      </c>
      <c r="BP390" s="28">
        <f>IF(BP386=1,IF(INDEX('Lease Cycles'!$EF$30:$EL$30,1,BP384)=1,BP387*INDEX('Lease Cycles'!$EM$30:$ES$30,1,BP384)+BP388*IF(BP385&lt;INDEX('Lease Cycles'!$FA$30:$FG$30,1,BP384),0,1-INDEX('Lease Cycles'!$EM$30:$ES$30,1,BP384)),BP387*IF(BP385&lt;INDEX('Lease Cycles'!$DK$30:$DQ$30,1,BP384),0,IF(BP385=INDEX('Lease Cycles'!$DK$30:$DQ$30,1,BP384),1-INDEX('Lease Cycles'!$DR$30:$DX$30,1,BP384),1))),0)</f>
        <v>0</v>
      </c>
      <c r="BQ390" s="28">
        <f>IF(BQ386=1,IF(INDEX('Lease Cycles'!$EF$30:$EL$30,1,BQ384)=1,BQ387*INDEX('Lease Cycles'!$EM$30:$ES$30,1,BQ384)+BQ388*IF(BQ385&lt;INDEX('Lease Cycles'!$FA$30:$FG$30,1,BQ384),0,1-INDEX('Lease Cycles'!$EM$30:$ES$30,1,BQ384)),BQ387*IF(BQ385&lt;INDEX('Lease Cycles'!$DK$30:$DQ$30,1,BQ384),0,IF(BQ385=INDEX('Lease Cycles'!$DK$30:$DQ$30,1,BQ384),1-INDEX('Lease Cycles'!$DR$30:$DX$30,1,BQ384),1))),0)</f>
        <v>0</v>
      </c>
      <c r="BR390" s="28">
        <f>IF(BR386=1,IF(INDEX('Lease Cycles'!$EF$30:$EL$30,1,BR384)=1,BR387*INDEX('Lease Cycles'!$EM$30:$ES$30,1,BR384)+BR388*IF(BR385&lt;INDEX('Lease Cycles'!$FA$30:$FG$30,1,BR384),0,1-INDEX('Lease Cycles'!$EM$30:$ES$30,1,BR384)),BR387*IF(BR385&lt;INDEX('Lease Cycles'!$DK$30:$DQ$30,1,BR384),0,IF(BR385=INDEX('Lease Cycles'!$DK$30:$DQ$30,1,BR384),1-INDEX('Lease Cycles'!$DR$30:$DX$30,1,BR384),1))),0)</f>
        <v>0</v>
      </c>
      <c r="BS390" s="28">
        <f>IF(BS386=1,IF(INDEX('Lease Cycles'!$EF$30:$EL$30,1,BS384)=1,BS387*INDEX('Lease Cycles'!$EM$30:$ES$30,1,BS384)+BS388*IF(BS385&lt;INDEX('Lease Cycles'!$FA$30:$FG$30,1,BS384),0,1-INDEX('Lease Cycles'!$EM$30:$ES$30,1,BS384)),BS387*IF(BS385&lt;INDEX('Lease Cycles'!$DK$30:$DQ$30,1,BS384),0,IF(BS385=INDEX('Lease Cycles'!$DK$30:$DQ$30,1,BS384),1-INDEX('Lease Cycles'!$DR$30:$DX$30,1,BS384),1))),0)</f>
        <v>0</v>
      </c>
      <c r="BT390" s="28">
        <f>IF(BT386=1,IF(INDEX('Lease Cycles'!$EF$30:$EL$30,1,BT384)=1,BT387*INDEX('Lease Cycles'!$EM$30:$ES$30,1,BT384)+BT388*IF(BT385&lt;INDEX('Lease Cycles'!$FA$30:$FG$30,1,BT384),0,1-INDEX('Lease Cycles'!$EM$30:$ES$30,1,BT384)),BT387*IF(BT385&lt;INDEX('Lease Cycles'!$DK$30:$DQ$30,1,BT384),0,IF(BT385=INDEX('Lease Cycles'!$DK$30:$DQ$30,1,BT384),1-INDEX('Lease Cycles'!$DR$30:$DX$30,1,BT384),1))),0)</f>
        <v>0</v>
      </c>
      <c r="BU390" s="28">
        <f>IF(BU386=1,IF(INDEX('Lease Cycles'!$EF$30:$EL$30,1,BU384)=1,BU387*INDEX('Lease Cycles'!$EM$30:$ES$30,1,BU384)+BU388*IF(BU385&lt;INDEX('Lease Cycles'!$FA$30:$FG$30,1,BU384),0,1-INDEX('Lease Cycles'!$EM$30:$ES$30,1,BU384)),BU387*IF(BU385&lt;INDEX('Lease Cycles'!$DK$30:$DQ$30,1,BU384),0,IF(BU385=INDEX('Lease Cycles'!$DK$30:$DQ$30,1,BU384),1-INDEX('Lease Cycles'!$DR$30:$DX$30,1,BU384),1))),0)</f>
        <v>0</v>
      </c>
      <c r="BV390" s="28">
        <f>IF(BV386=1,IF(INDEX('Lease Cycles'!$EF$30:$EL$30,1,BV384)=1,BV387*INDEX('Lease Cycles'!$EM$30:$ES$30,1,BV384)+BV388*IF(BV385&lt;INDEX('Lease Cycles'!$FA$30:$FG$30,1,BV384),0,1-INDEX('Lease Cycles'!$EM$30:$ES$30,1,BV384)),BV387*IF(BV385&lt;INDEX('Lease Cycles'!$DK$30:$DQ$30,1,BV384),0,IF(BV385=INDEX('Lease Cycles'!$DK$30:$DQ$30,1,BV384),1-INDEX('Lease Cycles'!$DR$30:$DX$30,1,BV384),1))),0)</f>
        <v>0</v>
      </c>
      <c r="BW390" s="28">
        <f>IF(BW386=1,IF(INDEX('Lease Cycles'!$EF$30:$EL$30,1,BW384)=1,BW387*INDEX('Lease Cycles'!$EM$30:$ES$30,1,BW384)+BW388*IF(BW385&lt;INDEX('Lease Cycles'!$FA$30:$FG$30,1,BW384),0,1-INDEX('Lease Cycles'!$EM$30:$ES$30,1,BW384)),BW387*IF(BW385&lt;INDEX('Lease Cycles'!$DK$30:$DQ$30,1,BW384),0,IF(BW385=INDEX('Lease Cycles'!$DK$30:$DQ$30,1,BW384),1-INDEX('Lease Cycles'!$DR$30:$DX$30,1,BW384),1))),0)</f>
        <v>0</v>
      </c>
      <c r="BX390" s="28">
        <f>IF(BX386=1,IF(INDEX('Lease Cycles'!$EF$30:$EL$30,1,BX384)=1,BX387*INDEX('Lease Cycles'!$EM$30:$ES$30,1,BX384)+BX388*IF(BX385&lt;INDEX('Lease Cycles'!$FA$30:$FG$30,1,BX384),0,1-INDEX('Lease Cycles'!$EM$30:$ES$30,1,BX384)),BX387*IF(BX385&lt;INDEX('Lease Cycles'!$DK$30:$DQ$30,1,BX384),0,IF(BX385=INDEX('Lease Cycles'!$DK$30:$DQ$30,1,BX384),1-INDEX('Lease Cycles'!$DR$30:$DX$30,1,BX384),1))),0)</f>
        <v>0</v>
      </c>
      <c r="BY390" s="28">
        <f>IF(BY386=1,IF(INDEX('Lease Cycles'!$EF$30:$EL$30,1,BY384)=1,BY387*INDEX('Lease Cycles'!$EM$30:$ES$30,1,BY384)+BY388*IF(BY385&lt;INDEX('Lease Cycles'!$FA$30:$FG$30,1,BY384),0,1-INDEX('Lease Cycles'!$EM$30:$ES$30,1,BY384)),BY387*IF(BY385&lt;INDEX('Lease Cycles'!$DK$30:$DQ$30,1,BY384),0,IF(BY385=INDEX('Lease Cycles'!$DK$30:$DQ$30,1,BY384),1-INDEX('Lease Cycles'!$DR$30:$DX$30,1,BY384),1))),0)</f>
        <v>0</v>
      </c>
      <c r="BZ390" s="28">
        <f>IF(BZ386=1,IF(INDEX('Lease Cycles'!$EF$30:$EL$30,1,BZ384)=1,BZ387*INDEX('Lease Cycles'!$EM$30:$ES$30,1,BZ384)+BZ388*IF(BZ385&lt;INDEX('Lease Cycles'!$FA$30:$FG$30,1,BZ384),0,1-INDEX('Lease Cycles'!$EM$30:$ES$30,1,BZ384)),BZ387*IF(BZ385&lt;INDEX('Lease Cycles'!$DK$30:$DQ$30,1,BZ384),0,IF(BZ385=INDEX('Lease Cycles'!$DK$30:$DQ$30,1,BZ384),1-INDEX('Lease Cycles'!$DR$30:$DX$30,1,BZ384),1))),0)</f>
        <v>0</v>
      </c>
      <c r="CA390" s="28">
        <f>IF(CA386=1,IF(INDEX('Lease Cycles'!$EF$30:$EL$30,1,CA384)=1,CA387*INDEX('Lease Cycles'!$EM$30:$ES$30,1,CA384)+CA388*IF(CA385&lt;INDEX('Lease Cycles'!$FA$30:$FG$30,1,CA384),0,1-INDEX('Lease Cycles'!$EM$30:$ES$30,1,CA384)),CA387*IF(CA385&lt;INDEX('Lease Cycles'!$DK$30:$DQ$30,1,CA384),0,IF(CA385=INDEX('Lease Cycles'!$DK$30:$DQ$30,1,CA384),1-INDEX('Lease Cycles'!$DR$30:$DX$30,1,CA384),1))),0)</f>
        <v>0</v>
      </c>
      <c r="CB390" s="28">
        <f>IF(CB386=1,IF(INDEX('Lease Cycles'!$EF$30:$EL$30,1,CB384)=1,CB387*INDEX('Lease Cycles'!$EM$30:$ES$30,1,CB384)+CB388*IF(CB385&lt;INDEX('Lease Cycles'!$FA$30:$FG$30,1,CB384),0,1-INDEX('Lease Cycles'!$EM$30:$ES$30,1,CB384)),CB387*IF(CB385&lt;INDEX('Lease Cycles'!$DK$30:$DQ$30,1,CB384),0,IF(CB385=INDEX('Lease Cycles'!$DK$30:$DQ$30,1,CB384),1-INDEX('Lease Cycles'!$DR$30:$DX$30,1,CB384),1))),0)</f>
        <v>0</v>
      </c>
      <c r="CC390" s="28">
        <f>IF(CC386=1,IF(INDEX('Lease Cycles'!$EF$30:$EL$30,1,CC384)=1,CC387*INDEX('Lease Cycles'!$EM$30:$ES$30,1,CC384)+CC388*IF(CC385&lt;INDEX('Lease Cycles'!$FA$30:$FG$30,1,CC384),0,1-INDEX('Lease Cycles'!$EM$30:$ES$30,1,CC384)),CC387*IF(CC385&lt;INDEX('Lease Cycles'!$DK$30:$DQ$30,1,CC384),0,IF(CC385=INDEX('Lease Cycles'!$DK$30:$DQ$30,1,CC384),1-INDEX('Lease Cycles'!$DR$30:$DX$30,1,CC384),1))),0)</f>
        <v>0</v>
      </c>
      <c r="CD390" s="28">
        <f>IF(CD386=1,IF(INDEX('Lease Cycles'!$EF$30:$EL$30,1,CD384)=1,CD387*INDEX('Lease Cycles'!$EM$30:$ES$30,1,CD384)+CD388*IF(CD385&lt;INDEX('Lease Cycles'!$FA$30:$FG$30,1,CD384),0,1-INDEX('Lease Cycles'!$EM$30:$ES$30,1,CD384)),CD387*IF(CD385&lt;INDEX('Lease Cycles'!$DK$30:$DQ$30,1,CD384),0,IF(CD385=INDEX('Lease Cycles'!$DK$30:$DQ$30,1,CD384),1-INDEX('Lease Cycles'!$DR$30:$DX$30,1,CD384),1))),0)</f>
        <v>0</v>
      </c>
      <c r="CE390" s="28">
        <f>IF(CE386=1,IF(INDEX('Lease Cycles'!$EF$30:$EL$30,1,CE384)=1,CE387*INDEX('Lease Cycles'!$EM$30:$ES$30,1,CE384)+CE388*IF(CE385&lt;INDEX('Lease Cycles'!$FA$30:$FG$30,1,CE384),0,1-INDEX('Lease Cycles'!$EM$30:$ES$30,1,CE384)),CE387*IF(CE385&lt;INDEX('Lease Cycles'!$DK$30:$DQ$30,1,CE384),0,IF(CE385=INDEX('Lease Cycles'!$DK$30:$DQ$30,1,CE384),1-INDEX('Lease Cycles'!$DR$30:$DX$30,1,CE384),1))),0)</f>
        <v>0</v>
      </c>
      <c r="CF390" s="28">
        <f>IF(CF386=1,IF(INDEX('Lease Cycles'!$EF$30:$EL$30,1,CF384)=1,CF387*INDEX('Lease Cycles'!$EM$30:$ES$30,1,CF384)+CF388*IF(CF385&lt;INDEX('Lease Cycles'!$FA$30:$FG$30,1,CF384),0,1-INDEX('Lease Cycles'!$EM$30:$ES$30,1,CF384)),CF387*IF(CF385&lt;INDEX('Lease Cycles'!$DK$30:$DQ$30,1,CF384),0,IF(CF385=INDEX('Lease Cycles'!$DK$30:$DQ$30,1,CF384),1-INDEX('Lease Cycles'!$DR$30:$DX$30,1,CF384),1))),0)</f>
        <v>0</v>
      </c>
      <c r="CG390" s="28">
        <f>IF(CG386=1,IF(INDEX('Lease Cycles'!$EF$30:$EL$30,1,CG384)=1,CG387*INDEX('Lease Cycles'!$EM$30:$ES$30,1,CG384)+CG388*IF(CG385&lt;INDEX('Lease Cycles'!$FA$30:$FG$30,1,CG384),0,1-INDEX('Lease Cycles'!$EM$30:$ES$30,1,CG384)),CG387*IF(CG385&lt;INDEX('Lease Cycles'!$DK$30:$DQ$30,1,CG384),0,IF(CG385=INDEX('Lease Cycles'!$DK$30:$DQ$30,1,CG384),1-INDEX('Lease Cycles'!$DR$30:$DX$30,1,CG384),1))),0)</f>
        <v>0</v>
      </c>
      <c r="CH390" s="28">
        <f>IF(CH386=1,IF(INDEX('Lease Cycles'!$EF$30:$EL$30,1,CH384)=1,CH387*INDEX('Lease Cycles'!$EM$30:$ES$30,1,CH384)+CH388*IF(CH385&lt;INDEX('Lease Cycles'!$FA$30:$FG$30,1,CH384),0,1-INDEX('Lease Cycles'!$EM$30:$ES$30,1,CH384)),CH387*IF(CH385&lt;INDEX('Lease Cycles'!$DK$30:$DQ$30,1,CH384),0,IF(CH385=INDEX('Lease Cycles'!$DK$30:$DQ$30,1,CH384),1-INDEX('Lease Cycles'!$DR$30:$DX$30,1,CH384),1))),0)</f>
        <v>0</v>
      </c>
      <c r="CI390" s="28">
        <f>IF(CI386=1,IF(INDEX('Lease Cycles'!$EF$30:$EL$30,1,CI384)=1,CI387*INDEX('Lease Cycles'!$EM$30:$ES$30,1,CI384)+CI388*IF(CI385&lt;INDEX('Lease Cycles'!$FA$30:$FG$30,1,CI384),0,1-INDEX('Lease Cycles'!$EM$30:$ES$30,1,CI384)),CI387*IF(CI385&lt;INDEX('Lease Cycles'!$DK$30:$DQ$30,1,CI384),0,IF(CI385=INDEX('Lease Cycles'!$DK$30:$DQ$30,1,CI384),1-INDEX('Lease Cycles'!$DR$30:$DX$30,1,CI384),1))),0)</f>
        <v>0</v>
      </c>
      <c r="CJ390" s="28">
        <f>IF(CJ386=1,IF(INDEX('Lease Cycles'!$EF$30:$EL$30,1,CJ384)=1,CJ387*INDEX('Lease Cycles'!$EM$30:$ES$30,1,CJ384)+CJ388*IF(CJ385&lt;INDEX('Lease Cycles'!$FA$30:$FG$30,1,CJ384),0,1-INDEX('Lease Cycles'!$EM$30:$ES$30,1,CJ384)),CJ387*IF(CJ385&lt;INDEX('Lease Cycles'!$DK$30:$DQ$30,1,CJ384),0,IF(CJ385=INDEX('Lease Cycles'!$DK$30:$DQ$30,1,CJ384),1-INDEX('Lease Cycles'!$DR$30:$DX$30,1,CJ384),1))),0)</f>
        <v>0</v>
      </c>
      <c r="CK390" s="28">
        <f>IF(CK386=1,IF(INDEX('Lease Cycles'!$EF$30:$EL$30,1,CK384)=1,CK387*INDEX('Lease Cycles'!$EM$30:$ES$30,1,CK384)+CK388*IF(CK385&lt;INDEX('Lease Cycles'!$FA$30:$FG$30,1,CK384),0,1-INDEX('Lease Cycles'!$EM$30:$ES$30,1,CK384)),CK387*IF(CK385&lt;INDEX('Lease Cycles'!$DK$30:$DQ$30,1,CK384),0,IF(CK385=INDEX('Lease Cycles'!$DK$30:$DQ$30,1,CK384),1-INDEX('Lease Cycles'!$DR$30:$DX$30,1,CK384),1))),0)</f>
        <v>0</v>
      </c>
      <c r="CL390" s="28">
        <f>IF(CL386=1,IF(INDEX('Lease Cycles'!$EF$30:$EL$30,1,CL384)=1,CL387*INDEX('Lease Cycles'!$EM$30:$ES$30,1,CL384)+CL388*IF(CL385&lt;INDEX('Lease Cycles'!$FA$30:$FG$30,1,CL384),0,1-INDEX('Lease Cycles'!$EM$30:$ES$30,1,CL384)),CL387*IF(CL385&lt;INDEX('Lease Cycles'!$DK$30:$DQ$30,1,CL384),0,IF(CL385=INDEX('Lease Cycles'!$DK$30:$DQ$30,1,CL384),1-INDEX('Lease Cycles'!$DR$30:$DX$30,1,CL384),1))),0)</f>
        <v>0</v>
      </c>
      <c r="CM390" s="28">
        <f>IF(CM386=1,IF(INDEX('Lease Cycles'!$EF$30:$EL$30,1,CM384)=1,CM387*INDEX('Lease Cycles'!$EM$30:$ES$30,1,CM384)+CM388*IF(CM385&lt;INDEX('Lease Cycles'!$FA$30:$FG$30,1,CM384),0,1-INDEX('Lease Cycles'!$EM$30:$ES$30,1,CM384)),CM387*IF(CM385&lt;INDEX('Lease Cycles'!$DK$30:$DQ$30,1,CM384),0,IF(CM385=INDEX('Lease Cycles'!$DK$30:$DQ$30,1,CM384),1-INDEX('Lease Cycles'!$DR$30:$DX$30,1,CM384),1))),0)</f>
        <v>0</v>
      </c>
      <c r="CN390" s="28">
        <f>IF(CN386=1,IF(INDEX('Lease Cycles'!$EF$30:$EL$30,1,CN384)=1,CN387*INDEX('Lease Cycles'!$EM$30:$ES$30,1,CN384)+CN388*IF(CN385&lt;INDEX('Lease Cycles'!$FA$30:$FG$30,1,CN384),0,1-INDEX('Lease Cycles'!$EM$30:$ES$30,1,CN384)),CN387*IF(CN385&lt;INDEX('Lease Cycles'!$DK$30:$DQ$30,1,CN384),0,IF(CN385=INDEX('Lease Cycles'!$DK$30:$DQ$30,1,CN384),1-INDEX('Lease Cycles'!$DR$30:$DX$30,1,CN384),1))),0)</f>
        <v>0</v>
      </c>
      <c r="CO390" s="28">
        <f>IF(CO386=1,IF(INDEX('Lease Cycles'!$EF$30:$EL$30,1,CO384)=1,CO387*INDEX('Lease Cycles'!$EM$30:$ES$30,1,CO384)+CO388*IF(CO385&lt;INDEX('Lease Cycles'!$FA$30:$FG$30,1,CO384),0,1-INDEX('Lease Cycles'!$EM$30:$ES$30,1,CO384)),CO387*IF(CO385&lt;INDEX('Lease Cycles'!$DK$30:$DQ$30,1,CO384),0,IF(CO385=INDEX('Lease Cycles'!$DK$30:$DQ$30,1,CO384),1-INDEX('Lease Cycles'!$DR$30:$DX$30,1,CO384),1))),0)</f>
        <v>0</v>
      </c>
      <c r="CP390" s="28">
        <f>IF(CP386=1,IF(INDEX('Lease Cycles'!$EF$30:$EL$30,1,CP384)=1,CP387*INDEX('Lease Cycles'!$EM$30:$ES$30,1,CP384)+CP388*IF(CP385&lt;INDEX('Lease Cycles'!$FA$30:$FG$30,1,CP384),0,1-INDEX('Lease Cycles'!$EM$30:$ES$30,1,CP384)),CP387*IF(CP385&lt;INDEX('Lease Cycles'!$DK$30:$DQ$30,1,CP384),0,IF(CP385=INDEX('Lease Cycles'!$DK$30:$DQ$30,1,CP384),1-INDEX('Lease Cycles'!$DR$30:$DX$30,1,CP384),1))),0)</f>
        <v>0</v>
      </c>
      <c r="CQ390" s="28">
        <f>IF(CQ386=1,IF(INDEX('Lease Cycles'!$EF$30:$EL$30,1,CQ384)=1,CQ387*INDEX('Lease Cycles'!$EM$30:$ES$30,1,CQ384)+CQ388*IF(CQ385&lt;INDEX('Lease Cycles'!$FA$30:$FG$30,1,CQ384),0,1-INDEX('Lease Cycles'!$EM$30:$ES$30,1,CQ384)),CQ387*IF(CQ385&lt;INDEX('Lease Cycles'!$DK$30:$DQ$30,1,CQ384),0,IF(CQ385=INDEX('Lease Cycles'!$DK$30:$DQ$30,1,CQ384),1-INDEX('Lease Cycles'!$DR$30:$DX$30,1,CQ384),1))),0)</f>
        <v>0</v>
      </c>
      <c r="CR390" s="28">
        <f>IF(CR386=1,IF(INDEX('Lease Cycles'!$EF$30:$EL$30,1,CR384)=1,CR387*INDEX('Lease Cycles'!$EM$30:$ES$30,1,CR384)+CR388*IF(CR385&lt;INDEX('Lease Cycles'!$FA$30:$FG$30,1,CR384),0,1-INDEX('Lease Cycles'!$EM$30:$ES$30,1,CR384)),CR387*IF(CR385&lt;INDEX('Lease Cycles'!$DK$30:$DQ$30,1,CR384),0,IF(CR385=INDEX('Lease Cycles'!$DK$30:$DQ$30,1,CR384),1-INDEX('Lease Cycles'!$DR$30:$DX$30,1,CR384),1))),0)</f>
        <v>0</v>
      </c>
      <c r="CS390" s="28">
        <f>IF(CS386=1,IF(INDEX('Lease Cycles'!$EF$30:$EL$30,1,CS384)=1,CS387*INDEX('Lease Cycles'!$EM$30:$ES$30,1,CS384)+CS388*IF(CS385&lt;INDEX('Lease Cycles'!$FA$30:$FG$30,1,CS384),0,1-INDEX('Lease Cycles'!$EM$30:$ES$30,1,CS384)),CS387*IF(CS385&lt;INDEX('Lease Cycles'!$DK$30:$DQ$30,1,CS384),0,IF(CS385=INDEX('Lease Cycles'!$DK$30:$DQ$30,1,CS384),1-INDEX('Lease Cycles'!$DR$30:$DX$30,1,CS384),1))),0)</f>
        <v>0</v>
      </c>
      <c r="CT390" s="28">
        <f>IF(CT386=1,IF(INDEX('Lease Cycles'!$EF$30:$EL$30,1,CT384)=1,CT387*INDEX('Lease Cycles'!$EM$30:$ES$30,1,CT384)+CT388*IF(CT385&lt;INDEX('Lease Cycles'!$FA$30:$FG$30,1,CT384),0,1-INDEX('Lease Cycles'!$EM$30:$ES$30,1,CT384)),CT387*IF(CT385&lt;INDEX('Lease Cycles'!$DK$30:$DQ$30,1,CT384),0,IF(CT385=INDEX('Lease Cycles'!$DK$30:$DQ$30,1,CT384),1-INDEX('Lease Cycles'!$DR$30:$DX$30,1,CT384),1))),0)</f>
        <v>0</v>
      </c>
      <c r="CU390" s="28">
        <f>IF(CU386=1,IF(INDEX('Lease Cycles'!$EF$30:$EL$30,1,CU384)=1,CU387*INDEX('Lease Cycles'!$EM$30:$ES$30,1,CU384)+CU388*IF(CU385&lt;INDEX('Lease Cycles'!$FA$30:$FG$30,1,CU384),0,1-INDEX('Lease Cycles'!$EM$30:$ES$30,1,CU384)),CU387*IF(CU385&lt;INDEX('Lease Cycles'!$DK$30:$DQ$30,1,CU384),0,IF(CU385=INDEX('Lease Cycles'!$DK$30:$DQ$30,1,CU384),1-INDEX('Lease Cycles'!$DR$30:$DX$30,1,CU384),1))),0)</f>
        <v>0</v>
      </c>
      <c r="CV390" s="28">
        <f>IF(CV386=1,IF(INDEX('Lease Cycles'!$EF$30:$EL$30,1,CV384)=1,CV387*INDEX('Lease Cycles'!$EM$30:$ES$30,1,CV384)+CV388*IF(CV385&lt;INDEX('Lease Cycles'!$FA$30:$FG$30,1,CV384),0,1-INDEX('Lease Cycles'!$EM$30:$ES$30,1,CV384)),CV387*IF(CV385&lt;INDEX('Lease Cycles'!$DK$30:$DQ$30,1,CV384),0,IF(CV385=INDEX('Lease Cycles'!$DK$30:$DQ$30,1,CV384),1-INDEX('Lease Cycles'!$DR$30:$DX$30,1,CV384),1))),0)</f>
        <v>0</v>
      </c>
      <c r="CW390" s="28">
        <f>IF(CW386=1,IF(INDEX('Lease Cycles'!$EF$30:$EL$30,1,CW384)=1,CW387*INDEX('Lease Cycles'!$EM$30:$ES$30,1,CW384)+CW388*IF(CW385&lt;INDEX('Lease Cycles'!$FA$30:$FG$30,1,CW384),0,1-INDEX('Lease Cycles'!$EM$30:$ES$30,1,CW384)),CW387*IF(CW385&lt;INDEX('Lease Cycles'!$DK$30:$DQ$30,1,CW384),0,IF(CW385=INDEX('Lease Cycles'!$DK$30:$DQ$30,1,CW384),1-INDEX('Lease Cycles'!$DR$30:$DX$30,1,CW384),1))),0)</f>
        <v>0</v>
      </c>
      <c r="CX390" s="28">
        <f>IF(CX386=1,IF(INDEX('Lease Cycles'!$EF$30:$EL$30,1,CX384)=1,CX387*INDEX('Lease Cycles'!$EM$30:$ES$30,1,CX384)+CX388*IF(CX385&lt;INDEX('Lease Cycles'!$FA$30:$FG$30,1,CX384),0,1-INDEX('Lease Cycles'!$EM$30:$ES$30,1,CX384)),CX387*IF(CX385&lt;INDEX('Lease Cycles'!$DK$30:$DQ$30,1,CX384),0,IF(CX385=INDEX('Lease Cycles'!$DK$30:$DQ$30,1,CX384),1-INDEX('Lease Cycles'!$DR$30:$DX$30,1,CX384),1))),0)</f>
        <v>0</v>
      </c>
      <c r="CY390" s="28">
        <f>IF(CY386=1,IF(INDEX('Lease Cycles'!$EF$30:$EL$30,1,CY384)=1,CY387*INDEX('Lease Cycles'!$EM$30:$ES$30,1,CY384)+CY388*IF(CY385&lt;INDEX('Lease Cycles'!$FA$30:$FG$30,1,CY384),0,1-INDEX('Lease Cycles'!$EM$30:$ES$30,1,CY384)),CY387*IF(CY385&lt;INDEX('Lease Cycles'!$DK$30:$DQ$30,1,CY384),0,IF(CY385=INDEX('Lease Cycles'!$DK$30:$DQ$30,1,CY384),1-INDEX('Lease Cycles'!$DR$30:$DX$30,1,CY384),1))),0)</f>
        <v>0</v>
      </c>
      <c r="CZ390" s="28">
        <f>IF(CZ386=1,IF(INDEX('Lease Cycles'!$EF$30:$EL$30,1,CZ384)=1,CZ387*INDEX('Lease Cycles'!$EM$30:$ES$30,1,CZ384)+CZ388*IF(CZ385&lt;INDEX('Lease Cycles'!$FA$30:$FG$30,1,CZ384),0,1-INDEX('Lease Cycles'!$EM$30:$ES$30,1,CZ384)),CZ387*IF(CZ385&lt;INDEX('Lease Cycles'!$DK$30:$DQ$30,1,CZ384),0,IF(CZ385=INDEX('Lease Cycles'!$DK$30:$DQ$30,1,CZ384),1-INDEX('Lease Cycles'!$DR$30:$DX$30,1,CZ384),1))),0)</f>
        <v>0</v>
      </c>
      <c r="DA390" s="28">
        <f>IF(DA386=1,IF(INDEX('Lease Cycles'!$EF$30:$EL$30,1,DA384)=1,DA387*INDEX('Lease Cycles'!$EM$30:$ES$30,1,DA384)+DA388*IF(DA385&lt;INDEX('Lease Cycles'!$FA$30:$FG$30,1,DA384),0,1-INDEX('Lease Cycles'!$EM$30:$ES$30,1,DA384)),DA387*IF(DA385&lt;INDEX('Lease Cycles'!$DK$30:$DQ$30,1,DA384),0,IF(DA385=INDEX('Lease Cycles'!$DK$30:$DQ$30,1,DA384),1-INDEX('Lease Cycles'!$DR$30:$DX$30,1,DA384),1))),0)</f>
        <v>0</v>
      </c>
      <c r="DB390" s="28">
        <f>IF(DB386=1,IF(INDEX('Lease Cycles'!$EF$30:$EL$30,1,DB384)=1,DB387*INDEX('Lease Cycles'!$EM$30:$ES$30,1,DB384)+DB388*IF(DB385&lt;INDEX('Lease Cycles'!$FA$30:$FG$30,1,DB384),0,1-INDEX('Lease Cycles'!$EM$30:$ES$30,1,DB384)),DB387*IF(DB385&lt;INDEX('Lease Cycles'!$DK$30:$DQ$30,1,DB384),0,IF(DB385=INDEX('Lease Cycles'!$DK$30:$DQ$30,1,DB384),1-INDEX('Lease Cycles'!$DR$30:$DX$30,1,DB384),1))),0)</f>
        <v>0</v>
      </c>
      <c r="DC390" s="28">
        <f>IF(DC386=1,IF(INDEX('Lease Cycles'!$EF$30:$EL$30,1,DC384)=1,DC387*INDEX('Lease Cycles'!$EM$30:$ES$30,1,DC384)+DC388*IF(DC385&lt;INDEX('Lease Cycles'!$FA$30:$FG$30,1,DC384),0,1-INDEX('Lease Cycles'!$EM$30:$ES$30,1,DC384)),DC387*IF(DC385&lt;INDEX('Lease Cycles'!$DK$30:$DQ$30,1,DC384),0,IF(DC385=INDEX('Lease Cycles'!$DK$30:$DQ$30,1,DC384),1-INDEX('Lease Cycles'!$DR$30:$DX$30,1,DC384),1))),0)</f>
        <v>0</v>
      </c>
      <c r="DD390" s="28">
        <f>IF(DD386=1,IF(INDEX('Lease Cycles'!$EF$30:$EL$30,1,DD384)=1,DD387*INDEX('Lease Cycles'!$EM$30:$ES$30,1,DD384)+DD388*IF(DD385&lt;INDEX('Lease Cycles'!$FA$30:$FG$30,1,DD384),0,1-INDEX('Lease Cycles'!$EM$30:$ES$30,1,DD384)),DD387*IF(DD385&lt;INDEX('Lease Cycles'!$DK$30:$DQ$30,1,DD384),0,IF(DD385=INDEX('Lease Cycles'!$DK$30:$DQ$30,1,DD384),1-INDEX('Lease Cycles'!$DR$30:$DX$30,1,DD384),1))),0)</f>
        <v>0</v>
      </c>
      <c r="DE390" s="28">
        <f>IF(DE386=1,IF(INDEX('Lease Cycles'!$EF$30:$EL$30,1,DE384)=1,DE387*INDEX('Lease Cycles'!$EM$30:$ES$30,1,DE384)+DE388*IF(DE385&lt;INDEX('Lease Cycles'!$FA$30:$FG$30,1,DE384),0,1-INDEX('Lease Cycles'!$EM$30:$ES$30,1,DE384)),DE387*IF(DE385&lt;INDEX('Lease Cycles'!$DK$30:$DQ$30,1,DE384),0,IF(DE385=INDEX('Lease Cycles'!$DK$30:$DQ$30,1,DE384),1-INDEX('Lease Cycles'!$DR$30:$DX$30,1,DE384),1))),0)</f>
        <v>0</v>
      </c>
      <c r="DF390" s="28">
        <f>IF(DF386=1,IF(INDEX('Lease Cycles'!$EF$30:$EL$30,1,DF384)=1,DF387*INDEX('Lease Cycles'!$EM$30:$ES$30,1,DF384)+DF388*IF(DF385&lt;INDEX('Lease Cycles'!$FA$30:$FG$30,1,DF384),0,1-INDEX('Lease Cycles'!$EM$30:$ES$30,1,DF384)),DF387*IF(DF385&lt;INDEX('Lease Cycles'!$DK$30:$DQ$30,1,DF384),0,IF(DF385=INDEX('Lease Cycles'!$DK$30:$DQ$30,1,DF384),1-INDEX('Lease Cycles'!$DR$30:$DX$30,1,DF384),1))),0)</f>
        <v>0</v>
      </c>
      <c r="DG390" s="28">
        <f>IF(DG386=1,IF(INDEX('Lease Cycles'!$EF$30:$EL$30,1,DG384)=1,DG387*INDEX('Lease Cycles'!$EM$30:$ES$30,1,DG384)+DG388*IF(DG385&lt;INDEX('Lease Cycles'!$FA$30:$FG$30,1,DG384),0,1-INDEX('Lease Cycles'!$EM$30:$ES$30,1,DG384)),DG387*IF(DG385&lt;INDEX('Lease Cycles'!$DK$30:$DQ$30,1,DG384),0,IF(DG385=INDEX('Lease Cycles'!$DK$30:$DQ$30,1,DG384),1-INDEX('Lease Cycles'!$DR$30:$DX$30,1,DG384),1))),0)</f>
        <v>0</v>
      </c>
      <c r="DH390" s="28">
        <f>IF(DH386=1,IF(INDEX('Lease Cycles'!$EF$30:$EL$30,1,DH384)=1,DH387*INDEX('Lease Cycles'!$EM$30:$ES$30,1,DH384)+DH388*IF(DH385&lt;INDEX('Lease Cycles'!$FA$30:$FG$30,1,DH384),0,1-INDEX('Lease Cycles'!$EM$30:$ES$30,1,DH384)),DH387*IF(DH385&lt;INDEX('Lease Cycles'!$DK$30:$DQ$30,1,DH384),0,IF(DH385=INDEX('Lease Cycles'!$DK$30:$DQ$30,1,DH384),1-INDEX('Lease Cycles'!$DR$30:$DX$30,1,DH384),1))),0)</f>
        <v>0</v>
      </c>
      <c r="DI390" s="28">
        <f>IF(DI386=1,IF(INDEX('Lease Cycles'!$EF$30:$EL$30,1,DI384)=1,DI387*INDEX('Lease Cycles'!$EM$30:$ES$30,1,DI384)+DI388*IF(DI385&lt;INDEX('Lease Cycles'!$FA$30:$FG$30,1,DI384),0,1-INDEX('Lease Cycles'!$EM$30:$ES$30,1,DI384)),DI387*IF(DI385&lt;INDEX('Lease Cycles'!$DK$30:$DQ$30,1,DI384),0,IF(DI385=INDEX('Lease Cycles'!$DK$30:$DQ$30,1,DI384),1-INDEX('Lease Cycles'!$DR$30:$DX$30,1,DI384),1))),0)</f>
        <v>0</v>
      </c>
      <c r="DJ390" s="28">
        <f>IF(DJ386=1,IF(INDEX('Lease Cycles'!$EF$30:$EL$30,1,DJ384)=1,DJ387*INDEX('Lease Cycles'!$EM$30:$ES$30,1,DJ384)+DJ388*IF(DJ385&lt;INDEX('Lease Cycles'!$FA$30:$FG$30,1,DJ384),0,1-INDEX('Lease Cycles'!$EM$30:$ES$30,1,DJ384)),DJ387*IF(DJ385&lt;INDEX('Lease Cycles'!$DK$30:$DQ$30,1,DJ384),0,IF(DJ385=INDEX('Lease Cycles'!$DK$30:$DQ$30,1,DJ384),1-INDEX('Lease Cycles'!$DR$30:$DX$30,1,DJ384),1))),0)</f>
        <v>0</v>
      </c>
      <c r="DK390" s="28">
        <f>IF(DK386=1,IF(INDEX('Lease Cycles'!$EF$30:$EL$30,1,DK384)=1,DK387*INDEX('Lease Cycles'!$EM$30:$ES$30,1,DK384)+DK388*IF(DK385&lt;INDEX('Lease Cycles'!$FA$30:$FG$30,1,DK384),0,1-INDEX('Lease Cycles'!$EM$30:$ES$30,1,DK384)),DK387*IF(DK385&lt;INDEX('Lease Cycles'!$DK$30:$DQ$30,1,DK384),0,IF(DK385=INDEX('Lease Cycles'!$DK$30:$DQ$30,1,DK384),1-INDEX('Lease Cycles'!$DR$30:$DX$30,1,DK384),1))),0)</f>
        <v>0</v>
      </c>
      <c r="DL390" s="28">
        <f>IF(DL386=1,IF(INDEX('Lease Cycles'!$EF$30:$EL$30,1,DL384)=1,DL387*INDEX('Lease Cycles'!$EM$30:$ES$30,1,DL384)+DL388*IF(DL385&lt;INDEX('Lease Cycles'!$FA$30:$FG$30,1,DL384),0,1-INDEX('Lease Cycles'!$EM$30:$ES$30,1,DL384)),DL387*IF(DL385&lt;INDEX('Lease Cycles'!$DK$30:$DQ$30,1,DL384),0,IF(DL385=INDEX('Lease Cycles'!$DK$30:$DQ$30,1,DL384),1-INDEX('Lease Cycles'!$DR$30:$DX$30,1,DL384),1))),0)</f>
        <v>0</v>
      </c>
      <c r="DM390" s="28">
        <f>IF(DM386=1,IF(INDEX('Lease Cycles'!$EF$30:$EL$30,1,DM384)=1,DM387*INDEX('Lease Cycles'!$EM$30:$ES$30,1,DM384)+DM388*IF(DM385&lt;INDEX('Lease Cycles'!$FA$30:$FG$30,1,DM384),0,1-INDEX('Lease Cycles'!$EM$30:$ES$30,1,DM384)),DM387*IF(DM385&lt;INDEX('Lease Cycles'!$DK$30:$DQ$30,1,DM384),0,IF(DM385=INDEX('Lease Cycles'!$DK$30:$DQ$30,1,DM384),1-INDEX('Lease Cycles'!$DR$30:$DX$30,1,DM384),1))),0)</f>
        <v>0</v>
      </c>
      <c r="DN390" s="28">
        <f>IF(DN386=1,IF(INDEX('Lease Cycles'!$EF$30:$EL$30,1,DN384)=1,DN387*INDEX('Lease Cycles'!$EM$30:$ES$30,1,DN384)+DN388*IF(DN385&lt;INDEX('Lease Cycles'!$FA$30:$FG$30,1,DN384),0,1-INDEX('Lease Cycles'!$EM$30:$ES$30,1,DN384)),DN387*IF(DN385&lt;INDEX('Lease Cycles'!$DK$30:$DQ$30,1,DN384),0,IF(DN385=INDEX('Lease Cycles'!$DK$30:$DQ$30,1,DN384),1-INDEX('Lease Cycles'!$DR$30:$DX$30,1,DN384),1))),0)</f>
        <v>0</v>
      </c>
      <c r="DO390" s="28">
        <f>IF(DO386=1,IF(INDEX('Lease Cycles'!$EF$30:$EL$30,1,DO384)=1,DO387*INDEX('Lease Cycles'!$EM$30:$ES$30,1,DO384)+DO388*IF(DO385&lt;INDEX('Lease Cycles'!$FA$30:$FG$30,1,DO384),0,1-INDEX('Lease Cycles'!$EM$30:$ES$30,1,DO384)),DO387*IF(DO385&lt;INDEX('Lease Cycles'!$DK$30:$DQ$30,1,DO384),0,IF(DO385=INDEX('Lease Cycles'!$DK$30:$DQ$30,1,DO384),1-INDEX('Lease Cycles'!$DR$30:$DX$30,1,DO384),1))),0)</f>
        <v>0</v>
      </c>
      <c r="DP390" s="28">
        <f>IF(DP386=1,IF(INDEX('Lease Cycles'!$EF$30:$EL$30,1,DP384)=1,DP387*INDEX('Lease Cycles'!$EM$30:$ES$30,1,DP384)+DP388*IF(DP385&lt;INDEX('Lease Cycles'!$FA$30:$FG$30,1,DP384),0,1-INDEX('Lease Cycles'!$EM$30:$ES$30,1,DP384)),DP387*IF(DP385&lt;INDEX('Lease Cycles'!$DK$30:$DQ$30,1,DP384),0,IF(DP385=INDEX('Lease Cycles'!$DK$30:$DQ$30,1,DP384),1-INDEX('Lease Cycles'!$DR$30:$DX$30,1,DP384),1))),0)</f>
        <v>0</v>
      </c>
      <c r="DQ390" s="28">
        <f>IF(DQ386=1,IF(INDEX('Lease Cycles'!$EF$30:$EL$30,1,DQ384)=1,DQ387*INDEX('Lease Cycles'!$EM$30:$ES$30,1,DQ384)+DQ388*IF(DQ385&lt;INDEX('Lease Cycles'!$FA$30:$FG$30,1,DQ384),0,1-INDEX('Lease Cycles'!$EM$30:$ES$30,1,DQ384)),DQ387*IF(DQ385&lt;INDEX('Lease Cycles'!$DK$30:$DQ$30,1,DQ384),0,IF(DQ385=INDEX('Lease Cycles'!$DK$30:$DQ$30,1,DQ384),1-INDEX('Lease Cycles'!$DR$30:$DX$30,1,DQ384),1))),0)</f>
        <v>0</v>
      </c>
      <c r="DR390" s="28">
        <f>IF(DR386=1,IF(INDEX('Lease Cycles'!$EF$30:$EL$30,1,DR384)=1,DR387*INDEX('Lease Cycles'!$EM$30:$ES$30,1,DR384)+DR388*IF(DR385&lt;INDEX('Lease Cycles'!$FA$30:$FG$30,1,DR384),0,1-INDEX('Lease Cycles'!$EM$30:$ES$30,1,DR384)),DR387*IF(DR385&lt;INDEX('Lease Cycles'!$DK$30:$DQ$30,1,DR384),0,IF(DR385=INDEX('Lease Cycles'!$DK$30:$DQ$30,1,DR384),1-INDEX('Lease Cycles'!$DR$30:$DX$30,1,DR384),1))),0)</f>
        <v>0</v>
      </c>
      <c r="DS390" s="28">
        <f>IF(DS386=1,IF(INDEX('Lease Cycles'!$EF$30:$EL$30,1,DS384)=1,DS387*INDEX('Lease Cycles'!$EM$30:$ES$30,1,DS384)+DS388*IF(DS385&lt;INDEX('Lease Cycles'!$FA$30:$FG$30,1,DS384),0,1-INDEX('Lease Cycles'!$EM$30:$ES$30,1,DS384)),DS387*IF(DS385&lt;INDEX('Lease Cycles'!$DK$30:$DQ$30,1,DS384),0,IF(DS385=INDEX('Lease Cycles'!$DK$30:$DQ$30,1,DS384),1-INDEX('Lease Cycles'!$DR$30:$DX$30,1,DS384),1))),0)</f>
        <v>0</v>
      </c>
      <c r="DT390" s="28">
        <f>IF(DT386=1,IF(INDEX('Lease Cycles'!$EF$30:$EL$30,1,DT384)=1,DT387*INDEX('Lease Cycles'!$EM$30:$ES$30,1,DT384)+DT388*IF(DT385&lt;INDEX('Lease Cycles'!$FA$30:$FG$30,1,DT384),0,1-INDEX('Lease Cycles'!$EM$30:$ES$30,1,DT384)),DT387*IF(DT385&lt;INDEX('Lease Cycles'!$DK$30:$DQ$30,1,DT384),0,IF(DT385=INDEX('Lease Cycles'!$DK$30:$DQ$30,1,DT384),1-INDEX('Lease Cycles'!$DR$30:$DX$30,1,DT384),1))),0)</f>
        <v>0</v>
      </c>
      <c r="DU390" s="28">
        <f>IF(DU386=1,IF(INDEX('Lease Cycles'!$EF$30:$EL$30,1,DU384)=1,DU387*INDEX('Lease Cycles'!$EM$30:$ES$30,1,DU384)+DU388*IF(DU385&lt;INDEX('Lease Cycles'!$FA$30:$FG$30,1,DU384),0,1-INDEX('Lease Cycles'!$EM$30:$ES$30,1,DU384)),DU387*IF(DU385&lt;INDEX('Lease Cycles'!$DK$30:$DQ$30,1,DU384),0,IF(DU385=INDEX('Lease Cycles'!$DK$30:$DQ$30,1,DU384),1-INDEX('Lease Cycles'!$DR$30:$DX$30,1,DU384),1))),0)</f>
        <v>0</v>
      </c>
      <c r="DV390" s="28">
        <f>IF(DV386=1,IF(INDEX('Lease Cycles'!$EF$30:$EL$30,1,DV384)=1,DV387*INDEX('Lease Cycles'!$EM$30:$ES$30,1,DV384)+DV388*IF(DV385&lt;INDEX('Lease Cycles'!$FA$30:$FG$30,1,DV384),0,1-INDEX('Lease Cycles'!$EM$30:$ES$30,1,DV384)),DV387*IF(DV385&lt;INDEX('Lease Cycles'!$DK$30:$DQ$30,1,DV384),0,IF(DV385=INDEX('Lease Cycles'!$DK$30:$DQ$30,1,DV384),1-INDEX('Lease Cycles'!$DR$30:$DX$30,1,DV384),1))),0)</f>
        <v>0</v>
      </c>
      <c r="DW390" s="28">
        <f>IF(DW386=1,IF(INDEX('Lease Cycles'!$EF$30:$EL$30,1,DW384)=1,DW387*INDEX('Lease Cycles'!$EM$30:$ES$30,1,DW384)+DW388*IF(DW385&lt;INDEX('Lease Cycles'!$FA$30:$FG$30,1,DW384),0,1-INDEX('Lease Cycles'!$EM$30:$ES$30,1,DW384)),DW387*IF(DW385&lt;INDEX('Lease Cycles'!$DK$30:$DQ$30,1,DW384),0,IF(DW385=INDEX('Lease Cycles'!$DK$30:$DQ$30,1,DW384),1-INDEX('Lease Cycles'!$DR$30:$DX$30,1,DW384),1))),0)</f>
        <v>0</v>
      </c>
      <c r="DX390" s="28">
        <f>IF(DX386=1,IF(INDEX('Lease Cycles'!$EF$30:$EL$30,1,DX384)=1,DX387*INDEX('Lease Cycles'!$EM$30:$ES$30,1,DX384)+DX388*IF(DX385&lt;INDEX('Lease Cycles'!$FA$30:$FG$30,1,DX384),0,1-INDEX('Lease Cycles'!$EM$30:$ES$30,1,DX384)),DX387*IF(DX385&lt;INDEX('Lease Cycles'!$DK$30:$DQ$30,1,DX384),0,IF(DX385=INDEX('Lease Cycles'!$DK$30:$DQ$30,1,DX384),1-INDEX('Lease Cycles'!$DR$30:$DX$30,1,DX384),1))),0)</f>
        <v>0</v>
      </c>
      <c r="DY390" s="28">
        <f>IF(DY386=1,IF(INDEX('Lease Cycles'!$EF$30:$EL$30,1,DY384)=1,DY387*INDEX('Lease Cycles'!$EM$30:$ES$30,1,DY384)+DY388*IF(DY385&lt;INDEX('Lease Cycles'!$FA$30:$FG$30,1,DY384),0,1-INDEX('Lease Cycles'!$EM$30:$ES$30,1,DY384)),DY387*IF(DY385&lt;INDEX('Lease Cycles'!$DK$30:$DQ$30,1,DY384),0,IF(DY385=INDEX('Lease Cycles'!$DK$30:$DQ$30,1,DY384),1-INDEX('Lease Cycles'!$DR$30:$DX$30,1,DY384),1))),0)</f>
        <v>0</v>
      </c>
      <c r="DZ390" s="28">
        <f>IF(DZ386=1,IF(INDEX('Lease Cycles'!$EF$30:$EL$30,1,DZ384)=1,DZ387*INDEX('Lease Cycles'!$EM$30:$ES$30,1,DZ384)+DZ388*IF(DZ385&lt;INDEX('Lease Cycles'!$FA$30:$FG$30,1,DZ384),0,1-INDEX('Lease Cycles'!$EM$30:$ES$30,1,DZ384)),DZ387*IF(DZ385&lt;INDEX('Lease Cycles'!$DK$30:$DQ$30,1,DZ384),0,IF(DZ385=INDEX('Lease Cycles'!$DK$30:$DQ$30,1,DZ384),1-INDEX('Lease Cycles'!$DR$30:$DX$30,1,DZ384),1))),0)</f>
        <v>0</v>
      </c>
      <c r="EA390" s="28">
        <f>IF(EA386=1,IF(INDEX('Lease Cycles'!$EF$30:$EL$30,1,EA384)=1,EA387*INDEX('Lease Cycles'!$EM$30:$ES$30,1,EA384)+EA388*IF(EA385&lt;INDEX('Lease Cycles'!$FA$30:$FG$30,1,EA384),0,1-INDEX('Lease Cycles'!$EM$30:$ES$30,1,EA384)),EA387*IF(EA385&lt;INDEX('Lease Cycles'!$DK$30:$DQ$30,1,EA384),0,IF(EA385=INDEX('Lease Cycles'!$DK$30:$DQ$30,1,EA384),1-INDEX('Lease Cycles'!$DR$30:$DX$30,1,EA384),1))),0)</f>
        <v>0</v>
      </c>
      <c r="EB390" s="28">
        <f>IF(EB386=1,IF(INDEX('Lease Cycles'!$EF$30:$EL$30,1,EB384)=1,EB387*INDEX('Lease Cycles'!$EM$30:$ES$30,1,EB384)+EB388*IF(EB385&lt;INDEX('Lease Cycles'!$FA$30:$FG$30,1,EB384),0,1-INDEX('Lease Cycles'!$EM$30:$ES$30,1,EB384)),EB387*IF(EB385&lt;INDEX('Lease Cycles'!$DK$30:$DQ$30,1,EB384),0,IF(EB385=INDEX('Lease Cycles'!$DK$30:$DQ$30,1,EB384),1-INDEX('Lease Cycles'!$DR$30:$DX$30,1,EB384),1))),0)</f>
        <v>0</v>
      </c>
      <c r="EC390" s="28">
        <f>IF(EC386=1,IF(INDEX('Lease Cycles'!$EF$30:$EL$30,1,EC384)=1,EC387*INDEX('Lease Cycles'!$EM$30:$ES$30,1,EC384)+EC388*IF(EC385&lt;INDEX('Lease Cycles'!$FA$30:$FG$30,1,EC384),0,1-INDEX('Lease Cycles'!$EM$30:$ES$30,1,EC384)),EC387*IF(EC385&lt;INDEX('Lease Cycles'!$DK$30:$DQ$30,1,EC384),0,IF(EC385=INDEX('Lease Cycles'!$DK$30:$DQ$30,1,EC384),1-INDEX('Lease Cycles'!$DR$30:$DX$30,1,EC384),1))),0)</f>
        <v>0</v>
      </c>
      <c r="ED390" s="28">
        <f>IF(ED386=1,IF(INDEX('Lease Cycles'!$EF$30:$EL$30,1,ED384)=1,ED387*INDEX('Lease Cycles'!$EM$30:$ES$30,1,ED384)+ED388*IF(ED385&lt;INDEX('Lease Cycles'!$FA$30:$FG$30,1,ED384),0,1-INDEX('Lease Cycles'!$EM$30:$ES$30,1,ED384)),ED387*IF(ED385&lt;INDEX('Lease Cycles'!$DK$30:$DQ$30,1,ED384),0,IF(ED385=INDEX('Lease Cycles'!$DK$30:$DQ$30,1,ED384),1-INDEX('Lease Cycles'!$DR$30:$DX$30,1,ED384),1))),0)</f>
        <v>0</v>
      </c>
      <c r="EE390" s="28">
        <f>IF(EE386=1,IF(INDEX('Lease Cycles'!$EF$30:$EL$30,1,EE384)=1,EE387*INDEX('Lease Cycles'!$EM$30:$ES$30,1,EE384)+EE388*IF(EE385&lt;INDEX('Lease Cycles'!$FA$30:$FG$30,1,EE384),0,1-INDEX('Lease Cycles'!$EM$30:$ES$30,1,EE384)),EE387*IF(EE385&lt;INDEX('Lease Cycles'!$DK$30:$DQ$30,1,EE384),0,IF(EE385=INDEX('Lease Cycles'!$DK$30:$DQ$30,1,EE384),1-INDEX('Lease Cycles'!$DR$30:$DX$30,1,EE384),1))),0)</f>
        <v>0</v>
      </c>
      <c r="EF390" s="28">
        <f>IF(EF386=1,IF(INDEX('Lease Cycles'!$EF$30:$EL$30,1,EF384)=1,EF387*INDEX('Lease Cycles'!$EM$30:$ES$30,1,EF384)+EF388*IF(EF385&lt;INDEX('Lease Cycles'!$FA$30:$FG$30,1,EF384),0,1-INDEX('Lease Cycles'!$EM$30:$ES$30,1,EF384)),EF387*IF(EF385&lt;INDEX('Lease Cycles'!$DK$30:$DQ$30,1,EF384),0,IF(EF385=INDEX('Lease Cycles'!$DK$30:$DQ$30,1,EF384),1-INDEX('Lease Cycles'!$DR$30:$DX$30,1,EF384),1))),0)</f>
        <v>0</v>
      </c>
      <c r="EG390" s="28">
        <f>IF(EG386=1,IF(INDEX('Lease Cycles'!$EF$30:$EL$30,1,EG384)=1,EG387*INDEX('Lease Cycles'!$EM$30:$ES$30,1,EG384)+EG388*IF(EG385&lt;INDEX('Lease Cycles'!$FA$30:$FG$30,1,EG384),0,1-INDEX('Lease Cycles'!$EM$30:$ES$30,1,EG384)),EG387*IF(EG385&lt;INDEX('Lease Cycles'!$DK$30:$DQ$30,1,EG384),0,IF(EG385=INDEX('Lease Cycles'!$DK$30:$DQ$30,1,EG384),1-INDEX('Lease Cycles'!$DR$30:$DX$30,1,EG384),1))),0)</f>
        <v>0</v>
      </c>
      <c r="EH390" s="28">
        <f>IF(EH386=1,IF(INDEX('Lease Cycles'!$EF$30:$EL$30,1,EH384)=1,EH387*INDEX('Lease Cycles'!$EM$30:$ES$30,1,EH384)+EH388*IF(EH385&lt;INDEX('Lease Cycles'!$FA$30:$FG$30,1,EH384),0,1-INDEX('Lease Cycles'!$EM$30:$ES$30,1,EH384)),EH387*IF(EH385&lt;INDEX('Lease Cycles'!$DK$30:$DQ$30,1,EH384),0,IF(EH385=INDEX('Lease Cycles'!$DK$30:$DQ$30,1,EH384),1-INDEX('Lease Cycles'!$DR$30:$DX$30,1,EH384),1))),0)</f>
        <v>0</v>
      </c>
      <c r="EI390" s="28">
        <f>IF(EI386=1,IF(INDEX('Lease Cycles'!$EF$30:$EL$30,1,EI384)=1,EI387*INDEX('Lease Cycles'!$EM$30:$ES$30,1,EI384)+EI388*IF(EI385&lt;INDEX('Lease Cycles'!$FA$30:$FG$30,1,EI384),0,1-INDEX('Lease Cycles'!$EM$30:$ES$30,1,EI384)),EI387*IF(EI385&lt;INDEX('Lease Cycles'!$DK$30:$DQ$30,1,EI384),0,IF(EI385=INDEX('Lease Cycles'!$DK$30:$DQ$30,1,EI384),1-INDEX('Lease Cycles'!$DR$30:$DX$30,1,EI384),1))),0)</f>
        <v>0</v>
      </c>
      <c r="EJ390" s="28">
        <f>IF(EJ386=1,IF(INDEX('Lease Cycles'!$EF$30:$EL$30,1,EJ384)=1,EJ387*INDEX('Lease Cycles'!$EM$30:$ES$30,1,EJ384)+EJ388*IF(EJ385&lt;INDEX('Lease Cycles'!$FA$30:$FG$30,1,EJ384),0,1-INDEX('Lease Cycles'!$EM$30:$ES$30,1,EJ384)),EJ387*IF(EJ385&lt;INDEX('Lease Cycles'!$DK$30:$DQ$30,1,EJ384),0,IF(EJ385=INDEX('Lease Cycles'!$DK$30:$DQ$30,1,EJ384),1-INDEX('Lease Cycles'!$DR$30:$DX$30,1,EJ384),1))),0)</f>
        <v>0</v>
      </c>
      <c r="EK390" s="28">
        <f>IF(EK386=1,IF(INDEX('Lease Cycles'!$EF$30:$EL$30,1,EK384)=1,EK387*INDEX('Lease Cycles'!$EM$30:$ES$30,1,EK384)+EK388*IF(EK385&lt;INDEX('Lease Cycles'!$FA$30:$FG$30,1,EK384),0,1-INDEX('Lease Cycles'!$EM$30:$ES$30,1,EK384)),EK387*IF(EK385&lt;INDEX('Lease Cycles'!$DK$30:$DQ$30,1,EK384),0,IF(EK385=INDEX('Lease Cycles'!$DK$30:$DQ$30,1,EK384),1-INDEX('Lease Cycles'!$DR$30:$DX$30,1,EK384),1))),0)</f>
        <v>0</v>
      </c>
      <c r="EL390" s="28">
        <f>IF(EL386=1,IF(INDEX('Lease Cycles'!$EF$30:$EL$30,1,EL384)=1,EL387*INDEX('Lease Cycles'!$EM$30:$ES$30,1,EL384)+EL388*IF(EL385&lt;INDEX('Lease Cycles'!$FA$30:$FG$30,1,EL384),0,1-INDEX('Lease Cycles'!$EM$30:$ES$30,1,EL384)),EL387*IF(EL385&lt;INDEX('Lease Cycles'!$DK$30:$DQ$30,1,EL384),0,IF(EL385=INDEX('Lease Cycles'!$DK$30:$DQ$30,1,EL384),1-INDEX('Lease Cycles'!$DR$30:$DX$30,1,EL384),1))),0)</f>
        <v>0</v>
      </c>
      <c r="EM390" s="28">
        <f>IF(EM386=1,IF(INDEX('Lease Cycles'!$EF$30:$EL$30,1,EM384)=1,EM387*INDEX('Lease Cycles'!$EM$30:$ES$30,1,EM384)+EM388*IF(EM385&lt;INDEX('Lease Cycles'!$FA$30:$FG$30,1,EM384),0,1-INDEX('Lease Cycles'!$EM$30:$ES$30,1,EM384)),EM387*IF(EM385&lt;INDEX('Lease Cycles'!$DK$30:$DQ$30,1,EM384),0,IF(EM385=INDEX('Lease Cycles'!$DK$30:$DQ$30,1,EM384),1-INDEX('Lease Cycles'!$DR$30:$DX$30,1,EM384),1))),0)</f>
        <v>0</v>
      </c>
      <c r="EN390" s="28">
        <f>IF(EN386=1,IF(INDEX('Lease Cycles'!$EF$30:$EL$30,1,EN384)=1,EN387*INDEX('Lease Cycles'!$EM$30:$ES$30,1,EN384)+EN388*IF(EN385&lt;INDEX('Lease Cycles'!$FA$30:$FG$30,1,EN384),0,1-INDEX('Lease Cycles'!$EM$30:$ES$30,1,EN384)),EN387*IF(EN385&lt;INDEX('Lease Cycles'!$DK$30:$DQ$30,1,EN384),0,IF(EN385=INDEX('Lease Cycles'!$DK$30:$DQ$30,1,EN384),1-INDEX('Lease Cycles'!$DR$30:$DX$30,1,EN384),1))),0)</f>
        <v>0</v>
      </c>
      <c r="EO390" s="28">
        <f>IF(EO386=1,IF(INDEX('Lease Cycles'!$EF$30:$EL$30,1,EO384)=1,EO387*INDEX('Lease Cycles'!$EM$30:$ES$30,1,EO384)+EO388*IF(EO385&lt;INDEX('Lease Cycles'!$FA$30:$FG$30,1,EO384),0,1-INDEX('Lease Cycles'!$EM$30:$ES$30,1,EO384)),EO387*IF(EO385&lt;INDEX('Lease Cycles'!$DK$30:$DQ$30,1,EO384),0,IF(EO385=INDEX('Lease Cycles'!$DK$30:$DQ$30,1,EO384),1-INDEX('Lease Cycles'!$DR$30:$DX$30,1,EO384),1))),0)</f>
        <v>0</v>
      </c>
      <c r="EP390" s="28">
        <f>IF(EP386=1,IF(INDEX('Lease Cycles'!$EF$30:$EL$30,1,EP384)=1,EP387*INDEX('Lease Cycles'!$EM$30:$ES$30,1,EP384)+EP388*IF(EP385&lt;INDEX('Lease Cycles'!$FA$30:$FG$30,1,EP384),0,1-INDEX('Lease Cycles'!$EM$30:$ES$30,1,EP384)),EP387*IF(EP385&lt;INDEX('Lease Cycles'!$DK$30:$DQ$30,1,EP384),0,IF(EP385=INDEX('Lease Cycles'!$DK$30:$DQ$30,1,EP384),1-INDEX('Lease Cycles'!$DR$30:$DX$30,1,EP384),1))),0)</f>
        <v>0</v>
      </c>
      <c r="EQ390" s="28">
        <f>IF(EQ386=1,IF(INDEX('Lease Cycles'!$EF$30:$EL$30,1,EQ384)=1,EQ387*INDEX('Lease Cycles'!$EM$30:$ES$30,1,EQ384)+EQ388*IF(EQ385&lt;INDEX('Lease Cycles'!$FA$30:$FG$30,1,EQ384),0,1-INDEX('Lease Cycles'!$EM$30:$ES$30,1,EQ384)),EQ387*IF(EQ385&lt;INDEX('Lease Cycles'!$DK$30:$DQ$30,1,EQ384),0,IF(EQ385=INDEX('Lease Cycles'!$DK$30:$DQ$30,1,EQ384),1-INDEX('Lease Cycles'!$DR$30:$DX$30,1,EQ384),1))),0)</f>
        <v>0</v>
      </c>
      <c r="ER390" s="28">
        <f>IF(ER386=1,IF(INDEX('Lease Cycles'!$EF$30:$EL$30,1,ER384)=1,ER387*INDEX('Lease Cycles'!$EM$30:$ES$30,1,ER384)+ER388*IF(ER385&lt;INDEX('Lease Cycles'!$FA$30:$FG$30,1,ER384),0,1-INDEX('Lease Cycles'!$EM$30:$ES$30,1,ER384)),ER387*IF(ER385&lt;INDEX('Lease Cycles'!$DK$30:$DQ$30,1,ER384),0,IF(ER385=INDEX('Lease Cycles'!$DK$30:$DQ$30,1,ER384),1-INDEX('Lease Cycles'!$DR$30:$DX$30,1,ER384),1))),0)</f>
        <v>0</v>
      </c>
      <c r="ES390" s="28">
        <f>IF(ES386=1,IF(INDEX('Lease Cycles'!$EF$30:$EL$30,1,ES384)=1,ES387*INDEX('Lease Cycles'!$EM$30:$ES$30,1,ES384)+ES388*IF(ES385&lt;INDEX('Lease Cycles'!$FA$30:$FG$30,1,ES384),0,1-INDEX('Lease Cycles'!$EM$30:$ES$30,1,ES384)),ES387*IF(ES385&lt;INDEX('Lease Cycles'!$DK$30:$DQ$30,1,ES384),0,IF(ES385=INDEX('Lease Cycles'!$DK$30:$DQ$30,1,ES384),1-INDEX('Lease Cycles'!$DR$30:$DX$30,1,ES384),1))),0)</f>
        <v>0</v>
      </c>
      <c r="ET390" s="28">
        <f>IF(ET386=1,IF(INDEX('Lease Cycles'!$EF$30:$EL$30,1,ET384)=1,ET387*INDEX('Lease Cycles'!$EM$30:$ES$30,1,ET384)+ET388*IF(ET385&lt;INDEX('Lease Cycles'!$FA$30:$FG$30,1,ET384),0,1-INDEX('Lease Cycles'!$EM$30:$ES$30,1,ET384)),ET387*IF(ET385&lt;INDEX('Lease Cycles'!$DK$30:$DQ$30,1,ET384),0,IF(ET385=INDEX('Lease Cycles'!$DK$30:$DQ$30,1,ET384),1-INDEX('Lease Cycles'!$DR$30:$DX$30,1,ET384),1))),0)</f>
        <v>0</v>
      </c>
    </row>
    <row r="391">
      <c r="A391" s="103">
        <v>23</v>
      </c>
      <c r="B391" s="23" t="str">
        <f>IF('Lease Cycles'!$B$30="","(empty slot)",'Lease Cycles'!$B$30)</f>
        <v>(empty slot)</v>
      </c>
      <c r="C391" s="23" t="s">
        <v>493</v>
      </c>
      <c r="D391" s="104" t="s">
        <v>494</v>
      </c>
      <c r="E391" s="25">
        <f>'Lease Cycles'!$AL$30</f>
        <v>0</v>
      </c>
      <c r="G391" s="28">
        <f>SUM(S391:AD391)</f>
        <v>0</v>
      </c>
      <c r="H391" s="28">
        <f>SUM(AE391:AP391)</f>
        <v>0</v>
      </c>
      <c r="I391" s="28">
        <f>SUM(AQ391:BB391)</f>
        <v>0</v>
      </c>
      <c r="J391" s="28">
        <f>SUM(BC391:BN391)</f>
        <v>0</v>
      </c>
      <c r="K391" s="28">
        <f>SUM(BO391:BZ391)</f>
        <v>0</v>
      </c>
      <c r="L391" s="28">
        <f>SUM(CA391:CL391)</f>
        <v>0</v>
      </c>
      <c r="M391" s="28">
        <f>SUM(CM391:CX391)</f>
        <v>0</v>
      </c>
      <c r="N391" s="28">
        <f>SUM(CY391:DJ391)</f>
        <v>0</v>
      </c>
      <c r="O391" s="28">
        <f>SUM(DK391:DV391)</f>
        <v>0</v>
      </c>
      <c r="P391" s="28">
        <f>SUM(DW391:EH391)</f>
        <v>0</v>
      </c>
      <c r="Q391" s="28">
        <f>SUM(EI391:ET391)</f>
        <v>0</v>
      </c>
      <c r="S391" s="28">
        <f>IF(S386=1,IF(INDEX('Lease Cycles'!$EF$30:$EL$30,1,S384)=1,0,S387*(1-IF(S385&lt;INDEX('Lease Cycles'!$DK$30:$DQ$30,1,S384),0,IF(S385=INDEX('Lease Cycles'!$DK$30:$DQ$30,1,S384),1-INDEX('Lease Cycles'!$DR$30:$DX$30,1,S384),1))-IF(S385=0,INDEX('Lease Cycles'!$DD$30:$DJ$30,1,S384),0))),0)</f>
        <v>0</v>
      </c>
      <c r="T391" s="28">
        <f>IF(T386=1,IF(INDEX('Lease Cycles'!$EF$30:$EL$30,1,T384)=1,0,T387*(1-IF(T385&lt;INDEX('Lease Cycles'!$DK$30:$DQ$30,1,T384),0,IF(T385=INDEX('Lease Cycles'!$DK$30:$DQ$30,1,T384),1-INDEX('Lease Cycles'!$DR$30:$DX$30,1,T384),1))-IF(T385=0,INDEX('Lease Cycles'!$DD$30:$DJ$30,1,T384),0))),0)</f>
        <v>0</v>
      </c>
      <c r="U391" s="28">
        <f>IF(U386=1,IF(INDEX('Lease Cycles'!$EF$30:$EL$30,1,U384)=1,0,U387*(1-IF(U385&lt;INDEX('Lease Cycles'!$DK$30:$DQ$30,1,U384),0,IF(U385=INDEX('Lease Cycles'!$DK$30:$DQ$30,1,U384),1-INDEX('Lease Cycles'!$DR$30:$DX$30,1,U384),1))-IF(U385=0,INDEX('Lease Cycles'!$DD$30:$DJ$30,1,U384),0))),0)</f>
        <v>0</v>
      </c>
      <c r="V391" s="28">
        <f>IF(V386=1,IF(INDEX('Lease Cycles'!$EF$30:$EL$30,1,V384)=1,0,V387*(1-IF(V385&lt;INDEX('Lease Cycles'!$DK$30:$DQ$30,1,V384),0,IF(V385=INDEX('Lease Cycles'!$DK$30:$DQ$30,1,V384),1-INDEX('Lease Cycles'!$DR$30:$DX$30,1,V384),1))-IF(V385=0,INDEX('Lease Cycles'!$DD$30:$DJ$30,1,V384),0))),0)</f>
        <v>0</v>
      </c>
      <c r="W391" s="28">
        <f>IF(W386=1,IF(INDEX('Lease Cycles'!$EF$30:$EL$30,1,W384)=1,0,W387*(1-IF(W385&lt;INDEX('Lease Cycles'!$DK$30:$DQ$30,1,W384),0,IF(W385=INDEX('Lease Cycles'!$DK$30:$DQ$30,1,W384),1-INDEX('Lease Cycles'!$DR$30:$DX$30,1,W384),1))-IF(W385=0,INDEX('Lease Cycles'!$DD$30:$DJ$30,1,W384),0))),0)</f>
        <v>0</v>
      </c>
      <c r="X391" s="28">
        <f>IF(X386=1,IF(INDEX('Lease Cycles'!$EF$30:$EL$30,1,X384)=1,0,X387*(1-IF(X385&lt;INDEX('Lease Cycles'!$DK$30:$DQ$30,1,X384),0,IF(X385=INDEX('Lease Cycles'!$DK$30:$DQ$30,1,X384),1-INDEX('Lease Cycles'!$DR$30:$DX$30,1,X384),1))-IF(X385=0,INDEX('Lease Cycles'!$DD$30:$DJ$30,1,X384),0))),0)</f>
        <v>0</v>
      </c>
      <c r="Y391" s="28">
        <f>IF(Y386=1,IF(INDEX('Lease Cycles'!$EF$30:$EL$30,1,Y384)=1,0,Y387*(1-IF(Y385&lt;INDEX('Lease Cycles'!$DK$30:$DQ$30,1,Y384),0,IF(Y385=INDEX('Lease Cycles'!$DK$30:$DQ$30,1,Y384),1-INDEX('Lease Cycles'!$DR$30:$DX$30,1,Y384),1))-IF(Y385=0,INDEX('Lease Cycles'!$DD$30:$DJ$30,1,Y384),0))),0)</f>
        <v>0</v>
      </c>
      <c r="Z391" s="28">
        <f>IF(Z386=1,IF(INDEX('Lease Cycles'!$EF$30:$EL$30,1,Z384)=1,0,Z387*(1-IF(Z385&lt;INDEX('Lease Cycles'!$DK$30:$DQ$30,1,Z384),0,IF(Z385=INDEX('Lease Cycles'!$DK$30:$DQ$30,1,Z384),1-INDEX('Lease Cycles'!$DR$30:$DX$30,1,Z384),1))-IF(Z385=0,INDEX('Lease Cycles'!$DD$30:$DJ$30,1,Z384),0))),0)</f>
        <v>0</v>
      </c>
      <c r="AA391" s="28">
        <f>IF(AA386=1,IF(INDEX('Lease Cycles'!$EF$30:$EL$30,1,AA384)=1,0,AA387*(1-IF(AA385&lt;INDEX('Lease Cycles'!$DK$30:$DQ$30,1,AA384),0,IF(AA385=INDEX('Lease Cycles'!$DK$30:$DQ$30,1,AA384),1-INDEX('Lease Cycles'!$DR$30:$DX$30,1,AA384),1))-IF(AA385=0,INDEX('Lease Cycles'!$DD$30:$DJ$30,1,AA384),0))),0)</f>
        <v>0</v>
      </c>
      <c r="AB391" s="28">
        <f>IF(AB386=1,IF(INDEX('Lease Cycles'!$EF$30:$EL$30,1,AB384)=1,0,AB387*(1-IF(AB385&lt;INDEX('Lease Cycles'!$DK$30:$DQ$30,1,AB384),0,IF(AB385=INDEX('Lease Cycles'!$DK$30:$DQ$30,1,AB384),1-INDEX('Lease Cycles'!$DR$30:$DX$30,1,AB384),1))-IF(AB385=0,INDEX('Lease Cycles'!$DD$30:$DJ$30,1,AB384),0))),0)</f>
        <v>0</v>
      </c>
      <c r="AC391" s="28">
        <f>IF(AC386=1,IF(INDEX('Lease Cycles'!$EF$30:$EL$30,1,AC384)=1,0,AC387*(1-IF(AC385&lt;INDEX('Lease Cycles'!$DK$30:$DQ$30,1,AC384),0,IF(AC385=INDEX('Lease Cycles'!$DK$30:$DQ$30,1,AC384),1-INDEX('Lease Cycles'!$DR$30:$DX$30,1,AC384),1))-IF(AC385=0,INDEX('Lease Cycles'!$DD$30:$DJ$30,1,AC384),0))),0)</f>
        <v>0</v>
      </c>
      <c r="AD391" s="28">
        <f>IF(AD386=1,IF(INDEX('Lease Cycles'!$EF$30:$EL$30,1,AD384)=1,0,AD387*(1-IF(AD385&lt;INDEX('Lease Cycles'!$DK$30:$DQ$30,1,AD384),0,IF(AD385=INDEX('Lease Cycles'!$DK$30:$DQ$30,1,AD384),1-INDEX('Lease Cycles'!$DR$30:$DX$30,1,AD384),1))-IF(AD385=0,INDEX('Lease Cycles'!$DD$30:$DJ$30,1,AD384),0))),0)</f>
        <v>0</v>
      </c>
      <c r="AE391" s="28">
        <f>IF(AE386=1,IF(INDEX('Lease Cycles'!$EF$30:$EL$30,1,AE384)=1,0,AE387*(1-IF(AE385&lt;INDEX('Lease Cycles'!$DK$30:$DQ$30,1,AE384),0,IF(AE385=INDEX('Lease Cycles'!$DK$30:$DQ$30,1,AE384),1-INDEX('Lease Cycles'!$DR$30:$DX$30,1,AE384),1))-IF(AE385=0,INDEX('Lease Cycles'!$DD$30:$DJ$30,1,AE384),0))),0)</f>
        <v>0</v>
      </c>
      <c r="AF391" s="28">
        <f>IF(AF386=1,IF(INDEX('Lease Cycles'!$EF$30:$EL$30,1,AF384)=1,0,AF387*(1-IF(AF385&lt;INDEX('Lease Cycles'!$DK$30:$DQ$30,1,AF384),0,IF(AF385=INDEX('Lease Cycles'!$DK$30:$DQ$30,1,AF384),1-INDEX('Lease Cycles'!$DR$30:$DX$30,1,AF384),1))-IF(AF385=0,INDEX('Lease Cycles'!$DD$30:$DJ$30,1,AF384),0))),0)</f>
        <v>0</v>
      </c>
      <c r="AG391" s="28">
        <f>IF(AG386=1,IF(INDEX('Lease Cycles'!$EF$30:$EL$30,1,AG384)=1,0,AG387*(1-IF(AG385&lt;INDEX('Lease Cycles'!$DK$30:$DQ$30,1,AG384),0,IF(AG385=INDEX('Lease Cycles'!$DK$30:$DQ$30,1,AG384),1-INDEX('Lease Cycles'!$DR$30:$DX$30,1,AG384),1))-IF(AG385=0,INDEX('Lease Cycles'!$DD$30:$DJ$30,1,AG384),0))),0)</f>
        <v>0</v>
      </c>
      <c r="AH391" s="28">
        <f>IF(AH386=1,IF(INDEX('Lease Cycles'!$EF$30:$EL$30,1,AH384)=1,0,AH387*(1-IF(AH385&lt;INDEX('Lease Cycles'!$DK$30:$DQ$30,1,AH384),0,IF(AH385=INDEX('Lease Cycles'!$DK$30:$DQ$30,1,AH384),1-INDEX('Lease Cycles'!$DR$30:$DX$30,1,AH384),1))-IF(AH385=0,INDEX('Lease Cycles'!$DD$30:$DJ$30,1,AH384),0))),0)</f>
        <v>0</v>
      </c>
      <c r="AI391" s="28">
        <f>IF(AI386=1,IF(INDEX('Lease Cycles'!$EF$30:$EL$30,1,AI384)=1,0,AI387*(1-IF(AI385&lt;INDEX('Lease Cycles'!$DK$30:$DQ$30,1,AI384),0,IF(AI385=INDEX('Lease Cycles'!$DK$30:$DQ$30,1,AI384),1-INDEX('Lease Cycles'!$DR$30:$DX$30,1,AI384),1))-IF(AI385=0,INDEX('Lease Cycles'!$DD$30:$DJ$30,1,AI384),0))),0)</f>
        <v>0</v>
      </c>
      <c r="AJ391" s="28">
        <f>IF(AJ386=1,IF(INDEX('Lease Cycles'!$EF$30:$EL$30,1,AJ384)=1,0,AJ387*(1-IF(AJ385&lt;INDEX('Lease Cycles'!$DK$30:$DQ$30,1,AJ384),0,IF(AJ385=INDEX('Lease Cycles'!$DK$30:$DQ$30,1,AJ384),1-INDEX('Lease Cycles'!$DR$30:$DX$30,1,AJ384),1))-IF(AJ385=0,INDEX('Lease Cycles'!$DD$30:$DJ$30,1,AJ384),0))),0)</f>
        <v>0</v>
      </c>
      <c r="AK391" s="28">
        <f>IF(AK386=1,IF(INDEX('Lease Cycles'!$EF$30:$EL$30,1,AK384)=1,0,AK387*(1-IF(AK385&lt;INDEX('Lease Cycles'!$DK$30:$DQ$30,1,AK384),0,IF(AK385=INDEX('Lease Cycles'!$DK$30:$DQ$30,1,AK384),1-INDEX('Lease Cycles'!$DR$30:$DX$30,1,AK384),1))-IF(AK385=0,INDEX('Lease Cycles'!$DD$30:$DJ$30,1,AK384),0))),0)</f>
        <v>0</v>
      </c>
      <c r="AL391" s="28">
        <f>IF(AL386=1,IF(INDEX('Lease Cycles'!$EF$30:$EL$30,1,AL384)=1,0,AL387*(1-IF(AL385&lt;INDEX('Lease Cycles'!$DK$30:$DQ$30,1,AL384),0,IF(AL385=INDEX('Lease Cycles'!$DK$30:$DQ$30,1,AL384),1-INDEX('Lease Cycles'!$DR$30:$DX$30,1,AL384),1))-IF(AL385=0,INDEX('Lease Cycles'!$DD$30:$DJ$30,1,AL384),0))),0)</f>
        <v>0</v>
      </c>
      <c r="AM391" s="28">
        <f>IF(AM386=1,IF(INDEX('Lease Cycles'!$EF$30:$EL$30,1,AM384)=1,0,AM387*(1-IF(AM385&lt;INDEX('Lease Cycles'!$DK$30:$DQ$30,1,AM384),0,IF(AM385=INDEX('Lease Cycles'!$DK$30:$DQ$30,1,AM384),1-INDEX('Lease Cycles'!$DR$30:$DX$30,1,AM384),1))-IF(AM385=0,INDEX('Lease Cycles'!$DD$30:$DJ$30,1,AM384),0))),0)</f>
        <v>0</v>
      </c>
      <c r="AN391" s="28">
        <f>IF(AN386=1,IF(INDEX('Lease Cycles'!$EF$30:$EL$30,1,AN384)=1,0,AN387*(1-IF(AN385&lt;INDEX('Lease Cycles'!$DK$30:$DQ$30,1,AN384),0,IF(AN385=INDEX('Lease Cycles'!$DK$30:$DQ$30,1,AN384),1-INDEX('Lease Cycles'!$DR$30:$DX$30,1,AN384),1))-IF(AN385=0,INDEX('Lease Cycles'!$DD$30:$DJ$30,1,AN384),0))),0)</f>
        <v>0</v>
      </c>
      <c r="AO391" s="28">
        <f>IF(AO386=1,IF(INDEX('Lease Cycles'!$EF$30:$EL$30,1,AO384)=1,0,AO387*(1-IF(AO385&lt;INDEX('Lease Cycles'!$DK$30:$DQ$30,1,AO384),0,IF(AO385=INDEX('Lease Cycles'!$DK$30:$DQ$30,1,AO384),1-INDEX('Lease Cycles'!$DR$30:$DX$30,1,AO384),1))-IF(AO385=0,INDEX('Lease Cycles'!$DD$30:$DJ$30,1,AO384),0))),0)</f>
        <v>0</v>
      </c>
      <c r="AP391" s="28">
        <f>IF(AP386=1,IF(INDEX('Lease Cycles'!$EF$30:$EL$30,1,AP384)=1,0,AP387*(1-IF(AP385&lt;INDEX('Lease Cycles'!$DK$30:$DQ$30,1,AP384),0,IF(AP385=INDEX('Lease Cycles'!$DK$30:$DQ$30,1,AP384),1-INDEX('Lease Cycles'!$DR$30:$DX$30,1,AP384),1))-IF(AP385=0,INDEX('Lease Cycles'!$DD$30:$DJ$30,1,AP384),0))),0)</f>
        <v>0</v>
      </c>
      <c r="AQ391" s="28">
        <f>IF(AQ386=1,IF(INDEX('Lease Cycles'!$EF$30:$EL$30,1,AQ384)=1,0,AQ387*(1-IF(AQ385&lt;INDEX('Lease Cycles'!$DK$30:$DQ$30,1,AQ384),0,IF(AQ385=INDEX('Lease Cycles'!$DK$30:$DQ$30,1,AQ384),1-INDEX('Lease Cycles'!$DR$30:$DX$30,1,AQ384),1))-IF(AQ385=0,INDEX('Lease Cycles'!$DD$30:$DJ$30,1,AQ384),0))),0)</f>
        <v>0</v>
      </c>
      <c r="AR391" s="28">
        <f>IF(AR386=1,IF(INDEX('Lease Cycles'!$EF$30:$EL$30,1,AR384)=1,0,AR387*(1-IF(AR385&lt;INDEX('Lease Cycles'!$DK$30:$DQ$30,1,AR384),0,IF(AR385=INDEX('Lease Cycles'!$DK$30:$DQ$30,1,AR384),1-INDEX('Lease Cycles'!$DR$30:$DX$30,1,AR384),1))-IF(AR385=0,INDEX('Lease Cycles'!$DD$30:$DJ$30,1,AR384),0))),0)</f>
        <v>0</v>
      </c>
      <c r="AS391" s="28">
        <f>IF(AS386=1,IF(INDEX('Lease Cycles'!$EF$30:$EL$30,1,AS384)=1,0,AS387*(1-IF(AS385&lt;INDEX('Lease Cycles'!$DK$30:$DQ$30,1,AS384),0,IF(AS385=INDEX('Lease Cycles'!$DK$30:$DQ$30,1,AS384),1-INDEX('Lease Cycles'!$DR$30:$DX$30,1,AS384),1))-IF(AS385=0,INDEX('Lease Cycles'!$DD$30:$DJ$30,1,AS384),0))),0)</f>
        <v>0</v>
      </c>
      <c r="AT391" s="28">
        <f>IF(AT386=1,IF(INDEX('Lease Cycles'!$EF$30:$EL$30,1,AT384)=1,0,AT387*(1-IF(AT385&lt;INDEX('Lease Cycles'!$DK$30:$DQ$30,1,AT384),0,IF(AT385=INDEX('Lease Cycles'!$DK$30:$DQ$30,1,AT384),1-INDEX('Lease Cycles'!$DR$30:$DX$30,1,AT384),1))-IF(AT385=0,INDEX('Lease Cycles'!$DD$30:$DJ$30,1,AT384),0))),0)</f>
        <v>0</v>
      </c>
      <c r="AU391" s="28">
        <f>IF(AU386=1,IF(INDEX('Lease Cycles'!$EF$30:$EL$30,1,AU384)=1,0,AU387*(1-IF(AU385&lt;INDEX('Lease Cycles'!$DK$30:$DQ$30,1,AU384),0,IF(AU385=INDEX('Lease Cycles'!$DK$30:$DQ$30,1,AU384),1-INDEX('Lease Cycles'!$DR$30:$DX$30,1,AU384),1))-IF(AU385=0,INDEX('Lease Cycles'!$DD$30:$DJ$30,1,AU384),0))),0)</f>
        <v>0</v>
      </c>
      <c r="AV391" s="28">
        <f>IF(AV386=1,IF(INDEX('Lease Cycles'!$EF$30:$EL$30,1,AV384)=1,0,AV387*(1-IF(AV385&lt;INDEX('Lease Cycles'!$DK$30:$DQ$30,1,AV384),0,IF(AV385=INDEX('Lease Cycles'!$DK$30:$DQ$30,1,AV384),1-INDEX('Lease Cycles'!$DR$30:$DX$30,1,AV384),1))-IF(AV385=0,INDEX('Lease Cycles'!$DD$30:$DJ$30,1,AV384),0))),0)</f>
        <v>0</v>
      </c>
      <c r="AW391" s="28">
        <f>IF(AW386=1,IF(INDEX('Lease Cycles'!$EF$30:$EL$30,1,AW384)=1,0,AW387*(1-IF(AW385&lt;INDEX('Lease Cycles'!$DK$30:$DQ$30,1,AW384),0,IF(AW385=INDEX('Lease Cycles'!$DK$30:$DQ$30,1,AW384),1-INDEX('Lease Cycles'!$DR$30:$DX$30,1,AW384),1))-IF(AW385=0,INDEX('Lease Cycles'!$DD$30:$DJ$30,1,AW384),0))),0)</f>
        <v>0</v>
      </c>
      <c r="AX391" s="28">
        <f>IF(AX386=1,IF(INDEX('Lease Cycles'!$EF$30:$EL$30,1,AX384)=1,0,AX387*(1-IF(AX385&lt;INDEX('Lease Cycles'!$DK$30:$DQ$30,1,AX384),0,IF(AX385=INDEX('Lease Cycles'!$DK$30:$DQ$30,1,AX384),1-INDEX('Lease Cycles'!$DR$30:$DX$30,1,AX384),1))-IF(AX385=0,INDEX('Lease Cycles'!$DD$30:$DJ$30,1,AX384),0))),0)</f>
        <v>0</v>
      </c>
      <c r="AY391" s="28">
        <f>IF(AY386=1,IF(INDEX('Lease Cycles'!$EF$30:$EL$30,1,AY384)=1,0,AY387*(1-IF(AY385&lt;INDEX('Lease Cycles'!$DK$30:$DQ$30,1,AY384),0,IF(AY385=INDEX('Lease Cycles'!$DK$30:$DQ$30,1,AY384),1-INDEX('Lease Cycles'!$DR$30:$DX$30,1,AY384),1))-IF(AY385=0,INDEX('Lease Cycles'!$DD$30:$DJ$30,1,AY384),0))),0)</f>
        <v>0</v>
      </c>
      <c r="AZ391" s="28">
        <f>IF(AZ386=1,IF(INDEX('Lease Cycles'!$EF$30:$EL$30,1,AZ384)=1,0,AZ387*(1-IF(AZ385&lt;INDEX('Lease Cycles'!$DK$30:$DQ$30,1,AZ384),0,IF(AZ385=INDEX('Lease Cycles'!$DK$30:$DQ$30,1,AZ384),1-INDEX('Lease Cycles'!$DR$30:$DX$30,1,AZ384),1))-IF(AZ385=0,INDEX('Lease Cycles'!$DD$30:$DJ$30,1,AZ384),0))),0)</f>
        <v>0</v>
      </c>
      <c r="BA391" s="28">
        <f>IF(BA386=1,IF(INDEX('Lease Cycles'!$EF$30:$EL$30,1,BA384)=1,0,BA387*(1-IF(BA385&lt;INDEX('Lease Cycles'!$DK$30:$DQ$30,1,BA384),0,IF(BA385=INDEX('Lease Cycles'!$DK$30:$DQ$30,1,BA384),1-INDEX('Lease Cycles'!$DR$30:$DX$30,1,BA384),1))-IF(BA385=0,INDEX('Lease Cycles'!$DD$30:$DJ$30,1,BA384),0))),0)</f>
        <v>0</v>
      </c>
      <c r="BB391" s="28">
        <f>IF(BB386=1,IF(INDEX('Lease Cycles'!$EF$30:$EL$30,1,BB384)=1,0,BB387*(1-IF(BB385&lt;INDEX('Lease Cycles'!$DK$30:$DQ$30,1,BB384),0,IF(BB385=INDEX('Lease Cycles'!$DK$30:$DQ$30,1,BB384),1-INDEX('Lease Cycles'!$DR$30:$DX$30,1,BB384),1))-IF(BB385=0,INDEX('Lease Cycles'!$DD$30:$DJ$30,1,BB384),0))),0)</f>
        <v>0</v>
      </c>
      <c r="BC391" s="28">
        <f>IF(BC386=1,IF(INDEX('Lease Cycles'!$EF$30:$EL$30,1,BC384)=1,0,BC387*(1-IF(BC385&lt;INDEX('Lease Cycles'!$DK$30:$DQ$30,1,BC384),0,IF(BC385=INDEX('Lease Cycles'!$DK$30:$DQ$30,1,BC384),1-INDEX('Lease Cycles'!$DR$30:$DX$30,1,BC384),1))-IF(BC385=0,INDEX('Lease Cycles'!$DD$30:$DJ$30,1,BC384),0))),0)</f>
        <v>0</v>
      </c>
      <c r="BD391" s="28">
        <f>IF(BD386=1,IF(INDEX('Lease Cycles'!$EF$30:$EL$30,1,BD384)=1,0,BD387*(1-IF(BD385&lt;INDEX('Lease Cycles'!$DK$30:$DQ$30,1,BD384),0,IF(BD385=INDEX('Lease Cycles'!$DK$30:$DQ$30,1,BD384),1-INDEX('Lease Cycles'!$DR$30:$DX$30,1,BD384),1))-IF(BD385=0,INDEX('Lease Cycles'!$DD$30:$DJ$30,1,BD384),0))),0)</f>
        <v>0</v>
      </c>
      <c r="BE391" s="28">
        <f>IF(BE386=1,IF(INDEX('Lease Cycles'!$EF$30:$EL$30,1,BE384)=1,0,BE387*(1-IF(BE385&lt;INDEX('Lease Cycles'!$DK$30:$DQ$30,1,BE384),0,IF(BE385=INDEX('Lease Cycles'!$DK$30:$DQ$30,1,BE384),1-INDEX('Lease Cycles'!$DR$30:$DX$30,1,BE384),1))-IF(BE385=0,INDEX('Lease Cycles'!$DD$30:$DJ$30,1,BE384),0))),0)</f>
        <v>0</v>
      </c>
      <c r="BF391" s="28">
        <f>IF(BF386=1,IF(INDEX('Lease Cycles'!$EF$30:$EL$30,1,BF384)=1,0,BF387*(1-IF(BF385&lt;INDEX('Lease Cycles'!$DK$30:$DQ$30,1,BF384),0,IF(BF385=INDEX('Lease Cycles'!$DK$30:$DQ$30,1,BF384),1-INDEX('Lease Cycles'!$DR$30:$DX$30,1,BF384),1))-IF(BF385=0,INDEX('Lease Cycles'!$DD$30:$DJ$30,1,BF384),0))),0)</f>
        <v>0</v>
      </c>
      <c r="BG391" s="28">
        <f>IF(BG386=1,IF(INDEX('Lease Cycles'!$EF$30:$EL$30,1,BG384)=1,0,BG387*(1-IF(BG385&lt;INDEX('Lease Cycles'!$DK$30:$DQ$30,1,BG384),0,IF(BG385=INDEX('Lease Cycles'!$DK$30:$DQ$30,1,BG384),1-INDEX('Lease Cycles'!$DR$30:$DX$30,1,BG384),1))-IF(BG385=0,INDEX('Lease Cycles'!$DD$30:$DJ$30,1,BG384),0))),0)</f>
        <v>0</v>
      </c>
      <c r="BH391" s="28">
        <f>IF(BH386=1,IF(INDEX('Lease Cycles'!$EF$30:$EL$30,1,BH384)=1,0,BH387*(1-IF(BH385&lt;INDEX('Lease Cycles'!$DK$30:$DQ$30,1,BH384),0,IF(BH385=INDEX('Lease Cycles'!$DK$30:$DQ$30,1,BH384),1-INDEX('Lease Cycles'!$DR$30:$DX$30,1,BH384),1))-IF(BH385=0,INDEX('Lease Cycles'!$DD$30:$DJ$30,1,BH384),0))),0)</f>
        <v>0</v>
      </c>
      <c r="BI391" s="28">
        <f>IF(BI386=1,IF(INDEX('Lease Cycles'!$EF$30:$EL$30,1,BI384)=1,0,BI387*(1-IF(BI385&lt;INDEX('Lease Cycles'!$DK$30:$DQ$30,1,BI384),0,IF(BI385=INDEX('Lease Cycles'!$DK$30:$DQ$30,1,BI384),1-INDEX('Lease Cycles'!$DR$30:$DX$30,1,BI384),1))-IF(BI385=0,INDEX('Lease Cycles'!$DD$30:$DJ$30,1,BI384),0))),0)</f>
        <v>0</v>
      </c>
      <c r="BJ391" s="28">
        <f>IF(BJ386=1,IF(INDEX('Lease Cycles'!$EF$30:$EL$30,1,BJ384)=1,0,BJ387*(1-IF(BJ385&lt;INDEX('Lease Cycles'!$DK$30:$DQ$30,1,BJ384),0,IF(BJ385=INDEX('Lease Cycles'!$DK$30:$DQ$30,1,BJ384),1-INDEX('Lease Cycles'!$DR$30:$DX$30,1,BJ384),1))-IF(BJ385=0,INDEX('Lease Cycles'!$DD$30:$DJ$30,1,BJ384),0))),0)</f>
        <v>0</v>
      </c>
      <c r="BK391" s="28">
        <f>IF(BK386=1,IF(INDEX('Lease Cycles'!$EF$30:$EL$30,1,BK384)=1,0,BK387*(1-IF(BK385&lt;INDEX('Lease Cycles'!$DK$30:$DQ$30,1,BK384),0,IF(BK385=INDEX('Lease Cycles'!$DK$30:$DQ$30,1,BK384),1-INDEX('Lease Cycles'!$DR$30:$DX$30,1,BK384),1))-IF(BK385=0,INDEX('Lease Cycles'!$DD$30:$DJ$30,1,BK384),0))),0)</f>
        <v>0</v>
      </c>
      <c r="BL391" s="28">
        <f>IF(BL386=1,IF(INDEX('Lease Cycles'!$EF$30:$EL$30,1,BL384)=1,0,BL387*(1-IF(BL385&lt;INDEX('Lease Cycles'!$DK$30:$DQ$30,1,BL384),0,IF(BL385=INDEX('Lease Cycles'!$DK$30:$DQ$30,1,BL384),1-INDEX('Lease Cycles'!$DR$30:$DX$30,1,BL384),1))-IF(BL385=0,INDEX('Lease Cycles'!$DD$30:$DJ$30,1,BL384),0))),0)</f>
        <v>0</v>
      </c>
      <c r="BM391" s="28">
        <f>IF(BM386=1,IF(INDEX('Lease Cycles'!$EF$30:$EL$30,1,BM384)=1,0,BM387*(1-IF(BM385&lt;INDEX('Lease Cycles'!$DK$30:$DQ$30,1,BM384),0,IF(BM385=INDEX('Lease Cycles'!$DK$30:$DQ$30,1,BM384),1-INDEX('Lease Cycles'!$DR$30:$DX$30,1,BM384),1))-IF(BM385=0,INDEX('Lease Cycles'!$DD$30:$DJ$30,1,BM384),0))),0)</f>
        <v>0</v>
      </c>
      <c r="BN391" s="28">
        <f>IF(BN386=1,IF(INDEX('Lease Cycles'!$EF$30:$EL$30,1,BN384)=1,0,BN387*(1-IF(BN385&lt;INDEX('Lease Cycles'!$DK$30:$DQ$30,1,BN384),0,IF(BN385=INDEX('Lease Cycles'!$DK$30:$DQ$30,1,BN384),1-INDEX('Lease Cycles'!$DR$30:$DX$30,1,BN384),1))-IF(BN385=0,INDEX('Lease Cycles'!$DD$30:$DJ$30,1,BN384),0))),0)</f>
        <v>0</v>
      </c>
      <c r="BO391" s="28">
        <f>IF(BO386=1,IF(INDEX('Lease Cycles'!$EF$30:$EL$30,1,BO384)=1,0,BO387*(1-IF(BO385&lt;INDEX('Lease Cycles'!$DK$30:$DQ$30,1,BO384),0,IF(BO385=INDEX('Lease Cycles'!$DK$30:$DQ$30,1,BO384),1-INDEX('Lease Cycles'!$DR$30:$DX$30,1,BO384),1))-IF(BO385=0,INDEX('Lease Cycles'!$DD$30:$DJ$30,1,BO384),0))),0)</f>
        <v>0</v>
      </c>
      <c r="BP391" s="28">
        <f>IF(BP386=1,IF(INDEX('Lease Cycles'!$EF$30:$EL$30,1,BP384)=1,0,BP387*(1-IF(BP385&lt;INDEX('Lease Cycles'!$DK$30:$DQ$30,1,BP384),0,IF(BP385=INDEX('Lease Cycles'!$DK$30:$DQ$30,1,BP384),1-INDEX('Lease Cycles'!$DR$30:$DX$30,1,BP384),1))-IF(BP385=0,INDEX('Lease Cycles'!$DD$30:$DJ$30,1,BP384),0))),0)</f>
        <v>0</v>
      </c>
      <c r="BQ391" s="28">
        <f>IF(BQ386=1,IF(INDEX('Lease Cycles'!$EF$30:$EL$30,1,BQ384)=1,0,BQ387*(1-IF(BQ385&lt;INDEX('Lease Cycles'!$DK$30:$DQ$30,1,BQ384),0,IF(BQ385=INDEX('Lease Cycles'!$DK$30:$DQ$30,1,BQ384),1-INDEX('Lease Cycles'!$DR$30:$DX$30,1,BQ384),1))-IF(BQ385=0,INDEX('Lease Cycles'!$DD$30:$DJ$30,1,BQ384),0))),0)</f>
        <v>0</v>
      </c>
      <c r="BR391" s="28">
        <f>IF(BR386=1,IF(INDEX('Lease Cycles'!$EF$30:$EL$30,1,BR384)=1,0,BR387*(1-IF(BR385&lt;INDEX('Lease Cycles'!$DK$30:$DQ$30,1,BR384),0,IF(BR385=INDEX('Lease Cycles'!$DK$30:$DQ$30,1,BR384),1-INDEX('Lease Cycles'!$DR$30:$DX$30,1,BR384),1))-IF(BR385=0,INDEX('Lease Cycles'!$DD$30:$DJ$30,1,BR384),0))),0)</f>
        <v>0</v>
      </c>
      <c r="BS391" s="28">
        <f>IF(BS386=1,IF(INDEX('Lease Cycles'!$EF$30:$EL$30,1,BS384)=1,0,BS387*(1-IF(BS385&lt;INDEX('Lease Cycles'!$DK$30:$DQ$30,1,BS384),0,IF(BS385=INDEX('Lease Cycles'!$DK$30:$DQ$30,1,BS384),1-INDEX('Lease Cycles'!$DR$30:$DX$30,1,BS384),1))-IF(BS385=0,INDEX('Lease Cycles'!$DD$30:$DJ$30,1,BS384),0))),0)</f>
        <v>0</v>
      </c>
      <c r="BT391" s="28">
        <f>IF(BT386=1,IF(INDEX('Lease Cycles'!$EF$30:$EL$30,1,BT384)=1,0,BT387*(1-IF(BT385&lt;INDEX('Lease Cycles'!$DK$30:$DQ$30,1,BT384),0,IF(BT385=INDEX('Lease Cycles'!$DK$30:$DQ$30,1,BT384),1-INDEX('Lease Cycles'!$DR$30:$DX$30,1,BT384),1))-IF(BT385=0,INDEX('Lease Cycles'!$DD$30:$DJ$30,1,BT384),0))),0)</f>
        <v>0</v>
      </c>
      <c r="BU391" s="28">
        <f>IF(BU386=1,IF(INDEX('Lease Cycles'!$EF$30:$EL$30,1,BU384)=1,0,BU387*(1-IF(BU385&lt;INDEX('Lease Cycles'!$DK$30:$DQ$30,1,BU384),0,IF(BU385=INDEX('Lease Cycles'!$DK$30:$DQ$30,1,BU384),1-INDEX('Lease Cycles'!$DR$30:$DX$30,1,BU384),1))-IF(BU385=0,INDEX('Lease Cycles'!$DD$30:$DJ$30,1,BU384),0))),0)</f>
        <v>0</v>
      </c>
      <c r="BV391" s="28">
        <f>IF(BV386=1,IF(INDEX('Lease Cycles'!$EF$30:$EL$30,1,BV384)=1,0,BV387*(1-IF(BV385&lt;INDEX('Lease Cycles'!$DK$30:$DQ$30,1,BV384),0,IF(BV385=INDEX('Lease Cycles'!$DK$30:$DQ$30,1,BV384),1-INDEX('Lease Cycles'!$DR$30:$DX$30,1,BV384),1))-IF(BV385=0,INDEX('Lease Cycles'!$DD$30:$DJ$30,1,BV384),0))),0)</f>
        <v>0</v>
      </c>
      <c r="BW391" s="28">
        <f>IF(BW386=1,IF(INDEX('Lease Cycles'!$EF$30:$EL$30,1,BW384)=1,0,BW387*(1-IF(BW385&lt;INDEX('Lease Cycles'!$DK$30:$DQ$30,1,BW384),0,IF(BW385=INDEX('Lease Cycles'!$DK$30:$DQ$30,1,BW384),1-INDEX('Lease Cycles'!$DR$30:$DX$30,1,BW384),1))-IF(BW385=0,INDEX('Lease Cycles'!$DD$30:$DJ$30,1,BW384),0))),0)</f>
        <v>0</v>
      </c>
      <c r="BX391" s="28">
        <f>IF(BX386=1,IF(INDEX('Lease Cycles'!$EF$30:$EL$30,1,BX384)=1,0,BX387*(1-IF(BX385&lt;INDEX('Lease Cycles'!$DK$30:$DQ$30,1,BX384),0,IF(BX385=INDEX('Lease Cycles'!$DK$30:$DQ$30,1,BX384),1-INDEX('Lease Cycles'!$DR$30:$DX$30,1,BX384),1))-IF(BX385=0,INDEX('Lease Cycles'!$DD$30:$DJ$30,1,BX384),0))),0)</f>
        <v>0</v>
      </c>
      <c r="BY391" s="28">
        <f>IF(BY386=1,IF(INDEX('Lease Cycles'!$EF$30:$EL$30,1,BY384)=1,0,BY387*(1-IF(BY385&lt;INDEX('Lease Cycles'!$DK$30:$DQ$30,1,BY384),0,IF(BY385=INDEX('Lease Cycles'!$DK$30:$DQ$30,1,BY384),1-INDEX('Lease Cycles'!$DR$30:$DX$30,1,BY384),1))-IF(BY385=0,INDEX('Lease Cycles'!$DD$30:$DJ$30,1,BY384),0))),0)</f>
        <v>0</v>
      </c>
      <c r="BZ391" s="28">
        <f>IF(BZ386=1,IF(INDEX('Lease Cycles'!$EF$30:$EL$30,1,BZ384)=1,0,BZ387*(1-IF(BZ385&lt;INDEX('Lease Cycles'!$DK$30:$DQ$30,1,BZ384),0,IF(BZ385=INDEX('Lease Cycles'!$DK$30:$DQ$30,1,BZ384),1-INDEX('Lease Cycles'!$DR$30:$DX$30,1,BZ384),1))-IF(BZ385=0,INDEX('Lease Cycles'!$DD$30:$DJ$30,1,BZ384),0))),0)</f>
        <v>0</v>
      </c>
      <c r="CA391" s="28">
        <f>IF(CA386=1,IF(INDEX('Lease Cycles'!$EF$30:$EL$30,1,CA384)=1,0,CA387*(1-IF(CA385&lt;INDEX('Lease Cycles'!$DK$30:$DQ$30,1,CA384),0,IF(CA385=INDEX('Lease Cycles'!$DK$30:$DQ$30,1,CA384),1-INDEX('Lease Cycles'!$DR$30:$DX$30,1,CA384),1))-IF(CA385=0,INDEX('Lease Cycles'!$DD$30:$DJ$30,1,CA384),0))),0)</f>
        <v>0</v>
      </c>
      <c r="CB391" s="28">
        <f>IF(CB386=1,IF(INDEX('Lease Cycles'!$EF$30:$EL$30,1,CB384)=1,0,CB387*(1-IF(CB385&lt;INDEX('Lease Cycles'!$DK$30:$DQ$30,1,CB384),0,IF(CB385=INDEX('Lease Cycles'!$DK$30:$DQ$30,1,CB384),1-INDEX('Lease Cycles'!$DR$30:$DX$30,1,CB384),1))-IF(CB385=0,INDEX('Lease Cycles'!$DD$30:$DJ$30,1,CB384),0))),0)</f>
        <v>0</v>
      </c>
      <c r="CC391" s="28">
        <f>IF(CC386=1,IF(INDEX('Lease Cycles'!$EF$30:$EL$30,1,CC384)=1,0,CC387*(1-IF(CC385&lt;INDEX('Lease Cycles'!$DK$30:$DQ$30,1,CC384),0,IF(CC385=INDEX('Lease Cycles'!$DK$30:$DQ$30,1,CC384),1-INDEX('Lease Cycles'!$DR$30:$DX$30,1,CC384),1))-IF(CC385=0,INDEX('Lease Cycles'!$DD$30:$DJ$30,1,CC384),0))),0)</f>
        <v>0</v>
      </c>
      <c r="CD391" s="28">
        <f>IF(CD386=1,IF(INDEX('Lease Cycles'!$EF$30:$EL$30,1,CD384)=1,0,CD387*(1-IF(CD385&lt;INDEX('Lease Cycles'!$DK$30:$DQ$30,1,CD384),0,IF(CD385=INDEX('Lease Cycles'!$DK$30:$DQ$30,1,CD384),1-INDEX('Lease Cycles'!$DR$30:$DX$30,1,CD384),1))-IF(CD385=0,INDEX('Lease Cycles'!$DD$30:$DJ$30,1,CD384),0))),0)</f>
        <v>0</v>
      </c>
      <c r="CE391" s="28">
        <f>IF(CE386=1,IF(INDEX('Lease Cycles'!$EF$30:$EL$30,1,CE384)=1,0,CE387*(1-IF(CE385&lt;INDEX('Lease Cycles'!$DK$30:$DQ$30,1,CE384),0,IF(CE385=INDEX('Lease Cycles'!$DK$30:$DQ$30,1,CE384),1-INDEX('Lease Cycles'!$DR$30:$DX$30,1,CE384),1))-IF(CE385=0,INDEX('Lease Cycles'!$DD$30:$DJ$30,1,CE384),0))),0)</f>
        <v>0</v>
      </c>
      <c r="CF391" s="28">
        <f>IF(CF386=1,IF(INDEX('Lease Cycles'!$EF$30:$EL$30,1,CF384)=1,0,CF387*(1-IF(CF385&lt;INDEX('Lease Cycles'!$DK$30:$DQ$30,1,CF384),0,IF(CF385=INDEX('Lease Cycles'!$DK$30:$DQ$30,1,CF384),1-INDEX('Lease Cycles'!$DR$30:$DX$30,1,CF384),1))-IF(CF385=0,INDEX('Lease Cycles'!$DD$30:$DJ$30,1,CF384),0))),0)</f>
        <v>0</v>
      </c>
      <c r="CG391" s="28">
        <f>IF(CG386=1,IF(INDEX('Lease Cycles'!$EF$30:$EL$30,1,CG384)=1,0,CG387*(1-IF(CG385&lt;INDEX('Lease Cycles'!$DK$30:$DQ$30,1,CG384),0,IF(CG385=INDEX('Lease Cycles'!$DK$30:$DQ$30,1,CG384),1-INDEX('Lease Cycles'!$DR$30:$DX$30,1,CG384),1))-IF(CG385=0,INDEX('Lease Cycles'!$DD$30:$DJ$30,1,CG384),0))),0)</f>
        <v>0</v>
      </c>
      <c r="CH391" s="28">
        <f>IF(CH386=1,IF(INDEX('Lease Cycles'!$EF$30:$EL$30,1,CH384)=1,0,CH387*(1-IF(CH385&lt;INDEX('Lease Cycles'!$DK$30:$DQ$30,1,CH384),0,IF(CH385=INDEX('Lease Cycles'!$DK$30:$DQ$30,1,CH384),1-INDEX('Lease Cycles'!$DR$30:$DX$30,1,CH384),1))-IF(CH385=0,INDEX('Lease Cycles'!$DD$30:$DJ$30,1,CH384),0))),0)</f>
        <v>0</v>
      </c>
      <c r="CI391" s="28">
        <f>IF(CI386=1,IF(INDEX('Lease Cycles'!$EF$30:$EL$30,1,CI384)=1,0,CI387*(1-IF(CI385&lt;INDEX('Lease Cycles'!$DK$30:$DQ$30,1,CI384),0,IF(CI385=INDEX('Lease Cycles'!$DK$30:$DQ$30,1,CI384),1-INDEX('Lease Cycles'!$DR$30:$DX$30,1,CI384),1))-IF(CI385=0,INDEX('Lease Cycles'!$DD$30:$DJ$30,1,CI384),0))),0)</f>
        <v>0</v>
      </c>
      <c r="CJ391" s="28">
        <f>IF(CJ386=1,IF(INDEX('Lease Cycles'!$EF$30:$EL$30,1,CJ384)=1,0,CJ387*(1-IF(CJ385&lt;INDEX('Lease Cycles'!$DK$30:$DQ$30,1,CJ384),0,IF(CJ385=INDEX('Lease Cycles'!$DK$30:$DQ$30,1,CJ384),1-INDEX('Lease Cycles'!$DR$30:$DX$30,1,CJ384),1))-IF(CJ385=0,INDEX('Lease Cycles'!$DD$30:$DJ$30,1,CJ384),0))),0)</f>
        <v>0</v>
      </c>
      <c r="CK391" s="28">
        <f>IF(CK386=1,IF(INDEX('Lease Cycles'!$EF$30:$EL$30,1,CK384)=1,0,CK387*(1-IF(CK385&lt;INDEX('Lease Cycles'!$DK$30:$DQ$30,1,CK384),0,IF(CK385=INDEX('Lease Cycles'!$DK$30:$DQ$30,1,CK384),1-INDEX('Lease Cycles'!$DR$30:$DX$30,1,CK384),1))-IF(CK385=0,INDEX('Lease Cycles'!$DD$30:$DJ$30,1,CK384),0))),0)</f>
        <v>0</v>
      </c>
      <c r="CL391" s="28">
        <f>IF(CL386=1,IF(INDEX('Lease Cycles'!$EF$30:$EL$30,1,CL384)=1,0,CL387*(1-IF(CL385&lt;INDEX('Lease Cycles'!$DK$30:$DQ$30,1,CL384),0,IF(CL385=INDEX('Lease Cycles'!$DK$30:$DQ$30,1,CL384),1-INDEX('Lease Cycles'!$DR$30:$DX$30,1,CL384),1))-IF(CL385=0,INDEX('Lease Cycles'!$DD$30:$DJ$30,1,CL384),0))),0)</f>
        <v>0</v>
      </c>
      <c r="CM391" s="28">
        <f>IF(CM386=1,IF(INDEX('Lease Cycles'!$EF$30:$EL$30,1,CM384)=1,0,CM387*(1-IF(CM385&lt;INDEX('Lease Cycles'!$DK$30:$DQ$30,1,CM384),0,IF(CM385=INDEX('Lease Cycles'!$DK$30:$DQ$30,1,CM384),1-INDEX('Lease Cycles'!$DR$30:$DX$30,1,CM384),1))-IF(CM385=0,INDEX('Lease Cycles'!$DD$30:$DJ$30,1,CM384),0))),0)</f>
        <v>0</v>
      </c>
      <c r="CN391" s="28">
        <f>IF(CN386=1,IF(INDEX('Lease Cycles'!$EF$30:$EL$30,1,CN384)=1,0,CN387*(1-IF(CN385&lt;INDEX('Lease Cycles'!$DK$30:$DQ$30,1,CN384),0,IF(CN385=INDEX('Lease Cycles'!$DK$30:$DQ$30,1,CN384),1-INDEX('Lease Cycles'!$DR$30:$DX$30,1,CN384),1))-IF(CN385=0,INDEX('Lease Cycles'!$DD$30:$DJ$30,1,CN384),0))),0)</f>
        <v>0</v>
      </c>
      <c r="CO391" s="28">
        <f>IF(CO386=1,IF(INDEX('Lease Cycles'!$EF$30:$EL$30,1,CO384)=1,0,CO387*(1-IF(CO385&lt;INDEX('Lease Cycles'!$DK$30:$DQ$30,1,CO384),0,IF(CO385=INDEX('Lease Cycles'!$DK$30:$DQ$30,1,CO384),1-INDEX('Lease Cycles'!$DR$30:$DX$30,1,CO384),1))-IF(CO385=0,INDEX('Lease Cycles'!$DD$30:$DJ$30,1,CO384),0))),0)</f>
        <v>0</v>
      </c>
      <c r="CP391" s="28">
        <f>IF(CP386=1,IF(INDEX('Lease Cycles'!$EF$30:$EL$30,1,CP384)=1,0,CP387*(1-IF(CP385&lt;INDEX('Lease Cycles'!$DK$30:$DQ$30,1,CP384),0,IF(CP385=INDEX('Lease Cycles'!$DK$30:$DQ$30,1,CP384),1-INDEX('Lease Cycles'!$DR$30:$DX$30,1,CP384),1))-IF(CP385=0,INDEX('Lease Cycles'!$DD$30:$DJ$30,1,CP384),0))),0)</f>
        <v>0</v>
      </c>
      <c r="CQ391" s="28">
        <f>IF(CQ386=1,IF(INDEX('Lease Cycles'!$EF$30:$EL$30,1,CQ384)=1,0,CQ387*(1-IF(CQ385&lt;INDEX('Lease Cycles'!$DK$30:$DQ$30,1,CQ384),0,IF(CQ385=INDEX('Lease Cycles'!$DK$30:$DQ$30,1,CQ384),1-INDEX('Lease Cycles'!$DR$30:$DX$30,1,CQ384),1))-IF(CQ385=0,INDEX('Lease Cycles'!$DD$30:$DJ$30,1,CQ384),0))),0)</f>
        <v>0</v>
      </c>
      <c r="CR391" s="28">
        <f>IF(CR386=1,IF(INDEX('Lease Cycles'!$EF$30:$EL$30,1,CR384)=1,0,CR387*(1-IF(CR385&lt;INDEX('Lease Cycles'!$DK$30:$DQ$30,1,CR384),0,IF(CR385=INDEX('Lease Cycles'!$DK$30:$DQ$30,1,CR384),1-INDEX('Lease Cycles'!$DR$30:$DX$30,1,CR384),1))-IF(CR385=0,INDEX('Lease Cycles'!$DD$30:$DJ$30,1,CR384),0))),0)</f>
        <v>0</v>
      </c>
      <c r="CS391" s="28">
        <f>IF(CS386=1,IF(INDEX('Lease Cycles'!$EF$30:$EL$30,1,CS384)=1,0,CS387*(1-IF(CS385&lt;INDEX('Lease Cycles'!$DK$30:$DQ$30,1,CS384),0,IF(CS385=INDEX('Lease Cycles'!$DK$30:$DQ$30,1,CS384),1-INDEX('Lease Cycles'!$DR$30:$DX$30,1,CS384),1))-IF(CS385=0,INDEX('Lease Cycles'!$DD$30:$DJ$30,1,CS384),0))),0)</f>
        <v>0</v>
      </c>
      <c r="CT391" s="28">
        <f>IF(CT386=1,IF(INDEX('Lease Cycles'!$EF$30:$EL$30,1,CT384)=1,0,CT387*(1-IF(CT385&lt;INDEX('Lease Cycles'!$DK$30:$DQ$30,1,CT384),0,IF(CT385=INDEX('Lease Cycles'!$DK$30:$DQ$30,1,CT384),1-INDEX('Lease Cycles'!$DR$30:$DX$30,1,CT384),1))-IF(CT385=0,INDEX('Lease Cycles'!$DD$30:$DJ$30,1,CT384),0))),0)</f>
        <v>0</v>
      </c>
      <c r="CU391" s="28">
        <f>IF(CU386=1,IF(INDEX('Lease Cycles'!$EF$30:$EL$30,1,CU384)=1,0,CU387*(1-IF(CU385&lt;INDEX('Lease Cycles'!$DK$30:$DQ$30,1,CU384),0,IF(CU385=INDEX('Lease Cycles'!$DK$30:$DQ$30,1,CU384),1-INDEX('Lease Cycles'!$DR$30:$DX$30,1,CU384),1))-IF(CU385=0,INDEX('Lease Cycles'!$DD$30:$DJ$30,1,CU384),0))),0)</f>
        <v>0</v>
      </c>
      <c r="CV391" s="28">
        <f>IF(CV386=1,IF(INDEX('Lease Cycles'!$EF$30:$EL$30,1,CV384)=1,0,CV387*(1-IF(CV385&lt;INDEX('Lease Cycles'!$DK$30:$DQ$30,1,CV384),0,IF(CV385=INDEX('Lease Cycles'!$DK$30:$DQ$30,1,CV384),1-INDEX('Lease Cycles'!$DR$30:$DX$30,1,CV384),1))-IF(CV385=0,INDEX('Lease Cycles'!$DD$30:$DJ$30,1,CV384),0))),0)</f>
        <v>0</v>
      </c>
      <c r="CW391" s="28">
        <f>IF(CW386=1,IF(INDEX('Lease Cycles'!$EF$30:$EL$30,1,CW384)=1,0,CW387*(1-IF(CW385&lt;INDEX('Lease Cycles'!$DK$30:$DQ$30,1,CW384),0,IF(CW385=INDEX('Lease Cycles'!$DK$30:$DQ$30,1,CW384),1-INDEX('Lease Cycles'!$DR$30:$DX$30,1,CW384),1))-IF(CW385=0,INDEX('Lease Cycles'!$DD$30:$DJ$30,1,CW384),0))),0)</f>
        <v>0</v>
      </c>
      <c r="CX391" s="28">
        <f>IF(CX386=1,IF(INDEX('Lease Cycles'!$EF$30:$EL$30,1,CX384)=1,0,CX387*(1-IF(CX385&lt;INDEX('Lease Cycles'!$DK$30:$DQ$30,1,CX384),0,IF(CX385=INDEX('Lease Cycles'!$DK$30:$DQ$30,1,CX384),1-INDEX('Lease Cycles'!$DR$30:$DX$30,1,CX384),1))-IF(CX385=0,INDEX('Lease Cycles'!$DD$30:$DJ$30,1,CX384),0))),0)</f>
        <v>0</v>
      </c>
      <c r="CY391" s="28">
        <f>IF(CY386=1,IF(INDEX('Lease Cycles'!$EF$30:$EL$30,1,CY384)=1,0,CY387*(1-IF(CY385&lt;INDEX('Lease Cycles'!$DK$30:$DQ$30,1,CY384),0,IF(CY385=INDEX('Lease Cycles'!$DK$30:$DQ$30,1,CY384),1-INDEX('Lease Cycles'!$DR$30:$DX$30,1,CY384),1))-IF(CY385=0,INDEX('Lease Cycles'!$DD$30:$DJ$30,1,CY384),0))),0)</f>
        <v>0</v>
      </c>
      <c r="CZ391" s="28">
        <f>IF(CZ386=1,IF(INDEX('Lease Cycles'!$EF$30:$EL$30,1,CZ384)=1,0,CZ387*(1-IF(CZ385&lt;INDEX('Lease Cycles'!$DK$30:$DQ$30,1,CZ384),0,IF(CZ385=INDEX('Lease Cycles'!$DK$30:$DQ$30,1,CZ384),1-INDEX('Lease Cycles'!$DR$30:$DX$30,1,CZ384),1))-IF(CZ385=0,INDEX('Lease Cycles'!$DD$30:$DJ$30,1,CZ384),0))),0)</f>
        <v>0</v>
      </c>
      <c r="DA391" s="28">
        <f>IF(DA386=1,IF(INDEX('Lease Cycles'!$EF$30:$EL$30,1,DA384)=1,0,DA387*(1-IF(DA385&lt;INDEX('Lease Cycles'!$DK$30:$DQ$30,1,DA384),0,IF(DA385=INDEX('Lease Cycles'!$DK$30:$DQ$30,1,DA384),1-INDEX('Lease Cycles'!$DR$30:$DX$30,1,DA384),1))-IF(DA385=0,INDEX('Lease Cycles'!$DD$30:$DJ$30,1,DA384),0))),0)</f>
        <v>0</v>
      </c>
      <c r="DB391" s="28">
        <f>IF(DB386=1,IF(INDEX('Lease Cycles'!$EF$30:$EL$30,1,DB384)=1,0,DB387*(1-IF(DB385&lt;INDEX('Lease Cycles'!$DK$30:$DQ$30,1,DB384),0,IF(DB385=INDEX('Lease Cycles'!$DK$30:$DQ$30,1,DB384),1-INDEX('Lease Cycles'!$DR$30:$DX$30,1,DB384),1))-IF(DB385=0,INDEX('Lease Cycles'!$DD$30:$DJ$30,1,DB384),0))),0)</f>
        <v>0</v>
      </c>
      <c r="DC391" s="28">
        <f>IF(DC386=1,IF(INDEX('Lease Cycles'!$EF$30:$EL$30,1,DC384)=1,0,DC387*(1-IF(DC385&lt;INDEX('Lease Cycles'!$DK$30:$DQ$30,1,DC384),0,IF(DC385=INDEX('Lease Cycles'!$DK$30:$DQ$30,1,DC384),1-INDEX('Lease Cycles'!$DR$30:$DX$30,1,DC384),1))-IF(DC385=0,INDEX('Lease Cycles'!$DD$30:$DJ$30,1,DC384),0))),0)</f>
        <v>0</v>
      </c>
      <c r="DD391" s="28">
        <f>IF(DD386=1,IF(INDEX('Lease Cycles'!$EF$30:$EL$30,1,DD384)=1,0,DD387*(1-IF(DD385&lt;INDEX('Lease Cycles'!$DK$30:$DQ$30,1,DD384),0,IF(DD385=INDEX('Lease Cycles'!$DK$30:$DQ$30,1,DD384),1-INDEX('Lease Cycles'!$DR$30:$DX$30,1,DD384),1))-IF(DD385=0,INDEX('Lease Cycles'!$DD$30:$DJ$30,1,DD384),0))),0)</f>
        <v>0</v>
      </c>
      <c r="DE391" s="28">
        <f>IF(DE386=1,IF(INDEX('Lease Cycles'!$EF$30:$EL$30,1,DE384)=1,0,DE387*(1-IF(DE385&lt;INDEX('Lease Cycles'!$DK$30:$DQ$30,1,DE384),0,IF(DE385=INDEX('Lease Cycles'!$DK$30:$DQ$30,1,DE384),1-INDEX('Lease Cycles'!$DR$30:$DX$30,1,DE384),1))-IF(DE385=0,INDEX('Lease Cycles'!$DD$30:$DJ$30,1,DE384),0))),0)</f>
        <v>0</v>
      </c>
      <c r="DF391" s="28">
        <f>IF(DF386=1,IF(INDEX('Lease Cycles'!$EF$30:$EL$30,1,DF384)=1,0,DF387*(1-IF(DF385&lt;INDEX('Lease Cycles'!$DK$30:$DQ$30,1,DF384),0,IF(DF385=INDEX('Lease Cycles'!$DK$30:$DQ$30,1,DF384),1-INDEX('Lease Cycles'!$DR$30:$DX$30,1,DF384),1))-IF(DF385=0,INDEX('Lease Cycles'!$DD$30:$DJ$30,1,DF384),0))),0)</f>
        <v>0</v>
      </c>
      <c r="DG391" s="28">
        <f>IF(DG386=1,IF(INDEX('Lease Cycles'!$EF$30:$EL$30,1,DG384)=1,0,DG387*(1-IF(DG385&lt;INDEX('Lease Cycles'!$DK$30:$DQ$30,1,DG384),0,IF(DG385=INDEX('Lease Cycles'!$DK$30:$DQ$30,1,DG384),1-INDEX('Lease Cycles'!$DR$30:$DX$30,1,DG384),1))-IF(DG385=0,INDEX('Lease Cycles'!$DD$30:$DJ$30,1,DG384),0))),0)</f>
        <v>0</v>
      </c>
      <c r="DH391" s="28">
        <f>IF(DH386=1,IF(INDEX('Lease Cycles'!$EF$30:$EL$30,1,DH384)=1,0,DH387*(1-IF(DH385&lt;INDEX('Lease Cycles'!$DK$30:$DQ$30,1,DH384),0,IF(DH385=INDEX('Lease Cycles'!$DK$30:$DQ$30,1,DH384),1-INDEX('Lease Cycles'!$DR$30:$DX$30,1,DH384),1))-IF(DH385=0,INDEX('Lease Cycles'!$DD$30:$DJ$30,1,DH384),0))),0)</f>
        <v>0</v>
      </c>
      <c r="DI391" s="28">
        <f>IF(DI386=1,IF(INDEX('Lease Cycles'!$EF$30:$EL$30,1,DI384)=1,0,DI387*(1-IF(DI385&lt;INDEX('Lease Cycles'!$DK$30:$DQ$30,1,DI384),0,IF(DI385=INDEX('Lease Cycles'!$DK$30:$DQ$30,1,DI384),1-INDEX('Lease Cycles'!$DR$30:$DX$30,1,DI384),1))-IF(DI385=0,INDEX('Lease Cycles'!$DD$30:$DJ$30,1,DI384),0))),0)</f>
        <v>0</v>
      </c>
      <c r="DJ391" s="28">
        <f>IF(DJ386=1,IF(INDEX('Lease Cycles'!$EF$30:$EL$30,1,DJ384)=1,0,DJ387*(1-IF(DJ385&lt;INDEX('Lease Cycles'!$DK$30:$DQ$30,1,DJ384),0,IF(DJ385=INDEX('Lease Cycles'!$DK$30:$DQ$30,1,DJ384),1-INDEX('Lease Cycles'!$DR$30:$DX$30,1,DJ384),1))-IF(DJ385=0,INDEX('Lease Cycles'!$DD$30:$DJ$30,1,DJ384),0))),0)</f>
        <v>0</v>
      </c>
      <c r="DK391" s="28">
        <f>IF(DK386=1,IF(INDEX('Lease Cycles'!$EF$30:$EL$30,1,DK384)=1,0,DK387*(1-IF(DK385&lt;INDEX('Lease Cycles'!$DK$30:$DQ$30,1,DK384),0,IF(DK385=INDEX('Lease Cycles'!$DK$30:$DQ$30,1,DK384),1-INDEX('Lease Cycles'!$DR$30:$DX$30,1,DK384),1))-IF(DK385=0,INDEX('Lease Cycles'!$DD$30:$DJ$30,1,DK384),0))),0)</f>
        <v>0</v>
      </c>
      <c r="DL391" s="28">
        <f>IF(DL386=1,IF(INDEX('Lease Cycles'!$EF$30:$EL$30,1,DL384)=1,0,DL387*(1-IF(DL385&lt;INDEX('Lease Cycles'!$DK$30:$DQ$30,1,DL384),0,IF(DL385=INDEX('Lease Cycles'!$DK$30:$DQ$30,1,DL384),1-INDEX('Lease Cycles'!$DR$30:$DX$30,1,DL384),1))-IF(DL385=0,INDEX('Lease Cycles'!$DD$30:$DJ$30,1,DL384),0))),0)</f>
        <v>0</v>
      </c>
      <c r="DM391" s="28">
        <f>IF(DM386=1,IF(INDEX('Lease Cycles'!$EF$30:$EL$30,1,DM384)=1,0,DM387*(1-IF(DM385&lt;INDEX('Lease Cycles'!$DK$30:$DQ$30,1,DM384),0,IF(DM385=INDEX('Lease Cycles'!$DK$30:$DQ$30,1,DM384),1-INDEX('Lease Cycles'!$DR$30:$DX$30,1,DM384),1))-IF(DM385=0,INDEX('Lease Cycles'!$DD$30:$DJ$30,1,DM384),0))),0)</f>
        <v>0</v>
      </c>
      <c r="DN391" s="28">
        <f>IF(DN386=1,IF(INDEX('Lease Cycles'!$EF$30:$EL$30,1,DN384)=1,0,DN387*(1-IF(DN385&lt;INDEX('Lease Cycles'!$DK$30:$DQ$30,1,DN384),0,IF(DN385=INDEX('Lease Cycles'!$DK$30:$DQ$30,1,DN384),1-INDEX('Lease Cycles'!$DR$30:$DX$30,1,DN384),1))-IF(DN385=0,INDEX('Lease Cycles'!$DD$30:$DJ$30,1,DN384),0))),0)</f>
        <v>0</v>
      </c>
      <c r="DO391" s="28">
        <f>IF(DO386=1,IF(INDEX('Lease Cycles'!$EF$30:$EL$30,1,DO384)=1,0,DO387*(1-IF(DO385&lt;INDEX('Lease Cycles'!$DK$30:$DQ$30,1,DO384),0,IF(DO385=INDEX('Lease Cycles'!$DK$30:$DQ$30,1,DO384),1-INDEX('Lease Cycles'!$DR$30:$DX$30,1,DO384),1))-IF(DO385=0,INDEX('Lease Cycles'!$DD$30:$DJ$30,1,DO384),0))),0)</f>
        <v>0</v>
      </c>
      <c r="DP391" s="28">
        <f>IF(DP386=1,IF(INDEX('Lease Cycles'!$EF$30:$EL$30,1,DP384)=1,0,DP387*(1-IF(DP385&lt;INDEX('Lease Cycles'!$DK$30:$DQ$30,1,DP384),0,IF(DP385=INDEX('Lease Cycles'!$DK$30:$DQ$30,1,DP384),1-INDEX('Lease Cycles'!$DR$30:$DX$30,1,DP384),1))-IF(DP385=0,INDEX('Lease Cycles'!$DD$30:$DJ$30,1,DP384),0))),0)</f>
        <v>0</v>
      </c>
      <c r="DQ391" s="28">
        <f>IF(DQ386=1,IF(INDEX('Lease Cycles'!$EF$30:$EL$30,1,DQ384)=1,0,DQ387*(1-IF(DQ385&lt;INDEX('Lease Cycles'!$DK$30:$DQ$30,1,DQ384),0,IF(DQ385=INDEX('Lease Cycles'!$DK$30:$DQ$30,1,DQ384),1-INDEX('Lease Cycles'!$DR$30:$DX$30,1,DQ384),1))-IF(DQ385=0,INDEX('Lease Cycles'!$DD$30:$DJ$30,1,DQ384),0))),0)</f>
        <v>0</v>
      </c>
      <c r="DR391" s="28">
        <f>IF(DR386=1,IF(INDEX('Lease Cycles'!$EF$30:$EL$30,1,DR384)=1,0,DR387*(1-IF(DR385&lt;INDEX('Lease Cycles'!$DK$30:$DQ$30,1,DR384),0,IF(DR385=INDEX('Lease Cycles'!$DK$30:$DQ$30,1,DR384),1-INDEX('Lease Cycles'!$DR$30:$DX$30,1,DR384),1))-IF(DR385=0,INDEX('Lease Cycles'!$DD$30:$DJ$30,1,DR384),0))),0)</f>
        <v>0</v>
      </c>
      <c r="DS391" s="28">
        <f>IF(DS386=1,IF(INDEX('Lease Cycles'!$EF$30:$EL$30,1,DS384)=1,0,DS387*(1-IF(DS385&lt;INDEX('Lease Cycles'!$DK$30:$DQ$30,1,DS384),0,IF(DS385=INDEX('Lease Cycles'!$DK$30:$DQ$30,1,DS384),1-INDEX('Lease Cycles'!$DR$30:$DX$30,1,DS384),1))-IF(DS385=0,INDEX('Lease Cycles'!$DD$30:$DJ$30,1,DS384),0))),0)</f>
        <v>0</v>
      </c>
      <c r="DT391" s="28">
        <f>IF(DT386=1,IF(INDEX('Lease Cycles'!$EF$30:$EL$30,1,DT384)=1,0,DT387*(1-IF(DT385&lt;INDEX('Lease Cycles'!$DK$30:$DQ$30,1,DT384),0,IF(DT385=INDEX('Lease Cycles'!$DK$30:$DQ$30,1,DT384),1-INDEX('Lease Cycles'!$DR$30:$DX$30,1,DT384),1))-IF(DT385=0,INDEX('Lease Cycles'!$DD$30:$DJ$30,1,DT384),0))),0)</f>
        <v>0</v>
      </c>
      <c r="DU391" s="28">
        <f>IF(DU386=1,IF(INDEX('Lease Cycles'!$EF$30:$EL$30,1,DU384)=1,0,DU387*(1-IF(DU385&lt;INDEX('Lease Cycles'!$DK$30:$DQ$30,1,DU384),0,IF(DU385=INDEX('Lease Cycles'!$DK$30:$DQ$30,1,DU384),1-INDEX('Lease Cycles'!$DR$30:$DX$30,1,DU384),1))-IF(DU385=0,INDEX('Lease Cycles'!$DD$30:$DJ$30,1,DU384),0))),0)</f>
        <v>0</v>
      </c>
      <c r="DV391" s="28">
        <f>IF(DV386=1,IF(INDEX('Lease Cycles'!$EF$30:$EL$30,1,DV384)=1,0,DV387*(1-IF(DV385&lt;INDEX('Lease Cycles'!$DK$30:$DQ$30,1,DV384),0,IF(DV385=INDEX('Lease Cycles'!$DK$30:$DQ$30,1,DV384),1-INDEX('Lease Cycles'!$DR$30:$DX$30,1,DV384),1))-IF(DV385=0,INDEX('Lease Cycles'!$DD$30:$DJ$30,1,DV384),0))),0)</f>
        <v>0</v>
      </c>
      <c r="DW391" s="28">
        <f>IF(DW386=1,IF(INDEX('Lease Cycles'!$EF$30:$EL$30,1,DW384)=1,0,DW387*(1-IF(DW385&lt;INDEX('Lease Cycles'!$DK$30:$DQ$30,1,DW384),0,IF(DW385=INDEX('Lease Cycles'!$DK$30:$DQ$30,1,DW384),1-INDEX('Lease Cycles'!$DR$30:$DX$30,1,DW384),1))-IF(DW385=0,INDEX('Lease Cycles'!$DD$30:$DJ$30,1,DW384),0))),0)</f>
        <v>0</v>
      </c>
      <c r="DX391" s="28">
        <f>IF(DX386=1,IF(INDEX('Lease Cycles'!$EF$30:$EL$30,1,DX384)=1,0,DX387*(1-IF(DX385&lt;INDEX('Lease Cycles'!$DK$30:$DQ$30,1,DX384),0,IF(DX385=INDEX('Lease Cycles'!$DK$30:$DQ$30,1,DX384),1-INDEX('Lease Cycles'!$DR$30:$DX$30,1,DX384),1))-IF(DX385=0,INDEX('Lease Cycles'!$DD$30:$DJ$30,1,DX384),0))),0)</f>
        <v>0</v>
      </c>
      <c r="DY391" s="28">
        <f>IF(DY386=1,IF(INDEX('Lease Cycles'!$EF$30:$EL$30,1,DY384)=1,0,DY387*(1-IF(DY385&lt;INDEX('Lease Cycles'!$DK$30:$DQ$30,1,DY384),0,IF(DY385=INDEX('Lease Cycles'!$DK$30:$DQ$30,1,DY384),1-INDEX('Lease Cycles'!$DR$30:$DX$30,1,DY384),1))-IF(DY385=0,INDEX('Lease Cycles'!$DD$30:$DJ$30,1,DY384),0))),0)</f>
        <v>0</v>
      </c>
      <c r="DZ391" s="28">
        <f>IF(DZ386=1,IF(INDEX('Lease Cycles'!$EF$30:$EL$30,1,DZ384)=1,0,DZ387*(1-IF(DZ385&lt;INDEX('Lease Cycles'!$DK$30:$DQ$30,1,DZ384),0,IF(DZ385=INDEX('Lease Cycles'!$DK$30:$DQ$30,1,DZ384),1-INDEX('Lease Cycles'!$DR$30:$DX$30,1,DZ384),1))-IF(DZ385=0,INDEX('Lease Cycles'!$DD$30:$DJ$30,1,DZ384),0))),0)</f>
        <v>0</v>
      </c>
      <c r="EA391" s="28">
        <f>IF(EA386=1,IF(INDEX('Lease Cycles'!$EF$30:$EL$30,1,EA384)=1,0,EA387*(1-IF(EA385&lt;INDEX('Lease Cycles'!$DK$30:$DQ$30,1,EA384),0,IF(EA385=INDEX('Lease Cycles'!$DK$30:$DQ$30,1,EA384),1-INDEX('Lease Cycles'!$DR$30:$DX$30,1,EA384),1))-IF(EA385=0,INDEX('Lease Cycles'!$DD$30:$DJ$30,1,EA384),0))),0)</f>
        <v>0</v>
      </c>
      <c r="EB391" s="28">
        <f>IF(EB386=1,IF(INDEX('Lease Cycles'!$EF$30:$EL$30,1,EB384)=1,0,EB387*(1-IF(EB385&lt;INDEX('Lease Cycles'!$DK$30:$DQ$30,1,EB384),0,IF(EB385=INDEX('Lease Cycles'!$DK$30:$DQ$30,1,EB384),1-INDEX('Lease Cycles'!$DR$30:$DX$30,1,EB384),1))-IF(EB385=0,INDEX('Lease Cycles'!$DD$30:$DJ$30,1,EB384),0))),0)</f>
        <v>0</v>
      </c>
      <c r="EC391" s="28">
        <f>IF(EC386=1,IF(INDEX('Lease Cycles'!$EF$30:$EL$30,1,EC384)=1,0,EC387*(1-IF(EC385&lt;INDEX('Lease Cycles'!$DK$30:$DQ$30,1,EC384),0,IF(EC385=INDEX('Lease Cycles'!$DK$30:$DQ$30,1,EC384),1-INDEX('Lease Cycles'!$DR$30:$DX$30,1,EC384),1))-IF(EC385=0,INDEX('Lease Cycles'!$DD$30:$DJ$30,1,EC384),0))),0)</f>
        <v>0</v>
      </c>
      <c r="ED391" s="28">
        <f>IF(ED386=1,IF(INDEX('Lease Cycles'!$EF$30:$EL$30,1,ED384)=1,0,ED387*(1-IF(ED385&lt;INDEX('Lease Cycles'!$DK$30:$DQ$30,1,ED384),0,IF(ED385=INDEX('Lease Cycles'!$DK$30:$DQ$30,1,ED384),1-INDEX('Lease Cycles'!$DR$30:$DX$30,1,ED384),1))-IF(ED385=0,INDEX('Lease Cycles'!$DD$30:$DJ$30,1,ED384),0))),0)</f>
        <v>0</v>
      </c>
      <c r="EE391" s="28">
        <f>IF(EE386=1,IF(INDEX('Lease Cycles'!$EF$30:$EL$30,1,EE384)=1,0,EE387*(1-IF(EE385&lt;INDEX('Lease Cycles'!$DK$30:$DQ$30,1,EE384),0,IF(EE385=INDEX('Lease Cycles'!$DK$30:$DQ$30,1,EE384),1-INDEX('Lease Cycles'!$DR$30:$DX$30,1,EE384),1))-IF(EE385=0,INDEX('Lease Cycles'!$DD$30:$DJ$30,1,EE384),0))),0)</f>
        <v>0</v>
      </c>
      <c r="EF391" s="28">
        <f>IF(EF386=1,IF(INDEX('Lease Cycles'!$EF$30:$EL$30,1,EF384)=1,0,EF387*(1-IF(EF385&lt;INDEX('Lease Cycles'!$DK$30:$DQ$30,1,EF384),0,IF(EF385=INDEX('Lease Cycles'!$DK$30:$DQ$30,1,EF384),1-INDEX('Lease Cycles'!$DR$30:$DX$30,1,EF384),1))-IF(EF385=0,INDEX('Lease Cycles'!$DD$30:$DJ$30,1,EF384),0))),0)</f>
        <v>0</v>
      </c>
      <c r="EG391" s="28">
        <f>IF(EG386=1,IF(INDEX('Lease Cycles'!$EF$30:$EL$30,1,EG384)=1,0,EG387*(1-IF(EG385&lt;INDEX('Lease Cycles'!$DK$30:$DQ$30,1,EG384),0,IF(EG385=INDEX('Lease Cycles'!$DK$30:$DQ$30,1,EG384),1-INDEX('Lease Cycles'!$DR$30:$DX$30,1,EG384),1))-IF(EG385=0,INDEX('Lease Cycles'!$DD$30:$DJ$30,1,EG384),0))),0)</f>
        <v>0</v>
      </c>
      <c r="EH391" s="28">
        <f>IF(EH386=1,IF(INDEX('Lease Cycles'!$EF$30:$EL$30,1,EH384)=1,0,EH387*(1-IF(EH385&lt;INDEX('Lease Cycles'!$DK$30:$DQ$30,1,EH384),0,IF(EH385=INDEX('Lease Cycles'!$DK$30:$DQ$30,1,EH384),1-INDEX('Lease Cycles'!$DR$30:$DX$30,1,EH384),1))-IF(EH385=0,INDEX('Lease Cycles'!$DD$30:$DJ$30,1,EH384),0))),0)</f>
        <v>0</v>
      </c>
      <c r="EI391" s="28">
        <f>IF(EI386=1,IF(INDEX('Lease Cycles'!$EF$30:$EL$30,1,EI384)=1,0,EI387*(1-IF(EI385&lt;INDEX('Lease Cycles'!$DK$30:$DQ$30,1,EI384),0,IF(EI385=INDEX('Lease Cycles'!$DK$30:$DQ$30,1,EI384),1-INDEX('Lease Cycles'!$DR$30:$DX$30,1,EI384),1))-IF(EI385=0,INDEX('Lease Cycles'!$DD$30:$DJ$30,1,EI384),0))),0)</f>
        <v>0</v>
      </c>
      <c r="EJ391" s="28">
        <f>IF(EJ386=1,IF(INDEX('Lease Cycles'!$EF$30:$EL$30,1,EJ384)=1,0,EJ387*(1-IF(EJ385&lt;INDEX('Lease Cycles'!$DK$30:$DQ$30,1,EJ384),0,IF(EJ385=INDEX('Lease Cycles'!$DK$30:$DQ$30,1,EJ384),1-INDEX('Lease Cycles'!$DR$30:$DX$30,1,EJ384),1))-IF(EJ385=0,INDEX('Lease Cycles'!$DD$30:$DJ$30,1,EJ384),0))),0)</f>
        <v>0</v>
      </c>
      <c r="EK391" s="28">
        <f>IF(EK386=1,IF(INDEX('Lease Cycles'!$EF$30:$EL$30,1,EK384)=1,0,EK387*(1-IF(EK385&lt;INDEX('Lease Cycles'!$DK$30:$DQ$30,1,EK384),0,IF(EK385=INDEX('Lease Cycles'!$DK$30:$DQ$30,1,EK384),1-INDEX('Lease Cycles'!$DR$30:$DX$30,1,EK384),1))-IF(EK385=0,INDEX('Lease Cycles'!$DD$30:$DJ$30,1,EK384),0))),0)</f>
        <v>0</v>
      </c>
      <c r="EL391" s="28">
        <f>IF(EL386=1,IF(INDEX('Lease Cycles'!$EF$30:$EL$30,1,EL384)=1,0,EL387*(1-IF(EL385&lt;INDEX('Lease Cycles'!$DK$30:$DQ$30,1,EL384),0,IF(EL385=INDEX('Lease Cycles'!$DK$30:$DQ$30,1,EL384),1-INDEX('Lease Cycles'!$DR$30:$DX$30,1,EL384),1))-IF(EL385=0,INDEX('Lease Cycles'!$DD$30:$DJ$30,1,EL384),0))),0)</f>
        <v>0</v>
      </c>
      <c r="EM391" s="28">
        <f>IF(EM386=1,IF(INDEX('Lease Cycles'!$EF$30:$EL$30,1,EM384)=1,0,EM387*(1-IF(EM385&lt;INDEX('Lease Cycles'!$DK$30:$DQ$30,1,EM384),0,IF(EM385=INDEX('Lease Cycles'!$DK$30:$DQ$30,1,EM384),1-INDEX('Lease Cycles'!$DR$30:$DX$30,1,EM384),1))-IF(EM385=0,INDEX('Lease Cycles'!$DD$30:$DJ$30,1,EM384),0))),0)</f>
        <v>0</v>
      </c>
      <c r="EN391" s="28">
        <f>IF(EN386=1,IF(INDEX('Lease Cycles'!$EF$30:$EL$30,1,EN384)=1,0,EN387*(1-IF(EN385&lt;INDEX('Lease Cycles'!$DK$30:$DQ$30,1,EN384),0,IF(EN385=INDEX('Lease Cycles'!$DK$30:$DQ$30,1,EN384),1-INDEX('Lease Cycles'!$DR$30:$DX$30,1,EN384),1))-IF(EN385=0,INDEX('Lease Cycles'!$DD$30:$DJ$30,1,EN384),0))),0)</f>
        <v>0</v>
      </c>
      <c r="EO391" s="28">
        <f>IF(EO386=1,IF(INDEX('Lease Cycles'!$EF$30:$EL$30,1,EO384)=1,0,EO387*(1-IF(EO385&lt;INDEX('Lease Cycles'!$DK$30:$DQ$30,1,EO384),0,IF(EO385=INDEX('Lease Cycles'!$DK$30:$DQ$30,1,EO384),1-INDEX('Lease Cycles'!$DR$30:$DX$30,1,EO384),1))-IF(EO385=0,INDEX('Lease Cycles'!$DD$30:$DJ$30,1,EO384),0))),0)</f>
        <v>0</v>
      </c>
      <c r="EP391" s="28">
        <f>IF(EP386=1,IF(INDEX('Lease Cycles'!$EF$30:$EL$30,1,EP384)=1,0,EP387*(1-IF(EP385&lt;INDEX('Lease Cycles'!$DK$30:$DQ$30,1,EP384),0,IF(EP385=INDEX('Lease Cycles'!$DK$30:$DQ$30,1,EP384),1-INDEX('Lease Cycles'!$DR$30:$DX$30,1,EP384),1))-IF(EP385=0,INDEX('Lease Cycles'!$DD$30:$DJ$30,1,EP384),0))),0)</f>
        <v>0</v>
      </c>
      <c r="EQ391" s="28">
        <f>IF(EQ386=1,IF(INDEX('Lease Cycles'!$EF$30:$EL$30,1,EQ384)=1,0,EQ387*(1-IF(EQ385&lt;INDEX('Lease Cycles'!$DK$30:$DQ$30,1,EQ384),0,IF(EQ385=INDEX('Lease Cycles'!$DK$30:$DQ$30,1,EQ384),1-INDEX('Lease Cycles'!$DR$30:$DX$30,1,EQ384),1))-IF(EQ385=0,INDEX('Lease Cycles'!$DD$30:$DJ$30,1,EQ384),0))),0)</f>
        <v>0</v>
      </c>
      <c r="ER391" s="28">
        <f>IF(ER386=1,IF(INDEX('Lease Cycles'!$EF$30:$EL$30,1,ER384)=1,0,ER387*(1-IF(ER385&lt;INDEX('Lease Cycles'!$DK$30:$DQ$30,1,ER384),0,IF(ER385=INDEX('Lease Cycles'!$DK$30:$DQ$30,1,ER384),1-INDEX('Lease Cycles'!$DR$30:$DX$30,1,ER384),1))-IF(ER385=0,INDEX('Lease Cycles'!$DD$30:$DJ$30,1,ER384),0))),0)</f>
        <v>0</v>
      </c>
      <c r="ES391" s="28">
        <f>IF(ES386=1,IF(INDEX('Lease Cycles'!$EF$30:$EL$30,1,ES384)=1,0,ES387*(1-IF(ES385&lt;INDEX('Lease Cycles'!$DK$30:$DQ$30,1,ES384),0,IF(ES385=INDEX('Lease Cycles'!$DK$30:$DQ$30,1,ES384),1-INDEX('Lease Cycles'!$DR$30:$DX$30,1,ES384),1))-IF(ES385=0,INDEX('Lease Cycles'!$DD$30:$DJ$30,1,ES384),0))),0)</f>
        <v>0</v>
      </c>
      <c r="ET391" s="28">
        <f>IF(ET386=1,IF(INDEX('Lease Cycles'!$EF$30:$EL$30,1,ET384)=1,0,ET387*(1-IF(ET385&lt;INDEX('Lease Cycles'!$DK$30:$DQ$30,1,ET384),0,IF(ET385=INDEX('Lease Cycles'!$DK$30:$DQ$30,1,ET384),1-INDEX('Lease Cycles'!$DR$30:$DX$30,1,ET384),1))-IF(ET385=0,INDEX('Lease Cycles'!$DD$30:$DJ$30,1,ET384),0))),0)</f>
        <v>0</v>
      </c>
    </row>
    <row r="392">
      <c r="A392" s="103">
        <v>23</v>
      </c>
      <c r="B392" s="23" t="str">
        <f>IF('Lease Cycles'!$B$30="","(empty slot)",'Lease Cycles'!$B$30)</f>
        <v>(empty slot)</v>
      </c>
      <c r="C392" s="23" t="s">
        <v>683</v>
      </c>
      <c r="D392" s="104" t="s">
        <v>684</v>
      </c>
      <c r="E392" s="25">
        <f>'Lease Cycles'!$AL$30</f>
        <v>0</v>
      </c>
      <c r="G392" s="24">
        <f>SUM(S392:AD392)</f>
        <v>0</v>
      </c>
      <c r="H392" s="24">
        <f>SUM(AE392:AP392)</f>
        <v>0</v>
      </c>
      <c r="I392" s="24">
        <f>SUM(AQ392:BB392)</f>
        <v>0</v>
      </c>
      <c r="J392" s="24">
        <f>SUM(BC392:BN392)</f>
        <v>0</v>
      </c>
      <c r="K392" s="24">
        <f>SUM(BO392:BZ392)</f>
        <v>0</v>
      </c>
      <c r="L392" s="24">
        <f>SUM(CA392:CL392)</f>
        <v>0</v>
      </c>
      <c r="M392" s="24">
        <f>SUM(CM392:CX392)</f>
        <v>0</v>
      </c>
      <c r="N392" s="24">
        <f>SUM(CY392:DJ392)</f>
        <v>0</v>
      </c>
      <c r="O392" s="24">
        <f>SUM(DK392:DV392)</f>
        <v>0</v>
      </c>
      <c r="P392" s="24">
        <f>SUM(DW392:EH392)</f>
        <v>0</v>
      </c>
      <c r="Q392" s="24">
        <f>SUM(EI392:ET392)</f>
        <v>0</v>
      </c>
      <c r="S392" s="24">
        <f>IF(S386=1,'Lease Cycles'!$D$30*IF(INDEX('Lease Cycles'!$EF$30:$EL$30,1,S384)=1,(1-'Lease Cycles'!$AJ$30)*INDEX('Lease Cycles'!$EM$30:$ES$30,1,S384)+(1-'Lease Cycles'!$BE$30)*IF(S385&lt;INDEX('Lease Cycles'!$FA$30:$FG$30,1,S384),0,1-INDEX('Lease Cycles'!$EM$30:$ES$30,1,S384)),IF(OR(INDEX('Lease Cycles'!$DY$30:$EE$30,1,S384)=1,S385&gt;0),1,1-INDEX('Lease Cycles'!$DD$30:$DJ$30,1,S384))*((1-'Lease Cycles'!$AJ$30)*INDEX('Lease Cycles'!$FO$30:$FU$30,1,S384)+(1-'Lease Cycles'!$BE$30)*(1-INDEX('Lease Cycles'!$FO$30:$FU$30,1,S384)))),0)</f>
        <v>0</v>
      </c>
      <c r="T392" s="24">
        <f>IF(T386=1,'Lease Cycles'!$D$30*IF(INDEX('Lease Cycles'!$EF$30:$EL$30,1,T384)=1,(1-'Lease Cycles'!$AJ$30)*INDEX('Lease Cycles'!$EM$30:$ES$30,1,T384)+(1-'Lease Cycles'!$BE$30)*IF(T385&lt;INDEX('Lease Cycles'!$FA$30:$FG$30,1,T384),0,1-INDEX('Lease Cycles'!$EM$30:$ES$30,1,T384)),IF(OR(INDEX('Lease Cycles'!$DY$30:$EE$30,1,T384)=1,T385&gt;0),1,1-INDEX('Lease Cycles'!$DD$30:$DJ$30,1,T384))*((1-'Lease Cycles'!$AJ$30)*INDEX('Lease Cycles'!$FO$30:$FU$30,1,T384)+(1-'Lease Cycles'!$BE$30)*(1-INDEX('Lease Cycles'!$FO$30:$FU$30,1,T384)))),0)</f>
        <v>0</v>
      </c>
      <c r="U392" s="24">
        <f>IF(U386=1,'Lease Cycles'!$D$30*IF(INDEX('Lease Cycles'!$EF$30:$EL$30,1,U384)=1,(1-'Lease Cycles'!$AJ$30)*INDEX('Lease Cycles'!$EM$30:$ES$30,1,U384)+(1-'Lease Cycles'!$BE$30)*IF(U385&lt;INDEX('Lease Cycles'!$FA$30:$FG$30,1,U384),0,1-INDEX('Lease Cycles'!$EM$30:$ES$30,1,U384)),IF(OR(INDEX('Lease Cycles'!$DY$30:$EE$30,1,U384)=1,U385&gt;0),1,1-INDEX('Lease Cycles'!$DD$30:$DJ$30,1,U384))*((1-'Lease Cycles'!$AJ$30)*INDEX('Lease Cycles'!$FO$30:$FU$30,1,U384)+(1-'Lease Cycles'!$BE$30)*(1-INDEX('Lease Cycles'!$FO$30:$FU$30,1,U384)))),0)</f>
        <v>0</v>
      </c>
      <c r="V392" s="24">
        <f>IF(V386=1,'Lease Cycles'!$D$30*IF(INDEX('Lease Cycles'!$EF$30:$EL$30,1,V384)=1,(1-'Lease Cycles'!$AJ$30)*INDEX('Lease Cycles'!$EM$30:$ES$30,1,V384)+(1-'Lease Cycles'!$BE$30)*IF(V385&lt;INDEX('Lease Cycles'!$FA$30:$FG$30,1,V384),0,1-INDEX('Lease Cycles'!$EM$30:$ES$30,1,V384)),IF(OR(INDEX('Lease Cycles'!$DY$30:$EE$30,1,V384)=1,V385&gt;0),1,1-INDEX('Lease Cycles'!$DD$30:$DJ$30,1,V384))*((1-'Lease Cycles'!$AJ$30)*INDEX('Lease Cycles'!$FO$30:$FU$30,1,V384)+(1-'Lease Cycles'!$BE$30)*(1-INDEX('Lease Cycles'!$FO$30:$FU$30,1,V384)))),0)</f>
        <v>0</v>
      </c>
      <c r="W392" s="24">
        <f>IF(W386=1,'Lease Cycles'!$D$30*IF(INDEX('Lease Cycles'!$EF$30:$EL$30,1,W384)=1,(1-'Lease Cycles'!$AJ$30)*INDEX('Lease Cycles'!$EM$30:$ES$30,1,W384)+(1-'Lease Cycles'!$BE$30)*IF(W385&lt;INDEX('Lease Cycles'!$FA$30:$FG$30,1,W384),0,1-INDEX('Lease Cycles'!$EM$30:$ES$30,1,W384)),IF(OR(INDEX('Lease Cycles'!$DY$30:$EE$30,1,W384)=1,W385&gt;0),1,1-INDEX('Lease Cycles'!$DD$30:$DJ$30,1,W384))*((1-'Lease Cycles'!$AJ$30)*INDEX('Lease Cycles'!$FO$30:$FU$30,1,W384)+(1-'Lease Cycles'!$BE$30)*(1-INDEX('Lease Cycles'!$FO$30:$FU$30,1,W384)))),0)</f>
        <v>0</v>
      </c>
      <c r="X392" s="24">
        <f>IF(X386=1,'Lease Cycles'!$D$30*IF(INDEX('Lease Cycles'!$EF$30:$EL$30,1,X384)=1,(1-'Lease Cycles'!$AJ$30)*INDEX('Lease Cycles'!$EM$30:$ES$30,1,X384)+(1-'Lease Cycles'!$BE$30)*IF(X385&lt;INDEX('Lease Cycles'!$FA$30:$FG$30,1,X384),0,1-INDEX('Lease Cycles'!$EM$30:$ES$30,1,X384)),IF(OR(INDEX('Lease Cycles'!$DY$30:$EE$30,1,X384)=1,X385&gt;0),1,1-INDEX('Lease Cycles'!$DD$30:$DJ$30,1,X384))*((1-'Lease Cycles'!$AJ$30)*INDEX('Lease Cycles'!$FO$30:$FU$30,1,X384)+(1-'Lease Cycles'!$BE$30)*(1-INDEX('Lease Cycles'!$FO$30:$FU$30,1,X384)))),0)</f>
        <v>0</v>
      </c>
      <c r="Y392" s="24">
        <f>IF(Y386=1,'Lease Cycles'!$D$30*IF(INDEX('Lease Cycles'!$EF$30:$EL$30,1,Y384)=1,(1-'Lease Cycles'!$AJ$30)*INDEX('Lease Cycles'!$EM$30:$ES$30,1,Y384)+(1-'Lease Cycles'!$BE$30)*IF(Y385&lt;INDEX('Lease Cycles'!$FA$30:$FG$30,1,Y384),0,1-INDEX('Lease Cycles'!$EM$30:$ES$30,1,Y384)),IF(OR(INDEX('Lease Cycles'!$DY$30:$EE$30,1,Y384)=1,Y385&gt;0),1,1-INDEX('Lease Cycles'!$DD$30:$DJ$30,1,Y384))*((1-'Lease Cycles'!$AJ$30)*INDEX('Lease Cycles'!$FO$30:$FU$30,1,Y384)+(1-'Lease Cycles'!$BE$30)*(1-INDEX('Lease Cycles'!$FO$30:$FU$30,1,Y384)))),0)</f>
        <v>0</v>
      </c>
      <c r="Z392" s="24">
        <f>IF(Z386=1,'Lease Cycles'!$D$30*IF(INDEX('Lease Cycles'!$EF$30:$EL$30,1,Z384)=1,(1-'Lease Cycles'!$AJ$30)*INDEX('Lease Cycles'!$EM$30:$ES$30,1,Z384)+(1-'Lease Cycles'!$BE$30)*IF(Z385&lt;INDEX('Lease Cycles'!$FA$30:$FG$30,1,Z384),0,1-INDEX('Lease Cycles'!$EM$30:$ES$30,1,Z384)),IF(OR(INDEX('Lease Cycles'!$DY$30:$EE$30,1,Z384)=1,Z385&gt;0),1,1-INDEX('Lease Cycles'!$DD$30:$DJ$30,1,Z384))*((1-'Lease Cycles'!$AJ$30)*INDEX('Lease Cycles'!$FO$30:$FU$30,1,Z384)+(1-'Lease Cycles'!$BE$30)*(1-INDEX('Lease Cycles'!$FO$30:$FU$30,1,Z384)))),0)</f>
        <v>0</v>
      </c>
      <c r="AA392" s="24">
        <f>IF(AA386=1,'Lease Cycles'!$D$30*IF(INDEX('Lease Cycles'!$EF$30:$EL$30,1,AA384)=1,(1-'Lease Cycles'!$AJ$30)*INDEX('Lease Cycles'!$EM$30:$ES$30,1,AA384)+(1-'Lease Cycles'!$BE$30)*IF(AA385&lt;INDEX('Lease Cycles'!$FA$30:$FG$30,1,AA384),0,1-INDEX('Lease Cycles'!$EM$30:$ES$30,1,AA384)),IF(OR(INDEX('Lease Cycles'!$DY$30:$EE$30,1,AA384)=1,AA385&gt;0),1,1-INDEX('Lease Cycles'!$DD$30:$DJ$30,1,AA384))*((1-'Lease Cycles'!$AJ$30)*INDEX('Lease Cycles'!$FO$30:$FU$30,1,AA384)+(1-'Lease Cycles'!$BE$30)*(1-INDEX('Lease Cycles'!$FO$30:$FU$30,1,AA384)))),0)</f>
        <v>0</v>
      </c>
      <c r="AB392" s="24">
        <f>IF(AB386=1,'Lease Cycles'!$D$30*IF(INDEX('Lease Cycles'!$EF$30:$EL$30,1,AB384)=1,(1-'Lease Cycles'!$AJ$30)*INDEX('Lease Cycles'!$EM$30:$ES$30,1,AB384)+(1-'Lease Cycles'!$BE$30)*IF(AB385&lt;INDEX('Lease Cycles'!$FA$30:$FG$30,1,AB384),0,1-INDEX('Lease Cycles'!$EM$30:$ES$30,1,AB384)),IF(OR(INDEX('Lease Cycles'!$DY$30:$EE$30,1,AB384)=1,AB385&gt;0),1,1-INDEX('Lease Cycles'!$DD$30:$DJ$30,1,AB384))*((1-'Lease Cycles'!$AJ$30)*INDEX('Lease Cycles'!$FO$30:$FU$30,1,AB384)+(1-'Lease Cycles'!$BE$30)*(1-INDEX('Lease Cycles'!$FO$30:$FU$30,1,AB384)))),0)</f>
        <v>0</v>
      </c>
      <c r="AC392" s="24">
        <f>IF(AC386=1,'Lease Cycles'!$D$30*IF(INDEX('Lease Cycles'!$EF$30:$EL$30,1,AC384)=1,(1-'Lease Cycles'!$AJ$30)*INDEX('Lease Cycles'!$EM$30:$ES$30,1,AC384)+(1-'Lease Cycles'!$BE$30)*IF(AC385&lt;INDEX('Lease Cycles'!$FA$30:$FG$30,1,AC384),0,1-INDEX('Lease Cycles'!$EM$30:$ES$30,1,AC384)),IF(OR(INDEX('Lease Cycles'!$DY$30:$EE$30,1,AC384)=1,AC385&gt;0),1,1-INDEX('Lease Cycles'!$DD$30:$DJ$30,1,AC384))*((1-'Lease Cycles'!$AJ$30)*INDEX('Lease Cycles'!$FO$30:$FU$30,1,AC384)+(1-'Lease Cycles'!$BE$30)*(1-INDEX('Lease Cycles'!$FO$30:$FU$30,1,AC384)))),0)</f>
        <v>0</v>
      </c>
      <c r="AD392" s="24">
        <f>IF(AD386=1,'Lease Cycles'!$D$30*IF(INDEX('Lease Cycles'!$EF$30:$EL$30,1,AD384)=1,(1-'Lease Cycles'!$AJ$30)*INDEX('Lease Cycles'!$EM$30:$ES$30,1,AD384)+(1-'Lease Cycles'!$BE$30)*IF(AD385&lt;INDEX('Lease Cycles'!$FA$30:$FG$30,1,AD384),0,1-INDEX('Lease Cycles'!$EM$30:$ES$30,1,AD384)),IF(OR(INDEX('Lease Cycles'!$DY$30:$EE$30,1,AD384)=1,AD385&gt;0),1,1-INDEX('Lease Cycles'!$DD$30:$DJ$30,1,AD384))*((1-'Lease Cycles'!$AJ$30)*INDEX('Lease Cycles'!$FO$30:$FU$30,1,AD384)+(1-'Lease Cycles'!$BE$30)*(1-INDEX('Lease Cycles'!$FO$30:$FU$30,1,AD384)))),0)</f>
        <v>0</v>
      </c>
      <c r="AE392" s="24">
        <f>IF(AE386=1,'Lease Cycles'!$D$30*IF(INDEX('Lease Cycles'!$EF$30:$EL$30,1,AE384)=1,(1-'Lease Cycles'!$AJ$30)*INDEX('Lease Cycles'!$EM$30:$ES$30,1,AE384)+(1-'Lease Cycles'!$BE$30)*IF(AE385&lt;INDEX('Lease Cycles'!$FA$30:$FG$30,1,AE384),0,1-INDEX('Lease Cycles'!$EM$30:$ES$30,1,AE384)),IF(OR(INDEX('Lease Cycles'!$DY$30:$EE$30,1,AE384)=1,AE385&gt;0),1,1-INDEX('Lease Cycles'!$DD$30:$DJ$30,1,AE384))*((1-'Lease Cycles'!$AJ$30)*INDEX('Lease Cycles'!$FO$30:$FU$30,1,AE384)+(1-'Lease Cycles'!$BE$30)*(1-INDEX('Lease Cycles'!$FO$30:$FU$30,1,AE384)))),0)</f>
        <v>0</v>
      </c>
      <c r="AF392" s="24">
        <f>IF(AF386=1,'Lease Cycles'!$D$30*IF(INDEX('Lease Cycles'!$EF$30:$EL$30,1,AF384)=1,(1-'Lease Cycles'!$AJ$30)*INDEX('Lease Cycles'!$EM$30:$ES$30,1,AF384)+(1-'Lease Cycles'!$BE$30)*IF(AF385&lt;INDEX('Lease Cycles'!$FA$30:$FG$30,1,AF384),0,1-INDEX('Lease Cycles'!$EM$30:$ES$30,1,AF384)),IF(OR(INDEX('Lease Cycles'!$DY$30:$EE$30,1,AF384)=1,AF385&gt;0),1,1-INDEX('Lease Cycles'!$DD$30:$DJ$30,1,AF384))*((1-'Lease Cycles'!$AJ$30)*INDEX('Lease Cycles'!$FO$30:$FU$30,1,AF384)+(1-'Lease Cycles'!$BE$30)*(1-INDEX('Lease Cycles'!$FO$30:$FU$30,1,AF384)))),0)</f>
        <v>0</v>
      </c>
      <c r="AG392" s="24">
        <f>IF(AG386=1,'Lease Cycles'!$D$30*IF(INDEX('Lease Cycles'!$EF$30:$EL$30,1,AG384)=1,(1-'Lease Cycles'!$AJ$30)*INDEX('Lease Cycles'!$EM$30:$ES$30,1,AG384)+(1-'Lease Cycles'!$BE$30)*IF(AG385&lt;INDEX('Lease Cycles'!$FA$30:$FG$30,1,AG384),0,1-INDEX('Lease Cycles'!$EM$30:$ES$30,1,AG384)),IF(OR(INDEX('Lease Cycles'!$DY$30:$EE$30,1,AG384)=1,AG385&gt;0),1,1-INDEX('Lease Cycles'!$DD$30:$DJ$30,1,AG384))*((1-'Lease Cycles'!$AJ$30)*INDEX('Lease Cycles'!$FO$30:$FU$30,1,AG384)+(1-'Lease Cycles'!$BE$30)*(1-INDEX('Lease Cycles'!$FO$30:$FU$30,1,AG384)))),0)</f>
        <v>0</v>
      </c>
      <c r="AH392" s="24">
        <f>IF(AH386=1,'Lease Cycles'!$D$30*IF(INDEX('Lease Cycles'!$EF$30:$EL$30,1,AH384)=1,(1-'Lease Cycles'!$AJ$30)*INDEX('Lease Cycles'!$EM$30:$ES$30,1,AH384)+(1-'Lease Cycles'!$BE$30)*IF(AH385&lt;INDEX('Lease Cycles'!$FA$30:$FG$30,1,AH384),0,1-INDEX('Lease Cycles'!$EM$30:$ES$30,1,AH384)),IF(OR(INDEX('Lease Cycles'!$DY$30:$EE$30,1,AH384)=1,AH385&gt;0),1,1-INDEX('Lease Cycles'!$DD$30:$DJ$30,1,AH384))*((1-'Lease Cycles'!$AJ$30)*INDEX('Lease Cycles'!$FO$30:$FU$30,1,AH384)+(1-'Lease Cycles'!$BE$30)*(1-INDEX('Lease Cycles'!$FO$30:$FU$30,1,AH384)))),0)</f>
        <v>0</v>
      </c>
      <c r="AI392" s="24">
        <f>IF(AI386=1,'Lease Cycles'!$D$30*IF(INDEX('Lease Cycles'!$EF$30:$EL$30,1,AI384)=1,(1-'Lease Cycles'!$AJ$30)*INDEX('Lease Cycles'!$EM$30:$ES$30,1,AI384)+(1-'Lease Cycles'!$BE$30)*IF(AI385&lt;INDEX('Lease Cycles'!$FA$30:$FG$30,1,AI384),0,1-INDEX('Lease Cycles'!$EM$30:$ES$30,1,AI384)),IF(OR(INDEX('Lease Cycles'!$DY$30:$EE$30,1,AI384)=1,AI385&gt;0),1,1-INDEX('Lease Cycles'!$DD$30:$DJ$30,1,AI384))*((1-'Lease Cycles'!$AJ$30)*INDEX('Lease Cycles'!$FO$30:$FU$30,1,AI384)+(1-'Lease Cycles'!$BE$30)*(1-INDEX('Lease Cycles'!$FO$30:$FU$30,1,AI384)))),0)</f>
        <v>0</v>
      </c>
      <c r="AJ392" s="24">
        <f>IF(AJ386=1,'Lease Cycles'!$D$30*IF(INDEX('Lease Cycles'!$EF$30:$EL$30,1,AJ384)=1,(1-'Lease Cycles'!$AJ$30)*INDEX('Lease Cycles'!$EM$30:$ES$30,1,AJ384)+(1-'Lease Cycles'!$BE$30)*IF(AJ385&lt;INDEX('Lease Cycles'!$FA$30:$FG$30,1,AJ384),0,1-INDEX('Lease Cycles'!$EM$30:$ES$30,1,AJ384)),IF(OR(INDEX('Lease Cycles'!$DY$30:$EE$30,1,AJ384)=1,AJ385&gt;0),1,1-INDEX('Lease Cycles'!$DD$30:$DJ$30,1,AJ384))*((1-'Lease Cycles'!$AJ$30)*INDEX('Lease Cycles'!$FO$30:$FU$30,1,AJ384)+(1-'Lease Cycles'!$BE$30)*(1-INDEX('Lease Cycles'!$FO$30:$FU$30,1,AJ384)))),0)</f>
        <v>0</v>
      </c>
      <c r="AK392" s="24">
        <f>IF(AK386=1,'Lease Cycles'!$D$30*IF(INDEX('Lease Cycles'!$EF$30:$EL$30,1,AK384)=1,(1-'Lease Cycles'!$AJ$30)*INDEX('Lease Cycles'!$EM$30:$ES$30,1,AK384)+(1-'Lease Cycles'!$BE$30)*IF(AK385&lt;INDEX('Lease Cycles'!$FA$30:$FG$30,1,AK384),0,1-INDEX('Lease Cycles'!$EM$30:$ES$30,1,AK384)),IF(OR(INDEX('Lease Cycles'!$DY$30:$EE$30,1,AK384)=1,AK385&gt;0),1,1-INDEX('Lease Cycles'!$DD$30:$DJ$30,1,AK384))*((1-'Lease Cycles'!$AJ$30)*INDEX('Lease Cycles'!$FO$30:$FU$30,1,AK384)+(1-'Lease Cycles'!$BE$30)*(1-INDEX('Lease Cycles'!$FO$30:$FU$30,1,AK384)))),0)</f>
        <v>0</v>
      </c>
      <c r="AL392" s="24">
        <f>IF(AL386=1,'Lease Cycles'!$D$30*IF(INDEX('Lease Cycles'!$EF$30:$EL$30,1,AL384)=1,(1-'Lease Cycles'!$AJ$30)*INDEX('Lease Cycles'!$EM$30:$ES$30,1,AL384)+(1-'Lease Cycles'!$BE$30)*IF(AL385&lt;INDEX('Lease Cycles'!$FA$30:$FG$30,1,AL384),0,1-INDEX('Lease Cycles'!$EM$30:$ES$30,1,AL384)),IF(OR(INDEX('Lease Cycles'!$DY$30:$EE$30,1,AL384)=1,AL385&gt;0),1,1-INDEX('Lease Cycles'!$DD$30:$DJ$30,1,AL384))*((1-'Lease Cycles'!$AJ$30)*INDEX('Lease Cycles'!$FO$30:$FU$30,1,AL384)+(1-'Lease Cycles'!$BE$30)*(1-INDEX('Lease Cycles'!$FO$30:$FU$30,1,AL384)))),0)</f>
        <v>0</v>
      </c>
      <c r="AM392" s="24">
        <f>IF(AM386=1,'Lease Cycles'!$D$30*IF(INDEX('Lease Cycles'!$EF$30:$EL$30,1,AM384)=1,(1-'Lease Cycles'!$AJ$30)*INDEX('Lease Cycles'!$EM$30:$ES$30,1,AM384)+(1-'Lease Cycles'!$BE$30)*IF(AM385&lt;INDEX('Lease Cycles'!$FA$30:$FG$30,1,AM384),0,1-INDEX('Lease Cycles'!$EM$30:$ES$30,1,AM384)),IF(OR(INDEX('Lease Cycles'!$DY$30:$EE$30,1,AM384)=1,AM385&gt;0),1,1-INDEX('Lease Cycles'!$DD$30:$DJ$30,1,AM384))*((1-'Lease Cycles'!$AJ$30)*INDEX('Lease Cycles'!$FO$30:$FU$30,1,AM384)+(1-'Lease Cycles'!$BE$30)*(1-INDEX('Lease Cycles'!$FO$30:$FU$30,1,AM384)))),0)</f>
        <v>0</v>
      </c>
      <c r="AN392" s="24">
        <f>IF(AN386=1,'Lease Cycles'!$D$30*IF(INDEX('Lease Cycles'!$EF$30:$EL$30,1,AN384)=1,(1-'Lease Cycles'!$AJ$30)*INDEX('Lease Cycles'!$EM$30:$ES$30,1,AN384)+(1-'Lease Cycles'!$BE$30)*IF(AN385&lt;INDEX('Lease Cycles'!$FA$30:$FG$30,1,AN384),0,1-INDEX('Lease Cycles'!$EM$30:$ES$30,1,AN384)),IF(OR(INDEX('Lease Cycles'!$DY$30:$EE$30,1,AN384)=1,AN385&gt;0),1,1-INDEX('Lease Cycles'!$DD$30:$DJ$30,1,AN384))*((1-'Lease Cycles'!$AJ$30)*INDEX('Lease Cycles'!$FO$30:$FU$30,1,AN384)+(1-'Lease Cycles'!$BE$30)*(1-INDEX('Lease Cycles'!$FO$30:$FU$30,1,AN384)))),0)</f>
        <v>0</v>
      </c>
      <c r="AO392" s="24">
        <f>IF(AO386=1,'Lease Cycles'!$D$30*IF(INDEX('Lease Cycles'!$EF$30:$EL$30,1,AO384)=1,(1-'Lease Cycles'!$AJ$30)*INDEX('Lease Cycles'!$EM$30:$ES$30,1,AO384)+(1-'Lease Cycles'!$BE$30)*IF(AO385&lt;INDEX('Lease Cycles'!$FA$30:$FG$30,1,AO384),0,1-INDEX('Lease Cycles'!$EM$30:$ES$30,1,AO384)),IF(OR(INDEX('Lease Cycles'!$DY$30:$EE$30,1,AO384)=1,AO385&gt;0),1,1-INDEX('Lease Cycles'!$DD$30:$DJ$30,1,AO384))*((1-'Lease Cycles'!$AJ$30)*INDEX('Lease Cycles'!$FO$30:$FU$30,1,AO384)+(1-'Lease Cycles'!$BE$30)*(1-INDEX('Lease Cycles'!$FO$30:$FU$30,1,AO384)))),0)</f>
        <v>0</v>
      </c>
      <c r="AP392" s="24">
        <f>IF(AP386=1,'Lease Cycles'!$D$30*IF(INDEX('Lease Cycles'!$EF$30:$EL$30,1,AP384)=1,(1-'Lease Cycles'!$AJ$30)*INDEX('Lease Cycles'!$EM$30:$ES$30,1,AP384)+(1-'Lease Cycles'!$BE$30)*IF(AP385&lt;INDEX('Lease Cycles'!$FA$30:$FG$30,1,AP384),0,1-INDEX('Lease Cycles'!$EM$30:$ES$30,1,AP384)),IF(OR(INDEX('Lease Cycles'!$DY$30:$EE$30,1,AP384)=1,AP385&gt;0),1,1-INDEX('Lease Cycles'!$DD$30:$DJ$30,1,AP384))*((1-'Lease Cycles'!$AJ$30)*INDEX('Lease Cycles'!$FO$30:$FU$30,1,AP384)+(1-'Lease Cycles'!$BE$30)*(1-INDEX('Lease Cycles'!$FO$30:$FU$30,1,AP384)))),0)</f>
        <v>0</v>
      </c>
      <c r="AQ392" s="24">
        <f>IF(AQ386=1,'Lease Cycles'!$D$30*IF(INDEX('Lease Cycles'!$EF$30:$EL$30,1,AQ384)=1,(1-'Lease Cycles'!$AJ$30)*INDEX('Lease Cycles'!$EM$30:$ES$30,1,AQ384)+(1-'Lease Cycles'!$BE$30)*IF(AQ385&lt;INDEX('Lease Cycles'!$FA$30:$FG$30,1,AQ384),0,1-INDEX('Lease Cycles'!$EM$30:$ES$30,1,AQ384)),IF(OR(INDEX('Lease Cycles'!$DY$30:$EE$30,1,AQ384)=1,AQ385&gt;0),1,1-INDEX('Lease Cycles'!$DD$30:$DJ$30,1,AQ384))*((1-'Lease Cycles'!$AJ$30)*INDEX('Lease Cycles'!$FO$30:$FU$30,1,AQ384)+(1-'Lease Cycles'!$BE$30)*(1-INDEX('Lease Cycles'!$FO$30:$FU$30,1,AQ384)))),0)</f>
        <v>0</v>
      </c>
      <c r="AR392" s="24">
        <f>IF(AR386=1,'Lease Cycles'!$D$30*IF(INDEX('Lease Cycles'!$EF$30:$EL$30,1,AR384)=1,(1-'Lease Cycles'!$AJ$30)*INDEX('Lease Cycles'!$EM$30:$ES$30,1,AR384)+(1-'Lease Cycles'!$BE$30)*IF(AR385&lt;INDEX('Lease Cycles'!$FA$30:$FG$30,1,AR384),0,1-INDEX('Lease Cycles'!$EM$30:$ES$30,1,AR384)),IF(OR(INDEX('Lease Cycles'!$DY$30:$EE$30,1,AR384)=1,AR385&gt;0),1,1-INDEX('Lease Cycles'!$DD$30:$DJ$30,1,AR384))*((1-'Lease Cycles'!$AJ$30)*INDEX('Lease Cycles'!$FO$30:$FU$30,1,AR384)+(1-'Lease Cycles'!$BE$30)*(1-INDEX('Lease Cycles'!$FO$30:$FU$30,1,AR384)))),0)</f>
        <v>0</v>
      </c>
      <c r="AS392" s="24">
        <f>IF(AS386=1,'Lease Cycles'!$D$30*IF(INDEX('Lease Cycles'!$EF$30:$EL$30,1,AS384)=1,(1-'Lease Cycles'!$AJ$30)*INDEX('Lease Cycles'!$EM$30:$ES$30,1,AS384)+(1-'Lease Cycles'!$BE$30)*IF(AS385&lt;INDEX('Lease Cycles'!$FA$30:$FG$30,1,AS384),0,1-INDEX('Lease Cycles'!$EM$30:$ES$30,1,AS384)),IF(OR(INDEX('Lease Cycles'!$DY$30:$EE$30,1,AS384)=1,AS385&gt;0),1,1-INDEX('Lease Cycles'!$DD$30:$DJ$30,1,AS384))*((1-'Lease Cycles'!$AJ$30)*INDEX('Lease Cycles'!$FO$30:$FU$30,1,AS384)+(1-'Lease Cycles'!$BE$30)*(1-INDEX('Lease Cycles'!$FO$30:$FU$30,1,AS384)))),0)</f>
        <v>0</v>
      </c>
      <c r="AT392" s="24">
        <f>IF(AT386=1,'Lease Cycles'!$D$30*IF(INDEX('Lease Cycles'!$EF$30:$EL$30,1,AT384)=1,(1-'Lease Cycles'!$AJ$30)*INDEX('Lease Cycles'!$EM$30:$ES$30,1,AT384)+(1-'Lease Cycles'!$BE$30)*IF(AT385&lt;INDEX('Lease Cycles'!$FA$30:$FG$30,1,AT384),0,1-INDEX('Lease Cycles'!$EM$30:$ES$30,1,AT384)),IF(OR(INDEX('Lease Cycles'!$DY$30:$EE$30,1,AT384)=1,AT385&gt;0),1,1-INDEX('Lease Cycles'!$DD$30:$DJ$30,1,AT384))*((1-'Lease Cycles'!$AJ$30)*INDEX('Lease Cycles'!$FO$30:$FU$30,1,AT384)+(1-'Lease Cycles'!$BE$30)*(1-INDEX('Lease Cycles'!$FO$30:$FU$30,1,AT384)))),0)</f>
        <v>0</v>
      </c>
      <c r="AU392" s="24">
        <f>IF(AU386=1,'Lease Cycles'!$D$30*IF(INDEX('Lease Cycles'!$EF$30:$EL$30,1,AU384)=1,(1-'Lease Cycles'!$AJ$30)*INDEX('Lease Cycles'!$EM$30:$ES$30,1,AU384)+(1-'Lease Cycles'!$BE$30)*IF(AU385&lt;INDEX('Lease Cycles'!$FA$30:$FG$30,1,AU384),0,1-INDEX('Lease Cycles'!$EM$30:$ES$30,1,AU384)),IF(OR(INDEX('Lease Cycles'!$DY$30:$EE$30,1,AU384)=1,AU385&gt;0),1,1-INDEX('Lease Cycles'!$DD$30:$DJ$30,1,AU384))*((1-'Lease Cycles'!$AJ$30)*INDEX('Lease Cycles'!$FO$30:$FU$30,1,AU384)+(1-'Lease Cycles'!$BE$30)*(1-INDEX('Lease Cycles'!$FO$30:$FU$30,1,AU384)))),0)</f>
        <v>0</v>
      </c>
      <c r="AV392" s="24">
        <f>IF(AV386=1,'Lease Cycles'!$D$30*IF(INDEX('Lease Cycles'!$EF$30:$EL$30,1,AV384)=1,(1-'Lease Cycles'!$AJ$30)*INDEX('Lease Cycles'!$EM$30:$ES$30,1,AV384)+(1-'Lease Cycles'!$BE$30)*IF(AV385&lt;INDEX('Lease Cycles'!$FA$30:$FG$30,1,AV384),0,1-INDEX('Lease Cycles'!$EM$30:$ES$30,1,AV384)),IF(OR(INDEX('Lease Cycles'!$DY$30:$EE$30,1,AV384)=1,AV385&gt;0),1,1-INDEX('Lease Cycles'!$DD$30:$DJ$30,1,AV384))*((1-'Lease Cycles'!$AJ$30)*INDEX('Lease Cycles'!$FO$30:$FU$30,1,AV384)+(1-'Lease Cycles'!$BE$30)*(1-INDEX('Lease Cycles'!$FO$30:$FU$30,1,AV384)))),0)</f>
        <v>0</v>
      </c>
      <c r="AW392" s="24">
        <f>IF(AW386=1,'Lease Cycles'!$D$30*IF(INDEX('Lease Cycles'!$EF$30:$EL$30,1,AW384)=1,(1-'Lease Cycles'!$AJ$30)*INDEX('Lease Cycles'!$EM$30:$ES$30,1,AW384)+(1-'Lease Cycles'!$BE$30)*IF(AW385&lt;INDEX('Lease Cycles'!$FA$30:$FG$30,1,AW384),0,1-INDEX('Lease Cycles'!$EM$30:$ES$30,1,AW384)),IF(OR(INDEX('Lease Cycles'!$DY$30:$EE$30,1,AW384)=1,AW385&gt;0),1,1-INDEX('Lease Cycles'!$DD$30:$DJ$30,1,AW384))*((1-'Lease Cycles'!$AJ$30)*INDEX('Lease Cycles'!$FO$30:$FU$30,1,AW384)+(1-'Lease Cycles'!$BE$30)*(1-INDEX('Lease Cycles'!$FO$30:$FU$30,1,AW384)))),0)</f>
        <v>0</v>
      </c>
      <c r="AX392" s="24">
        <f>IF(AX386=1,'Lease Cycles'!$D$30*IF(INDEX('Lease Cycles'!$EF$30:$EL$30,1,AX384)=1,(1-'Lease Cycles'!$AJ$30)*INDEX('Lease Cycles'!$EM$30:$ES$30,1,AX384)+(1-'Lease Cycles'!$BE$30)*IF(AX385&lt;INDEX('Lease Cycles'!$FA$30:$FG$30,1,AX384),0,1-INDEX('Lease Cycles'!$EM$30:$ES$30,1,AX384)),IF(OR(INDEX('Lease Cycles'!$DY$30:$EE$30,1,AX384)=1,AX385&gt;0),1,1-INDEX('Lease Cycles'!$DD$30:$DJ$30,1,AX384))*((1-'Lease Cycles'!$AJ$30)*INDEX('Lease Cycles'!$FO$30:$FU$30,1,AX384)+(1-'Lease Cycles'!$BE$30)*(1-INDEX('Lease Cycles'!$FO$30:$FU$30,1,AX384)))),0)</f>
        <v>0</v>
      </c>
      <c r="AY392" s="24">
        <f>IF(AY386=1,'Lease Cycles'!$D$30*IF(INDEX('Lease Cycles'!$EF$30:$EL$30,1,AY384)=1,(1-'Lease Cycles'!$AJ$30)*INDEX('Lease Cycles'!$EM$30:$ES$30,1,AY384)+(1-'Lease Cycles'!$BE$30)*IF(AY385&lt;INDEX('Lease Cycles'!$FA$30:$FG$30,1,AY384),0,1-INDEX('Lease Cycles'!$EM$30:$ES$30,1,AY384)),IF(OR(INDEX('Lease Cycles'!$DY$30:$EE$30,1,AY384)=1,AY385&gt;0),1,1-INDEX('Lease Cycles'!$DD$30:$DJ$30,1,AY384))*((1-'Lease Cycles'!$AJ$30)*INDEX('Lease Cycles'!$FO$30:$FU$30,1,AY384)+(1-'Lease Cycles'!$BE$30)*(1-INDEX('Lease Cycles'!$FO$30:$FU$30,1,AY384)))),0)</f>
        <v>0</v>
      </c>
      <c r="AZ392" s="24">
        <f>IF(AZ386=1,'Lease Cycles'!$D$30*IF(INDEX('Lease Cycles'!$EF$30:$EL$30,1,AZ384)=1,(1-'Lease Cycles'!$AJ$30)*INDEX('Lease Cycles'!$EM$30:$ES$30,1,AZ384)+(1-'Lease Cycles'!$BE$30)*IF(AZ385&lt;INDEX('Lease Cycles'!$FA$30:$FG$30,1,AZ384),0,1-INDEX('Lease Cycles'!$EM$30:$ES$30,1,AZ384)),IF(OR(INDEX('Lease Cycles'!$DY$30:$EE$30,1,AZ384)=1,AZ385&gt;0),1,1-INDEX('Lease Cycles'!$DD$30:$DJ$30,1,AZ384))*((1-'Lease Cycles'!$AJ$30)*INDEX('Lease Cycles'!$FO$30:$FU$30,1,AZ384)+(1-'Lease Cycles'!$BE$30)*(1-INDEX('Lease Cycles'!$FO$30:$FU$30,1,AZ384)))),0)</f>
        <v>0</v>
      </c>
      <c r="BA392" s="24">
        <f>IF(BA386=1,'Lease Cycles'!$D$30*IF(INDEX('Lease Cycles'!$EF$30:$EL$30,1,BA384)=1,(1-'Lease Cycles'!$AJ$30)*INDEX('Lease Cycles'!$EM$30:$ES$30,1,BA384)+(1-'Lease Cycles'!$BE$30)*IF(BA385&lt;INDEX('Lease Cycles'!$FA$30:$FG$30,1,BA384),0,1-INDEX('Lease Cycles'!$EM$30:$ES$30,1,BA384)),IF(OR(INDEX('Lease Cycles'!$DY$30:$EE$30,1,BA384)=1,BA385&gt;0),1,1-INDEX('Lease Cycles'!$DD$30:$DJ$30,1,BA384))*((1-'Lease Cycles'!$AJ$30)*INDEX('Lease Cycles'!$FO$30:$FU$30,1,BA384)+(1-'Lease Cycles'!$BE$30)*(1-INDEX('Lease Cycles'!$FO$30:$FU$30,1,BA384)))),0)</f>
        <v>0</v>
      </c>
      <c r="BB392" s="24">
        <f>IF(BB386=1,'Lease Cycles'!$D$30*IF(INDEX('Lease Cycles'!$EF$30:$EL$30,1,BB384)=1,(1-'Lease Cycles'!$AJ$30)*INDEX('Lease Cycles'!$EM$30:$ES$30,1,BB384)+(1-'Lease Cycles'!$BE$30)*IF(BB385&lt;INDEX('Lease Cycles'!$FA$30:$FG$30,1,BB384),0,1-INDEX('Lease Cycles'!$EM$30:$ES$30,1,BB384)),IF(OR(INDEX('Lease Cycles'!$DY$30:$EE$30,1,BB384)=1,BB385&gt;0),1,1-INDEX('Lease Cycles'!$DD$30:$DJ$30,1,BB384))*((1-'Lease Cycles'!$AJ$30)*INDEX('Lease Cycles'!$FO$30:$FU$30,1,BB384)+(1-'Lease Cycles'!$BE$30)*(1-INDEX('Lease Cycles'!$FO$30:$FU$30,1,BB384)))),0)</f>
        <v>0</v>
      </c>
      <c r="BC392" s="24">
        <f>IF(BC386=1,'Lease Cycles'!$D$30*IF(INDEX('Lease Cycles'!$EF$30:$EL$30,1,BC384)=1,(1-'Lease Cycles'!$AJ$30)*INDEX('Lease Cycles'!$EM$30:$ES$30,1,BC384)+(1-'Lease Cycles'!$BE$30)*IF(BC385&lt;INDEX('Lease Cycles'!$FA$30:$FG$30,1,BC384),0,1-INDEX('Lease Cycles'!$EM$30:$ES$30,1,BC384)),IF(OR(INDEX('Lease Cycles'!$DY$30:$EE$30,1,BC384)=1,BC385&gt;0),1,1-INDEX('Lease Cycles'!$DD$30:$DJ$30,1,BC384))*((1-'Lease Cycles'!$AJ$30)*INDEX('Lease Cycles'!$FO$30:$FU$30,1,BC384)+(1-'Lease Cycles'!$BE$30)*(1-INDEX('Lease Cycles'!$FO$30:$FU$30,1,BC384)))),0)</f>
        <v>0</v>
      </c>
      <c r="BD392" s="24">
        <f>IF(BD386=1,'Lease Cycles'!$D$30*IF(INDEX('Lease Cycles'!$EF$30:$EL$30,1,BD384)=1,(1-'Lease Cycles'!$AJ$30)*INDEX('Lease Cycles'!$EM$30:$ES$30,1,BD384)+(1-'Lease Cycles'!$BE$30)*IF(BD385&lt;INDEX('Lease Cycles'!$FA$30:$FG$30,1,BD384),0,1-INDEX('Lease Cycles'!$EM$30:$ES$30,1,BD384)),IF(OR(INDEX('Lease Cycles'!$DY$30:$EE$30,1,BD384)=1,BD385&gt;0),1,1-INDEX('Lease Cycles'!$DD$30:$DJ$30,1,BD384))*((1-'Lease Cycles'!$AJ$30)*INDEX('Lease Cycles'!$FO$30:$FU$30,1,BD384)+(1-'Lease Cycles'!$BE$30)*(1-INDEX('Lease Cycles'!$FO$30:$FU$30,1,BD384)))),0)</f>
        <v>0</v>
      </c>
      <c r="BE392" s="24">
        <f>IF(BE386=1,'Lease Cycles'!$D$30*IF(INDEX('Lease Cycles'!$EF$30:$EL$30,1,BE384)=1,(1-'Lease Cycles'!$AJ$30)*INDEX('Lease Cycles'!$EM$30:$ES$30,1,BE384)+(1-'Lease Cycles'!$BE$30)*IF(BE385&lt;INDEX('Lease Cycles'!$FA$30:$FG$30,1,BE384),0,1-INDEX('Lease Cycles'!$EM$30:$ES$30,1,BE384)),IF(OR(INDEX('Lease Cycles'!$DY$30:$EE$30,1,BE384)=1,BE385&gt;0),1,1-INDEX('Lease Cycles'!$DD$30:$DJ$30,1,BE384))*((1-'Lease Cycles'!$AJ$30)*INDEX('Lease Cycles'!$FO$30:$FU$30,1,BE384)+(1-'Lease Cycles'!$BE$30)*(1-INDEX('Lease Cycles'!$FO$30:$FU$30,1,BE384)))),0)</f>
        <v>0</v>
      </c>
      <c r="BF392" s="24">
        <f>IF(BF386=1,'Lease Cycles'!$D$30*IF(INDEX('Lease Cycles'!$EF$30:$EL$30,1,BF384)=1,(1-'Lease Cycles'!$AJ$30)*INDEX('Lease Cycles'!$EM$30:$ES$30,1,BF384)+(1-'Lease Cycles'!$BE$30)*IF(BF385&lt;INDEX('Lease Cycles'!$FA$30:$FG$30,1,BF384),0,1-INDEX('Lease Cycles'!$EM$30:$ES$30,1,BF384)),IF(OR(INDEX('Lease Cycles'!$DY$30:$EE$30,1,BF384)=1,BF385&gt;0),1,1-INDEX('Lease Cycles'!$DD$30:$DJ$30,1,BF384))*((1-'Lease Cycles'!$AJ$30)*INDEX('Lease Cycles'!$FO$30:$FU$30,1,BF384)+(1-'Lease Cycles'!$BE$30)*(1-INDEX('Lease Cycles'!$FO$30:$FU$30,1,BF384)))),0)</f>
        <v>0</v>
      </c>
      <c r="BG392" s="24">
        <f>IF(BG386=1,'Lease Cycles'!$D$30*IF(INDEX('Lease Cycles'!$EF$30:$EL$30,1,BG384)=1,(1-'Lease Cycles'!$AJ$30)*INDEX('Lease Cycles'!$EM$30:$ES$30,1,BG384)+(1-'Lease Cycles'!$BE$30)*IF(BG385&lt;INDEX('Lease Cycles'!$FA$30:$FG$30,1,BG384),0,1-INDEX('Lease Cycles'!$EM$30:$ES$30,1,BG384)),IF(OR(INDEX('Lease Cycles'!$DY$30:$EE$30,1,BG384)=1,BG385&gt;0),1,1-INDEX('Lease Cycles'!$DD$30:$DJ$30,1,BG384))*((1-'Lease Cycles'!$AJ$30)*INDEX('Lease Cycles'!$FO$30:$FU$30,1,BG384)+(1-'Lease Cycles'!$BE$30)*(1-INDEX('Lease Cycles'!$FO$30:$FU$30,1,BG384)))),0)</f>
        <v>0</v>
      </c>
      <c r="BH392" s="24">
        <f>IF(BH386=1,'Lease Cycles'!$D$30*IF(INDEX('Lease Cycles'!$EF$30:$EL$30,1,BH384)=1,(1-'Lease Cycles'!$AJ$30)*INDEX('Lease Cycles'!$EM$30:$ES$30,1,BH384)+(1-'Lease Cycles'!$BE$30)*IF(BH385&lt;INDEX('Lease Cycles'!$FA$30:$FG$30,1,BH384),0,1-INDEX('Lease Cycles'!$EM$30:$ES$30,1,BH384)),IF(OR(INDEX('Lease Cycles'!$DY$30:$EE$30,1,BH384)=1,BH385&gt;0),1,1-INDEX('Lease Cycles'!$DD$30:$DJ$30,1,BH384))*((1-'Lease Cycles'!$AJ$30)*INDEX('Lease Cycles'!$FO$30:$FU$30,1,BH384)+(1-'Lease Cycles'!$BE$30)*(1-INDEX('Lease Cycles'!$FO$30:$FU$30,1,BH384)))),0)</f>
        <v>0</v>
      </c>
      <c r="BI392" s="24">
        <f>IF(BI386=1,'Lease Cycles'!$D$30*IF(INDEX('Lease Cycles'!$EF$30:$EL$30,1,BI384)=1,(1-'Lease Cycles'!$AJ$30)*INDEX('Lease Cycles'!$EM$30:$ES$30,1,BI384)+(1-'Lease Cycles'!$BE$30)*IF(BI385&lt;INDEX('Lease Cycles'!$FA$30:$FG$30,1,BI384),0,1-INDEX('Lease Cycles'!$EM$30:$ES$30,1,BI384)),IF(OR(INDEX('Lease Cycles'!$DY$30:$EE$30,1,BI384)=1,BI385&gt;0),1,1-INDEX('Lease Cycles'!$DD$30:$DJ$30,1,BI384))*((1-'Lease Cycles'!$AJ$30)*INDEX('Lease Cycles'!$FO$30:$FU$30,1,BI384)+(1-'Lease Cycles'!$BE$30)*(1-INDEX('Lease Cycles'!$FO$30:$FU$30,1,BI384)))),0)</f>
        <v>0</v>
      </c>
      <c r="BJ392" s="24">
        <f>IF(BJ386=1,'Lease Cycles'!$D$30*IF(INDEX('Lease Cycles'!$EF$30:$EL$30,1,BJ384)=1,(1-'Lease Cycles'!$AJ$30)*INDEX('Lease Cycles'!$EM$30:$ES$30,1,BJ384)+(1-'Lease Cycles'!$BE$30)*IF(BJ385&lt;INDEX('Lease Cycles'!$FA$30:$FG$30,1,BJ384),0,1-INDEX('Lease Cycles'!$EM$30:$ES$30,1,BJ384)),IF(OR(INDEX('Lease Cycles'!$DY$30:$EE$30,1,BJ384)=1,BJ385&gt;0),1,1-INDEX('Lease Cycles'!$DD$30:$DJ$30,1,BJ384))*((1-'Lease Cycles'!$AJ$30)*INDEX('Lease Cycles'!$FO$30:$FU$30,1,BJ384)+(1-'Lease Cycles'!$BE$30)*(1-INDEX('Lease Cycles'!$FO$30:$FU$30,1,BJ384)))),0)</f>
        <v>0</v>
      </c>
      <c r="BK392" s="24">
        <f>IF(BK386=1,'Lease Cycles'!$D$30*IF(INDEX('Lease Cycles'!$EF$30:$EL$30,1,BK384)=1,(1-'Lease Cycles'!$AJ$30)*INDEX('Lease Cycles'!$EM$30:$ES$30,1,BK384)+(1-'Lease Cycles'!$BE$30)*IF(BK385&lt;INDEX('Lease Cycles'!$FA$30:$FG$30,1,BK384),0,1-INDEX('Lease Cycles'!$EM$30:$ES$30,1,BK384)),IF(OR(INDEX('Lease Cycles'!$DY$30:$EE$30,1,BK384)=1,BK385&gt;0),1,1-INDEX('Lease Cycles'!$DD$30:$DJ$30,1,BK384))*((1-'Lease Cycles'!$AJ$30)*INDEX('Lease Cycles'!$FO$30:$FU$30,1,BK384)+(1-'Lease Cycles'!$BE$30)*(1-INDEX('Lease Cycles'!$FO$30:$FU$30,1,BK384)))),0)</f>
        <v>0</v>
      </c>
      <c r="BL392" s="24">
        <f>IF(BL386=1,'Lease Cycles'!$D$30*IF(INDEX('Lease Cycles'!$EF$30:$EL$30,1,BL384)=1,(1-'Lease Cycles'!$AJ$30)*INDEX('Lease Cycles'!$EM$30:$ES$30,1,BL384)+(1-'Lease Cycles'!$BE$30)*IF(BL385&lt;INDEX('Lease Cycles'!$FA$30:$FG$30,1,BL384),0,1-INDEX('Lease Cycles'!$EM$30:$ES$30,1,BL384)),IF(OR(INDEX('Lease Cycles'!$DY$30:$EE$30,1,BL384)=1,BL385&gt;0),1,1-INDEX('Lease Cycles'!$DD$30:$DJ$30,1,BL384))*((1-'Lease Cycles'!$AJ$30)*INDEX('Lease Cycles'!$FO$30:$FU$30,1,BL384)+(1-'Lease Cycles'!$BE$30)*(1-INDEX('Lease Cycles'!$FO$30:$FU$30,1,BL384)))),0)</f>
        <v>0</v>
      </c>
      <c r="BM392" s="24">
        <f>IF(BM386=1,'Lease Cycles'!$D$30*IF(INDEX('Lease Cycles'!$EF$30:$EL$30,1,BM384)=1,(1-'Lease Cycles'!$AJ$30)*INDEX('Lease Cycles'!$EM$30:$ES$30,1,BM384)+(1-'Lease Cycles'!$BE$30)*IF(BM385&lt;INDEX('Lease Cycles'!$FA$30:$FG$30,1,BM384),0,1-INDEX('Lease Cycles'!$EM$30:$ES$30,1,BM384)),IF(OR(INDEX('Lease Cycles'!$DY$30:$EE$30,1,BM384)=1,BM385&gt;0),1,1-INDEX('Lease Cycles'!$DD$30:$DJ$30,1,BM384))*((1-'Lease Cycles'!$AJ$30)*INDEX('Lease Cycles'!$FO$30:$FU$30,1,BM384)+(1-'Lease Cycles'!$BE$30)*(1-INDEX('Lease Cycles'!$FO$30:$FU$30,1,BM384)))),0)</f>
        <v>0</v>
      </c>
      <c r="BN392" s="24">
        <f>IF(BN386=1,'Lease Cycles'!$D$30*IF(INDEX('Lease Cycles'!$EF$30:$EL$30,1,BN384)=1,(1-'Lease Cycles'!$AJ$30)*INDEX('Lease Cycles'!$EM$30:$ES$30,1,BN384)+(1-'Lease Cycles'!$BE$30)*IF(BN385&lt;INDEX('Lease Cycles'!$FA$30:$FG$30,1,BN384),0,1-INDEX('Lease Cycles'!$EM$30:$ES$30,1,BN384)),IF(OR(INDEX('Lease Cycles'!$DY$30:$EE$30,1,BN384)=1,BN385&gt;0),1,1-INDEX('Lease Cycles'!$DD$30:$DJ$30,1,BN384))*((1-'Lease Cycles'!$AJ$30)*INDEX('Lease Cycles'!$FO$30:$FU$30,1,BN384)+(1-'Lease Cycles'!$BE$30)*(1-INDEX('Lease Cycles'!$FO$30:$FU$30,1,BN384)))),0)</f>
        <v>0</v>
      </c>
      <c r="BO392" s="24">
        <f>IF(BO386=1,'Lease Cycles'!$D$30*IF(INDEX('Lease Cycles'!$EF$30:$EL$30,1,BO384)=1,(1-'Lease Cycles'!$AJ$30)*INDEX('Lease Cycles'!$EM$30:$ES$30,1,BO384)+(1-'Lease Cycles'!$BE$30)*IF(BO385&lt;INDEX('Lease Cycles'!$FA$30:$FG$30,1,BO384),0,1-INDEX('Lease Cycles'!$EM$30:$ES$30,1,BO384)),IF(OR(INDEX('Lease Cycles'!$DY$30:$EE$30,1,BO384)=1,BO385&gt;0),1,1-INDEX('Lease Cycles'!$DD$30:$DJ$30,1,BO384))*((1-'Lease Cycles'!$AJ$30)*INDEX('Lease Cycles'!$FO$30:$FU$30,1,BO384)+(1-'Lease Cycles'!$BE$30)*(1-INDEX('Lease Cycles'!$FO$30:$FU$30,1,BO384)))),0)</f>
        <v>0</v>
      </c>
      <c r="BP392" s="24">
        <f>IF(BP386=1,'Lease Cycles'!$D$30*IF(INDEX('Lease Cycles'!$EF$30:$EL$30,1,BP384)=1,(1-'Lease Cycles'!$AJ$30)*INDEX('Lease Cycles'!$EM$30:$ES$30,1,BP384)+(1-'Lease Cycles'!$BE$30)*IF(BP385&lt;INDEX('Lease Cycles'!$FA$30:$FG$30,1,BP384),0,1-INDEX('Lease Cycles'!$EM$30:$ES$30,1,BP384)),IF(OR(INDEX('Lease Cycles'!$DY$30:$EE$30,1,BP384)=1,BP385&gt;0),1,1-INDEX('Lease Cycles'!$DD$30:$DJ$30,1,BP384))*((1-'Lease Cycles'!$AJ$30)*INDEX('Lease Cycles'!$FO$30:$FU$30,1,BP384)+(1-'Lease Cycles'!$BE$30)*(1-INDEX('Lease Cycles'!$FO$30:$FU$30,1,BP384)))),0)</f>
        <v>0</v>
      </c>
      <c r="BQ392" s="24">
        <f>IF(BQ386=1,'Lease Cycles'!$D$30*IF(INDEX('Lease Cycles'!$EF$30:$EL$30,1,BQ384)=1,(1-'Lease Cycles'!$AJ$30)*INDEX('Lease Cycles'!$EM$30:$ES$30,1,BQ384)+(1-'Lease Cycles'!$BE$30)*IF(BQ385&lt;INDEX('Lease Cycles'!$FA$30:$FG$30,1,BQ384),0,1-INDEX('Lease Cycles'!$EM$30:$ES$30,1,BQ384)),IF(OR(INDEX('Lease Cycles'!$DY$30:$EE$30,1,BQ384)=1,BQ385&gt;0),1,1-INDEX('Lease Cycles'!$DD$30:$DJ$30,1,BQ384))*((1-'Lease Cycles'!$AJ$30)*INDEX('Lease Cycles'!$FO$30:$FU$30,1,BQ384)+(1-'Lease Cycles'!$BE$30)*(1-INDEX('Lease Cycles'!$FO$30:$FU$30,1,BQ384)))),0)</f>
        <v>0</v>
      </c>
      <c r="BR392" s="24">
        <f>IF(BR386=1,'Lease Cycles'!$D$30*IF(INDEX('Lease Cycles'!$EF$30:$EL$30,1,BR384)=1,(1-'Lease Cycles'!$AJ$30)*INDEX('Lease Cycles'!$EM$30:$ES$30,1,BR384)+(1-'Lease Cycles'!$BE$30)*IF(BR385&lt;INDEX('Lease Cycles'!$FA$30:$FG$30,1,BR384),0,1-INDEX('Lease Cycles'!$EM$30:$ES$30,1,BR384)),IF(OR(INDEX('Lease Cycles'!$DY$30:$EE$30,1,BR384)=1,BR385&gt;0),1,1-INDEX('Lease Cycles'!$DD$30:$DJ$30,1,BR384))*((1-'Lease Cycles'!$AJ$30)*INDEX('Lease Cycles'!$FO$30:$FU$30,1,BR384)+(1-'Lease Cycles'!$BE$30)*(1-INDEX('Lease Cycles'!$FO$30:$FU$30,1,BR384)))),0)</f>
        <v>0</v>
      </c>
      <c r="BS392" s="24">
        <f>IF(BS386=1,'Lease Cycles'!$D$30*IF(INDEX('Lease Cycles'!$EF$30:$EL$30,1,BS384)=1,(1-'Lease Cycles'!$AJ$30)*INDEX('Lease Cycles'!$EM$30:$ES$30,1,BS384)+(1-'Lease Cycles'!$BE$30)*IF(BS385&lt;INDEX('Lease Cycles'!$FA$30:$FG$30,1,BS384),0,1-INDEX('Lease Cycles'!$EM$30:$ES$30,1,BS384)),IF(OR(INDEX('Lease Cycles'!$DY$30:$EE$30,1,BS384)=1,BS385&gt;0),1,1-INDEX('Lease Cycles'!$DD$30:$DJ$30,1,BS384))*((1-'Lease Cycles'!$AJ$30)*INDEX('Lease Cycles'!$FO$30:$FU$30,1,BS384)+(1-'Lease Cycles'!$BE$30)*(1-INDEX('Lease Cycles'!$FO$30:$FU$30,1,BS384)))),0)</f>
        <v>0</v>
      </c>
      <c r="BT392" s="24">
        <f>IF(BT386=1,'Lease Cycles'!$D$30*IF(INDEX('Lease Cycles'!$EF$30:$EL$30,1,BT384)=1,(1-'Lease Cycles'!$AJ$30)*INDEX('Lease Cycles'!$EM$30:$ES$30,1,BT384)+(1-'Lease Cycles'!$BE$30)*IF(BT385&lt;INDEX('Lease Cycles'!$FA$30:$FG$30,1,BT384),0,1-INDEX('Lease Cycles'!$EM$30:$ES$30,1,BT384)),IF(OR(INDEX('Lease Cycles'!$DY$30:$EE$30,1,BT384)=1,BT385&gt;0),1,1-INDEX('Lease Cycles'!$DD$30:$DJ$30,1,BT384))*((1-'Lease Cycles'!$AJ$30)*INDEX('Lease Cycles'!$FO$30:$FU$30,1,BT384)+(1-'Lease Cycles'!$BE$30)*(1-INDEX('Lease Cycles'!$FO$30:$FU$30,1,BT384)))),0)</f>
        <v>0</v>
      </c>
      <c r="BU392" s="24">
        <f>IF(BU386=1,'Lease Cycles'!$D$30*IF(INDEX('Lease Cycles'!$EF$30:$EL$30,1,BU384)=1,(1-'Lease Cycles'!$AJ$30)*INDEX('Lease Cycles'!$EM$30:$ES$30,1,BU384)+(1-'Lease Cycles'!$BE$30)*IF(BU385&lt;INDEX('Lease Cycles'!$FA$30:$FG$30,1,BU384),0,1-INDEX('Lease Cycles'!$EM$30:$ES$30,1,BU384)),IF(OR(INDEX('Lease Cycles'!$DY$30:$EE$30,1,BU384)=1,BU385&gt;0),1,1-INDEX('Lease Cycles'!$DD$30:$DJ$30,1,BU384))*((1-'Lease Cycles'!$AJ$30)*INDEX('Lease Cycles'!$FO$30:$FU$30,1,BU384)+(1-'Lease Cycles'!$BE$30)*(1-INDEX('Lease Cycles'!$FO$30:$FU$30,1,BU384)))),0)</f>
        <v>0</v>
      </c>
      <c r="BV392" s="24">
        <f>IF(BV386=1,'Lease Cycles'!$D$30*IF(INDEX('Lease Cycles'!$EF$30:$EL$30,1,BV384)=1,(1-'Lease Cycles'!$AJ$30)*INDEX('Lease Cycles'!$EM$30:$ES$30,1,BV384)+(1-'Lease Cycles'!$BE$30)*IF(BV385&lt;INDEX('Lease Cycles'!$FA$30:$FG$30,1,BV384),0,1-INDEX('Lease Cycles'!$EM$30:$ES$30,1,BV384)),IF(OR(INDEX('Lease Cycles'!$DY$30:$EE$30,1,BV384)=1,BV385&gt;0),1,1-INDEX('Lease Cycles'!$DD$30:$DJ$30,1,BV384))*((1-'Lease Cycles'!$AJ$30)*INDEX('Lease Cycles'!$FO$30:$FU$30,1,BV384)+(1-'Lease Cycles'!$BE$30)*(1-INDEX('Lease Cycles'!$FO$30:$FU$30,1,BV384)))),0)</f>
        <v>0</v>
      </c>
      <c r="BW392" s="24">
        <f>IF(BW386=1,'Lease Cycles'!$D$30*IF(INDEX('Lease Cycles'!$EF$30:$EL$30,1,BW384)=1,(1-'Lease Cycles'!$AJ$30)*INDEX('Lease Cycles'!$EM$30:$ES$30,1,BW384)+(1-'Lease Cycles'!$BE$30)*IF(BW385&lt;INDEX('Lease Cycles'!$FA$30:$FG$30,1,BW384),0,1-INDEX('Lease Cycles'!$EM$30:$ES$30,1,BW384)),IF(OR(INDEX('Lease Cycles'!$DY$30:$EE$30,1,BW384)=1,BW385&gt;0),1,1-INDEX('Lease Cycles'!$DD$30:$DJ$30,1,BW384))*((1-'Lease Cycles'!$AJ$30)*INDEX('Lease Cycles'!$FO$30:$FU$30,1,BW384)+(1-'Lease Cycles'!$BE$30)*(1-INDEX('Lease Cycles'!$FO$30:$FU$30,1,BW384)))),0)</f>
        <v>0</v>
      </c>
      <c r="BX392" s="24">
        <f>IF(BX386=1,'Lease Cycles'!$D$30*IF(INDEX('Lease Cycles'!$EF$30:$EL$30,1,BX384)=1,(1-'Lease Cycles'!$AJ$30)*INDEX('Lease Cycles'!$EM$30:$ES$30,1,BX384)+(1-'Lease Cycles'!$BE$30)*IF(BX385&lt;INDEX('Lease Cycles'!$FA$30:$FG$30,1,BX384),0,1-INDEX('Lease Cycles'!$EM$30:$ES$30,1,BX384)),IF(OR(INDEX('Lease Cycles'!$DY$30:$EE$30,1,BX384)=1,BX385&gt;0),1,1-INDEX('Lease Cycles'!$DD$30:$DJ$30,1,BX384))*((1-'Lease Cycles'!$AJ$30)*INDEX('Lease Cycles'!$FO$30:$FU$30,1,BX384)+(1-'Lease Cycles'!$BE$30)*(1-INDEX('Lease Cycles'!$FO$30:$FU$30,1,BX384)))),0)</f>
        <v>0</v>
      </c>
      <c r="BY392" s="24">
        <f>IF(BY386=1,'Lease Cycles'!$D$30*IF(INDEX('Lease Cycles'!$EF$30:$EL$30,1,BY384)=1,(1-'Lease Cycles'!$AJ$30)*INDEX('Lease Cycles'!$EM$30:$ES$30,1,BY384)+(1-'Lease Cycles'!$BE$30)*IF(BY385&lt;INDEX('Lease Cycles'!$FA$30:$FG$30,1,BY384),0,1-INDEX('Lease Cycles'!$EM$30:$ES$30,1,BY384)),IF(OR(INDEX('Lease Cycles'!$DY$30:$EE$30,1,BY384)=1,BY385&gt;0),1,1-INDEX('Lease Cycles'!$DD$30:$DJ$30,1,BY384))*((1-'Lease Cycles'!$AJ$30)*INDEX('Lease Cycles'!$FO$30:$FU$30,1,BY384)+(1-'Lease Cycles'!$BE$30)*(1-INDEX('Lease Cycles'!$FO$30:$FU$30,1,BY384)))),0)</f>
        <v>0</v>
      </c>
      <c r="BZ392" s="24">
        <f>IF(BZ386=1,'Lease Cycles'!$D$30*IF(INDEX('Lease Cycles'!$EF$30:$EL$30,1,BZ384)=1,(1-'Lease Cycles'!$AJ$30)*INDEX('Lease Cycles'!$EM$30:$ES$30,1,BZ384)+(1-'Lease Cycles'!$BE$30)*IF(BZ385&lt;INDEX('Lease Cycles'!$FA$30:$FG$30,1,BZ384),0,1-INDEX('Lease Cycles'!$EM$30:$ES$30,1,BZ384)),IF(OR(INDEX('Lease Cycles'!$DY$30:$EE$30,1,BZ384)=1,BZ385&gt;0),1,1-INDEX('Lease Cycles'!$DD$30:$DJ$30,1,BZ384))*((1-'Lease Cycles'!$AJ$30)*INDEX('Lease Cycles'!$FO$30:$FU$30,1,BZ384)+(1-'Lease Cycles'!$BE$30)*(1-INDEX('Lease Cycles'!$FO$30:$FU$30,1,BZ384)))),0)</f>
        <v>0</v>
      </c>
      <c r="CA392" s="24">
        <f>IF(CA386=1,'Lease Cycles'!$D$30*IF(INDEX('Lease Cycles'!$EF$30:$EL$30,1,CA384)=1,(1-'Lease Cycles'!$AJ$30)*INDEX('Lease Cycles'!$EM$30:$ES$30,1,CA384)+(1-'Lease Cycles'!$BE$30)*IF(CA385&lt;INDEX('Lease Cycles'!$FA$30:$FG$30,1,CA384),0,1-INDEX('Lease Cycles'!$EM$30:$ES$30,1,CA384)),IF(OR(INDEX('Lease Cycles'!$DY$30:$EE$30,1,CA384)=1,CA385&gt;0),1,1-INDEX('Lease Cycles'!$DD$30:$DJ$30,1,CA384))*((1-'Lease Cycles'!$AJ$30)*INDEX('Lease Cycles'!$FO$30:$FU$30,1,CA384)+(1-'Lease Cycles'!$BE$30)*(1-INDEX('Lease Cycles'!$FO$30:$FU$30,1,CA384)))),0)</f>
        <v>0</v>
      </c>
      <c r="CB392" s="24">
        <f>IF(CB386=1,'Lease Cycles'!$D$30*IF(INDEX('Lease Cycles'!$EF$30:$EL$30,1,CB384)=1,(1-'Lease Cycles'!$AJ$30)*INDEX('Lease Cycles'!$EM$30:$ES$30,1,CB384)+(1-'Lease Cycles'!$BE$30)*IF(CB385&lt;INDEX('Lease Cycles'!$FA$30:$FG$30,1,CB384),0,1-INDEX('Lease Cycles'!$EM$30:$ES$30,1,CB384)),IF(OR(INDEX('Lease Cycles'!$DY$30:$EE$30,1,CB384)=1,CB385&gt;0),1,1-INDEX('Lease Cycles'!$DD$30:$DJ$30,1,CB384))*((1-'Lease Cycles'!$AJ$30)*INDEX('Lease Cycles'!$FO$30:$FU$30,1,CB384)+(1-'Lease Cycles'!$BE$30)*(1-INDEX('Lease Cycles'!$FO$30:$FU$30,1,CB384)))),0)</f>
        <v>0</v>
      </c>
      <c r="CC392" s="24">
        <f>IF(CC386=1,'Lease Cycles'!$D$30*IF(INDEX('Lease Cycles'!$EF$30:$EL$30,1,CC384)=1,(1-'Lease Cycles'!$AJ$30)*INDEX('Lease Cycles'!$EM$30:$ES$30,1,CC384)+(1-'Lease Cycles'!$BE$30)*IF(CC385&lt;INDEX('Lease Cycles'!$FA$30:$FG$30,1,CC384),0,1-INDEX('Lease Cycles'!$EM$30:$ES$30,1,CC384)),IF(OR(INDEX('Lease Cycles'!$DY$30:$EE$30,1,CC384)=1,CC385&gt;0),1,1-INDEX('Lease Cycles'!$DD$30:$DJ$30,1,CC384))*((1-'Lease Cycles'!$AJ$30)*INDEX('Lease Cycles'!$FO$30:$FU$30,1,CC384)+(1-'Lease Cycles'!$BE$30)*(1-INDEX('Lease Cycles'!$FO$30:$FU$30,1,CC384)))),0)</f>
        <v>0</v>
      </c>
      <c r="CD392" s="24">
        <f>IF(CD386=1,'Lease Cycles'!$D$30*IF(INDEX('Lease Cycles'!$EF$30:$EL$30,1,CD384)=1,(1-'Lease Cycles'!$AJ$30)*INDEX('Lease Cycles'!$EM$30:$ES$30,1,CD384)+(1-'Lease Cycles'!$BE$30)*IF(CD385&lt;INDEX('Lease Cycles'!$FA$30:$FG$30,1,CD384),0,1-INDEX('Lease Cycles'!$EM$30:$ES$30,1,CD384)),IF(OR(INDEX('Lease Cycles'!$DY$30:$EE$30,1,CD384)=1,CD385&gt;0),1,1-INDEX('Lease Cycles'!$DD$30:$DJ$30,1,CD384))*((1-'Lease Cycles'!$AJ$30)*INDEX('Lease Cycles'!$FO$30:$FU$30,1,CD384)+(1-'Lease Cycles'!$BE$30)*(1-INDEX('Lease Cycles'!$FO$30:$FU$30,1,CD384)))),0)</f>
        <v>0</v>
      </c>
      <c r="CE392" s="24">
        <f>IF(CE386=1,'Lease Cycles'!$D$30*IF(INDEX('Lease Cycles'!$EF$30:$EL$30,1,CE384)=1,(1-'Lease Cycles'!$AJ$30)*INDEX('Lease Cycles'!$EM$30:$ES$30,1,CE384)+(1-'Lease Cycles'!$BE$30)*IF(CE385&lt;INDEX('Lease Cycles'!$FA$30:$FG$30,1,CE384),0,1-INDEX('Lease Cycles'!$EM$30:$ES$30,1,CE384)),IF(OR(INDEX('Lease Cycles'!$DY$30:$EE$30,1,CE384)=1,CE385&gt;0),1,1-INDEX('Lease Cycles'!$DD$30:$DJ$30,1,CE384))*((1-'Lease Cycles'!$AJ$30)*INDEX('Lease Cycles'!$FO$30:$FU$30,1,CE384)+(1-'Lease Cycles'!$BE$30)*(1-INDEX('Lease Cycles'!$FO$30:$FU$30,1,CE384)))),0)</f>
        <v>0</v>
      </c>
      <c r="CF392" s="24">
        <f>IF(CF386=1,'Lease Cycles'!$D$30*IF(INDEX('Lease Cycles'!$EF$30:$EL$30,1,CF384)=1,(1-'Lease Cycles'!$AJ$30)*INDEX('Lease Cycles'!$EM$30:$ES$30,1,CF384)+(1-'Lease Cycles'!$BE$30)*IF(CF385&lt;INDEX('Lease Cycles'!$FA$30:$FG$30,1,CF384),0,1-INDEX('Lease Cycles'!$EM$30:$ES$30,1,CF384)),IF(OR(INDEX('Lease Cycles'!$DY$30:$EE$30,1,CF384)=1,CF385&gt;0),1,1-INDEX('Lease Cycles'!$DD$30:$DJ$30,1,CF384))*((1-'Lease Cycles'!$AJ$30)*INDEX('Lease Cycles'!$FO$30:$FU$30,1,CF384)+(1-'Lease Cycles'!$BE$30)*(1-INDEX('Lease Cycles'!$FO$30:$FU$30,1,CF384)))),0)</f>
        <v>0</v>
      </c>
      <c r="CG392" s="24">
        <f>IF(CG386=1,'Lease Cycles'!$D$30*IF(INDEX('Lease Cycles'!$EF$30:$EL$30,1,CG384)=1,(1-'Lease Cycles'!$AJ$30)*INDEX('Lease Cycles'!$EM$30:$ES$30,1,CG384)+(1-'Lease Cycles'!$BE$30)*IF(CG385&lt;INDEX('Lease Cycles'!$FA$30:$FG$30,1,CG384),0,1-INDEX('Lease Cycles'!$EM$30:$ES$30,1,CG384)),IF(OR(INDEX('Lease Cycles'!$DY$30:$EE$30,1,CG384)=1,CG385&gt;0),1,1-INDEX('Lease Cycles'!$DD$30:$DJ$30,1,CG384))*((1-'Lease Cycles'!$AJ$30)*INDEX('Lease Cycles'!$FO$30:$FU$30,1,CG384)+(1-'Lease Cycles'!$BE$30)*(1-INDEX('Lease Cycles'!$FO$30:$FU$30,1,CG384)))),0)</f>
        <v>0</v>
      </c>
      <c r="CH392" s="24">
        <f>IF(CH386=1,'Lease Cycles'!$D$30*IF(INDEX('Lease Cycles'!$EF$30:$EL$30,1,CH384)=1,(1-'Lease Cycles'!$AJ$30)*INDEX('Lease Cycles'!$EM$30:$ES$30,1,CH384)+(1-'Lease Cycles'!$BE$30)*IF(CH385&lt;INDEX('Lease Cycles'!$FA$30:$FG$30,1,CH384),0,1-INDEX('Lease Cycles'!$EM$30:$ES$30,1,CH384)),IF(OR(INDEX('Lease Cycles'!$DY$30:$EE$30,1,CH384)=1,CH385&gt;0),1,1-INDEX('Lease Cycles'!$DD$30:$DJ$30,1,CH384))*((1-'Lease Cycles'!$AJ$30)*INDEX('Lease Cycles'!$FO$30:$FU$30,1,CH384)+(1-'Lease Cycles'!$BE$30)*(1-INDEX('Lease Cycles'!$FO$30:$FU$30,1,CH384)))),0)</f>
        <v>0</v>
      </c>
      <c r="CI392" s="24">
        <f>IF(CI386=1,'Lease Cycles'!$D$30*IF(INDEX('Lease Cycles'!$EF$30:$EL$30,1,CI384)=1,(1-'Lease Cycles'!$AJ$30)*INDEX('Lease Cycles'!$EM$30:$ES$30,1,CI384)+(1-'Lease Cycles'!$BE$30)*IF(CI385&lt;INDEX('Lease Cycles'!$FA$30:$FG$30,1,CI384),0,1-INDEX('Lease Cycles'!$EM$30:$ES$30,1,CI384)),IF(OR(INDEX('Lease Cycles'!$DY$30:$EE$30,1,CI384)=1,CI385&gt;0),1,1-INDEX('Lease Cycles'!$DD$30:$DJ$30,1,CI384))*((1-'Lease Cycles'!$AJ$30)*INDEX('Lease Cycles'!$FO$30:$FU$30,1,CI384)+(1-'Lease Cycles'!$BE$30)*(1-INDEX('Lease Cycles'!$FO$30:$FU$30,1,CI384)))),0)</f>
        <v>0</v>
      </c>
      <c r="CJ392" s="24">
        <f>IF(CJ386=1,'Lease Cycles'!$D$30*IF(INDEX('Lease Cycles'!$EF$30:$EL$30,1,CJ384)=1,(1-'Lease Cycles'!$AJ$30)*INDEX('Lease Cycles'!$EM$30:$ES$30,1,CJ384)+(1-'Lease Cycles'!$BE$30)*IF(CJ385&lt;INDEX('Lease Cycles'!$FA$30:$FG$30,1,CJ384),0,1-INDEX('Lease Cycles'!$EM$30:$ES$30,1,CJ384)),IF(OR(INDEX('Lease Cycles'!$DY$30:$EE$30,1,CJ384)=1,CJ385&gt;0),1,1-INDEX('Lease Cycles'!$DD$30:$DJ$30,1,CJ384))*((1-'Lease Cycles'!$AJ$30)*INDEX('Lease Cycles'!$FO$30:$FU$30,1,CJ384)+(1-'Lease Cycles'!$BE$30)*(1-INDEX('Lease Cycles'!$FO$30:$FU$30,1,CJ384)))),0)</f>
        <v>0</v>
      </c>
      <c r="CK392" s="24">
        <f>IF(CK386=1,'Lease Cycles'!$D$30*IF(INDEX('Lease Cycles'!$EF$30:$EL$30,1,CK384)=1,(1-'Lease Cycles'!$AJ$30)*INDEX('Lease Cycles'!$EM$30:$ES$30,1,CK384)+(1-'Lease Cycles'!$BE$30)*IF(CK385&lt;INDEX('Lease Cycles'!$FA$30:$FG$30,1,CK384),0,1-INDEX('Lease Cycles'!$EM$30:$ES$30,1,CK384)),IF(OR(INDEX('Lease Cycles'!$DY$30:$EE$30,1,CK384)=1,CK385&gt;0),1,1-INDEX('Lease Cycles'!$DD$30:$DJ$30,1,CK384))*((1-'Lease Cycles'!$AJ$30)*INDEX('Lease Cycles'!$FO$30:$FU$30,1,CK384)+(1-'Lease Cycles'!$BE$30)*(1-INDEX('Lease Cycles'!$FO$30:$FU$30,1,CK384)))),0)</f>
        <v>0</v>
      </c>
      <c r="CL392" s="24">
        <f>IF(CL386=1,'Lease Cycles'!$D$30*IF(INDEX('Lease Cycles'!$EF$30:$EL$30,1,CL384)=1,(1-'Lease Cycles'!$AJ$30)*INDEX('Lease Cycles'!$EM$30:$ES$30,1,CL384)+(1-'Lease Cycles'!$BE$30)*IF(CL385&lt;INDEX('Lease Cycles'!$FA$30:$FG$30,1,CL384),0,1-INDEX('Lease Cycles'!$EM$30:$ES$30,1,CL384)),IF(OR(INDEX('Lease Cycles'!$DY$30:$EE$30,1,CL384)=1,CL385&gt;0),1,1-INDEX('Lease Cycles'!$DD$30:$DJ$30,1,CL384))*((1-'Lease Cycles'!$AJ$30)*INDEX('Lease Cycles'!$FO$30:$FU$30,1,CL384)+(1-'Lease Cycles'!$BE$30)*(1-INDEX('Lease Cycles'!$FO$30:$FU$30,1,CL384)))),0)</f>
        <v>0</v>
      </c>
      <c r="CM392" s="24">
        <f>IF(CM386=1,'Lease Cycles'!$D$30*IF(INDEX('Lease Cycles'!$EF$30:$EL$30,1,CM384)=1,(1-'Lease Cycles'!$AJ$30)*INDEX('Lease Cycles'!$EM$30:$ES$30,1,CM384)+(1-'Lease Cycles'!$BE$30)*IF(CM385&lt;INDEX('Lease Cycles'!$FA$30:$FG$30,1,CM384),0,1-INDEX('Lease Cycles'!$EM$30:$ES$30,1,CM384)),IF(OR(INDEX('Lease Cycles'!$DY$30:$EE$30,1,CM384)=1,CM385&gt;0),1,1-INDEX('Lease Cycles'!$DD$30:$DJ$30,1,CM384))*((1-'Lease Cycles'!$AJ$30)*INDEX('Lease Cycles'!$FO$30:$FU$30,1,CM384)+(1-'Lease Cycles'!$BE$30)*(1-INDEX('Lease Cycles'!$FO$30:$FU$30,1,CM384)))),0)</f>
        <v>0</v>
      </c>
      <c r="CN392" s="24">
        <f>IF(CN386=1,'Lease Cycles'!$D$30*IF(INDEX('Lease Cycles'!$EF$30:$EL$30,1,CN384)=1,(1-'Lease Cycles'!$AJ$30)*INDEX('Lease Cycles'!$EM$30:$ES$30,1,CN384)+(1-'Lease Cycles'!$BE$30)*IF(CN385&lt;INDEX('Lease Cycles'!$FA$30:$FG$30,1,CN384),0,1-INDEX('Lease Cycles'!$EM$30:$ES$30,1,CN384)),IF(OR(INDEX('Lease Cycles'!$DY$30:$EE$30,1,CN384)=1,CN385&gt;0),1,1-INDEX('Lease Cycles'!$DD$30:$DJ$30,1,CN384))*((1-'Lease Cycles'!$AJ$30)*INDEX('Lease Cycles'!$FO$30:$FU$30,1,CN384)+(1-'Lease Cycles'!$BE$30)*(1-INDEX('Lease Cycles'!$FO$30:$FU$30,1,CN384)))),0)</f>
        <v>0</v>
      </c>
      <c r="CO392" s="24">
        <f>IF(CO386=1,'Lease Cycles'!$D$30*IF(INDEX('Lease Cycles'!$EF$30:$EL$30,1,CO384)=1,(1-'Lease Cycles'!$AJ$30)*INDEX('Lease Cycles'!$EM$30:$ES$30,1,CO384)+(1-'Lease Cycles'!$BE$30)*IF(CO385&lt;INDEX('Lease Cycles'!$FA$30:$FG$30,1,CO384),0,1-INDEX('Lease Cycles'!$EM$30:$ES$30,1,CO384)),IF(OR(INDEX('Lease Cycles'!$DY$30:$EE$30,1,CO384)=1,CO385&gt;0),1,1-INDEX('Lease Cycles'!$DD$30:$DJ$30,1,CO384))*((1-'Lease Cycles'!$AJ$30)*INDEX('Lease Cycles'!$FO$30:$FU$30,1,CO384)+(1-'Lease Cycles'!$BE$30)*(1-INDEX('Lease Cycles'!$FO$30:$FU$30,1,CO384)))),0)</f>
        <v>0</v>
      </c>
      <c r="CP392" s="24">
        <f>IF(CP386=1,'Lease Cycles'!$D$30*IF(INDEX('Lease Cycles'!$EF$30:$EL$30,1,CP384)=1,(1-'Lease Cycles'!$AJ$30)*INDEX('Lease Cycles'!$EM$30:$ES$30,1,CP384)+(1-'Lease Cycles'!$BE$30)*IF(CP385&lt;INDEX('Lease Cycles'!$FA$30:$FG$30,1,CP384),0,1-INDEX('Lease Cycles'!$EM$30:$ES$30,1,CP384)),IF(OR(INDEX('Lease Cycles'!$DY$30:$EE$30,1,CP384)=1,CP385&gt;0),1,1-INDEX('Lease Cycles'!$DD$30:$DJ$30,1,CP384))*((1-'Lease Cycles'!$AJ$30)*INDEX('Lease Cycles'!$FO$30:$FU$30,1,CP384)+(1-'Lease Cycles'!$BE$30)*(1-INDEX('Lease Cycles'!$FO$30:$FU$30,1,CP384)))),0)</f>
        <v>0</v>
      </c>
      <c r="CQ392" s="24">
        <f>IF(CQ386=1,'Lease Cycles'!$D$30*IF(INDEX('Lease Cycles'!$EF$30:$EL$30,1,CQ384)=1,(1-'Lease Cycles'!$AJ$30)*INDEX('Lease Cycles'!$EM$30:$ES$30,1,CQ384)+(1-'Lease Cycles'!$BE$30)*IF(CQ385&lt;INDEX('Lease Cycles'!$FA$30:$FG$30,1,CQ384),0,1-INDEX('Lease Cycles'!$EM$30:$ES$30,1,CQ384)),IF(OR(INDEX('Lease Cycles'!$DY$30:$EE$30,1,CQ384)=1,CQ385&gt;0),1,1-INDEX('Lease Cycles'!$DD$30:$DJ$30,1,CQ384))*((1-'Lease Cycles'!$AJ$30)*INDEX('Lease Cycles'!$FO$30:$FU$30,1,CQ384)+(1-'Lease Cycles'!$BE$30)*(1-INDEX('Lease Cycles'!$FO$30:$FU$30,1,CQ384)))),0)</f>
        <v>0</v>
      </c>
      <c r="CR392" s="24">
        <f>IF(CR386=1,'Lease Cycles'!$D$30*IF(INDEX('Lease Cycles'!$EF$30:$EL$30,1,CR384)=1,(1-'Lease Cycles'!$AJ$30)*INDEX('Lease Cycles'!$EM$30:$ES$30,1,CR384)+(1-'Lease Cycles'!$BE$30)*IF(CR385&lt;INDEX('Lease Cycles'!$FA$30:$FG$30,1,CR384),0,1-INDEX('Lease Cycles'!$EM$30:$ES$30,1,CR384)),IF(OR(INDEX('Lease Cycles'!$DY$30:$EE$30,1,CR384)=1,CR385&gt;0),1,1-INDEX('Lease Cycles'!$DD$30:$DJ$30,1,CR384))*((1-'Lease Cycles'!$AJ$30)*INDEX('Lease Cycles'!$FO$30:$FU$30,1,CR384)+(1-'Lease Cycles'!$BE$30)*(1-INDEX('Lease Cycles'!$FO$30:$FU$30,1,CR384)))),0)</f>
        <v>0</v>
      </c>
      <c r="CS392" s="24">
        <f>IF(CS386=1,'Lease Cycles'!$D$30*IF(INDEX('Lease Cycles'!$EF$30:$EL$30,1,CS384)=1,(1-'Lease Cycles'!$AJ$30)*INDEX('Lease Cycles'!$EM$30:$ES$30,1,CS384)+(1-'Lease Cycles'!$BE$30)*IF(CS385&lt;INDEX('Lease Cycles'!$FA$30:$FG$30,1,CS384),0,1-INDEX('Lease Cycles'!$EM$30:$ES$30,1,CS384)),IF(OR(INDEX('Lease Cycles'!$DY$30:$EE$30,1,CS384)=1,CS385&gt;0),1,1-INDEX('Lease Cycles'!$DD$30:$DJ$30,1,CS384))*((1-'Lease Cycles'!$AJ$30)*INDEX('Lease Cycles'!$FO$30:$FU$30,1,CS384)+(1-'Lease Cycles'!$BE$30)*(1-INDEX('Lease Cycles'!$FO$30:$FU$30,1,CS384)))),0)</f>
        <v>0</v>
      </c>
      <c r="CT392" s="24">
        <f>IF(CT386=1,'Lease Cycles'!$D$30*IF(INDEX('Lease Cycles'!$EF$30:$EL$30,1,CT384)=1,(1-'Lease Cycles'!$AJ$30)*INDEX('Lease Cycles'!$EM$30:$ES$30,1,CT384)+(1-'Lease Cycles'!$BE$30)*IF(CT385&lt;INDEX('Lease Cycles'!$FA$30:$FG$30,1,CT384),0,1-INDEX('Lease Cycles'!$EM$30:$ES$30,1,CT384)),IF(OR(INDEX('Lease Cycles'!$DY$30:$EE$30,1,CT384)=1,CT385&gt;0),1,1-INDEX('Lease Cycles'!$DD$30:$DJ$30,1,CT384))*((1-'Lease Cycles'!$AJ$30)*INDEX('Lease Cycles'!$FO$30:$FU$30,1,CT384)+(1-'Lease Cycles'!$BE$30)*(1-INDEX('Lease Cycles'!$FO$30:$FU$30,1,CT384)))),0)</f>
        <v>0</v>
      </c>
      <c r="CU392" s="24">
        <f>IF(CU386=1,'Lease Cycles'!$D$30*IF(INDEX('Lease Cycles'!$EF$30:$EL$30,1,CU384)=1,(1-'Lease Cycles'!$AJ$30)*INDEX('Lease Cycles'!$EM$30:$ES$30,1,CU384)+(1-'Lease Cycles'!$BE$30)*IF(CU385&lt;INDEX('Lease Cycles'!$FA$30:$FG$30,1,CU384),0,1-INDEX('Lease Cycles'!$EM$30:$ES$30,1,CU384)),IF(OR(INDEX('Lease Cycles'!$DY$30:$EE$30,1,CU384)=1,CU385&gt;0),1,1-INDEX('Lease Cycles'!$DD$30:$DJ$30,1,CU384))*((1-'Lease Cycles'!$AJ$30)*INDEX('Lease Cycles'!$FO$30:$FU$30,1,CU384)+(1-'Lease Cycles'!$BE$30)*(1-INDEX('Lease Cycles'!$FO$30:$FU$30,1,CU384)))),0)</f>
        <v>0</v>
      </c>
      <c r="CV392" s="24">
        <f>IF(CV386=1,'Lease Cycles'!$D$30*IF(INDEX('Lease Cycles'!$EF$30:$EL$30,1,CV384)=1,(1-'Lease Cycles'!$AJ$30)*INDEX('Lease Cycles'!$EM$30:$ES$30,1,CV384)+(1-'Lease Cycles'!$BE$30)*IF(CV385&lt;INDEX('Lease Cycles'!$FA$30:$FG$30,1,CV384),0,1-INDEX('Lease Cycles'!$EM$30:$ES$30,1,CV384)),IF(OR(INDEX('Lease Cycles'!$DY$30:$EE$30,1,CV384)=1,CV385&gt;0),1,1-INDEX('Lease Cycles'!$DD$30:$DJ$30,1,CV384))*((1-'Lease Cycles'!$AJ$30)*INDEX('Lease Cycles'!$FO$30:$FU$30,1,CV384)+(1-'Lease Cycles'!$BE$30)*(1-INDEX('Lease Cycles'!$FO$30:$FU$30,1,CV384)))),0)</f>
        <v>0</v>
      </c>
      <c r="CW392" s="24">
        <f>IF(CW386=1,'Lease Cycles'!$D$30*IF(INDEX('Lease Cycles'!$EF$30:$EL$30,1,CW384)=1,(1-'Lease Cycles'!$AJ$30)*INDEX('Lease Cycles'!$EM$30:$ES$30,1,CW384)+(1-'Lease Cycles'!$BE$30)*IF(CW385&lt;INDEX('Lease Cycles'!$FA$30:$FG$30,1,CW384),0,1-INDEX('Lease Cycles'!$EM$30:$ES$30,1,CW384)),IF(OR(INDEX('Lease Cycles'!$DY$30:$EE$30,1,CW384)=1,CW385&gt;0),1,1-INDEX('Lease Cycles'!$DD$30:$DJ$30,1,CW384))*((1-'Lease Cycles'!$AJ$30)*INDEX('Lease Cycles'!$FO$30:$FU$30,1,CW384)+(1-'Lease Cycles'!$BE$30)*(1-INDEX('Lease Cycles'!$FO$30:$FU$30,1,CW384)))),0)</f>
        <v>0</v>
      </c>
      <c r="CX392" s="24">
        <f>IF(CX386=1,'Lease Cycles'!$D$30*IF(INDEX('Lease Cycles'!$EF$30:$EL$30,1,CX384)=1,(1-'Lease Cycles'!$AJ$30)*INDEX('Lease Cycles'!$EM$30:$ES$30,1,CX384)+(1-'Lease Cycles'!$BE$30)*IF(CX385&lt;INDEX('Lease Cycles'!$FA$30:$FG$30,1,CX384),0,1-INDEX('Lease Cycles'!$EM$30:$ES$30,1,CX384)),IF(OR(INDEX('Lease Cycles'!$DY$30:$EE$30,1,CX384)=1,CX385&gt;0),1,1-INDEX('Lease Cycles'!$DD$30:$DJ$30,1,CX384))*((1-'Lease Cycles'!$AJ$30)*INDEX('Lease Cycles'!$FO$30:$FU$30,1,CX384)+(1-'Lease Cycles'!$BE$30)*(1-INDEX('Lease Cycles'!$FO$30:$FU$30,1,CX384)))),0)</f>
        <v>0</v>
      </c>
      <c r="CY392" s="24">
        <f>IF(CY386=1,'Lease Cycles'!$D$30*IF(INDEX('Lease Cycles'!$EF$30:$EL$30,1,CY384)=1,(1-'Lease Cycles'!$AJ$30)*INDEX('Lease Cycles'!$EM$30:$ES$30,1,CY384)+(1-'Lease Cycles'!$BE$30)*IF(CY385&lt;INDEX('Lease Cycles'!$FA$30:$FG$30,1,CY384),0,1-INDEX('Lease Cycles'!$EM$30:$ES$30,1,CY384)),IF(OR(INDEX('Lease Cycles'!$DY$30:$EE$30,1,CY384)=1,CY385&gt;0),1,1-INDEX('Lease Cycles'!$DD$30:$DJ$30,1,CY384))*((1-'Lease Cycles'!$AJ$30)*INDEX('Lease Cycles'!$FO$30:$FU$30,1,CY384)+(1-'Lease Cycles'!$BE$30)*(1-INDEX('Lease Cycles'!$FO$30:$FU$30,1,CY384)))),0)</f>
        <v>0</v>
      </c>
      <c r="CZ392" s="24">
        <f>IF(CZ386=1,'Lease Cycles'!$D$30*IF(INDEX('Lease Cycles'!$EF$30:$EL$30,1,CZ384)=1,(1-'Lease Cycles'!$AJ$30)*INDEX('Lease Cycles'!$EM$30:$ES$30,1,CZ384)+(1-'Lease Cycles'!$BE$30)*IF(CZ385&lt;INDEX('Lease Cycles'!$FA$30:$FG$30,1,CZ384),0,1-INDEX('Lease Cycles'!$EM$30:$ES$30,1,CZ384)),IF(OR(INDEX('Lease Cycles'!$DY$30:$EE$30,1,CZ384)=1,CZ385&gt;0),1,1-INDEX('Lease Cycles'!$DD$30:$DJ$30,1,CZ384))*((1-'Lease Cycles'!$AJ$30)*INDEX('Lease Cycles'!$FO$30:$FU$30,1,CZ384)+(1-'Lease Cycles'!$BE$30)*(1-INDEX('Lease Cycles'!$FO$30:$FU$30,1,CZ384)))),0)</f>
        <v>0</v>
      </c>
      <c r="DA392" s="24">
        <f>IF(DA386=1,'Lease Cycles'!$D$30*IF(INDEX('Lease Cycles'!$EF$30:$EL$30,1,DA384)=1,(1-'Lease Cycles'!$AJ$30)*INDEX('Lease Cycles'!$EM$30:$ES$30,1,DA384)+(1-'Lease Cycles'!$BE$30)*IF(DA385&lt;INDEX('Lease Cycles'!$FA$30:$FG$30,1,DA384),0,1-INDEX('Lease Cycles'!$EM$30:$ES$30,1,DA384)),IF(OR(INDEX('Lease Cycles'!$DY$30:$EE$30,1,DA384)=1,DA385&gt;0),1,1-INDEX('Lease Cycles'!$DD$30:$DJ$30,1,DA384))*((1-'Lease Cycles'!$AJ$30)*INDEX('Lease Cycles'!$FO$30:$FU$30,1,DA384)+(1-'Lease Cycles'!$BE$30)*(1-INDEX('Lease Cycles'!$FO$30:$FU$30,1,DA384)))),0)</f>
        <v>0</v>
      </c>
      <c r="DB392" s="24">
        <f>IF(DB386=1,'Lease Cycles'!$D$30*IF(INDEX('Lease Cycles'!$EF$30:$EL$30,1,DB384)=1,(1-'Lease Cycles'!$AJ$30)*INDEX('Lease Cycles'!$EM$30:$ES$30,1,DB384)+(1-'Lease Cycles'!$BE$30)*IF(DB385&lt;INDEX('Lease Cycles'!$FA$30:$FG$30,1,DB384),0,1-INDEX('Lease Cycles'!$EM$30:$ES$30,1,DB384)),IF(OR(INDEX('Lease Cycles'!$DY$30:$EE$30,1,DB384)=1,DB385&gt;0),1,1-INDEX('Lease Cycles'!$DD$30:$DJ$30,1,DB384))*((1-'Lease Cycles'!$AJ$30)*INDEX('Lease Cycles'!$FO$30:$FU$30,1,DB384)+(1-'Lease Cycles'!$BE$30)*(1-INDEX('Lease Cycles'!$FO$30:$FU$30,1,DB384)))),0)</f>
        <v>0</v>
      </c>
      <c r="DC392" s="24">
        <f>IF(DC386=1,'Lease Cycles'!$D$30*IF(INDEX('Lease Cycles'!$EF$30:$EL$30,1,DC384)=1,(1-'Lease Cycles'!$AJ$30)*INDEX('Lease Cycles'!$EM$30:$ES$30,1,DC384)+(1-'Lease Cycles'!$BE$30)*IF(DC385&lt;INDEX('Lease Cycles'!$FA$30:$FG$30,1,DC384),0,1-INDEX('Lease Cycles'!$EM$30:$ES$30,1,DC384)),IF(OR(INDEX('Lease Cycles'!$DY$30:$EE$30,1,DC384)=1,DC385&gt;0),1,1-INDEX('Lease Cycles'!$DD$30:$DJ$30,1,DC384))*((1-'Lease Cycles'!$AJ$30)*INDEX('Lease Cycles'!$FO$30:$FU$30,1,DC384)+(1-'Lease Cycles'!$BE$30)*(1-INDEX('Lease Cycles'!$FO$30:$FU$30,1,DC384)))),0)</f>
        <v>0</v>
      </c>
      <c r="DD392" s="24">
        <f>IF(DD386=1,'Lease Cycles'!$D$30*IF(INDEX('Lease Cycles'!$EF$30:$EL$30,1,DD384)=1,(1-'Lease Cycles'!$AJ$30)*INDEX('Lease Cycles'!$EM$30:$ES$30,1,DD384)+(1-'Lease Cycles'!$BE$30)*IF(DD385&lt;INDEX('Lease Cycles'!$FA$30:$FG$30,1,DD384),0,1-INDEX('Lease Cycles'!$EM$30:$ES$30,1,DD384)),IF(OR(INDEX('Lease Cycles'!$DY$30:$EE$30,1,DD384)=1,DD385&gt;0),1,1-INDEX('Lease Cycles'!$DD$30:$DJ$30,1,DD384))*((1-'Lease Cycles'!$AJ$30)*INDEX('Lease Cycles'!$FO$30:$FU$30,1,DD384)+(1-'Lease Cycles'!$BE$30)*(1-INDEX('Lease Cycles'!$FO$30:$FU$30,1,DD384)))),0)</f>
        <v>0</v>
      </c>
      <c r="DE392" s="24">
        <f>IF(DE386=1,'Lease Cycles'!$D$30*IF(INDEX('Lease Cycles'!$EF$30:$EL$30,1,DE384)=1,(1-'Lease Cycles'!$AJ$30)*INDEX('Lease Cycles'!$EM$30:$ES$30,1,DE384)+(1-'Lease Cycles'!$BE$30)*IF(DE385&lt;INDEX('Lease Cycles'!$FA$30:$FG$30,1,DE384),0,1-INDEX('Lease Cycles'!$EM$30:$ES$30,1,DE384)),IF(OR(INDEX('Lease Cycles'!$DY$30:$EE$30,1,DE384)=1,DE385&gt;0),1,1-INDEX('Lease Cycles'!$DD$30:$DJ$30,1,DE384))*((1-'Lease Cycles'!$AJ$30)*INDEX('Lease Cycles'!$FO$30:$FU$30,1,DE384)+(1-'Lease Cycles'!$BE$30)*(1-INDEX('Lease Cycles'!$FO$30:$FU$30,1,DE384)))),0)</f>
        <v>0</v>
      </c>
      <c r="DF392" s="24">
        <f>IF(DF386=1,'Lease Cycles'!$D$30*IF(INDEX('Lease Cycles'!$EF$30:$EL$30,1,DF384)=1,(1-'Lease Cycles'!$AJ$30)*INDEX('Lease Cycles'!$EM$30:$ES$30,1,DF384)+(1-'Lease Cycles'!$BE$30)*IF(DF385&lt;INDEX('Lease Cycles'!$FA$30:$FG$30,1,DF384),0,1-INDEX('Lease Cycles'!$EM$30:$ES$30,1,DF384)),IF(OR(INDEX('Lease Cycles'!$DY$30:$EE$30,1,DF384)=1,DF385&gt;0),1,1-INDEX('Lease Cycles'!$DD$30:$DJ$30,1,DF384))*((1-'Lease Cycles'!$AJ$30)*INDEX('Lease Cycles'!$FO$30:$FU$30,1,DF384)+(1-'Lease Cycles'!$BE$30)*(1-INDEX('Lease Cycles'!$FO$30:$FU$30,1,DF384)))),0)</f>
        <v>0</v>
      </c>
      <c r="DG392" s="24">
        <f>IF(DG386=1,'Lease Cycles'!$D$30*IF(INDEX('Lease Cycles'!$EF$30:$EL$30,1,DG384)=1,(1-'Lease Cycles'!$AJ$30)*INDEX('Lease Cycles'!$EM$30:$ES$30,1,DG384)+(1-'Lease Cycles'!$BE$30)*IF(DG385&lt;INDEX('Lease Cycles'!$FA$30:$FG$30,1,DG384),0,1-INDEX('Lease Cycles'!$EM$30:$ES$30,1,DG384)),IF(OR(INDEX('Lease Cycles'!$DY$30:$EE$30,1,DG384)=1,DG385&gt;0),1,1-INDEX('Lease Cycles'!$DD$30:$DJ$30,1,DG384))*((1-'Lease Cycles'!$AJ$30)*INDEX('Lease Cycles'!$FO$30:$FU$30,1,DG384)+(1-'Lease Cycles'!$BE$30)*(1-INDEX('Lease Cycles'!$FO$30:$FU$30,1,DG384)))),0)</f>
        <v>0</v>
      </c>
      <c r="DH392" s="24">
        <f>IF(DH386=1,'Lease Cycles'!$D$30*IF(INDEX('Lease Cycles'!$EF$30:$EL$30,1,DH384)=1,(1-'Lease Cycles'!$AJ$30)*INDEX('Lease Cycles'!$EM$30:$ES$30,1,DH384)+(1-'Lease Cycles'!$BE$30)*IF(DH385&lt;INDEX('Lease Cycles'!$FA$30:$FG$30,1,DH384),0,1-INDEX('Lease Cycles'!$EM$30:$ES$30,1,DH384)),IF(OR(INDEX('Lease Cycles'!$DY$30:$EE$30,1,DH384)=1,DH385&gt;0),1,1-INDEX('Lease Cycles'!$DD$30:$DJ$30,1,DH384))*((1-'Lease Cycles'!$AJ$30)*INDEX('Lease Cycles'!$FO$30:$FU$30,1,DH384)+(1-'Lease Cycles'!$BE$30)*(1-INDEX('Lease Cycles'!$FO$30:$FU$30,1,DH384)))),0)</f>
        <v>0</v>
      </c>
      <c r="DI392" s="24">
        <f>IF(DI386=1,'Lease Cycles'!$D$30*IF(INDEX('Lease Cycles'!$EF$30:$EL$30,1,DI384)=1,(1-'Lease Cycles'!$AJ$30)*INDEX('Lease Cycles'!$EM$30:$ES$30,1,DI384)+(1-'Lease Cycles'!$BE$30)*IF(DI385&lt;INDEX('Lease Cycles'!$FA$30:$FG$30,1,DI384),0,1-INDEX('Lease Cycles'!$EM$30:$ES$30,1,DI384)),IF(OR(INDEX('Lease Cycles'!$DY$30:$EE$30,1,DI384)=1,DI385&gt;0),1,1-INDEX('Lease Cycles'!$DD$30:$DJ$30,1,DI384))*((1-'Lease Cycles'!$AJ$30)*INDEX('Lease Cycles'!$FO$30:$FU$30,1,DI384)+(1-'Lease Cycles'!$BE$30)*(1-INDEX('Lease Cycles'!$FO$30:$FU$30,1,DI384)))),0)</f>
        <v>0</v>
      </c>
      <c r="DJ392" s="24">
        <f>IF(DJ386=1,'Lease Cycles'!$D$30*IF(INDEX('Lease Cycles'!$EF$30:$EL$30,1,DJ384)=1,(1-'Lease Cycles'!$AJ$30)*INDEX('Lease Cycles'!$EM$30:$ES$30,1,DJ384)+(1-'Lease Cycles'!$BE$30)*IF(DJ385&lt;INDEX('Lease Cycles'!$FA$30:$FG$30,1,DJ384),0,1-INDEX('Lease Cycles'!$EM$30:$ES$30,1,DJ384)),IF(OR(INDEX('Lease Cycles'!$DY$30:$EE$30,1,DJ384)=1,DJ385&gt;0),1,1-INDEX('Lease Cycles'!$DD$30:$DJ$30,1,DJ384))*((1-'Lease Cycles'!$AJ$30)*INDEX('Lease Cycles'!$FO$30:$FU$30,1,DJ384)+(1-'Lease Cycles'!$BE$30)*(1-INDEX('Lease Cycles'!$FO$30:$FU$30,1,DJ384)))),0)</f>
        <v>0</v>
      </c>
      <c r="DK392" s="24">
        <f>IF(DK386=1,'Lease Cycles'!$D$30*IF(INDEX('Lease Cycles'!$EF$30:$EL$30,1,DK384)=1,(1-'Lease Cycles'!$AJ$30)*INDEX('Lease Cycles'!$EM$30:$ES$30,1,DK384)+(1-'Lease Cycles'!$BE$30)*IF(DK385&lt;INDEX('Lease Cycles'!$FA$30:$FG$30,1,DK384),0,1-INDEX('Lease Cycles'!$EM$30:$ES$30,1,DK384)),IF(OR(INDEX('Lease Cycles'!$DY$30:$EE$30,1,DK384)=1,DK385&gt;0),1,1-INDEX('Lease Cycles'!$DD$30:$DJ$30,1,DK384))*((1-'Lease Cycles'!$AJ$30)*INDEX('Lease Cycles'!$FO$30:$FU$30,1,DK384)+(1-'Lease Cycles'!$BE$30)*(1-INDEX('Lease Cycles'!$FO$30:$FU$30,1,DK384)))),0)</f>
        <v>0</v>
      </c>
      <c r="DL392" s="24">
        <f>IF(DL386=1,'Lease Cycles'!$D$30*IF(INDEX('Lease Cycles'!$EF$30:$EL$30,1,DL384)=1,(1-'Lease Cycles'!$AJ$30)*INDEX('Lease Cycles'!$EM$30:$ES$30,1,DL384)+(1-'Lease Cycles'!$BE$30)*IF(DL385&lt;INDEX('Lease Cycles'!$FA$30:$FG$30,1,DL384),0,1-INDEX('Lease Cycles'!$EM$30:$ES$30,1,DL384)),IF(OR(INDEX('Lease Cycles'!$DY$30:$EE$30,1,DL384)=1,DL385&gt;0),1,1-INDEX('Lease Cycles'!$DD$30:$DJ$30,1,DL384))*((1-'Lease Cycles'!$AJ$30)*INDEX('Lease Cycles'!$FO$30:$FU$30,1,DL384)+(1-'Lease Cycles'!$BE$30)*(1-INDEX('Lease Cycles'!$FO$30:$FU$30,1,DL384)))),0)</f>
        <v>0</v>
      </c>
      <c r="DM392" s="24">
        <f>IF(DM386=1,'Lease Cycles'!$D$30*IF(INDEX('Lease Cycles'!$EF$30:$EL$30,1,DM384)=1,(1-'Lease Cycles'!$AJ$30)*INDEX('Lease Cycles'!$EM$30:$ES$30,1,DM384)+(1-'Lease Cycles'!$BE$30)*IF(DM385&lt;INDEX('Lease Cycles'!$FA$30:$FG$30,1,DM384),0,1-INDEX('Lease Cycles'!$EM$30:$ES$30,1,DM384)),IF(OR(INDEX('Lease Cycles'!$DY$30:$EE$30,1,DM384)=1,DM385&gt;0),1,1-INDEX('Lease Cycles'!$DD$30:$DJ$30,1,DM384))*((1-'Lease Cycles'!$AJ$30)*INDEX('Lease Cycles'!$FO$30:$FU$30,1,DM384)+(1-'Lease Cycles'!$BE$30)*(1-INDEX('Lease Cycles'!$FO$30:$FU$30,1,DM384)))),0)</f>
        <v>0</v>
      </c>
      <c r="DN392" s="24">
        <f>IF(DN386=1,'Lease Cycles'!$D$30*IF(INDEX('Lease Cycles'!$EF$30:$EL$30,1,DN384)=1,(1-'Lease Cycles'!$AJ$30)*INDEX('Lease Cycles'!$EM$30:$ES$30,1,DN384)+(1-'Lease Cycles'!$BE$30)*IF(DN385&lt;INDEX('Lease Cycles'!$FA$30:$FG$30,1,DN384),0,1-INDEX('Lease Cycles'!$EM$30:$ES$30,1,DN384)),IF(OR(INDEX('Lease Cycles'!$DY$30:$EE$30,1,DN384)=1,DN385&gt;0),1,1-INDEX('Lease Cycles'!$DD$30:$DJ$30,1,DN384))*((1-'Lease Cycles'!$AJ$30)*INDEX('Lease Cycles'!$FO$30:$FU$30,1,DN384)+(1-'Lease Cycles'!$BE$30)*(1-INDEX('Lease Cycles'!$FO$30:$FU$30,1,DN384)))),0)</f>
        <v>0</v>
      </c>
      <c r="DO392" s="24">
        <f>IF(DO386=1,'Lease Cycles'!$D$30*IF(INDEX('Lease Cycles'!$EF$30:$EL$30,1,DO384)=1,(1-'Lease Cycles'!$AJ$30)*INDEX('Lease Cycles'!$EM$30:$ES$30,1,DO384)+(1-'Lease Cycles'!$BE$30)*IF(DO385&lt;INDEX('Lease Cycles'!$FA$30:$FG$30,1,DO384),0,1-INDEX('Lease Cycles'!$EM$30:$ES$30,1,DO384)),IF(OR(INDEX('Lease Cycles'!$DY$30:$EE$30,1,DO384)=1,DO385&gt;0),1,1-INDEX('Lease Cycles'!$DD$30:$DJ$30,1,DO384))*((1-'Lease Cycles'!$AJ$30)*INDEX('Lease Cycles'!$FO$30:$FU$30,1,DO384)+(1-'Lease Cycles'!$BE$30)*(1-INDEX('Lease Cycles'!$FO$30:$FU$30,1,DO384)))),0)</f>
        <v>0</v>
      </c>
      <c r="DP392" s="24">
        <f>IF(DP386=1,'Lease Cycles'!$D$30*IF(INDEX('Lease Cycles'!$EF$30:$EL$30,1,DP384)=1,(1-'Lease Cycles'!$AJ$30)*INDEX('Lease Cycles'!$EM$30:$ES$30,1,DP384)+(1-'Lease Cycles'!$BE$30)*IF(DP385&lt;INDEX('Lease Cycles'!$FA$30:$FG$30,1,DP384),0,1-INDEX('Lease Cycles'!$EM$30:$ES$30,1,DP384)),IF(OR(INDEX('Lease Cycles'!$DY$30:$EE$30,1,DP384)=1,DP385&gt;0),1,1-INDEX('Lease Cycles'!$DD$30:$DJ$30,1,DP384))*((1-'Lease Cycles'!$AJ$30)*INDEX('Lease Cycles'!$FO$30:$FU$30,1,DP384)+(1-'Lease Cycles'!$BE$30)*(1-INDEX('Lease Cycles'!$FO$30:$FU$30,1,DP384)))),0)</f>
        <v>0</v>
      </c>
      <c r="DQ392" s="24">
        <f>IF(DQ386=1,'Lease Cycles'!$D$30*IF(INDEX('Lease Cycles'!$EF$30:$EL$30,1,DQ384)=1,(1-'Lease Cycles'!$AJ$30)*INDEX('Lease Cycles'!$EM$30:$ES$30,1,DQ384)+(1-'Lease Cycles'!$BE$30)*IF(DQ385&lt;INDEX('Lease Cycles'!$FA$30:$FG$30,1,DQ384),0,1-INDEX('Lease Cycles'!$EM$30:$ES$30,1,DQ384)),IF(OR(INDEX('Lease Cycles'!$DY$30:$EE$30,1,DQ384)=1,DQ385&gt;0),1,1-INDEX('Lease Cycles'!$DD$30:$DJ$30,1,DQ384))*((1-'Lease Cycles'!$AJ$30)*INDEX('Lease Cycles'!$FO$30:$FU$30,1,DQ384)+(1-'Lease Cycles'!$BE$30)*(1-INDEX('Lease Cycles'!$FO$30:$FU$30,1,DQ384)))),0)</f>
        <v>0</v>
      </c>
      <c r="DR392" s="24">
        <f>IF(DR386=1,'Lease Cycles'!$D$30*IF(INDEX('Lease Cycles'!$EF$30:$EL$30,1,DR384)=1,(1-'Lease Cycles'!$AJ$30)*INDEX('Lease Cycles'!$EM$30:$ES$30,1,DR384)+(1-'Lease Cycles'!$BE$30)*IF(DR385&lt;INDEX('Lease Cycles'!$FA$30:$FG$30,1,DR384),0,1-INDEX('Lease Cycles'!$EM$30:$ES$30,1,DR384)),IF(OR(INDEX('Lease Cycles'!$DY$30:$EE$30,1,DR384)=1,DR385&gt;0),1,1-INDEX('Lease Cycles'!$DD$30:$DJ$30,1,DR384))*((1-'Lease Cycles'!$AJ$30)*INDEX('Lease Cycles'!$FO$30:$FU$30,1,DR384)+(1-'Lease Cycles'!$BE$30)*(1-INDEX('Lease Cycles'!$FO$30:$FU$30,1,DR384)))),0)</f>
        <v>0</v>
      </c>
      <c r="DS392" s="24">
        <f>IF(DS386=1,'Lease Cycles'!$D$30*IF(INDEX('Lease Cycles'!$EF$30:$EL$30,1,DS384)=1,(1-'Lease Cycles'!$AJ$30)*INDEX('Lease Cycles'!$EM$30:$ES$30,1,DS384)+(1-'Lease Cycles'!$BE$30)*IF(DS385&lt;INDEX('Lease Cycles'!$FA$30:$FG$30,1,DS384),0,1-INDEX('Lease Cycles'!$EM$30:$ES$30,1,DS384)),IF(OR(INDEX('Lease Cycles'!$DY$30:$EE$30,1,DS384)=1,DS385&gt;0),1,1-INDEX('Lease Cycles'!$DD$30:$DJ$30,1,DS384))*((1-'Lease Cycles'!$AJ$30)*INDEX('Lease Cycles'!$FO$30:$FU$30,1,DS384)+(1-'Lease Cycles'!$BE$30)*(1-INDEX('Lease Cycles'!$FO$30:$FU$30,1,DS384)))),0)</f>
        <v>0</v>
      </c>
      <c r="DT392" s="24">
        <f>IF(DT386=1,'Lease Cycles'!$D$30*IF(INDEX('Lease Cycles'!$EF$30:$EL$30,1,DT384)=1,(1-'Lease Cycles'!$AJ$30)*INDEX('Lease Cycles'!$EM$30:$ES$30,1,DT384)+(1-'Lease Cycles'!$BE$30)*IF(DT385&lt;INDEX('Lease Cycles'!$FA$30:$FG$30,1,DT384),0,1-INDEX('Lease Cycles'!$EM$30:$ES$30,1,DT384)),IF(OR(INDEX('Lease Cycles'!$DY$30:$EE$30,1,DT384)=1,DT385&gt;0),1,1-INDEX('Lease Cycles'!$DD$30:$DJ$30,1,DT384))*((1-'Lease Cycles'!$AJ$30)*INDEX('Lease Cycles'!$FO$30:$FU$30,1,DT384)+(1-'Lease Cycles'!$BE$30)*(1-INDEX('Lease Cycles'!$FO$30:$FU$30,1,DT384)))),0)</f>
        <v>0</v>
      </c>
      <c r="DU392" s="24">
        <f>IF(DU386=1,'Lease Cycles'!$D$30*IF(INDEX('Lease Cycles'!$EF$30:$EL$30,1,DU384)=1,(1-'Lease Cycles'!$AJ$30)*INDEX('Lease Cycles'!$EM$30:$ES$30,1,DU384)+(1-'Lease Cycles'!$BE$30)*IF(DU385&lt;INDEX('Lease Cycles'!$FA$30:$FG$30,1,DU384),0,1-INDEX('Lease Cycles'!$EM$30:$ES$30,1,DU384)),IF(OR(INDEX('Lease Cycles'!$DY$30:$EE$30,1,DU384)=1,DU385&gt;0),1,1-INDEX('Lease Cycles'!$DD$30:$DJ$30,1,DU384))*((1-'Lease Cycles'!$AJ$30)*INDEX('Lease Cycles'!$FO$30:$FU$30,1,DU384)+(1-'Lease Cycles'!$BE$30)*(1-INDEX('Lease Cycles'!$FO$30:$FU$30,1,DU384)))),0)</f>
        <v>0</v>
      </c>
      <c r="DV392" s="24">
        <f>IF(DV386=1,'Lease Cycles'!$D$30*IF(INDEX('Lease Cycles'!$EF$30:$EL$30,1,DV384)=1,(1-'Lease Cycles'!$AJ$30)*INDEX('Lease Cycles'!$EM$30:$ES$30,1,DV384)+(1-'Lease Cycles'!$BE$30)*IF(DV385&lt;INDEX('Lease Cycles'!$FA$30:$FG$30,1,DV384),0,1-INDEX('Lease Cycles'!$EM$30:$ES$30,1,DV384)),IF(OR(INDEX('Lease Cycles'!$DY$30:$EE$30,1,DV384)=1,DV385&gt;0),1,1-INDEX('Lease Cycles'!$DD$30:$DJ$30,1,DV384))*((1-'Lease Cycles'!$AJ$30)*INDEX('Lease Cycles'!$FO$30:$FU$30,1,DV384)+(1-'Lease Cycles'!$BE$30)*(1-INDEX('Lease Cycles'!$FO$30:$FU$30,1,DV384)))),0)</f>
        <v>0</v>
      </c>
      <c r="DW392" s="24">
        <f>IF(DW386=1,'Lease Cycles'!$D$30*IF(INDEX('Lease Cycles'!$EF$30:$EL$30,1,DW384)=1,(1-'Lease Cycles'!$AJ$30)*INDEX('Lease Cycles'!$EM$30:$ES$30,1,DW384)+(1-'Lease Cycles'!$BE$30)*IF(DW385&lt;INDEX('Lease Cycles'!$FA$30:$FG$30,1,DW384),0,1-INDEX('Lease Cycles'!$EM$30:$ES$30,1,DW384)),IF(OR(INDEX('Lease Cycles'!$DY$30:$EE$30,1,DW384)=1,DW385&gt;0),1,1-INDEX('Lease Cycles'!$DD$30:$DJ$30,1,DW384))*((1-'Lease Cycles'!$AJ$30)*INDEX('Lease Cycles'!$FO$30:$FU$30,1,DW384)+(1-'Lease Cycles'!$BE$30)*(1-INDEX('Lease Cycles'!$FO$30:$FU$30,1,DW384)))),0)</f>
        <v>0</v>
      </c>
      <c r="DX392" s="24">
        <f>IF(DX386=1,'Lease Cycles'!$D$30*IF(INDEX('Lease Cycles'!$EF$30:$EL$30,1,DX384)=1,(1-'Lease Cycles'!$AJ$30)*INDEX('Lease Cycles'!$EM$30:$ES$30,1,DX384)+(1-'Lease Cycles'!$BE$30)*IF(DX385&lt;INDEX('Lease Cycles'!$FA$30:$FG$30,1,DX384),0,1-INDEX('Lease Cycles'!$EM$30:$ES$30,1,DX384)),IF(OR(INDEX('Lease Cycles'!$DY$30:$EE$30,1,DX384)=1,DX385&gt;0),1,1-INDEX('Lease Cycles'!$DD$30:$DJ$30,1,DX384))*((1-'Lease Cycles'!$AJ$30)*INDEX('Lease Cycles'!$FO$30:$FU$30,1,DX384)+(1-'Lease Cycles'!$BE$30)*(1-INDEX('Lease Cycles'!$FO$30:$FU$30,1,DX384)))),0)</f>
        <v>0</v>
      </c>
      <c r="DY392" s="24">
        <f>IF(DY386=1,'Lease Cycles'!$D$30*IF(INDEX('Lease Cycles'!$EF$30:$EL$30,1,DY384)=1,(1-'Lease Cycles'!$AJ$30)*INDEX('Lease Cycles'!$EM$30:$ES$30,1,DY384)+(1-'Lease Cycles'!$BE$30)*IF(DY385&lt;INDEX('Lease Cycles'!$FA$30:$FG$30,1,DY384),0,1-INDEX('Lease Cycles'!$EM$30:$ES$30,1,DY384)),IF(OR(INDEX('Lease Cycles'!$DY$30:$EE$30,1,DY384)=1,DY385&gt;0),1,1-INDEX('Lease Cycles'!$DD$30:$DJ$30,1,DY384))*((1-'Lease Cycles'!$AJ$30)*INDEX('Lease Cycles'!$FO$30:$FU$30,1,DY384)+(1-'Lease Cycles'!$BE$30)*(1-INDEX('Lease Cycles'!$FO$30:$FU$30,1,DY384)))),0)</f>
        <v>0</v>
      </c>
      <c r="DZ392" s="24">
        <f>IF(DZ386=1,'Lease Cycles'!$D$30*IF(INDEX('Lease Cycles'!$EF$30:$EL$30,1,DZ384)=1,(1-'Lease Cycles'!$AJ$30)*INDEX('Lease Cycles'!$EM$30:$ES$30,1,DZ384)+(1-'Lease Cycles'!$BE$30)*IF(DZ385&lt;INDEX('Lease Cycles'!$FA$30:$FG$30,1,DZ384),0,1-INDEX('Lease Cycles'!$EM$30:$ES$30,1,DZ384)),IF(OR(INDEX('Lease Cycles'!$DY$30:$EE$30,1,DZ384)=1,DZ385&gt;0),1,1-INDEX('Lease Cycles'!$DD$30:$DJ$30,1,DZ384))*((1-'Lease Cycles'!$AJ$30)*INDEX('Lease Cycles'!$FO$30:$FU$30,1,DZ384)+(1-'Lease Cycles'!$BE$30)*(1-INDEX('Lease Cycles'!$FO$30:$FU$30,1,DZ384)))),0)</f>
        <v>0</v>
      </c>
      <c r="EA392" s="24">
        <f>IF(EA386=1,'Lease Cycles'!$D$30*IF(INDEX('Lease Cycles'!$EF$30:$EL$30,1,EA384)=1,(1-'Lease Cycles'!$AJ$30)*INDEX('Lease Cycles'!$EM$30:$ES$30,1,EA384)+(1-'Lease Cycles'!$BE$30)*IF(EA385&lt;INDEX('Lease Cycles'!$FA$30:$FG$30,1,EA384),0,1-INDEX('Lease Cycles'!$EM$30:$ES$30,1,EA384)),IF(OR(INDEX('Lease Cycles'!$DY$30:$EE$30,1,EA384)=1,EA385&gt;0),1,1-INDEX('Lease Cycles'!$DD$30:$DJ$30,1,EA384))*((1-'Lease Cycles'!$AJ$30)*INDEX('Lease Cycles'!$FO$30:$FU$30,1,EA384)+(1-'Lease Cycles'!$BE$30)*(1-INDEX('Lease Cycles'!$FO$30:$FU$30,1,EA384)))),0)</f>
        <v>0</v>
      </c>
      <c r="EB392" s="24">
        <f>IF(EB386=1,'Lease Cycles'!$D$30*IF(INDEX('Lease Cycles'!$EF$30:$EL$30,1,EB384)=1,(1-'Lease Cycles'!$AJ$30)*INDEX('Lease Cycles'!$EM$30:$ES$30,1,EB384)+(1-'Lease Cycles'!$BE$30)*IF(EB385&lt;INDEX('Lease Cycles'!$FA$30:$FG$30,1,EB384),0,1-INDEX('Lease Cycles'!$EM$30:$ES$30,1,EB384)),IF(OR(INDEX('Lease Cycles'!$DY$30:$EE$30,1,EB384)=1,EB385&gt;0),1,1-INDEX('Lease Cycles'!$DD$30:$DJ$30,1,EB384))*((1-'Lease Cycles'!$AJ$30)*INDEX('Lease Cycles'!$FO$30:$FU$30,1,EB384)+(1-'Lease Cycles'!$BE$30)*(1-INDEX('Lease Cycles'!$FO$30:$FU$30,1,EB384)))),0)</f>
        <v>0</v>
      </c>
      <c r="EC392" s="24">
        <f>IF(EC386=1,'Lease Cycles'!$D$30*IF(INDEX('Lease Cycles'!$EF$30:$EL$30,1,EC384)=1,(1-'Lease Cycles'!$AJ$30)*INDEX('Lease Cycles'!$EM$30:$ES$30,1,EC384)+(1-'Lease Cycles'!$BE$30)*IF(EC385&lt;INDEX('Lease Cycles'!$FA$30:$FG$30,1,EC384),0,1-INDEX('Lease Cycles'!$EM$30:$ES$30,1,EC384)),IF(OR(INDEX('Lease Cycles'!$DY$30:$EE$30,1,EC384)=1,EC385&gt;0),1,1-INDEX('Lease Cycles'!$DD$30:$DJ$30,1,EC384))*((1-'Lease Cycles'!$AJ$30)*INDEX('Lease Cycles'!$FO$30:$FU$30,1,EC384)+(1-'Lease Cycles'!$BE$30)*(1-INDEX('Lease Cycles'!$FO$30:$FU$30,1,EC384)))),0)</f>
        <v>0</v>
      </c>
      <c r="ED392" s="24">
        <f>IF(ED386=1,'Lease Cycles'!$D$30*IF(INDEX('Lease Cycles'!$EF$30:$EL$30,1,ED384)=1,(1-'Lease Cycles'!$AJ$30)*INDEX('Lease Cycles'!$EM$30:$ES$30,1,ED384)+(1-'Lease Cycles'!$BE$30)*IF(ED385&lt;INDEX('Lease Cycles'!$FA$30:$FG$30,1,ED384),0,1-INDEX('Lease Cycles'!$EM$30:$ES$30,1,ED384)),IF(OR(INDEX('Lease Cycles'!$DY$30:$EE$30,1,ED384)=1,ED385&gt;0),1,1-INDEX('Lease Cycles'!$DD$30:$DJ$30,1,ED384))*((1-'Lease Cycles'!$AJ$30)*INDEX('Lease Cycles'!$FO$30:$FU$30,1,ED384)+(1-'Lease Cycles'!$BE$30)*(1-INDEX('Lease Cycles'!$FO$30:$FU$30,1,ED384)))),0)</f>
        <v>0</v>
      </c>
      <c r="EE392" s="24">
        <f>IF(EE386=1,'Lease Cycles'!$D$30*IF(INDEX('Lease Cycles'!$EF$30:$EL$30,1,EE384)=1,(1-'Lease Cycles'!$AJ$30)*INDEX('Lease Cycles'!$EM$30:$ES$30,1,EE384)+(1-'Lease Cycles'!$BE$30)*IF(EE385&lt;INDEX('Lease Cycles'!$FA$30:$FG$30,1,EE384),0,1-INDEX('Lease Cycles'!$EM$30:$ES$30,1,EE384)),IF(OR(INDEX('Lease Cycles'!$DY$30:$EE$30,1,EE384)=1,EE385&gt;0),1,1-INDEX('Lease Cycles'!$DD$30:$DJ$30,1,EE384))*((1-'Lease Cycles'!$AJ$30)*INDEX('Lease Cycles'!$FO$30:$FU$30,1,EE384)+(1-'Lease Cycles'!$BE$30)*(1-INDEX('Lease Cycles'!$FO$30:$FU$30,1,EE384)))),0)</f>
        <v>0</v>
      </c>
      <c r="EF392" s="24">
        <f>IF(EF386=1,'Lease Cycles'!$D$30*IF(INDEX('Lease Cycles'!$EF$30:$EL$30,1,EF384)=1,(1-'Lease Cycles'!$AJ$30)*INDEX('Lease Cycles'!$EM$30:$ES$30,1,EF384)+(1-'Lease Cycles'!$BE$30)*IF(EF385&lt;INDEX('Lease Cycles'!$FA$30:$FG$30,1,EF384),0,1-INDEX('Lease Cycles'!$EM$30:$ES$30,1,EF384)),IF(OR(INDEX('Lease Cycles'!$DY$30:$EE$30,1,EF384)=1,EF385&gt;0),1,1-INDEX('Lease Cycles'!$DD$30:$DJ$30,1,EF384))*((1-'Lease Cycles'!$AJ$30)*INDEX('Lease Cycles'!$FO$30:$FU$30,1,EF384)+(1-'Lease Cycles'!$BE$30)*(1-INDEX('Lease Cycles'!$FO$30:$FU$30,1,EF384)))),0)</f>
        <v>0</v>
      </c>
      <c r="EG392" s="24">
        <f>IF(EG386=1,'Lease Cycles'!$D$30*IF(INDEX('Lease Cycles'!$EF$30:$EL$30,1,EG384)=1,(1-'Lease Cycles'!$AJ$30)*INDEX('Lease Cycles'!$EM$30:$ES$30,1,EG384)+(1-'Lease Cycles'!$BE$30)*IF(EG385&lt;INDEX('Lease Cycles'!$FA$30:$FG$30,1,EG384),0,1-INDEX('Lease Cycles'!$EM$30:$ES$30,1,EG384)),IF(OR(INDEX('Lease Cycles'!$DY$30:$EE$30,1,EG384)=1,EG385&gt;0),1,1-INDEX('Lease Cycles'!$DD$30:$DJ$30,1,EG384))*((1-'Lease Cycles'!$AJ$30)*INDEX('Lease Cycles'!$FO$30:$FU$30,1,EG384)+(1-'Lease Cycles'!$BE$30)*(1-INDEX('Lease Cycles'!$FO$30:$FU$30,1,EG384)))),0)</f>
        <v>0</v>
      </c>
      <c r="EH392" s="24">
        <f>IF(EH386=1,'Lease Cycles'!$D$30*IF(INDEX('Lease Cycles'!$EF$30:$EL$30,1,EH384)=1,(1-'Lease Cycles'!$AJ$30)*INDEX('Lease Cycles'!$EM$30:$ES$30,1,EH384)+(1-'Lease Cycles'!$BE$30)*IF(EH385&lt;INDEX('Lease Cycles'!$FA$30:$FG$30,1,EH384),0,1-INDEX('Lease Cycles'!$EM$30:$ES$30,1,EH384)),IF(OR(INDEX('Lease Cycles'!$DY$30:$EE$30,1,EH384)=1,EH385&gt;0),1,1-INDEX('Lease Cycles'!$DD$30:$DJ$30,1,EH384))*((1-'Lease Cycles'!$AJ$30)*INDEX('Lease Cycles'!$FO$30:$FU$30,1,EH384)+(1-'Lease Cycles'!$BE$30)*(1-INDEX('Lease Cycles'!$FO$30:$FU$30,1,EH384)))),0)</f>
        <v>0</v>
      </c>
      <c r="EI392" s="24">
        <f>IF(EI386=1,'Lease Cycles'!$D$30*IF(INDEX('Lease Cycles'!$EF$30:$EL$30,1,EI384)=1,(1-'Lease Cycles'!$AJ$30)*INDEX('Lease Cycles'!$EM$30:$ES$30,1,EI384)+(1-'Lease Cycles'!$BE$30)*IF(EI385&lt;INDEX('Lease Cycles'!$FA$30:$FG$30,1,EI384),0,1-INDEX('Lease Cycles'!$EM$30:$ES$30,1,EI384)),IF(OR(INDEX('Lease Cycles'!$DY$30:$EE$30,1,EI384)=1,EI385&gt;0),1,1-INDEX('Lease Cycles'!$DD$30:$DJ$30,1,EI384))*((1-'Lease Cycles'!$AJ$30)*INDEX('Lease Cycles'!$FO$30:$FU$30,1,EI384)+(1-'Lease Cycles'!$BE$30)*(1-INDEX('Lease Cycles'!$FO$30:$FU$30,1,EI384)))),0)</f>
        <v>0</v>
      </c>
      <c r="EJ392" s="24">
        <f>IF(EJ386=1,'Lease Cycles'!$D$30*IF(INDEX('Lease Cycles'!$EF$30:$EL$30,1,EJ384)=1,(1-'Lease Cycles'!$AJ$30)*INDEX('Lease Cycles'!$EM$30:$ES$30,1,EJ384)+(1-'Lease Cycles'!$BE$30)*IF(EJ385&lt;INDEX('Lease Cycles'!$FA$30:$FG$30,1,EJ384),0,1-INDEX('Lease Cycles'!$EM$30:$ES$30,1,EJ384)),IF(OR(INDEX('Lease Cycles'!$DY$30:$EE$30,1,EJ384)=1,EJ385&gt;0),1,1-INDEX('Lease Cycles'!$DD$30:$DJ$30,1,EJ384))*((1-'Lease Cycles'!$AJ$30)*INDEX('Lease Cycles'!$FO$30:$FU$30,1,EJ384)+(1-'Lease Cycles'!$BE$30)*(1-INDEX('Lease Cycles'!$FO$30:$FU$30,1,EJ384)))),0)</f>
        <v>0</v>
      </c>
      <c r="EK392" s="24">
        <f>IF(EK386=1,'Lease Cycles'!$D$30*IF(INDEX('Lease Cycles'!$EF$30:$EL$30,1,EK384)=1,(1-'Lease Cycles'!$AJ$30)*INDEX('Lease Cycles'!$EM$30:$ES$30,1,EK384)+(1-'Lease Cycles'!$BE$30)*IF(EK385&lt;INDEX('Lease Cycles'!$FA$30:$FG$30,1,EK384),0,1-INDEX('Lease Cycles'!$EM$30:$ES$30,1,EK384)),IF(OR(INDEX('Lease Cycles'!$DY$30:$EE$30,1,EK384)=1,EK385&gt;0),1,1-INDEX('Lease Cycles'!$DD$30:$DJ$30,1,EK384))*((1-'Lease Cycles'!$AJ$30)*INDEX('Lease Cycles'!$FO$30:$FU$30,1,EK384)+(1-'Lease Cycles'!$BE$30)*(1-INDEX('Lease Cycles'!$FO$30:$FU$30,1,EK384)))),0)</f>
        <v>0</v>
      </c>
      <c r="EL392" s="24">
        <f>IF(EL386=1,'Lease Cycles'!$D$30*IF(INDEX('Lease Cycles'!$EF$30:$EL$30,1,EL384)=1,(1-'Lease Cycles'!$AJ$30)*INDEX('Lease Cycles'!$EM$30:$ES$30,1,EL384)+(1-'Lease Cycles'!$BE$30)*IF(EL385&lt;INDEX('Lease Cycles'!$FA$30:$FG$30,1,EL384),0,1-INDEX('Lease Cycles'!$EM$30:$ES$30,1,EL384)),IF(OR(INDEX('Lease Cycles'!$DY$30:$EE$30,1,EL384)=1,EL385&gt;0),1,1-INDEX('Lease Cycles'!$DD$30:$DJ$30,1,EL384))*((1-'Lease Cycles'!$AJ$30)*INDEX('Lease Cycles'!$FO$30:$FU$30,1,EL384)+(1-'Lease Cycles'!$BE$30)*(1-INDEX('Lease Cycles'!$FO$30:$FU$30,1,EL384)))),0)</f>
        <v>0</v>
      </c>
      <c r="EM392" s="24">
        <f>IF(EM386=1,'Lease Cycles'!$D$30*IF(INDEX('Lease Cycles'!$EF$30:$EL$30,1,EM384)=1,(1-'Lease Cycles'!$AJ$30)*INDEX('Lease Cycles'!$EM$30:$ES$30,1,EM384)+(1-'Lease Cycles'!$BE$30)*IF(EM385&lt;INDEX('Lease Cycles'!$FA$30:$FG$30,1,EM384),0,1-INDEX('Lease Cycles'!$EM$30:$ES$30,1,EM384)),IF(OR(INDEX('Lease Cycles'!$DY$30:$EE$30,1,EM384)=1,EM385&gt;0),1,1-INDEX('Lease Cycles'!$DD$30:$DJ$30,1,EM384))*((1-'Lease Cycles'!$AJ$30)*INDEX('Lease Cycles'!$FO$30:$FU$30,1,EM384)+(1-'Lease Cycles'!$BE$30)*(1-INDEX('Lease Cycles'!$FO$30:$FU$30,1,EM384)))),0)</f>
        <v>0</v>
      </c>
      <c r="EN392" s="24">
        <f>IF(EN386=1,'Lease Cycles'!$D$30*IF(INDEX('Lease Cycles'!$EF$30:$EL$30,1,EN384)=1,(1-'Lease Cycles'!$AJ$30)*INDEX('Lease Cycles'!$EM$30:$ES$30,1,EN384)+(1-'Lease Cycles'!$BE$30)*IF(EN385&lt;INDEX('Lease Cycles'!$FA$30:$FG$30,1,EN384),0,1-INDEX('Lease Cycles'!$EM$30:$ES$30,1,EN384)),IF(OR(INDEX('Lease Cycles'!$DY$30:$EE$30,1,EN384)=1,EN385&gt;0),1,1-INDEX('Lease Cycles'!$DD$30:$DJ$30,1,EN384))*((1-'Lease Cycles'!$AJ$30)*INDEX('Lease Cycles'!$FO$30:$FU$30,1,EN384)+(1-'Lease Cycles'!$BE$30)*(1-INDEX('Lease Cycles'!$FO$30:$FU$30,1,EN384)))),0)</f>
        <v>0</v>
      </c>
      <c r="EO392" s="24">
        <f>IF(EO386=1,'Lease Cycles'!$D$30*IF(INDEX('Lease Cycles'!$EF$30:$EL$30,1,EO384)=1,(1-'Lease Cycles'!$AJ$30)*INDEX('Lease Cycles'!$EM$30:$ES$30,1,EO384)+(1-'Lease Cycles'!$BE$30)*IF(EO385&lt;INDEX('Lease Cycles'!$FA$30:$FG$30,1,EO384),0,1-INDEX('Lease Cycles'!$EM$30:$ES$30,1,EO384)),IF(OR(INDEX('Lease Cycles'!$DY$30:$EE$30,1,EO384)=1,EO385&gt;0),1,1-INDEX('Lease Cycles'!$DD$30:$DJ$30,1,EO384))*((1-'Lease Cycles'!$AJ$30)*INDEX('Lease Cycles'!$FO$30:$FU$30,1,EO384)+(1-'Lease Cycles'!$BE$30)*(1-INDEX('Lease Cycles'!$FO$30:$FU$30,1,EO384)))),0)</f>
        <v>0</v>
      </c>
      <c r="EP392" s="24">
        <f>IF(EP386=1,'Lease Cycles'!$D$30*IF(INDEX('Lease Cycles'!$EF$30:$EL$30,1,EP384)=1,(1-'Lease Cycles'!$AJ$30)*INDEX('Lease Cycles'!$EM$30:$ES$30,1,EP384)+(1-'Lease Cycles'!$BE$30)*IF(EP385&lt;INDEX('Lease Cycles'!$FA$30:$FG$30,1,EP384),0,1-INDEX('Lease Cycles'!$EM$30:$ES$30,1,EP384)),IF(OR(INDEX('Lease Cycles'!$DY$30:$EE$30,1,EP384)=1,EP385&gt;0),1,1-INDEX('Lease Cycles'!$DD$30:$DJ$30,1,EP384))*((1-'Lease Cycles'!$AJ$30)*INDEX('Lease Cycles'!$FO$30:$FU$30,1,EP384)+(1-'Lease Cycles'!$BE$30)*(1-INDEX('Lease Cycles'!$FO$30:$FU$30,1,EP384)))),0)</f>
        <v>0</v>
      </c>
      <c r="EQ392" s="24">
        <f>IF(EQ386=1,'Lease Cycles'!$D$30*IF(INDEX('Lease Cycles'!$EF$30:$EL$30,1,EQ384)=1,(1-'Lease Cycles'!$AJ$30)*INDEX('Lease Cycles'!$EM$30:$ES$30,1,EQ384)+(1-'Lease Cycles'!$BE$30)*IF(EQ385&lt;INDEX('Lease Cycles'!$FA$30:$FG$30,1,EQ384),0,1-INDEX('Lease Cycles'!$EM$30:$ES$30,1,EQ384)),IF(OR(INDEX('Lease Cycles'!$DY$30:$EE$30,1,EQ384)=1,EQ385&gt;0),1,1-INDEX('Lease Cycles'!$DD$30:$DJ$30,1,EQ384))*((1-'Lease Cycles'!$AJ$30)*INDEX('Lease Cycles'!$FO$30:$FU$30,1,EQ384)+(1-'Lease Cycles'!$BE$30)*(1-INDEX('Lease Cycles'!$FO$30:$FU$30,1,EQ384)))),0)</f>
        <v>0</v>
      </c>
      <c r="ER392" s="24">
        <f>IF(ER386=1,'Lease Cycles'!$D$30*IF(INDEX('Lease Cycles'!$EF$30:$EL$30,1,ER384)=1,(1-'Lease Cycles'!$AJ$30)*INDEX('Lease Cycles'!$EM$30:$ES$30,1,ER384)+(1-'Lease Cycles'!$BE$30)*IF(ER385&lt;INDEX('Lease Cycles'!$FA$30:$FG$30,1,ER384),0,1-INDEX('Lease Cycles'!$EM$30:$ES$30,1,ER384)),IF(OR(INDEX('Lease Cycles'!$DY$30:$EE$30,1,ER384)=1,ER385&gt;0),1,1-INDEX('Lease Cycles'!$DD$30:$DJ$30,1,ER384))*((1-'Lease Cycles'!$AJ$30)*INDEX('Lease Cycles'!$FO$30:$FU$30,1,ER384)+(1-'Lease Cycles'!$BE$30)*(1-INDEX('Lease Cycles'!$FO$30:$FU$30,1,ER384)))),0)</f>
        <v>0</v>
      </c>
      <c r="ES392" s="24">
        <f>IF(ES386=1,'Lease Cycles'!$D$30*IF(INDEX('Lease Cycles'!$EF$30:$EL$30,1,ES384)=1,(1-'Lease Cycles'!$AJ$30)*INDEX('Lease Cycles'!$EM$30:$ES$30,1,ES384)+(1-'Lease Cycles'!$BE$30)*IF(ES385&lt;INDEX('Lease Cycles'!$FA$30:$FG$30,1,ES384),0,1-INDEX('Lease Cycles'!$EM$30:$ES$30,1,ES384)),IF(OR(INDEX('Lease Cycles'!$DY$30:$EE$30,1,ES384)=1,ES385&gt;0),1,1-INDEX('Lease Cycles'!$DD$30:$DJ$30,1,ES384))*((1-'Lease Cycles'!$AJ$30)*INDEX('Lease Cycles'!$FO$30:$FU$30,1,ES384)+(1-'Lease Cycles'!$BE$30)*(1-INDEX('Lease Cycles'!$FO$30:$FU$30,1,ES384)))),0)</f>
        <v>0</v>
      </c>
      <c r="ET392" s="24">
        <f>IF(ET386=1,'Lease Cycles'!$D$30*IF(INDEX('Lease Cycles'!$EF$30:$EL$30,1,ET384)=1,(1-'Lease Cycles'!$AJ$30)*INDEX('Lease Cycles'!$EM$30:$ES$30,1,ET384)+(1-'Lease Cycles'!$BE$30)*IF(ET385&lt;INDEX('Lease Cycles'!$FA$30:$FG$30,1,ET384),0,1-INDEX('Lease Cycles'!$EM$30:$ES$30,1,ET384)),IF(OR(INDEX('Lease Cycles'!$DY$30:$EE$30,1,ET384)=1,ET385&gt;0),1,1-INDEX('Lease Cycles'!$DD$30:$DJ$30,1,ET384))*((1-'Lease Cycles'!$AJ$30)*INDEX('Lease Cycles'!$FO$30:$FU$30,1,ET384)+(1-'Lease Cycles'!$BE$30)*(1-INDEX('Lease Cycles'!$FO$30:$FU$30,1,ET384)))),0)</f>
        <v>0</v>
      </c>
    </row>
    <row r="393">
      <c r="A393" s="103">
        <v>23</v>
      </c>
      <c r="B393" s="23" t="str">
        <f>IF('Lease Cycles'!$B$30="","(empty slot)",'Lease Cycles'!$B$30)</f>
        <v>(empty slot)</v>
      </c>
      <c r="C393" s="23" t="s">
        <v>685</v>
      </c>
      <c r="D393" s="104" t="s">
        <v>686</v>
      </c>
      <c r="E393" s="25">
        <f>'Lease Cycles'!$AL$30</f>
        <v>0</v>
      </c>
      <c r="G393" s="24">
        <f>SUM(S393:AD393)</f>
        <v>0</v>
      </c>
      <c r="H393" s="24">
        <f>SUM(AE393:AP393)</f>
        <v>0</v>
      </c>
      <c r="I393" s="24">
        <f>SUM(AQ393:BB393)</f>
        <v>0</v>
      </c>
      <c r="J393" s="24">
        <f>SUM(BC393:BN393)</f>
        <v>0</v>
      </c>
      <c r="K393" s="24">
        <f>SUM(BO393:BZ393)</f>
        <v>0</v>
      </c>
      <c r="L393" s="24">
        <f>SUM(CA393:CL393)</f>
        <v>0</v>
      </c>
      <c r="M393" s="24">
        <f>SUM(CM393:CX393)</f>
        <v>0</v>
      </c>
      <c r="N393" s="24">
        <f>SUM(CY393:DJ393)</f>
        <v>0</v>
      </c>
      <c r="O393" s="24">
        <f>SUM(DK393:DV393)</f>
        <v>0</v>
      </c>
      <c r="P393" s="24">
        <f>SUM(DW393:EH393)</f>
        <v>0</v>
      </c>
      <c r="Q393" s="24">
        <f>SUM(EI393:ET393)</f>
        <v>0</v>
      </c>
      <c r="S393" s="24">
        <f>IF(S386=1,IF('Lease Cycles'!$AJ$30=1,0,'Lease Cycles'!$D$30*INDEX('Lease Cycles'!$FH$30:$FN$30,1,S384)*IF(INDEX('Lease Cycles'!$EF$30:$EL$30,1,S384)=1,1,IF(OR(INDEX('Lease Cycles'!$DY$30:$EE$30,1,S384)=1,S385&gt;0),1,1-INDEX('Lease Cycles'!$DD$30:$DJ$30,1,S384)))),0)</f>
        <v>0</v>
      </c>
      <c r="T393" s="24">
        <f>IF(T386=1,IF('Lease Cycles'!$AJ$30=1,0,'Lease Cycles'!$D$30*INDEX('Lease Cycles'!$FH$30:$FN$30,1,T384)*IF(INDEX('Lease Cycles'!$EF$30:$EL$30,1,T384)=1,1,IF(OR(INDEX('Lease Cycles'!$DY$30:$EE$30,1,T384)=1,T385&gt;0),1,1-INDEX('Lease Cycles'!$DD$30:$DJ$30,1,T384)))),0)</f>
        <v>0</v>
      </c>
      <c r="U393" s="24">
        <f>IF(U386=1,IF('Lease Cycles'!$AJ$30=1,0,'Lease Cycles'!$D$30*INDEX('Lease Cycles'!$FH$30:$FN$30,1,U384)*IF(INDEX('Lease Cycles'!$EF$30:$EL$30,1,U384)=1,1,IF(OR(INDEX('Lease Cycles'!$DY$30:$EE$30,1,U384)=1,U385&gt;0),1,1-INDEX('Lease Cycles'!$DD$30:$DJ$30,1,U384)))),0)</f>
        <v>0</v>
      </c>
      <c r="V393" s="24">
        <f>IF(V386=1,IF('Lease Cycles'!$AJ$30=1,0,'Lease Cycles'!$D$30*INDEX('Lease Cycles'!$FH$30:$FN$30,1,V384)*IF(INDEX('Lease Cycles'!$EF$30:$EL$30,1,V384)=1,1,IF(OR(INDEX('Lease Cycles'!$DY$30:$EE$30,1,V384)=1,V385&gt;0),1,1-INDEX('Lease Cycles'!$DD$30:$DJ$30,1,V384)))),0)</f>
        <v>0</v>
      </c>
      <c r="W393" s="24">
        <f>IF(W386=1,IF('Lease Cycles'!$AJ$30=1,0,'Lease Cycles'!$D$30*INDEX('Lease Cycles'!$FH$30:$FN$30,1,W384)*IF(INDEX('Lease Cycles'!$EF$30:$EL$30,1,W384)=1,1,IF(OR(INDEX('Lease Cycles'!$DY$30:$EE$30,1,W384)=1,W385&gt;0),1,1-INDEX('Lease Cycles'!$DD$30:$DJ$30,1,W384)))),0)</f>
        <v>0</v>
      </c>
      <c r="X393" s="24">
        <f>IF(X386=1,IF('Lease Cycles'!$AJ$30=1,0,'Lease Cycles'!$D$30*INDEX('Lease Cycles'!$FH$30:$FN$30,1,X384)*IF(INDEX('Lease Cycles'!$EF$30:$EL$30,1,X384)=1,1,IF(OR(INDEX('Lease Cycles'!$DY$30:$EE$30,1,X384)=1,X385&gt;0),1,1-INDEX('Lease Cycles'!$DD$30:$DJ$30,1,X384)))),0)</f>
        <v>0</v>
      </c>
      <c r="Y393" s="24">
        <f>IF(Y386=1,IF('Lease Cycles'!$AJ$30=1,0,'Lease Cycles'!$D$30*INDEX('Lease Cycles'!$FH$30:$FN$30,1,Y384)*IF(INDEX('Lease Cycles'!$EF$30:$EL$30,1,Y384)=1,1,IF(OR(INDEX('Lease Cycles'!$DY$30:$EE$30,1,Y384)=1,Y385&gt;0),1,1-INDEX('Lease Cycles'!$DD$30:$DJ$30,1,Y384)))),0)</f>
        <v>0</v>
      </c>
      <c r="Z393" s="24">
        <f>IF(Z386=1,IF('Lease Cycles'!$AJ$30=1,0,'Lease Cycles'!$D$30*INDEX('Lease Cycles'!$FH$30:$FN$30,1,Z384)*IF(INDEX('Lease Cycles'!$EF$30:$EL$30,1,Z384)=1,1,IF(OR(INDEX('Lease Cycles'!$DY$30:$EE$30,1,Z384)=1,Z385&gt;0),1,1-INDEX('Lease Cycles'!$DD$30:$DJ$30,1,Z384)))),0)</f>
        <v>0</v>
      </c>
      <c r="AA393" s="24">
        <f>IF(AA386=1,IF('Lease Cycles'!$AJ$30=1,0,'Lease Cycles'!$D$30*INDEX('Lease Cycles'!$FH$30:$FN$30,1,AA384)*IF(INDEX('Lease Cycles'!$EF$30:$EL$30,1,AA384)=1,1,IF(OR(INDEX('Lease Cycles'!$DY$30:$EE$30,1,AA384)=1,AA385&gt;0),1,1-INDEX('Lease Cycles'!$DD$30:$DJ$30,1,AA384)))),0)</f>
        <v>0</v>
      </c>
      <c r="AB393" s="24">
        <f>IF(AB386=1,IF('Lease Cycles'!$AJ$30=1,0,'Lease Cycles'!$D$30*INDEX('Lease Cycles'!$FH$30:$FN$30,1,AB384)*IF(INDEX('Lease Cycles'!$EF$30:$EL$30,1,AB384)=1,1,IF(OR(INDEX('Lease Cycles'!$DY$30:$EE$30,1,AB384)=1,AB385&gt;0),1,1-INDEX('Lease Cycles'!$DD$30:$DJ$30,1,AB384)))),0)</f>
        <v>0</v>
      </c>
      <c r="AC393" s="24">
        <f>IF(AC386=1,IF('Lease Cycles'!$AJ$30=1,0,'Lease Cycles'!$D$30*INDEX('Lease Cycles'!$FH$30:$FN$30,1,AC384)*IF(INDEX('Lease Cycles'!$EF$30:$EL$30,1,AC384)=1,1,IF(OR(INDEX('Lease Cycles'!$DY$30:$EE$30,1,AC384)=1,AC385&gt;0),1,1-INDEX('Lease Cycles'!$DD$30:$DJ$30,1,AC384)))),0)</f>
        <v>0</v>
      </c>
      <c r="AD393" s="24">
        <f>IF(AD386=1,IF('Lease Cycles'!$AJ$30=1,0,'Lease Cycles'!$D$30*INDEX('Lease Cycles'!$FH$30:$FN$30,1,AD384)*IF(INDEX('Lease Cycles'!$EF$30:$EL$30,1,AD384)=1,1,IF(OR(INDEX('Lease Cycles'!$DY$30:$EE$30,1,AD384)=1,AD385&gt;0),1,1-INDEX('Lease Cycles'!$DD$30:$DJ$30,1,AD384)))),0)</f>
        <v>0</v>
      </c>
      <c r="AE393" s="24">
        <f>IF(AE386=1,IF('Lease Cycles'!$AJ$30=1,0,'Lease Cycles'!$D$30*INDEX('Lease Cycles'!$FH$30:$FN$30,1,AE384)*IF(INDEX('Lease Cycles'!$EF$30:$EL$30,1,AE384)=1,1,IF(OR(INDEX('Lease Cycles'!$DY$30:$EE$30,1,AE384)=1,AE385&gt;0),1,1-INDEX('Lease Cycles'!$DD$30:$DJ$30,1,AE384)))),0)</f>
        <v>0</v>
      </c>
      <c r="AF393" s="24">
        <f>IF(AF386=1,IF('Lease Cycles'!$AJ$30=1,0,'Lease Cycles'!$D$30*INDEX('Lease Cycles'!$FH$30:$FN$30,1,AF384)*IF(INDEX('Lease Cycles'!$EF$30:$EL$30,1,AF384)=1,1,IF(OR(INDEX('Lease Cycles'!$DY$30:$EE$30,1,AF384)=1,AF385&gt;0),1,1-INDEX('Lease Cycles'!$DD$30:$DJ$30,1,AF384)))),0)</f>
        <v>0</v>
      </c>
      <c r="AG393" s="24">
        <f>IF(AG386=1,IF('Lease Cycles'!$AJ$30=1,0,'Lease Cycles'!$D$30*INDEX('Lease Cycles'!$FH$30:$FN$30,1,AG384)*IF(INDEX('Lease Cycles'!$EF$30:$EL$30,1,AG384)=1,1,IF(OR(INDEX('Lease Cycles'!$DY$30:$EE$30,1,AG384)=1,AG385&gt;0),1,1-INDEX('Lease Cycles'!$DD$30:$DJ$30,1,AG384)))),0)</f>
        <v>0</v>
      </c>
      <c r="AH393" s="24">
        <f>IF(AH386=1,IF('Lease Cycles'!$AJ$30=1,0,'Lease Cycles'!$D$30*INDEX('Lease Cycles'!$FH$30:$FN$30,1,AH384)*IF(INDEX('Lease Cycles'!$EF$30:$EL$30,1,AH384)=1,1,IF(OR(INDEX('Lease Cycles'!$DY$30:$EE$30,1,AH384)=1,AH385&gt;0),1,1-INDEX('Lease Cycles'!$DD$30:$DJ$30,1,AH384)))),0)</f>
        <v>0</v>
      </c>
      <c r="AI393" s="24">
        <f>IF(AI386=1,IF('Lease Cycles'!$AJ$30=1,0,'Lease Cycles'!$D$30*INDEX('Lease Cycles'!$FH$30:$FN$30,1,AI384)*IF(INDEX('Lease Cycles'!$EF$30:$EL$30,1,AI384)=1,1,IF(OR(INDEX('Lease Cycles'!$DY$30:$EE$30,1,AI384)=1,AI385&gt;0),1,1-INDEX('Lease Cycles'!$DD$30:$DJ$30,1,AI384)))),0)</f>
        <v>0</v>
      </c>
      <c r="AJ393" s="24">
        <f>IF(AJ386=1,IF('Lease Cycles'!$AJ$30=1,0,'Lease Cycles'!$D$30*INDEX('Lease Cycles'!$FH$30:$FN$30,1,AJ384)*IF(INDEX('Lease Cycles'!$EF$30:$EL$30,1,AJ384)=1,1,IF(OR(INDEX('Lease Cycles'!$DY$30:$EE$30,1,AJ384)=1,AJ385&gt;0),1,1-INDEX('Lease Cycles'!$DD$30:$DJ$30,1,AJ384)))),0)</f>
        <v>0</v>
      </c>
      <c r="AK393" s="24">
        <f>IF(AK386=1,IF('Lease Cycles'!$AJ$30=1,0,'Lease Cycles'!$D$30*INDEX('Lease Cycles'!$FH$30:$FN$30,1,AK384)*IF(INDEX('Lease Cycles'!$EF$30:$EL$30,1,AK384)=1,1,IF(OR(INDEX('Lease Cycles'!$DY$30:$EE$30,1,AK384)=1,AK385&gt;0),1,1-INDEX('Lease Cycles'!$DD$30:$DJ$30,1,AK384)))),0)</f>
        <v>0</v>
      </c>
      <c r="AL393" s="24">
        <f>IF(AL386=1,IF('Lease Cycles'!$AJ$30=1,0,'Lease Cycles'!$D$30*INDEX('Lease Cycles'!$FH$30:$FN$30,1,AL384)*IF(INDEX('Lease Cycles'!$EF$30:$EL$30,1,AL384)=1,1,IF(OR(INDEX('Lease Cycles'!$DY$30:$EE$30,1,AL384)=1,AL385&gt;0),1,1-INDEX('Lease Cycles'!$DD$30:$DJ$30,1,AL384)))),0)</f>
        <v>0</v>
      </c>
      <c r="AM393" s="24">
        <f>IF(AM386=1,IF('Lease Cycles'!$AJ$30=1,0,'Lease Cycles'!$D$30*INDEX('Lease Cycles'!$FH$30:$FN$30,1,AM384)*IF(INDEX('Lease Cycles'!$EF$30:$EL$30,1,AM384)=1,1,IF(OR(INDEX('Lease Cycles'!$DY$30:$EE$30,1,AM384)=1,AM385&gt;0),1,1-INDEX('Lease Cycles'!$DD$30:$DJ$30,1,AM384)))),0)</f>
        <v>0</v>
      </c>
      <c r="AN393" s="24">
        <f>IF(AN386=1,IF('Lease Cycles'!$AJ$30=1,0,'Lease Cycles'!$D$30*INDEX('Lease Cycles'!$FH$30:$FN$30,1,AN384)*IF(INDEX('Lease Cycles'!$EF$30:$EL$30,1,AN384)=1,1,IF(OR(INDEX('Lease Cycles'!$DY$30:$EE$30,1,AN384)=1,AN385&gt;0),1,1-INDEX('Lease Cycles'!$DD$30:$DJ$30,1,AN384)))),0)</f>
        <v>0</v>
      </c>
      <c r="AO393" s="24">
        <f>IF(AO386=1,IF('Lease Cycles'!$AJ$30=1,0,'Lease Cycles'!$D$30*INDEX('Lease Cycles'!$FH$30:$FN$30,1,AO384)*IF(INDEX('Lease Cycles'!$EF$30:$EL$30,1,AO384)=1,1,IF(OR(INDEX('Lease Cycles'!$DY$30:$EE$30,1,AO384)=1,AO385&gt;0),1,1-INDEX('Lease Cycles'!$DD$30:$DJ$30,1,AO384)))),0)</f>
        <v>0</v>
      </c>
      <c r="AP393" s="24">
        <f>IF(AP386=1,IF('Lease Cycles'!$AJ$30=1,0,'Lease Cycles'!$D$30*INDEX('Lease Cycles'!$FH$30:$FN$30,1,AP384)*IF(INDEX('Lease Cycles'!$EF$30:$EL$30,1,AP384)=1,1,IF(OR(INDEX('Lease Cycles'!$DY$30:$EE$30,1,AP384)=1,AP385&gt;0),1,1-INDEX('Lease Cycles'!$DD$30:$DJ$30,1,AP384)))),0)</f>
        <v>0</v>
      </c>
      <c r="AQ393" s="24">
        <f>IF(AQ386=1,IF('Lease Cycles'!$AJ$30=1,0,'Lease Cycles'!$D$30*INDEX('Lease Cycles'!$FH$30:$FN$30,1,AQ384)*IF(INDEX('Lease Cycles'!$EF$30:$EL$30,1,AQ384)=1,1,IF(OR(INDEX('Lease Cycles'!$DY$30:$EE$30,1,AQ384)=1,AQ385&gt;0),1,1-INDEX('Lease Cycles'!$DD$30:$DJ$30,1,AQ384)))),0)</f>
        <v>0</v>
      </c>
      <c r="AR393" s="24">
        <f>IF(AR386=1,IF('Lease Cycles'!$AJ$30=1,0,'Lease Cycles'!$D$30*INDEX('Lease Cycles'!$FH$30:$FN$30,1,AR384)*IF(INDEX('Lease Cycles'!$EF$30:$EL$30,1,AR384)=1,1,IF(OR(INDEX('Lease Cycles'!$DY$30:$EE$30,1,AR384)=1,AR385&gt;0),1,1-INDEX('Lease Cycles'!$DD$30:$DJ$30,1,AR384)))),0)</f>
        <v>0</v>
      </c>
      <c r="AS393" s="24">
        <f>IF(AS386=1,IF('Lease Cycles'!$AJ$30=1,0,'Lease Cycles'!$D$30*INDEX('Lease Cycles'!$FH$30:$FN$30,1,AS384)*IF(INDEX('Lease Cycles'!$EF$30:$EL$30,1,AS384)=1,1,IF(OR(INDEX('Lease Cycles'!$DY$30:$EE$30,1,AS384)=1,AS385&gt;0),1,1-INDEX('Lease Cycles'!$DD$30:$DJ$30,1,AS384)))),0)</f>
        <v>0</v>
      </c>
      <c r="AT393" s="24">
        <f>IF(AT386=1,IF('Lease Cycles'!$AJ$30=1,0,'Lease Cycles'!$D$30*INDEX('Lease Cycles'!$FH$30:$FN$30,1,AT384)*IF(INDEX('Lease Cycles'!$EF$30:$EL$30,1,AT384)=1,1,IF(OR(INDEX('Lease Cycles'!$DY$30:$EE$30,1,AT384)=1,AT385&gt;0),1,1-INDEX('Lease Cycles'!$DD$30:$DJ$30,1,AT384)))),0)</f>
        <v>0</v>
      </c>
      <c r="AU393" s="24">
        <f>IF(AU386=1,IF('Lease Cycles'!$AJ$30=1,0,'Lease Cycles'!$D$30*INDEX('Lease Cycles'!$FH$30:$FN$30,1,AU384)*IF(INDEX('Lease Cycles'!$EF$30:$EL$30,1,AU384)=1,1,IF(OR(INDEX('Lease Cycles'!$DY$30:$EE$30,1,AU384)=1,AU385&gt;0),1,1-INDEX('Lease Cycles'!$DD$30:$DJ$30,1,AU384)))),0)</f>
        <v>0</v>
      </c>
      <c r="AV393" s="24">
        <f>IF(AV386=1,IF('Lease Cycles'!$AJ$30=1,0,'Lease Cycles'!$D$30*INDEX('Lease Cycles'!$FH$30:$FN$30,1,AV384)*IF(INDEX('Lease Cycles'!$EF$30:$EL$30,1,AV384)=1,1,IF(OR(INDEX('Lease Cycles'!$DY$30:$EE$30,1,AV384)=1,AV385&gt;0),1,1-INDEX('Lease Cycles'!$DD$30:$DJ$30,1,AV384)))),0)</f>
        <v>0</v>
      </c>
      <c r="AW393" s="24">
        <f>IF(AW386=1,IF('Lease Cycles'!$AJ$30=1,0,'Lease Cycles'!$D$30*INDEX('Lease Cycles'!$FH$30:$FN$30,1,AW384)*IF(INDEX('Lease Cycles'!$EF$30:$EL$30,1,AW384)=1,1,IF(OR(INDEX('Lease Cycles'!$DY$30:$EE$30,1,AW384)=1,AW385&gt;0),1,1-INDEX('Lease Cycles'!$DD$30:$DJ$30,1,AW384)))),0)</f>
        <v>0</v>
      </c>
      <c r="AX393" s="24">
        <f>IF(AX386=1,IF('Lease Cycles'!$AJ$30=1,0,'Lease Cycles'!$D$30*INDEX('Lease Cycles'!$FH$30:$FN$30,1,AX384)*IF(INDEX('Lease Cycles'!$EF$30:$EL$30,1,AX384)=1,1,IF(OR(INDEX('Lease Cycles'!$DY$30:$EE$30,1,AX384)=1,AX385&gt;0),1,1-INDEX('Lease Cycles'!$DD$30:$DJ$30,1,AX384)))),0)</f>
        <v>0</v>
      </c>
      <c r="AY393" s="24">
        <f>IF(AY386=1,IF('Lease Cycles'!$AJ$30=1,0,'Lease Cycles'!$D$30*INDEX('Lease Cycles'!$FH$30:$FN$30,1,AY384)*IF(INDEX('Lease Cycles'!$EF$30:$EL$30,1,AY384)=1,1,IF(OR(INDEX('Lease Cycles'!$DY$30:$EE$30,1,AY384)=1,AY385&gt;0),1,1-INDEX('Lease Cycles'!$DD$30:$DJ$30,1,AY384)))),0)</f>
        <v>0</v>
      </c>
      <c r="AZ393" s="24">
        <f>IF(AZ386=1,IF('Lease Cycles'!$AJ$30=1,0,'Lease Cycles'!$D$30*INDEX('Lease Cycles'!$FH$30:$FN$30,1,AZ384)*IF(INDEX('Lease Cycles'!$EF$30:$EL$30,1,AZ384)=1,1,IF(OR(INDEX('Lease Cycles'!$DY$30:$EE$30,1,AZ384)=1,AZ385&gt;0),1,1-INDEX('Lease Cycles'!$DD$30:$DJ$30,1,AZ384)))),0)</f>
        <v>0</v>
      </c>
      <c r="BA393" s="24">
        <f>IF(BA386=1,IF('Lease Cycles'!$AJ$30=1,0,'Lease Cycles'!$D$30*INDEX('Lease Cycles'!$FH$30:$FN$30,1,BA384)*IF(INDEX('Lease Cycles'!$EF$30:$EL$30,1,BA384)=1,1,IF(OR(INDEX('Lease Cycles'!$DY$30:$EE$30,1,BA384)=1,BA385&gt;0),1,1-INDEX('Lease Cycles'!$DD$30:$DJ$30,1,BA384)))),0)</f>
        <v>0</v>
      </c>
      <c r="BB393" s="24">
        <f>IF(BB386=1,IF('Lease Cycles'!$AJ$30=1,0,'Lease Cycles'!$D$30*INDEX('Lease Cycles'!$FH$30:$FN$30,1,BB384)*IF(INDEX('Lease Cycles'!$EF$30:$EL$30,1,BB384)=1,1,IF(OR(INDEX('Lease Cycles'!$DY$30:$EE$30,1,BB384)=1,BB385&gt;0),1,1-INDEX('Lease Cycles'!$DD$30:$DJ$30,1,BB384)))),0)</f>
        <v>0</v>
      </c>
      <c r="BC393" s="24">
        <f>IF(BC386=1,IF('Lease Cycles'!$AJ$30=1,0,'Lease Cycles'!$D$30*INDEX('Lease Cycles'!$FH$30:$FN$30,1,BC384)*IF(INDEX('Lease Cycles'!$EF$30:$EL$30,1,BC384)=1,1,IF(OR(INDEX('Lease Cycles'!$DY$30:$EE$30,1,BC384)=1,BC385&gt;0),1,1-INDEX('Lease Cycles'!$DD$30:$DJ$30,1,BC384)))),0)</f>
        <v>0</v>
      </c>
      <c r="BD393" s="24">
        <f>IF(BD386=1,IF('Lease Cycles'!$AJ$30=1,0,'Lease Cycles'!$D$30*INDEX('Lease Cycles'!$FH$30:$FN$30,1,BD384)*IF(INDEX('Lease Cycles'!$EF$30:$EL$30,1,BD384)=1,1,IF(OR(INDEX('Lease Cycles'!$DY$30:$EE$30,1,BD384)=1,BD385&gt;0),1,1-INDEX('Lease Cycles'!$DD$30:$DJ$30,1,BD384)))),0)</f>
        <v>0</v>
      </c>
      <c r="BE393" s="24">
        <f>IF(BE386=1,IF('Lease Cycles'!$AJ$30=1,0,'Lease Cycles'!$D$30*INDEX('Lease Cycles'!$FH$30:$FN$30,1,BE384)*IF(INDEX('Lease Cycles'!$EF$30:$EL$30,1,BE384)=1,1,IF(OR(INDEX('Lease Cycles'!$DY$30:$EE$30,1,BE384)=1,BE385&gt;0),1,1-INDEX('Lease Cycles'!$DD$30:$DJ$30,1,BE384)))),0)</f>
        <v>0</v>
      </c>
      <c r="BF393" s="24">
        <f>IF(BF386=1,IF('Lease Cycles'!$AJ$30=1,0,'Lease Cycles'!$D$30*INDEX('Lease Cycles'!$FH$30:$FN$30,1,BF384)*IF(INDEX('Lease Cycles'!$EF$30:$EL$30,1,BF384)=1,1,IF(OR(INDEX('Lease Cycles'!$DY$30:$EE$30,1,BF384)=1,BF385&gt;0),1,1-INDEX('Lease Cycles'!$DD$30:$DJ$30,1,BF384)))),0)</f>
        <v>0</v>
      </c>
      <c r="BG393" s="24">
        <f>IF(BG386=1,IF('Lease Cycles'!$AJ$30=1,0,'Lease Cycles'!$D$30*INDEX('Lease Cycles'!$FH$30:$FN$30,1,BG384)*IF(INDEX('Lease Cycles'!$EF$30:$EL$30,1,BG384)=1,1,IF(OR(INDEX('Lease Cycles'!$DY$30:$EE$30,1,BG384)=1,BG385&gt;0),1,1-INDEX('Lease Cycles'!$DD$30:$DJ$30,1,BG384)))),0)</f>
        <v>0</v>
      </c>
      <c r="BH393" s="24">
        <f>IF(BH386=1,IF('Lease Cycles'!$AJ$30=1,0,'Lease Cycles'!$D$30*INDEX('Lease Cycles'!$FH$30:$FN$30,1,BH384)*IF(INDEX('Lease Cycles'!$EF$30:$EL$30,1,BH384)=1,1,IF(OR(INDEX('Lease Cycles'!$DY$30:$EE$30,1,BH384)=1,BH385&gt;0),1,1-INDEX('Lease Cycles'!$DD$30:$DJ$30,1,BH384)))),0)</f>
        <v>0</v>
      </c>
      <c r="BI393" s="24">
        <f>IF(BI386=1,IF('Lease Cycles'!$AJ$30=1,0,'Lease Cycles'!$D$30*INDEX('Lease Cycles'!$FH$30:$FN$30,1,BI384)*IF(INDEX('Lease Cycles'!$EF$30:$EL$30,1,BI384)=1,1,IF(OR(INDEX('Lease Cycles'!$DY$30:$EE$30,1,BI384)=1,BI385&gt;0),1,1-INDEX('Lease Cycles'!$DD$30:$DJ$30,1,BI384)))),0)</f>
        <v>0</v>
      </c>
      <c r="BJ393" s="24">
        <f>IF(BJ386=1,IF('Lease Cycles'!$AJ$30=1,0,'Lease Cycles'!$D$30*INDEX('Lease Cycles'!$FH$30:$FN$30,1,BJ384)*IF(INDEX('Lease Cycles'!$EF$30:$EL$30,1,BJ384)=1,1,IF(OR(INDEX('Lease Cycles'!$DY$30:$EE$30,1,BJ384)=1,BJ385&gt;0),1,1-INDEX('Lease Cycles'!$DD$30:$DJ$30,1,BJ384)))),0)</f>
        <v>0</v>
      </c>
      <c r="BK393" s="24">
        <f>IF(BK386=1,IF('Lease Cycles'!$AJ$30=1,0,'Lease Cycles'!$D$30*INDEX('Lease Cycles'!$FH$30:$FN$30,1,BK384)*IF(INDEX('Lease Cycles'!$EF$30:$EL$30,1,BK384)=1,1,IF(OR(INDEX('Lease Cycles'!$DY$30:$EE$30,1,BK384)=1,BK385&gt;0),1,1-INDEX('Lease Cycles'!$DD$30:$DJ$30,1,BK384)))),0)</f>
        <v>0</v>
      </c>
      <c r="BL393" s="24">
        <f>IF(BL386=1,IF('Lease Cycles'!$AJ$30=1,0,'Lease Cycles'!$D$30*INDEX('Lease Cycles'!$FH$30:$FN$30,1,BL384)*IF(INDEX('Lease Cycles'!$EF$30:$EL$30,1,BL384)=1,1,IF(OR(INDEX('Lease Cycles'!$DY$30:$EE$30,1,BL384)=1,BL385&gt;0),1,1-INDEX('Lease Cycles'!$DD$30:$DJ$30,1,BL384)))),0)</f>
        <v>0</v>
      </c>
      <c r="BM393" s="24">
        <f>IF(BM386=1,IF('Lease Cycles'!$AJ$30=1,0,'Lease Cycles'!$D$30*INDEX('Lease Cycles'!$FH$30:$FN$30,1,BM384)*IF(INDEX('Lease Cycles'!$EF$30:$EL$30,1,BM384)=1,1,IF(OR(INDEX('Lease Cycles'!$DY$30:$EE$30,1,BM384)=1,BM385&gt;0),1,1-INDEX('Lease Cycles'!$DD$30:$DJ$30,1,BM384)))),0)</f>
        <v>0</v>
      </c>
      <c r="BN393" s="24">
        <f>IF(BN386=1,IF('Lease Cycles'!$AJ$30=1,0,'Lease Cycles'!$D$30*INDEX('Lease Cycles'!$FH$30:$FN$30,1,BN384)*IF(INDEX('Lease Cycles'!$EF$30:$EL$30,1,BN384)=1,1,IF(OR(INDEX('Lease Cycles'!$DY$30:$EE$30,1,BN384)=1,BN385&gt;0),1,1-INDEX('Lease Cycles'!$DD$30:$DJ$30,1,BN384)))),0)</f>
        <v>0</v>
      </c>
      <c r="BO393" s="24">
        <f>IF(BO386=1,IF('Lease Cycles'!$AJ$30=1,0,'Lease Cycles'!$D$30*INDEX('Lease Cycles'!$FH$30:$FN$30,1,BO384)*IF(INDEX('Lease Cycles'!$EF$30:$EL$30,1,BO384)=1,1,IF(OR(INDEX('Lease Cycles'!$DY$30:$EE$30,1,BO384)=1,BO385&gt;0),1,1-INDEX('Lease Cycles'!$DD$30:$DJ$30,1,BO384)))),0)</f>
        <v>0</v>
      </c>
      <c r="BP393" s="24">
        <f>IF(BP386=1,IF('Lease Cycles'!$AJ$30=1,0,'Lease Cycles'!$D$30*INDEX('Lease Cycles'!$FH$30:$FN$30,1,BP384)*IF(INDEX('Lease Cycles'!$EF$30:$EL$30,1,BP384)=1,1,IF(OR(INDEX('Lease Cycles'!$DY$30:$EE$30,1,BP384)=1,BP385&gt;0),1,1-INDEX('Lease Cycles'!$DD$30:$DJ$30,1,BP384)))),0)</f>
        <v>0</v>
      </c>
      <c r="BQ393" s="24">
        <f>IF(BQ386=1,IF('Lease Cycles'!$AJ$30=1,0,'Lease Cycles'!$D$30*INDEX('Lease Cycles'!$FH$30:$FN$30,1,BQ384)*IF(INDEX('Lease Cycles'!$EF$30:$EL$30,1,BQ384)=1,1,IF(OR(INDEX('Lease Cycles'!$DY$30:$EE$30,1,BQ384)=1,BQ385&gt;0),1,1-INDEX('Lease Cycles'!$DD$30:$DJ$30,1,BQ384)))),0)</f>
        <v>0</v>
      </c>
      <c r="BR393" s="24">
        <f>IF(BR386=1,IF('Lease Cycles'!$AJ$30=1,0,'Lease Cycles'!$D$30*INDEX('Lease Cycles'!$FH$30:$FN$30,1,BR384)*IF(INDEX('Lease Cycles'!$EF$30:$EL$30,1,BR384)=1,1,IF(OR(INDEX('Lease Cycles'!$DY$30:$EE$30,1,BR384)=1,BR385&gt;0),1,1-INDEX('Lease Cycles'!$DD$30:$DJ$30,1,BR384)))),0)</f>
        <v>0</v>
      </c>
      <c r="BS393" s="24">
        <f>IF(BS386=1,IF('Lease Cycles'!$AJ$30=1,0,'Lease Cycles'!$D$30*INDEX('Lease Cycles'!$FH$30:$FN$30,1,BS384)*IF(INDEX('Lease Cycles'!$EF$30:$EL$30,1,BS384)=1,1,IF(OR(INDEX('Lease Cycles'!$DY$30:$EE$30,1,BS384)=1,BS385&gt;0),1,1-INDEX('Lease Cycles'!$DD$30:$DJ$30,1,BS384)))),0)</f>
        <v>0</v>
      </c>
      <c r="BT393" s="24">
        <f>IF(BT386=1,IF('Lease Cycles'!$AJ$30=1,0,'Lease Cycles'!$D$30*INDEX('Lease Cycles'!$FH$30:$FN$30,1,BT384)*IF(INDEX('Lease Cycles'!$EF$30:$EL$30,1,BT384)=1,1,IF(OR(INDEX('Lease Cycles'!$DY$30:$EE$30,1,BT384)=1,BT385&gt;0),1,1-INDEX('Lease Cycles'!$DD$30:$DJ$30,1,BT384)))),0)</f>
        <v>0</v>
      </c>
      <c r="BU393" s="24">
        <f>IF(BU386=1,IF('Lease Cycles'!$AJ$30=1,0,'Lease Cycles'!$D$30*INDEX('Lease Cycles'!$FH$30:$FN$30,1,BU384)*IF(INDEX('Lease Cycles'!$EF$30:$EL$30,1,BU384)=1,1,IF(OR(INDEX('Lease Cycles'!$DY$30:$EE$30,1,BU384)=1,BU385&gt;0),1,1-INDEX('Lease Cycles'!$DD$30:$DJ$30,1,BU384)))),0)</f>
        <v>0</v>
      </c>
      <c r="BV393" s="24">
        <f>IF(BV386=1,IF('Lease Cycles'!$AJ$30=1,0,'Lease Cycles'!$D$30*INDEX('Lease Cycles'!$FH$30:$FN$30,1,BV384)*IF(INDEX('Lease Cycles'!$EF$30:$EL$30,1,BV384)=1,1,IF(OR(INDEX('Lease Cycles'!$DY$30:$EE$30,1,BV384)=1,BV385&gt;0),1,1-INDEX('Lease Cycles'!$DD$30:$DJ$30,1,BV384)))),0)</f>
        <v>0</v>
      </c>
      <c r="BW393" s="24">
        <f>IF(BW386=1,IF('Lease Cycles'!$AJ$30=1,0,'Lease Cycles'!$D$30*INDEX('Lease Cycles'!$FH$30:$FN$30,1,BW384)*IF(INDEX('Lease Cycles'!$EF$30:$EL$30,1,BW384)=1,1,IF(OR(INDEX('Lease Cycles'!$DY$30:$EE$30,1,BW384)=1,BW385&gt;0),1,1-INDEX('Lease Cycles'!$DD$30:$DJ$30,1,BW384)))),0)</f>
        <v>0</v>
      </c>
      <c r="BX393" s="24">
        <f>IF(BX386=1,IF('Lease Cycles'!$AJ$30=1,0,'Lease Cycles'!$D$30*INDEX('Lease Cycles'!$FH$30:$FN$30,1,BX384)*IF(INDEX('Lease Cycles'!$EF$30:$EL$30,1,BX384)=1,1,IF(OR(INDEX('Lease Cycles'!$DY$30:$EE$30,1,BX384)=1,BX385&gt;0),1,1-INDEX('Lease Cycles'!$DD$30:$DJ$30,1,BX384)))),0)</f>
        <v>0</v>
      </c>
      <c r="BY393" s="24">
        <f>IF(BY386=1,IF('Lease Cycles'!$AJ$30=1,0,'Lease Cycles'!$D$30*INDEX('Lease Cycles'!$FH$30:$FN$30,1,BY384)*IF(INDEX('Lease Cycles'!$EF$30:$EL$30,1,BY384)=1,1,IF(OR(INDEX('Lease Cycles'!$DY$30:$EE$30,1,BY384)=1,BY385&gt;0),1,1-INDEX('Lease Cycles'!$DD$30:$DJ$30,1,BY384)))),0)</f>
        <v>0</v>
      </c>
      <c r="BZ393" s="24">
        <f>IF(BZ386=1,IF('Lease Cycles'!$AJ$30=1,0,'Lease Cycles'!$D$30*INDEX('Lease Cycles'!$FH$30:$FN$30,1,BZ384)*IF(INDEX('Lease Cycles'!$EF$30:$EL$30,1,BZ384)=1,1,IF(OR(INDEX('Lease Cycles'!$DY$30:$EE$30,1,BZ384)=1,BZ385&gt;0),1,1-INDEX('Lease Cycles'!$DD$30:$DJ$30,1,BZ384)))),0)</f>
        <v>0</v>
      </c>
      <c r="CA393" s="24">
        <f>IF(CA386=1,IF('Lease Cycles'!$AJ$30=1,0,'Lease Cycles'!$D$30*INDEX('Lease Cycles'!$FH$30:$FN$30,1,CA384)*IF(INDEX('Lease Cycles'!$EF$30:$EL$30,1,CA384)=1,1,IF(OR(INDEX('Lease Cycles'!$DY$30:$EE$30,1,CA384)=1,CA385&gt;0),1,1-INDEX('Lease Cycles'!$DD$30:$DJ$30,1,CA384)))),0)</f>
        <v>0</v>
      </c>
      <c r="CB393" s="24">
        <f>IF(CB386=1,IF('Lease Cycles'!$AJ$30=1,0,'Lease Cycles'!$D$30*INDEX('Lease Cycles'!$FH$30:$FN$30,1,CB384)*IF(INDEX('Lease Cycles'!$EF$30:$EL$30,1,CB384)=1,1,IF(OR(INDEX('Lease Cycles'!$DY$30:$EE$30,1,CB384)=1,CB385&gt;0),1,1-INDEX('Lease Cycles'!$DD$30:$DJ$30,1,CB384)))),0)</f>
        <v>0</v>
      </c>
      <c r="CC393" s="24">
        <f>IF(CC386=1,IF('Lease Cycles'!$AJ$30=1,0,'Lease Cycles'!$D$30*INDEX('Lease Cycles'!$FH$30:$FN$30,1,CC384)*IF(INDEX('Lease Cycles'!$EF$30:$EL$30,1,CC384)=1,1,IF(OR(INDEX('Lease Cycles'!$DY$30:$EE$30,1,CC384)=1,CC385&gt;0),1,1-INDEX('Lease Cycles'!$DD$30:$DJ$30,1,CC384)))),0)</f>
        <v>0</v>
      </c>
      <c r="CD393" s="24">
        <f>IF(CD386=1,IF('Lease Cycles'!$AJ$30=1,0,'Lease Cycles'!$D$30*INDEX('Lease Cycles'!$FH$30:$FN$30,1,CD384)*IF(INDEX('Lease Cycles'!$EF$30:$EL$30,1,CD384)=1,1,IF(OR(INDEX('Lease Cycles'!$DY$30:$EE$30,1,CD384)=1,CD385&gt;0),1,1-INDEX('Lease Cycles'!$DD$30:$DJ$30,1,CD384)))),0)</f>
        <v>0</v>
      </c>
      <c r="CE393" s="24">
        <f>IF(CE386=1,IF('Lease Cycles'!$AJ$30=1,0,'Lease Cycles'!$D$30*INDEX('Lease Cycles'!$FH$30:$FN$30,1,CE384)*IF(INDEX('Lease Cycles'!$EF$30:$EL$30,1,CE384)=1,1,IF(OR(INDEX('Lease Cycles'!$DY$30:$EE$30,1,CE384)=1,CE385&gt;0),1,1-INDEX('Lease Cycles'!$DD$30:$DJ$30,1,CE384)))),0)</f>
        <v>0</v>
      </c>
      <c r="CF393" s="24">
        <f>IF(CF386=1,IF('Lease Cycles'!$AJ$30=1,0,'Lease Cycles'!$D$30*INDEX('Lease Cycles'!$FH$30:$FN$30,1,CF384)*IF(INDEX('Lease Cycles'!$EF$30:$EL$30,1,CF384)=1,1,IF(OR(INDEX('Lease Cycles'!$DY$30:$EE$30,1,CF384)=1,CF385&gt;0),1,1-INDEX('Lease Cycles'!$DD$30:$DJ$30,1,CF384)))),0)</f>
        <v>0</v>
      </c>
      <c r="CG393" s="24">
        <f>IF(CG386=1,IF('Lease Cycles'!$AJ$30=1,0,'Lease Cycles'!$D$30*INDEX('Lease Cycles'!$FH$30:$FN$30,1,CG384)*IF(INDEX('Lease Cycles'!$EF$30:$EL$30,1,CG384)=1,1,IF(OR(INDEX('Lease Cycles'!$DY$30:$EE$30,1,CG384)=1,CG385&gt;0),1,1-INDEX('Lease Cycles'!$DD$30:$DJ$30,1,CG384)))),0)</f>
        <v>0</v>
      </c>
      <c r="CH393" s="24">
        <f>IF(CH386=1,IF('Lease Cycles'!$AJ$30=1,0,'Lease Cycles'!$D$30*INDEX('Lease Cycles'!$FH$30:$FN$30,1,CH384)*IF(INDEX('Lease Cycles'!$EF$30:$EL$30,1,CH384)=1,1,IF(OR(INDEX('Lease Cycles'!$DY$30:$EE$30,1,CH384)=1,CH385&gt;0),1,1-INDEX('Lease Cycles'!$DD$30:$DJ$30,1,CH384)))),0)</f>
        <v>0</v>
      </c>
      <c r="CI393" s="24">
        <f>IF(CI386=1,IF('Lease Cycles'!$AJ$30=1,0,'Lease Cycles'!$D$30*INDEX('Lease Cycles'!$FH$30:$FN$30,1,CI384)*IF(INDEX('Lease Cycles'!$EF$30:$EL$30,1,CI384)=1,1,IF(OR(INDEX('Lease Cycles'!$DY$30:$EE$30,1,CI384)=1,CI385&gt;0),1,1-INDEX('Lease Cycles'!$DD$30:$DJ$30,1,CI384)))),0)</f>
        <v>0</v>
      </c>
      <c r="CJ393" s="24">
        <f>IF(CJ386=1,IF('Lease Cycles'!$AJ$30=1,0,'Lease Cycles'!$D$30*INDEX('Lease Cycles'!$FH$30:$FN$30,1,CJ384)*IF(INDEX('Lease Cycles'!$EF$30:$EL$30,1,CJ384)=1,1,IF(OR(INDEX('Lease Cycles'!$DY$30:$EE$30,1,CJ384)=1,CJ385&gt;0),1,1-INDEX('Lease Cycles'!$DD$30:$DJ$30,1,CJ384)))),0)</f>
        <v>0</v>
      </c>
      <c r="CK393" s="24">
        <f>IF(CK386=1,IF('Lease Cycles'!$AJ$30=1,0,'Lease Cycles'!$D$30*INDEX('Lease Cycles'!$FH$30:$FN$30,1,CK384)*IF(INDEX('Lease Cycles'!$EF$30:$EL$30,1,CK384)=1,1,IF(OR(INDEX('Lease Cycles'!$DY$30:$EE$30,1,CK384)=1,CK385&gt;0),1,1-INDEX('Lease Cycles'!$DD$30:$DJ$30,1,CK384)))),0)</f>
        <v>0</v>
      </c>
      <c r="CL393" s="24">
        <f>IF(CL386=1,IF('Lease Cycles'!$AJ$30=1,0,'Lease Cycles'!$D$30*INDEX('Lease Cycles'!$FH$30:$FN$30,1,CL384)*IF(INDEX('Lease Cycles'!$EF$30:$EL$30,1,CL384)=1,1,IF(OR(INDEX('Lease Cycles'!$DY$30:$EE$30,1,CL384)=1,CL385&gt;0),1,1-INDEX('Lease Cycles'!$DD$30:$DJ$30,1,CL384)))),0)</f>
        <v>0</v>
      </c>
      <c r="CM393" s="24">
        <f>IF(CM386=1,IF('Lease Cycles'!$AJ$30=1,0,'Lease Cycles'!$D$30*INDEX('Lease Cycles'!$FH$30:$FN$30,1,CM384)*IF(INDEX('Lease Cycles'!$EF$30:$EL$30,1,CM384)=1,1,IF(OR(INDEX('Lease Cycles'!$DY$30:$EE$30,1,CM384)=1,CM385&gt;0),1,1-INDEX('Lease Cycles'!$DD$30:$DJ$30,1,CM384)))),0)</f>
        <v>0</v>
      </c>
      <c r="CN393" s="24">
        <f>IF(CN386=1,IF('Lease Cycles'!$AJ$30=1,0,'Lease Cycles'!$D$30*INDEX('Lease Cycles'!$FH$30:$FN$30,1,CN384)*IF(INDEX('Lease Cycles'!$EF$30:$EL$30,1,CN384)=1,1,IF(OR(INDEX('Lease Cycles'!$DY$30:$EE$30,1,CN384)=1,CN385&gt;0),1,1-INDEX('Lease Cycles'!$DD$30:$DJ$30,1,CN384)))),0)</f>
        <v>0</v>
      </c>
      <c r="CO393" s="24">
        <f>IF(CO386=1,IF('Lease Cycles'!$AJ$30=1,0,'Lease Cycles'!$D$30*INDEX('Lease Cycles'!$FH$30:$FN$30,1,CO384)*IF(INDEX('Lease Cycles'!$EF$30:$EL$30,1,CO384)=1,1,IF(OR(INDEX('Lease Cycles'!$DY$30:$EE$30,1,CO384)=1,CO385&gt;0),1,1-INDEX('Lease Cycles'!$DD$30:$DJ$30,1,CO384)))),0)</f>
        <v>0</v>
      </c>
      <c r="CP393" s="24">
        <f>IF(CP386=1,IF('Lease Cycles'!$AJ$30=1,0,'Lease Cycles'!$D$30*INDEX('Lease Cycles'!$FH$30:$FN$30,1,CP384)*IF(INDEX('Lease Cycles'!$EF$30:$EL$30,1,CP384)=1,1,IF(OR(INDEX('Lease Cycles'!$DY$30:$EE$30,1,CP384)=1,CP385&gt;0),1,1-INDEX('Lease Cycles'!$DD$30:$DJ$30,1,CP384)))),0)</f>
        <v>0</v>
      </c>
      <c r="CQ393" s="24">
        <f>IF(CQ386=1,IF('Lease Cycles'!$AJ$30=1,0,'Lease Cycles'!$D$30*INDEX('Lease Cycles'!$FH$30:$FN$30,1,CQ384)*IF(INDEX('Lease Cycles'!$EF$30:$EL$30,1,CQ384)=1,1,IF(OR(INDEX('Lease Cycles'!$DY$30:$EE$30,1,CQ384)=1,CQ385&gt;0),1,1-INDEX('Lease Cycles'!$DD$30:$DJ$30,1,CQ384)))),0)</f>
        <v>0</v>
      </c>
      <c r="CR393" s="24">
        <f>IF(CR386=1,IF('Lease Cycles'!$AJ$30=1,0,'Lease Cycles'!$D$30*INDEX('Lease Cycles'!$FH$30:$FN$30,1,CR384)*IF(INDEX('Lease Cycles'!$EF$30:$EL$30,1,CR384)=1,1,IF(OR(INDEX('Lease Cycles'!$DY$30:$EE$30,1,CR384)=1,CR385&gt;0),1,1-INDEX('Lease Cycles'!$DD$30:$DJ$30,1,CR384)))),0)</f>
        <v>0</v>
      </c>
      <c r="CS393" s="24">
        <f>IF(CS386=1,IF('Lease Cycles'!$AJ$30=1,0,'Lease Cycles'!$D$30*INDEX('Lease Cycles'!$FH$30:$FN$30,1,CS384)*IF(INDEX('Lease Cycles'!$EF$30:$EL$30,1,CS384)=1,1,IF(OR(INDEX('Lease Cycles'!$DY$30:$EE$30,1,CS384)=1,CS385&gt;0),1,1-INDEX('Lease Cycles'!$DD$30:$DJ$30,1,CS384)))),0)</f>
        <v>0</v>
      </c>
      <c r="CT393" s="24">
        <f>IF(CT386=1,IF('Lease Cycles'!$AJ$30=1,0,'Lease Cycles'!$D$30*INDEX('Lease Cycles'!$FH$30:$FN$30,1,CT384)*IF(INDEX('Lease Cycles'!$EF$30:$EL$30,1,CT384)=1,1,IF(OR(INDEX('Lease Cycles'!$DY$30:$EE$30,1,CT384)=1,CT385&gt;0),1,1-INDEX('Lease Cycles'!$DD$30:$DJ$30,1,CT384)))),0)</f>
        <v>0</v>
      </c>
      <c r="CU393" s="24">
        <f>IF(CU386=1,IF('Lease Cycles'!$AJ$30=1,0,'Lease Cycles'!$D$30*INDEX('Lease Cycles'!$FH$30:$FN$30,1,CU384)*IF(INDEX('Lease Cycles'!$EF$30:$EL$30,1,CU384)=1,1,IF(OR(INDEX('Lease Cycles'!$DY$30:$EE$30,1,CU384)=1,CU385&gt;0),1,1-INDEX('Lease Cycles'!$DD$30:$DJ$30,1,CU384)))),0)</f>
        <v>0</v>
      </c>
      <c r="CV393" s="24">
        <f>IF(CV386=1,IF('Lease Cycles'!$AJ$30=1,0,'Lease Cycles'!$D$30*INDEX('Lease Cycles'!$FH$30:$FN$30,1,CV384)*IF(INDEX('Lease Cycles'!$EF$30:$EL$30,1,CV384)=1,1,IF(OR(INDEX('Lease Cycles'!$DY$30:$EE$30,1,CV384)=1,CV385&gt;0),1,1-INDEX('Lease Cycles'!$DD$30:$DJ$30,1,CV384)))),0)</f>
        <v>0</v>
      </c>
      <c r="CW393" s="24">
        <f>IF(CW386=1,IF('Lease Cycles'!$AJ$30=1,0,'Lease Cycles'!$D$30*INDEX('Lease Cycles'!$FH$30:$FN$30,1,CW384)*IF(INDEX('Lease Cycles'!$EF$30:$EL$30,1,CW384)=1,1,IF(OR(INDEX('Lease Cycles'!$DY$30:$EE$30,1,CW384)=1,CW385&gt;0),1,1-INDEX('Lease Cycles'!$DD$30:$DJ$30,1,CW384)))),0)</f>
        <v>0</v>
      </c>
      <c r="CX393" s="24">
        <f>IF(CX386=1,IF('Lease Cycles'!$AJ$30=1,0,'Lease Cycles'!$D$30*INDEX('Lease Cycles'!$FH$30:$FN$30,1,CX384)*IF(INDEX('Lease Cycles'!$EF$30:$EL$30,1,CX384)=1,1,IF(OR(INDEX('Lease Cycles'!$DY$30:$EE$30,1,CX384)=1,CX385&gt;0),1,1-INDEX('Lease Cycles'!$DD$30:$DJ$30,1,CX384)))),0)</f>
        <v>0</v>
      </c>
      <c r="CY393" s="24">
        <f>IF(CY386=1,IF('Lease Cycles'!$AJ$30=1,0,'Lease Cycles'!$D$30*INDEX('Lease Cycles'!$FH$30:$FN$30,1,CY384)*IF(INDEX('Lease Cycles'!$EF$30:$EL$30,1,CY384)=1,1,IF(OR(INDEX('Lease Cycles'!$DY$30:$EE$30,1,CY384)=1,CY385&gt;0),1,1-INDEX('Lease Cycles'!$DD$30:$DJ$30,1,CY384)))),0)</f>
        <v>0</v>
      </c>
      <c r="CZ393" s="24">
        <f>IF(CZ386=1,IF('Lease Cycles'!$AJ$30=1,0,'Lease Cycles'!$D$30*INDEX('Lease Cycles'!$FH$30:$FN$30,1,CZ384)*IF(INDEX('Lease Cycles'!$EF$30:$EL$30,1,CZ384)=1,1,IF(OR(INDEX('Lease Cycles'!$DY$30:$EE$30,1,CZ384)=1,CZ385&gt;0),1,1-INDEX('Lease Cycles'!$DD$30:$DJ$30,1,CZ384)))),0)</f>
        <v>0</v>
      </c>
      <c r="DA393" s="24">
        <f>IF(DA386=1,IF('Lease Cycles'!$AJ$30=1,0,'Lease Cycles'!$D$30*INDEX('Lease Cycles'!$FH$30:$FN$30,1,DA384)*IF(INDEX('Lease Cycles'!$EF$30:$EL$30,1,DA384)=1,1,IF(OR(INDEX('Lease Cycles'!$DY$30:$EE$30,1,DA384)=1,DA385&gt;0),1,1-INDEX('Lease Cycles'!$DD$30:$DJ$30,1,DA384)))),0)</f>
        <v>0</v>
      </c>
      <c r="DB393" s="24">
        <f>IF(DB386=1,IF('Lease Cycles'!$AJ$30=1,0,'Lease Cycles'!$D$30*INDEX('Lease Cycles'!$FH$30:$FN$30,1,DB384)*IF(INDEX('Lease Cycles'!$EF$30:$EL$30,1,DB384)=1,1,IF(OR(INDEX('Lease Cycles'!$DY$30:$EE$30,1,DB384)=1,DB385&gt;0),1,1-INDEX('Lease Cycles'!$DD$30:$DJ$30,1,DB384)))),0)</f>
        <v>0</v>
      </c>
      <c r="DC393" s="24">
        <f>IF(DC386=1,IF('Lease Cycles'!$AJ$30=1,0,'Lease Cycles'!$D$30*INDEX('Lease Cycles'!$FH$30:$FN$30,1,DC384)*IF(INDEX('Lease Cycles'!$EF$30:$EL$30,1,DC384)=1,1,IF(OR(INDEX('Lease Cycles'!$DY$30:$EE$30,1,DC384)=1,DC385&gt;0),1,1-INDEX('Lease Cycles'!$DD$30:$DJ$30,1,DC384)))),0)</f>
        <v>0</v>
      </c>
      <c r="DD393" s="24">
        <f>IF(DD386=1,IF('Lease Cycles'!$AJ$30=1,0,'Lease Cycles'!$D$30*INDEX('Lease Cycles'!$FH$30:$FN$30,1,DD384)*IF(INDEX('Lease Cycles'!$EF$30:$EL$30,1,DD384)=1,1,IF(OR(INDEX('Lease Cycles'!$DY$30:$EE$30,1,DD384)=1,DD385&gt;0),1,1-INDEX('Lease Cycles'!$DD$30:$DJ$30,1,DD384)))),0)</f>
        <v>0</v>
      </c>
      <c r="DE393" s="24">
        <f>IF(DE386=1,IF('Lease Cycles'!$AJ$30=1,0,'Lease Cycles'!$D$30*INDEX('Lease Cycles'!$FH$30:$FN$30,1,DE384)*IF(INDEX('Lease Cycles'!$EF$30:$EL$30,1,DE384)=1,1,IF(OR(INDEX('Lease Cycles'!$DY$30:$EE$30,1,DE384)=1,DE385&gt;0),1,1-INDEX('Lease Cycles'!$DD$30:$DJ$30,1,DE384)))),0)</f>
        <v>0</v>
      </c>
      <c r="DF393" s="24">
        <f>IF(DF386=1,IF('Lease Cycles'!$AJ$30=1,0,'Lease Cycles'!$D$30*INDEX('Lease Cycles'!$FH$30:$FN$30,1,DF384)*IF(INDEX('Lease Cycles'!$EF$30:$EL$30,1,DF384)=1,1,IF(OR(INDEX('Lease Cycles'!$DY$30:$EE$30,1,DF384)=1,DF385&gt;0),1,1-INDEX('Lease Cycles'!$DD$30:$DJ$30,1,DF384)))),0)</f>
        <v>0</v>
      </c>
      <c r="DG393" s="24">
        <f>IF(DG386=1,IF('Lease Cycles'!$AJ$30=1,0,'Lease Cycles'!$D$30*INDEX('Lease Cycles'!$FH$30:$FN$30,1,DG384)*IF(INDEX('Lease Cycles'!$EF$30:$EL$30,1,DG384)=1,1,IF(OR(INDEX('Lease Cycles'!$DY$30:$EE$30,1,DG384)=1,DG385&gt;0),1,1-INDEX('Lease Cycles'!$DD$30:$DJ$30,1,DG384)))),0)</f>
        <v>0</v>
      </c>
      <c r="DH393" s="24">
        <f>IF(DH386=1,IF('Lease Cycles'!$AJ$30=1,0,'Lease Cycles'!$D$30*INDEX('Lease Cycles'!$FH$30:$FN$30,1,DH384)*IF(INDEX('Lease Cycles'!$EF$30:$EL$30,1,DH384)=1,1,IF(OR(INDEX('Lease Cycles'!$DY$30:$EE$30,1,DH384)=1,DH385&gt;0),1,1-INDEX('Lease Cycles'!$DD$30:$DJ$30,1,DH384)))),0)</f>
        <v>0</v>
      </c>
      <c r="DI393" s="24">
        <f>IF(DI386=1,IF('Lease Cycles'!$AJ$30=1,0,'Lease Cycles'!$D$30*INDEX('Lease Cycles'!$FH$30:$FN$30,1,DI384)*IF(INDEX('Lease Cycles'!$EF$30:$EL$30,1,DI384)=1,1,IF(OR(INDEX('Lease Cycles'!$DY$30:$EE$30,1,DI384)=1,DI385&gt;0),1,1-INDEX('Lease Cycles'!$DD$30:$DJ$30,1,DI384)))),0)</f>
        <v>0</v>
      </c>
      <c r="DJ393" s="24">
        <f>IF(DJ386=1,IF('Lease Cycles'!$AJ$30=1,0,'Lease Cycles'!$D$30*INDEX('Lease Cycles'!$FH$30:$FN$30,1,DJ384)*IF(INDEX('Lease Cycles'!$EF$30:$EL$30,1,DJ384)=1,1,IF(OR(INDEX('Lease Cycles'!$DY$30:$EE$30,1,DJ384)=1,DJ385&gt;0),1,1-INDEX('Lease Cycles'!$DD$30:$DJ$30,1,DJ384)))),0)</f>
        <v>0</v>
      </c>
      <c r="DK393" s="24">
        <f>IF(DK386=1,IF('Lease Cycles'!$AJ$30=1,0,'Lease Cycles'!$D$30*INDEX('Lease Cycles'!$FH$30:$FN$30,1,DK384)*IF(INDEX('Lease Cycles'!$EF$30:$EL$30,1,DK384)=1,1,IF(OR(INDEX('Lease Cycles'!$DY$30:$EE$30,1,DK384)=1,DK385&gt;0),1,1-INDEX('Lease Cycles'!$DD$30:$DJ$30,1,DK384)))),0)</f>
        <v>0</v>
      </c>
      <c r="DL393" s="24">
        <f>IF(DL386=1,IF('Lease Cycles'!$AJ$30=1,0,'Lease Cycles'!$D$30*INDEX('Lease Cycles'!$FH$30:$FN$30,1,DL384)*IF(INDEX('Lease Cycles'!$EF$30:$EL$30,1,DL384)=1,1,IF(OR(INDEX('Lease Cycles'!$DY$30:$EE$30,1,DL384)=1,DL385&gt;0),1,1-INDEX('Lease Cycles'!$DD$30:$DJ$30,1,DL384)))),0)</f>
        <v>0</v>
      </c>
      <c r="DM393" s="24">
        <f>IF(DM386=1,IF('Lease Cycles'!$AJ$30=1,0,'Lease Cycles'!$D$30*INDEX('Lease Cycles'!$FH$30:$FN$30,1,DM384)*IF(INDEX('Lease Cycles'!$EF$30:$EL$30,1,DM384)=1,1,IF(OR(INDEX('Lease Cycles'!$DY$30:$EE$30,1,DM384)=1,DM385&gt;0),1,1-INDEX('Lease Cycles'!$DD$30:$DJ$30,1,DM384)))),0)</f>
        <v>0</v>
      </c>
      <c r="DN393" s="24">
        <f>IF(DN386=1,IF('Lease Cycles'!$AJ$30=1,0,'Lease Cycles'!$D$30*INDEX('Lease Cycles'!$FH$30:$FN$30,1,DN384)*IF(INDEX('Lease Cycles'!$EF$30:$EL$30,1,DN384)=1,1,IF(OR(INDEX('Lease Cycles'!$DY$30:$EE$30,1,DN384)=1,DN385&gt;0),1,1-INDEX('Lease Cycles'!$DD$30:$DJ$30,1,DN384)))),0)</f>
        <v>0</v>
      </c>
      <c r="DO393" s="24">
        <f>IF(DO386=1,IF('Lease Cycles'!$AJ$30=1,0,'Lease Cycles'!$D$30*INDEX('Lease Cycles'!$FH$30:$FN$30,1,DO384)*IF(INDEX('Lease Cycles'!$EF$30:$EL$30,1,DO384)=1,1,IF(OR(INDEX('Lease Cycles'!$DY$30:$EE$30,1,DO384)=1,DO385&gt;0),1,1-INDEX('Lease Cycles'!$DD$30:$DJ$30,1,DO384)))),0)</f>
        <v>0</v>
      </c>
      <c r="DP393" s="24">
        <f>IF(DP386=1,IF('Lease Cycles'!$AJ$30=1,0,'Lease Cycles'!$D$30*INDEX('Lease Cycles'!$FH$30:$FN$30,1,DP384)*IF(INDEX('Lease Cycles'!$EF$30:$EL$30,1,DP384)=1,1,IF(OR(INDEX('Lease Cycles'!$DY$30:$EE$30,1,DP384)=1,DP385&gt;0),1,1-INDEX('Lease Cycles'!$DD$30:$DJ$30,1,DP384)))),0)</f>
        <v>0</v>
      </c>
      <c r="DQ393" s="24">
        <f>IF(DQ386=1,IF('Lease Cycles'!$AJ$30=1,0,'Lease Cycles'!$D$30*INDEX('Lease Cycles'!$FH$30:$FN$30,1,DQ384)*IF(INDEX('Lease Cycles'!$EF$30:$EL$30,1,DQ384)=1,1,IF(OR(INDEX('Lease Cycles'!$DY$30:$EE$30,1,DQ384)=1,DQ385&gt;0),1,1-INDEX('Lease Cycles'!$DD$30:$DJ$30,1,DQ384)))),0)</f>
        <v>0</v>
      </c>
      <c r="DR393" s="24">
        <f>IF(DR386=1,IF('Lease Cycles'!$AJ$30=1,0,'Lease Cycles'!$D$30*INDEX('Lease Cycles'!$FH$30:$FN$30,1,DR384)*IF(INDEX('Lease Cycles'!$EF$30:$EL$30,1,DR384)=1,1,IF(OR(INDEX('Lease Cycles'!$DY$30:$EE$30,1,DR384)=1,DR385&gt;0),1,1-INDEX('Lease Cycles'!$DD$30:$DJ$30,1,DR384)))),0)</f>
        <v>0</v>
      </c>
      <c r="DS393" s="24">
        <f>IF(DS386=1,IF('Lease Cycles'!$AJ$30=1,0,'Lease Cycles'!$D$30*INDEX('Lease Cycles'!$FH$30:$FN$30,1,DS384)*IF(INDEX('Lease Cycles'!$EF$30:$EL$30,1,DS384)=1,1,IF(OR(INDEX('Lease Cycles'!$DY$30:$EE$30,1,DS384)=1,DS385&gt;0),1,1-INDEX('Lease Cycles'!$DD$30:$DJ$30,1,DS384)))),0)</f>
        <v>0</v>
      </c>
      <c r="DT393" s="24">
        <f>IF(DT386=1,IF('Lease Cycles'!$AJ$30=1,0,'Lease Cycles'!$D$30*INDEX('Lease Cycles'!$FH$30:$FN$30,1,DT384)*IF(INDEX('Lease Cycles'!$EF$30:$EL$30,1,DT384)=1,1,IF(OR(INDEX('Lease Cycles'!$DY$30:$EE$30,1,DT384)=1,DT385&gt;0),1,1-INDEX('Lease Cycles'!$DD$30:$DJ$30,1,DT384)))),0)</f>
        <v>0</v>
      </c>
      <c r="DU393" s="24">
        <f>IF(DU386=1,IF('Lease Cycles'!$AJ$30=1,0,'Lease Cycles'!$D$30*INDEX('Lease Cycles'!$FH$30:$FN$30,1,DU384)*IF(INDEX('Lease Cycles'!$EF$30:$EL$30,1,DU384)=1,1,IF(OR(INDEX('Lease Cycles'!$DY$30:$EE$30,1,DU384)=1,DU385&gt;0),1,1-INDEX('Lease Cycles'!$DD$30:$DJ$30,1,DU384)))),0)</f>
        <v>0</v>
      </c>
      <c r="DV393" s="24">
        <f>IF(DV386=1,IF('Lease Cycles'!$AJ$30=1,0,'Lease Cycles'!$D$30*INDEX('Lease Cycles'!$FH$30:$FN$30,1,DV384)*IF(INDEX('Lease Cycles'!$EF$30:$EL$30,1,DV384)=1,1,IF(OR(INDEX('Lease Cycles'!$DY$30:$EE$30,1,DV384)=1,DV385&gt;0),1,1-INDEX('Lease Cycles'!$DD$30:$DJ$30,1,DV384)))),0)</f>
        <v>0</v>
      </c>
      <c r="DW393" s="24">
        <f>IF(DW386=1,IF('Lease Cycles'!$AJ$30=1,0,'Lease Cycles'!$D$30*INDEX('Lease Cycles'!$FH$30:$FN$30,1,DW384)*IF(INDEX('Lease Cycles'!$EF$30:$EL$30,1,DW384)=1,1,IF(OR(INDEX('Lease Cycles'!$DY$30:$EE$30,1,DW384)=1,DW385&gt;0),1,1-INDEX('Lease Cycles'!$DD$30:$DJ$30,1,DW384)))),0)</f>
        <v>0</v>
      </c>
      <c r="DX393" s="24">
        <f>IF(DX386=1,IF('Lease Cycles'!$AJ$30=1,0,'Lease Cycles'!$D$30*INDEX('Lease Cycles'!$FH$30:$FN$30,1,DX384)*IF(INDEX('Lease Cycles'!$EF$30:$EL$30,1,DX384)=1,1,IF(OR(INDEX('Lease Cycles'!$DY$30:$EE$30,1,DX384)=1,DX385&gt;0),1,1-INDEX('Lease Cycles'!$DD$30:$DJ$30,1,DX384)))),0)</f>
        <v>0</v>
      </c>
      <c r="DY393" s="24">
        <f>IF(DY386=1,IF('Lease Cycles'!$AJ$30=1,0,'Lease Cycles'!$D$30*INDEX('Lease Cycles'!$FH$30:$FN$30,1,DY384)*IF(INDEX('Lease Cycles'!$EF$30:$EL$30,1,DY384)=1,1,IF(OR(INDEX('Lease Cycles'!$DY$30:$EE$30,1,DY384)=1,DY385&gt;0),1,1-INDEX('Lease Cycles'!$DD$30:$DJ$30,1,DY384)))),0)</f>
        <v>0</v>
      </c>
      <c r="DZ393" s="24">
        <f>IF(DZ386=1,IF('Lease Cycles'!$AJ$30=1,0,'Lease Cycles'!$D$30*INDEX('Lease Cycles'!$FH$30:$FN$30,1,DZ384)*IF(INDEX('Lease Cycles'!$EF$30:$EL$30,1,DZ384)=1,1,IF(OR(INDEX('Lease Cycles'!$DY$30:$EE$30,1,DZ384)=1,DZ385&gt;0),1,1-INDEX('Lease Cycles'!$DD$30:$DJ$30,1,DZ384)))),0)</f>
        <v>0</v>
      </c>
      <c r="EA393" s="24">
        <f>IF(EA386=1,IF('Lease Cycles'!$AJ$30=1,0,'Lease Cycles'!$D$30*INDEX('Lease Cycles'!$FH$30:$FN$30,1,EA384)*IF(INDEX('Lease Cycles'!$EF$30:$EL$30,1,EA384)=1,1,IF(OR(INDEX('Lease Cycles'!$DY$30:$EE$30,1,EA384)=1,EA385&gt;0),1,1-INDEX('Lease Cycles'!$DD$30:$DJ$30,1,EA384)))),0)</f>
        <v>0</v>
      </c>
      <c r="EB393" s="24">
        <f>IF(EB386=1,IF('Lease Cycles'!$AJ$30=1,0,'Lease Cycles'!$D$30*INDEX('Lease Cycles'!$FH$30:$FN$30,1,EB384)*IF(INDEX('Lease Cycles'!$EF$30:$EL$30,1,EB384)=1,1,IF(OR(INDEX('Lease Cycles'!$DY$30:$EE$30,1,EB384)=1,EB385&gt;0),1,1-INDEX('Lease Cycles'!$DD$30:$DJ$30,1,EB384)))),0)</f>
        <v>0</v>
      </c>
      <c r="EC393" s="24">
        <f>IF(EC386=1,IF('Lease Cycles'!$AJ$30=1,0,'Lease Cycles'!$D$30*INDEX('Lease Cycles'!$FH$30:$FN$30,1,EC384)*IF(INDEX('Lease Cycles'!$EF$30:$EL$30,1,EC384)=1,1,IF(OR(INDEX('Lease Cycles'!$DY$30:$EE$30,1,EC384)=1,EC385&gt;0),1,1-INDEX('Lease Cycles'!$DD$30:$DJ$30,1,EC384)))),0)</f>
        <v>0</v>
      </c>
      <c r="ED393" s="24">
        <f>IF(ED386=1,IF('Lease Cycles'!$AJ$30=1,0,'Lease Cycles'!$D$30*INDEX('Lease Cycles'!$FH$30:$FN$30,1,ED384)*IF(INDEX('Lease Cycles'!$EF$30:$EL$30,1,ED384)=1,1,IF(OR(INDEX('Lease Cycles'!$DY$30:$EE$30,1,ED384)=1,ED385&gt;0),1,1-INDEX('Lease Cycles'!$DD$30:$DJ$30,1,ED384)))),0)</f>
        <v>0</v>
      </c>
      <c r="EE393" s="24">
        <f>IF(EE386=1,IF('Lease Cycles'!$AJ$30=1,0,'Lease Cycles'!$D$30*INDEX('Lease Cycles'!$FH$30:$FN$30,1,EE384)*IF(INDEX('Lease Cycles'!$EF$30:$EL$30,1,EE384)=1,1,IF(OR(INDEX('Lease Cycles'!$DY$30:$EE$30,1,EE384)=1,EE385&gt;0),1,1-INDEX('Lease Cycles'!$DD$30:$DJ$30,1,EE384)))),0)</f>
        <v>0</v>
      </c>
      <c r="EF393" s="24">
        <f>IF(EF386=1,IF('Lease Cycles'!$AJ$30=1,0,'Lease Cycles'!$D$30*INDEX('Lease Cycles'!$FH$30:$FN$30,1,EF384)*IF(INDEX('Lease Cycles'!$EF$30:$EL$30,1,EF384)=1,1,IF(OR(INDEX('Lease Cycles'!$DY$30:$EE$30,1,EF384)=1,EF385&gt;0),1,1-INDEX('Lease Cycles'!$DD$30:$DJ$30,1,EF384)))),0)</f>
        <v>0</v>
      </c>
      <c r="EG393" s="24">
        <f>IF(EG386=1,IF('Lease Cycles'!$AJ$30=1,0,'Lease Cycles'!$D$30*INDEX('Lease Cycles'!$FH$30:$FN$30,1,EG384)*IF(INDEX('Lease Cycles'!$EF$30:$EL$30,1,EG384)=1,1,IF(OR(INDEX('Lease Cycles'!$DY$30:$EE$30,1,EG384)=1,EG385&gt;0),1,1-INDEX('Lease Cycles'!$DD$30:$DJ$30,1,EG384)))),0)</f>
        <v>0</v>
      </c>
      <c r="EH393" s="24">
        <f>IF(EH386=1,IF('Lease Cycles'!$AJ$30=1,0,'Lease Cycles'!$D$30*INDEX('Lease Cycles'!$FH$30:$FN$30,1,EH384)*IF(INDEX('Lease Cycles'!$EF$30:$EL$30,1,EH384)=1,1,IF(OR(INDEX('Lease Cycles'!$DY$30:$EE$30,1,EH384)=1,EH385&gt;0),1,1-INDEX('Lease Cycles'!$DD$30:$DJ$30,1,EH384)))),0)</f>
        <v>0</v>
      </c>
      <c r="EI393" s="24">
        <f>IF(EI386=1,IF('Lease Cycles'!$AJ$30=1,0,'Lease Cycles'!$D$30*INDEX('Lease Cycles'!$FH$30:$FN$30,1,EI384)*IF(INDEX('Lease Cycles'!$EF$30:$EL$30,1,EI384)=1,1,IF(OR(INDEX('Lease Cycles'!$DY$30:$EE$30,1,EI384)=1,EI385&gt;0),1,1-INDEX('Lease Cycles'!$DD$30:$DJ$30,1,EI384)))),0)</f>
        <v>0</v>
      </c>
      <c r="EJ393" s="24">
        <f>IF(EJ386=1,IF('Lease Cycles'!$AJ$30=1,0,'Lease Cycles'!$D$30*INDEX('Lease Cycles'!$FH$30:$FN$30,1,EJ384)*IF(INDEX('Lease Cycles'!$EF$30:$EL$30,1,EJ384)=1,1,IF(OR(INDEX('Lease Cycles'!$DY$30:$EE$30,1,EJ384)=1,EJ385&gt;0),1,1-INDEX('Lease Cycles'!$DD$30:$DJ$30,1,EJ384)))),0)</f>
        <v>0</v>
      </c>
      <c r="EK393" s="24">
        <f>IF(EK386=1,IF('Lease Cycles'!$AJ$30=1,0,'Lease Cycles'!$D$30*INDEX('Lease Cycles'!$FH$30:$FN$30,1,EK384)*IF(INDEX('Lease Cycles'!$EF$30:$EL$30,1,EK384)=1,1,IF(OR(INDEX('Lease Cycles'!$DY$30:$EE$30,1,EK384)=1,EK385&gt;0),1,1-INDEX('Lease Cycles'!$DD$30:$DJ$30,1,EK384)))),0)</f>
        <v>0</v>
      </c>
      <c r="EL393" s="24">
        <f>IF(EL386=1,IF('Lease Cycles'!$AJ$30=1,0,'Lease Cycles'!$D$30*INDEX('Lease Cycles'!$FH$30:$FN$30,1,EL384)*IF(INDEX('Lease Cycles'!$EF$30:$EL$30,1,EL384)=1,1,IF(OR(INDEX('Lease Cycles'!$DY$30:$EE$30,1,EL384)=1,EL385&gt;0),1,1-INDEX('Lease Cycles'!$DD$30:$DJ$30,1,EL384)))),0)</f>
        <v>0</v>
      </c>
      <c r="EM393" s="24">
        <f>IF(EM386=1,IF('Lease Cycles'!$AJ$30=1,0,'Lease Cycles'!$D$30*INDEX('Lease Cycles'!$FH$30:$FN$30,1,EM384)*IF(INDEX('Lease Cycles'!$EF$30:$EL$30,1,EM384)=1,1,IF(OR(INDEX('Lease Cycles'!$DY$30:$EE$30,1,EM384)=1,EM385&gt;0),1,1-INDEX('Lease Cycles'!$DD$30:$DJ$30,1,EM384)))),0)</f>
        <v>0</v>
      </c>
      <c r="EN393" s="24">
        <f>IF(EN386=1,IF('Lease Cycles'!$AJ$30=1,0,'Lease Cycles'!$D$30*INDEX('Lease Cycles'!$FH$30:$FN$30,1,EN384)*IF(INDEX('Lease Cycles'!$EF$30:$EL$30,1,EN384)=1,1,IF(OR(INDEX('Lease Cycles'!$DY$30:$EE$30,1,EN384)=1,EN385&gt;0),1,1-INDEX('Lease Cycles'!$DD$30:$DJ$30,1,EN384)))),0)</f>
        <v>0</v>
      </c>
      <c r="EO393" s="24">
        <f>IF(EO386=1,IF('Lease Cycles'!$AJ$30=1,0,'Lease Cycles'!$D$30*INDEX('Lease Cycles'!$FH$30:$FN$30,1,EO384)*IF(INDEX('Lease Cycles'!$EF$30:$EL$30,1,EO384)=1,1,IF(OR(INDEX('Lease Cycles'!$DY$30:$EE$30,1,EO384)=1,EO385&gt;0),1,1-INDEX('Lease Cycles'!$DD$30:$DJ$30,1,EO384)))),0)</f>
        <v>0</v>
      </c>
      <c r="EP393" s="24">
        <f>IF(EP386=1,IF('Lease Cycles'!$AJ$30=1,0,'Lease Cycles'!$D$30*INDEX('Lease Cycles'!$FH$30:$FN$30,1,EP384)*IF(INDEX('Lease Cycles'!$EF$30:$EL$30,1,EP384)=1,1,IF(OR(INDEX('Lease Cycles'!$DY$30:$EE$30,1,EP384)=1,EP385&gt;0),1,1-INDEX('Lease Cycles'!$DD$30:$DJ$30,1,EP384)))),0)</f>
        <v>0</v>
      </c>
      <c r="EQ393" s="24">
        <f>IF(EQ386=1,IF('Lease Cycles'!$AJ$30=1,0,'Lease Cycles'!$D$30*INDEX('Lease Cycles'!$FH$30:$FN$30,1,EQ384)*IF(INDEX('Lease Cycles'!$EF$30:$EL$30,1,EQ384)=1,1,IF(OR(INDEX('Lease Cycles'!$DY$30:$EE$30,1,EQ384)=1,EQ385&gt;0),1,1-INDEX('Lease Cycles'!$DD$30:$DJ$30,1,EQ384)))),0)</f>
        <v>0</v>
      </c>
      <c r="ER393" s="24">
        <f>IF(ER386=1,IF('Lease Cycles'!$AJ$30=1,0,'Lease Cycles'!$D$30*INDEX('Lease Cycles'!$FH$30:$FN$30,1,ER384)*IF(INDEX('Lease Cycles'!$EF$30:$EL$30,1,ER384)=1,1,IF(OR(INDEX('Lease Cycles'!$DY$30:$EE$30,1,ER384)=1,ER385&gt;0),1,1-INDEX('Lease Cycles'!$DD$30:$DJ$30,1,ER384)))),0)</f>
        <v>0</v>
      </c>
      <c r="ES393" s="24">
        <f>IF(ES386=1,IF('Lease Cycles'!$AJ$30=1,0,'Lease Cycles'!$D$30*INDEX('Lease Cycles'!$FH$30:$FN$30,1,ES384)*IF(INDEX('Lease Cycles'!$EF$30:$EL$30,1,ES384)=1,1,IF(OR(INDEX('Lease Cycles'!$DY$30:$EE$30,1,ES384)=1,ES385&gt;0),1,1-INDEX('Lease Cycles'!$DD$30:$DJ$30,1,ES384)))),0)</f>
        <v>0</v>
      </c>
      <c r="ET393" s="24">
        <f>IF(ET386=1,IF('Lease Cycles'!$AJ$30=1,0,'Lease Cycles'!$D$30*INDEX('Lease Cycles'!$FH$30:$FN$30,1,ET384)*IF(INDEX('Lease Cycles'!$EF$30:$EL$30,1,ET384)=1,1,IF(OR(INDEX('Lease Cycles'!$DY$30:$EE$30,1,ET384)=1,ET385&gt;0),1,1-INDEX('Lease Cycles'!$DD$30:$DJ$30,1,ET384)))),0)</f>
        <v>0</v>
      </c>
    </row>
    <row r="394">
      <c r="A394" s="103">
        <v>23</v>
      </c>
      <c r="B394" s="23" t="str">
        <f>IF('Lease Cycles'!$B$30="","(empty slot)",'Lease Cycles'!$B$30)</f>
        <v>(empty slot)</v>
      </c>
      <c r="C394" s="23" t="s">
        <v>687</v>
      </c>
      <c r="D394" s="104" t="s">
        <v>688</v>
      </c>
      <c r="E394" s="25">
        <f>'Lease Cycles'!$AL$30</f>
        <v>0</v>
      </c>
      <c r="G394" s="24">
        <f>SUM(S394:AD394)</f>
        <v>0</v>
      </c>
      <c r="H394" s="24">
        <f>SUM(AE394:AP394)</f>
        <v>0</v>
      </c>
      <c r="I394" s="24">
        <f>SUM(AQ394:BB394)</f>
        <v>0</v>
      </c>
      <c r="J394" s="24">
        <f>SUM(BC394:BN394)</f>
        <v>0</v>
      </c>
      <c r="K394" s="24">
        <f>SUM(BO394:BZ394)</f>
        <v>0</v>
      </c>
      <c r="L394" s="24">
        <f>SUM(CA394:CL394)</f>
        <v>0</v>
      </c>
      <c r="M394" s="24">
        <f>SUM(CM394:CX394)</f>
        <v>0</v>
      </c>
      <c r="N394" s="24">
        <f>SUM(CY394:DJ394)</f>
        <v>0</v>
      </c>
      <c r="O394" s="24">
        <f>SUM(DK394:DV394)</f>
        <v>0</v>
      </c>
      <c r="P394" s="24">
        <f>SUM(DW394:EH394)</f>
        <v>0</v>
      </c>
      <c r="Q394" s="24">
        <f>SUM(EI394:ET394)</f>
        <v>0</v>
      </c>
      <c r="S394" s="24">
        <f>IF(S386=1,'Lease Cycles'!$D$30*IF(INDEX('Lease Cycles'!$EF$30:$EL$30,1,S384)=1,'Lease Cycles'!$AJ$30*INDEX('Lease Cycles'!$FO$30:$FU$30,1,S384)*INDEX('Lease Cycles'!$EM$30:$ES$30,1,S384)+'Lease Cycles'!$BE$30*IF(S385&lt;INDEX('Lease Cycles'!$FA$30:$FG$30,1,S384),0,1-INDEX('Lease Cycles'!$EM$30:$ES$30,1,S384)),IF(OR(INDEX('Lease Cycles'!$DY$30:$EE$30,1,S384)=1,S385&gt;0),1,1-INDEX('Lease Cycles'!$DD$30:$DJ$30,1,S384))*('Lease Cycles'!$AJ$30*INDEX('Lease Cycles'!$FO$30:$FU$30,1,S384)+'Lease Cycles'!$BE$30*(1-INDEX('Lease Cycles'!$FO$30:$FU$30,1,S384)))),0)</f>
        <v>0</v>
      </c>
      <c r="T394" s="24">
        <f>IF(T386=1,'Lease Cycles'!$D$30*IF(INDEX('Lease Cycles'!$EF$30:$EL$30,1,T384)=1,'Lease Cycles'!$AJ$30*INDEX('Lease Cycles'!$FO$30:$FU$30,1,T384)*INDEX('Lease Cycles'!$EM$30:$ES$30,1,T384)+'Lease Cycles'!$BE$30*IF(T385&lt;INDEX('Lease Cycles'!$FA$30:$FG$30,1,T384),0,1-INDEX('Lease Cycles'!$EM$30:$ES$30,1,T384)),IF(OR(INDEX('Lease Cycles'!$DY$30:$EE$30,1,T384)=1,T385&gt;0),1,1-INDEX('Lease Cycles'!$DD$30:$DJ$30,1,T384))*('Lease Cycles'!$AJ$30*INDEX('Lease Cycles'!$FO$30:$FU$30,1,T384)+'Lease Cycles'!$BE$30*(1-INDEX('Lease Cycles'!$FO$30:$FU$30,1,T384)))),0)</f>
        <v>0</v>
      </c>
      <c r="U394" s="24">
        <f>IF(U386=1,'Lease Cycles'!$D$30*IF(INDEX('Lease Cycles'!$EF$30:$EL$30,1,U384)=1,'Lease Cycles'!$AJ$30*INDEX('Lease Cycles'!$FO$30:$FU$30,1,U384)*INDEX('Lease Cycles'!$EM$30:$ES$30,1,U384)+'Lease Cycles'!$BE$30*IF(U385&lt;INDEX('Lease Cycles'!$FA$30:$FG$30,1,U384),0,1-INDEX('Lease Cycles'!$EM$30:$ES$30,1,U384)),IF(OR(INDEX('Lease Cycles'!$DY$30:$EE$30,1,U384)=1,U385&gt;0),1,1-INDEX('Lease Cycles'!$DD$30:$DJ$30,1,U384))*('Lease Cycles'!$AJ$30*INDEX('Lease Cycles'!$FO$30:$FU$30,1,U384)+'Lease Cycles'!$BE$30*(1-INDEX('Lease Cycles'!$FO$30:$FU$30,1,U384)))),0)</f>
        <v>0</v>
      </c>
      <c r="V394" s="24">
        <f>IF(V386=1,'Lease Cycles'!$D$30*IF(INDEX('Lease Cycles'!$EF$30:$EL$30,1,V384)=1,'Lease Cycles'!$AJ$30*INDEX('Lease Cycles'!$FO$30:$FU$30,1,V384)*INDEX('Lease Cycles'!$EM$30:$ES$30,1,V384)+'Lease Cycles'!$BE$30*IF(V385&lt;INDEX('Lease Cycles'!$FA$30:$FG$30,1,V384),0,1-INDEX('Lease Cycles'!$EM$30:$ES$30,1,V384)),IF(OR(INDEX('Lease Cycles'!$DY$30:$EE$30,1,V384)=1,V385&gt;0),1,1-INDEX('Lease Cycles'!$DD$30:$DJ$30,1,V384))*('Lease Cycles'!$AJ$30*INDEX('Lease Cycles'!$FO$30:$FU$30,1,V384)+'Lease Cycles'!$BE$30*(1-INDEX('Lease Cycles'!$FO$30:$FU$30,1,V384)))),0)</f>
        <v>0</v>
      </c>
      <c r="W394" s="24">
        <f>IF(W386=1,'Lease Cycles'!$D$30*IF(INDEX('Lease Cycles'!$EF$30:$EL$30,1,W384)=1,'Lease Cycles'!$AJ$30*INDEX('Lease Cycles'!$FO$30:$FU$30,1,W384)*INDEX('Lease Cycles'!$EM$30:$ES$30,1,W384)+'Lease Cycles'!$BE$30*IF(W385&lt;INDEX('Lease Cycles'!$FA$30:$FG$30,1,W384),0,1-INDEX('Lease Cycles'!$EM$30:$ES$30,1,W384)),IF(OR(INDEX('Lease Cycles'!$DY$30:$EE$30,1,W384)=1,W385&gt;0),1,1-INDEX('Lease Cycles'!$DD$30:$DJ$30,1,W384))*('Lease Cycles'!$AJ$30*INDEX('Lease Cycles'!$FO$30:$FU$30,1,W384)+'Lease Cycles'!$BE$30*(1-INDEX('Lease Cycles'!$FO$30:$FU$30,1,W384)))),0)</f>
        <v>0</v>
      </c>
      <c r="X394" s="24">
        <f>IF(X386=1,'Lease Cycles'!$D$30*IF(INDEX('Lease Cycles'!$EF$30:$EL$30,1,X384)=1,'Lease Cycles'!$AJ$30*INDEX('Lease Cycles'!$FO$30:$FU$30,1,X384)*INDEX('Lease Cycles'!$EM$30:$ES$30,1,X384)+'Lease Cycles'!$BE$30*IF(X385&lt;INDEX('Lease Cycles'!$FA$30:$FG$30,1,X384),0,1-INDEX('Lease Cycles'!$EM$30:$ES$30,1,X384)),IF(OR(INDEX('Lease Cycles'!$DY$30:$EE$30,1,X384)=1,X385&gt;0),1,1-INDEX('Lease Cycles'!$DD$30:$DJ$30,1,X384))*('Lease Cycles'!$AJ$30*INDEX('Lease Cycles'!$FO$30:$FU$30,1,X384)+'Lease Cycles'!$BE$30*(1-INDEX('Lease Cycles'!$FO$30:$FU$30,1,X384)))),0)</f>
        <v>0</v>
      </c>
      <c r="Y394" s="24">
        <f>IF(Y386=1,'Lease Cycles'!$D$30*IF(INDEX('Lease Cycles'!$EF$30:$EL$30,1,Y384)=1,'Lease Cycles'!$AJ$30*INDEX('Lease Cycles'!$FO$30:$FU$30,1,Y384)*INDEX('Lease Cycles'!$EM$30:$ES$30,1,Y384)+'Lease Cycles'!$BE$30*IF(Y385&lt;INDEX('Lease Cycles'!$FA$30:$FG$30,1,Y384),0,1-INDEX('Lease Cycles'!$EM$30:$ES$30,1,Y384)),IF(OR(INDEX('Lease Cycles'!$DY$30:$EE$30,1,Y384)=1,Y385&gt;0),1,1-INDEX('Lease Cycles'!$DD$30:$DJ$30,1,Y384))*('Lease Cycles'!$AJ$30*INDEX('Lease Cycles'!$FO$30:$FU$30,1,Y384)+'Lease Cycles'!$BE$30*(1-INDEX('Lease Cycles'!$FO$30:$FU$30,1,Y384)))),0)</f>
        <v>0</v>
      </c>
      <c r="Z394" s="24">
        <f>IF(Z386=1,'Lease Cycles'!$D$30*IF(INDEX('Lease Cycles'!$EF$30:$EL$30,1,Z384)=1,'Lease Cycles'!$AJ$30*INDEX('Lease Cycles'!$FO$30:$FU$30,1,Z384)*INDEX('Lease Cycles'!$EM$30:$ES$30,1,Z384)+'Lease Cycles'!$BE$30*IF(Z385&lt;INDEX('Lease Cycles'!$FA$30:$FG$30,1,Z384),0,1-INDEX('Lease Cycles'!$EM$30:$ES$30,1,Z384)),IF(OR(INDEX('Lease Cycles'!$DY$30:$EE$30,1,Z384)=1,Z385&gt;0),1,1-INDEX('Lease Cycles'!$DD$30:$DJ$30,1,Z384))*('Lease Cycles'!$AJ$30*INDEX('Lease Cycles'!$FO$30:$FU$30,1,Z384)+'Lease Cycles'!$BE$30*(1-INDEX('Lease Cycles'!$FO$30:$FU$30,1,Z384)))),0)</f>
        <v>0</v>
      </c>
      <c r="AA394" s="24">
        <f>IF(AA386=1,'Lease Cycles'!$D$30*IF(INDEX('Lease Cycles'!$EF$30:$EL$30,1,AA384)=1,'Lease Cycles'!$AJ$30*INDEX('Lease Cycles'!$FO$30:$FU$30,1,AA384)*INDEX('Lease Cycles'!$EM$30:$ES$30,1,AA384)+'Lease Cycles'!$BE$30*IF(AA385&lt;INDEX('Lease Cycles'!$FA$30:$FG$30,1,AA384),0,1-INDEX('Lease Cycles'!$EM$30:$ES$30,1,AA384)),IF(OR(INDEX('Lease Cycles'!$DY$30:$EE$30,1,AA384)=1,AA385&gt;0),1,1-INDEX('Lease Cycles'!$DD$30:$DJ$30,1,AA384))*('Lease Cycles'!$AJ$30*INDEX('Lease Cycles'!$FO$30:$FU$30,1,AA384)+'Lease Cycles'!$BE$30*(1-INDEX('Lease Cycles'!$FO$30:$FU$30,1,AA384)))),0)</f>
        <v>0</v>
      </c>
      <c r="AB394" s="24">
        <f>IF(AB386=1,'Lease Cycles'!$D$30*IF(INDEX('Lease Cycles'!$EF$30:$EL$30,1,AB384)=1,'Lease Cycles'!$AJ$30*INDEX('Lease Cycles'!$FO$30:$FU$30,1,AB384)*INDEX('Lease Cycles'!$EM$30:$ES$30,1,AB384)+'Lease Cycles'!$BE$30*IF(AB385&lt;INDEX('Lease Cycles'!$FA$30:$FG$30,1,AB384),0,1-INDEX('Lease Cycles'!$EM$30:$ES$30,1,AB384)),IF(OR(INDEX('Lease Cycles'!$DY$30:$EE$30,1,AB384)=1,AB385&gt;0),1,1-INDEX('Lease Cycles'!$DD$30:$DJ$30,1,AB384))*('Lease Cycles'!$AJ$30*INDEX('Lease Cycles'!$FO$30:$FU$30,1,AB384)+'Lease Cycles'!$BE$30*(1-INDEX('Lease Cycles'!$FO$30:$FU$30,1,AB384)))),0)</f>
        <v>0</v>
      </c>
      <c r="AC394" s="24">
        <f>IF(AC386=1,'Lease Cycles'!$D$30*IF(INDEX('Lease Cycles'!$EF$30:$EL$30,1,AC384)=1,'Lease Cycles'!$AJ$30*INDEX('Lease Cycles'!$FO$30:$FU$30,1,AC384)*INDEX('Lease Cycles'!$EM$30:$ES$30,1,AC384)+'Lease Cycles'!$BE$30*IF(AC385&lt;INDEX('Lease Cycles'!$FA$30:$FG$30,1,AC384),0,1-INDEX('Lease Cycles'!$EM$30:$ES$30,1,AC384)),IF(OR(INDEX('Lease Cycles'!$DY$30:$EE$30,1,AC384)=1,AC385&gt;0),1,1-INDEX('Lease Cycles'!$DD$30:$DJ$30,1,AC384))*('Lease Cycles'!$AJ$30*INDEX('Lease Cycles'!$FO$30:$FU$30,1,AC384)+'Lease Cycles'!$BE$30*(1-INDEX('Lease Cycles'!$FO$30:$FU$30,1,AC384)))),0)</f>
        <v>0</v>
      </c>
      <c r="AD394" s="24">
        <f>IF(AD386=1,'Lease Cycles'!$D$30*IF(INDEX('Lease Cycles'!$EF$30:$EL$30,1,AD384)=1,'Lease Cycles'!$AJ$30*INDEX('Lease Cycles'!$FO$30:$FU$30,1,AD384)*INDEX('Lease Cycles'!$EM$30:$ES$30,1,AD384)+'Lease Cycles'!$BE$30*IF(AD385&lt;INDEX('Lease Cycles'!$FA$30:$FG$30,1,AD384),0,1-INDEX('Lease Cycles'!$EM$30:$ES$30,1,AD384)),IF(OR(INDEX('Lease Cycles'!$DY$30:$EE$30,1,AD384)=1,AD385&gt;0),1,1-INDEX('Lease Cycles'!$DD$30:$DJ$30,1,AD384))*('Lease Cycles'!$AJ$30*INDEX('Lease Cycles'!$FO$30:$FU$30,1,AD384)+'Lease Cycles'!$BE$30*(1-INDEX('Lease Cycles'!$FO$30:$FU$30,1,AD384)))),0)</f>
        <v>0</v>
      </c>
      <c r="AE394" s="24">
        <f>IF(AE386=1,'Lease Cycles'!$D$30*IF(INDEX('Lease Cycles'!$EF$30:$EL$30,1,AE384)=1,'Lease Cycles'!$AJ$30*INDEX('Lease Cycles'!$FO$30:$FU$30,1,AE384)*INDEX('Lease Cycles'!$EM$30:$ES$30,1,AE384)+'Lease Cycles'!$BE$30*IF(AE385&lt;INDEX('Lease Cycles'!$FA$30:$FG$30,1,AE384),0,1-INDEX('Lease Cycles'!$EM$30:$ES$30,1,AE384)),IF(OR(INDEX('Lease Cycles'!$DY$30:$EE$30,1,AE384)=1,AE385&gt;0),1,1-INDEX('Lease Cycles'!$DD$30:$DJ$30,1,AE384))*('Lease Cycles'!$AJ$30*INDEX('Lease Cycles'!$FO$30:$FU$30,1,AE384)+'Lease Cycles'!$BE$30*(1-INDEX('Lease Cycles'!$FO$30:$FU$30,1,AE384)))),0)</f>
        <v>0</v>
      </c>
      <c r="AF394" s="24">
        <f>IF(AF386=1,'Lease Cycles'!$D$30*IF(INDEX('Lease Cycles'!$EF$30:$EL$30,1,AF384)=1,'Lease Cycles'!$AJ$30*INDEX('Lease Cycles'!$FO$30:$FU$30,1,AF384)*INDEX('Lease Cycles'!$EM$30:$ES$30,1,AF384)+'Lease Cycles'!$BE$30*IF(AF385&lt;INDEX('Lease Cycles'!$FA$30:$FG$30,1,AF384),0,1-INDEX('Lease Cycles'!$EM$30:$ES$30,1,AF384)),IF(OR(INDEX('Lease Cycles'!$DY$30:$EE$30,1,AF384)=1,AF385&gt;0),1,1-INDEX('Lease Cycles'!$DD$30:$DJ$30,1,AF384))*('Lease Cycles'!$AJ$30*INDEX('Lease Cycles'!$FO$30:$FU$30,1,AF384)+'Lease Cycles'!$BE$30*(1-INDEX('Lease Cycles'!$FO$30:$FU$30,1,AF384)))),0)</f>
        <v>0</v>
      </c>
      <c r="AG394" s="24">
        <f>IF(AG386=1,'Lease Cycles'!$D$30*IF(INDEX('Lease Cycles'!$EF$30:$EL$30,1,AG384)=1,'Lease Cycles'!$AJ$30*INDEX('Lease Cycles'!$FO$30:$FU$30,1,AG384)*INDEX('Lease Cycles'!$EM$30:$ES$30,1,AG384)+'Lease Cycles'!$BE$30*IF(AG385&lt;INDEX('Lease Cycles'!$FA$30:$FG$30,1,AG384),0,1-INDEX('Lease Cycles'!$EM$30:$ES$30,1,AG384)),IF(OR(INDEX('Lease Cycles'!$DY$30:$EE$30,1,AG384)=1,AG385&gt;0),1,1-INDEX('Lease Cycles'!$DD$30:$DJ$30,1,AG384))*('Lease Cycles'!$AJ$30*INDEX('Lease Cycles'!$FO$30:$FU$30,1,AG384)+'Lease Cycles'!$BE$30*(1-INDEX('Lease Cycles'!$FO$30:$FU$30,1,AG384)))),0)</f>
        <v>0</v>
      </c>
      <c r="AH394" s="24">
        <f>IF(AH386=1,'Lease Cycles'!$D$30*IF(INDEX('Lease Cycles'!$EF$30:$EL$30,1,AH384)=1,'Lease Cycles'!$AJ$30*INDEX('Lease Cycles'!$FO$30:$FU$30,1,AH384)*INDEX('Lease Cycles'!$EM$30:$ES$30,1,AH384)+'Lease Cycles'!$BE$30*IF(AH385&lt;INDEX('Lease Cycles'!$FA$30:$FG$30,1,AH384),0,1-INDEX('Lease Cycles'!$EM$30:$ES$30,1,AH384)),IF(OR(INDEX('Lease Cycles'!$DY$30:$EE$30,1,AH384)=1,AH385&gt;0),1,1-INDEX('Lease Cycles'!$DD$30:$DJ$30,1,AH384))*('Lease Cycles'!$AJ$30*INDEX('Lease Cycles'!$FO$30:$FU$30,1,AH384)+'Lease Cycles'!$BE$30*(1-INDEX('Lease Cycles'!$FO$30:$FU$30,1,AH384)))),0)</f>
        <v>0</v>
      </c>
      <c r="AI394" s="24">
        <f>IF(AI386=1,'Lease Cycles'!$D$30*IF(INDEX('Lease Cycles'!$EF$30:$EL$30,1,AI384)=1,'Lease Cycles'!$AJ$30*INDEX('Lease Cycles'!$FO$30:$FU$30,1,AI384)*INDEX('Lease Cycles'!$EM$30:$ES$30,1,AI384)+'Lease Cycles'!$BE$30*IF(AI385&lt;INDEX('Lease Cycles'!$FA$30:$FG$30,1,AI384),0,1-INDEX('Lease Cycles'!$EM$30:$ES$30,1,AI384)),IF(OR(INDEX('Lease Cycles'!$DY$30:$EE$30,1,AI384)=1,AI385&gt;0),1,1-INDEX('Lease Cycles'!$DD$30:$DJ$30,1,AI384))*('Lease Cycles'!$AJ$30*INDEX('Lease Cycles'!$FO$30:$FU$30,1,AI384)+'Lease Cycles'!$BE$30*(1-INDEX('Lease Cycles'!$FO$30:$FU$30,1,AI384)))),0)</f>
        <v>0</v>
      </c>
      <c r="AJ394" s="24">
        <f>IF(AJ386=1,'Lease Cycles'!$D$30*IF(INDEX('Lease Cycles'!$EF$30:$EL$30,1,AJ384)=1,'Lease Cycles'!$AJ$30*INDEX('Lease Cycles'!$FO$30:$FU$30,1,AJ384)*INDEX('Lease Cycles'!$EM$30:$ES$30,1,AJ384)+'Lease Cycles'!$BE$30*IF(AJ385&lt;INDEX('Lease Cycles'!$FA$30:$FG$30,1,AJ384),0,1-INDEX('Lease Cycles'!$EM$30:$ES$30,1,AJ384)),IF(OR(INDEX('Lease Cycles'!$DY$30:$EE$30,1,AJ384)=1,AJ385&gt;0),1,1-INDEX('Lease Cycles'!$DD$30:$DJ$30,1,AJ384))*('Lease Cycles'!$AJ$30*INDEX('Lease Cycles'!$FO$30:$FU$30,1,AJ384)+'Lease Cycles'!$BE$30*(1-INDEX('Lease Cycles'!$FO$30:$FU$30,1,AJ384)))),0)</f>
        <v>0</v>
      </c>
      <c r="AK394" s="24">
        <f>IF(AK386=1,'Lease Cycles'!$D$30*IF(INDEX('Lease Cycles'!$EF$30:$EL$30,1,AK384)=1,'Lease Cycles'!$AJ$30*INDEX('Lease Cycles'!$FO$30:$FU$30,1,AK384)*INDEX('Lease Cycles'!$EM$30:$ES$30,1,AK384)+'Lease Cycles'!$BE$30*IF(AK385&lt;INDEX('Lease Cycles'!$FA$30:$FG$30,1,AK384),0,1-INDEX('Lease Cycles'!$EM$30:$ES$30,1,AK384)),IF(OR(INDEX('Lease Cycles'!$DY$30:$EE$30,1,AK384)=1,AK385&gt;0),1,1-INDEX('Lease Cycles'!$DD$30:$DJ$30,1,AK384))*('Lease Cycles'!$AJ$30*INDEX('Lease Cycles'!$FO$30:$FU$30,1,AK384)+'Lease Cycles'!$BE$30*(1-INDEX('Lease Cycles'!$FO$30:$FU$30,1,AK384)))),0)</f>
        <v>0</v>
      </c>
      <c r="AL394" s="24">
        <f>IF(AL386=1,'Lease Cycles'!$D$30*IF(INDEX('Lease Cycles'!$EF$30:$EL$30,1,AL384)=1,'Lease Cycles'!$AJ$30*INDEX('Lease Cycles'!$FO$30:$FU$30,1,AL384)*INDEX('Lease Cycles'!$EM$30:$ES$30,1,AL384)+'Lease Cycles'!$BE$30*IF(AL385&lt;INDEX('Lease Cycles'!$FA$30:$FG$30,1,AL384),0,1-INDEX('Lease Cycles'!$EM$30:$ES$30,1,AL384)),IF(OR(INDEX('Lease Cycles'!$DY$30:$EE$30,1,AL384)=1,AL385&gt;0),1,1-INDEX('Lease Cycles'!$DD$30:$DJ$30,1,AL384))*('Lease Cycles'!$AJ$30*INDEX('Lease Cycles'!$FO$30:$FU$30,1,AL384)+'Lease Cycles'!$BE$30*(1-INDEX('Lease Cycles'!$FO$30:$FU$30,1,AL384)))),0)</f>
        <v>0</v>
      </c>
      <c r="AM394" s="24">
        <f>IF(AM386=1,'Lease Cycles'!$D$30*IF(INDEX('Lease Cycles'!$EF$30:$EL$30,1,AM384)=1,'Lease Cycles'!$AJ$30*INDEX('Lease Cycles'!$FO$30:$FU$30,1,AM384)*INDEX('Lease Cycles'!$EM$30:$ES$30,1,AM384)+'Lease Cycles'!$BE$30*IF(AM385&lt;INDEX('Lease Cycles'!$FA$30:$FG$30,1,AM384),0,1-INDEX('Lease Cycles'!$EM$30:$ES$30,1,AM384)),IF(OR(INDEX('Lease Cycles'!$DY$30:$EE$30,1,AM384)=1,AM385&gt;0),1,1-INDEX('Lease Cycles'!$DD$30:$DJ$30,1,AM384))*('Lease Cycles'!$AJ$30*INDEX('Lease Cycles'!$FO$30:$FU$30,1,AM384)+'Lease Cycles'!$BE$30*(1-INDEX('Lease Cycles'!$FO$30:$FU$30,1,AM384)))),0)</f>
        <v>0</v>
      </c>
      <c r="AN394" s="24">
        <f>IF(AN386=1,'Lease Cycles'!$D$30*IF(INDEX('Lease Cycles'!$EF$30:$EL$30,1,AN384)=1,'Lease Cycles'!$AJ$30*INDEX('Lease Cycles'!$FO$30:$FU$30,1,AN384)*INDEX('Lease Cycles'!$EM$30:$ES$30,1,AN384)+'Lease Cycles'!$BE$30*IF(AN385&lt;INDEX('Lease Cycles'!$FA$30:$FG$30,1,AN384),0,1-INDEX('Lease Cycles'!$EM$30:$ES$30,1,AN384)),IF(OR(INDEX('Lease Cycles'!$DY$30:$EE$30,1,AN384)=1,AN385&gt;0),1,1-INDEX('Lease Cycles'!$DD$30:$DJ$30,1,AN384))*('Lease Cycles'!$AJ$30*INDEX('Lease Cycles'!$FO$30:$FU$30,1,AN384)+'Lease Cycles'!$BE$30*(1-INDEX('Lease Cycles'!$FO$30:$FU$30,1,AN384)))),0)</f>
        <v>0</v>
      </c>
      <c r="AO394" s="24">
        <f>IF(AO386=1,'Lease Cycles'!$D$30*IF(INDEX('Lease Cycles'!$EF$30:$EL$30,1,AO384)=1,'Lease Cycles'!$AJ$30*INDEX('Lease Cycles'!$FO$30:$FU$30,1,AO384)*INDEX('Lease Cycles'!$EM$30:$ES$30,1,AO384)+'Lease Cycles'!$BE$30*IF(AO385&lt;INDEX('Lease Cycles'!$FA$30:$FG$30,1,AO384),0,1-INDEX('Lease Cycles'!$EM$30:$ES$30,1,AO384)),IF(OR(INDEX('Lease Cycles'!$DY$30:$EE$30,1,AO384)=1,AO385&gt;0),1,1-INDEX('Lease Cycles'!$DD$30:$DJ$30,1,AO384))*('Lease Cycles'!$AJ$30*INDEX('Lease Cycles'!$FO$30:$FU$30,1,AO384)+'Lease Cycles'!$BE$30*(1-INDEX('Lease Cycles'!$FO$30:$FU$30,1,AO384)))),0)</f>
        <v>0</v>
      </c>
      <c r="AP394" s="24">
        <f>IF(AP386=1,'Lease Cycles'!$D$30*IF(INDEX('Lease Cycles'!$EF$30:$EL$30,1,AP384)=1,'Lease Cycles'!$AJ$30*INDEX('Lease Cycles'!$FO$30:$FU$30,1,AP384)*INDEX('Lease Cycles'!$EM$30:$ES$30,1,AP384)+'Lease Cycles'!$BE$30*IF(AP385&lt;INDEX('Lease Cycles'!$FA$30:$FG$30,1,AP384),0,1-INDEX('Lease Cycles'!$EM$30:$ES$30,1,AP384)),IF(OR(INDEX('Lease Cycles'!$DY$30:$EE$30,1,AP384)=1,AP385&gt;0),1,1-INDEX('Lease Cycles'!$DD$30:$DJ$30,1,AP384))*('Lease Cycles'!$AJ$30*INDEX('Lease Cycles'!$FO$30:$FU$30,1,AP384)+'Lease Cycles'!$BE$30*(1-INDEX('Lease Cycles'!$FO$30:$FU$30,1,AP384)))),0)</f>
        <v>0</v>
      </c>
      <c r="AQ394" s="24">
        <f>IF(AQ386=1,'Lease Cycles'!$D$30*IF(INDEX('Lease Cycles'!$EF$30:$EL$30,1,AQ384)=1,'Lease Cycles'!$AJ$30*INDEX('Lease Cycles'!$FO$30:$FU$30,1,AQ384)*INDEX('Lease Cycles'!$EM$30:$ES$30,1,AQ384)+'Lease Cycles'!$BE$30*IF(AQ385&lt;INDEX('Lease Cycles'!$FA$30:$FG$30,1,AQ384),0,1-INDEX('Lease Cycles'!$EM$30:$ES$30,1,AQ384)),IF(OR(INDEX('Lease Cycles'!$DY$30:$EE$30,1,AQ384)=1,AQ385&gt;0),1,1-INDEX('Lease Cycles'!$DD$30:$DJ$30,1,AQ384))*('Lease Cycles'!$AJ$30*INDEX('Lease Cycles'!$FO$30:$FU$30,1,AQ384)+'Lease Cycles'!$BE$30*(1-INDEX('Lease Cycles'!$FO$30:$FU$30,1,AQ384)))),0)</f>
        <v>0</v>
      </c>
      <c r="AR394" s="24">
        <f>IF(AR386=1,'Lease Cycles'!$D$30*IF(INDEX('Lease Cycles'!$EF$30:$EL$30,1,AR384)=1,'Lease Cycles'!$AJ$30*INDEX('Lease Cycles'!$FO$30:$FU$30,1,AR384)*INDEX('Lease Cycles'!$EM$30:$ES$30,1,AR384)+'Lease Cycles'!$BE$30*IF(AR385&lt;INDEX('Lease Cycles'!$FA$30:$FG$30,1,AR384),0,1-INDEX('Lease Cycles'!$EM$30:$ES$30,1,AR384)),IF(OR(INDEX('Lease Cycles'!$DY$30:$EE$30,1,AR384)=1,AR385&gt;0),1,1-INDEX('Lease Cycles'!$DD$30:$DJ$30,1,AR384))*('Lease Cycles'!$AJ$30*INDEX('Lease Cycles'!$FO$30:$FU$30,1,AR384)+'Lease Cycles'!$BE$30*(1-INDEX('Lease Cycles'!$FO$30:$FU$30,1,AR384)))),0)</f>
        <v>0</v>
      </c>
      <c r="AS394" s="24">
        <f>IF(AS386=1,'Lease Cycles'!$D$30*IF(INDEX('Lease Cycles'!$EF$30:$EL$30,1,AS384)=1,'Lease Cycles'!$AJ$30*INDEX('Lease Cycles'!$FO$30:$FU$30,1,AS384)*INDEX('Lease Cycles'!$EM$30:$ES$30,1,AS384)+'Lease Cycles'!$BE$30*IF(AS385&lt;INDEX('Lease Cycles'!$FA$30:$FG$30,1,AS384),0,1-INDEX('Lease Cycles'!$EM$30:$ES$30,1,AS384)),IF(OR(INDEX('Lease Cycles'!$DY$30:$EE$30,1,AS384)=1,AS385&gt;0),1,1-INDEX('Lease Cycles'!$DD$30:$DJ$30,1,AS384))*('Lease Cycles'!$AJ$30*INDEX('Lease Cycles'!$FO$30:$FU$30,1,AS384)+'Lease Cycles'!$BE$30*(1-INDEX('Lease Cycles'!$FO$30:$FU$30,1,AS384)))),0)</f>
        <v>0</v>
      </c>
      <c r="AT394" s="24">
        <f>IF(AT386=1,'Lease Cycles'!$D$30*IF(INDEX('Lease Cycles'!$EF$30:$EL$30,1,AT384)=1,'Lease Cycles'!$AJ$30*INDEX('Lease Cycles'!$FO$30:$FU$30,1,AT384)*INDEX('Lease Cycles'!$EM$30:$ES$30,1,AT384)+'Lease Cycles'!$BE$30*IF(AT385&lt;INDEX('Lease Cycles'!$FA$30:$FG$30,1,AT384),0,1-INDEX('Lease Cycles'!$EM$30:$ES$30,1,AT384)),IF(OR(INDEX('Lease Cycles'!$DY$30:$EE$30,1,AT384)=1,AT385&gt;0),1,1-INDEX('Lease Cycles'!$DD$30:$DJ$30,1,AT384))*('Lease Cycles'!$AJ$30*INDEX('Lease Cycles'!$FO$30:$FU$30,1,AT384)+'Lease Cycles'!$BE$30*(1-INDEX('Lease Cycles'!$FO$30:$FU$30,1,AT384)))),0)</f>
        <v>0</v>
      </c>
      <c r="AU394" s="24">
        <f>IF(AU386=1,'Lease Cycles'!$D$30*IF(INDEX('Lease Cycles'!$EF$30:$EL$30,1,AU384)=1,'Lease Cycles'!$AJ$30*INDEX('Lease Cycles'!$FO$30:$FU$30,1,AU384)*INDEX('Lease Cycles'!$EM$30:$ES$30,1,AU384)+'Lease Cycles'!$BE$30*IF(AU385&lt;INDEX('Lease Cycles'!$FA$30:$FG$30,1,AU384),0,1-INDEX('Lease Cycles'!$EM$30:$ES$30,1,AU384)),IF(OR(INDEX('Lease Cycles'!$DY$30:$EE$30,1,AU384)=1,AU385&gt;0),1,1-INDEX('Lease Cycles'!$DD$30:$DJ$30,1,AU384))*('Lease Cycles'!$AJ$30*INDEX('Lease Cycles'!$FO$30:$FU$30,1,AU384)+'Lease Cycles'!$BE$30*(1-INDEX('Lease Cycles'!$FO$30:$FU$30,1,AU384)))),0)</f>
        <v>0</v>
      </c>
      <c r="AV394" s="24">
        <f>IF(AV386=1,'Lease Cycles'!$D$30*IF(INDEX('Lease Cycles'!$EF$30:$EL$30,1,AV384)=1,'Lease Cycles'!$AJ$30*INDEX('Lease Cycles'!$FO$30:$FU$30,1,AV384)*INDEX('Lease Cycles'!$EM$30:$ES$30,1,AV384)+'Lease Cycles'!$BE$30*IF(AV385&lt;INDEX('Lease Cycles'!$FA$30:$FG$30,1,AV384),0,1-INDEX('Lease Cycles'!$EM$30:$ES$30,1,AV384)),IF(OR(INDEX('Lease Cycles'!$DY$30:$EE$30,1,AV384)=1,AV385&gt;0),1,1-INDEX('Lease Cycles'!$DD$30:$DJ$30,1,AV384))*('Lease Cycles'!$AJ$30*INDEX('Lease Cycles'!$FO$30:$FU$30,1,AV384)+'Lease Cycles'!$BE$30*(1-INDEX('Lease Cycles'!$FO$30:$FU$30,1,AV384)))),0)</f>
        <v>0</v>
      </c>
      <c r="AW394" s="24">
        <f>IF(AW386=1,'Lease Cycles'!$D$30*IF(INDEX('Lease Cycles'!$EF$30:$EL$30,1,AW384)=1,'Lease Cycles'!$AJ$30*INDEX('Lease Cycles'!$FO$30:$FU$30,1,AW384)*INDEX('Lease Cycles'!$EM$30:$ES$30,1,AW384)+'Lease Cycles'!$BE$30*IF(AW385&lt;INDEX('Lease Cycles'!$FA$30:$FG$30,1,AW384),0,1-INDEX('Lease Cycles'!$EM$30:$ES$30,1,AW384)),IF(OR(INDEX('Lease Cycles'!$DY$30:$EE$30,1,AW384)=1,AW385&gt;0),1,1-INDEX('Lease Cycles'!$DD$30:$DJ$30,1,AW384))*('Lease Cycles'!$AJ$30*INDEX('Lease Cycles'!$FO$30:$FU$30,1,AW384)+'Lease Cycles'!$BE$30*(1-INDEX('Lease Cycles'!$FO$30:$FU$30,1,AW384)))),0)</f>
        <v>0</v>
      </c>
      <c r="AX394" s="24">
        <f>IF(AX386=1,'Lease Cycles'!$D$30*IF(INDEX('Lease Cycles'!$EF$30:$EL$30,1,AX384)=1,'Lease Cycles'!$AJ$30*INDEX('Lease Cycles'!$FO$30:$FU$30,1,AX384)*INDEX('Lease Cycles'!$EM$30:$ES$30,1,AX384)+'Lease Cycles'!$BE$30*IF(AX385&lt;INDEX('Lease Cycles'!$FA$30:$FG$30,1,AX384),0,1-INDEX('Lease Cycles'!$EM$30:$ES$30,1,AX384)),IF(OR(INDEX('Lease Cycles'!$DY$30:$EE$30,1,AX384)=1,AX385&gt;0),1,1-INDEX('Lease Cycles'!$DD$30:$DJ$30,1,AX384))*('Lease Cycles'!$AJ$30*INDEX('Lease Cycles'!$FO$30:$FU$30,1,AX384)+'Lease Cycles'!$BE$30*(1-INDEX('Lease Cycles'!$FO$30:$FU$30,1,AX384)))),0)</f>
        <v>0</v>
      </c>
      <c r="AY394" s="24">
        <f>IF(AY386=1,'Lease Cycles'!$D$30*IF(INDEX('Lease Cycles'!$EF$30:$EL$30,1,AY384)=1,'Lease Cycles'!$AJ$30*INDEX('Lease Cycles'!$FO$30:$FU$30,1,AY384)*INDEX('Lease Cycles'!$EM$30:$ES$30,1,AY384)+'Lease Cycles'!$BE$30*IF(AY385&lt;INDEX('Lease Cycles'!$FA$30:$FG$30,1,AY384),0,1-INDEX('Lease Cycles'!$EM$30:$ES$30,1,AY384)),IF(OR(INDEX('Lease Cycles'!$DY$30:$EE$30,1,AY384)=1,AY385&gt;0),1,1-INDEX('Lease Cycles'!$DD$30:$DJ$30,1,AY384))*('Lease Cycles'!$AJ$30*INDEX('Lease Cycles'!$FO$30:$FU$30,1,AY384)+'Lease Cycles'!$BE$30*(1-INDEX('Lease Cycles'!$FO$30:$FU$30,1,AY384)))),0)</f>
        <v>0</v>
      </c>
      <c r="AZ394" s="24">
        <f>IF(AZ386=1,'Lease Cycles'!$D$30*IF(INDEX('Lease Cycles'!$EF$30:$EL$30,1,AZ384)=1,'Lease Cycles'!$AJ$30*INDEX('Lease Cycles'!$FO$30:$FU$30,1,AZ384)*INDEX('Lease Cycles'!$EM$30:$ES$30,1,AZ384)+'Lease Cycles'!$BE$30*IF(AZ385&lt;INDEX('Lease Cycles'!$FA$30:$FG$30,1,AZ384),0,1-INDEX('Lease Cycles'!$EM$30:$ES$30,1,AZ384)),IF(OR(INDEX('Lease Cycles'!$DY$30:$EE$30,1,AZ384)=1,AZ385&gt;0),1,1-INDEX('Lease Cycles'!$DD$30:$DJ$30,1,AZ384))*('Lease Cycles'!$AJ$30*INDEX('Lease Cycles'!$FO$30:$FU$30,1,AZ384)+'Lease Cycles'!$BE$30*(1-INDEX('Lease Cycles'!$FO$30:$FU$30,1,AZ384)))),0)</f>
        <v>0</v>
      </c>
      <c r="BA394" s="24">
        <f>IF(BA386=1,'Lease Cycles'!$D$30*IF(INDEX('Lease Cycles'!$EF$30:$EL$30,1,BA384)=1,'Lease Cycles'!$AJ$30*INDEX('Lease Cycles'!$FO$30:$FU$30,1,BA384)*INDEX('Lease Cycles'!$EM$30:$ES$30,1,BA384)+'Lease Cycles'!$BE$30*IF(BA385&lt;INDEX('Lease Cycles'!$FA$30:$FG$30,1,BA384),0,1-INDEX('Lease Cycles'!$EM$30:$ES$30,1,BA384)),IF(OR(INDEX('Lease Cycles'!$DY$30:$EE$30,1,BA384)=1,BA385&gt;0),1,1-INDEX('Lease Cycles'!$DD$30:$DJ$30,1,BA384))*('Lease Cycles'!$AJ$30*INDEX('Lease Cycles'!$FO$30:$FU$30,1,BA384)+'Lease Cycles'!$BE$30*(1-INDEX('Lease Cycles'!$FO$30:$FU$30,1,BA384)))),0)</f>
        <v>0</v>
      </c>
      <c r="BB394" s="24">
        <f>IF(BB386=1,'Lease Cycles'!$D$30*IF(INDEX('Lease Cycles'!$EF$30:$EL$30,1,BB384)=1,'Lease Cycles'!$AJ$30*INDEX('Lease Cycles'!$FO$30:$FU$30,1,BB384)*INDEX('Lease Cycles'!$EM$30:$ES$30,1,BB384)+'Lease Cycles'!$BE$30*IF(BB385&lt;INDEX('Lease Cycles'!$FA$30:$FG$30,1,BB384),0,1-INDEX('Lease Cycles'!$EM$30:$ES$30,1,BB384)),IF(OR(INDEX('Lease Cycles'!$DY$30:$EE$30,1,BB384)=1,BB385&gt;0),1,1-INDEX('Lease Cycles'!$DD$30:$DJ$30,1,BB384))*('Lease Cycles'!$AJ$30*INDEX('Lease Cycles'!$FO$30:$FU$30,1,BB384)+'Lease Cycles'!$BE$30*(1-INDEX('Lease Cycles'!$FO$30:$FU$30,1,BB384)))),0)</f>
        <v>0</v>
      </c>
      <c r="BC394" s="24">
        <f>IF(BC386=1,'Lease Cycles'!$D$30*IF(INDEX('Lease Cycles'!$EF$30:$EL$30,1,BC384)=1,'Lease Cycles'!$AJ$30*INDEX('Lease Cycles'!$FO$30:$FU$30,1,BC384)*INDEX('Lease Cycles'!$EM$30:$ES$30,1,BC384)+'Lease Cycles'!$BE$30*IF(BC385&lt;INDEX('Lease Cycles'!$FA$30:$FG$30,1,BC384),0,1-INDEX('Lease Cycles'!$EM$30:$ES$30,1,BC384)),IF(OR(INDEX('Lease Cycles'!$DY$30:$EE$30,1,BC384)=1,BC385&gt;0),1,1-INDEX('Lease Cycles'!$DD$30:$DJ$30,1,BC384))*('Lease Cycles'!$AJ$30*INDEX('Lease Cycles'!$FO$30:$FU$30,1,BC384)+'Lease Cycles'!$BE$30*(1-INDEX('Lease Cycles'!$FO$30:$FU$30,1,BC384)))),0)</f>
        <v>0</v>
      </c>
      <c r="BD394" s="24">
        <f>IF(BD386=1,'Lease Cycles'!$D$30*IF(INDEX('Lease Cycles'!$EF$30:$EL$30,1,BD384)=1,'Lease Cycles'!$AJ$30*INDEX('Lease Cycles'!$FO$30:$FU$30,1,BD384)*INDEX('Lease Cycles'!$EM$30:$ES$30,1,BD384)+'Lease Cycles'!$BE$30*IF(BD385&lt;INDEX('Lease Cycles'!$FA$30:$FG$30,1,BD384),0,1-INDEX('Lease Cycles'!$EM$30:$ES$30,1,BD384)),IF(OR(INDEX('Lease Cycles'!$DY$30:$EE$30,1,BD384)=1,BD385&gt;0),1,1-INDEX('Lease Cycles'!$DD$30:$DJ$30,1,BD384))*('Lease Cycles'!$AJ$30*INDEX('Lease Cycles'!$FO$30:$FU$30,1,BD384)+'Lease Cycles'!$BE$30*(1-INDEX('Lease Cycles'!$FO$30:$FU$30,1,BD384)))),0)</f>
        <v>0</v>
      </c>
      <c r="BE394" s="24">
        <f>IF(BE386=1,'Lease Cycles'!$D$30*IF(INDEX('Lease Cycles'!$EF$30:$EL$30,1,BE384)=1,'Lease Cycles'!$AJ$30*INDEX('Lease Cycles'!$FO$30:$FU$30,1,BE384)*INDEX('Lease Cycles'!$EM$30:$ES$30,1,BE384)+'Lease Cycles'!$BE$30*IF(BE385&lt;INDEX('Lease Cycles'!$FA$30:$FG$30,1,BE384),0,1-INDEX('Lease Cycles'!$EM$30:$ES$30,1,BE384)),IF(OR(INDEX('Lease Cycles'!$DY$30:$EE$30,1,BE384)=1,BE385&gt;0),1,1-INDEX('Lease Cycles'!$DD$30:$DJ$30,1,BE384))*('Lease Cycles'!$AJ$30*INDEX('Lease Cycles'!$FO$30:$FU$30,1,BE384)+'Lease Cycles'!$BE$30*(1-INDEX('Lease Cycles'!$FO$30:$FU$30,1,BE384)))),0)</f>
        <v>0</v>
      </c>
      <c r="BF394" s="24">
        <f>IF(BF386=1,'Lease Cycles'!$D$30*IF(INDEX('Lease Cycles'!$EF$30:$EL$30,1,BF384)=1,'Lease Cycles'!$AJ$30*INDEX('Lease Cycles'!$FO$30:$FU$30,1,BF384)*INDEX('Lease Cycles'!$EM$30:$ES$30,1,BF384)+'Lease Cycles'!$BE$30*IF(BF385&lt;INDEX('Lease Cycles'!$FA$30:$FG$30,1,BF384),0,1-INDEX('Lease Cycles'!$EM$30:$ES$30,1,BF384)),IF(OR(INDEX('Lease Cycles'!$DY$30:$EE$30,1,BF384)=1,BF385&gt;0),1,1-INDEX('Lease Cycles'!$DD$30:$DJ$30,1,BF384))*('Lease Cycles'!$AJ$30*INDEX('Lease Cycles'!$FO$30:$FU$30,1,BF384)+'Lease Cycles'!$BE$30*(1-INDEX('Lease Cycles'!$FO$30:$FU$30,1,BF384)))),0)</f>
        <v>0</v>
      </c>
      <c r="BG394" s="24">
        <f>IF(BG386=1,'Lease Cycles'!$D$30*IF(INDEX('Lease Cycles'!$EF$30:$EL$30,1,BG384)=1,'Lease Cycles'!$AJ$30*INDEX('Lease Cycles'!$FO$30:$FU$30,1,BG384)*INDEX('Lease Cycles'!$EM$30:$ES$30,1,BG384)+'Lease Cycles'!$BE$30*IF(BG385&lt;INDEX('Lease Cycles'!$FA$30:$FG$30,1,BG384),0,1-INDEX('Lease Cycles'!$EM$30:$ES$30,1,BG384)),IF(OR(INDEX('Lease Cycles'!$DY$30:$EE$30,1,BG384)=1,BG385&gt;0),1,1-INDEX('Lease Cycles'!$DD$30:$DJ$30,1,BG384))*('Lease Cycles'!$AJ$30*INDEX('Lease Cycles'!$FO$30:$FU$30,1,BG384)+'Lease Cycles'!$BE$30*(1-INDEX('Lease Cycles'!$FO$30:$FU$30,1,BG384)))),0)</f>
        <v>0</v>
      </c>
      <c r="BH394" s="24">
        <f>IF(BH386=1,'Lease Cycles'!$D$30*IF(INDEX('Lease Cycles'!$EF$30:$EL$30,1,BH384)=1,'Lease Cycles'!$AJ$30*INDEX('Lease Cycles'!$FO$30:$FU$30,1,BH384)*INDEX('Lease Cycles'!$EM$30:$ES$30,1,BH384)+'Lease Cycles'!$BE$30*IF(BH385&lt;INDEX('Lease Cycles'!$FA$30:$FG$30,1,BH384),0,1-INDEX('Lease Cycles'!$EM$30:$ES$30,1,BH384)),IF(OR(INDEX('Lease Cycles'!$DY$30:$EE$30,1,BH384)=1,BH385&gt;0),1,1-INDEX('Lease Cycles'!$DD$30:$DJ$30,1,BH384))*('Lease Cycles'!$AJ$30*INDEX('Lease Cycles'!$FO$30:$FU$30,1,BH384)+'Lease Cycles'!$BE$30*(1-INDEX('Lease Cycles'!$FO$30:$FU$30,1,BH384)))),0)</f>
        <v>0</v>
      </c>
      <c r="BI394" s="24">
        <f>IF(BI386=1,'Lease Cycles'!$D$30*IF(INDEX('Lease Cycles'!$EF$30:$EL$30,1,BI384)=1,'Lease Cycles'!$AJ$30*INDEX('Lease Cycles'!$FO$30:$FU$30,1,BI384)*INDEX('Lease Cycles'!$EM$30:$ES$30,1,BI384)+'Lease Cycles'!$BE$30*IF(BI385&lt;INDEX('Lease Cycles'!$FA$30:$FG$30,1,BI384),0,1-INDEX('Lease Cycles'!$EM$30:$ES$30,1,BI384)),IF(OR(INDEX('Lease Cycles'!$DY$30:$EE$30,1,BI384)=1,BI385&gt;0),1,1-INDEX('Lease Cycles'!$DD$30:$DJ$30,1,BI384))*('Lease Cycles'!$AJ$30*INDEX('Lease Cycles'!$FO$30:$FU$30,1,BI384)+'Lease Cycles'!$BE$30*(1-INDEX('Lease Cycles'!$FO$30:$FU$30,1,BI384)))),0)</f>
        <v>0</v>
      </c>
      <c r="BJ394" s="24">
        <f>IF(BJ386=1,'Lease Cycles'!$D$30*IF(INDEX('Lease Cycles'!$EF$30:$EL$30,1,BJ384)=1,'Lease Cycles'!$AJ$30*INDEX('Lease Cycles'!$FO$30:$FU$30,1,BJ384)*INDEX('Lease Cycles'!$EM$30:$ES$30,1,BJ384)+'Lease Cycles'!$BE$30*IF(BJ385&lt;INDEX('Lease Cycles'!$FA$30:$FG$30,1,BJ384),0,1-INDEX('Lease Cycles'!$EM$30:$ES$30,1,BJ384)),IF(OR(INDEX('Lease Cycles'!$DY$30:$EE$30,1,BJ384)=1,BJ385&gt;0),1,1-INDEX('Lease Cycles'!$DD$30:$DJ$30,1,BJ384))*('Lease Cycles'!$AJ$30*INDEX('Lease Cycles'!$FO$30:$FU$30,1,BJ384)+'Lease Cycles'!$BE$30*(1-INDEX('Lease Cycles'!$FO$30:$FU$30,1,BJ384)))),0)</f>
        <v>0</v>
      </c>
      <c r="BK394" s="24">
        <f>IF(BK386=1,'Lease Cycles'!$D$30*IF(INDEX('Lease Cycles'!$EF$30:$EL$30,1,BK384)=1,'Lease Cycles'!$AJ$30*INDEX('Lease Cycles'!$FO$30:$FU$30,1,BK384)*INDEX('Lease Cycles'!$EM$30:$ES$30,1,BK384)+'Lease Cycles'!$BE$30*IF(BK385&lt;INDEX('Lease Cycles'!$FA$30:$FG$30,1,BK384),0,1-INDEX('Lease Cycles'!$EM$30:$ES$30,1,BK384)),IF(OR(INDEX('Lease Cycles'!$DY$30:$EE$30,1,BK384)=1,BK385&gt;0),1,1-INDEX('Lease Cycles'!$DD$30:$DJ$30,1,BK384))*('Lease Cycles'!$AJ$30*INDEX('Lease Cycles'!$FO$30:$FU$30,1,BK384)+'Lease Cycles'!$BE$30*(1-INDEX('Lease Cycles'!$FO$30:$FU$30,1,BK384)))),0)</f>
        <v>0</v>
      </c>
      <c r="BL394" s="24">
        <f>IF(BL386=1,'Lease Cycles'!$D$30*IF(INDEX('Lease Cycles'!$EF$30:$EL$30,1,BL384)=1,'Lease Cycles'!$AJ$30*INDEX('Lease Cycles'!$FO$30:$FU$30,1,BL384)*INDEX('Lease Cycles'!$EM$30:$ES$30,1,BL384)+'Lease Cycles'!$BE$30*IF(BL385&lt;INDEX('Lease Cycles'!$FA$30:$FG$30,1,BL384),0,1-INDEX('Lease Cycles'!$EM$30:$ES$30,1,BL384)),IF(OR(INDEX('Lease Cycles'!$DY$30:$EE$30,1,BL384)=1,BL385&gt;0),1,1-INDEX('Lease Cycles'!$DD$30:$DJ$30,1,BL384))*('Lease Cycles'!$AJ$30*INDEX('Lease Cycles'!$FO$30:$FU$30,1,BL384)+'Lease Cycles'!$BE$30*(1-INDEX('Lease Cycles'!$FO$30:$FU$30,1,BL384)))),0)</f>
        <v>0</v>
      </c>
      <c r="BM394" s="24">
        <f>IF(BM386=1,'Lease Cycles'!$D$30*IF(INDEX('Lease Cycles'!$EF$30:$EL$30,1,BM384)=1,'Lease Cycles'!$AJ$30*INDEX('Lease Cycles'!$FO$30:$FU$30,1,BM384)*INDEX('Lease Cycles'!$EM$30:$ES$30,1,BM384)+'Lease Cycles'!$BE$30*IF(BM385&lt;INDEX('Lease Cycles'!$FA$30:$FG$30,1,BM384),0,1-INDEX('Lease Cycles'!$EM$30:$ES$30,1,BM384)),IF(OR(INDEX('Lease Cycles'!$DY$30:$EE$30,1,BM384)=1,BM385&gt;0),1,1-INDEX('Lease Cycles'!$DD$30:$DJ$30,1,BM384))*('Lease Cycles'!$AJ$30*INDEX('Lease Cycles'!$FO$30:$FU$30,1,BM384)+'Lease Cycles'!$BE$30*(1-INDEX('Lease Cycles'!$FO$30:$FU$30,1,BM384)))),0)</f>
        <v>0</v>
      </c>
      <c r="BN394" s="24">
        <f>IF(BN386=1,'Lease Cycles'!$D$30*IF(INDEX('Lease Cycles'!$EF$30:$EL$30,1,BN384)=1,'Lease Cycles'!$AJ$30*INDEX('Lease Cycles'!$FO$30:$FU$30,1,BN384)*INDEX('Lease Cycles'!$EM$30:$ES$30,1,BN384)+'Lease Cycles'!$BE$30*IF(BN385&lt;INDEX('Lease Cycles'!$FA$30:$FG$30,1,BN384),0,1-INDEX('Lease Cycles'!$EM$30:$ES$30,1,BN384)),IF(OR(INDEX('Lease Cycles'!$DY$30:$EE$30,1,BN384)=1,BN385&gt;0),1,1-INDEX('Lease Cycles'!$DD$30:$DJ$30,1,BN384))*('Lease Cycles'!$AJ$30*INDEX('Lease Cycles'!$FO$30:$FU$30,1,BN384)+'Lease Cycles'!$BE$30*(1-INDEX('Lease Cycles'!$FO$30:$FU$30,1,BN384)))),0)</f>
        <v>0</v>
      </c>
      <c r="BO394" s="24">
        <f>IF(BO386=1,'Lease Cycles'!$D$30*IF(INDEX('Lease Cycles'!$EF$30:$EL$30,1,BO384)=1,'Lease Cycles'!$AJ$30*INDEX('Lease Cycles'!$FO$30:$FU$30,1,BO384)*INDEX('Lease Cycles'!$EM$30:$ES$30,1,BO384)+'Lease Cycles'!$BE$30*IF(BO385&lt;INDEX('Lease Cycles'!$FA$30:$FG$30,1,BO384),0,1-INDEX('Lease Cycles'!$EM$30:$ES$30,1,BO384)),IF(OR(INDEX('Lease Cycles'!$DY$30:$EE$30,1,BO384)=1,BO385&gt;0),1,1-INDEX('Lease Cycles'!$DD$30:$DJ$30,1,BO384))*('Lease Cycles'!$AJ$30*INDEX('Lease Cycles'!$FO$30:$FU$30,1,BO384)+'Lease Cycles'!$BE$30*(1-INDEX('Lease Cycles'!$FO$30:$FU$30,1,BO384)))),0)</f>
        <v>0</v>
      </c>
      <c r="BP394" s="24">
        <f>IF(BP386=1,'Lease Cycles'!$D$30*IF(INDEX('Lease Cycles'!$EF$30:$EL$30,1,BP384)=1,'Lease Cycles'!$AJ$30*INDEX('Lease Cycles'!$FO$30:$FU$30,1,BP384)*INDEX('Lease Cycles'!$EM$30:$ES$30,1,BP384)+'Lease Cycles'!$BE$30*IF(BP385&lt;INDEX('Lease Cycles'!$FA$30:$FG$30,1,BP384),0,1-INDEX('Lease Cycles'!$EM$30:$ES$30,1,BP384)),IF(OR(INDEX('Lease Cycles'!$DY$30:$EE$30,1,BP384)=1,BP385&gt;0),1,1-INDEX('Lease Cycles'!$DD$30:$DJ$30,1,BP384))*('Lease Cycles'!$AJ$30*INDEX('Lease Cycles'!$FO$30:$FU$30,1,BP384)+'Lease Cycles'!$BE$30*(1-INDEX('Lease Cycles'!$FO$30:$FU$30,1,BP384)))),0)</f>
        <v>0</v>
      </c>
      <c r="BQ394" s="24">
        <f>IF(BQ386=1,'Lease Cycles'!$D$30*IF(INDEX('Lease Cycles'!$EF$30:$EL$30,1,BQ384)=1,'Lease Cycles'!$AJ$30*INDEX('Lease Cycles'!$FO$30:$FU$30,1,BQ384)*INDEX('Lease Cycles'!$EM$30:$ES$30,1,BQ384)+'Lease Cycles'!$BE$30*IF(BQ385&lt;INDEX('Lease Cycles'!$FA$30:$FG$30,1,BQ384),0,1-INDEX('Lease Cycles'!$EM$30:$ES$30,1,BQ384)),IF(OR(INDEX('Lease Cycles'!$DY$30:$EE$30,1,BQ384)=1,BQ385&gt;0),1,1-INDEX('Lease Cycles'!$DD$30:$DJ$30,1,BQ384))*('Lease Cycles'!$AJ$30*INDEX('Lease Cycles'!$FO$30:$FU$30,1,BQ384)+'Lease Cycles'!$BE$30*(1-INDEX('Lease Cycles'!$FO$30:$FU$30,1,BQ384)))),0)</f>
        <v>0</v>
      </c>
      <c r="BR394" s="24">
        <f>IF(BR386=1,'Lease Cycles'!$D$30*IF(INDEX('Lease Cycles'!$EF$30:$EL$30,1,BR384)=1,'Lease Cycles'!$AJ$30*INDEX('Lease Cycles'!$FO$30:$FU$30,1,BR384)*INDEX('Lease Cycles'!$EM$30:$ES$30,1,BR384)+'Lease Cycles'!$BE$30*IF(BR385&lt;INDEX('Lease Cycles'!$FA$30:$FG$30,1,BR384),0,1-INDEX('Lease Cycles'!$EM$30:$ES$30,1,BR384)),IF(OR(INDEX('Lease Cycles'!$DY$30:$EE$30,1,BR384)=1,BR385&gt;0),1,1-INDEX('Lease Cycles'!$DD$30:$DJ$30,1,BR384))*('Lease Cycles'!$AJ$30*INDEX('Lease Cycles'!$FO$30:$FU$30,1,BR384)+'Lease Cycles'!$BE$30*(1-INDEX('Lease Cycles'!$FO$30:$FU$30,1,BR384)))),0)</f>
        <v>0</v>
      </c>
      <c r="BS394" s="24">
        <f>IF(BS386=1,'Lease Cycles'!$D$30*IF(INDEX('Lease Cycles'!$EF$30:$EL$30,1,BS384)=1,'Lease Cycles'!$AJ$30*INDEX('Lease Cycles'!$FO$30:$FU$30,1,BS384)*INDEX('Lease Cycles'!$EM$30:$ES$30,1,BS384)+'Lease Cycles'!$BE$30*IF(BS385&lt;INDEX('Lease Cycles'!$FA$30:$FG$30,1,BS384),0,1-INDEX('Lease Cycles'!$EM$30:$ES$30,1,BS384)),IF(OR(INDEX('Lease Cycles'!$DY$30:$EE$30,1,BS384)=1,BS385&gt;0),1,1-INDEX('Lease Cycles'!$DD$30:$DJ$30,1,BS384))*('Lease Cycles'!$AJ$30*INDEX('Lease Cycles'!$FO$30:$FU$30,1,BS384)+'Lease Cycles'!$BE$30*(1-INDEX('Lease Cycles'!$FO$30:$FU$30,1,BS384)))),0)</f>
        <v>0</v>
      </c>
      <c r="BT394" s="24">
        <f>IF(BT386=1,'Lease Cycles'!$D$30*IF(INDEX('Lease Cycles'!$EF$30:$EL$30,1,BT384)=1,'Lease Cycles'!$AJ$30*INDEX('Lease Cycles'!$FO$30:$FU$30,1,BT384)*INDEX('Lease Cycles'!$EM$30:$ES$30,1,BT384)+'Lease Cycles'!$BE$30*IF(BT385&lt;INDEX('Lease Cycles'!$FA$30:$FG$30,1,BT384),0,1-INDEX('Lease Cycles'!$EM$30:$ES$30,1,BT384)),IF(OR(INDEX('Lease Cycles'!$DY$30:$EE$30,1,BT384)=1,BT385&gt;0),1,1-INDEX('Lease Cycles'!$DD$30:$DJ$30,1,BT384))*('Lease Cycles'!$AJ$30*INDEX('Lease Cycles'!$FO$30:$FU$30,1,BT384)+'Lease Cycles'!$BE$30*(1-INDEX('Lease Cycles'!$FO$30:$FU$30,1,BT384)))),0)</f>
        <v>0</v>
      </c>
      <c r="BU394" s="24">
        <f>IF(BU386=1,'Lease Cycles'!$D$30*IF(INDEX('Lease Cycles'!$EF$30:$EL$30,1,BU384)=1,'Lease Cycles'!$AJ$30*INDEX('Lease Cycles'!$FO$30:$FU$30,1,BU384)*INDEX('Lease Cycles'!$EM$30:$ES$30,1,BU384)+'Lease Cycles'!$BE$30*IF(BU385&lt;INDEX('Lease Cycles'!$FA$30:$FG$30,1,BU384),0,1-INDEX('Lease Cycles'!$EM$30:$ES$30,1,BU384)),IF(OR(INDEX('Lease Cycles'!$DY$30:$EE$30,1,BU384)=1,BU385&gt;0),1,1-INDEX('Lease Cycles'!$DD$30:$DJ$30,1,BU384))*('Lease Cycles'!$AJ$30*INDEX('Lease Cycles'!$FO$30:$FU$30,1,BU384)+'Lease Cycles'!$BE$30*(1-INDEX('Lease Cycles'!$FO$30:$FU$30,1,BU384)))),0)</f>
        <v>0</v>
      </c>
      <c r="BV394" s="24">
        <f>IF(BV386=1,'Lease Cycles'!$D$30*IF(INDEX('Lease Cycles'!$EF$30:$EL$30,1,BV384)=1,'Lease Cycles'!$AJ$30*INDEX('Lease Cycles'!$FO$30:$FU$30,1,BV384)*INDEX('Lease Cycles'!$EM$30:$ES$30,1,BV384)+'Lease Cycles'!$BE$30*IF(BV385&lt;INDEX('Lease Cycles'!$FA$30:$FG$30,1,BV384),0,1-INDEX('Lease Cycles'!$EM$30:$ES$30,1,BV384)),IF(OR(INDEX('Lease Cycles'!$DY$30:$EE$30,1,BV384)=1,BV385&gt;0),1,1-INDEX('Lease Cycles'!$DD$30:$DJ$30,1,BV384))*('Lease Cycles'!$AJ$30*INDEX('Lease Cycles'!$FO$30:$FU$30,1,BV384)+'Lease Cycles'!$BE$30*(1-INDEX('Lease Cycles'!$FO$30:$FU$30,1,BV384)))),0)</f>
        <v>0</v>
      </c>
      <c r="BW394" s="24">
        <f>IF(BW386=1,'Lease Cycles'!$D$30*IF(INDEX('Lease Cycles'!$EF$30:$EL$30,1,BW384)=1,'Lease Cycles'!$AJ$30*INDEX('Lease Cycles'!$FO$30:$FU$30,1,BW384)*INDEX('Lease Cycles'!$EM$30:$ES$30,1,BW384)+'Lease Cycles'!$BE$30*IF(BW385&lt;INDEX('Lease Cycles'!$FA$30:$FG$30,1,BW384),0,1-INDEX('Lease Cycles'!$EM$30:$ES$30,1,BW384)),IF(OR(INDEX('Lease Cycles'!$DY$30:$EE$30,1,BW384)=1,BW385&gt;0),1,1-INDEX('Lease Cycles'!$DD$30:$DJ$30,1,BW384))*('Lease Cycles'!$AJ$30*INDEX('Lease Cycles'!$FO$30:$FU$30,1,BW384)+'Lease Cycles'!$BE$30*(1-INDEX('Lease Cycles'!$FO$30:$FU$30,1,BW384)))),0)</f>
        <v>0</v>
      </c>
      <c r="BX394" s="24">
        <f>IF(BX386=1,'Lease Cycles'!$D$30*IF(INDEX('Lease Cycles'!$EF$30:$EL$30,1,BX384)=1,'Lease Cycles'!$AJ$30*INDEX('Lease Cycles'!$FO$30:$FU$30,1,BX384)*INDEX('Lease Cycles'!$EM$30:$ES$30,1,BX384)+'Lease Cycles'!$BE$30*IF(BX385&lt;INDEX('Lease Cycles'!$FA$30:$FG$30,1,BX384),0,1-INDEX('Lease Cycles'!$EM$30:$ES$30,1,BX384)),IF(OR(INDEX('Lease Cycles'!$DY$30:$EE$30,1,BX384)=1,BX385&gt;0),1,1-INDEX('Lease Cycles'!$DD$30:$DJ$30,1,BX384))*('Lease Cycles'!$AJ$30*INDEX('Lease Cycles'!$FO$30:$FU$30,1,BX384)+'Lease Cycles'!$BE$30*(1-INDEX('Lease Cycles'!$FO$30:$FU$30,1,BX384)))),0)</f>
        <v>0</v>
      </c>
      <c r="BY394" s="24">
        <f>IF(BY386=1,'Lease Cycles'!$D$30*IF(INDEX('Lease Cycles'!$EF$30:$EL$30,1,BY384)=1,'Lease Cycles'!$AJ$30*INDEX('Lease Cycles'!$FO$30:$FU$30,1,BY384)*INDEX('Lease Cycles'!$EM$30:$ES$30,1,BY384)+'Lease Cycles'!$BE$30*IF(BY385&lt;INDEX('Lease Cycles'!$FA$30:$FG$30,1,BY384),0,1-INDEX('Lease Cycles'!$EM$30:$ES$30,1,BY384)),IF(OR(INDEX('Lease Cycles'!$DY$30:$EE$30,1,BY384)=1,BY385&gt;0),1,1-INDEX('Lease Cycles'!$DD$30:$DJ$30,1,BY384))*('Lease Cycles'!$AJ$30*INDEX('Lease Cycles'!$FO$30:$FU$30,1,BY384)+'Lease Cycles'!$BE$30*(1-INDEX('Lease Cycles'!$FO$30:$FU$30,1,BY384)))),0)</f>
        <v>0</v>
      </c>
      <c r="BZ394" s="24">
        <f>IF(BZ386=1,'Lease Cycles'!$D$30*IF(INDEX('Lease Cycles'!$EF$30:$EL$30,1,BZ384)=1,'Lease Cycles'!$AJ$30*INDEX('Lease Cycles'!$FO$30:$FU$30,1,BZ384)*INDEX('Lease Cycles'!$EM$30:$ES$30,1,BZ384)+'Lease Cycles'!$BE$30*IF(BZ385&lt;INDEX('Lease Cycles'!$FA$30:$FG$30,1,BZ384),0,1-INDEX('Lease Cycles'!$EM$30:$ES$30,1,BZ384)),IF(OR(INDEX('Lease Cycles'!$DY$30:$EE$30,1,BZ384)=1,BZ385&gt;0),1,1-INDEX('Lease Cycles'!$DD$30:$DJ$30,1,BZ384))*('Lease Cycles'!$AJ$30*INDEX('Lease Cycles'!$FO$30:$FU$30,1,BZ384)+'Lease Cycles'!$BE$30*(1-INDEX('Lease Cycles'!$FO$30:$FU$30,1,BZ384)))),0)</f>
        <v>0</v>
      </c>
      <c r="CA394" s="24">
        <f>IF(CA386=1,'Lease Cycles'!$D$30*IF(INDEX('Lease Cycles'!$EF$30:$EL$30,1,CA384)=1,'Lease Cycles'!$AJ$30*INDEX('Lease Cycles'!$FO$30:$FU$30,1,CA384)*INDEX('Lease Cycles'!$EM$30:$ES$30,1,CA384)+'Lease Cycles'!$BE$30*IF(CA385&lt;INDEX('Lease Cycles'!$FA$30:$FG$30,1,CA384),0,1-INDEX('Lease Cycles'!$EM$30:$ES$30,1,CA384)),IF(OR(INDEX('Lease Cycles'!$DY$30:$EE$30,1,CA384)=1,CA385&gt;0),1,1-INDEX('Lease Cycles'!$DD$30:$DJ$30,1,CA384))*('Lease Cycles'!$AJ$30*INDEX('Lease Cycles'!$FO$30:$FU$30,1,CA384)+'Lease Cycles'!$BE$30*(1-INDEX('Lease Cycles'!$FO$30:$FU$30,1,CA384)))),0)</f>
        <v>0</v>
      </c>
      <c r="CB394" s="24">
        <f>IF(CB386=1,'Lease Cycles'!$D$30*IF(INDEX('Lease Cycles'!$EF$30:$EL$30,1,CB384)=1,'Lease Cycles'!$AJ$30*INDEX('Lease Cycles'!$FO$30:$FU$30,1,CB384)*INDEX('Lease Cycles'!$EM$30:$ES$30,1,CB384)+'Lease Cycles'!$BE$30*IF(CB385&lt;INDEX('Lease Cycles'!$FA$30:$FG$30,1,CB384),0,1-INDEX('Lease Cycles'!$EM$30:$ES$30,1,CB384)),IF(OR(INDEX('Lease Cycles'!$DY$30:$EE$30,1,CB384)=1,CB385&gt;0),1,1-INDEX('Lease Cycles'!$DD$30:$DJ$30,1,CB384))*('Lease Cycles'!$AJ$30*INDEX('Lease Cycles'!$FO$30:$FU$30,1,CB384)+'Lease Cycles'!$BE$30*(1-INDEX('Lease Cycles'!$FO$30:$FU$30,1,CB384)))),0)</f>
        <v>0</v>
      </c>
      <c r="CC394" s="24">
        <f>IF(CC386=1,'Lease Cycles'!$D$30*IF(INDEX('Lease Cycles'!$EF$30:$EL$30,1,CC384)=1,'Lease Cycles'!$AJ$30*INDEX('Lease Cycles'!$FO$30:$FU$30,1,CC384)*INDEX('Lease Cycles'!$EM$30:$ES$30,1,CC384)+'Lease Cycles'!$BE$30*IF(CC385&lt;INDEX('Lease Cycles'!$FA$30:$FG$30,1,CC384),0,1-INDEX('Lease Cycles'!$EM$30:$ES$30,1,CC384)),IF(OR(INDEX('Lease Cycles'!$DY$30:$EE$30,1,CC384)=1,CC385&gt;0),1,1-INDEX('Lease Cycles'!$DD$30:$DJ$30,1,CC384))*('Lease Cycles'!$AJ$30*INDEX('Lease Cycles'!$FO$30:$FU$30,1,CC384)+'Lease Cycles'!$BE$30*(1-INDEX('Lease Cycles'!$FO$30:$FU$30,1,CC384)))),0)</f>
        <v>0</v>
      </c>
      <c r="CD394" s="24">
        <f>IF(CD386=1,'Lease Cycles'!$D$30*IF(INDEX('Lease Cycles'!$EF$30:$EL$30,1,CD384)=1,'Lease Cycles'!$AJ$30*INDEX('Lease Cycles'!$FO$30:$FU$30,1,CD384)*INDEX('Lease Cycles'!$EM$30:$ES$30,1,CD384)+'Lease Cycles'!$BE$30*IF(CD385&lt;INDEX('Lease Cycles'!$FA$30:$FG$30,1,CD384),0,1-INDEX('Lease Cycles'!$EM$30:$ES$30,1,CD384)),IF(OR(INDEX('Lease Cycles'!$DY$30:$EE$30,1,CD384)=1,CD385&gt;0),1,1-INDEX('Lease Cycles'!$DD$30:$DJ$30,1,CD384))*('Lease Cycles'!$AJ$30*INDEX('Lease Cycles'!$FO$30:$FU$30,1,CD384)+'Lease Cycles'!$BE$30*(1-INDEX('Lease Cycles'!$FO$30:$FU$30,1,CD384)))),0)</f>
        <v>0</v>
      </c>
      <c r="CE394" s="24">
        <f>IF(CE386=1,'Lease Cycles'!$D$30*IF(INDEX('Lease Cycles'!$EF$30:$EL$30,1,CE384)=1,'Lease Cycles'!$AJ$30*INDEX('Lease Cycles'!$FO$30:$FU$30,1,CE384)*INDEX('Lease Cycles'!$EM$30:$ES$30,1,CE384)+'Lease Cycles'!$BE$30*IF(CE385&lt;INDEX('Lease Cycles'!$FA$30:$FG$30,1,CE384),0,1-INDEX('Lease Cycles'!$EM$30:$ES$30,1,CE384)),IF(OR(INDEX('Lease Cycles'!$DY$30:$EE$30,1,CE384)=1,CE385&gt;0),1,1-INDEX('Lease Cycles'!$DD$30:$DJ$30,1,CE384))*('Lease Cycles'!$AJ$30*INDEX('Lease Cycles'!$FO$30:$FU$30,1,CE384)+'Lease Cycles'!$BE$30*(1-INDEX('Lease Cycles'!$FO$30:$FU$30,1,CE384)))),0)</f>
        <v>0</v>
      </c>
      <c r="CF394" s="24">
        <f>IF(CF386=1,'Lease Cycles'!$D$30*IF(INDEX('Lease Cycles'!$EF$30:$EL$30,1,CF384)=1,'Lease Cycles'!$AJ$30*INDEX('Lease Cycles'!$FO$30:$FU$30,1,CF384)*INDEX('Lease Cycles'!$EM$30:$ES$30,1,CF384)+'Lease Cycles'!$BE$30*IF(CF385&lt;INDEX('Lease Cycles'!$FA$30:$FG$30,1,CF384),0,1-INDEX('Lease Cycles'!$EM$30:$ES$30,1,CF384)),IF(OR(INDEX('Lease Cycles'!$DY$30:$EE$30,1,CF384)=1,CF385&gt;0),1,1-INDEX('Lease Cycles'!$DD$30:$DJ$30,1,CF384))*('Lease Cycles'!$AJ$30*INDEX('Lease Cycles'!$FO$30:$FU$30,1,CF384)+'Lease Cycles'!$BE$30*(1-INDEX('Lease Cycles'!$FO$30:$FU$30,1,CF384)))),0)</f>
        <v>0</v>
      </c>
      <c r="CG394" s="24">
        <f>IF(CG386=1,'Lease Cycles'!$D$30*IF(INDEX('Lease Cycles'!$EF$30:$EL$30,1,CG384)=1,'Lease Cycles'!$AJ$30*INDEX('Lease Cycles'!$FO$30:$FU$30,1,CG384)*INDEX('Lease Cycles'!$EM$30:$ES$30,1,CG384)+'Lease Cycles'!$BE$30*IF(CG385&lt;INDEX('Lease Cycles'!$FA$30:$FG$30,1,CG384),0,1-INDEX('Lease Cycles'!$EM$30:$ES$30,1,CG384)),IF(OR(INDEX('Lease Cycles'!$DY$30:$EE$30,1,CG384)=1,CG385&gt;0),1,1-INDEX('Lease Cycles'!$DD$30:$DJ$30,1,CG384))*('Lease Cycles'!$AJ$30*INDEX('Lease Cycles'!$FO$30:$FU$30,1,CG384)+'Lease Cycles'!$BE$30*(1-INDEX('Lease Cycles'!$FO$30:$FU$30,1,CG384)))),0)</f>
        <v>0</v>
      </c>
      <c r="CH394" s="24">
        <f>IF(CH386=1,'Lease Cycles'!$D$30*IF(INDEX('Lease Cycles'!$EF$30:$EL$30,1,CH384)=1,'Lease Cycles'!$AJ$30*INDEX('Lease Cycles'!$FO$30:$FU$30,1,CH384)*INDEX('Lease Cycles'!$EM$30:$ES$30,1,CH384)+'Lease Cycles'!$BE$30*IF(CH385&lt;INDEX('Lease Cycles'!$FA$30:$FG$30,1,CH384),0,1-INDEX('Lease Cycles'!$EM$30:$ES$30,1,CH384)),IF(OR(INDEX('Lease Cycles'!$DY$30:$EE$30,1,CH384)=1,CH385&gt;0),1,1-INDEX('Lease Cycles'!$DD$30:$DJ$30,1,CH384))*('Lease Cycles'!$AJ$30*INDEX('Lease Cycles'!$FO$30:$FU$30,1,CH384)+'Lease Cycles'!$BE$30*(1-INDEX('Lease Cycles'!$FO$30:$FU$30,1,CH384)))),0)</f>
        <v>0</v>
      </c>
      <c r="CI394" s="24">
        <f>IF(CI386=1,'Lease Cycles'!$D$30*IF(INDEX('Lease Cycles'!$EF$30:$EL$30,1,CI384)=1,'Lease Cycles'!$AJ$30*INDEX('Lease Cycles'!$FO$30:$FU$30,1,CI384)*INDEX('Lease Cycles'!$EM$30:$ES$30,1,CI384)+'Lease Cycles'!$BE$30*IF(CI385&lt;INDEX('Lease Cycles'!$FA$30:$FG$30,1,CI384),0,1-INDEX('Lease Cycles'!$EM$30:$ES$30,1,CI384)),IF(OR(INDEX('Lease Cycles'!$DY$30:$EE$30,1,CI384)=1,CI385&gt;0),1,1-INDEX('Lease Cycles'!$DD$30:$DJ$30,1,CI384))*('Lease Cycles'!$AJ$30*INDEX('Lease Cycles'!$FO$30:$FU$30,1,CI384)+'Lease Cycles'!$BE$30*(1-INDEX('Lease Cycles'!$FO$30:$FU$30,1,CI384)))),0)</f>
        <v>0</v>
      </c>
      <c r="CJ394" s="24">
        <f>IF(CJ386=1,'Lease Cycles'!$D$30*IF(INDEX('Lease Cycles'!$EF$30:$EL$30,1,CJ384)=1,'Lease Cycles'!$AJ$30*INDEX('Lease Cycles'!$FO$30:$FU$30,1,CJ384)*INDEX('Lease Cycles'!$EM$30:$ES$30,1,CJ384)+'Lease Cycles'!$BE$30*IF(CJ385&lt;INDEX('Lease Cycles'!$FA$30:$FG$30,1,CJ384),0,1-INDEX('Lease Cycles'!$EM$30:$ES$30,1,CJ384)),IF(OR(INDEX('Lease Cycles'!$DY$30:$EE$30,1,CJ384)=1,CJ385&gt;0),1,1-INDEX('Lease Cycles'!$DD$30:$DJ$30,1,CJ384))*('Lease Cycles'!$AJ$30*INDEX('Lease Cycles'!$FO$30:$FU$30,1,CJ384)+'Lease Cycles'!$BE$30*(1-INDEX('Lease Cycles'!$FO$30:$FU$30,1,CJ384)))),0)</f>
        <v>0</v>
      </c>
      <c r="CK394" s="24">
        <f>IF(CK386=1,'Lease Cycles'!$D$30*IF(INDEX('Lease Cycles'!$EF$30:$EL$30,1,CK384)=1,'Lease Cycles'!$AJ$30*INDEX('Lease Cycles'!$FO$30:$FU$30,1,CK384)*INDEX('Lease Cycles'!$EM$30:$ES$30,1,CK384)+'Lease Cycles'!$BE$30*IF(CK385&lt;INDEX('Lease Cycles'!$FA$30:$FG$30,1,CK384),0,1-INDEX('Lease Cycles'!$EM$30:$ES$30,1,CK384)),IF(OR(INDEX('Lease Cycles'!$DY$30:$EE$30,1,CK384)=1,CK385&gt;0),1,1-INDEX('Lease Cycles'!$DD$30:$DJ$30,1,CK384))*('Lease Cycles'!$AJ$30*INDEX('Lease Cycles'!$FO$30:$FU$30,1,CK384)+'Lease Cycles'!$BE$30*(1-INDEX('Lease Cycles'!$FO$30:$FU$30,1,CK384)))),0)</f>
        <v>0</v>
      </c>
      <c r="CL394" s="24">
        <f>IF(CL386=1,'Lease Cycles'!$D$30*IF(INDEX('Lease Cycles'!$EF$30:$EL$30,1,CL384)=1,'Lease Cycles'!$AJ$30*INDEX('Lease Cycles'!$FO$30:$FU$30,1,CL384)*INDEX('Lease Cycles'!$EM$30:$ES$30,1,CL384)+'Lease Cycles'!$BE$30*IF(CL385&lt;INDEX('Lease Cycles'!$FA$30:$FG$30,1,CL384),0,1-INDEX('Lease Cycles'!$EM$30:$ES$30,1,CL384)),IF(OR(INDEX('Lease Cycles'!$DY$30:$EE$30,1,CL384)=1,CL385&gt;0),1,1-INDEX('Lease Cycles'!$DD$30:$DJ$30,1,CL384))*('Lease Cycles'!$AJ$30*INDEX('Lease Cycles'!$FO$30:$FU$30,1,CL384)+'Lease Cycles'!$BE$30*(1-INDEX('Lease Cycles'!$FO$30:$FU$30,1,CL384)))),0)</f>
        <v>0</v>
      </c>
      <c r="CM394" s="24">
        <f>IF(CM386=1,'Lease Cycles'!$D$30*IF(INDEX('Lease Cycles'!$EF$30:$EL$30,1,CM384)=1,'Lease Cycles'!$AJ$30*INDEX('Lease Cycles'!$FO$30:$FU$30,1,CM384)*INDEX('Lease Cycles'!$EM$30:$ES$30,1,CM384)+'Lease Cycles'!$BE$30*IF(CM385&lt;INDEX('Lease Cycles'!$FA$30:$FG$30,1,CM384),0,1-INDEX('Lease Cycles'!$EM$30:$ES$30,1,CM384)),IF(OR(INDEX('Lease Cycles'!$DY$30:$EE$30,1,CM384)=1,CM385&gt;0),1,1-INDEX('Lease Cycles'!$DD$30:$DJ$30,1,CM384))*('Lease Cycles'!$AJ$30*INDEX('Lease Cycles'!$FO$30:$FU$30,1,CM384)+'Lease Cycles'!$BE$30*(1-INDEX('Lease Cycles'!$FO$30:$FU$30,1,CM384)))),0)</f>
        <v>0</v>
      </c>
      <c r="CN394" s="24">
        <f>IF(CN386=1,'Lease Cycles'!$D$30*IF(INDEX('Lease Cycles'!$EF$30:$EL$30,1,CN384)=1,'Lease Cycles'!$AJ$30*INDEX('Lease Cycles'!$FO$30:$FU$30,1,CN384)*INDEX('Lease Cycles'!$EM$30:$ES$30,1,CN384)+'Lease Cycles'!$BE$30*IF(CN385&lt;INDEX('Lease Cycles'!$FA$30:$FG$30,1,CN384),0,1-INDEX('Lease Cycles'!$EM$30:$ES$30,1,CN384)),IF(OR(INDEX('Lease Cycles'!$DY$30:$EE$30,1,CN384)=1,CN385&gt;0),1,1-INDEX('Lease Cycles'!$DD$30:$DJ$30,1,CN384))*('Lease Cycles'!$AJ$30*INDEX('Lease Cycles'!$FO$30:$FU$30,1,CN384)+'Lease Cycles'!$BE$30*(1-INDEX('Lease Cycles'!$FO$30:$FU$30,1,CN384)))),0)</f>
        <v>0</v>
      </c>
      <c r="CO394" s="24">
        <f>IF(CO386=1,'Lease Cycles'!$D$30*IF(INDEX('Lease Cycles'!$EF$30:$EL$30,1,CO384)=1,'Lease Cycles'!$AJ$30*INDEX('Lease Cycles'!$FO$30:$FU$30,1,CO384)*INDEX('Lease Cycles'!$EM$30:$ES$30,1,CO384)+'Lease Cycles'!$BE$30*IF(CO385&lt;INDEX('Lease Cycles'!$FA$30:$FG$30,1,CO384),0,1-INDEX('Lease Cycles'!$EM$30:$ES$30,1,CO384)),IF(OR(INDEX('Lease Cycles'!$DY$30:$EE$30,1,CO384)=1,CO385&gt;0),1,1-INDEX('Lease Cycles'!$DD$30:$DJ$30,1,CO384))*('Lease Cycles'!$AJ$30*INDEX('Lease Cycles'!$FO$30:$FU$30,1,CO384)+'Lease Cycles'!$BE$30*(1-INDEX('Lease Cycles'!$FO$30:$FU$30,1,CO384)))),0)</f>
        <v>0</v>
      </c>
      <c r="CP394" s="24">
        <f>IF(CP386=1,'Lease Cycles'!$D$30*IF(INDEX('Lease Cycles'!$EF$30:$EL$30,1,CP384)=1,'Lease Cycles'!$AJ$30*INDEX('Lease Cycles'!$FO$30:$FU$30,1,CP384)*INDEX('Lease Cycles'!$EM$30:$ES$30,1,CP384)+'Lease Cycles'!$BE$30*IF(CP385&lt;INDEX('Lease Cycles'!$FA$30:$FG$30,1,CP384),0,1-INDEX('Lease Cycles'!$EM$30:$ES$30,1,CP384)),IF(OR(INDEX('Lease Cycles'!$DY$30:$EE$30,1,CP384)=1,CP385&gt;0),1,1-INDEX('Lease Cycles'!$DD$30:$DJ$30,1,CP384))*('Lease Cycles'!$AJ$30*INDEX('Lease Cycles'!$FO$30:$FU$30,1,CP384)+'Lease Cycles'!$BE$30*(1-INDEX('Lease Cycles'!$FO$30:$FU$30,1,CP384)))),0)</f>
        <v>0</v>
      </c>
      <c r="CQ394" s="24">
        <f>IF(CQ386=1,'Lease Cycles'!$D$30*IF(INDEX('Lease Cycles'!$EF$30:$EL$30,1,CQ384)=1,'Lease Cycles'!$AJ$30*INDEX('Lease Cycles'!$FO$30:$FU$30,1,CQ384)*INDEX('Lease Cycles'!$EM$30:$ES$30,1,CQ384)+'Lease Cycles'!$BE$30*IF(CQ385&lt;INDEX('Lease Cycles'!$FA$30:$FG$30,1,CQ384),0,1-INDEX('Lease Cycles'!$EM$30:$ES$30,1,CQ384)),IF(OR(INDEX('Lease Cycles'!$DY$30:$EE$30,1,CQ384)=1,CQ385&gt;0),1,1-INDEX('Lease Cycles'!$DD$30:$DJ$30,1,CQ384))*('Lease Cycles'!$AJ$30*INDEX('Lease Cycles'!$FO$30:$FU$30,1,CQ384)+'Lease Cycles'!$BE$30*(1-INDEX('Lease Cycles'!$FO$30:$FU$30,1,CQ384)))),0)</f>
        <v>0</v>
      </c>
      <c r="CR394" s="24">
        <f>IF(CR386=1,'Lease Cycles'!$D$30*IF(INDEX('Lease Cycles'!$EF$30:$EL$30,1,CR384)=1,'Lease Cycles'!$AJ$30*INDEX('Lease Cycles'!$FO$30:$FU$30,1,CR384)*INDEX('Lease Cycles'!$EM$30:$ES$30,1,CR384)+'Lease Cycles'!$BE$30*IF(CR385&lt;INDEX('Lease Cycles'!$FA$30:$FG$30,1,CR384),0,1-INDEX('Lease Cycles'!$EM$30:$ES$30,1,CR384)),IF(OR(INDEX('Lease Cycles'!$DY$30:$EE$30,1,CR384)=1,CR385&gt;0),1,1-INDEX('Lease Cycles'!$DD$30:$DJ$30,1,CR384))*('Lease Cycles'!$AJ$30*INDEX('Lease Cycles'!$FO$30:$FU$30,1,CR384)+'Lease Cycles'!$BE$30*(1-INDEX('Lease Cycles'!$FO$30:$FU$30,1,CR384)))),0)</f>
        <v>0</v>
      </c>
      <c r="CS394" s="24">
        <f>IF(CS386=1,'Lease Cycles'!$D$30*IF(INDEX('Lease Cycles'!$EF$30:$EL$30,1,CS384)=1,'Lease Cycles'!$AJ$30*INDEX('Lease Cycles'!$FO$30:$FU$30,1,CS384)*INDEX('Lease Cycles'!$EM$30:$ES$30,1,CS384)+'Lease Cycles'!$BE$30*IF(CS385&lt;INDEX('Lease Cycles'!$FA$30:$FG$30,1,CS384),0,1-INDEX('Lease Cycles'!$EM$30:$ES$30,1,CS384)),IF(OR(INDEX('Lease Cycles'!$DY$30:$EE$30,1,CS384)=1,CS385&gt;0),1,1-INDEX('Lease Cycles'!$DD$30:$DJ$30,1,CS384))*('Lease Cycles'!$AJ$30*INDEX('Lease Cycles'!$FO$30:$FU$30,1,CS384)+'Lease Cycles'!$BE$30*(1-INDEX('Lease Cycles'!$FO$30:$FU$30,1,CS384)))),0)</f>
        <v>0</v>
      </c>
      <c r="CT394" s="24">
        <f>IF(CT386=1,'Lease Cycles'!$D$30*IF(INDEX('Lease Cycles'!$EF$30:$EL$30,1,CT384)=1,'Lease Cycles'!$AJ$30*INDEX('Lease Cycles'!$FO$30:$FU$30,1,CT384)*INDEX('Lease Cycles'!$EM$30:$ES$30,1,CT384)+'Lease Cycles'!$BE$30*IF(CT385&lt;INDEX('Lease Cycles'!$FA$30:$FG$30,1,CT384),0,1-INDEX('Lease Cycles'!$EM$30:$ES$30,1,CT384)),IF(OR(INDEX('Lease Cycles'!$DY$30:$EE$30,1,CT384)=1,CT385&gt;0),1,1-INDEX('Lease Cycles'!$DD$30:$DJ$30,1,CT384))*('Lease Cycles'!$AJ$30*INDEX('Lease Cycles'!$FO$30:$FU$30,1,CT384)+'Lease Cycles'!$BE$30*(1-INDEX('Lease Cycles'!$FO$30:$FU$30,1,CT384)))),0)</f>
        <v>0</v>
      </c>
      <c r="CU394" s="24">
        <f>IF(CU386=1,'Lease Cycles'!$D$30*IF(INDEX('Lease Cycles'!$EF$30:$EL$30,1,CU384)=1,'Lease Cycles'!$AJ$30*INDEX('Lease Cycles'!$FO$30:$FU$30,1,CU384)*INDEX('Lease Cycles'!$EM$30:$ES$30,1,CU384)+'Lease Cycles'!$BE$30*IF(CU385&lt;INDEX('Lease Cycles'!$FA$30:$FG$30,1,CU384),0,1-INDEX('Lease Cycles'!$EM$30:$ES$30,1,CU384)),IF(OR(INDEX('Lease Cycles'!$DY$30:$EE$30,1,CU384)=1,CU385&gt;0),1,1-INDEX('Lease Cycles'!$DD$30:$DJ$30,1,CU384))*('Lease Cycles'!$AJ$30*INDEX('Lease Cycles'!$FO$30:$FU$30,1,CU384)+'Lease Cycles'!$BE$30*(1-INDEX('Lease Cycles'!$FO$30:$FU$30,1,CU384)))),0)</f>
        <v>0</v>
      </c>
      <c r="CV394" s="24">
        <f>IF(CV386=1,'Lease Cycles'!$D$30*IF(INDEX('Lease Cycles'!$EF$30:$EL$30,1,CV384)=1,'Lease Cycles'!$AJ$30*INDEX('Lease Cycles'!$FO$30:$FU$30,1,CV384)*INDEX('Lease Cycles'!$EM$30:$ES$30,1,CV384)+'Lease Cycles'!$BE$30*IF(CV385&lt;INDEX('Lease Cycles'!$FA$30:$FG$30,1,CV384),0,1-INDEX('Lease Cycles'!$EM$30:$ES$30,1,CV384)),IF(OR(INDEX('Lease Cycles'!$DY$30:$EE$30,1,CV384)=1,CV385&gt;0),1,1-INDEX('Lease Cycles'!$DD$30:$DJ$30,1,CV384))*('Lease Cycles'!$AJ$30*INDEX('Lease Cycles'!$FO$30:$FU$30,1,CV384)+'Lease Cycles'!$BE$30*(1-INDEX('Lease Cycles'!$FO$30:$FU$30,1,CV384)))),0)</f>
        <v>0</v>
      </c>
      <c r="CW394" s="24">
        <f>IF(CW386=1,'Lease Cycles'!$D$30*IF(INDEX('Lease Cycles'!$EF$30:$EL$30,1,CW384)=1,'Lease Cycles'!$AJ$30*INDEX('Lease Cycles'!$FO$30:$FU$30,1,CW384)*INDEX('Lease Cycles'!$EM$30:$ES$30,1,CW384)+'Lease Cycles'!$BE$30*IF(CW385&lt;INDEX('Lease Cycles'!$FA$30:$FG$30,1,CW384),0,1-INDEX('Lease Cycles'!$EM$30:$ES$30,1,CW384)),IF(OR(INDEX('Lease Cycles'!$DY$30:$EE$30,1,CW384)=1,CW385&gt;0),1,1-INDEX('Lease Cycles'!$DD$30:$DJ$30,1,CW384))*('Lease Cycles'!$AJ$30*INDEX('Lease Cycles'!$FO$30:$FU$30,1,CW384)+'Lease Cycles'!$BE$30*(1-INDEX('Lease Cycles'!$FO$30:$FU$30,1,CW384)))),0)</f>
        <v>0</v>
      </c>
      <c r="CX394" s="24">
        <f>IF(CX386=1,'Lease Cycles'!$D$30*IF(INDEX('Lease Cycles'!$EF$30:$EL$30,1,CX384)=1,'Lease Cycles'!$AJ$30*INDEX('Lease Cycles'!$FO$30:$FU$30,1,CX384)*INDEX('Lease Cycles'!$EM$30:$ES$30,1,CX384)+'Lease Cycles'!$BE$30*IF(CX385&lt;INDEX('Lease Cycles'!$FA$30:$FG$30,1,CX384),0,1-INDEX('Lease Cycles'!$EM$30:$ES$30,1,CX384)),IF(OR(INDEX('Lease Cycles'!$DY$30:$EE$30,1,CX384)=1,CX385&gt;0),1,1-INDEX('Lease Cycles'!$DD$30:$DJ$30,1,CX384))*('Lease Cycles'!$AJ$30*INDEX('Lease Cycles'!$FO$30:$FU$30,1,CX384)+'Lease Cycles'!$BE$30*(1-INDEX('Lease Cycles'!$FO$30:$FU$30,1,CX384)))),0)</f>
        <v>0</v>
      </c>
      <c r="CY394" s="24">
        <f>IF(CY386=1,'Lease Cycles'!$D$30*IF(INDEX('Lease Cycles'!$EF$30:$EL$30,1,CY384)=1,'Lease Cycles'!$AJ$30*INDEX('Lease Cycles'!$FO$30:$FU$30,1,CY384)*INDEX('Lease Cycles'!$EM$30:$ES$30,1,CY384)+'Lease Cycles'!$BE$30*IF(CY385&lt;INDEX('Lease Cycles'!$FA$30:$FG$30,1,CY384),0,1-INDEX('Lease Cycles'!$EM$30:$ES$30,1,CY384)),IF(OR(INDEX('Lease Cycles'!$DY$30:$EE$30,1,CY384)=1,CY385&gt;0),1,1-INDEX('Lease Cycles'!$DD$30:$DJ$30,1,CY384))*('Lease Cycles'!$AJ$30*INDEX('Lease Cycles'!$FO$30:$FU$30,1,CY384)+'Lease Cycles'!$BE$30*(1-INDEX('Lease Cycles'!$FO$30:$FU$30,1,CY384)))),0)</f>
        <v>0</v>
      </c>
      <c r="CZ394" s="24">
        <f>IF(CZ386=1,'Lease Cycles'!$D$30*IF(INDEX('Lease Cycles'!$EF$30:$EL$30,1,CZ384)=1,'Lease Cycles'!$AJ$30*INDEX('Lease Cycles'!$FO$30:$FU$30,1,CZ384)*INDEX('Lease Cycles'!$EM$30:$ES$30,1,CZ384)+'Lease Cycles'!$BE$30*IF(CZ385&lt;INDEX('Lease Cycles'!$FA$30:$FG$30,1,CZ384),0,1-INDEX('Lease Cycles'!$EM$30:$ES$30,1,CZ384)),IF(OR(INDEX('Lease Cycles'!$DY$30:$EE$30,1,CZ384)=1,CZ385&gt;0),1,1-INDEX('Lease Cycles'!$DD$30:$DJ$30,1,CZ384))*('Lease Cycles'!$AJ$30*INDEX('Lease Cycles'!$FO$30:$FU$30,1,CZ384)+'Lease Cycles'!$BE$30*(1-INDEX('Lease Cycles'!$FO$30:$FU$30,1,CZ384)))),0)</f>
        <v>0</v>
      </c>
      <c r="DA394" s="24">
        <f>IF(DA386=1,'Lease Cycles'!$D$30*IF(INDEX('Lease Cycles'!$EF$30:$EL$30,1,DA384)=1,'Lease Cycles'!$AJ$30*INDEX('Lease Cycles'!$FO$30:$FU$30,1,DA384)*INDEX('Lease Cycles'!$EM$30:$ES$30,1,DA384)+'Lease Cycles'!$BE$30*IF(DA385&lt;INDEX('Lease Cycles'!$FA$30:$FG$30,1,DA384),0,1-INDEX('Lease Cycles'!$EM$30:$ES$30,1,DA384)),IF(OR(INDEX('Lease Cycles'!$DY$30:$EE$30,1,DA384)=1,DA385&gt;0),1,1-INDEX('Lease Cycles'!$DD$30:$DJ$30,1,DA384))*('Lease Cycles'!$AJ$30*INDEX('Lease Cycles'!$FO$30:$FU$30,1,DA384)+'Lease Cycles'!$BE$30*(1-INDEX('Lease Cycles'!$FO$30:$FU$30,1,DA384)))),0)</f>
        <v>0</v>
      </c>
      <c r="DB394" s="24">
        <f>IF(DB386=1,'Lease Cycles'!$D$30*IF(INDEX('Lease Cycles'!$EF$30:$EL$30,1,DB384)=1,'Lease Cycles'!$AJ$30*INDEX('Lease Cycles'!$FO$30:$FU$30,1,DB384)*INDEX('Lease Cycles'!$EM$30:$ES$30,1,DB384)+'Lease Cycles'!$BE$30*IF(DB385&lt;INDEX('Lease Cycles'!$FA$30:$FG$30,1,DB384),0,1-INDEX('Lease Cycles'!$EM$30:$ES$30,1,DB384)),IF(OR(INDEX('Lease Cycles'!$DY$30:$EE$30,1,DB384)=1,DB385&gt;0),1,1-INDEX('Lease Cycles'!$DD$30:$DJ$30,1,DB384))*('Lease Cycles'!$AJ$30*INDEX('Lease Cycles'!$FO$30:$FU$30,1,DB384)+'Lease Cycles'!$BE$30*(1-INDEX('Lease Cycles'!$FO$30:$FU$30,1,DB384)))),0)</f>
        <v>0</v>
      </c>
      <c r="DC394" s="24">
        <f>IF(DC386=1,'Lease Cycles'!$D$30*IF(INDEX('Lease Cycles'!$EF$30:$EL$30,1,DC384)=1,'Lease Cycles'!$AJ$30*INDEX('Lease Cycles'!$FO$30:$FU$30,1,DC384)*INDEX('Lease Cycles'!$EM$30:$ES$30,1,DC384)+'Lease Cycles'!$BE$30*IF(DC385&lt;INDEX('Lease Cycles'!$FA$30:$FG$30,1,DC384),0,1-INDEX('Lease Cycles'!$EM$30:$ES$30,1,DC384)),IF(OR(INDEX('Lease Cycles'!$DY$30:$EE$30,1,DC384)=1,DC385&gt;0),1,1-INDEX('Lease Cycles'!$DD$30:$DJ$30,1,DC384))*('Lease Cycles'!$AJ$30*INDEX('Lease Cycles'!$FO$30:$FU$30,1,DC384)+'Lease Cycles'!$BE$30*(1-INDEX('Lease Cycles'!$FO$30:$FU$30,1,DC384)))),0)</f>
        <v>0</v>
      </c>
      <c r="DD394" s="24">
        <f>IF(DD386=1,'Lease Cycles'!$D$30*IF(INDEX('Lease Cycles'!$EF$30:$EL$30,1,DD384)=1,'Lease Cycles'!$AJ$30*INDEX('Lease Cycles'!$FO$30:$FU$30,1,DD384)*INDEX('Lease Cycles'!$EM$30:$ES$30,1,DD384)+'Lease Cycles'!$BE$30*IF(DD385&lt;INDEX('Lease Cycles'!$FA$30:$FG$30,1,DD384),0,1-INDEX('Lease Cycles'!$EM$30:$ES$30,1,DD384)),IF(OR(INDEX('Lease Cycles'!$DY$30:$EE$30,1,DD384)=1,DD385&gt;0),1,1-INDEX('Lease Cycles'!$DD$30:$DJ$30,1,DD384))*('Lease Cycles'!$AJ$30*INDEX('Lease Cycles'!$FO$30:$FU$30,1,DD384)+'Lease Cycles'!$BE$30*(1-INDEX('Lease Cycles'!$FO$30:$FU$30,1,DD384)))),0)</f>
        <v>0</v>
      </c>
      <c r="DE394" s="24">
        <f>IF(DE386=1,'Lease Cycles'!$D$30*IF(INDEX('Lease Cycles'!$EF$30:$EL$30,1,DE384)=1,'Lease Cycles'!$AJ$30*INDEX('Lease Cycles'!$FO$30:$FU$30,1,DE384)*INDEX('Lease Cycles'!$EM$30:$ES$30,1,DE384)+'Lease Cycles'!$BE$30*IF(DE385&lt;INDEX('Lease Cycles'!$FA$30:$FG$30,1,DE384),0,1-INDEX('Lease Cycles'!$EM$30:$ES$30,1,DE384)),IF(OR(INDEX('Lease Cycles'!$DY$30:$EE$30,1,DE384)=1,DE385&gt;0),1,1-INDEX('Lease Cycles'!$DD$30:$DJ$30,1,DE384))*('Lease Cycles'!$AJ$30*INDEX('Lease Cycles'!$FO$30:$FU$30,1,DE384)+'Lease Cycles'!$BE$30*(1-INDEX('Lease Cycles'!$FO$30:$FU$30,1,DE384)))),0)</f>
        <v>0</v>
      </c>
      <c r="DF394" s="24">
        <f>IF(DF386=1,'Lease Cycles'!$D$30*IF(INDEX('Lease Cycles'!$EF$30:$EL$30,1,DF384)=1,'Lease Cycles'!$AJ$30*INDEX('Lease Cycles'!$FO$30:$FU$30,1,DF384)*INDEX('Lease Cycles'!$EM$30:$ES$30,1,DF384)+'Lease Cycles'!$BE$30*IF(DF385&lt;INDEX('Lease Cycles'!$FA$30:$FG$30,1,DF384),0,1-INDEX('Lease Cycles'!$EM$30:$ES$30,1,DF384)),IF(OR(INDEX('Lease Cycles'!$DY$30:$EE$30,1,DF384)=1,DF385&gt;0),1,1-INDEX('Lease Cycles'!$DD$30:$DJ$30,1,DF384))*('Lease Cycles'!$AJ$30*INDEX('Lease Cycles'!$FO$30:$FU$30,1,DF384)+'Lease Cycles'!$BE$30*(1-INDEX('Lease Cycles'!$FO$30:$FU$30,1,DF384)))),0)</f>
        <v>0</v>
      </c>
      <c r="DG394" s="24">
        <f>IF(DG386=1,'Lease Cycles'!$D$30*IF(INDEX('Lease Cycles'!$EF$30:$EL$30,1,DG384)=1,'Lease Cycles'!$AJ$30*INDEX('Lease Cycles'!$FO$30:$FU$30,1,DG384)*INDEX('Lease Cycles'!$EM$30:$ES$30,1,DG384)+'Lease Cycles'!$BE$30*IF(DG385&lt;INDEX('Lease Cycles'!$FA$30:$FG$30,1,DG384),0,1-INDEX('Lease Cycles'!$EM$30:$ES$30,1,DG384)),IF(OR(INDEX('Lease Cycles'!$DY$30:$EE$30,1,DG384)=1,DG385&gt;0),1,1-INDEX('Lease Cycles'!$DD$30:$DJ$30,1,DG384))*('Lease Cycles'!$AJ$30*INDEX('Lease Cycles'!$FO$30:$FU$30,1,DG384)+'Lease Cycles'!$BE$30*(1-INDEX('Lease Cycles'!$FO$30:$FU$30,1,DG384)))),0)</f>
        <v>0</v>
      </c>
      <c r="DH394" s="24">
        <f>IF(DH386=1,'Lease Cycles'!$D$30*IF(INDEX('Lease Cycles'!$EF$30:$EL$30,1,DH384)=1,'Lease Cycles'!$AJ$30*INDEX('Lease Cycles'!$FO$30:$FU$30,1,DH384)*INDEX('Lease Cycles'!$EM$30:$ES$30,1,DH384)+'Lease Cycles'!$BE$30*IF(DH385&lt;INDEX('Lease Cycles'!$FA$30:$FG$30,1,DH384),0,1-INDEX('Lease Cycles'!$EM$30:$ES$30,1,DH384)),IF(OR(INDEX('Lease Cycles'!$DY$30:$EE$30,1,DH384)=1,DH385&gt;0),1,1-INDEX('Lease Cycles'!$DD$30:$DJ$30,1,DH384))*('Lease Cycles'!$AJ$30*INDEX('Lease Cycles'!$FO$30:$FU$30,1,DH384)+'Lease Cycles'!$BE$30*(1-INDEX('Lease Cycles'!$FO$30:$FU$30,1,DH384)))),0)</f>
        <v>0</v>
      </c>
      <c r="DI394" s="24">
        <f>IF(DI386=1,'Lease Cycles'!$D$30*IF(INDEX('Lease Cycles'!$EF$30:$EL$30,1,DI384)=1,'Lease Cycles'!$AJ$30*INDEX('Lease Cycles'!$FO$30:$FU$30,1,DI384)*INDEX('Lease Cycles'!$EM$30:$ES$30,1,DI384)+'Lease Cycles'!$BE$30*IF(DI385&lt;INDEX('Lease Cycles'!$FA$30:$FG$30,1,DI384),0,1-INDEX('Lease Cycles'!$EM$30:$ES$30,1,DI384)),IF(OR(INDEX('Lease Cycles'!$DY$30:$EE$30,1,DI384)=1,DI385&gt;0),1,1-INDEX('Lease Cycles'!$DD$30:$DJ$30,1,DI384))*('Lease Cycles'!$AJ$30*INDEX('Lease Cycles'!$FO$30:$FU$30,1,DI384)+'Lease Cycles'!$BE$30*(1-INDEX('Lease Cycles'!$FO$30:$FU$30,1,DI384)))),0)</f>
        <v>0</v>
      </c>
      <c r="DJ394" s="24">
        <f>IF(DJ386=1,'Lease Cycles'!$D$30*IF(INDEX('Lease Cycles'!$EF$30:$EL$30,1,DJ384)=1,'Lease Cycles'!$AJ$30*INDEX('Lease Cycles'!$FO$30:$FU$30,1,DJ384)*INDEX('Lease Cycles'!$EM$30:$ES$30,1,DJ384)+'Lease Cycles'!$BE$30*IF(DJ385&lt;INDEX('Lease Cycles'!$FA$30:$FG$30,1,DJ384),0,1-INDEX('Lease Cycles'!$EM$30:$ES$30,1,DJ384)),IF(OR(INDEX('Lease Cycles'!$DY$30:$EE$30,1,DJ384)=1,DJ385&gt;0),1,1-INDEX('Lease Cycles'!$DD$30:$DJ$30,1,DJ384))*('Lease Cycles'!$AJ$30*INDEX('Lease Cycles'!$FO$30:$FU$30,1,DJ384)+'Lease Cycles'!$BE$30*(1-INDEX('Lease Cycles'!$FO$30:$FU$30,1,DJ384)))),0)</f>
        <v>0</v>
      </c>
      <c r="DK394" s="24">
        <f>IF(DK386=1,'Lease Cycles'!$D$30*IF(INDEX('Lease Cycles'!$EF$30:$EL$30,1,DK384)=1,'Lease Cycles'!$AJ$30*INDEX('Lease Cycles'!$FO$30:$FU$30,1,DK384)*INDEX('Lease Cycles'!$EM$30:$ES$30,1,DK384)+'Lease Cycles'!$BE$30*IF(DK385&lt;INDEX('Lease Cycles'!$FA$30:$FG$30,1,DK384),0,1-INDEX('Lease Cycles'!$EM$30:$ES$30,1,DK384)),IF(OR(INDEX('Lease Cycles'!$DY$30:$EE$30,1,DK384)=1,DK385&gt;0),1,1-INDEX('Lease Cycles'!$DD$30:$DJ$30,1,DK384))*('Lease Cycles'!$AJ$30*INDEX('Lease Cycles'!$FO$30:$FU$30,1,DK384)+'Lease Cycles'!$BE$30*(1-INDEX('Lease Cycles'!$FO$30:$FU$30,1,DK384)))),0)</f>
        <v>0</v>
      </c>
      <c r="DL394" s="24">
        <f>IF(DL386=1,'Lease Cycles'!$D$30*IF(INDEX('Lease Cycles'!$EF$30:$EL$30,1,DL384)=1,'Lease Cycles'!$AJ$30*INDEX('Lease Cycles'!$FO$30:$FU$30,1,DL384)*INDEX('Lease Cycles'!$EM$30:$ES$30,1,DL384)+'Lease Cycles'!$BE$30*IF(DL385&lt;INDEX('Lease Cycles'!$FA$30:$FG$30,1,DL384),0,1-INDEX('Lease Cycles'!$EM$30:$ES$30,1,DL384)),IF(OR(INDEX('Lease Cycles'!$DY$30:$EE$30,1,DL384)=1,DL385&gt;0),1,1-INDEX('Lease Cycles'!$DD$30:$DJ$30,1,DL384))*('Lease Cycles'!$AJ$30*INDEX('Lease Cycles'!$FO$30:$FU$30,1,DL384)+'Lease Cycles'!$BE$30*(1-INDEX('Lease Cycles'!$FO$30:$FU$30,1,DL384)))),0)</f>
        <v>0</v>
      </c>
      <c r="DM394" s="24">
        <f>IF(DM386=1,'Lease Cycles'!$D$30*IF(INDEX('Lease Cycles'!$EF$30:$EL$30,1,DM384)=1,'Lease Cycles'!$AJ$30*INDEX('Lease Cycles'!$FO$30:$FU$30,1,DM384)*INDEX('Lease Cycles'!$EM$30:$ES$30,1,DM384)+'Lease Cycles'!$BE$30*IF(DM385&lt;INDEX('Lease Cycles'!$FA$30:$FG$30,1,DM384),0,1-INDEX('Lease Cycles'!$EM$30:$ES$30,1,DM384)),IF(OR(INDEX('Lease Cycles'!$DY$30:$EE$30,1,DM384)=1,DM385&gt;0),1,1-INDEX('Lease Cycles'!$DD$30:$DJ$30,1,DM384))*('Lease Cycles'!$AJ$30*INDEX('Lease Cycles'!$FO$30:$FU$30,1,DM384)+'Lease Cycles'!$BE$30*(1-INDEX('Lease Cycles'!$FO$30:$FU$30,1,DM384)))),0)</f>
        <v>0</v>
      </c>
      <c r="DN394" s="24">
        <f>IF(DN386=1,'Lease Cycles'!$D$30*IF(INDEX('Lease Cycles'!$EF$30:$EL$30,1,DN384)=1,'Lease Cycles'!$AJ$30*INDEX('Lease Cycles'!$FO$30:$FU$30,1,DN384)*INDEX('Lease Cycles'!$EM$30:$ES$30,1,DN384)+'Lease Cycles'!$BE$30*IF(DN385&lt;INDEX('Lease Cycles'!$FA$30:$FG$30,1,DN384),0,1-INDEX('Lease Cycles'!$EM$30:$ES$30,1,DN384)),IF(OR(INDEX('Lease Cycles'!$DY$30:$EE$30,1,DN384)=1,DN385&gt;0),1,1-INDEX('Lease Cycles'!$DD$30:$DJ$30,1,DN384))*('Lease Cycles'!$AJ$30*INDEX('Lease Cycles'!$FO$30:$FU$30,1,DN384)+'Lease Cycles'!$BE$30*(1-INDEX('Lease Cycles'!$FO$30:$FU$30,1,DN384)))),0)</f>
        <v>0</v>
      </c>
      <c r="DO394" s="24">
        <f>IF(DO386=1,'Lease Cycles'!$D$30*IF(INDEX('Lease Cycles'!$EF$30:$EL$30,1,DO384)=1,'Lease Cycles'!$AJ$30*INDEX('Lease Cycles'!$FO$30:$FU$30,1,DO384)*INDEX('Lease Cycles'!$EM$30:$ES$30,1,DO384)+'Lease Cycles'!$BE$30*IF(DO385&lt;INDEX('Lease Cycles'!$FA$30:$FG$30,1,DO384),0,1-INDEX('Lease Cycles'!$EM$30:$ES$30,1,DO384)),IF(OR(INDEX('Lease Cycles'!$DY$30:$EE$30,1,DO384)=1,DO385&gt;0),1,1-INDEX('Lease Cycles'!$DD$30:$DJ$30,1,DO384))*('Lease Cycles'!$AJ$30*INDEX('Lease Cycles'!$FO$30:$FU$30,1,DO384)+'Lease Cycles'!$BE$30*(1-INDEX('Lease Cycles'!$FO$30:$FU$30,1,DO384)))),0)</f>
        <v>0</v>
      </c>
      <c r="DP394" s="24">
        <f>IF(DP386=1,'Lease Cycles'!$D$30*IF(INDEX('Lease Cycles'!$EF$30:$EL$30,1,DP384)=1,'Lease Cycles'!$AJ$30*INDEX('Lease Cycles'!$FO$30:$FU$30,1,DP384)*INDEX('Lease Cycles'!$EM$30:$ES$30,1,DP384)+'Lease Cycles'!$BE$30*IF(DP385&lt;INDEX('Lease Cycles'!$FA$30:$FG$30,1,DP384),0,1-INDEX('Lease Cycles'!$EM$30:$ES$30,1,DP384)),IF(OR(INDEX('Lease Cycles'!$DY$30:$EE$30,1,DP384)=1,DP385&gt;0),1,1-INDEX('Lease Cycles'!$DD$30:$DJ$30,1,DP384))*('Lease Cycles'!$AJ$30*INDEX('Lease Cycles'!$FO$30:$FU$30,1,DP384)+'Lease Cycles'!$BE$30*(1-INDEX('Lease Cycles'!$FO$30:$FU$30,1,DP384)))),0)</f>
        <v>0</v>
      </c>
      <c r="DQ394" s="24">
        <f>IF(DQ386=1,'Lease Cycles'!$D$30*IF(INDEX('Lease Cycles'!$EF$30:$EL$30,1,DQ384)=1,'Lease Cycles'!$AJ$30*INDEX('Lease Cycles'!$FO$30:$FU$30,1,DQ384)*INDEX('Lease Cycles'!$EM$30:$ES$30,1,DQ384)+'Lease Cycles'!$BE$30*IF(DQ385&lt;INDEX('Lease Cycles'!$FA$30:$FG$30,1,DQ384),0,1-INDEX('Lease Cycles'!$EM$30:$ES$30,1,DQ384)),IF(OR(INDEX('Lease Cycles'!$DY$30:$EE$30,1,DQ384)=1,DQ385&gt;0),1,1-INDEX('Lease Cycles'!$DD$30:$DJ$30,1,DQ384))*('Lease Cycles'!$AJ$30*INDEX('Lease Cycles'!$FO$30:$FU$30,1,DQ384)+'Lease Cycles'!$BE$30*(1-INDEX('Lease Cycles'!$FO$30:$FU$30,1,DQ384)))),0)</f>
        <v>0</v>
      </c>
      <c r="DR394" s="24">
        <f>IF(DR386=1,'Lease Cycles'!$D$30*IF(INDEX('Lease Cycles'!$EF$30:$EL$30,1,DR384)=1,'Lease Cycles'!$AJ$30*INDEX('Lease Cycles'!$FO$30:$FU$30,1,DR384)*INDEX('Lease Cycles'!$EM$30:$ES$30,1,DR384)+'Lease Cycles'!$BE$30*IF(DR385&lt;INDEX('Lease Cycles'!$FA$30:$FG$30,1,DR384),0,1-INDEX('Lease Cycles'!$EM$30:$ES$30,1,DR384)),IF(OR(INDEX('Lease Cycles'!$DY$30:$EE$30,1,DR384)=1,DR385&gt;0),1,1-INDEX('Lease Cycles'!$DD$30:$DJ$30,1,DR384))*('Lease Cycles'!$AJ$30*INDEX('Lease Cycles'!$FO$30:$FU$30,1,DR384)+'Lease Cycles'!$BE$30*(1-INDEX('Lease Cycles'!$FO$30:$FU$30,1,DR384)))),0)</f>
        <v>0</v>
      </c>
      <c r="DS394" s="24">
        <f>IF(DS386=1,'Lease Cycles'!$D$30*IF(INDEX('Lease Cycles'!$EF$30:$EL$30,1,DS384)=1,'Lease Cycles'!$AJ$30*INDEX('Lease Cycles'!$FO$30:$FU$30,1,DS384)*INDEX('Lease Cycles'!$EM$30:$ES$30,1,DS384)+'Lease Cycles'!$BE$30*IF(DS385&lt;INDEX('Lease Cycles'!$FA$30:$FG$30,1,DS384),0,1-INDEX('Lease Cycles'!$EM$30:$ES$30,1,DS384)),IF(OR(INDEX('Lease Cycles'!$DY$30:$EE$30,1,DS384)=1,DS385&gt;0),1,1-INDEX('Lease Cycles'!$DD$30:$DJ$30,1,DS384))*('Lease Cycles'!$AJ$30*INDEX('Lease Cycles'!$FO$30:$FU$30,1,DS384)+'Lease Cycles'!$BE$30*(1-INDEX('Lease Cycles'!$FO$30:$FU$30,1,DS384)))),0)</f>
        <v>0</v>
      </c>
      <c r="DT394" s="24">
        <f>IF(DT386=1,'Lease Cycles'!$D$30*IF(INDEX('Lease Cycles'!$EF$30:$EL$30,1,DT384)=1,'Lease Cycles'!$AJ$30*INDEX('Lease Cycles'!$FO$30:$FU$30,1,DT384)*INDEX('Lease Cycles'!$EM$30:$ES$30,1,DT384)+'Lease Cycles'!$BE$30*IF(DT385&lt;INDEX('Lease Cycles'!$FA$30:$FG$30,1,DT384),0,1-INDEX('Lease Cycles'!$EM$30:$ES$30,1,DT384)),IF(OR(INDEX('Lease Cycles'!$DY$30:$EE$30,1,DT384)=1,DT385&gt;0),1,1-INDEX('Lease Cycles'!$DD$30:$DJ$30,1,DT384))*('Lease Cycles'!$AJ$30*INDEX('Lease Cycles'!$FO$30:$FU$30,1,DT384)+'Lease Cycles'!$BE$30*(1-INDEX('Lease Cycles'!$FO$30:$FU$30,1,DT384)))),0)</f>
        <v>0</v>
      </c>
      <c r="DU394" s="24">
        <f>IF(DU386=1,'Lease Cycles'!$D$30*IF(INDEX('Lease Cycles'!$EF$30:$EL$30,1,DU384)=1,'Lease Cycles'!$AJ$30*INDEX('Lease Cycles'!$FO$30:$FU$30,1,DU384)*INDEX('Lease Cycles'!$EM$30:$ES$30,1,DU384)+'Lease Cycles'!$BE$30*IF(DU385&lt;INDEX('Lease Cycles'!$FA$30:$FG$30,1,DU384),0,1-INDEX('Lease Cycles'!$EM$30:$ES$30,1,DU384)),IF(OR(INDEX('Lease Cycles'!$DY$30:$EE$30,1,DU384)=1,DU385&gt;0),1,1-INDEX('Lease Cycles'!$DD$30:$DJ$30,1,DU384))*('Lease Cycles'!$AJ$30*INDEX('Lease Cycles'!$FO$30:$FU$30,1,DU384)+'Lease Cycles'!$BE$30*(1-INDEX('Lease Cycles'!$FO$30:$FU$30,1,DU384)))),0)</f>
        <v>0</v>
      </c>
      <c r="DV394" s="24">
        <f>IF(DV386=1,'Lease Cycles'!$D$30*IF(INDEX('Lease Cycles'!$EF$30:$EL$30,1,DV384)=1,'Lease Cycles'!$AJ$30*INDEX('Lease Cycles'!$FO$30:$FU$30,1,DV384)*INDEX('Lease Cycles'!$EM$30:$ES$30,1,DV384)+'Lease Cycles'!$BE$30*IF(DV385&lt;INDEX('Lease Cycles'!$FA$30:$FG$30,1,DV384),0,1-INDEX('Lease Cycles'!$EM$30:$ES$30,1,DV384)),IF(OR(INDEX('Lease Cycles'!$DY$30:$EE$30,1,DV384)=1,DV385&gt;0),1,1-INDEX('Lease Cycles'!$DD$30:$DJ$30,1,DV384))*('Lease Cycles'!$AJ$30*INDEX('Lease Cycles'!$FO$30:$FU$30,1,DV384)+'Lease Cycles'!$BE$30*(1-INDEX('Lease Cycles'!$FO$30:$FU$30,1,DV384)))),0)</f>
        <v>0</v>
      </c>
      <c r="DW394" s="24">
        <f>IF(DW386=1,'Lease Cycles'!$D$30*IF(INDEX('Lease Cycles'!$EF$30:$EL$30,1,DW384)=1,'Lease Cycles'!$AJ$30*INDEX('Lease Cycles'!$FO$30:$FU$30,1,DW384)*INDEX('Lease Cycles'!$EM$30:$ES$30,1,DW384)+'Lease Cycles'!$BE$30*IF(DW385&lt;INDEX('Lease Cycles'!$FA$30:$FG$30,1,DW384),0,1-INDEX('Lease Cycles'!$EM$30:$ES$30,1,DW384)),IF(OR(INDEX('Lease Cycles'!$DY$30:$EE$30,1,DW384)=1,DW385&gt;0),1,1-INDEX('Lease Cycles'!$DD$30:$DJ$30,1,DW384))*('Lease Cycles'!$AJ$30*INDEX('Lease Cycles'!$FO$30:$FU$30,1,DW384)+'Lease Cycles'!$BE$30*(1-INDEX('Lease Cycles'!$FO$30:$FU$30,1,DW384)))),0)</f>
        <v>0</v>
      </c>
      <c r="DX394" s="24">
        <f>IF(DX386=1,'Lease Cycles'!$D$30*IF(INDEX('Lease Cycles'!$EF$30:$EL$30,1,DX384)=1,'Lease Cycles'!$AJ$30*INDEX('Lease Cycles'!$FO$30:$FU$30,1,DX384)*INDEX('Lease Cycles'!$EM$30:$ES$30,1,DX384)+'Lease Cycles'!$BE$30*IF(DX385&lt;INDEX('Lease Cycles'!$FA$30:$FG$30,1,DX384),0,1-INDEX('Lease Cycles'!$EM$30:$ES$30,1,DX384)),IF(OR(INDEX('Lease Cycles'!$DY$30:$EE$30,1,DX384)=1,DX385&gt;0),1,1-INDEX('Lease Cycles'!$DD$30:$DJ$30,1,DX384))*('Lease Cycles'!$AJ$30*INDEX('Lease Cycles'!$FO$30:$FU$30,1,DX384)+'Lease Cycles'!$BE$30*(1-INDEX('Lease Cycles'!$FO$30:$FU$30,1,DX384)))),0)</f>
        <v>0</v>
      </c>
      <c r="DY394" s="24">
        <f>IF(DY386=1,'Lease Cycles'!$D$30*IF(INDEX('Lease Cycles'!$EF$30:$EL$30,1,DY384)=1,'Lease Cycles'!$AJ$30*INDEX('Lease Cycles'!$FO$30:$FU$30,1,DY384)*INDEX('Lease Cycles'!$EM$30:$ES$30,1,DY384)+'Lease Cycles'!$BE$30*IF(DY385&lt;INDEX('Lease Cycles'!$FA$30:$FG$30,1,DY384),0,1-INDEX('Lease Cycles'!$EM$30:$ES$30,1,DY384)),IF(OR(INDEX('Lease Cycles'!$DY$30:$EE$30,1,DY384)=1,DY385&gt;0),1,1-INDEX('Lease Cycles'!$DD$30:$DJ$30,1,DY384))*('Lease Cycles'!$AJ$30*INDEX('Lease Cycles'!$FO$30:$FU$30,1,DY384)+'Lease Cycles'!$BE$30*(1-INDEX('Lease Cycles'!$FO$30:$FU$30,1,DY384)))),0)</f>
        <v>0</v>
      </c>
      <c r="DZ394" s="24">
        <f>IF(DZ386=1,'Lease Cycles'!$D$30*IF(INDEX('Lease Cycles'!$EF$30:$EL$30,1,DZ384)=1,'Lease Cycles'!$AJ$30*INDEX('Lease Cycles'!$FO$30:$FU$30,1,DZ384)*INDEX('Lease Cycles'!$EM$30:$ES$30,1,DZ384)+'Lease Cycles'!$BE$30*IF(DZ385&lt;INDEX('Lease Cycles'!$FA$30:$FG$30,1,DZ384),0,1-INDEX('Lease Cycles'!$EM$30:$ES$30,1,DZ384)),IF(OR(INDEX('Lease Cycles'!$DY$30:$EE$30,1,DZ384)=1,DZ385&gt;0),1,1-INDEX('Lease Cycles'!$DD$30:$DJ$30,1,DZ384))*('Lease Cycles'!$AJ$30*INDEX('Lease Cycles'!$FO$30:$FU$30,1,DZ384)+'Lease Cycles'!$BE$30*(1-INDEX('Lease Cycles'!$FO$30:$FU$30,1,DZ384)))),0)</f>
        <v>0</v>
      </c>
      <c r="EA394" s="24">
        <f>IF(EA386=1,'Lease Cycles'!$D$30*IF(INDEX('Lease Cycles'!$EF$30:$EL$30,1,EA384)=1,'Lease Cycles'!$AJ$30*INDEX('Lease Cycles'!$FO$30:$FU$30,1,EA384)*INDEX('Lease Cycles'!$EM$30:$ES$30,1,EA384)+'Lease Cycles'!$BE$30*IF(EA385&lt;INDEX('Lease Cycles'!$FA$30:$FG$30,1,EA384),0,1-INDEX('Lease Cycles'!$EM$30:$ES$30,1,EA384)),IF(OR(INDEX('Lease Cycles'!$DY$30:$EE$30,1,EA384)=1,EA385&gt;0),1,1-INDEX('Lease Cycles'!$DD$30:$DJ$30,1,EA384))*('Lease Cycles'!$AJ$30*INDEX('Lease Cycles'!$FO$30:$FU$30,1,EA384)+'Lease Cycles'!$BE$30*(1-INDEX('Lease Cycles'!$FO$30:$FU$30,1,EA384)))),0)</f>
        <v>0</v>
      </c>
      <c r="EB394" s="24">
        <f>IF(EB386=1,'Lease Cycles'!$D$30*IF(INDEX('Lease Cycles'!$EF$30:$EL$30,1,EB384)=1,'Lease Cycles'!$AJ$30*INDEX('Lease Cycles'!$FO$30:$FU$30,1,EB384)*INDEX('Lease Cycles'!$EM$30:$ES$30,1,EB384)+'Lease Cycles'!$BE$30*IF(EB385&lt;INDEX('Lease Cycles'!$FA$30:$FG$30,1,EB384),0,1-INDEX('Lease Cycles'!$EM$30:$ES$30,1,EB384)),IF(OR(INDEX('Lease Cycles'!$DY$30:$EE$30,1,EB384)=1,EB385&gt;0),1,1-INDEX('Lease Cycles'!$DD$30:$DJ$30,1,EB384))*('Lease Cycles'!$AJ$30*INDEX('Lease Cycles'!$FO$30:$FU$30,1,EB384)+'Lease Cycles'!$BE$30*(1-INDEX('Lease Cycles'!$FO$30:$FU$30,1,EB384)))),0)</f>
        <v>0</v>
      </c>
      <c r="EC394" s="24">
        <f>IF(EC386=1,'Lease Cycles'!$D$30*IF(INDEX('Lease Cycles'!$EF$30:$EL$30,1,EC384)=1,'Lease Cycles'!$AJ$30*INDEX('Lease Cycles'!$FO$30:$FU$30,1,EC384)*INDEX('Lease Cycles'!$EM$30:$ES$30,1,EC384)+'Lease Cycles'!$BE$30*IF(EC385&lt;INDEX('Lease Cycles'!$FA$30:$FG$30,1,EC384),0,1-INDEX('Lease Cycles'!$EM$30:$ES$30,1,EC384)),IF(OR(INDEX('Lease Cycles'!$DY$30:$EE$30,1,EC384)=1,EC385&gt;0),1,1-INDEX('Lease Cycles'!$DD$30:$DJ$30,1,EC384))*('Lease Cycles'!$AJ$30*INDEX('Lease Cycles'!$FO$30:$FU$30,1,EC384)+'Lease Cycles'!$BE$30*(1-INDEX('Lease Cycles'!$FO$30:$FU$30,1,EC384)))),0)</f>
        <v>0</v>
      </c>
      <c r="ED394" s="24">
        <f>IF(ED386=1,'Lease Cycles'!$D$30*IF(INDEX('Lease Cycles'!$EF$30:$EL$30,1,ED384)=1,'Lease Cycles'!$AJ$30*INDEX('Lease Cycles'!$FO$30:$FU$30,1,ED384)*INDEX('Lease Cycles'!$EM$30:$ES$30,1,ED384)+'Lease Cycles'!$BE$30*IF(ED385&lt;INDEX('Lease Cycles'!$FA$30:$FG$30,1,ED384),0,1-INDEX('Lease Cycles'!$EM$30:$ES$30,1,ED384)),IF(OR(INDEX('Lease Cycles'!$DY$30:$EE$30,1,ED384)=1,ED385&gt;0),1,1-INDEX('Lease Cycles'!$DD$30:$DJ$30,1,ED384))*('Lease Cycles'!$AJ$30*INDEX('Lease Cycles'!$FO$30:$FU$30,1,ED384)+'Lease Cycles'!$BE$30*(1-INDEX('Lease Cycles'!$FO$30:$FU$30,1,ED384)))),0)</f>
        <v>0</v>
      </c>
      <c r="EE394" s="24">
        <f>IF(EE386=1,'Lease Cycles'!$D$30*IF(INDEX('Lease Cycles'!$EF$30:$EL$30,1,EE384)=1,'Lease Cycles'!$AJ$30*INDEX('Lease Cycles'!$FO$30:$FU$30,1,EE384)*INDEX('Lease Cycles'!$EM$30:$ES$30,1,EE384)+'Lease Cycles'!$BE$30*IF(EE385&lt;INDEX('Lease Cycles'!$FA$30:$FG$30,1,EE384),0,1-INDEX('Lease Cycles'!$EM$30:$ES$30,1,EE384)),IF(OR(INDEX('Lease Cycles'!$DY$30:$EE$30,1,EE384)=1,EE385&gt;0),1,1-INDEX('Lease Cycles'!$DD$30:$DJ$30,1,EE384))*('Lease Cycles'!$AJ$30*INDEX('Lease Cycles'!$FO$30:$FU$30,1,EE384)+'Lease Cycles'!$BE$30*(1-INDEX('Lease Cycles'!$FO$30:$FU$30,1,EE384)))),0)</f>
        <v>0</v>
      </c>
      <c r="EF394" s="24">
        <f>IF(EF386=1,'Lease Cycles'!$D$30*IF(INDEX('Lease Cycles'!$EF$30:$EL$30,1,EF384)=1,'Lease Cycles'!$AJ$30*INDEX('Lease Cycles'!$FO$30:$FU$30,1,EF384)*INDEX('Lease Cycles'!$EM$30:$ES$30,1,EF384)+'Lease Cycles'!$BE$30*IF(EF385&lt;INDEX('Lease Cycles'!$FA$30:$FG$30,1,EF384),0,1-INDEX('Lease Cycles'!$EM$30:$ES$30,1,EF384)),IF(OR(INDEX('Lease Cycles'!$DY$30:$EE$30,1,EF384)=1,EF385&gt;0),1,1-INDEX('Lease Cycles'!$DD$30:$DJ$30,1,EF384))*('Lease Cycles'!$AJ$30*INDEX('Lease Cycles'!$FO$30:$FU$30,1,EF384)+'Lease Cycles'!$BE$30*(1-INDEX('Lease Cycles'!$FO$30:$FU$30,1,EF384)))),0)</f>
        <v>0</v>
      </c>
      <c r="EG394" s="24">
        <f>IF(EG386=1,'Lease Cycles'!$D$30*IF(INDEX('Lease Cycles'!$EF$30:$EL$30,1,EG384)=1,'Lease Cycles'!$AJ$30*INDEX('Lease Cycles'!$FO$30:$FU$30,1,EG384)*INDEX('Lease Cycles'!$EM$30:$ES$30,1,EG384)+'Lease Cycles'!$BE$30*IF(EG385&lt;INDEX('Lease Cycles'!$FA$30:$FG$30,1,EG384),0,1-INDEX('Lease Cycles'!$EM$30:$ES$30,1,EG384)),IF(OR(INDEX('Lease Cycles'!$DY$30:$EE$30,1,EG384)=1,EG385&gt;0),1,1-INDEX('Lease Cycles'!$DD$30:$DJ$30,1,EG384))*('Lease Cycles'!$AJ$30*INDEX('Lease Cycles'!$FO$30:$FU$30,1,EG384)+'Lease Cycles'!$BE$30*(1-INDEX('Lease Cycles'!$FO$30:$FU$30,1,EG384)))),0)</f>
        <v>0</v>
      </c>
      <c r="EH394" s="24">
        <f>IF(EH386=1,'Lease Cycles'!$D$30*IF(INDEX('Lease Cycles'!$EF$30:$EL$30,1,EH384)=1,'Lease Cycles'!$AJ$30*INDEX('Lease Cycles'!$FO$30:$FU$30,1,EH384)*INDEX('Lease Cycles'!$EM$30:$ES$30,1,EH384)+'Lease Cycles'!$BE$30*IF(EH385&lt;INDEX('Lease Cycles'!$FA$30:$FG$30,1,EH384),0,1-INDEX('Lease Cycles'!$EM$30:$ES$30,1,EH384)),IF(OR(INDEX('Lease Cycles'!$DY$30:$EE$30,1,EH384)=1,EH385&gt;0),1,1-INDEX('Lease Cycles'!$DD$30:$DJ$30,1,EH384))*('Lease Cycles'!$AJ$30*INDEX('Lease Cycles'!$FO$30:$FU$30,1,EH384)+'Lease Cycles'!$BE$30*(1-INDEX('Lease Cycles'!$FO$30:$FU$30,1,EH384)))),0)</f>
        <v>0</v>
      </c>
      <c r="EI394" s="24">
        <f>IF(EI386=1,'Lease Cycles'!$D$30*IF(INDEX('Lease Cycles'!$EF$30:$EL$30,1,EI384)=1,'Lease Cycles'!$AJ$30*INDEX('Lease Cycles'!$FO$30:$FU$30,1,EI384)*INDEX('Lease Cycles'!$EM$30:$ES$30,1,EI384)+'Lease Cycles'!$BE$30*IF(EI385&lt;INDEX('Lease Cycles'!$FA$30:$FG$30,1,EI384),0,1-INDEX('Lease Cycles'!$EM$30:$ES$30,1,EI384)),IF(OR(INDEX('Lease Cycles'!$DY$30:$EE$30,1,EI384)=1,EI385&gt;0),1,1-INDEX('Lease Cycles'!$DD$30:$DJ$30,1,EI384))*('Lease Cycles'!$AJ$30*INDEX('Lease Cycles'!$FO$30:$FU$30,1,EI384)+'Lease Cycles'!$BE$30*(1-INDEX('Lease Cycles'!$FO$30:$FU$30,1,EI384)))),0)</f>
        <v>0</v>
      </c>
      <c r="EJ394" s="24">
        <f>IF(EJ386=1,'Lease Cycles'!$D$30*IF(INDEX('Lease Cycles'!$EF$30:$EL$30,1,EJ384)=1,'Lease Cycles'!$AJ$30*INDEX('Lease Cycles'!$FO$30:$FU$30,1,EJ384)*INDEX('Lease Cycles'!$EM$30:$ES$30,1,EJ384)+'Lease Cycles'!$BE$30*IF(EJ385&lt;INDEX('Lease Cycles'!$FA$30:$FG$30,1,EJ384),0,1-INDEX('Lease Cycles'!$EM$30:$ES$30,1,EJ384)),IF(OR(INDEX('Lease Cycles'!$DY$30:$EE$30,1,EJ384)=1,EJ385&gt;0),1,1-INDEX('Lease Cycles'!$DD$30:$DJ$30,1,EJ384))*('Lease Cycles'!$AJ$30*INDEX('Lease Cycles'!$FO$30:$FU$30,1,EJ384)+'Lease Cycles'!$BE$30*(1-INDEX('Lease Cycles'!$FO$30:$FU$30,1,EJ384)))),0)</f>
        <v>0</v>
      </c>
      <c r="EK394" s="24">
        <f>IF(EK386=1,'Lease Cycles'!$D$30*IF(INDEX('Lease Cycles'!$EF$30:$EL$30,1,EK384)=1,'Lease Cycles'!$AJ$30*INDEX('Lease Cycles'!$FO$30:$FU$30,1,EK384)*INDEX('Lease Cycles'!$EM$30:$ES$30,1,EK384)+'Lease Cycles'!$BE$30*IF(EK385&lt;INDEX('Lease Cycles'!$FA$30:$FG$30,1,EK384),0,1-INDEX('Lease Cycles'!$EM$30:$ES$30,1,EK384)),IF(OR(INDEX('Lease Cycles'!$DY$30:$EE$30,1,EK384)=1,EK385&gt;0),1,1-INDEX('Lease Cycles'!$DD$30:$DJ$30,1,EK384))*('Lease Cycles'!$AJ$30*INDEX('Lease Cycles'!$FO$30:$FU$30,1,EK384)+'Lease Cycles'!$BE$30*(1-INDEX('Lease Cycles'!$FO$30:$FU$30,1,EK384)))),0)</f>
        <v>0</v>
      </c>
      <c r="EL394" s="24">
        <f>IF(EL386=1,'Lease Cycles'!$D$30*IF(INDEX('Lease Cycles'!$EF$30:$EL$30,1,EL384)=1,'Lease Cycles'!$AJ$30*INDEX('Lease Cycles'!$FO$30:$FU$30,1,EL384)*INDEX('Lease Cycles'!$EM$30:$ES$30,1,EL384)+'Lease Cycles'!$BE$30*IF(EL385&lt;INDEX('Lease Cycles'!$FA$30:$FG$30,1,EL384),0,1-INDEX('Lease Cycles'!$EM$30:$ES$30,1,EL384)),IF(OR(INDEX('Lease Cycles'!$DY$30:$EE$30,1,EL384)=1,EL385&gt;0),1,1-INDEX('Lease Cycles'!$DD$30:$DJ$30,1,EL384))*('Lease Cycles'!$AJ$30*INDEX('Lease Cycles'!$FO$30:$FU$30,1,EL384)+'Lease Cycles'!$BE$30*(1-INDEX('Lease Cycles'!$FO$30:$FU$30,1,EL384)))),0)</f>
        <v>0</v>
      </c>
      <c r="EM394" s="24">
        <f>IF(EM386=1,'Lease Cycles'!$D$30*IF(INDEX('Lease Cycles'!$EF$30:$EL$30,1,EM384)=1,'Lease Cycles'!$AJ$30*INDEX('Lease Cycles'!$FO$30:$FU$30,1,EM384)*INDEX('Lease Cycles'!$EM$30:$ES$30,1,EM384)+'Lease Cycles'!$BE$30*IF(EM385&lt;INDEX('Lease Cycles'!$FA$30:$FG$30,1,EM384),0,1-INDEX('Lease Cycles'!$EM$30:$ES$30,1,EM384)),IF(OR(INDEX('Lease Cycles'!$DY$30:$EE$30,1,EM384)=1,EM385&gt;0),1,1-INDEX('Lease Cycles'!$DD$30:$DJ$30,1,EM384))*('Lease Cycles'!$AJ$30*INDEX('Lease Cycles'!$FO$30:$FU$30,1,EM384)+'Lease Cycles'!$BE$30*(1-INDEX('Lease Cycles'!$FO$30:$FU$30,1,EM384)))),0)</f>
        <v>0</v>
      </c>
      <c r="EN394" s="24">
        <f>IF(EN386=1,'Lease Cycles'!$D$30*IF(INDEX('Lease Cycles'!$EF$30:$EL$30,1,EN384)=1,'Lease Cycles'!$AJ$30*INDEX('Lease Cycles'!$FO$30:$FU$30,1,EN384)*INDEX('Lease Cycles'!$EM$30:$ES$30,1,EN384)+'Lease Cycles'!$BE$30*IF(EN385&lt;INDEX('Lease Cycles'!$FA$30:$FG$30,1,EN384),0,1-INDEX('Lease Cycles'!$EM$30:$ES$30,1,EN384)),IF(OR(INDEX('Lease Cycles'!$DY$30:$EE$30,1,EN384)=1,EN385&gt;0),1,1-INDEX('Lease Cycles'!$DD$30:$DJ$30,1,EN384))*('Lease Cycles'!$AJ$30*INDEX('Lease Cycles'!$FO$30:$FU$30,1,EN384)+'Lease Cycles'!$BE$30*(1-INDEX('Lease Cycles'!$FO$30:$FU$30,1,EN384)))),0)</f>
        <v>0</v>
      </c>
      <c r="EO394" s="24">
        <f>IF(EO386=1,'Lease Cycles'!$D$30*IF(INDEX('Lease Cycles'!$EF$30:$EL$30,1,EO384)=1,'Lease Cycles'!$AJ$30*INDEX('Lease Cycles'!$FO$30:$FU$30,1,EO384)*INDEX('Lease Cycles'!$EM$30:$ES$30,1,EO384)+'Lease Cycles'!$BE$30*IF(EO385&lt;INDEX('Lease Cycles'!$FA$30:$FG$30,1,EO384),0,1-INDEX('Lease Cycles'!$EM$30:$ES$30,1,EO384)),IF(OR(INDEX('Lease Cycles'!$DY$30:$EE$30,1,EO384)=1,EO385&gt;0),1,1-INDEX('Lease Cycles'!$DD$30:$DJ$30,1,EO384))*('Lease Cycles'!$AJ$30*INDEX('Lease Cycles'!$FO$30:$FU$30,1,EO384)+'Lease Cycles'!$BE$30*(1-INDEX('Lease Cycles'!$FO$30:$FU$30,1,EO384)))),0)</f>
        <v>0</v>
      </c>
      <c r="EP394" s="24">
        <f>IF(EP386=1,'Lease Cycles'!$D$30*IF(INDEX('Lease Cycles'!$EF$30:$EL$30,1,EP384)=1,'Lease Cycles'!$AJ$30*INDEX('Lease Cycles'!$FO$30:$FU$30,1,EP384)*INDEX('Lease Cycles'!$EM$30:$ES$30,1,EP384)+'Lease Cycles'!$BE$30*IF(EP385&lt;INDEX('Lease Cycles'!$FA$30:$FG$30,1,EP384),0,1-INDEX('Lease Cycles'!$EM$30:$ES$30,1,EP384)),IF(OR(INDEX('Lease Cycles'!$DY$30:$EE$30,1,EP384)=1,EP385&gt;0),1,1-INDEX('Lease Cycles'!$DD$30:$DJ$30,1,EP384))*('Lease Cycles'!$AJ$30*INDEX('Lease Cycles'!$FO$30:$FU$30,1,EP384)+'Lease Cycles'!$BE$30*(1-INDEX('Lease Cycles'!$FO$30:$FU$30,1,EP384)))),0)</f>
        <v>0</v>
      </c>
      <c r="EQ394" s="24">
        <f>IF(EQ386=1,'Lease Cycles'!$D$30*IF(INDEX('Lease Cycles'!$EF$30:$EL$30,1,EQ384)=1,'Lease Cycles'!$AJ$30*INDEX('Lease Cycles'!$FO$30:$FU$30,1,EQ384)*INDEX('Lease Cycles'!$EM$30:$ES$30,1,EQ384)+'Lease Cycles'!$BE$30*IF(EQ385&lt;INDEX('Lease Cycles'!$FA$30:$FG$30,1,EQ384),0,1-INDEX('Lease Cycles'!$EM$30:$ES$30,1,EQ384)),IF(OR(INDEX('Lease Cycles'!$DY$30:$EE$30,1,EQ384)=1,EQ385&gt;0),1,1-INDEX('Lease Cycles'!$DD$30:$DJ$30,1,EQ384))*('Lease Cycles'!$AJ$30*INDEX('Lease Cycles'!$FO$30:$FU$30,1,EQ384)+'Lease Cycles'!$BE$30*(1-INDEX('Lease Cycles'!$FO$30:$FU$30,1,EQ384)))),0)</f>
        <v>0</v>
      </c>
      <c r="ER394" s="24">
        <f>IF(ER386=1,'Lease Cycles'!$D$30*IF(INDEX('Lease Cycles'!$EF$30:$EL$30,1,ER384)=1,'Lease Cycles'!$AJ$30*INDEX('Lease Cycles'!$FO$30:$FU$30,1,ER384)*INDEX('Lease Cycles'!$EM$30:$ES$30,1,ER384)+'Lease Cycles'!$BE$30*IF(ER385&lt;INDEX('Lease Cycles'!$FA$30:$FG$30,1,ER384),0,1-INDEX('Lease Cycles'!$EM$30:$ES$30,1,ER384)),IF(OR(INDEX('Lease Cycles'!$DY$30:$EE$30,1,ER384)=1,ER385&gt;0),1,1-INDEX('Lease Cycles'!$DD$30:$DJ$30,1,ER384))*('Lease Cycles'!$AJ$30*INDEX('Lease Cycles'!$FO$30:$FU$30,1,ER384)+'Lease Cycles'!$BE$30*(1-INDEX('Lease Cycles'!$FO$30:$FU$30,1,ER384)))),0)</f>
        <v>0</v>
      </c>
      <c r="ES394" s="24">
        <f>IF(ES386=1,'Lease Cycles'!$D$30*IF(INDEX('Lease Cycles'!$EF$30:$EL$30,1,ES384)=1,'Lease Cycles'!$AJ$30*INDEX('Lease Cycles'!$FO$30:$FU$30,1,ES384)*INDEX('Lease Cycles'!$EM$30:$ES$30,1,ES384)+'Lease Cycles'!$BE$30*IF(ES385&lt;INDEX('Lease Cycles'!$FA$30:$FG$30,1,ES384),0,1-INDEX('Lease Cycles'!$EM$30:$ES$30,1,ES384)),IF(OR(INDEX('Lease Cycles'!$DY$30:$EE$30,1,ES384)=1,ES385&gt;0),1,1-INDEX('Lease Cycles'!$DD$30:$DJ$30,1,ES384))*('Lease Cycles'!$AJ$30*INDEX('Lease Cycles'!$FO$30:$FU$30,1,ES384)+'Lease Cycles'!$BE$30*(1-INDEX('Lease Cycles'!$FO$30:$FU$30,1,ES384)))),0)</f>
        <v>0</v>
      </c>
      <c r="ET394" s="24">
        <f>IF(ET386=1,'Lease Cycles'!$D$30*IF(INDEX('Lease Cycles'!$EF$30:$EL$30,1,ET384)=1,'Lease Cycles'!$AJ$30*INDEX('Lease Cycles'!$FO$30:$FU$30,1,ET384)*INDEX('Lease Cycles'!$EM$30:$ES$30,1,ET384)+'Lease Cycles'!$BE$30*IF(ET385&lt;INDEX('Lease Cycles'!$FA$30:$FG$30,1,ET384),0,1-INDEX('Lease Cycles'!$EM$30:$ES$30,1,ET384)),IF(OR(INDEX('Lease Cycles'!$DY$30:$EE$30,1,ET384)=1,ET385&gt;0),1,1-INDEX('Lease Cycles'!$DD$30:$DJ$30,1,ET384))*('Lease Cycles'!$AJ$30*INDEX('Lease Cycles'!$FO$30:$FU$30,1,ET384)+'Lease Cycles'!$BE$30*(1-INDEX('Lease Cycles'!$FO$30:$FU$30,1,ET384)))),0)</f>
        <v>0</v>
      </c>
    </row>
    <row r="395">
      <c r="A395" s="103">
        <v>23</v>
      </c>
      <c r="B395" s="23" t="str">
        <f>IF('Lease Cycles'!$B$30="","(empty slot)",'Lease Cycles'!$B$30)</f>
        <v>(empty slot)</v>
      </c>
      <c r="C395" s="23" t="s">
        <v>689</v>
      </c>
      <c r="D395" s="104" t="s">
        <v>690</v>
      </c>
      <c r="E395" s="25">
        <f>'Lease Cycles'!$AL$30</f>
        <v>0</v>
      </c>
      <c r="G395" s="28">
        <f>SUM(S395:AD395)</f>
        <v>0</v>
      </c>
      <c r="H395" s="28">
        <f>SUM(AE395:AP395)</f>
        <v>0</v>
      </c>
      <c r="I395" s="28">
        <f>SUM(AQ395:BB395)</f>
        <v>0</v>
      </c>
      <c r="J395" s="28">
        <f>SUM(BC395:BN395)</f>
        <v>0</v>
      </c>
      <c r="K395" s="28">
        <f>SUM(BO395:BZ395)</f>
        <v>0</v>
      </c>
      <c r="L395" s="28">
        <f>SUM(CA395:CL395)</f>
        <v>0</v>
      </c>
      <c r="M395" s="28">
        <f>SUM(CM395:CX395)</f>
        <v>0</v>
      </c>
      <c r="N395" s="28">
        <f>SUM(CY395:DJ395)</f>
        <v>0</v>
      </c>
      <c r="O395" s="28">
        <f>SUM(DK395:DV395)</f>
        <v>0</v>
      </c>
      <c r="P395" s="28">
        <f>SUM(DW395:EH395)</f>
        <v>0</v>
      </c>
      <c r="Q395" s="28">
        <f>SUM(EI395:ET395)</f>
        <v>0</v>
      </c>
      <c r="S395" s="28">
        <f>IF(S394=0,0,S394*MAX(0,(INDEX(c_CAMy,1,S$7)-INDEX(c_CAMy,1,INDEX('Lease Cycles'!$GC$30:$GI$30,1,S384)+1))*(1+'Lease Cycles'!$AK$30)+(INDEX(c_TAXy,1,S$7)-INDEX(c_TAXy,1,INDEX('Lease Cycles'!$GC$30:$GI$30,1,S384)+1))+(INDEX(c_INSy,1,S$7)-INDEX(c_INSy,1,INDEX('Lease Cycles'!$GC$30:$GI$30,1,S384)+1)))/12)</f>
        <v>0</v>
      </c>
      <c r="T395" s="28">
        <f>IF(T394=0,0,T394*MAX(0,(INDEX(c_CAMy,1,T$7)-INDEX(c_CAMy,1,INDEX('Lease Cycles'!$GC$30:$GI$30,1,T384)+1))*(1+'Lease Cycles'!$AK$30)+(INDEX(c_TAXy,1,T$7)-INDEX(c_TAXy,1,INDEX('Lease Cycles'!$GC$30:$GI$30,1,T384)+1))+(INDEX(c_INSy,1,T$7)-INDEX(c_INSy,1,INDEX('Lease Cycles'!$GC$30:$GI$30,1,T384)+1)))/12)</f>
        <v>0</v>
      </c>
      <c r="U395" s="28">
        <f>IF(U394=0,0,U394*MAX(0,(INDEX(c_CAMy,1,U$7)-INDEX(c_CAMy,1,INDEX('Lease Cycles'!$GC$30:$GI$30,1,U384)+1))*(1+'Lease Cycles'!$AK$30)+(INDEX(c_TAXy,1,U$7)-INDEX(c_TAXy,1,INDEX('Lease Cycles'!$GC$30:$GI$30,1,U384)+1))+(INDEX(c_INSy,1,U$7)-INDEX(c_INSy,1,INDEX('Lease Cycles'!$GC$30:$GI$30,1,U384)+1)))/12)</f>
        <v>0</v>
      </c>
      <c r="V395" s="28">
        <f>IF(V394=0,0,V394*MAX(0,(INDEX(c_CAMy,1,V$7)-INDEX(c_CAMy,1,INDEX('Lease Cycles'!$GC$30:$GI$30,1,V384)+1))*(1+'Lease Cycles'!$AK$30)+(INDEX(c_TAXy,1,V$7)-INDEX(c_TAXy,1,INDEX('Lease Cycles'!$GC$30:$GI$30,1,V384)+1))+(INDEX(c_INSy,1,V$7)-INDEX(c_INSy,1,INDEX('Lease Cycles'!$GC$30:$GI$30,1,V384)+1)))/12)</f>
        <v>0</v>
      </c>
      <c r="W395" s="28">
        <f>IF(W394=0,0,W394*MAX(0,(INDEX(c_CAMy,1,W$7)-INDEX(c_CAMy,1,INDEX('Lease Cycles'!$GC$30:$GI$30,1,W384)+1))*(1+'Lease Cycles'!$AK$30)+(INDEX(c_TAXy,1,W$7)-INDEX(c_TAXy,1,INDEX('Lease Cycles'!$GC$30:$GI$30,1,W384)+1))+(INDEX(c_INSy,1,W$7)-INDEX(c_INSy,1,INDEX('Lease Cycles'!$GC$30:$GI$30,1,W384)+1)))/12)</f>
        <v>0</v>
      </c>
      <c r="X395" s="28">
        <f>IF(X394=0,0,X394*MAX(0,(INDEX(c_CAMy,1,X$7)-INDEX(c_CAMy,1,INDEX('Lease Cycles'!$GC$30:$GI$30,1,X384)+1))*(1+'Lease Cycles'!$AK$30)+(INDEX(c_TAXy,1,X$7)-INDEX(c_TAXy,1,INDEX('Lease Cycles'!$GC$30:$GI$30,1,X384)+1))+(INDEX(c_INSy,1,X$7)-INDEX(c_INSy,1,INDEX('Lease Cycles'!$GC$30:$GI$30,1,X384)+1)))/12)</f>
        <v>0</v>
      </c>
      <c r="Y395" s="28">
        <f>IF(Y394=0,0,Y394*MAX(0,(INDEX(c_CAMy,1,Y$7)-INDEX(c_CAMy,1,INDEX('Lease Cycles'!$GC$30:$GI$30,1,Y384)+1))*(1+'Lease Cycles'!$AK$30)+(INDEX(c_TAXy,1,Y$7)-INDEX(c_TAXy,1,INDEX('Lease Cycles'!$GC$30:$GI$30,1,Y384)+1))+(INDEX(c_INSy,1,Y$7)-INDEX(c_INSy,1,INDEX('Lease Cycles'!$GC$30:$GI$30,1,Y384)+1)))/12)</f>
        <v>0</v>
      </c>
      <c r="Z395" s="28">
        <f>IF(Z394=0,0,Z394*MAX(0,(INDEX(c_CAMy,1,Z$7)-INDEX(c_CAMy,1,INDEX('Lease Cycles'!$GC$30:$GI$30,1,Z384)+1))*(1+'Lease Cycles'!$AK$30)+(INDEX(c_TAXy,1,Z$7)-INDEX(c_TAXy,1,INDEX('Lease Cycles'!$GC$30:$GI$30,1,Z384)+1))+(INDEX(c_INSy,1,Z$7)-INDEX(c_INSy,1,INDEX('Lease Cycles'!$GC$30:$GI$30,1,Z384)+1)))/12)</f>
        <v>0</v>
      </c>
      <c r="AA395" s="28">
        <f>IF(AA394=0,0,AA394*MAX(0,(INDEX(c_CAMy,1,AA$7)-INDEX(c_CAMy,1,INDEX('Lease Cycles'!$GC$30:$GI$30,1,AA384)+1))*(1+'Lease Cycles'!$AK$30)+(INDEX(c_TAXy,1,AA$7)-INDEX(c_TAXy,1,INDEX('Lease Cycles'!$GC$30:$GI$30,1,AA384)+1))+(INDEX(c_INSy,1,AA$7)-INDEX(c_INSy,1,INDEX('Lease Cycles'!$GC$30:$GI$30,1,AA384)+1)))/12)</f>
        <v>0</v>
      </c>
      <c r="AB395" s="28">
        <f>IF(AB394=0,0,AB394*MAX(0,(INDEX(c_CAMy,1,AB$7)-INDEX(c_CAMy,1,INDEX('Lease Cycles'!$GC$30:$GI$30,1,AB384)+1))*(1+'Lease Cycles'!$AK$30)+(INDEX(c_TAXy,1,AB$7)-INDEX(c_TAXy,1,INDEX('Lease Cycles'!$GC$30:$GI$30,1,AB384)+1))+(INDEX(c_INSy,1,AB$7)-INDEX(c_INSy,1,INDEX('Lease Cycles'!$GC$30:$GI$30,1,AB384)+1)))/12)</f>
        <v>0</v>
      </c>
      <c r="AC395" s="28">
        <f>IF(AC394=0,0,AC394*MAX(0,(INDEX(c_CAMy,1,AC$7)-INDEX(c_CAMy,1,INDEX('Lease Cycles'!$GC$30:$GI$30,1,AC384)+1))*(1+'Lease Cycles'!$AK$30)+(INDEX(c_TAXy,1,AC$7)-INDEX(c_TAXy,1,INDEX('Lease Cycles'!$GC$30:$GI$30,1,AC384)+1))+(INDEX(c_INSy,1,AC$7)-INDEX(c_INSy,1,INDEX('Lease Cycles'!$GC$30:$GI$30,1,AC384)+1)))/12)</f>
        <v>0</v>
      </c>
      <c r="AD395" s="28">
        <f>IF(AD394=0,0,AD394*MAX(0,(INDEX(c_CAMy,1,AD$7)-INDEX(c_CAMy,1,INDEX('Lease Cycles'!$GC$30:$GI$30,1,AD384)+1))*(1+'Lease Cycles'!$AK$30)+(INDEX(c_TAXy,1,AD$7)-INDEX(c_TAXy,1,INDEX('Lease Cycles'!$GC$30:$GI$30,1,AD384)+1))+(INDEX(c_INSy,1,AD$7)-INDEX(c_INSy,1,INDEX('Lease Cycles'!$GC$30:$GI$30,1,AD384)+1)))/12)</f>
        <v>0</v>
      </c>
      <c r="AE395" s="28">
        <f>IF(AE394=0,0,AE394*MAX(0,(INDEX(c_CAMy,1,AE$7)-INDEX(c_CAMy,1,INDEX('Lease Cycles'!$GC$30:$GI$30,1,AE384)+1))*(1+'Lease Cycles'!$AK$30)+(INDEX(c_TAXy,1,AE$7)-INDEX(c_TAXy,1,INDEX('Lease Cycles'!$GC$30:$GI$30,1,AE384)+1))+(INDEX(c_INSy,1,AE$7)-INDEX(c_INSy,1,INDEX('Lease Cycles'!$GC$30:$GI$30,1,AE384)+1)))/12)</f>
        <v>0</v>
      </c>
      <c r="AF395" s="28">
        <f>IF(AF394=0,0,AF394*MAX(0,(INDEX(c_CAMy,1,AF$7)-INDEX(c_CAMy,1,INDEX('Lease Cycles'!$GC$30:$GI$30,1,AF384)+1))*(1+'Lease Cycles'!$AK$30)+(INDEX(c_TAXy,1,AF$7)-INDEX(c_TAXy,1,INDEX('Lease Cycles'!$GC$30:$GI$30,1,AF384)+1))+(INDEX(c_INSy,1,AF$7)-INDEX(c_INSy,1,INDEX('Lease Cycles'!$GC$30:$GI$30,1,AF384)+1)))/12)</f>
        <v>0</v>
      </c>
      <c r="AG395" s="28">
        <f>IF(AG394=0,0,AG394*MAX(0,(INDEX(c_CAMy,1,AG$7)-INDEX(c_CAMy,1,INDEX('Lease Cycles'!$GC$30:$GI$30,1,AG384)+1))*(1+'Lease Cycles'!$AK$30)+(INDEX(c_TAXy,1,AG$7)-INDEX(c_TAXy,1,INDEX('Lease Cycles'!$GC$30:$GI$30,1,AG384)+1))+(INDEX(c_INSy,1,AG$7)-INDEX(c_INSy,1,INDEX('Lease Cycles'!$GC$30:$GI$30,1,AG384)+1)))/12)</f>
        <v>0</v>
      </c>
      <c r="AH395" s="28">
        <f>IF(AH394=0,0,AH394*MAX(0,(INDEX(c_CAMy,1,AH$7)-INDEX(c_CAMy,1,INDEX('Lease Cycles'!$GC$30:$GI$30,1,AH384)+1))*(1+'Lease Cycles'!$AK$30)+(INDEX(c_TAXy,1,AH$7)-INDEX(c_TAXy,1,INDEX('Lease Cycles'!$GC$30:$GI$30,1,AH384)+1))+(INDEX(c_INSy,1,AH$7)-INDEX(c_INSy,1,INDEX('Lease Cycles'!$GC$30:$GI$30,1,AH384)+1)))/12)</f>
        <v>0</v>
      </c>
      <c r="AI395" s="28">
        <f>IF(AI394=0,0,AI394*MAX(0,(INDEX(c_CAMy,1,AI$7)-INDEX(c_CAMy,1,INDEX('Lease Cycles'!$GC$30:$GI$30,1,AI384)+1))*(1+'Lease Cycles'!$AK$30)+(INDEX(c_TAXy,1,AI$7)-INDEX(c_TAXy,1,INDEX('Lease Cycles'!$GC$30:$GI$30,1,AI384)+1))+(INDEX(c_INSy,1,AI$7)-INDEX(c_INSy,1,INDEX('Lease Cycles'!$GC$30:$GI$30,1,AI384)+1)))/12)</f>
        <v>0</v>
      </c>
      <c r="AJ395" s="28">
        <f>IF(AJ394=0,0,AJ394*MAX(0,(INDEX(c_CAMy,1,AJ$7)-INDEX(c_CAMy,1,INDEX('Lease Cycles'!$GC$30:$GI$30,1,AJ384)+1))*(1+'Lease Cycles'!$AK$30)+(INDEX(c_TAXy,1,AJ$7)-INDEX(c_TAXy,1,INDEX('Lease Cycles'!$GC$30:$GI$30,1,AJ384)+1))+(INDEX(c_INSy,1,AJ$7)-INDEX(c_INSy,1,INDEX('Lease Cycles'!$GC$30:$GI$30,1,AJ384)+1)))/12)</f>
        <v>0</v>
      </c>
      <c r="AK395" s="28">
        <f>IF(AK394=0,0,AK394*MAX(0,(INDEX(c_CAMy,1,AK$7)-INDEX(c_CAMy,1,INDEX('Lease Cycles'!$GC$30:$GI$30,1,AK384)+1))*(1+'Lease Cycles'!$AK$30)+(INDEX(c_TAXy,1,AK$7)-INDEX(c_TAXy,1,INDEX('Lease Cycles'!$GC$30:$GI$30,1,AK384)+1))+(INDEX(c_INSy,1,AK$7)-INDEX(c_INSy,1,INDEX('Lease Cycles'!$GC$30:$GI$30,1,AK384)+1)))/12)</f>
        <v>0</v>
      </c>
      <c r="AL395" s="28">
        <f>IF(AL394=0,0,AL394*MAX(0,(INDEX(c_CAMy,1,AL$7)-INDEX(c_CAMy,1,INDEX('Lease Cycles'!$GC$30:$GI$30,1,AL384)+1))*(1+'Lease Cycles'!$AK$30)+(INDEX(c_TAXy,1,AL$7)-INDEX(c_TAXy,1,INDEX('Lease Cycles'!$GC$30:$GI$30,1,AL384)+1))+(INDEX(c_INSy,1,AL$7)-INDEX(c_INSy,1,INDEX('Lease Cycles'!$GC$30:$GI$30,1,AL384)+1)))/12)</f>
        <v>0</v>
      </c>
      <c r="AM395" s="28">
        <f>IF(AM394=0,0,AM394*MAX(0,(INDEX(c_CAMy,1,AM$7)-INDEX(c_CAMy,1,INDEX('Lease Cycles'!$GC$30:$GI$30,1,AM384)+1))*(1+'Lease Cycles'!$AK$30)+(INDEX(c_TAXy,1,AM$7)-INDEX(c_TAXy,1,INDEX('Lease Cycles'!$GC$30:$GI$30,1,AM384)+1))+(INDEX(c_INSy,1,AM$7)-INDEX(c_INSy,1,INDEX('Lease Cycles'!$GC$30:$GI$30,1,AM384)+1)))/12)</f>
        <v>0</v>
      </c>
      <c r="AN395" s="28">
        <f>IF(AN394=0,0,AN394*MAX(0,(INDEX(c_CAMy,1,AN$7)-INDEX(c_CAMy,1,INDEX('Lease Cycles'!$GC$30:$GI$30,1,AN384)+1))*(1+'Lease Cycles'!$AK$30)+(INDEX(c_TAXy,1,AN$7)-INDEX(c_TAXy,1,INDEX('Lease Cycles'!$GC$30:$GI$30,1,AN384)+1))+(INDEX(c_INSy,1,AN$7)-INDEX(c_INSy,1,INDEX('Lease Cycles'!$GC$30:$GI$30,1,AN384)+1)))/12)</f>
        <v>0</v>
      </c>
      <c r="AO395" s="28">
        <f>IF(AO394=0,0,AO394*MAX(0,(INDEX(c_CAMy,1,AO$7)-INDEX(c_CAMy,1,INDEX('Lease Cycles'!$GC$30:$GI$30,1,AO384)+1))*(1+'Lease Cycles'!$AK$30)+(INDEX(c_TAXy,1,AO$7)-INDEX(c_TAXy,1,INDEX('Lease Cycles'!$GC$30:$GI$30,1,AO384)+1))+(INDEX(c_INSy,1,AO$7)-INDEX(c_INSy,1,INDEX('Lease Cycles'!$GC$30:$GI$30,1,AO384)+1)))/12)</f>
        <v>0</v>
      </c>
      <c r="AP395" s="28">
        <f>IF(AP394=0,0,AP394*MAX(0,(INDEX(c_CAMy,1,AP$7)-INDEX(c_CAMy,1,INDEX('Lease Cycles'!$GC$30:$GI$30,1,AP384)+1))*(1+'Lease Cycles'!$AK$30)+(INDEX(c_TAXy,1,AP$7)-INDEX(c_TAXy,1,INDEX('Lease Cycles'!$GC$30:$GI$30,1,AP384)+1))+(INDEX(c_INSy,1,AP$7)-INDEX(c_INSy,1,INDEX('Lease Cycles'!$GC$30:$GI$30,1,AP384)+1)))/12)</f>
        <v>0</v>
      </c>
      <c r="AQ395" s="28">
        <f>IF(AQ394=0,0,AQ394*MAX(0,(INDEX(c_CAMy,1,AQ$7)-INDEX(c_CAMy,1,INDEX('Lease Cycles'!$GC$30:$GI$30,1,AQ384)+1))*(1+'Lease Cycles'!$AK$30)+(INDEX(c_TAXy,1,AQ$7)-INDEX(c_TAXy,1,INDEX('Lease Cycles'!$GC$30:$GI$30,1,AQ384)+1))+(INDEX(c_INSy,1,AQ$7)-INDEX(c_INSy,1,INDEX('Lease Cycles'!$GC$30:$GI$30,1,AQ384)+1)))/12)</f>
        <v>0</v>
      </c>
      <c r="AR395" s="28">
        <f>IF(AR394=0,0,AR394*MAX(0,(INDEX(c_CAMy,1,AR$7)-INDEX(c_CAMy,1,INDEX('Lease Cycles'!$GC$30:$GI$30,1,AR384)+1))*(1+'Lease Cycles'!$AK$30)+(INDEX(c_TAXy,1,AR$7)-INDEX(c_TAXy,1,INDEX('Lease Cycles'!$GC$30:$GI$30,1,AR384)+1))+(INDEX(c_INSy,1,AR$7)-INDEX(c_INSy,1,INDEX('Lease Cycles'!$GC$30:$GI$30,1,AR384)+1)))/12)</f>
        <v>0</v>
      </c>
      <c r="AS395" s="28">
        <f>IF(AS394=0,0,AS394*MAX(0,(INDEX(c_CAMy,1,AS$7)-INDEX(c_CAMy,1,INDEX('Lease Cycles'!$GC$30:$GI$30,1,AS384)+1))*(1+'Lease Cycles'!$AK$30)+(INDEX(c_TAXy,1,AS$7)-INDEX(c_TAXy,1,INDEX('Lease Cycles'!$GC$30:$GI$30,1,AS384)+1))+(INDEX(c_INSy,1,AS$7)-INDEX(c_INSy,1,INDEX('Lease Cycles'!$GC$30:$GI$30,1,AS384)+1)))/12)</f>
        <v>0</v>
      </c>
      <c r="AT395" s="28">
        <f>IF(AT394=0,0,AT394*MAX(0,(INDEX(c_CAMy,1,AT$7)-INDEX(c_CAMy,1,INDEX('Lease Cycles'!$GC$30:$GI$30,1,AT384)+1))*(1+'Lease Cycles'!$AK$30)+(INDEX(c_TAXy,1,AT$7)-INDEX(c_TAXy,1,INDEX('Lease Cycles'!$GC$30:$GI$30,1,AT384)+1))+(INDEX(c_INSy,1,AT$7)-INDEX(c_INSy,1,INDEX('Lease Cycles'!$GC$30:$GI$30,1,AT384)+1)))/12)</f>
        <v>0</v>
      </c>
      <c r="AU395" s="28">
        <f>IF(AU394=0,0,AU394*MAX(0,(INDEX(c_CAMy,1,AU$7)-INDEX(c_CAMy,1,INDEX('Lease Cycles'!$GC$30:$GI$30,1,AU384)+1))*(1+'Lease Cycles'!$AK$30)+(INDEX(c_TAXy,1,AU$7)-INDEX(c_TAXy,1,INDEX('Lease Cycles'!$GC$30:$GI$30,1,AU384)+1))+(INDEX(c_INSy,1,AU$7)-INDEX(c_INSy,1,INDEX('Lease Cycles'!$GC$30:$GI$30,1,AU384)+1)))/12)</f>
        <v>0</v>
      </c>
      <c r="AV395" s="28">
        <f>IF(AV394=0,0,AV394*MAX(0,(INDEX(c_CAMy,1,AV$7)-INDEX(c_CAMy,1,INDEX('Lease Cycles'!$GC$30:$GI$30,1,AV384)+1))*(1+'Lease Cycles'!$AK$30)+(INDEX(c_TAXy,1,AV$7)-INDEX(c_TAXy,1,INDEX('Lease Cycles'!$GC$30:$GI$30,1,AV384)+1))+(INDEX(c_INSy,1,AV$7)-INDEX(c_INSy,1,INDEX('Lease Cycles'!$GC$30:$GI$30,1,AV384)+1)))/12)</f>
        <v>0</v>
      </c>
      <c r="AW395" s="28">
        <f>IF(AW394=0,0,AW394*MAX(0,(INDEX(c_CAMy,1,AW$7)-INDEX(c_CAMy,1,INDEX('Lease Cycles'!$GC$30:$GI$30,1,AW384)+1))*(1+'Lease Cycles'!$AK$30)+(INDEX(c_TAXy,1,AW$7)-INDEX(c_TAXy,1,INDEX('Lease Cycles'!$GC$30:$GI$30,1,AW384)+1))+(INDEX(c_INSy,1,AW$7)-INDEX(c_INSy,1,INDEX('Lease Cycles'!$GC$30:$GI$30,1,AW384)+1)))/12)</f>
        <v>0</v>
      </c>
      <c r="AX395" s="28">
        <f>IF(AX394=0,0,AX394*MAX(0,(INDEX(c_CAMy,1,AX$7)-INDEX(c_CAMy,1,INDEX('Lease Cycles'!$GC$30:$GI$30,1,AX384)+1))*(1+'Lease Cycles'!$AK$30)+(INDEX(c_TAXy,1,AX$7)-INDEX(c_TAXy,1,INDEX('Lease Cycles'!$GC$30:$GI$30,1,AX384)+1))+(INDEX(c_INSy,1,AX$7)-INDEX(c_INSy,1,INDEX('Lease Cycles'!$GC$30:$GI$30,1,AX384)+1)))/12)</f>
        <v>0</v>
      </c>
      <c r="AY395" s="28">
        <f>IF(AY394=0,0,AY394*MAX(0,(INDEX(c_CAMy,1,AY$7)-INDEX(c_CAMy,1,INDEX('Lease Cycles'!$GC$30:$GI$30,1,AY384)+1))*(1+'Lease Cycles'!$AK$30)+(INDEX(c_TAXy,1,AY$7)-INDEX(c_TAXy,1,INDEX('Lease Cycles'!$GC$30:$GI$30,1,AY384)+1))+(INDEX(c_INSy,1,AY$7)-INDEX(c_INSy,1,INDEX('Lease Cycles'!$GC$30:$GI$30,1,AY384)+1)))/12)</f>
        <v>0</v>
      </c>
      <c r="AZ395" s="28">
        <f>IF(AZ394=0,0,AZ394*MAX(0,(INDEX(c_CAMy,1,AZ$7)-INDEX(c_CAMy,1,INDEX('Lease Cycles'!$GC$30:$GI$30,1,AZ384)+1))*(1+'Lease Cycles'!$AK$30)+(INDEX(c_TAXy,1,AZ$7)-INDEX(c_TAXy,1,INDEX('Lease Cycles'!$GC$30:$GI$30,1,AZ384)+1))+(INDEX(c_INSy,1,AZ$7)-INDEX(c_INSy,1,INDEX('Lease Cycles'!$GC$30:$GI$30,1,AZ384)+1)))/12)</f>
        <v>0</v>
      </c>
      <c r="BA395" s="28">
        <f>IF(BA394=0,0,BA394*MAX(0,(INDEX(c_CAMy,1,BA$7)-INDEX(c_CAMy,1,INDEX('Lease Cycles'!$GC$30:$GI$30,1,BA384)+1))*(1+'Lease Cycles'!$AK$30)+(INDEX(c_TAXy,1,BA$7)-INDEX(c_TAXy,1,INDEX('Lease Cycles'!$GC$30:$GI$30,1,BA384)+1))+(INDEX(c_INSy,1,BA$7)-INDEX(c_INSy,1,INDEX('Lease Cycles'!$GC$30:$GI$30,1,BA384)+1)))/12)</f>
        <v>0</v>
      </c>
      <c r="BB395" s="28">
        <f>IF(BB394=0,0,BB394*MAX(0,(INDEX(c_CAMy,1,BB$7)-INDEX(c_CAMy,1,INDEX('Lease Cycles'!$GC$30:$GI$30,1,BB384)+1))*(1+'Lease Cycles'!$AK$30)+(INDEX(c_TAXy,1,BB$7)-INDEX(c_TAXy,1,INDEX('Lease Cycles'!$GC$30:$GI$30,1,BB384)+1))+(INDEX(c_INSy,1,BB$7)-INDEX(c_INSy,1,INDEX('Lease Cycles'!$GC$30:$GI$30,1,BB384)+1)))/12)</f>
        <v>0</v>
      </c>
      <c r="BC395" s="28">
        <f>IF(BC394=0,0,BC394*MAX(0,(INDEX(c_CAMy,1,BC$7)-INDEX(c_CAMy,1,INDEX('Lease Cycles'!$GC$30:$GI$30,1,BC384)+1))*(1+'Lease Cycles'!$AK$30)+(INDEX(c_TAXy,1,BC$7)-INDEX(c_TAXy,1,INDEX('Lease Cycles'!$GC$30:$GI$30,1,BC384)+1))+(INDEX(c_INSy,1,BC$7)-INDEX(c_INSy,1,INDEX('Lease Cycles'!$GC$30:$GI$30,1,BC384)+1)))/12)</f>
        <v>0</v>
      </c>
      <c r="BD395" s="28">
        <f>IF(BD394=0,0,BD394*MAX(0,(INDEX(c_CAMy,1,BD$7)-INDEX(c_CAMy,1,INDEX('Lease Cycles'!$GC$30:$GI$30,1,BD384)+1))*(1+'Lease Cycles'!$AK$30)+(INDEX(c_TAXy,1,BD$7)-INDEX(c_TAXy,1,INDEX('Lease Cycles'!$GC$30:$GI$30,1,BD384)+1))+(INDEX(c_INSy,1,BD$7)-INDEX(c_INSy,1,INDEX('Lease Cycles'!$GC$30:$GI$30,1,BD384)+1)))/12)</f>
        <v>0</v>
      </c>
      <c r="BE395" s="28">
        <f>IF(BE394=0,0,BE394*MAX(0,(INDEX(c_CAMy,1,BE$7)-INDEX(c_CAMy,1,INDEX('Lease Cycles'!$GC$30:$GI$30,1,BE384)+1))*(1+'Lease Cycles'!$AK$30)+(INDEX(c_TAXy,1,BE$7)-INDEX(c_TAXy,1,INDEX('Lease Cycles'!$GC$30:$GI$30,1,BE384)+1))+(INDEX(c_INSy,1,BE$7)-INDEX(c_INSy,1,INDEX('Lease Cycles'!$GC$30:$GI$30,1,BE384)+1)))/12)</f>
        <v>0</v>
      </c>
      <c r="BF395" s="28">
        <f>IF(BF394=0,0,BF394*MAX(0,(INDEX(c_CAMy,1,BF$7)-INDEX(c_CAMy,1,INDEX('Lease Cycles'!$GC$30:$GI$30,1,BF384)+1))*(1+'Lease Cycles'!$AK$30)+(INDEX(c_TAXy,1,BF$7)-INDEX(c_TAXy,1,INDEX('Lease Cycles'!$GC$30:$GI$30,1,BF384)+1))+(INDEX(c_INSy,1,BF$7)-INDEX(c_INSy,1,INDEX('Lease Cycles'!$GC$30:$GI$30,1,BF384)+1)))/12)</f>
        <v>0</v>
      </c>
      <c r="BG395" s="28">
        <f>IF(BG394=0,0,BG394*MAX(0,(INDEX(c_CAMy,1,BG$7)-INDEX(c_CAMy,1,INDEX('Lease Cycles'!$GC$30:$GI$30,1,BG384)+1))*(1+'Lease Cycles'!$AK$30)+(INDEX(c_TAXy,1,BG$7)-INDEX(c_TAXy,1,INDEX('Lease Cycles'!$GC$30:$GI$30,1,BG384)+1))+(INDEX(c_INSy,1,BG$7)-INDEX(c_INSy,1,INDEX('Lease Cycles'!$GC$30:$GI$30,1,BG384)+1)))/12)</f>
        <v>0</v>
      </c>
      <c r="BH395" s="28">
        <f>IF(BH394=0,0,BH394*MAX(0,(INDEX(c_CAMy,1,BH$7)-INDEX(c_CAMy,1,INDEX('Lease Cycles'!$GC$30:$GI$30,1,BH384)+1))*(1+'Lease Cycles'!$AK$30)+(INDEX(c_TAXy,1,BH$7)-INDEX(c_TAXy,1,INDEX('Lease Cycles'!$GC$30:$GI$30,1,BH384)+1))+(INDEX(c_INSy,1,BH$7)-INDEX(c_INSy,1,INDEX('Lease Cycles'!$GC$30:$GI$30,1,BH384)+1)))/12)</f>
        <v>0</v>
      </c>
      <c r="BI395" s="28">
        <f>IF(BI394=0,0,BI394*MAX(0,(INDEX(c_CAMy,1,BI$7)-INDEX(c_CAMy,1,INDEX('Lease Cycles'!$GC$30:$GI$30,1,BI384)+1))*(1+'Lease Cycles'!$AK$30)+(INDEX(c_TAXy,1,BI$7)-INDEX(c_TAXy,1,INDEX('Lease Cycles'!$GC$30:$GI$30,1,BI384)+1))+(INDEX(c_INSy,1,BI$7)-INDEX(c_INSy,1,INDEX('Lease Cycles'!$GC$30:$GI$30,1,BI384)+1)))/12)</f>
        <v>0</v>
      </c>
      <c r="BJ395" s="28">
        <f>IF(BJ394=0,0,BJ394*MAX(0,(INDEX(c_CAMy,1,BJ$7)-INDEX(c_CAMy,1,INDEX('Lease Cycles'!$GC$30:$GI$30,1,BJ384)+1))*(1+'Lease Cycles'!$AK$30)+(INDEX(c_TAXy,1,BJ$7)-INDEX(c_TAXy,1,INDEX('Lease Cycles'!$GC$30:$GI$30,1,BJ384)+1))+(INDEX(c_INSy,1,BJ$7)-INDEX(c_INSy,1,INDEX('Lease Cycles'!$GC$30:$GI$30,1,BJ384)+1)))/12)</f>
        <v>0</v>
      </c>
      <c r="BK395" s="28">
        <f>IF(BK394=0,0,BK394*MAX(0,(INDEX(c_CAMy,1,BK$7)-INDEX(c_CAMy,1,INDEX('Lease Cycles'!$GC$30:$GI$30,1,BK384)+1))*(1+'Lease Cycles'!$AK$30)+(INDEX(c_TAXy,1,BK$7)-INDEX(c_TAXy,1,INDEX('Lease Cycles'!$GC$30:$GI$30,1,BK384)+1))+(INDEX(c_INSy,1,BK$7)-INDEX(c_INSy,1,INDEX('Lease Cycles'!$GC$30:$GI$30,1,BK384)+1)))/12)</f>
        <v>0</v>
      </c>
      <c r="BL395" s="28">
        <f>IF(BL394=0,0,BL394*MAX(0,(INDEX(c_CAMy,1,BL$7)-INDEX(c_CAMy,1,INDEX('Lease Cycles'!$GC$30:$GI$30,1,BL384)+1))*(1+'Lease Cycles'!$AK$30)+(INDEX(c_TAXy,1,BL$7)-INDEX(c_TAXy,1,INDEX('Lease Cycles'!$GC$30:$GI$30,1,BL384)+1))+(INDEX(c_INSy,1,BL$7)-INDEX(c_INSy,1,INDEX('Lease Cycles'!$GC$30:$GI$30,1,BL384)+1)))/12)</f>
        <v>0</v>
      </c>
      <c r="BM395" s="28">
        <f>IF(BM394=0,0,BM394*MAX(0,(INDEX(c_CAMy,1,BM$7)-INDEX(c_CAMy,1,INDEX('Lease Cycles'!$GC$30:$GI$30,1,BM384)+1))*(1+'Lease Cycles'!$AK$30)+(INDEX(c_TAXy,1,BM$7)-INDEX(c_TAXy,1,INDEX('Lease Cycles'!$GC$30:$GI$30,1,BM384)+1))+(INDEX(c_INSy,1,BM$7)-INDEX(c_INSy,1,INDEX('Lease Cycles'!$GC$30:$GI$30,1,BM384)+1)))/12)</f>
        <v>0</v>
      </c>
      <c r="BN395" s="28">
        <f>IF(BN394=0,0,BN394*MAX(0,(INDEX(c_CAMy,1,BN$7)-INDEX(c_CAMy,1,INDEX('Lease Cycles'!$GC$30:$GI$30,1,BN384)+1))*(1+'Lease Cycles'!$AK$30)+(INDEX(c_TAXy,1,BN$7)-INDEX(c_TAXy,1,INDEX('Lease Cycles'!$GC$30:$GI$30,1,BN384)+1))+(INDEX(c_INSy,1,BN$7)-INDEX(c_INSy,1,INDEX('Lease Cycles'!$GC$30:$GI$30,1,BN384)+1)))/12)</f>
        <v>0</v>
      </c>
      <c r="BO395" s="28">
        <f>IF(BO394=0,0,BO394*MAX(0,(INDEX(c_CAMy,1,BO$7)-INDEX(c_CAMy,1,INDEX('Lease Cycles'!$GC$30:$GI$30,1,BO384)+1))*(1+'Lease Cycles'!$AK$30)+(INDEX(c_TAXy,1,BO$7)-INDEX(c_TAXy,1,INDEX('Lease Cycles'!$GC$30:$GI$30,1,BO384)+1))+(INDEX(c_INSy,1,BO$7)-INDEX(c_INSy,1,INDEX('Lease Cycles'!$GC$30:$GI$30,1,BO384)+1)))/12)</f>
        <v>0</v>
      </c>
      <c r="BP395" s="28">
        <f>IF(BP394=0,0,BP394*MAX(0,(INDEX(c_CAMy,1,BP$7)-INDEX(c_CAMy,1,INDEX('Lease Cycles'!$GC$30:$GI$30,1,BP384)+1))*(1+'Lease Cycles'!$AK$30)+(INDEX(c_TAXy,1,BP$7)-INDEX(c_TAXy,1,INDEX('Lease Cycles'!$GC$30:$GI$30,1,BP384)+1))+(INDEX(c_INSy,1,BP$7)-INDEX(c_INSy,1,INDEX('Lease Cycles'!$GC$30:$GI$30,1,BP384)+1)))/12)</f>
        <v>0</v>
      </c>
      <c r="BQ395" s="28">
        <f>IF(BQ394=0,0,BQ394*MAX(0,(INDEX(c_CAMy,1,BQ$7)-INDEX(c_CAMy,1,INDEX('Lease Cycles'!$GC$30:$GI$30,1,BQ384)+1))*(1+'Lease Cycles'!$AK$30)+(INDEX(c_TAXy,1,BQ$7)-INDEX(c_TAXy,1,INDEX('Lease Cycles'!$GC$30:$GI$30,1,BQ384)+1))+(INDEX(c_INSy,1,BQ$7)-INDEX(c_INSy,1,INDEX('Lease Cycles'!$GC$30:$GI$30,1,BQ384)+1)))/12)</f>
        <v>0</v>
      </c>
      <c r="BR395" s="28">
        <f>IF(BR394=0,0,BR394*MAX(0,(INDEX(c_CAMy,1,BR$7)-INDEX(c_CAMy,1,INDEX('Lease Cycles'!$GC$30:$GI$30,1,BR384)+1))*(1+'Lease Cycles'!$AK$30)+(INDEX(c_TAXy,1,BR$7)-INDEX(c_TAXy,1,INDEX('Lease Cycles'!$GC$30:$GI$30,1,BR384)+1))+(INDEX(c_INSy,1,BR$7)-INDEX(c_INSy,1,INDEX('Lease Cycles'!$GC$30:$GI$30,1,BR384)+1)))/12)</f>
        <v>0</v>
      </c>
      <c r="BS395" s="28">
        <f>IF(BS394=0,0,BS394*MAX(0,(INDEX(c_CAMy,1,BS$7)-INDEX(c_CAMy,1,INDEX('Lease Cycles'!$GC$30:$GI$30,1,BS384)+1))*(1+'Lease Cycles'!$AK$30)+(INDEX(c_TAXy,1,BS$7)-INDEX(c_TAXy,1,INDEX('Lease Cycles'!$GC$30:$GI$30,1,BS384)+1))+(INDEX(c_INSy,1,BS$7)-INDEX(c_INSy,1,INDEX('Lease Cycles'!$GC$30:$GI$30,1,BS384)+1)))/12)</f>
        <v>0</v>
      </c>
      <c r="BT395" s="28">
        <f>IF(BT394=0,0,BT394*MAX(0,(INDEX(c_CAMy,1,BT$7)-INDEX(c_CAMy,1,INDEX('Lease Cycles'!$GC$30:$GI$30,1,BT384)+1))*(1+'Lease Cycles'!$AK$30)+(INDEX(c_TAXy,1,BT$7)-INDEX(c_TAXy,1,INDEX('Lease Cycles'!$GC$30:$GI$30,1,BT384)+1))+(INDEX(c_INSy,1,BT$7)-INDEX(c_INSy,1,INDEX('Lease Cycles'!$GC$30:$GI$30,1,BT384)+1)))/12)</f>
        <v>0</v>
      </c>
      <c r="BU395" s="28">
        <f>IF(BU394=0,0,BU394*MAX(0,(INDEX(c_CAMy,1,BU$7)-INDEX(c_CAMy,1,INDEX('Lease Cycles'!$GC$30:$GI$30,1,BU384)+1))*(1+'Lease Cycles'!$AK$30)+(INDEX(c_TAXy,1,BU$7)-INDEX(c_TAXy,1,INDEX('Lease Cycles'!$GC$30:$GI$30,1,BU384)+1))+(INDEX(c_INSy,1,BU$7)-INDEX(c_INSy,1,INDEX('Lease Cycles'!$GC$30:$GI$30,1,BU384)+1)))/12)</f>
        <v>0</v>
      </c>
      <c r="BV395" s="28">
        <f>IF(BV394=0,0,BV394*MAX(0,(INDEX(c_CAMy,1,BV$7)-INDEX(c_CAMy,1,INDEX('Lease Cycles'!$GC$30:$GI$30,1,BV384)+1))*(1+'Lease Cycles'!$AK$30)+(INDEX(c_TAXy,1,BV$7)-INDEX(c_TAXy,1,INDEX('Lease Cycles'!$GC$30:$GI$30,1,BV384)+1))+(INDEX(c_INSy,1,BV$7)-INDEX(c_INSy,1,INDEX('Lease Cycles'!$GC$30:$GI$30,1,BV384)+1)))/12)</f>
        <v>0</v>
      </c>
      <c r="BW395" s="28">
        <f>IF(BW394=0,0,BW394*MAX(0,(INDEX(c_CAMy,1,BW$7)-INDEX(c_CAMy,1,INDEX('Lease Cycles'!$GC$30:$GI$30,1,BW384)+1))*(1+'Lease Cycles'!$AK$30)+(INDEX(c_TAXy,1,BW$7)-INDEX(c_TAXy,1,INDEX('Lease Cycles'!$GC$30:$GI$30,1,BW384)+1))+(INDEX(c_INSy,1,BW$7)-INDEX(c_INSy,1,INDEX('Lease Cycles'!$GC$30:$GI$30,1,BW384)+1)))/12)</f>
        <v>0</v>
      </c>
      <c r="BX395" s="28">
        <f>IF(BX394=0,0,BX394*MAX(0,(INDEX(c_CAMy,1,BX$7)-INDEX(c_CAMy,1,INDEX('Lease Cycles'!$GC$30:$GI$30,1,BX384)+1))*(1+'Lease Cycles'!$AK$30)+(INDEX(c_TAXy,1,BX$7)-INDEX(c_TAXy,1,INDEX('Lease Cycles'!$GC$30:$GI$30,1,BX384)+1))+(INDEX(c_INSy,1,BX$7)-INDEX(c_INSy,1,INDEX('Lease Cycles'!$GC$30:$GI$30,1,BX384)+1)))/12)</f>
        <v>0</v>
      </c>
      <c r="BY395" s="28">
        <f>IF(BY394=0,0,BY394*MAX(0,(INDEX(c_CAMy,1,BY$7)-INDEX(c_CAMy,1,INDEX('Lease Cycles'!$GC$30:$GI$30,1,BY384)+1))*(1+'Lease Cycles'!$AK$30)+(INDEX(c_TAXy,1,BY$7)-INDEX(c_TAXy,1,INDEX('Lease Cycles'!$GC$30:$GI$30,1,BY384)+1))+(INDEX(c_INSy,1,BY$7)-INDEX(c_INSy,1,INDEX('Lease Cycles'!$GC$30:$GI$30,1,BY384)+1)))/12)</f>
        <v>0</v>
      </c>
      <c r="BZ395" s="28">
        <f>IF(BZ394=0,0,BZ394*MAX(0,(INDEX(c_CAMy,1,BZ$7)-INDEX(c_CAMy,1,INDEX('Lease Cycles'!$GC$30:$GI$30,1,BZ384)+1))*(1+'Lease Cycles'!$AK$30)+(INDEX(c_TAXy,1,BZ$7)-INDEX(c_TAXy,1,INDEX('Lease Cycles'!$GC$30:$GI$30,1,BZ384)+1))+(INDEX(c_INSy,1,BZ$7)-INDEX(c_INSy,1,INDEX('Lease Cycles'!$GC$30:$GI$30,1,BZ384)+1)))/12)</f>
        <v>0</v>
      </c>
      <c r="CA395" s="28">
        <f>IF(CA394=0,0,CA394*MAX(0,(INDEX(c_CAMy,1,CA$7)-INDEX(c_CAMy,1,INDEX('Lease Cycles'!$GC$30:$GI$30,1,CA384)+1))*(1+'Lease Cycles'!$AK$30)+(INDEX(c_TAXy,1,CA$7)-INDEX(c_TAXy,1,INDEX('Lease Cycles'!$GC$30:$GI$30,1,CA384)+1))+(INDEX(c_INSy,1,CA$7)-INDEX(c_INSy,1,INDEX('Lease Cycles'!$GC$30:$GI$30,1,CA384)+1)))/12)</f>
        <v>0</v>
      </c>
      <c r="CB395" s="28">
        <f>IF(CB394=0,0,CB394*MAX(0,(INDEX(c_CAMy,1,CB$7)-INDEX(c_CAMy,1,INDEX('Lease Cycles'!$GC$30:$GI$30,1,CB384)+1))*(1+'Lease Cycles'!$AK$30)+(INDEX(c_TAXy,1,CB$7)-INDEX(c_TAXy,1,INDEX('Lease Cycles'!$GC$30:$GI$30,1,CB384)+1))+(INDEX(c_INSy,1,CB$7)-INDEX(c_INSy,1,INDEX('Lease Cycles'!$GC$30:$GI$30,1,CB384)+1)))/12)</f>
        <v>0</v>
      </c>
      <c r="CC395" s="28">
        <f>IF(CC394=0,0,CC394*MAX(0,(INDEX(c_CAMy,1,CC$7)-INDEX(c_CAMy,1,INDEX('Lease Cycles'!$GC$30:$GI$30,1,CC384)+1))*(1+'Lease Cycles'!$AK$30)+(INDEX(c_TAXy,1,CC$7)-INDEX(c_TAXy,1,INDEX('Lease Cycles'!$GC$30:$GI$30,1,CC384)+1))+(INDEX(c_INSy,1,CC$7)-INDEX(c_INSy,1,INDEX('Lease Cycles'!$GC$30:$GI$30,1,CC384)+1)))/12)</f>
        <v>0</v>
      </c>
      <c r="CD395" s="28">
        <f>IF(CD394=0,0,CD394*MAX(0,(INDEX(c_CAMy,1,CD$7)-INDEX(c_CAMy,1,INDEX('Lease Cycles'!$GC$30:$GI$30,1,CD384)+1))*(1+'Lease Cycles'!$AK$30)+(INDEX(c_TAXy,1,CD$7)-INDEX(c_TAXy,1,INDEX('Lease Cycles'!$GC$30:$GI$30,1,CD384)+1))+(INDEX(c_INSy,1,CD$7)-INDEX(c_INSy,1,INDEX('Lease Cycles'!$GC$30:$GI$30,1,CD384)+1)))/12)</f>
        <v>0</v>
      </c>
      <c r="CE395" s="28">
        <f>IF(CE394=0,0,CE394*MAX(0,(INDEX(c_CAMy,1,CE$7)-INDEX(c_CAMy,1,INDEX('Lease Cycles'!$GC$30:$GI$30,1,CE384)+1))*(1+'Lease Cycles'!$AK$30)+(INDEX(c_TAXy,1,CE$7)-INDEX(c_TAXy,1,INDEX('Lease Cycles'!$GC$30:$GI$30,1,CE384)+1))+(INDEX(c_INSy,1,CE$7)-INDEX(c_INSy,1,INDEX('Lease Cycles'!$GC$30:$GI$30,1,CE384)+1)))/12)</f>
        <v>0</v>
      </c>
      <c r="CF395" s="28">
        <f>IF(CF394=0,0,CF394*MAX(0,(INDEX(c_CAMy,1,CF$7)-INDEX(c_CAMy,1,INDEX('Lease Cycles'!$GC$30:$GI$30,1,CF384)+1))*(1+'Lease Cycles'!$AK$30)+(INDEX(c_TAXy,1,CF$7)-INDEX(c_TAXy,1,INDEX('Lease Cycles'!$GC$30:$GI$30,1,CF384)+1))+(INDEX(c_INSy,1,CF$7)-INDEX(c_INSy,1,INDEX('Lease Cycles'!$GC$30:$GI$30,1,CF384)+1)))/12)</f>
        <v>0</v>
      </c>
      <c r="CG395" s="28">
        <f>IF(CG394=0,0,CG394*MAX(0,(INDEX(c_CAMy,1,CG$7)-INDEX(c_CAMy,1,INDEX('Lease Cycles'!$GC$30:$GI$30,1,CG384)+1))*(1+'Lease Cycles'!$AK$30)+(INDEX(c_TAXy,1,CG$7)-INDEX(c_TAXy,1,INDEX('Lease Cycles'!$GC$30:$GI$30,1,CG384)+1))+(INDEX(c_INSy,1,CG$7)-INDEX(c_INSy,1,INDEX('Lease Cycles'!$GC$30:$GI$30,1,CG384)+1)))/12)</f>
        <v>0</v>
      </c>
      <c r="CH395" s="28">
        <f>IF(CH394=0,0,CH394*MAX(0,(INDEX(c_CAMy,1,CH$7)-INDEX(c_CAMy,1,INDEX('Lease Cycles'!$GC$30:$GI$30,1,CH384)+1))*(1+'Lease Cycles'!$AK$30)+(INDEX(c_TAXy,1,CH$7)-INDEX(c_TAXy,1,INDEX('Lease Cycles'!$GC$30:$GI$30,1,CH384)+1))+(INDEX(c_INSy,1,CH$7)-INDEX(c_INSy,1,INDEX('Lease Cycles'!$GC$30:$GI$30,1,CH384)+1)))/12)</f>
        <v>0</v>
      </c>
      <c r="CI395" s="28">
        <f>IF(CI394=0,0,CI394*MAX(0,(INDEX(c_CAMy,1,CI$7)-INDEX(c_CAMy,1,INDEX('Lease Cycles'!$GC$30:$GI$30,1,CI384)+1))*(1+'Lease Cycles'!$AK$30)+(INDEX(c_TAXy,1,CI$7)-INDEX(c_TAXy,1,INDEX('Lease Cycles'!$GC$30:$GI$30,1,CI384)+1))+(INDEX(c_INSy,1,CI$7)-INDEX(c_INSy,1,INDEX('Lease Cycles'!$GC$30:$GI$30,1,CI384)+1)))/12)</f>
        <v>0</v>
      </c>
      <c r="CJ395" s="28">
        <f>IF(CJ394=0,0,CJ394*MAX(0,(INDEX(c_CAMy,1,CJ$7)-INDEX(c_CAMy,1,INDEX('Lease Cycles'!$GC$30:$GI$30,1,CJ384)+1))*(1+'Lease Cycles'!$AK$30)+(INDEX(c_TAXy,1,CJ$7)-INDEX(c_TAXy,1,INDEX('Lease Cycles'!$GC$30:$GI$30,1,CJ384)+1))+(INDEX(c_INSy,1,CJ$7)-INDEX(c_INSy,1,INDEX('Lease Cycles'!$GC$30:$GI$30,1,CJ384)+1)))/12)</f>
        <v>0</v>
      </c>
      <c r="CK395" s="28">
        <f>IF(CK394=0,0,CK394*MAX(0,(INDEX(c_CAMy,1,CK$7)-INDEX(c_CAMy,1,INDEX('Lease Cycles'!$GC$30:$GI$30,1,CK384)+1))*(1+'Lease Cycles'!$AK$30)+(INDEX(c_TAXy,1,CK$7)-INDEX(c_TAXy,1,INDEX('Lease Cycles'!$GC$30:$GI$30,1,CK384)+1))+(INDEX(c_INSy,1,CK$7)-INDEX(c_INSy,1,INDEX('Lease Cycles'!$GC$30:$GI$30,1,CK384)+1)))/12)</f>
        <v>0</v>
      </c>
      <c r="CL395" s="28">
        <f>IF(CL394=0,0,CL394*MAX(0,(INDEX(c_CAMy,1,CL$7)-INDEX(c_CAMy,1,INDEX('Lease Cycles'!$GC$30:$GI$30,1,CL384)+1))*(1+'Lease Cycles'!$AK$30)+(INDEX(c_TAXy,1,CL$7)-INDEX(c_TAXy,1,INDEX('Lease Cycles'!$GC$30:$GI$30,1,CL384)+1))+(INDEX(c_INSy,1,CL$7)-INDEX(c_INSy,1,INDEX('Lease Cycles'!$GC$30:$GI$30,1,CL384)+1)))/12)</f>
        <v>0</v>
      </c>
      <c r="CM395" s="28">
        <f>IF(CM394=0,0,CM394*MAX(0,(INDEX(c_CAMy,1,CM$7)-INDEX(c_CAMy,1,INDEX('Lease Cycles'!$GC$30:$GI$30,1,CM384)+1))*(1+'Lease Cycles'!$AK$30)+(INDEX(c_TAXy,1,CM$7)-INDEX(c_TAXy,1,INDEX('Lease Cycles'!$GC$30:$GI$30,1,CM384)+1))+(INDEX(c_INSy,1,CM$7)-INDEX(c_INSy,1,INDEX('Lease Cycles'!$GC$30:$GI$30,1,CM384)+1)))/12)</f>
        <v>0</v>
      </c>
      <c r="CN395" s="28">
        <f>IF(CN394=0,0,CN394*MAX(0,(INDEX(c_CAMy,1,CN$7)-INDEX(c_CAMy,1,INDEX('Lease Cycles'!$GC$30:$GI$30,1,CN384)+1))*(1+'Lease Cycles'!$AK$30)+(INDEX(c_TAXy,1,CN$7)-INDEX(c_TAXy,1,INDEX('Lease Cycles'!$GC$30:$GI$30,1,CN384)+1))+(INDEX(c_INSy,1,CN$7)-INDEX(c_INSy,1,INDEX('Lease Cycles'!$GC$30:$GI$30,1,CN384)+1)))/12)</f>
        <v>0</v>
      </c>
      <c r="CO395" s="28">
        <f>IF(CO394=0,0,CO394*MAX(0,(INDEX(c_CAMy,1,CO$7)-INDEX(c_CAMy,1,INDEX('Lease Cycles'!$GC$30:$GI$30,1,CO384)+1))*(1+'Lease Cycles'!$AK$30)+(INDEX(c_TAXy,1,CO$7)-INDEX(c_TAXy,1,INDEX('Lease Cycles'!$GC$30:$GI$30,1,CO384)+1))+(INDEX(c_INSy,1,CO$7)-INDEX(c_INSy,1,INDEX('Lease Cycles'!$GC$30:$GI$30,1,CO384)+1)))/12)</f>
        <v>0</v>
      </c>
      <c r="CP395" s="28">
        <f>IF(CP394=0,0,CP394*MAX(0,(INDEX(c_CAMy,1,CP$7)-INDEX(c_CAMy,1,INDEX('Lease Cycles'!$GC$30:$GI$30,1,CP384)+1))*(1+'Lease Cycles'!$AK$30)+(INDEX(c_TAXy,1,CP$7)-INDEX(c_TAXy,1,INDEX('Lease Cycles'!$GC$30:$GI$30,1,CP384)+1))+(INDEX(c_INSy,1,CP$7)-INDEX(c_INSy,1,INDEX('Lease Cycles'!$GC$30:$GI$30,1,CP384)+1)))/12)</f>
        <v>0</v>
      </c>
      <c r="CQ395" s="28">
        <f>IF(CQ394=0,0,CQ394*MAX(0,(INDEX(c_CAMy,1,CQ$7)-INDEX(c_CAMy,1,INDEX('Lease Cycles'!$GC$30:$GI$30,1,CQ384)+1))*(1+'Lease Cycles'!$AK$30)+(INDEX(c_TAXy,1,CQ$7)-INDEX(c_TAXy,1,INDEX('Lease Cycles'!$GC$30:$GI$30,1,CQ384)+1))+(INDEX(c_INSy,1,CQ$7)-INDEX(c_INSy,1,INDEX('Lease Cycles'!$GC$30:$GI$30,1,CQ384)+1)))/12)</f>
        <v>0</v>
      </c>
      <c r="CR395" s="28">
        <f>IF(CR394=0,0,CR394*MAX(0,(INDEX(c_CAMy,1,CR$7)-INDEX(c_CAMy,1,INDEX('Lease Cycles'!$GC$30:$GI$30,1,CR384)+1))*(1+'Lease Cycles'!$AK$30)+(INDEX(c_TAXy,1,CR$7)-INDEX(c_TAXy,1,INDEX('Lease Cycles'!$GC$30:$GI$30,1,CR384)+1))+(INDEX(c_INSy,1,CR$7)-INDEX(c_INSy,1,INDEX('Lease Cycles'!$GC$30:$GI$30,1,CR384)+1)))/12)</f>
        <v>0</v>
      </c>
      <c r="CS395" s="28">
        <f>IF(CS394=0,0,CS394*MAX(0,(INDEX(c_CAMy,1,CS$7)-INDEX(c_CAMy,1,INDEX('Lease Cycles'!$GC$30:$GI$30,1,CS384)+1))*(1+'Lease Cycles'!$AK$30)+(INDEX(c_TAXy,1,CS$7)-INDEX(c_TAXy,1,INDEX('Lease Cycles'!$GC$30:$GI$30,1,CS384)+1))+(INDEX(c_INSy,1,CS$7)-INDEX(c_INSy,1,INDEX('Lease Cycles'!$GC$30:$GI$30,1,CS384)+1)))/12)</f>
        <v>0</v>
      </c>
      <c r="CT395" s="28">
        <f>IF(CT394=0,0,CT394*MAX(0,(INDEX(c_CAMy,1,CT$7)-INDEX(c_CAMy,1,INDEX('Lease Cycles'!$GC$30:$GI$30,1,CT384)+1))*(1+'Lease Cycles'!$AK$30)+(INDEX(c_TAXy,1,CT$7)-INDEX(c_TAXy,1,INDEX('Lease Cycles'!$GC$30:$GI$30,1,CT384)+1))+(INDEX(c_INSy,1,CT$7)-INDEX(c_INSy,1,INDEX('Lease Cycles'!$GC$30:$GI$30,1,CT384)+1)))/12)</f>
        <v>0</v>
      </c>
      <c r="CU395" s="28">
        <f>IF(CU394=0,0,CU394*MAX(0,(INDEX(c_CAMy,1,CU$7)-INDEX(c_CAMy,1,INDEX('Lease Cycles'!$GC$30:$GI$30,1,CU384)+1))*(1+'Lease Cycles'!$AK$30)+(INDEX(c_TAXy,1,CU$7)-INDEX(c_TAXy,1,INDEX('Lease Cycles'!$GC$30:$GI$30,1,CU384)+1))+(INDEX(c_INSy,1,CU$7)-INDEX(c_INSy,1,INDEX('Lease Cycles'!$GC$30:$GI$30,1,CU384)+1)))/12)</f>
        <v>0</v>
      </c>
      <c r="CV395" s="28">
        <f>IF(CV394=0,0,CV394*MAX(0,(INDEX(c_CAMy,1,CV$7)-INDEX(c_CAMy,1,INDEX('Lease Cycles'!$GC$30:$GI$30,1,CV384)+1))*(1+'Lease Cycles'!$AK$30)+(INDEX(c_TAXy,1,CV$7)-INDEX(c_TAXy,1,INDEX('Lease Cycles'!$GC$30:$GI$30,1,CV384)+1))+(INDEX(c_INSy,1,CV$7)-INDEX(c_INSy,1,INDEX('Lease Cycles'!$GC$30:$GI$30,1,CV384)+1)))/12)</f>
        <v>0</v>
      </c>
      <c r="CW395" s="28">
        <f>IF(CW394=0,0,CW394*MAX(0,(INDEX(c_CAMy,1,CW$7)-INDEX(c_CAMy,1,INDEX('Lease Cycles'!$GC$30:$GI$30,1,CW384)+1))*(1+'Lease Cycles'!$AK$30)+(INDEX(c_TAXy,1,CW$7)-INDEX(c_TAXy,1,INDEX('Lease Cycles'!$GC$30:$GI$30,1,CW384)+1))+(INDEX(c_INSy,1,CW$7)-INDEX(c_INSy,1,INDEX('Lease Cycles'!$GC$30:$GI$30,1,CW384)+1)))/12)</f>
        <v>0</v>
      </c>
      <c r="CX395" s="28">
        <f>IF(CX394=0,0,CX394*MAX(0,(INDEX(c_CAMy,1,CX$7)-INDEX(c_CAMy,1,INDEX('Lease Cycles'!$GC$30:$GI$30,1,CX384)+1))*(1+'Lease Cycles'!$AK$30)+(INDEX(c_TAXy,1,CX$7)-INDEX(c_TAXy,1,INDEX('Lease Cycles'!$GC$30:$GI$30,1,CX384)+1))+(INDEX(c_INSy,1,CX$7)-INDEX(c_INSy,1,INDEX('Lease Cycles'!$GC$30:$GI$30,1,CX384)+1)))/12)</f>
        <v>0</v>
      </c>
      <c r="CY395" s="28">
        <f>IF(CY394=0,0,CY394*MAX(0,(INDEX(c_CAMy,1,CY$7)-INDEX(c_CAMy,1,INDEX('Lease Cycles'!$GC$30:$GI$30,1,CY384)+1))*(1+'Lease Cycles'!$AK$30)+(INDEX(c_TAXy,1,CY$7)-INDEX(c_TAXy,1,INDEX('Lease Cycles'!$GC$30:$GI$30,1,CY384)+1))+(INDEX(c_INSy,1,CY$7)-INDEX(c_INSy,1,INDEX('Lease Cycles'!$GC$30:$GI$30,1,CY384)+1)))/12)</f>
        <v>0</v>
      </c>
      <c r="CZ395" s="28">
        <f>IF(CZ394=0,0,CZ394*MAX(0,(INDEX(c_CAMy,1,CZ$7)-INDEX(c_CAMy,1,INDEX('Lease Cycles'!$GC$30:$GI$30,1,CZ384)+1))*(1+'Lease Cycles'!$AK$30)+(INDEX(c_TAXy,1,CZ$7)-INDEX(c_TAXy,1,INDEX('Lease Cycles'!$GC$30:$GI$30,1,CZ384)+1))+(INDEX(c_INSy,1,CZ$7)-INDEX(c_INSy,1,INDEX('Lease Cycles'!$GC$30:$GI$30,1,CZ384)+1)))/12)</f>
        <v>0</v>
      </c>
      <c r="DA395" s="28">
        <f>IF(DA394=0,0,DA394*MAX(0,(INDEX(c_CAMy,1,DA$7)-INDEX(c_CAMy,1,INDEX('Lease Cycles'!$GC$30:$GI$30,1,DA384)+1))*(1+'Lease Cycles'!$AK$30)+(INDEX(c_TAXy,1,DA$7)-INDEX(c_TAXy,1,INDEX('Lease Cycles'!$GC$30:$GI$30,1,DA384)+1))+(INDEX(c_INSy,1,DA$7)-INDEX(c_INSy,1,INDEX('Lease Cycles'!$GC$30:$GI$30,1,DA384)+1)))/12)</f>
        <v>0</v>
      </c>
      <c r="DB395" s="28">
        <f>IF(DB394=0,0,DB394*MAX(0,(INDEX(c_CAMy,1,DB$7)-INDEX(c_CAMy,1,INDEX('Lease Cycles'!$GC$30:$GI$30,1,DB384)+1))*(1+'Lease Cycles'!$AK$30)+(INDEX(c_TAXy,1,DB$7)-INDEX(c_TAXy,1,INDEX('Lease Cycles'!$GC$30:$GI$30,1,DB384)+1))+(INDEX(c_INSy,1,DB$7)-INDEX(c_INSy,1,INDEX('Lease Cycles'!$GC$30:$GI$30,1,DB384)+1)))/12)</f>
        <v>0</v>
      </c>
      <c r="DC395" s="28">
        <f>IF(DC394=0,0,DC394*MAX(0,(INDEX(c_CAMy,1,DC$7)-INDEX(c_CAMy,1,INDEX('Lease Cycles'!$GC$30:$GI$30,1,DC384)+1))*(1+'Lease Cycles'!$AK$30)+(INDEX(c_TAXy,1,DC$7)-INDEX(c_TAXy,1,INDEX('Lease Cycles'!$GC$30:$GI$30,1,DC384)+1))+(INDEX(c_INSy,1,DC$7)-INDEX(c_INSy,1,INDEX('Lease Cycles'!$GC$30:$GI$30,1,DC384)+1)))/12)</f>
        <v>0</v>
      </c>
      <c r="DD395" s="28">
        <f>IF(DD394=0,0,DD394*MAX(0,(INDEX(c_CAMy,1,DD$7)-INDEX(c_CAMy,1,INDEX('Lease Cycles'!$GC$30:$GI$30,1,DD384)+1))*(1+'Lease Cycles'!$AK$30)+(INDEX(c_TAXy,1,DD$7)-INDEX(c_TAXy,1,INDEX('Lease Cycles'!$GC$30:$GI$30,1,DD384)+1))+(INDEX(c_INSy,1,DD$7)-INDEX(c_INSy,1,INDEX('Lease Cycles'!$GC$30:$GI$30,1,DD384)+1)))/12)</f>
        <v>0</v>
      </c>
      <c r="DE395" s="28">
        <f>IF(DE394=0,0,DE394*MAX(0,(INDEX(c_CAMy,1,DE$7)-INDEX(c_CAMy,1,INDEX('Lease Cycles'!$GC$30:$GI$30,1,DE384)+1))*(1+'Lease Cycles'!$AK$30)+(INDEX(c_TAXy,1,DE$7)-INDEX(c_TAXy,1,INDEX('Lease Cycles'!$GC$30:$GI$30,1,DE384)+1))+(INDEX(c_INSy,1,DE$7)-INDEX(c_INSy,1,INDEX('Lease Cycles'!$GC$30:$GI$30,1,DE384)+1)))/12)</f>
        <v>0</v>
      </c>
      <c r="DF395" s="28">
        <f>IF(DF394=0,0,DF394*MAX(0,(INDEX(c_CAMy,1,DF$7)-INDEX(c_CAMy,1,INDEX('Lease Cycles'!$GC$30:$GI$30,1,DF384)+1))*(1+'Lease Cycles'!$AK$30)+(INDEX(c_TAXy,1,DF$7)-INDEX(c_TAXy,1,INDEX('Lease Cycles'!$GC$30:$GI$30,1,DF384)+1))+(INDEX(c_INSy,1,DF$7)-INDEX(c_INSy,1,INDEX('Lease Cycles'!$GC$30:$GI$30,1,DF384)+1)))/12)</f>
        <v>0</v>
      </c>
      <c r="DG395" s="28">
        <f>IF(DG394=0,0,DG394*MAX(0,(INDEX(c_CAMy,1,DG$7)-INDEX(c_CAMy,1,INDEX('Lease Cycles'!$GC$30:$GI$30,1,DG384)+1))*(1+'Lease Cycles'!$AK$30)+(INDEX(c_TAXy,1,DG$7)-INDEX(c_TAXy,1,INDEX('Lease Cycles'!$GC$30:$GI$30,1,DG384)+1))+(INDEX(c_INSy,1,DG$7)-INDEX(c_INSy,1,INDEX('Lease Cycles'!$GC$30:$GI$30,1,DG384)+1)))/12)</f>
        <v>0</v>
      </c>
      <c r="DH395" s="28">
        <f>IF(DH394=0,0,DH394*MAX(0,(INDEX(c_CAMy,1,DH$7)-INDEX(c_CAMy,1,INDEX('Lease Cycles'!$GC$30:$GI$30,1,DH384)+1))*(1+'Lease Cycles'!$AK$30)+(INDEX(c_TAXy,1,DH$7)-INDEX(c_TAXy,1,INDEX('Lease Cycles'!$GC$30:$GI$30,1,DH384)+1))+(INDEX(c_INSy,1,DH$7)-INDEX(c_INSy,1,INDEX('Lease Cycles'!$GC$30:$GI$30,1,DH384)+1)))/12)</f>
        <v>0</v>
      </c>
      <c r="DI395" s="28">
        <f>IF(DI394=0,0,DI394*MAX(0,(INDEX(c_CAMy,1,DI$7)-INDEX(c_CAMy,1,INDEX('Lease Cycles'!$GC$30:$GI$30,1,DI384)+1))*(1+'Lease Cycles'!$AK$30)+(INDEX(c_TAXy,1,DI$7)-INDEX(c_TAXy,1,INDEX('Lease Cycles'!$GC$30:$GI$30,1,DI384)+1))+(INDEX(c_INSy,1,DI$7)-INDEX(c_INSy,1,INDEX('Lease Cycles'!$GC$30:$GI$30,1,DI384)+1)))/12)</f>
        <v>0</v>
      </c>
      <c r="DJ395" s="28">
        <f>IF(DJ394=0,0,DJ394*MAX(0,(INDEX(c_CAMy,1,DJ$7)-INDEX(c_CAMy,1,INDEX('Lease Cycles'!$GC$30:$GI$30,1,DJ384)+1))*(1+'Lease Cycles'!$AK$30)+(INDEX(c_TAXy,1,DJ$7)-INDEX(c_TAXy,1,INDEX('Lease Cycles'!$GC$30:$GI$30,1,DJ384)+1))+(INDEX(c_INSy,1,DJ$7)-INDEX(c_INSy,1,INDEX('Lease Cycles'!$GC$30:$GI$30,1,DJ384)+1)))/12)</f>
        <v>0</v>
      </c>
      <c r="DK395" s="28">
        <f>IF(DK394=0,0,DK394*MAX(0,(INDEX(c_CAMy,1,DK$7)-INDEX(c_CAMy,1,INDEX('Lease Cycles'!$GC$30:$GI$30,1,DK384)+1))*(1+'Lease Cycles'!$AK$30)+(INDEX(c_TAXy,1,DK$7)-INDEX(c_TAXy,1,INDEX('Lease Cycles'!$GC$30:$GI$30,1,DK384)+1))+(INDEX(c_INSy,1,DK$7)-INDEX(c_INSy,1,INDEX('Lease Cycles'!$GC$30:$GI$30,1,DK384)+1)))/12)</f>
        <v>0</v>
      </c>
      <c r="DL395" s="28">
        <f>IF(DL394=0,0,DL394*MAX(0,(INDEX(c_CAMy,1,DL$7)-INDEX(c_CAMy,1,INDEX('Lease Cycles'!$GC$30:$GI$30,1,DL384)+1))*(1+'Lease Cycles'!$AK$30)+(INDEX(c_TAXy,1,DL$7)-INDEX(c_TAXy,1,INDEX('Lease Cycles'!$GC$30:$GI$30,1,DL384)+1))+(INDEX(c_INSy,1,DL$7)-INDEX(c_INSy,1,INDEX('Lease Cycles'!$GC$30:$GI$30,1,DL384)+1)))/12)</f>
        <v>0</v>
      </c>
      <c r="DM395" s="28">
        <f>IF(DM394=0,0,DM394*MAX(0,(INDEX(c_CAMy,1,DM$7)-INDEX(c_CAMy,1,INDEX('Lease Cycles'!$GC$30:$GI$30,1,DM384)+1))*(1+'Lease Cycles'!$AK$30)+(INDEX(c_TAXy,1,DM$7)-INDEX(c_TAXy,1,INDEX('Lease Cycles'!$GC$30:$GI$30,1,DM384)+1))+(INDEX(c_INSy,1,DM$7)-INDEX(c_INSy,1,INDEX('Lease Cycles'!$GC$30:$GI$30,1,DM384)+1)))/12)</f>
        <v>0</v>
      </c>
      <c r="DN395" s="28">
        <f>IF(DN394=0,0,DN394*MAX(0,(INDEX(c_CAMy,1,DN$7)-INDEX(c_CAMy,1,INDEX('Lease Cycles'!$GC$30:$GI$30,1,DN384)+1))*(1+'Lease Cycles'!$AK$30)+(INDEX(c_TAXy,1,DN$7)-INDEX(c_TAXy,1,INDEX('Lease Cycles'!$GC$30:$GI$30,1,DN384)+1))+(INDEX(c_INSy,1,DN$7)-INDEX(c_INSy,1,INDEX('Lease Cycles'!$GC$30:$GI$30,1,DN384)+1)))/12)</f>
        <v>0</v>
      </c>
      <c r="DO395" s="28">
        <f>IF(DO394=0,0,DO394*MAX(0,(INDEX(c_CAMy,1,DO$7)-INDEX(c_CAMy,1,INDEX('Lease Cycles'!$GC$30:$GI$30,1,DO384)+1))*(1+'Lease Cycles'!$AK$30)+(INDEX(c_TAXy,1,DO$7)-INDEX(c_TAXy,1,INDEX('Lease Cycles'!$GC$30:$GI$30,1,DO384)+1))+(INDEX(c_INSy,1,DO$7)-INDEX(c_INSy,1,INDEX('Lease Cycles'!$GC$30:$GI$30,1,DO384)+1)))/12)</f>
        <v>0</v>
      </c>
      <c r="DP395" s="28">
        <f>IF(DP394=0,0,DP394*MAX(0,(INDEX(c_CAMy,1,DP$7)-INDEX(c_CAMy,1,INDEX('Lease Cycles'!$GC$30:$GI$30,1,DP384)+1))*(1+'Lease Cycles'!$AK$30)+(INDEX(c_TAXy,1,DP$7)-INDEX(c_TAXy,1,INDEX('Lease Cycles'!$GC$30:$GI$30,1,DP384)+1))+(INDEX(c_INSy,1,DP$7)-INDEX(c_INSy,1,INDEX('Lease Cycles'!$GC$30:$GI$30,1,DP384)+1)))/12)</f>
        <v>0</v>
      </c>
      <c r="DQ395" s="28">
        <f>IF(DQ394=0,0,DQ394*MAX(0,(INDEX(c_CAMy,1,DQ$7)-INDEX(c_CAMy,1,INDEX('Lease Cycles'!$GC$30:$GI$30,1,DQ384)+1))*(1+'Lease Cycles'!$AK$30)+(INDEX(c_TAXy,1,DQ$7)-INDEX(c_TAXy,1,INDEX('Lease Cycles'!$GC$30:$GI$30,1,DQ384)+1))+(INDEX(c_INSy,1,DQ$7)-INDEX(c_INSy,1,INDEX('Lease Cycles'!$GC$30:$GI$30,1,DQ384)+1)))/12)</f>
        <v>0</v>
      </c>
      <c r="DR395" s="28">
        <f>IF(DR394=0,0,DR394*MAX(0,(INDEX(c_CAMy,1,DR$7)-INDEX(c_CAMy,1,INDEX('Lease Cycles'!$GC$30:$GI$30,1,DR384)+1))*(1+'Lease Cycles'!$AK$30)+(INDEX(c_TAXy,1,DR$7)-INDEX(c_TAXy,1,INDEX('Lease Cycles'!$GC$30:$GI$30,1,DR384)+1))+(INDEX(c_INSy,1,DR$7)-INDEX(c_INSy,1,INDEX('Lease Cycles'!$GC$30:$GI$30,1,DR384)+1)))/12)</f>
        <v>0</v>
      </c>
      <c r="DS395" s="28">
        <f>IF(DS394=0,0,DS394*MAX(0,(INDEX(c_CAMy,1,DS$7)-INDEX(c_CAMy,1,INDEX('Lease Cycles'!$GC$30:$GI$30,1,DS384)+1))*(1+'Lease Cycles'!$AK$30)+(INDEX(c_TAXy,1,DS$7)-INDEX(c_TAXy,1,INDEX('Lease Cycles'!$GC$30:$GI$30,1,DS384)+1))+(INDEX(c_INSy,1,DS$7)-INDEX(c_INSy,1,INDEX('Lease Cycles'!$GC$30:$GI$30,1,DS384)+1)))/12)</f>
        <v>0</v>
      </c>
      <c r="DT395" s="28">
        <f>IF(DT394=0,0,DT394*MAX(0,(INDEX(c_CAMy,1,DT$7)-INDEX(c_CAMy,1,INDEX('Lease Cycles'!$GC$30:$GI$30,1,DT384)+1))*(1+'Lease Cycles'!$AK$30)+(INDEX(c_TAXy,1,DT$7)-INDEX(c_TAXy,1,INDEX('Lease Cycles'!$GC$30:$GI$30,1,DT384)+1))+(INDEX(c_INSy,1,DT$7)-INDEX(c_INSy,1,INDEX('Lease Cycles'!$GC$30:$GI$30,1,DT384)+1)))/12)</f>
        <v>0</v>
      </c>
      <c r="DU395" s="28">
        <f>IF(DU394=0,0,DU394*MAX(0,(INDEX(c_CAMy,1,DU$7)-INDEX(c_CAMy,1,INDEX('Lease Cycles'!$GC$30:$GI$30,1,DU384)+1))*(1+'Lease Cycles'!$AK$30)+(INDEX(c_TAXy,1,DU$7)-INDEX(c_TAXy,1,INDEX('Lease Cycles'!$GC$30:$GI$30,1,DU384)+1))+(INDEX(c_INSy,1,DU$7)-INDEX(c_INSy,1,INDEX('Lease Cycles'!$GC$30:$GI$30,1,DU384)+1)))/12)</f>
        <v>0</v>
      </c>
      <c r="DV395" s="28">
        <f>IF(DV394=0,0,DV394*MAX(0,(INDEX(c_CAMy,1,DV$7)-INDEX(c_CAMy,1,INDEX('Lease Cycles'!$GC$30:$GI$30,1,DV384)+1))*(1+'Lease Cycles'!$AK$30)+(INDEX(c_TAXy,1,DV$7)-INDEX(c_TAXy,1,INDEX('Lease Cycles'!$GC$30:$GI$30,1,DV384)+1))+(INDEX(c_INSy,1,DV$7)-INDEX(c_INSy,1,INDEX('Lease Cycles'!$GC$30:$GI$30,1,DV384)+1)))/12)</f>
        <v>0</v>
      </c>
      <c r="DW395" s="28">
        <f>IF(DW394=0,0,DW394*MAX(0,(INDEX(c_CAMy,1,DW$7)-INDEX(c_CAMy,1,INDEX('Lease Cycles'!$GC$30:$GI$30,1,DW384)+1))*(1+'Lease Cycles'!$AK$30)+(INDEX(c_TAXy,1,DW$7)-INDEX(c_TAXy,1,INDEX('Lease Cycles'!$GC$30:$GI$30,1,DW384)+1))+(INDEX(c_INSy,1,DW$7)-INDEX(c_INSy,1,INDEX('Lease Cycles'!$GC$30:$GI$30,1,DW384)+1)))/12)</f>
        <v>0</v>
      </c>
      <c r="DX395" s="28">
        <f>IF(DX394=0,0,DX394*MAX(0,(INDEX(c_CAMy,1,DX$7)-INDEX(c_CAMy,1,INDEX('Lease Cycles'!$GC$30:$GI$30,1,DX384)+1))*(1+'Lease Cycles'!$AK$30)+(INDEX(c_TAXy,1,DX$7)-INDEX(c_TAXy,1,INDEX('Lease Cycles'!$GC$30:$GI$30,1,DX384)+1))+(INDEX(c_INSy,1,DX$7)-INDEX(c_INSy,1,INDEX('Lease Cycles'!$GC$30:$GI$30,1,DX384)+1)))/12)</f>
        <v>0</v>
      </c>
      <c r="DY395" s="28">
        <f>IF(DY394=0,0,DY394*MAX(0,(INDEX(c_CAMy,1,DY$7)-INDEX(c_CAMy,1,INDEX('Lease Cycles'!$GC$30:$GI$30,1,DY384)+1))*(1+'Lease Cycles'!$AK$30)+(INDEX(c_TAXy,1,DY$7)-INDEX(c_TAXy,1,INDEX('Lease Cycles'!$GC$30:$GI$30,1,DY384)+1))+(INDEX(c_INSy,1,DY$7)-INDEX(c_INSy,1,INDEX('Lease Cycles'!$GC$30:$GI$30,1,DY384)+1)))/12)</f>
        <v>0</v>
      </c>
      <c r="DZ395" s="28">
        <f>IF(DZ394=0,0,DZ394*MAX(0,(INDEX(c_CAMy,1,DZ$7)-INDEX(c_CAMy,1,INDEX('Lease Cycles'!$GC$30:$GI$30,1,DZ384)+1))*(1+'Lease Cycles'!$AK$30)+(INDEX(c_TAXy,1,DZ$7)-INDEX(c_TAXy,1,INDEX('Lease Cycles'!$GC$30:$GI$30,1,DZ384)+1))+(INDEX(c_INSy,1,DZ$7)-INDEX(c_INSy,1,INDEX('Lease Cycles'!$GC$30:$GI$30,1,DZ384)+1)))/12)</f>
        <v>0</v>
      </c>
      <c r="EA395" s="28">
        <f>IF(EA394=0,0,EA394*MAX(0,(INDEX(c_CAMy,1,EA$7)-INDEX(c_CAMy,1,INDEX('Lease Cycles'!$GC$30:$GI$30,1,EA384)+1))*(1+'Lease Cycles'!$AK$30)+(INDEX(c_TAXy,1,EA$7)-INDEX(c_TAXy,1,INDEX('Lease Cycles'!$GC$30:$GI$30,1,EA384)+1))+(INDEX(c_INSy,1,EA$7)-INDEX(c_INSy,1,INDEX('Lease Cycles'!$GC$30:$GI$30,1,EA384)+1)))/12)</f>
        <v>0</v>
      </c>
      <c r="EB395" s="28">
        <f>IF(EB394=0,0,EB394*MAX(0,(INDEX(c_CAMy,1,EB$7)-INDEX(c_CAMy,1,INDEX('Lease Cycles'!$GC$30:$GI$30,1,EB384)+1))*(1+'Lease Cycles'!$AK$30)+(INDEX(c_TAXy,1,EB$7)-INDEX(c_TAXy,1,INDEX('Lease Cycles'!$GC$30:$GI$30,1,EB384)+1))+(INDEX(c_INSy,1,EB$7)-INDEX(c_INSy,1,INDEX('Lease Cycles'!$GC$30:$GI$30,1,EB384)+1)))/12)</f>
        <v>0</v>
      </c>
      <c r="EC395" s="28">
        <f>IF(EC394=0,0,EC394*MAX(0,(INDEX(c_CAMy,1,EC$7)-INDEX(c_CAMy,1,INDEX('Lease Cycles'!$GC$30:$GI$30,1,EC384)+1))*(1+'Lease Cycles'!$AK$30)+(INDEX(c_TAXy,1,EC$7)-INDEX(c_TAXy,1,INDEX('Lease Cycles'!$GC$30:$GI$30,1,EC384)+1))+(INDEX(c_INSy,1,EC$7)-INDEX(c_INSy,1,INDEX('Lease Cycles'!$GC$30:$GI$30,1,EC384)+1)))/12)</f>
        <v>0</v>
      </c>
      <c r="ED395" s="28">
        <f>IF(ED394=0,0,ED394*MAX(0,(INDEX(c_CAMy,1,ED$7)-INDEX(c_CAMy,1,INDEX('Lease Cycles'!$GC$30:$GI$30,1,ED384)+1))*(1+'Lease Cycles'!$AK$30)+(INDEX(c_TAXy,1,ED$7)-INDEX(c_TAXy,1,INDEX('Lease Cycles'!$GC$30:$GI$30,1,ED384)+1))+(INDEX(c_INSy,1,ED$7)-INDEX(c_INSy,1,INDEX('Lease Cycles'!$GC$30:$GI$30,1,ED384)+1)))/12)</f>
        <v>0</v>
      </c>
      <c r="EE395" s="28">
        <f>IF(EE394=0,0,EE394*MAX(0,(INDEX(c_CAMy,1,EE$7)-INDEX(c_CAMy,1,INDEX('Lease Cycles'!$GC$30:$GI$30,1,EE384)+1))*(1+'Lease Cycles'!$AK$30)+(INDEX(c_TAXy,1,EE$7)-INDEX(c_TAXy,1,INDEX('Lease Cycles'!$GC$30:$GI$30,1,EE384)+1))+(INDEX(c_INSy,1,EE$7)-INDEX(c_INSy,1,INDEX('Lease Cycles'!$GC$30:$GI$30,1,EE384)+1)))/12)</f>
        <v>0</v>
      </c>
      <c r="EF395" s="28">
        <f>IF(EF394=0,0,EF394*MAX(0,(INDEX(c_CAMy,1,EF$7)-INDEX(c_CAMy,1,INDEX('Lease Cycles'!$GC$30:$GI$30,1,EF384)+1))*(1+'Lease Cycles'!$AK$30)+(INDEX(c_TAXy,1,EF$7)-INDEX(c_TAXy,1,INDEX('Lease Cycles'!$GC$30:$GI$30,1,EF384)+1))+(INDEX(c_INSy,1,EF$7)-INDEX(c_INSy,1,INDEX('Lease Cycles'!$GC$30:$GI$30,1,EF384)+1)))/12)</f>
        <v>0</v>
      </c>
      <c r="EG395" s="28">
        <f>IF(EG394=0,0,EG394*MAX(0,(INDEX(c_CAMy,1,EG$7)-INDEX(c_CAMy,1,INDEX('Lease Cycles'!$GC$30:$GI$30,1,EG384)+1))*(1+'Lease Cycles'!$AK$30)+(INDEX(c_TAXy,1,EG$7)-INDEX(c_TAXy,1,INDEX('Lease Cycles'!$GC$30:$GI$30,1,EG384)+1))+(INDEX(c_INSy,1,EG$7)-INDEX(c_INSy,1,INDEX('Lease Cycles'!$GC$30:$GI$30,1,EG384)+1)))/12)</f>
        <v>0</v>
      </c>
      <c r="EH395" s="28">
        <f>IF(EH394=0,0,EH394*MAX(0,(INDEX(c_CAMy,1,EH$7)-INDEX(c_CAMy,1,INDEX('Lease Cycles'!$GC$30:$GI$30,1,EH384)+1))*(1+'Lease Cycles'!$AK$30)+(INDEX(c_TAXy,1,EH$7)-INDEX(c_TAXy,1,INDEX('Lease Cycles'!$GC$30:$GI$30,1,EH384)+1))+(INDEX(c_INSy,1,EH$7)-INDEX(c_INSy,1,INDEX('Lease Cycles'!$GC$30:$GI$30,1,EH384)+1)))/12)</f>
        <v>0</v>
      </c>
      <c r="EI395" s="28">
        <f>IF(EI394=0,0,EI394*MAX(0,(INDEX(c_CAMy,1,EI$7)-INDEX(c_CAMy,1,INDEX('Lease Cycles'!$GC$30:$GI$30,1,EI384)+1))*(1+'Lease Cycles'!$AK$30)+(INDEX(c_TAXy,1,EI$7)-INDEX(c_TAXy,1,INDEX('Lease Cycles'!$GC$30:$GI$30,1,EI384)+1))+(INDEX(c_INSy,1,EI$7)-INDEX(c_INSy,1,INDEX('Lease Cycles'!$GC$30:$GI$30,1,EI384)+1)))/12)</f>
        <v>0</v>
      </c>
      <c r="EJ395" s="28">
        <f>IF(EJ394=0,0,EJ394*MAX(0,(INDEX(c_CAMy,1,EJ$7)-INDEX(c_CAMy,1,INDEX('Lease Cycles'!$GC$30:$GI$30,1,EJ384)+1))*(1+'Lease Cycles'!$AK$30)+(INDEX(c_TAXy,1,EJ$7)-INDEX(c_TAXy,1,INDEX('Lease Cycles'!$GC$30:$GI$30,1,EJ384)+1))+(INDEX(c_INSy,1,EJ$7)-INDEX(c_INSy,1,INDEX('Lease Cycles'!$GC$30:$GI$30,1,EJ384)+1)))/12)</f>
        <v>0</v>
      </c>
      <c r="EK395" s="28">
        <f>IF(EK394=0,0,EK394*MAX(0,(INDEX(c_CAMy,1,EK$7)-INDEX(c_CAMy,1,INDEX('Lease Cycles'!$GC$30:$GI$30,1,EK384)+1))*(1+'Lease Cycles'!$AK$30)+(INDEX(c_TAXy,1,EK$7)-INDEX(c_TAXy,1,INDEX('Lease Cycles'!$GC$30:$GI$30,1,EK384)+1))+(INDEX(c_INSy,1,EK$7)-INDEX(c_INSy,1,INDEX('Lease Cycles'!$GC$30:$GI$30,1,EK384)+1)))/12)</f>
        <v>0</v>
      </c>
      <c r="EL395" s="28">
        <f>IF(EL394=0,0,EL394*MAX(0,(INDEX(c_CAMy,1,EL$7)-INDEX(c_CAMy,1,INDEX('Lease Cycles'!$GC$30:$GI$30,1,EL384)+1))*(1+'Lease Cycles'!$AK$30)+(INDEX(c_TAXy,1,EL$7)-INDEX(c_TAXy,1,INDEX('Lease Cycles'!$GC$30:$GI$30,1,EL384)+1))+(INDEX(c_INSy,1,EL$7)-INDEX(c_INSy,1,INDEX('Lease Cycles'!$GC$30:$GI$30,1,EL384)+1)))/12)</f>
        <v>0</v>
      </c>
      <c r="EM395" s="28">
        <f>IF(EM394=0,0,EM394*MAX(0,(INDEX(c_CAMy,1,EM$7)-INDEX(c_CAMy,1,INDEX('Lease Cycles'!$GC$30:$GI$30,1,EM384)+1))*(1+'Lease Cycles'!$AK$30)+(INDEX(c_TAXy,1,EM$7)-INDEX(c_TAXy,1,INDEX('Lease Cycles'!$GC$30:$GI$30,1,EM384)+1))+(INDEX(c_INSy,1,EM$7)-INDEX(c_INSy,1,INDEX('Lease Cycles'!$GC$30:$GI$30,1,EM384)+1)))/12)</f>
        <v>0</v>
      </c>
      <c r="EN395" s="28">
        <f>IF(EN394=0,0,EN394*MAX(0,(INDEX(c_CAMy,1,EN$7)-INDEX(c_CAMy,1,INDEX('Lease Cycles'!$GC$30:$GI$30,1,EN384)+1))*(1+'Lease Cycles'!$AK$30)+(INDEX(c_TAXy,1,EN$7)-INDEX(c_TAXy,1,INDEX('Lease Cycles'!$GC$30:$GI$30,1,EN384)+1))+(INDEX(c_INSy,1,EN$7)-INDEX(c_INSy,1,INDEX('Lease Cycles'!$GC$30:$GI$30,1,EN384)+1)))/12)</f>
        <v>0</v>
      </c>
      <c r="EO395" s="28">
        <f>IF(EO394=0,0,EO394*MAX(0,(INDEX(c_CAMy,1,EO$7)-INDEX(c_CAMy,1,INDEX('Lease Cycles'!$GC$30:$GI$30,1,EO384)+1))*(1+'Lease Cycles'!$AK$30)+(INDEX(c_TAXy,1,EO$7)-INDEX(c_TAXy,1,INDEX('Lease Cycles'!$GC$30:$GI$30,1,EO384)+1))+(INDEX(c_INSy,1,EO$7)-INDEX(c_INSy,1,INDEX('Lease Cycles'!$GC$30:$GI$30,1,EO384)+1)))/12)</f>
        <v>0</v>
      </c>
      <c r="EP395" s="28">
        <f>IF(EP394=0,0,EP394*MAX(0,(INDEX(c_CAMy,1,EP$7)-INDEX(c_CAMy,1,INDEX('Lease Cycles'!$GC$30:$GI$30,1,EP384)+1))*(1+'Lease Cycles'!$AK$30)+(INDEX(c_TAXy,1,EP$7)-INDEX(c_TAXy,1,INDEX('Lease Cycles'!$GC$30:$GI$30,1,EP384)+1))+(INDEX(c_INSy,1,EP$7)-INDEX(c_INSy,1,INDEX('Lease Cycles'!$GC$30:$GI$30,1,EP384)+1)))/12)</f>
        <v>0</v>
      </c>
      <c r="EQ395" s="28">
        <f>IF(EQ394=0,0,EQ394*MAX(0,(INDEX(c_CAMy,1,EQ$7)-INDEX(c_CAMy,1,INDEX('Lease Cycles'!$GC$30:$GI$30,1,EQ384)+1))*(1+'Lease Cycles'!$AK$30)+(INDEX(c_TAXy,1,EQ$7)-INDEX(c_TAXy,1,INDEX('Lease Cycles'!$GC$30:$GI$30,1,EQ384)+1))+(INDEX(c_INSy,1,EQ$7)-INDEX(c_INSy,1,INDEX('Lease Cycles'!$GC$30:$GI$30,1,EQ384)+1)))/12)</f>
        <v>0</v>
      </c>
      <c r="ER395" s="28">
        <f>IF(ER394=0,0,ER394*MAX(0,(INDEX(c_CAMy,1,ER$7)-INDEX(c_CAMy,1,INDEX('Lease Cycles'!$GC$30:$GI$30,1,ER384)+1))*(1+'Lease Cycles'!$AK$30)+(INDEX(c_TAXy,1,ER$7)-INDEX(c_TAXy,1,INDEX('Lease Cycles'!$GC$30:$GI$30,1,ER384)+1))+(INDEX(c_INSy,1,ER$7)-INDEX(c_INSy,1,INDEX('Lease Cycles'!$GC$30:$GI$30,1,ER384)+1)))/12)</f>
        <v>0</v>
      </c>
      <c r="ES395" s="28">
        <f>IF(ES394=0,0,ES394*MAX(0,(INDEX(c_CAMy,1,ES$7)-INDEX(c_CAMy,1,INDEX('Lease Cycles'!$GC$30:$GI$30,1,ES384)+1))*(1+'Lease Cycles'!$AK$30)+(INDEX(c_TAXy,1,ES$7)-INDEX(c_TAXy,1,INDEX('Lease Cycles'!$GC$30:$GI$30,1,ES384)+1))+(INDEX(c_INSy,1,ES$7)-INDEX(c_INSy,1,INDEX('Lease Cycles'!$GC$30:$GI$30,1,ES384)+1)))/12)</f>
        <v>0</v>
      </c>
      <c r="ET395" s="28">
        <f>IF(ET394=0,0,ET394*MAX(0,(INDEX(c_CAMy,1,ET$7)-INDEX(c_CAMy,1,INDEX('Lease Cycles'!$GC$30:$GI$30,1,ET384)+1))*(1+'Lease Cycles'!$AK$30)+(INDEX(c_TAXy,1,ET$7)-INDEX(c_TAXy,1,INDEX('Lease Cycles'!$GC$30:$GI$30,1,ET384)+1))+(INDEX(c_INSy,1,ET$7)-INDEX(c_INSy,1,INDEX('Lease Cycles'!$GC$30:$GI$30,1,ET384)+1)))/12)</f>
        <v>0</v>
      </c>
    </row>
    <row r="396">
      <c r="A396" s="103">
        <v>23</v>
      </c>
      <c r="B396" s="23" t="str">
        <f>IF('Lease Cycles'!$B$30="","(empty slot)",'Lease Cycles'!$B$30)</f>
        <v>(empty slot)</v>
      </c>
      <c r="C396" s="23" t="s">
        <v>530</v>
      </c>
      <c r="D396" s="104" t="s">
        <v>531</v>
      </c>
      <c r="E396" s="25">
        <f>'Lease Cycles'!$AL$30</f>
        <v>0</v>
      </c>
      <c r="G396" s="28">
        <f>SUM(S396:AD396)</f>
        <v>0</v>
      </c>
      <c r="H396" s="28">
        <f>SUM(AE396:AP396)</f>
        <v>0</v>
      </c>
      <c r="I396" s="28">
        <f>SUM(AQ396:BB396)</f>
        <v>0</v>
      </c>
      <c r="J396" s="28">
        <f>SUM(BC396:BN396)</f>
        <v>0</v>
      </c>
      <c r="K396" s="28">
        <f>SUM(BO396:BZ396)</f>
        <v>0</v>
      </c>
      <c r="L396" s="28">
        <f>SUM(CA396:CL396)</f>
        <v>0</v>
      </c>
      <c r="M396" s="28">
        <f>SUM(CM396:CX396)</f>
        <v>0</v>
      </c>
      <c r="N396" s="28">
        <f>SUM(CY396:DJ396)</f>
        <v>0</v>
      </c>
      <c r="O396" s="28">
        <f>SUM(DK396:DV396)</f>
        <v>0</v>
      </c>
      <c r="P396" s="28">
        <f>SUM(DW396:EH396)</f>
        <v>0</v>
      </c>
      <c r="Q396" s="28">
        <f>SUM(EI396:ET396)</f>
        <v>0</v>
      </c>
      <c r="S396" s="28">
        <f>SUMIF('Lease Cycles'!$HL$30:$HR$30,S$6,'Lease Cycles'!$HS$30:$HY$30)</f>
        <v>0</v>
      </c>
      <c r="T396" s="28">
        <f>SUMIF('Lease Cycles'!$HL$30:$HR$30,T$6,'Lease Cycles'!$HS$30:$HY$30)</f>
        <v>0</v>
      </c>
      <c r="U396" s="28">
        <f>SUMIF('Lease Cycles'!$HL$30:$HR$30,U$6,'Lease Cycles'!$HS$30:$HY$30)</f>
        <v>0</v>
      </c>
      <c r="V396" s="28">
        <f>SUMIF('Lease Cycles'!$HL$30:$HR$30,V$6,'Lease Cycles'!$HS$30:$HY$30)</f>
        <v>0</v>
      </c>
      <c r="W396" s="28">
        <f>SUMIF('Lease Cycles'!$HL$30:$HR$30,W$6,'Lease Cycles'!$HS$30:$HY$30)</f>
        <v>0</v>
      </c>
      <c r="X396" s="28">
        <f>SUMIF('Lease Cycles'!$HL$30:$HR$30,X$6,'Lease Cycles'!$HS$30:$HY$30)</f>
        <v>0</v>
      </c>
      <c r="Y396" s="28">
        <f>SUMIF('Lease Cycles'!$HL$30:$HR$30,Y$6,'Lease Cycles'!$HS$30:$HY$30)</f>
        <v>0</v>
      </c>
      <c r="Z396" s="28">
        <f>SUMIF('Lease Cycles'!$HL$30:$HR$30,Z$6,'Lease Cycles'!$HS$30:$HY$30)</f>
        <v>0</v>
      </c>
      <c r="AA396" s="28">
        <f>SUMIF('Lease Cycles'!$HL$30:$HR$30,AA$6,'Lease Cycles'!$HS$30:$HY$30)</f>
        <v>0</v>
      </c>
      <c r="AB396" s="28">
        <f>SUMIF('Lease Cycles'!$HL$30:$HR$30,AB$6,'Lease Cycles'!$HS$30:$HY$30)</f>
        <v>0</v>
      </c>
      <c r="AC396" s="28">
        <f>SUMIF('Lease Cycles'!$HL$30:$HR$30,AC$6,'Lease Cycles'!$HS$30:$HY$30)</f>
        <v>0</v>
      </c>
      <c r="AD396" s="28">
        <f>SUMIF('Lease Cycles'!$HL$30:$HR$30,AD$6,'Lease Cycles'!$HS$30:$HY$30)</f>
        <v>0</v>
      </c>
      <c r="AE396" s="28">
        <f>SUMIF('Lease Cycles'!$HL$30:$HR$30,AE$6,'Lease Cycles'!$HS$30:$HY$30)</f>
        <v>0</v>
      </c>
      <c r="AF396" s="28">
        <f>SUMIF('Lease Cycles'!$HL$30:$HR$30,AF$6,'Lease Cycles'!$HS$30:$HY$30)</f>
        <v>0</v>
      </c>
      <c r="AG396" s="28">
        <f>SUMIF('Lease Cycles'!$HL$30:$HR$30,AG$6,'Lease Cycles'!$HS$30:$HY$30)</f>
        <v>0</v>
      </c>
      <c r="AH396" s="28">
        <f>SUMIF('Lease Cycles'!$HL$30:$HR$30,AH$6,'Lease Cycles'!$HS$30:$HY$30)</f>
        <v>0</v>
      </c>
      <c r="AI396" s="28">
        <f>SUMIF('Lease Cycles'!$HL$30:$HR$30,AI$6,'Lease Cycles'!$HS$30:$HY$30)</f>
        <v>0</v>
      </c>
      <c r="AJ396" s="28">
        <f>SUMIF('Lease Cycles'!$HL$30:$HR$30,AJ$6,'Lease Cycles'!$HS$30:$HY$30)</f>
        <v>0</v>
      </c>
      <c r="AK396" s="28">
        <f>SUMIF('Lease Cycles'!$HL$30:$HR$30,AK$6,'Lease Cycles'!$HS$30:$HY$30)</f>
        <v>0</v>
      </c>
      <c r="AL396" s="28">
        <f>SUMIF('Lease Cycles'!$HL$30:$HR$30,AL$6,'Lease Cycles'!$HS$30:$HY$30)</f>
        <v>0</v>
      </c>
      <c r="AM396" s="28">
        <f>SUMIF('Lease Cycles'!$HL$30:$HR$30,AM$6,'Lease Cycles'!$HS$30:$HY$30)</f>
        <v>0</v>
      </c>
      <c r="AN396" s="28">
        <f>SUMIF('Lease Cycles'!$HL$30:$HR$30,AN$6,'Lease Cycles'!$HS$30:$HY$30)</f>
        <v>0</v>
      </c>
      <c r="AO396" s="28">
        <f>SUMIF('Lease Cycles'!$HL$30:$HR$30,AO$6,'Lease Cycles'!$HS$30:$HY$30)</f>
        <v>0</v>
      </c>
      <c r="AP396" s="28">
        <f>SUMIF('Lease Cycles'!$HL$30:$HR$30,AP$6,'Lease Cycles'!$HS$30:$HY$30)</f>
        <v>0</v>
      </c>
      <c r="AQ396" s="28">
        <f>SUMIF('Lease Cycles'!$HL$30:$HR$30,AQ$6,'Lease Cycles'!$HS$30:$HY$30)</f>
        <v>0</v>
      </c>
      <c r="AR396" s="28">
        <f>SUMIF('Lease Cycles'!$HL$30:$HR$30,AR$6,'Lease Cycles'!$HS$30:$HY$30)</f>
        <v>0</v>
      </c>
      <c r="AS396" s="28">
        <f>SUMIF('Lease Cycles'!$HL$30:$HR$30,AS$6,'Lease Cycles'!$HS$30:$HY$30)</f>
        <v>0</v>
      </c>
      <c r="AT396" s="28">
        <f>SUMIF('Lease Cycles'!$HL$30:$HR$30,AT$6,'Lease Cycles'!$HS$30:$HY$30)</f>
        <v>0</v>
      </c>
      <c r="AU396" s="28">
        <f>SUMIF('Lease Cycles'!$HL$30:$HR$30,AU$6,'Lease Cycles'!$HS$30:$HY$30)</f>
        <v>0</v>
      </c>
      <c r="AV396" s="28">
        <f>SUMIF('Lease Cycles'!$HL$30:$HR$30,AV$6,'Lease Cycles'!$HS$30:$HY$30)</f>
        <v>0</v>
      </c>
      <c r="AW396" s="28">
        <f>SUMIF('Lease Cycles'!$HL$30:$HR$30,AW$6,'Lease Cycles'!$HS$30:$HY$30)</f>
        <v>0</v>
      </c>
      <c r="AX396" s="28">
        <f>SUMIF('Lease Cycles'!$HL$30:$HR$30,AX$6,'Lease Cycles'!$HS$30:$HY$30)</f>
        <v>0</v>
      </c>
      <c r="AY396" s="28">
        <f>SUMIF('Lease Cycles'!$HL$30:$HR$30,AY$6,'Lease Cycles'!$HS$30:$HY$30)</f>
        <v>0</v>
      </c>
      <c r="AZ396" s="28">
        <f>SUMIF('Lease Cycles'!$HL$30:$HR$30,AZ$6,'Lease Cycles'!$HS$30:$HY$30)</f>
        <v>0</v>
      </c>
      <c r="BA396" s="28">
        <f>SUMIF('Lease Cycles'!$HL$30:$HR$30,BA$6,'Lease Cycles'!$HS$30:$HY$30)</f>
        <v>0</v>
      </c>
      <c r="BB396" s="28">
        <f>SUMIF('Lease Cycles'!$HL$30:$HR$30,BB$6,'Lease Cycles'!$HS$30:$HY$30)</f>
        <v>0</v>
      </c>
      <c r="BC396" s="28">
        <f>SUMIF('Lease Cycles'!$HL$30:$HR$30,BC$6,'Lease Cycles'!$HS$30:$HY$30)</f>
        <v>0</v>
      </c>
      <c r="BD396" s="28">
        <f>SUMIF('Lease Cycles'!$HL$30:$HR$30,BD$6,'Lease Cycles'!$HS$30:$HY$30)</f>
        <v>0</v>
      </c>
      <c r="BE396" s="28">
        <f>SUMIF('Lease Cycles'!$HL$30:$HR$30,BE$6,'Lease Cycles'!$HS$30:$HY$30)</f>
        <v>0</v>
      </c>
      <c r="BF396" s="28">
        <f>SUMIF('Lease Cycles'!$HL$30:$HR$30,BF$6,'Lease Cycles'!$HS$30:$HY$30)</f>
        <v>0</v>
      </c>
      <c r="BG396" s="28">
        <f>SUMIF('Lease Cycles'!$HL$30:$HR$30,BG$6,'Lease Cycles'!$HS$30:$HY$30)</f>
        <v>0</v>
      </c>
      <c r="BH396" s="28">
        <f>SUMIF('Lease Cycles'!$HL$30:$HR$30,BH$6,'Lease Cycles'!$HS$30:$HY$30)</f>
        <v>0</v>
      </c>
      <c r="BI396" s="28">
        <f>SUMIF('Lease Cycles'!$HL$30:$HR$30,BI$6,'Lease Cycles'!$HS$30:$HY$30)</f>
        <v>0</v>
      </c>
      <c r="BJ396" s="28">
        <f>SUMIF('Lease Cycles'!$HL$30:$HR$30,BJ$6,'Lease Cycles'!$HS$30:$HY$30)</f>
        <v>0</v>
      </c>
      <c r="BK396" s="28">
        <f>SUMIF('Lease Cycles'!$HL$30:$HR$30,BK$6,'Lease Cycles'!$HS$30:$HY$30)</f>
        <v>0</v>
      </c>
      <c r="BL396" s="28">
        <f>SUMIF('Lease Cycles'!$HL$30:$HR$30,BL$6,'Lease Cycles'!$HS$30:$HY$30)</f>
        <v>0</v>
      </c>
      <c r="BM396" s="28">
        <f>SUMIF('Lease Cycles'!$HL$30:$HR$30,BM$6,'Lease Cycles'!$HS$30:$HY$30)</f>
        <v>0</v>
      </c>
      <c r="BN396" s="28">
        <f>SUMIF('Lease Cycles'!$HL$30:$HR$30,BN$6,'Lease Cycles'!$HS$30:$HY$30)</f>
        <v>0</v>
      </c>
      <c r="BO396" s="28">
        <f>SUMIF('Lease Cycles'!$HL$30:$HR$30,BO$6,'Lease Cycles'!$HS$30:$HY$30)</f>
        <v>0</v>
      </c>
      <c r="BP396" s="28">
        <f>SUMIF('Lease Cycles'!$HL$30:$HR$30,BP$6,'Lease Cycles'!$HS$30:$HY$30)</f>
        <v>0</v>
      </c>
      <c r="BQ396" s="28">
        <f>SUMIF('Lease Cycles'!$HL$30:$HR$30,BQ$6,'Lease Cycles'!$HS$30:$HY$30)</f>
        <v>0</v>
      </c>
      <c r="BR396" s="28">
        <f>SUMIF('Lease Cycles'!$HL$30:$HR$30,BR$6,'Lease Cycles'!$HS$30:$HY$30)</f>
        <v>0</v>
      </c>
      <c r="BS396" s="28">
        <f>SUMIF('Lease Cycles'!$HL$30:$HR$30,BS$6,'Lease Cycles'!$HS$30:$HY$30)</f>
        <v>0</v>
      </c>
      <c r="BT396" s="28">
        <f>SUMIF('Lease Cycles'!$HL$30:$HR$30,BT$6,'Lease Cycles'!$HS$30:$HY$30)</f>
        <v>0</v>
      </c>
      <c r="BU396" s="28">
        <f>SUMIF('Lease Cycles'!$HL$30:$HR$30,BU$6,'Lease Cycles'!$HS$30:$HY$30)</f>
        <v>0</v>
      </c>
      <c r="BV396" s="28">
        <f>SUMIF('Lease Cycles'!$HL$30:$HR$30,BV$6,'Lease Cycles'!$HS$30:$HY$30)</f>
        <v>0</v>
      </c>
      <c r="BW396" s="28">
        <f>SUMIF('Lease Cycles'!$HL$30:$HR$30,BW$6,'Lease Cycles'!$HS$30:$HY$30)</f>
        <v>0</v>
      </c>
      <c r="BX396" s="28">
        <f>SUMIF('Lease Cycles'!$HL$30:$HR$30,BX$6,'Lease Cycles'!$HS$30:$HY$30)</f>
        <v>0</v>
      </c>
      <c r="BY396" s="28">
        <f>SUMIF('Lease Cycles'!$HL$30:$HR$30,BY$6,'Lease Cycles'!$HS$30:$HY$30)</f>
        <v>0</v>
      </c>
      <c r="BZ396" s="28">
        <f>SUMIF('Lease Cycles'!$HL$30:$HR$30,BZ$6,'Lease Cycles'!$HS$30:$HY$30)</f>
        <v>0</v>
      </c>
      <c r="CA396" s="28">
        <f>SUMIF('Lease Cycles'!$HL$30:$HR$30,CA$6,'Lease Cycles'!$HS$30:$HY$30)</f>
        <v>0</v>
      </c>
      <c r="CB396" s="28">
        <f>SUMIF('Lease Cycles'!$HL$30:$HR$30,CB$6,'Lease Cycles'!$HS$30:$HY$30)</f>
        <v>0</v>
      </c>
      <c r="CC396" s="28">
        <f>SUMIF('Lease Cycles'!$HL$30:$HR$30,CC$6,'Lease Cycles'!$HS$30:$HY$30)</f>
        <v>0</v>
      </c>
      <c r="CD396" s="28">
        <f>SUMIF('Lease Cycles'!$HL$30:$HR$30,CD$6,'Lease Cycles'!$HS$30:$HY$30)</f>
        <v>0</v>
      </c>
      <c r="CE396" s="28">
        <f>SUMIF('Lease Cycles'!$HL$30:$HR$30,CE$6,'Lease Cycles'!$HS$30:$HY$30)</f>
        <v>0</v>
      </c>
      <c r="CF396" s="28">
        <f>SUMIF('Lease Cycles'!$HL$30:$HR$30,CF$6,'Lease Cycles'!$HS$30:$HY$30)</f>
        <v>0</v>
      </c>
      <c r="CG396" s="28">
        <f>SUMIF('Lease Cycles'!$HL$30:$HR$30,CG$6,'Lease Cycles'!$HS$30:$HY$30)</f>
        <v>0</v>
      </c>
      <c r="CH396" s="28">
        <f>SUMIF('Lease Cycles'!$HL$30:$HR$30,CH$6,'Lease Cycles'!$HS$30:$HY$30)</f>
        <v>0</v>
      </c>
      <c r="CI396" s="28">
        <f>SUMIF('Lease Cycles'!$HL$30:$HR$30,CI$6,'Lease Cycles'!$HS$30:$HY$30)</f>
        <v>0</v>
      </c>
      <c r="CJ396" s="28">
        <f>SUMIF('Lease Cycles'!$HL$30:$HR$30,CJ$6,'Lease Cycles'!$HS$30:$HY$30)</f>
        <v>0</v>
      </c>
      <c r="CK396" s="28">
        <f>SUMIF('Lease Cycles'!$HL$30:$HR$30,CK$6,'Lease Cycles'!$HS$30:$HY$30)</f>
        <v>0</v>
      </c>
      <c r="CL396" s="28">
        <f>SUMIF('Lease Cycles'!$HL$30:$HR$30,CL$6,'Lease Cycles'!$HS$30:$HY$30)</f>
        <v>0</v>
      </c>
      <c r="CM396" s="28">
        <f>SUMIF('Lease Cycles'!$HL$30:$HR$30,CM$6,'Lease Cycles'!$HS$30:$HY$30)</f>
        <v>0</v>
      </c>
      <c r="CN396" s="28">
        <f>SUMIF('Lease Cycles'!$HL$30:$HR$30,CN$6,'Lease Cycles'!$HS$30:$HY$30)</f>
        <v>0</v>
      </c>
      <c r="CO396" s="28">
        <f>SUMIF('Lease Cycles'!$HL$30:$HR$30,CO$6,'Lease Cycles'!$HS$30:$HY$30)</f>
        <v>0</v>
      </c>
      <c r="CP396" s="28">
        <f>SUMIF('Lease Cycles'!$HL$30:$HR$30,CP$6,'Lease Cycles'!$HS$30:$HY$30)</f>
        <v>0</v>
      </c>
      <c r="CQ396" s="28">
        <f>SUMIF('Lease Cycles'!$HL$30:$HR$30,CQ$6,'Lease Cycles'!$HS$30:$HY$30)</f>
        <v>0</v>
      </c>
      <c r="CR396" s="28">
        <f>SUMIF('Lease Cycles'!$HL$30:$HR$30,CR$6,'Lease Cycles'!$HS$30:$HY$30)</f>
        <v>0</v>
      </c>
      <c r="CS396" s="28">
        <f>SUMIF('Lease Cycles'!$HL$30:$HR$30,CS$6,'Lease Cycles'!$HS$30:$HY$30)</f>
        <v>0</v>
      </c>
      <c r="CT396" s="28">
        <f>SUMIF('Lease Cycles'!$HL$30:$HR$30,CT$6,'Lease Cycles'!$HS$30:$HY$30)</f>
        <v>0</v>
      </c>
      <c r="CU396" s="28">
        <f>SUMIF('Lease Cycles'!$HL$30:$HR$30,CU$6,'Lease Cycles'!$HS$30:$HY$30)</f>
        <v>0</v>
      </c>
      <c r="CV396" s="28">
        <f>SUMIF('Lease Cycles'!$HL$30:$HR$30,CV$6,'Lease Cycles'!$HS$30:$HY$30)</f>
        <v>0</v>
      </c>
      <c r="CW396" s="28">
        <f>SUMIF('Lease Cycles'!$HL$30:$HR$30,CW$6,'Lease Cycles'!$HS$30:$HY$30)</f>
        <v>0</v>
      </c>
      <c r="CX396" s="28">
        <f>SUMIF('Lease Cycles'!$HL$30:$HR$30,CX$6,'Lease Cycles'!$HS$30:$HY$30)</f>
        <v>0</v>
      </c>
      <c r="CY396" s="28">
        <f>SUMIF('Lease Cycles'!$HL$30:$HR$30,CY$6,'Lease Cycles'!$HS$30:$HY$30)</f>
        <v>0</v>
      </c>
      <c r="CZ396" s="28">
        <f>SUMIF('Lease Cycles'!$HL$30:$HR$30,CZ$6,'Lease Cycles'!$HS$30:$HY$30)</f>
        <v>0</v>
      </c>
      <c r="DA396" s="28">
        <f>SUMIF('Lease Cycles'!$HL$30:$HR$30,DA$6,'Lease Cycles'!$HS$30:$HY$30)</f>
        <v>0</v>
      </c>
      <c r="DB396" s="28">
        <f>SUMIF('Lease Cycles'!$HL$30:$HR$30,DB$6,'Lease Cycles'!$HS$30:$HY$30)</f>
        <v>0</v>
      </c>
      <c r="DC396" s="28">
        <f>SUMIF('Lease Cycles'!$HL$30:$HR$30,DC$6,'Lease Cycles'!$HS$30:$HY$30)</f>
        <v>0</v>
      </c>
      <c r="DD396" s="28">
        <f>SUMIF('Lease Cycles'!$HL$30:$HR$30,DD$6,'Lease Cycles'!$HS$30:$HY$30)</f>
        <v>0</v>
      </c>
      <c r="DE396" s="28">
        <f>SUMIF('Lease Cycles'!$HL$30:$HR$30,DE$6,'Lease Cycles'!$HS$30:$HY$30)</f>
        <v>0</v>
      </c>
      <c r="DF396" s="28">
        <f>SUMIF('Lease Cycles'!$HL$30:$HR$30,DF$6,'Lease Cycles'!$HS$30:$HY$30)</f>
        <v>0</v>
      </c>
      <c r="DG396" s="28">
        <f>SUMIF('Lease Cycles'!$HL$30:$HR$30,DG$6,'Lease Cycles'!$HS$30:$HY$30)</f>
        <v>0</v>
      </c>
      <c r="DH396" s="28">
        <f>SUMIF('Lease Cycles'!$HL$30:$HR$30,DH$6,'Lease Cycles'!$HS$30:$HY$30)</f>
        <v>0</v>
      </c>
      <c r="DI396" s="28">
        <f>SUMIF('Lease Cycles'!$HL$30:$HR$30,DI$6,'Lease Cycles'!$HS$30:$HY$30)</f>
        <v>0</v>
      </c>
      <c r="DJ396" s="28">
        <f>SUMIF('Lease Cycles'!$HL$30:$HR$30,DJ$6,'Lease Cycles'!$HS$30:$HY$30)</f>
        <v>0</v>
      </c>
      <c r="DK396" s="28">
        <f>SUMIF('Lease Cycles'!$HL$30:$HR$30,DK$6,'Lease Cycles'!$HS$30:$HY$30)</f>
        <v>0</v>
      </c>
      <c r="DL396" s="28">
        <f>SUMIF('Lease Cycles'!$HL$30:$HR$30,DL$6,'Lease Cycles'!$HS$30:$HY$30)</f>
        <v>0</v>
      </c>
      <c r="DM396" s="28">
        <f>SUMIF('Lease Cycles'!$HL$30:$HR$30,DM$6,'Lease Cycles'!$HS$30:$HY$30)</f>
        <v>0</v>
      </c>
      <c r="DN396" s="28">
        <f>SUMIF('Lease Cycles'!$HL$30:$HR$30,DN$6,'Lease Cycles'!$HS$30:$HY$30)</f>
        <v>0</v>
      </c>
      <c r="DO396" s="28">
        <f>SUMIF('Lease Cycles'!$HL$30:$HR$30,DO$6,'Lease Cycles'!$HS$30:$HY$30)</f>
        <v>0</v>
      </c>
      <c r="DP396" s="28">
        <f>SUMIF('Lease Cycles'!$HL$30:$HR$30,DP$6,'Lease Cycles'!$HS$30:$HY$30)</f>
        <v>0</v>
      </c>
      <c r="DQ396" s="28">
        <f>SUMIF('Lease Cycles'!$HL$30:$HR$30,DQ$6,'Lease Cycles'!$HS$30:$HY$30)</f>
        <v>0</v>
      </c>
      <c r="DR396" s="28">
        <f>SUMIF('Lease Cycles'!$HL$30:$HR$30,DR$6,'Lease Cycles'!$HS$30:$HY$30)</f>
        <v>0</v>
      </c>
      <c r="DS396" s="28">
        <f>SUMIF('Lease Cycles'!$HL$30:$HR$30,DS$6,'Lease Cycles'!$HS$30:$HY$30)</f>
        <v>0</v>
      </c>
      <c r="DT396" s="28">
        <f>SUMIF('Lease Cycles'!$HL$30:$HR$30,DT$6,'Lease Cycles'!$HS$30:$HY$30)</f>
        <v>0</v>
      </c>
      <c r="DU396" s="28">
        <f>SUMIF('Lease Cycles'!$HL$30:$HR$30,DU$6,'Lease Cycles'!$HS$30:$HY$30)</f>
        <v>0</v>
      </c>
      <c r="DV396" s="28">
        <f>SUMIF('Lease Cycles'!$HL$30:$HR$30,DV$6,'Lease Cycles'!$HS$30:$HY$30)</f>
        <v>0</v>
      </c>
      <c r="DW396" s="28">
        <f>SUMIF('Lease Cycles'!$HL$30:$HR$30,DW$6,'Lease Cycles'!$HS$30:$HY$30)</f>
        <v>0</v>
      </c>
      <c r="DX396" s="28">
        <f>SUMIF('Lease Cycles'!$HL$30:$HR$30,DX$6,'Lease Cycles'!$HS$30:$HY$30)</f>
        <v>0</v>
      </c>
      <c r="DY396" s="28">
        <f>SUMIF('Lease Cycles'!$HL$30:$HR$30,DY$6,'Lease Cycles'!$HS$30:$HY$30)</f>
        <v>0</v>
      </c>
      <c r="DZ396" s="28">
        <f>SUMIF('Lease Cycles'!$HL$30:$HR$30,DZ$6,'Lease Cycles'!$HS$30:$HY$30)</f>
        <v>0</v>
      </c>
      <c r="EA396" s="28">
        <f>SUMIF('Lease Cycles'!$HL$30:$HR$30,EA$6,'Lease Cycles'!$HS$30:$HY$30)</f>
        <v>0</v>
      </c>
      <c r="EB396" s="28">
        <f>SUMIF('Lease Cycles'!$HL$30:$HR$30,EB$6,'Lease Cycles'!$HS$30:$HY$30)</f>
        <v>0</v>
      </c>
      <c r="EC396" s="28">
        <f>SUMIF('Lease Cycles'!$HL$30:$HR$30,EC$6,'Lease Cycles'!$HS$30:$HY$30)</f>
        <v>0</v>
      </c>
      <c r="ED396" s="28">
        <f>SUMIF('Lease Cycles'!$HL$30:$HR$30,ED$6,'Lease Cycles'!$HS$30:$HY$30)</f>
        <v>0</v>
      </c>
      <c r="EE396" s="28">
        <f>SUMIF('Lease Cycles'!$HL$30:$HR$30,EE$6,'Lease Cycles'!$HS$30:$HY$30)</f>
        <v>0</v>
      </c>
      <c r="EF396" s="28">
        <f>SUMIF('Lease Cycles'!$HL$30:$HR$30,EF$6,'Lease Cycles'!$HS$30:$HY$30)</f>
        <v>0</v>
      </c>
      <c r="EG396" s="28">
        <f>SUMIF('Lease Cycles'!$HL$30:$HR$30,EG$6,'Lease Cycles'!$HS$30:$HY$30)</f>
        <v>0</v>
      </c>
      <c r="EH396" s="28">
        <f>SUMIF('Lease Cycles'!$HL$30:$HR$30,EH$6,'Lease Cycles'!$HS$30:$HY$30)</f>
        <v>0</v>
      </c>
      <c r="EI396" s="28">
        <f>SUMIF('Lease Cycles'!$HL$30:$HR$30,EI$6,'Lease Cycles'!$HS$30:$HY$30)</f>
        <v>0</v>
      </c>
      <c r="EJ396" s="28">
        <f>SUMIF('Lease Cycles'!$HL$30:$HR$30,EJ$6,'Lease Cycles'!$HS$30:$HY$30)</f>
        <v>0</v>
      </c>
      <c r="EK396" s="28">
        <f>SUMIF('Lease Cycles'!$HL$30:$HR$30,EK$6,'Lease Cycles'!$HS$30:$HY$30)</f>
        <v>0</v>
      </c>
      <c r="EL396" s="28">
        <f>SUMIF('Lease Cycles'!$HL$30:$HR$30,EL$6,'Lease Cycles'!$HS$30:$HY$30)</f>
        <v>0</v>
      </c>
      <c r="EM396" s="28">
        <f>SUMIF('Lease Cycles'!$HL$30:$HR$30,EM$6,'Lease Cycles'!$HS$30:$HY$30)</f>
        <v>0</v>
      </c>
      <c r="EN396" s="28">
        <f>SUMIF('Lease Cycles'!$HL$30:$HR$30,EN$6,'Lease Cycles'!$HS$30:$HY$30)</f>
        <v>0</v>
      </c>
      <c r="EO396" s="28">
        <f>SUMIF('Lease Cycles'!$HL$30:$HR$30,EO$6,'Lease Cycles'!$HS$30:$HY$30)</f>
        <v>0</v>
      </c>
      <c r="EP396" s="28">
        <f>SUMIF('Lease Cycles'!$HL$30:$HR$30,EP$6,'Lease Cycles'!$HS$30:$HY$30)</f>
        <v>0</v>
      </c>
      <c r="EQ396" s="28">
        <f>SUMIF('Lease Cycles'!$HL$30:$HR$30,EQ$6,'Lease Cycles'!$HS$30:$HY$30)</f>
        <v>0</v>
      </c>
      <c r="ER396" s="28">
        <f>SUMIF('Lease Cycles'!$HL$30:$HR$30,ER$6,'Lease Cycles'!$HS$30:$HY$30)</f>
        <v>0</v>
      </c>
      <c r="ES396" s="28">
        <f>SUMIF('Lease Cycles'!$HL$30:$HR$30,ES$6,'Lease Cycles'!$HS$30:$HY$30)</f>
        <v>0</v>
      </c>
      <c r="ET396" s="28">
        <f>SUMIF('Lease Cycles'!$HL$30:$HR$30,ET$6,'Lease Cycles'!$HS$30:$HY$30)</f>
        <v>0</v>
      </c>
    </row>
    <row r="397">
      <c r="A397" s="103">
        <v>23</v>
      </c>
      <c r="B397" s="23" t="str">
        <f>IF('Lease Cycles'!$B$30="","(empty slot)",'Lease Cycles'!$B$30)</f>
        <v>(empty slot)</v>
      </c>
      <c r="C397" s="23" t="s">
        <v>532</v>
      </c>
      <c r="D397" s="104" t="s">
        <v>533</v>
      </c>
      <c r="E397" s="25">
        <f>'Lease Cycles'!$AL$30</f>
        <v>0</v>
      </c>
      <c r="G397" s="28">
        <f>SUM(S397:AD397)</f>
        <v>0</v>
      </c>
      <c r="H397" s="28">
        <f>SUM(AE397:AP397)</f>
        <v>0</v>
      </c>
      <c r="I397" s="28">
        <f>SUM(AQ397:BB397)</f>
        <v>0</v>
      </c>
      <c r="J397" s="28">
        <f>SUM(BC397:BN397)</f>
        <v>0</v>
      </c>
      <c r="K397" s="28">
        <f>SUM(BO397:BZ397)</f>
        <v>0</v>
      </c>
      <c r="L397" s="28">
        <f>SUM(CA397:CL397)</f>
        <v>0</v>
      </c>
      <c r="M397" s="28">
        <f>SUM(CM397:CX397)</f>
        <v>0</v>
      </c>
      <c r="N397" s="28">
        <f>SUM(CY397:DJ397)</f>
        <v>0</v>
      </c>
      <c r="O397" s="28">
        <f>SUM(DK397:DV397)</f>
        <v>0</v>
      </c>
      <c r="P397" s="28">
        <f>SUM(DW397:EH397)</f>
        <v>0</v>
      </c>
      <c r="Q397" s="28">
        <f>SUM(EI397:ET397)</f>
        <v>0</v>
      </c>
      <c r="S397" s="28">
        <f>SUMIF('Lease Cycles'!$HL$30:$HR$30,S$6,'Lease Cycles'!$HZ$30:$IF$30)</f>
        <v>0</v>
      </c>
      <c r="T397" s="28">
        <f>SUMIF('Lease Cycles'!$HL$30:$HR$30,T$6,'Lease Cycles'!$HZ$30:$IF$30)</f>
        <v>0</v>
      </c>
      <c r="U397" s="28">
        <f>SUMIF('Lease Cycles'!$HL$30:$HR$30,U$6,'Lease Cycles'!$HZ$30:$IF$30)</f>
        <v>0</v>
      </c>
      <c r="V397" s="28">
        <f>SUMIF('Lease Cycles'!$HL$30:$HR$30,V$6,'Lease Cycles'!$HZ$30:$IF$30)</f>
        <v>0</v>
      </c>
      <c r="W397" s="28">
        <f>SUMIF('Lease Cycles'!$HL$30:$HR$30,W$6,'Lease Cycles'!$HZ$30:$IF$30)</f>
        <v>0</v>
      </c>
      <c r="X397" s="28">
        <f>SUMIF('Lease Cycles'!$HL$30:$HR$30,X$6,'Lease Cycles'!$HZ$30:$IF$30)</f>
        <v>0</v>
      </c>
      <c r="Y397" s="28">
        <f>SUMIF('Lease Cycles'!$HL$30:$HR$30,Y$6,'Lease Cycles'!$HZ$30:$IF$30)</f>
        <v>0</v>
      </c>
      <c r="Z397" s="28">
        <f>SUMIF('Lease Cycles'!$HL$30:$HR$30,Z$6,'Lease Cycles'!$HZ$30:$IF$30)</f>
        <v>0</v>
      </c>
      <c r="AA397" s="28">
        <f>SUMIF('Lease Cycles'!$HL$30:$HR$30,AA$6,'Lease Cycles'!$HZ$30:$IF$30)</f>
        <v>0</v>
      </c>
      <c r="AB397" s="28">
        <f>SUMIF('Lease Cycles'!$HL$30:$HR$30,AB$6,'Lease Cycles'!$HZ$30:$IF$30)</f>
        <v>0</v>
      </c>
      <c r="AC397" s="28">
        <f>SUMIF('Lease Cycles'!$HL$30:$HR$30,AC$6,'Lease Cycles'!$HZ$30:$IF$30)</f>
        <v>0</v>
      </c>
      <c r="AD397" s="28">
        <f>SUMIF('Lease Cycles'!$HL$30:$HR$30,AD$6,'Lease Cycles'!$HZ$30:$IF$30)</f>
        <v>0</v>
      </c>
      <c r="AE397" s="28">
        <f>SUMIF('Lease Cycles'!$HL$30:$HR$30,AE$6,'Lease Cycles'!$HZ$30:$IF$30)</f>
        <v>0</v>
      </c>
      <c r="AF397" s="28">
        <f>SUMIF('Lease Cycles'!$HL$30:$HR$30,AF$6,'Lease Cycles'!$HZ$30:$IF$30)</f>
        <v>0</v>
      </c>
      <c r="AG397" s="28">
        <f>SUMIF('Lease Cycles'!$HL$30:$HR$30,AG$6,'Lease Cycles'!$HZ$30:$IF$30)</f>
        <v>0</v>
      </c>
      <c r="AH397" s="28">
        <f>SUMIF('Lease Cycles'!$HL$30:$HR$30,AH$6,'Lease Cycles'!$HZ$30:$IF$30)</f>
        <v>0</v>
      </c>
      <c r="AI397" s="28">
        <f>SUMIF('Lease Cycles'!$HL$30:$HR$30,AI$6,'Lease Cycles'!$HZ$30:$IF$30)</f>
        <v>0</v>
      </c>
      <c r="AJ397" s="28">
        <f>SUMIF('Lease Cycles'!$HL$30:$HR$30,AJ$6,'Lease Cycles'!$HZ$30:$IF$30)</f>
        <v>0</v>
      </c>
      <c r="AK397" s="28">
        <f>SUMIF('Lease Cycles'!$HL$30:$HR$30,AK$6,'Lease Cycles'!$HZ$30:$IF$30)</f>
        <v>0</v>
      </c>
      <c r="AL397" s="28">
        <f>SUMIF('Lease Cycles'!$HL$30:$HR$30,AL$6,'Lease Cycles'!$HZ$30:$IF$30)</f>
        <v>0</v>
      </c>
      <c r="AM397" s="28">
        <f>SUMIF('Lease Cycles'!$HL$30:$HR$30,AM$6,'Lease Cycles'!$HZ$30:$IF$30)</f>
        <v>0</v>
      </c>
      <c r="AN397" s="28">
        <f>SUMIF('Lease Cycles'!$HL$30:$HR$30,AN$6,'Lease Cycles'!$HZ$30:$IF$30)</f>
        <v>0</v>
      </c>
      <c r="AO397" s="28">
        <f>SUMIF('Lease Cycles'!$HL$30:$HR$30,AO$6,'Lease Cycles'!$HZ$30:$IF$30)</f>
        <v>0</v>
      </c>
      <c r="AP397" s="28">
        <f>SUMIF('Lease Cycles'!$HL$30:$HR$30,AP$6,'Lease Cycles'!$HZ$30:$IF$30)</f>
        <v>0</v>
      </c>
      <c r="AQ397" s="28">
        <f>SUMIF('Lease Cycles'!$HL$30:$HR$30,AQ$6,'Lease Cycles'!$HZ$30:$IF$30)</f>
        <v>0</v>
      </c>
      <c r="AR397" s="28">
        <f>SUMIF('Lease Cycles'!$HL$30:$HR$30,AR$6,'Lease Cycles'!$HZ$30:$IF$30)</f>
        <v>0</v>
      </c>
      <c r="AS397" s="28">
        <f>SUMIF('Lease Cycles'!$HL$30:$HR$30,AS$6,'Lease Cycles'!$HZ$30:$IF$30)</f>
        <v>0</v>
      </c>
      <c r="AT397" s="28">
        <f>SUMIF('Lease Cycles'!$HL$30:$HR$30,AT$6,'Lease Cycles'!$HZ$30:$IF$30)</f>
        <v>0</v>
      </c>
      <c r="AU397" s="28">
        <f>SUMIF('Lease Cycles'!$HL$30:$HR$30,AU$6,'Lease Cycles'!$HZ$30:$IF$30)</f>
        <v>0</v>
      </c>
      <c r="AV397" s="28">
        <f>SUMIF('Lease Cycles'!$HL$30:$HR$30,AV$6,'Lease Cycles'!$HZ$30:$IF$30)</f>
        <v>0</v>
      </c>
      <c r="AW397" s="28">
        <f>SUMIF('Lease Cycles'!$HL$30:$HR$30,AW$6,'Lease Cycles'!$HZ$30:$IF$30)</f>
        <v>0</v>
      </c>
      <c r="AX397" s="28">
        <f>SUMIF('Lease Cycles'!$HL$30:$HR$30,AX$6,'Lease Cycles'!$HZ$30:$IF$30)</f>
        <v>0</v>
      </c>
      <c r="AY397" s="28">
        <f>SUMIF('Lease Cycles'!$HL$30:$HR$30,AY$6,'Lease Cycles'!$HZ$30:$IF$30)</f>
        <v>0</v>
      </c>
      <c r="AZ397" s="28">
        <f>SUMIF('Lease Cycles'!$HL$30:$HR$30,AZ$6,'Lease Cycles'!$HZ$30:$IF$30)</f>
        <v>0</v>
      </c>
      <c r="BA397" s="28">
        <f>SUMIF('Lease Cycles'!$HL$30:$HR$30,BA$6,'Lease Cycles'!$HZ$30:$IF$30)</f>
        <v>0</v>
      </c>
      <c r="BB397" s="28">
        <f>SUMIF('Lease Cycles'!$HL$30:$HR$30,BB$6,'Lease Cycles'!$HZ$30:$IF$30)</f>
        <v>0</v>
      </c>
      <c r="BC397" s="28">
        <f>SUMIF('Lease Cycles'!$HL$30:$HR$30,BC$6,'Lease Cycles'!$HZ$30:$IF$30)</f>
        <v>0</v>
      </c>
      <c r="BD397" s="28">
        <f>SUMIF('Lease Cycles'!$HL$30:$HR$30,BD$6,'Lease Cycles'!$HZ$30:$IF$30)</f>
        <v>0</v>
      </c>
      <c r="BE397" s="28">
        <f>SUMIF('Lease Cycles'!$HL$30:$HR$30,BE$6,'Lease Cycles'!$HZ$30:$IF$30)</f>
        <v>0</v>
      </c>
      <c r="BF397" s="28">
        <f>SUMIF('Lease Cycles'!$HL$30:$HR$30,BF$6,'Lease Cycles'!$HZ$30:$IF$30)</f>
        <v>0</v>
      </c>
      <c r="BG397" s="28">
        <f>SUMIF('Lease Cycles'!$HL$30:$HR$30,BG$6,'Lease Cycles'!$HZ$30:$IF$30)</f>
        <v>0</v>
      </c>
      <c r="BH397" s="28">
        <f>SUMIF('Lease Cycles'!$HL$30:$HR$30,BH$6,'Lease Cycles'!$HZ$30:$IF$30)</f>
        <v>0</v>
      </c>
      <c r="BI397" s="28">
        <f>SUMIF('Lease Cycles'!$HL$30:$HR$30,BI$6,'Lease Cycles'!$HZ$30:$IF$30)</f>
        <v>0</v>
      </c>
      <c r="BJ397" s="28">
        <f>SUMIF('Lease Cycles'!$HL$30:$HR$30,BJ$6,'Lease Cycles'!$HZ$30:$IF$30)</f>
        <v>0</v>
      </c>
      <c r="BK397" s="28">
        <f>SUMIF('Lease Cycles'!$HL$30:$HR$30,BK$6,'Lease Cycles'!$HZ$30:$IF$30)</f>
        <v>0</v>
      </c>
      <c r="BL397" s="28">
        <f>SUMIF('Lease Cycles'!$HL$30:$HR$30,BL$6,'Lease Cycles'!$HZ$30:$IF$30)</f>
        <v>0</v>
      </c>
      <c r="BM397" s="28">
        <f>SUMIF('Lease Cycles'!$HL$30:$HR$30,BM$6,'Lease Cycles'!$HZ$30:$IF$30)</f>
        <v>0</v>
      </c>
      <c r="BN397" s="28">
        <f>SUMIF('Lease Cycles'!$HL$30:$HR$30,BN$6,'Lease Cycles'!$HZ$30:$IF$30)</f>
        <v>0</v>
      </c>
      <c r="BO397" s="28">
        <f>SUMIF('Lease Cycles'!$HL$30:$HR$30,BO$6,'Lease Cycles'!$HZ$30:$IF$30)</f>
        <v>0</v>
      </c>
      <c r="BP397" s="28">
        <f>SUMIF('Lease Cycles'!$HL$30:$HR$30,BP$6,'Lease Cycles'!$HZ$30:$IF$30)</f>
        <v>0</v>
      </c>
      <c r="BQ397" s="28">
        <f>SUMIF('Lease Cycles'!$HL$30:$HR$30,BQ$6,'Lease Cycles'!$HZ$30:$IF$30)</f>
        <v>0</v>
      </c>
      <c r="BR397" s="28">
        <f>SUMIF('Lease Cycles'!$HL$30:$HR$30,BR$6,'Lease Cycles'!$HZ$30:$IF$30)</f>
        <v>0</v>
      </c>
      <c r="BS397" s="28">
        <f>SUMIF('Lease Cycles'!$HL$30:$HR$30,BS$6,'Lease Cycles'!$HZ$30:$IF$30)</f>
        <v>0</v>
      </c>
      <c r="BT397" s="28">
        <f>SUMIF('Lease Cycles'!$HL$30:$HR$30,BT$6,'Lease Cycles'!$HZ$30:$IF$30)</f>
        <v>0</v>
      </c>
      <c r="BU397" s="28">
        <f>SUMIF('Lease Cycles'!$HL$30:$HR$30,BU$6,'Lease Cycles'!$HZ$30:$IF$30)</f>
        <v>0</v>
      </c>
      <c r="BV397" s="28">
        <f>SUMIF('Lease Cycles'!$HL$30:$HR$30,BV$6,'Lease Cycles'!$HZ$30:$IF$30)</f>
        <v>0</v>
      </c>
      <c r="BW397" s="28">
        <f>SUMIF('Lease Cycles'!$HL$30:$HR$30,BW$6,'Lease Cycles'!$HZ$30:$IF$30)</f>
        <v>0</v>
      </c>
      <c r="BX397" s="28">
        <f>SUMIF('Lease Cycles'!$HL$30:$HR$30,BX$6,'Lease Cycles'!$HZ$30:$IF$30)</f>
        <v>0</v>
      </c>
      <c r="BY397" s="28">
        <f>SUMIF('Lease Cycles'!$HL$30:$HR$30,BY$6,'Lease Cycles'!$HZ$30:$IF$30)</f>
        <v>0</v>
      </c>
      <c r="BZ397" s="28">
        <f>SUMIF('Lease Cycles'!$HL$30:$HR$30,BZ$6,'Lease Cycles'!$HZ$30:$IF$30)</f>
        <v>0</v>
      </c>
      <c r="CA397" s="28">
        <f>SUMIF('Lease Cycles'!$HL$30:$HR$30,CA$6,'Lease Cycles'!$HZ$30:$IF$30)</f>
        <v>0</v>
      </c>
      <c r="CB397" s="28">
        <f>SUMIF('Lease Cycles'!$HL$30:$HR$30,CB$6,'Lease Cycles'!$HZ$30:$IF$30)</f>
        <v>0</v>
      </c>
      <c r="CC397" s="28">
        <f>SUMIF('Lease Cycles'!$HL$30:$HR$30,CC$6,'Lease Cycles'!$HZ$30:$IF$30)</f>
        <v>0</v>
      </c>
      <c r="CD397" s="28">
        <f>SUMIF('Lease Cycles'!$HL$30:$HR$30,CD$6,'Lease Cycles'!$HZ$30:$IF$30)</f>
        <v>0</v>
      </c>
      <c r="CE397" s="28">
        <f>SUMIF('Lease Cycles'!$HL$30:$HR$30,CE$6,'Lease Cycles'!$HZ$30:$IF$30)</f>
        <v>0</v>
      </c>
      <c r="CF397" s="28">
        <f>SUMIF('Lease Cycles'!$HL$30:$HR$30,CF$6,'Lease Cycles'!$HZ$30:$IF$30)</f>
        <v>0</v>
      </c>
      <c r="CG397" s="28">
        <f>SUMIF('Lease Cycles'!$HL$30:$HR$30,CG$6,'Lease Cycles'!$HZ$30:$IF$30)</f>
        <v>0</v>
      </c>
      <c r="CH397" s="28">
        <f>SUMIF('Lease Cycles'!$HL$30:$HR$30,CH$6,'Lease Cycles'!$HZ$30:$IF$30)</f>
        <v>0</v>
      </c>
      <c r="CI397" s="28">
        <f>SUMIF('Lease Cycles'!$HL$30:$HR$30,CI$6,'Lease Cycles'!$HZ$30:$IF$30)</f>
        <v>0</v>
      </c>
      <c r="CJ397" s="28">
        <f>SUMIF('Lease Cycles'!$HL$30:$HR$30,CJ$6,'Lease Cycles'!$HZ$30:$IF$30)</f>
        <v>0</v>
      </c>
      <c r="CK397" s="28">
        <f>SUMIF('Lease Cycles'!$HL$30:$HR$30,CK$6,'Lease Cycles'!$HZ$30:$IF$30)</f>
        <v>0</v>
      </c>
      <c r="CL397" s="28">
        <f>SUMIF('Lease Cycles'!$HL$30:$HR$30,CL$6,'Lease Cycles'!$HZ$30:$IF$30)</f>
        <v>0</v>
      </c>
      <c r="CM397" s="28">
        <f>SUMIF('Lease Cycles'!$HL$30:$HR$30,CM$6,'Lease Cycles'!$HZ$30:$IF$30)</f>
        <v>0</v>
      </c>
      <c r="CN397" s="28">
        <f>SUMIF('Lease Cycles'!$HL$30:$HR$30,CN$6,'Lease Cycles'!$HZ$30:$IF$30)</f>
        <v>0</v>
      </c>
      <c r="CO397" s="28">
        <f>SUMIF('Lease Cycles'!$HL$30:$HR$30,CO$6,'Lease Cycles'!$HZ$30:$IF$30)</f>
        <v>0</v>
      </c>
      <c r="CP397" s="28">
        <f>SUMIF('Lease Cycles'!$HL$30:$HR$30,CP$6,'Lease Cycles'!$HZ$30:$IF$30)</f>
        <v>0</v>
      </c>
      <c r="CQ397" s="28">
        <f>SUMIF('Lease Cycles'!$HL$30:$HR$30,CQ$6,'Lease Cycles'!$HZ$30:$IF$30)</f>
        <v>0</v>
      </c>
      <c r="CR397" s="28">
        <f>SUMIF('Lease Cycles'!$HL$30:$HR$30,CR$6,'Lease Cycles'!$HZ$30:$IF$30)</f>
        <v>0</v>
      </c>
      <c r="CS397" s="28">
        <f>SUMIF('Lease Cycles'!$HL$30:$HR$30,CS$6,'Lease Cycles'!$HZ$30:$IF$30)</f>
        <v>0</v>
      </c>
      <c r="CT397" s="28">
        <f>SUMIF('Lease Cycles'!$HL$30:$HR$30,CT$6,'Lease Cycles'!$HZ$30:$IF$30)</f>
        <v>0</v>
      </c>
      <c r="CU397" s="28">
        <f>SUMIF('Lease Cycles'!$HL$30:$HR$30,CU$6,'Lease Cycles'!$HZ$30:$IF$30)</f>
        <v>0</v>
      </c>
      <c r="CV397" s="28">
        <f>SUMIF('Lease Cycles'!$HL$30:$HR$30,CV$6,'Lease Cycles'!$HZ$30:$IF$30)</f>
        <v>0</v>
      </c>
      <c r="CW397" s="28">
        <f>SUMIF('Lease Cycles'!$HL$30:$HR$30,CW$6,'Lease Cycles'!$HZ$30:$IF$30)</f>
        <v>0</v>
      </c>
      <c r="CX397" s="28">
        <f>SUMIF('Lease Cycles'!$HL$30:$HR$30,CX$6,'Lease Cycles'!$HZ$30:$IF$30)</f>
        <v>0</v>
      </c>
      <c r="CY397" s="28">
        <f>SUMIF('Lease Cycles'!$HL$30:$HR$30,CY$6,'Lease Cycles'!$HZ$30:$IF$30)</f>
        <v>0</v>
      </c>
      <c r="CZ397" s="28">
        <f>SUMIF('Lease Cycles'!$HL$30:$HR$30,CZ$6,'Lease Cycles'!$HZ$30:$IF$30)</f>
        <v>0</v>
      </c>
      <c r="DA397" s="28">
        <f>SUMIF('Lease Cycles'!$HL$30:$HR$30,DA$6,'Lease Cycles'!$HZ$30:$IF$30)</f>
        <v>0</v>
      </c>
      <c r="DB397" s="28">
        <f>SUMIF('Lease Cycles'!$HL$30:$HR$30,DB$6,'Lease Cycles'!$HZ$30:$IF$30)</f>
        <v>0</v>
      </c>
      <c r="DC397" s="28">
        <f>SUMIF('Lease Cycles'!$HL$30:$HR$30,DC$6,'Lease Cycles'!$HZ$30:$IF$30)</f>
        <v>0</v>
      </c>
      <c r="DD397" s="28">
        <f>SUMIF('Lease Cycles'!$HL$30:$HR$30,DD$6,'Lease Cycles'!$HZ$30:$IF$30)</f>
        <v>0</v>
      </c>
      <c r="DE397" s="28">
        <f>SUMIF('Lease Cycles'!$HL$30:$HR$30,DE$6,'Lease Cycles'!$HZ$30:$IF$30)</f>
        <v>0</v>
      </c>
      <c r="DF397" s="28">
        <f>SUMIF('Lease Cycles'!$HL$30:$HR$30,DF$6,'Lease Cycles'!$HZ$30:$IF$30)</f>
        <v>0</v>
      </c>
      <c r="DG397" s="28">
        <f>SUMIF('Lease Cycles'!$HL$30:$HR$30,DG$6,'Lease Cycles'!$HZ$30:$IF$30)</f>
        <v>0</v>
      </c>
      <c r="DH397" s="28">
        <f>SUMIF('Lease Cycles'!$HL$30:$HR$30,DH$6,'Lease Cycles'!$HZ$30:$IF$30)</f>
        <v>0</v>
      </c>
      <c r="DI397" s="28">
        <f>SUMIF('Lease Cycles'!$HL$30:$HR$30,DI$6,'Lease Cycles'!$HZ$30:$IF$30)</f>
        <v>0</v>
      </c>
      <c r="DJ397" s="28">
        <f>SUMIF('Lease Cycles'!$HL$30:$HR$30,DJ$6,'Lease Cycles'!$HZ$30:$IF$30)</f>
        <v>0</v>
      </c>
      <c r="DK397" s="28">
        <f>SUMIF('Lease Cycles'!$HL$30:$HR$30,DK$6,'Lease Cycles'!$HZ$30:$IF$30)</f>
        <v>0</v>
      </c>
      <c r="DL397" s="28">
        <f>SUMIF('Lease Cycles'!$HL$30:$HR$30,DL$6,'Lease Cycles'!$HZ$30:$IF$30)</f>
        <v>0</v>
      </c>
      <c r="DM397" s="28">
        <f>SUMIF('Lease Cycles'!$HL$30:$HR$30,DM$6,'Lease Cycles'!$HZ$30:$IF$30)</f>
        <v>0</v>
      </c>
      <c r="DN397" s="28">
        <f>SUMIF('Lease Cycles'!$HL$30:$HR$30,DN$6,'Lease Cycles'!$HZ$30:$IF$30)</f>
        <v>0</v>
      </c>
      <c r="DO397" s="28">
        <f>SUMIF('Lease Cycles'!$HL$30:$HR$30,DO$6,'Lease Cycles'!$HZ$30:$IF$30)</f>
        <v>0</v>
      </c>
      <c r="DP397" s="28">
        <f>SUMIF('Lease Cycles'!$HL$30:$HR$30,DP$6,'Lease Cycles'!$HZ$30:$IF$30)</f>
        <v>0</v>
      </c>
      <c r="DQ397" s="28">
        <f>SUMIF('Lease Cycles'!$HL$30:$HR$30,DQ$6,'Lease Cycles'!$HZ$30:$IF$30)</f>
        <v>0</v>
      </c>
      <c r="DR397" s="28">
        <f>SUMIF('Lease Cycles'!$HL$30:$HR$30,DR$6,'Lease Cycles'!$HZ$30:$IF$30)</f>
        <v>0</v>
      </c>
      <c r="DS397" s="28">
        <f>SUMIF('Lease Cycles'!$HL$30:$HR$30,DS$6,'Lease Cycles'!$HZ$30:$IF$30)</f>
        <v>0</v>
      </c>
      <c r="DT397" s="28">
        <f>SUMIF('Lease Cycles'!$HL$30:$HR$30,DT$6,'Lease Cycles'!$HZ$30:$IF$30)</f>
        <v>0</v>
      </c>
      <c r="DU397" s="28">
        <f>SUMIF('Lease Cycles'!$HL$30:$HR$30,DU$6,'Lease Cycles'!$HZ$30:$IF$30)</f>
        <v>0</v>
      </c>
      <c r="DV397" s="28">
        <f>SUMIF('Lease Cycles'!$HL$30:$HR$30,DV$6,'Lease Cycles'!$HZ$30:$IF$30)</f>
        <v>0</v>
      </c>
      <c r="DW397" s="28">
        <f>SUMIF('Lease Cycles'!$HL$30:$HR$30,DW$6,'Lease Cycles'!$HZ$30:$IF$30)</f>
        <v>0</v>
      </c>
      <c r="DX397" s="28">
        <f>SUMIF('Lease Cycles'!$HL$30:$HR$30,DX$6,'Lease Cycles'!$HZ$30:$IF$30)</f>
        <v>0</v>
      </c>
      <c r="DY397" s="28">
        <f>SUMIF('Lease Cycles'!$HL$30:$HR$30,DY$6,'Lease Cycles'!$HZ$30:$IF$30)</f>
        <v>0</v>
      </c>
      <c r="DZ397" s="28">
        <f>SUMIF('Lease Cycles'!$HL$30:$HR$30,DZ$6,'Lease Cycles'!$HZ$30:$IF$30)</f>
        <v>0</v>
      </c>
      <c r="EA397" s="28">
        <f>SUMIF('Lease Cycles'!$HL$30:$HR$30,EA$6,'Lease Cycles'!$HZ$30:$IF$30)</f>
        <v>0</v>
      </c>
      <c r="EB397" s="28">
        <f>SUMIF('Lease Cycles'!$HL$30:$HR$30,EB$6,'Lease Cycles'!$HZ$30:$IF$30)</f>
        <v>0</v>
      </c>
      <c r="EC397" s="28">
        <f>SUMIF('Lease Cycles'!$HL$30:$HR$30,EC$6,'Lease Cycles'!$HZ$30:$IF$30)</f>
        <v>0</v>
      </c>
      <c r="ED397" s="28">
        <f>SUMIF('Lease Cycles'!$HL$30:$HR$30,ED$6,'Lease Cycles'!$HZ$30:$IF$30)</f>
        <v>0</v>
      </c>
      <c r="EE397" s="28">
        <f>SUMIF('Lease Cycles'!$HL$30:$HR$30,EE$6,'Lease Cycles'!$HZ$30:$IF$30)</f>
        <v>0</v>
      </c>
      <c r="EF397" s="28">
        <f>SUMIF('Lease Cycles'!$HL$30:$HR$30,EF$6,'Lease Cycles'!$HZ$30:$IF$30)</f>
        <v>0</v>
      </c>
      <c r="EG397" s="28">
        <f>SUMIF('Lease Cycles'!$HL$30:$HR$30,EG$6,'Lease Cycles'!$HZ$30:$IF$30)</f>
        <v>0</v>
      </c>
      <c r="EH397" s="28">
        <f>SUMIF('Lease Cycles'!$HL$30:$HR$30,EH$6,'Lease Cycles'!$HZ$30:$IF$30)</f>
        <v>0</v>
      </c>
      <c r="EI397" s="28">
        <f>SUMIF('Lease Cycles'!$HL$30:$HR$30,EI$6,'Lease Cycles'!$HZ$30:$IF$30)</f>
        <v>0</v>
      </c>
      <c r="EJ397" s="28">
        <f>SUMIF('Lease Cycles'!$HL$30:$HR$30,EJ$6,'Lease Cycles'!$HZ$30:$IF$30)</f>
        <v>0</v>
      </c>
      <c r="EK397" s="28">
        <f>SUMIF('Lease Cycles'!$HL$30:$HR$30,EK$6,'Lease Cycles'!$HZ$30:$IF$30)</f>
        <v>0</v>
      </c>
      <c r="EL397" s="28">
        <f>SUMIF('Lease Cycles'!$HL$30:$HR$30,EL$6,'Lease Cycles'!$HZ$30:$IF$30)</f>
        <v>0</v>
      </c>
      <c r="EM397" s="28">
        <f>SUMIF('Lease Cycles'!$HL$30:$HR$30,EM$6,'Lease Cycles'!$HZ$30:$IF$30)</f>
        <v>0</v>
      </c>
      <c r="EN397" s="28">
        <f>SUMIF('Lease Cycles'!$HL$30:$HR$30,EN$6,'Lease Cycles'!$HZ$30:$IF$30)</f>
        <v>0</v>
      </c>
      <c r="EO397" s="28">
        <f>SUMIF('Lease Cycles'!$HL$30:$HR$30,EO$6,'Lease Cycles'!$HZ$30:$IF$30)</f>
        <v>0</v>
      </c>
      <c r="EP397" s="28">
        <f>SUMIF('Lease Cycles'!$HL$30:$HR$30,EP$6,'Lease Cycles'!$HZ$30:$IF$30)</f>
        <v>0</v>
      </c>
      <c r="EQ397" s="28">
        <f>SUMIF('Lease Cycles'!$HL$30:$HR$30,EQ$6,'Lease Cycles'!$HZ$30:$IF$30)</f>
        <v>0</v>
      </c>
      <c r="ER397" s="28">
        <f>SUMIF('Lease Cycles'!$HL$30:$HR$30,ER$6,'Lease Cycles'!$HZ$30:$IF$30)</f>
        <v>0</v>
      </c>
      <c r="ES397" s="28">
        <f>SUMIF('Lease Cycles'!$HL$30:$HR$30,ES$6,'Lease Cycles'!$HZ$30:$IF$30)</f>
        <v>0</v>
      </c>
      <c r="ET397" s="28">
        <f>SUMIF('Lease Cycles'!$HL$30:$HR$30,ET$6,'Lease Cycles'!$HZ$30:$IF$30)</f>
        <v>0</v>
      </c>
    </row>
    <row r="398">
      <c r="A398" s="103">
        <v>23</v>
      </c>
      <c r="B398" s="23" t="str">
        <f>IF('Lease Cycles'!$B$30="","(empty slot)",'Lease Cycles'!$B$30)</f>
        <v>(empty slot)</v>
      </c>
      <c r="C398" s="23" t="s">
        <v>691</v>
      </c>
      <c r="D398" s="104" t="s">
        <v>692</v>
      </c>
      <c r="E398" s="25">
        <f>'Lease Cycles'!$AL$30</f>
        <v>0</v>
      </c>
      <c r="G398" s="28">
        <f>SUM(S398:AD398)</f>
        <v>0</v>
      </c>
      <c r="H398" s="28">
        <f>SUM(AE398:AP398)</f>
        <v>0</v>
      </c>
      <c r="I398" s="28">
        <f>SUM(AQ398:BB398)</f>
        <v>0</v>
      </c>
      <c r="J398" s="28">
        <f>SUM(BC398:BN398)</f>
        <v>0</v>
      </c>
      <c r="K398" s="28">
        <f>SUM(BO398:BZ398)</f>
        <v>0</v>
      </c>
      <c r="L398" s="28">
        <f>SUM(CA398:CL398)</f>
        <v>0</v>
      </c>
      <c r="M398" s="28">
        <f>SUM(CM398:CX398)</f>
        <v>0</v>
      </c>
      <c r="N398" s="28">
        <f>SUM(CY398:DJ398)</f>
        <v>0</v>
      </c>
      <c r="O398" s="28">
        <f>SUM(DK398:DV398)</f>
        <v>0</v>
      </c>
      <c r="P398" s="28">
        <f>SUM(DW398:EH398)</f>
        <v>0</v>
      </c>
      <c r="Q398" s="28">
        <f>SUM(EI398:ET398)</f>
        <v>0</v>
      </c>
      <c r="S398" s="28">
        <f>IF(S$6='Lease Cycles'!$HL$30,'Lease Cycles'!$HS$30+'Lease Cycles'!$HZ$30,0)</f>
        <v>0</v>
      </c>
      <c r="T398" s="28">
        <f>IF(T$6='Lease Cycles'!$HL$30,'Lease Cycles'!$HS$30+'Lease Cycles'!$HZ$30,0)</f>
        <v>0</v>
      </c>
      <c r="U398" s="28">
        <f>IF(U$6='Lease Cycles'!$HL$30,'Lease Cycles'!$HS$30+'Lease Cycles'!$HZ$30,0)</f>
        <v>0</v>
      </c>
      <c r="V398" s="28">
        <f>IF(V$6='Lease Cycles'!$HL$30,'Lease Cycles'!$HS$30+'Lease Cycles'!$HZ$30,0)</f>
        <v>0</v>
      </c>
      <c r="W398" s="28">
        <f>IF(W$6='Lease Cycles'!$HL$30,'Lease Cycles'!$HS$30+'Lease Cycles'!$HZ$30,0)</f>
        <v>0</v>
      </c>
      <c r="X398" s="28">
        <f>IF(X$6='Lease Cycles'!$HL$30,'Lease Cycles'!$HS$30+'Lease Cycles'!$HZ$30,0)</f>
        <v>0</v>
      </c>
      <c r="Y398" s="28">
        <f>IF(Y$6='Lease Cycles'!$HL$30,'Lease Cycles'!$HS$30+'Lease Cycles'!$HZ$30,0)</f>
        <v>0</v>
      </c>
      <c r="Z398" s="28">
        <f>IF(Z$6='Lease Cycles'!$HL$30,'Lease Cycles'!$HS$30+'Lease Cycles'!$HZ$30,0)</f>
        <v>0</v>
      </c>
      <c r="AA398" s="28">
        <f>IF(AA$6='Lease Cycles'!$HL$30,'Lease Cycles'!$HS$30+'Lease Cycles'!$HZ$30,0)</f>
        <v>0</v>
      </c>
      <c r="AB398" s="28">
        <f>IF(AB$6='Lease Cycles'!$HL$30,'Lease Cycles'!$HS$30+'Lease Cycles'!$HZ$30,0)</f>
        <v>0</v>
      </c>
      <c r="AC398" s="28">
        <f>IF(AC$6='Lease Cycles'!$HL$30,'Lease Cycles'!$HS$30+'Lease Cycles'!$HZ$30,0)</f>
        <v>0</v>
      </c>
      <c r="AD398" s="28">
        <f>IF(AD$6='Lease Cycles'!$HL$30,'Lease Cycles'!$HS$30+'Lease Cycles'!$HZ$30,0)</f>
        <v>0</v>
      </c>
      <c r="AE398" s="28">
        <f>IF(AE$6='Lease Cycles'!$HL$30,'Lease Cycles'!$HS$30+'Lease Cycles'!$HZ$30,0)</f>
        <v>0</v>
      </c>
      <c r="AF398" s="28">
        <f>IF(AF$6='Lease Cycles'!$HL$30,'Lease Cycles'!$HS$30+'Lease Cycles'!$HZ$30,0)</f>
        <v>0</v>
      </c>
      <c r="AG398" s="28">
        <f>IF(AG$6='Lease Cycles'!$HL$30,'Lease Cycles'!$HS$30+'Lease Cycles'!$HZ$30,0)</f>
        <v>0</v>
      </c>
      <c r="AH398" s="28">
        <f>IF(AH$6='Lease Cycles'!$HL$30,'Lease Cycles'!$HS$30+'Lease Cycles'!$HZ$30,0)</f>
        <v>0</v>
      </c>
      <c r="AI398" s="28">
        <f>IF(AI$6='Lease Cycles'!$HL$30,'Lease Cycles'!$HS$30+'Lease Cycles'!$HZ$30,0)</f>
        <v>0</v>
      </c>
      <c r="AJ398" s="28">
        <f>IF(AJ$6='Lease Cycles'!$HL$30,'Lease Cycles'!$HS$30+'Lease Cycles'!$HZ$30,0)</f>
        <v>0</v>
      </c>
      <c r="AK398" s="28">
        <f>IF(AK$6='Lease Cycles'!$HL$30,'Lease Cycles'!$HS$30+'Lease Cycles'!$HZ$30,0)</f>
        <v>0</v>
      </c>
      <c r="AL398" s="28">
        <f>IF(AL$6='Lease Cycles'!$HL$30,'Lease Cycles'!$HS$30+'Lease Cycles'!$HZ$30,0)</f>
        <v>0</v>
      </c>
      <c r="AM398" s="28">
        <f>IF(AM$6='Lease Cycles'!$HL$30,'Lease Cycles'!$HS$30+'Lease Cycles'!$HZ$30,0)</f>
        <v>0</v>
      </c>
      <c r="AN398" s="28">
        <f>IF(AN$6='Lease Cycles'!$HL$30,'Lease Cycles'!$HS$30+'Lease Cycles'!$HZ$30,0)</f>
        <v>0</v>
      </c>
      <c r="AO398" s="28">
        <f>IF(AO$6='Lease Cycles'!$HL$30,'Lease Cycles'!$HS$30+'Lease Cycles'!$HZ$30,0)</f>
        <v>0</v>
      </c>
      <c r="AP398" s="28">
        <f>IF(AP$6='Lease Cycles'!$HL$30,'Lease Cycles'!$HS$30+'Lease Cycles'!$HZ$30,0)</f>
        <v>0</v>
      </c>
      <c r="AQ398" s="28">
        <f>IF(AQ$6='Lease Cycles'!$HL$30,'Lease Cycles'!$HS$30+'Lease Cycles'!$HZ$30,0)</f>
        <v>0</v>
      </c>
      <c r="AR398" s="28">
        <f>IF(AR$6='Lease Cycles'!$HL$30,'Lease Cycles'!$HS$30+'Lease Cycles'!$HZ$30,0)</f>
        <v>0</v>
      </c>
      <c r="AS398" s="28">
        <f>IF(AS$6='Lease Cycles'!$HL$30,'Lease Cycles'!$HS$30+'Lease Cycles'!$HZ$30,0)</f>
        <v>0</v>
      </c>
      <c r="AT398" s="28">
        <f>IF(AT$6='Lease Cycles'!$HL$30,'Lease Cycles'!$HS$30+'Lease Cycles'!$HZ$30,0)</f>
        <v>0</v>
      </c>
      <c r="AU398" s="28">
        <f>IF(AU$6='Lease Cycles'!$HL$30,'Lease Cycles'!$HS$30+'Lease Cycles'!$HZ$30,0)</f>
        <v>0</v>
      </c>
      <c r="AV398" s="28">
        <f>IF(AV$6='Lease Cycles'!$HL$30,'Lease Cycles'!$HS$30+'Lease Cycles'!$HZ$30,0)</f>
        <v>0</v>
      </c>
      <c r="AW398" s="28">
        <f>IF(AW$6='Lease Cycles'!$HL$30,'Lease Cycles'!$HS$30+'Lease Cycles'!$HZ$30,0)</f>
        <v>0</v>
      </c>
      <c r="AX398" s="28">
        <f>IF(AX$6='Lease Cycles'!$HL$30,'Lease Cycles'!$HS$30+'Lease Cycles'!$HZ$30,0)</f>
        <v>0</v>
      </c>
      <c r="AY398" s="28">
        <f>IF(AY$6='Lease Cycles'!$HL$30,'Lease Cycles'!$HS$30+'Lease Cycles'!$HZ$30,0)</f>
        <v>0</v>
      </c>
      <c r="AZ398" s="28">
        <f>IF(AZ$6='Lease Cycles'!$HL$30,'Lease Cycles'!$HS$30+'Lease Cycles'!$HZ$30,0)</f>
        <v>0</v>
      </c>
      <c r="BA398" s="28">
        <f>IF(BA$6='Lease Cycles'!$HL$30,'Lease Cycles'!$HS$30+'Lease Cycles'!$HZ$30,0)</f>
        <v>0</v>
      </c>
      <c r="BB398" s="28">
        <f>IF(BB$6='Lease Cycles'!$HL$30,'Lease Cycles'!$HS$30+'Lease Cycles'!$HZ$30,0)</f>
        <v>0</v>
      </c>
      <c r="BC398" s="28">
        <f>IF(BC$6='Lease Cycles'!$HL$30,'Lease Cycles'!$HS$30+'Lease Cycles'!$HZ$30,0)</f>
        <v>0</v>
      </c>
      <c r="BD398" s="28">
        <f>IF(BD$6='Lease Cycles'!$HL$30,'Lease Cycles'!$HS$30+'Lease Cycles'!$HZ$30,0)</f>
        <v>0</v>
      </c>
      <c r="BE398" s="28">
        <f>IF(BE$6='Lease Cycles'!$HL$30,'Lease Cycles'!$HS$30+'Lease Cycles'!$HZ$30,0)</f>
        <v>0</v>
      </c>
      <c r="BF398" s="28">
        <f>IF(BF$6='Lease Cycles'!$HL$30,'Lease Cycles'!$HS$30+'Lease Cycles'!$HZ$30,0)</f>
        <v>0</v>
      </c>
      <c r="BG398" s="28">
        <f>IF(BG$6='Lease Cycles'!$HL$30,'Lease Cycles'!$HS$30+'Lease Cycles'!$HZ$30,0)</f>
        <v>0</v>
      </c>
      <c r="BH398" s="28">
        <f>IF(BH$6='Lease Cycles'!$HL$30,'Lease Cycles'!$HS$30+'Lease Cycles'!$HZ$30,0)</f>
        <v>0</v>
      </c>
      <c r="BI398" s="28">
        <f>IF(BI$6='Lease Cycles'!$HL$30,'Lease Cycles'!$HS$30+'Lease Cycles'!$HZ$30,0)</f>
        <v>0</v>
      </c>
      <c r="BJ398" s="28">
        <f>IF(BJ$6='Lease Cycles'!$HL$30,'Lease Cycles'!$HS$30+'Lease Cycles'!$HZ$30,0)</f>
        <v>0</v>
      </c>
      <c r="BK398" s="28">
        <f>IF(BK$6='Lease Cycles'!$HL$30,'Lease Cycles'!$HS$30+'Lease Cycles'!$HZ$30,0)</f>
        <v>0</v>
      </c>
      <c r="BL398" s="28">
        <f>IF(BL$6='Lease Cycles'!$HL$30,'Lease Cycles'!$HS$30+'Lease Cycles'!$HZ$30,0)</f>
        <v>0</v>
      </c>
      <c r="BM398" s="28">
        <f>IF(BM$6='Lease Cycles'!$HL$30,'Lease Cycles'!$HS$30+'Lease Cycles'!$HZ$30,0)</f>
        <v>0</v>
      </c>
      <c r="BN398" s="28">
        <f>IF(BN$6='Lease Cycles'!$HL$30,'Lease Cycles'!$HS$30+'Lease Cycles'!$HZ$30,0)</f>
        <v>0</v>
      </c>
      <c r="BO398" s="28">
        <f>IF(BO$6='Lease Cycles'!$HL$30,'Lease Cycles'!$HS$30+'Lease Cycles'!$HZ$30,0)</f>
        <v>0</v>
      </c>
      <c r="BP398" s="28">
        <f>IF(BP$6='Lease Cycles'!$HL$30,'Lease Cycles'!$HS$30+'Lease Cycles'!$HZ$30,0)</f>
        <v>0</v>
      </c>
      <c r="BQ398" s="28">
        <f>IF(BQ$6='Lease Cycles'!$HL$30,'Lease Cycles'!$HS$30+'Lease Cycles'!$HZ$30,0)</f>
        <v>0</v>
      </c>
      <c r="BR398" s="28">
        <f>IF(BR$6='Lease Cycles'!$HL$30,'Lease Cycles'!$HS$30+'Lease Cycles'!$HZ$30,0)</f>
        <v>0</v>
      </c>
      <c r="BS398" s="28">
        <f>IF(BS$6='Lease Cycles'!$HL$30,'Lease Cycles'!$HS$30+'Lease Cycles'!$HZ$30,0)</f>
        <v>0</v>
      </c>
      <c r="BT398" s="28">
        <f>IF(BT$6='Lease Cycles'!$HL$30,'Lease Cycles'!$HS$30+'Lease Cycles'!$HZ$30,0)</f>
        <v>0</v>
      </c>
      <c r="BU398" s="28">
        <f>IF(BU$6='Lease Cycles'!$HL$30,'Lease Cycles'!$HS$30+'Lease Cycles'!$HZ$30,0)</f>
        <v>0</v>
      </c>
      <c r="BV398" s="28">
        <f>IF(BV$6='Lease Cycles'!$HL$30,'Lease Cycles'!$HS$30+'Lease Cycles'!$HZ$30,0)</f>
        <v>0</v>
      </c>
      <c r="BW398" s="28">
        <f>IF(BW$6='Lease Cycles'!$HL$30,'Lease Cycles'!$HS$30+'Lease Cycles'!$HZ$30,0)</f>
        <v>0</v>
      </c>
      <c r="BX398" s="28">
        <f>IF(BX$6='Lease Cycles'!$HL$30,'Lease Cycles'!$HS$30+'Lease Cycles'!$HZ$30,0)</f>
        <v>0</v>
      </c>
      <c r="BY398" s="28">
        <f>IF(BY$6='Lease Cycles'!$HL$30,'Lease Cycles'!$HS$30+'Lease Cycles'!$HZ$30,0)</f>
        <v>0</v>
      </c>
      <c r="BZ398" s="28">
        <f>IF(BZ$6='Lease Cycles'!$HL$30,'Lease Cycles'!$HS$30+'Lease Cycles'!$HZ$30,0)</f>
        <v>0</v>
      </c>
      <c r="CA398" s="28">
        <f>IF(CA$6='Lease Cycles'!$HL$30,'Lease Cycles'!$HS$30+'Lease Cycles'!$HZ$30,0)</f>
        <v>0</v>
      </c>
      <c r="CB398" s="28">
        <f>IF(CB$6='Lease Cycles'!$HL$30,'Lease Cycles'!$HS$30+'Lease Cycles'!$HZ$30,0)</f>
        <v>0</v>
      </c>
      <c r="CC398" s="28">
        <f>IF(CC$6='Lease Cycles'!$HL$30,'Lease Cycles'!$HS$30+'Lease Cycles'!$HZ$30,0)</f>
        <v>0</v>
      </c>
      <c r="CD398" s="28">
        <f>IF(CD$6='Lease Cycles'!$HL$30,'Lease Cycles'!$HS$30+'Lease Cycles'!$HZ$30,0)</f>
        <v>0</v>
      </c>
      <c r="CE398" s="28">
        <f>IF(CE$6='Lease Cycles'!$HL$30,'Lease Cycles'!$HS$30+'Lease Cycles'!$HZ$30,0)</f>
        <v>0</v>
      </c>
      <c r="CF398" s="28">
        <f>IF(CF$6='Lease Cycles'!$HL$30,'Lease Cycles'!$HS$30+'Lease Cycles'!$HZ$30,0)</f>
        <v>0</v>
      </c>
      <c r="CG398" s="28">
        <f>IF(CG$6='Lease Cycles'!$HL$30,'Lease Cycles'!$HS$30+'Lease Cycles'!$HZ$30,0)</f>
        <v>0</v>
      </c>
      <c r="CH398" s="28">
        <f>IF(CH$6='Lease Cycles'!$HL$30,'Lease Cycles'!$HS$30+'Lease Cycles'!$HZ$30,0)</f>
        <v>0</v>
      </c>
      <c r="CI398" s="28">
        <f>IF(CI$6='Lease Cycles'!$HL$30,'Lease Cycles'!$HS$30+'Lease Cycles'!$HZ$30,0)</f>
        <v>0</v>
      </c>
      <c r="CJ398" s="28">
        <f>IF(CJ$6='Lease Cycles'!$HL$30,'Lease Cycles'!$HS$30+'Lease Cycles'!$HZ$30,0)</f>
        <v>0</v>
      </c>
      <c r="CK398" s="28">
        <f>IF(CK$6='Lease Cycles'!$HL$30,'Lease Cycles'!$HS$30+'Lease Cycles'!$HZ$30,0)</f>
        <v>0</v>
      </c>
      <c r="CL398" s="28">
        <f>IF(CL$6='Lease Cycles'!$HL$30,'Lease Cycles'!$HS$30+'Lease Cycles'!$HZ$30,0)</f>
        <v>0</v>
      </c>
      <c r="CM398" s="28">
        <f>IF(CM$6='Lease Cycles'!$HL$30,'Lease Cycles'!$HS$30+'Lease Cycles'!$HZ$30,0)</f>
        <v>0</v>
      </c>
      <c r="CN398" s="28">
        <f>IF(CN$6='Lease Cycles'!$HL$30,'Lease Cycles'!$HS$30+'Lease Cycles'!$HZ$30,0)</f>
        <v>0</v>
      </c>
      <c r="CO398" s="28">
        <f>IF(CO$6='Lease Cycles'!$HL$30,'Lease Cycles'!$HS$30+'Lease Cycles'!$HZ$30,0)</f>
        <v>0</v>
      </c>
      <c r="CP398" s="28">
        <f>IF(CP$6='Lease Cycles'!$HL$30,'Lease Cycles'!$HS$30+'Lease Cycles'!$HZ$30,0)</f>
        <v>0</v>
      </c>
      <c r="CQ398" s="28">
        <f>IF(CQ$6='Lease Cycles'!$HL$30,'Lease Cycles'!$HS$30+'Lease Cycles'!$HZ$30,0)</f>
        <v>0</v>
      </c>
      <c r="CR398" s="28">
        <f>IF(CR$6='Lease Cycles'!$HL$30,'Lease Cycles'!$HS$30+'Lease Cycles'!$HZ$30,0)</f>
        <v>0</v>
      </c>
      <c r="CS398" s="28">
        <f>IF(CS$6='Lease Cycles'!$HL$30,'Lease Cycles'!$HS$30+'Lease Cycles'!$HZ$30,0)</f>
        <v>0</v>
      </c>
      <c r="CT398" s="28">
        <f>IF(CT$6='Lease Cycles'!$HL$30,'Lease Cycles'!$HS$30+'Lease Cycles'!$HZ$30,0)</f>
        <v>0</v>
      </c>
      <c r="CU398" s="28">
        <f>IF(CU$6='Lease Cycles'!$HL$30,'Lease Cycles'!$HS$30+'Lease Cycles'!$HZ$30,0)</f>
        <v>0</v>
      </c>
      <c r="CV398" s="28">
        <f>IF(CV$6='Lease Cycles'!$HL$30,'Lease Cycles'!$HS$30+'Lease Cycles'!$HZ$30,0)</f>
        <v>0</v>
      </c>
      <c r="CW398" s="28">
        <f>IF(CW$6='Lease Cycles'!$HL$30,'Lease Cycles'!$HS$30+'Lease Cycles'!$HZ$30,0)</f>
        <v>0</v>
      </c>
      <c r="CX398" s="28">
        <f>IF(CX$6='Lease Cycles'!$HL$30,'Lease Cycles'!$HS$30+'Lease Cycles'!$HZ$30,0)</f>
        <v>0</v>
      </c>
      <c r="CY398" s="28">
        <f>IF(CY$6='Lease Cycles'!$HL$30,'Lease Cycles'!$HS$30+'Lease Cycles'!$HZ$30,0)</f>
        <v>0</v>
      </c>
      <c r="CZ398" s="28">
        <f>IF(CZ$6='Lease Cycles'!$HL$30,'Lease Cycles'!$HS$30+'Lease Cycles'!$HZ$30,0)</f>
        <v>0</v>
      </c>
      <c r="DA398" s="28">
        <f>IF(DA$6='Lease Cycles'!$HL$30,'Lease Cycles'!$HS$30+'Lease Cycles'!$HZ$30,0)</f>
        <v>0</v>
      </c>
      <c r="DB398" s="28">
        <f>IF(DB$6='Lease Cycles'!$HL$30,'Lease Cycles'!$HS$30+'Lease Cycles'!$HZ$30,0)</f>
        <v>0</v>
      </c>
      <c r="DC398" s="28">
        <f>IF(DC$6='Lease Cycles'!$HL$30,'Lease Cycles'!$HS$30+'Lease Cycles'!$HZ$30,0)</f>
        <v>0</v>
      </c>
      <c r="DD398" s="28">
        <f>IF(DD$6='Lease Cycles'!$HL$30,'Lease Cycles'!$HS$30+'Lease Cycles'!$HZ$30,0)</f>
        <v>0</v>
      </c>
      <c r="DE398" s="28">
        <f>IF(DE$6='Lease Cycles'!$HL$30,'Lease Cycles'!$HS$30+'Lease Cycles'!$HZ$30,0)</f>
        <v>0</v>
      </c>
      <c r="DF398" s="28">
        <f>IF(DF$6='Lease Cycles'!$HL$30,'Lease Cycles'!$HS$30+'Lease Cycles'!$HZ$30,0)</f>
        <v>0</v>
      </c>
      <c r="DG398" s="28">
        <f>IF(DG$6='Lease Cycles'!$HL$30,'Lease Cycles'!$HS$30+'Lease Cycles'!$HZ$30,0)</f>
        <v>0</v>
      </c>
      <c r="DH398" s="28">
        <f>IF(DH$6='Lease Cycles'!$HL$30,'Lease Cycles'!$HS$30+'Lease Cycles'!$HZ$30,0)</f>
        <v>0</v>
      </c>
      <c r="DI398" s="28">
        <f>IF(DI$6='Lease Cycles'!$HL$30,'Lease Cycles'!$HS$30+'Lease Cycles'!$HZ$30,0)</f>
        <v>0</v>
      </c>
      <c r="DJ398" s="28">
        <f>IF(DJ$6='Lease Cycles'!$HL$30,'Lease Cycles'!$HS$30+'Lease Cycles'!$HZ$30,0)</f>
        <v>0</v>
      </c>
      <c r="DK398" s="28">
        <f>IF(DK$6='Lease Cycles'!$HL$30,'Lease Cycles'!$HS$30+'Lease Cycles'!$HZ$30,0)</f>
        <v>0</v>
      </c>
      <c r="DL398" s="28">
        <f>IF(DL$6='Lease Cycles'!$HL$30,'Lease Cycles'!$HS$30+'Lease Cycles'!$HZ$30,0)</f>
        <v>0</v>
      </c>
      <c r="DM398" s="28">
        <f>IF(DM$6='Lease Cycles'!$HL$30,'Lease Cycles'!$HS$30+'Lease Cycles'!$HZ$30,0)</f>
        <v>0</v>
      </c>
      <c r="DN398" s="28">
        <f>IF(DN$6='Lease Cycles'!$HL$30,'Lease Cycles'!$HS$30+'Lease Cycles'!$HZ$30,0)</f>
        <v>0</v>
      </c>
      <c r="DO398" s="28">
        <f>IF(DO$6='Lease Cycles'!$HL$30,'Lease Cycles'!$HS$30+'Lease Cycles'!$HZ$30,0)</f>
        <v>0</v>
      </c>
      <c r="DP398" s="28">
        <f>IF(DP$6='Lease Cycles'!$HL$30,'Lease Cycles'!$HS$30+'Lease Cycles'!$HZ$30,0)</f>
        <v>0</v>
      </c>
      <c r="DQ398" s="28">
        <f>IF(DQ$6='Lease Cycles'!$HL$30,'Lease Cycles'!$HS$30+'Lease Cycles'!$HZ$30,0)</f>
        <v>0</v>
      </c>
      <c r="DR398" s="28">
        <f>IF(DR$6='Lease Cycles'!$HL$30,'Lease Cycles'!$HS$30+'Lease Cycles'!$HZ$30,0)</f>
        <v>0</v>
      </c>
      <c r="DS398" s="28">
        <f>IF(DS$6='Lease Cycles'!$HL$30,'Lease Cycles'!$HS$30+'Lease Cycles'!$HZ$30,0)</f>
        <v>0</v>
      </c>
      <c r="DT398" s="28">
        <f>IF(DT$6='Lease Cycles'!$HL$30,'Lease Cycles'!$HS$30+'Lease Cycles'!$HZ$30,0)</f>
        <v>0</v>
      </c>
      <c r="DU398" s="28">
        <f>IF(DU$6='Lease Cycles'!$HL$30,'Lease Cycles'!$HS$30+'Lease Cycles'!$HZ$30,0)</f>
        <v>0</v>
      </c>
      <c r="DV398" s="28">
        <f>IF(DV$6='Lease Cycles'!$HL$30,'Lease Cycles'!$HS$30+'Lease Cycles'!$HZ$30,0)</f>
        <v>0</v>
      </c>
      <c r="DW398" s="28">
        <f>IF(DW$6='Lease Cycles'!$HL$30,'Lease Cycles'!$HS$30+'Lease Cycles'!$HZ$30,0)</f>
        <v>0</v>
      </c>
      <c r="DX398" s="28">
        <f>IF(DX$6='Lease Cycles'!$HL$30,'Lease Cycles'!$HS$30+'Lease Cycles'!$HZ$30,0)</f>
        <v>0</v>
      </c>
      <c r="DY398" s="28">
        <f>IF(DY$6='Lease Cycles'!$HL$30,'Lease Cycles'!$HS$30+'Lease Cycles'!$HZ$30,0)</f>
        <v>0</v>
      </c>
      <c r="DZ398" s="28">
        <f>IF(DZ$6='Lease Cycles'!$HL$30,'Lease Cycles'!$HS$30+'Lease Cycles'!$HZ$30,0)</f>
        <v>0</v>
      </c>
      <c r="EA398" s="28">
        <f>IF(EA$6='Lease Cycles'!$HL$30,'Lease Cycles'!$HS$30+'Lease Cycles'!$HZ$30,0)</f>
        <v>0</v>
      </c>
      <c r="EB398" s="28">
        <f>IF(EB$6='Lease Cycles'!$HL$30,'Lease Cycles'!$HS$30+'Lease Cycles'!$HZ$30,0)</f>
        <v>0</v>
      </c>
      <c r="EC398" s="28">
        <f>IF(EC$6='Lease Cycles'!$HL$30,'Lease Cycles'!$HS$30+'Lease Cycles'!$HZ$30,0)</f>
        <v>0</v>
      </c>
      <c r="ED398" s="28">
        <f>IF(ED$6='Lease Cycles'!$HL$30,'Lease Cycles'!$HS$30+'Lease Cycles'!$HZ$30,0)</f>
        <v>0</v>
      </c>
      <c r="EE398" s="28">
        <f>IF(EE$6='Lease Cycles'!$HL$30,'Lease Cycles'!$HS$30+'Lease Cycles'!$HZ$30,0)</f>
        <v>0</v>
      </c>
      <c r="EF398" s="28">
        <f>IF(EF$6='Lease Cycles'!$HL$30,'Lease Cycles'!$HS$30+'Lease Cycles'!$HZ$30,0)</f>
        <v>0</v>
      </c>
      <c r="EG398" s="28">
        <f>IF(EG$6='Lease Cycles'!$HL$30,'Lease Cycles'!$HS$30+'Lease Cycles'!$HZ$30,0)</f>
        <v>0</v>
      </c>
      <c r="EH398" s="28">
        <f>IF(EH$6='Lease Cycles'!$HL$30,'Lease Cycles'!$HS$30+'Lease Cycles'!$HZ$30,0)</f>
        <v>0</v>
      </c>
      <c r="EI398" s="28">
        <f>IF(EI$6='Lease Cycles'!$HL$30,'Lease Cycles'!$HS$30+'Lease Cycles'!$HZ$30,0)</f>
        <v>0</v>
      </c>
      <c r="EJ398" s="28">
        <f>IF(EJ$6='Lease Cycles'!$HL$30,'Lease Cycles'!$HS$30+'Lease Cycles'!$HZ$30,0)</f>
        <v>0</v>
      </c>
      <c r="EK398" s="28">
        <f>IF(EK$6='Lease Cycles'!$HL$30,'Lease Cycles'!$HS$30+'Lease Cycles'!$HZ$30,0)</f>
        <v>0</v>
      </c>
      <c r="EL398" s="28">
        <f>IF(EL$6='Lease Cycles'!$HL$30,'Lease Cycles'!$HS$30+'Lease Cycles'!$HZ$30,0)</f>
        <v>0</v>
      </c>
      <c r="EM398" s="28">
        <f>IF(EM$6='Lease Cycles'!$HL$30,'Lease Cycles'!$HS$30+'Lease Cycles'!$HZ$30,0)</f>
        <v>0</v>
      </c>
      <c r="EN398" s="28">
        <f>IF(EN$6='Lease Cycles'!$HL$30,'Lease Cycles'!$HS$30+'Lease Cycles'!$HZ$30,0)</f>
        <v>0</v>
      </c>
      <c r="EO398" s="28">
        <f>IF(EO$6='Lease Cycles'!$HL$30,'Lease Cycles'!$HS$30+'Lease Cycles'!$HZ$30,0)</f>
        <v>0</v>
      </c>
      <c r="EP398" s="28">
        <f>IF(EP$6='Lease Cycles'!$HL$30,'Lease Cycles'!$HS$30+'Lease Cycles'!$HZ$30,0)</f>
        <v>0</v>
      </c>
      <c r="EQ398" s="28">
        <f>IF(EQ$6='Lease Cycles'!$HL$30,'Lease Cycles'!$HS$30+'Lease Cycles'!$HZ$30,0)</f>
        <v>0</v>
      </c>
      <c r="ER398" s="28">
        <f>IF(ER$6='Lease Cycles'!$HL$30,'Lease Cycles'!$HS$30+'Lease Cycles'!$HZ$30,0)</f>
        <v>0</v>
      </c>
      <c r="ES398" s="28">
        <f>IF(ES$6='Lease Cycles'!$HL$30,'Lease Cycles'!$HS$30+'Lease Cycles'!$HZ$30,0)</f>
        <v>0</v>
      </c>
      <c r="ET398" s="28">
        <f>IF(ET$6='Lease Cycles'!$HL$30,'Lease Cycles'!$HS$30+'Lease Cycles'!$HZ$30,0)</f>
        <v>0</v>
      </c>
    </row>
    <row r="399">
      <c r="A399" s="103">
        <v>23</v>
      </c>
      <c r="B399" s="23" t="str">
        <f>IF('Lease Cycles'!$B$30="","(empty slot)",'Lease Cycles'!$B$30)</f>
        <v>(empty slot)</v>
      </c>
      <c r="C399" s="23" t="s">
        <v>499</v>
      </c>
      <c r="D399" s="104" t="s">
        <v>500</v>
      </c>
      <c r="E399" s="25">
        <f>'Lease Cycles'!$AL$30</f>
        <v>0</v>
      </c>
      <c r="G399" s="28">
        <f>MAX(0,'Lease Cycles'!$AN$30*'Lease Cycles'!$C$30*'Lease Cycles'!$AM$30*(1+a_SalesGrowth)^(G$6-1)-G389)</f>
        <v>0</v>
      </c>
      <c r="H399" s="28">
        <f>MAX(0,'Lease Cycles'!$AN$30*'Lease Cycles'!$C$30*'Lease Cycles'!$AM$30*(1+a_SalesGrowth)^(H$6-1)-H389)</f>
        <v>0</v>
      </c>
      <c r="I399" s="28">
        <f>MAX(0,'Lease Cycles'!$AN$30*'Lease Cycles'!$C$30*'Lease Cycles'!$AM$30*(1+a_SalesGrowth)^(I$6-1)-I389)</f>
        <v>0</v>
      </c>
      <c r="J399" s="28">
        <f>MAX(0,'Lease Cycles'!$AN$30*'Lease Cycles'!$C$30*'Lease Cycles'!$AM$30*(1+a_SalesGrowth)^(J$6-1)-J389)</f>
        <v>0</v>
      </c>
      <c r="K399" s="28">
        <f>MAX(0,'Lease Cycles'!$AN$30*'Lease Cycles'!$C$30*'Lease Cycles'!$AM$30*(1+a_SalesGrowth)^(K$6-1)-K389)</f>
        <v>0</v>
      </c>
      <c r="L399" s="28">
        <f>MAX(0,'Lease Cycles'!$AN$30*'Lease Cycles'!$C$30*'Lease Cycles'!$AM$30*(1+a_SalesGrowth)^(L$6-1)-L389)</f>
        <v>0</v>
      </c>
      <c r="M399" s="28">
        <f>MAX(0,'Lease Cycles'!$AN$30*'Lease Cycles'!$C$30*'Lease Cycles'!$AM$30*(1+a_SalesGrowth)^(M$6-1)-M389)</f>
        <v>0</v>
      </c>
      <c r="N399" s="28">
        <f>MAX(0,'Lease Cycles'!$AN$30*'Lease Cycles'!$C$30*'Lease Cycles'!$AM$30*(1+a_SalesGrowth)^(N$6-1)-N389)</f>
        <v>0</v>
      </c>
      <c r="O399" s="28">
        <f>MAX(0,'Lease Cycles'!$AN$30*'Lease Cycles'!$C$30*'Lease Cycles'!$AM$30*(1+a_SalesGrowth)^(O$6-1)-O389)</f>
        <v>0</v>
      </c>
      <c r="P399" s="28">
        <f>MAX(0,'Lease Cycles'!$AN$30*'Lease Cycles'!$C$30*'Lease Cycles'!$AM$30*(1+a_SalesGrowth)^(P$6-1)-P389)</f>
        <v>0</v>
      </c>
      <c r="Q399" s="28">
        <f>MAX(0,'Lease Cycles'!$AN$30*'Lease Cycles'!$C$30*'Lease Cycles'!$AM$30*(1+a_SalesGrowth)^(Q$6-1)-Q389)</f>
        <v>0</v>
      </c>
    </row>
    <row r="401">
      <c r="A401" s="103">
        <v>24</v>
      </c>
      <c r="B401" s="23" t="str">
        <f>IF('Lease Cycles'!$B$31="","(empty slot)",'Lease Cycles'!$B$31)</f>
        <v>(empty slot)</v>
      </c>
      <c r="C401" s="23" t="s">
        <v>671</v>
      </c>
      <c r="D401" s="104" t="s">
        <v>672</v>
      </c>
      <c r="E401" s="25">
        <f>'Lease Cycles'!$AL$31</f>
        <v>0</v>
      </c>
      <c r="S401" s="25">
        <f>IF('Lease Cycles'!$C$31&gt;0,COUNTIF('Lease Cycles'!$BG$31:$BM$31,"&lt;="&amp;S$6),0)</f>
        <v>0</v>
      </c>
      <c r="T401" s="25">
        <f>IF('Lease Cycles'!$C$31&gt;0,COUNTIF('Lease Cycles'!$BG$31:$BM$31,"&lt;="&amp;T$6),0)</f>
        <v>0</v>
      </c>
      <c r="U401" s="25">
        <f>IF('Lease Cycles'!$C$31&gt;0,COUNTIF('Lease Cycles'!$BG$31:$BM$31,"&lt;="&amp;U$6),0)</f>
        <v>0</v>
      </c>
      <c r="V401" s="25">
        <f>IF('Lease Cycles'!$C$31&gt;0,COUNTIF('Lease Cycles'!$BG$31:$BM$31,"&lt;="&amp;V$6),0)</f>
        <v>0</v>
      </c>
      <c r="W401" s="25">
        <f>IF('Lease Cycles'!$C$31&gt;0,COUNTIF('Lease Cycles'!$BG$31:$BM$31,"&lt;="&amp;W$6),0)</f>
        <v>0</v>
      </c>
      <c r="X401" s="25">
        <f>IF('Lease Cycles'!$C$31&gt;0,COUNTIF('Lease Cycles'!$BG$31:$BM$31,"&lt;="&amp;X$6),0)</f>
        <v>0</v>
      </c>
      <c r="Y401" s="25">
        <f>IF('Lease Cycles'!$C$31&gt;0,COUNTIF('Lease Cycles'!$BG$31:$BM$31,"&lt;="&amp;Y$6),0)</f>
        <v>0</v>
      </c>
      <c r="Z401" s="25">
        <f>IF('Lease Cycles'!$C$31&gt;0,COUNTIF('Lease Cycles'!$BG$31:$BM$31,"&lt;="&amp;Z$6),0)</f>
        <v>0</v>
      </c>
      <c r="AA401" s="25">
        <f>IF('Lease Cycles'!$C$31&gt;0,COUNTIF('Lease Cycles'!$BG$31:$BM$31,"&lt;="&amp;AA$6),0)</f>
        <v>0</v>
      </c>
      <c r="AB401" s="25">
        <f>IF('Lease Cycles'!$C$31&gt;0,COUNTIF('Lease Cycles'!$BG$31:$BM$31,"&lt;="&amp;AB$6),0)</f>
        <v>0</v>
      </c>
      <c r="AC401" s="25">
        <f>IF('Lease Cycles'!$C$31&gt;0,COUNTIF('Lease Cycles'!$BG$31:$BM$31,"&lt;="&amp;AC$6),0)</f>
        <v>0</v>
      </c>
      <c r="AD401" s="25">
        <f>IF('Lease Cycles'!$C$31&gt;0,COUNTIF('Lease Cycles'!$BG$31:$BM$31,"&lt;="&amp;AD$6),0)</f>
        <v>0</v>
      </c>
      <c r="AE401" s="25">
        <f>IF('Lease Cycles'!$C$31&gt;0,COUNTIF('Lease Cycles'!$BG$31:$BM$31,"&lt;="&amp;AE$6),0)</f>
        <v>0</v>
      </c>
      <c r="AF401" s="25">
        <f>IF('Lease Cycles'!$C$31&gt;0,COUNTIF('Lease Cycles'!$BG$31:$BM$31,"&lt;="&amp;AF$6),0)</f>
        <v>0</v>
      </c>
      <c r="AG401" s="25">
        <f>IF('Lease Cycles'!$C$31&gt;0,COUNTIF('Lease Cycles'!$BG$31:$BM$31,"&lt;="&amp;AG$6),0)</f>
        <v>0</v>
      </c>
      <c r="AH401" s="25">
        <f>IF('Lease Cycles'!$C$31&gt;0,COUNTIF('Lease Cycles'!$BG$31:$BM$31,"&lt;="&amp;AH$6),0)</f>
        <v>0</v>
      </c>
      <c r="AI401" s="25">
        <f>IF('Lease Cycles'!$C$31&gt;0,COUNTIF('Lease Cycles'!$BG$31:$BM$31,"&lt;="&amp;AI$6),0)</f>
        <v>0</v>
      </c>
      <c r="AJ401" s="25">
        <f>IF('Lease Cycles'!$C$31&gt;0,COUNTIF('Lease Cycles'!$BG$31:$BM$31,"&lt;="&amp;AJ$6),0)</f>
        <v>0</v>
      </c>
      <c r="AK401" s="25">
        <f>IF('Lease Cycles'!$C$31&gt;0,COUNTIF('Lease Cycles'!$BG$31:$BM$31,"&lt;="&amp;AK$6),0)</f>
        <v>0</v>
      </c>
      <c r="AL401" s="25">
        <f>IF('Lease Cycles'!$C$31&gt;0,COUNTIF('Lease Cycles'!$BG$31:$BM$31,"&lt;="&amp;AL$6),0)</f>
        <v>0</v>
      </c>
      <c r="AM401" s="25">
        <f>IF('Lease Cycles'!$C$31&gt;0,COUNTIF('Lease Cycles'!$BG$31:$BM$31,"&lt;="&amp;AM$6),0)</f>
        <v>0</v>
      </c>
      <c r="AN401" s="25">
        <f>IF('Lease Cycles'!$C$31&gt;0,COUNTIF('Lease Cycles'!$BG$31:$BM$31,"&lt;="&amp;AN$6),0)</f>
        <v>0</v>
      </c>
      <c r="AO401" s="25">
        <f>IF('Lease Cycles'!$C$31&gt;0,COUNTIF('Lease Cycles'!$BG$31:$BM$31,"&lt;="&amp;AO$6),0)</f>
        <v>0</v>
      </c>
      <c r="AP401" s="25">
        <f>IF('Lease Cycles'!$C$31&gt;0,COUNTIF('Lease Cycles'!$BG$31:$BM$31,"&lt;="&amp;AP$6),0)</f>
        <v>0</v>
      </c>
      <c r="AQ401" s="25">
        <f>IF('Lease Cycles'!$C$31&gt;0,COUNTIF('Lease Cycles'!$BG$31:$BM$31,"&lt;="&amp;AQ$6),0)</f>
        <v>0</v>
      </c>
      <c r="AR401" s="25">
        <f>IF('Lease Cycles'!$C$31&gt;0,COUNTIF('Lease Cycles'!$BG$31:$BM$31,"&lt;="&amp;AR$6),0)</f>
        <v>0</v>
      </c>
      <c r="AS401" s="25">
        <f>IF('Lease Cycles'!$C$31&gt;0,COUNTIF('Lease Cycles'!$BG$31:$BM$31,"&lt;="&amp;AS$6),0)</f>
        <v>0</v>
      </c>
      <c r="AT401" s="25">
        <f>IF('Lease Cycles'!$C$31&gt;0,COUNTIF('Lease Cycles'!$BG$31:$BM$31,"&lt;="&amp;AT$6),0)</f>
        <v>0</v>
      </c>
      <c r="AU401" s="25">
        <f>IF('Lease Cycles'!$C$31&gt;0,COUNTIF('Lease Cycles'!$BG$31:$BM$31,"&lt;="&amp;AU$6),0)</f>
        <v>0</v>
      </c>
      <c r="AV401" s="25">
        <f>IF('Lease Cycles'!$C$31&gt;0,COUNTIF('Lease Cycles'!$BG$31:$BM$31,"&lt;="&amp;AV$6),0)</f>
        <v>0</v>
      </c>
      <c r="AW401" s="25">
        <f>IF('Lease Cycles'!$C$31&gt;0,COUNTIF('Lease Cycles'!$BG$31:$BM$31,"&lt;="&amp;AW$6),0)</f>
        <v>0</v>
      </c>
      <c r="AX401" s="25">
        <f>IF('Lease Cycles'!$C$31&gt;0,COUNTIF('Lease Cycles'!$BG$31:$BM$31,"&lt;="&amp;AX$6),0)</f>
        <v>0</v>
      </c>
      <c r="AY401" s="25">
        <f>IF('Lease Cycles'!$C$31&gt;0,COUNTIF('Lease Cycles'!$BG$31:$BM$31,"&lt;="&amp;AY$6),0)</f>
        <v>0</v>
      </c>
      <c r="AZ401" s="25">
        <f>IF('Lease Cycles'!$C$31&gt;0,COUNTIF('Lease Cycles'!$BG$31:$BM$31,"&lt;="&amp;AZ$6),0)</f>
        <v>0</v>
      </c>
      <c r="BA401" s="25">
        <f>IF('Lease Cycles'!$C$31&gt;0,COUNTIF('Lease Cycles'!$BG$31:$BM$31,"&lt;="&amp;BA$6),0)</f>
        <v>0</v>
      </c>
      <c r="BB401" s="25">
        <f>IF('Lease Cycles'!$C$31&gt;0,COUNTIF('Lease Cycles'!$BG$31:$BM$31,"&lt;="&amp;BB$6),0)</f>
        <v>0</v>
      </c>
      <c r="BC401" s="25">
        <f>IF('Lease Cycles'!$C$31&gt;0,COUNTIF('Lease Cycles'!$BG$31:$BM$31,"&lt;="&amp;BC$6),0)</f>
        <v>0</v>
      </c>
      <c r="BD401" s="25">
        <f>IF('Lease Cycles'!$C$31&gt;0,COUNTIF('Lease Cycles'!$BG$31:$BM$31,"&lt;="&amp;BD$6),0)</f>
        <v>0</v>
      </c>
      <c r="BE401" s="25">
        <f>IF('Lease Cycles'!$C$31&gt;0,COUNTIF('Lease Cycles'!$BG$31:$BM$31,"&lt;="&amp;BE$6),0)</f>
        <v>0</v>
      </c>
      <c r="BF401" s="25">
        <f>IF('Lease Cycles'!$C$31&gt;0,COUNTIF('Lease Cycles'!$BG$31:$BM$31,"&lt;="&amp;BF$6),0)</f>
        <v>0</v>
      </c>
      <c r="BG401" s="25">
        <f>IF('Lease Cycles'!$C$31&gt;0,COUNTIF('Lease Cycles'!$BG$31:$BM$31,"&lt;="&amp;BG$6),0)</f>
        <v>0</v>
      </c>
      <c r="BH401" s="25">
        <f>IF('Lease Cycles'!$C$31&gt;0,COUNTIF('Lease Cycles'!$BG$31:$BM$31,"&lt;="&amp;BH$6),0)</f>
        <v>0</v>
      </c>
      <c r="BI401" s="25">
        <f>IF('Lease Cycles'!$C$31&gt;0,COUNTIF('Lease Cycles'!$BG$31:$BM$31,"&lt;="&amp;BI$6),0)</f>
        <v>0</v>
      </c>
      <c r="BJ401" s="25">
        <f>IF('Lease Cycles'!$C$31&gt;0,COUNTIF('Lease Cycles'!$BG$31:$BM$31,"&lt;="&amp;BJ$6),0)</f>
        <v>0</v>
      </c>
      <c r="BK401" s="25">
        <f>IF('Lease Cycles'!$C$31&gt;0,COUNTIF('Lease Cycles'!$BG$31:$BM$31,"&lt;="&amp;BK$6),0)</f>
        <v>0</v>
      </c>
      <c r="BL401" s="25">
        <f>IF('Lease Cycles'!$C$31&gt;0,COUNTIF('Lease Cycles'!$BG$31:$BM$31,"&lt;="&amp;BL$6),0)</f>
        <v>0</v>
      </c>
      <c r="BM401" s="25">
        <f>IF('Lease Cycles'!$C$31&gt;0,COUNTIF('Lease Cycles'!$BG$31:$BM$31,"&lt;="&amp;BM$6),0)</f>
        <v>0</v>
      </c>
      <c r="BN401" s="25">
        <f>IF('Lease Cycles'!$C$31&gt;0,COUNTIF('Lease Cycles'!$BG$31:$BM$31,"&lt;="&amp;BN$6),0)</f>
        <v>0</v>
      </c>
      <c r="BO401" s="25">
        <f>IF('Lease Cycles'!$C$31&gt;0,COUNTIF('Lease Cycles'!$BG$31:$BM$31,"&lt;="&amp;BO$6),0)</f>
        <v>0</v>
      </c>
      <c r="BP401" s="25">
        <f>IF('Lease Cycles'!$C$31&gt;0,COUNTIF('Lease Cycles'!$BG$31:$BM$31,"&lt;="&amp;BP$6),0)</f>
        <v>0</v>
      </c>
      <c r="BQ401" s="25">
        <f>IF('Lease Cycles'!$C$31&gt;0,COUNTIF('Lease Cycles'!$BG$31:$BM$31,"&lt;="&amp;BQ$6),0)</f>
        <v>0</v>
      </c>
      <c r="BR401" s="25">
        <f>IF('Lease Cycles'!$C$31&gt;0,COUNTIF('Lease Cycles'!$BG$31:$BM$31,"&lt;="&amp;BR$6),0)</f>
        <v>0</v>
      </c>
      <c r="BS401" s="25">
        <f>IF('Lease Cycles'!$C$31&gt;0,COUNTIF('Lease Cycles'!$BG$31:$BM$31,"&lt;="&amp;BS$6),0)</f>
        <v>0</v>
      </c>
      <c r="BT401" s="25">
        <f>IF('Lease Cycles'!$C$31&gt;0,COUNTIF('Lease Cycles'!$BG$31:$BM$31,"&lt;="&amp;BT$6),0)</f>
        <v>0</v>
      </c>
      <c r="BU401" s="25">
        <f>IF('Lease Cycles'!$C$31&gt;0,COUNTIF('Lease Cycles'!$BG$31:$BM$31,"&lt;="&amp;BU$6),0)</f>
        <v>0</v>
      </c>
      <c r="BV401" s="25">
        <f>IF('Lease Cycles'!$C$31&gt;0,COUNTIF('Lease Cycles'!$BG$31:$BM$31,"&lt;="&amp;BV$6),0)</f>
        <v>0</v>
      </c>
      <c r="BW401" s="25">
        <f>IF('Lease Cycles'!$C$31&gt;0,COUNTIF('Lease Cycles'!$BG$31:$BM$31,"&lt;="&amp;BW$6),0)</f>
        <v>0</v>
      </c>
      <c r="BX401" s="25">
        <f>IF('Lease Cycles'!$C$31&gt;0,COUNTIF('Lease Cycles'!$BG$31:$BM$31,"&lt;="&amp;BX$6),0)</f>
        <v>0</v>
      </c>
      <c r="BY401" s="25">
        <f>IF('Lease Cycles'!$C$31&gt;0,COUNTIF('Lease Cycles'!$BG$31:$BM$31,"&lt;="&amp;BY$6),0)</f>
        <v>0</v>
      </c>
      <c r="BZ401" s="25">
        <f>IF('Lease Cycles'!$C$31&gt;0,COUNTIF('Lease Cycles'!$BG$31:$BM$31,"&lt;="&amp;BZ$6),0)</f>
        <v>0</v>
      </c>
      <c r="CA401" s="25">
        <f>IF('Lease Cycles'!$C$31&gt;0,COUNTIF('Lease Cycles'!$BG$31:$BM$31,"&lt;="&amp;CA$6),0)</f>
        <v>0</v>
      </c>
      <c r="CB401" s="25">
        <f>IF('Lease Cycles'!$C$31&gt;0,COUNTIF('Lease Cycles'!$BG$31:$BM$31,"&lt;="&amp;CB$6),0)</f>
        <v>0</v>
      </c>
      <c r="CC401" s="25">
        <f>IF('Lease Cycles'!$C$31&gt;0,COUNTIF('Lease Cycles'!$BG$31:$BM$31,"&lt;="&amp;CC$6),0)</f>
        <v>0</v>
      </c>
      <c r="CD401" s="25">
        <f>IF('Lease Cycles'!$C$31&gt;0,COUNTIF('Lease Cycles'!$BG$31:$BM$31,"&lt;="&amp;CD$6),0)</f>
        <v>0</v>
      </c>
      <c r="CE401" s="25">
        <f>IF('Lease Cycles'!$C$31&gt;0,COUNTIF('Lease Cycles'!$BG$31:$BM$31,"&lt;="&amp;CE$6),0)</f>
        <v>0</v>
      </c>
      <c r="CF401" s="25">
        <f>IF('Lease Cycles'!$C$31&gt;0,COUNTIF('Lease Cycles'!$BG$31:$BM$31,"&lt;="&amp;CF$6),0)</f>
        <v>0</v>
      </c>
      <c r="CG401" s="25">
        <f>IF('Lease Cycles'!$C$31&gt;0,COUNTIF('Lease Cycles'!$BG$31:$BM$31,"&lt;="&amp;CG$6),0)</f>
        <v>0</v>
      </c>
      <c r="CH401" s="25">
        <f>IF('Lease Cycles'!$C$31&gt;0,COUNTIF('Lease Cycles'!$BG$31:$BM$31,"&lt;="&amp;CH$6),0)</f>
        <v>0</v>
      </c>
      <c r="CI401" s="25">
        <f>IF('Lease Cycles'!$C$31&gt;0,COUNTIF('Lease Cycles'!$BG$31:$BM$31,"&lt;="&amp;CI$6),0)</f>
        <v>0</v>
      </c>
      <c r="CJ401" s="25">
        <f>IF('Lease Cycles'!$C$31&gt;0,COUNTIF('Lease Cycles'!$BG$31:$BM$31,"&lt;="&amp;CJ$6),0)</f>
        <v>0</v>
      </c>
      <c r="CK401" s="25">
        <f>IF('Lease Cycles'!$C$31&gt;0,COUNTIF('Lease Cycles'!$BG$31:$BM$31,"&lt;="&amp;CK$6),0)</f>
        <v>0</v>
      </c>
      <c r="CL401" s="25">
        <f>IF('Lease Cycles'!$C$31&gt;0,COUNTIF('Lease Cycles'!$BG$31:$BM$31,"&lt;="&amp;CL$6),0)</f>
        <v>0</v>
      </c>
      <c r="CM401" s="25">
        <f>IF('Lease Cycles'!$C$31&gt;0,COUNTIF('Lease Cycles'!$BG$31:$BM$31,"&lt;="&amp;CM$6),0)</f>
        <v>0</v>
      </c>
      <c r="CN401" s="25">
        <f>IF('Lease Cycles'!$C$31&gt;0,COUNTIF('Lease Cycles'!$BG$31:$BM$31,"&lt;="&amp;CN$6),0)</f>
        <v>0</v>
      </c>
      <c r="CO401" s="25">
        <f>IF('Lease Cycles'!$C$31&gt;0,COUNTIF('Lease Cycles'!$BG$31:$BM$31,"&lt;="&amp;CO$6),0)</f>
        <v>0</v>
      </c>
      <c r="CP401" s="25">
        <f>IF('Lease Cycles'!$C$31&gt;0,COUNTIF('Lease Cycles'!$BG$31:$BM$31,"&lt;="&amp;CP$6),0)</f>
        <v>0</v>
      </c>
      <c r="CQ401" s="25">
        <f>IF('Lease Cycles'!$C$31&gt;0,COUNTIF('Lease Cycles'!$BG$31:$BM$31,"&lt;="&amp;CQ$6),0)</f>
        <v>0</v>
      </c>
      <c r="CR401" s="25">
        <f>IF('Lease Cycles'!$C$31&gt;0,COUNTIF('Lease Cycles'!$BG$31:$BM$31,"&lt;="&amp;CR$6),0)</f>
        <v>0</v>
      </c>
      <c r="CS401" s="25">
        <f>IF('Lease Cycles'!$C$31&gt;0,COUNTIF('Lease Cycles'!$BG$31:$BM$31,"&lt;="&amp;CS$6),0)</f>
        <v>0</v>
      </c>
      <c r="CT401" s="25">
        <f>IF('Lease Cycles'!$C$31&gt;0,COUNTIF('Lease Cycles'!$BG$31:$BM$31,"&lt;="&amp;CT$6),0)</f>
        <v>0</v>
      </c>
      <c r="CU401" s="25">
        <f>IF('Lease Cycles'!$C$31&gt;0,COUNTIF('Lease Cycles'!$BG$31:$BM$31,"&lt;="&amp;CU$6),0)</f>
        <v>0</v>
      </c>
      <c r="CV401" s="25">
        <f>IF('Lease Cycles'!$C$31&gt;0,COUNTIF('Lease Cycles'!$BG$31:$BM$31,"&lt;="&amp;CV$6),0)</f>
        <v>0</v>
      </c>
      <c r="CW401" s="25">
        <f>IF('Lease Cycles'!$C$31&gt;0,COUNTIF('Lease Cycles'!$BG$31:$BM$31,"&lt;="&amp;CW$6),0)</f>
        <v>0</v>
      </c>
      <c r="CX401" s="25">
        <f>IF('Lease Cycles'!$C$31&gt;0,COUNTIF('Lease Cycles'!$BG$31:$BM$31,"&lt;="&amp;CX$6),0)</f>
        <v>0</v>
      </c>
      <c r="CY401" s="25">
        <f>IF('Lease Cycles'!$C$31&gt;0,COUNTIF('Lease Cycles'!$BG$31:$BM$31,"&lt;="&amp;CY$6),0)</f>
        <v>0</v>
      </c>
      <c r="CZ401" s="25">
        <f>IF('Lease Cycles'!$C$31&gt;0,COUNTIF('Lease Cycles'!$BG$31:$BM$31,"&lt;="&amp;CZ$6),0)</f>
        <v>0</v>
      </c>
      <c r="DA401" s="25">
        <f>IF('Lease Cycles'!$C$31&gt;0,COUNTIF('Lease Cycles'!$BG$31:$BM$31,"&lt;="&amp;DA$6),0)</f>
        <v>0</v>
      </c>
      <c r="DB401" s="25">
        <f>IF('Lease Cycles'!$C$31&gt;0,COUNTIF('Lease Cycles'!$BG$31:$BM$31,"&lt;="&amp;DB$6),0)</f>
        <v>0</v>
      </c>
      <c r="DC401" s="25">
        <f>IF('Lease Cycles'!$C$31&gt;0,COUNTIF('Lease Cycles'!$BG$31:$BM$31,"&lt;="&amp;DC$6),0)</f>
        <v>0</v>
      </c>
      <c r="DD401" s="25">
        <f>IF('Lease Cycles'!$C$31&gt;0,COUNTIF('Lease Cycles'!$BG$31:$BM$31,"&lt;="&amp;DD$6),0)</f>
        <v>0</v>
      </c>
      <c r="DE401" s="25">
        <f>IF('Lease Cycles'!$C$31&gt;0,COUNTIF('Lease Cycles'!$BG$31:$BM$31,"&lt;="&amp;DE$6),0)</f>
        <v>0</v>
      </c>
      <c r="DF401" s="25">
        <f>IF('Lease Cycles'!$C$31&gt;0,COUNTIF('Lease Cycles'!$BG$31:$BM$31,"&lt;="&amp;DF$6),0)</f>
        <v>0</v>
      </c>
      <c r="DG401" s="25">
        <f>IF('Lease Cycles'!$C$31&gt;0,COUNTIF('Lease Cycles'!$BG$31:$BM$31,"&lt;="&amp;DG$6),0)</f>
        <v>0</v>
      </c>
      <c r="DH401" s="25">
        <f>IF('Lease Cycles'!$C$31&gt;0,COUNTIF('Lease Cycles'!$BG$31:$BM$31,"&lt;="&amp;DH$6),0)</f>
        <v>0</v>
      </c>
      <c r="DI401" s="25">
        <f>IF('Lease Cycles'!$C$31&gt;0,COUNTIF('Lease Cycles'!$BG$31:$BM$31,"&lt;="&amp;DI$6),0)</f>
        <v>0</v>
      </c>
      <c r="DJ401" s="25">
        <f>IF('Lease Cycles'!$C$31&gt;0,COUNTIF('Lease Cycles'!$BG$31:$BM$31,"&lt;="&amp;DJ$6),0)</f>
        <v>0</v>
      </c>
      <c r="DK401" s="25">
        <f>IF('Lease Cycles'!$C$31&gt;0,COUNTIF('Lease Cycles'!$BG$31:$BM$31,"&lt;="&amp;DK$6),0)</f>
        <v>0</v>
      </c>
      <c r="DL401" s="25">
        <f>IF('Lease Cycles'!$C$31&gt;0,COUNTIF('Lease Cycles'!$BG$31:$BM$31,"&lt;="&amp;DL$6),0)</f>
        <v>0</v>
      </c>
      <c r="DM401" s="25">
        <f>IF('Lease Cycles'!$C$31&gt;0,COUNTIF('Lease Cycles'!$BG$31:$BM$31,"&lt;="&amp;DM$6),0)</f>
        <v>0</v>
      </c>
      <c r="DN401" s="25">
        <f>IF('Lease Cycles'!$C$31&gt;0,COUNTIF('Lease Cycles'!$BG$31:$BM$31,"&lt;="&amp;DN$6),0)</f>
        <v>0</v>
      </c>
      <c r="DO401" s="25">
        <f>IF('Lease Cycles'!$C$31&gt;0,COUNTIF('Lease Cycles'!$BG$31:$BM$31,"&lt;="&amp;DO$6),0)</f>
        <v>0</v>
      </c>
      <c r="DP401" s="25">
        <f>IF('Lease Cycles'!$C$31&gt;0,COUNTIF('Lease Cycles'!$BG$31:$BM$31,"&lt;="&amp;DP$6),0)</f>
        <v>0</v>
      </c>
      <c r="DQ401" s="25">
        <f>IF('Lease Cycles'!$C$31&gt;0,COUNTIF('Lease Cycles'!$BG$31:$BM$31,"&lt;="&amp;DQ$6),0)</f>
        <v>0</v>
      </c>
      <c r="DR401" s="25">
        <f>IF('Lease Cycles'!$C$31&gt;0,COUNTIF('Lease Cycles'!$BG$31:$BM$31,"&lt;="&amp;DR$6),0)</f>
        <v>0</v>
      </c>
      <c r="DS401" s="25">
        <f>IF('Lease Cycles'!$C$31&gt;0,COUNTIF('Lease Cycles'!$BG$31:$BM$31,"&lt;="&amp;DS$6),0)</f>
        <v>0</v>
      </c>
      <c r="DT401" s="25">
        <f>IF('Lease Cycles'!$C$31&gt;0,COUNTIF('Lease Cycles'!$BG$31:$BM$31,"&lt;="&amp;DT$6),0)</f>
        <v>0</v>
      </c>
      <c r="DU401" s="25">
        <f>IF('Lease Cycles'!$C$31&gt;0,COUNTIF('Lease Cycles'!$BG$31:$BM$31,"&lt;="&amp;DU$6),0)</f>
        <v>0</v>
      </c>
      <c r="DV401" s="25">
        <f>IF('Lease Cycles'!$C$31&gt;0,COUNTIF('Lease Cycles'!$BG$31:$BM$31,"&lt;="&amp;DV$6),0)</f>
        <v>0</v>
      </c>
      <c r="DW401" s="25">
        <f>IF('Lease Cycles'!$C$31&gt;0,COUNTIF('Lease Cycles'!$BG$31:$BM$31,"&lt;="&amp;DW$6),0)</f>
        <v>0</v>
      </c>
      <c r="DX401" s="25">
        <f>IF('Lease Cycles'!$C$31&gt;0,COUNTIF('Lease Cycles'!$BG$31:$BM$31,"&lt;="&amp;DX$6),0)</f>
        <v>0</v>
      </c>
      <c r="DY401" s="25">
        <f>IF('Lease Cycles'!$C$31&gt;0,COUNTIF('Lease Cycles'!$BG$31:$BM$31,"&lt;="&amp;DY$6),0)</f>
        <v>0</v>
      </c>
      <c r="DZ401" s="25">
        <f>IF('Lease Cycles'!$C$31&gt;0,COUNTIF('Lease Cycles'!$BG$31:$BM$31,"&lt;="&amp;DZ$6),0)</f>
        <v>0</v>
      </c>
      <c r="EA401" s="25">
        <f>IF('Lease Cycles'!$C$31&gt;0,COUNTIF('Lease Cycles'!$BG$31:$BM$31,"&lt;="&amp;EA$6),0)</f>
        <v>0</v>
      </c>
      <c r="EB401" s="25">
        <f>IF('Lease Cycles'!$C$31&gt;0,COUNTIF('Lease Cycles'!$BG$31:$BM$31,"&lt;="&amp;EB$6),0)</f>
        <v>0</v>
      </c>
      <c r="EC401" s="25">
        <f>IF('Lease Cycles'!$C$31&gt;0,COUNTIF('Lease Cycles'!$BG$31:$BM$31,"&lt;="&amp;EC$6),0)</f>
        <v>0</v>
      </c>
      <c r="ED401" s="25">
        <f>IF('Lease Cycles'!$C$31&gt;0,COUNTIF('Lease Cycles'!$BG$31:$BM$31,"&lt;="&amp;ED$6),0)</f>
        <v>0</v>
      </c>
      <c r="EE401" s="25">
        <f>IF('Lease Cycles'!$C$31&gt;0,COUNTIF('Lease Cycles'!$BG$31:$BM$31,"&lt;="&amp;EE$6),0)</f>
        <v>0</v>
      </c>
      <c r="EF401" s="25">
        <f>IF('Lease Cycles'!$C$31&gt;0,COUNTIF('Lease Cycles'!$BG$31:$BM$31,"&lt;="&amp;EF$6),0)</f>
        <v>0</v>
      </c>
      <c r="EG401" s="25">
        <f>IF('Lease Cycles'!$C$31&gt;0,COUNTIF('Lease Cycles'!$BG$31:$BM$31,"&lt;="&amp;EG$6),0)</f>
        <v>0</v>
      </c>
      <c r="EH401" s="25">
        <f>IF('Lease Cycles'!$C$31&gt;0,COUNTIF('Lease Cycles'!$BG$31:$BM$31,"&lt;="&amp;EH$6),0)</f>
        <v>0</v>
      </c>
      <c r="EI401" s="25">
        <f>IF('Lease Cycles'!$C$31&gt;0,COUNTIF('Lease Cycles'!$BG$31:$BM$31,"&lt;="&amp;EI$6),0)</f>
        <v>0</v>
      </c>
      <c r="EJ401" s="25">
        <f>IF('Lease Cycles'!$C$31&gt;0,COUNTIF('Lease Cycles'!$BG$31:$BM$31,"&lt;="&amp;EJ$6),0)</f>
        <v>0</v>
      </c>
      <c r="EK401" s="25">
        <f>IF('Lease Cycles'!$C$31&gt;0,COUNTIF('Lease Cycles'!$BG$31:$BM$31,"&lt;="&amp;EK$6),0)</f>
        <v>0</v>
      </c>
      <c r="EL401" s="25">
        <f>IF('Lease Cycles'!$C$31&gt;0,COUNTIF('Lease Cycles'!$BG$31:$BM$31,"&lt;="&amp;EL$6),0)</f>
        <v>0</v>
      </c>
      <c r="EM401" s="25">
        <f>IF('Lease Cycles'!$C$31&gt;0,COUNTIF('Lease Cycles'!$BG$31:$BM$31,"&lt;="&amp;EM$6),0)</f>
        <v>0</v>
      </c>
      <c r="EN401" s="25">
        <f>IF('Lease Cycles'!$C$31&gt;0,COUNTIF('Lease Cycles'!$BG$31:$BM$31,"&lt;="&amp;EN$6),0)</f>
        <v>0</v>
      </c>
      <c r="EO401" s="25">
        <f>IF('Lease Cycles'!$C$31&gt;0,COUNTIF('Lease Cycles'!$BG$31:$BM$31,"&lt;="&amp;EO$6),0)</f>
        <v>0</v>
      </c>
      <c r="EP401" s="25">
        <f>IF('Lease Cycles'!$C$31&gt;0,COUNTIF('Lease Cycles'!$BG$31:$BM$31,"&lt;="&amp;EP$6),0)</f>
        <v>0</v>
      </c>
      <c r="EQ401" s="25">
        <f>IF('Lease Cycles'!$C$31&gt;0,COUNTIF('Lease Cycles'!$BG$31:$BM$31,"&lt;="&amp;EQ$6),0)</f>
        <v>0</v>
      </c>
      <c r="ER401" s="25">
        <f>IF('Lease Cycles'!$C$31&gt;0,COUNTIF('Lease Cycles'!$BG$31:$BM$31,"&lt;="&amp;ER$6),0)</f>
        <v>0</v>
      </c>
      <c r="ES401" s="25">
        <f>IF('Lease Cycles'!$C$31&gt;0,COUNTIF('Lease Cycles'!$BG$31:$BM$31,"&lt;="&amp;ES$6),0)</f>
        <v>0</v>
      </c>
      <c r="ET401" s="25">
        <f>IF('Lease Cycles'!$C$31&gt;0,COUNTIF('Lease Cycles'!$BG$31:$BM$31,"&lt;="&amp;ET$6),0)</f>
        <v>0</v>
      </c>
    </row>
    <row r="402">
      <c r="A402" s="103">
        <v>24</v>
      </c>
      <c r="B402" s="23" t="str">
        <f>IF('Lease Cycles'!$B$31="","(empty slot)",'Lease Cycles'!$B$31)</f>
        <v>(empty slot)</v>
      </c>
      <c r="C402" s="23" t="s">
        <v>673</v>
      </c>
      <c r="D402" s="104" t="s">
        <v>674</v>
      </c>
      <c r="E402" s="25">
        <f>'Lease Cycles'!$AL$31</f>
        <v>0</v>
      </c>
      <c r="S402" s="25">
        <f>IF(S401=0,-1,S$6-INDEX('Lease Cycles'!$BG$31:$BM$31,1,S401))</f>
        <v>-1</v>
      </c>
      <c r="T402" s="25">
        <f>IF(T401=0,-1,T$6-INDEX('Lease Cycles'!$BG$31:$BM$31,1,T401))</f>
        <v>-1</v>
      </c>
      <c r="U402" s="25">
        <f>IF(U401=0,-1,U$6-INDEX('Lease Cycles'!$BG$31:$BM$31,1,U401))</f>
        <v>-1</v>
      </c>
      <c r="V402" s="25">
        <f>IF(V401=0,-1,V$6-INDEX('Lease Cycles'!$BG$31:$BM$31,1,V401))</f>
        <v>-1</v>
      </c>
      <c r="W402" s="25">
        <f>IF(W401=0,-1,W$6-INDEX('Lease Cycles'!$BG$31:$BM$31,1,W401))</f>
        <v>-1</v>
      </c>
      <c r="X402" s="25">
        <f>IF(X401=0,-1,X$6-INDEX('Lease Cycles'!$BG$31:$BM$31,1,X401))</f>
        <v>-1</v>
      </c>
      <c r="Y402" s="25">
        <f>IF(Y401=0,-1,Y$6-INDEX('Lease Cycles'!$BG$31:$BM$31,1,Y401))</f>
        <v>-1</v>
      </c>
      <c r="Z402" s="25">
        <f>IF(Z401=0,-1,Z$6-INDEX('Lease Cycles'!$BG$31:$BM$31,1,Z401))</f>
        <v>-1</v>
      </c>
      <c r="AA402" s="25">
        <f>IF(AA401=0,-1,AA$6-INDEX('Lease Cycles'!$BG$31:$BM$31,1,AA401))</f>
        <v>-1</v>
      </c>
      <c r="AB402" s="25">
        <f>IF(AB401=0,-1,AB$6-INDEX('Lease Cycles'!$BG$31:$BM$31,1,AB401))</f>
        <v>-1</v>
      </c>
      <c r="AC402" s="25">
        <f>IF(AC401=0,-1,AC$6-INDEX('Lease Cycles'!$BG$31:$BM$31,1,AC401))</f>
        <v>-1</v>
      </c>
      <c r="AD402" s="25">
        <f>IF(AD401=0,-1,AD$6-INDEX('Lease Cycles'!$BG$31:$BM$31,1,AD401))</f>
        <v>-1</v>
      </c>
      <c r="AE402" s="25">
        <f>IF(AE401=0,-1,AE$6-INDEX('Lease Cycles'!$BG$31:$BM$31,1,AE401))</f>
        <v>-1</v>
      </c>
      <c r="AF402" s="25">
        <f>IF(AF401=0,-1,AF$6-INDEX('Lease Cycles'!$BG$31:$BM$31,1,AF401))</f>
        <v>-1</v>
      </c>
      <c r="AG402" s="25">
        <f>IF(AG401=0,-1,AG$6-INDEX('Lease Cycles'!$BG$31:$BM$31,1,AG401))</f>
        <v>-1</v>
      </c>
      <c r="AH402" s="25">
        <f>IF(AH401=0,-1,AH$6-INDEX('Lease Cycles'!$BG$31:$BM$31,1,AH401))</f>
        <v>-1</v>
      </c>
      <c r="AI402" s="25">
        <f>IF(AI401=0,-1,AI$6-INDEX('Lease Cycles'!$BG$31:$BM$31,1,AI401))</f>
        <v>-1</v>
      </c>
      <c r="AJ402" s="25">
        <f>IF(AJ401=0,-1,AJ$6-INDEX('Lease Cycles'!$BG$31:$BM$31,1,AJ401))</f>
        <v>-1</v>
      </c>
      <c r="AK402" s="25">
        <f>IF(AK401=0,-1,AK$6-INDEX('Lease Cycles'!$BG$31:$BM$31,1,AK401))</f>
        <v>-1</v>
      </c>
      <c r="AL402" s="25">
        <f>IF(AL401=0,-1,AL$6-INDEX('Lease Cycles'!$BG$31:$BM$31,1,AL401))</f>
        <v>-1</v>
      </c>
      <c r="AM402" s="25">
        <f>IF(AM401=0,-1,AM$6-INDEX('Lease Cycles'!$BG$31:$BM$31,1,AM401))</f>
        <v>-1</v>
      </c>
      <c r="AN402" s="25">
        <f>IF(AN401=0,-1,AN$6-INDEX('Lease Cycles'!$BG$31:$BM$31,1,AN401))</f>
        <v>-1</v>
      </c>
      <c r="AO402" s="25">
        <f>IF(AO401=0,-1,AO$6-INDEX('Lease Cycles'!$BG$31:$BM$31,1,AO401))</f>
        <v>-1</v>
      </c>
      <c r="AP402" s="25">
        <f>IF(AP401=0,-1,AP$6-INDEX('Lease Cycles'!$BG$31:$BM$31,1,AP401))</f>
        <v>-1</v>
      </c>
      <c r="AQ402" s="25">
        <f>IF(AQ401=0,-1,AQ$6-INDEX('Lease Cycles'!$BG$31:$BM$31,1,AQ401))</f>
        <v>-1</v>
      </c>
      <c r="AR402" s="25">
        <f>IF(AR401=0,-1,AR$6-INDEX('Lease Cycles'!$BG$31:$BM$31,1,AR401))</f>
        <v>-1</v>
      </c>
      <c r="AS402" s="25">
        <f>IF(AS401=0,-1,AS$6-INDEX('Lease Cycles'!$BG$31:$BM$31,1,AS401))</f>
        <v>-1</v>
      </c>
      <c r="AT402" s="25">
        <f>IF(AT401=0,-1,AT$6-INDEX('Lease Cycles'!$BG$31:$BM$31,1,AT401))</f>
        <v>-1</v>
      </c>
      <c r="AU402" s="25">
        <f>IF(AU401=0,-1,AU$6-INDEX('Lease Cycles'!$BG$31:$BM$31,1,AU401))</f>
        <v>-1</v>
      </c>
      <c r="AV402" s="25">
        <f>IF(AV401=0,-1,AV$6-INDEX('Lease Cycles'!$BG$31:$BM$31,1,AV401))</f>
        <v>-1</v>
      </c>
      <c r="AW402" s="25">
        <f>IF(AW401=0,-1,AW$6-INDEX('Lease Cycles'!$BG$31:$BM$31,1,AW401))</f>
        <v>-1</v>
      </c>
      <c r="AX402" s="25">
        <f>IF(AX401=0,-1,AX$6-INDEX('Lease Cycles'!$BG$31:$BM$31,1,AX401))</f>
        <v>-1</v>
      </c>
      <c r="AY402" s="25">
        <f>IF(AY401=0,-1,AY$6-INDEX('Lease Cycles'!$BG$31:$BM$31,1,AY401))</f>
        <v>-1</v>
      </c>
      <c r="AZ402" s="25">
        <f>IF(AZ401=0,-1,AZ$6-INDEX('Lease Cycles'!$BG$31:$BM$31,1,AZ401))</f>
        <v>-1</v>
      </c>
      <c r="BA402" s="25">
        <f>IF(BA401=0,-1,BA$6-INDEX('Lease Cycles'!$BG$31:$BM$31,1,BA401))</f>
        <v>-1</v>
      </c>
      <c r="BB402" s="25">
        <f>IF(BB401=0,-1,BB$6-INDEX('Lease Cycles'!$BG$31:$BM$31,1,BB401))</f>
        <v>-1</v>
      </c>
      <c r="BC402" s="25">
        <f>IF(BC401=0,-1,BC$6-INDEX('Lease Cycles'!$BG$31:$BM$31,1,BC401))</f>
        <v>-1</v>
      </c>
      <c r="BD402" s="25">
        <f>IF(BD401=0,-1,BD$6-INDEX('Lease Cycles'!$BG$31:$BM$31,1,BD401))</f>
        <v>-1</v>
      </c>
      <c r="BE402" s="25">
        <f>IF(BE401=0,-1,BE$6-INDEX('Lease Cycles'!$BG$31:$BM$31,1,BE401))</f>
        <v>-1</v>
      </c>
      <c r="BF402" s="25">
        <f>IF(BF401=0,-1,BF$6-INDEX('Lease Cycles'!$BG$31:$BM$31,1,BF401))</f>
        <v>-1</v>
      </c>
      <c r="BG402" s="25">
        <f>IF(BG401=0,-1,BG$6-INDEX('Lease Cycles'!$BG$31:$BM$31,1,BG401))</f>
        <v>-1</v>
      </c>
      <c r="BH402" s="25">
        <f>IF(BH401=0,-1,BH$6-INDEX('Lease Cycles'!$BG$31:$BM$31,1,BH401))</f>
        <v>-1</v>
      </c>
      <c r="BI402" s="25">
        <f>IF(BI401=0,-1,BI$6-INDEX('Lease Cycles'!$BG$31:$BM$31,1,BI401))</f>
        <v>-1</v>
      </c>
      <c r="BJ402" s="25">
        <f>IF(BJ401=0,-1,BJ$6-INDEX('Lease Cycles'!$BG$31:$BM$31,1,BJ401))</f>
        <v>-1</v>
      </c>
      <c r="BK402" s="25">
        <f>IF(BK401=0,-1,BK$6-INDEX('Lease Cycles'!$BG$31:$BM$31,1,BK401))</f>
        <v>-1</v>
      </c>
      <c r="BL402" s="25">
        <f>IF(BL401=0,-1,BL$6-INDEX('Lease Cycles'!$BG$31:$BM$31,1,BL401))</f>
        <v>-1</v>
      </c>
      <c r="BM402" s="25">
        <f>IF(BM401=0,-1,BM$6-INDEX('Lease Cycles'!$BG$31:$BM$31,1,BM401))</f>
        <v>-1</v>
      </c>
      <c r="BN402" s="25">
        <f>IF(BN401=0,-1,BN$6-INDEX('Lease Cycles'!$BG$31:$BM$31,1,BN401))</f>
        <v>-1</v>
      </c>
      <c r="BO402" s="25">
        <f>IF(BO401=0,-1,BO$6-INDEX('Lease Cycles'!$BG$31:$BM$31,1,BO401))</f>
        <v>-1</v>
      </c>
      <c r="BP402" s="25">
        <f>IF(BP401=0,-1,BP$6-INDEX('Lease Cycles'!$BG$31:$BM$31,1,BP401))</f>
        <v>-1</v>
      </c>
      <c r="BQ402" s="25">
        <f>IF(BQ401=0,-1,BQ$6-INDEX('Lease Cycles'!$BG$31:$BM$31,1,BQ401))</f>
        <v>-1</v>
      </c>
      <c r="BR402" s="25">
        <f>IF(BR401=0,-1,BR$6-INDEX('Lease Cycles'!$BG$31:$BM$31,1,BR401))</f>
        <v>-1</v>
      </c>
      <c r="BS402" s="25">
        <f>IF(BS401=0,-1,BS$6-INDEX('Lease Cycles'!$BG$31:$BM$31,1,BS401))</f>
        <v>-1</v>
      </c>
      <c r="BT402" s="25">
        <f>IF(BT401=0,-1,BT$6-INDEX('Lease Cycles'!$BG$31:$BM$31,1,BT401))</f>
        <v>-1</v>
      </c>
      <c r="BU402" s="25">
        <f>IF(BU401=0,-1,BU$6-INDEX('Lease Cycles'!$BG$31:$BM$31,1,BU401))</f>
        <v>-1</v>
      </c>
      <c r="BV402" s="25">
        <f>IF(BV401=0,-1,BV$6-INDEX('Lease Cycles'!$BG$31:$BM$31,1,BV401))</f>
        <v>-1</v>
      </c>
      <c r="BW402" s="25">
        <f>IF(BW401=0,-1,BW$6-INDEX('Lease Cycles'!$BG$31:$BM$31,1,BW401))</f>
        <v>-1</v>
      </c>
      <c r="BX402" s="25">
        <f>IF(BX401=0,-1,BX$6-INDEX('Lease Cycles'!$BG$31:$BM$31,1,BX401))</f>
        <v>-1</v>
      </c>
      <c r="BY402" s="25">
        <f>IF(BY401=0,-1,BY$6-INDEX('Lease Cycles'!$BG$31:$BM$31,1,BY401))</f>
        <v>-1</v>
      </c>
      <c r="BZ402" s="25">
        <f>IF(BZ401=0,-1,BZ$6-INDEX('Lease Cycles'!$BG$31:$BM$31,1,BZ401))</f>
        <v>-1</v>
      </c>
      <c r="CA402" s="25">
        <f>IF(CA401=0,-1,CA$6-INDEX('Lease Cycles'!$BG$31:$BM$31,1,CA401))</f>
        <v>-1</v>
      </c>
      <c r="CB402" s="25">
        <f>IF(CB401=0,-1,CB$6-INDEX('Lease Cycles'!$BG$31:$BM$31,1,CB401))</f>
        <v>-1</v>
      </c>
      <c r="CC402" s="25">
        <f>IF(CC401=0,-1,CC$6-INDEX('Lease Cycles'!$BG$31:$BM$31,1,CC401))</f>
        <v>-1</v>
      </c>
      <c r="CD402" s="25">
        <f>IF(CD401=0,-1,CD$6-INDEX('Lease Cycles'!$BG$31:$BM$31,1,CD401))</f>
        <v>-1</v>
      </c>
      <c r="CE402" s="25">
        <f>IF(CE401=0,-1,CE$6-INDEX('Lease Cycles'!$BG$31:$BM$31,1,CE401))</f>
        <v>-1</v>
      </c>
      <c r="CF402" s="25">
        <f>IF(CF401=0,-1,CF$6-INDEX('Lease Cycles'!$BG$31:$BM$31,1,CF401))</f>
        <v>-1</v>
      </c>
      <c r="CG402" s="25">
        <f>IF(CG401=0,-1,CG$6-INDEX('Lease Cycles'!$BG$31:$BM$31,1,CG401))</f>
        <v>-1</v>
      </c>
      <c r="CH402" s="25">
        <f>IF(CH401=0,-1,CH$6-INDEX('Lease Cycles'!$BG$31:$BM$31,1,CH401))</f>
        <v>-1</v>
      </c>
      <c r="CI402" s="25">
        <f>IF(CI401=0,-1,CI$6-INDEX('Lease Cycles'!$BG$31:$BM$31,1,CI401))</f>
        <v>-1</v>
      </c>
      <c r="CJ402" s="25">
        <f>IF(CJ401=0,-1,CJ$6-INDEX('Lease Cycles'!$BG$31:$BM$31,1,CJ401))</f>
        <v>-1</v>
      </c>
      <c r="CK402" s="25">
        <f>IF(CK401=0,-1,CK$6-INDEX('Lease Cycles'!$BG$31:$BM$31,1,CK401))</f>
        <v>-1</v>
      </c>
      <c r="CL402" s="25">
        <f>IF(CL401=0,-1,CL$6-INDEX('Lease Cycles'!$BG$31:$BM$31,1,CL401))</f>
        <v>-1</v>
      </c>
      <c r="CM402" s="25">
        <f>IF(CM401=0,-1,CM$6-INDEX('Lease Cycles'!$BG$31:$BM$31,1,CM401))</f>
        <v>-1</v>
      </c>
      <c r="CN402" s="25">
        <f>IF(CN401=0,-1,CN$6-INDEX('Lease Cycles'!$BG$31:$BM$31,1,CN401))</f>
        <v>-1</v>
      </c>
      <c r="CO402" s="25">
        <f>IF(CO401=0,-1,CO$6-INDEX('Lease Cycles'!$BG$31:$BM$31,1,CO401))</f>
        <v>-1</v>
      </c>
      <c r="CP402" s="25">
        <f>IF(CP401=0,-1,CP$6-INDEX('Lease Cycles'!$BG$31:$BM$31,1,CP401))</f>
        <v>-1</v>
      </c>
      <c r="CQ402" s="25">
        <f>IF(CQ401=0,-1,CQ$6-INDEX('Lease Cycles'!$BG$31:$BM$31,1,CQ401))</f>
        <v>-1</v>
      </c>
      <c r="CR402" s="25">
        <f>IF(CR401=0,-1,CR$6-INDEX('Lease Cycles'!$BG$31:$BM$31,1,CR401))</f>
        <v>-1</v>
      </c>
      <c r="CS402" s="25">
        <f>IF(CS401=0,-1,CS$6-INDEX('Lease Cycles'!$BG$31:$BM$31,1,CS401))</f>
        <v>-1</v>
      </c>
      <c r="CT402" s="25">
        <f>IF(CT401=0,-1,CT$6-INDEX('Lease Cycles'!$BG$31:$BM$31,1,CT401))</f>
        <v>-1</v>
      </c>
      <c r="CU402" s="25">
        <f>IF(CU401=0,-1,CU$6-INDEX('Lease Cycles'!$BG$31:$BM$31,1,CU401))</f>
        <v>-1</v>
      </c>
      <c r="CV402" s="25">
        <f>IF(CV401=0,-1,CV$6-INDEX('Lease Cycles'!$BG$31:$BM$31,1,CV401))</f>
        <v>-1</v>
      </c>
      <c r="CW402" s="25">
        <f>IF(CW401=0,-1,CW$6-INDEX('Lease Cycles'!$BG$31:$BM$31,1,CW401))</f>
        <v>-1</v>
      </c>
      <c r="CX402" s="25">
        <f>IF(CX401=0,-1,CX$6-INDEX('Lease Cycles'!$BG$31:$BM$31,1,CX401))</f>
        <v>-1</v>
      </c>
      <c r="CY402" s="25">
        <f>IF(CY401=0,-1,CY$6-INDEX('Lease Cycles'!$BG$31:$BM$31,1,CY401))</f>
        <v>-1</v>
      </c>
      <c r="CZ402" s="25">
        <f>IF(CZ401=0,-1,CZ$6-INDEX('Lease Cycles'!$BG$31:$BM$31,1,CZ401))</f>
        <v>-1</v>
      </c>
      <c r="DA402" s="25">
        <f>IF(DA401=0,-1,DA$6-INDEX('Lease Cycles'!$BG$31:$BM$31,1,DA401))</f>
        <v>-1</v>
      </c>
      <c r="DB402" s="25">
        <f>IF(DB401=0,-1,DB$6-INDEX('Lease Cycles'!$BG$31:$BM$31,1,DB401))</f>
        <v>-1</v>
      </c>
      <c r="DC402" s="25">
        <f>IF(DC401=0,-1,DC$6-INDEX('Lease Cycles'!$BG$31:$BM$31,1,DC401))</f>
        <v>-1</v>
      </c>
      <c r="DD402" s="25">
        <f>IF(DD401=0,-1,DD$6-INDEX('Lease Cycles'!$BG$31:$BM$31,1,DD401))</f>
        <v>-1</v>
      </c>
      <c r="DE402" s="25">
        <f>IF(DE401=0,-1,DE$6-INDEX('Lease Cycles'!$BG$31:$BM$31,1,DE401))</f>
        <v>-1</v>
      </c>
      <c r="DF402" s="25">
        <f>IF(DF401=0,-1,DF$6-INDEX('Lease Cycles'!$BG$31:$BM$31,1,DF401))</f>
        <v>-1</v>
      </c>
      <c r="DG402" s="25">
        <f>IF(DG401=0,-1,DG$6-INDEX('Lease Cycles'!$BG$31:$BM$31,1,DG401))</f>
        <v>-1</v>
      </c>
      <c r="DH402" s="25">
        <f>IF(DH401=0,-1,DH$6-INDEX('Lease Cycles'!$BG$31:$BM$31,1,DH401))</f>
        <v>-1</v>
      </c>
      <c r="DI402" s="25">
        <f>IF(DI401=0,-1,DI$6-INDEX('Lease Cycles'!$BG$31:$BM$31,1,DI401))</f>
        <v>-1</v>
      </c>
      <c r="DJ402" s="25">
        <f>IF(DJ401=0,-1,DJ$6-INDEX('Lease Cycles'!$BG$31:$BM$31,1,DJ401))</f>
        <v>-1</v>
      </c>
      <c r="DK402" s="25">
        <f>IF(DK401=0,-1,DK$6-INDEX('Lease Cycles'!$BG$31:$BM$31,1,DK401))</f>
        <v>-1</v>
      </c>
      <c r="DL402" s="25">
        <f>IF(DL401=0,-1,DL$6-INDEX('Lease Cycles'!$BG$31:$BM$31,1,DL401))</f>
        <v>-1</v>
      </c>
      <c r="DM402" s="25">
        <f>IF(DM401=0,-1,DM$6-INDEX('Lease Cycles'!$BG$31:$BM$31,1,DM401))</f>
        <v>-1</v>
      </c>
      <c r="DN402" s="25">
        <f>IF(DN401=0,-1,DN$6-INDEX('Lease Cycles'!$BG$31:$BM$31,1,DN401))</f>
        <v>-1</v>
      </c>
      <c r="DO402" s="25">
        <f>IF(DO401=0,-1,DO$6-INDEX('Lease Cycles'!$BG$31:$BM$31,1,DO401))</f>
        <v>-1</v>
      </c>
      <c r="DP402" s="25">
        <f>IF(DP401=0,-1,DP$6-INDEX('Lease Cycles'!$BG$31:$BM$31,1,DP401))</f>
        <v>-1</v>
      </c>
      <c r="DQ402" s="25">
        <f>IF(DQ401=0,-1,DQ$6-INDEX('Lease Cycles'!$BG$31:$BM$31,1,DQ401))</f>
        <v>-1</v>
      </c>
      <c r="DR402" s="25">
        <f>IF(DR401=0,-1,DR$6-INDEX('Lease Cycles'!$BG$31:$BM$31,1,DR401))</f>
        <v>-1</v>
      </c>
      <c r="DS402" s="25">
        <f>IF(DS401=0,-1,DS$6-INDEX('Lease Cycles'!$BG$31:$BM$31,1,DS401))</f>
        <v>-1</v>
      </c>
      <c r="DT402" s="25">
        <f>IF(DT401=0,-1,DT$6-INDEX('Lease Cycles'!$BG$31:$BM$31,1,DT401))</f>
        <v>-1</v>
      </c>
      <c r="DU402" s="25">
        <f>IF(DU401=0,-1,DU$6-INDEX('Lease Cycles'!$BG$31:$BM$31,1,DU401))</f>
        <v>-1</v>
      </c>
      <c r="DV402" s="25">
        <f>IF(DV401=0,-1,DV$6-INDEX('Lease Cycles'!$BG$31:$BM$31,1,DV401))</f>
        <v>-1</v>
      </c>
      <c r="DW402" s="25">
        <f>IF(DW401=0,-1,DW$6-INDEX('Lease Cycles'!$BG$31:$BM$31,1,DW401))</f>
        <v>-1</v>
      </c>
      <c r="DX402" s="25">
        <f>IF(DX401=0,-1,DX$6-INDEX('Lease Cycles'!$BG$31:$BM$31,1,DX401))</f>
        <v>-1</v>
      </c>
      <c r="DY402" s="25">
        <f>IF(DY401=0,-1,DY$6-INDEX('Lease Cycles'!$BG$31:$BM$31,1,DY401))</f>
        <v>-1</v>
      </c>
      <c r="DZ402" s="25">
        <f>IF(DZ401=0,-1,DZ$6-INDEX('Lease Cycles'!$BG$31:$BM$31,1,DZ401))</f>
        <v>-1</v>
      </c>
      <c r="EA402" s="25">
        <f>IF(EA401=0,-1,EA$6-INDEX('Lease Cycles'!$BG$31:$BM$31,1,EA401))</f>
        <v>-1</v>
      </c>
      <c r="EB402" s="25">
        <f>IF(EB401=0,-1,EB$6-INDEX('Lease Cycles'!$BG$31:$BM$31,1,EB401))</f>
        <v>-1</v>
      </c>
      <c r="EC402" s="25">
        <f>IF(EC401=0,-1,EC$6-INDEX('Lease Cycles'!$BG$31:$BM$31,1,EC401))</f>
        <v>-1</v>
      </c>
      <c r="ED402" s="25">
        <f>IF(ED401=0,-1,ED$6-INDEX('Lease Cycles'!$BG$31:$BM$31,1,ED401))</f>
        <v>-1</v>
      </c>
      <c r="EE402" s="25">
        <f>IF(EE401=0,-1,EE$6-INDEX('Lease Cycles'!$BG$31:$BM$31,1,EE401))</f>
        <v>-1</v>
      </c>
      <c r="EF402" s="25">
        <f>IF(EF401=0,-1,EF$6-INDEX('Lease Cycles'!$BG$31:$BM$31,1,EF401))</f>
        <v>-1</v>
      </c>
      <c r="EG402" s="25">
        <f>IF(EG401=0,-1,EG$6-INDEX('Lease Cycles'!$BG$31:$BM$31,1,EG401))</f>
        <v>-1</v>
      </c>
      <c r="EH402" s="25">
        <f>IF(EH401=0,-1,EH$6-INDEX('Lease Cycles'!$BG$31:$BM$31,1,EH401))</f>
        <v>-1</v>
      </c>
      <c r="EI402" s="25">
        <f>IF(EI401=0,-1,EI$6-INDEX('Lease Cycles'!$BG$31:$BM$31,1,EI401))</f>
        <v>-1</v>
      </c>
      <c r="EJ402" s="25">
        <f>IF(EJ401=0,-1,EJ$6-INDEX('Lease Cycles'!$BG$31:$BM$31,1,EJ401))</f>
        <v>-1</v>
      </c>
      <c r="EK402" s="25">
        <f>IF(EK401=0,-1,EK$6-INDEX('Lease Cycles'!$BG$31:$BM$31,1,EK401))</f>
        <v>-1</v>
      </c>
      <c r="EL402" s="25">
        <f>IF(EL401=0,-1,EL$6-INDEX('Lease Cycles'!$BG$31:$BM$31,1,EL401))</f>
        <v>-1</v>
      </c>
      <c r="EM402" s="25">
        <f>IF(EM401=0,-1,EM$6-INDEX('Lease Cycles'!$BG$31:$BM$31,1,EM401))</f>
        <v>-1</v>
      </c>
      <c r="EN402" s="25">
        <f>IF(EN401=0,-1,EN$6-INDEX('Lease Cycles'!$BG$31:$BM$31,1,EN401))</f>
        <v>-1</v>
      </c>
      <c r="EO402" s="25">
        <f>IF(EO401=0,-1,EO$6-INDEX('Lease Cycles'!$BG$31:$BM$31,1,EO401))</f>
        <v>-1</v>
      </c>
      <c r="EP402" s="25">
        <f>IF(EP401=0,-1,EP$6-INDEX('Lease Cycles'!$BG$31:$BM$31,1,EP401))</f>
        <v>-1</v>
      </c>
      <c r="EQ402" s="25">
        <f>IF(EQ401=0,-1,EQ$6-INDEX('Lease Cycles'!$BG$31:$BM$31,1,EQ401))</f>
        <v>-1</v>
      </c>
      <c r="ER402" s="25">
        <f>IF(ER401=0,-1,ER$6-INDEX('Lease Cycles'!$BG$31:$BM$31,1,ER401))</f>
        <v>-1</v>
      </c>
      <c r="ES402" s="25">
        <f>IF(ES401=0,-1,ES$6-INDEX('Lease Cycles'!$BG$31:$BM$31,1,ES401))</f>
        <v>-1</v>
      </c>
      <c r="ET402" s="25">
        <f>IF(ET401=0,-1,ET$6-INDEX('Lease Cycles'!$BG$31:$BM$31,1,ET401))</f>
        <v>-1</v>
      </c>
    </row>
    <row r="403">
      <c r="A403" s="103">
        <v>24</v>
      </c>
      <c r="B403" s="23" t="str">
        <f>IF('Lease Cycles'!$B$31="","(empty slot)",'Lease Cycles'!$B$31)</f>
        <v>(empty slot)</v>
      </c>
      <c r="C403" s="23" t="s">
        <v>675</v>
      </c>
      <c r="D403" s="104" t="s">
        <v>676</v>
      </c>
      <c r="E403" s="25">
        <f>'Lease Cycles'!$AL$31</f>
        <v>0</v>
      </c>
      <c r="S403" s="25">
        <f>IF(S401=0,0,IF(S402&lt;INDEX('Lease Cycles'!$BN$31:$BT$31,1,S401),1,0))</f>
        <v>0</v>
      </c>
      <c r="T403" s="25">
        <f>IF(T401=0,0,IF(T402&lt;INDEX('Lease Cycles'!$BN$31:$BT$31,1,T401),1,0))</f>
        <v>0</v>
      </c>
      <c r="U403" s="25">
        <f>IF(U401=0,0,IF(U402&lt;INDEX('Lease Cycles'!$BN$31:$BT$31,1,U401),1,0))</f>
        <v>0</v>
      </c>
      <c r="V403" s="25">
        <f>IF(V401=0,0,IF(V402&lt;INDEX('Lease Cycles'!$BN$31:$BT$31,1,V401),1,0))</f>
        <v>0</v>
      </c>
      <c r="W403" s="25">
        <f>IF(W401=0,0,IF(W402&lt;INDEX('Lease Cycles'!$BN$31:$BT$31,1,W401),1,0))</f>
        <v>0</v>
      </c>
      <c r="X403" s="25">
        <f>IF(X401=0,0,IF(X402&lt;INDEX('Lease Cycles'!$BN$31:$BT$31,1,X401),1,0))</f>
        <v>0</v>
      </c>
      <c r="Y403" s="25">
        <f>IF(Y401=0,0,IF(Y402&lt;INDEX('Lease Cycles'!$BN$31:$BT$31,1,Y401),1,0))</f>
        <v>0</v>
      </c>
      <c r="Z403" s="25">
        <f>IF(Z401=0,0,IF(Z402&lt;INDEX('Lease Cycles'!$BN$31:$BT$31,1,Z401),1,0))</f>
        <v>0</v>
      </c>
      <c r="AA403" s="25">
        <f>IF(AA401=0,0,IF(AA402&lt;INDEX('Lease Cycles'!$BN$31:$BT$31,1,AA401),1,0))</f>
        <v>0</v>
      </c>
      <c r="AB403" s="25">
        <f>IF(AB401=0,0,IF(AB402&lt;INDEX('Lease Cycles'!$BN$31:$BT$31,1,AB401),1,0))</f>
        <v>0</v>
      </c>
      <c r="AC403" s="25">
        <f>IF(AC401=0,0,IF(AC402&lt;INDEX('Lease Cycles'!$BN$31:$BT$31,1,AC401),1,0))</f>
        <v>0</v>
      </c>
      <c r="AD403" s="25">
        <f>IF(AD401=0,0,IF(AD402&lt;INDEX('Lease Cycles'!$BN$31:$BT$31,1,AD401),1,0))</f>
        <v>0</v>
      </c>
      <c r="AE403" s="25">
        <f>IF(AE401=0,0,IF(AE402&lt;INDEX('Lease Cycles'!$BN$31:$BT$31,1,AE401),1,0))</f>
        <v>0</v>
      </c>
      <c r="AF403" s="25">
        <f>IF(AF401=0,0,IF(AF402&lt;INDEX('Lease Cycles'!$BN$31:$BT$31,1,AF401),1,0))</f>
        <v>0</v>
      </c>
      <c r="AG403" s="25">
        <f>IF(AG401=0,0,IF(AG402&lt;INDEX('Lease Cycles'!$BN$31:$BT$31,1,AG401),1,0))</f>
        <v>0</v>
      </c>
      <c r="AH403" s="25">
        <f>IF(AH401=0,0,IF(AH402&lt;INDEX('Lease Cycles'!$BN$31:$BT$31,1,AH401),1,0))</f>
        <v>0</v>
      </c>
      <c r="AI403" s="25">
        <f>IF(AI401=0,0,IF(AI402&lt;INDEX('Lease Cycles'!$BN$31:$BT$31,1,AI401),1,0))</f>
        <v>0</v>
      </c>
      <c r="AJ403" s="25">
        <f>IF(AJ401=0,0,IF(AJ402&lt;INDEX('Lease Cycles'!$BN$31:$BT$31,1,AJ401),1,0))</f>
        <v>0</v>
      </c>
      <c r="AK403" s="25">
        <f>IF(AK401=0,0,IF(AK402&lt;INDEX('Lease Cycles'!$BN$31:$BT$31,1,AK401),1,0))</f>
        <v>0</v>
      </c>
      <c r="AL403" s="25">
        <f>IF(AL401=0,0,IF(AL402&lt;INDEX('Lease Cycles'!$BN$31:$BT$31,1,AL401),1,0))</f>
        <v>0</v>
      </c>
      <c r="AM403" s="25">
        <f>IF(AM401=0,0,IF(AM402&lt;INDEX('Lease Cycles'!$BN$31:$BT$31,1,AM401),1,0))</f>
        <v>0</v>
      </c>
      <c r="AN403" s="25">
        <f>IF(AN401=0,0,IF(AN402&lt;INDEX('Lease Cycles'!$BN$31:$BT$31,1,AN401),1,0))</f>
        <v>0</v>
      </c>
      <c r="AO403" s="25">
        <f>IF(AO401=0,0,IF(AO402&lt;INDEX('Lease Cycles'!$BN$31:$BT$31,1,AO401),1,0))</f>
        <v>0</v>
      </c>
      <c r="AP403" s="25">
        <f>IF(AP401=0,0,IF(AP402&lt;INDEX('Lease Cycles'!$BN$31:$BT$31,1,AP401),1,0))</f>
        <v>0</v>
      </c>
      <c r="AQ403" s="25">
        <f>IF(AQ401=0,0,IF(AQ402&lt;INDEX('Lease Cycles'!$BN$31:$BT$31,1,AQ401),1,0))</f>
        <v>0</v>
      </c>
      <c r="AR403" s="25">
        <f>IF(AR401=0,0,IF(AR402&lt;INDEX('Lease Cycles'!$BN$31:$BT$31,1,AR401),1,0))</f>
        <v>0</v>
      </c>
      <c r="AS403" s="25">
        <f>IF(AS401=0,0,IF(AS402&lt;INDEX('Lease Cycles'!$BN$31:$BT$31,1,AS401),1,0))</f>
        <v>0</v>
      </c>
      <c r="AT403" s="25">
        <f>IF(AT401=0,0,IF(AT402&lt;INDEX('Lease Cycles'!$BN$31:$BT$31,1,AT401),1,0))</f>
        <v>0</v>
      </c>
      <c r="AU403" s="25">
        <f>IF(AU401=0,0,IF(AU402&lt;INDEX('Lease Cycles'!$BN$31:$BT$31,1,AU401),1,0))</f>
        <v>0</v>
      </c>
      <c r="AV403" s="25">
        <f>IF(AV401=0,0,IF(AV402&lt;INDEX('Lease Cycles'!$BN$31:$BT$31,1,AV401),1,0))</f>
        <v>0</v>
      </c>
      <c r="AW403" s="25">
        <f>IF(AW401=0,0,IF(AW402&lt;INDEX('Lease Cycles'!$BN$31:$BT$31,1,AW401),1,0))</f>
        <v>0</v>
      </c>
      <c r="AX403" s="25">
        <f>IF(AX401=0,0,IF(AX402&lt;INDEX('Lease Cycles'!$BN$31:$BT$31,1,AX401),1,0))</f>
        <v>0</v>
      </c>
      <c r="AY403" s="25">
        <f>IF(AY401=0,0,IF(AY402&lt;INDEX('Lease Cycles'!$BN$31:$BT$31,1,AY401),1,0))</f>
        <v>0</v>
      </c>
      <c r="AZ403" s="25">
        <f>IF(AZ401=0,0,IF(AZ402&lt;INDEX('Lease Cycles'!$BN$31:$BT$31,1,AZ401),1,0))</f>
        <v>0</v>
      </c>
      <c r="BA403" s="25">
        <f>IF(BA401=0,0,IF(BA402&lt;INDEX('Lease Cycles'!$BN$31:$BT$31,1,BA401),1,0))</f>
        <v>0</v>
      </c>
      <c r="BB403" s="25">
        <f>IF(BB401=0,0,IF(BB402&lt;INDEX('Lease Cycles'!$BN$31:$BT$31,1,BB401),1,0))</f>
        <v>0</v>
      </c>
      <c r="BC403" s="25">
        <f>IF(BC401=0,0,IF(BC402&lt;INDEX('Lease Cycles'!$BN$31:$BT$31,1,BC401),1,0))</f>
        <v>0</v>
      </c>
      <c r="BD403" s="25">
        <f>IF(BD401=0,0,IF(BD402&lt;INDEX('Lease Cycles'!$BN$31:$BT$31,1,BD401),1,0))</f>
        <v>0</v>
      </c>
      <c r="BE403" s="25">
        <f>IF(BE401=0,0,IF(BE402&lt;INDEX('Lease Cycles'!$BN$31:$BT$31,1,BE401),1,0))</f>
        <v>0</v>
      </c>
      <c r="BF403" s="25">
        <f>IF(BF401=0,0,IF(BF402&lt;INDEX('Lease Cycles'!$BN$31:$BT$31,1,BF401),1,0))</f>
        <v>0</v>
      </c>
      <c r="BG403" s="25">
        <f>IF(BG401=0,0,IF(BG402&lt;INDEX('Lease Cycles'!$BN$31:$BT$31,1,BG401),1,0))</f>
        <v>0</v>
      </c>
      <c r="BH403" s="25">
        <f>IF(BH401=0,0,IF(BH402&lt;INDEX('Lease Cycles'!$BN$31:$BT$31,1,BH401),1,0))</f>
        <v>0</v>
      </c>
      <c r="BI403" s="25">
        <f>IF(BI401=0,0,IF(BI402&lt;INDEX('Lease Cycles'!$BN$31:$BT$31,1,BI401),1,0))</f>
        <v>0</v>
      </c>
      <c r="BJ403" s="25">
        <f>IF(BJ401=0,0,IF(BJ402&lt;INDEX('Lease Cycles'!$BN$31:$BT$31,1,BJ401),1,0))</f>
        <v>0</v>
      </c>
      <c r="BK403" s="25">
        <f>IF(BK401=0,0,IF(BK402&lt;INDEX('Lease Cycles'!$BN$31:$BT$31,1,BK401),1,0))</f>
        <v>0</v>
      </c>
      <c r="BL403" s="25">
        <f>IF(BL401=0,0,IF(BL402&lt;INDEX('Lease Cycles'!$BN$31:$BT$31,1,BL401),1,0))</f>
        <v>0</v>
      </c>
      <c r="BM403" s="25">
        <f>IF(BM401=0,0,IF(BM402&lt;INDEX('Lease Cycles'!$BN$31:$BT$31,1,BM401),1,0))</f>
        <v>0</v>
      </c>
      <c r="BN403" s="25">
        <f>IF(BN401=0,0,IF(BN402&lt;INDEX('Lease Cycles'!$BN$31:$BT$31,1,BN401),1,0))</f>
        <v>0</v>
      </c>
      <c r="BO403" s="25">
        <f>IF(BO401=0,0,IF(BO402&lt;INDEX('Lease Cycles'!$BN$31:$BT$31,1,BO401),1,0))</f>
        <v>0</v>
      </c>
      <c r="BP403" s="25">
        <f>IF(BP401=0,0,IF(BP402&lt;INDEX('Lease Cycles'!$BN$31:$BT$31,1,BP401),1,0))</f>
        <v>0</v>
      </c>
      <c r="BQ403" s="25">
        <f>IF(BQ401=0,0,IF(BQ402&lt;INDEX('Lease Cycles'!$BN$31:$BT$31,1,BQ401),1,0))</f>
        <v>0</v>
      </c>
      <c r="BR403" s="25">
        <f>IF(BR401=0,0,IF(BR402&lt;INDEX('Lease Cycles'!$BN$31:$BT$31,1,BR401),1,0))</f>
        <v>0</v>
      </c>
      <c r="BS403" s="25">
        <f>IF(BS401=0,0,IF(BS402&lt;INDEX('Lease Cycles'!$BN$31:$BT$31,1,BS401),1,0))</f>
        <v>0</v>
      </c>
      <c r="BT403" s="25">
        <f>IF(BT401=0,0,IF(BT402&lt;INDEX('Lease Cycles'!$BN$31:$BT$31,1,BT401),1,0))</f>
        <v>0</v>
      </c>
      <c r="BU403" s="25">
        <f>IF(BU401=0,0,IF(BU402&lt;INDEX('Lease Cycles'!$BN$31:$BT$31,1,BU401),1,0))</f>
        <v>0</v>
      </c>
      <c r="BV403" s="25">
        <f>IF(BV401=0,0,IF(BV402&lt;INDEX('Lease Cycles'!$BN$31:$BT$31,1,BV401),1,0))</f>
        <v>0</v>
      </c>
      <c r="BW403" s="25">
        <f>IF(BW401=0,0,IF(BW402&lt;INDEX('Lease Cycles'!$BN$31:$BT$31,1,BW401),1,0))</f>
        <v>0</v>
      </c>
      <c r="BX403" s="25">
        <f>IF(BX401=0,0,IF(BX402&lt;INDEX('Lease Cycles'!$BN$31:$BT$31,1,BX401),1,0))</f>
        <v>0</v>
      </c>
      <c r="BY403" s="25">
        <f>IF(BY401=0,0,IF(BY402&lt;INDEX('Lease Cycles'!$BN$31:$BT$31,1,BY401),1,0))</f>
        <v>0</v>
      </c>
      <c r="BZ403" s="25">
        <f>IF(BZ401=0,0,IF(BZ402&lt;INDEX('Lease Cycles'!$BN$31:$BT$31,1,BZ401),1,0))</f>
        <v>0</v>
      </c>
      <c r="CA403" s="25">
        <f>IF(CA401=0,0,IF(CA402&lt;INDEX('Lease Cycles'!$BN$31:$BT$31,1,CA401),1,0))</f>
        <v>0</v>
      </c>
      <c r="CB403" s="25">
        <f>IF(CB401=0,0,IF(CB402&lt;INDEX('Lease Cycles'!$BN$31:$BT$31,1,CB401),1,0))</f>
        <v>0</v>
      </c>
      <c r="CC403" s="25">
        <f>IF(CC401=0,0,IF(CC402&lt;INDEX('Lease Cycles'!$BN$31:$BT$31,1,CC401),1,0))</f>
        <v>0</v>
      </c>
      <c r="CD403" s="25">
        <f>IF(CD401=0,0,IF(CD402&lt;INDEX('Lease Cycles'!$BN$31:$BT$31,1,CD401),1,0))</f>
        <v>0</v>
      </c>
      <c r="CE403" s="25">
        <f>IF(CE401=0,0,IF(CE402&lt;INDEX('Lease Cycles'!$BN$31:$BT$31,1,CE401),1,0))</f>
        <v>0</v>
      </c>
      <c r="CF403" s="25">
        <f>IF(CF401=0,0,IF(CF402&lt;INDEX('Lease Cycles'!$BN$31:$BT$31,1,CF401),1,0))</f>
        <v>0</v>
      </c>
      <c r="CG403" s="25">
        <f>IF(CG401=0,0,IF(CG402&lt;INDEX('Lease Cycles'!$BN$31:$BT$31,1,CG401),1,0))</f>
        <v>0</v>
      </c>
      <c r="CH403" s="25">
        <f>IF(CH401=0,0,IF(CH402&lt;INDEX('Lease Cycles'!$BN$31:$BT$31,1,CH401),1,0))</f>
        <v>0</v>
      </c>
      <c r="CI403" s="25">
        <f>IF(CI401=0,0,IF(CI402&lt;INDEX('Lease Cycles'!$BN$31:$BT$31,1,CI401),1,0))</f>
        <v>0</v>
      </c>
      <c r="CJ403" s="25">
        <f>IF(CJ401=0,0,IF(CJ402&lt;INDEX('Lease Cycles'!$BN$31:$BT$31,1,CJ401),1,0))</f>
        <v>0</v>
      </c>
      <c r="CK403" s="25">
        <f>IF(CK401=0,0,IF(CK402&lt;INDEX('Lease Cycles'!$BN$31:$BT$31,1,CK401),1,0))</f>
        <v>0</v>
      </c>
      <c r="CL403" s="25">
        <f>IF(CL401=0,0,IF(CL402&lt;INDEX('Lease Cycles'!$BN$31:$BT$31,1,CL401),1,0))</f>
        <v>0</v>
      </c>
      <c r="CM403" s="25">
        <f>IF(CM401=0,0,IF(CM402&lt;INDEX('Lease Cycles'!$BN$31:$BT$31,1,CM401),1,0))</f>
        <v>0</v>
      </c>
      <c r="CN403" s="25">
        <f>IF(CN401=0,0,IF(CN402&lt;INDEX('Lease Cycles'!$BN$31:$BT$31,1,CN401),1,0))</f>
        <v>0</v>
      </c>
      <c r="CO403" s="25">
        <f>IF(CO401=0,0,IF(CO402&lt;INDEX('Lease Cycles'!$BN$31:$BT$31,1,CO401),1,0))</f>
        <v>0</v>
      </c>
      <c r="CP403" s="25">
        <f>IF(CP401=0,0,IF(CP402&lt;INDEX('Lease Cycles'!$BN$31:$BT$31,1,CP401),1,0))</f>
        <v>0</v>
      </c>
      <c r="CQ403" s="25">
        <f>IF(CQ401=0,0,IF(CQ402&lt;INDEX('Lease Cycles'!$BN$31:$BT$31,1,CQ401),1,0))</f>
        <v>0</v>
      </c>
      <c r="CR403" s="25">
        <f>IF(CR401=0,0,IF(CR402&lt;INDEX('Lease Cycles'!$BN$31:$BT$31,1,CR401),1,0))</f>
        <v>0</v>
      </c>
      <c r="CS403" s="25">
        <f>IF(CS401=0,0,IF(CS402&lt;INDEX('Lease Cycles'!$BN$31:$BT$31,1,CS401),1,0))</f>
        <v>0</v>
      </c>
      <c r="CT403" s="25">
        <f>IF(CT401=0,0,IF(CT402&lt;INDEX('Lease Cycles'!$BN$31:$BT$31,1,CT401),1,0))</f>
        <v>0</v>
      </c>
      <c r="CU403" s="25">
        <f>IF(CU401=0,0,IF(CU402&lt;INDEX('Lease Cycles'!$BN$31:$BT$31,1,CU401),1,0))</f>
        <v>0</v>
      </c>
      <c r="CV403" s="25">
        <f>IF(CV401=0,0,IF(CV402&lt;INDEX('Lease Cycles'!$BN$31:$BT$31,1,CV401),1,0))</f>
        <v>0</v>
      </c>
      <c r="CW403" s="25">
        <f>IF(CW401=0,0,IF(CW402&lt;INDEX('Lease Cycles'!$BN$31:$BT$31,1,CW401),1,0))</f>
        <v>0</v>
      </c>
      <c r="CX403" s="25">
        <f>IF(CX401=0,0,IF(CX402&lt;INDEX('Lease Cycles'!$BN$31:$BT$31,1,CX401),1,0))</f>
        <v>0</v>
      </c>
      <c r="CY403" s="25">
        <f>IF(CY401=0,0,IF(CY402&lt;INDEX('Lease Cycles'!$BN$31:$BT$31,1,CY401),1,0))</f>
        <v>0</v>
      </c>
      <c r="CZ403" s="25">
        <f>IF(CZ401=0,0,IF(CZ402&lt;INDEX('Lease Cycles'!$BN$31:$BT$31,1,CZ401),1,0))</f>
        <v>0</v>
      </c>
      <c r="DA403" s="25">
        <f>IF(DA401=0,0,IF(DA402&lt;INDEX('Lease Cycles'!$BN$31:$BT$31,1,DA401),1,0))</f>
        <v>0</v>
      </c>
      <c r="DB403" s="25">
        <f>IF(DB401=0,0,IF(DB402&lt;INDEX('Lease Cycles'!$BN$31:$BT$31,1,DB401),1,0))</f>
        <v>0</v>
      </c>
      <c r="DC403" s="25">
        <f>IF(DC401=0,0,IF(DC402&lt;INDEX('Lease Cycles'!$BN$31:$BT$31,1,DC401),1,0))</f>
        <v>0</v>
      </c>
      <c r="DD403" s="25">
        <f>IF(DD401=0,0,IF(DD402&lt;INDEX('Lease Cycles'!$BN$31:$BT$31,1,DD401),1,0))</f>
        <v>0</v>
      </c>
      <c r="DE403" s="25">
        <f>IF(DE401=0,0,IF(DE402&lt;INDEX('Lease Cycles'!$BN$31:$BT$31,1,DE401),1,0))</f>
        <v>0</v>
      </c>
      <c r="DF403" s="25">
        <f>IF(DF401=0,0,IF(DF402&lt;INDEX('Lease Cycles'!$BN$31:$BT$31,1,DF401),1,0))</f>
        <v>0</v>
      </c>
      <c r="DG403" s="25">
        <f>IF(DG401=0,0,IF(DG402&lt;INDEX('Lease Cycles'!$BN$31:$BT$31,1,DG401),1,0))</f>
        <v>0</v>
      </c>
      <c r="DH403" s="25">
        <f>IF(DH401=0,0,IF(DH402&lt;INDEX('Lease Cycles'!$BN$31:$BT$31,1,DH401),1,0))</f>
        <v>0</v>
      </c>
      <c r="DI403" s="25">
        <f>IF(DI401=0,0,IF(DI402&lt;INDEX('Lease Cycles'!$BN$31:$BT$31,1,DI401),1,0))</f>
        <v>0</v>
      </c>
      <c r="DJ403" s="25">
        <f>IF(DJ401=0,0,IF(DJ402&lt;INDEX('Lease Cycles'!$BN$31:$BT$31,1,DJ401),1,0))</f>
        <v>0</v>
      </c>
      <c r="DK403" s="25">
        <f>IF(DK401=0,0,IF(DK402&lt;INDEX('Lease Cycles'!$BN$31:$BT$31,1,DK401),1,0))</f>
        <v>0</v>
      </c>
      <c r="DL403" s="25">
        <f>IF(DL401=0,0,IF(DL402&lt;INDEX('Lease Cycles'!$BN$31:$BT$31,1,DL401),1,0))</f>
        <v>0</v>
      </c>
      <c r="DM403" s="25">
        <f>IF(DM401=0,0,IF(DM402&lt;INDEX('Lease Cycles'!$BN$31:$BT$31,1,DM401),1,0))</f>
        <v>0</v>
      </c>
      <c r="DN403" s="25">
        <f>IF(DN401=0,0,IF(DN402&lt;INDEX('Lease Cycles'!$BN$31:$BT$31,1,DN401),1,0))</f>
        <v>0</v>
      </c>
      <c r="DO403" s="25">
        <f>IF(DO401=0,0,IF(DO402&lt;INDEX('Lease Cycles'!$BN$31:$BT$31,1,DO401),1,0))</f>
        <v>0</v>
      </c>
      <c r="DP403" s="25">
        <f>IF(DP401=0,0,IF(DP402&lt;INDEX('Lease Cycles'!$BN$31:$BT$31,1,DP401),1,0))</f>
        <v>0</v>
      </c>
      <c r="DQ403" s="25">
        <f>IF(DQ401=0,0,IF(DQ402&lt;INDEX('Lease Cycles'!$BN$31:$BT$31,1,DQ401),1,0))</f>
        <v>0</v>
      </c>
      <c r="DR403" s="25">
        <f>IF(DR401=0,0,IF(DR402&lt;INDEX('Lease Cycles'!$BN$31:$BT$31,1,DR401),1,0))</f>
        <v>0</v>
      </c>
      <c r="DS403" s="25">
        <f>IF(DS401=0,0,IF(DS402&lt;INDEX('Lease Cycles'!$BN$31:$BT$31,1,DS401),1,0))</f>
        <v>0</v>
      </c>
      <c r="DT403" s="25">
        <f>IF(DT401=0,0,IF(DT402&lt;INDEX('Lease Cycles'!$BN$31:$BT$31,1,DT401),1,0))</f>
        <v>0</v>
      </c>
      <c r="DU403" s="25">
        <f>IF(DU401=0,0,IF(DU402&lt;INDEX('Lease Cycles'!$BN$31:$BT$31,1,DU401),1,0))</f>
        <v>0</v>
      </c>
      <c r="DV403" s="25">
        <f>IF(DV401=0,0,IF(DV402&lt;INDEX('Lease Cycles'!$BN$31:$BT$31,1,DV401),1,0))</f>
        <v>0</v>
      </c>
      <c r="DW403" s="25">
        <f>IF(DW401=0,0,IF(DW402&lt;INDEX('Lease Cycles'!$BN$31:$BT$31,1,DW401),1,0))</f>
        <v>0</v>
      </c>
      <c r="DX403" s="25">
        <f>IF(DX401=0,0,IF(DX402&lt;INDEX('Lease Cycles'!$BN$31:$BT$31,1,DX401),1,0))</f>
        <v>0</v>
      </c>
      <c r="DY403" s="25">
        <f>IF(DY401=0,0,IF(DY402&lt;INDEX('Lease Cycles'!$BN$31:$BT$31,1,DY401),1,0))</f>
        <v>0</v>
      </c>
      <c r="DZ403" s="25">
        <f>IF(DZ401=0,0,IF(DZ402&lt;INDEX('Lease Cycles'!$BN$31:$BT$31,1,DZ401),1,0))</f>
        <v>0</v>
      </c>
      <c r="EA403" s="25">
        <f>IF(EA401=0,0,IF(EA402&lt;INDEX('Lease Cycles'!$BN$31:$BT$31,1,EA401),1,0))</f>
        <v>0</v>
      </c>
      <c r="EB403" s="25">
        <f>IF(EB401=0,0,IF(EB402&lt;INDEX('Lease Cycles'!$BN$31:$BT$31,1,EB401),1,0))</f>
        <v>0</v>
      </c>
      <c r="EC403" s="25">
        <f>IF(EC401=0,0,IF(EC402&lt;INDEX('Lease Cycles'!$BN$31:$BT$31,1,EC401),1,0))</f>
        <v>0</v>
      </c>
      <c r="ED403" s="25">
        <f>IF(ED401=0,0,IF(ED402&lt;INDEX('Lease Cycles'!$BN$31:$BT$31,1,ED401),1,0))</f>
        <v>0</v>
      </c>
      <c r="EE403" s="25">
        <f>IF(EE401=0,0,IF(EE402&lt;INDEX('Lease Cycles'!$BN$31:$BT$31,1,EE401),1,0))</f>
        <v>0</v>
      </c>
      <c r="EF403" s="25">
        <f>IF(EF401=0,0,IF(EF402&lt;INDEX('Lease Cycles'!$BN$31:$BT$31,1,EF401),1,0))</f>
        <v>0</v>
      </c>
      <c r="EG403" s="25">
        <f>IF(EG401=0,0,IF(EG402&lt;INDEX('Lease Cycles'!$BN$31:$BT$31,1,EG401),1,0))</f>
        <v>0</v>
      </c>
      <c r="EH403" s="25">
        <f>IF(EH401=0,0,IF(EH402&lt;INDEX('Lease Cycles'!$BN$31:$BT$31,1,EH401),1,0))</f>
        <v>0</v>
      </c>
      <c r="EI403" s="25">
        <f>IF(EI401=0,0,IF(EI402&lt;INDEX('Lease Cycles'!$BN$31:$BT$31,1,EI401),1,0))</f>
        <v>0</v>
      </c>
      <c r="EJ403" s="25">
        <f>IF(EJ401=0,0,IF(EJ402&lt;INDEX('Lease Cycles'!$BN$31:$BT$31,1,EJ401),1,0))</f>
        <v>0</v>
      </c>
      <c r="EK403" s="25">
        <f>IF(EK401=0,0,IF(EK402&lt;INDEX('Lease Cycles'!$BN$31:$BT$31,1,EK401),1,0))</f>
        <v>0</v>
      </c>
      <c r="EL403" s="25">
        <f>IF(EL401=0,0,IF(EL402&lt;INDEX('Lease Cycles'!$BN$31:$BT$31,1,EL401),1,0))</f>
        <v>0</v>
      </c>
      <c r="EM403" s="25">
        <f>IF(EM401=0,0,IF(EM402&lt;INDEX('Lease Cycles'!$BN$31:$BT$31,1,EM401),1,0))</f>
        <v>0</v>
      </c>
      <c r="EN403" s="25">
        <f>IF(EN401=0,0,IF(EN402&lt;INDEX('Lease Cycles'!$BN$31:$BT$31,1,EN401),1,0))</f>
        <v>0</v>
      </c>
      <c r="EO403" s="25">
        <f>IF(EO401=0,0,IF(EO402&lt;INDEX('Lease Cycles'!$BN$31:$BT$31,1,EO401),1,0))</f>
        <v>0</v>
      </c>
      <c r="EP403" s="25">
        <f>IF(EP401=0,0,IF(EP402&lt;INDEX('Lease Cycles'!$BN$31:$BT$31,1,EP401),1,0))</f>
        <v>0</v>
      </c>
      <c r="EQ403" s="25">
        <f>IF(EQ401=0,0,IF(EQ402&lt;INDEX('Lease Cycles'!$BN$31:$BT$31,1,EQ401),1,0))</f>
        <v>0</v>
      </c>
      <c r="ER403" s="25">
        <f>IF(ER401=0,0,IF(ER402&lt;INDEX('Lease Cycles'!$BN$31:$BT$31,1,ER401),1,0))</f>
        <v>0</v>
      </c>
      <c r="ES403" s="25">
        <f>IF(ES401=0,0,IF(ES402&lt;INDEX('Lease Cycles'!$BN$31:$BT$31,1,ES401),1,0))</f>
        <v>0</v>
      </c>
      <c r="ET403" s="25">
        <f>IF(ET401=0,0,IF(ET402&lt;INDEX('Lease Cycles'!$BN$31:$BT$31,1,ET401),1,0))</f>
        <v>0</v>
      </c>
    </row>
    <row r="404">
      <c r="A404" s="103">
        <v>24</v>
      </c>
      <c r="B404" s="23" t="str">
        <f>IF('Lease Cycles'!$B$31="","(empty slot)",'Lease Cycles'!$B$31)</f>
        <v>(empty slot)</v>
      </c>
      <c r="C404" s="23" t="s">
        <v>677</v>
      </c>
      <c r="D404" s="104" t="s">
        <v>678</v>
      </c>
      <c r="E404" s="25">
        <f>'Lease Cycles'!$AL$31</f>
        <v>0</v>
      </c>
      <c r="S404" s="28">
        <f>IF(S401=0,IF('Lease Cycles'!$F$31&gt;0,'Lease Cycles'!$C$31*'Lease Cycles'!$E$31/12,0),IF(S403=1,IF('Lease Cycles'!$AT$31&gt;=9999,'Lease Cycles'!$C$31*INDEX('Lease Cycles'!$CB$31:$CH$31,1,S401)*(1+INDEX('Lease Cycles'!$CI$31:$CO$31,1,S401))^INT(INT(S402/12)/INDEX('Lease Cycles'!$CP$31:$CV$31,1,S401))/12,IF(S401=1,IF(S402&gt;=INDEX('Lease Cycles'!$DK$31:$DQ$31,1,S401),IF(S$6&gt;='Lease Cycles'!$AZ$31,'Lease Cycles'!$C$31*'Lease Cycles'!$BA$31/12,IF(S$6&gt;='Lease Cycles'!$AX$31,'Lease Cycles'!$C$31*'Lease Cycles'!$AY$31/12,IF(S$6&gt;='Lease Cycles'!$AV$31,'Lease Cycles'!$C$31*'Lease Cycles'!$AW$31/12,IF(S$6&gt;='Lease Cycles'!$AT$31,'Lease Cycles'!$C$31*'Lease Cycles'!$AU$31/12,'Lease Cycles'!$C$31*INDEX('Lease Cycles'!$CB$31:$CH$31,1,S401)*(1+INDEX('Lease Cycles'!$CI$31:$CO$31,1,S401))^INT(INT(S402/12)/INDEX('Lease Cycles'!$CP$31:$CV$31,1,S401))/12)))),'Lease Cycles'!$C$31*INDEX('Lease Cycles'!$CB$31:$CH$31,1,S401)*(1+INDEX('Lease Cycles'!$CI$31:$CO$31,1,S401))^INT(INT(S402/12)/INDEX('Lease Cycles'!$CP$31:$CV$31,1,S401))/12),IF(INDEX('Lease Cycles'!$EF$31:$EL$31,1,S401)=1,IF(AND('Lease Cycles'!$AZ$31&gt;=INDEX('Lease Cycles'!$BG$31:$BM$31,1,S401),'Lease Cycles'!$AZ$31&lt;=S$6),'Lease Cycles'!$C$31*'Lease Cycles'!$BA$31/12,IF(AND('Lease Cycles'!$AX$31&gt;=INDEX('Lease Cycles'!$BG$31:$BM$31,1,S401),'Lease Cycles'!$AX$31&lt;=S$6),'Lease Cycles'!$C$31*'Lease Cycles'!$AY$31/12,IF(AND('Lease Cycles'!$AV$31&gt;=INDEX('Lease Cycles'!$BG$31:$BM$31,1,S401),'Lease Cycles'!$AV$31&lt;=S$6),'Lease Cycles'!$C$31*'Lease Cycles'!$AW$31/12,IF(AND('Lease Cycles'!$AT$31&gt;=INDEX('Lease Cycles'!$BG$31:$BM$31,1,S401),'Lease Cycles'!$AT$31&lt;=S$6),'Lease Cycles'!$C$31*'Lease Cycles'!$AU$31/12,'Lease Cycles'!$C$31*INDEX('Lease Cycles'!$CB$31:$CH$31,1,S401)*(1+INDEX('Lease Cycles'!$CI$31:$CO$31,1,S401))^INT(INT(S402/12)/INDEX('Lease Cycles'!$CP$31:$CV$31,1,S401))/12)))),'Lease Cycles'!$C$31*INDEX('Lease Cycles'!$CB$31:$CH$31,1,S401)*(1+INDEX('Lease Cycles'!$CI$31:$CO$31,1,S401))^INT(INT(S402/12)/INDEX('Lease Cycles'!$CP$31:$CV$31,1,S401))/12))),IF('Lease Cycles'!$N$31=1,'Lease Cycles'!$C$31*'Lease Cycles'!$E$31*INDEX('Lease Cycles'!$HE$31:$HK$31,1,S401)*(1+INDEX('Lease Cycles'!$GQ$31:$GW$31,1,S401))^INT(INT((S$6-INDEX('Lease Cycles'!$GJ$31:$GP$31,1,S401))/12)/INDEX('Lease Cycles'!$GX$31:$HD$31,1,S401))/12,0)))</f>
        <v>0</v>
      </c>
      <c r="T404" s="28">
        <f>IF(T401=0,IF('Lease Cycles'!$F$31&gt;0,'Lease Cycles'!$C$31*'Lease Cycles'!$E$31/12,0),IF(T403=1,IF('Lease Cycles'!$AT$31&gt;=9999,'Lease Cycles'!$C$31*INDEX('Lease Cycles'!$CB$31:$CH$31,1,T401)*(1+INDEX('Lease Cycles'!$CI$31:$CO$31,1,T401))^INT(INT(T402/12)/INDEX('Lease Cycles'!$CP$31:$CV$31,1,T401))/12,IF(T401=1,IF(T402&gt;=INDEX('Lease Cycles'!$DK$31:$DQ$31,1,T401),IF(T$6&gt;='Lease Cycles'!$AZ$31,'Lease Cycles'!$C$31*'Lease Cycles'!$BA$31/12,IF(T$6&gt;='Lease Cycles'!$AX$31,'Lease Cycles'!$C$31*'Lease Cycles'!$AY$31/12,IF(T$6&gt;='Lease Cycles'!$AV$31,'Lease Cycles'!$C$31*'Lease Cycles'!$AW$31/12,IF(T$6&gt;='Lease Cycles'!$AT$31,'Lease Cycles'!$C$31*'Lease Cycles'!$AU$31/12,'Lease Cycles'!$C$31*INDEX('Lease Cycles'!$CB$31:$CH$31,1,T401)*(1+INDEX('Lease Cycles'!$CI$31:$CO$31,1,T401))^INT(INT(T402/12)/INDEX('Lease Cycles'!$CP$31:$CV$31,1,T401))/12)))),'Lease Cycles'!$C$31*INDEX('Lease Cycles'!$CB$31:$CH$31,1,T401)*(1+INDEX('Lease Cycles'!$CI$31:$CO$31,1,T401))^INT(INT(T402/12)/INDEX('Lease Cycles'!$CP$31:$CV$31,1,T401))/12),IF(INDEX('Lease Cycles'!$EF$31:$EL$31,1,T401)=1,IF(AND('Lease Cycles'!$AZ$31&gt;=INDEX('Lease Cycles'!$BG$31:$BM$31,1,T401),'Lease Cycles'!$AZ$31&lt;=T$6),'Lease Cycles'!$C$31*'Lease Cycles'!$BA$31/12,IF(AND('Lease Cycles'!$AX$31&gt;=INDEX('Lease Cycles'!$BG$31:$BM$31,1,T401),'Lease Cycles'!$AX$31&lt;=T$6),'Lease Cycles'!$C$31*'Lease Cycles'!$AY$31/12,IF(AND('Lease Cycles'!$AV$31&gt;=INDEX('Lease Cycles'!$BG$31:$BM$31,1,T401),'Lease Cycles'!$AV$31&lt;=T$6),'Lease Cycles'!$C$31*'Lease Cycles'!$AW$31/12,IF(AND('Lease Cycles'!$AT$31&gt;=INDEX('Lease Cycles'!$BG$31:$BM$31,1,T401),'Lease Cycles'!$AT$31&lt;=T$6),'Lease Cycles'!$C$31*'Lease Cycles'!$AU$31/12,'Lease Cycles'!$C$31*INDEX('Lease Cycles'!$CB$31:$CH$31,1,T401)*(1+INDEX('Lease Cycles'!$CI$31:$CO$31,1,T401))^INT(INT(T402/12)/INDEX('Lease Cycles'!$CP$31:$CV$31,1,T401))/12)))),'Lease Cycles'!$C$31*INDEX('Lease Cycles'!$CB$31:$CH$31,1,T401)*(1+INDEX('Lease Cycles'!$CI$31:$CO$31,1,T401))^INT(INT(T402/12)/INDEX('Lease Cycles'!$CP$31:$CV$31,1,T401))/12))),IF('Lease Cycles'!$N$31=1,'Lease Cycles'!$C$31*'Lease Cycles'!$E$31*INDEX('Lease Cycles'!$HE$31:$HK$31,1,T401)*(1+INDEX('Lease Cycles'!$GQ$31:$GW$31,1,T401))^INT(INT((T$6-INDEX('Lease Cycles'!$GJ$31:$GP$31,1,T401))/12)/INDEX('Lease Cycles'!$GX$31:$HD$31,1,T401))/12,0)))</f>
        <v>0</v>
      </c>
      <c r="U404" s="28">
        <f>IF(U401=0,IF('Lease Cycles'!$F$31&gt;0,'Lease Cycles'!$C$31*'Lease Cycles'!$E$31/12,0),IF(U403=1,IF('Lease Cycles'!$AT$31&gt;=9999,'Lease Cycles'!$C$31*INDEX('Lease Cycles'!$CB$31:$CH$31,1,U401)*(1+INDEX('Lease Cycles'!$CI$31:$CO$31,1,U401))^INT(INT(U402/12)/INDEX('Lease Cycles'!$CP$31:$CV$31,1,U401))/12,IF(U401=1,IF(U402&gt;=INDEX('Lease Cycles'!$DK$31:$DQ$31,1,U401),IF(U$6&gt;='Lease Cycles'!$AZ$31,'Lease Cycles'!$C$31*'Lease Cycles'!$BA$31/12,IF(U$6&gt;='Lease Cycles'!$AX$31,'Lease Cycles'!$C$31*'Lease Cycles'!$AY$31/12,IF(U$6&gt;='Lease Cycles'!$AV$31,'Lease Cycles'!$C$31*'Lease Cycles'!$AW$31/12,IF(U$6&gt;='Lease Cycles'!$AT$31,'Lease Cycles'!$C$31*'Lease Cycles'!$AU$31/12,'Lease Cycles'!$C$31*INDEX('Lease Cycles'!$CB$31:$CH$31,1,U401)*(1+INDEX('Lease Cycles'!$CI$31:$CO$31,1,U401))^INT(INT(U402/12)/INDEX('Lease Cycles'!$CP$31:$CV$31,1,U401))/12)))),'Lease Cycles'!$C$31*INDEX('Lease Cycles'!$CB$31:$CH$31,1,U401)*(1+INDEX('Lease Cycles'!$CI$31:$CO$31,1,U401))^INT(INT(U402/12)/INDEX('Lease Cycles'!$CP$31:$CV$31,1,U401))/12),IF(INDEX('Lease Cycles'!$EF$31:$EL$31,1,U401)=1,IF(AND('Lease Cycles'!$AZ$31&gt;=INDEX('Lease Cycles'!$BG$31:$BM$31,1,U401),'Lease Cycles'!$AZ$31&lt;=U$6),'Lease Cycles'!$C$31*'Lease Cycles'!$BA$31/12,IF(AND('Lease Cycles'!$AX$31&gt;=INDEX('Lease Cycles'!$BG$31:$BM$31,1,U401),'Lease Cycles'!$AX$31&lt;=U$6),'Lease Cycles'!$C$31*'Lease Cycles'!$AY$31/12,IF(AND('Lease Cycles'!$AV$31&gt;=INDEX('Lease Cycles'!$BG$31:$BM$31,1,U401),'Lease Cycles'!$AV$31&lt;=U$6),'Lease Cycles'!$C$31*'Lease Cycles'!$AW$31/12,IF(AND('Lease Cycles'!$AT$31&gt;=INDEX('Lease Cycles'!$BG$31:$BM$31,1,U401),'Lease Cycles'!$AT$31&lt;=U$6),'Lease Cycles'!$C$31*'Lease Cycles'!$AU$31/12,'Lease Cycles'!$C$31*INDEX('Lease Cycles'!$CB$31:$CH$31,1,U401)*(1+INDEX('Lease Cycles'!$CI$31:$CO$31,1,U401))^INT(INT(U402/12)/INDEX('Lease Cycles'!$CP$31:$CV$31,1,U401))/12)))),'Lease Cycles'!$C$31*INDEX('Lease Cycles'!$CB$31:$CH$31,1,U401)*(1+INDEX('Lease Cycles'!$CI$31:$CO$31,1,U401))^INT(INT(U402/12)/INDEX('Lease Cycles'!$CP$31:$CV$31,1,U401))/12))),IF('Lease Cycles'!$N$31=1,'Lease Cycles'!$C$31*'Lease Cycles'!$E$31*INDEX('Lease Cycles'!$HE$31:$HK$31,1,U401)*(1+INDEX('Lease Cycles'!$GQ$31:$GW$31,1,U401))^INT(INT((U$6-INDEX('Lease Cycles'!$GJ$31:$GP$31,1,U401))/12)/INDEX('Lease Cycles'!$GX$31:$HD$31,1,U401))/12,0)))</f>
        <v>0</v>
      </c>
      <c r="V404" s="28">
        <f>IF(V401=0,IF('Lease Cycles'!$F$31&gt;0,'Lease Cycles'!$C$31*'Lease Cycles'!$E$31/12,0),IF(V403=1,IF('Lease Cycles'!$AT$31&gt;=9999,'Lease Cycles'!$C$31*INDEX('Lease Cycles'!$CB$31:$CH$31,1,V401)*(1+INDEX('Lease Cycles'!$CI$31:$CO$31,1,V401))^INT(INT(V402/12)/INDEX('Lease Cycles'!$CP$31:$CV$31,1,V401))/12,IF(V401=1,IF(V402&gt;=INDEX('Lease Cycles'!$DK$31:$DQ$31,1,V401),IF(V$6&gt;='Lease Cycles'!$AZ$31,'Lease Cycles'!$C$31*'Lease Cycles'!$BA$31/12,IF(V$6&gt;='Lease Cycles'!$AX$31,'Lease Cycles'!$C$31*'Lease Cycles'!$AY$31/12,IF(V$6&gt;='Lease Cycles'!$AV$31,'Lease Cycles'!$C$31*'Lease Cycles'!$AW$31/12,IF(V$6&gt;='Lease Cycles'!$AT$31,'Lease Cycles'!$C$31*'Lease Cycles'!$AU$31/12,'Lease Cycles'!$C$31*INDEX('Lease Cycles'!$CB$31:$CH$31,1,V401)*(1+INDEX('Lease Cycles'!$CI$31:$CO$31,1,V401))^INT(INT(V402/12)/INDEX('Lease Cycles'!$CP$31:$CV$31,1,V401))/12)))),'Lease Cycles'!$C$31*INDEX('Lease Cycles'!$CB$31:$CH$31,1,V401)*(1+INDEX('Lease Cycles'!$CI$31:$CO$31,1,V401))^INT(INT(V402/12)/INDEX('Lease Cycles'!$CP$31:$CV$31,1,V401))/12),IF(INDEX('Lease Cycles'!$EF$31:$EL$31,1,V401)=1,IF(AND('Lease Cycles'!$AZ$31&gt;=INDEX('Lease Cycles'!$BG$31:$BM$31,1,V401),'Lease Cycles'!$AZ$31&lt;=V$6),'Lease Cycles'!$C$31*'Lease Cycles'!$BA$31/12,IF(AND('Lease Cycles'!$AX$31&gt;=INDEX('Lease Cycles'!$BG$31:$BM$31,1,V401),'Lease Cycles'!$AX$31&lt;=V$6),'Lease Cycles'!$C$31*'Lease Cycles'!$AY$31/12,IF(AND('Lease Cycles'!$AV$31&gt;=INDEX('Lease Cycles'!$BG$31:$BM$31,1,V401),'Lease Cycles'!$AV$31&lt;=V$6),'Lease Cycles'!$C$31*'Lease Cycles'!$AW$31/12,IF(AND('Lease Cycles'!$AT$31&gt;=INDEX('Lease Cycles'!$BG$31:$BM$31,1,V401),'Lease Cycles'!$AT$31&lt;=V$6),'Lease Cycles'!$C$31*'Lease Cycles'!$AU$31/12,'Lease Cycles'!$C$31*INDEX('Lease Cycles'!$CB$31:$CH$31,1,V401)*(1+INDEX('Lease Cycles'!$CI$31:$CO$31,1,V401))^INT(INT(V402/12)/INDEX('Lease Cycles'!$CP$31:$CV$31,1,V401))/12)))),'Lease Cycles'!$C$31*INDEX('Lease Cycles'!$CB$31:$CH$31,1,V401)*(1+INDEX('Lease Cycles'!$CI$31:$CO$31,1,V401))^INT(INT(V402/12)/INDEX('Lease Cycles'!$CP$31:$CV$31,1,V401))/12))),IF('Lease Cycles'!$N$31=1,'Lease Cycles'!$C$31*'Lease Cycles'!$E$31*INDEX('Lease Cycles'!$HE$31:$HK$31,1,V401)*(1+INDEX('Lease Cycles'!$GQ$31:$GW$31,1,V401))^INT(INT((V$6-INDEX('Lease Cycles'!$GJ$31:$GP$31,1,V401))/12)/INDEX('Lease Cycles'!$GX$31:$HD$31,1,V401))/12,0)))</f>
        <v>0</v>
      </c>
      <c r="W404" s="28">
        <f>IF(W401=0,IF('Lease Cycles'!$F$31&gt;0,'Lease Cycles'!$C$31*'Lease Cycles'!$E$31/12,0),IF(W403=1,IF('Lease Cycles'!$AT$31&gt;=9999,'Lease Cycles'!$C$31*INDEX('Lease Cycles'!$CB$31:$CH$31,1,W401)*(1+INDEX('Lease Cycles'!$CI$31:$CO$31,1,W401))^INT(INT(W402/12)/INDEX('Lease Cycles'!$CP$31:$CV$31,1,W401))/12,IF(W401=1,IF(W402&gt;=INDEX('Lease Cycles'!$DK$31:$DQ$31,1,W401),IF(W$6&gt;='Lease Cycles'!$AZ$31,'Lease Cycles'!$C$31*'Lease Cycles'!$BA$31/12,IF(W$6&gt;='Lease Cycles'!$AX$31,'Lease Cycles'!$C$31*'Lease Cycles'!$AY$31/12,IF(W$6&gt;='Lease Cycles'!$AV$31,'Lease Cycles'!$C$31*'Lease Cycles'!$AW$31/12,IF(W$6&gt;='Lease Cycles'!$AT$31,'Lease Cycles'!$C$31*'Lease Cycles'!$AU$31/12,'Lease Cycles'!$C$31*INDEX('Lease Cycles'!$CB$31:$CH$31,1,W401)*(1+INDEX('Lease Cycles'!$CI$31:$CO$31,1,W401))^INT(INT(W402/12)/INDEX('Lease Cycles'!$CP$31:$CV$31,1,W401))/12)))),'Lease Cycles'!$C$31*INDEX('Lease Cycles'!$CB$31:$CH$31,1,W401)*(1+INDEX('Lease Cycles'!$CI$31:$CO$31,1,W401))^INT(INT(W402/12)/INDEX('Lease Cycles'!$CP$31:$CV$31,1,W401))/12),IF(INDEX('Lease Cycles'!$EF$31:$EL$31,1,W401)=1,IF(AND('Lease Cycles'!$AZ$31&gt;=INDEX('Lease Cycles'!$BG$31:$BM$31,1,W401),'Lease Cycles'!$AZ$31&lt;=W$6),'Lease Cycles'!$C$31*'Lease Cycles'!$BA$31/12,IF(AND('Lease Cycles'!$AX$31&gt;=INDEX('Lease Cycles'!$BG$31:$BM$31,1,W401),'Lease Cycles'!$AX$31&lt;=W$6),'Lease Cycles'!$C$31*'Lease Cycles'!$AY$31/12,IF(AND('Lease Cycles'!$AV$31&gt;=INDEX('Lease Cycles'!$BG$31:$BM$31,1,W401),'Lease Cycles'!$AV$31&lt;=W$6),'Lease Cycles'!$C$31*'Lease Cycles'!$AW$31/12,IF(AND('Lease Cycles'!$AT$31&gt;=INDEX('Lease Cycles'!$BG$31:$BM$31,1,W401),'Lease Cycles'!$AT$31&lt;=W$6),'Lease Cycles'!$C$31*'Lease Cycles'!$AU$31/12,'Lease Cycles'!$C$31*INDEX('Lease Cycles'!$CB$31:$CH$31,1,W401)*(1+INDEX('Lease Cycles'!$CI$31:$CO$31,1,W401))^INT(INT(W402/12)/INDEX('Lease Cycles'!$CP$31:$CV$31,1,W401))/12)))),'Lease Cycles'!$C$31*INDEX('Lease Cycles'!$CB$31:$CH$31,1,W401)*(1+INDEX('Lease Cycles'!$CI$31:$CO$31,1,W401))^INT(INT(W402/12)/INDEX('Lease Cycles'!$CP$31:$CV$31,1,W401))/12))),IF('Lease Cycles'!$N$31=1,'Lease Cycles'!$C$31*'Lease Cycles'!$E$31*INDEX('Lease Cycles'!$HE$31:$HK$31,1,W401)*(1+INDEX('Lease Cycles'!$GQ$31:$GW$31,1,W401))^INT(INT((W$6-INDEX('Lease Cycles'!$GJ$31:$GP$31,1,W401))/12)/INDEX('Lease Cycles'!$GX$31:$HD$31,1,W401))/12,0)))</f>
        <v>0</v>
      </c>
      <c r="X404" s="28">
        <f>IF(X401=0,IF('Lease Cycles'!$F$31&gt;0,'Lease Cycles'!$C$31*'Lease Cycles'!$E$31/12,0),IF(X403=1,IF('Lease Cycles'!$AT$31&gt;=9999,'Lease Cycles'!$C$31*INDEX('Lease Cycles'!$CB$31:$CH$31,1,X401)*(1+INDEX('Lease Cycles'!$CI$31:$CO$31,1,X401))^INT(INT(X402/12)/INDEX('Lease Cycles'!$CP$31:$CV$31,1,X401))/12,IF(X401=1,IF(X402&gt;=INDEX('Lease Cycles'!$DK$31:$DQ$31,1,X401),IF(X$6&gt;='Lease Cycles'!$AZ$31,'Lease Cycles'!$C$31*'Lease Cycles'!$BA$31/12,IF(X$6&gt;='Lease Cycles'!$AX$31,'Lease Cycles'!$C$31*'Lease Cycles'!$AY$31/12,IF(X$6&gt;='Lease Cycles'!$AV$31,'Lease Cycles'!$C$31*'Lease Cycles'!$AW$31/12,IF(X$6&gt;='Lease Cycles'!$AT$31,'Lease Cycles'!$C$31*'Lease Cycles'!$AU$31/12,'Lease Cycles'!$C$31*INDEX('Lease Cycles'!$CB$31:$CH$31,1,X401)*(1+INDEX('Lease Cycles'!$CI$31:$CO$31,1,X401))^INT(INT(X402/12)/INDEX('Lease Cycles'!$CP$31:$CV$31,1,X401))/12)))),'Lease Cycles'!$C$31*INDEX('Lease Cycles'!$CB$31:$CH$31,1,X401)*(1+INDEX('Lease Cycles'!$CI$31:$CO$31,1,X401))^INT(INT(X402/12)/INDEX('Lease Cycles'!$CP$31:$CV$31,1,X401))/12),IF(INDEX('Lease Cycles'!$EF$31:$EL$31,1,X401)=1,IF(AND('Lease Cycles'!$AZ$31&gt;=INDEX('Lease Cycles'!$BG$31:$BM$31,1,X401),'Lease Cycles'!$AZ$31&lt;=X$6),'Lease Cycles'!$C$31*'Lease Cycles'!$BA$31/12,IF(AND('Lease Cycles'!$AX$31&gt;=INDEX('Lease Cycles'!$BG$31:$BM$31,1,X401),'Lease Cycles'!$AX$31&lt;=X$6),'Lease Cycles'!$C$31*'Lease Cycles'!$AY$31/12,IF(AND('Lease Cycles'!$AV$31&gt;=INDEX('Lease Cycles'!$BG$31:$BM$31,1,X401),'Lease Cycles'!$AV$31&lt;=X$6),'Lease Cycles'!$C$31*'Lease Cycles'!$AW$31/12,IF(AND('Lease Cycles'!$AT$31&gt;=INDEX('Lease Cycles'!$BG$31:$BM$31,1,X401),'Lease Cycles'!$AT$31&lt;=X$6),'Lease Cycles'!$C$31*'Lease Cycles'!$AU$31/12,'Lease Cycles'!$C$31*INDEX('Lease Cycles'!$CB$31:$CH$31,1,X401)*(1+INDEX('Lease Cycles'!$CI$31:$CO$31,1,X401))^INT(INT(X402/12)/INDEX('Lease Cycles'!$CP$31:$CV$31,1,X401))/12)))),'Lease Cycles'!$C$31*INDEX('Lease Cycles'!$CB$31:$CH$31,1,X401)*(1+INDEX('Lease Cycles'!$CI$31:$CO$31,1,X401))^INT(INT(X402/12)/INDEX('Lease Cycles'!$CP$31:$CV$31,1,X401))/12))),IF('Lease Cycles'!$N$31=1,'Lease Cycles'!$C$31*'Lease Cycles'!$E$31*INDEX('Lease Cycles'!$HE$31:$HK$31,1,X401)*(1+INDEX('Lease Cycles'!$GQ$31:$GW$31,1,X401))^INT(INT((X$6-INDEX('Lease Cycles'!$GJ$31:$GP$31,1,X401))/12)/INDEX('Lease Cycles'!$GX$31:$HD$31,1,X401))/12,0)))</f>
        <v>0</v>
      </c>
      <c r="Y404" s="28">
        <f>IF(Y401=0,IF('Lease Cycles'!$F$31&gt;0,'Lease Cycles'!$C$31*'Lease Cycles'!$E$31/12,0),IF(Y403=1,IF('Lease Cycles'!$AT$31&gt;=9999,'Lease Cycles'!$C$31*INDEX('Lease Cycles'!$CB$31:$CH$31,1,Y401)*(1+INDEX('Lease Cycles'!$CI$31:$CO$31,1,Y401))^INT(INT(Y402/12)/INDEX('Lease Cycles'!$CP$31:$CV$31,1,Y401))/12,IF(Y401=1,IF(Y402&gt;=INDEX('Lease Cycles'!$DK$31:$DQ$31,1,Y401),IF(Y$6&gt;='Lease Cycles'!$AZ$31,'Lease Cycles'!$C$31*'Lease Cycles'!$BA$31/12,IF(Y$6&gt;='Lease Cycles'!$AX$31,'Lease Cycles'!$C$31*'Lease Cycles'!$AY$31/12,IF(Y$6&gt;='Lease Cycles'!$AV$31,'Lease Cycles'!$C$31*'Lease Cycles'!$AW$31/12,IF(Y$6&gt;='Lease Cycles'!$AT$31,'Lease Cycles'!$C$31*'Lease Cycles'!$AU$31/12,'Lease Cycles'!$C$31*INDEX('Lease Cycles'!$CB$31:$CH$31,1,Y401)*(1+INDEX('Lease Cycles'!$CI$31:$CO$31,1,Y401))^INT(INT(Y402/12)/INDEX('Lease Cycles'!$CP$31:$CV$31,1,Y401))/12)))),'Lease Cycles'!$C$31*INDEX('Lease Cycles'!$CB$31:$CH$31,1,Y401)*(1+INDEX('Lease Cycles'!$CI$31:$CO$31,1,Y401))^INT(INT(Y402/12)/INDEX('Lease Cycles'!$CP$31:$CV$31,1,Y401))/12),IF(INDEX('Lease Cycles'!$EF$31:$EL$31,1,Y401)=1,IF(AND('Lease Cycles'!$AZ$31&gt;=INDEX('Lease Cycles'!$BG$31:$BM$31,1,Y401),'Lease Cycles'!$AZ$31&lt;=Y$6),'Lease Cycles'!$C$31*'Lease Cycles'!$BA$31/12,IF(AND('Lease Cycles'!$AX$31&gt;=INDEX('Lease Cycles'!$BG$31:$BM$31,1,Y401),'Lease Cycles'!$AX$31&lt;=Y$6),'Lease Cycles'!$C$31*'Lease Cycles'!$AY$31/12,IF(AND('Lease Cycles'!$AV$31&gt;=INDEX('Lease Cycles'!$BG$31:$BM$31,1,Y401),'Lease Cycles'!$AV$31&lt;=Y$6),'Lease Cycles'!$C$31*'Lease Cycles'!$AW$31/12,IF(AND('Lease Cycles'!$AT$31&gt;=INDEX('Lease Cycles'!$BG$31:$BM$31,1,Y401),'Lease Cycles'!$AT$31&lt;=Y$6),'Lease Cycles'!$C$31*'Lease Cycles'!$AU$31/12,'Lease Cycles'!$C$31*INDEX('Lease Cycles'!$CB$31:$CH$31,1,Y401)*(1+INDEX('Lease Cycles'!$CI$31:$CO$31,1,Y401))^INT(INT(Y402/12)/INDEX('Lease Cycles'!$CP$31:$CV$31,1,Y401))/12)))),'Lease Cycles'!$C$31*INDEX('Lease Cycles'!$CB$31:$CH$31,1,Y401)*(1+INDEX('Lease Cycles'!$CI$31:$CO$31,1,Y401))^INT(INT(Y402/12)/INDEX('Lease Cycles'!$CP$31:$CV$31,1,Y401))/12))),IF('Lease Cycles'!$N$31=1,'Lease Cycles'!$C$31*'Lease Cycles'!$E$31*INDEX('Lease Cycles'!$HE$31:$HK$31,1,Y401)*(1+INDEX('Lease Cycles'!$GQ$31:$GW$31,1,Y401))^INT(INT((Y$6-INDEX('Lease Cycles'!$GJ$31:$GP$31,1,Y401))/12)/INDEX('Lease Cycles'!$GX$31:$HD$31,1,Y401))/12,0)))</f>
        <v>0</v>
      </c>
      <c r="Z404" s="28">
        <f>IF(Z401=0,IF('Lease Cycles'!$F$31&gt;0,'Lease Cycles'!$C$31*'Lease Cycles'!$E$31/12,0),IF(Z403=1,IF('Lease Cycles'!$AT$31&gt;=9999,'Lease Cycles'!$C$31*INDEX('Lease Cycles'!$CB$31:$CH$31,1,Z401)*(1+INDEX('Lease Cycles'!$CI$31:$CO$31,1,Z401))^INT(INT(Z402/12)/INDEX('Lease Cycles'!$CP$31:$CV$31,1,Z401))/12,IF(Z401=1,IF(Z402&gt;=INDEX('Lease Cycles'!$DK$31:$DQ$31,1,Z401),IF(Z$6&gt;='Lease Cycles'!$AZ$31,'Lease Cycles'!$C$31*'Lease Cycles'!$BA$31/12,IF(Z$6&gt;='Lease Cycles'!$AX$31,'Lease Cycles'!$C$31*'Lease Cycles'!$AY$31/12,IF(Z$6&gt;='Lease Cycles'!$AV$31,'Lease Cycles'!$C$31*'Lease Cycles'!$AW$31/12,IF(Z$6&gt;='Lease Cycles'!$AT$31,'Lease Cycles'!$C$31*'Lease Cycles'!$AU$31/12,'Lease Cycles'!$C$31*INDEX('Lease Cycles'!$CB$31:$CH$31,1,Z401)*(1+INDEX('Lease Cycles'!$CI$31:$CO$31,1,Z401))^INT(INT(Z402/12)/INDEX('Lease Cycles'!$CP$31:$CV$31,1,Z401))/12)))),'Lease Cycles'!$C$31*INDEX('Lease Cycles'!$CB$31:$CH$31,1,Z401)*(1+INDEX('Lease Cycles'!$CI$31:$CO$31,1,Z401))^INT(INT(Z402/12)/INDEX('Lease Cycles'!$CP$31:$CV$31,1,Z401))/12),IF(INDEX('Lease Cycles'!$EF$31:$EL$31,1,Z401)=1,IF(AND('Lease Cycles'!$AZ$31&gt;=INDEX('Lease Cycles'!$BG$31:$BM$31,1,Z401),'Lease Cycles'!$AZ$31&lt;=Z$6),'Lease Cycles'!$C$31*'Lease Cycles'!$BA$31/12,IF(AND('Lease Cycles'!$AX$31&gt;=INDEX('Lease Cycles'!$BG$31:$BM$31,1,Z401),'Lease Cycles'!$AX$31&lt;=Z$6),'Lease Cycles'!$C$31*'Lease Cycles'!$AY$31/12,IF(AND('Lease Cycles'!$AV$31&gt;=INDEX('Lease Cycles'!$BG$31:$BM$31,1,Z401),'Lease Cycles'!$AV$31&lt;=Z$6),'Lease Cycles'!$C$31*'Lease Cycles'!$AW$31/12,IF(AND('Lease Cycles'!$AT$31&gt;=INDEX('Lease Cycles'!$BG$31:$BM$31,1,Z401),'Lease Cycles'!$AT$31&lt;=Z$6),'Lease Cycles'!$C$31*'Lease Cycles'!$AU$31/12,'Lease Cycles'!$C$31*INDEX('Lease Cycles'!$CB$31:$CH$31,1,Z401)*(1+INDEX('Lease Cycles'!$CI$31:$CO$31,1,Z401))^INT(INT(Z402/12)/INDEX('Lease Cycles'!$CP$31:$CV$31,1,Z401))/12)))),'Lease Cycles'!$C$31*INDEX('Lease Cycles'!$CB$31:$CH$31,1,Z401)*(1+INDEX('Lease Cycles'!$CI$31:$CO$31,1,Z401))^INT(INT(Z402/12)/INDEX('Lease Cycles'!$CP$31:$CV$31,1,Z401))/12))),IF('Lease Cycles'!$N$31=1,'Lease Cycles'!$C$31*'Lease Cycles'!$E$31*INDEX('Lease Cycles'!$HE$31:$HK$31,1,Z401)*(1+INDEX('Lease Cycles'!$GQ$31:$GW$31,1,Z401))^INT(INT((Z$6-INDEX('Lease Cycles'!$GJ$31:$GP$31,1,Z401))/12)/INDEX('Lease Cycles'!$GX$31:$HD$31,1,Z401))/12,0)))</f>
        <v>0</v>
      </c>
      <c r="AA404" s="28">
        <f>IF(AA401=0,IF('Lease Cycles'!$F$31&gt;0,'Lease Cycles'!$C$31*'Lease Cycles'!$E$31/12,0),IF(AA403=1,IF('Lease Cycles'!$AT$31&gt;=9999,'Lease Cycles'!$C$31*INDEX('Lease Cycles'!$CB$31:$CH$31,1,AA401)*(1+INDEX('Lease Cycles'!$CI$31:$CO$31,1,AA401))^INT(INT(AA402/12)/INDEX('Lease Cycles'!$CP$31:$CV$31,1,AA401))/12,IF(AA401=1,IF(AA402&gt;=INDEX('Lease Cycles'!$DK$31:$DQ$31,1,AA401),IF(AA$6&gt;='Lease Cycles'!$AZ$31,'Lease Cycles'!$C$31*'Lease Cycles'!$BA$31/12,IF(AA$6&gt;='Lease Cycles'!$AX$31,'Lease Cycles'!$C$31*'Lease Cycles'!$AY$31/12,IF(AA$6&gt;='Lease Cycles'!$AV$31,'Lease Cycles'!$C$31*'Lease Cycles'!$AW$31/12,IF(AA$6&gt;='Lease Cycles'!$AT$31,'Lease Cycles'!$C$31*'Lease Cycles'!$AU$31/12,'Lease Cycles'!$C$31*INDEX('Lease Cycles'!$CB$31:$CH$31,1,AA401)*(1+INDEX('Lease Cycles'!$CI$31:$CO$31,1,AA401))^INT(INT(AA402/12)/INDEX('Lease Cycles'!$CP$31:$CV$31,1,AA401))/12)))),'Lease Cycles'!$C$31*INDEX('Lease Cycles'!$CB$31:$CH$31,1,AA401)*(1+INDEX('Lease Cycles'!$CI$31:$CO$31,1,AA401))^INT(INT(AA402/12)/INDEX('Lease Cycles'!$CP$31:$CV$31,1,AA401))/12),IF(INDEX('Lease Cycles'!$EF$31:$EL$31,1,AA401)=1,IF(AND('Lease Cycles'!$AZ$31&gt;=INDEX('Lease Cycles'!$BG$31:$BM$31,1,AA401),'Lease Cycles'!$AZ$31&lt;=AA$6),'Lease Cycles'!$C$31*'Lease Cycles'!$BA$31/12,IF(AND('Lease Cycles'!$AX$31&gt;=INDEX('Lease Cycles'!$BG$31:$BM$31,1,AA401),'Lease Cycles'!$AX$31&lt;=AA$6),'Lease Cycles'!$C$31*'Lease Cycles'!$AY$31/12,IF(AND('Lease Cycles'!$AV$31&gt;=INDEX('Lease Cycles'!$BG$31:$BM$31,1,AA401),'Lease Cycles'!$AV$31&lt;=AA$6),'Lease Cycles'!$C$31*'Lease Cycles'!$AW$31/12,IF(AND('Lease Cycles'!$AT$31&gt;=INDEX('Lease Cycles'!$BG$31:$BM$31,1,AA401),'Lease Cycles'!$AT$31&lt;=AA$6),'Lease Cycles'!$C$31*'Lease Cycles'!$AU$31/12,'Lease Cycles'!$C$31*INDEX('Lease Cycles'!$CB$31:$CH$31,1,AA401)*(1+INDEX('Lease Cycles'!$CI$31:$CO$31,1,AA401))^INT(INT(AA402/12)/INDEX('Lease Cycles'!$CP$31:$CV$31,1,AA401))/12)))),'Lease Cycles'!$C$31*INDEX('Lease Cycles'!$CB$31:$CH$31,1,AA401)*(1+INDEX('Lease Cycles'!$CI$31:$CO$31,1,AA401))^INT(INT(AA402/12)/INDEX('Lease Cycles'!$CP$31:$CV$31,1,AA401))/12))),IF('Lease Cycles'!$N$31=1,'Lease Cycles'!$C$31*'Lease Cycles'!$E$31*INDEX('Lease Cycles'!$HE$31:$HK$31,1,AA401)*(1+INDEX('Lease Cycles'!$GQ$31:$GW$31,1,AA401))^INT(INT((AA$6-INDEX('Lease Cycles'!$GJ$31:$GP$31,1,AA401))/12)/INDEX('Lease Cycles'!$GX$31:$HD$31,1,AA401))/12,0)))</f>
        <v>0</v>
      </c>
      <c r="AB404" s="28">
        <f>IF(AB401=0,IF('Lease Cycles'!$F$31&gt;0,'Lease Cycles'!$C$31*'Lease Cycles'!$E$31/12,0),IF(AB403=1,IF('Lease Cycles'!$AT$31&gt;=9999,'Lease Cycles'!$C$31*INDEX('Lease Cycles'!$CB$31:$CH$31,1,AB401)*(1+INDEX('Lease Cycles'!$CI$31:$CO$31,1,AB401))^INT(INT(AB402/12)/INDEX('Lease Cycles'!$CP$31:$CV$31,1,AB401))/12,IF(AB401=1,IF(AB402&gt;=INDEX('Lease Cycles'!$DK$31:$DQ$31,1,AB401),IF(AB$6&gt;='Lease Cycles'!$AZ$31,'Lease Cycles'!$C$31*'Lease Cycles'!$BA$31/12,IF(AB$6&gt;='Lease Cycles'!$AX$31,'Lease Cycles'!$C$31*'Lease Cycles'!$AY$31/12,IF(AB$6&gt;='Lease Cycles'!$AV$31,'Lease Cycles'!$C$31*'Lease Cycles'!$AW$31/12,IF(AB$6&gt;='Lease Cycles'!$AT$31,'Lease Cycles'!$C$31*'Lease Cycles'!$AU$31/12,'Lease Cycles'!$C$31*INDEX('Lease Cycles'!$CB$31:$CH$31,1,AB401)*(1+INDEX('Lease Cycles'!$CI$31:$CO$31,1,AB401))^INT(INT(AB402/12)/INDEX('Lease Cycles'!$CP$31:$CV$31,1,AB401))/12)))),'Lease Cycles'!$C$31*INDEX('Lease Cycles'!$CB$31:$CH$31,1,AB401)*(1+INDEX('Lease Cycles'!$CI$31:$CO$31,1,AB401))^INT(INT(AB402/12)/INDEX('Lease Cycles'!$CP$31:$CV$31,1,AB401))/12),IF(INDEX('Lease Cycles'!$EF$31:$EL$31,1,AB401)=1,IF(AND('Lease Cycles'!$AZ$31&gt;=INDEX('Lease Cycles'!$BG$31:$BM$31,1,AB401),'Lease Cycles'!$AZ$31&lt;=AB$6),'Lease Cycles'!$C$31*'Lease Cycles'!$BA$31/12,IF(AND('Lease Cycles'!$AX$31&gt;=INDEX('Lease Cycles'!$BG$31:$BM$31,1,AB401),'Lease Cycles'!$AX$31&lt;=AB$6),'Lease Cycles'!$C$31*'Lease Cycles'!$AY$31/12,IF(AND('Lease Cycles'!$AV$31&gt;=INDEX('Lease Cycles'!$BG$31:$BM$31,1,AB401),'Lease Cycles'!$AV$31&lt;=AB$6),'Lease Cycles'!$C$31*'Lease Cycles'!$AW$31/12,IF(AND('Lease Cycles'!$AT$31&gt;=INDEX('Lease Cycles'!$BG$31:$BM$31,1,AB401),'Lease Cycles'!$AT$31&lt;=AB$6),'Lease Cycles'!$C$31*'Lease Cycles'!$AU$31/12,'Lease Cycles'!$C$31*INDEX('Lease Cycles'!$CB$31:$CH$31,1,AB401)*(1+INDEX('Lease Cycles'!$CI$31:$CO$31,1,AB401))^INT(INT(AB402/12)/INDEX('Lease Cycles'!$CP$31:$CV$31,1,AB401))/12)))),'Lease Cycles'!$C$31*INDEX('Lease Cycles'!$CB$31:$CH$31,1,AB401)*(1+INDEX('Lease Cycles'!$CI$31:$CO$31,1,AB401))^INT(INT(AB402/12)/INDEX('Lease Cycles'!$CP$31:$CV$31,1,AB401))/12))),IF('Lease Cycles'!$N$31=1,'Lease Cycles'!$C$31*'Lease Cycles'!$E$31*INDEX('Lease Cycles'!$HE$31:$HK$31,1,AB401)*(1+INDEX('Lease Cycles'!$GQ$31:$GW$31,1,AB401))^INT(INT((AB$6-INDEX('Lease Cycles'!$GJ$31:$GP$31,1,AB401))/12)/INDEX('Lease Cycles'!$GX$31:$HD$31,1,AB401))/12,0)))</f>
        <v>0</v>
      </c>
      <c r="AC404" s="28">
        <f>IF(AC401=0,IF('Lease Cycles'!$F$31&gt;0,'Lease Cycles'!$C$31*'Lease Cycles'!$E$31/12,0),IF(AC403=1,IF('Lease Cycles'!$AT$31&gt;=9999,'Lease Cycles'!$C$31*INDEX('Lease Cycles'!$CB$31:$CH$31,1,AC401)*(1+INDEX('Lease Cycles'!$CI$31:$CO$31,1,AC401))^INT(INT(AC402/12)/INDEX('Lease Cycles'!$CP$31:$CV$31,1,AC401))/12,IF(AC401=1,IF(AC402&gt;=INDEX('Lease Cycles'!$DK$31:$DQ$31,1,AC401),IF(AC$6&gt;='Lease Cycles'!$AZ$31,'Lease Cycles'!$C$31*'Lease Cycles'!$BA$31/12,IF(AC$6&gt;='Lease Cycles'!$AX$31,'Lease Cycles'!$C$31*'Lease Cycles'!$AY$31/12,IF(AC$6&gt;='Lease Cycles'!$AV$31,'Lease Cycles'!$C$31*'Lease Cycles'!$AW$31/12,IF(AC$6&gt;='Lease Cycles'!$AT$31,'Lease Cycles'!$C$31*'Lease Cycles'!$AU$31/12,'Lease Cycles'!$C$31*INDEX('Lease Cycles'!$CB$31:$CH$31,1,AC401)*(1+INDEX('Lease Cycles'!$CI$31:$CO$31,1,AC401))^INT(INT(AC402/12)/INDEX('Lease Cycles'!$CP$31:$CV$31,1,AC401))/12)))),'Lease Cycles'!$C$31*INDEX('Lease Cycles'!$CB$31:$CH$31,1,AC401)*(1+INDEX('Lease Cycles'!$CI$31:$CO$31,1,AC401))^INT(INT(AC402/12)/INDEX('Lease Cycles'!$CP$31:$CV$31,1,AC401))/12),IF(INDEX('Lease Cycles'!$EF$31:$EL$31,1,AC401)=1,IF(AND('Lease Cycles'!$AZ$31&gt;=INDEX('Lease Cycles'!$BG$31:$BM$31,1,AC401),'Lease Cycles'!$AZ$31&lt;=AC$6),'Lease Cycles'!$C$31*'Lease Cycles'!$BA$31/12,IF(AND('Lease Cycles'!$AX$31&gt;=INDEX('Lease Cycles'!$BG$31:$BM$31,1,AC401),'Lease Cycles'!$AX$31&lt;=AC$6),'Lease Cycles'!$C$31*'Lease Cycles'!$AY$31/12,IF(AND('Lease Cycles'!$AV$31&gt;=INDEX('Lease Cycles'!$BG$31:$BM$31,1,AC401),'Lease Cycles'!$AV$31&lt;=AC$6),'Lease Cycles'!$C$31*'Lease Cycles'!$AW$31/12,IF(AND('Lease Cycles'!$AT$31&gt;=INDEX('Lease Cycles'!$BG$31:$BM$31,1,AC401),'Lease Cycles'!$AT$31&lt;=AC$6),'Lease Cycles'!$C$31*'Lease Cycles'!$AU$31/12,'Lease Cycles'!$C$31*INDEX('Lease Cycles'!$CB$31:$CH$31,1,AC401)*(1+INDEX('Lease Cycles'!$CI$31:$CO$31,1,AC401))^INT(INT(AC402/12)/INDEX('Lease Cycles'!$CP$31:$CV$31,1,AC401))/12)))),'Lease Cycles'!$C$31*INDEX('Lease Cycles'!$CB$31:$CH$31,1,AC401)*(1+INDEX('Lease Cycles'!$CI$31:$CO$31,1,AC401))^INT(INT(AC402/12)/INDEX('Lease Cycles'!$CP$31:$CV$31,1,AC401))/12))),IF('Lease Cycles'!$N$31=1,'Lease Cycles'!$C$31*'Lease Cycles'!$E$31*INDEX('Lease Cycles'!$HE$31:$HK$31,1,AC401)*(1+INDEX('Lease Cycles'!$GQ$31:$GW$31,1,AC401))^INT(INT((AC$6-INDEX('Lease Cycles'!$GJ$31:$GP$31,1,AC401))/12)/INDEX('Lease Cycles'!$GX$31:$HD$31,1,AC401))/12,0)))</f>
        <v>0</v>
      </c>
      <c r="AD404" s="28">
        <f>IF(AD401=0,IF('Lease Cycles'!$F$31&gt;0,'Lease Cycles'!$C$31*'Lease Cycles'!$E$31/12,0),IF(AD403=1,IF('Lease Cycles'!$AT$31&gt;=9999,'Lease Cycles'!$C$31*INDEX('Lease Cycles'!$CB$31:$CH$31,1,AD401)*(1+INDEX('Lease Cycles'!$CI$31:$CO$31,1,AD401))^INT(INT(AD402/12)/INDEX('Lease Cycles'!$CP$31:$CV$31,1,AD401))/12,IF(AD401=1,IF(AD402&gt;=INDEX('Lease Cycles'!$DK$31:$DQ$31,1,AD401),IF(AD$6&gt;='Lease Cycles'!$AZ$31,'Lease Cycles'!$C$31*'Lease Cycles'!$BA$31/12,IF(AD$6&gt;='Lease Cycles'!$AX$31,'Lease Cycles'!$C$31*'Lease Cycles'!$AY$31/12,IF(AD$6&gt;='Lease Cycles'!$AV$31,'Lease Cycles'!$C$31*'Lease Cycles'!$AW$31/12,IF(AD$6&gt;='Lease Cycles'!$AT$31,'Lease Cycles'!$C$31*'Lease Cycles'!$AU$31/12,'Lease Cycles'!$C$31*INDEX('Lease Cycles'!$CB$31:$CH$31,1,AD401)*(1+INDEX('Lease Cycles'!$CI$31:$CO$31,1,AD401))^INT(INT(AD402/12)/INDEX('Lease Cycles'!$CP$31:$CV$31,1,AD401))/12)))),'Lease Cycles'!$C$31*INDEX('Lease Cycles'!$CB$31:$CH$31,1,AD401)*(1+INDEX('Lease Cycles'!$CI$31:$CO$31,1,AD401))^INT(INT(AD402/12)/INDEX('Lease Cycles'!$CP$31:$CV$31,1,AD401))/12),IF(INDEX('Lease Cycles'!$EF$31:$EL$31,1,AD401)=1,IF(AND('Lease Cycles'!$AZ$31&gt;=INDEX('Lease Cycles'!$BG$31:$BM$31,1,AD401),'Lease Cycles'!$AZ$31&lt;=AD$6),'Lease Cycles'!$C$31*'Lease Cycles'!$BA$31/12,IF(AND('Lease Cycles'!$AX$31&gt;=INDEX('Lease Cycles'!$BG$31:$BM$31,1,AD401),'Lease Cycles'!$AX$31&lt;=AD$6),'Lease Cycles'!$C$31*'Lease Cycles'!$AY$31/12,IF(AND('Lease Cycles'!$AV$31&gt;=INDEX('Lease Cycles'!$BG$31:$BM$31,1,AD401),'Lease Cycles'!$AV$31&lt;=AD$6),'Lease Cycles'!$C$31*'Lease Cycles'!$AW$31/12,IF(AND('Lease Cycles'!$AT$31&gt;=INDEX('Lease Cycles'!$BG$31:$BM$31,1,AD401),'Lease Cycles'!$AT$31&lt;=AD$6),'Lease Cycles'!$C$31*'Lease Cycles'!$AU$31/12,'Lease Cycles'!$C$31*INDEX('Lease Cycles'!$CB$31:$CH$31,1,AD401)*(1+INDEX('Lease Cycles'!$CI$31:$CO$31,1,AD401))^INT(INT(AD402/12)/INDEX('Lease Cycles'!$CP$31:$CV$31,1,AD401))/12)))),'Lease Cycles'!$C$31*INDEX('Lease Cycles'!$CB$31:$CH$31,1,AD401)*(1+INDEX('Lease Cycles'!$CI$31:$CO$31,1,AD401))^INT(INT(AD402/12)/INDEX('Lease Cycles'!$CP$31:$CV$31,1,AD401))/12))),IF('Lease Cycles'!$N$31=1,'Lease Cycles'!$C$31*'Lease Cycles'!$E$31*INDEX('Lease Cycles'!$HE$31:$HK$31,1,AD401)*(1+INDEX('Lease Cycles'!$GQ$31:$GW$31,1,AD401))^INT(INT((AD$6-INDEX('Lease Cycles'!$GJ$31:$GP$31,1,AD401))/12)/INDEX('Lease Cycles'!$GX$31:$HD$31,1,AD401))/12,0)))</f>
        <v>0</v>
      </c>
      <c r="AE404" s="28">
        <f>IF(AE401=0,IF('Lease Cycles'!$F$31&gt;0,'Lease Cycles'!$C$31*'Lease Cycles'!$E$31/12,0),IF(AE403=1,IF('Lease Cycles'!$AT$31&gt;=9999,'Lease Cycles'!$C$31*INDEX('Lease Cycles'!$CB$31:$CH$31,1,AE401)*(1+INDEX('Lease Cycles'!$CI$31:$CO$31,1,AE401))^INT(INT(AE402/12)/INDEX('Lease Cycles'!$CP$31:$CV$31,1,AE401))/12,IF(AE401=1,IF(AE402&gt;=INDEX('Lease Cycles'!$DK$31:$DQ$31,1,AE401),IF(AE$6&gt;='Lease Cycles'!$AZ$31,'Lease Cycles'!$C$31*'Lease Cycles'!$BA$31/12,IF(AE$6&gt;='Lease Cycles'!$AX$31,'Lease Cycles'!$C$31*'Lease Cycles'!$AY$31/12,IF(AE$6&gt;='Lease Cycles'!$AV$31,'Lease Cycles'!$C$31*'Lease Cycles'!$AW$31/12,IF(AE$6&gt;='Lease Cycles'!$AT$31,'Lease Cycles'!$C$31*'Lease Cycles'!$AU$31/12,'Lease Cycles'!$C$31*INDEX('Lease Cycles'!$CB$31:$CH$31,1,AE401)*(1+INDEX('Lease Cycles'!$CI$31:$CO$31,1,AE401))^INT(INT(AE402/12)/INDEX('Lease Cycles'!$CP$31:$CV$31,1,AE401))/12)))),'Lease Cycles'!$C$31*INDEX('Lease Cycles'!$CB$31:$CH$31,1,AE401)*(1+INDEX('Lease Cycles'!$CI$31:$CO$31,1,AE401))^INT(INT(AE402/12)/INDEX('Lease Cycles'!$CP$31:$CV$31,1,AE401))/12),IF(INDEX('Lease Cycles'!$EF$31:$EL$31,1,AE401)=1,IF(AND('Lease Cycles'!$AZ$31&gt;=INDEX('Lease Cycles'!$BG$31:$BM$31,1,AE401),'Lease Cycles'!$AZ$31&lt;=AE$6),'Lease Cycles'!$C$31*'Lease Cycles'!$BA$31/12,IF(AND('Lease Cycles'!$AX$31&gt;=INDEX('Lease Cycles'!$BG$31:$BM$31,1,AE401),'Lease Cycles'!$AX$31&lt;=AE$6),'Lease Cycles'!$C$31*'Lease Cycles'!$AY$31/12,IF(AND('Lease Cycles'!$AV$31&gt;=INDEX('Lease Cycles'!$BG$31:$BM$31,1,AE401),'Lease Cycles'!$AV$31&lt;=AE$6),'Lease Cycles'!$C$31*'Lease Cycles'!$AW$31/12,IF(AND('Lease Cycles'!$AT$31&gt;=INDEX('Lease Cycles'!$BG$31:$BM$31,1,AE401),'Lease Cycles'!$AT$31&lt;=AE$6),'Lease Cycles'!$C$31*'Lease Cycles'!$AU$31/12,'Lease Cycles'!$C$31*INDEX('Lease Cycles'!$CB$31:$CH$31,1,AE401)*(1+INDEX('Lease Cycles'!$CI$31:$CO$31,1,AE401))^INT(INT(AE402/12)/INDEX('Lease Cycles'!$CP$31:$CV$31,1,AE401))/12)))),'Lease Cycles'!$C$31*INDEX('Lease Cycles'!$CB$31:$CH$31,1,AE401)*(1+INDEX('Lease Cycles'!$CI$31:$CO$31,1,AE401))^INT(INT(AE402/12)/INDEX('Lease Cycles'!$CP$31:$CV$31,1,AE401))/12))),IF('Lease Cycles'!$N$31=1,'Lease Cycles'!$C$31*'Lease Cycles'!$E$31*INDEX('Lease Cycles'!$HE$31:$HK$31,1,AE401)*(1+INDEX('Lease Cycles'!$GQ$31:$GW$31,1,AE401))^INT(INT((AE$6-INDEX('Lease Cycles'!$GJ$31:$GP$31,1,AE401))/12)/INDEX('Lease Cycles'!$GX$31:$HD$31,1,AE401))/12,0)))</f>
        <v>0</v>
      </c>
      <c r="AF404" s="28">
        <f>IF(AF401=0,IF('Lease Cycles'!$F$31&gt;0,'Lease Cycles'!$C$31*'Lease Cycles'!$E$31/12,0),IF(AF403=1,IF('Lease Cycles'!$AT$31&gt;=9999,'Lease Cycles'!$C$31*INDEX('Lease Cycles'!$CB$31:$CH$31,1,AF401)*(1+INDEX('Lease Cycles'!$CI$31:$CO$31,1,AF401))^INT(INT(AF402/12)/INDEX('Lease Cycles'!$CP$31:$CV$31,1,AF401))/12,IF(AF401=1,IF(AF402&gt;=INDEX('Lease Cycles'!$DK$31:$DQ$31,1,AF401),IF(AF$6&gt;='Lease Cycles'!$AZ$31,'Lease Cycles'!$C$31*'Lease Cycles'!$BA$31/12,IF(AF$6&gt;='Lease Cycles'!$AX$31,'Lease Cycles'!$C$31*'Lease Cycles'!$AY$31/12,IF(AF$6&gt;='Lease Cycles'!$AV$31,'Lease Cycles'!$C$31*'Lease Cycles'!$AW$31/12,IF(AF$6&gt;='Lease Cycles'!$AT$31,'Lease Cycles'!$C$31*'Lease Cycles'!$AU$31/12,'Lease Cycles'!$C$31*INDEX('Lease Cycles'!$CB$31:$CH$31,1,AF401)*(1+INDEX('Lease Cycles'!$CI$31:$CO$31,1,AF401))^INT(INT(AF402/12)/INDEX('Lease Cycles'!$CP$31:$CV$31,1,AF401))/12)))),'Lease Cycles'!$C$31*INDEX('Lease Cycles'!$CB$31:$CH$31,1,AF401)*(1+INDEX('Lease Cycles'!$CI$31:$CO$31,1,AF401))^INT(INT(AF402/12)/INDEX('Lease Cycles'!$CP$31:$CV$31,1,AF401))/12),IF(INDEX('Lease Cycles'!$EF$31:$EL$31,1,AF401)=1,IF(AND('Lease Cycles'!$AZ$31&gt;=INDEX('Lease Cycles'!$BG$31:$BM$31,1,AF401),'Lease Cycles'!$AZ$31&lt;=AF$6),'Lease Cycles'!$C$31*'Lease Cycles'!$BA$31/12,IF(AND('Lease Cycles'!$AX$31&gt;=INDEX('Lease Cycles'!$BG$31:$BM$31,1,AF401),'Lease Cycles'!$AX$31&lt;=AF$6),'Lease Cycles'!$C$31*'Lease Cycles'!$AY$31/12,IF(AND('Lease Cycles'!$AV$31&gt;=INDEX('Lease Cycles'!$BG$31:$BM$31,1,AF401),'Lease Cycles'!$AV$31&lt;=AF$6),'Lease Cycles'!$C$31*'Lease Cycles'!$AW$31/12,IF(AND('Lease Cycles'!$AT$31&gt;=INDEX('Lease Cycles'!$BG$31:$BM$31,1,AF401),'Lease Cycles'!$AT$31&lt;=AF$6),'Lease Cycles'!$C$31*'Lease Cycles'!$AU$31/12,'Lease Cycles'!$C$31*INDEX('Lease Cycles'!$CB$31:$CH$31,1,AF401)*(1+INDEX('Lease Cycles'!$CI$31:$CO$31,1,AF401))^INT(INT(AF402/12)/INDEX('Lease Cycles'!$CP$31:$CV$31,1,AF401))/12)))),'Lease Cycles'!$C$31*INDEX('Lease Cycles'!$CB$31:$CH$31,1,AF401)*(1+INDEX('Lease Cycles'!$CI$31:$CO$31,1,AF401))^INT(INT(AF402/12)/INDEX('Lease Cycles'!$CP$31:$CV$31,1,AF401))/12))),IF('Lease Cycles'!$N$31=1,'Lease Cycles'!$C$31*'Lease Cycles'!$E$31*INDEX('Lease Cycles'!$HE$31:$HK$31,1,AF401)*(1+INDEX('Lease Cycles'!$GQ$31:$GW$31,1,AF401))^INT(INT((AF$6-INDEX('Lease Cycles'!$GJ$31:$GP$31,1,AF401))/12)/INDEX('Lease Cycles'!$GX$31:$HD$31,1,AF401))/12,0)))</f>
        <v>0</v>
      </c>
      <c r="AG404" s="28">
        <f>IF(AG401=0,IF('Lease Cycles'!$F$31&gt;0,'Lease Cycles'!$C$31*'Lease Cycles'!$E$31/12,0),IF(AG403=1,IF('Lease Cycles'!$AT$31&gt;=9999,'Lease Cycles'!$C$31*INDEX('Lease Cycles'!$CB$31:$CH$31,1,AG401)*(1+INDEX('Lease Cycles'!$CI$31:$CO$31,1,AG401))^INT(INT(AG402/12)/INDEX('Lease Cycles'!$CP$31:$CV$31,1,AG401))/12,IF(AG401=1,IF(AG402&gt;=INDEX('Lease Cycles'!$DK$31:$DQ$31,1,AG401),IF(AG$6&gt;='Lease Cycles'!$AZ$31,'Lease Cycles'!$C$31*'Lease Cycles'!$BA$31/12,IF(AG$6&gt;='Lease Cycles'!$AX$31,'Lease Cycles'!$C$31*'Lease Cycles'!$AY$31/12,IF(AG$6&gt;='Lease Cycles'!$AV$31,'Lease Cycles'!$C$31*'Lease Cycles'!$AW$31/12,IF(AG$6&gt;='Lease Cycles'!$AT$31,'Lease Cycles'!$C$31*'Lease Cycles'!$AU$31/12,'Lease Cycles'!$C$31*INDEX('Lease Cycles'!$CB$31:$CH$31,1,AG401)*(1+INDEX('Lease Cycles'!$CI$31:$CO$31,1,AG401))^INT(INT(AG402/12)/INDEX('Lease Cycles'!$CP$31:$CV$31,1,AG401))/12)))),'Lease Cycles'!$C$31*INDEX('Lease Cycles'!$CB$31:$CH$31,1,AG401)*(1+INDEX('Lease Cycles'!$CI$31:$CO$31,1,AG401))^INT(INT(AG402/12)/INDEX('Lease Cycles'!$CP$31:$CV$31,1,AG401))/12),IF(INDEX('Lease Cycles'!$EF$31:$EL$31,1,AG401)=1,IF(AND('Lease Cycles'!$AZ$31&gt;=INDEX('Lease Cycles'!$BG$31:$BM$31,1,AG401),'Lease Cycles'!$AZ$31&lt;=AG$6),'Lease Cycles'!$C$31*'Lease Cycles'!$BA$31/12,IF(AND('Lease Cycles'!$AX$31&gt;=INDEX('Lease Cycles'!$BG$31:$BM$31,1,AG401),'Lease Cycles'!$AX$31&lt;=AG$6),'Lease Cycles'!$C$31*'Lease Cycles'!$AY$31/12,IF(AND('Lease Cycles'!$AV$31&gt;=INDEX('Lease Cycles'!$BG$31:$BM$31,1,AG401),'Lease Cycles'!$AV$31&lt;=AG$6),'Lease Cycles'!$C$31*'Lease Cycles'!$AW$31/12,IF(AND('Lease Cycles'!$AT$31&gt;=INDEX('Lease Cycles'!$BG$31:$BM$31,1,AG401),'Lease Cycles'!$AT$31&lt;=AG$6),'Lease Cycles'!$C$31*'Lease Cycles'!$AU$31/12,'Lease Cycles'!$C$31*INDEX('Lease Cycles'!$CB$31:$CH$31,1,AG401)*(1+INDEX('Lease Cycles'!$CI$31:$CO$31,1,AG401))^INT(INT(AG402/12)/INDEX('Lease Cycles'!$CP$31:$CV$31,1,AG401))/12)))),'Lease Cycles'!$C$31*INDEX('Lease Cycles'!$CB$31:$CH$31,1,AG401)*(1+INDEX('Lease Cycles'!$CI$31:$CO$31,1,AG401))^INT(INT(AG402/12)/INDEX('Lease Cycles'!$CP$31:$CV$31,1,AG401))/12))),IF('Lease Cycles'!$N$31=1,'Lease Cycles'!$C$31*'Lease Cycles'!$E$31*INDEX('Lease Cycles'!$HE$31:$HK$31,1,AG401)*(1+INDEX('Lease Cycles'!$GQ$31:$GW$31,1,AG401))^INT(INT((AG$6-INDEX('Lease Cycles'!$GJ$31:$GP$31,1,AG401))/12)/INDEX('Lease Cycles'!$GX$31:$HD$31,1,AG401))/12,0)))</f>
        <v>0</v>
      </c>
      <c r="AH404" s="28">
        <f>IF(AH401=0,IF('Lease Cycles'!$F$31&gt;0,'Lease Cycles'!$C$31*'Lease Cycles'!$E$31/12,0),IF(AH403=1,IF('Lease Cycles'!$AT$31&gt;=9999,'Lease Cycles'!$C$31*INDEX('Lease Cycles'!$CB$31:$CH$31,1,AH401)*(1+INDEX('Lease Cycles'!$CI$31:$CO$31,1,AH401))^INT(INT(AH402/12)/INDEX('Lease Cycles'!$CP$31:$CV$31,1,AH401))/12,IF(AH401=1,IF(AH402&gt;=INDEX('Lease Cycles'!$DK$31:$DQ$31,1,AH401),IF(AH$6&gt;='Lease Cycles'!$AZ$31,'Lease Cycles'!$C$31*'Lease Cycles'!$BA$31/12,IF(AH$6&gt;='Lease Cycles'!$AX$31,'Lease Cycles'!$C$31*'Lease Cycles'!$AY$31/12,IF(AH$6&gt;='Lease Cycles'!$AV$31,'Lease Cycles'!$C$31*'Lease Cycles'!$AW$31/12,IF(AH$6&gt;='Lease Cycles'!$AT$31,'Lease Cycles'!$C$31*'Lease Cycles'!$AU$31/12,'Lease Cycles'!$C$31*INDEX('Lease Cycles'!$CB$31:$CH$31,1,AH401)*(1+INDEX('Lease Cycles'!$CI$31:$CO$31,1,AH401))^INT(INT(AH402/12)/INDEX('Lease Cycles'!$CP$31:$CV$31,1,AH401))/12)))),'Lease Cycles'!$C$31*INDEX('Lease Cycles'!$CB$31:$CH$31,1,AH401)*(1+INDEX('Lease Cycles'!$CI$31:$CO$31,1,AH401))^INT(INT(AH402/12)/INDEX('Lease Cycles'!$CP$31:$CV$31,1,AH401))/12),IF(INDEX('Lease Cycles'!$EF$31:$EL$31,1,AH401)=1,IF(AND('Lease Cycles'!$AZ$31&gt;=INDEX('Lease Cycles'!$BG$31:$BM$31,1,AH401),'Lease Cycles'!$AZ$31&lt;=AH$6),'Lease Cycles'!$C$31*'Lease Cycles'!$BA$31/12,IF(AND('Lease Cycles'!$AX$31&gt;=INDEX('Lease Cycles'!$BG$31:$BM$31,1,AH401),'Lease Cycles'!$AX$31&lt;=AH$6),'Lease Cycles'!$C$31*'Lease Cycles'!$AY$31/12,IF(AND('Lease Cycles'!$AV$31&gt;=INDEX('Lease Cycles'!$BG$31:$BM$31,1,AH401),'Lease Cycles'!$AV$31&lt;=AH$6),'Lease Cycles'!$C$31*'Lease Cycles'!$AW$31/12,IF(AND('Lease Cycles'!$AT$31&gt;=INDEX('Lease Cycles'!$BG$31:$BM$31,1,AH401),'Lease Cycles'!$AT$31&lt;=AH$6),'Lease Cycles'!$C$31*'Lease Cycles'!$AU$31/12,'Lease Cycles'!$C$31*INDEX('Lease Cycles'!$CB$31:$CH$31,1,AH401)*(1+INDEX('Lease Cycles'!$CI$31:$CO$31,1,AH401))^INT(INT(AH402/12)/INDEX('Lease Cycles'!$CP$31:$CV$31,1,AH401))/12)))),'Lease Cycles'!$C$31*INDEX('Lease Cycles'!$CB$31:$CH$31,1,AH401)*(1+INDEX('Lease Cycles'!$CI$31:$CO$31,1,AH401))^INT(INT(AH402/12)/INDEX('Lease Cycles'!$CP$31:$CV$31,1,AH401))/12))),IF('Lease Cycles'!$N$31=1,'Lease Cycles'!$C$31*'Lease Cycles'!$E$31*INDEX('Lease Cycles'!$HE$31:$HK$31,1,AH401)*(1+INDEX('Lease Cycles'!$GQ$31:$GW$31,1,AH401))^INT(INT((AH$6-INDEX('Lease Cycles'!$GJ$31:$GP$31,1,AH401))/12)/INDEX('Lease Cycles'!$GX$31:$HD$31,1,AH401))/12,0)))</f>
        <v>0</v>
      </c>
      <c r="AI404" s="28">
        <f>IF(AI401=0,IF('Lease Cycles'!$F$31&gt;0,'Lease Cycles'!$C$31*'Lease Cycles'!$E$31/12,0),IF(AI403=1,IF('Lease Cycles'!$AT$31&gt;=9999,'Lease Cycles'!$C$31*INDEX('Lease Cycles'!$CB$31:$CH$31,1,AI401)*(1+INDEX('Lease Cycles'!$CI$31:$CO$31,1,AI401))^INT(INT(AI402/12)/INDEX('Lease Cycles'!$CP$31:$CV$31,1,AI401))/12,IF(AI401=1,IF(AI402&gt;=INDEX('Lease Cycles'!$DK$31:$DQ$31,1,AI401),IF(AI$6&gt;='Lease Cycles'!$AZ$31,'Lease Cycles'!$C$31*'Lease Cycles'!$BA$31/12,IF(AI$6&gt;='Lease Cycles'!$AX$31,'Lease Cycles'!$C$31*'Lease Cycles'!$AY$31/12,IF(AI$6&gt;='Lease Cycles'!$AV$31,'Lease Cycles'!$C$31*'Lease Cycles'!$AW$31/12,IF(AI$6&gt;='Lease Cycles'!$AT$31,'Lease Cycles'!$C$31*'Lease Cycles'!$AU$31/12,'Lease Cycles'!$C$31*INDEX('Lease Cycles'!$CB$31:$CH$31,1,AI401)*(1+INDEX('Lease Cycles'!$CI$31:$CO$31,1,AI401))^INT(INT(AI402/12)/INDEX('Lease Cycles'!$CP$31:$CV$31,1,AI401))/12)))),'Lease Cycles'!$C$31*INDEX('Lease Cycles'!$CB$31:$CH$31,1,AI401)*(1+INDEX('Lease Cycles'!$CI$31:$CO$31,1,AI401))^INT(INT(AI402/12)/INDEX('Lease Cycles'!$CP$31:$CV$31,1,AI401))/12),IF(INDEX('Lease Cycles'!$EF$31:$EL$31,1,AI401)=1,IF(AND('Lease Cycles'!$AZ$31&gt;=INDEX('Lease Cycles'!$BG$31:$BM$31,1,AI401),'Lease Cycles'!$AZ$31&lt;=AI$6),'Lease Cycles'!$C$31*'Lease Cycles'!$BA$31/12,IF(AND('Lease Cycles'!$AX$31&gt;=INDEX('Lease Cycles'!$BG$31:$BM$31,1,AI401),'Lease Cycles'!$AX$31&lt;=AI$6),'Lease Cycles'!$C$31*'Lease Cycles'!$AY$31/12,IF(AND('Lease Cycles'!$AV$31&gt;=INDEX('Lease Cycles'!$BG$31:$BM$31,1,AI401),'Lease Cycles'!$AV$31&lt;=AI$6),'Lease Cycles'!$C$31*'Lease Cycles'!$AW$31/12,IF(AND('Lease Cycles'!$AT$31&gt;=INDEX('Lease Cycles'!$BG$31:$BM$31,1,AI401),'Lease Cycles'!$AT$31&lt;=AI$6),'Lease Cycles'!$C$31*'Lease Cycles'!$AU$31/12,'Lease Cycles'!$C$31*INDEX('Lease Cycles'!$CB$31:$CH$31,1,AI401)*(1+INDEX('Lease Cycles'!$CI$31:$CO$31,1,AI401))^INT(INT(AI402/12)/INDEX('Lease Cycles'!$CP$31:$CV$31,1,AI401))/12)))),'Lease Cycles'!$C$31*INDEX('Lease Cycles'!$CB$31:$CH$31,1,AI401)*(1+INDEX('Lease Cycles'!$CI$31:$CO$31,1,AI401))^INT(INT(AI402/12)/INDEX('Lease Cycles'!$CP$31:$CV$31,1,AI401))/12))),IF('Lease Cycles'!$N$31=1,'Lease Cycles'!$C$31*'Lease Cycles'!$E$31*INDEX('Lease Cycles'!$HE$31:$HK$31,1,AI401)*(1+INDEX('Lease Cycles'!$GQ$31:$GW$31,1,AI401))^INT(INT((AI$6-INDEX('Lease Cycles'!$GJ$31:$GP$31,1,AI401))/12)/INDEX('Lease Cycles'!$GX$31:$HD$31,1,AI401))/12,0)))</f>
        <v>0</v>
      </c>
      <c r="AJ404" s="28">
        <f>IF(AJ401=0,IF('Lease Cycles'!$F$31&gt;0,'Lease Cycles'!$C$31*'Lease Cycles'!$E$31/12,0),IF(AJ403=1,IF('Lease Cycles'!$AT$31&gt;=9999,'Lease Cycles'!$C$31*INDEX('Lease Cycles'!$CB$31:$CH$31,1,AJ401)*(1+INDEX('Lease Cycles'!$CI$31:$CO$31,1,AJ401))^INT(INT(AJ402/12)/INDEX('Lease Cycles'!$CP$31:$CV$31,1,AJ401))/12,IF(AJ401=1,IF(AJ402&gt;=INDEX('Lease Cycles'!$DK$31:$DQ$31,1,AJ401),IF(AJ$6&gt;='Lease Cycles'!$AZ$31,'Lease Cycles'!$C$31*'Lease Cycles'!$BA$31/12,IF(AJ$6&gt;='Lease Cycles'!$AX$31,'Lease Cycles'!$C$31*'Lease Cycles'!$AY$31/12,IF(AJ$6&gt;='Lease Cycles'!$AV$31,'Lease Cycles'!$C$31*'Lease Cycles'!$AW$31/12,IF(AJ$6&gt;='Lease Cycles'!$AT$31,'Lease Cycles'!$C$31*'Lease Cycles'!$AU$31/12,'Lease Cycles'!$C$31*INDEX('Lease Cycles'!$CB$31:$CH$31,1,AJ401)*(1+INDEX('Lease Cycles'!$CI$31:$CO$31,1,AJ401))^INT(INT(AJ402/12)/INDEX('Lease Cycles'!$CP$31:$CV$31,1,AJ401))/12)))),'Lease Cycles'!$C$31*INDEX('Lease Cycles'!$CB$31:$CH$31,1,AJ401)*(1+INDEX('Lease Cycles'!$CI$31:$CO$31,1,AJ401))^INT(INT(AJ402/12)/INDEX('Lease Cycles'!$CP$31:$CV$31,1,AJ401))/12),IF(INDEX('Lease Cycles'!$EF$31:$EL$31,1,AJ401)=1,IF(AND('Lease Cycles'!$AZ$31&gt;=INDEX('Lease Cycles'!$BG$31:$BM$31,1,AJ401),'Lease Cycles'!$AZ$31&lt;=AJ$6),'Lease Cycles'!$C$31*'Lease Cycles'!$BA$31/12,IF(AND('Lease Cycles'!$AX$31&gt;=INDEX('Lease Cycles'!$BG$31:$BM$31,1,AJ401),'Lease Cycles'!$AX$31&lt;=AJ$6),'Lease Cycles'!$C$31*'Lease Cycles'!$AY$31/12,IF(AND('Lease Cycles'!$AV$31&gt;=INDEX('Lease Cycles'!$BG$31:$BM$31,1,AJ401),'Lease Cycles'!$AV$31&lt;=AJ$6),'Lease Cycles'!$C$31*'Lease Cycles'!$AW$31/12,IF(AND('Lease Cycles'!$AT$31&gt;=INDEX('Lease Cycles'!$BG$31:$BM$31,1,AJ401),'Lease Cycles'!$AT$31&lt;=AJ$6),'Lease Cycles'!$C$31*'Lease Cycles'!$AU$31/12,'Lease Cycles'!$C$31*INDEX('Lease Cycles'!$CB$31:$CH$31,1,AJ401)*(1+INDEX('Lease Cycles'!$CI$31:$CO$31,1,AJ401))^INT(INT(AJ402/12)/INDEX('Lease Cycles'!$CP$31:$CV$31,1,AJ401))/12)))),'Lease Cycles'!$C$31*INDEX('Lease Cycles'!$CB$31:$CH$31,1,AJ401)*(1+INDEX('Lease Cycles'!$CI$31:$CO$31,1,AJ401))^INT(INT(AJ402/12)/INDEX('Lease Cycles'!$CP$31:$CV$31,1,AJ401))/12))),IF('Lease Cycles'!$N$31=1,'Lease Cycles'!$C$31*'Lease Cycles'!$E$31*INDEX('Lease Cycles'!$HE$31:$HK$31,1,AJ401)*(1+INDEX('Lease Cycles'!$GQ$31:$GW$31,1,AJ401))^INT(INT((AJ$6-INDEX('Lease Cycles'!$GJ$31:$GP$31,1,AJ401))/12)/INDEX('Lease Cycles'!$GX$31:$HD$31,1,AJ401))/12,0)))</f>
        <v>0</v>
      </c>
      <c r="AK404" s="28">
        <f>IF(AK401=0,IF('Lease Cycles'!$F$31&gt;0,'Lease Cycles'!$C$31*'Lease Cycles'!$E$31/12,0),IF(AK403=1,IF('Lease Cycles'!$AT$31&gt;=9999,'Lease Cycles'!$C$31*INDEX('Lease Cycles'!$CB$31:$CH$31,1,AK401)*(1+INDEX('Lease Cycles'!$CI$31:$CO$31,1,AK401))^INT(INT(AK402/12)/INDEX('Lease Cycles'!$CP$31:$CV$31,1,AK401))/12,IF(AK401=1,IF(AK402&gt;=INDEX('Lease Cycles'!$DK$31:$DQ$31,1,AK401),IF(AK$6&gt;='Lease Cycles'!$AZ$31,'Lease Cycles'!$C$31*'Lease Cycles'!$BA$31/12,IF(AK$6&gt;='Lease Cycles'!$AX$31,'Lease Cycles'!$C$31*'Lease Cycles'!$AY$31/12,IF(AK$6&gt;='Lease Cycles'!$AV$31,'Lease Cycles'!$C$31*'Lease Cycles'!$AW$31/12,IF(AK$6&gt;='Lease Cycles'!$AT$31,'Lease Cycles'!$C$31*'Lease Cycles'!$AU$31/12,'Lease Cycles'!$C$31*INDEX('Lease Cycles'!$CB$31:$CH$31,1,AK401)*(1+INDEX('Lease Cycles'!$CI$31:$CO$31,1,AK401))^INT(INT(AK402/12)/INDEX('Lease Cycles'!$CP$31:$CV$31,1,AK401))/12)))),'Lease Cycles'!$C$31*INDEX('Lease Cycles'!$CB$31:$CH$31,1,AK401)*(1+INDEX('Lease Cycles'!$CI$31:$CO$31,1,AK401))^INT(INT(AK402/12)/INDEX('Lease Cycles'!$CP$31:$CV$31,1,AK401))/12),IF(INDEX('Lease Cycles'!$EF$31:$EL$31,1,AK401)=1,IF(AND('Lease Cycles'!$AZ$31&gt;=INDEX('Lease Cycles'!$BG$31:$BM$31,1,AK401),'Lease Cycles'!$AZ$31&lt;=AK$6),'Lease Cycles'!$C$31*'Lease Cycles'!$BA$31/12,IF(AND('Lease Cycles'!$AX$31&gt;=INDEX('Lease Cycles'!$BG$31:$BM$31,1,AK401),'Lease Cycles'!$AX$31&lt;=AK$6),'Lease Cycles'!$C$31*'Lease Cycles'!$AY$31/12,IF(AND('Lease Cycles'!$AV$31&gt;=INDEX('Lease Cycles'!$BG$31:$BM$31,1,AK401),'Lease Cycles'!$AV$31&lt;=AK$6),'Lease Cycles'!$C$31*'Lease Cycles'!$AW$31/12,IF(AND('Lease Cycles'!$AT$31&gt;=INDEX('Lease Cycles'!$BG$31:$BM$31,1,AK401),'Lease Cycles'!$AT$31&lt;=AK$6),'Lease Cycles'!$C$31*'Lease Cycles'!$AU$31/12,'Lease Cycles'!$C$31*INDEX('Lease Cycles'!$CB$31:$CH$31,1,AK401)*(1+INDEX('Lease Cycles'!$CI$31:$CO$31,1,AK401))^INT(INT(AK402/12)/INDEX('Lease Cycles'!$CP$31:$CV$31,1,AK401))/12)))),'Lease Cycles'!$C$31*INDEX('Lease Cycles'!$CB$31:$CH$31,1,AK401)*(1+INDEX('Lease Cycles'!$CI$31:$CO$31,1,AK401))^INT(INT(AK402/12)/INDEX('Lease Cycles'!$CP$31:$CV$31,1,AK401))/12))),IF('Lease Cycles'!$N$31=1,'Lease Cycles'!$C$31*'Lease Cycles'!$E$31*INDEX('Lease Cycles'!$HE$31:$HK$31,1,AK401)*(1+INDEX('Lease Cycles'!$GQ$31:$GW$31,1,AK401))^INT(INT((AK$6-INDEX('Lease Cycles'!$GJ$31:$GP$31,1,AK401))/12)/INDEX('Lease Cycles'!$GX$31:$HD$31,1,AK401))/12,0)))</f>
        <v>0</v>
      </c>
      <c r="AL404" s="28">
        <f>IF(AL401=0,IF('Lease Cycles'!$F$31&gt;0,'Lease Cycles'!$C$31*'Lease Cycles'!$E$31/12,0),IF(AL403=1,IF('Lease Cycles'!$AT$31&gt;=9999,'Lease Cycles'!$C$31*INDEX('Lease Cycles'!$CB$31:$CH$31,1,AL401)*(1+INDEX('Lease Cycles'!$CI$31:$CO$31,1,AL401))^INT(INT(AL402/12)/INDEX('Lease Cycles'!$CP$31:$CV$31,1,AL401))/12,IF(AL401=1,IF(AL402&gt;=INDEX('Lease Cycles'!$DK$31:$DQ$31,1,AL401),IF(AL$6&gt;='Lease Cycles'!$AZ$31,'Lease Cycles'!$C$31*'Lease Cycles'!$BA$31/12,IF(AL$6&gt;='Lease Cycles'!$AX$31,'Lease Cycles'!$C$31*'Lease Cycles'!$AY$31/12,IF(AL$6&gt;='Lease Cycles'!$AV$31,'Lease Cycles'!$C$31*'Lease Cycles'!$AW$31/12,IF(AL$6&gt;='Lease Cycles'!$AT$31,'Lease Cycles'!$C$31*'Lease Cycles'!$AU$31/12,'Lease Cycles'!$C$31*INDEX('Lease Cycles'!$CB$31:$CH$31,1,AL401)*(1+INDEX('Lease Cycles'!$CI$31:$CO$31,1,AL401))^INT(INT(AL402/12)/INDEX('Lease Cycles'!$CP$31:$CV$31,1,AL401))/12)))),'Lease Cycles'!$C$31*INDEX('Lease Cycles'!$CB$31:$CH$31,1,AL401)*(1+INDEX('Lease Cycles'!$CI$31:$CO$31,1,AL401))^INT(INT(AL402/12)/INDEX('Lease Cycles'!$CP$31:$CV$31,1,AL401))/12),IF(INDEX('Lease Cycles'!$EF$31:$EL$31,1,AL401)=1,IF(AND('Lease Cycles'!$AZ$31&gt;=INDEX('Lease Cycles'!$BG$31:$BM$31,1,AL401),'Lease Cycles'!$AZ$31&lt;=AL$6),'Lease Cycles'!$C$31*'Lease Cycles'!$BA$31/12,IF(AND('Lease Cycles'!$AX$31&gt;=INDEX('Lease Cycles'!$BG$31:$BM$31,1,AL401),'Lease Cycles'!$AX$31&lt;=AL$6),'Lease Cycles'!$C$31*'Lease Cycles'!$AY$31/12,IF(AND('Lease Cycles'!$AV$31&gt;=INDEX('Lease Cycles'!$BG$31:$BM$31,1,AL401),'Lease Cycles'!$AV$31&lt;=AL$6),'Lease Cycles'!$C$31*'Lease Cycles'!$AW$31/12,IF(AND('Lease Cycles'!$AT$31&gt;=INDEX('Lease Cycles'!$BG$31:$BM$31,1,AL401),'Lease Cycles'!$AT$31&lt;=AL$6),'Lease Cycles'!$C$31*'Lease Cycles'!$AU$31/12,'Lease Cycles'!$C$31*INDEX('Lease Cycles'!$CB$31:$CH$31,1,AL401)*(1+INDEX('Lease Cycles'!$CI$31:$CO$31,1,AL401))^INT(INT(AL402/12)/INDEX('Lease Cycles'!$CP$31:$CV$31,1,AL401))/12)))),'Lease Cycles'!$C$31*INDEX('Lease Cycles'!$CB$31:$CH$31,1,AL401)*(1+INDEX('Lease Cycles'!$CI$31:$CO$31,1,AL401))^INT(INT(AL402/12)/INDEX('Lease Cycles'!$CP$31:$CV$31,1,AL401))/12))),IF('Lease Cycles'!$N$31=1,'Lease Cycles'!$C$31*'Lease Cycles'!$E$31*INDEX('Lease Cycles'!$HE$31:$HK$31,1,AL401)*(1+INDEX('Lease Cycles'!$GQ$31:$GW$31,1,AL401))^INT(INT((AL$6-INDEX('Lease Cycles'!$GJ$31:$GP$31,1,AL401))/12)/INDEX('Lease Cycles'!$GX$31:$HD$31,1,AL401))/12,0)))</f>
        <v>0</v>
      </c>
      <c r="AM404" s="28">
        <f>IF(AM401=0,IF('Lease Cycles'!$F$31&gt;0,'Lease Cycles'!$C$31*'Lease Cycles'!$E$31/12,0),IF(AM403=1,IF('Lease Cycles'!$AT$31&gt;=9999,'Lease Cycles'!$C$31*INDEX('Lease Cycles'!$CB$31:$CH$31,1,AM401)*(1+INDEX('Lease Cycles'!$CI$31:$CO$31,1,AM401))^INT(INT(AM402/12)/INDEX('Lease Cycles'!$CP$31:$CV$31,1,AM401))/12,IF(AM401=1,IF(AM402&gt;=INDEX('Lease Cycles'!$DK$31:$DQ$31,1,AM401),IF(AM$6&gt;='Lease Cycles'!$AZ$31,'Lease Cycles'!$C$31*'Lease Cycles'!$BA$31/12,IF(AM$6&gt;='Lease Cycles'!$AX$31,'Lease Cycles'!$C$31*'Lease Cycles'!$AY$31/12,IF(AM$6&gt;='Lease Cycles'!$AV$31,'Lease Cycles'!$C$31*'Lease Cycles'!$AW$31/12,IF(AM$6&gt;='Lease Cycles'!$AT$31,'Lease Cycles'!$C$31*'Lease Cycles'!$AU$31/12,'Lease Cycles'!$C$31*INDEX('Lease Cycles'!$CB$31:$CH$31,1,AM401)*(1+INDEX('Lease Cycles'!$CI$31:$CO$31,1,AM401))^INT(INT(AM402/12)/INDEX('Lease Cycles'!$CP$31:$CV$31,1,AM401))/12)))),'Lease Cycles'!$C$31*INDEX('Lease Cycles'!$CB$31:$CH$31,1,AM401)*(1+INDEX('Lease Cycles'!$CI$31:$CO$31,1,AM401))^INT(INT(AM402/12)/INDEX('Lease Cycles'!$CP$31:$CV$31,1,AM401))/12),IF(INDEX('Lease Cycles'!$EF$31:$EL$31,1,AM401)=1,IF(AND('Lease Cycles'!$AZ$31&gt;=INDEX('Lease Cycles'!$BG$31:$BM$31,1,AM401),'Lease Cycles'!$AZ$31&lt;=AM$6),'Lease Cycles'!$C$31*'Lease Cycles'!$BA$31/12,IF(AND('Lease Cycles'!$AX$31&gt;=INDEX('Lease Cycles'!$BG$31:$BM$31,1,AM401),'Lease Cycles'!$AX$31&lt;=AM$6),'Lease Cycles'!$C$31*'Lease Cycles'!$AY$31/12,IF(AND('Lease Cycles'!$AV$31&gt;=INDEX('Lease Cycles'!$BG$31:$BM$31,1,AM401),'Lease Cycles'!$AV$31&lt;=AM$6),'Lease Cycles'!$C$31*'Lease Cycles'!$AW$31/12,IF(AND('Lease Cycles'!$AT$31&gt;=INDEX('Lease Cycles'!$BG$31:$BM$31,1,AM401),'Lease Cycles'!$AT$31&lt;=AM$6),'Lease Cycles'!$C$31*'Lease Cycles'!$AU$31/12,'Lease Cycles'!$C$31*INDEX('Lease Cycles'!$CB$31:$CH$31,1,AM401)*(1+INDEX('Lease Cycles'!$CI$31:$CO$31,1,AM401))^INT(INT(AM402/12)/INDEX('Lease Cycles'!$CP$31:$CV$31,1,AM401))/12)))),'Lease Cycles'!$C$31*INDEX('Lease Cycles'!$CB$31:$CH$31,1,AM401)*(1+INDEX('Lease Cycles'!$CI$31:$CO$31,1,AM401))^INT(INT(AM402/12)/INDEX('Lease Cycles'!$CP$31:$CV$31,1,AM401))/12))),IF('Lease Cycles'!$N$31=1,'Lease Cycles'!$C$31*'Lease Cycles'!$E$31*INDEX('Lease Cycles'!$HE$31:$HK$31,1,AM401)*(1+INDEX('Lease Cycles'!$GQ$31:$GW$31,1,AM401))^INT(INT((AM$6-INDEX('Lease Cycles'!$GJ$31:$GP$31,1,AM401))/12)/INDEX('Lease Cycles'!$GX$31:$HD$31,1,AM401))/12,0)))</f>
        <v>0</v>
      </c>
      <c r="AN404" s="28">
        <f>IF(AN401=0,IF('Lease Cycles'!$F$31&gt;0,'Lease Cycles'!$C$31*'Lease Cycles'!$E$31/12,0),IF(AN403=1,IF('Lease Cycles'!$AT$31&gt;=9999,'Lease Cycles'!$C$31*INDEX('Lease Cycles'!$CB$31:$CH$31,1,AN401)*(1+INDEX('Lease Cycles'!$CI$31:$CO$31,1,AN401))^INT(INT(AN402/12)/INDEX('Lease Cycles'!$CP$31:$CV$31,1,AN401))/12,IF(AN401=1,IF(AN402&gt;=INDEX('Lease Cycles'!$DK$31:$DQ$31,1,AN401),IF(AN$6&gt;='Lease Cycles'!$AZ$31,'Lease Cycles'!$C$31*'Lease Cycles'!$BA$31/12,IF(AN$6&gt;='Lease Cycles'!$AX$31,'Lease Cycles'!$C$31*'Lease Cycles'!$AY$31/12,IF(AN$6&gt;='Lease Cycles'!$AV$31,'Lease Cycles'!$C$31*'Lease Cycles'!$AW$31/12,IF(AN$6&gt;='Lease Cycles'!$AT$31,'Lease Cycles'!$C$31*'Lease Cycles'!$AU$31/12,'Lease Cycles'!$C$31*INDEX('Lease Cycles'!$CB$31:$CH$31,1,AN401)*(1+INDEX('Lease Cycles'!$CI$31:$CO$31,1,AN401))^INT(INT(AN402/12)/INDEX('Lease Cycles'!$CP$31:$CV$31,1,AN401))/12)))),'Lease Cycles'!$C$31*INDEX('Lease Cycles'!$CB$31:$CH$31,1,AN401)*(1+INDEX('Lease Cycles'!$CI$31:$CO$31,1,AN401))^INT(INT(AN402/12)/INDEX('Lease Cycles'!$CP$31:$CV$31,1,AN401))/12),IF(INDEX('Lease Cycles'!$EF$31:$EL$31,1,AN401)=1,IF(AND('Lease Cycles'!$AZ$31&gt;=INDEX('Lease Cycles'!$BG$31:$BM$31,1,AN401),'Lease Cycles'!$AZ$31&lt;=AN$6),'Lease Cycles'!$C$31*'Lease Cycles'!$BA$31/12,IF(AND('Lease Cycles'!$AX$31&gt;=INDEX('Lease Cycles'!$BG$31:$BM$31,1,AN401),'Lease Cycles'!$AX$31&lt;=AN$6),'Lease Cycles'!$C$31*'Lease Cycles'!$AY$31/12,IF(AND('Lease Cycles'!$AV$31&gt;=INDEX('Lease Cycles'!$BG$31:$BM$31,1,AN401),'Lease Cycles'!$AV$31&lt;=AN$6),'Lease Cycles'!$C$31*'Lease Cycles'!$AW$31/12,IF(AND('Lease Cycles'!$AT$31&gt;=INDEX('Lease Cycles'!$BG$31:$BM$31,1,AN401),'Lease Cycles'!$AT$31&lt;=AN$6),'Lease Cycles'!$C$31*'Lease Cycles'!$AU$31/12,'Lease Cycles'!$C$31*INDEX('Lease Cycles'!$CB$31:$CH$31,1,AN401)*(1+INDEX('Lease Cycles'!$CI$31:$CO$31,1,AN401))^INT(INT(AN402/12)/INDEX('Lease Cycles'!$CP$31:$CV$31,1,AN401))/12)))),'Lease Cycles'!$C$31*INDEX('Lease Cycles'!$CB$31:$CH$31,1,AN401)*(1+INDEX('Lease Cycles'!$CI$31:$CO$31,1,AN401))^INT(INT(AN402/12)/INDEX('Lease Cycles'!$CP$31:$CV$31,1,AN401))/12))),IF('Lease Cycles'!$N$31=1,'Lease Cycles'!$C$31*'Lease Cycles'!$E$31*INDEX('Lease Cycles'!$HE$31:$HK$31,1,AN401)*(1+INDEX('Lease Cycles'!$GQ$31:$GW$31,1,AN401))^INT(INT((AN$6-INDEX('Lease Cycles'!$GJ$31:$GP$31,1,AN401))/12)/INDEX('Lease Cycles'!$GX$31:$HD$31,1,AN401))/12,0)))</f>
        <v>0</v>
      </c>
      <c r="AO404" s="28">
        <f>IF(AO401=0,IF('Lease Cycles'!$F$31&gt;0,'Lease Cycles'!$C$31*'Lease Cycles'!$E$31/12,0),IF(AO403=1,IF('Lease Cycles'!$AT$31&gt;=9999,'Lease Cycles'!$C$31*INDEX('Lease Cycles'!$CB$31:$CH$31,1,AO401)*(1+INDEX('Lease Cycles'!$CI$31:$CO$31,1,AO401))^INT(INT(AO402/12)/INDEX('Lease Cycles'!$CP$31:$CV$31,1,AO401))/12,IF(AO401=1,IF(AO402&gt;=INDEX('Lease Cycles'!$DK$31:$DQ$31,1,AO401),IF(AO$6&gt;='Lease Cycles'!$AZ$31,'Lease Cycles'!$C$31*'Lease Cycles'!$BA$31/12,IF(AO$6&gt;='Lease Cycles'!$AX$31,'Lease Cycles'!$C$31*'Lease Cycles'!$AY$31/12,IF(AO$6&gt;='Lease Cycles'!$AV$31,'Lease Cycles'!$C$31*'Lease Cycles'!$AW$31/12,IF(AO$6&gt;='Lease Cycles'!$AT$31,'Lease Cycles'!$C$31*'Lease Cycles'!$AU$31/12,'Lease Cycles'!$C$31*INDEX('Lease Cycles'!$CB$31:$CH$31,1,AO401)*(1+INDEX('Lease Cycles'!$CI$31:$CO$31,1,AO401))^INT(INT(AO402/12)/INDEX('Lease Cycles'!$CP$31:$CV$31,1,AO401))/12)))),'Lease Cycles'!$C$31*INDEX('Lease Cycles'!$CB$31:$CH$31,1,AO401)*(1+INDEX('Lease Cycles'!$CI$31:$CO$31,1,AO401))^INT(INT(AO402/12)/INDEX('Lease Cycles'!$CP$31:$CV$31,1,AO401))/12),IF(INDEX('Lease Cycles'!$EF$31:$EL$31,1,AO401)=1,IF(AND('Lease Cycles'!$AZ$31&gt;=INDEX('Lease Cycles'!$BG$31:$BM$31,1,AO401),'Lease Cycles'!$AZ$31&lt;=AO$6),'Lease Cycles'!$C$31*'Lease Cycles'!$BA$31/12,IF(AND('Lease Cycles'!$AX$31&gt;=INDEX('Lease Cycles'!$BG$31:$BM$31,1,AO401),'Lease Cycles'!$AX$31&lt;=AO$6),'Lease Cycles'!$C$31*'Lease Cycles'!$AY$31/12,IF(AND('Lease Cycles'!$AV$31&gt;=INDEX('Lease Cycles'!$BG$31:$BM$31,1,AO401),'Lease Cycles'!$AV$31&lt;=AO$6),'Lease Cycles'!$C$31*'Lease Cycles'!$AW$31/12,IF(AND('Lease Cycles'!$AT$31&gt;=INDEX('Lease Cycles'!$BG$31:$BM$31,1,AO401),'Lease Cycles'!$AT$31&lt;=AO$6),'Lease Cycles'!$C$31*'Lease Cycles'!$AU$31/12,'Lease Cycles'!$C$31*INDEX('Lease Cycles'!$CB$31:$CH$31,1,AO401)*(1+INDEX('Lease Cycles'!$CI$31:$CO$31,1,AO401))^INT(INT(AO402/12)/INDEX('Lease Cycles'!$CP$31:$CV$31,1,AO401))/12)))),'Lease Cycles'!$C$31*INDEX('Lease Cycles'!$CB$31:$CH$31,1,AO401)*(1+INDEX('Lease Cycles'!$CI$31:$CO$31,1,AO401))^INT(INT(AO402/12)/INDEX('Lease Cycles'!$CP$31:$CV$31,1,AO401))/12))),IF('Lease Cycles'!$N$31=1,'Lease Cycles'!$C$31*'Lease Cycles'!$E$31*INDEX('Lease Cycles'!$HE$31:$HK$31,1,AO401)*(1+INDEX('Lease Cycles'!$GQ$31:$GW$31,1,AO401))^INT(INT((AO$6-INDEX('Lease Cycles'!$GJ$31:$GP$31,1,AO401))/12)/INDEX('Lease Cycles'!$GX$31:$HD$31,1,AO401))/12,0)))</f>
        <v>0</v>
      </c>
      <c r="AP404" s="28">
        <f>IF(AP401=0,IF('Lease Cycles'!$F$31&gt;0,'Lease Cycles'!$C$31*'Lease Cycles'!$E$31/12,0),IF(AP403=1,IF('Lease Cycles'!$AT$31&gt;=9999,'Lease Cycles'!$C$31*INDEX('Lease Cycles'!$CB$31:$CH$31,1,AP401)*(1+INDEX('Lease Cycles'!$CI$31:$CO$31,1,AP401))^INT(INT(AP402/12)/INDEX('Lease Cycles'!$CP$31:$CV$31,1,AP401))/12,IF(AP401=1,IF(AP402&gt;=INDEX('Lease Cycles'!$DK$31:$DQ$31,1,AP401),IF(AP$6&gt;='Lease Cycles'!$AZ$31,'Lease Cycles'!$C$31*'Lease Cycles'!$BA$31/12,IF(AP$6&gt;='Lease Cycles'!$AX$31,'Lease Cycles'!$C$31*'Lease Cycles'!$AY$31/12,IF(AP$6&gt;='Lease Cycles'!$AV$31,'Lease Cycles'!$C$31*'Lease Cycles'!$AW$31/12,IF(AP$6&gt;='Lease Cycles'!$AT$31,'Lease Cycles'!$C$31*'Lease Cycles'!$AU$31/12,'Lease Cycles'!$C$31*INDEX('Lease Cycles'!$CB$31:$CH$31,1,AP401)*(1+INDEX('Lease Cycles'!$CI$31:$CO$31,1,AP401))^INT(INT(AP402/12)/INDEX('Lease Cycles'!$CP$31:$CV$31,1,AP401))/12)))),'Lease Cycles'!$C$31*INDEX('Lease Cycles'!$CB$31:$CH$31,1,AP401)*(1+INDEX('Lease Cycles'!$CI$31:$CO$31,1,AP401))^INT(INT(AP402/12)/INDEX('Lease Cycles'!$CP$31:$CV$31,1,AP401))/12),IF(INDEX('Lease Cycles'!$EF$31:$EL$31,1,AP401)=1,IF(AND('Lease Cycles'!$AZ$31&gt;=INDEX('Lease Cycles'!$BG$31:$BM$31,1,AP401),'Lease Cycles'!$AZ$31&lt;=AP$6),'Lease Cycles'!$C$31*'Lease Cycles'!$BA$31/12,IF(AND('Lease Cycles'!$AX$31&gt;=INDEX('Lease Cycles'!$BG$31:$BM$31,1,AP401),'Lease Cycles'!$AX$31&lt;=AP$6),'Lease Cycles'!$C$31*'Lease Cycles'!$AY$31/12,IF(AND('Lease Cycles'!$AV$31&gt;=INDEX('Lease Cycles'!$BG$31:$BM$31,1,AP401),'Lease Cycles'!$AV$31&lt;=AP$6),'Lease Cycles'!$C$31*'Lease Cycles'!$AW$31/12,IF(AND('Lease Cycles'!$AT$31&gt;=INDEX('Lease Cycles'!$BG$31:$BM$31,1,AP401),'Lease Cycles'!$AT$31&lt;=AP$6),'Lease Cycles'!$C$31*'Lease Cycles'!$AU$31/12,'Lease Cycles'!$C$31*INDEX('Lease Cycles'!$CB$31:$CH$31,1,AP401)*(1+INDEX('Lease Cycles'!$CI$31:$CO$31,1,AP401))^INT(INT(AP402/12)/INDEX('Lease Cycles'!$CP$31:$CV$31,1,AP401))/12)))),'Lease Cycles'!$C$31*INDEX('Lease Cycles'!$CB$31:$CH$31,1,AP401)*(1+INDEX('Lease Cycles'!$CI$31:$CO$31,1,AP401))^INT(INT(AP402/12)/INDEX('Lease Cycles'!$CP$31:$CV$31,1,AP401))/12))),IF('Lease Cycles'!$N$31=1,'Lease Cycles'!$C$31*'Lease Cycles'!$E$31*INDEX('Lease Cycles'!$HE$31:$HK$31,1,AP401)*(1+INDEX('Lease Cycles'!$GQ$31:$GW$31,1,AP401))^INT(INT((AP$6-INDEX('Lease Cycles'!$GJ$31:$GP$31,1,AP401))/12)/INDEX('Lease Cycles'!$GX$31:$HD$31,1,AP401))/12,0)))</f>
        <v>0</v>
      </c>
      <c r="AQ404" s="28">
        <f>IF(AQ401=0,IF('Lease Cycles'!$F$31&gt;0,'Lease Cycles'!$C$31*'Lease Cycles'!$E$31/12,0),IF(AQ403=1,IF('Lease Cycles'!$AT$31&gt;=9999,'Lease Cycles'!$C$31*INDEX('Lease Cycles'!$CB$31:$CH$31,1,AQ401)*(1+INDEX('Lease Cycles'!$CI$31:$CO$31,1,AQ401))^INT(INT(AQ402/12)/INDEX('Lease Cycles'!$CP$31:$CV$31,1,AQ401))/12,IF(AQ401=1,IF(AQ402&gt;=INDEX('Lease Cycles'!$DK$31:$DQ$31,1,AQ401),IF(AQ$6&gt;='Lease Cycles'!$AZ$31,'Lease Cycles'!$C$31*'Lease Cycles'!$BA$31/12,IF(AQ$6&gt;='Lease Cycles'!$AX$31,'Lease Cycles'!$C$31*'Lease Cycles'!$AY$31/12,IF(AQ$6&gt;='Lease Cycles'!$AV$31,'Lease Cycles'!$C$31*'Lease Cycles'!$AW$31/12,IF(AQ$6&gt;='Lease Cycles'!$AT$31,'Lease Cycles'!$C$31*'Lease Cycles'!$AU$31/12,'Lease Cycles'!$C$31*INDEX('Lease Cycles'!$CB$31:$CH$31,1,AQ401)*(1+INDEX('Lease Cycles'!$CI$31:$CO$31,1,AQ401))^INT(INT(AQ402/12)/INDEX('Lease Cycles'!$CP$31:$CV$31,1,AQ401))/12)))),'Lease Cycles'!$C$31*INDEX('Lease Cycles'!$CB$31:$CH$31,1,AQ401)*(1+INDEX('Lease Cycles'!$CI$31:$CO$31,1,AQ401))^INT(INT(AQ402/12)/INDEX('Lease Cycles'!$CP$31:$CV$31,1,AQ401))/12),IF(INDEX('Lease Cycles'!$EF$31:$EL$31,1,AQ401)=1,IF(AND('Lease Cycles'!$AZ$31&gt;=INDEX('Lease Cycles'!$BG$31:$BM$31,1,AQ401),'Lease Cycles'!$AZ$31&lt;=AQ$6),'Lease Cycles'!$C$31*'Lease Cycles'!$BA$31/12,IF(AND('Lease Cycles'!$AX$31&gt;=INDEX('Lease Cycles'!$BG$31:$BM$31,1,AQ401),'Lease Cycles'!$AX$31&lt;=AQ$6),'Lease Cycles'!$C$31*'Lease Cycles'!$AY$31/12,IF(AND('Lease Cycles'!$AV$31&gt;=INDEX('Lease Cycles'!$BG$31:$BM$31,1,AQ401),'Lease Cycles'!$AV$31&lt;=AQ$6),'Lease Cycles'!$C$31*'Lease Cycles'!$AW$31/12,IF(AND('Lease Cycles'!$AT$31&gt;=INDEX('Lease Cycles'!$BG$31:$BM$31,1,AQ401),'Lease Cycles'!$AT$31&lt;=AQ$6),'Lease Cycles'!$C$31*'Lease Cycles'!$AU$31/12,'Lease Cycles'!$C$31*INDEX('Lease Cycles'!$CB$31:$CH$31,1,AQ401)*(1+INDEX('Lease Cycles'!$CI$31:$CO$31,1,AQ401))^INT(INT(AQ402/12)/INDEX('Lease Cycles'!$CP$31:$CV$31,1,AQ401))/12)))),'Lease Cycles'!$C$31*INDEX('Lease Cycles'!$CB$31:$CH$31,1,AQ401)*(1+INDEX('Lease Cycles'!$CI$31:$CO$31,1,AQ401))^INT(INT(AQ402/12)/INDEX('Lease Cycles'!$CP$31:$CV$31,1,AQ401))/12))),IF('Lease Cycles'!$N$31=1,'Lease Cycles'!$C$31*'Lease Cycles'!$E$31*INDEX('Lease Cycles'!$HE$31:$HK$31,1,AQ401)*(1+INDEX('Lease Cycles'!$GQ$31:$GW$31,1,AQ401))^INT(INT((AQ$6-INDEX('Lease Cycles'!$GJ$31:$GP$31,1,AQ401))/12)/INDEX('Lease Cycles'!$GX$31:$HD$31,1,AQ401))/12,0)))</f>
        <v>0</v>
      </c>
      <c r="AR404" s="28">
        <f>IF(AR401=0,IF('Lease Cycles'!$F$31&gt;0,'Lease Cycles'!$C$31*'Lease Cycles'!$E$31/12,0),IF(AR403=1,IF('Lease Cycles'!$AT$31&gt;=9999,'Lease Cycles'!$C$31*INDEX('Lease Cycles'!$CB$31:$CH$31,1,AR401)*(1+INDEX('Lease Cycles'!$CI$31:$CO$31,1,AR401))^INT(INT(AR402/12)/INDEX('Lease Cycles'!$CP$31:$CV$31,1,AR401))/12,IF(AR401=1,IF(AR402&gt;=INDEX('Lease Cycles'!$DK$31:$DQ$31,1,AR401),IF(AR$6&gt;='Lease Cycles'!$AZ$31,'Lease Cycles'!$C$31*'Lease Cycles'!$BA$31/12,IF(AR$6&gt;='Lease Cycles'!$AX$31,'Lease Cycles'!$C$31*'Lease Cycles'!$AY$31/12,IF(AR$6&gt;='Lease Cycles'!$AV$31,'Lease Cycles'!$C$31*'Lease Cycles'!$AW$31/12,IF(AR$6&gt;='Lease Cycles'!$AT$31,'Lease Cycles'!$C$31*'Lease Cycles'!$AU$31/12,'Lease Cycles'!$C$31*INDEX('Lease Cycles'!$CB$31:$CH$31,1,AR401)*(1+INDEX('Lease Cycles'!$CI$31:$CO$31,1,AR401))^INT(INT(AR402/12)/INDEX('Lease Cycles'!$CP$31:$CV$31,1,AR401))/12)))),'Lease Cycles'!$C$31*INDEX('Lease Cycles'!$CB$31:$CH$31,1,AR401)*(1+INDEX('Lease Cycles'!$CI$31:$CO$31,1,AR401))^INT(INT(AR402/12)/INDEX('Lease Cycles'!$CP$31:$CV$31,1,AR401))/12),IF(INDEX('Lease Cycles'!$EF$31:$EL$31,1,AR401)=1,IF(AND('Lease Cycles'!$AZ$31&gt;=INDEX('Lease Cycles'!$BG$31:$BM$31,1,AR401),'Lease Cycles'!$AZ$31&lt;=AR$6),'Lease Cycles'!$C$31*'Lease Cycles'!$BA$31/12,IF(AND('Lease Cycles'!$AX$31&gt;=INDEX('Lease Cycles'!$BG$31:$BM$31,1,AR401),'Lease Cycles'!$AX$31&lt;=AR$6),'Lease Cycles'!$C$31*'Lease Cycles'!$AY$31/12,IF(AND('Lease Cycles'!$AV$31&gt;=INDEX('Lease Cycles'!$BG$31:$BM$31,1,AR401),'Lease Cycles'!$AV$31&lt;=AR$6),'Lease Cycles'!$C$31*'Lease Cycles'!$AW$31/12,IF(AND('Lease Cycles'!$AT$31&gt;=INDEX('Lease Cycles'!$BG$31:$BM$31,1,AR401),'Lease Cycles'!$AT$31&lt;=AR$6),'Lease Cycles'!$C$31*'Lease Cycles'!$AU$31/12,'Lease Cycles'!$C$31*INDEX('Lease Cycles'!$CB$31:$CH$31,1,AR401)*(1+INDEX('Lease Cycles'!$CI$31:$CO$31,1,AR401))^INT(INT(AR402/12)/INDEX('Lease Cycles'!$CP$31:$CV$31,1,AR401))/12)))),'Lease Cycles'!$C$31*INDEX('Lease Cycles'!$CB$31:$CH$31,1,AR401)*(1+INDEX('Lease Cycles'!$CI$31:$CO$31,1,AR401))^INT(INT(AR402/12)/INDEX('Lease Cycles'!$CP$31:$CV$31,1,AR401))/12))),IF('Lease Cycles'!$N$31=1,'Lease Cycles'!$C$31*'Lease Cycles'!$E$31*INDEX('Lease Cycles'!$HE$31:$HK$31,1,AR401)*(1+INDEX('Lease Cycles'!$GQ$31:$GW$31,1,AR401))^INT(INT((AR$6-INDEX('Lease Cycles'!$GJ$31:$GP$31,1,AR401))/12)/INDEX('Lease Cycles'!$GX$31:$HD$31,1,AR401))/12,0)))</f>
        <v>0</v>
      </c>
      <c r="AS404" s="28">
        <f>IF(AS401=0,IF('Lease Cycles'!$F$31&gt;0,'Lease Cycles'!$C$31*'Lease Cycles'!$E$31/12,0),IF(AS403=1,IF('Lease Cycles'!$AT$31&gt;=9999,'Lease Cycles'!$C$31*INDEX('Lease Cycles'!$CB$31:$CH$31,1,AS401)*(1+INDEX('Lease Cycles'!$CI$31:$CO$31,1,AS401))^INT(INT(AS402/12)/INDEX('Lease Cycles'!$CP$31:$CV$31,1,AS401))/12,IF(AS401=1,IF(AS402&gt;=INDEX('Lease Cycles'!$DK$31:$DQ$31,1,AS401),IF(AS$6&gt;='Lease Cycles'!$AZ$31,'Lease Cycles'!$C$31*'Lease Cycles'!$BA$31/12,IF(AS$6&gt;='Lease Cycles'!$AX$31,'Lease Cycles'!$C$31*'Lease Cycles'!$AY$31/12,IF(AS$6&gt;='Lease Cycles'!$AV$31,'Lease Cycles'!$C$31*'Lease Cycles'!$AW$31/12,IF(AS$6&gt;='Lease Cycles'!$AT$31,'Lease Cycles'!$C$31*'Lease Cycles'!$AU$31/12,'Lease Cycles'!$C$31*INDEX('Lease Cycles'!$CB$31:$CH$31,1,AS401)*(1+INDEX('Lease Cycles'!$CI$31:$CO$31,1,AS401))^INT(INT(AS402/12)/INDEX('Lease Cycles'!$CP$31:$CV$31,1,AS401))/12)))),'Lease Cycles'!$C$31*INDEX('Lease Cycles'!$CB$31:$CH$31,1,AS401)*(1+INDEX('Lease Cycles'!$CI$31:$CO$31,1,AS401))^INT(INT(AS402/12)/INDEX('Lease Cycles'!$CP$31:$CV$31,1,AS401))/12),IF(INDEX('Lease Cycles'!$EF$31:$EL$31,1,AS401)=1,IF(AND('Lease Cycles'!$AZ$31&gt;=INDEX('Lease Cycles'!$BG$31:$BM$31,1,AS401),'Lease Cycles'!$AZ$31&lt;=AS$6),'Lease Cycles'!$C$31*'Lease Cycles'!$BA$31/12,IF(AND('Lease Cycles'!$AX$31&gt;=INDEX('Lease Cycles'!$BG$31:$BM$31,1,AS401),'Lease Cycles'!$AX$31&lt;=AS$6),'Lease Cycles'!$C$31*'Lease Cycles'!$AY$31/12,IF(AND('Lease Cycles'!$AV$31&gt;=INDEX('Lease Cycles'!$BG$31:$BM$31,1,AS401),'Lease Cycles'!$AV$31&lt;=AS$6),'Lease Cycles'!$C$31*'Lease Cycles'!$AW$31/12,IF(AND('Lease Cycles'!$AT$31&gt;=INDEX('Lease Cycles'!$BG$31:$BM$31,1,AS401),'Lease Cycles'!$AT$31&lt;=AS$6),'Lease Cycles'!$C$31*'Lease Cycles'!$AU$31/12,'Lease Cycles'!$C$31*INDEX('Lease Cycles'!$CB$31:$CH$31,1,AS401)*(1+INDEX('Lease Cycles'!$CI$31:$CO$31,1,AS401))^INT(INT(AS402/12)/INDEX('Lease Cycles'!$CP$31:$CV$31,1,AS401))/12)))),'Lease Cycles'!$C$31*INDEX('Lease Cycles'!$CB$31:$CH$31,1,AS401)*(1+INDEX('Lease Cycles'!$CI$31:$CO$31,1,AS401))^INT(INT(AS402/12)/INDEX('Lease Cycles'!$CP$31:$CV$31,1,AS401))/12))),IF('Lease Cycles'!$N$31=1,'Lease Cycles'!$C$31*'Lease Cycles'!$E$31*INDEX('Lease Cycles'!$HE$31:$HK$31,1,AS401)*(1+INDEX('Lease Cycles'!$GQ$31:$GW$31,1,AS401))^INT(INT((AS$6-INDEX('Lease Cycles'!$GJ$31:$GP$31,1,AS401))/12)/INDEX('Lease Cycles'!$GX$31:$HD$31,1,AS401))/12,0)))</f>
        <v>0</v>
      </c>
      <c r="AT404" s="28">
        <f>IF(AT401=0,IF('Lease Cycles'!$F$31&gt;0,'Lease Cycles'!$C$31*'Lease Cycles'!$E$31/12,0),IF(AT403=1,IF('Lease Cycles'!$AT$31&gt;=9999,'Lease Cycles'!$C$31*INDEX('Lease Cycles'!$CB$31:$CH$31,1,AT401)*(1+INDEX('Lease Cycles'!$CI$31:$CO$31,1,AT401))^INT(INT(AT402/12)/INDEX('Lease Cycles'!$CP$31:$CV$31,1,AT401))/12,IF(AT401=1,IF(AT402&gt;=INDEX('Lease Cycles'!$DK$31:$DQ$31,1,AT401),IF(AT$6&gt;='Lease Cycles'!$AZ$31,'Lease Cycles'!$C$31*'Lease Cycles'!$BA$31/12,IF(AT$6&gt;='Lease Cycles'!$AX$31,'Lease Cycles'!$C$31*'Lease Cycles'!$AY$31/12,IF(AT$6&gt;='Lease Cycles'!$AV$31,'Lease Cycles'!$C$31*'Lease Cycles'!$AW$31/12,IF(AT$6&gt;='Lease Cycles'!$AT$31,'Lease Cycles'!$C$31*'Lease Cycles'!$AU$31/12,'Lease Cycles'!$C$31*INDEX('Lease Cycles'!$CB$31:$CH$31,1,AT401)*(1+INDEX('Lease Cycles'!$CI$31:$CO$31,1,AT401))^INT(INT(AT402/12)/INDEX('Lease Cycles'!$CP$31:$CV$31,1,AT401))/12)))),'Lease Cycles'!$C$31*INDEX('Lease Cycles'!$CB$31:$CH$31,1,AT401)*(1+INDEX('Lease Cycles'!$CI$31:$CO$31,1,AT401))^INT(INT(AT402/12)/INDEX('Lease Cycles'!$CP$31:$CV$31,1,AT401))/12),IF(INDEX('Lease Cycles'!$EF$31:$EL$31,1,AT401)=1,IF(AND('Lease Cycles'!$AZ$31&gt;=INDEX('Lease Cycles'!$BG$31:$BM$31,1,AT401),'Lease Cycles'!$AZ$31&lt;=AT$6),'Lease Cycles'!$C$31*'Lease Cycles'!$BA$31/12,IF(AND('Lease Cycles'!$AX$31&gt;=INDEX('Lease Cycles'!$BG$31:$BM$31,1,AT401),'Lease Cycles'!$AX$31&lt;=AT$6),'Lease Cycles'!$C$31*'Lease Cycles'!$AY$31/12,IF(AND('Lease Cycles'!$AV$31&gt;=INDEX('Lease Cycles'!$BG$31:$BM$31,1,AT401),'Lease Cycles'!$AV$31&lt;=AT$6),'Lease Cycles'!$C$31*'Lease Cycles'!$AW$31/12,IF(AND('Lease Cycles'!$AT$31&gt;=INDEX('Lease Cycles'!$BG$31:$BM$31,1,AT401),'Lease Cycles'!$AT$31&lt;=AT$6),'Lease Cycles'!$C$31*'Lease Cycles'!$AU$31/12,'Lease Cycles'!$C$31*INDEX('Lease Cycles'!$CB$31:$CH$31,1,AT401)*(1+INDEX('Lease Cycles'!$CI$31:$CO$31,1,AT401))^INT(INT(AT402/12)/INDEX('Lease Cycles'!$CP$31:$CV$31,1,AT401))/12)))),'Lease Cycles'!$C$31*INDEX('Lease Cycles'!$CB$31:$CH$31,1,AT401)*(1+INDEX('Lease Cycles'!$CI$31:$CO$31,1,AT401))^INT(INT(AT402/12)/INDEX('Lease Cycles'!$CP$31:$CV$31,1,AT401))/12))),IF('Lease Cycles'!$N$31=1,'Lease Cycles'!$C$31*'Lease Cycles'!$E$31*INDEX('Lease Cycles'!$HE$31:$HK$31,1,AT401)*(1+INDEX('Lease Cycles'!$GQ$31:$GW$31,1,AT401))^INT(INT((AT$6-INDEX('Lease Cycles'!$GJ$31:$GP$31,1,AT401))/12)/INDEX('Lease Cycles'!$GX$31:$HD$31,1,AT401))/12,0)))</f>
        <v>0</v>
      </c>
      <c r="AU404" s="28">
        <f>IF(AU401=0,IF('Lease Cycles'!$F$31&gt;0,'Lease Cycles'!$C$31*'Lease Cycles'!$E$31/12,0),IF(AU403=1,IF('Lease Cycles'!$AT$31&gt;=9999,'Lease Cycles'!$C$31*INDEX('Lease Cycles'!$CB$31:$CH$31,1,AU401)*(1+INDEX('Lease Cycles'!$CI$31:$CO$31,1,AU401))^INT(INT(AU402/12)/INDEX('Lease Cycles'!$CP$31:$CV$31,1,AU401))/12,IF(AU401=1,IF(AU402&gt;=INDEX('Lease Cycles'!$DK$31:$DQ$31,1,AU401),IF(AU$6&gt;='Lease Cycles'!$AZ$31,'Lease Cycles'!$C$31*'Lease Cycles'!$BA$31/12,IF(AU$6&gt;='Lease Cycles'!$AX$31,'Lease Cycles'!$C$31*'Lease Cycles'!$AY$31/12,IF(AU$6&gt;='Lease Cycles'!$AV$31,'Lease Cycles'!$C$31*'Lease Cycles'!$AW$31/12,IF(AU$6&gt;='Lease Cycles'!$AT$31,'Lease Cycles'!$C$31*'Lease Cycles'!$AU$31/12,'Lease Cycles'!$C$31*INDEX('Lease Cycles'!$CB$31:$CH$31,1,AU401)*(1+INDEX('Lease Cycles'!$CI$31:$CO$31,1,AU401))^INT(INT(AU402/12)/INDEX('Lease Cycles'!$CP$31:$CV$31,1,AU401))/12)))),'Lease Cycles'!$C$31*INDEX('Lease Cycles'!$CB$31:$CH$31,1,AU401)*(1+INDEX('Lease Cycles'!$CI$31:$CO$31,1,AU401))^INT(INT(AU402/12)/INDEX('Lease Cycles'!$CP$31:$CV$31,1,AU401))/12),IF(INDEX('Lease Cycles'!$EF$31:$EL$31,1,AU401)=1,IF(AND('Lease Cycles'!$AZ$31&gt;=INDEX('Lease Cycles'!$BG$31:$BM$31,1,AU401),'Lease Cycles'!$AZ$31&lt;=AU$6),'Lease Cycles'!$C$31*'Lease Cycles'!$BA$31/12,IF(AND('Lease Cycles'!$AX$31&gt;=INDEX('Lease Cycles'!$BG$31:$BM$31,1,AU401),'Lease Cycles'!$AX$31&lt;=AU$6),'Lease Cycles'!$C$31*'Lease Cycles'!$AY$31/12,IF(AND('Lease Cycles'!$AV$31&gt;=INDEX('Lease Cycles'!$BG$31:$BM$31,1,AU401),'Lease Cycles'!$AV$31&lt;=AU$6),'Lease Cycles'!$C$31*'Lease Cycles'!$AW$31/12,IF(AND('Lease Cycles'!$AT$31&gt;=INDEX('Lease Cycles'!$BG$31:$BM$31,1,AU401),'Lease Cycles'!$AT$31&lt;=AU$6),'Lease Cycles'!$C$31*'Lease Cycles'!$AU$31/12,'Lease Cycles'!$C$31*INDEX('Lease Cycles'!$CB$31:$CH$31,1,AU401)*(1+INDEX('Lease Cycles'!$CI$31:$CO$31,1,AU401))^INT(INT(AU402/12)/INDEX('Lease Cycles'!$CP$31:$CV$31,1,AU401))/12)))),'Lease Cycles'!$C$31*INDEX('Lease Cycles'!$CB$31:$CH$31,1,AU401)*(1+INDEX('Lease Cycles'!$CI$31:$CO$31,1,AU401))^INT(INT(AU402/12)/INDEX('Lease Cycles'!$CP$31:$CV$31,1,AU401))/12))),IF('Lease Cycles'!$N$31=1,'Lease Cycles'!$C$31*'Lease Cycles'!$E$31*INDEX('Lease Cycles'!$HE$31:$HK$31,1,AU401)*(1+INDEX('Lease Cycles'!$GQ$31:$GW$31,1,AU401))^INT(INT((AU$6-INDEX('Lease Cycles'!$GJ$31:$GP$31,1,AU401))/12)/INDEX('Lease Cycles'!$GX$31:$HD$31,1,AU401))/12,0)))</f>
        <v>0</v>
      </c>
      <c r="AV404" s="28">
        <f>IF(AV401=0,IF('Lease Cycles'!$F$31&gt;0,'Lease Cycles'!$C$31*'Lease Cycles'!$E$31/12,0),IF(AV403=1,IF('Lease Cycles'!$AT$31&gt;=9999,'Lease Cycles'!$C$31*INDEX('Lease Cycles'!$CB$31:$CH$31,1,AV401)*(1+INDEX('Lease Cycles'!$CI$31:$CO$31,1,AV401))^INT(INT(AV402/12)/INDEX('Lease Cycles'!$CP$31:$CV$31,1,AV401))/12,IF(AV401=1,IF(AV402&gt;=INDEX('Lease Cycles'!$DK$31:$DQ$31,1,AV401),IF(AV$6&gt;='Lease Cycles'!$AZ$31,'Lease Cycles'!$C$31*'Lease Cycles'!$BA$31/12,IF(AV$6&gt;='Lease Cycles'!$AX$31,'Lease Cycles'!$C$31*'Lease Cycles'!$AY$31/12,IF(AV$6&gt;='Lease Cycles'!$AV$31,'Lease Cycles'!$C$31*'Lease Cycles'!$AW$31/12,IF(AV$6&gt;='Lease Cycles'!$AT$31,'Lease Cycles'!$C$31*'Lease Cycles'!$AU$31/12,'Lease Cycles'!$C$31*INDEX('Lease Cycles'!$CB$31:$CH$31,1,AV401)*(1+INDEX('Lease Cycles'!$CI$31:$CO$31,1,AV401))^INT(INT(AV402/12)/INDEX('Lease Cycles'!$CP$31:$CV$31,1,AV401))/12)))),'Lease Cycles'!$C$31*INDEX('Lease Cycles'!$CB$31:$CH$31,1,AV401)*(1+INDEX('Lease Cycles'!$CI$31:$CO$31,1,AV401))^INT(INT(AV402/12)/INDEX('Lease Cycles'!$CP$31:$CV$31,1,AV401))/12),IF(INDEX('Lease Cycles'!$EF$31:$EL$31,1,AV401)=1,IF(AND('Lease Cycles'!$AZ$31&gt;=INDEX('Lease Cycles'!$BG$31:$BM$31,1,AV401),'Lease Cycles'!$AZ$31&lt;=AV$6),'Lease Cycles'!$C$31*'Lease Cycles'!$BA$31/12,IF(AND('Lease Cycles'!$AX$31&gt;=INDEX('Lease Cycles'!$BG$31:$BM$31,1,AV401),'Lease Cycles'!$AX$31&lt;=AV$6),'Lease Cycles'!$C$31*'Lease Cycles'!$AY$31/12,IF(AND('Lease Cycles'!$AV$31&gt;=INDEX('Lease Cycles'!$BG$31:$BM$31,1,AV401),'Lease Cycles'!$AV$31&lt;=AV$6),'Lease Cycles'!$C$31*'Lease Cycles'!$AW$31/12,IF(AND('Lease Cycles'!$AT$31&gt;=INDEX('Lease Cycles'!$BG$31:$BM$31,1,AV401),'Lease Cycles'!$AT$31&lt;=AV$6),'Lease Cycles'!$C$31*'Lease Cycles'!$AU$31/12,'Lease Cycles'!$C$31*INDEX('Lease Cycles'!$CB$31:$CH$31,1,AV401)*(1+INDEX('Lease Cycles'!$CI$31:$CO$31,1,AV401))^INT(INT(AV402/12)/INDEX('Lease Cycles'!$CP$31:$CV$31,1,AV401))/12)))),'Lease Cycles'!$C$31*INDEX('Lease Cycles'!$CB$31:$CH$31,1,AV401)*(1+INDEX('Lease Cycles'!$CI$31:$CO$31,1,AV401))^INT(INT(AV402/12)/INDEX('Lease Cycles'!$CP$31:$CV$31,1,AV401))/12))),IF('Lease Cycles'!$N$31=1,'Lease Cycles'!$C$31*'Lease Cycles'!$E$31*INDEX('Lease Cycles'!$HE$31:$HK$31,1,AV401)*(1+INDEX('Lease Cycles'!$GQ$31:$GW$31,1,AV401))^INT(INT((AV$6-INDEX('Lease Cycles'!$GJ$31:$GP$31,1,AV401))/12)/INDEX('Lease Cycles'!$GX$31:$HD$31,1,AV401))/12,0)))</f>
        <v>0</v>
      </c>
      <c r="AW404" s="28">
        <f>IF(AW401=0,IF('Lease Cycles'!$F$31&gt;0,'Lease Cycles'!$C$31*'Lease Cycles'!$E$31/12,0),IF(AW403=1,IF('Lease Cycles'!$AT$31&gt;=9999,'Lease Cycles'!$C$31*INDEX('Lease Cycles'!$CB$31:$CH$31,1,AW401)*(1+INDEX('Lease Cycles'!$CI$31:$CO$31,1,AW401))^INT(INT(AW402/12)/INDEX('Lease Cycles'!$CP$31:$CV$31,1,AW401))/12,IF(AW401=1,IF(AW402&gt;=INDEX('Lease Cycles'!$DK$31:$DQ$31,1,AW401),IF(AW$6&gt;='Lease Cycles'!$AZ$31,'Lease Cycles'!$C$31*'Lease Cycles'!$BA$31/12,IF(AW$6&gt;='Lease Cycles'!$AX$31,'Lease Cycles'!$C$31*'Lease Cycles'!$AY$31/12,IF(AW$6&gt;='Lease Cycles'!$AV$31,'Lease Cycles'!$C$31*'Lease Cycles'!$AW$31/12,IF(AW$6&gt;='Lease Cycles'!$AT$31,'Lease Cycles'!$C$31*'Lease Cycles'!$AU$31/12,'Lease Cycles'!$C$31*INDEX('Lease Cycles'!$CB$31:$CH$31,1,AW401)*(1+INDEX('Lease Cycles'!$CI$31:$CO$31,1,AW401))^INT(INT(AW402/12)/INDEX('Lease Cycles'!$CP$31:$CV$31,1,AW401))/12)))),'Lease Cycles'!$C$31*INDEX('Lease Cycles'!$CB$31:$CH$31,1,AW401)*(1+INDEX('Lease Cycles'!$CI$31:$CO$31,1,AW401))^INT(INT(AW402/12)/INDEX('Lease Cycles'!$CP$31:$CV$31,1,AW401))/12),IF(INDEX('Lease Cycles'!$EF$31:$EL$31,1,AW401)=1,IF(AND('Lease Cycles'!$AZ$31&gt;=INDEX('Lease Cycles'!$BG$31:$BM$31,1,AW401),'Lease Cycles'!$AZ$31&lt;=AW$6),'Lease Cycles'!$C$31*'Lease Cycles'!$BA$31/12,IF(AND('Lease Cycles'!$AX$31&gt;=INDEX('Lease Cycles'!$BG$31:$BM$31,1,AW401),'Lease Cycles'!$AX$31&lt;=AW$6),'Lease Cycles'!$C$31*'Lease Cycles'!$AY$31/12,IF(AND('Lease Cycles'!$AV$31&gt;=INDEX('Lease Cycles'!$BG$31:$BM$31,1,AW401),'Lease Cycles'!$AV$31&lt;=AW$6),'Lease Cycles'!$C$31*'Lease Cycles'!$AW$31/12,IF(AND('Lease Cycles'!$AT$31&gt;=INDEX('Lease Cycles'!$BG$31:$BM$31,1,AW401),'Lease Cycles'!$AT$31&lt;=AW$6),'Lease Cycles'!$C$31*'Lease Cycles'!$AU$31/12,'Lease Cycles'!$C$31*INDEX('Lease Cycles'!$CB$31:$CH$31,1,AW401)*(1+INDEX('Lease Cycles'!$CI$31:$CO$31,1,AW401))^INT(INT(AW402/12)/INDEX('Lease Cycles'!$CP$31:$CV$31,1,AW401))/12)))),'Lease Cycles'!$C$31*INDEX('Lease Cycles'!$CB$31:$CH$31,1,AW401)*(1+INDEX('Lease Cycles'!$CI$31:$CO$31,1,AW401))^INT(INT(AW402/12)/INDEX('Lease Cycles'!$CP$31:$CV$31,1,AW401))/12))),IF('Lease Cycles'!$N$31=1,'Lease Cycles'!$C$31*'Lease Cycles'!$E$31*INDEX('Lease Cycles'!$HE$31:$HK$31,1,AW401)*(1+INDEX('Lease Cycles'!$GQ$31:$GW$31,1,AW401))^INT(INT((AW$6-INDEX('Lease Cycles'!$GJ$31:$GP$31,1,AW401))/12)/INDEX('Lease Cycles'!$GX$31:$HD$31,1,AW401))/12,0)))</f>
        <v>0</v>
      </c>
      <c r="AX404" s="28">
        <f>IF(AX401=0,IF('Lease Cycles'!$F$31&gt;0,'Lease Cycles'!$C$31*'Lease Cycles'!$E$31/12,0),IF(AX403=1,IF('Lease Cycles'!$AT$31&gt;=9999,'Lease Cycles'!$C$31*INDEX('Lease Cycles'!$CB$31:$CH$31,1,AX401)*(1+INDEX('Lease Cycles'!$CI$31:$CO$31,1,AX401))^INT(INT(AX402/12)/INDEX('Lease Cycles'!$CP$31:$CV$31,1,AX401))/12,IF(AX401=1,IF(AX402&gt;=INDEX('Lease Cycles'!$DK$31:$DQ$31,1,AX401),IF(AX$6&gt;='Lease Cycles'!$AZ$31,'Lease Cycles'!$C$31*'Lease Cycles'!$BA$31/12,IF(AX$6&gt;='Lease Cycles'!$AX$31,'Lease Cycles'!$C$31*'Lease Cycles'!$AY$31/12,IF(AX$6&gt;='Lease Cycles'!$AV$31,'Lease Cycles'!$C$31*'Lease Cycles'!$AW$31/12,IF(AX$6&gt;='Lease Cycles'!$AT$31,'Lease Cycles'!$C$31*'Lease Cycles'!$AU$31/12,'Lease Cycles'!$C$31*INDEX('Lease Cycles'!$CB$31:$CH$31,1,AX401)*(1+INDEX('Lease Cycles'!$CI$31:$CO$31,1,AX401))^INT(INT(AX402/12)/INDEX('Lease Cycles'!$CP$31:$CV$31,1,AX401))/12)))),'Lease Cycles'!$C$31*INDEX('Lease Cycles'!$CB$31:$CH$31,1,AX401)*(1+INDEX('Lease Cycles'!$CI$31:$CO$31,1,AX401))^INT(INT(AX402/12)/INDEX('Lease Cycles'!$CP$31:$CV$31,1,AX401))/12),IF(INDEX('Lease Cycles'!$EF$31:$EL$31,1,AX401)=1,IF(AND('Lease Cycles'!$AZ$31&gt;=INDEX('Lease Cycles'!$BG$31:$BM$31,1,AX401),'Lease Cycles'!$AZ$31&lt;=AX$6),'Lease Cycles'!$C$31*'Lease Cycles'!$BA$31/12,IF(AND('Lease Cycles'!$AX$31&gt;=INDEX('Lease Cycles'!$BG$31:$BM$31,1,AX401),'Lease Cycles'!$AX$31&lt;=AX$6),'Lease Cycles'!$C$31*'Lease Cycles'!$AY$31/12,IF(AND('Lease Cycles'!$AV$31&gt;=INDEX('Lease Cycles'!$BG$31:$BM$31,1,AX401),'Lease Cycles'!$AV$31&lt;=AX$6),'Lease Cycles'!$C$31*'Lease Cycles'!$AW$31/12,IF(AND('Lease Cycles'!$AT$31&gt;=INDEX('Lease Cycles'!$BG$31:$BM$31,1,AX401),'Lease Cycles'!$AT$31&lt;=AX$6),'Lease Cycles'!$C$31*'Lease Cycles'!$AU$31/12,'Lease Cycles'!$C$31*INDEX('Lease Cycles'!$CB$31:$CH$31,1,AX401)*(1+INDEX('Lease Cycles'!$CI$31:$CO$31,1,AX401))^INT(INT(AX402/12)/INDEX('Lease Cycles'!$CP$31:$CV$31,1,AX401))/12)))),'Lease Cycles'!$C$31*INDEX('Lease Cycles'!$CB$31:$CH$31,1,AX401)*(1+INDEX('Lease Cycles'!$CI$31:$CO$31,1,AX401))^INT(INT(AX402/12)/INDEX('Lease Cycles'!$CP$31:$CV$31,1,AX401))/12))),IF('Lease Cycles'!$N$31=1,'Lease Cycles'!$C$31*'Lease Cycles'!$E$31*INDEX('Lease Cycles'!$HE$31:$HK$31,1,AX401)*(1+INDEX('Lease Cycles'!$GQ$31:$GW$31,1,AX401))^INT(INT((AX$6-INDEX('Lease Cycles'!$GJ$31:$GP$31,1,AX401))/12)/INDEX('Lease Cycles'!$GX$31:$HD$31,1,AX401))/12,0)))</f>
        <v>0</v>
      </c>
      <c r="AY404" s="28">
        <f>IF(AY401=0,IF('Lease Cycles'!$F$31&gt;0,'Lease Cycles'!$C$31*'Lease Cycles'!$E$31/12,0),IF(AY403=1,IF('Lease Cycles'!$AT$31&gt;=9999,'Lease Cycles'!$C$31*INDEX('Lease Cycles'!$CB$31:$CH$31,1,AY401)*(1+INDEX('Lease Cycles'!$CI$31:$CO$31,1,AY401))^INT(INT(AY402/12)/INDEX('Lease Cycles'!$CP$31:$CV$31,1,AY401))/12,IF(AY401=1,IF(AY402&gt;=INDEX('Lease Cycles'!$DK$31:$DQ$31,1,AY401),IF(AY$6&gt;='Lease Cycles'!$AZ$31,'Lease Cycles'!$C$31*'Lease Cycles'!$BA$31/12,IF(AY$6&gt;='Lease Cycles'!$AX$31,'Lease Cycles'!$C$31*'Lease Cycles'!$AY$31/12,IF(AY$6&gt;='Lease Cycles'!$AV$31,'Lease Cycles'!$C$31*'Lease Cycles'!$AW$31/12,IF(AY$6&gt;='Lease Cycles'!$AT$31,'Lease Cycles'!$C$31*'Lease Cycles'!$AU$31/12,'Lease Cycles'!$C$31*INDEX('Lease Cycles'!$CB$31:$CH$31,1,AY401)*(1+INDEX('Lease Cycles'!$CI$31:$CO$31,1,AY401))^INT(INT(AY402/12)/INDEX('Lease Cycles'!$CP$31:$CV$31,1,AY401))/12)))),'Lease Cycles'!$C$31*INDEX('Lease Cycles'!$CB$31:$CH$31,1,AY401)*(1+INDEX('Lease Cycles'!$CI$31:$CO$31,1,AY401))^INT(INT(AY402/12)/INDEX('Lease Cycles'!$CP$31:$CV$31,1,AY401))/12),IF(INDEX('Lease Cycles'!$EF$31:$EL$31,1,AY401)=1,IF(AND('Lease Cycles'!$AZ$31&gt;=INDEX('Lease Cycles'!$BG$31:$BM$31,1,AY401),'Lease Cycles'!$AZ$31&lt;=AY$6),'Lease Cycles'!$C$31*'Lease Cycles'!$BA$31/12,IF(AND('Lease Cycles'!$AX$31&gt;=INDEX('Lease Cycles'!$BG$31:$BM$31,1,AY401),'Lease Cycles'!$AX$31&lt;=AY$6),'Lease Cycles'!$C$31*'Lease Cycles'!$AY$31/12,IF(AND('Lease Cycles'!$AV$31&gt;=INDEX('Lease Cycles'!$BG$31:$BM$31,1,AY401),'Lease Cycles'!$AV$31&lt;=AY$6),'Lease Cycles'!$C$31*'Lease Cycles'!$AW$31/12,IF(AND('Lease Cycles'!$AT$31&gt;=INDEX('Lease Cycles'!$BG$31:$BM$31,1,AY401),'Lease Cycles'!$AT$31&lt;=AY$6),'Lease Cycles'!$C$31*'Lease Cycles'!$AU$31/12,'Lease Cycles'!$C$31*INDEX('Lease Cycles'!$CB$31:$CH$31,1,AY401)*(1+INDEX('Lease Cycles'!$CI$31:$CO$31,1,AY401))^INT(INT(AY402/12)/INDEX('Lease Cycles'!$CP$31:$CV$31,1,AY401))/12)))),'Lease Cycles'!$C$31*INDEX('Lease Cycles'!$CB$31:$CH$31,1,AY401)*(1+INDEX('Lease Cycles'!$CI$31:$CO$31,1,AY401))^INT(INT(AY402/12)/INDEX('Lease Cycles'!$CP$31:$CV$31,1,AY401))/12))),IF('Lease Cycles'!$N$31=1,'Lease Cycles'!$C$31*'Lease Cycles'!$E$31*INDEX('Lease Cycles'!$HE$31:$HK$31,1,AY401)*(1+INDEX('Lease Cycles'!$GQ$31:$GW$31,1,AY401))^INT(INT((AY$6-INDEX('Lease Cycles'!$GJ$31:$GP$31,1,AY401))/12)/INDEX('Lease Cycles'!$GX$31:$HD$31,1,AY401))/12,0)))</f>
        <v>0</v>
      </c>
      <c r="AZ404" s="28">
        <f>IF(AZ401=0,IF('Lease Cycles'!$F$31&gt;0,'Lease Cycles'!$C$31*'Lease Cycles'!$E$31/12,0),IF(AZ403=1,IF('Lease Cycles'!$AT$31&gt;=9999,'Lease Cycles'!$C$31*INDEX('Lease Cycles'!$CB$31:$CH$31,1,AZ401)*(1+INDEX('Lease Cycles'!$CI$31:$CO$31,1,AZ401))^INT(INT(AZ402/12)/INDEX('Lease Cycles'!$CP$31:$CV$31,1,AZ401))/12,IF(AZ401=1,IF(AZ402&gt;=INDEX('Lease Cycles'!$DK$31:$DQ$31,1,AZ401),IF(AZ$6&gt;='Lease Cycles'!$AZ$31,'Lease Cycles'!$C$31*'Lease Cycles'!$BA$31/12,IF(AZ$6&gt;='Lease Cycles'!$AX$31,'Lease Cycles'!$C$31*'Lease Cycles'!$AY$31/12,IF(AZ$6&gt;='Lease Cycles'!$AV$31,'Lease Cycles'!$C$31*'Lease Cycles'!$AW$31/12,IF(AZ$6&gt;='Lease Cycles'!$AT$31,'Lease Cycles'!$C$31*'Lease Cycles'!$AU$31/12,'Lease Cycles'!$C$31*INDEX('Lease Cycles'!$CB$31:$CH$31,1,AZ401)*(1+INDEX('Lease Cycles'!$CI$31:$CO$31,1,AZ401))^INT(INT(AZ402/12)/INDEX('Lease Cycles'!$CP$31:$CV$31,1,AZ401))/12)))),'Lease Cycles'!$C$31*INDEX('Lease Cycles'!$CB$31:$CH$31,1,AZ401)*(1+INDEX('Lease Cycles'!$CI$31:$CO$31,1,AZ401))^INT(INT(AZ402/12)/INDEX('Lease Cycles'!$CP$31:$CV$31,1,AZ401))/12),IF(INDEX('Lease Cycles'!$EF$31:$EL$31,1,AZ401)=1,IF(AND('Lease Cycles'!$AZ$31&gt;=INDEX('Lease Cycles'!$BG$31:$BM$31,1,AZ401),'Lease Cycles'!$AZ$31&lt;=AZ$6),'Lease Cycles'!$C$31*'Lease Cycles'!$BA$31/12,IF(AND('Lease Cycles'!$AX$31&gt;=INDEX('Lease Cycles'!$BG$31:$BM$31,1,AZ401),'Lease Cycles'!$AX$31&lt;=AZ$6),'Lease Cycles'!$C$31*'Lease Cycles'!$AY$31/12,IF(AND('Lease Cycles'!$AV$31&gt;=INDEX('Lease Cycles'!$BG$31:$BM$31,1,AZ401),'Lease Cycles'!$AV$31&lt;=AZ$6),'Lease Cycles'!$C$31*'Lease Cycles'!$AW$31/12,IF(AND('Lease Cycles'!$AT$31&gt;=INDEX('Lease Cycles'!$BG$31:$BM$31,1,AZ401),'Lease Cycles'!$AT$31&lt;=AZ$6),'Lease Cycles'!$C$31*'Lease Cycles'!$AU$31/12,'Lease Cycles'!$C$31*INDEX('Lease Cycles'!$CB$31:$CH$31,1,AZ401)*(1+INDEX('Lease Cycles'!$CI$31:$CO$31,1,AZ401))^INT(INT(AZ402/12)/INDEX('Lease Cycles'!$CP$31:$CV$31,1,AZ401))/12)))),'Lease Cycles'!$C$31*INDEX('Lease Cycles'!$CB$31:$CH$31,1,AZ401)*(1+INDEX('Lease Cycles'!$CI$31:$CO$31,1,AZ401))^INT(INT(AZ402/12)/INDEX('Lease Cycles'!$CP$31:$CV$31,1,AZ401))/12))),IF('Lease Cycles'!$N$31=1,'Lease Cycles'!$C$31*'Lease Cycles'!$E$31*INDEX('Lease Cycles'!$HE$31:$HK$31,1,AZ401)*(1+INDEX('Lease Cycles'!$GQ$31:$GW$31,1,AZ401))^INT(INT((AZ$6-INDEX('Lease Cycles'!$GJ$31:$GP$31,1,AZ401))/12)/INDEX('Lease Cycles'!$GX$31:$HD$31,1,AZ401))/12,0)))</f>
        <v>0</v>
      </c>
      <c r="BA404" s="28">
        <f>IF(BA401=0,IF('Lease Cycles'!$F$31&gt;0,'Lease Cycles'!$C$31*'Lease Cycles'!$E$31/12,0),IF(BA403=1,IF('Lease Cycles'!$AT$31&gt;=9999,'Lease Cycles'!$C$31*INDEX('Lease Cycles'!$CB$31:$CH$31,1,BA401)*(1+INDEX('Lease Cycles'!$CI$31:$CO$31,1,BA401))^INT(INT(BA402/12)/INDEX('Lease Cycles'!$CP$31:$CV$31,1,BA401))/12,IF(BA401=1,IF(BA402&gt;=INDEX('Lease Cycles'!$DK$31:$DQ$31,1,BA401),IF(BA$6&gt;='Lease Cycles'!$AZ$31,'Lease Cycles'!$C$31*'Lease Cycles'!$BA$31/12,IF(BA$6&gt;='Lease Cycles'!$AX$31,'Lease Cycles'!$C$31*'Lease Cycles'!$AY$31/12,IF(BA$6&gt;='Lease Cycles'!$AV$31,'Lease Cycles'!$C$31*'Lease Cycles'!$AW$31/12,IF(BA$6&gt;='Lease Cycles'!$AT$31,'Lease Cycles'!$C$31*'Lease Cycles'!$AU$31/12,'Lease Cycles'!$C$31*INDEX('Lease Cycles'!$CB$31:$CH$31,1,BA401)*(1+INDEX('Lease Cycles'!$CI$31:$CO$31,1,BA401))^INT(INT(BA402/12)/INDEX('Lease Cycles'!$CP$31:$CV$31,1,BA401))/12)))),'Lease Cycles'!$C$31*INDEX('Lease Cycles'!$CB$31:$CH$31,1,BA401)*(1+INDEX('Lease Cycles'!$CI$31:$CO$31,1,BA401))^INT(INT(BA402/12)/INDEX('Lease Cycles'!$CP$31:$CV$31,1,BA401))/12),IF(INDEX('Lease Cycles'!$EF$31:$EL$31,1,BA401)=1,IF(AND('Lease Cycles'!$AZ$31&gt;=INDEX('Lease Cycles'!$BG$31:$BM$31,1,BA401),'Lease Cycles'!$AZ$31&lt;=BA$6),'Lease Cycles'!$C$31*'Lease Cycles'!$BA$31/12,IF(AND('Lease Cycles'!$AX$31&gt;=INDEX('Lease Cycles'!$BG$31:$BM$31,1,BA401),'Lease Cycles'!$AX$31&lt;=BA$6),'Lease Cycles'!$C$31*'Lease Cycles'!$AY$31/12,IF(AND('Lease Cycles'!$AV$31&gt;=INDEX('Lease Cycles'!$BG$31:$BM$31,1,BA401),'Lease Cycles'!$AV$31&lt;=BA$6),'Lease Cycles'!$C$31*'Lease Cycles'!$AW$31/12,IF(AND('Lease Cycles'!$AT$31&gt;=INDEX('Lease Cycles'!$BG$31:$BM$31,1,BA401),'Lease Cycles'!$AT$31&lt;=BA$6),'Lease Cycles'!$C$31*'Lease Cycles'!$AU$31/12,'Lease Cycles'!$C$31*INDEX('Lease Cycles'!$CB$31:$CH$31,1,BA401)*(1+INDEX('Lease Cycles'!$CI$31:$CO$31,1,BA401))^INT(INT(BA402/12)/INDEX('Lease Cycles'!$CP$31:$CV$31,1,BA401))/12)))),'Lease Cycles'!$C$31*INDEX('Lease Cycles'!$CB$31:$CH$31,1,BA401)*(1+INDEX('Lease Cycles'!$CI$31:$CO$31,1,BA401))^INT(INT(BA402/12)/INDEX('Lease Cycles'!$CP$31:$CV$31,1,BA401))/12))),IF('Lease Cycles'!$N$31=1,'Lease Cycles'!$C$31*'Lease Cycles'!$E$31*INDEX('Lease Cycles'!$HE$31:$HK$31,1,BA401)*(1+INDEX('Lease Cycles'!$GQ$31:$GW$31,1,BA401))^INT(INT((BA$6-INDEX('Lease Cycles'!$GJ$31:$GP$31,1,BA401))/12)/INDEX('Lease Cycles'!$GX$31:$HD$31,1,BA401))/12,0)))</f>
        <v>0</v>
      </c>
      <c r="BB404" s="28">
        <f>IF(BB401=0,IF('Lease Cycles'!$F$31&gt;0,'Lease Cycles'!$C$31*'Lease Cycles'!$E$31/12,0),IF(BB403=1,IF('Lease Cycles'!$AT$31&gt;=9999,'Lease Cycles'!$C$31*INDEX('Lease Cycles'!$CB$31:$CH$31,1,BB401)*(1+INDEX('Lease Cycles'!$CI$31:$CO$31,1,BB401))^INT(INT(BB402/12)/INDEX('Lease Cycles'!$CP$31:$CV$31,1,BB401))/12,IF(BB401=1,IF(BB402&gt;=INDEX('Lease Cycles'!$DK$31:$DQ$31,1,BB401),IF(BB$6&gt;='Lease Cycles'!$AZ$31,'Lease Cycles'!$C$31*'Lease Cycles'!$BA$31/12,IF(BB$6&gt;='Lease Cycles'!$AX$31,'Lease Cycles'!$C$31*'Lease Cycles'!$AY$31/12,IF(BB$6&gt;='Lease Cycles'!$AV$31,'Lease Cycles'!$C$31*'Lease Cycles'!$AW$31/12,IF(BB$6&gt;='Lease Cycles'!$AT$31,'Lease Cycles'!$C$31*'Lease Cycles'!$AU$31/12,'Lease Cycles'!$C$31*INDEX('Lease Cycles'!$CB$31:$CH$31,1,BB401)*(1+INDEX('Lease Cycles'!$CI$31:$CO$31,1,BB401))^INT(INT(BB402/12)/INDEX('Lease Cycles'!$CP$31:$CV$31,1,BB401))/12)))),'Lease Cycles'!$C$31*INDEX('Lease Cycles'!$CB$31:$CH$31,1,BB401)*(1+INDEX('Lease Cycles'!$CI$31:$CO$31,1,BB401))^INT(INT(BB402/12)/INDEX('Lease Cycles'!$CP$31:$CV$31,1,BB401))/12),IF(INDEX('Lease Cycles'!$EF$31:$EL$31,1,BB401)=1,IF(AND('Lease Cycles'!$AZ$31&gt;=INDEX('Lease Cycles'!$BG$31:$BM$31,1,BB401),'Lease Cycles'!$AZ$31&lt;=BB$6),'Lease Cycles'!$C$31*'Lease Cycles'!$BA$31/12,IF(AND('Lease Cycles'!$AX$31&gt;=INDEX('Lease Cycles'!$BG$31:$BM$31,1,BB401),'Lease Cycles'!$AX$31&lt;=BB$6),'Lease Cycles'!$C$31*'Lease Cycles'!$AY$31/12,IF(AND('Lease Cycles'!$AV$31&gt;=INDEX('Lease Cycles'!$BG$31:$BM$31,1,BB401),'Lease Cycles'!$AV$31&lt;=BB$6),'Lease Cycles'!$C$31*'Lease Cycles'!$AW$31/12,IF(AND('Lease Cycles'!$AT$31&gt;=INDEX('Lease Cycles'!$BG$31:$BM$31,1,BB401),'Lease Cycles'!$AT$31&lt;=BB$6),'Lease Cycles'!$C$31*'Lease Cycles'!$AU$31/12,'Lease Cycles'!$C$31*INDEX('Lease Cycles'!$CB$31:$CH$31,1,BB401)*(1+INDEX('Lease Cycles'!$CI$31:$CO$31,1,BB401))^INT(INT(BB402/12)/INDEX('Lease Cycles'!$CP$31:$CV$31,1,BB401))/12)))),'Lease Cycles'!$C$31*INDEX('Lease Cycles'!$CB$31:$CH$31,1,BB401)*(1+INDEX('Lease Cycles'!$CI$31:$CO$31,1,BB401))^INT(INT(BB402/12)/INDEX('Lease Cycles'!$CP$31:$CV$31,1,BB401))/12))),IF('Lease Cycles'!$N$31=1,'Lease Cycles'!$C$31*'Lease Cycles'!$E$31*INDEX('Lease Cycles'!$HE$31:$HK$31,1,BB401)*(1+INDEX('Lease Cycles'!$GQ$31:$GW$31,1,BB401))^INT(INT((BB$6-INDEX('Lease Cycles'!$GJ$31:$GP$31,1,BB401))/12)/INDEX('Lease Cycles'!$GX$31:$HD$31,1,BB401))/12,0)))</f>
        <v>0</v>
      </c>
      <c r="BC404" s="28">
        <f>IF(BC401=0,IF('Lease Cycles'!$F$31&gt;0,'Lease Cycles'!$C$31*'Lease Cycles'!$E$31/12,0),IF(BC403=1,IF('Lease Cycles'!$AT$31&gt;=9999,'Lease Cycles'!$C$31*INDEX('Lease Cycles'!$CB$31:$CH$31,1,BC401)*(1+INDEX('Lease Cycles'!$CI$31:$CO$31,1,BC401))^INT(INT(BC402/12)/INDEX('Lease Cycles'!$CP$31:$CV$31,1,BC401))/12,IF(BC401=1,IF(BC402&gt;=INDEX('Lease Cycles'!$DK$31:$DQ$31,1,BC401),IF(BC$6&gt;='Lease Cycles'!$AZ$31,'Lease Cycles'!$C$31*'Lease Cycles'!$BA$31/12,IF(BC$6&gt;='Lease Cycles'!$AX$31,'Lease Cycles'!$C$31*'Lease Cycles'!$AY$31/12,IF(BC$6&gt;='Lease Cycles'!$AV$31,'Lease Cycles'!$C$31*'Lease Cycles'!$AW$31/12,IF(BC$6&gt;='Lease Cycles'!$AT$31,'Lease Cycles'!$C$31*'Lease Cycles'!$AU$31/12,'Lease Cycles'!$C$31*INDEX('Lease Cycles'!$CB$31:$CH$31,1,BC401)*(1+INDEX('Lease Cycles'!$CI$31:$CO$31,1,BC401))^INT(INT(BC402/12)/INDEX('Lease Cycles'!$CP$31:$CV$31,1,BC401))/12)))),'Lease Cycles'!$C$31*INDEX('Lease Cycles'!$CB$31:$CH$31,1,BC401)*(1+INDEX('Lease Cycles'!$CI$31:$CO$31,1,BC401))^INT(INT(BC402/12)/INDEX('Lease Cycles'!$CP$31:$CV$31,1,BC401))/12),IF(INDEX('Lease Cycles'!$EF$31:$EL$31,1,BC401)=1,IF(AND('Lease Cycles'!$AZ$31&gt;=INDEX('Lease Cycles'!$BG$31:$BM$31,1,BC401),'Lease Cycles'!$AZ$31&lt;=BC$6),'Lease Cycles'!$C$31*'Lease Cycles'!$BA$31/12,IF(AND('Lease Cycles'!$AX$31&gt;=INDEX('Lease Cycles'!$BG$31:$BM$31,1,BC401),'Lease Cycles'!$AX$31&lt;=BC$6),'Lease Cycles'!$C$31*'Lease Cycles'!$AY$31/12,IF(AND('Lease Cycles'!$AV$31&gt;=INDEX('Lease Cycles'!$BG$31:$BM$31,1,BC401),'Lease Cycles'!$AV$31&lt;=BC$6),'Lease Cycles'!$C$31*'Lease Cycles'!$AW$31/12,IF(AND('Lease Cycles'!$AT$31&gt;=INDEX('Lease Cycles'!$BG$31:$BM$31,1,BC401),'Lease Cycles'!$AT$31&lt;=BC$6),'Lease Cycles'!$C$31*'Lease Cycles'!$AU$31/12,'Lease Cycles'!$C$31*INDEX('Lease Cycles'!$CB$31:$CH$31,1,BC401)*(1+INDEX('Lease Cycles'!$CI$31:$CO$31,1,BC401))^INT(INT(BC402/12)/INDEX('Lease Cycles'!$CP$31:$CV$31,1,BC401))/12)))),'Lease Cycles'!$C$31*INDEX('Lease Cycles'!$CB$31:$CH$31,1,BC401)*(1+INDEX('Lease Cycles'!$CI$31:$CO$31,1,BC401))^INT(INT(BC402/12)/INDEX('Lease Cycles'!$CP$31:$CV$31,1,BC401))/12))),IF('Lease Cycles'!$N$31=1,'Lease Cycles'!$C$31*'Lease Cycles'!$E$31*INDEX('Lease Cycles'!$HE$31:$HK$31,1,BC401)*(1+INDEX('Lease Cycles'!$GQ$31:$GW$31,1,BC401))^INT(INT((BC$6-INDEX('Lease Cycles'!$GJ$31:$GP$31,1,BC401))/12)/INDEX('Lease Cycles'!$GX$31:$HD$31,1,BC401))/12,0)))</f>
        <v>0</v>
      </c>
      <c r="BD404" s="28">
        <f>IF(BD401=0,IF('Lease Cycles'!$F$31&gt;0,'Lease Cycles'!$C$31*'Lease Cycles'!$E$31/12,0),IF(BD403=1,IF('Lease Cycles'!$AT$31&gt;=9999,'Lease Cycles'!$C$31*INDEX('Lease Cycles'!$CB$31:$CH$31,1,BD401)*(1+INDEX('Lease Cycles'!$CI$31:$CO$31,1,BD401))^INT(INT(BD402/12)/INDEX('Lease Cycles'!$CP$31:$CV$31,1,BD401))/12,IF(BD401=1,IF(BD402&gt;=INDEX('Lease Cycles'!$DK$31:$DQ$31,1,BD401),IF(BD$6&gt;='Lease Cycles'!$AZ$31,'Lease Cycles'!$C$31*'Lease Cycles'!$BA$31/12,IF(BD$6&gt;='Lease Cycles'!$AX$31,'Lease Cycles'!$C$31*'Lease Cycles'!$AY$31/12,IF(BD$6&gt;='Lease Cycles'!$AV$31,'Lease Cycles'!$C$31*'Lease Cycles'!$AW$31/12,IF(BD$6&gt;='Lease Cycles'!$AT$31,'Lease Cycles'!$C$31*'Lease Cycles'!$AU$31/12,'Lease Cycles'!$C$31*INDEX('Lease Cycles'!$CB$31:$CH$31,1,BD401)*(1+INDEX('Lease Cycles'!$CI$31:$CO$31,1,BD401))^INT(INT(BD402/12)/INDEX('Lease Cycles'!$CP$31:$CV$31,1,BD401))/12)))),'Lease Cycles'!$C$31*INDEX('Lease Cycles'!$CB$31:$CH$31,1,BD401)*(1+INDEX('Lease Cycles'!$CI$31:$CO$31,1,BD401))^INT(INT(BD402/12)/INDEX('Lease Cycles'!$CP$31:$CV$31,1,BD401))/12),IF(INDEX('Lease Cycles'!$EF$31:$EL$31,1,BD401)=1,IF(AND('Lease Cycles'!$AZ$31&gt;=INDEX('Lease Cycles'!$BG$31:$BM$31,1,BD401),'Lease Cycles'!$AZ$31&lt;=BD$6),'Lease Cycles'!$C$31*'Lease Cycles'!$BA$31/12,IF(AND('Lease Cycles'!$AX$31&gt;=INDEX('Lease Cycles'!$BG$31:$BM$31,1,BD401),'Lease Cycles'!$AX$31&lt;=BD$6),'Lease Cycles'!$C$31*'Lease Cycles'!$AY$31/12,IF(AND('Lease Cycles'!$AV$31&gt;=INDEX('Lease Cycles'!$BG$31:$BM$31,1,BD401),'Lease Cycles'!$AV$31&lt;=BD$6),'Lease Cycles'!$C$31*'Lease Cycles'!$AW$31/12,IF(AND('Lease Cycles'!$AT$31&gt;=INDEX('Lease Cycles'!$BG$31:$BM$31,1,BD401),'Lease Cycles'!$AT$31&lt;=BD$6),'Lease Cycles'!$C$31*'Lease Cycles'!$AU$31/12,'Lease Cycles'!$C$31*INDEX('Lease Cycles'!$CB$31:$CH$31,1,BD401)*(1+INDEX('Lease Cycles'!$CI$31:$CO$31,1,BD401))^INT(INT(BD402/12)/INDEX('Lease Cycles'!$CP$31:$CV$31,1,BD401))/12)))),'Lease Cycles'!$C$31*INDEX('Lease Cycles'!$CB$31:$CH$31,1,BD401)*(1+INDEX('Lease Cycles'!$CI$31:$CO$31,1,BD401))^INT(INT(BD402/12)/INDEX('Lease Cycles'!$CP$31:$CV$31,1,BD401))/12))),IF('Lease Cycles'!$N$31=1,'Lease Cycles'!$C$31*'Lease Cycles'!$E$31*INDEX('Lease Cycles'!$HE$31:$HK$31,1,BD401)*(1+INDEX('Lease Cycles'!$GQ$31:$GW$31,1,BD401))^INT(INT((BD$6-INDEX('Lease Cycles'!$GJ$31:$GP$31,1,BD401))/12)/INDEX('Lease Cycles'!$GX$31:$HD$31,1,BD401))/12,0)))</f>
        <v>0</v>
      </c>
      <c r="BE404" s="28">
        <f>IF(BE401=0,IF('Lease Cycles'!$F$31&gt;0,'Lease Cycles'!$C$31*'Lease Cycles'!$E$31/12,0),IF(BE403=1,IF('Lease Cycles'!$AT$31&gt;=9999,'Lease Cycles'!$C$31*INDEX('Lease Cycles'!$CB$31:$CH$31,1,BE401)*(1+INDEX('Lease Cycles'!$CI$31:$CO$31,1,BE401))^INT(INT(BE402/12)/INDEX('Lease Cycles'!$CP$31:$CV$31,1,BE401))/12,IF(BE401=1,IF(BE402&gt;=INDEX('Lease Cycles'!$DK$31:$DQ$31,1,BE401),IF(BE$6&gt;='Lease Cycles'!$AZ$31,'Lease Cycles'!$C$31*'Lease Cycles'!$BA$31/12,IF(BE$6&gt;='Lease Cycles'!$AX$31,'Lease Cycles'!$C$31*'Lease Cycles'!$AY$31/12,IF(BE$6&gt;='Lease Cycles'!$AV$31,'Lease Cycles'!$C$31*'Lease Cycles'!$AW$31/12,IF(BE$6&gt;='Lease Cycles'!$AT$31,'Lease Cycles'!$C$31*'Lease Cycles'!$AU$31/12,'Lease Cycles'!$C$31*INDEX('Lease Cycles'!$CB$31:$CH$31,1,BE401)*(1+INDEX('Lease Cycles'!$CI$31:$CO$31,1,BE401))^INT(INT(BE402/12)/INDEX('Lease Cycles'!$CP$31:$CV$31,1,BE401))/12)))),'Lease Cycles'!$C$31*INDEX('Lease Cycles'!$CB$31:$CH$31,1,BE401)*(1+INDEX('Lease Cycles'!$CI$31:$CO$31,1,BE401))^INT(INT(BE402/12)/INDEX('Lease Cycles'!$CP$31:$CV$31,1,BE401))/12),IF(INDEX('Lease Cycles'!$EF$31:$EL$31,1,BE401)=1,IF(AND('Lease Cycles'!$AZ$31&gt;=INDEX('Lease Cycles'!$BG$31:$BM$31,1,BE401),'Lease Cycles'!$AZ$31&lt;=BE$6),'Lease Cycles'!$C$31*'Lease Cycles'!$BA$31/12,IF(AND('Lease Cycles'!$AX$31&gt;=INDEX('Lease Cycles'!$BG$31:$BM$31,1,BE401),'Lease Cycles'!$AX$31&lt;=BE$6),'Lease Cycles'!$C$31*'Lease Cycles'!$AY$31/12,IF(AND('Lease Cycles'!$AV$31&gt;=INDEX('Lease Cycles'!$BG$31:$BM$31,1,BE401),'Lease Cycles'!$AV$31&lt;=BE$6),'Lease Cycles'!$C$31*'Lease Cycles'!$AW$31/12,IF(AND('Lease Cycles'!$AT$31&gt;=INDEX('Lease Cycles'!$BG$31:$BM$31,1,BE401),'Lease Cycles'!$AT$31&lt;=BE$6),'Lease Cycles'!$C$31*'Lease Cycles'!$AU$31/12,'Lease Cycles'!$C$31*INDEX('Lease Cycles'!$CB$31:$CH$31,1,BE401)*(1+INDEX('Lease Cycles'!$CI$31:$CO$31,1,BE401))^INT(INT(BE402/12)/INDEX('Lease Cycles'!$CP$31:$CV$31,1,BE401))/12)))),'Lease Cycles'!$C$31*INDEX('Lease Cycles'!$CB$31:$CH$31,1,BE401)*(1+INDEX('Lease Cycles'!$CI$31:$CO$31,1,BE401))^INT(INT(BE402/12)/INDEX('Lease Cycles'!$CP$31:$CV$31,1,BE401))/12))),IF('Lease Cycles'!$N$31=1,'Lease Cycles'!$C$31*'Lease Cycles'!$E$31*INDEX('Lease Cycles'!$HE$31:$HK$31,1,BE401)*(1+INDEX('Lease Cycles'!$GQ$31:$GW$31,1,BE401))^INT(INT((BE$6-INDEX('Lease Cycles'!$GJ$31:$GP$31,1,BE401))/12)/INDEX('Lease Cycles'!$GX$31:$HD$31,1,BE401))/12,0)))</f>
        <v>0</v>
      </c>
      <c r="BF404" s="28">
        <f>IF(BF401=0,IF('Lease Cycles'!$F$31&gt;0,'Lease Cycles'!$C$31*'Lease Cycles'!$E$31/12,0),IF(BF403=1,IF('Lease Cycles'!$AT$31&gt;=9999,'Lease Cycles'!$C$31*INDEX('Lease Cycles'!$CB$31:$CH$31,1,BF401)*(1+INDEX('Lease Cycles'!$CI$31:$CO$31,1,BF401))^INT(INT(BF402/12)/INDEX('Lease Cycles'!$CP$31:$CV$31,1,BF401))/12,IF(BF401=1,IF(BF402&gt;=INDEX('Lease Cycles'!$DK$31:$DQ$31,1,BF401),IF(BF$6&gt;='Lease Cycles'!$AZ$31,'Lease Cycles'!$C$31*'Lease Cycles'!$BA$31/12,IF(BF$6&gt;='Lease Cycles'!$AX$31,'Lease Cycles'!$C$31*'Lease Cycles'!$AY$31/12,IF(BF$6&gt;='Lease Cycles'!$AV$31,'Lease Cycles'!$C$31*'Lease Cycles'!$AW$31/12,IF(BF$6&gt;='Lease Cycles'!$AT$31,'Lease Cycles'!$C$31*'Lease Cycles'!$AU$31/12,'Lease Cycles'!$C$31*INDEX('Lease Cycles'!$CB$31:$CH$31,1,BF401)*(1+INDEX('Lease Cycles'!$CI$31:$CO$31,1,BF401))^INT(INT(BF402/12)/INDEX('Lease Cycles'!$CP$31:$CV$31,1,BF401))/12)))),'Lease Cycles'!$C$31*INDEX('Lease Cycles'!$CB$31:$CH$31,1,BF401)*(1+INDEX('Lease Cycles'!$CI$31:$CO$31,1,BF401))^INT(INT(BF402/12)/INDEX('Lease Cycles'!$CP$31:$CV$31,1,BF401))/12),IF(INDEX('Lease Cycles'!$EF$31:$EL$31,1,BF401)=1,IF(AND('Lease Cycles'!$AZ$31&gt;=INDEX('Lease Cycles'!$BG$31:$BM$31,1,BF401),'Lease Cycles'!$AZ$31&lt;=BF$6),'Lease Cycles'!$C$31*'Lease Cycles'!$BA$31/12,IF(AND('Lease Cycles'!$AX$31&gt;=INDEX('Lease Cycles'!$BG$31:$BM$31,1,BF401),'Lease Cycles'!$AX$31&lt;=BF$6),'Lease Cycles'!$C$31*'Lease Cycles'!$AY$31/12,IF(AND('Lease Cycles'!$AV$31&gt;=INDEX('Lease Cycles'!$BG$31:$BM$31,1,BF401),'Lease Cycles'!$AV$31&lt;=BF$6),'Lease Cycles'!$C$31*'Lease Cycles'!$AW$31/12,IF(AND('Lease Cycles'!$AT$31&gt;=INDEX('Lease Cycles'!$BG$31:$BM$31,1,BF401),'Lease Cycles'!$AT$31&lt;=BF$6),'Lease Cycles'!$C$31*'Lease Cycles'!$AU$31/12,'Lease Cycles'!$C$31*INDEX('Lease Cycles'!$CB$31:$CH$31,1,BF401)*(1+INDEX('Lease Cycles'!$CI$31:$CO$31,1,BF401))^INT(INT(BF402/12)/INDEX('Lease Cycles'!$CP$31:$CV$31,1,BF401))/12)))),'Lease Cycles'!$C$31*INDEX('Lease Cycles'!$CB$31:$CH$31,1,BF401)*(1+INDEX('Lease Cycles'!$CI$31:$CO$31,1,BF401))^INT(INT(BF402/12)/INDEX('Lease Cycles'!$CP$31:$CV$31,1,BF401))/12))),IF('Lease Cycles'!$N$31=1,'Lease Cycles'!$C$31*'Lease Cycles'!$E$31*INDEX('Lease Cycles'!$HE$31:$HK$31,1,BF401)*(1+INDEX('Lease Cycles'!$GQ$31:$GW$31,1,BF401))^INT(INT((BF$6-INDEX('Lease Cycles'!$GJ$31:$GP$31,1,BF401))/12)/INDEX('Lease Cycles'!$GX$31:$HD$31,1,BF401))/12,0)))</f>
        <v>0</v>
      </c>
      <c r="BG404" s="28">
        <f>IF(BG401=0,IF('Lease Cycles'!$F$31&gt;0,'Lease Cycles'!$C$31*'Lease Cycles'!$E$31/12,0),IF(BG403=1,IF('Lease Cycles'!$AT$31&gt;=9999,'Lease Cycles'!$C$31*INDEX('Lease Cycles'!$CB$31:$CH$31,1,BG401)*(1+INDEX('Lease Cycles'!$CI$31:$CO$31,1,BG401))^INT(INT(BG402/12)/INDEX('Lease Cycles'!$CP$31:$CV$31,1,BG401))/12,IF(BG401=1,IF(BG402&gt;=INDEX('Lease Cycles'!$DK$31:$DQ$31,1,BG401),IF(BG$6&gt;='Lease Cycles'!$AZ$31,'Lease Cycles'!$C$31*'Lease Cycles'!$BA$31/12,IF(BG$6&gt;='Lease Cycles'!$AX$31,'Lease Cycles'!$C$31*'Lease Cycles'!$AY$31/12,IF(BG$6&gt;='Lease Cycles'!$AV$31,'Lease Cycles'!$C$31*'Lease Cycles'!$AW$31/12,IF(BG$6&gt;='Lease Cycles'!$AT$31,'Lease Cycles'!$C$31*'Lease Cycles'!$AU$31/12,'Lease Cycles'!$C$31*INDEX('Lease Cycles'!$CB$31:$CH$31,1,BG401)*(1+INDEX('Lease Cycles'!$CI$31:$CO$31,1,BG401))^INT(INT(BG402/12)/INDEX('Lease Cycles'!$CP$31:$CV$31,1,BG401))/12)))),'Lease Cycles'!$C$31*INDEX('Lease Cycles'!$CB$31:$CH$31,1,BG401)*(1+INDEX('Lease Cycles'!$CI$31:$CO$31,1,BG401))^INT(INT(BG402/12)/INDEX('Lease Cycles'!$CP$31:$CV$31,1,BG401))/12),IF(INDEX('Lease Cycles'!$EF$31:$EL$31,1,BG401)=1,IF(AND('Lease Cycles'!$AZ$31&gt;=INDEX('Lease Cycles'!$BG$31:$BM$31,1,BG401),'Lease Cycles'!$AZ$31&lt;=BG$6),'Lease Cycles'!$C$31*'Lease Cycles'!$BA$31/12,IF(AND('Lease Cycles'!$AX$31&gt;=INDEX('Lease Cycles'!$BG$31:$BM$31,1,BG401),'Lease Cycles'!$AX$31&lt;=BG$6),'Lease Cycles'!$C$31*'Lease Cycles'!$AY$31/12,IF(AND('Lease Cycles'!$AV$31&gt;=INDEX('Lease Cycles'!$BG$31:$BM$31,1,BG401),'Lease Cycles'!$AV$31&lt;=BG$6),'Lease Cycles'!$C$31*'Lease Cycles'!$AW$31/12,IF(AND('Lease Cycles'!$AT$31&gt;=INDEX('Lease Cycles'!$BG$31:$BM$31,1,BG401),'Lease Cycles'!$AT$31&lt;=BG$6),'Lease Cycles'!$C$31*'Lease Cycles'!$AU$31/12,'Lease Cycles'!$C$31*INDEX('Lease Cycles'!$CB$31:$CH$31,1,BG401)*(1+INDEX('Lease Cycles'!$CI$31:$CO$31,1,BG401))^INT(INT(BG402/12)/INDEX('Lease Cycles'!$CP$31:$CV$31,1,BG401))/12)))),'Lease Cycles'!$C$31*INDEX('Lease Cycles'!$CB$31:$CH$31,1,BG401)*(1+INDEX('Lease Cycles'!$CI$31:$CO$31,1,BG401))^INT(INT(BG402/12)/INDEX('Lease Cycles'!$CP$31:$CV$31,1,BG401))/12))),IF('Lease Cycles'!$N$31=1,'Lease Cycles'!$C$31*'Lease Cycles'!$E$31*INDEX('Lease Cycles'!$HE$31:$HK$31,1,BG401)*(1+INDEX('Lease Cycles'!$GQ$31:$GW$31,1,BG401))^INT(INT((BG$6-INDEX('Lease Cycles'!$GJ$31:$GP$31,1,BG401))/12)/INDEX('Lease Cycles'!$GX$31:$HD$31,1,BG401))/12,0)))</f>
        <v>0</v>
      </c>
      <c r="BH404" s="28">
        <f>IF(BH401=0,IF('Lease Cycles'!$F$31&gt;0,'Lease Cycles'!$C$31*'Lease Cycles'!$E$31/12,0),IF(BH403=1,IF('Lease Cycles'!$AT$31&gt;=9999,'Lease Cycles'!$C$31*INDEX('Lease Cycles'!$CB$31:$CH$31,1,BH401)*(1+INDEX('Lease Cycles'!$CI$31:$CO$31,1,BH401))^INT(INT(BH402/12)/INDEX('Lease Cycles'!$CP$31:$CV$31,1,BH401))/12,IF(BH401=1,IF(BH402&gt;=INDEX('Lease Cycles'!$DK$31:$DQ$31,1,BH401),IF(BH$6&gt;='Lease Cycles'!$AZ$31,'Lease Cycles'!$C$31*'Lease Cycles'!$BA$31/12,IF(BH$6&gt;='Lease Cycles'!$AX$31,'Lease Cycles'!$C$31*'Lease Cycles'!$AY$31/12,IF(BH$6&gt;='Lease Cycles'!$AV$31,'Lease Cycles'!$C$31*'Lease Cycles'!$AW$31/12,IF(BH$6&gt;='Lease Cycles'!$AT$31,'Lease Cycles'!$C$31*'Lease Cycles'!$AU$31/12,'Lease Cycles'!$C$31*INDEX('Lease Cycles'!$CB$31:$CH$31,1,BH401)*(1+INDEX('Lease Cycles'!$CI$31:$CO$31,1,BH401))^INT(INT(BH402/12)/INDEX('Lease Cycles'!$CP$31:$CV$31,1,BH401))/12)))),'Lease Cycles'!$C$31*INDEX('Lease Cycles'!$CB$31:$CH$31,1,BH401)*(1+INDEX('Lease Cycles'!$CI$31:$CO$31,1,BH401))^INT(INT(BH402/12)/INDEX('Lease Cycles'!$CP$31:$CV$31,1,BH401))/12),IF(INDEX('Lease Cycles'!$EF$31:$EL$31,1,BH401)=1,IF(AND('Lease Cycles'!$AZ$31&gt;=INDEX('Lease Cycles'!$BG$31:$BM$31,1,BH401),'Lease Cycles'!$AZ$31&lt;=BH$6),'Lease Cycles'!$C$31*'Lease Cycles'!$BA$31/12,IF(AND('Lease Cycles'!$AX$31&gt;=INDEX('Lease Cycles'!$BG$31:$BM$31,1,BH401),'Lease Cycles'!$AX$31&lt;=BH$6),'Lease Cycles'!$C$31*'Lease Cycles'!$AY$31/12,IF(AND('Lease Cycles'!$AV$31&gt;=INDEX('Lease Cycles'!$BG$31:$BM$31,1,BH401),'Lease Cycles'!$AV$31&lt;=BH$6),'Lease Cycles'!$C$31*'Lease Cycles'!$AW$31/12,IF(AND('Lease Cycles'!$AT$31&gt;=INDEX('Lease Cycles'!$BG$31:$BM$31,1,BH401),'Lease Cycles'!$AT$31&lt;=BH$6),'Lease Cycles'!$C$31*'Lease Cycles'!$AU$31/12,'Lease Cycles'!$C$31*INDEX('Lease Cycles'!$CB$31:$CH$31,1,BH401)*(1+INDEX('Lease Cycles'!$CI$31:$CO$31,1,BH401))^INT(INT(BH402/12)/INDEX('Lease Cycles'!$CP$31:$CV$31,1,BH401))/12)))),'Lease Cycles'!$C$31*INDEX('Lease Cycles'!$CB$31:$CH$31,1,BH401)*(1+INDEX('Lease Cycles'!$CI$31:$CO$31,1,BH401))^INT(INT(BH402/12)/INDEX('Lease Cycles'!$CP$31:$CV$31,1,BH401))/12))),IF('Lease Cycles'!$N$31=1,'Lease Cycles'!$C$31*'Lease Cycles'!$E$31*INDEX('Lease Cycles'!$HE$31:$HK$31,1,BH401)*(1+INDEX('Lease Cycles'!$GQ$31:$GW$31,1,BH401))^INT(INT((BH$6-INDEX('Lease Cycles'!$GJ$31:$GP$31,1,BH401))/12)/INDEX('Lease Cycles'!$GX$31:$HD$31,1,BH401))/12,0)))</f>
        <v>0</v>
      </c>
      <c r="BI404" s="28">
        <f>IF(BI401=0,IF('Lease Cycles'!$F$31&gt;0,'Lease Cycles'!$C$31*'Lease Cycles'!$E$31/12,0),IF(BI403=1,IF('Lease Cycles'!$AT$31&gt;=9999,'Lease Cycles'!$C$31*INDEX('Lease Cycles'!$CB$31:$CH$31,1,BI401)*(1+INDEX('Lease Cycles'!$CI$31:$CO$31,1,BI401))^INT(INT(BI402/12)/INDEX('Lease Cycles'!$CP$31:$CV$31,1,BI401))/12,IF(BI401=1,IF(BI402&gt;=INDEX('Lease Cycles'!$DK$31:$DQ$31,1,BI401),IF(BI$6&gt;='Lease Cycles'!$AZ$31,'Lease Cycles'!$C$31*'Lease Cycles'!$BA$31/12,IF(BI$6&gt;='Lease Cycles'!$AX$31,'Lease Cycles'!$C$31*'Lease Cycles'!$AY$31/12,IF(BI$6&gt;='Lease Cycles'!$AV$31,'Lease Cycles'!$C$31*'Lease Cycles'!$AW$31/12,IF(BI$6&gt;='Lease Cycles'!$AT$31,'Lease Cycles'!$C$31*'Lease Cycles'!$AU$31/12,'Lease Cycles'!$C$31*INDEX('Lease Cycles'!$CB$31:$CH$31,1,BI401)*(1+INDEX('Lease Cycles'!$CI$31:$CO$31,1,BI401))^INT(INT(BI402/12)/INDEX('Lease Cycles'!$CP$31:$CV$31,1,BI401))/12)))),'Lease Cycles'!$C$31*INDEX('Lease Cycles'!$CB$31:$CH$31,1,BI401)*(1+INDEX('Lease Cycles'!$CI$31:$CO$31,1,BI401))^INT(INT(BI402/12)/INDEX('Lease Cycles'!$CP$31:$CV$31,1,BI401))/12),IF(INDEX('Lease Cycles'!$EF$31:$EL$31,1,BI401)=1,IF(AND('Lease Cycles'!$AZ$31&gt;=INDEX('Lease Cycles'!$BG$31:$BM$31,1,BI401),'Lease Cycles'!$AZ$31&lt;=BI$6),'Lease Cycles'!$C$31*'Lease Cycles'!$BA$31/12,IF(AND('Lease Cycles'!$AX$31&gt;=INDEX('Lease Cycles'!$BG$31:$BM$31,1,BI401),'Lease Cycles'!$AX$31&lt;=BI$6),'Lease Cycles'!$C$31*'Lease Cycles'!$AY$31/12,IF(AND('Lease Cycles'!$AV$31&gt;=INDEX('Lease Cycles'!$BG$31:$BM$31,1,BI401),'Lease Cycles'!$AV$31&lt;=BI$6),'Lease Cycles'!$C$31*'Lease Cycles'!$AW$31/12,IF(AND('Lease Cycles'!$AT$31&gt;=INDEX('Lease Cycles'!$BG$31:$BM$31,1,BI401),'Lease Cycles'!$AT$31&lt;=BI$6),'Lease Cycles'!$C$31*'Lease Cycles'!$AU$31/12,'Lease Cycles'!$C$31*INDEX('Lease Cycles'!$CB$31:$CH$31,1,BI401)*(1+INDEX('Lease Cycles'!$CI$31:$CO$31,1,BI401))^INT(INT(BI402/12)/INDEX('Lease Cycles'!$CP$31:$CV$31,1,BI401))/12)))),'Lease Cycles'!$C$31*INDEX('Lease Cycles'!$CB$31:$CH$31,1,BI401)*(1+INDEX('Lease Cycles'!$CI$31:$CO$31,1,BI401))^INT(INT(BI402/12)/INDEX('Lease Cycles'!$CP$31:$CV$31,1,BI401))/12))),IF('Lease Cycles'!$N$31=1,'Lease Cycles'!$C$31*'Lease Cycles'!$E$31*INDEX('Lease Cycles'!$HE$31:$HK$31,1,BI401)*(1+INDEX('Lease Cycles'!$GQ$31:$GW$31,1,BI401))^INT(INT((BI$6-INDEX('Lease Cycles'!$GJ$31:$GP$31,1,BI401))/12)/INDEX('Lease Cycles'!$GX$31:$HD$31,1,BI401))/12,0)))</f>
        <v>0</v>
      </c>
      <c r="BJ404" s="28">
        <f>IF(BJ401=0,IF('Lease Cycles'!$F$31&gt;0,'Lease Cycles'!$C$31*'Lease Cycles'!$E$31/12,0),IF(BJ403=1,IF('Lease Cycles'!$AT$31&gt;=9999,'Lease Cycles'!$C$31*INDEX('Lease Cycles'!$CB$31:$CH$31,1,BJ401)*(1+INDEX('Lease Cycles'!$CI$31:$CO$31,1,BJ401))^INT(INT(BJ402/12)/INDEX('Lease Cycles'!$CP$31:$CV$31,1,BJ401))/12,IF(BJ401=1,IF(BJ402&gt;=INDEX('Lease Cycles'!$DK$31:$DQ$31,1,BJ401),IF(BJ$6&gt;='Lease Cycles'!$AZ$31,'Lease Cycles'!$C$31*'Lease Cycles'!$BA$31/12,IF(BJ$6&gt;='Lease Cycles'!$AX$31,'Lease Cycles'!$C$31*'Lease Cycles'!$AY$31/12,IF(BJ$6&gt;='Lease Cycles'!$AV$31,'Lease Cycles'!$C$31*'Lease Cycles'!$AW$31/12,IF(BJ$6&gt;='Lease Cycles'!$AT$31,'Lease Cycles'!$C$31*'Lease Cycles'!$AU$31/12,'Lease Cycles'!$C$31*INDEX('Lease Cycles'!$CB$31:$CH$31,1,BJ401)*(1+INDEX('Lease Cycles'!$CI$31:$CO$31,1,BJ401))^INT(INT(BJ402/12)/INDEX('Lease Cycles'!$CP$31:$CV$31,1,BJ401))/12)))),'Lease Cycles'!$C$31*INDEX('Lease Cycles'!$CB$31:$CH$31,1,BJ401)*(1+INDEX('Lease Cycles'!$CI$31:$CO$31,1,BJ401))^INT(INT(BJ402/12)/INDEX('Lease Cycles'!$CP$31:$CV$31,1,BJ401))/12),IF(INDEX('Lease Cycles'!$EF$31:$EL$31,1,BJ401)=1,IF(AND('Lease Cycles'!$AZ$31&gt;=INDEX('Lease Cycles'!$BG$31:$BM$31,1,BJ401),'Lease Cycles'!$AZ$31&lt;=BJ$6),'Lease Cycles'!$C$31*'Lease Cycles'!$BA$31/12,IF(AND('Lease Cycles'!$AX$31&gt;=INDEX('Lease Cycles'!$BG$31:$BM$31,1,BJ401),'Lease Cycles'!$AX$31&lt;=BJ$6),'Lease Cycles'!$C$31*'Lease Cycles'!$AY$31/12,IF(AND('Lease Cycles'!$AV$31&gt;=INDEX('Lease Cycles'!$BG$31:$BM$31,1,BJ401),'Lease Cycles'!$AV$31&lt;=BJ$6),'Lease Cycles'!$C$31*'Lease Cycles'!$AW$31/12,IF(AND('Lease Cycles'!$AT$31&gt;=INDEX('Lease Cycles'!$BG$31:$BM$31,1,BJ401),'Lease Cycles'!$AT$31&lt;=BJ$6),'Lease Cycles'!$C$31*'Lease Cycles'!$AU$31/12,'Lease Cycles'!$C$31*INDEX('Lease Cycles'!$CB$31:$CH$31,1,BJ401)*(1+INDEX('Lease Cycles'!$CI$31:$CO$31,1,BJ401))^INT(INT(BJ402/12)/INDEX('Lease Cycles'!$CP$31:$CV$31,1,BJ401))/12)))),'Lease Cycles'!$C$31*INDEX('Lease Cycles'!$CB$31:$CH$31,1,BJ401)*(1+INDEX('Lease Cycles'!$CI$31:$CO$31,1,BJ401))^INT(INT(BJ402/12)/INDEX('Lease Cycles'!$CP$31:$CV$31,1,BJ401))/12))),IF('Lease Cycles'!$N$31=1,'Lease Cycles'!$C$31*'Lease Cycles'!$E$31*INDEX('Lease Cycles'!$HE$31:$HK$31,1,BJ401)*(1+INDEX('Lease Cycles'!$GQ$31:$GW$31,1,BJ401))^INT(INT((BJ$6-INDEX('Lease Cycles'!$GJ$31:$GP$31,1,BJ401))/12)/INDEX('Lease Cycles'!$GX$31:$HD$31,1,BJ401))/12,0)))</f>
        <v>0</v>
      </c>
      <c r="BK404" s="28">
        <f>IF(BK401=0,IF('Lease Cycles'!$F$31&gt;0,'Lease Cycles'!$C$31*'Lease Cycles'!$E$31/12,0),IF(BK403=1,IF('Lease Cycles'!$AT$31&gt;=9999,'Lease Cycles'!$C$31*INDEX('Lease Cycles'!$CB$31:$CH$31,1,BK401)*(1+INDEX('Lease Cycles'!$CI$31:$CO$31,1,BK401))^INT(INT(BK402/12)/INDEX('Lease Cycles'!$CP$31:$CV$31,1,BK401))/12,IF(BK401=1,IF(BK402&gt;=INDEX('Lease Cycles'!$DK$31:$DQ$31,1,BK401),IF(BK$6&gt;='Lease Cycles'!$AZ$31,'Lease Cycles'!$C$31*'Lease Cycles'!$BA$31/12,IF(BK$6&gt;='Lease Cycles'!$AX$31,'Lease Cycles'!$C$31*'Lease Cycles'!$AY$31/12,IF(BK$6&gt;='Lease Cycles'!$AV$31,'Lease Cycles'!$C$31*'Lease Cycles'!$AW$31/12,IF(BK$6&gt;='Lease Cycles'!$AT$31,'Lease Cycles'!$C$31*'Lease Cycles'!$AU$31/12,'Lease Cycles'!$C$31*INDEX('Lease Cycles'!$CB$31:$CH$31,1,BK401)*(1+INDEX('Lease Cycles'!$CI$31:$CO$31,1,BK401))^INT(INT(BK402/12)/INDEX('Lease Cycles'!$CP$31:$CV$31,1,BK401))/12)))),'Lease Cycles'!$C$31*INDEX('Lease Cycles'!$CB$31:$CH$31,1,BK401)*(1+INDEX('Lease Cycles'!$CI$31:$CO$31,1,BK401))^INT(INT(BK402/12)/INDEX('Lease Cycles'!$CP$31:$CV$31,1,BK401))/12),IF(INDEX('Lease Cycles'!$EF$31:$EL$31,1,BK401)=1,IF(AND('Lease Cycles'!$AZ$31&gt;=INDEX('Lease Cycles'!$BG$31:$BM$31,1,BK401),'Lease Cycles'!$AZ$31&lt;=BK$6),'Lease Cycles'!$C$31*'Lease Cycles'!$BA$31/12,IF(AND('Lease Cycles'!$AX$31&gt;=INDEX('Lease Cycles'!$BG$31:$BM$31,1,BK401),'Lease Cycles'!$AX$31&lt;=BK$6),'Lease Cycles'!$C$31*'Lease Cycles'!$AY$31/12,IF(AND('Lease Cycles'!$AV$31&gt;=INDEX('Lease Cycles'!$BG$31:$BM$31,1,BK401),'Lease Cycles'!$AV$31&lt;=BK$6),'Lease Cycles'!$C$31*'Lease Cycles'!$AW$31/12,IF(AND('Lease Cycles'!$AT$31&gt;=INDEX('Lease Cycles'!$BG$31:$BM$31,1,BK401),'Lease Cycles'!$AT$31&lt;=BK$6),'Lease Cycles'!$C$31*'Lease Cycles'!$AU$31/12,'Lease Cycles'!$C$31*INDEX('Lease Cycles'!$CB$31:$CH$31,1,BK401)*(1+INDEX('Lease Cycles'!$CI$31:$CO$31,1,BK401))^INT(INT(BK402/12)/INDEX('Lease Cycles'!$CP$31:$CV$31,1,BK401))/12)))),'Lease Cycles'!$C$31*INDEX('Lease Cycles'!$CB$31:$CH$31,1,BK401)*(1+INDEX('Lease Cycles'!$CI$31:$CO$31,1,BK401))^INT(INT(BK402/12)/INDEX('Lease Cycles'!$CP$31:$CV$31,1,BK401))/12))),IF('Lease Cycles'!$N$31=1,'Lease Cycles'!$C$31*'Lease Cycles'!$E$31*INDEX('Lease Cycles'!$HE$31:$HK$31,1,BK401)*(1+INDEX('Lease Cycles'!$GQ$31:$GW$31,1,BK401))^INT(INT((BK$6-INDEX('Lease Cycles'!$GJ$31:$GP$31,1,BK401))/12)/INDEX('Lease Cycles'!$GX$31:$HD$31,1,BK401))/12,0)))</f>
        <v>0</v>
      </c>
      <c r="BL404" s="28">
        <f>IF(BL401=0,IF('Lease Cycles'!$F$31&gt;0,'Lease Cycles'!$C$31*'Lease Cycles'!$E$31/12,0),IF(BL403=1,IF('Lease Cycles'!$AT$31&gt;=9999,'Lease Cycles'!$C$31*INDEX('Lease Cycles'!$CB$31:$CH$31,1,BL401)*(1+INDEX('Lease Cycles'!$CI$31:$CO$31,1,BL401))^INT(INT(BL402/12)/INDEX('Lease Cycles'!$CP$31:$CV$31,1,BL401))/12,IF(BL401=1,IF(BL402&gt;=INDEX('Lease Cycles'!$DK$31:$DQ$31,1,BL401),IF(BL$6&gt;='Lease Cycles'!$AZ$31,'Lease Cycles'!$C$31*'Lease Cycles'!$BA$31/12,IF(BL$6&gt;='Lease Cycles'!$AX$31,'Lease Cycles'!$C$31*'Lease Cycles'!$AY$31/12,IF(BL$6&gt;='Lease Cycles'!$AV$31,'Lease Cycles'!$C$31*'Lease Cycles'!$AW$31/12,IF(BL$6&gt;='Lease Cycles'!$AT$31,'Lease Cycles'!$C$31*'Lease Cycles'!$AU$31/12,'Lease Cycles'!$C$31*INDEX('Lease Cycles'!$CB$31:$CH$31,1,BL401)*(1+INDEX('Lease Cycles'!$CI$31:$CO$31,1,BL401))^INT(INT(BL402/12)/INDEX('Lease Cycles'!$CP$31:$CV$31,1,BL401))/12)))),'Lease Cycles'!$C$31*INDEX('Lease Cycles'!$CB$31:$CH$31,1,BL401)*(1+INDEX('Lease Cycles'!$CI$31:$CO$31,1,BL401))^INT(INT(BL402/12)/INDEX('Lease Cycles'!$CP$31:$CV$31,1,BL401))/12),IF(INDEX('Lease Cycles'!$EF$31:$EL$31,1,BL401)=1,IF(AND('Lease Cycles'!$AZ$31&gt;=INDEX('Lease Cycles'!$BG$31:$BM$31,1,BL401),'Lease Cycles'!$AZ$31&lt;=BL$6),'Lease Cycles'!$C$31*'Lease Cycles'!$BA$31/12,IF(AND('Lease Cycles'!$AX$31&gt;=INDEX('Lease Cycles'!$BG$31:$BM$31,1,BL401),'Lease Cycles'!$AX$31&lt;=BL$6),'Lease Cycles'!$C$31*'Lease Cycles'!$AY$31/12,IF(AND('Lease Cycles'!$AV$31&gt;=INDEX('Lease Cycles'!$BG$31:$BM$31,1,BL401),'Lease Cycles'!$AV$31&lt;=BL$6),'Lease Cycles'!$C$31*'Lease Cycles'!$AW$31/12,IF(AND('Lease Cycles'!$AT$31&gt;=INDEX('Lease Cycles'!$BG$31:$BM$31,1,BL401),'Lease Cycles'!$AT$31&lt;=BL$6),'Lease Cycles'!$C$31*'Lease Cycles'!$AU$31/12,'Lease Cycles'!$C$31*INDEX('Lease Cycles'!$CB$31:$CH$31,1,BL401)*(1+INDEX('Lease Cycles'!$CI$31:$CO$31,1,BL401))^INT(INT(BL402/12)/INDEX('Lease Cycles'!$CP$31:$CV$31,1,BL401))/12)))),'Lease Cycles'!$C$31*INDEX('Lease Cycles'!$CB$31:$CH$31,1,BL401)*(1+INDEX('Lease Cycles'!$CI$31:$CO$31,1,BL401))^INT(INT(BL402/12)/INDEX('Lease Cycles'!$CP$31:$CV$31,1,BL401))/12))),IF('Lease Cycles'!$N$31=1,'Lease Cycles'!$C$31*'Lease Cycles'!$E$31*INDEX('Lease Cycles'!$HE$31:$HK$31,1,BL401)*(1+INDEX('Lease Cycles'!$GQ$31:$GW$31,1,BL401))^INT(INT((BL$6-INDEX('Lease Cycles'!$GJ$31:$GP$31,1,BL401))/12)/INDEX('Lease Cycles'!$GX$31:$HD$31,1,BL401))/12,0)))</f>
        <v>0</v>
      </c>
      <c r="BM404" s="28">
        <f>IF(BM401=0,IF('Lease Cycles'!$F$31&gt;0,'Lease Cycles'!$C$31*'Lease Cycles'!$E$31/12,0),IF(BM403=1,IF('Lease Cycles'!$AT$31&gt;=9999,'Lease Cycles'!$C$31*INDEX('Lease Cycles'!$CB$31:$CH$31,1,BM401)*(1+INDEX('Lease Cycles'!$CI$31:$CO$31,1,BM401))^INT(INT(BM402/12)/INDEX('Lease Cycles'!$CP$31:$CV$31,1,BM401))/12,IF(BM401=1,IF(BM402&gt;=INDEX('Lease Cycles'!$DK$31:$DQ$31,1,BM401),IF(BM$6&gt;='Lease Cycles'!$AZ$31,'Lease Cycles'!$C$31*'Lease Cycles'!$BA$31/12,IF(BM$6&gt;='Lease Cycles'!$AX$31,'Lease Cycles'!$C$31*'Lease Cycles'!$AY$31/12,IF(BM$6&gt;='Lease Cycles'!$AV$31,'Lease Cycles'!$C$31*'Lease Cycles'!$AW$31/12,IF(BM$6&gt;='Lease Cycles'!$AT$31,'Lease Cycles'!$C$31*'Lease Cycles'!$AU$31/12,'Lease Cycles'!$C$31*INDEX('Lease Cycles'!$CB$31:$CH$31,1,BM401)*(1+INDEX('Lease Cycles'!$CI$31:$CO$31,1,BM401))^INT(INT(BM402/12)/INDEX('Lease Cycles'!$CP$31:$CV$31,1,BM401))/12)))),'Lease Cycles'!$C$31*INDEX('Lease Cycles'!$CB$31:$CH$31,1,BM401)*(1+INDEX('Lease Cycles'!$CI$31:$CO$31,1,BM401))^INT(INT(BM402/12)/INDEX('Lease Cycles'!$CP$31:$CV$31,1,BM401))/12),IF(INDEX('Lease Cycles'!$EF$31:$EL$31,1,BM401)=1,IF(AND('Lease Cycles'!$AZ$31&gt;=INDEX('Lease Cycles'!$BG$31:$BM$31,1,BM401),'Lease Cycles'!$AZ$31&lt;=BM$6),'Lease Cycles'!$C$31*'Lease Cycles'!$BA$31/12,IF(AND('Lease Cycles'!$AX$31&gt;=INDEX('Lease Cycles'!$BG$31:$BM$31,1,BM401),'Lease Cycles'!$AX$31&lt;=BM$6),'Lease Cycles'!$C$31*'Lease Cycles'!$AY$31/12,IF(AND('Lease Cycles'!$AV$31&gt;=INDEX('Lease Cycles'!$BG$31:$BM$31,1,BM401),'Lease Cycles'!$AV$31&lt;=BM$6),'Lease Cycles'!$C$31*'Lease Cycles'!$AW$31/12,IF(AND('Lease Cycles'!$AT$31&gt;=INDEX('Lease Cycles'!$BG$31:$BM$31,1,BM401),'Lease Cycles'!$AT$31&lt;=BM$6),'Lease Cycles'!$C$31*'Lease Cycles'!$AU$31/12,'Lease Cycles'!$C$31*INDEX('Lease Cycles'!$CB$31:$CH$31,1,BM401)*(1+INDEX('Lease Cycles'!$CI$31:$CO$31,1,BM401))^INT(INT(BM402/12)/INDEX('Lease Cycles'!$CP$31:$CV$31,1,BM401))/12)))),'Lease Cycles'!$C$31*INDEX('Lease Cycles'!$CB$31:$CH$31,1,BM401)*(1+INDEX('Lease Cycles'!$CI$31:$CO$31,1,BM401))^INT(INT(BM402/12)/INDEX('Lease Cycles'!$CP$31:$CV$31,1,BM401))/12))),IF('Lease Cycles'!$N$31=1,'Lease Cycles'!$C$31*'Lease Cycles'!$E$31*INDEX('Lease Cycles'!$HE$31:$HK$31,1,BM401)*(1+INDEX('Lease Cycles'!$GQ$31:$GW$31,1,BM401))^INT(INT((BM$6-INDEX('Lease Cycles'!$GJ$31:$GP$31,1,BM401))/12)/INDEX('Lease Cycles'!$GX$31:$HD$31,1,BM401))/12,0)))</f>
        <v>0</v>
      </c>
      <c r="BN404" s="28">
        <f>IF(BN401=0,IF('Lease Cycles'!$F$31&gt;0,'Lease Cycles'!$C$31*'Lease Cycles'!$E$31/12,0),IF(BN403=1,IF('Lease Cycles'!$AT$31&gt;=9999,'Lease Cycles'!$C$31*INDEX('Lease Cycles'!$CB$31:$CH$31,1,BN401)*(1+INDEX('Lease Cycles'!$CI$31:$CO$31,1,BN401))^INT(INT(BN402/12)/INDEX('Lease Cycles'!$CP$31:$CV$31,1,BN401))/12,IF(BN401=1,IF(BN402&gt;=INDEX('Lease Cycles'!$DK$31:$DQ$31,1,BN401),IF(BN$6&gt;='Lease Cycles'!$AZ$31,'Lease Cycles'!$C$31*'Lease Cycles'!$BA$31/12,IF(BN$6&gt;='Lease Cycles'!$AX$31,'Lease Cycles'!$C$31*'Lease Cycles'!$AY$31/12,IF(BN$6&gt;='Lease Cycles'!$AV$31,'Lease Cycles'!$C$31*'Lease Cycles'!$AW$31/12,IF(BN$6&gt;='Lease Cycles'!$AT$31,'Lease Cycles'!$C$31*'Lease Cycles'!$AU$31/12,'Lease Cycles'!$C$31*INDEX('Lease Cycles'!$CB$31:$CH$31,1,BN401)*(1+INDEX('Lease Cycles'!$CI$31:$CO$31,1,BN401))^INT(INT(BN402/12)/INDEX('Lease Cycles'!$CP$31:$CV$31,1,BN401))/12)))),'Lease Cycles'!$C$31*INDEX('Lease Cycles'!$CB$31:$CH$31,1,BN401)*(1+INDEX('Lease Cycles'!$CI$31:$CO$31,1,BN401))^INT(INT(BN402/12)/INDEX('Lease Cycles'!$CP$31:$CV$31,1,BN401))/12),IF(INDEX('Lease Cycles'!$EF$31:$EL$31,1,BN401)=1,IF(AND('Lease Cycles'!$AZ$31&gt;=INDEX('Lease Cycles'!$BG$31:$BM$31,1,BN401),'Lease Cycles'!$AZ$31&lt;=BN$6),'Lease Cycles'!$C$31*'Lease Cycles'!$BA$31/12,IF(AND('Lease Cycles'!$AX$31&gt;=INDEX('Lease Cycles'!$BG$31:$BM$31,1,BN401),'Lease Cycles'!$AX$31&lt;=BN$6),'Lease Cycles'!$C$31*'Lease Cycles'!$AY$31/12,IF(AND('Lease Cycles'!$AV$31&gt;=INDEX('Lease Cycles'!$BG$31:$BM$31,1,BN401),'Lease Cycles'!$AV$31&lt;=BN$6),'Lease Cycles'!$C$31*'Lease Cycles'!$AW$31/12,IF(AND('Lease Cycles'!$AT$31&gt;=INDEX('Lease Cycles'!$BG$31:$BM$31,1,BN401),'Lease Cycles'!$AT$31&lt;=BN$6),'Lease Cycles'!$C$31*'Lease Cycles'!$AU$31/12,'Lease Cycles'!$C$31*INDEX('Lease Cycles'!$CB$31:$CH$31,1,BN401)*(1+INDEX('Lease Cycles'!$CI$31:$CO$31,1,BN401))^INT(INT(BN402/12)/INDEX('Lease Cycles'!$CP$31:$CV$31,1,BN401))/12)))),'Lease Cycles'!$C$31*INDEX('Lease Cycles'!$CB$31:$CH$31,1,BN401)*(1+INDEX('Lease Cycles'!$CI$31:$CO$31,1,BN401))^INT(INT(BN402/12)/INDEX('Lease Cycles'!$CP$31:$CV$31,1,BN401))/12))),IF('Lease Cycles'!$N$31=1,'Lease Cycles'!$C$31*'Lease Cycles'!$E$31*INDEX('Lease Cycles'!$HE$31:$HK$31,1,BN401)*(1+INDEX('Lease Cycles'!$GQ$31:$GW$31,1,BN401))^INT(INT((BN$6-INDEX('Lease Cycles'!$GJ$31:$GP$31,1,BN401))/12)/INDEX('Lease Cycles'!$GX$31:$HD$31,1,BN401))/12,0)))</f>
        <v>0</v>
      </c>
      <c r="BO404" s="28">
        <f>IF(BO401=0,IF('Lease Cycles'!$F$31&gt;0,'Lease Cycles'!$C$31*'Lease Cycles'!$E$31/12,0),IF(BO403=1,IF('Lease Cycles'!$AT$31&gt;=9999,'Lease Cycles'!$C$31*INDEX('Lease Cycles'!$CB$31:$CH$31,1,BO401)*(1+INDEX('Lease Cycles'!$CI$31:$CO$31,1,BO401))^INT(INT(BO402/12)/INDEX('Lease Cycles'!$CP$31:$CV$31,1,BO401))/12,IF(BO401=1,IF(BO402&gt;=INDEX('Lease Cycles'!$DK$31:$DQ$31,1,BO401),IF(BO$6&gt;='Lease Cycles'!$AZ$31,'Lease Cycles'!$C$31*'Lease Cycles'!$BA$31/12,IF(BO$6&gt;='Lease Cycles'!$AX$31,'Lease Cycles'!$C$31*'Lease Cycles'!$AY$31/12,IF(BO$6&gt;='Lease Cycles'!$AV$31,'Lease Cycles'!$C$31*'Lease Cycles'!$AW$31/12,IF(BO$6&gt;='Lease Cycles'!$AT$31,'Lease Cycles'!$C$31*'Lease Cycles'!$AU$31/12,'Lease Cycles'!$C$31*INDEX('Lease Cycles'!$CB$31:$CH$31,1,BO401)*(1+INDEX('Lease Cycles'!$CI$31:$CO$31,1,BO401))^INT(INT(BO402/12)/INDEX('Lease Cycles'!$CP$31:$CV$31,1,BO401))/12)))),'Lease Cycles'!$C$31*INDEX('Lease Cycles'!$CB$31:$CH$31,1,BO401)*(1+INDEX('Lease Cycles'!$CI$31:$CO$31,1,BO401))^INT(INT(BO402/12)/INDEX('Lease Cycles'!$CP$31:$CV$31,1,BO401))/12),IF(INDEX('Lease Cycles'!$EF$31:$EL$31,1,BO401)=1,IF(AND('Lease Cycles'!$AZ$31&gt;=INDEX('Lease Cycles'!$BG$31:$BM$31,1,BO401),'Lease Cycles'!$AZ$31&lt;=BO$6),'Lease Cycles'!$C$31*'Lease Cycles'!$BA$31/12,IF(AND('Lease Cycles'!$AX$31&gt;=INDEX('Lease Cycles'!$BG$31:$BM$31,1,BO401),'Lease Cycles'!$AX$31&lt;=BO$6),'Lease Cycles'!$C$31*'Lease Cycles'!$AY$31/12,IF(AND('Lease Cycles'!$AV$31&gt;=INDEX('Lease Cycles'!$BG$31:$BM$31,1,BO401),'Lease Cycles'!$AV$31&lt;=BO$6),'Lease Cycles'!$C$31*'Lease Cycles'!$AW$31/12,IF(AND('Lease Cycles'!$AT$31&gt;=INDEX('Lease Cycles'!$BG$31:$BM$31,1,BO401),'Lease Cycles'!$AT$31&lt;=BO$6),'Lease Cycles'!$C$31*'Lease Cycles'!$AU$31/12,'Lease Cycles'!$C$31*INDEX('Lease Cycles'!$CB$31:$CH$31,1,BO401)*(1+INDEX('Lease Cycles'!$CI$31:$CO$31,1,BO401))^INT(INT(BO402/12)/INDEX('Lease Cycles'!$CP$31:$CV$31,1,BO401))/12)))),'Lease Cycles'!$C$31*INDEX('Lease Cycles'!$CB$31:$CH$31,1,BO401)*(1+INDEX('Lease Cycles'!$CI$31:$CO$31,1,BO401))^INT(INT(BO402/12)/INDEX('Lease Cycles'!$CP$31:$CV$31,1,BO401))/12))),IF('Lease Cycles'!$N$31=1,'Lease Cycles'!$C$31*'Lease Cycles'!$E$31*INDEX('Lease Cycles'!$HE$31:$HK$31,1,BO401)*(1+INDEX('Lease Cycles'!$GQ$31:$GW$31,1,BO401))^INT(INT((BO$6-INDEX('Lease Cycles'!$GJ$31:$GP$31,1,BO401))/12)/INDEX('Lease Cycles'!$GX$31:$HD$31,1,BO401))/12,0)))</f>
        <v>0</v>
      </c>
      <c r="BP404" s="28">
        <f>IF(BP401=0,IF('Lease Cycles'!$F$31&gt;0,'Lease Cycles'!$C$31*'Lease Cycles'!$E$31/12,0),IF(BP403=1,IF('Lease Cycles'!$AT$31&gt;=9999,'Lease Cycles'!$C$31*INDEX('Lease Cycles'!$CB$31:$CH$31,1,BP401)*(1+INDEX('Lease Cycles'!$CI$31:$CO$31,1,BP401))^INT(INT(BP402/12)/INDEX('Lease Cycles'!$CP$31:$CV$31,1,BP401))/12,IF(BP401=1,IF(BP402&gt;=INDEX('Lease Cycles'!$DK$31:$DQ$31,1,BP401),IF(BP$6&gt;='Lease Cycles'!$AZ$31,'Lease Cycles'!$C$31*'Lease Cycles'!$BA$31/12,IF(BP$6&gt;='Lease Cycles'!$AX$31,'Lease Cycles'!$C$31*'Lease Cycles'!$AY$31/12,IF(BP$6&gt;='Lease Cycles'!$AV$31,'Lease Cycles'!$C$31*'Lease Cycles'!$AW$31/12,IF(BP$6&gt;='Lease Cycles'!$AT$31,'Lease Cycles'!$C$31*'Lease Cycles'!$AU$31/12,'Lease Cycles'!$C$31*INDEX('Lease Cycles'!$CB$31:$CH$31,1,BP401)*(1+INDEX('Lease Cycles'!$CI$31:$CO$31,1,BP401))^INT(INT(BP402/12)/INDEX('Lease Cycles'!$CP$31:$CV$31,1,BP401))/12)))),'Lease Cycles'!$C$31*INDEX('Lease Cycles'!$CB$31:$CH$31,1,BP401)*(1+INDEX('Lease Cycles'!$CI$31:$CO$31,1,BP401))^INT(INT(BP402/12)/INDEX('Lease Cycles'!$CP$31:$CV$31,1,BP401))/12),IF(INDEX('Lease Cycles'!$EF$31:$EL$31,1,BP401)=1,IF(AND('Lease Cycles'!$AZ$31&gt;=INDEX('Lease Cycles'!$BG$31:$BM$31,1,BP401),'Lease Cycles'!$AZ$31&lt;=BP$6),'Lease Cycles'!$C$31*'Lease Cycles'!$BA$31/12,IF(AND('Lease Cycles'!$AX$31&gt;=INDEX('Lease Cycles'!$BG$31:$BM$31,1,BP401),'Lease Cycles'!$AX$31&lt;=BP$6),'Lease Cycles'!$C$31*'Lease Cycles'!$AY$31/12,IF(AND('Lease Cycles'!$AV$31&gt;=INDEX('Lease Cycles'!$BG$31:$BM$31,1,BP401),'Lease Cycles'!$AV$31&lt;=BP$6),'Lease Cycles'!$C$31*'Lease Cycles'!$AW$31/12,IF(AND('Lease Cycles'!$AT$31&gt;=INDEX('Lease Cycles'!$BG$31:$BM$31,1,BP401),'Lease Cycles'!$AT$31&lt;=BP$6),'Lease Cycles'!$C$31*'Lease Cycles'!$AU$31/12,'Lease Cycles'!$C$31*INDEX('Lease Cycles'!$CB$31:$CH$31,1,BP401)*(1+INDEX('Lease Cycles'!$CI$31:$CO$31,1,BP401))^INT(INT(BP402/12)/INDEX('Lease Cycles'!$CP$31:$CV$31,1,BP401))/12)))),'Lease Cycles'!$C$31*INDEX('Lease Cycles'!$CB$31:$CH$31,1,BP401)*(1+INDEX('Lease Cycles'!$CI$31:$CO$31,1,BP401))^INT(INT(BP402/12)/INDEX('Lease Cycles'!$CP$31:$CV$31,1,BP401))/12))),IF('Lease Cycles'!$N$31=1,'Lease Cycles'!$C$31*'Lease Cycles'!$E$31*INDEX('Lease Cycles'!$HE$31:$HK$31,1,BP401)*(1+INDEX('Lease Cycles'!$GQ$31:$GW$31,1,BP401))^INT(INT((BP$6-INDEX('Lease Cycles'!$GJ$31:$GP$31,1,BP401))/12)/INDEX('Lease Cycles'!$GX$31:$HD$31,1,BP401))/12,0)))</f>
        <v>0</v>
      </c>
      <c r="BQ404" s="28">
        <f>IF(BQ401=0,IF('Lease Cycles'!$F$31&gt;0,'Lease Cycles'!$C$31*'Lease Cycles'!$E$31/12,0),IF(BQ403=1,IF('Lease Cycles'!$AT$31&gt;=9999,'Lease Cycles'!$C$31*INDEX('Lease Cycles'!$CB$31:$CH$31,1,BQ401)*(1+INDEX('Lease Cycles'!$CI$31:$CO$31,1,BQ401))^INT(INT(BQ402/12)/INDEX('Lease Cycles'!$CP$31:$CV$31,1,BQ401))/12,IF(BQ401=1,IF(BQ402&gt;=INDEX('Lease Cycles'!$DK$31:$DQ$31,1,BQ401),IF(BQ$6&gt;='Lease Cycles'!$AZ$31,'Lease Cycles'!$C$31*'Lease Cycles'!$BA$31/12,IF(BQ$6&gt;='Lease Cycles'!$AX$31,'Lease Cycles'!$C$31*'Lease Cycles'!$AY$31/12,IF(BQ$6&gt;='Lease Cycles'!$AV$31,'Lease Cycles'!$C$31*'Lease Cycles'!$AW$31/12,IF(BQ$6&gt;='Lease Cycles'!$AT$31,'Lease Cycles'!$C$31*'Lease Cycles'!$AU$31/12,'Lease Cycles'!$C$31*INDEX('Lease Cycles'!$CB$31:$CH$31,1,BQ401)*(1+INDEX('Lease Cycles'!$CI$31:$CO$31,1,BQ401))^INT(INT(BQ402/12)/INDEX('Lease Cycles'!$CP$31:$CV$31,1,BQ401))/12)))),'Lease Cycles'!$C$31*INDEX('Lease Cycles'!$CB$31:$CH$31,1,BQ401)*(1+INDEX('Lease Cycles'!$CI$31:$CO$31,1,BQ401))^INT(INT(BQ402/12)/INDEX('Lease Cycles'!$CP$31:$CV$31,1,BQ401))/12),IF(INDEX('Lease Cycles'!$EF$31:$EL$31,1,BQ401)=1,IF(AND('Lease Cycles'!$AZ$31&gt;=INDEX('Lease Cycles'!$BG$31:$BM$31,1,BQ401),'Lease Cycles'!$AZ$31&lt;=BQ$6),'Lease Cycles'!$C$31*'Lease Cycles'!$BA$31/12,IF(AND('Lease Cycles'!$AX$31&gt;=INDEX('Lease Cycles'!$BG$31:$BM$31,1,BQ401),'Lease Cycles'!$AX$31&lt;=BQ$6),'Lease Cycles'!$C$31*'Lease Cycles'!$AY$31/12,IF(AND('Lease Cycles'!$AV$31&gt;=INDEX('Lease Cycles'!$BG$31:$BM$31,1,BQ401),'Lease Cycles'!$AV$31&lt;=BQ$6),'Lease Cycles'!$C$31*'Lease Cycles'!$AW$31/12,IF(AND('Lease Cycles'!$AT$31&gt;=INDEX('Lease Cycles'!$BG$31:$BM$31,1,BQ401),'Lease Cycles'!$AT$31&lt;=BQ$6),'Lease Cycles'!$C$31*'Lease Cycles'!$AU$31/12,'Lease Cycles'!$C$31*INDEX('Lease Cycles'!$CB$31:$CH$31,1,BQ401)*(1+INDEX('Lease Cycles'!$CI$31:$CO$31,1,BQ401))^INT(INT(BQ402/12)/INDEX('Lease Cycles'!$CP$31:$CV$31,1,BQ401))/12)))),'Lease Cycles'!$C$31*INDEX('Lease Cycles'!$CB$31:$CH$31,1,BQ401)*(1+INDEX('Lease Cycles'!$CI$31:$CO$31,1,BQ401))^INT(INT(BQ402/12)/INDEX('Lease Cycles'!$CP$31:$CV$31,1,BQ401))/12))),IF('Lease Cycles'!$N$31=1,'Lease Cycles'!$C$31*'Lease Cycles'!$E$31*INDEX('Lease Cycles'!$HE$31:$HK$31,1,BQ401)*(1+INDEX('Lease Cycles'!$GQ$31:$GW$31,1,BQ401))^INT(INT((BQ$6-INDEX('Lease Cycles'!$GJ$31:$GP$31,1,BQ401))/12)/INDEX('Lease Cycles'!$GX$31:$HD$31,1,BQ401))/12,0)))</f>
        <v>0</v>
      </c>
      <c r="BR404" s="28">
        <f>IF(BR401=0,IF('Lease Cycles'!$F$31&gt;0,'Lease Cycles'!$C$31*'Lease Cycles'!$E$31/12,0),IF(BR403=1,IF('Lease Cycles'!$AT$31&gt;=9999,'Lease Cycles'!$C$31*INDEX('Lease Cycles'!$CB$31:$CH$31,1,BR401)*(1+INDEX('Lease Cycles'!$CI$31:$CO$31,1,BR401))^INT(INT(BR402/12)/INDEX('Lease Cycles'!$CP$31:$CV$31,1,BR401))/12,IF(BR401=1,IF(BR402&gt;=INDEX('Lease Cycles'!$DK$31:$DQ$31,1,BR401),IF(BR$6&gt;='Lease Cycles'!$AZ$31,'Lease Cycles'!$C$31*'Lease Cycles'!$BA$31/12,IF(BR$6&gt;='Lease Cycles'!$AX$31,'Lease Cycles'!$C$31*'Lease Cycles'!$AY$31/12,IF(BR$6&gt;='Lease Cycles'!$AV$31,'Lease Cycles'!$C$31*'Lease Cycles'!$AW$31/12,IF(BR$6&gt;='Lease Cycles'!$AT$31,'Lease Cycles'!$C$31*'Lease Cycles'!$AU$31/12,'Lease Cycles'!$C$31*INDEX('Lease Cycles'!$CB$31:$CH$31,1,BR401)*(1+INDEX('Lease Cycles'!$CI$31:$CO$31,1,BR401))^INT(INT(BR402/12)/INDEX('Lease Cycles'!$CP$31:$CV$31,1,BR401))/12)))),'Lease Cycles'!$C$31*INDEX('Lease Cycles'!$CB$31:$CH$31,1,BR401)*(1+INDEX('Lease Cycles'!$CI$31:$CO$31,1,BR401))^INT(INT(BR402/12)/INDEX('Lease Cycles'!$CP$31:$CV$31,1,BR401))/12),IF(INDEX('Lease Cycles'!$EF$31:$EL$31,1,BR401)=1,IF(AND('Lease Cycles'!$AZ$31&gt;=INDEX('Lease Cycles'!$BG$31:$BM$31,1,BR401),'Lease Cycles'!$AZ$31&lt;=BR$6),'Lease Cycles'!$C$31*'Lease Cycles'!$BA$31/12,IF(AND('Lease Cycles'!$AX$31&gt;=INDEX('Lease Cycles'!$BG$31:$BM$31,1,BR401),'Lease Cycles'!$AX$31&lt;=BR$6),'Lease Cycles'!$C$31*'Lease Cycles'!$AY$31/12,IF(AND('Lease Cycles'!$AV$31&gt;=INDEX('Lease Cycles'!$BG$31:$BM$31,1,BR401),'Lease Cycles'!$AV$31&lt;=BR$6),'Lease Cycles'!$C$31*'Lease Cycles'!$AW$31/12,IF(AND('Lease Cycles'!$AT$31&gt;=INDEX('Lease Cycles'!$BG$31:$BM$31,1,BR401),'Lease Cycles'!$AT$31&lt;=BR$6),'Lease Cycles'!$C$31*'Lease Cycles'!$AU$31/12,'Lease Cycles'!$C$31*INDEX('Lease Cycles'!$CB$31:$CH$31,1,BR401)*(1+INDEX('Lease Cycles'!$CI$31:$CO$31,1,BR401))^INT(INT(BR402/12)/INDEX('Lease Cycles'!$CP$31:$CV$31,1,BR401))/12)))),'Lease Cycles'!$C$31*INDEX('Lease Cycles'!$CB$31:$CH$31,1,BR401)*(1+INDEX('Lease Cycles'!$CI$31:$CO$31,1,BR401))^INT(INT(BR402/12)/INDEX('Lease Cycles'!$CP$31:$CV$31,1,BR401))/12))),IF('Lease Cycles'!$N$31=1,'Lease Cycles'!$C$31*'Lease Cycles'!$E$31*INDEX('Lease Cycles'!$HE$31:$HK$31,1,BR401)*(1+INDEX('Lease Cycles'!$GQ$31:$GW$31,1,BR401))^INT(INT((BR$6-INDEX('Lease Cycles'!$GJ$31:$GP$31,1,BR401))/12)/INDEX('Lease Cycles'!$GX$31:$HD$31,1,BR401))/12,0)))</f>
        <v>0</v>
      </c>
      <c r="BS404" s="28">
        <f>IF(BS401=0,IF('Lease Cycles'!$F$31&gt;0,'Lease Cycles'!$C$31*'Lease Cycles'!$E$31/12,0),IF(BS403=1,IF('Lease Cycles'!$AT$31&gt;=9999,'Lease Cycles'!$C$31*INDEX('Lease Cycles'!$CB$31:$CH$31,1,BS401)*(1+INDEX('Lease Cycles'!$CI$31:$CO$31,1,BS401))^INT(INT(BS402/12)/INDEX('Lease Cycles'!$CP$31:$CV$31,1,BS401))/12,IF(BS401=1,IF(BS402&gt;=INDEX('Lease Cycles'!$DK$31:$DQ$31,1,BS401),IF(BS$6&gt;='Lease Cycles'!$AZ$31,'Lease Cycles'!$C$31*'Lease Cycles'!$BA$31/12,IF(BS$6&gt;='Lease Cycles'!$AX$31,'Lease Cycles'!$C$31*'Lease Cycles'!$AY$31/12,IF(BS$6&gt;='Lease Cycles'!$AV$31,'Lease Cycles'!$C$31*'Lease Cycles'!$AW$31/12,IF(BS$6&gt;='Lease Cycles'!$AT$31,'Lease Cycles'!$C$31*'Lease Cycles'!$AU$31/12,'Lease Cycles'!$C$31*INDEX('Lease Cycles'!$CB$31:$CH$31,1,BS401)*(1+INDEX('Lease Cycles'!$CI$31:$CO$31,1,BS401))^INT(INT(BS402/12)/INDEX('Lease Cycles'!$CP$31:$CV$31,1,BS401))/12)))),'Lease Cycles'!$C$31*INDEX('Lease Cycles'!$CB$31:$CH$31,1,BS401)*(1+INDEX('Lease Cycles'!$CI$31:$CO$31,1,BS401))^INT(INT(BS402/12)/INDEX('Lease Cycles'!$CP$31:$CV$31,1,BS401))/12),IF(INDEX('Lease Cycles'!$EF$31:$EL$31,1,BS401)=1,IF(AND('Lease Cycles'!$AZ$31&gt;=INDEX('Lease Cycles'!$BG$31:$BM$31,1,BS401),'Lease Cycles'!$AZ$31&lt;=BS$6),'Lease Cycles'!$C$31*'Lease Cycles'!$BA$31/12,IF(AND('Lease Cycles'!$AX$31&gt;=INDEX('Lease Cycles'!$BG$31:$BM$31,1,BS401),'Lease Cycles'!$AX$31&lt;=BS$6),'Lease Cycles'!$C$31*'Lease Cycles'!$AY$31/12,IF(AND('Lease Cycles'!$AV$31&gt;=INDEX('Lease Cycles'!$BG$31:$BM$31,1,BS401),'Lease Cycles'!$AV$31&lt;=BS$6),'Lease Cycles'!$C$31*'Lease Cycles'!$AW$31/12,IF(AND('Lease Cycles'!$AT$31&gt;=INDEX('Lease Cycles'!$BG$31:$BM$31,1,BS401),'Lease Cycles'!$AT$31&lt;=BS$6),'Lease Cycles'!$C$31*'Lease Cycles'!$AU$31/12,'Lease Cycles'!$C$31*INDEX('Lease Cycles'!$CB$31:$CH$31,1,BS401)*(1+INDEX('Lease Cycles'!$CI$31:$CO$31,1,BS401))^INT(INT(BS402/12)/INDEX('Lease Cycles'!$CP$31:$CV$31,1,BS401))/12)))),'Lease Cycles'!$C$31*INDEX('Lease Cycles'!$CB$31:$CH$31,1,BS401)*(1+INDEX('Lease Cycles'!$CI$31:$CO$31,1,BS401))^INT(INT(BS402/12)/INDEX('Lease Cycles'!$CP$31:$CV$31,1,BS401))/12))),IF('Lease Cycles'!$N$31=1,'Lease Cycles'!$C$31*'Lease Cycles'!$E$31*INDEX('Lease Cycles'!$HE$31:$HK$31,1,BS401)*(1+INDEX('Lease Cycles'!$GQ$31:$GW$31,1,BS401))^INT(INT((BS$6-INDEX('Lease Cycles'!$GJ$31:$GP$31,1,BS401))/12)/INDEX('Lease Cycles'!$GX$31:$HD$31,1,BS401))/12,0)))</f>
        <v>0</v>
      </c>
      <c r="BT404" s="28">
        <f>IF(BT401=0,IF('Lease Cycles'!$F$31&gt;0,'Lease Cycles'!$C$31*'Lease Cycles'!$E$31/12,0),IF(BT403=1,IF('Lease Cycles'!$AT$31&gt;=9999,'Lease Cycles'!$C$31*INDEX('Lease Cycles'!$CB$31:$CH$31,1,BT401)*(1+INDEX('Lease Cycles'!$CI$31:$CO$31,1,BT401))^INT(INT(BT402/12)/INDEX('Lease Cycles'!$CP$31:$CV$31,1,BT401))/12,IF(BT401=1,IF(BT402&gt;=INDEX('Lease Cycles'!$DK$31:$DQ$31,1,BT401),IF(BT$6&gt;='Lease Cycles'!$AZ$31,'Lease Cycles'!$C$31*'Lease Cycles'!$BA$31/12,IF(BT$6&gt;='Lease Cycles'!$AX$31,'Lease Cycles'!$C$31*'Lease Cycles'!$AY$31/12,IF(BT$6&gt;='Lease Cycles'!$AV$31,'Lease Cycles'!$C$31*'Lease Cycles'!$AW$31/12,IF(BT$6&gt;='Lease Cycles'!$AT$31,'Lease Cycles'!$C$31*'Lease Cycles'!$AU$31/12,'Lease Cycles'!$C$31*INDEX('Lease Cycles'!$CB$31:$CH$31,1,BT401)*(1+INDEX('Lease Cycles'!$CI$31:$CO$31,1,BT401))^INT(INT(BT402/12)/INDEX('Lease Cycles'!$CP$31:$CV$31,1,BT401))/12)))),'Lease Cycles'!$C$31*INDEX('Lease Cycles'!$CB$31:$CH$31,1,BT401)*(1+INDEX('Lease Cycles'!$CI$31:$CO$31,1,BT401))^INT(INT(BT402/12)/INDEX('Lease Cycles'!$CP$31:$CV$31,1,BT401))/12),IF(INDEX('Lease Cycles'!$EF$31:$EL$31,1,BT401)=1,IF(AND('Lease Cycles'!$AZ$31&gt;=INDEX('Lease Cycles'!$BG$31:$BM$31,1,BT401),'Lease Cycles'!$AZ$31&lt;=BT$6),'Lease Cycles'!$C$31*'Lease Cycles'!$BA$31/12,IF(AND('Lease Cycles'!$AX$31&gt;=INDEX('Lease Cycles'!$BG$31:$BM$31,1,BT401),'Lease Cycles'!$AX$31&lt;=BT$6),'Lease Cycles'!$C$31*'Lease Cycles'!$AY$31/12,IF(AND('Lease Cycles'!$AV$31&gt;=INDEX('Lease Cycles'!$BG$31:$BM$31,1,BT401),'Lease Cycles'!$AV$31&lt;=BT$6),'Lease Cycles'!$C$31*'Lease Cycles'!$AW$31/12,IF(AND('Lease Cycles'!$AT$31&gt;=INDEX('Lease Cycles'!$BG$31:$BM$31,1,BT401),'Lease Cycles'!$AT$31&lt;=BT$6),'Lease Cycles'!$C$31*'Lease Cycles'!$AU$31/12,'Lease Cycles'!$C$31*INDEX('Lease Cycles'!$CB$31:$CH$31,1,BT401)*(1+INDEX('Lease Cycles'!$CI$31:$CO$31,1,BT401))^INT(INT(BT402/12)/INDEX('Lease Cycles'!$CP$31:$CV$31,1,BT401))/12)))),'Lease Cycles'!$C$31*INDEX('Lease Cycles'!$CB$31:$CH$31,1,BT401)*(1+INDEX('Lease Cycles'!$CI$31:$CO$31,1,BT401))^INT(INT(BT402/12)/INDEX('Lease Cycles'!$CP$31:$CV$31,1,BT401))/12))),IF('Lease Cycles'!$N$31=1,'Lease Cycles'!$C$31*'Lease Cycles'!$E$31*INDEX('Lease Cycles'!$HE$31:$HK$31,1,BT401)*(1+INDEX('Lease Cycles'!$GQ$31:$GW$31,1,BT401))^INT(INT((BT$6-INDEX('Lease Cycles'!$GJ$31:$GP$31,1,BT401))/12)/INDEX('Lease Cycles'!$GX$31:$HD$31,1,BT401))/12,0)))</f>
        <v>0</v>
      </c>
      <c r="BU404" s="28">
        <f>IF(BU401=0,IF('Lease Cycles'!$F$31&gt;0,'Lease Cycles'!$C$31*'Lease Cycles'!$E$31/12,0),IF(BU403=1,IF('Lease Cycles'!$AT$31&gt;=9999,'Lease Cycles'!$C$31*INDEX('Lease Cycles'!$CB$31:$CH$31,1,BU401)*(1+INDEX('Lease Cycles'!$CI$31:$CO$31,1,BU401))^INT(INT(BU402/12)/INDEX('Lease Cycles'!$CP$31:$CV$31,1,BU401))/12,IF(BU401=1,IF(BU402&gt;=INDEX('Lease Cycles'!$DK$31:$DQ$31,1,BU401),IF(BU$6&gt;='Lease Cycles'!$AZ$31,'Lease Cycles'!$C$31*'Lease Cycles'!$BA$31/12,IF(BU$6&gt;='Lease Cycles'!$AX$31,'Lease Cycles'!$C$31*'Lease Cycles'!$AY$31/12,IF(BU$6&gt;='Lease Cycles'!$AV$31,'Lease Cycles'!$C$31*'Lease Cycles'!$AW$31/12,IF(BU$6&gt;='Lease Cycles'!$AT$31,'Lease Cycles'!$C$31*'Lease Cycles'!$AU$31/12,'Lease Cycles'!$C$31*INDEX('Lease Cycles'!$CB$31:$CH$31,1,BU401)*(1+INDEX('Lease Cycles'!$CI$31:$CO$31,1,BU401))^INT(INT(BU402/12)/INDEX('Lease Cycles'!$CP$31:$CV$31,1,BU401))/12)))),'Lease Cycles'!$C$31*INDEX('Lease Cycles'!$CB$31:$CH$31,1,BU401)*(1+INDEX('Lease Cycles'!$CI$31:$CO$31,1,BU401))^INT(INT(BU402/12)/INDEX('Lease Cycles'!$CP$31:$CV$31,1,BU401))/12),IF(INDEX('Lease Cycles'!$EF$31:$EL$31,1,BU401)=1,IF(AND('Lease Cycles'!$AZ$31&gt;=INDEX('Lease Cycles'!$BG$31:$BM$31,1,BU401),'Lease Cycles'!$AZ$31&lt;=BU$6),'Lease Cycles'!$C$31*'Lease Cycles'!$BA$31/12,IF(AND('Lease Cycles'!$AX$31&gt;=INDEX('Lease Cycles'!$BG$31:$BM$31,1,BU401),'Lease Cycles'!$AX$31&lt;=BU$6),'Lease Cycles'!$C$31*'Lease Cycles'!$AY$31/12,IF(AND('Lease Cycles'!$AV$31&gt;=INDEX('Lease Cycles'!$BG$31:$BM$31,1,BU401),'Lease Cycles'!$AV$31&lt;=BU$6),'Lease Cycles'!$C$31*'Lease Cycles'!$AW$31/12,IF(AND('Lease Cycles'!$AT$31&gt;=INDEX('Lease Cycles'!$BG$31:$BM$31,1,BU401),'Lease Cycles'!$AT$31&lt;=BU$6),'Lease Cycles'!$C$31*'Lease Cycles'!$AU$31/12,'Lease Cycles'!$C$31*INDEX('Lease Cycles'!$CB$31:$CH$31,1,BU401)*(1+INDEX('Lease Cycles'!$CI$31:$CO$31,1,BU401))^INT(INT(BU402/12)/INDEX('Lease Cycles'!$CP$31:$CV$31,1,BU401))/12)))),'Lease Cycles'!$C$31*INDEX('Lease Cycles'!$CB$31:$CH$31,1,BU401)*(1+INDEX('Lease Cycles'!$CI$31:$CO$31,1,BU401))^INT(INT(BU402/12)/INDEX('Lease Cycles'!$CP$31:$CV$31,1,BU401))/12))),IF('Lease Cycles'!$N$31=1,'Lease Cycles'!$C$31*'Lease Cycles'!$E$31*INDEX('Lease Cycles'!$HE$31:$HK$31,1,BU401)*(1+INDEX('Lease Cycles'!$GQ$31:$GW$31,1,BU401))^INT(INT((BU$6-INDEX('Lease Cycles'!$GJ$31:$GP$31,1,BU401))/12)/INDEX('Lease Cycles'!$GX$31:$HD$31,1,BU401))/12,0)))</f>
        <v>0</v>
      </c>
      <c r="BV404" s="28">
        <f>IF(BV401=0,IF('Lease Cycles'!$F$31&gt;0,'Lease Cycles'!$C$31*'Lease Cycles'!$E$31/12,0),IF(BV403=1,IF('Lease Cycles'!$AT$31&gt;=9999,'Lease Cycles'!$C$31*INDEX('Lease Cycles'!$CB$31:$CH$31,1,BV401)*(1+INDEX('Lease Cycles'!$CI$31:$CO$31,1,BV401))^INT(INT(BV402/12)/INDEX('Lease Cycles'!$CP$31:$CV$31,1,BV401))/12,IF(BV401=1,IF(BV402&gt;=INDEX('Lease Cycles'!$DK$31:$DQ$31,1,BV401),IF(BV$6&gt;='Lease Cycles'!$AZ$31,'Lease Cycles'!$C$31*'Lease Cycles'!$BA$31/12,IF(BV$6&gt;='Lease Cycles'!$AX$31,'Lease Cycles'!$C$31*'Lease Cycles'!$AY$31/12,IF(BV$6&gt;='Lease Cycles'!$AV$31,'Lease Cycles'!$C$31*'Lease Cycles'!$AW$31/12,IF(BV$6&gt;='Lease Cycles'!$AT$31,'Lease Cycles'!$C$31*'Lease Cycles'!$AU$31/12,'Lease Cycles'!$C$31*INDEX('Lease Cycles'!$CB$31:$CH$31,1,BV401)*(1+INDEX('Lease Cycles'!$CI$31:$CO$31,1,BV401))^INT(INT(BV402/12)/INDEX('Lease Cycles'!$CP$31:$CV$31,1,BV401))/12)))),'Lease Cycles'!$C$31*INDEX('Lease Cycles'!$CB$31:$CH$31,1,BV401)*(1+INDEX('Lease Cycles'!$CI$31:$CO$31,1,BV401))^INT(INT(BV402/12)/INDEX('Lease Cycles'!$CP$31:$CV$31,1,BV401))/12),IF(INDEX('Lease Cycles'!$EF$31:$EL$31,1,BV401)=1,IF(AND('Lease Cycles'!$AZ$31&gt;=INDEX('Lease Cycles'!$BG$31:$BM$31,1,BV401),'Lease Cycles'!$AZ$31&lt;=BV$6),'Lease Cycles'!$C$31*'Lease Cycles'!$BA$31/12,IF(AND('Lease Cycles'!$AX$31&gt;=INDEX('Lease Cycles'!$BG$31:$BM$31,1,BV401),'Lease Cycles'!$AX$31&lt;=BV$6),'Lease Cycles'!$C$31*'Lease Cycles'!$AY$31/12,IF(AND('Lease Cycles'!$AV$31&gt;=INDEX('Lease Cycles'!$BG$31:$BM$31,1,BV401),'Lease Cycles'!$AV$31&lt;=BV$6),'Lease Cycles'!$C$31*'Lease Cycles'!$AW$31/12,IF(AND('Lease Cycles'!$AT$31&gt;=INDEX('Lease Cycles'!$BG$31:$BM$31,1,BV401),'Lease Cycles'!$AT$31&lt;=BV$6),'Lease Cycles'!$C$31*'Lease Cycles'!$AU$31/12,'Lease Cycles'!$C$31*INDEX('Lease Cycles'!$CB$31:$CH$31,1,BV401)*(1+INDEX('Lease Cycles'!$CI$31:$CO$31,1,BV401))^INT(INT(BV402/12)/INDEX('Lease Cycles'!$CP$31:$CV$31,1,BV401))/12)))),'Lease Cycles'!$C$31*INDEX('Lease Cycles'!$CB$31:$CH$31,1,BV401)*(1+INDEX('Lease Cycles'!$CI$31:$CO$31,1,BV401))^INT(INT(BV402/12)/INDEX('Lease Cycles'!$CP$31:$CV$31,1,BV401))/12))),IF('Lease Cycles'!$N$31=1,'Lease Cycles'!$C$31*'Lease Cycles'!$E$31*INDEX('Lease Cycles'!$HE$31:$HK$31,1,BV401)*(1+INDEX('Lease Cycles'!$GQ$31:$GW$31,1,BV401))^INT(INT((BV$6-INDEX('Lease Cycles'!$GJ$31:$GP$31,1,BV401))/12)/INDEX('Lease Cycles'!$GX$31:$HD$31,1,BV401))/12,0)))</f>
        <v>0</v>
      </c>
      <c r="BW404" s="28">
        <f>IF(BW401=0,IF('Lease Cycles'!$F$31&gt;0,'Lease Cycles'!$C$31*'Lease Cycles'!$E$31/12,0),IF(BW403=1,IF('Lease Cycles'!$AT$31&gt;=9999,'Lease Cycles'!$C$31*INDEX('Lease Cycles'!$CB$31:$CH$31,1,BW401)*(1+INDEX('Lease Cycles'!$CI$31:$CO$31,1,BW401))^INT(INT(BW402/12)/INDEX('Lease Cycles'!$CP$31:$CV$31,1,BW401))/12,IF(BW401=1,IF(BW402&gt;=INDEX('Lease Cycles'!$DK$31:$DQ$31,1,BW401),IF(BW$6&gt;='Lease Cycles'!$AZ$31,'Lease Cycles'!$C$31*'Lease Cycles'!$BA$31/12,IF(BW$6&gt;='Lease Cycles'!$AX$31,'Lease Cycles'!$C$31*'Lease Cycles'!$AY$31/12,IF(BW$6&gt;='Lease Cycles'!$AV$31,'Lease Cycles'!$C$31*'Lease Cycles'!$AW$31/12,IF(BW$6&gt;='Lease Cycles'!$AT$31,'Lease Cycles'!$C$31*'Lease Cycles'!$AU$31/12,'Lease Cycles'!$C$31*INDEX('Lease Cycles'!$CB$31:$CH$31,1,BW401)*(1+INDEX('Lease Cycles'!$CI$31:$CO$31,1,BW401))^INT(INT(BW402/12)/INDEX('Lease Cycles'!$CP$31:$CV$31,1,BW401))/12)))),'Lease Cycles'!$C$31*INDEX('Lease Cycles'!$CB$31:$CH$31,1,BW401)*(1+INDEX('Lease Cycles'!$CI$31:$CO$31,1,BW401))^INT(INT(BW402/12)/INDEX('Lease Cycles'!$CP$31:$CV$31,1,BW401))/12),IF(INDEX('Lease Cycles'!$EF$31:$EL$31,1,BW401)=1,IF(AND('Lease Cycles'!$AZ$31&gt;=INDEX('Lease Cycles'!$BG$31:$BM$31,1,BW401),'Lease Cycles'!$AZ$31&lt;=BW$6),'Lease Cycles'!$C$31*'Lease Cycles'!$BA$31/12,IF(AND('Lease Cycles'!$AX$31&gt;=INDEX('Lease Cycles'!$BG$31:$BM$31,1,BW401),'Lease Cycles'!$AX$31&lt;=BW$6),'Lease Cycles'!$C$31*'Lease Cycles'!$AY$31/12,IF(AND('Lease Cycles'!$AV$31&gt;=INDEX('Lease Cycles'!$BG$31:$BM$31,1,BW401),'Lease Cycles'!$AV$31&lt;=BW$6),'Lease Cycles'!$C$31*'Lease Cycles'!$AW$31/12,IF(AND('Lease Cycles'!$AT$31&gt;=INDEX('Lease Cycles'!$BG$31:$BM$31,1,BW401),'Lease Cycles'!$AT$31&lt;=BW$6),'Lease Cycles'!$C$31*'Lease Cycles'!$AU$31/12,'Lease Cycles'!$C$31*INDEX('Lease Cycles'!$CB$31:$CH$31,1,BW401)*(1+INDEX('Lease Cycles'!$CI$31:$CO$31,1,BW401))^INT(INT(BW402/12)/INDEX('Lease Cycles'!$CP$31:$CV$31,1,BW401))/12)))),'Lease Cycles'!$C$31*INDEX('Lease Cycles'!$CB$31:$CH$31,1,BW401)*(1+INDEX('Lease Cycles'!$CI$31:$CO$31,1,BW401))^INT(INT(BW402/12)/INDEX('Lease Cycles'!$CP$31:$CV$31,1,BW401))/12))),IF('Lease Cycles'!$N$31=1,'Lease Cycles'!$C$31*'Lease Cycles'!$E$31*INDEX('Lease Cycles'!$HE$31:$HK$31,1,BW401)*(1+INDEX('Lease Cycles'!$GQ$31:$GW$31,1,BW401))^INT(INT((BW$6-INDEX('Lease Cycles'!$GJ$31:$GP$31,1,BW401))/12)/INDEX('Lease Cycles'!$GX$31:$HD$31,1,BW401))/12,0)))</f>
        <v>0</v>
      </c>
      <c r="BX404" s="28">
        <f>IF(BX401=0,IF('Lease Cycles'!$F$31&gt;0,'Lease Cycles'!$C$31*'Lease Cycles'!$E$31/12,0),IF(BX403=1,IF('Lease Cycles'!$AT$31&gt;=9999,'Lease Cycles'!$C$31*INDEX('Lease Cycles'!$CB$31:$CH$31,1,BX401)*(1+INDEX('Lease Cycles'!$CI$31:$CO$31,1,BX401))^INT(INT(BX402/12)/INDEX('Lease Cycles'!$CP$31:$CV$31,1,BX401))/12,IF(BX401=1,IF(BX402&gt;=INDEX('Lease Cycles'!$DK$31:$DQ$31,1,BX401),IF(BX$6&gt;='Lease Cycles'!$AZ$31,'Lease Cycles'!$C$31*'Lease Cycles'!$BA$31/12,IF(BX$6&gt;='Lease Cycles'!$AX$31,'Lease Cycles'!$C$31*'Lease Cycles'!$AY$31/12,IF(BX$6&gt;='Lease Cycles'!$AV$31,'Lease Cycles'!$C$31*'Lease Cycles'!$AW$31/12,IF(BX$6&gt;='Lease Cycles'!$AT$31,'Lease Cycles'!$C$31*'Lease Cycles'!$AU$31/12,'Lease Cycles'!$C$31*INDEX('Lease Cycles'!$CB$31:$CH$31,1,BX401)*(1+INDEX('Lease Cycles'!$CI$31:$CO$31,1,BX401))^INT(INT(BX402/12)/INDEX('Lease Cycles'!$CP$31:$CV$31,1,BX401))/12)))),'Lease Cycles'!$C$31*INDEX('Lease Cycles'!$CB$31:$CH$31,1,BX401)*(1+INDEX('Lease Cycles'!$CI$31:$CO$31,1,BX401))^INT(INT(BX402/12)/INDEX('Lease Cycles'!$CP$31:$CV$31,1,BX401))/12),IF(INDEX('Lease Cycles'!$EF$31:$EL$31,1,BX401)=1,IF(AND('Lease Cycles'!$AZ$31&gt;=INDEX('Lease Cycles'!$BG$31:$BM$31,1,BX401),'Lease Cycles'!$AZ$31&lt;=BX$6),'Lease Cycles'!$C$31*'Lease Cycles'!$BA$31/12,IF(AND('Lease Cycles'!$AX$31&gt;=INDEX('Lease Cycles'!$BG$31:$BM$31,1,BX401),'Lease Cycles'!$AX$31&lt;=BX$6),'Lease Cycles'!$C$31*'Lease Cycles'!$AY$31/12,IF(AND('Lease Cycles'!$AV$31&gt;=INDEX('Lease Cycles'!$BG$31:$BM$31,1,BX401),'Lease Cycles'!$AV$31&lt;=BX$6),'Lease Cycles'!$C$31*'Lease Cycles'!$AW$31/12,IF(AND('Lease Cycles'!$AT$31&gt;=INDEX('Lease Cycles'!$BG$31:$BM$31,1,BX401),'Lease Cycles'!$AT$31&lt;=BX$6),'Lease Cycles'!$C$31*'Lease Cycles'!$AU$31/12,'Lease Cycles'!$C$31*INDEX('Lease Cycles'!$CB$31:$CH$31,1,BX401)*(1+INDEX('Lease Cycles'!$CI$31:$CO$31,1,BX401))^INT(INT(BX402/12)/INDEX('Lease Cycles'!$CP$31:$CV$31,1,BX401))/12)))),'Lease Cycles'!$C$31*INDEX('Lease Cycles'!$CB$31:$CH$31,1,BX401)*(1+INDEX('Lease Cycles'!$CI$31:$CO$31,1,BX401))^INT(INT(BX402/12)/INDEX('Lease Cycles'!$CP$31:$CV$31,1,BX401))/12))),IF('Lease Cycles'!$N$31=1,'Lease Cycles'!$C$31*'Lease Cycles'!$E$31*INDEX('Lease Cycles'!$HE$31:$HK$31,1,BX401)*(1+INDEX('Lease Cycles'!$GQ$31:$GW$31,1,BX401))^INT(INT((BX$6-INDEX('Lease Cycles'!$GJ$31:$GP$31,1,BX401))/12)/INDEX('Lease Cycles'!$GX$31:$HD$31,1,BX401))/12,0)))</f>
        <v>0</v>
      </c>
      <c r="BY404" s="28">
        <f>IF(BY401=0,IF('Lease Cycles'!$F$31&gt;0,'Lease Cycles'!$C$31*'Lease Cycles'!$E$31/12,0),IF(BY403=1,IF('Lease Cycles'!$AT$31&gt;=9999,'Lease Cycles'!$C$31*INDEX('Lease Cycles'!$CB$31:$CH$31,1,BY401)*(1+INDEX('Lease Cycles'!$CI$31:$CO$31,1,BY401))^INT(INT(BY402/12)/INDEX('Lease Cycles'!$CP$31:$CV$31,1,BY401))/12,IF(BY401=1,IF(BY402&gt;=INDEX('Lease Cycles'!$DK$31:$DQ$31,1,BY401),IF(BY$6&gt;='Lease Cycles'!$AZ$31,'Lease Cycles'!$C$31*'Lease Cycles'!$BA$31/12,IF(BY$6&gt;='Lease Cycles'!$AX$31,'Lease Cycles'!$C$31*'Lease Cycles'!$AY$31/12,IF(BY$6&gt;='Lease Cycles'!$AV$31,'Lease Cycles'!$C$31*'Lease Cycles'!$AW$31/12,IF(BY$6&gt;='Lease Cycles'!$AT$31,'Lease Cycles'!$C$31*'Lease Cycles'!$AU$31/12,'Lease Cycles'!$C$31*INDEX('Lease Cycles'!$CB$31:$CH$31,1,BY401)*(1+INDEX('Lease Cycles'!$CI$31:$CO$31,1,BY401))^INT(INT(BY402/12)/INDEX('Lease Cycles'!$CP$31:$CV$31,1,BY401))/12)))),'Lease Cycles'!$C$31*INDEX('Lease Cycles'!$CB$31:$CH$31,1,BY401)*(1+INDEX('Lease Cycles'!$CI$31:$CO$31,1,BY401))^INT(INT(BY402/12)/INDEX('Lease Cycles'!$CP$31:$CV$31,1,BY401))/12),IF(INDEX('Lease Cycles'!$EF$31:$EL$31,1,BY401)=1,IF(AND('Lease Cycles'!$AZ$31&gt;=INDEX('Lease Cycles'!$BG$31:$BM$31,1,BY401),'Lease Cycles'!$AZ$31&lt;=BY$6),'Lease Cycles'!$C$31*'Lease Cycles'!$BA$31/12,IF(AND('Lease Cycles'!$AX$31&gt;=INDEX('Lease Cycles'!$BG$31:$BM$31,1,BY401),'Lease Cycles'!$AX$31&lt;=BY$6),'Lease Cycles'!$C$31*'Lease Cycles'!$AY$31/12,IF(AND('Lease Cycles'!$AV$31&gt;=INDEX('Lease Cycles'!$BG$31:$BM$31,1,BY401),'Lease Cycles'!$AV$31&lt;=BY$6),'Lease Cycles'!$C$31*'Lease Cycles'!$AW$31/12,IF(AND('Lease Cycles'!$AT$31&gt;=INDEX('Lease Cycles'!$BG$31:$BM$31,1,BY401),'Lease Cycles'!$AT$31&lt;=BY$6),'Lease Cycles'!$C$31*'Lease Cycles'!$AU$31/12,'Lease Cycles'!$C$31*INDEX('Lease Cycles'!$CB$31:$CH$31,1,BY401)*(1+INDEX('Lease Cycles'!$CI$31:$CO$31,1,BY401))^INT(INT(BY402/12)/INDEX('Lease Cycles'!$CP$31:$CV$31,1,BY401))/12)))),'Lease Cycles'!$C$31*INDEX('Lease Cycles'!$CB$31:$CH$31,1,BY401)*(1+INDEX('Lease Cycles'!$CI$31:$CO$31,1,BY401))^INT(INT(BY402/12)/INDEX('Lease Cycles'!$CP$31:$CV$31,1,BY401))/12))),IF('Lease Cycles'!$N$31=1,'Lease Cycles'!$C$31*'Lease Cycles'!$E$31*INDEX('Lease Cycles'!$HE$31:$HK$31,1,BY401)*(1+INDEX('Lease Cycles'!$GQ$31:$GW$31,1,BY401))^INT(INT((BY$6-INDEX('Lease Cycles'!$GJ$31:$GP$31,1,BY401))/12)/INDEX('Lease Cycles'!$GX$31:$HD$31,1,BY401))/12,0)))</f>
        <v>0</v>
      </c>
      <c r="BZ404" s="28">
        <f>IF(BZ401=0,IF('Lease Cycles'!$F$31&gt;0,'Lease Cycles'!$C$31*'Lease Cycles'!$E$31/12,0),IF(BZ403=1,IF('Lease Cycles'!$AT$31&gt;=9999,'Lease Cycles'!$C$31*INDEX('Lease Cycles'!$CB$31:$CH$31,1,BZ401)*(1+INDEX('Lease Cycles'!$CI$31:$CO$31,1,BZ401))^INT(INT(BZ402/12)/INDEX('Lease Cycles'!$CP$31:$CV$31,1,BZ401))/12,IF(BZ401=1,IF(BZ402&gt;=INDEX('Lease Cycles'!$DK$31:$DQ$31,1,BZ401),IF(BZ$6&gt;='Lease Cycles'!$AZ$31,'Lease Cycles'!$C$31*'Lease Cycles'!$BA$31/12,IF(BZ$6&gt;='Lease Cycles'!$AX$31,'Lease Cycles'!$C$31*'Lease Cycles'!$AY$31/12,IF(BZ$6&gt;='Lease Cycles'!$AV$31,'Lease Cycles'!$C$31*'Lease Cycles'!$AW$31/12,IF(BZ$6&gt;='Lease Cycles'!$AT$31,'Lease Cycles'!$C$31*'Lease Cycles'!$AU$31/12,'Lease Cycles'!$C$31*INDEX('Lease Cycles'!$CB$31:$CH$31,1,BZ401)*(1+INDEX('Lease Cycles'!$CI$31:$CO$31,1,BZ401))^INT(INT(BZ402/12)/INDEX('Lease Cycles'!$CP$31:$CV$31,1,BZ401))/12)))),'Lease Cycles'!$C$31*INDEX('Lease Cycles'!$CB$31:$CH$31,1,BZ401)*(1+INDEX('Lease Cycles'!$CI$31:$CO$31,1,BZ401))^INT(INT(BZ402/12)/INDEX('Lease Cycles'!$CP$31:$CV$31,1,BZ401))/12),IF(INDEX('Lease Cycles'!$EF$31:$EL$31,1,BZ401)=1,IF(AND('Lease Cycles'!$AZ$31&gt;=INDEX('Lease Cycles'!$BG$31:$BM$31,1,BZ401),'Lease Cycles'!$AZ$31&lt;=BZ$6),'Lease Cycles'!$C$31*'Lease Cycles'!$BA$31/12,IF(AND('Lease Cycles'!$AX$31&gt;=INDEX('Lease Cycles'!$BG$31:$BM$31,1,BZ401),'Lease Cycles'!$AX$31&lt;=BZ$6),'Lease Cycles'!$C$31*'Lease Cycles'!$AY$31/12,IF(AND('Lease Cycles'!$AV$31&gt;=INDEX('Lease Cycles'!$BG$31:$BM$31,1,BZ401),'Lease Cycles'!$AV$31&lt;=BZ$6),'Lease Cycles'!$C$31*'Lease Cycles'!$AW$31/12,IF(AND('Lease Cycles'!$AT$31&gt;=INDEX('Lease Cycles'!$BG$31:$BM$31,1,BZ401),'Lease Cycles'!$AT$31&lt;=BZ$6),'Lease Cycles'!$C$31*'Lease Cycles'!$AU$31/12,'Lease Cycles'!$C$31*INDEX('Lease Cycles'!$CB$31:$CH$31,1,BZ401)*(1+INDEX('Lease Cycles'!$CI$31:$CO$31,1,BZ401))^INT(INT(BZ402/12)/INDEX('Lease Cycles'!$CP$31:$CV$31,1,BZ401))/12)))),'Lease Cycles'!$C$31*INDEX('Lease Cycles'!$CB$31:$CH$31,1,BZ401)*(1+INDEX('Lease Cycles'!$CI$31:$CO$31,1,BZ401))^INT(INT(BZ402/12)/INDEX('Lease Cycles'!$CP$31:$CV$31,1,BZ401))/12))),IF('Lease Cycles'!$N$31=1,'Lease Cycles'!$C$31*'Lease Cycles'!$E$31*INDEX('Lease Cycles'!$HE$31:$HK$31,1,BZ401)*(1+INDEX('Lease Cycles'!$GQ$31:$GW$31,1,BZ401))^INT(INT((BZ$6-INDEX('Lease Cycles'!$GJ$31:$GP$31,1,BZ401))/12)/INDEX('Lease Cycles'!$GX$31:$HD$31,1,BZ401))/12,0)))</f>
        <v>0</v>
      </c>
      <c r="CA404" s="28">
        <f>IF(CA401=0,IF('Lease Cycles'!$F$31&gt;0,'Lease Cycles'!$C$31*'Lease Cycles'!$E$31/12,0),IF(CA403=1,IF('Lease Cycles'!$AT$31&gt;=9999,'Lease Cycles'!$C$31*INDEX('Lease Cycles'!$CB$31:$CH$31,1,CA401)*(1+INDEX('Lease Cycles'!$CI$31:$CO$31,1,CA401))^INT(INT(CA402/12)/INDEX('Lease Cycles'!$CP$31:$CV$31,1,CA401))/12,IF(CA401=1,IF(CA402&gt;=INDEX('Lease Cycles'!$DK$31:$DQ$31,1,CA401),IF(CA$6&gt;='Lease Cycles'!$AZ$31,'Lease Cycles'!$C$31*'Lease Cycles'!$BA$31/12,IF(CA$6&gt;='Lease Cycles'!$AX$31,'Lease Cycles'!$C$31*'Lease Cycles'!$AY$31/12,IF(CA$6&gt;='Lease Cycles'!$AV$31,'Lease Cycles'!$C$31*'Lease Cycles'!$AW$31/12,IF(CA$6&gt;='Lease Cycles'!$AT$31,'Lease Cycles'!$C$31*'Lease Cycles'!$AU$31/12,'Lease Cycles'!$C$31*INDEX('Lease Cycles'!$CB$31:$CH$31,1,CA401)*(1+INDEX('Lease Cycles'!$CI$31:$CO$31,1,CA401))^INT(INT(CA402/12)/INDEX('Lease Cycles'!$CP$31:$CV$31,1,CA401))/12)))),'Lease Cycles'!$C$31*INDEX('Lease Cycles'!$CB$31:$CH$31,1,CA401)*(1+INDEX('Lease Cycles'!$CI$31:$CO$31,1,CA401))^INT(INT(CA402/12)/INDEX('Lease Cycles'!$CP$31:$CV$31,1,CA401))/12),IF(INDEX('Lease Cycles'!$EF$31:$EL$31,1,CA401)=1,IF(AND('Lease Cycles'!$AZ$31&gt;=INDEX('Lease Cycles'!$BG$31:$BM$31,1,CA401),'Lease Cycles'!$AZ$31&lt;=CA$6),'Lease Cycles'!$C$31*'Lease Cycles'!$BA$31/12,IF(AND('Lease Cycles'!$AX$31&gt;=INDEX('Lease Cycles'!$BG$31:$BM$31,1,CA401),'Lease Cycles'!$AX$31&lt;=CA$6),'Lease Cycles'!$C$31*'Lease Cycles'!$AY$31/12,IF(AND('Lease Cycles'!$AV$31&gt;=INDEX('Lease Cycles'!$BG$31:$BM$31,1,CA401),'Lease Cycles'!$AV$31&lt;=CA$6),'Lease Cycles'!$C$31*'Lease Cycles'!$AW$31/12,IF(AND('Lease Cycles'!$AT$31&gt;=INDEX('Lease Cycles'!$BG$31:$BM$31,1,CA401),'Lease Cycles'!$AT$31&lt;=CA$6),'Lease Cycles'!$C$31*'Lease Cycles'!$AU$31/12,'Lease Cycles'!$C$31*INDEX('Lease Cycles'!$CB$31:$CH$31,1,CA401)*(1+INDEX('Lease Cycles'!$CI$31:$CO$31,1,CA401))^INT(INT(CA402/12)/INDEX('Lease Cycles'!$CP$31:$CV$31,1,CA401))/12)))),'Lease Cycles'!$C$31*INDEX('Lease Cycles'!$CB$31:$CH$31,1,CA401)*(1+INDEX('Lease Cycles'!$CI$31:$CO$31,1,CA401))^INT(INT(CA402/12)/INDEX('Lease Cycles'!$CP$31:$CV$31,1,CA401))/12))),IF('Lease Cycles'!$N$31=1,'Lease Cycles'!$C$31*'Lease Cycles'!$E$31*INDEX('Lease Cycles'!$HE$31:$HK$31,1,CA401)*(1+INDEX('Lease Cycles'!$GQ$31:$GW$31,1,CA401))^INT(INT((CA$6-INDEX('Lease Cycles'!$GJ$31:$GP$31,1,CA401))/12)/INDEX('Lease Cycles'!$GX$31:$HD$31,1,CA401))/12,0)))</f>
        <v>0</v>
      </c>
      <c r="CB404" s="28">
        <f>IF(CB401=0,IF('Lease Cycles'!$F$31&gt;0,'Lease Cycles'!$C$31*'Lease Cycles'!$E$31/12,0),IF(CB403=1,IF('Lease Cycles'!$AT$31&gt;=9999,'Lease Cycles'!$C$31*INDEX('Lease Cycles'!$CB$31:$CH$31,1,CB401)*(1+INDEX('Lease Cycles'!$CI$31:$CO$31,1,CB401))^INT(INT(CB402/12)/INDEX('Lease Cycles'!$CP$31:$CV$31,1,CB401))/12,IF(CB401=1,IF(CB402&gt;=INDEX('Lease Cycles'!$DK$31:$DQ$31,1,CB401),IF(CB$6&gt;='Lease Cycles'!$AZ$31,'Lease Cycles'!$C$31*'Lease Cycles'!$BA$31/12,IF(CB$6&gt;='Lease Cycles'!$AX$31,'Lease Cycles'!$C$31*'Lease Cycles'!$AY$31/12,IF(CB$6&gt;='Lease Cycles'!$AV$31,'Lease Cycles'!$C$31*'Lease Cycles'!$AW$31/12,IF(CB$6&gt;='Lease Cycles'!$AT$31,'Lease Cycles'!$C$31*'Lease Cycles'!$AU$31/12,'Lease Cycles'!$C$31*INDEX('Lease Cycles'!$CB$31:$CH$31,1,CB401)*(1+INDEX('Lease Cycles'!$CI$31:$CO$31,1,CB401))^INT(INT(CB402/12)/INDEX('Lease Cycles'!$CP$31:$CV$31,1,CB401))/12)))),'Lease Cycles'!$C$31*INDEX('Lease Cycles'!$CB$31:$CH$31,1,CB401)*(1+INDEX('Lease Cycles'!$CI$31:$CO$31,1,CB401))^INT(INT(CB402/12)/INDEX('Lease Cycles'!$CP$31:$CV$31,1,CB401))/12),IF(INDEX('Lease Cycles'!$EF$31:$EL$31,1,CB401)=1,IF(AND('Lease Cycles'!$AZ$31&gt;=INDEX('Lease Cycles'!$BG$31:$BM$31,1,CB401),'Lease Cycles'!$AZ$31&lt;=CB$6),'Lease Cycles'!$C$31*'Lease Cycles'!$BA$31/12,IF(AND('Lease Cycles'!$AX$31&gt;=INDEX('Lease Cycles'!$BG$31:$BM$31,1,CB401),'Lease Cycles'!$AX$31&lt;=CB$6),'Lease Cycles'!$C$31*'Lease Cycles'!$AY$31/12,IF(AND('Lease Cycles'!$AV$31&gt;=INDEX('Lease Cycles'!$BG$31:$BM$31,1,CB401),'Lease Cycles'!$AV$31&lt;=CB$6),'Lease Cycles'!$C$31*'Lease Cycles'!$AW$31/12,IF(AND('Lease Cycles'!$AT$31&gt;=INDEX('Lease Cycles'!$BG$31:$BM$31,1,CB401),'Lease Cycles'!$AT$31&lt;=CB$6),'Lease Cycles'!$C$31*'Lease Cycles'!$AU$31/12,'Lease Cycles'!$C$31*INDEX('Lease Cycles'!$CB$31:$CH$31,1,CB401)*(1+INDEX('Lease Cycles'!$CI$31:$CO$31,1,CB401))^INT(INT(CB402/12)/INDEX('Lease Cycles'!$CP$31:$CV$31,1,CB401))/12)))),'Lease Cycles'!$C$31*INDEX('Lease Cycles'!$CB$31:$CH$31,1,CB401)*(1+INDEX('Lease Cycles'!$CI$31:$CO$31,1,CB401))^INT(INT(CB402/12)/INDEX('Lease Cycles'!$CP$31:$CV$31,1,CB401))/12))),IF('Lease Cycles'!$N$31=1,'Lease Cycles'!$C$31*'Lease Cycles'!$E$31*INDEX('Lease Cycles'!$HE$31:$HK$31,1,CB401)*(1+INDEX('Lease Cycles'!$GQ$31:$GW$31,1,CB401))^INT(INT((CB$6-INDEX('Lease Cycles'!$GJ$31:$GP$31,1,CB401))/12)/INDEX('Lease Cycles'!$GX$31:$HD$31,1,CB401))/12,0)))</f>
        <v>0</v>
      </c>
      <c r="CC404" s="28">
        <f>IF(CC401=0,IF('Lease Cycles'!$F$31&gt;0,'Lease Cycles'!$C$31*'Lease Cycles'!$E$31/12,0),IF(CC403=1,IF('Lease Cycles'!$AT$31&gt;=9999,'Lease Cycles'!$C$31*INDEX('Lease Cycles'!$CB$31:$CH$31,1,CC401)*(1+INDEX('Lease Cycles'!$CI$31:$CO$31,1,CC401))^INT(INT(CC402/12)/INDEX('Lease Cycles'!$CP$31:$CV$31,1,CC401))/12,IF(CC401=1,IF(CC402&gt;=INDEX('Lease Cycles'!$DK$31:$DQ$31,1,CC401),IF(CC$6&gt;='Lease Cycles'!$AZ$31,'Lease Cycles'!$C$31*'Lease Cycles'!$BA$31/12,IF(CC$6&gt;='Lease Cycles'!$AX$31,'Lease Cycles'!$C$31*'Lease Cycles'!$AY$31/12,IF(CC$6&gt;='Lease Cycles'!$AV$31,'Lease Cycles'!$C$31*'Lease Cycles'!$AW$31/12,IF(CC$6&gt;='Lease Cycles'!$AT$31,'Lease Cycles'!$C$31*'Lease Cycles'!$AU$31/12,'Lease Cycles'!$C$31*INDEX('Lease Cycles'!$CB$31:$CH$31,1,CC401)*(1+INDEX('Lease Cycles'!$CI$31:$CO$31,1,CC401))^INT(INT(CC402/12)/INDEX('Lease Cycles'!$CP$31:$CV$31,1,CC401))/12)))),'Lease Cycles'!$C$31*INDEX('Lease Cycles'!$CB$31:$CH$31,1,CC401)*(1+INDEX('Lease Cycles'!$CI$31:$CO$31,1,CC401))^INT(INT(CC402/12)/INDEX('Lease Cycles'!$CP$31:$CV$31,1,CC401))/12),IF(INDEX('Lease Cycles'!$EF$31:$EL$31,1,CC401)=1,IF(AND('Lease Cycles'!$AZ$31&gt;=INDEX('Lease Cycles'!$BG$31:$BM$31,1,CC401),'Lease Cycles'!$AZ$31&lt;=CC$6),'Lease Cycles'!$C$31*'Lease Cycles'!$BA$31/12,IF(AND('Lease Cycles'!$AX$31&gt;=INDEX('Lease Cycles'!$BG$31:$BM$31,1,CC401),'Lease Cycles'!$AX$31&lt;=CC$6),'Lease Cycles'!$C$31*'Lease Cycles'!$AY$31/12,IF(AND('Lease Cycles'!$AV$31&gt;=INDEX('Lease Cycles'!$BG$31:$BM$31,1,CC401),'Lease Cycles'!$AV$31&lt;=CC$6),'Lease Cycles'!$C$31*'Lease Cycles'!$AW$31/12,IF(AND('Lease Cycles'!$AT$31&gt;=INDEX('Lease Cycles'!$BG$31:$BM$31,1,CC401),'Lease Cycles'!$AT$31&lt;=CC$6),'Lease Cycles'!$C$31*'Lease Cycles'!$AU$31/12,'Lease Cycles'!$C$31*INDEX('Lease Cycles'!$CB$31:$CH$31,1,CC401)*(1+INDEX('Lease Cycles'!$CI$31:$CO$31,1,CC401))^INT(INT(CC402/12)/INDEX('Lease Cycles'!$CP$31:$CV$31,1,CC401))/12)))),'Lease Cycles'!$C$31*INDEX('Lease Cycles'!$CB$31:$CH$31,1,CC401)*(1+INDEX('Lease Cycles'!$CI$31:$CO$31,1,CC401))^INT(INT(CC402/12)/INDEX('Lease Cycles'!$CP$31:$CV$31,1,CC401))/12))),IF('Lease Cycles'!$N$31=1,'Lease Cycles'!$C$31*'Lease Cycles'!$E$31*INDEX('Lease Cycles'!$HE$31:$HK$31,1,CC401)*(1+INDEX('Lease Cycles'!$GQ$31:$GW$31,1,CC401))^INT(INT((CC$6-INDEX('Lease Cycles'!$GJ$31:$GP$31,1,CC401))/12)/INDEX('Lease Cycles'!$GX$31:$HD$31,1,CC401))/12,0)))</f>
        <v>0</v>
      </c>
      <c r="CD404" s="28">
        <f>IF(CD401=0,IF('Lease Cycles'!$F$31&gt;0,'Lease Cycles'!$C$31*'Lease Cycles'!$E$31/12,0),IF(CD403=1,IF('Lease Cycles'!$AT$31&gt;=9999,'Lease Cycles'!$C$31*INDEX('Lease Cycles'!$CB$31:$CH$31,1,CD401)*(1+INDEX('Lease Cycles'!$CI$31:$CO$31,1,CD401))^INT(INT(CD402/12)/INDEX('Lease Cycles'!$CP$31:$CV$31,1,CD401))/12,IF(CD401=1,IF(CD402&gt;=INDEX('Lease Cycles'!$DK$31:$DQ$31,1,CD401),IF(CD$6&gt;='Lease Cycles'!$AZ$31,'Lease Cycles'!$C$31*'Lease Cycles'!$BA$31/12,IF(CD$6&gt;='Lease Cycles'!$AX$31,'Lease Cycles'!$C$31*'Lease Cycles'!$AY$31/12,IF(CD$6&gt;='Lease Cycles'!$AV$31,'Lease Cycles'!$C$31*'Lease Cycles'!$AW$31/12,IF(CD$6&gt;='Lease Cycles'!$AT$31,'Lease Cycles'!$C$31*'Lease Cycles'!$AU$31/12,'Lease Cycles'!$C$31*INDEX('Lease Cycles'!$CB$31:$CH$31,1,CD401)*(1+INDEX('Lease Cycles'!$CI$31:$CO$31,1,CD401))^INT(INT(CD402/12)/INDEX('Lease Cycles'!$CP$31:$CV$31,1,CD401))/12)))),'Lease Cycles'!$C$31*INDEX('Lease Cycles'!$CB$31:$CH$31,1,CD401)*(1+INDEX('Lease Cycles'!$CI$31:$CO$31,1,CD401))^INT(INT(CD402/12)/INDEX('Lease Cycles'!$CP$31:$CV$31,1,CD401))/12),IF(INDEX('Lease Cycles'!$EF$31:$EL$31,1,CD401)=1,IF(AND('Lease Cycles'!$AZ$31&gt;=INDEX('Lease Cycles'!$BG$31:$BM$31,1,CD401),'Lease Cycles'!$AZ$31&lt;=CD$6),'Lease Cycles'!$C$31*'Lease Cycles'!$BA$31/12,IF(AND('Lease Cycles'!$AX$31&gt;=INDEX('Lease Cycles'!$BG$31:$BM$31,1,CD401),'Lease Cycles'!$AX$31&lt;=CD$6),'Lease Cycles'!$C$31*'Lease Cycles'!$AY$31/12,IF(AND('Lease Cycles'!$AV$31&gt;=INDEX('Lease Cycles'!$BG$31:$BM$31,1,CD401),'Lease Cycles'!$AV$31&lt;=CD$6),'Lease Cycles'!$C$31*'Lease Cycles'!$AW$31/12,IF(AND('Lease Cycles'!$AT$31&gt;=INDEX('Lease Cycles'!$BG$31:$BM$31,1,CD401),'Lease Cycles'!$AT$31&lt;=CD$6),'Lease Cycles'!$C$31*'Lease Cycles'!$AU$31/12,'Lease Cycles'!$C$31*INDEX('Lease Cycles'!$CB$31:$CH$31,1,CD401)*(1+INDEX('Lease Cycles'!$CI$31:$CO$31,1,CD401))^INT(INT(CD402/12)/INDEX('Lease Cycles'!$CP$31:$CV$31,1,CD401))/12)))),'Lease Cycles'!$C$31*INDEX('Lease Cycles'!$CB$31:$CH$31,1,CD401)*(1+INDEX('Lease Cycles'!$CI$31:$CO$31,1,CD401))^INT(INT(CD402/12)/INDEX('Lease Cycles'!$CP$31:$CV$31,1,CD401))/12))),IF('Lease Cycles'!$N$31=1,'Lease Cycles'!$C$31*'Lease Cycles'!$E$31*INDEX('Lease Cycles'!$HE$31:$HK$31,1,CD401)*(1+INDEX('Lease Cycles'!$GQ$31:$GW$31,1,CD401))^INT(INT((CD$6-INDEX('Lease Cycles'!$GJ$31:$GP$31,1,CD401))/12)/INDEX('Lease Cycles'!$GX$31:$HD$31,1,CD401))/12,0)))</f>
        <v>0</v>
      </c>
      <c r="CE404" s="28">
        <f>IF(CE401=0,IF('Lease Cycles'!$F$31&gt;0,'Lease Cycles'!$C$31*'Lease Cycles'!$E$31/12,0),IF(CE403=1,IF('Lease Cycles'!$AT$31&gt;=9999,'Lease Cycles'!$C$31*INDEX('Lease Cycles'!$CB$31:$CH$31,1,CE401)*(1+INDEX('Lease Cycles'!$CI$31:$CO$31,1,CE401))^INT(INT(CE402/12)/INDEX('Lease Cycles'!$CP$31:$CV$31,1,CE401))/12,IF(CE401=1,IF(CE402&gt;=INDEX('Lease Cycles'!$DK$31:$DQ$31,1,CE401),IF(CE$6&gt;='Lease Cycles'!$AZ$31,'Lease Cycles'!$C$31*'Lease Cycles'!$BA$31/12,IF(CE$6&gt;='Lease Cycles'!$AX$31,'Lease Cycles'!$C$31*'Lease Cycles'!$AY$31/12,IF(CE$6&gt;='Lease Cycles'!$AV$31,'Lease Cycles'!$C$31*'Lease Cycles'!$AW$31/12,IF(CE$6&gt;='Lease Cycles'!$AT$31,'Lease Cycles'!$C$31*'Lease Cycles'!$AU$31/12,'Lease Cycles'!$C$31*INDEX('Lease Cycles'!$CB$31:$CH$31,1,CE401)*(1+INDEX('Lease Cycles'!$CI$31:$CO$31,1,CE401))^INT(INT(CE402/12)/INDEX('Lease Cycles'!$CP$31:$CV$31,1,CE401))/12)))),'Lease Cycles'!$C$31*INDEX('Lease Cycles'!$CB$31:$CH$31,1,CE401)*(1+INDEX('Lease Cycles'!$CI$31:$CO$31,1,CE401))^INT(INT(CE402/12)/INDEX('Lease Cycles'!$CP$31:$CV$31,1,CE401))/12),IF(INDEX('Lease Cycles'!$EF$31:$EL$31,1,CE401)=1,IF(AND('Lease Cycles'!$AZ$31&gt;=INDEX('Lease Cycles'!$BG$31:$BM$31,1,CE401),'Lease Cycles'!$AZ$31&lt;=CE$6),'Lease Cycles'!$C$31*'Lease Cycles'!$BA$31/12,IF(AND('Lease Cycles'!$AX$31&gt;=INDEX('Lease Cycles'!$BG$31:$BM$31,1,CE401),'Lease Cycles'!$AX$31&lt;=CE$6),'Lease Cycles'!$C$31*'Lease Cycles'!$AY$31/12,IF(AND('Lease Cycles'!$AV$31&gt;=INDEX('Lease Cycles'!$BG$31:$BM$31,1,CE401),'Lease Cycles'!$AV$31&lt;=CE$6),'Lease Cycles'!$C$31*'Lease Cycles'!$AW$31/12,IF(AND('Lease Cycles'!$AT$31&gt;=INDEX('Lease Cycles'!$BG$31:$BM$31,1,CE401),'Lease Cycles'!$AT$31&lt;=CE$6),'Lease Cycles'!$C$31*'Lease Cycles'!$AU$31/12,'Lease Cycles'!$C$31*INDEX('Lease Cycles'!$CB$31:$CH$31,1,CE401)*(1+INDEX('Lease Cycles'!$CI$31:$CO$31,1,CE401))^INT(INT(CE402/12)/INDEX('Lease Cycles'!$CP$31:$CV$31,1,CE401))/12)))),'Lease Cycles'!$C$31*INDEX('Lease Cycles'!$CB$31:$CH$31,1,CE401)*(1+INDEX('Lease Cycles'!$CI$31:$CO$31,1,CE401))^INT(INT(CE402/12)/INDEX('Lease Cycles'!$CP$31:$CV$31,1,CE401))/12))),IF('Lease Cycles'!$N$31=1,'Lease Cycles'!$C$31*'Lease Cycles'!$E$31*INDEX('Lease Cycles'!$HE$31:$HK$31,1,CE401)*(1+INDEX('Lease Cycles'!$GQ$31:$GW$31,1,CE401))^INT(INT((CE$6-INDEX('Lease Cycles'!$GJ$31:$GP$31,1,CE401))/12)/INDEX('Lease Cycles'!$GX$31:$HD$31,1,CE401))/12,0)))</f>
        <v>0</v>
      </c>
      <c r="CF404" s="28">
        <f>IF(CF401=0,IF('Lease Cycles'!$F$31&gt;0,'Lease Cycles'!$C$31*'Lease Cycles'!$E$31/12,0),IF(CF403=1,IF('Lease Cycles'!$AT$31&gt;=9999,'Lease Cycles'!$C$31*INDEX('Lease Cycles'!$CB$31:$CH$31,1,CF401)*(1+INDEX('Lease Cycles'!$CI$31:$CO$31,1,CF401))^INT(INT(CF402/12)/INDEX('Lease Cycles'!$CP$31:$CV$31,1,CF401))/12,IF(CF401=1,IF(CF402&gt;=INDEX('Lease Cycles'!$DK$31:$DQ$31,1,CF401),IF(CF$6&gt;='Lease Cycles'!$AZ$31,'Lease Cycles'!$C$31*'Lease Cycles'!$BA$31/12,IF(CF$6&gt;='Lease Cycles'!$AX$31,'Lease Cycles'!$C$31*'Lease Cycles'!$AY$31/12,IF(CF$6&gt;='Lease Cycles'!$AV$31,'Lease Cycles'!$C$31*'Lease Cycles'!$AW$31/12,IF(CF$6&gt;='Lease Cycles'!$AT$31,'Lease Cycles'!$C$31*'Lease Cycles'!$AU$31/12,'Lease Cycles'!$C$31*INDEX('Lease Cycles'!$CB$31:$CH$31,1,CF401)*(1+INDEX('Lease Cycles'!$CI$31:$CO$31,1,CF401))^INT(INT(CF402/12)/INDEX('Lease Cycles'!$CP$31:$CV$31,1,CF401))/12)))),'Lease Cycles'!$C$31*INDEX('Lease Cycles'!$CB$31:$CH$31,1,CF401)*(1+INDEX('Lease Cycles'!$CI$31:$CO$31,1,CF401))^INT(INT(CF402/12)/INDEX('Lease Cycles'!$CP$31:$CV$31,1,CF401))/12),IF(INDEX('Lease Cycles'!$EF$31:$EL$31,1,CF401)=1,IF(AND('Lease Cycles'!$AZ$31&gt;=INDEX('Lease Cycles'!$BG$31:$BM$31,1,CF401),'Lease Cycles'!$AZ$31&lt;=CF$6),'Lease Cycles'!$C$31*'Lease Cycles'!$BA$31/12,IF(AND('Lease Cycles'!$AX$31&gt;=INDEX('Lease Cycles'!$BG$31:$BM$31,1,CF401),'Lease Cycles'!$AX$31&lt;=CF$6),'Lease Cycles'!$C$31*'Lease Cycles'!$AY$31/12,IF(AND('Lease Cycles'!$AV$31&gt;=INDEX('Lease Cycles'!$BG$31:$BM$31,1,CF401),'Lease Cycles'!$AV$31&lt;=CF$6),'Lease Cycles'!$C$31*'Lease Cycles'!$AW$31/12,IF(AND('Lease Cycles'!$AT$31&gt;=INDEX('Lease Cycles'!$BG$31:$BM$31,1,CF401),'Lease Cycles'!$AT$31&lt;=CF$6),'Lease Cycles'!$C$31*'Lease Cycles'!$AU$31/12,'Lease Cycles'!$C$31*INDEX('Lease Cycles'!$CB$31:$CH$31,1,CF401)*(1+INDEX('Lease Cycles'!$CI$31:$CO$31,1,CF401))^INT(INT(CF402/12)/INDEX('Lease Cycles'!$CP$31:$CV$31,1,CF401))/12)))),'Lease Cycles'!$C$31*INDEX('Lease Cycles'!$CB$31:$CH$31,1,CF401)*(1+INDEX('Lease Cycles'!$CI$31:$CO$31,1,CF401))^INT(INT(CF402/12)/INDEX('Lease Cycles'!$CP$31:$CV$31,1,CF401))/12))),IF('Lease Cycles'!$N$31=1,'Lease Cycles'!$C$31*'Lease Cycles'!$E$31*INDEX('Lease Cycles'!$HE$31:$HK$31,1,CF401)*(1+INDEX('Lease Cycles'!$GQ$31:$GW$31,1,CF401))^INT(INT((CF$6-INDEX('Lease Cycles'!$GJ$31:$GP$31,1,CF401))/12)/INDEX('Lease Cycles'!$GX$31:$HD$31,1,CF401))/12,0)))</f>
        <v>0</v>
      </c>
      <c r="CG404" s="28">
        <f>IF(CG401=0,IF('Lease Cycles'!$F$31&gt;0,'Lease Cycles'!$C$31*'Lease Cycles'!$E$31/12,0),IF(CG403=1,IF('Lease Cycles'!$AT$31&gt;=9999,'Lease Cycles'!$C$31*INDEX('Lease Cycles'!$CB$31:$CH$31,1,CG401)*(1+INDEX('Lease Cycles'!$CI$31:$CO$31,1,CG401))^INT(INT(CG402/12)/INDEX('Lease Cycles'!$CP$31:$CV$31,1,CG401))/12,IF(CG401=1,IF(CG402&gt;=INDEX('Lease Cycles'!$DK$31:$DQ$31,1,CG401),IF(CG$6&gt;='Lease Cycles'!$AZ$31,'Lease Cycles'!$C$31*'Lease Cycles'!$BA$31/12,IF(CG$6&gt;='Lease Cycles'!$AX$31,'Lease Cycles'!$C$31*'Lease Cycles'!$AY$31/12,IF(CG$6&gt;='Lease Cycles'!$AV$31,'Lease Cycles'!$C$31*'Lease Cycles'!$AW$31/12,IF(CG$6&gt;='Lease Cycles'!$AT$31,'Lease Cycles'!$C$31*'Lease Cycles'!$AU$31/12,'Lease Cycles'!$C$31*INDEX('Lease Cycles'!$CB$31:$CH$31,1,CG401)*(1+INDEX('Lease Cycles'!$CI$31:$CO$31,1,CG401))^INT(INT(CG402/12)/INDEX('Lease Cycles'!$CP$31:$CV$31,1,CG401))/12)))),'Lease Cycles'!$C$31*INDEX('Lease Cycles'!$CB$31:$CH$31,1,CG401)*(1+INDEX('Lease Cycles'!$CI$31:$CO$31,1,CG401))^INT(INT(CG402/12)/INDEX('Lease Cycles'!$CP$31:$CV$31,1,CG401))/12),IF(INDEX('Lease Cycles'!$EF$31:$EL$31,1,CG401)=1,IF(AND('Lease Cycles'!$AZ$31&gt;=INDEX('Lease Cycles'!$BG$31:$BM$31,1,CG401),'Lease Cycles'!$AZ$31&lt;=CG$6),'Lease Cycles'!$C$31*'Lease Cycles'!$BA$31/12,IF(AND('Lease Cycles'!$AX$31&gt;=INDEX('Lease Cycles'!$BG$31:$BM$31,1,CG401),'Lease Cycles'!$AX$31&lt;=CG$6),'Lease Cycles'!$C$31*'Lease Cycles'!$AY$31/12,IF(AND('Lease Cycles'!$AV$31&gt;=INDEX('Lease Cycles'!$BG$31:$BM$31,1,CG401),'Lease Cycles'!$AV$31&lt;=CG$6),'Lease Cycles'!$C$31*'Lease Cycles'!$AW$31/12,IF(AND('Lease Cycles'!$AT$31&gt;=INDEX('Lease Cycles'!$BG$31:$BM$31,1,CG401),'Lease Cycles'!$AT$31&lt;=CG$6),'Lease Cycles'!$C$31*'Lease Cycles'!$AU$31/12,'Lease Cycles'!$C$31*INDEX('Lease Cycles'!$CB$31:$CH$31,1,CG401)*(1+INDEX('Lease Cycles'!$CI$31:$CO$31,1,CG401))^INT(INT(CG402/12)/INDEX('Lease Cycles'!$CP$31:$CV$31,1,CG401))/12)))),'Lease Cycles'!$C$31*INDEX('Lease Cycles'!$CB$31:$CH$31,1,CG401)*(1+INDEX('Lease Cycles'!$CI$31:$CO$31,1,CG401))^INT(INT(CG402/12)/INDEX('Lease Cycles'!$CP$31:$CV$31,1,CG401))/12))),IF('Lease Cycles'!$N$31=1,'Lease Cycles'!$C$31*'Lease Cycles'!$E$31*INDEX('Lease Cycles'!$HE$31:$HK$31,1,CG401)*(1+INDEX('Lease Cycles'!$GQ$31:$GW$31,1,CG401))^INT(INT((CG$6-INDEX('Lease Cycles'!$GJ$31:$GP$31,1,CG401))/12)/INDEX('Lease Cycles'!$GX$31:$HD$31,1,CG401))/12,0)))</f>
        <v>0</v>
      </c>
      <c r="CH404" s="28">
        <f>IF(CH401=0,IF('Lease Cycles'!$F$31&gt;0,'Lease Cycles'!$C$31*'Lease Cycles'!$E$31/12,0),IF(CH403=1,IF('Lease Cycles'!$AT$31&gt;=9999,'Lease Cycles'!$C$31*INDEX('Lease Cycles'!$CB$31:$CH$31,1,CH401)*(1+INDEX('Lease Cycles'!$CI$31:$CO$31,1,CH401))^INT(INT(CH402/12)/INDEX('Lease Cycles'!$CP$31:$CV$31,1,CH401))/12,IF(CH401=1,IF(CH402&gt;=INDEX('Lease Cycles'!$DK$31:$DQ$31,1,CH401),IF(CH$6&gt;='Lease Cycles'!$AZ$31,'Lease Cycles'!$C$31*'Lease Cycles'!$BA$31/12,IF(CH$6&gt;='Lease Cycles'!$AX$31,'Lease Cycles'!$C$31*'Lease Cycles'!$AY$31/12,IF(CH$6&gt;='Lease Cycles'!$AV$31,'Lease Cycles'!$C$31*'Lease Cycles'!$AW$31/12,IF(CH$6&gt;='Lease Cycles'!$AT$31,'Lease Cycles'!$C$31*'Lease Cycles'!$AU$31/12,'Lease Cycles'!$C$31*INDEX('Lease Cycles'!$CB$31:$CH$31,1,CH401)*(1+INDEX('Lease Cycles'!$CI$31:$CO$31,1,CH401))^INT(INT(CH402/12)/INDEX('Lease Cycles'!$CP$31:$CV$31,1,CH401))/12)))),'Lease Cycles'!$C$31*INDEX('Lease Cycles'!$CB$31:$CH$31,1,CH401)*(1+INDEX('Lease Cycles'!$CI$31:$CO$31,1,CH401))^INT(INT(CH402/12)/INDEX('Lease Cycles'!$CP$31:$CV$31,1,CH401))/12),IF(INDEX('Lease Cycles'!$EF$31:$EL$31,1,CH401)=1,IF(AND('Lease Cycles'!$AZ$31&gt;=INDEX('Lease Cycles'!$BG$31:$BM$31,1,CH401),'Lease Cycles'!$AZ$31&lt;=CH$6),'Lease Cycles'!$C$31*'Lease Cycles'!$BA$31/12,IF(AND('Lease Cycles'!$AX$31&gt;=INDEX('Lease Cycles'!$BG$31:$BM$31,1,CH401),'Lease Cycles'!$AX$31&lt;=CH$6),'Lease Cycles'!$C$31*'Lease Cycles'!$AY$31/12,IF(AND('Lease Cycles'!$AV$31&gt;=INDEX('Lease Cycles'!$BG$31:$BM$31,1,CH401),'Lease Cycles'!$AV$31&lt;=CH$6),'Lease Cycles'!$C$31*'Lease Cycles'!$AW$31/12,IF(AND('Lease Cycles'!$AT$31&gt;=INDEX('Lease Cycles'!$BG$31:$BM$31,1,CH401),'Lease Cycles'!$AT$31&lt;=CH$6),'Lease Cycles'!$C$31*'Lease Cycles'!$AU$31/12,'Lease Cycles'!$C$31*INDEX('Lease Cycles'!$CB$31:$CH$31,1,CH401)*(1+INDEX('Lease Cycles'!$CI$31:$CO$31,1,CH401))^INT(INT(CH402/12)/INDEX('Lease Cycles'!$CP$31:$CV$31,1,CH401))/12)))),'Lease Cycles'!$C$31*INDEX('Lease Cycles'!$CB$31:$CH$31,1,CH401)*(1+INDEX('Lease Cycles'!$CI$31:$CO$31,1,CH401))^INT(INT(CH402/12)/INDEX('Lease Cycles'!$CP$31:$CV$31,1,CH401))/12))),IF('Lease Cycles'!$N$31=1,'Lease Cycles'!$C$31*'Lease Cycles'!$E$31*INDEX('Lease Cycles'!$HE$31:$HK$31,1,CH401)*(1+INDEX('Lease Cycles'!$GQ$31:$GW$31,1,CH401))^INT(INT((CH$6-INDEX('Lease Cycles'!$GJ$31:$GP$31,1,CH401))/12)/INDEX('Lease Cycles'!$GX$31:$HD$31,1,CH401))/12,0)))</f>
        <v>0</v>
      </c>
      <c r="CI404" s="28">
        <f>IF(CI401=0,IF('Lease Cycles'!$F$31&gt;0,'Lease Cycles'!$C$31*'Lease Cycles'!$E$31/12,0),IF(CI403=1,IF('Lease Cycles'!$AT$31&gt;=9999,'Lease Cycles'!$C$31*INDEX('Lease Cycles'!$CB$31:$CH$31,1,CI401)*(1+INDEX('Lease Cycles'!$CI$31:$CO$31,1,CI401))^INT(INT(CI402/12)/INDEX('Lease Cycles'!$CP$31:$CV$31,1,CI401))/12,IF(CI401=1,IF(CI402&gt;=INDEX('Lease Cycles'!$DK$31:$DQ$31,1,CI401),IF(CI$6&gt;='Lease Cycles'!$AZ$31,'Lease Cycles'!$C$31*'Lease Cycles'!$BA$31/12,IF(CI$6&gt;='Lease Cycles'!$AX$31,'Lease Cycles'!$C$31*'Lease Cycles'!$AY$31/12,IF(CI$6&gt;='Lease Cycles'!$AV$31,'Lease Cycles'!$C$31*'Lease Cycles'!$AW$31/12,IF(CI$6&gt;='Lease Cycles'!$AT$31,'Lease Cycles'!$C$31*'Lease Cycles'!$AU$31/12,'Lease Cycles'!$C$31*INDEX('Lease Cycles'!$CB$31:$CH$31,1,CI401)*(1+INDEX('Lease Cycles'!$CI$31:$CO$31,1,CI401))^INT(INT(CI402/12)/INDEX('Lease Cycles'!$CP$31:$CV$31,1,CI401))/12)))),'Lease Cycles'!$C$31*INDEX('Lease Cycles'!$CB$31:$CH$31,1,CI401)*(1+INDEX('Lease Cycles'!$CI$31:$CO$31,1,CI401))^INT(INT(CI402/12)/INDEX('Lease Cycles'!$CP$31:$CV$31,1,CI401))/12),IF(INDEX('Lease Cycles'!$EF$31:$EL$31,1,CI401)=1,IF(AND('Lease Cycles'!$AZ$31&gt;=INDEX('Lease Cycles'!$BG$31:$BM$31,1,CI401),'Lease Cycles'!$AZ$31&lt;=CI$6),'Lease Cycles'!$C$31*'Lease Cycles'!$BA$31/12,IF(AND('Lease Cycles'!$AX$31&gt;=INDEX('Lease Cycles'!$BG$31:$BM$31,1,CI401),'Lease Cycles'!$AX$31&lt;=CI$6),'Lease Cycles'!$C$31*'Lease Cycles'!$AY$31/12,IF(AND('Lease Cycles'!$AV$31&gt;=INDEX('Lease Cycles'!$BG$31:$BM$31,1,CI401),'Lease Cycles'!$AV$31&lt;=CI$6),'Lease Cycles'!$C$31*'Lease Cycles'!$AW$31/12,IF(AND('Lease Cycles'!$AT$31&gt;=INDEX('Lease Cycles'!$BG$31:$BM$31,1,CI401),'Lease Cycles'!$AT$31&lt;=CI$6),'Lease Cycles'!$C$31*'Lease Cycles'!$AU$31/12,'Lease Cycles'!$C$31*INDEX('Lease Cycles'!$CB$31:$CH$31,1,CI401)*(1+INDEX('Lease Cycles'!$CI$31:$CO$31,1,CI401))^INT(INT(CI402/12)/INDEX('Lease Cycles'!$CP$31:$CV$31,1,CI401))/12)))),'Lease Cycles'!$C$31*INDEX('Lease Cycles'!$CB$31:$CH$31,1,CI401)*(1+INDEX('Lease Cycles'!$CI$31:$CO$31,1,CI401))^INT(INT(CI402/12)/INDEX('Lease Cycles'!$CP$31:$CV$31,1,CI401))/12))),IF('Lease Cycles'!$N$31=1,'Lease Cycles'!$C$31*'Lease Cycles'!$E$31*INDEX('Lease Cycles'!$HE$31:$HK$31,1,CI401)*(1+INDEX('Lease Cycles'!$GQ$31:$GW$31,1,CI401))^INT(INT((CI$6-INDEX('Lease Cycles'!$GJ$31:$GP$31,1,CI401))/12)/INDEX('Lease Cycles'!$GX$31:$HD$31,1,CI401))/12,0)))</f>
        <v>0</v>
      </c>
      <c r="CJ404" s="28">
        <f>IF(CJ401=0,IF('Lease Cycles'!$F$31&gt;0,'Lease Cycles'!$C$31*'Lease Cycles'!$E$31/12,0),IF(CJ403=1,IF('Lease Cycles'!$AT$31&gt;=9999,'Lease Cycles'!$C$31*INDEX('Lease Cycles'!$CB$31:$CH$31,1,CJ401)*(1+INDEX('Lease Cycles'!$CI$31:$CO$31,1,CJ401))^INT(INT(CJ402/12)/INDEX('Lease Cycles'!$CP$31:$CV$31,1,CJ401))/12,IF(CJ401=1,IF(CJ402&gt;=INDEX('Lease Cycles'!$DK$31:$DQ$31,1,CJ401),IF(CJ$6&gt;='Lease Cycles'!$AZ$31,'Lease Cycles'!$C$31*'Lease Cycles'!$BA$31/12,IF(CJ$6&gt;='Lease Cycles'!$AX$31,'Lease Cycles'!$C$31*'Lease Cycles'!$AY$31/12,IF(CJ$6&gt;='Lease Cycles'!$AV$31,'Lease Cycles'!$C$31*'Lease Cycles'!$AW$31/12,IF(CJ$6&gt;='Lease Cycles'!$AT$31,'Lease Cycles'!$C$31*'Lease Cycles'!$AU$31/12,'Lease Cycles'!$C$31*INDEX('Lease Cycles'!$CB$31:$CH$31,1,CJ401)*(1+INDEX('Lease Cycles'!$CI$31:$CO$31,1,CJ401))^INT(INT(CJ402/12)/INDEX('Lease Cycles'!$CP$31:$CV$31,1,CJ401))/12)))),'Lease Cycles'!$C$31*INDEX('Lease Cycles'!$CB$31:$CH$31,1,CJ401)*(1+INDEX('Lease Cycles'!$CI$31:$CO$31,1,CJ401))^INT(INT(CJ402/12)/INDEX('Lease Cycles'!$CP$31:$CV$31,1,CJ401))/12),IF(INDEX('Lease Cycles'!$EF$31:$EL$31,1,CJ401)=1,IF(AND('Lease Cycles'!$AZ$31&gt;=INDEX('Lease Cycles'!$BG$31:$BM$31,1,CJ401),'Lease Cycles'!$AZ$31&lt;=CJ$6),'Lease Cycles'!$C$31*'Lease Cycles'!$BA$31/12,IF(AND('Lease Cycles'!$AX$31&gt;=INDEX('Lease Cycles'!$BG$31:$BM$31,1,CJ401),'Lease Cycles'!$AX$31&lt;=CJ$6),'Lease Cycles'!$C$31*'Lease Cycles'!$AY$31/12,IF(AND('Lease Cycles'!$AV$31&gt;=INDEX('Lease Cycles'!$BG$31:$BM$31,1,CJ401),'Lease Cycles'!$AV$31&lt;=CJ$6),'Lease Cycles'!$C$31*'Lease Cycles'!$AW$31/12,IF(AND('Lease Cycles'!$AT$31&gt;=INDEX('Lease Cycles'!$BG$31:$BM$31,1,CJ401),'Lease Cycles'!$AT$31&lt;=CJ$6),'Lease Cycles'!$C$31*'Lease Cycles'!$AU$31/12,'Lease Cycles'!$C$31*INDEX('Lease Cycles'!$CB$31:$CH$31,1,CJ401)*(1+INDEX('Lease Cycles'!$CI$31:$CO$31,1,CJ401))^INT(INT(CJ402/12)/INDEX('Lease Cycles'!$CP$31:$CV$31,1,CJ401))/12)))),'Lease Cycles'!$C$31*INDEX('Lease Cycles'!$CB$31:$CH$31,1,CJ401)*(1+INDEX('Lease Cycles'!$CI$31:$CO$31,1,CJ401))^INT(INT(CJ402/12)/INDEX('Lease Cycles'!$CP$31:$CV$31,1,CJ401))/12))),IF('Lease Cycles'!$N$31=1,'Lease Cycles'!$C$31*'Lease Cycles'!$E$31*INDEX('Lease Cycles'!$HE$31:$HK$31,1,CJ401)*(1+INDEX('Lease Cycles'!$GQ$31:$GW$31,1,CJ401))^INT(INT((CJ$6-INDEX('Lease Cycles'!$GJ$31:$GP$31,1,CJ401))/12)/INDEX('Lease Cycles'!$GX$31:$HD$31,1,CJ401))/12,0)))</f>
        <v>0</v>
      </c>
      <c r="CK404" s="28">
        <f>IF(CK401=0,IF('Lease Cycles'!$F$31&gt;0,'Lease Cycles'!$C$31*'Lease Cycles'!$E$31/12,0),IF(CK403=1,IF('Lease Cycles'!$AT$31&gt;=9999,'Lease Cycles'!$C$31*INDEX('Lease Cycles'!$CB$31:$CH$31,1,CK401)*(1+INDEX('Lease Cycles'!$CI$31:$CO$31,1,CK401))^INT(INT(CK402/12)/INDEX('Lease Cycles'!$CP$31:$CV$31,1,CK401))/12,IF(CK401=1,IF(CK402&gt;=INDEX('Lease Cycles'!$DK$31:$DQ$31,1,CK401),IF(CK$6&gt;='Lease Cycles'!$AZ$31,'Lease Cycles'!$C$31*'Lease Cycles'!$BA$31/12,IF(CK$6&gt;='Lease Cycles'!$AX$31,'Lease Cycles'!$C$31*'Lease Cycles'!$AY$31/12,IF(CK$6&gt;='Lease Cycles'!$AV$31,'Lease Cycles'!$C$31*'Lease Cycles'!$AW$31/12,IF(CK$6&gt;='Lease Cycles'!$AT$31,'Lease Cycles'!$C$31*'Lease Cycles'!$AU$31/12,'Lease Cycles'!$C$31*INDEX('Lease Cycles'!$CB$31:$CH$31,1,CK401)*(1+INDEX('Lease Cycles'!$CI$31:$CO$31,1,CK401))^INT(INT(CK402/12)/INDEX('Lease Cycles'!$CP$31:$CV$31,1,CK401))/12)))),'Lease Cycles'!$C$31*INDEX('Lease Cycles'!$CB$31:$CH$31,1,CK401)*(1+INDEX('Lease Cycles'!$CI$31:$CO$31,1,CK401))^INT(INT(CK402/12)/INDEX('Lease Cycles'!$CP$31:$CV$31,1,CK401))/12),IF(INDEX('Lease Cycles'!$EF$31:$EL$31,1,CK401)=1,IF(AND('Lease Cycles'!$AZ$31&gt;=INDEX('Lease Cycles'!$BG$31:$BM$31,1,CK401),'Lease Cycles'!$AZ$31&lt;=CK$6),'Lease Cycles'!$C$31*'Lease Cycles'!$BA$31/12,IF(AND('Lease Cycles'!$AX$31&gt;=INDEX('Lease Cycles'!$BG$31:$BM$31,1,CK401),'Lease Cycles'!$AX$31&lt;=CK$6),'Lease Cycles'!$C$31*'Lease Cycles'!$AY$31/12,IF(AND('Lease Cycles'!$AV$31&gt;=INDEX('Lease Cycles'!$BG$31:$BM$31,1,CK401),'Lease Cycles'!$AV$31&lt;=CK$6),'Lease Cycles'!$C$31*'Lease Cycles'!$AW$31/12,IF(AND('Lease Cycles'!$AT$31&gt;=INDEX('Lease Cycles'!$BG$31:$BM$31,1,CK401),'Lease Cycles'!$AT$31&lt;=CK$6),'Lease Cycles'!$C$31*'Lease Cycles'!$AU$31/12,'Lease Cycles'!$C$31*INDEX('Lease Cycles'!$CB$31:$CH$31,1,CK401)*(1+INDEX('Lease Cycles'!$CI$31:$CO$31,1,CK401))^INT(INT(CK402/12)/INDEX('Lease Cycles'!$CP$31:$CV$31,1,CK401))/12)))),'Lease Cycles'!$C$31*INDEX('Lease Cycles'!$CB$31:$CH$31,1,CK401)*(1+INDEX('Lease Cycles'!$CI$31:$CO$31,1,CK401))^INT(INT(CK402/12)/INDEX('Lease Cycles'!$CP$31:$CV$31,1,CK401))/12))),IF('Lease Cycles'!$N$31=1,'Lease Cycles'!$C$31*'Lease Cycles'!$E$31*INDEX('Lease Cycles'!$HE$31:$HK$31,1,CK401)*(1+INDEX('Lease Cycles'!$GQ$31:$GW$31,1,CK401))^INT(INT((CK$6-INDEX('Lease Cycles'!$GJ$31:$GP$31,1,CK401))/12)/INDEX('Lease Cycles'!$GX$31:$HD$31,1,CK401))/12,0)))</f>
        <v>0</v>
      </c>
      <c r="CL404" s="28">
        <f>IF(CL401=0,IF('Lease Cycles'!$F$31&gt;0,'Lease Cycles'!$C$31*'Lease Cycles'!$E$31/12,0),IF(CL403=1,IF('Lease Cycles'!$AT$31&gt;=9999,'Lease Cycles'!$C$31*INDEX('Lease Cycles'!$CB$31:$CH$31,1,CL401)*(1+INDEX('Lease Cycles'!$CI$31:$CO$31,1,CL401))^INT(INT(CL402/12)/INDEX('Lease Cycles'!$CP$31:$CV$31,1,CL401))/12,IF(CL401=1,IF(CL402&gt;=INDEX('Lease Cycles'!$DK$31:$DQ$31,1,CL401),IF(CL$6&gt;='Lease Cycles'!$AZ$31,'Lease Cycles'!$C$31*'Lease Cycles'!$BA$31/12,IF(CL$6&gt;='Lease Cycles'!$AX$31,'Lease Cycles'!$C$31*'Lease Cycles'!$AY$31/12,IF(CL$6&gt;='Lease Cycles'!$AV$31,'Lease Cycles'!$C$31*'Lease Cycles'!$AW$31/12,IF(CL$6&gt;='Lease Cycles'!$AT$31,'Lease Cycles'!$C$31*'Lease Cycles'!$AU$31/12,'Lease Cycles'!$C$31*INDEX('Lease Cycles'!$CB$31:$CH$31,1,CL401)*(1+INDEX('Lease Cycles'!$CI$31:$CO$31,1,CL401))^INT(INT(CL402/12)/INDEX('Lease Cycles'!$CP$31:$CV$31,1,CL401))/12)))),'Lease Cycles'!$C$31*INDEX('Lease Cycles'!$CB$31:$CH$31,1,CL401)*(1+INDEX('Lease Cycles'!$CI$31:$CO$31,1,CL401))^INT(INT(CL402/12)/INDEX('Lease Cycles'!$CP$31:$CV$31,1,CL401))/12),IF(INDEX('Lease Cycles'!$EF$31:$EL$31,1,CL401)=1,IF(AND('Lease Cycles'!$AZ$31&gt;=INDEX('Lease Cycles'!$BG$31:$BM$31,1,CL401),'Lease Cycles'!$AZ$31&lt;=CL$6),'Lease Cycles'!$C$31*'Lease Cycles'!$BA$31/12,IF(AND('Lease Cycles'!$AX$31&gt;=INDEX('Lease Cycles'!$BG$31:$BM$31,1,CL401),'Lease Cycles'!$AX$31&lt;=CL$6),'Lease Cycles'!$C$31*'Lease Cycles'!$AY$31/12,IF(AND('Lease Cycles'!$AV$31&gt;=INDEX('Lease Cycles'!$BG$31:$BM$31,1,CL401),'Lease Cycles'!$AV$31&lt;=CL$6),'Lease Cycles'!$C$31*'Lease Cycles'!$AW$31/12,IF(AND('Lease Cycles'!$AT$31&gt;=INDEX('Lease Cycles'!$BG$31:$BM$31,1,CL401),'Lease Cycles'!$AT$31&lt;=CL$6),'Lease Cycles'!$C$31*'Lease Cycles'!$AU$31/12,'Lease Cycles'!$C$31*INDEX('Lease Cycles'!$CB$31:$CH$31,1,CL401)*(1+INDEX('Lease Cycles'!$CI$31:$CO$31,1,CL401))^INT(INT(CL402/12)/INDEX('Lease Cycles'!$CP$31:$CV$31,1,CL401))/12)))),'Lease Cycles'!$C$31*INDEX('Lease Cycles'!$CB$31:$CH$31,1,CL401)*(1+INDEX('Lease Cycles'!$CI$31:$CO$31,1,CL401))^INT(INT(CL402/12)/INDEX('Lease Cycles'!$CP$31:$CV$31,1,CL401))/12))),IF('Lease Cycles'!$N$31=1,'Lease Cycles'!$C$31*'Lease Cycles'!$E$31*INDEX('Lease Cycles'!$HE$31:$HK$31,1,CL401)*(1+INDEX('Lease Cycles'!$GQ$31:$GW$31,1,CL401))^INT(INT((CL$6-INDEX('Lease Cycles'!$GJ$31:$GP$31,1,CL401))/12)/INDEX('Lease Cycles'!$GX$31:$HD$31,1,CL401))/12,0)))</f>
        <v>0</v>
      </c>
      <c r="CM404" s="28">
        <f>IF(CM401=0,IF('Lease Cycles'!$F$31&gt;0,'Lease Cycles'!$C$31*'Lease Cycles'!$E$31/12,0),IF(CM403=1,IF('Lease Cycles'!$AT$31&gt;=9999,'Lease Cycles'!$C$31*INDEX('Lease Cycles'!$CB$31:$CH$31,1,CM401)*(1+INDEX('Lease Cycles'!$CI$31:$CO$31,1,CM401))^INT(INT(CM402/12)/INDEX('Lease Cycles'!$CP$31:$CV$31,1,CM401))/12,IF(CM401=1,IF(CM402&gt;=INDEX('Lease Cycles'!$DK$31:$DQ$31,1,CM401),IF(CM$6&gt;='Lease Cycles'!$AZ$31,'Lease Cycles'!$C$31*'Lease Cycles'!$BA$31/12,IF(CM$6&gt;='Lease Cycles'!$AX$31,'Lease Cycles'!$C$31*'Lease Cycles'!$AY$31/12,IF(CM$6&gt;='Lease Cycles'!$AV$31,'Lease Cycles'!$C$31*'Lease Cycles'!$AW$31/12,IF(CM$6&gt;='Lease Cycles'!$AT$31,'Lease Cycles'!$C$31*'Lease Cycles'!$AU$31/12,'Lease Cycles'!$C$31*INDEX('Lease Cycles'!$CB$31:$CH$31,1,CM401)*(1+INDEX('Lease Cycles'!$CI$31:$CO$31,1,CM401))^INT(INT(CM402/12)/INDEX('Lease Cycles'!$CP$31:$CV$31,1,CM401))/12)))),'Lease Cycles'!$C$31*INDEX('Lease Cycles'!$CB$31:$CH$31,1,CM401)*(1+INDEX('Lease Cycles'!$CI$31:$CO$31,1,CM401))^INT(INT(CM402/12)/INDEX('Lease Cycles'!$CP$31:$CV$31,1,CM401))/12),IF(INDEX('Lease Cycles'!$EF$31:$EL$31,1,CM401)=1,IF(AND('Lease Cycles'!$AZ$31&gt;=INDEX('Lease Cycles'!$BG$31:$BM$31,1,CM401),'Lease Cycles'!$AZ$31&lt;=CM$6),'Lease Cycles'!$C$31*'Lease Cycles'!$BA$31/12,IF(AND('Lease Cycles'!$AX$31&gt;=INDEX('Lease Cycles'!$BG$31:$BM$31,1,CM401),'Lease Cycles'!$AX$31&lt;=CM$6),'Lease Cycles'!$C$31*'Lease Cycles'!$AY$31/12,IF(AND('Lease Cycles'!$AV$31&gt;=INDEX('Lease Cycles'!$BG$31:$BM$31,1,CM401),'Lease Cycles'!$AV$31&lt;=CM$6),'Lease Cycles'!$C$31*'Lease Cycles'!$AW$31/12,IF(AND('Lease Cycles'!$AT$31&gt;=INDEX('Lease Cycles'!$BG$31:$BM$31,1,CM401),'Lease Cycles'!$AT$31&lt;=CM$6),'Lease Cycles'!$C$31*'Lease Cycles'!$AU$31/12,'Lease Cycles'!$C$31*INDEX('Lease Cycles'!$CB$31:$CH$31,1,CM401)*(1+INDEX('Lease Cycles'!$CI$31:$CO$31,1,CM401))^INT(INT(CM402/12)/INDEX('Lease Cycles'!$CP$31:$CV$31,1,CM401))/12)))),'Lease Cycles'!$C$31*INDEX('Lease Cycles'!$CB$31:$CH$31,1,CM401)*(1+INDEX('Lease Cycles'!$CI$31:$CO$31,1,CM401))^INT(INT(CM402/12)/INDEX('Lease Cycles'!$CP$31:$CV$31,1,CM401))/12))),IF('Lease Cycles'!$N$31=1,'Lease Cycles'!$C$31*'Lease Cycles'!$E$31*INDEX('Lease Cycles'!$HE$31:$HK$31,1,CM401)*(1+INDEX('Lease Cycles'!$GQ$31:$GW$31,1,CM401))^INT(INT((CM$6-INDEX('Lease Cycles'!$GJ$31:$GP$31,1,CM401))/12)/INDEX('Lease Cycles'!$GX$31:$HD$31,1,CM401))/12,0)))</f>
        <v>0</v>
      </c>
      <c r="CN404" s="28">
        <f>IF(CN401=0,IF('Lease Cycles'!$F$31&gt;0,'Lease Cycles'!$C$31*'Lease Cycles'!$E$31/12,0),IF(CN403=1,IF('Lease Cycles'!$AT$31&gt;=9999,'Lease Cycles'!$C$31*INDEX('Lease Cycles'!$CB$31:$CH$31,1,CN401)*(1+INDEX('Lease Cycles'!$CI$31:$CO$31,1,CN401))^INT(INT(CN402/12)/INDEX('Lease Cycles'!$CP$31:$CV$31,1,CN401))/12,IF(CN401=1,IF(CN402&gt;=INDEX('Lease Cycles'!$DK$31:$DQ$31,1,CN401),IF(CN$6&gt;='Lease Cycles'!$AZ$31,'Lease Cycles'!$C$31*'Lease Cycles'!$BA$31/12,IF(CN$6&gt;='Lease Cycles'!$AX$31,'Lease Cycles'!$C$31*'Lease Cycles'!$AY$31/12,IF(CN$6&gt;='Lease Cycles'!$AV$31,'Lease Cycles'!$C$31*'Lease Cycles'!$AW$31/12,IF(CN$6&gt;='Lease Cycles'!$AT$31,'Lease Cycles'!$C$31*'Lease Cycles'!$AU$31/12,'Lease Cycles'!$C$31*INDEX('Lease Cycles'!$CB$31:$CH$31,1,CN401)*(1+INDEX('Lease Cycles'!$CI$31:$CO$31,1,CN401))^INT(INT(CN402/12)/INDEX('Lease Cycles'!$CP$31:$CV$31,1,CN401))/12)))),'Lease Cycles'!$C$31*INDEX('Lease Cycles'!$CB$31:$CH$31,1,CN401)*(1+INDEX('Lease Cycles'!$CI$31:$CO$31,1,CN401))^INT(INT(CN402/12)/INDEX('Lease Cycles'!$CP$31:$CV$31,1,CN401))/12),IF(INDEX('Lease Cycles'!$EF$31:$EL$31,1,CN401)=1,IF(AND('Lease Cycles'!$AZ$31&gt;=INDEX('Lease Cycles'!$BG$31:$BM$31,1,CN401),'Lease Cycles'!$AZ$31&lt;=CN$6),'Lease Cycles'!$C$31*'Lease Cycles'!$BA$31/12,IF(AND('Lease Cycles'!$AX$31&gt;=INDEX('Lease Cycles'!$BG$31:$BM$31,1,CN401),'Lease Cycles'!$AX$31&lt;=CN$6),'Lease Cycles'!$C$31*'Lease Cycles'!$AY$31/12,IF(AND('Lease Cycles'!$AV$31&gt;=INDEX('Lease Cycles'!$BG$31:$BM$31,1,CN401),'Lease Cycles'!$AV$31&lt;=CN$6),'Lease Cycles'!$C$31*'Lease Cycles'!$AW$31/12,IF(AND('Lease Cycles'!$AT$31&gt;=INDEX('Lease Cycles'!$BG$31:$BM$31,1,CN401),'Lease Cycles'!$AT$31&lt;=CN$6),'Lease Cycles'!$C$31*'Lease Cycles'!$AU$31/12,'Lease Cycles'!$C$31*INDEX('Lease Cycles'!$CB$31:$CH$31,1,CN401)*(1+INDEX('Lease Cycles'!$CI$31:$CO$31,1,CN401))^INT(INT(CN402/12)/INDEX('Lease Cycles'!$CP$31:$CV$31,1,CN401))/12)))),'Lease Cycles'!$C$31*INDEX('Lease Cycles'!$CB$31:$CH$31,1,CN401)*(1+INDEX('Lease Cycles'!$CI$31:$CO$31,1,CN401))^INT(INT(CN402/12)/INDEX('Lease Cycles'!$CP$31:$CV$31,1,CN401))/12))),IF('Lease Cycles'!$N$31=1,'Lease Cycles'!$C$31*'Lease Cycles'!$E$31*INDEX('Lease Cycles'!$HE$31:$HK$31,1,CN401)*(1+INDEX('Lease Cycles'!$GQ$31:$GW$31,1,CN401))^INT(INT((CN$6-INDEX('Lease Cycles'!$GJ$31:$GP$31,1,CN401))/12)/INDEX('Lease Cycles'!$GX$31:$HD$31,1,CN401))/12,0)))</f>
        <v>0</v>
      </c>
      <c r="CO404" s="28">
        <f>IF(CO401=0,IF('Lease Cycles'!$F$31&gt;0,'Lease Cycles'!$C$31*'Lease Cycles'!$E$31/12,0),IF(CO403=1,IF('Lease Cycles'!$AT$31&gt;=9999,'Lease Cycles'!$C$31*INDEX('Lease Cycles'!$CB$31:$CH$31,1,CO401)*(1+INDEX('Lease Cycles'!$CI$31:$CO$31,1,CO401))^INT(INT(CO402/12)/INDEX('Lease Cycles'!$CP$31:$CV$31,1,CO401))/12,IF(CO401=1,IF(CO402&gt;=INDEX('Lease Cycles'!$DK$31:$DQ$31,1,CO401),IF(CO$6&gt;='Lease Cycles'!$AZ$31,'Lease Cycles'!$C$31*'Lease Cycles'!$BA$31/12,IF(CO$6&gt;='Lease Cycles'!$AX$31,'Lease Cycles'!$C$31*'Lease Cycles'!$AY$31/12,IF(CO$6&gt;='Lease Cycles'!$AV$31,'Lease Cycles'!$C$31*'Lease Cycles'!$AW$31/12,IF(CO$6&gt;='Lease Cycles'!$AT$31,'Lease Cycles'!$C$31*'Lease Cycles'!$AU$31/12,'Lease Cycles'!$C$31*INDEX('Lease Cycles'!$CB$31:$CH$31,1,CO401)*(1+INDEX('Lease Cycles'!$CI$31:$CO$31,1,CO401))^INT(INT(CO402/12)/INDEX('Lease Cycles'!$CP$31:$CV$31,1,CO401))/12)))),'Lease Cycles'!$C$31*INDEX('Lease Cycles'!$CB$31:$CH$31,1,CO401)*(1+INDEX('Lease Cycles'!$CI$31:$CO$31,1,CO401))^INT(INT(CO402/12)/INDEX('Lease Cycles'!$CP$31:$CV$31,1,CO401))/12),IF(INDEX('Lease Cycles'!$EF$31:$EL$31,1,CO401)=1,IF(AND('Lease Cycles'!$AZ$31&gt;=INDEX('Lease Cycles'!$BG$31:$BM$31,1,CO401),'Lease Cycles'!$AZ$31&lt;=CO$6),'Lease Cycles'!$C$31*'Lease Cycles'!$BA$31/12,IF(AND('Lease Cycles'!$AX$31&gt;=INDEX('Lease Cycles'!$BG$31:$BM$31,1,CO401),'Lease Cycles'!$AX$31&lt;=CO$6),'Lease Cycles'!$C$31*'Lease Cycles'!$AY$31/12,IF(AND('Lease Cycles'!$AV$31&gt;=INDEX('Lease Cycles'!$BG$31:$BM$31,1,CO401),'Lease Cycles'!$AV$31&lt;=CO$6),'Lease Cycles'!$C$31*'Lease Cycles'!$AW$31/12,IF(AND('Lease Cycles'!$AT$31&gt;=INDEX('Lease Cycles'!$BG$31:$BM$31,1,CO401),'Lease Cycles'!$AT$31&lt;=CO$6),'Lease Cycles'!$C$31*'Lease Cycles'!$AU$31/12,'Lease Cycles'!$C$31*INDEX('Lease Cycles'!$CB$31:$CH$31,1,CO401)*(1+INDEX('Lease Cycles'!$CI$31:$CO$31,1,CO401))^INT(INT(CO402/12)/INDEX('Lease Cycles'!$CP$31:$CV$31,1,CO401))/12)))),'Lease Cycles'!$C$31*INDEX('Lease Cycles'!$CB$31:$CH$31,1,CO401)*(1+INDEX('Lease Cycles'!$CI$31:$CO$31,1,CO401))^INT(INT(CO402/12)/INDEX('Lease Cycles'!$CP$31:$CV$31,1,CO401))/12))),IF('Lease Cycles'!$N$31=1,'Lease Cycles'!$C$31*'Lease Cycles'!$E$31*INDEX('Lease Cycles'!$HE$31:$HK$31,1,CO401)*(1+INDEX('Lease Cycles'!$GQ$31:$GW$31,1,CO401))^INT(INT((CO$6-INDEX('Lease Cycles'!$GJ$31:$GP$31,1,CO401))/12)/INDEX('Lease Cycles'!$GX$31:$HD$31,1,CO401))/12,0)))</f>
        <v>0</v>
      </c>
      <c r="CP404" s="28">
        <f>IF(CP401=0,IF('Lease Cycles'!$F$31&gt;0,'Lease Cycles'!$C$31*'Lease Cycles'!$E$31/12,0),IF(CP403=1,IF('Lease Cycles'!$AT$31&gt;=9999,'Lease Cycles'!$C$31*INDEX('Lease Cycles'!$CB$31:$CH$31,1,CP401)*(1+INDEX('Lease Cycles'!$CI$31:$CO$31,1,CP401))^INT(INT(CP402/12)/INDEX('Lease Cycles'!$CP$31:$CV$31,1,CP401))/12,IF(CP401=1,IF(CP402&gt;=INDEX('Lease Cycles'!$DK$31:$DQ$31,1,CP401),IF(CP$6&gt;='Lease Cycles'!$AZ$31,'Lease Cycles'!$C$31*'Lease Cycles'!$BA$31/12,IF(CP$6&gt;='Lease Cycles'!$AX$31,'Lease Cycles'!$C$31*'Lease Cycles'!$AY$31/12,IF(CP$6&gt;='Lease Cycles'!$AV$31,'Lease Cycles'!$C$31*'Lease Cycles'!$AW$31/12,IF(CP$6&gt;='Lease Cycles'!$AT$31,'Lease Cycles'!$C$31*'Lease Cycles'!$AU$31/12,'Lease Cycles'!$C$31*INDEX('Lease Cycles'!$CB$31:$CH$31,1,CP401)*(1+INDEX('Lease Cycles'!$CI$31:$CO$31,1,CP401))^INT(INT(CP402/12)/INDEX('Lease Cycles'!$CP$31:$CV$31,1,CP401))/12)))),'Lease Cycles'!$C$31*INDEX('Lease Cycles'!$CB$31:$CH$31,1,CP401)*(1+INDEX('Lease Cycles'!$CI$31:$CO$31,1,CP401))^INT(INT(CP402/12)/INDEX('Lease Cycles'!$CP$31:$CV$31,1,CP401))/12),IF(INDEX('Lease Cycles'!$EF$31:$EL$31,1,CP401)=1,IF(AND('Lease Cycles'!$AZ$31&gt;=INDEX('Lease Cycles'!$BG$31:$BM$31,1,CP401),'Lease Cycles'!$AZ$31&lt;=CP$6),'Lease Cycles'!$C$31*'Lease Cycles'!$BA$31/12,IF(AND('Lease Cycles'!$AX$31&gt;=INDEX('Lease Cycles'!$BG$31:$BM$31,1,CP401),'Lease Cycles'!$AX$31&lt;=CP$6),'Lease Cycles'!$C$31*'Lease Cycles'!$AY$31/12,IF(AND('Lease Cycles'!$AV$31&gt;=INDEX('Lease Cycles'!$BG$31:$BM$31,1,CP401),'Lease Cycles'!$AV$31&lt;=CP$6),'Lease Cycles'!$C$31*'Lease Cycles'!$AW$31/12,IF(AND('Lease Cycles'!$AT$31&gt;=INDEX('Lease Cycles'!$BG$31:$BM$31,1,CP401),'Lease Cycles'!$AT$31&lt;=CP$6),'Lease Cycles'!$C$31*'Lease Cycles'!$AU$31/12,'Lease Cycles'!$C$31*INDEX('Lease Cycles'!$CB$31:$CH$31,1,CP401)*(1+INDEX('Lease Cycles'!$CI$31:$CO$31,1,CP401))^INT(INT(CP402/12)/INDEX('Lease Cycles'!$CP$31:$CV$31,1,CP401))/12)))),'Lease Cycles'!$C$31*INDEX('Lease Cycles'!$CB$31:$CH$31,1,CP401)*(1+INDEX('Lease Cycles'!$CI$31:$CO$31,1,CP401))^INT(INT(CP402/12)/INDEX('Lease Cycles'!$CP$31:$CV$31,1,CP401))/12))),IF('Lease Cycles'!$N$31=1,'Lease Cycles'!$C$31*'Lease Cycles'!$E$31*INDEX('Lease Cycles'!$HE$31:$HK$31,1,CP401)*(1+INDEX('Lease Cycles'!$GQ$31:$GW$31,1,CP401))^INT(INT((CP$6-INDEX('Lease Cycles'!$GJ$31:$GP$31,1,CP401))/12)/INDEX('Lease Cycles'!$GX$31:$HD$31,1,CP401))/12,0)))</f>
        <v>0</v>
      </c>
      <c r="CQ404" s="28">
        <f>IF(CQ401=0,IF('Lease Cycles'!$F$31&gt;0,'Lease Cycles'!$C$31*'Lease Cycles'!$E$31/12,0),IF(CQ403=1,IF('Lease Cycles'!$AT$31&gt;=9999,'Lease Cycles'!$C$31*INDEX('Lease Cycles'!$CB$31:$CH$31,1,CQ401)*(1+INDEX('Lease Cycles'!$CI$31:$CO$31,1,CQ401))^INT(INT(CQ402/12)/INDEX('Lease Cycles'!$CP$31:$CV$31,1,CQ401))/12,IF(CQ401=1,IF(CQ402&gt;=INDEX('Lease Cycles'!$DK$31:$DQ$31,1,CQ401),IF(CQ$6&gt;='Lease Cycles'!$AZ$31,'Lease Cycles'!$C$31*'Lease Cycles'!$BA$31/12,IF(CQ$6&gt;='Lease Cycles'!$AX$31,'Lease Cycles'!$C$31*'Lease Cycles'!$AY$31/12,IF(CQ$6&gt;='Lease Cycles'!$AV$31,'Lease Cycles'!$C$31*'Lease Cycles'!$AW$31/12,IF(CQ$6&gt;='Lease Cycles'!$AT$31,'Lease Cycles'!$C$31*'Lease Cycles'!$AU$31/12,'Lease Cycles'!$C$31*INDEX('Lease Cycles'!$CB$31:$CH$31,1,CQ401)*(1+INDEX('Lease Cycles'!$CI$31:$CO$31,1,CQ401))^INT(INT(CQ402/12)/INDEX('Lease Cycles'!$CP$31:$CV$31,1,CQ401))/12)))),'Lease Cycles'!$C$31*INDEX('Lease Cycles'!$CB$31:$CH$31,1,CQ401)*(1+INDEX('Lease Cycles'!$CI$31:$CO$31,1,CQ401))^INT(INT(CQ402/12)/INDEX('Lease Cycles'!$CP$31:$CV$31,1,CQ401))/12),IF(INDEX('Lease Cycles'!$EF$31:$EL$31,1,CQ401)=1,IF(AND('Lease Cycles'!$AZ$31&gt;=INDEX('Lease Cycles'!$BG$31:$BM$31,1,CQ401),'Lease Cycles'!$AZ$31&lt;=CQ$6),'Lease Cycles'!$C$31*'Lease Cycles'!$BA$31/12,IF(AND('Lease Cycles'!$AX$31&gt;=INDEX('Lease Cycles'!$BG$31:$BM$31,1,CQ401),'Lease Cycles'!$AX$31&lt;=CQ$6),'Lease Cycles'!$C$31*'Lease Cycles'!$AY$31/12,IF(AND('Lease Cycles'!$AV$31&gt;=INDEX('Lease Cycles'!$BG$31:$BM$31,1,CQ401),'Lease Cycles'!$AV$31&lt;=CQ$6),'Lease Cycles'!$C$31*'Lease Cycles'!$AW$31/12,IF(AND('Lease Cycles'!$AT$31&gt;=INDEX('Lease Cycles'!$BG$31:$BM$31,1,CQ401),'Lease Cycles'!$AT$31&lt;=CQ$6),'Lease Cycles'!$C$31*'Lease Cycles'!$AU$31/12,'Lease Cycles'!$C$31*INDEX('Lease Cycles'!$CB$31:$CH$31,1,CQ401)*(1+INDEX('Lease Cycles'!$CI$31:$CO$31,1,CQ401))^INT(INT(CQ402/12)/INDEX('Lease Cycles'!$CP$31:$CV$31,1,CQ401))/12)))),'Lease Cycles'!$C$31*INDEX('Lease Cycles'!$CB$31:$CH$31,1,CQ401)*(1+INDEX('Lease Cycles'!$CI$31:$CO$31,1,CQ401))^INT(INT(CQ402/12)/INDEX('Lease Cycles'!$CP$31:$CV$31,1,CQ401))/12))),IF('Lease Cycles'!$N$31=1,'Lease Cycles'!$C$31*'Lease Cycles'!$E$31*INDEX('Lease Cycles'!$HE$31:$HK$31,1,CQ401)*(1+INDEX('Lease Cycles'!$GQ$31:$GW$31,1,CQ401))^INT(INT((CQ$6-INDEX('Lease Cycles'!$GJ$31:$GP$31,1,CQ401))/12)/INDEX('Lease Cycles'!$GX$31:$HD$31,1,CQ401))/12,0)))</f>
        <v>0</v>
      </c>
      <c r="CR404" s="28">
        <f>IF(CR401=0,IF('Lease Cycles'!$F$31&gt;0,'Lease Cycles'!$C$31*'Lease Cycles'!$E$31/12,0),IF(CR403=1,IF('Lease Cycles'!$AT$31&gt;=9999,'Lease Cycles'!$C$31*INDEX('Lease Cycles'!$CB$31:$CH$31,1,CR401)*(1+INDEX('Lease Cycles'!$CI$31:$CO$31,1,CR401))^INT(INT(CR402/12)/INDEX('Lease Cycles'!$CP$31:$CV$31,1,CR401))/12,IF(CR401=1,IF(CR402&gt;=INDEX('Lease Cycles'!$DK$31:$DQ$31,1,CR401),IF(CR$6&gt;='Lease Cycles'!$AZ$31,'Lease Cycles'!$C$31*'Lease Cycles'!$BA$31/12,IF(CR$6&gt;='Lease Cycles'!$AX$31,'Lease Cycles'!$C$31*'Lease Cycles'!$AY$31/12,IF(CR$6&gt;='Lease Cycles'!$AV$31,'Lease Cycles'!$C$31*'Lease Cycles'!$AW$31/12,IF(CR$6&gt;='Lease Cycles'!$AT$31,'Lease Cycles'!$C$31*'Lease Cycles'!$AU$31/12,'Lease Cycles'!$C$31*INDEX('Lease Cycles'!$CB$31:$CH$31,1,CR401)*(1+INDEX('Lease Cycles'!$CI$31:$CO$31,1,CR401))^INT(INT(CR402/12)/INDEX('Lease Cycles'!$CP$31:$CV$31,1,CR401))/12)))),'Lease Cycles'!$C$31*INDEX('Lease Cycles'!$CB$31:$CH$31,1,CR401)*(1+INDEX('Lease Cycles'!$CI$31:$CO$31,1,CR401))^INT(INT(CR402/12)/INDEX('Lease Cycles'!$CP$31:$CV$31,1,CR401))/12),IF(INDEX('Lease Cycles'!$EF$31:$EL$31,1,CR401)=1,IF(AND('Lease Cycles'!$AZ$31&gt;=INDEX('Lease Cycles'!$BG$31:$BM$31,1,CR401),'Lease Cycles'!$AZ$31&lt;=CR$6),'Lease Cycles'!$C$31*'Lease Cycles'!$BA$31/12,IF(AND('Lease Cycles'!$AX$31&gt;=INDEX('Lease Cycles'!$BG$31:$BM$31,1,CR401),'Lease Cycles'!$AX$31&lt;=CR$6),'Lease Cycles'!$C$31*'Lease Cycles'!$AY$31/12,IF(AND('Lease Cycles'!$AV$31&gt;=INDEX('Lease Cycles'!$BG$31:$BM$31,1,CR401),'Lease Cycles'!$AV$31&lt;=CR$6),'Lease Cycles'!$C$31*'Lease Cycles'!$AW$31/12,IF(AND('Lease Cycles'!$AT$31&gt;=INDEX('Lease Cycles'!$BG$31:$BM$31,1,CR401),'Lease Cycles'!$AT$31&lt;=CR$6),'Lease Cycles'!$C$31*'Lease Cycles'!$AU$31/12,'Lease Cycles'!$C$31*INDEX('Lease Cycles'!$CB$31:$CH$31,1,CR401)*(1+INDEX('Lease Cycles'!$CI$31:$CO$31,1,CR401))^INT(INT(CR402/12)/INDEX('Lease Cycles'!$CP$31:$CV$31,1,CR401))/12)))),'Lease Cycles'!$C$31*INDEX('Lease Cycles'!$CB$31:$CH$31,1,CR401)*(1+INDEX('Lease Cycles'!$CI$31:$CO$31,1,CR401))^INT(INT(CR402/12)/INDEX('Lease Cycles'!$CP$31:$CV$31,1,CR401))/12))),IF('Lease Cycles'!$N$31=1,'Lease Cycles'!$C$31*'Lease Cycles'!$E$31*INDEX('Lease Cycles'!$HE$31:$HK$31,1,CR401)*(1+INDEX('Lease Cycles'!$GQ$31:$GW$31,1,CR401))^INT(INT((CR$6-INDEX('Lease Cycles'!$GJ$31:$GP$31,1,CR401))/12)/INDEX('Lease Cycles'!$GX$31:$HD$31,1,CR401))/12,0)))</f>
        <v>0</v>
      </c>
      <c r="CS404" s="28">
        <f>IF(CS401=0,IF('Lease Cycles'!$F$31&gt;0,'Lease Cycles'!$C$31*'Lease Cycles'!$E$31/12,0),IF(CS403=1,IF('Lease Cycles'!$AT$31&gt;=9999,'Lease Cycles'!$C$31*INDEX('Lease Cycles'!$CB$31:$CH$31,1,CS401)*(1+INDEX('Lease Cycles'!$CI$31:$CO$31,1,CS401))^INT(INT(CS402/12)/INDEX('Lease Cycles'!$CP$31:$CV$31,1,CS401))/12,IF(CS401=1,IF(CS402&gt;=INDEX('Lease Cycles'!$DK$31:$DQ$31,1,CS401),IF(CS$6&gt;='Lease Cycles'!$AZ$31,'Lease Cycles'!$C$31*'Lease Cycles'!$BA$31/12,IF(CS$6&gt;='Lease Cycles'!$AX$31,'Lease Cycles'!$C$31*'Lease Cycles'!$AY$31/12,IF(CS$6&gt;='Lease Cycles'!$AV$31,'Lease Cycles'!$C$31*'Lease Cycles'!$AW$31/12,IF(CS$6&gt;='Lease Cycles'!$AT$31,'Lease Cycles'!$C$31*'Lease Cycles'!$AU$31/12,'Lease Cycles'!$C$31*INDEX('Lease Cycles'!$CB$31:$CH$31,1,CS401)*(1+INDEX('Lease Cycles'!$CI$31:$CO$31,1,CS401))^INT(INT(CS402/12)/INDEX('Lease Cycles'!$CP$31:$CV$31,1,CS401))/12)))),'Lease Cycles'!$C$31*INDEX('Lease Cycles'!$CB$31:$CH$31,1,CS401)*(1+INDEX('Lease Cycles'!$CI$31:$CO$31,1,CS401))^INT(INT(CS402/12)/INDEX('Lease Cycles'!$CP$31:$CV$31,1,CS401))/12),IF(INDEX('Lease Cycles'!$EF$31:$EL$31,1,CS401)=1,IF(AND('Lease Cycles'!$AZ$31&gt;=INDEX('Lease Cycles'!$BG$31:$BM$31,1,CS401),'Lease Cycles'!$AZ$31&lt;=CS$6),'Lease Cycles'!$C$31*'Lease Cycles'!$BA$31/12,IF(AND('Lease Cycles'!$AX$31&gt;=INDEX('Lease Cycles'!$BG$31:$BM$31,1,CS401),'Lease Cycles'!$AX$31&lt;=CS$6),'Lease Cycles'!$C$31*'Lease Cycles'!$AY$31/12,IF(AND('Lease Cycles'!$AV$31&gt;=INDEX('Lease Cycles'!$BG$31:$BM$31,1,CS401),'Lease Cycles'!$AV$31&lt;=CS$6),'Lease Cycles'!$C$31*'Lease Cycles'!$AW$31/12,IF(AND('Lease Cycles'!$AT$31&gt;=INDEX('Lease Cycles'!$BG$31:$BM$31,1,CS401),'Lease Cycles'!$AT$31&lt;=CS$6),'Lease Cycles'!$C$31*'Lease Cycles'!$AU$31/12,'Lease Cycles'!$C$31*INDEX('Lease Cycles'!$CB$31:$CH$31,1,CS401)*(1+INDEX('Lease Cycles'!$CI$31:$CO$31,1,CS401))^INT(INT(CS402/12)/INDEX('Lease Cycles'!$CP$31:$CV$31,1,CS401))/12)))),'Lease Cycles'!$C$31*INDEX('Lease Cycles'!$CB$31:$CH$31,1,CS401)*(1+INDEX('Lease Cycles'!$CI$31:$CO$31,1,CS401))^INT(INT(CS402/12)/INDEX('Lease Cycles'!$CP$31:$CV$31,1,CS401))/12))),IF('Lease Cycles'!$N$31=1,'Lease Cycles'!$C$31*'Lease Cycles'!$E$31*INDEX('Lease Cycles'!$HE$31:$HK$31,1,CS401)*(1+INDEX('Lease Cycles'!$GQ$31:$GW$31,1,CS401))^INT(INT((CS$6-INDEX('Lease Cycles'!$GJ$31:$GP$31,1,CS401))/12)/INDEX('Lease Cycles'!$GX$31:$HD$31,1,CS401))/12,0)))</f>
        <v>0</v>
      </c>
      <c r="CT404" s="28">
        <f>IF(CT401=0,IF('Lease Cycles'!$F$31&gt;0,'Lease Cycles'!$C$31*'Lease Cycles'!$E$31/12,0),IF(CT403=1,IF('Lease Cycles'!$AT$31&gt;=9999,'Lease Cycles'!$C$31*INDEX('Lease Cycles'!$CB$31:$CH$31,1,CT401)*(1+INDEX('Lease Cycles'!$CI$31:$CO$31,1,CT401))^INT(INT(CT402/12)/INDEX('Lease Cycles'!$CP$31:$CV$31,1,CT401))/12,IF(CT401=1,IF(CT402&gt;=INDEX('Lease Cycles'!$DK$31:$DQ$31,1,CT401),IF(CT$6&gt;='Lease Cycles'!$AZ$31,'Lease Cycles'!$C$31*'Lease Cycles'!$BA$31/12,IF(CT$6&gt;='Lease Cycles'!$AX$31,'Lease Cycles'!$C$31*'Lease Cycles'!$AY$31/12,IF(CT$6&gt;='Lease Cycles'!$AV$31,'Lease Cycles'!$C$31*'Lease Cycles'!$AW$31/12,IF(CT$6&gt;='Lease Cycles'!$AT$31,'Lease Cycles'!$C$31*'Lease Cycles'!$AU$31/12,'Lease Cycles'!$C$31*INDEX('Lease Cycles'!$CB$31:$CH$31,1,CT401)*(1+INDEX('Lease Cycles'!$CI$31:$CO$31,1,CT401))^INT(INT(CT402/12)/INDEX('Lease Cycles'!$CP$31:$CV$31,1,CT401))/12)))),'Lease Cycles'!$C$31*INDEX('Lease Cycles'!$CB$31:$CH$31,1,CT401)*(1+INDEX('Lease Cycles'!$CI$31:$CO$31,1,CT401))^INT(INT(CT402/12)/INDEX('Lease Cycles'!$CP$31:$CV$31,1,CT401))/12),IF(INDEX('Lease Cycles'!$EF$31:$EL$31,1,CT401)=1,IF(AND('Lease Cycles'!$AZ$31&gt;=INDEX('Lease Cycles'!$BG$31:$BM$31,1,CT401),'Lease Cycles'!$AZ$31&lt;=CT$6),'Lease Cycles'!$C$31*'Lease Cycles'!$BA$31/12,IF(AND('Lease Cycles'!$AX$31&gt;=INDEX('Lease Cycles'!$BG$31:$BM$31,1,CT401),'Lease Cycles'!$AX$31&lt;=CT$6),'Lease Cycles'!$C$31*'Lease Cycles'!$AY$31/12,IF(AND('Lease Cycles'!$AV$31&gt;=INDEX('Lease Cycles'!$BG$31:$BM$31,1,CT401),'Lease Cycles'!$AV$31&lt;=CT$6),'Lease Cycles'!$C$31*'Lease Cycles'!$AW$31/12,IF(AND('Lease Cycles'!$AT$31&gt;=INDEX('Lease Cycles'!$BG$31:$BM$31,1,CT401),'Lease Cycles'!$AT$31&lt;=CT$6),'Lease Cycles'!$C$31*'Lease Cycles'!$AU$31/12,'Lease Cycles'!$C$31*INDEX('Lease Cycles'!$CB$31:$CH$31,1,CT401)*(1+INDEX('Lease Cycles'!$CI$31:$CO$31,1,CT401))^INT(INT(CT402/12)/INDEX('Lease Cycles'!$CP$31:$CV$31,1,CT401))/12)))),'Lease Cycles'!$C$31*INDEX('Lease Cycles'!$CB$31:$CH$31,1,CT401)*(1+INDEX('Lease Cycles'!$CI$31:$CO$31,1,CT401))^INT(INT(CT402/12)/INDEX('Lease Cycles'!$CP$31:$CV$31,1,CT401))/12))),IF('Lease Cycles'!$N$31=1,'Lease Cycles'!$C$31*'Lease Cycles'!$E$31*INDEX('Lease Cycles'!$HE$31:$HK$31,1,CT401)*(1+INDEX('Lease Cycles'!$GQ$31:$GW$31,1,CT401))^INT(INT((CT$6-INDEX('Lease Cycles'!$GJ$31:$GP$31,1,CT401))/12)/INDEX('Lease Cycles'!$GX$31:$HD$31,1,CT401))/12,0)))</f>
        <v>0</v>
      </c>
      <c r="CU404" s="28">
        <f>IF(CU401=0,IF('Lease Cycles'!$F$31&gt;0,'Lease Cycles'!$C$31*'Lease Cycles'!$E$31/12,0),IF(CU403=1,IF('Lease Cycles'!$AT$31&gt;=9999,'Lease Cycles'!$C$31*INDEX('Lease Cycles'!$CB$31:$CH$31,1,CU401)*(1+INDEX('Lease Cycles'!$CI$31:$CO$31,1,CU401))^INT(INT(CU402/12)/INDEX('Lease Cycles'!$CP$31:$CV$31,1,CU401))/12,IF(CU401=1,IF(CU402&gt;=INDEX('Lease Cycles'!$DK$31:$DQ$31,1,CU401),IF(CU$6&gt;='Lease Cycles'!$AZ$31,'Lease Cycles'!$C$31*'Lease Cycles'!$BA$31/12,IF(CU$6&gt;='Lease Cycles'!$AX$31,'Lease Cycles'!$C$31*'Lease Cycles'!$AY$31/12,IF(CU$6&gt;='Lease Cycles'!$AV$31,'Lease Cycles'!$C$31*'Lease Cycles'!$AW$31/12,IF(CU$6&gt;='Lease Cycles'!$AT$31,'Lease Cycles'!$C$31*'Lease Cycles'!$AU$31/12,'Lease Cycles'!$C$31*INDEX('Lease Cycles'!$CB$31:$CH$31,1,CU401)*(1+INDEX('Lease Cycles'!$CI$31:$CO$31,1,CU401))^INT(INT(CU402/12)/INDEX('Lease Cycles'!$CP$31:$CV$31,1,CU401))/12)))),'Lease Cycles'!$C$31*INDEX('Lease Cycles'!$CB$31:$CH$31,1,CU401)*(1+INDEX('Lease Cycles'!$CI$31:$CO$31,1,CU401))^INT(INT(CU402/12)/INDEX('Lease Cycles'!$CP$31:$CV$31,1,CU401))/12),IF(INDEX('Lease Cycles'!$EF$31:$EL$31,1,CU401)=1,IF(AND('Lease Cycles'!$AZ$31&gt;=INDEX('Lease Cycles'!$BG$31:$BM$31,1,CU401),'Lease Cycles'!$AZ$31&lt;=CU$6),'Lease Cycles'!$C$31*'Lease Cycles'!$BA$31/12,IF(AND('Lease Cycles'!$AX$31&gt;=INDEX('Lease Cycles'!$BG$31:$BM$31,1,CU401),'Lease Cycles'!$AX$31&lt;=CU$6),'Lease Cycles'!$C$31*'Lease Cycles'!$AY$31/12,IF(AND('Lease Cycles'!$AV$31&gt;=INDEX('Lease Cycles'!$BG$31:$BM$31,1,CU401),'Lease Cycles'!$AV$31&lt;=CU$6),'Lease Cycles'!$C$31*'Lease Cycles'!$AW$31/12,IF(AND('Lease Cycles'!$AT$31&gt;=INDEX('Lease Cycles'!$BG$31:$BM$31,1,CU401),'Lease Cycles'!$AT$31&lt;=CU$6),'Lease Cycles'!$C$31*'Lease Cycles'!$AU$31/12,'Lease Cycles'!$C$31*INDEX('Lease Cycles'!$CB$31:$CH$31,1,CU401)*(1+INDEX('Lease Cycles'!$CI$31:$CO$31,1,CU401))^INT(INT(CU402/12)/INDEX('Lease Cycles'!$CP$31:$CV$31,1,CU401))/12)))),'Lease Cycles'!$C$31*INDEX('Lease Cycles'!$CB$31:$CH$31,1,CU401)*(1+INDEX('Lease Cycles'!$CI$31:$CO$31,1,CU401))^INT(INT(CU402/12)/INDEX('Lease Cycles'!$CP$31:$CV$31,1,CU401))/12))),IF('Lease Cycles'!$N$31=1,'Lease Cycles'!$C$31*'Lease Cycles'!$E$31*INDEX('Lease Cycles'!$HE$31:$HK$31,1,CU401)*(1+INDEX('Lease Cycles'!$GQ$31:$GW$31,1,CU401))^INT(INT((CU$6-INDEX('Lease Cycles'!$GJ$31:$GP$31,1,CU401))/12)/INDEX('Lease Cycles'!$GX$31:$HD$31,1,CU401))/12,0)))</f>
        <v>0</v>
      </c>
      <c r="CV404" s="28">
        <f>IF(CV401=0,IF('Lease Cycles'!$F$31&gt;0,'Lease Cycles'!$C$31*'Lease Cycles'!$E$31/12,0),IF(CV403=1,IF('Lease Cycles'!$AT$31&gt;=9999,'Lease Cycles'!$C$31*INDEX('Lease Cycles'!$CB$31:$CH$31,1,CV401)*(1+INDEX('Lease Cycles'!$CI$31:$CO$31,1,CV401))^INT(INT(CV402/12)/INDEX('Lease Cycles'!$CP$31:$CV$31,1,CV401))/12,IF(CV401=1,IF(CV402&gt;=INDEX('Lease Cycles'!$DK$31:$DQ$31,1,CV401),IF(CV$6&gt;='Lease Cycles'!$AZ$31,'Lease Cycles'!$C$31*'Lease Cycles'!$BA$31/12,IF(CV$6&gt;='Lease Cycles'!$AX$31,'Lease Cycles'!$C$31*'Lease Cycles'!$AY$31/12,IF(CV$6&gt;='Lease Cycles'!$AV$31,'Lease Cycles'!$C$31*'Lease Cycles'!$AW$31/12,IF(CV$6&gt;='Lease Cycles'!$AT$31,'Lease Cycles'!$C$31*'Lease Cycles'!$AU$31/12,'Lease Cycles'!$C$31*INDEX('Lease Cycles'!$CB$31:$CH$31,1,CV401)*(1+INDEX('Lease Cycles'!$CI$31:$CO$31,1,CV401))^INT(INT(CV402/12)/INDEX('Lease Cycles'!$CP$31:$CV$31,1,CV401))/12)))),'Lease Cycles'!$C$31*INDEX('Lease Cycles'!$CB$31:$CH$31,1,CV401)*(1+INDEX('Lease Cycles'!$CI$31:$CO$31,1,CV401))^INT(INT(CV402/12)/INDEX('Lease Cycles'!$CP$31:$CV$31,1,CV401))/12),IF(INDEX('Lease Cycles'!$EF$31:$EL$31,1,CV401)=1,IF(AND('Lease Cycles'!$AZ$31&gt;=INDEX('Lease Cycles'!$BG$31:$BM$31,1,CV401),'Lease Cycles'!$AZ$31&lt;=CV$6),'Lease Cycles'!$C$31*'Lease Cycles'!$BA$31/12,IF(AND('Lease Cycles'!$AX$31&gt;=INDEX('Lease Cycles'!$BG$31:$BM$31,1,CV401),'Lease Cycles'!$AX$31&lt;=CV$6),'Lease Cycles'!$C$31*'Lease Cycles'!$AY$31/12,IF(AND('Lease Cycles'!$AV$31&gt;=INDEX('Lease Cycles'!$BG$31:$BM$31,1,CV401),'Lease Cycles'!$AV$31&lt;=CV$6),'Lease Cycles'!$C$31*'Lease Cycles'!$AW$31/12,IF(AND('Lease Cycles'!$AT$31&gt;=INDEX('Lease Cycles'!$BG$31:$BM$31,1,CV401),'Lease Cycles'!$AT$31&lt;=CV$6),'Lease Cycles'!$C$31*'Lease Cycles'!$AU$31/12,'Lease Cycles'!$C$31*INDEX('Lease Cycles'!$CB$31:$CH$31,1,CV401)*(1+INDEX('Lease Cycles'!$CI$31:$CO$31,1,CV401))^INT(INT(CV402/12)/INDEX('Lease Cycles'!$CP$31:$CV$31,1,CV401))/12)))),'Lease Cycles'!$C$31*INDEX('Lease Cycles'!$CB$31:$CH$31,1,CV401)*(1+INDEX('Lease Cycles'!$CI$31:$CO$31,1,CV401))^INT(INT(CV402/12)/INDEX('Lease Cycles'!$CP$31:$CV$31,1,CV401))/12))),IF('Lease Cycles'!$N$31=1,'Lease Cycles'!$C$31*'Lease Cycles'!$E$31*INDEX('Lease Cycles'!$HE$31:$HK$31,1,CV401)*(1+INDEX('Lease Cycles'!$GQ$31:$GW$31,1,CV401))^INT(INT((CV$6-INDEX('Lease Cycles'!$GJ$31:$GP$31,1,CV401))/12)/INDEX('Lease Cycles'!$GX$31:$HD$31,1,CV401))/12,0)))</f>
        <v>0</v>
      </c>
      <c r="CW404" s="28">
        <f>IF(CW401=0,IF('Lease Cycles'!$F$31&gt;0,'Lease Cycles'!$C$31*'Lease Cycles'!$E$31/12,0),IF(CW403=1,IF('Lease Cycles'!$AT$31&gt;=9999,'Lease Cycles'!$C$31*INDEX('Lease Cycles'!$CB$31:$CH$31,1,CW401)*(1+INDEX('Lease Cycles'!$CI$31:$CO$31,1,CW401))^INT(INT(CW402/12)/INDEX('Lease Cycles'!$CP$31:$CV$31,1,CW401))/12,IF(CW401=1,IF(CW402&gt;=INDEX('Lease Cycles'!$DK$31:$DQ$31,1,CW401),IF(CW$6&gt;='Lease Cycles'!$AZ$31,'Lease Cycles'!$C$31*'Lease Cycles'!$BA$31/12,IF(CW$6&gt;='Lease Cycles'!$AX$31,'Lease Cycles'!$C$31*'Lease Cycles'!$AY$31/12,IF(CW$6&gt;='Lease Cycles'!$AV$31,'Lease Cycles'!$C$31*'Lease Cycles'!$AW$31/12,IF(CW$6&gt;='Lease Cycles'!$AT$31,'Lease Cycles'!$C$31*'Lease Cycles'!$AU$31/12,'Lease Cycles'!$C$31*INDEX('Lease Cycles'!$CB$31:$CH$31,1,CW401)*(1+INDEX('Lease Cycles'!$CI$31:$CO$31,1,CW401))^INT(INT(CW402/12)/INDEX('Lease Cycles'!$CP$31:$CV$31,1,CW401))/12)))),'Lease Cycles'!$C$31*INDEX('Lease Cycles'!$CB$31:$CH$31,1,CW401)*(1+INDEX('Lease Cycles'!$CI$31:$CO$31,1,CW401))^INT(INT(CW402/12)/INDEX('Lease Cycles'!$CP$31:$CV$31,1,CW401))/12),IF(INDEX('Lease Cycles'!$EF$31:$EL$31,1,CW401)=1,IF(AND('Lease Cycles'!$AZ$31&gt;=INDEX('Lease Cycles'!$BG$31:$BM$31,1,CW401),'Lease Cycles'!$AZ$31&lt;=CW$6),'Lease Cycles'!$C$31*'Lease Cycles'!$BA$31/12,IF(AND('Lease Cycles'!$AX$31&gt;=INDEX('Lease Cycles'!$BG$31:$BM$31,1,CW401),'Lease Cycles'!$AX$31&lt;=CW$6),'Lease Cycles'!$C$31*'Lease Cycles'!$AY$31/12,IF(AND('Lease Cycles'!$AV$31&gt;=INDEX('Lease Cycles'!$BG$31:$BM$31,1,CW401),'Lease Cycles'!$AV$31&lt;=CW$6),'Lease Cycles'!$C$31*'Lease Cycles'!$AW$31/12,IF(AND('Lease Cycles'!$AT$31&gt;=INDEX('Lease Cycles'!$BG$31:$BM$31,1,CW401),'Lease Cycles'!$AT$31&lt;=CW$6),'Lease Cycles'!$C$31*'Lease Cycles'!$AU$31/12,'Lease Cycles'!$C$31*INDEX('Lease Cycles'!$CB$31:$CH$31,1,CW401)*(1+INDEX('Lease Cycles'!$CI$31:$CO$31,1,CW401))^INT(INT(CW402/12)/INDEX('Lease Cycles'!$CP$31:$CV$31,1,CW401))/12)))),'Lease Cycles'!$C$31*INDEX('Lease Cycles'!$CB$31:$CH$31,1,CW401)*(1+INDEX('Lease Cycles'!$CI$31:$CO$31,1,CW401))^INT(INT(CW402/12)/INDEX('Lease Cycles'!$CP$31:$CV$31,1,CW401))/12))),IF('Lease Cycles'!$N$31=1,'Lease Cycles'!$C$31*'Lease Cycles'!$E$31*INDEX('Lease Cycles'!$HE$31:$HK$31,1,CW401)*(1+INDEX('Lease Cycles'!$GQ$31:$GW$31,1,CW401))^INT(INT((CW$6-INDEX('Lease Cycles'!$GJ$31:$GP$31,1,CW401))/12)/INDEX('Lease Cycles'!$GX$31:$HD$31,1,CW401))/12,0)))</f>
        <v>0</v>
      </c>
      <c r="CX404" s="28">
        <f>IF(CX401=0,IF('Lease Cycles'!$F$31&gt;0,'Lease Cycles'!$C$31*'Lease Cycles'!$E$31/12,0),IF(CX403=1,IF('Lease Cycles'!$AT$31&gt;=9999,'Lease Cycles'!$C$31*INDEX('Lease Cycles'!$CB$31:$CH$31,1,CX401)*(1+INDEX('Lease Cycles'!$CI$31:$CO$31,1,CX401))^INT(INT(CX402/12)/INDEX('Lease Cycles'!$CP$31:$CV$31,1,CX401))/12,IF(CX401=1,IF(CX402&gt;=INDEX('Lease Cycles'!$DK$31:$DQ$31,1,CX401),IF(CX$6&gt;='Lease Cycles'!$AZ$31,'Lease Cycles'!$C$31*'Lease Cycles'!$BA$31/12,IF(CX$6&gt;='Lease Cycles'!$AX$31,'Lease Cycles'!$C$31*'Lease Cycles'!$AY$31/12,IF(CX$6&gt;='Lease Cycles'!$AV$31,'Lease Cycles'!$C$31*'Lease Cycles'!$AW$31/12,IF(CX$6&gt;='Lease Cycles'!$AT$31,'Lease Cycles'!$C$31*'Lease Cycles'!$AU$31/12,'Lease Cycles'!$C$31*INDEX('Lease Cycles'!$CB$31:$CH$31,1,CX401)*(1+INDEX('Lease Cycles'!$CI$31:$CO$31,1,CX401))^INT(INT(CX402/12)/INDEX('Lease Cycles'!$CP$31:$CV$31,1,CX401))/12)))),'Lease Cycles'!$C$31*INDEX('Lease Cycles'!$CB$31:$CH$31,1,CX401)*(1+INDEX('Lease Cycles'!$CI$31:$CO$31,1,CX401))^INT(INT(CX402/12)/INDEX('Lease Cycles'!$CP$31:$CV$31,1,CX401))/12),IF(INDEX('Lease Cycles'!$EF$31:$EL$31,1,CX401)=1,IF(AND('Lease Cycles'!$AZ$31&gt;=INDEX('Lease Cycles'!$BG$31:$BM$31,1,CX401),'Lease Cycles'!$AZ$31&lt;=CX$6),'Lease Cycles'!$C$31*'Lease Cycles'!$BA$31/12,IF(AND('Lease Cycles'!$AX$31&gt;=INDEX('Lease Cycles'!$BG$31:$BM$31,1,CX401),'Lease Cycles'!$AX$31&lt;=CX$6),'Lease Cycles'!$C$31*'Lease Cycles'!$AY$31/12,IF(AND('Lease Cycles'!$AV$31&gt;=INDEX('Lease Cycles'!$BG$31:$BM$31,1,CX401),'Lease Cycles'!$AV$31&lt;=CX$6),'Lease Cycles'!$C$31*'Lease Cycles'!$AW$31/12,IF(AND('Lease Cycles'!$AT$31&gt;=INDEX('Lease Cycles'!$BG$31:$BM$31,1,CX401),'Lease Cycles'!$AT$31&lt;=CX$6),'Lease Cycles'!$C$31*'Lease Cycles'!$AU$31/12,'Lease Cycles'!$C$31*INDEX('Lease Cycles'!$CB$31:$CH$31,1,CX401)*(1+INDEX('Lease Cycles'!$CI$31:$CO$31,1,CX401))^INT(INT(CX402/12)/INDEX('Lease Cycles'!$CP$31:$CV$31,1,CX401))/12)))),'Lease Cycles'!$C$31*INDEX('Lease Cycles'!$CB$31:$CH$31,1,CX401)*(1+INDEX('Lease Cycles'!$CI$31:$CO$31,1,CX401))^INT(INT(CX402/12)/INDEX('Lease Cycles'!$CP$31:$CV$31,1,CX401))/12))),IF('Lease Cycles'!$N$31=1,'Lease Cycles'!$C$31*'Lease Cycles'!$E$31*INDEX('Lease Cycles'!$HE$31:$HK$31,1,CX401)*(1+INDEX('Lease Cycles'!$GQ$31:$GW$31,1,CX401))^INT(INT((CX$6-INDEX('Lease Cycles'!$GJ$31:$GP$31,1,CX401))/12)/INDEX('Lease Cycles'!$GX$31:$HD$31,1,CX401))/12,0)))</f>
        <v>0</v>
      </c>
      <c r="CY404" s="28">
        <f>IF(CY401=0,IF('Lease Cycles'!$F$31&gt;0,'Lease Cycles'!$C$31*'Lease Cycles'!$E$31/12,0),IF(CY403=1,IF('Lease Cycles'!$AT$31&gt;=9999,'Lease Cycles'!$C$31*INDEX('Lease Cycles'!$CB$31:$CH$31,1,CY401)*(1+INDEX('Lease Cycles'!$CI$31:$CO$31,1,CY401))^INT(INT(CY402/12)/INDEX('Lease Cycles'!$CP$31:$CV$31,1,CY401))/12,IF(CY401=1,IF(CY402&gt;=INDEX('Lease Cycles'!$DK$31:$DQ$31,1,CY401),IF(CY$6&gt;='Lease Cycles'!$AZ$31,'Lease Cycles'!$C$31*'Lease Cycles'!$BA$31/12,IF(CY$6&gt;='Lease Cycles'!$AX$31,'Lease Cycles'!$C$31*'Lease Cycles'!$AY$31/12,IF(CY$6&gt;='Lease Cycles'!$AV$31,'Lease Cycles'!$C$31*'Lease Cycles'!$AW$31/12,IF(CY$6&gt;='Lease Cycles'!$AT$31,'Lease Cycles'!$C$31*'Lease Cycles'!$AU$31/12,'Lease Cycles'!$C$31*INDEX('Lease Cycles'!$CB$31:$CH$31,1,CY401)*(1+INDEX('Lease Cycles'!$CI$31:$CO$31,1,CY401))^INT(INT(CY402/12)/INDEX('Lease Cycles'!$CP$31:$CV$31,1,CY401))/12)))),'Lease Cycles'!$C$31*INDEX('Lease Cycles'!$CB$31:$CH$31,1,CY401)*(1+INDEX('Lease Cycles'!$CI$31:$CO$31,1,CY401))^INT(INT(CY402/12)/INDEX('Lease Cycles'!$CP$31:$CV$31,1,CY401))/12),IF(INDEX('Lease Cycles'!$EF$31:$EL$31,1,CY401)=1,IF(AND('Lease Cycles'!$AZ$31&gt;=INDEX('Lease Cycles'!$BG$31:$BM$31,1,CY401),'Lease Cycles'!$AZ$31&lt;=CY$6),'Lease Cycles'!$C$31*'Lease Cycles'!$BA$31/12,IF(AND('Lease Cycles'!$AX$31&gt;=INDEX('Lease Cycles'!$BG$31:$BM$31,1,CY401),'Lease Cycles'!$AX$31&lt;=CY$6),'Lease Cycles'!$C$31*'Lease Cycles'!$AY$31/12,IF(AND('Lease Cycles'!$AV$31&gt;=INDEX('Lease Cycles'!$BG$31:$BM$31,1,CY401),'Lease Cycles'!$AV$31&lt;=CY$6),'Lease Cycles'!$C$31*'Lease Cycles'!$AW$31/12,IF(AND('Lease Cycles'!$AT$31&gt;=INDEX('Lease Cycles'!$BG$31:$BM$31,1,CY401),'Lease Cycles'!$AT$31&lt;=CY$6),'Lease Cycles'!$C$31*'Lease Cycles'!$AU$31/12,'Lease Cycles'!$C$31*INDEX('Lease Cycles'!$CB$31:$CH$31,1,CY401)*(1+INDEX('Lease Cycles'!$CI$31:$CO$31,1,CY401))^INT(INT(CY402/12)/INDEX('Lease Cycles'!$CP$31:$CV$31,1,CY401))/12)))),'Lease Cycles'!$C$31*INDEX('Lease Cycles'!$CB$31:$CH$31,1,CY401)*(1+INDEX('Lease Cycles'!$CI$31:$CO$31,1,CY401))^INT(INT(CY402/12)/INDEX('Lease Cycles'!$CP$31:$CV$31,1,CY401))/12))),IF('Lease Cycles'!$N$31=1,'Lease Cycles'!$C$31*'Lease Cycles'!$E$31*INDEX('Lease Cycles'!$HE$31:$HK$31,1,CY401)*(1+INDEX('Lease Cycles'!$GQ$31:$GW$31,1,CY401))^INT(INT((CY$6-INDEX('Lease Cycles'!$GJ$31:$GP$31,1,CY401))/12)/INDEX('Lease Cycles'!$GX$31:$HD$31,1,CY401))/12,0)))</f>
        <v>0</v>
      </c>
      <c r="CZ404" s="28">
        <f>IF(CZ401=0,IF('Lease Cycles'!$F$31&gt;0,'Lease Cycles'!$C$31*'Lease Cycles'!$E$31/12,0),IF(CZ403=1,IF('Lease Cycles'!$AT$31&gt;=9999,'Lease Cycles'!$C$31*INDEX('Lease Cycles'!$CB$31:$CH$31,1,CZ401)*(1+INDEX('Lease Cycles'!$CI$31:$CO$31,1,CZ401))^INT(INT(CZ402/12)/INDEX('Lease Cycles'!$CP$31:$CV$31,1,CZ401))/12,IF(CZ401=1,IF(CZ402&gt;=INDEX('Lease Cycles'!$DK$31:$DQ$31,1,CZ401),IF(CZ$6&gt;='Lease Cycles'!$AZ$31,'Lease Cycles'!$C$31*'Lease Cycles'!$BA$31/12,IF(CZ$6&gt;='Lease Cycles'!$AX$31,'Lease Cycles'!$C$31*'Lease Cycles'!$AY$31/12,IF(CZ$6&gt;='Lease Cycles'!$AV$31,'Lease Cycles'!$C$31*'Lease Cycles'!$AW$31/12,IF(CZ$6&gt;='Lease Cycles'!$AT$31,'Lease Cycles'!$C$31*'Lease Cycles'!$AU$31/12,'Lease Cycles'!$C$31*INDEX('Lease Cycles'!$CB$31:$CH$31,1,CZ401)*(1+INDEX('Lease Cycles'!$CI$31:$CO$31,1,CZ401))^INT(INT(CZ402/12)/INDEX('Lease Cycles'!$CP$31:$CV$31,1,CZ401))/12)))),'Lease Cycles'!$C$31*INDEX('Lease Cycles'!$CB$31:$CH$31,1,CZ401)*(1+INDEX('Lease Cycles'!$CI$31:$CO$31,1,CZ401))^INT(INT(CZ402/12)/INDEX('Lease Cycles'!$CP$31:$CV$31,1,CZ401))/12),IF(INDEX('Lease Cycles'!$EF$31:$EL$31,1,CZ401)=1,IF(AND('Lease Cycles'!$AZ$31&gt;=INDEX('Lease Cycles'!$BG$31:$BM$31,1,CZ401),'Lease Cycles'!$AZ$31&lt;=CZ$6),'Lease Cycles'!$C$31*'Lease Cycles'!$BA$31/12,IF(AND('Lease Cycles'!$AX$31&gt;=INDEX('Lease Cycles'!$BG$31:$BM$31,1,CZ401),'Lease Cycles'!$AX$31&lt;=CZ$6),'Lease Cycles'!$C$31*'Lease Cycles'!$AY$31/12,IF(AND('Lease Cycles'!$AV$31&gt;=INDEX('Lease Cycles'!$BG$31:$BM$31,1,CZ401),'Lease Cycles'!$AV$31&lt;=CZ$6),'Lease Cycles'!$C$31*'Lease Cycles'!$AW$31/12,IF(AND('Lease Cycles'!$AT$31&gt;=INDEX('Lease Cycles'!$BG$31:$BM$31,1,CZ401),'Lease Cycles'!$AT$31&lt;=CZ$6),'Lease Cycles'!$C$31*'Lease Cycles'!$AU$31/12,'Lease Cycles'!$C$31*INDEX('Lease Cycles'!$CB$31:$CH$31,1,CZ401)*(1+INDEX('Lease Cycles'!$CI$31:$CO$31,1,CZ401))^INT(INT(CZ402/12)/INDEX('Lease Cycles'!$CP$31:$CV$31,1,CZ401))/12)))),'Lease Cycles'!$C$31*INDEX('Lease Cycles'!$CB$31:$CH$31,1,CZ401)*(1+INDEX('Lease Cycles'!$CI$31:$CO$31,1,CZ401))^INT(INT(CZ402/12)/INDEX('Lease Cycles'!$CP$31:$CV$31,1,CZ401))/12))),IF('Lease Cycles'!$N$31=1,'Lease Cycles'!$C$31*'Lease Cycles'!$E$31*INDEX('Lease Cycles'!$HE$31:$HK$31,1,CZ401)*(1+INDEX('Lease Cycles'!$GQ$31:$GW$31,1,CZ401))^INT(INT((CZ$6-INDEX('Lease Cycles'!$GJ$31:$GP$31,1,CZ401))/12)/INDEX('Lease Cycles'!$GX$31:$HD$31,1,CZ401))/12,0)))</f>
        <v>0</v>
      </c>
      <c r="DA404" s="28">
        <f>IF(DA401=0,IF('Lease Cycles'!$F$31&gt;0,'Lease Cycles'!$C$31*'Lease Cycles'!$E$31/12,0),IF(DA403=1,IF('Lease Cycles'!$AT$31&gt;=9999,'Lease Cycles'!$C$31*INDEX('Lease Cycles'!$CB$31:$CH$31,1,DA401)*(1+INDEX('Lease Cycles'!$CI$31:$CO$31,1,DA401))^INT(INT(DA402/12)/INDEX('Lease Cycles'!$CP$31:$CV$31,1,DA401))/12,IF(DA401=1,IF(DA402&gt;=INDEX('Lease Cycles'!$DK$31:$DQ$31,1,DA401),IF(DA$6&gt;='Lease Cycles'!$AZ$31,'Lease Cycles'!$C$31*'Lease Cycles'!$BA$31/12,IF(DA$6&gt;='Lease Cycles'!$AX$31,'Lease Cycles'!$C$31*'Lease Cycles'!$AY$31/12,IF(DA$6&gt;='Lease Cycles'!$AV$31,'Lease Cycles'!$C$31*'Lease Cycles'!$AW$31/12,IF(DA$6&gt;='Lease Cycles'!$AT$31,'Lease Cycles'!$C$31*'Lease Cycles'!$AU$31/12,'Lease Cycles'!$C$31*INDEX('Lease Cycles'!$CB$31:$CH$31,1,DA401)*(1+INDEX('Lease Cycles'!$CI$31:$CO$31,1,DA401))^INT(INT(DA402/12)/INDEX('Lease Cycles'!$CP$31:$CV$31,1,DA401))/12)))),'Lease Cycles'!$C$31*INDEX('Lease Cycles'!$CB$31:$CH$31,1,DA401)*(1+INDEX('Lease Cycles'!$CI$31:$CO$31,1,DA401))^INT(INT(DA402/12)/INDEX('Lease Cycles'!$CP$31:$CV$31,1,DA401))/12),IF(INDEX('Lease Cycles'!$EF$31:$EL$31,1,DA401)=1,IF(AND('Lease Cycles'!$AZ$31&gt;=INDEX('Lease Cycles'!$BG$31:$BM$31,1,DA401),'Lease Cycles'!$AZ$31&lt;=DA$6),'Lease Cycles'!$C$31*'Lease Cycles'!$BA$31/12,IF(AND('Lease Cycles'!$AX$31&gt;=INDEX('Lease Cycles'!$BG$31:$BM$31,1,DA401),'Lease Cycles'!$AX$31&lt;=DA$6),'Lease Cycles'!$C$31*'Lease Cycles'!$AY$31/12,IF(AND('Lease Cycles'!$AV$31&gt;=INDEX('Lease Cycles'!$BG$31:$BM$31,1,DA401),'Lease Cycles'!$AV$31&lt;=DA$6),'Lease Cycles'!$C$31*'Lease Cycles'!$AW$31/12,IF(AND('Lease Cycles'!$AT$31&gt;=INDEX('Lease Cycles'!$BG$31:$BM$31,1,DA401),'Lease Cycles'!$AT$31&lt;=DA$6),'Lease Cycles'!$C$31*'Lease Cycles'!$AU$31/12,'Lease Cycles'!$C$31*INDEX('Lease Cycles'!$CB$31:$CH$31,1,DA401)*(1+INDEX('Lease Cycles'!$CI$31:$CO$31,1,DA401))^INT(INT(DA402/12)/INDEX('Lease Cycles'!$CP$31:$CV$31,1,DA401))/12)))),'Lease Cycles'!$C$31*INDEX('Lease Cycles'!$CB$31:$CH$31,1,DA401)*(1+INDEX('Lease Cycles'!$CI$31:$CO$31,1,DA401))^INT(INT(DA402/12)/INDEX('Lease Cycles'!$CP$31:$CV$31,1,DA401))/12))),IF('Lease Cycles'!$N$31=1,'Lease Cycles'!$C$31*'Lease Cycles'!$E$31*INDEX('Lease Cycles'!$HE$31:$HK$31,1,DA401)*(1+INDEX('Lease Cycles'!$GQ$31:$GW$31,1,DA401))^INT(INT((DA$6-INDEX('Lease Cycles'!$GJ$31:$GP$31,1,DA401))/12)/INDEX('Lease Cycles'!$GX$31:$HD$31,1,DA401))/12,0)))</f>
        <v>0</v>
      </c>
      <c r="DB404" s="28">
        <f>IF(DB401=0,IF('Lease Cycles'!$F$31&gt;0,'Lease Cycles'!$C$31*'Lease Cycles'!$E$31/12,0),IF(DB403=1,IF('Lease Cycles'!$AT$31&gt;=9999,'Lease Cycles'!$C$31*INDEX('Lease Cycles'!$CB$31:$CH$31,1,DB401)*(1+INDEX('Lease Cycles'!$CI$31:$CO$31,1,DB401))^INT(INT(DB402/12)/INDEX('Lease Cycles'!$CP$31:$CV$31,1,DB401))/12,IF(DB401=1,IF(DB402&gt;=INDEX('Lease Cycles'!$DK$31:$DQ$31,1,DB401),IF(DB$6&gt;='Lease Cycles'!$AZ$31,'Lease Cycles'!$C$31*'Lease Cycles'!$BA$31/12,IF(DB$6&gt;='Lease Cycles'!$AX$31,'Lease Cycles'!$C$31*'Lease Cycles'!$AY$31/12,IF(DB$6&gt;='Lease Cycles'!$AV$31,'Lease Cycles'!$C$31*'Lease Cycles'!$AW$31/12,IF(DB$6&gt;='Lease Cycles'!$AT$31,'Lease Cycles'!$C$31*'Lease Cycles'!$AU$31/12,'Lease Cycles'!$C$31*INDEX('Lease Cycles'!$CB$31:$CH$31,1,DB401)*(1+INDEX('Lease Cycles'!$CI$31:$CO$31,1,DB401))^INT(INT(DB402/12)/INDEX('Lease Cycles'!$CP$31:$CV$31,1,DB401))/12)))),'Lease Cycles'!$C$31*INDEX('Lease Cycles'!$CB$31:$CH$31,1,DB401)*(1+INDEX('Lease Cycles'!$CI$31:$CO$31,1,DB401))^INT(INT(DB402/12)/INDEX('Lease Cycles'!$CP$31:$CV$31,1,DB401))/12),IF(INDEX('Lease Cycles'!$EF$31:$EL$31,1,DB401)=1,IF(AND('Lease Cycles'!$AZ$31&gt;=INDEX('Lease Cycles'!$BG$31:$BM$31,1,DB401),'Lease Cycles'!$AZ$31&lt;=DB$6),'Lease Cycles'!$C$31*'Lease Cycles'!$BA$31/12,IF(AND('Lease Cycles'!$AX$31&gt;=INDEX('Lease Cycles'!$BG$31:$BM$31,1,DB401),'Lease Cycles'!$AX$31&lt;=DB$6),'Lease Cycles'!$C$31*'Lease Cycles'!$AY$31/12,IF(AND('Lease Cycles'!$AV$31&gt;=INDEX('Lease Cycles'!$BG$31:$BM$31,1,DB401),'Lease Cycles'!$AV$31&lt;=DB$6),'Lease Cycles'!$C$31*'Lease Cycles'!$AW$31/12,IF(AND('Lease Cycles'!$AT$31&gt;=INDEX('Lease Cycles'!$BG$31:$BM$31,1,DB401),'Lease Cycles'!$AT$31&lt;=DB$6),'Lease Cycles'!$C$31*'Lease Cycles'!$AU$31/12,'Lease Cycles'!$C$31*INDEX('Lease Cycles'!$CB$31:$CH$31,1,DB401)*(1+INDEX('Lease Cycles'!$CI$31:$CO$31,1,DB401))^INT(INT(DB402/12)/INDEX('Lease Cycles'!$CP$31:$CV$31,1,DB401))/12)))),'Lease Cycles'!$C$31*INDEX('Lease Cycles'!$CB$31:$CH$31,1,DB401)*(1+INDEX('Lease Cycles'!$CI$31:$CO$31,1,DB401))^INT(INT(DB402/12)/INDEX('Lease Cycles'!$CP$31:$CV$31,1,DB401))/12))),IF('Lease Cycles'!$N$31=1,'Lease Cycles'!$C$31*'Lease Cycles'!$E$31*INDEX('Lease Cycles'!$HE$31:$HK$31,1,DB401)*(1+INDEX('Lease Cycles'!$GQ$31:$GW$31,1,DB401))^INT(INT((DB$6-INDEX('Lease Cycles'!$GJ$31:$GP$31,1,DB401))/12)/INDEX('Lease Cycles'!$GX$31:$HD$31,1,DB401))/12,0)))</f>
        <v>0</v>
      </c>
      <c r="DC404" s="28">
        <f>IF(DC401=0,IF('Lease Cycles'!$F$31&gt;0,'Lease Cycles'!$C$31*'Lease Cycles'!$E$31/12,0),IF(DC403=1,IF('Lease Cycles'!$AT$31&gt;=9999,'Lease Cycles'!$C$31*INDEX('Lease Cycles'!$CB$31:$CH$31,1,DC401)*(1+INDEX('Lease Cycles'!$CI$31:$CO$31,1,DC401))^INT(INT(DC402/12)/INDEX('Lease Cycles'!$CP$31:$CV$31,1,DC401))/12,IF(DC401=1,IF(DC402&gt;=INDEX('Lease Cycles'!$DK$31:$DQ$31,1,DC401),IF(DC$6&gt;='Lease Cycles'!$AZ$31,'Lease Cycles'!$C$31*'Lease Cycles'!$BA$31/12,IF(DC$6&gt;='Lease Cycles'!$AX$31,'Lease Cycles'!$C$31*'Lease Cycles'!$AY$31/12,IF(DC$6&gt;='Lease Cycles'!$AV$31,'Lease Cycles'!$C$31*'Lease Cycles'!$AW$31/12,IF(DC$6&gt;='Lease Cycles'!$AT$31,'Lease Cycles'!$C$31*'Lease Cycles'!$AU$31/12,'Lease Cycles'!$C$31*INDEX('Lease Cycles'!$CB$31:$CH$31,1,DC401)*(1+INDEX('Lease Cycles'!$CI$31:$CO$31,1,DC401))^INT(INT(DC402/12)/INDEX('Lease Cycles'!$CP$31:$CV$31,1,DC401))/12)))),'Lease Cycles'!$C$31*INDEX('Lease Cycles'!$CB$31:$CH$31,1,DC401)*(1+INDEX('Lease Cycles'!$CI$31:$CO$31,1,DC401))^INT(INT(DC402/12)/INDEX('Lease Cycles'!$CP$31:$CV$31,1,DC401))/12),IF(INDEX('Lease Cycles'!$EF$31:$EL$31,1,DC401)=1,IF(AND('Lease Cycles'!$AZ$31&gt;=INDEX('Lease Cycles'!$BG$31:$BM$31,1,DC401),'Lease Cycles'!$AZ$31&lt;=DC$6),'Lease Cycles'!$C$31*'Lease Cycles'!$BA$31/12,IF(AND('Lease Cycles'!$AX$31&gt;=INDEX('Lease Cycles'!$BG$31:$BM$31,1,DC401),'Lease Cycles'!$AX$31&lt;=DC$6),'Lease Cycles'!$C$31*'Lease Cycles'!$AY$31/12,IF(AND('Lease Cycles'!$AV$31&gt;=INDEX('Lease Cycles'!$BG$31:$BM$31,1,DC401),'Lease Cycles'!$AV$31&lt;=DC$6),'Lease Cycles'!$C$31*'Lease Cycles'!$AW$31/12,IF(AND('Lease Cycles'!$AT$31&gt;=INDEX('Lease Cycles'!$BG$31:$BM$31,1,DC401),'Lease Cycles'!$AT$31&lt;=DC$6),'Lease Cycles'!$C$31*'Lease Cycles'!$AU$31/12,'Lease Cycles'!$C$31*INDEX('Lease Cycles'!$CB$31:$CH$31,1,DC401)*(1+INDEX('Lease Cycles'!$CI$31:$CO$31,1,DC401))^INT(INT(DC402/12)/INDEX('Lease Cycles'!$CP$31:$CV$31,1,DC401))/12)))),'Lease Cycles'!$C$31*INDEX('Lease Cycles'!$CB$31:$CH$31,1,DC401)*(1+INDEX('Lease Cycles'!$CI$31:$CO$31,1,DC401))^INT(INT(DC402/12)/INDEX('Lease Cycles'!$CP$31:$CV$31,1,DC401))/12))),IF('Lease Cycles'!$N$31=1,'Lease Cycles'!$C$31*'Lease Cycles'!$E$31*INDEX('Lease Cycles'!$HE$31:$HK$31,1,DC401)*(1+INDEX('Lease Cycles'!$GQ$31:$GW$31,1,DC401))^INT(INT((DC$6-INDEX('Lease Cycles'!$GJ$31:$GP$31,1,DC401))/12)/INDEX('Lease Cycles'!$GX$31:$HD$31,1,DC401))/12,0)))</f>
        <v>0</v>
      </c>
      <c r="DD404" s="28">
        <f>IF(DD401=0,IF('Lease Cycles'!$F$31&gt;0,'Lease Cycles'!$C$31*'Lease Cycles'!$E$31/12,0),IF(DD403=1,IF('Lease Cycles'!$AT$31&gt;=9999,'Lease Cycles'!$C$31*INDEX('Lease Cycles'!$CB$31:$CH$31,1,DD401)*(1+INDEX('Lease Cycles'!$CI$31:$CO$31,1,DD401))^INT(INT(DD402/12)/INDEX('Lease Cycles'!$CP$31:$CV$31,1,DD401))/12,IF(DD401=1,IF(DD402&gt;=INDEX('Lease Cycles'!$DK$31:$DQ$31,1,DD401),IF(DD$6&gt;='Lease Cycles'!$AZ$31,'Lease Cycles'!$C$31*'Lease Cycles'!$BA$31/12,IF(DD$6&gt;='Lease Cycles'!$AX$31,'Lease Cycles'!$C$31*'Lease Cycles'!$AY$31/12,IF(DD$6&gt;='Lease Cycles'!$AV$31,'Lease Cycles'!$C$31*'Lease Cycles'!$AW$31/12,IF(DD$6&gt;='Lease Cycles'!$AT$31,'Lease Cycles'!$C$31*'Lease Cycles'!$AU$31/12,'Lease Cycles'!$C$31*INDEX('Lease Cycles'!$CB$31:$CH$31,1,DD401)*(1+INDEX('Lease Cycles'!$CI$31:$CO$31,1,DD401))^INT(INT(DD402/12)/INDEX('Lease Cycles'!$CP$31:$CV$31,1,DD401))/12)))),'Lease Cycles'!$C$31*INDEX('Lease Cycles'!$CB$31:$CH$31,1,DD401)*(1+INDEX('Lease Cycles'!$CI$31:$CO$31,1,DD401))^INT(INT(DD402/12)/INDEX('Lease Cycles'!$CP$31:$CV$31,1,DD401))/12),IF(INDEX('Lease Cycles'!$EF$31:$EL$31,1,DD401)=1,IF(AND('Lease Cycles'!$AZ$31&gt;=INDEX('Lease Cycles'!$BG$31:$BM$31,1,DD401),'Lease Cycles'!$AZ$31&lt;=DD$6),'Lease Cycles'!$C$31*'Lease Cycles'!$BA$31/12,IF(AND('Lease Cycles'!$AX$31&gt;=INDEX('Lease Cycles'!$BG$31:$BM$31,1,DD401),'Lease Cycles'!$AX$31&lt;=DD$6),'Lease Cycles'!$C$31*'Lease Cycles'!$AY$31/12,IF(AND('Lease Cycles'!$AV$31&gt;=INDEX('Lease Cycles'!$BG$31:$BM$31,1,DD401),'Lease Cycles'!$AV$31&lt;=DD$6),'Lease Cycles'!$C$31*'Lease Cycles'!$AW$31/12,IF(AND('Lease Cycles'!$AT$31&gt;=INDEX('Lease Cycles'!$BG$31:$BM$31,1,DD401),'Lease Cycles'!$AT$31&lt;=DD$6),'Lease Cycles'!$C$31*'Lease Cycles'!$AU$31/12,'Lease Cycles'!$C$31*INDEX('Lease Cycles'!$CB$31:$CH$31,1,DD401)*(1+INDEX('Lease Cycles'!$CI$31:$CO$31,1,DD401))^INT(INT(DD402/12)/INDEX('Lease Cycles'!$CP$31:$CV$31,1,DD401))/12)))),'Lease Cycles'!$C$31*INDEX('Lease Cycles'!$CB$31:$CH$31,1,DD401)*(1+INDEX('Lease Cycles'!$CI$31:$CO$31,1,DD401))^INT(INT(DD402/12)/INDEX('Lease Cycles'!$CP$31:$CV$31,1,DD401))/12))),IF('Lease Cycles'!$N$31=1,'Lease Cycles'!$C$31*'Lease Cycles'!$E$31*INDEX('Lease Cycles'!$HE$31:$HK$31,1,DD401)*(1+INDEX('Lease Cycles'!$GQ$31:$GW$31,1,DD401))^INT(INT((DD$6-INDEX('Lease Cycles'!$GJ$31:$GP$31,1,DD401))/12)/INDEX('Lease Cycles'!$GX$31:$HD$31,1,DD401))/12,0)))</f>
        <v>0</v>
      </c>
      <c r="DE404" s="28">
        <f>IF(DE401=0,IF('Lease Cycles'!$F$31&gt;0,'Lease Cycles'!$C$31*'Lease Cycles'!$E$31/12,0),IF(DE403=1,IF('Lease Cycles'!$AT$31&gt;=9999,'Lease Cycles'!$C$31*INDEX('Lease Cycles'!$CB$31:$CH$31,1,DE401)*(1+INDEX('Lease Cycles'!$CI$31:$CO$31,1,DE401))^INT(INT(DE402/12)/INDEX('Lease Cycles'!$CP$31:$CV$31,1,DE401))/12,IF(DE401=1,IF(DE402&gt;=INDEX('Lease Cycles'!$DK$31:$DQ$31,1,DE401),IF(DE$6&gt;='Lease Cycles'!$AZ$31,'Lease Cycles'!$C$31*'Lease Cycles'!$BA$31/12,IF(DE$6&gt;='Lease Cycles'!$AX$31,'Lease Cycles'!$C$31*'Lease Cycles'!$AY$31/12,IF(DE$6&gt;='Lease Cycles'!$AV$31,'Lease Cycles'!$C$31*'Lease Cycles'!$AW$31/12,IF(DE$6&gt;='Lease Cycles'!$AT$31,'Lease Cycles'!$C$31*'Lease Cycles'!$AU$31/12,'Lease Cycles'!$C$31*INDEX('Lease Cycles'!$CB$31:$CH$31,1,DE401)*(1+INDEX('Lease Cycles'!$CI$31:$CO$31,1,DE401))^INT(INT(DE402/12)/INDEX('Lease Cycles'!$CP$31:$CV$31,1,DE401))/12)))),'Lease Cycles'!$C$31*INDEX('Lease Cycles'!$CB$31:$CH$31,1,DE401)*(1+INDEX('Lease Cycles'!$CI$31:$CO$31,1,DE401))^INT(INT(DE402/12)/INDEX('Lease Cycles'!$CP$31:$CV$31,1,DE401))/12),IF(INDEX('Lease Cycles'!$EF$31:$EL$31,1,DE401)=1,IF(AND('Lease Cycles'!$AZ$31&gt;=INDEX('Lease Cycles'!$BG$31:$BM$31,1,DE401),'Lease Cycles'!$AZ$31&lt;=DE$6),'Lease Cycles'!$C$31*'Lease Cycles'!$BA$31/12,IF(AND('Lease Cycles'!$AX$31&gt;=INDEX('Lease Cycles'!$BG$31:$BM$31,1,DE401),'Lease Cycles'!$AX$31&lt;=DE$6),'Lease Cycles'!$C$31*'Lease Cycles'!$AY$31/12,IF(AND('Lease Cycles'!$AV$31&gt;=INDEX('Lease Cycles'!$BG$31:$BM$31,1,DE401),'Lease Cycles'!$AV$31&lt;=DE$6),'Lease Cycles'!$C$31*'Lease Cycles'!$AW$31/12,IF(AND('Lease Cycles'!$AT$31&gt;=INDEX('Lease Cycles'!$BG$31:$BM$31,1,DE401),'Lease Cycles'!$AT$31&lt;=DE$6),'Lease Cycles'!$C$31*'Lease Cycles'!$AU$31/12,'Lease Cycles'!$C$31*INDEX('Lease Cycles'!$CB$31:$CH$31,1,DE401)*(1+INDEX('Lease Cycles'!$CI$31:$CO$31,1,DE401))^INT(INT(DE402/12)/INDEX('Lease Cycles'!$CP$31:$CV$31,1,DE401))/12)))),'Lease Cycles'!$C$31*INDEX('Lease Cycles'!$CB$31:$CH$31,1,DE401)*(1+INDEX('Lease Cycles'!$CI$31:$CO$31,1,DE401))^INT(INT(DE402/12)/INDEX('Lease Cycles'!$CP$31:$CV$31,1,DE401))/12))),IF('Lease Cycles'!$N$31=1,'Lease Cycles'!$C$31*'Lease Cycles'!$E$31*INDEX('Lease Cycles'!$HE$31:$HK$31,1,DE401)*(1+INDEX('Lease Cycles'!$GQ$31:$GW$31,1,DE401))^INT(INT((DE$6-INDEX('Lease Cycles'!$GJ$31:$GP$31,1,DE401))/12)/INDEX('Lease Cycles'!$GX$31:$HD$31,1,DE401))/12,0)))</f>
        <v>0</v>
      </c>
      <c r="DF404" s="28">
        <f>IF(DF401=0,IF('Lease Cycles'!$F$31&gt;0,'Lease Cycles'!$C$31*'Lease Cycles'!$E$31/12,0),IF(DF403=1,IF('Lease Cycles'!$AT$31&gt;=9999,'Lease Cycles'!$C$31*INDEX('Lease Cycles'!$CB$31:$CH$31,1,DF401)*(1+INDEX('Lease Cycles'!$CI$31:$CO$31,1,DF401))^INT(INT(DF402/12)/INDEX('Lease Cycles'!$CP$31:$CV$31,1,DF401))/12,IF(DF401=1,IF(DF402&gt;=INDEX('Lease Cycles'!$DK$31:$DQ$31,1,DF401),IF(DF$6&gt;='Lease Cycles'!$AZ$31,'Lease Cycles'!$C$31*'Lease Cycles'!$BA$31/12,IF(DF$6&gt;='Lease Cycles'!$AX$31,'Lease Cycles'!$C$31*'Lease Cycles'!$AY$31/12,IF(DF$6&gt;='Lease Cycles'!$AV$31,'Lease Cycles'!$C$31*'Lease Cycles'!$AW$31/12,IF(DF$6&gt;='Lease Cycles'!$AT$31,'Lease Cycles'!$C$31*'Lease Cycles'!$AU$31/12,'Lease Cycles'!$C$31*INDEX('Lease Cycles'!$CB$31:$CH$31,1,DF401)*(1+INDEX('Lease Cycles'!$CI$31:$CO$31,1,DF401))^INT(INT(DF402/12)/INDEX('Lease Cycles'!$CP$31:$CV$31,1,DF401))/12)))),'Lease Cycles'!$C$31*INDEX('Lease Cycles'!$CB$31:$CH$31,1,DF401)*(1+INDEX('Lease Cycles'!$CI$31:$CO$31,1,DF401))^INT(INT(DF402/12)/INDEX('Lease Cycles'!$CP$31:$CV$31,1,DF401))/12),IF(INDEX('Lease Cycles'!$EF$31:$EL$31,1,DF401)=1,IF(AND('Lease Cycles'!$AZ$31&gt;=INDEX('Lease Cycles'!$BG$31:$BM$31,1,DF401),'Lease Cycles'!$AZ$31&lt;=DF$6),'Lease Cycles'!$C$31*'Lease Cycles'!$BA$31/12,IF(AND('Lease Cycles'!$AX$31&gt;=INDEX('Lease Cycles'!$BG$31:$BM$31,1,DF401),'Lease Cycles'!$AX$31&lt;=DF$6),'Lease Cycles'!$C$31*'Lease Cycles'!$AY$31/12,IF(AND('Lease Cycles'!$AV$31&gt;=INDEX('Lease Cycles'!$BG$31:$BM$31,1,DF401),'Lease Cycles'!$AV$31&lt;=DF$6),'Lease Cycles'!$C$31*'Lease Cycles'!$AW$31/12,IF(AND('Lease Cycles'!$AT$31&gt;=INDEX('Lease Cycles'!$BG$31:$BM$31,1,DF401),'Lease Cycles'!$AT$31&lt;=DF$6),'Lease Cycles'!$C$31*'Lease Cycles'!$AU$31/12,'Lease Cycles'!$C$31*INDEX('Lease Cycles'!$CB$31:$CH$31,1,DF401)*(1+INDEX('Lease Cycles'!$CI$31:$CO$31,1,DF401))^INT(INT(DF402/12)/INDEX('Lease Cycles'!$CP$31:$CV$31,1,DF401))/12)))),'Lease Cycles'!$C$31*INDEX('Lease Cycles'!$CB$31:$CH$31,1,DF401)*(1+INDEX('Lease Cycles'!$CI$31:$CO$31,1,DF401))^INT(INT(DF402/12)/INDEX('Lease Cycles'!$CP$31:$CV$31,1,DF401))/12))),IF('Lease Cycles'!$N$31=1,'Lease Cycles'!$C$31*'Lease Cycles'!$E$31*INDEX('Lease Cycles'!$HE$31:$HK$31,1,DF401)*(1+INDEX('Lease Cycles'!$GQ$31:$GW$31,1,DF401))^INT(INT((DF$6-INDEX('Lease Cycles'!$GJ$31:$GP$31,1,DF401))/12)/INDEX('Lease Cycles'!$GX$31:$HD$31,1,DF401))/12,0)))</f>
        <v>0</v>
      </c>
      <c r="DG404" s="28">
        <f>IF(DG401=0,IF('Lease Cycles'!$F$31&gt;0,'Lease Cycles'!$C$31*'Lease Cycles'!$E$31/12,0),IF(DG403=1,IF('Lease Cycles'!$AT$31&gt;=9999,'Lease Cycles'!$C$31*INDEX('Lease Cycles'!$CB$31:$CH$31,1,DG401)*(1+INDEX('Lease Cycles'!$CI$31:$CO$31,1,DG401))^INT(INT(DG402/12)/INDEX('Lease Cycles'!$CP$31:$CV$31,1,DG401))/12,IF(DG401=1,IF(DG402&gt;=INDEX('Lease Cycles'!$DK$31:$DQ$31,1,DG401),IF(DG$6&gt;='Lease Cycles'!$AZ$31,'Lease Cycles'!$C$31*'Lease Cycles'!$BA$31/12,IF(DG$6&gt;='Lease Cycles'!$AX$31,'Lease Cycles'!$C$31*'Lease Cycles'!$AY$31/12,IF(DG$6&gt;='Lease Cycles'!$AV$31,'Lease Cycles'!$C$31*'Lease Cycles'!$AW$31/12,IF(DG$6&gt;='Lease Cycles'!$AT$31,'Lease Cycles'!$C$31*'Lease Cycles'!$AU$31/12,'Lease Cycles'!$C$31*INDEX('Lease Cycles'!$CB$31:$CH$31,1,DG401)*(1+INDEX('Lease Cycles'!$CI$31:$CO$31,1,DG401))^INT(INT(DG402/12)/INDEX('Lease Cycles'!$CP$31:$CV$31,1,DG401))/12)))),'Lease Cycles'!$C$31*INDEX('Lease Cycles'!$CB$31:$CH$31,1,DG401)*(1+INDEX('Lease Cycles'!$CI$31:$CO$31,1,DG401))^INT(INT(DG402/12)/INDEX('Lease Cycles'!$CP$31:$CV$31,1,DG401))/12),IF(INDEX('Lease Cycles'!$EF$31:$EL$31,1,DG401)=1,IF(AND('Lease Cycles'!$AZ$31&gt;=INDEX('Lease Cycles'!$BG$31:$BM$31,1,DG401),'Lease Cycles'!$AZ$31&lt;=DG$6),'Lease Cycles'!$C$31*'Lease Cycles'!$BA$31/12,IF(AND('Lease Cycles'!$AX$31&gt;=INDEX('Lease Cycles'!$BG$31:$BM$31,1,DG401),'Lease Cycles'!$AX$31&lt;=DG$6),'Lease Cycles'!$C$31*'Lease Cycles'!$AY$31/12,IF(AND('Lease Cycles'!$AV$31&gt;=INDEX('Lease Cycles'!$BG$31:$BM$31,1,DG401),'Lease Cycles'!$AV$31&lt;=DG$6),'Lease Cycles'!$C$31*'Lease Cycles'!$AW$31/12,IF(AND('Lease Cycles'!$AT$31&gt;=INDEX('Lease Cycles'!$BG$31:$BM$31,1,DG401),'Lease Cycles'!$AT$31&lt;=DG$6),'Lease Cycles'!$C$31*'Lease Cycles'!$AU$31/12,'Lease Cycles'!$C$31*INDEX('Lease Cycles'!$CB$31:$CH$31,1,DG401)*(1+INDEX('Lease Cycles'!$CI$31:$CO$31,1,DG401))^INT(INT(DG402/12)/INDEX('Lease Cycles'!$CP$31:$CV$31,1,DG401))/12)))),'Lease Cycles'!$C$31*INDEX('Lease Cycles'!$CB$31:$CH$31,1,DG401)*(1+INDEX('Lease Cycles'!$CI$31:$CO$31,1,DG401))^INT(INT(DG402/12)/INDEX('Lease Cycles'!$CP$31:$CV$31,1,DG401))/12))),IF('Lease Cycles'!$N$31=1,'Lease Cycles'!$C$31*'Lease Cycles'!$E$31*INDEX('Lease Cycles'!$HE$31:$HK$31,1,DG401)*(1+INDEX('Lease Cycles'!$GQ$31:$GW$31,1,DG401))^INT(INT((DG$6-INDEX('Lease Cycles'!$GJ$31:$GP$31,1,DG401))/12)/INDEX('Lease Cycles'!$GX$31:$HD$31,1,DG401))/12,0)))</f>
        <v>0</v>
      </c>
      <c r="DH404" s="28">
        <f>IF(DH401=0,IF('Lease Cycles'!$F$31&gt;0,'Lease Cycles'!$C$31*'Lease Cycles'!$E$31/12,0),IF(DH403=1,IF('Lease Cycles'!$AT$31&gt;=9999,'Lease Cycles'!$C$31*INDEX('Lease Cycles'!$CB$31:$CH$31,1,DH401)*(1+INDEX('Lease Cycles'!$CI$31:$CO$31,1,DH401))^INT(INT(DH402/12)/INDEX('Lease Cycles'!$CP$31:$CV$31,1,DH401))/12,IF(DH401=1,IF(DH402&gt;=INDEX('Lease Cycles'!$DK$31:$DQ$31,1,DH401),IF(DH$6&gt;='Lease Cycles'!$AZ$31,'Lease Cycles'!$C$31*'Lease Cycles'!$BA$31/12,IF(DH$6&gt;='Lease Cycles'!$AX$31,'Lease Cycles'!$C$31*'Lease Cycles'!$AY$31/12,IF(DH$6&gt;='Lease Cycles'!$AV$31,'Lease Cycles'!$C$31*'Lease Cycles'!$AW$31/12,IF(DH$6&gt;='Lease Cycles'!$AT$31,'Lease Cycles'!$C$31*'Lease Cycles'!$AU$31/12,'Lease Cycles'!$C$31*INDEX('Lease Cycles'!$CB$31:$CH$31,1,DH401)*(1+INDEX('Lease Cycles'!$CI$31:$CO$31,1,DH401))^INT(INT(DH402/12)/INDEX('Lease Cycles'!$CP$31:$CV$31,1,DH401))/12)))),'Lease Cycles'!$C$31*INDEX('Lease Cycles'!$CB$31:$CH$31,1,DH401)*(1+INDEX('Lease Cycles'!$CI$31:$CO$31,1,DH401))^INT(INT(DH402/12)/INDEX('Lease Cycles'!$CP$31:$CV$31,1,DH401))/12),IF(INDEX('Lease Cycles'!$EF$31:$EL$31,1,DH401)=1,IF(AND('Lease Cycles'!$AZ$31&gt;=INDEX('Lease Cycles'!$BG$31:$BM$31,1,DH401),'Lease Cycles'!$AZ$31&lt;=DH$6),'Lease Cycles'!$C$31*'Lease Cycles'!$BA$31/12,IF(AND('Lease Cycles'!$AX$31&gt;=INDEX('Lease Cycles'!$BG$31:$BM$31,1,DH401),'Lease Cycles'!$AX$31&lt;=DH$6),'Lease Cycles'!$C$31*'Lease Cycles'!$AY$31/12,IF(AND('Lease Cycles'!$AV$31&gt;=INDEX('Lease Cycles'!$BG$31:$BM$31,1,DH401),'Lease Cycles'!$AV$31&lt;=DH$6),'Lease Cycles'!$C$31*'Lease Cycles'!$AW$31/12,IF(AND('Lease Cycles'!$AT$31&gt;=INDEX('Lease Cycles'!$BG$31:$BM$31,1,DH401),'Lease Cycles'!$AT$31&lt;=DH$6),'Lease Cycles'!$C$31*'Lease Cycles'!$AU$31/12,'Lease Cycles'!$C$31*INDEX('Lease Cycles'!$CB$31:$CH$31,1,DH401)*(1+INDEX('Lease Cycles'!$CI$31:$CO$31,1,DH401))^INT(INT(DH402/12)/INDEX('Lease Cycles'!$CP$31:$CV$31,1,DH401))/12)))),'Lease Cycles'!$C$31*INDEX('Lease Cycles'!$CB$31:$CH$31,1,DH401)*(1+INDEX('Lease Cycles'!$CI$31:$CO$31,1,DH401))^INT(INT(DH402/12)/INDEX('Lease Cycles'!$CP$31:$CV$31,1,DH401))/12))),IF('Lease Cycles'!$N$31=1,'Lease Cycles'!$C$31*'Lease Cycles'!$E$31*INDEX('Lease Cycles'!$HE$31:$HK$31,1,DH401)*(1+INDEX('Lease Cycles'!$GQ$31:$GW$31,1,DH401))^INT(INT((DH$6-INDEX('Lease Cycles'!$GJ$31:$GP$31,1,DH401))/12)/INDEX('Lease Cycles'!$GX$31:$HD$31,1,DH401))/12,0)))</f>
        <v>0</v>
      </c>
      <c r="DI404" s="28">
        <f>IF(DI401=0,IF('Lease Cycles'!$F$31&gt;0,'Lease Cycles'!$C$31*'Lease Cycles'!$E$31/12,0),IF(DI403=1,IF('Lease Cycles'!$AT$31&gt;=9999,'Lease Cycles'!$C$31*INDEX('Lease Cycles'!$CB$31:$CH$31,1,DI401)*(1+INDEX('Lease Cycles'!$CI$31:$CO$31,1,DI401))^INT(INT(DI402/12)/INDEX('Lease Cycles'!$CP$31:$CV$31,1,DI401))/12,IF(DI401=1,IF(DI402&gt;=INDEX('Lease Cycles'!$DK$31:$DQ$31,1,DI401),IF(DI$6&gt;='Lease Cycles'!$AZ$31,'Lease Cycles'!$C$31*'Lease Cycles'!$BA$31/12,IF(DI$6&gt;='Lease Cycles'!$AX$31,'Lease Cycles'!$C$31*'Lease Cycles'!$AY$31/12,IF(DI$6&gt;='Lease Cycles'!$AV$31,'Lease Cycles'!$C$31*'Lease Cycles'!$AW$31/12,IF(DI$6&gt;='Lease Cycles'!$AT$31,'Lease Cycles'!$C$31*'Lease Cycles'!$AU$31/12,'Lease Cycles'!$C$31*INDEX('Lease Cycles'!$CB$31:$CH$31,1,DI401)*(1+INDEX('Lease Cycles'!$CI$31:$CO$31,1,DI401))^INT(INT(DI402/12)/INDEX('Lease Cycles'!$CP$31:$CV$31,1,DI401))/12)))),'Lease Cycles'!$C$31*INDEX('Lease Cycles'!$CB$31:$CH$31,1,DI401)*(1+INDEX('Lease Cycles'!$CI$31:$CO$31,1,DI401))^INT(INT(DI402/12)/INDEX('Lease Cycles'!$CP$31:$CV$31,1,DI401))/12),IF(INDEX('Lease Cycles'!$EF$31:$EL$31,1,DI401)=1,IF(AND('Lease Cycles'!$AZ$31&gt;=INDEX('Lease Cycles'!$BG$31:$BM$31,1,DI401),'Lease Cycles'!$AZ$31&lt;=DI$6),'Lease Cycles'!$C$31*'Lease Cycles'!$BA$31/12,IF(AND('Lease Cycles'!$AX$31&gt;=INDEX('Lease Cycles'!$BG$31:$BM$31,1,DI401),'Lease Cycles'!$AX$31&lt;=DI$6),'Lease Cycles'!$C$31*'Lease Cycles'!$AY$31/12,IF(AND('Lease Cycles'!$AV$31&gt;=INDEX('Lease Cycles'!$BG$31:$BM$31,1,DI401),'Lease Cycles'!$AV$31&lt;=DI$6),'Lease Cycles'!$C$31*'Lease Cycles'!$AW$31/12,IF(AND('Lease Cycles'!$AT$31&gt;=INDEX('Lease Cycles'!$BG$31:$BM$31,1,DI401),'Lease Cycles'!$AT$31&lt;=DI$6),'Lease Cycles'!$C$31*'Lease Cycles'!$AU$31/12,'Lease Cycles'!$C$31*INDEX('Lease Cycles'!$CB$31:$CH$31,1,DI401)*(1+INDEX('Lease Cycles'!$CI$31:$CO$31,1,DI401))^INT(INT(DI402/12)/INDEX('Lease Cycles'!$CP$31:$CV$31,1,DI401))/12)))),'Lease Cycles'!$C$31*INDEX('Lease Cycles'!$CB$31:$CH$31,1,DI401)*(1+INDEX('Lease Cycles'!$CI$31:$CO$31,1,DI401))^INT(INT(DI402/12)/INDEX('Lease Cycles'!$CP$31:$CV$31,1,DI401))/12))),IF('Lease Cycles'!$N$31=1,'Lease Cycles'!$C$31*'Lease Cycles'!$E$31*INDEX('Lease Cycles'!$HE$31:$HK$31,1,DI401)*(1+INDEX('Lease Cycles'!$GQ$31:$GW$31,1,DI401))^INT(INT((DI$6-INDEX('Lease Cycles'!$GJ$31:$GP$31,1,DI401))/12)/INDEX('Lease Cycles'!$GX$31:$HD$31,1,DI401))/12,0)))</f>
        <v>0</v>
      </c>
      <c r="DJ404" s="28">
        <f>IF(DJ401=0,IF('Lease Cycles'!$F$31&gt;0,'Lease Cycles'!$C$31*'Lease Cycles'!$E$31/12,0),IF(DJ403=1,IF('Lease Cycles'!$AT$31&gt;=9999,'Lease Cycles'!$C$31*INDEX('Lease Cycles'!$CB$31:$CH$31,1,DJ401)*(1+INDEX('Lease Cycles'!$CI$31:$CO$31,1,DJ401))^INT(INT(DJ402/12)/INDEX('Lease Cycles'!$CP$31:$CV$31,1,DJ401))/12,IF(DJ401=1,IF(DJ402&gt;=INDEX('Lease Cycles'!$DK$31:$DQ$31,1,DJ401),IF(DJ$6&gt;='Lease Cycles'!$AZ$31,'Lease Cycles'!$C$31*'Lease Cycles'!$BA$31/12,IF(DJ$6&gt;='Lease Cycles'!$AX$31,'Lease Cycles'!$C$31*'Lease Cycles'!$AY$31/12,IF(DJ$6&gt;='Lease Cycles'!$AV$31,'Lease Cycles'!$C$31*'Lease Cycles'!$AW$31/12,IF(DJ$6&gt;='Lease Cycles'!$AT$31,'Lease Cycles'!$C$31*'Lease Cycles'!$AU$31/12,'Lease Cycles'!$C$31*INDEX('Lease Cycles'!$CB$31:$CH$31,1,DJ401)*(1+INDEX('Lease Cycles'!$CI$31:$CO$31,1,DJ401))^INT(INT(DJ402/12)/INDEX('Lease Cycles'!$CP$31:$CV$31,1,DJ401))/12)))),'Lease Cycles'!$C$31*INDEX('Lease Cycles'!$CB$31:$CH$31,1,DJ401)*(1+INDEX('Lease Cycles'!$CI$31:$CO$31,1,DJ401))^INT(INT(DJ402/12)/INDEX('Lease Cycles'!$CP$31:$CV$31,1,DJ401))/12),IF(INDEX('Lease Cycles'!$EF$31:$EL$31,1,DJ401)=1,IF(AND('Lease Cycles'!$AZ$31&gt;=INDEX('Lease Cycles'!$BG$31:$BM$31,1,DJ401),'Lease Cycles'!$AZ$31&lt;=DJ$6),'Lease Cycles'!$C$31*'Lease Cycles'!$BA$31/12,IF(AND('Lease Cycles'!$AX$31&gt;=INDEX('Lease Cycles'!$BG$31:$BM$31,1,DJ401),'Lease Cycles'!$AX$31&lt;=DJ$6),'Lease Cycles'!$C$31*'Lease Cycles'!$AY$31/12,IF(AND('Lease Cycles'!$AV$31&gt;=INDEX('Lease Cycles'!$BG$31:$BM$31,1,DJ401),'Lease Cycles'!$AV$31&lt;=DJ$6),'Lease Cycles'!$C$31*'Lease Cycles'!$AW$31/12,IF(AND('Lease Cycles'!$AT$31&gt;=INDEX('Lease Cycles'!$BG$31:$BM$31,1,DJ401),'Lease Cycles'!$AT$31&lt;=DJ$6),'Lease Cycles'!$C$31*'Lease Cycles'!$AU$31/12,'Lease Cycles'!$C$31*INDEX('Lease Cycles'!$CB$31:$CH$31,1,DJ401)*(1+INDEX('Lease Cycles'!$CI$31:$CO$31,1,DJ401))^INT(INT(DJ402/12)/INDEX('Lease Cycles'!$CP$31:$CV$31,1,DJ401))/12)))),'Lease Cycles'!$C$31*INDEX('Lease Cycles'!$CB$31:$CH$31,1,DJ401)*(1+INDEX('Lease Cycles'!$CI$31:$CO$31,1,DJ401))^INT(INT(DJ402/12)/INDEX('Lease Cycles'!$CP$31:$CV$31,1,DJ401))/12))),IF('Lease Cycles'!$N$31=1,'Lease Cycles'!$C$31*'Lease Cycles'!$E$31*INDEX('Lease Cycles'!$HE$31:$HK$31,1,DJ401)*(1+INDEX('Lease Cycles'!$GQ$31:$GW$31,1,DJ401))^INT(INT((DJ$6-INDEX('Lease Cycles'!$GJ$31:$GP$31,1,DJ401))/12)/INDEX('Lease Cycles'!$GX$31:$HD$31,1,DJ401))/12,0)))</f>
        <v>0</v>
      </c>
      <c r="DK404" s="28">
        <f>IF(DK401=0,IF('Lease Cycles'!$F$31&gt;0,'Lease Cycles'!$C$31*'Lease Cycles'!$E$31/12,0),IF(DK403=1,IF('Lease Cycles'!$AT$31&gt;=9999,'Lease Cycles'!$C$31*INDEX('Lease Cycles'!$CB$31:$CH$31,1,DK401)*(1+INDEX('Lease Cycles'!$CI$31:$CO$31,1,DK401))^INT(INT(DK402/12)/INDEX('Lease Cycles'!$CP$31:$CV$31,1,DK401))/12,IF(DK401=1,IF(DK402&gt;=INDEX('Lease Cycles'!$DK$31:$DQ$31,1,DK401),IF(DK$6&gt;='Lease Cycles'!$AZ$31,'Lease Cycles'!$C$31*'Lease Cycles'!$BA$31/12,IF(DK$6&gt;='Lease Cycles'!$AX$31,'Lease Cycles'!$C$31*'Lease Cycles'!$AY$31/12,IF(DK$6&gt;='Lease Cycles'!$AV$31,'Lease Cycles'!$C$31*'Lease Cycles'!$AW$31/12,IF(DK$6&gt;='Lease Cycles'!$AT$31,'Lease Cycles'!$C$31*'Lease Cycles'!$AU$31/12,'Lease Cycles'!$C$31*INDEX('Lease Cycles'!$CB$31:$CH$31,1,DK401)*(1+INDEX('Lease Cycles'!$CI$31:$CO$31,1,DK401))^INT(INT(DK402/12)/INDEX('Lease Cycles'!$CP$31:$CV$31,1,DK401))/12)))),'Lease Cycles'!$C$31*INDEX('Lease Cycles'!$CB$31:$CH$31,1,DK401)*(1+INDEX('Lease Cycles'!$CI$31:$CO$31,1,DK401))^INT(INT(DK402/12)/INDEX('Lease Cycles'!$CP$31:$CV$31,1,DK401))/12),IF(INDEX('Lease Cycles'!$EF$31:$EL$31,1,DK401)=1,IF(AND('Lease Cycles'!$AZ$31&gt;=INDEX('Lease Cycles'!$BG$31:$BM$31,1,DK401),'Lease Cycles'!$AZ$31&lt;=DK$6),'Lease Cycles'!$C$31*'Lease Cycles'!$BA$31/12,IF(AND('Lease Cycles'!$AX$31&gt;=INDEX('Lease Cycles'!$BG$31:$BM$31,1,DK401),'Lease Cycles'!$AX$31&lt;=DK$6),'Lease Cycles'!$C$31*'Lease Cycles'!$AY$31/12,IF(AND('Lease Cycles'!$AV$31&gt;=INDEX('Lease Cycles'!$BG$31:$BM$31,1,DK401),'Lease Cycles'!$AV$31&lt;=DK$6),'Lease Cycles'!$C$31*'Lease Cycles'!$AW$31/12,IF(AND('Lease Cycles'!$AT$31&gt;=INDEX('Lease Cycles'!$BG$31:$BM$31,1,DK401),'Lease Cycles'!$AT$31&lt;=DK$6),'Lease Cycles'!$C$31*'Lease Cycles'!$AU$31/12,'Lease Cycles'!$C$31*INDEX('Lease Cycles'!$CB$31:$CH$31,1,DK401)*(1+INDEX('Lease Cycles'!$CI$31:$CO$31,1,DK401))^INT(INT(DK402/12)/INDEX('Lease Cycles'!$CP$31:$CV$31,1,DK401))/12)))),'Lease Cycles'!$C$31*INDEX('Lease Cycles'!$CB$31:$CH$31,1,DK401)*(1+INDEX('Lease Cycles'!$CI$31:$CO$31,1,DK401))^INT(INT(DK402/12)/INDEX('Lease Cycles'!$CP$31:$CV$31,1,DK401))/12))),IF('Lease Cycles'!$N$31=1,'Lease Cycles'!$C$31*'Lease Cycles'!$E$31*INDEX('Lease Cycles'!$HE$31:$HK$31,1,DK401)*(1+INDEX('Lease Cycles'!$GQ$31:$GW$31,1,DK401))^INT(INT((DK$6-INDEX('Lease Cycles'!$GJ$31:$GP$31,1,DK401))/12)/INDEX('Lease Cycles'!$GX$31:$HD$31,1,DK401))/12,0)))</f>
        <v>0</v>
      </c>
      <c r="DL404" s="28">
        <f>IF(DL401=0,IF('Lease Cycles'!$F$31&gt;0,'Lease Cycles'!$C$31*'Lease Cycles'!$E$31/12,0),IF(DL403=1,IF('Lease Cycles'!$AT$31&gt;=9999,'Lease Cycles'!$C$31*INDEX('Lease Cycles'!$CB$31:$CH$31,1,DL401)*(1+INDEX('Lease Cycles'!$CI$31:$CO$31,1,DL401))^INT(INT(DL402/12)/INDEX('Lease Cycles'!$CP$31:$CV$31,1,DL401))/12,IF(DL401=1,IF(DL402&gt;=INDEX('Lease Cycles'!$DK$31:$DQ$31,1,DL401),IF(DL$6&gt;='Lease Cycles'!$AZ$31,'Lease Cycles'!$C$31*'Lease Cycles'!$BA$31/12,IF(DL$6&gt;='Lease Cycles'!$AX$31,'Lease Cycles'!$C$31*'Lease Cycles'!$AY$31/12,IF(DL$6&gt;='Lease Cycles'!$AV$31,'Lease Cycles'!$C$31*'Lease Cycles'!$AW$31/12,IF(DL$6&gt;='Lease Cycles'!$AT$31,'Lease Cycles'!$C$31*'Lease Cycles'!$AU$31/12,'Lease Cycles'!$C$31*INDEX('Lease Cycles'!$CB$31:$CH$31,1,DL401)*(1+INDEX('Lease Cycles'!$CI$31:$CO$31,1,DL401))^INT(INT(DL402/12)/INDEX('Lease Cycles'!$CP$31:$CV$31,1,DL401))/12)))),'Lease Cycles'!$C$31*INDEX('Lease Cycles'!$CB$31:$CH$31,1,DL401)*(1+INDEX('Lease Cycles'!$CI$31:$CO$31,1,DL401))^INT(INT(DL402/12)/INDEX('Lease Cycles'!$CP$31:$CV$31,1,DL401))/12),IF(INDEX('Lease Cycles'!$EF$31:$EL$31,1,DL401)=1,IF(AND('Lease Cycles'!$AZ$31&gt;=INDEX('Lease Cycles'!$BG$31:$BM$31,1,DL401),'Lease Cycles'!$AZ$31&lt;=DL$6),'Lease Cycles'!$C$31*'Lease Cycles'!$BA$31/12,IF(AND('Lease Cycles'!$AX$31&gt;=INDEX('Lease Cycles'!$BG$31:$BM$31,1,DL401),'Lease Cycles'!$AX$31&lt;=DL$6),'Lease Cycles'!$C$31*'Lease Cycles'!$AY$31/12,IF(AND('Lease Cycles'!$AV$31&gt;=INDEX('Lease Cycles'!$BG$31:$BM$31,1,DL401),'Lease Cycles'!$AV$31&lt;=DL$6),'Lease Cycles'!$C$31*'Lease Cycles'!$AW$31/12,IF(AND('Lease Cycles'!$AT$31&gt;=INDEX('Lease Cycles'!$BG$31:$BM$31,1,DL401),'Lease Cycles'!$AT$31&lt;=DL$6),'Lease Cycles'!$C$31*'Lease Cycles'!$AU$31/12,'Lease Cycles'!$C$31*INDEX('Lease Cycles'!$CB$31:$CH$31,1,DL401)*(1+INDEX('Lease Cycles'!$CI$31:$CO$31,1,DL401))^INT(INT(DL402/12)/INDEX('Lease Cycles'!$CP$31:$CV$31,1,DL401))/12)))),'Lease Cycles'!$C$31*INDEX('Lease Cycles'!$CB$31:$CH$31,1,DL401)*(1+INDEX('Lease Cycles'!$CI$31:$CO$31,1,DL401))^INT(INT(DL402/12)/INDEX('Lease Cycles'!$CP$31:$CV$31,1,DL401))/12))),IF('Lease Cycles'!$N$31=1,'Lease Cycles'!$C$31*'Lease Cycles'!$E$31*INDEX('Lease Cycles'!$HE$31:$HK$31,1,DL401)*(1+INDEX('Lease Cycles'!$GQ$31:$GW$31,1,DL401))^INT(INT((DL$6-INDEX('Lease Cycles'!$GJ$31:$GP$31,1,DL401))/12)/INDEX('Lease Cycles'!$GX$31:$HD$31,1,DL401))/12,0)))</f>
        <v>0</v>
      </c>
      <c r="DM404" s="28">
        <f>IF(DM401=0,IF('Lease Cycles'!$F$31&gt;0,'Lease Cycles'!$C$31*'Lease Cycles'!$E$31/12,0),IF(DM403=1,IF('Lease Cycles'!$AT$31&gt;=9999,'Lease Cycles'!$C$31*INDEX('Lease Cycles'!$CB$31:$CH$31,1,DM401)*(1+INDEX('Lease Cycles'!$CI$31:$CO$31,1,DM401))^INT(INT(DM402/12)/INDEX('Lease Cycles'!$CP$31:$CV$31,1,DM401))/12,IF(DM401=1,IF(DM402&gt;=INDEX('Lease Cycles'!$DK$31:$DQ$31,1,DM401),IF(DM$6&gt;='Lease Cycles'!$AZ$31,'Lease Cycles'!$C$31*'Lease Cycles'!$BA$31/12,IF(DM$6&gt;='Lease Cycles'!$AX$31,'Lease Cycles'!$C$31*'Lease Cycles'!$AY$31/12,IF(DM$6&gt;='Lease Cycles'!$AV$31,'Lease Cycles'!$C$31*'Lease Cycles'!$AW$31/12,IF(DM$6&gt;='Lease Cycles'!$AT$31,'Lease Cycles'!$C$31*'Lease Cycles'!$AU$31/12,'Lease Cycles'!$C$31*INDEX('Lease Cycles'!$CB$31:$CH$31,1,DM401)*(1+INDEX('Lease Cycles'!$CI$31:$CO$31,1,DM401))^INT(INT(DM402/12)/INDEX('Lease Cycles'!$CP$31:$CV$31,1,DM401))/12)))),'Lease Cycles'!$C$31*INDEX('Lease Cycles'!$CB$31:$CH$31,1,DM401)*(1+INDEX('Lease Cycles'!$CI$31:$CO$31,1,DM401))^INT(INT(DM402/12)/INDEX('Lease Cycles'!$CP$31:$CV$31,1,DM401))/12),IF(INDEX('Lease Cycles'!$EF$31:$EL$31,1,DM401)=1,IF(AND('Lease Cycles'!$AZ$31&gt;=INDEX('Lease Cycles'!$BG$31:$BM$31,1,DM401),'Lease Cycles'!$AZ$31&lt;=DM$6),'Lease Cycles'!$C$31*'Lease Cycles'!$BA$31/12,IF(AND('Lease Cycles'!$AX$31&gt;=INDEX('Lease Cycles'!$BG$31:$BM$31,1,DM401),'Lease Cycles'!$AX$31&lt;=DM$6),'Lease Cycles'!$C$31*'Lease Cycles'!$AY$31/12,IF(AND('Lease Cycles'!$AV$31&gt;=INDEX('Lease Cycles'!$BG$31:$BM$31,1,DM401),'Lease Cycles'!$AV$31&lt;=DM$6),'Lease Cycles'!$C$31*'Lease Cycles'!$AW$31/12,IF(AND('Lease Cycles'!$AT$31&gt;=INDEX('Lease Cycles'!$BG$31:$BM$31,1,DM401),'Lease Cycles'!$AT$31&lt;=DM$6),'Lease Cycles'!$C$31*'Lease Cycles'!$AU$31/12,'Lease Cycles'!$C$31*INDEX('Lease Cycles'!$CB$31:$CH$31,1,DM401)*(1+INDEX('Lease Cycles'!$CI$31:$CO$31,1,DM401))^INT(INT(DM402/12)/INDEX('Lease Cycles'!$CP$31:$CV$31,1,DM401))/12)))),'Lease Cycles'!$C$31*INDEX('Lease Cycles'!$CB$31:$CH$31,1,DM401)*(1+INDEX('Lease Cycles'!$CI$31:$CO$31,1,DM401))^INT(INT(DM402/12)/INDEX('Lease Cycles'!$CP$31:$CV$31,1,DM401))/12))),IF('Lease Cycles'!$N$31=1,'Lease Cycles'!$C$31*'Lease Cycles'!$E$31*INDEX('Lease Cycles'!$HE$31:$HK$31,1,DM401)*(1+INDEX('Lease Cycles'!$GQ$31:$GW$31,1,DM401))^INT(INT((DM$6-INDEX('Lease Cycles'!$GJ$31:$GP$31,1,DM401))/12)/INDEX('Lease Cycles'!$GX$31:$HD$31,1,DM401))/12,0)))</f>
        <v>0</v>
      </c>
      <c r="DN404" s="28">
        <f>IF(DN401=0,IF('Lease Cycles'!$F$31&gt;0,'Lease Cycles'!$C$31*'Lease Cycles'!$E$31/12,0),IF(DN403=1,IF('Lease Cycles'!$AT$31&gt;=9999,'Lease Cycles'!$C$31*INDEX('Lease Cycles'!$CB$31:$CH$31,1,DN401)*(1+INDEX('Lease Cycles'!$CI$31:$CO$31,1,DN401))^INT(INT(DN402/12)/INDEX('Lease Cycles'!$CP$31:$CV$31,1,DN401))/12,IF(DN401=1,IF(DN402&gt;=INDEX('Lease Cycles'!$DK$31:$DQ$31,1,DN401),IF(DN$6&gt;='Lease Cycles'!$AZ$31,'Lease Cycles'!$C$31*'Lease Cycles'!$BA$31/12,IF(DN$6&gt;='Lease Cycles'!$AX$31,'Lease Cycles'!$C$31*'Lease Cycles'!$AY$31/12,IF(DN$6&gt;='Lease Cycles'!$AV$31,'Lease Cycles'!$C$31*'Lease Cycles'!$AW$31/12,IF(DN$6&gt;='Lease Cycles'!$AT$31,'Lease Cycles'!$C$31*'Lease Cycles'!$AU$31/12,'Lease Cycles'!$C$31*INDEX('Lease Cycles'!$CB$31:$CH$31,1,DN401)*(1+INDEX('Lease Cycles'!$CI$31:$CO$31,1,DN401))^INT(INT(DN402/12)/INDEX('Lease Cycles'!$CP$31:$CV$31,1,DN401))/12)))),'Lease Cycles'!$C$31*INDEX('Lease Cycles'!$CB$31:$CH$31,1,DN401)*(1+INDEX('Lease Cycles'!$CI$31:$CO$31,1,DN401))^INT(INT(DN402/12)/INDEX('Lease Cycles'!$CP$31:$CV$31,1,DN401))/12),IF(INDEX('Lease Cycles'!$EF$31:$EL$31,1,DN401)=1,IF(AND('Lease Cycles'!$AZ$31&gt;=INDEX('Lease Cycles'!$BG$31:$BM$31,1,DN401),'Lease Cycles'!$AZ$31&lt;=DN$6),'Lease Cycles'!$C$31*'Lease Cycles'!$BA$31/12,IF(AND('Lease Cycles'!$AX$31&gt;=INDEX('Lease Cycles'!$BG$31:$BM$31,1,DN401),'Lease Cycles'!$AX$31&lt;=DN$6),'Lease Cycles'!$C$31*'Lease Cycles'!$AY$31/12,IF(AND('Lease Cycles'!$AV$31&gt;=INDEX('Lease Cycles'!$BG$31:$BM$31,1,DN401),'Lease Cycles'!$AV$31&lt;=DN$6),'Lease Cycles'!$C$31*'Lease Cycles'!$AW$31/12,IF(AND('Lease Cycles'!$AT$31&gt;=INDEX('Lease Cycles'!$BG$31:$BM$31,1,DN401),'Lease Cycles'!$AT$31&lt;=DN$6),'Lease Cycles'!$C$31*'Lease Cycles'!$AU$31/12,'Lease Cycles'!$C$31*INDEX('Lease Cycles'!$CB$31:$CH$31,1,DN401)*(1+INDEX('Lease Cycles'!$CI$31:$CO$31,1,DN401))^INT(INT(DN402/12)/INDEX('Lease Cycles'!$CP$31:$CV$31,1,DN401))/12)))),'Lease Cycles'!$C$31*INDEX('Lease Cycles'!$CB$31:$CH$31,1,DN401)*(1+INDEX('Lease Cycles'!$CI$31:$CO$31,1,DN401))^INT(INT(DN402/12)/INDEX('Lease Cycles'!$CP$31:$CV$31,1,DN401))/12))),IF('Lease Cycles'!$N$31=1,'Lease Cycles'!$C$31*'Lease Cycles'!$E$31*INDEX('Lease Cycles'!$HE$31:$HK$31,1,DN401)*(1+INDEX('Lease Cycles'!$GQ$31:$GW$31,1,DN401))^INT(INT((DN$6-INDEX('Lease Cycles'!$GJ$31:$GP$31,1,DN401))/12)/INDEX('Lease Cycles'!$GX$31:$HD$31,1,DN401))/12,0)))</f>
        <v>0</v>
      </c>
      <c r="DO404" s="28">
        <f>IF(DO401=0,IF('Lease Cycles'!$F$31&gt;0,'Lease Cycles'!$C$31*'Lease Cycles'!$E$31/12,0),IF(DO403=1,IF('Lease Cycles'!$AT$31&gt;=9999,'Lease Cycles'!$C$31*INDEX('Lease Cycles'!$CB$31:$CH$31,1,DO401)*(1+INDEX('Lease Cycles'!$CI$31:$CO$31,1,DO401))^INT(INT(DO402/12)/INDEX('Lease Cycles'!$CP$31:$CV$31,1,DO401))/12,IF(DO401=1,IF(DO402&gt;=INDEX('Lease Cycles'!$DK$31:$DQ$31,1,DO401),IF(DO$6&gt;='Lease Cycles'!$AZ$31,'Lease Cycles'!$C$31*'Lease Cycles'!$BA$31/12,IF(DO$6&gt;='Lease Cycles'!$AX$31,'Lease Cycles'!$C$31*'Lease Cycles'!$AY$31/12,IF(DO$6&gt;='Lease Cycles'!$AV$31,'Lease Cycles'!$C$31*'Lease Cycles'!$AW$31/12,IF(DO$6&gt;='Lease Cycles'!$AT$31,'Lease Cycles'!$C$31*'Lease Cycles'!$AU$31/12,'Lease Cycles'!$C$31*INDEX('Lease Cycles'!$CB$31:$CH$31,1,DO401)*(1+INDEX('Lease Cycles'!$CI$31:$CO$31,1,DO401))^INT(INT(DO402/12)/INDEX('Lease Cycles'!$CP$31:$CV$31,1,DO401))/12)))),'Lease Cycles'!$C$31*INDEX('Lease Cycles'!$CB$31:$CH$31,1,DO401)*(1+INDEX('Lease Cycles'!$CI$31:$CO$31,1,DO401))^INT(INT(DO402/12)/INDEX('Lease Cycles'!$CP$31:$CV$31,1,DO401))/12),IF(INDEX('Lease Cycles'!$EF$31:$EL$31,1,DO401)=1,IF(AND('Lease Cycles'!$AZ$31&gt;=INDEX('Lease Cycles'!$BG$31:$BM$31,1,DO401),'Lease Cycles'!$AZ$31&lt;=DO$6),'Lease Cycles'!$C$31*'Lease Cycles'!$BA$31/12,IF(AND('Lease Cycles'!$AX$31&gt;=INDEX('Lease Cycles'!$BG$31:$BM$31,1,DO401),'Lease Cycles'!$AX$31&lt;=DO$6),'Lease Cycles'!$C$31*'Lease Cycles'!$AY$31/12,IF(AND('Lease Cycles'!$AV$31&gt;=INDEX('Lease Cycles'!$BG$31:$BM$31,1,DO401),'Lease Cycles'!$AV$31&lt;=DO$6),'Lease Cycles'!$C$31*'Lease Cycles'!$AW$31/12,IF(AND('Lease Cycles'!$AT$31&gt;=INDEX('Lease Cycles'!$BG$31:$BM$31,1,DO401),'Lease Cycles'!$AT$31&lt;=DO$6),'Lease Cycles'!$C$31*'Lease Cycles'!$AU$31/12,'Lease Cycles'!$C$31*INDEX('Lease Cycles'!$CB$31:$CH$31,1,DO401)*(1+INDEX('Lease Cycles'!$CI$31:$CO$31,1,DO401))^INT(INT(DO402/12)/INDEX('Lease Cycles'!$CP$31:$CV$31,1,DO401))/12)))),'Lease Cycles'!$C$31*INDEX('Lease Cycles'!$CB$31:$CH$31,1,DO401)*(1+INDEX('Lease Cycles'!$CI$31:$CO$31,1,DO401))^INT(INT(DO402/12)/INDEX('Lease Cycles'!$CP$31:$CV$31,1,DO401))/12))),IF('Lease Cycles'!$N$31=1,'Lease Cycles'!$C$31*'Lease Cycles'!$E$31*INDEX('Lease Cycles'!$HE$31:$HK$31,1,DO401)*(1+INDEX('Lease Cycles'!$GQ$31:$GW$31,1,DO401))^INT(INT((DO$6-INDEX('Lease Cycles'!$GJ$31:$GP$31,1,DO401))/12)/INDEX('Lease Cycles'!$GX$31:$HD$31,1,DO401))/12,0)))</f>
        <v>0</v>
      </c>
      <c r="DP404" s="28">
        <f>IF(DP401=0,IF('Lease Cycles'!$F$31&gt;0,'Lease Cycles'!$C$31*'Lease Cycles'!$E$31/12,0),IF(DP403=1,IF('Lease Cycles'!$AT$31&gt;=9999,'Lease Cycles'!$C$31*INDEX('Lease Cycles'!$CB$31:$CH$31,1,DP401)*(1+INDEX('Lease Cycles'!$CI$31:$CO$31,1,DP401))^INT(INT(DP402/12)/INDEX('Lease Cycles'!$CP$31:$CV$31,1,DP401))/12,IF(DP401=1,IF(DP402&gt;=INDEX('Lease Cycles'!$DK$31:$DQ$31,1,DP401),IF(DP$6&gt;='Lease Cycles'!$AZ$31,'Lease Cycles'!$C$31*'Lease Cycles'!$BA$31/12,IF(DP$6&gt;='Lease Cycles'!$AX$31,'Lease Cycles'!$C$31*'Lease Cycles'!$AY$31/12,IF(DP$6&gt;='Lease Cycles'!$AV$31,'Lease Cycles'!$C$31*'Lease Cycles'!$AW$31/12,IF(DP$6&gt;='Lease Cycles'!$AT$31,'Lease Cycles'!$C$31*'Lease Cycles'!$AU$31/12,'Lease Cycles'!$C$31*INDEX('Lease Cycles'!$CB$31:$CH$31,1,DP401)*(1+INDEX('Lease Cycles'!$CI$31:$CO$31,1,DP401))^INT(INT(DP402/12)/INDEX('Lease Cycles'!$CP$31:$CV$31,1,DP401))/12)))),'Lease Cycles'!$C$31*INDEX('Lease Cycles'!$CB$31:$CH$31,1,DP401)*(1+INDEX('Lease Cycles'!$CI$31:$CO$31,1,DP401))^INT(INT(DP402/12)/INDEX('Lease Cycles'!$CP$31:$CV$31,1,DP401))/12),IF(INDEX('Lease Cycles'!$EF$31:$EL$31,1,DP401)=1,IF(AND('Lease Cycles'!$AZ$31&gt;=INDEX('Lease Cycles'!$BG$31:$BM$31,1,DP401),'Lease Cycles'!$AZ$31&lt;=DP$6),'Lease Cycles'!$C$31*'Lease Cycles'!$BA$31/12,IF(AND('Lease Cycles'!$AX$31&gt;=INDEX('Lease Cycles'!$BG$31:$BM$31,1,DP401),'Lease Cycles'!$AX$31&lt;=DP$6),'Lease Cycles'!$C$31*'Lease Cycles'!$AY$31/12,IF(AND('Lease Cycles'!$AV$31&gt;=INDEX('Lease Cycles'!$BG$31:$BM$31,1,DP401),'Lease Cycles'!$AV$31&lt;=DP$6),'Lease Cycles'!$C$31*'Lease Cycles'!$AW$31/12,IF(AND('Lease Cycles'!$AT$31&gt;=INDEX('Lease Cycles'!$BG$31:$BM$31,1,DP401),'Lease Cycles'!$AT$31&lt;=DP$6),'Lease Cycles'!$C$31*'Lease Cycles'!$AU$31/12,'Lease Cycles'!$C$31*INDEX('Lease Cycles'!$CB$31:$CH$31,1,DP401)*(1+INDEX('Lease Cycles'!$CI$31:$CO$31,1,DP401))^INT(INT(DP402/12)/INDEX('Lease Cycles'!$CP$31:$CV$31,1,DP401))/12)))),'Lease Cycles'!$C$31*INDEX('Lease Cycles'!$CB$31:$CH$31,1,DP401)*(1+INDEX('Lease Cycles'!$CI$31:$CO$31,1,DP401))^INT(INT(DP402/12)/INDEX('Lease Cycles'!$CP$31:$CV$31,1,DP401))/12))),IF('Lease Cycles'!$N$31=1,'Lease Cycles'!$C$31*'Lease Cycles'!$E$31*INDEX('Lease Cycles'!$HE$31:$HK$31,1,DP401)*(1+INDEX('Lease Cycles'!$GQ$31:$GW$31,1,DP401))^INT(INT((DP$6-INDEX('Lease Cycles'!$GJ$31:$GP$31,1,DP401))/12)/INDEX('Lease Cycles'!$GX$31:$HD$31,1,DP401))/12,0)))</f>
        <v>0</v>
      </c>
      <c r="DQ404" s="28">
        <f>IF(DQ401=0,IF('Lease Cycles'!$F$31&gt;0,'Lease Cycles'!$C$31*'Lease Cycles'!$E$31/12,0),IF(DQ403=1,IF('Lease Cycles'!$AT$31&gt;=9999,'Lease Cycles'!$C$31*INDEX('Lease Cycles'!$CB$31:$CH$31,1,DQ401)*(1+INDEX('Lease Cycles'!$CI$31:$CO$31,1,DQ401))^INT(INT(DQ402/12)/INDEX('Lease Cycles'!$CP$31:$CV$31,1,DQ401))/12,IF(DQ401=1,IF(DQ402&gt;=INDEX('Lease Cycles'!$DK$31:$DQ$31,1,DQ401),IF(DQ$6&gt;='Lease Cycles'!$AZ$31,'Lease Cycles'!$C$31*'Lease Cycles'!$BA$31/12,IF(DQ$6&gt;='Lease Cycles'!$AX$31,'Lease Cycles'!$C$31*'Lease Cycles'!$AY$31/12,IF(DQ$6&gt;='Lease Cycles'!$AV$31,'Lease Cycles'!$C$31*'Lease Cycles'!$AW$31/12,IF(DQ$6&gt;='Lease Cycles'!$AT$31,'Lease Cycles'!$C$31*'Lease Cycles'!$AU$31/12,'Lease Cycles'!$C$31*INDEX('Lease Cycles'!$CB$31:$CH$31,1,DQ401)*(1+INDEX('Lease Cycles'!$CI$31:$CO$31,1,DQ401))^INT(INT(DQ402/12)/INDEX('Lease Cycles'!$CP$31:$CV$31,1,DQ401))/12)))),'Lease Cycles'!$C$31*INDEX('Lease Cycles'!$CB$31:$CH$31,1,DQ401)*(1+INDEX('Lease Cycles'!$CI$31:$CO$31,1,DQ401))^INT(INT(DQ402/12)/INDEX('Lease Cycles'!$CP$31:$CV$31,1,DQ401))/12),IF(INDEX('Lease Cycles'!$EF$31:$EL$31,1,DQ401)=1,IF(AND('Lease Cycles'!$AZ$31&gt;=INDEX('Lease Cycles'!$BG$31:$BM$31,1,DQ401),'Lease Cycles'!$AZ$31&lt;=DQ$6),'Lease Cycles'!$C$31*'Lease Cycles'!$BA$31/12,IF(AND('Lease Cycles'!$AX$31&gt;=INDEX('Lease Cycles'!$BG$31:$BM$31,1,DQ401),'Lease Cycles'!$AX$31&lt;=DQ$6),'Lease Cycles'!$C$31*'Lease Cycles'!$AY$31/12,IF(AND('Lease Cycles'!$AV$31&gt;=INDEX('Lease Cycles'!$BG$31:$BM$31,1,DQ401),'Lease Cycles'!$AV$31&lt;=DQ$6),'Lease Cycles'!$C$31*'Lease Cycles'!$AW$31/12,IF(AND('Lease Cycles'!$AT$31&gt;=INDEX('Lease Cycles'!$BG$31:$BM$31,1,DQ401),'Lease Cycles'!$AT$31&lt;=DQ$6),'Lease Cycles'!$C$31*'Lease Cycles'!$AU$31/12,'Lease Cycles'!$C$31*INDEX('Lease Cycles'!$CB$31:$CH$31,1,DQ401)*(1+INDEX('Lease Cycles'!$CI$31:$CO$31,1,DQ401))^INT(INT(DQ402/12)/INDEX('Lease Cycles'!$CP$31:$CV$31,1,DQ401))/12)))),'Lease Cycles'!$C$31*INDEX('Lease Cycles'!$CB$31:$CH$31,1,DQ401)*(1+INDEX('Lease Cycles'!$CI$31:$CO$31,1,DQ401))^INT(INT(DQ402/12)/INDEX('Lease Cycles'!$CP$31:$CV$31,1,DQ401))/12))),IF('Lease Cycles'!$N$31=1,'Lease Cycles'!$C$31*'Lease Cycles'!$E$31*INDEX('Lease Cycles'!$HE$31:$HK$31,1,DQ401)*(1+INDEX('Lease Cycles'!$GQ$31:$GW$31,1,DQ401))^INT(INT((DQ$6-INDEX('Lease Cycles'!$GJ$31:$GP$31,1,DQ401))/12)/INDEX('Lease Cycles'!$GX$31:$HD$31,1,DQ401))/12,0)))</f>
        <v>0</v>
      </c>
      <c r="DR404" s="28">
        <f>IF(DR401=0,IF('Lease Cycles'!$F$31&gt;0,'Lease Cycles'!$C$31*'Lease Cycles'!$E$31/12,0),IF(DR403=1,IF('Lease Cycles'!$AT$31&gt;=9999,'Lease Cycles'!$C$31*INDEX('Lease Cycles'!$CB$31:$CH$31,1,DR401)*(1+INDEX('Lease Cycles'!$CI$31:$CO$31,1,DR401))^INT(INT(DR402/12)/INDEX('Lease Cycles'!$CP$31:$CV$31,1,DR401))/12,IF(DR401=1,IF(DR402&gt;=INDEX('Lease Cycles'!$DK$31:$DQ$31,1,DR401),IF(DR$6&gt;='Lease Cycles'!$AZ$31,'Lease Cycles'!$C$31*'Lease Cycles'!$BA$31/12,IF(DR$6&gt;='Lease Cycles'!$AX$31,'Lease Cycles'!$C$31*'Lease Cycles'!$AY$31/12,IF(DR$6&gt;='Lease Cycles'!$AV$31,'Lease Cycles'!$C$31*'Lease Cycles'!$AW$31/12,IF(DR$6&gt;='Lease Cycles'!$AT$31,'Lease Cycles'!$C$31*'Lease Cycles'!$AU$31/12,'Lease Cycles'!$C$31*INDEX('Lease Cycles'!$CB$31:$CH$31,1,DR401)*(1+INDEX('Lease Cycles'!$CI$31:$CO$31,1,DR401))^INT(INT(DR402/12)/INDEX('Lease Cycles'!$CP$31:$CV$31,1,DR401))/12)))),'Lease Cycles'!$C$31*INDEX('Lease Cycles'!$CB$31:$CH$31,1,DR401)*(1+INDEX('Lease Cycles'!$CI$31:$CO$31,1,DR401))^INT(INT(DR402/12)/INDEX('Lease Cycles'!$CP$31:$CV$31,1,DR401))/12),IF(INDEX('Lease Cycles'!$EF$31:$EL$31,1,DR401)=1,IF(AND('Lease Cycles'!$AZ$31&gt;=INDEX('Lease Cycles'!$BG$31:$BM$31,1,DR401),'Lease Cycles'!$AZ$31&lt;=DR$6),'Lease Cycles'!$C$31*'Lease Cycles'!$BA$31/12,IF(AND('Lease Cycles'!$AX$31&gt;=INDEX('Lease Cycles'!$BG$31:$BM$31,1,DR401),'Lease Cycles'!$AX$31&lt;=DR$6),'Lease Cycles'!$C$31*'Lease Cycles'!$AY$31/12,IF(AND('Lease Cycles'!$AV$31&gt;=INDEX('Lease Cycles'!$BG$31:$BM$31,1,DR401),'Lease Cycles'!$AV$31&lt;=DR$6),'Lease Cycles'!$C$31*'Lease Cycles'!$AW$31/12,IF(AND('Lease Cycles'!$AT$31&gt;=INDEX('Lease Cycles'!$BG$31:$BM$31,1,DR401),'Lease Cycles'!$AT$31&lt;=DR$6),'Lease Cycles'!$C$31*'Lease Cycles'!$AU$31/12,'Lease Cycles'!$C$31*INDEX('Lease Cycles'!$CB$31:$CH$31,1,DR401)*(1+INDEX('Lease Cycles'!$CI$31:$CO$31,1,DR401))^INT(INT(DR402/12)/INDEX('Lease Cycles'!$CP$31:$CV$31,1,DR401))/12)))),'Lease Cycles'!$C$31*INDEX('Lease Cycles'!$CB$31:$CH$31,1,DR401)*(1+INDEX('Lease Cycles'!$CI$31:$CO$31,1,DR401))^INT(INT(DR402/12)/INDEX('Lease Cycles'!$CP$31:$CV$31,1,DR401))/12))),IF('Lease Cycles'!$N$31=1,'Lease Cycles'!$C$31*'Lease Cycles'!$E$31*INDEX('Lease Cycles'!$HE$31:$HK$31,1,DR401)*(1+INDEX('Lease Cycles'!$GQ$31:$GW$31,1,DR401))^INT(INT((DR$6-INDEX('Lease Cycles'!$GJ$31:$GP$31,1,DR401))/12)/INDEX('Lease Cycles'!$GX$31:$HD$31,1,DR401))/12,0)))</f>
        <v>0</v>
      </c>
      <c r="DS404" s="28">
        <f>IF(DS401=0,IF('Lease Cycles'!$F$31&gt;0,'Lease Cycles'!$C$31*'Lease Cycles'!$E$31/12,0),IF(DS403=1,IF('Lease Cycles'!$AT$31&gt;=9999,'Lease Cycles'!$C$31*INDEX('Lease Cycles'!$CB$31:$CH$31,1,DS401)*(1+INDEX('Lease Cycles'!$CI$31:$CO$31,1,DS401))^INT(INT(DS402/12)/INDEX('Lease Cycles'!$CP$31:$CV$31,1,DS401))/12,IF(DS401=1,IF(DS402&gt;=INDEX('Lease Cycles'!$DK$31:$DQ$31,1,DS401),IF(DS$6&gt;='Lease Cycles'!$AZ$31,'Lease Cycles'!$C$31*'Lease Cycles'!$BA$31/12,IF(DS$6&gt;='Lease Cycles'!$AX$31,'Lease Cycles'!$C$31*'Lease Cycles'!$AY$31/12,IF(DS$6&gt;='Lease Cycles'!$AV$31,'Lease Cycles'!$C$31*'Lease Cycles'!$AW$31/12,IF(DS$6&gt;='Lease Cycles'!$AT$31,'Lease Cycles'!$C$31*'Lease Cycles'!$AU$31/12,'Lease Cycles'!$C$31*INDEX('Lease Cycles'!$CB$31:$CH$31,1,DS401)*(1+INDEX('Lease Cycles'!$CI$31:$CO$31,1,DS401))^INT(INT(DS402/12)/INDEX('Lease Cycles'!$CP$31:$CV$31,1,DS401))/12)))),'Lease Cycles'!$C$31*INDEX('Lease Cycles'!$CB$31:$CH$31,1,DS401)*(1+INDEX('Lease Cycles'!$CI$31:$CO$31,1,DS401))^INT(INT(DS402/12)/INDEX('Lease Cycles'!$CP$31:$CV$31,1,DS401))/12),IF(INDEX('Lease Cycles'!$EF$31:$EL$31,1,DS401)=1,IF(AND('Lease Cycles'!$AZ$31&gt;=INDEX('Lease Cycles'!$BG$31:$BM$31,1,DS401),'Lease Cycles'!$AZ$31&lt;=DS$6),'Lease Cycles'!$C$31*'Lease Cycles'!$BA$31/12,IF(AND('Lease Cycles'!$AX$31&gt;=INDEX('Lease Cycles'!$BG$31:$BM$31,1,DS401),'Lease Cycles'!$AX$31&lt;=DS$6),'Lease Cycles'!$C$31*'Lease Cycles'!$AY$31/12,IF(AND('Lease Cycles'!$AV$31&gt;=INDEX('Lease Cycles'!$BG$31:$BM$31,1,DS401),'Lease Cycles'!$AV$31&lt;=DS$6),'Lease Cycles'!$C$31*'Lease Cycles'!$AW$31/12,IF(AND('Lease Cycles'!$AT$31&gt;=INDEX('Lease Cycles'!$BG$31:$BM$31,1,DS401),'Lease Cycles'!$AT$31&lt;=DS$6),'Lease Cycles'!$C$31*'Lease Cycles'!$AU$31/12,'Lease Cycles'!$C$31*INDEX('Lease Cycles'!$CB$31:$CH$31,1,DS401)*(1+INDEX('Lease Cycles'!$CI$31:$CO$31,1,DS401))^INT(INT(DS402/12)/INDEX('Lease Cycles'!$CP$31:$CV$31,1,DS401))/12)))),'Lease Cycles'!$C$31*INDEX('Lease Cycles'!$CB$31:$CH$31,1,DS401)*(1+INDEX('Lease Cycles'!$CI$31:$CO$31,1,DS401))^INT(INT(DS402/12)/INDEX('Lease Cycles'!$CP$31:$CV$31,1,DS401))/12))),IF('Lease Cycles'!$N$31=1,'Lease Cycles'!$C$31*'Lease Cycles'!$E$31*INDEX('Lease Cycles'!$HE$31:$HK$31,1,DS401)*(1+INDEX('Lease Cycles'!$GQ$31:$GW$31,1,DS401))^INT(INT((DS$6-INDEX('Lease Cycles'!$GJ$31:$GP$31,1,DS401))/12)/INDEX('Lease Cycles'!$GX$31:$HD$31,1,DS401))/12,0)))</f>
        <v>0</v>
      </c>
      <c r="DT404" s="28">
        <f>IF(DT401=0,IF('Lease Cycles'!$F$31&gt;0,'Lease Cycles'!$C$31*'Lease Cycles'!$E$31/12,0),IF(DT403=1,IF('Lease Cycles'!$AT$31&gt;=9999,'Lease Cycles'!$C$31*INDEX('Lease Cycles'!$CB$31:$CH$31,1,DT401)*(1+INDEX('Lease Cycles'!$CI$31:$CO$31,1,DT401))^INT(INT(DT402/12)/INDEX('Lease Cycles'!$CP$31:$CV$31,1,DT401))/12,IF(DT401=1,IF(DT402&gt;=INDEX('Lease Cycles'!$DK$31:$DQ$31,1,DT401),IF(DT$6&gt;='Lease Cycles'!$AZ$31,'Lease Cycles'!$C$31*'Lease Cycles'!$BA$31/12,IF(DT$6&gt;='Lease Cycles'!$AX$31,'Lease Cycles'!$C$31*'Lease Cycles'!$AY$31/12,IF(DT$6&gt;='Lease Cycles'!$AV$31,'Lease Cycles'!$C$31*'Lease Cycles'!$AW$31/12,IF(DT$6&gt;='Lease Cycles'!$AT$31,'Lease Cycles'!$C$31*'Lease Cycles'!$AU$31/12,'Lease Cycles'!$C$31*INDEX('Lease Cycles'!$CB$31:$CH$31,1,DT401)*(1+INDEX('Lease Cycles'!$CI$31:$CO$31,1,DT401))^INT(INT(DT402/12)/INDEX('Lease Cycles'!$CP$31:$CV$31,1,DT401))/12)))),'Lease Cycles'!$C$31*INDEX('Lease Cycles'!$CB$31:$CH$31,1,DT401)*(1+INDEX('Lease Cycles'!$CI$31:$CO$31,1,DT401))^INT(INT(DT402/12)/INDEX('Lease Cycles'!$CP$31:$CV$31,1,DT401))/12),IF(INDEX('Lease Cycles'!$EF$31:$EL$31,1,DT401)=1,IF(AND('Lease Cycles'!$AZ$31&gt;=INDEX('Lease Cycles'!$BG$31:$BM$31,1,DT401),'Lease Cycles'!$AZ$31&lt;=DT$6),'Lease Cycles'!$C$31*'Lease Cycles'!$BA$31/12,IF(AND('Lease Cycles'!$AX$31&gt;=INDEX('Lease Cycles'!$BG$31:$BM$31,1,DT401),'Lease Cycles'!$AX$31&lt;=DT$6),'Lease Cycles'!$C$31*'Lease Cycles'!$AY$31/12,IF(AND('Lease Cycles'!$AV$31&gt;=INDEX('Lease Cycles'!$BG$31:$BM$31,1,DT401),'Lease Cycles'!$AV$31&lt;=DT$6),'Lease Cycles'!$C$31*'Lease Cycles'!$AW$31/12,IF(AND('Lease Cycles'!$AT$31&gt;=INDEX('Lease Cycles'!$BG$31:$BM$31,1,DT401),'Lease Cycles'!$AT$31&lt;=DT$6),'Lease Cycles'!$C$31*'Lease Cycles'!$AU$31/12,'Lease Cycles'!$C$31*INDEX('Lease Cycles'!$CB$31:$CH$31,1,DT401)*(1+INDEX('Lease Cycles'!$CI$31:$CO$31,1,DT401))^INT(INT(DT402/12)/INDEX('Lease Cycles'!$CP$31:$CV$31,1,DT401))/12)))),'Lease Cycles'!$C$31*INDEX('Lease Cycles'!$CB$31:$CH$31,1,DT401)*(1+INDEX('Lease Cycles'!$CI$31:$CO$31,1,DT401))^INT(INT(DT402/12)/INDEX('Lease Cycles'!$CP$31:$CV$31,1,DT401))/12))),IF('Lease Cycles'!$N$31=1,'Lease Cycles'!$C$31*'Lease Cycles'!$E$31*INDEX('Lease Cycles'!$HE$31:$HK$31,1,DT401)*(1+INDEX('Lease Cycles'!$GQ$31:$GW$31,1,DT401))^INT(INT((DT$6-INDEX('Lease Cycles'!$GJ$31:$GP$31,1,DT401))/12)/INDEX('Lease Cycles'!$GX$31:$HD$31,1,DT401))/12,0)))</f>
        <v>0</v>
      </c>
      <c r="DU404" s="28">
        <f>IF(DU401=0,IF('Lease Cycles'!$F$31&gt;0,'Lease Cycles'!$C$31*'Lease Cycles'!$E$31/12,0),IF(DU403=1,IF('Lease Cycles'!$AT$31&gt;=9999,'Lease Cycles'!$C$31*INDEX('Lease Cycles'!$CB$31:$CH$31,1,DU401)*(1+INDEX('Lease Cycles'!$CI$31:$CO$31,1,DU401))^INT(INT(DU402/12)/INDEX('Lease Cycles'!$CP$31:$CV$31,1,DU401))/12,IF(DU401=1,IF(DU402&gt;=INDEX('Lease Cycles'!$DK$31:$DQ$31,1,DU401),IF(DU$6&gt;='Lease Cycles'!$AZ$31,'Lease Cycles'!$C$31*'Lease Cycles'!$BA$31/12,IF(DU$6&gt;='Lease Cycles'!$AX$31,'Lease Cycles'!$C$31*'Lease Cycles'!$AY$31/12,IF(DU$6&gt;='Lease Cycles'!$AV$31,'Lease Cycles'!$C$31*'Lease Cycles'!$AW$31/12,IF(DU$6&gt;='Lease Cycles'!$AT$31,'Lease Cycles'!$C$31*'Lease Cycles'!$AU$31/12,'Lease Cycles'!$C$31*INDEX('Lease Cycles'!$CB$31:$CH$31,1,DU401)*(1+INDEX('Lease Cycles'!$CI$31:$CO$31,1,DU401))^INT(INT(DU402/12)/INDEX('Lease Cycles'!$CP$31:$CV$31,1,DU401))/12)))),'Lease Cycles'!$C$31*INDEX('Lease Cycles'!$CB$31:$CH$31,1,DU401)*(1+INDEX('Lease Cycles'!$CI$31:$CO$31,1,DU401))^INT(INT(DU402/12)/INDEX('Lease Cycles'!$CP$31:$CV$31,1,DU401))/12),IF(INDEX('Lease Cycles'!$EF$31:$EL$31,1,DU401)=1,IF(AND('Lease Cycles'!$AZ$31&gt;=INDEX('Lease Cycles'!$BG$31:$BM$31,1,DU401),'Lease Cycles'!$AZ$31&lt;=DU$6),'Lease Cycles'!$C$31*'Lease Cycles'!$BA$31/12,IF(AND('Lease Cycles'!$AX$31&gt;=INDEX('Lease Cycles'!$BG$31:$BM$31,1,DU401),'Lease Cycles'!$AX$31&lt;=DU$6),'Lease Cycles'!$C$31*'Lease Cycles'!$AY$31/12,IF(AND('Lease Cycles'!$AV$31&gt;=INDEX('Lease Cycles'!$BG$31:$BM$31,1,DU401),'Lease Cycles'!$AV$31&lt;=DU$6),'Lease Cycles'!$C$31*'Lease Cycles'!$AW$31/12,IF(AND('Lease Cycles'!$AT$31&gt;=INDEX('Lease Cycles'!$BG$31:$BM$31,1,DU401),'Lease Cycles'!$AT$31&lt;=DU$6),'Lease Cycles'!$C$31*'Lease Cycles'!$AU$31/12,'Lease Cycles'!$C$31*INDEX('Lease Cycles'!$CB$31:$CH$31,1,DU401)*(1+INDEX('Lease Cycles'!$CI$31:$CO$31,1,DU401))^INT(INT(DU402/12)/INDEX('Lease Cycles'!$CP$31:$CV$31,1,DU401))/12)))),'Lease Cycles'!$C$31*INDEX('Lease Cycles'!$CB$31:$CH$31,1,DU401)*(1+INDEX('Lease Cycles'!$CI$31:$CO$31,1,DU401))^INT(INT(DU402/12)/INDEX('Lease Cycles'!$CP$31:$CV$31,1,DU401))/12))),IF('Lease Cycles'!$N$31=1,'Lease Cycles'!$C$31*'Lease Cycles'!$E$31*INDEX('Lease Cycles'!$HE$31:$HK$31,1,DU401)*(1+INDEX('Lease Cycles'!$GQ$31:$GW$31,1,DU401))^INT(INT((DU$6-INDEX('Lease Cycles'!$GJ$31:$GP$31,1,DU401))/12)/INDEX('Lease Cycles'!$GX$31:$HD$31,1,DU401))/12,0)))</f>
        <v>0</v>
      </c>
      <c r="DV404" s="28">
        <f>IF(DV401=0,IF('Lease Cycles'!$F$31&gt;0,'Lease Cycles'!$C$31*'Lease Cycles'!$E$31/12,0),IF(DV403=1,IF('Lease Cycles'!$AT$31&gt;=9999,'Lease Cycles'!$C$31*INDEX('Lease Cycles'!$CB$31:$CH$31,1,DV401)*(1+INDEX('Lease Cycles'!$CI$31:$CO$31,1,DV401))^INT(INT(DV402/12)/INDEX('Lease Cycles'!$CP$31:$CV$31,1,DV401))/12,IF(DV401=1,IF(DV402&gt;=INDEX('Lease Cycles'!$DK$31:$DQ$31,1,DV401),IF(DV$6&gt;='Lease Cycles'!$AZ$31,'Lease Cycles'!$C$31*'Lease Cycles'!$BA$31/12,IF(DV$6&gt;='Lease Cycles'!$AX$31,'Lease Cycles'!$C$31*'Lease Cycles'!$AY$31/12,IF(DV$6&gt;='Lease Cycles'!$AV$31,'Lease Cycles'!$C$31*'Lease Cycles'!$AW$31/12,IF(DV$6&gt;='Lease Cycles'!$AT$31,'Lease Cycles'!$C$31*'Lease Cycles'!$AU$31/12,'Lease Cycles'!$C$31*INDEX('Lease Cycles'!$CB$31:$CH$31,1,DV401)*(1+INDEX('Lease Cycles'!$CI$31:$CO$31,1,DV401))^INT(INT(DV402/12)/INDEX('Lease Cycles'!$CP$31:$CV$31,1,DV401))/12)))),'Lease Cycles'!$C$31*INDEX('Lease Cycles'!$CB$31:$CH$31,1,DV401)*(1+INDEX('Lease Cycles'!$CI$31:$CO$31,1,DV401))^INT(INT(DV402/12)/INDEX('Lease Cycles'!$CP$31:$CV$31,1,DV401))/12),IF(INDEX('Lease Cycles'!$EF$31:$EL$31,1,DV401)=1,IF(AND('Lease Cycles'!$AZ$31&gt;=INDEX('Lease Cycles'!$BG$31:$BM$31,1,DV401),'Lease Cycles'!$AZ$31&lt;=DV$6),'Lease Cycles'!$C$31*'Lease Cycles'!$BA$31/12,IF(AND('Lease Cycles'!$AX$31&gt;=INDEX('Lease Cycles'!$BG$31:$BM$31,1,DV401),'Lease Cycles'!$AX$31&lt;=DV$6),'Lease Cycles'!$C$31*'Lease Cycles'!$AY$31/12,IF(AND('Lease Cycles'!$AV$31&gt;=INDEX('Lease Cycles'!$BG$31:$BM$31,1,DV401),'Lease Cycles'!$AV$31&lt;=DV$6),'Lease Cycles'!$C$31*'Lease Cycles'!$AW$31/12,IF(AND('Lease Cycles'!$AT$31&gt;=INDEX('Lease Cycles'!$BG$31:$BM$31,1,DV401),'Lease Cycles'!$AT$31&lt;=DV$6),'Lease Cycles'!$C$31*'Lease Cycles'!$AU$31/12,'Lease Cycles'!$C$31*INDEX('Lease Cycles'!$CB$31:$CH$31,1,DV401)*(1+INDEX('Lease Cycles'!$CI$31:$CO$31,1,DV401))^INT(INT(DV402/12)/INDEX('Lease Cycles'!$CP$31:$CV$31,1,DV401))/12)))),'Lease Cycles'!$C$31*INDEX('Lease Cycles'!$CB$31:$CH$31,1,DV401)*(1+INDEX('Lease Cycles'!$CI$31:$CO$31,1,DV401))^INT(INT(DV402/12)/INDEX('Lease Cycles'!$CP$31:$CV$31,1,DV401))/12))),IF('Lease Cycles'!$N$31=1,'Lease Cycles'!$C$31*'Lease Cycles'!$E$31*INDEX('Lease Cycles'!$HE$31:$HK$31,1,DV401)*(1+INDEX('Lease Cycles'!$GQ$31:$GW$31,1,DV401))^INT(INT((DV$6-INDEX('Lease Cycles'!$GJ$31:$GP$31,1,DV401))/12)/INDEX('Lease Cycles'!$GX$31:$HD$31,1,DV401))/12,0)))</f>
        <v>0</v>
      </c>
      <c r="DW404" s="28">
        <f>IF(DW401=0,IF('Lease Cycles'!$F$31&gt;0,'Lease Cycles'!$C$31*'Lease Cycles'!$E$31/12,0),IF(DW403=1,IF('Lease Cycles'!$AT$31&gt;=9999,'Lease Cycles'!$C$31*INDEX('Lease Cycles'!$CB$31:$CH$31,1,DW401)*(1+INDEX('Lease Cycles'!$CI$31:$CO$31,1,DW401))^INT(INT(DW402/12)/INDEX('Lease Cycles'!$CP$31:$CV$31,1,DW401))/12,IF(DW401=1,IF(DW402&gt;=INDEX('Lease Cycles'!$DK$31:$DQ$31,1,DW401),IF(DW$6&gt;='Lease Cycles'!$AZ$31,'Lease Cycles'!$C$31*'Lease Cycles'!$BA$31/12,IF(DW$6&gt;='Lease Cycles'!$AX$31,'Lease Cycles'!$C$31*'Lease Cycles'!$AY$31/12,IF(DW$6&gt;='Lease Cycles'!$AV$31,'Lease Cycles'!$C$31*'Lease Cycles'!$AW$31/12,IF(DW$6&gt;='Lease Cycles'!$AT$31,'Lease Cycles'!$C$31*'Lease Cycles'!$AU$31/12,'Lease Cycles'!$C$31*INDEX('Lease Cycles'!$CB$31:$CH$31,1,DW401)*(1+INDEX('Lease Cycles'!$CI$31:$CO$31,1,DW401))^INT(INT(DW402/12)/INDEX('Lease Cycles'!$CP$31:$CV$31,1,DW401))/12)))),'Lease Cycles'!$C$31*INDEX('Lease Cycles'!$CB$31:$CH$31,1,DW401)*(1+INDEX('Lease Cycles'!$CI$31:$CO$31,1,DW401))^INT(INT(DW402/12)/INDEX('Lease Cycles'!$CP$31:$CV$31,1,DW401))/12),IF(INDEX('Lease Cycles'!$EF$31:$EL$31,1,DW401)=1,IF(AND('Lease Cycles'!$AZ$31&gt;=INDEX('Lease Cycles'!$BG$31:$BM$31,1,DW401),'Lease Cycles'!$AZ$31&lt;=DW$6),'Lease Cycles'!$C$31*'Lease Cycles'!$BA$31/12,IF(AND('Lease Cycles'!$AX$31&gt;=INDEX('Lease Cycles'!$BG$31:$BM$31,1,DW401),'Lease Cycles'!$AX$31&lt;=DW$6),'Lease Cycles'!$C$31*'Lease Cycles'!$AY$31/12,IF(AND('Lease Cycles'!$AV$31&gt;=INDEX('Lease Cycles'!$BG$31:$BM$31,1,DW401),'Lease Cycles'!$AV$31&lt;=DW$6),'Lease Cycles'!$C$31*'Lease Cycles'!$AW$31/12,IF(AND('Lease Cycles'!$AT$31&gt;=INDEX('Lease Cycles'!$BG$31:$BM$31,1,DW401),'Lease Cycles'!$AT$31&lt;=DW$6),'Lease Cycles'!$C$31*'Lease Cycles'!$AU$31/12,'Lease Cycles'!$C$31*INDEX('Lease Cycles'!$CB$31:$CH$31,1,DW401)*(1+INDEX('Lease Cycles'!$CI$31:$CO$31,1,DW401))^INT(INT(DW402/12)/INDEX('Lease Cycles'!$CP$31:$CV$31,1,DW401))/12)))),'Lease Cycles'!$C$31*INDEX('Lease Cycles'!$CB$31:$CH$31,1,DW401)*(1+INDEX('Lease Cycles'!$CI$31:$CO$31,1,DW401))^INT(INT(DW402/12)/INDEX('Lease Cycles'!$CP$31:$CV$31,1,DW401))/12))),IF('Lease Cycles'!$N$31=1,'Lease Cycles'!$C$31*'Lease Cycles'!$E$31*INDEX('Lease Cycles'!$HE$31:$HK$31,1,DW401)*(1+INDEX('Lease Cycles'!$GQ$31:$GW$31,1,DW401))^INT(INT((DW$6-INDEX('Lease Cycles'!$GJ$31:$GP$31,1,DW401))/12)/INDEX('Lease Cycles'!$GX$31:$HD$31,1,DW401))/12,0)))</f>
        <v>0</v>
      </c>
      <c r="DX404" s="28">
        <f>IF(DX401=0,IF('Lease Cycles'!$F$31&gt;0,'Lease Cycles'!$C$31*'Lease Cycles'!$E$31/12,0),IF(DX403=1,IF('Lease Cycles'!$AT$31&gt;=9999,'Lease Cycles'!$C$31*INDEX('Lease Cycles'!$CB$31:$CH$31,1,DX401)*(1+INDEX('Lease Cycles'!$CI$31:$CO$31,1,DX401))^INT(INT(DX402/12)/INDEX('Lease Cycles'!$CP$31:$CV$31,1,DX401))/12,IF(DX401=1,IF(DX402&gt;=INDEX('Lease Cycles'!$DK$31:$DQ$31,1,DX401),IF(DX$6&gt;='Lease Cycles'!$AZ$31,'Lease Cycles'!$C$31*'Lease Cycles'!$BA$31/12,IF(DX$6&gt;='Lease Cycles'!$AX$31,'Lease Cycles'!$C$31*'Lease Cycles'!$AY$31/12,IF(DX$6&gt;='Lease Cycles'!$AV$31,'Lease Cycles'!$C$31*'Lease Cycles'!$AW$31/12,IF(DX$6&gt;='Lease Cycles'!$AT$31,'Lease Cycles'!$C$31*'Lease Cycles'!$AU$31/12,'Lease Cycles'!$C$31*INDEX('Lease Cycles'!$CB$31:$CH$31,1,DX401)*(1+INDEX('Lease Cycles'!$CI$31:$CO$31,1,DX401))^INT(INT(DX402/12)/INDEX('Lease Cycles'!$CP$31:$CV$31,1,DX401))/12)))),'Lease Cycles'!$C$31*INDEX('Lease Cycles'!$CB$31:$CH$31,1,DX401)*(1+INDEX('Lease Cycles'!$CI$31:$CO$31,1,DX401))^INT(INT(DX402/12)/INDEX('Lease Cycles'!$CP$31:$CV$31,1,DX401))/12),IF(INDEX('Lease Cycles'!$EF$31:$EL$31,1,DX401)=1,IF(AND('Lease Cycles'!$AZ$31&gt;=INDEX('Lease Cycles'!$BG$31:$BM$31,1,DX401),'Lease Cycles'!$AZ$31&lt;=DX$6),'Lease Cycles'!$C$31*'Lease Cycles'!$BA$31/12,IF(AND('Lease Cycles'!$AX$31&gt;=INDEX('Lease Cycles'!$BG$31:$BM$31,1,DX401),'Lease Cycles'!$AX$31&lt;=DX$6),'Lease Cycles'!$C$31*'Lease Cycles'!$AY$31/12,IF(AND('Lease Cycles'!$AV$31&gt;=INDEX('Lease Cycles'!$BG$31:$BM$31,1,DX401),'Lease Cycles'!$AV$31&lt;=DX$6),'Lease Cycles'!$C$31*'Lease Cycles'!$AW$31/12,IF(AND('Lease Cycles'!$AT$31&gt;=INDEX('Lease Cycles'!$BG$31:$BM$31,1,DX401),'Lease Cycles'!$AT$31&lt;=DX$6),'Lease Cycles'!$C$31*'Lease Cycles'!$AU$31/12,'Lease Cycles'!$C$31*INDEX('Lease Cycles'!$CB$31:$CH$31,1,DX401)*(1+INDEX('Lease Cycles'!$CI$31:$CO$31,1,DX401))^INT(INT(DX402/12)/INDEX('Lease Cycles'!$CP$31:$CV$31,1,DX401))/12)))),'Lease Cycles'!$C$31*INDEX('Lease Cycles'!$CB$31:$CH$31,1,DX401)*(1+INDEX('Lease Cycles'!$CI$31:$CO$31,1,DX401))^INT(INT(DX402/12)/INDEX('Lease Cycles'!$CP$31:$CV$31,1,DX401))/12))),IF('Lease Cycles'!$N$31=1,'Lease Cycles'!$C$31*'Lease Cycles'!$E$31*INDEX('Lease Cycles'!$HE$31:$HK$31,1,DX401)*(1+INDEX('Lease Cycles'!$GQ$31:$GW$31,1,DX401))^INT(INT((DX$6-INDEX('Lease Cycles'!$GJ$31:$GP$31,1,DX401))/12)/INDEX('Lease Cycles'!$GX$31:$HD$31,1,DX401))/12,0)))</f>
        <v>0</v>
      </c>
      <c r="DY404" s="28">
        <f>IF(DY401=0,IF('Lease Cycles'!$F$31&gt;0,'Lease Cycles'!$C$31*'Lease Cycles'!$E$31/12,0),IF(DY403=1,IF('Lease Cycles'!$AT$31&gt;=9999,'Lease Cycles'!$C$31*INDEX('Lease Cycles'!$CB$31:$CH$31,1,DY401)*(1+INDEX('Lease Cycles'!$CI$31:$CO$31,1,DY401))^INT(INT(DY402/12)/INDEX('Lease Cycles'!$CP$31:$CV$31,1,DY401))/12,IF(DY401=1,IF(DY402&gt;=INDEX('Lease Cycles'!$DK$31:$DQ$31,1,DY401),IF(DY$6&gt;='Lease Cycles'!$AZ$31,'Lease Cycles'!$C$31*'Lease Cycles'!$BA$31/12,IF(DY$6&gt;='Lease Cycles'!$AX$31,'Lease Cycles'!$C$31*'Lease Cycles'!$AY$31/12,IF(DY$6&gt;='Lease Cycles'!$AV$31,'Lease Cycles'!$C$31*'Lease Cycles'!$AW$31/12,IF(DY$6&gt;='Lease Cycles'!$AT$31,'Lease Cycles'!$C$31*'Lease Cycles'!$AU$31/12,'Lease Cycles'!$C$31*INDEX('Lease Cycles'!$CB$31:$CH$31,1,DY401)*(1+INDEX('Lease Cycles'!$CI$31:$CO$31,1,DY401))^INT(INT(DY402/12)/INDEX('Lease Cycles'!$CP$31:$CV$31,1,DY401))/12)))),'Lease Cycles'!$C$31*INDEX('Lease Cycles'!$CB$31:$CH$31,1,DY401)*(1+INDEX('Lease Cycles'!$CI$31:$CO$31,1,DY401))^INT(INT(DY402/12)/INDEX('Lease Cycles'!$CP$31:$CV$31,1,DY401))/12),IF(INDEX('Lease Cycles'!$EF$31:$EL$31,1,DY401)=1,IF(AND('Lease Cycles'!$AZ$31&gt;=INDEX('Lease Cycles'!$BG$31:$BM$31,1,DY401),'Lease Cycles'!$AZ$31&lt;=DY$6),'Lease Cycles'!$C$31*'Lease Cycles'!$BA$31/12,IF(AND('Lease Cycles'!$AX$31&gt;=INDEX('Lease Cycles'!$BG$31:$BM$31,1,DY401),'Lease Cycles'!$AX$31&lt;=DY$6),'Lease Cycles'!$C$31*'Lease Cycles'!$AY$31/12,IF(AND('Lease Cycles'!$AV$31&gt;=INDEX('Lease Cycles'!$BG$31:$BM$31,1,DY401),'Lease Cycles'!$AV$31&lt;=DY$6),'Lease Cycles'!$C$31*'Lease Cycles'!$AW$31/12,IF(AND('Lease Cycles'!$AT$31&gt;=INDEX('Lease Cycles'!$BG$31:$BM$31,1,DY401),'Lease Cycles'!$AT$31&lt;=DY$6),'Lease Cycles'!$C$31*'Lease Cycles'!$AU$31/12,'Lease Cycles'!$C$31*INDEX('Lease Cycles'!$CB$31:$CH$31,1,DY401)*(1+INDEX('Lease Cycles'!$CI$31:$CO$31,1,DY401))^INT(INT(DY402/12)/INDEX('Lease Cycles'!$CP$31:$CV$31,1,DY401))/12)))),'Lease Cycles'!$C$31*INDEX('Lease Cycles'!$CB$31:$CH$31,1,DY401)*(1+INDEX('Lease Cycles'!$CI$31:$CO$31,1,DY401))^INT(INT(DY402/12)/INDEX('Lease Cycles'!$CP$31:$CV$31,1,DY401))/12))),IF('Lease Cycles'!$N$31=1,'Lease Cycles'!$C$31*'Lease Cycles'!$E$31*INDEX('Lease Cycles'!$HE$31:$HK$31,1,DY401)*(1+INDEX('Lease Cycles'!$GQ$31:$GW$31,1,DY401))^INT(INT((DY$6-INDEX('Lease Cycles'!$GJ$31:$GP$31,1,DY401))/12)/INDEX('Lease Cycles'!$GX$31:$HD$31,1,DY401))/12,0)))</f>
        <v>0</v>
      </c>
      <c r="DZ404" s="28">
        <f>IF(DZ401=0,IF('Lease Cycles'!$F$31&gt;0,'Lease Cycles'!$C$31*'Lease Cycles'!$E$31/12,0),IF(DZ403=1,IF('Lease Cycles'!$AT$31&gt;=9999,'Lease Cycles'!$C$31*INDEX('Lease Cycles'!$CB$31:$CH$31,1,DZ401)*(1+INDEX('Lease Cycles'!$CI$31:$CO$31,1,DZ401))^INT(INT(DZ402/12)/INDEX('Lease Cycles'!$CP$31:$CV$31,1,DZ401))/12,IF(DZ401=1,IF(DZ402&gt;=INDEX('Lease Cycles'!$DK$31:$DQ$31,1,DZ401),IF(DZ$6&gt;='Lease Cycles'!$AZ$31,'Lease Cycles'!$C$31*'Lease Cycles'!$BA$31/12,IF(DZ$6&gt;='Lease Cycles'!$AX$31,'Lease Cycles'!$C$31*'Lease Cycles'!$AY$31/12,IF(DZ$6&gt;='Lease Cycles'!$AV$31,'Lease Cycles'!$C$31*'Lease Cycles'!$AW$31/12,IF(DZ$6&gt;='Lease Cycles'!$AT$31,'Lease Cycles'!$C$31*'Lease Cycles'!$AU$31/12,'Lease Cycles'!$C$31*INDEX('Lease Cycles'!$CB$31:$CH$31,1,DZ401)*(1+INDEX('Lease Cycles'!$CI$31:$CO$31,1,DZ401))^INT(INT(DZ402/12)/INDEX('Lease Cycles'!$CP$31:$CV$31,1,DZ401))/12)))),'Lease Cycles'!$C$31*INDEX('Lease Cycles'!$CB$31:$CH$31,1,DZ401)*(1+INDEX('Lease Cycles'!$CI$31:$CO$31,1,DZ401))^INT(INT(DZ402/12)/INDEX('Lease Cycles'!$CP$31:$CV$31,1,DZ401))/12),IF(INDEX('Lease Cycles'!$EF$31:$EL$31,1,DZ401)=1,IF(AND('Lease Cycles'!$AZ$31&gt;=INDEX('Lease Cycles'!$BG$31:$BM$31,1,DZ401),'Lease Cycles'!$AZ$31&lt;=DZ$6),'Lease Cycles'!$C$31*'Lease Cycles'!$BA$31/12,IF(AND('Lease Cycles'!$AX$31&gt;=INDEX('Lease Cycles'!$BG$31:$BM$31,1,DZ401),'Lease Cycles'!$AX$31&lt;=DZ$6),'Lease Cycles'!$C$31*'Lease Cycles'!$AY$31/12,IF(AND('Lease Cycles'!$AV$31&gt;=INDEX('Lease Cycles'!$BG$31:$BM$31,1,DZ401),'Lease Cycles'!$AV$31&lt;=DZ$6),'Lease Cycles'!$C$31*'Lease Cycles'!$AW$31/12,IF(AND('Lease Cycles'!$AT$31&gt;=INDEX('Lease Cycles'!$BG$31:$BM$31,1,DZ401),'Lease Cycles'!$AT$31&lt;=DZ$6),'Lease Cycles'!$C$31*'Lease Cycles'!$AU$31/12,'Lease Cycles'!$C$31*INDEX('Lease Cycles'!$CB$31:$CH$31,1,DZ401)*(1+INDEX('Lease Cycles'!$CI$31:$CO$31,1,DZ401))^INT(INT(DZ402/12)/INDEX('Lease Cycles'!$CP$31:$CV$31,1,DZ401))/12)))),'Lease Cycles'!$C$31*INDEX('Lease Cycles'!$CB$31:$CH$31,1,DZ401)*(1+INDEX('Lease Cycles'!$CI$31:$CO$31,1,DZ401))^INT(INT(DZ402/12)/INDEX('Lease Cycles'!$CP$31:$CV$31,1,DZ401))/12))),IF('Lease Cycles'!$N$31=1,'Lease Cycles'!$C$31*'Lease Cycles'!$E$31*INDEX('Lease Cycles'!$HE$31:$HK$31,1,DZ401)*(1+INDEX('Lease Cycles'!$GQ$31:$GW$31,1,DZ401))^INT(INT((DZ$6-INDEX('Lease Cycles'!$GJ$31:$GP$31,1,DZ401))/12)/INDEX('Lease Cycles'!$GX$31:$HD$31,1,DZ401))/12,0)))</f>
        <v>0</v>
      </c>
      <c r="EA404" s="28">
        <f>IF(EA401=0,IF('Lease Cycles'!$F$31&gt;0,'Lease Cycles'!$C$31*'Lease Cycles'!$E$31/12,0),IF(EA403=1,IF('Lease Cycles'!$AT$31&gt;=9999,'Lease Cycles'!$C$31*INDEX('Lease Cycles'!$CB$31:$CH$31,1,EA401)*(1+INDEX('Lease Cycles'!$CI$31:$CO$31,1,EA401))^INT(INT(EA402/12)/INDEX('Lease Cycles'!$CP$31:$CV$31,1,EA401))/12,IF(EA401=1,IF(EA402&gt;=INDEX('Lease Cycles'!$DK$31:$DQ$31,1,EA401),IF(EA$6&gt;='Lease Cycles'!$AZ$31,'Lease Cycles'!$C$31*'Lease Cycles'!$BA$31/12,IF(EA$6&gt;='Lease Cycles'!$AX$31,'Lease Cycles'!$C$31*'Lease Cycles'!$AY$31/12,IF(EA$6&gt;='Lease Cycles'!$AV$31,'Lease Cycles'!$C$31*'Lease Cycles'!$AW$31/12,IF(EA$6&gt;='Lease Cycles'!$AT$31,'Lease Cycles'!$C$31*'Lease Cycles'!$AU$31/12,'Lease Cycles'!$C$31*INDEX('Lease Cycles'!$CB$31:$CH$31,1,EA401)*(1+INDEX('Lease Cycles'!$CI$31:$CO$31,1,EA401))^INT(INT(EA402/12)/INDEX('Lease Cycles'!$CP$31:$CV$31,1,EA401))/12)))),'Lease Cycles'!$C$31*INDEX('Lease Cycles'!$CB$31:$CH$31,1,EA401)*(1+INDEX('Lease Cycles'!$CI$31:$CO$31,1,EA401))^INT(INT(EA402/12)/INDEX('Lease Cycles'!$CP$31:$CV$31,1,EA401))/12),IF(INDEX('Lease Cycles'!$EF$31:$EL$31,1,EA401)=1,IF(AND('Lease Cycles'!$AZ$31&gt;=INDEX('Lease Cycles'!$BG$31:$BM$31,1,EA401),'Lease Cycles'!$AZ$31&lt;=EA$6),'Lease Cycles'!$C$31*'Lease Cycles'!$BA$31/12,IF(AND('Lease Cycles'!$AX$31&gt;=INDEX('Lease Cycles'!$BG$31:$BM$31,1,EA401),'Lease Cycles'!$AX$31&lt;=EA$6),'Lease Cycles'!$C$31*'Lease Cycles'!$AY$31/12,IF(AND('Lease Cycles'!$AV$31&gt;=INDEX('Lease Cycles'!$BG$31:$BM$31,1,EA401),'Lease Cycles'!$AV$31&lt;=EA$6),'Lease Cycles'!$C$31*'Lease Cycles'!$AW$31/12,IF(AND('Lease Cycles'!$AT$31&gt;=INDEX('Lease Cycles'!$BG$31:$BM$31,1,EA401),'Lease Cycles'!$AT$31&lt;=EA$6),'Lease Cycles'!$C$31*'Lease Cycles'!$AU$31/12,'Lease Cycles'!$C$31*INDEX('Lease Cycles'!$CB$31:$CH$31,1,EA401)*(1+INDEX('Lease Cycles'!$CI$31:$CO$31,1,EA401))^INT(INT(EA402/12)/INDEX('Lease Cycles'!$CP$31:$CV$31,1,EA401))/12)))),'Lease Cycles'!$C$31*INDEX('Lease Cycles'!$CB$31:$CH$31,1,EA401)*(1+INDEX('Lease Cycles'!$CI$31:$CO$31,1,EA401))^INT(INT(EA402/12)/INDEX('Lease Cycles'!$CP$31:$CV$31,1,EA401))/12))),IF('Lease Cycles'!$N$31=1,'Lease Cycles'!$C$31*'Lease Cycles'!$E$31*INDEX('Lease Cycles'!$HE$31:$HK$31,1,EA401)*(1+INDEX('Lease Cycles'!$GQ$31:$GW$31,1,EA401))^INT(INT((EA$6-INDEX('Lease Cycles'!$GJ$31:$GP$31,1,EA401))/12)/INDEX('Lease Cycles'!$GX$31:$HD$31,1,EA401))/12,0)))</f>
        <v>0</v>
      </c>
      <c r="EB404" s="28">
        <f>IF(EB401=0,IF('Lease Cycles'!$F$31&gt;0,'Lease Cycles'!$C$31*'Lease Cycles'!$E$31/12,0),IF(EB403=1,IF('Lease Cycles'!$AT$31&gt;=9999,'Lease Cycles'!$C$31*INDEX('Lease Cycles'!$CB$31:$CH$31,1,EB401)*(1+INDEX('Lease Cycles'!$CI$31:$CO$31,1,EB401))^INT(INT(EB402/12)/INDEX('Lease Cycles'!$CP$31:$CV$31,1,EB401))/12,IF(EB401=1,IF(EB402&gt;=INDEX('Lease Cycles'!$DK$31:$DQ$31,1,EB401),IF(EB$6&gt;='Lease Cycles'!$AZ$31,'Lease Cycles'!$C$31*'Lease Cycles'!$BA$31/12,IF(EB$6&gt;='Lease Cycles'!$AX$31,'Lease Cycles'!$C$31*'Lease Cycles'!$AY$31/12,IF(EB$6&gt;='Lease Cycles'!$AV$31,'Lease Cycles'!$C$31*'Lease Cycles'!$AW$31/12,IF(EB$6&gt;='Lease Cycles'!$AT$31,'Lease Cycles'!$C$31*'Lease Cycles'!$AU$31/12,'Lease Cycles'!$C$31*INDEX('Lease Cycles'!$CB$31:$CH$31,1,EB401)*(1+INDEX('Lease Cycles'!$CI$31:$CO$31,1,EB401))^INT(INT(EB402/12)/INDEX('Lease Cycles'!$CP$31:$CV$31,1,EB401))/12)))),'Lease Cycles'!$C$31*INDEX('Lease Cycles'!$CB$31:$CH$31,1,EB401)*(1+INDEX('Lease Cycles'!$CI$31:$CO$31,1,EB401))^INT(INT(EB402/12)/INDEX('Lease Cycles'!$CP$31:$CV$31,1,EB401))/12),IF(INDEX('Lease Cycles'!$EF$31:$EL$31,1,EB401)=1,IF(AND('Lease Cycles'!$AZ$31&gt;=INDEX('Lease Cycles'!$BG$31:$BM$31,1,EB401),'Lease Cycles'!$AZ$31&lt;=EB$6),'Lease Cycles'!$C$31*'Lease Cycles'!$BA$31/12,IF(AND('Lease Cycles'!$AX$31&gt;=INDEX('Lease Cycles'!$BG$31:$BM$31,1,EB401),'Lease Cycles'!$AX$31&lt;=EB$6),'Lease Cycles'!$C$31*'Lease Cycles'!$AY$31/12,IF(AND('Lease Cycles'!$AV$31&gt;=INDEX('Lease Cycles'!$BG$31:$BM$31,1,EB401),'Lease Cycles'!$AV$31&lt;=EB$6),'Lease Cycles'!$C$31*'Lease Cycles'!$AW$31/12,IF(AND('Lease Cycles'!$AT$31&gt;=INDEX('Lease Cycles'!$BG$31:$BM$31,1,EB401),'Lease Cycles'!$AT$31&lt;=EB$6),'Lease Cycles'!$C$31*'Lease Cycles'!$AU$31/12,'Lease Cycles'!$C$31*INDEX('Lease Cycles'!$CB$31:$CH$31,1,EB401)*(1+INDEX('Lease Cycles'!$CI$31:$CO$31,1,EB401))^INT(INT(EB402/12)/INDEX('Lease Cycles'!$CP$31:$CV$31,1,EB401))/12)))),'Lease Cycles'!$C$31*INDEX('Lease Cycles'!$CB$31:$CH$31,1,EB401)*(1+INDEX('Lease Cycles'!$CI$31:$CO$31,1,EB401))^INT(INT(EB402/12)/INDEX('Lease Cycles'!$CP$31:$CV$31,1,EB401))/12))),IF('Lease Cycles'!$N$31=1,'Lease Cycles'!$C$31*'Lease Cycles'!$E$31*INDEX('Lease Cycles'!$HE$31:$HK$31,1,EB401)*(1+INDEX('Lease Cycles'!$GQ$31:$GW$31,1,EB401))^INT(INT((EB$6-INDEX('Lease Cycles'!$GJ$31:$GP$31,1,EB401))/12)/INDEX('Lease Cycles'!$GX$31:$HD$31,1,EB401))/12,0)))</f>
        <v>0</v>
      </c>
      <c r="EC404" s="28">
        <f>IF(EC401=0,IF('Lease Cycles'!$F$31&gt;0,'Lease Cycles'!$C$31*'Lease Cycles'!$E$31/12,0),IF(EC403=1,IF('Lease Cycles'!$AT$31&gt;=9999,'Lease Cycles'!$C$31*INDEX('Lease Cycles'!$CB$31:$CH$31,1,EC401)*(1+INDEX('Lease Cycles'!$CI$31:$CO$31,1,EC401))^INT(INT(EC402/12)/INDEX('Lease Cycles'!$CP$31:$CV$31,1,EC401))/12,IF(EC401=1,IF(EC402&gt;=INDEX('Lease Cycles'!$DK$31:$DQ$31,1,EC401),IF(EC$6&gt;='Lease Cycles'!$AZ$31,'Lease Cycles'!$C$31*'Lease Cycles'!$BA$31/12,IF(EC$6&gt;='Lease Cycles'!$AX$31,'Lease Cycles'!$C$31*'Lease Cycles'!$AY$31/12,IF(EC$6&gt;='Lease Cycles'!$AV$31,'Lease Cycles'!$C$31*'Lease Cycles'!$AW$31/12,IF(EC$6&gt;='Lease Cycles'!$AT$31,'Lease Cycles'!$C$31*'Lease Cycles'!$AU$31/12,'Lease Cycles'!$C$31*INDEX('Lease Cycles'!$CB$31:$CH$31,1,EC401)*(1+INDEX('Lease Cycles'!$CI$31:$CO$31,1,EC401))^INT(INT(EC402/12)/INDEX('Lease Cycles'!$CP$31:$CV$31,1,EC401))/12)))),'Lease Cycles'!$C$31*INDEX('Lease Cycles'!$CB$31:$CH$31,1,EC401)*(1+INDEX('Lease Cycles'!$CI$31:$CO$31,1,EC401))^INT(INT(EC402/12)/INDEX('Lease Cycles'!$CP$31:$CV$31,1,EC401))/12),IF(INDEX('Lease Cycles'!$EF$31:$EL$31,1,EC401)=1,IF(AND('Lease Cycles'!$AZ$31&gt;=INDEX('Lease Cycles'!$BG$31:$BM$31,1,EC401),'Lease Cycles'!$AZ$31&lt;=EC$6),'Lease Cycles'!$C$31*'Lease Cycles'!$BA$31/12,IF(AND('Lease Cycles'!$AX$31&gt;=INDEX('Lease Cycles'!$BG$31:$BM$31,1,EC401),'Lease Cycles'!$AX$31&lt;=EC$6),'Lease Cycles'!$C$31*'Lease Cycles'!$AY$31/12,IF(AND('Lease Cycles'!$AV$31&gt;=INDEX('Lease Cycles'!$BG$31:$BM$31,1,EC401),'Lease Cycles'!$AV$31&lt;=EC$6),'Lease Cycles'!$C$31*'Lease Cycles'!$AW$31/12,IF(AND('Lease Cycles'!$AT$31&gt;=INDEX('Lease Cycles'!$BG$31:$BM$31,1,EC401),'Lease Cycles'!$AT$31&lt;=EC$6),'Lease Cycles'!$C$31*'Lease Cycles'!$AU$31/12,'Lease Cycles'!$C$31*INDEX('Lease Cycles'!$CB$31:$CH$31,1,EC401)*(1+INDEX('Lease Cycles'!$CI$31:$CO$31,1,EC401))^INT(INT(EC402/12)/INDEX('Lease Cycles'!$CP$31:$CV$31,1,EC401))/12)))),'Lease Cycles'!$C$31*INDEX('Lease Cycles'!$CB$31:$CH$31,1,EC401)*(1+INDEX('Lease Cycles'!$CI$31:$CO$31,1,EC401))^INT(INT(EC402/12)/INDEX('Lease Cycles'!$CP$31:$CV$31,1,EC401))/12))),IF('Lease Cycles'!$N$31=1,'Lease Cycles'!$C$31*'Lease Cycles'!$E$31*INDEX('Lease Cycles'!$HE$31:$HK$31,1,EC401)*(1+INDEX('Lease Cycles'!$GQ$31:$GW$31,1,EC401))^INT(INT((EC$6-INDEX('Lease Cycles'!$GJ$31:$GP$31,1,EC401))/12)/INDEX('Lease Cycles'!$GX$31:$HD$31,1,EC401))/12,0)))</f>
        <v>0</v>
      </c>
      <c r="ED404" s="28">
        <f>IF(ED401=0,IF('Lease Cycles'!$F$31&gt;0,'Lease Cycles'!$C$31*'Lease Cycles'!$E$31/12,0),IF(ED403=1,IF('Lease Cycles'!$AT$31&gt;=9999,'Lease Cycles'!$C$31*INDEX('Lease Cycles'!$CB$31:$CH$31,1,ED401)*(1+INDEX('Lease Cycles'!$CI$31:$CO$31,1,ED401))^INT(INT(ED402/12)/INDEX('Lease Cycles'!$CP$31:$CV$31,1,ED401))/12,IF(ED401=1,IF(ED402&gt;=INDEX('Lease Cycles'!$DK$31:$DQ$31,1,ED401),IF(ED$6&gt;='Lease Cycles'!$AZ$31,'Lease Cycles'!$C$31*'Lease Cycles'!$BA$31/12,IF(ED$6&gt;='Lease Cycles'!$AX$31,'Lease Cycles'!$C$31*'Lease Cycles'!$AY$31/12,IF(ED$6&gt;='Lease Cycles'!$AV$31,'Lease Cycles'!$C$31*'Lease Cycles'!$AW$31/12,IF(ED$6&gt;='Lease Cycles'!$AT$31,'Lease Cycles'!$C$31*'Lease Cycles'!$AU$31/12,'Lease Cycles'!$C$31*INDEX('Lease Cycles'!$CB$31:$CH$31,1,ED401)*(1+INDEX('Lease Cycles'!$CI$31:$CO$31,1,ED401))^INT(INT(ED402/12)/INDEX('Lease Cycles'!$CP$31:$CV$31,1,ED401))/12)))),'Lease Cycles'!$C$31*INDEX('Lease Cycles'!$CB$31:$CH$31,1,ED401)*(1+INDEX('Lease Cycles'!$CI$31:$CO$31,1,ED401))^INT(INT(ED402/12)/INDEX('Lease Cycles'!$CP$31:$CV$31,1,ED401))/12),IF(INDEX('Lease Cycles'!$EF$31:$EL$31,1,ED401)=1,IF(AND('Lease Cycles'!$AZ$31&gt;=INDEX('Lease Cycles'!$BG$31:$BM$31,1,ED401),'Lease Cycles'!$AZ$31&lt;=ED$6),'Lease Cycles'!$C$31*'Lease Cycles'!$BA$31/12,IF(AND('Lease Cycles'!$AX$31&gt;=INDEX('Lease Cycles'!$BG$31:$BM$31,1,ED401),'Lease Cycles'!$AX$31&lt;=ED$6),'Lease Cycles'!$C$31*'Lease Cycles'!$AY$31/12,IF(AND('Lease Cycles'!$AV$31&gt;=INDEX('Lease Cycles'!$BG$31:$BM$31,1,ED401),'Lease Cycles'!$AV$31&lt;=ED$6),'Lease Cycles'!$C$31*'Lease Cycles'!$AW$31/12,IF(AND('Lease Cycles'!$AT$31&gt;=INDEX('Lease Cycles'!$BG$31:$BM$31,1,ED401),'Lease Cycles'!$AT$31&lt;=ED$6),'Lease Cycles'!$C$31*'Lease Cycles'!$AU$31/12,'Lease Cycles'!$C$31*INDEX('Lease Cycles'!$CB$31:$CH$31,1,ED401)*(1+INDEX('Lease Cycles'!$CI$31:$CO$31,1,ED401))^INT(INT(ED402/12)/INDEX('Lease Cycles'!$CP$31:$CV$31,1,ED401))/12)))),'Lease Cycles'!$C$31*INDEX('Lease Cycles'!$CB$31:$CH$31,1,ED401)*(1+INDEX('Lease Cycles'!$CI$31:$CO$31,1,ED401))^INT(INT(ED402/12)/INDEX('Lease Cycles'!$CP$31:$CV$31,1,ED401))/12))),IF('Lease Cycles'!$N$31=1,'Lease Cycles'!$C$31*'Lease Cycles'!$E$31*INDEX('Lease Cycles'!$HE$31:$HK$31,1,ED401)*(1+INDEX('Lease Cycles'!$GQ$31:$GW$31,1,ED401))^INT(INT((ED$6-INDEX('Lease Cycles'!$GJ$31:$GP$31,1,ED401))/12)/INDEX('Lease Cycles'!$GX$31:$HD$31,1,ED401))/12,0)))</f>
        <v>0</v>
      </c>
      <c r="EE404" s="28">
        <f>IF(EE401=0,IF('Lease Cycles'!$F$31&gt;0,'Lease Cycles'!$C$31*'Lease Cycles'!$E$31/12,0),IF(EE403=1,IF('Lease Cycles'!$AT$31&gt;=9999,'Lease Cycles'!$C$31*INDEX('Lease Cycles'!$CB$31:$CH$31,1,EE401)*(1+INDEX('Lease Cycles'!$CI$31:$CO$31,1,EE401))^INT(INT(EE402/12)/INDEX('Lease Cycles'!$CP$31:$CV$31,1,EE401))/12,IF(EE401=1,IF(EE402&gt;=INDEX('Lease Cycles'!$DK$31:$DQ$31,1,EE401),IF(EE$6&gt;='Lease Cycles'!$AZ$31,'Lease Cycles'!$C$31*'Lease Cycles'!$BA$31/12,IF(EE$6&gt;='Lease Cycles'!$AX$31,'Lease Cycles'!$C$31*'Lease Cycles'!$AY$31/12,IF(EE$6&gt;='Lease Cycles'!$AV$31,'Lease Cycles'!$C$31*'Lease Cycles'!$AW$31/12,IF(EE$6&gt;='Lease Cycles'!$AT$31,'Lease Cycles'!$C$31*'Lease Cycles'!$AU$31/12,'Lease Cycles'!$C$31*INDEX('Lease Cycles'!$CB$31:$CH$31,1,EE401)*(1+INDEX('Lease Cycles'!$CI$31:$CO$31,1,EE401))^INT(INT(EE402/12)/INDEX('Lease Cycles'!$CP$31:$CV$31,1,EE401))/12)))),'Lease Cycles'!$C$31*INDEX('Lease Cycles'!$CB$31:$CH$31,1,EE401)*(1+INDEX('Lease Cycles'!$CI$31:$CO$31,1,EE401))^INT(INT(EE402/12)/INDEX('Lease Cycles'!$CP$31:$CV$31,1,EE401))/12),IF(INDEX('Lease Cycles'!$EF$31:$EL$31,1,EE401)=1,IF(AND('Lease Cycles'!$AZ$31&gt;=INDEX('Lease Cycles'!$BG$31:$BM$31,1,EE401),'Lease Cycles'!$AZ$31&lt;=EE$6),'Lease Cycles'!$C$31*'Lease Cycles'!$BA$31/12,IF(AND('Lease Cycles'!$AX$31&gt;=INDEX('Lease Cycles'!$BG$31:$BM$31,1,EE401),'Lease Cycles'!$AX$31&lt;=EE$6),'Lease Cycles'!$C$31*'Lease Cycles'!$AY$31/12,IF(AND('Lease Cycles'!$AV$31&gt;=INDEX('Lease Cycles'!$BG$31:$BM$31,1,EE401),'Lease Cycles'!$AV$31&lt;=EE$6),'Lease Cycles'!$C$31*'Lease Cycles'!$AW$31/12,IF(AND('Lease Cycles'!$AT$31&gt;=INDEX('Lease Cycles'!$BG$31:$BM$31,1,EE401),'Lease Cycles'!$AT$31&lt;=EE$6),'Lease Cycles'!$C$31*'Lease Cycles'!$AU$31/12,'Lease Cycles'!$C$31*INDEX('Lease Cycles'!$CB$31:$CH$31,1,EE401)*(1+INDEX('Lease Cycles'!$CI$31:$CO$31,1,EE401))^INT(INT(EE402/12)/INDEX('Lease Cycles'!$CP$31:$CV$31,1,EE401))/12)))),'Lease Cycles'!$C$31*INDEX('Lease Cycles'!$CB$31:$CH$31,1,EE401)*(1+INDEX('Lease Cycles'!$CI$31:$CO$31,1,EE401))^INT(INT(EE402/12)/INDEX('Lease Cycles'!$CP$31:$CV$31,1,EE401))/12))),IF('Lease Cycles'!$N$31=1,'Lease Cycles'!$C$31*'Lease Cycles'!$E$31*INDEX('Lease Cycles'!$HE$31:$HK$31,1,EE401)*(1+INDEX('Lease Cycles'!$GQ$31:$GW$31,1,EE401))^INT(INT((EE$6-INDEX('Lease Cycles'!$GJ$31:$GP$31,1,EE401))/12)/INDEX('Lease Cycles'!$GX$31:$HD$31,1,EE401))/12,0)))</f>
        <v>0</v>
      </c>
      <c r="EF404" s="28">
        <f>IF(EF401=0,IF('Lease Cycles'!$F$31&gt;0,'Lease Cycles'!$C$31*'Lease Cycles'!$E$31/12,0),IF(EF403=1,IF('Lease Cycles'!$AT$31&gt;=9999,'Lease Cycles'!$C$31*INDEX('Lease Cycles'!$CB$31:$CH$31,1,EF401)*(1+INDEX('Lease Cycles'!$CI$31:$CO$31,1,EF401))^INT(INT(EF402/12)/INDEX('Lease Cycles'!$CP$31:$CV$31,1,EF401))/12,IF(EF401=1,IF(EF402&gt;=INDEX('Lease Cycles'!$DK$31:$DQ$31,1,EF401),IF(EF$6&gt;='Lease Cycles'!$AZ$31,'Lease Cycles'!$C$31*'Lease Cycles'!$BA$31/12,IF(EF$6&gt;='Lease Cycles'!$AX$31,'Lease Cycles'!$C$31*'Lease Cycles'!$AY$31/12,IF(EF$6&gt;='Lease Cycles'!$AV$31,'Lease Cycles'!$C$31*'Lease Cycles'!$AW$31/12,IF(EF$6&gt;='Lease Cycles'!$AT$31,'Lease Cycles'!$C$31*'Lease Cycles'!$AU$31/12,'Lease Cycles'!$C$31*INDEX('Lease Cycles'!$CB$31:$CH$31,1,EF401)*(1+INDEX('Lease Cycles'!$CI$31:$CO$31,1,EF401))^INT(INT(EF402/12)/INDEX('Lease Cycles'!$CP$31:$CV$31,1,EF401))/12)))),'Lease Cycles'!$C$31*INDEX('Lease Cycles'!$CB$31:$CH$31,1,EF401)*(1+INDEX('Lease Cycles'!$CI$31:$CO$31,1,EF401))^INT(INT(EF402/12)/INDEX('Lease Cycles'!$CP$31:$CV$31,1,EF401))/12),IF(INDEX('Lease Cycles'!$EF$31:$EL$31,1,EF401)=1,IF(AND('Lease Cycles'!$AZ$31&gt;=INDEX('Lease Cycles'!$BG$31:$BM$31,1,EF401),'Lease Cycles'!$AZ$31&lt;=EF$6),'Lease Cycles'!$C$31*'Lease Cycles'!$BA$31/12,IF(AND('Lease Cycles'!$AX$31&gt;=INDEX('Lease Cycles'!$BG$31:$BM$31,1,EF401),'Lease Cycles'!$AX$31&lt;=EF$6),'Lease Cycles'!$C$31*'Lease Cycles'!$AY$31/12,IF(AND('Lease Cycles'!$AV$31&gt;=INDEX('Lease Cycles'!$BG$31:$BM$31,1,EF401),'Lease Cycles'!$AV$31&lt;=EF$6),'Lease Cycles'!$C$31*'Lease Cycles'!$AW$31/12,IF(AND('Lease Cycles'!$AT$31&gt;=INDEX('Lease Cycles'!$BG$31:$BM$31,1,EF401),'Lease Cycles'!$AT$31&lt;=EF$6),'Lease Cycles'!$C$31*'Lease Cycles'!$AU$31/12,'Lease Cycles'!$C$31*INDEX('Lease Cycles'!$CB$31:$CH$31,1,EF401)*(1+INDEX('Lease Cycles'!$CI$31:$CO$31,1,EF401))^INT(INT(EF402/12)/INDEX('Lease Cycles'!$CP$31:$CV$31,1,EF401))/12)))),'Lease Cycles'!$C$31*INDEX('Lease Cycles'!$CB$31:$CH$31,1,EF401)*(1+INDEX('Lease Cycles'!$CI$31:$CO$31,1,EF401))^INT(INT(EF402/12)/INDEX('Lease Cycles'!$CP$31:$CV$31,1,EF401))/12))),IF('Lease Cycles'!$N$31=1,'Lease Cycles'!$C$31*'Lease Cycles'!$E$31*INDEX('Lease Cycles'!$HE$31:$HK$31,1,EF401)*(1+INDEX('Lease Cycles'!$GQ$31:$GW$31,1,EF401))^INT(INT((EF$6-INDEX('Lease Cycles'!$GJ$31:$GP$31,1,EF401))/12)/INDEX('Lease Cycles'!$GX$31:$HD$31,1,EF401))/12,0)))</f>
        <v>0</v>
      </c>
      <c r="EG404" s="28">
        <f>IF(EG401=0,IF('Lease Cycles'!$F$31&gt;0,'Lease Cycles'!$C$31*'Lease Cycles'!$E$31/12,0),IF(EG403=1,IF('Lease Cycles'!$AT$31&gt;=9999,'Lease Cycles'!$C$31*INDEX('Lease Cycles'!$CB$31:$CH$31,1,EG401)*(1+INDEX('Lease Cycles'!$CI$31:$CO$31,1,EG401))^INT(INT(EG402/12)/INDEX('Lease Cycles'!$CP$31:$CV$31,1,EG401))/12,IF(EG401=1,IF(EG402&gt;=INDEX('Lease Cycles'!$DK$31:$DQ$31,1,EG401),IF(EG$6&gt;='Lease Cycles'!$AZ$31,'Lease Cycles'!$C$31*'Lease Cycles'!$BA$31/12,IF(EG$6&gt;='Lease Cycles'!$AX$31,'Lease Cycles'!$C$31*'Lease Cycles'!$AY$31/12,IF(EG$6&gt;='Lease Cycles'!$AV$31,'Lease Cycles'!$C$31*'Lease Cycles'!$AW$31/12,IF(EG$6&gt;='Lease Cycles'!$AT$31,'Lease Cycles'!$C$31*'Lease Cycles'!$AU$31/12,'Lease Cycles'!$C$31*INDEX('Lease Cycles'!$CB$31:$CH$31,1,EG401)*(1+INDEX('Lease Cycles'!$CI$31:$CO$31,1,EG401))^INT(INT(EG402/12)/INDEX('Lease Cycles'!$CP$31:$CV$31,1,EG401))/12)))),'Lease Cycles'!$C$31*INDEX('Lease Cycles'!$CB$31:$CH$31,1,EG401)*(1+INDEX('Lease Cycles'!$CI$31:$CO$31,1,EG401))^INT(INT(EG402/12)/INDEX('Lease Cycles'!$CP$31:$CV$31,1,EG401))/12),IF(INDEX('Lease Cycles'!$EF$31:$EL$31,1,EG401)=1,IF(AND('Lease Cycles'!$AZ$31&gt;=INDEX('Lease Cycles'!$BG$31:$BM$31,1,EG401),'Lease Cycles'!$AZ$31&lt;=EG$6),'Lease Cycles'!$C$31*'Lease Cycles'!$BA$31/12,IF(AND('Lease Cycles'!$AX$31&gt;=INDEX('Lease Cycles'!$BG$31:$BM$31,1,EG401),'Lease Cycles'!$AX$31&lt;=EG$6),'Lease Cycles'!$C$31*'Lease Cycles'!$AY$31/12,IF(AND('Lease Cycles'!$AV$31&gt;=INDEX('Lease Cycles'!$BG$31:$BM$31,1,EG401),'Lease Cycles'!$AV$31&lt;=EG$6),'Lease Cycles'!$C$31*'Lease Cycles'!$AW$31/12,IF(AND('Lease Cycles'!$AT$31&gt;=INDEX('Lease Cycles'!$BG$31:$BM$31,1,EG401),'Lease Cycles'!$AT$31&lt;=EG$6),'Lease Cycles'!$C$31*'Lease Cycles'!$AU$31/12,'Lease Cycles'!$C$31*INDEX('Lease Cycles'!$CB$31:$CH$31,1,EG401)*(1+INDEX('Lease Cycles'!$CI$31:$CO$31,1,EG401))^INT(INT(EG402/12)/INDEX('Lease Cycles'!$CP$31:$CV$31,1,EG401))/12)))),'Lease Cycles'!$C$31*INDEX('Lease Cycles'!$CB$31:$CH$31,1,EG401)*(1+INDEX('Lease Cycles'!$CI$31:$CO$31,1,EG401))^INT(INT(EG402/12)/INDEX('Lease Cycles'!$CP$31:$CV$31,1,EG401))/12))),IF('Lease Cycles'!$N$31=1,'Lease Cycles'!$C$31*'Lease Cycles'!$E$31*INDEX('Lease Cycles'!$HE$31:$HK$31,1,EG401)*(1+INDEX('Lease Cycles'!$GQ$31:$GW$31,1,EG401))^INT(INT((EG$6-INDEX('Lease Cycles'!$GJ$31:$GP$31,1,EG401))/12)/INDEX('Lease Cycles'!$GX$31:$HD$31,1,EG401))/12,0)))</f>
        <v>0</v>
      </c>
      <c r="EH404" s="28">
        <f>IF(EH401=0,IF('Lease Cycles'!$F$31&gt;0,'Lease Cycles'!$C$31*'Lease Cycles'!$E$31/12,0),IF(EH403=1,IF('Lease Cycles'!$AT$31&gt;=9999,'Lease Cycles'!$C$31*INDEX('Lease Cycles'!$CB$31:$CH$31,1,EH401)*(1+INDEX('Lease Cycles'!$CI$31:$CO$31,1,EH401))^INT(INT(EH402/12)/INDEX('Lease Cycles'!$CP$31:$CV$31,1,EH401))/12,IF(EH401=1,IF(EH402&gt;=INDEX('Lease Cycles'!$DK$31:$DQ$31,1,EH401),IF(EH$6&gt;='Lease Cycles'!$AZ$31,'Lease Cycles'!$C$31*'Lease Cycles'!$BA$31/12,IF(EH$6&gt;='Lease Cycles'!$AX$31,'Lease Cycles'!$C$31*'Lease Cycles'!$AY$31/12,IF(EH$6&gt;='Lease Cycles'!$AV$31,'Lease Cycles'!$C$31*'Lease Cycles'!$AW$31/12,IF(EH$6&gt;='Lease Cycles'!$AT$31,'Lease Cycles'!$C$31*'Lease Cycles'!$AU$31/12,'Lease Cycles'!$C$31*INDEX('Lease Cycles'!$CB$31:$CH$31,1,EH401)*(1+INDEX('Lease Cycles'!$CI$31:$CO$31,1,EH401))^INT(INT(EH402/12)/INDEX('Lease Cycles'!$CP$31:$CV$31,1,EH401))/12)))),'Lease Cycles'!$C$31*INDEX('Lease Cycles'!$CB$31:$CH$31,1,EH401)*(1+INDEX('Lease Cycles'!$CI$31:$CO$31,1,EH401))^INT(INT(EH402/12)/INDEX('Lease Cycles'!$CP$31:$CV$31,1,EH401))/12),IF(INDEX('Lease Cycles'!$EF$31:$EL$31,1,EH401)=1,IF(AND('Lease Cycles'!$AZ$31&gt;=INDEX('Lease Cycles'!$BG$31:$BM$31,1,EH401),'Lease Cycles'!$AZ$31&lt;=EH$6),'Lease Cycles'!$C$31*'Lease Cycles'!$BA$31/12,IF(AND('Lease Cycles'!$AX$31&gt;=INDEX('Lease Cycles'!$BG$31:$BM$31,1,EH401),'Lease Cycles'!$AX$31&lt;=EH$6),'Lease Cycles'!$C$31*'Lease Cycles'!$AY$31/12,IF(AND('Lease Cycles'!$AV$31&gt;=INDEX('Lease Cycles'!$BG$31:$BM$31,1,EH401),'Lease Cycles'!$AV$31&lt;=EH$6),'Lease Cycles'!$C$31*'Lease Cycles'!$AW$31/12,IF(AND('Lease Cycles'!$AT$31&gt;=INDEX('Lease Cycles'!$BG$31:$BM$31,1,EH401),'Lease Cycles'!$AT$31&lt;=EH$6),'Lease Cycles'!$C$31*'Lease Cycles'!$AU$31/12,'Lease Cycles'!$C$31*INDEX('Lease Cycles'!$CB$31:$CH$31,1,EH401)*(1+INDEX('Lease Cycles'!$CI$31:$CO$31,1,EH401))^INT(INT(EH402/12)/INDEX('Lease Cycles'!$CP$31:$CV$31,1,EH401))/12)))),'Lease Cycles'!$C$31*INDEX('Lease Cycles'!$CB$31:$CH$31,1,EH401)*(1+INDEX('Lease Cycles'!$CI$31:$CO$31,1,EH401))^INT(INT(EH402/12)/INDEX('Lease Cycles'!$CP$31:$CV$31,1,EH401))/12))),IF('Lease Cycles'!$N$31=1,'Lease Cycles'!$C$31*'Lease Cycles'!$E$31*INDEX('Lease Cycles'!$HE$31:$HK$31,1,EH401)*(1+INDEX('Lease Cycles'!$GQ$31:$GW$31,1,EH401))^INT(INT((EH$6-INDEX('Lease Cycles'!$GJ$31:$GP$31,1,EH401))/12)/INDEX('Lease Cycles'!$GX$31:$HD$31,1,EH401))/12,0)))</f>
        <v>0</v>
      </c>
      <c r="EI404" s="28">
        <f>IF(EI401=0,IF('Lease Cycles'!$F$31&gt;0,'Lease Cycles'!$C$31*'Lease Cycles'!$E$31/12,0),IF(EI403=1,IF('Lease Cycles'!$AT$31&gt;=9999,'Lease Cycles'!$C$31*INDEX('Lease Cycles'!$CB$31:$CH$31,1,EI401)*(1+INDEX('Lease Cycles'!$CI$31:$CO$31,1,EI401))^INT(INT(EI402/12)/INDEX('Lease Cycles'!$CP$31:$CV$31,1,EI401))/12,IF(EI401=1,IF(EI402&gt;=INDEX('Lease Cycles'!$DK$31:$DQ$31,1,EI401),IF(EI$6&gt;='Lease Cycles'!$AZ$31,'Lease Cycles'!$C$31*'Lease Cycles'!$BA$31/12,IF(EI$6&gt;='Lease Cycles'!$AX$31,'Lease Cycles'!$C$31*'Lease Cycles'!$AY$31/12,IF(EI$6&gt;='Lease Cycles'!$AV$31,'Lease Cycles'!$C$31*'Lease Cycles'!$AW$31/12,IF(EI$6&gt;='Lease Cycles'!$AT$31,'Lease Cycles'!$C$31*'Lease Cycles'!$AU$31/12,'Lease Cycles'!$C$31*INDEX('Lease Cycles'!$CB$31:$CH$31,1,EI401)*(1+INDEX('Lease Cycles'!$CI$31:$CO$31,1,EI401))^INT(INT(EI402/12)/INDEX('Lease Cycles'!$CP$31:$CV$31,1,EI401))/12)))),'Lease Cycles'!$C$31*INDEX('Lease Cycles'!$CB$31:$CH$31,1,EI401)*(1+INDEX('Lease Cycles'!$CI$31:$CO$31,1,EI401))^INT(INT(EI402/12)/INDEX('Lease Cycles'!$CP$31:$CV$31,1,EI401))/12),IF(INDEX('Lease Cycles'!$EF$31:$EL$31,1,EI401)=1,IF(AND('Lease Cycles'!$AZ$31&gt;=INDEX('Lease Cycles'!$BG$31:$BM$31,1,EI401),'Lease Cycles'!$AZ$31&lt;=EI$6),'Lease Cycles'!$C$31*'Lease Cycles'!$BA$31/12,IF(AND('Lease Cycles'!$AX$31&gt;=INDEX('Lease Cycles'!$BG$31:$BM$31,1,EI401),'Lease Cycles'!$AX$31&lt;=EI$6),'Lease Cycles'!$C$31*'Lease Cycles'!$AY$31/12,IF(AND('Lease Cycles'!$AV$31&gt;=INDEX('Lease Cycles'!$BG$31:$BM$31,1,EI401),'Lease Cycles'!$AV$31&lt;=EI$6),'Lease Cycles'!$C$31*'Lease Cycles'!$AW$31/12,IF(AND('Lease Cycles'!$AT$31&gt;=INDEX('Lease Cycles'!$BG$31:$BM$31,1,EI401),'Lease Cycles'!$AT$31&lt;=EI$6),'Lease Cycles'!$C$31*'Lease Cycles'!$AU$31/12,'Lease Cycles'!$C$31*INDEX('Lease Cycles'!$CB$31:$CH$31,1,EI401)*(1+INDEX('Lease Cycles'!$CI$31:$CO$31,1,EI401))^INT(INT(EI402/12)/INDEX('Lease Cycles'!$CP$31:$CV$31,1,EI401))/12)))),'Lease Cycles'!$C$31*INDEX('Lease Cycles'!$CB$31:$CH$31,1,EI401)*(1+INDEX('Lease Cycles'!$CI$31:$CO$31,1,EI401))^INT(INT(EI402/12)/INDEX('Lease Cycles'!$CP$31:$CV$31,1,EI401))/12))),IF('Lease Cycles'!$N$31=1,'Lease Cycles'!$C$31*'Lease Cycles'!$E$31*INDEX('Lease Cycles'!$HE$31:$HK$31,1,EI401)*(1+INDEX('Lease Cycles'!$GQ$31:$GW$31,1,EI401))^INT(INT((EI$6-INDEX('Lease Cycles'!$GJ$31:$GP$31,1,EI401))/12)/INDEX('Lease Cycles'!$GX$31:$HD$31,1,EI401))/12,0)))</f>
        <v>0</v>
      </c>
      <c r="EJ404" s="28">
        <f>IF(EJ401=0,IF('Lease Cycles'!$F$31&gt;0,'Lease Cycles'!$C$31*'Lease Cycles'!$E$31/12,0),IF(EJ403=1,IF('Lease Cycles'!$AT$31&gt;=9999,'Lease Cycles'!$C$31*INDEX('Lease Cycles'!$CB$31:$CH$31,1,EJ401)*(1+INDEX('Lease Cycles'!$CI$31:$CO$31,1,EJ401))^INT(INT(EJ402/12)/INDEX('Lease Cycles'!$CP$31:$CV$31,1,EJ401))/12,IF(EJ401=1,IF(EJ402&gt;=INDEX('Lease Cycles'!$DK$31:$DQ$31,1,EJ401),IF(EJ$6&gt;='Lease Cycles'!$AZ$31,'Lease Cycles'!$C$31*'Lease Cycles'!$BA$31/12,IF(EJ$6&gt;='Lease Cycles'!$AX$31,'Lease Cycles'!$C$31*'Lease Cycles'!$AY$31/12,IF(EJ$6&gt;='Lease Cycles'!$AV$31,'Lease Cycles'!$C$31*'Lease Cycles'!$AW$31/12,IF(EJ$6&gt;='Lease Cycles'!$AT$31,'Lease Cycles'!$C$31*'Lease Cycles'!$AU$31/12,'Lease Cycles'!$C$31*INDEX('Lease Cycles'!$CB$31:$CH$31,1,EJ401)*(1+INDEX('Lease Cycles'!$CI$31:$CO$31,1,EJ401))^INT(INT(EJ402/12)/INDEX('Lease Cycles'!$CP$31:$CV$31,1,EJ401))/12)))),'Lease Cycles'!$C$31*INDEX('Lease Cycles'!$CB$31:$CH$31,1,EJ401)*(1+INDEX('Lease Cycles'!$CI$31:$CO$31,1,EJ401))^INT(INT(EJ402/12)/INDEX('Lease Cycles'!$CP$31:$CV$31,1,EJ401))/12),IF(INDEX('Lease Cycles'!$EF$31:$EL$31,1,EJ401)=1,IF(AND('Lease Cycles'!$AZ$31&gt;=INDEX('Lease Cycles'!$BG$31:$BM$31,1,EJ401),'Lease Cycles'!$AZ$31&lt;=EJ$6),'Lease Cycles'!$C$31*'Lease Cycles'!$BA$31/12,IF(AND('Lease Cycles'!$AX$31&gt;=INDEX('Lease Cycles'!$BG$31:$BM$31,1,EJ401),'Lease Cycles'!$AX$31&lt;=EJ$6),'Lease Cycles'!$C$31*'Lease Cycles'!$AY$31/12,IF(AND('Lease Cycles'!$AV$31&gt;=INDEX('Lease Cycles'!$BG$31:$BM$31,1,EJ401),'Lease Cycles'!$AV$31&lt;=EJ$6),'Lease Cycles'!$C$31*'Lease Cycles'!$AW$31/12,IF(AND('Lease Cycles'!$AT$31&gt;=INDEX('Lease Cycles'!$BG$31:$BM$31,1,EJ401),'Lease Cycles'!$AT$31&lt;=EJ$6),'Lease Cycles'!$C$31*'Lease Cycles'!$AU$31/12,'Lease Cycles'!$C$31*INDEX('Lease Cycles'!$CB$31:$CH$31,1,EJ401)*(1+INDEX('Lease Cycles'!$CI$31:$CO$31,1,EJ401))^INT(INT(EJ402/12)/INDEX('Lease Cycles'!$CP$31:$CV$31,1,EJ401))/12)))),'Lease Cycles'!$C$31*INDEX('Lease Cycles'!$CB$31:$CH$31,1,EJ401)*(1+INDEX('Lease Cycles'!$CI$31:$CO$31,1,EJ401))^INT(INT(EJ402/12)/INDEX('Lease Cycles'!$CP$31:$CV$31,1,EJ401))/12))),IF('Lease Cycles'!$N$31=1,'Lease Cycles'!$C$31*'Lease Cycles'!$E$31*INDEX('Lease Cycles'!$HE$31:$HK$31,1,EJ401)*(1+INDEX('Lease Cycles'!$GQ$31:$GW$31,1,EJ401))^INT(INT((EJ$6-INDEX('Lease Cycles'!$GJ$31:$GP$31,1,EJ401))/12)/INDEX('Lease Cycles'!$GX$31:$HD$31,1,EJ401))/12,0)))</f>
        <v>0</v>
      </c>
      <c r="EK404" s="28">
        <f>IF(EK401=0,IF('Lease Cycles'!$F$31&gt;0,'Lease Cycles'!$C$31*'Lease Cycles'!$E$31/12,0),IF(EK403=1,IF('Lease Cycles'!$AT$31&gt;=9999,'Lease Cycles'!$C$31*INDEX('Lease Cycles'!$CB$31:$CH$31,1,EK401)*(1+INDEX('Lease Cycles'!$CI$31:$CO$31,1,EK401))^INT(INT(EK402/12)/INDEX('Lease Cycles'!$CP$31:$CV$31,1,EK401))/12,IF(EK401=1,IF(EK402&gt;=INDEX('Lease Cycles'!$DK$31:$DQ$31,1,EK401),IF(EK$6&gt;='Lease Cycles'!$AZ$31,'Lease Cycles'!$C$31*'Lease Cycles'!$BA$31/12,IF(EK$6&gt;='Lease Cycles'!$AX$31,'Lease Cycles'!$C$31*'Lease Cycles'!$AY$31/12,IF(EK$6&gt;='Lease Cycles'!$AV$31,'Lease Cycles'!$C$31*'Lease Cycles'!$AW$31/12,IF(EK$6&gt;='Lease Cycles'!$AT$31,'Lease Cycles'!$C$31*'Lease Cycles'!$AU$31/12,'Lease Cycles'!$C$31*INDEX('Lease Cycles'!$CB$31:$CH$31,1,EK401)*(1+INDEX('Lease Cycles'!$CI$31:$CO$31,1,EK401))^INT(INT(EK402/12)/INDEX('Lease Cycles'!$CP$31:$CV$31,1,EK401))/12)))),'Lease Cycles'!$C$31*INDEX('Lease Cycles'!$CB$31:$CH$31,1,EK401)*(1+INDEX('Lease Cycles'!$CI$31:$CO$31,1,EK401))^INT(INT(EK402/12)/INDEX('Lease Cycles'!$CP$31:$CV$31,1,EK401))/12),IF(INDEX('Lease Cycles'!$EF$31:$EL$31,1,EK401)=1,IF(AND('Lease Cycles'!$AZ$31&gt;=INDEX('Lease Cycles'!$BG$31:$BM$31,1,EK401),'Lease Cycles'!$AZ$31&lt;=EK$6),'Lease Cycles'!$C$31*'Lease Cycles'!$BA$31/12,IF(AND('Lease Cycles'!$AX$31&gt;=INDEX('Lease Cycles'!$BG$31:$BM$31,1,EK401),'Lease Cycles'!$AX$31&lt;=EK$6),'Lease Cycles'!$C$31*'Lease Cycles'!$AY$31/12,IF(AND('Lease Cycles'!$AV$31&gt;=INDEX('Lease Cycles'!$BG$31:$BM$31,1,EK401),'Lease Cycles'!$AV$31&lt;=EK$6),'Lease Cycles'!$C$31*'Lease Cycles'!$AW$31/12,IF(AND('Lease Cycles'!$AT$31&gt;=INDEX('Lease Cycles'!$BG$31:$BM$31,1,EK401),'Lease Cycles'!$AT$31&lt;=EK$6),'Lease Cycles'!$C$31*'Lease Cycles'!$AU$31/12,'Lease Cycles'!$C$31*INDEX('Lease Cycles'!$CB$31:$CH$31,1,EK401)*(1+INDEX('Lease Cycles'!$CI$31:$CO$31,1,EK401))^INT(INT(EK402/12)/INDEX('Lease Cycles'!$CP$31:$CV$31,1,EK401))/12)))),'Lease Cycles'!$C$31*INDEX('Lease Cycles'!$CB$31:$CH$31,1,EK401)*(1+INDEX('Lease Cycles'!$CI$31:$CO$31,1,EK401))^INT(INT(EK402/12)/INDEX('Lease Cycles'!$CP$31:$CV$31,1,EK401))/12))),IF('Lease Cycles'!$N$31=1,'Lease Cycles'!$C$31*'Lease Cycles'!$E$31*INDEX('Lease Cycles'!$HE$31:$HK$31,1,EK401)*(1+INDEX('Lease Cycles'!$GQ$31:$GW$31,1,EK401))^INT(INT((EK$6-INDEX('Lease Cycles'!$GJ$31:$GP$31,1,EK401))/12)/INDEX('Lease Cycles'!$GX$31:$HD$31,1,EK401))/12,0)))</f>
        <v>0</v>
      </c>
      <c r="EL404" s="28">
        <f>IF(EL401=0,IF('Lease Cycles'!$F$31&gt;0,'Lease Cycles'!$C$31*'Lease Cycles'!$E$31/12,0),IF(EL403=1,IF('Lease Cycles'!$AT$31&gt;=9999,'Lease Cycles'!$C$31*INDEX('Lease Cycles'!$CB$31:$CH$31,1,EL401)*(1+INDEX('Lease Cycles'!$CI$31:$CO$31,1,EL401))^INT(INT(EL402/12)/INDEX('Lease Cycles'!$CP$31:$CV$31,1,EL401))/12,IF(EL401=1,IF(EL402&gt;=INDEX('Lease Cycles'!$DK$31:$DQ$31,1,EL401),IF(EL$6&gt;='Lease Cycles'!$AZ$31,'Lease Cycles'!$C$31*'Lease Cycles'!$BA$31/12,IF(EL$6&gt;='Lease Cycles'!$AX$31,'Lease Cycles'!$C$31*'Lease Cycles'!$AY$31/12,IF(EL$6&gt;='Lease Cycles'!$AV$31,'Lease Cycles'!$C$31*'Lease Cycles'!$AW$31/12,IF(EL$6&gt;='Lease Cycles'!$AT$31,'Lease Cycles'!$C$31*'Lease Cycles'!$AU$31/12,'Lease Cycles'!$C$31*INDEX('Lease Cycles'!$CB$31:$CH$31,1,EL401)*(1+INDEX('Lease Cycles'!$CI$31:$CO$31,1,EL401))^INT(INT(EL402/12)/INDEX('Lease Cycles'!$CP$31:$CV$31,1,EL401))/12)))),'Lease Cycles'!$C$31*INDEX('Lease Cycles'!$CB$31:$CH$31,1,EL401)*(1+INDEX('Lease Cycles'!$CI$31:$CO$31,1,EL401))^INT(INT(EL402/12)/INDEX('Lease Cycles'!$CP$31:$CV$31,1,EL401))/12),IF(INDEX('Lease Cycles'!$EF$31:$EL$31,1,EL401)=1,IF(AND('Lease Cycles'!$AZ$31&gt;=INDEX('Lease Cycles'!$BG$31:$BM$31,1,EL401),'Lease Cycles'!$AZ$31&lt;=EL$6),'Lease Cycles'!$C$31*'Lease Cycles'!$BA$31/12,IF(AND('Lease Cycles'!$AX$31&gt;=INDEX('Lease Cycles'!$BG$31:$BM$31,1,EL401),'Lease Cycles'!$AX$31&lt;=EL$6),'Lease Cycles'!$C$31*'Lease Cycles'!$AY$31/12,IF(AND('Lease Cycles'!$AV$31&gt;=INDEX('Lease Cycles'!$BG$31:$BM$31,1,EL401),'Lease Cycles'!$AV$31&lt;=EL$6),'Lease Cycles'!$C$31*'Lease Cycles'!$AW$31/12,IF(AND('Lease Cycles'!$AT$31&gt;=INDEX('Lease Cycles'!$BG$31:$BM$31,1,EL401),'Lease Cycles'!$AT$31&lt;=EL$6),'Lease Cycles'!$C$31*'Lease Cycles'!$AU$31/12,'Lease Cycles'!$C$31*INDEX('Lease Cycles'!$CB$31:$CH$31,1,EL401)*(1+INDEX('Lease Cycles'!$CI$31:$CO$31,1,EL401))^INT(INT(EL402/12)/INDEX('Lease Cycles'!$CP$31:$CV$31,1,EL401))/12)))),'Lease Cycles'!$C$31*INDEX('Lease Cycles'!$CB$31:$CH$31,1,EL401)*(1+INDEX('Lease Cycles'!$CI$31:$CO$31,1,EL401))^INT(INT(EL402/12)/INDEX('Lease Cycles'!$CP$31:$CV$31,1,EL401))/12))),IF('Lease Cycles'!$N$31=1,'Lease Cycles'!$C$31*'Lease Cycles'!$E$31*INDEX('Lease Cycles'!$HE$31:$HK$31,1,EL401)*(1+INDEX('Lease Cycles'!$GQ$31:$GW$31,1,EL401))^INT(INT((EL$6-INDEX('Lease Cycles'!$GJ$31:$GP$31,1,EL401))/12)/INDEX('Lease Cycles'!$GX$31:$HD$31,1,EL401))/12,0)))</f>
        <v>0</v>
      </c>
      <c r="EM404" s="28">
        <f>IF(EM401=0,IF('Lease Cycles'!$F$31&gt;0,'Lease Cycles'!$C$31*'Lease Cycles'!$E$31/12,0),IF(EM403=1,IF('Lease Cycles'!$AT$31&gt;=9999,'Lease Cycles'!$C$31*INDEX('Lease Cycles'!$CB$31:$CH$31,1,EM401)*(1+INDEX('Lease Cycles'!$CI$31:$CO$31,1,EM401))^INT(INT(EM402/12)/INDEX('Lease Cycles'!$CP$31:$CV$31,1,EM401))/12,IF(EM401=1,IF(EM402&gt;=INDEX('Lease Cycles'!$DK$31:$DQ$31,1,EM401),IF(EM$6&gt;='Lease Cycles'!$AZ$31,'Lease Cycles'!$C$31*'Lease Cycles'!$BA$31/12,IF(EM$6&gt;='Lease Cycles'!$AX$31,'Lease Cycles'!$C$31*'Lease Cycles'!$AY$31/12,IF(EM$6&gt;='Lease Cycles'!$AV$31,'Lease Cycles'!$C$31*'Lease Cycles'!$AW$31/12,IF(EM$6&gt;='Lease Cycles'!$AT$31,'Lease Cycles'!$C$31*'Lease Cycles'!$AU$31/12,'Lease Cycles'!$C$31*INDEX('Lease Cycles'!$CB$31:$CH$31,1,EM401)*(1+INDEX('Lease Cycles'!$CI$31:$CO$31,1,EM401))^INT(INT(EM402/12)/INDEX('Lease Cycles'!$CP$31:$CV$31,1,EM401))/12)))),'Lease Cycles'!$C$31*INDEX('Lease Cycles'!$CB$31:$CH$31,1,EM401)*(1+INDEX('Lease Cycles'!$CI$31:$CO$31,1,EM401))^INT(INT(EM402/12)/INDEX('Lease Cycles'!$CP$31:$CV$31,1,EM401))/12),IF(INDEX('Lease Cycles'!$EF$31:$EL$31,1,EM401)=1,IF(AND('Lease Cycles'!$AZ$31&gt;=INDEX('Lease Cycles'!$BG$31:$BM$31,1,EM401),'Lease Cycles'!$AZ$31&lt;=EM$6),'Lease Cycles'!$C$31*'Lease Cycles'!$BA$31/12,IF(AND('Lease Cycles'!$AX$31&gt;=INDEX('Lease Cycles'!$BG$31:$BM$31,1,EM401),'Lease Cycles'!$AX$31&lt;=EM$6),'Lease Cycles'!$C$31*'Lease Cycles'!$AY$31/12,IF(AND('Lease Cycles'!$AV$31&gt;=INDEX('Lease Cycles'!$BG$31:$BM$31,1,EM401),'Lease Cycles'!$AV$31&lt;=EM$6),'Lease Cycles'!$C$31*'Lease Cycles'!$AW$31/12,IF(AND('Lease Cycles'!$AT$31&gt;=INDEX('Lease Cycles'!$BG$31:$BM$31,1,EM401),'Lease Cycles'!$AT$31&lt;=EM$6),'Lease Cycles'!$C$31*'Lease Cycles'!$AU$31/12,'Lease Cycles'!$C$31*INDEX('Lease Cycles'!$CB$31:$CH$31,1,EM401)*(1+INDEX('Lease Cycles'!$CI$31:$CO$31,1,EM401))^INT(INT(EM402/12)/INDEX('Lease Cycles'!$CP$31:$CV$31,1,EM401))/12)))),'Lease Cycles'!$C$31*INDEX('Lease Cycles'!$CB$31:$CH$31,1,EM401)*(1+INDEX('Lease Cycles'!$CI$31:$CO$31,1,EM401))^INT(INT(EM402/12)/INDEX('Lease Cycles'!$CP$31:$CV$31,1,EM401))/12))),IF('Lease Cycles'!$N$31=1,'Lease Cycles'!$C$31*'Lease Cycles'!$E$31*INDEX('Lease Cycles'!$HE$31:$HK$31,1,EM401)*(1+INDEX('Lease Cycles'!$GQ$31:$GW$31,1,EM401))^INT(INT((EM$6-INDEX('Lease Cycles'!$GJ$31:$GP$31,1,EM401))/12)/INDEX('Lease Cycles'!$GX$31:$HD$31,1,EM401))/12,0)))</f>
        <v>0</v>
      </c>
      <c r="EN404" s="28">
        <f>IF(EN401=0,IF('Lease Cycles'!$F$31&gt;0,'Lease Cycles'!$C$31*'Lease Cycles'!$E$31/12,0),IF(EN403=1,IF('Lease Cycles'!$AT$31&gt;=9999,'Lease Cycles'!$C$31*INDEX('Lease Cycles'!$CB$31:$CH$31,1,EN401)*(1+INDEX('Lease Cycles'!$CI$31:$CO$31,1,EN401))^INT(INT(EN402/12)/INDEX('Lease Cycles'!$CP$31:$CV$31,1,EN401))/12,IF(EN401=1,IF(EN402&gt;=INDEX('Lease Cycles'!$DK$31:$DQ$31,1,EN401),IF(EN$6&gt;='Lease Cycles'!$AZ$31,'Lease Cycles'!$C$31*'Lease Cycles'!$BA$31/12,IF(EN$6&gt;='Lease Cycles'!$AX$31,'Lease Cycles'!$C$31*'Lease Cycles'!$AY$31/12,IF(EN$6&gt;='Lease Cycles'!$AV$31,'Lease Cycles'!$C$31*'Lease Cycles'!$AW$31/12,IF(EN$6&gt;='Lease Cycles'!$AT$31,'Lease Cycles'!$C$31*'Lease Cycles'!$AU$31/12,'Lease Cycles'!$C$31*INDEX('Lease Cycles'!$CB$31:$CH$31,1,EN401)*(1+INDEX('Lease Cycles'!$CI$31:$CO$31,1,EN401))^INT(INT(EN402/12)/INDEX('Lease Cycles'!$CP$31:$CV$31,1,EN401))/12)))),'Lease Cycles'!$C$31*INDEX('Lease Cycles'!$CB$31:$CH$31,1,EN401)*(1+INDEX('Lease Cycles'!$CI$31:$CO$31,1,EN401))^INT(INT(EN402/12)/INDEX('Lease Cycles'!$CP$31:$CV$31,1,EN401))/12),IF(INDEX('Lease Cycles'!$EF$31:$EL$31,1,EN401)=1,IF(AND('Lease Cycles'!$AZ$31&gt;=INDEX('Lease Cycles'!$BG$31:$BM$31,1,EN401),'Lease Cycles'!$AZ$31&lt;=EN$6),'Lease Cycles'!$C$31*'Lease Cycles'!$BA$31/12,IF(AND('Lease Cycles'!$AX$31&gt;=INDEX('Lease Cycles'!$BG$31:$BM$31,1,EN401),'Lease Cycles'!$AX$31&lt;=EN$6),'Lease Cycles'!$C$31*'Lease Cycles'!$AY$31/12,IF(AND('Lease Cycles'!$AV$31&gt;=INDEX('Lease Cycles'!$BG$31:$BM$31,1,EN401),'Lease Cycles'!$AV$31&lt;=EN$6),'Lease Cycles'!$C$31*'Lease Cycles'!$AW$31/12,IF(AND('Lease Cycles'!$AT$31&gt;=INDEX('Lease Cycles'!$BG$31:$BM$31,1,EN401),'Lease Cycles'!$AT$31&lt;=EN$6),'Lease Cycles'!$C$31*'Lease Cycles'!$AU$31/12,'Lease Cycles'!$C$31*INDEX('Lease Cycles'!$CB$31:$CH$31,1,EN401)*(1+INDEX('Lease Cycles'!$CI$31:$CO$31,1,EN401))^INT(INT(EN402/12)/INDEX('Lease Cycles'!$CP$31:$CV$31,1,EN401))/12)))),'Lease Cycles'!$C$31*INDEX('Lease Cycles'!$CB$31:$CH$31,1,EN401)*(1+INDEX('Lease Cycles'!$CI$31:$CO$31,1,EN401))^INT(INT(EN402/12)/INDEX('Lease Cycles'!$CP$31:$CV$31,1,EN401))/12))),IF('Lease Cycles'!$N$31=1,'Lease Cycles'!$C$31*'Lease Cycles'!$E$31*INDEX('Lease Cycles'!$HE$31:$HK$31,1,EN401)*(1+INDEX('Lease Cycles'!$GQ$31:$GW$31,1,EN401))^INT(INT((EN$6-INDEX('Lease Cycles'!$GJ$31:$GP$31,1,EN401))/12)/INDEX('Lease Cycles'!$GX$31:$HD$31,1,EN401))/12,0)))</f>
        <v>0</v>
      </c>
      <c r="EO404" s="28">
        <f>IF(EO401=0,IF('Lease Cycles'!$F$31&gt;0,'Lease Cycles'!$C$31*'Lease Cycles'!$E$31/12,0),IF(EO403=1,IF('Lease Cycles'!$AT$31&gt;=9999,'Lease Cycles'!$C$31*INDEX('Lease Cycles'!$CB$31:$CH$31,1,EO401)*(1+INDEX('Lease Cycles'!$CI$31:$CO$31,1,EO401))^INT(INT(EO402/12)/INDEX('Lease Cycles'!$CP$31:$CV$31,1,EO401))/12,IF(EO401=1,IF(EO402&gt;=INDEX('Lease Cycles'!$DK$31:$DQ$31,1,EO401),IF(EO$6&gt;='Lease Cycles'!$AZ$31,'Lease Cycles'!$C$31*'Lease Cycles'!$BA$31/12,IF(EO$6&gt;='Lease Cycles'!$AX$31,'Lease Cycles'!$C$31*'Lease Cycles'!$AY$31/12,IF(EO$6&gt;='Lease Cycles'!$AV$31,'Lease Cycles'!$C$31*'Lease Cycles'!$AW$31/12,IF(EO$6&gt;='Lease Cycles'!$AT$31,'Lease Cycles'!$C$31*'Lease Cycles'!$AU$31/12,'Lease Cycles'!$C$31*INDEX('Lease Cycles'!$CB$31:$CH$31,1,EO401)*(1+INDEX('Lease Cycles'!$CI$31:$CO$31,1,EO401))^INT(INT(EO402/12)/INDEX('Lease Cycles'!$CP$31:$CV$31,1,EO401))/12)))),'Lease Cycles'!$C$31*INDEX('Lease Cycles'!$CB$31:$CH$31,1,EO401)*(1+INDEX('Lease Cycles'!$CI$31:$CO$31,1,EO401))^INT(INT(EO402/12)/INDEX('Lease Cycles'!$CP$31:$CV$31,1,EO401))/12),IF(INDEX('Lease Cycles'!$EF$31:$EL$31,1,EO401)=1,IF(AND('Lease Cycles'!$AZ$31&gt;=INDEX('Lease Cycles'!$BG$31:$BM$31,1,EO401),'Lease Cycles'!$AZ$31&lt;=EO$6),'Lease Cycles'!$C$31*'Lease Cycles'!$BA$31/12,IF(AND('Lease Cycles'!$AX$31&gt;=INDEX('Lease Cycles'!$BG$31:$BM$31,1,EO401),'Lease Cycles'!$AX$31&lt;=EO$6),'Lease Cycles'!$C$31*'Lease Cycles'!$AY$31/12,IF(AND('Lease Cycles'!$AV$31&gt;=INDEX('Lease Cycles'!$BG$31:$BM$31,1,EO401),'Lease Cycles'!$AV$31&lt;=EO$6),'Lease Cycles'!$C$31*'Lease Cycles'!$AW$31/12,IF(AND('Lease Cycles'!$AT$31&gt;=INDEX('Lease Cycles'!$BG$31:$BM$31,1,EO401),'Lease Cycles'!$AT$31&lt;=EO$6),'Lease Cycles'!$C$31*'Lease Cycles'!$AU$31/12,'Lease Cycles'!$C$31*INDEX('Lease Cycles'!$CB$31:$CH$31,1,EO401)*(1+INDEX('Lease Cycles'!$CI$31:$CO$31,1,EO401))^INT(INT(EO402/12)/INDEX('Lease Cycles'!$CP$31:$CV$31,1,EO401))/12)))),'Lease Cycles'!$C$31*INDEX('Lease Cycles'!$CB$31:$CH$31,1,EO401)*(1+INDEX('Lease Cycles'!$CI$31:$CO$31,1,EO401))^INT(INT(EO402/12)/INDEX('Lease Cycles'!$CP$31:$CV$31,1,EO401))/12))),IF('Lease Cycles'!$N$31=1,'Lease Cycles'!$C$31*'Lease Cycles'!$E$31*INDEX('Lease Cycles'!$HE$31:$HK$31,1,EO401)*(1+INDEX('Lease Cycles'!$GQ$31:$GW$31,1,EO401))^INT(INT((EO$6-INDEX('Lease Cycles'!$GJ$31:$GP$31,1,EO401))/12)/INDEX('Lease Cycles'!$GX$31:$HD$31,1,EO401))/12,0)))</f>
        <v>0</v>
      </c>
      <c r="EP404" s="28">
        <f>IF(EP401=0,IF('Lease Cycles'!$F$31&gt;0,'Lease Cycles'!$C$31*'Lease Cycles'!$E$31/12,0),IF(EP403=1,IF('Lease Cycles'!$AT$31&gt;=9999,'Lease Cycles'!$C$31*INDEX('Lease Cycles'!$CB$31:$CH$31,1,EP401)*(1+INDEX('Lease Cycles'!$CI$31:$CO$31,1,EP401))^INT(INT(EP402/12)/INDEX('Lease Cycles'!$CP$31:$CV$31,1,EP401))/12,IF(EP401=1,IF(EP402&gt;=INDEX('Lease Cycles'!$DK$31:$DQ$31,1,EP401),IF(EP$6&gt;='Lease Cycles'!$AZ$31,'Lease Cycles'!$C$31*'Lease Cycles'!$BA$31/12,IF(EP$6&gt;='Lease Cycles'!$AX$31,'Lease Cycles'!$C$31*'Lease Cycles'!$AY$31/12,IF(EP$6&gt;='Lease Cycles'!$AV$31,'Lease Cycles'!$C$31*'Lease Cycles'!$AW$31/12,IF(EP$6&gt;='Lease Cycles'!$AT$31,'Lease Cycles'!$C$31*'Lease Cycles'!$AU$31/12,'Lease Cycles'!$C$31*INDEX('Lease Cycles'!$CB$31:$CH$31,1,EP401)*(1+INDEX('Lease Cycles'!$CI$31:$CO$31,1,EP401))^INT(INT(EP402/12)/INDEX('Lease Cycles'!$CP$31:$CV$31,1,EP401))/12)))),'Lease Cycles'!$C$31*INDEX('Lease Cycles'!$CB$31:$CH$31,1,EP401)*(1+INDEX('Lease Cycles'!$CI$31:$CO$31,1,EP401))^INT(INT(EP402/12)/INDEX('Lease Cycles'!$CP$31:$CV$31,1,EP401))/12),IF(INDEX('Lease Cycles'!$EF$31:$EL$31,1,EP401)=1,IF(AND('Lease Cycles'!$AZ$31&gt;=INDEX('Lease Cycles'!$BG$31:$BM$31,1,EP401),'Lease Cycles'!$AZ$31&lt;=EP$6),'Lease Cycles'!$C$31*'Lease Cycles'!$BA$31/12,IF(AND('Lease Cycles'!$AX$31&gt;=INDEX('Lease Cycles'!$BG$31:$BM$31,1,EP401),'Lease Cycles'!$AX$31&lt;=EP$6),'Lease Cycles'!$C$31*'Lease Cycles'!$AY$31/12,IF(AND('Lease Cycles'!$AV$31&gt;=INDEX('Lease Cycles'!$BG$31:$BM$31,1,EP401),'Lease Cycles'!$AV$31&lt;=EP$6),'Lease Cycles'!$C$31*'Lease Cycles'!$AW$31/12,IF(AND('Lease Cycles'!$AT$31&gt;=INDEX('Lease Cycles'!$BG$31:$BM$31,1,EP401),'Lease Cycles'!$AT$31&lt;=EP$6),'Lease Cycles'!$C$31*'Lease Cycles'!$AU$31/12,'Lease Cycles'!$C$31*INDEX('Lease Cycles'!$CB$31:$CH$31,1,EP401)*(1+INDEX('Lease Cycles'!$CI$31:$CO$31,1,EP401))^INT(INT(EP402/12)/INDEX('Lease Cycles'!$CP$31:$CV$31,1,EP401))/12)))),'Lease Cycles'!$C$31*INDEX('Lease Cycles'!$CB$31:$CH$31,1,EP401)*(1+INDEX('Lease Cycles'!$CI$31:$CO$31,1,EP401))^INT(INT(EP402/12)/INDEX('Lease Cycles'!$CP$31:$CV$31,1,EP401))/12))),IF('Lease Cycles'!$N$31=1,'Lease Cycles'!$C$31*'Lease Cycles'!$E$31*INDEX('Lease Cycles'!$HE$31:$HK$31,1,EP401)*(1+INDEX('Lease Cycles'!$GQ$31:$GW$31,1,EP401))^INT(INT((EP$6-INDEX('Lease Cycles'!$GJ$31:$GP$31,1,EP401))/12)/INDEX('Lease Cycles'!$GX$31:$HD$31,1,EP401))/12,0)))</f>
        <v>0</v>
      </c>
      <c r="EQ404" s="28">
        <f>IF(EQ401=0,IF('Lease Cycles'!$F$31&gt;0,'Lease Cycles'!$C$31*'Lease Cycles'!$E$31/12,0),IF(EQ403=1,IF('Lease Cycles'!$AT$31&gt;=9999,'Lease Cycles'!$C$31*INDEX('Lease Cycles'!$CB$31:$CH$31,1,EQ401)*(1+INDEX('Lease Cycles'!$CI$31:$CO$31,1,EQ401))^INT(INT(EQ402/12)/INDEX('Lease Cycles'!$CP$31:$CV$31,1,EQ401))/12,IF(EQ401=1,IF(EQ402&gt;=INDEX('Lease Cycles'!$DK$31:$DQ$31,1,EQ401),IF(EQ$6&gt;='Lease Cycles'!$AZ$31,'Lease Cycles'!$C$31*'Lease Cycles'!$BA$31/12,IF(EQ$6&gt;='Lease Cycles'!$AX$31,'Lease Cycles'!$C$31*'Lease Cycles'!$AY$31/12,IF(EQ$6&gt;='Lease Cycles'!$AV$31,'Lease Cycles'!$C$31*'Lease Cycles'!$AW$31/12,IF(EQ$6&gt;='Lease Cycles'!$AT$31,'Lease Cycles'!$C$31*'Lease Cycles'!$AU$31/12,'Lease Cycles'!$C$31*INDEX('Lease Cycles'!$CB$31:$CH$31,1,EQ401)*(1+INDEX('Lease Cycles'!$CI$31:$CO$31,1,EQ401))^INT(INT(EQ402/12)/INDEX('Lease Cycles'!$CP$31:$CV$31,1,EQ401))/12)))),'Lease Cycles'!$C$31*INDEX('Lease Cycles'!$CB$31:$CH$31,1,EQ401)*(1+INDEX('Lease Cycles'!$CI$31:$CO$31,1,EQ401))^INT(INT(EQ402/12)/INDEX('Lease Cycles'!$CP$31:$CV$31,1,EQ401))/12),IF(INDEX('Lease Cycles'!$EF$31:$EL$31,1,EQ401)=1,IF(AND('Lease Cycles'!$AZ$31&gt;=INDEX('Lease Cycles'!$BG$31:$BM$31,1,EQ401),'Lease Cycles'!$AZ$31&lt;=EQ$6),'Lease Cycles'!$C$31*'Lease Cycles'!$BA$31/12,IF(AND('Lease Cycles'!$AX$31&gt;=INDEX('Lease Cycles'!$BG$31:$BM$31,1,EQ401),'Lease Cycles'!$AX$31&lt;=EQ$6),'Lease Cycles'!$C$31*'Lease Cycles'!$AY$31/12,IF(AND('Lease Cycles'!$AV$31&gt;=INDEX('Lease Cycles'!$BG$31:$BM$31,1,EQ401),'Lease Cycles'!$AV$31&lt;=EQ$6),'Lease Cycles'!$C$31*'Lease Cycles'!$AW$31/12,IF(AND('Lease Cycles'!$AT$31&gt;=INDEX('Lease Cycles'!$BG$31:$BM$31,1,EQ401),'Lease Cycles'!$AT$31&lt;=EQ$6),'Lease Cycles'!$C$31*'Lease Cycles'!$AU$31/12,'Lease Cycles'!$C$31*INDEX('Lease Cycles'!$CB$31:$CH$31,1,EQ401)*(1+INDEX('Lease Cycles'!$CI$31:$CO$31,1,EQ401))^INT(INT(EQ402/12)/INDEX('Lease Cycles'!$CP$31:$CV$31,1,EQ401))/12)))),'Lease Cycles'!$C$31*INDEX('Lease Cycles'!$CB$31:$CH$31,1,EQ401)*(1+INDEX('Lease Cycles'!$CI$31:$CO$31,1,EQ401))^INT(INT(EQ402/12)/INDEX('Lease Cycles'!$CP$31:$CV$31,1,EQ401))/12))),IF('Lease Cycles'!$N$31=1,'Lease Cycles'!$C$31*'Lease Cycles'!$E$31*INDEX('Lease Cycles'!$HE$31:$HK$31,1,EQ401)*(1+INDEX('Lease Cycles'!$GQ$31:$GW$31,1,EQ401))^INT(INT((EQ$6-INDEX('Lease Cycles'!$GJ$31:$GP$31,1,EQ401))/12)/INDEX('Lease Cycles'!$GX$31:$HD$31,1,EQ401))/12,0)))</f>
        <v>0</v>
      </c>
      <c r="ER404" s="28">
        <f>IF(ER401=0,IF('Lease Cycles'!$F$31&gt;0,'Lease Cycles'!$C$31*'Lease Cycles'!$E$31/12,0),IF(ER403=1,IF('Lease Cycles'!$AT$31&gt;=9999,'Lease Cycles'!$C$31*INDEX('Lease Cycles'!$CB$31:$CH$31,1,ER401)*(1+INDEX('Lease Cycles'!$CI$31:$CO$31,1,ER401))^INT(INT(ER402/12)/INDEX('Lease Cycles'!$CP$31:$CV$31,1,ER401))/12,IF(ER401=1,IF(ER402&gt;=INDEX('Lease Cycles'!$DK$31:$DQ$31,1,ER401),IF(ER$6&gt;='Lease Cycles'!$AZ$31,'Lease Cycles'!$C$31*'Lease Cycles'!$BA$31/12,IF(ER$6&gt;='Lease Cycles'!$AX$31,'Lease Cycles'!$C$31*'Lease Cycles'!$AY$31/12,IF(ER$6&gt;='Lease Cycles'!$AV$31,'Lease Cycles'!$C$31*'Lease Cycles'!$AW$31/12,IF(ER$6&gt;='Lease Cycles'!$AT$31,'Lease Cycles'!$C$31*'Lease Cycles'!$AU$31/12,'Lease Cycles'!$C$31*INDEX('Lease Cycles'!$CB$31:$CH$31,1,ER401)*(1+INDEX('Lease Cycles'!$CI$31:$CO$31,1,ER401))^INT(INT(ER402/12)/INDEX('Lease Cycles'!$CP$31:$CV$31,1,ER401))/12)))),'Lease Cycles'!$C$31*INDEX('Lease Cycles'!$CB$31:$CH$31,1,ER401)*(1+INDEX('Lease Cycles'!$CI$31:$CO$31,1,ER401))^INT(INT(ER402/12)/INDEX('Lease Cycles'!$CP$31:$CV$31,1,ER401))/12),IF(INDEX('Lease Cycles'!$EF$31:$EL$31,1,ER401)=1,IF(AND('Lease Cycles'!$AZ$31&gt;=INDEX('Lease Cycles'!$BG$31:$BM$31,1,ER401),'Lease Cycles'!$AZ$31&lt;=ER$6),'Lease Cycles'!$C$31*'Lease Cycles'!$BA$31/12,IF(AND('Lease Cycles'!$AX$31&gt;=INDEX('Lease Cycles'!$BG$31:$BM$31,1,ER401),'Lease Cycles'!$AX$31&lt;=ER$6),'Lease Cycles'!$C$31*'Lease Cycles'!$AY$31/12,IF(AND('Lease Cycles'!$AV$31&gt;=INDEX('Lease Cycles'!$BG$31:$BM$31,1,ER401),'Lease Cycles'!$AV$31&lt;=ER$6),'Lease Cycles'!$C$31*'Lease Cycles'!$AW$31/12,IF(AND('Lease Cycles'!$AT$31&gt;=INDEX('Lease Cycles'!$BG$31:$BM$31,1,ER401),'Lease Cycles'!$AT$31&lt;=ER$6),'Lease Cycles'!$C$31*'Lease Cycles'!$AU$31/12,'Lease Cycles'!$C$31*INDEX('Lease Cycles'!$CB$31:$CH$31,1,ER401)*(1+INDEX('Lease Cycles'!$CI$31:$CO$31,1,ER401))^INT(INT(ER402/12)/INDEX('Lease Cycles'!$CP$31:$CV$31,1,ER401))/12)))),'Lease Cycles'!$C$31*INDEX('Lease Cycles'!$CB$31:$CH$31,1,ER401)*(1+INDEX('Lease Cycles'!$CI$31:$CO$31,1,ER401))^INT(INT(ER402/12)/INDEX('Lease Cycles'!$CP$31:$CV$31,1,ER401))/12))),IF('Lease Cycles'!$N$31=1,'Lease Cycles'!$C$31*'Lease Cycles'!$E$31*INDEX('Lease Cycles'!$HE$31:$HK$31,1,ER401)*(1+INDEX('Lease Cycles'!$GQ$31:$GW$31,1,ER401))^INT(INT((ER$6-INDEX('Lease Cycles'!$GJ$31:$GP$31,1,ER401))/12)/INDEX('Lease Cycles'!$GX$31:$HD$31,1,ER401))/12,0)))</f>
        <v>0</v>
      </c>
      <c r="ES404" s="28">
        <f>IF(ES401=0,IF('Lease Cycles'!$F$31&gt;0,'Lease Cycles'!$C$31*'Lease Cycles'!$E$31/12,0),IF(ES403=1,IF('Lease Cycles'!$AT$31&gt;=9999,'Lease Cycles'!$C$31*INDEX('Lease Cycles'!$CB$31:$CH$31,1,ES401)*(1+INDEX('Lease Cycles'!$CI$31:$CO$31,1,ES401))^INT(INT(ES402/12)/INDEX('Lease Cycles'!$CP$31:$CV$31,1,ES401))/12,IF(ES401=1,IF(ES402&gt;=INDEX('Lease Cycles'!$DK$31:$DQ$31,1,ES401),IF(ES$6&gt;='Lease Cycles'!$AZ$31,'Lease Cycles'!$C$31*'Lease Cycles'!$BA$31/12,IF(ES$6&gt;='Lease Cycles'!$AX$31,'Lease Cycles'!$C$31*'Lease Cycles'!$AY$31/12,IF(ES$6&gt;='Lease Cycles'!$AV$31,'Lease Cycles'!$C$31*'Lease Cycles'!$AW$31/12,IF(ES$6&gt;='Lease Cycles'!$AT$31,'Lease Cycles'!$C$31*'Lease Cycles'!$AU$31/12,'Lease Cycles'!$C$31*INDEX('Lease Cycles'!$CB$31:$CH$31,1,ES401)*(1+INDEX('Lease Cycles'!$CI$31:$CO$31,1,ES401))^INT(INT(ES402/12)/INDEX('Lease Cycles'!$CP$31:$CV$31,1,ES401))/12)))),'Lease Cycles'!$C$31*INDEX('Lease Cycles'!$CB$31:$CH$31,1,ES401)*(1+INDEX('Lease Cycles'!$CI$31:$CO$31,1,ES401))^INT(INT(ES402/12)/INDEX('Lease Cycles'!$CP$31:$CV$31,1,ES401))/12),IF(INDEX('Lease Cycles'!$EF$31:$EL$31,1,ES401)=1,IF(AND('Lease Cycles'!$AZ$31&gt;=INDEX('Lease Cycles'!$BG$31:$BM$31,1,ES401),'Lease Cycles'!$AZ$31&lt;=ES$6),'Lease Cycles'!$C$31*'Lease Cycles'!$BA$31/12,IF(AND('Lease Cycles'!$AX$31&gt;=INDEX('Lease Cycles'!$BG$31:$BM$31,1,ES401),'Lease Cycles'!$AX$31&lt;=ES$6),'Lease Cycles'!$C$31*'Lease Cycles'!$AY$31/12,IF(AND('Lease Cycles'!$AV$31&gt;=INDEX('Lease Cycles'!$BG$31:$BM$31,1,ES401),'Lease Cycles'!$AV$31&lt;=ES$6),'Lease Cycles'!$C$31*'Lease Cycles'!$AW$31/12,IF(AND('Lease Cycles'!$AT$31&gt;=INDEX('Lease Cycles'!$BG$31:$BM$31,1,ES401),'Lease Cycles'!$AT$31&lt;=ES$6),'Lease Cycles'!$C$31*'Lease Cycles'!$AU$31/12,'Lease Cycles'!$C$31*INDEX('Lease Cycles'!$CB$31:$CH$31,1,ES401)*(1+INDEX('Lease Cycles'!$CI$31:$CO$31,1,ES401))^INT(INT(ES402/12)/INDEX('Lease Cycles'!$CP$31:$CV$31,1,ES401))/12)))),'Lease Cycles'!$C$31*INDEX('Lease Cycles'!$CB$31:$CH$31,1,ES401)*(1+INDEX('Lease Cycles'!$CI$31:$CO$31,1,ES401))^INT(INT(ES402/12)/INDEX('Lease Cycles'!$CP$31:$CV$31,1,ES401))/12))),IF('Lease Cycles'!$N$31=1,'Lease Cycles'!$C$31*'Lease Cycles'!$E$31*INDEX('Lease Cycles'!$HE$31:$HK$31,1,ES401)*(1+INDEX('Lease Cycles'!$GQ$31:$GW$31,1,ES401))^INT(INT((ES$6-INDEX('Lease Cycles'!$GJ$31:$GP$31,1,ES401))/12)/INDEX('Lease Cycles'!$GX$31:$HD$31,1,ES401))/12,0)))</f>
        <v>0</v>
      </c>
      <c r="ET404" s="28">
        <f>IF(ET401=0,IF('Lease Cycles'!$F$31&gt;0,'Lease Cycles'!$C$31*'Lease Cycles'!$E$31/12,0),IF(ET403=1,IF('Lease Cycles'!$AT$31&gt;=9999,'Lease Cycles'!$C$31*INDEX('Lease Cycles'!$CB$31:$CH$31,1,ET401)*(1+INDEX('Lease Cycles'!$CI$31:$CO$31,1,ET401))^INT(INT(ET402/12)/INDEX('Lease Cycles'!$CP$31:$CV$31,1,ET401))/12,IF(ET401=1,IF(ET402&gt;=INDEX('Lease Cycles'!$DK$31:$DQ$31,1,ET401),IF(ET$6&gt;='Lease Cycles'!$AZ$31,'Lease Cycles'!$C$31*'Lease Cycles'!$BA$31/12,IF(ET$6&gt;='Lease Cycles'!$AX$31,'Lease Cycles'!$C$31*'Lease Cycles'!$AY$31/12,IF(ET$6&gt;='Lease Cycles'!$AV$31,'Lease Cycles'!$C$31*'Lease Cycles'!$AW$31/12,IF(ET$6&gt;='Lease Cycles'!$AT$31,'Lease Cycles'!$C$31*'Lease Cycles'!$AU$31/12,'Lease Cycles'!$C$31*INDEX('Lease Cycles'!$CB$31:$CH$31,1,ET401)*(1+INDEX('Lease Cycles'!$CI$31:$CO$31,1,ET401))^INT(INT(ET402/12)/INDEX('Lease Cycles'!$CP$31:$CV$31,1,ET401))/12)))),'Lease Cycles'!$C$31*INDEX('Lease Cycles'!$CB$31:$CH$31,1,ET401)*(1+INDEX('Lease Cycles'!$CI$31:$CO$31,1,ET401))^INT(INT(ET402/12)/INDEX('Lease Cycles'!$CP$31:$CV$31,1,ET401))/12),IF(INDEX('Lease Cycles'!$EF$31:$EL$31,1,ET401)=1,IF(AND('Lease Cycles'!$AZ$31&gt;=INDEX('Lease Cycles'!$BG$31:$BM$31,1,ET401),'Lease Cycles'!$AZ$31&lt;=ET$6),'Lease Cycles'!$C$31*'Lease Cycles'!$BA$31/12,IF(AND('Lease Cycles'!$AX$31&gt;=INDEX('Lease Cycles'!$BG$31:$BM$31,1,ET401),'Lease Cycles'!$AX$31&lt;=ET$6),'Lease Cycles'!$C$31*'Lease Cycles'!$AY$31/12,IF(AND('Lease Cycles'!$AV$31&gt;=INDEX('Lease Cycles'!$BG$31:$BM$31,1,ET401),'Lease Cycles'!$AV$31&lt;=ET$6),'Lease Cycles'!$C$31*'Lease Cycles'!$AW$31/12,IF(AND('Lease Cycles'!$AT$31&gt;=INDEX('Lease Cycles'!$BG$31:$BM$31,1,ET401),'Lease Cycles'!$AT$31&lt;=ET$6),'Lease Cycles'!$C$31*'Lease Cycles'!$AU$31/12,'Lease Cycles'!$C$31*INDEX('Lease Cycles'!$CB$31:$CH$31,1,ET401)*(1+INDEX('Lease Cycles'!$CI$31:$CO$31,1,ET401))^INT(INT(ET402/12)/INDEX('Lease Cycles'!$CP$31:$CV$31,1,ET401))/12)))),'Lease Cycles'!$C$31*INDEX('Lease Cycles'!$CB$31:$CH$31,1,ET401)*(1+INDEX('Lease Cycles'!$CI$31:$CO$31,1,ET401))^INT(INT(ET402/12)/INDEX('Lease Cycles'!$CP$31:$CV$31,1,ET401))/12))),IF('Lease Cycles'!$N$31=1,'Lease Cycles'!$C$31*'Lease Cycles'!$E$31*INDEX('Lease Cycles'!$HE$31:$HK$31,1,ET401)*(1+INDEX('Lease Cycles'!$GQ$31:$GW$31,1,ET401))^INT(INT((ET$6-INDEX('Lease Cycles'!$GJ$31:$GP$31,1,ET401))/12)/INDEX('Lease Cycles'!$GX$31:$HD$31,1,ET401))/12,0)))</f>
        <v>0</v>
      </c>
    </row>
    <row r="405">
      <c r="A405" s="103">
        <v>24</v>
      </c>
      <c r="B405" s="23" t="str">
        <f>IF('Lease Cycles'!$B$31="","(empty slot)",'Lease Cycles'!$B$31)</f>
        <v>(empty slot)</v>
      </c>
      <c r="C405" s="23" t="s">
        <v>679</v>
      </c>
      <c r="D405" s="104" t="s">
        <v>680</v>
      </c>
      <c r="E405" s="25">
        <f>'Lease Cycles'!$AL$31</f>
        <v>0</v>
      </c>
      <c r="S405" s="28">
        <f>IF(S403=1,IF(INDEX('Lease Cycles'!$EF$31:$EL$31,1,S401)=1,'Lease Cycles'!$C$31*INDEX('Lease Cycles'!$ET$31:$EZ$31,1,S401)*(1+'Lease Cycles'!$V$31)^INT(INT(S402/12)/'Lease Cycles'!$W$31)/12,0),0)</f>
        <v>0</v>
      </c>
      <c r="T405" s="28">
        <f>IF(T403=1,IF(INDEX('Lease Cycles'!$EF$31:$EL$31,1,T401)=1,'Lease Cycles'!$C$31*INDEX('Lease Cycles'!$ET$31:$EZ$31,1,T401)*(1+'Lease Cycles'!$V$31)^INT(INT(T402/12)/'Lease Cycles'!$W$31)/12,0),0)</f>
        <v>0</v>
      </c>
      <c r="U405" s="28">
        <f>IF(U403=1,IF(INDEX('Lease Cycles'!$EF$31:$EL$31,1,U401)=1,'Lease Cycles'!$C$31*INDEX('Lease Cycles'!$ET$31:$EZ$31,1,U401)*(1+'Lease Cycles'!$V$31)^INT(INT(U402/12)/'Lease Cycles'!$W$31)/12,0),0)</f>
        <v>0</v>
      </c>
      <c r="V405" s="28">
        <f>IF(V403=1,IF(INDEX('Lease Cycles'!$EF$31:$EL$31,1,V401)=1,'Lease Cycles'!$C$31*INDEX('Lease Cycles'!$ET$31:$EZ$31,1,V401)*(1+'Lease Cycles'!$V$31)^INT(INT(V402/12)/'Lease Cycles'!$W$31)/12,0),0)</f>
        <v>0</v>
      </c>
      <c r="W405" s="28">
        <f>IF(W403=1,IF(INDEX('Lease Cycles'!$EF$31:$EL$31,1,W401)=1,'Lease Cycles'!$C$31*INDEX('Lease Cycles'!$ET$31:$EZ$31,1,W401)*(1+'Lease Cycles'!$V$31)^INT(INT(W402/12)/'Lease Cycles'!$W$31)/12,0),0)</f>
        <v>0</v>
      </c>
      <c r="X405" s="28">
        <f>IF(X403=1,IF(INDEX('Lease Cycles'!$EF$31:$EL$31,1,X401)=1,'Lease Cycles'!$C$31*INDEX('Lease Cycles'!$ET$31:$EZ$31,1,X401)*(1+'Lease Cycles'!$V$31)^INT(INT(X402/12)/'Lease Cycles'!$W$31)/12,0),0)</f>
        <v>0</v>
      </c>
      <c r="Y405" s="28">
        <f>IF(Y403=1,IF(INDEX('Lease Cycles'!$EF$31:$EL$31,1,Y401)=1,'Lease Cycles'!$C$31*INDEX('Lease Cycles'!$ET$31:$EZ$31,1,Y401)*(1+'Lease Cycles'!$V$31)^INT(INT(Y402/12)/'Lease Cycles'!$W$31)/12,0),0)</f>
        <v>0</v>
      </c>
      <c r="Z405" s="28">
        <f>IF(Z403=1,IF(INDEX('Lease Cycles'!$EF$31:$EL$31,1,Z401)=1,'Lease Cycles'!$C$31*INDEX('Lease Cycles'!$ET$31:$EZ$31,1,Z401)*(1+'Lease Cycles'!$V$31)^INT(INT(Z402/12)/'Lease Cycles'!$W$31)/12,0),0)</f>
        <v>0</v>
      </c>
      <c r="AA405" s="28">
        <f>IF(AA403=1,IF(INDEX('Lease Cycles'!$EF$31:$EL$31,1,AA401)=1,'Lease Cycles'!$C$31*INDEX('Lease Cycles'!$ET$31:$EZ$31,1,AA401)*(1+'Lease Cycles'!$V$31)^INT(INT(AA402/12)/'Lease Cycles'!$W$31)/12,0),0)</f>
        <v>0</v>
      </c>
      <c r="AB405" s="28">
        <f>IF(AB403=1,IF(INDEX('Lease Cycles'!$EF$31:$EL$31,1,AB401)=1,'Lease Cycles'!$C$31*INDEX('Lease Cycles'!$ET$31:$EZ$31,1,AB401)*(1+'Lease Cycles'!$V$31)^INT(INT(AB402/12)/'Lease Cycles'!$W$31)/12,0),0)</f>
        <v>0</v>
      </c>
      <c r="AC405" s="28">
        <f>IF(AC403=1,IF(INDEX('Lease Cycles'!$EF$31:$EL$31,1,AC401)=1,'Lease Cycles'!$C$31*INDEX('Lease Cycles'!$ET$31:$EZ$31,1,AC401)*(1+'Lease Cycles'!$V$31)^INT(INT(AC402/12)/'Lease Cycles'!$W$31)/12,0),0)</f>
        <v>0</v>
      </c>
      <c r="AD405" s="28">
        <f>IF(AD403=1,IF(INDEX('Lease Cycles'!$EF$31:$EL$31,1,AD401)=1,'Lease Cycles'!$C$31*INDEX('Lease Cycles'!$ET$31:$EZ$31,1,AD401)*(1+'Lease Cycles'!$V$31)^INT(INT(AD402/12)/'Lease Cycles'!$W$31)/12,0),0)</f>
        <v>0</v>
      </c>
      <c r="AE405" s="28">
        <f>IF(AE403=1,IF(INDEX('Lease Cycles'!$EF$31:$EL$31,1,AE401)=1,'Lease Cycles'!$C$31*INDEX('Lease Cycles'!$ET$31:$EZ$31,1,AE401)*(1+'Lease Cycles'!$V$31)^INT(INT(AE402/12)/'Lease Cycles'!$W$31)/12,0),0)</f>
        <v>0</v>
      </c>
      <c r="AF405" s="28">
        <f>IF(AF403=1,IF(INDEX('Lease Cycles'!$EF$31:$EL$31,1,AF401)=1,'Lease Cycles'!$C$31*INDEX('Lease Cycles'!$ET$31:$EZ$31,1,AF401)*(1+'Lease Cycles'!$V$31)^INT(INT(AF402/12)/'Lease Cycles'!$W$31)/12,0),0)</f>
        <v>0</v>
      </c>
      <c r="AG405" s="28">
        <f>IF(AG403=1,IF(INDEX('Lease Cycles'!$EF$31:$EL$31,1,AG401)=1,'Lease Cycles'!$C$31*INDEX('Lease Cycles'!$ET$31:$EZ$31,1,AG401)*(1+'Lease Cycles'!$V$31)^INT(INT(AG402/12)/'Lease Cycles'!$W$31)/12,0),0)</f>
        <v>0</v>
      </c>
      <c r="AH405" s="28">
        <f>IF(AH403=1,IF(INDEX('Lease Cycles'!$EF$31:$EL$31,1,AH401)=1,'Lease Cycles'!$C$31*INDEX('Lease Cycles'!$ET$31:$EZ$31,1,AH401)*(1+'Lease Cycles'!$V$31)^INT(INT(AH402/12)/'Lease Cycles'!$W$31)/12,0),0)</f>
        <v>0</v>
      </c>
      <c r="AI405" s="28">
        <f>IF(AI403=1,IF(INDEX('Lease Cycles'!$EF$31:$EL$31,1,AI401)=1,'Lease Cycles'!$C$31*INDEX('Lease Cycles'!$ET$31:$EZ$31,1,AI401)*(1+'Lease Cycles'!$V$31)^INT(INT(AI402/12)/'Lease Cycles'!$W$31)/12,0),0)</f>
        <v>0</v>
      </c>
      <c r="AJ405" s="28">
        <f>IF(AJ403=1,IF(INDEX('Lease Cycles'!$EF$31:$EL$31,1,AJ401)=1,'Lease Cycles'!$C$31*INDEX('Lease Cycles'!$ET$31:$EZ$31,1,AJ401)*(1+'Lease Cycles'!$V$31)^INT(INT(AJ402/12)/'Lease Cycles'!$W$31)/12,0),0)</f>
        <v>0</v>
      </c>
      <c r="AK405" s="28">
        <f>IF(AK403=1,IF(INDEX('Lease Cycles'!$EF$31:$EL$31,1,AK401)=1,'Lease Cycles'!$C$31*INDEX('Lease Cycles'!$ET$31:$EZ$31,1,AK401)*(1+'Lease Cycles'!$V$31)^INT(INT(AK402/12)/'Lease Cycles'!$W$31)/12,0),0)</f>
        <v>0</v>
      </c>
      <c r="AL405" s="28">
        <f>IF(AL403=1,IF(INDEX('Lease Cycles'!$EF$31:$EL$31,1,AL401)=1,'Lease Cycles'!$C$31*INDEX('Lease Cycles'!$ET$31:$EZ$31,1,AL401)*(1+'Lease Cycles'!$V$31)^INT(INT(AL402/12)/'Lease Cycles'!$W$31)/12,0),0)</f>
        <v>0</v>
      </c>
      <c r="AM405" s="28">
        <f>IF(AM403=1,IF(INDEX('Lease Cycles'!$EF$31:$EL$31,1,AM401)=1,'Lease Cycles'!$C$31*INDEX('Lease Cycles'!$ET$31:$EZ$31,1,AM401)*(1+'Lease Cycles'!$V$31)^INT(INT(AM402/12)/'Lease Cycles'!$W$31)/12,0),0)</f>
        <v>0</v>
      </c>
      <c r="AN405" s="28">
        <f>IF(AN403=1,IF(INDEX('Lease Cycles'!$EF$31:$EL$31,1,AN401)=1,'Lease Cycles'!$C$31*INDEX('Lease Cycles'!$ET$31:$EZ$31,1,AN401)*(1+'Lease Cycles'!$V$31)^INT(INT(AN402/12)/'Lease Cycles'!$W$31)/12,0),0)</f>
        <v>0</v>
      </c>
      <c r="AO405" s="28">
        <f>IF(AO403=1,IF(INDEX('Lease Cycles'!$EF$31:$EL$31,1,AO401)=1,'Lease Cycles'!$C$31*INDEX('Lease Cycles'!$ET$31:$EZ$31,1,AO401)*(1+'Lease Cycles'!$V$31)^INT(INT(AO402/12)/'Lease Cycles'!$W$31)/12,0),0)</f>
        <v>0</v>
      </c>
      <c r="AP405" s="28">
        <f>IF(AP403=1,IF(INDEX('Lease Cycles'!$EF$31:$EL$31,1,AP401)=1,'Lease Cycles'!$C$31*INDEX('Lease Cycles'!$ET$31:$EZ$31,1,AP401)*(1+'Lease Cycles'!$V$31)^INT(INT(AP402/12)/'Lease Cycles'!$W$31)/12,0),0)</f>
        <v>0</v>
      </c>
      <c r="AQ405" s="28">
        <f>IF(AQ403=1,IF(INDEX('Lease Cycles'!$EF$31:$EL$31,1,AQ401)=1,'Lease Cycles'!$C$31*INDEX('Lease Cycles'!$ET$31:$EZ$31,1,AQ401)*(1+'Lease Cycles'!$V$31)^INT(INT(AQ402/12)/'Lease Cycles'!$W$31)/12,0),0)</f>
        <v>0</v>
      </c>
      <c r="AR405" s="28">
        <f>IF(AR403=1,IF(INDEX('Lease Cycles'!$EF$31:$EL$31,1,AR401)=1,'Lease Cycles'!$C$31*INDEX('Lease Cycles'!$ET$31:$EZ$31,1,AR401)*(1+'Lease Cycles'!$V$31)^INT(INT(AR402/12)/'Lease Cycles'!$W$31)/12,0),0)</f>
        <v>0</v>
      </c>
      <c r="AS405" s="28">
        <f>IF(AS403=1,IF(INDEX('Lease Cycles'!$EF$31:$EL$31,1,AS401)=1,'Lease Cycles'!$C$31*INDEX('Lease Cycles'!$ET$31:$EZ$31,1,AS401)*(1+'Lease Cycles'!$V$31)^INT(INT(AS402/12)/'Lease Cycles'!$W$31)/12,0),0)</f>
        <v>0</v>
      </c>
      <c r="AT405" s="28">
        <f>IF(AT403=1,IF(INDEX('Lease Cycles'!$EF$31:$EL$31,1,AT401)=1,'Lease Cycles'!$C$31*INDEX('Lease Cycles'!$ET$31:$EZ$31,1,AT401)*(1+'Lease Cycles'!$V$31)^INT(INT(AT402/12)/'Lease Cycles'!$W$31)/12,0),0)</f>
        <v>0</v>
      </c>
      <c r="AU405" s="28">
        <f>IF(AU403=1,IF(INDEX('Lease Cycles'!$EF$31:$EL$31,1,AU401)=1,'Lease Cycles'!$C$31*INDEX('Lease Cycles'!$ET$31:$EZ$31,1,AU401)*(1+'Lease Cycles'!$V$31)^INT(INT(AU402/12)/'Lease Cycles'!$W$31)/12,0),0)</f>
        <v>0</v>
      </c>
      <c r="AV405" s="28">
        <f>IF(AV403=1,IF(INDEX('Lease Cycles'!$EF$31:$EL$31,1,AV401)=1,'Lease Cycles'!$C$31*INDEX('Lease Cycles'!$ET$31:$EZ$31,1,AV401)*(1+'Lease Cycles'!$V$31)^INT(INT(AV402/12)/'Lease Cycles'!$W$31)/12,0),0)</f>
        <v>0</v>
      </c>
      <c r="AW405" s="28">
        <f>IF(AW403=1,IF(INDEX('Lease Cycles'!$EF$31:$EL$31,1,AW401)=1,'Lease Cycles'!$C$31*INDEX('Lease Cycles'!$ET$31:$EZ$31,1,AW401)*(1+'Lease Cycles'!$V$31)^INT(INT(AW402/12)/'Lease Cycles'!$W$31)/12,0),0)</f>
        <v>0</v>
      </c>
      <c r="AX405" s="28">
        <f>IF(AX403=1,IF(INDEX('Lease Cycles'!$EF$31:$EL$31,1,AX401)=1,'Lease Cycles'!$C$31*INDEX('Lease Cycles'!$ET$31:$EZ$31,1,AX401)*(1+'Lease Cycles'!$V$31)^INT(INT(AX402/12)/'Lease Cycles'!$W$31)/12,0),0)</f>
        <v>0</v>
      </c>
      <c r="AY405" s="28">
        <f>IF(AY403=1,IF(INDEX('Lease Cycles'!$EF$31:$EL$31,1,AY401)=1,'Lease Cycles'!$C$31*INDEX('Lease Cycles'!$ET$31:$EZ$31,1,AY401)*(1+'Lease Cycles'!$V$31)^INT(INT(AY402/12)/'Lease Cycles'!$W$31)/12,0),0)</f>
        <v>0</v>
      </c>
      <c r="AZ405" s="28">
        <f>IF(AZ403=1,IF(INDEX('Lease Cycles'!$EF$31:$EL$31,1,AZ401)=1,'Lease Cycles'!$C$31*INDEX('Lease Cycles'!$ET$31:$EZ$31,1,AZ401)*(1+'Lease Cycles'!$V$31)^INT(INT(AZ402/12)/'Lease Cycles'!$W$31)/12,0),0)</f>
        <v>0</v>
      </c>
      <c r="BA405" s="28">
        <f>IF(BA403=1,IF(INDEX('Lease Cycles'!$EF$31:$EL$31,1,BA401)=1,'Lease Cycles'!$C$31*INDEX('Lease Cycles'!$ET$31:$EZ$31,1,BA401)*(1+'Lease Cycles'!$V$31)^INT(INT(BA402/12)/'Lease Cycles'!$W$31)/12,0),0)</f>
        <v>0</v>
      </c>
      <c r="BB405" s="28">
        <f>IF(BB403=1,IF(INDEX('Lease Cycles'!$EF$31:$EL$31,1,BB401)=1,'Lease Cycles'!$C$31*INDEX('Lease Cycles'!$ET$31:$EZ$31,1,BB401)*(1+'Lease Cycles'!$V$31)^INT(INT(BB402/12)/'Lease Cycles'!$W$31)/12,0),0)</f>
        <v>0</v>
      </c>
      <c r="BC405" s="28">
        <f>IF(BC403=1,IF(INDEX('Lease Cycles'!$EF$31:$EL$31,1,BC401)=1,'Lease Cycles'!$C$31*INDEX('Lease Cycles'!$ET$31:$EZ$31,1,BC401)*(1+'Lease Cycles'!$V$31)^INT(INT(BC402/12)/'Lease Cycles'!$W$31)/12,0),0)</f>
        <v>0</v>
      </c>
      <c r="BD405" s="28">
        <f>IF(BD403=1,IF(INDEX('Lease Cycles'!$EF$31:$EL$31,1,BD401)=1,'Lease Cycles'!$C$31*INDEX('Lease Cycles'!$ET$31:$EZ$31,1,BD401)*(1+'Lease Cycles'!$V$31)^INT(INT(BD402/12)/'Lease Cycles'!$W$31)/12,0),0)</f>
        <v>0</v>
      </c>
      <c r="BE405" s="28">
        <f>IF(BE403=1,IF(INDEX('Lease Cycles'!$EF$31:$EL$31,1,BE401)=1,'Lease Cycles'!$C$31*INDEX('Lease Cycles'!$ET$31:$EZ$31,1,BE401)*(1+'Lease Cycles'!$V$31)^INT(INT(BE402/12)/'Lease Cycles'!$W$31)/12,0),0)</f>
        <v>0</v>
      </c>
      <c r="BF405" s="28">
        <f>IF(BF403=1,IF(INDEX('Lease Cycles'!$EF$31:$EL$31,1,BF401)=1,'Lease Cycles'!$C$31*INDEX('Lease Cycles'!$ET$31:$EZ$31,1,BF401)*(1+'Lease Cycles'!$V$31)^INT(INT(BF402/12)/'Lease Cycles'!$W$31)/12,0),0)</f>
        <v>0</v>
      </c>
      <c r="BG405" s="28">
        <f>IF(BG403=1,IF(INDEX('Lease Cycles'!$EF$31:$EL$31,1,BG401)=1,'Lease Cycles'!$C$31*INDEX('Lease Cycles'!$ET$31:$EZ$31,1,BG401)*(1+'Lease Cycles'!$V$31)^INT(INT(BG402/12)/'Lease Cycles'!$W$31)/12,0),0)</f>
        <v>0</v>
      </c>
      <c r="BH405" s="28">
        <f>IF(BH403=1,IF(INDEX('Lease Cycles'!$EF$31:$EL$31,1,BH401)=1,'Lease Cycles'!$C$31*INDEX('Lease Cycles'!$ET$31:$EZ$31,1,BH401)*(1+'Lease Cycles'!$V$31)^INT(INT(BH402/12)/'Lease Cycles'!$W$31)/12,0),0)</f>
        <v>0</v>
      </c>
      <c r="BI405" s="28">
        <f>IF(BI403=1,IF(INDEX('Lease Cycles'!$EF$31:$EL$31,1,BI401)=1,'Lease Cycles'!$C$31*INDEX('Lease Cycles'!$ET$31:$EZ$31,1,BI401)*(1+'Lease Cycles'!$V$31)^INT(INT(BI402/12)/'Lease Cycles'!$W$31)/12,0),0)</f>
        <v>0</v>
      </c>
      <c r="BJ405" s="28">
        <f>IF(BJ403=1,IF(INDEX('Lease Cycles'!$EF$31:$EL$31,1,BJ401)=1,'Lease Cycles'!$C$31*INDEX('Lease Cycles'!$ET$31:$EZ$31,1,BJ401)*(1+'Lease Cycles'!$V$31)^INT(INT(BJ402/12)/'Lease Cycles'!$W$31)/12,0),0)</f>
        <v>0</v>
      </c>
      <c r="BK405" s="28">
        <f>IF(BK403=1,IF(INDEX('Lease Cycles'!$EF$31:$EL$31,1,BK401)=1,'Lease Cycles'!$C$31*INDEX('Lease Cycles'!$ET$31:$EZ$31,1,BK401)*(1+'Lease Cycles'!$V$31)^INT(INT(BK402/12)/'Lease Cycles'!$W$31)/12,0),0)</f>
        <v>0</v>
      </c>
      <c r="BL405" s="28">
        <f>IF(BL403=1,IF(INDEX('Lease Cycles'!$EF$31:$EL$31,1,BL401)=1,'Lease Cycles'!$C$31*INDEX('Lease Cycles'!$ET$31:$EZ$31,1,BL401)*(1+'Lease Cycles'!$V$31)^INT(INT(BL402/12)/'Lease Cycles'!$W$31)/12,0),0)</f>
        <v>0</v>
      </c>
      <c r="BM405" s="28">
        <f>IF(BM403=1,IF(INDEX('Lease Cycles'!$EF$31:$EL$31,1,BM401)=1,'Lease Cycles'!$C$31*INDEX('Lease Cycles'!$ET$31:$EZ$31,1,BM401)*(1+'Lease Cycles'!$V$31)^INT(INT(BM402/12)/'Lease Cycles'!$W$31)/12,0),0)</f>
        <v>0</v>
      </c>
      <c r="BN405" s="28">
        <f>IF(BN403=1,IF(INDEX('Lease Cycles'!$EF$31:$EL$31,1,BN401)=1,'Lease Cycles'!$C$31*INDEX('Lease Cycles'!$ET$31:$EZ$31,1,BN401)*(1+'Lease Cycles'!$V$31)^INT(INT(BN402/12)/'Lease Cycles'!$W$31)/12,0),0)</f>
        <v>0</v>
      </c>
      <c r="BO405" s="28">
        <f>IF(BO403=1,IF(INDEX('Lease Cycles'!$EF$31:$EL$31,1,BO401)=1,'Lease Cycles'!$C$31*INDEX('Lease Cycles'!$ET$31:$EZ$31,1,BO401)*(1+'Lease Cycles'!$V$31)^INT(INT(BO402/12)/'Lease Cycles'!$W$31)/12,0),0)</f>
        <v>0</v>
      </c>
      <c r="BP405" s="28">
        <f>IF(BP403=1,IF(INDEX('Lease Cycles'!$EF$31:$EL$31,1,BP401)=1,'Lease Cycles'!$C$31*INDEX('Lease Cycles'!$ET$31:$EZ$31,1,BP401)*(1+'Lease Cycles'!$V$31)^INT(INT(BP402/12)/'Lease Cycles'!$W$31)/12,0),0)</f>
        <v>0</v>
      </c>
      <c r="BQ405" s="28">
        <f>IF(BQ403=1,IF(INDEX('Lease Cycles'!$EF$31:$EL$31,1,BQ401)=1,'Lease Cycles'!$C$31*INDEX('Lease Cycles'!$ET$31:$EZ$31,1,BQ401)*(1+'Lease Cycles'!$V$31)^INT(INT(BQ402/12)/'Lease Cycles'!$W$31)/12,0),0)</f>
        <v>0</v>
      </c>
      <c r="BR405" s="28">
        <f>IF(BR403=1,IF(INDEX('Lease Cycles'!$EF$31:$EL$31,1,BR401)=1,'Lease Cycles'!$C$31*INDEX('Lease Cycles'!$ET$31:$EZ$31,1,BR401)*(1+'Lease Cycles'!$V$31)^INT(INT(BR402/12)/'Lease Cycles'!$W$31)/12,0),0)</f>
        <v>0</v>
      </c>
      <c r="BS405" s="28">
        <f>IF(BS403=1,IF(INDEX('Lease Cycles'!$EF$31:$EL$31,1,BS401)=1,'Lease Cycles'!$C$31*INDEX('Lease Cycles'!$ET$31:$EZ$31,1,BS401)*(1+'Lease Cycles'!$V$31)^INT(INT(BS402/12)/'Lease Cycles'!$W$31)/12,0),0)</f>
        <v>0</v>
      </c>
      <c r="BT405" s="28">
        <f>IF(BT403=1,IF(INDEX('Lease Cycles'!$EF$31:$EL$31,1,BT401)=1,'Lease Cycles'!$C$31*INDEX('Lease Cycles'!$ET$31:$EZ$31,1,BT401)*(1+'Lease Cycles'!$V$31)^INT(INT(BT402/12)/'Lease Cycles'!$W$31)/12,0),0)</f>
        <v>0</v>
      </c>
      <c r="BU405" s="28">
        <f>IF(BU403=1,IF(INDEX('Lease Cycles'!$EF$31:$EL$31,1,BU401)=1,'Lease Cycles'!$C$31*INDEX('Lease Cycles'!$ET$31:$EZ$31,1,BU401)*(1+'Lease Cycles'!$V$31)^INT(INT(BU402/12)/'Lease Cycles'!$W$31)/12,0),0)</f>
        <v>0</v>
      </c>
      <c r="BV405" s="28">
        <f>IF(BV403=1,IF(INDEX('Lease Cycles'!$EF$31:$EL$31,1,BV401)=1,'Lease Cycles'!$C$31*INDEX('Lease Cycles'!$ET$31:$EZ$31,1,BV401)*(1+'Lease Cycles'!$V$31)^INT(INT(BV402/12)/'Lease Cycles'!$W$31)/12,0),0)</f>
        <v>0</v>
      </c>
      <c r="BW405" s="28">
        <f>IF(BW403=1,IF(INDEX('Lease Cycles'!$EF$31:$EL$31,1,BW401)=1,'Lease Cycles'!$C$31*INDEX('Lease Cycles'!$ET$31:$EZ$31,1,BW401)*(1+'Lease Cycles'!$V$31)^INT(INT(BW402/12)/'Lease Cycles'!$W$31)/12,0),0)</f>
        <v>0</v>
      </c>
      <c r="BX405" s="28">
        <f>IF(BX403=1,IF(INDEX('Lease Cycles'!$EF$31:$EL$31,1,BX401)=1,'Lease Cycles'!$C$31*INDEX('Lease Cycles'!$ET$31:$EZ$31,1,BX401)*(1+'Lease Cycles'!$V$31)^INT(INT(BX402/12)/'Lease Cycles'!$W$31)/12,0),0)</f>
        <v>0</v>
      </c>
      <c r="BY405" s="28">
        <f>IF(BY403=1,IF(INDEX('Lease Cycles'!$EF$31:$EL$31,1,BY401)=1,'Lease Cycles'!$C$31*INDEX('Lease Cycles'!$ET$31:$EZ$31,1,BY401)*(1+'Lease Cycles'!$V$31)^INT(INT(BY402/12)/'Lease Cycles'!$W$31)/12,0),0)</f>
        <v>0</v>
      </c>
      <c r="BZ405" s="28">
        <f>IF(BZ403=1,IF(INDEX('Lease Cycles'!$EF$31:$EL$31,1,BZ401)=1,'Lease Cycles'!$C$31*INDEX('Lease Cycles'!$ET$31:$EZ$31,1,BZ401)*(1+'Lease Cycles'!$V$31)^INT(INT(BZ402/12)/'Lease Cycles'!$W$31)/12,0),0)</f>
        <v>0</v>
      </c>
      <c r="CA405" s="28">
        <f>IF(CA403=1,IF(INDEX('Lease Cycles'!$EF$31:$EL$31,1,CA401)=1,'Lease Cycles'!$C$31*INDEX('Lease Cycles'!$ET$31:$EZ$31,1,CA401)*(1+'Lease Cycles'!$V$31)^INT(INT(CA402/12)/'Lease Cycles'!$W$31)/12,0),0)</f>
        <v>0</v>
      </c>
      <c r="CB405" s="28">
        <f>IF(CB403=1,IF(INDEX('Lease Cycles'!$EF$31:$EL$31,1,CB401)=1,'Lease Cycles'!$C$31*INDEX('Lease Cycles'!$ET$31:$EZ$31,1,CB401)*(1+'Lease Cycles'!$V$31)^INT(INT(CB402/12)/'Lease Cycles'!$W$31)/12,0),0)</f>
        <v>0</v>
      </c>
      <c r="CC405" s="28">
        <f>IF(CC403=1,IF(INDEX('Lease Cycles'!$EF$31:$EL$31,1,CC401)=1,'Lease Cycles'!$C$31*INDEX('Lease Cycles'!$ET$31:$EZ$31,1,CC401)*(1+'Lease Cycles'!$V$31)^INT(INT(CC402/12)/'Lease Cycles'!$W$31)/12,0),0)</f>
        <v>0</v>
      </c>
      <c r="CD405" s="28">
        <f>IF(CD403=1,IF(INDEX('Lease Cycles'!$EF$31:$EL$31,1,CD401)=1,'Lease Cycles'!$C$31*INDEX('Lease Cycles'!$ET$31:$EZ$31,1,CD401)*(1+'Lease Cycles'!$V$31)^INT(INT(CD402/12)/'Lease Cycles'!$W$31)/12,0),0)</f>
        <v>0</v>
      </c>
      <c r="CE405" s="28">
        <f>IF(CE403=1,IF(INDEX('Lease Cycles'!$EF$31:$EL$31,1,CE401)=1,'Lease Cycles'!$C$31*INDEX('Lease Cycles'!$ET$31:$EZ$31,1,CE401)*(1+'Lease Cycles'!$V$31)^INT(INT(CE402/12)/'Lease Cycles'!$W$31)/12,0),0)</f>
        <v>0</v>
      </c>
      <c r="CF405" s="28">
        <f>IF(CF403=1,IF(INDEX('Lease Cycles'!$EF$31:$EL$31,1,CF401)=1,'Lease Cycles'!$C$31*INDEX('Lease Cycles'!$ET$31:$EZ$31,1,CF401)*(1+'Lease Cycles'!$V$31)^INT(INT(CF402/12)/'Lease Cycles'!$W$31)/12,0),0)</f>
        <v>0</v>
      </c>
      <c r="CG405" s="28">
        <f>IF(CG403=1,IF(INDEX('Lease Cycles'!$EF$31:$EL$31,1,CG401)=1,'Lease Cycles'!$C$31*INDEX('Lease Cycles'!$ET$31:$EZ$31,1,CG401)*(1+'Lease Cycles'!$V$31)^INT(INT(CG402/12)/'Lease Cycles'!$W$31)/12,0),0)</f>
        <v>0</v>
      </c>
      <c r="CH405" s="28">
        <f>IF(CH403=1,IF(INDEX('Lease Cycles'!$EF$31:$EL$31,1,CH401)=1,'Lease Cycles'!$C$31*INDEX('Lease Cycles'!$ET$31:$EZ$31,1,CH401)*(1+'Lease Cycles'!$V$31)^INT(INT(CH402/12)/'Lease Cycles'!$W$31)/12,0),0)</f>
        <v>0</v>
      </c>
      <c r="CI405" s="28">
        <f>IF(CI403=1,IF(INDEX('Lease Cycles'!$EF$31:$EL$31,1,CI401)=1,'Lease Cycles'!$C$31*INDEX('Lease Cycles'!$ET$31:$EZ$31,1,CI401)*(1+'Lease Cycles'!$V$31)^INT(INT(CI402/12)/'Lease Cycles'!$W$31)/12,0),0)</f>
        <v>0</v>
      </c>
      <c r="CJ405" s="28">
        <f>IF(CJ403=1,IF(INDEX('Lease Cycles'!$EF$31:$EL$31,1,CJ401)=1,'Lease Cycles'!$C$31*INDEX('Lease Cycles'!$ET$31:$EZ$31,1,CJ401)*(1+'Lease Cycles'!$V$31)^INT(INT(CJ402/12)/'Lease Cycles'!$W$31)/12,0),0)</f>
        <v>0</v>
      </c>
      <c r="CK405" s="28">
        <f>IF(CK403=1,IF(INDEX('Lease Cycles'!$EF$31:$EL$31,1,CK401)=1,'Lease Cycles'!$C$31*INDEX('Lease Cycles'!$ET$31:$EZ$31,1,CK401)*(1+'Lease Cycles'!$V$31)^INT(INT(CK402/12)/'Lease Cycles'!$W$31)/12,0),0)</f>
        <v>0</v>
      </c>
      <c r="CL405" s="28">
        <f>IF(CL403=1,IF(INDEX('Lease Cycles'!$EF$31:$EL$31,1,CL401)=1,'Lease Cycles'!$C$31*INDEX('Lease Cycles'!$ET$31:$EZ$31,1,CL401)*(1+'Lease Cycles'!$V$31)^INT(INT(CL402/12)/'Lease Cycles'!$W$31)/12,0),0)</f>
        <v>0</v>
      </c>
      <c r="CM405" s="28">
        <f>IF(CM403=1,IF(INDEX('Lease Cycles'!$EF$31:$EL$31,1,CM401)=1,'Lease Cycles'!$C$31*INDEX('Lease Cycles'!$ET$31:$EZ$31,1,CM401)*(1+'Lease Cycles'!$V$31)^INT(INT(CM402/12)/'Lease Cycles'!$W$31)/12,0),0)</f>
        <v>0</v>
      </c>
      <c r="CN405" s="28">
        <f>IF(CN403=1,IF(INDEX('Lease Cycles'!$EF$31:$EL$31,1,CN401)=1,'Lease Cycles'!$C$31*INDEX('Lease Cycles'!$ET$31:$EZ$31,1,CN401)*(1+'Lease Cycles'!$V$31)^INT(INT(CN402/12)/'Lease Cycles'!$W$31)/12,0),0)</f>
        <v>0</v>
      </c>
      <c r="CO405" s="28">
        <f>IF(CO403=1,IF(INDEX('Lease Cycles'!$EF$31:$EL$31,1,CO401)=1,'Lease Cycles'!$C$31*INDEX('Lease Cycles'!$ET$31:$EZ$31,1,CO401)*(1+'Lease Cycles'!$V$31)^INT(INT(CO402/12)/'Lease Cycles'!$W$31)/12,0),0)</f>
        <v>0</v>
      </c>
      <c r="CP405" s="28">
        <f>IF(CP403=1,IF(INDEX('Lease Cycles'!$EF$31:$EL$31,1,CP401)=1,'Lease Cycles'!$C$31*INDEX('Lease Cycles'!$ET$31:$EZ$31,1,CP401)*(1+'Lease Cycles'!$V$31)^INT(INT(CP402/12)/'Lease Cycles'!$W$31)/12,0),0)</f>
        <v>0</v>
      </c>
      <c r="CQ405" s="28">
        <f>IF(CQ403=1,IF(INDEX('Lease Cycles'!$EF$31:$EL$31,1,CQ401)=1,'Lease Cycles'!$C$31*INDEX('Lease Cycles'!$ET$31:$EZ$31,1,CQ401)*(1+'Lease Cycles'!$V$31)^INT(INT(CQ402/12)/'Lease Cycles'!$W$31)/12,0),0)</f>
        <v>0</v>
      </c>
      <c r="CR405" s="28">
        <f>IF(CR403=1,IF(INDEX('Lease Cycles'!$EF$31:$EL$31,1,CR401)=1,'Lease Cycles'!$C$31*INDEX('Lease Cycles'!$ET$31:$EZ$31,1,CR401)*(1+'Lease Cycles'!$V$31)^INT(INT(CR402/12)/'Lease Cycles'!$W$31)/12,0),0)</f>
        <v>0</v>
      </c>
      <c r="CS405" s="28">
        <f>IF(CS403=1,IF(INDEX('Lease Cycles'!$EF$31:$EL$31,1,CS401)=1,'Lease Cycles'!$C$31*INDEX('Lease Cycles'!$ET$31:$EZ$31,1,CS401)*(1+'Lease Cycles'!$V$31)^INT(INT(CS402/12)/'Lease Cycles'!$W$31)/12,0),0)</f>
        <v>0</v>
      </c>
      <c r="CT405" s="28">
        <f>IF(CT403=1,IF(INDEX('Lease Cycles'!$EF$31:$EL$31,1,CT401)=1,'Lease Cycles'!$C$31*INDEX('Lease Cycles'!$ET$31:$EZ$31,1,CT401)*(1+'Lease Cycles'!$V$31)^INT(INT(CT402/12)/'Lease Cycles'!$W$31)/12,0),0)</f>
        <v>0</v>
      </c>
      <c r="CU405" s="28">
        <f>IF(CU403=1,IF(INDEX('Lease Cycles'!$EF$31:$EL$31,1,CU401)=1,'Lease Cycles'!$C$31*INDEX('Lease Cycles'!$ET$31:$EZ$31,1,CU401)*(1+'Lease Cycles'!$V$31)^INT(INT(CU402/12)/'Lease Cycles'!$W$31)/12,0),0)</f>
        <v>0</v>
      </c>
      <c r="CV405" s="28">
        <f>IF(CV403=1,IF(INDEX('Lease Cycles'!$EF$31:$EL$31,1,CV401)=1,'Lease Cycles'!$C$31*INDEX('Lease Cycles'!$ET$31:$EZ$31,1,CV401)*(1+'Lease Cycles'!$V$31)^INT(INT(CV402/12)/'Lease Cycles'!$W$31)/12,0),0)</f>
        <v>0</v>
      </c>
      <c r="CW405" s="28">
        <f>IF(CW403=1,IF(INDEX('Lease Cycles'!$EF$31:$EL$31,1,CW401)=1,'Lease Cycles'!$C$31*INDEX('Lease Cycles'!$ET$31:$EZ$31,1,CW401)*(1+'Lease Cycles'!$V$31)^INT(INT(CW402/12)/'Lease Cycles'!$W$31)/12,0),0)</f>
        <v>0</v>
      </c>
      <c r="CX405" s="28">
        <f>IF(CX403=1,IF(INDEX('Lease Cycles'!$EF$31:$EL$31,1,CX401)=1,'Lease Cycles'!$C$31*INDEX('Lease Cycles'!$ET$31:$EZ$31,1,CX401)*(1+'Lease Cycles'!$V$31)^INT(INT(CX402/12)/'Lease Cycles'!$W$31)/12,0),0)</f>
        <v>0</v>
      </c>
      <c r="CY405" s="28">
        <f>IF(CY403=1,IF(INDEX('Lease Cycles'!$EF$31:$EL$31,1,CY401)=1,'Lease Cycles'!$C$31*INDEX('Lease Cycles'!$ET$31:$EZ$31,1,CY401)*(1+'Lease Cycles'!$V$31)^INT(INT(CY402/12)/'Lease Cycles'!$W$31)/12,0),0)</f>
        <v>0</v>
      </c>
      <c r="CZ405" s="28">
        <f>IF(CZ403=1,IF(INDEX('Lease Cycles'!$EF$31:$EL$31,1,CZ401)=1,'Lease Cycles'!$C$31*INDEX('Lease Cycles'!$ET$31:$EZ$31,1,CZ401)*(1+'Lease Cycles'!$V$31)^INT(INT(CZ402/12)/'Lease Cycles'!$W$31)/12,0),0)</f>
        <v>0</v>
      </c>
      <c r="DA405" s="28">
        <f>IF(DA403=1,IF(INDEX('Lease Cycles'!$EF$31:$EL$31,1,DA401)=1,'Lease Cycles'!$C$31*INDEX('Lease Cycles'!$ET$31:$EZ$31,1,DA401)*(1+'Lease Cycles'!$V$31)^INT(INT(DA402/12)/'Lease Cycles'!$W$31)/12,0),0)</f>
        <v>0</v>
      </c>
      <c r="DB405" s="28">
        <f>IF(DB403=1,IF(INDEX('Lease Cycles'!$EF$31:$EL$31,1,DB401)=1,'Lease Cycles'!$C$31*INDEX('Lease Cycles'!$ET$31:$EZ$31,1,DB401)*(1+'Lease Cycles'!$V$31)^INT(INT(DB402/12)/'Lease Cycles'!$W$31)/12,0),0)</f>
        <v>0</v>
      </c>
      <c r="DC405" s="28">
        <f>IF(DC403=1,IF(INDEX('Lease Cycles'!$EF$31:$EL$31,1,DC401)=1,'Lease Cycles'!$C$31*INDEX('Lease Cycles'!$ET$31:$EZ$31,1,DC401)*(1+'Lease Cycles'!$V$31)^INT(INT(DC402/12)/'Lease Cycles'!$W$31)/12,0),0)</f>
        <v>0</v>
      </c>
      <c r="DD405" s="28">
        <f>IF(DD403=1,IF(INDEX('Lease Cycles'!$EF$31:$EL$31,1,DD401)=1,'Lease Cycles'!$C$31*INDEX('Lease Cycles'!$ET$31:$EZ$31,1,DD401)*(1+'Lease Cycles'!$V$31)^INT(INT(DD402/12)/'Lease Cycles'!$W$31)/12,0),0)</f>
        <v>0</v>
      </c>
      <c r="DE405" s="28">
        <f>IF(DE403=1,IF(INDEX('Lease Cycles'!$EF$31:$EL$31,1,DE401)=1,'Lease Cycles'!$C$31*INDEX('Lease Cycles'!$ET$31:$EZ$31,1,DE401)*(1+'Lease Cycles'!$V$31)^INT(INT(DE402/12)/'Lease Cycles'!$W$31)/12,0),0)</f>
        <v>0</v>
      </c>
      <c r="DF405" s="28">
        <f>IF(DF403=1,IF(INDEX('Lease Cycles'!$EF$31:$EL$31,1,DF401)=1,'Lease Cycles'!$C$31*INDEX('Lease Cycles'!$ET$31:$EZ$31,1,DF401)*(1+'Lease Cycles'!$V$31)^INT(INT(DF402/12)/'Lease Cycles'!$W$31)/12,0),0)</f>
        <v>0</v>
      </c>
      <c r="DG405" s="28">
        <f>IF(DG403=1,IF(INDEX('Lease Cycles'!$EF$31:$EL$31,1,DG401)=1,'Lease Cycles'!$C$31*INDEX('Lease Cycles'!$ET$31:$EZ$31,1,DG401)*(1+'Lease Cycles'!$V$31)^INT(INT(DG402/12)/'Lease Cycles'!$W$31)/12,0),0)</f>
        <v>0</v>
      </c>
      <c r="DH405" s="28">
        <f>IF(DH403=1,IF(INDEX('Lease Cycles'!$EF$31:$EL$31,1,DH401)=1,'Lease Cycles'!$C$31*INDEX('Lease Cycles'!$ET$31:$EZ$31,1,DH401)*(1+'Lease Cycles'!$V$31)^INT(INT(DH402/12)/'Lease Cycles'!$W$31)/12,0),0)</f>
        <v>0</v>
      </c>
      <c r="DI405" s="28">
        <f>IF(DI403=1,IF(INDEX('Lease Cycles'!$EF$31:$EL$31,1,DI401)=1,'Lease Cycles'!$C$31*INDEX('Lease Cycles'!$ET$31:$EZ$31,1,DI401)*(1+'Lease Cycles'!$V$31)^INT(INT(DI402/12)/'Lease Cycles'!$W$31)/12,0),0)</f>
        <v>0</v>
      </c>
      <c r="DJ405" s="28">
        <f>IF(DJ403=1,IF(INDEX('Lease Cycles'!$EF$31:$EL$31,1,DJ401)=1,'Lease Cycles'!$C$31*INDEX('Lease Cycles'!$ET$31:$EZ$31,1,DJ401)*(1+'Lease Cycles'!$V$31)^INT(INT(DJ402/12)/'Lease Cycles'!$W$31)/12,0),0)</f>
        <v>0</v>
      </c>
      <c r="DK405" s="28">
        <f>IF(DK403=1,IF(INDEX('Lease Cycles'!$EF$31:$EL$31,1,DK401)=1,'Lease Cycles'!$C$31*INDEX('Lease Cycles'!$ET$31:$EZ$31,1,DK401)*(1+'Lease Cycles'!$V$31)^INT(INT(DK402/12)/'Lease Cycles'!$W$31)/12,0),0)</f>
        <v>0</v>
      </c>
      <c r="DL405" s="28">
        <f>IF(DL403=1,IF(INDEX('Lease Cycles'!$EF$31:$EL$31,1,DL401)=1,'Lease Cycles'!$C$31*INDEX('Lease Cycles'!$ET$31:$EZ$31,1,DL401)*(1+'Lease Cycles'!$V$31)^INT(INT(DL402/12)/'Lease Cycles'!$W$31)/12,0),0)</f>
        <v>0</v>
      </c>
      <c r="DM405" s="28">
        <f>IF(DM403=1,IF(INDEX('Lease Cycles'!$EF$31:$EL$31,1,DM401)=1,'Lease Cycles'!$C$31*INDEX('Lease Cycles'!$ET$31:$EZ$31,1,DM401)*(1+'Lease Cycles'!$V$31)^INT(INT(DM402/12)/'Lease Cycles'!$W$31)/12,0),0)</f>
        <v>0</v>
      </c>
      <c r="DN405" s="28">
        <f>IF(DN403=1,IF(INDEX('Lease Cycles'!$EF$31:$EL$31,1,DN401)=1,'Lease Cycles'!$C$31*INDEX('Lease Cycles'!$ET$31:$EZ$31,1,DN401)*(1+'Lease Cycles'!$V$31)^INT(INT(DN402/12)/'Lease Cycles'!$W$31)/12,0),0)</f>
        <v>0</v>
      </c>
      <c r="DO405" s="28">
        <f>IF(DO403=1,IF(INDEX('Lease Cycles'!$EF$31:$EL$31,1,DO401)=1,'Lease Cycles'!$C$31*INDEX('Lease Cycles'!$ET$31:$EZ$31,1,DO401)*(1+'Lease Cycles'!$V$31)^INT(INT(DO402/12)/'Lease Cycles'!$W$31)/12,0),0)</f>
        <v>0</v>
      </c>
      <c r="DP405" s="28">
        <f>IF(DP403=1,IF(INDEX('Lease Cycles'!$EF$31:$EL$31,1,DP401)=1,'Lease Cycles'!$C$31*INDEX('Lease Cycles'!$ET$31:$EZ$31,1,DP401)*(1+'Lease Cycles'!$V$31)^INT(INT(DP402/12)/'Lease Cycles'!$W$31)/12,0),0)</f>
        <v>0</v>
      </c>
      <c r="DQ405" s="28">
        <f>IF(DQ403=1,IF(INDEX('Lease Cycles'!$EF$31:$EL$31,1,DQ401)=1,'Lease Cycles'!$C$31*INDEX('Lease Cycles'!$ET$31:$EZ$31,1,DQ401)*(1+'Lease Cycles'!$V$31)^INT(INT(DQ402/12)/'Lease Cycles'!$W$31)/12,0),0)</f>
        <v>0</v>
      </c>
      <c r="DR405" s="28">
        <f>IF(DR403=1,IF(INDEX('Lease Cycles'!$EF$31:$EL$31,1,DR401)=1,'Lease Cycles'!$C$31*INDEX('Lease Cycles'!$ET$31:$EZ$31,1,DR401)*(1+'Lease Cycles'!$V$31)^INT(INT(DR402/12)/'Lease Cycles'!$W$31)/12,0),0)</f>
        <v>0</v>
      </c>
      <c r="DS405" s="28">
        <f>IF(DS403=1,IF(INDEX('Lease Cycles'!$EF$31:$EL$31,1,DS401)=1,'Lease Cycles'!$C$31*INDEX('Lease Cycles'!$ET$31:$EZ$31,1,DS401)*(1+'Lease Cycles'!$V$31)^INT(INT(DS402/12)/'Lease Cycles'!$W$31)/12,0),0)</f>
        <v>0</v>
      </c>
      <c r="DT405" s="28">
        <f>IF(DT403=1,IF(INDEX('Lease Cycles'!$EF$31:$EL$31,1,DT401)=1,'Lease Cycles'!$C$31*INDEX('Lease Cycles'!$ET$31:$EZ$31,1,DT401)*(1+'Lease Cycles'!$V$31)^INT(INT(DT402/12)/'Lease Cycles'!$W$31)/12,0),0)</f>
        <v>0</v>
      </c>
      <c r="DU405" s="28">
        <f>IF(DU403=1,IF(INDEX('Lease Cycles'!$EF$31:$EL$31,1,DU401)=1,'Lease Cycles'!$C$31*INDEX('Lease Cycles'!$ET$31:$EZ$31,1,DU401)*(1+'Lease Cycles'!$V$31)^INT(INT(DU402/12)/'Lease Cycles'!$W$31)/12,0),0)</f>
        <v>0</v>
      </c>
      <c r="DV405" s="28">
        <f>IF(DV403=1,IF(INDEX('Lease Cycles'!$EF$31:$EL$31,1,DV401)=1,'Lease Cycles'!$C$31*INDEX('Lease Cycles'!$ET$31:$EZ$31,1,DV401)*(1+'Lease Cycles'!$V$31)^INT(INT(DV402/12)/'Lease Cycles'!$W$31)/12,0),0)</f>
        <v>0</v>
      </c>
      <c r="DW405" s="28">
        <f>IF(DW403=1,IF(INDEX('Lease Cycles'!$EF$31:$EL$31,1,DW401)=1,'Lease Cycles'!$C$31*INDEX('Lease Cycles'!$ET$31:$EZ$31,1,DW401)*(1+'Lease Cycles'!$V$31)^INT(INT(DW402/12)/'Lease Cycles'!$W$31)/12,0),0)</f>
        <v>0</v>
      </c>
      <c r="DX405" s="28">
        <f>IF(DX403=1,IF(INDEX('Lease Cycles'!$EF$31:$EL$31,1,DX401)=1,'Lease Cycles'!$C$31*INDEX('Lease Cycles'!$ET$31:$EZ$31,1,DX401)*(1+'Lease Cycles'!$V$31)^INT(INT(DX402/12)/'Lease Cycles'!$W$31)/12,0),0)</f>
        <v>0</v>
      </c>
      <c r="DY405" s="28">
        <f>IF(DY403=1,IF(INDEX('Lease Cycles'!$EF$31:$EL$31,1,DY401)=1,'Lease Cycles'!$C$31*INDEX('Lease Cycles'!$ET$31:$EZ$31,1,DY401)*(1+'Lease Cycles'!$V$31)^INT(INT(DY402/12)/'Lease Cycles'!$W$31)/12,0),0)</f>
        <v>0</v>
      </c>
      <c r="DZ405" s="28">
        <f>IF(DZ403=1,IF(INDEX('Lease Cycles'!$EF$31:$EL$31,1,DZ401)=1,'Lease Cycles'!$C$31*INDEX('Lease Cycles'!$ET$31:$EZ$31,1,DZ401)*(1+'Lease Cycles'!$V$31)^INT(INT(DZ402/12)/'Lease Cycles'!$W$31)/12,0),0)</f>
        <v>0</v>
      </c>
      <c r="EA405" s="28">
        <f>IF(EA403=1,IF(INDEX('Lease Cycles'!$EF$31:$EL$31,1,EA401)=1,'Lease Cycles'!$C$31*INDEX('Lease Cycles'!$ET$31:$EZ$31,1,EA401)*(1+'Lease Cycles'!$V$31)^INT(INT(EA402/12)/'Lease Cycles'!$W$31)/12,0),0)</f>
        <v>0</v>
      </c>
      <c r="EB405" s="28">
        <f>IF(EB403=1,IF(INDEX('Lease Cycles'!$EF$31:$EL$31,1,EB401)=1,'Lease Cycles'!$C$31*INDEX('Lease Cycles'!$ET$31:$EZ$31,1,EB401)*(1+'Lease Cycles'!$V$31)^INT(INT(EB402/12)/'Lease Cycles'!$W$31)/12,0),0)</f>
        <v>0</v>
      </c>
      <c r="EC405" s="28">
        <f>IF(EC403=1,IF(INDEX('Lease Cycles'!$EF$31:$EL$31,1,EC401)=1,'Lease Cycles'!$C$31*INDEX('Lease Cycles'!$ET$31:$EZ$31,1,EC401)*(1+'Lease Cycles'!$V$31)^INT(INT(EC402/12)/'Lease Cycles'!$W$31)/12,0),0)</f>
        <v>0</v>
      </c>
      <c r="ED405" s="28">
        <f>IF(ED403=1,IF(INDEX('Lease Cycles'!$EF$31:$EL$31,1,ED401)=1,'Lease Cycles'!$C$31*INDEX('Lease Cycles'!$ET$31:$EZ$31,1,ED401)*(1+'Lease Cycles'!$V$31)^INT(INT(ED402/12)/'Lease Cycles'!$W$31)/12,0),0)</f>
        <v>0</v>
      </c>
      <c r="EE405" s="28">
        <f>IF(EE403=1,IF(INDEX('Lease Cycles'!$EF$31:$EL$31,1,EE401)=1,'Lease Cycles'!$C$31*INDEX('Lease Cycles'!$ET$31:$EZ$31,1,EE401)*(1+'Lease Cycles'!$V$31)^INT(INT(EE402/12)/'Lease Cycles'!$W$31)/12,0),0)</f>
        <v>0</v>
      </c>
      <c r="EF405" s="28">
        <f>IF(EF403=1,IF(INDEX('Lease Cycles'!$EF$31:$EL$31,1,EF401)=1,'Lease Cycles'!$C$31*INDEX('Lease Cycles'!$ET$31:$EZ$31,1,EF401)*(1+'Lease Cycles'!$V$31)^INT(INT(EF402/12)/'Lease Cycles'!$W$31)/12,0),0)</f>
        <v>0</v>
      </c>
      <c r="EG405" s="28">
        <f>IF(EG403=1,IF(INDEX('Lease Cycles'!$EF$31:$EL$31,1,EG401)=1,'Lease Cycles'!$C$31*INDEX('Lease Cycles'!$ET$31:$EZ$31,1,EG401)*(1+'Lease Cycles'!$V$31)^INT(INT(EG402/12)/'Lease Cycles'!$W$31)/12,0),0)</f>
        <v>0</v>
      </c>
      <c r="EH405" s="28">
        <f>IF(EH403=1,IF(INDEX('Lease Cycles'!$EF$31:$EL$31,1,EH401)=1,'Lease Cycles'!$C$31*INDEX('Lease Cycles'!$ET$31:$EZ$31,1,EH401)*(1+'Lease Cycles'!$V$31)^INT(INT(EH402/12)/'Lease Cycles'!$W$31)/12,0),0)</f>
        <v>0</v>
      </c>
      <c r="EI405" s="28">
        <f>IF(EI403=1,IF(INDEX('Lease Cycles'!$EF$31:$EL$31,1,EI401)=1,'Lease Cycles'!$C$31*INDEX('Lease Cycles'!$ET$31:$EZ$31,1,EI401)*(1+'Lease Cycles'!$V$31)^INT(INT(EI402/12)/'Lease Cycles'!$W$31)/12,0),0)</f>
        <v>0</v>
      </c>
      <c r="EJ405" s="28">
        <f>IF(EJ403=1,IF(INDEX('Lease Cycles'!$EF$31:$EL$31,1,EJ401)=1,'Lease Cycles'!$C$31*INDEX('Lease Cycles'!$ET$31:$EZ$31,1,EJ401)*(1+'Lease Cycles'!$V$31)^INT(INT(EJ402/12)/'Lease Cycles'!$W$31)/12,0),0)</f>
        <v>0</v>
      </c>
      <c r="EK405" s="28">
        <f>IF(EK403=1,IF(INDEX('Lease Cycles'!$EF$31:$EL$31,1,EK401)=1,'Lease Cycles'!$C$31*INDEX('Lease Cycles'!$ET$31:$EZ$31,1,EK401)*(1+'Lease Cycles'!$V$31)^INT(INT(EK402/12)/'Lease Cycles'!$W$31)/12,0),0)</f>
        <v>0</v>
      </c>
      <c r="EL405" s="28">
        <f>IF(EL403=1,IF(INDEX('Lease Cycles'!$EF$31:$EL$31,1,EL401)=1,'Lease Cycles'!$C$31*INDEX('Lease Cycles'!$ET$31:$EZ$31,1,EL401)*(1+'Lease Cycles'!$V$31)^INT(INT(EL402/12)/'Lease Cycles'!$W$31)/12,0),0)</f>
        <v>0</v>
      </c>
      <c r="EM405" s="28">
        <f>IF(EM403=1,IF(INDEX('Lease Cycles'!$EF$31:$EL$31,1,EM401)=1,'Lease Cycles'!$C$31*INDEX('Lease Cycles'!$ET$31:$EZ$31,1,EM401)*(1+'Lease Cycles'!$V$31)^INT(INT(EM402/12)/'Lease Cycles'!$W$31)/12,0),0)</f>
        <v>0</v>
      </c>
      <c r="EN405" s="28">
        <f>IF(EN403=1,IF(INDEX('Lease Cycles'!$EF$31:$EL$31,1,EN401)=1,'Lease Cycles'!$C$31*INDEX('Lease Cycles'!$ET$31:$EZ$31,1,EN401)*(1+'Lease Cycles'!$V$31)^INT(INT(EN402/12)/'Lease Cycles'!$W$31)/12,0),0)</f>
        <v>0</v>
      </c>
      <c r="EO405" s="28">
        <f>IF(EO403=1,IF(INDEX('Lease Cycles'!$EF$31:$EL$31,1,EO401)=1,'Lease Cycles'!$C$31*INDEX('Lease Cycles'!$ET$31:$EZ$31,1,EO401)*(1+'Lease Cycles'!$V$31)^INT(INT(EO402/12)/'Lease Cycles'!$W$31)/12,0),0)</f>
        <v>0</v>
      </c>
      <c r="EP405" s="28">
        <f>IF(EP403=1,IF(INDEX('Lease Cycles'!$EF$31:$EL$31,1,EP401)=1,'Lease Cycles'!$C$31*INDEX('Lease Cycles'!$ET$31:$EZ$31,1,EP401)*(1+'Lease Cycles'!$V$31)^INT(INT(EP402/12)/'Lease Cycles'!$W$31)/12,0),0)</f>
        <v>0</v>
      </c>
      <c r="EQ405" s="28">
        <f>IF(EQ403=1,IF(INDEX('Lease Cycles'!$EF$31:$EL$31,1,EQ401)=1,'Lease Cycles'!$C$31*INDEX('Lease Cycles'!$ET$31:$EZ$31,1,EQ401)*(1+'Lease Cycles'!$V$31)^INT(INT(EQ402/12)/'Lease Cycles'!$W$31)/12,0),0)</f>
        <v>0</v>
      </c>
      <c r="ER405" s="28">
        <f>IF(ER403=1,IF(INDEX('Lease Cycles'!$EF$31:$EL$31,1,ER401)=1,'Lease Cycles'!$C$31*INDEX('Lease Cycles'!$ET$31:$EZ$31,1,ER401)*(1+'Lease Cycles'!$V$31)^INT(INT(ER402/12)/'Lease Cycles'!$W$31)/12,0),0)</f>
        <v>0</v>
      </c>
      <c r="ES405" s="28">
        <f>IF(ES403=1,IF(INDEX('Lease Cycles'!$EF$31:$EL$31,1,ES401)=1,'Lease Cycles'!$C$31*INDEX('Lease Cycles'!$ET$31:$EZ$31,1,ES401)*(1+'Lease Cycles'!$V$31)^INT(INT(ES402/12)/'Lease Cycles'!$W$31)/12,0),0)</f>
        <v>0</v>
      </c>
      <c r="ET405" s="28">
        <f>IF(ET403=1,IF(INDEX('Lease Cycles'!$EF$31:$EL$31,1,ET401)=1,'Lease Cycles'!$C$31*INDEX('Lease Cycles'!$ET$31:$EZ$31,1,ET401)*(1+'Lease Cycles'!$V$31)^INT(INT(ET402/12)/'Lease Cycles'!$W$31)/12,0),0)</f>
        <v>0</v>
      </c>
    </row>
    <row r="406">
      <c r="A406" s="103">
        <v>24</v>
      </c>
      <c r="B406" s="23" t="str">
        <f>IF('Lease Cycles'!$B$31="","(empty slot)",'Lease Cycles'!$B$31)</f>
        <v>(empty slot)</v>
      </c>
      <c r="C406" s="23" t="s">
        <v>681</v>
      </c>
      <c r="D406" s="104" t="s">
        <v>490</v>
      </c>
      <c r="E406" s="25">
        <f>'Lease Cycles'!$AL$31</f>
        <v>0</v>
      </c>
      <c r="G406" s="28">
        <f>SUM(S406:AD406)</f>
        <v>0</v>
      </c>
      <c r="H406" s="28">
        <f>SUM(AE406:AP406)</f>
        <v>0</v>
      </c>
      <c r="I406" s="28">
        <f>SUM(AQ406:BB406)</f>
        <v>0</v>
      </c>
      <c r="J406" s="28">
        <f>SUM(BC406:BN406)</f>
        <v>0</v>
      </c>
      <c r="K406" s="28">
        <f>SUM(BO406:BZ406)</f>
        <v>0</v>
      </c>
      <c r="L406" s="28">
        <f>SUM(CA406:CL406)</f>
        <v>0</v>
      </c>
      <c r="M406" s="28">
        <f>SUM(CM406:CX406)</f>
        <v>0</v>
      </c>
      <c r="N406" s="28">
        <f>SUM(CY406:DJ406)</f>
        <v>0</v>
      </c>
      <c r="O406" s="28">
        <f>SUM(DK406:DV406)</f>
        <v>0</v>
      </c>
      <c r="P406" s="28">
        <f>SUM(DW406:EH406)</f>
        <v>0</v>
      </c>
      <c r="Q406" s="28">
        <f>SUM(EI406:ET406)</f>
        <v>0</v>
      </c>
      <c r="S406" s="28">
        <f>IF(S403=1,IF(INDEX('Lease Cycles'!$EF$31:$EL$31,1,S401)=1,S404*INDEX('Lease Cycles'!$EM$31:$ES$31,1,S401)+S405*(1-INDEX('Lease Cycles'!$EM$31:$ES$31,1,S401)),S404),S404)</f>
        <v>0</v>
      </c>
      <c r="T406" s="28">
        <f>IF(T403=1,IF(INDEX('Lease Cycles'!$EF$31:$EL$31,1,T401)=1,T404*INDEX('Lease Cycles'!$EM$31:$ES$31,1,T401)+T405*(1-INDEX('Lease Cycles'!$EM$31:$ES$31,1,T401)),T404),T404)</f>
        <v>0</v>
      </c>
      <c r="U406" s="28">
        <f>IF(U403=1,IF(INDEX('Lease Cycles'!$EF$31:$EL$31,1,U401)=1,U404*INDEX('Lease Cycles'!$EM$31:$ES$31,1,U401)+U405*(1-INDEX('Lease Cycles'!$EM$31:$ES$31,1,U401)),U404),U404)</f>
        <v>0</v>
      </c>
      <c r="V406" s="28">
        <f>IF(V403=1,IF(INDEX('Lease Cycles'!$EF$31:$EL$31,1,V401)=1,V404*INDEX('Lease Cycles'!$EM$31:$ES$31,1,V401)+V405*(1-INDEX('Lease Cycles'!$EM$31:$ES$31,1,V401)),V404),V404)</f>
        <v>0</v>
      </c>
      <c r="W406" s="28">
        <f>IF(W403=1,IF(INDEX('Lease Cycles'!$EF$31:$EL$31,1,W401)=1,W404*INDEX('Lease Cycles'!$EM$31:$ES$31,1,W401)+W405*(1-INDEX('Lease Cycles'!$EM$31:$ES$31,1,W401)),W404),W404)</f>
        <v>0</v>
      </c>
      <c r="X406" s="28">
        <f>IF(X403=1,IF(INDEX('Lease Cycles'!$EF$31:$EL$31,1,X401)=1,X404*INDEX('Lease Cycles'!$EM$31:$ES$31,1,X401)+X405*(1-INDEX('Lease Cycles'!$EM$31:$ES$31,1,X401)),X404),X404)</f>
        <v>0</v>
      </c>
      <c r="Y406" s="28">
        <f>IF(Y403=1,IF(INDEX('Lease Cycles'!$EF$31:$EL$31,1,Y401)=1,Y404*INDEX('Lease Cycles'!$EM$31:$ES$31,1,Y401)+Y405*(1-INDEX('Lease Cycles'!$EM$31:$ES$31,1,Y401)),Y404),Y404)</f>
        <v>0</v>
      </c>
      <c r="Z406" s="28">
        <f>IF(Z403=1,IF(INDEX('Lease Cycles'!$EF$31:$EL$31,1,Z401)=1,Z404*INDEX('Lease Cycles'!$EM$31:$ES$31,1,Z401)+Z405*(1-INDEX('Lease Cycles'!$EM$31:$ES$31,1,Z401)),Z404),Z404)</f>
        <v>0</v>
      </c>
      <c r="AA406" s="28">
        <f>IF(AA403=1,IF(INDEX('Lease Cycles'!$EF$31:$EL$31,1,AA401)=1,AA404*INDEX('Lease Cycles'!$EM$31:$ES$31,1,AA401)+AA405*(1-INDEX('Lease Cycles'!$EM$31:$ES$31,1,AA401)),AA404),AA404)</f>
        <v>0</v>
      </c>
      <c r="AB406" s="28">
        <f>IF(AB403=1,IF(INDEX('Lease Cycles'!$EF$31:$EL$31,1,AB401)=1,AB404*INDEX('Lease Cycles'!$EM$31:$ES$31,1,AB401)+AB405*(1-INDEX('Lease Cycles'!$EM$31:$ES$31,1,AB401)),AB404),AB404)</f>
        <v>0</v>
      </c>
      <c r="AC406" s="28">
        <f>IF(AC403=1,IF(INDEX('Lease Cycles'!$EF$31:$EL$31,1,AC401)=1,AC404*INDEX('Lease Cycles'!$EM$31:$ES$31,1,AC401)+AC405*(1-INDEX('Lease Cycles'!$EM$31:$ES$31,1,AC401)),AC404),AC404)</f>
        <v>0</v>
      </c>
      <c r="AD406" s="28">
        <f>IF(AD403=1,IF(INDEX('Lease Cycles'!$EF$31:$EL$31,1,AD401)=1,AD404*INDEX('Lease Cycles'!$EM$31:$ES$31,1,AD401)+AD405*(1-INDEX('Lease Cycles'!$EM$31:$ES$31,1,AD401)),AD404),AD404)</f>
        <v>0</v>
      </c>
      <c r="AE406" s="28">
        <f>IF(AE403=1,IF(INDEX('Lease Cycles'!$EF$31:$EL$31,1,AE401)=1,AE404*INDEX('Lease Cycles'!$EM$31:$ES$31,1,AE401)+AE405*(1-INDEX('Lease Cycles'!$EM$31:$ES$31,1,AE401)),AE404),AE404)</f>
        <v>0</v>
      </c>
      <c r="AF406" s="28">
        <f>IF(AF403=1,IF(INDEX('Lease Cycles'!$EF$31:$EL$31,1,AF401)=1,AF404*INDEX('Lease Cycles'!$EM$31:$ES$31,1,AF401)+AF405*(1-INDEX('Lease Cycles'!$EM$31:$ES$31,1,AF401)),AF404),AF404)</f>
        <v>0</v>
      </c>
      <c r="AG406" s="28">
        <f>IF(AG403=1,IF(INDEX('Lease Cycles'!$EF$31:$EL$31,1,AG401)=1,AG404*INDEX('Lease Cycles'!$EM$31:$ES$31,1,AG401)+AG405*(1-INDEX('Lease Cycles'!$EM$31:$ES$31,1,AG401)),AG404),AG404)</f>
        <v>0</v>
      </c>
      <c r="AH406" s="28">
        <f>IF(AH403=1,IF(INDEX('Lease Cycles'!$EF$31:$EL$31,1,AH401)=1,AH404*INDEX('Lease Cycles'!$EM$31:$ES$31,1,AH401)+AH405*(1-INDEX('Lease Cycles'!$EM$31:$ES$31,1,AH401)),AH404),AH404)</f>
        <v>0</v>
      </c>
      <c r="AI406" s="28">
        <f>IF(AI403=1,IF(INDEX('Lease Cycles'!$EF$31:$EL$31,1,AI401)=1,AI404*INDEX('Lease Cycles'!$EM$31:$ES$31,1,AI401)+AI405*(1-INDEX('Lease Cycles'!$EM$31:$ES$31,1,AI401)),AI404),AI404)</f>
        <v>0</v>
      </c>
      <c r="AJ406" s="28">
        <f>IF(AJ403=1,IF(INDEX('Lease Cycles'!$EF$31:$EL$31,1,AJ401)=1,AJ404*INDEX('Lease Cycles'!$EM$31:$ES$31,1,AJ401)+AJ405*(1-INDEX('Lease Cycles'!$EM$31:$ES$31,1,AJ401)),AJ404),AJ404)</f>
        <v>0</v>
      </c>
      <c r="AK406" s="28">
        <f>IF(AK403=1,IF(INDEX('Lease Cycles'!$EF$31:$EL$31,1,AK401)=1,AK404*INDEX('Lease Cycles'!$EM$31:$ES$31,1,AK401)+AK405*(1-INDEX('Lease Cycles'!$EM$31:$ES$31,1,AK401)),AK404),AK404)</f>
        <v>0</v>
      </c>
      <c r="AL406" s="28">
        <f>IF(AL403=1,IF(INDEX('Lease Cycles'!$EF$31:$EL$31,1,AL401)=1,AL404*INDEX('Lease Cycles'!$EM$31:$ES$31,1,AL401)+AL405*(1-INDEX('Lease Cycles'!$EM$31:$ES$31,1,AL401)),AL404),AL404)</f>
        <v>0</v>
      </c>
      <c r="AM406" s="28">
        <f>IF(AM403=1,IF(INDEX('Lease Cycles'!$EF$31:$EL$31,1,AM401)=1,AM404*INDEX('Lease Cycles'!$EM$31:$ES$31,1,AM401)+AM405*(1-INDEX('Lease Cycles'!$EM$31:$ES$31,1,AM401)),AM404),AM404)</f>
        <v>0</v>
      </c>
      <c r="AN406" s="28">
        <f>IF(AN403=1,IF(INDEX('Lease Cycles'!$EF$31:$EL$31,1,AN401)=1,AN404*INDEX('Lease Cycles'!$EM$31:$ES$31,1,AN401)+AN405*(1-INDEX('Lease Cycles'!$EM$31:$ES$31,1,AN401)),AN404),AN404)</f>
        <v>0</v>
      </c>
      <c r="AO406" s="28">
        <f>IF(AO403=1,IF(INDEX('Lease Cycles'!$EF$31:$EL$31,1,AO401)=1,AO404*INDEX('Lease Cycles'!$EM$31:$ES$31,1,AO401)+AO405*(1-INDEX('Lease Cycles'!$EM$31:$ES$31,1,AO401)),AO404),AO404)</f>
        <v>0</v>
      </c>
      <c r="AP406" s="28">
        <f>IF(AP403=1,IF(INDEX('Lease Cycles'!$EF$31:$EL$31,1,AP401)=1,AP404*INDEX('Lease Cycles'!$EM$31:$ES$31,1,AP401)+AP405*(1-INDEX('Lease Cycles'!$EM$31:$ES$31,1,AP401)),AP404),AP404)</f>
        <v>0</v>
      </c>
      <c r="AQ406" s="28">
        <f>IF(AQ403=1,IF(INDEX('Lease Cycles'!$EF$31:$EL$31,1,AQ401)=1,AQ404*INDEX('Lease Cycles'!$EM$31:$ES$31,1,AQ401)+AQ405*(1-INDEX('Lease Cycles'!$EM$31:$ES$31,1,AQ401)),AQ404),AQ404)</f>
        <v>0</v>
      </c>
      <c r="AR406" s="28">
        <f>IF(AR403=1,IF(INDEX('Lease Cycles'!$EF$31:$EL$31,1,AR401)=1,AR404*INDEX('Lease Cycles'!$EM$31:$ES$31,1,AR401)+AR405*(1-INDEX('Lease Cycles'!$EM$31:$ES$31,1,AR401)),AR404),AR404)</f>
        <v>0</v>
      </c>
      <c r="AS406" s="28">
        <f>IF(AS403=1,IF(INDEX('Lease Cycles'!$EF$31:$EL$31,1,AS401)=1,AS404*INDEX('Lease Cycles'!$EM$31:$ES$31,1,AS401)+AS405*(1-INDEX('Lease Cycles'!$EM$31:$ES$31,1,AS401)),AS404),AS404)</f>
        <v>0</v>
      </c>
      <c r="AT406" s="28">
        <f>IF(AT403=1,IF(INDEX('Lease Cycles'!$EF$31:$EL$31,1,AT401)=1,AT404*INDEX('Lease Cycles'!$EM$31:$ES$31,1,AT401)+AT405*(1-INDEX('Lease Cycles'!$EM$31:$ES$31,1,AT401)),AT404),AT404)</f>
        <v>0</v>
      </c>
      <c r="AU406" s="28">
        <f>IF(AU403=1,IF(INDEX('Lease Cycles'!$EF$31:$EL$31,1,AU401)=1,AU404*INDEX('Lease Cycles'!$EM$31:$ES$31,1,AU401)+AU405*(1-INDEX('Lease Cycles'!$EM$31:$ES$31,1,AU401)),AU404),AU404)</f>
        <v>0</v>
      </c>
      <c r="AV406" s="28">
        <f>IF(AV403=1,IF(INDEX('Lease Cycles'!$EF$31:$EL$31,1,AV401)=1,AV404*INDEX('Lease Cycles'!$EM$31:$ES$31,1,AV401)+AV405*(1-INDEX('Lease Cycles'!$EM$31:$ES$31,1,AV401)),AV404),AV404)</f>
        <v>0</v>
      </c>
      <c r="AW406" s="28">
        <f>IF(AW403=1,IF(INDEX('Lease Cycles'!$EF$31:$EL$31,1,AW401)=1,AW404*INDEX('Lease Cycles'!$EM$31:$ES$31,1,AW401)+AW405*(1-INDEX('Lease Cycles'!$EM$31:$ES$31,1,AW401)),AW404),AW404)</f>
        <v>0</v>
      </c>
      <c r="AX406" s="28">
        <f>IF(AX403=1,IF(INDEX('Lease Cycles'!$EF$31:$EL$31,1,AX401)=1,AX404*INDEX('Lease Cycles'!$EM$31:$ES$31,1,AX401)+AX405*(1-INDEX('Lease Cycles'!$EM$31:$ES$31,1,AX401)),AX404),AX404)</f>
        <v>0</v>
      </c>
      <c r="AY406" s="28">
        <f>IF(AY403=1,IF(INDEX('Lease Cycles'!$EF$31:$EL$31,1,AY401)=1,AY404*INDEX('Lease Cycles'!$EM$31:$ES$31,1,AY401)+AY405*(1-INDEX('Lease Cycles'!$EM$31:$ES$31,1,AY401)),AY404),AY404)</f>
        <v>0</v>
      </c>
      <c r="AZ406" s="28">
        <f>IF(AZ403=1,IF(INDEX('Lease Cycles'!$EF$31:$EL$31,1,AZ401)=1,AZ404*INDEX('Lease Cycles'!$EM$31:$ES$31,1,AZ401)+AZ405*(1-INDEX('Lease Cycles'!$EM$31:$ES$31,1,AZ401)),AZ404),AZ404)</f>
        <v>0</v>
      </c>
      <c r="BA406" s="28">
        <f>IF(BA403=1,IF(INDEX('Lease Cycles'!$EF$31:$EL$31,1,BA401)=1,BA404*INDEX('Lease Cycles'!$EM$31:$ES$31,1,BA401)+BA405*(1-INDEX('Lease Cycles'!$EM$31:$ES$31,1,BA401)),BA404),BA404)</f>
        <v>0</v>
      </c>
      <c r="BB406" s="28">
        <f>IF(BB403=1,IF(INDEX('Lease Cycles'!$EF$31:$EL$31,1,BB401)=1,BB404*INDEX('Lease Cycles'!$EM$31:$ES$31,1,BB401)+BB405*(1-INDEX('Lease Cycles'!$EM$31:$ES$31,1,BB401)),BB404),BB404)</f>
        <v>0</v>
      </c>
      <c r="BC406" s="28">
        <f>IF(BC403=1,IF(INDEX('Lease Cycles'!$EF$31:$EL$31,1,BC401)=1,BC404*INDEX('Lease Cycles'!$EM$31:$ES$31,1,BC401)+BC405*(1-INDEX('Lease Cycles'!$EM$31:$ES$31,1,BC401)),BC404),BC404)</f>
        <v>0</v>
      </c>
      <c r="BD406" s="28">
        <f>IF(BD403=1,IF(INDEX('Lease Cycles'!$EF$31:$EL$31,1,BD401)=1,BD404*INDEX('Lease Cycles'!$EM$31:$ES$31,1,BD401)+BD405*(1-INDEX('Lease Cycles'!$EM$31:$ES$31,1,BD401)),BD404),BD404)</f>
        <v>0</v>
      </c>
      <c r="BE406" s="28">
        <f>IF(BE403=1,IF(INDEX('Lease Cycles'!$EF$31:$EL$31,1,BE401)=1,BE404*INDEX('Lease Cycles'!$EM$31:$ES$31,1,BE401)+BE405*(1-INDEX('Lease Cycles'!$EM$31:$ES$31,1,BE401)),BE404),BE404)</f>
        <v>0</v>
      </c>
      <c r="BF406" s="28">
        <f>IF(BF403=1,IF(INDEX('Lease Cycles'!$EF$31:$EL$31,1,BF401)=1,BF404*INDEX('Lease Cycles'!$EM$31:$ES$31,1,BF401)+BF405*(1-INDEX('Lease Cycles'!$EM$31:$ES$31,1,BF401)),BF404),BF404)</f>
        <v>0</v>
      </c>
      <c r="BG406" s="28">
        <f>IF(BG403=1,IF(INDEX('Lease Cycles'!$EF$31:$EL$31,1,BG401)=1,BG404*INDEX('Lease Cycles'!$EM$31:$ES$31,1,BG401)+BG405*(1-INDEX('Lease Cycles'!$EM$31:$ES$31,1,BG401)),BG404),BG404)</f>
        <v>0</v>
      </c>
      <c r="BH406" s="28">
        <f>IF(BH403=1,IF(INDEX('Lease Cycles'!$EF$31:$EL$31,1,BH401)=1,BH404*INDEX('Lease Cycles'!$EM$31:$ES$31,1,BH401)+BH405*(1-INDEX('Lease Cycles'!$EM$31:$ES$31,1,BH401)),BH404),BH404)</f>
        <v>0</v>
      </c>
      <c r="BI406" s="28">
        <f>IF(BI403=1,IF(INDEX('Lease Cycles'!$EF$31:$EL$31,1,BI401)=1,BI404*INDEX('Lease Cycles'!$EM$31:$ES$31,1,BI401)+BI405*(1-INDEX('Lease Cycles'!$EM$31:$ES$31,1,BI401)),BI404),BI404)</f>
        <v>0</v>
      </c>
      <c r="BJ406" s="28">
        <f>IF(BJ403=1,IF(INDEX('Lease Cycles'!$EF$31:$EL$31,1,BJ401)=1,BJ404*INDEX('Lease Cycles'!$EM$31:$ES$31,1,BJ401)+BJ405*(1-INDEX('Lease Cycles'!$EM$31:$ES$31,1,BJ401)),BJ404),BJ404)</f>
        <v>0</v>
      </c>
      <c r="BK406" s="28">
        <f>IF(BK403=1,IF(INDEX('Lease Cycles'!$EF$31:$EL$31,1,BK401)=1,BK404*INDEX('Lease Cycles'!$EM$31:$ES$31,1,BK401)+BK405*(1-INDEX('Lease Cycles'!$EM$31:$ES$31,1,BK401)),BK404),BK404)</f>
        <v>0</v>
      </c>
      <c r="BL406" s="28">
        <f>IF(BL403=1,IF(INDEX('Lease Cycles'!$EF$31:$EL$31,1,BL401)=1,BL404*INDEX('Lease Cycles'!$EM$31:$ES$31,1,BL401)+BL405*(1-INDEX('Lease Cycles'!$EM$31:$ES$31,1,BL401)),BL404),BL404)</f>
        <v>0</v>
      </c>
      <c r="BM406" s="28">
        <f>IF(BM403=1,IF(INDEX('Lease Cycles'!$EF$31:$EL$31,1,BM401)=1,BM404*INDEX('Lease Cycles'!$EM$31:$ES$31,1,BM401)+BM405*(1-INDEX('Lease Cycles'!$EM$31:$ES$31,1,BM401)),BM404),BM404)</f>
        <v>0</v>
      </c>
      <c r="BN406" s="28">
        <f>IF(BN403=1,IF(INDEX('Lease Cycles'!$EF$31:$EL$31,1,BN401)=1,BN404*INDEX('Lease Cycles'!$EM$31:$ES$31,1,BN401)+BN405*(1-INDEX('Lease Cycles'!$EM$31:$ES$31,1,BN401)),BN404),BN404)</f>
        <v>0</v>
      </c>
      <c r="BO406" s="28">
        <f>IF(BO403=1,IF(INDEX('Lease Cycles'!$EF$31:$EL$31,1,BO401)=1,BO404*INDEX('Lease Cycles'!$EM$31:$ES$31,1,BO401)+BO405*(1-INDEX('Lease Cycles'!$EM$31:$ES$31,1,BO401)),BO404),BO404)</f>
        <v>0</v>
      </c>
      <c r="BP406" s="28">
        <f>IF(BP403=1,IF(INDEX('Lease Cycles'!$EF$31:$EL$31,1,BP401)=1,BP404*INDEX('Lease Cycles'!$EM$31:$ES$31,1,BP401)+BP405*(1-INDEX('Lease Cycles'!$EM$31:$ES$31,1,BP401)),BP404),BP404)</f>
        <v>0</v>
      </c>
      <c r="BQ406" s="28">
        <f>IF(BQ403=1,IF(INDEX('Lease Cycles'!$EF$31:$EL$31,1,BQ401)=1,BQ404*INDEX('Lease Cycles'!$EM$31:$ES$31,1,BQ401)+BQ405*(1-INDEX('Lease Cycles'!$EM$31:$ES$31,1,BQ401)),BQ404),BQ404)</f>
        <v>0</v>
      </c>
      <c r="BR406" s="28">
        <f>IF(BR403=1,IF(INDEX('Lease Cycles'!$EF$31:$EL$31,1,BR401)=1,BR404*INDEX('Lease Cycles'!$EM$31:$ES$31,1,BR401)+BR405*(1-INDEX('Lease Cycles'!$EM$31:$ES$31,1,BR401)),BR404),BR404)</f>
        <v>0</v>
      </c>
      <c r="BS406" s="28">
        <f>IF(BS403=1,IF(INDEX('Lease Cycles'!$EF$31:$EL$31,1,BS401)=1,BS404*INDEX('Lease Cycles'!$EM$31:$ES$31,1,BS401)+BS405*(1-INDEX('Lease Cycles'!$EM$31:$ES$31,1,BS401)),BS404),BS404)</f>
        <v>0</v>
      </c>
      <c r="BT406" s="28">
        <f>IF(BT403=1,IF(INDEX('Lease Cycles'!$EF$31:$EL$31,1,BT401)=1,BT404*INDEX('Lease Cycles'!$EM$31:$ES$31,1,BT401)+BT405*(1-INDEX('Lease Cycles'!$EM$31:$ES$31,1,BT401)),BT404),BT404)</f>
        <v>0</v>
      </c>
      <c r="BU406" s="28">
        <f>IF(BU403=1,IF(INDEX('Lease Cycles'!$EF$31:$EL$31,1,BU401)=1,BU404*INDEX('Lease Cycles'!$EM$31:$ES$31,1,BU401)+BU405*(1-INDEX('Lease Cycles'!$EM$31:$ES$31,1,BU401)),BU404),BU404)</f>
        <v>0</v>
      </c>
      <c r="BV406" s="28">
        <f>IF(BV403=1,IF(INDEX('Lease Cycles'!$EF$31:$EL$31,1,BV401)=1,BV404*INDEX('Lease Cycles'!$EM$31:$ES$31,1,BV401)+BV405*(1-INDEX('Lease Cycles'!$EM$31:$ES$31,1,BV401)),BV404),BV404)</f>
        <v>0</v>
      </c>
      <c r="BW406" s="28">
        <f>IF(BW403=1,IF(INDEX('Lease Cycles'!$EF$31:$EL$31,1,BW401)=1,BW404*INDEX('Lease Cycles'!$EM$31:$ES$31,1,BW401)+BW405*(1-INDEX('Lease Cycles'!$EM$31:$ES$31,1,BW401)),BW404),BW404)</f>
        <v>0</v>
      </c>
      <c r="BX406" s="28">
        <f>IF(BX403=1,IF(INDEX('Lease Cycles'!$EF$31:$EL$31,1,BX401)=1,BX404*INDEX('Lease Cycles'!$EM$31:$ES$31,1,BX401)+BX405*(1-INDEX('Lease Cycles'!$EM$31:$ES$31,1,BX401)),BX404),BX404)</f>
        <v>0</v>
      </c>
      <c r="BY406" s="28">
        <f>IF(BY403=1,IF(INDEX('Lease Cycles'!$EF$31:$EL$31,1,BY401)=1,BY404*INDEX('Lease Cycles'!$EM$31:$ES$31,1,BY401)+BY405*(1-INDEX('Lease Cycles'!$EM$31:$ES$31,1,BY401)),BY404),BY404)</f>
        <v>0</v>
      </c>
      <c r="BZ406" s="28">
        <f>IF(BZ403=1,IF(INDEX('Lease Cycles'!$EF$31:$EL$31,1,BZ401)=1,BZ404*INDEX('Lease Cycles'!$EM$31:$ES$31,1,BZ401)+BZ405*(1-INDEX('Lease Cycles'!$EM$31:$ES$31,1,BZ401)),BZ404),BZ404)</f>
        <v>0</v>
      </c>
      <c r="CA406" s="28">
        <f>IF(CA403=1,IF(INDEX('Lease Cycles'!$EF$31:$EL$31,1,CA401)=1,CA404*INDEX('Lease Cycles'!$EM$31:$ES$31,1,CA401)+CA405*(1-INDEX('Lease Cycles'!$EM$31:$ES$31,1,CA401)),CA404),CA404)</f>
        <v>0</v>
      </c>
      <c r="CB406" s="28">
        <f>IF(CB403=1,IF(INDEX('Lease Cycles'!$EF$31:$EL$31,1,CB401)=1,CB404*INDEX('Lease Cycles'!$EM$31:$ES$31,1,CB401)+CB405*(1-INDEX('Lease Cycles'!$EM$31:$ES$31,1,CB401)),CB404),CB404)</f>
        <v>0</v>
      </c>
      <c r="CC406" s="28">
        <f>IF(CC403=1,IF(INDEX('Lease Cycles'!$EF$31:$EL$31,1,CC401)=1,CC404*INDEX('Lease Cycles'!$EM$31:$ES$31,1,CC401)+CC405*(1-INDEX('Lease Cycles'!$EM$31:$ES$31,1,CC401)),CC404),CC404)</f>
        <v>0</v>
      </c>
      <c r="CD406" s="28">
        <f>IF(CD403=1,IF(INDEX('Lease Cycles'!$EF$31:$EL$31,1,CD401)=1,CD404*INDEX('Lease Cycles'!$EM$31:$ES$31,1,CD401)+CD405*(1-INDEX('Lease Cycles'!$EM$31:$ES$31,1,CD401)),CD404),CD404)</f>
        <v>0</v>
      </c>
      <c r="CE406" s="28">
        <f>IF(CE403=1,IF(INDEX('Lease Cycles'!$EF$31:$EL$31,1,CE401)=1,CE404*INDEX('Lease Cycles'!$EM$31:$ES$31,1,CE401)+CE405*(1-INDEX('Lease Cycles'!$EM$31:$ES$31,1,CE401)),CE404),CE404)</f>
        <v>0</v>
      </c>
      <c r="CF406" s="28">
        <f>IF(CF403=1,IF(INDEX('Lease Cycles'!$EF$31:$EL$31,1,CF401)=1,CF404*INDEX('Lease Cycles'!$EM$31:$ES$31,1,CF401)+CF405*(1-INDEX('Lease Cycles'!$EM$31:$ES$31,1,CF401)),CF404),CF404)</f>
        <v>0</v>
      </c>
      <c r="CG406" s="28">
        <f>IF(CG403=1,IF(INDEX('Lease Cycles'!$EF$31:$EL$31,1,CG401)=1,CG404*INDEX('Lease Cycles'!$EM$31:$ES$31,1,CG401)+CG405*(1-INDEX('Lease Cycles'!$EM$31:$ES$31,1,CG401)),CG404),CG404)</f>
        <v>0</v>
      </c>
      <c r="CH406" s="28">
        <f>IF(CH403=1,IF(INDEX('Lease Cycles'!$EF$31:$EL$31,1,CH401)=1,CH404*INDEX('Lease Cycles'!$EM$31:$ES$31,1,CH401)+CH405*(1-INDEX('Lease Cycles'!$EM$31:$ES$31,1,CH401)),CH404),CH404)</f>
        <v>0</v>
      </c>
      <c r="CI406" s="28">
        <f>IF(CI403=1,IF(INDEX('Lease Cycles'!$EF$31:$EL$31,1,CI401)=1,CI404*INDEX('Lease Cycles'!$EM$31:$ES$31,1,CI401)+CI405*(1-INDEX('Lease Cycles'!$EM$31:$ES$31,1,CI401)),CI404),CI404)</f>
        <v>0</v>
      </c>
      <c r="CJ406" s="28">
        <f>IF(CJ403=1,IF(INDEX('Lease Cycles'!$EF$31:$EL$31,1,CJ401)=1,CJ404*INDEX('Lease Cycles'!$EM$31:$ES$31,1,CJ401)+CJ405*(1-INDEX('Lease Cycles'!$EM$31:$ES$31,1,CJ401)),CJ404),CJ404)</f>
        <v>0</v>
      </c>
      <c r="CK406" s="28">
        <f>IF(CK403=1,IF(INDEX('Lease Cycles'!$EF$31:$EL$31,1,CK401)=1,CK404*INDEX('Lease Cycles'!$EM$31:$ES$31,1,CK401)+CK405*(1-INDEX('Lease Cycles'!$EM$31:$ES$31,1,CK401)),CK404),CK404)</f>
        <v>0</v>
      </c>
      <c r="CL406" s="28">
        <f>IF(CL403=1,IF(INDEX('Lease Cycles'!$EF$31:$EL$31,1,CL401)=1,CL404*INDEX('Lease Cycles'!$EM$31:$ES$31,1,CL401)+CL405*(1-INDEX('Lease Cycles'!$EM$31:$ES$31,1,CL401)),CL404),CL404)</f>
        <v>0</v>
      </c>
      <c r="CM406" s="28">
        <f>IF(CM403=1,IF(INDEX('Lease Cycles'!$EF$31:$EL$31,1,CM401)=1,CM404*INDEX('Lease Cycles'!$EM$31:$ES$31,1,CM401)+CM405*(1-INDEX('Lease Cycles'!$EM$31:$ES$31,1,CM401)),CM404),CM404)</f>
        <v>0</v>
      </c>
      <c r="CN406" s="28">
        <f>IF(CN403=1,IF(INDEX('Lease Cycles'!$EF$31:$EL$31,1,CN401)=1,CN404*INDEX('Lease Cycles'!$EM$31:$ES$31,1,CN401)+CN405*(1-INDEX('Lease Cycles'!$EM$31:$ES$31,1,CN401)),CN404),CN404)</f>
        <v>0</v>
      </c>
      <c r="CO406" s="28">
        <f>IF(CO403=1,IF(INDEX('Lease Cycles'!$EF$31:$EL$31,1,CO401)=1,CO404*INDEX('Lease Cycles'!$EM$31:$ES$31,1,CO401)+CO405*(1-INDEX('Lease Cycles'!$EM$31:$ES$31,1,CO401)),CO404),CO404)</f>
        <v>0</v>
      </c>
      <c r="CP406" s="28">
        <f>IF(CP403=1,IF(INDEX('Lease Cycles'!$EF$31:$EL$31,1,CP401)=1,CP404*INDEX('Lease Cycles'!$EM$31:$ES$31,1,CP401)+CP405*(1-INDEX('Lease Cycles'!$EM$31:$ES$31,1,CP401)),CP404),CP404)</f>
        <v>0</v>
      </c>
      <c r="CQ406" s="28">
        <f>IF(CQ403=1,IF(INDEX('Lease Cycles'!$EF$31:$EL$31,1,CQ401)=1,CQ404*INDEX('Lease Cycles'!$EM$31:$ES$31,1,CQ401)+CQ405*(1-INDEX('Lease Cycles'!$EM$31:$ES$31,1,CQ401)),CQ404),CQ404)</f>
        <v>0</v>
      </c>
      <c r="CR406" s="28">
        <f>IF(CR403=1,IF(INDEX('Lease Cycles'!$EF$31:$EL$31,1,CR401)=1,CR404*INDEX('Lease Cycles'!$EM$31:$ES$31,1,CR401)+CR405*(1-INDEX('Lease Cycles'!$EM$31:$ES$31,1,CR401)),CR404),CR404)</f>
        <v>0</v>
      </c>
      <c r="CS406" s="28">
        <f>IF(CS403=1,IF(INDEX('Lease Cycles'!$EF$31:$EL$31,1,CS401)=1,CS404*INDEX('Lease Cycles'!$EM$31:$ES$31,1,CS401)+CS405*(1-INDEX('Lease Cycles'!$EM$31:$ES$31,1,CS401)),CS404),CS404)</f>
        <v>0</v>
      </c>
      <c r="CT406" s="28">
        <f>IF(CT403=1,IF(INDEX('Lease Cycles'!$EF$31:$EL$31,1,CT401)=1,CT404*INDEX('Lease Cycles'!$EM$31:$ES$31,1,CT401)+CT405*(1-INDEX('Lease Cycles'!$EM$31:$ES$31,1,CT401)),CT404),CT404)</f>
        <v>0</v>
      </c>
      <c r="CU406" s="28">
        <f>IF(CU403=1,IF(INDEX('Lease Cycles'!$EF$31:$EL$31,1,CU401)=1,CU404*INDEX('Lease Cycles'!$EM$31:$ES$31,1,CU401)+CU405*(1-INDEX('Lease Cycles'!$EM$31:$ES$31,1,CU401)),CU404),CU404)</f>
        <v>0</v>
      </c>
      <c r="CV406" s="28">
        <f>IF(CV403=1,IF(INDEX('Lease Cycles'!$EF$31:$EL$31,1,CV401)=1,CV404*INDEX('Lease Cycles'!$EM$31:$ES$31,1,CV401)+CV405*(1-INDEX('Lease Cycles'!$EM$31:$ES$31,1,CV401)),CV404),CV404)</f>
        <v>0</v>
      </c>
      <c r="CW406" s="28">
        <f>IF(CW403=1,IF(INDEX('Lease Cycles'!$EF$31:$EL$31,1,CW401)=1,CW404*INDEX('Lease Cycles'!$EM$31:$ES$31,1,CW401)+CW405*(1-INDEX('Lease Cycles'!$EM$31:$ES$31,1,CW401)),CW404),CW404)</f>
        <v>0</v>
      </c>
      <c r="CX406" s="28">
        <f>IF(CX403=1,IF(INDEX('Lease Cycles'!$EF$31:$EL$31,1,CX401)=1,CX404*INDEX('Lease Cycles'!$EM$31:$ES$31,1,CX401)+CX405*(1-INDEX('Lease Cycles'!$EM$31:$ES$31,1,CX401)),CX404),CX404)</f>
        <v>0</v>
      </c>
      <c r="CY406" s="28">
        <f>IF(CY403=1,IF(INDEX('Lease Cycles'!$EF$31:$EL$31,1,CY401)=1,CY404*INDEX('Lease Cycles'!$EM$31:$ES$31,1,CY401)+CY405*(1-INDEX('Lease Cycles'!$EM$31:$ES$31,1,CY401)),CY404),CY404)</f>
        <v>0</v>
      </c>
      <c r="CZ406" s="28">
        <f>IF(CZ403=1,IF(INDEX('Lease Cycles'!$EF$31:$EL$31,1,CZ401)=1,CZ404*INDEX('Lease Cycles'!$EM$31:$ES$31,1,CZ401)+CZ405*(1-INDEX('Lease Cycles'!$EM$31:$ES$31,1,CZ401)),CZ404),CZ404)</f>
        <v>0</v>
      </c>
      <c r="DA406" s="28">
        <f>IF(DA403=1,IF(INDEX('Lease Cycles'!$EF$31:$EL$31,1,DA401)=1,DA404*INDEX('Lease Cycles'!$EM$31:$ES$31,1,DA401)+DA405*(1-INDEX('Lease Cycles'!$EM$31:$ES$31,1,DA401)),DA404),DA404)</f>
        <v>0</v>
      </c>
      <c r="DB406" s="28">
        <f>IF(DB403=1,IF(INDEX('Lease Cycles'!$EF$31:$EL$31,1,DB401)=1,DB404*INDEX('Lease Cycles'!$EM$31:$ES$31,1,DB401)+DB405*(1-INDEX('Lease Cycles'!$EM$31:$ES$31,1,DB401)),DB404),DB404)</f>
        <v>0</v>
      </c>
      <c r="DC406" s="28">
        <f>IF(DC403=1,IF(INDEX('Lease Cycles'!$EF$31:$EL$31,1,DC401)=1,DC404*INDEX('Lease Cycles'!$EM$31:$ES$31,1,DC401)+DC405*(1-INDEX('Lease Cycles'!$EM$31:$ES$31,1,DC401)),DC404),DC404)</f>
        <v>0</v>
      </c>
      <c r="DD406" s="28">
        <f>IF(DD403=1,IF(INDEX('Lease Cycles'!$EF$31:$EL$31,1,DD401)=1,DD404*INDEX('Lease Cycles'!$EM$31:$ES$31,1,DD401)+DD405*(1-INDEX('Lease Cycles'!$EM$31:$ES$31,1,DD401)),DD404),DD404)</f>
        <v>0</v>
      </c>
      <c r="DE406" s="28">
        <f>IF(DE403=1,IF(INDEX('Lease Cycles'!$EF$31:$EL$31,1,DE401)=1,DE404*INDEX('Lease Cycles'!$EM$31:$ES$31,1,DE401)+DE405*(1-INDEX('Lease Cycles'!$EM$31:$ES$31,1,DE401)),DE404),DE404)</f>
        <v>0</v>
      </c>
      <c r="DF406" s="28">
        <f>IF(DF403=1,IF(INDEX('Lease Cycles'!$EF$31:$EL$31,1,DF401)=1,DF404*INDEX('Lease Cycles'!$EM$31:$ES$31,1,DF401)+DF405*(1-INDEX('Lease Cycles'!$EM$31:$ES$31,1,DF401)),DF404),DF404)</f>
        <v>0</v>
      </c>
      <c r="DG406" s="28">
        <f>IF(DG403=1,IF(INDEX('Lease Cycles'!$EF$31:$EL$31,1,DG401)=1,DG404*INDEX('Lease Cycles'!$EM$31:$ES$31,1,DG401)+DG405*(1-INDEX('Lease Cycles'!$EM$31:$ES$31,1,DG401)),DG404),DG404)</f>
        <v>0</v>
      </c>
      <c r="DH406" s="28">
        <f>IF(DH403=1,IF(INDEX('Lease Cycles'!$EF$31:$EL$31,1,DH401)=1,DH404*INDEX('Lease Cycles'!$EM$31:$ES$31,1,DH401)+DH405*(1-INDEX('Lease Cycles'!$EM$31:$ES$31,1,DH401)),DH404),DH404)</f>
        <v>0</v>
      </c>
      <c r="DI406" s="28">
        <f>IF(DI403=1,IF(INDEX('Lease Cycles'!$EF$31:$EL$31,1,DI401)=1,DI404*INDEX('Lease Cycles'!$EM$31:$ES$31,1,DI401)+DI405*(1-INDEX('Lease Cycles'!$EM$31:$ES$31,1,DI401)),DI404),DI404)</f>
        <v>0</v>
      </c>
      <c r="DJ406" s="28">
        <f>IF(DJ403=1,IF(INDEX('Lease Cycles'!$EF$31:$EL$31,1,DJ401)=1,DJ404*INDEX('Lease Cycles'!$EM$31:$ES$31,1,DJ401)+DJ405*(1-INDEX('Lease Cycles'!$EM$31:$ES$31,1,DJ401)),DJ404),DJ404)</f>
        <v>0</v>
      </c>
      <c r="DK406" s="28">
        <f>IF(DK403=1,IF(INDEX('Lease Cycles'!$EF$31:$EL$31,1,DK401)=1,DK404*INDEX('Lease Cycles'!$EM$31:$ES$31,1,DK401)+DK405*(1-INDEX('Lease Cycles'!$EM$31:$ES$31,1,DK401)),DK404),DK404)</f>
        <v>0</v>
      </c>
      <c r="DL406" s="28">
        <f>IF(DL403=1,IF(INDEX('Lease Cycles'!$EF$31:$EL$31,1,DL401)=1,DL404*INDEX('Lease Cycles'!$EM$31:$ES$31,1,DL401)+DL405*(1-INDEX('Lease Cycles'!$EM$31:$ES$31,1,DL401)),DL404),DL404)</f>
        <v>0</v>
      </c>
      <c r="DM406" s="28">
        <f>IF(DM403=1,IF(INDEX('Lease Cycles'!$EF$31:$EL$31,1,DM401)=1,DM404*INDEX('Lease Cycles'!$EM$31:$ES$31,1,DM401)+DM405*(1-INDEX('Lease Cycles'!$EM$31:$ES$31,1,DM401)),DM404),DM404)</f>
        <v>0</v>
      </c>
      <c r="DN406" s="28">
        <f>IF(DN403=1,IF(INDEX('Lease Cycles'!$EF$31:$EL$31,1,DN401)=1,DN404*INDEX('Lease Cycles'!$EM$31:$ES$31,1,DN401)+DN405*(1-INDEX('Lease Cycles'!$EM$31:$ES$31,1,DN401)),DN404),DN404)</f>
        <v>0</v>
      </c>
      <c r="DO406" s="28">
        <f>IF(DO403=1,IF(INDEX('Lease Cycles'!$EF$31:$EL$31,1,DO401)=1,DO404*INDEX('Lease Cycles'!$EM$31:$ES$31,1,DO401)+DO405*(1-INDEX('Lease Cycles'!$EM$31:$ES$31,1,DO401)),DO404),DO404)</f>
        <v>0</v>
      </c>
      <c r="DP406" s="28">
        <f>IF(DP403=1,IF(INDEX('Lease Cycles'!$EF$31:$EL$31,1,DP401)=1,DP404*INDEX('Lease Cycles'!$EM$31:$ES$31,1,DP401)+DP405*(1-INDEX('Lease Cycles'!$EM$31:$ES$31,1,DP401)),DP404),DP404)</f>
        <v>0</v>
      </c>
      <c r="DQ406" s="28">
        <f>IF(DQ403=1,IF(INDEX('Lease Cycles'!$EF$31:$EL$31,1,DQ401)=1,DQ404*INDEX('Lease Cycles'!$EM$31:$ES$31,1,DQ401)+DQ405*(1-INDEX('Lease Cycles'!$EM$31:$ES$31,1,DQ401)),DQ404),DQ404)</f>
        <v>0</v>
      </c>
      <c r="DR406" s="28">
        <f>IF(DR403=1,IF(INDEX('Lease Cycles'!$EF$31:$EL$31,1,DR401)=1,DR404*INDEX('Lease Cycles'!$EM$31:$ES$31,1,DR401)+DR405*(1-INDEX('Lease Cycles'!$EM$31:$ES$31,1,DR401)),DR404),DR404)</f>
        <v>0</v>
      </c>
      <c r="DS406" s="28">
        <f>IF(DS403=1,IF(INDEX('Lease Cycles'!$EF$31:$EL$31,1,DS401)=1,DS404*INDEX('Lease Cycles'!$EM$31:$ES$31,1,DS401)+DS405*(1-INDEX('Lease Cycles'!$EM$31:$ES$31,1,DS401)),DS404),DS404)</f>
        <v>0</v>
      </c>
      <c r="DT406" s="28">
        <f>IF(DT403=1,IF(INDEX('Lease Cycles'!$EF$31:$EL$31,1,DT401)=1,DT404*INDEX('Lease Cycles'!$EM$31:$ES$31,1,DT401)+DT405*(1-INDEX('Lease Cycles'!$EM$31:$ES$31,1,DT401)),DT404),DT404)</f>
        <v>0</v>
      </c>
      <c r="DU406" s="28">
        <f>IF(DU403=1,IF(INDEX('Lease Cycles'!$EF$31:$EL$31,1,DU401)=1,DU404*INDEX('Lease Cycles'!$EM$31:$ES$31,1,DU401)+DU405*(1-INDEX('Lease Cycles'!$EM$31:$ES$31,1,DU401)),DU404),DU404)</f>
        <v>0</v>
      </c>
      <c r="DV406" s="28">
        <f>IF(DV403=1,IF(INDEX('Lease Cycles'!$EF$31:$EL$31,1,DV401)=1,DV404*INDEX('Lease Cycles'!$EM$31:$ES$31,1,DV401)+DV405*(1-INDEX('Lease Cycles'!$EM$31:$ES$31,1,DV401)),DV404),DV404)</f>
        <v>0</v>
      </c>
      <c r="DW406" s="28">
        <f>IF(DW403=1,IF(INDEX('Lease Cycles'!$EF$31:$EL$31,1,DW401)=1,DW404*INDEX('Lease Cycles'!$EM$31:$ES$31,1,DW401)+DW405*(1-INDEX('Lease Cycles'!$EM$31:$ES$31,1,DW401)),DW404),DW404)</f>
        <v>0</v>
      </c>
      <c r="DX406" s="28">
        <f>IF(DX403=1,IF(INDEX('Lease Cycles'!$EF$31:$EL$31,1,DX401)=1,DX404*INDEX('Lease Cycles'!$EM$31:$ES$31,1,DX401)+DX405*(1-INDEX('Lease Cycles'!$EM$31:$ES$31,1,DX401)),DX404),DX404)</f>
        <v>0</v>
      </c>
      <c r="DY406" s="28">
        <f>IF(DY403=1,IF(INDEX('Lease Cycles'!$EF$31:$EL$31,1,DY401)=1,DY404*INDEX('Lease Cycles'!$EM$31:$ES$31,1,DY401)+DY405*(1-INDEX('Lease Cycles'!$EM$31:$ES$31,1,DY401)),DY404),DY404)</f>
        <v>0</v>
      </c>
      <c r="DZ406" s="28">
        <f>IF(DZ403=1,IF(INDEX('Lease Cycles'!$EF$31:$EL$31,1,DZ401)=1,DZ404*INDEX('Lease Cycles'!$EM$31:$ES$31,1,DZ401)+DZ405*(1-INDEX('Lease Cycles'!$EM$31:$ES$31,1,DZ401)),DZ404),DZ404)</f>
        <v>0</v>
      </c>
      <c r="EA406" s="28">
        <f>IF(EA403=1,IF(INDEX('Lease Cycles'!$EF$31:$EL$31,1,EA401)=1,EA404*INDEX('Lease Cycles'!$EM$31:$ES$31,1,EA401)+EA405*(1-INDEX('Lease Cycles'!$EM$31:$ES$31,1,EA401)),EA404),EA404)</f>
        <v>0</v>
      </c>
      <c r="EB406" s="28">
        <f>IF(EB403=1,IF(INDEX('Lease Cycles'!$EF$31:$EL$31,1,EB401)=1,EB404*INDEX('Lease Cycles'!$EM$31:$ES$31,1,EB401)+EB405*(1-INDEX('Lease Cycles'!$EM$31:$ES$31,1,EB401)),EB404),EB404)</f>
        <v>0</v>
      </c>
      <c r="EC406" s="28">
        <f>IF(EC403=1,IF(INDEX('Lease Cycles'!$EF$31:$EL$31,1,EC401)=1,EC404*INDEX('Lease Cycles'!$EM$31:$ES$31,1,EC401)+EC405*(1-INDEX('Lease Cycles'!$EM$31:$ES$31,1,EC401)),EC404),EC404)</f>
        <v>0</v>
      </c>
      <c r="ED406" s="28">
        <f>IF(ED403=1,IF(INDEX('Lease Cycles'!$EF$31:$EL$31,1,ED401)=1,ED404*INDEX('Lease Cycles'!$EM$31:$ES$31,1,ED401)+ED405*(1-INDEX('Lease Cycles'!$EM$31:$ES$31,1,ED401)),ED404),ED404)</f>
        <v>0</v>
      </c>
      <c r="EE406" s="28">
        <f>IF(EE403=1,IF(INDEX('Lease Cycles'!$EF$31:$EL$31,1,EE401)=1,EE404*INDEX('Lease Cycles'!$EM$31:$ES$31,1,EE401)+EE405*(1-INDEX('Lease Cycles'!$EM$31:$ES$31,1,EE401)),EE404),EE404)</f>
        <v>0</v>
      </c>
      <c r="EF406" s="28">
        <f>IF(EF403=1,IF(INDEX('Lease Cycles'!$EF$31:$EL$31,1,EF401)=1,EF404*INDEX('Lease Cycles'!$EM$31:$ES$31,1,EF401)+EF405*(1-INDEX('Lease Cycles'!$EM$31:$ES$31,1,EF401)),EF404),EF404)</f>
        <v>0</v>
      </c>
      <c r="EG406" s="28">
        <f>IF(EG403=1,IF(INDEX('Lease Cycles'!$EF$31:$EL$31,1,EG401)=1,EG404*INDEX('Lease Cycles'!$EM$31:$ES$31,1,EG401)+EG405*(1-INDEX('Lease Cycles'!$EM$31:$ES$31,1,EG401)),EG404),EG404)</f>
        <v>0</v>
      </c>
      <c r="EH406" s="28">
        <f>IF(EH403=1,IF(INDEX('Lease Cycles'!$EF$31:$EL$31,1,EH401)=1,EH404*INDEX('Lease Cycles'!$EM$31:$ES$31,1,EH401)+EH405*(1-INDEX('Lease Cycles'!$EM$31:$ES$31,1,EH401)),EH404),EH404)</f>
        <v>0</v>
      </c>
      <c r="EI406" s="28">
        <f>IF(EI403=1,IF(INDEX('Lease Cycles'!$EF$31:$EL$31,1,EI401)=1,EI404*INDEX('Lease Cycles'!$EM$31:$ES$31,1,EI401)+EI405*(1-INDEX('Lease Cycles'!$EM$31:$ES$31,1,EI401)),EI404),EI404)</f>
        <v>0</v>
      </c>
      <c r="EJ406" s="28">
        <f>IF(EJ403=1,IF(INDEX('Lease Cycles'!$EF$31:$EL$31,1,EJ401)=1,EJ404*INDEX('Lease Cycles'!$EM$31:$ES$31,1,EJ401)+EJ405*(1-INDEX('Lease Cycles'!$EM$31:$ES$31,1,EJ401)),EJ404),EJ404)</f>
        <v>0</v>
      </c>
      <c r="EK406" s="28">
        <f>IF(EK403=1,IF(INDEX('Lease Cycles'!$EF$31:$EL$31,1,EK401)=1,EK404*INDEX('Lease Cycles'!$EM$31:$ES$31,1,EK401)+EK405*(1-INDEX('Lease Cycles'!$EM$31:$ES$31,1,EK401)),EK404),EK404)</f>
        <v>0</v>
      </c>
      <c r="EL406" s="28">
        <f>IF(EL403=1,IF(INDEX('Lease Cycles'!$EF$31:$EL$31,1,EL401)=1,EL404*INDEX('Lease Cycles'!$EM$31:$ES$31,1,EL401)+EL405*(1-INDEX('Lease Cycles'!$EM$31:$ES$31,1,EL401)),EL404),EL404)</f>
        <v>0</v>
      </c>
      <c r="EM406" s="28">
        <f>IF(EM403=1,IF(INDEX('Lease Cycles'!$EF$31:$EL$31,1,EM401)=1,EM404*INDEX('Lease Cycles'!$EM$31:$ES$31,1,EM401)+EM405*(1-INDEX('Lease Cycles'!$EM$31:$ES$31,1,EM401)),EM404),EM404)</f>
        <v>0</v>
      </c>
      <c r="EN406" s="28">
        <f>IF(EN403=1,IF(INDEX('Lease Cycles'!$EF$31:$EL$31,1,EN401)=1,EN404*INDEX('Lease Cycles'!$EM$31:$ES$31,1,EN401)+EN405*(1-INDEX('Lease Cycles'!$EM$31:$ES$31,1,EN401)),EN404),EN404)</f>
        <v>0</v>
      </c>
      <c r="EO406" s="28">
        <f>IF(EO403=1,IF(INDEX('Lease Cycles'!$EF$31:$EL$31,1,EO401)=1,EO404*INDEX('Lease Cycles'!$EM$31:$ES$31,1,EO401)+EO405*(1-INDEX('Lease Cycles'!$EM$31:$ES$31,1,EO401)),EO404),EO404)</f>
        <v>0</v>
      </c>
      <c r="EP406" s="28">
        <f>IF(EP403=1,IF(INDEX('Lease Cycles'!$EF$31:$EL$31,1,EP401)=1,EP404*INDEX('Lease Cycles'!$EM$31:$ES$31,1,EP401)+EP405*(1-INDEX('Lease Cycles'!$EM$31:$ES$31,1,EP401)),EP404),EP404)</f>
        <v>0</v>
      </c>
      <c r="EQ406" s="28">
        <f>IF(EQ403=1,IF(INDEX('Lease Cycles'!$EF$31:$EL$31,1,EQ401)=1,EQ404*INDEX('Lease Cycles'!$EM$31:$ES$31,1,EQ401)+EQ405*(1-INDEX('Lease Cycles'!$EM$31:$ES$31,1,EQ401)),EQ404),EQ404)</f>
        <v>0</v>
      </c>
      <c r="ER406" s="28">
        <f>IF(ER403=1,IF(INDEX('Lease Cycles'!$EF$31:$EL$31,1,ER401)=1,ER404*INDEX('Lease Cycles'!$EM$31:$ES$31,1,ER401)+ER405*(1-INDEX('Lease Cycles'!$EM$31:$ES$31,1,ER401)),ER404),ER404)</f>
        <v>0</v>
      </c>
      <c r="ES406" s="28">
        <f>IF(ES403=1,IF(INDEX('Lease Cycles'!$EF$31:$EL$31,1,ES401)=1,ES404*INDEX('Lease Cycles'!$EM$31:$ES$31,1,ES401)+ES405*(1-INDEX('Lease Cycles'!$EM$31:$ES$31,1,ES401)),ES404),ES404)</f>
        <v>0</v>
      </c>
      <c r="ET406" s="28">
        <f>IF(ET403=1,IF(INDEX('Lease Cycles'!$EF$31:$EL$31,1,ET401)=1,ET404*INDEX('Lease Cycles'!$EM$31:$ES$31,1,ET401)+ET405*(1-INDEX('Lease Cycles'!$EM$31:$ES$31,1,ET401)),ET404),ET404)</f>
        <v>0</v>
      </c>
    </row>
    <row r="407">
      <c r="A407" s="103">
        <v>24</v>
      </c>
      <c r="B407" s="23" t="str">
        <f>IF('Lease Cycles'!$B$31="","(empty slot)",'Lease Cycles'!$B$31)</f>
        <v>(empty slot)</v>
      </c>
      <c r="C407" s="23" t="s">
        <v>682</v>
      </c>
      <c r="D407" s="104" t="s">
        <v>495</v>
      </c>
      <c r="E407" s="25">
        <f>'Lease Cycles'!$AL$31</f>
        <v>0</v>
      </c>
      <c r="G407" s="28">
        <f>SUM(S407:AD407)</f>
        <v>0</v>
      </c>
      <c r="H407" s="28">
        <f>SUM(AE407:AP407)</f>
        <v>0</v>
      </c>
      <c r="I407" s="28">
        <f>SUM(AQ407:BB407)</f>
        <v>0</v>
      </c>
      <c r="J407" s="28">
        <f>SUM(BC407:BN407)</f>
        <v>0</v>
      </c>
      <c r="K407" s="28">
        <f>SUM(BO407:BZ407)</f>
        <v>0</v>
      </c>
      <c r="L407" s="28">
        <f>SUM(CA407:CL407)</f>
        <v>0</v>
      </c>
      <c r="M407" s="28">
        <f>SUM(CM407:CX407)</f>
        <v>0</v>
      </c>
      <c r="N407" s="28">
        <f>SUM(CY407:DJ407)</f>
        <v>0</v>
      </c>
      <c r="O407" s="28">
        <f>SUM(DK407:DV407)</f>
        <v>0</v>
      </c>
      <c r="P407" s="28">
        <f>SUM(DW407:EH407)</f>
        <v>0</v>
      </c>
      <c r="Q407" s="28">
        <f>SUM(EI407:ET407)</f>
        <v>0</v>
      </c>
      <c r="S407" s="28">
        <f>IF(S403=1,IF(INDEX('Lease Cycles'!$EF$31:$EL$31,1,S401)=1,S404*INDEX('Lease Cycles'!$EM$31:$ES$31,1,S401)+S405*IF(S402&lt;INDEX('Lease Cycles'!$FA$31:$FG$31,1,S401),0,1-INDEX('Lease Cycles'!$EM$31:$ES$31,1,S401)),S404*IF(S402&lt;INDEX('Lease Cycles'!$DK$31:$DQ$31,1,S401),0,IF(S402=INDEX('Lease Cycles'!$DK$31:$DQ$31,1,S401),1-INDEX('Lease Cycles'!$DR$31:$DX$31,1,S401),1))),0)</f>
        <v>0</v>
      </c>
      <c r="T407" s="28">
        <f>IF(T403=1,IF(INDEX('Lease Cycles'!$EF$31:$EL$31,1,T401)=1,T404*INDEX('Lease Cycles'!$EM$31:$ES$31,1,T401)+T405*IF(T402&lt;INDEX('Lease Cycles'!$FA$31:$FG$31,1,T401),0,1-INDEX('Lease Cycles'!$EM$31:$ES$31,1,T401)),T404*IF(T402&lt;INDEX('Lease Cycles'!$DK$31:$DQ$31,1,T401),0,IF(T402=INDEX('Lease Cycles'!$DK$31:$DQ$31,1,T401),1-INDEX('Lease Cycles'!$DR$31:$DX$31,1,T401),1))),0)</f>
        <v>0</v>
      </c>
      <c r="U407" s="28">
        <f>IF(U403=1,IF(INDEX('Lease Cycles'!$EF$31:$EL$31,1,U401)=1,U404*INDEX('Lease Cycles'!$EM$31:$ES$31,1,U401)+U405*IF(U402&lt;INDEX('Lease Cycles'!$FA$31:$FG$31,1,U401),0,1-INDEX('Lease Cycles'!$EM$31:$ES$31,1,U401)),U404*IF(U402&lt;INDEX('Lease Cycles'!$DK$31:$DQ$31,1,U401),0,IF(U402=INDEX('Lease Cycles'!$DK$31:$DQ$31,1,U401),1-INDEX('Lease Cycles'!$DR$31:$DX$31,1,U401),1))),0)</f>
        <v>0</v>
      </c>
      <c r="V407" s="28">
        <f>IF(V403=1,IF(INDEX('Lease Cycles'!$EF$31:$EL$31,1,V401)=1,V404*INDEX('Lease Cycles'!$EM$31:$ES$31,1,V401)+V405*IF(V402&lt;INDEX('Lease Cycles'!$FA$31:$FG$31,1,V401),0,1-INDEX('Lease Cycles'!$EM$31:$ES$31,1,V401)),V404*IF(V402&lt;INDEX('Lease Cycles'!$DK$31:$DQ$31,1,V401),0,IF(V402=INDEX('Lease Cycles'!$DK$31:$DQ$31,1,V401),1-INDEX('Lease Cycles'!$DR$31:$DX$31,1,V401),1))),0)</f>
        <v>0</v>
      </c>
      <c r="W407" s="28">
        <f>IF(W403=1,IF(INDEX('Lease Cycles'!$EF$31:$EL$31,1,W401)=1,W404*INDEX('Lease Cycles'!$EM$31:$ES$31,1,W401)+W405*IF(W402&lt;INDEX('Lease Cycles'!$FA$31:$FG$31,1,W401),0,1-INDEX('Lease Cycles'!$EM$31:$ES$31,1,W401)),W404*IF(W402&lt;INDEX('Lease Cycles'!$DK$31:$DQ$31,1,W401),0,IF(W402=INDEX('Lease Cycles'!$DK$31:$DQ$31,1,W401),1-INDEX('Lease Cycles'!$DR$31:$DX$31,1,W401),1))),0)</f>
        <v>0</v>
      </c>
      <c r="X407" s="28">
        <f>IF(X403=1,IF(INDEX('Lease Cycles'!$EF$31:$EL$31,1,X401)=1,X404*INDEX('Lease Cycles'!$EM$31:$ES$31,1,X401)+X405*IF(X402&lt;INDEX('Lease Cycles'!$FA$31:$FG$31,1,X401),0,1-INDEX('Lease Cycles'!$EM$31:$ES$31,1,X401)),X404*IF(X402&lt;INDEX('Lease Cycles'!$DK$31:$DQ$31,1,X401),0,IF(X402=INDEX('Lease Cycles'!$DK$31:$DQ$31,1,X401),1-INDEX('Lease Cycles'!$DR$31:$DX$31,1,X401),1))),0)</f>
        <v>0</v>
      </c>
      <c r="Y407" s="28">
        <f>IF(Y403=1,IF(INDEX('Lease Cycles'!$EF$31:$EL$31,1,Y401)=1,Y404*INDEX('Lease Cycles'!$EM$31:$ES$31,1,Y401)+Y405*IF(Y402&lt;INDEX('Lease Cycles'!$FA$31:$FG$31,1,Y401),0,1-INDEX('Lease Cycles'!$EM$31:$ES$31,1,Y401)),Y404*IF(Y402&lt;INDEX('Lease Cycles'!$DK$31:$DQ$31,1,Y401),0,IF(Y402=INDEX('Lease Cycles'!$DK$31:$DQ$31,1,Y401),1-INDEX('Lease Cycles'!$DR$31:$DX$31,1,Y401),1))),0)</f>
        <v>0</v>
      </c>
      <c r="Z407" s="28">
        <f>IF(Z403=1,IF(INDEX('Lease Cycles'!$EF$31:$EL$31,1,Z401)=1,Z404*INDEX('Lease Cycles'!$EM$31:$ES$31,1,Z401)+Z405*IF(Z402&lt;INDEX('Lease Cycles'!$FA$31:$FG$31,1,Z401),0,1-INDEX('Lease Cycles'!$EM$31:$ES$31,1,Z401)),Z404*IF(Z402&lt;INDEX('Lease Cycles'!$DK$31:$DQ$31,1,Z401),0,IF(Z402=INDEX('Lease Cycles'!$DK$31:$DQ$31,1,Z401),1-INDEX('Lease Cycles'!$DR$31:$DX$31,1,Z401),1))),0)</f>
        <v>0</v>
      </c>
      <c r="AA407" s="28">
        <f>IF(AA403=1,IF(INDEX('Lease Cycles'!$EF$31:$EL$31,1,AA401)=1,AA404*INDEX('Lease Cycles'!$EM$31:$ES$31,1,AA401)+AA405*IF(AA402&lt;INDEX('Lease Cycles'!$FA$31:$FG$31,1,AA401),0,1-INDEX('Lease Cycles'!$EM$31:$ES$31,1,AA401)),AA404*IF(AA402&lt;INDEX('Lease Cycles'!$DK$31:$DQ$31,1,AA401),0,IF(AA402=INDEX('Lease Cycles'!$DK$31:$DQ$31,1,AA401),1-INDEX('Lease Cycles'!$DR$31:$DX$31,1,AA401),1))),0)</f>
        <v>0</v>
      </c>
      <c r="AB407" s="28">
        <f>IF(AB403=1,IF(INDEX('Lease Cycles'!$EF$31:$EL$31,1,AB401)=1,AB404*INDEX('Lease Cycles'!$EM$31:$ES$31,1,AB401)+AB405*IF(AB402&lt;INDEX('Lease Cycles'!$FA$31:$FG$31,1,AB401),0,1-INDEX('Lease Cycles'!$EM$31:$ES$31,1,AB401)),AB404*IF(AB402&lt;INDEX('Lease Cycles'!$DK$31:$DQ$31,1,AB401),0,IF(AB402=INDEX('Lease Cycles'!$DK$31:$DQ$31,1,AB401),1-INDEX('Lease Cycles'!$DR$31:$DX$31,1,AB401),1))),0)</f>
        <v>0</v>
      </c>
      <c r="AC407" s="28">
        <f>IF(AC403=1,IF(INDEX('Lease Cycles'!$EF$31:$EL$31,1,AC401)=1,AC404*INDEX('Lease Cycles'!$EM$31:$ES$31,1,AC401)+AC405*IF(AC402&lt;INDEX('Lease Cycles'!$FA$31:$FG$31,1,AC401),0,1-INDEX('Lease Cycles'!$EM$31:$ES$31,1,AC401)),AC404*IF(AC402&lt;INDEX('Lease Cycles'!$DK$31:$DQ$31,1,AC401),0,IF(AC402=INDEX('Lease Cycles'!$DK$31:$DQ$31,1,AC401),1-INDEX('Lease Cycles'!$DR$31:$DX$31,1,AC401),1))),0)</f>
        <v>0</v>
      </c>
      <c r="AD407" s="28">
        <f>IF(AD403=1,IF(INDEX('Lease Cycles'!$EF$31:$EL$31,1,AD401)=1,AD404*INDEX('Lease Cycles'!$EM$31:$ES$31,1,AD401)+AD405*IF(AD402&lt;INDEX('Lease Cycles'!$FA$31:$FG$31,1,AD401),0,1-INDEX('Lease Cycles'!$EM$31:$ES$31,1,AD401)),AD404*IF(AD402&lt;INDEX('Lease Cycles'!$DK$31:$DQ$31,1,AD401),0,IF(AD402=INDEX('Lease Cycles'!$DK$31:$DQ$31,1,AD401),1-INDEX('Lease Cycles'!$DR$31:$DX$31,1,AD401),1))),0)</f>
        <v>0</v>
      </c>
      <c r="AE407" s="28">
        <f>IF(AE403=1,IF(INDEX('Lease Cycles'!$EF$31:$EL$31,1,AE401)=1,AE404*INDEX('Lease Cycles'!$EM$31:$ES$31,1,AE401)+AE405*IF(AE402&lt;INDEX('Lease Cycles'!$FA$31:$FG$31,1,AE401),0,1-INDEX('Lease Cycles'!$EM$31:$ES$31,1,AE401)),AE404*IF(AE402&lt;INDEX('Lease Cycles'!$DK$31:$DQ$31,1,AE401),0,IF(AE402=INDEX('Lease Cycles'!$DK$31:$DQ$31,1,AE401),1-INDEX('Lease Cycles'!$DR$31:$DX$31,1,AE401),1))),0)</f>
        <v>0</v>
      </c>
      <c r="AF407" s="28">
        <f>IF(AF403=1,IF(INDEX('Lease Cycles'!$EF$31:$EL$31,1,AF401)=1,AF404*INDEX('Lease Cycles'!$EM$31:$ES$31,1,AF401)+AF405*IF(AF402&lt;INDEX('Lease Cycles'!$FA$31:$FG$31,1,AF401),0,1-INDEX('Lease Cycles'!$EM$31:$ES$31,1,AF401)),AF404*IF(AF402&lt;INDEX('Lease Cycles'!$DK$31:$DQ$31,1,AF401),0,IF(AF402=INDEX('Lease Cycles'!$DK$31:$DQ$31,1,AF401),1-INDEX('Lease Cycles'!$DR$31:$DX$31,1,AF401),1))),0)</f>
        <v>0</v>
      </c>
      <c r="AG407" s="28">
        <f>IF(AG403=1,IF(INDEX('Lease Cycles'!$EF$31:$EL$31,1,AG401)=1,AG404*INDEX('Lease Cycles'!$EM$31:$ES$31,1,AG401)+AG405*IF(AG402&lt;INDEX('Lease Cycles'!$FA$31:$FG$31,1,AG401),0,1-INDEX('Lease Cycles'!$EM$31:$ES$31,1,AG401)),AG404*IF(AG402&lt;INDEX('Lease Cycles'!$DK$31:$DQ$31,1,AG401),0,IF(AG402=INDEX('Lease Cycles'!$DK$31:$DQ$31,1,AG401),1-INDEX('Lease Cycles'!$DR$31:$DX$31,1,AG401),1))),0)</f>
        <v>0</v>
      </c>
      <c r="AH407" s="28">
        <f>IF(AH403=1,IF(INDEX('Lease Cycles'!$EF$31:$EL$31,1,AH401)=1,AH404*INDEX('Lease Cycles'!$EM$31:$ES$31,1,AH401)+AH405*IF(AH402&lt;INDEX('Lease Cycles'!$FA$31:$FG$31,1,AH401),0,1-INDEX('Lease Cycles'!$EM$31:$ES$31,1,AH401)),AH404*IF(AH402&lt;INDEX('Lease Cycles'!$DK$31:$DQ$31,1,AH401),0,IF(AH402=INDEX('Lease Cycles'!$DK$31:$DQ$31,1,AH401),1-INDEX('Lease Cycles'!$DR$31:$DX$31,1,AH401),1))),0)</f>
        <v>0</v>
      </c>
      <c r="AI407" s="28">
        <f>IF(AI403=1,IF(INDEX('Lease Cycles'!$EF$31:$EL$31,1,AI401)=1,AI404*INDEX('Lease Cycles'!$EM$31:$ES$31,1,AI401)+AI405*IF(AI402&lt;INDEX('Lease Cycles'!$FA$31:$FG$31,1,AI401),0,1-INDEX('Lease Cycles'!$EM$31:$ES$31,1,AI401)),AI404*IF(AI402&lt;INDEX('Lease Cycles'!$DK$31:$DQ$31,1,AI401),0,IF(AI402=INDEX('Lease Cycles'!$DK$31:$DQ$31,1,AI401),1-INDEX('Lease Cycles'!$DR$31:$DX$31,1,AI401),1))),0)</f>
        <v>0</v>
      </c>
      <c r="AJ407" s="28">
        <f>IF(AJ403=1,IF(INDEX('Lease Cycles'!$EF$31:$EL$31,1,AJ401)=1,AJ404*INDEX('Lease Cycles'!$EM$31:$ES$31,1,AJ401)+AJ405*IF(AJ402&lt;INDEX('Lease Cycles'!$FA$31:$FG$31,1,AJ401),0,1-INDEX('Lease Cycles'!$EM$31:$ES$31,1,AJ401)),AJ404*IF(AJ402&lt;INDEX('Lease Cycles'!$DK$31:$DQ$31,1,AJ401),0,IF(AJ402=INDEX('Lease Cycles'!$DK$31:$DQ$31,1,AJ401),1-INDEX('Lease Cycles'!$DR$31:$DX$31,1,AJ401),1))),0)</f>
        <v>0</v>
      </c>
      <c r="AK407" s="28">
        <f>IF(AK403=1,IF(INDEX('Lease Cycles'!$EF$31:$EL$31,1,AK401)=1,AK404*INDEX('Lease Cycles'!$EM$31:$ES$31,1,AK401)+AK405*IF(AK402&lt;INDEX('Lease Cycles'!$FA$31:$FG$31,1,AK401),0,1-INDEX('Lease Cycles'!$EM$31:$ES$31,1,AK401)),AK404*IF(AK402&lt;INDEX('Lease Cycles'!$DK$31:$DQ$31,1,AK401),0,IF(AK402=INDEX('Lease Cycles'!$DK$31:$DQ$31,1,AK401),1-INDEX('Lease Cycles'!$DR$31:$DX$31,1,AK401),1))),0)</f>
        <v>0</v>
      </c>
      <c r="AL407" s="28">
        <f>IF(AL403=1,IF(INDEX('Lease Cycles'!$EF$31:$EL$31,1,AL401)=1,AL404*INDEX('Lease Cycles'!$EM$31:$ES$31,1,AL401)+AL405*IF(AL402&lt;INDEX('Lease Cycles'!$FA$31:$FG$31,1,AL401),0,1-INDEX('Lease Cycles'!$EM$31:$ES$31,1,AL401)),AL404*IF(AL402&lt;INDEX('Lease Cycles'!$DK$31:$DQ$31,1,AL401),0,IF(AL402=INDEX('Lease Cycles'!$DK$31:$DQ$31,1,AL401),1-INDEX('Lease Cycles'!$DR$31:$DX$31,1,AL401),1))),0)</f>
        <v>0</v>
      </c>
      <c r="AM407" s="28">
        <f>IF(AM403=1,IF(INDEX('Lease Cycles'!$EF$31:$EL$31,1,AM401)=1,AM404*INDEX('Lease Cycles'!$EM$31:$ES$31,1,AM401)+AM405*IF(AM402&lt;INDEX('Lease Cycles'!$FA$31:$FG$31,1,AM401),0,1-INDEX('Lease Cycles'!$EM$31:$ES$31,1,AM401)),AM404*IF(AM402&lt;INDEX('Lease Cycles'!$DK$31:$DQ$31,1,AM401),0,IF(AM402=INDEX('Lease Cycles'!$DK$31:$DQ$31,1,AM401),1-INDEX('Lease Cycles'!$DR$31:$DX$31,1,AM401),1))),0)</f>
        <v>0</v>
      </c>
      <c r="AN407" s="28">
        <f>IF(AN403=1,IF(INDEX('Lease Cycles'!$EF$31:$EL$31,1,AN401)=1,AN404*INDEX('Lease Cycles'!$EM$31:$ES$31,1,AN401)+AN405*IF(AN402&lt;INDEX('Lease Cycles'!$FA$31:$FG$31,1,AN401),0,1-INDEX('Lease Cycles'!$EM$31:$ES$31,1,AN401)),AN404*IF(AN402&lt;INDEX('Lease Cycles'!$DK$31:$DQ$31,1,AN401),0,IF(AN402=INDEX('Lease Cycles'!$DK$31:$DQ$31,1,AN401),1-INDEX('Lease Cycles'!$DR$31:$DX$31,1,AN401),1))),0)</f>
        <v>0</v>
      </c>
      <c r="AO407" s="28">
        <f>IF(AO403=1,IF(INDEX('Lease Cycles'!$EF$31:$EL$31,1,AO401)=1,AO404*INDEX('Lease Cycles'!$EM$31:$ES$31,1,AO401)+AO405*IF(AO402&lt;INDEX('Lease Cycles'!$FA$31:$FG$31,1,AO401),0,1-INDEX('Lease Cycles'!$EM$31:$ES$31,1,AO401)),AO404*IF(AO402&lt;INDEX('Lease Cycles'!$DK$31:$DQ$31,1,AO401),0,IF(AO402=INDEX('Lease Cycles'!$DK$31:$DQ$31,1,AO401),1-INDEX('Lease Cycles'!$DR$31:$DX$31,1,AO401),1))),0)</f>
        <v>0</v>
      </c>
      <c r="AP407" s="28">
        <f>IF(AP403=1,IF(INDEX('Lease Cycles'!$EF$31:$EL$31,1,AP401)=1,AP404*INDEX('Lease Cycles'!$EM$31:$ES$31,1,AP401)+AP405*IF(AP402&lt;INDEX('Lease Cycles'!$FA$31:$FG$31,1,AP401),0,1-INDEX('Lease Cycles'!$EM$31:$ES$31,1,AP401)),AP404*IF(AP402&lt;INDEX('Lease Cycles'!$DK$31:$DQ$31,1,AP401),0,IF(AP402=INDEX('Lease Cycles'!$DK$31:$DQ$31,1,AP401),1-INDEX('Lease Cycles'!$DR$31:$DX$31,1,AP401),1))),0)</f>
        <v>0</v>
      </c>
      <c r="AQ407" s="28">
        <f>IF(AQ403=1,IF(INDEX('Lease Cycles'!$EF$31:$EL$31,1,AQ401)=1,AQ404*INDEX('Lease Cycles'!$EM$31:$ES$31,1,AQ401)+AQ405*IF(AQ402&lt;INDEX('Lease Cycles'!$FA$31:$FG$31,1,AQ401),0,1-INDEX('Lease Cycles'!$EM$31:$ES$31,1,AQ401)),AQ404*IF(AQ402&lt;INDEX('Lease Cycles'!$DK$31:$DQ$31,1,AQ401),0,IF(AQ402=INDEX('Lease Cycles'!$DK$31:$DQ$31,1,AQ401),1-INDEX('Lease Cycles'!$DR$31:$DX$31,1,AQ401),1))),0)</f>
        <v>0</v>
      </c>
      <c r="AR407" s="28">
        <f>IF(AR403=1,IF(INDEX('Lease Cycles'!$EF$31:$EL$31,1,AR401)=1,AR404*INDEX('Lease Cycles'!$EM$31:$ES$31,1,AR401)+AR405*IF(AR402&lt;INDEX('Lease Cycles'!$FA$31:$FG$31,1,AR401),0,1-INDEX('Lease Cycles'!$EM$31:$ES$31,1,AR401)),AR404*IF(AR402&lt;INDEX('Lease Cycles'!$DK$31:$DQ$31,1,AR401),0,IF(AR402=INDEX('Lease Cycles'!$DK$31:$DQ$31,1,AR401),1-INDEX('Lease Cycles'!$DR$31:$DX$31,1,AR401),1))),0)</f>
        <v>0</v>
      </c>
      <c r="AS407" s="28">
        <f>IF(AS403=1,IF(INDEX('Lease Cycles'!$EF$31:$EL$31,1,AS401)=1,AS404*INDEX('Lease Cycles'!$EM$31:$ES$31,1,AS401)+AS405*IF(AS402&lt;INDEX('Lease Cycles'!$FA$31:$FG$31,1,AS401),0,1-INDEX('Lease Cycles'!$EM$31:$ES$31,1,AS401)),AS404*IF(AS402&lt;INDEX('Lease Cycles'!$DK$31:$DQ$31,1,AS401),0,IF(AS402=INDEX('Lease Cycles'!$DK$31:$DQ$31,1,AS401),1-INDEX('Lease Cycles'!$DR$31:$DX$31,1,AS401),1))),0)</f>
        <v>0</v>
      </c>
      <c r="AT407" s="28">
        <f>IF(AT403=1,IF(INDEX('Lease Cycles'!$EF$31:$EL$31,1,AT401)=1,AT404*INDEX('Lease Cycles'!$EM$31:$ES$31,1,AT401)+AT405*IF(AT402&lt;INDEX('Lease Cycles'!$FA$31:$FG$31,1,AT401),0,1-INDEX('Lease Cycles'!$EM$31:$ES$31,1,AT401)),AT404*IF(AT402&lt;INDEX('Lease Cycles'!$DK$31:$DQ$31,1,AT401),0,IF(AT402=INDEX('Lease Cycles'!$DK$31:$DQ$31,1,AT401),1-INDEX('Lease Cycles'!$DR$31:$DX$31,1,AT401),1))),0)</f>
        <v>0</v>
      </c>
      <c r="AU407" s="28">
        <f>IF(AU403=1,IF(INDEX('Lease Cycles'!$EF$31:$EL$31,1,AU401)=1,AU404*INDEX('Lease Cycles'!$EM$31:$ES$31,1,AU401)+AU405*IF(AU402&lt;INDEX('Lease Cycles'!$FA$31:$FG$31,1,AU401),0,1-INDEX('Lease Cycles'!$EM$31:$ES$31,1,AU401)),AU404*IF(AU402&lt;INDEX('Lease Cycles'!$DK$31:$DQ$31,1,AU401),0,IF(AU402=INDEX('Lease Cycles'!$DK$31:$DQ$31,1,AU401),1-INDEX('Lease Cycles'!$DR$31:$DX$31,1,AU401),1))),0)</f>
        <v>0</v>
      </c>
      <c r="AV407" s="28">
        <f>IF(AV403=1,IF(INDEX('Lease Cycles'!$EF$31:$EL$31,1,AV401)=1,AV404*INDEX('Lease Cycles'!$EM$31:$ES$31,1,AV401)+AV405*IF(AV402&lt;INDEX('Lease Cycles'!$FA$31:$FG$31,1,AV401),0,1-INDEX('Lease Cycles'!$EM$31:$ES$31,1,AV401)),AV404*IF(AV402&lt;INDEX('Lease Cycles'!$DK$31:$DQ$31,1,AV401),0,IF(AV402=INDEX('Lease Cycles'!$DK$31:$DQ$31,1,AV401),1-INDEX('Lease Cycles'!$DR$31:$DX$31,1,AV401),1))),0)</f>
        <v>0</v>
      </c>
      <c r="AW407" s="28">
        <f>IF(AW403=1,IF(INDEX('Lease Cycles'!$EF$31:$EL$31,1,AW401)=1,AW404*INDEX('Lease Cycles'!$EM$31:$ES$31,1,AW401)+AW405*IF(AW402&lt;INDEX('Lease Cycles'!$FA$31:$FG$31,1,AW401),0,1-INDEX('Lease Cycles'!$EM$31:$ES$31,1,AW401)),AW404*IF(AW402&lt;INDEX('Lease Cycles'!$DK$31:$DQ$31,1,AW401),0,IF(AW402=INDEX('Lease Cycles'!$DK$31:$DQ$31,1,AW401),1-INDEX('Lease Cycles'!$DR$31:$DX$31,1,AW401),1))),0)</f>
        <v>0</v>
      </c>
      <c r="AX407" s="28">
        <f>IF(AX403=1,IF(INDEX('Lease Cycles'!$EF$31:$EL$31,1,AX401)=1,AX404*INDEX('Lease Cycles'!$EM$31:$ES$31,1,AX401)+AX405*IF(AX402&lt;INDEX('Lease Cycles'!$FA$31:$FG$31,1,AX401),0,1-INDEX('Lease Cycles'!$EM$31:$ES$31,1,AX401)),AX404*IF(AX402&lt;INDEX('Lease Cycles'!$DK$31:$DQ$31,1,AX401),0,IF(AX402=INDEX('Lease Cycles'!$DK$31:$DQ$31,1,AX401),1-INDEX('Lease Cycles'!$DR$31:$DX$31,1,AX401),1))),0)</f>
        <v>0</v>
      </c>
      <c r="AY407" s="28">
        <f>IF(AY403=1,IF(INDEX('Lease Cycles'!$EF$31:$EL$31,1,AY401)=1,AY404*INDEX('Lease Cycles'!$EM$31:$ES$31,1,AY401)+AY405*IF(AY402&lt;INDEX('Lease Cycles'!$FA$31:$FG$31,1,AY401),0,1-INDEX('Lease Cycles'!$EM$31:$ES$31,1,AY401)),AY404*IF(AY402&lt;INDEX('Lease Cycles'!$DK$31:$DQ$31,1,AY401),0,IF(AY402=INDEX('Lease Cycles'!$DK$31:$DQ$31,1,AY401),1-INDEX('Lease Cycles'!$DR$31:$DX$31,1,AY401),1))),0)</f>
        <v>0</v>
      </c>
      <c r="AZ407" s="28">
        <f>IF(AZ403=1,IF(INDEX('Lease Cycles'!$EF$31:$EL$31,1,AZ401)=1,AZ404*INDEX('Lease Cycles'!$EM$31:$ES$31,1,AZ401)+AZ405*IF(AZ402&lt;INDEX('Lease Cycles'!$FA$31:$FG$31,1,AZ401),0,1-INDEX('Lease Cycles'!$EM$31:$ES$31,1,AZ401)),AZ404*IF(AZ402&lt;INDEX('Lease Cycles'!$DK$31:$DQ$31,1,AZ401),0,IF(AZ402=INDEX('Lease Cycles'!$DK$31:$DQ$31,1,AZ401),1-INDEX('Lease Cycles'!$DR$31:$DX$31,1,AZ401),1))),0)</f>
        <v>0</v>
      </c>
      <c r="BA407" s="28">
        <f>IF(BA403=1,IF(INDEX('Lease Cycles'!$EF$31:$EL$31,1,BA401)=1,BA404*INDEX('Lease Cycles'!$EM$31:$ES$31,1,BA401)+BA405*IF(BA402&lt;INDEX('Lease Cycles'!$FA$31:$FG$31,1,BA401),0,1-INDEX('Lease Cycles'!$EM$31:$ES$31,1,BA401)),BA404*IF(BA402&lt;INDEX('Lease Cycles'!$DK$31:$DQ$31,1,BA401),0,IF(BA402=INDEX('Lease Cycles'!$DK$31:$DQ$31,1,BA401),1-INDEX('Lease Cycles'!$DR$31:$DX$31,1,BA401),1))),0)</f>
        <v>0</v>
      </c>
      <c r="BB407" s="28">
        <f>IF(BB403=1,IF(INDEX('Lease Cycles'!$EF$31:$EL$31,1,BB401)=1,BB404*INDEX('Lease Cycles'!$EM$31:$ES$31,1,BB401)+BB405*IF(BB402&lt;INDEX('Lease Cycles'!$FA$31:$FG$31,1,BB401),0,1-INDEX('Lease Cycles'!$EM$31:$ES$31,1,BB401)),BB404*IF(BB402&lt;INDEX('Lease Cycles'!$DK$31:$DQ$31,1,BB401),0,IF(BB402=INDEX('Lease Cycles'!$DK$31:$DQ$31,1,BB401),1-INDEX('Lease Cycles'!$DR$31:$DX$31,1,BB401),1))),0)</f>
        <v>0</v>
      </c>
      <c r="BC407" s="28">
        <f>IF(BC403=1,IF(INDEX('Lease Cycles'!$EF$31:$EL$31,1,BC401)=1,BC404*INDEX('Lease Cycles'!$EM$31:$ES$31,1,BC401)+BC405*IF(BC402&lt;INDEX('Lease Cycles'!$FA$31:$FG$31,1,BC401),0,1-INDEX('Lease Cycles'!$EM$31:$ES$31,1,BC401)),BC404*IF(BC402&lt;INDEX('Lease Cycles'!$DK$31:$DQ$31,1,BC401),0,IF(BC402=INDEX('Lease Cycles'!$DK$31:$DQ$31,1,BC401),1-INDEX('Lease Cycles'!$DR$31:$DX$31,1,BC401),1))),0)</f>
        <v>0</v>
      </c>
      <c r="BD407" s="28">
        <f>IF(BD403=1,IF(INDEX('Lease Cycles'!$EF$31:$EL$31,1,BD401)=1,BD404*INDEX('Lease Cycles'!$EM$31:$ES$31,1,BD401)+BD405*IF(BD402&lt;INDEX('Lease Cycles'!$FA$31:$FG$31,1,BD401),0,1-INDEX('Lease Cycles'!$EM$31:$ES$31,1,BD401)),BD404*IF(BD402&lt;INDEX('Lease Cycles'!$DK$31:$DQ$31,1,BD401),0,IF(BD402=INDEX('Lease Cycles'!$DK$31:$DQ$31,1,BD401),1-INDEX('Lease Cycles'!$DR$31:$DX$31,1,BD401),1))),0)</f>
        <v>0</v>
      </c>
      <c r="BE407" s="28">
        <f>IF(BE403=1,IF(INDEX('Lease Cycles'!$EF$31:$EL$31,1,BE401)=1,BE404*INDEX('Lease Cycles'!$EM$31:$ES$31,1,BE401)+BE405*IF(BE402&lt;INDEX('Lease Cycles'!$FA$31:$FG$31,1,BE401),0,1-INDEX('Lease Cycles'!$EM$31:$ES$31,1,BE401)),BE404*IF(BE402&lt;INDEX('Lease Cycles'!$DK$31:$DQ$31,1,BE401),0,IF(BE402=INDEX('Lease Cycles'!$DK$31:$DQ$31,1,BE401),1-INDEX('Lease Cycles'!$DR$31:$DX$31,1,BE401),1))),0)</f>
        <v>0</v>
      </c>
      <c r="BF407" s="28">
        <f>IF(BF403=1,IF(INDEX('Lease Cycles'!$EF$31:$EL$31,1,BF401)=1,BF404*INDEX('Lease Cycles'!$EM$31:$ES$31,1,BF401)+BF405*IF(BF402&lt;INDEX('Lease Cycles'!$FA$31:$FG$31,1,BF401),0,1-INDEX('Lease Cycles'!$EM$31:$ES$31,1,BF401)),BF404*IF(BF402&lt;INDEX('Lease Cycles'!$DK$31:$DQ$31,1,BF401),0,IF(BF402=INDEX('Lease Cycles'!$DK$31:$DQ$31,1,BF401),1-INDEX('Lease Cycles'!$DR$31:$DX$31,1,BF401),1))),0)</f>
        <v>0</v>
      </c>
      <c r="BG407" s="28">
        <f>IF(BG403=1,IF(INDEX('Lease Cycles'!$EF$31:$EL$31,1,BG401)=1,BG404*INDEX('Lease Cycles'!$EM$31:$ES$31,1,BG401)+BG405*IF(BG402&lt;INDEX('Lease Cycles'!$FA$31:$FG$31,1,BG401),0,1-INDEX('Lease Cycles'!$EM$31:$ES$31,1,BG401)),BG404*IF(BG402&lt;INDEX('Lease Cycles'!$DK$31:$DQ$31,1,BG401),0,IF(BG402=INDEX('Lease Cycles'!$DK$31:$DQ$31,1,BG401),1-INDEX('Lease Cycles'!$DR$31:$DX$31,1,BG401),1))),0)</f>
        <v>0</v>
      </c>
      <c r="BH407" s="28">
        <f>IF(BH403=1,IF(INDEX('Lease Cycles'!$EF$31:$EL$31,1,BH401)=1,BH404*INDEX('Lease Cycles'!$EM$31:$ES$31,1,BH401)+BH405*IF(BH402&lt;INDEX('Lease Cycles'!$FA$31:$FG$31,1,BH401),0,1-INDEX('Lease Cycles'!$EM$31:$ES$31,1,BH401)),BH404*IF(BH402&lt;INDEX('Lease Cycles'!$DK$31:$DQ$31,1,BH401),0,IF(BH402=INDEX('Lease Cycles'!$DK$31:$DQ$31,1,BH401),1-INDEX('Lease Cycles'!$DR$31:$DX$31,1,BH401),1))),0)</f>
        <v>0</v>
      </c>
      <c r="BI407" s="28">
        <f>IF(BI403=1,IF(INDEX('Lease Cycles'!$EF$31:$EL$31,1,BI401)=1,BI404*INDEX('Lease Cycles'!$EM$31:$ES$31,1,BI401)+BI405*IF(BI402&lt;INDEX('Lease Cycles'!$FA$31:$FG$31,1,BI401),0,1-INDEX('Lease Cycles'!$EM$31:$ES$31,1,BI401)),BI404*IF(BI402&lt;INDEX('Lease Cycles'!$DK$31:$DQ$31,1,BI401),0,IF(BI402=INDEX('Lease Cycles'!$DK$31:$DQ$31,1,BI401),1-INDEX('Lease Cycles'!$DR$31:$DX$31,1,BI401),1))),0)</f>
        <v>0</v>
      </c>
      <c r="BJ407" s="28">
        <f>IF(BJ403=1,IF(INDEX('Lease Cycles'!$EF$31:$EL$31,1,BJ401)=1,BJ404*INDEX('Lease Cycles'!$EM$31:$ES$31,1,BJ401)+BJ405*IF(BJ402&lt;INDEX('Lease Cycles'!$FA$31:$FG$31,1,BJ401),0,1-INDEX('Lease Cycles'!$EM$31:$ES$31,1,BJ401)),BJ404*IF(BJ402&lt;INDEX('Lease Cycles'!$DK$31:$DQ$31,1,BJ401),0,IF(BJ402=INDEX('Lease Cycles'!$DK$31:$DQ$31,1,BJ401),1-INDEX('Lease Cycles'!$DR$31:$DX$31,1,BJ401),1))),0)</f>
        <v>0</v>
      </c>
      <c r="BK407" s="28">
        <f>IF(BK403=1,IF(INDEX('Lease Cycles'!$EF$31:$EL$31,1,BK401)=1,BK404*INDEX('Lease Cycles'!$EM$31:$ES$31,1,BK401)+BK405*IF(BK402&lt;INDEX('Lease Cycles'!$FA$31:$FG$31,1,BK401),0,1-INDEX('Lease Cycles'!$EM$31:$ES$31,1,BK401)),BK404*IF(BK402&lt;INDEX('Lease Cycles'!$DK$31:$DQ$31,1,BK401),0,IF(BK402=INDEX('Lease Cycles'!$DK$31:$DQ$31,1,BK401),1-INDEX('Lease Cycles'!$DR$31:$DX$31,1,BK401),1))),0)</f>
        <v>0</v>
      </c>
      <c r="BL407" s="28">
        <f>IF(BL403=1,IF(INDEX('Lease Cycles'!$EF$31:$EL$31,1,BL401)=1,BL404*INDEX('Lease Cycles'!$EM$31:$ES$31,1,BL401)+BL405*IF(BL402&lt;INDEX('Lease Cycles'!$FA$31:$FG$31,1,BL401),0,1-INDEX('Lease Cycles'!$EM$31:$ES$31,1,BL401)),BL404*IF(BL402&lt;INDEX('Lease Cycles'!$DK$31:$DQ$31,1,BL401),0,IF(BL402=INDEX('Lease Cycles'!$DK$31:$DQ$31,1,BL401),1-INDEX('Lease Cycles'!$DR$31:$DX$31,1,BL401),1))),0)</f>
        <v>0</v>
      </c>
      <c r="BM407" s="28">
        <f>IF(BM403=1,IF(INDEX('Lease Cycles'!$EF$31:$EL$31,1,BM401)=1,BM404*INDEX('Lease Cycles'!$EM$31:$ES$31,1,BM401)+BM405*IF(BM402&lt;INDEX('Lease Cycles'!$FA$31:$FG$31,1,BM401),0,1-INDEX('Lease Cycles'!$EM$31:$ES$31,1,BM401)),BM404*IF(BM402&lt;INDEX('Lease Cycles'!$DK$31:$DQ$31,1,BM401),0,IF(BM402=INDEX('Lease Cycles'!$DK$31:$DQ$31,1,BM401),1-INDEX('Lease Cycles'!$DR$31:$DX$31,1,BM401),1))),0)</f>
        <v>0</v>
      </c>
      <c r="BN407" s="28">
        <f>IF(BN403=1,IF(INDEX('Lease Cycles'!$EF$31:$EL$31,1,BN401)=1,BN404*INDEX('Lease Cycles'!$EM$31:$ES$31,1,BN401)+BN405*IF(BN402&lt;INDEX('Lease Cycles'!$FA$31:$FG$31,1,BN401),0,1-INDEX('Lease Cycles'!$EM$31:$ES$31,1,BN401)),BN404*IF(BN402&lt;INDEX('Lease Cycles'!$DK$31:$DQ$31,1,BN401),0,IF(BN402=INDEX('Lease Cycles'!$DK$31:$DQ$31,1,BN401),1-INDEX('Lease Cycles'!$DR$31:$DX$31,1,BN401),1))),0)</f>
        <v>0</v>
      </c>
      <c r="BO407" s="28">
        <f>IF(BO403=1,IF(INDEX('Lease Cycles'!$EF$31:$EL$31,1,BO401)=1,BO404*INDEX('Lease Cycles'!$EM$31:$ES$31,1,BO401)+BO405*IF(BO402&lt;INDEX('Lease Cycles'!$FA$31:$FG$31,1,BO401),0,1-INDEX('Lease Cycles'!$EM$31:$ES$31,1,BO401)),BO404*IF(BO402&lt;INDEX('Lease Cycles'!$DK$31:$DQ$31,1,BO401),0,IF(BO402=INDEX('Lease Cycles'!$DK$31:$DQ$31,1,BO401),1-INDEX('Lease Cycles'!$DR$31:$DX$31,1,BO401),1))),0)</f>
        <v>0</v>
      </c>
      <c r="BP407" s="28">
        <f>IF(BP403=1,IF(INDEX('Lease Cycles'!$EF$31:$EL$31,1,BP401)=1,BP404*INDEX('Lease Cycles'!$EM$31:$ES$31,1,BP401)+BP405*IF(BP402&lt;INDEX('Lease Cycles'!$FA$31:$FG$31,1,BP401),0,1-INDEX('Lease Cycles'!$EM$31:$ES$31,1,BP401)),BP404*IF(BP402&lt;INDEX('Lease Cycles'!$DK$31:$DQ$31,1,BP401),0,IF(BP402=INDEX('Lease Cycles'!$DK$31:$DQ$31,1,BP401),1-INDEX('Lease Cycles'!$DR$31:$DX$31,1,BP401),1))),0)</f>
        <v>0</v>
      </c>
      <c r="BQ407" s="28">
        <f>IF(BQ403=1,IF(INDEX('Lease Cycles'!$EF$31:$EL$31,1,BQ401)=1,BQ404*INDEX('Lease Cycles'!$EM$31:$ES$31,1,BQ401)+BQ405*IF(BQ402&lt;INDEX('Lease Cycles'!$FA$31:$FG$31,1,BQ401),0,1-INDEX('Lease Cycles'!$EM$31:$ES$31,1,BQ401)),BQ404*IF(BQ402&lt;INDEX('Lease Cycles'!$DK$31:$DQ$31,1,BQ401),0,IF(BQ402=INDEX('Lease Cycles'!$DK$31:$DQ$31,1,BQ401),1-INDEX('Lease Cycles'!$DR$31:$DX$31,1,BQ401),1))),0)</f>
        <v>0</v>
      </c>
      <c r="BR407" s="28">
        <f>IF(BR403=1,IF(INDEX('Lease Cycles'!$EF$31:$EL$31,1,BR401)=1,BR404*INDEX('Lease Cycles'!$EM$31:$ES$31,1,BR401)+BR405*IF(BR402&lt;INDEX('Lease Cycles'!$FA$31:$FG$31,1,BR401),0,1-INDEX('Lease Cycles'!$EM$31:$ES$31,1,BR401)),BR404*IF(BR402&lt;INDEX('Lease Cycles'!$DK$31:$DQ$31,1,BR401),0,IF(BR402=INDEX('Lease Cycles'!$DK$31:$DQ$31,1,BR401),1-INDEX('Lease Cycles'!$DR$31:$DX$31,1,BR401),1))),0)</f>
        <v>0</v>
      </c>
      <c r="BS407" s="28">
        <f>IF(BS403=1,IF(INDEX('Lease Cycles'!$EF$31:$EL$31,1,BS401)=1,BS404*INDEX('Lease Cycles'!$EM$31:$ES$31,1,BS401)+BS405*IF(BS402&lt;INDEX('Lease Cycles'!$FA$31:$FG$31,1,BS401),0,1-INDEX('Lease Cycles'!$EM$31:$ES$31,1,BS401)),BS404*IF(BS402&lt;INDEX('Lease Cycles'!$DK$31:$DQ$31,1,BS401),0,IF(BS402=INDEX('Lease Cycles'!$DK$31:$DQ$31,1,BS401),1-INDEX('Lease Cycles'!$DR$31:$DX$31,1,BS401),1))),0)</f>
        <v>0</v>
      </c>
      <c r="BT407" s="28">
        <f>IF(BT403=1,IF(INDEX('Lease Cycles'!$EF$31:$EL$31,1,BT401)=1,BT404*INDEX('Lease Cycles'!$EM$31:$ES$31,1,BT401)+BT405*IF(BT402&lt;INDEX('Lease Cycles'!$FA$31:$FG$31,1,BT401),0,1-INDEX('Lease Cycles'!$EM$31:$ES$31,1,BT401)),BT404*IF(BT402&lt;INDEX('Lease Cycles'!$DK$31:$DQ$31,1,BT401),0,IF(BT402=INDEX('Lease Cycles'!$DK$31:$DQ$31,1,BT401),1-INDEX('Lease Cycles'!$DR$31:$DX$31,1,BT401),1))),0)</f>
        <v>0</v>
      </c>
      <c r="BU407" s="28">
        <f>IF(BU403=1,IF(INDEX('Lease Cycles'!$EF$31:$EL$31,1,BU401)=1,BU404*INDEX('Lease Cycles'!$EM$31:$ES$31,1,BU401)+BU405*IF(BU402&lt;INDEX('Lease Cycles'!$FA$31:$FG$31,1,BU401),0,1-INDEX('Lease Cycles'!$EM$31:$ES$31,1,BU401)),BU404*IF(BU402&lt;INDEX('Lease Cycles'!$DK$31:$DQ$31,1,BU401),0,IF(BU402=INDEX('Lease Cycles'!$DK$31:$DQ$31,1,BU401),1-INDEX('Lease Cycles'!$DR$31:$DX$31,1,BU401),1))),0)</f>
        <v>0</v>
      </c>
      <c r="BV407" s="28">
        <f>IF(BV403=1,IF(INDEX('Lease Cycles'!$EF$31:$EL$31,1,BV401)=1,BV404*INDEX('Lease Cycles'!$EM$31:$ES$31,1,BV401)+BV405*IF(BV402&lt;INDEX('Lease Cycles'!$FA$31:$FG$31,1,BV401),0,1-INDEX('Lease Cycles'!$EM$31:$ES$31,1,BV401)),BV404*IF(BV402&lt;INDEX('Lease Cycles'!$DK$31:$DQ$31,1,BV401),0,IF(BV402=INDEX('Lease Cycles'!$DK$31:$DQ$31,1,BV401),1-INDEX('Lease Cycles'!$DR$31:$DX$31,1,BV401),1))),0)</f>
        <v>0</v>
      </c>
      <c r="BW407" s="28">
        <f>IF(BW403=1,IF(INDEX('Lease Cycles'!$EF$31:$EL$31,1,BW401)=1,BW404*INDEX('Lease Cycles'!$EM$31:$ES$31,1,BW401)+BW405*IF(BW402&lt;INDEX('Lease Cycles'!$FA$31:$FG$31,1,BW401),0,1-INDEX('Lease Cycles'!$EM$31:$ES$31,1,BW401)),BW404*IF(BW402&lt;INDEX('Lease Cycles'!$DK$31:$DQ$31,1,BW401),0,IF(BW402=INDEX('Lease Cycles'!$DK$31:$DQ$31,1,BW401),1-INDEX('Lease Cycles'!$DR$31:$DX$31,1,BW401),1))),0)</f>
        <v>0</v>
      </c>
      <c r="BX407" s="28">
        <f>IF(BX403=1,IF(INDEX('Lease Cycles'!$EF$31:$EL$31,1,BX401)=1,BX404*INDEX('Lease Cycles'!$EM$31:$ES$31,1,BX401)+BX405*IF(BX402&lt;INDEX('Lease Cycles'!$FA$31:$FG$31,1,BX401),0,1-INDEX('Lease Cycles'!$EM$31:$ES$31,1,BX401)),BX404*IF(BX402&lt;INDEX('Lease Cycles'!$DK$31:$DQ$31,1,BX401),0,IF(BX402=INDEX('Lease Cycles'!$DK$31:$DQ$31,1,BX401),1-INDEX('Lease Cycles'!$DR$31:$DX$31,1,BX401),1))),0)</f>
        <v>0</v>
      </c>
      <c r="BY407" s="28">
        <f>IF(BY403=1,IF(INDEX('Lease Cycles'!$EF$31:$EL$31,1,BY401)=1,BY404*INDEX('Lease Cycles'!$EM$31:$ES$31,1,BY401)+BY405*IF(BY402&lt;INDEX('Lease Cycles'!$FA$31:$FG$31,1,BY401),0,1-INDEX('Lease Cycles'!$EM$31:$ES$31,1,BY401)),BY404*IF(BY402&lt;INDEX('Lease Cycles'!$DK$31:$DQ$31,1,BY401),0,IF(BY402=INDEX('Lease Cycles'!$DK$31:$DQ$31,1,BY401),1-INDEX('Lease Cycles'!$DR$31:$DX$31,1,BY401),1))),0)</f>
        <v>0</v>
      </c>
      <c r="BZ407" s="28">
        <f>IF(BZ403=1,IF(INDEX('Lease Cycles'!$EF$31:$EL$31,1,BZ401)=1,BZ404*INDEX('Lease Cycles'!$EM$31:$ES$31,1,BZ401)+BZ405*IF(BZ402&lt;INDEX('Lease Cycles'!$FA$31:$FG$31,1,BZ401),0,1-INDEX('Lease Cycles'!$EM$31:$ES$31,1,BZ401)),BZ404*IF(BZ402&lt;INDEX('Lease Cycles'!$DK$31:$DQ$31,1,BZ401),0,IF(BZ402=INDEX('Lease Cycles'!$DK$31:$DQ$31,1,BZ401),1-INDEX('Lease Cycles'!$DR$31:$DX$31,1,BZ401),1))),0)</f>
        <v>0</v>
      </c>
      <c r="CA407" s="28">
        <f>IF(CA403=1,IF(INDEX('Lease Cycles'!$EF$31:$EL$31,1,CA401)=1,CA404*INDEX('Lease Cycles'!$EM$31:$ES$31,1,CA401)+CA405*IF(CA402&lt;INDEX('Lease Cycles'!$FA$31:$FG$31,1,CA401),0,1-INDEX('Lease Cycles'!$EM$31:$ES$31,1,CA401)),CA404*IF(CA402&lt;INDEX('Lease Cycles'!$DK$31:$DQ$31,1,CA401),0,IF(CA402=INDEX('Lease Cycles'!$DK$31:$DQ$31,1,CA401),1-INDEX('Lease Cycles'!$DR$31:$DX$31,1,CA401),1))),0)</f>
        <v>0</v>
      </c>
      <c r="CB407" s="28">
        <f>IF(CB403=1,IF(INDEX('Lease Cycles'!$EF$31:$EL$31,1,CB401)=1,CB404*INDEX('Lease Cycles'!$EM$31:$ES$31,1,CB401)+CB405*IF(CB402&lt;INDEX('Lease Cycles'!$FA$31:$FG$31,1,CB401),0,1-INDEX('Lease Cycles'!$EM$31:$ES$31,1,CB401)),CB404*IF(CB402&lt;INDEX('Lease Cycles'!$DK$31:$DQ$31,1,CB401),0,IF(CB402=INDEX('Lease Cycles'!$DK$31:$DQ$31,1,CB401),1-INDEX('Lease Cycles'!$DR$31:$DX$31,1,CB401),1))),0)</f>
        <v>0</v>
      </c>
      <c r="CC407" s="28">
        <f>IF(CC403=1,IF(INDEX('Lease Cycles'!$EF$31:$EL$31,1,CC401)=1,CC404*INDEX('Lease Cycles'!$EM$31:$ES$31,1,CC401)+CC405*IF(CC402&lt;INDEX('Lease Cycles'!$FA$31:$FG$31,1,CC401),0,1-INDEX('Lease Cycles'!$EM$31:$ES$31,1,CC401)),CC404*IF(CC402&lt;INDEX('Lease Cycles'!$DK$31:$DQ$31,1,CC401),0,IF(CC402=INDEX('Lease Cycles'!$DK$31:$DQ$31,1,CC401),1-INDEX('Lease Cycles'!$DR$31:$DX$31,1,CC401),1))),0)</f>
        <v>0</v>
      </c>
      <c r="CD407" s="28">
        <f>IF(CD403=1,IF(INDEX('Lease Cycles'!$EF$31:$EL$31,1,CD401)=1,CD404*INDEX('Lease Cycles'!$EM$31:$ES$31,1,CD401)+CD405*IF(CD402&lt;INDEX('Lease Cycles'!$FA$31:$FG$31,1,CD401),0,1-INDEX('Lease Cycles'!$EM$31:$ES$31,1,CD401)),CD404*IF(CD402&lt;INDEX('Lease Cycles'!$DK$31:$DQ$31,1,CD401),0,IF(CD402=INDEX('Lease Cycles'!$DK$31:$DQ$31,1,CD401),1-INDEX('Lease Cycles'!$DR$31:$DX$31,1,CD401),1))),0)</f>
        <v>0</v>
      </c>
      <c r="CE407" s="28">
        <f>IF(CE403=1,IF(INDEX('Lease Cycles'!$EF$31:$EL$31,1,CE401)=1,CE404*INDEX('Lease Cycles'!$EM$31:$ES$31,1,CE401)+CE405*IF(CE402&lt;INDEX('Lease Cycles'!$FA$31:$FG$31,1,CE401),0,1-INDEX('Lease Cycles'!$EM$31:$ES$31,1,CE401)),CE404*IF(CE402&lt;INDEX('Lease Cycles'!$DK$31:$DQ$31,1,CE401),0,IF(CE402=INDEX('Lease Cycles'!$DK$31:$DQ$31,1,CE401),1-INDEX('Lease Cycles'!$DR$31:$DX$31,1,CE401),1))),0)</f>
        <v>0</v>
      </c>
      <c r="CF407" s="28">
        <f>IF(CF403=1,IF(INDEX('Lease Cycles'!$EF$31:$EL$31,1,CF401)=1,CF404*INDEX('Lease Cycles'!$EM$31:$ES$31,1,CF401)+CF405*IF(CF402&lt;INDEX('Lease Cycles'!$FA$31:$FG$31,1,CF401),0,1-INDEX('Lease Cycles'!$EM$31:$ES$31,1,CF401)),CF404*IF(CF402&lt;INDEX('Lease Cycles'!$DK$31:$DQ$31,1,CF401),0,IF(CF402=INDEX('Lease Cycles'!$DK$31:$DQ$31,1,CF401),1-INDEX('Lease Cycles'!$DR$31:$DX$31,1,CF401),1))),0)</f>
        <v>0</v>
      </c>
      <c r="CG407" s="28">
        <f>IF(CG403=1,IF(INDEX('Lease Cycles'!$EF$31:$EL$31,1,CG401)=1,CG404*INDEX('Lease Cycles'!$EM$31:$ES$31,1,CG401)+CG405*IF(CG402&lt;INDEX('Lease Cycles'!$FA$31:$FG$31,1,CG401),0,1-INDEX('Lease Cycles'!$EM$31:$ES$31,1,CG401)),CG404*IF(CG402&lt;INDEX('Lease Cycles'!$DK$31:$DQ$31,1,CG401),0,IF(CG402=INDEX('Lease Cycles'!$DK$31:$DQ$31,1,CG401),1-INDEX('Lease Cycles'!$DR$31:$DX$31,1,CG401),1))),0)</f>
        <v>0</v>
      </c>
      <c r="CH407" s="28">
        <f>IF(CH403=1,IF(INDEX('Lease Cycles'!$EF$31:$EL$31,1,CH401)=1,CH404*INDEX('Lease Cycles'!$EM$31:$ES$31,1,CH401)+CH405*IF(CH402&lt;INDEX('Lease Cycles'!$FA$31:$FG$31,1,CH401),0,1-INDEX('Lease Cycles'!$EM$31:$ES$31,1,CH401)),CH404*IF(CH402&lt;INDEX('Lease Cycles'!$DK$31:$DQ$31,1,CH401),0,IF(CH402=INDEX('Lease Cycles'!$DK$31:$DQ$31,1,CH401),1-INDEX('Lease Cycles'!$DR$31:$DX$31,1,CH401),1))),0)</f>
        <v>0</v>
      </c>
      <c r="CI407" s="28">
        <f>IF(CI403=1,IF(INDEX('Lease Cycles'!$EF$31:$EL$31,1,CI401)=1,CI404*INDEX('Lease Cycles'!$EM$31:$ES$31,1,CI401)+CI405*IF(CI402&lt;INDEX('Lease Cycles'!$FA$31:$FG$31,1,CI401),0,1-INDEX('Lease Cycles'!$EM$31:$ES$31,1,CI401)),CI404*IF(CI402&lt;INDEX('Lease Cycles'!$DK$31:$DQ$31,1,CI401),0,IF(CI402=INDEX('Lease Cycles'!$DK$31:$DQ$31,1,CI401),1-INDEX('Lease Cycles'!$DR$31:$DX$31,1,CI401),1))),0)</f>
        <v>0</v>
      </c>
      <c r="CJ407" s="28">
        <f>IF(CJ403=1,IF(INDEX('Lease Cycles'!$EF$31:$EL$31,1,CJ401)=1,CJ404*INDEX('Lease Cycles'!$EM$31:$ES$31,1,CJ401)+CJ405*IF(CJ402&lt;INDEX('Lease Cycles'!$FA$31:$FG$31,1,CJ401),0,1-INDEX('Lease Cycles'!$EM$31:$ES$31,1,CJ401)),CJ404*IF(CJ402&lt;INDEX('Lease Cycles'!$DK$31:$DQ$31,1,CJ401),0,IF(CJ402=INDEX('Lease Cycles'!$DK$31:$DQ$31,1,CJ401),1-INDEX('Lease Cycles'!$DR$31:$DX$31,1,CJ401),1))),0)</f>
        <v>0</v>
      </c>
      <c r="CK407" s="28">
        <f>IF(CK403=1,IF(INDEX('Lease Cycles'!$EF$31:$EL$31,1,CK401)=1,CK404*INDEX('Lease Cycles'!$EM$31:$ES$31,1,CK401)+CK405*IF(CK402&lt;INDEX('Lease Cycles'!$FA$31:$FG$31,1,CK401),0,1-INDEX('Lease Cycles'!$EM$31:$ES$31,1,CK401)),CK404*IF(CK402&lt;INDEX('Lease Cycles'!$DK$31:$DQ$31,1,CK401),0,IF(CK402=INDEX('Lease Cycles'!$DK$31:$DQ$31,1,CK401),1-INDEX('Lease Cycles'!$DR$31:$DX$31,1,CK401),1))),0)</f>
        <v>0</v>
      </c>
      <c r="CL407" s="28">
        <f>IF(CL403=1,IF(INDEX('Lease Cycles'!$EF$31:$EL$31,1,CL401)=1,CL404*INDEX('Lease Cycles'!$EM$31:$ES$31,1,CL401)+CL405*IF(CL402&lt;INDEX('Lease Cycles'!$FA$31:$FG$31,1,CL401),0,1-INDEX('Lease Cycles'!$EM$31:$ES$31,1,CL401)),CL404*IF(CL402&lt;INDEX('Lease Cycles'!$DK$31:$DQ$31,1,CL401),0,IF(CL402=INDEX('Lease Cycles'!$DK$31:$DQ$31,1,CL401),1-INDEX('Lease Cycles'!$DR$31:$DX$31,1,CL401),1))),0)</f>
        <v>0</v>
      </c>
      <c r="CM407" s="28">
        <f>IF(CM403=1,IF(INDEX('Lease Cycles'!$EF$31:$EL$31,1,CM401)=1,CM404*INDEX('Lease Cycles'!$EM$31:$ES$31,1,CM401)+CM405*IF(CM402&lt;INDEX('Lease Cycles'!$FA$31:$FG$31,1,CM401),0,1-INDEX('Lease Cycles'!$EM$31:$ES$31,1,CM401)),CM404*IF(CM402&lt;INDEX('Lease Cycles'!$DK$31:$DQ$31,1,CM401),0,IF(CM402=INDEX('Lease Cycles'!$DK$31:$DQ$31,1,CM401),1-INDEX('Lease Cycles'!$DR$31:$DX$31,1,CM401),1))),0)</f>
        <v>0</v>
      </c>
      <c r="CN407" s="28">
        <f>IF(CN403=1,IF(INDEX('Lease Cycles'!$EF$31:$EL$31,1,CN401)=1,CN404*INDEX('Lease Cycles'!$EM$31:$ES$31,1,CN401)+CN405*IF(CN402&lt;INDEX('Lease Cycles'!$FA$31:$FG$31,1,CN401),0,1-INDEX('Lease Cycles'!$EM$31:$ES$31,1,CN401)),CN404*IF(CN402&lt;INDEX('Lease Cycles'!$DK$31:$DQ$31,1,CN401),0,IF(CN402=INDEX('Lease Cycles'!$DK$31:$DQ$31,1,CN401),1-INDEX('Lease Cycles'!$DR$31:$DX$31,1,CN401),1))),0)</f>
        <v>0</v>
      </c>
      <c r="CO407" s="28">
        <f>IF(CO403=1,IF(INDEX('Lease Cycles'!$EF$31:$EL$31,1,CO401)=1,CO404*INDEX('Lease Cycles'!$EM$31:$ES$31,1,CO401)+CO405*IF(CO402&lt;INDEX('Lease Cycles'!$FA$31:$FG$31,1,CO401),0,1-INDEX('Lease Cycles'!$EM$31:$ES$31,1,CO401)),CO404*IF(CO402&lt;INDEX('Lease Cycles'!$DK$31:$DQ$31,1,CO401),0,IF(CO402=INDEX('Lease Cycles'!$DK$31:$DQ$31,1,CO401),1-INDEX('Lease Cycles'!$DR$31:$DX$31,1,CO401),1))),0)</f>
        <v>0</v>
      </c>
      <c r="CP407" s="28">
        <f>IF(CP403=1,IF(INDEX('Lease Cycles'!$EF$31:$EL$31,1,CP401)=1,CP404*INDEX('Lease Cycles'!$EM$31:$ES$31,1,CP401)+CP405*IF(CP402&lt;INDEX('Lease Cycles'!$FA$31:$FG$31,1,CP401),0,1-INDEX('Lease Cycles'!$EM$31:$ES$31,1,CP401)),CP404*IF(CP402&lt;INDEX('Lease Cycles'!$DK$31:$DQ$31,1,CP401),0,IF(CP402=INDEX('Lease Cycles'!$DK$31:$DQ$31,1,CP401),1-INDEX('Lease Cycles'!$DR$31:$DX$31,1,CP401),1))),0)</f>
        <v>0</v>
      </c>
      <c r="CQ407" s="28">
        <f>IF(CQ403=1,IF(INDEX('Lease Cycles'!$EF$31:$EL$31,1,CQ401)=1,CQ404*INDEX('Lease Cycles'!$EM$31:$ES$31,1,CQ401)+CQ405*IF(CQ402&lt;INDEX('Lease Cycles'!$FA$31:$FG$31,1,CQ401),0,1-INDEX('Lease Cycles'!$EM$31:$ES$31,1,CQ401)),CQ404*IF(CQ402&lt;INDEX('Lease Cycles'!$DK$31:$DQ$31,1,CQ401),0,IF(CQ402=INDEX('Lease Cycles'!$DK$31:$DQ$31,1,CQ401),1-INDEX('Lease Cycles'!$DR$31:$DX$31,1,CQ401),1))),0)</f>
        <v>0</v>
      </c>
      <c r="CR407" s="28">
        <f>IF(CR403=1,IF(INDEX('Lease Cycles'!$EF$31:$EL$31,1,CR401)=1,CR404*INDEX('Lease Cycles'!$EM$31:$ES$31,1,CR401)+CR405*IF(CR402&lt;INDEX('Lease Cycles'!$FA$31:$FG$31,1,CR401),0,1-INDEX('Lease Cycles'!$EM$31:$ES$31,1,CR401)),CR404*IF(CR402&lt;INDEX('Lease Cycles'!$DK$31:$DQ$31,1,CR401),0,IF(CR402=INDEX('Lease Cycles'!$DK$31:$DQ$31,1,CR401),1-INDEX('Lease Cycles'!$DR$31:$DX$31,1,CR401),1))),0)</f>
        <v>0</v>
      </c>
      <c r="CS407" s="28">
        <f>IF(CS403=1,IF(INDEX('Lease Cycles'!$EF$31:$EL$31,1,CS401)=1,CS404*INDEX('Lease Cycles'!$EM$31:$ES$31,1,CS401)+CS405*IF(CS402&lt;INDEX('Lease Cycles'!$FA$31:$FG$31,1,CS401),0,1-INDEX('Lease Cycles'!$EM$31:$ES$31,1,CS401)),CS404*IF(CS402&lt;INDEX('Lease Cycles'!$DK$31:$DQ$31,1,CS401),0,IF(CS402=INDEX('Lease Cycles'!$DK$31:$DQ$31,1,CS401),1-INDEX('Lease Cycles'!$DR$31:$DX$31,1,CS401),1))),0)</f>
        <v>0</v>
      </c>
      <c r="CT407" s="28">
        <f>IF(CT403=1,IF(INDEX('Lease Cycles'!$EF$31:$EL$31,1,CT401)=1,CT404*INDEX('Lease Cycles'!$EM$31:$ES$31,1,CT401)+CT405*IF(CT402&lt;INDEX('Lease Cycles'!$FA$31:$FG$31,1,CT401),0,1-INDEX('Lease Cycles'!$EM$31:$ES$31,1,CT401)),CT404*IF(CT402&lt;INDEX('Lease Cycles'!$DK$31:$DQ$31,1,CT401),0,IF(CT402=INDEX('Lease Cycles'!$DK$31:$DQ$31,1,CT401),1-INDEX('Lease Cycles'!$DR$31:$DX$31,1,CT401),1))),0)</f>
        <v>0</v>
      </c>
      <c r="CU407" s="28">
        <f>IF(CU403=1,IF(INDEX('Lease Cycles'!$EF$31:$EL$31,1,CU401)=1,CU404*INDEX('Lease Cycles'!$EM$31:$ES$31,1,CU401)+CU405*IF(CU402&lt;INDEX('Lease Cycles'!$FA$31:$FG$31,1,CU401),0,1-INDEX('Lease Cycles'!$EM$31:$ES$31,1,CU401)),CU404*IF(CU402&lt;INDEX('Lease Cycles'!$DK$31:$DQ$31,1,CU401),0,IF(CU402=INDEX('Lease Cycles'!$DK$31:$DQ$31,1,CU401),1-INDEX('Lease Cycles'!$DR$31:$DX$31,1,CU401),1))),0)</f>
        <v>0</v>
      </c>
      <c r="CV407" s="28">
        <f>IF(CV403=1,IF(INDEX('Lease Cycles'!$EF$31:$EL$31,1,CV401)=1,CV404*INDEX('Lease Cycles'!$EM$31:$ES$31,1,CV401)+CV405*IF(CV402&lt;INDEX('Lease Cycles'!$FA$31:$FG$31,1,CV401),0,1-INDEX('Lease Cycles'!$EM$31:$ES$31,1,CV401)),CV404*IF(CV402&lt;INDEX('Lease Cycles'!$DK$31:$DQ$31,1,CV401),0,IF(CV402=INDEX('Lease Cycles'!$DK$31:$DQ$31,1,CV401),1-INDEX('Lease Cycles'!$DR$31:$DX$31,1,CV401),1))),0)</f>
        <v>0</v>
      </c>
      <c r="CW407" s="28">
        <f>IF(CW403=1,IF(INDEX('Lease Cycles'!$EF$31:$EL$31,1,CW401)=1,CW404*INDEX('Lease Cycles'!$EM$31:$ES$31,1,CW401)+CW405*IF(CW402&lt;INDEX('Lease Cycles'!$FA$31:$FG$31,1,CW401),0,1-INDEX('Lease Cycles'!$EM$31:$ES$31,1,CW401)),CW404*IF(CW402&lt;INDEX('Lease Cycles'!$DK$31:$DQ$31,1,CW401),0,IF(CW402=INDEX('Lease Cycles'!$DK$31:$DQ$31,1,CW401),1-INDEX('Lease Cycles'!$DR$31:$DX$31,1,CW401),1))),0)</f>
        <v>0</v>
      </c>
      <c r="CX407" s="28">
        <f>IF(CX403=1,IF(INDEX('Lease Cycles'!$EF$31:$EL$31,1,CX401)=1,CX404*INDEX('Lease Cycles'!$EM$31:$ES$31,1,CX401)+CX405*IF(CX402&lt;INDEX('Lease Cycles'!$FA$31:$FG$31,1,CX401),0,1-INDEX('Lease Cycles'!$EM$31:$ES$31,1,CX401)),CX404*IF(CX402&lt;INDEX('Lease Cycles'!$DK$31:$DQ$31,1,CX401),0,IF(CX402=INDEX('Lease Cycles'!$DK$31:$DQ$31,1,CX401),1-INDEX('Lease Cycles'!$DR$31:$DX$31,1,CX401),1))),0)</f>
        <v>0</v>
      </c>
      <c r="CY407" s="28">
        <f>IF(CY403=1,IF(INDEX('Lease Cycles'!$EF$31:$EL$31,1,CY401)=1,CY404*INDEX('Lease Cycles'!$EM$31:$ES$31,1,CY401)+CY405*IF(CY402&lt;INDEX('Lease Cycles'!$FA$31:$FG$31,1,CY401),0,1-INDEX('Lease Cycles'!$EM$31:$ES$31,1,CY401)),CY404*IF(CY402&lt;INDEX('Lease Cycles'!$DK$31:$DQ$31,1,CY401),0,IF(CY402=INDEX('Lease Cycles'!$DK$31:$DQ$31,1,CY401),1-INDEX('Lease Cycles'!$DR$31:$DX$31,1,CY401),1))),0)</f>
        <v>0</v>
      </c>
      <c r="CZ407" s="28">
        <f>IF(CZ403=1,IF(INDEX('Lease Cycles'!$EF$31:$EL$31,1,CZ401)=1,CZ404*INDEX('Lease Cycles'!$EM$31:$ES$31,1,CZ401)+CZ405*IF(CZ402&lt;INDEX('Lease Cycles'!$FA$31:$FG$31,1,CZ401),0,1-INDEX('Lease Cycles'!$EM$31:$ES$31,1,CZ401)),CZ404*IF(CZ402&lt;INDEX('Lease Cycles'!$DK$31:$DQ$31,1,CZ401),0,IF(CZ402=INDEX('Lease Cycles'!$DK$31:$DQ$31,1,CZ401),1-INDEX('Lease Cycles'!$DR$31:$DX$31,1,CZ401),1))),0)</f>
        <v>0</v>
      </c>
      <c r="DA407" s="28">
        <f>IF(DA403=1,IF(INDEX('Lease Cycles'!$EF$31:$EL$31,1,DA401)=1,DA404*INDEX('Lease Cycles'!$EM$31:$ES$31,1,DA401)+DA405*IF(DA402&lt;INDEX('Lease Cycles'!$FA$31:$FG$31,1,DA401),0,1-INDEX('Lease Cycles'!$EM$31:$ES$31,1,DA401)),DA404*IF(DA402&lt;INDEX('Lease Cycles'!$DK$31:$DQ$31,1,DA401),0,IF(DA402=INDEX('Lease Cycles'!$DK$31:$DQ$31,1,DA401),1-INDEX('Lease Cycles'!$DR$31:$DX$31,1,DA401),1))),0)</f>
        <v>0</v>
      </c>
      <c r="DB407" s="28">
        <f>IF(DB403=1,IF(INDEX('Lease Cycles'!$EF$31:$EL$31,1,DB401)=1,DB404*INDEX('Lease Cycles'!$EM$31:$ES$31,1,DB401)+DB405*IF(DB402&lt;INDEX('Lease Cycles'!$FA$31:$FG$31,1,DB401),0,1-INDEX('Lease Cycles'!$EM$31:$ES$31,1,DB401)),DB404*IF(DB402&lt;INDEX('Lease Cycles'!$DK$31:$DQ$31,1,DB401),0,IF(DB402=INDEX('Lease Cycles'!$DK$31:$DQ$31,1,DB401),1-INDEX('Lease Cycles'!$DR$31:$DX$31,1,DB401),1))),0)</f>
        <v>0</v>
      </c>
      <c r="DC407" s="28">
        <f>IF(DC403=1,IF(INDEX('Lease Cycles'!$EF$31:$EL$31,1,DC401)=1,DC404*INDEX('Lease Cycles'!$EM$31:$ES$31,1,DC401)+DC405*IF(DC402&lt;INDEX('Lease Cycles'!$FA$31:$FG$31,1,DC401),0,1-INDEX('Lease Cycles'!$EM$31:$ES$31,1,DC401)),DC404*IF(DC402&lt;INDEX('Lease Cycles'!$DK$31:$DQ$31,1,DC401),0,IF(DC402=INDEX('Lease Cycles'!$DK$31:$DQ$31,1,DC401),1-INDEX('Lease Cycles'!$DR$31:$DX$31,1,DC401),1))),0)</f>
        <v>0</v>
      </c>
      <c r="DD407" s="28">
        <f>IF(DD403=1,IF(INDEX('Lease Cycles'!$EF$31:$EL$31,1,DD401)=1,DD404*INDEX('Lease Cycles'!$EM$31:$ES$31,1,DD401)+DD405*IF(DD402&lt;INDEX('Lease Cycles'!$FA$31:$FG$31,1,DD401),0,1-INDEX('Lease Cycles'!$EM$31:$ES$31,1,DD401)),DD404*IF(DD402&lt;INDEX('Lease Cycles'!$DK$31:$DQ$31,1,DD401),0,IF(DD402=INDEX('Lease Cycles'!$DK$31:$DQ$31,1,DD401),1-INDEX('Lease Cycles'!$DR$31:$DX$31,1,DD401),1))),0)</f>
        <v>0</v>
      </c>
      <c r="DE407" s="28">
        <f>IF(DE403=1,IF(INDEX('Lease Cycles'!$EF$31:$EL$31,1,DE401)=1,DE404*INDEX('Lease Cycles'!$EM$31:$ES$31,1,DE401)+DE405*IF(DE402&lt;INDEX('Lease Cycles'!$FA$31:$FG$31,1,DE401),0,1-INDEX('Lease Cycles'!$EM$31:$ES$31,1,DE401)),DE404*IF(DE402&lt;INDEX('Lease Cycles'!$DK$31:$DQ$31,1,DE401),0,IF(DE402=INDEX('Lease Cycles'!$DK$31:$DQ$31,1,DE401),1-INDEX('Lease Cycles'!$DR$31:$DX$31,1,DE401),1))),0)</f>
        <v>0</v>
      </c>
      <c r="DF407" s="28">
        <f>IF(DF403=1,IF(INDEX('Lease Cycles'!$EF$31:$EL$31,1,DF401)=1,DF404*INDEX('Lease Cycles'!$EM$31:$ES$31,1,DF401)+DF405*IF(DF402&lt;INDEX('Lease Cycles'!$FA$31:$FG$31,1,DF401),0,1-INDEX('Lease Cycles'!$EM$31:$ES$31,1,DF401)),DF404*IF(DF402&lt;INDEX('Lease Cycles'!$DK$31:$DQ$31,1,DF401),0,IF(DF402=INDEX('Lease Cycles'!$DK$31:$DQ$31,1,DF401),1-INDEX('Lease Cycles'!$DR$31:$DX$31,1,DF401),1))),0)</f>
        <v>0</v>
      </c>
      <c r="DG407" s="28">
        <f>IF(DG403=1,IF(INDEX('Lease Cycles'!$EF$31:$EL$31,1,DG401)=1,DG404*INDEX('Lease Cycles'!$EM$31:$ES$31,1,DG401)+DG405*IF(DG402&lt;INDEX('Lease Cycles'!$FA$31:$FG$31,1,DG401),0,1-INDEX('Lease Cycles'!$EM$31:$ES$31,1,DG401)),DG404*IF(DG402&lt;INDEX('Lease Cycles'!$DK$31:$DQ$31,1,DG401),0,IF(DG402=INDEX('Lease Cycles'!$DK$31:$DQ$31,1,DG401),1-INDEX('Lease Cycles'!$DR$31:$DX$31,1,DG401),1))),0)</f>
        <v>0</v>
      </c>
      <c r="DH407" s="28">
        <f>IF(DH403=1,IF(INDEX('Lease Cycles'!$EF$31:$EL$31,1,DH401)=1,DH404*INDEX('Lease Cycles'!$EM$31:$ES$31,1,DH401)+DH405*IF(DH402&lt;INDEX('Lease Cycles'!$FA$31:$FG$31,1,DH401),0,1-INDEX('Lease Cycles'!$EM$31:$ES$31,1,DH401)),DH404*IF(DH402&lt;INDEX('Lease Cycles'!$DK$31:$DQ$31,1,DH401),0,IF(DH402=INDEX('Lease Cycles'!$DK$31:$DQ$31,1,DH401),1-INDEX('Lease Cycles'!$DR$31:$DX$31,1,DH401),1))),0)</f>
        <v>0</v>
      </c>
      <c r="DI407" s="28">
        <f>IF(DI403=1,IF(INDEX('Lease Cycles'!$EF$31:$EL$31,1,DI401)=1,DI404*INDEX('Lease Cycles'!$EM$31:$ES$31,1,DI401)+DI405*IF(DI402&lt;INDEX('Lease Cycles'!$FA$31:$FG$31,1,DI401),0,1-INDEX('Lease Cycles'!$EM$31:$ES$31,1,DI401)),DI404*IF(DI402&lt;INDEX('Lease Cycles'!$DK$31:$DQ$31,1,DI401),0,IF(DI402=INDEX('Lease Cycles'!$DK$31:$DQ$31,1,DI401),1-INDEX('Lease Cycles'!$DR$31:$DX$31,1,DI401),1))),0)</f>
        <v>0</v>
      </c>
      <c r="DJ407" s="28">
        <f>IF(DJ403=1,IF(INDEX('Lease Cycles'!$EF$31:$EL$31,1,DJ401)=1,DJ404*INDEX('Lease Cycles'!$EM$31:$ES$31,1,DJ401)+DJ405*IF(DJ402&lt;INDEX('Lease Cycles'!$FA$31:$FG$31,1,DJ401),0,1-INDEX('Lease Cycles'!$EM$31:$ES$31,1,DJ401)),DJ404*IF(DJ402&lt;INDEX('Lease Cycles'!$DK$31:$DQ$31,1,DJ401),0,IF(DJ402=INDEX('Lease Cycles'!$DK$31:$DQ$31,1,DJ401),1-INDEX('Lease Cycles'!$DR$31:$DX$31,1,DJ401),1))),0)</f>
        <v>0</v>
      </c>
      <c r="DK407" s="28">
        <f>IF(DK403=1,IF(INDEX('Lease Cycles'!$EF$31:$EL$31,1,DK401)=1,DK404*INDEX('Lease Cycles'!$EM$31:$ES$31,1,DK401)+DK405*IF(DK402&lt;INDEX('Lease Cycles'!$FA$31:$FG$31,1,DK401),0,1-INDEX('Lease Cycles'!$EM$31:$ES$31,1,DK401)),DK404*IF(DK402&lt;INDEX('Lease Cycles'!$DK$31:$DQ$31,1,DK401),0,IF(DK402=INDEX('Lease Cycles'!$DK$31:$DQ$31,1,DK401),1-INDEX('Lease Cycles'!$DR$31:$DX$31,1,DK401),1))),0)</f>
        <v>0</v>
      </c>
      <c r="DL407" s="28">
        <f>IF(DL403=1,IF(INDEX('Lease Cycles'!$EF$31:$EL$31,1,DL401)=1,DL404*INDEX('Lease Cycles'!$EM$31:$ES$31,1,DL401)+DL405*IF(DL402&lt;INDEX('Lease Cycles'!$FA$31:$FG$31,1,DL401),0,1-INDEX('Lease Cycles'!$EM$31:$ES$31,1,DL401)),DL404*IF(DL402&lt;INDEX('Lease Cycles'!$DK$31:$DQ$31,1,DL401),0,IF(DL402=INDEX('Lease Cycles'!$DK$31:$DQ$31,1,DL401),1-INDEX('Lease Cycles'!$DR$31:$DX$31,1,DL401),1))),0)</f>
        <v>0</v>
      </c>
      <c r="DM407" s="28">
        <f>IF(DM403=1,IF(INDEX('Lease Cycles'!$EF$31:$EL$31,1,DM401)=1,DM404*INDEX('Lease Cycles'!$EM$31:$ES$31,1,DM401)+DM405*IF(DM402&lt;INDEX('Lease Cycles'!$FA$31:$FG$31,1,DM401),0,1-INDEX('Lease Cycles'!$EM$31:$ES$31,1,DM401)),DM404*IF(DM402&lt;INDEX('Lease Cycles'!$DK$31:$DQ$31,1,DM401),0,IF(DM402=INDEX('Lease Cycles'!$DK$31:$DQ$31,1,DM401),1-INDEX('Lease Cycles'!$DR$31:$DX$31,1,DM401),1))),0)</f>
        <v>0</v>
      </c>
      <c r="DN407" s="28">
        <f>IF(DN403=1,IF(INDEX('Lease Cycles'!$EF$31:$EL$31,1,DN401)=1,DN404*INDEX('Lease Cycles'!$EM$31:$ES$31,1,DN401)+DN405*IF(DN402&lt;INDEX('Lease Cycles'!$FA$31:$FG$31,1,DN401),0,1-INDEX('Lease Cycles'!$EM$31:$ES$31,1,DN401)),DN404*IF(DN402&lt;INDEX('Lease Cycles'!$DK$31:$DQ$31,1,DN401),0,IF(DN402=INDEX('Lease Cycles'!$DK$31:$DQ$31,1,DN401),1-INDEX('Lease Cycles'!$DR$31:$DX$31,1,DN401),1))),0)</f>
        <v>0</v>
      </c>
      <c r="DO407" s="28">
        <f>IF(DO403=1,IF(INDEX('Lease Cycles'!$EF$31:$EL$31,1,DO401)=1,DO404*INDEX('Lease Cycles'!$EM$31:$ES$31,1,DO401)+DO405*IF(DO402&lt;INDEX('Lease Cycles'!$FA$31:$FG$31,1,DO401),0,1-INDEX('Lease Cycles'!$EM$31:$ES$31,1,DO401)),DO404*IF(DO402&lt;INDEX('Lease Cycles'!$DK$31:$DQ$31,1,DO401),0,IF(DO402=INDEX('Lease Cycles'!$DK$31:$DQ$31,1,DO401),1-INDEX('Lease Cycles'!$DR$31:$DX$31,1,DO401),1))),0)</f>
        <v>0</v>
      </c>
      <c r="DP407" s="28">
        <f>IF(DP403=1,IF(INDEX('Lease Cycles'!$EF$31:$EL$31,1,DP401)=1,DP404*INDEX('Lease Cycles'!$EM$31:$ES$31,1,DP401)+DP405*IF(DP402&lt;INDEX('Lease Cycles'!$FA$31:$FG$31,1,DP401),0,1-INDEX('Lease Cycles'!$EM$31:$ES$31,1,DP401)),DP404*IF(DP402&lt;INDEX('Lease Cycles'!$DK$31:$DQ$31,1,DP401),0,IF(DP402=INDEX('Lease Cycles'!$DK$31:$DQ$31,1,DP401),1-INDEX('Lease Cycles'!$DR$31:$DX$31,1,DP401),1))),0)</f>
        <v>0</v>
      </c>
      <c r="DQ407" s="28">
        <f>IF(DQ403=1,IF(INDEX('Lease Cycles'!$EF$31:$EL$31,1,DQ401)=1,DQ404*INDEX('Lease Cycles'!$EM$31:$ES$31,1,DQ401)+DQ405*IF(DQ402&lt;INDEX('Lease Cycles'!$FA$31:$FG$31,1,DQ401),0,1-INDEX('Lease Cycles'!$EM$31:$ES$31,1,DQ401)),DQ404*IF(DQ402&lt;INDEX('Lease Cycles'!$DK$31:$DQ$31,1,DQ401),0,IF(DQ402=INDEX('Lease Cycles'!$DK$31:$DQ$31,1,DQ401),1-INDEX('Lease Cycles'!$DR$31:$DX$31,1,DQ401),1))),0)</f>
        <v>0</v>
      </c>
      <c r="DR407" s="28">
        <f>IF(DR403=1,IF(INDEX('Lease Cycles'!$EF$31:$EL$31,1,DR401)=1,DR404*INDEX('Lease Cycles'!$EM$31:$ES$31,1,DR401)+DR405*IF(DR402&lt;INDEX('Lease Cycles'!$FA$31:$FG$31,1,DR401),0,1-INDEX('Lease Cycles'!$EM$31:$ES$31,1,DR401)),DR404*IF(DR402&lt;INDEX('Lease Cycles'!$DK$31:$DQ$31,1,DR401),0,IF(DR402=INDEX('Lease Cycles'!$DK$31:$DQ$31,1,DR401),1-INDEX('Lease Cycles'!$DR$31:$DX$31,1,DR401),1))),0)</f>
        <v>0</v>
      </c>
      <c r="DS407" s="28">
        <f>IF(DS403=1,IF(INDEX('Lease Cycles'!$EF$31:$EL$31,1,DS401)=1,DS404*INDEX('Lease Cycles'!$EM$31:$ES$31,1,DS401)+DS405*IF(DS402&lt;INDEX('Lease Cycles'!$FA$31:$FG$31,1,DS401),0,1-INDEX('Lease Cycles'!$EM$31:$ES$31,1,DS401)),DS404*IF(DS402&lt;INDEX('Lease Cycles'!$DK$31:$DQ$31,1,DS401),0,IF(DS402=INDEX('Lease Cycles'!$DK$31:$DQ$31,1,DS401),1-INDEX('Lease Cycles'!$DR$31:$DX$31,1,DS401),1))),0)</f>
        <v>0</v>
      </c>
      <c r="DT407" s="28">
        <f>IF(DT403=1,IF(INDEX('Lease Cycles'!$EF$31:$EL$31,1,DT401)=1,DT404*INDEX('Lease Cycles'!$EM$31:$ES$31,1,DT401)+DT405*IF(DT402&lt;INDEX('Lease Cycles'!$FA$31:$FG$31,1,DT401),0,1-INDEX('Lease Cycles'!$EM$31:$ES$31,1,DT401)),DT404*IF(DT402&lt;INDEX('Lease Cycles'!$DK$31:$DQ$31,1,DT401),0,IF(DT402=INDEX('Lease Cycles'!$DK$31:$DQ$31,1,DT401),1-INDEX('Lease Cycles'!$DR$31:$DX$31,1,DT401),1))),0)</f>
        <v>0</v>
      </c>
      <c r="DU407" s="28">
        <f>IF(DU403=1,IF(INDEX('Lease Cycles'!$EF$31:$EL$31,1,DU401)=1,DU404*INDEX('Lease Cycles'!$EM$31:$ES$31,1,DU401)+DU405*IF(DU402&lt;INDEX('Lease Cycles'!$FA$31:$FG$31,1,DU401),0,1-INDEX('Lease Cycles'!$EM$31:$ES$31,1,DU401)),DU404*IF(DU402&lt;INDEX('Lease Cycles'!$DK$31:$DQ$31,1,DU401),0,IF(DU402=INDEX('Lease Cycles'!$DK$31:$DQ$31,1,DU401),1-INDEX('Lease Cycles'!$DR$31:$DX$31,1,DU401),1))),0)</f>
        <v>0</v>
      </c>
      <c r="DV407" s="28">
        <f>IF(DV403=1,IF(INDEX('Lease Cycles'!$EF$31:$EL$31,1,DV401)=1,DV404*INDEX('Lease Cycles'!$EM$31:$ES$31,1,DV401)+DV405*IF(DV402&lt;INDEX('Lease Cycles'!$FA$31:$FG$31,1,DV401),0,1-INDEX('Lease Cycles'!$EM$31:$ES$31,1,DV401)),DV404*IF(DV402&lt;INDEX('Lease Cycles'!$DK$31:$DQ$31,1,DV401),0,IF(DV402=INDEX('Lease Cycles'!$DK$31:$DQ$31,1,DV401),1-INDEX('Lease Cycles'!$DR$31:$DX$31,1,DV401),1))),0)</f>
        <v>0</v>
      </c>
      <c r="DW407" s="28">
        <f>IF(DW403=1,IF(INDEX('Lease Cycles'!$EF$31:$EL$31,1,DW401)=1,DW404*INDEX('Lease Cycles'!$EM$31:$ES$31,1,DW401)+DW405*IF(DW402&lt;INDEX('Lease Cycles'!$FA$31:$FG$31,1,DW401),0,1-INDEX('Lease Cycles'!$EM$31:$ES$31,1,DW401)),DW404*IF(DW402&lt;INDEX('Lease Cycles'!$DK$31:$DQ$31,1,DW401),0,IF(DW402=INDEX('Lease Cycles'!$DK$31:$DQ$31,1,DW401),1-INDEX('Lease Cycles'!$DR$31:$DX$31,1,DW401),1))),0)</f>
        <v>0</v>
      </c>
      <c r="DX407" s="28">
        <f>IF(DX403=1,IF(INDEX('Lease Cycles'!$EF$31:$EL$31,1,DX401)=1,DX404*INDEX('Lease Cycles'!$EM$31:$ES$31,1,DX401)+DX405*IF(DX402&lt;INDEX('Lease Cycles'!$FA$31:$FG$31,1,DX401),0,1-INDEX('Lease Cycles'!$EM$31:$ES$31,1,DX401)),DX404*IF(DX402&lt;INDEX('Lease Cycles'!$DK$31:$DQ$31,1,DX401),0,IF(DX402=INDEX('Lease Cycles'!$DK$31:$DQ$31,1,DX401),1-INDEX('Lease Cycles'!$DR$31:$DX$31,1,DX401),1))),0)</f>
        <v>0</v>
      </c>
      <c r="DY407" s="28">
        <f>IF(DY403=1,IF(INDEX('Lease Cycles'!$EF$31:$EL$31,1,DY401)=1,DY404*INDEX('Lease Cycles'!$EM$31:$ES$31,1,DY401)+DY405*IF(DY402&lt;INDEX('Lease Cycles'!$FA$31:$FG$31,1,DY401),0,1-INDEX('Lease Cycles'!$EM$31:$ES$31,1,DY401)),DY404*IF(DY402&lt;INDEX('Lease Cycles'!$DK$31:$DQ$31,1,DY401),0,IF(DY402=INDEX('Lease Cycles'!$DK$31:$DQ$31,1,DY401),1-INDEX('Lease Cycles'!$DR$31:$DX$31,1,DY401),1))),0)</f>
        <v>0</v>
      </c>
      <c r="DZ407" s="28">
        <f>IF(DZ403=1,IF(INDEX('Lease Cycles'!$EF$31:$EL$31,1,DZ401)=1,DZ404*INDEX('Lease Cycles'!$EM$31:$ES$31,1,DZ401)+DZ405*IF(DZ402&lt;INDEX('Lease Cycles'!$FA$31:$FG$31,1,DZ401),0,1-INDEX('Lease Cycles'!$EM$31:$ES$31,1,DZ401)),DZ404*IF(DZ402&lt;INDEX('Lease Cycles'!$DK$31:$DQ$31,1,DZ401),0,IF(DZ402=INDEX('Lease Cycles'!$DK$31:$DQ$31,1,DZ401),1-INDEX('Lease Cycles'!$DR$31:$DX$31,1,DZ401),1))),0)</f>
        <v>0</v>
      </c>
      <c r="EA407" s="28">
        <f>IF(EA403=1,IF(INDEX('Lease Cycles'!$EF$31:$EL$31,1,EA401)=1,EA404*INDEX('Lease Cycles'!$EM$31:$ES$31,1,EA401)+EA405*IF(EA402&lt;INDEX('Lease Cycles'!$FA$31:$FG$31,1,EA401),0,1-INDEX('Lease Cycles'!$EM$31:$ES$31,1,EA401)),EA404*IF(EA402&lt;INDEX('Lease Cycles'!$DK$31:$DQ$31,1,EA401),0,IF(EA402=INDEX('Lease Cycles'!$DK$31:$DQ$31,1,EA401),1-INDEX('Lease Cycles'!$DR$31:$DX$31,1,EA401),1))),0)</f>
        <v>0</v>
      </c>
      <c r="EB407" s="28">
        <f>IF(EB403=1,IF(INDEX('Lease Cycles'!$EF$31:$EL$31,1,EB401)=1,EB404*INDEX('Lease Cycles'!$EM$31:$ES$31,1,EB401)+EB405*IF(EB402&lt;INDEX('Lease Cycles'!$FA$31:$FG$31,1,EB401),0,1-INDEX('Lease Cycles'!$EM$31:$ES$31,1,EB401)),EB404*IF(EB402&lt;INDEX('Lease Cycles'!$DK$31:$DQ$31,1,EB401),0,IF(EB402=INDEX('Lease Cycles'!$DK$31:$DQ$31,1,EB401),1-INDEX('Lease Cycles'!$DR$31:$DX$31,1,EB401),1))),0)</f>
        <v>0</v>
      </c>
      <c r="EC407" s="28">
        <f>IF(EC403=1,IF(INDEX('Lease Cycles'!$EF$31:$EL$31,1,EC401)=1,EC404*INDEX('Lease Cycles'!$EM$31:$ES$31,1,EC401)+EC405*IF(EC402&lt;INDEX('Lease Cycles'!$FA$31:$FG$31,1,EC401),0,1-INDEX('Lease Cycles'!$EM$31:$ES$31,1,EC401)),EC404*IF(EC402&lt;INDEX('Lease Cycles'!$DK$31:$DQ$31,1,EC401),0,IF(EC402=INDEX('Lease Cycles'!$DK$31:$DQ$31,1,EC401),1-INDEX('Lease Cycles'!$DR$31:$DX$31,1,EC401),1))),0)</f>
        <v>0</v>
      </c>
      <c r="ED407" s="28">
        <f>IF(ED403=1,IF(INDEX('Lease Cycles'!$EF$31:$EL$31,1,ED401)=1,ED404*INDEX('Lease Cycles'!$EM$31:$ES$31,1,ED401)+ED405*IF(ED402&lt;INDEX('Lease Cycles'!$FA$31:$FG$31,1,ED401),0,1-INDEX('Lease Cycles'!$EM$31:$ES$31,1,ED401)),ED404*IF(ED402&lt;INDEX('Lease Cycles'!$DK$31:$DQ$31,1,ED401),0,IF(ED402=INDEX('Lease Cycles'!$DK$31:$DQ$31,1,ED401),1-INDEX('Lease Cycles'!$DR$31:$DX$31,1,ED401),1))),0)</f>
        <v>0</v>
      </c>
      <c r="EE407" s="28">
        <f>IF(EE403=1,IF(INDEX('Lease Cycles'!$EF$31:$EL$31,1,EE401)=1,EE404*INDEX('Lease Cycles'!$EM$31:$ES$31,1,EE401)+EE405*IF(EE402&lt;INDEX('Lease Cycles'!$FA$31:$FG$31,1,EE401),0,1-INDEX('Lease Cycles'!$EM$31:$ES$31,1,EE401)),EE404*IF(EE402&lt;INDEX('Lease Cycles'!$DK$31:$DQ$31,1,EE401),0,IF(EE402=INDEX('Lease Cycles'!$DK$31:$DQ$31,1,EE401),1-INDEX('Lease Cycles'!$DR$31:$DX$31,1,EE401),1))),0)</f>
        <v>0</v>
      </c>
      <c r="EF407" s="28">
        <f>IF(EF403=1,IF(INDEX('Lease Cycles'!$EF$31:$EL$31,1,EF401)=1,EF404*INDEX('Lease Cycles'!$EM$31:$ES$31,1,EF401)+EF405*IF(EF402&lt;INDEX('Lease Cycles'!$FA$31:$FG$31,1,EF401),0,1-INDEX('Lease Cycles'!$EM$31:$ES$31,1,EF401)),EF404*IF(EF402&lt;INDEX('Lease Cycles'!$DK$31:$DQ$31,1,EF401),0,IF(EF402=INDEX('Lease Cycles'!$DK$31:$DQ$31,1,EF401),1-INDEX('Lease Cycles'!$DR$31:$DX$31,1,EF401),1))),0)</f>
        <v>0</v>
      </c>
      <c r="EG407" s="28">
        <f>IF(EG403=1,IF(INDEX('Lease Cycles'!$EF$31:$EL$31,1,EG401)=1,EG404*INDEX('Lease Cycles'!$EM$31:$ES$31,1,EG401)+EG405*IF(EG402&lt;INDEX('Lease Cycles'!$FA$31:$FG$31,1,EG401),0,1-INDEX('Lease Cycles'!$EM$31:$ES$31,1,EG401)),EG404*IF(EG402&lt;INDEX('Lease Cycles'!$DK$31:$DQ$31,1,EG401),0,IF(EG402=INDEX('Lease Cycles'!$DK$31:$DQ$31,1,EG401),1-INDEX('Lease Cycles'!$DR$31:$DX$31,1,EG401),1))),0)</f>
        <v>0</v>
      </c>
      <c r="EH407" s="28">
        <f>IF(EH403=1,IF(INDEX('Lease Cycles'!$EF$31:$EL$31,1,EH401)=1,EH404*INDEX('Lease Cycles'!$EM$31:$ES$31,1,EH401)+EH405*IF(EH402&lt;INDEX('Lease Cycles'!$FA$31:$FG$31,1,EH401),0,1-INDEX('Lease Cycles'!$EM$31:$ES$31,1,EH401)),EH404*IF(EH402&lt;INDEX('Lease Cycles'!$DK$31:$DQ$31,1,EH401),0,IF(EH402=INDEX('Lease Cycles'!$DK$31:$DQ$31,1,EH401),1-INDEX('Lease Cycles'!$DR$31:$DX$31,1,EH401),1))),0)</f>
        <v>0</v>
      </c>
      <c r="EI407" s="28">
        <f>IF(EI403=1,IF(INDEX('Lease Cycles'!$EF$31:$EL$31,1,EI401)=1,EI404*INDEX('Lease Cycles'!$EM$31:$ES$31,1,EI401)+EI405*IF(EI402&lt;INDEX('Lease Cycles'!$FA$31:$FG$31,1,EI401),0,1-INDEX('Lease Cycles'!$EM$31:$ES$31,1,EI401)),EI404*IF(EI402&lt;INDEX('Lease Cycles'!$DK$31:$DQ$31,1,EI401),0,IF(EI402=INDEX('Lease Cycles'!$DK$31:$DQ$31,1,EI401),1-INDEX('Lease Cycles'!$DR$31:$DX$31,1,EI401),1))),0)</f>
        <v>0</v>
      </c>
      <c r="EJ407" s="28">
        <f>IF(EJ403=1,IF(INDEX('Lease Cycles'!$EF$31:$EL$31,1,EJ401)=1,EJ404*INDEX('Lease Cycles'!$EM$31:$ES$31,1,EJ401)+EJ405*IF(EJ402&lt;INDEX('Lease Cycles'!$FA$31:$FG$31,1,EJ401),0,1-INDEX('Lease Cycles'!$EM$31:$ES$31,1,EJ401)),EJ404*IF(EJ402&lt;INDEX('Lease Cycles'!$DK$31:$DQ$31,1,EJ401),0,IF(EJ402=INDEX('Lease Cycles'!$DK$31:$DQ$31,1,EJ401),1-INDEX('Lease Cycles'!$DR$31:$DX$31,1,EJ401),1))),0)</f>
        <v>0</v>
      </c>
      <c r="EK407" s="28">
        <f>IF(EK403=1,IF(INDEX('Lease Cycles'!$EF$31:$EL$31,1,EK401)=1,EK404*INDEX('Lease Cycles'!$EM$31:$ES$31,1,EK401)+EK405*IF(EK402&lt;INDEX('Lease Cycles'!$FA$31:$FG$31,1,EK401),0,1-INDEX('Lease Cycles'!$EM$31:$ES$31,1,EK401)),EK404*IF(EK402&lt;INDEX('Lease Cycles'!$DK$31:$DQ$31,1,EK401),0,IF(EK402=INDEX('Lease Cycles'!$DK$31:$DQ$31,1,EK401),1-INDEX('Lease Cycles'!$DR$31:$DX$31,1,EK401),1))),0)</f>
        <v>0</v>
      </c>
      <c r="EL407" s="28">
        <f>IF(EL403=1,IF(INDEX('Lease Cycles'!$EF$31:$EL$31,1,EL401)=1,EL404*INDEX('Lease Cycles'!$EM$31:$ES$31,1,EL401)+EL405*IF(EL402&lt;INDEX('Lease Cycles'!$FA$31:$FG$31,1,EL401),0,1-INDEX('Lease Cycles'!$EM$31:$ES$31,1,EL401)),EL404*IF(EL402&lt;INDEX('Lease Cycles'!$DK$31:$DQ$31,1,EL401),0,IF(EL402=INDEX('Lease Cycles'!$DK$31:$DQ$31,1,EL401),1-INDEX('Lease Cycles'!$DR$31:$DX$31,1,EL401),1))),0)</f>
        <v>0</v>
      </c>
      <c r="EM407" s="28">
        <f>IF(EM403=1,IF(INDEX('Lease Cycles'!$EF$31:$EL$31,1,EM401)=1,EM404*INDEX('Lease Cycles'!$EM$31:$ES$31,1,EM401)+EM405*IF(EM402&lt;INDEX('Lease Cycles'!$FA$31:$FG$31,1,EM401),0,1-INDEX('Lease Cycles'!$EM$31:$ES$31,1,EM401)),EM404*IF(EM402&lt;INDEX('Lease Cycles'!$DK$31:$DQ$31,1,EM401),0,IF(EM402=INDEX('Lease Cycles'!$DK$31:$DQ$31,1,EM401),1-INDEX('Lease Cycles'!$DR$31:$DX$31,1,EM401),1))),0)</f>
        <v>0</v>
      </c>
      <c r="EN407" s="28">
        <f>IF(EN403=1,IF(INDEX('Lease Cycles'!$EF$31:$EL$31,1,EN401)=1,EN404*INDEX('Lease Cycles'!$EM$31:$ES$31,1,EN401)+EN405*IF(EN402&lt;INDEX('Lease Cycles'!$FA$31:$FG$31,1,EN401),0,1-INDEX('Lease Cycles'!$EM$31:$ES$31,1,EN401)),EN404*IF(EN402&lt;INDEX('Lease Cycles'!$DK$31:$DQ$31,1,EN401),0,IF(EN402=INDEX('Lease Cycles'!$DK$31:$DQ$31,1,EN401),1-INDEX('Lease Cycles'!$DR$31:$DX$31,1,EN401),1))),0)</f>
        <v>0</v>
      </c>
      <c r="EO407" s="28">
        <f>IF(EO403=1,IF(INDEX('Lease Cycles'!$EF$31:$EL$31,1,EO401)=1,EO404*INDEX('Lease Cycles'!$EM$31:$ES$31,1,EO401)+EO405*IF(EO402&lt;INDEX('Lease Cycles'!$FA$31:$FG$31,1,EO401),0,1-INDEX('Lease Cycles'!$EM$31:$ES$31,1,EO401)),EO404*IF(EO402&lt;INDEX('Lease Cycles'!$DK$31:$DQ$31,1,EO401),0,IF(EO402=INDEX('Lease Cycles'!$DK$31:$DQ$31,1,EO401),1-INDEX('Lease Cycles'!$DR$31:$DX$31,1,EO401),1))),0)</f>
        <v>0</v>
      </c>
      <c r="EP407" s="28">
        <f>IF(EP403=1,IF(INDEX('Lease Cycles'!$EF$31:$EL$31,1,EP401)=1,EP404*INDEX('Lease Cycles'!$EM$31:$ES$31,1,EP401)+EP405*IF(EP402&lt;INDEX('Lease Cycles'!$FA$31:$FG$31,1,EP401),0,1-INDEX('Lease Cycles'!$EM$31:$ES$31,1,EP401)),EP404*IF(EP402&lt;INDEX('Lease Cycles'!$DK$31:$DQ$31,1,EP401),0,IF(EP402=INDEX('Lease Cycles'!$DK$31:$DQ$31,1,EP401),1-INDEX('Lease Cycles'!$DR$31:$DX$31,1,EP401),1))),0)</f>
        <v>0</v>
      </c>
      <c r="EQ407" s="28">
        <f>IF(EQ403=1,IF(INDEX('Lease Cycles'!$EF$31:$EL$31,1,EQ401)=1,EQ404*INDEX('Lease Cycles'!$EM$31:$ES$31,1,EQ401)+EQ405*IF(EQ402&lt;INDEX('Lease Cycles'!$FA$31:$FG$31,1,EQ401),0,1-INDEX('Lease Cycles'!$EM$31:$ES$31,1,EQ401)),EQ404*IF(EQ402&lt;INDEX('Lease Cycles'!$DK$31:$DQ$31,1,EQ401),0,IF(EQ402=INDEX('Lease Cycles'!$DK$31:$DQ$31,1,EQ401),1-INDEX('Lease Cycles'!$DR$31:$DX$31,1,EQ401),1))),0)</f>
        <v>0</v>
      </c>
      <c r="ER407" s="28">
        <f>IF(ER403=1,IF(INDEX('Lease Cycles'!$EF$31:$EL$31,1,ER401)=1,ER404*INDEX('Lease Cycles'!$EM$31:$ES$31,1,ER401)+ER405*IF(ER402&lt;INDEX('Lease Cycles'!$FA$31:$FG$31,1,ER401),0,1-INDEX('Lease Cycles'!$EM$31:$ES$31,1,ER401)),ER404*IF(ER402&lt;INDEX('Lease Cycles'!$DK$31:$DQ$31,1,ER401),0,IF(ER402=INDEX('Lease Cycles'!$DK$31:$DQ$31,1,ER401),1-INDEX('Lease Cycles'!$DR$31:$DX$31,1,ER401),1))),0)</f>
        <v>0</v>
      </c>
      <c r="ES407" s="28">
        <f>IF(ES403=1,IF(INDEX('Lease Cycles'!$EF$31:$EL$31,1,ES401)=1,ES404*INDEX('Lease Cycles'!$EM$31:$ES$31,1,ES401)+ES405*IF(ES402&lt;INDEX('Lease Cycles'!$FA$31:$FG$31,1,ES401),0,1-INDEX('Lease Cycles'!$EM$31:$ES$31,1,ES401)),ES404*IF(ES402&lt;INDEX('Lease Cycles'!$DK$31:$DQ$31,1,ES401),0,IF(ES402=INDEX('Lease Cycles'!$DK$31:$DQ$31,1,ES401),1-INDEX('Lease Cycles'!$DR$31:$DX$31,1,ES401),1))),0)</f>
        <v>0</v>
      </c>
      <c r="ET407" s="28">
        <f>IF(ET403=1,IF(INDEX('Lease Cycles'!$EF$31:$EL$31,1,ET401)=1,ET404*INDEX('Lease Cycles'!$EM$31:$ES$31,1,ET401)+ET405*IF(ET402&lt;INDEX('Lease Cycles'!$FA$31:$FG$31,1,ET401),0,1-INDEX('Lease Cycles'!$EM$31:$ES$31,1,ET401)),ET404*IF(ET402&lt;INDEX('Lease Cycles'!$DK$31:$DQ$31,1,ET401),0,IF(ET402=INDEX('Lease Cycles'!$DK$31:$DQ$31,1,ET401),1-INDEX('Lease Cycles'!$DR$31:$DX$31,1,ET401),1))),0)</f>
        <v>0</v>
      </c>
    </row>
    <row r="408">
      <c r="A408" s="103">
        <v>24</v>
      </c>
      <c r="B408" s="23" t="str">
        <f>IF('Lease Cycles'!$B$31="","(empty slot)",'Lease Cycles'!$B$31)</f>
        <v>(empty slot)</v>
      </c>
      <c r="C408" s="23" t="s">
        <v>493</v>
      </c>
      <c r="D408" s="104" t="s">
        <v>494</v>
      </c>
      <c r="E408" s="25">
        <f>'Lease Cycles'!$AL$31</f>
        <v>0</v>
      </c>
      <c r="G408" s="28">
        <f>SUM(S408:AD408)</f>
        <v>0</v>
      </c>
      <c r="H408" s="28">
        <f>SUM(AE408:AP408)</f>
        <v>0</v>
      </c>
      <c r="I408" s="28">
        <f>SUM(AQ408:BB408)</f>
        <v>0</v>
      </c>
      <c r="J408" s="28">
        <f>SUM(BC408:BN408)</f>
        <v>0</v>
      </c>
      <c r="K408" s="28">
        <f>SUM(BO408:BZ408)</f>
        <v>0</v>
      </c>
      <c r="L408" s="28">
        <f>SUM(CA408:CL408)</f>
        <v>0</v>
      </c>
      <c r="M408" s="28">
        <f>SUM(CM408:CX408)</f>
        <v>0</v>
      </c>
      <c r="N408" s="28">
        <f>SUM(CY408:DJ408)</f>
        <v>0</v>
      </c>
      <c r="O408" s="28">
        <f>SUM(DK408:DV408)</f>
        <v>0</v>
      </c>
      <c r="P408" s="28">
        <f>SUM(DW408:EH408)</f>
        <v>0</v>
      </c>
      <c r="Q408" s="28">
        <f>SUM(EI408:ET408)</f>
        <v>0</v>
      </c>
      <c r="S408" s="28">
        <f>IF(S403=1,IF(INDEX('Lease Cycles'!$EF$31:$EL$31,1,S401)=1,0,S404*(1-IF(S402&lt;INDEX('Lease Cycles'!$DK$31:$DQ$31,1,S401),0,IF(S402=INDEX('Lease Cycles'!$DK$31:$DQ$31,1,S401),1-INDEX('Lease Cycles'!$DR$31:$DX$31,1,S401),1))-IF(S402=0,INDEX('Lease Cycles'!$DD$31:$DJ$31,1,S401),0))),0)</f>
        <v>0</v>
      </c>
      <c r="T408" s="28">
        <f>IF(T403=1,IF(INDEX('Lease Cycles'!$EF$31:$EL$31,1,T401)=1,0,T404*(1-IF(T402&lt;INDEX('Lease Cycles'!$DK$31:$DQ$31,1,T401),0,IF(T402=INDEX('Lease Cycles'!$DK$31:$DQ$31,1,T401),1-INDEX('Lease Cycles'!$DR$31:$DX$31,1,T401),1))-IF(T402=0,INDEX('Lease Cycles'!$DD$31:$DJ$31,1,T401),0))),0)</f>
        <v>0</v>
      </c>
      <c r="U408" s="28">
        <f>IF(U403=1,IF(INDEX('Lease Cycles'!$EF$31:$EL$31,1,U401)=1,0,U404*(1-IF(U402&lt;INDEX('Lease Cycles'!$DK$31:$DQ$31,1,U401),0,IF(U402=INDEX('Lease Cycles'!$DK$31:$DQ$31,1,U401),1-INDEX('Lease Cycles'!$DR$31:$DX$31,1,U401),1))-IF(U402=0,INDEX('Lease Cycles'!$DD$31:$DJ$31,1,U401),0))),0)</f>
        <v>0</v>
      </c>
      <c r="V408" s="28">
        <f>IF(V403=1,IF(INDEX('Lease Cycles'!$EF$31:$EL$31,1,V401)=1,0,V404*(1-IF(V402&lt;INDEX('Lease Cycles'!$DK$31:$DQ$31,1,V401),0,IF(V402=INDEX('Lease Cycles'!$DK$31:$DQ$31,1,V401),1-INDEX('Lease Cycles'!$DR$31:$DX$31,1,V401),1))-IF(V402=0,INDEX('Lease Cycles'!$DD$31:$DJ$31,1,V401),0))),0)</f>
        <v>0</v>
      </c>
      <c r="W408" s="28">
        <f>IF(W403=1,IF(INDEX('Lease Cycles'!$EF$31:$EL$31,1,W401)=1,0,W404*(1-IF(W402&lt;INDEX('Lease Cycles'!$DK$31:$DQ$31,1,W401),0,IF(W402=INDEX('Lease Cycles'!$DK$31:$DQ$31,1,W401),1-INDEX('Lease Cycles'!$DR$31:$DX$31,1,W401),1))-IF(W402=0,INDEX('Lease Cycles'!$DD$31:$DJ$31,1,W401),0))),0)</f>
        <v>0</v>
      </c>
      <c r="X408" s="28">
        <f>IF(X403=1,IF(INDEX('Lease Cycles'!$EF$31:$EL$31,1,X401)=1,0,X404*(1-IF(X402&lt;INDEX('Lease Cycles'!$DK$31:$DQ$31,1,X401),0,IF(X402=INDEX('Lease Cycles'!$DK$31:$DQ$31,1,X401),1-INDEX('Lease Cycles'!$DR$31:$DX$31,1,X401),1))-IF(X402=0,INDEX('Lease Cycles'!$DD$31:$DJ$31,1,X401),0))),0)</f>
        <v>0</v>
      </c>
      <c r="Y408" s="28">
        <f>IF(Y403=1,IF(INDEX('Lease Cycles'!$EF$31:$EL$31,1,Y401)=1,0,Y404*(1-IF(Y402&lt;INDEX('Lease Cycles'!$DK$31:$DQ$31,1,Y401),0,IF(Y402=INDEX('Lease Cycles'!$DK$31:$DQ$31,1,Y401),1-INDEX('Lease Cycles'!$DR$31:$DX$31,1,Y401),1))-IF(Y402=0,INDEX('Lease Cycles'!$DD$31:$DJ$31,1,Y401),0))),0)</f>
        <v>0</v>
      </c>
      <c r="Z408" s="28">
        <f>IF(Z403=1,IF(INDEX('Lease Cycles'!$EF$31:$EL$31,1,Z401)=1,0,Z404*(1-IF(Z402&lt;INDEX('Lease Cycles'!$DK$31:$DQ$31,1,Z401),0,IF(Z402=INDEX('Lease Cycles'!$DK$31:$DQ$31,1,Z401),1-INDEX('Lease Cycles'!$DR$31:$DX$31,1,Z401),1))-IF(Z402=0,INDEX('Lease Cycles'!$DD$31:$DJ$31,1,Z401),0))),0)</f>
        <v>0</v>
      </c>
      <c r="AA408" s="28">
        <f>IF(AA403=1,IF(INDEX('Lease Cycles'!$EF$31:$EL$31,1,AA401)=1,0,AA404*(1-IF(AA402&lt;INDEX('Lease Cycles'!$DK$31:$DQ$31,1,AA401),0,IF(AA402=INDEX('Lease Cycles'!$DK$31:$DQ$31,1,AA401),1-INDEX('Lease Cycles'!$DR$31:$DX$31,1,AA401),1))-IF(AA402=0,INDEX('Lease Cycles'!$DD$31:$DJ$31,1,AA401),0))),0)</f>
        <v>0</v>
      </c>
      <c r="AB408" s="28">
        <f>IF(AB403=1,IF(INDEX('Lease Cycles'!$EF$31:$EL$31,1,AB401)=1,0,AB404*(1-IF(AB402&lt;INDEX('Lease Cycles'!$DK$31:$DQ$31,1,AB401),0,IF(AB402=INDEX('Lease Cycles'!$DK$31:$DQ$31,1,AB401),1-INDEX('Lease Cycles'!$DR$31:$DX$31,1,AB401),1))-IF(AB402=0,INDEX('Lease Cycles'!$DD$31:$DJ$31,1,AB401),0))),0)</f>
        <v>0</v>
      </c>
      <c r="AC408" s="28">
        <f>IF(AC403=1,IF(INDEX('Lease Cycles'!$EF$31:$EL$31,1,AC401)=1,0,AC404*(1-IF(AC402&lt;INDEX('Lease Cycles'!$DK$31:$DQ$31,1,AC401),0,IF(AC402=INDEX('Lease Cycles'!$DK$31:$DQ$31,1,AC401),1-INDEX('Lease Cycles'!$DR$31:$DX$31,1,AC401),1))-IF(AC402=0,INDEX('Lease Cycles'!$DD$31:$DJ$31,1,AC401),0))),0)</f>
        <v>0</v>
      </c>
      <c r="AD408" s="28">
        <f>IF(AD403=1,IF(INDEX('Lease Cycles'!$EF$31:$EL$31,1,AD401)=1,0,AD404*(1-IF(AD402&lt;INDEX('Lease Cycles'!$DK$31:$DQ$31,1,AD401),0,IF(AD402=INDEX('Lease Cycles'!$DK$31:$DQ$31,1,AD401),1-INDEX('Lease Cycles'!$DR$31:$DX$31,1,AD401),1))-IF(AD402=0,INDEX('Lease Cycles'!$DD$31:$DJ$31,1,AD401),0))),0)</f>
        <v>0</v>
      </c>
      <c r="AE408" s="28">
        <f>IF(AE403=1,IF(INDEX('Lease Cycles'!$EF$31:$EL$31,1,AE401)=1,0,AE404*(1-IF(AE402&lt;INDEX('Lease Cycles'!$DK$31:$DQ$31,1,AE401),0,IF(AE402=INDEX('Lease Cycles'!$DK$31:$DQ$31,1,AE401),1-INDEX('Lease Cycles'!$DR$31:$DX$31,1,AE401),1))-IF(AE402=0,INDEX('Lease Cycles'!$DD$31:$DJ$31,1,AE401),0))),0)</f>
        <v>0</v>
      </c>
      <c r="AF408" s="28">
        <f>IF(AF403=1,IF(INDEX('Lease Cycles'!$EF$31:$EL$31,1,AF401)=1,0,AF404*(1-IF(AF402&lt;INDEX('Lease Cycles'!$DK$31:$DQ$31,1,AF401),0,IF(AF402=INDEX('Lease Cycles'!$DK$31:$DQ$31,1,AF401),1-INDEX('Lease Cycles'!$DR$31:$DX$31,1,AF401),1))-IF(AF402=0,INDEX('Lease Cycles'!$DD$31:$DJ$31,1,AF401),0))),0)</f>
        <v>0</v>
      </c>
      <c r="AG408" s="28">
        <f>IF(AG403=1,IF(INDEX('Lease Cycles'!$EF$31:$EL$31,1,AG401)=1,0,AG404*(1-IF(AG402&lt;INDEX('Lease Cycles'!$DK$31:$DQ$31,1,AG401),0,IF(AG402=INDEX('Lease Cycles'!$DK$31:$DQ$31,1,AG401),1-INDEX('Lease Cycles'!$DR$31:$DX$31,1,AG401),1))-IF(AG402=0,INDEX('Lease Cycles'!$DD$31:$DJ$31,1,AG401),0))),0)</f>
        <v>0</v>
      </c>
      <c r="AH408" s="28">
        <f>IF(AH403=1,IF(INDEX('Lease Cycles'!$EF$31:$EL$31,1,AH401)=1,0,AH404*(1-IF(AH402&lt;INDEX('Lease Cycles'!$DK$31:$DQ$31,1,AH401),0,IF(AH402=INDEX('Lease Cycles'!$DK$31:$DQ$31,1,AH401),1-INDEX('Lease Cycles'!$DR$31:$DX$31,1,AH401),1))-IF(AH402=0,INDEX('Lease Cycles'!$DD$31:$DJ$31,1,AH401),0))),0)</f>
        <v>0</v>
      </c>
      <c r="AI408" s="28">
        <f>IF(AI403=1,IF(INDEX('Lease Cycles'!$EF$31:$EL$31,1,AI401)=1,0,AI404*(1-IF(AI402&lt;INDEX('Lease Cycles'!$DK$31:$DQ$31,1,AI401),0,IF(AI402=INDEX('Lease Cycles'!$DK$31:$DQ$31,1,AI401),1-INDEX('Lease Cycles'!$DR$31:$DX$31,1,AI401),1))-IF(AI402=0,INDEX('Lease Cycles'!$DD$31:$DJ$31,1,AI401),0))),0)</f>
        <v>0</v>
      </c>
      <c r="AJ408" s="28">
        <f>IF(AJ403=1,IF(INDEX('Lease Cycles'!$EF$31:$EL$31,1,AJ401)=1,0,AJ404*(1-IF(AJ402&lt;INDEX('Lease Cycles'!$DK$31:$DQ$31,1,AJ401),0,IF(AJ402=INDEX('Lease Cycles'!$DK$31:$DQ$31,1,AJ401),1-INDEX('Lease Cycles'!$DR$31:$DX$31,1,AJ401),1))-IF(AJ402=0,INDEX('Lease Cycles'!$DD$31:$DJ$31,1,AJ401),0))),0)</f>
        <v>0</v>
      </c>
      <c r="AK408" s="28">
        <f>IF(AK403=1,IF(INDEX('Lease Cycles'!$EF$31:$EL$31,1,AK401)=1,0,AK404*(1-IF(AK402&lt;INDEX('Lease Cycles'!$DK$31:$DQ$31,1,AK401),0,IF(AK402=INDEX('Lease Cycles'!$DK$31:$DQ$31,1,AK401),1-INDEX('Lease Cycles'!$DR$31:$DX$31,1,AK401),1))-IF(AK402=0,INDEX('Lease Cycles'!$DD$31:$DJ$31,1,AK401),0))),0)</f>
        <v>0</v>
      </c>
      <c r="AL408" s="28">
        <f>IF(AL403=1,IF(INDEX('Lease Cycles'!$EF$31:$EL$31,1,AL401)=1,0,AL404*(1-IF(AL402&lt;INDEX('Lease Cycles'!$DK$31:$DQ$31,1,AL401),0,IF(AL402=INDEX('Lease Cycles'!$DK$31:$DQ$31,1,AL401),1-INDEX('Lease Cycles'!$DR$31:$DX$31,1,AL401),1))-IF(AL402=0,INDEX('Lease Cycles'!$DD$31:$DJ$31,1,AL401),0))),0)</f>
        <v>0</v>
      </c>
      <c r="AM408" s="28">
        <f>IF(AM403=1,IF(INDEX('Lease Cycles'!$EF$31:$EL$31,1,AM401)=1,0,AM404*(1-IF(AM402&lt;INDEX('Lease Cycles'!$DK$31:$DQ$31,1,AM401),0,IF(AM402=INDEX('Lease Cycles'!$DK$31:$DQ$31,1,AM401),1-INDEX('Lease Cycles'!$DR$31:$DX$31,1,AM401),1))-IF(AM402=0,INDEX('Lease Cycles'!$DD$31:$DJ$31,1,AM401),0))),0)</f>
        <v>0</v>
      </c>
      <c r="AN408" s="28">
        <f>IF(AN403=1,IF(INDEX('Lease Cycles'!$EF$31:$EL$31,1,AN401)=1,0,AN404*(1-IF(AN402&lt;INDEX('Lease Cycles'!$DK$31:$DQ$31,1,AN401),0,IF(AN402=INDEX('Lease Cycles'!$DK$31:$DQ$31,1,AN401),1-INDEX('Lease Cycles'!$DR$31:$DX$31,1,AN401),1))-IF(AN402=0,INDEX('Lease Cycles'!$DD$31:$DJ$31,1,AN401),0))),0)</f>
        <v>0</v>
      </c>
      <c r="AO408" s="28">
        <f>IF(AO403=1,IF(INDEX('Lease Cycles'!$EF$31:$EL$31,1,AO401)=1,0,AO404*(1-IF(AO402&lt;INDEX('Lease Cycles'!$DK$31:$DQ$31,1,AO401),0,IF(AO402=INDEX('Lease Cycles'!$DK$31:$DQ$31,1,AO401),1-INDEX('Lease Cycles'!$DR$31:$DX$31,1,AO401),1))-IF(AO402=0,INDEX('Lease Cycles'!$DD$31:$DJ$31,1,AO401),0))),0)</f>
        <v>0</v>
      </c>
      <c r="AP408" s="28">
        <f>IF(AP403=1,IF(INDEX('Lease Cycles'!$EF$31:$EL$31,1,AP401)=1,0,AP404*(1-IF(AP402&lt;INDEX('Lease Cycles'!$DK$31:$DQ$31,1,AP401),0,IF(AP402=INDEX('Lease Cycles'!$DK$31:$DQ$31,1,AP401),1-INDEX('Lease Cycles'!$DR$31:$DX$31,1,AP401),1))-IF(AP402=0,INDEX('Lease Cycles'!$DD$31:$DJ$31,1,AP401),0))),0)</f>
        <v>0</v>
      </c>
      <c r="AQ408" s="28">
        <f>IF(AQ403=1,IF(INDEX('Lease Cycles'!$EF$31:$EL$31,1,AQ401)=1,0,AQ404*(1-IF(AQ402&lt;INDEX('Lease Cycles'!$DK$31:$DQ$31,1,AQ401),0,IF(AQ402=INDEX('Lease Cycles'!$DK$31:$DQ$31,1,AQ401),1-INDEX('Lease Cycles'!$DR$31:$DX$31,1,AQ401),1))-IF(AQ402=0,INDEX('Lease Cycles'!$DD$31:$DJ$31,1,AQ401),0))),0)</f>
        <v>0</v>
      </c>
      <c r="AR408" s="28">
        <f>IF(AR403=1,IF(INDEX('Lease Cycles'!$EF$31:$EL$31,1,AR401)=1,0,AR404*(1-IF(AR402&lt;INDEX('Lease Cycles'!$DK$31:$DQ$31,1,AR401),0,IF(AR402=INDEX('Lease Cycles'!$DK$31:$DQ$31,1,AR401),1-INDEX('Lease Cycles'!$DR$31:$DX$31,1,AR401),1))-IF(AR402=0,INDEX('Lease Cycles'!$DD$31:$DJ$31,1,AR401),0))),0)</f>
        <v>0</v>
      </c>
      <c r="AS408" s="28">
        <f>IF(AS403=1,IF(INDEX('Lease Cycles'!$EF$31:$EL$31,1,AS401)=1,0,AS404*(1-IF(AS402&lt;INDEX('Lease Cycles'!$DK$31:$DQ$31,1,AS401),0,IF(AS402=INDEX('Lease Cycles'!$DK$31:$DQ$31,1,AS401),1-INDEX('Lease Cycles'!$DR$31:$DX$31,1,AS401),1))-IF(AS402=0,INDEX('Lease Cycles'!$DD$31:$DJ$31,1,AS401),0))),0)</f>
        <v>0</v>
      </c>
      <c r="AT408" s="28">
        <f>IF(AT403=1,IF(INDEX('Lease Cycles'!$EF$31:$EL$31,1,AT401)=1,0,AT404*(1-IF(AT402&lt;INDEX('Lease Cycles'!$DK$31:$DQ$31,1,AT401),0,IF(AT402=INDEX('Lease Cycles'!$DK$31:$DQ$31,1,AT401),1-INDEX('Lease Cycles'!$DR$31:$DX$31,1,AT401),1))-IF(AT402=0,INDEX('Lease Cycles'!$DD$31:$DJ$31,1,AT401),0))),0)</f>
        <v>0</v>
      </c>
      <c r="AU408" s="28">
        <f>IF(AU403=1,IF(INDEX('Lease Cycles'!$EF$31:$EL$31,1,AU401)=1,0,AU404*(1-IF(AU402&lt;INDEX('Lease Cycles'!$DK$31:$DQ$31,1,AU401),0,IF(AU402=INDEX('Lease Cycles'!$DK$31:$DQ$31,1,AU401),1-INDEX('Lease Cycles'!$DR$31:$DX$31,1,AU401),1))-IF(AU402=0,INDEX('Lease Cycles'!$DD$31:$DJ$31,1,AU401),0))),0)</f>
        <v>0</v>
      </c>
      <c r="AV408" s="28">
        <f>IF(AV403=1,IF(INDEX('Lease Cycles'!$EF$31:$EL$31,1,AV401)=1,0,AV404*(1-IF(AV402&lt;INDEX('Lease Cycles'!$DK$31:$DQ$31,1,AV401),0,IF(AV402=INDEX('Lease Cycles'!$DK$31:$DQ$31,1,AV401),1-INDEX('Lease Cycles'!$DR$31:$DX$31,1,AV401),1))-IF(AV402=0,INDEX('Lease Cycles'!$DD$31:$DJ$31,1,AV401),0))),0)</f>
        <v>0</v>
      </c>
      <c r="AW408" s="28">
        <f>IF(AW403=1,IF(INDEX('Lease Cycles'!$EF$31:$EL$31,1,AW401)=1,0,AW404*(1-IF(AW402&lt;INDEX('Lease Cycles'!$DK$31:$DQ$31,1,AW401),0,IF(AW402=INDEX('Lease Cycles'!$DK$31:$DQ$31,1,AW401),1-INDEX('Lease Cycles'!$DR$31:$DX$31,1,AW401),1))-IF(AW402=0,INDEX('Lease Cycles'!$DD$31:$DJ$31,1,AW401),0))),0)</f>
        <v>0</v>
      </c>
      <c r="AX408" s="28">
        <f>IF(AX403=1,IF(INDEX('Lease Cycles'!$EF$31:$EL$31,1,AX401)=1,0,AX404*(1-IF(AX402&lt;INDEX('Lease Cycles'!$DK$31:$DQ$31,1,AX401),0,IF(AX402=INDEX('Lease Cycles'!$DK$31:$DQ$31,1,AX401),1-INDEX('Lease Cycles'!$DR$31:$DX$31,1,AX401),1))-IF(AX402=0,INDEX('Lease Cycles'!$DD$31:$DJ$31,1,AX401),0))),0)</f>
        <v>0</v>
      </c>
      <c r="AY408" s="28">
        <f>IF(AY403=1,IF(INDEX('Lease Cycles'!$EF$31:$EL$31,1,AY401)=1,0,AY404*(1-IF(AY402&lt;INDEX('Lease Cycles'!$DK$31:$DQ$31,1,AY401),0,IF(AY402=INDEX('Lease Cycles'!$DK$31:$DQ$31,1,AY401),1-INDEX('Lease Cycles'!$DR$31:$DX$31,1,AY401),1))-IF(AY402=0,INDEX('Lease Cycles'!$DD$31:$DJ$31,1,AY401),0))),0)</f>
        <v>0</v>
      </c>
      <c r="AZ408" s="28">
        <f>IF(AZ403=1,IF(INDEX('Lease Cycles'!$EF$31:$EL$31,1,AZ401)=1,0,AZ404*(1-IF(AZ402&lt;INDEX('Lease Cycles'!$DK$31:$DQ$31,1,AZ401),0,IF(AZ402=INDEX('Lease Cycles'!$DK$31:$DQ$31,1,AZ401),1-INDEX('Lease Cycles'!$DR$31:$DX$31,1,AZ401),1))-IF(AZ402=0,INDEX('Lease Cycles'!$DD$31:$DJ$31,1,AZ401),0))),0)</f>
        <v>0</v>
      </c>
      <c r="BA408" s="28">
        <f>IF(BA403=1,IF(INDEX('Lease Cycles'!$EF$31:$EL$31,1,BA401)=1,0,BA404*(1-IF(BA402&lt;INDEX('Lease Cycles'!$DK$31:$DQ$31,1,BA401),0,IF(BA402=INDEX('Lease Cycles'!$DK$31:$DQ$31,1,BA401),1-INDEX('Lease Cycles'!$DR$31:$DX$31,1,BA401),1))-IF(BA402=0,INDEX('Lease Cycles'!$DD$31:$DJ$31,1,BA401),0))),0)</f>
        <v>0</v>
      </c>
      <c r="BB408" s="28">
        <f>IF(BB403=1,IF(INDEX('Lease Cycles'!$EF$31:$EL$31,1,BB401)=1,0,BB404*(1-IF(BB402&lt;INDEX('Lease Cycles'!$DK$31:$DQ$31,1,BB401),0,IF(BB402=INDEX('Lease Cycles'!$DK$31:$DQ$31,1,BB401),1-INDEX('Lease Cycles'!$DR$31:$DX$31,1,BB401),1))-IF(BB402=0,INDEX('Lease Cycles'!$DD$31:$DJ$31,1,BB401),0))),0)</f>
        <v>0</v>
      </c>
      <c r="BC408" s="28">
        <f>IF(BC403=1,IF(INDEX('Lease Cycles'!$EF$31:$EL$31,1,BC401)=1,0,BC404*(1-IF(BC402&lt;INDEX('Lease Cycles'!$DK$31:$DQ$31,1,BC401),0,IF(BC402=INDEX('Lease Cycles'!$DK$31:$DQ$31,1,BC401),1-INDEX('Lease Cycles'!$DR$31:$DX$31,1,BC401),1))-IF(BC402=0,INDEX('Lease Cycles'!$DD$31:$DJ$31,1,BC401),0))),0)</f>
        <v>0</v>
      </c>
      <c r="BD408" s="28">
        <f>IF(BD403=1,IF(INDEX('Lease Cycles'!$EF$31:$EL$31,1,BD401)=1,0,BD404*(1-IF(BD402&lt;INDEX('Lease Cycles'!$DK$31:$DQ$31,1,BD401),0,IF(BD402=INDEX('Lease Cycles'!$DK$31:$DQ$31,1,BD401),1-INDEX('Lease Cycles'!$DR$31:$DX$31,1,BD401),1))-IF(BD402=0,INDEX('Lease Cycles'!$DD$31:$DJ$31,1,BD401),0))),0)</f>
        <v>0</v>
      </c>
      <c r="BE408" s="28">
        <f>IF(BE403=1,IF(INDEX('Lease Cycles'!$EF$31:$EL$31,1,BE401)=1,0,BE404*(1-IF(BE402&lt;INDEX('Lease Cycles'!$DK$31:$DQ$31,1,BE401),0,IF(BE402=INDEX('Lease Cycles'!$DK$31:$DQ$31,1,BE401),1-INDEX('Lease Cycles'!$DR$31:$DX$31,1,BE401),1))-IF(BE402=0,INDEX('Lease Cycles'!$DD$31:$DJ$31,1,BE401),0))),0)</f>
        <v>0</v>
      </c>
      <c r="BF408" s="28">
        <f>IF(BF403=1,IF(INDEX('Lease Cycles'!$EF$31:$EL$31,1,BF401)=1,0,BF404*(1-IF(BF402&lt;INDEX('Lease Cycles'!$DK$31:$DQ$31,1,BF401),0,IF(BF402=INDEX('Lease Cycles'!$DK$31:$DQ$31,1,BF401),1-INDEX('Lease Cycles'!$DR$31:$DX$31,1,BF401),1))-IF(BF402=0,INDEX('Lease Cycles'!$DD$31:$DJ$31,1,BF401),0))),0)</f>
        <v>0</v>
      </c>
      <c r="BG408" s="28">
        <f>IF(BG403=1,IF(INDEX('Lease Cycles'!$EF$31:$EL$31,1,BG401)=1,0,BG404*(1-IF(BG402&lt;INDEX('Lease Cycles'!$DK$31:$DQ$31,1,BG401),0,IF(BG402=INDEX('Lease Cycles'!$DK$31:$DQ$31,1,BG401),1-INDEX('Lease Cycles'!$DR$31:$DX$31,1,BG401),1))-IF(BG402=0,INDEX('Lease Cycles'!$DD$31:$DJ$31,1,BG401),0))),0)</f>
        <v>0</v>
      </c>
      <c r="BH408" s="28">
        <f>IF(BH403=1,IF(INDEX('Lease Cycles'!$EF$31:$EL$31,1,BH401)=1,0,BH404*(1-IF(BH402&lt;INDEX('Lease Cycles'!$DK$31:$DQ$31,1,BH401),0,IF(BH402=INDEX('Lease Cycles'!$DK$31:$DQ$31,1,BH401),1-INDEX('Lease Cycles'!$DR$31:$DX$31,1,BH401),1))-IF(BH402=0,INDEX('Lease Cycles'!$DD$31:$DJ$31,1,BH401),0))),0)</f>
        <v>0</v>
      </c>
      <c r="BI408" s="28">
        <f>IF(BI403=1,IF(INDEX('Lease Cycles'!$EF$31:$EL$31,1,BI401)=1,0,BI404*(1-IF(BI402&lt;INDEX('Lease Cycles'!$DK$31:$DQ$31,1,BI401),0,IF(BI402=INDEX('Lease Cycles'!$DK$31:$DQ$31,1,BI401),1-INDEX('Lease Cycles'!$DR$31:$DX$31,1,BI401),1))-IF(BI402=0,INDEX('Lease Cycles'!$DD$31:$DJ$31,1,BI401),0))),0)</f>
        <v>0</v>
      </c>
      <c r="BJ408" s="28">
        <f>IF(BJ403=1,IF(INDEX('Lease Cycles'!$EF$31:$EL$31,1,BJ401)=1,0,BJ404*(1-IF(BJ402&lt;INDEX('Lease Cycles'!$DK$31:$DQ$31,1,BJ401),0,IF(BJ402=INDEX('Lease Cycles'!$DK$31:$DQ$31,1,BJ401),1-INDEX('Lease Cycles'!$DR$31:$DX$31,1,BJ401),1))-IF(BJ402=0,INDEX('Lease Cycles'!$DD$31:$DJ$31,1,BJ401),0))),0)</f>
        <v>0</v>
      </c>
      <c r="BK408" s="28">
        <f>IF(BK403=1,IF(INDEX('Lease Cycles'!$EF$31:$EL$31,1,BK401)=1,0,BK404*(1-IF(BK402&lt;INDEX('Lease Cycles'!$DK$31:$DQ$31,1,BK401),0,IF(BK402=INDEX('Lease Cycles'!$DK$31:$DQ$31,1,BK401),1-INDEX('Lease Cycles'!$DR$31:$DX$31,1,BK401),1))-IF(BK402=0,INDEX('Lease Cycles'!$DD$31:$DJ$31,1,BK401),0))),0)</f>
        <v>0</v>
      </c>
      <c r="BL408" s="28">
        <f>IF(BL403=1,IF(INDEX('Lease Cycles'!$EF$31:$EL$31,1,BL401)=1,0,BL404*(1-IF(BL402&lt;INDEX('Lease Cycles'!$DK$31:$DQ$31,1,BL401),0,IF(BL402=INDEX('Lease Cycles'!$DK$31:$DQ$31,1,BL401),1-INDEX('Lease Cycles'!$DR$31:$DX$31,1,BL401),1))-IF(BL402=0,INDEX('Lease Cycles'!$DD$31:$DJ$31,1,BL401),0))),0)</f>
        <v>0</v>
      </c>
      <c r="BM408" s="28">
        <f>IF(BM403=1,IF(INDEX('Lease Cycles'!$EF$31:$EL$31,1,BM401)=1,0,BM404*(1-IF(BM402&lt;INDEX('Lease Cycles'!$DK$31:$DQ$31,1,BM401),0,IF(BM402=INDEX('Lease Cycles'!$DK$31:$DQ$31,1,BM401),1-INDEX('Lease Cycles'!$DR$31:$DX$31,1,BM401),1))-IF(BM402=0,INDEX('Lease Cycles'!$DD$31:$DJ$31,1,BM401),0))),0)</f>
        <v>0</v>
      </c>
      <c r="BN408" s="28">
        <f>IF(BN403=1,IF(INDEX('Lease Cycles'!$EF$31:$EL$31,1,BN401)=1,0,BN404*(1-IF(BN402&lt;INDEX('Lease Cycles'!$DK$31:$DQ$31,1,BN401),0,IF(BN402=INDEX('Lease Cycles'!$DK$31:$DQ$31,1,BN401),1-INDEX('Lease Cycles'!$DR$31:$DX$31,1,BN401),1))-IF(BN402=0,INDEX('Lease Cycles'!$DD$31:$DJ$31,1,BN401),0))),0)</f>
        <v>0</v>
      </c>
      <c r="BO408" s="28">
        <f>IF(BO403=1,IF(INDEX('Lease Cycles'!$EF$31:$EL$31,1,BO401)=1,0,BO404*(1-IF(BO402&lt;INDEX('Lease Cycles'!$DK$31:$DQ$31,1,BO401),0,IF(BO402=INDEX('Lease Cycles'!$DK$31:$DQ$31,1,BO401),1-INDEX('Lease Cycles'!$DR$31:$DX$31,1,BO401),1))-IF(BO402=0,INDEX('Lease Cycles'!$DD$31:$DJ$31,1,BO401),0))),0)</f>
        <v>0</v>
      </c>
      <c r="BP408" s="28">
        <f>IF(BP403=1,IF(INDEX('Lease Cycles'!$EF$31:$EL$31,1,BP401)=1,0,BP404*(1-IF(BP402&lt;INDEX('Lease Cycles'!$DK$31:$DQ$31,1,BP401),0,IF(BP402=INDEX('Lease Cycles'!$DK$31:$DQ$31,1,BP401),1-INDEX('Lease Cycles'!$DR$31:$DX$31,1,BP401),1))-IF(BP402=0,INDEX('Lease Cycles'!$DD$31:$DJ$31,1,BP401),0))),0)</f>
        <v>0</v>
      </c>
      <c r="BQ408" s="28">
        <f>IF(BQ403=1,IF(INDEX('Lease Cycles'!$EF$31:$EL$31,1,BQ401)=1,0,BQ404*(1-IF(BQ402&lt;INDEX('Lease Cycles'!$DK$31:$DQ$31,1,BQ401),0,IF(BQ402=INDEX('Lease Cycles'!$DK$31:$DQ$31,1,BQ401),1-INDEX('Lease Cycles'!$DR$31:$DX$31,1,BQ401),1))-IF(BQ402=0,INDEX('Lease Cycles'!$DD$31:$DJ$31,1,BQ401),0))),0)</f>
        <v>0</v>
      </c>
      <c r="BR408" s="28">
        <f>IF(BR403=1,IF(INDEX('Lease Cycles'!$EF$31:$EL$31,1,BR401)=1,0,BR404*(1-IF(BR402&lt;INDEX('Lease Cycles'!$DK$31:$DQ$31,1,BR401),0,IF(BR402=INDEX('Lease Cycles'!$DK$31:$DQ$31,1,BR401),1-INDEX('Lease Cycles'!$DR$31:$DX$31,1,BR401),1))-IF(BR402=0,INDEX('Lease Cycles'!$DD$31:$DJ$31,1,BR401),0))),0)</f>
        <v>0</v>
      </c>
      <c r="BS408" s="28">
        <f>IF(BS403=1,IF(INDEX('Lease Cycles'!$EF$31:$EL$31,1,BS401)=1,0,BS404*(1-IF(BS402&lt;INDEX('Lease Cycles'!$DK$31:$DQ$31,1,BS401),0,IF(BS402=INDEX('Lease Cycles'!$DK$31:$DQ$31,1,BS401),1-INDEX('Lease Cycles'!$DR$31:$DX$31,1,BS401),1))-IF(BS402=0,INDEX('Lease Cycles'!$DD$31:$DJ$31,1,BS401),0))),0)</f>
        <v>0</v>
      </c>
      <c r="BT408" s="28">
        <f>IF(BT403=1,IF(INDEX('Lease Cycles'!$EF$31:$EL$31,1,BT401)=1,0,BT404*(1-IF(BT402&lt;INDEX('Lease Cycles'!$DK$31:$DQ$31,1,BT401),0,IF(BT402=INDEX('Lease Cycles'!$DK$31:$DQ$31,1,BT401),1-INDEX('Lease Cycles'!$DR$31:$DX$31,1,BT401),1))-IF(BT402=0,INDEX('Lease Cycles'!$DD$31:$DJ$31,1,BT401),0))),0)</f>
        <v>0</v>
      </c>
      <c r="BU408" s="28">
        <f>IF(BU403=1,IF(INDEX('Lease Cycles'!$EF$31:$EL$31,1,BU401)=1,0,BU404*(1-IF(BU402&lt;INDEX('Lease Cycles'!$DK$31:$DQ$31,1,BU401),0,IF(BU402=INDEX('Lease Cycles'!$DK$31:$DQ$31,1,BU401),1-INDEX('Lease Cycles'!$DR$31:$DX$31,1,BU401),1))-IF(BU402=0,INDEX('Lease Cycles'!$DD$31:$DJ$31,1,BU401),0))),0)</f>
        <v>0</v>
      </c>
      <c r="BV408" s="28">
        <f>IF(BV403=1,IF(INDEX('Lease Cycles'!$EF$31:$EL$31,1,BV401)=1,0,BV404*(1-IF(BV402&lt;INDEX('Lease Cycles'!$DK$31:$DQ$31,1,BV401),0,IF(BV402=INDEX('Lease Cycles'!$DK$31:$DQ$31,1,BV401),1-INDEX('Lease Cycles'!$DR$31:$DX$31,1,BV401),1))-IF(BV402=0,INDEX('Lease Cycles'!$DD$31:$DJ$31,1,BV401),0))),0)</f>
        <v>0</v>
      </c>
      <c r="BW408" s="28">
        <f>IF(BW403=1,IF(INDEX('Lease Cycles'!$EF$31:$EL$31,1,BW401)=1,0,BW404*(1-IF(BW402&lt;INDEX('Lease Cycles'!$DK$31:$DQ$31,1,BW401),0,IF(BW402=INDEX('Lease Cycles'!$DK$31:$DQ$31,1,BW401),1-INDEX('Lease Cycles'!$DR$31:$DX$31,1,BW401),1))-IF(BW402=0,INDEX('Lease Cycles'!$DD$31:$DJ$31,1,BW401),0))),0)</f>
        <v>0</v>
      </c>
      <c r="BX408" s="28">
        <f>IF(BX403=1,IF(INDEX('Lease Cycles'!$EF$31:$EL$31,1,BX401)=1,0,BX404*(1-IF(BX402&lt;INDEX('Lease Cycles'!$DK$31:$DQ$31,1,BX401),0,IF(BX402=INDEX('Lease Cycles'!$DK$31:$DQ$31,1,BX401),1-INDEX('Lease Cycles'!$DR$31:$DX$31,1,BX401),1))-IF(BX402=0,INDEX('Lease Cycles'!$DD$31:$DJ$31,1,BX401),0))),0)</f>
        <v>0</v>
      </c>
      <c r="BY408" s="28">
        <f>IF(BY403=1,IF(INDEX('Lease Cycles'!$EF$31:$EL$31,1,BY401)=1,0,BY404*(1-IF(BY402&lt;INDEX('Lease Cycles'!$DK$31:$DQ$31,1,BY401),0,IF(BY402=INDEX('Lease Cycles'!$DK$31:$DQ$31,1,BY401),1-INDEX('Lease Cycles'!$DR$31:$DX$31,1,BY401),1))-IF(BY402=0,INDEX('Lease Cycles'!$DD$31:$DJ$31,1,BY401),0))),0)</f>
        <v>0</v>
      </c>
      <c r="BZ408" s="28">
        <f>IF(BZ403=1,IF(INDEX('Lease Cycles'!$EF$31:$EL$31,1,BZ401)=1,0,BZ404*(1-IF(BZ402&lt;INDEX('Lease Cycles'!$DK$31:$DQ$31,1,BZ401),0,IF(BZ402=INDEX('Lease Cycles'!$DK$31:$DQ$31,1,BZ401),1-INDEX('Lease Cycles'!$DR$31:$DX$31,1,BZ401),1))-IF(BZ402=0,INDEX('Lease Cycles'!$DD$31:$DJ$31,1,BZ401),0))),0)</f>
        <v>0</v>
      </c>
      <c r="CA408" s="28">
        <f>IF(CA403=1,IF(INDEX('Lease Cycles'!$EF$31:$EL$31,1,CA401)=1,0,CA404*(1-IF(CA402&lt;INDEX('Lease Cycles'!$DK$31:$DQ$31,1,CA401),0,IF(CA402=INDEX('Lease Cycles'!$DK$31:$DQ$31,1,CA401),1-INDEX('Lease Cycles'!$DR$31:$DX$31,1,CA401),1))-IF(CA402=0,INDEX('Lease Cycles'!$DD$31:$DJ$31,1,CA401),0))),0)</f>
        <v>0</v>
      </c>
      <c r="CB408" s="28">
        <f>IF(CB403=1,IF(INDEX('Lease Cycles'!$EF$31:$EL$31,1,CB401)=1,0,CB404*(1-IF(CB402&lt;INDEX('Lease Cycles'!$DK$31:$DQ$31,1,CB401),0,IF(CB402=INDEX('Lease Cycles'!$DK$31:$DQ$31,1,CB401),1-INDEX('Lease Cycles'!$DR$31:$DX$31,1,CB401),1))-IF(CB402=0,INDEX('Lease Cycles'!$DD$31:$DJ$31,1,CB401),0))),0)</f>
        <v>0</v>
      </c>
      <c r="CC408" s="28">
        <f>IF(CC403=1,IF(INDEX('Lease Cycles'!$EF$31:$EL$31,1,CC401)=1,0,CC404*(1-IF(CC402&lt;INDEX('Lease Cycles'!$DK$31:$DQ$31,1,CC401),0,IF(CC402=INDEX('Lease Cycles'!$DK$31:$DQ$31,1,CC401),1-INDEX('Lease Cycles'!$DR$31:$DX$31,1,CC401),1))-IF(CC402=0,INDEX('Lease Cycles'!$DD$31:$DJ$31,1,CC401),0))),0)</f>
        <v>0</v>
      </c>
      <c r="CD408" s="28">
        <f>IF(CD403=1,IF(INDEX('Lease Cycles'!$EF$31:$EL$31,1,CD401)=1,0,CD404*(1-IF(CD402&lt;INDEX('Lease Cycles'!$DK$31:$DQ$31,1,CD401),0,IF(CD402=INDEX('Lease Cycles'!$DK$31:$DQ$31,1,CD401),1-INDEX('Lease Cycles'!$DR$31:$DX$31,1,CD401),1))-IF(CD402=0,INDEX('Lease Cycles'!$DD$31:$DJ$31,1,CD401),0))),0)</f>
        <v>0</v>
      </c>
      <c r="CE408" s="28">
        <f>IF(CE403=1,IF(INDEX('Lease Cycles'!$EF$31:$EL$31,1,CE401)=1,0,CE404*(1-IF(CE402&lt;INDEX('Lease Cycles'!$DK$31:$DQ$31,1,CE401),0,IF(CE402=INDEX('Lease Cycles'!$DK$31:$DQ$31,1,CE401),1-INDEX('Lease Cycles'!$DR$31:$DX$31,1,CE401),1))-IF(CE402=0,INDEX('Lease Cycles'!$DD$31:$DJ$31,1,CE401),0))),0)</f>
        <v>0</v>
      </c>
      <c r="CF408" s="28">
        <f>IF(CF403=1,IF(INDEX('Lease Cycles'!$EF$31:$EL$31,1,CF401)=1,0,CF404*(1-IF(CF402&lt;INDEX('Lease Cycles'!$DK$31:$DQ$31,1,CF401),0,IF(CF402=INDEX('Lease Cycles'!$DK$31:$DQ$31,1,CF401),1-INDEX('Lease Cycles'!$DR$31:$DX$31,1,CF401),1))-IF(CF402=0,INDEX('Lease Cycles'!$DD$31:$DJ$31,1,CF401),0))),0)</f>
        <v>0</v>
      </c>
      <c r="CG408" s="28">
        <f>IF(CG403=1,IF(INDEX('Lease Cycles'!$EF$31:$EL$31,1,CG401)=1,0,CG404*(1-IF(CG402&lt;INDEX('Lease Cycles'!$DK$31:$DQ$31,1,CG401),0,IF(CG402=INDEX('Lease Cycles'!$DK$31:$DQ$31,1,CG401),1-INDEX('Lease Cycles'!$DR$31:$DX$31,1,CG401),1))-IF(CG402=0,INDEX('Lease Cycles'!$DD$31:$DJ$31,1,CG401),0))),0)</f>
        <v>0</v>
      </c>
      <c r="CH408" s="28">
        <f>IF(CH403=1,IF(INDEX('Lease Cycles'!$EF$31:$EL$31,1,CH401)=1,0,CH404*(1-IF(CH402&lt;INDEX('Lease Cycles'!$DK$31:$DQ$31,1,CH401),0,IF(CH402=INDEX('Lease Cycles'!$DK$31:$DQ$31,1,CH401),1-INDEX('Lease Cycles'!$DR$31:$DX$31,1,CH401),1))-IF(CH402=0,INDEX('Lease Cycles'!$DD$31:$DJ$31,1,CH401),0))),0)</f>
        <v>0</v>
      </c>
      <c r="CI408" s="28">
        <f>IF(CI403=1,IF(INDEX('Lease Cycles'!$EF$31:$EL$31,1,CI401)=1,0,CI404*(1-IF(CI402&lt;INDEX('Lease Cycles'!$DK$31:$DQ$31,1,CI401),0,IF(CI402=INDEX('Lease Cycles'!$DK$31:$DQ$31,1,CI401),1-INDEX('Lease Cycles'!$DR$31:$DX$31,1,CI401),1))-IF(CI402=0,INDEX('Lease Cycles'!$DD$31:$DJ$31,1,CI401),0))),0)</f>
        <v>0</v>
      </c>
      <c r="CJ408" s="28">
        <f>IF(CJ403=1,IF(INDEX('Lease Cycles'!$EF$31:$EL$31,1,CJ401)=1,0,CJ404*(1-IF(CJ402&lt;INDEX('Lease Cycles'!$DK$31:$DQ$31,1,CJ401),0,IF(CJ402=INDEX('Lease Cycles'!$DK$31:$DQ$31,1,CJ401),1-INDEX('Lease Cycles'!$DR$31:$DX$31,1,CJ401),1))-IF(CJ402=0,INDEX('Lease Cycles'!$DD$31:$DJ$31,1,CJ401),0))),0)</f>
        <v>0</v>
      </c>
      <c r="CK408" s="28">
        <f>IF(CK403=1,IF(INDEX('Lease Cycles'!$EF$31:$EL$31,1,CK401)=1,0,CK404*(1-IF(CK402&lt;INDEX('Lease Cycles'!$DK$31:$DQ$31,1,CK401),0,IF(CK402=INDEX('Lease Cycles'!$DK$31:$DQ$31,1,CK401),1-INDEX('Lease Cycles'!$DR$31:$DX$31,1,CK401),1))-IF(CK402=0,INDEX('Lease Cycles'!$DD$31:$DJ$31,1,CK401),0))),0)</f>
        <v>0</v>
      </c>
      <c r="CL408" s="28">
        <f>IF(CL403=1,IF(INDEX('Lease Cycles'!$EF$31:$EL$31,1,CL401)=1,0,CL404*(1-IF(CL402&lt;INDEX('Lease Cycles'!$DK$31:$DQ$31,1,CL401),0,IF(CL402=INDEX('Lease Cycles'!$DK$31:$DQ$31,1,CL401),1-INDEX('Lease Cycles'!$DR$31:$DX$31,1,CL401),1))-IF(CL402=0,INDEX('Lease Cycles'!$DD$31:$DJ$31,1,CL401),0))),0)</f>
        <v>0</v>
      </c>
      <c r="CM408" s="28">
        <f>IF(CM403=1,IF(INDEX('Lease Cycles'!$EF$31:$EL$31,1,CM401)=1,0,CM404*(1-IF(CM402&lt;INDEX('Lease Cycles'!$DK$31:$DQ$31,1,CM401),0,IF(CM402=INDEX('Lease Cycles'!$DK$31:$DQ$31,1,CM401),1-INDEX('Lease Cycles'!$DR$31:$DX$31,1,CM401),1))-IF(CM402=0,INDEX('Lease Cycles'!$DD$31:$DJ$31,1,CM401),0))),0)</f>
        <v>0</v>
      </c>
      <c r="CN408" s="28">
        <f>IF(CN403=1,IF(INDEX('Lease Cycles'!$EF$31:$EL$31,1,CN401)=1,0,CN404*(1-IF(CN402&lt;INDEX('Lease Cycles'!$DK$31:$DQ$31,1,CN401),0,IF(CN402=INDEX('Lease Cycles'!$DK$31:$DQ$31,1,CN401),1-INDEX('Lease Cycles'!$DR$31:$DX$31,1,CN401),1))-IF(CN402=0,INDEX('Lease Cycles'!$DD$31:$DJ$31,1,CN401),0))),0)</f>
        <v>0</v>
      </c>
      <c r="CO408" s="28">
        <f>IF(CO403=1,IF(INDEX('Lease Cycles'!$EF$31:$EL$31,1,CO401)=1,0,CO404*(1-IF(CO402&lt;INDEX('Lease Cycles'!$DK$31:$DQ$31,1,CO401),0,IF(CO402=INDEX('Lease Cycles'!$DK$31:$DQ$31,1,CO401),1-INDEX('Lease Cycles'!$DR$31:$DX$31,1,CO401),1))-IF(CO402=0,INDEX('Lease Cycles'!$DD$31:$DJ$31,1,CO401),0))),0)</f>
        <v>0</v>
      </c>
      <c r="CP408" s="28">
        <f>IF(CP403=1,IF(INDEX('Lease Cycles'!$EF$31:$EL$31,1,CP401)=1,0,CP404*(1-IF(CP402&lt;INDEX('Lease Cycles'!$DK$31:$DQ$31,1,CP401),0,IF(CP402=INDEX('Lease Cycles'!$DK$31:$DQ$31,1,CP401),1-INDEX('Lease Cycles'!$DR$31:$DX$31,1,CP401),1))-IF(CP402=0,INDEX('Lease Cycles'!$DD$31:$DJ$31,1,CP401),0))),0)</f>
        <v>0</v>
      </c>
      <c r="CQ408" s="28">
        <f>IF(CQ403=1,IF(INDEX('Lease Cycles'!$EF$31:$EL$31,1,CQ401)=1,0,CQ404*(1-IF(CQ402&lt;INDEX('Lease Cycles'!$DK$31:$DQ$31,1,CQ401),0,IF(CQ402=INDEX('Lease Cycles'!$DK$31:$DQ$31,1,CQ401),1-INDEX('Lease Cycles'!$DR$31:$DX$31,1,CQ401),1))-IF(CQ402=0,INDEX('Lease Cycles'!$DD$31:$DJ$31,1,CQ401),0))),0)</f>
        <v>0</v>
      </c>
      <c r="CR408" s="28">
        <f>IF(CR403=1,IF(INDEX('Lease Cycles'!$EF$31:$EL$31,1,CR401)=1,0,CR404*(1-IF(CR402&lt;INDEX('Lease Cycles'!$DK$31:$DQ$31,1,CR401),0,IF(CR402=INDEX('Lease Cycles'!$DK$31:$DQ$31,1,CR401),1-INDEX('Lease Cycles'!$DR$31:$DX$31,1,CR401),1))-IF(CR402=0,INDEX('Lease Cycles'!$DD$31:$DJ$31,1,CR401),0))),0)</f>
        <v>0</v>
      </c>
      <c r="CS408" s="28">
        <f>IF(CS403=1,IF(INDEX('Lease Cycles'!$EF$31:$EL$31,1,CS401)=1,0,CS404*(1-IF(CS402&lt;INDEX('Lease Cycles'!$DK$31:$DQ$31,1,CS401),0,IF(CS402=INDEX('Lease Cycles'!$DK$31:$DQ$31,1,CS401),1-INDEX('Lease Cycles'!$DR$31:$DX$31,1,CS401),1))-IF(CS402=0,INDEX('Lease Cycles'!$DD$31:$DJ$31,1,CS401),0))),0)</f>
        <v>0</v>
      </c>
      <c r="CT408" s="28">
        <f>IF(CT403=1,IF(INDEX('Lease Cycles'!$EF$31:$EL$31,1,CT401)=1,0,CT404*(1-IF(CT402&lt;INDEX('Lease Cycles'!$DK$31:$DQ$31,1,CT401),0,IF(CT402=INDEX('Lease Cycles'!$DK$31:$DQ$31,1,CT401),1-INDEX('Lease Cycles'!$DR$31:$DX$31,1,CT401),1))-IF(CT402=0,INDEX('Lease Cycles'!$DD$31:$DJ$31,1,CT401),0))),0)</f>
        <v>0</v>
      </c>
      <c r="CU408" s="28">
        <f>IF(CU403=1,IF(INDEX('Lease Cycles'!$EF$31:$EL$31,1,CU401)=1,0,CU404*(1-IF(CU402&lt;INDEX('Lease Cycles'!$DK$31:$DQ$31,1,CU401),0,IF(CU402=INDEX('Lease Cycles'!$DK$31:$DQ$31,1,CU401),1-INDEX('Lease Cycles'!$DR$31:$DX$31,1,CU401),1))-IF(CU402=0,INDEX('Lease Cycles'!$DD$31:$DJ$31,1,CU401),0))),0)</f>
        <v>0</v>
      </c>
      <c r="CV408" s="28">
        <f>IF(CV403=1,IF(INDEX('Lease Cycles'!$EF$31:$EL$31,1,CV401)=1,0,CV404*(1-IF(CV402&lt;INDEX('Lease Cycles'!$DK$31:$DQ$31,1,CV401),0,IF(CV402=INDEX('Lease Cycles'!$DK$31:$DQ$31,1,CV401),1-INDEX('Lease Cycles'!$DR$31:$DX$31,1,CV401),1))-IF(CV402=0,INDEX('Lease Cycles'!$DD$31:$DJ$31,1,CV401),0))),0)</f>
        <v>0</v>
      </c>
      <c r="CW408" s="28">
        <f>IF(CW403=1,IF(INDEX('Lease Cycles'!$EF$31:$EL$31,1,CW401)=1,0,CW404*(1-IF(CW402&lt;INDEX('Lease Cycles'!$DK$31:$DQ$31,1,CW401),0,IF(CW402=INDEX('Lease Cycles'!$DK$31:$DQ$31,1,CW401),1-INDEX('Lease Cycles'!$DR$31:$DX$31,1,CW401),1))-IF(CW402=0,INDEX('Lease Cycles'!$DD$31:$DJ$31,1,CW401),0))),0)</f>
        <v>0</v>
      </c>
      <c r="CX408" s="28">
        <f>IF(CX403=1,IF(INDEX('Lease Cycles'!$EF$31:$EL$31,1,CX401)=1,0,CX404*(1-IF(CX402&lt;INDEX('Lease Cycles'!$DK$31:$DQ$31,1,CX401),0,IF(CX402=INDEX('Lease Cycles'!$DK$31:$DQ$31,1,CX401),1-INDEX('Lease Cycles'!$DR$31:$DX$31,1,CX401),1))-IF(CX402=0,INDEX('Lease Cycles'!$DD$31:$DJ$31,1,CX401),0))),0)</f>
        <v>0</v>
      </c>
      <c r="CY408" s="28">
        <f>IF(CY403=1,IF(INDEX('Lease Cycles'!$EF$31:$EL$31,1,CY401)=1,0,CY404*(1-IF(CY402&lt;INDEX('Lease Cycles'!$DK$31:$DQ$31,1,CY401),0,IF(CY402=INDEX('Lease Cycles'!$DK$31:$DQ$31,1,CY401),1-INDEX('Lease Cycles'!$DR$31:$DX$31,1,CY401),1))-IF(CY402=0,INDEX('Lease Cycles'!$DD$31:$DJ$31,1,CY401),0))),0)</f>
        <v>0</v>
      </c>
      <c r="CZ408" s="28">
        <f>IF(CZ403=1,IF(INDEX('Lease Cycles'!$EF$31:$EL$31,1,CZ401)=1,0,CZ404*(1-IF(CZ402&lt;INDEX('Lease Cycles'!$DK$31:$DQ$31,1,CZ401),0,IF(CZ402=INDEX('Lease Cycles'!$DK$31:$DQ$31,1,CZ401),1-INDEX('Lease Cycles'!$DR$31:$DX$31,1,CZ401),1))-IF(CZ402=0,INDEX('Lease Cycles'!$DD$31:$DJ$31,1,CZ401),0))),0)</f>
        <v>0</v>
      </c>
      <c r="DA408" s="28">
        <f>IF(DA403=1,IF(INDEX('Lease Cycles'!$EF$31:$EL$31,1,DA401)=1,0,DA404*(1-IF(DA402&lt;INDEX('Lease Cycles'!$DK$31:$DQ$31,1,DA401),0,IF(DA402=INDEX('Lease Cycles'!$DK$31:$DQ$31,1,DA401),1-INDEX('Lease Cycles'!$DR$31:$DX$31,1,DA401),1))-IF(DA402=0,INDEX('Lease Cycles'!$DD$31:$DJ$31,1,DA401),0))),0)</f>
        <v>0</v>
      </c>
      <c r="DB408" s="28">
        <f>IF(DB403=1,IF(INDEX('Lease Cycles'!$EF$31:$EL$31,1,DB401)=1,0,DB404*(1-IF(DB402&lt;INDEX('Lease Cycles'!$DK$31:$DQ$31,1,DB401),0,IF(DB402=INDEX('Lease Cycles'!$DK$31:$DQ$31,1,DB401),1-INDEX('Lease Cycles'!$DR$31:$DX$31,1,DB401),1))-IF(DB402=0,INDEX('Lease Cycles'!$DD$31:$DJ$31,1,DB401),0))),0)</f>
        <v>0</v>
      </c>
      <c r="DC408" s="28">
        <f>IF(DC403=1,IF(INDEX('Lease Cycles'!$EF$31:$EL$31,1,DC401)=1,0,DC404*(1-IF(DC402&lt;INDEX('Lease Cycles'!$DK$31:$DQ$31,1,DC401),0,IF(DC402=INDEX('Lease Cycles'!$DK$31:$DQ$31,1,DC401),1-INDEX('Lease Cycles'!$DR$31:$DX$31,1,DC401),1))-IF(DC402=0,INDEX('Lease Cycles'!$DD$31:$DJ$31,1,DC401),0))),0)</f>
        <v>0</v>
      </c>
      <c r="DD408" s="28">
        <f>IF(DD403=1,IF(INDEX('Lease Cycles'!$EF$31:$EL$31,1,DD401)=1,0,DD404*(1-IF(DD402&lt;INDEX('Lease Cycles'!$DK$31:$DQ$31,1,DD401),0,IF(DD402=INDEX('Lease Cycles'!$DK$31:$DQ$31,1,DD401),1-INDEX('Lease Cycles'!$DR$31:$DX$31,1,DD401),1))-IF(DD402=0,INDEX('Lease Cycles'!$DD$31:$DJ$31,1,DD401),0))),0)</f>
        <v>0</v>
      </c>
      <c r="DE408" s="28">
        <f>IF(DE403=1,IF(INDEX('Lease Cycles'!$EF$31:$EL$31,1,DE401)=1,0,DE404*(1-IF(DE402&lt;INDEX('Lease Cycles'!$DK$31:$DQ$31,1,DE401),0,IF(DE402=INDEX('Lease Cycles'!$DK$31:$DQ$31,1,DE401),1-INDEX('Lease Cycles'!$DR$31:$DX$31,1,DE401),1))-IF(DE402=0,INDEX('Lease Cycles'!$DD$31:$DJ$31,1,DE401),0))),0)</f>
        <v>0</v>
      </c>
      <c r="DF408" s="28">
        <f>IF(DF403=1,IF(INDEX('Lease Cycles'!$EF$31:$EL$31,1,DF401)=1,0,DF404*(1-IF(DF402&lt;INDEX('Lease Cycles'!$DK$31:$DQ$31,1,DF401),0,IF(DF402=INDEX('Lease Cycles'!$DK$31:$DQ$31,1,DF401),1-INDEX('Lease Cycles'!$DR$31:$DX$31,1,DF401),1))-IF(DF402=0,INDEX('Lease Cycles'!$DD$31:$DJ$31,1,DF401),0))),0)</f>
        <v>0</v>
      </c>
      <c r="DG408" s="28">
        <f>IF(DG403=1,IF(INDEX('Lease Cycles'!$EF$31:$EL$31,1,DG401)=1,0,DG404*(1-IF(DG402&lt;INDEX('Lease Cycles'!$DK$31:$DQ$31,1,DG401),0,IF(DG402=INDEX('Lease Cycles'!$DK$31:$DQ$31,1,DG401),1-INDEX('Lease Cycles'!$DR$31:$DX$31,1,DG401),1))-IF(DG402=0,INDEX('Lease Cycles'!$DD$31:$DJ$31,1,DG401),0))),0)</f>
        <v>0</v>
      </c>
      <c r="DH408" s="28">
        <f>IF(DH403=1,IF(INDEX('Lease Cycles'!$EF$31:$EL$31,1,DH401)=1,0,DH404*(1-IF(DH402&lt;INDEX('Lease Cycles'!$DK$31:$DQ$31,1,DH401),0,IF(DH402=INDEX('Lease Cycles'!$DK$31:$DQ$31,1,DH401),1-INDEX('Lease Cycles'!$DR$31:$DX$31,1,DH401),1))-IF(DH402=0,INDEX('Lease Cycles'!$DD$31:$DJ$31,1,DH401),0))),0)</f>
        <v>0</v>
      </c>
      <c r="DI408" s="28">
        <f>IF(DI403=1,IF(INDEX('Lease Cycles'!$EF$31:$EL$31,1,DI401)=1,0,DI404*(1-IF(DI402&lt;INDEX('Lease Cycles'!$DK$31:$DQ$31,1,DI401),0,IF(DI402=INDEX('Lease Cycles'!$DK$31:$DQ$31,1,DI401),1-INDEX('Lease Cycles'!$DR$31:$DX$31,1,DI401),1))-IF(DI402=0,INDEX('Lease Cycles'!$DD$31:$DJ$31,1,DI401),0))),0)</f>
        <v>0</v>
      </c>
      <c r="DJ408" s="28">
        <f>IF(DJ403=1,IF(INDEX('Lease Cycles'!$EF$31:$EL$31,1,DJ401)=1,0,DJ404*(1-IF(DJ402&lt;INDEX('Lease Cycles'!$DK$31:$DQ$31,1,DJ401),0,IF(DJ402=INDEX('Lease Cycles'!$DK$31:$DQ$31,1,DJ401),1-INDEX('Lease Cycles'!$DR$31:$DX$31,1,DJ401),1))-IF(DJ402=0,INDEX('Lease Cycles'!$DD$31:$DJ$31,1,DJ401),0))),0)</f>
        <v>0</v>
      </c>
      <c r="DK408" s="28">
        <f>IF(DK403=1,IF(INDEX('Lease Cycles'!$EF$31:$EL$31,1,DK401)=1,0,DK404*(1-IF(DK402&lt;INDEX('Lease Cycles'!$DK$31:$DQ$31,1,DK401),0,IF(DK402=INDEX('Lease Cycles'!$DK$31:$DQ$31,1,DK401),1-INDEX('Lease Cycles'!$DR$31:$DX$31,1,DK401),1))-IF(DK402=0,INDEX('Lease Cycles'!$DD$31:$DJ$31,1,DK401),0))),0)</f>
        <v>0</v>
      </c>
      <c r="DL408" s="28">
        <f>IF(DL403=1,IF(INDEX('Lease Cycles'!$EF$31:$EL$31,1,DL401)=1,0,DL404*(1-IF(DL402&lt;INDEX('Lease Cycles'!$DK$31:$DQ$31,1,DL401),0,IF(DL402=INDEX('Lease Cycles'!$DK$31:$DQ$31,1,DL401),1-INDEX('Lease Cycles'!$DR$31:$DX$31,1,DL401),1))-IF(DL402=0,INDEX('Lease Cycles'!$DD$31:$DJ$31,1,DL401),0))),0)</f>
        <v>0</v>
      </c>
      <c r="DM408" s="28">
        <f>IF(DM403=1,IF(INDEX('Lease Cycles'!$EF$31:$EL$31,1,DM401)=1,0,DM404*(1-IF(DM402&lt;INDEX('Lease Cycles'!$DK$31:$DQ$31,1,DM401),0,IF(DM402=INDEX('Lease Cycles'!$DK$31:$DQ$31,1,DM401),1-INDEX('Lease Cycles'!$DR$31:$DX$31,1,DM401),1))-IF(DM402=0,INDEX('Lease Cycles'!$DD$31:$DJ$31,1,DM401),0))),0)</f>
        <v>0</v>
      </c>
      <c r="DN408" s="28">
        <f>IF(DN403=1,IF(INDEX('Lease Cycles'!$EF$31:$EL$31,1,DN401)=1,0,DN404*(1-IF(DN402&lt;INDEX('Lease Cycles'!$DK$31:$DQ$31,1,DN401),0,IF(DN402=INDEX('Lease Cycles'!$DK$31:$DQ$31,1,DN401),1-INDEX('Lease Cycles'!$DR$31:$DX$31,1,DN401),1))-IF(DN402=0,INDEX('Lease Cycles'!$DD$31:$DJ$31,1,DN401),0))),0)</f>
        <v>0</v>
      </c>
      <c r="DO408" s="28">
        <f>IF(DO403=1,IF(INDEX('Lease Cycles'!$EF$31:$EL$31,1,DO401)=1,0,DO404*(1-IF(DO402&lt;INDEX('Lease Cycles'!$DK$31:$DQ$31,1,DO401),0,IF(DO402=INDEX('Lease Cycles'!$DK$31:$DQ$31,1,DO401),1-INDEX('Lease Cycles'!$DR$31:$DX$31,1,DO401),1))-IF(DO402=0,INDEX('Lease Cycles'!$DD$31:$DJ$31,1,DO401),0))),0)</f>
        <v>0</v>
      </c>
      <c r="DP408" s="28">
        <f>IF(DP403=1,IF(INDEX('Lease Cycles'!$EF$31:$EL$31,1,DP401)=1,0,DP404*(1-IF(DP402&lt;INDEX('Lease Cycles'!$DK$31:$DQ$31,1,DP401),0,IF(DP402=INDEX('Lease Cycles'!$DK$31:$DQ$31,1,DP401),1-INDEX('Lease Cycles'!$DR$31:$DX$31,1,DP401),1))-IF(DP402=0,INDEX('Lease Cycles'!$DD$31:$DJ$31,1,DP401),0))),0)</f>
        <v>0</v>
      </c>
      <c r="DQ408" s="28">
        <f>IF(DQ403=1,IF(INDEX('Lease Cycles'!$EF$31:$EL$31,1,DQ401)=1,0,DQ404*(1-IF(DQ402&lt;INDEX('Lease Cycles'!$DK$31:$DQ$31,1,DQ401),0,IF(DQ402=INDEX('Lease Cycles'!$DK$31:$DQ$31,1,DQ401),1-INDEX('Lease Cycles'!$DR$31:$DX$31,1,DQ401),1))-IF(DQ402=0,INDEX('Lease Cycles'!$DD$31:$DJ$31,1,DQ401),0))),0)</f>
        <v>0</v>
      </c>
      <c r="DR408" s="28">
        <f>IF(DR403=1,IF(INDEX('Lease Cycles'!$EF$31:$EL$31,1,DR401)=1,0,DR404*(1-IF(DR402&lt;INDEX('Lease Cycles'!$DK$31:$DQ$31,1,DR401),0,IF(DR402=INDEX('Lease Cycles'!$DK$31:$DQ$31,1,DR401),1-INDEX('Lease Cycles'!$DR$31:$DX$31,1,DR401),1))-IF(DR402=0,INDEX('Lease Cycles'!$DD$31:$DJ$31,1,DR401),0))),0)</f>
        <v>0</v>
      </c>
      <c r="DS408" s="28">
        <f>IF(DS403=1,IF(INDEX('Lease Cycles'!$EF$31:$EL$31,1,DS401)=1,0,DS404*(1-IF(DS402&lt;INDEX('Lease Cycles'!$DK$31:$DQ$31,1,DS401),0,IF(DS402=INDEX('Lease Cycles'!$DK$31:$DQ$31,1,DS401),1-INDEX('Lease Cycles'!$DR$31:$DX$31,1,DS401),1))-IF(DS402=0,INDEX('Lease Cycles'!$DD$31:$DJ$31,1,DS401),0))),0)</f>
        <v>0</v>
      </c>
      <c r="DT408" s="28">
        <f>IF(DT403=1,IF(INDEX('Lease Cycles'!$EF$31:$EL$31,1,DT401)=1,0,DT404*(1-IF(DT402&lt;INDEX('Lease Cycles'!$DK$31:$DQ$31,1,DT401),0,IF(DT402=INDEX('Lease Cycles'!$DK$31:$DQ$31,1,DT401),1-INDEX('Lease Cycles'!$DR$31:$DX$31,1,DT401),1))-IF(DT402=0,INDEX('Lease Cycles'!$DD$31:$DJ$31,1,DT401),0))),0)</f>
        <v>0</v>
      </c>
      <c r="DU408" s="28">
        <f>IF(DU403=1,IF(INDEX('Lease Cycles'!$EF$31:$EL$31,1,DU401)=1,0,DU404*(1-IF(DU402&lt;INDEX('Lease Cycles'!$DK$31:$DQ$31,1,DU401),0,IF(DU402=INDEX('Lease Cycles'!$DK$31:$DQ$31,1,DU401),1-INDEX('Lease Cycles'!$DR$31:$DX$31,1,DU401),1))-IF(DU402=0,INDEX('Lease Cycles'!$DD$31:$DJ$31,1,DU401),0))),0)</f>
        <v>0</v>
      </c>
      <c r="DV408" s="28">
        <f>IF(DV403=1,IF(INDEX('Lease Cycles'!$EF$31:$EL$31,1,DV401)=1,0,DV404*(1-IF(DV402&lt;INDEX('Lease Cycles'!$DK$31:$DQ$31,1,DV401),0,IF(DV402=INDEX('Lease Cycles'!$DK$31:$DQ$31,1,DV401),1-INDEX('Lease Cycles'!$DR$31:$DX$31,1,DV401),1))-IF(DV402=0,INDEX('Lease Cycles'!$DD$31:$DJ$31,1,DV401),0))),0)</f>
        <v>0</v>
      </c>
      <c r="DW408" s="28">
        <f>IF(DW403=1,IF(INDEX('Lease Cycles'!$EF$31:$EL$31,1,DW401)=1,0,DW404*(1-IF(DW402&lt;INDEX('Lease Cycles'!$DK$31:$DQ$31,1,DW401),0,IF(DW402=INDEX('Lease Cycles'!$DK$31:$DQ$31,1,DW401),1-INDEX('Lease Cycles'!$DR$31:$DX$31,1,DW401),1))-IF(DW402=0,INDEX('Lease Cycles'!$DD$31:$DJ$31,1,DW401),0))),0)</f>
        <v>0</v>
      </c>
      <c r="DX408" s="28">
        <f>IF(DX403=1,IF(INDEX('Lease Cycles'!$EF$31:$EL$31,1,DX401)=1,0,DX404*(1-IF(DX402&lt;INDEX('Lease Cycles'!$DK$31:$DQ$31,1,DX401),0,IF(DX402=INDEX('Lease Cycles'!$DK$31:$DQ$31,1,DX401),1-INDEX('Lease Cycles'!$DR$31:$DX$31,1,DX401),1))-IF(DX402=0,INDEX('Lease Cycles'!$DD$31:$DJ$31,1,DX401),0))),0)</f>
        <v>0</v>
      </c>
      <c r="DY408" s="28">
        <f>IF(DY403=1,IF(INDEX('Lease Cycles'!$EF$31:$EL$31,1,DY401)=1,0,DY404*(1-IF(DY402&lt;INDEX('Lease Cycles'!$DK$31:$DQ$31,1,DY401),0,IF(DY402=INDEX('Lease Cycles'!$DK$31:$DQ$31,1,DY401),1-INDEX('Lease Cycles'!$DR$31:$DX$31,1,DY401),1))-IF(DY402=0,INDEX('Lease Cycles'!$DD$31:$DJ$31,1,DY401),0))),0)</f>
        <v>0</v>
      </c>
      <c r="DZ408" s="28">
        <f>IF(DZ403=1,IF(INDEX('Lease Cycles'!$EF$31:$EL$31,1,DZ401)=1,0,DZ404*(1-IF(DZ402&lt;INDEX('Lease Cycles'!$DK$31:$DQ$31,1,DZ401),0,IF(DZ402=INDEX('Lease Cycles'!$DK$31:$DQ$31,1,DZ401),1-INDEX('Lease Cycles'!$DR$31:$DX$31,1,DZ401),1))-IF(DZ402=0,INDEX('Lease Cycles'!$DD$31:$DJ$31,1,DZ401),0))),0)</f>
        <v>0</v>
      </c>
      <c r="EA408" s="28">
        <f>IF(EA403=1,IF(INDEX('Lease Cycles'!$EF$31:$EL$31,1,EA401)=1,0,EA404*(1-IF(EA402&lt;INDEX('Lease Cycles'!$DK$31:$DQ$31,1,EA401),0,IF(EA402=INDEX('Lease Cycles'!$DK$31:$DQ$31,1,EA401),1-INDEX('Lease Cycles'!$DR$31:$DX$31,1,EA401),1))-IF(EA402=0,INDEX('Lease Cycles'!$DD$31:$DJ$31,1,EA401),0))),0)</f>
        <v>0</v>
      </c>
      <c r="EB408" s="28">
        <f>IF(EB403=1,IF(INDEX('Lease Cycles'!$EF$31:$EL$31,1,EB401)=1,0,EB404*(1-IF(EB402&lt;INDEX('Lease Cycles'!$DK$31:$DQ$31,1,EB401),0,IF(EB402=INDEX('Lease Cycles'!$DK$31:$DQ$31,1,EB401),1-INDEX('Lease Cycles'!$DR$31:$DX$31,1,EB401),1))-IF(EB402=0,INDEX('Lease Cycles'!$DD$31:$DJ$31,1,EB401),0))),0)</f>
        <v>0</v>
      </c>
      <c r="EC408" s="28">
        <f>IF(EC403=1,IF(INDEX('Lease Cycles'!$EF$31:$EL$31,1,EC401)=1,0,EC404*(1-IF(EC402&lt;INDEX('Lease Cycles'!$DK$31:$DQ$31,1,EC401),0,IF(EC402=INDEX('Lease Cycles'!$DK$31:$DQ$31,1,EC401),1-INDEX('Lease Cycles'!$DR$31:$DX$31,1,EC401),1))-IF(EC402=0,INDEX('Lease Cycles'!$DD$31:$DJ$31,1,EC401),0))),0)</f>
        <v>0</v>
      </c>
      <c r="ED408" s="28">
        <f>IF(ED403=1,IF(INDEX('Lease Cycles'!$EF$31:$EL$31,1,ED401)=1,0,ED404*(1-IF(ED402&lt;INDEX('Lease Cycles'!$DK$31:$DQ$31,1,ED401),0,IF(ED402=INDEX('Lease Cycles'!$DK$31:$DQ$31,1,ED401),1-INDEX('Lease Cycles'!$DR$31:$DX$31,1,ED401),1))-IF(ED402=0,INDEX('Lease Cycles'!$DD$31:$DJ$31,1,ED401),0))),0)</f>
        <v>0</v>
      </c>
      <c r="EE408" s="28">
        <f>IF(EE403=1,IF(INDEX('Lease Cycles'!$EF$31:$EL$31,1,EE401)=1,0,EE404*(1-IF(EE402&lt;INDEX('Lease Cycles'!$DK$31:$DQ$31,1,EE401),0,IF(EE402=INDEX('Lease Cycles'!$DK$31:$DQ$31,1,EE401),1-INDEX('Lease Cycles'!$DR$31:$DX$31,1,EE401),1))-IF(EE402=0,INDEX('Lease Cycles'!$DD$31:$DJ$31,1,EE401),0))),0)</f>
        <v>0</v>
      </c>
      <c r="EF408" s="28">
        <f>IF(EF403=1,IF(INDEX('Lease Cycles'!$EF$31:$EL$31,1,EF401)=1,0,EF404*(1-IF(EF402&lt;INDEX('Lease Cycles'!$DK$31:$DQ$31,1,EF401),0,IF(EF402=INDEX('Lease Cycles'!$DK$31:$DQ$31,1,EF401),1-INDEX('Lease Cycles'!$DR$31:$DX$31,1,EF401),1))-IF(EF402=0,INDEX('Lease Cycles'!$DD$31:$DJ$31,1,EF401),0))),0)</f>
        <v>0</v>
      </c>
      <c r="EG408" s="28">
        <f>IF(EG403=1,IF(INDEX('Lease Cycles'!$EF$31:$EL$31,1,EG401)=1,0,EG404*(1-IF(EG402&lt;INDEX('Lease Cycles'!$DK$31:$DQ$31,1,EG401),0,IF(EG402=INDEX('Lease Cycles'!$DK$31:$DQ$31,1,EG401),1-INDEX('Lease Cycles'!$DR$31:$DX$31,1,EG401),1))-IF(EG402=0,INDEX('Lease Cycles'!$DD$31:$DJ$31,1,EG401),0))),0)</f>
        <v>0</v>
      </c>
      <c r="EH408" s="28">
        <f>IF(EH403=1,IF(INDEX('Lease Cycles'!$EF$31:$EL$31,1,EH401)=1,0,EH404*(1-IF(EH402&lt;INDEX('Lease Cycles'!$DK$31:$DQ$31,1,EH401),0,IF(EH402=INDEX('Lease Cycles'!$DK$31:$DQ$31,1,EH401),1-INDEX('Lease Cycles'!$DR$31:$DX$31,1,EH401),1))-IF(EH402=0,INDEX('Lease Cycles'!$DD$31:$DJ$31,1,EH401),0))),0)</f>
        <v>0</v>
      </c>
      <c r="EI408" s="28">
        <f>IF(EI403=1,IF(INDEX('Lease Cycles'!$EF$31:$EL$31,1,EI401)=1,0,EI404*(1-IF(EI402&lt;INDEX('Lease Cycles'!$DK$31:$DQ$31,1,EI401),0,IF(EI402=INDEX('Lease Cycles'!$DK$31:$DQ$31,1,EI401),1-INDEX('Lease Cycles'!$DR$31:$DX$31,1,EI401),1))-IF(EI402=0,INDEX('Lease Cycles'!$DD$31:$DJ$31,1,EI401),0))),0)</f>
        <v>0</v>
      </c>
      <c r="EJ408" s="28">
        <f>IF(EJ403=1,IF(INDEX('Lease Cycles'!$EF$31:$EL$31,1,EJ401)=1,0,EJ404*(1-IF(EJ402&lt;INDEX('Lease Cycles'!$DK$31:$DQ$31,1,EJ401),0,IF(EJ402=INDEX('Lease Cycles'!$DK$31:$DQ$31,1,EJ401),1-INDEX('Lease Cycles'!$DR$31:$DX$31,1,EJ401),1))-IF(EJ402=0,INDEX('Lease Cycles'!$DD$31:$DJ$31,1,EJ401),0))),0)</f>
        <v>0</v>
      </c>
      <c r="EK408" s="28">
        <f>IF(EK403=1,IF(INDEX('Lease Cycles'!$EF$31:$EL$31,1,EK401)=1,0,EK404*(1-IF(EK402&lt;INDEX('Lease Cycles'!$DK$31:$DQ$31,1,EK401),0,IF(EK402=INDEX('Lease Cycles'!$DK$31:$DQ$31,1,EK401),1-INDEX('Lease Cycles'!$DR$31:$DX$31,1,EK401),1))-IF(EK402=0,INDEX('Lease Cycles'!$DD$31:$DJ$31,1,EK401),0))),0)</f>
        <v>0</v>
      </c>
      <c r="EL408" s="28">
        <f>IF(EL403=1,IF(INDEX('Lease Cycles'!$EF$31:$EL$31,1,EL401)=1,0,EL404*(1-IF(EL402&lt;INDEX('Lease Cycles'!$DK$31:$DQ$31,1,EL401),0,IF(EL402=INDEX('Lease Cycles'!$DK$31:$DQ$31,1,EL401),1-INDEX('Lease Cycles'!$DR$31:$DX$31,1,EL401),1))-IF(EL402=0,INDEX('Lease Cycles'!$DD$31:$DJ$31,1,EL401),0))),0)</f>
        <v>0</v>
      </c>
      <c r="EM408" s="28">
        <f>IF(EM403=1,IF(INDEX('Lease Cycles'!$EF$31:$EL$31,1,EM401)=1,0,EM404*(1-IF(EM402&lt;INDEX('Lease Cycles'!$DK$31:$DQ$31,1,EM401),0,IF(EM402=INDEX('Lease Cycles'!$DK$31:$DQ$31,1,EM401),1-INDEX('Lease Cycles'!$DR$31:$DX$31,1,EM401),1))-IF(EM402=0,INDEX('Lease Cycles'!$DD$31:$DJ$31,1,EM401),0))),0)</f>
        <v>0</v>
      </c>
      <c r="EN408" s="28">
        <f>IF(EN403=1,IF(INDEX('Lease Cycles'!$EF$31:$EL$31,1,EN401)=1,0,EN404*(1-IF(EN402&lt;INDEX('Lease Cycles'!$DK$31:$DQ$31,1,EN401),0,IF(EN402=INDEX('Lease Cycles'!$DK$31:$DQ$31,1,EN401),1-INDEX('Lease Cycles'!$DR$31:$DX$31,1,EN401),1))-IF(EN402=0,INDEX('Lease Cycles'!$DD$31:$DJ$31,1,EN401),0))),0)</f>
        <v>0</v>
      </c>
      <c r="EO408" s="28">
        <f>IF(EO403=1,IF(INDEX('Lease Cycles'!$EF$31:$EL$31,1,EO401)=1,0,EO404*(1-IF(EO402&lt;INDEX('Lease Cycles'!$DK$31:$DQ$31,1,EO401),0,IF(EO402=INDEX('Lease Cycles'!$DK$31:$DQ$31,1,EO401),1-INDEX('Lease Cycles'!$DR$31:$DX$31,1,EO401),1))-IF(EO402=0,INDEX('Lease Cycles'!$DD$31:$DJ$31,1,EO401),0))),0)</f>
        <v>0</v>
      </c>
      <c r="EP408" s="28">
        <f>IF(EP403=1,IF(INDEX('Lease Cycles'!$EF$31:$EL$31,1,EP401)=1,0,EP404*(1-IF(EP402&lt;INDEX('Lease Cycles'!$DK$31:$DQ$31,1,EP401),0,IF(EP402=INDEX('Lease Cycles'!$DK$31:$DQ$31,1,EP401),1-INDEX('Lease Cycles'!$DR$31:$DX$31,1,EP401),1))-IF(EP402=0,INDEX('Lease Cycles'!$DD$31:$DJ$31,1,EP401),0))),0)</f>
        <v>0</v>
      </c>
      <c r="EQ408" s="28">
        <f>IF(EQ403=1,IF(INDEX('Lease Cycles'!$EF$31:$EL$31,1,EQ401)=1,0,EQ404*(1-IF(EQ402&lt;INDEX('Lease Cycles'!$DK$31:$DQ$31,1,EQ401),0,IF(EQ402=INDEX('Lease Cycles'!$DK$31:$DQ$31,1,EQ401),1-INDEX('Lease Cycles'!$DR$31:$DX$31,1,EQ401),1))-IF(EQ402=0,INDEX('Lease Cycles'!$DD$31:$DJ$31,1,EQ401),0))),0)</f>
        <v>0</v>
      </c>
      <c r="ER408" s="28">
        <f>IF(ER403=1,IF(INDEX('Lease Cycles'!$EF$31:$EL$31,1,ER401)=1,0,ER404*(1-IF(ER402&lt;INDEX('Lease Cycles'!$DK$31:$DQ$31,1,ER401),0,IF(ER402=INDEX('Lease Cycles'!$DK$31:$DQ$31,1,ER401),1-INDEX('Lease Cycles'!$DR$31:$DX$31,1,ER401),1))-IF(ER402=0,INDEX('Lease Cycles'!$DD$31:$DJ$31,1,ER401),0))),0)</f>
        <v>0</v>
      </c>
      <c r="ES408" s="28">
        <f>IF(ES403=1,IF(INDEX('Lease Cycles'!$EF$31:$EL$31,1,ES401)=1,0,ES404*(1-IF(ES402&lt;INDEX('Lease Cycles'!$DK$31:$DQ$31,1,ES401),0,IF(ES402=INDEX('Lease Cycles'!$DK$31:$DQ$31,1,ES401),1-INDEX('Lease Cycles'!$DR$31:$DX$31,1,ES401),1))-IF(ES402=0,INDEX('Lease Cycles'!$DD$31:$DJ$31,1,ES401),0))),0)</f>
        <v>0</v>
      </c>
      <c r="ET408" s="28">
        <f>IF(ET403=1,IF(INDEX('Lease Cycles'!$EF$31:$EL$31,1,ET401)=1,0,ET404*(1-IF(ET402&lt;INDEX('Lease Cycles'!$DK$31:$DQ$31,1,ET401),0,IF(ET402=INDEX('Lease Cycles'!$DK$31:$DQ$31,1,ET401),1-INDEX('Lease Cycles'!$DR$31:$DX$31,1,ET401),1))-IF(ET402=0,INDEX('Lease Cycles'!$DD$31:$DJ$31,1,ET401),0))),0)</f>
        <v>0</v>
      </c>
    </row>
    <row r="409">
      <c r="A409" s="103">
        <v>24</v>
      </c>
      <c r="B409" s="23" t="str">
        <f>IF('Lease Cycles'!$B$31="","(empty slot)",'Lease Cycles'!$B$31)</f>
        <v>(empty slot)</v>
      </c>
      <c r="C409" s="23" t="s">
        <v>683</v>
      </c>
      <c r="D409" s="104" t="s">
        <v>684</v>
      </c>
      <c r="E409" s="25">
        <f>'Lease Cycles'!$AL$31</f>
        <v>0</v>
      </c>
      <c r="G409" s="24">
        <f>SUM(S409:AD409)</f>
        <v>0</v>
      </c>
      <c r="H409" s="24">
        <f>SUM(AE409:AP409)</f>
        <v>0</v>
      </c>
      <c r="I409" s="24">
        <f>SUM(AQ409:BB409)</f>
        <v>0</v>
      </c>
      <c r="J409" s="24">
        <f>SUM(BC409:BN409)</f>
        <v>0</v>
      </c>
      <c r="K409" s="24">
        <f>SUM(BO409:BZ409)</f>
        <v>0</v>
      </c>
      <c r="L409" s="24">
        <f>SUM(CA409:CL409)</f>
        <v>0</v>
      </c>
      <c r="M409" s="24">
        <f>SUM(CM409:CX409)</f>
        <v>0</v>
      </c>
      <c r="N409" s="24">
        <f>SUM(CY409:DJ409)</f>
        <v>0</v>
      </c>
      <c r="O409" s="24">
        <f>SUM(DK409:DV409)</f>
        <v>0</v>
      </c>
      <c r="P409" s="24">
        <f>SUM(DW409:EH409)</f>
        <v>0</v>
      </c>
      <c r="Q409" s="24">
        <f>SUM(EI409:ET409)</f>
        <v>0</v>
      </c>
      <c r="S409" s="24">
        <f>IF(S403=1,'Lease Cycles'!$D$31*IF(INDEX('Lease Cycles'!$EF$31:$EL$31,1,S401)=1,(1-'Lease Cycles'!$AJ$31)*INDEX('Lease Cycles'!$EM$31:$ES$31,1,S401)+(1-'Lease Cycles'!$BE$31)*IF(S402&lt;INDEX('Lease Cycles'!$FA$31:$FG$31,1,S401),0,1-INDEX('Lease Cycles'!$EM$31:$ES$31,1,S401)),IF(OR(INDEX('Lease Cycles'!$DY$31:$EE$31,1,S401)=1,S402&gt;0),1,1-INDEX('Lease Cycles'!$DD$31:$DJ$31,1,S401))*((1-'Lease Cycles'!$AJ$31)*INDEX('Lease Cycles'!$FO$31:$FU$31,1,S401)+(1-'Lease Cycles'!$BE$31)*(1-INDEX('Lease Cycles'!$FO$31:$FU$31,1,S401)))),0)</f>
        <v>0</v>
      </c>
      <c r="T409" s="24">
        <f>IF(T403=1,'Lease Cycles'!$D$31*IF(INDEX('Lease Cycles'!$EF$31:$EL$31,1,T401)=1,(1-'Lease Cycles'!$AJ$31)*INDEX('Lease Cycles'!$EM$31:$ES$31,1,T401)+(1-'Lease Cycles'!$BE$31)*IF(T402&lt;INDEX('Lease Cycles'!$FA$31:$FG$31,1,T401),0,1-INDEX('Lease Cycles'!$EM$31:$ES$31,1,T401)),IF(OR(INDEX('Lease Cycles'!$DY$31:$EE$31,1,T401)=1,T402&gt;0),1,1-INDEX('Lease Cycles'!$DD$31:$DJ$31,1,T401))*((1-'Lease Cycles'!$AJ$31)*INDEX('Lease Cycles'!$FO$31:$FU$31,1,T401)+(1-'Lease Cycles'!$BE$31)*(1-INDEX('Lease Cycles'!$FO$31:$FU$31,1,T401)))),0)</f>
        <v>0</v>
      </c>
      <c r="U409" s="24">
        <f>IF(U403=1,'Lease Cycles'!$D$31*IF(INDEX('Lease Cycles'!$EF$31:$EL$31,1,U401)=1,(1-'Lease Cycles'!$AJ$31)*INDEX('Lease Cycles'!$EM$31:$ES$31,1,U401)+(1-'Lease Cycles'!$BE$31)*IF(U402&lt;INDEX('Lease Cycles'!$FA$31:$FG$31,1,U401),0,1-INDEX('Lease Cycles'!$EM$31:$ES$31,1,U401)),IF(OR(INDEX('Lease Cycles'!$DY$31:$EE$31,1,U401)=1,U402&gt;0),1,1-INDEX('Lease Cycles'!$DD$31:$DJ$31,1,U401))*((1-'Lease Cycles'!$AJ$31)*INDEX('Lease Cycles'!$FO$31:$FU$31,1,U401)+(1-'Lease Cycles'!$BE$31)*(1-INDEX('Lease Cycles'!$FO$31:$FU$31,1,U401)))),0)</f>
        <v>0</v>
      </c>
      <c r="V409" s="24">
        <f>IF(V403=1,'Lease Cycles'!$D$31*IF(INDEX('Lease Cycles'!$EF$31:$EL$31,1,V401)=1,(1-'Lease Cycles'!$AJ$31)*INDEX('Lease Cycles'!$EM$31:$ES$31,1,V401)+(1-'Lease Cycles'!$BE$31)*IF(V402&lt;INDEX('Lease Cycles'!$FA$31:$FG$31,1,V401),0,1-INDEX('Lease Cycles'!$EM$31:$ES$31,1,V401)),IF(OR(INDEX('Lease Cycles'!$DY$31:$EE$31,1,V401)=1,V402&gt;0),1,1-INDEX('Lease Cycles'!$DD$31:$DJ$31,1,V401))*((1-'Lease Cycles'!$AJ$31)*INDEX('Lease Cycles'!$FO$31:$FU$31,1,V401)+(1-'Lease Cycles'!$BE$31)*(1-INDEX('Lease Cycles'!$FO$31:$FU$31,1,V401)))),0)</f>
        <v>0</v>
      </c>
      <c r="W409" s="24">
        <f>IF(W403=1,'Lease Cycles'!$D$31*IF(INDEX('Lease Cycles'!$EF$31:$EL$31,1,W401)=1,(1-'Lease Cycles'!$AJ$31)*INDEX('Lease Cycles'!$EM$31:$ES$31,1,W401)+(1-'Lease Cycles'!$BE$31)*IF(W402&lt;INDEX('Lease Cycles'!$FA$31:$FG$31,1,W401),0,1-INDEX('Lease Cycles'!$EM$31:$ES$31,1,W401)),IF(OR(INDEX('Lease Cycles'!$DY$31:$EE$31,1,W401)=1,W402&gt;0),1,1-INDEX('Lease Cycles'!$DD$31:$DJ$31,1,W401))*((1-'Lease Cycles'!$AJ$31)*INDEX('Lease Cycles'!$FO$31:$FU$31,1,W401)+(1-'Lease Cycles'!$BE$31)*(1-INDEX('Lease Cycles'!$FO$31:$FU$31,1,W401)))),0)</f>
        <v>0</v>
      </c>
      <c r="X409" s="24">
        <f>IF(X403=1,'Lease Cycles'!$D$31*IF(INDEX('Lease Cycles'!$EF$31:$EL$31,1,X401)=1,(1-'Lease Cycles'!$AJ$31)*INDEX('Lease Cycles'!$EM$31:$ES$31,1,X401)+(1-'Lease Cycles'!$BE$31)*IF(X402&lt;INDEX('Lease Cycles'!$FA$31:$FG$31,1,X401),0,1-INDEX('Lease Cycles'!$EM$31:$ES$31,1,X401)),IF(OR(INDEX('Lease Cycles'!$DY$31:$EE$31,1,X401)=1,X402&gt;0),1,1-INDEX('Lease Cycles'!$DD$31:$DJ$31,1,X401))*((1-'Lease Cycles'!$AJ$31)*INDEX('Lease Cycles'!$FO$31:$FU$31,1,X401)+(1-'Lease Cycles'!$BE$31)*(1-INDEX('Lease Cycles'!$FO$31:$FU$31,1,X401)))),0)</f>
        <v>0</v>
      </c>
      <c r="Y409" s="24">
        <f>IF(Y403=1,'Lease Cycles'!$D$31*IF(INDEX('Lease Cycles'!$EF$31:$EL$31,1,Y401)=1,(1-'Lease Cycles'!$AJ$31)*INDEX('Lease Cycles'!$EM$31:$ES$31,1,Y401)+(1-'Lease Cycles'!$BE$31)*IF(Y402&lt;INDEX('Lease Cycles'!$FA$31:$FG$31,1,Y401),0,1-INDEX('Lease Cycles'!$EM$31:$ES$31,1,Y401)),IF(OR(INDEX('Lease Cycles'!$DY$31:$EE$31,1,Y401)=1,Y402&gt;0),1,1-INDEX('Lease Cycles'!$DD$31:$DJ$31,1,Y401))*((1-'Lease Cycles'!$AJ$31)*INDEX('Lease Cycles'!$FO$31:$FU$31,1,Y401)+(1-'Lease Cycles'!$BE$31)*(1-INDEX('Lease Cycles'!$FO$31:$FU$31,1,Y401)))),0)</f>
        <v>0</v>
      </c>
      <c r="Z409" s="24">
        <f>IF(Z403=1,'Lease Cycles'!$D$31*IF(INDEX('Lease Cycles'!$EF$31:$EL$31,1,Z401)=1,(1-'Lease Cycles'!$AJ$31)*INDEX('Lease Cycles'!$EM$31:$ES$31,1,Z401)+(1-'Lease Cycles'!$BE$31)*IF(Z402&lt;INDEX('Lease Cycles'!$FA$31:$FG$31,1,Z401),0,1-INDEX('Lease Cycles'!$EM$31:$ES$31,1,Z401)),IF(OR(INDEX('Lease Cycles'!$DY$31:$EE$31,1,Z401)=1,Z402&gt;0),1,1-INDEX('Lease Cycles'!$DD$31:$DJ$31,1,Z401))*((1-'Lease Cycles'!$AJ$31)*INDEX('Lease Cycles'!$FO$31:$FU$31,1,Z401)+(1-'Lease Cycles'!$BE$31)*(1-INDEX('Lease Cycles'!$FO$31:$FU$31,1,Z401)))),0)</f>
        <v>0</v>
      </c>
      <c r="AA409" s="24">
        <f>IF(AA403=1,'Lease Cycles'!$D$31*IF(INDEX('Lease Cycles'!$EF$31:$EL$31,1,AA401)=1,(1-'Lease Cycles'!$AJ$31)*INDEX('Lease Cycles'!$EM$31:$ES$31,1,AA401)+(1-'Lease Cycles'!$BE$31)*IF(AA402&lt;INDEX('Lease Cycles'!$FA$31:$FG$31,1,AA401),0,1-INDEX('Lease Cycles'!$EM$31:$ES$31,1,AA401)),IF(OR(INDEX('Lease Cycles'!$DY$31:$EE$31,1,AA401)=1,AA402&gt;0),1,1-INDEX('Lease Cycles'!$DD$31:$DJ$31,1,AA401))*((1-'Lease Cycles'!$AJ$31)*INDEX('Lease Cycles'!$FO$31:$FU$31,1,AA401)+(1-'Lease Cycles'!$BE$31)*(1-INDEX('Lease Cycles'!$FO$31:$FU$31,1,AA401)))),0)</f>
        <v>0</v>
      </c>
      <c r="AB409" s="24">
        <f>IF(AB403=1,'Lease Cycles'!$D$31*IF(INDEX('Lease Cycles'!$EF$31:$EL$31,1,AB401)=1,(1-'Lease Cycles'!$AJ$31)*INDEX('Lease Cycles'!$EM$31:$ES$31,1,AB401)+(1-'Lease Cycles'!$BE$31)*IF(AB402&lt;INDEX('Lease Cycles'!$FA$31:$FG$31,1,AB401),0,1-INDEX('Lease Cycles'!$EM$31:$ES$31,1,AB401)),IF(OR(INDEX('Lease Cycles'!$DY$31:$EE$31,1,AB401)=1,AB402&gt;0),1,1-INDEX('Lease Cycles'!$DD$31:$DJ$31,1,AB401))*((1-'Lease Cycles'!$AJ$31)*INDEX('Lease Cycles'!$FO$31:$FU$31,1,AB401)+(1-'Lease Cycles'!$BE$31)*(1-INDEX('Lease Cycles'!$FO$31:$FU$31,1,AB401)))),0)</f>
        <v>0</v>
      </c>
      <c r="AC409" s="24">
        <f>IF(AC403=1,'Lease Cycles'!$D$31*IF(INDEX('Lease Cycles'!$EF$31:$EL$31,1,AC401)=1,(1-'Lease Cycles'!$AJ$31)*INDEX('Lease Cycles'!$EM$31:$ES$31,1,AC401)+(1-'Lease Cycles'!$BE$31)*IF(AC402&lt;INDEX('Lease Cycles'!$FA$31:$FG$31,1,AC401),0,1-INDEX('Lease Cycles'!$EM$31:$ES$31,1,AC401)),IF(OR(INDEX('Lease Cycles'!$DY$31:$EE$31,1,AC401)=1,AC402&gt;0),1,1-INDEX('Lease Cycles'!$DD$31:$DJ$31,1,AC401))*((1-'Lease Cycles'!$AJ$31)*INDEX('Lease Cycles'!$FO$31:$FU$31,1,AC401)+(1-'Lease Cycles'!$BE$31)*(1-INDEX('Lease Cycles'!$FO$31:$FU$31,1,AC401)))),0)</f>
        <v>0</v>
      </c>
      <c r="AD409" s="24">
        <f>IF(AD403=1,'Lease Cycles'!$D$31*IF(INDEX('Lease Cycles'!$EF$31:$EL$31,1,AD401)=1,(1-'Lease Cycles'!$AJ$31)*INDEX('Lease Cycles'!$EM$31:$ES$31,1,AD401)+(1-'Lease Cycles'!$BE$31)*IF(AD402&lt;INDEX('Lease Cycles'!$FA$31:$FG$31,1,AD401),0,1-INDEX('Lease Cycles'!$EM$31:$ES$31,1,AD401)),IF(OR(INDEX('Lease Cycles'!$DY$31:$EE$31,1,AD401)=1,AD402&gt;0),1,1-INDEX('Lease Cycles'!$DD$31:$DJ$31,1,AD401))*((1-'Lease Cycles'!$AJ$31)*INDEX('Lease Cycles'!$FO$31:$FU$31,1,AD401)+(1-'Lease Cycles'!$BE$31)*(1-INDEX('Lease Cycles'!$FO$31:$FU$31,1,AD401)))),0)</f>
        <v>0</v>
      </c>
      <c r="AE409" s="24">
        <f>IF(AE403=1,'Lease Cycles'!$D$31*IF(INDEX('Lease Cycles'!$EF$31:$EL$31,1,AE401)=1,(1-'Lease Cycles'!$AJ$31)*INDEX('Lease Cycles'!$EM$31:$ES$31,1,AE401)+(1-'Lease Cycles'!$BE$31)*IF(AE402&lt;INDEX('Lease Cycles'!$FA$31:$FG$31,1,AE401),0,1-INDEX('Lease Cycles'!$EM$31:$ES$31,1,AE401)),IF(OR(INDEX('Lease Cycles'!$DY$31:$EE$31,1,AE401)=1,AE402&gt;0),1,1-INDEX('Lease Cycles'!$DD$31:$DJ$31,1,AE401))*((1-'Lease Cycles'!$AJ$31)*INDEX('Lease Cycles'!$FO$31:$FU$31,1,AE401)+(1-'Lease Cycles'!$BE$31)*(1-INDEX('Lease Cycles'!$FO$31:$FU$31,1,AE401)))),0)</f>
        <v>0</v>
      </c>
      <c r="AF409" s="24">
        <f>IF(AF403=1,'Lease Cycles'!$D$31*IF(INDEX('Lease Cycles'!$EF$31:$EL$31,1,AF401)=1,(1-'Lease Cycles'!$AJ$31)*INDEX('Lease Cycles'!$EM$31:$ES$31,1,AF401)+(1-'Lease Cycles'!$BE$31)*IF(AF402&lt;INDEX('Lease Cycles'!$FA$31:$FG$31,1,AF401),0,1-INDEX('Lease Cycles'!$EM$31:$ES$31,1,AF401)),IF(OR(INDEX('Lease Cycles'!$DY$31:$EE$31,1,AF401)=1,AF402&gt;0),1,1-INDEX('Lease Cycles'!$DD$31:$DJ$31,1,AF401))*((1-'Lease Cycles'!$AJ$31)*INDEX('Lease Cycles'!$FO$31:$FU$31,1,AF401)+(1-'Lease Cycles'!$BE$31)*(1-INDEX('Lease Cycles'!$FO$31:$FU$31,1,AF401)))),0)</f>
        <v>0</v>
      </c>
      <c r="AG409" s="24">
        <f>IF(AG403=1,'Lease Cycles'!$D$31*IF(INDEX('Lease Cycles'!$EF$31:$EL$31,1,AG401)=1,(1-'Lease Cycles'!$AJ$31)*INDEX('Lease Cycles'!$EM$31:$ES$31,1,AG401)+(1-'Lease Cycles'!$BE$31)*IF(AG402&lt;INDEX('Lease Cycles'!$FA$31:$FG$31,1,AG401),0,1-INDEX('Lease Cycles'!$EM$31:$ES$31,1,AG401)),IF(OR(INDEX('Lease Cycles'!$DY$31:$EE$31,1,AG401)=1,AG402&gt;0),1,1-INDEX('Lease Cycles'!$DD$31:$DJ$31,1,AG401))*((1-'Lease Cycles'!$AJ$31)*INDEX('Lease Cycles'!$FO$31:$FU$31,1,AG401)+(1-'Lease Cycles'!$BE$31)*(1-INDEX('Lease Cycles'!$FO$31:$FU$31,1,AG401)))),0)</f>
        <v>0</v>
      </c>
      <c r="AH409" s="24">
        <f>IF(AH403=1,'Lease Cycles'!$D$31*IF(INDEX('Lease Cycles'!$EF$31:$EL$31,1,AH401)=1,(1-'Lease Cycles'!$AJ$31)*INDEX('Lease Cycles'!$EM$31:$ES$31,1,AH401)+(1-'Lease Cycles'!$BE$31)*IF(AH402&lt;INDEX('Lease Cycles'!$FA$31:$FG$31,1,AH401),0,1-INDEX('Lease Cycles'!$EM$31:$ES$31,1,AH401)),IF(OR(INDEX('Lease Cycles'!$DY$31:$EE$31,1,AH401)=1,AH402&gt;0),1,1-INDEX('Lease Cycles'!$DD$31:$DJ$31,1,AH401))*((1-'Lease Cycles'!$AJ$31)*INDEX('Lease Cycles'!$FO$31:$FU$31,1,AH401)+(1-'Lease Cycles'!$BE$31)*(1-INDEX('Lease Cycles'!$FO$31:$FU$31,1,AH401)))),0)</f>
        <v>0</v>
      </c>
      <c r="AI409" s="24">
        <f>IF(AI403=1,'Lease Cycles'!$D$31*IF(INDEX('Lease Cycles'!$EF$31:$EL$31,1,AI401)=1,(1-'Lease Cycles'!$AJ$31)*INDEX('Lease Cycles'!$EM$31:$ES$31,1,AI401)+(1-'Lease Cycles'!$BE$31)*IF(AI402&lt;INDEX('Lease Cycles'!$FA$31:$FG$31,1,AI401),0,1-INDEX('Lease Cycles'!$EM$31:$ES$31,1,AI401)),IF(OR(INDEX('Lease Cycles'!$DY$31:$EE$31,1,AI401)=1,AI402&gt;0),1,1-INDEX('Lease Cycles'!$DD$31:$DJ$31,1,AI401))*((1-'Lease Cycles'!$AJ$31)*INDEX('Lease Cycles'!$FO$31:$FU$31,1,AI401)+(1-'Lease Cycles'!$BE$31)*(1-INDEX('Lease Cycles'!$FO$31:$FU$31,1,AI401)))),0)</f>
        <v>0</v>
      </c>
      <c r="AJ409" s="24">
        <f>IF(AJ403=1,'Lease Cycles'!$D$31*IF(INDEX('Lease Cycles'!$EF$31:$EL$31,1,AJ401)=1,(1-'Lease Cycles'!$AJ$31)*INDEX('Lease Cycles'!$EM$31:$ES$31,1,AJ401)+(1-'Lease Cycles'!$BE$31)*IF(AJ402&lt;INDEX('Lease Cycles'!$FA$31:$FG$31,1,AJ401),0,1-INDEX('Lease Cycles'!$EM$31:$ES$31,1,AJ401)),IF(OR(INDEX('Lease Cycles'!$DY$31:$EE$31,1,AJ401)=1,AJ402&gt;0),1,1-INDEX('Lease Cycles'!$DD$31:$DJ$31,1,AJ401))*((1-'Lease Cycles'!$AJ$31)*INDEX('Lease Cycles'!$FO$31:$FU$31,1,AJ401)+(1-'Lease Cycles'!$BE$31)*(1-INDEX('Lease Cycles'!$FO$31:$FU$31,1,AJ401)))),0)</f>
        <v>0</v>
      </c>
      <c r="AK409" s="24">
        <f>IF(AK403=1,'Lease Cycles'!$D$31*IF(INDEX('Lease Cycles'!$EF$31:$EL$31,1,AK401)=1,(1-'Lease Cycles'!$AJ$31)*INDEX('Lease Cycles'!$EM$31:$ES$31,1,AK401)+(1-'Lease Cycles'!$BE$31)*IF(AK402&lt;INDEX('Lease Cycles'!$FA$31:$FG$31,1,AK401),0,1-INDEX('Lease Cycles'!$EM$31:$ES$31,1,AK401)),IF(OR(INDEX('Lease Cycles'!$DY$31:$EE$31,1,AK401)=1,AK402&gt;0),1,1-INDEX('Lease Cycles'!$DD$31:$DJ$31,1,AK401))*((1-'Lease Cycles'!$AJ$31)*INDEX('Lease Cycles'!$FO$31:$FU$31,1,AK401)+(1-'Lease Cycles'!$BE$31)*(1-INDEX('Lease Cycles'!$FO$31:$FU$31,1,AK401)))),0)</f>
        <v>0</v>
      </c>
      <c r="AL409" s="24">
        <f>IF(AL403=1,'Lease Cycles'!$D$31*IF(INDEX('Lease Cycles'!$EF$31:$EL$31,1,AL401)=1,(1-'Lease Cycles'!$AJ$31)*INDEX('Lease Cycles'!$EM$31:$ES$31,1,AL401)+(1-'Lease Cycles'!$BE$31)*IF(AL402&lt;INDEX('Lease Cycles'!$FA$31:$FG$31,1,AL401),0,1-INDEX('Lease Cycles'!$EM$31:$ES$31,1,AL401)),IF(OR(INDEX('Lease Cycles'!$DY$31:$EE$31,1,AL401)=1,AL402&gt;0),1,1-INDEX('Lease Cycles'!$DD$31:$DJ$31,1,AL401))*((1-'Lease Cycles'!$AJ$31)*INDEX('Lease Cycles'!$FO$31:$FU$31,1,AL401)+(1-'Lease Cycles'!$BE$31)*(1-INDEX('Lease Cycles'!$FO$31:$FU$31,1,AL401)))),0)</f>
        <v>0</v>
      </c>
      <c r="AM409" s="24">
        <f>IF(AM403=1,'Lease Cycles'!$D$31*IF(INDEX('Lease Cycles'!$EF$31:$EL$31,1,AM401)=1,(1-'Lease Cycles'!$AJ$31)*INDEX('Lease Cycles'!$EM$31:$ES$31,1,AM401)+(1-'Lease Cycles'!$BE$31)*IF(AM402&lt;INDEX('Lease Cycles'!$FA$31:$FG$31,1,AM401),0,1-INDEX('Lease Cycles'!$EM$31:$ES$31,1,AM401)),IF(OR(INDEX('Lease Cycles'!$DY$31:$EE$31,1,AM401)=1,AM402&gt;0),1,1-INDEX('Lease Cycles'!$DD$31:$DJ$31,1,AM401))*((1-'Lease Cycles'!$AJ$31)*INDEX('Lease Cycles'!$FO$31:$FU$31,1,AM401)+(1-'Lease Cycles'!$BE$31)*(1-INDEX('Lease Cycles'!$FO$31:$FU$31,1,AM401)))),0)</f>
        <v>0</v>
      </c>
      <c r="AN409" s="24">
        <f>IF(AN403=1,'Lease Cycles'!$D$31*IF(INDEX('Lease Cycles'!$EF$31:$EL$31,1,AN401)=1,(1-'Lease Cycles'!$AJ$31)*INDEX('Lease Cycles'!$EM$31:$ES$31,1,AN401)+(1-'Lease Cycles'!$BE$31)*IF(AN402&lt;INDEX('Lease Cycles'!$FA$31:$FG$31,1,AN401),0,1-INDEX('Lease Cycles'!$EM$31:$ES$31,1,AN401)),IF(OR(INDEX('Lease Cycles'!$DY$31:$EE$31,1,AN401)=1,AN402&gt;0),1,1-INDEX('Lease Cycles'!$DD$31:$DJ$31,1,AN401))*((1-'Lease Cycles'!$AJ$31)*INDEX('Lease Cycles'!$FO$31:$FU$31,1,AN401)+(1-'Lease Cycles'!$BE$31)*(1-INDEX('Lease Cycles'!$FO$31:$FU$31,1,AN401)))),0)</f>
        <v>0</v>
      </c>
      <c r="AO409" s="24">
        <f>IF(AO403=1,'Lease Cycles'!$D$31*IF(INDEX('Lease Cycles'!$EF$31:$EL$31,1,AO401)=1,(1-'Lease Cycles'!$AJ$31)*INDEX('Lease Cycles'!$EM$31:$ES$31,1,AO401)+(1-'Lease Cycles'!$BE$31)*IF(AO402&lt;INDEX('Lease Cycles'!$FA$31:$FG$31,1,AO401),0,1-INDEX('Lease Cycles'!$EM$31:$ES$31,1,AO401)),IF(OR(INDEX('Lease Cycles'!$DY$31:$EE$31,1,AO401)=1,AO402&gt;0),1,1-INDEX('Lease Cycles'!$DD$31:$DJ$31,1,AO401))*((1-'Lease Cycles'!$AJ$31)*INDEX('Lease Cycles'!$FO$31:$FU$31,1,AO401)+(1-'Lease Cycles'!$BE$31)*(1-INDEX('Lease Cycles'!$FO$31:$FU$31,1,AO401)))),0)</f>
        <v>0</v>
      </c>
      <c r="AP409" s="24">
        <f>IF(AP403=1,'Lease Cycles'!$D$31*IF(INDEX('Lease Cycles'!$EF$31:$EL$31,1,AP401)=1,(1-'Lease Cycles'!$AJ$31)*INDEX('Lease Cycles'!$EM$31:$ES$31,1,AP401)+(1-'Lease Cycles'!$BE$31)*IF(AP402&lt;INDEX('Lease Cycles'!$FA$31:$FG$31,1,AP401),0,1-INDEX('Lease Cycles'!$EM$31:$ES$31,1,AP401)),IF(OR(INDEX('Lease Cycles'!$DY$31:$EE$31,1,AP401)=1,AP402&gt;0),1,1-INDEX('Lease Cycles'!$DD$31:$DJ$31,1,AP401))*((1-'Lease Cycles'!$AJ$31)*INDEX('Lease Cycles'!$FO$31:$FU$31,1,AP401)+(1-'Lease Cycles'!$BE$31)*(1-INDEX('Lease Cycles'!$FO$31:$FU$31,1,AP401)))),0)</f>
        <v>0</v>
      </c>
      <c r="AQ409" s="24">
        <f>IF(AQ403=1,'Lease Cycles'!$D$31*IF(INDEX('Lease Cycles'!$EF$31:$EL$31,1,AQ401)=1,(1-'Lease Cycles'!$AJ$31)*INDEX('Lease Cycles'!$EM$31:$ES$31,1,AQ401)+(1-'Lease Cycles'!$BE$31)*IF(AQ402&lt;INDEX('Lease Cycles'!$FA$31:$FG$31,1,AQ401),0,1-INDEX('Lease Cycles'!$EM$31:$ES$31,1,AQ401)),IF(OR(INDEX('Lease Cycles'!$DY$31:$EE$31,1,AQ401)=1,AQ402&gt;0),1,1-INDEX('Lease Cycles'!$DD$31:$DJ$31,1,AQ401))*((1-'Lease Cycles'!$AJ$31)*INDEX('Lease Cycles'!$FO$31:$FU$31,1,AQ401)+(1-'Lease Cycles'!$BE$31)*(1-INDEX('Lease Cycles'!$FO$31:$FU$31,1,AQ401)))),0)</f>
        <v>0</v>
      </c>
      <c r="AR409" s="24">
        <f>IF(AR403=1,'Lease Cycles'!$D$31*IF(INDEX('Lease Cycles'!$EF$31:$EL$31,1,AR401)=1,(1-'Lease Cycles'!$AJ$31)*INDEX('Lease Cycles'!$EM$31:$ES$31,1,AR401)+(1-'Lease Cycles'!$BE$31)*IF(AR402&lt;INDEX('Lease Cycles'!$FA$31:$FG$31,1,AR401),0,1-INDEX('Lease Cycles'!$EM$31:$ES$31,1,AR401)),IF(OR(INDEX('Lease Cycles'!$DY$31:$EE$31,1,AR401)=1,AR402&gt;0),1,1-INDEX('Lease Cycles'!$DD$31:$DJ$31,1,AR401))*((1-'Lease Cycles'!$AJ$31)*INDEX('Lease Cycles'!$FO$31:$FU$31,1,AR401)+(1-'Lease Cycles'!$BE$31)*(1-INDEX('Lease Cycles'!$FO$31:$FU$31,1,AR401)))),0)</f>
        <v>0</v>
      </c>
      <c r="AS409" s="24">
        <f>IF(AS403=1,'Lease Cycles'!$D$31*IF(INDEX('Lease Cycles'!$EF$31:$EL$31,1,AS401)=1,(1-'Lease Cycles'!$AJ$31)*INDEX('Lease Cycles'!$EM$31:$ES$31,1,AS401)+(1-'Lease Cycles'!$BE$31)*IF(AS402&lt;INDEX('Lease Cycles'!$FA$31:$FG$31,1,AS401),0,1-INDEX('Lease Cycles'!$EM$31:$ES$31,1,AS401)),IF(OR(INDEX('Lease Cycles'!$DY$31:$EE$31,1,AS401)=1,AS402&gt;0),1,1-INDEX('Lease Cycles'!$DD$31:$DJ$31,1,AS401))*((1-'Lease Cycles'!$AJ$31)*INDEX('Lease Cycles'!$FO$31:$FU$31,1,AS401)+(1-'Lease Cycles'!$BE$31)*(1-INDEX('Lease Cycles'!$FO$31:$FU$31,1,AS401)))),0)</f>
        <v>0</v>
      </c>
      <c r="AT409" s="24">
        <f>IF(AT403=1,'Lease Cycles'!$D$31*IF(INDEX('Lease Cycles'!$EF$31:$EL$31,1,AT401)=1,(1-'Lease Cycles'!$AJ$31)*INDEX('Lease Cycles'!$EM$31:$ES$31,1,AT401)+(1-'Lease Cycles'!$BE$31)*IF(AT402&lt;INDEX('Lease Cycles'!$FA$31:$FG$31,1,AT401),0,1-INDEX('Lease Cycles'!$EM$31:$ES$31,1,AT401)),IF(OR(INDEX('Lease Cycles'!$DY$31:$EE$31,1,AT401)=1,AT402&gt;0),1,1-INDEX('Lease Cycles'!$DD$31:$DJ$31,1,AT401))*((1-'Lease Cycles'!$AJ$31)*INDEX('Lease Cycles'!$FO$31:$FU$31,1,AT401)+(1-'Lease Cycles'!$BE$31)*(1-INDEX('Lease Cycles'!$FO$31:$FU$31,1,AT401)))),0)</f>
        <v>0</v>
      </c>
      <c r="AU409" s="24">
        <f>IF(AU403=1,'Lease Cycles'!$D$31*IF(INDEX('Lease Cycles'!$EF$31:$EL$31,1,AU401)=1,(1-'Lease Cycles'!$AJ$31)*INDEX('Lease Cycles'!$EM$31:$ES$31,1,AU401)+(1-'Lease Cycles'!$BE$31)*IF(AU402&lt;INDEX('Lease Cycles'!$FA$31:$FG$31,1,AU401),0,1-INDEX('Lease Cycles'!$EM$31:$ES$31,1,AU401)),IF(OR(INDEX('Lease Cycles'!$DY$31:$EE$31,1,AU401)=1,AU402&gt;0),1,1-INDEX('Lease Cycles'!$DD$31:$DJ$31,1,AU401))*((1-'Lease Cycles'!$AJ$31)*INDEX('Lease Cycles'!$FO$31:$FU$31,1,AU401)+(1-'Lease Cycles'!$BE$31)*(1-INDEX('Lease Cycles'!$FO$31:$FU$31,1,AU401)))),0)</f>
        <v>0</v>
      </c>
      <c r="AV409" s="24">
        <f>IF(AV403=1,'Lease Cycles'!$D$31*IF(INDEX('Lease Cycles'!$EF$31:$EL$31,1,AV401)=1,(1-'Lease Cycles'!$AJ$31)*INDEX('Lease Cycles'!$EM$31:$ES$31,1,AV401)+(1-'Lease Cycles'!$BE$31)*IF(AV402&lt;INDEX('Lease Cycles'!$FA$31:$FG$31,1,AV401),0,1-INDEX('Lease Cycles'!$EM$31:$ES$31,1,AV401)),IF(OR(INDEX('Lease Cycles'!$DY$31:$EE$31,1,AV401)=1,AV402&gt;0),1,1-INDEX('Lease Cycles'!$DD$31:$DJ$31,1,AV401))*((1-'Lease Cycles'!$AJ$31)*INDEX('Lease Cycles'!$FO$31:$FU$31,1,AV401)+(1-'Lease Cycles'!$BE$31)*(1-INDEX('Lease Cycles'!$FO$31:$FU$31,1,AV401)))),0)</f>
        <v>0</v>
      </c>
      <c r="AW409" s="24">
        <f>IF(AW403=1,'Lease Cycles'!$D$31*IF(INDEX('Lease Cycles'!$EF$31:$EL$31,1,AW401)=1,(1-'Lease Cycles'!$AJ$31)*INDEX('Lease Cycles'!$EM$31:$ES$31,1,AW401)+(1-'Lease Cycles'!$BE$31)*IF(AW402&lt;INDEX('Lease Cycles'!$FA$31:$FG$31,1,AW401),0,1-INDEX('Lease Cycles'!$EM$31:$ES$31,1,AW401)),IF(OR(INDEX('Lease Cycles'!$DY$31:$EE$31,1,AW401)=1,AW402&gt;0),1,1-INDEX('Lease Cycles'!$DD$31:$DJ$31,1,AW401))*((1-'Lease Cycles'!$AJ$31)*INDEX('Lease Cycles'!$FO$31:$FU$31,1,AW401)+(1-'Lease Cycles'!$BE$31)*(1-INDEX('Lease Cycles'!$FO$31:$FU$31,1,AW401)))),0)</f>
        <v>0</v>
      </c>
      <c r="AX409" s="24">
        <f>IF(AX403=1,'Lease Cycles'!$D$31*IF(INDEX('Lease Cycles'!$EF$31:$EL$31,1,AX401)=1,(1-'Lease Cycles'!$AJ$31)*INDEX('Lease Cycles'!$EM$31:$ES$31,1,AX401)+(1-'Lease Cycles'!$BE$31)*IF(AX402&lt;INDEX('Lease Cycles'!$FA$31:$FG$31,1,AX401),0,1-INDEX('Lease Cycles'!$EM$31:$ES$31,1,AX401)),IF(OR(INDEX('Lease Cycles'!$DY$31:$EE$31,1,AX401)=1,AX402&gt;0),1,1-INDEX('Lease Cycles'!$DD$31:$DJ$31,1,AX401))*((1-'Lease Cycles'!$AJ$31)*INDEX('Lease Cycles'!$FO$31:$FU$31,1,AX401)+(1-'Lease Cycles'!$BE$31)*(1-INDEX('Lease Cycles'!$FO$31:$FU$31,1,AX401)))),0)</f>
        <v>0</v>
      </c>
      <c r="AY409" s="24">
        <f>IF(AY403=1,'Lease Cycles'!$D$31*IF(INDEX('Lease Cycles'!$EF$31:$EL$31,1,AY401)=1,(1-'Lease Cycles'!$AJ$31)*INDEX('Lease Cycles'!$EM$31:$ES$31,1,AY401)+(1-'Lease Cycles'!$BE$31)*IF(AY402&lt;INDEX('Lease Cycles'!$FA$31:$FG$31,1,AY401),0,1-INDEX('Lease Cycles'!$EM$31:$ES$31,1,AY401)),IF(OR(INDEX('Lease Cycles'!$DY$31:$EE$31,1,AY401)=1,AY402&gt;0),1,1-INDEX('Lease Cycles'!$DD$31:$DJ$31,1,AY401))*((1-'Lease Cycles'!$AJ$31)*INDEX('Lease Cycles'!$FO$31:$FU$31,1,AY401)+(1-'Lease Cycles'!$BE$31)*(1-INDEX('Lease Cycles'!$FO$31:$FU$31,1,AY401)))),0)</f>
        <v>0</v>
      </c>
      <c r="AZ409" s="24">
        <f>IF(AZ403=1,'Lease Cycles'!$D$31*IF(INDEX('Lease Cycles'!$EF$31:$EL$31,1,AZ401)=1,(1-'Lease Cycles'!$AJ$31)*INDEX('Lease Cycles'!$EM$31:$ES$31,1,AZ401)+(1-'Lease Cycles'!$BE$31)*IF(AZ402&lt;INDEX('Lease Cycles'!$FA$31:$FG$31,1,AZ401),0,1-INDEX('Lease Cycles'!$EM$31:$ES$31,1,AZ401)),IF(OR(INDEX('Lease Cycles'!$DY$31:$EE$31,1,AZ401)=1,AZ402&gt;0),1,1-INDEX('Lease Cycles'!$DD$31:$DJ$31,1,AZ401))*((1-'Lease Cycles'!$AJ$31)*INDEX('Lease Cycles'!$FO$31:$FU$31,1,AZ401)+(1-'Lease Cycles'!$BE$31)*(1-INDEX('Lease Cycles'!$FO$31:$FU$31,1,AZ401)))),0)</f>
        <v>0</v>
      </c>
      <c r="BA409" s="24">
        <f>IF(BA403=1,'Lease Cycles'!$D$31*IF(INDEX('Lease Cycles'!$EF$31:$EL$31,1,BA401)=1,(1-'Lease Cycles'!$AJ$31)*INDEX('Lease Cycles'!$EM$31:$ES$31,1,BA401)+(1-'Lease Cycles'!$BE$31)*IF(BA402&lt;INDEX('Lease Cycles'!$FA$31:$FG$31,1,BA401),0,1-INDEX('Lease Cycles'!$EM$31:$ES$31,1,BA401)),IF(OR(INDEX('Lease Cycles'!$DY$31:$EE$31,1,BA401)=1,BA402&gt;0),1,1-INDEX('Lease Cycles'!$DD$31:$DJ$31,1,BA401))*((1-'Lease Cycles'!$AJ$31)*INDEX('Lease Cycles'!$FO$31:$FU$31,1,BA401)+(1-'Lease Cycles'!$BE$31)*(1-INDEX('Lease Cycles'!$FO$31:$FU$31,1,BA401)))),0)</f>
        <v>0</v>
      </c>
      <c r="BB409" s="24">
        <f>IF(BB403=1,'Lease Cycles'!$D$31*IF(INDEX('Lease Cycles'!$EF$31:$EL$31,1,BB401)=1,(1-'Lease Cycles'!$AJ$31)*INDEX('Lease Cycles'!$EM$31:$ES$31,1,BB401)+(1-'Lease Cycles'!$BE$31)*IF(BB402&lt;INDEX('Lease Cycles'!$FA$31:$FG$31,1,BB401),0,1-INDEX('Lease Cycles'!$EM$31:$ES$31,1,BB401)),IF(OR(INDEX('Lease Cycles'!$DY$31:$EE$31,1,BB401)=1,BB402&gt;0),1,1-INDEX('Lease Cycles'!$DD$31:$DJ$31,1,BB401))*((1-'Lease Cycles'!$AJ$31)*INDEX('Lease Cycles'!$FO$31:$FU$31,1,BB401)+(1-'Lease Cycles'!$BE$31)*(1-INDEX('Lease Cycles'!$FO$31:$FU$31,1,BB401)))),0)</f>
        <v>0</v>
      </c>
      <c r="BC409" s="24">
        <f>IF(BC403=1,'Lease Cycles'!$D$31*IF(INDEX('Lease Cycles'!$EF$31:$EL$31,1,BC401)=1,(1-'Lease Cycles'!$AJ$31)*INDEX('Lease Cycles'!$EM$31:$ES$31,1,BC401)+(1-'Lease Cycles'!$BE$31)*IF(BC402&lt;INDEX('Lease Cycles'!$FA$31:$FG$31,1,BC401),0,1-INDEX('Lease Cycles'!$EM$31:$ES$31,1,BC401)),IF(OR(INDEX('Lease Cycles'!$DY$31:$EE$31,1,BC401)=1,BC402&gt;0),1,1-INDEX('Lease Cycles'!$DD$31:$DJ$31,1,BC401))*((1-'Lease Cycles'!$AJ$31)*INDEX('Lease Cycles'!$FO$31:$FU$31,1,BC401)+(1-'Lease Cycles'!$BE$31)*(1-INDEX('Lease Cycles'!$FO$31:$FU$31,1,BC401)))),0)</f>
        <v>0</v>
      </c>
      <c r="BD409" s="24">
        <f>IF(BD403=1,'Lease Cycles'!$D$31*IF(INDEX('Lease Cycles'!$EF$31:$EL$31,1,BD401)=1,(1-'Lease Cycles'!$AJ$31)*INDEX('Lease Cycles'!$EM$31:$ES$31,1,BD401)+(1-'Lease Cycles'!$BE$31)*IF(BD402&lt;INDEX('Lease Cycles'!$FA$31:$FG$31,1,BD401),0,1-INDEX('Lease Cycles'!$EM$31:$ES$31,1,BD401)),IF(OR(INDEX('Lease Cycles'!$DY$31:$EE$31,1,BD401)=1,BD402&gt;0),1,1-INDEX('Lease Cycles'!$DD$31:$DJ$31,1,BD401))*((1-'Lease Cycles'!$AJ$31)*INDEX('Lease Cycles'!$FO$31:$FU$31,1,BD401)+(1-'Lease Cycles'!$BE$31)*(1-INDEX('Lease Cycles'!$FO$31:$FU$31,1,BD401)))),0)</f>
        <v>0</v>
      </c>
      <c r="BE409" s="24">
        <f>IF(BE403=1,'Lease Cycles'!$D$31*IF(INDEX('Lease Cycles'!$EF$31:$EL$31,1,BE401)=1,(1-'Lease Cycles'!$AJ$31)*INDEX('Lease Cycles'!$EM$31:$ES$31,1,BE401)+(1-'Lease Cycles'!$BE$31)*IF(BE402&lt;INDEX('Lease Cycles'!$FA$31:$FG$31,1,BE401),0,1-INDEX('Lease Cycles'!$EM$31:$ES$31,1,BE401)),IF(OR(INDEX('Lease Cycles'!$DY$31:$EE$31,1,BE401)=1,BE402&gt;0),1,1-INDEX('Lease Cycles'!$DD$31:$DJ$31,1,BE401))*((1-'Lease Cycles'!$AJ$31)*INDEX('Lease Cycles'!$FO$31:$FU$31,1,BE401)+(1-'Lease Cycles'!$BE$31)*(1-INDEX('Lease Cycles'!$FO$31:$FU$31,1,BE401)))),0)</f>
        <v>0</v>
      </c>
      <c r="BF409" s="24">
        <f>IF(BF403=1,'Lease Cycles'!$D$31*IF(INDEX('Lease Cycles'!$EF$31:$EL$31,1,BF401)=1,(1-'Lease Cycles'!$AJ$31)*INDEX('Lease Cycles'!$EM$31:$ES$31,1,BF401)+(1-'Lease Cycles'!$BE$31)*IF(BF402&lt;INDEX('Lease Cycles'!$FA$31:$FG$31,1,BF401),0,1-INDEX('Lease Cycles'!$EM$31:$ES$31,1,BF401)),IF(OR(INDEX('Lease Cycles'!$DY$31:$EE$31,1,BF401)=1,BF402&gt;0),1,1-INDEX('Lease Cycles'!$DD$31:$DJ$31,1,BF401))*((1-'Lease Cycles'!$AJ$31)*INDEX('Lease Cycles'!$FO$31:$FU$31,1,BF401)+(1-'Lease Cycles'!$BE$31)*(1-INDEX('Lease Cycles'!$FO$31:$FU$31,1,BF401)))),0)</f>
        <v>0</v>
      </c>
      <c r="BG409" s="24">
        <f>IF(BG403=1,'Lease Cycles'!$D$31*IF(INDEX('Lease Cycles'!$EF$31:$EL$31,1,BG401)=1,(1-'Lease Cycles'!$AJ$31)*INDEX('Lease Cycles'!$EM$31:$ES$31,1,BG401)+(1-'Lease Cycles'!$BE$31)*IF(BG402&lt;INDEX('Lease Cycles'!$FA$31:$FG$31,1,BG401),0,1-INDEX('Lease Cycles'!$EM$31:$ES$31,1,BG401)),IF(OR(INDEX('Lease Cycles'!$DY$31:$EE$31,1,BG401)=1,BG402&gt;0),1,1-INDEX('Lease Cycles'!$DD$31:$DJ$31,1,BG401))*((1-'Lease Cycles'!$AJ$31)*INDEX('Lease Cycles'!$FO$31:$FU$31,1,BG401)+(1-'Lease Cycles'!$BE$31)*(1-INDEX('Lease Cycles'!$FO$31:$FU$31,1,BG401)))),0)</f>
        <v>0</v>
      </c>
      <c r="BH409" s="24">
        <f>IF(BH403=1,'Lease Cycles'!$D$31*IF(INDEX('Lease Cycles'!$EF$31:$EL$31,1,BH401)=1,(1-'Lease Cycles'!$AJ$31)*INDEX('Lease Cycles'!$EM$31:$ES$31,1,BH401)+(1-'Lease Cycles'!$BE$31)*IF(BH402&lt;INDEX('Lease Cycles'!$FA$31:$FG$31,1,BH401),0,1-INDEX('Lease Cycles'!$EM$31:$ES$31,1,BH401)),IF(OR(INDEX('Lease Cycles'!$DY$31:$EE$31,1,BH401)=1,BH402&gt;0),1,1-INDEX('Lease Cycles'!$DD$31:$DJ$31,1,BH401))*((1-'Lease Cycles'!$AJ$31)*INDEX('Lease Cycles'!$FO$31:$FU$31,1,BH401)+(1-'Lease Cycles'!$BE$31)*(1-INDEX('Lease Cycles'!$FO$31:$FU$31,1,BH401)))),0)</f>
        <v>0</v>
      </c>
      <c r="BI409" s="24">
        <f>IF(BI403=1,'Lease Cycles'!$D$31*IF(INDEX('Lease Cycles'!$EF$31:$EL$31,1,BI401)=1,(1-'Lease Cycles'!$AJ$31)*INDEX('Lease Cycles'!$EM$31:$ES$31,1,BI401)+(1-'Lease Cycles'!$BE$31)*IF(BI402&lt;INDEX('Lease Cycles'!$FA$31:$FG$31,1,BI401),0,1-INDEX('Lease Cycles'!$EM$31:$ES$31,1,BI401)),IF(OR(INDEX('Lease Cycles'!$DY$31:$EE$31,1,BI401)=1,BI402&gt;0),1,1-INDEX('Lease Cycles'!$DD$31:$DJ$31,1,BI401))*((1-'Lease Cycles'!$AJ$31)*INDEX('Lease Cycles'!$FO$31:$FU$31,1,BI401)+(1-'Lease Cycles'!$BE$31)*(1-INDEX('Lease Cycles'!$FO$31:$FU$31,1,BI401)))),0)</f>
        <v>0</v>
      </c>
      <c r="BJ409" s="24">
        <f>IF(BJ403=1,'Lease Cycles'!$D$31*IF(INDEX('Lease Cycles'!$EF$31:$EL$31,1,BJ401)=1,(1-'Lease Cycles'!$AJ$31)*INDEX('Lease Cycles'!$EM$31:$ES$31,1,BJ401)+(1-'Lease Cycles'!$BE$31)*IF(BJ402&lt;INDEX('Lease Cycles'!$FA$31:$FG$31,1,BJ401),0,1-INDEX('Lease Cycles'!$EM$31:$ES$31,1,BJ401)),IF(OR(INDEX('Lease Cycles'!$DY$31:$EE$31,1,BJ401)=1,BJ402&gt;0),1,1-INDEX('Lease Cycles'!$DD$31:$DJ$31,1,BJ401))*((1-'Lease Cycles'!$AJ$31)*INDEX('Lease Cycles'!$FO$31:$FU$31,1,BJ401)+(1-'Lease Cycles'!$BE$31)*(1-INDEX('Lease Cycles'!$FO$31:$FU$31,1,BJ401)))),0)</f>
        <v>0</v>
      </c>
      <c r="BK409" s="24">
        <f>IF(BK403=1,'Lease Cycles'!$D$31*IF(INDEX('Lease Cycles'!$EF$31:$EL$31,1,BK401)=1,(1-'Lease Cycles'!$AJ$31)*INDEX('Lease Cycles'!$EM$31:$ES$31,1,BK401)+(1-'Lease Cycles'!$BE$31)*IF(BK402&lt;INDEX('Lease Cycles'!$FA$31:$FG$31,1,BK401),0,1-INDEX('Lease Cycles'!$EM$31:$ES$31,1,BK401)),IF(OR(INDEX('Lease Cycles'!$DY$31:$EE$31,1,BK401)=1,BK402&gt;0),1,1-INDEX('Lease Cycles'!$DD$31:$DJ$31,1,BK401))*((1-'Lease Cycles'!$AJ$31)*INDEX('Lease Cycles'!$FO$31:$FU$31,1,BK401)+(1-'Lease Cycles'!$BE$31)*(1-INDEX('Lease Cycles'!$FO$31:$FU$31,1,BK401)))),0)</f>
        <v>0</v>
      </c>
      <c r="BL409" s="24">
        <f>IF(BL403=1,'Lease Cycles'!$D$31*IF(INDEX('Lease Cycles'!$EF$31:$EL$31,1,BL401)=1,(1-'Lease Cycles'!$AJ$31)*INDEX('Lease Cycles'!$EM$31:$ES$31,1,BL401)+(1-'Lease Cycles'!$BE$31)*IF(BL402&lt;INDEX('Lease Cycles'!$FA$31:$FG$31,1,BL401),0,1-INDEX('Lease Cycles'!$EM$31:$ES$31,1,BL401)),IF(OR(INDEX('Lease Cycles'!$DY$31:$EE$31,1,BL401)=1,BL402&gt;0),1,1-INDEX('Lease Cycles'!$DD$31:$DJ$31,1,BL401))*((1-'Lease Cycles'!$AJ$31)*INDEX('Lease Cycles'!$FO$31:$FU$31,1,BL401)+(1-'Lease Cycles'!$BE$31)*(1-INDEX('Lease Cycles'!$FO$31:$FU$31,1,BL401)))),0)</f>
        <v>0</v>
      </c>
      <c r="BM409" s="24">
        <f>IF(BM403=1,'Lease Cycles'!$D$31*IF(INDEX('Lease Cycles'!$EF$31:$EL$31,1,BM401)=1,(1-'Lease Cycles'!$AJ$31)*INDEX('Lease Cycles'!$EM$31:$ES$31,1,BM401)+(1-'Lease Cycles'!$BE$31)*IF(BM402&lt;INDEX('Lease Cycles'!$FA$31:$FG$31,1,BM401),0,1-INDEX('Lease Cycles'!$EM$31:$ES$31,1,BM401)),IF(OR(INDEX('Lease Cycles'!$DY$31:$EE$31,1,BM401)=1,BM402&gt;0),1,1-INDEX('Lease Cycles'!$DD$31:$DJ$31,1,BM401))*((1-'Lease Cycles'!$AJ$31)*INDEX('Lease Cycles'!$FO$31:$FU$31,1,BM401)+(1-'Lease Cycles'!$BE$31)*(1-INDEX('Lease Cycles'!$FO$31:$FU$31,1,BM401)))),0)</f>
        <v>0</v>
      </c>
      <c r="BN409" s="24">
        <f>IF(BN403=1,'Lease Cycles'!$D$31*IF(INDEX('Lease Cycles'!$EF$31:$EL$31,1,BN401)=1,(1-'Lease Cycles'!$AJ$31)*INDEX('Lease Cycles'!$EM$31:$ES$31,1,BN401)+(1-'Lease Cycles'!$BE$31)*IF(BN402&lt;INDEX('Lease Cycles'!$FA$31:$FG$31,1,BN401),0,1-INDEX('Lease Cycles'!$EM$31:$ES$31,1,BN401)),IF(OR(INDEX('Lease Cycles'!$DY$31:$EE$31,1,BN401)=1,BN402&gt;0),1,1-INDEX('Lease Cycles'!$DD$31:$DJ$31,1,BN401))*((1-'Lease Cycles'!$AJ$31)*INDEX('Lease Cycles'!$FO$31:$FU$31,1,BN401)+(1-'Lease Cycles'!$BE$31)*(1-INDEX('Lease Cycles'!$FO$31:$FU$31,1,BN401)))),0)</f>
        <v>0</v>
      </c>
      <c r="BO409" s="24">
        <f>IF(BO403=1,'Lease Cycles'!$D$31*IF(INDEX('Lease Cycles'!$EF$31:$EL$31,1,BO401)=1,(1-'Lease Cycles'!$AJ$31)*INDEX('Lease Cycles'!$EM$31:$ES$31,1,BO401)+(1-'Lease Cycles'!$BE$31)*IF(BO402&lt;INDEX('Lease Cycles'!$FA$31:$FG$31,1,BO401),0,1-INDEX('Lease Cycles'!$EM$31:$ES$31,1,BO401)),IF(OR(INDEX('Lease Cycles'!$DY$31:$EE$31,1,BO401)=1,BO402&gt;0),1,1-INDEX('Lease Cycles'!$DD$31:$DJ$31,1,BO401))*((1-'Lease Cycles'!$AJ$31)*INDEX('Lease Cycles'!$FO$31:$FU$31,1,BO401)+(1-'Lease Cycles'!$BE$31)*(1-INDEX('Lease Cycles'!$FO$31:$FU$31,1,BO401)))),0)</f>
        <v>0</v>
      </c>
      <c r="BP409" s="24">
        <f>IF(BP403=1,'Lease Cycles'!$D$31*IF(INDEX('Lease Cycles'!$EF$31:$EL$31,1,BP401)=1,(1-'Lease Cycles'!$AJ$31)*INDEX('Lease Cycles'!$EM$31:$ES$31,1,BP401)+(1-'Lease Cycles'!$BE$31)*IF(BP402&lt;INDEX('Lease Cycles'!$FA$31:$FG$31,1,BP401),0,1-INDEX('Lease Cycles'!$EM$31:$ES$31,1,BP401)),IF(OR(INDEX('Lease Cycles'!$DY$31:$EE$31,1,BP401)=1,BP402&gt;0),1,1-INDEX('Lease Cycles'!$DD$31:$DJ$31,1,BP401))*((1-'Lease Cycles'!$AJ$31)*INDEX('Lease Cycles'!$FO$31:$FU$31,1,BP401)+(1-'Lease Cycles'!$BE$31)*(1-INDEX('Lease Cycles'!$FO$31:$FU$31,1,BP401)))),0)</f>
        <v>0</v>
      </c>
      <c r="BQ409" s="24">
        <f>IF(BQ403=1,'Lease Cycles'!$D$31*IF(INDEX('Lease Cycles'!$EF$31:$EL$31,1,BQ401)=1,(1-'Lease Cycles'!$AJ$31)*INDEX('Lease Cycles'!$EM$31:$ES$31,1,BQ401)+(1-'Lease Cycles'!$BE$31)*IF(BQ402&lt;INDEX('Lease Cycles'!$FA$31:$FG$31,1,BQ401),0,1-INDEX('Lease Cycles'!$EM$31:$ES$31,1,BQ401)),IF(OR(INDEX('Lease Cycles'!$DY$31:$EE$31,1,BQ401)=1,BQ402&gt;0),1,1-INDEX('Lease Cycles'!$DD$31:$DJ$31,1,BQ401))*((1-'Lease Cycles'!$AJ$31)*INDEX('Lease Cycles'!$FO$31:$FU$31,1,BQ401)+(1-'Lease Cycles'!$BE$31)*(1-INDEX('Lease Cycles'!$FO$31:$FU$31,1,BQ401)))),0)</f>
        <v>0</v>
      </c>
      <c r="BR409" s="24">
        <f>IF(BR403=1,'Lease Cycles'!$D$31*IF(INDEX('Lease Cycles'!$EF$31:$EL$31,1,BR401)=1,(1-'Lease Cycles'!$AJ$31)*INDEX('Lease Cycles'!$EM$31:$ES$31,1,BR401)+(1-'Lease Cycles'!$BE$31)*IF(BR402&lt;INDEX('Lease Cycles'!$FA$31:$FG$31,1,BR401),0,1-INDEX('Lease Cycles'!$EM$31:$ES$31,1,BR401)),IF(OR(INDEX('Lease Cycles'!$DY$31:$EE$31,1,BR401)=1,BR402&gt;0),1,1-INDEX('Lease Cycles'!$DD$31:$DJ$31,1,BR401))*((1-'Lease Cycles'!$AJ$31)*INDEX('Lease Cycles'!$FO$31:$FU$31,1,BR401)+(1-'Lease Cycles'!$BE$31)*(1-INDEX('Lease Cycles'!$FO$31:$FU$31,1,BR401)))),0)</f>
        <v>0</v>
      </c>
      <c r="BS409" s="24">
        <f>IF(BS403=1,'Lease Cycles'!$D$31*IF(INDEX('Lease Cycles'!$EF$31:$EL$31,1,BS401)=1,(1-'Lease Cycles'!$AJ$31)*INDEX('Lease Cycles'!$EM$31:$ES$31,1,BS401)+(1-'Lease Cycles'!$BE$31)*IF(BS402&lt;INDEX('Lease Cycles'!$FA$31:$FG$31,1,BS401),0,1-INDEX('Lease Cycles'!$EM$31:$ES$31,1,BS401)),IF(OR(INDEX('Lease Cycles'!$DY$31:$EE$31,1,BS401)=1,BS402&gt;0),1,1-INDEX('Lease Cycles'!$DD$31:$DJ$31,1,BS401))*((1-'Lease Cycles'!$AJ$31)*INDEX('Lease Cycles'!$FO$31:$FU$31,1,BS401)+(1-'Lease Cycles'!$BE$31)*(1-INDEX('Lease Cycles'!$FO$31:$FU$31,1,BS401)))),0)</f>
        <v>0</v>
      </c>
      <c r="BT409" s="24">
        <f>IF(BT403=1,'Lease Cycles'!$D$31*IF(INDEX('Lease Cycles'!$EF$31:$EL$31,1,BT401)=1,(1-'Lease Cycles'!$AJ$31)*INDEX('Lease Cycles'!$EM$31:$ES$31,1,BT401)+(1-'Lease Cycles'!$BE$31)*IF(BT402&lt;INDEX('Lease Cycles'!$FA$31:$FG$31,1,BT401),0,1-INDEX('Lease Cycles'!$EM$31:$ES$31,1,BT401)),IF(OR(INDEX('Lease Cycles'!$DY$31:$EE$31,1,BT401)=1,BT402&gt;0),1,1-INDEX('Lease Cycles'!$DD$31:$DJ$31,1,BT401))*((1-'Lease Cycles'!$AJ$31)*INDEX('Lease Cycles'!$FO$31:$FU$31,1,BT401)+(1-'Lease Cycles'!$BE$31)*(1-INDEX('Lease Cycles'!$FO$31:$FU$31,1,BT401)))),0)</f>
        <v>0</v>
      </c>
      <c r="BU409" s="24">
        <f>IF(BU403=1,'Lease Cycles'!$D$31*IF(INDEX('Lease Cycles'!$EF$31:$EL$31,1,BU401)=1,(1-'Lease Cycles'!$AJ$31)*INDEX('Lease Cycles'!$EM$31:$ES$31,1,BU401)+(1-'Lease Cycles'!$BE$31)*IF(BU402&lt;INDEX('Lease Cycles'!$FA$31:$FG$31,1,BU401),0,1-INDEX('Lease Cycles'!$EM$31:$ES$31,1,BU401)),IF(OR(INDEX('Lease Cycles'!$DY$31:$EE$31,1,BU401)=1,BU402&gt;0),1,1-INDEX('Lease Cycles'!$DD$31:$DJ$31,1,BU401))*((1-'Lease Cycles'!$AJ$31)*INDEX('Lease Cycles'!$FO$31:$FU$31,1,BU401)+(1-'Lease Cycles'!$BE$31)*(1-INDEX('Lease Cycles'!$FO$31:$FU$31,1,BU401)))),0)</f>
        <v>0</v>
      </c>
      <c r="BV409" s="24">
        <f>IF(BV403=1,'Lease Cycles'!$D$31*IF(INDEX('Lease Cycles'!$EF$31:$EL$31,1,BV401)=1,(1-'Lease Cycles'!$AJ$31)*INDEX('Lease Cycles'!$EM$31:$ES$31,1,BV401)+(1-'Lease Cycles'!$BE$31)*IF(BV402&lt;INDEX('Lease Cycles'!$FA$31:$FG$31,1,BV401),0,1-INDEX('Lease Cycles'!$EM$31:$ES$31,1,BV401)),IF(OR(INDEX('Lease Cycles'!$DY$31:$EE$31,1,BV401)=1,BV402&gt;0),1,1-INDEX('Lease Cycles'!$DD$31:$DJ$31,1,BV401))*((1-'Lease Cycles'!$AJ$31)*INDEX('Lease Cycles'!$FO$31:$FU$31,1,BV401)+(1-'Lease Cycles'!$BE$31)*(1-INDEX('Lease Cycles'!$FO$31:$FU$31,1,BV401)))),0)</f>
        <v>0</v>
      </c>
      <c r="BW409" s="24">
        <f>IF(BW403=1,'Lease Cycles'!$D$31*IF(INDEX('Lease Cycles'!$EF$31:$EL$31,1,BW401)=1,(1-'Lease Cycles'!$AJ$31)*INDEX('Lease Cycles'!$EM$31:$ES$31,1,BW401)+(1-'Lease Cycles'!$BE$31)*IF(BW402&lt;INDEX('Lease Cycles'!$FA$31:$FG$31,1,BW401),0,1-INDEX('Lease Cycles'!$EM$31:$ES$31,1,BW401)),IF(OR(INDEX('Lease Cycles'!$DY$31:$EE$31,1,BW401)=1,BW402&gt;0),1,1-INDEX('Lease Cycles'!$DD$31:$DJ$31,1,BW401))*((1-'Lease Cycles'!$AJ$31)*INDEX('Lease Cycles'!$FO$31:$FU$31,1,BW401)+(1-'Lease Cycles'!$BE$31)*(1-INDEX('Lease Cycles'!$FO$31:$FU$31,1,BW401)))),0)</f>
        <v>0</v>
      </c>
      <c r="BX409" s="24">
        <f>IF(BX403=1,'Lease Cycles'!$D$31*IF(INDEX('Lease Cycles'!$EF$31:$EL$31,1,BX401)=1,(1-'Lease Cycles'!$AJ$31)*INDEX('Lease Cycles'!$EM$31:$ES$31,1,BX401)+(1-'Lease Cycles'!$BE$31)*IF(BX402&lt;INDEX('Lease Cycles'!$FA$31:$FG$31,1,BX401),0,1-INDEX('Lease Cycles'!$EM$31:$ES$31,1,BX401)),IF(OR(INDEX('Lease Cycles'!$DY$31:$EE$31,1,BX401)=1,BX402&gt;0),1,1-INDEX('Lease Cycles'!$DD$31:$DJ$31,1,BX401))*((1-'Lease Cycles'!$AJ$31)*INDEX('Lease Cycles'!$FO$31:$FU$31,1,BX401)+(1-'Lease Cycles'!$BE$31)*(1-INDEX('Lease Cycles'!$FO$31:$FU$31,1,BX401)))),0)</f>
        <v>0</v>
      </c>
      <c r="BY409" s="24">
        <f>IF(BY403=1,'Lease Cycles'!$D$31*IF(INDEX('Lease Cycles'!$EF$31:$EL$31,1,BY401)=1,(1-'Lease Cycles'!$AJ$31)*INDEX('Lease Cycles'!$EM$31:$ES$31,1,BY401)+(1-'Lease Cycles'!$BE$31)*IF(BY402&lt;INDEX('Lease Cycles'!$FA$31:$FG$31,1,BY401),0,1-INDEX('Lease Cycles'!$EM$31:$ES$31,1,BY401)),IF(OR(INDEX('Lease Cycles'!$DY$31:$EE$31,1,BY401)=1,BY402&gt;0),1,1-INDEX('Lease Cycles'!$DD$31:$DJ$31,1,BY401))*((1-'Lease Cycles'!$AJ$31)*INDEX('Lease Cycles'!$FO$31:$FU$31,1,BY401)+(1-'Lease Cycles'!$BE$31)*(1-INDEX('Lease Cycles'!$FO$31:$FU$31,1,BY401)))),0)</f>
        <v>0</v>
      </c>
      <c r="BZ409" s="24">
        <f>IF(BZ403=1,'Lease Cycles'!$D$31*IF(INDEX('Lease Cycles'!$EF$31:$EL$31,1,BZ401)=1,(1-'Lease Cycles'!$AJ$31)*INDEX('Lease Cycles'!$EM$31:$ES$31,1,BZ401)+(1-'Lease Cycles'!$BE$31)*IF(BZ402&lt;INDEX('Lease Cycles'!$FA$31:$FG$31,1,BZ401),0,1-INDEX('Lease Cycles'!$EM$31:$ES$31,1,BZ401)),IF(OR(INDEX('Lease Cycles'!$DY$31:$EE$31,1,BZ401)=1,BZ402&gt;0),1,1-INDEX('Lease Cycles'!$DD$31:$DJ$31,1,BZ401))*((1-'Lease Cycles'!$AJ$31)*INDEX('Lease Cycles'!$FO$31:$FU$31,1,BZ401)+(1-'Lease Cycles'!$BE$31)*(1-INDEX('Lease Cycles'!$FO$31:$FU$31,1,BZ401)))),0)</f>
        <v>0</v>
      </c>
      <c r="CA409" s="24">
        <f>IF(CA403=1,'Lease Cycles'!$D$31*IF(INDEX('Lease Cycles'!$EF$31:$EL$31,1,CA401)=1,(1-'Lease Cycles'!$AJ$31)*INDEX('Lease Cycles'!$EM$31:$ES$31,1,CA401)+(1-'Lease Cycles'!$BE$31)*IF(CA402&lt;INDEX('Lease Cycles'!$FA$31:$FG$31,1,CA401),0,1-INDEX('Lease Cycles'!$EM$31:$ES$31,1,CA401)),IF(OR(INDEX('Lease Cycles'!$DY$31:$EE$31,1,CA401)=1,CA402&gt;0),1,1-INDEX('Lease Cycles'!$DD$31:$DJ$31,1,CA401))*((1-'Lease Cycles'!$AJ$31)*INDEX('Lease Cycles'!$FO$31:$FU$31,1,CA401)+(1-'Lease Cycles'!$BE$31)*(1-INDEX('Lease Cycles'!$FO$31:$FU$31,1,CA401)))),0)</f>
        <v>0</v>
      </c>
      <c r="CB409" s="24">
        <f>IF(CB403=1,'Lease Cycles'!$D$31*IF(INDEX('Lease Cycles'!$EF$31:$EL$31,1,CB401)=1,(1-'Lease Cycles'!$AJ$31)*INDEX('Lease Cycles'!$EM$31:$ES$31,1,CB401)+(1-'Lease Cycles'!$BE$31)*IF(CB402&lt;INDEX('Lease Cycles'!$FA$31:$FG$31,1,CB401),0,1-INDEX('Lease Cycles'!$EM$31:$ES$31,1,CB401)),IF(OR(INDEX('Lease Cycles'!$DY$31:$EE$31,1,CB401)=1,CB402&gt;0),1,1-INDEX('Lease Cycles'!$DD$31:$DJ$31,1,CB401))*((1-'Lease Cycles'!$AJ$31)*INDEX('Lease Cycles'!$FO$31:$FU$31,1,CB401)+(1-'Lease Cycles'!$BE$31)*(1-INDEX('Lease Cycles'!$FO$31:$FU$31,1,CB401)))),0)</f>
        <v>0</v>
      </c>
      <c r="CC409" s="24">
        <f>IF(CC403=1,'Lease Cycles'!$D$31*IF(INDEX('Lease Cycles'!$EF$31:$EL$31,1,CC401)=1,(1-'Lease Cycles'!$AJ$31)*INDEX('Lease Cycles'!$EM$31:$ES$31,1,CC401)+(1-'Lease Cycles'!$BE$31)*IF(CC402&lt;INDEX('Lease Cycles'!$FA$31:$FG$31,1,CC401),0,1-INDEX('Lease Cycles'!$EM$31:$ES$31,1,CC401)),IF(OR(INDEX('Lease Cycles'!$DY$31:$EE$31,1,CC401)=1,CC402&gt;0),1,1-INDEX('Lease Cycles'!$DD$31:$DJ$31,1,CC401))*((1-'Lease Cycles'!$AJ$31)*INDEX('Lease Cycles'!$FO$31:$FU$31,1,CC401)+(1-'Lease Cycles'!$BE$31)*(1-INDEX('Lease Cycles'!$FO$31:$FU$31,1,CC401)))),0)</f>
        <v>0</v>
      </c>
      <c r="CD409" s="24">
        <f>IF(CD403=1,'Lease Cycles'!$D$31*IF(INDEX('Lease Cycles'!$EF$31:$EL$31,1,CD401)=1,(1-'Lease Cycles'!$AJ$31)*INDEX('Lease Cycles'!$EM$31:$ES$31,1,CD401)+(1-'Lease Cycles'!$BE$31)*IF(CD402&lt;INDEX('Lease Cycles'!$FA$31:$FG$31,1,CD401),0,1-INDEX('Lease Cycles'!$EM$31:$ES$31,1,CD401)),IF(OR(INDEX('Lease Cycles'!$DY$31:$EE$31,1,CD401)=1,CD402&gt;0),1,1-INDEX('Lease Cycles'!$DD$31:$DJ$31,1,CD401))*((1-'Lease Cycles'!$AJ$31)*INDEX('Lease Cycles'!$FO$31:$FU$31,1,CD401)+(1-'Lease Cycles'!$BE$31)*(1-INDEX('Lease Cycles'!$FO$31:$FU$31,1,CD401)))),0)</f>
        <v>0</v>
      </c>
      <c r="CE409" s="24">
        <f>IF(CE403=1,'Lease Cycles'!$D$31*IF(INDEX('Lease Cycles'!$EF$31:$EL$31,1,CE401)=1,(1-'Lease Cycles'!$AJ$31)*INDEX('Lease Cycles'!$EM$31:$ES$31,1,CE401)+(1-'Lease Cycles'!$BE$31)*IF(CE402&lt;INDEX('Lease Cycles'!$FA$31:$FG$31,1,CE401),0,1-INDEX('Lease Cycles'!$EM$31:$ES$31,1,CE401)),IF(OR(INDEX('Lease Cycles'!$DY$31:$EE$31,1,CE401)=1,CE402&gt;0),1,1-INDEX('Lease Cycles'!$DD$31:$DJ$31,1,CE401))*((1-'Lease Cycles'!$AJ$31)*INDEX('Lease Cycles'!$FO$31:$FU$31,1,CE401)+(1-'Lease Cycles'!$BE$31)*(1-INDEX('Lease Cycles'!$FO$31:$FU$31,1,CE401)))),0)</f>
        <v>0</v>
      </c>
      <c r="CF409" s="24">
        <f>IF(CF403=1,'Lease Cycles'!$D$31*IF(INDEX('Lease Cycles'!$EF$31:$EL$31,1,CF401)=1,(1-'Lease Cycles'!$AJ$31)*INDEX('Lease Cycles'!$EM$31:$ES$31,1,CF401)+(1-'Lease Cycles'!$BE$31)*IF(CF402&lt;INDEX('Lease Cycles'!$FA$31:$FG$31,1,CF401),0,1-INDEX('Lease Cycles'!$EM$31:$ES$31,1,CF401)),IF(OR(INDEX('Lease Cycles'!$DY$31:$EE$31,1,CF401)=1,CF402&gt;0),1,1-INDEX('Lease Cycles'!$DD$31:$DJ$31,1,CF401))*((1-'Lease Cycles'!$AJ$31)*INDEX('Lease Cycles'!$FO$31:$FU$31,1,CF401)+(1-'Lease Cycles'!$BE$31)*(1-INDEX('Lease Cycles'!$FO$31:$FU$31,1,CF401)))),0)</f>
        <v>0</v>
      </c>
      <c r="CG409" s="24">
        <f>IF(CG403=1,'Lease Cycles'!$D$31*IF(INDEX('Lease Cycles'!$EF$31:$EL$31,1,CG401)=1,(1-'Lease Cycles'!$AJ$31)*INDEX('Lease Cycles'!$EM$31:$ES$31,1,CG401)+(1-'Lease Cycles'!$BE$31)*IF(CG402&lt;INDEX('Lease Cycles'!$FA$31:$FG$31,1,CG401),0,1-INDEX('Lease Cycles'!$EM$31:$ES$31,1,CG401)),IF(OR(INDEX('Lease Cycles'!$DY$31:$EE$31,1,CG401)=1,CG402&gt;0),1,1-INDEX('Lease Cycles'!$DD$31:$DJ$31,1,CG401))*((1-'Lease Cycles'!$AJ$31)*INDEX('Lease Cycles'!$FO$31:$FU$31,1,CG401)+(1-'Lease Cycles'!$BE$31)*(1-INDEX('Lease Cycles'!$FO$31:$FU$31,1,CG401)))),0)</f>
        <v>0</v>
      </c>
      <c r="CH409" s="24">
        <f>IF(CH403=1,'Lease Cycles'!$D$31*IF(INDEX('Lease Cycles'!$EF$31:$EL$31,1,CH401)=1,(1-'Lease Cycles'!$AJ$31)*INDEX('Lease Cycles'!$EM$31:$ES$31,1,CH401)+(1-'Lease Cycles'!$BE$31)*IF(CH402&lt;INDEX('Lease Cycles'!$FA$31:$FG$31,1,CH401),0,1-INDEX('Lease Cycles'!$EM$31:$ES$31,1,CH401)),IF(OR(INDEX('Lease Cycles'!$DY$31:$EE$31,1,CH401)=1,CH402&gt;0),1,1-INDEX('Lease Cycles'!$DD$31:$DJ$31,1,CH401))*((1-'Lease Cycles'!$AJ$31)*INDEX('Lease Cycles'!$FO$31:$FU$31,1,CH401)+(1-'Lease Cycles'!$BE$31)*(1-INDEX('Lease Cycles'!$FO$31:$FU$31,1,CH401)))),0)</f>
        <v>0</v>
      </c>
      <c r="CI409" s="24">
        <f>IF(CI403=1,'Lease Cycles'!$D$31*IF(INDEX('Lease Cycles'!$EF$31:$EL$31,1,CI401)=1,(1-'Lease Cycles'!$AJ$31)*INDEX('Lease Cycles'!$EM$31:$ES$31,1,CI401)+(1-'Lease Cycles'!$BE$31)*IF(CI402&lt;INDEX('Lease Cycles'!$FA$31:$FG$31,1,CI401),0,1-INDEX('Lease Cycles'!$EM$31:$ES$31,1,CI401)),IF(OR(INDEX('Lease Cycles'!$DY$31:$EE$31,1,CI401)=1,CI402&gt;0),1,1-INDEX('Lease Cycles'!$DD$31:$DJ$31,1,CI401))*((1-'Lease Cycles'!$AJ$31)*INDEX('Lease Cycles'!$FO$31:$FU$31,1,CI401)+(1-'Lease Cycles'!$BE$31)*(1-INDEX('Lease Cycles'!$FO$31:$FU$31,1,CI401)))),0)</f>
        <v>0</v>
      </c>
      <c r="CJ409" s="24">
        <f>IF(CJ403=1,'Lease Cycles'!$D$31*IF(INDEX('Lease Cycles'!$EF$31:$EL$31,1,CJ401)=1,(1-'Lease Cycles'!$AJ$31)*INDEX('Lease Cycles'!$EM$31:$ES$31,1,CJ401)+(1-'Lease Cycles'!$BE$31)*IF(CJ402&lt;INDEX('Lease Cycles'!$FA$31:$FG$31,1,CJ401),0,1-INDEX('Lease Cycles'!$EM$31:$ES$31,1,CJ401)),IF(OR(INDEX('Lease Cycles'!$DY$31:$EE$31,1,CJ401)=1,CJ402&gt;0),1,1-INDEX('Lease Cycles'!$DD$31:$DJ$31,1,CJ401))*((1-'Lease Cycles'!$AJ$31)*INDEX('Lease Cycles'!$FO$31:$FU$31,1,CJ401)+(1-'Lease Cycles'!$BE$31)*(1-INDEX('Lease Cycles'!$FO$31:$FU$31,1,CJ401)))),0)</f>
        <v>0</v>
      </c>
      <c r="CK409" s="24">
        <f>IF(CK403=1,'Lease Cycles'!$D$31*IF(INDEX('Lease Cycles'!$EF$31:$EL$31,1,CK401)=1,(1-'Lease Cycles'!$AJ$31)*INDEX('Lease Cycles'!$EM$31:$ES$31,1,CK401)+(1-'Lease Cycles'!$BE$31)*IF(CK402&lt;INDEX('Lease Cycles'!$FA$31:$FG$31,1,CK401),0,1-INDEX('Lease Cycles'!$EM$31:$ES$31,1,CK401)),IF(OR(INDEX('Lease Cycles'!$DY$31:$EE$31,1,CK401)=1,CK402&gt;0),1,1-INDEX('Lease Cycles'!$DD$31:$DJ$31,1,CK401))*((1-'Lease Cycles'!$AJ$31)*INDEX('Lease Cycles'!$FO$31:$FU$31,1,CK401)+(1-'Lease Cycles'!$BE$31)*(1-INDEX('Lease Cycles'!$FO$31:$FU$31,1,CK401)))),0)</f>
        <v>0</v>
      </c>
      <c r="CL409" s="24">
        <f>IF(CL403=1,'Lease Cycles'!$D$31*IF(INDEX('Lease Cycles'!$EF$31:$EL$31,1,CL401)=1,(1-'Lease Cycles'!$AJ$31)*INDEX('Lease Cycles'!$EM$31:$ES$31,1,CL401)+(1-'Lease Cycles'!$BE$31)*IF(CL402&lt;INDEX('Lease Cycles'!$FA$31:$FG$31,1,CL401),0,1-INDEX('Lease Cycles'!$EM$31:$ES$31,1,CL401)),IF(OR(INDEX('Lease Cycles'!$DY$31:$EE$31,1,CL401)=1,CL402&gt;0),1,1-INDEX('Lease Cycles'!$DD$31:$DJ$31,1,CL401))*((1-'Lease Cycles'!$AJ$31)*INDEX('Lease Cycles'!$FO$31:$FU$31,1,CL401)+(1-'Lease Cycles'!$BE$31)*(1-INDEX('Lease Cycles'!$FO$31:$FU$31,1,CL401)))),0)</f>
        <v>0</v>
      </c>
      <c r="CM409" s="24">
        <f>IF(CM403=1,'Lease Cycles'!$D$31*IF(INDEX('Lease Cycles'!$EF$31:$EL$31,1,CM401)=1,(1-'Lease Cycles'!$AJ$31)*INDEX('Lease Cycles'!$EM$31:$ES$31,1,CM401)+(1-'Lease Cycles'!$BE$31)*IF(CM402&lt;INDEX('Lease Cycles'!$FA$31:$FG$31,1,CM401),0,1-INDEX('Lease Cycles'!$EM$31:$ES$31,1,CM401)),IF(OR(INDEX('Lease Cycles'!$DY$31:$EE$31,1,CM401)=1,CM402&gt;0),1,1-INDEX('Lease Cycles'!$DD$31:$DJ$31,1,CM401))*((1-'Lease Cycles'!$AJ$31)*INDEX('Lease Cycles'!$FO$31:$FU$31,1,CM401)+(1-'Lease Cycles'!$BE$31)*(1-INDEX('Lease Cycles'!$FO$31:$FU$31,1,CM401)))),0)</f>
        <v>0</v>
      </c>
      <c r="CN409" s="24">
        <f>IF(CN403=1,'Lease Cycles'!$D$31*IF(INDEX('Lease Cycles'!$EF$31:$EL$31,1,CN401)=1,(1-'Lease Cycles'!$AJ$31)*INDEX('Lease Cycles'!$EM$31:$ES$31,1,CN401)+(1-'Lease Cycles'!$BE$31)*IF(CN402&lt;INDEX('Lease Cycles'!$FA$31:$FG$31,1,CN401),0,1-INDEX('Lease Cycles'!$EM$31:$ES$31,1,CN401)),IF(OR(INDEX('Lease Cycles'!$DY$31:$EE$31,1,CN401)=1,CN402&gt;0),1,1-INDEX('Lease Cycles'!$DD$31:$DJ$31,1,CN401))*((1-'Lease Cycles'!$AJ$31)*INDEX('Lease Cycles'!$FO$31:$FU$31,1,CN401)+(1-'Lease Cycles'!$BE$31)*(1-INDEX('Lease Cycles'!$FO$31:$FU$31,1,CN401)))),0)</f>
        <v>0</v>
      </c>
      <c r="CO409" s="24">
        <f>IF(CO403=1,'Lease Cycles'!$D$31*IF(INDEX('Lease Cycles'!$EF$31:$EL$31,1,CO401)=1,(1-'Lease Cycles'!$AJ$31)*INDEX('Lease Cycles'!$EM$31:$ES$31,1,CO401)+(1-'Lease Cycles'!$BE$31)*IF(CO402&lt;INDEX('Lease Cycles'!$FA$31:$FG$31,1,CO401),0,1-INDEX('Lease Cycles'!$EM$31:$ES$31,1,CO401)),IF(OR(INDEX('Lease Cycles'!$DY$31:$EE$31,1,CO401)=1,CO402&gt;0),1,1-INDEX('Lease Cycles'!$DD$31:$DJ$31,1,CO401))*((1-'Lease Cycles'!$AJ$31)*INDEX('Lease Cycles'!$FO$31:$FU$31,1,CO401)+(1-'Lease Cycles'!$BE$31)*(1-INDEX('Lease Cycles'!$FO$31:$FU$31,1,CO401)))),0)</f>
        <v>0</v>
      </c>
      <c r="CP409" s="24">
        <f>IF(CP403=1,'Lease Cycles'!$D$31*IF(INDEX('Lease Cycles'!$EF$31:$EL$31,1,CP401)=1,(1-'Lease Cycles'!$AJ$31)*INDEX('Lease Cycles'!$EM$31:$ES$31,1,CP401)+(1-'Lease Cycles'!$BE$31)*IF(CP402&lt;INDEX('Lease Cycles'!$FA$31:$FG$31,1,CP401),0,1-INDEX('Lease Cycles'!$EM$31:$ES$31,1,CP401)),IF(OR(INDEX('Lease Cycles'!$DY$31:$EE$31,1,CP401)=1,CP402&gt;0),1,1-INDEX('Lease Cycles'!$DD$31:$DJ$31,1,CP401))*((1-'Lease Cycles'!$AJ$31)*INDEX('Lease Cycles'!$FO$31:$FU$31,1,CP401)+(1-'Lease Cycles'!$BE$31)*(1-INDEX('Lease Cycles'!$FO$31:$FU$31,1,CP401)))),0)</f>
        <v>0</v>
      </c>
      <c r="CQ409" s="24">
        <f>IF(CQ403=1,'Lease Cycles'!$D$31*IF(INDEX('Lease Cycles'!$EF$31:$EL$31,1,CQ401)=1,(1-'Lease Cycles'!$AJ$31)*INDEX('Lease Cycles'!$EM$31:$ES$31,1,CQ401)+(1-'Lease Cycles'!$BE$31)*IF(CQ402&lt;INDEX('Lease Cycles'!$FA$31:$FG$31,1,CQ401),0,1-INDEX('Lease Cycles'!$EM$31:$ES$31,1,CQ401)),IF(OR(INDEX('Lease Cycles'!$DY$31:$EE$31,1,CQ401)=1,CQ402&gt;0),1,1-INDEX('Lease Cycles'!$DD$31:$DJ$31,1,CQ401))*((1-'Lease Cycles'!$AJ$31)*INDEX('Lease Cycles'!$FO$31:$FU$31,1,CQ401)+(1-'Lease Cycles'!$BE$31)*(1-INDEX('Lease Cycles'!$FO$31:$FU$31,1,CQ401)))),0)</f>
        <v>0</v>
      </c>
      <c r="CR409" s="24">
        <f>IF(CR403=1,'Lease Cycles'!$D$31*IF(INDEX('Lease Cycles'!$EF$31:$EL$31,1,CR401)=1,(1-'Lease Cycles'!$AJ$31)*INDEX('Lease Cycles'!$EM$31:$ES$31,1,CR401)+(1-'Lease Cycles'!$BE$31)*IF(CR402&lt;INDEX('Lease Cycles'!$FA$31:$FG$31,1,CR401),0,1-INDEX('Lease Cycles'!$EM$31:$ES$31,1,CR401)),IF(OR(INDEX('Lease Cycles'!$DY$31:$EE$31,1,CR401)=1,CR402&gt;0),1,1-INDEX('Lease Cycles'!$DD$31:$DJ$31,1,CR401))*((1-'Lease Cycles'!$AJ$31)*INDEX('Lease Cycles'!$FO$31:$FU$31,1,CR401)+(1-'Lease Cycles'!$BE$31)*(1-INDEX('Lease Cycles'!$FO$31:$FU$31,1,CR401)))),0)</f>
        <v>0</v>
      </c>
      <c r="CS409" s="24">
        <f>IF(CS403=1,'Lease Cycles'!$D$31*IF(INDEX('Lease Cycles'!$EF$31:$EL$31,1,CS401)=1,(1-'Lease Cycles'!$AJ$31)*INDEX('Lease Cycles'!$EM$31:$ES$31,1,CS401)+(1-'Lease Cycles'!$BE$31)*IF(CS402&lt;INDEX('Lease Cycles'!$FA$31:$FG$31,1,CS401),0,1-INDEX('Lease Cycles'!$EM$31:$ES$31,1,CS401)),IF(OR(INDEX('Lease Cycles'!$DY$31:$EE$31,1,CS401)=1,CS402&gt;0),1,1-INDEX('Lease Cycles'!$DD$31:$DJ$31,1,CS401))*((1-'Lease Cycles'!$AJ$31)*INDEX('Lease Cycles'!$FO$31:$FU$31,1,CS401)+(1-'Lease Cycles'!$BE$31)*(1-INDEX('Lease Cycles'!$FO$31:$FU$31,1,CS401)))),0)</f>
        <v>0</v>
      </c>
      <c r="CT409" s="24">
        <f>IF(CT403=1,'Lease Cycles'!$D$31*IF(INDEX('Lease Cycles'!$EF$31:$EL$31,1,CT401)=1,(1-'Lease Cycles'!$AJ$31)*INDEX('Lease Cycles'!$EM$31:$ES$31,1,CT401)+(1-'Lease Cycles'!$BE$31)*IF(CT402&lt;INDEX('Lease Cycles'!$FA$31:$FG$31,1,CT401),0,1-INDEX('Lease Cycles'!$EM$31:$ES$31,1,CT401)),IF(OR(INDEX('Lease Cycles'!$DY$31:$EE$31,1,CT401)=1,CT402&gt;0),1,1-INDEX('Lease Cycles'!$DD$31:$DJ$31,1,CT401))*((1-'Lease Cycles'!$AJ$31)*INDEX('Lease Cycles'!$FO$31:$FU$31,1,CT401)+(1-'Lease Cycles'!$BE$31)*(1-INDEX('Lease Cycles'!$FO$31:$FU$31,1,CT401)))),0)</f>
        <v>0</v>
      </c>
      <c r="CU409" s="24">
        <f>IF(CU403=1,'Lease Cycles'!$D$31*IF(INDEX('Lease Cycles'!$EF$31:$EL$31,1,CU401)=1,(1-'Lease Cycles'!$AJ$31)*INDEX('Lease Cycles'!$EM$31:$ES$31,1,CU401)+(1-'Lease Cycles'!$BE$31)*IF(CU402&lt;INDEX('Lease Cycles'!$FA$31:$FG$31,1,CU401),0,1-INDEX('Lease Cycles'!$EM$31:$ES$31,1,CU401)),IF(OR(INDEX('Lease Cycles'!$DY$31:$EE$31,1,CU401)=1,CU402&gt;0),1,1-INDEX('Lease Cycles'!$DD$31:$DJ$31,1,CU401))*((1-'Lease Cycles'!$AJ$31)*INDEX('Lease Cycles'!$FO$31:$FU$31,1,CU401)+(1-'Lease Cycles'!$BE$31)*(1-INDEX('Lease Cycles'!$FO$31:$FU$31,1,CU401)))),0)</f>
        <v>0</v>
      </c>
      <c r="CV409" s="24">
        <f>IF(CV403=1,'Lease Cycles'!$D$31*IF(INDEX('Lease Cycles'!$EF$31:$EL$31,1,CV401)=1,(1-'Lease Cycles'!$AJ$31)*INDEX('Lease Cycles'!$EM$31:$ES$31,1,CV401)+(1-'Lease Cycles'!$BE$31)*IF(CV402&lt;INDEX('Lease Cycles'!$FA$31:$FG$31,1,CV401),0,1-INDEX('Lease Cycles'!$EM$31:$ES$31,1,CV401)),IF(OR(INDEX('Lease Cycles'!$DY$31:$EE$31,1,CV401)=1,CV402&gt;0),1,1-INDEX('Lease Cycles'!$DD$31:$DJ$31,1,CV401))*((1-'Lease Cycles'!$AJ$31)*INDEX('Lease Cycles'!$FO$31:$FU$31,1,CV401)+(1-'Lease Cycles'!$BE$31)*(1-INDEX('Lease Cycles'!$FO$31:$FU$31,1,CV401)))),0)</f>
        <v>0</v>
      </c>
      <c r="CW409" s="24">
        <f>IF(CW403=1,'Lease Cycles'!$D$31*IF(INDEX('Lease Cycles'!$EF$31:$EL$31,1,CW401)=1,(1-'Lease Cycles'!$AJ$31)*INDEX('Lease Cycles'!$EM$31:$ES$31,1,CW401)+(1-'Lease Cycles'!$BE$31)*IF(CW402&lt;INDEX('Lease Cycles'!$FA$31:$FG$31,1,CW401),0,1-INDEX('Lease Cycles'!$EM$31:$ES$31,1,CW401)),IF(OR(INDEX('Lease Cycles'!$DY$31:$EE$31,1,CW401)=1,CW402&gt;0),1,1-INDEX('Lease Cycles'!$DD$31:$DJ$31,1,CW401))*((1-'Lease Cycles'!$AJ$31)*INDEX('Lease Cycles'!$FO$31:$FU$31,1,CW401)+(1-'Lease Cycles'!$BE$31)*(1-INDEX('Lease Cycles'!$FO$31:$FU$31,1,CW401)))),0)</f>
        <v>0</v>
      </c>
      <c r="CX409" s="24">
        <f>IF(CX403=1,'Lease Cycles'!$D$31*IF(INDEX('Lease Cycles'!$EF$31:$EL$31,1,CX401)=1,(1-'Lease Cycles'!$AJ$31)*INDEX('Lease Cycles'!$EM$31:$ES$31,1,CX401)+(1-'Lease Cycles'!$BE$31)*IF(CX402&lt;INDEX('Lease Cycles'!$FA$31:$FG$31,1,CX401),0,1-INDEX('Lease Cycles'!$EM$31:$ES$31,1,CX401)),IF(OR(INDEX('Lease Cycles'!$DY$31:$EE$31,1,CX401)=1,CX402&gt;0),1,1-INDEX('Lease Cycles'!$DD$31:$DJ$31,1,CX401))*((1-'Lease Cycles'!$AJ$31)*INDEX('Lease Cycles'!$FO$31:$FU$31,1,CX401)+(1-'Lease Cycles'!$BE$31)*(1-INDEX('Lease Cycles'!$FO$31:$FU$31,1,CX401)))),0)</f>
        <v>0</v>
      </c>
      <c r="CY409" s="24">
        <f>IF(CY403=1,'Lease Cycles'!$D$31*IF(INDEX('Lease Cycles'!$EF$31:$EL$31,1,CY401)=1,(1-'Lease Cycles'!$AJ$31)*INDEX('Lease Cycles'!$EM$31:$ES$31,1,CY401)+(1-'Lease Cycles'!$BE$31)*IF(CY402&lt;INDEX('Lease Cycles'!$FA$31:$FG$31,1,CY401),0,1-INDEX('Lease Cycles'!$EM$31:$ES$31,1,CY401)),IF(OR(INDEX('Lease Cycles'!$DY$31:$EE$31,1,CY401)=1,CY402&gt;0),1,1-INDEX('Lease Cycles'!$DD$31:$DJ$31,1,CY401))*((1-'Lease Cycles'!$AJ$31)*INDEX('Lease Cycles'!$FO$31:$FU$31,1,CY401)+(1-'Lease Cycles'!$BE$31)*(1-INDEX('Lease Cycles'!$FO$31:$FU$31,1,CY401)))),0)</f>
        <v>0</v>
      </c>
      <c r="CZ409" s="24">
        <f>IF(CZ403=1,'Lease Cycles'!$D$31*IF(INDEX('Lease Cycles'!$EF$31:$EL$31,1,CZ401)=1,(1-'Lease Cycles'!$AJ$31)*INDEX('Lease Cycles'!$EM$31:$ES$31,1,CZ401)+(1-'Lease Cycles'!$BE$31)*IF(CZ402&lt;INDEX('Lease Cycles'!$FA$31:$FG$31,1,CZ401),0,1-INDEX('Lease Cycles'!$EM$31:$ES$31,1,CZ401)),IF(OR(INDEX('Lease Cycles'!$DY$31:$EE$31,1,CZ401)=1,CZ402&gt;0),1,1-INDEX('Lease Cycles'!$DD$31:$DJ$31,1,CZ401))*((1-'Lease Cycles'!$AJ$31)*INDEX('Lease Cycles'!$FO$31:$FU$31,1,CZ401)+(1-'Lease Cycles'!$BE$31)*(1-INDEX('Lease Cycles'!$FO$31:$FU$31,1,CZ401)))),0)</f>
        <v>0</v>
      </c>
      <c r="DA409" s="24">
        <f>IF(DA403=1,'Lease Cycles'!$D$31*IF(INDEX('Lease Cycles'!$EF$31:$EL$31,1,DA401)=1,(1-'Lease Cycles'!$AJ$31)*INDEX('Lease Cycles'!$EM$31:$ES$31,1,DA401)+(1-'Lease Cycles'!$BE$31)*IF(DA402&lt;INDEX('Lease Cycles'!$FA$31:$FG$31,1,DA401),0,1-INDEX('Lease Cycles'!$EM$31:$ES$31,1,DA401)),IF(OR(INDEX('Lease Cycles'!$DY$31:$EE$31,1,DA401)=1,DA402&gt;0),1,1-INDEX('Lease Cycles'!$DD$31:$DJ$31,1,DA401))*((1-'Lease Cycles'!$AJ$31)*INDEX('Lease Cycles'!$FO$31:$FU$31,1,DA401)+(1-'Lease Cycles'!$BE$31)*(1-INDEX('Lease Cycles'!$FO$31:$FU$31,1,DA401)))),0)</f>
        <v>0</v>
      </c>
      <c r="DB409" s="24">
        <f>IF(DB403=1,'Lease Cycles'!$D$31*IF(INDEX('Lease Cycles'!$EF$31:$EL$31,1,DB401)=1,(1-'Lease Cycles'!$AJ$31)*INDEX('Lease Cycles'!$EM$31:$ES$31,1,DB401)+(1-'Lease Cycles'!$BE$31)*IF(DB402&lt;INDEX('Lease Cycles'!$FA$31:$FG$31,1,DB401),0,1-INDEX('Lease Cycles'!$EM$31:$ES$31,1,DB401)),IF(OR(INDEX('Lease Cycles'!$DY$31:$EE$31,1,DB401)=1,DB402&gt;0),1,1-INDEX('Lease Cycles'!$DD$31:$DJ$31,1,DB401))*((1-'Lease Cycles'!$AJ$31)*INDEX('Lease Cycles'!$FO$31:$FU$31,1,DB401)+(1-'Lease Cycles'!$BE$31)*(1-INDEX('Lease Cycles'!$FO$31:$FU$31,1,DB401)))),0)</f>
        <v>0</v>
      </c>
      <c r="DC409" s="24">
        <f>IF(DC403=1,'Lease Cycles'!$D$31*IF(INDEX('Lease Cycles'!$EF$31:$EL$31,1,DC401)=1,(1-'Lease Cycles'!$AJ$31)*INDEX('Lease Cycles'!$EM$31:$ES$31,1,DC401)+(1-'Lease Cycles'!$BE$31)*IF(DC402&lt;INDEX('Lease Cycles'!$FA$31:$FG$31,1,DC401),0,1-INDEX('Lease Cycles'!$EM$31:$ES$31,1,DC401)),IF(OR(INDEX('Lease Cycles'!$DY$31:$EE$31,1,DC401)=1,DC402&gt;0),1,1-INDEX('Lease Cycles'!$DD$31:$DJ$31,1,DC401))*((1-'Lease Cycles'!$AJ$31)*INDEX('Lease Cycles'!$FO$31:$FU$31,1,DC401)+(1-'Lease Cycles'!$BE$31)*(1-INDEX('Lease Cycles'!$FO$31:$FU$31,1,DC401)))),0)</f>
        <v>0</v>
      </c>
      <c r="DD409" s="24">
        <f>IF(DD403=1,'Lease Cycles'!$D$31*IF(INDEX('Lease Cycles'!$EF$31:$EL$31,1,DD401)=1,(1-'Lease Cycles'!$AJ$31)*INDEX('Lease Cycles'!$EM$31:$ES$31,1,DD401)+(1-'Lease Cycles'!$BE$31)*IF(DD402&lt;INDEX('Lease Cycles'!$FA$31:$FG$31,1,DD401),0,1-INDEX('Lease Cycles'!$EM$31:$ES$31,1,DD401)),IF(OR(INDEX('Lease Cycles'!$DY$31:$EE$31,1,DD401)=1,DD402&gt;0),1,1-INDEX('Lease Cycles'!$DD$31:$DJ$31,1,DD401))*((1-'Lease Cycles'!$AJ$31)*INDEX('Lease Cycles'!$FO$31:$FU$31,1,DD401)+(1-'Lease Cycles'!$BE$31)*(1-INDEX('Lease Cycles'!$FO$31:$FU$31,1,DD401)))),0)</f>
        <v>0</v>
      </c>
      <c r="DE409" s="24">
        <f>IF(DE403=1,'Lease Cycles'!$D$31*IF(INDEX('Lease Cycles'!$EF$31:$EL$31,1,DE401)=1,(1-'Lease Cycles'!$AJ$31)*INDEX('Lease Cycles'!$EM$31:$ES$31,1,DE401)+(1-'Lease Cycles'!$BE$31)*IF(DE402&lt;INDEX('Lease Cycles'!$FA$31:$FG$31,1,DE401),0,1-INDEX('Lease Cycles'!$EM$31:$ES$31,1,DE401)),IF(OR(INDEX('Lease Cycles'!$DY$31:$EE$31,1,DE401)=1,DE402&gt;0),1,1-INDEX('Lease Cycles'!$DD$31:$DJ$31,1,DE401))*((1-'Lease Cycles'!$AJ$31)*INDEX('Lease Cycles'!$FO$31:$FU$31,1,DE401)+(1-'Lease Cycles'!$BE$31)*(1-INDEX('Lease Cycles'!$FO$31:$FU$31,1,DE401)))),0)</f>
        <v>0</v>
      </c>
      <c r="DF409" s="24">
        <f>IF(DF403=1,'Lease Cycles'!$D$31*IF(INDEX('Lease Cycles'!$EF$31:$EL$31,1,DF401)=1,(1-'Lease Cycles'!$AJ$31)*INDEX('Lease Cycles'!$EM$31:$ES$31,1,DF401)+(1-'Lease Cycles'!$BE$31)*IF(DF402&lt;INDEX('Lease Cycles'!$FA$31:$FG$31,1,DF401),0,1-INDEX('Lease Cycles'!$EM$31:$ES$31,1,DF401)),IF(OR(INDEX('Lease Cycles'!$DY$31:$EE$31,1,DF401)=1,DF402&gt;0),1,1-INDEX('Lease Cycles'!$DD$31:$DJ$31,1,DF401))*((1-'Lease Cycles'!$AJ$31)*INDEX('Lease Cycles'!$FO$31:$FU$31,1,DF401)+(1-'Lease Cycles'!$BE$31)*(1-INDEX('Lease Cycles'!$FO$31:$FU$31,1,DF401)))),0)</f>
        <v>0</v>
      </c>
      <c r="DG409" s="24">
        <f>IF(DG403=1,'Lease Cycles'!$D$31*IF(INDEX('Lease Cycles'!$EF$31:$EL$31,1,DG401)=1,(1-'Lease Cycles'!$AJ$31)*INDEX('Lease Cycles'!$EM$31:$ES$31,1,DG401)+(1-'Lease Cycles'!$BE$31)*IF(DG402&lt;INDEX('Lease Cycles'!$FA$31:$FG$31,1,DG401),0,1-INDEX('Lease Cycles'!$EM$31:$ES$31,1,DG401)),IF(OR(INDEX('Lease Cycles'!$DY$31:$EE$31,1,DG401)=1,DG402&gt;0),1,1-INDEX('Lease Cycles'!$DD$31:$DJ$31,1,DG401))*((1-'Lease Cycles'!$AJ$31)*INDEX('Lease Cycles'!$FO$31:$FU$31,1,DG401)+(1-'Lease Cycles'!$BE$31)*(1-INDEX('Lease Cycles'!$FO$31:$FU$31,1,DG401)))),0)</f>
        <v>0</v>
      </c>
      <c r="DH409" s="24">
        <f>IF(DH403=1,'Lease Cycles'!$D$31*IF(INDEX('Lease Cycles'!$EF$31:$EL$31,1,DH401)=1,(1-'Lease Cycles'!$AJ$31)*INDEX('Lease Cycles'!$EM$31:$ES$31,1,DH401)+(1-'Lease Cycles'!$BE$31)*IF(DH402&lt;INDEX('Lease Cycles'!$FA$31:$FG$31,1,DH401),0,1-INDEX('Lease Cycles'!$EM$31:$ES$31,1,DH401)),IF(OR(INDEX('Lease Cycles'!$DY$31:$EE$31,1,DH401)=1,DH402&gt;0),1,1-INDEX('Lease Cycles'!$DD$31:$DJ$31,1,DH401))*((1-'Lease Cycles'!$AJ$31)*INDEX('Lease Cycles'!$FO$31:$FU$31,1,DH401)+(1-'Lease Cycles'!$BE$31)*(1-INDEX('Lease Cycles'!$FO$31:$FU$31,1,DH401)))),0)</f>
        <v>0</v>
      </c>
      <c r="DI409" s="24">
        <f>IF(DI403=1,'Lease Cycles'!$D$31*IF(INDEX('Lease Cycles'!$EF$31:$EL$31,1,DI401)=1,(1-'Lease Cycles'!$AJ$31)*INDEX('Lease Cycles'!$EM$31:$ES$31,1,DI401)+(1-'Lease Cycles'!$BE$31)*IF(DI402&lt;INDEX('Lease Cycles'!$FA$31:$FG$31,1,DI401),0,1-INDEX('Lease Cycles'!$EM$31:$ES$31,1,DI401)),IF(OR(INDEX('Lease Cycles'!$DY$31:$EE$31,1,DI401)=1,DI402&gt;0),1,1-INDEX('Lease Cycles'!$DD$31:$DJ$31,1,DI401))*((1-'Lease Cycles'!$AJ$31)*INDEX('Lease Cycles'!$FO$31:$FU$31,1,DI401)+(1-'Lease Cycles'!$BE$31)*(1-INDEX('Lease Cycles'!$FO$31:$FU$31,1,DI401)))),0)</f>
        <v>0</v>
      </c>
      <c r="DJ409" s="24">
        <f>IF(DJ403=1,'Lease Cycles'!$D$31*IF(INDEX('Lease Cycles'!$EF$31:$EL$31,1,DJ401)=1,(1-'Lease Cycles'!$AJ$31)*INDEX('Lease Cycles'!$EM$31:$ES$31,1,DJ401)+(1-'Lease Cycles'!$BE$31)*IF(DJ402&lt;INDEX('Lease Cycles'!$FA$31:$FG$31,1,DJ401),0,1-INDEX('Lease Cycles'!$EM$31:$ES$31,1,DJ401)),IF(OR(INDEX('Lease Cycles'!$DY$31:$EE$31,1,DJ401)=1,DJ402&gt;0),1,1-INDEX('Lease Cycles'!$DD$31:$DJ$31,1,DJ401))*((1-'Lease Cycles'!$AJ$31)*INDEX('Lease Cycles'!$FO$31:$FU$31,1,DJ401)+(1-'Lease Cycles'!$BE$31)*(1-INDEX('Lease Cycles'!$FO$31:$FU$31,1,DJ401)))),0)</f>
        <v>0</v>
      </c>
      <c r="DK409" s="24">
        <f>IF(DK403=1,'Lease Cycles'!$D$31*IF(INDEX('Lease Cycles'!$EF$31:$EL$31,1,DK401)=1,(1-'Lease Cycles'!$AJ$31)*INDEX('Lease Cycles'!$EM$31:$ES$31,1,DK401)+(1-'Lease Cycles'!$BE$31)*IF(DK402&lt;INDEX('Lease Cycles'!$FA$31:$FG$31,1,DK401),0,1-INDEX('Lease Cycles'!$EM$31:$ES$31,1,DK401)),IF(OR(INDEX('Lease Cycles'!$DY$31:$EE$31,1,DK401)=1,DK402&gt;0),1,1-INDEX('Lease Cycles'!$DD$31:$DJ$31,1,DK401))*((1-'Lease Cycles'!$AJ$31)*INDEX('Lease Cycles'!$FO$31:$FU$31,1,DK401)+(1-'Lease Cycles'!$BE$31)*(1-INDEX('Lease Cycles'!$FO$31:$FU$31,1,DK401)))),0)</f>
        <v>0</v>
      </c>
      <c r="DL409" s="24">
        <f>IF(DL403=1,'Lease Cycles'!$D$31*IF(INDEX('Lease Cycles'!$EF$31:$EL$31,1,DL401)=1,(1-'Lease Cycles'!$AJ$31)*INDEX('Lease Cycles'!$EM$31:$ES$31,1,DL401)+(1-'Lease Cycles'!$BE$31)*IF(DL402&lt;INDEX('Lease Cycles'!$FA$31:$FG$31,1,DL401),0,1-INDEX('Lease Cycles'!$EM$31:$ES$31,1,DL401)),IF(OR(INDEX('Lease Cycles'!$DY$31:$EE$31,1,DL401)=1,DL402&gt;0),1,1-INDEX('Lease Cycles'!$DD$31:$DJ$31,1,DL401))*((1-'Lease Cycles'!$AJ$31)*INDEX('Lease Cycles'!$FO$31:$FU$31,1,DL401)+(1-'Lease Cycles'!$BE$31)*(1-INDEX('Lease Cycles'!$FO$31:$FU$31,1,DL401)))),0)</f>
        <v>0</v>
      </c>
      <c r="DM409" s="24">
        <f>IF(DM403=1,'Lease Cycles'!$D$31*IF(INDEX('Lease Cycles'!$EF$31:$EL$31,1,DM401)=1,(1-'Lease Cycles'!$AJ$31)*INDEX('Lease Cycles'!$EM$31:$ES$31,1,DM401)+(1-'Lease Cycles'!$BE$31)*IF(DM402&lt;INDEX('Lease Cycles'!$FA$31:$FG$31,1,DM401),0,1-INDEX('Lease Cycles'!$EM$31:$ES$31,1,DM401)),IF(OR(INDEX('Lease Cycles'!$DY$31:$EE$31,1,DM401)=1,DM402&gt;0),1,1-INDEX('Lease Cycles'!$DD$31:$DJ$31,1,DM401))*((1-'Lease Cycles'!$AJ$31)*INDEX('Lease Cycles'!$FO$31:$FU$31,1,DM401)+(1-'Lease Cycles'!$BE$31)*(1-INDEX('Lease Cycles'!$FO$31:$FU$31,1,DM401)))),0)</f>
        <v>0</v>
      </c>
      <c r="DN409" s="24">
        <f>IF(DN403=1,'Lease Cycles'!$D$31*IF(INDEX('Lease Cycles'!$EF$31:$EL$31,1,DN401)=1,(1-'Lease Cycles'!$AJ$31)*INDEX('Lease Cycles'!$EM$31:$ES$31,1,DN401)+(1-'Lease Cycles'!$BE$31)*IF(DN402&lt;INDEX('Lease Cycles'!$FA$31:$FG$31,1,DN401),0,1-INDEX('Lease Cycles'!$EM$31:$ES$31,1,DN401)),IF(OR(INDEX('Lease Cycles'!$DY$31:$EE$31,1,DN401)=1,DN402&gt;0),1,1-INDEX('Lease Cycles'!$DD$31:$DJ$31,1,DN401))*((1-'Lease Cycles'!$AJ$31)*INDEX('Lease Cycles'!$FO$31:$FU$31,1,DN401)+(1-'Lease Cycles'!$BE$31)*(1-INDEX('Lease Cycles'!$FO$31:$FU$31,1,DN401)))),0)</f>
        <v>0</v>
      </c>
      <c r="DO409" s="24">
        <f>IF(DO403=1,'Lease Cycles'!$D$31*IF(INDEX('Lease Cycles'!$EF$31:$EL$31,1,DO401)=1,(1-'Lease Cycles'!$AJ$31)*INDEX('Lease Cycles'!$EM$31:$ES$31,1,DO401)+(1-'Lease Cycles'!$BE$31)*IF(DO402&lt;INDEX('Lease Cycles'!$FA$31:$FG$31,1,DO401),0,1-INDEX('Lease Cycles'!$EM$31:$ES$31,1,DO401)),IF(OR(INDEX('Lease Cycles'!$DY$31:$EE$31,1,DO401)=1,DO402&gt;0),1,1-INDEX('Lease Cycles'!$DD$31:$DJ$31,1,DO401))*((1-'Lease Cycles'!$AJ$31)*INDEX('Lease Cycles'!$FO$31:$FU$31,1,DO401)+(1-'Lease Cycles'!$BE$31)*(1-INDEX('Lease Cycles'!$FO$31:$FU$31,1,DO401)))),0)</f>
        <v>0</v>
      </c>
      <c r="DP409" s="24">
        <f>IF(DP403=1,'Lease Cycles'!$D$31*IF(INDEX('Lease Cycles'!$EF$31:$EL$31,1,DP401)=1,(1-'Lease Cycles'!$AJ$31)*INDEX('Lease Cycles'!$EM$31:$ES$31,1,DP401)+(1-'Lease Cycles'!$BE$31)*IF(DP402&lt;INDEX('Lease Cycles'!$FA$31:$FG$31,1,DP401),0,1-INDEX('Lease Cycles'!$EM$31:$ES$31,1,DP401)),IF(OR(INDEX('Lease Cycles'!$DY$31:$EE$31,1,DP401)=1,DP402&gt;0),1,1-INDEX('Lease Cycles'!$DD$31:$DJ$31,1,DP401))*((1-'Lease Cycles'!$AJ$31)*INDEX('Lease Cycles'!$FO$31:$FU$31,1,DP401)+(1-'Lease Cycles'!$BE$31)*(1-INDEX('Lease Cycles'!$FO$31:$FU$31,1,DP401)))),0)</f>
        <v>0</v>
      </c>
      <c r="DQ409" s="24">
        <f>IF(DQ403=1,'Lease Cycles'!$D$31*IF(INDEX('Lease Cycles'!$EF$31:$EL$31,1,DQ401)=1,(1-'Lease Cycles'!$AJ$31)*INDEX('Lease Cycles'!$EM$31:$ES$31,1,DQ401)+(1-'Lease Cycles'!$BE$31)*IF(DQ402&lt;INDEX('Lease Cycles'!$FA$31:$FG$31,1,DQ401),0,1-INDEX('Lease Cycles'!$EM$31:$ES$31,1,DQ401)),IF(OR(INDEX('Lease Cycles'!$DY$31:$EE$31,1,DQ401)=1,DQ402&gt;0),1,1-INDEX('Lease Cycles'!$DD$31:$DJ$31,1,DQ401))*((1-'Lease Cycles'!$AJ$31)*INDEX('Lease Cycles'!$FO$31:$FU$31,1,DQ401)+(1-'Lease Cycles'!$BE$31)*(1-INDEX('Lease Cycles'!$FO$31:$FU$31,1,DQ401)))),0)</f>
        <v>0</v>
      </c>
      <c r="DR409" s="24">
        <f>IF(DR403=1,'Lease Cycles'!$D$31*IF(INDEX('Lease Cycles'!$EF$31:$EL$31,1,DR401)=1,(1-'Lease Cycles'!$AJ$31)*INDEX('Lease Cycles'!$EM$31:$ES$31,1,DR401)+(1-'Lease Cycles'!$BE$31)*IF(DR402&lt;INDEX('Lease Cycles'!$FA$31:$FG$31,1,DR401),0,1-INDEX('Lease Cycles'!$EM$31:$ES$31,1,DR401)),IF(OR(INDEX('Lease Cycles'!$DY$31:$EE$31,1,DR401)=1,DR402&gt;0),1,1-INDEX('Lease Cycles'!$DD$31:$DJ$31,1,DR401))*((1-'Lease Cycles'!$AJ$31)*INDEX('Lease Cycles'!$FO$31:$FU$31,1,DR401)+(1-'Lease Cycles'!$BE$31)*(1-INDEX('Lease Cycles'!$FO$31:$FU$31,1,DR401)))),0)</f>
        <v>0</v>
      </c>
      <c r="DS409" s="24">
        <f>IF(DS403=1,'Lease Cycles'!$D$31*IF(INDEX('Lease Cycles'!$EF$31:$EL$31,1,DS401)=1,(1-'Lease Cycles'!$AJ$31)*INDEX('Lease Cycles'!$EM$31:$ES$31,1,DS401)+(1-'Lease Cycles'!$BE$31)*IF(DS402&lt;INDEX('Lease Cycles'!$FA$31:$FG$31,1,DS401),0,1-INDEX('Lease Cycles'!$EM$31:$ES$31,1,DS401)),IF(OR(INDEX('Lease Cycles'!$DY$31:$EE$31,1,DS401)=1,DS402&gt;0),1,1-INDEX('Lease Cycles'!$DD$31:$DJ$31,1,DS401))*((1-'Lease Cycles'!$AJ$31)*INDEX('Lease Cycles'!$FO$31:$FU$31,1,DS401)+(1-'Lease Cycles'!$BE$31)*(1-INDEX('Lease Cycles'!$FO$31:$FU$31,1,DS401)))),0)</f>
        <v>0</v>
      </c>
      <c r="DT409" s="24">
        <f>IF(DT403=1,'Lease Cycles'!$D$31*IF(INDEX('Lease Cycles'!$EF$31:$EL$31,1,DT401)=1,(1-'Lease Cycles'!$AJ$31)*INDEX('Lease Cycles'!$EM$31:$ES$31,1,DT401)+(1-'Lease Cycles'!$BE$31)*IF(DT402&lt;INDEX('Lease Cycles'!$FA$31:$FG$31,1,DT401),0,1-INDEX('Lease Cycles'!$EM$31:$ES$31,1,DT401)),IF(OR(INDEX('Lease Cycles'!$DY$31:$EE$31,1,DT401)=1,DT402&gt;0),1,1-INDEX('Lease Cycles'!$DD$31:$DJ$31,1,DT401))*((1-'Lease Cycles'!$AJ$31)*INDEX('Lease Cycles'!$FO$31:$FU$31,1,DT401)+(1-'Lease Cycles'!$BE$31)*(1-INDEX('Lease Cycles'!$FO$31:$FU$31,1,DT401)))),0)</f>
        <v>0</v>
      </c>
      <c r="DU409" s="24">
        <f>IF(DU403=1,'Lease Cycles'!$D$31*IF(INDEX('Lease Cycles'!$EF$31:$EL$31,1,DU401)=1,(1-'Lease Cycles'!$AJ$31)*INDEX('Lease Cycles'!$EM$31:$ES$31,1,DU401)+(1-'Lease Cycles'!$BE$31)*IF(DU402&lt;INDEX('Lease Cycles'!$FA$31:$FG$31,1,DU401),0,1-INDEX('Lease Cycles'!$EM$31:$ES$31,1,DU401)),IF(OR(INDEX('Lease Cycles'!$DY$31:$EE$31,1,DU401)=1,DU402&gt;0),1,1-INDEX('Lease Cycles'!$DD$31:$DJ$31,1,DU401))*((1-'Lease Cycles'!$AJ$31)*INDEX('Lease Cycles'!$FO$31:$FU$31,1,DU401)+(1-'Lease Cycles'!$BE$31)*(1-INDEX('Lease Cycles'!$FO$31:$FU$31,1,DU401)))),0)</f>
        <v>0</v>
      </c>
      <c r="DV409" s="24">
        <f>IF(DV403=1,'Lease Cycles'!$D$31*IF(INDEX('Lease Cycles'!$EF$31:$EL$31,1,DV401)=1,(1-'Lease Cycles'!$AJ$31)*INDEX('Lease Cycles'!$EM$31:$ES$31,1,DV401)+(1-'Lease Cycles'!$BE$31)*IF(DV402&lt;INDEX('Lease Cycles'!$FA$31:$FG$31,1,DV401),0,1-INDEX('Lease Cycles'!$EM$31:$ES$31,1,DV401)),IF(OR(INDEX('Lease Cycles'!$DY$31:$EE$31,1,DV401)=1,DV402&gt;0),1,1-INDEX('Lease Cycles'!$DD$31:$DJ$31,1,DV401))*((1-'Lease Cycles'!$AJ$31)*INDEX('Lease Cycles'!$FO$31:$FU$31,1,DV401)+(1-'Lease Cycles'!$BE$31)*(1-INDEX('Lease Cycles'!$FO$31:$FU$31,1,DV401)))),0)</f>
        <v>0</v>
      </c>
      <c r="DW409" s="24">
        <f>IF(DW403=1,'Lease Cycles'!$D$31*IF(INDEX('Lease Cycles'!$EF$31:$EL$31,1,DW401)=1,(1-'Lease Cycles'!$AJ$31)*INDEX('Lease Cycles'!$EM$31:$ES$31,1,DW401)+(1-'Lease Cycles'!$BE$31)*IF(DW402&lt;INDEX('Lease Cycles'!$FA$31:$FG$31,1,DW401),0,1-INDEX('Lease Cycles'!$EM$31:$ES$31,1,DW401)),IF(OR(INDEX('Lease Cycles'!$DY$31:$EE$31,1,DW401)=1,DW402&gt;0),1,1-INDEX('Lease Cycles'!$DD$31:$DJ$31,1,DW401))*((1-'Lease Cycles'!$AJ$31)*INDEX('Lease Cycles'!$FO$31:$FU$31,1,DW401)+(1-'Lease Cycles'!$BE$31)*(1-INDEX('Lease Cycles'!$FO$31:$FU$31,1,DW401)))),0)</f>
        <v>0</v>
      </c>
      <c r="DX409" s="24">
        <f>IF(DX403=1,'Lease Cycles'!$D$31*IF(INDEX('Lease Cycles'!$EF$31:$EL$31,1,DX401)=1,(1-'Lease Cycles'!$AJ$31)*INDEX('Lease Cycles'!$EM$31:$ES$31,1,DX401)+(1-'Lease Cycles'!$BE$31)*IF(DX402&lt;INDEX('Lease Cycles'!$FA$31:$FG$31,1,DX401),0,1-INDEX('Lease Cycles'!$EM$31:$ES$31,1,DX401)),IF(OR(INDEX('Lease Cycles'!$DY$31:$EE$31,1,DX401)=1,DX402&gt;0),1,1-INDEX('Lease Cycles'!$DD$31:$DJ$31,1,DX401))*((1-'Lease Cycles'!$AJ$31)*INDEX('Lease Cycles'!$FO$31:$FU$31,1,DX401)+(1-'Lease Cycles'!$BE$31)*(1-INDEX('Lease Cycles'!$FO$31:$FU$31,1,DX401)))),0)</f>
        <v>0</v>
      </c>
      <c r="DY409" s="24">
        <f>IF(DY403=1,'Lease Cycles'!$D$31*IF(INDEX('Lease Cycles'!$EF$31:$EL$31,1,DY401)=1,(1-'Lease Cycles'!$AJ$31)*INDEX('Lease Cycles'!$EM$31:$ES$31,1,DY401)+(1-'Lease Cycles'!$BE$31)*IF(DY402&lt;INDEX('Lease Cycles'!$FA$31:$FG$31,1,DY401),0,1-INDEX('Lease Cycles'!$EM$31:$ES$31,1,DY401)),IF(OR(INDEX('Lease Cycles'!$DY$31:$EE$31,1,DY401)=1,DY402&gt;0),1,1-INDEX('Lease Cycles'!$DD$31:$DJ$31,1,DY401))*((1-'Lease Cycles'!$AJ$31)*INDEX('Lease Cycles'!$FO$31:$FU$31,1,DY401)+(1-'Lease Cycles'!$BE$31)*(1-INDEX('Lease Cycles'!$FO$31:$FU$31,1,DY401)))),0)</f>
        <v>0</v>
      </c>
      <c r="DZ409" s="24">
        <f>IF(DZ403=1,'Lease Cycles'!$D$31*IF(INDEX('Lease Cycles'!$EF$31:$EL$31,1,DZ401)=1,(1-'Lease Cycles'!$AJ$31)*INDEX('Lease Cycles'!$EM$31:$ES$31,1,DZ401)+(1-'Lease Cycles'!$BE$31)*IF(DZ402&lt;INDEX('Lease Cycles'!$FA$31:$FG$31,1,DZ401),0,1-INDEX('Lease Cycles'!$EM$31:$ES$31,1,DZ401)),IF(OR(INDEX('Lease Cycles'!$DY$31:$EE$31,1,DZ401)=1,DZ402&gt;0),1,1-INDEX('Lease Cycles'!$DD$31:$DJ$31,1,DZ401))*((1-'Lease Cycles'!$AJ$31)*INDEX('Lease Cycles'!$FO$31:$FU$31,1,DZ401)+(1-'Lease Cycles'!$BE$31)*(1-INDEX('Lease Cycles'!$FO$31:$FU$31,1,DZ401)))),0)</f>
        <v>0</v>
      </c>
      <c r="EA409" s="24">
        <f>IF(EA403=1,'Lease Cycles'!$D$31*IF(INDEX('Lease Cycles'!$EF$31:$EL$31,1,EA401)=1,(1-'Lease Cycles'!$AJ$31)*INDEX('Lease Cycles'!$EM$31:$ES$31,1,EA401)+(1-'Lease Cycles'!$BE$31)*IF(EA402&lt;INDEX('Lease Cycles'!$FA$31:$FG$31,1,EA401),0,1-INDEX('Lease Cycles'!$EM$31:$ES$31,1,EA401)),IF(OR(INDEX('Lease Cycles'!$DY$31:$EE$31,1,EA401)=1,EA402&gt;0),1,1-INDEX('Lease Cycles'!$DD$31:$DJ$31,1,EA401))*((1-'Lease Cycles'!$AJ$31)*INDEX('Lease Cycles'!$FO$31:$FU$31,1,EA401)+(1-'Lease Cycles'!$BE$31)*(1-INDEX('Lease Cycles'!$FO$31:$FU$31,1,EA401)))),0)</f>
        <v>0</v>
      </c>
      <c r="EB409" s="24">
        <f>IF(EB403=1,'Lease Cycles'!$D$31*IF(INDEX('Lease Cycles'!$EF$31:$EL$31,1,EB401)=1,(1-'Lease Cycles'!$AJ$31)*INDEX('Lease Cycles'!$EM$31:$ES$31,1,EB401)+(1-'Lease Cycles'!$BE$31)*IF(EB402&lt;INDEX('Lease Cycles'!$FA$31:$FG$31,1,EB401),0,1-INDEX('Lease Cycles'!$EM$31:$ES$31,1,EB401)),IF(OR(INDEX('Lease Cycles'!$DY$31:$EE$31,1,EB401)=1,EB402&gt;0),1,1-INDEX('Lease Cycles'!$DD$31:$DJ$31,1,EB401))*((1-'Lease Cycles'!$AJ$31)*INDEX('Lease Cycles'!$FO$31:$FU$31,1,EB401)+(1-'Lease Cycles'!$BE$31)*(1-INDEX('Lease Cycles'!$FO$31:$FU$31,1,EB401)))),0)</f>
        <v>0</v>
      </c>
      <c r="EC409" s="24">
        <f>IF(EC403=1,'Lease Cycles'!$D$31*IF(INDEX('Lease Cycles'!$EF$31:$EL$31,1,EC401)=1,(1-'Lease Cycles'!$AJ$31)*INDEX('Lease Cycles'!$EM$31:$ES$31,1,EC401)+(1-'Lease Cycles'!$BE$31)*IF(EC402&lt;INDEX('Lease Cycles'!$FA$31:$FG$31,1,EC401),0,1-INDEX('Lease Cycles'!$EM$31:$ES$31,1,EC401)),IF(OR(INDEX('Lease Cycles'!$DY$31:$EE$31,1,EC401)=1,EC402&gt;0),1,1-INDEX('Lease Cycles'!$DD$31:$DJ$31,1,EC401))*((1-'Lease Cycles'!$AJ$31)*INDEX('Lease Cycles'!$FO$31:$FU$31,1,EC401)+(1-'Lease Cycles'!$BE$31)*(1-INDEX('Lease Cycles'!$FO$31:$FU$31,1,EC401)))),0)</f>
        <v>0</v>
      </c>
      <c r="ED409" s="24">
        <f>IF(ED403=1,'Lease Cycles'!$D$31*IF(INDEX('Lease Cycles'!$EF$31:$EL$31,1,ED401)=1,(1-'Lease Cycles'!$AJ$31)*INDEX('Lease Cycles'!$EM$31:$ES$31,1,ED401)+(1-'Lease Cycles'!$BE$31)*IF(ED402&lt;INDEX('Lease Cycles'!$FA$31:$FG$31,1,ED401),0,1-INDEX('Lease Cycles'!$EM$31:$ES$31,1,ED401)),IF(OR(INDEX('Lease Cycles'!$DY$31:$EE$31,1,ED401)=1,ED402&gt;0),1,1-INDEX('Lease Cycles'!$DD$31:$DJ$31,1,ED401))*((1-'Lease Cycles'!$AJ$31)*INDEX('Lease Cycles'!$FO$31:$FU$31,1,ED401)+(1-'Lease Cycles'!$BE$31)*(1-INDEX('Lease Cycles'!$FO$31:$FU$31,1,ED401)))),0)</f>
        <v>0</v>
      </c>
      <c r="EE409" s="24">
        <f>IF(EE403=1,'Lease Cycles'!$D$31*IF(INDEX('Lease Cycles'!$EF$31:$EL$31,1,EE401)=1,(1-'Lease Cycles'!$AJ$31)*INDEX('Lease Cycles'!$EM$31:$ES$31,1,EE401)+(1-'Lease Cycles'!$BE$31)*IF(EE402&lt;INDEX('Lease Cycles'!$FA$31:$FG$31,1,EE401),0,1-INDEX('Lease Cycles'!$EM$31:$ES$31,1,EE401)),IF(OR(INDEX('Lease Cycles'!$DY$31:$EE$31,1,EE401)=1,EE402&gt;0),1,1-INDEX('Lease Cycles'!$DD$31:$DJ$31,1,EE401))*((1-'Lease Cycles'!$AJ$31)*INDEX('Lease Cycles'!$FO$31:$FU$31,1,EE401)+(1-'Lease Cycles'!$BE$31)*(1-INDEX('Lease Cycles'!$FO$31:$FU$31,1,EE401)))),0)</f>
        <v>0</v>
      </c>
      <c r="EF409" s="24">
        <f>IF(EF403=1,'Lease Cycles'!$D$31*IF(INDEX('Lease Cycles'!$EF$31:$EL$31,1,EF401)=1,(1-'Lease Cycles'!$AJ$31)*INDEX('Lease Cycles'!$EM$31:$ES$31,1,EF401)+(1-'Lease Cycles'!$BE$31)*IF(EF402&lt;INDEX('Lease Cycles'!$FA$31:$FG$31,1,EF401),0,1-INDEX('Lease Cycles'!$EM$31:$ES$31,1,EF401)),IF(OR(INDEX('Lease Cycles'!$DY$31:$EE$31,1,EF401)=1,EF402&gt;0),1,1-INDEX('Lease Cycles'!$DD$31:$DJ$31,1,EF401))*((1-'Lease Cycles'!$AJ$31)*INDEX('Lease Cycles'!$FO$31:$FU$31,1,EF401)+(1-'Lease Cycles'!$BE$31)*(1-INDEX('Lease Cycles'!$FO$31:$FU$31,1,EF401)))),0)</f>
        <v>0</v>
      </c>
      <c r="EG409" s="24">
        <f>IF(EG403=1,'Lease Cycles'!$D$31*IF(INDEX('Lease Cycles'!$EF$31:$EL$31,1,EG401)=1,(1-'Lease Cycles'!$AJ$31)*INDEX('Lease Cycles'!$EM$31:$ES$31,1,EG401)+(1-'Lease Cycles'!$BE$31)*IF(EG402&lt;INDEX('Lease Cycles'!$FA$31:$FG$31,1,EG401),0,1-INDEX('Lease Cycles'!$EM$31:$ES$31,1,EG401)),IF(OR(INDEX('Lease Cycles'!$DY$31:$EE$31,1,EG401)=1,EG402&gt;0),1,1-INDEX('Lease Cycles'!$DD$31:$DJ$31,1,EG401))*((1-'Lease Cycles'!$AJ$31)*INDEX('Lease Cycles'!$FO$31:$FU$31,1,EG401)+(1-'Lease Cycles'!$BE$31)*(1-INDEX('Lease Cycles'!$FO$31:$FU$31,1,EG401)))),0)</f>
        <v>0</v>
      </c>
      <c r="EH409" s="24">
        <f>IF(EH403=1,'Lease Cycles'!$D$31*IF(INDEX('Lease Cycles'!$EF$31:$EL$31,1,EH401)=1,(1-'Lease Cycles'!$AJ$31)*INDEX('Lease Cycles'!$EM$31:$ES$31,1,EH401)+(1-'Lease Cycles'!$BE$31)*IF(EH402&lt;INDEX('Lease Cycles'!$FA$31:$FG$31,1,EH401),0,1-INDEX('Lease Cycles'!$EM$31:$ES$31,1,EH401)),IF(OR(INDEX('Lease Cycles'!$DY$31:$EE$31,1,EH401)=1,EH402&gt;0),1,1-INDEX('Lease Cycles'!$DD$31:$DJ$31,1,EH401))*((1-'Lease Cycles'!$AJ$31)*INDEX('Lease Cycles'!$FO$31:$FU$31,1,EH401)+(1-'Lease Cycles'!$BE$31)*(1-INDEX('Lease Cycles'!$FO$31:$FU$31,1,EH401)))),0)</f>
        <v>0</v>
      </c>
      <c r="EI409" s="24">
        <f>IF(EI403=1,'Lease Cycles'!$D$31*IF(INDEX('Lease Cycles'!$EF$31:$EL$31,1,EI401)=1,(1-'Lease Cycles'!$AJ$31)*INDEX('Lease Cycles'!$EM$31:$ES$31,1,EI401)+(1-'Lease Cycles'!$BE$31)*IF(EI402&lt;INDEX('Lease Cycles'!$FA$31:$FG$31,1,EI401),0,1-INDEX('Lease Cycles'!$EM$31:$ES$31,1,EI401)),IF(OR(INDEX('Lease Cycles'!$DY$31:$EE$31,1,EI401)=1,EI402&gt;0),1,1-INDEX('Lease Cycles'!$DD$31:$DJ$31,1,EI401))*((1-'Lease Cycles'!$AJ$31)*INDEX('Lease Cycles'!$FO$31:$FU$31,1,EI401)+(1-'Lease Cycles'!$BE$31)*(1-INDEX('Lease Cycles'!$FO$31:$FU$31,1,EI401)))),0)</f>
        <v>0</v>
      </c>
      <c r="EJ409" s="24">
        <f>IF(EJ403=1,'Lease Cycles'!$D$31*IF(INDEX('Lease Cycles'!$EF$31:$EL$31,1,EJ401)=1,(1-'Lease Cycles'!$AJ$31)*INDEX('Lease Cycles'!$EM$31:$ES$31,1,EJ401)+(1-'Lease Cycles'!$BE$31)*IF(EJ402&lt;INDEX('Lease Cycles'!$FA$31:$FG$31,1,EJ401),0,1-INDEX('Lease Cycles'!$EM$31:$ES$31,1,EJ401)),IF(OR(INDEX('Lease Cycles'!$DY$31:$EE$31,1,EJ401)=1,EJ402&gt;0),1,1-INDEX('Lease Cycles'!$DD$31:$DJ$31,1,EJ401))*((1-'Lease Cycles'!$AJ$31)*INDEX('Lease Cycles'!$FO$31:$FU$31,1,EJ401)+(1-'Lease Cycles'!$BE$31)*(1-INDEX('Lease Cycles'!$FO$31:$FU$31,1,EJ401)))),0)</f>
        <v>0</v>
      </c>
      <c r="EK409" s="24">
        <f>IF(EK403=1,'Lease Cycles'!$D$31*IF(INDEX('Lease Cycles'!$EF$31:$EL$31,1,EK401)=1,(1-'Lease Cycles'!$AJ$31)*INDEX('Lease Cycles'!$EM$31:$ES$31,1,EK401)+(1-'Lease Cycles'!$BE$31)*IF(EK402&lt;INDEX('Lease Cycles'!$FA$31:$FG$31,1,EK401),0,1-INDEX('Lease Cycles'!$EM$31:$ES$31,1,EK401)),IF(OR(INDEX('Lease Cycles'!$DY$31:$EE$31,1,EK401)=1,EK402&gt;0),1,1-INDEX('Lease Cycles'!$DD$31:$DJ$31,1,EK401))*((1-'Lease Cycles'!$AJ$31)*INDEX('Lease Cycles'!$FO$31:$FU$31,1,EK401)+(1-'Lease Cycles'!$BE$31)*(1-INDEX('Lease Cycles'!$FO$31:$FU$31,1,EK401)))),0)</f>
        <v>0</v>
      </c>
      <c r="EL409" s="24">
        <f>IF(EL403=1,'Lease Cycles'!$D$31*IF(INDEX('Lease Cycles'!$EF$31:$EL$31,1,EL401)=1,(1-'Lease Cycles'!$AJ$31)*INDEX('Lease Cycles'!$EM$31:$ES$31,1,EL401)+(1-'Lease Cycles'!$BE$31)*IF(EL402&lt;INDEX('Lease Cycles'!$FA$31:$FG$31,1,EL401),0,1-INDEX('Lease Cycles'!$EM$31:$ES$31,1,EL401)),IF(OR(INDEX('Lease Cycles'!$DY$31:$EE$31,1,EL401)=1,EL402&gt;0),1,1-INDEX('Lease Cycles'!$DD$31:$DJ$31,1,EL401))*((1-'Lease Cycles'!$AJ$31)*INDEX('Lease Cycles'!$FO$31:$FU$31,1,EL401)+(1-'Lease Cycles'!$BE$31)*(1-INDEX('Lease Cycles'!$FO$31:$FU$31,1,EL401)))),0)</f>
        <v>0</v>
      </c>
      <c r="EM409" s="24">
        <f>IF(EM403=1,'Lease Cycles'!$D$31*IF(INDEX('Lease Cycles'!$EF$31:$EL$31,1,EM401)=1,(1-'Lease Cycles'!$AJ$31)*INDEX('Lease Cycles'!$EM$31:$ES$31,1,EM401)+(1-'Lease Cycles'!$BE$31)*IF(EM402&lt;INDEX('Lease Cycles'!$FA$31:$FG$31,1,EM401),0,1-INDEX('Lease Cycles'!$EM$31:$ES$31,1,EM401)),IF(OR(INDEX('Lease Cycles'!$DY$31:$EE$31,1,EM401)=1,EM402&gt;0),1,1-INDEX('Lease Cycles'!$DD$31:$DJ$31,1,EM401))*((1-'Lease Cycles'!$AJ$31)*INDEX('Lease Cycles'!$FO$31:$FU$31,1,EM401)+(1-'Lease Cycles'!$BE$31)*(1-INDEX('Lease Cycles'!$FO$31:$FU$31,1,EM401)))),0)</f>
        <v>0</v>
      </c>
      <c r="EN409" s="24">
        <f>IF(EN403=1,'Lease Cycles'!$D$31*IF(INDEX('Lease Cycles'!$EF$31:$EL$31,1,EN401)=1,(1-'Lease Cycles'!$AJ$31)*INDEX('Lease Cycles'!$EM$31:$ES$31,1,EN401)+(1-'Lease Cycles'!$BE$31)*IF(EN402&lt;INDEX('Lease Cycles'!$FA$31:$FG$31,1,EN401),0,1-INDEX('Lease Cycles'!$EM$31:$ES$31,1,EN401)),IF(OR(INDEX('Lease Cycles'!$DY$31:$EE$31,1,EN401)=1,EN402&gt;0),1,1-INDEX('Lease Cycles'!$DD$31:$DJ$31,1,EN401))*((1-'Lease Cycles'!$AJ$31)*INDEX('Lease Cycles'!$FO$31:$FU$31,1,EN401)+(1-'Lease Cycles'!$BE$31)*(1-INDEX('Lease Cycles'!$FO$31:$FU$31,1,EN401)))),0)</f>
        <v>0</v>
      </c>
      <c r="EO409" s="24">
        <f>IF(EO403=1,'Lease Cycles'!$D$31*IF(INDEX('Lease Cycles'!$EF$31:$EL$31,1,EO401)=1,(1-'Lease Cycles'!$AJ$31)*INDEX('Lease Cycles'!$EM$31:$ES$31,1,EO401)+(1-'Lease Cycles'!$BE$31)*IF(EO402&lt;INDEX('Lease Cycles'!$FA$31:$FG$31,1,EO401),0,1-INDEX('Lease Cycles'!$EM$31:$ES$31,1,EO401)),IF(OR(INDEX('Lease Cycles'!$DY$31:$EE$31,1,EO401)=1,EO402&gt;0),1,1-INDEX('Lease Cycles'!$DD$31:$DJ$31,1,EO401))*((1-'Lease Cycles'!$AJ$31)*INDEX('Lease Cycles'!$FO$31:$FU$31,1,EO401)+(1-'Lease Cycles'!$BE$31)*(1-INDEX('Lease Cycles'!$FO$31:$FU$31,1,EO401)))),0)</f>
        <v>0</v>
      </c>
      <c r="EP409" s="24">
        <f>IF(EP403=1,'Lease Cycles'!$D$31*IF(INDEX('Lease Cycles'!$EF$31:$EL$31,1,EP401)=1,(1-'Lease Cycles'!$AJ$31)*INDEX('Lease Cycles'!$EM$31:$ES$31,1,EP401)+(1-'Lease Cycles'!$BE$31)*IF(EP402&lt;INDEX('Lease Cycles'!$FA$31:$FG$31,1,EP401),0,1-INDEX('Lease Cycles'!$EM$31:$ES$31,1,EP401)),IF(OR(INDEX('Lease Cycles'!$DY$31:$EE$31,1,EP401)=1,EP402&gt;0),1,1-INDEX('Lease Cycles'!$DD$31:$DJ$31,1,EP401))*((1-'Lease Cycles'!$AJ$31)*INDEX('Lease Cycles'!$FO$31:$FU$31,1,EP401)+(1-'Lease Cycles'!$BE$31)*(1-INDEX('Lease Cycles'!$FO$31:$FU$31,1,EP401)))),0)</f>
        <v>0</v>
      </c>
      <c r="EQ409" s="24">
        <f>IF(EQ403=1,'Lease Cycles'!$D$31*IF(INDEX('Lease Cycles'!$EF$31:$EL$31,1,EQ401)=1,(1-'Lease Cycles'!$AJ$31)*INDEX('Lease Cycles'!$EM$31:$ES$31,1,EQ401)+(1-'Lease Cycles'!$BE$31)*IF(EQ402&lt;INDEX('Lease Cycles'!$FA$31:$FG$31,1,EQ401),0,1-INDEX('Lease Cycles'!$EM$31:$ES$31,1,EQ401)),IF(OR(INDEX('Lease Cycles'!$DY$31:$EE$31,1,EQ401)=1,EQ402&gt;0),1,1-INDEX('Lease Cycles'!$DD$31:$DJ$31,1,EQ401))*((1-'Lease Cycles'!$AJ$31)*INDEX('Lease Cycles'!$FO$31:$FU$31,1,EQ401)+(1-'Lease Cycles'!$BE$31)*(1-INDEX('Lease Cycles'!$FO$31:$FU$31,1,EQ401)))),0)</f>
        <v>0</v>
      </c>
      <c r="ER409" s="24">
        <f>IF(ER403=1,'Lease Cycles'!$D$31*IF(INDEX('Lease Cycles'!$EF$31:$EL$31,1,ER401)=1,(1-'Lease Cycles'!$AJ$31)*INDEX('Lease Cycles'!$EM$31:$ES$31,1,ER401)+(1-'Lease Cycles'!$BE$31)*IF(ER402&lt;INDEX('Lease Cycles'!$FA$31:$FG$31,1,ER401),0,1-INDEX('Lease Cycles'!$EM$31:$ES$31,1,ER401)),IF(OR(INDEX('Lease Cycles'!$DY$31:$EE$31,1,ER401)=1,ER402&gt;0),1,1-INDEX('Lease Cycles'!$DD$31:$DJ$31,1,ER401))*((1-'Lease Cycles'!$AJ$31)*INDEX('Lease Cycles'!$FO$31:$FU$31,1,ER401)+(1-'Lease Cycles'!$BE$31)*(1-INDEX('Lease Cycles'!$FO$31:$FU$31,1,ER401)))),0)</f>
        <v>0</v>
      </c>
      <c r="ES409" s="24">
        <f>IF(ES403=1,'Lease Cycles'!$D$31*IF(INDEX('Lease Cycles'!$EF$31:$EL$31,1,ES401)=1,(1-'Lease Cycles'!$AJ$31)*INDEX('Lease Cycles'!$EM$31:$ES$31,1,ES401)+(1-'Lease Cycles'!$BE$31)*IF(ES402&lt;INDEX('Lease Cycles'!$FA$31:$FG$31,1,ES401),0,1-INDEX('Lease Cycles'!$EM$31:$ES$31,1,ES401)),IF(OR(INDEX('Lease Cycles'!$DY$31:$EE$31,1,ES401)=1,ES402&gt;0),1,1-INDEX('Lease Cycles'!$DD$31:$DJ$31,1,ES401))*((1-'Lease Cycles'!$AJ$31)*INDEX('Lease Cycles'!$FO$31:$FU$31,1,ES401)+(1-'Lease Cycles'!$BE$31)*(1-INDEX('Lease Cycles'!$FO$31:$FU$31,1,ES401)))),0)</f>
        <v>0</v>
      </c>
      <c r="ET409" s="24">
        <f>IF(ET403=1,'Lease Cycles'!$D$31*IF(INDEX('Lease Cycles'!$EF$31:$EL$31,1,ET401)=1,(1-'Lease Cycles'!$AJ$31)*INDEX('Lease Cycles'!$EM$31:$ES$31,1,ET401)+(1-'Lease Cycles'!$BE$31)*IF(ET402&lt;INDEX('Lease Cycles'!$FA$31:$FG$31,1,ET401),0,1-INDEX('Lease Cycles'!$EM$31:$ES$31,1,ET401)),IF(OR(INDEX('Lease Cycles'!$DY$31:$EE$31,1,ET401)=1,ET402&gt;0),1,1-INDEX('Lease Cycles'!$DD$31:$DJ$31,1,ET401))*((1-'Lease Cycles'!$AJ$31)*INDEX('Lease Cycles'!$FO$31:$FU$31,1,ET401)+(1-'Lease Cycles'!$BE$31)*(1-INDEX('Lease Cycles'!$FO$31:$FU$31,1,ET401)))),0)</f>
        <v>0</v>
      </c>
    </row>
    <row r="410">
      <c r="A410" s="103">
        <v>24</v>
      </c>
      <c r="B410" s="23" t="str">
        <f>IF('Lease Cycles'!$B$31="","(empty slot)",'Lease Cycles'!$B$31)</f>
        <v>(empty slot)</v>
      </c>
      <c r="C410" s="23" t="s">
        <v>685</v>
      </c>
      <c r="D410" s="104" t="s">
        <v>686</v>
      </c>
      <c r="E410" s="25">
        <f>'Lease Cycles'!$AL$31</f>
        <v>0</v>
      </c>
      <c r="G410" s="24">
        <f>SUM(S410:AD410)</f>
        <v>0</v>
      </c>
      <c r="H410" s="24">
        <f>SUM(AE410:AP410)</f>
        <v>0</v>
      </c>
      <c r="I410" s="24">
        <f>SUM(AQ410:BB410)</f>
        <v>0</v>
      </c>
      <c r="J410" s="24">
        <f>SUM(BC410:BN410)</f>
        <v>0</v>
      </c>
      <c r="K410" s="24">
        <f>SUM(BO410:BZ410)</f>
        <v>0</v>
      </c>
      <c r="L410" s="24">
        <f>SUM(CA410:CL410)</f>
        <v>0</v>
      </c>
      <c r="M410" s="24">
        <f>SUM(CM410:CX410)</f>
        <v>0</v>
      </c>
      <c r="N410" s="24">
        <f>SUM(CY410:DJ410)</f>
        <v>0</v>
      </c>
      <c r="O410" s="24">
        <f>SUM(DK410:DV410)</f>
        <v>0</v>
      </c>
      <c r="P410" s="24">
        <f>SUM(DW410:EH410)</f>
        <v>0</v>
      </c>
      <c r="Q410" s="24">
        <f>SUM(EI410:ET410)</f>
        <v>0</v>
      </c>
      <c r="S410" s="24">
        <f>IF(S403=1,IF('Lease Cycles'!$AJ$31=1,0,'Lease Cycles'!$D$31*INDEX('Lease Cycles'!$FH$31:$FN$31,1,S401)*IF(INDEX('Lease Cycles'!$EF$31:$EL$31,1,S401)=1,1,IF(OR(INDEX('Lease Cycles'!$DY$31:$EE$31,1,S401)=1,S402&gt;0),1,1-INDEX('Lease Cycles'!$DD$31:$DJ$31,1,S401)))),0)</f>
        <v>0</v>
      </c>
      <c r="T410" s="24">
        <f>IF(T403=1,IF('Lease Cycles'!$AJ$31=1,0,'Lease Cycles'!$D$31*INDEX('Lease Cycles'!$FH$31:$FN$31,1,T401)*IF(INDEX('Lease Cycles'!$EF$31:$EL$31,1,T401)=1,1,IF(OR(INDEX('Lease Cycles'!$DY$31:$EE$31,1,T401)=1,T402&gt;0),1,1-INDEX('Lease Cycles'!$DD$31:$DJ$31,1,T401)))),0)</f>
        <v>0</v>
      </c>
      <c r="U410" s="24">
        <f>IF(U403=1,IF('Lease Cycles'!$AJ$31=1,0,'Lease Cycles'!$D$31*INDEX('Lease Cycles'!$FH$31:$FN$31,1,U401)*IF(INDEX('Lease Cycles'!$EF$31:$EL$31,1,U401)=1,1,IF(OR(INDEX('Lease Cycles'!$DY$31:$EE$31,1,U401)=1,U402&gt;0),1,1-INDEX('Lease Cycles'!$DD$31:$DJ$31,1,U401)))),0)</f>
        <v>0</v>
      </c>
      <c r="V410" s="24">
        <f>IF(V403=1,IF('Lease Cycles'!$AJ$31=1,0,'Lease Cycles'!$D$31*INDEX('Lease Cycles'!$FH$31:$FN$31,1,V401)*IF(INDEX('Lease Cycles'!$EF$31:$EL$31,1,V401)=1,1,IF(OR(INDEX('Lease Cycles'!$DY$31:$EE$31,1,V401)=1,V402&gt;0),1,1-INDEX('Lease Cycles'!$DD$31:$DJ$31,1,V401)))),0)</f>
        <v>0</v>
      </c>
      <c r="W410" s="24">
        <f>IF(W403=1,IF('Lease Cycles'!$AJ$31=1,0,'Lease Cycles'!$D$31*INDEX('Lease Cycles'!$FH$31:$FN$31,1,W401)*IF(INDEX('Lease Cycles'!$EF$31:$EL$31,1,W401)=1,1,IF(OR(INDEX('Lease Cycles'!$DY$31:$EE$31,1,W401)=1,W402&gt;0),1,1-INDEX('Lease Cycles'!$DD$31:$DJ$31,1,W401)))),0)</f>
        <v>0</v>
      </c>
      <c r="X410" s="24">
        <f>IF(X403=1,IF('Lease Cycles'!$AJ$31=1,0,'Lease Cycles'!$D$31*INDEX('Lease Cycles'!$FH$31:$FN$31,1,X401)*IF(INDEX('Lease Cycles'!$EF$31:$EL$31,1,X401)=1,1,IF(OR(INDEX('Lease Cycles'!$DY$31:$EE$31,1,X401)=1,X402&gt;0),1,1-INDEX('Lease Cycles'!$DD$31:$DJ$31,1,X401)))),0)</f>
        <v>0</v>
      </c>
      <c r="Y410" s="24">
        <f>IF(Y403=1,IF('Lease Cycles'!$AJ$31=1,0,'Lease Cycles'!$D$31*INDEX('Lease Cycles'!$FH$31:$FN$31,1,Y401)*IF(INDEX('Lease Cycles'!$EF$31:$EL$31,1,Y401)=1,1,IF(OR(INDEX('Lease Cycles'!$DY$31:$EE$31,1,Y401)=1,Y402&gt;0),1,1-INDEX('Lease Cycles'!$DD$31:$DJ$31,1,Y401)))),0)</f>
        <v>0</v>
      </c>
      <c r="Z410" s="24">
        <f>IF(Z403=1,IF('Lease Cycles'!$AJ$31=1,0,'Lease Cycles'!$D$31*INDEX('Lease Cycles'!$FH$31:$FN$31,1,Z401)*IF(INDEX('Lease Cycles'!$EF$31:$EL$31,1,Z401)=1,1,IF(OR(INDEX('Lease Cycles'!$DY$31:$EE$31,1,Z401)=1,Z402&gt;0),1,1-INDEX('Lease Cycles'!$DD$31:$DJ$31,1,Z401)))),0)</f>
        <v>0</v>
      </c>
      <c r="AA410" s="24">
        <f>IF(AA403=1,IF('Lease Cycles'!$AJ$31=1,0,'Lease Cycles'!$D$31*INDEX('Lease Cycles'!$FH$31:$FN$31,1,AA401)*IF(INDEX('Lease Cycles'!$EF$31:$EL$31,1,AA401)=1,1,IF(OR(INDEX('Lease Cycles'!$DY$31:$EE$31,1,AA401)=1,AA402&gt;0),1,1-INDEX('Lease Cycles'!$DD$31:$DJ$31,1,AA401)))),0)</f>
        <v>0</v>
      </c>
      <c r="AB410" s="24">
        <f>IF(AB403=1,IF('Lease Cycles'!$AJ$31=1,0,'Lease Cycles'!$D$31*INDEX('Lease Cycles'!$FH$31:$FN$31,1,AB401)*IF(INDEX('Lease Cycles'!$EF$31:$EL$31,1,AB401)=1,1,IF(OR(INDEX('Lease Cycles'!$DY$31:$EE$31,1,AB401)=1,AB402&gt;0),1,1-INDEX('Lease Cycles'!$DD$31:$DJ$31,1,AB401)))),0)</f>
        <v>0</v>
      </c>
      <c r="AC410" s="24">
        <f>IF(AC403=1,IF('Lease Cycles'!$AJ$31=1,0,'Lease Cycles'!$D$31*INDEX('Lease Cycles'!$FH$31:$FN$31,1,AC401)*IF(INDEX('Lease Cycles'!$EF$31:$EL$31,1,AC401)=1,1,IF(OR(INDEX('Lease Cycles'!$DY$31:$EE$31,1,AC401)=1,AC402&gt;0),1,1-INDEX('Lease Cycles'!$DD$31:$DJ$31,1,AC401)))),0)</f>
        <v>0</v>
      </c>
      <c r="AD410" s="24">
        <f>IF(AD403=1,IF('Lease Cycles'!$AJ$31=1,0,'Lease Cycles'!$D$31*INDEX('Lease Cycles'!$FH$31:$FN$31,1,AD401)*IF(INDEX('Lease Cycles'!$EF$31:$EL$31,1,AD401)=1,1,IF(OR(INDEX('Lease Cycles'!$DY$31:$EE$31,1,AD401)=1,AD402&gt;0),1,1-INDEX('Lease Cycles'!$DD$31:$DJ$31,1,AD401)))),0)</f>
        <v>0</v>
      </c>
      <c r="AE410" s="24">
        <f>IF(AE403=1,IF('Lease Cycles'!$AJ$31=1,0,'Lease Cycles'!$D$31*INDEX('Lease Cycles'!$FH$31:$FN$31,1,AE401)*IF(INDEX('Lease Cycles'!$EF$31:$EL$31,1,AE401)=1,1,IF(OR(INDEX('Lease Cycles'!$DY$31:$EE$31,1,AE401)=1,AE402&gt;0),1,1-INDEX('Lease Cycles'!$DD$31:$DJ$31,1,AE401)))),0)</f>
        <v>0</v>
      </c>
      <c r="AF410" s="24">
        <f>IF(AF403=1,IF('Lease Cycles'!$AJ$31=1,0,'Lease Cycles'!$D$31*INDEX('Lease Cycles'!$FH$31:$FN$31,1,AF401)*IF(INDEX('Lease Cycles'!$EF$31:$EL$31,1,AF401)=1,1,IF(OR(INDEX('Lease Cycles'!$DY$31:$EE$31,1,AF401)=1,AF402&gt;0),1,1-INDEX('Lease Cycles'!$DD$31:$DJ$31,1,AF401)))),0)</f>
        <v>0</v>
      </c>
      <c r="AG410" s="24">
        <f>IF(AG403=1,IF('Lease Cycles'!$AJ$31=1,0,'Lease Cycles'!$D$31*INDEX('Lease Cycles'!$FH$31:$FN$31,1,AG401)*IF(INDEX('Lease Cycles'!$EF$31:$EL$31,1,AG401)=1,1,IF(OR(INDEX('Lease Cycles'!$DY$31:$EE$31,1,AG401)=1,AG402&gt;0),1,1-INDEX('Lease Cycles'!$DD$31:$DJ$31,1,AG401)))),0)</f>
        <v>0</v>
      </c>
      <c r="AH410" s="24">
        <f>IF(AH403=1,IF('Lease Cycles'!$AJ$31=1,0,'Lease Cycles'!$D$31*INDEX('Lease Cycles'!$FH$31:$FN$31,1,AH401)*IF(INDEX('Lease Cycles'!$EF$31:$EL$31,1,AH401)=1,1,IF(OR(INDEX('Lease Cycles'!$DY$31:$EE$31,1,AH401)=1,AH402&gt;0),1,1-INDEX('Lease Cycles'!$DD$31:$DJ$31,1,AH401)))),0)</f>
        <v>0</v>
      </c>
      <c r="AI410" s="24">
        <f>IF(AI403=1,IF('Lease Cycles'!$AJ$31=1,0,'Lease Cycles'!$D$31*INDEX('Lease Cycles'!$FH$31:$FN$31,1,AI401)*IF(INDEX('Lease Cycles'!$EF$31:$EL$31,1,AI401)=1,1,IF(OR(INDEX('Lease Cycles'!$DY$31:$EE$31,1,AI401)=1,AI402&gt;0),1,1-INDEX('Lease Cycles'!$DD$31:$DJ$31,1,AI401)))),0)</f>
        <v>0</v>
      </c>
      <c r="AJ410" s="24">
        <f>IF(AJ403=1,IF('Lease Cycles'!$AJ$31=1,0,'Lease Cycles'!$D$31*INDEX('Lease Cycles'!$FH$31:$FN$31,1,AJ401)*IF(INDEX('Lease Cycles'!$EF$31:$EL$31,1,AJ401)=1,1,IF(OR(INDEX('Lease Cycles'!$DY$31:$EE$31,1,AJ401)=1,AJ402&gt;0),1,1-INDEX('Lease Cycles'!$DD$31:$DJ$31,1,AJ401)))),0)</f>
        <v>0</v>
      </c>
      <c r="AK410" s="24">
        <f>IF(AK403=1,IF('Lease Cycles'!$AJ$31=1,0,'Lease Cycles'!$D$31*INDEX('Lease Cycles'!$FH$31:$FN$31,1,AK401)*IF(INDEX('Lease Cycles'!$EF$31:$EL$31,1,AK401)=1,1,IF(OR(INDEX('Lease Cycles'!$DY$31:$EE$31,1,AK401)=1,AK402&gt;0),1,1-INDEX('Lease Cycles'!$DD$31:$DJ$31,1,AK401)))),0)</f>
        <v>0</v>
      </c>
      <c r="AL410" s="24">
        <f>IF(AL403=1,IF('Lease Cycles'!$AJ$31=1,0,'Lease Cycles'!$D$31*INDEX('Lease Cycles'!$FH$31:$FN$31,1,AL401)*IF(INDEX('Lease Cycles'!$EF$31:$EL$31,1,AL401)=1,1,IF(OR(INDEX('Lease Cycles'!$DY$31:$EE$31,1,AL401)=1,AL402&gt;0),1,1-INDEX('Lease Cycles'!$DD$31:$DJ$31,1,AL401)))),0)</f>
        <v>0</v>
      </c>
      <c r="AM410" s="24">
        <f>IF(AM403=1,IF('Lease Cycles'!$AJ$31=1,0,'Lease Cycles'!$D$31*INDEX('Lease Cycles'!$FH$31:$FN$31,1,AM401)*IF(INDEX('Lease Cycles'!$EF$31:$EL$31,1,AM401)=1,1,IF(OR(INDEX('Lease Cycles'!$DY$31:$EE$31,1,AM401)=1,AM402&gt;0),1,1-INDEX('Lease Cycles'!$DD$31:$DJ$31,1,AM401)))),0)</f>
        <v>0</v>
      </c>
      <c r="AN410" s="24">
        <f>IF(AN403=1,IF('Lease Cycles'!$AJ$31=1,0,'Lease Cycles'!$D$31*INDEX('Lease Cycles'!$FH$31:$FN$31,1,AN401)*IF(INDEX('Lease Cycles'!$EF$31:$EL$31,1,AN401)=1,1,IF(OR(INDEX('Lease Cycles'!$DY$31:$EE$31,1,AN401)=1,AN402&gt;0),1,1-INDEX('Lease Cycles'!$DD$31:$DJ$31,1,AN401)))),0)</f>
        <v>0</v>
      </c>
      <c r="AO410" s="24">
        <f>IF(AO403=1,IF('Lease Cycles'!$AJ$31=1,0,'Lease Cycles'!$D$31*INDEX('Lease Cycles'!$FH$31:$FN$31,1,AO401)*IF(INDEX('Lease Cycles'!$EF$31:$EL$31,1,AO401)=1,1,IF(OR(INDEX('Lease Cycles'!$DY$31:$EE$31,1,AO401)=1,AO402&gt;0),1,1-INDEX('Lease Cycles'!$DD$31:$DJ$31,1,AO401)))),0)</f>
        <v>0</v>
      </c>
      <c r="AP410" s="24">
        <f>IF(AP403=1,IF('Lease Cycles'!$AJ$31=1,0,'Lease Cycles'!$D$31*INDEX('Lease Cycles'!$FH$31:$FN$31,1,AP401)*IF(INDEX('Lease Cycles'!$EF$31:$EL$31,1,AP401)=1,1,IF(OR(INDEX('Lease Cycles'!$DY$31:$EE$31,1,AP401)=1,AP402&gt;0),1,1-INDEX('Lease Cycles'!$DD$31:$DJ$31,1,AP401)))),0)</f>
        <v>0</v>
      </c>
      <c r="AQ410" s="24">
        <f>IF(AQ403=1,IF('Lease Cycles'!$AJ$31=1,0,'Lease Cycles'!$D$31*INDEX('Lease Cycles'!$FH$31:$FN$31,1,AQ401)*IF(INDEX('Lease Cycles'!$EF$31:$EL$31,1,AQ401)=1,1,IF(OR(INDEX('Lease Cycles'!$DY$31:$EE$31,1,AQ401)=1,AQ402&gt;0),1,1-INDEX('Lease Cycles'!$DD$31:$DJ$31,1,AQ401)))),0)</f>
        <v>0</v>
      </c>
      <c r="AR410" s="24">
        <f>IF(AR403=1,IF('Lease Cycles'!$AJ$31=1,0,'Lease Cycles'!$D$31*INDEX('Lease Cycles'!$FH$31:$FN$31,1,AR401)*IF(INDEX('Lease Cycles'!$EF$31:$EL$31,1,AR401)=1,1,IF(OR(INDEX('Lease Cycles'!$DY$31:$EE$31,1,AR401)=1,AR402&gt;0),1,1-INDEX('Lease Cycles'!$DD$31:$DJ$31,1,AR401)))),0)</f>
        <v>0</v>
      </c>
      <c r="AS410" s="24">
        <f>IF(AS403=1,IF('Lease Cycles'!$AJ$31=1,0,'Lease Cycles'!$D$31*INDEX('Lease Cycles'!$FH$31:$FN$31,1,AS401)*IF(INDEX('Lease Cycles'!$EF$31:$EL$31,1,AS401)=1,1,IF(OR(INDEX('Lease Cycles'!$DY$31:$EE$31,1,AS401)=1,AS402&gt;0),1,1-INDEX('Lease Cycles'!$DD$31:$DJ$31,1,AS401)))),0)</f>
        <v>0</v>
      </c>
      <c r="AT410" s="24">
        <f>IF(AT403=1,IF('Lease Cycles'!$AJ$31=1,0,'Lease Cycles'!$D$31*INDEX('Lease Cycles'!$FH$31:$FN$31,1,AT401)*IF(INDEX('Lease Cycles'!$EF$31:$EL$31,1,AT401)=1,1,IF(OR(INDEX('Lease Cycles'!$DY$31:$EE$31,1,AT401)=1,AT402&gt;0),1,1-INDEX('Lease Cycles'!$DD$31:$DJ$31,1,AT401)))),0)</f>
        <v>0</v>
      </c>
      <c r="AU410" s="24">
        <f>IF(AU403=1,IF('Lease Cycles'!$AJ$31=1,0,'Lease Cycles'!$D$31*INDEX('Lease Cycles'!$FH$31:$FN$31,1,AU401)*IF(INDEX('Lease Cycles'!$EF$31:$EL$31,1,AU401)=1,1,IF(OR(INDEX('Lease Cycles'!$DY$31:$EE$31,1,AU401)=1,AU402&gt;0),1,1-INDEX('Lease Cycles'!$DD$31:$DJ$31,1,AU401)))),0)</f>
        <v>0</v>
      </c>
      <c r="AV410" s="24">
        <f>IF(AV403=1,IF('Lease Cycles'!$AJ$31=1,0,'Lease Cycles'!$D$31*INDEX('Lease Cycles'!$FH$31:$FN$31,1,AV401)*IF(INDEX('Lease Cycles'!$EF$31:$EL$31,1,AV401)=1,1,IF(OR(INDEX('Lease Cycles'!$DY$31:$EE$31,1,AV401)=1,AV402&gt;0),1,1-INDEX('Lease Cycles'!$DD$31:$DJ$31,1,AV401)))),0)</f>
        <v>0</v>
      </c>
      <c r="AW410" s="24">
        <f>IF(AW403=1,IF('Lease Cycles'!$AJ$31=1,0,'Lease Cycles'!$D$31*INDEX('Lease Cycles'!$FH$31:$FN$31,1,AW401)*IF(INDEX('Lease Cycles'!$EF$31:$EL$31,1,AW401)=1,1,IF(OR(INDEX('Lease Cycles'!$DY$31:$EE$31,1,AW401)=1,AW402&gt;0),1,1-INDEX('Lease Cycles'!$DD$31:$DJ$31,1,AW401)))),0)</f>
        <v>0</v>
      </c>
      <c r="AX410" s="24">
        <f>IF(AX403=1,IF('Lease Cycles'!$AJ$31=1,0,'Lease Cycles'!$D$31*INDEX('Lease Cycles'!$FH$31:$FN$31,1,AX401)*IF(INDEX('Lease Cycles'!$EF$31:$EL$31,1,AX401)=1,1,IF(OR(INDEX('Lease Cycles'!$DY$31:$EE$31,1,AX401)=1,AX402&gt;0),1,1-INDEX('Lease Cycles'!$DD$31:$DJ$31,1,AX401)))),0)</f>
        <v>0</v>
      </c>
      <c r="AY410" s="24">
        <f>IF(AY403=1,IF('Lease Cycles'!$AJ$31=1,0,'Lease Cycles'!$D$31*INDEX('Lease Cycles'!$FH$31:$FN$31,1,AY401)*IF(INDEX('Lease Cycles'!$EF$31:$EL$31,1,AY401)=1,1,IF(OR(INDEX('Lease Cycles'!$DY$31:$EE$31,1,AY401)=1,AY402&gt;0),1,1-INDEX('Lease Cycles'!$DD$31:$DJ$31,1,AY401)))),0)</f>
        <v>0</v>
      </c>
      <c r="AZ410" s="24">
        <f>IF(AZ403=1,IF('Lease Cycles'!$AJ$31=1,0,'Lease Cycles'!$D$31*INDEX('Lease Cycles'!$FH$31:$FN$31,1,AZ401)*IF(INDEX('Lease Cycles'!$EF$31:$EL$31,1,AZ401)=1,1,IF(OR(INDEX('Lease Cycles'!$DY$31:$EE$31,1,AZ401)=1,AZ402&gt;0),1,1-INDEX('Lease Cycles'!$DD$31:$DJ$31,1,AZ401)))),0)</f>
        <v>0</v>
      </c>
      <c r="BA410" s="24">
        <f>IF(BA403=1,IF('Lease Cycles'!$AJ$31=1,0,'Lease Cycles'!$D$31*INDEX('Lease Cycles'!$FH$31:$FN$31,1,BA401)*IF(INDEX('Lease Cycles'!$EF$31:$EL$31,1,BA401)=1,1,IF(OR(INDEX('Lease Cycles'!$DY$31:$EE$31,1,BA401)=1,BA402&gt;0),1,1-INDEX('Lease Cycles'!$DD$31:$DJ$31,1,BA401)))),0)</f>
        <v>0</v>
      </c>
      <c r="BB410" s="24">
        <f>IF(BB403=1,IF('Lease Cycles'!$AJ$31=1,0,'Lease Cycles'!$D$31*INDEX('Lease Cycles'!$FH$31:$FN$31,1,BB401)*IF(INDEX('Lease Cycles'!$EF$31:$EL$31,1,BB401)=1,1,IF(OR(INDEX('Lease Cycles'!$DY$31:$EE$31,1,BB401)=1,BB402&gt;0),1,1-INDEX('Lease Cycles'!$DD$31:$DJ$31,1,BB401)))),0)</f>
        <v>0</v>
      </c>
      <c r="BC410" s="24">
        <f>IF(BC403=1,IF('Lease Cycles'!$AJ$31=1,0,'Lease Cycles'!$D$31*INDEX('Lease Cycles'!$FH$31:$FN$31,1,BC401)*IF(INDEX('Lease Cycles'!$EF$31:$EL$31,1,BC401)=1,1,IF(OR(INDEX('Lease Cycles'!$DY$31:$EE$31,1,BC401)=1,BC402&gt;0),1,1-INDEX('Lease Cycles'!$DD$31:$DJ$31,1,BC401)))),0)</f>
        <v>0</v>
      </c>
      <c r="BD410" s="24">
        <f>IF(BD403=1,IF('Lease Cycles'!$AJ$31=1,0,'Lease Cycles'!$D$31*INDEX('Lease Cycles'!$FH$31:$FN$31,1,BD401)*IF(INDEX('Lease Cycles'!$EF$31:$EL$31,1,BD401)=1,1,IF(OR(INDEX('Lease Cycles'!$DY$31:$EE$31,1,BD401)=1,BD402&gt;0),1,1-INDEX('Lease Cycles'!$DD$31:$DJ$31,1,BD401)))),0)</f>
        <v>0</v>
      </c>
      <c r="BE410" s="24">
        <f>IF(BE403=1,IF('Lease Cycles'!$AJ$31=1,0,'Lease Cycles'!$D$31*INDEX('Lease Cycles'!$FH$31:$FN$31,1,BE401)*IF(INDEX('Lease Cycles'!$EF$31:$EL$31,1,BE401)=1,1,IF(OR(INDEX('Lease Cycles'!$DY$31:$EE$31,1,BE401)=1,BE402&gt;0),1,1-INDEX('Lease Cycles'!$DD$31:$DJ$31,1,BE401)))),0)</f>
        <v>0</v>
      </c>
      <c r="BF410" s="24">
        <f>IF(BF403=1,IF('Lease Cycles'!$AJ$31=1,0,'Lease Cycles'!$D$31*INDEX('Lease Cycles'!$FH$31:$FN$31,1,BF401)*IF(INDEX('Lease Cycles'!$EF$31:$EL$31,1,BF401)=1,1,IF(OR(INDEX('Lease Cycles'!$DY$31:$EE$31,1,BF401)=1,BF402&gt;0),1,1-INDEX('Lease Cycles'!$DD$31:$DJ$31,1,BF401)))),0)</f>
        <v>0</v>
      </c>
      <c r="BG410" s="24">
        <f>IF(BG403=1,IF('Lease Cycles'!$AJ$31=1,0,'Lease Cycles'!$D$31*INDEX('Lease Cycles'!$FH$31:$FN$31,1,BG401)*IF(INDEX('Lease Cycles'!$EF$31:$EL$31,1,BG401)=1,1,IF(OR(INDEX('Lease Cycles'!$DY$31:$EE$31,1,BG401)=1,BG402&gt;0),1,1-INDEX('Lease Cycles'!$DD$31:$DJ$31,1,BG401)))),0)</f>
        <v>0</v>
      </c>
      <c r="BH410" s="24">
        <f>IF(BH403=1,IF('Lease Cycles'!$AJ$31=1,0,'Lease Cycles'!$D$31*INDEX('Lease Cycles'!$FH$31:$FN$31,1,BH401)*IF(INDEX('Lease Cycles'!$EF$31:$EL$31,1,BH401)=1,1,IF(OR(INDEX('Lease Cycles'!$DY$31:$EE$31,1,BH401)=1,BH402&gt;0),1,1-INDEX('Lease Cycles'!$DD$31:$DJ$31,1,BH401)))),0)</f>
        <v>0</v>
      </c>
      <c r="BI410" s="24">
        <f>IF(BI403=1,IF('Lease Cycles'!$AJ$31=1,0,'Lease Cycles'!$D$31*INDEX('Lease Cycles'!$FH$31:$FN$31,1,BI401)*IF(INDEX('Lease Cycles'!$EF$31:$EL$31,1,BI401)=1,1,IF(OR(INDEX('Lease Cycles'!$DY$31:$EE$31,1,BI401)=1,BI402&gt;0),1,1-INDEX('Lease Cycles'!$DD$31:$DJ$31,1,BI401)))),0)</f>
        <v>0</v>
      </c>
      <c r="BJ410" s="24">
        <f>IF(BJ403=1,IF('Lease Cycles'!$AJ$31=1,0,'Lease Cycles'!$D$31*INDEX('Lease Cycles'!$FH$31:$FN$31,1,BJ401)*IF(INDEX('Lease Cycles'!$EF$31:$EL$31,1,BJ401)=1,1,IF(OR(INDEX('Lease Cycles'!$DY$31:$EE$31,1,BJ401)=1,BJ402&gt;0),1,1-INDEX('Lease Cycles'!$DD$31:$DJ$31,1,BJ401)))),0)</f>
        <v>0</v>
      </c>
      <c r="BK410" s="24">
        <f>IF(BK403=1,IF('Lease Cycles'!$AJ$31=1,0,'Lease Cycles'!$D$31*INDEX('Lease Cycles'!$FH$31:$FN$31,1,BK401)*IF(INDEX('Lease Cycles'!$EF$31:$EL$31,1,BK401)=1,1,IF(OR(INDEX('Lease Cycles'!$DY$31:$EE$31,1,BK401)=1,BK402&gt;0),1,1-INDEX('Lease Cycles'!$DD$31:$DJ$31,1,BK401)))),0)</f>
        <v>0</v>
      </c>
      <c r="BL410" s="24">
        <f>IF(BL403=1,IF('Lease Cycles'!$AJ$31=1,0,'Lease Cycles'!$D$31*INDEX('Lease Cycles'!$FH$31:$FN$31,1,BL401)*IF(INDEX('Lease Cycles'!$EF$31:$EL$31,1,BL401)=1,1,IF(OR(INDEX('Lease Cycles'!$DY$31:$EE$31,1,BL401)=1,BL402&gt;0),1,1-INDEX('Lease Cycles'!$DD$31:$DJ$31,1,BL401)))),0)</f>
        <v>0</v>
      </c>
      <c r="BM410" s="24">
        <f>IF(BM403=1,IF('Lease Cycles'!$AJ$31=1,0,'Lease Cycles'!$D$31*INDEX('Lease Cycles'!$FH$31:$FN$31,1,BM401)*IF(INDEX('Lease Cycles'!$EF$31:$EL$31,1,BM401)=1,1,IF(OR(INDEX('Lease Cycles'!$DY$31:$EE$31,1,BM401)=1,BM402&gt;0),1,1-INDEX('Lease Cycles'!$DD$31:$DJ$31,1,BM401)))),0)</f>
        <v>0</v>
      </c>
      <c r="BN410" s="24">
        <f>IF(BN403=1,IF('Lease Cycles'!$AJ$31=1,0,'Lease Cycles'!$D$31*INDEX('Lease Cycles'!$FH$31:$FN$31,1,BN401)*IF(INDEX('Lease Cycles'!$EF$31:$EL$31,1,BN401)=1,1,IF(OR(INDEX('Lease Cycles'!$DY$31:$EE$31,1,BN401)=1,BN402&gt;0),1,1-INDEX('Lease Cycles'!$DD$31:$DJ$31,1,BN401)))),0)</f>
        <v>0</v>
      </c>
      <c r="BO410" s="24">
        <f>IF(BO403=1,IF('Lease Cycles'!$AJ$31=1,0,'Lease Cycles'!$D$31*INDEX('Lease Cycles'!$FH$31:$FN$31,1,BO401)*IF(INDEX('Lease Cycles'!$EF$31:$EL$31,1,BO401)=1,1,IF(OR(INDEX('Lease Cycles'!$DY$31:$EE$31,1,BO401)=1,BO402&gt;0),1,1-INDEX('Lease Cycles'!$DD$31:$DJ$31,1,BO401)))),0)</f>
        <v>0</v>
      </c>
      <c r="BP410" s="24">
        <f>IF(BP403=1,IF('Lease Cycles'!$AJ$31=1,0,'Lease Cycles'!$D$31*INDEX('Lease Cycles'!$FH$31:$FN$31,1,BP401)*IF(INDEX('Lease Cycles'!$EF$31:$EL$31,1,BP401)=1,1,IF(OR(INDEX('Lease Cycles'!$DY$31:$EE$31,1,BP401)=1,BP402&gt;0),1,1-INDEX('Lease Cycles'!$DD$31:$DJ$31,1,BP401)))),0)</f>
        <v>0</v>
      </c>
      <c r="BQ410" s="24">
        <f>IF(BQ403=1,IF('Lease Cycles'!$AJ$31=1,0,'Lease Cycles'!$D$31*INDEX('Lease Cycles'!$FH$31:$FN$31,1,BQ401)*IF(INDEX('Lease Cycles'!$EF$31:$EL$31,1,BQ401)=1,1,IF(OR(INDEX('Lease Cycles'!$DY$31:$EE$31,1,BQ401)=1,BQ402&gt;0),1,1-INDEX('Lease Cycles'!$DD$31:$DJ$31,1,BQ401)))),0)</f>
        <v>0</v>
      </c>
      <c r="BR410" s="24">
        <f>IF(BR403=1,IF('Lease Cycles'!$AJ$31=1,0,'Lease Cycles'!$D$31*INDEX('Lease Cycles'!$FH$31:$FN$31,1,BR401)*IF(INDEX('Lease Cycles'!$EF$31:$EL$31,1,BR401)=1,1,IF(OR(INDEX('Lease Cycles'!$DY$31:$EE$31,1,BR401)=1,BR402&gt;0),1,1-INDEX('Lease Cycles'!$DD$31:$DJ$31,1,BR401)))),0)</f>
        <v>0</v>
      </c>
      <c r="BS410" s="24">
        <f>IF(BS403=1,IF('Lease Cycles'!$AJ$31=1,0,'Lease Cycles'!$D$31*INDEX('Lease Cycles'!$FH$31:$FN$31,1,BS401)*IF(INDEX('Lease Cycles'!$EF$31:$EL$31,1,BS401)=1,1,IF(OR(INDEX('Lease Cycles'!$DY$31:$EE$31,1,BS401)=1,BS402&gt;0),1,1-INDEX('Lease Cycles'!$DD$31:$DJ$31,1,BS401)))),0)</f>
        <v>0</v>
      </c>
      <c r="BT410" s="24">
        <f>IF(BT403=1,IF('Lease Cycles'!$AJ$31=1,0,'Lease Cycles'!$D$31*INDEX('Lease Cycles'!$FH$31:$FN$31,1,BT401)*IF(INDEX('Lease Cycles'!$EF$31:$EL$31,1,BT401)=1,1,IF(OR(INDEX('Lease Cycles'!$DY$31:$EE$31,1,BT401)=1,BT402&gt;0),1,1-INDEX('Lease Cycles'!$DD$31:$DJ$31,1,BT401)))),0)</f>
        <v>0</v>
      </c>
      <c r="BU410" s="24">
        <f>IF(BU403=1,IF('Lease Cycles'!$AJ$31=1,0,'Lease Cycles'!$D$31*INDEX('Lease Cycles'!$FH$31:$FN$31,1,BU401)*IF(INDEX('Lease Cycles'!$EF$31:$EL$31,1,BU401)=1,1,IF(OR(INDEX('Lease Cycles'!$DY$31:$EE$31,1,BU401)=1,BU402&gt;0),1,1-INDEX('Lease Cycles'!$DD$31:$DJ$31,1,BU401)))),0)</f>
        <v>0</v>
      </c>
      <c r="BV410" s="24">
        <f>IF(BV403=1,IF('Lease Cycles'!$AJ$31=1,0,'Lease Cycles'!$D$31*INDEX('Lease Cycles'!$FH$31:$FN$31,1,BV401)*IF(INDEX('Lease Cycles'!$EF$31:$EL$31,1,BV401)=1,1,IF(OR(INDEX('Lease Cycles'!$DY$31:$EE$31,1,BV401)=1,BV402&gt;0),1,1-INDEX('Lease Cycles'!$DD$31:$DJ$31,1,BV401)))),0)</f>
        <v>0</v>
      </c>
      <c r="BW410" s="24">
        <f>IF(BW403=1,IF('Lease Cycles'!$AJ$31=1,0,'Lease Cycles'!$D$31*INDEX('Lease Cycles'!$FH$31:$FN$31,1,BW401)*IF(INDEX('Lease Cycles'!$EF$31:$EL$31,1,BW401)=1,1,IF(OR(INDEX('Lease Cycles'!$DY$31:$EE$31,1,BW401)=1,BW402&gt;0),1,1-INDEX('Lease Cycles'!$DD$31:$DJ$31,1,BW401)))),0)</f>
        <v>0</v>
      </c>
      <c r="BX410" s="24">
        <f>IF(BX403=1,IF('Lease Cycles'!$AJ$31=1,0,'Lease Cycles'!$D$31*INDEX('Lease Cycles'!$FH$31:$FN$31,1,BX401)*IF(INDEX('Lease Cycles'!$EF$31:$EL$31,1,BX401)=1,1,IF(OR(INDEX('Lease Cycles'!$DY$31:$EE$31,1,BX401)=1,BX402&gt;0),1,1-INDEX('Lease Cycles'!$DD$31:$DJ$31,1,BX401)))),0)</f>
        <v>0</v>
      </c>
      <c r="BY410" s="24">
        <f>IF(BY403=1,IF('Lease Cycles'!$AJ$31=1,0,'Lease Cycles'!$D$31*INDEX('Lease Cycles'!$FH$31:$FN$31,1,BY401)*IF(INDEX('Lease Cycles'!$EF$31:$EL$31,1,BY401)=1,1,IF(OR(INDEX('Lease Cycles'!$DY$31:$EE$31,1,BY401)=1,BY402&gt;0),1,1-INDEX('Lease Cycles'!$DD$31:$DJ$31,1,BY401)))),0)</f>
        <v>0</v>
      </c>
      <c r="BZ410" s="24">
        <f>IF(BZ403=1,IF('Lease Cycles'!$AJ$31=1,0,'Lease Cycles'!$D$31*INDEX('Lease Cycles'!$FH$31:$FN$31,1,BZ401)*IF(INDEX('Lease Cycles'!$EF$31:$EL$31,1,BZ401)=1,1,IF(OR(INDEX('Lease Cycles'!$DY$31:$EE$31,1,BZ401)=1,BZ402&gt;0),1,1-INDEX('Lease Cycles'!$DD$31:$DJ$31,1,BZ401)))),0)</f>
        <v>0</v>
      </c>
      <c r="CA410" s="24">
        <f>IF(CA403=1,IF('Lease Cycles'!$AJ$31=1,0,'Lease Cycles'!$D$31*INDEX('Lease Cycles'!$FH$31:$FN$31,1,CA401)*IF(INDEX('Lease Cycles'!$EF$31:$EL$31,1,CA401)=1,1,IF(OR(INDEX('Lease Cycles'!$DY$31:$EE$31,1,CA401)=1,CA402&gt;0),1,1-INDEX('Lease Cycles'!$DD$31:$DJ$31,1,CA401)))),0)</f>
        <v>0</v>
      </c>
      <c r="CB410" s="24">
        <f>IF(CB403=1,IF('Lease Cycles'!$AJ$31=1,0,'Lease Cycles'!$D$31*INDEX('Lease Cycles'!$FH$31:$FN$31,1,CB401)*IF(INDEX('Lease Cycles'!$EF$31:$EL$31,1,CB401)=1,1,IF(OR(INDEX('Lease Cycles'!$DY$31:$EE$31,1,CB401)=1,CB402&gt;0),1,1-INDEX('Lease Cycles'!$DD$31:$DJ$31,1,CB401)))),0)</f>
        <v>0</v>
      </c>
      <c r="CC410" s="24">
        <f>IF(CC403=1,IF('Lease Cycles'!$AJ$31=1,0,'Lease Cycles'!$D$31*INDEX('Lease Cycles'!$FH$31:$FN$31,1,CC401)*IF(INDEX('Lease Cycles'!$EF$31:$EL$31,1,CC401)=1,1,IF(OR(INDEX('Lease Cycles'!$DY$31:$EE$31,1,CC401)=1,CC402&gt;0),1,1-INDEX('Lease Cycles'!$DD$31:$DJ$31,1,CC401)))),0)</f>
        <v>0</v>
      </c>
      <c r="CD410" s="24">
        <f>IF(CD403=1,IF('Lease Cycles'!$AJ$31=1,0,'Lease Cycles'!$D$31*INDEX('Lease Cycles'!$FH$31:$FN$31,1,CD401)*IF(INDEX('Lease Cycles'!$EF$31:$EL$31,1,CD401)=1,1,IF(OR(INDEX('Lease Cycles'!$DY$31:$EE$31,1,CD401)=1,CD402&gt;0),1,1-INDEX('Lease Cycles'!$DD$31:$DJ$31,1,CD401)))),0)</f>
        <v>0</v>
      </c>
      <c r="CE410" s="24">
        <f>IF(CE403=1,IF('Lease Cycles'!$AJ$31=1,0,'Lease Cycles'!$D$31*INDEX('Lease Cycles'!$FH$31:$FN$31,1,CE401)*IF(INDEX('Lease Cycles'!$EF$31:$EL$31,1,CE401)=1,1,IF(OR(INDEX('Lease Cycles'!$DY$31:$EE$31,1,CE401)=1,CE402&gt;0),1,1-INDEX('Lease Cycles'!$DD$31:$DJ$31,1,CE401)))),0)</f>
        <v>0</v>
      </c>
      <c r="CF410" s="24">
        <f>IF(CF403=1,IF('Lease Cycles'!$AJ$31=1,0,'Lease Cycles'!$D$31*INDEX('Lease Cycles'!$FH$31:$FN$31,1,CF401)*IF(INDEX('Lease Cycles'!$EF$31:$EL$31,1,CF401)=1,1,IF(OR(INDEX('Lease Cycles'!$DY$31:$EE$31,1,CF401)=1,CF402&gt;0),1,1-INDEX('Lease Cycles'!$DD$31:$DJ$31,1,CF401)))),0)</f>
        <v>0</v>
      </c>
      <c r="CG410" s="24">
        <f>IF(CG403=1,IF('Lease Cycles'!$AJ$31=1,0,'Lease Cycles'!$D$31*INDEX('Lease Cycles'!$FH$31:$FN$31,1,CG401)*IF(INDEX('Lease Cycles'!$EF$31:$EL$31,1,CG401)=1,1,IF(OR(INDEX('Lease Cycles'!$DY$31:$EE$31,1,CG401)=1,CG402&gt;0),1,1-INDEX('Lease Cycles'!$DD$31:$DJ$31,1,CG401)))),0)</f>
        <v>0</v>
      </c>
      <c r="CH410" s="24">
        <f>IF(CH403=1,IF('Lease Cycles'!$AJ$31=1,0,'Lease Cycles'!$D$31*INDEX('Lease Cycles'!$FH$31:$FN$31,1,CH401)*IF(INDEX('Lease Cycles'!$EF$31:$EL$31,1,CH401)=1,1,IF(OR(INDEX('Lease Cycles'!$DY$31:$EE$31,1,CH401)=1,CH402&gt;0),1,1-INDEX('Lease Cycles'!$DD$31:$DJ$31,1,CH401)))),0)</f>
        <v>0</v>
      </c>
      <c r="CI410" s="24">
        <f>IF(CI403=1,IF('Lease Cycles'!$AJ$31=1,0,'Lease Cycles'!$D$31*INDEX('Lease Cycles'!$FH$31:$FN$31,1,CI401)*IF(INDEX('Lease Cycles'!$EF$31:$EL$31,1,CI401)=1,1,IF(OR(INDEX('Lease Cycles'!$DY$31:$EE$31,1,CI401)=1,CI402&gt;0),1,1-INDEX('Lease Cycles'!$DD$31:$DJ$31,1,CI401)))),0)</f>
        <v>0</v>
      </c>
      <c r="CJ410" s="24">
        <f>IF(CJ403=1,IF('Lease Cycles'!$AJ$31=1,0,'Lease Cycles'!$D$31*INDEX('Lease Cycles'!$FH$31:$FN$31,1,CJ401)*IF(INDEX('Lease Cycles'!$EF$31:$EL$31,1,CJ401)=1,1,IF(OR(INDEX('Lease Cycles'!$DY$31:$EE$31,1,CJ401)=1,CJ402&gt;0),1,1-INDEX('Lease Cycles'!$DD$31:$DJ$31,1,CJ401)))),0)</f>
        <v>0</v>
      </c>
      <c r="CK410" s="24">
        <f>IF(CK403=1,IF('Lease Cycles'!$AJ$31=1,0,'Lease Cycles'!$D$31*INDEX('Lease Cycles'!$FH$31:$FN$31,1,CK401)*IF(INDEX('Lease Cycles'!$EF$31:$EL$31,1,CK401)=1,1,IF(OR(INDEX('Lease Cycles'!$DY$31:$EE$31,1,CK401)=1,CK402&gt;0),1,1-INDEX('Lease Cycles'!$DD$31:$DJ$31,1,CK401)))),0)</f>
        <v>0</v>
      </c>
      <c r="CL410" s="24">
        <f>IF(CL403=1,IF('Lease Cycles'!$AJ$31=1,0,'Lease Cycles'!$D$31*INDEX('Lease Cycles'!$FH$31:$FN$31,1,CL401)*IF(INDEX('Lease Cycles'!$EF$31:$EL$31,1,CL401)=1,1,IF(OR(INDEX('Lease Cycles'!$DY$31:$EE$31,1,CL401)=1,CL402&gt;0),1,1-INDEX('Lease Cycles'!$DD$31:$DJ$31,1,CL401)))),0)</f>
        <v>0</v>
      </c>
      <c r="CM410" s="24">
        <f>IF(CM403=1,IF('Lease Cycles'!$AJ$31=1,0,'Lease Cycles'!$D$31*INDEX('Lease Cycles'!$FH$31:$FN$31,1,CM401)*IF(INDEX('Lease Cycles'!$EF$31:$EL$31,1,CM401)=1,1,IF(OR(INDEX('Lease Cycles'!$DY$31:$EE$31,1,CM401)=1,CM402&gt;0),1,1-INDEX('Lease Cycles'!$DD$31:$DJ$31,1,CM401)))),0)</f>
        <v>0</v>
      </c>
      <c r="CN410" s="24">
        <f>IF(CN403=1,IF('Lease Cycles'!$AJ$31=1,0,'Lease Cycles'!$D$31*INDEX('Lease Cycles'!$FH$31:$FN$31,1,CN401)*IF(INDEX('Lease Cycles'!$EF$31:$EL$31,1,CN401)=1,1,IF(OR(INDEX('Lease Cycles'!$DY$31:$EE$31,1,CN401)=1,CN402&gt;0),1,1-INDEX('Lease Cycles'!$DD$31:$DJ$31,1,CN401)))),0)</f>
        <v>0</v>
      </c>
      <c r="CO410" s="24">
        <f>IF(CO403=1,IF('Lease Cycles'!$AJ$31=1,0,'Lease Cycles'!$D$31*INDEX('Lease Cycles'!$FH$31:$FN$31,1,CO401)*IF(INDEX('Lease Cycles'!$EF$31:$EL$31,1,CO401)=1,1,IF(OR(INDEX('Lease Cycles'!$DY$31:$EE$31,1,CO401)=1,CO402&gt;0),1,1-INDEX('Lease Cycles'!$DD$31:$DJ$31,1,CO401)))),0)</f>
        <v>0</v>
      </c>
      <c r="CP410" s="24">
        <f>IF(CP403=1,IF('Lease Cycles'!$AJ$31=1,0,'Lease Cycles'!$D$31*INDEX('Lease Cycles'!$FH$31:$FN$31,1,CP401)*IF(INDEX('Lease Cycles'!$EF$31:$EL$31,1,CP401)=1,1,IF(OR(INDEX('Lease Cycles'!$DY$31:$EE$31,1,CP401)=1,CP402&gt;0),1,1-INDEX('Lease Cycles'!$DD$31:$DJ$31,1,CP401)))),0)</f>
        <v>0</v>
      </c>
      <c r="CQ410" s="24">
        <f>IF(CQ403=1,IF('Lease Cycles'!$AJ$31=1,0,'Lease Cycles'!$D$31*INDEX('Lease Cycles'!$FH$31:$FN$31,1,CQ401)*IF(INDEX('Lease Cycles'!$EF$31:$EL$31,1,CQ401)=1,1,IF(OR(INDEX('Lease Cycles'!$DY$31:$EE$31,1,CQ401)=1,CQ402&gt;0),1,1-INDEX('Lease Cycles'!$DD$31:$DJ$31,1,CQ401)))),0)</f>
        <v>0</v>
      </c>
      <c r="CR410" s="24">
        <f>IF(CR403=1,IF('Lease Cycles'!$AJ$31=1,0,'Lease Cycles'!$D$31*INDEX('Lease Cycles'!$FH$31:$FN$31,1,CR401)*IF(INDEX('Lease Cycles'!$EF$31:$EL$31,1,CR401)=1,1,IF(OR(INDEX('Lease Cycles'!$DY$31:$EE$31,1,CR401)=1,CR402&gt;0),1,1-INDEX('Lease Cycles'!$DD$31:$DJ$31,1,CR401)))),0)</f>
        <v>0</v>
      </c>
      <c r="CS410" s="24">
        <f>IF(CS403=1,IF('Lease Cycles'!$AJ$31=1,0,'Lease Cycles'!$D$31*INDEX('Lease Cycles'!$FH$31:$FN$31,1,CS401)*IF(INDEX('Lease Cycles'!$EF$31:$EL$31,1,CS401)=1,1,IF(OR(INDEX('Lease Cycles'!$DY$31:$EE$31,1,CS401)=1,CS402&gt;0),1,1-INDEX('Lease Cycles'!$DD$31:$DJ$31,1,CS401)))),0)</f>
        <v>0</v>
      </c>
      <c r="CT410" s="24">
        <f>IF(CT403=1,IF('Lease Cycles'!$AJ$31=1,0,'Lease Cycles'!$D$31*INDEX('Lease Cycles'!$FH$31:$FN$31,1,CT401)*IF(INDEX('Lease Cycles'!$EF$31:$EL$31,1,CT401)=1,1,IF(OR(INDEX('Lease Cycles'!$DY$31:$EE$31,1,CT401)=1,CT402&gt;0),1,1-INDEX('Lease Cycles'!$DD$31:$DJ$31,1,CT401)))),0)</f>
        <v>0</v>
      </c>
      <c r="CU410" s="24">
        <f>IF(CU403=1,IF('Lease Cycles'!$AJ$31=1,0,'Lease Cycles'!$D$31*INDEX('Lease Cycles'!$FH$31:$FN$31,1,CU401)*IF(INDEX('Lease Cycles'!$EF$31:$EL$31,1,CU401)=1,1,IF(OR(INDEX('Lease Cycles'!$DY$31:$EE$31,1,CU401)=1,CU402&gt;0),1,1-INDEX('Lease Cycles'!$DD$31:$DJ$31,1,CU401)))),0)</f>
        <v>0</v>
      </c>
      <c r="CV410" s="24">
        <f>IF(CV403=1,IF('Lease Cycles'!$AJ$31=1,0,'Lease Cycles'!$D$31*INDEX('Lease Cycles'!$FH$31:$FN$31,1,CV401)*IF(INDEX('Lease Cycles'!$EF$31:$EL$31,1,CV401)=1,1,IF(OR(INDEX('Lease Cycles'!$DY$31:$EE$31,1,CV401)=1,CV402&gt;0),1,1-INDEX('Lease Cycles'!$DD$31:$DJ$31,1,CV401)))),0)</f>
        <v>0</v>
      </c>
      <c r="CW410" s="24">
        <f>IF(CW403=1,IF('Lease Cycles'!$AJ$31=1,0,'Lease Cycles'!$D$31*INDEX('Lease Cycles'!$FH$31:$FN$31,1,CW401)*IF(INDEX('Lease Cycles'!$EF$31:$EL$31,1,CW401)=1,1,IF(OR(INDEX('Lease Cycles'!$DY$31:$EE$31,1,CW401)=1,CW402&gt;0),1,1-INDEX('Lease Cycles'!$DD$31:$DJ$31,1,CW401)))),0)</f>
        <v>0</v>
      </c>
      <c r="CX410" s="24">
        <f>IF(CX403=1,IF('Lease Cycles'!$AJ$31=1,0,'Lease Cycles'!$D$31*INDEX('Lease Cycles'!$FH$31:$FN$31,1,CX401)*IF(INDEX('Lease Cycles'!$EF$31:$EL$31,1,CX401)=1,1,IF(OR(INDEX('Lease Cycles'!$DY$31:$EE$31,1,CX401)=1,CX402&gt;0),1,1-INDEX('Lease Cycles'!$DD$31:$DJ$31,1,CX401)))),0)</f>
        <v>0</v>
      </c>
      <c r="CY410" s="24">
        <f>IF(CY403=1,IF('Lease Cycles'!$AJ$31=1,0,'Lease Cycles'!$D$31*INDEX('Lease Cycles'!$FH$31:$FN$31,1,CY401)*IF(INDEX('Lease Cycles'!$EF$31:$EL$31,1,CY401)=1,1,IF(OR(INDEX('Lease Cycles'!$DY$31:$EE$31,1,CY401)=1,CY402&gt;0),1,1-INDEX('Lease Cycles'!$DD$31:$DJ$31,1,CY401)))),0)</f>
        <v>0</v>
      </c>
      <c r="CZ410" s="24">
        <f>IF(CZ403=1,IF('Lease Cycles'!$AJ$31=1,0,'Lease Cycles'!$D$31*INDEX('Lease Cycles'!$FH$31:$FN$31,1,CZ401)*IF(INDEX('Lease Cycles'!$EF$31:$EL$31,1,CZ401)=1,1,IF(OR(INDEX('Lease Cycles'!$DY$31:$EE$31,1,CZ401)=1,CZ402&gt;0),1,1-INDEX('Lease Cycles'!$DD$31:$DJ$31,1,CZ401)))),0)</f>
        <v>0</v>
      </c>
      <c r="DA410" s="24">
        <f>IF(DA403=1,IF('Lease Cycles'!$AJ$31=1,0,'Lease Cycles'!$D$31*INDEX('Lease Cycles'!$FH$31:$FN$31,1,DA401)*IF(INDEX('Lease Cycles'!$EF$31:$EL$31,1,DA401)=1,1,IF(OR(INDEX('Lease Cycles'!$DY$31:$EE$31,1,DA401)=1,DA402&gt;0),1,1-INDEX('Lease Cycles'!$DD$31:$DJ$31,1,DA401)))),0)</f>
        <v>0</v>
      </c>
      <c r="DB410" s="24">
        <f>IF(DB403=1,IF('Lease Cycles'!$AJ$31=1,0,'Lease Cycles'!$D$31*INDEX('Lease Cycles'!$FH$31:$FN$31,1,DB401)*IF(INDEX('Lease Cycles'!$EF$31:$EL$31,1,DB401)=1,1,IF(OR(INDEX('Lease Cycles'!$DY$31:$EE$31,1,DB401)=1,DB402&gt;0),1,1-INDEX('Lease Cycles'!$DD$31:$DJ$31,1,DB401)))),0)</f>
        <v>0</v>
      </c>
      <c r="DC410" s="24">
        <f>IF(DC403=1,IF('Lease Cycles'!$AJ$31=1,0,'Lease Cycles'!$D$31*INDEX('Lease Cycles'!$FH$31:$FN$31,1,DC401)*IF(INDEX('Lease Cycles'!$EF$31:$EL$31,1,DC401)=1,1,IF(OR(INDEX('Lease Cycles'!$DY$31:$EE$31,1,DC401)=1,DC402&gt;0),1,1-INDEX('Lease Cycles'!$DD$31:$DJ$31,1,DC401)))),0)</f>
        <v>0</v>
      </c>
      <c r="DD410" s="24">
        <f>IF(DD403=1,IF('Lease Cycles'!$AJ$31=1,0,'Lease Cycles'!$D$31*INDEX('Lease Cycles'!$FH$31:$FN$31,1,DD401)*IF(INDEX('Lease Cycles'!$EF$31:$EL$31,1,DD401)=1,1,IF(OR(INDEX('Lease Cycles'!$DY$31:$EE$31,1,DD401)=1,DD402&gt;0),1,1-INDEX('Lease Cycles'!$DD$31:$DJ$31,1,DD401)))),0)</f>
        <v>0</v>
      </c>
      <c r="DE410" s="24">
        <f>IF(DE403=1,IF('Lease Cycles'!$AJ$31=1,0,'Lease Cycles'!$D$31*INDEX('Lease Cycles'!$FH$31:$FN$31,1,DE401)*IF(INDEX('Lease Cycles'!$EF$31:$EL$31,1,DE401)=1,1,IF(OR(INDEX('Lease Cycles'!$DY$31:$EE$31,1,DE401)=1,DE402&gt;0),1,1-INDEX('Lease Cycles'!$DD$31:$DJ$31,1,DE401)))),0)</f>
        <v>0</v>
      </c>
      <c r="DF410" s="24">
        <f>IF(DF403=1,IF('Lease Cycles'!$AJ$31=1,0,'Lease Cycles'!$D$31*INDEX('Lease Cycles'!$FH$31:$FN$31,1,DF401)*IF(INDEX('Lease Cycles'!$EF$31:$EL$31,1,DF401)=1,1,IF(OR(INDEX('Lease Cycles'!$DY$31:$EE$31,1,DF401)=1,DF402&gt;0),1,1-INDEX('Lease Cycles'!$DD$31:$DJ$31,1,DF401)))),0)</f>
        <v>0</v>
      </c>
      <c r="DG410" s="24">
        <f>IF(DG403=1,IF('Lease Cycles'!$AJ$31=1,0,'Lease Cycles'!$D$31*INDEX('Lease Cycles'!$FH$31:$FN$31,1,DG401)*IF(INDEX('Lease Cycles'!$EF$31:$EL$31,1,DG401)=1,1,IF(OR(INDEX('Lease Cycles'!$DY$31:$EE$31,1,DG401)=1,DG402&gt;0),1,1-INDEX('Lease Cycles'!$DD$31:$DJ$31,1,DG401)))),0)</f>
        <v>0</v>
      </c>
      <c r="DH410" s="24">
        <f>IF(DH403=1,IF('Lease Cycles'!$AJ$31=1,0,'Lease Cycles'!$D$31*INDEX('Lease Cycles'!$FH$31:$FN$31,1,DH401)*IF(INDEX('Lease Cycles'!$EF$31:$EL$31,1,DH401)=1,1,IF(OR(INDEX('Lease Cycles'!$DY$31:$EE$31,1,DH401)=1,DH402&gt;0),1,1-INDEX('Lease Cycles'!$DD$31:$DJ$31,1,DH401)))),0)</f>
        <v>0</v>
      </c>
      <c r="DI410" s="24">
        <f>IF(DI403=1,IF('Lease Cycles'!$AJ$31=1,0,'Lease Cycles'!$D$31*INDEX('Lease Cycles'!$FH$31:$FN$31,1,DI401)*IF(INDEX('Lease Cycles'!$EF$31:$EL$31,1,DI401)=1,1,IF(OR(INDEX('Lease Cycles'!$DY$31:$EE$31,1,DI401)=1,DI402&gt;0),1,1-INDEX('Lease Cycles'!$DD$31:$DJ$31,1,DI401)))),0)</f>
        <v>0</v>
      </c>
      <c r="DJ410" s="24">
        <f>IF(DJ403=1,IF('Lease Cycles'!$AJ$31=1,0,'Lease Cycles'!$D$31*INDEX('Lease Cycles'!$FH$31:$FN$31,1,DJ401)*IF(INDEX('Lease Cycles'!$EF$31:$EL$31,1,DJ401)=1,1,IF(OR(INDEX('Lease Cycles'!$DY$31:$EE$31,1,DJ401)=1,DJ402&gt;0),1,1-INDEX('Lease Cycles'!$DD$31:$DJ$31,1,DJ401)))),0)</f>
        <v>0</v>
      </c>
      <c r="DK410" s="24">
        <f>IF(DK403=1,IF('Lease Cycles'!$AJ$31=1,0,'Lease Cycles'!$D$31*INDEX('Lease Cycles'!$FH$31:$FN$31,1,DK401)*IF(INDEX('Lease Cycles'!$EF$31:$EL$31,1,DK401)=1,1,IF(OR(INDEX('Lease Cycles'!$DY$31:$EE$31,1,DK401)=1,DK402&gt;0),1,1-INDEX('Lease Cycles'!$DD$31:$DJ$31,1,DK401)))),0)</f>
        <v>0</v>
      </c>
      <c r="DL410" s="24">
        <f>IF(DL403=1,IF('Lease Cycles'!$AJ$31=1,0,'Lease Cycles'!$D$31*INDEX('Lease Cycles'!$FH$31:$FN$31,1,DL401)*IF(INDEX('Lease Cycles'!$EF$31:$EL$31,1,DL401)=1,1,IF(OR(INDEX('Lease Cycles'!$DY$31:$EE$31,1,DL401)=1,DL402&gt;0),1,1-INDEX('Lease Cycles'!$DD$31:$DJ$31,1,DL401)))),0)</f>
        <v>0</v>
      </c>
      <c r="DM410" s="24">
        <f>IF(DM403=1,IF('Lease Cycles'!$AJ$31=1,0,'Lease Cycles'!$D$31*INDEX('Lease Cycles'!$FH$31:$FN$31,1,DM401)*IF(INDEX('Lease Cycles'!$EF$31:$EL$31,1,DM401)=1,1,IF(OR(INDEX('Lease Cycles'!$DY$31:$EE$31,1,DM401)=1,DM402&gt;0),1,1-INDEX('Lease Cycles'!$DD$31:$DJ$31,1,DM401)))),0)</f>
        <v>0</v>
      </c>
      <c r="DN410" s="24">
        <f>IF(DN403=1,IF('Lease Cycles'!$AJ$31=1,0,'Lease Cycles'!$D$31*INDEX('Lease Cycles'!$FH$31:$FN$31,1,DN401)*IF(INDEX('Lease Cycles'!$EF$31:$EL$31,1,DN401)=1,1,IF(OR(INDEX('Lease Cycles'!$DY$31:$EE$31,1,DN401)=1,DN402&gt;0),1,1-INDEX('Lease Cycles'!$DD$31:$DJ$31,1,DN401)))),0)</f>
        <v>0</v>
      </c>
      <c r="DO410" s="24">
        <f>IF(DO403=1,IF('Lease Cycles'!$AJ$31=1,0,'Lease Cycles'!$D$31*INDEX('Lease Cycles'!$FH$31:$FN$31,1,DO401)*IF(INDEX('Lease Cycles'!$EF$31:$EL$31,1,DO401)=1,1,IF(OR(INDEX('Lease Cycles'!$DY$31:$EE$31,1,DO401)=1,DO402&gt;0),1,1-INDEX('Lease Cycles'!$DD$31:$DJ$31,1,DO401)))),0)</f>
        <v>0</v>
      </c>
      <c r="DP410" s="24">
        <f>IF(DP403=1,IF('Lease Cycles'!$AJ$31=1,0,'Lease Cycles'!$D$31*INDEX('Lease Cycles'!$FH$31:$FN$31,1,DP401)*IF(INDEX('Lease Cycles'!$EF$31:$EL$31,1,DP401)=1,1,IF(OR(INDEX('Lease Cycles'!$DY$31:$EE$31,1,DP401)=1,DP402&gt;0),1,1-INDEX('Lease Cycles'!$DD$31:$DJ$31,1,DP401)))),0)</f>
        <v>0</v>
      </c>
      <c r="DQ410" s="24">
        <f>IF(DQ403=1,IF('Lease Cycles'!$AJ$31=1,0,'Lease Cycles'!$D$31*INDEX('Lease Cycles'!$FH$31:$FN$31,1,DQ401)*IF(INDEX('Lease Cycles'!$EF$31:$EL$31,1,DQ401)=1,1,IF(OR(INDEX('Lease Cycles'!$DY$31:$EE$31,1,DQ401)=1,DQ402&gt;0),1,1-INDEX('Lease Cycles'!$DD$31:$DJ$31,1,DQ401)))),0)</f>
        <v>0</v>
      </c>
      <c r="DR410" s="24">
        <f>IF(DR403=1,IF('Lease Cycles'!$AJ$31=1,0,'Lease Cycles'!$D$31*INDEX('Lease Cycles'!$FH$31:$FN$31,1,DR401)*IF(INDEX('Lease Cycles'!$EF$31:$EL$31,1,DR401)=1,1,IF(OR(INDEX('Lease Cycles'!$DY$31:$EE$31,1,DR401)=1,DR402&gt;0),1,1-INDEX('Lease Cycles'!$DD$31:$DJ$31,1,DR401)))),0)</f>
        <v>0</v>
      </c>
      <c r="DS410" s="24">
        <f>IF(DS403=1,IF('Lease Cycles'!$AJ$31=1,0,'Lease Cycles'!$D$31*INDEX('Lease Cycles'!$FH$31:$FN$31,1,DS401)*IF(INDEX('Lease Cycles'!$EF$31:$EL$31,1,DS401)=1,1,IF(OR(INDEX('Lease Cycles'!$DY$31:$EE$31,1,DS401)=1,DS402&gt;0),1,1-INDEX('Lease Cycles'!$DD$31:$DJ$31,1,DS401)))),0)</f>
        <v>0</v>
      </c>
      <c r="DT410" s="24">
        <f>IF(DT403=1,IF('Lease Cycles'!$AJ$31=1,0,'Lease Cycles'!$D$31*INDEX('Lease Cycles'!$FH$31:$FN$31,1,DT401)*IF(INDEX('Lease Cycles'!$EF$31:$EL$31,1,DT401)=1,1,IF(OR(INDEX('Lease Cycles'!$DY$31:$EE$31,1,DT401)=1,DT402&gt;0),1,1-INDEX('Lease Cycles'!$DD$31:$DJ$31,1,DT401)))),0)</f>
        <v>0</v>
      </c>
      <c r="DU410" s="24">
        <f>IF(DU403=1,IF('Lease Cycles'!$AJ$31=1,0,'Lease Cycles'!$D$31*INDEX('Lease Cycles'!$FH$31:$FN$31,1,DU401)*IF(INDEX('Lease Cycles'!$EF$31:$EL$31,1,DU401)=1,1,IF(OR(INDEX('Lease Cycles'!$DY$31:$EE$31,1,DU401)=1,DU402&gt;0),1,1-INDEX('Lease Cycles'!$DD$31:$DJ$31,1,DU401)))),0)</f>
        <v>0</v>
      </c>
      <c r="DV410" s="24">
        <f>IF(DV403=1,IF('Lease Cycles'!$AJ$31=1,0,'Lease Cycles'!$D$31*INDEX('Lease Cycles'!$FH$31:$FN$31,1,DV401)*IF(INDEX('Lease Cycles'!$EF$31:$EL$31,1,DV401)=1,1,IF(OR(INDEX('Lease Cycles'!$DY$31:$EE$31,1,DV401)=1,DV402&gt;0),1,1-INDEX('Lease Cycles'!$DD$31:$DJ$31,1,DV401)))),0)</f>
        <v>0</v>
      </c>
      <c r="DW410" s="24">
        <f>IF(DW403=1,IF('Lease Cycles'!$AJ$31=1,0,'Lease Cycles'!$D$31*INDEX('Lease Cycles'!$FH$31:$FN$31,1,DW401)*IF(INDEX('Lease Cycles'!$EF$31:$EL$31,1,DW401)=1,1,IF(OR(INDEX('Lease Cycles'!$DY$31:$EE$31,1,DW401)=1,DW402&gt;0),1,1-INDEX('Lease Cycles'!$DD$31:$DJ$31,1,DW401)))),0)</f>
        <v>0</v>
      </c>
      <c r="DX410" s="24">
        <f>IF(DX403=1,IF('Lease Cycles'!$AJ$31=1,0,'Lease Cycles'!$D$31*INDEX('Lease Cycles'!$FH$31:$FN$31,1,DX401)*IF(INDEX('Lease Cycles'!$EF$31:$EL$31,1,DX401)=1,1,IF(OR(INDEX('Lease Cycles'!$DY$31:$EE$31,1,DX401)=1,DX402&gt;0),1,1-INDEX('Lease Cycles'!$DD$31:$DJ$31,1,DX401)))),0)</f>
        <v>0</v>
      </c>
      <c r="DY410" s="24">
        <f>IF(DY403=1,IF('Lease Cycles'!$AJ$31=1,0,'Lease Cycles'!$D$31*INDEX('Lease Cycles'!$FH$31:$FN$31,1,DY401)*IF(INDEX('Lease Cycles'!$EF$31:$EL$31,1,DY401)=1,1,IF(OR(INDEX('Lease Cycles'!$DY$31:$EE$31,1,DY401)=1,DY402&gt;0),1,1-INDEX('Lease Cycles'!$DD$31:$DJ$31,1,DY401)))),0)</f>
        <v>0</v>
      </c>
      <c r="DZ410" s="24">
        <f>IF(DZ403=1,IF('Lease Cycles'!$AJ$31=1,0,'Lease Cycles'!$D$31*INDEX('Lease Cycles'!$FH$31:$FN$31,1,DZ401)*IF(INDEX('Lease Cycles'!$EF$31:$EL$31,1,DZ401)=1,1,IF(OR(INDEX('Lease Cycles'!$DY$31:$EE$31,1,DZ401)=1,DZ402&gt;0),1,1-INDEX('Lease Cycles'!$DD$31:$DJ$31,1,DZ401)))),0)</f>
        <v>0</v>
      </c>
      <c r="EA410" s="24">
        <f>IF(EA403=1,IF('Lease Cycles'!$AJ$31=1,0,'Lease Cycles'!$D$31*INDEX('Lease Cycles'!$FH$31:$FN$31,1,EA401)*IF(INDEX('Lease Cycles'!$EF$31:$EL$31,1,EA401)=1,1,IF(OR(INDEX('Lease Cycles'!$DY$31:$EE$31,1,EA401)=1,EA402&gt;0),1,1-INDEX('Lease Cycles'!$DD$31:$DJ$31,1,EA401)))),0)</f>
        <v>0</v>
      </c>
      <c r="EB410" s="24">
        <f>IF(EB403=1,IF('Lease Cycles'!$AJ$31=1,0,'Lease Cycles'!$D$31*INDEX('Lease Cycles'!$FH$31:$FN$31,1,EB401)*IF(INDEX('Lease Cycles'!$EF$31:$EL$31,1,EB401)=1,1,IF(OR(INDEX('Lease Cycles'!$DY$31:$EE$31,1,EB401)=1,EB402&gt;0),1,1-INDEX('Lease Cycles'!$DD$31:$DJ$31,1,EB401)))),0)</f>
        <v>0</v>
      </c>
      <c r="EC410" s="24">
        <f>IF(EC403=1,IF('Lease Cycles'!$AJ$31=1,0,'Lease Cycles'!$D$31*INDEX('Lease Cycles'!$FH$31:$FN$31,1,EC401)*IF(INDEX('Lease Cycles'!$EF$31:$EL$31,1,EC401)=1,1,IF(OR(INDEX('Lease Cycles'!$DY$31:$EE$31,1,EC401)=1,EC402&gt;0),1,1-INDEX('Lease Cycles'!$DD$31:$DJ$31,1,EC401)))),0)</f>
        <v>0</v>
      </c>
      <c r="ED410" s="24">
        <f>IF(ED403=1,IF('Lease Cycles'!$AJ$31=1,0,'Lease Cycles'!$D$31*INDEX('Lease Cycles'!$FH$31:$FN$31,1,ED401)*IF(INDEX('Lease Cycles'!$EF$31:$EL$31,1,ED401)=1,1,IF(OR(INDEX('Lease Cycles'!$DY$31:$EE$31,1,ED401)=1,ED402&gt;0),1,1-INDEX('Lease Cycles'!$DD$31:$DJ$31,1,ED401)))),0)</f>
        <v>0</v>
      </c>
      <c r="EE410" s="24">
        <f>IF(EE403=1,IF('Lease Cycles'!$AJ$31=1,0,'Lease Cycles'!$D$31*INDEX('Lease Cycles'!$FH$31:$FN$31,1,EE401)*IF(INDEX('Lease Cycles'!$EF$31:$EL$31,1,EE401)=1,1,IF(OR(INDEX('Lease Cycles'!$DY$31:$EE$31,1,EE401)=1,EE402&gt;0),1,1-INDEX('Lease Cycles'!$DD$31:$DJ$31,1,EE401)))),0)</f>
        <v>0</v>
      </c>
      <c r="EF410" s="24">
        <f>IF(EF403=1,IF('Lease Cycles'!$AJ$31=1,0,'Lease Cycles'!$D$31*INDEX('Lease Cycles'!$FH$31:$FN$31,1,EF401)*IF(INDEX('Lease Cycles'!$EF$31:$EL$31,1,EF401)=1,1,IF(OR(INDEX('Lease Cycles'!$DY$31:$EE$31,1,EF401)=1,EF402&gt;0),1,1-INDEX('Lease Cycles'!$DD$31:$DJ$31,1,EF401)))),0)</f>
        <v>0</v>
      </c>
      <c r="EG410" s="24">
        <f>IF(EG403=1,IF('Lease Cycles'!$AJ$31=1,0,'Lease Cycles'!$D$31*INDEX('Lease Cycles'!$FH$31:$FN$31,1,EG401)*IF(INDEX('Lease Cycles'!$EF$31:$EL$31,1,EG401)=1,1,IF(OR(INDEX('Lease Cycles'!$DY$31:$EE$31,1,EG401)=1,EG402&gt;0),1,1-INDEX('Lease Cycles'!$DD$31:$DJ$31,1,EG401)))),0)</f>
        <v>0</v>
      </c>
      <c r="EH410" s="24">
        <f>IF(EH403=1,IF('Lease Cycles'!$AJ$31=1,0,'Lease Cycles'!$D$31*INDEX('Lease Cycles'!$FH$31:$FN$31,1,EH401)*IF(INDEX('Lease Cycles'!$EF$31:$EL$31,1,EH401)=1,1,IF(OR(INDEX('Lease Cycles'!$DY$31:$EE$31,1,EH401)=1,EH402&gt;0),1,1-INDEX('Lease Cycles'!$DD$31:$DJ$31,1,EH401)))),0)</f>
        <v>0</v>
      </c>
      <c r="EI410" s="24">
        <f>IF(EI403=1,IF('Lease Cycles'!$AJ$31=1,0,'Lease Cycles'!$D$31*INDEX('Lease Cycles'!$FH$31:$FN$31,1,EI401)*IF(INDEX('Lease Cycles'!$EF$31:$EL$31,1,EI401)=1,1,IF(OR(INDEX('Lease Cycles'!$DY$31:$EE$31,1,EI401)=1,EI402&gt;0),1,1-INDEX('Lease Cycles'!$DD$31:$DJ$31,1,EI401)))),0)</f>
        <v>0</v>
      </c>
      <c r="EJ410" s="24">
        <f>IF(EJ403=1,IF('Lease Cycles'!$AJ$31=1,0,'Lease Cycles'!$D$31*INDEX('Lease Cycles'!$FH$31:$FN$31,1,EJ401)*IF(INDEX('Lease Cycles'!$EF$31:$EL$31,1,EJ401)=1,1,IF(OR(INDEX('Lease Cycles'!$DY$31:$EE$31,1,EJ401)=1,EJ402&gt;0),1,1-INDEX('Lease Cycles'!$DD$31:$DJ$31,1,EJ401)))),0)</f>
        <v>0</v>
      </c>
      <c r="EK410" s="24">
        <f>IF(EK403=1,IF('Lease Cycles'!$AJ$31=1,0,'Lease Cycles'!$D$31*INDEX('Lease Cycles'!$FH$31:$FN$31,1,EK401)*IF(INDEX('Lease Cycles'!$EF$31:$EL$31,1,EK401)=1,1,IF(OR(INDEX('Lease Cycles'!$DY$31:$EE$31,1,EK401)=1,EK402&gt;0),1,1-INDEX('Lease Cycles'!$DD$31:$DJ$31,1,EK401)))),0)</f>
        <v>0</v>
      </c>
      <c r="EL410" s="24">
        <f>IF(EL403=1,IF('Lease Cycles'!$AJ$31=1,0,'Lease Cycles'!$D$31*INDEX('Lease Cycles'!$FH$31:$FN$31,1,EL401)*IF(INDEX('Lease Cycles'!$EF$31:$EL$31,1,EL401)=1,1,IF(OR(INDEX('Lease Cycles'!$DY$31:$EE$31,1,EL401)=1,EL402&gt;0),1,1-INDEX('Lease Cycles'!$DD$31:$DJ$31,1,EL401)))),0)</f>
        <v>0</v>
      </c>
      <c r="EM410" s="24">
        <f>IF(EM403=1,IF('Lease Cycles'!$AJ$31=1,0,'Lease Cycles'!$D$31*INDEX('Lease Cycles'!$FH$31:$FN$31,1,EM401)*IF(INDEX('Lease Cycles'!$EF$31:$EL$31,1,EM401)=1,1,IF(OR(INDEX('Lease Cycles'!$DY$31:$EE$31,1,EM401)=1,EM402&gt;0),1,1-INDEX('Lease Cycles'!$DD$31:$DJ$31,1,EM401)))),0)</f>
        <v>0</v>
      </c>
      <c r="EN410" s="24">
        <f>IF(EN403=1,IF('Lease Cycles'!$AJ$31=1,0,'Lease Cycles'!$D$31*INDEX('Lease Cycles'!$FH$31:$FN$31,1,EN401)*IF(INDEX('Lease Cycles'!$EF$31:$EL$31,1,EN401)=1,1,IF(OR(INDEX('Lease Cycles'!$DY$31:$EE$31,1,EN401)=1,EN402&gt;0),1,1-INDEX('Lease Cycles'!$DD$31:$DJ$31,1,EN401)))),0)</f>
        <v>0</v>
      </c>
      <c r="EO410" s="24">
        <f>IF(EO403=1,IF('Lease Cycles'!$AJ$31=1,0,'Lease Cycles'!$D$31*INDEX('Lease Cycles'!$FH$31:$FN$31,1,EO401)*IF(INDEX('Lease Cycles'!$EF$31:$EL$31,1,EO401)=1,1,IF(OR(INDEX('Lease Cycles'!$DY$31:$EE$31,1,EO401)=1,EO402&gt;0),1,1-INDEX('Lease Cycles'!$DD$31:$DJ$31,1,EO401)))),0)</f>
        <v>0</v>
      </c>
      <c r="EP410" s="24">
        <f>IF(EP403=1,IF('Lease Cycles'!$AJ$31=1,0,'Lease Cycles'!$D$31*INDEX('Lease Cycles'!$FH$31:$FN$31,1,EP401)*IF(INDEX('Lease Cycles'!$EF$31:$EL$31,1,EP401)=1,1,IF(OR(INDEX('Lease Cycles'!$DY$31:$EE$31,1,EP401)=1,EP402&gt;0),1,1-INDEX('Lease Cycles'!$DD$31:$DJ$31,1,EP401)))),0)</f>
        <v>0</v>
      </c>
      <c r="EQ410" s="24">
        <f>IF(EQ403=1,IF('Lease Cycles'!$AJ$31=1,0,'Lease Cycles'!$D$31*INDEX('Lease Cycles'!$FH$31:$FN$31,1,EQ401)*IF(INDEX('Lease Cycles'!$EF$31:$EL$31,1,EQ401)=1,1,IF(OR(INDEX('Lease Cycles'!$DY$31:$EE$31,1,EQ401)=1,EQ402&gt;0),1,1-INDEX('Lease Cycles'!$DD$31:$DJ$31,1,EQ401)))),0)</f>
        <v>0</v>
      </c>
      <c r="ER410" s="24">
        <f>IF(ER403=1,IF('Lease Cycles'!$AJ$31=1,0,'Lease Cycles'!$D$31*INDEX('Lease Cycles'!$FH$31:$FN$31,1,ER401)*IF(INDEX('Lease Cycles'!$EF$31:$EL$31,1,ER401)=1,1,IF(OR(INDEX('Lease Cycles'!$DY$31:$EE$31,1,ER401)=1,ER402&gt;0),1,1-INDEX('Lease Cycles'!$DD$31:$DJ$31,1,ER401)))),0)</f>
        <v>0</v>
      </c>
      <c r="ES410" s="24">
        <f>IF(ES403=1,IF('Lease Cycles'!$AJ$31=1,0,'Lease Cycles'!$D$31*INDEX('Lease Cycles'!$FH$31:$FN$31,1,ES401)*IF(INDEX('Lease Cycles'!$EF$31:$EL$31,1,ES401)=1,1,IF(OR(INDEX('Lease Cycles'!$DY$31:$EE$31,1,ES401)=1,ES402&gt;0),1,1-INDEX('Lease Cycles'!$DD$31:$DJ$31,1,ES401)))),0)</f>
        <v>0</v>
      </c>
      <c r="ET410" s="24">
        <f>IF(ET403=1,IF('Lease Cycles'!$AJ$31=1,0,'Lease Cycles'!$D$31*INDEX('Lease Cycles'!$FH$31:$FN$31,1,ET401)*IF(INDEX('Lease Cycles'!$EF$31:$EL$31,1,ET401)=1,1,IF(OR(INDEX('Lease Cycles'!$DY$31:$EE$31,1,ET401)=1,ET402&gt;0),1,1-INDEX('Lease Cycles'!$DD$31:$DJ$31,1,ET401)))),0)</f>
        <v>0</v>
      </c>
    </row>
    <row r="411">
      <c r="A411" s="103">
        <v>24</v>
      </c>
      <c r="B411" s="23" t="str">
        <f>IF('Lease Cycles'!$B$31="","(empty slot)",'Lease Cycles'!$B$31)</f>
        <v>(empty slot)</v>
      </c>
      <c r="C411" s="23" t="s">
        <v>687</v>
      </c>
      <c r="D411" s="104" t="s">
        <v>688</v>
      </c>
      <c r="E411" s="25">
        <f>'Lease Cycles'!$AL$31</f>
        <v>0</v>
      </c>
      <c r="G411" s="24">
        <f>SUM(S411:AD411)</f>
        <v>0</v>
      </c>
      <c r="H411" s="24">
        <f>SUM(AE411:AP411)</f>
        <v>0</v>
      </c>
      <c r="I411" s="24">
        <f>SUM(AQ411:BB411)</f>
        <v>0</v>
      </c>
      <c r="J411" s="24">
        <f>SUM(BC411:BN411)</f>
        <v>0</v>
      </c>
      <c r="K411" s="24">
        <f>SUM(BO411:BZ411)</f>
        <v>0</v>
      </c>
      <c r="L411" s="24">
        <f>SUM(CA411:CL411)</f>
        <v>0</v>
      </c>
      <c r="M411" s="24">
        <f>SUM(CM411:CX411)</f>
        <v>0</v>
      </c>
      <c r="N411" s="24">
        <f>SUM(CY411:DJ411)</f>
        <v>0</v>
      </c>
      <c r="O411" s="24">
        <f>SUM(DK411:DV411)</f>
        <v>0</v>
      </c>
      <c r="P411" s="24">
        <f>SUM(DW411:EH411)</f>
        <v>0</v>
      </c>
      <c r="Q411" s="24">
        <f>SUM(EI411:ET411)</f>
        <v>0</v>
      </c>
      <c r="S411" s="24">
        <f>IF(S403=1,'Lease Cycles'!$D$31*IF(INDEX('Lease Cycles'!$EF$31:$EL$31,1,S401)=1,'Lease Cycles'!$AJ$31*INDEX('Lease Cycles'!$FO$31:$FU$31,1,S401)*INDEX('Lease Cycles'!$EM$31:$ES$31,1,S401)+'Lease Cycles'!$BE$31*IF(S402&lt;INDEX('Lease Cycles'!$FA$31:$FG$31,1,S401),0,1-INDEX('Lease Cycles'!$EM$31:$ES$31,1,S401)),IF(OR(INDEX('Lease Cycles'!$DY$31:$EE$31,1,S401)=1,S402&gt;0),1,1-INDEX('Lease Cycles'!$DD$31:$DJ$31,1,S401))*('Lease Cycles'!$AJ$31*INDEX('Lease Cycles'!$FO$31:$FU$31,1,S401)+'Lease Cycles'!$BE$31*(1-INDEX('Lease Cycles'!$FO$31:$FU$31,1,S401)))),0)</f>
        <v>0</v>
      </c>
      <c r="T411" s="24">
        <f>IF(T403=1,'Lease Cycles'!$D$31*IF(INDEX('Lease Cycles'!$EF$31:$EL$31,1,T401)=1,'Lease Cycles'!$AJ$31*INDEX('Lease Cycles'!$FO$31:$FU$31,1,T401)*INDEX('Lease Cycles'!$EM$31:$ES$31,1,T401)+'Lease Cycles'!$BE$31*IF(T402&lt;INDEX('Lease Cycles'!$FA$31:$FG$31,1,T401),0,1-INDEX('Lease Cycles'!$EM$31:$ES$31,1,T401)),IF(OR(INDEX('Lease Cycles'!$DY$31:$EE$31,1,T401)=1,T402&gt;0),1,1-INDEX('Lease Cycles'!$DD$31:$DJ$31,1,T401))*('Lease Cycles'!$AJ$31*INDEX('Lease Cycles'!$FO$31:$FU$31,1,T401)+'Lease Cycles'!$BE$31*(1-INDEX('Lease Cycles'!$FO$31:$FU$31,1,T401)))),0)</f>
        <v>0</v>
      </c>
      <c r="U411" s="24">
        <f>IF(U403=1,'Lease Cycles'!$D$31*IF(INDEX('Lease Cycles'!$EF$31:$EL$31,1,U401)=1,'Lease Cycles'!$AJ$31*INDEX('Lease Cycles'!$FO$31:$FU$31,1,U401)*INDEX('Lease Cycles'!$EM$31:$ES$31,1,U401)+'Lease Cycles'!$BE$31*IF(U402&lt;INDEX('Lease Cycles'!$FA$31:$FG$31,1,U401),0,1-INDEX('Lease Cycles'!$EM$31:$ES$31,1,U401)),IF(OR(INDEX('Lease Cycles'!$DY$31:$EE$31,1,U401)=1,U402&gt;0),1,1-INDEX('Lease Cycles'!$DD$31:$DJ$31,1,U401))*('Lease Cycles'!$AJ$31*INDEX('Lease Cycles'!$FO$31:$FU$31,1,U401)+'Lease Cycles'!$BE$31*(1-INDEX('Lease Cycles'!$FO$31:$FU$31,1,U401)))),0)</f>
        <v>0</v>
      </c>
      <c r="V411" s="24">
        <f>IF(V403=1,'Lease Cycles'!$D$31*IF(INDEX('Lease Cycles'!$EF$31:$EL$31,1,V401)=1,'Lease Cycles'!$AJ$31*INDEX('Lease Cycles'!$FO$31:$FU$31,1,V401)*INDEX('Lease Cycles'!$EM$31:$ES$31,1,V401)+'Lease Cycles'!$BE$31*IF(V402&lt;INDEX('Lease Cycles'!$FA$31:$FG$31,1,V401),0,1-INDEX('Lease Cycles'!$EM$31:$ES$31,1,V401)),IF(OR(INDEX('Lease Cycles'!$DY$31:$EE$31,1,V401)=1,V402&gt;0),1,1-INDEX('Lease Cycles'!$DD$31:$DJ$31,1,V401))*('Lease Cycles'!$AJ$31*INDEX('Lease Cycles'!$FO$31:$FU$31,1,V401)+'Lease Cycles'!$BE$31*(1-INDEX('Lease Cycles'!$FO$31:$FU$31,1,V401)))),0)</f>
        <v>0</v>
      </c>
      <c r="W411" s="24">
        <f>IF(W403=1,'Lease Cycles'!$D$31*IF(INDEX('Lease Cycles'!$EF$31:$EL$31,1,W401)=1,'Lease Cycles'!$AJ$31*INDEX('Lease Cycles'!$FO$31:$FU$31,1,W401)*INDEX('Lease Cycles'!$EM$31:$ES$31,1,W401)+'Lease Cycles'!$BE$31*IF(W402&lt;INDEX('Lease Cycles'!$FA$31:$FG$31,1,W401),0,1-INDEX('Lease Cycles'!$EM$31:$ES$31,1,W401)),IF(OR(INDEX('Lease Cycles'!$DY$31:$EE$31,1,W401)=1,W402&gt;0),1,1-INDEX('Lease Cycles'!$DD$31:$DJ$31,1,W401))*('Lease Cycles'!$AJ$31*INDEX('Lease Cycles'!$FO$31:$FU$31,1,W401)+'Lease Cycles'!$BE$31*(1-INDEX('Lease Cycles'!$FO$31:$FU$31,1,W401)))),0)</f>
        <v>0</v>
      </c>
      <c r="X411" s="24">
        <f>IF(X403=1,'Lease Cycles'!$D$31*IF(INDEX('Lease Cycles'!$EF$31:$EL$31,1,X401)=1,'Lease Cycles'!$AJ$31*INDEX('Lease Cycles'!$FO$31:$FU$31,1,X401)*INDEX('Lease Cycles'!$EM$31:$ES$31,1,X401)+'Lease Cycles'!$BE$31*IF(X402&lt;INDEX('Lease Cycles'!$FA$31:$FG$31,1,X401),0,1-INDEX('Lease Cycles'!$EM$31:$ES$31,1,X401)),IF(OR(INDEX('Lease Cycles'!$DY$31:$EE$31,1,X401)=1,X402&gt;0),1,1-INDEX('Lease Cycles'!$DD$31:$DJ$31,1,X401))*('Lease Cycles'!$AJ$31*INDEX('Lease Cycles'!$FO$31:$FU$31,1,X401)+'Lease Cycles'!$BE$31*(1-INDEX('Lease Cycles'!$FO$31:$FU$31,1,X401)))),0)</f>
        <v>0</v>
      </c>
      <c r="Y411" s="24">
        <f>IF(Y403=1,'Lease Cycles'!$D$31*IF(INDEX('Lease Cycles'!$EF$31:$EL$31,1,Y401)=1,'Lease Cycles'!$AJ$31*INDEX('Lease Cycles'!$FO$31:$FU$31,1,Y401)*INDEX('Lease Cycles'!$EM$31:$ES$31,1,Y401)+'Lease Cycles'!$BE$31*IF(Y402&lt;INDEX('Lease Cycles'!$FA$31:$FG$31,1,Y401),0,1-INDEX('Lease Cycles'!$EM$31:$ES$31,1,Y401)),IF(OR(INDEX('Lease Cycles'!$DY$31:$EE$31,1,Y401)=1,Y402&gt;0),1,1-INDEX('Lease Cycles'!$DD$31:$DJ$31,1,Y401))*('Lease Cycles'!$AJ$31*INDEX('Lease Cycles'!$FO$31:$FU$31,1,Y401)+'Lease Cycles'!$BE$31*(1-INDEX('Lease Cycles'!$FO$31:$FU$31,1,Y401)))),0)</f>
        <v>0</v>
      </c>
      <c r="Z411" s="24">
        <f>IF(Z403=1,'Lease Cycles'!$D$31*IF(INDEX('Lease Cycles'!$EF$31:$EL$31,1,Z401)=1,'Lease Cycles'!$AJ$31*INDEX('Lease Cycles'!$FO$31:$FU$31,1,Z401)*INDEX('Lease Cycles'!$EM$31:$ES$31,1,Z401)+'Lease Cycles'!$BE$31*IF(Z402&lt;INDEX('Lease Cycles'!$FA$31:$FG$31,1,Z401),0,1-INDEX('Lease Cycles'!$EM$31:$ES$31,1,Z401)),IF(OR(INDEX('Lease Cycles'!$DY$31:$EE$31,1,Z401)=1,Z402&gt;0),1,1-INDEX('Lease Cycles'!$DD$31:$DJ$31,1,Z401))*('Lease Cycles'!$AJ$31*INDEX('Lease Cycles'!$FO$31:$FU$31,1,Z401)+'Lease Cycles'!$BE$31*(1-INDEX('Lease Cycles'!$FO$31:$FU$31,1,Z401)))),0)</f>
        <v>0</v>
      </c>
      <c r="AA411" s="24">
        <f>IF(AA403=1,'Lease Cycles'!$D$31*IF(INDEX('Lease Cycles'!$EF$31:$EL$31,1,AA401)=1,'Lease Cycles'!$AJ$31*INDEX('Lease Cycles'!$FO$31:$FU$31,1,AA401)*INDEX('Lease Cycles'!$EM$31:$ES$31,1,AA401)+'Lease Cycles'!$BE$31*IF(AA402&lt;INDEX('Lease Cycles'!$FA$31:$FG$31,1,AA401),0,1-INDEX('Lease Cycles'!$EM$31:$ES$31,1,AA401)),IF(OR(INDEX('Lease Cycles'!$DY$31:$EE$31,1,AA401)=1,AA402&gt;0),1,1-INDEX('Lease Cycles'!$DD$31:$DJ$31,1,AA401))*('Lease Cycles'!$AJ$31*INDEX('Lease Cycles'!$FO$31:$FU$31,1,AA401)+'Lease Cycles'!$BE$31*(1-INDEX('Lease Cycles'!$FO$31:$FU$31,1,AA401)))),0)</f>
        <v>0</v>
      </c>
      <c r="AB411" s="24">
        <f>IF(AB403=1,'Lease Cycles'!$D$31*IF(INDEX('Lease Cycles'!$EF$31:$EL$31,1,AB401)=1,'Lease Cycles'!$AJ$31*INDEX('Lease Cycles'!$FO$31:$FU$31,1,AB401)*INDEX('Lease Cycles'!$EM$31:$ES$31,1,AB401)+'Lease Cycles'!$BE$31*IF(AB402&lt;INDEX('Lease Cycles'!$FA$31:$FG$31,1,AB401),0,1-INDEX('Lease Cycles'!$EM$31:$ES$31,1,AB401)),IF(OR(INDEX('Lease Cycles'!$DY$31:$EE$31,1,AB401)=1,AB402&gt;0),1,1-INDEX('Lease Cycles'!$DD$31:$DJ$31,1,AB401))*('Lease Cycles'!$AJ$31*INDEX('Lease Cycles'!$FO$31:$FU$31,1,AB401)+'Lease Cycles'!$BE$31*(1-INDEX('Lease Cycles'!$FO$31:$FU$31,1,AB401)))),0)</f>
        <v>0</v>
      </c>
      <c r="AC411" s="24">
        <f>IF(AC403=1,'Lease Cycles'!$D$31*IF(INDEX('Lease Cycles'!$EF$31:$EL$31,1,AC401)=1,'Lease Cycles'!$AJ$31*INDEX('Lease Cycles'!$FO$31:$FU$31,1,AC401)*INDEX('Lease Cycles'!$EM$31:$ES$31,1,AC401)+'Lease Cycles'!$BE$31*IF(AC402&lt;INDEX('Lease Cycles'!$FA$31:$FG$31,1,AC401),0,1-INDEX('Lease Cycles'!$EM$31:$ES$31,1,AC401)),IF(OR(INDEX('Lease Cycles'!$DY$31:$EE$31,1,AC401)=1,AC402&gt;0),1,1-INDEX('Lease Cycles'!$DD$31:$DJ$31,1,AC401))*('Lease Cycles'!$AJ$31*INDEX('Lease Cycles'!$FO$31:$FU$31,1,AC401)+'Lease Cycles'!$BE$31*(1-INDEX('Lease Cycles'!$FO$31:$FU$31,1,AC401)))),0)</f>
        <v>0</v>
      </c>
      <c r="AD411" s="24">
        <f>IF(AD403=1,'Lease Cycles'!$D$31*IF(INDEX('Lease Cycles'!$EF$31:$EL$31,1,AD401)=1,'Lease Cycles'!$AJ$31*INDEX('Lease Cycles'!$FO$31:$FU$31,1,AD401)*INDEX('Lease Cycles'!$EM$31:$ES$31,1,AD401)+'Lease Cycles'!$BE$31*IF(AD402&lt;INDEX('Lease Cycles'!$FA$31:$FG$31,1,AD401),0,1-INDEX('Lease Cycles'!$EM$31:$ES$31,1,AD401)),IF(OR(INDEX('Lease Cycles'!$DY$31:$EE$31,1,AD401)=1,AD402&gt;0),1,1-INDEX('Lease Cycles'!$DD$31:$DJ$31,1,AD401))*('Lease Cycles'!$AJ$31*INDEX('Lease Cycles'!$FO$31:$FU$31,1,AD401)+'Lease Cycles'!$BE$31*(1-INDEX('Lease Cycles'!$FO$31:$FU$31,1,AD401)))),0)</f>
        <v>0</v>
      </c>
      <c r="AE411" s="24">
        <f>IF(AE403=1,'Lease Cycles'!$D$31*IF(INDEX('Lease Cycles'!$EF$31:$EL$31,1,AE401)=1,'Lease Cycles'!$AJ$31*INDEX('Lease Cycles'!$FO$31:$FU$31,1,AE401)*INDEX('Lease Cycles'!$EM$31:$ES$31,1,AE401)+'Lease Cycles'!$BE$31*IF(AE402&lt;INDEX('Lease Cycles'!$FA$31:$FG$31,1,AE401),0,1-INDEX('Lease Cycles'!$EM$31:$ES$31,1,AE401)),IF(OR(INDEX('Lease Cycles'!$DY$31:$EE$31,1,AE401)=1,AE402&gt;0),1,1-INDEX('Lease Cycles'!$DD$31:$DJ$31,1,AE401))*('Lease Cycles'!$AJ$31*INDEX('Lease Cycles'!$FO$31:$FU$31,1,AE401)+'Lease Cycles'!$BE$31*(1-INDEX('Lease Cycles'!$FO$31:$FU$31,1,AE401)))),0)</f>
        <v>0</v>
      </c>
      <c r="AF411" s="24">
        <f>IF(AF403=1,'Lease Cycles'!$D$31*IF(INDEX('Lease Cycles'!$EF$31:$EL$31,1,AF401)=1,'Lease Cycles'!$AJ$31*INDEX('Lease Cycles'!$FO$31:$FU$31,1,AF401)*INDEX('Lease Cycles'!$EM$31:$ES$31,1,AF401)+'Lease Cycles'!$BE$31*IF(AF402&lt;INDEX('Lease Cycles'!$FA$31:$FG$31,1,AF401),0,1-INDEX('Lease Cycles'!$EM$31:$ES$31,1,AF401)),IF(OR(INDEX('Lease Cycles'!$DY$31:$EE$31,1,AF401)=1,AF402&gt;0),1,1-INDEX('Lease Cycles'!$DD$31:$DJ$31,1,AF401))*('Lease Cycles'!$AJ$31*INDEX('Lease Cycles'!$FO$31:$FU$31,1,AF401)+'Lease Cycles'!$BE$31*(1-INDEX('Lease Cycles'!$FO$31:$FU$31,1,AF401)))),0)</f>
        <v>0</v>
      </c>
      <c r="AG411" s="24">
        <f>IF(AG403=1,'Lease Cycles'!$D$31*IF(INDEX('Lease Cycles'!$EF$31:$EL$31,1,AG401)=1,'Lease Cycles'!$AJ$31*INDEX('Lease Cycles'!$FO$31:$FU$31,1,AG401)*INDEX('Lease Cycles'!$EM$31:$ES$31,1,AG401)+'Lease Cycles'!$BE$31*IF(AG402&lt;INDEX('Lease Cycles'!$FA$31:$FG$31,1,AG401),0,1-INDEX('Lease Cycles'!$EM$31:$ES$31,1,AG401)),IF(OR(INDEX('Lease Cycles'!$DY$31:$EE$31,1,AG401)=1,AG402&gt;0),1,1-INDEX('Lease Cycles'!$DD$31:$DJ$31,1,AG401))*('Lease Cycles'!$AJ$31*INDEX('Lease Cycles'!$FO$31:$FU$31,1,AG401)+'Lease Cycles'!$BE$31*(1-INDEX('Lease Cycles'!$FO$31:$FU$31,1,AG401)))),0)</f>
        <v>0</v>
      </c>
      <c r="AH411" s="24">
        <f>IF(AH403=1,'Lease Cycles'!$D$31*IF(INDEX('Lease Cycles'!$EF$31:$EL$31,1,AH401)=1,'Lease Cycles'!$AJ$31*INDEX('Lease Cycles'!$FO$31:$FU$31,1,AH401)*INDEX('Lease Cycles'!$EM$31:$ES$31,1,AH401)+'Lease Cycles'!$BE$31*IF(AH402&lt;INDEX('Lease Cycles'!$FA$31:$FG$31,1,AH401),0,1-INDEX('Lease Cycles'!$EM$31:$ES$31,1,AH401)),IF(OR(INDEX('Lease Cycles'!$DY$31:$EE$31,1,AH401)=1,AH402&gt;0),1,1-INDEX('Lease Cycles'!$DD$31:$DJ$31,1,AH401))*('Lease Cycles'!$AJ$31*INDEX('Lease Cycles'!$FO$31:$FU$31,1,AH401)+'Lease Cycles'!$BE$31*(1-INDEX('Lease Cycles'!$FO$31:$FU$31,1,AH401)))),0)</f>
        <v>0</v>
      </c>
      <c r="AI411" s="24">
        <f>IF(AI403=1,'Lease Cycles'!$D$31*IF(INDEX('Lease Cycles'!$EF$31:$EL$31,1,AI401)=1,'Lease Cycles'!$AJ$31*INDEX('Lease Cycles'!$FO$31:$FU$31,1,AI401)*INDEX('Lease Cycles'!$EM$31:$ES$31,1,AI401)+'Lease Cycles'!$BE$31*IF(AI402&lt;INDEX('Lease Cycles'!$FA$31:$FG$31,1,AI401),0,1-INDEX('Lease Cycles'!$EM$31:$ES$31,1,AI401)),IF(OR(INDEX('Lease Cycles'!$DY$31:$EE$31,1,AI401)=1,AI402&gt;0),1,1-INDEX('Lease Cycles'!$DD$31:$DJ$31,1,AI401))*('Lease Cycles'!$AJ$31*INDEX('Lease Cycles'!$FO$31:$FU$31,1,AI401)+'Lease Cycles'!$BE$31*(1-INDEX('Lease Cycles'!$FO$31:$FU$31,1,AI401)))),0)</f>
        <v>0</v>
      </c>
      <c r="AJ411" s="24">
        <f>IF(AJ403=1,'Lease Cycles'!$D$31*IF(INDEX('Lease Cycles'!$EF$31:$EL$31,1,AJ401)=1,'Lease Cycles'!$AJ$31*INDEX('Lease Cycles'!$FO$31:$FU$31,1,AJ401)*INDEX('Lease Cycles'!$EM$31:$ES$31,1,AJ401)+'Lease Cycles'!$BE$31*IF(AJ402&lt;INDEX('Lease Cycles'!$FA$31:$FG$31,1,AJ401),0,1-INDEX('Lease Cycles'!$EM$31:$ES$31,1,AJ401)),IF(OR(INDEX('Lease Cycles'!$DY$31:$EE$31,1,AJ401)=1,AJ402&gt;0),1,1-INDEX('Lease Cycles'!$DD$31:$DJ$31,1,AJ401))*('Lease Cycles'!$AJ$31*INDEX('Lease Cycles'!$FO$31:$FU$31,1,AJ401)+'Lease Cycles'!$BE$31*(1-INDEX('Lease Cycles'!$FO$31:$FU$31,1,AJ401)))),0)</f>
        <v>0</v>
      </c>
      <c r="AK411" s="24">
        <f>IF(AK403=1,'Lease Cycles'!$D$31*IF(INDEX('Lease Cycles'!$EF$31:$EL$31,1,AK401)=1,'Lease Cycles'!$AJ$31*INDEX('Lease Cycles'!$FO$31:$FU$31,1,AK401)*INDEX('Lease Cycles'!$EM$31:$ES$31,1,AK401)+'Lease Cycles'!$BE$31*IF(AK402&lt;INDEX('Lease Cycles'!$FA$31:$FG$31,1,AK401),0,1-INDEX('Lease Cycles'!$EM$31:$ES$31,1,AK401)),IF(OR(INDEX('Lease Cycles'!$DY$31:$EE$31,1,AK401)=1,AK402&gt;0),1,1-INDEX('Lease Cycles'!$DD$31:$DJ$31,1,AK401))*('Lease Cycles'!$AJ$31*INDEX('Lease Cycles'!$FO$31:$FU$31,1,AK401)+'Lease Cycles'!$BE$31*(1-INDEX('Lease Cycles'!$FO$31:$FU$31,1,AK401)))),0)</f>
        <v>0</v>
      </c>
      <c r="AL411" s="24">
        <f>IF(AL403=1,'Lease Cycles'!$D$31*IF(INDEX('Lease Cycles'!$EF$31:$EL$31,1,AL401)=1,'Lease Cycles'!$AJ$31*INDEX('Lease Cycles'!$FO$31:$FU$31,1,AL401)*INDEX('Lease Cycles'!$EM$31:$ES$31,1,AL401)+'Lease Cycles'!$BE$31*IF(AL402&lt;INDEX('Lease Cycles'!$FA$31:$FG$31,1,AL401),0,1-INDEX('Lease Cycles'!$EM$31:$ES$31,1,AL401)),IF(OR(INDEX('Lease Cycles'!$DY$31:$EE$31,1,AL401)=1,AL402&gt;0),1,1-INDEX('Lease Cycles'!$DD$31:$DJ$31,1,AL401))*('Lease Cycles'!$AJ$31*INDEX('Lease Cycles'!$FO$31:$FU$31,1,AL401)+'Lease Cycles'!$BE$31*(1-INDEX('Lease Cycles'!$FO$31:$FU$31,1,AL401)))),0)</f>
        <v>0</v>
      </c>
      <c r="AM411" s="24">
        <f>IF(AM403=1,'Lease Cycles'!$D$31*IF(INDEX('Lease Cycles'!$EF$31:$EL$31,1,AM401)=1,'Lease Cycles'!$AJ$31*INDEX('Lease Cycles'!$FO$31:$FU$31,1,AM401)*INDEX('Lease Cycles'!$EM$31:$ES$31,1,AM401)+'Lease Cycles'!$BE$31*IF(AM402&lt;INDEX('Lease Cycles'!$FA$31:$FG$31,1,AM401),0,1-INDEX('Lease Cycles'!$EM$31:$ES$31,1,AM401)),IF(OR(INDEX('Lease Cycles'!$DY$31:$EE$31,1,AM401)=1,AM402&gt;0),1,1-INDEX('Lease Cycles'!$DD$31:$DJ$31,1,AM401))*('Lease Cycles'!$AJ$31*INDEX('Lease Cycles'!$FO$31:$FU$31,1,AM401)+'Lease Cycles'!$BE$31*(1-INDEX('Lease Cycles'!$FO$31:$FU$31,1,AM401)))),0)</f>
        <v>0</v>
      </c>
      <c r="AN411" s="24">
        <f>IF(AN403=1,'Lease Cycles'!$D$31*IF(INDEX('Lease Cycles'!$EF$31:$EL$31,1,AN401)=1,'Lease Cycles'!$AJ$31*INDEX('Lease Cycles'!$FO$31:$FU$31,1,AN401)*INDEX('Lease Cycles'!$EM$31:$ES$31,1,AN401)+'Lease Cycles'!$BE$31*IF(AN402&lt;INDEX('Lease Cycles'!$FA$31:$FG$31,1,AN401),0,1-INDEX('Lease Cycles'!$EM$31:$ES$31,1,AN401)),IF(OR(INDEX('Lease Cycles'!$DY$31:$EE$31,1,AN401)=1,AN402&gt;0),1,1-INDEX('Lease Cycles'!$DD$31:$DJ$31,1,AN401))*('Lease Cycles'!$AJ$31*INDEX('Lease Cycles'!$FO$31:$FU$31,1,AN401)+'Lease Cycles'!$BE$31*(1-INDEX('Lease Cycles'!$FO$31:$FU$31,1,AN401)))),0)</f>
        <v>0</v>
      </c>
      <c r="AO411" s="24">
        <f>IF(AO403=1,'Lease Cycles'!$D$31*IF(INDEX('Lease Cycles'!$EF$31:$EL$31,1,AO401)=1,'Lease Cycles'!$AJ$31*INDEX('Lease Cycles'!$FO$31:$FU$31,1,AO401)*INDEX('Lease Cycles'!$EM$31:$ES$31,1,AO401)+'Lease Cycles'!$BE$31*IF(AO402&lt;INDEX('Lease Cycles'!$FA$31:$FG$31,1,AO401),0,1-INDEX('Lease Cycles'!$EM$31:$ES$31,1,AO401)),IF(OR(INDEX('Lease Cycles'!$DY$31:$EE$31,1,AO401)=1,AO402&gt;0),1,1-INDEX('Lease Cycles'!$DD$31:$DJ$31,1,AO401))*('Lease Cycles'!$AJ$31*INDEX('Lease Cycles'!$FO$31:$FU$31,1,AO401)+'Lease Cycles'!$BE$31*(1-INDEX('Lease Cycles'!$FO$31:$FU$31,1,AO401)))),0)</f>
        <v>0</v>
      </c>
      <c r="AP411" s="24">
        <f>IF(AP403=1,'Lease Cycles'!$D$31*IF(INDEX('Lease Cycles'!$EF$31:$EL$31,1,AP401)=1,'Lease Cycles'!$AJ$31*INDEX('Lease Cycles'!$FO$31:$FU$31,1,AP401)*INDEX('Lease Cycles'!$EM$31:$ES$31,1,AP401)+'Lease Cycles'!$BE$31*IF(AP402&lt;INDEX('Lease Cycles'!$FA$31:$FG$31,1,AP401),0,1-INDEX('Lease Cycles'!$EM$31:$ES$31,1,AP401)),IF(OR(INDEX('Lease Cycles'!$DY$31:$EE$31,1,AP401)=1,AP402&gt;0),1,1-INDEX('Lease Cycles'!$DD$31:$DJ$31,1,AP401))*('Lease Cycles'!$AJ$31*INDEX('Lease Cycles'!$FO$31:$FU$31,1,AP401)+'Lease Cycles'!$BE$31*(1-INDEX('Lease Cycles'!$FO$31:$FU$31,1,AP401)))),0)</f>
        <v>0</v>
      </c>
      <c r="AQ411" s="24">
        <f>IF(AQ403=1,'Lease Cycles'!$D$31*IF(INDEX('Lease Cycles'!$EF$31:$EL$31,1,AQ401)=1,'Lease Cycles'!$AJ$31*INDEX('Lease Cycles'!$FO$31:$FU$31,1,AQ401)*INDEX('Lease Cycles'!$EM$31:$ES$31,1,AQ401)+'Lease Cycles'!$BE$31*IF(AQ402&lt;INDEX('Lease Cycles'!$FA$31:$FG$31,1,AQ401),0,1-INDEX('Lease Cycles'!$EM$31:$ES$31,1,AQ401)),IF(OR(INDEX('Lease Cycles'!$DY$31:$EE$31,1,AQ401)=1,AQ402&gt;0),1,1-INDEX('Lease Cycles'!$DD$31:$DJ$31,1,AQ401))*('Lease Cycles'!$AJ$31*INDEX('Lease Cycles'!$FO$31:$FU$31,1,AQ401)+'Lease Cycles'!$BE$31*(1-INDEX('Lease Cycles'!$FO$31:$FU$31,1,AQ401)))),0)</f>
        <v>0</v>
      </c>
      <c r="AR411" s="24">
        <f>IF(AR403=1,'Lease Cycles'!$D$31*IF(INDEX('Lease Cycles'!$EF$31:$EL$31,1,AR401)=1,'Lease Cycles'!$AJ$31*INDEX('Lease Cycles'!$FO$31:$FU$31,1,AR401)*INDEX('Lease Cycles'!$EM$31:$ES$31,1,AR401)+'Lease Cycles'!$BE$31*IF(AR402&lt;INDEX('Lease Cycles'!$FA$31:$FG$31,1,AR401),0,1-INDEX('Lease Cycles'!$EM$31:$ES$31,1,AR401)),IF(OR(INDEX('Lease Cycles'!$DY$31:$EE$31,1,AR401)=1,AR402&gt;0),1,1-INDEX('Lease Cycles'!$DD$31:$DJ$31,1,AR401))*('Lease Cycles'!$AJ$31*INDEX('Lease Cycles'!$FO$31:$FU$31,1,AR401)+'Lease Cycles'!$BE$31*(1-INDEX('Lease Cycles'!$FO$31:$FU$31,1,AR401)))),0)</f>
        <v>0</v>
      </c>
      <c r="AS411" s="24">
        <f>IF(AS403=1,'Lease Cycles'!$D$31*IF(INDEX('Lease Cycles'!$EF$31:$EL$31,1,AS401)=1,'Lease Cycles'!$AJ$31*INDEX('Lease Cycles'!$FO$31:$FU$31,1,AS401)*INDEX('Lease Cycles'!$EM$31:$ES$31,1,AS401)+'Lease Cycles'!$BE$31*IF(AS402&lt;INDEX('Lease Cycles'!$FA$31:$FG$31,1,AS401),0,1-INDEX('Lease Cycles'!$EM$31:$ES$31,1,AS401)),IF(OR(INDEX('Lease Cycles'!$DY$31:$EE$31,1,AS401)=1,AS402&gt;0),1,1-INDEX('Lease Cycles'!$DD$31:$DJ$31,1,AS401))*('Lease Cycles'!$AJ$31*INDEX('Lease Cycles'!$FO$31:$FU$31,1,AS401)+'Lease Cycles'!$BE$31*(1-INDEX('Lease Cycles'!$FO$31:$FU$31,1,AS401)))),0)</f>
        <v>0</v>
      </c>
      <c r="AT411" s="24">
        <f>IF(AT403=1,'Lease Cycles'!$D$31*IF(INDEX('Lease Cycles'!$EF$31:$EL$31,1,AT401)=1,'Lease Cycles'!$AJ$31*INDEX('Lease Cycles'!$FO$31:$FU$31,1,AT401)*INDEX('Lease Cycles'!$EM$31:$ES$31,1,AT401)+'Lease Cycles'!$BE$31*IF(AT402&lt;INDEX('Lease Cycles'!$FA$31:$FG$31,1,AT401),0,1-INDEX('Lease Cycles'!$EM$31:$ES$31,1,AT401)),IF(OR(INDEX('Lease Cycles'!$DY$31:$EE$31,1,AT401)=1,AT402&gt;0),1,1-INDEX('Lease Cycles'!$DD$31:$DJ$31,1,AT401))*('Lease Cycles'!$AJ$31*INDEX('Lease Cycles'!$FO$31:$FU$31,1,AT401)+'Lease Cycles'!$BE$31*(1-INDEX('Lease Cycles'!$FO$31:$FU$31,1,AT401)))),0)</f>
        <v>0</v>
      </c>
      <c r="AU411" s="24">
        <f>IF(AU403=1,'Lease Cycles'!$D$31*IF(INDEX('Lease Cycles'!$EF$31:$EL$31,1,AU401)=1,'Lease Cycles'!$AJ$31*INDEX('Lease Cycles'!$FO$31:$FU$31,1,AU401)*INDEX('Lease Cycles'!$EM$31:$ES$31,1,AU401)+'Lease Cycles'!$BE$31*IF(AU402&lt;INDEX('Lease Cycles'!$FA$31:$FG$31,1,AU401),0,1-INDEX('Lease Cycles'!$EM$31:$ES$31,1,AU401)),IF(OR(INDEX('Lease Cycles'!$DY$31:$EE$31,1,AU401)=1,AU402&gt;0),1,1-INDEX('Lease Cycles'!$DD$31:$DJ$31,1,AU401))*('Lease Cycles'!$AJ$31*INDEX('Lease Cycles'!$FO$31:$FU$31,1,AU401)+'Lease Cycles'!$BE$31*(1-INDEX('Lease Cycles'!$FO$31:$FU$31,1,AU401)))),0)</f>
        <v>0</v>
      </c>
      <c r="AV411" s="24">
        <f>IF(AV403=1,'Lease Cycles'!$D$31*IF(INDEX('Lease Cycles'!$EF$31:$EL$31,1,AV401)=1,'Lease Cycles'!$AJ$31*INDEX('Lease Cycles'!$FO$31:$FU$31,1,AV401)*INDEX('Lease Cycles'!$EM$31:$ES$31,1,AV401)+'Lease Cycles'!$BE$31*IF(AV402&lt;INDEX('Lease Cycles'!$FA$31:$FG$31,1,AV401),0,1-INDEX('Lease Cycles'!$EM$31:$ES$31,1,AV401)),IF(OR(INDEX('Lease Cycles'!$DY$31:$EE$31,1,AV401)=1,AV402&gt;0),1,1-INDEX('Lease Cycles'!$DD$31:$DJ$31,1,AV401))*('Lease Cycles'!$AJ$31*INDEX('Lease Cycles'!$FO$31:$FU$31,1,AV401)+'Lease Cycles'!$BE$31*(1-INDEX('Lease Cycles'!$FO$31:$FU$31,1,AV401)))),0)</f>
        <v>0</v>
      </c>
      <c r="AW411" s="24">
        <f>IF(AW403=1,'Lease Cycles'!$D$31*IF(INDEX('Lease Cycles'!$EF$31:$EL$31,1,AW401)=1,'Lease Cycles'!$AJ$31*INDEX('Lease Cycles'!$FO$31:$FU$31,1,AW401)*INDEX('Lease Cycles'!$EM$31:$ES$31,1,AW401)+'Lease Cycles'!$BE$31*IF(AW402&lt;INDEX('Lease Cycles'!$FA$31:$FG$31,1,AW401),0,1-INDEX('Lease Cycles'!$EM$31:$ES$31,1,AW401)),IF(OR(INDEX('Lease Cycles'!$DY$31:$EE$31,1,AW401)=1,AW402&gt;0),1,1-INDEX('Lease Cycles'!$DD$31:$DJ$31,1,AW401))*('Lease Cycles'!$AJ$31*INDEX('Lease Cycles'!$FO$31:$FU$31,1,AW401)+'Lease Cycles'!$BE$31*(1-INDEX('Lease Cycles'!$FO$31:$FU$31,1,AW401)))),0)</f>
        <v>0</v>
      </c>
      <c r="AX411" s="24">
        <f>IF(AX403=1,'Lease Cycles'!$D$31*IF(INDEX('Lease Cycles'!$EF$31:$EL$31,1,AX401)=1,'Lease Cycles'!$AJ$31*INDEX('Lease Cycles'!$FO$31:$FU$31,1,AX401)*INDEX('Lease Cycles'!$EM$31:$ES$31,1,AX401)+'Lease Cycles'!$BE$31*IF(AX402&lt;INDEX('Lease Cycles'!$FA$31:$FG$31,1,AX401),0,1-INDEX('Lease Cycles'!$EM$31:$ES$31,1,AX401)),IF(OR(INDEX('Lease Cycles'!$DY$31:$EE$31,1,AX401)=1,AX402&gt;0),1,1-INDEX('Lease Cycles'!$DD$31:$DJ$31,1,AX401))*('Lease Cycles'!$AJ$31*INDEX('Lease Cycles'!$FO$31:$FU$31,1,AX401)+'Lease Cycles'!$BE$31*(1-INDEX('Lease Cycles'!$FO$31:$FU$31,1,AX401)))),0)</f>
        <v>0</v>
      </c>
      <c r="AY411" s="24">
        <f>IF(AY403=1,'Lease Cycles'!$D$31*IF(INDEX('Lease Cycles'!$EF$31:$EL$31,1,AY401)=1,'Lease Cycles'!$AJ$31*INDEX('Lease Cycles'!$FO$31:$FU$31,1,AY401)*INDEX('Lease Cycles'!$EM$31:$ES$31,1,AY401)+'Lease Cycles'!$BE$31*IF(AY402&lt;INDEX('Lease Cycles'!$FA$31:$FG$31,1,AY401),0,1-INDEX('Lease Cycles'!$EM$31:$ES$31,1,AY401)),IF(OR(INDEX('Lease Cycles'!$DY$31:$EE$31,1,AY401)=1,AY402&gt;0),1,1-INDEX('Lease Cycles'!$DD$31:$DJ$31,1,AY401))*('Lease Cycles'!$AJ$31*INDEX('Lease Cycles'!$FO$31:$FU$31,1,AY401)+'Lease Cycles'!$BE$31*(1-INDEX('Lease Cycles'!$FO$31:$FU$31,1,AY401)))),0)</f>
        <v>0</v>
      </c>
      <c r="AZ411" s="24">
        <f>IF(AZ403=1,'Lease Cycles'!$D$31*IF(INDEX('Lease Cycles'!$EF$31:$EL$31,1,AZ401)=1,'Lease Cycles'!$AJ$31*INDEX('Lease Cycles'!$FO$31:$FU$31,1,AZ401)*INDEX('Lease Cycles'!$EM$31:$ES$31,1,AZ401)+'Lease Cycles'!$BE$31*IF(AZ402&lt;INDEX('Lease Cycles'!$FA$31:$FG$31,1,AZ401),0,1-INDEX('Lease Cycles'!$EM$31:$ES$31,1,AZ401)),IF(OR(INDEX('Lease Cycles'!$DY$31:$EE$31,1,AZ401)=1,AZ402&gt;0),1,1-INDEX('Lease Cycles'!$DD$31:$DJ$31,1,AZ401))*('Lease Cycles'!$AJ$31*INDEX('Lease Cycles'!$FO$31:$FU$31,1,AZ401)+'Lease Cycles'!$BE$31*(1-INDEX('Lease Cycles'!$FO$31:$FU$31,1,AZ401)))),0)</f>
        <v>0</v>
      </c>
      <c r="BA411" s="24">
        <f>IF(BA403=1,'Lease Cycles'!$D$31*IF(INDEX('Lease Cycles'!$EF$31:$EL$31,1,BA401)=1,'Lease Cycles'!$AJ$31*INDEX('Lease Cycles'!$FO$31:$FU$31,1,BA401)*INDEX('Lease Cycles'!$EM$31:$ES$31,1,BA401)+'Lease Cycles'!$BE$31*IF(BA402&lt;INDEX('Lease Cycles'!$FA$31:$FG$31,1,BA401),0,1-INDEX('Lease Cycles'!$EM$31:$ES$31,1,BA401)),IF(OR(INDEX('Lease Cycles'!$DY$31:$EE$31,1,BA401)=1,BA402&gt;0),1,1-INDEX('Lease Cycles'!$DD$31:$DJ$31,1,BA401))*('Lease Cycles'!$AJ$31*INDEX('Lease Cycles'!$FO$31:$FU$31,1,BA401)+'Lease Cycles'!$BE$31*(1-INDEX('Lease Cycles'!$FO$31:$FU$31,1,BA401)))),0)</f>
        <v>0</v>
      </c>
      <c r="BB411" s="24">
        <f>IF(BB403=1,'Lease Cycles'!$D$31*IF(INDEX('Lease Cycles'!$EF$31:$EL$31,1,BB401)=1,'Lease Cycles'!$AJ$31*INDEX('Lease Cycles'!$FO$31:$FU$31,1,BB401)*INDEX('Lease Cycles'!$EM$31:$ES$31,1,BB401)+'Lease Cycles'!$BE$31*IF(BB402&lt;INDEX('Lease Cycles'!$FA$31:$FG$31,1,BB401),0,1-INDEX('Lease Cycles'!$EM$31:$ES$31,1,BB401)),IF(OR(INDEX('Lease Cycles'!$DY$31:$EE$31,1,BB401)=1,BB402&gt;0),1,1-INDEX('Lease Cycles'!$DD$31:$DJ$31,1,BB401))*('Lease Cycles'!$AJ$31*INDEX('Lease Cycles'!$FO$31:$FU$31,1,BB401)+'Lease Cycles'!$BE$31*(1-INDEX('Lease Cycles'!$FO$31:$FU$31,1,BB401)))),0)</f>
        <v>0</v>
      </c>
      <c r="BC411" s="24">
        <f>IF(BC403=1,'Lease Cycles'!$D$31*IF(INDEX('Lease Cycles'!$EF$31:$EL$31,1,BC401)=1,'Lease Cycles'!$AJ$31*INDEX('Lease Cycles'!$FO$31:$FU$31,1,BC401)*INDEX('Lease Cycles'!$EM$31:$ES$31,1,BC401)+'Lease Cycles'!$BE$31*IF(BC402&lt;INDEX('Lease Cycles'!$FA$31:$FG$31,1,BC401),0,1-INDEX('Lease Cycles'!$EM$31:$ES$31,1,BC401)),IF(OR(INDEX('Lease Cycles'!$DY$31:$EE$31,1,BC401)=1,BC402&gt;0),1,1-INDEX('Lease Cycles'!$DD$31:$DJ$31,1,BC401))*('Lease Cycles'!$AJ$31*INDEX('Lease Cycles'!$FO$31:$FU$31,1,BC401)+'Lease Cycles'!$BE$31*(1-INDEX('Lease Cycles'!$FO$31:$FU$31,1,BC401)))),0)</f>
        <v>0</v>
      </c>
      <c r="BD411" s="24">
        <f>IF(BD403=1,'Lease Cycles'!$D$31*IF(INDEX('Lease Cycles'!$EF$31:$EL$31,1,BD401)=1,'Lease Cycles'!$AJ$31*INDEX('Lease Cycles'!$FO$31:$FU$31,1,BD401)*INDEX('Lease Cycles'!$EM$31:$ES$31,1,BD401)+'Lease Cycles'!$BE$31*IF(BD402&lt;INDEX('Lease Cycles'!$FA$31:$FG$31,1,BD401),0,1-INDEX('Lease Cycles'!$EM$31:$ES$31,1,BD401)),IF(OR(INDEX('Lease Cycles'!$DY$31:$EE$31,1,BD401)=1,BD402&gt;0),1,1-INDEX('Lease Cycles'!$DD$31:$DJ$31,1,BD401))*('Lease Cycles'!$AJ$31*INDEX('Lease Cycles'!$FO$31:$FU$31,1,BD401)+'Lease Cycles'!$BE$31*(1-INDEX('Lease Cycles'!$FO$31:$FU$31,1,BD401)))),0)</f>
        <v>0</v>
      </c>
      <c r="BE411" s="24">
        <f>IF(BE403=1,'Lease Cycles'!$D$31*IF(INDEX('Lease Cycles'!$EF$31:$EL$31,1,BE401)=1,'Lease Cycles'!$AJ$31*INDEX('Lease Cycles'!$FO$31:$FU$31,1,BE401)*INDEX('Lease Cycles'!$EM$31:$ES$31,1,BE401)+'Lease Cycles'!$BE$31*IF(BE402&lt;INDEX('Lease Cycles'!$FA$31:$FG$31,1,BE401),0,1-INDEX('Lease Cycles'!$EM$31:$ES$31,1,BE401)),IF(OR(INDEX('Lease Cycles'!$DY$31:$EE$31,1,BE401)=1,BE402&gt;0),1,1-INDEX('Lease Cycles'!$DD$31:$DJ$31,1,BE401))*('Lease Cycles'!$AJ$31*INDEX('Lease Cycles'!$FO$31:$FU$31,1,BE401)+'Lease Cycles'!$BE$31*(1-INDEX('Lease Cycles'!$FO$31:$FU$31,1,BE401)))),0)</f>
        <v>0</v>
      </c>
      <c r="BF411" s="24">
        <f>IF(BF403=1,'Lease Cycles'!$D$31*IF(INDEX('Lease Cycles'!$EF$31:$EL$31,1,BF401)=1,'Lease Cycles'!$AJ$31*INDEX('Lease Cycles'!$FO$31:$FU$31,1,BF401)*INDEX('Lease Cycles'!$EM$31:$ES$31,1,BF401)+'Lease Cycles'!$BE$31*IF(BF402&lt;INDEX('Lease Cycles'!$FA$31:$FG$31,1,BF401),0,1-INDEX('Lease Cycles'!$EM$31:$ES$31,1,BF401)),IF(OR(INDEX('Lease Cycles'!$DY$31:$EE$31,1,BF401)=1,BF402&gt;0),1,1-INDEX('Lease Cycles'!$DD$31:$DJ$31,1,BF401))*('Lease Cycles'!$AJ$31*INDEX('Lease Cycles'!$FO$31:$FU$31,1,BF401)+'Lease Cycles'!$BE$31*(1-INDEX('Lease Cycles'!$FO$31:$FU$31,1,BF401)))),0)</f>
        <v>0</v>
      </c>
      <c r="BG411" s="24">
        <f>IF(BG403=1,'Lease Cycles'!$D$31*IF(INDEX('Lease Cycles'!$EF$31:$EL$31,1,BG401)=1,'Lease Cycles'!$AJ$31*INDEX('Lease Cycles'!$FO$31:$FU$31,1,BG401)*INDEX('Lease Cycles'!$EM$31:$ES$31,1,BG401)+'Lease Cycles'!$BE$31*IF(BG402&lt;INDEX('Lease Cycles'!$FA$31:$FG$31,1,BG401),0,1-INDEX('Lease Cycles'!$EM$31:$ES$31,1,BG401)),IF(OR(INDEX('Lease Cycles'!$DY$31:$EE$31,1,BG401)=1,BG402&gt;0),1,1-INDEX('Lease Cycles'!$DD$31:$DJ$31,1,BG401))*('Lease Cycles'!$AJ$31*INDEX('Lease Cycles'!$FO$31:$FU$31,1,BG401)+'Lease Cycles'!$BE$31*(1-INDEX('Lease Cycles'!$FO$31:$FU$31,1,BG401)))),0)</f>
        <v>0</v>
      </c>
      <c r="BH411" s="24">
        <f>IF(BH403=1,'Lease Cycles'!$D$31*IF(INDEX('Lease Cycles'!$EF$31:$EL$31,1,BH401)=1,'Lease Cycles'!$AJ$31*INDEX('Lease Cycles'!$FO$31:$FU$31,1,BH401)*INDEX('Lease Cycles'!$EM$31:$ES$31,1,BH401)+'Lease Cycles'!$BE$31*IF(BH402&lt;INDEX('Lease Cycles'!$FA$31:$FG$31,1,BH401),0,1-INDEX('Lease Cycles'!$EM$31:$ES$31,1,BH401)),IF(OR(INDEX('Lease Cycles'!$DY$31:$EE$31,1,BH401)=1,BH402&gt;0),1,1-INDEX('Lease Cycles'!$DD$31:$DJ$31,1,BH401))*('Lease Cycles'!$AJ$31*INDEX('Lease Cycles'!$FO$31:$FU$31,1,BH401)+'Lease Cycles'!$BE$31*(1-INDEX('Lease Cycles'!$FO$31:$FU$31,1,BH401)))),0)</f>
        <v>0</v>
      </c>
      <c r="BI411" s="24">
        <f>IF(BI403=1,'Lease Cycles'!$D$31*IF(INDEX('Lease Cycles'!$EF$31:$EL$31,1,BI401)=1,'Lease Cycles'!$AJ$31*INDEX('Lease Cycles'!$FO$31:$FU$31,1,BI401)*INDEX('Lease Cycles'!$EM$31:$ES$31,1,BI401)+'Lease Cycles'!$BE$31*IF(BI402&lt;INDEX('Lease Cycles'!$FA$31:$FG$31,1,BI401),0,1-INDEX('Lease Cycles'!$EM$31:$ES$31,1,BI401)),IF(OR(INDEX('Lease Cycles'!$DY$31:$EE$31,1,BI401)=1,BI402&gt;0),1,1-INDEX('Lease Cycles'!$DD$31:$DJ$31,1,BI401))*('Lease Cycles'!$AJ$31*INDEX('Lease Cycles'!$FO$31:$FU$31,1,BI401)+'Lease Cycles'!$BE$31*(1-INDEX('Lease Cycles'!$FO$31:$FU$31,1,BI401)))),0)</f>
        <v>0</v>
      </c>
      <c r="BJ411" s="24">
        <f>IF(BJ403=1,'Lease Cycles'!$D$31*IF(INDEX('Lease Cycles'!$EF$31:$EL$31,1,BJ401)=1,'Lease Cycles'!$AJ$31*INDEX('Lease Cycles'!$FO$31:$FU$31,1,BJ401)*INDEX('Lease Cycles'!$EM$31:$ES$31,1,BJ401)+'Lease Cycles'!$BE$31*IF(BJ402&lt;INDEX('Lease Cycles'!$FA$31:$FG$31,1,BJ401),0,1-INDEX('Lease Cycles'!$EM$31:$ES$31,1,BJ401)),IF(OR(INDEX('Lease Cycles'!$DY$31:$EE$31,1,BJ401)=1,BJ402&gt;0),1,1-INDEX('Lease Cycles'!$DD$31:$DJ$31,1,BJ401))*('Lease Cycles'!$AJ$31*INDEX('Lease Cycles'!$FO$31:$FU$31,1,BJ401)+'Lease Cycles'!$BE$31*(1-INDEX('Lease Cycles'!$FO$31:$FU$31,1,BJ401)))),0)</f>
        <v>0</v>
      </c>
      <c r="BK411" s="24">
        <f>IF(BK403=1,'Lease Cycles'!$D$31*IF(INDEX('Lease Cycles'!$EF$31:$EL$31,1,BK401)=1,'Lease Cycles'!$AJ$31*INDEX('Lease Cycles'!$FO$31:$FU$31,1,BK401)*INDEX('Lease Cycles'!$EM$31:$ES$31,1,BK401)+'Lease Cycles'!$BE$31*IF(BK402&lt;INDEX('Lease Cycles'!$FA$31:$FG$31,1,BK401),0,1-INDEX('Lease Cycles'!$EM$31:$ES$31,1,BK401)),IF(OR(INDEX('Lease Cycles'!$DY$31:$EE$31,1,BK401)=1,BK402&gt;0),1,1-INDEX('Lease Cycles'!$DD$31:$DJ$31,1,BK401))*('Lease Cycles'!$AJ$31*INDEX('Lease Cycles'!$FO$31:$FU$31,1,BK401)+'Lease Cycles'!$BE$31*(1-INDEX('Lease Cycles'!$FO$31:$FU$31,1,BK401)))),0)</f>
        <v>0</v>
      </c>
      <c r="BL411" s="24">
        <f>IF(BL403=1,'Lease Cycles'!$D$31*IF(INDEX('Lease Cycles'!$EF$31:$EL$31,1,BL401)=1,'Lease Cycles'!$AJ$31*INDEX('Lease Cycles'!$FO$31:$FU$31,1,BL401)*INDEX('Lease Cycles'!$EM$31:$ES$31,1,BL401)+'Lease Cycles'!$BE$31*IF(BL402&lt;INDEX('Lease Cycles'!$FA$31:$FG$31,1,BL401),0,1-INDEX('Lease Cycles'!$EM$31:$ES$31,1,BL401)),IF(OR(INDEX('Lease Cycles'!$DY$31:$EE$31,1,BL401)=1,BL402&gt;0),1,1-INDEX('Lease Cycles'!$DD$31:$DJ$31,1,BL401))*('Lease Cycles'!$AJ$31*INDEX('Lease Cycles'!$FO$31:$FU$31,1,BL401)+'Lease Cycles'!$BE$31*(1-INDEX('Lease Cycles'!$FO$31:$FU$31,1,BL401)))),0)</f>
        <v>0</v>
      </c>
      <c r="BM411" s="24">
        <f>IF(BM403=1,'Lease Cycles'!$D$31*IF(INDEX('Lease Cycles'!$EF$31:$EL$31,1,BM401)=1,'Lease Cycles'!$AJ$31*INDEX('Lease Cycles'!$FO$31:$FU$31,1,BM401)*INDEX('Lease Cycles'!$EM$31:$ES$31,1,BM401)+'Lease Cycles'!$BE$31*IF(BM402&lt;INDEX('Lease Cycles'!$FA$31:$FG$31,1,BM401),0,1-INDEX('Lease Cycles'!$EM$31:$ES$31,1,BM401)),IF(OR(INDEX('Lease Cycles'!$DY$31:$EE$31,1,BM401)=1,BM402&gt;0),1,1-INDEX('Lease Cycles'!$DD$31:$DJ$31,1,BM401))*('Lease Cycles'!$AJ$31*INDEX('Lease Cycles'!$FO$31:$FU$31,1,BM401)+'Lease Cycles'!$BE$31*(1-INDEX('Lease Cycles'!$FO$31:$FU$31,1,BM401)))),0)</f>
        <v>0</v>
      </c>
      <c r="BN411" s="24">
        <f>IF(BN403=1,'Lease Cycles'!$D$31*IF(INDEX('Lease Cycles'!$EF$31:$EL$31,1,BN401)=1,'Lease Cycles'!$AJ$31*INDEX('Lease Cycles'!$FO$31:$FU$31,1,BN401)*INDEX('Lease Cycles'!$EM$31:$ES$31,1,BN401)+'Lease Cycles'!$BE$31*IF(BN402&lt;INDEX('Lease Cycles'!$FA$31:$FG$31,1,BN401),0,1-INDEX('Lease Cycles'!$EM$31:$ES$31,1,BN401)),IF(OR(INDEX('Lease Cycles'!$DY$31:$EE$31,1,BN401)=1,BN402&gt;0),1,1-INDEX('Lease Cycles'!$DD$31:$DJ$31,1,BN401))*('Lease Cycles'!$AJ$31*INDEX('Lease Cycles'!$FO$31:$FU$31,1,BN401)+'Lease Cycles'!$BE$31*(1-INDEX('Lease Cycles'!$FO$31:$FU$31,1,BN401)))),0)</f>
        <v>0</v>
      </c>
      <c r="BO411" s="24">
        <f>IF(BO403=1,'Lease Cycles'!$D$31*IF(INDEX('Lease Cycles'!$EF$31:$EL$31,1,BO401)=1,'Lease Cycles'!$AJ$31*INDEX('Lease Cycles'!$FO$31:$FU$31,1,BO401)*INDEX('Lease Cycles'!$EM$31:$ES$31,1,BO401)+'Lease Cycles'!$BE$31*IF(BO402&lt;INDEX('Lease Cycles'!$FA$31:$FG$31,1,BO401),0,1-INDEX('Lease Cycles'!$EM$31:$ES$31,1,BO401)),IF(OR(INDEX('Lease Cycles'!$DY$31:$EE$31,1,BO401)=1,BO402&gt;0),1,1-INDEX('Lease Cycles'!$DD$31:$DJ$31,1,BO401))*('Lease Cycles'!$AJ$31*INDEX('Lease Cycles'!$FO$31:$FU$31,1,BO401)+'Lease Cycles'!$BE$31*(1-INDEX('Lease Cycles'!$FO$31:$FU$31,1,BO401)))),0)</f>
        <v>0</v>
      </c>
      <c r="BP411" s="24">
        <f>IF(BP403=1,'Lease Cycles'!$D$31*IF(INDEX('Lease Cycles'!$EF$31:$EL$31,1,BP401)=1,'Lease Cycles'!$AJ$31*INDEX('Lease Cycles'!$FO$31:$FU$31,1,BP401)*INDEX('Lease Cycles'!$EM$31:$ES$31,1,BP401)+'Lease Cycles'!$BE$31*IF(BP402&lt;INDEX('Lease Cycles'!$FA$31:$FG$31,1,BP401),0,1-INDEX('Lease Cycles'!$EM$31:$ES$31,1,BP401)),IF(OR(INDEX('Lease Cycles'!$DY$31:$EE$31,1,BP401)=1,BP402&gt;0),1,1-INDEX('Lease Cycles'!$DD$31:$DJ$31,1,BP401))*('Lease Cycles'!$AJ$31*INDEX('Lease Cycles'!$FO$31:$FU$31,1,BP401)+'Lease Cycles'!$BE$31*(1-INDEX('Lease Cycles'!$FO$31:$FU$31,1,BP401)))),0)</f>
        <v>0</v>
      </c>
      <c r="BQ411" s="24">
        <f>IF(BQ403=1,'Lease Cycles'!$D$31*IF(INDEX('Lease Cycles'!$EF$31:$EL$31,1,BQ401)=1,'Lease Cycles'!$AJ$31*INDEX('Lease Cycles'!$FO$31:$FU$31,1,BQ401)*INDEX('Lease Cycles'!$EM$31:$ES$31,1,BQ401)+'Lease Cycles'!$BE$31*IF(BQ402&lt;INDEX('Lease Cycles'!$FA$31:$FG$31,1,BQ401),0,1-INDEX('Lease Cycles'!$EM$31:$ES$31,1,BQ401)),IF(OR(INDEX('Lease Cycles'!$DY$31:$EE$31,1,BQ401)=1,BQ402&gt;0),1,1-INDEX('Lease Cycles'!$DD$31:$DJ$31,1,BQ401))*('Lease Cycles'!$AJ$31*INDEX('Lease Cycles'!$FO$31:$FU$31,1,BQ401)+'Lease Cycles'!$BE$31*(1-INDEX('Lease Cycles'!$FO$31:$FU$31,1,BQ401)))),0)</f>
        <v>0</v>
      </c>
      <c r="BR411" s="24">
        <f>IF(BR403=1,'Lease Cycles'!$D$31*IF(INDEX('Lease Cycles'!$EF$31:$EL$31,1,BR401)=1,'Lease Cycles'!$AJ$31*INDEX('Lease Cycles'!$FO$31:$FU$31,1,BR401)*INDEX('Lease Cycles'!$EM$31:$ES$31,1,BR401)+'Lease Cycles'!$BE$31*IF(BR402&lt;INDEX('Lease Cycles'!$FA$31:$FG$31,1,BR401),0,1-INDEX('Lease Cycles'!$EM$31:$ES$31,1,BR401)),IF(OR(INDEX('Lease Cycles'!$DY$31:$EE$31,1,BR401)=1,BR402&gt;0),1,1-INDEX('Lease Cycles'!$DD$31:$DJ$31,1,BR401))*('Lease Cycles'!$AJ$31*INDEX('Lease Cycles'!$FO$31:$FU$31,1,BR401)+'Lease Cycles'!$BE$31*(1-INDEX('Lease Cycles'!$FO$31:$FU$31,1,BR401)))),0)</f>
        <v>0</v>
      </c>
      <c r="BS411" s="24">
        <f>IF(BS403=1,'Lease Cycles'!$D$31*IF(INDEX('Lease Cycles'!$EF$31:$EL$31,1,BS401)=1,'Lease Cycles'!$AJ$31*INDEX('Lease Cycles'!$FO$31:$FU$31,1,BS401)*INDEX('Lease Cycles'!$EM$31:$ES$31,1,BS401)+'Lease Cycles'!$BE$31*IF(BS402&lt;INDEX('Lease Cycles'!$FA$31:$FG$31,1,BS401),0,1-INDEX('Lease Cycles'!$EM$31:$ES$31,1,BS401)),IF(OR(INDEX('Lease Cycles'!$DY$31:$EE$31,1,BS401)=1,BS402&gt;0),1,1-INDEX('Lease Cycles'!$DD$31:$DJ$31,1,BS401))*('Lease Cycles'!$AJ$31*INDEX('Lease Cycles'!$FO$31:$FU$31,1,BS401)+'Lease Cycles'!$BE$31*(1-INDEX('Lease Cycles'!$FO$31:$FU$31,1,BS401)))),0)</f>
        <v>0</v>
      </c>
      <c r="BT411" s="24">
        <f>IF(BT403=1,'Lease Cycles'!$D$31*IF(INDEX('Lease Cycles'!$EF$31:$EL$31,1,BT401)=1,'Lease Cycles'!$AJ$31*INDEX('Lease Cycles'!$FO$31:$FU$31,1,BT401)*INDEX('Lease Cycles'!$EM$31:$ES$31,1,BT401)+'Lease Cycles'!$BE$31*IF(BT402&lt;INDEX('Lease Cycles'!$FA$31:$FG$31,1,BT401),0,1-INDEX('Lease Cycles'!$EM$31:$ES$31,1,BT401)),IF(OR(INDEX('Lease Cycles'!$DY$31:$EE$31,1,BT401)=1,BT402&gt;0),1,1-INDEX('Lease Cycles'!$DD$31:$DJ$31,1,BT401))*('Lease Cycles'!$AJ$31*INDEX('Lease Cycles'!$FO$31:$FU$31,1,BT401)+'Lease Cycles'!$BE$31*(1-INDEX('Lease Cycles'!$FO$31:$FU$31,1,BT401)))),0)</f>
        <v>0</v>
      </c>
      <c r="BU411" s="24">
        <f>IF(BU403=1,'Lease Cycles'!$D$31*IF(INDEX('Lease Cycles'!$EF$31:$EL$31,1,BU401)=1,'Lease Cycles'!$AJ$31*INDEX('Lease Cycles'!$FO$31:$FU$31,1,BU401)*INDEX('Lease Cycles'!$EM$31:$ES$31,1,BU401)+'Lease Cycles'!$BE$31*IF(BU402&lt;INDEX('Lease Cycles'!$FA$31:$FG$31,1,BU401),0,1-INDEX('Lease Cycles'!$EM$31:$ES$31,1,BU401)),IF(OR(INDEX('Lease Cycles'!$DY$31:$EE$31,1,BU401)=1,BU402&gt;0),1,1-INDEX('Lease Cycles'!$DD$31:$DJ$31,1,BU401))*('Lease Cycles'!$AJ$31*INDEX('Lease Cycles'!$FO$31:$FU$31,1,BU401)+'Lease Cycles'!$BE$31*(1-INDEX('Lease Cycles'!$FO$31:$FU$31,1,BU401)))),0)</f>
        <v>0</v>
      </c>
      <c r="BV411" s="24">
        <f>IF(BV403=1,'Lease Cycles'!$D$31*IF(INDEX('Lease Cycles'!$EF$31:$EL$31,1,BV401)=1,'Lease Cycles'!$AJ$31*INDEX('Lease Cycles'!$FO$31:$FU$31,1,BV401)*INDEX('Lease Cycles'!$EM$31:$ES$31,1,BV401)+'Lease Cycles'!$BE$31*IF(BV402&lt;INDEX('Lease Cycles'!$FA$31:$FG$31,1,BV401),0,1-INDEX('Lease Cycles'!$EM$31:$ES$31,1,BV401)),IF(OR(INDEX('Lease Cycles'!$DY$31:$EE$31,1,BV401)=1,BV402&gt;0),1,1-INDEX('Lease Cycles'!$DD$31:$DJ$31,1,BV401))*('Lease Cycles'!$AJ$31*INDEX('Lease Cycles'!$FO$31:$FU$31,1,BV401)+'Lease Cycles'!$BE$31*(1-INDEX('Lease Cycles'!$FO$31:$FU$31,1,BV401)))),0)</f>
        <v>0</v>
      </c>
      <c r="BW411" s="24">
        <f>IF(BW403=1,'Lease Cycles'!$D$31*IF(INDEX('Lease Cycles'!$EF$31:$EL$31,1,BW401)=1,'Lease Cycles'!$AJ$31*INDEX('Lease Cycles'!$FO$31:$FU$31,1,BW401)*INDEX('Lease Cycles'!$EM$31:$ES$31,1,BW401)+'Lease Cycles'!$BE$31*IF(BW402&lt;INDEX('Lease Cycles'!$FA$31:$FG$31,1,BW401),0,1-INDEX('Lease Cycles'!$EM$31:$ES$31,1,BW401)),IF(OR(INDEX('Lease Cycles'!$DY$31:$EE$31,1,BW401)=1,BW402&gt;0),1,1-INDEX('Lease Cycles'!$DD$31:$DJ$31,1,BW401))*('Lease Cycles'!$AJ$31*INDEX('Lease Cycles'!$FO$31:$FU$31,1,BW401)+'Lease Cycles'!$BE$31*(1-INDEX('Lease Cycles'!$FO$31:$FU$31,1,BW401)))),0)</f>
        <v>0</v>
      </c>
      <c r="BX411" s="24">
        <f>IF(BX403=1,'Lease Cycles'!$D$31*IF(INDEX('Lease Cycles'!$EF$31:$EL$31,1,BX401)=1,'Lease Cycles'!$AJ$31*INDEX('Lease Cycles'!$FO$31:$FU$31,1,BX401)*INDEX('Lease Cycles'!$EM$31:$ES$31,1,BX401)+'Lease Cycles'!$BE$31*IF(BX402&lt;INDEX('Lease Cycles'!$FA$31:$FG$31,1,BX401),0,1-INDEX('Lease Cycles'!$EM$31:$ES$31,1,BX401)),IF(OR(INDEX('Lease Cycles'!$DY$31:$EE$31,1,BX401)=1,BX402&gt;0),1,1-INDEX('Lease Cycles'!$DD$31:$DJ$31,1,BX401))*('Lease Cycles'!$AJ$31*INDEX('Lease Cycles'!$FO$31:$FU$31,1,BX401)+'Lease Cycles'!$BE$31*(1-INDEX('Lease Cycles'!$FO$31:$FU$31,1,BX401)))),0)</f>
        <v>0</v>
      </c>
      <c r="BY411" s="24">
        <f>IF(BY403=1,'Lease Cycles'!$D$31*IF(INDEX('Lease Cycles'!$EF$31:$EL$31,1,BY401)=1,'Lease Cycles'!$AJ$31*INDEX('Lease Cycles'!$FO$31:$FU$31,1,BY401)*INDEX('Lease Cycles'!$EM$31:$ES$31,1,BY401)+'Lease Cycles'!$BE$31*IF(BY402&lt;INDEX('Lease Cycles'!$FA$31:$FG$31,1,BY401),0,1-INDEX('Lease Cycles'!$EM$31:$ES$31,1,BY401)),IF(OR(INDEX('Lease Cycles'!$DY$31:$EE$31,1,BY401)=1,BY402&gt;0),1,1-INDEX('Lease Cycles'!$DD$31:$DJ$31,1,BY401))*('Lease Cycles'!$AJ$31*INDEX('Lease Cycles'!$FO$31:$FU$31,1,BY401)+'Lease Cycles'!$BE$31*(1-INDEX('Lease Cycles'!$FO$31:$FU$31,1,BY401)))),0)</f>
        <v>0</v>
      </c>
      <c r="BZ411" s="24">
        <f>IF(BZ403=1,'Lease Cycles'!$D$31*IF(INDEX('Lease Cycles'!$EF$31:$EL$31,1,BZ401)=1,'Lease Cycles'!$AJ$31*INDEX('Lease Cycles'!$FO$31:$FU$31,1,BZ401)*INDEX('Lease Cycles'!$EM$31:$ES$31,1,BZ401)+'Lease Cycles'!$BE$31*IF(BZ402&lt;INDEX('Lease Cycles'!$FA$31:$FG$31,1,BZ401),0,1-INDEX('Lease Cycles'!$EM$31:$ES$31,1,BZ401)),IF(OR(INDEX('Lease Cycles'!$DY$31:$EE$31,1,BZ401)=1,BZ402&gt;0),1,1-INDEX('Lease Cycles'!$DD$31:$DJ$31,1,BZ401))*('Lease Cycles'!$AJ$31*INDEX('Lease Cycles'!$FO$31:$FU$31,1,BZ401)+'Lease Cycles'!$BE$31*(1-INDEX('Lease Cycles'!$FO$31:$FU$31,1,BZ401)))),0)</f>
        <v>0</v>
      </c>
      <c r="CA411" s="24">
        <f>IF(CA403=1,'Lease Cycles'!$D$31*IF(INDEX('Lease Cycles'!$EF$31:$EL$31,1,CA401)=1,'Lease Cycles'!$AJ$31*INDEX('Lease Cycles'!$FO$31:$FU$31,1,CA401)*INDEX('Lease Cycles'!$EM$31:$ES$31,1,CA401)+'Lease Cycles'!$BE$31*IF(CA402&lt;INDEX('Lease Cycles'!$FA$31:$FG$31,1,CA401),0,1-INDEX('Lease Cycles'!$EM$31:$ES$31,1,CA401)),IF(OR(INDEX('Lease Cycles'!$DY$31:$EE$31,1,CA401)=1,CA402&gt;0),1,1-INDEX('Lease Cycles'!$DD$31:$DJ$31,1,CA401))*('Lease Cycles'!$AJ$31*INDEX('Lease Cycles'!$FO$31:$FU$31,1,CA401)+'Lease Cycles'!$BE$31*(1-INDEX('Lease Cycles'!$FO$31:$FU$31,1,CA401)))),0)</f>
        <v>0</v>
      </c>
      <c r="CB411" s="24">
        <f>IF(CB403=1,'Lease Cycles'!$D$31*IF(INDEX('Lease Cycles'!$EF$31:$EL$31,1,CB401)=1,'Lease Cycles'!$AJ$31*INDEX('Lease Cycles'!$FO$31:$FU$31,1,CB401)*INDEX('Lease Cycles'!$EM$31:$ES$31,1,CB401)+'Lease Cycles'!$BE$31*IF(CB402&lt;INDEX('Lease Cycles'!$FA$31:$FG$31,1,CB401),0,1-INDEX('Lease Cycles'!$EM$31:$ES$31,1,CB401)),IF(OR(INDEX('Lease Cycles'!$DY$31:$EE$31,1,CB401)=1,CB402&gt;0),1,1-INDEX('Lease Cycles'!$DD$31:$DJ$31,1,CB401))*('Lease Cycles'!$AJ$31*INDEX('Lease Cycles'!$FO$31:$FU$31,1,CB401)+'Lease Cycles'!$BE$31*(1-INDEX('Lease Cycles'!$FO$31:$FU$31,1,CB401)))),0)</f>
        <v>0</v>
      </c>
      <c r="CC411" s="24">
        <f>IF(CC403=1,'Lease Cycles'!$D$31*IF(INDEX('Lease Cycles'!$EF$31:$EL$31,1,CC401)=1,'Lease Cycles'!$AJ$31*INDEX('Lease Cycles'!$FO$31:$FU$31,1,CC401)*INDEX('Lease Cycles'!$EM$31:$ES$31,1,CC401)+'Lease Cycles'!$BE$31*IF(CC402&lt;INDEX('Lease Cycles'!$FA$31:$FG$31,1,CC401),0,1-INDEX('Lease Cycles'!$EM$31:$ES$31,1,CC401)),IF(OR(INDEX('Lease Cycles'!$DY$31:$EE$31,1,CC401)=1,CC402&gt;0),1,1-INDEX('Lease Cycles'!$DD$31:$DJ$31,1,CC401))*('Lease Cycles'!$AJ$31*INDEX('Lease Cycles'!$FO$31:$FU$31,1,CC401)+'Lease Cycles'!$BE$31*(1-INDEX('Lease Cycles'!$FO$31:$FU$31,1,CC401)))),0)</f>
        <v>0</v>
      </c>
      <c r="CD411" s="24">
        <f>IF(CD403=1,'Lease Cycles'!$D$31*IF(INDEX('Lease Cycles'!$EF$31:$EL$31,1,CD401)=1,'Lease Cycles'!$AJ$31*INDEX('Lease Cycles'!$FO$31:$FU$31,1,CD401)*INDEX('Lease Cycles'!$EM$31:$ES$31,1,CD401)+'Lease Cycles'!$BE$31*IF(CD402&lt;INDEX('Lease Cycles'!$FA$31:$FG$31,1,CD401),0,1-INDEX('Lease Cycles'!$EM$31:$ES$31,1,CD401)),IF(OR(INDEX('Lease Cycles'!$DY$31:$EE$31,1,CD401)=1,CD402&gt;0),1,1-INDEX('Lease Cycles'!$DD$31:$DJ$31,1,CD401))*('Lease Cycles'!$AJ$31*INDEX('Lease Cycles'!$FO$31:$FU$31,1,CD401)+'Lease Cycles'!$BE$31*(1-INDEX('Lease Cycles'!$FO$31:$FU$31,1,CD401)))),0)</f>
        <v>0</v>
      </c>
      <c r="CE411" s="24">
        <f>IF(CE403=1,'Lease Cycles'!$D$31*IF(INDEX('Lease Cycles'!$EF$31:$EL$31,1,CE401)=1,'Lease Cycles'!$AJ$31*INDEX('Lease Cycles'!$FO$31:$FU$31,1,CE401)*INDEX('Lease Cycles'!$EM$31:$ES$31,1,CE401)+'Lease Cycles'!$BE$31*IF(CE402&lt;INDEX('Lease Cycles'!$FA$31:$FG$31,1,CE401),0,1-INDEX('Lease Cycles'!$EM$31:$ES$31,1,CE401)),IF(OR(INDEX('Lease Cycles'!$DY$31:$EE$31,1,CE401)=1,CE402&gt;0),1,1-INDEX('Lease Cycles'!$DD$31:$DJ$31,1,CE401))*('Lease Cycles'!$AJ$31*INDEX('Lease Cycles'!$FO$31:$FU$31,1,CE401)+'Lease Cycles'!$BE$31*(1-INDEX('Lease Cycles'!$FO$31:$FU$31,1,CE401)))),0)</f>
        <v>0</v>
      </c>
      <c r="CF411" s="24">
        <f>IF(CF403=1,'Lease Cycles'!$D$31*IF(INDEX('Lease Cycles'!$EF$31:$EL$31,1,CF401)=1,'Lease Cycles'!$AJ$31*INDEX('Lease Cycles'!$FO$31:$FU$31,1,CF401)*INDEX('Lease Cycles'!$EM$31:$ES$31,1,CF401)+'Lease Cycles'!$BE$31*IF(CF402&lt;INDEX('Lease Cycles'!$FA$31:$FG$31,1,CF401),0,1-INDEX('Lease Cycles'!$EM$31:$ES$31,1,CF401)),IF(OR(INDEX('Lease Cycles'!$DY$31:$EE$31,1,CF401)=1,CF402&gt;0),1,1-INDEX('Lease Cycles'!$DD$31:$DJ$31,1,CF401))*('Lease Cycles'!$AJ$31*INDEX('Lease Cycles'!$FO$31:$FU$31,1,CF401)+'Lease Cycles'!$BE$31*(1-INDEX('Lease Cycles'!$FO$31:$FU$31,1,CF401)))),0)</f>
        <v>0</v>
      </c>
      <c r="CG411" s="24">
        <f>IF(CG403=1,'Lease Cycles'!$D$31*IF(INDEX('Lease Cycles'!$EF$31:$EL$31,1,CG401)=1,'Lease Cycles'!$AJ$31*INDEX('Lease Cycles'!$FO$31:$FU$31,1,CG401)*INDEX('Lease Cycles'!$EM$31:$ES$31,1,CG401)+'Lease Cycles'!$BE$31*IF(CG402&lt;INDEX('Lease Cycles'!$FA$31:$FG$31,1,CG401),0,1-INDEX('Lease Cycles'!$EM$31:$ES$31,1,CG401)),IF(OR(INDEX('Lease Cycles'!$DY$31:$EE$31,1,CG401)=1,CG402&gt;0),1,1-INDEX('Lease Cycles'!$DD$31:$DJ$31,1,CG401))*('Lease Cycles'!$AJ$31*INDEX('Lease Cycles'!$FO$31:$FU$31,1,CG401)+'Lease Cycles'!$BE$31*(1-INDEX('Lease Cycles'!$FO$31:$FU$31,1,CG401)))),0)</f>
        <v>0</v>
      </c>
      <c r="CH411" s="24">
        <f>IF(CH403=1,'Lease Cycles'!$D$31*IF(INDEX('Lease Cycles'!$EF$31:$EL$31,1,CH401)=1,'Lease Cycles'!$AJ$31*INDEX('Lease Cycles'!$FO$31:$FU$31,1,CH401)*INDEX('Lease Cycles'!$EM$31:$ES$31,1,CH401)+'Lease Cycles'!$BE$31*IF(CH402&lt;INDEX('Lease Cycles'!$FA$31:$FG$31,1,CH401),0,1-INDEX('Lease Cycles'!$EM$31:$ES$31,1,CH401)),IF(OR(INDEX('Lease Cycles'!$DY$31:$EE$31,1,CH401)=1,CH402&gt;0),1,1-INDEX('Lease Cycles'!$DD$31:$DJ$31,1,CH401))*('Lease Cycles'!$AJ$31*INDEX('Lease Cycles'!$FO$31:$FU$31,1,CH401)+'Lease Cycles'!$BE$31*(1-INDEX('Lease Cycles'!$FO$31:$FU$31,1,CH401)))),0)</f>
        <v>0</v>
      </c>
      <c r="CI411" s="24">
        <f>IF(CI403=1,'Lease Cycles'!$D$31*IF(INDEX('Lease Cycles'!$EF$31:$EL$31,1,CI401)=1,'Lease Cycles'!$AJ$31*INDEX('Lease Cycles'!$FO$31:$FU$31,1,CI401)*INDEX('Lease Cycles'!$EM$31:$ES$31,1,CI401)+'Lease Cycles'!$BE$31*IF(CI402&lt;INDEX('Lease Cycles'!$FA$31:$FG$31,1,CI401),0,1-INDEX('Lease Cycles'!$EM$31:$ES$31,1,CI401)),IF(OR(INDEX('Lease Cycles'!$DY$31:$EE$31,1,CI401)=1,CI402&gt;0),1,1-INDEX('Lease Cycles'!$DD$31:$DJ$31,1,CI401))*('Lease Cycles'!$AJ$31*INDEX('Lease Cycles'!$FO$31:$FU$31,1,CI401)+'Lease Cycles'!$BE$31*(1-INDEX('Lease Cycles'!$FO$31:$FU$31,1,CI401)))),0)</f>
        <v>0</v>
      </c>
      <c r="CJ411" s="24">
        <f>IF(CJ403=1,'Lease Cycles'!$D$31*IF(INDEX('Lease Cycles'!$EF$31:$EL$31,1,CJ401)=1,'Lease Cycles'!$AJ$31*INDEX('Lease Cycles'!$FO$31:$FU$31,1,CJ401)*INDEX('Lease Cycles'!$EM$31:$ES$31,1,CJ401)+'Lease Cycles'!$BE$31*IF(CJ402&lt;INDEX('Lease Cycles'!$FA$31:$FG$31,1,CJ401),0,1-INDEX('Lease Cycles'!$EM$31:$ES$31,1,CJ401)),IF(OR(INDEX('Lease Cycles'!$DY$31:$EE$31,1,CJ401)=1,CJ402&gt;0),1,1-INDEX('Lease Cycles'!$DD$31:$DJ$31,1,CJ401))*('Lease Cycles'!$AJ$31*INDEX('Lease Cycles'!$FO$31:$FU$31,1,CJ401)+'Lease Cycles'!$BE$31*(1-INDEX('Lease Cycles'!$FO$31:$FU$31,1,CJ401)))),0)</f>
        <v>0</v>
      </c>
      <c r="CK411" s="24">
        <f>IF(CK403=1,'Lease Cycles'!$D$31*IF(INDEX('Lease Cycles'!$EF$31:$EL$31,1,CK401)=1,'Lease Cycles'!$AJ$31*INDEX('Lease Cycles'!$FO$31:$FU$31,1,CK401)*INDEX('Lease Cycles'!$EM$31:$ES$31,1,CK401)+'Lease Cycles'!$BE$31*IF(CK402&lt;INDEX('Lease Cycles'!$FA$31:$FG$31,1,CK401),0,1-INDEX('Lease Cycles'!$EM$31:$ES$31,1,CK401)),IF(OR(INDEX('Lease Cycles'!$DY$31:$EE$31,1,CK401)=1,CK402&gt;0),1,1-INDEX('Lease Cycles'!$DD$31:$DJ$31,1,CK401))*('Lease Cycles'!$AJ$31*INDEX('Lease Cycles'!$FO$31:$FU$31,1,CK401)+'Lease Cycles'!$BE$31*(1-INDEX('Lease Cycles'!$FO$31:$FU$31,1,CK401)))),0)</f>
        <v>0</v>
      </c>
      <c r="CL411" s="24">
        <f>IF(CL403=1,'Lease Cycles'!$D$31*IF(INDEX('Lease Cycles'!$EF$31:$EL$31,1,CL401)=1,'Lease Cycles'!$AJ$31*INDEX('Lease Cycles'!$FO$31:$FU$31,1,CL401)*INDEX('Lease Cycles'!$EM$31:$ES$31,1,CL401)+'Lease Cycles'!$BE$31*IF(CL402&lt;INDEX('Lease Cycles'!$FA$31:$FG$31,1,CL401),0,1-INDEX('Lease Cycles'!$EM$31:$ES$31,1,CL401)),IF(OR(INDEX('Lease Cycles'!$DY$31:$EE$31,1,CL401)=1,CL402&gt;0),1,1-INDEX('Lease Cycles'!$DD$31:$DJ$31,1,CL401))*('Lease Cycles'!$AJ$31*INDEX('Lease Cycles'!$FO$31:$FU$31,1,CL401)+'Lease Cycles'!$BE$31*(1-INDEX('Lease Cycles'!$FO$31:$FU$31,1,CL401)))),0)</f>
        <v>0</v>
      </c>
      <c r="CM411" s="24">
        <f>IF(CM403=1,'Lease Cycles'!$D$31*IF(INDEX('Lease Cycles'!$EF$31:$EL$31,1,CM401)=1,'Lease Cycles'!$AJ$31*INDEX('Lease Cycles'!$FO$31:$FU$31,1,CM401)*INDEX('Lease Cycles'!$EM$31:$ES$31,1,CM401)+'Lease Cycles'!$BE$31*IF(CM402&lt;INDEX('Lease Cycles'!$FA$31:$FG$31,1,CM401),0,1-INDEX('Lease Cycles'!$EM$31:$ES$31,1,CM401)),IF(OR(INDEX('Lease Cycles'!$DY$31:$EE$31,1,CM401)=1,CM402&gt;0),1,1-INDEX('Lease Cycles'!$DD$31:$DJ$31,1,CM401))*('Lease Cycles'!$AJ$31*INDEX('Lease Cycles'!$FO$31:$FU$31,1,CM401)+'Lease Cycles'!$BE$31*(1-INDEX('Lease Cycles'!$FO$31:$FU$31,1,CM401)))),0)</f>
        <v>0</v>
      </c>
      <c r="CN411" s="24">
        <f>IF(CN403=1,'Lease Cycles'!$D$31*IF(INDEX('Lease Cycles'!$EF$31:$EL$31,1,CN401)=1,'Lease Cycles'!$AJ$31*INDEX('Lease Cycles'!$FO$31:$FU$31,1,CN401)*INDEX('Lease Cycles'!$EM$31:$ES$31,1,CN401)+'Lease Cycles'!$BE$31*IF(CN402&lt;INDEX('Lease Cycles'!$FA$31:$FG$31,1,CN401),0,1-INDEX('Lease Cycles'!$EM$31:$ES$31,1,CN401)),IF(OR(INDEX('Lease Cycles'!$DY$31:$EE$31,1,CN401)=1,CN402&gt;0),1,1-INDEX('Lease Cycles'!$DD$31:$DJ$31,1,CN401))*('Lease Cycles'!$AJ$31*INDEX('Lease Cycles'!$FO$31:$FU$31,1,CN401)+'Lease Cycles'!$BE$31*(1-INDEX('Lease Cycles'!$FO$31:$FU$31,1,CN401)))),0)</f>
        <v>0</v>
      </c>
      <c r="CO411" s="24">
        <f>IF(CO403=1,'Lease Cycles'!$D$31*IF(INDEX('Lease Cycles'!$EF$31:$EL$31,1,CO401)=1,'Lease Cycles'!$AJ$31*INDEX('Lease Cycles'!$FO$31:$FU$31,1,CO401)*INDEX('Lease Cycles'!$EM$31:$ES$31,1,CO401)+'Lease Cycles'!$BE$31*IF(CO402&lt;INDEX('Lease Cycles'!$FA$31:$FG$31,1,CO401),0,1-INDEX('Lease Cycles'!$EM$31:$ES$31,1,CO401)),IF(OR(INDEX('Lease Cycles'!$DY$31:$EE$31,1,CO401)=1,CO402&gt;0),1,1-INDEX('Lease Cycles'!$DD$31:$DJ$31,1,CO401))*('Lease Cycles'!$AJ$31*INDEX('Lease Cycles'!$FO$31:$FU$31,1,CO401)+'Lease Cycles'!$BE$31*(1-INDEX('Lease Cycles'!$FO$31:$FU$31,1,CO401)))),0)</f>
        <v>0</v>
      </c>
      <c r="CP411" s="24">
        <f>IF(CP403=1,'Lease Cycles'!$D$31*IF(INDEX('Lease Cycles'!$EF$31:$EL$31,1,CP401)=1,'Lease Cycles'!$AJ$31*INDEX('Lease Cycles'!$FO$31:$FU$31,1,CP401)*INDEX('Lease Cycles'!$EM$31:$ES$31,1,CP401)+'Lease Cycles'!$BE$31*IF(CP402&lt;INDEX('Lease Cycles'!$FA$31:$FG$31,1,CP401),0,1-INDEX('Lease Cycles'!$EM$31:$ES$31,1,CP401)),IF(OR(INDEX('Lease Cycles'!$DY$31:$EE$31,1,CP401)=1,CP402&gt;0),1,1-INDEX('Lease Cycles'!$DD$31:$DJ$31,1,CP401))*('Lease Cycles'!$AJ$31*INDEX('Lease Cycles'!$FO$31:$FU$31,1,CP401)+'Lease Cycles'!$BE$31*(1-INDEX('Lease Cycles'!$FO$31:$FU$31,1,CP401)))),0)</f>
        <v>0</v>
      </c>
      <c r="CQ411" s="24">
        <f>IF(CQ403=1,'Lease Cycles'!$D$31*IF(INDEX('Lease Cycles'!$EF$31:$EL$31,1,CQ401)=1,'Lease Cycles'!$AJ$31*INDEX('Lease Cycles'!$FO$31:$FU$31,1,CQ401)*INDEX('Lease Cycles'!$EM$31:$ES$31,1,CQ401)+'Lease Cycles'!$BE$31*IF(CQ402&lt;INDEX('Lease Cycles'!$FA$31:$FG$31,1,CQ401),0,1-INDEX('Lease Cycles'!$EM$31:$ES$31,1,CQ401)),IF(OR(INDEX('Lease Cycles'!$DY$31:$EE$31,1,CQ401)=1,CQ402&gt;0),1,1-INDEX('Lease Cycles'!$DD$31:$DJ$31,1,CQ401))*('Lease Cycles'!$AJ$31*INDEX('Lease Cycles'!$FO$31:$FU$31,1,CQ401)+'Lease Cycles'!$BE$31*(1-INDEX('Lease Cycles'!$FO$31:$FU$31,1,CQ401)))),0)</f>
        <v>0</v>
      </c>
      <c r="CR411" s="24">
        <f>IF(CR403=1,'Lease Cycles'!$D$31*IF(INDEX('Lease Cycles'!$EF$31:$EL$31,1,CR401)=1,'Lease Cycles'!$AJ$31*INDEX('Lease Cycles'!$FO$31:$FU$31,1,CR401)*INDEX('Lease Cycles'!$EM$31:$ES$31,1,CR401)+'Lease Cycles'!$BE$31*IF(CR402&lt;INDEX('Lease Cycles'!$FA$31:$FG$31,1,CR401),0,1-INDEX('Lease Cycles'!$EM$31:$ES$31,1,CR401)),IF(OR(INDEX('Lease Cycles'!$DY$31:$EE$31,1,CR401)=1,CR402&gt;0),1,1-INDEX('Lease Cycles'!$DD$31:$DJ$31,1,CR401))*('Lease Cycles'!$AJ$31*INDEX('Lease Cycles'!$FO$31:$FU$31,1,CR401)+'Lease Cycles'!$BE$31*(1-INDEX('Lease Cycles'!$FO$31:$FU$31,1,CR401)))),0)</f>
        <v>0</v>
      </c>
      <c r="CS411" s="24">
        <f>IF(CS403=1,'Lease Cycles'!$D$31*IF(INDEX('Lease Cycles'!$EF$31:$EL$31,1,CS401)=1,'Lease Cycles'!$AJ$31*INDEX('Lease Cycles'!$FO$31:$FU$31,1,CS401)*INDEX('Lease Cycles'!$EM$31:$ES$31,1,CS401)+'Lease Cycles'!$BE$31*IF(CS402&lt;INDEX('Lease Cycles'!$FA$31:$FG$31,1,CS401),0,1-INDEX('Lease Cycles'!$EM$31:$ES$31,1,CS401)),IF(OR(INDEX('Lease Cycles'!$DY$31:$EE$31,1,CS401)=1,CS402&gt;0),1,1-INDEX('Lease Cycles'!$DD$31:$DJ$31,1,CS401))*('Lease Cycles'!$AJ$31*INDEX('Lease Cycles'!$FO$31:$FU$31,1,CS401)+'Lease Cycles'!$BE$31*(1-INDEX('Lease Cycles'!$FO$31:$FU$31,1,CS401)))),0)</f>
        <v>0</v>
      </c>
      <c r="CT411" s="24">
        <f>IF(CT403=1,'Lease Cycles'!$D$31*IF(INDEX('Lease Cycles'!$EF$31:$EL$31,1,CT401)=1,'Lease Cycles'!$AJ$31*INDEX('Lease Cycles'!$FO$31:$FU$31,1,CT401)*INDEX('Lease Cycles'!$EM$31:$ES$31,1,CT401)+'Lease Cycles'!$BE$31*IF(CT402&lt;INDEX('Lease Cycles'!$FA$31:$FG$31,1,CT401),0,1-INDEX('Lease Cycles'!$EM$31:$ES$31,1,CT401)),IF(OR(INDEX('Lease Cycles'!$DY$31:$EE$31,1,CT401)=1,CT402&gt;0),1,1-INDEX('Lease Cycles'!$DD$31:$DJ$31,1,CT401))*('Lease Cycles'!$AJ$31*INDEX('Lease Cycles'!$FO$31:$FU$31,1,CT401)+'Lease Cycles'!$BE$31*(1-INDEX('Lease Cycles'!$FO$31:$FU$31,1,CT401)))),0)</f>
        <v>0</v>
      </c>
      <c r="CU411" s="24">
        <f>IF(CU403=1,'Lease Cycles'!$D$31*IF(INDEX('Lease Cycles'!$EF$31:$EL$31,1,CU401)=1,'Lease Cycles'!$AJ$31*INDEX('Lease Cycles'!$FO$31:$FU$31,1,CU401)*INDEX('Lease Cycles'!$EM$31:$ES$31,1,CU401)+'Lease Cycles'!$BE$31*IF(CU402&lt;INDEX('Lease Cycles'!$FA$31:$FG$31,1,CU401),0,1-INDEX('Lease Cycles'!$EM$31:$ES$31,1,CU401)),IF(OR(INDEX('Lease Cycles'!$DY$31:$EE$31,1,CU401)=1,CU402&gt;0),1,1-INDEX('Lease Cycles'!$DD$31:$DJ$31,1,CU401))*('Lease Cycles'!$AJ$31*INDEX('Lease Cycles'!$FO$31:$FU$31,1,CU401)+'Lease Cycles'!$BE$31*(1-INDEX('Lease Cycles'!$FO$31:$FU$31,1,CU401)))),0)</f>
        <v>0</v>
      </c>
      <c r="CV411" s="24">
        <f>IF(CV403=1,'Lease Cycles'!$D$31*IF(INDEX('Lease Cycles'!$EF$31:$EL$31,1,CV401)=1,'Lease Cycles'!$AJ$31*INDEX('Lease Cycles'!$FO$31:$FU$31,1,CV401)*INDEX('Lease Cycles'!$EM$31:$ES$31,1,CV401)+'Lease Cycles'!$BE$31*IF(CV402&lt;INDEX('Lease Cycles'!$FA$31:$FG$31,1,CV401),0,1-INDEX('Lease Cycles'!$EM$31:$ES$31,1,CV401)),IF(OR(INDEX('Lease Cycles'!$DY$31:$EE$31,1,CV401)=1,CV402&gt;0),1,1-INDEX('Lease Cycles'!$DD$31:$DJ$31,1,CV401))*('Lease Cycles'!$AJ$31*INDEX('Lease Cycles'!$FO$31:$FU$31,1,CV401)+'Lease Cycles'!$BE$31*(1-INDEX('Lease Cycles'!$FO$31:$FU$31,1,CV401)))),0)</f>
        <v>0</v>
      </c>
      <c r="CW411" s="24">
        <f>IF(CW403=1,'Lease Cycles'!$D$31*IF(INDEX('Lease Cycles'!$EF$31:$EL$31,1,CW401)=1,'Lease Cycles'!$AJ$31*INDEX('Lease Cycles'!$FO$31:$FU$31,1,CW401)*INDEX('Lease Cycles'!$EM$31:$ES$31,1,CW401)+'Lease Cycles'!$BE$31*IF(CW402&lt;INDEX('Lease Cycles'!$FA$31:$FG$31,1,CW401),0,1-INDEX('Lease Cycles'!$EM$31:$ES$31,1,CW401)),IF(OR(INDEX('Lease Cycles'!$DY$31:$EE$31,1,CW401)=1,CW402&gt;0),1,1-INDEX('Lease Cycles'!$DD$31:$DJ$31,1,CW401))*('Lease Cycles'!$AJ$31*INDEX('Lease Cycles'!$FO$31:$FU$31,1,CW401)+'Lease Cycles'!$BE$31*(1-INDEX('Lease Cycles'!$FO$31:$FU$31,1,CW401)))),0)</f>
        <v>0</v>
      </c>
      <c r="CX411" s="24">
        <f>IF(CX403=1,'Lease Cycles'!$D$31*IF(INDEX('Lease Cycles'!$EF$31:$EL$31,1,CX401)=1,'Lease Cycles'!$AJ$31*INDEX('Lease Cycles'!$FO$31:$FU$31,1,CX401)*INDEX('Lease Cycles'!$EM$31:$ES$31,1,CX401)+'Lease Cycles'!$BE$31*IF(CX402&lt;INDEX('Lease Cycles'!$FA$31:$FG$31,1,CX401),0,1-INDEX('Lease Cycles'!$EM$31:$ES$31,1,CX401)),IF(OR(INDEX('Lease Cycles'!$DY$31:$EE$31,1,CX401)=1,CX402&gt;0),1,1-INDEX('Lease Cycles'!$DD$31:$DJ$31,1,CX401))*('Lease Cycles'!$AJ$31*INDEX('Lease Cycles'!$FO$31:$FU$31,1,CX401)+'Lease Cycles'!$BE$31*(1-INDEX('Lease Cycles'!$FO$31:$FU$31,1,CX401)))),0)</f>
        <v>0</v>
      </c>
      <c r="CY411" s="24">
        <f>IF(CY403=1,'Lease Cycles'!$D$31*IF(INDEX('Lease Cycles'!$EF$31:$EL$31,1,CY401)=1,'Lease Cycles'!$AJ$31*INDEX('Lease Cycles'!$FO$31:$FU$31,1,CY401)*INDEX('Lease Cycles'!$EM$31:$ES$31,1,CY401)+'Lease Cycles'!$BE$31*IF(CY402&lt;INDEX('Lease Cycles'!$FA$31:$FG$31,1,CY401),0,1-INDEX('Lease Cycles'!$EM$31:$ES$31,1,CY401)),IF(OR(INDEX('Lease Cycles'!$DY$31:$EE$31,1,CY401)=1,CY402&gt;0),1,1-INDEX('Lease Cycles'!$DD$31:$DJ$31,1,CY401))*('Lease Cycles'!$AJ$31*INDEX('Lease Cycles'!$FO$31:$FU$31,1,CY401)+'Lease Cycles'!$BE$31*(1-INDEX('Lease Cycles'!$FO$31:$FU$31,1,CY401)))),0)</f>
        <v>0</v>
      </c>
      <c r="CZ411" s="24">
        <f>IF(CZ403=1,'Lease Cycles'!$D$31*IF(INDEX('Lease Cycles'!$EF$31:$EL$31,1,CZ401)=1,'Lease Cycles'!$AJ$31*INDEX('Lease Cycles'!$FO$31:$FU$31,1,CZ401)*INDEX('Lease Cycles'!$EM$31:$ES$31,1,CZ401)+'Lease Cycles'!$BE$31*IF(CZ402&lt;INDEX('Lease Cycles'!$FA$31:$FG$31,1,CZ401),0,1-INDEX('Lease Cycles'!$EM$31:$ES$31,1,CZ401)),IF(OR(INDEX('Lease Cycles'!$DY$31:$EE$31,1,CZ401)=1,CZ402&gt;0),1,1-INDEX('Lease Cycles'!$DD$31:$DJ$31,1,CZ401))*('Lease Cycles'!$AJ$31*INDEX('Lease Cycles'!$FO$31:$FU$31,1,CZ401)+'Lease Cycles'!$BE$31*(1-INDEX('Lease Cycles'!$FO$31:$FU$31,1,CZ401)))),0)</f>
        <v>0</v>
      </c>
      <c r="DA411" s="24">
        <f>IF(DA403=1,'Lease Cycles'!$D$31*IF(INDEX('Lease Cycles'!$EF$31:$EL$31,1,DA401)=1,'Lease Cycles'!$AJ$31*INDEX('Lease Cycles'!$FO$31:$FU$31,1,DA401)*INDEX('Lease Cycles'!$EM$31:$ES$31,1,DA401)+'Lease Cycles'!$BE$31*IF(DA402&lt;INDEX('Lease Cycles'!$FA$31:$FG$31,1,DA401),0,1-INDEX('Lease Cycles'!$EM$31:$ES$31,1,DA401)),IF(OR(INDEX('Lease Cycles'!$DY$31:$EE$31,1,DA401)=1,DA402&gt;0),1,1-INDEX('Lease Cycles'!$DD$31:$DJ$31,1,DA401))*('Lease Cycles'!$AJ$31*INDEX('Lease Cycles'!$FO$31:$FU$31,1,DA401)+'Lease Cycles'!$BE$31*(1-INDEX('Lease Cycles'!$FO$31:$FU$31,1,DA401)))),0)</f>
        <v>0</v>
      </c>
      <c r="DB411" s="24">
        <f>IF(DB403=1,'Lease Cycles'!$D$31*IF(INDEX('Lease Cycles'!$EF$31:$EL$31,1,DB401)=1,'Lease Cycles'!$AJ$31*INDEX('Lease Cycles'!$FO$31:$FU$31,1,DB401)*INDEX('Lease Cycles'!$EM$31:$ES$31,1,DB401)+'Lease Cycles'!$BE$31*IF(DB402&lt;INDEX('Lease Cycles'!$FA$31:$FG$31,1,DB401),0,1-INDEX('Lease Cycles'!$EM$31:$ES$31,1,DB401)),IF(OR(INDEX('Lease Cycles'!$DY$31:$EE$31,1,DB401)=1,DB402&gt;0),1,1-INDEX('Lease Cycles'!$DD$31:$DJ$31,1,DB401))*('Lease Cycles'!$AJ$31*INDEX('Lease Cycles'!$FO$31:$FU$31,1,DB401)+'Lease Cycles'!$BE$31*(1-INDEX('Lease Cycles'!$FO$31:$FU$31,1,DB401)))),0)</f>
        <v>0</v>
      </c>
      <c r="DC411" s="24">
        <f>IF(DC403=1,'Lease Cycles'!$D$31*IF(INDEX('Lease Cycles'!$EF$31:$EL$31,1,DC401)=1,'Lease Cycles'!$AJ$31*INDEX('Lease Cycles'!$FO$31:$FU$31,1,DC401)*INDEX('Lease Cycles'!$EM$31:$ES$31,1,DC401)+'Lease Cycles'!$BE$31*IF(DC402&lt;INDEX('Lease Cycles'!$FA$31:$FG$31,1,DC401),0,1-INDEX('Lease Cycles'!$EM$31:$ES$31,1,DC401)),IF(OR(INDEX('Lease Cycles'!$DY$31:$EE$31,1,DC401)=1,DC402&gt;0),1,1-INDEX('Lease Cycles'!$DD$31:$DJ$31,1,DC401))*('Lease Cycles'!$AJ$31*INDEX('Lease Cycles'!$FO$31:$FU$31,1,DC401)+'Lease Cycles'!$BE$31*(1-INDEX('Lease Cycles'!$FO$31:$FU$31,1,DC401)))),0)</f>
        <v>0</v>
      </c>
      <c r="DD411" s="24">
        <f>IF(DD403=1,'Lease Cycles'!$D$31*IF(INDEX('Lease Cycles'!$EF$31:$EL$31,1,DD401)=1,'Lease Cycles'!$AJ$31*INDEX('Lease Cycles'!$FO$31:$FU$31,1,DD401)*INDEX('Lease Cycles'!$EM$31:$ES$31,1,DD401)+'Lease Cycles'!$BE$31*IF(DD402&lt;INDEX('Lease Cycles'!$FA$31:$FG$31,1,DD401),0,1-INDEX('Lease Cycles'!$EM$31:$ES$31,1,DD401)),IF(OR(INDEX('Lease Cycles'!$DY$31:$EE$31,1,DD401)=1,DD402&gt;0),1,1-INDEX('Lease Cycles'!$DD$31:$DJ$31,1,DD401))*('Lease Cycles'!$AJ$31*INDEX('Lease Cycles'!$FO$31:$FU$31,1,DD401)+'Lease Cycles'!$BE$31*(1-INDEX('Lease Cycles'!$FO$31:$FU$31,1,DD401)))),0)</f>
        <v>0</v>
      </c>
      <c r="DE411" s="24">
        <f>IF(DE403=1,'Lease Cycles'!$D$31*IF(INDEX('Lease Cycles'!$EF$31:$EL$31,1,DE401)=1,'Lease Cycles'!$AJ$31*INDEX('Lease Cycles'!$FO$31:$FU$31,1,DE401)*INDEX('Lease Cycles'!$EM$31:$ES$31,1,DE401)+'Lease Cycles'!$BE$31*IF(DE402&lt;INDEX('Lease Cycles'!$FA$31:$FG$31,1,DE401),0,1-INDEX('Lease Cycles'!$EM$31:$ES$31,1,DE401)),IF(OR(INDEX('Lease Cycles'!$DY$31:$EE$31,1,DE401)=1,DE402&gt;0),1,1-INDEX('Lease Cycles'!$DD$31:$DJ$31,1,DE401))*('Lease Cycles'!$AJ$31*INDEX('Lease Cycles'!$FO$31:$FU$31,1,DE401)+'Lease Cycles'!$BE$31*(1-INDEX('Lease Cycles'!$FO$31:$FU$31,1,DE401)))),0)</f>
        <v>0</v>
      </c>
      <c r="DF411" s="24">
        <f>IF(DF403=1,'Lease Cycles'!$D$31*IF(INDEX('Lease Cycles'!$EF$31:$EL$31,1,DF401)=1,'Lease Cycles'!$AJ$31*INDEX('Lease Cycles'!$FO$31:$FU$31,1,DF401)*INDEX('Lease Cycles'!$EM$31:$ES$31,1,DF401)+'Lease Cycles'!$BE$31*IF(DF402&lt;INDEX('Lease Cycles'!$FA$31:$FG$31,1,DF401),0,1-INDEX('Lease Cycles'!$EM$31:$ES$31,1,DF401)),IF(OR(INDEX('Lease Cycles'!$DY$31:$EE$31,1,DF401)=1,DF402&gt;0),1,1-INDEX('Lease Cycles'!$DD$31:$DJ$31,1,DF401))*('Lease Cycles'!$AJ$31*INDEX('Lease Cycles'!$FO$31:$FU$31,1,DF401)+'Lease Cycles'!$BE$31*(1-INDEX('Lease Cycles'!$FO$31:$FU$31,1,DF401)))),0)</f>
        <v>0</v>
      </c>
      <c r="DG411" s="24">
        <f>IF(DG403=1,'Lease Cycles'!$D$31*IF(INDEX('Lease Cycles'!$EF$31:$EL$31,1,DG401)=1,'Lease Cycles'!$AJ$31*INDEX('Lease Cycles'!$FO$31:$FU$31,1,DG401)*INDEX('Lease Cycles'!$EM$31:$ES$31,1,DG401)+'Lease Cycles'!$BE$31*IF(DG402&lt;INDEX('Lease Cycles'!$FA$31:$FG$31,1,DG401),0,1-INDEX('Lease Cycles'!$EM$31:$ES$31,1,DG401)),IF(OR(INDEX('Lease Cycles'!$DY$31:$EE$31,1,DG401)=1,DG402&gt;0),1,1-INDEX('Lease Cycles'!$DD$31:$DJ$31,1,DG401))*('Lease Cycles'!$AJ$31*INDEX('Lease Cycles'!$FO$31:$FU$31,1,DG401)+'Lease Cycles'!$BE$31*(1-INDEX('Lease Cycles'!$FO$31:$FU$31,1,DG401)))),0)</f>
        <v>0</v>
      </c>
      <c r="DH411" s="24">
        <f>IF(DH403=1,'Lease Cycles'!$D$31*IF(INDEX('Lease Cycles'!$EF$31:$EL$31,1,DH401)=1,'Lease Cycles'!$AJ$31*INDEX('Lease Cycles'!$FO$31:$FU$31,1,DH401)*INDEX('Lease Cycles'!$EM$31:$ES$31,1,DH401)+'Lease Cycles'!$BE$31*IF(DH402&lt;INDEX('Lease Cycles'!$FA$31:$FG$31,1,DH401),0,1-INDEX('Lease Cycles'!$EM$31:$ES$31,1,DH401)),IF(OR(INDEX('Lease Cycles'!$DY$31:$EE$31,1,DH401)=1,DH402&gt;0),1,1-INDEX('Lease Cycles'!$DD$31:$DJ$31,1,DH401))*('Lease Cycles'!$AJ$31*INDEX('Lease Cycles'!$FO$31:$FU$31,1,DH401)+'Lease Cycles'!$BE$31*(1-INDEX('Lease Cycles'!$FO$31:$FU$31,1,DH401)))),0)</f>
        <v>0</v>
      </c>
      <c r="DI411" s="24">
        <f>IF(DI403=1,'Lease Cycles'!$D$31*IF(INDEX('Lease Cycles'!$EF$31:$EL$31,1,DI401)=1,'Lease Cycles'!$AJ$31*INDEX('Lease Cycles'!$FO$31:$FU$31,1,DI401)*INDEX('Lease Cycles'!$EM$31:$ES$31,1,DI401)+'Lease Cycles'!$BE$31*IF(DI402&lt;INDEX('Lease Cycles'!$FA$31:$FG$31,1,DI401),0,1-INDEX('Lease Cycles'!$EM$31:$ES$31,1,DI401)),IF(OR(INDEX('Lease Cycles'!$DY$31:$EE$31,1,DI401)=1,DI402&gt;0),1,1-INDEX('Lease Cycles'!$DD$31:$DJ$31,1,DI401))*('Lease Cycles'!$AJ$31*INDEX('Lease Cycles'!$FO$31:$FU$31,1,DI401)+'Lease Cycles'!$BE$31*(1-INDEX('Lease Cycles'!$FO$31:$FU$31,1,DI401)))),0)</f>
        <v>0</v>
      </c>
      <c r="DJ411" s="24">
        <f>IF(DJ403=1,'Lease Cycles'!$D$31*IF(INDEX('Lease Cycles'!$EF$31:$EL$31,1,DJ401)=1,'Lease Cycles'!$AJ$31*INDEX('Lease Cycles'!$FO$31:$FU$31,1,DJ401)*INDEX('Lease Cycles'!$EM$31:$ES$31,1,DJ401)+'Lease Cycles'!$BE$31*IF(DJ402&lt;INDEX('Lease Cycles'!$FA$31:$FG$31,1,DJ401),0,1-INDEX('Lease Cycles'!$EM$31:$ES$31,1,DJ401)),IF(OR(INDEX('Lease Cycles'!$DY$31:$EE$31,1,DJ401)=1,DJ402&gt;0),1,1-INDEX('Lease Cycles'!$DD$31:$DJ$31,1,DJ401))*('Lease Cycles'!$AJ$31*INDEX('Lease Cycles'!$FO$31:$FU$31,1,DJ401)+'Lease Cycles'!$BE$31*(1-INDEX('Lease Cycles'!$FO$31:$FU$31,1,DJ401)))),0)</f>
        <v>0</v>
      </c>
      <c r="DK411" s="24">
        <f>IF(DK403=1,'Lease Cycles'!$D$31*IF(INDEX('Lease Cycles'!$EF$31:$EL$31,1,DK401)=1,'Lease Cycles'!$AJ$31*INDEX('Lease Cycles'!$FO$31:$FU$31,1,DK401)*INDEX('Lease Cycles'!$EM$31:$ES$31,1,DK401)+'Lease Cycles'!$BE$31*IF(DK402&lt;INDEX('Lease Cycles'!$FA$31:$FG$31,1,DK401),0,1-INDEX('Lease Cycles'!$EM$31:$ES$31,1,DK401)),IF(OR(INDEX('Lease Cycles'!$DY$31:$EE$31,1,DK401)=1,DK402&gt;0),1,1-INDEX('Lease Cycles'!$DD$31:$DJ$31,1,DK401))*('Lease Cycles'!$AJ$31*INDEX('Lease Cycles'!$FO$31:$FU$31,1,DK401)+'Lease Cycles'!$BE$31*(1-INDEX('Lease Cycles'!$FO$31:$FU$31,1,DK401)))),0)</f>
        <v>0</v>
      </c>
      <c r="DL411" s="24">
        <f>IF(DL403=1,'Lease Cycles'!$D$31*IF(INDEX('Lease Cycles'!$EF$31:$EL$31,1,DL401)=1,'Lease Cycles'!$AJ$31*INDEX('Lease Cycles'!$FO$31:$FU$31,1,DL401)*INDEX('Lease Cycles'!$EM$31:$ES$31,1,DL401)+'Lease Cycles'!$BE$31*IF(DL402&lt;INDEX('Lease Cycles'!$FA$31:$FG$31,1,DL401),0,1-INDEX('Lease Cycles'!$EM$31:$ES$31,1,DL401)),IF(OR(INDEX('Lease Cycles'!$DY$31:$EE$31,1,DL401)=1,DL402&gt;0),1,1-INDEX('Lease Cycles'!$DD$31:$DJ$31,1,DL401))*('Lease Cycles'!$AJ$31*INDEX('Lease Cycles'!$FO$31:$FU$31,1,DL401)+'Lease Cycles'!$BE$31*(1-INDEX('Lease Cycles'!$FO$31:$FU$31,1,DL401)))),0)</f>
        <v>0</v>
      </c>
      <c r="DM411" s="24">
        <f>IF(DM403=1,'Lease Cycles'!$D$31*IF(INDEX('Lease Cycles'!$EF$31:$EL$31,1,DM401)=1,'Lease Cycles'!$AJ$31*INDEX('Lease Cycles'!$FO$31:$FU$31,1,DM401)*INDEX('Lease Cycles'!$EM$31:$ES$31,1,DM401)+'Lease Cycles'!$BE$31*IF(DM402&lt;INDEX('Lease Cycles'!$FA$31:$FG$31,1,DM401),0,1-INDEX('Lease Cycles'!$EM$31:$ES$31,1,DM401)),IF(OR(INDEX('Lease Cycles'!$DY$31:$EE$31,1,DM401)=1,DM402&gt;0),1,1-INDEX('Lease Cycles'!$DD$31:$DJ$31,1,DM401))*('Lease Cycles'!$AJ$31*INDEX('Lease Cycles'!$FO$31:$FU$31,1,DM401)+'Lease Cycles'!$BE$31*(1-INDEX('Lease Cycles'!$FO$31:$FU$31,1,DM401)))),0)</f>
        <v>0</v>
      </c>
      <c r="DN411" s="24">
        <f>IF(DN403=1,'Lease Cycles'!$D$31*IF(INDEX('Lease Cycles'!$EF$31:$EL$31,1,DN401)=1,'Lease Cycles'!$AJ$31*INDEX('Lease Cycles'!$FO$31:$FU$31,1,DN401)*INDEX('Lease Cycles'!$EM$31:$ES$31,1,DN401)+'Lease Cycles'!$BE$31*IF(DN402&lt;INDEX('Lease Cycles'!$FA$31:$FG$31,1,DN401),0,1-INDEX('Lease Cycles'!$EM$31:$ES$31,1,DN401)),IF(OR(INDEX('Lease Cycles'!$DY$31:$EE$31,1,DN401)=1,DN402&gt;0),1,1-INDEX('Lease Cycles'!$DD$31:$DJ$31,1,DN401))*('Lease Cycles'!$AJ$31*INDEX('Lease Cycles'!$FO$31:$FU$31,1,DN401)+'Lease Cycles'!$BE$31*(1-INDEX('Lease Cycles'!$FO$31:$FU$31,1,DN401)))),0)</f>
        <v>0</v>
      </c>
      <c r="DO411" s="24">
        <f>IF(DO403=1,'Lease Cycles'!$D$31*IF(INDEX('Lease Cycles'!$EF$31:$EL$31,1,DO401)=1,'Lease Cycles'!$AJ$31*INDEX('Lease Cycles'!$FO$31:$FU$31,1,DO401)*INDEX('Lease Cycles'!$EM$31:$ES$31,1,DO401)+'Lease Cycles'!$BE$31*IF(DO402&lt;INDEX('Lease Cycles'!$FA$31:$FG$31,1,DO401),0,1-INDEX('Lease Cycles'!$EM$31:$ES$31,1,DO401)),IF(OR(INDEX('Lease Cycles'!$DY$31:$EE$31,1,DO401)=1,DO402&gt;0),1,1-INDEX('Lease Cycles'!$DD$31:$DJ$31,1,DO401))*('Lease Cycles'!$AJ$31*INDEX('Lease Cycles'!$FO$31:$FU$31,1,DO401)+'Lease Cycles'!$BE$31*(1-INDEX('Lease Cycles'!$FO$31:$FU$31,1,DO401)))),0)</f>
        <v>0</v>
      </c>
      <c r="DP411" s="24">
        <f>IF(DP403=1,'Lease Cycles'!$D$31*IF(INDEX('Lease Cycles'!$EF$31:$EL$31,1,DP401)=1,'Lease Cycles'!$AJ$31*INDEX('Lease Cycles'!$FO$31:$FU$31,1,DP401)*INDEX('Lease Cycles'!$EM$31:$ES$31,1,DP401)+'Lease Cycles'!$BE$31*IF(DP402&lt;INDEX('Lease Cycles'!$FA$31:$FG$31,1,DP401),0,1-INDEX('Lease Cycles'!$EM$31:$ES$31,1,DP401)),IF(OR(INDEX('Lease Cycles'!$DY$31:$EE$31,1,DP401)=1,DP402&gt;0),1,1-INDEX('Lease Cycles'!$DD$31:$DJ$31,1,DP401))*('Lease Cycles'!$AJ$31*INDEX('Lease Cycles'!$FO$31:$FU$31,1,DP401)+'Lease Cycles'!$BE$31*(1-INDEX('Lease Cycles'!$FO$31:$FU$31,1,DP401)))),0)</f>
        <v>0</v>
      </c>
      <c r="DQ411" s="24">
        <f>IF(DQ403=1,'Lease Cycles'!$D$31*IF(INDEX('Lease Cycles'!$EF$31:$EL$31,1,DQ401)=1,'Lease Cycles'!$AJ$31*INDEX('Lease Cycles'!$FO$31:$FU$31,1,DQ401)*INDEX('Lease Cycles'!$EM$31:$ES$31,1,DQ401)+'Lease Cycles'!$BE$31*IF(DQ402&lt;INDEX('Lease Cycles'!$FA$31:$FG$31,1,DQ401),0,1-INDEX('Lease Cycles'!$EM$31:$ES$31,1,DQ401)),IF(OR(INDEX('Lease Cycles'!$DY$31:$EE$31,1,DQ401)=1,DQ402&gt;0),1,1-INDEX('Lease Cycles'!$DD$31:$DJ$31,1,DQ401))*('Lease Cycles'!$AJ$31*INDEX('Lease Cycles'!$FO$31:$FU$31,1,DQ401)+'Lease Cycles'!$BE$31*(1-INDEX('Lease Cycles'!$FO$31:$FU$31,1,DQ401)))),0)</f>
        <v>0</v>
      </c>
      <c r="DR411" s="24">
        <f>IF(DR403=1,'Lease Cycles'!$D$31*IF(INDEX('Lease Cycles'!$EF$31:$EL$31,1,DR401)=1,'Lease Cycles'!$AJ$31*INDEX('Lease Cycles'!$FO$31:$FU$31,1,DR401)*INDEX('Lease Cycles'!$EM$31:$ES$31,1,DR401)+'Lease Cycles'!$BE$31*IF(DR402&lt;INDEX('Lease Cycles'!$FA$31:$FG$31,1,DR401),0,1-INDEX('Lease Cycles'!$EM$31:$ES$31,1,DR401)),IF(OR(INDEX('Lease Cycles'!$DY$31:$EE$31,1,DR401)=1,DR402&gt;0),1,1-INDEX('Lease Cycles'!$DD$31:$DJ$31,1,DR401))*('Lease Cycles'!$AJ$31*INDEX('Lease Cycles'!$FO$31:$FU$31,1,DR401)+'Lease Cycles'!$BE$31*(1-INDEX('Lease Cycles'!$FO$31:$FU$31,1,DR401)))),0)</f>
        <v>0</v>
      </c>
      <c r="DS411" s="24">
        <f>IF(DS403=1,'Lease Cycles'!$D$31*IF(INDEX('Lease Cycles'!$EF$31:$EL$31,1,DS401)=1,'Lease Cycles'!$AJ$31*INDEX('Lease Cycles'!$FO$31:$FU$31,1,DS401)*INDEX('Lease Cycles'!$EM$31:$ES$31,1,DS401)+'Lease Cycles'!$BE$31*IF(DS402&lt;INDEX('Lease Cycles'!$FA$31:$FG$31,1,DS401),0,1-INDEX('Lease Cycles'!$EM$31:$ES$31,1,DS401)),IF(OR(INDEX('Lease Cycles'!$DY$31:$EE$31,1,DS401)=1,DS402&gt;0),1,1-INDEX('Lease Cycles'!$DD$31:$DJ$31,1,DS401))*('Lease Cycles'!$AJ$31*INDEX('Lease Cycles'!$FO$31:$FU$31,1,DS401)+'Lease Cycles'!$BE$31*(1-INDEX('Lease Cycles'!$FO$31:$FU$31,1,DS401)))),0)</f>
        <v>0</v>
      </c>
      <c r="DT411" s="24">
        <f>IF(DT403=1,'Lease Cycles'!$D$31*IF(INDEX('Lease Cycles'!$EF$31:$EL$31,1,DT401)=1,'Lease Cycles'!$AJ$31*INDEX('Lease Cycles'!$FO$31:$FU$31,1,DT401)*INDEX('Lease Cycles'!$EM$31:$ES$31,1,DT401)+'Lease Cycles'!$BE$31*IF(DT402&lt;INDEX('Lease Cycles'!$FA$31:$FG$31,1,DT401),0,1-INDEX('Lease Cycles'!$EM$31:$ES$31,1,DT401)),IF(OR(INDEX('Lease Cycles'!$DY$31:$EE$31,1,DT401)=1,DT402&gt;0),1,1-INDEX('Lease Cycles'!$DD$31:$DJ$31,1,DT401))*('Lease Cycles'!$AJ$31*INDEX('Lease Cycles'!$FO$31:$FU$31,1,DT401)+'Lease Cycles'!$BE$31*(1-INDEX('Lease Cycles'!$FO$31:$FU$31,1,DT401)))),0)</f>
        <v>0</v>
      </c>
      <c r="DU411" s="24">
        <f>IF(DU403=1,'Lease Cycles'!$D$31*IF(INDEX('Lease Cycles'!$EF$31:$EL$31,1,DU401)=1,'Lease Cycles'!$AJ$31*INDEX('Lease Cycles'!$FO$31:$FU$31,1,DU401)*INDEX('Lease Cycles'!$EM$31:$ES$31,1,DU401)+'Lease Cycles'!$BE$31*IF(DU402&lt;INDEX('Lease Cycles'!$FA$31:$FG$31,1,DU401),0,1-INDEX('Lease Cycles'!$EM$31:$ES$31,1,DU401)),IF(OR(INDEX('Lease Cycles'!$DY$31:$EE$31,1,DU401)=1,DU402&gt;0),1,1-INDEX('Lease Cycles'!$DD$31:$DJ$31,1,DU401))*('Lease Cycles'!$AJ$31*INDEX('Lease Cycles'!$FO$31:$FU$31,1,DU401)+'Lease Cycles'!$BE$31*(1-INDEX('Lease Cycles'!$FO$31:$FU$31,1,DU401)))),0)</f>
        <v>0</v>
      </c>
      <c r="DV411" s="24">
        <f>IF(DV403=1,'Lease Cycles'!$D$31*IF(INDEX('Lease Cycles'!$EF$31:$EL$31,1,DV401)=1,'Lease Cycles'!$AJ$31*INDEX('Lease Cycles'!$FO$31:$FU$31,1,DV401)*INDEX('Lease Cycles'!$EM$31:$ES$31,1,DV401)+'Lease Cycles'!$BE$31*IF(DV402&lt;INDEX('Lease Cycles'!$FA$31:$FG$31,1,DV401),0,1-INDEX('Lease Cycles'!$EM$31:$ES$31,1,DV401)),IF(OR(INDEX('Lease Cycles'!$DY$31:$EE$31,1,DV401)=1,DV402&gt;0),1,1-INDEX('Lease Cycles'!$DD$31:$DJ$31,1,DV401))*('Lease Cycles'!$AJ$31*INDEX('Lease Cycles'!$FO$31:$FU$31,1,DV401)+'Lease Cycles'!$BE$31*(1-INDEX('Lease Cycles'!$FO$31:$FU$31,1,DV401)))),0)</f>
        <v>0</v>
      </c>
      <c r="DW411" s="24">
        <f>IF(DW403=1,'Lease Cycles'!$D$31*IF(INDEX('Lease Cycles'!$EF$31:$EL$31,1,DW401)=1,'Lease Cycles'!$AJ$31*INDEX('Lease Cycles'!$FO$31:$FU$31,1,DW401)*INDEX('Lease Cycles'!$EM$31:$ES$31,1,DW401)+'Lease Cycles'!$BE$31*IF(DW402&lt;INDEX('Lease Cycles'!$FA$31:$FG$31,1,DW401),0,1-INDEX('Lease Cycles'!$EM$31:$ES$31,1,DW401)),IF(OR(INDEX('Lease Cycles'!$DY$31:$EE$31,1,DW401)=1,DW402&gt;0),1,1-INDEX('Lease Cycles'!$DD$31:$DJ$31,1,DW401))*('Lease Cycles'!$AJ$31*INDEX('Lease Cycles'!$FO$31:$FU$31,1,DW401)+'Lease Cycles'!$BE$31*(1-INDEX('Lease Cycles'!$FO$31:$FU$31,1,DW401)))),0)</f>
        <v>0</v>
      </c>
      <c r="DX411" s="24">
        <f>IF(DX403=1,'Lease Cycles'!$D$31*IF(INDEX('Lease Cycles'!$EF$31:$EL$31,1,DX401)=1,'Lease Cycles'!$AJ$31*INDEX('Lease Cycles'!$FO$31:$FU$31,1,DX401)*INDEX('Lease Cycles'!$EM$31:$ES$31,1,DX401)+'Lease Cycles'!$BE$31*IF(DX402&lt;INDEX('Lease Cycles'!$FA$31:$FG$31,1,DX401),0,1-INDEX('Lease Cycles'!$EM$31:$ES$31,1,DX401)),IF(OR(INDEX('Lease Cycles'!$DY$31:$EE$31,1,DX401)=1,DX402&gt;0),1,1-INDEX('Lease Cycles'!$DD$31:$DJ$31,1,DX401))*('Lease Cycles'!$AJ$31*INDEX('Lease Cycles'!$FO$31:$FU$31,1,DX401)+'Lease Cycles'!$BE$31*(1-INDEX('Lease Cycles'!$FO$31:$FU$31,1,DX401)))),0)</f>
        <v>0</v>
      </c>
      <c r="DY411" s="24">
        <f>IF(DY403=1,'Lease Cycles'!$D$31*IF(INDEX('Lease Cycles'!$EF$31:$EL$31,1,DY401)=1,'Lease Cycles'!$AJ$31*INDEX('Lease Cycles'!$FO$31:$FU$31,1,DY401)*INDEX('Lease Cycles'!$EM$31:$ES$31,1,DY401)+'Lease Cycles'!$BE$31*IF(DY402&lt;INDEX('Lease Cycles'!$FA$31:$FG$31,1,DY401),0,1-INDEX('Lease Cycles'!$EM$31:$ES$31,1,DY401)),IF(OR(INDEX('Lease Cycles'!$DY$31:$EE$31,1,DY401)=1,DY402&gt;0),1,1-INDEX('Lease Cycles'!$DD$31:$DJ$31,1,DY401))*('Lease Cycles'!$AJ$31*INDEX('Lease Cycles'!$FO$31:$FU$31,1,DY401)+'Lease Cycles'!$BE$31*(1-INDEX('Lease Cycles'!$FO$31:$FU$31,1,DY401)))),0)</f>
        <v>0</v>
      </c>
      <c r="DZ411" s="24">
        <f>IF(DZ403=1,'Lease Cycles'!$D$31*IF(INDEX('Lease Cycles'!$EF$31:$EL$31,1,DZ401)=1,'Lease Cycles'!$AJ$31*INDEX('Lease Cycles'!$FO$31:$FU$31,1,DZ401)*INDEX('Lease Cycles'!$EM$31:$ES$31,1,DZ401)+'Lease Cycles'!$BE$31*IF(DZ402&lt;INDEX('Lease Cycles'!$FA$31:$FG$31,1,DZ401),0,1-INDEX('Lease Cycles'!$EM$31:$ES$31,1,DZ401)),IF(OR(INDEX('Lease Cycles'!$DY$31:$EE$31,1,DZ401)=1,DZ402&gt;0),1,1-INDEX('Lease Cycles'!$DD$31:$DJ$31,1,DZ401))*('Lease Cycles'!$AJ$31*INDEX('Lease Cycles'!$FO$31:$FU$31,1,DZ401)+'Lease Cycles'!$BE$31*(1-INDEX('Lease Cycles'!$FO$31:$FU$31,1,DZ401)))),0)</f>
        <v>0</v>
      </c>
      <c r="EA411" s="24">
        <f>IF(EA403=1,'Lease Cycles'!$D$31*IF(INDEX('Lease Cycles'!$EF$31:$EL$31,1,EA401)=1,'Lease Cycles'!$AJ$31*INDEX('Lease Cycles'!$FO$31:$FU$31,1,EA401)*INDEX('Lease Cycles'!$EM$31:$ES$31,1,EA401)+'Lease Cycles'!$BE$31*IF(EA402&lt;INDEX('Lease Cycles'!$FA$31:$FG$31,1,EA401),0,1-INDEX('Lease Cycles'!$EM$31:$ES$31,1,EA401)),IF(OR(INDEX('Lease Cycles'!$DY$31:$EE$31,1,EA401)=1,EA402&gt;0),1,1-INDEX('Lease Cycles'!$DD$31:$DJ$31,1,EA401))*('Lease Cycles'!$AJ$31*INDEX('Lease Cycles'!$FO$31:$FU$31,1,EA401)+'Lease Cycles'!$BE$31*(1-INDEX('Lease Cycles'!$FO$31:$FU$31,1,EA401)))),0)</f>
        <v>0</v>
      </c>
      <c r="EB411" s="24">
        <f>IF(EB403=1,'Lease Cycles'!$D$31*IF(INDEX('Lease Cycles'!$EF$31:$EL$31,1,EB401)=1,'Lease Cycles'!$AJ$31*INDEX('Lease Cycles'!$FO$31:$FU$31,1,EB401)*INDEX('Lease Cycles'!$EM$31:$ES$31,1,EB401)+'Lease Cycles'!$BE$31*IF(EB402&lt;INDEX('Lease Cycles'!$FA$31:$FG$31,1,EB401),0,1-INDEX('Lease Cycles'!$EM$31:$ES$31,1,EB401)),IF(OR(INDEX('Lease Cycles'!$DY$31:$EE$31,1,EB401)=1,EB402&gt;0),1,1-INDEX('Lease Cycles'!$DD$31:$DJ$31,1,EB401))*('Lease Cycles'!$AJ$31*INDEX('Lease Cycles'!$FO$31:$FU$31,1,EB401)+'Lease Cycles'!$BE$31*(1-INDEX('Lease Cycles'!$FO$31:$FU$31,1,EB401)))),0)</f>
        <v>0</v>
      </c>
      <c r="EC411" s="24">
        <f>IF(EC403=1,'Lease Cycles'!$D$31*IF(INDEX('Lease Cycles'!$EF$31:$EL$31,1,EC401)=1,'Lease Cycles'!$AJ$31*INDEX('Lease Cycles'!$FO$31:$FU$31,1,EC401)*INDEX('Lease Cycles'!$EM$31:$ES$31,1,EC401)+'Lease Cycles'!$BE$31*IF(EC402&lt;INDEX('Lease Cycles'!$FA$31:$FG$31,1,EC401),0,1-INDEX('Lease Cycles'!$EM$31:$ES$31,1,EC401)),IF(OR(INDEX('Lease Cycles'!$DY$31:$EE$31,1,EC401)=1,EC402&gt;0),1,1-INDEX('Lease Cycles'!$DD$31:$DJ$31,1,EC401))*('Lease Cycles'!$AJ$31*INDEX('Lease Cycles'!$FO$31:$FU$31,1,EC401)+'Lease Cycles'!$BE$31*(1-INDEX('Lease Cycles'!$FO$31:$FU$31,1,EC401)))),0)</f>
        <v>0</v>
      </c>
      <c r="ED411" s="24">
        <f>IF(ED403=1,'Lease Cycles'!$D$31*IF(INDEX('Lease Cycles'!$EF$31:$EL$31,1,ED401)=1,'Lease Cycles'!$AJ$31*INDEX('Lease Cycles'!$FO$31:$FU$31,1,ED401)*INDEX('Lease Cycles'!$EM$31:$ES$31,1,ED401)+'Lease Cycles'!$BE$31*IF(ED402&lt;INDEX('Lease Cycles'!$FA$31:$FG$31,1,ED401),0,1-INDEX('Lease Cycles'!$EM$31:$ES$31,1,ED401)),IF(OR(INDEX('Lease Cycles'!$DY$31:$EE$31,1,ED401)=1,ED402&gt;0),1,1-INDEX('Lease Cycles'!$DD$31:$DJ$31,1,ED401))*('Lease Cycles'!$AJ$31*INDEX('Lease Cycles'!$FO$31:$FU$31,1,ED401)+'Lease Cycles'!$BE$31*(1-INDEX('Lease Cycles'!$FO$31:$FU$31,1,ED401)))),0)</f>
        <v>0</v>
      </c>
      <c r="EE411" s="24">
        <f>IF(EE403=1,'Lease Cycles'!$D$31*IF(INDEX('Lease Cycles'!$EF$31:$EL$31,1,EE401)=1,'Lease Cycles'!$AJ$31*INDEX('Lease Cycles'!$FO$31:$FU$31,1,EE401)*INDEX('Lease Cycles'!$EM$31:$ES$31,1,EE401)+'Lease Cycles'!$BE$31*IF(EE402&lt;INDEX('Lease Cycles'!$FA$31:$FG$31,1,EE401),0,1-INDEX('Lease Cycles'!$EM$31:$ES$31,1,EE401)),IF(OR(INDEX('Lease Cycles'!$DY$31:$EE$31,1,EE401)=1,EE402&gt;0),1,1-INDEX('Lease Cycles'!$DD$31:$DJ$31,1,EE401))*('Lease Cycles'!$AJ$31*INDEX('Lease Cycles'!$FO$31:$FU$31,1,EE401)+'Lease Cycles'!$BE$31*(1-INDEX('Lease Cycles'!$FO$31:$FU$31,1,EE401)))),0)</f>
        <v>0</v>
      </c>
      <c r="EF411" s="24">
        <f>IF(EF403=1,'Lease Cycles'!$D$31*IF(INDEX('Lease Cycles'!$EF$31:$EL$31,1,EF401)=1,'Lease Cycles'!$AJ$31*INDEX('Lease Cycles'!$FO$31:$FU$31,1,EF401)*INDEX('Lease Cycles'!$EM$31:$ES$31,1,EF401)+'Lease Cycles'!$BE$31*IF(EF402&lt;INDEX('Lease Cycles'!$FA$31:$FG$31,1,EF401),0,1-INDEX('Lease Cycles'!$EM$31:$ES$31,1,EF401)),IF(OR(INDEX('Lease Cycles'!$DY$31:$EE$31,1,EF401)=1,EF402&gt;0),1,1-INDEX('Lease Cycles'!$DD$31:$DJ$31,1,EF401))*('Lease Cycles'!$AJ$31*INDEX('Lease Cycles'!$FO$31:$FU$31,1,EF401)+'Lease Cycles'!$BE$31*(1-INDEX('Lease Cycles'!$FO$31:$FU$31,1,EF401)))),0)</f>
        <v>0</v>
      </c>
      <c r="EG411" s="24">
        <f>IF(EG403=1,'Lease Cycles'!$D$31*IF(INDEX('Lease Cycles'!$EF$31:$EL$31,1,EG401)=1,'Lease Cycles'!$AJ$31*INDEX('Lease Cycles'!$FO$31:$FU$31,1,EG401)*INDEX('Lease Cycles'!$EM$31:$ES$31,1,EG401)+'Lease Cycles'!$BE$31*IF(EG402&lt;INDEX('Lease Cycles'!$FA$31:$FG$31,1,EG401),0,1-INDEX('Lease Cycles'!$EM$31:$ES$31,1,EG401)),IF(OR(INDEX('Lease Cycles'!$DY$31:$EE$31,1,EG401)=1,EG402&gt;0),1,1-INDEX('Lease Cycles'!$DD$31:$DJ$31,1,EG401))*('Lease Cycles'!$AJ$31*INDEX('Lease Cycles'!$FO$31:$FU$31,1,EG401)+'Lease Cycles'!$BE$31*(1-INDEX('Lease Cycles'!$FO$31:$FU$31,1,EG401)))),0)</f>
        <v>0</v>
      </c>
      <c r="EH411" s="24">
        <f>IF(EH403=1,'Lease Cycles'!$D$31*IF(INDEX('Lease Cycles'!$EF$31:$EL$31,1,EH401)=1,'Lease Cycles'!$AJ$31*INDEX('Lease Cycles'!$FO$31:$FU$31,1,EH401)*INDEX('Lease Cycles'!$EM$31:$ES$31,1,EH401)+'Lease Cycles'!$BE$31*IF(EH402&lt;INDEX('Lease Cycles'!$FA$31:$FG$31,1,EH401),0,1-INDEX('Lease Cycles'!$EM$31:$ES$31,1,EH401)),IF(OR(INDEX('Lease Cycles'!$DY$31:$EE$31,1,EH401)=1,EH402&gt;0),1,1-INDEX('Lease Cycles'!$DD$31:$DJ$31,1,EH401))*('Lease Cycles'!$AJ$31*INDEX('Lease Cycles'!$FO$31:$FU$31,1,EH401)+'Lease Cycles'!$BE$31*(1-INDEX('Lease Cycles'!$FO$31:$FU$31,1,EH401)))),0)</f>
        <v>0</v>
      </c>
      <c r="EI411" s="24">
        <f>IF(EI403=1,'Lease Cycles'!$D$31*IF(INDEX('Lease Cycles'!$EF$31:$EL$31,1,EI401)=1,'Lease Cycles'!$AJ$31*INDEX('Lease Cycles'!$FO$31:$FU$31,1,EI401)*INDEX('Lease Cycles'!$EM$31:$ES$31,1,EI401)+'Lease Cycles'!$BE$31*IF(EI402&lt;INDEX('Lease Cycles'!$FA$31:$FG$31,1,EI401),0,1-INDEX('Lease Cycles'!$EM$31:$ES$31,1,EI401)),IF(OR(INDEX('Lease Cycles'!$DY$31:$EE$31,1,EI401)=1,EI402&gt;0),1,1-INDEX('Lease Cycles'!$DD$31:$DJ$31,1,EI401))*('Lease Cycles'!$AJ$31*INDEX('Lease Cycles'!$FO$31:$FU$31,1,EI401)+'Lease Cycles'!$BE$31*(1-INDEX('Lease Cycles'!$FO$31:$FU$31,1,EI401)))),0)</f>
        <v>0</v>
      </c>
      <c r="EJ411" s="24">
        <f>IF(EJ403=1,'Lease Cycles'!$D$31*IF(INDEX('Lease Cycles'!$EF$31:$EL$31,1,EJ401)=1,'Lease Cycles'!$AJ$31*INDEX('Lease Cycles'!$FO$31:$FU$31,1,EJ401)*INDEX('Lease Cycles'!$EM$31:$ES$31,1,EJ401)+'Lease Cycles'!$BE$31*IF(EJ402&lt;INDEX('Lease Cycles'!$FA$31:$FG$31,1,EJ401),0,1-INDEX('Lease Cycles'!$EM$31:$ES$31,1,EJ401)),IF(OR(INDEX('Lease Cycles'!$DY$31:$EE$31,1,EJ401)=1,EJ402&gt;0),1,1-INDEX('Lease Cycles'!$DD$31:$DJ$31,1,EJ401))*('Lease Cycles'!$AJ$31*INDEX('Lease Cycles'!$FO$31:$FU$31,1,EJ401)+'Lease Cycles'!$BE$31*(1-INDEX('Lease Cycles'!$FO$31:$FU$31,1,EJ401)))),0)</f>
        <v>0</v>
      </c>
      <c r="EK411" s="24">
        <f>IF(EK403=1,'Lease Cycles'!$D$31*IF(INDEX('Lease Cycles'!$EF$31:$EL$31,1,EK401)=1,'Lease Cycles'!$AJ$31*INDEX('Lease Cycles'!$FO$31:$FU$31,1,EK401)*INDEX('Lease Cycles'!$EM$31:$ES$31,1,EK401)+'Lease Cycles'!$BE$31*IF(EK402&lt;INDEX('Lease Cycles'!$FA$31:$FG$31,1,EK401),0,1-INDEX('Lease Cycles'!$EM$31:$ES$31,1,EK401)),IF(OR(INDEX('Lease Cycles'!$DY$31:$EE$31,1,EK401)=1,EK402&gt;0),1,1-INDEX('Lease Cycles'!$DD$31:$DJ$31,1,EK401))*('Lease Cycles'!$AJ$31*INDEX('Lease Cycles'!$FO$31:$FU$31,1,EK401)+'Lease Cycles'!$BE$31*(1-INDEX('Lease Cycles'!$FO$31:$FU$31,1,EK401)))),0)</f>
        <v>0</v>
      </c>
      <c r="EL411" s="24">
        <f>IF(EL403=1,'Lease Cycles'!$D$31*IF(INDEX('Lease Cycles'!$EF$31:$EL$31,1,EL401)=1,'Lease Cycles'!$AJ$31*INDEX('Lease Cycles'!$FO$31:$FU$31,1,EL401)*INDEX('Lease Cycles'!$EM$31:$ES$31,1,EL401)+'Lease Cycles'!$BE$31*IF(EL402&lt;INDEX('Lease Cycles'!$FA$31:$FG$31,1,EL401),0,1-INDEX('Lease Cycles'!$EM$31:$ES$31,1,EL401)),IF(OR(INDEX('Lease Cycles'!$DY$31:$EE$31,1,EL401)=1,EL402&gt;0),1,1-INDEX('Lease Cycles'!$DD$31:$DJ$31,1,EL401))*('Lease Cycles'!$AJ$31*INDEX('Lease Cycles'!$FO$31:$FU$31,1,EL401)+'Lease Cycles'!$BE$31*(1-INDEX('Lease Cycles'!$FO$31:$FU$31,1,EL401)))),0)</f>
        <v>0</v>
      </c>
      <c r="EM411" s="24">
        <f>IF(EM403=1,'Lease Cycles'!$D$31*IF(INDEX('Lease Cycles'!$EF$31:$EL$31,1,EM401)=1,'Lease Cycles'!$AJ$31*INDEX('Lease Cycles'!$FO$31:$FU$31,1,EM401)*INDEX('Lease Cycles'!$EM$31:$ES$31,1,EM401)+'Lease Cycles'!$BE$31*IF(EM402&lt;INDEX('Lease Cycles'!$FA$31:$FG$31,1,EM401),0,1-INDEX('Lease Cycles'!$EM$31:$ES$31,1,EM401)),IF(OR(INDEX('Lease Cycles'!$DY$31:$EE$31,1,EM401)=1,EM402&gt;0),1,1-INDEX('Lease Cycles'!$DD$31:$DJ$31,1,EM401))*('Lease Cycles'!$AJ$31*INDEX('Lease Cycles'!$FO$31:$FU$31,1,EM401)+'Lease Cycles'!$BE$31*(1-INDEX('Lease Cycles'!$FO$31:$FU$31,1,EM401)))),0)</f>
        <v>0</v>
      </c>
      <c r="EN411" s="24">
        <f>IF(EN403=1,'Lease Cycles'!$D$31*IF(INDEX('Lease Cycles'!$EF$31:$EL$31,1,EN401)=1,'Lease Cycles'!$AJ$31*INDEX('Lease Cycles'!$FO$31:$FU$31,1,EN401)*INDEX('Lease Cycles'!$EM$31:$ES$31,1,EN401)+'Lease Cycles'!$BE$31*IF(EN402&lt;INDEX('Lease Cycles'!$FA$31:$FG$31,1,EN401),0,1-INDEX('Lease Cycles'!$EM$31:$ES$31,1,EN401)),IF(OR(INDEX('Lease Cycles'!$DY$31:$EE$31,1,EN401)=1,EN402&gt;0),1,1-INDEX('Lease Cycles'!$DD$31:$DJ$31,1,EN401))*('Lease Cycles'!$AJ$31*INDEX('Lease Cycles'!$FO$31:$FU$31,1,EN401)+'Lease Cycles'!$BE$31*(1-INDEX('Lease Cycles'!$FO$31:$FU$31,1,EN401)))),0)</f>
        <v>0</v>
      </c>
      <c r="EO411" s="24">
        <f>IF(EO403=1,'Lease Cycles'!$D$31*IF(INDEX('Lease Cycles'!$EF$31:$EL$31,1,EO401)=1,'Lease Cycles'!$AJ$31*INDEX('Lease Cycles'!$FO$31:$FU$31,1,EO401)*INDEX('Lease Cycles'!$EM$31:$ES$31,1,EO401)+'Lease Cycles'!$BE$31*IF(EO402&lt;INDEX('Lease Cycles'!$FA$31:$FG$31,1,EO401),0,1-INDEX('Lease Cycles'!$EM$31:$ES$31,1,EO401)),IF(OR(INDEX('Lease Cycles'!$DY$31:$EE$31,1,EO401)=1,EO402&gt;0),1,1-INDEX('Lease Cycles'!$DD$31:$DJ$31,1,EO401))*('Lease Cycles'!$AJ$31*INDEX('Lease Cycles'!$FO$31:$FU$31,1,EO401)+'Lease Cycles'!$BE$31*(1-INDEX('Lease Cycles'!$FO$31:$FU$31,1,EO401)))),0)</f>
        <v>0</v>
      </c>
      <c r="EP411" s="24">
        <f>IF(EP403=1,'Lease Cycles'!$D$31*IF(INDEX('Lease Cycles'!$EF$31:$EL$31,1,EP401)=1,'Lease Cycles'!$AJ$31*INDEX('Lease Cycles'!$FO$31:$FU$31,1,EP401)*INDEX('Lease Cycles'!$EM$31:$ES$31,1,EP401)+'Lease Cycles'!$BE$31*IF(EP402&lt;INDEX('Lease Cycles'!$FA$31:$FG$31,1,EP401),0,1-INDEX('Lease Cycles'!$EM$31:$ES$31,1,EP401)),IF(OR(INDEX('Lease Cycles'!$DY$31:$EE$31,1,EP401)=1,EP402&gt;0),1,1-INDEX('Lease Cycles'!$DD$31:$DJ$31,1,EP401))*('Lease Cycles'!$AJ$31*INDEX('Lease Cycles'!$FO$31:$FU$31,1,EP401)+'Lease Cycles'!$BE$31*(1-INDEX('Lease Cycles'!$FO$31:$FU$31,1,EP401)))),0)</f>
        <v>0</v>
      </c>
      <c r="EQ411" s="24">
        <f>IF(EQ403=1,'Lease Cycles'!$D$31*IF(INDEX('Lease Cycles'!$EF$31:$EL$31,1,EQ401)=1,'Lease Cycles'!$AJ$31*INDEX('Lease Cycles'!$FO$31:$FU$31,1,EQ401)*INDEX('Lease Cycles'!$EM$31:$ES$31,1,EQ401)+'Lease Cycles'!$BE$31*IF(EQ402&lt;INDEX('Lease Cycles'!$FA$31:$FG$31,1,EQ401),0,1-INDEX('Lease Cycles'!$EM$31:$ES$31,1,EQ401)),IF(OR(INDEX('Lease Cycles'!$DY$31:$EE$31,1,EQ401)=1,EQ402&gt;0),1,1-INDEX('Lease Cycles'!$DD$31:$DJ$31,1,EQ401))*('Lease Cycles'!$AJ$31*INDEX('Lease Cycles'!$FO$31:$FU$31,1,EQ401)+'Lease Cycles'!$BE$31*(1-INDEX('Lease Cycles'!$FO$31:$FU$31,1,EQ401)))),0)</f>
        <v>0</v>
      </c>
      <c r="ER411" s="24">
        <f>IF(ER403=1,'Lease Cycles'!$D$31*IF(INDEX('Lease Cycles'!$EF$31:$EL$31,1,ER401)=1,'Lease Cycles'!$AJ$31*INDEX('Lease Cycles'!$FO$31:$FU$31,1,ER401)*INDEX('Lease Cycles'!$EM$31:$ES$31,1,ER401)+'Lease Cycles'!$BE$31*IF(ER402&lt;INDEX('Lease Cycles'!$FA$31:$FG$31,1,ER401),0,1-INDEX('Lease Cycles'!$EM$31:$ES$31,1,ER401)),IF(OR(INDEX('Lease Cycles'!$DY$31:$EE$31,1,ER401)=1,ER402&gt;0),1,1-INDEX('Lease Cycles'!$DD$31:$DJ$31,1,ER401))*('Lease Cycles'!$AJ$31*INDEX('Lease Cycles'!$FO$31:$FU$31,1,ER401)+'Lease Cycles'!$BE$31*(1-INDEX('Lease Cycles'!$FO$31:$FU$31,1,ER401)))),0)</f>
        <v>0</v>
      </c>
      <c r="ES411" s="24">
        <f>IF(ES403=1,'Lease Cycles'!$D$31*IF(INDEX('Lease Cycles'!$EF$31:$EL$31,1,ES401)=1,'Lease Cycles'!$AJ$31*INDEX('Lease Cycles'!$FO$31:$FU$31,1,ES401)*INDEX('Lease Cycles'!$EM$31:$ES$31,1,ES401)+'Lease Cycles'!$BE$31*IF(ES402&lt;INDEX('Lease Cycles'!$FA$31:$FG$31,1,ES401),0,1-INDEX('Lease Cycles'!$EM$31:$ES$31,1,ES401)),IF(OR(INDEX('Lease Cycles'!$DY$31:$EE$31,1,ES401)=1,ES402&gt;0),1,1-INDEX('Lease Cycles'!$DD$31:$DJ$31,1,ES401))*('Lease Cycles'!$AJ$31*INDEX('Lease Cycles'!$FO$31:$FU$31,1,ES401)+'Lease Cycles'!$BE$31*(1-INDEX('Lease Cycles'!$FO$31:$FU$31,1,ES401)))),0)</f>
        <v>0</v>
      </c>
      <c r="ET411" s="24">
        <f>IF(ET403=1,'Lease Cycles'!$D$31*IF(INDEX('Lease Cycles'!$EF$31:$EL$31,1,ET401)=1,'Lease Cycles'!$AJ$31*INDEX('Lease Cycles'!$FO$31:$FU$31,1,ET401)*INDEX('Lease Cycles'!$EM$31:$ES$31,1,ET401)+'Lease Cycles'!$BE$31*IF(ET402&lt;INDEX('Lease Cycles'!$FA$31:$FG$31,1,ET401),0,1-INDEX('Lease Cycles'!$EM$31:$ES$31,1,ET401)),IF(OR(INDEX('Lease Cycles'!$DY$31:$EE$31,1,ET401)=1,ET402&gt;0),1,1-INDEX('Lease Cycles'!$DD$31:$DJ$31,1,ET401))*('Lease Cycles'!$AJ$31*INDEX('Lease Cycles'!$FO$31:$FU$31,1,ET401)+'Lease Cycles'!$BE$31*(1-INDEX('Lease Cycles'!$FO$31:$FU$31,1,ET401)))),0)</f>
        <v>0</v>
      </c>
    </row>
    <row r="412">
      <c r="A412" s="103">
        <v>24</v>
      </c>
      <c r="B412" s="23" t="str">
        <f>IF('Lease Cycles'!$B$31="","(empty slot)",'Lease Cycles'!$B$31)</f>
        <v>(empty slot)</v>
      </c>
      <c r="C412" s="23" t="s">
        <v>689</v>
      </c>
      <c r="D412" s="104" t="s">
        <v>690</v>
      </c>
      <c r="E412" s="25">
        <f>'Lease Cycles'!$AL$31</f>
        <v>0</v>
      </c>
      <c r="G412" s="28">
        <f>SUM(S412:AD412)</f>
        <v>0</v>
      </c>
      <c r="H412" s="28">
        <f>SUM(AE412:AP412)</f>
        <v>0</v>
      </c>
      <c r="I412" s="28">
        <f>SUM(AQ412:BB412)</f>
        <v>0</v>
      </c>
      <c r="J412" s="28">
        <f>SUM(BC412:BN412)</f>
        <v>0</v>
      </c>
      <c r="K412" s="28">
        <f>SUM(BO412:BZ412)</f>
        <v>0</v>
      </c>
      <c r="L412" s="28">
        <f>SUM(CA412:CL412)</f>
        <v>0</v>
      </c>
      <c r="M412" s="28">
        <f>SUM(CM412:CX412)</f>
        <v>0</v>
      </c>
      <c r="N412" s="28">
        <f>SUM(CY412:DJ412)</f>
        <v>0</v>
      </c>
      <c r="O412" s="28">
        <f>SUM(DK412:DV412)</f>
        <v>0</v>
      </c>
      <c r="P412" s="28">
        <f>SUM(DW412:EH412)</f>
        <v>0</v>
      </c>
      <c r="Q412" s="28">
        <f>SUM(EI412:ET412)</f>
        <v>0</v>
      </c>
      <c r="S412" s="28">
        <f>IF(S411=0,0,S411*MAX(0,(INDEX(c_CAMy,1,S$7)-INDEX(c_CAMy,1,INDEX('Lease Cycles'!$GC$31:$GI$31,1,S401)+1))*(1+'Lease Cycles'!$AK$31)+(INDEX(c_TAXy,1,S$7)-INDEX(c_TAXy,1,INDEX('Lease Cycles'!$GC$31:$GI$31,1,S401)+1))+(INDEX(c_INSy,1,S$7)-INDEX(c_INSy,1,INDEX('Lease Cycles'!$GC$31:$GI$31,1,S401)+1)))/12)</f>
        <v>0</v>
      </c>
      <c r="T412" s="28">
        <f>IF(T411=0,0,T411*MAX(0,(INDEX(c_CAMy,1,T$7)-INDEX(c_CAMy,1,INDEX('Lease Cycles'!$GC$31:$GI$31,1,T401)+1))*(1+'Lease Cycles'!$AK$31)+(INDEX(c_TAXy,1,T$7)-INDEX(c_TAXy,1,INDEX('Lease Cycles'!$GC$31:$GI$31,1,T401)+1))+(INDEX(c_INSy,1,T$7)-INDEX(c_INSy,1,INDEX('Lease Cycles'!$GC$31:$GI$31,1,T401)+1)))/12)</f>
        <v>0</v>
      </c>
      <c r="U412" s="28">
        <f>IF(U411=0,0,U411*MAX(0,(INDEX(c_CAMy,1,U$7)-INDEX(c_CAMy,1,INDEX('Lease Cycles'!$GC$31:$GI$31,1,U401)+1))*(1+'Lease Cycles'!$AK$31)+(INDEX(c_TAXy,1,U$7)-INDEX(c_TAXy,1,INDEX('Lease Cycles'!$GC$31:$GI$31,1,U401)+1))+(INDEX(c_INSy,1,U$7)-INDEX(c_INSy,1,INDEX('Lease Cycles'!$GC$31:$GI$31,1,U401)+1)))/12)</f>
        <v>0</v>
      </c>
      <c r="V412" s="28">
        <f>IF(V411=0,0,V411*MAX(0,(INDEX(c_CAMy,1,V$7)-INDEX(c_CAMy,1,INDEX('Lease Cycles'!$GC$31:$GI$31,1,V401)+1))*(1+'Lease Cycles'!$AK$31)+(INDEX(c_TAXy,1,V$7)-INDEX(c_TAXy,1,INDEX('Lease Cycles'!$GC$31:$GI$31,1,V401)+1))+(INDEX(c_INSy,1,V$7)-INDEX(c_INSy,1,INDEX('Lease Cycles'!$GC$31:$GI$31,1,V401)+1)))/12)</f>
        <v>0</v>
      </c>
      <c r="W412" s="28">
        <f>IF(W411=0,0,W411*MAX(0,(INDEX(c_CAMy,1,W$7)-INDEX(c_CAMy,1,INDEX('Lease Cycles'!$GC$31:$GI$31,1,W401)+1))*(1+'Lease Cycles'!$AK$31)+(INDEX(c_TAXy,1,W$7)-INDEX(c_TAXy,1,INDEX('Lease Cycles'!$GC$31:$GI$31,1,W401)+1))+(INDEX(c_INSy,1,W$7)-INDEX(c_INSy,1,INDEX('Lease Cycles'!$GC$31:$GI$31,1,W401)+1)))/12)</f>
        <v>0</v>
      </c>
      <c r="X412" s="28">
        <f>IF(X411=0,0,X411*MAX(0,(INDEX(c_CAMy,1,X$7)-INDEX(c_CAMy,1,INDEX('Lease Cycles'!$GC$31:$GI$31,1,X401)+1))*(1+'Lease Cycles'!$AK$31)+(INDEX(c_TAXy,1,X$7)-INDEX(c_TAXy,1,INDEX('Lease Cycles'!$GC$31:$GI$31,1,X401)+1))+(INDEX(c_INSy,1,X$7)-INDEX(c_INSy,1,INDEX('Lease Cycles'!$GC$31:$GI$31,1,X401)+1)))/12)</f>
        <v>0</v>
      </c>
      <c r="Y412" s="28">
        <f>IF(Y411=0,0,Y411*MAX(0,(INDEX(c_CAMy,1,Y$7)-INDEX(c_CAMy,1,INDEX('Lease Cycles'!$GC$31:$GI$31,1,Y401)+1))*(1+'Lease Cycles'!$AK$31)+(INDEX(c_TAXy,1,Y$7)-INDEX(c_TAXy,1,INDEX('Lease Cycles'!$GC$31:$GI$31,1,Y401)+1))+(INDEX(c_INSy,1,Y$7)-INDEX(c_INSy,1,INDEX('Lease Cycles'!$GC$31:$GI$31,1,Y401)+1)))/12)</f>
        <v>0</v>
      </c>
      <c r="Z412" s="28">
        <f>IF(Z411=0,0,Z411*MAX(0,(INDEX(c_CAMy,1,Z$7)-INDEX(c_CAMy,1,INDEX('Lease Cycles'!$GC$31:$GI$31,1,Z401)+1))*(1+'Lease Cycles'!$AK$31)+(INDEX(c_TAXy,1,Z$7)-INDEX(c_TAXy,1,INDEX('Lease Cycles'!$GC$31:$GI$31,1,Z401)+1))+(INDEX(c_INSy,1,Z$7)-INDEX(c_INSy,1,INDEX('Lease Cycles'!$GC$31:$GI$31,1,Z401)+1)))/12)</f>
        <v>0</v>
      </c>
      <c r="AA412" s="28">
        <f>IF(AA411=0,0,AA411*MAX(0,(INDEX(c_CAMy,1,AA$7)-INDEX(c_CAMy,1,INDEX('Lease Cycles'!$GC$31:$GI$31,1,AA401)+1))*(1+'Lease Cycles'!$AK$31)+(INDEX(c_TAXy,1,AA$7)-INDEX(c_TAXy,1,INDEX('Lease Cycles'!$GC$31:$GI$31,1,AA401)+1))+(INDEX(c_INSy,1,AA$7)-INDEX(c_INSy,1,INDEX('Lease Cycles'!$GC$31:$GI$31,1,AA401)+1)))/12)</f>
        <v>0</v>
      </c>
      <c r="AB412" s="28">
        <f>IF(AB411=0,0,AB411*MAX(0,(INDEX(c_CAMy,1,AB$7)-INDEX(c_CAMy,1,INDEX('Lease Cycles'!$GC$31:$GI$31,1,AB401)+1))*(1+'Lease Cycles'!$AK$31)+(INDEX(c_TAXy,1,AB$7)-INDEX(c_TAXy,1,INDEX('Lease Cycles'!$GC$31:$GI$31,1,AB401)+1))+(INDEX(c_INSy,1,AB$7)-INDEX(c_INSy,1,INDEX('Lease Cycles'!$GC$31:$GI$31,1,AB401)+1)))/12)</f>
        <v>0</v>
      </c>
      <c r="AC412" s="28">
        <f>IF(AC411=0,0,AC411*MAX(0,(INDEX(c_CAMy,1,AC$7)-INDEX(c_CAMy,1,INDEX('Lease Cycles'!$GC$31:$GI$31,1,AC401)+1))*(1+'Lease Cycles'!$AK$31)+(INDEX(c_TAXy,1,AC$7)-INDEX(c_TAXy,1,INDEX('Lease Cycles'!$GC$31:$GI$31,1,AC401)+1))+(INDEX(c_INSy,1,AC$7)-INDEX(c_INSy,1,INDEX('Lease Cycles'!$GC$31:$GI$31,1,AC401)+1)))/12)</f>
        <v>0</v>
      </c>
      <c r="AD412" s="28">
        <f>IF(AD411=0,0,AD411*MAX(0,(INDEX(c_CAMy,1,AD$7)-INDEX(c_CAMy,1,INDEX('Lease Cycles'!$GC$31:$GI$31,1,AD401)+1))*(1+'Lease Cycles'!$AK$31)+(INDEX(c_TAXy,1,AD$7)-INDEX(c_TAXy,1,INDEX('Lease Cycles'!$GC$31:$GI$31,1,AD401)+1))+(INDEX(c_INSy,1,AD$7)-INDEX(c_INSy,1,INDEX('Lease Cycles'!$GC$31:$GI$31,1,AD401)+1)))/12)</f>
        <v>0</v>
      </c>
      <c r="AE412" s="28">
        <f>IF(AE411=0,0,AE411*MAX(0,(INDEX(c_CAMy,1,AE$7)-INDEX(c_CAMy,1,INDEX('Lease Cycles'!$GC$31:$GI$31,1,AE401)+1))*(1+'Lease Cycles'!$AK$31)+(INDEX(c_TAXy,1,AE$7)-INDEX(c_TAXy,1,INDEX('Lease Cycles'!$GC$31:$GI$31,1,AE401)+1))+(INDEX(c_INSy,1,AE$7)-INDEX(c_INSy,1,INDEX('Lease Cycles'!$GC$31:$GI$31,1,AE401)+1)))/12)</f>
        <v>0</v>
      </c>
      <c r="AF412" s="28">
        <f>IF(AF411=0,0,AF411*MAX(0,(INDEX(c_CAMy,1,AF$7)-INDEX(c_CAMy,1,INDEX('Lease Cycles'!$GC$31:$GI$31,1,AF401)+1))*(1+'Lease Cycles'!$AK$31)+(INDEX(c_TAXy,1,AF$7)-INDEX(c_TAXy,1,INDEX('Lease Cycles'!$GC$31:$GI$31,1,AF401)+1))+(INDEX(c_INSy,1,AF$7)-INDEX(c_INSy,1,INDEX('Lease Cycles'!$GC$31:$GI$31,1,AF401)+1)))/12)</f>
        <v>0</v>
      </c>
      <c r="AG412" s="28">
        <f>IF(AG411=0,0,AG411*MAX(0,(INDEX(c_CAMy,1,AG$7)-INDEX(c_CAMy,1,INDEX('Lease Cycles'!$GC$31:$GI$31,1,AG401)+1))*(1+'Lease Cycles'!$AK$31)+(INDEX(c_TAXy,1,AG$7)-INDEX(c_TAXy,1,INDEX('Lease Cycles'!$GC$31:$GI$31,1,AG401)+1))+(INDEX(c_INSy,1,AG$7)-INDEX(c_INSy,1,INDEX('Lease Cycles'!$GC$31:$GI$31,1,AG401)+1)))/12)</f>
        <v>0</v>
      </c>
      <c r="AH412" s="28">
        <f>IF(AH411=0,0,AH411*MAX(0,(INDEX(c_CAMy,1,AH$7)-INDEX(c_CAMy,1,INDEX('Lease Cycles'!$GC$31:$GI$31,1,AH401)+1))*(1+'Lease Cycles'!$AK$31)+(INDEX(c_TAXy,1,AH$7)-INDEX(c_TAXy,1,INDEX('Lease Cycles'!$GC$31:$GI$31,1,AH401)+1))+(INDEX(c_INSy,1,AH$7)-INDEX(c_INSy,1,INDEX('Lease Cycles'!$GC$31:$GI$31,1,AH401)+1)))/12)</f>
        <v>0</v>
      </c>
      <c r="AI412" s="28">
        <f>IF(AI411=0,0,AI411*MAX(0,(INDEX(c_CAMy,1,AI$7)-INDEX(c_CAMy,1,INDEX('Lease Cycles'!$GC$31:$GI$31,1,AI401)+1))*(1+'Lease Cycles'!$AK$31)+(INDEX(c_TAXy,1,AI$7)-INDEX(c_TAXy,1,INDEX('Lease Cycles'!$GC$31:$GI$31,1,AI401)+1))+(INDEX(c_INSy,1,AI$7)-INDEX(c_INSy,1,INDEX('Lease Cycles'!$GC$31:$GI$31,1,AI401)+1)))/12)</f>
        <v>0</v>
      </c>
      <c r="AJ412" s="28">
        <f>IF(AJ411=0,0,AJ411*MAX(0,(INDEX(c_CAMy,1,AJ$7)-INDEX(c_CAMy,1,INDEX('Lease Cycles'!$GC$31:$GI$31,1,AJ401)+1))*(1+'Lease Cycles'!$AK$31)+(INDEX(c_TAXy,1,AJ$7)-INDEX(c_TAXy,1,INDEX('Lease Cycles'!$GC$31:$GI$31,1,AJ401)+1))+(INDEX(c_INSy,1,AJ$7)-INDEX(c_INSy,1,INDEX('Lease Cycles'!$GC$31:$GI$31,1,AJ401)+1)))/12)</f>
        <v>0</v>
      </c>
      <c r="AK412" s="28">
        <f>IF(AK411=0,0,AK411*MAX(0,(INDEX(c_CAMy,1,AK$7)-INDEX(c_CAMy,1,INDEX('Lease Cycles'!$GC$31:$GI$31,1,AK401)+1))*(1+'Lease Cycles'!$AK$31)+(INDEX(c_TAXy,1,AK$7)-INDEX(c_TAXy,1,INDEX('Lease Cycles'!$GC$31:$GI$31,1,AK401)+1))+(INDEX(c_INSy,1,AK$7)-INDEX(c_INSy,1,INDEX('Lease Cycles'!$GC$31:$GI$31,1,AK401)+1)))/12)</f>
        <v>0</v>
      </c>
      <c r="AL412" s="28">
        <f>IF(AL411=0,0,AL411*MAX(0,(INDEX(c_CAMy,1,AL$7)-INDEX(c_CAMy,1,INDEX('Lease Cycles'!$GC$31:$GI$31,1,AL401)+1))*(1+'Lease Cycles'!$AK$31)+(INDEX(c_TAXy,1,AL$7)-INDEX(c_TAXy,1,INDEX('Lease Cycles'!$GC$31:$GI$31,1,AL401)+1))+(INDEX(c_INSy,1,AL$7)-INDEX(c_INSy,1,INDEX('Lease Cycles'!$GC$31:$GI$31,1,AL401)+1)))/12)</f>
        <v>0</v>
      </c>
      <c r="AM412" s="28">
        <f>IF(AM411=0,0,AM411*MAX(0,(INDEX(c_CAMy,1,AM$7)-INDEX(c_CAMy,1,INDEX('Lease Cycles'!$GC$31:$GI$31,1,AM401)+1))*(1+'Lease Cycles'!$AK$31)+(INDEX(c_TAXy,1,AM$7)-INDEX(c_TAXy,1,INDEX('Lease Cycles'!$GC$31:$GI$31,1,AM401)+1))+(INDEX(c_INSy,1,AM$7)-INDEX(c_INSy,1,INDEX('Lease Cycles'!$GC$31:$GI$31,1,AM401)+1)))/12)</f>
        <v>0</v>
      </c>
      <c r="AN412" s="28">
        <f>IF(AN411=0,0,AN411*MAX(0,(INDEX(c_CAMy,1,AN$7)-INDEX(c_CAMy,1,INDEX('Lease Cycles'!$GC$31:$GI$31,1,AN401)+1))*(1+'Lease Cycles'!$AK$31)+(INDEX(c_TAXy,1,AN$7)-INDEX(c_TAXy,1,INDEX('Lease Cycles'!$GC$31:$GI$31,1,AN401)+1))+(INDEX(c_INSy,1,AN$7)-INDEX(c_INSy,1,INDEX('Lease Cycles'!$GC$31:$GI$31,1,AN401)+1)))/12)</f>
        <v>0</v>
      </c>
      <c r="AO412" s="28">
        <f>IF(AO411=0,0,AO411*MAX(0,(INDEX(c_CAMy,1,AO$7)-INDEX(c_CAMy,1,INDEX('Lease Cycles'!$GC$31:$GI$31,1,AO401)+1))*(1+'Lease Cycles'!$AK$31)+(INDEX(c_TAXy,1,AO$7)-INDEX(c_TAXy,1,INDEX('Lease Cycles'!$GC$31:$GI$31,1,AO401)+1))+(INDEX(c_INSy,1,AO$7)-INDEX(c_INSy,1,INDEX('Lease Cycles'!$GC$31:$GI$31,1,AO401)+1)))/12)</f>
        <v>0</v>
      </c>
      <c r="AP412" s="28">
        <f>IF(AP411=0,0,AP411*MAX(0,(INDEX(c_CAMy,1,AP$7)-INDEX(c_CAMy,1,INDEX('Lease Cycles'!$GC$31:$GI$31,1,AP401)+1))*(1+'Lease Cycles'!$AK$31)+(INDEX(c_TAXy,1,AP$7)-INDEX(c_TAXy,1,INDEX('Lease Cycles'!$GC$31:$GI$31,1,AP401)+1))+(INDEX(c_INSy,1,AP$7)-INDEX(c_INSy,1,INDEX('Lease Cycles'!$GC$31:$GI$31,1,AP401)+1)))/12)</f>
        <v>0</v>
      </c>
      <c r="AQ412" s="28">
        <f>IF(AQ411=0,0,AQ411*MAX(0,(INDEX(c_CAMy,1,AQ$7)-INDEX(c_CAMy,1,INDEX('Lease Cycles'!$GC$31:$GI$31,1,AQ401)+1))*(1+'Lease Cycles'!$AK$31)+(INDEX(c_TAXy,1,AQ$7)-INDEX(c_TAXy,1,INDEX('Lease Cycles'!$GC$31:$GI$31,1,AQ401)+1))+(INDEX(c_INSy,1,AQ$7)-INDEX(c_INSy,1,INDEX('Lease Cycles'!$GC$31:$GI$31,1,AQ401)+1)))/12)</f>
        <v>0</v>
      </c>
      <c r="AR412" s="28">
        <f>IF(AR411=0,0,AR411*MAX(0,(INDEX(c_CAMy,1,AR$7)-INDEX(c_CAMy,1,INDEX('Lease Cycles'!$GC$31:$GI$31,1,AR401)+1))*(1+'Lease Cycles'!$AK$31)+(INDEX(c_TAXy,1,AR$7)-INDEX(c_TAXy,1,INDEX('Lease Cycles'!$GC$31:$GI$31,1,AR401)+1))+(INDEX(c_INSy,1,AR$7)-INDEX(c_INSy,1,INDEX('Lease Cycles'!$GC$31:$GI$31,1,AR401)+1)))/12)</f>
        <v>0</v>
      </c>
      <c r="AS412" s="28">
        <f>IF(AS411=0,0,AS411*MAX(0,(INDEX(c_CAMy,1,AS$7)-INDEX(c_CAMy,1,INDEX('Lease Cycles'!$GC$31:$GI$31,1,AS401)+1))*(1+'Lease Cycles'!$AK$31)+(INDEX(c_TAXy,1,AS$7)-INDEX(c_TAXy,1,INDEX('Lease Cycles'!$GC$31:$GI$31,1,AS401)+1))+(INDEX(c_INSy,1,AS$7)-INDEX(c_INSy,1,INDEX('Lease Cycles'!$GC$31:$GI$31,1,AS401)+1)))/12)</f>
        <v>0</v>
      </c>
      <c r="AT412" s="28">
        <f>IF(AT411=0,0,AT411*MAX(0,(INDEX(c_CAMy,1,AT$7)-INDEX(c_CAMy,1,INDEX('Lease Cycles'!$GC$31:$GI$31,1,AT401)+1))*(1+'Lease Cycles'!$AK$31)+(INDEX(c_TAXy,1,AT$7)-INDEX(c_TAXy,1,INDEX('Lease Cycles'!$GC$31:$GI$31,1,AT401)+1))+(INDEX(c_INSy,1,AT$7)-INDEX(c_INSy,1,INDEX('Lease Cycles'!$GC$31:$GI$31,1,AT401)+1)))/12)</f>
        <v>0</v>
      </c>
      <c r="AU412" s="28">
        <f>IF(AU411=0,0,AU411*MAX(0,(INDEX(c_CAMy,1,AU$7)-INDEX(c_CAMy,1,INDEX('Lease Cycles'!$GC$31:$GI$31,1,AU401)+1))*(1+'Lease Cycles'!$AK$31)+(INDEX(c_TAXy,1,AU$7)-INDEX(c_TAXy,1,INDEX('Lease Cycles'!$GC$31:$GI$31,1,AU401)+1))+(INDEX(c_INSy,1,AU$7)-INDEX(c_INSy,1,INDEX('Lease Cycles'!$GC$31:$GI$31,1,AU401)+1)))/12)</f>
        <v>0</v>
      </c>
      <c r="AV412" s="28">
        <f>IF(AV411=0,0,AV411*MAX(0,(INDEX(c_CAMy,1,AV$7)-INDEX(c_CAMy,1,INDEX('Lease Cycles'!$GC$31:$GI$31,1,AV401)+1))*(1+'Lease Cycles'!$AK$31)+(INDEX(c_TAXy,1,AV$7)-INDEX(c_TAXy,1,INDEX('Lease Cycles'!$GC$31:$GI$31,1,AV401)+1))+(INDEX(c_INSy,1,AV$7)-INDEX(c_INSy,1,INDEX('Lease Cycles'!$GC$31:$GI$31,1,AV401)+1)))/12)</f>
        <v>0</v>
      </c>
      <c r="AW412" s="28">
        <f>IF(AW411=0,0,AW411*MAX(0,(INDEX(c_CAMy,1,AW$7)-INDEX(c_CAMy,1,INDEX('Lease Cycles'!$GC$31:$GI$31,1,AW401)+1))*(1+'Lease Cycles'!$AK$31)+(INDEX(c_TAXy,1,AW$7)-INDEX(c_TAXy,1,INDEX('Lease Cycles'!$GC$31:$GI$31,1,AW401)+1))+(INDEX(c_INSy,1,AW$7)-INDEX(c_INSy,1,INDEX('Lease Cycles'!$GC$31:$GI$31,1,AW401)+1)))/12)</f>
        <v>0</v>
      </c>
      <c r="AX412" s="28">
        <f>IF(AX411=0,0,AX411*MAX(0,(INDEX(c_CAMy,1,AX$7)-INDEX(c_CAMy,1,INDEX('Lease Cycles'!$GC$31:$GI$31,1,AX401)+1))*(1+'Lease Cycles'!$AK$31)+(INDEX(c_TAXy,1,AX$7)-INDEX(c_TAXy,1,INDEX('Lease Cycles'!$GC$31:$GI$31,1,AX401)+1))+(INDEX(c_INSy,1,AX$7)-INDEX(c_INSy,1,INDEX('Lease Cycles'!$GC$31:$GI$31,1,AX401)+1)))/12)</f>
        <v>0</v>
      </c>
      <c r="AY412" s="28">
        <f>IF(AY411=0,0,AY411*MAX(0,(INDEX(c_CAMy,1,AY$7)-INDEX(c_CAMy,1,INDEX('Lease Cycles'!$GC$31:$GI$31,1,AY401)+1))*(1+'Lease Cycles'!$AK$31)+(INDEX(c_TAXy,1,AY$7)-INDEX(c_TAXy,1,INDEX('Lease Cycles'!$GC$31:$GI$31,1,AY401)+1))+(INDEX(c_INSy,1,AY$7)-INDEX(c_INSy,1,INDEX('Lease Cycles'!$GC$31:$GI$31,1,AY401)+1)))/12)</f>
        <v>0</v>
      </c>
      <c r="AZ412" s="28">
        <f>IF(AZ411=0,0,AZ411*MAX(0,(INDEX(c_CAMy,1,AZ$7)-INDEX(c_CAMy,1,INDEX('Lease Cycles'!$GC$31:$GI$31,1,AZ401)+1))*(1+'Lease Cycles'!$AK$31)+(INDEX(c_TAXy,1,AZ$7)-INDEX(c_TAXy,1,INDEX('Lease Cycles'!$GC$31:$GI$31,1,AZ401)+1))+(INDEX(c_INSy,1,AZ$7)-INDEX(c_INSy,1,INDEX('Lease Cycles'!$GC$31:$GI$31,1,AZ401)+1)))/12)</f>
        <v>0</v>
      </c>
      <c r="BA412" s="28">
        <f>IF(BA411=0,0,BA411*MAX(0,(INDEX(c_CAMy,1,BA$7)-INDEX(c_CAMy,1,INDEX('Lease Cycles'!$GC$31:$GI$31,1,BA401)+1))*(1+'Lease Cycles'!$AK$31)+(INDEX(c_TAXy,1,BA$7)-INDEX(c_TAXy,1,INDEX('Lease Cycles'!$GC$31:$GI$31,1,BA401)+1))+(INDEX(c_INSy,1,BA$7)-INDEX(c_INSy,1,INDEX('Lease Cycles'!$GC$31:$GI$31,1,BA401)+1)))/12)</f>
        <v>0</v>
      </c>
      <c r="BB412" s="28">
        <f>IF(BB411=0,0,BB411*MAX(0,(INDEX(c_CAMy,1,BB$7)-INDEX(c_CAMy,1,INDEX('Lease Cycles'!$GC$31:$GI$31,1,BB401)+1))*(1+'Lease Cycles'!$AK$31)+(INDEX(c_TAXy,1,BB$7)-INDEX(c_TAXy,1,INDEX('Lease Cycles'!$GC$31:$GI$31,1,BB401)+1))+(INDEX(c_INSy,1,BB$7)-INDEX(c_INSy,1,INDEX('Lease Cycles'!$GC$31:$GI$31,1,BB401)+1)))/12)</f>
        <v>0</v>
      </c>
      <c r="BC412" s="28">
        <f>IF(BC411=0,0,BC411*MAX(0,(INDEX(c_CAMy,1,BC$7)-INDEX(c_CAMy,1,INDEX('Lease Cycles'!$GC$31:$GI$31,1,BC401)+1))*(1+'Lease Cycles'!$AK$31)+(INDEX(c_TAXy,1,BC$7)-INDEX(c_TAXy,1,INDEX('Lease Cycles'!$GC$31:$GI$31,1,BC401)+1))+(INDEX(c_INSy,1,BC$7)-INDEX(c_INSy,1,INDEX('Lease Cycles'!$GC$31:$GI$31,1,BC401)+1)))/12)</f>
        <v>0</v>
      </c>
      <c r="BD412" s="28">
        <f>IF(BD411=0,0,BD411*MAX(0,(INDEX(c_CAMy,1,BD$7)-INDEX(c_CAMy,1,INDEX('Lease Cycles'!$GC$31:$GI$31,1,BD401)+1))*(1+'Lease Cycles'!$AK$31)+(INDEX(c_TAXy,1,BD$7)-INDEX(c_TAXy,1,INDEX('Lease Cycles'!$GC$31:$GI$31,1,BD401)+1))+(INDEX(c_INSy,1,BD$7)-INDEX(c_INSy,1,INDEX('Lease Cycles'!$GC$31:$GI$31,1,BD401)+1)))/12)</f>
        <v>0</v>
      </c>
      <c r="BE412" s="28">
        <f>IF(BE411=0,0,BE411*MAX(0,(INDEX(c_CAMy,1,BE$7)-INDEX(c_CAMy,1,INDEX('Lease Cycles'!$GC$31:$GI$31,1,BE401)+1))*(1+'Lease Cycles'!$AK$31)+(INDEX(c_TAXy,1,BE$7)-INDEX(c_TAXy,1,INDEX('Lease Cycles'!$GC$31:$GI$31,1,BE401)+1))+(INDEX(c_INSy,1,BE$7)-INDEX(c_INSy,1,INDEX('Lease Cycles'!$GC$31:$GI$31,1,BE401)+1)))/12)</f>
        <v>0</v>
      </c>
      <c r="BF412" s="28">
        <f>IF(BF411=0,0,BF411*MAX(0,(INDEX(c_CAMy,1,BF$7)-INDEX(c_CAMy,1,INDEX('Lease Cycles'!$GC$31:$GI$31,1,BF401)+1))*(1+'Lease Cycles'!$AK$31)+(INDEX(c_TAXy,1,BF$7)-INDEX(c_TAXy,1,INDEX('Lease Cycles'!$GC$31:$GI$31,1,BF401)+1))+(INDEX(c_INSy,1,BF$7)-INDEX(c_INSy,1,INDEX('Lease Cycles'!$GC$31:$GI$31,1,BF401)+1)))/12)</f>
        <v>0</v>
      </c>
      <c r="BG412" s="28">
        <f>IF(BG411=0,0,BG411*MAX(0,(INDEX(c_CAMy,1,BG$7)-INDEX(c_CAMy,1,INDEX('Lease Cycles'!$GC$31:$GI$31,1,BG401)+1))*(1+'Lease Cycles'!$AK$31)+(INDEX(c_TAXy,1,BG$7)-INDEX(c_TAXy,1,INDEX('Lease Cycles'!$GC$31:$GI$31,1,BG401)+1))+(INDEX(c_INSy,1,BG$7)-INDEX(c_INSy,1,INDEX('Lease Cycles'!$GC$31:$GI$31,1,BG401)+1)))/12)</f>
        <v>0</v>
      </c>
      <c r="BH412" s="28">
        <f>IF(BH411=0,0,BH411*MAX(0,(INDEX(c_CAMy,1,BH$7)-INDEX(c_CAMy,1,INDEX('Lease Cycles'!$GC$31:$GI$31,1,BH401)+1))*(1+'Lease Cycles'!$AK$31)+(INDEX(c_TAXy,1,BH$7)-INDEX(c_TAXy,1,INDEX('Lease Cycles'!$GC$31:$GI$31,1,BH401)+1))+(INDEX(c_INSy,1,BH$7)-INDEX(c_INSy,1,INDEX('Lease Cycles'!$GC$31:$GI$31,1,BH401)+1)))/12)</f>
        <v>0</v>
      </c>
      <c r="BI412" s="28">
        <f>IF(BI411=0,0,BI411*MAX(0,(INDEX(c_CAMy,1,BI$7)-INDEX(c_CAMy,1,INDEX('Lease Cycles'!$GC$31:$GI$31,1,BI401)+1))*(1+'Lease Cycles'!$AK$31)+(INDEX(c_TAXy,1,BI$7)-INDEX(c_TAXy,1,INDEX('Lease Cycles'!$GC$31:$GI$31,1,BI401)+1))+(INDEX(c_INSy,1,BI$7)-INDEX(c_INSy,1,INDEX('Lease Cycles'!$GC$31:$GI$31,1,BI401)+1)))/12)</f>
        <v>0</v>
      </c>
      <c r="BJ412" s="28">
        <f>IF(BJ411=0,0,BJ411*MAX(0,(INDEX(c_CAMy,1,BJ$7)-INDEX(c_CAMy,1,INDEX('Lease Cycles'!$GC$31:$GI$31,1,BJ401)+1))*(1+'Lease Cycles'!$AK$31)+(INDEX(c_TAXy,1,BJ$7)-INDEX(c_TAXy,1,INDEX('Lease Cycles'!$GC$31:$GI$31,1,BJ401)+1))+(INDEX(c_INSy,1,BJ$7)-INDEX(c_INSy,1,INDEX('Lease Cycles'!$GC$31:$GI$31,1,BJ401)+1)))/12)</f>
        <v>0</v>
      </c>
      <c r="BK412" s="28">
        <f>IF(BK411=0,0,BK411*MAX(0,(INDEX(c_CAMy,1,BK$7)-INDEX(c_CAMy,1,INDEX('Lease Cycles'!$GC$31:$GI$31,1,BK401)+1))*(1+'Lease Cycles'!$AK$31)+(INDEX(c_TAXy,1,BK$7)-INDEX(c_TAXy,1,INDEX('Lease Cycles'!$GC$31:$GI$31,1,BK401)+1))+(INDEX(c_INSy,1,BK$7)-INDEX(c_INSy,1,INDEX('Lease Cycles'!$GC$31:$GI$31,1,BK401)+1)))/12)</f>
        <v>0</v>
      </c>
      <c r="BL412" s="28">
        <f>IF(BL411=0,0,BL411*MAX(0,(INDEX(c_CAMy,1,BL$7)-INDEX(c_CAMy,1,INDEX('Lease Cycles'!$GC$31:$GI$31,1,BL401)+1))*(1+'Lease Cycles'!$AK$31)+(INDEX(c_TAXy,1,BL$7)-INDEX(c_TAXy,1,INDEX('Lease Cycles'!$GC$31:$GI$31,1,BL401)+1))+(INDEX(c_INSy,1,BL$7)-INDEX(c_INSy,1,INDEX('Lease Cycles'!$GC$31:$GI$31,1,BL401)+1)))/12)</f>
        <v>0</v>
      </c>
      <c r="BM412" s="28">
        <f>IF(BM411=0,0,BM411*MAX(0,(INDEX(c_CAMy,1,BM$7)-INDEX(c_CAMy,1,INDEX('Lease Cycles'!$GC$31:$GI$31,1,BM401)+1))*(1+'Lease Cycles'!$AK$31)+(INDEX(c_TAXy,1,BM$7)-INDEX(c_TAXy,1,INDEX('Lease Cycles'!$GC$31:$GI$31,1,BM401)+1))+(INDEX(c_INSy,1,BM$7)-INDEX(c_INSy,1,INDEX('Lease Cycles'!$GC$31:$GI$31,1,BM401)+1)))/12)</f>
        <v>0</v>
      </c>
      <c r="BN412" s="28">
        <f>IF(BN411=0,0,BN411*MAX(0,(INDEX(c_CAMy,1,BN$7)-INDEX(c_CAMy,1,INDEX('Lease Cycles'!$GC$31:$GI$31,1,BN401)+1))*(1+'Lease Cycles'!$AK$31)+(INDEX(c_TAXy,1,BN$7)-INDEX(c_TAXy,1,INDEX('Lease Cycles'!$GC$31:$GI$31,1,BN401)+1))+(INDEX(c_INSy,1,BN$7)-INDEX(c_INSy,1,INDEX('Lease Cycles'!$GC$31:$GI$31,1,BN401)+1)))/12)</f>
        <v>0</v>
      </c>
      <c r="BO412" s="28">
        <f>IF(BO411=0,0,BO411*MAX(0,(INDEX(c_CAMy,1,BO$7)-INDEX(c_CAMy,1,INDEX('Lease Cycles'!$GC$31:$GI$31,1,BO401)+1))*(1+'Lease Cycles'!$AK$31)+(INDEX(c_TAXy,1,BO$7)-INDEX(c_TAXy,1,INDEX('Lease Cycles'!$GC$31:$GI$31,1,BO401)+1))+(INDEX(c_INSy,1,BO$7)-INDEX(c_INSy,1,INDEX('Lease Cycles'!$GC$31:$GI$31,1,BO401)+1)))/12)</f>
        <v>0</v>
      </c>
      <c r="BP412" s="28">
        <f>IF(BP411=0,0,BP411*MAX(0,(INDEX(c_CAMy,1,BP$7)-INDEX(c_CAMy,1,INDEX('Lease Cycles'!$GC$31:$GI$31,1,BP401)+1))*(1+'Lease Cycles'!$AK$31)+(INDEX(c_TAXy,1,BP$7)-INDEX(c_TAXy,1,INDEX('Lease Cycles'!$GC$31:$GI$31,1,BP401)+1))+(INDEX(c_INSy,1,BP$7)-INDEX(c_INSy,1,INDEX('Lease Cycles'!$GC$31:$GI$31,1,BP401)+1)))/12)</f>
        <v>0</v>
      </c>
      <c r="BQ412" s="28">
        <f>IF(BQ411=0,0,BQ411*MAX(0,(INDEX(c_CAMy,1,BQ$7)-INDEX(c_CAMy,1,INDEX('Lease Cycles'!$GC$31:$GI$31,1,BQ401)+1))*(1+'Lease Cycles'!$AK$31)+(INDEX(c_TAXy,1,BQ$7)-INDEX(c_TAXy,1,INDEX('Lease Cycles'!$GC$31:$GI$31,1,BQ401)+1))+(INDEX(c_INSy,1,BQ$7)-INDEX(c_INSy,1,INDEX('Lease Cycles'!$GC$31:$GI$31,1,BQ401)+1)))/12)</f>
        <v>0</v>
      </c>
      <c r="BR412" s="28">
        <f>IF(BR411=0,0,BR411*MAX(0,(INDEX(c_CAMy,1,BR$7)-INDEX(c_CAMy,1,INDEX('Lease Cycles'!$GC$31:$GI$31,1,BR401)+1))*(1+'Lease Cycles'!$AK$31)+(INDEX(c_TAXy,1,BR$7)-INDEX(c_TAXy,1,INDEX('Lease Cycles'!$GC$31:$GI$31,1,BR401)+1))+(INDEX(c_INSy,1,BR$7)-INDEX(c_INSy,1,INDEX('Lease Cycles'!$GC$31:$GI$31,1,BR401)+1)))/12)</f>
        <v>0</v>
      </c>
      <c r="BS412" s="28">
        <f>IF(BS411=0,0,BS411*MAX(0,(INDEX(c_CAMy,1,BS$7)-INDEX(c_CAMy,1,INDEX('Lease Cycles'!$GC$31:$GI$31,1,BS401)+1))*(1+'Lease Cycles'!$AK$31)+(INDEX(c_TAXy,1,BS$7)-INDEX(c_TAXy,1,INDEX('Lease Cycles'!$GC$31:$GI$31,1,BS401)+1))+(INDEX(c_INSy,1,BS$7)-INDEX(c_INSy,1,INDEX('Lease Cycles'!$GC$31:$GI$31,1,BS401)+1)))/12)</f>
        <v>0</v>
      </c>
      <c r="BT412" s="28">
        <f>IF(BT411=0,0,BT411*MAX(0,(INDEX(c_CAMy,1,BT$7)-INDEX(c_CAMy,1,INDEX('Lease Cycles'!$GC$31:$GI$31,1,BT401)+1))*(1+'Lease Cycles'!$AK$31)+(INDEX(c_TAXy,1,BT$7)-INDEX(c_TAXy,1,INDEX('Lease Cycles'!$GC$31:$GI$31,1,BT401)+1))+(INDEX(c_INSy,1,BT$7)-INDEX(c_INSy,1,INDEX('Lease Cycles'!$GC$31:$GI$31,1,BT401)+1)))/12)</f>
        <v>0</v>
      </c>
      <c r="BU412" s="28">
        <f>IF(BU411=0,0,BU411*MAX(0,(INDEX(c_CAMy,1,BU$7)-INDEX(c_CAMy,1,INDEX('Lease Cycles'!$GC$31:$GI$31,1,BU401)+1))*(1+'Lease Cycles'!$AK$31)+(INDEX(c_TAXy,1,BU$7)-INDEX(c_TAXy,1,INDEX('Lease Cycles'!$GC$31:$GI$31,1,BU401)+1))+(INDEX(c_INSy,1,BU$7)-INDEX(c_INSy,1,INDEX('Lease Cycles'!$GC$31:$GI$31,1,BU401)+1)))/12)</f>
        <v>0</v>
      </c>
      <c r="BV412" s="28">
        <f>IF(BV411=0,0,BV411*MAX(0,(INDEX(c_CAMy,1,BV$7)-INDEX(c_CAMy,1,INDEX('Lease Cycles'!$GC$31:$GI$31,1,BV401)+1))*(1+'Lease Cycles'!$AK$31)+(INDEX(c_TAXy,1,BV$7)-INDEX(c_TAXy,1,INDEX('Lease Cycles'!$GC$31:$GI$31,1,BV401)+1))+(INDEX(c_INSy,1,BV$7)-INDEX(c_INSy,1,INDEX('Lease Cycles'!$GC$31:$GI$31,1,BV401)+1)))/12)</f>
        <v>0</v>
      </c>
      <c r="BW412" s="28">
        <f>IF(BW411=0,0,BW411*MAX(0,(INDEX(c_CAMy,1,BW$7)-INDEX(c_CAMy,1,INDEX('Lease Cycles'!$GC$31:$GI$31,1,BW401)+1))*(1+'Lease Cycles'!$AK$31)+(INDEX(c_TAXy,1,BW$7)-INDEX(c_TAXy,1,INDEX('Lease Cycles'!$GC$31:$GI$31,1,BW401)+1))+(INDEX(c_INSy,1,BW$7)-INDEX(c_INSy,1,INDEX('Lease Cycles'!$GC$31:$GI$31,1,BW401)+1)))/12)</f>
        <v>0</v>
      </c>
      <c r="BX412" s="28">
        <f>IF(BX411=0,0,BX411*MAX(0,(INDEX(c_CAMy,1,BX$7)-INDEX(c_CAMy,1,INDEX('Lease Cycles'!$GC$31:$GI$31,1,BX401)+1))*(1+'Lease Cycles'!$AK$31)+(INDEX(c_TAXy,1,BX$7)-INDEX(c_TAXy,1,INDEX('Lease Cycles'!$GC$31:$GI$31,1,BX401)+1))+(INDEX(c_INSy,1,BX$7)-INDEX(c_INSy,1,INDEX('Lease Cycles'!$GC$31:$GI$31,1,BX401)+1)))/12)</f>
        <v>0</v>
      </c>
      <c r="BY412" s="28">
        <f>IF(BY411=0,0,BY411*MAX(0,(INDEX(c_CAMy,1,BY$7)-INDEX(c_CAMy,1,INDEX('Lease Cycles'!$GC$31:$GI$31,1,BY401)+1))*(1+'Lease Cycles'!$AK$31)+(INDEX(c_TAXy,1,BY$7)-INDEX(c_TAXy,1,INDEX('Lease Cycles'!$GC$31:$GI$31,1,BY401)+1))+(INDEX(c_INSy,1,BY$7)-INDEX(c_INSy,1,INDEX('Lease Cycles'!$GC$31:$GI$31,1,BY401)+1)))/12)</f>
        <v>0</v>
      </c>
      <c r="BZ412" s="28">
        <f>IF(BZ411=0,0,BZ411*MAX(0,(INDEX(c_CAMy,1,BZ$7)-INDEX(c_CAMy,1,INDEX('Lease Cycles'!$GC$31:$GI$31,1,BZ401)+1))*(1+'Lease Cycles'!$AK$31)+(INDEX(c_TAXy,1,BZ$7)-INDEX(c_TAXy,1,INDEX('Lease Cycles'!$GC$31:$GI$31,1,BZ401)+1))+(INDEX(c_INSy,1,BZ$7)-INDEX(c_INSy,1,INDEX('Lease Cycles'!$GC$31:$GI$31,1,BZ401)+1)))/12)</f>
        <v>0</v>
      </c>
      <c r="CA412" s="28">
        <f>IF(CA411=0,0,CA411*MAX(0,(INDEX(c_CAMy,1,CA$7)-INDEX(c_CAMy,1,INDEX('Lease Cycles'!$GC$31:$GI$31,1,CA401)+1))*(1+'Lease Cycles'!$AK$31)+(INDEX(c_TAXy,1,CA$7)-INDEX(c_TAXy,1,INDEX('Lease Cycles'!$GC$31:$GI$31,1,CA401)+1))+(INDEX(c_INSy,1,CA$7)-INDEX(c_INSy,1,INDEX('Lease Cycles'!$GC$31:$GI$31,1,CA401)+1)))/12)</f>
        <v>0</v>
      </c>
      <c r="CB412" s="28">
        <f>IF(CB411=0,0,CB411*MAX(0,(INDEX(c_CAMy,1,CB$7)-INDEX(c_CAMy,1,INDEX('Lease Cycles'!$GC$31:$GI$31,1,CB401)+1))*(1+'Lease Cycles'!$AK$31)+(INDEX(c_TAXy,1,CB$7)-INDEX(c_TAXy,1,INDEX('Lease Cycles'!$GC$31:$GI$31,1,CB401)+1))+(INDEX(c_INSy,1,CB$7)-INDEX(c_INSy,1,INDEX('Lease Cycles'!$GC$31:$GI$31,1,CB401)+1)))/12)</f>
        <v>0</v>
      </c>
      <c r="CC412" s="28">
        <f>IF(CC411=0,0,CC411*MAX(0,(INDEX(c_CAMy,1,CC$7)-INDEX(c_CAMy,1,INDEX('Lease Cycles'!$GC$31:$GI$31,1,CC401)+1))*(1+'Lease Cycles'!$AK$31)+(INDEX(c_TAXy,1,CC$7)-INDEX(c_TAXy,1,INDEX('Lease Cycles'!$GC$31:$GI$31,1,CC401)+1))+(INDEX(c_INSy,1,CC$7)-INDEX(c_INSy,1,INDEX('Lease Cycles'!$GC$31:$GI$31,1,CC401)+1)))/12)</f>
        <v>0</v>
      </c>
      <c r="CD412" s="28">
        <f>IF(CD411=0,0,CD411*MAX(0,(INDEX(c_CAMy,1,CD$7)-INDEX(c_CAMy,1,INDEX('Lease Cycles'!$GC$31:$GI$31,1,CD401)+1))*(1+'Lease Cycles'!$AK$31)+(INDEX(c_TAXy,1,CD$7)-INDEX(c_TAXy,1,INDEX('Lease Cycles'!$GC$31:$GI$31,1,CD401)+1))+(INDEX(c_INSy,1,CD$7)-INDEX(c_INSy,1,INDEX('Lease Cycles'!$GC$31:$GI$31,1,CD401)+1)))/12)</f>
        <v>0</v>
      </c>
      <c r="CE412" s="28">
        <f>IF(CE411=0,0,CE411*MAX(0,(INDEX(c_CAMy,1,CE$7)-INDEX(c_CAMy,1,INDEX('Lease Cycles'!$GC$31:$GI$31,1,CE401)+1))*(1+'Lease Cycles'!$AK$31)+(INDEX(c_TAXy,1,CE$7)-INDEX(c_TAXy,1,INDEX('Lease Cycles'!$GC$31:$GI$31,1,CE401)+1))+(INDEX(c_INSy,1,CE$7)-INDEX(c_INSy,1,INDEX('Lease Cycles'!$GC$31:$GI$31,1,CE401)+1)))/12)</f>
        <v>0</v>
      </c>
      <c r="CF412" s="28">
        <f>IF(CF411=0,0,CF411*MAX(0,(INDEX(c_CAMy,1,CF$7)-INDEX(c_CAMy,1,INDEX('Lease Cycles'!$GC$31:$GI$31,1,CF401)+1))*(1+'Lease Cycles'!$AK$31)+(INDEX(c_TAXy,1,CF$7)-INDEX(c_TAXy,1,INDEX('Lease Cycles'!$GC$31:$GI$31,1,CF401)+1))+(INDEX(c_INSy,1,CF$7)-INDEX(c_INSy,1,INDEX('Lease Cycles'!$GC$31:$GI$31,1,CF401)+1)))/12)</f>
        <v>0</v>
      </c>
      <c r="CG412" s="28">
        <f>IF(CG411=0,0,CG411*MAX(0,(INDEX(c_CAMy,1,CG$7)-INDEX(c_CAMy,1,INDEX('Lease Cycles'!$GC$31:$GI$31,1,CG401)+1))*(1+'Lease Cycles'!$AK$31)+(INDEX(c_TAXy,1,CG$7)-INDEX(c_TAXy,1,INDEX('Lease Cycles'!$GC$31:$GI$31,1,CG401)+1))+(INDEX(c_INSy,1,CG$7)-INDEX(c_INSy,1,INDEX('Lease Cycles'!$GC$31:$GI$31,1,CG401)+1)))/12)</f>
        <v>0</v>
      </c>
      <c r="CH412" s="28">
        <f>IF(CH411=0,0,CH411*MAX(0,(INDEX(c_CAMy,1,CH$7)-INDEX(c_CAMy,1,INDEX('Lease Cycles'!$GC$31:$GI$31,1,CH401)+1))*(1+'Lease Cycles'!$AK$31)+(INDEX(c_TAXy,1,CH$7)-INDEX(c_TAXy,1,INDEX('Lease Cycles'!$GC$31:$GI$31,1,CH401)+1))+(INDEX(c_INSy,1,CH$7)-INDEX(c_INSy,1,INDEX('Lease Cycles'!$GC$31:$GI$31,1,CH401)+1)))/12)</f>
        <v>0</v>
      </c>
      <c r="CI412" s="28">
        <f>IF(CI411=0,0,CI411*MAX(0,(INDEX(c_CAMy,1,CI$7)-INDEX(c_CAMy,1,INDEX('Lease Cycles'!$GC$31:$GI$31,1,CI401)+1))*(1+'Lease Cycles'!$AK$31)+(INDEX(c_TAXy,1,CI$7)-INDEX(c_TAXy,1,INDEX('Lease Cycles'!$GC$31:$GI$31,1,CI401)+1))+(INDEX(c_INSy,1,CI$7)-INDEX(c_INSy,1,INDEX('Lease Cycles'!$GC$31:$GI$31,1,CI401)+1)))/12)</f>
        <v>0</v>
      </c>
      <c r="CJ412" s="28">
        <f>IF(CJ411=0,0,CJ411*MAX(0,(INDEX(c_CAMy,1,CJ$7)-INDEX(c_CAMy,1,INDEX('Lease Cycles'!$GC$31:$GI$31,1,CJ401)+1))*(1+'Lease Cycles'!$AK$31)+(INDEX(c_TAXy,1,CJ$7)-INDEX(c_TAXy,1,INDEX('Lease Cycles'!$GC$31:$GI$31,1,CJ401)+1))+(INDEX(c_INSy,1,CJ$7)-INDEX(c_INSy,1,INDEX('Lease Cycles'!$GC$31:$GI$31,1,CJ401)+1)))/12)</f>
        <v>0</v>
      </c>
      <c r="CK412" s="28">
        <f>IF(CK411=0,0,CK411*MAX(0,(INDEX(c_CAMy,1,CK$7)-INDEX(c_CAMy,1,INDEX('Lease Cycles'!$GC$31:$GI$31,1,CK401)+1))*(1+'Lease Cycles'!$AK$31)+(INDEX(c_TAXy,1,CK$7)-INDEX(c_TAXy,1,INDEX('Lease Cycles'!$GC$31:$GI$31,1,CK401)+1))+(INDEX(c_INSy,1,CK$7)-INDEX(c_INSy,1,INDEX('Lease Cycles'!$GC$31:$GI$31,1,CK401)+1)))/12)</f>
        <v>0</v>
      </c>
      <c r="CL412" s="28">
        <f>IF(CL411=0,0,CL411*MAX(0,(INDEX(c_CAMy,1,CL$7)-INDEX(c_CAMy,1,INDEX('Lease Cycles'!$GC$31:$GI$31,1,CL401)+1))*(1+'Lease Cycles'!$AK$31)+(INDEX(c_TAXy,1,CL$7)-INDEX(c_TAXy,1,INDEX('Lease Cycles'!$GC$31:$GI$31,1,CL401)+1))+(INDEX(c_INSy,1,CL$7)-INDEX(c_INSy,1,INDEX('Lease Cycles'!$GC$31:$GI$31,1,CL401)+1)))/12)</f>
        <v>0</v>
      </c>
      <c r="CM412" s="28">
        <f>IF(CM411=0,0,CM411*MAX(0,(INDEX(c_CAMy,1,CM$7)-INDEX(c_CAMy,1,INDEX('Lease Cycles'!$GC$31:$GI$31,1,CM401)+1))*(1+'Lease Cycles'!$AK$31)+(INDEX(c_TAXy,1,CM$7)-INDEX(c_TAXy,1,INDEX('Lease Cycles'!$GC$31:$GI$31,1,CM401)+1))+(INDEX(c_INSy,1,CM$7)-INDEX(c_INSy,1,INDEX('Lease Cycles'!$GC$31:$GI$31,1,CM401)+1)))/12)</f>
        <v>0</v>
      </c>
      <c r="CN412" s="28">
        <f>IF(CN411=0,0,CN411*MAX(0,(INDEX(c_CAMy,1,CN$7)-INDEX(c_CAMy,1,INDEX('Lease Cycles'!$GC$31:$GI$31,1,CN401)+1))*(1+'Lease Cycles'!$AK$31)+(INDEX(c_TAXy,1,CN$7)-INDEX(c_TAXy,1,INDEX('Lease Cycles'!$GC$31:$GI$31,1,CN401)+1))+(INDEX(c_INSy,1,CN$7)-INDEX(c_INSy,1,INDEX('Lease Cycles'!$GC$31:$GI$31,1,CN401)+1)))/12)</f>
        <v>0</v>
      </c>
      <c r="CO412" s="28">
        <f>IF(CO411=0,0,CO411*MAX(0,(INDEX(c_CAMy,1,CO$7)-INDEX(c_CAMy,1,INDEX('Lease Cycles'!$GC$31:$GI$31,1,CO401)+1))*(1+'Lease Cycles'!$AK$31)+(INDEX(c_TAXy,1,CO$7)-INDEX(c_TAXy,1,INDEX('Lease Cycles'!$GC$31:$GI$31,1,CO401)+1))+(INDEX(c_INSy,1,CO$7)-INDEX(c_INSy,1,INDEX('Lease Cycles'!$GC$31:$GI$31,1,CO401)+1)))/12)</f>
        <v>0</v>
      </c>
      <c r="CP412" s="28">
        <f>IF(CP411=0,0,CP411*MAX(0,(INDEX(c_CAMy,1,CP$7)-INDEX(c_CAMy,1,INDEX('Lease Cycles'!$GC$31:$GI$31,1,CP401)+1))*(1+'Lease Cycles'!$AK$31)+(INDEX(c_TAXy,1,CP$7)-INDEX(c_TAXy,1,INDEX('Lease Cycles'!$GC$31:$GI$31,1,CP401)+1))+(INDEX(c_INSy,1,CP$7)-INDEX(c_INSy,1,INDEX('Lease Cycles'!$GC$31:$GI$31,1,CP401)+1)))/12)</f>
        <v>0</v>
      </c>
      <c r="CQ412" s="28">
        <f>IF(CQ411=0,0,CQ411*MAX(0,(INDEX(c_CAMy,1,CQ$7)-INDEX(c_CAMy,1,INDEX('Lease Cycles'!$GC$31:$GI$31,1,CQ401)+1))*(1+'Lease Cycles'!$AK$31)+(INDEX(c_TAXy,1,CQ$7)-INDEX(c_TAXy,1,INDEX('Lease Cycles'!$GC$31:$GI$31,1,CQ401)+1))+(INDEX(c_INSy,1,CQ$7)-INDEX(c_INSy,1,INDEX('Lease Cycles'!$GC$31:$GI$31,1,CQ401)+1)))/12)</f>
        <v>0</v>
      </c>
      <c r="CR412" s="28">
        <f>IF(CR411=0,0,CR411*MAX(0,(INDEX(c_CAMy,1,CR$7)-INDEX(c_CAMy,1,INDEX('Lease Cycles'!$GC$31:$GI$31,1,CR401)+1))*(1+'Lease Cycles'!$AK$31)+(INDEX(c_TAXy,1,CR$7)-INDEX(c_TAXy,1,INDEX('Lease Cycles'!$GC$31:$GI$31,1,CR401)+1))+(INDEX(c_INSy,1,CR$7)-INDEX(c_INSy,1,INDEX('Lease Cycles'!$GC$31:$GI$31,1,CR401)+1)))/12)</f>
        <v>0</v>
      </c>
      <c r="CS412" s="28">
        <f>IF(CS411=0,0,CS411*MAX(0,(INDEX(c_CAMy,1,CS$7)-INDEX(c_CAMy,1,INDEX('Lease Cycles'!$GC$31:$GI$31,1,CS401)+1))*(1+'Lease Cycles'!$AK$31)+(INDEX(c_TAXy,1,CS$7)-INDEX(c_TAXy,1,INDEX('Lease Cycles'!$GC$31:$GI$31,1,CS401)+1))+(INDEX(c_INSy,1,CS$7)-INDEX(c_INSy,1,INDEX('Lease Cycles'!$GC$31:$GI$31,1,CS401)+1)))/12)</f>
        <v>0</v>
      </c>
      <c r="CT412" s="28">
        <f>IF(CT411=0,0,CT411*MAX(0,(INDEX(c_CAMy,1,CT$7)-INDEX(c_CAMy,1,INDEX('Lease Cycles'!$GC$31:$GI$31,1,CT401)+1))*(1+'Lease Cycles'!$AK$31)+(INDEX(c_TAXy,1,CT$7)-INDEX(c_TAXy,1,INDEX('Lease Cycles'!$GC$31:$GI$31,1,CT401)+1))+(INDEX(c_INSy,1,CT$7)-INDEX(c_INSy,1,INDEX('Lease Cycles'!$GC$31:$GI$31,1,CT401)+1)))/12)</f>
        <v>0</v>
      </c>
      <c r="CU412" s="28">
        <f>IF(CU411=0,0,CU411*MAX(0,(INDEX(c_CAMy,1,CU$7)-INDEX(c_CAMy,1,INDEX('Lease Cycles'!$GC$31:$GI$31,1,CU401)+1))*(1+'Lease Cycles'!$AK$31)+(INDEX(c_TAXy,1,CU$7)-INDEX(c_TAXy,1,INDEX('Lease Cycles'!$GC$31:$GI$31,1,CU401)+1))+(INDEX(c_INSy,1,CU$7)-INDEX(c_INSy,1,INDEX('Lease Cycles'!$GC$31:$GI$31,1,CU401)+1)))/12)</f>
        <v>0</v>
      </c>
      <c r="CV412" s="28">
        <f>IF(CV411=0,0,CV411*MAX(0,(INDEX(c_CAMy,1,CV$7)-INDEX(c_CAMy,1,INDEX('Lease Cycles'!$GC$31:$GI$31,1,CV401)+1))*(1+'Lease Cycles'!$AK$31)+(INDEX(c_TAXy,1,CV$7)-INDEX(c_TAXy,1,INDEX('Lease Cycles'!$GC$31:$GI$31,1,CV401)+1))+(INDEX(c_INSy,1,CV$7)-INDEX(c_INSy,1,INDEX('Lease Cycles'!$GC$31:$GI$31,1,CV401)+1)))/12)</f>
        <v>0</v>
      </c>
      <c r="CW412" s="28">
        <f>IF(CW411=0,0,CW411*MAX(0,(INDEX(c_CAMy,1,CW$7)-INDEX(c_CAMy,1,INDEX('Lease Cycles'!$GC$31:$GI$31,1,CW401)+1))*(1+'Lease Cycles'!$AK$31)+(INDEX(c_TAXy,1,CW$7)-INDEX(c_TAXy,1,INDEX('Lease Cycles'!$GC$31:$GI$31,1,CW401)+1))+(INDEX(c_INSy,1,CW$7)-INDEX(c_INSy,1,INDEX('Lease Cycles'!$GC$31:$GI$31,1,CW401)+1)))/12)</f>
        <v>0</v>
      </c>
      <c r="CX412" s="28">
        <f>IF(CX411=0,0,CX411*MAX(0,(INDEX(c_CAMy,1,CX$7)-INDEX(c_CAMy,1,INDEX('Lease Cycles'!$GC$31:$GI$31,1,CX401)+1))*(1+'Lease Cycles'!$AK$31)+(INDEX(c_TAXy,1,CX$7)-INDEX(c_TAXy,1,INDEX('Lease Cycles'!$GC$31:$GI$31,1,CX401)+1))+(INDEX(c_INSy,1,CX$7)-INDEX(c_INSy,1,INDEX('Lease Cycles'!$GC$31:$GI$31,1,CX401)+1)))/12)</f>
        <v>0</v>
      </c>
      <c r="CY412" s="28">
        <f>IF(CY411=0,0,CY411*MAX(0,(INDEX(c_CAMy,1,CY$7)-INDEX(c_CAMy,1,INDEX('Lease Cycles'!$GC$31:$GI$31,1,CY401)+1))*(1+'Lease Cycles'!$AK$31)+(INDEX(c_TAXy,1,CY$7)-INDEX(c_TAXy,1,INDEX('Lease Cycles'!$GC$31:$GI$31,1,CY401)+1))+(INDEX(c_INSy,1,CY$7)-INDEX(c_INSy,1,INDEX('Lease Cycles'!$GC$31:$GI$31,1,CY401)+1)))/12)</f>
        <v>0</v>
      </c>
      <c r="CZ412" s="28">
        <f>IF(CZ411=0,0,CZ411*MAX(0,(INDEX(c_CAMy,1,CZ$7)-INDEX(c_CAMy,1,INDEX('Lease Cycles'!$GC$31:$GI$31,1,CZ401)+1))*(1+'Lease Cycles'!$AK$31)+(INDEX(c_TAXy,1,CZ$7)-INDEX(c_TAXy,1,INDEX('Lease Cycles'!$GC$31:$GI$31,1,CZ401)+1))+(INDEX(c_INSy,1,CZ$7)-INDEX(c_INSy,1,INDEX('Lease Cycles'!$GC$31:$GI$31,1,CZ401)+1)))/12)</f>
        <v>0</v>
      </c>
      <c r="DA412" s="28">
        <f>IF(DA411=0,0,DA411*MAX(0,(INDEX(c_CAMy,1,DA$7)-INDEX(c_CAMy,1,INDEX('Lease Cycles'!$GC$31:$GI$31,1,DA401)+1))*(1+'Lease Cycles'!$AK$31)+(INDEX(c_TAXy,1,DA$7)-INDEX(c_TAXy,1,INDEX('Lease Cycles'!$GC$31:$GI$31,1,DA401)+1))+(INDEX(c_INSy,1,DA$7)-INDEX(c_INSy,1,INDEX('Lease Cycles'!$GC$31:$GI$31,1,DA401)+1)))/12)</f>
        <v>0</v>
      </c>
      <c r="DB412" s="28">
        <f>IF(DB411=0,0,DB411*MAX(0,(INDEX(c_CAMy,1,DB$7)-INDEX(c_CAMy,1,INDEX('Lease Cycles'!$GC$31:$GI$31,1,DB401)+1))*(1+'Lease Cycles'!$AK$31)+(INDEX(c_TAXy,1,DB$7)-INDEX(c_TAXy,1,INDEX('Lease Cycles'!$GC$31:$GI$31,1,DB401)+1))+(INDEX(c_INSy,1,DB$7)-INDEX(c_INSy,1,INDEX('Lease Cycles'!$GC$31:$GI$31,1,DB401)+1)))/12)</f>
        <v>0</v>
      </c>
      <c r="DC412" s="28">
        <f>IF(DC411=0,0,DC411*MAX(0,(INDEX(c_CAMy,1,DC$7)-INDEX(c_CAMy,1,INDEX('Lease Cycles'!$GC$31:$GI$31,1,DC401)+1))*(1+'Lease Cycles'!$AK$31)+(INDEX(c_TAXy,1,DC$7)-INDEX(c_TAXy,1,INDEX('Lease Cycles'!$GC$31:$GI$31,1,DC401)+1))+(INDEX(c_INSy,1,DC$7)-INDEX(c_INSy,1,INDEX('Lease Cycles'!$GC$31:$GI$31,1,DC401)+1)))/12)</f>
        <v>0</v>
      </c>
      <c r="DD412" s="28">
        <f>IF(DD411=0,0,DD411*MAX(0,(INDEX(c_CAMy,1,DD$7)-INDEX(c_CAMy,1,INDEX('Lease Cycles'!$GC$31:$GI$31,1,DD401)+1))*(1+'Lease Cycles'!$AK$31)+(INDEX(c_TAXy,1,DD$7)-INDEX(c_TAXy,1,INDEX('Lease Cycles'!$GC$31:$GI$31,1,DD401)+1))+(INDEX(c_INSy,1,DD$7)-INDEX(c_INSy,1,INDEX('Lease Cycles'!$GC$31:$GI$31,1,DD401)+1)))/12)</f>
        <v>0</v>
      </c>
      <c r="DE412" s="28">
        <f>IF(DE411=0,0,DE411*MAX(0,(INDEX(c_CAMy,1,DE$7)-INDEX(c_CAMy,1,INDEX('Lease Cycles'!$GC$31:$GI$31,1,DE401)+1))*(1+'Lease Cycles'!$AK$31)+(INDEX(c_TAXy,1,DE$7)-INDEX(c_TAXy,1,INDEX('Lease Cycles'!$GC$31:$GI$31,1,DE401)+1))+(INDEX(c_INSy,1,DE$7)-INDEX(c_INSy,1,INDEX('Lease Cycles'!$GC$31:$GI$31,1,DE401)+1)))/12)</f>
        <v>0</v>
      </c>
      <c r="DF412" s="28">
        <f>IF(DF411=0,0,DF411*MAX(0,(INDEX(c_CAMy,1,DF$7)-INDEX(c_CAMy,1,INDEX('Lease Cycles'!$GC$31:$GI$31,1,DF401)+1))*(1+'Lease Cycles'!$AK$31)+(INDEX(c_TAXy,1,DF$7)-INDEX(c_TAXy,1,INDEX('Lease Cycles'!$GC$31:$GI$31,1,DF401)+1))+(INDEX(c_INSy,1,DF$7)-INDEX(c_INSy,1,INDEX('Lease Cycles'!$GC$31:$GI$31,1,DF401)+1)))/12)</f>
        <v>0</v>
      </c>
      <c r="DG412" s="28">
        <f>IF(DG411=0,0,DG411*MAX(0,(INDEX(c_CAMy,1,DG$7)-INDEX(c_CAMy,1,INDEX('Lease Cycles'!$GC$31:$GI$31,1,DG401)+1))*(1+'Lease Cycles'!$AK$31)+(INDEX(c_TAXy,1,DG$7)-INDEX(c_TAXy,1,INDEX('Lease Cycles'!$GC$31:$GI$31,1,DG401)+1))+(INDEX(c_INSy,1,DG$7)-INDEX(c_INSy,1,INDEX('Lease Cycles'!$GC$31:$GI$31,1,DG401)+1)))/12)</f>
        <v>0</v>
      </c>
      <c r="DH412" s="28">
        <f>IF(DH411=0,0,DH411*MAX(0,(INDEX(c_CAMy,1,DH$7)-INDEX(c_CAMy,1,INDEX('Lease Cycles'!$GC$31:$GI$31,1,DH401)+1))*(1+'Lease Cycles'!$AK$31)+(INDEX(c_TAXy,1,DH$7)-INDEX(c_TAXy,1,INDEX('Lease Cycles'!$GC$31:$GI$31,1,DH401)+1))+(INDEX(c_INSy,1,DH$7)-INDEX(c_INSy,1,INDEX('Lease Cycles'!$GC$31:$GI$31,1,DH401)+1)))/12)</f>
        <v>0</v>
      </c>
      <c r="DI412" s="28">
        <f>IF(DI411=0,0,DI411*MAX(0,(INDEX(c_CAMy,1,DI$7)-INDEX(c_CAMy,1,INDEX('Lease Cycles'!$GC$31:$GI$31,1,DI401)+1))*(1+'Lease Cycles'!$AK$31)+(INDEX(c_TAXy,1,DI$7)-INDEX(c_TAXy,1,INDEX('Lease Cycles'!$GC$31:$GI$31,1,DI401)+1))+(INDEX(c_INSy,1,DI$7)-INDEX(c_INSy,1,INDEX('Lease Cycles'!$GC$31:$GI$31,1,DI401)+1)))/12)</f>
        <v>0</v>
      </c>
      <c r="DJ412" s="28">
        <f>IF(DJ411=0,0,DJ411*MAX(0,(INDEX(c_CAMy,1,DJ$7)-INDEX(c_CAMy,1,INDEX('Lease Cycles'!$GC$31:$GI$31,1,DJ401)+1))*(1+'Lease Cycles'!$AK$31)+(INDEX(c_TAXy,1,DJ$7)-INDEX(c_TAXy,1,INDEX('Lease Cycles'!$GC$31:$GI$31,1,DJ401)+1))+(INDEX(c_INSy,1,DJ$7)-INDEX(c_INSy,1,INDEX('Lease Cycles'!$GC$31:$GI$31,1,DJ401)+1)))/12)</f>
        <v>0</v>
      </c>
      <c r="DK412" s="28">
        <f>IF(DK411=0,0,DK411*MAX(0,(INDEX(c_CAMy,1,DK$7)-INDEX(c_CAMy,1,INDEX('Lease Cycles'!$GC$31:$GI$31,1,DK401)+1))*(1+'Lease Cycles'!$AK$31)+(INDEX(c_TAXy,1,DK$7)-INDEX(c_TAXy,1,INDEX('Lease Cycles'!$GC$31:$GI$31,1,DK401)+1))+(INDEX(c_INSy,1,DK$7)-INDEX(c_INSy,1,INDEX('Lease Cycles'!$GC$31:$GI$31,1,DK401)+1)))/12)</f>
        <v>0</v>
      </c>
      <c r="DL412" s="28">
        <f>IF(DL411=0,0,DL411*MAX(0,(INDEX(c_CAMy,1,DL$7)-INDEX(c_CAMy,1,INDEX('Lease Cycles'!$GC$31:$GI$31,1,DL401)+1))*(1+'Lease Cycles'!$AK$31)+(INDEX(c_TAXy,1,DL$7)-INDEX(c_TAXy,1,INDEX('Lease Cycles'!$GC$31:$GI$31,1,DL401)+1))+(INDEX(c_INSy,1,DL$7)-INDEX(c_INSy,1,INDEX('Lease Cycles'!$GC$31:$GI$31,1,DL401)+1)))/12)</f>
        <v>0</v>
      </c>
      <c r="DM412" s="28">
        <f>IF(DM411=0,0,DM411*MAX(0,(INDEX(c_CAMy,1,DM$7)-INDEX(c_CAMy,1,INDEX('Lease Cycles'!$GC$31:$GI$31,1,DM401)+1))*(1+'Lease Cycles'!$AK$31)+(INDEX(c_TAXy,1,DM$7)-INDEX(c_TAXy,1,INDEX('Lease Cycles'!$GC$31:$GI$31,1,DM401)+1))+(INDEX(c_INSy,1,DM$7)-INDEX(c_INSy,1,INDEX('Lease Cycles'!$GC$31:$GI$31,1,DM401)+1)))/12)</f>
        <v>0</v>
      </c>
      <c r="DN412" s="28">
        <f>IF(DN411=0,0,DN411*MAX(0,(INDEX(c_CAMy,1,DN$7)-INDEX(c_CAMy,1,INDEX('Lease Cycles'!$GC$31:$GI$31,1,DN401)+1))*(1+'Lease Cycles'!$AK$31)+(INDEX(c_TAXy,1,DN$7)-INDEX(c_TAXy,1,INDEX('Lease Cycles'!$GC$31:$GI$31,1,DN401)+1))+(INDEX(c_INSy,1,DN$7)-INDEX(c_INSy,1,INDEX('Lease Cycles'!$GC$31:$GI$31,1,DN401)+1)))/12)</f>
        <v>0</v>
      </c>
      <c r="DO412" s="28">
        <f>IF(DO411=0,0,DO411*MAX(0,(INDEX(c_CAMy,1,DO$7)-INDEX(c_CAMy,1,INDEX('Lease Cycles'!$GC$31:$GI$31,1,DO401)+1))*(1+'Lease Cycles'!$AK$31)+(INDEX(c_TAXy,1,DO$7)-INDEX(c_TAXy,1,INDEX('Lease Cycles'!$GC$31:$GI$31,1,DO401)+1))+(INDEX(c_INSy,1,DO$7)-INDEX(c_INSy,1,INDEX('Lease Cycles'!$GC$31:$GI$31,1,DO401)+1)))/12)</f>
        <v>0</v>
      </c>
      <c r="DP412" s="28">
        <f>IF(DP411=0,0,DP411*MAX(0,(INDEX(c_CAMy,1,DP$7)-INDEX(c_CAMy,1,INDEX('Lease Cycles'!$GC$31:$GI$31,1,DP401)+1))*(1+'Lease Cycles'!$AK$31)+(INDEX(c_TAXy,1,DP$7)-INDEX(c_TAXy,1,INDEX('Lease Cycles'!$GC$31:$GI$31,1,DP401)+1))+(INDEX(c_INSy,1,DP$7)-INDEX(c_INSy,1,INDEX('Lease Cycles'!$GC$31:$GI$31,1,DP401)+1)))/12)</f>
        <v>0</v>
      </c>
      <c r="DQ412" s="28">
        <f>IF(DQ411=0,0,DQ411*MAX(0,(INDEX(c_CAMy,1,DQ$7)-INDEX(c_CAMy,1,INDEX('Lease Cycles'!$GC$31:$GI$31,1,DQ401)+1))*(1+'Lease Cycles'!$AK$31)+(INDEX(c_TAXy,1,DQ$7)-INDEX(c_TAXy,1,INDEX('Lease Cycles'!$GC$31:$GI$31,1,DQ401)+1))+(INDEX(c_INSy,1,DQ$7)-INDEX(c_INSy,1,INDEX('Lease Cycles'!$GC$31:$GI$31,1,DQ401)+1)))/12)</f>
        <v>0</v>
      </c>
      <c r="DR412" s="28">
        <f>IF(DR411=0,0,DR411*MAX(0,(INDEX(c_CAMy,1,DR$7)-INDEX(c_CAMy,1,INDEX('Lease Cycles'!$GC$31:$GI$31,1,DR401)+1))*(1+'Lease Cycles'!$AK$31)+(INDEX(c_TAXy,1,DR$7)-INDEX(c_TAXy,1,INDEX('Lease Cycles'!$GC$31:$GI$31,1,DR401)+1))+(INDEX(c_INSy,1,DR$7)-INDEX(c_INSy,1,INDEX('Lease Cycles'!$GC$31:$GI$31,1,DR401)+1)))/12)</f>
        <v>0</v>
      </c>
      <c r="DS412" s="28">
        <f>IF(DS411=0,0,DS411*MAX(0,(INDEX(c_CAMy,1,DS$7)-INDEX(c_CAMy,1,INDEX('Lease Cycles'!$GC$31:$GI$31,1,DS401)+1))*(1+'Lease Cycles'!$AK$31)+(INDEX(c_TAXy,1,DS$7)-INDEX(c_TAXy,1,INDEX('Lease Cycles'!$GC$31:$GI$31,1,DS401)+1))+(INDEX(c_INSy,1,DS$7)-INDEX(c_INSy,1,INDEX('Lease Cycles'!$GC$31:$GI$31,1,DS401)+1)))/12)</f>
        <v>0</v>
      </c>
      <c r="DT412" s="28">
        <f>IF(DT411=0,0,DT411*MAX(0,(INDEX(c_CAMy,1,DT$7)-INDEX(c_CAMy,1,INDEX('Lease Cycles'!$GC$31:$GI$31,1,DT401)+1))*(1+'Lease Cycles'!$AK$31)+(INDEX(c_TAXy,1,DT$7)-INDEX(c_TAXy,1,INDEX('Lease Cycles'!$GC$31:$GI$31,1,DT401)+1))+(INDEX(c_INSy,1,DT$7)-INDEX(c_INSy,1,INDEX('Lease Cycles'!$GC$31:$GI$31,1,DT401)+1)))/12)</f>
        <v>0</v>
      </c>
      <c r="DU412" s="28">
        <f>IF(DU411=0,0,DU411*MAX(0,(INDEX(c_CAMy,1,DU$7)-INDEX(c_CAMy,1,INDEX('Lease Cycles'!$GC$31:$GI$31,1,DU401)+1))*(1+'Lease Cycles'!$AK$31)+(INDEX(c_TAXy,1,DU$7)-INDEX(c_TAXy,1,INDEX('Lease Cycles'!$GC$31:$GI$31,1,DU401)+1))+(INDEX(c_INSy,1,DU$7)-INDEX(c_INSy,1,INDEX('Lease Cycles'!$GC$31:$GI$31,1,DU401)+1)))/12)</f>
        <v>0</v>
      </c>
      <c r="DV412" s="28">
        <f>IF(DV411=0,0,DV411*MAX(0,(INDEX(c_CAMy,1,DV$7)-INDEX(c_CAMy,1,INDEX('Lease Cycles'!$GC$31:$GI$31,1,DV401)+1))*(1+'Lease Cycles'!$AK$31)+(INDEX(c_TAXy,1,DV$7)-INDEX(c_TAXy,1,INDEX('Lease Cycles'!$GC$31:$GI$31,1,DV401)+1))+(INDEX(c_INSy,1,DV$7)-INDEX(c_INSy,1,INDEX('Lease Cycles'!$GC$31:$GI$31,1,DV401)+1)))/12)</f>
        <v>0</v>
      </c>
      <c r="DW412" s="28">
        <f>IF(DW411=0,0,DW411*MAX(0,(INDEX(c_CAMy,1,DW$7)-INDEX(c_CAMy,1,INDEX('Lease Cycles'!$GC$31:$GI$31,1,DW401)+1))*(1+'Lease Cycles'!$AK$31)+(INDEX(c_TAXy,1,DW$7)-INDEX(c_TAXy,1,INDEX('Lease Cycles'!$GC$31:$GI$31,1,DW401)+1))+(INDEX(c_INSy,1,DW$7)-INDEX(c_INSy,1,INDEX('Lease Cycles'!$GC$31:$GI$31,1,DW401)+1)))/12)</f>
        <v>0</v>
      </c>
      <c r="DX412" s="28">
        <f>IF(DX411=0,0,DX411*MAX(0,(INDEX(c_CAMy,1,DX$7)-INDEX(c_CAMy,1,INDEX('Lease Cycles'!$GC$31:$GI$31,1,DX401)+1))*(1+'Lease Cycles'!$AK$31)+(INDEX(c_TAXy,1,DX$7)-INDEX(c_TAXy,1,INDEX('Lease Cycles'!$GC$31:$GI$31,1,DX401)+1))+(INDEX(c_INSy,1,DX$7)-INDEX(c_INSy,1,INDEX('Lease Cycles'!$GC$31:$GI$31,1,DX401)+1)))/12)</f>
        <v>0</v>
      </c>
      <c r="DY412" s="28">
        <f>IF(DY411=0,0,DY411*MAX(0,(INDEX(c_CAMy,1,DY$7)-INDEX(c_CAMy,1,INDEX('Lease Cycles'!$GC$31:$GI$31,1,DY401)+1))*(1+'Lease Cycles'!$AK$31)+(INDEX(c_TAXy,1,DY$7)-INDEX(c_TAXy,1,INDEX('Lease Cycles'!$GC$31:$GI$31,1,DY401)+1))+(INDEX(c_INSy,1,DY$7)-INDEX(c_INSy,1,INDEX('Lease Cycles'!$GC$31:$GI$31,1,DY401)+1)))/12)</f>
        <v>0</v>
      </c>
      <c r="DZ412" s="28">
        <f>IF(DZ411=0,0,DZ411*MAX(0,(INDEX(c_CAMy,1,DZ$7)-INDEX(c_CAMy,1,INDEX('Lease Cycles'!$GC$31:$GI$31,1,DZ401)+1))*(1+'Lease Cycles'!$AK$31)+(INDEX(c_TAXy,1,DZ$7)-INDEX(c_TAXy,1,INDEX('Lease Cycles'!$GC$31:$GI$31,1,DZ401)+1))+(INDEX(c_INSy,1,DZ$7)-INDEX(c_INSy,1,INDEX('Lease Cycles'!$GC$31:$GI$31,1,DZ401)+1)))/12)</f>
        <v>0</v>
      </c>
      <c r="EA412" s="28">
        <f>IF(EA411=0,0,EA411*MAX(0,(INDEX(c_CAMy,1,EA$7)-INDEX(c_CAMy,1,INDEX('Lease Cycles'!$GC$31:$GI$31,1,EA401)+1))*(1+'Lease Cycles'!$AK$31)+(INDEX(c_TAXy,1,EA$7)-INDEX(c_TAXy,1,INDEX('Lease Cycles'!$GC$31:$GI$31,1,EA401)+1))+(INDEX(c_INSy,1,EA$7)-INDEX(c_INSy,1,INDEX('Lease Cycles'!$GC$31:$GI$31,1,EA401)+1)))/12)</f>
        <v>0</v>
      </c>
      <c r="EB412" s="28">
        <f>IF(EB411=0,0,EB411*MAX(0,(INDEX(c_CAMy,1,EB$7)-INDEX(c_CAMy,1,INDEX('Lease Cycles'!$GC$31:$GI$31,1,EB401)+1))*(1+'Lease Cycles'!$AK$31)+(INDEX(c_TAXy,1,EB$7)-INDEX(c_TAXy,1,INDEX('Lease Cycles'!$GC$31:$GI$31,1,EB401)+1))+(INDEX(c_INSy,1,EB$7)-INDEX(c_INSy,1,INDEX('Lease Cycles'!$GC$31:$GI$31,1,EB401)+1)))/12)</f>
        <v>0</v>
      </c>
      <c r="EC412" s="28">
        <f>IF(EC411=0,0,EC411*MAX(0,(INDEX(c_CAMy,1,EC$7)-INDEX(c_CAMy,1,INDEX('Lease Cycles'!$GC$31:$GI$31,1,EC401)+1))*(1+'Lease Cycles'!$AK$31)+(INDEX(c_TAXy,1,EC$7)-INDEX(c_TAXy,1,INDEX('Lease Cycles'!$GC$31:$GI$31,1,EC401)+1))+(INDEX(c_INSy,1,EC$7)-INDEX(c_INSy,1,INDEX('Lease Cycles'!$GC$31:$GI$31,1,EC401)+1)))/12)</f>
        <v>0</v>
      </c>
      <c r="ED412" s="28">
        <f>IF(ED411=0,0,ED411*MAX(0,(INDEX(c_CAMy,1,ED$7)-INDEX(c_CAMy,1,INDEX('Lease Cycles'!$GC$31:$GI$31,1,ED401)+1))*(1+'Lease Cycles'!$AK$31)+(INDEX(c_TAXy,1,ED$7)-INDEX(c_TAXy,1,INDEX('Lease Cycles'!$GC$31:$GI$31,1,ED401)+1))+(INDEX(c_INSy,1,ED$7)-INDEX(c_INSy,1,INDEX('Lease Cycles'!$GC$31:$GI$31,1,ED401)+1)))/12)</f>
        <v>0</v>
      </c>
      <c r="EE412" s="28">
        <f>IF(EE411=0,0,EE411*MAX(0,(INDEX(c_CAMy,1,EE$7)-INDEX(c_CAMy,1,INDEX('Lease Cycles'!$GC$31:$GI$31,1,EE401)+1))*(1+'Lease Cycles'!$AK$31)+(INDEX(c_TAXy,1,EE$7)-INDEX(c_TAXy,1,INDEX('Lease Cycles'!$GC$31:$GI$31,1,EE401)+1))+(INDEX(c_INSy,1,EE$7)-INDEX(c_INSy,1,INDEX('Lease Cycles'!$GC$31:$GI$31,1,EE401)+1)))/12)</f>
        <v>0</v>
      </c>
      <c r="EF412" s="28">
        <f>IF(EF411=0,0,EF411*MAX(0,(INDEX(c_CAMy,1,EF$7)-INDEX(c_CAMy,1,INDEX('Lease Cycles'!$GC$31:$GI$31,1,EF401)+1))*(1+'Lease Cycles'!$AK$31)+(INDEX(c_TAXy,1,EF$7)-INDEX(c_TAXy,1,INDEX('Lease Cycles'!$GC$31:$GI$31,1,EF401)+1))+(INDEX(c_INSy,1,EF$7)-INDEX(c_INSy,1,INDEX('Lease Cycles'!$GC$31:$GI$31,1,EF401)+1)))/12)</f>
        <v>0</v>
      </c>
      <c r="EG412" s="28">
        <f>IF(EG411=0,0,EG411*MAX(0,(INDEX(c_CAMy,1,EG$7)-INDEX(c_CAMy,1,INDEX('Lease Cycles'!$GC$31:$GI$31,1,EG401)+1))*(1+'Lease Cycles'!$AK$31)+(INDEX(c_TAXy,1,EG$7)-INDEX(c_TAXy,1,INDEX('Lease Cycles'!$GC$31:$GI$31,1,EG401)+1))+(INDEX(c_INSy,1,EG$7)-INDEX(c_INSy,1,INDEX('Lease Cycles'!$GC$31:$GI$31,1,EG401)+1)))/12)</f>
        <v>0</v>
      </c>
      <c r="EH412" s="28">
        <f>IF(EH411=0,0,EH411*MAX(0,(INDEX(c_CAMy,1,EH$7)-INDEX(c_CAMy,1,INDEX('Lease Cycles'!$GC$31:$GI$31,1,EH401)+1))*(1+'Lease Cycles'!$AK$31)+(INDEX(c_TAXy,1,EH$7)-INDEX(c_TAXy,1,INDEX('Lease Cycles'!$GC$31:$GI$31,1,EH401)+1))+(INDEX(c_INSy,1,EH$7)-INDEX(c_INSy,1,INDEX('Lease Cycles'!$GC$31:$GI$31,1,EH401)+1)))/12)</f>
        <v>0</v>
      </c>
      <c r="EI412" s="28">
        <f>IF(EI411=0,0,EI411*MAX(0,(INDEX(c_CAMy,1,EI$7)-INDEX(c_CAMy,1,INDEX('Lease Cycles'!$GC$31:$GI$31,1,EI401)+1))*(1+'Lease Cycles'!$AK$31)+(INDEX(c_TAXy,1,EI$7)-INDEX(c_TAXy,1,INDEX('Lease Cycles'!$GC$31:$GI$31,1,EI401)+1))+(INDEX(c_INSy,1,EI$7)-INDEX(c_INSy,1,INDEX('Lease Cycles'!$GC$31:$GI$31,1,EI401)+1)))/12)</f>
        <v>0</v>
      </c>
      <c r="EJ412" s="28">
        <f>IF(EJ411=0,0,EJ411*MAX(0,(INDEX(c_CAMy,1,EJ$7)-INDEX(c_CAMy,1,INDEX('Lease Cycles'!$GC$31:$GI$31,1,EJ401)+1))*(1+'Lease Cycles'!$AK$31)+(INDEX(c_TAXy,1,EJ$7)-INDEX(c_TAXy,1,INDEX('Lease Cycles'!$GC$31:$GI$31,1,EJ401)+1))+(INDEX(c_INSy,1,EJ$7)-INDEX(c_INSy,1,INDEX('Lease Cycles'!$GC$31:$GI$31,1,EJ401)+1)))/12)</f>
        <v>0</v>
      </c>
      <c r="EK412" s="28">
        <f>IF(EK411=0,0,EK411*MAX(0,(INDEX(c_CAMy,1,EK$7)-INDEX(c_CAMy,1,INDEX('Lease Cycles'!$GC$31:$GI$31,1,EK401)+1))*(1+'Lease Cycles'!$AK$31)+(INDEX(c_TAXy,1,EK$7)-INDEX(c_TAXy,1,INDEX('Lease Cycles'!$GC$31:$GI$31,1,EK401)+1))+(INDEX(c_INSy,1,EK$7)-INDEX(c_INSy,1,INDEX('Lease Cycles'!$GC$31:$GI$31,1,EK401)+1)))/12)</f>
        <v>0</v>
      </c>
      <c r="EL412" s="28">
        <f>IF(EL411=0,0,EL411*MAX(0,(INDEX(c_CAMy,1,EL$7)-INDEX(c_CAMy,1,INDEX('Lease Cycles'!$GC$31:$GI$31,1,EL401)+1))*(1+'Lease Cycles'!$AK$31)+(INDEX(c_TAXy,1,EL$7)-INDEX(c_TAXy,1,INDEX('Lease Cycles'!$GC$31:$GI$31,1,EL401)+1))+(INDEX(c_INSy,1,EL$7)-INDEX(c_INSy,1,INDEX('Lease Cycles'!$GC$31:$GI$31,1,EL401)+1)))/12)</f>
        <v>0</v>
      </c>
      <c r="EM412" s="28">
        <f>IF(EM411=0,0,EM411*MAX(0,(INDEX(c_CAMy,1,EM$7)-INDEX(c_CAMy,1,INDEX('Lease Cycles'!$GC$31:$GI$31,1,EM401)+1))*(1+'Lease Cycles'!$AK$31)+(INDEX(c_TAXy,1,EM$7)-INDEX(c_TAXy,1,INDEX('Lease Cycles'!$GC$31:$GI$31,1,EM401)+1))+(INDEX(c_INSy,1,EM$7)-INDEX(c_INSy,1,INDEX('Lease Cycles'!$GC$31:$GI$31,1,EM401)+1)))/12)</f>
        <v>0</v>
      </c>
      <c r="EN412" s="28">
        <f>IF(EN411=0,0,EN411*MAX(0,(INDEX(c_CAMy,1,EN$7)-INDEX(c_CAMy,1,INDEX('Lease Cycles'!$GC$31:$GI$31,1,EN401)+1))*(1+'Lease Cycles'!$AK$31)+(INDEX(c_TAXy,1,EN$7)-INDEX(c_TAXy,1,INDEX('Lease Cycles'!$GC$31:$GI$31,1,EN401)+1))+(INDEX(c_INSy,1,EN$7)-INDEX(c_INSy,1,INDEX('Lease Cycles'!$GC$31:$GI$31,1,EN401)+1)))/12)</f>
        <v>0</v>
      </c>
      <c r="EO412" s="28">
        <f>IF(EO411=0,0,EO411*MAX(0,(INDEX(c_CAMy,1,EO$7)-INDEX(c_CAMy,1,INDEX('Lease Cycles'!$GC$31:$GI$31,1,EO401)+1))*(1+'Lease Cycles'!$AK$31)+(INDEX(c_TAXy,1,EO$7)-INDEX(c_TAXy,1,INDEX('Lease Cycles'!$GC$31:$GI$31,1,EO401)+1))+(INDEX(c_INSy,1,EO$7)-INDEX(c_INSy,1,INDEX('Lease Cycles'!$GC$31:$GI$31,1,EO401)+1)))/12)</f>
        <v>0</v>
      </c>
      <c r="EP412" s="28">
        <f>IF(EP411=0,0,EP411*MAX(0,(INDEX(c_CAMy,1,EP$7)-INDEX(c_CAMy,1,INDEX('Lease Cycles'!$GC$31:$GI$31,1,EP401)+1))*(1+'Lease Cycles'!$AK$31)+(INDEX(c_TAXy,1,EP$7)-INDEX(c_TAXy,1,INDEX('Lease Cycles'!$GC$31:$GI$31,1,EP401)+1))+(INDEX(c_INSy,1,EP$7)-INDEX(c_INSy,1,INDEX('Lease Cycles'!$GC$31:$GI$31,1,EP401)+1)))/12)</f>
        <v>0</v>
      </c>
      <c r="EQ412" s="28">
        <f>IF(EQ411=0,0,EQ411*MAX(0,(INDEX(c_CAMy,1,EQ$7)-INDEX(c_CAMy,1,INDEX('Lease Cycles'!$GC$31:$GI$31,1,EQ401)+1))*(1+'Lease Cycles'!$AK$31)+(INDEX(c_TAXy,1,EQ$7)-INDEX(c_TAXy,1,INDEX('Lease Cycles'!$GC$31:$GI$31,1,EQ401)+1))+(INDEX(c_INSy,1,EQ$7)-INDEX(c_INSy,1,INDEX('Lease Cycles'!$GC$31:$GI$31,1,EQ401)+1)))/12)</f>
        <v>0</v>
      </c>
      <c r="ER412" s="28">
        <f>IF(ER411=0,0,ER411*MAX(0,(INDEX(c_CAMy,1,ER$7)-INDEX(c_CAMy,1,INDEX('Lease Cycles'!$GC$31:$GI$31,1,ER401)+1))*(1+'Lease Cycles'!$AK$31)+(INDEX(c_TAXy,1,ER$7)-INDEX(c_TAXy,1,INDEX('Lease Cycles'!$GC$31:$GI$31,1,ER401)+1))+(INDEX(c_INSy,1,ER$7)-INDEX(c_INSy,1,INDEX('Lease Cycles'!$GC$31:$GI$31,1,ER401)+1)))/12)</f>
        <v>0</v>
      </c>
      <c r="ES412" s="28">
        <f>IF(ES411=0,0,ES411*MAX(0,(INDEX(c_CAMy,1,ES$7)-INDEX(c_CAMy,1,INDEX('Lease Cycles'!$GC$31:$GI$31,1,ES401)+1))*(1+'Lease Cycles'!$AK$31)+(INDEX(c_TAXy,1,ES$7)-INDEX(c_TAXy,1,INDEX('Lease Cycles'!$GC$31:$GI$31,1,ES401)+1))+(INDEX(c_INSy,1,ES$7)-INDEX(c_INSy,1,INDEX('Lease Cycles'!$GC$31:$GI$31,1,ES401)+1)))/12)</f>
        <v>0</v>
      </c>
      <c r="ET412" s="28">
        <f>IF(ET411=0,0,ET411*MAX(0,(INDEX(c_CAMy,1,ET$7)-INDEX(c_CAMy,1,INDEX('Lease Cycles'!$GC$31:$GI$31,1,ET401)+1))*(1+'Lease Cycles'!$AK$31)+(INDEX(c_TAXy,1,ET$7)-INDEX(c_TAXy,1,INDEX('Lease Cycles'!$GC$31:$GI$31,1,ET401)+1))+(INDEX(c_INSy,1,ET$7)-INDEX(c_INSy,1,INDEX('Lease Cycles'!$GC$31:$GI$31,1,ET401)+1)))/12)</f>
        <v>0</v>
      </c>
    </row>
    <row r="413">
      <c r="A413" s="103">
        <v>24</v>
      </c>
      <c r="B413" s="23" t="str">
        <f>IF('Lease Cycles'!$B$31="","(empty slot)",'Lease Cycles'!$B$31)</f>
        <v>(empty slot)</v>
      </c>
      <c r="C413" s="23" t="s">
        <v>530</v>
      </c>
      <c r="D413" s="104" t="s">
        <v>531</v>
      </c>
      <c r="E413" s="25">
        <f>'Lease Cycles'!$AL$31</f>
        <v>0</v>
      </c>
      <c r="G413" s="28">
        <f>SUM(S413:AD413)</f>
        <v>0</v>
      </c>
      <c r="H413" s="28">
        <f>SUM(AE413:AP413)</f>
        <v>0</v>
      </c>
      <c r="I413" s="28">
        <f>SUM(AQ413:BB413)</f>
        <v>0</v>
      </c>
      <c r="J413" s="28">
        <f>SUM(BC413:BN413)</f>
        <v>0</v>
      </c>
      <c r="K413" s="28">
        <f>SUM(BO413:BZ413)</f>
        <v>0</v>
      </c>
      <c r="L413" s="28">
        <f>SUM(CA413:CL413)</f>
        <v>0</v>
      </c>
      <c r="M413" s="28">
        <f>SUM(CM413:CX413)</f>
        <v>0</v>
      </c>
      <c r="N413" s="28">
        <f>SUM(CY413:DJ413)</f>
        <v>0</v>
      </c>
      <c r="O413" s="28">
        <f>SUM(DK413:DV413)</f>
        <v>0</v>
      </c>
      <c r="P413" s="28">
        <f>SUM(DW413:EH413)</f>
        <v>0</v>
      </c>
      <c r="Q413" s="28">
        <f>SUM(EI413:ET413)</f>
        <v>0</v>
      </c>
      <c r="S413" s="28">
        <f>SUMIF('Lease Cycles'!$HL$31:$HR$31,S$6,'Lease Cycles'!$HS$31:$HY$31)</f>
        <v>0</v>
      </c>
      <c r="T413" s="28">
        <f>SUMIF('Lease Cycles'!$HL$31:$HR$31,T$6,'Lease Cycles'!$HS$31:$HY$31)</f>
        <v>0</v>
      </c>
      <c r="U413" s="28">
        <f>SUMIF('Lease Cycles'!$HL$31:$HR$31,U$6,'Lease Cycles'!$HS$31:$HY$31)</f>
        <v>0</v>
      </c>
      <c r="V413" s="28">
        <f>SUMIF('Lease Cycles'!$HL$31:$HR$31,V$6,'Lease Cycles'!$HS$31:$HY$31)</f>
        <v>0</v>
      </c>
      <c r="W413" s="28">
        <f>SUMIF('Lease Cycles'!$HL$31:$HR$31,W$6,'Lease Cycles'!$HS$31:$HY$31)</f>
        <v>0</v>
      </c>
      <c r="X413" s="28">
        <f>SUMIF('Lease Cycles'!$HL$31:$HR$31,X$6,'Lease Cycles'!$HS$31:$HY$31)</f>
        <v>0</v>
      </c>
      <c r="Y413" s="28">
        <f>SUMIF('Lease Cycles'!$HL$31:$HR$31,Y$6,'Lease Cycles'!$HS$31:$HY$31)</f>
        <v>0</v>
      </c>
      <c r="Z413" s="28">
        <f>SUMIF('Lease Cycles'!$HL$31:$HR$31,Z$6,'Lease Cycles'!$HS$31:$HY$31)</f>
        <v>0</v>
      </c>
      <c r="AA413" s="28">
        <f>SUMIF('Lease Cycles'!$HL$31:$HR$31,AA$6,'Lease Cycles'!$HS$31:$HY$31)</f>
        <v>0</v>
      </c>
      <c r="AB413" s="28">
        <f>SUMIF('Lease Cycles'!$HL$31:$HR$31,AB$6,'Lease Cycles'!$HS$31:$HY$31)</f>
        <v>0</v>
      </c>
      <c r="AC413" s="28">
        <f>SUMIF('Lease Cycles'!$HL$31:$HR$31,AC$6,'Lease Cycles'!$HS$31:$HY$31)</f>
        <v>0</v>
      </c>
      <c r="AD413" s="28">
        <f>SUMIF('Lease Cycles'!$HL$31:$HR$31,AD$6,'Lease Cycles'!$HS$31:$HY$31)</f>
        <v>0</v>
      </c>
      <c r="AE413" s="28">
        <f>SUMIF('Lease Cycles'!$HL$31:$HR$31,AE$6,'Lease Cycles'!$HS$31:$HY$31)</f>
        <v>0</v>
      </c>
      <c r="AF413" s="28">
        <f>SUMIF('Lease Cycles'!$HL$31:$HR$31,AF$6,'Lease Cycles'!$HS$31:$HY$31)</f>
        <v>0</v>
      </c>
      <c r="AG413" s="28">
        <f>SUMIF('Lease Cycles'!$HL$31:$HR$31,AG$6,'Lease Cycles'!$HS$31:$HY$31)</f>
        <v>0</v>
      </c>
      <c r="AH413" s="28">
        <f>SUMIF('Lease Cycles'!$HL$31:$HR$31,AH$6,'Lease Cycles'!$HS$31:$HY$31)</f>
        <v>0</v>
      </c>
      <c r="AI413" s="28">
        <f>SUMIF('Lease Cycles'!$HL$31:$HR$31,AI$6,'Lease Cycles'!$HS$31:$HY$31)</f>
        <v>0</v>
      </c>
      <c r="AJ413" s="28">
        <f>SUMIF('Lease Cycles'!$HL$31:$HR$31,AJ$6,'Lease Cycles'!$HS$31:$HY$31)</f>
        <v>0</v>
      </c>
      <c r="AK413" s="28">
        <f>SUMIF('Lease Cycles'!$HL$31:$HR$31,AK$6,'Lease Cycles'!$HS$31:$HY$31)</f>
        <v>0</v>
      </c>
      <c r="AL413" s="28">
        <f>SUMIF('Lease Cycles'!$HL$31:$HR$31,AL$6,'Lease Cycles'!$HS$31:$HY$31)</f>
        <v>0</v>
      </c>
      <c r="AM413" s="28">
        <f>SUMIF('Lease Cycles'!$HL$31:$HR$31,AM$6,'Lease Cycles'!$HS$31:$HY$31)</f>
        <v>0</v>
      </c>
      <c r="AN413" s="28">
        <f>SUMIF('Lease Cycles'!$HL$31:$HR$31,AN$6,'Lease Cycles'!$HS$31:$HY$31)</f>
        <v>0</v>
      </c>
      <c r="AO413" s="28">
        <f>SUMIF('Lease Cycles'!$HL$31:$HR$31,AO$6,'Lease Cycles'!$HS$31:$HY$31)</f>
        <v>0</v>
      </c>
      <c r="AP413" s="28">
        <f>SUMIF('Lease Cycles'!$HL$31:$HR$31,AP$6,'Lease Cycles'!$HS$31:$HY$31)</f>
        <v>0</v>
      </c>
      <c r="AQ413" s="28">
        <f>SUMIF('Lease Cycles'!$HL$31:$HR$31,AQ$6,'Lease Cycles'!$HS$31:$HY$31)</f>
        <v>0</v>
      </c>
      <c r="AR413" s="28">
        <f>SUMIF('Lease Cycles'!$HL$31:$HR$31,AR$6,'Lease Cycles'!$HS$31:$HY$31)</f>
        <v>0</v>
      </c>
      <c r="AS413" s="28">
        <f>SUMIF('Lease Cycles'!$HL$31:$HR$31,AS$6,'Lease Cycles'!$HS$31:$HY$31)</f>
        <v>0</v>
      </c>
      <c r="AT413" s="28">
        <f>SUMIF('Lease Cycles'!$HL$31:$HR$31,AT$6,'Lease Cycles'!$HS$31:$HY$31)</f>
        <v>0</v>
      </c>
      <c r="AU413" s="28">
        <f>SUMIF('Lease Cycles'!$HL$31:$HR$31,AU$6,'Lease Cycles'!$HS$31:$HY$31)</f>
        <v>0</v>
      </c>
      <c r="AV413" s="28">
        <f>SUMIF('Lease Cycles'!$HL$31:$HR$31,AV$6,'Lease Cycles'!$HS$31:$HY$31)</f>
        <v>0</v>
      </c>
      <c r="AW413" s="28">
        <f>SUMIF('Lease Cycles'!$HL$31:$HR$31,AW$6,'Lease Cycles'!$HS$31:$HY$31)</f>
        <v>0</v>
      </c>
      <c r="AX413" s="28">
        <f>SUMIF('Lease Cycles'!$HL$31:$HR$31,AX$6,'Lease Cycles'!$HS$31:$HY$31)</f>
        <v>0</v>
      </c>
      <c r="AY413" s="28">
        <f>SUMIF('Lease Cycles'!$HL$31:$HR$31,AY$6,'Lease Cycles'!$HS$31:$HY$31)</f>
        <v>0</v>
      </c>
      <c r="AZ413" s="28">
        <f>SUMIF('Lease Cycles'!$HL$31:$HR$31,AZ$6,'Lease Cycles'!$HS$31:$HY$31)</f>
        <v>0</v>
      </c>
      <c r="BA413" s="28">
        <f>SUMIF('Lease Cycles'!$HL$31:$HR$31,BA$6,'Lease Cycles'!$HS$31:$HY$31)</f>
        <v>0</v>
      </c>
      <c r="BB413" s="28">
        <f>SUMIF('Lease Cycles'!$HL$31:$HR$31,BB$6,'Lease Cycles'!$HS$31:$HY$31)</f>
        <v>0</v>
      </c>
      <c r="BC413" s="28">
        <f>SUMIF('Lease Cycles'!$HL$31:$HR$31,BC$6,'Lease Cycles'!$HS$31:$HY$31)</f>
        <v>0</v>
      </c>
      <c r="BD413" s="28">
        <f>SUMIF('Lease Cycles'!$HL$31:$HR$31,BD$6,'Lease Cycles'!$HS$31:$HY$31)</f>
        <v>0</v>
      </c>
      <c r="BE413" s="28">
        <f>SUMIF('Lease Cycles'!$HL$31:$HR$31,BE$6,'Lease Cycles'!$HS$31:$HY$31)</f>
        <v>0</v>
      </c>
      <c r="BF413" s="28">
        <f>SUMIF('Lease Cycles'!$HL$31:$HR$31,BF$6,'Lease Cycles'!$HS$31:$HY$31)</f>
        <v>0</v>
      </c>
      <c r="BG413" s="28">
        <f>SUMIF('Lease Cycles'!$HL$31:$HR$31,BG$6,'Lease Cycles'!$HS$31:$HY$31)</f>
        <v>0</v>
      </c>
      <c r="BH413" s="28">
        <f>SUMIF('Lease Cycles'!$HL$31:$HR$31,BH$6,'Lease Cycles'!$HS$31:$HY$31)</f>
        <v>0</v>
      </c>
      <c r="BI413" s="28">
        <f>SUMIF('Lease Cycles'!$HL$31:$HR$31,BI$6,'Lease Cycles'!$HS$31:$HY$31)</f>
        <v>0</v>
      </c>
      <c r="BJ413" s="28">
        <f>SUMIF('Lease Cycles'!$HL$31:$HR$31,BJ$6,'Lease Cycles'!$HS$31:$HY$31)</f>
        <v>0</v>
      </c>
      <c r="BK413" s="28">
        <f>SUMIF('Lease Cycles'!$HL$31:$HR$31,BK$6,'Lease Cycles'!$HS$31:$HY$31)</f>
        <v>0</v>
      </c>
      <c r="BL413" s="28">
        <f>SUMIF('Lease Cycles'!$HL$31:$HR$31,BL$6,'Lease Cycles'!$HS$31:$HY$31)</f>
        <v>0</v>
      </c>
      <c r="BM413" s="28">
        <f>SUMIF('Lease Cycles'!$HL$31:$HR$31,BM$6,'Lease Cycles'!$HS$31:$HY$31)</f>
        <v>0</v>
      </c>
      <c r="BN413" s="28">
        <f>SUMIF('Lease Cycles'!$HL$31:$HR$31,BN$6,'Lease Cycles'!$HS$31:$HY$31)</f>
        <v>0</v>
      </c>
      <c r="BO413" s="28">
        <f>SUMIF('Lease Cycles'!$HL$31:$HR$31,BO$6,'Lease Cycles'!$HS$31:$HY$31)</f>
        <v>0</v>
      </c>
      <c r="BP413" s="28">
        <f>SUMIF('Lease Cycles'!$HL$31:$HR$31,BP$6,'Lease Cycles'!$HS$31:$HY$31)</f>
        <v>0</v>
      </c>
      <c r="BQ413" s="28">
        <f>SUMIF('Lease Cycles'!$HL$31:$HR$31,BQ$6,'Lease Cycles'!$HS$31:$HY$31)</f>
        <v>0</v>
      </c>
      <c r="BR413" s="28">
        <f>SUMIF('Lease Cycles'!$HL$31:$HR$31,BR$6,'Lease Cycles'!$HS$31:$HY$31)</f>
        <v>0</v>
      </c>
      <c r="BS413" s="28">
        <f>SUMIF('Lease Cycles'!$HL$31:$HR$31,BS$6,'Lease Cycles'!$HS$31:$HY$31)</f>
        <v>0</v>
      </c>
      <c r="BT413" s="28">
        <f>SUMIF('Lease Cycles'!$HL$31:$HR$31,BT$6,'Lease Cycles'!$HS$31:$HY$31)</f>
        <v>0</v>
      </c>
      <c r="BU413" s="28">
        <f>SUMIF('Lease Cycles'!$HL$31:$HR$31,BU$6,'Lease Cycles'!$HS$31:$HY$31)</f>
        <v>0</v>
      </c>
      <c r="BV413" s="28">
        <f>SUMIF('Lease Cycles'!$HL$31:$HR$31,BV$6,'Lease Cycles'!$HS$31:$HY$31)</f>
        <v>0</v>
      </c>
      <c r="BW413" s="28">
        <f>SUMIF('Lease Cycles'!$HL$31:$HR$31,BW$6,'Lease Cycles'!$HS$31:$HY$31)</f>
        <v>0</v>
      </c>
      <c r="BX413" s="28">
        <f>SUMIF('Lease Cycles'!$HL$31:$HR$31,BX$6,'Lease Cycles'!$HS$31:$HY$31)</f>
        <v>0</v>
      </c>
      <c r="BY413" s="28">
        <f>SUMIF('Lease Cycles'!$HL$31:$HR$31,BY$6,'Lease Cycles'!$HS$31:$HY$31)</f>
        <v>0</v>
      </c>
      <c r="BZ413" s="28">
        <f>SUMIF('Lease Cycles'!$HL$31:$HR$31,BZ$6,'Lease Cycles'!$HS$31:$HY$31)</f>
        <v>0</v>
      </c>
      <c r="CA413" s="28">
        <f>SUMIF('Lease Cycles'!$HL$31:$HR$31,CA$6,'Lease Cycles'!$HS$31:$HY$31)</f>
        <v>0</v>
      </c>
      <c r="CB413" s="28">
        <f>SUMIF('Lease Cycles'!$HL$31:$HR$31,CB$6,'Lease Cycles'!$HS$31:$HY$31)</f>
        <v>0</v>
      </c>
      <c r="CC413" s="28">
        <f>SUMIF('Lease Cycles'!$HL$31:$HR$31,CC$6,'Lease Cycles'!$HS$31:$HY$31)</f>
        <v>0</v>
      </c>
      <c r="CD413" s="28">
        <f>SUMIF('Lease Cycles'!$HL$31:$HR$31,CD$6,'Lease Cycles'!$HS$31:$HY$31)</f>
        <v>0</v>
      </c>
      <c r="CE413" s="28">
        <f>SUMIF('Lease Cycles'!$HL$31:$HR$31,CE$6,'Lease Cycles'!$HS$31:$HY$31)</f>
        <v>0</v>
      </c>
      <c r="CF413" s="28">
        <f>SUMIF('Lease Cycles'!$HL$31:$HR$31,CF$6,'Lease Cycles'!$HS$31:$HY$31)</f>
        <v>0</v>
      </c>
      <c r="CG413" s="28">
        <f>SUMIF('Lease Cycles'!$HL$31:$HR$31,CG$6,'Lease Cycles'!$HS$31:$HY$31)</f>
        <v>0</v>
      </c>
      <c r="CH413" s="28">
        <f>SUMIF('Lease Cycles'!$HL$31:$HR$31,CH$6,'Lease Cycles'!$HS$31:$HY$31)</f>
        <v>0</v>
      </c>
      <c r="CI413" s="28">
        <f>SUMIF('Lease Cycles'!$HL$31:$HR$31,CI$6,'Lease Cycles'!$HS$31:$HY$31)</f>
        <v>0</v>
      </c>
      <c r="CJ413" s="28">
        <f>SUMIF('Lease Cycles'!$HL$31:$HR$31,CJ$6,'Lease Cycles'!$HS$31:$HY$31)</f>
        <v>0</v>
      </c>
      <c r="CK413" s="28">
        <f>SUMIF('Lease Cycles'!$HL$31:$HR$31,CK$6,'Lease Cycles'!$HS$31:$HY$31)</f>
        <v>0</v>
      </c>
      <c r="CL413" s="28">
        <f>SUMIF('Lease Cycles'!$HL$31:$HR$31,CL$6,'Lease Cycles'!$HS$31:$HY$31)</f>
        <v>0</v>
      </c>
      <c r="CM413" s="28">
        <f>SUMIF('Lease Cycles'!$HL$31:$HR$31,CM$6,'Lease Cycles'!$HS$31:$HY$31)</f>
        <v>0</v>
      </c>
      <c r="CN413" s="28">
        <f>SUMIF('Lease Cycles'!$HL$31:$HR$31,CN$6,'Lease Cycles'!$HS$31:$HY$31)</f>
        <v>0</v>
      </c>
      <c r="CO413" s="28">
        <f>SUMIF('Lease Cycles'!$HL$31:$HR$31,CO$6,'Lease Cycles'!$HS$31:$HY$31)</f>
        <v>0</v>
      </c>
      <c r="CP413" s="28">
        <f>SUMIF('Lease Cycles'!$HL$31:$HR$31,CP$6,'Lease Cycles'!$HS$31:$HY$31)</f>
        <v>0</v>
      </c>
      <c r="CQ413" s="28">
        <f>SUMIF('Lease Cycles'!$HL$31:$HR$31,CQ$6,'Lease Cycles'!$HS$31:$HY$31)</f>
        <v>0</v>
      </c>
      <c r="CR413" s="28">
        <f>SUMIF('Lease Cycles'!$HL$31:$HR$31,CR$6,'Lease Cycles'!$HS$31:$HY$31)</f>
        <v>0</v>
      </c>
      <c r="CS413" s="28">
        <f>SUMIF('Lease Cycles'!$HL$31:$HR$31,CS$6,'Lease Cycles'!$HS$31:$HY$31)</f>
        <v>0</v>
      </c>
      <c r="CT413" s="28">
        <f>SUMIF('Lease Cycles'!$HL$31:$HR$31,CT$6,'Lease Cycles'!$HS$31:$HY$31)</f>
        <v>0</v>
      </c>
      <c r="CU413" s="28">
        <f>SUMIF('Lease Cycles'!$HL$31:$HR$31,CU$6,'Lease Cycles'!$HS$31:$HY$31)</f>
        <v>0</v>
      </c>
      <c r="CV413" s="28">
        <f>SUMIF('Lease Cycles'!$HL$31:$HR$31,CV$6,'Lease Cycles'!$HS$31:$HY$31)</f>
        <v>0</v>
      </c>
      <c r="CW413" s="28">
        <f>SUMIF('Lease Cycles'!$HL$31:$HR$31,CW$6,'Lease Cycles'!$HS$31:$HY$31)</f>
        <v>0</v>
      </c>
      <c r="CX413" s="28">
        <f>SUMIF('Lease Cycles'!$HL$31:$HR$31,CX$6,'Lease Cycles'!$HS$31:$HY$31)</f>
        <v>0</v>
      </c>
      <c r="CY413" s="28">
        <f>SUMIF('Lease Cycles'!$HL$31:$HR$31,CY$6,'Lease Cycles'!$HS$31:$HY$31)</f>
        <v>0</v>
      </c>
      <c r="CZ413" s="28">
        <f>SUMIF('Lease Cycles'!$HL$31:$HR$31,CZ$6,'Lease Cycles'!$HS$31:$HY$31)</f>
        <v>0</v>
      </c>
      <c r="DA413" s="28">
        <f>SUMIF('Lease Cycles'!$HL$31:$HR$31,DA$6,'Lease Cycles'!$HS$31:$HY$31)</f>
        <v>0</v>
      </c>
      <c r="DB413" s="28">
        <f>SUMIF('Lease Cycles'!$HL$31:$HR$31,DB$6,'Lease Cycles'!$HS$31:$HY$31)</f>
        <v>0</v>
      </c>
      <c r="DC413" s="28">
        <f>SUMIF('Lease Cycles'!$HL$31:$HR$31,DC$6,'Lease Cycles'!$HS$31:$HY$31)</f>
        <v>0</v>
      </c>
      <c r="DD413" s="28">
        <f>SUMIF('Lease Cycles'!$HL$31:$HR$31,DD$6,'Lease Cycles'!$HS$31:$HY$31)</f>
        <v>0</v>
      </c>
      <c r="DE413" s="28">
        <f>SUMIF('Lease Cycles'!$HL$31:$HR$31,DE$6,'Lease Cycles'!$HS$31:$HY$31)</f>
        <v>0</v>
      </c>
      <c r="DF413" s="28">
        <f>SUMIF('Lease Cycles'!$HL$31:$HR$31,DF$6,'Lease Cycles'!$HS$31:$HY$31)</f>
        <v>0</v>
      </c>
      <c r="DG413" s="28">
        <f>SUMIF('Lease Cycles'!$HL$31:$HR$31,DG$6,'Lease Cycles'!$HS$31:$HY$31)</f>
        <v>0</v>
      </c>
      <c r="DH413" s="28">
        <f>SUMIF('Lease Cycles'!$HL$31:$HR$31,DH$6,'Lease Cycles'!$HS$31:$HY$31)</f>
        <v>0</v>
      </c>
      <c r="DI413" s="28">
        <f>SUMIF('Lease Cycles'!$HL$31:$HR$31,DI$6,'Lease Cycles'!$HS$31:$HY$31)</f>
        <v>0</v>
      </c>
      <c r="DJ413" s="28">
        <f>SUMIF('Lease Cycles'!$HL$31:$HR$31,DJ$6,'Lease Cycles'!$HS$31:$HY$31)</f>
        <v>0</v>
      </c>
      <c r="DK413" s="28">
        <f>SUMIF('Lease Cycles'!$HL$31:$HR$31,DK$6,'Lease Cycles'!$HS$31:$HY$31)</f>
        <v>0</v>
      </c>
      <c r="DL413" s="28">
        <f>SUMIF('Lease Cycles'!$HL$31:$HR$31,DL$6,'Lease Cycles'!$HS$31:$HY$31)</f>
        <v>0</v>
      </c>
      <c r="DM413" s="28">
        <f>SUMIF('Lease Cycles'!$HL$31:$HR$31,DM$6,'Lease Cycles'!$HS$31:$HY$31)</f>
        <v>0</v>
      </c>
      <c r="DN413" s="28">
        <f>SUMIF('Lease Cycles'!$HL$31:$HR$31,DN$6,'Lease Cycles'!$HS$31:$HY$31)</f>
        <v>0</v>
      </c>
      <c r="DO413" s="28">
        <f>SUMIF('Lease Cycles'!$HL$31:$HR$31,DO$6,'Lease Cycles'!$HS$31:$HY$31)</f>
        <v>0</v>
      </c>
      <c r="DP413" s="28">
        <f>SUMIF('Lease Cycles'!$HL$31:$HR$31,DP$6,'Lease Cycles'!$HS$31:$HY$31)</f>
        <v>0</v>
      </c>
      <c r="DQ413" s="28">
        <f>SUMIF('Lease Cycles'!$HL$31:$HR$31,DQ$6,'Lease Cycles'!$HS$31:$HY$31)</f>
        <v>0</v>
      </c>
      <c r="DR413" s="28">
        <f>SUMIF('Lease Cycles'!$HL$31:$HR$31,DR$6,'Lease Cycles'!$HS$31:$HY$31)</f>
        <v>0</v>
      </c>
      <c r="DS413" s="28">
        <f>SUMIF('Lease Cycles'!$HL$31:$HR$31,DS$6,'Lease Cycles'!$HS$31:$HY$31)</f>
        <v>0</v>
      </c>
      <c r="DT413" s="28">
        <f>SUMIF('Lease Cycles'!$HL$31:$HR$31,DT$6,'Lease Cycles'!$HS$31:$HY$31)</f>
        <v>0</v>
      </c>
      <c r="DU413" s="28">
        <f>SUMIF('Lease Cycles'!$HL$31:$HR$31,DU$6,'Lease Cycles'!$HS$31:$HY$31)</f>
        <v>0</v>
      </c>
      <c r="DV413" s="28">
        <f>SUMIF('Lease Cycles'!$HL$31:$HR$31,DV$6,'Lease Cycles'!$HS$31:$HY$31)</f>
        <v>0</v>
      </c>
      <c r="DW413" s="28">
        <f>SUMIF('Lease Cycles'!$HL$31:$HR$31,DW$6,'Lease Cycles'!$HS$31:$HY$31)</f>
        <v>0</v>
      </c>
      <c r="DX413" s="28">
        <f>SUMIF('Lease Cycles'!$HL$31:$HR$31,DX$6,'Lease Cycles'!$HS$31:$HY$31)</f>
        <v>0</v>
      </c>
      <c r="DY413" s="28">
        <f>SUMIF('Lease Cycles'!$HL$31:$HR$31,DY$6,'Lease Cycles'!$HS$31:$HY$31)</f>
        <v>0</v>
      </c>
      <c r="DZ413" s="28">
        <f>SUMIF('Lease Cycles'!$HL$31:$HR$31,DZ$6,'Lease Cycles'!$HS$31:$HY$31)</f>
        <v>0</v>
      </c>
      <c r="EA413" s="28">
        <f>SUMIF('Lease Cycles'!$HL$31:$HR$31,EA$6,'Lease Cycles'!$HS$31:$HY$31)</f>
        <v>0</v>
      </c>
      <c r="EB413" s="28">
        <f>SUMIF('Lease Cycles'!$HL$31:$HR$31,EB$6,'Lease Cycles'!$HS$31:$HY$31)</f>
        <v>0</v>
      </c>
      <c r="EC413" s="28">
        <f>SUMIF('Lease Cycles'!$HL$31:$HR$31,EC$6,'Lease Cycles'!$HS$31:$HY$31)</f>
        <v>0</v>
      </c>
      <c r="ED413" s="28">
        <f>SUMIF('Lease Cycles'!$HL$31:$HR$31,ED$6,'Lease Cycles'!$HS$31:$HY$31)</f>
        <v>0</v>
      </c>
      <c r="EE413" s="28">
        <f>SUMIF('Lease Cycles'!$HL$31:$HR$31,EE$6,'Lease Cycles'!$HS$31:$HY$31)</f>
        <v>0</v>
      </c>
      <c r="EF413" s="28">
        <f>SUMIF('Lease Cycles'!$HL$31:$HR$31,EF$6,'Lease Cycles'!$HS$31:$HY$31)</f>
        <v>0</v>
      </c>
      <c r="EG413" s="28">
        <f>SUMIF('Lease Cycles'!$HL$31:$HR$31,EG$6,'Lease Cycles'!$HS$31:$HY$31)</f>
        <v>0</v>
      </c>
      <c r="EH413" s="28">
        <f>SUMIF('Lease Cycles'!$HL$31:$HR$31,EH$6,'Lease Cycles'!$HS$31:$HY$31)</f>
        <v>0</v>
      </c>
      <c r="EI413" s="28">
        <f>SUMIF('Lease Cycles'!$HL$31:$HR$31,EI$6,'Lease Cycles'!$HS$31:$HY$31)</f>
        <v>0</v>
      </c>
      <c r="EJ413" s="28">
        <f>SUMIF('Lease Cycles'!$HL$31:$HR$31,EJ$6,'Lease Cycles'!$HS$31:$HY$31)</f>
        <v>0</v>
      </c>
      <c r="EK413" s="28">
        <f>SUMIF('Lease Cycles'!$HL$31:$HR$31,EK$6,'Lease Cycles'!$HS$31:$HY$31)</f>
        <v>0</v>
      </c>
      <c r="EL413" s="28">
        <f>SUMIF('Lease Cycles'!$HL$31:$HR$31,EL$6,'Lease Cycles'!$HS$31:$HY$31)</f>
        <v>0</v>
      </c>
      <c r="EM413" s="28">
        <f>SUMIF('Lease Cycles'!$HL$31:$HR$31,EM$6,'Lease Cycles'!$HS$31:$HY$31)</f>
        <v>0</v>
      </c>
      <c r="EN413" s="28">
        <f>SUMIF('Lease Cycles'!$HL$31:$HR$31,EN$6,'Lease Cycles'!$HS$31:$HY$31)</f>
        <v>0</v>
      </c>
      <c r="EO413" s="28">
        <f>SUMIF('Lease Cycles'!$HL$31:$HR$31,EO$6,'Lease Cycles'!$HS$31:$HY$31)</f>
        <v>0</v>
      </c>
      <c r="EP413" s="28">
        <f>SUMIF('Lease Cycles'!$HL$31:$HR$31,EP$6,'Lease Cycles'!$HS$31:$HY$31)</f>
        <v>0</v>
      </c>
      <c r="EQ413" s="28">
        <f>SUMIF('Lease Cycles'!$HL$31:$HR$31,EQ$6,'Lease Cycles'!$HS$31:$HY$31)</f>
        <v>0</v>
      </c>
      <c r="ER413" s="28">
        <f>SUMIF('Lease Cycles'!$HL$31:$HR$31,ER$6,'Lease Cycles'!$HS$31:$HY$31)</f>
        <v>0</v>
      </c>
      <c r="ES413" s="28">
        <f>SUMIF('Lease Cycles'!$HL$31:$HR$31,ES$6,'Lease Cycles'!$HS$31:$HY$31)</f>
        <v>0</v>
      </c>
      <c r="ET413" s="28">
        <f>SUMIF('Lease Cycles'!$HL$31:$HR$31,ET$6,'Lease Cycles'!$HS$31:$HY$31)</f>
        <v>0</v>
      </c>
    </row>
    <row r="414">
      <c r="A414" s="103">
        <v>24</v>
      </c>
      <c r="B414" s="23" t="str">
        <f>IF('Lease Cycles'!$B$31="","(empty slot)",'Lease Cycles'!$B$31)</f>
        <v>(empty slot)</v>
      </c>
      <c r="C414" s="23" t="s">
        <v>532</v>
      </c>
      <c r="D414" s="104" t="s">
        <v>533</v>
      </c>
      <c r="E414" s="25">
        <f>'Lease Cycles'!$AL$31</f>
        <v>0</v>
      </c>
      <c r="G414" s="28">
        <f>SUM(S414:AD414)</f>
        <v>0</v>
      </c>
      <c r="H414" s="28">
        <f>SUM(AE414:AP414)</f>
        <v>0</v>
      </c>
      <c r="I414" s="28">
        <f>SUM(AQ414:BB414)</f>
        <v>0</v>
      </c>
      <c r="J414" s="28">
        <f>SUM(BC414:BN414)</f>
        <v>0</v>
      </c>
      <c r="K414" s="28">
        <f>SUM(BO414:BZ414)</f>
        <v>0</v>
      </c>
      <c r="L414" s="28">
        <f>SUM(CA414:CL414)</f>
        <v>0</v>
      </c>
      <c r="M414" s="28">
        <f>SUM(CM414:CX414)</f>
        <v>0</v>
      </c>
      <c r="N414" s="28">
        <f>SUM(CY414:DJ414)</f>
        <v>0</v>
      </c>
      <c r="O414" s="28">
        <f>SUM(DK414:DV414)</f>
        <v>0</v>
      </c>
      <c r="P414" s="28">
        <f>SUM(DW414:EH414)</f>
        <v>0</v>
      </c>
      <c r="Q414" s="28">
        <f>SUM(EI414:ET414)</f>
        <v>0</v>
      </c>
      <c r="S414" s="28">
        <f>SUMIF('Lease Cycles'!$HL$31:$HR$31,S$6,'Lease Cycles'!$HZ$31:$IF$31)</f>
        <v>0</v>
      </c>
      <c r="T414" s="28">
        <f>SUMIF('Lease Cycles'!$HL$31:$HR$31,T$6,'Lease Cycles'!$HZ$31:$IF$31)</f>
        <v>0</v>
      </c>
      <c r="U414" s="28">
        <f>SUMIF('Lease Cycles'!$HL$31:$HR$31,U$6,'Lease Cycles'!$HZ$31:$IF$31)</f>
        <v>0</v>
      </c>
      <c r="V414" s="28">
        <f>SUMIF('Lease Cycles'!$HL$31:$HR$31,V$6,'Lease Cycles'!$HZ$31:$IF$31)</f>
        <v>0</v>
      </c>
      <c r="W414" s="28">
        <f>SUMIF('Lease Cycles'!$HL$31:$HR$31,W$6,'Lease Cycles'!$HZ$31:$IF$31)</f>
        <v>0</v>
      </c>
      <c r="X414" s="28">
        <f>SUMIF('Lease Cycles'!$HL$31:$HR$31,X$6,'Lease Cycles'!$HZ$31:$IF$31)</f>
        <v>0</v>
      </c>
      <c r="Y414" s="28">
        <f>SUMIF('Lease Cycles'!$HL$31:$HR$31,Y$6,'Lease Cycles'!$HZ$31:$IF$31)</f>
        <v>0</v>
      </c>
      <c r="Z414" s="28">
        <f>SUMIF('Lease Cycles'!$HL$31:$HR$31,Z$6,'Lease Cycles'!$HZ$31:$IF$31)</f>
        <v>0</v>
      </c>
      <c r="AA414" s="28">
        <f>SUMIF('Lease Cycles'!$HL$31:$HR$31,AA$6,'Lease Cycles'!$HZ$31:$IF$31)</f>
        <v>0</v>
      </c>
      <c r="AB414" s="28">
        <f>SUMIF('Lease Cycles'!$HL$31:$HR$31,AB$6,'Lease Cycles'!$HZ$31:$IF$31)</f>
        <v>0</v>
      </c>
      <c r="AC414" s="28">
        <f>SUMIF('Lease Cycles'!$HL$31:$HR$31,AC$6,'Lease Cycles'!$HZ$31:$IF$31)</f>
        <v>0</v>
      </c>
      <c r="AD414" s="28">
        <f>SUMIF('Lease Cycles'!$HL$31:$HR$31,AD$6,'Lease Cycles'!$HZ$31:$IF$31)</f>
        <v>0</v>
      </c>
      <c r="AE414" s="28">
        <f>SUMIF('Lease Cycles'!$HL$31:$HR$31,AE$6,'Lease Cycles'!$HZ$31:$IF$31)</f>
        <v>0</v>
      </c>
      <c r="AF414" s="28">
        <f>SUMIF('Lease Cycles'!$HL$31:$HR$31,AF$6,'Lease Cycles'!$HZ$31:$IF$31)</f>
        <v>0</v>
      </c>
      <c r="AG414" s="28">
        <f>SUMIF('Lease Cycles'!$HL$31:$HR$31,AG$6,'Lease Cycles'!$HZ$31:$IF$31)</f>
        <v>0</v>
      </c>
      <c r="AH414" s="28">
        <f>SUMIF('Lease Cycles'!$HL$31:$HR$31,AH$6,'Lease Cycles'!$HZ$31:$IF$31)</f>
        <v>0</v>
      </c>
      <c r="AI414" s="28">
        <f>SUMIF('Lease Cycles'!$HL$31:$HR$31,AI$6,'Lease Cycles'!$HZ$31:$IF$31)</f>
        <v>0</v>
      </c>
      <c r="AJ414" s="28">
        <f>SUMIF('Lease Cycles'!$HL$31:$HR$31,AJ$6,'Lease Cycles'!$HZ$31:$IF$31)</f>
        <v>0</v>
      </c>
      <c r="AK414" s="28">
        <f>SUMIF('Lease Cycles'!$HL$31:$HR$31,AK$6,'Lease Cycles'!$HZ$31:$IF$31)</f>
        <v>0</v>
      </c>
      <c r="AL414" s="28">
        <f>SUMIF('Lease Cycles'!$HL$31:$HR$31,AL$6,'Lease Cycles'!$HZ$31:$IF$31)</f>
        <v>0</v>
      </c>
      <c r="AM414" s="28">
        <f>SUMIF('Lease Cycles'!$HL$31:$HR$31,AM$6,'Lease Cycles'!$HZ$31:$IF$31)</f>
        <v>0</v>
      </c>
      <c r="AN414" s="28">
        <f>SUMIF('Lease Cycles'!$HL$31:$HR$31,AN$6,'Lease Cycles'!$HZ$31:$IF$31)</f>
        <v>0</v>
      </c>
      <c r="AO414" s="28">
        <f>SUMIF('Lease Cycles'!$HL$31:$HR$31,AO$6,'Lease Cycles'!$HZ$31:$IF$31)</f>
        <v>0</v>
      </c>
      <c r="AP414" s="28">
        <f>SUMIF('Lease Cycles'!$HL$31:$HR$31,AP$6,'Lease Cycles'!$HZ$31:$IF$31)</f>
        <v>0</v>
      </c>
      <c r="AQ414" s="28">
        <f>SUMIF('Lease Cycles'!$HL$31:$HR$31,AQ$6,'Lease Cycles'!$HZ$31:$IF$31)</f>
        <v>0</v>
      </c>
      <c r="AR414" s="28">
        <f>SUMIF('Lease Cycles'!$HL$31:$HR$31,AR$6,'Lease Cycles'!$HZ$31:$IF$31)</f>
        <v>0</v>
      </c>
      <c r="AS414" s="28">
        <f>SUMIF('Lease Cycles'!$HL$31:$HR$31,AS$6,'Lease Cycles'!$HZ$31:$IF$31)</f>
        <v>0</v>
      </c>
      <c r="AT414" s="28">
        <f>SUMIF('Lease Cycles'!$HL$31:$HR$31,AT$6,'Lease Cycles'!$HZ$31:$IF$31)</f>
        <v>0</v>
      </c>
      <c r="AU414" s="28">
        <f>SUMIF('Lease Cycles'!$HL$31:$HR$31,AU$6,'Lease Cycles'!$HZ$31:$IF$31)</f>
        <v>0</v>
      </c>
      <c r="AV414" s="28">
        <f>SUMIF('Lease Cycles'!$HL$31:$HR$31,AV$6,'Lease Cycles'!$HZ$31:$IF$31)</f>
        <v>0</v>
      </c>
      <c r="AW414" s="28">
        <f>SUMIF('Lease Cycles'!$HL$31:$HR$31,AW$6,'Lease Cycles'!$HZ$31:$IF$31)</f>
        <v>0</v>
      </c>
      <c r="AX414" s="28">
        <f>SUMIF('Lease Cycles'!$HL$31:$HR$31,AX$6,'Lease Cycles'!$HZ$31:$IF$31)</f>
        <v>0</v>
      </c>
      <c r="AY414" s="28">
        <f>SUMIF('Lease Cycles'!$HL$31:$HR$31,AY$6,'Lease Cycles'!$HZ$31:$IF$31)</f>
        <v>0</v>
      </c>
      <c r="AZ414" s="28">
        <f>SUMIF('Lease Cycles'!$HL$31:$HR$31,AZ$6,'Lease Cycles'!$HZ$31:$IF$31)</f>
        <v>0</v>
      </c>
      <c r="BA414" s="28">
        <f>SUMIF('Lease Cycles'!$HL$31:$HR$31,BA$6,'Lease Cycles'!$HZ$31:$IF$31)</f>
        <v>0</v>
      </c>
      <c r="BB414" s="28">
        <f>SUMIF('Lease Cycles'!$HL$31:$HR$31,BB$6,'Lease Cycles'!$HZ$31:$IF$31)</f>
        <v>0</v>
      </c>
      <c r="BC414" s="28">
        <f>SUMIF('Lease Cycles'!$HL$31:$HR$31,BC$6,'Lease Cycles'!$HZ$31:$IF$31)</f>
        <v>0</v>
      </c>
      <c r="BD414" s="28">
        <f>SUMIF('Lease Cycles'!$HL$31:$HR$31,BD$6,'Lease Cycles'!$HZ$31:$IF$31)</f>
        <v>0</v>
      </c>
      <c r="BE414" s="28">
        <f>SUMIF('Lease Cycles'!$HL$31:$HR$31,BE$6,'Lease Cycles'!$HZ$31:$IF$31)</f>
        <v>0</v>
      </c>
      <c r="BF414" s="28">
        <f>SUMIF('Lease Cycles'!$HL$31:$HR$31,BF$6,'Lease Cycles'!$HZ$31:$IF$31)</f>
        <v>0</v>
      </c>
      <c r="BG414" s="28">
        <f>SUMIF('Lease Cycles'!$HL$31:$HR$31,BG$6,'Lease Cycles'!$HZ$31:$IF$31)</f>
        <v>0</v>
      </c>
      <c r="BH414" s="28">
        <f>SUMIF('Lease Cycles'!$HL$31:$HR$31,BH$6,'Lease Cycles'!$HZ$31:$IF$31)</f>
        <v>0</v>
      </c>
      <c r="BI414" s="28">
        <f>SUMIF('Lease Cycles'!$HL$31:$HR$31,BI$6,'Lease Cycles'!$HZ$31:$IF$31)</f>
        <v>0</v>
      </c>
      <c r="BJ414" s="28">
        <f>SUMIF('Lease Cycles'!$HL$31:$HR$31,BJ$6,'Lease Cycles'!$HZ$31:$IF$31)</f>
        <v>0</v>
      </c>
      <c r="BK414" s="28">
        <f>SUMIF('Lease Cycles'!$HL$31:$HR$31,BK$6,'Lease Cycles'!$HZ$31:$IF$31)</f>
        <v>0</v>
      </c>
      <c r="BL414" s="28">
        <f>SUMIF('Lease Cycles'!$HL$31:$HR$31,BL$6,'Lease Cycles'!$HZ$31:$IF$31)</f>
        <v>0</v>
      </c>
      <c r="BM414" s="28">
        <f>SUMIF('Lease Cycles'!$HL$31:$HR$31,BM$6,'Lease Cycles'!$HZ$31:$IF$31)</f>
        <v>0</v>
      </c>
      <c r="BN414" s="28">
        <f>SUMIF('Lease Cycles'!$HL$31:$HR$31,BN$6,'Lease Cycles'!$HZ$31:$IF$31)</f>
        <v>0</v>
      </c>
      <c r="BO414" s="28">
        <f>SUMIF('Lease Cycles'!$HL$31:$HR$31,BO$6,'Lease Cycles'!$HZ$31:$IF$31)</f>
        <v>0</v>
      </c>
      <c r="BP414" s="28">
        <f>SUMIF('Lease Cycles'!$HL$31:$HR$31,BP$6,'Lease Cycles'!$HZ$31:$IF$31)</f>
        <v>0</v>
      </c>
      <c r="BQ414" s="28">
        <f>SUMIF('Lease Cycles'!$HL$31:$HR$31,BQ$6,'Lease Cycles'!$HZ$31:$IF$31)</f>
        <v>0</v>
      </c>
      <c r="BR414" s="28">
        <f>SUMIF('Lease Cycles'!$HL$31:$HR$31,BR$6,'Lease Cycles'!$HZ$31:$IF$31)</f>
        <v>0</v>
      </c>
      <c r="BS414" s="28">
        <f>SUMIF('Lease Cycles'!$HL$31:$HR$31,BS$6,'Lease Cycles'!$HZ$31:$IF$31)</f>
        <v>0</v>
      </c>
      <c r="BT414" s="28">
        <f>SUMIF('Lease Cycles'!$HL$31:$HR$31,BT$6,'Lease Cycles'!$HZ$31:$IF$31)</f>
        <v>0</v>
      </c>
      <c r="BU414" s="28">
        <f>SUMIF('Lease Cycles'!$HL$31:$HR$31,BU$6,'Lease Cycles'!$HZ$31:$IF$31)</f>
        <v>0</v>
      </c>
      <c r="BV414" s="28">
        <f>SUMIF('Lease Cycles'!$HL$31:$HR$31,BV$6,'Lease Cycles'!$HZ$31:$IF$31)</f>
        <v>0</v>
      </c>
      <c r="BW414" s="28">
        <f>SUMIF('Lease Cycles'!$HL$31:$HR$31,BW$6,'Lease Cycles'!$HZ$31:$IF$31)</f>
        <v>0</v>
      </c>
      <c r="BX414" s="28">
        <f>SUMIF('Lease Cycles'!$HL$31:$HR$31,BX$6,'Lease Cycles'!$HZ$31:$IF$31)</f>
        <v>0</v>
      </c>
      <c r="BY414" s="28">
        <f>SUMIF('Lease Cycles'!$HL$31:$HR$31,BY$6,'Lease Cycles'!$HZ$31:$IF$31)</f>
        <v>0</v>
      </c>
      <c r="BZ414" s="28">
        <f>SUMIF('Lease Cycles'!$HL$31:$HR$31,BZ$6,'Lease Cycles'!$HZ$31:$IF$31)</f>
        <v>0</v>
      </c>
      <c r="CA414" s="28">
        <f>SUMIF('Lease Cycles'!$HL$31:$HR$31,CA$6,'Lease Cycles'!$HZ$31:$IF$31)</f>
        <v>0</v>
      </c>
      <c r="CB414" s="28">
        <f>SUMIF('Lease Cycles'!$HL$31:$HR$31,CB$6,'Lease Cycles'!$HZ$31:$IF$31)</f>
        <v>0</v>
      </c>
      <c r="CC414" s="28">
        <f>SUMIF('Lease Cycles'!$HL$31:$HR$31,CC$6,'Lease Cycles'!$HZ$31:$IF$31)</f>
        <v>0</v>
      </c>
      <c r="CD414" s="28">
        <f>SUMIF('Lease Cycles'!$HL$31:$HR$31,CD$6,'Lease Cycles'!$HZ$31:$IF$31)</f>
        <v>0</v>
      </c>
      <c r="CE414" s="28">
        <f>SUMIF('Lease Cycles'!$HL$31:$HR$31,CE$6,'Lease Cycles'!$HZ$31:$IF$31)</f>
        <v>0</v>
      </c>
      <c r="CF414" s="28">
        <f>SUMIF('Lease Cycles'!$HL$31:$HR$31,CF$6,'Lease Cycles'!$HZ$31:$IF$31)</f>
        <v>0</v>
      </c>
      <c r="CG414" s="28">
        <f>SUMIF('Lease Cycles'!$HL$31:$HR$31,CG$6,'Lease Cycles'!$HZ$31:$IF$31)</f>
        <v>0</v>
      </c>
      <c r="CH414" s="28">
        <f>SUMIF('Lease Cycles'!$HL$31:$HR$31,CH$6,'Lease Cycles'!$HZ$31:$IF$31)</f>
        <v>0</v>
      </c>
      <c r="CI414" s="28">
        <f>SUMIF('Lease Cycles'!$HL$31:$HR$31,CI$6,'Lease Cycles'!$HZ$31:$IF$31)</f>
        <v>0</v>
      </c>
      <c r="CJ414" s="28">
        <f>SUMIF('Lease Cycles'!$HL$31:$HR$31,CJ$6,'Lease Cycles'!$HZ$31:$IF$31)</f>
        <v>0</v>
      </c>
      <c r="CK414" s="28">
        <f>SUMIF('Lease Cycles'!$HL$31:$HR$31,CK$6,'Lease Cycles'!$HZ$31:$IF$31)</f>
        <v>0</v>
      </c>
      <c r="CL414" s="28">
        <f>SUMIF('Lease Cycles'!$HL$31:$HR$31,CL$6,'Lease Cycles'!$HZ$31:$IF$31)</f>
        <v>0</v>
      </c>
      <c r="CM414" s="28">
        <f>SUMIF('Lease Cycles'!$HL$31:$HR$31,CM$6,'Lease Cycles'!$HZ$31:$IF$31)</f>
        <v>0</v>
      </c>
      <c r="CN414" s="28">
        <f>SUMIF('Lease Cycles'!$HL$31:$HR$31,CN$6,'Lease Cycles'!$HZ$31:$IF$31)</f>
        <v>0</v>
      </c>
      <c r="CO414" s="28">
        <f>SUMIF('Lease Cycles'!$HL$31:$HR$31,CO$6,'Lease Cycles'!$HZ$31:$IF$31)</f>
        <v>0</v>
      </c>
      <c r="CP414" s="28">
        <f>SUMIF('Lease Cycles'!$HL$31:$HR$31,CP$6,'Lease Cycles'!$HZ$31:$IF$31)</f>
        <v>0</v>
      </c>
      <c r="CQ414" s="28">
        <f>SUMIF('Lease Cycles'!$HL$31:$HR$31,CQ$6,'Lease Cycles'!$HZ$31:$IF$31)</f>
        <v>0</v>
      </c>
      <c r="CR414" s="28">
        <f>SUMIF('Lease Cycles'!$HL$31:$HR$31,CR$6,'Lease Cycles'!$HZ$31:$IF$31)</f>
        <v>0</v>
      </c>
      <c r="CS414" s="28">
        <f>SUMIF('Lease Cycles'!$HL$31:$HR$31,CS$6,'Lease Cycles'!$HZ$31:$IF$31)</f>
        <v>0</v>
      </c>
      <c r="CT414" s="28">
        <f>SUMIF('Lease Cycles'!$HL$31:$HR$31,CT$6,'Lease Cycles'!$HZ$31:$IF$31)</f>
        <v>0</v>
      </c>
      <c r="CU414" s="28">
        <f>SUMIF('Lease Cycles'!$HL$31:$HR$31,CU$6,'Lease Cycles'!$HZ$31:$IF$31)</f>
        <v>0</v>
      </c>
      <c r="CV414" s="28">
        <f>SUMIF('Lease Cycles'!$HL$31:$HR$31,CV$6,'Lease Cycles'!$HZ$31:$IF$31)</f>
        <v>0</v>
      </c>
      <c r="CW414" s="28">
        <f>SUMIF('Lease Cycles'!$HL$31:$HR$31,CW$6,'Lease Cycles'!$HZ$31:$IF$31)</f>
        <v>0</v>
      </c>
      <c r="CX414" s="28">
        <f>SUMIF('Lease Cycles'!$HL$31:$HR$31,CX$6,'Lease Cycles'!$HZ$31:$IF$31)</f>
        <v>0</v>
      </c>
      <c r="CY414" s="28">
        <f>SUMIF('Lease Cycles'!$HL$31:$HR$31,CY$6,'Lease Cycles'!$HZ$31:$IF$31)</f>
        <v>0</v>
      </c>
      <c r="CZ414" s="28">
        <f>SUMIF('Lease Cycles'!$HL$31:$HR$31,CZ$6,'Lease Cycles'!$HZ$31:$IF$31)</f>
        <v>0</v>
      </c>
      <c r="DA414" s="28">
        <f>SUMIF('Lease Cycles'!$HL$31:$HR$31,DA$6,'Lease Cycles'!$HZ$31:$IF$31)</f>
        <v>0</v>
      </c>
      <c r="DB414" s="28">
        <f>SUMIF('Lease Cycles'!$HL$31:$HR$31,DB$6,'Lease Cycles'!$HZ$31:$IF$31)</f>
        <v>0</v>
      </c>
      <c r="DC414" s="28">
        <f>SUMIF('Lease Cycles'!$HL$31:$HR$31,DC$6,'Lease Cycles'!$HZ$31:$IF$31)</f>
        <v>0</v>
      </c>
      <c r="DD414" s="28">
        <f>SUMIF('Lease Cycles'!$HL$31:$HR$31,DD$6,'Lease Cycles'!$HZ$31:$IF$31)</f>
        <v>0</v>
      </c>
      <c r="DE414" s="28">
        <f>SUMIF('Lease Cycles'!$HL$31:$HR$31,DE$6,'Lease Cycles'!$HZ$31:$IF$31)</f>
        <v>0</v>
      </c>
      <c r="DF414" s="28">
        <f>SUMIF('Lease Cycles'!$HL$31:$HR$31,DF$6,'Lease Cycles'!$HZ$31:$IF$31)</f>
        <v>0</v>
      </c>
      <c r="DG414" s="28">
        <f>SUMIF('Lease Cycles'!$HL$31:$HR$31,DG$6,'Lease Cycles'!$HZ$31:$IF$31)</f>
        <v>0</v>
      </c>
      <c r="DH414" s="28">
        <f>SUMIF('Lease Cycles'!$HL$31:$HR$31,DH$6,'Lease Cycles'!$HZ$31:$IF$31)</f>
        <v>0</v>
      </c>
      <c r="DI414" s="28">
        <f>SUMIF('Lease Cycles'!$HL$31:$HR$31,DI$6,'Lease Cycles'!$HZ$31:$IF$31)</f>
        <v>0</v>
      </c>
      <c r="DJ414" s="28">
        <f>SUMIF('Lease Cycles'!$HL$31:$HR$31,DJ$6,'Lease Cycles'!$HZ$31:$IF$31)</f>
        <v>0</v>
      </c>
      <c r="DK414" s="28">
        <f>SUMIF('Lease Cycles'!$HL$31:$HR$31,DK$6,'Lease Cycles'!$HZ$31:$IF$31)</f>
        <v>0</v>
      </c>
      <c r="DL414" s="28">
        <f>SUMIF('Lease Cycles'!$HL$31:$HR$31,DL$6,'Lease Cycles'!$HZ$31:$IF$31)</f>
        <v>0</v>
      </c>
      <c r="DM414" s="28">
        <f>SUMIF('Lease Cycles'!$HL$31:$HR$31,DM$6,'Lease Cycles'!$HZ$31:$IF$31)</f>
        <v>0</v>
      </c>
      <c r="DN414" s="28">
        <f>SUMIF('Lease Cycles'!$HL$31:$HR$31,DN$6,'Lease Cycles'!$HZ$31:$IF$31)</f>
        <v>0</v>
      </c>
      <c r="DO414" s="28">
        <f>SUMIF('Lease Cycles'!$HL$31:$HR$31,DO$6,'Lease Cycles'!$HZ$31:$IF$31)</f>
        <v>0</v>
      </c>
      <c r="DP414" s="28">
        <f>SUMIF('Lease Cycles'!$HL$31:$HR$31,DP$6,'Lease Cycles'!$HZ$31:$IF$31)</f>
        <v>0</v>
      </c>
      <c r="DQ414" s="28">
        <f>SUMIF('Lease Cycles'!$HL$31:$HR$31,DQ$6,'Lease Cycles'!$HZ$31:$IF$31)</f>
        <v>0</v>
      </c>
      <c r="DR414" s="28">
        <f>SUMIF('Lease Cycles'!$HL$31:$HR$31,DR$6,'Lease Cycles'!$HZ$31:$IF$31)</f>
        <v>0</v>
      </c>
      <c r="DS414" s="28">
        <f>SUMIF('Lease Cycles'!$HL$31:$HR$31,DS$6,'Lease Cycles'!$HZ$31:$IF$31)</f>
        <v>0</v>
      </c>
      <c r="DT414" s="28">
        <f>SUMIF('Lease Cycles'!$HL$31:$HR$31,DT$6,'Lease Cycles'!$HZ$31:$IF$31)</f>
        <v>0</v>
      </c>
      <c r="DU414" s="28">
        <f>SUMIF('Lease Cycles'!$HL$31:$HR$31,DU$6,'Lease Cycles'!$HZ$31:$IF$31)</f>
        <v>0</v>
      </c>
      <c r="DV414" s="28">
        <f>SUMIF('Lease Cycles'!$HL$31:$HR$31,DV$6,'Lease Cycles'!$HZ$31:$IF$31)</f>
        <v>0</v>
      </c>
      <c r="DW414" s="28">
        <f>SUMIF('Lease Cycles'!$HL$31:$HR$31,DW$6,'Lease Cycles'!$HZ$31:$IF$31)</f>
        <v>0</v>
      </c>
      <c r="DX414" s="28">
        <f>SUMIF('Lease Cycles'!$HL$31:$HR$31,DX$6,'Lease Cycles'!$HZ$31:$IF$31)</f>
        <v>0</v>
      </c>
      <c r="DY414" s="28">
        <f>SUMIF('Lease Cycles'!$HL$31:$HR$31,DY$6,'Lease Cycles'!$HZ$31:$IF$31)</f>
        <v>0</v>
      </c>
      <c r="DZ414" s="28">
        <f>SUMIF('Lease Cycles'!$HL$31:$HR$31,DZ$6,'Lease Cycles'!$HZ$31:$IF$31)</f>
        <v>0</v>
      </c>
      <c r="EA414" s="28">
        <f>SUMIF('Lease Cycles'!$HL$31:$HR$31,EA$6,'Lease Cycles'!$HZ$31:$IF$31)</f>
        <v>0</v>
      </c>
      <c r="EB414" s="28">
        <f>SUMIF('Lease Cycles'!$HL$31:$HR$31,EB$6,'Lease Cycles'!$HZ$31:$IF$31)</f>
        <v>0</v>
      </c>
      <c r="EC414" s="28">
        <f>SUMIF('Lease Cycles'!$HL$31:$HR$31,EC$6,'Lease Cycles'!$HZ$31:$IF$31)</f>
        <v>0</v>
      </c>
      <c r="ED414" s="28">
        <f>SUMIF('Lease Cycles'!$HL$31:$HR$31,ED$6,'Lease Cycles'!$HZ$31:$IF$31)</f>
        <v>0</v>
      </c>
      <c r="EE414" s="28">
        <f>SUMIF('Lease Cycles'!$HL$31:$HR$31,EE$6,'Lease Cycles'!$HZ$31:$IF$31)</f>
        <v>0</v>
      </c>
      <c r="EF414" s="28">
        <f>SUMIF('Lease Cycles'!$HL$31:$HR$31,EF$6,'Lease Cycles'!$HZ$31:$IF$31)</f>
        <v>0</v>
      </c>
      <c r="EG414" s="28">
        <f>SUMIF('Lease Cycles'!$HL$31:$HR$31,EG$6,'Lease Cycles'!$HZ$31:$IF$31)</f>
        <v>0</v>
      </c>
      <c r="EH414" s="28">
        <f>SUMIF('Lease Cycles'!$HL$31:$HR$31,EH$6,'Lease Cycles'!$HZ$31:$IF$31)</f>
        <v>0</v>
      </c>
      <c r="EI414" s="28">
        <f>SUMIF('Lease Cycles'!$HL$31:$HR$31,EI$6,'Lease Cycles'!$HZ$31:$IF$31)</f>
        <v>0</v>
      </c>
      <c r="EJ414" s="28">
        <f>SUMIF('Lease Cycles'!$HL$31:$HR$31,EJ$6,'Lease Cycles'!$HZ$31:$IF$31)</f>
        <v>0</v>
      </c>
      <c r="EK414" s="28">
        <f>SUMIF('Lease Cycles'!$HL$31:$HR$31,EK$6,'Lease Cycles'!$HZ$31:$IF$31)</f>
        <v>0</v>
      </c>
      <c r="EL414" s="28">
        <f>SUMIF('Lease Cycles'!$HL$31:$HR$31,EL$6,'Lease Cycles'!$HZ$31:$IF$31)</f>
        <v>0</v>
      </c>
      <c r="EM414" s="28">
        <f>SUMIF('Lease Cycles'!$HL$31:$HR$31,EM$6,'Lease Cycles'!$HZ$31:$IF$31)</f>
        <v>0</v>
      </c>
      <c r="EN414" s="28">
        <f>SUMIF('Lease Cycles'!$HL$31:$HR$31,EN$6,'Lease Cycles'!$HZ$31:$IF$31)</f>
        <v>0</v>
      </c>
      <c r="EO414" s="28">
        <f>SUMIF('Lease Cycles'!$HL$31:$HR$31,EO$6,'Lease Cycles'!$HZ$31:$IF$31)</f>
        <v>0</v>
      </c>
      <c r="EP414" s="28">
        <f>SUMIF('Lease Cycles'!$HL$31:$HR$31,EP$6,'Lease Cycles'!$HZ$31:$IF$31)</f>
        <v>0</v>
      </c>
      <c r="EQ414" s="28">
        <f>SUMIF('Lease Cycles'!$HL$31:$HR$31,EQ$6,'Lease Cycles'!$HZ$31:$IF$31)</f>
        <v>0</v>
      </c>
      <c r="ER414" s="28">
        <f>SUMIF('Lease Cycles'!$HL$31:$HR$31,ER$6,'Lease Cycles'!$HZ$31:$IF$31)</f>
        <v>0</v>
      </c>
      <c r="ES414" s="28">
        <f>SUMIF('Lease Cycles'!$HL$31:$HR$31,ES$6,'Lease Cycles'!$HZ$31:$IF$31)</f>
        <v>0</v>
      </c>
      <c r="ET414" s="28">
        <f>SUMIF('Lease Cycles'!$HL$31:$HR$31,ET$6,'Lease Cycles'!$HZ$31:$IF$31)</f>
        <v>0</v>
      </c>
    </row>
    <row r="415">
      <c r="A415" s="103">
        <v>24</v>
      </c>
      <c r="B415" s="23" t="str">
        <f>IF('Lease Cycles'!$B$31="","(empty slot)",'Lease Cycles'!$B$31)</f>
        <v>(empty slot)</v>
      </c>
      <c r="C415" s="23" t="s">
        <v>691</v>
      </c>
      <c r="D415" s="104" t="s">
        <v>692</v>
      </c>
      <c r="E415" s="25">
        <f>'Lease Cycles'!$AL$31</f>
        <v>0</v>
      </c>
      <c r="G415" s="28">
        <f>SUM(S415:AD415)</f>
        <v>0</v>
      </c>
      <c r="H415" s="28">
        <f>SUM(AE415:AP415)</f>
        <v>0</v>
      </c>
      <c r="I415" s="28">
        <f>SUM(AQ415:BB415)</f>
        <v>0</v>
      </c>
      <c r="J415" s="28">
        <f>SUM(BC415:BN415)</f>
        <v>0</v>
      </c>
      <c r="K415" s="28">
        <f>SUM(BO415:BZ415)</f>
        <v>0</v>
      </c>
      <c r="L415" s="28">
        <f>SUM(CA415:CL415)</f>
        <v>0</v>
      </c>
      <c r="M415" s="28">
        <f>SUM(CM415:CX415)</f>
        <v>0</v>
      </c>
      <c r="N415" s="28">
        <f>SUM(CY415:DJ415)</f>
        <v>0</v>
      </c>
      <c r="O415" s="28">
        <f>SUM(DK415:DV415)</f>
        <v>0</v>
      </c>
      <c r="P415" s="28">
        <f>SUM(DW415:EH415)</f>
        <v>0</v>
      </c>
      <c r="Q415" s="28">
        <f>SUM(EI415:ET415)</f>
        <v>0</v>
      </c>
      <c r="S415" s="28">
        <f>IF(S$6='Lease Cycles'!$HL$31,'Lease Cycles'!$HS$31+'Lease Cycles'!$HZ$31,0)</f>
        <v>0</v>
      </c>
      <c r="T415" s="28">
        <f>IF(T$6='Lease Cycles'!$HL$31,'Lease Cycles'!$HS$31+'Lease Cycles'!$HZ$31,0)</f>
        <v>0</v>
      </c>
      <c r="U415" s="28">
        <f>IF(U$6='Lease Cycles'!$HL$31,'Lease Cycles'!$HS$31+'Lease Cycles'!$HZ$31,0)</f>
        <v>0</v>
      </c>
      <c r="V415" s="28">
        <f>IF(V$6='Lease Cycles'!$HL$31,'Lease Cycles'!$HS$31+'Lease Cycles'!$HZ$31,0)</f>
        <v>0</v>
      </c>
      <c r="W415" s="28">
        <f>IF(W$6='Lease Cycles'!$HL$31,'Lease Cycles'!$HS$31+'Lease Cycles'!$HZ$31,0)</f>
        <v>0</v>
      </c>
      <c r="X415" s="28">
        <f>IF(X$6='Lease Cycles'!$HL$31,'Lease Cycles'!$HS$31+'Lease Cycles'!$HZ$31,0)</f>
        <v>0</v>
      </c>
      <c r="Y415" s="28">
        <f>IF(Y$6='Lease Cycles'!$HL$31,'Lease Cycles'!$HS$31+'Lease Cycles'!$HZ$31,0)</f>
        <v>0</v>
      </c>
      <c r="Z415" s="28">
        <f>IF(Z$6='Lease Cycles'!$HL$31,'Lease Cycles'!$HS$31+'Lease Cycles'!$HZ$31,0)</f>
        <v>0</v>
      </c>
      <c r="AA415" s="28">
        <f>IF(AA$6='Lease Cycles'!$HL$31,'Lease Cycles'!$HS$31+'Lease Cycles'!$HZ$31,0)</f>
        <v>0</v>
      </c>
      <c r="AB415" s="28">
        <f>IF(AB$6='Lease Cycles'!$HL$31,'Lease Cycles'!$HS$31+'Lease Cycles'!$HZ$31,0)</f>
        <v>0</v>
      </c>
      <c r="AC415" s="28">
        <f>IF(AC$6='Lease Cycles'!$HL$31,'Lease Cycles'!$HS$31+'Lease Cycles'!$HZ$31,0)</f>
        <v>0</v>
      </c>
      <c r="AD415" s="28">
        <f>IF(AD$6='Lease Cycles'!$HL$31,'Lease Cycles'!$HS$31+'Lease Cycles'!$HZ$31,0)</f>
        <v>0</v>
      </c>
      <c r="AE415" s="28">
        <f>IF(AE$6='Lease Cycles'!$HL$31,'Lease Cycles'!$HS$31+'Lease Cycles'!$HZ$31,0)</f>
        <v>0</v>
      </c>
      <c r="AF415" s="28">
        <f>IF(AF$6='Lease Cycles'!$HL$31,'Lease Cycles'!$HS$31+'Lease Cycles'!$HZ$31,0)</f>
        <v>0</v>
      </c>
      <c r="AG415" s="28">
        <f>IF(AG$6='Lease Cycles'!$HL$31,'Lease Cycles'!$HS$31+'Lease Cycles'!$HZ$31,0)</f>
        <v>0</v>
      </c>
      <c r="AH415" s="28">
        <f>IF(AH$6='Lease Cycles'!$HL$31,'Lease Cycles'!$HS$31+'Lease Cycles'!$HZ$31,0)</f>
        <v>0</v>
      </c>
      <c r="AI415" s="28">
        <f>IF(AI$6='Lease Cycles'!$HL$31,'Lease Cycles'!$HS$31+'Lease Cycles'!$HZ$31,0)</f>
        <v>0</v>
      </c>
      <c r="AJ415" s="28">
        <f>IF(AJ$6='Lease Cycles'!$HL$31,'Lease Cycles'!$HS$31+'Lease Cycles'!$HZ$31,0)</f>
        <v>0</v>
      </c>
      <c r="AK415" s="28">
        <f>IF(AK$6='Lease Cycles'!$HL$31,'Lease Cycles'!$HS$31+'Lease Cycles'!$HZ$31,0)</f>
        <v>0</v>
      </c>
      <c r="AL415" s="28">
        <f>IF(AL$6='Lease Cycles'!$HL$31,'Lease Cycles'!$HS$31+'Lease Cycles'!$HZ$31,0)</f>
        <v>0</v>
      </c>
      <c r="AM415" s="28">
        <f>IF(AM$6='Lease Cycles'!$HL$31,'Lease Cycles'!$HS$31+'Lease Cycles'!$HZ$31,0)</f>
        <v>0</v>
      </c>
      <c r="AN415" s="28">
        <f>IF(AN$6='Lease Cycles'!$HL$31,'Lease Cycles'!$HS$31+'Lease Cycles'!$HZ$31,0)</f>
        <v>0</v>
      </c>
      <c r="AO415" s="28">
        <f>IF(AO$6='Lease Cycles'!$HL$31,'Lease Cycles'!$HS$31+'Lease Cycles'!$HZ$31,0)</f>
        <v>0</v>
      </c>
      <c r="AP415" s="28">
        <f>IF(AP$6='Lease Cycles'!$HL$31,'Lease Cycles'!$HS$31+'Lease Cycles'!$HZ$31,0)</f>
        <v>0</v>
      </c>
      <c r="AQ415" s="28">
        <f>IF(AQ$6='Lease Cycles'!$HL$31,'Lease Cycles'!$HS$31+'Lease Cycles'!$HZ$31,0)</f>
        <v>0</v>
      </c>
      <c r="AR415" s="28">
        <f>IF(AR$6='Lease Cycles'!$HL$31,'Lease Cycles'!$HS$31+'Lease Cycles'!$HZ$31,0)</f>
        <v>0</v>
      </c>
      <c r="AS415" s="28">
        <f>IF(AS$6='Lease Cycles'!$HL$31,'Lease Cycles'!$HS$31+'Lease Cycles'!$HZ$31,0)</f>
        <v>0</v>
      </c>
      <c r="AT415" s="28">
        <f>IF(AT$6='Lease Cycles'!$HL$31,'Lease Cycles'!$HS$31+'Lease Cycles'!$HZ$31,0)</f>
        <v>0</v>
      </c>
      <c r="AU415" s="28">
        <f>IF(AU$6='Lease Cycles'!$HL$31,'Lease Cycles'!$HS$31+'Lease Cycles'!$HZ$31,0)</f>
        <v>0</v>
      </c>
      <c r="AV415" s="28">
        <f>IF(AV$6='Lease Cycles'!$HL$31,'Lease Cycles'!$HS$31+'Lease Cycles'!$HZ$31,0)</f>
        <v>0</v>
      </c>
      <c r="AW415" s="28">
        <f>IF(AW$6='Lease Cycles'!$HL$31,'Lease Cycles'!$HS$31+'Lease Cycles'!$HZ$31,0)</f>
        <v>0</v>
      </c>
      <c r="AX415" s="28">
        <f>IF(AX$6='Lease Cycles'!$HL$31,'Lease Cycles'!$HS$31+'Lease Cycles'!$HZ$31,0)</f>
        <v>0</v>
      </c>
      <c r="AY415" s="28">
        <f>IF(AY$6='Lease Cycles'!$HL$31,'Lease Cycles'!$HS$31+'Lease Cycles'!$HZ$31,0)</f>
        <v>0</v>
      </c>
      <c r="AZ415" s="28">
        <f>IF(AZ$6='Lease Cycles'!$HL$31,'Lease Cycles'!$HS$31+'Lease Cycles'!$HZ$31,0)</f>
        <v>0</v>
      </c>
      <c r="BA415" s="28">
        <f>IF(BA$6='Lease Cycles'!$HL$31,'Lease Cycles'!$HS$31+'Lease Cycles'!$HZ$31,0)</f>
        <v>0</v>
      </c>
      <c r="BB415" s="28">
        <f>IF(BB$6='Lease Cycles'!$HL$31,'Lease Cycles'!$HS$31+'Lease Cycles'!$HZ$31,0)</f>
        <v>0</v>
      </c>
      <c r="BC415" s="28">
        <f>IF(BC$6='Lease Cycles'!$HL$31,'Lease Cycles'!$HS$31+'Lease Cycles'!$HZ$31,0)</f>
        <v>0</v>
      </c>
      <c r="BD415" s="28">
        <f>IF(BD$6='Lease Cycles'!$HL$31,'Lease Cycles'!$HS$31+'Lease Cycles'!$HZ$31,0)</f>
        <v>0</v>
      </c>
      <c r="BE415" s="28">
        <f>IF(BE$6='Lease Cycles'!$HL$31,'Lease Cycles'!$HS$31+'Lease Cycles'!$HZ$31,0)</f>
        <v>0</v>
      </c>
      <c r="BF415" s="28">
        <f>IF(BF$6='Lease Cycles'!$HL$31,'Lease Cycles'!$HS$31+'Lease Cycles'!$HZ$31,0)</f>
        <v>0</v>
      </c>
      <c r="BG415" s="28">
        <f>IF(BG$6='Lease Cycles'!$HL$31,'Lease Cycles'!$HS$31+'Lease Cycles'!$HZ$31,0)</f>
        <v>0</v>
      </c>
      <c r="BH415" s="28">
        <f>IF(BH$6='Lease Cycles'!$HL$31,'Lease Cycles'!$HS$31+'Lease Cycles'!$HZ$31,0)</f>
        <v>0</v>
      </c>
      <c r="BI415" s="28">
        <f>IF(BI$6='Lease Cycles'!$HL$31,'Lease Cycles'!$HS$31+'Lease Cycles'!$HZ$31,0)</f>
        <v>0</v>
      </c>
      <c r="BJ415" s="28">
        <f>IF(BJ$6='Lease Cycles'!$HL$31,'Lease Cycles'!$HS$31+'Lease Cycles'!$HZ$31,0)</f>
        <v>0</v>
      </c>
      <c r="BK415" s="28">
        <f>IF(BK$6='Lease Cycles'!$HL$31,'Lease Cycles'!$HS$31+'Lease Cycles'!$HZ$31,0)</f>
        <v>0</v>
      </c>
      <c r="BL415" s="28">
        <f>IF(BL$6='Lease Cycles'!$HL$31,'Lease Cycles'!$HS$31+'Lease Cycles'!$HZ$31,0)</f>
        <v>0</v>
      </c>
      <c r="BM415" s="28">
        <f>IF(BM$6='Lease Cycles'!$HL$31,'Lease Cycles'!$HS$31+'Lease Cycles'!$HZ$31,0)</f>
        <v>0</v>
      </c>
      <c r="BN415" s="28">
        <f>IF(BN$6='Lease Cycles'!$HL$31,'Lease Cycles'!$HS$31+'Lease Cycles'!$HZ$31,0)</f>
        <v>0</v>
      </c>
      <c r="BO415" s="28">
        <f>IF(BO$6='Lease Cycles'!$HL$31,'Lease Cycles'!$HS$31+'Lease Cycles'!$HZ$31,0)</f>
        <v>0</v>
      </c>
      <c r="BP415" s="28">
        <f>IF(BP$6='Lease Cycles'!$HL$31,'Lease Cycles'!$HS$31+'Lease Cycles'!$HZ$31,0)</f>
        <v>0</v>
      </c>
      <c r="BQ415" s="28">
        <f>IF(BQ$6='Lease Cycles'!$HL$31,'Lease Cycles'!$HS$31+'Lease Cycles'!$HZ$31,0)</f>
        <v>0</v>
      </c>
      <c r="BR415" s="28">
        <f>IF(BR$6='Lease Cycles'!$HL$31,'Lease Cycles'!$HS$31+'Lease Cycles'!$HZ$31,0)</f>
        <v>0</v>
      </c>
      <c r="BS415" s="28">
        <f>IF(BS$6='Lease Cycles'!$HL$31,'Lease Cycles'!$HS$31+'Lease Cycles'!$HZ$31,0)</f>
        <v>0</v>
      </c>
      <c r="BT415" s="28">
        <f>IF(BT$6='Lease Cycles'!$HL$31,'Lease Cycles'!$HS$31+'Lease Cycles'!$HZ$31,0)</f>
        <v>0</v>
      </c>
      <c r="BU415" s="28">
        <f>IF(BU$6='Lease Cycles'!$HL$31,'Lease Cycles'!$HS$31+'Lease Cycles'!$HZ$31,0)</f>
        <v>0</v>
      </c>
      <c r="BV415" s="28">
        <f>IF(BV$6='Lease Cycles'!$HL$31,'Lease Cycles'!$HS$31+'Lease Cycles'!$HZ$31,0)</f>
        <v>0</v>
      </c>
      <c r="BW415" s="28">
        <f>IF(BW$6='Lease Cycles'!$HL$31,'Lease Cycles'!$HS$31+'Lease Cycles'!$HZ$31,0)</f>
        <v>0</v>
      </c>
      <c r="BX415" s="28">
        <f>IF(BX$6='Lease Cycles'!$HL$31,'Lease Cycles'!$HS$31+'Lease Cycles'!$HZ$31,0)</f>
        <v>0</v>
      </c>
      <c r="BY415" s="28">
        <f>IF(BY$6='Lease Cycles'!$HL$31,'Lease Cycles'!$HS$31+'Lease Cycles'!$HZ$31,0)</f>
        <v>0</v>
      </c>
      <c r="BZ415" s="28">
        <f>IF(BZ$6='Lease Cycles'!$HL$31,'Lease Cycles'!$HS$31+'Lease Cycles'!$HZ$31,0)</f>
        <v>0</v>
      </c>
      <c r="CA415" s="28">
        <f>IF(CA$6='Lease Cycles'!$HL$31,'Lease Cycles'!$HS$31+'Lease Cycles'!$HZ$31,0)</f>
        <v>0</v>
      </c>
      <c r="CB415" s="28">
        <f>IF(CB$6='Lease Cycles'!$HL$31,'Lease Cycles'!$HS$31+'Lease Cycles'!$HZ$31,0)</f>
        <v>0</v>
      </c>
      <c r="CC415" s="28">
        <f>IF(CC$6='Lease Cycles'!$HL$31,'Lease Cycles'!$HS$31+'Lease Cycles'!$HZ$31,0)</f>
        <v>0</v>
      </c>
      <c r="CD415" s="28">
        <f>IF(CD$6='Lease Cycles'!$HL$31,'Lease Cycles'!$HS$31+'Lease Cycles'!$HZ$31,0)</f>
        <v>0</v>
      </c>
      <c r="CE415" s="28">
        <f>IF(CE$6='Lease Cycles'!$HL$31,'Lease Cycles'!$HS$31+'Lease Cycles'!$HZ$31,0)</f>
        <v>0</v>
      </c>
      <c r="CF415" s="28">
        <f>IF(CF$6='Lease Cycles'!$HL$31,'Lease Cycles'!$HS$31+'Lease Cycles'!$HZ$31,0)</f>
        <v>0</v>
      </c>
      <c r="CG415" s="28">
        <f>IF(CG$6='Lease Cycles'!$HL$31,'Lease Cycles'!$HS$31+'Lease Cycles'!$HZ$31,0)</f>
        <v>0</v>
      </c>
      <c r="CH415" s="28">
        <f>IF(CH$6='Lease Cycles'!$HL$31,'Lease Cycles'!$HS$31+'Lease Cycles'!$HZ$31,0)</f>
        <v>0</v>
      </c>
      <c r="CI415" s="28">
        <f>IF(CI$6='Lease Cycles'!$HL$31,'Lease Cycles'!$HS$31+'Lease Cycles'!$HZ$31,0)</f>
        <v>0</v>
      </c>
      <c r="CJ415" s="28">
        <f>IF(CJ$6='Lease Cycles'!$HL$31,'Lease Cycles'!$HS$31+'Lease Cycles'!$HZ$31,0)</f>
        <v>0</v>
      </c>
      <c r="CK415" s="28">
        <f>IF(CK$6='Lease Cycles'!$HL$31,'Lease Cycles'!$HS$31+'Lease Cycles'!$HZ$31,0)</f>
        <v>0</v>
      </c>
      <c r="CL415" s="28">
        <f>IF(CL$6='Lease Cycles'!$HL$31,'Lease Cycles'!$HS$31+'Lease Cycles'!$HZ$31,0)</f>
        <v>0</v>
      </c>
      <c r="CM415" s="28">
        <f>IF(CM$6='Lease Cycles'!$HL$31,'Lease Cycles'!$HS$31+'Lease Cycles'!$HZ$31,0)</f>
        <v>0</v>
      </c>
      <c r="CN415" s="28">
        <f>IF(CN$6='Lease Cycles'!$HL$31,'Lease Cycles'!$HS$31+'Lease Cycles'!$HZ$31,0)</f>
        <v>0</v>
      </c>
      <c r="CO415" s="28">
        <f>IF(CO$6='Lease Cycles'!$HL$31,'Lease Cycles'!$HS$31+'Lease Cycles'!$HZ$31,0)</f>
        <v>0</v>
      </c>
      <c r="CP415" s="28">
        <f>IF(CP$6='Lease Cycles'!$HL$31,'Lease Cycles'!$HS$31+'Lease Cycles'!$HZ$31,0)</f>
        <v>0</v>
      </c>
      <c r="CQ415" s="28">
        <f>IF(CQ$6='Lease Cycles'!$HL$31,'Lease Cycles'!$HS$31+'Lease Cycles'!$HZ$31,0)</f>
        <v>0</v>
      </c>
      <c r="CR415" s="28">
        <f>IF(CR$6='Lease Cycles'!$HL$31,'Lease Cycles'!$HS$31+'Lease Cycles'!$HZ$31,0)</f>
        <v>0</v>
      </c>
      <c r="CS415" s="28">
        <f>IF(CS$6='Lease Cycles'!$HL$31,'Lease Cycles'!$HS$31+'Lease Cycles'!$HZ$31,0)</f>
        <v>0</v>
      </c>
      <c r="CT415" s="28">
        <f>IF(CT$6='Lease Cycles'!$HL$31,'Lease Cycles'!$HS$31+'Lease Cycles'!$HZ$31,0)</f>
        <v>0</v>
      </c>
      <c r="CU415" s="28">
        <f>IF(CU$6='Lease Cycles'!$HL$31,'Lease Cycles'!$HS$31+'Lease Cycles'!$HZ$31,0)</f>
        <v>0</v>
      </c>
      <c r="CV415" s="28">
        <f>IF(CV$6='Lease Cycles'!$HL$31,'Lease Cycles'!$HS$31+'Lease Cycles'!$HZ$31,0)</f>
        <v>0</v>
      </c>
      <c r="CW415" s="28">
        <f>IF(CW$6='Lease Cycles'!$HL$31,'Lease Cycles'!$HS$31+'Lease Cycles'!$HZ$31,0)</f>
        <v>0</v>
      </c>
      <c r="CX415" s="28">
        <f>IF(CX$6='Lease Cycles'!$HL$31,'Lease Cycles'!$HS$31+'Lease Cycles'!$HZ$31,0)</f>
        <v>0</v>
      </c>
      <c r="CY415" s="28">
        <f>IF(CY$6='Lease Cycles'!$HL$31,'Lease Cycles'!$HS$31+'Lease Cycles'!$HZ$31,0)</f>
        <v>0</v>
      </c>
      <c r="CZ415" s="28">
        <f>IF(CZ$6='Lease Cycles'!$HL$31,'Lease Cycles'!$HS$31+'Lease Cycles'!$HZ$31,0)</f>
        <v>0</v>
      </c>
      <c r="DA415" s="28">
        <f>IF(DA$6='Lease Cycles'!$HL$31,'Lease Cycles'!$HS$31+'Lease Cycles'!$HZ$31,0)</f>
        <v>0</v>
      </c>
      <c r="DB415" s="28">
        <f>IF(DB$6='Lease Cycles'!$HL$31,'Lease Cycles'!$HS$31+'Lease Cycles'!$HZ$31,0)</f>
        <v>0</v>
      </c>
      <c r="DC415" s="28">
        <f>IF(DC$6='Lease Cycles'!$HL$31,'Lease Cycles'!$HS$31+'Lease Cycles'!$HZ$31,0)</f>
        <v>0</v>
      </c>
      <c r="DD415" s="28">
        <f>IF(DD$6='Lease Cycles'!$HL$31,'Lease Cycles'!$HS$31+'Lease Cycles'!$HZ$31,0)</f>
        <v>0</v>
      </c>
      <c r="DE415" s="28">
        <f>IF(DE$6='Lease Cycles'!$HL$31,'Lease Cycles'!$HS$31+'Lease Cycles'!$HZ$31,0)</f>
        <v>0</v>
      </c>
      <c r="DF415" s="28">
        <f>IF(DF$6='Lease Cycles'!$HL$31,'Lease Cycles'!$HS$31+'Lease Cycles'!$HZ$31,0)</f>
        <v>0</v>
      </c>
      <c r="DG415" s="28">
        <f>IF(DG$6='Lease Cycles'!$HL$31,'Lease Cycles'!$HS$31+'Lease Cycles'!$HZ$31,0)</f>
        <v>0</v>
      </c>
      <c r="DH415" s="28">
        <f>IF(DH$6='Lease Cycles'!$HL$31,'Lease Cycles'!$HS$31+'Lease Cycles'!$HZ$31,0)</f>
        <v>0</v>
      </c>
      <c r="DI415" s="28">
        <f>IF(DI$6='Lease Cycles'!$HL$31,'Lease Cycles'!$HS$31+'Lease Cycles'!$HZ$31,0)</f>
        <v>0</v>
      </c>
      <c r="DJ415" s="28">
        <f>IF(DJ$6='Lease Cycles'!$HL$31,'Lease Cycles'!$HS$31+'Lease Cycles'!$HZ$31,0)</f>
        <v>0</v>
      </c>
      <c r="DK415" s="28">
        <f>IF(DK$6='Lease Cycles'!$HL$31,'Lease Cycles'!$HS$31+'Lease Cycles'!$HZ$31,0)</f>
        <v>0</v>
      </c>
      <c r="DL415" s="28">
        <f>IF(DL$6='Lease Cycles'!$HL$31,'Lease Cycles'!$HS$31+'Lease Cycles'!$HZ$31,0)</f>
        <v>0</v>
      </c>
      <c r="DM415" s="28">
        <f>IF(DM$6='Lease Cycles'!$HL$31,'Lease Cycles'!$HS$31+'Lease Cycles'!$HZ$31,0)</f>
        <v>0</v>
      </c>
      <c r="DN415" s="28">
        <f>IF(DN$6='Lease Cycles'!$HL$31,'Lease Cycles'!$HS$31+'Lease Cycles'!$HZ$31,0)</f>
        <v>0</v>
      </c>
      <c r="DO415" s="28">
        <f>IF(DO$6='Lease Cycles'!$HL$31,'Lease Cycles'!$HS$31+'Lease Cycles'!$HZ$31,0)</f>
        <v>0</v>
      </c>
      <c r="DP415" s="28">
        <f>IF(DP$6='Lease Cycles'!$HL$31,'Lease Cycles'!$HS$31+'Lease Cycles'!$HZ$31,0)</f>
        <v>0</v>
      </c>
      <c r="DQ415" s="28">
        <f>IF(DQ$6='Lease Cycles'!$HL$31,'Lease Cycles'!$HS$31+'Lease Cycles'!$HZ$31,0)</f>
        <v>0</v>
      </c>
      <c r="DR415" s="28">
        <f>IF(DR$6='Lease Cycles'!$HL$31,'Lease Cycles'!$HS$31+'Lease Cycles'!$HZ$31,0)</f>
        <v>0</v>
      </c>
      <c r="DS415" s="28">
        <f>IF(DS$6='Lease Cycles'!$HL$31,'Lease Cycles'!$HS$31+'Lease Cycles'!$HZ$31,0)</f>
        <v>0</v>
      </c>
      <c r="DT415" s="28">
        <f>IF(DT$6='Lease Cycles'!$HL$31,'Lease Cycles'!$HS$31+'Lease Cycles'!$HZ$31,0)</f>
        <v>0</v>
      </c>
      <c r="DU415" s="28">
        <f>IF(DU$6='Lease Cycles'!$HL$31,'Lease Cycles'!$HS$31+'Lease Cycles'!$HZ$31,0)</f>
        <v>0</v>
      </c>
      <c r="DV415" s="28">
        <f>IF(DV$6='Lease Cycles'!$HL$31,'Lease Cycles'!$HS$31+'Lease Cycles'!$HZ$31,0)</f>
        <v>0</v>
      </c>
      <c r="DW415" s="28">
        <f>IF(DW$6='Lease Cycles'!$HL$31,'Lease Cycles'!$HS$31+'Lease Cycles'!$HZ$31,0)</f>
        <v>0</v>
      </c>
      <c r="DX415" s="28">
        <f>IF(DX$6='Lease Cycles'!$HL$31,'Lease Cycles'!$HS$31+'Lease Cycles'!$HZ$31,0)</f>
        <v>0</v>
      </c>
      <c r="DY415" s="28">
        <f>IF(DY$6='Lease Cycles'!$HL$31,'Lease Cycles'!$HS$31+'Lease Cycles'!$HZ$31,0)</f>
        <v>0</v>
      </c>
      <c r="DZ415" s="28">
        <f>IF(DZ$6='Lease Cycles'!$HL$31,'Lease Cycles'!$HS$31+'Lease Cycles'!$HZ$31,0)</f>
        <v>0</v>
      </c>
      <c r="EA415" s="28">
        <f>IF(EA$6='Lease Cycles'!$HL$31,'Lease Cycles'!$HS$31+'Lease Cycles'!$HZ$31,0)</f>
        <v>0</v>
      </c>
      <c r="EB415" s="28">
        <f>IF(EB$6='Lease Cycles'!$HL$31,'Lease Cycles'!$HS$31+'Lease Cycles'!$HZ$31,0)</f>
        <v>0</v>
      </c>
      <c r="EC415" s="28">
        <f>IF(EC$6='Lease Cycles'!$HL$31,'Lease Cycles'!$HS$31+'Lease Cycles'!$HZ$31,0)</f>
        <v>0</v>
      </c>
      <c r="ED415" s="28">
        <f>IF(ED$6='Lease Cycles'!$HL$31,'Lease Cycles'!$HS$31+'Lease Cycles'!$HZ$31,0)</f>
        <v>0</v>
      </c>
      <c r="EE415" s="28">
        <f>IF(EE$6='Lease Cycles'!$HL$31,'Lease Cycles'!$HS$31+'Lease Cycles'!$HZ$31,0)</f>
        <v>0</v>
      </c>
      <c r="EF415" s="28">
        <f>IF(EF$6='Lease Cycles'!$HL$31,'Lease Cycles'!$HS$31+'Lease Cycles'!$HZ$31,0)</f>
        <v>0</v>
      </c>
      <c r="EG415" s="28">
        <f>IF(EG$6='Lease Cycles'!$HL$31,'Lease Cycles'!$HS$31+'Lease Cycles'!$HZ$31,0)</f>
        <v>0</v>
      </c>
      <c r="EH415" s="28">
        <f>IF(EH$6='Lease Cycles'!$HL$31,'Lease Cycles'!$HS$31+'Lease Cycles'!$HZ$31,0)</f>
        <v>0</v>
      </c>
      <c r="EI415" s="28">
        <f>IF(EI$6='Lease Cycles'!$HL$31,'Lease Cycles'!$HS$31+'Lease Cycles'!$HZ$31,0)</f>
        <v>0</v>
      </c>
      <c r="EJ415" s="28">
        <f>IF(EJ$6='Lease Cycles'!$HL$31,'Lease Cycles'!$HS$31+'Lease Cycles'!$HZ$31,0)</f>
        <v>0</v>
      </c>
      <c r="EK415" s="28">
        <f>IF(EK$6='Lease Cycles'!$HL$31,'Lease Cycles'!$HS$31+'Lease Cycles'!$HZ$31,0)</f>
        <v>0</v>
      </c>
      <c r="EL415" s="28">
        <f>IF(EL$6='Lease Cycles'!$HL$31,'Lease Cycles'!$HS$31+'Lease Cycles'!$HZ$31,0)</f>
        <v>0</v>
      </c>
      <c r="EM415" s="28">
        <f>IF(EM$6='Lease Cycles'!$HL$31,'Lease Cycles'!$HS$31+'Lease Cycles'!$HZ$31,0)</f>
        <v>0</v>
      </c>
      <c r="EN415" s="28">
        <f>IF(EN$6='Lease Cycles'!$HL$31,'Lease Cycles'!$HS$31+'Lease Cycles'!$HZ$31,0)</f>
        <v>0</v>
      </c>
      <c r="EO415" s="28">
        <f>IF(EO$6='Lease Cycles'!$HL$31,'Lease Cycles'!$HS$31+'Lease Cycles'!$HZ$31,0)</f>
        <v>0</v>
      </c>
      <c r="EP415" s="28">
        <f>IF(EP$6='Lease Cycles'!$HL$31,'Lease Cycles'!$HS$31+'Lease Cycles'!$HZ$31,0)</f>
        <v>0</v>
      </c>
      <c r="EQ415" s="28">
        <f>IF(EQ$6='Lease Cycles'!$HL$31,'Lease Cycles'!$HS$31+'Lease Cycles'!$HZ$31,0)</f>
        <v>0</v>
      </c>
      <c r="ER415" s="28">
        <f>IF(ER$6='Lease Cycles'!$HL$31,'Lease Cycles'!$HS$31+'Lease Cycles'!$HZ$31,0)</f>
        <v>0</v>
      </c>
      <c r="ES415" s="28">
        <f>IF(ES$6='Lease Cycles'!$HL$31,'Lease Cycles'!$HS$31+'Lease Cycles'!$HZ$31,0)</f>
        <v>0</v>
      </c>
      <c r="ET415" s="28">
        <f>IF(ET$6='Lease Cycles'!$HL$31,'Lease Cycles'!$HS$31+'Lease Cycles'!$HZ$31,0)</f>
        <v>0</v>
      </c>
    </row>
    <row r="416">
      <c r="A416" s="103">
        <v>24</v>
      </c>
      <c r="B416" s="23" t="str">
        <f>IF('Lease Cycles'!$B$31="","(empty slot)",'Lease Cycles'!$B$31)</f>
        <v>(empty slot)</v>
      </c>
      <c r="C416" s="23" t="s">
        <v>499</v>
      </c>
      <c r="D416" s="104" t="s">
        <v>500</v>
      </c>
      <c r="E416" s="25">
        <f>'Lease Cycles'!$AL$31</f>
        <v>0</v>
      </c>
      <c r="G416" s="28">
        <f>MAX(0,'Lease Cycles'!$AN$31*'Lease Cycles'!$C$31*'Lease Cycles'!$AM$31*(1+a_SalesGrowth)^(G$6-1)-G406)</f>
        <v>0</v>
      </c>
      <c r="H416" s="28">
        <f>MAX(0,'Lease Cycles'!$AN$31*'Lease Cycles'!$C$31*'Lease Cycles'!$AM$31*(1+a_SalesGrowth)^(H$6-1)-H406)</f>
        <v>0</v>
      </c>
      <c r="I416" s="28">
        <f>MAX(0,'Lease Cycles'!$AN$31*'Lease Cycles'!$C$31*'Lease Cycles'!$AM$31*(1+a_SalesGrowth)^(I$6-1)-I406)</f>
        <v>0</v>
      </c>
      <c r="J416" s="28">
        <f>MAX(0,'Lease Cycles'!$AN$31*'Lease Cycles'!$C$31*'Lease Cycles'!$AM$31*(1+a_SalesGrowth)^(J$6-1)-J406)</f>
        <v>0</v>
      </c>
      <c r="K416" s="28">
        <f>MAX(0,'Lease Cycles'!$AN$31*'Lease Cycles'!$C$31*'Lease Cycles'!$AM$31*(1+a_SalesGrowth)^(K$6-1)-K406)</f>
        <v>0</v>
      </c>
      <c r="L416" s="28">
        <f>MAX(0,'Lease Cycles'!$AN$31*'Lease Cycles'!$C$31*'Lease Cycles'!$AM$31*(1+a_SalesGrowth)^(L$6-1)-L406)</f>
        <v>0</v>
      </c>
      <c r="M416" s="28">
        <f>MAX(0,'Lease Cycles'!$AN$31*'Lease Cycles'!$C$31*'Lease Cycles'!$AM$31*(1+a_SalesGrowth)^(M$6-1)-M406)</f>
        <v>0</v>
      </c>
      <c r="N416" s="28">
        <f>MAX(0,'Lease Cycles'!$AN$31*'Lease Cycles'!$C$31*'Lease Cycles'!$AM$31*(1+a_SalesGrowth)^(N$6-1)-N406)</f>
        <v>0</v>
      </c>
      <c r="O416" s="28">
        <f>MAX(0,'Lease Cycles'!$AN$31*'Lease Cycles'!$C$31*'Lease Cycles'!$AM$31*(1+a_SalesGrowth)^(O$6-1)-O406)</f>
        <v>0</v>
      </c>
      <c r="P416" s="28">
        <f>MAX(0,'Lease Cycles'!$AN$31*'Lease Cycles'!$C$31*'Lease Cycles'!$AM$31*(1+a_SalesGrowth)^(P$6-1)-P406)</f>
        <v>0</v>
      </c>
      <c r="Q416" s="28">
        <f>MAX(0,'Lease Cycles'!$AN$31*'Lease Cycles'!$C$31*'Lease Cycles'!$AM$31*(1+a_SalesGrowth)^(Q$6-1)-Q406)</f>
        <v>0</v>
      </c>
    </row>
    <row r="418">
      <c r="A418" s="103">
        <v>25</v>
      </c>
      <c r="B418" s="23" t="str">
        <f>IF('Lease Cycles'!$B$32="","(empty slot)",'Lease Cycles'!$B$32)</f>
        <v>(empty slot)</v>
      </c>
      <c r="C418" s="23" t="s">
        <v>671</v>
      </c>
      <c r="D418" s="104" t="s">
        <v>672</v>
      </c>
      <c r="E418" s="25">
        <f>'Lease Cycles'!$AL$32</f>
        <v>0</v>
      </c>
      <c r="S418" s="25">
        <f>IF('Lease Cycles'!$C$32&gt;0,COUNTIF('Lease Cycles'!$BG$32:$BM$32,"&lt;="&amp;S$6),0)</f>
        <v>0</v>
      </c>
      <c r="T418" s="25">
        <f>IF('Lease Cycles'!$C$32&gt;0,COUNTIF('Lease Cycles'!$BG$32:$BM$32,"&lt;="&amp;T$6),0)</f>
        <v>0</v>
      </c>
      <c r="U418" s="25">
        <f>IF('Lease Cycles'!$C$32&gt;0,COUNTIF('Lease Cycles'!$BG$32:$BM$32,"&lt;="&amp;U$6),0)</f>
        <v>0</v>
      </c>
      <c r="V418" s="25">
        <f>IF('Lease Cycles'!$C$32&gt;0,COUNTIF('Lease Cycles'!$BG$32:$BM$32,"&lt;="&amp;V$6),0)</f>
        <v>0</v>
      </c>
      <c r="W418" s="25">
        <f>IF('Lease Cycles'!$C$32&gt;0,COUNTIF('Lease Cycles'!$BG$32:$BM$32,"&lt;="&amp;W$6),0)</f>
        <v>0</v>
      </c>
      <c r="X418" s="25">
        <f>IF('Lease Cycles'!$C$32&gt;0,COUNTIF('Lease Cycles'!$BG$32:$BM$32,"&lt;="&amp;X$6),0)</f>
        <v>0</v>
      </c>
      <c r="Y418" s="25">
        <f>IF('Lease Cycles'!$C$32&gt;0,COUNTIF('Lease Cycles'!$BG$32:$BM$32,"&lt;="&amp;Y$6),0)</f>
        <v>0</v>
      </c>
      <c r="Z418" s="25">
        <f>IF('Lease Cycles'!$C$32&gt;0,COUNTIF('Lease Cycles'!$BG$32:$BM$32,"&lt;="&amp;Z$6),0)</f>
        <v>0</v>
      </c>
      <c r="AA418" s="25">
        <f>IF('Lease Cycles'!$C$32&gt;0,COUNTIF('Lease Cycles'!$BG$32:$BM$32,"&lt;="&amp;AA$6),0)</f>
        <v>0</v>
      </c>
      <c r="AB418" s="25">
        <f>IF('Lease Cycles'!$C$32&gt;0,COUNTIF('Lease Cycles'!$BG$32:$BM$32,"&lt;="&amp;AB$6),0)</f>
        <v>0</v>
      </c>
      <c r="AC418" s="25">
        <f>IF('Lease Cycles'!$C$32&gt;0,COUNTIF('Lease Cycles'!$BG$32:$BM$32,"&lt;="&amp;AC$6),0)</f>
        <v>0</v>
      </c>
      <c r="AD418" s="25">
        <f>IF('Lease Cycles'!$C$32&gt;0,COUNTIF('Lease Cycles'!$BG$32:$BM$32,"&lt;="&amp;AD$6),0)</f>
        <v>0</v>
      </c>
      <c r="AE418" s="25">
        <f>IF('Lease Cycles'!$C$32&gt;0,COUNTIF('Lease Cycles'!$BG$32:$BM$32,"&lt;="&amp;AE$6),0)</f>
        <v>0</v>
      </c>
      <c r="AF418" s="25">
        <f>IF('Lease Cycles'!$C$32&gt;0,COUNTIF('Lease Cycles'!$BG$32:$BM$32,"&lt;="&amp;AF$6),0)</f>
        <v>0</v>
      </c>
      <c r="AG418" s="25">
        <f>IF('Lease Cycles'!$C$32&gt;0,COUNTIF('Lease Cycles'!$BG$32:$BM$32,"&lt;="&amp;AG$6),0)</f>
        <v>0</v>
      </c>
      <c r="AH418" s="25">
        <f>IF('Lease Cycles'!$C$32&gt;0,COUNTIF('Lease Cycles'!$BG$32:$BM$32,"&lt;="&amp;AH$6),0)</f>
        <v>0</v>
      </c>
      <c r="AI418" s="25">
        <f>IF('Lease Cycles'!$C$32&gt;0,COUNTIF('Lease Cycles'!$BG$32:$BM$32,"&lt;="&amp;AI$6),0)</f>
        <v>0</v>
      </c>
      <c r="AJ418" s="25">
        <f>IF('Lease Cycles'!$C$32&gt;0,COUNTIF('Lease Cycles'!$BG$32:$BM$32,"&lt;="&amp;AJ$6),0)</f>
        <v>0</v>
      </c>
      <c r="AK418" s="25">
        <f>IF('Lease Cycles'!$C$32&gt;0,COUNTIF('Lease Cycles'!$BG$32:$BM$32,"&lt;="&amp;AK$6),0)</f>
        <v>0</v>
      </c>
      <c r="AL418" s="25">
        <f>IF('Lease Cycles'!$C$32&gt;0,COUNTIF('Lease Cycles'!$BG$32:$BM$32,"&lt;="&amp;AL$6),0)</f>
        <v>0</v>
      </c>
      <c r="AM418" s="25">
        <f>IF('Lease Cycles'!$C$32&gt;0,COUNTIF('Lease Cycles'!$BG$32:$BM$32,"&lt;="&amp;AM$6),0)</f>
        <v>0</v>
      </c>
      <c r="AN418" s="25">
        <f>IF('Lease Cycles'!$C$32&gt;0,COUNTIF('Lease Cycles'!$BG$32:$BM$32,"&lt;="&amp;AN$6),0)</f>
        <v>0</v>
      </c>
      <c r="AO418" s="25">
        <f>IF('Lease Cycles'!$C$32&gt;0,COUNTIF('Lease Cycles'!$BG$32:$BM$32,"&lt;="&amp;AO$6),0)</f>
        <v>0</v>
      </c>
      <c r="AP418" s="25">
        <f>IF('Lease Cycles'!$C$32&gt;0,COUNTIF('Lease Cycles'!$BG$32:$BM$32,"&lt;="&amp;AP$6),0)</f>
        <v>0</v>
      </c>
      <c r="AQ418" s="25">
        <f>IF('Lease Cycles'!$C$32&gt;0,COUNTIF('Lease Cycles'!$BG$32:$BM$32,"&lt;="&amp;AQ$6),0)</f>
        <v>0</v>
      </c>
      <c r="AR418" s="25">
        <f>IF('Lease Cycles'!$C$32&gt;0,COUNTIF('Lease Cycles'!$BG$32:$BM$32,"&lt;="&amp;AR$6),0)</f>
        <v>0</v>
      </c>
      <c r="AS418" s="25">
        <f>IF('Lease Cycles'!$C$32&gt;0,COUNTIF('Lease Cycles'!$BG$32:$BM$32,"&lt;="&amp;AS$6),0)</f>
        <v>0</v>
      </c>
      <c r="AT418" s="25">
        <f>IF('Lease Cycles'!$C$32&gt;0,COUNTIF('Lease Cycles'!$BG$32:$BM$32,"&lt;="&amp;AT$6),0)</f>
        <v>0</v>
      </c>
      <c r="AU418" s="25">
        <f>IF('Lease Cycles'!$C$32&gt;0,COUNTIF('Lease Cycles'!$BG$32:$BM$32,"&lt;="&amp;AU$6),0)</f>
        <v>0</v>
      </c>
      <c r="AV418" s="25">
        <f>IF('Lease Cycles'!$C$32&gt;0,COUNTIF('Lease Cycles'!$BG$32:$BM$32,"&lt;="&amp;AV$6),0)</f>
        <v>0</v>
      </c>
      <c r="AW418" s="25">
        <f>IF('Lease Cycles'!$C$32&gt;0,COUNTIF('Lease Cycles'!$BG$32:$BM$32,"&lt;="&amp;AW$6),0)</f>
        <v>0</v>
      </c>
      <c r="AX418" s="25">
        <f>IF('Lease Cycles'!$C$32&gt;0,COUNTIF('Lease Cycles'!$BG$32:$BM$32,"&lt;="&amp;AX$6),0)</f>
        <v>0</v>
      </c>
      <c r="AY418" s="25">
        <f>IF('Lease Cycles'!$C$32&gt;0,COUNTIF('Lease Cycles'!$BG$32:$BM$32,"&lt;="&amp;AY$6),0)</f>
        <v>0</v>
      </c>
      <c r="AZ418" s="25">
        <f>IF('Lease Cycles'!$C$32&gt;0,COUNTIF('Lease Cycles'!$BG$32:$BM$32,"&lt;="&amp;AZ$6),0)</f>
        <v>0</v>
      </c>
      <c r="BA418" s="25">
        <f>IF('Lease Cycles'!$C$32&gt;0,COUNTIF('Lease Cycles'!$BG$32:$BM$32,"&lt;="&amp;BA$6),0)</f>
        <v>0</v>
      </c>
      <c r="BB418" s="25">
        <f>IF('Lease Cycles'!$C$32&gt;0,COUNTIF('Lease Cycles'!$BG$32:$BM$32,"&lt;="&amp;BB$6),0)</f>
        <v>0</v>
      </c>
      <c r="BC418" s="25">
        <f>IF('Lease Cycles'!$C$32&gt;0,COUNTIF('Lease Cycles'!$BG$32:$BM$32,"&lt;="&amp;BC$6),0)</f>
        <v>0</v>
      </c>
      <c r="BD418" s="25">
        <f>IF('Lease Cycles'!$C$32&gt;0,COUNTIF('Lease Cycles'!$BG$32:$BM$32,"&lt;="&amp;BD$6),0)</f>
        <v>0</v>
      </c>
      <c r="BE418" s="25">
        <f>IF('Lease Cycles'!$C$32&gt;0,COUNTIF('Lease Cycles'!$BG$32:$BM$32,"&lt;="&amp;BE$6),0)</f>
        <v>0</v>
      </c>
      <c r="BF418" s="25">
        <f>IF('Lease Cycles'!$C$32&gt;0,COUNTIF('Lease Cycles'!$BG$32:$BM$32,"&lt;="&amp;BF$6),0)</f>
        <v>0</v>
      </c>
      <c r="BG418" s="25">
        <f>IF('Lease Cycles'!$C$32&gt;0,COUNTIF('Lease Cycles'!$BG$32:$BM$32,"&lt;="&amp;BG$6),0)</f>
        <v>0</v>
      </c>
      <c r="BH418" s="25">
        <f>IF('Lease Cycles'!$C$32&gt;0,COUNTIF('Lease Cycles'!$BG$32:$BM$32,"&lt;="&amp;BH$6),0)</f>
        <v>0</v>
      </c>
      <c r="BI418" s="25">
        <f>IF('Lease Cycles'!$C$32&gt;0,COUNTIF('Lease Cycles'!$BG$32:$BM$32,"&lt;="&amp;BI$6),0)</f>
        <v>0</v>
      </c>
      <c r="BJ418" s="25">
        <f>IF('Lease Cycles'!$C$32&gt;0,COUNTIF('Lease Cycles'!$BG$32:$BM$32,"&lt;="&amp;BJ$6),0)</f>
        <v>0</v>
      </c>
      <c r="BK418" s="25">
        <f>IF('Lease Cycles'!$C$32&gt;0,COUNTIF('Lease Cycles'!$BG$32:$BM$32,"&lt;="&amp;BK$6),0)</f>
        <v>0</v>
      </c>
      <c r="BL418" s="25">
        <f>IF('Lease Cycles'!$C$32&gt;0,COUNTIF('Lease Cycles'!$BG$32:$BM$32,"&lt;="&amp;BL$6),0)</f>
        <v>0</v>
      </c>
      <c r="BM418" s="25">
        <f>IF('Lease Cycles'!$C$32&gt;0,COUNTIF('Lease Cycles'!$BG$32:$BM$32,"&lt;="&amp;BM$6),0)</f>
        <v>0</v>
      </c>
      <c r="BN418" s="25">
        <f>IF('Lease Cycles'!$C$32&gt;0,COUNTIF('Lease Cycles'!$BG$32:$BM$32,"&lt;="&amp;BN$6),0)</f>
        <v>0</v>
      </c>
      <c r="BO418" s="25">
        <f>IF('Lease Cycles'!$C$32&gt;0,COUNTIF('Lease Cycles'!$BG$32:$BM$32,"&lt;="&amp;BO$6),0)</f>
        <v>0</v>
      </c>
      <c r="BP418" s="25">
        <f>IF('Lease Cycles'!$C$32&gt;0,COUNTIF('Lease Cycles'!$BG$32:$BM$32,"&lt;="&amp;BP$6),0)</f>
        <v>0</v>
      </c>
      <c r="BQ418" s="25">
        <f>IF('Lease Cycles'!$C$32&gt;0,COUNTIF('Lease Cycles'!$BG$32:$BM$32,"&lt;="&amp;BQ$6),0)</f>
        <v>0</v>
      </c>
      <c r="BR418" s="25">
        <f>IF('Lease Cycles'!$C$32&gt;0,COUNTIF('Lease Cycles'!$BG$32:$BM$32,"&lt;="&amp;BR$6),0)</f>
        <v>0</v>
      </c>
      <c r="BS418" s="25">
        <f>IF('Lease Cycles'!$C$32&gt;0,COUNTIF('Lease Cycles'!$BG$32:$BM$32,"&lt;="&amp;BS$6),0)</f>
        <v>0</v>
      </c>
      <c r="BT418" s="25">
        <f>IF('Lease Cycles'!$C$32&gt;0,COUNTIF('Lease Cycles'!$BG$32:$BM$32,"&lt;="&amp;BT$6),0)</f>
        <v>0</v>
      </c>
      <c r="BU418" s="25">
        <f>IF('Lease Cycles'!$C$32&gt;0,COUNTIF('Lease Cycles'!$BG$32:$BM$32,"&lt;="&amp;BU$6),0)</f>
        <v>0</v>
      </c>
      <c r="BV418" s="25">
        <f>IF('Lease Cycles'!$C$32&gt;0,COUNTIF('Lease Cycles'!$BG$32:$BM$32,"&lt;="&amp;BV$6),0)</f>
        <v>0</v>
      </c>
      <c r="BW418" s="25">
        <f>IF('Lease Cycles'!$C$32&gt;0,COUNTIF('Lease Cycles'!$BG$32:$BM$32,"&lt;="&amp;BW$6),0)</f>
        <v>0</v>
      </c>
      <c r="BX418" s="25">
        <f>IF('Lease Cycles'!$C$32&gt;0,COUNTIF('Lease Cycles'!$BG$32:$BM$32,"&lt;="&amp;BX$6),0)</f>
        <v>0</v>
      </c>
      <c r="BY418" s="25">
        <f>IF('Lease Cycles'!$C$32&gt;0,COUNTIF('Lease Cycles'!$BG$32:$BM$32,"&lt;="&amp;BY$6),0)</f>
        <v>0</v>
      </c>
      <c r="BZ418" s="25">
        <f>IF('Lease Cycles'!$C$32&gt;0,COUNTIF('Lease Cycles'!$BG$32:$BM$32,"&lt;="&amp;BZ$6),0)</f>
        <v>0</v>
      </c>
      <c r="CA418" s="25">
        <f>IF('Lease Cycles'!$C$32&gt;0,COUNTIF('Lease Cycles'!$BG$32:$BM$32,"&lt;="&amp;CA$6),0)</f>
        <v>0</v>
      </c>
      <c r="CB418" s="25">
        <f>IF('Lease Cycles'!$C$32&gt;0,COUNTIF('Lease Cycles'!$BG$32:$BM$32,"&lt;="&amp;CB$6),0)</f>
        <v>0</v>
      </c>
      <c r="CC418" s="25">
        <f>IF('Lease Cycles'!$C$32&gt;0,COUNTIF('Lease Cycles'!$BG$32:$BM$32,"&lt;="&amp;CC$6),0)</f>
        <v>0</v>
      </c>
      <c r="CD418" s="25">
        <f>IF('Lease Cycles'!$C$32&gt;0,COUNTIF('Lease Cycles'!$BG$32:$BM$32,"&lt;="&amp;CD$6),0)</f>
        <v>0</v>
      </c>
      <c r="CE418" s="25">
        <f>IF('Lease Cycles'!$C$32&gt;0,COUNTIF('Lease Cycles'!$BG$32:$BM$32,"&lt;="&amp;CE$6),0)</f>
        <v>0</v>
      </c>
      <c r="CF418" s="25">
        <f>IF('Lease Cycles'!$C$32&gt;0,COUNTIF('Lease Cycles'!$BG$32:$BM$32,"&lt;="&amp;CF$6),0)</f>
        <v>0</v>
      </c>
      <c r="CG418" s="25">
        <f>IF('Lease Cycles'!$C$32&gt;0,COUNTIF('Lease Cycles'!$BG$32:$BM$32,"&lt;="&amp;CG$6),0)</f>
        <v>0</v>
      </c>
      <c r="CH418" s="25">
        <f>IF('Lease Cycles'!$C$32&gt;0,COUNTIF('Lease Cycles'!$BG$32:$BM$32,"&lt;="&amp;CH$6),0)</f>
        <v>0</v>
      </c>
      <c r="CI418" s="25">
        <f>IF('Lease Cycles'!$C$32&gt;0,COUNTIF('Lease Cycles'!$BG$32:$BM$32,"&lt;="&amp;CI$6),0)</f>
        <v>0</v>
      </c>
      <c r="CJ418" s="25">
        <f>IF('Lease Cycles'!$C$32&gt;0,COUNTIF('Lease Cycles'!$BG$32:$BM$32,"&lt;="&amp;CJ$6),0)</f>
        <v>0</v>
      </c>
      <c r="CK418" s="25">
        <f>IF('Lease Cycles'!$C$32&gt;0,COUNTIF('Lease Cycles'!$BG$32:$BM$32,"&lt;="&amp;CK$6),0)</f>
        <v>0</v>
      </c>
      <c r="CL418" s="25">
        <f>IF('Lease Cycles'!$C$32&gt;0,COUNTIF('Lease Cycles'!$BG$32:$BM$32,"&lt;="&amp;CL$6),0)</f>
        <v>0</v>
      </c>
      <c r="CM418" s="25">
        <f>IF('Lease Cycles'!$C$32&gt;0,COUNTIF('Lease Cycles'!$BG$32:$BM$32,"&lt;="&amp;CM$6),0)</f>
        <v>0</v>
      </c>
      <c r="CN418" s="25">
        <f>IF('Lease Cycles'!$C$32&gt;0,COUNTIF('Lease Cycles'!$BG$32:$BM$32,"&lt;="&amp;CN$6),0)</f>
        <v>0</v>
      </c>
      <c r="CO418" s="25">
        <f>IF('Lease Cycles'!$C$32&gt;0,COUNTIF('Lease Cycles'!$BG$32:$BM$32,"&lt;="&amp;CO$6),0)</f>
        <v>0</v>
      </c>
      <c r="CP418" s="25">
        <f>IF('Lease Cycles'!$C$32&gt;0,COUNTIF('Lease Cycles'!$BG$32:$BM$32,"&lt;="&amp;CP$6),0)</f>
        <v>0</v>
      </c>
      <c r="CQ418" s="25">
        <f>IF('Lease Cycles'!$C$32&gt;0,COUNTIF('Lease Cycles'!$BG$32:$BM$32,"&lt;="&amp;CQ$6),0)</f>
        <v>0</v>
      </c>
      <c r="CR418" s="25">
        <f>IF('Lease Cycles'!$C$32&gt;0,COUNTIF('Lease Cycles'!$BG$32:$BM$32,"&lt;="&amp;CR$6),0)</f>
        <v>0</v>
      </c>
      <c r="CS418" s="25">
        <f>IF('Lease Cycles'!$C$32&gt;0,COUNTIF('Lease Cycles'!$BG$32:$BM$32,"&lt;="&amp;CS$6),0)</f>
        <v>0</v>
      </c>
      <c r="CT418" s="25">
        <f>IF('Lease Cycles'!$C$32&gt;0,COUNTIF('Lease Cycles'!$BG$32:$BM$32,"&lt;="&amp;CT$6),0)</f>
        <v>0</v>
      </c>
      <c r="CU418" s="25">
        <f>IF('Lease Cycles'!$C$32&gt;0,COUNTIF('Lease Cycles'!$BG$32:$BM$32,"&lt;="&amp;CU$6),0)</f>
        <v>0</v>
      </c>
      <c r="CV418" s="25">
        <f>IF('Lease Cycles'!$C$32&gt;0,COUNTIF('Lease Cycles'!$BG$32:$BM$32,"&lt;="&amp;CV$6),0)</f>
        <v>0</v>
      </c>
      <c r="CW418" s="25">
        <f>IF('Lease Cycles'!$C$32&gt;0,COUNTIF('Lease Cycles'!$BG$32:$BM$32,"&lt;="&amp;CW$6),0)</f>
        <v>0</v>
      </c>
      <c r="CX418" s="25">
        <f>IF('Lease Cycles'!$C$32&gt;0,COUNTIF('Lease Cycles'!$BG$32:$BM$32,"&lt;="&amp;CX$6),0)</f>
        <v>0</v>
      </c>
      <c r="CY418" s="25">
        <f>IF('Lease Cycles'!$C$32&gt;0,COUNTIF('Lease Cycles'!$BG$32:$BM$32,"&lt;="&amp;CY$6),0)</f>
        <v>0</v>
      </c>
      <c r="CZ418" s="25">
        <f>IF('Lease Cycles'!$C$32&gt;0,COUNTIF('Lease Cycles'!$BG$32:$BM$32,"&lt;="&amp;CZ$6),0)</f>
        <v>0</v>
      </c>
      <c r="DA418" s="25">
        <f>IF('Lease Cycles'!$C$32&gt;0,COUNTIF('Lease Cycles'!$BG$32:$BM$32,"&lt;="&amp;DA$6),0)</f>
        <v>0</v>
      </c>
      <c r="DB418" s="25">
        <f>IF('Lease Cycles'!$C$32&gt;0,COUNTIF('Lease Cycles'!$BG$32:$BM$32,"&lt;="&amp;DB$6),0)</f>
        <v>0</v>
      </c>
      <c r="DC418" s="25">
        <f>IF('Lease Cycles'!$C$32&gt;0,COUNTIF('Lease Cycles'!$BG$32:$BM$32,"&lt;="&amp;DC$6),0)</f>
        <v>0</v>
      </c>
      <c r="DD418" s="25">
        <f>IF('Lease Cycles'!$C$32&gt;0,COUNTIF('Lease Cycles'!$BG$32:$BM$32,"&lt;="&amp;DD$6),0)</f>
        <v>0</v>
      </c>
      <c r="DE418" s="25">
        <f>IF('Lease Cycles'!$C$32&gt;0,COUNTIF('Lease Cycles'!$BG$32:$BM$32,"&lt;="&amp;DE$6),0)</f>
        <v>0</v>
      </c>
      <c r="DF418" s="25">
        <f>IF('Lease Cycles'!$C$32&gt;0,COUNTIF('Lease Cycles'!$BG$32:$BM$32,"&lt;="&amp;DF$6),0)</f>
        <v>0</v>
      </c>
      <c r="DG418" s="25">
        <f>IF('Lease Cycles'!$C$32&gt;0,COUNTIF('Lease Cycles'!$BG$32:$BM$32,"&lt;="&amp;DG$6),0)</f>
        <v>0</v>
      </c>
      <c r="DH418" s="25">
        <f>IF('Lease Cycles'!$C$32&gt;0,COUNTIF('Lease Cycles'!$BG$32:$BM$32,"&lt;="&amp;DH$6),0)</f>
        <v>0</v>
      </c>
      <c r="DI418" s="25">
        <f>IF('Lease Cycles'!$C$32&gt;0,COUNTIF('Lease Cycles'!$BG$32:$BM$32,"&lt;="&amp;DI$6),0)</f>
        <v>0</v>
      </c>
      <c r="DJ418" s="25">
        <f>IF('Lease Cycles'!$C$32&gt;0,COUNTIF('Lease Cycles'!$BG$32:$BM$32,"&lt;="&amp;DJ$6),0)</f>
        <v>0</v>
      </c>
      <c r="DK418" s="25">
        <f>IF('Lease Cycles'!$C$32&gt;0,COUNTIF('Lease Cycles'!$BG$32:$BM$32,"&lt;="&amp;DK$6),0)</f>
        <v>0</v>
      </c>
      <c r="DL418" s="25">
        <f>IF('Lease Cycles'!$C$32&gt;0,COUNTIF('Lease Cycles'!$BG$32:$BM$32,"&lt;="&amp;DL$6),0)</f>
        <v>0</v>
      </c>
      <c r="DM418" s="25">
        <f>IF('Lease Cycles'!$C$32&gt;0,COUNTIF('Lease Cycles'!$BG$32:$BM$32,"&lt;="&amp;DM$6),0)</f>
        <v>0</v>
      </c>
      <c r="DN418" s="25">
        <f>IF('Lease Cycles'!$C$32&gt;0,COUNTIF('Lease Cycles'!$BG$32:$BM$32,"&lt;="&amp;DN$6),0)</f>
        <v>0</v>
      </c>
      <c r="DO418" s="25">
        <f>IF('Lease Cycles'!$C$32&gt;0,COUNTIF('Lease Cycles'!$BG$32:$BM$32,"&lt;="&amp;DO$6),0)</f>
        <v>0</v>
      </c>
      <c r="DP418" s="25">
        <f>IF('Lease Cycles'!$C$32&gt;0,COUNTIF('Lease Cycles'!$BG$32:$BM$32,"&lt;="&amp;DP$6),0)</f>
        <v>0</v>
      </c>
      <c r="DQ418" s="25">
        <f>IF('Lease Cycles'!$C$32&gt;0,COUNTIF('Lease Cycles'!$BG$32:$BM$32,"&lt;="&amp;DQ$6),0)</f>
        <v>0</v>
      </c>
      <c r="DR418" s="25">
        <f>IF('Lease Cycles'!$C$32&gt;0,COUNTIF('Lease Cycles'!$BG$32:$BM$32,"&lt;="&amp;DR$6),0)</f>
        <v>0</v>
      </c>
      <c r="DS418" s="25">
        <f>IF('Lease Cycles'!$C$32&gt;0,COUNTIF('Lease Cycles'!$BG$32:$BM$32,"&lt;="&amp;DS$6),0)</f>
        <v>0</v>
      </c>
      <c r="DT418" s="25">
        <f>IF('Lease Cycles'!$C$32&gt;0,COUNTIF('Lease Cycles'!$BG$32:$BM$32,"&lt;="&amp;DT$6),0)</f>
        <v>0</v>
      </c>
      <c r="DU418" s="25">
        <f>IF('Lease Cycles'!$C$32&gt;0,COUNTIF('Lease Cycles'!$BG$32:$BM$32,"&lt;="&amp;DU$6),0)</f>
        <v>0</v>
      </c>
      <c r="DV418" s="25">
        <f>IF('Lease Cycles'!$C$32&gt;0,COUNTIF('Lease Cycles'!$BG$32:$BM$32,"&lt;="&amp;DV$6),0)</f>
        <v>0</v>
      </c>
      <c r="DW418" s="25">
        <f>IF('Lease Cycles'!$C$32&gt;0,COUNTIF('Lease Cycles'!$BG$32:$BM$32,"&lt;="&amp;DW$6),0)</f>
        <v>0</v>
      </c>
      <c r="DX418" s="25">
        <f>IF('Lease Cycles'!$C$32&gt;0,COUNTIF('Lease Cycles'!$BG$32:$BM$32,"&lt;="&amp;DX$6),0)</f>
        <v>0</v>
      </c>
      <c r="DY418" s="25">
        <f>IF('Lease Cycles'!$C$32&gt;0,COUNTIF('Lease Cycles'!$BG$32:$BM$32,"&lt;="&amp;DY$6),0)</f>
        <v>0</v>
      </c>
      <c r="DZ418" s="25">
        <f>IF('Lease Cycles'!$C$32&gt;0,COUNTIF('Lease Cycles'!$BG$32:$BM$32,"&lt;="&amp;DZ$6),0)</f>
        <v>0</v>
      </c>
      <c r="EA418" s="25">
        <f>IF('Lease Cycles'!$C$32&gt;0,COUNTIF('Lease Cycles'!$BG$32:$BM$32,"&lt;="&amp;EA$6),0)</f>
        <v>0</v>
      </c>
      <c r="EB418" s="25">
        <f>IF('Lease Cycles'!$C$32&gt;0,COUNTIF('Lease Cycles'!$BG$32:$BM$32,"&lt;="&amp;EB$6),0)</f>
        <v>0</v>
      </c>
      <c r="EC418" s="25">
        <f>IF('Lease Cycles'!$C$32&gt;0,COUNTIF('Lease Cycles'!$BG$32:$BM$32,"&lt;="&amp;EC$6),0)</f>
        <v>0</v>
      </c>
      <c r="ED418" s="25">
        <f>IF('Lease Cycles'!$C$32&gt;0,COUNTIF('Lease Cycles'!$BG$32:$BM$32,"&lt;="&amp;ED$6),0)</f>
        <v>0</v>
      </c>
      <c r="EE418" s="25">
        <f>IF('Lease Cycles'!$C$32&gt;0,COUNTIF('Lease Cycles'!$BG$32:$BM$32,"&lt;="&amp;EE$6),0)</f>
        <v>0</v>
      </c>
      <c r="EF418" s="25">
        <f>IF('Lease Cycles'!$C$32&gt;0,COUNTIF('Lease Cycles'!$BG$32:$BM$32,"&lt;="&amp;EF$6),0)</f>
        <v>0</v>
      </c>
      <c r="EG418" s="25">
        <f>IF('Lease Cycles'!$C$32&gt;0,COUNTIF('Lease Cycles'!$BG$32:$BM$32,"&lt;="&amp;EG$6),0)</f>
        <v>0</v>
      </c>
      <c r="EH418" s="25">
        <f>IF('Lease Cycles'!$C$32&gt;0,COUNTIF('Lease Cycles'!$BG$32:$BM$32,"&lt;="&amp;EH$6),0)</f>
        <v>0</v>
      </c>
      <c r="EI418" s="25">
        <f>IF('Lease Cycles'!$C$32&gt;0,COUNTIF('Lease Cycles'!$BG$32:$BM$32,"&lt;="&amp;EI$6),0)</f>
        <v>0</v>
      </c>
      <c r="EJ418" s="25">
        <f>IF('Lease Cycles'!$C$32&gt;0,COUNTIF('Lease Cycles'!$BG$32:$BM$32,"&lt;="&amp;EJ$6),0)</f>
        <v>0</v>
      </c>
      <c r="EK418" s="25">
        <f>IF('Lease Cycles'!$C$32&gt;0,COUNTIF('Lease Cycles'!$BG$32:$BM$32,"&lt;="&amp;EK$6),0)</f>
        <v>0</v>
      </c>
      <c r="EL418" s="25">
        <f>IF('Lease Cycles'!$C$32&gt;0,COUNTIF('Lease Cycles'!$BG$32:$BM$32,"&lt;="&amp;EL$6),0)</f>
        <v>0</v>
      </c>
      <c r="EM418" s="25">
        <f>IF('Lease Cycles'!$C$32&gt;0,COUNTIF('Lease Cycles'!$BG$32:$BM$32,"&lt;="&amp;EM$6),0)</f>
        <v>0</v>
      </c>
      <c r="EN418" s="25">
        <f>IF('Lease Cycles'!$C$32&gt;0,COUNTIF('Lease Cycles'!$BG$32:$BM$32,"&lt;="&amp;EN$6),0)</f>
        <v>0</v>
      </c>
      <c r="EO418" s="25">
        <f>IF('Lease Cycles'!$C$32&gt;0,COUNTIF('Lease Cycles'!$BG$32:$BM$32,"&lt;="&amp;EO$6),0)</f>
        <v>0</v>
      </c>
      <c r="EP418" s="25">
        <f>IF('Lease Cycles'!$C$32&gt;0,COUNTIF('Lease Cycles'!$BG$32:$BM$32,"&lt;="&amp;EP$6),0)</f>
        <v>0</v>
      </c>
      <c r="EQ418" s="25">
        <f>IF('Lease Cycles'!$C$32&gt;0,COUNTIF('Lease Cycles'!$BG$32:$BM$32,"&lt;="&amp;EQ$6),0)</f>
        <v>0</v>
      </c>
      <c r="ER418" s="25">
        <f>IF('Lease Cycles'!$C$32&gt;0,COUNTIF('Lease Cycles'!$BG$32:$BM$32,"&lt;="&amp;ER$6),0)</f>
        <v>0</v>
      </c>
      <c r="ES418" s="25">
        <f>IF('Lease Cycles'!$C$32&gt;0,COUNTIF('Lease Cycles'!$BG$32:$BM$32,"&lt;="&amp;ES$6),0)</f>
        <v>0</v>
      </c>
      <c r="ET418" s="25">
        <f>IF('Lease Cycles'!$C$32&gt;0,COUNTIF('Lease Cycles'!$BG$32:$BM$32,"&lt;="&amp;ET$6),0)</f>
        <v>0</v>
      </c>
    </row>
    <row r="419">
      <c r="A419" s="103">
        <v>25</v>
      </c>
      <c r="B419" s="23" t="str">
        <f>IF('Lease Cycles'!$B$32="","(empty slot)",'Lease Cycles'!$B$32)</f>
        <v>(empty slot)</v>
      </c>
      <c r="C419" s="23" t="s">
        <v>673</v>
      </c>
      <c r="D419" s="104" t="s">
        <v>674</v>
      </c>
      <c r="E419" s="25">
        <f>'Lease Cycles'!$AL$32</f>
        <v>0</v>
      </c>
      <c r="S419" s="25">
        <f>IF(S418=0,-1,S$6-INDEX('Lease Cycles'!$BG$32:$BM$32,1,S418))</f>
        <v>-1</v>
      </c>
      <c r="T419" s="25">
        <f>IF(T418=0,-1,T$6-INDEX('Lease Cycles'!$BG$32:$BM$32,1,T418))</f>
        <v>-1</v>
      </c>
      <c r="U419" s="25">
        <f>IF(U418=0,-1,U$6-INDEX('Lease Cycles'!$BG$32:$BM$32,1,U418))</f>
        <v>-1</v>
      </c>
      <c r="V419" s="25">
        <f>IF(V418=0,-1,V$6-INDEX('Lease Cycles'!$BG$32:$BM$32,1,V418))</f>
        <v>-1</v>
      </c>
      <c r="W419" s="25">
        <f>IF(W418=0,-1,W$6-INDEX('Lease Cycles'!$BG$32:$BM$32,1,W418))</f>
        <v>-1</v>
      </c>
      <c r="X419" s="25">
        <f>IF(X418=0,-1,X$6-INDEX('Lease Cycles'!$BG$32:$BM$32,1,X418))</f>
        <v>-1</v>
      </c>
      <c r="Y419" s="25">
        <f>IF(Y418=0,-1,Y$6-INDEX('Lease Cycles'!$BG$32:$BM$32,1,Y418))</f>
        <v>-1</v>
      </c>
      <c r="Z419" s="25">
        <f>IF(Z418=0,-1,Z$6-INDEX('Lease Cycles'!$BG$32:$BM$32,1,Z418))</f>
        <v>-1</v>
      </c>
      <c r="AA419" s="25">
        <f>IF(AA418=0,-1,AA$6-INDEX('Lease Cycles'!$BG$32:$BM$32,1,AA418))</f>
        <v>-1</v>
      </c>
      <c r="AB419" s="25">
        <f>IF(AB418=0,-1,AB$6-INDEX('Lease Cycles'!$BG$32:$BM$32,1,AB418))</f>
        <v>-1</v>
      </c>
      <c r="AC419" s="25">
        <f>IF(AC418=0,-1,AC$6-INDEX('Lease Cycles'!$BG$32:$BM$32,1,AC418))</f>
        <v>-1</v>
      </c>
      <c r="AD419" s="25">
        <f>IF(AD418=0,-1,AD$6-INDEX('Lease Cycles'!$BG$32:$BM$32,1,AD418))</f>
        <v>-1</v>
      </c>
      <c r="AE419" s="25">
        <f>IF(AE418=0,-1,AE$6-INDEX('Lease Cycles'!$BG$32:$BM$32,1,AE418))</f>
        <v>-1</v>
      </c>
      <c r="AF419" s="25">
        <f>IF(AF418=0,-1,AF$6-INDEX('Lease Cycles'!$BG$32:$BM$32,1,AF418))</f>
        <v>-1</v>
      </c>
      <c r="AG419" s="25">
        <f>IF(AG418=0,-1,AG$6-INDEX('Lease Cycles'!$BG$32:$BM$32,1,AG418))</f>
        <v>-1</v>
      </c>
      <c r="AH419" s="25">
        <f>IF(AH418=0,-1,AH$6-INDEX('Lease Cycles'!$BG$32:$BM$32,1,AH418))</f>
        <v>-1</v>
      </c>
      <c r="AI419" s="25">
        <f>IF(AI418=0,-1,AI$6-INDEX('Lease Cycles'!$BG$32:$BM$32,1,AI418))</f>
        <v>-1</v>
      </c>
      <c r="AJ419" s="25">
        <f>IF(AJ418=0,-1,AJ$6-INDEX('Lease Cycles'!$BG$32:$BM$32,1,AJ418))</f>
        <v>-1</v>
      </c>
      <c r="AK419" s="25">
        <f>IF(AK418=0,-1,AK$6-INDEX('Lease Cycles'!$BG$32:$BM$32,1,AK418))</f>
        <v>-1</v>
      </c>
      <c r="AL419" s="25">
        <f>IF(AL418=0,-1,AL$6-INDEX('Lease Cycles'!$BG$32:$BM$32,1,AL418))</f>
        <v>-1</v>
      </c>
      <c r="AM419" s="25">
        <f>IF(AM418=0,-1,AM$6-INDEX('Lease Cycles'!$BG$32:$BM$32,1,AM418))</f>
        <v>-1</v>
      </c>
      <c r="AN419" s="25">
        <f>IF(AN418=0,-1,AN$6-INDEX('Lease Cycles'!$BG$32:$BM$32,1,AN418))</f>
        <v>-1</v>
      </c>
      <c r="AO419" s="25">
        <f>IF(AO418=0,-1,AO$6-INDEX('Lease Cycles'!$BG$32:$BM$32,1,AO418))</f>
        <v>-1</v>
      </c>
      <c r="AP419" s="25">
        <f>IF(AP418=0,-1,AP$6-INDEX('Lease Cycles'!$BG$32:$BM$32,1,AP418))</f>
        <v>-1</v>
      </c>
      <c r="AQ419" s="25">
        <f>IF(AQ418=0,-1,AQ$6-INDEX('Lease Cycles'!$BG$32:$BM$32,1,AQ418))</f>
        <v>-1</v>
      </c>
      <c r="AR419" s="25">
        <f>IF(AR418=0,-1,AR$6-INDEX('Lease Cycles'!$BG$32:$BM$32,1,AR418))</f>
        <v>-1</v>
      </c>
      <c r="AS419" s="25">
        <f>IF(AS418=0,-1,AS$6-INDEX('Lease Cycles'!$BG$32:$BM$32,1,AS418))</f>
        <v>-1</v>
      </c>
      <c r="AT419" s="25">
        <f>IF(AT418=0,-1,AT$6-INDEX('Lease Cycles'!$BG$32:$BM$32,1,AT418))</f>
        <v>-1</v>
      </c>
      <c r="AU419" s="25">
        <f>IF(AU418=0,-1,AU$6-INDEX('Lease Cycles'!$BG$32:$BM$32,1,AU418))</f>
        <v>-1</v>
      </c>
      <c r="AV419" s="25">
        <f>IF(AV418=0,-1,AV$6-INDEX('Lease Cycles'!$BG$32:$BM$32,1,AV418))</f>
        <v>-1</v>
      </c>
      <c r="AW419" s="25">
        <f>IF(AW418=0,-1,AW$6-INDEX('Lease Cycles'!$BG$32:$BM$32,1,AW418))</f>
        <v>-1</v>
      </c>
      <c r="AX419" s="25">
        <f>IF(AX418=0,-1,AX$6-INDEX('Lease Cycles'!$BG$32:$BM$32,1,AX418))</f>
        <v>-1</v>
      </c>
      <c r="AY419" s="25">
        <f>IF(AY418=0,-1,AY$6-INDEX('Lease Cycles'!$BG$32:$BM$32,1,AY418))</f>
        <v>-1</v>
      </c>
      <c r="AZ419" s="25">
        <f>IF(AZ418=0,-1,AZ$6-INDEX('Lease Cycles'!$BG$32:$BM$32,1,AZ418))</f>
        <v>-1</v>
      </c>
      <c r="BA419" s="25">
        <f>IF(BA418=0,-1,BA$6-INDEX('Lease Cycles'!$BG$32:$BM$32,1,BA418))</f>
        <v>-1</v>
      </c>
      <c r="BB419" s="25">
        <f>IF(BB418=0,-1,BB$6-INDEX('Lease Cycles'!$BG$32:$BM$32,1,BB418))</f>
        <v>-1</v>
      </c>
      <c r="BC419" s="25">
        <f>IF(BC418=0,-1,BC$6-INDEX('Lease Cycles'!$BG$32:$BM$32,1,BC418))</f>
        <v>-1</v>
      </c>
      <c r="BD419" s="25">
        <f>IF(BD418=0,-1,BD$6-INDEX('Lease Cycles'!$BG$32:$BM$32,1,BD418))</f>
        <v>-1</v>
      </c>
      <c r="BE419" s="25">
        <f>IF(BE418=0,-1,BE$6-INDEX('Lease Cycles'!$BG$32:$BM$32,1,BE418))</f>
        <v>-1</v>
      </c>
      <c r="BF419" s="25">
        <f>IF(BF418=0,-1,BF$6-INDEX('Lease Cycles'!$BG$32:$BM$32,1,BF418))</f>
        <v>-1</v>
      </c>
      <c r="BG419" s="25">
        <f>IF(BG418=0,-1,BG$6-INDEX('Lease Cycles'!$BG$32:$BM$32,1,BG418))</f>
        <v>-1</v>
      </c>
      <c r="BH419" s="25">
        <f>IF(BH418=0,-1,BH$6-INDEX('Lease Cycles'!$BG$32:$BM$32,1,BH418))</f>
        <v>-1</v>
      </c>
      <c r="BI419" s="25">
        <f>IF(BI418=0,-1,BI$6-INDEX('Lease Cycles'!$BG$32:$BM$32,1,BI418))</f>
        <v>-1</v>
      </c>
      <c r="BJ419" s="25">
        <f>IF(BJ418=0,-1,BJ$6-INDEX('Lease Cycles'!$BG$32:$BM$32,1,BJ418))</f>
        <v>-1</v>
      </c>
      <c r="BK419" s="25">
        <f>IF(BK418=0,-1,BK$6-INDEX('Lease Cycles'!$BG$32:$BM$32,1,BK418))</f>
        <v>-1</v>
      </c>
      <c r="BL419" s="25">
        <f>IF(BL418=0,-1,BL$6-INDEX('Lease Cycles'!$BG$32:$BM$32,1,BL418))</f>
        <v>-1</v>
      </c>
      <c r="BM419" s="25">
        <f>IF(BM418=0,-1,BM$6-INDEX('Lease Cycles'!$BG$32:$BM$32,1,BM418))</f>
        <v>-1</v>
      </c>
      <c r="BN419" s="25">
        <f>IF(BN418=0,-1,BN$6-INDEX('Lease Cycles'!$BG$32:$BM$32,1,BN418))</f>
        <v>-1</v>
      </c>
      <c r="BO419" s="25">
        <f>IF(BO418=0,-1,BO$6-INDEX('Lease Cycles'!$BG$32:$BM$32,1,BO418))</f>
        <v>-1</v>
      </c>
      <c r="BP419" s="25">
        <f>IF(BP418=0,-1,BP$6-INDEX('Lease Cycles'!$BG$32:$BM$32,1,BP418))</f>
        <v>-1</v>
      </c>
      <c r="BQ419" s="25">
        <f>IF(BQ418=0,-1,BQ$6-INDEX('Lease Cycles'!$BG$32:$BM$32,1,BQ418))</f>
        <v>-1</v>
      </c>
      <c r="BR419" s="25">
        <f>IF(BR418=0,-1,BR$6-INDEX('Lease Cycles'!$BG$32:$BM$32,1,BR418))</f>
        <v>-1</v>
      </c>
      <c r="BS419" s="25">
        <f>IF(BS418=0,-1,BS$6-INDEX('Lease Cycles'!$BG$32:$BM$32,1,BS418))</f>
        <v>-1</v>
      </c>
      <c r="BT419" s="25">
        <f>IF(BT418=0,-1,BT$6-INDEX('Lease Cycles'!$BG$32:$BM$32,1,BT418))</f>
        <v>-1</v>
      </c>
      <c r="BU419" s="25">
        <f>IF(BU418=0,-1,BU$6-INDEX('Lease Cycles'!$BG$32:$BM$32,1,BU418))</f>
        <v>-1</v>
      </c>
      <c r="BV419" s="25">
        <f>IF(BV418=0,-1,BV$6-INDEX('Lease Cycles'!$BG$32:$BM$32,1,BV418))</f>
        <v>-1</v>
      </c>
      <c r="BW419" s="25">
        <f>IF(BW418=0,-1,BW$6-INDEX('Lease Cycles'!$BG$32:$BM$32,1,BW418))</f>
        <v>-1</v>
      </c>
      <c r="BX419" s="25">
        <f>IF(BX418=0,-1,BX$6-INDEX('Lease Cycles'!$BG$32:$BM$32,1,BX418))</f>
        <v>-1</v>
      </c>
      <c r="BY419" s="25">
        <f>IF(BY418=0,-1,BY$6-INDEX('Lease Cycles'!$BG$32:$BM$32,1,BY418))</f>
        <v>-1</v>
      </c>
      <c r="BZ419" s="25">
        <f>IF(BZ418=0,-1,BZ$6-INDEX('Lease Cycles'!$BG$32:$BM$32,1,BZ418))</f>
        <v>-1</v>
      </c>
      <c r="CA419" s="25">
        <f>IF(CA418=0,-1,CA$6-INDEX('Lease Cycles'!$BG$32:$BM$32,1,CA418))</f>
        <v>-1</v>
      </c>
      <c r="CB419" s="25">
        <f>IF(CB418=0,-1,CB$6-INDEX('Lease Cycles'!$BG$32:$BM$32,1,CB418))</f>
        <v>-1</v>
      </c>
      <c r="CC419" s="25">
        <f>IF(CC418=0,-1,CC$6-INDEX('Lease Cycles'!$BG$32:$BM$32,1,CC418))</f>
        <v>-1</v>
      </c>
      <c r="CD419" s="25">
        <f>IF(CD418=0,-1,CD$6-INDEX('Lease Cycles'!$BG$32:$BM$32,1,CD418))</f>
        <v>-1</v>
      </c>
      <c r="CE419" s="25">
        <f>IF(CE418=0,-1,CE$6-INDEX('Lease Cycles'!$BG$32:$BM$32,1,CE418))</f>
        <v>-1</v>
      </c>
      <c r="CF419" s="25">
        <f>IF(CF418=0,-1,CF$6-INDEX('Lease Cycles'!$BG$32:$BM$32,1,CF418))</f>
        <v>-1</v>
      </c>
      <c r="CG419" s="25">
        <f>IF(CG418=0,-1,CG$6-INDEX('Lease Cycles'!$BG$32:$BM$32,1,CG418))</f>
        <v>-1</v>
      </c>
      <c r="CH419" s="25">
        <f>IF(CH418=0,-1,CH$6-INDEX('Lease Cycles'!$BG$32:$BM$32,1,CH418))</f>
        <v>-1</v>
      </c>
      <c r="CI419" s="25">
        <f>IF(CI418=0,-1,CI$6-INDEX('Lease Cycles'!$BG$32:$BM$32,1,CI418))</f>
        <v>-1</v>
      </c>
      <c r="CJ419" s="25">
        <f>IF(CJ418=0,-1,CJ$6-INDEX('Lease Cycles'!$BG$32:$BM$32,1,CJ418))</f>
        <v>-1</v>
      </c>
      <c r="CK419" s="25">
        <f>IF(CK418=0,-1,CK$6-INDEX('Lease Cycles'!$BG$32:$BM$32,1,CK418))</f>
        <v>-1</v>
      </c>
      <c r="CL419" s="25">
        <f>IF(CL418=0,-1,CL$6-INDEX('Lease Cycles'!$BG$32:$BM$32,1,CL418))</f>
        <v>-1</v>
      </c>
      <c r="CM419" s="25">
        <f>IF(CM418=0,-1,CM$6-INDEX('Lease Cycles'!$BG$32:$BM$32,1,CM418))</f>
        <v>-1</v>
      </c>
      <c r="CN419" s="25">
        <f>IF(CN418=0,-1,CN$6-INDEX('Lease Cycles'!$BG$32:$BM$32,1,CN418))</f>
        <v>-1</v>
      </c>
      <c r="CO419" s="25">
        <f>IF(CO418=0,-1,CO$6-INDEX('Lease Cycles'!$BG$32:$BM$32,1,CO418))</f>
        <v>-1</v>
      </c>
      <c r="CP419" s="25">
        <f>IF(CP418=0,-1,CP$6-INDEX('Lease Cycles'!$BG$32:$BM$32,1,CP418))</f>
        <v>-1</v>
      </c>
      <c r="CQ419" s="25">
        <f>IF(CQ418=0,-1,CQ$6-INDEX('Lease Cycles'!$BG$32:$BM$32,1,CQ418))</f>
        <v>-1</v>
      </c>
      <c r="CR419" s="25">
        <f>IF(CR418=0,-1,CR$6-INDEX('Lease Cycles'!$BG$32:$BM$32,1,CR418))</f>
        <v>-1</v>
      </c>
      <c r="CS419" s="25">
        <f>IF(CS418=0,-1,CS$6-INDEX('Lease Cycles'!$BG$32:$BM$32,1,CS418))</f>
        <v>-1</v>
      </c>
      <c r="CT419" s="25">
        <f>IF(CT418=0,-1,CT$6-INDEX('Lease Cycles'!$BG$32:$BM$32,1,CT418))</f>
        <v>-1</v>
      </c>
      <c r="CU419" s="25">
        <f>IF(CU418=0,-1,CU$6-INDEX('Lease Cycles'!$BG$32:$BM$32,1,CU418))</f>
        <v>-1</v>
      </c>
      <c r="CV419" s="25">
        <f>IF(CV418=0,-1,CV$6-INDEX('Lease Cycles'!$BG$32:$BM$32,1,CV418))</f>
        <v>-1</v>
      </c>
      <c r="CW419" s="25">
        <f>IF(CW418=0,-1,CW$6-INDEX('Lease Cycles'!$BG$32:$BM$32,1,CW418))</f>
        <v>-1</v>
      </c>
      <c r="CX419" s="25">
        <f>IF(CX418=0,-1,CX$6-INDEX('Lease Cycles'!$BG$32:$BM$32,1,CX418))</f>
        <v>-1</v>
      </c>
      <c r="CY419" s="25">
        <f>IF(CY418=0,-1,CY$6-INDEX('Lease Cycles'!$BG$32:$BM$32,1,CY418))</f>
        <v>-1</v>
      </c>
      <c r="CZ419" s="25">
        <f>IF(CZ418=0,-1,CZ$6-INDEX('Lease Cycles'!$BG$32:$BM$32,1,CZ418))</f>
        <v>-1</v>
      </c>
      <c r="DA419" s="25">
        <f>IF(DA418=0,-1,DA$6-INDEX('Lease Cycles'!$BG$32:$BM$32,1,DA418))</f>
        <v>-1</v>
      </c>
      <c r="DB419" s="25">
        <f>IF(DB418=0,-1,DB$6-INDEX('Lease Cycles'!$BG$32:$BM$32,1,DB418))</f>
        <v>-1</v>
      </c>
      <c r="DC419" s="25">
        <f>IF(DC418=0,-1,DC$6-INDEX('Lease Cycles'!$BG$32:$BM$32,1,DC418))</f>
        <v>-1</v>
      </c>
      <c r="DD419" s="25">
        <f>IF(DD418=0,-1,DD$6-INDEX('Lease Cycles'!$BG$32:$BM$32,1,DD418))</f>
        <v>-1</v>
      </c>
      <c r="DE419" s="25">
        <f>IF(DE418=0,-1,DE$6-INDEX('Lease Cycles'!$BG$32:$BM$32,1,DE418))</f>
        <v>-1</v>
      </c>
      <c r="DF419" s="25">
        <f>IF(DF418=0,-1,DF$6-INDEX('Lease Cycles'!$BG$32:$BM$32,1,DF418))</f>
        <v>-1</v>
      </c>
      <c r="DG419" s="25">
        <f>IF(DG418=0,-1,DG$6-INDEX('Lease Cycles'!$BG$32:$BM$32,1,DG418))</f>
        <v>-1</v>
      </c>
      <c r="DH419" s="25">
        <f>IF(DH418=0,-1,DH$6-INDEX('Lease Cycles'!$BG$32:$BM$32,1,DH418))</f>
        <v>-1</v>
      </c>
      <c r="DI419" s="25">
        <f>IF(DI418=0,-1,DI$6-INDEX('Lease Cycles'!$BG$32:$BM$32,1,DI418))</f>
        <v>-1</v>
      </c>
      <c r="DJ419" s="25">
        <f>IF(DJ418=0,-1,DJ$6-INDEX('Lease Cycles'!$BG$32:$BM$32,1,DJ418))</f>
        <v>-1</v>
      </c>
      <c r="DK419" s="25">
        <f>IF(DK418=0,-1,DK$6-INDEX('Lease Cycles'!$BG$32:$BM$32,1,DK418))</f>
        <v>-1</v>
      </c>
      <c r="DL419" s="25">
        <f>IF(DL418=0,-1,DL$6-INDEX('Lease Cycles'!$BG$32:$BM$32,1,DL418))</f>
        <v>-1</v>
      </c>
      <c r="DM419" s="25">
        <f>IF(DM418=0,-1,DM$6-INDEX('Lease Cycles'!$BG$32:$BM$32,1,DM418))</f>
        <v>-1</v>
      </c>
      <c r="DN419" s="25">
        <f>IF(DN418=0,-1,DN$6-INDEX('Lease Cycles'!$BG$32:$BM$32,1,DN418))</f>
        <v>-1</v>
      </c>
      <c r="DO419" s="25">
        <f>IF(DO418=0,-1,DO$6-INDEX('Lease Cycles'!$BG$32:$BM$32,1,DO418))</f>
        <v>-1</v>
      </c>
      <c r="DP419" s="25">
        <f>IF(DP418=0,-1,DP$6-INDEX('Lease Cycles'!$BG$32:$BM$32,1,DP418))</f>
        <v>-1</v>
      </c>
      <c r="DQ419" s="25">
        <f>IF(DQ418=0,-1,DQ$6-INDEX('Lease Cycles'!$BG$32:$BM$32,1,DQ418))</f>
        <v>-1</v>
      </c>
      <c r="DR419" s="25">
        <f>IF(DR418=0,-1,DR$6-INDEX('Lease Cycles'!$BG$32:$BM$32,1,DR418))</f>
        <v>-1</v>
      </c>
      <c r="DS419" s="25">
        <f>IF(DS418=0,-1,DS$6-INDEX('Lease Cycles'!$BG$32:$BM$32,1,DS418))</f>
        <v>-1</v>
      </c>
      <c r="DT419" s="25">
        <f>IF(DT418=0,-1,DT$6-INDEX('Lease Cycles'!$BG$32:$BM$32,1,DT418))</f>
        <v>-1</v>
      </c>
      <c r="DU419" s="25">
        <f>IF(DU418=0,-1,DU$6-INDEX('Lease Cycles'!$BG$32:$BM$32,1,DU418))</f>
        <v>-1</v>
      </c>
      <c r="DV419" s="25">
        <f>IF(DV418=0,-1,DV$6-INDEX('Lease Cycles'!$BG$32:$BM$32,1,DV418))</f>
        <v>-1</v>
      </c>
      <c r="DW419" s="25">
        <f>IF(DW418=0,-1,DW$6-INDEX('Lease Cycles'!$BG$32:$BM$32,1,DW418))</f>
        <v>-1</v>
      </c>
      <c r="DX419" s="25">
        <f>IF(DX418=0,-1,DX$6-INDEX('Lease Cycles'!$BG$32:$BM$32,1,DX418))</f>
        <v>-1</v>
      </c>
      <c r="DY419" s="25">
        <f>IF(DY418=0,-1,DY$6-INDEX('Lease Cycles'!$BG$32:$BM$32,1,DY418))</f>
        <v>-1</v>
      </c>
      <c r="DZ419" s="25">
        <f>IF(DZ418=0,-1,DZ$6-INDEX('Lease Cycles'!$BG$32:$BM$32,1,DZ418))</f>
        <v>-1</v>
      </c>
      <c r="EA419" s="25">
        <f>IF(EA418=0,-1,EA$6-INDEX('Lease Cycles'!$BG$32:$BM$32,1,EA418))</f>
        <v>-1</v>
      </c>
      <c r="EB419" s="25">
        <f>IF(EB418=0,-1,EB$6-INDEX('Lease Cycles'!$BG$32:$BM$32,1,EB418))</f>
        <v>-1</v>
      </c>
      <c r="EC419" s="25">
        <f>IF(EC418=0,-1,EC$6-INDEX('Lease Cycles'!$BG$32:$BM$32,1,EC418))</f>
        <v>-1</v>
      </c>
      <c r="ED419" s="25">
        <f>IF(ED418=0,-1,ED$6-INDEX('Lease Cycles'!$BG$32:$BM$32,1,ED418))</f>
        <v>-1</v>
      </c>
      <c r="EE419" s="25">
        <f>IF(EE418=0,-1,EE$6-INDEX('Lease Cycles'!$BG$32:$BM$32,1,EE418))</f>
        <v>-1</v>
      </c>
      <c r="EF419" s="25">
        <f>IF(EF418=0,-1,EF$6-INDEX('Lease Cycles'!$BG$32:$BM$32,1,EF418))</f>
        <v>-1</v>
      </c>
      <c r="EG419" s="25">
        <f>IF(EG418=0,-1,EG$6-INDEX('Lease Cycles'!$BG$32:$BM$32,1,EG418))</f>
        <v>-1</v>
      </c>
      <c r="EH419" s="25">
        <f>IF(EH418=0,-1,EH$6-INDEX('Lease Cycles'!$BG$32:$BM$32,1,EH418))</f>
        <v>-1</v>
      </c>
      <c r="EI419" s="25">
        <f>IF(EI418=0,-1,EI$6-INDEX('Lease Cycles'!$BG$32:$BM$32,1,EI418))</f>
        <v>-1</v>
      </c>
      <c r="EJ419" s="25">
        <f>IF(EJ418=0,-1,EJ$6-INDEX('Lease Cycles'!$BG$32:$BM$32,1,EJ418))</f>
        <v>-1</v>
      </c>
      <c r="EK419" s="25">
        <f>IF(EK418=0,-1,EK$6-INDEX('Lease Cycles'!$BG$32:$BM$32,1,EK418))</f>
        <v>-1</v>
      </c>
      <c r="EL419" s="25">
        <f>IF(EL418=0,-1,EL$6-INDEX('Lease Cycles'!$BG$32:$BM$32,1,EL418))</f>
        <v>-1</v>
      </c>
      <c r="EM419" s="25">
        <f>IF(EM418=0,-1,EM$6-INDEX('Lease Cycles'!$BG$32:$BM$32,1,EM418))</f>
        <v>-1</v>
      </c>
      <c r="EN419" s="25">
        <f>IF(EN418=0,-1,EN$6-INDEX('Lease Cycles'!$BG$32:$BM$32,1,EN418))</f>
        <v>-1</v>
      </c>
      <c r="EO419" s="25">
        <f>IF(EO418=0,-1,EO$6-INDEX('Lease Cycles'!$BG$32:$BM$32,1,EO418))</f>
        <v>-1</v>
      </c>
      <c r="EP419" s="25">
        <f>IF(EP418=0,-1,EP$6-INDEX('Lease Cycles'!$BG$32:$BM$32,1,EP418))</f>
        <v>-1</v>
      </c>
      <c r="EQ419" s="25">
        <f>IF(EQ418=0,-1,EQ$6-INDEX('Lease Cycles'!$BG$32:$BM$32,1,EQ418))</f>
        <v>-1</v>
      </c>
      <c r="ER419" s="25">
        <f>IF(ER418=0,-1,ER$6-INDEX('Lease Cycles'!$BG$32:$BM$32,1,ER418))</f>
        <v>-1</v>
      </c>
      <c r="ES419" s="25">
        <f>IF(ES418=0,-1,ES$6-INDEX('Lease Cycles'!$BG$32:$BM$32,1,ES418))</f>
        <v>-1</v>
      </c>
      <c r="ET419" s="25">
        <f>IF(ET418=0,-1,ET$6-INDEX('Lease Cycles'!$BG$32:$BM$32,1,ET418))</f>
        <v>-1</v>
      </c>
    </row>
    <row r="420">
      <c r="A420" s="103">
        <v>25</v>
      </c>
      <c r="B420" s="23" t="str">
        <f>IF('Lease Cycles'!$B$32="","(empty slot)",'Lease Cycles'!$B$32)</f>
        <v>(empty slot)</v>
      </c>
      <c r="C420" s="23" t="s">
        <v>675</v>
      </c>
      <c r="D420" s="104" t="s">
        <v>676</v>
      </c>
      <c r="E420" s="25">
        <f>'Lease Cycles'!$AL$32</f>
        <v>0</v>
      </c>
      <c r="S420" s="25">
        <f>IF(S418=0,0,IF(S419&lt;INDEX('Lease Cycles'!$BN$32:$BT$32,1,S418),1,0))</f>
        <v>0</v>
      </c>
      <c r="T420" s="25">
        <f>IF(T418=0,0,IF(T419&lt;INDEX('Lease Cycles'!$BN$32:$BT$32,1,T418),1,0))</f>
        <v>0</v>
      </c>
      <c r="U420" s="25">
        <f>IF(U418=0,0,IF(U419&lt;INDEX('Lease Cycles'!$BN$32:$BT$32,1,U418),1,0))</f>
        <v>0</v>
      </c>
      <c r="V420" s="25">
        <f>IF(V418=0,0,IF(V419&lt;INDEX('Lease Cycles'!$BN$32:$BT$32,1,V418),1,0))</f>
        <v>0</v>
      </c>
      <c r="W420" s="25">
        <f>IF(W418=0,0,IF(W419&lt;INDEX('Lease Cycles'!$BN$32:$BT$32,1,W418),1,0))</f>
        <v>0</v>
      </c>
      <c r="X420" s="25">
        <f>IF(X418=0,0,IF(X419&lt;INDEX('Lease Cycles'!$BN$32:$BT$32,1,X418),1,0))</f>
        <v>0</v>
      </c>
      <c r="Y420" s="25">
        <f>IF(Y418=0,0,IF(Y419&lt;INDEX('Lease Cycles'!$BN$32:$BT$32,1,Y418),1,0))</f>
        <v>0</v>
      </c>
      <c r="Z420" s="25">
        <f>IF(Z418=0,0,IF(Z419&lt;INDEX('Lease Cycles'!$BN$32:$BT$32,1,Z418),1,0))</f>
        <v>0</v>
      </c>
      <c r="AA420" s="25">
        <f>IF(AA418=0,0,IF(AA419&lt;INDEX('Lease Cycles'!$BN$32:$BT$32,1,AA418),1,0))</f>
        <v>0</v>
      </c>
      <c r="AB420" s="25">
        <f>IF(AB418=0,0,IF(AB419&lt;INDEX('Lease Cycles'!$BN$32:$BT$32,1,AB418),1,0))</f>
        <v>0</v>
      </c>
      <c r="AC420" s="25">
        <f>IF(AC418=0,0,IF(AC419&lt;INDEX('Lease Cycles'!$BN$32:$BT$32,1,AC418),1,0))</f>
        <v>0</v>
      </c>
      <c r="AD420" s="25">
        <f>IF(AD418=0,0,IF(AD419&lt;INDEX('Lease Cycles'!$BN$32:$BT$32,1,AD418),1,0))</f>
        <v>0</v>
      </c>
      <c r="AE420" s="25">
        <f>IF(AE418=0,0,IF(AE419&lt;INDEX('Lease Cycles'!$BN$32:$BT$32,1,AE418),1,0))</f>
        <v>0</v>
      </c>
      <c r="AF420" s="25">
        <f>IF(AF418=0,0,IF(AF419&lt;INDEX('Lease Cycles'!$BN$32:$BT$32,1,AF418),1,0))</f>
        <v>0</v>
      </c>
      <c r="AG420" s="25">
        <f>IF(AG418=0,0,IF(AG419&lt;INDEX('Lease Cycles'!$BN$32:$BT$32,1,AG418),1,0))</f>
        <v>0</v>
      </c>
      <c r="AH420" s="25">
        <f>IF(AH418=0,0,IF(AH419&lt;INDEX('Lease Cycles'!$BN$32:$BT$32,1,AH418),1,0))</f>
        <v>0</v>
      </c>
      <c r="AI420" s="25">
        <f>IF(AI418=0,0,IF(AI419&lt;INDEX('Lease Cycles'!$BN$32:$BT$32,1,AI418),1,0))</f>
        <v>0</v>
      </c>
      <c r="AJ420" s="25">
        <f>IF(AJ418=0,0,IF(AJ419&lt;INDEX('Lease Cycles'!$BN$32:$BT$32,1,AJ418),1,0))</f>
        <v>0</v>
      </c>
      <c r="AK420" s="25">
        <f>IF(AK418=0,0,IF(AK419&lt;INDEX('Lease Cycles'!$BN$32:$BT$32,1,AK418),1,0))</f>
        <v>0</v>
      </c>
      <c r="AL420" s="25">
        <f>IF(AL418=0,0,IF(AL419&lt;INDEX('Lease Cycles'!$BN$32:$BT$32,1,AL418),1,0))</f>
        <v>0</v>
      </c>
      <c r="AM420" s="25">
        <f>IF(AM418=0,0,IF(AM419&lt;INDEX('Lease Cycles'!$BN$32:$BT$32,1,AM418),1,0))</f>
        <v>0</v>
      </c>
      <c r="AN420" s="25">
        <f>IF(AN418=0,0,IF(AN419&lt;INDEX('Lease Cycles'!$BN$32:$BT$32,1,AN418),1,0))</f>
        <v>0</v>
      </c>
      <c r="AO420" s="25">
        <f>IF(AO418=0,0,IF(AO419&lt;INDEX('Lease Cycles'!$BN$32:$BT$32,1,AO418),1,0))</f>
        <v>0</v>
      </c>
      <c r="AP420" s="25">
        <f>IF(AP418=0,0,IF(AP419&lt;INDEX('Lease Cycles'!$BN$32:$BT$32,1,AP418),1,0))</f>
        <v>0</v>
      </c>
      <c r="AQ420" s="25">
        <f>IF(AQ418=0,0,IF(AQ419&lt;INDEX('Lease Cycles'!$BN$32:$BT$32,1,AQ418),1,0))</f>
        <v>0</v>
      </c>
      <c r="AR420" s="25">
        <f>IF(AR418=0,0,IF(AR419&lt;INDEX('Lease Cycles'!$BN$32:$BT$32,1,AR418),1,0))</f>
        <v>0</v>
      </c>
      <c r="AS420" s="25">
        <f>IF(AS418=0,0,IF(AS419&lt;INDEX('Lease Cycles'!$BN$32:$BT$32,1,AS418),1,0))</f>
        <v>0</v>
      </c>
      <c r="AT420" s="25">
        <f>IF(AT418=0,0,IF(AT419&lt;INDEX('Lease Cycles'!$BN$32:$BT$32,1,AT418),1,0))</f>
        <v>0</v>
      </c>
      <c r="AU420" s="25">
        <f>IF(AU418=0,0,IF(AU419&lt;INDEX('Lease Cycles'!$BN$32:$BT$32,1,AU418),1,0))</f>
        <v>0</v>
      </c>
      <c r="AV420" s="25">
        <f>IF(AV418=0,0,IF(AV419&lt;INDEX('Lease Cycles'!$BN$32:$BT$32,1,AV418),1,0))</f>
        <v>0</v>
      </c>
      <c r="AW420" s="25">
        <f>IF(AW418=0,0,IF(AW419&lt;INDEX('Lease Cycles'!$BN$32:$BT$32,1,AW418),1,0))</f>
        <v>0</v>
      </c>
      <c r="AX420" s="25">
        <f>IF(AX418=0,0,IF(AX419&lt;INDEX('Lease Cycles'!$BN$32:$BT$32,1,AX418),1,0))</f>
        <v>0</v>
      </c>
      <c r="AY420" s="25">
        <f>IF(AY418=0,0,IF(AY419&lt;INDEX('Lease Cycles'!$BN$32:$BT$32,1,AY418),1,0))</f>
        <v>0</v>
      </c>
      <c r="AZ420" s="25">
        <f>IF(AZ418=0,0,IF(AZ419&lt;INDEX('Lease Cycles'!$BN$32:$BT$32,1,AZ418),1,0))</f>
        <v>0</v>
      </c>
      <c r="BA420" s="25">
        <f>IF(BA418=0,0,IF(BA419&lt;INDEX('Lease Cycles'!$BN$32:$BT$32,1,BA418),1,0))</f>
        <v>0</v>
      </c>
      <c r="BB420" s="25">
        <f>IF(BB418=0,0,IF(BB419&lt;INDEX('Lease Cycles'!$BN$32:$BT$32,1,BB418),1,0))</f>
        <v>0</v>
      </c>
      <c r="BC420" s="25">
        <f>IF(BC418=0,0,IF(BC419&lt;INDEX('Lease Cycles'!$BN$32:$BT$32,1,BC418),1,0))</f>
        <v>0</v>
      </c>
      <c r="BD420" s="25">
        <f>IF(BD418=0,0,IF(BD419&lt;INDEX('Lease Cycles'!$BN$32:$BT$32,1,BD418),1,0))</f>
        <v>0</v>
      </c>
      <c r="BE420" s="25">
        <f>IF(BE418=0,0,IF(BE419&lt;INDEX('Lease Cycles'!$BN$32:$BT$32,1,BE418),1,0))</f>
        <v>0</v>
      </c>
      <c r="BF420" s="25">
        <f>IF(BF418=0,0,IF(BF419&lt;INDEX('Lease Cycles'!$BN$32:$BT$32,1,BF418),1,0))</f>
        <v>0</v>
      </c>
      <c r="BG420" s="25">
        <f>IF(BG418=0,0,IF(BG419&lt;INDEX('Lease Cycles'!$BN$32:$BT$32,1,BG418),1,0))</f>
        <v>0</v>
      </c>
      <c r="BH420" s="25">
        <f>IF(BH418=0,0,IF(BH419&lt;INDEX('Lease Cycles'!$BN$32:$BT$32,1,BH418),1,0))</f>
        <v>0</v>
      </c>
      <c r="BI420" s="25">
        <f>IF(BI418=0,0,IF(BI419&lt;INDEX('Lease Cycles'!$BN$32:$BT$32,1,BI418),1,0))</f>
        <v>0</v>
      </c>
      <c r="BJ420" s="25">
        <f>IF(BJ418=0,0,IF(BJ419&lt;INDEX('Lease Cycles'!$BN$32:$BT$32,1,BJ418),1,0))</f>
        <v>0</v>
      </c>
      <c r="BK420" s="25">
        <f>IF(BK418=0,0,IF(BK419&lt;INDEX('Lease Cycles'!$BN$32:$BT$32,1,BK418),1,0))</f>
        <v>0</v>
      </c>
      <c r="BL420" s="25">
        <f>IF(BL418=0,0,IF(BL419&lt;INDEX('Lease Cycles'!$BN$32:$BT$32,1,BL418),1,0))</f>
        <v>0</v>
      </c>
      <c r="BM420" s="25">
        <f>IF(BM418=0,0,IF(BM419&lt;INDEX('Lease Cycles'!$BN$32:$BT$32,1,BM418),1,0))</f>
        <v>0</v>
      </c>
      <c r="BN420" s="25">
        <f>IF(BN418=0,0,IF(BN419&lt;INDEX('Lease Cycles'!$BN$32:$BT$32,1,BN418),1,0))</f>
        <v>0</v>
      </c>
      <c r="BO420" s="25">
        <f>IF(BO418=0,0,IF(BO419&lt;INDEX('Lease Cycles'!$BN$32:$BT$32,1,BO418),1,0))</f>
        <v>0</v>
      </c>
      <c r="BP420" s="25">
        <f>IF(BP418=0,0,IF(BP419&lt;INDEX('Lease Cycles'!$BN$32:$BT$32,1,BP418),1,0))</f>
        <v>0</v>
      </c>
      <c r="BQ420" s="25">
        <f>IF(BQ418=0,0,IF(BQ419&lt;INDEX('Lease Cycles'!$BN$32:$BT$32,1,BQ418),1,0))</f>
        <v>0</v>
      </c>
      <c r="BR420" s="25">
        <f>IF(BR418=0,0,IF(BR419&lt;INDEX('Lease Cycles'!$BN$32:$BT$32,1,BR418),1,0))</f>
        <v>0</v>
      </c>
      <c r="BS420" s="25">
        <f>IF(BS418=0,0,IF(BS419&lt;INDEX('Lease Cycles'!$BN$32:$BT$32,1,BS418),1,0))</f>
        <v>0</v>
      </c>
      <c r="BT420" s="25">
        <f>IF(BT418=0,0,IF(BT419&lt;INDEX('Lease Cycles'!$BN$32:$BT$32,1,BT418),1,0))</f>
        <v>0</v>
      </c>
      <c r="BU420" s="25">
        <f>IF(BU418=0,0,IF(BU419&lt;INDEX('Lease Cycles'!$BN$32:$BT$32,1,BU418),1,0))</f>
        <v>0</v>
      </c>
      <c r="BV420" s="25">
        <f>IF(BV418=0,0,IF(BV419&lt;INDEX('Lease Cycles'!$BN$32:$BT$32,1,BV418),1,0))</f>
        <v>0</v>
      </c>
      <c r="BW420" s="25">
        <f>IF(BW418=0,0,IF(BW419&lt;INDEX('Lease Cycles'!$BN$32:$BT$32,1,BW418),1,0))</f>
        <v>0</v>
      </c>
      <c r="BX420" s="25">
        <f>IF(BX418=0,0,IF(BX419&lt;INDEX('Lease Cycles'!$BN$32:$BT$32,1,BX418),1,0))</f>
        <v>0</v>
      </c>
      <c r="BY420" s="25">
        <f>IF(BY418=0,0,IF(BY419&lt;INDEX('Lease Cycles'!$BN$32:$BT$32,1,BY418),1,0))</f>
        <v>0</v>
      </c>
      <c r="BZ420" s="25">
        <f>IF(BZ418=0,0,IF(BZ419&lt;INDEX('Lease Cycles'!$BN$32:$BT$32,1,BZ418),1,0))</f>
        <v>0</v>
      </c>
      <c r="CA420" s="25">
        <f>IF(CA418=0,0,IF(CA419&lt;INDEX('Lease Cycles'!$BN$32:$BT$32,1,CA418),1,0))</f>
        <v>0</v>
      </c>
      <c r="CB420" s="25">
        <f>IF(CB418=0,0,IF(CB419&lt;INDEX('Lease Cycles'!$BN$32:$BT$32,1,CB418),1,0))</f>
        <v>0</v>
      </c>
      <c r="CC420" s="25">
        <f>IF(CC418=0,0,IF(CC419&lt;INDEX('Lease Cycles'!$BN$32:$BT$32,1,CC418),1,0))</f>
        <v>0</v>
      </c>
      <c r="CD420" s="25">
        <f>IF(CD418=0,0,IF(CD419&lt;INDEX('Lease Cycles'!$BN$32:$BT$32,1,CD418),1,0))</f>
        <v>0</v>
      </c>
      <c r="CE420" s="25">
        <f>IF(CE418=0,0,IF(CE419&lt;INDEX('Lease Cycles'!$BN$32:$BT$32,1,CE418),1,0))</f>
        <v>0</v>
      </c>
      <c r="CF420" s="25">
        <f>IF(CF418=0,0,IF(CF419&lt;INDEX('Lease Cycles'!$BN$32:$BT$32,1,CF418),1,0))</f>
        <v>0</v>
      </c>
      <c r="CG420" s="25">
        <f>IF(CG418=0,0,IF(CG419&lt;INDEX('Lease Cycles'!$BN$32:$BT$32,1,CG418),1,0))</f>
        <v>0</v>
      </c>
      <c r="CH420" s="25">
        <f>IF(CH418=0,0,IF(CH419&lt;INDEX('Lease Cycles'!$BN$32:$BT$32,1,CH418),1,0))</f>
        <v>0</v>
      </c>
      <c r="CI420" s="25">
        <f>IF(CI418=0,0,IF(CI419&lt;INDEX('Lease Cycles'!$BN$32:$BT$32,1,CI418),1,0))</f>
        <v>0</v>
      </c>
      <c r="CJ420" s="25">
        <f>IF(CJ418=0,0,IF(CJ419&lt;INDEX('Lease Cycles'!$BN$32:$BT$32,1,CJ418),1,0))</f>
        <v>0</v>
      </c>
      <c r="CK420" s="25">
        <f>IF(CK418=0,0,IF(CK419&lt;INDEX('Lease Cycles'!$BN$32:$BT$32,1,CK418),1,0))</f>
        <v>0</v>
      </c>
      <c r="CL420" s="25">
        <f>IF(CL418=0,0,IF(CL419&lt;INDEX('Lease Cycles'!$BN$32:$BT$32,1,CL418),1,0))</f>
        <v>0</v>
      </c>
      <c r="CM420" s="25">
        <f>IF(CM418=0,0,IF(CM419&lt;INDEX('Lease Cycles'!$BN$32:$BT$32,1,CM418),1,0))</f>
        <v>0</v>
      </c>
      <c r="CN420" s="25">
        <f>IF(CN418=0,0,IF(CN419&lt;INDEX('Lease Cycles'!$BN$32:$BT$32,1,CN418),1,0))</f>
        <v>0</v>
      </c>
      <c r="CO420" s="25">
        <f>IF(CO418=0,0,IF(CO419&lt;INDEX('Lease Cycles'!$BN$32:$BT$32,1,CO418),1,0))</f>
        <v>0</v>
      </c>
      <c r="CP420" s="25">
        <f>IF(CP418=0,0,IF(CP419&lt;INDEX('Lease Cycles'!$BN$32:$BT$32,1,CP418),1,0))</f>
        <v>0</v>
      </c>
      <c r="CQ420" s="25">
        <f>IF(CQ418=0,0,IF(CQ419&lt;INDEX('Lease Cycles'!$BN$32:$BT$32,1,CQ418),1,0))</f>
        <v>0</v>
      </c>
      <c r="CR420" s="25">
        <f>IF(CR418=0,0,IF(CR419&lt;INDEX('Lease Cycles'!$BN$32:$BT$32,1,CR418),1,0))</f>
        <v>0</v>
      </c>
      <c r="CS420" s="25">
        <f>IF(CS418=0,0,IF(CS419&lt;INDEX('Lease Cycles'!$BN$32:$BT$32,1,CS418),1,0))</f>
        <v>0</v>
      </c>
      <c r="CT420" s="25">
        <f>IF(CT418=0,0,IF(CT419&lt;INDEX('Lease Cycles'!$BN$32:$BT$32,1,CT418),1,0))</f>
        <v>0</v>
      </c>
      <c r="CU420" s="25">
        <f>IF(CU418=0,0,IF(CU419&lt;INDEX('Lease Cycles'!$BN$32:$BT$32,1,CU418),1,0))</f>
        <v>0</v>
      </c>
      <c r="CV420" s="25">
        <f>IF(CV418=0,0,IF(CV419&lt;INDEX('Lease Cycles'!$BN$32:$BT$32,1,CV418),1,0))</f>
        <v>0</v>
      </c>
      <c r="CW420" s="25">
        <f>IF(CW418=0,0,IF(CW419&lt;INDEX('Lease Cycles'!$BN$32:$BT$32,1,CW418),1,0))</f>
        <v>0</v>
      </c>
      <c r="CX420" s="25">
        <f>IF(CX418=0,0,IF(CX419&lt;INDEX('Lease Cycles'!$BN$32:$BT$32,1,CX418),1,0))</f>
        <v>0</v>
      </c>
      <c r="CY420" s="25">
        <f>IF(CY418=0,0,IF(CY419&lt;INDEX('Lease Cycles'!$BN$32:$BT$32,1,CY418),1,0))</f>
        <v>0</v>
      </c>
      <c r="CZ420" s="25">
        <f>IF(CZ418=0,0,IF(CZ419&lt;INDEX('Lease Cycles'!$BN$32:$BT$32,1,CZ418),1,0))</f>
        <v>0</v>
      </c>
      <c r="DA420" s="25">
        <f>IF(DA418=0,0,IF(DA419&lt;INDEX('Lease Cycles'!$BN$32:$BT$32,1,DA418),1,0))</f>
        <v>0</v>
      </c>
      <c r="DB420" s="25">
        <f>IF(DB418=0,0,IF(DB419&lt;INDEX('Lease Cycles'!$BN$32:$BT$32,1,DB418),1,0))</f>
        <v>0</v>
      </c>
      <c r="DC420" s="25">
        <f>IF(DC418=0,0,IF(DC419&lt;INDEX('Lease Cycles'!$BN$32:$BT$32,1,DC418),1,0))</f>
        <v>0</v>
      </c>
      <c r="DD420" s="25">
        <f>IF(DD418=0,0,IF(DD419&lt;INDEX('Lease Cycles'!$BN$32:$BT$32,1,DD418),1,0))</f>
        <v>0</v>
      </c>
      <c r="DE420" s="25">
        <f>IF(DE418=0,0,IF(DE419&lt;INDEX('Lease Cycles'!$BN$32:$BT$32,1,DE418),1,0))</f>
        <v>0</v>
      </c>
      <c r="DF420" s="25">
        <f>IF(DF418=0,0,IF(DF419&lt;INDEX('Lease Cycles'!$BN$32:$BT$32,1,DF418),1,0))</f>
        <v>0</v>
      </c>
      <c r="DG420" s="25">
        <f>IF(DG418=0,0,IF(DG419&lt;INDEX('Lease Cycles'!$BN$32:$BT$32,1,DG418),1,0))</f>
        <v>0</v>
      </c>
      <c r="DH420" s="25">
        <f>IF(DH418=0,0,IF(DH419&lt;INDEX('Lease Cycles'!$BN$32:$BT$32,1,DH418),1,0))</f>
        <v>0</v>
      </c>
      <c r="DI420" s="25">
        <f>IF(DI418=0,0,IF(DI419&lt;INDEX('Lease Cycles'!$BN$32:$BT$32,1,DI418),1,0))</f>
        <v>0</v>
      </c>
      <c r="DJ420" s="25">
        <f>IF(DJ418=0,0,IF(DJ419&lt;INDEX('Lease Cycles'!$BN$32:$BT$32,1,DJ418),1,0))</f>
        <v>0</v>
      </c>
      <c r="DK420" s="25">
        <f>IF(DK418=0,0,IF(DK419&lt;INDEX('Lease Cycles'!$BN$32:$BT$32,1,DK418),1,0))</f>
        <v>0</v>
      </c>
      <c r="DL420" s="25">
        <f>IF(DL418=0,0,IF(DL419&lt;INDEX('Lease Cycles'!$BN$32:$BT$32,1,DL418),1,0))</f>
        <v>0</v>
      </c>
      <c r="DM420" s="25">
        <f>IF(DM418=0,0,IF(DM419&lt;INDEX('Lease Cycles'!$BN$32:$BT$32,1,DM418),1,0))</f>
        <v>0</v>
      </c>
      <c r="DN420" s="25">
        <f>IF(DN418=0,0,IF(DN419&lt;INDEX('Lease Cycles'!$BN$32:$BT$32,1,DN418),1,0))</f>
        <v>0</v>
      </c>
      <c r="DO420" s="25">
        <f>IF(DO418=0,0,IF(DO419&lt;INDEX('Lease Cycles'!$BN$32:$BT$32,1,DO418),1,0))</f>
        <v>0</v>
      </c>
      <c r="DP420" s="25">
        <f>IF(DP418=0,0,IF(DP419&lt;INDEX('Lease Cycles'!$BN$32:$BT$32,1,DP418),1,0))</f>
        <v>0</v>
      </c>
      <c r="DQ420" s="25">
        <f>IF(DQ418=0,0,IF(DQ419&lt;INDEX('Lease Cycles'!$BN$32:$BT$32,1,DQ418),1,0))</f>
        <v>0</v>
      </c>
      <c r="DR420" s="25">
        <f>IF(DR418=0,0,IF(DR419&lt;INDEX('Lease Cycles'!$BN$32:$BT$32,1,DR418),1,0))</f>
        <v>0</v>
      </c>
      <c r="DS420" s="25">
        <f>IF(DS418=0,0,IF(DS419&lt;INDEX('Lease Cycles'!$BN$32:$BT$32,1,DS418),1,0))</f>
        <v>0</v>
      </c>
      <c r="DT420" s="25">
        <f>IF(DT418=0,0,IF(DT419&lt;INDEX('Lease Cycles'!$BN$32:$BT$32,1,DT418),1,0))</f>
        <v>0</v>
      </c>
      <c r="DU420" s="25">
        <f>IF(DU418=0,0,IF(DU419&lt;INDEX('Lease Cycles'!$BN$32:$BT$32,1,DU418),1,0))</f>
        <v>0</v>
      </c>
      <c r="DV420" s="25">
        <f>IF(DV418=0,0,IF(DV419&lt;INDEX('Lease Cycles'!$BN$32:$BT$32,1,DV418),1,0))</f>
        <v>0</v>
      </c>
      <c r="DW420" s="25">
        <f>IF(DW418=0,0,IF(DW419&lt;INDEX('Lease Cycles'!$BN$32:$BT$32,1,DW418),1,0))</f>
        <v>0</v>
      </c>
      <c r="DX420" s="25">
        <f>IF(DX418=0,0,IF(DX419&lt;INDEX('Lease Cycles'!$BN$32:$BT$32,1,DX418),1,0))</f>
        <v>0</v>
      </c>
      <c r="DY420" s="25">
        <f>IF(DY418=0,0,IF(DY419&lt;INDEX('Lease Cycles'!$BN$32:$BT$32,1,DY418),1,0))</f>
        <v>0</v>
      </c>
      <c r="DZ420" s="25">
        <f>IF(DZ418=0,0,IF(DZ419&lt;INDEX('Lease Cycles'!$BN$32:$BT$32,1,DZ418),1,0))</f>
        <v>0</v>
      </c>
      <c r="EA420" s="25">
        <f>IF(EA418=0,0,IF(EA419&lt;INDEX('Lease Cycles'!$BN$32:$BT$32,1,EA418),1,0))</f>
        <v>0</v>
      </c>
      <c r="EB420" s="25">
        <f>IF(EB418=0,0,IF(EB419&lt;INDEX('Lease Cycles'!$BN$32:$BT$32,1,EB418),1,0))</f>
        <v>0</v>
      </c>
      <c r="EC420" s="25">
        <f>IF(EC418=0,0,IF(EC419&lt;INDEX('Lease Cycles'!$BN$32:$BT$32,1,EC418),1,0))</f>
        <v>0</v>
      </c>
      <c r="ED420" s="25">
        <f>IF(ED418=0,0,IF(ED419&lt;INDEX('Lease Cycles'!$BN$32:$BT$32,1,ED418),1,0))</f>
        <v>0</v>
      </c>
      <c r="EE420" s="25">
        <f>IF(EE418=0,0,IF(EE419&lt;INDEX('Lease Cycles'!$BN$32:$BT$32,1,EE418),1,0))</f>
        <v>0</v>
      </c>
      <c r="EF420" s="25">
        <f>IF(EF418=0,0,IF(EF419&lt;INDEX('Lease Cycles'!$BN$32:$BT$32,1,EF418),1,0))</f>
        <v>0</v>
      </c>
      <c r="EG420" s="25">
        <f>IF(EG418=0,0,IF(EG419&lt;INDEX('Lease Cycles'!$BN$32:$BT$32,1,EG418),1,0))</f>
        <v>0</v>
      </c>
      <c r="EH420" s="25">
        <f>IF(EH418=0,0,IF(EH419&lt;INDEX('Lease Cycles'!$BN$32:$BT$32,1,EH418),1,0))</f>
        <v>0</v>
      </c>
      <c r="EI420" s="25">
        <f>IF(EI418=0,0,IF(EI419&lt;INDEX('Lease Cycles'!$BN$32:$BT$32,1,EI418),1,0))</f>
        <v>0</v>
      </c>
      <c r="EJ420" s="25">
        <f>IF(EJ418=0,0,IF(EJ419&lt;INDEX('Lease Cycles'!$BN$32:$BT$32,1,EJ418),1,0))</f>
        <v>0</v>
      </c>
      <c r="EK420" s="25">
        <f>IF(EK418=0,0,IF(EK419&lt;INDEX('Lease Cycles'!$BN$32:$BT$32,1,EK418),1,0))</f>
        <v>0</v>
      </c>
      <c r="EL420" s="25">
        <f>IF(EL418=0,0,IF(EL419&lt;INDEX('Lease Cycles'!$BN$32:$BT$32,1,EL418),1,0))</f>
        <v>0</v>
      </c>
      <c r="EM420" s="25">
        <f>IF(EM418=0,0,IF(EM419&lt;INDEX('Lease Cycles'!$BN$32:$BT$32,1,EM418),1,0))</f>
        <v>0</v>
      </c>
      <c r="EN420" s="25">
        <f>IF(EN418=0,0,IF(EN419&lt;INDEX('Lease Cycles'!$BN$32:$BT$32,1,EN418),1,0))</f>
        <v>0</v>
      </c>
      <c r="EO420" s="25">
        <f>IF(EO418=0,0,IF(EO419&lt;INDEX('Lease Cycles'!$BN$32:$BT$32,1,EO418),1,0))</f>
        <v>0</v>
      </c>
      <c r="EP420" s="25">
        <f>IF(EP418=0,0,IF(EP419&lt;INDEX('Lease Cycles'!$BN$32:$BT$32,1,EP418),1,0))</f>
        <v>0</v>
      </c>
      <c r="EQ420" s="25">
        <f>IF(EQ418=0,0,IF(EQ419&lt;INDEX('Lease Cycles'!$BN$32:$BT$32,1,EQ418),1,0))</f>
        <v>0</v>
      </c>
      <c r="ER420" s="25">
        <f>IF(ER418=0,0,IF(ER419&lt;INDEX('Lease Cycles'!$BN$32:$BT$32,1,ER418),1,0))</f>
        <v>0</v>
      </c>
      <c r="ES420" s="25">
        <f>IF(ES418=0,0,IF(ES419&lt;INDEX('Lease Cycles'!$BN$32:$BT$32,1,ES418),1,0))</f>
        <v>0</v>
      </c>
      <c r="ET420" s="25">
        <f>IF(ET418=0,0,IF(ET419&lt;INDEX('Lease Cycles'!$BN$32:$BT$32,1,ET418),1,0))</f>
        <v>0</v>
      </c>
    </row>
    <row r="421">
      <c r="A421" s="103">
        <v>25</v>
      </c>
      <c r="B421" s="23" t="str">
        <f>IF('Lease Cycles'!$B$32="","(empty slot)",'Lease Cycles'!$B$32)</f>
        <v>(empty slot)</v>
      </c>
      <c r="C421" s="23" t="s">
        <v>677</v>
      </c>
      <c r="D421" s="104" t="s">
        <v>678</v>
      </c>
      <c r="E421" s="25">
        <f>'Lease Cycles'!$AL$32</f>
        <v>0</v>
      </c>
      <c r="S421" s="28">
        <f>IF(S418=0,IF('Lease Cycles'!$F$32&gt;0,'Lease Cycles'!$C$32*'Lease Cycles'!$E$32/12,0),IF(S420=1,IF('Lease Cycles'!$AT$32&gt;=9999,'Lease Cycles'!$C$32*INDEX('Lease Cycles'!$CB$32:$CH$32,1,S418)*(1+INDEX('Lease Cycles'!$CI$32:$CO$32,1,S418))^INT(INT(S419/12)/INDEX('Lease Cycles'!$CP$32:$CV$32,1,S418))/12,IF(S418=1,IF(S419&gt;=INDEX('Lease Cycles'!$DK$32:$DQ$32,1,S418),IF(S$6&gt;='Lease Cycles'!$AZ$32,'Lease Cycles'!$C$32*'Lease Cycles'!$BA$32/12,IF(S$6&gt;='Lease Cycles'!$AX$32,'Lease Cycles'!$C$32*'Lease Cycles'!$AY$32/12,IF(S$6&gt;='Lease Cycles'!$AV$32,'Lease Cycles'!$C$32*'Lease Cycles'!$AW$32/12,IF(S$6&gt;='Lease Cycles'!$AT$32,'Lease Cycles'!$C$32*'Lease Cycles'!$AU$32/12,'Lease Cycles'!$C$32*INDEX('Lease Cycles'!$CB$32:$CH$32,1,S418)*(1+INDEX('Lease Cycles'!$CI$32:$CO$32,1,S418))^INT(INT(S419/12)/INDEX('Lease Cycles'!$CP$32:$CV$32,1,S418))/12)))),'Lease Cycles'!$C$32*INDEX('Lease Cycles'!$CB$32:$CH$32,1,S418)*(1+INDEX('Lease Cycles'!$CI$32:$CO$32,1,S418))^INT(INT(S419/12)/INDEX('Lease Cycles'!$CP$32:$CV$32,1,S418))/12),IF(INDEX('Lease Cycles'!$EF$32:$EL$32,1,S418)=1,IF(AND('Lease Cycles'!$AZ$32&gt;=INDEX('Lease Cycles'!$BG$32:$BM$32,1,S418),'Lease Cycles'!$AZ$32&lt;=S$6),'Lease Cycles'!$C$32*'Lease Cycles'!$BA$32/12,IF(AND('Lease Cycles'!$AX$32&gt;=INDEX('Lease Cycles'!$BG$32:$BM$32,1,S418),'Lease Cycles'!$AX$32&lt;=S$6),'Lease Cycles'!$C$32*'Lease Cycles'!$AY$32/12,IF(AND('Lease Cycles'!$AV$32&gt;=INDEX('Lease Cycles'!$BG$32:$BM$32,1,S418),'Lease Cycles'!$AV$32&lt;=S$6),'Lease Cycles'!$C$32*'Lease Cycles'!$AW$32/12,IF(AND('Lease Cycles'!$AT$32&gt;=INDEX('Lease Cycles'!$BG$32:$BM$32,1,S418),'Lease Cycles'!$AT$32&lt;=S$6),'Lease Cycles'!$C$32*'Lease Cycles'!$AU$32/12,'Lease Cycles'!$C$32*INDEX('Lease Cycles'!$CB$32:$CH$32,1,S418)*(1+INDEX('Lease Cycles'!$CI$32:$CO$32,1,S418))^INT(INT(S419/12)/INDEX('Lease Cycles'!$CP$32:$CV$32,1,S418))/12)))),'Lease Cycles'!$C$32*INDEX('Lease Cycles'!$CB$32:$CH$32,1,S418)*(1+INDEX('Lease Cycles'!$CI$32:$CO$32,1,S418))^INT(INT(S419/12)/INDEX('Lease Cycles'!$CP$32:$CV$32,1,S418))/12))),IF('Lease Cycles'!$N$32=1,'Lease Cycles'!$C$32*'Lease Cycles'!$E$32*INDEX('Lease Cycles'!$HE$32:$HK$32,1,S418)*(1+INDEX('Lease Cycles'!$GQ$32:$GW$32,1,S418))^INT(INT((S$6-INDEX('Lease Cycles'!$GJ$32:$GP$32,1,S418))/12)/INDEX('Lease Cycles'!$GX$32:$HD$32,1,S418))/12,0)))</f>
        <v>0</v>
      </c>
      <c r="T421" s="28">
        <f>IF(T418=0,IF('Lease Cycles'!$F$32&gt;0,'Lease Cycles'!$C$32*'Lease Cycles'!$E$32/12,0),IF(T420=1,IF('Lease Cycles'!$AT$32&gt;=9999,'Lease Cycles'!$C$32*INDEX('Lease Cycles'!$CB$32:$CH$32,1,T418)*(1+INDEX('Lease Cycles'!$CI$32:$CO$32,1,T418))^INT(INT(T419/12)/INDEX('Lease Cycles'!$CP$32:$CV$32,1,T418))/12,IF(T418=1,IF(T419&gt;=INDEX('Lease Cycles'!$DK$32:$DQ$32,1,T418),IF(T$6&gt;='Lease Cycles'!$AZ$32,'Lease Cycles'!$C$32*'Lease Cycles'!$BA$32/12,IF(T$6&gt;='Lease Cycles'!$AX$32,'Lease Cycles'!$C$32*'Lease Cycles'!$AY$32/12,IF(T$6&gt;='Lease Cycles'!$AV$32,'Lease Cycles'!$C$32*'Lease Cycles'!$AW$32/12,IF(T$6&gt;='Lease Cycles'!$AT$32,'Lease Cycles'!$C$32*'Lease Cycles'!$AU$32/12,'Lease Cycles'!$C$32*INDEX('Lease Cycles'!$CB$32:$CH$32,1,T418)*(1+INDEX('Lease Cycles'!$CI$32:$CO$32,1,T418))^INT(INT(T419/12)/INDEX('Lease Cycles'!$CP$32:$CV$32,1,T418))/12)))),'Lease Cycles'!$C$32*INDEX('Lease Cycles'!$CB$32:$CH$32,1,T418)*(1+INDEX('Lease Cycles'!$CI$32:$CO$32,1,T418))^INT(INT(T419/12)/INDEX('Lease Cycles'!$CP$32:$CV$32,1,T418))/12),IF(INDEX('Lease Cycles'!$EF$32:$EL$32,1,T418)=1,IF(AND('Lease Cycles'!$AZ$32&gt;=INDEX('Lease Cycles'!$BG$32:$BM$32,1,T418),'Lease Cycles'!$AZ$32&lt;=T$6),'Lease Cycles'!$C$32*'Lease Cycles'!$BA$32/12,IF(AND('Lease Cycles'!$AX$32&gt;=INDEX('Lease Cycles'!$BG$32:$BM$32,1,T418),'Lease Cycles'!$AX$32&lt;=T$6),'Lease Cycles'!$C$32*'Lease Cycles'!$AY$32/12,IF(AND('Lease Cycles'!$AV$32&gt;=INDEX('Lease Cycles'!$BG$32:$BM$32,1,T418),'Lease Cycles'!$AV$32&lt;=T$6),'Lease Cycles'!$C$32*'Lease Cycles'!$AW$32/12,IF(AND('Lease Cycles'!$AT$32&gt;=INDEX('Lease Cycles'!$BG$32:$BM$32,1,T418),'Lease Cycles'!$AT$32&lt;=T$6),'Lease Cycles'!$C$32*'Lease Cycles'!$AU$32/12,'Lease Cycles'!$C$32*INDEX('Lease Cycles'!$CB$32:$CH$32,1,T418)*(1+INDEX('Lease Cycles'!$CI$32:$CO$32,1,T418))^INT(INT(T419/12)/INDEX('Lease Cycles'!$CP$32:$CV$32,1,T418))/12)))),'Lease Cycles'!$C$32*INDEX('Lease Cycles'!$CB$32:$CH$32,1,T418)*(1+INDEX('Lease Cycles'!$CI$32:$CO$32,1,T418))^INT(INT(T419/12)/INDEX('Lease Cycles'!$CP$32:$CV$32,1,T418))/12))),IF('Lease Cycles'!$N$32=1,'Lease Cycles'!$C$32*'Lease Cycles'!$E$32*INDEX('Lease Cycles'!$HE$32:$HK$32,1,T418)*(1+INDEX('Lease Cycles'!$GQ$32:$GW$32,1,T418))^INT(INT((T$6-INDEX('Lease Cycles'!$GJ$32:$GP$32,1,T418))/12)/INDEX('Lease Cycles'!$GX$32:$HD$32,1,T418))/12,0)))</f>
        <v>0</v>
      </c>
      <c r="U421" s="28">
        <f>IF(U418=0,IF('Lease Cycles'!$F$32&gt;0,'Lease Cycles'!$C$32*'Lease Cycles'!$E$32/12,0),IF(U420=1,IF('Lease Cycles'!$AT$32&gt;=9999,'Lease Cycles'!$C$32*INDEX('Lease Cycles'!$CB$32:$CH$32,1,U418)*(1+INDEX('Lease Cycles'!$CI$32:$CO$32,1,U418))^INT(INT(U419/12)/INDEX('Lease Cycles'!$CP$32:$CV$32,1,U418))/12,IF(U418=1,IF(U419&gt;=INDEX('Lease Cycles'!$DK$32:$DQ$32,1,U418),IF(U$6&gt;='Lease Cycles'!$AZ$32,'Lease Cycles'!$C$32*'Lease Cycles'!$BA$32/12,IF(U$6&gt;='Lease Cycles'!$AX$32,'Lease Cycles'!$C$32*'Lease Cycles'!$AY$32/12,IF(U$6&gt;='Lease Cycles'!$AV$32,'Lease Cycles'!$C$32*'Lease Cycles'!$AW$32/12,IF(U$6&gt;='Lease Cycles'!$AT$32,'Lease Cycles'!$C$32*'Lease Cycles'!$AU$32/12,'Lease Cycles'!$C$32*INDEX('Lease Cycles'!$CB$32:$CH$32,1,U418)*(1+INDEX('Lease Cycles'!$CI$32:$CO$32,1,U418))^INT(INT(U419/12)/INDEX('Lease Cycles'!$CP$32:$CV$32,1,U418))/12)))),'Lease Cycles'!$C$32*INDEX('Lease Cycles'!$CB$32:$CH$32,1,U418)*(1+INDEX('Lease Cycles'!$CI$32:$CO$32,1,U418))^INT(INT(U419/12)/INDEX('Lease Cycles'!$CP$32:$CV$32,1,U418))/12),IF(INDEX('Lease Cycles'!$EF$32:$EL$32,1,U418)=1,IF(AND('Lease Cycles'!$AZ$32&gt;=INDEX('Lease Cycles'!$BG$32:$BM$32,1,U418),'Lease Cycles'!$AZ$32&lt;=U$6),'Lease Cycles'!$C$32*'Lease Cycles'!$BA$32/12,IF(AND('Lease Cycles'!$AX$32&gt;=INDEX('Lease Cycles'!$BG$32:$BM$32,1,U418),'Lease Cycles'!$AX$32&lt;=U$6),'Lease Cycles'!$C$32*'Lease Cycles'!$AY$32/12,IF(AND('Lease Cycles'!$AV$32&gt;=INDEX('Lease Cycles'!$BG$32:$BM$32,1,U418),'Lease Cycles'!$AV$32&lt;=U$6),'Lease Cycles'!$C$32*'Lease Cycles'!$AW$32/12,IF(AND('Lease Cycles'!$AT$32&gt;=INDEX('Lease Cycles'!$BG$32:$BM$32,1,U418),'Lease Cycles'!$AT$32&lt;=U$6),'Lease Cycles'!$C$32*'Lease Cycles'!$AU$32/12,'Lease Cycles'!$C$32*INDEX('Lease Cycles'!$CB$32:$CH$32,1,U418)*(1+INDEX('Lease Cycles'!$CI$32:$CO$32,1,U418))^INT(INT(U419/12)/INDEX('Lease Cycles'!$CP$32:$CV$32,1,U418))/12)))),'Lease Cycles'!$C$32*INDEX('Lease Cycles'!$CB$32:$CH$32,1,U418)*(1+INDEX('Lease Cycles'!$CI$32:$CO$32,1,U418))^INT(INT(U419/12)/INDEX('Lease Cycles'!$CP$32:$CV$32,1,U418))/12))),IF('Lease Cycles'!$N$32=1,'Lease Cycles'!$C$32*'Lease Cycles'!$E$32*INDEX('Lease Cycles'!$HE$32:$HK$32,1,U418)*(1+INDEX('Lease Cycles'!$GQ$32:$GW$32,1,U418))^INT(INT((U$6-INDEX('Lease Cycles'!$GJ$32:$GP$32,1,U418))/12)/INDEX('Lease Cycles'!$GX$32:$HD$32,1,U418))/12,0)))</f>
        <v>0</v>
      </c>
      <c r="V421" s="28">
        <f>IF(V418=0,IF('Lease Cycles'!$F$32&gt;0,'Lease Cycles'!$C$32*'Lease Cycles'!$E$32/12,0),IF(V420=1,IF('Lease Cycles'!$AT$32&gt;=9999,'Lease Cycles'!$C$32*INDEX('Lease Cycles'!$CB$32:$CH$32,1,V418)*(1+INDEX('Lease Cycles'!$CI$32:$CO$32,1,V418))^INT(INT(V419/12)/INDEX('Lease Cycles'!$CP$32:$CV$32,1,V418))/12,IF(V418=1,IF(V419&gt;=INDEX('Lease Cycles'!$DK$32:$DQ$32,1,V418),IF(V$6&gt;='Lease Cycles'!$AZ$32,'Lease Cycles'!$C$32*'Lease Cycles'!$BA$32/12,IF(V$6&gt;='Lease Cycles'!$AX$32,'Lease Cycles'!$C$32*'Lease Cycles'!$AY$32/12,IF(V$6&gt;='Lease Cycles'!$AV$32,'Lease Cycles'!$C$32*'Lease Cycles'!$AW$32/12,IF(V$6&gt;='Lease Cycles'!$AT$32,'Lease Cycles'!$C$32*'Lease Cycles'!$AU$32/12,'Lease Cycles'!$C$32*INDEX('Lease Cycles'!$CB$32:$CH$32,1,V418)*(1+INDEX('Lease Cycles'!$CI$32:$CO$32,1,V418))^INT(INT(V419/12)/INDEX('Lease Cycles'!$CP$32:$CV$32,1,V418))/12)))),'Lease Cycles'!$C$32*INDEX('Lease Cycles'!$CB$32:$CH$32,1,V418)*(1+INDEX('Lease Cycles'!$CI$32:$CO$32,1,V418))^INT(INT(V419/12)/INDEX('Lease Cycles'!$CP$32:$CV$32,1,V418))/12),IF(INDEX('Lease Cycles'!$EF$32:$EL$32,1,V418)=1,IF(AND('Lease Cycles'!$AZ$32&gt;=INDEX('Lease Cycles'!$BG$32:$BM$32,1,V418),'Lease Cycles'!$AZ$32&lt;=V$6),'Lease Cycles'!$C$32*'Lease Cycles'!$BA$32/12,IF(AND('Lease Cycles'!$AX$32&gt;=INDEX('Lease Cycles'!$BG$32:$BM$32,1,V418),'Lease Cycles'!$AX$32&lt;=V$6),'Lease Cycles'!$C$32*'Lease Cycles'!$AY$32/12,IF(AND('Lease Cycles'!$AV$32&gt;=INDEX('Lease Cycles'!$BG$32:$BM$32,1,V418),'Lease Cycles'!$AV$32&lt;=V$6),'Lease Cycles'!$C$32*'Lease Cycles'!$AW$32/12,IF(AND('Lease Cycles'!$AT$32&gt;=INDEX('Lease Cycles'!$BG$32:$BM$32,1,V418),'Lease Cycles'!$AT$32&lt;=V$6),'Lease Cycles'!$C$32*'Lease Cycles'!$AU$32/12,'Lease Cycles'!$C$32*INDEX('Lease Cycles'!$CB$32:$CH$32,1,V418)*(1+INDEX('Lease Cycles'!$CI$32:$CO$32,1,V418))^INT(INT(V419/12)/INDEX('Lease Cycles'!$CP$32:$CV$32,1,V418))/12)))),'Lease Cycles'!$C$32*INDEX('Lease Cycles'!$CB$32:$CH$32,1,V418)*(1+INDEX('Lease Cycles'!$CI$32:$CO$32,1,V418))^INT(INT(V419/12)/INDEX('Lease Cycles'!$CP$32:$CV$32,1,V418))/12))),IF('Lease Cycles'!$N$32=1,'Lease Cycles'!$C$32*'Lease Cycles'!$E$32*INDEX('Lease Cycles'!$HE$32:$HK$32,1,V418)*(1+INDEX('Lease Cycles'!$GQ$32:$GW$32,1,V418))^INT(INT((V$6-INDEX('Lease Cycles'!$GJ$32:$GP$32,1,V418))/12)/INDEX('Lease Cycles'!$GX$32:$HD$32,1,V418))/12,0)))</f>
        <v>0</v>
      </c>
      <c r="W421" s="28">
        <f>IF(W418=0,IF('Lease Cycles'!$F$32&gt;0,'Lease Cycles'!$C$32*'Lease Cycles'!$E$32/12,0),IF(W420=1,IF('Lease Cycles'!$AT$32&gt;=9999,'Lease Cycles'!$C$32*INDEX('Lease Cycles'!$CB$32:$CH$32,1,W418)*(1+INDEX('Lease Cycles'!$CI$32:$CO$32,1,W418))^INT(INT(W419/12)/INDEX('Lease Cycles'!$CP$32:$CV$32,1,W418))/12,IF(W418=1,IF(W419&gt;=INDEX('Lease Cycles'!$DK$32:$DQ$32,1,W418),IF(W$6&gt;='Lease Cycles'!$AZ$32,'Lease Cycles'!$C$32*'Lease Cycles'!$BA$32/12,IF(W$6&gt;='Lease Cycles'!$AX$32,'Lease Cycles'!$C$32*'Lease Cycles'!$AY$32/12,IF(W$6&gt;='Lease Cycles'!$AV$32,'Lease Cycles'!$C$32*'Lease Cycles'!$AW$32/12,IF(W$6&gt;='Lease Cycles'!$AT$32,'Lease Cycles'!$C$32*'Lease Cycles'!$AU$32/12,'Lease Cycles'!$C$32*INDEX('Lease Cycles'!$CB$32:$CH$32,1,W418)*(1+INDEX('Lease Cycles'!$CI$32:$CO$32,1,W418))^INT(INT(W419/12)/INDEX('Lease Cycles'!$CP$32:$CV$32,1,W418))/12)))),'Lease Cycles'!$C$32*INDEX('Lease Cycles'!$CB$32:$CH$32,1,W418)*(1+INDEX('Lease Cycles'!$CI$32:$CO$32,1,W418))^INT(INT(W419/12)/INDEX('Lease Cycles'!$CP$32:$CV$32,1,W418))/12),IF(INDEX('Lease Cycles'!$EF$32:$EL$32,1,W418)=1,IF(AND('Lease Cycles'!$AZ$32&gt;=INDEX('Lease Cycles'!$BG$32:$BM$32,1,W418),'Lease Cycles'!$AZ$32&lt;=W$6),'Lease Cycles'!$C$32*'Lease Cycles'!$BA$32/12,IF(AND('Lease Cycles'!$AX$32&gt;=INDEX('Lease Cycles'!$BG$32:$BM$32,1,W418),'Lease Cycles'!$AX$32&lt;=W$6),'Lease Cycles'!$C$32*'Lease Cycles'!$AY$32/12,IF(AND('Lease Cycles'!$AV$32&gt;=INDEX('Lease Cycles'!$BG$32:$BM$32,1,W418),'Lease Cycles'!$AV$32&lt;=W$6),'Lease Cycles'!$C$32*'Lease Cycles'!$AW$32/12,IF(AND('Lease Cycles'!$AT$32&gt;=INDEX('Lease Cycles'!$BG$32:$BM$32,1,W418),'Lease Cycles'!$AT$32&lt;=W$6),'Lease Cycles'!$C$32*'Lease Cycles'!$AU$32/12,'Lease Cycles'!$C$32*INDEX('Lease Cycles'!$CB$32:$CH$32,1,W418)*(1+INDEX('Lease Cycles'!$CI$32:$CO$32,1,W418))^INT(INT(W419/12)/INDEX('Lease Cycles'!$CP$32:$CV$32,1,W418))/12)))),'Lease Cycles'!$C$32*INDEX('Lease Cycles'!$CB$32:$CH$32,1,W418)*(1+INDEX('Lease Cycles'!$CI$32:$CO$32,1,W418))^INT(INT(W419/12)/INDEX('Lease Cycles'!$CP$32:$CV$32,1,W418))/12))),IF('Lease Cycles'!$N$32=1,'Lease Cycles'!$C$32*'Lease Cycles'!$E$32*INDEX('Lease Cycles'!$HE$32:$HK$32,1,W418)*(1+INDEX('Lease Cycles'!$GQ$32:$GW$32,1,W418))^INT(INT((W$6-INDEX('Lease Cycles'!$GJ$32:$GP$32,1,W418))/12)/INDEX('Lease Cycles'!$GX$32:$HD$32,1,W418))/12,0)))</f>
        <v>0</v>
      </c>
      <c r="X421" s="28">
        <f>IF(X418=0,IF('Lease Cycles'!$F$32&gt;0,'Lease Cycles'!$C$32*'Lease Cycles'!$E$32/12,0),IF(X420=1,IF('Lease Cycles'!$AT$32&gt;=9999,'Lease Cycles'!$C$32*INDEX('Lease Cycles'!$CB$32:$CH$32,1,X418)*(1+INDEX('Lease Cycles'!$CI$32:$CO$32,1,X418))^INT(INT(X419/12)/INDEX('Lease Cycles'!$CP$32:$CV$32,1,X418))/12,IF(X418=1,IF(X419&gt;=INDEX('Lease Cycles'!$DK$32:$DQ$32,1,X418),IF(X$6&gt;='Lease Cycles'!$AZ$32,'Lease Cycles'!$C$32*'Lease Cycles'!$BA$32/12,IF(X$6&gt;='Lease Cycles'!$AX$32,'Lease Cycles'!$C$32*'Lease Cycles'!$AY$32/12,IF(X$6&gt;='Lease Cycles'!$AV$32,'Lease Cycles'!$C$32*'Lease Cycles'!$AW$32/12,IF(X$6&gt;='Lease Cycles'!$AT$32,'Lease Cycles'!$C$32*'Lease Cycles'!$AU$32/12,'Lease Cycles'!$C$32*INDEX('Lease Cycles'!$CB$32:$CH$32,1,X418)*(1+INDEX('Lease Cycles'!$CI$32:$CO$32,1,X418))^INT(INT(X419/12)/INDEX('Lease Cycles'!$CP$32:$CV$32,1,X418))/12)))),'Lease Cycles'!$C$32*INDEX('Lease Cycles'!$CB$32:$CH$32,1,X418)*(1+INDEX('Lease Cycles'!$CI$32:$CO$32,1,X418))^INT(INT(X419/12)/INDEX('Lease Cycles'!$CP$32:$CV$32,1,X418))/12),IF(INDEX('Lease Cycles'!$EF$32:$EL$32,1,X418)=1,IF(AND('Lease Cycles'!$AZ$32&gt;=INDEX('Lease Cycles'!$BG$32:$BM$32,1,X418),'Lease Cycles'!$AZ$32&lt;=X$6),'Lease Cycles'!$C$32*'Lease Cycles'!$BA$32/12,IF(AND('Lease Cycles'!$AX$32&gt;=INDEX('Lease Cycles'!$BG$32:$BM$32,1,X418),'Lease Cycles'!$AX$32&lt;=X$6),'Lease Cycles'!$C$32*'Lease Cycles'!$AY$32/12,IF(AND('Lease Cycles'!$AV$32&gt;=INDEX('Lease Cycles'!$BG$32:$BM$32,1,X418),'Lease Cycles'!$AV$32&lt;=X$6),'Lease Cycles'!$C$32*'Lease Cycles'!$AW$32/12,IF(AND('Lease Cycles'!$AT$32&gt;=INDEX('Lease Cycles'!$BG$32:$BM$32,1,X418),'Lease Cycles'!$AT$32&lt;=X$6),'Lease Cycles'!$C$32*'Lease Cycles'!$AU$32/12,'Lease Cycles'!$C$32*INDEX('Lease Cycles'!$CB$32:$CH$32,1,X418)*(1+INDEX('Lease Cycles'!$CI$32:$CO$32,1,X418))^INT(INT(X419/12)/INDEX('Lease Cycles'!$CP$32:$CV$32,1,X418))/12)))),'Lease Cycles'!$C$32*INDEX('Lease Cycles'!$CB$32:$CH$32,1,X418)*(1+INDEX('Lease Cycles'!$CI$32:$CO$32,1,X418))^INT(INT(X419/12)/INDEX('Lease Cycles'!$CP$32:$CV$32,1,X418))/12))),IF('Lease Cycles'!$N$32=1,'Lease Cycles'!$C$32*'Lease Cycles'!$E$32*INDEX('Lease Cycles'!$HE$32:$HK$32,1,X418)*(1+INDEX('Lease Cycles'!$GQ$32:$GW$32,1,X418))^INT(INT((X$6-INDEX('Lease Cycles'!$GJ$32:$GP$32,1,X418))/12)/INDEX('Lease Cycles'!$GX$32:$HD$32,1,X418))/12,0)))</f>
        <v>0</v>
      </c>
      <c r="Y421" s="28">
        <f>IF(Y418=0,IF('Lease Cycles'!$F$32&gt;0,'Lease Cycles'!$C$32*'Lease Cycles'!$E$32/12,0),IF(Y420=1,IF('Lease Cycles'!$AT$32&gt;=9999,'Lease Cycles'!$C$32*INDEX('Lease Cycles'!$CB$32:$CH$32,1,Y418)*(1+INDEX('Lease Cycles'!$CI$32:$CO$32,1,Y418))^INT(INT(Y419/12)/INDEX('Lease Cycles'!$CP$32:$CV$32,1,Y418))/12,IF(Y418=1,IF(Y419&gt;=INDEX('Lease Cycles'!$DK$32:$DQ$32,1,Y418),IF(Y$6&gt;='Lease Cycles'!$AZ$32,'Lease Cycles'!$C$32*'Lease Cycles'!$BA$32/12,IF(Y$6&gt;='Lease Cycles'!$AX$32,'Lease Cycles'!$C$32*'Lease Cycles'!$AY$32/12,IF(Y$6&gt;='Lease Cycles'!$AV$32,'Lease Cycles'!$C$32*'Lease Cycles'!$AW$32/12,IF(Y$6&gt;='Lease Cycles'!$AT$32,'Lease Cycles'!$C$32*'Lease Cycles'!$AU$32/12,'Lease Cycles'!$C$32*INDEX('Lease Cycles'!$CB$32:$CH$32,1,Y418)*(1+INDEX('Lease Cycles'!$CI$32:$CO$32,1,Y418))^INT(INT(Y419/12)/INDEX('Lease Cycles'!$CP$32:$CV$32,1,Y418))/12)))),'Lease Cycles'!$C$32*INDEX('Lease Cycles'!$CB$32:$CH$32,1,Y418)*(1+INDEX('Lease Cycles'!$CI$32:$CO$32,1,Y418))^INT(INT(Y419/12)/INDEX('Lease Cycles'!$CP$32:$CV$32,1,Y418))/12),IF(INDEX('Lease Cycles'!$EF$32:$EL$32,1,Y418)=1,IF(AND('Lease Cycles'!$AZ$32&gt;=INDEX('Lease Cycles'!$BG$32:$BM$32,1,Y418),'Lease Cycles'!$AZ$32&lt;=Y$6),'Lease Cycles'!$C$32*'Lease Cycles'!$BA$32/12,IF(AND('Lease Cycles'!$AX$32&gt;=INDEX('Lease Cycles'!$BG$32:$BM$32,1,Y418),'Lease Cycles'!$AX$32&lt;=Y$6),'Lease Cycles'!$C$32*'Lease Cycles'!$AY$32/12,IF(AND('Lease Cycles'!$AV$32&gt;=INDEX('Lease Cycles'!$BG$32:$BM$32,1,Y418),'Lease Cycles'!$AV$32&lt;=Y$6),'Lease Cycles'!$C$32*'Lease Cycles'!$AW$32/12,IF(AND('Lease Cycles'!$AT$32&gt;=INDEX('Lease Cycles'!$BG$32:$BM$32,1,Y418),'Lease Cycles'!$AT$32&lt;=Y$6),'Lease Cycles'!$C$32*'Lease Cycles'!$AU$32/12,'Lease Cycles'!$C$32*INDEX('Lease Cycles'!$CB$32:$CH$32,1,Y418)*(1+INDEX('Lease Cycles'!$CI$32:$CO$32,1,Y418))^INT(INT(Y419/12)/INDEX('Lease Cycles'!$CP$32:$CV$32,1,Y418))/12)))),'Lease Cycles'!$C$32*INDEX('Lease Cycles'!$CB$32:$CH$32,1,Y418)*(1+INDEX('Lease Cycles'!$CI$32:$CO$32,1,Y418))^INT(INT(Y419/12)/INDEX('Lease Cycles'!$CP$32:$CV$32,1,Y418))/12))),IF('Lease Cycles'!$N$32=1,'Lease Cycles'!$C$32*'Lease Cycles'!$E$32*INDEX('Lease Cycles'!$HE$32:$HK$32,1,Y418)*(1+INDEX('Lease Cycles'!$GQ$32:$GW$32,1,Y418))^INT(INT((Y$6-INDEX('Lease Cycles'!$GJ$32:$GP$32,1,Y418))/12)/INDEX('Lease Cycles'!$GX$32:$HD$32,1,Y418))/12,0)))</f>
        <v>0</v>
      </c>
      <c r="Z421" s="28">
        <f>IF(Z418=0,IF('Lease Cycles'!$F$32&gt;0,'Lease Cycles'!$C$32*'Lease Cycles'!$E$32/12,0),IF(Z420=1,IF('Lease Cycles'!$AT$32&gt;=9999,'Lease Cycles'!$C$32*INDEX('Lease Cycles'!$CB$32:$CH$32,1,Z418)*(1+INDEX('Lease Cycles'!$CI$32:$CO$32,1,Z418))^INT(INT(Z419/12)/INDEX('Lease Cycles'!$CP$32:$CV$32,1,Z418))/12,IF(Z418=1,IF(Z419&gt;=INDEX('Lease Cycles'!$DK$32:$DQ$32,1,Z418),IF(Z$6&gt;='Lease Cycles'!$AZ$32,'Lease Cycles'!$C$32*'Lease Cycles'!$BA$32/12,IF(Z$6&gt;='Lease Cycles'!$AX$32,'Lease Cycles'!$C$32*'Lease Cycles'!$AY$32/12,IF(Z$6&gt;='Lease Cycles'!$AV$32,'Lease Cycles'!$C$32*'Lease Cycles'!$AW$32/12,IF(Z$6&gt;='Lease Cycles'!$AT$32,'Lease Cycles'!$C$32*'Lease Cycles'!$AU$32/12,'Lease Cycles'!$C$32*INDEX('Lease Cycles'!$CB$32:$CH$32,1,Z418)*(1+INDEX('Lease Cycles'!$CI$32:$CO$32,1,Z418))^INT(INT(Z419/12)/INDEX('Lease Cycles'!$CP$32:$CV$32,1,Z418))/12)))),'Lease Cycles'!$C$32*INDEX('Lease Cycles'!$CB$32:$CH$32,1,Z418)*(1+INDEX('Lease Cycles'!$CI$32:$CO$32,1,Z418))^INT(INT(Z419/12)/INDEX('Lease Cycles'!$CP$32:$CV$32,1,Z418))/12),IF(INDEX('Lease Cycles'!$EF$32:$EL$32,1,Z418)=1,IF(AND('Lease Cycles'!$AZ$32&gt;=INDEX('Lease Cycles'!$BG$32:$BM$32,1,Z418),'Lease Cycles'!$AZ$32&lt;=Z$6),'Lease Cycles'!$C$32*'Lease Cycles'!$BA$32/12,IF(AND('Lease Cycles'!$AX$32&gt;=INDEX('Lease Cycles'!$BG$32:$BM$32,1,Z418),'Lease Cycles'!$AX$32&lt;=Z$6),'Lease Cycles'!$C$32*'Lease Cycles'!$AY$32/12,IF(AND('Lease Cycles'!$AV$32&gt;=INDEX('Lease Cycles'!$BG$32:$BM$32,1,Z418),'Lease Cycles'!$AV$32&lt;=Z$6),'Lease Cycles'!$C$32*'Lease Cycles'!$AW$32/12,IF(AND('Lease Cycles'!$AT$32&gt;=INDEX('Lease Cycles'!$BG$32:$BM$32,1,Z418),'Lease Cycles'!$AT$32&lt;=Z$6),'Lease Cycles'!$C$32*'Lease Cycles'!$AU$32/12,'Lease Cycles'!$C$32*INDEX('Lease Cycles'!$CB$32:$CH$32,1,Z418)*(1+INDEX('Lease Cycles'!$CI$32:$CO$32,1,Z418))^INT(INT(Z419/12)/INDEX('Lease Cycles'!$CP$32:$CV$32,1,Z418))/12)))),'Lease Cycles'!$C$32*INDEX('Lease Cycles'!$CB$32:$CH$32,1,Z418)*(1+INDEX('Lease Cycles'!$CI$32:$CO$32,1,Z418))^INT(INT(Z419/12)/INDEX('Lease Cycles'!$CP$32:$CV$32,1,Z418))/12))),IF('Lease Cycles'!$N$32=1,'Lease Cycles'!$C$32*'Lease Cycles'!$E$32*INDEX('Lease Cycles'!$HE$32:$HK$32,1,Z418)*(1+INDEX('Lease Cycles'!$GQ$32:$GW$32,1,Z418))^INT(INT((Z$6-INDEX('Lease Cycles'!$GJ$32:$GP$32,1,Z418))/12)/INDEX('Lease Cycles'!$GX$32:$HD$32,1,Z418))/12,0)))</f>
        <v>0</v>
      </c>
      <c r="AA421" s="28">
        <f>IF(AA418=0,IF('Lease Cycles'!$F$32&gt;0,'Lease Cycles'!$C$32*'Lease Cycles'!$E$32/12,0),IF(AA420=1,IF('Lease Cycles'!$AT$32&gt;=9999,'Lease Cycles'!$C$32*INDEX('Lease Cycles'!$CB$32:$CH$32,1,AA418)*(1+INDEX('Lease Cycles'!$CI$32:$CO$32,1,AA418))^INT(INT(AA419/12)/INDEX('Lease Cycles'!$CP$32:$CV$32,1,AA418))/12,IF(AA418=1,IF(AA419&gt;=INDEX('Lease Cycles'!$DK$32:$DQ$32,1,AA418),IF(AA$6&gt;='Lease Cycles'!$AZ$32,'Lease Cycles'!$C$32*'Lease Cycles'!$BA$32/12,IF(AA$6&gt;='Lease Cycles'!$AX$32,'Lease Cycles'!$C$32*'Lease Cycles'!$AY$32/12,IF(AA$6&gt;='Lease Cycles'!$AV$32,'Lease Cycles'!$C$32*'Lease Cycles'!$AW$32/12,IF(AA$6&gt;='Lease Cycles'!$AT$32,'Lease Cycles'!$C$32*'Lease Cycles'!$AU$32/12,'Lease Cycles'!$C$32*INDEX('Lease Cycles'!$CB$32:$CH$32,1,AA418)*(1+INDEX('Lease Cycles'!$CI$32:$CO$32,1,AA418))^INT(INT(AA419/12)/INDEX('Lease Cycles'!$CP$32:$CV$32,1,AA418))/12)))),'Lease Cycles'!$C$32*INDEX('Lease Cycles'!$CB$32:$CH$32,1,AA418)*(1+INDEX('Lease Cycles'!$CI$32:$CO$32,1,AA418))^INT(INT(AA419/12)/INDEX('Lease Cycles'!$CP$32:$CV$32,1,AA418))/12),IF(INDEX('Lease Cycles'!$EF$32:$EL$32,1,AA418)=1,IF(AND('Lease Cycles'!$AZ$32&gt;=INDEX('Lease Cycles'!$BG$32:$BM$32,1,AA418),'Lease Cycles'!$AZ$32&lt;=AA$6),'Lease Cycles'!$C$32*'Lease Cycles'!$BA$32/12,IF(AND('Lease Cycles'!$AX$32&gt;=INDEX('Lease Cycles'!$BG$32:$BM$32,1,AA418),'Lease Cycles'!$AX$32&lt;=AA$6),'Lease Cycles'!$C$32*'Lease Cycles'!$AY$32/12,IF(AND('Lease Cycles'!$AV$32&gt;=INDEX('Lease Cycles'!$BG$32:$BM$32,1,AA418),'Lease Cycles'!$AV$32&lt;=AA$6),'Lease Cycles'!$C$32*'Lease Cycles'!$AW$32/12,IF(AND('Lease Cycles'!$AT$32&gt;=INDEX('Lease Cycles'!$BG$32:$BM$32,1,AA418),'Lease Cycles'!$AT$32&lt;=AA$6),'Lease Cycles'!$C$32*'Lease Cycles'!$AU$32/12,'Lease Cycles'!$C$32*INDEX('Lease Cycles'!$CB$32:$CH$32,1,AA418)*(1+INDEX('Lease Cycles'!$CI$32:$CO$32,1,AA418))^INT(INT(AA419/12)/INDEX('Lease Cycles'!$CP$32:$CV$32,1,AA418))/12)))),'Lease Cycles'!$C$32*INDEX('Lease Cycles'!$CB$32:$CH$32,1,AA418)*(1+INDEX('Lease Cycles'!$CI$32:$CO$32,1,AA418))^INT(INT(AA419/12)/INDEX('Lease Cycles'!$CP$32:$CV$32,1,AA418))/12))),IF('Lease Cycles'!$N$32=1,'Lease Cycles'!$C$32*'Lease Cycles'!$E$32*INDEX('Lease Cycles'!$HE$32:$HK$32,1,AA418)*(1+INDEX('Lease Cycles'!$GQ$32:$GW$32,1,AA418))^INT(INT((AA$6-INDEX('Lease Cycles'!$GJ$32:$GP$32,1,AA418))/12)/INDEX('Lease Cycles'!$GX$32:$HD$32,1,AA418))/12,0)))</f>
        <v>0</v>
      </c>
      <c r="AB421" s="28">
        <f>IF(AB418=0,IF('Lease Cycles'!$F$32&gt;0,'Lease Cycles'!$C$32*'Lease Cycles'!$E$32/12,0),IF(AB420=1,IF('Lease Cycles'!$AT$32&gt;=9999,'Lease Cycles'!$C$32*INDEX('Lease Cycles'!$CB$32:$CH$32,1,AB418)*(1+INDEX('Lease Cycles'!$CI$32:$CO$32,1,AB418))^INT(INT(AB419/12)/INDEX('Lease Cycles'!$CP$32:$CV$32,1,AB418))/12,IF(AB418=1,IF(AB419&gt;=INDEX('Lease Cycles'!$DK$32:$DQ$32,1,AB418),IF(AB$6&gt;='Lease Cycles'!$AZ$32,'Lease Cycles'!$C$32*'Lease Cycles'!$BA$32/12,IF(AB$6&gt;='Lease Cycles'!$AX$32,'Lease Cycles'!$C$32*'Lease Cycles'!$AY$32/12,IF(AB$6&gt;='Lease Cycles'!$AV$32,'Lease Cycles'!$C$32*'Lease Cycles'!$AW$32/12,IF(AB$6&gt;='Lease Cycles'!$AT$32,'Lease Cycles'!$C$32*'Lease Cycles'!$AU$32/12,'Lease Cycles'!$C$32*INDEX('Lease Cycles'!$CB$32:$CH$32,1,AB418)*(1+INDEX('Lease Cycles'!$CI$32:$CO$32,1,AB418))^INT(INT(AB419/12)/INDEX('Lease Cycles'!$CP$32:$CV$32,1,AB418))/12)))),'Lease Cycles'!$C$32*INDEX('Lease Cycles'!$CB$32:$CH$32,1,AB418)*(1+INDEX('Lease Cycles'!$CI$32:$CO$32,1,AB418))^INT(INT(AB419/12)/INDEX('Lease Cycles'!$CP$32:$CV$32,1,AB418))/12),IF(INDEX('Lease Cycles'!$EF$32:$EL$32,1,AB418)=1,IF(AND('Lease Cycles'!$AZ$32&gt;=INDEX('Lease Cycles'!$BG$32:$BM$32,1,AB418),'Lease Cycles'!$AZ$32&lt;=AB$6),'Lease Cycles'!$C$32*'Lease Cycles'!$BA$32/12,IF(AND('Lease Cycles'!$AX$32&gt;=INDEX('Lease Cycles'!$BG$32:$BM$32,1,AB418),'Lease Cycles'!$AX$32&lt;=AB$6),'Lease Cycles'!$C$32*'Lease Cycles'!$AY$32/12,IF(AND('Lease Cycles'!$AV$32&gt;=INDEX('Lease Cycles'!$BG$32:$BM$32,1,AB418),'Lease Cycles'!$AV$32&lt;=AB$6),'Lease Cycles'!$C$32*'Lease Cycles'!$AW$32/12,IF(AND('Lease Cycles'!$AT$32&gt;=INDEX('Lease Cycles'!$BG$32:$BM$32,1,AB418),'Lease Cycles'!$AT$32&lt;=AB$6),'Lease Cycles'!$C$32*'Lease Cycles'!$AU$32/12,'Lease Cycles'!$C$32*INDEX('Lease Cycles'!$CB$32:$CH$32,1,AB418)*(1+INDEX('Lease Cycles'!$CI$32:$CO$32,1,AB418))^INT(INT(AB419/12)/INDEX('Lease Cycles'!$CP$32:$CV$32,1,AB418))/12)))),'Lease Cycles'!$C$32*INDEX('Lease Cycles'!$CB$32:$CH$32,1,AB418)*(1+INDEX('Lease Cycles'!$CI$32:$CO$32,1,AB418))^INT(INT(AB419/12)/INDEX('Lease Cycles'!$CP$32:$CV$32,1,AB418))/12))),IF('Lease Cycles'!$N$32=1,'Lease Cycles'!$C$32*'Lease Cycles'!$E$32*INDEX('Lease Cycles'!$HE$32:$HK$32,1,AB418)*(1+INDEX('Lease Cycles'!$GQ$32:$GW$32,1,AB418))^INT(INT((AB$6-INDEX('Lease Cycles'!$GJ$32:$GP$32,1,AB418))/12)/INDEX('Lease Cycles'!$GX$32:$HD$32,1,AB418))/12,0)))</f>
        <v>0</v>
      </c>
      <c r="AC421" s="28">
        <f>IF(AC418=0,IF('Lease Cycles'!$F$32&gt;0,'Lease Cycles'!$C$32*'Lease Cycles'!$E$32/12,0),IF(AC420=1,IF('Lease Cycles'!$AT$32&gt;=9999,'Lease Cycles'!$C$32*INDEX('Lease Cycles'!$CB$32:$CH$32,1,AC418)*(1+INDEX('Lease Cycles'!$CI$32:$CO$32,1,AC418))^INT(INT(AC419/12)/INDEX('Lease Cycles'!$CP$32:$CV$32,1,AC418))/12,IF(AC418=1,IF(AC419&gt;=INDEX('Lease Cycles'!$DK$32:$DQ$32,1,AC418),IF(AC$6&gt;='Lease Cycles'!$AZ$32,'Lease Cycles'!$C$32*'Lease Cycles'!$BA$32/12,IF(AC$6&gt;='Lease Cycles'!$AX$32,'Lease Cycles'!$C$32*'Lease Cycles'!$AY$32/12,IF(AC$6&gt;='Lease Cycles'!$AV$32,'Lease Cycles'!$C$32*'Lease Cycles'!$AW$32/12,IF(AC$6&gt;='Lease Cycles'!$AT$32,'Lease Cycles'!$C$32*'Lease Cycles'!$AU$32/12,'Lease Cycles'!$C$32*INDEX('Lease Cycles'!$CB$32:$CH$32,1,AC418)*(1+INDEX('Lease Cycles'!$CI$32:$CO$32,1,AC418))^INT(INT(AC419/12)/INDEX('Lease Cycles'!$CP$32:$CV$32,1,AC418))/12)))),'Lease Cycles'!$C$32*INDEX('Lease Cycles'!$CB$32:$CH$32,1,AC418)*(1+INDEX('Lease Cycles'!$CI$32:$CO$32,1,AC418))^INT(INT(AC419/12)/INDEX('Lease Cycles'!$CP$32:$CV$32,1,AC418))/12),IF(INDEX('Lease Cycles'!$EF$32:$EL$32,1,AC418)=1,IF(AND('Lease Cycles'!$AZ$32&gt;=INDEX('Lease Cycles'!$BG$32:$BM$32,1,AC418),'Lease Cycles'!$AZ$32&lt;=AC$6),'Lease Cycles'!$C$32*'Lease Cycles'!$BA$32/12,IF(AND('Lease Cycles'!$AX$32&gt;=INDEX('Lease Cycles'!$BG$32:$BM$32,1,AC418),'Lease Cycles'!$AX$32&lt;=AC$6),'Lease Cycles'!$C$32*'Lease Cycles'!$AY$32/12,IF(AND('Lease Cycles'!$AV$32&gt;=INDEX('Lease Cycles'!$BG$32:$BM$32,1,AC418),'Lease Cycles'!$AV$32&lt;=AC$6),'Lease Cycles'!$C$32*'Lease Cycles'!$AW$32/12,IF(AND('Lease Cycles'!$AT$32&gt;=INDEX('Lease Cycles'!$BG$32:$BM$32,1,AC418),'Lease Cycles'!$AT$32&lt;=AC$6),'Lease Cycles'!$C$32*'Lease Cycles'!$AU$32/12,'Lease Cycles'!$C$32*INDEX('Lease Cycles'!$CB$32:$CH$32,1,AC418)*(1+INDEX('Lease Cycles'!$CI$32:$CO$32,1,AC418))^INT(INT(AC419/12)/INDEX('Lease Cycles'!$CP$32:$CV$32,1,AC418))/12)))),'Lease Cycles'!$C$32*INDEX('Lease Cycles'!$CB$32:$CH$32,1,AC418)*(1+INDEX('Lease Cycles'!$CI$32:$CO$32,1,AC418))^INT(INT(AC419/12)/INDEX('Lease Cycles'!$CP$32:$CV$32,1,AC418))/12))),IF('Lease Cycles'!$N$32=1,'Lease Cycles'!$C$32*'Lease Cycles'!$E$32*INDEX('Lease Cycles'!$HE$32:$HK$32,1,AC418)*(1+INDEX('Lease Cycles'!$GQ$32:$GW$32,1,AC418))^INT(INT((AC$6-INDEX('Lease Cycles'!$GJ$32:$GP$32,1,AC418))/12)/INDEX('Lease Cycles'!$GX$32:$HD$32,1,AC418))/12,0)))</f>
        <v>0</v>
      </c>
      <c r="AD421" s="28">
        <f>IF(AD418=0,IF('Lease Cycles'!$F$32&gt;0,'Lease Cycles'!$C$32*'Lease Cycles'!$E$32/12,0),IF(AD420=1,IF('Lease Cycles'!$AT$32&gt;=9999,'Lease Cycles'!$C$32*INDEX('Lease Cycles'!$CB$32:$CH$32,1,AD418)*(1+INDEX('Lease Cycles'!$CI$32:$CO$32,1,AD418))^INT(INT(AD419/12)/INDEX('Lease Cycles'!$CP$32:$CV$32,1,AD418))/12,IF(AD418=1,IF(AD419&gt;=INDEX('Lease Cycles'!$DK$32:$DQ$32,1,AD418),IF(AD$6&gt;='Lease Cycles'!$AZ$32,'Lease Cycles'!$C$32*'Lease Cycles'!$BA$32/12,IF(AD$6&gt;='Lease Cycles'!$AX$32,'Lease Cycles'!$C$32*'Lease Cycles'!$AY$32/12,IF(AD$6&gt;='Lease Cycles'!$AV$32,'Lease Cycles'!$C$32*'Lease Cycles'!$AW$32/12,IF(AD$6&gt;='Lease Cycles'!$AT$32,'Lease Cycles'!$C$32*'Lease Cycles'!$AU$32/12,'Lease Cycles'!$C$32*INDEX('Lease Cycles'!$CB$32:$CH$32,1,AD418)*(1+INDEX('Lease Cycles'!$CI$32:$CO$32,1,AD418))^INT(INT(AD419/12)/INDEX('Lease Cycles'!$CP$32:$CV$32,1,AD418))/12)))),'Lease Cycles'!$C$32*INDEX('Lease Cycles'!$CB$32:$CH$32,1,AD418)*(1+INDEX('Lease Cycles'!$CI$32:$CO$32,1,AD418))^INT(INT(AD419/12)/INDEX('Lease Cycles'!$CP$32:$CV$32,1,AD418))/12),IF(INDEX('Lease Cycles'!$EF$32:$EL$32,1,AD418)=1,IF(AND('Lease Cycles'!$AZ$32&gt;=INDEX('Lease Cycles'!$BG$32:$BM$32,1,AD418),'Lease Cycles'!$AZ$32&lt;=AD$6),'Lease Cycles'!$C$32*'Lease Cycles'!$BA$32/12,IF(AND('Lease Cycles'!$AX$32&gt;=INDEX('Lease Cycles'!$BG$32:$BM$32,1,AD418),'Lease Cycles'!$AX$32&lt;=AD$6),'Lease Cycles'!$C$32*'Lease Cycles'!$AY$32/12,IF(AND('Lease Cycles'!$AV$32&gt;=INDEX('Lease Cycles'!$BG$32:$BM$32,1,AD418),'Lease Cycles'!$AV$32&lt;=AD$6),'Lease Cycles'!$C$32*'Lease Cycles'!$AW$32/12,IF(AND('Lease Cycles'!$AT$32&gt;=INDEX('Lease Cycles'!$BG$32:$BM$32,1,AD418),'Lease Cycles'!$AT$32&lt;=AD$6),'Lease Cycles'!$C$32*'Lease Cycles'!$AU$32/12,'Lease Cycles'!$C$32*INDEX('Lease Cycles'!$CB$32:$CH$32,1,AD418)*(1+INDEX('Lease Cycles'!$CI$32:$CO$32,1,AD418))^INT(INT(AD419/12)/INDEX('Lease Cycles'!$CP$32:$CV$32,1,AD418))/12)))),'Lease Cycles'!$C$32*INDEX('Lease Cycles'!$CB$32:$CH$32,1,AD418)*(1+INDEX('Lease Cycles'!$CI$32:$CO$32,1,AD418))^INT(INT(AD419/12)/INDEX('Lease Cycles'!$CP$32:$CV$32,1,AD418))/12))),IF('Lease Cycles'!$N$32=1,'Lease Cycles'!$C$32*'Lease Cycles'!$E$32*INDEX('Lease Cycles'!$HE$32:$HK$32,1,AD418)*(1+INDEX('Lease Cycles'!$GQ$32:$GW$32,1,AD418))^INT(INT((AD$6-INDEX('Lease Cycles'!$GJ$32:$GP$32,1,AD418))/12)/INDEX('Lease Cycles'!$GX$32:$HD$32,1,AD418))/12,0)))</f>
        <v>0</v>
      </c>
      <c r="AE421" s="28">
        <f>IF(AE418=0,IF('Lease Cycles'!$F$32&gt;0,'Lease Cycles'!$C$32*'Lease Cycles'!$E$32/12,0),IF(AE420=1,IF('Lease Cycles'!$AT$32&gt;=9999,'Lease Cycles'!$C$32*INDEX('Lease Cycles'!$CB$32:$CH$32,1,AE418)*(1+INDEX('Lease Cycles'!$CI$32:$CO$32,1,AE418))^INT(INT(AE419/12)/INDEX('Lease Cycles'!$CP$32:$CV$32,1,AE418))/12,IF(AE418=1,IF(AE419&gt;=INDEX('Lease Cycles'!$DK$32:$DQ$32,1,AE418),IF(AE$6&gt;='Lease Cycles'!$AZ$32,'Lease Cycles'!$C$32*'Lease Cycles'!$BA$32/12,IF(AE$6&gt;='Lease Cycles'!$AX$32,'Lease Cycles'!$C$32*'Lease Cycles'!$AY$32/12,IF(AE$6&gt;='Lease Cycles'!$AV$32,'Lease Cycles'!$C$32*'Lease Cycles'!$AW$32/12,IF(AE$6&gt;='Lease Cycles'!$AT$32,'Lease Cycles'!$C$32*'Lease Cycles'!$AU$32/12,'Lease Cycles'!$C$32*INDEX('Lease Cycles'!$CB$32:$CH$32,1,AE418)*(1+INDEX('Lease Cycles'!$CI$32:$CO$32,1,AE418))^INT(INT(AE419/12)/INDEX('Lease Cycles'!$CP$32:$CV$32,1,AE418))/12)))),'Lease Cycles'!$C$32*INDEX('Lease Cycles'!$CB$32:$CH$32,1,AE418)*(1+INDEX('Lease Cycles'!$CI$32:$CO$32,1,AE418))^INT(INT(AE419/12)/INDEX('Lease Cycles'!$CP$32:$CV$32,1,AE418))/12),IF(INDEX('Lease Cycles'!$EF$32:$EL$32,1,AE418)=1,IF(AND('Lease Cycles'!$AZ$32&gt;=INDEX('Lease Cycles'!$BG$32:$BM$32,1,AE418),'Lease Cycles'!$AZ$32&lt;=AE$6),'Lease Cycles'!$C$32*'Lease Cycles'!$BA$32/12,IF(AND('Lease Cycles'!$AX$32&gt;=INDEX('Lease Cycles'!$BG$32:$BM$32,1,AE418),'Lease Cycles'!$AX$32&lt;=AE$6),'Lease Cycles'!$C$32*'Lease Cycles'!$AY$32/12,IF(AND('Lease Cycles'!$AV$32&gt;=INDEX('Lease Cycles'!$BG$32:$BM$32,1,AE418),'Lease Cycles'!$AV$32&lt;=AE$6),'Lease Cycles'!$C$32*'Lease Cycles'!$AW$32/12,IF(AND('Lease Cycles'!$AT$32&gt;=INDEX('Lease Cycles'!$BG$32:$BM$32,1,AE418),'Lease Cycles'!$AT$32&lt;=AE$6),'Lease Cycles'!$C$32*'Lease Cycles'!$AU$32/12,'Lease Cycles'!$C$32*INDEX('Lease Cycles'!$CB$32:$CH$32,1,AE418)*(1+INDEX('Lease Cycles'!$CI$32:$CO$32,1,AE418))^INT(INT(AE419/12)/INDEX('Lease Cycles'!$CP$32:$CV$32,1,AE418))/12)))),'Lease Cycles'!$C$32*INDEX('Lease Cycles'!$CB$32:$CH$32,1,AE418)*(1+INDEX('Lease Cycles'!$CI$32:$CO$32,1,AE418))^INT(INT(AE419/12)/INDEX('Lease Cycles'!$CP$32:$CV$32,1,AE418))/12))),IF('Lease Cycles'!$N$32=1,'Lease Cycles'!$C$32*'Lease Cycles'!$E$32*INDEX('Lease Cycles'!$HE$32:$HK$32,1,AE418)*(1+INDEX('Lease Cycles'!$GQ$32:$GW$32,1,AE418))^INT(INT((AE$6-INDEX('Lease Cycles'!$GJ$32:$GP$32,1,AE418))/12)/INDEX('Lease Cycles'!$GX$32:$HD$32,1,AE418))/12,0)))</f>
        <v>0</v>
      </c>
      <c r="AF421" s="28">
        <f>IF(AF418=0,IF('Lease Cycles'!$F$32&gt;0,'Lease Cycles'!$C$32*'Lease Cycles'!$E$32/12,0),IF(AF420=1,IF('Lease Cycles'!$AT$32&gt;=9999,'Lease Cycles'!$C$32*INDEX('Lease Cycles'!$CB$32:$CH$32,1,AF418)*(1+INDEX('Lease Cycles'!$CI$32:$CO$32,1,AF418))^INT(INT(AF419/12)/INDEX('Lease Cycles'!$CP$32:$CV$32,1,AF418))/12,IF(AF418=1,IF(AF419&gt;=INDEX('Lease Cycles'!$DK$32:$DQ$32,1,AF418),IF(AF$6&gt;='Lease Cycles'!$AZ$32,'Lease Cycles'!$C$32*'Lease Cycles'!$BA$32/12,IF(AF$6&gt;='Lease Cycles'!$AX$32,'Lease Cycles'!$C$32*'Lease Cycles'!$AY$32/12,IF(AF$6&gt;='Lease Cycles'!$AV$32,'Lease Cycles'!$C$32*'Lease Cycles'!$AW$32/12,IF(AF$6&gt;='Lease Cycles'!$AT$32,'Lease Cycles'!$C$32*'Lease Cycles'!$AU$32/12,'Lease Cycles'!$C$32*INDEX('Lease Cycles'!$CB$32:$CH$32,1,AF418)*(1+INDEX('Lease Cycles'!$CI$32:$CO$32,1,AF418))^INT(INT(AF419/12)/INDEX('Lease Cycles'!$CP$32:$CV$32,1,AF418))/12)))),'Lease Cycles'!$C$32*INDEX('Lease Cycles'!$CB$32:$CH$32,1,AF418)*(1+INDEX('Lease Cycles'!$CI$32:$CO$32,1,AF418))^INT(INT(AF419/12)/INDEX('Lease Cycles'!$CP$32:$CV$32,1,AF418))/12),IF(INDEX('Lease Cycles'!$EF$32:$EL$32,1,AF418)=1,IF(AND('Lease Cycles'!$AZ$32&gt;=INDEX('Lease Cycles'!$BG$32:$BM$32,1,AF418),'Lease Cycles'!$AZ$32&lt;=AF$6),'Lease Cycles'!$C$32*'Lease Cycles'!$BA$32/12,IF(AND('Lease Cycles'!$AX$32&gt;=INDEX('Lease Cycles'!$BG$32:$BM$32,1,AF418),'Lease Cycles'!$AX$32&lt;=AF$6),'Lease Cycles'!$C$32*'Lease Cycles'!$AY$32/12,IF(AND('Lease Cycles'!$AV$32&gt;=INDEX('Lease Cycles'!$BG$32:$BM$32,1,AF418),'Lease Cycles'!$AV$32&lt;=AF$6),'Lease Cycles'!$C$32*'Lease Cycles'!$AW$32/12,IF(AND('Lease Cycles'!$AT$32&gt;=INDEX('Lease Cycles'!$BG$32:$BM$32,1,AF418),'Lease Cycles'!$AT$32&lt;=AF$6),'Lease Cycles'!$C$32*'Lease Cycles'!$AU$32/12,'Lease Cycles'!$C$32*INDEX('Lease Cycles'!$CB$32:$CH$32,1,AF418)*(1+INDEX('Lease Cycles'!$CI$32:$CO$32,1,AF418))^INT(INT(AF419/12)/INDEX('Lease Cycles'!$CP$32:$CV$32,1,AF418))/12)))),'Lease Cycles'!$C$32*INDEX('Lease Cycles'!$CB$32:$CH$32,1,AF418)*(1+INDEX('Lease Cycles'!$CI$32:$CO$32,1,AF418))^INT(INT(AF419/12)/INDEX('Lease Cycles'!$CP$32:$CV$32,1,AF418))/12))),IF('Lease Cycles'!$N$32=1,'Lease Cycles'!$C$32*'Lease Cycles'!$E$32*INDEX('Lease Cycles'!$HE$32:$HK$32,1,AF418)*(1+INDEX('Lease Cycles'!$GQ$32:$GW$32,1,AF418))^INT(INT((AF$6-INDEX('Lease Cycles'!$GJ$32:$GP$32,1,AF418))/12)/INDEX('Lease Cycles'!$GX$32:$HD$32,1,AF418))/12,0)))</f>
        <v>0</v>
      </c>
      <c r="AG421" s="28">
        <f>IF(AG418=0,IF('Lease Cycles'!$F$32&gt;0,'Lease Cycles'!$C$32*'Lease Cycles'!$E$32/12,0),IF(AG420=1,IF('Lease Cycles'!$AT$32&gt;=9999,'Lease Cycles'!$C$32*INDEX('Lease Cycles'!$CB$32:$CH$32,1,AG418)*(1+INDEX('Lease Cycles'!$CI$32:$CO$32,1,AG418))^INT(INT(AG419/12)/INDEX('Lease Cycles'!$CP$32:$CV$32,1,AG418))/12,IF(AG418=1,IF(AG419&gt;=INDEX('Lease Cycles'!$DK$32:$DQ$32,1,AG418),IF(AG$6&gt;='Lease Cycles'!$AZ$32,'Lease Cycles'!$C$32*'Lease Cycles'!$BA$32/12,IF(AG$6&gt;='Lease Cycles'!$AX$32,'Lease Cycles'!$C$32*'Lease Cycles'!$AY$32/12,IF(AG$6&gt;='Lease Cycles'!$AV$32,'Lease Cycles'!$C$32*'Lease Cycles'!$AW$32/12,IF(AG$6&gt;='Lease Cycles'!$AT$32,'Lease Cycles'!$C$32*'Lease Cycles'!$AU$32/12,'Lease Cycles'!$C$32*INDEX('Lease Cycles'!$CB$32:$CH$32,1,AG418)*(1+INDEX('Lease Cycles'!$CI$32:$CO$32,1,AG418))^INT(INT(AG419/12)/INDEX('Lease Cycles'!$CP$32:$CV$32,1,AG418))/12)))),'Lease Cycles'!$C$32*INDEX('Lease Cycles'!$CB$32:$CH$32,1,AG418)*(1+INDEX('Lease Cycles'!$CI$32:$CO$32,1,AG418))^INT(INT(AG419/12)/INDEX('Lease Cycles'!$CP$32:$CV$32,1,AG418))/12),IF(INDEX('Lease Cycles'!$EF$32:$EL$32,1,AG418)=1,IF(AND('Lease Cycles'!$AZ$32&gt;=INDEX('Lease Cycles'!$BG$32:$BM$32,1,AG418),'Lease Cycles'!$AZ$32&lt;=AG$6),'Lease Cycles'!$C$32*'Lease Cycles'!$BA$32/12,IF(AND('Lease Cycles'!$AX$32&gt;=INDEX('Lease Cycles'!$BG$32:$BM$32,1,AG418),'Lease Cycles'!$AX$32&lt;=AG$6),'Lease Cycles'!$C$32*'Lease Cycles'!$AY$32/12,IF(AND('Lease Cycles'!$AV$32&gt;=INDEX('Lease Cycles'!$BG$32:$BM$32,1,AG418),'Lease Cycles'!$AV$32&lt;=AG$6),'Lease Cycles'!$C$32*'Lease Cycles'!$AW$32/12,IF(AND('Lease Cycles'!$AT$32&gt;=INDEX('Lease Cycles'!$BG$32:$BM$32,1,AG418),'Lease Cycles'!$AT$32&lt;=AG$6),'Lease Cycles'!$C$32*'Lease Cycles'!$AU$32/12,'Lease Cycles'!$C$32*INDEX('Lease Cycles'!$CB$32:$CH$32,1,AG418)*(1+INDEX('Lease Cycles'!$CI$32:$CO$32,1,AG418))^INT(INT(AG419/12)/INDEX('Lease Cycles'!$CP$32:$CV$32,1,AG418))/12)))),'Lease Cycles'!$C$32*INDEX('Lease Cycles'!$CB$32:$CH$32,1,AG418)*(1+INDEX('Lease Cycles'!$CI$32:$CO$32,1,AG418))^INT(INT(AG419/12)/INDEX('Lease Cycles'!$CP$32:$CV$32,1,AG418))/12))),IF('Lease Cycles'!$N$32=1,'Lease Cycles'!$C$32*'Lease Cycles'!$E$32*INDEX('Lease Cycles'!$HE$32:$HK$32,1,AG418)*(1+INDEX('Lease Cycles'!$GQ$32:$GW$32,1,AG418))^INT(INT((AG$6-INDEX('Lease Cycles'!$GJ$32:$GP$32,1,AG418))/12)/INDEX('Lease Cycles'!$GX$32:$HD$32,1,AG418))/12,0)))</f>
        <v>0</v>
      </c>
      <c r="AH421" s="28">
        <f>IF(AH418=0,IF('Lease Cycles'!$F$32&gt;0,'Lease Cycles'!$C$32*'Lease Cycles'!$E$32/12,0),IF(AH420=1,IF('Lease Cycles'!$AT$32&gt;=9999,'Lease Cycles'!$C$32*INDEX('Lease Cycles'!$CB$32:$CH$32,1,AH418)*(1+INDEX('Lease Cycles'!$CI$32:$CO$32,1,AH418))^INT(INT(AH419/12)/INDEX('Lease Cycles'!$CP$32:$CV$32,1,AH418))/12,IF(AH418=1,IF(AH419&gt;=INDEX('Lease Cycles'!$DK$32:$DQ$32,1,AH418),IF(AH$6&gt;='Lease Cycles'!$AZ$32,'Lease Cycles'!$C$32*'Lease Cycles'!$BA$32/12,IF(AH$6&gt;='Lease Cycles'!$AX$32,'Lease Cycles'!$C$32*'Lease Cycles'!$AY$32/12,IF(AH$6&gt;='Lease Cycles'!$AV$32,'Lease Cycles'!$C$32*'Lease Cycles'!$AW$32/12,IF(AH$6&gt;='Lease Cycles'!$AT$32,'Lease Cycles'!$C$32*'Lease Cycles'!$AU$32/12,'Lease Cycles'!$C$32*INDEX('Lease Cycles'!$CB$32:$CH$32,1,AH418)*(1+INDEX('Lease Cycles'!$CI$32:$CO$32,1,AH418))^INT(INT(AH419/12)/INDEX('Lease Cycles'!$CP$32:$CV$32,1,AH418))/12)))),'Lease Cycles'!$C$32*INDEX('Lease Cycles'!$CB$32:$CH$32,1,AH418)*(1+INDEX('Lease Cycles'!$CI$32:$CO$32,1,AH418))^INT(INT(AH419/12)/INDEX('Lease Cycles'!$CP$32:$CV$32,1,AH418))/12),IF(INDEX('Lease Cycles'!$EF$32:$EL$32,1,AH418)=1,IF(AND('Lease Cycles'!$AZ$32&gt;=INDEX('Lease Cycles'!$BG$32:$BM$32,1,AH418),'Lease Cycles'!$AZ$32&lt;=AH$6),'Lease Cycles'!$C$32*'Lease Cycles'!$BA$32/12,IF(AND('Lease Cycles'!$AX$32&gt;=INDEX('Lease Cycles'!$BG$32:$BM$32,1,AH418),'Lease Cycles'!$AX$32&lt;=AH$6),'Lease Cycles'!$C$32*'Lease Cycles'!$AY$32/12,IF(AND('Lease Cycles'!$AV$32&gt;=INDEX('Lease Cycles'!$BG$32:$BM$32,1,AH418),'Lease Cycles'!$AV$32&lt;=AH$6),'Lease Cycles'!$C$32*'Lease Cycles'!$AW$32/12,IF(AND('Lease Cycles'!$AT$32&gt;=INDEX('Lease Cycles'!$BG$32:$BM$32,1,AH418),'Lease Cycles'!$AT$32&lt;=AH$6),'Lease Cycles'!$C$32*'Lease Cycles'!$AU$32/12,'Lease Cycles'!$C$32*INDEX('Lease Cycles'!$CB$32:$CH$32,1,AH418)*(1+INDEX('Lease Cycles'!$CI$32:$CO$32,1,AH418))^INT(INT(AH419/12)/INDEX('Lease Cycles'!$CP$32:$CV$32,1,AH418))/12)))),'Lease Cycles'!$C$32*INDEX('Lease Cycles'!$CB$32:$CH$32,1,AH418)*(1+INDEX('Lease Cycles'!$CI$32:$CO$32,1,AH418))^INT(INT(AH419/12)/INDEX('Lease Cycles'!$CP$32:$CV$32,1,AH418))/12))),IF('Lease Cycles'!$N$32=1,'Lease Cycles'!$C$32*'Lease Cycles'!$E$32*INDEX('Lease Cycles'!$HE$32:$HK$32,1,AH418)*(1+INDEX('Lease Cycles'!$GQ$32:$GW$32,1,AH418))^INT(INT((AH$6-INDEX('Lease Cycles'!$GJ$32:$GP$32,1,AH418))/12)/INDEX('Lease Cycles'!$GX$32:$HD$32,1,AH418))/12,0)))</f>
        <v>0</v>
      </c>
      <c r="AI421" s="28">
        <f>IF(AI418=0,IF('Lease Cycles'!$F$32&gt;0,'Lease Cycles'!$C$32*'Lease Cycles'!$E$32/12,0),IF(AI420=1,IF('Lease Cycles'!$AT$32&gt;=9999,'Lease Cycles'!$C$32*INDEX('Lease Cycles'!$CB$32:$CH$32,1,AI418)*(1+INDEX('Lease Cycles'!$CI$32:$CO$32,1,AI418))^INT(INT(AI419/12)/INDEX('Lease Cycles'!$CP$32:$CV$32,1,AI418))/12,IF(AI418=1,IF(AI419&gt;=INDEX('Lease Cycles'!$DK$32:$DQ$32,1,AI418),IF(AI$6&gt;='Lease Cycles'!$AZ$32,'Lease Cycles'!$C$32*'Lease Cycles'!$BA$32/12,IF(AI$6&gt;='Lease Cycles'!$AX$32,'Lease Cycles'!$C$32*'Lease Cycles'!$AY$32/12,IF(AI$6&gt;='Lease Cycles'!$AV$32,'Lease Cycles'!$C$32*'Lease Cycles'!$AW$32/12,IF(AI$6&gt;='Lease Cycles'!$AT$32,'Lease Cycles'!$C$32*'Lease Cycles'!$AU$32/12,'Lease Cycles'!$C$32*INDEX('Lease Cycles'!$CB$32:$CH$32,1,AI418)*(1+INDEX('Lease Cycles'!$CI$32:$CO$32,1,AI418))^INT(INT(AI419/12)/INDEX('Lease Cycles'!$CP$32:$CV$32,1,AI418))/12)))),'Lease Cycles'!$C$32*INDEX('Lease Cycles'!$CB$32:$CH$32,1,AI418)*(1+INDEX('Lease Cycles'!$CI$32:$CO$32,1,AI418))^INT(INT(AI419/12)/INDEX('Lease Cycles'!$CP$32:$CV$32,1,AI418))/12),IF(INDEX('Lease Cycles'!$EF$32:$EL$32,1,AI418)=1,IF(AND('Lease Cycles'!$AZ$32&gt;=INDEX('Lease Cycles'!$BG$32:$BM$32,1,AI418),'Lease Cycles'!$AZ$32&lt;=AI$6),'Lease Cycles'!$C$32*'Lease Cycles'!$BA$32/12,IF(AND('Lease Cycles'!$AX$32&gt;=INDEX('Lease Cycles'!$BG$32:$BM$32,1,AI418),'Lease Cycles'!$AX$32&lt;=AI$6),'Lease Cycles'!$C$32*'Lease Cycles'!$AY$32/12,IF(AND('Lease Cycles'!$AV$32&gt;=INDEX('Lease Cycles'!$BG$32:$BM$32,1,AI418),'Lease Cycles'!$AV$32&lt;=AI$6),'Lease Cycles'!$C$32*'Lease Cycles'!$AW$32/12,IF(AND('Lease Cycles'!$AT$32&gt;=INDEX('Lease Cycles'!$BG$32:$BM$32,1,AI418),'Lease Cycles'!$AT$32&lt;=AI$6),'Lease Cycles'!$C$32*'Lease Cycles'!$AU$32/12,'Lease Cycles'!$C$32*INDEX('Lease Cycles'!$CB$32:$CH$32,1,AI418)*(1+INDEX('Lease Cycles'!$CI$32:$CO$32,1,AI418))^INT(INT(AI419/12)/INDEX('Lease Cycles'!$CP$32:$CV$32,1,AI418))/12)))),'Lease Cycles'!$C$32*INDEX('Lease Cycles'!$CB$32:$CH$32,1,AI418)*(1+INDEX('Lease Cycles'!$CI$32:$CO$32,1,AI418))^INT(INT(AI419/12)/INDEX('Lease Cycles'!$CP$32:$CV$32,1,AI418))/12))),IF('Lease Cycles'!$N$32=1,'Lease Cycles'!$C$32*'Lease Cycles'!$E$32*INDEX('Lease Cycles'!$HE$32:$HK$32,1,AI418)*(1+INDEX('Lease Cycles'!$GQ$32:$GW$32,1,AI418))^INT(INT((AI$6-INDEX('Lease Cycles'!$GJ$32:$GP$32,1,AI418))/12)/INDEX('Lease Cycles'!$GX$32:$HD$32,1,AI418))/12,0)))</f>
        <v>0</v>
      </c>
      <c r="AJ421" s="28">
        <f>IF(AJ418=0,IF('Lease Cycles'!$F$32&gt;0,'Lease Cycles'!$C$32*'Lease Cycles'!$E$32/12,0),IF(AJ420=1,IF('Lease Cycles'!$AT$32&gt;=9999,'Lease Cycles'!$C$32*INDEX('Lease Cycles'!$CB$32:$CH$32,1,AJ418)*(1+INDEX('Lease Cycles'!$CI$32:$CO$32,1,AJ418))^INT(INT(AJ419/12)/INDEX('Lease Cycles'!$CP$32:$CV$32,1,AJ418))/12,IF(AJ418=1,IF(AJ419&gt;=INDEX('Lease Cycles'!$DK$32:$DQ$32,1,AJ418),IF(AJ$6&gt;='Lease Cycles'!$AZ$32,'Lease Cycles'!$C$32*'Lease Cycles'!$BA$32/12,IF(AJ$6&gt;='Lease Cycles'!$AX$32,'Lease Cycles'!$C$32*'Lease Cycles'!$AY$32/12,IF(AJ$6&gt;='Lease Cycles'!$AV$32,'Lease Cycles'!$C$32*'Lease Cycles'!$AW$32/12,IF(AJ$6&gt;='Lease Cycles'!$AT$32,'Lease Cycles'!$C$32*'Lease Cycles'!$AU$32/12,'Lease Cycles'!$C$32*INDEX('Lease Cycles'!$CB$32:$CH$32,1,AJ418)*(1+INDEX('Lease Cycles'!$CI$32:$CO$32,1,AJ418))^INT(INT(AJ419/12)/INDEX('Lease Cycles'!$CP$32:$CV$32,1,AJ418))/12)))),'Lease Cycles'!$C$32*INDEX('Lease Cycles'!$CB$32:$CH$32,1,AJ418)*(1+INDEX('Lease Cycles'!$CI$32:$CO$32,1,AJ418))^INT(INT(AJ419/12)/INDEX('Lease Cycles'!$CP$32:$CV$32,1,AJ418))/12),IF(INDEX('Lease Cycles'!$EF$32:$EL$32,1,AJ418)=1,IF(AND('Lease Cycles'!$AZ$32&gt;=INDEX('Lease Cycles'!$BG$32:$BM$32,1,AJ418),'Lease Cycles'!$AZ$32&lt;=AJ$6),'Lease Cycles'!$C$32*'Lease Cycles'!$BA$32/12,IF(AND('Lease Cycles'!$AX$32&gt;=INDEX('Lease Cycles'!$BG$32:$BM$32,1,AJ418),'Lease Cycles'!$AX$32&lt;=AJ$6),'Lease Cycles'!$C$32*'Lease Cycles'!$AY$32/12,IF(AND('Lease Cycles'!$AV$32&gt;=INDEX('Lease Cycles'!$BG$32:$BM$32,1,AJ418),'Lease Cycles'!$AV$32&lt;=AJ$6),'Lease Cycles'!$C$32*'Lease Cycles'!$AW$32/12,IF(AND('Lease Cycles'!$AT$32&gt;=INDEX('Lease Cycles'!$BG$32:$BM$32,1,AJ418),'Lease Cycles'!$AT$32&lt;=AJ$6),'Lease Cycles'!$C$32*'Lease Cycles'!$AU$32/12,'Lease Cycles'!$C$32*INDEX('Lease Cycles'!$CB$32:$CH$32,1,AJ418)*(1+INDEX('Lease Cycles'!$CI$32:$CO$32,1,AJ418))^INT(INT(AJ419/12)/INDEX('Lease Cycles'!$CP$32:$CV$32,1,AJ418))/12)))),'Lease Cycles'!$C$32*INDEX('Lease Cycles'!$CB$32:$CH$32,1,AJ418)*(1+INDEX('Lease Cycles'!$CI$32:$CO$32,1,AJ418))^INT(INT(AJ419/12)/INDEX('Lease Cycles'!$CP$32:$CV$32,1,AJ418))/12))),IF('Lease Cycles'!$N$32=1,'Lease Cycles'!$C$32*'Lease Cycles'!$E$32*INDEX('Lease Cycles'!$HE$32:$HK$32,1,AJ418)*(1+INDEX('Lease Cycles'!$GQ$32:$GW$32,1,AJ418))^INT(INT((AJ$6-INDEX('Lease Cycles'!$GJ$32:$GP$32,1,AJ418))/12)/INDEX('Lease Cycles'!$GX$32:$HD$32,1,AJ418))/12,0)))</f>
        <v>0</v>
      </c>
      <c r="AK421" s="28">
        <f>IF(AK418=0,IF('Lease Cycles'!$F$32&gt;0,'Lease Cycles'!$C$32*'Lease Cycles'!$E$32/12,0),IF(AK420=1,IF('Lease Cycles'!$AT$32&gt;=9999,'Lease Cycles'!$C$32*INDEX('Lease Cycles'!$CB$32:$CH$32,1,AK418)*(1+INDEX('Lease Cycles'!$CI$32:$CO$32,1,AK418))^INT(INT(AK419/12)/INDEX('Lease Cycles'!$CP$32:$CV$32,1,AK418))/12,IF(AK418=1,IF(AK419&gt;=INDEX('Lease Cycles'!$DK$32:$DQ$32,1,AK418),IF(AK$6&gt;='Lease Cycles'!$AZ$32,'Lease Cycles'!$C$32*'Lease Cycles'!$BA$32/12,IF(AK$6&gt;='Lease Cycles'!$AX$32,'Lease Cycles'!$C$32*'Lease Cycles'!$AY$32/12,IF(AK$6&gt;='Lease Cycles'!$AV$32,'Lease Cycles'!$C$32*'Lease Cycles'!$AW$32/12,IF(AK$6&gt;='Lease Cycles'!$AT$32,'Lease Cycles'!$C$32*'Lease Cycles'!$AU$32/12,'Lease Cycles'!$C$32*INDEX('Lease Cycles'!$CB$32:$CH$32,1,AK418)*(1+INDEX('Lease Cycles'!$CI$32:$CO$32,1,AK418))^INT(INT(AK419/12)/INDEX('Lease Cycles'!$CP$32:$CV$32,1,AK418))/12)))),'Lease Cycles'!$C$32*INDEX('Lease Cycles'!$CB$32:$CH$32,1,AK418)*(1+INDEX('Lease Cycles'!$CI$32:$CO$32,1,AK418))^INT(INT(AK419/12)/INDEX('Lease Cycles'!$CP$32:$CV$32,1,AK418))/12),IF(INDEX('Lease Cycles'!$EF$32:$EL$32,1,AK418)=1,IF(AND('Lease Cycles'!$AZ$32&gt;=INDEX('Lease Cycles'!$BG$32:$BM$32,1,AK418),'Lease Cycles'!$AZ$32&lt;=AK$6),'Lease Cycles'!$C$32*'Lease Cycles'!$BA$32/12,IF(AND('Lease Cycles'!$AX$32&gt;=INDEX('Lease Cycles'!$BG$32:$BM$32,1,AK418),'Lease Cycles'!$AX$32&lt;=AK$6),'Lease Cycles'!$C$32*'Lease Cycles'!$AY$32/12,IF(AND('Lease Cycles'!$AV$32&gt;=INDEX('Lease Cycles'!$BG$32:$BM$32,1,AK418),'Lease Cycles'!$AV$32&lt;=AK$6),'Lease Cycles'!$C$32*'Lease Cycles'!$AW$32/12,IF(AND('Lease Cycles'!$AT$32&gt;=INDEX('Lease Cycles'!$BG$32:$BM$32,1,AK418),'Lease Cycles'!$AT$32&lt;=AK$6),'Lease Cycles'!$C$32*'Lease Cycles'!$AU$32/12,'Lease Cycles'!$C$32*INDEX('Lease Cycles'!$CB$32:$CH$32,1,AK418)*(1+INDEX('Lease Cycles'!$CI$32:$CO$32,1,AK418))^INT(INT(AK419/12)/INDEX('Lease Cycles'!$CP$32:$CV$32,1,AK418))/12)))),'Lease Cycles'!$C$32*INDEX('Lease Cycles'!$CB$32:$CH$32,1,AK418)*(1+INDEX('Lease Cycles'!$CI$32:$CO$32,1,AK418))^INT(INT(AK419/12)/INDEX('Lease Cycles'!$CP$32:$CV$32,1,AK418))/12))),IF('Lease Cycles'!$N$32=1,'Lease Cycles'!$C$32*'Lease Cycles'!$E$32*INDEX('Lease Cycles'!$HE$32:$HK$32,1,AK418)*(1+INDEX('Lease Cycles'!$GQ$32:$GW$32,1,AK418))^INT(INT((AK$6-INDEX('Lease Cycles'!$GJ$32:$GP$32,1,AK418))/12)/INDEX('Lease Cycles'!$GX$32:$HD$32,1,AK418))/12,0)))</f>
        <v>0</v>
      </c>
      <c r="AL421" s="28">
        <f>IF(AL418=0,IF('Lease Cycles'!$F$32&gt;0,'Lease Cycles'!$C$32*'Lease Cycles'!$E$32/12,0),IF(AL420=1,IF('Lease Cycles'!$AT$32&gt;=9999,'Lease Cycles'!$C$32*INDEX('Lease Cycles'!$CB$32:$CH$32,1,AL418)*(1+INDEX('Lease Cycles'!$CI$32:$CO$32,1,AL418))^INT(INT(AL419/12)/INDEX('Lease Cycles'!$CP$32:$CV$32,1,AL418))/12,IF(AL418=1,IF(AL419&gt;=INDEX('Lease Cycles'!$DK$32:$DQ$32,1,AL418),IF(AL$6&gt;='Lease Cycles'!$AZ$32,'Lease Cycles'!$C$32*'Lease Cycles'!$BA$32/12,IF(AL$6&gt;='Lease Cycles'!$AX$32,'Lease Cycles'!$C$32*'Lease Cycles'!$AY$32/12,IF(AL$6&gt;='Lease Cycles'!$AV$32,'Lease Cycles'!$C$32*'Lease Cycles'!$AW$32/12,IF(AL$6&gt;='Lease Cycles'!$AT$32,'Lease Cycles'!$C$32*'Lease Cycles'!$AU$32/12,'Lease Cycles'!$C$32*INDEX('Lease Cycles'!$CB$32:$CH$32,1,AL418)*(1+INDEX('Lease Cycles'!$CI$32:$CO$32,1,AL418))^INT(INT(AL419/12)/INDEX('Lease Cycles'!$CP$32:$CV$32,1,AL418))/12)))),'Lease Cycles'!$C$32*INDEX('Lease Cycles'!$CB$32:$CH$32,1,AL418)*(1+INDEX('Lease Cycles'!$CI$32:$CO$32,1,AL418))^INT(INT(AL419/12)/INDEX('Lease Cycles'!$CP$32:$CV$32,1,AL418))/12),IF(INDEX('Lease Cycles'!$EF$32:$EL$32,1,AL418)=1,IF(AND('Lease Cycles'!$AZ$32&gt;=INDEX('Lease Cycles'!$BG$32:$BM$32,1,AL418),'Lease Cycles'!$AZ$32&lt;=AL$6),'Lease Cycles'!$C$32*'Lease Cycles'!$BA$32/12,IF(AND('Lease Cycles'!$AX$32&gt;=INDEX('Lease Cycles'!$BG$32:$BM$32,1,AL418),'Lease Cycles'!$AX$32&lt;=AL$6),'Lease Cycles'!$C$32*'Lease Cycles'!$AY$32/12,IF(AND('Lease Cycles'!$AV$32&gt;=INDEX('Lease Cycles'!$BG$32:$BM$32,1,AL418),'Lease Cycles'!$AV$32&lt;=AL$6),'Lease Cycles'!$C$32*'Lease Cycles'!$AW$32/12,IF(AND('Lease Cycles'!$AT$32&gt;=INDEX('Lease Cycles'!$BG$32:$BM$32,1,AL418),'Lease Cycles'!$AT$32&lt;=AL$6),'Lease Cycles'!$C$32*'Lease Cycles'!$AU$32/12,'Lease Cycles'!$C$32*INDEX('Lease Cycles'!$CB$32:$CH$32,1,AL418)*(1+INDEX('Lease Cycles'!$CI$32:$CO$32,1,AL418))^INT(INT(AL419/12)/INDEX('Lease Cycles'!$CP$32:$CV$32,1,AL418))/12)))),'Lease Cycles'!$C$32*INDEX('Lease Cycles'!$CB$32:$CH$32,1,AL418)*(1+INDEX('Lease Cycles'!$CI$32:$CO$32,1,AL418))^INT(INT(AL419/12)/INDEX('Lease Cycles'!$CP$32:$CV$32,1,AL418))/12))),IF('Lease Cycles'!$N$32=1,'Lease Cycles'!$C$32*'Lease Cycles'!$E$32*INDEX('Lease Cycles'!$HE$32:$HK$32,1,AL418)*(1+INDEX('Lease Cycles'!$GQ$32:$GW$32,1,AL418))^INT(INT((AL$6-INDEX('Lease Cycles'!$GJ$32:$GP$32,1,AL418))/12)/INDEX('Lease Cycles'!$GX$32:$HD$32,1,AL418))/12,0)))</f>
        <v>0</v>
      </c>
      <c r="AM421" s="28">
        <f>IF(AM418=0,IF('Lease Cycles'!$F$32&gt;0,'Lease Cycles'!$C$32*'Lease Cycles'!$E$32/12,0),IF(AM420=1,IF('Lease Cycles'!$AT$32&gt;=9999,'Lease Cycles'!$C$32*INDEX('Lease Cycles'!$CB$32:$CH$32,1,AM418)*(1+INDEX('Lease Cycles'!$CI$32:$CO$32,1,AM418))^INT(INT(AM419/12)/INDEX('Lease Cycles'!$CP$32:$CV$32,1,AM418))/12,IF(AM418=1,IF(AM419&gt;=INDEX('Lease Cycles'!$DK$32:$DQ$32,1,AM418),IF(AM$6&gt;='Lease Cycles'!$AZ$32,'Lease Cycles'!$C$32*'Lease Cycles'!$BA$32/12,IF(AM$6&gt;='Lease Cycles'!$AX$32,'Lease Cycles'!$C$32*'Lease Cycles'!$AY$32/12,IF(AM$6&gt;='Lease Cycles'!$AV$32,'Lease Cycles'!$C$32*'Lease Cycles'!$AW$32/12,IF(AM$6&gt;='Lease Cycles'!$AT$32,'Lease Cycles'!$C$32*'Lease Cycles'!$AU$32/12,'Lease Cycles'!$C$32*INDEX('Lease Cycles'!$CB$32:$CH$32,1,AM418)*(1+INDEX('Lease Cycles'!$CI$32:$CO$32,1,AM418))^INT(INT(AM419/12)/INDEX('Lease Cycles'!$CP$32:$CV$32,1,AM418))/12)))),'Lease Cycles'!$C$32*INDEX('Lease Cycles'!$CB$32:$CH$32,1,AM418)*(1+INDEX('Lease Cycles'!$CI$32:$CO$32,1,AM418))^INT(INT(AM419/12)/INDEX('Lease Cycles'!$CP$32:$CV$32,1,AM418))/12),IF(INDEX('Lease Cycles'!$EF$32:$EL$32,1,AM418)=1,IF(AND('Lease Cycles'!$AZ$32&gt;=INDEX('Lease Cycles'!$BG$32:$BM$32,1,AM418),'Lease Cycles'!$AZ$32&lt;=AM$6),'Lease Cycles'!$C$32*'Lease Cycles'!$BA$32/12,IF(AND('Lease Cycles'!$AX$32&gt;=INDEX('Lease Cycles'!$BG$32:$BM$32,1,AM418),'Lease Cycles'!$AX$32&lt;=AM$6),'Lease Cycles'!$C$32*'Lease Cycles'!$AY$32/12,IF(AND('Lease Cycles'!$AV$32&gt;=INDEX('Lease Cycles'!$BG$32:$BM$32,1,AM418),'Lease Cycles'!$AV$32&lt;=AM$6),'Lease Cycles'!$C$32*'Lease Cycles'!$AW$32/12,IF(AND('Lease Cycles'!$AT$32&gt;=INDEX('Lease Cycles'!$BG$32:$BM$32,1,AM418),'Lease Cycles'!$AT$32&lt;=AM$6),'Lease Cycles'!$C$32*'Lease Cycles'!$AU$32/12,'Lease Cycles'!$C$32*INDEX('Lease Cycles'!$CB$32:$CH$32,1,AM418)*(1+INDEX('Lease Cycles'!$CI$32:$CO$32,1,AM418))^INT(INT(AM419/12)/INDEX('Lease Cycles'!$CP$32:$CV$32,1,AM418))/12)))),'Lease Cycles'!$C$32*INDEX('Lease Cycles'!$CB$32:$CH$32,1,AM418)*(1+INDEX('Lease Cycles'!$CI$32:$CO$32,1,AM418))^INT(INT(AM419/12)/INDEX('Lease Cycles'!$CP$32:$CV$32,1,AM418))/12))),IF('Lease Cycles'!$N$32=1,'Lease Cycles'!$C$32*'Lease Cycles'!$E$32*INDEX('Lease Cycles'!$HE$32:$HK$32,1,AM418)*(1+INDEX('Lease Cycles'!$GQ$32:$GW$32,1,AM418))^INT(INT((AM$6-INDEX('Lease Cycles'!$GJ$32:$GP$32,1,AM418))/12)/INDEX('Lease Cycles'!$GX$32:$HD$32,1,AM418))/12,0)))</f>
        <v>0</v>
      </c>
      <c r="AN421" s="28">
        <f>IF(AN418=0,IF('Lease Cycles'!$F$32&gt;0,'Lease Cycles'!$C$32*'Lease Cycles'!$E$32/12,0),IF(AN420=1,IF('Lease Cycles'!$AT$32&gt;=9999,'Lease Cycles'!$C$32*INDEX('Lease Cycles'!$CB$32:$CH$32,1,AN418)*(1+INDEX('Lease Cycles'!$CI$32:$CO$32,1,AN418))^INT(INT(AN419/12)/INDEX('Lease Cycles'!$CP$32:$CV$32,1,AN418))/12,IF(AN418=1,IF(AN419&gt;=INDEX('Lease Cycles'!$DK$32:$DQ$32,1,AN418),IF(AN$6&gt;='Lease Cycles'!$AZ$32,'Lease Cycles'!$C$32*'Lease Cycles'!$BA$32/12,IF(AN$6&gt;='Lease Cycles'!$AX$32,'Lease Cycles'!$C$32*'Lease Cycles'!$AY$32/12,IF(AN$6&gt;='Lease Cycles'!$AV$32,'Lease Cycles'!$C$32*'Lease Cycles'!$AW$32/12,IF(AN$6&gt;='Lease Cycles'!$AT$32,'Lease Cycles'!$C$32*'Lease Cycles'!$AU$32/12,'Lease Cycles'!$C$32*INDEX('Lease Cycles'!$CB$32:$CH$32,1,AN418)*(1+INDEX('Lease Cycles'!$CI$32:$CO$32,1,AN418))^INT(INT(AN419/12)/INDEX('Lease Cycles'!$CP$32:$CV$32,1,AN418))/12)))),'Lease Cycles'!$C$32*INDEX('Lease Cycles'!$CB$32:$CH$32,1,AN418)*(1+INDEX('Lease Cycles'!$CI$32:$CO$32,1,AN418))^INT(INT(AN419/12)/INDEX('Lease Cycles'!$CP$32:$CV$32,1,AN418))/12),IF(INDEX('Lease Cycles'!$EF$32:$EL$32,1,AN418)=1,IF(AND('Lease Cycles'!$AZ$32&gt;=INDEX('Lease Cycles'!$BG$32:$BM$32,1,AN418),'Lease Cycles'!$AZ$32&lt;=AN$6),'Lease Cycles'!$C$32*'Lease Cycles'!$BA$32/12,IF(AND('Lease Cycles'!$AX$32&gt;=INDEX('Lease Cycles'!$BG$32:$BM$32,1,AN418),'Lease Cycles'!$AX$32&lt;=AN$6),'Lease Cycles'!$C$32*'Lease Cycles'!$AY$32/12,IF(AND('Lease Cycles'!$AV$32&gt;=INDEX('Lease Cycles'!$BG$32:$BM$32,1,AN418),'Lease Cycles'!$AV$32&lt;=AN$6),'Lease Cycles'!$C$32*'Lease Cycles'!$AW$32/12,IF(AND('Lease Cycles'!$AT$32&gt;=INDEX('Lease Cycles'!$BG$32:$BM$32,1,AN418),'Lease Cycles'!$AT$32&lt;=AN$6),'Lease Cycles'!$C$32*'Lease Cycles'!$AU$32/12,'Lease Cycles'!$C$32*INDEX('Lease Cycles'!$CB$32:$CH$32,1,AN418)*(1+INDEX('Lease Cycles'!$CI$32:$CO$32,1,AN418))^INT(INT(AN419/12)/INDEX('Lease Cycles'!$CP$32:$CV$32,1,AN418))/12)))),'Lease Cycles'!$C$32*INDEX('Lease Cycles'!$CB$32:$CH$32,1,AN418)*(1+INDEX('Lease Cycles'!$CI$32:$CO$32,1,AN418))^INT(INT(AN419/12)/INDEX('Lease Cycles'!$CP$32:$CV$32,1,AN418))/12))),IF('Lease Cycles'!$N$32=1,'Lease Cycles'!$C$32*'Lease Cycles'!$E$32*INDEX('Lease Cycles'!$HE$32:$HK$32,1,AN418)*(1+INDEX('Lease Cycles'!$GQ$32:$GW$32,1,AN418))^INT(INT((AN$6-INDEX('Lease Cycles'!$GJ$32:$GP$32,1,AN418))/12)/INDEX('Lease Cycles'!$GX$32:$HD$32,1,AN418))/12,0)))</f>
        <v>0</v>
      </c>
      <c r="AO421" s="28">
        <f>IF(AO418=0,IF('Lease Cycles'!$F$32&gt;0,'Lease Cycles'!$C$32*'Lease Cycles'!$E$32/12,0),IF(AO420=1,IF('Lease Cycles'!$AT$32&gt;=9999,'Lease Cycles'!$C$32*INDEX('Lease Cycles'!$CB$32:$CH$32,1,AO418)*(1+INDEX('Lease Cycles'!$CI$32:$CO$32,1,AO418))^INT(INT(AO419/12)/INDEX('Lease Cycles'!$CP$32:$CV$32,1,AO418))/12,IF(AO418=1,IF(AO419&gt;=INDEX('Lease Cycles'!$DK$32:$DQ$32,1,AO418),IF(AO$6&gt;='Lease Cycles'!$AZ$32,'Lease Cycles'!$C$32*'Lease Cycles'!$BA$32/12,IF(AO$6&gt;='Lease Cycles'!$AX$32,'Lease Cycles'!$C$32*'Lease Cycles'!$AY$32/12,IF(AO$6&gt;='Lease Cycles'!$AV$32,'Lease Cycles'!$C$32*'Lease Cycles'!$AW$32/12,IF(AO$6&gt;='Lease Cycles'!$AT$32,'Lease Cycles'!$C$32*'Lease Cycles'!$AU$32/12,'Lease Cycles'!$C$32*INDEX('Lease Cycles'!$CB$32:$CH$32,1,AO418)*(1+INDEX('Lease Cycles'!$CI$32:$CO$32,1,AO418))^INT(INT(AO419/12)/INDEX('Lease Cycles'!$CP$32:$CV$32,1,AO418))/12)))),'Lease Cycles'!$C$32*INDEX('Lease Cycles'!$CB$32:$CH$32,1,AO418)*(1+INDEX('Lease Cycles'!$CI$32:$CO$32,1,AO418))^INT(INT(AO419/12)/INDEX('Lease Cycles'!$CP$32:$CV$32,1,AO418))/12),IF(INDEX('Lease Cycles'!$EF$32:$EL$32,1,AO418)=1,IF(AND('Lease Cycles'!$AZ$32&gt;=INDEX('Lease Cycles'!$BG$32:$BM$32,1,AO418),'Lease Cycles'!$AZ$32&lt;=AO$6),'Lease Cycles'!$C$32*'Lease Cycles'!$BA$32/12,IF(AND('Lease Cycles'!$AX$32&gt;=INDEX('Lease Cycles'!$BG$32:$BM$32,1,AO418),'Lease Cycles'!$AX$32&lt;=AO$6),'Lease Cycles'!$C$32*'Lease Cycles'!$AY$32/12,IF(AND('Lease Cycles'!$AV$32&gt;=INDEX('Lease Cycles'!$BG$32:$BM$32,1,AO418),'Lease Cycles'!$AV$32&lt;=AO$6),'Lease Cycles'!$C$32*'Lease Cycles'!$AW$32/12,IF(AND('Lease Cycles'!$AT$32&gt;=INDEX('Lease Cycles'!$BG$32:$BM$32,1,AO418),'Lease Cycles'!$AT$32&lt;=AO$6),'Lease Cycles'!$C$32*'Lease Cycles'!$AU$32/12,'Lease Cycles'!$C$32*INDEX('Lease Cycles'!$CB$32:$CH$32,1,AO418)*(1+INDEX('Lease Cycles'!$CI$32:$CO$32,1,AO418))^INT(INT(AO419/12)/INDEX('Lease Cycles'!$CP$32:$CV$32,1,AO418))/12)))),'Lease Cycles'!$C$32*INDEX('Lease Cycles'!$CB$32:$CH$32,1,AO418)*(1+INDEX('Lease Cycles'!$CI$32:$CO$32,1,AO418))^INT(INT(AO419/12)/INDEX('Lease Cycles'!$CP$32:$CV$32,1,AO418))/12))),IF('Lease Cycles'!$N$32=1,'Lease Cycles'!$C$32*'Lease Cycles'!$E$32*INDEX('Lease Cycles'!$HE$32:$HK$32,1,AO418)*(1+INDEX('Lease Cycles'!$GQ$32:$GW$32,1,AO418))^INT(INT((AO$6-INDEX('Lease Cycles'!$GJ$32:$GP$32,1,AO418))/12)/INDEX('Lease Cycles'!$GX$32:$HD$32,1,AO418))/12,0)))</f>
        <v>0</v>
      </c>
      <c r="AP421" s="28">
        <f>IF(AP418=0,IF('Lease Cycles'!$F$32&gt;0,'Lease Cycles'!$C$32*'Lease Cycles'!$E$32/12,0),IF(AP420=1,IF('Lease Cycles'!$AT$32&gt;=9999,'Lease Cycles'!$C$32*INDEX('Lease Cycles'!$CB$32:$CH$32,1,AP418)*(1+INDEX('Lease Cycles'!$CI$32:$CO$32,1,AP418))^INT(INT(AP419/12)/INDEX('Lease Cycles'!$CP$32:$CV$32,1,AP418))/12,IF(AP418=1,IF(AP419&gt;=INDEX('Lease Cycles'!$DK$32:$DQ$32,1,AP418),IF(AP$6&gt;='Lease Cycles'!$AZ$32,'Lease Cycles'!$C$32*'Lease Cycles'!$BA$32/12,IF(AP$6&gt;='Lease Cycles'!$AX$32,'Lease Cycles'!$C$32*'Lease Cycles'!$AY$32/12,IF(AP$6&gt;='Lease Cycles'!$AV$32,'Lease Cycles'!$C$32*'Lease Cycles'!$AW$32/12,IF(AP$6&gt;='Lease Cycles'!$AT$32,'Lease Cycles'!$C$32*'Lease Cycles'!$AU$32/12,'Lease Cycles'!$C$32*INDEX('Lease Cycles'!$CB$32:$CH$32,1,AP418)*(1+INDEX('Lease Cycles'!$CI$32:$CO$32,1,AP418))^INT(INT(AP419/12)/INDEX('Lease Cycles'!$CP$32:$CV$32,1,AP418))/12)))),'Lease Cycles'!$C$32*INDEX('Lease Cycles'!$CB$32:$CH$32,1,AP418)*(1+INDEX('Lease Cycles'!$CI$32:$CO$32,1,AP418))^INT(INT(AP419/12)/INDEX('Lease Cycles'!$CP$32:$CV$32,1,AP418))/12),IF(INDEX('Lease Cycles'!$EF$32:$EL$32,1,AP418)=1,IF(AND('Lease Cycles'!$AZ$32&gt;=INDEX('Lease Cycles'!$BG$32:$BM$32,1,AP418),'Lease Cycles'!$AZ$32&lt;=AP$6),'Lease Cycles'!$C$32*'Lease Cycles'!$BA$32/12,IF(AND('Lease Cycles'!$AX$32&gt;=INDEX('Lease Cycles'!$BG$32:$BM$32,1,AP418),'Lease Cycles'!$AX$32&lt;=AP$6),'Lease Cycles'!$C$32*'Lease Cycles'!$AY$32/12,IF(AND('Lease Cycles'!$AV$32&gt;=INDEX('Lease Cycles'!$BG$32:$BM$32,1,AP418),'Lease Cycles'!$AV$32&lt;=AP$6),'Lease Cycles'!$C$32*'Lease Cycles'!$AW$32/12,IF(AND('Lease Cycles'!$AT$32&gt;=INDEX('Lease Cycles'!$BG$32:$BM$32,1,AP418),'Lease Cycles'!$AT$32&lt;=AP$6),'Lease Cycles'!$C$32*'Lease Cycles'!$AU$32/12,'Lease Cycles'!$C$32*INDEX('Lease Cycles'!$CB$32:$CH$32,1,AP418)*(1+INDEX('Lease Cycles'!$CI$32:$CO$32,1,AP418))^INT(INT(AP419/12)/INDEX('Lease Cycles'!$CP$32:$CV$32,1,AP418))/12)))),'Lease Cycles'!$C$32*INDEX('Lease Cycles'!$CB$32:$CH$32,1,AP418)*(1+INDEX('Lease Cycles'!$CI$32:$CO$32,1,AP418))^INT(INT(AP419/12)/INDEX('Lease Cycles'!$CP$32:$CV$32,1,AP418))/12))),IF('Lease Cycles'!$N$32=1,'Lease Cycles'!$C$32*'Lease Cycles'!$E$32*INDEX('Lease Cycles'!$HE$32:$HK$32,1,AP418)*(1+INDEX('Lease Cycles'!$GQ$32:$GW$32,1,AP418))^INT(INT((AP$6-INDEX('Lease Cycles'!$GJ$32:$GP$32,1,AP418))/12)/INDEX('Lease Cycles'!$GX$32:$HD$32,1,AP418))/12,0)))</f>
        <v>0</v>
      </c>
      <c r="AQ421" s="28">
        <f>IF(AQ418=0,IF('Lease Cycles'!$F$32&gt;0,'Lease Cycles'!$C$32*'Lease Cycles'!$E$32/12,0),IF(AQ420=1,IF('Lease Cycles'!$AT$32&gt;=9999,'Lease Cycles'!$C$32*INDEX('Lease Cycles'!$CB$32:$CH$32,1,AQ418)*(1+INDEX('Lease Cycles'!$CI$32:$CO$32,1,AQ418))^INT(INT(AQ419/12)/INDEX('Lease Cycles'!$CP$32:$CV$32,1,AQ418))/12,IF(AQ418=1,IF(AQ419&gt;=INDEX('Lease Cycles'!$DK$32:$DQ$32,1,AQ418),IF(AQ$6&gt;='Lease Cycles'!$AZ$32,'Lease Cycles'!$C$32*'Lease Cycles'!$BA$32/12,IF(AQ$6&gt;='Lease Cycles'!$AX$32,'Lease Cycles'!$C$32*'Lease Cycles'!$AY$32/12,IF(AQ$6&gt;='Lease Cycles'!$AV$32,'Lease Cycles'!$C$32*'Lease Cycles'!$AW$32/12,IF(AQ$6&gt;='Lease Cycles'!$AT$32,'Lease Cycles'!$C$32*'Lease Cycles'!$AU$32/12,'Lease Cycles'!$C$32*INDEX('Lease Cycles'!$CB$32:$CH$32,1,AQ418)*(1+INDEX('Lease Cycles'!$CI$32:$CO$32,1,AQ418))^INT(INT(AQ419/12)/INDEX('Lease Cycles'!$CP$32:$CV$32,1,AQ418))/12)))),'Lease Cycles'!$C$32*INDEX('Lease Cycles'!$CB$32:$CH$32,1,AQ418)*(1+INDEX('Lease Cycles'!$CI$32:$CO$32,1,AQ418))^INT(INT(AQ419/12)/INDEX('Lease Cycles'!$CP$32:$CV$32,1,AQ418))/12),IF(INDEX('Lease Cycles'!$EF$32:$EL$32,1,AQ418)=1,IF(AND('Lease Cycles'!$AZ$32&gt;=INDEX('Lease Cycles'!$BG$32:$BM$32,1,AQ418),'Lease Cycles'!$AZ$32&lt;=AQ$6),'Lease Cycles'!$C$32*'Lease Cycles'!$BA$32/12,IF(AND('Lease Cycles'!$AX$32&gt;=INDEX('Lease Cycles'!$BG$32:$BM$32,1,AQ418),'Lease Cycles'!$AX$32&lt;=AQ$6),'Lease Cycles'!$C$32*'Lease Cycles'!$AY$32/12,IF(AND('Lease Cycles'!$AV$32&gt;=INDEX('Lease Cycles'!$BG$32:$BM$32,1,AQ418),'Lease Cycles'!$AV$32&lt;=AQ$6),'Lease Cycles'!$C$32*'Lease Cycles'!$AW$32/12,IF(AND('Lease Cycles'!$AT$32&gt;=INDEX('Lease Cycles'!$BG$32:$BM$32,1,AQ418),'Lease Cycles'!$AT$32&lt;=AQ$6),'Lease Cycles'!$C$32*'Lease Cycles'!$AU$32/12,'Lease Cycles'!$C$32*INDEX('Lease Cycles'!$CB$32:$CH$32,1,AQ418)*(1+INDEX('Lease Cycles'!$CI$32:$CO$32,1,AQ418))^INT(INT(AQ419/12)/INDEX('Lease Cycles'!$CP$32:$CV$32,1,AQ418))/12)))),'Lease Cycles'!$C$32*INDEX('Lease Cycles'!$CB$32:$CH$32,1,AQ418)*(1+INDEX('Lease Cycles'!$CI$32:$CO$32,1,AQ418))^INT(INT(AQ419/12)/INDEX('Lease Cycles'!$CP$32:$CV$32,1,AQ418))/12))),IF('Lease Cycles'!$N$32=1,'Lease Cycles'!$C$32*'Lease Cycles'!$E$32*INDEX('Lease Cycles'!$HE$32:$HK$32,1,AQ418)*(1+INDEX('Lease Cycles'!$GQ$32:$GW$32,1,AQ418))^INT(INT((AQ$6-INDEX('Lease Cycles'!$GJ$32:$GP$32,1,AQ418))/12)/INDEX('Lease Cycles'!$GX$32:$HD$32,1,AQ418))/12,0)))</f>
        <v>0</v>
      </c>
      <c r="AR421" s="28">
        <f>IF(AR418=0,IF('Lease Cycles'!$F$32&gt;0,'Lease Cycles'!$C$32*'Lease Cycles'!$E$32/12,0),IF(AR420=1,IF('Lease Cycles'!$AT$32&gt;=9999,'Lease Cycles'!$C$32*INDEX('Lease Cycles'!$CB$32:$CH$32,1,AR418)*(1+INDEX('Lease Cycles'!$CI$32:$CO$32,1,AR418))^INT(INT(AR419/12)/INDEX('Lease Cycles'!$CP$32:$CV$32,1,AR418))/12,IF(AR418=1,IF(AR419&gt;=INDEX('Lease Cycles'!$DK$32:$DQ$32,1,AR418),IF(AR$6&gt;='Lease Cycles'!$AZ$32,'Lease Cycles'!$C$32*'Lease Cycles'!$BA$32/12,IF(AR$6&gt;='Lease Cycles'!$AX$32,'Lease Cycles'!$C$32*'Lease Cycles'!$AY$32/12,IF(AR$6&gt;='Lease Cycles'!$AV$32,'Lease Cycles'!$C$32*'Lease Cycles'!$AW$32/12,IF(AR$6&gt;='Lease Cycles'!$AT$32,'Lease Cycles'!$C$32*'Lease Cycles'!$AU$32/12,'Lease Cycles'!$C$32*INDEX('Lease Cycles'!$CB$32:$CH$32,1,AR418)*(1+INDEX('Lease Cycles'!$CI$32:$CO$32,1,AR418))^INT(INT(AR419/12)/INDEX('Lease Cycles'!$CP$32:$CV$32,1,AR418))/12)))),'Lease Cycles'!$C$32*INDEX('Lease Cycles'!$CB$32:$CH$32,1,AR418)*(1+INDEX('Lease Cycles'!$CI$32:$CO$32,1,AR418))^INT(INT(AR419/12)/INDEX('Lease Cycles'!$CP$32:$CV$32,1,AR418))/12),IF(INDEX('Lease Cycles'!$EF$32:$EL$32,1,AR418)=1,IF(AND('Lease Cycles'!$AZ$32&gt;=INDEX('Lease Cycles'!$BG$32:$BM$32,1,AR418),'Lease Cycles'!$AZ$32&lt;=AR$6),'Lease Cycles'!$C$32*'Lease Cycles'!$BA$32/12,IF(AND('Lease Cycles'!$AX$32&gt;=INDEX('Lease Cycles'!$BG$32:$BM$32,1,AR418),'Lease Cycles'!$AX$32&lt;=AR$6),'Lease Cycles'!$C$32*'Lease Cycles'!$AY$32/12,IF(AND('Lease Cycles'!$AV$32&gt;=INDEX('Lease Cycles'!$BG$32:$BM$32,1,AR418),'Lease Cycles'!$AV$32&lt;=AR$6),'Lease Cycles'!$C$32*'Lease Cycles'!$AW$32/12,IF(AND('Lease Cycles'!$AT$32&gt;=INDEX('Lease Cycles'!$BG$32:$BM$32,1,AR418),'Lease Cycles'!$AT$32&lt;=AR$6),'Lease Cycles'!$C$32*'Lease Cycles'!$AU$32/12,'Lease Cycles'!$C$32*INDEX('Lease Cycles'!$CB$32:$CH$32,1,AR418)*(1+INDEX('Lease Cycles'!$CI$32:$CO$32,1,AR418))^INT(INT(AR419/12)/INDEX('Lease Cycles'!$CP$32:$CV$32,1,AR418))/12)))),'Lease Cycles'!$C$32*INDEX('Lease Cycles'!$CB$32:$CH$32,1,AR418)*(1+INDEX('Lease Cycles'!$CI$32:$CO$32,1,AR418))^INT(INT(AR419/12)/INDEX('Lease Cycles'!$CP$32:$CV$32,1,AR418))/12))),IF('Lease Cycles'!$N$32=1,'Lease Cycles'!$C$32*'Lease Cycles'!$E$32*INDEX('Lease Cycles'!$HE$32:$HK$32,1,AR418)*(1+INDEX('Lease Cycles'!$GQ$32:$GW$32,1,AR418))^INT(INT((AR$6-INDEX('Lease Cycles'!$GJ$32:$GP$32,1,AR418))/12)/INDEX('Lease Cycles'!$GX$32:$HD$32,1,AR418))/12,0)))</f>
        <v>0</v>
      </c>
      <c r="AS421" s="28">
        <f>IF(AS418=0,IF('Lease Cycles'!$F$32&gt;0,'Lease Cycles'!$C$32*'Lease Cycles'!$E$32/12,0),IF(AS420=1,IF('Lease Cycles'!$AT$32&gt;=9999,'Lease Cycles'!$C$32*INDEX('Lease Cycles'!$CB$32:$CH$32,1,AS418)*(1+INDEX('Lease Cycles'!$CI$32:$CO$32,1,AS418))^INT(INT(AS419/12)/INDEX('Lease Cycles'!$CP$32:$CV$32,1,AS418))/12,IF(AS418=1,IF(AS419&gt;=INDEX('Lease Cycles'!$DK$32:$DQ$32,1,AS418),IF(AS$6&gt;='Lease Cycles'!$AZ$32,'Lease Cycles'!$C$32*'Lease Cycles'!$BA$32/12,IF(AS$6&gt;='Lease Cycles'!$AX$32,'Lease Cycles'!$C$32*'Lease Cycles'!$AY$32/12,IF(AS$6&gt;='Lease Cycles'!$AV$32,'Lease Cycles'!$C$32*'Lease Cycles'!$AW$32/12,IF(AS$6&gt;='Lease Cycles'!$AT$32,'Lease Cycles'!$C$32*'Lease Cycles'!$AU$32/12,'Lease Cycles'!$C$32*INDEX('Lease Cycles'!$CB$32:$CH$32,1,AS418)*(1+INDEX('Lease Cycles'!$CI$32:$CO$32,1,AS418))^INT(INT(AS419/12)/INDEX('Lease Cycles'!$CP$32:$CV$32,1,AS418))/12)))),'Lease Cycles'!$C$32*INDEX('Lease Cycles'!$CB$32:$CH$32,1,AS418)*(1+INDEX('Lease Cycles'!$CI$32:$CO$32,1,AS418))^INT(INT(AS419/12)/INDEX('Lease Cycles'!$CP$32:$CV$32,1,AS418))/12),IF(INDEX('Lease Cycles'!$EF$32:$EL$32,1,AS418)=1,IF(AND('Lease Cycles'!$AZ$32&gt;=INDEX('Lease Cycles'!$BG$32:$BM$32,1,AS418),'Lease Cycles'!$AZ$32&lt;=AS$6),'Lease Cycles'!$C$32*'Lease Cycles'!$BA$32/12,IF(AND('Lease Cycles'!$AX$32&gt;=INDEX('Lease Cycles'!$BG$32:$BM$32,1,AS418),'Lease Cycles'!$AX$32&lt;=AS$6),'Lease Cycles'!$C$32*'Lease Cycles'!$AY$32/12,IF(AND('Lease Cycles'!$AV$32&gt;=INDEX('Lease Cycles'!$BG$32:$BM$32,1,AS418),'Lease Cycles'!$AV$32&lt;=AS$6),'Lease Cycles'!$C$32*'Lease Cycles'!$AW$32/12,IF(AND('Lease Cycles'!$AT$32&gt;=INDEX('Lease Cycles'!$BG$32:$BM$32,1,AS418),'Lease Cycles'!$AT$32&lt;=AS$6),'Lease Cycles'!$C$32*'Lease Cycles'!$AU$32/12,'Lease Cycles'!$C$32*INDEX('Lease Cycles'!$CB$32:$CH$32,1,AS418)*(1+INDEX('Lease Cycles'!$CI$32:$CO$32,1,AS418))^INT(INT(AS419/12)/INDEX('Lease Cycles'!$CP$32:$CV$32,1,AS418))/12)))),'Lease Cycles'!$C$32*INDEX('Lease Cycles'!$CB$32:$CH$32,1,AS418)*(1+INDEX('Lease Cycles'!$CI$32:$CO$32,1,AS418))^INT(INT(AS419/12)/INDEX('Lease Cycles'!$CP$32:$CV$32,1,AS418))/12))),IF('Lease Cycles'!$N$32=1,'Lease Cycles'!$C$32*'Lease Cycles'!$E$32*INDEX('Lease Cycles'!$HE$32:$HK$32,1,AS418)*(1+INDEX('Lease Cycles'!$GQ$32:$GW$32,1,AS418))^INT(INT((AS$6-INDEX('Lease Cycles'!$GJ$32:$GP$32,1,AS418))/12)/INDEX('Lease Cycles'!$GX$32:$HD$32,1,AS418))/12,0)))</f>
        <v>0</v>
      </c>
      <c r="AT421" s="28">
        <f>IF(AT418=0,IF('Lease Cycles'!$F$32&gt;0,'Lease Cycles'!$C$32*'Lease Cycles'!$E$32/12,0),IF(AT420=1,IF('Lease Cycles'!$AT$32&gt;=9999,'Lease Cycles'!$C$32*INDEX('Lease Cycles'!$CB$32:$CH$32,1,AT418)*(1+INDEX('Lease Cycles'!$CI$32:$CO$32,1,AT418))^INT(INT(AT419/12)/INDEX('Lease Cycles'!$CP$32:$CV$32,1,AT418))/12,IF(AT418=1,IF(AT419&gt;=INDEX('Lease Cycles'!$DK$32:$DQ$32,1,AT418),IF(AT$6&gt;='Lease Cycles'!$AZ$32,'Lease Cycles'!$C$32*'Lease Cycles'!$BA$32/12,IF(AT$6&gt;='Lease Cycles'!$AX$32,'Lease Cycles'!$C$32*'Lease Cycles'!$AY$32/12,IF(AT$6&gt;='Lease Cycles'!$AV$32,'Lease Cycles'!$C$32*'Lease Cycles'!$AW$32/12,IF(AT$6&gt;='Lease Cycles'!$AT$32,'Lease Cycles'!$C$32*'Lease Cycles'!$AU$32/12,'Lease Cycles'!$C$32*INDEX('Lease Cycles'!$CB$32:$CH$32,1,AT418)*(1+INDEX('Lease Cycles'!$CI$32:$CO$32,1,AT418))^INT(INT(AT419/12)/INDEX('Lease Cycles'!$CP$32:$CV$32,1,AT418))/12)))),'Lease Cycles'!$C$32*INDEX('Lease Cycles'!$CB$32:$CH$32,1,AT418)*(1+INDEX('Lease Cycles'!$CI$32:$CO$32,1,AT418))^INT(INT(AT419/12)/INDEX('Lease Cycles'!$CP$32:$CV$32,1,AT418))/12),IF(INDEX('Lease Cycles'!$EF$32:$EL$32,1,AT418)=1,IF(AND('Lease Cycles'!$AZ$32&gt;=INDEX('Lease Cycles'!$BG$32:$BM$32,1,AT418),'Lease Cycles'!$AZ$32&lt;=AT$6),'Lease Cycles'!$C$32*'Lease Cycles'!$BA$32/12,IF(AND('Lease Cycles'!$AX$32&gt;=INDEX('Lease Cycles'!$BG$32:$BM$32,1,AT418),'Lease Cycles'!$AX$32&lt;=AT$6),'Lease Cycles'!$C$32*'Lease Cycles'!$AY$32/12,IF(AND('Lease Cycles'!$AV$32&gt;=INDEX('Lease Cycles'!$BG$32:$BM$32,1,AT418),'Lease Cycles'!$AV$32&lt;=AT$6),'Lease Cycles'!$C$32*'Lease Cycles'!$AW$32/12,IF(AND('Lease Cycles'!$AT$32&gt;=INDEX('Lease Cycles'!$BG$32:$BM$32,1,AT418),'Lease Cycles'!$AT$32&lt;=AT$6),'Lease Cycles'!$C$32*'Lease Cycles'!$AU$32/12,'Lease Cycles'!$C$32*INDEX('Lease Cycles'!$CB$32:$CH$32,1,AT418)*(1+INDEX('Lease Cycles'!$CI$32:$CO$32,1,AT418))^INT(INT(AT419/12)/INDEX('Lease Cycles'!$CP$32:$CV$32,1,AT418))/12)))),'Lease Cycles'!$C$32*INDEX('Lease Cycles'!$CB$32:$CH$32,1,AT418)*(1+INDEX('Lease Cycles'!$CI$32:$CO$32,1,AT418))^INT(INT(AT419/12)/INDEX('Lease Cycles'!$CP$32:$CV$32,1,AT418))/12))),IF('Lease Cycles'!$N$32=1,'Lease Cycles'!$C$32*'Lease Cycles'!$E$32*INDEX('Lease Cycles'!$HE$32:$HK$32,1,AT418)*(1+INDEX('Lease Cycles'!$GQ$32:$GW$32,1,AT418))^INT(INT((AT$6-INDEX('Lease Cycles'!$GJ$32:$GP$32,1,AT418))/12)/INDEX('Lease Cycles'!$GX$32:$HD$32,1,AT418))/12,0)))</f>
        <v>0</v>
      </c>
      <c r="AU421" s="28">
        <f>IF(AU418=0,IF('Lease Cycles'!$F$32&gt;0,'Lease Cycles'!$C$32*'Lease Cycles'!$E$32/12,0),IF(AU420=1,IF('Lease Cycles'!$AT$32&gt;=9999,'Lease Cycles'!$C$32*INDEX('Lease Cycles'!$CB$32:$CH$32,1,AU418)*(1+INDEX('Lease Cycles'!$CI$32:$CO$32,1,AU418))^INT(INT(AU419/12)/INDEX('Lease Cycles'!$CP$32:$CV$32,1,AU418))/12,IF(AU418=1,IF(AU419&gt;=INDEX('Lease Cycles'!$DK$32:$DQ$32,1,AU418),IF(AU$6&gt;='Lease Cycles'!$AZ$32,'Lease Cycles'!$C$32*'Lease Cycles'!$BA$32/12,IF(AU$6&gt;='Lease Cycles'!$AX$32,'Lease Cycles'!$C$32*'Lease Cycles'!$AY$32/12,IF(AU$6&gt;='Lease Cycles'!$AV$32,'Lease Cycles'!$C$32*'Lease Cycles'!$AW$32/12,IF(AU$6&gt;='Lease Cycles'!$AT$32,'Lease Cycles'!$C$32*'Lease Cycles'!$AU$32/12,'Lease Cycles'!$C$32*INDEX('Lease Cycles'!$CB$32:$CH$32,1,AU418)*(1+INDEX('Lease Cycles'!$CI$32:$CO$32,1,AU418))^INT(INT(AU419/12)/INDEX('Lease Cycles'!$CP$32:$CV$32,1,AU418))/12)))),'Lease Cycles'!$C$32*INDEX('Lease Cycles'!$CB$32:$CH$32,1,AU418)*(1+INDEX('Lease Cycles'!$CI$32:$CO$32,1,AU418))^INT(INT(AU419/12)/INDEX('Lease Cycles'!$CP$32:$CV$32,1,AU418))/12),IF(INDEX('Lease Cycles'!$EF$32:$EL$32,1,AU418)=1,IF(AND('Lease Cycles'!$AZ$32&gt;=INDEX('Lease Cycles'!$BG$32:$BM$32,1,AU418),'Lease Cycles'!$AZ$32&lt;=AU$6),'Lease Cycles'!$C$32*'Lease Cycles'!$BA$32/12,IF(AND('Lease Cycles'!$AX$32&gt;=INDEX('Lease Cycles'!$BG$32:$BM$32,1,AU418),'Lease Cycles'!$AX$32&lt;=AU$6),'Lease Cycles'!$C$32*'Lease Cycles'!$AY$32/12,IF(AND('Lease Cycles'!$AV$32&gt;=INDEX('Lease Cycles'!$BG$32:$BM$32,1,AU418),'Lease Cycles'!$AV$32&lt;=AU$6),'Lease Cycles'!$C$32*'Lease Cycles'!$AW$32/12,IF(AND('Lease Cycles'!$AT$32&gt;=INDEX('Lease Cycles'!$BG$32:$BM$32,1,AU418),'Lease Cycles'!$AT$32&lt;=AU$6),'Lease Cycles'!$C$32*'Lease Cycles'!$AU$32/12,'Lease Cycles'!$C$32*INDEX('Lease Cycles'!$CB$32:$CH$32,1,AU418)*(1+INDEX('Lease Cycles'!$CI$32:$CO$32,1,AU418))^INT(INT(AU419/12)/INDEX('Lease Cycles'!$CP$32:$CV$32,1,AU418))/12)))),'Lease Cycles'!$C$32*INDEX('Lease Cycles'!$CB$32:$CH$32,1,AU418)*(1+INDEX('Lease Cycles'!$CI$32:$CO$32,1,AU418))^INT(INT(AU419/12)/INDEX('Lease Cycles'!$CP$32:$CV$32,1,AU418))/12))),IF('Lease Cycles'!$N$32=1,'Lease Cycles'!$C$32*'Lease Cycles'!$E$32*INDEX('Lease Cycles'!$HE$32:$HK$32,1,AU418)*(1+INDEX('Lease Cycles'!$GQ$32:$GW$32,1,AU418))^INT(INT((AU$6-INDEX('Lease Cycles'!$GJ$32:$GP$32,1,AU418))/12)/INDEX('Lease Cycles'!$GX$32:$HD$32,1,AU418))/12,0)))</f>
        <v>0</v>
      </c>
      <c r="AV421" s="28">
        <f>IF(AV418=0,IF('Lease Cycles'!$F$32&gt;0,'Lease Cycles'!$C$32*'Lease Cycles'!$E$32/12,0),IF(AV420=1,IF('Lease Cycles'!$AT$32&gt;=9999,'Lease Cycles'!$C$32*INDEX('Lease Cycles'!$CB$32:$CH$32,1,AV418)*(1+INDEX('Lease Cycles'!$CI$32:$CO$32,1,AV418))^INT(INT(AV419/12)/INDEX('Lease Cycles'!$CP$32:$CV$32,1,AV418))/12,IF(AV418=1,IF(AV419&gt;=INDEX('Lease Cycles'!$DK$32:$DQ$32,1,AV418),IF(AV$6&gt;='Lease Cycles'!$AZ$32,'Lease Cycles'!$C$32*'Lease Cycles'!$BA$32/12,IF(AV$6&gt;='Lease Cycles'!$AX$32,'Lease Cycles'!$C$32*'Lease Cycles'!$AY$32/12,IF(AV$6&gt;='Lease Cycles'!$AV$32,'Lease Cycles'!$C$32*'Lease Cycles'!$AW$32/12,IF(AV$6&gt;='Lease Cycles'!$AT$32,'Lease Cycles'!$C$32*'Lease Cycles'!$AU$32/12,'Lease Cycles'!$C$32*INDEX('Lease Cycles'!$CB$32:$CH$32,1,AV418)*(1+INDEX('Lease Cycles'!$CI$32:$CO$32,1,AV418))^INT(INT(AV419/12)/INDEX('Lease Cycles'!$CP$32:$CV$32,1,AV418))/12)))),'Lease Cycles'!$C$32*INDEX('Lease Cycles'!$CB$32:$CH$32,1,AV418)*(1+INDEX('Lease Cycles'!$CI$32:$CO$32,1,AV418))^INT(INT(AV419/12)/INDEX('Lease Cycles'!$CP$32:$CV$32,1,AV418))/12),IF(INDEX('Lease Cycles'!$EF$32:$EL$32,1,AV418)=1,IF(AND('Lease Cycles'!$AZ$32&gt;=INDEX('Lease Cycles'!$BG$32:$BM$32,1,AV418),'Lease Cycles'!$AZ$32&lt;=AV$6),'Lease Cycles'!$C$32*'Lease Cycles'!$BA$32/12,IF(AND('Lease Cycles'!$AX$32&gt;=INDEX('Lease Cycles'!$BG$32:$BM$32,1,AV418),'Lease Cycles'!$AX$32&lt;=AV$6),'Lease Cycles'!$C$32*'Lease Cycles'!$AY$32/12,IF(AND('Lease Cycles'!$AV$32&gt;=INDEX('Lease Cycles'!$BG$32:$BM$32,1,AV418),'Lease Cycles'!$AV$32&lt;=AV$6),'Lease Cycles'!$C$32*'Lease Cycles'!$AW$32/12,IF(AND('Lease Cycles'!$AT$32&gt;=INDEX('Lease Cycles'!$BG$32:$BM$32,1,AV418),'Lease Cycles'!$AT$32&lt;=AV$6),'Lease Cycles'!$C$32*'Lease Cycles'!$AU$32/12,'Lease Cycles'!$C$32*INDEX('Lease Cycles'!$CB$32:$CH$32,1,AV418)*(1+INDEX('Lease Cycles'!$CI$32:$CO$32,1,AV418))^INT(INT(AV419/12)/INDEX('Lease Cycles'!$CP$32:$CV$32,1,AV418))/12)))),'Lease Cycles'!$C$32*INDEX('Lease Cycles'!$CB$32:$CH$32,1,AV418)*(1+INDEX('Lease Cycles'!$CI$32:$CO$32,1,AV418))^INT(INT(AV419/12)/INDEX('Lease Cycles'!$CP$32:$CV$32,1,AV418))/12))),IF('Lease Cycles'!$N$32=1,'Lease Cycles'!$C$32*'Lease Cycles'!$E$32*INDEX('Lease Cycles'!$HE$32:$HK$32,1,AV418)*(1+INDEX('Lease Cycles'!$GQ$32:$GW$32,1,AV418))^INT(INT((AV$6-INDEX('Lease Cycles'!$GJ$32:$GP$32,1,AV418))/12)/INDEX('Lease Cycles'!$GX$32:$HD$32,1,AV418))/12,0)))</f>
        <v>0</v>
      </c>
      <c r="AW421" s="28">
        <f>IF(AW418=0,IF('Lease Cycles'!$F$32&gt;0,'Lease Cycles'!$C$32*'Lease Cycles'!$E$32/12,0),IF(AW420=1,IF('Lease Cycles'!$AT$32&gt;=9999,'Lease Cycles'!$C$32*INDEX('Lease Cycles'!$CB$32:$CH$32,1,AW418)*(1+INDEX('Lease Cycles'!$CI$32:$CO$32,1,AW418))^INT(INT(AW419/12)/INDEX('Lease Cycles'!$CP$32:$CV$32,1,AW418))/12,IF(AW418=1,IF(AW419&gt;=INDEX('Lease Cycles'!$DK$32:$DQ$32,1,AW418),IF(AW$6&gt;='Lease Cycles'!$AZ$32,'Lease Cycles'!$C$32*'Lease Cycles'!$BA$32/12,IF(AW$6&gt;='Lease Cycles'!$AX$32,'Lease Cycles'!$C$32*'Lease Cycles'!$AY$32/12,IF(AW$6&gt;='Lease Cycles'!$AV$32,'Lease Cycles'!$C$32*'Lease Cycles'!$AW$32/12,IF(AW$6&gt;='Lease Cycles'!$AT$32,'Lease Cycles'!$C$32*'Lease Cycles'!$AU$32/12,'Lease Cycles'!$C$32*INDEX('Lease Cycles'!$CB$32:$CH$32,1,AW418)*(1+INDEX('Lease Cycles'!$CI$32:$CO$32,1,AW418))^INT(INT(AW419/12)/INDEX('Lease Cycles'!$CP$32:$CV$32,1,AW418))/12)))),'Lease Cycles'!$C$32*INDEX('Lease Cycles'!$CB$32:$CH$32,1,AW418)*(1+INDEX('Lease Cycles'!$CI$32:$CO$32,1,AW418))^INT(INT(AW419/12)/INDEX('Lease Cycles'!$CP$32:$CV$32,1,AW418))/12),IF(INDEX('Lease Cycles'!$EF$32:$EL$32,1,AW418)=1,IF(AND('Lease Cycles'!$AZ$32&gt;=INDEX('Lease Cycles'!$BG$32:$BM$32,1,AW418),'Lease Cycles'!$AZ$32&lt;=AW$6),'Lease Cycles'!$C$32*'Lease Cycles'!$BA$32/12,IF(AND('Lease Cycles'!$AX$32&gt;=INDEX('Lease Cycles'!$BG$32:$BM$32,1,AW418),'Lease Cycles'!$AX$32&lt;=AW$6),'Lease Cycles'!$C$32*'Lease Cycles'!$AY$32/12,IF(AND('Lease Cycles'!$AV$32&gt;=INDEX('Lease Cycles'!$BG$32:$BM$32,1,AW418),'Lease Cycles'!$AV$32&lt;=AW$6),'Lease Cycles'!$C$32*'Lease Cycles'!$AW$32/12,IF(AND('Lease Cycles'!$AT$32&gt;=INDEX('Lease Cycles'!$BG$32:$BM$32,1,AW418),'Lease Cycles'!$AT$32&lt;=AW$6),'Lease Cycles'!$C$32*'Lease Cycles'!$AU$32/12,'Lease Cycles'!$C$32*INDEX('Lease Cycles'!$CB$32:$CH$32,1,AW418)*(1+INDEX('Lease Cycles'!$CI$32:$CO$32,1,AW418))^INT(INT(AW419/12)/INDEX('Lease Cycles'!$CP$32:$CV$32,1,AW418))/12)))),'Lease Cycles'!$C$32*INDEX('Lease Cycles'!$CB$32:$CH$32,1,AW418)*(1+INDEX('Lease Cycles'!$CI$32:$CO$32,1,AW418))^INT(INT(AW419/12)/INDEX('Lease Cycles'!$CP$32:$CV$32,1,AW418))/12))),IF('Lease Cycles'!$N$32=1,'Lease Cycles'!$C$32*'Lease Cycles'!$E$32*INDEX('Lease Cycles'!$HE$32:$HK$32,1,AW418)*(1+INDEX('Lease Cycles'!$GQ$32:$GW$32,1,AW418))^INT(INT((AW$6-INDEX('Lease Cycles'!$GJ$32:$GP$32,1,AW418))/12)/INDEX('Lease Cycles'!$GX$32:$HD$32,1,AW418))/12,0)))</f>
        <v>0</v>
      </c>
      <c r="AX421" s="28">
        <f>IF(AX418=0,IF('Lease Cycles'!$F$32&gt;0,'Lease Cycles'!$C$32*'Lease Cycles'!$E$32/12,0),IF(AX420=1,IF('Lease Cycles'!$AT$32&gt;=9999,'Lease Cycles'!$C$32*INDEX('Lease Cycles'!$CB$32:$CH$32,1,AX418)*(1+INDEX('Lease Cycles'!$CI$32:$CO$32,1,AX418))^INT(INT(AX419/12)/INDEX('Lease Cycles'!$CP$32:$CV$32,1,AX418))/12,IF(AX418=1,IF(AX419&gt;=INDEX('Lease Cycles'!$DK$32:$DQ$32,1,AX418),IF(AX$6&gt;='Lease Cycles'!$AZ$32,'Lease Cycles'!$C$32*'Lease Cycles'!$BA$32/12,IF(AX$6&gt;='Lease Cycles'!$AX$32,'Lease Cycles'!$C$32*'Lease Cycles'!$AY$32/12,IF(AX$6&gt;='Lease Cycles'!$AV$32,'Lease Cycles'!$C$32*'Lease Cycles'!$AW$32/12,IF(AX$6&gt;='Lease Cycles'!$AT$32,'Lease Cycles'!$C$32*'Lease Cycles'!$AU$32/12,'Lease Cycles'!$C$32*INDEX('Lease Cycles'!$CB$32:$CH$32,1,AX418)*(1+INDEX('Lease Cycles'!$CI$32:$CO$32,1,AX418))^INT(INT(AX419/12)/INDEX('Lease Cycles'!$CP$32:$CV$32,1,AX418))/12)))),'Lease Cycles'!$C$32*INDEX('Lease Cycles'!$CB$32:$CH$32,1,AX418)*(1+INDEX('Lease Cycles'!$CI$32:$CO$32,1,AX418))^INT(INT(AX419/12)/INDEX('Lease Cycles'!$CP$32:$CV$32,1,AX418))/12),IF(INDEX('Lease Cycles'!$EF$32:$EL$32,1,AX418)=1,IF(AND('Lease Cycles'!$AZ$32&gt;=INDEX('Lease Cycles'!$BG$32:$BM$32,1,AX418),'Lease Cycles'!$AZ$32&lt;=AX$6),'Lease Cycles'!$C$32*'Lease Cycles'!$BA$32/12,IF(AND('Lease Cycles'!$AX$32&gt;=INDEX('Lease Cycles'!$BG$32:$BM$32,1,AX418),'Lease Cycles'!$AX$32&lt;=AX$6),'Lease Cycles'!$C$32*'Lease Cycles'!$AY$32/12,IF(AND('Lease Cycles'!$AV$32&gt;=INDEX('Lease Cycles'!$BG$32:$BM$32,1,AX418),'Lease Cycles'!$AV$32&lt;=AX$6),'Lease Cycles'!$C$32*'Lease Cycles'!$AW$32/12,IF(AND('Lease Cycles'!$AT$32&gt;=INDEX('Lease Cycles'!$BG$32:$BM$32,1,AX418),'Lease Cycles'!$AT$32&lt;=AX$6),'Lease Cycles'!$C$32*'Lease Cycles'!$AU$32/12,'Lease Cycles'!$C$32*INDEX('Lease Cycles'!$CB$32:$CH$32,1,AX418)*(1+INDEX('Lease Cycles'!$CI$32:$CO$32,1,AX418))^INT(INT(AX419/12)/INDEX('Lease Cycles'!$CP$32:$CV$32,1,AX418))/12)))),'Lease Cycles'!$C$32*INDEX('Lease Cycles'!$CB$32:$CH$32,1,AX418)*(1+INDEX('Lease Cycles'!$CI$32:$CO$32,1,AX418))^INT(INT(AX419/12)/INDEX('Lease Cycles'!$CP$32:$CV$32,1,AX418))/12))),IF('Lease Cycles'!$N$32=1,'Lease Cycles'!$C$32*'Lease Cycles'!$E$32*INDEX('Lease Cycles'!$HE$32:$HK$32,1,AX418)*(1+INDEX('Lease Cycles'!$GQ$32:$GW$32,1,AX418))^INT(INT((AX$6-INDEX('Lease Cycles'!$GJ$32:$GP$32,1,AX418))/12)/INDEX('Lease Cycles'!$GX$32:$HD$32,1,AX418))/12,0)))</f>
        <v>0</v>
      </c>
      <c r="AY421" s="28">
        <f>IF(AY418=0,IF('Lease Cycles'!$F$32&gt;0,'Lease Cycles'!$C$32*'Lease Cycles'!$E$32/12,0),IF(AY420=1,IF('Lease Cycles'!$AT$32&gt;=9999,'Lease Cycles'!$C$32*INDEX('Lease Cycles'!$CB$32:$CH$32,1,AY418)*(1+INDEX('Lease Cycles'!$CI$32:$CO$32,1,AY418))^INT(INT(AY419/12)/INDEX('Lease Cycles'!$CP$32:$CV$32,1,AY418))/12,IF(AY418=1,IF(AY419&gt;=INDEX('Lease Cycles'!$DK$32:$DQ$32,1,AY418),IF(AY$6&gt;='Lease Cycles'!$AZ$32,'Lease Cycles'!$C$32*'Lease Cycles'!$BA$32/12,IF(AY$6&gt;='Lease Cycles'!$AX$32,'Lease Cycles'!$C$32*'Lease Cycles'!$AY$32/12,IF(AY$6&gt;='Lease Cycles'!$AV$32,'Lease Cycles'!$C$32*'Lease Cycles'!$AW$32/12,IF(AY$6&gt;='Lease Cycles'!$AT$32,'Lease Cycles'!$C$32*'Lease Cycles'!$AU$32/12,'Lease Cycles'!$C$32*INDEX('Lease Cycles'!$CB$32:$CH$32,1,AY418)*(1+INDEX('Lease Cycles'!$CI$32:$CO$32,1,AY418))^INT(INT(AY419/12)/INDEX('Lease Cycles'!$CP$32:$CV$32,1,AY418))/12)))),'Lease Cycles'!$C$32*INDEX('Lease Cycles'!$CB$32:$CH$32,1,AY418)*(1+INDEX('Lease Cycles'!$CI$32:$CO$32,1,AY418))^INT(INT(AY419/12)/INDEX('Lease Cycles'!$CP$32:$CV$32,1,AY418))/12),IF(INDEX('Lease Cycles'!$EF$32:$EL$32,1,AY418)=1,IF(AND('Lease Cycles'!$AZ$32&gt;=INDEX('Lease Cycles'!$BG$32:$BM$32,1,AY418),'Lease Cycles'!$AZ$32&lt;=AY$6),'Lease Cycles'!$C$32*'Lease Cycles'!$BA$32/12,IF(AND('Lease Cycles'!$AX$32&gt;=INDEX('Lease Cycles'!$BG$32:$BM$32,1,AY418),'Lease Cycles'!$AX$32&lt;=AY$6),'Lease Cycles'!$C$32*'Lease Cycles'!$AY$32/12,IF(AND('Lease Cycles'!$AV$32&gt;=INDEX('Lease Cycles'!$BG$32:$BM$32,1,AY418),'Lease Cycles'!$AV$32&lt;=AY$6),'Lease Cycles'!$C$32*'Lease Cycles'!$AW$32/12,IF(AND('Lease Cycles'!$AT$32&gt;=INDEX('Lease Cycles'!$BG$32:$BM$32,1,AY418),'Lease Cycles'!$AT$32&lt;=AY$6),'Lease Cycles'!$C$32*'Lease Cycles'!$AU$32/12,'Lease Cycles'!$C$32*INDEX('Lease Cycles'!$CB$32:$CH$32,1,AY418)*(1+INDEX('Lease Cycles'!$CI$32:$CO$32,1,AY418))^INT(INT(AY419/12)/INDEX('Lease Cycles'!$CP$32:$CV$32,1,AY418))/12)))),'Lease Cycles'!$C$32*INDEX('Lease Cycles'!$CB$32:$CH$32,1,AY418)*(1+INDEX('Lease Cycles'!$CI$32:$CO$32,1,AY418))^INT(INT(AY419/12)/INDEX('Lease Cycles'!$CP$32:$CV$32,1,AY418))/12))),IF('Lease Cycles'!$N$32=1,'Lease Cycles'!$C$32*'Lease Cycles'!$E$32*INDEX('Lease Cycles'!$HE$32:$HK$32,1,AY418)*(1+INDEX('Lease Cycles'!$GQ$32:$GW$32,1,AY418))^INT(INT((AY$6-INDEX('Lease Cycles'!$GJ$32:$GP$32,1,AY418))/12)/INDEX('Lease Cycles'!$GX$32:$HD$32,1,AY418))/12,0)))</f>
        <v>0</v>
      </c>
      <c r="AZ421" s="28">
        <f>IF(AZ418=0,IF('Lease Cycles'!$F$32&gt;0,'Lease Cycles'!$C$32*'Lease Cycles'!$E$32/12,0),IF(AZ420=1,IF('Lease Cycles'!$AT$32&gt;=9999,'Lease Cycles'!$C$32*INDEX('Lease Cycles'!$CB$32:$CH$32,1,AZ418)*(1+INDEX('Lease Cycles'!$CI$32:$CO$32,1,AZ418))^INT(INT(AZ419/12)/INDEX('Lease Cycles'!$CP$32:$CV$32,1,AZ418))/12,IF(AZ418=1,IF(AZ419&gt;=INDEX('Lease Cycles'!$DK$32:$DQ$32,1,AZ418),IF(AZ$6&gt;='Lease Cycles'!$AZ$32,'Lease Cycles'!$C$32*'Lease Cycles'!$BA$32/12,IF(AZ$6&gt;='Lease Cycles'!$AX$32,'Lease Cycles'!$C$32*'Lease Cycles'!$AY$32/12,IF(AZ$6&gt;='Lease Cycles'!$AV$32,'Lease Cycles'!$C$32*'Lease Cycles'!$AW$32/12,IF(AZ$6&gt;='Lease Cycles'!$AT$32,'Lease Cycles'!$C$32*'Lease Cycles'!$AU$32/12,'Lease Cycles'!$C$32*INDEX('Lease Cycles'!$CB$32:$CH$32,1,AZ418)*(1+INDEX('Lease Cycles'!$CI$32:$CO$32,1,AZ418))^INT(INT(AZ419/12)/INDEX('Lease Cycles'!$CP$32:$CV$32,1,AZ418))/12)))),'Lease Cycles'!$C$32*INDEX('Lease Cycles'!$CB$32:$CH$32,1,AZ418)*(1+INDEX('Lease Cycles'!$CI$32:$CO$32,1,AZ418))^INT(INT(AZ419/12)/INDEX('Lease Cycles'!$CP$32:$CV$32,1,AZ418))/12),IF(INDEX('Lease Cycles'!$EF$32:$EL$32,1,AZ418)=1,IF(AND('Lease Cycles'!$AZ$32&gt;=INDEX('Lease Cycles'!$BG$32:$BM$32,1,AZ418),'Lease Cycles'!$AZ$32&lt;=AZ$6),'Lease Cycles'!$C$32*'Lease Cycles'!$BA$32/12,IF(AND('Lease Cycles'!$AX$32&gt;=INDEX('Lease Cycles'!$BG$32:$BM$32,1,AZ418),'Lease Cycles'!$AX$32&lt;=AZ$6),'Lease Cycles'!$C$32*'Lease Cycles'!$AY$32/12,IF(AND('Lease Cycles'!$AV$32&gt;=INDEX('Lease Cycles'!$BG$32:$BM$32,1,AZ418),'Lease Cycles'!$AV$32&lt;=AZ$6),'Lease Cycles'!$C$32*'Lease Cycles'!$AW$32/12,IF(AND('Lease Cycles'!$AT$32&gt;=INDEX('Lease Cycles'!$BG$32:$BM$32,1,AZ418),'Lease Cycles'!$AT$32&lt;=AZ$6),'Lease Cycles'!$C$32*'Lease Cycles'!$AU$32/12,'Lease Cycles'!$C$32*INDEX('Lease Cycles'!$CB$32:$CH$32,1,AZ418)*(1+INDEX('Lease Cycles'!$CI$32:$CO$32,1,AZ418))^INT(INT(AZ419/12)/INDEX('Lease Cycles'!$CP$32:$CV$32,1,AZ418))/12)))),'Lease Cycles'!$C$32*INDEX('Lease Cycles'!$CB$32:$CH$32,1,AZ418)*(1+INDEX('Lease Cycles'!$CI$32:$CO$32,1,AZ418))^INT(INT(AZ419/12)/INDEX('Lease Cycles'!$CP$32:$CV$32,1,AZ418))/12))),IF('Lease Cycles'!$N$32=1,'Lease Cycles'!$C$32*'Lease Cycles'!$E$32*INDEX('Lease Cycles'!$HE$32:$HK$32,1,AZ418)*(1+INDEX('Lease Cycles'!$GQ$32:$GW$32,1,AZ418))^INT(INT((AZ$6-INDEX('Lease Cycles'!$GJ$32:$GP$32,1,AZ418))/12)/INDEX('Lease Cycles'!$GX$32:$HD$32,1,AZ418))/12,0)))</f>
        <v>0</v>
      </c>
      <c r="BA421" s="28">
        <f>IF(BA418=0,IF('Lease Cycles'!$F$32&gt;0,'Lease Cycles'!$C$32*'Lease Cycles'!$E$32/12,0),IF(BA420=1,IF('Lease Cycles'!$AT$32&gt;=9999,'Lease Cycles'!$C$32*INDEX('Lease Cycles'!$CB$32:$CH$32,1,BA418)*(1+INDEX('Lease Cycles'!$CI$32:$CO$32,1,BA418))^INT(INT(BA419/12)/INDEX('Lease Cycles'!$CP$32:$CV$32,1,BA418))/12,IF(BA418=1,IF(BA419&gt;=INDEX('Lease Cycles'!$DK$32:$DQ$32,1,BA418),IF(BA$6&gt;='Lease Cycles'!$AZ$32,'Lease Cycles'!$C$32*'Lease Cycles'!$BA$32/12,IF(BA$6&gt;='Lease Cycles'!$AX$32,'Lease Cycles'!$C$32*'Lease Cycles'!$AY$32/12,IF(BA$6&gt;='Lease Cycles'!$AV$32,'Lease Cycles'!$C$32*'Lease Cycles'!$AW$32/12,IF(BA$6&gt;='Lease Cycles'!$AT$32,'Lease Cycles'!$C$32*'Lease Cycles'!$AU$32/12,'Lease Cycles'!$C$32*INDEX('Lease Cycles'!$CB$32:$CH$32,1,BA418)*(1+INDEX('Lease Cycles'!$CI$32:$CO$32,1,BA418))^INT(INT(BA419/12)/INDEX('Lease Cycles'!$CP$32:$CV$32,1,BA418))/12)))),'Lease Cycles'!$C$32*INDEX('Lease Cycles'!$CB$32:$CH$32,1,BA418)*(1+INDEX('Lease Cycles'!$CI$32:$CO$32,1,BA418))^INT(INT(BA419/12)/INDEX('Lease Cycles'!$CP$32:$CV$32,1,BA418))/12),IF(INDEX('Lease Cycles'!$EF$32:$EL$32,1,BA418)=1,IF(AND('Lease Cycles'!$AZ$32&gt;=INDEX('Lease Cycles'!$BG$32:$BM$32,1,BA418),'Lease Cycles'!$AZ$32&lt;=BA$6),'Lease Cycles'!$C$32*'Lease Cycles'!$BA$32/12,IF(AND('Lease Cycles'!$AX$32&gt;=INDEX('Lease Cycles'!$BG$32:$BM$32,1,BA418),'Lease Cycles'!$AX$32&lt;=BA$6),'Lease Cycles'!$C$32*'Lease Cycles'!$AY$32/12,IF(AND('Lease Cycles'!$AV$32&gt;=INDEX('Lease Cycles'!$BG$32:$BM$32,1,BA418),'Lease Cycles'!$AV$32&lt;=BA$6),'Lease Cycles'!$C$32*'Lease Cycles'!$AW$32/12,IF(AND('Lease Cycles'!$AT$32&gt;=INDEX('Lease Cycles'!$BG$32:$BM$32,1,BA418),'Lease Cycles'!$AT$32&lt;=BA$6),'Lease Cycles'!$C$32*'Lease Cycles'!$AU$32/12,'Lease Cycles'!$C$32*INDEX('Lease Cycles'!$CB$32:$CH$32,1,BA418)*(1+INDEX('Lease Cycles'!$CI$32:$CO$32,1,BA418))^INT(INT(BA419/12)/INDEX('Lease Cycles'!$CP$32:$CV$32,1,BA418))/12)))),'Lease Cycles'!$C$32*INDEX('Lease Cycles'!$CB$32:$CH$32,1,BA418)*(1+INDEX('Lease Cycles'!$CI$32:$CO$32,1,BA418))^INT(INT(BA419/12)/INDEX('Lease Cycles'!$CP$32:$CV$32,1,BA418))/12))),IF('Lease Cycles'!$N$32=1,'Lease Cycles'!$C$32*'Lease Cycles'!$E$32*INDEX('Lease Cycles'!$HE$32:$HK$32,1,BA418)*(1+INDEX('Lease Cycles'!$GQ$32:$GW$32,1,BA418))^INT(INT((BA$6-INDEX('Lease Cycles'!$GJ$32:$GP$32,1,BA418))/12)/INDEX('Lease Cycles'!$GX$32:$HD$32,1,BA418))/12,0)))</f>
        <v>0</v>
      </c>
      <c r="BB421" s="28">
        <f>IF(BB418=0,IF('Lease Cycles'!$F$32&gt;0,'Lease Cycles'!$C$32*'Lease Cycles'!$E$32/12,0),IF(BB420=1,IF('Lease Cycles'!$AT$32&gt;=9999,'Lease Cycles'!$C$32*INDEX('Lease Cycles'!$CB$32:$CH$32,1,BB418)*(1+INDEX('Lease Cycles'!$CI$32:$CO$32,1,BB418))^INT(INT(BB419/12)/INDEX('Lease Cycles'!$CP$32:$CV$32,1,BB418))/12,IF(BB418=1,IF(BB419&gt;=INDEX('Lease Cycles'!$DK$32:$DQ$32,1,BB418),IF(BB$6&gt;='Lease Cycles'!$AZ$32,'Lease Cycles'!$C$32*'Lease Cycles'!$BA$32/12,IF(BB$6&gt;='Lease Cycles'!$AX$32,'Lease Cycles'!$C$32*'Lease Cycles'!$AY$32/12,IF(BB$6&gt;='Lease Cycles'!$AV$32,'Lease Cycles'!$C$32*'Lease Cycles'!$AW$32/12,IF(BB$6&gt;='Lease Cycles'!$AT$32,'Lease Cycles'!$C$32*'Lease Cycles'!$AU$32/12,'Lease Cycles'!$C$32*INDEX('Lease Cycles'!$CB$32:$CH$32,1,BB418)*(1+INDEX('Lease Cycles'!$CI$32:$CO$32,1,BB418))^INT(INT(BB419/12)/INDEX('Lease Cycles'!$CP$32:$CV$32,1,BB418))/12)))),'Lease Cycles'!$C$32*INDEX('Lease Cycles'!$CB$32:$CH$32,1,BB418)*(1+INDEX('Lease Cycles'!$CI$32:$CO$32,1,BB418))^INT(INT(BB419/12)/INDEX('Lease Cycles'!$CP$32:$CV$32,1,BB418))/12),IF(INDEX('Lease Cycles'!$EF$32:$EL$32,1,BB418)=1,IF(AND('Lease Cycles'!$AZ$32&gt;=INDEX('Lease Cycles'!$BG$32:$BM$32,1,BB418),'Lease Cycles'!$AZ$32&lt;=BB$6),'Lease Cycles'!$C$32*'Lease Cycles'!$BA$32/12,IF(AND('Lease Cycles'!$AX$32&gt;=INDEX('Lease Cycles'!$BG$32:$BM$32,1,BB418),'Lease Cycles'!$AX$32&lt;=BB$6),'Lease Cycles'!$C$32*'Lease Cycles'!$AY$32/12,IF(AND('Lease Cycles'!$AV$32&gt;=INDEX('Lease Cycles'!$BG$32:$BM$32,1,BB418),'Lease Cycles'!$AV$32&lt;=BB$6),'Lease Cycles'!$C$32*'Lease Cycles'!$AW$32/12,IF(AND('Lease Cycles'!$AT$32&gt;=INDEX('Lease Cycles'!$BG$32:$BM$32,1,BB418),'Lease Cycles'!$AT$32&lt;=BB$6),'Lease Cycles'!$C$32*'Lease Cycles'!$AU$32/12,'Lease Cycles'!$C$32*INDEX('Lease Cycles'!$CB$32:$CH$32,1,BB418)*(1+INDEX('Lease Cycles'!$CI$32:$CO$32,1,BB418))^INT(INT(BB419/12)/INDEX('Lease Cycles'!$CP$32:$CV$32,1,BB418))/12)))),'Lease Cycles'!$C$32*INDEX('Lease Cycles'!$CB$32:$CH$32,1,BB418)*(1+INDEX('Lease Cycles'!$CI$32:$CO$32,1,BB418))^INT(INT(BB419/12)/INDEX('Lease Cycles'!$CP$32:$CV$32,1,BB418))/12))),IF('Lease Cycles'!$N$32=1,'Lease Cycles'!$C$32*'Lease Cycles'!$E$32*INDEX('Lease Cycles'!$HE$32:$HK$32,1,BB418)*(1+INDEX('Lease Cycles'!$GQ$32:$GW$32,1,BB418))^INT(INT((BB$6-INDEX('Lease Cycles'!$GJ$32:$GP$32,1,BB418))/12)/INDEX('Lease Cycles'!$GX$32:$HD$32,1,BB418))/12,0)))</f>
        <v>0</v>
      </c>
      <c r="BC421" s="28">
        <f>IF(BC418=0,IF('Lease Cycles'!$F$32&gt;0,'Lease Cycles'!$C$32*'Lease Cycles'!$E$32/12,0),IF(BC420=1,IF('Lease Cycles'!$AT$32&gt;=9999,'Lease Cycles'!$C$32*INDEX('Lease Cycles'!$CB$32:$CH$32,1,BC418)*(1+INDEX('Lease Cycles'!$CI$32:$CO$32,1,BC418))^INT(INT(BC419/12)/INDEX('Lease Cycles'!$CP$32:$CV$32,1,BC418))/12,IF(BC418=1,IF(BC419&gt;=INDEX('Lease Cycles'!$DK$32:$DQ$32,1,BC418),IF(BC$6&gt;='Lease Cycles'!$AZ$32,'Lease Cycles'!$C$32*'Lease Cycles'!$BA$32/12,IF(BC$6&gt;='Lease Cycles'!$AX$32,'Lease Cycles'!$C$32*'Lease Cycles'!$AY$32/12,IF(BC$6&gt;='Lease Cycles'!$AV$32,'Lease Cycles'!$C$32*'Lease Cycles'!$AW$32/12,IF(BC$6&gt;='Lease Cycles'!$AT$32,'Lease Cycles'!$C$32*'Lease Cycles'!$AU$32/12,'Lease Cycles'!$C$32*INDEX('Lease Cycles'!$CB$32:$CH$32,1,BC418)*(1+INDEX('Lease Cycles'!$CI$32:$CO$32,1,BC418))^INT(INT(BC419/12)/INDEX('Lease Cycles'!$CP$32:$CV$32,1,BC418))/12)))),'Lease Cycles'!$C$32*INDEX('Lease Cycles'!$CB$32:$CH$32,1,BC418)*(1+INDEX('Lease Cycles'!$CI$32:$CO$32,1,BC418))^INT(INT(BC419/12)/INDEX('Lease Cycles'!$CP$32:$CV$32,1,BC418))/12),IF(INDEX('Lease Cycles'!$EF$32:$EL$32,1,BC418)=1,IF(AND('Lease Cycles'!$AZ$32&gt;=INDEX('Lease Cycles'!$BG$32:$BM$32,1,BC418),'Lease Cycles'!$AZ$32&lt;=BC$6),'Lease Cycles'!$C$32*'Lease Cycles'!$BA$32/12,IF(AND('Lease Cycles'!$AX$32&gt;=INDEX('Lease Cycles'!$BG$32:$BM$32,1,BC418),'Lease Cycles'!$AX$32&lt;=BC$6),'Lease Cycles'!$C$32*'Lease Cycles'!$AY$32/12,IF(AND('Lease Cycles'!$AV$32&gt;=INDEX('Lease Cycles'!$BG$32:$BM$32,1,BC418),'Lease Cycles'!$AV$32&lt;=BC$6),'Lease Cycles'!$C$32*'Lease Cycles'!$AW$32/12,IF(AND('Lease Cycles'!$AT$32&gt;=INDEX('Lease Cycles'!$BG$32:$BM$32,1,BC418),'Lease Cycles'!$AT$32&lt;=BC$6),'Lease Cycles'!$C$32*'Lease Cycles'!$AU$32/12,'Lease Cycles'!$C$32*INDEX('Lease Cycles'!$CB$32:$CH$32,1,BC418)*(1+INDEX('Lease Cycles'!$CI$32:$CO$32,1,BC418))^INT(INT(BC419/12)/INDEX('Lease Cycles'!$CP$32:$CV$32,1,BC418))/12)))),'Lease Cycles'!$C$32*INDEX('Lease Cycles'!$CB$32:$CH$32,1,BC418)*(1+INDEX('Lease Cycles'!$CI$32:$CO$32,1,BC418))^INT(INT(BC419/12)/INDEX('Lease Cycles'!$CP$32:$CV$32,1,BC418))/12))),IF('Lease Cycles'!$N$32=1,'Lease Cycles'!$C$32*'Lease Cycles'!$E$32*INDEX('Lease Cycles'!$HE$32:$HK$32,1,BC418)*(1+INDEX('Lease Cycles'!$GQ$32:$GW$32,1,BC418))^INT(INT((BC$6-INDEX('Lease Cycles'!$GJ$32:$GP$32,1,BC418))/12)/INDEX('Lease Cycles'!$GX$32:$HD$32,1,BC418))/12,0)))</f>
        <v>0</v>
      </c>
      <c r="BD421" s="28">
        <f>IF(BD418=0,IF('Lease Cycles'!$F$32&gt;0,'Lease Cycles'!$C$32*'Lease Cycles'!$E$32/12,0),IF(BD420=1,IF('Lease Cycles'!$AT$32&gt;=9999,'Lease Cycles'!$C$32*INDEX('Lease Cycles'!$CB$32:$CH$32,1,BD418)*(1+INDEX('Lease Cycles'!$CI$32:$CO$32,1,BD418))^INT(INT(BD419/12)/INDEX('Lease Cycles'!$CP$32:$CV$32,1,BD418))/12,IF(BD418=1,IF(BD419&gt;=INDEX('Lease Cycles'!$DK$32:$DQ$32,1,BD418),IF(BD$6&gt;='Lease Cycles'!$AZ$32,'Lease Cycles'!$C$32*'Lease Cycles'!$BA$32/12,IF(BD$6&gt;='Lease Cycles'!$AX$32,'Lease Cycles'!$C$32*'Lease Cycles'!$AY$32/12,IF(BD$6&gt;='Lease Cycles'!$AV$32,'Lease Cycles'!$C$32*'Lease Cycles'!$AW$32/12,IF(BD$6&gt;='Lease Cycles'!$AT$32,'Lease Cycles'!$C$32*'Lease Cycles'!$AU$32/12,'Lease Cycles'!$C$32*INDEX('Lease Cycles'!$CB$32:$CH$32,1,BD418)*(1+INDEX('Lease Cycles'!$CI$32:$CO$32,1,BD418))^INT(INT(BD419/12)/INDEX('Lease Cycles'!$CP$32:$CV$32,1,BD418))/12)))),'Lease Cycles'!$C$32*INDEX('Lease Cycles'!$CB$32:$CH$32,1,BD418)*(1+INDEX('Lease Cycles'!$CI$32:$CO$32,1,BD418))^INT(INT(BD419/12)/INDEX('Lease Cycles'!$CP$32:$CV$32,1,BD418))/12),IF(INDEX('Lease Cycles'!$EF$32:$EL$32,1,BD418)=1,IF(AND('Lease Cycles'!$AZ$32&gt;=INDEX('Lease Cycles'!$BG$32:$BM$32,1,BD418),'Lease Cycles'!$AZ$32&lt;=BD$6),'Lease Cycles'!$C$32*'Lease Cycles'!$BA$32/12,IF(AND('Lease Cycles'!$AX$32&gt;=INDEX('Lease Cycles'!$BG$32:$BM$32,1,BD418),'Lease Cycles'!$AX$32&lt;=BD$6),'Lease Cycles'!$C$32*'Lease Cycles'!$AY$32/12,IF(AND('Lease Cycles'!$AV$32&gt;=INDEX('Lease Cycles'!$BG$32:$BM$32,1,BD418),'Lease Cycles'!$AV$32&lt;=BD$6),'Lease Cycles'!$C$32*'Lease Cycles'!$AW$32/12,IF(AND('Lease Cycles'!$AT$32&gt;=INDEX('Lease Cycles'!$BG$32:$BM$32,1,BD418),'Lease Cycles'!$AT$32&lt;=BD$6),'Lease Cycles'!$C$32*'Lease Cycles'!$AU$32/12,'Lease Cycles'!$C$32*INDEX('Lease Cycles'!$CB$32:$CH$32,1,BD418)*(1+INDEX('Lease Cycles'!$CI$32:$CO$32,1,BD418))^INT(INT(BD419/12)/INDEX('Lease Cycles'!$CP$32:$CV$32,1,BD418))/12)))),'Lease Cycles'!$C$32*INDEX('Lease Cycles'!$CB$32:$CH$32,1,BD418)*(1+INDEX('Lease Cycles'!$CI$32:$CO$32,1,BD418))^INT(INT(BD419/12)/INDEX('Lease Cycles'!$CP$32:$CV$32,1,BD418))/12))),IF('Lease Cycles'!$N$32=1,'Lease Cycles'!$C$32*'Lease Cycles'!$E$32*INDEX('Lease Cycles'!$HE$32:$HK$32,1,BD418)*(1+INDEX('Lease Cycles'!$GQ$32:$GW$32,1,BD418))^INT(INT((BD$6-INDEX('Lease Cycles'!$GJ$32:$GP$32,1,BD418))/12)/INDEX('Lease Cycles'!$GX$32:$HD$32,1,BD418))/12,0)))</f>
        <v>0</v>
      </c>
      <c r="BE421" s="28">
        <f>IF(BE418=0,IF('Lease Cycles'!$F$32&gt;0,'Lease Cycles'!$C$32*'Lease Cycles'!$E$32/12,0),IF(BE420=1,IF('Lease Cycles'!$AT$32&gt;=9999,'Lease Cycles'!$C$32*INDEX('Lease Cycles'!$CB$32:$CH$32,1,BE418)*(1+INDEX('Lease Cycles'!$CI$32:$CO$32,1,BE418))^INT(INT(BE419/12)/INDEX('Lease Cycles'!$CP$32:$CV$32,1,BE418))/12,IF(BE418=1,IF(BE419&gt;=INDEX('Lease Cycles'!$DK$32:$DQ$32,1,BE418),IF(BE$6&gt;='Lease Cycles'!$AZ$32,'Lease Cycles'!$C$32*'Lease Cycles'!$BA$32/12,IF(BE$6&gt;='Lease Cycles'!$AX$32,'Lease Cycles'!$C$32*'Lease Cycles'!$AY$32/12,IF(BE$6&gt;='Lease Cycles'!$AV$32,'Lease Cycles'!$C$32*'Lease Cycles'!$AW$32/12,IF(BE$6&gt;='Lease Cycles'!$AT$32,'Lease Cycles'!$C$32*'Lease Cycles'!$AU$32/12,'Lease Cycles'!$C$32*INDEX('Lease Cycles'!$CB$32:$CH$32,1,BE418)*(1+INDEX('Lease Cycles'!$CI$32:$CO$32,1,BE418))^INT(INT(BE419/12)/INDEX('Lease Cycles'!$CP$32:$CV$32,1,BE418))/12)))),'Lease Cycles'!$C$32*INDEX('Lease Cycles'!$CB$32:$CH$32,1,BE418)*(1+INDEX('Lease Cycles'!$CI$32:$CO$32,1,BE418))^INT(INT(BE419/12)/INDEX('Lease Cycles'!$CP$32:$CV$32,1,BE418))/12),IF(INDEX('Lease Cycles'!$EF$32:$EL$32,1,BE418)=1,IF(AND('Lease Cycles'!$AZ$32&gt;=INDEX('Lease Cycles'!$BG$32:$BM$32,1,BE418),'Lease Cycles'!$AZ$32&lt;=BE$6),'Lease Cycles'!$C$32*'Lease Cycles'!$BA$32/12,IF(AND('Lease Cycles'!$AX$32&gt;=INDEX('Lease Cycles'!$BG$32:$BM$32,1,BE418),'Lease Cycles'!$AX$32&lt;=BE$6),'Lease Cycles'!$C$32*'Lease Cycles'!$AY$32/12,IF(AND('Lease Cycles'!$AV$32&gt;=INDEX('Lease Cycles'!$BG$32:$BM$32,1,BE418),'Lease Cycles'!$AV$32&lt;=BE$6),'Lease Cycles'!$C$32*'Lease Cycles'!$AW$32/12,IF(AND('Lease Cycles'!$AT$32&gt;=INDEX('Lease Cycles'!$BG$32:$BM$32,1,BE418),'Lease Cycles'!$AT$32&lt;=BE$6),'Lease Cycles'!$C$32*'Lease Cycles'!$AU$32/12,'Lease Cycles'!$C$32*INDEX('Lease Cycles'!$CB$32:$CH$32,1,BE418)*(1+INDEX('Lease Cycles'!$CI$32:$CO$32,1,BE418))^INT(INT(BE419/12)/INDEX('Lease Cycles'!$CP$32:$CV$32,1,BE418))/12)))),'Lease Cycles'!$C$32*INDEX('Lease Cycles'!$CB$32:$CH$32,1,BE418)*(1+INDEX('Lease Cycles'!$CI$32:$CO$32,1,BE418))^INT(INT(BE419/12)/INDEX('Lease Cycles'!$CP$32:$CV$32,1,BE418))/12))),IF('Lease Cycles'!$N$32=1,'Lease Cycles'!$C$32*'Lease Cycles'!$E$32*INDEX('Lease Cycles'!$HE$32:$HK$32,1,BE418)*(1+INDEX('Lease Cycles'!$GQ$32:$GW$32,1,BE418))^INT(INT((BE$6-INDEX('Lease Cycles'!$GJ$32:$GP$32,1,BE418))/12)/INDEX('Lease Cycles'!$GX$32:$HD$32,1,BE418))/12,0)))</f>
        <v>0</v>
      </c>
      <c r="BF421" s="28">
        <f>IF(BF418=0,IF('Lease Cycles'!$F$32&gt;0,'Lease Cycles'!$C$32*'Lease Cycles'!$E$32/12,0),IF(BF420=1,IF('Lease Cycles'!$AT$32&gt;=9999,'Lease Cycles'!$C$32*INDEX('Lease Cycles'!$CB$32:$CH$32,1,BF418)*(1+INDEX('Lease Cycles'!$CI$32:$CO$32,1,BF418))^INT(INT(BF419/12)/INDEX('Lease Cycles'!$CP$32:$CV$32,1,BF418))/12,IF(BF418=1,IF(BF419&gt;=INDEX('Lease Cycles'!$DK$32:$DQ$32,1,BF418),IF(BF$6&gt;='Lease Cycles'!$AZ$32,'Lease Cycles'!$C$32*'Lease Cycles'!$BA$32/12,IF(BF$6&gt;='Lease Cycles'!$AX$32,'Lease Cycles'!$C$32*'Lease Cycles'!$AY$32/12,IF(BF$6&gt;='Lease Cycles'!$AV$32,'Lease Cycles'!$C$32*'Lease Cycles'!$AW$32/12,IF(BF$6&gt;='Lease Cycles'!$AT$32,'Lease Cycles'!$C$32*'Lease Cycles'!$AU$32/12,'Lease Cycles'!$C$32*INDEX('Lease Cycles'!$CB$32:$CH$32,1,BF418)*(1+INDEX('Lease Cycles'!$CI$32:$CO$32,1,BF418))^INT(INT(BF419/12)/INDEX('Lease Cycles'!$CP$32:$CV$32,1,BF418))/12)))),'Lease Cycles'!$C$32*INDEX('Lease Cycles'!$CB$32:$CH$32,1,BF418)*(1+INDEX('Lease Cycles'!$CI$32:$CO$32,1,BF418))^INT(INT(BF419/12)/INDEX('Lease Cycles'!$CP$32:$CV$32,1,BF418))/12),IF(INDEX('Lease Cycles'!$EF$32:$EL$32,1,BF418)=1,IF(AND('Lease Cycles'!$AZ$32&gt;=INDEX('Lease Cycles'!$BG$32:$BM$32,1,BF418),'Lease Cycles'!$AZ$32&lt;=BF$6),'Lease Cycles'!$C$32*'Lease Cycles'!$BA$32/12,IF(AND('Lease Cycles'!$AX$32&gt;=INDEX('Lease Cycles'!$BG$32:$BM$32,1,BF418),'Lease Cycles'!$AX$32&lt;=BF$6),'Lease Cycles'!$C$32*'Lease Cycles'!$AY$32/12,IF(AND('Lease Cycles'!$AV$32&gt;=INDEX('Lease Cycles'!$BG$32:$BM$32,1,BF418),'Lease Cycles'!$AV$32&lt;=BF$6),'Lease Cycles'!$C$32*'Lease Cycles'!$AW$32/12,IF(AND('Lease Cycles'!$AT$32&gt;=INDEX('Lease Cycles'!$BG$32:$BM$32,1,BF418),'Lease Cycles'!$AT$32&lt;=BF$6),'Lease Cycles'!$C$32*'Lease Cycles'!$AU$32/12,'Lease Cycles'!$C$32*INDEX('Lease Cycles'!$CB$32:$CH$32,1,BF418)*(1+INDEX('Lease Cycles'!$CI$32:$CO$32,1,BF418))^INT(INT(BF419/12)/INDEX('Lease Cycles'!$CP$32:$CV$32,1,BF418))/12)))),'Lease Cycles'!$C$32*INDEX('Lease Cycles'!$CB$32:$CH$32,1,BF418)*(1+INDEX('Lease Cycles'!$CI$32:$CO$32,1,BF418))^INT(INT(BF419/12)/INDEX('Lease Cycles'!$CP$32:$CV$32,1,BF418))/12))),IF('Lease Cycles'!$N$32=1,'Lease Cycles'!$C$32*'Lease Cycles'!$E$32*INDEX('Lease Cycles'!$HE$32:$HK$32,1,BF418)*(1+INDEX('Lease Cycles'!$GQ$32:$GW$32,1,BF418))^INT(INT((BF$6-INDEX('Lease Cycles'!$GJ$32:$GP$32,1,BF418))/12)/INDEX('Lease Cycles'!$GX$32:$HD$32,1,BF418))/12,0)))</f>
        <v>0</v>
      </c>
      <c r="BG421" s="28">
        <f>IF(BG418=0,IF('Lease Cycles'!$F$32&gt;0,'Lease Cycles'!$C$32*'Lease Cycles'!$E$32/12,0),IF(BG420=1,IF('Lease Cycles'!$AT$32&gt;=9999,'Lease Cycles'!$C$32*INDEX('Lease Cycles'!$CB$32:$CH$32,1,BG418)*(1+INDEX('Lease Cycles'!$CI$32:$CO$32,1,BG418))^INT(INT(BG419/12)/INDEX('Lease Cycles'!$CP$32:$CV$32,1,BG418))/12,IF(BG418=1,IF(BG419&gt;=INDEX('Lease Cycles'!$DK$32:$DQ$32,1,BG418),IF(BG$6&gt;='Lease Cycles'!$AZ$32,'Lease Cycles'!$C$32*'Lease Cycles'!$BA$32/12,IF(BG$6&gt;='Lease Cycles'!$AX$32,'Lease Cycles'!$C$32*'Lease Cycles'!$AY$32/12,IF(BG$6&gt;='Lease Cycles'!$AV$32,'Lease Cycles'!$C$32*'Lease Cycles'!$AW$32/12,IF(BG$6&gt;='Lease Cycles'!$AT$32,'Lease Cycles'!$C$32*'Lease Cycles'!$AU$32/12,'Lease Cycles'!$C$32*INDEX('Lease Cycles'!$CB$32:$CH$32,1,BG418)*(1+INDEX('Lease Cycles'!$CI$32:$CO$32,1,BG418))^INT(INT(BG419/12)/INDEX('Lease Cycles'!$CP$32:$CV$32,1,BG418))/12)))),'Lease Cycles'!$C$32*INDEX('Lease Cycles'!$CB$32:$CH$32,1,BG418)*(1+INDEX('Lease Cycles'!$CI$32:$CO$32,1,BG418))^INT(INT(BG419/12)/INDEX('Lease Cycles'!$CP$32:$CV$32,1,BG418))/12),IF(INDEX('Lease Cycles'!$EF$32:$EL$32,1,BG418)=1,IF(AND('Lease Cycles'!$AZ$32&gt;=INDEX('Lease Cycles'!$BG$32:$BM$32,1,BG418),'Lease Cycles'!$AZ$32&lt;=BG$6),'Lease Cycles'!$C$32*'Lease Cycles'!$BA$32/12,IF(AND('Lease Cycles'!$AX$32&gt;=INDEX('Lease Cycles'!$BG$32:$BM$32,1,BG418),'Lease Cycles'!$AX$32&lt;=BG$6),'Lease Cycles'!$C$32*'Lease Cycles'!$AY$32/12,IF(AND('Lease Cycles'!$AV$32&gt;=INDEX('Lease Cycles'!$BG$32:$BM$32,1,BG418),'Lease Cycles'!$AV$32&lt;=BG$6),'Lease Cycles'!$C$32*'Lease Cycles'!$AW$32/12,IF(AND('Lease Cycles'!$AT$32&gt;=INDEX('Lease Cycles'!$BG$32:$BM$32,1,BG418),'Lease Cycles'!$AT$32&lt;=BG$6),'Lease Cycles'!$C$32*'Lease Cycles'!$AU$32/12,'Lease Cycles'!$C$32*INDEX('Lease Cycles'!$CB$32:$CH$32,1,BG418)*(1+INDEX('Lease Cycles'!$CI$32:$CO$32,1,BG418))^INT(INT(BG419/12)/INDEX('Lease Cycles'!$CP$32:$CV$32,1,BG418))/12)))),'Lease Cycles'!$C$32*INDEX('Lease Cycles'!$CB$32:$CH$32,1,BG418)*(1+INDEX('Lease Cycles'!$CI$32:$CO$32,1,BG418))^INT(INT(BG419/12)/INDEX('Lease Cycles'!$CP$32:$CV$32,1,BG418))/12))),IF('Lease Cycles'!$N$32=1,'Lease Cycles'!$C$32*'Lease Cycles'!$E$32*INDEX('Lease Cycles'!$HE$32:$HK$32,1,BG418)*(1+INDEX('Lease Cycles'!$GQ$32:$GW$32,1,BG418))^INT(INT((BG$6-INDEX('Lease Cycles'!$GJ$32:$GP$32,1,BG418))/12)/INDEX('Lease Cycles'!$GX$32:$HD$32,1,BG418))/12,0)))</f>
        <v>0</v>
      </c>
      <c r="BH421" s="28">
        <f>IF(BH418=0,IF('Lease Cycles'!$F$32&gt;0,'Lease Cycles'!$C$32*'Lease Cycles'!$E$32/12,0),IF(BH420=1,IF('Lease Cycles'!$AT$32&gt;=9999,'Lease Cycles'!$C$32*INDEX('Lease Cycles'!$CB$32:$CH$32,1,BH418)*(1+INDEX('Lease Cycles'!$CI$32:$CO$32,1,BH418))^INT(INT(BH419/12)/INDEX('Lease Cycles'!$CP$32:$CV$32,1,BH418))/12,IF(BH418=1,IF(BH419&gt;=INDEX('Lease Cycles'!$DK$32:$DQ$32,1,BH418),IF(BH$6&gt;='Lease Cycles'!$AZ$32,'Lease Cycles'!$C$32*'Lease Cycles'!$BA$32/12,IF(BH$6&gt;='Lease Cycles'!$AX$32,'Lease Cycles'!$C$32*'Lease Cycles'!$AY$32/12,IF(BH$6&gt;='Lease Cycles'!$AV$32,'Lease Cycles'!$C$32*'Lease Cycles'!$AW$32/12,IF(BH$6&gt;='Lease Cycles'!$AT$32,'Lease Cycles'!$C$32*'Lease Cycles'!$AU$32/12,'Lease Cycles'!$C$32*INDEX('Lease Cycles'!$CB$32:$CH$32,1,BH418)*(1+INDEX('Lease Cycles'!$CI$32:$CO$32,1,BH418))^INT(INT(BH419/12)/INDEX('Lease Cycles'!$CP$32:$CV$32,1,BH418))/12)))),'Lease Cycles'!$C$32*INDEX('Lease Cycles'!$CB$32:$CH$32,1,BH418)*(1+INDEX('Lease Cycles'!$CI$32:$CO$32,1,BH418))^INT(INT(BH419/12)/INDEX('Lease Cycles'!$CP$32:$CV$32,1,BH418))/12),IF(INDEX('Lease Cycles'!$EF$32:$EL$32,1,BH418)=1,IF(AND('Lease Cycles'!$AZ$32&gt;=INDEX('Lease Cycles'!$BG$32:$BM$32,1,BH418),'Lease Cycles'!$AZ$32&lt;=BH$6),'Lease Cycles'!$C$32*'Lease Cycles'!$BA$32/12,IF(AND('Lease Cycles'!$AX$32&gt;=INDEX('Lease Cycles'!$BG$32:$BM$32,1,BH418),'Lease Cycles'!$AX$32&lt;=BH$6),'Lease Cycles'!$C$32*'Lease Cycles'!$AY$32/12,IF(AND('Lease Cycles'!$AV$32&gt;=INDEX('Lease Cycles'!$BG$32:$BM$32,1,BH418),'Lease Cycles'!$AV$32&lt;=BH$6),'Lease Cycles'!$C$32*'Lease Cycles'!$AW$32/12,IF(AND('Lease Cycles'!$AT$32&gt;=INDEX('Lease Cycles'!$BG$32:$BM$32,1,BH418),'Lease Cycles'!$AT$32&lt;=BH$6),'Lease Cycles'!$C$32*'Lease Cycles'!$AU$32/12,'Lease Cycles'!$C$32*INDEX('Lease Cycles'!$CB$32:$CH$32,1,BH418)*(1+INDEX('Lease Cycles'!$CI$32:$CO$32,1,BH418))^INT(INT(BH419/12)/INDEX('Lease Cycles'!$CP$32:$CV$32,1,BH418))/12)))),'Lease Cycles'!$C$32*INDEX('Lease Cycles'!$CB$32:$CH$32,1,BH418)*(1+INDEX('Lease Cycles'!$CI$32:$CO$32,1,BH418))^INT(INT(BH419/12)/INDEX('Lease Cycles'!$CP$32:$CV$32,1,BH418))/12))),IF('Lease Cycles'!$N$32=1,'Lease Cycles'!$C$32*'Lease Cycles'!$E$32*INDEX('Lease Cycles'!$HE$32:$HK$32,1,BH418)*(1+INDEX('Lease Cycles'!$GQ$32:$GW$32,1,BH418))^INT(INT((BH$6-INDEX('Lease Cycles'!$GJ$32:$GP$32,1,BH418))/12)/INDEX('Lease Cycles'!$GX$32:$HD$32,1,BH418))/12,0)))</f>
        <v>0</v>
      </c>
      <c r="BI421" s="28">
        <f>IF(BI418=0,IF('Lease Cycles'!$F$32&gt;0,'Lease Cycles'!$C$32*'Lease Cycles'!$E$32/12,0),IF(BI420=1,IF('Lease Cycles'!$AT$32&gt;=9999,'Lease Cycles'!$C$32*INDEX('Lease Cycles'!$CB$32:$CH$32,1,BI418)*(1+INDEX('Lease Cycles'!$CI$32:$CO$32,1,BI418))^INT(INT(BI419/12)/INDEX('Lease Cycles'!$CP$32:$CV$32,1,BI418))/12,IF(BI418=1,IF(BI419&gt;=INDEX('Lease Cycles'!$DK$32:$DQ$32,1,BI418),IF(BI$6&gt;='Lease Cycles'!$AZ$32,'Lease Cycles'!$C$32*'Lease Cycles'!$BA$32/12,IF(BI$6&gt;='Lease Cycles'!$AX$32,'Lease Cycles'!$C$32*'Lease Cycles'!$AY$32/12,IF(BI$6&gt;='Lease Cycles'!$AV$32,'Lease Cycles'!$C$32*'Lease Cycles'!$AW$32/12,IF(BI$6&gt;='Lease Cycles'!$AT$32,'Lease Cycles'!$C$32*'Lease Cycles'!$AU$32/12,'Lease Cycles'!$C$32*INDEX('Lease Cycles'!$CB$32:$CH$32,1,BI418)*(1+INDEX('Lease Cycles'!$CI$32:$CO$32,1,BI418))^INT(INT(BI419/12)/INDEX('Lease Cycles'!$CP$32:$CV$32,1,BI418))/12)))),'Lease Cycles'!$C$32*INDEX('Lease Cycles'!$CB$32:$CH$32,1,BI418)*(1+INDEX('Lease Cycles'!$CI$32:$CO$32,1,BI418))^INT(INT(BI419/12)/INDEX('Lease Cycles'!$CP$32:$CV$32,1,BI418))/12),IF(INDEX('Lease Cycles'!$EF$32:$EL$32,1,BI418)=1,IF(AND('Lease Cycles'!$AZ$32&gt;=INDEX('Lease Cycles'!$BG$32:$BM$32,1,BI418),'Lease Cycles'!$AZ$32&lt;=BI$6),'Lease Cycles'!$C$32*'Lease Cycles'!$BA$32/12,IF(AND('Lease Cycles'!$AX$32&gt;=INDEX('Lease Cycles'!$BG$32:$BM$32,1,BI418),'Lease Cycles'!$AX$32&lt;=BI$6),'Lease Cycles'!$C$32*'Lease Cycles'!$AY$32/12,IF(AND('Lease Cycles'!$AV$32&gt;=INDEX('Lease Cycles'!$BG$32:$BM$32,1,BI418),'Lease Cycles'!$AV$32&lt;=BI$6),'Lease Cycles'!$C$32*'Lease Cycles'!$AW$32/12,IF(AND('Lease Cycles'!$AT$32&gt;=INDEX('Lease Cycles'!$BG$32:$BM$32,1,BI418),'Lease Cycles'!$AT$32&lt;=BI$6),'Lease Cycles'!$C$32*'Lease Cycles'!$AU$32/12,'Lease Cycles'!$C$32*INDEX('Lease Cycles'!$CB$32:$CH$32,1,BI418)*(1+INDEX('Lease Cycles'!$CI$32:$CO$32,1,BI418))^INT(INT(BI419/12)/INDEX('Lease Cycles'!$CP$32:$CV$32,1,BI418))/12)))),'Lease Cycles'!$C$32*INDEX('Lease Cycles'!$CB$32:$CH$32,1,BI418)*(1+INDEX('Lease Cycles'!$CI$32:$CO$32,1,BI418))^INT(INT(BI419/12)/INDEX('Lease Cycles'!$CP$32:$CV$32,1,BI418))/12))),IF('Lease Cycles'!$N$32=1,'Lease Cycles'!$C$32*'Lease Cycles'!$E$32*INDEX('Lease Cycles'!$HE$32:$HK$32,1,BI418)*(1+INDEX('Lease Cycles'!$GQ$32:$GW$32,1,BI418))^INT(INT((BI$6-INDEX('Lease Cycles'!$GJ$32:$GP$32,1,BI418))/12)/INDEX('Lease Cycles'!$GX$32:$HD$32,1,BI418))/12,0)))</f>
        <v>0</v>
      </c>
      <c r="BJ421" s="28">
        <f>IF(BJ418=0,IF('Lease Cycles'!$F$32&gt;0,'Lease Cycles'!$C$32*'Lease Cycles'!$E$32/12,0),IF(BJ420=1,IF('Lease Cycles'!$AT$32&gt;=9999,'Lease Cycles'!$C$32*INDEX('Lease Cycles'!$CB$32:$CH$32,1,BJ418)*(1+INDEX('Lease Cycles'!$CI$32:$CO$32,1,BJ418))^INT(INT(BJ419/12)/INDEX('Lease Cycles'!$CP$32:$CV$32,1,BJ418))/12,IF(BJ418=1,IF(BJ419&gt;=INDEX('Lease Cycles'!$DK$32:$DQ$32,1,BJ418),IF(BJ$6&gt;='Lease Cycles'!$AZ$32,'Lease Cycles'!$C$32*'Lease Cycles'!$BA$32/12,IF(BJ$6&gt;='Lease Cycles'!$AX$32,'Lease Cycles'!$C$32*'Lease Cycles'!$AY$32/12,IF(BJ$6&gt;='Lease Cycles'!$AV$32,'Lease Cycles'!$C$32*'Lease Cycles'!$AW$32/12,IF(BJ$6&gt;='Lease Cycles'!$AT$32,'Lease Cycles'!$C$32*'Lease Cycles'!$AU$32/12,'Lease Cycles'!$C$32*INDEX('Lease Cycles'!$CB$32:$CH$32,1,BJ418)*(1+INDEX('Lease Cycles'!$CI$32:$CO$32,1,BJ418))^INT(INT(BJ419/12)/INDEX('Lease Cycles'!$CP$32:$CV$32,1,BJ418))/12)))),'Lease Cycles'!$C$32*INDEX('Lease Cycles'!$CB$32:$CH$32,1,BJ418)*(1+INDEX('Lease Cycles'!$CI$32:$CO$32,1,BJ418))^INT(INT(BJ419/12)/INDEX('Lease Cycles'!$CP$32:$CV$32,1,BJ418))/12),IF(INDEX('Lease Cycles'!$EF$32:$EL$32,1,BJ418)=1,IF(AND('Lease Cycles'!$AZ$32&gt;=INDEX('Lease Cycles'!$BG$32:$BM$32,1,BJ418),'Lease Cycles'!$AZ$32&lt;=BJ$6),'Lease Cycles'!$C$32*'Lease Cycles'!$BA$32/12,IF(AND('Lease Cycles'!$AX$32&gt;=INDEX('Lease Cycles'!$BG$32:$BM$32,1,BJ418),'Lease Cycles'!$AX$32&lt;=BJ$6),'Lease Cycles'!$C$32*'Lease Cycles'!$AY$32/12,IF(AND('Lease Cycles'!$AV$32&gt;=INDEX('Lease Cycles'!$BG$32:$BM$32,1,BJ418),'Lease Cycles'!$AV$32&lt;=BJ$6),'Lease Cycles'!$C$32*'Lease Cycles'!$AW$32/12,IF(AND('Lease Cycles'!$AT$32&gt;=INDEX('Lease Cycles'!$BG$32:$BM$32,1,BJ418),'Lease Cycles'!$AT$32&lt;=BJ$6),'Lease Cycles'!$C$32*'Lease Cycles'!$AU$32/12,'Lease Cycles'!$C$32*INDEX('Lease Cycles'!$CB$32:$CH$32,1,BJ418)*(1+INDEX('Lease Cycles'!$CI$32:$CO$32,1,BJ418))^INT(INT(BJ419/12)/INDEX('Lease Cycles'!$CP$32:$CV$32,1,BJ418))/12)))),'Lease Cycles'!$C$32*INDEX('Lease Cycles'!$CB$32:$CH$32,1,BJ418)*(1+INDEX('Lease Cycles'!$CI$32:$CO$32,1,BJ418))^INT(INT(BJ419/12)/INDEX('Lease Cycles'!$CP$32:$CV$32,1,BJ418))/12))),IF('Lease Cycles'!$N$32=1,'Lease Cycles'!$C$32*'Lease Cycles'!$E$32*INDEX('Lease Cycles'!$HE$32:$HK$32,1,BJ418)*(1+INDEX('Lease Cycles'!$GQ$32:$GW$32,1,BJ418))^INT(INT((BJ$6-INDEX('Lease Cycles'!$GJ$32:$GP$32,1,BJ418))/12)/INDEX('Lease Cycles'!$GX$32:$HD$32,1,BJ418))/12,0)))</f>
        <v>0</v>
      </c>
      <c r="BK421" s="28">
        <f>IF(BK418=0,IF('Lease Cycles'!$F$32&gt;0,'Lease Cycles'!$C$32*'Lease Cycles'!$E$32/12,0),IF(BK420=1,IF('Lease Cycles'!$AT$32&gt;=9999,'Lease Cycles'!$C$32*INDEX('Lease Cycles'!$CB$32:$CH$32,1,BK418)*(1+INDEX('Lease Cycles'!$CI$32:$CO$32,1,BK418))^INT(INT(BK419/12)/INDEX('Lease Cycles'!$CP$32:$CV$32,1,BK418))/12,IF(BK418=1,IF(BK419&gt;=INDEX('Lease Cycles'!$DK$32:$DQ$32,1,BK418),IF(BK$6&gt;='Lease Cycles'!$AZ$32,'Lease Cycles'!$C$32*'Lease Cycles'!$BA$32/12,IF(BK$6&gt;='Lease Cycles'!$AX$32,'Lease Cycles'!$C$32*'Lease Cycles'!$AY$32/12,IF(BK$6&gt;='Lease Cycles'!$AV$32,'Lease Cycles'!$C$32*'Lease Cycles'!$AW$32/12,IF(BK$6&gt;='Lease Cycles'!$AT$32,'Lease Cycles'!$C$32*'Lease Cycles'!$AU$32/12,'Lease Cycles'!$C$32*INDEX('Lease Cycles'!$CB$32:$CH$32,1,BK418)*(1+INDEX('Lease Cycles'!$CI$32:$CO$32,1,BK418))^INT(INT(BK419/12)/INDEX('Lease Cycles'!$CP$32:$CV$32,1,BK418))/12)))),'Lease Cycles'!$C$32*INDEX('Lease Cycles'!$CB$32:$CH$32,1,BK418)*(1+INDEX('Lease Cycles'!$CI$32:$CO$32,1,BK418))^INT(INT(BK419/12)/INDEX('Lease Cycles'!$CP$32:$CV$32,1,BK418))/12),IF(INDEX('Lease Cycles'!$EF$32:$EL$32,1,BK418)=1,IF(AND('Lease Cycles'!$AZ$32&gt;=INDEX('Lease Cycles'!$BG$32:$BM$32,1,BK418),'Lease Cycles'!$AZ$32&lt;=BK$6),'Lease Cycles'!$C$32*'Lease Cycles'!$BA$32/12,IF(AND('Lease Cycles'!$AX$32&gt;=INDEX('Lease Cycles'!$BG$32:$BM$32,1,BK418),'Lease Cycles'!$AX$32&lt;=BK$6),'Lease Cycles'!$C$32*'Lease Cycles'!$AY$32/12,IF(AND('Lease Cycles'!$AV$32&gt;=INDEX('Lease Cycles'!$BG$32:$BM$32,1,BK418),'Lease Cycles'!$AV$32&lt;=BK$6),'Lease Cycles'!$C$32*'Lease Cycles'!$AW$32/12,IF(AND('Lease Cycles'!$AT$32&gt;=INDEX('Lease Cycles'!$BG$32:$BM$32,1,BK418),'Lease Cycles'!$AT$32&lt;=BK$6),'Lease Cycles'!$C$32*'Lease Cycles'!$AU$32/12,'Lease Cycles'!$C$32*INDEX('Lease Cycles'!$CB$32:$CH$32,1,BK418)*(1+INDEX('Lease Cycles'!$CI$32:$CO$32,1,BK418))^INT(INT(BK419/12)/INDEX('Lease Cycles'!$CP$32:$CV$32,1,BK418))/12)))),'Lease Cycles'!$C$32*INDEX('Lease Cycles'!$CB$32:$CH$32,1,BK418)*(1+INDEX('Lease Cycles'!$CI$32:$CO$32,1,BK418))^INT(INT(BK419/12)/INDEX('Lease Cycles'!$CP$32:$CV$32,1,BK418))/12))),IF('Lease Cycles'!$N$32=1,'Lease Cycles'!$C$32*'Lease Cycles'!$E$32*INDEX('Lease Cycles'!$HE$32:$HK$32,1,BK418)*(1+INDEX('Lease Cycles'!$GQ$32:$GW$32,1,BK418))^INT(INT((BK$6-INDEX('Lease Cycles'!$GJ$32:$GP$32,1,BK418))/12)/INDEX('Lease Cycles'!$GX$32:$HD$32,1,BK418))/12,0)))</f>
        <v>0</v>
      </c>
      <c r="BL421" s="28">
        <f>IF(BL418=0,IF('Lease Cycles'!$F$32&gt;0,'Lease Cycles'!$C$32*'Lease Cycles'!$E$32/12,0),IF(BL420=1,IF('Lease Cycles'!$AT$32&gt;=9999,'Lease Cycles'!$C$32*INDEX('Lease Cycles'!$CB$32:$CH$32,1,BL418)*(1+INDEX('Lease Cycles'!$CI$32:$CO$32,1,BL418))^INT(INT(BL419/12)/INDEX('Lease Cycles'!$CP$32:$CV$32,1,BL418))/12,IF(BL418=1,IF(BL419&gt;=INDEX('Lease Cycles'!$DK$32:$DQ$32,1,BL418),IF(BL$6&gt;='Lease Cycles'!$AZ$32,'Lease Cycles'!$C$32*'Lease Cycles'!$BA$32/12,IF(BL$6&gt;='Lease Cycles'!$AX$32,'Lease Cycles'!$C$32*'Lease Cycles'!$AY$32/12,IF(BL$6&gt;='Lease Cycles'!$AV$32,'Lease Cycles'!$C$32*'Lease Cycles'!$AW$32/12,IF(BL$6&gt;='Lease Cycles'!$AT$32,'Lease Cycles'!$C$32*'Lease Cycles'!$AU$32/12,'Lease Cycles'!$C$32*INDEX('Lease Cycles'!$CB$32:$CH$32,1,BL418)*(1+INDEX('Lease Cycles'!$CI$32:$CO$32,1,BL418))^INT(INT(BL419/12)/INDEX('Lease Cycles'!$CP$32:$CV$32,1,BL418))/12)))),'Lease Cycles'!$C$32*INDEX('Lease Cycles'!$CB$32:$CH$32,1,BL418)*(1+INDEX('Lease Cycles'!$CI$32:$CO$32,1,BL418))^INT(INT(BL419/12)/INDEX('Lease Cycles'!$CP$32:$CV$32,1,BL418))/12),IF(INDEX('Lease Cycles'!$EF$32:$EL$32,1,BL418)=1,IF(AND('Lease Cycles'!$AZ$32&gt;=INDEX('Lease Cycles'!$BG$32:$BM$32,1,BL418),'Lease Cycles'!$AZ$32&lt;=BL$6),'Lease Cycles'!$C$32*'Lease Cycles'!$BA$32/12,IF(AND('Lease Cycles'!$AX$32&gt;=INDEX('Lease Cycles'!$BG$32:$BM$32,1,BL418),'Lease Cycles'!$AX$32&lt;=BL$6),'Lease Cycles'!$C$32*'Lease Cycles'!$AY$32/12,IF(AND('Lease Cycles'!$AV$32&gt;=INDEX('Lease Cycles'!$BG$32:$BM$32,1,BL418),'Lease Cycles'!$AV$32&lt;=BL$6),'Lease Cycles'!$C$32*'Lease Cycles'!$AW$32/12,IF(AND('Lease Cycles'!$AT$32&gt;=INDEX('Lease Cycles'!$BG$32:$BM$32,1,BL418),'Lease Cycles'!$AT$32&lt;=BL$6),'Lease Cycles'!$C$32*'Lease Cycles'!$AU$32/12,'Lease Cycles'!$C$32*INDEX('Lease Cycles'!$CB$32:$CH$32,1,BL418)*(1+INDEX('Lease Cycles'!$CI$32:$CO$32,1,BL418))^INT(INT(BL419/12)/INDEX('Lease Cycles'!$CP$32:$CV$32,1,BL418))/12)))),'Lease Cycles'!$C$32*INDEX('Lease Cycles'!$CB$32:$CH$32,1,BL418)*(1+INDEX('Lease Cycles'!$CI$32:$CO$32,1,BL418))^INT(INT(BL419/12)/INDEX('Lease Cycles'!$CP$32:$CV$32,1,BL418))/12))),IF('Lease Cycles'!$N$32=1,'Lease Cycles'!$C$32*'Lease Cycles'!$E$32*INDEX('Lease Cycles'!$HE$32:$HK$32,1,BL418)*(1+INDEX('Lease Cycles'!$GQ$32:$GW$32,1,BL418))^INT(INT((BL$6-INDEX('Lease Cycles'!$GJ$32:$GP$32,1,BL418))/12)/INDEX('Lease Cycles'!$GX$32:$HD$32,1,BL418))/12,0)))</f>
        <v>0</v>
      </c>
      <c r="BM421" s="28">
        <f>IF(BM418=0,IF('Lease Cycles'!$F$32&gt;0,'Lease Cycles'!$C$32*'Lease Cycles'!$E$32/12,0),IF(BM420=1,IF('Lease Cycles'!$AT$32&gt;=9999,'Lease Cycles'!$C$32*INDEX('Lease Cycles'!$CB$32:$CH$32,1,BM418)*(1+INDEX('Lease Cycles'!$CI$32:$CO$32,1,BM418))^INT(INT(BM419/12)/INDEX('Lease Cycles'!$CP$32:$CV$32,1,BM418))/12,IF(BM418=1,IF(BM419&gt;=INDEX('Lease Cycles'!$DK$32:$DQ$32,1,BM418),IF(BM$6&gt;='Lease Cycles'!$AZ$32,'Lease Cycles'!$C$32*'Lease Cycles'!$BA$32/12,IF(BM$6&gt;='Lease Cycles'!$AX$32,'Lease Cycles'!$C$32*'Lease Cycles'!$AY$32/12,IF(BM$6&gt;='Lease Cycles'!$AV$32,'Lease Cycles'!$C$32*'Lease Cycles'!$AW$32/12,IF(BM$6&gt;='Lease Cycles'!$AT$32,'Lease Cycles'!$C$32*'Lease Cycles'!$AU$32/12,'Lease Cycles'!$C$32*INDEX('Lease Cycles'!$CB$32:$CH$32,1,BM418)*(1+INDEX('Lease Cycles'!$CI$32:$CO$32,1,BM418))^INT(INT(BM419/12)/INDEX('Lease Cycles'!$CP$32:$CV$32,1,BM418))/12)))),'Lease Cycles'!$C$32*INDEX('Lease Cycles'!$CB$32:$CH$32,1,BM418)*(1+INDEX('Lease Cycles'!$CI$32:$CO$32,1,BM418))^INT(INT(BM419/12)/INDEX('Lease Cycles'!$CP$32:$CV$32,1,BM418))/12),IF(INDEX('Lease Cycles'!$EF$32:$EL$32,1,BM418)=1,IF(AND('Lease Cycles'!$AZ$32&gt;=INDEX('Lease Cycles'!$BG$32:$BM$32,1,BM418),'Lease Cycles'!$AZ$32&lt;=BM$6),'Lease Cycles'!$C$32*'Lease Cycles'!$BA$32/12,IF(AND('Lease Cycles'!$AX$32&gt;=INDEX('Lease Cycles'!$BG$32:$BM$32,1,BM418),'Lease Cycles'!$AX$32&lt;=BM$6),'Lease Cycles'!$C$32*'Lease Cycles'!$AY$32/12,IF(AND('Lease Cycles'!$AV$32&gt;=INDEX('Lease Cycles'!$BG$32:$BM$32,1,BM418),'Lease Cycles'!$AV$32&lt;=BM$6),'Lease Cycles'!$C$32*'Lease Cycles'!$AW$32/12,IF(AND('Lease Cycles'!$AT$32&gt;=INDEX('Lease Cycles'!$BG$32:$BM$32,1,BM418),'Lease Cycles'!$AT$32&lt;=BM$6),'Lease Cycles'!$C$32*'Lease Cycles'!$AU$32/12,'Lease Cycles'!$C$32*INDEX('Lease Cycles'!$CB$32:$CH$32,1,BM418)*(1+INDEX('Lease Cycles'!$CI$32:$CO$32,1,BM418))^INT(INT(BM419/12)/INDEX('Lease Cycles'!$CP$32:$CV$32,1,BM418))/12)))),'Lease Cycles'!$C$32*INDEX('Lease Cycles'!$CB$32:$CH$32,1,BM418)*(1+INDEX('Lease Cycles'!$CI$32:$CO$32,1,BM418))^INT(INT(BM419/12)/INDEX('Lease Cycles'!$CP$32:$CV$32,1,BM418))/12))),IF('Lease Cycles'!$N$32=1,'Lease Cycles'!$C$32*'Lease Cycles'!$E$32*INDEX('Lease Cycles'!$HE$32:$HK$32,1,BM418)*(1+INDEX('Lease Cycles'!$GQ$32:$GW$32,1,BM418))^INT(INT((BM$6-INDEX('Lease Cycles'!$GJ$32:$GP$32,1,BM418))/12)/INDEX('Lease Cycles'!$GX$32:$HD$32,1,BM418))/12,0)))</f>
        <v>0</v>
      </c>
      <c r="BN421" s="28">
        <f>IF(BN418=0,IF('Lease Cycles'!$F$32&gt;0,'Lease Cycles'!$C$32*'Lease Cycles'!$E$32/12,0),IF(BN420=1,IF('Lease Cycles'!$AT$32&gt;=9999,'Lease Cycles'!$C$32*INDEX('Lease Cycles'!$CB$32:$CH$32,1,BN418)*(1+INDEX('Lease Cycles'!$CI$32:$CO$32,1,BN418))^INT(INT(BN419/12)/INDEX('Lease Cycles'!$CP$32:$CV$32,1,BN418))/12,IF(BN418=1,IF(BN419&gt;=INDEX('Lease Cycles'!$DK$32:$DQ$32,1,BN418),IF(BN$6&gt;='Lease Cycles'!$AZ$32,'Lease Cycles'!$C$32*'Lease Cycles'!$BA$32/12,IF(BN$6&gt;='Lease Cycles'!$AX$32,'Lease Cycles'!$C$32*'Lease Cycles'!$AY$32/12,IF(BN$6&gt;='Lease Cycles'!$AV$32,'Lease Cycles'!$C$32*'Lease Cycles'!$AW$32/12,IF(BN$6&gt;='Lease Cycles'!$AT$32,'Lease Cycles'!$C$32*'Lease Cycles'!$AU$32/12,'Lease Cycles'!$C$32*INDEX('Lease Cycles'!$CB$32:$CH$32,1,BN418)*(1+INDEX('Lease Cycles'!$CI$32:$CO$32,1,BN418))^INT(INT(BN419/12)/INDEX('Lease Cycles'!$CP$32:$CV$32,1,BN418))/12)))),'Lease Cycles'!$C$32*INDEX('Lease Cycles'!$CB$32:$CH$32,1,BN418)*(1+INDEX('Lease Cycles'!$CI$32:$CO$32,1,BN418))^INT(INT(BN419/12)/INDEX('Lease Cycles'!$CP$32:$CV$32,1,BN418))/12),IF(INDEX('Lease Cycles'!$EF$32:$EL$32,1,BN418)=1,IF(AND('Lease Cycles'!$AZ$32&gt;=INDEX('Lease Cycles'!$BG$32:$BM$32,1,BN418),'Lease Cycles'!$AZ$32&lt;=BN$6),'Lease Cycles'!$C$32*'Lease Cycles'!$BA$32/12,IF(AND('Lease Cycles'!$AX$32&gt;=INDEX('Lease Cycles'!$BG$32:$BM$32,1,BN418),'Lease Cycles'!$AX$32&lt;=BN$6),'Lease Cycles'!$C$32*'Lease Cycles'!$AY$32/12,IF(AND('Lease Cycles'!$AV$32&gt;=INDEX('Lease Cycles'!$BG$32:$BM$32,1,BN418),'Lease Cycles'!$AV$32&lt;=BN$6),'Lease Cycles'!$C$32*'Lease Cycles'!$AW$32/12,IF(AND('Lease Cycles'!$AT$32&gt;=INDEX('Lease Cycles'!$BG$32:$BM$32,1,BN418),'Lease Cycles'!$AT$32&lt;=BN$6),'Lease Cycles'!$C$32*'Lease Cycles'!$AU$32/12,'Lease Cycles'!$C$32*INDEX('Lease Cycles'!$CB$32:$CH$32,1,BN418)*(1+INDEX('Lease Cycles'!$CI$32:$CO$32,1,BN418))^INT(INT(BN419/12)/INDEX('Lease Cycles'!$CP$32:$CV$32,1,BN418))/12)))),'Lease Cycles'!$C$32*INDEX('Lease Cycles'!$CB$32:$CH$32,1,BN418)*(1+INDEX('Lease Cycles'!$CI$32:$CO$32,1,BN418))^INT(INT(BN419/12)/INDEX('Lease Cycles'!$CP$32:$CV$32,1,BN418))/12))),IF('Lease Cycles'!$N$32=1,'Lease Cycles'!$C$32*'Lease Cycles'!$E$32*INDEX('Lease Cycles'!$HE$32:$HK$32,1,BN418)*(1+INDEX('Lease Cycles'!$GQ$32:$GW$32,1,BN418))^INT(INT((BN$6-INDEX('Lease Cycles'!$GJ$32:$GP$32,1,BN418))/12)/INDEX('Lease Cycles'!$GX$32:$HD$32,1,BN418))/12,0)))</f>
        <v>0</v>
      </c>
      <c r="BO421" s="28">
        <f>IF(BO418=0,IF('Lease Cycles'!$F$32&gt;0,'Lease Cycles'!$C$32*'Lease Cycles'!$E$32/12,0),IF(BO420=1,IF('Lease Cycles'!$AT$32&gt;=9999,'Lease Cycles'!$C$32*INDEX('Lease Cycles'!$CB$32:$CH$32,1,BO418)*(1+INDEX('Lease Cycles'!$CI$32:$CO$32,1,BO418))^INT(INT(BO419/12)/INDEX('Lease Cycles'!$CP$32:$CV$32,1,BO418))/12,IF(BO418=1,IF(BO419&gt;=INDEX('Lease Cycles'!$DK$32:$DQ$32,1,BO418),IF(BO$6&gt;='Lease Cycles'!$AZ$32,'Lease Cycles'!$C$32*'Lease Cycles'!$BA$32/12,IF(BO$6&gt;='Lease Cycles'!$AX$32,'Lease Cycles'!$C$32*'Lease Cycles'!$AY$32/12,IF(BO$6&gt;='Lease Cycles'!$AV$32,'Lease Cycles'!$C$32*'Lease Cycles'!$AW$32/12,IF(BO$6&gt;='Lease Cycles'!$AT$32,'Lease Cycles'!$C$32*'Lease Cycles'!$AU$32/12,'Lease Cycles'!$C$32*INDEX('Lease Cycles'!$CB$32:$CH$32,1,BO418)*(1+INDEX('Lease Cycles'!$CI$32:$CO$32,1,BO418))^INT(INT(BO419/12)/INDEX('Lease Cycles'!$CP$32:$CV$32,1,BO418))/12)))),'Lease Cycles'!$C$32*INDEX('Lease Cycles'!$CB$32:$CH$32,1,BO418)*(1+INDEX('Lease Cycles'!$CI$32:$CO$32,1,BO418))^INT(INT(BO419/12)/INDEX('Lease Cycles'!$CP$32:$CV$32,1,BO418))/12),IF(INDEX('Lease Cycles'!$EF$32:$EL$32,1,BO418)=1,IF(AND('Lease Cycles'!$AZ$32&gt;=INDEX('Lease Cycles'!$BG$32:$BM$32,1,BO418),'Lease Cycles'!$AZ$32&lt;=BO$6),'Lease Cycles'!$C$32*'Lease Cycles'!$BA$32/12,IF(AND('Lease Cycles'!$AX$32&gt;=INDEX('Lease Cycles'!$BG$32:$BM$32,1,BO418),'Lease Cycles'!$AX$32&lt;=BO$6),'Lease Cycles'!$C$32*'Lease Cycles'!$AY$32/12,IF(AND('Lease Cycles'!$AV$32&gt;=INDEX('Lease Cycles'!$BG$32:$BM$32,1,BO418),'Lease Cycles'!$AV$32&lt;=BO$6),'Lease Cycles'!$C$32*'Lease Cycles'!$AW$32/12,IF(AND('Lease Cycles'!$AT$32&gt;=INDEX('Lease Cycles'!$BG$32:$BM$32,1,BO418),'Lease Cycles'!$AT$32&lt;=BO$6),'Lease Cycles'!$C$32*'Lease Cycles'!$AU$32/12,'Lease Cycles'!$C$32*INDEX('Lease Cycles'!$CB$32:$CH$32,1,BO418)*(1+INDEX('Lease Cycles'!$CI$32:$CO$32,1,BO418))^INT(INT(BO419/12)/INDEX('Lease Cycles'!$CP$32:$CV$32,1,BO418))/12)))),'Lease Cycles'!$C$32*INDEX('Lease Cycles'!$CB$32:$CH$32,1,BO418)*(1+INDEX('Lease Cycles'!$CI$32:$CO$32,1,BO418))^INT(INT(BO419/12)/INDEX('Lease Cycles'!$CP$32:$CV$32,1,BO418))/12))),IF('Lease Cycles'!$N$32=1,'Lease Cycles'!$C$32*'Lease Cycles'!$E$32*INDEX('Lease Cycles'!$HE$32:$HK$32,1,BO418)*(1+INDEX('Lease Cycles'!$GQ$32:$GW$32,1,BO418))^INT(INT((BO$6-INDEX('Lease Cycles'!$GJ$32:$GP$32,1,BO418))/12)/INDEX('Lease Cycles'!$GX$32:$HD$32,1,BO418))/12,0)))</f>
        <v>0</v>
      </c>
      <c r="BP421" s="28">
        <f>IF(BP418=0,IF('Lease Cycles'!$F$32&gt;0,'Lease Cycles'!$C$32*'Lease Cycles'!$E$32/12,0),IF(BP420=1,IF('Lease Cycles'!$AT$32&gt;=9999,'Lease Cycles'!$C$32*INDEX('Lease Cycles'!$CB$32:$CH$32,1,BP418)*(1+INDEX('Lease Cycles'!$CI$32:$CO$32,1,BP418))^INT(INT(BP419/12)/INDEX('Lease Cycles'!$CP$32:$CV$32,1,BP418))/12,IF(BP418=1,IF(BP419&gt;=INDEX('Lease Cycles'!$DK$32:$DQ$32,1,BP418),IF(BP$6&gt;='Lease Cycles'!$AZ$32,'Lease Cycles'!$C$32*'Lease Cycles'!$BA$32/12,IF(BP$6&gt;='Lease Cycles'!$AX$32,'Lease Cycles'!$C$32*'Lease Cycles'!$AY$32/12,IF(BP$6&gt;='Lease Cycles'!$AV$32,'Lease Cycles'!$C$32*'Lease Cycles'!$AW$32/12,IF(BP$6&gt;='Lease Cycles'!$AT$32,'Lease Cycles'!$C$32*'Lease Cycles'!$AU$32/12,'Lease Cycles'!$C$32*INDEX('Lease Cycles'!$CB$32:$CH$32,1,BP418)*(1+INDEX('Lease Cycles'!$CI$32:$CO$32,1,BP418))^INT(INT(BP419/12)/INDEX('Lease Cycles'!$CP$32:$CV$32,1,BP418))/12)))),'Lease Cycles'!$C$32*INDEX('Lease Cycles'!$CB$32:$CH$32,1,BP418)*(1+INDEX('Lease Cycles'!$CI$32:$CO$32,1,BP418))^INT(INT(BP419/12)/INDEX('Lease Cycles'!$CP$32:$CV$32,1,BP418))/12),IF(INDEX('Lease Cycles'!$EF$32:$EL$32,1,BP418)=1,IF(AND('Lease Cycles'!$AZ$32&gt;=INDEX('Lease Cycles'!$BG$32:$BM$32,1,BP418),'Lease Cycles'!$AZ$32&lt;=BP$6),'Lease Cycles'!$C$32*'Lease Cycles'!$BA$32/12,IF(AND('Lease Cycles'!$AX$32&gt;=INDEX('Lease Cycles'!$BG$32:$BM$32,1,BP418),'Lease Cycles'!$AX$32&lt;=BP$6),'Lease Cycles'!$C$32*'Lease Cycles'!$AY$32/12,IF(AND('Lease Cycles'!$AV$32&gt;=INDEX('Lease Cycles'!$BG$32:$BM$32,1,BP418),'Lease Cycles'!$AV$32&lt;=BP$6),'Lease Cycles'!$C$32*'Lease Cycles'!$AW$32/12,IF(AND('Lease Cycles'!$AT$32&gt;=INDEX('Lease Cycles'!$BG$32:$BM$32,1,BP418),'Lease Cycles'!$AT$32&lt;=BP$6),'Lease Cycles'!$C$32*'Lease Cycles'!$AU$32/12,'Lease Cycles'!$C$32*INDEX('Lease Cycles'!$CB$32:$CH$32,1,BP418)*(1+INDEX('Lease Cycles'!$CI$32:$CO$32,1,BP418))^INT(INT(BP419/12)/INDEX('Lease Cycles'!$CP$32:$CV$32,1,BP418))/12)))),'Lease Cycles'!$C$32*INDEX('Lease Cycles'!$CB$32:$CH$32,1,BP418)*(1+INDEX('Lease Cycles'!$CI$32:$CO$32,1,BP418))^INT(INT(BP419/12)/INDEX('Lease Cycles'!$CP$32:$CV$32,1,BP418))/12))),IF('Lease Cycles'!$N$32=1,'Lease Cycles'!$C$32*'Lease Cycles'!$E$32*INDEX('Lease Cycles'!$HE$32:$HK$32,1,BP418)*(1+INDEX('Lease Cycles'!$GQ$32:$GW$32,1,BP418))^INT(INT((BP$6-INDEX('Lease Cycles'!$GJ$32:$GP$32,1,BP418))/12)/INDEX('Lease Cycles'!$GX$32:$HD$32,1,BP418))/12,0)))</f>
        <v>0</v>
      </c>
      <c r="BQ421" s="28">
        <f>IF(BQ418=0,IF('Lease Cycles'!$F$32&gt;0,'Lease Cycles'!$C$32*'Lease Cycles'!$E$32/12,0),IF(BQ420=1,IF('Lease Cycles'!$AT$32&gt;=9999,'Lease Cycles'!$C$32*INDEX('Lease Cycles'!$CB$32:$CH$32,1,BQ418)*(1+INDEX('Lease Cycles'!$CI$32:$CO$32,1,BQ418))^INT(INT(BQ419/12)/INDEX('Lease Cycles'!$CP$32:$CV$32,1,BQ418))/12,IF(BQ418=1,IF(BQ419&gt;=INDEX('Lease Cycles'!$DK$32:$DQ$32,1,BQ418),IF(BQ$6&gt;='Lease Cycles'!$AZ$32,'Lease Cycles'!$C$32*'Lease Cycles'!$BA$32/12,IF(BQ$6&gt;='Lease Cycles'!$AX$32,'Lease Cycles'!$C$32*'Lease Cycles'!$AY$32/12,IF(BQ$6&gt;='Lease Cycles'!$AV$32,'Lease Cycles'!$C$32*'Lease Cycles'!$AW$32/12,IF(BQ$6&gt;='Lease Cycles'!$AT$32,'Lease Cycles'!$C$32*'Lease Cycles'!$AU$32/12,'Lease Cycles'!$C$32*INDEX('Lease Cycles'!$CB$32:$CH$32,1,BQ418)*(1+INDEX('Lease Cycles'!$CI$32:$CO$32,1,BQ418))^INT(INT(BQ419/12)/INDEX('Lease Cycles'!$CP$32:$CV$32,1,BQ418))/12)))),'Lease Cycles'!$C$32*INDEX('Lease Cycles'!$CB$32:$CH$32,1,BQ418)*(1+INDEX('Lease Cycles'!$CI$32:$CO$32,1,BQ418))^INT(INT(BQ419/12)/INDEX('Lease Cycles'!$CP$32:$CV$32,1,BQ418))/12),IF(INDEX('Lease Cycles'!$EF$32:$EL$32,1,BQ418)=1,IF(AND('Lease Cycles'!$AZ$32&gt;=INDEX('Lease Cycles'!$BG$32:$BM$32,1,BQ418),'Lease Cycles'!$AZ$32&lt;=BQ$6),'Lease Cycles'!$C$32*'Lease Cycles'!$BA$32/12,IF(AND('Lease Cycles'!$AX$32&gt;=INDEX('Lease Cycles'!$BG$32:$BM$32,1,BQ418),'Lease Cycles'!$AX$32&lt;=BQ$6),'Lease Cycles'!$C$32*'Lease Cycles'!$AY$32/12,IF(AND('Lease Cycles'!$AV$32&gt;=INDEX('Lease Cycles'!$BG$32:$BM$32,1,BQ418),'Lease Cycles'!$AV$32&lt;=BQ$6),'Lease Cycles'!$C$32*'Lease Cycles'!$AW$32/12,IF(AND('Lease Cycles'!$AT$32&gt;=INDEX('Lease Cycles'!$BG$32:$BM$32,1,BQ418),'Lease Cycles'!$AT$32&lt;=BQ$6),'Lease Cycles'!$C$32*'Lease Cycles'!$AU$32/12,'Lease Cycles'!$C$32*INDEX('Lease Cycles'!$CB$32:$CH$32,1,BQ418)*(1+INDEX('Lease Cycles'!$CI$32:$CO$32,1,BQ418))^INT(INT(BQ419/12)/INDEX('Lease Cycles'!$CP$32:$CV$32,1,BQ418))/12)))),'Lease Cycles'!$C$32*INDEX('Lease Cycles'!$CB$32:$CH$32,1,BQ418)*(1+INDEX('Lease Cycles'!$CI$32:$CO$32,1,BQ418))^INT(INT(BQ419/12)/INDEX('Lease Cycles'!$CP$32:$CV$32,1,BQ418))/12))),IF('Lease Cycles'!$N$32=1,'Lease Cycles'!$C$32*'Lease Cycles'!$E$32*INDEX('Lease Cycles'!$HE$32:$HK$32,1,BQ418)*(1+INDEX('Lease Cycles'!$GQ$32:$GW$32,1,BQ418))^INT(INT((BQ$6-INDEX('Lease Cycles'!$GJ$32:$GP$32,1,BQ418))/12)/INDEX('Lease Cycles'!$GX$32:$HD$32,1,BQ418))/12,0)))</f>
        <v>0</v>
      </c>
      <c r="BR421" s="28">
        <f>IF(BR418=0,IF('Lease Cycles'!$F$32&gt;0,'Lease Cycles'!$C$32*'Lease Cycles'!$E$32/12,0),IF(BR420=1,IF('Lease Cycles'!$AT$32&gt;=9999,'Lease Cycles'!$C$32*INDEX('Lease Cycles'!$CB$32:$CH$32,1,BR418)*(1+INDEX('Lease Cycles'!$CI$32:$CO$32,1,BR418))^INT(INT(BR419/12)/INDEX('Lease Cycles'!$CP$32:$CV$32,1,BR418))/12,IF(BR418=1,IF(BR419&gt;=INDEX('Lease Cycles'!$DK$32:$DQ$32,1,BR418),IF(BR$6&gt;='Lease Cycles'!$AZ$32,'Lease Cycles'!$C$32*'Lease Cycles'!$BA$32/12,IF(BR$6&gt;='Lease Cycles'!$AX$32,'Lease Cycles'!$C$32*'Lease Cycles'!$AY$32/12,IF(BR$6&gt;='Lease Cycles'!$AV$32,'Lease Cycles'!$C$32*'Lease Cycles'!$AW$32/12,IF(BR$6&gt;='Lease Cycles'!$AT$32,'Lease Cycles'!$C$32*'Lease Cycles'!$AU$32/12,'Lease Cycles'!$C$32*INDEX('Lease Cycles'!$CB$32:$CH$32,1,BR418)*(1+INDEX('Lease Cycles'!$CI$32:$CO$32,1,BR418))^INT(INT(BR419/12)/INDEX('Lease Cycles'!$CP$32:$CV$32,1,BR418))/12)))),'Lease Cycles'!$C$32*INDEX('Lease Cycles'!$CB$32:$CH$32,1,BR418)*(1+INDEX('Lease Cycles'!$CI$32:$CO$32,1,BR418))^INT(INT(BR419/12)/INDEX('Lease Cycles'!$CP$32:$CV$32,1,BR418))/12),IF(INDEX('Lease Cycles'!$EF$32:$EL$32,1,BR418)=1,IF(AND('Lease Cycles'!$AZ$32&gt;=INDEX('Lease Cycles'!$BG$32:$BM$32,1,BR418),'Lease Cycles'!$AZ$32&lt;=BR$6),'Lease Cycles'!$C$32*'Lease Cycles'!$BA$32/12,IF(AND('Lease Cycles'!$AX$32&gt;=INDEX('Lease Cycles'!$BG$32:$BM$32,1,BR418),'Lease Cycles'!$AX$32&lt;=BR$6),'Lease Cycles'!$C$32*'Lease Cycles'!$AY$32/12,IF(AND('Lease Cycles'!$AV$32&gt;=INDEX('Lease Cycles'!$BG$32:$BM$32,1,BR418),'Lease Cycles'!$AV$32&lt;=BR$6),'Lease Cycles'!$C$32*'Lease Cycles'!$AW$32/12,IF(AND('Lease Cycles'!$AT$32&gt;=INDEX('Lease Cycles'!$BG$32:$BM$32,1,BR418),'Lease Cycles'!$AT$32&lt;=BR$6),'Lease Cycles'!$C$32*'Lease Cycles'!$AU$32/12,'Lease Cycles'!$C$32*INDEX('Lease Cycles'!$CB$32:$CH$32,1,BR418)*(1+INDEX('Lease Cycles'!$CI$32:$CO$32,1,BR418))^INT(INT(BR419/12)/INDEX('Lease Cycles'!$CP$32:$CV$32,1,BR418))/12)))),'Lease Cycles'!$C$32*INDEX('Lease Cycles'!$CB$32:$CH$32,1,BR418)*(1+INDEX('Lease Cycles'!$CI$32:$CO$32,1,BR418))^INT(INT(BR419/12)/INDEX('Lease Cycles'!$CP$32:$CV$32,1,BR418))/12))),IF('Lease Cycles'!$N$32=1,'Lease Cycles'!$C$32*'Lease Cycles'!$E$32*INDEX('Lease Cycles'!$HE$32:$HK$32,1,BR418)*(1+INDEX('Lease Cycles'!$GQ$32:$GW$32,1,BR418))^INT(INT((BR$6-INDEX('Lease Cycles'!$GJ$32:$GP$32,1,BR418))/12)/INDEX('Lease Cycles'!$GX$32:$HD$32,1,BR418))/12,0)))</f>
        <v>0</v>
      </c>
      <c r="BS421" s="28">
        <f>IF(BS418=0,IF('Lease Cycles'!$F$32&gt;0,'Lease Cycles'!$C$32*'Lease Cycles'!$E$32/12,0),IF(BS420=1,IF('Lease Cycles'!$AT$32&gt;=9999,'Lease Cycles'!$C$32*INDEX('Lease Cycles'!$CB$32:$CH$32,1,BS418)*(1+INDEX('Lease Cycles'!$CI$32:$CO$32,1,BS418))^INT(INT(BS419/12)/INDEX('Lease Cycles'!$CP$32:$CV$32,1,BS418))/12,IF(BS418=1,IF(BS419&gt;=INDEX('Lease Cycles'!$DK$32:$DQ$32,1,BS418),IF(BS$6&gt;='Lease Cycles'!$AZ$32,'Lease Cycles'!$C$32*'Lease Cycles'!$BA$32/12,IF(BS$6&gt;='Lease Cycles'!$AX$32,'Lease Cycles'!$C$32*'Lease Cycles'!$AY$32/12,IF(BS$6&gt;='Lease Cycles'!$AV$32,'Lease Cycles'!$C$32*'Lease Cycles'!$AW$32/12,IF(BS$6&gt;='Lease Cycles'!$AT$32,'Lease Cycles'!$C$32*'Lease Cycles'!$AU$32/12,'Lease Cycles'!$C$32*INDEX('Lease Cycles'!$CB$32:$CH$32,1,BS418)*(1+INDEX('Lease Cycles'!$CI$32:$CO$32,1,BS418))^INT(INT(BS419/12)/INDEX('Lease Cycles'!$CP$32:$CV$32,1,BS418))/12)))),'Lease Cycles'!$C$32*INDEX('Lease Cycles'!$CB$32:$CH$32,1,BS418)*(1+INDEX('Lease Cycles'!$CI$32:$CO$32,1,BS418))^INT(INT(BS419/12)/INDEX('Lease Cycles'!$CP$32:$CV$32,1,BS418))/12),IF(INDEX('Lease Cycles'!$EF$32:$EL$32,1,BS418)=1,IF(AND('Lease Cycles'!$AZ$32&gt;=INDEX('Lease Cycles'!$BG$32:$BM$32,1,BS418),'Lease Cycles'!$AZ$32&lt;=BS$6),'Lease Cycles'!$C$32*'Lease Cycles'!$BA$32/12,IF(AND('Lease Cycles'!$AX$32&gt;=INDEX('Lease Cycles'!$BG$32:$BM$32,1,BS418),'Lease Cycles'!$AX$32&lt;=BS$6),'Lease Cycles'!$C$32*'Lease Cycles'!$AY$32/12,IF(AND('Lease Cycles'!$AV$32&gt;=INDEX('Lease Cycles'!$BG$32:$BM$32,1,BS418),'Lease Cycles'!$AV$32&lt;=BS$6),'Lease Cycles'!$C$32*'Lease Cycles'!$AW$32/12,IF(AND('Lease Cycles'!$AT$32&gt;=INDEX('Lease Cycles'!$BG$32:$BM$32,1,BS418),'Lease Cycles'!$AT$32&lt;=BS$6),'Lease Cycles'!$C$32*'Lease Cycles'!$AU$32/12,'Lease Cycles'!$C$32*INDEX('Lease Cycles'!$CB$32:$CH$32,1,BS418)*(1+INDEX('Lease Cycles'!$CI$32:$CO$32,1,BS418))^INT(INT(BS419/12)/INDEX('Lease Cycles'!$CP$32:$CV$32,1,BS418))/12)))),'Lease Cycles'!$C$32*INDEX('Lease Cycles'!$CB$32:$CH$32,1,BS418)*(1+INDEX('Lease Cycles'!$CI$32:$CO$32,1,BS418))^INT(INT(BS419/12)/INDEX('Lease Cycles'!$CP$32:$CV$32,1,BS418))/12))),IF('Lease Cycles'!$N$32=1,'Lease Cycles'!$C$32*'Lease Cycles'!$E$32*INDEX('Lease Cycles'!$HE$32:$HK$32,1,BS418)*(1+INDEX('Lease Cycles'!$GQ$32:$GW$32,1,BS418))^INT(INT((BS$6-INDEX('Lease Cycles'!$GJ$32:$GP$32,1,BS418))/12)/INDEX('Lease Cycles'!$GX$32:$HD$32,1,BS418))/12,0)))</f>
        <v>0</v>
      </c>
      <c r="BT421" s="28">
        <f>IF(BT418=0,IF('Lease Cycles'!$F$32&gt;0,'Lease Cycles'!$C$32*'Lease Cycles'!$E$32/12,0),IF(BT420=1,IF('Lease Cycles'!$AT$32&gt;=9999,'Lease Cycles'!$C$32*INDEX('Lease Cycles'!$CB$32:$CH$32,1,BT418)*(1+INDEX('Lease Cycles'!$CI$32:$CO$32,1,BT418))^INT(INT(BT419/12)/INDEX('Lease Cycles'!$CP$32:$CV$32,1,BT418))/12,IF(BT418=1,IF(BT419&gt;=INDEX('Lease Cycles'!$DK$32:$DQ$32,1,BT418),IF(BT$6&gt;='Lease Cycles'!$AZ$32,'Lease Cycles'!$C$32*'Lease Cycles'!$BA$32/12,IF(BT$6&gt;='Lease Cycles'!$AX$32,'Lease Cycles'!$C$32*'Lease Cycles'!$AY$32/12,IF(BT$6&gt;='Lease Cycles'!$AV$32,'Lease Cycles'!$C$32*'Lease Cycles'!$AW$32/12,IF(BT$6&gt;='Lease Cycles'!$AT$32,'Lease Cycles'!$C$32*'Lease Cycles'!$AU$32/12,'Lease Cycles'!$C$32*INDEX('Lease Cycles'!$CB$32:$CH$32,1,BT418)*(1+INDEX('Lease Cycles'!$CI$32:$CO$32,1,BT418))^INT(INT(BT419/12)/INDEX('Lease Cycles'!$CP$32:$CV$32,1,BT418))/12)))),'Lease Cycles'!$C$32*INDEX('Lease Cycles'!$CB$32:$CH$32,1,BT418)*(1+INDEX('Lease Cycles'!$CI$32:$CO$32,1,BT418))^INT(INT(BT419/12)/INDEX('Lease Cycles'!$CP$32:$CV$32,1,BT418))/12),IF(INDEX('Lease Cycles'!$EF$32:$EL$32,1,BT418)=1,IF(AND('Lease Cycles'!$AZ$32&gt;=INDEX('Lease Cycles'!$BG$32:$BM$32,1,BT418),'Lease Cycles'!$AZ$32&lt;=BT$6),'Lease Cycles'!$C$32*'Lease Cycles'!$BA$32/12,IF(AND('Lease Cycles'!$AX$32&gt;=INDEX('Lease Cycles'!$BG$32:$BM$32,1,BT418),'Lease Cycles'!$AX$32&lt;=BT$6),'Lease Cycles'!$C$32*'Lease Cycles'!$AY$32/12,IF(AND('Lease Cycles'!$AV$32&gt;=INDEX('Lease Cycles'!$BG$32:$BM$32,1,BT418),'Lease Cycles'!$AV$32&lt;=BT$6),'Lease Cycles'!$C$32*'Lease Cycles'!$AW$32/12,IF(AND('Lease Cycles'!$AT$32&gt;=INDEX('Lease Cycles'!$BG$32:$BM$32,1,BT418),'Lease Cycles'!$AT$32&lt;=BT$6),'Lease Cycles'!$C$32*'Lease Cycles'!$AU$32/12,'Lease Cycles'!$C$32*INDEX('Lease Cycles'!$CB$32:$CH$32,1,BT418)*(1+INDEX('Lease Cycles'!$CI$32:$CO$32,1,BT418))^INT(INT(BT419/12)/INDEX('Lease Cycles'!$CP$32:$CV$32,1,BT418))/12)))),'Lease Cycles'!$C$32*INDEX('Lease Cycles'!$CB$32:$CH$32,1,BT418)*(1+INDEX('Lease Cycles'!$CI$32:$CO$32,1,BT418))^INT(INT(BT419/12)/INDEX('Lease Cycles'!$CP$32:$CV$32,1,BT418))/12))),IF('Lease Cycles'!$N$32=1,'Lease Cycles'!$C$32*'Lease Cycles'!$E$32*INDEX('Lease Cycles'!$HE$32:$HK$32,1,BT418)*(1+INDEX('Lease Cycles'!$GQ$32:$GW$32,1,BT418))^INT(INT((BT$6-INDEX('Lease Cycles'!$GJ$32:$GP$32,1,BT418))/12)/INDEX('Lease Cycles'!$GX$32:$HD$32,1,BT418))/12,0)))</f>
        <v>0</v>
      </c>
      <c r="BU421" s="28">
        <f>IF(BU418=0,IF('Lease Cycles'!$F$32&gt;0,'Lease Cycles'!$C$32*'Lease Cycles'!$E$32/12,0),IF(BU420=1,IF('Lease Cycles'!$AT$32&gt;=9999,'Lease Cycles'!$C$32*INDEX('Lease Cycles'!$CB$32:$CH$32,1,BU418)*(1+INDEX('Lease Cycles'!$CI$32:$CO$32,1,BU418))^INT(INT(BU419/12)/INDEX('Lease Cycles'!$CP$32:$CV$32,1,BU418))/12,IF(BU418=1,IF(BU419&gt;=INDEX('Lease Cycles'!$DK$32:$DQ$32,1,BU418),IF(BU$6&gt;='Lease Cycles'!$AZ$32,'Lease Cycles'!$C$32*'Lease Cycles'!$BA$32/12,IF(BU$6&gt;='Lease Cycles'!$AX$32,'Lease Cycles'!$C$32*'Lease Cycles'!$AY$32/12,IF(BU$6&gt;='Lease Cycles'!$AV$32,'Lease Cycles'!$C$32*'Lease Cycles'!$AW$32/12,IF(BU$6&gt;='Lease Cycles'!$AT$32,'Lease Cycles'!$C$32*'Lease Cycles'!$AU$32/12,'Lease Cycles'!$C$32*INDEX('Lease Cycles'!$CB$32:$CH$32,1,BU418)*(1+INDEX('Lease Cycles'!$CI$32:$CO$32,1,BU418))^INT(INT(BU419/12)/INDEX('Lease Cycles'!$CP$32:$CV$32,1,BU418))/12)))),'Lease Cycles'!$C$32*INDEX('Lease Cycles'!$CB$32:$CH$32,1,BU418)*(1+INDEX('Lease Cycles'!$CI$32:$CO$32,1,BU418))^INT(INT(BU419/12)/INDEX('Lease Cycles'!$CP$32:$CV$32,1,BU418))/12),IF(INDEX('Lease Cycles'!$EF$32:$EL$32,1,BU418)=1,IF(AND('Lease Cycles'!$AZ$32&gt;=INDEX('Lease Cycles'!$BG$32:$BM$32,1,BU418),'Lease Cycles'!$AZ$32&lt;=BU$6),'Lease Cycles'!$C$32*'Lease Cycles'!$BA$32/12,IF(AND('Lease Cycles'!$AX$32&gt;=INDEX('Lease Cycles'!$BG$32:$BM$32,1,BU418),'Lease Cycles'!$AX$32&lt;=BU$6),'Lease Cycles'!$C$32*'Lease Cycles'!$AY$32/12,IF(AND('Lease Cycles'!$AV$32&gt;=INDEX('Lease Cycles'!$BG$32:$BM$32,1,BU418),'Lease Cycles'!$AV$32&lt;=BU$6),'Lease Cycles'!$C$32*'Lease Cycles'!$AW$32/12,IF(AND('Lease Cycles'!$AT$32&gt;=INDEX('Lease Cycles'!$BG$32:$BM$32,1,BU418),'Lease Cycles'!$AT$32&lt;=BU$6),'Lease Cycles'!$C$32*'Lease Cycles'!$AU$32/12,'Lease Cycles'!$C$32*INDEX('Lease Cycles'!$CB$32:$CH$32,1,BU418)*(1+INDEX('Lease Cycles'!$CI$32:$CO$32,1,BU418))^INT(INT(BU419/12)/INDEX('Lease Cycles'!$CP$32:$CV$32,1,BU418))/12)))),'Lease Cycles'!$C$32*INDEX('Lease Cycles'!$CB$32:$CH$32,1,BU418)*(1+INDEX('Lease Cycles'!$CI$32:$CO$32,1,BU418))^INT(INT(BU419/12)/INDEX('Lease Cycles'!$CP$32:$CV$32,1,BU418))/12))),IF('Lease Cycles'!$N$32=1,'Lease Cycles'!$C$32*'Lease Cycles'!$E$32*INDEX('Lease Cycles'!$HE$32:$HK$32,1,BU418)*(1+INDEX('Lease Cycles'!$GQ$32:$GW$32,1,BU418))^INT(INT((BU$6-INDEX('Lease Cycles'!$GJ$32:$GP$32,1,BU418))/12)/INDEX('Lease Cycles'!$GX$32:$HD$32,1,BU418))/12,0)))</f>
        <v>0</v>
      </c>
      <c r="BV421" s="28">
        <f>IF(BV418=0,IF('Lease Cycles'!$F$32&gt;0,'Lease Cycles'!$C$32*'Lease Cycles'!$E$32/12,0),IF(BV420=1,IF('Lease Cycles'!$AT$32&gt;=9999,'Lease Cycles'!$C$32*INDEX('Lease Cycles'!$CB$32:$CH$32,1,BV418)*(1+INDEX('Lease Cycles'!$CI$32:$CO$32,1,BV418))^INT(INT(BV419/12)/INDEX('Lease Cycles'!$CP$32:$CV$32,1,BV418))/12,IF(BV418=1,IF(BV419&gt;=INDEX('Lease Cycles'!$DK$32:$DQ$32,1,BV418),IF(BV$6&gt;='Lease Cycles'!$AZ$32,'Lease Cycles'!$C$32*'Lease Cycles'!$BA$32/12,IF(BV$6&gt;='Lease Cycles'!$AX$32,'Lease Cycles'!$C$32*'Lease Cycles'!$AY$32/12,IF(BV$6&gt;='Lease Cycles'!$AV$32,'Lease Cycles'!$C$32*'Lease Cycles'!$AW$32/12,IF(BV$6&gt;='Lease Cycles'!$AT$32,'Lease Cycles'!$C$32*'Lease Cycles'!$AU$32/12,'Lease Cycles'!$C$32*INDEX('Lease Cycles'!$CB$32:$CH$32,1,BV418)*(1+INDEX('Lease Cycles'!$CI$32:$CO$32,1,BV418))^INT(INT(BV419/12)/INDEX('Lease Cycles'!$CP$32:$CV$32,1,BV418))/12)))),'Lease Cycles'!$C$32*INDEX('Lease Cycles'!$CB$32:$CH$32,1,BV418)*(1+INDEX('Lease Cycles'!$CI$32:$CO$32,1,BV418))^INT(INT(BV419/12)/INDEX('Lease Cycles'!$CP$32:$CV$32,1,BV418))/12),IF(INDEX('Lease Cycles'!$EF$32:$EL$32,1,BV418)=1,IF(AND('Lease Cycles'!$AZ$32&gt;=INDEX('Lease Cycles'!$BG$32:$BM$32,1,BV418),'Lease Cycles'!$AZ$32&lt;=BV$6),'Lease Cycles'!$C$32*'Lease Cycles'!$BA$32/12,IF(AND('Lease Cycles'!$AX$32&gt;=INDEX('Lease Cycles'!$BG$32:$BM$32,1,BV418),'Lease Cycles'!$AX$32&lt;=BV$6),'Lease Cycles'!$C$32*'Lease Cycles'!$AY$32/12,IF(AND('Lease Cycles'!$AV$32&gt;=INDEX('Lease Cycles'!$BG$32:$BM$32,1,BV418),'Lease Cycles'!$AV$32&lt;=BV$6),'Lease Cycles'!$C$32*'Lease Cycles'!$AW$32/12,IF(AND('Lease Cycles'!$AT$32&gt;=INDEX('Lease Cycles'!$BG$32:$BM$32,1,BV418),'Lease Cycles'!$AT$32&lt;=BV$6),'Lease Cycles'!$C$32*'Lease Cycles'!$AU$32/12,'Lease Cycles'!$C$32*INDEX('Lease Cycles'!$CB$32:$CH$32,1,BV418)*(1+INDEX('Lease Cycles'!$CI$32:$CO$32,1,BV418))^INT(INT(BV419/12)/INDEX('Lease Cycles'!$CP$32:$CV$32,1,BV418))/12)))),'Lease Cycles'!$C$32*INDEX('Lease Cycles'!$CB$32:$CH$32,1,BV418)*(1+INDEX('Lease Cycles'!$CI$32:$CO$32,1,BV418))^INT(INT(BV419/12)/INDEX('Lease Cycles'!$CP$32:$CV$32,1,BV418))/12))),IF('Lease Cycles'!$N$32=1,'Lease Cycles'!$C$32*'Lease Cycles'!$E$32*INDEX('Lease Cycles'!$HE$32:$HK$32,1,BV418)*(1+INDEX('Lease Cycles'!$GQ$32:$GW$32,1,BV418))^INT(INT((BV$6-INDEX('Lease Cycles'!$GJ$32:$GP$32,1,BV418))/12)/INDEX('Lease Cycles'!$GX$32:$HD$32,1,BV418))/12,0)))</f>
        <v>0</v>
      </c>
      <c r="BW421" s="28">
        <f>IF(BW418=0,IF('Lease Cycles'!$F$32&gt;0,'Lease Cycles'!$C$32*'Lease Cycles'!$E$32/12,0),IF(BW420=1,IF('Lease Cycles'!$AT$32&gt;=9999,'Lease Cycles'!$C$32*INDEX('Lease Cycles'!$CB$32:$CH$32,1,BW418)*(1+INDEX('Lease Cycles'!$CI$32:$CO$32,1,BW418))^INT(INT(BW419/12)/INDEX('Lease Cycles'!$CP$32:$CV$32,1,BW418))/12,IF(BW418=1,IF(BW419&gt;=INDEX('Lease Cycles'!$DK$32:$DQ$32,1,BW418),IF(BW$6&gt;='Lease Cycles'!$AZ$32,'Lease Cycles'!$C$32*'Lease Cycles'!$BA$32/12,IF(BW$6&gt;='Lease Cycles'!$AX$32,'Lease Cycles'!$C$32*'Lease Cycles'!$AY$32/12,IF(BW$6&gt;='Lease Cycles'!$AV$32,'Lease Cycles'!$C$32*'Lease Cycles'!$AW$32/12,IF(BW$6&gt;='Lease Cycles'!$AT$32,'Lease Cycles'!$C$32*'Lease Cycles'!$AU$32/12,'Lease Cycles'!$C$32*INDEX('Lease Cycles'!$CB$32:$CH$32,1,BW418)*(1+INDEX('Lease Cycles'!$CI$32:$CO$32,1,BW418))^INT(INT(BW419/12)/INDEX('Lease Cycles'!$CP$32:$CV$32,1,BW418))/12)))),'Lease Cycles'!$C$32*INDEX('Lease Cycles'!$CB$32:$CH$32,1,BW418)*(1+INDEX('Lease Cycles'!$CI$32:$CO$32,1,BW418))^INT(INT(BW419/12)/INDEX('Lease Cycles'!$CP$32:$CV$32,1,BW418))/12),IF(INDEX('Lease Cycles'!$EF$32:$EL$32,1,BW418)=1,IF(AND('Lease Cycles'!$AZ$32&gt;=INDEX('Lease Cycles'!$BG$32:$BM$32,1,BW418),'Lease Cycles'!$AZ$32&lt;=BW$6),'Lease Cycles'!$C$32*'Lease Cycles'!$BA$32/12,IF(AND('Lease Cycles'!$AX$32&gt;=INDEX('Lease Cycles'!$BG$32:$BM$32,1,BW418),'Lease Cycles'!$AX$32&lt;=BW$6),'Lease Cycles'!$C$32*'Lease Cycles'!$AY$32/12,IF(AND('Lease Cycles'!$AV$32&gt;=INDEX('Lease Cycles'!$BG$32:$BM$32,1,BW418),'Lease Cycles'!$AV$32&lt;=BW$6),'Lease Cycles'!$C$32*'Lease Cycles'!$AW$32/12,IF(AND('Lease Cycles'!$AT$32&gt;=INDEX('Lease Cycles'!$BG$32:$BM$32,1,BW418),'Lease Cycles'!$AT$32&lt;=BW$6),'Lease Cycles'!$C$32*'Lease Cycles'!$AU$32/12,'Lease Cycles'!$C$32*INDEX('Lease Cycles'!$CB$32:$CH$32,1,BW418)*(1+INDEX('Lease Cycles'!$CI$32:$CO$32,1,BW418))^INT(INT(BW419/12)/INDEX('Lease Cycles'!$CP$32:$CV$32,1,BW418))/12)))),'Lease Cycles'!$C$32*INDEX('Lease Cycles'!$CB$32:$CH$32,1,BW418)*(1+INDEX('Lease Cycles'!$CI$32:$CO$32,1,BW418))^INT(INT(BW419/12)/INDEX('Lease Cycles'!$CP$32:$CV$32,1,BW418))/12))),IF('Lease Cycles'!$N$32=1,'Lease Cycles'!$C$32*'Lease Cycles'!$E$32*INDEX('Lease Cycles'!$HE$32:$HK$32,1,BW418)*(1+INDEX('Lease Cycles'!$GQ$32:$GW$32,1,BW418))^INT(INT((BW$6-INDEX('Lease Cycles'!$GJ$32:$GP$32,1,BW418))/12)/INDEX('Lease Cycles'!$GX$32:$HD$32,1,BW418))/12,0)))</f>
        <v>0</v>
      </c>
      <c r="BX421" s="28">
        <f>IF(BX418=0,IF('Lease Cycles'!$F$32&gt;0,'Lease Cycles'!$C$32*'Lease Cycles'!$E$32/12,0),IF(BX420=1,IF('Lease Cycles'!$AT$32&gt;=9999,'Lease Cycles'!$C$32*INDEX('Lease Cycles'!$CB$32:$CH$32,1,BX418)*(1+INDEX('Lease Cycles'!$CI$32:$CO$32,1,BX418))^INT(INT(BX419/12)/INDEX('Lease Cycles'!$CP$32:$CV$32,1,BX418))/12,IF(BX418=1,IF(BX419&gt;=INDEX('Lease Cycles'!$DK$32:$DQ$32,1,BX418),IF(BX$6&gt;='Lease Cycles'!$AZ$32,'Lease Cycles'!$C$32*'Lease Cycles'!$BA$32/12,IF(BX$6&gt;='Lease Cycles'!$AX$32,'Lease Cycles'!$C$32*'Lease Cycles'!$AY$32/12,IF(BX$6&gt;='Lease Cycles'!$AV$32,'Lease Cycles'!$C$32*'Lease Cycles'!$AW$32/12,IF(BX$6&gt;='Lease Cycles'!$AT$32,'Lease Cycles'!$C$32*'Lease Cycles'!$AU$32/12,'Lease Cycles'!$C$32*INDEX('Lease Cycles'!$CB$32:$CH$32,1,BX418)*(1+INDEX('Lease Cycles'!$CI$32:$CO$32,1,BX418))^INT(INT(BX419/12)/INDEX('Lease Cycles'!$CP$32:$CV$32,1,BX418))/12)))),'Lease Cycles'!$C$32*INDEX('Lease Cycles'!$CB$32:$CH$32,1,BX418)*(1+INDEX('Lease Cycles'!$CI$32:$CO$32,1,BX418))^INT(INT(BX419/12)/INDEX('Lease Cycles'!$CP$32:$CV$32,1,BX418))/12),IF(INDEX('Lease Cycles'!$EF$32:$EL$32,1,BX418)=1,IF(AND('Lease Cycles'!$AZ$32&gt;=INDEX('Lease Cycles'!$BG$32:$BM$32,1,BX418),'Lease Cycles'!$AZ$32&lt;=BX$6),'Lease Cycles'!$C$32*'Lease Cycles'!$BA$32/12,IF(AND('Lease Cycles'!$AX$32&gt;=INDEX('Lease Cycles'!$BG$32:$BM$32,1,BX418),'Lease Cycles'!$AX$32&lt;=BX$6),'Lease Cycles'!$C$32*'Lease Cycles'!$AY$32/12,IF(AND('Lease Cycles'!$AV$32&gt;=INDEX('Lease Cycles'!$BG$32:$BM$32,1,BX418),'Lease Cycles'!$AV$32&lt;=BX$6),'Lease Cycles'!$C$32*'Lease Cycles'!$AW$32/12,IF(AND('Lease Cycles'!$AT$32&gt;=INDEX('Lease Cycles'!$BG$32:$BM$32,1,BX418),'Lease Cycles'!$AT$32&lt;=BX$6),'Lease Cycles'!$C$32*'Lease Cycles'!$AU$32/12,'Lease Cycles'!$C$32*INDEX('Lease Cycles'!$CB$32:$CH$32,1,BX418)*(1+INDEX('Lease Cycles'!$CI$32:$CO$32,1,BX418))^INT(INT(BX419/12)/INDEX('Lease Cycles'!$CP$32:$CV$32,1,BX418))/12)))),'Lease Cycles'!$C$32*INDEX('Lease Cycles'!$CB$32:$CH$32,1,BX418)*(1+INDEX('Lease Cycles'!$CI$32:$CO$32,1,BX418))^INT(INT(BX419/12)/INDEX('Lease Cycles'!$CP$32:$CV$32,1,BX418))/12))),IF('Lease Cycles'!$N$32=1,'Lease Cycles'!$C$32*'Lease Cycles'!$E$32*INDEX('Lease Cycles'!$HE$32:$HK$32,1,BX418)*(1+INDEX('Lease Cycles'!$GQ$32:$GW$32,1,BX418))^INT(INT((BX$6-INDEX('Lease Cycles'!$GJ$32:$GP$32,1,BX418))/12)/INDEX('Lease Cycles'!$GX$32:$HD$32,1,BX418))/12,0)))</f>
        <v>0</v>
      </c>
      <c r="BY421" s="28">
        <f>IF(BY418=0,IF('Lease Cycles'!$F$32&gt;0,'Lease Cycles'!$C$32*'Lease Cycles'!$E$32/12,0),IF(BY420=1,IF('Lease Cycles'!$AT$32&gt;=9999,'Lease Cycles'!$C$32*INDEX('Lease Cycles'!$CB$32:$CH$32,1,BY418)*(1+INDEX('Lease Cycles'!$CI$32:$CO$32,1,BY418))^INT(INT(BY419/12)/INDEX('Lease Cycles'!$CP$32:$CV$32,1,BY418))/12,IF(BY418=1,IF(BY419&gt;=INDEX('Lease Cycles'!$DK$32:$DQ$32,1,BY418),IF(BY$6&gt;='Lease Cycles'!$AZ$32,'Lease Cycles'!$C$32*'Lease Cycles'!$BA$32/12,IF(BY$6&gt;='Lease Cycles'!$AX$32,'Lease Cycles'!$C$32*'Lease Cycles'!$AY$32/12,IF(BY$6&gt;='Lease Cycles'!$AV$32,'Lease Cycles'!$C$32*'Lease Cycles'!$AW$32/12,IF(BY$6&gt;='Lease Cycles'!$AT$32,'Lease Cycles'!$C$32*'Lease Cycles'!$AU$32/12,'Lease Cycles'!$C$32*INDEX('Lease Cycles'!$CB$32:$CH$32,1,BY418)*(1+INDEX('Lease Cycles'!$CI$32:$CO$32,1,BY418))^INT(INT(BY419/12)/INDEX('Lease Cycles'!$CP$32:$CV$32,1,BY418))/12)))),'Lease Cycles'!$C$32*INDEX('Lease Cycles'!$CB$32:$CH$32,1,BY418)*(1+INDEX('Lease Cycles'!$CI$32:$CO$32,1,BY418))^INT(INT(BY419/12)/INDEX('Lease Cycles'!$CP$32:$CV$32,1,BY418))/12),IF(INDEX('Lease Cycles'!$EF$32:$EL$32,1,BY418)=1,IF(AND('Lease Cycles'!$AZ$32&gt;=INDEX('Lease Cycles'!$BG$32:$BM$32,1,BY418),'Lease Cycles'!$AZ$32&lt;=BY$6),'Lease Cycles'!$C$32*'Lease Cycles'!$BA$32/12,IF(AND('Lease Cycles'!$AX$32&gt;=INDEX('Lease Cycles'!$BG$32:$BM$32,1,BY418),'Lease Cycles'!$AX$32&lt;=BY$6),'Lease Cycles'!$C$32*'Lease Cycles'!$AY$32/12,IF(AND('Lease Cycles'!$AV$32&gt;=INDEX('Lease Cycles'!$BG$32:$BM$32,1,BY418),'Lease Cycles'!$AV$32&lt;=BY$6),'Lease Cycles'!$C$32*'Lease Cycles'!$AW$32/12,IF(AND('Lease Cycles'!$AT$32&gt;=INDEX('Lease Cycles'!$BG$32:$BM$32,1,BY418),'Lease Cycles'!$AT$32&lt;=BY$6),'Lease Cycles'!$C$32*'Lease Cycles'!$AU$32/12,'Lease Cycles'!$C$32*INDEX('Lease Cycles'!$CB$32:$CH$32,1,BY418)*(1+INDEX('Lease Cycles'!$CI$32:$CO$32,1,BY418))^INT(INT(BY419/12)/INDEX('Lease Cycles'!$CP$32:$CV$32,1,BY418))/12)))),'Lease Cycles'!$C$32*INDEX('Lease Cycles'!$CB$32:$CH$32,1,BY418)*(1+INDEX('Lease Cycles'!$CI$32:$CO$32,1,BY418))^INT(INT(BY419/12)/INDEX('Lease Cycles'!$CP$32:$CV$32,1,BY418))/12))),IF('Lease Cycles'!$N$32=1,'Lease Cycles'!$C$32*'Lease Cycles'!$E$32*INDEX('Lease Cycles'!$HE$32:$HK$32,1,BY418)*(1+INDEX('Lease Cycles'!$GQ$32:$GW$32,1,BY418))^INT(INT((BY$6-INDEX('Lease Cycles'!$GJ$32:$GP$32,1,BY418))/12)/INDEX('Lease Cycles'!$GX$32:$HD$32,1,BY418))/12,0)))</f>
        <v>0</v>
      </c>
      <c r="BZ421" s="28">
        <f>IF(BZ418=0,IF('Lease Cycles'!$F$32&gt;0,'Lease Cycles'!$C$32*'Lease Cycles'!$E$32/12,0),IF(BZ420=1,IF('Lease Cycles'!$AT$32&gt;=9999,'Lease Cycles'!$C$32*INDEX('Lease Cycles'!$CB$32:$CH$32,1,BZ418)*(1+INDEX('Lease Cycles'!$CI$32:$CO$32,1,BZ418))^INT(INT(BZ419/12)/INDEX('Lease Cycles'!$CP$32:$CV$32,1,BZ418))/12,IF(BZ418=1,IF(BZ419&gt;=INDEX('Lease Cycles'!$DK$32:$DQ$32,1,BZ418),IF(BZ$6&gt;='Lease Cycles'!$AZ$32,'Lease Cycles'!$C$32*'Lease Cycles'!$BA$32/12,IF(BZ$6&gt;='Lease Cycles'!$AX$32,'Lease Cycles'!$C$32*'Lease Cycles'!$AY$32/12,IF(BZ$6&gt;='Lease Cycles'!$AV$32,'Lease Cycles'!$C$32*'Lease Cycles'!$AW$32/12,IF(BZ$6&gt;='Lease Cycles'!$AT$32,'Lease Cycles'!$C$32*'Lease Cycles'!$AU$32/12,'Lease Cycles'!$C$32*INDEX('Lease Cycles'!$CB$32:$CH$32,1,BZ418)*(1+INDEX('Lease Cycles'!$CI$32:$CO$32,1,BZ418))^INT(INT(BZ419/12)/INDEX('Lease Cycles'!$CP$32:$CV$32,1,BZ418))/12)))),'Lease Cycles'!$C$32*INDEX('Lease Cycles'!$CB$32:$CH$32,1,BZ418)*(1+INDEX('Lease Cycles'!$CI$32:$CO$32,1,BZ418))^INT(INT(BZ419/12)/INDEX('Lease Cycles'!$CP$32:$CV$32,1,BZ418))/12),IF(INDEX('Lease Cycles'!$EF$32:$EL$32,1,BZ418)=1,IF(AND('Lease Cycles'!$AZ$32&gt;=INDEX('Lease Cycles'!$BG$32:$BM$32,1,BZ418),'Lease Cycles'!$AZ$32&lt;=BZ$6),'Lease Cycles'!$C$32*'Lease Cycles'!$BA$32/12,IF(AND('Lease Cycles'!$AX$32&gt;=INDEX('Lease Cycles'!$BG$32:$BM$32,1,BZ418),'Lease Cycles'!$AX$32&lt;=BZ$6),'Lease Cycles'!$C$32*'Lease Cycles'!$AY$32/12,IF(AND('Lease Cycles'!$AV$32&gt;=INDEX('Lease Cycles'!$BG$32:$BM$32,1,BZ418),'Lease Cycles'!$AV$32&lt;=BZ$6),'Lease Cycles'!$C$32*'Lease Cycles'!$AW$32/12,IF(AND('Lease Cycles'!$AT$32&gt;=INDEX('Lease Cycles'!$BG$32:$BM$32,1,BZ418),'Lease Cycles'!$AT$32&lt;=BZ$6),'Lease Cycles'!$C$32*'Lease Cycles'!$AU$32/12,'Lease Cycles'!$C$32*INDEX('Lease Cycles'!$CB$32:$CH$32,1,BZ418)*(1+INDEX('Lease Cycles'!$CI$32:$CO$32,1,BZ418))^INT(INT(BZ419/12)/INDEX('Lease Cycles'!$CP$32:$CV$32,1,BZ418))/12)))),'Lease Cycles'!$C$32*INDEX('Lease Cycles'!$CB$32:$CH$32,1,BZ418)*(1+INDEX('Lease Cycles'!$CI$32:$CO$32,1,BZ418))^INT(INT(BZ419/12)/INDEX('Lease Cycles'!$CP$32:$CV$32,1,BZ418))/12))),IF('Lease Cycles'!$N$32=1,'Lease Cycles'!$C$32*'Lease Cycles'!$E$32*INDEX('Lease Cycles'!$HE$32:$HK$32,1,BZ418)*(1+INDEX('Lease Cycles'!$GQ$32:$GW$32,1,BZ418))^INT(INT((BZ$6-INDEX('Lease Cycles'!$GJ$32:$GP$32,1,BZ418))/12)/INDEX('Lease Cycles'!$GX$32:$HD$32,1,BZ418))/12,0)))</f>
        <v>0</v>
      </c>
      <c r="CA421" s="28">
        <f>IF(CA418=0,IF('Lease Cycles'!$F$32&gt;0,'Lease Cycles'!$C$32*'Lease Cycles'!$E$32/12,0),IF(CA420=1,IF('Lease Cycles'!$AT$32&gt;=9999,'Lease Cycles'!$C$32*INDEX('Lease Cycles'!$CB$32:$CH$32,1,CA418)*(1+INDEX('Lease Cycles'!$CI$32:$CO$32,1,CA418))^INT(INT(CA419/12)/INDEX('Lease Cycles'!$CP$32:$CV$32,1,CA418))/12,IF(CA418=1,IF(CA419&gt;=INDEX('Lease Cycles'!$DK$32:$DQ$32,1,CA418),IF(CA$6&gt;='Lease Cycles'!$AZ$32,'Lease Cycles'!$C$32*'Lease Cycles'!$BA$32/12,IF(CA$6&gt;='Lease Cycles'!$AX$32,'Lease Cycles'!$C$32*'Lease Cycles'!$AY$32/12,IF(CA$6&gt;='Lease Cycles'!$AV$32,'Lease Cycles'!$C$32*'Lease Cycles'!$AW$32/12,IF(CA$6&gt;='Lease Cycles'!$AT$32,'Lease Cycles'!$C$32*'Lease Cycles'!$AU$32/12,'Lease Cycles'!$C$32*INDEX('Lease Cycles'!$CB$32:$CH$32,1,CA418)*(1+INDEX('Lease Cycles'!$CI$32:$CO$32,1,CA418))^INT(INT(CA419/12)/INDEX('Lease Cycles'!$CP$32:$CV$32,1,CA418))/12)))),'Lease Cycles'!$C$32*INDEX('Lease Cycles'!$CB$32:$CH$32,1,CA418)*(1+INDEX('Lease Cycles'!$CI$32:$CO$32,1,CA418))^INT(INT(CA419/12)/INDEX('Lease Cycles'!$CP$32:$CV$32,1,CA418))/12),IF(INDEX('Lease Cycles'!$EF$32:$EL$32,1,CA418)=1,IF(AND('Lease Cycles'!$AZ$32&gt;=INDEX('Lease Cycles'!$BG$32:$BM$32,1,CA418),'Lease Cycles'!$AZ$32&lt;=CA$6),'Lease Cycles'!$C$32*'Lease Cycles'!$BA$32/12,IF(AND('Lease Cycles'!$AX$32&gt;=INDEX('Lease Cycles'!$BG$32:$BM$32,1,CA418),'Lease Cycles'!$AX$32&lt;=CA$6),'Lease Cycles'!$C$32*'Lease Cycles'!$AY$32/12,IF(AND('Lease Cycles'!$AV$32&gt;=INDEX('Lease Cycles'!$BG$32:$BM$32,1,CA418),'Lease Cycles'!$AV$32&lt;=CA$6),'Lease Cycles'!$C$32*'Lease Cycles'!$AW$32/12,IF(AND('Lease Cycles'!$AT$32&gt;=INDEX('Lease Cycles'!$BG$32:$BM$32,1,CA418),'Lease Cycles'!$AT$32&lt;=CA$6),'Lease Cycles'!$C$32*'Lease Cycles'!$AU$32/12,'Lease Cycles'!$C$32*INDEX('Lease Cycles'!$CB$32:$CH$32,1,CA418)*(1+INDEX('Lease Cycles'!$CI$32:$CO$32,1,CA418))^INT(INT(CA419/12)/INDEX('Lease Cycles'!$CP$32:$CV$32,1,CA418))/12)))),'Lease Cycles'!$C$32*INDEX('Lease Cycles'!$CB$32:$CH$32,1,CA418)*(1+INDEX('Lease Cycles'!$CI$32:$CO$32,1,CA418))^INT(INT(CA419/12)/INDEX('Lease Cycles'!$CP$32:$CV$32,1,CA418))/12))),IF('Lease Cycles'!$N$32=1,'Lease Cycles'!$C$32*'Lease Cycles'!$E$32*INDEX('Lease Cycles'!$HE$32:$HK$32,1,CA418)*(1+INDEX('Lease Cycles'!$GQ$32:$GW$32,1,CA418))^INT(INT((CA$6-INDEX('Lease Cycles'!$GJ$32:$GP$32,1,CA418))/12)/INDEX('Lease Cycles'!$GX$32:$HD$32,1,CA418))/12,0)))</f>
        <v>0</v>
      </c>
      <c r="CB421" s="28">
        <f>IF(CB418=0,IF('Lease Cycles'!$F$32&gt;0,'Lease Cycles'!$C$32*'Lease Cycles'!$E$32/12,0),IF(CB420=1,IF('Lease Cycles'!$AT$32&gt;=9999,'Lease Cycles'!$C$32*INDEX('Lease Cycles'!$CB$32:$CH$32,1,CB418)*(1+INDEX('Lease Cycles'!$CI$32:$CO$32,1,CB418))^INT(INT(CB419/12)/INDEX('Lease Cycles'!$CP$32:$CV$32,1,CB418))/12,IF(CB418=1,IF(CB419&gt;=INDEX('Lease Cycles'!$DK$32:$DQ$32,1,CB418),IF(CB$6&gt;='Lease Cycles'!$AZ$32,'Lease Cycles'!$C$32*'Lease Cycles'!$BA$32/12,IF(CB$6&gt;='Lease Cycles'!$AX$32,'Lease Cycles'!$C$32*'Lease Cycles'!$AY$32/12,IF(CB$6&gt;='Lease Cycles'!$AV$32,'Lease Cycles'!$C$32*'Lease Cycles'!$AW$32/12,IF(CB$6&gt;='Lease Cycles'!$AT$32,'Lease Cycles'!$C$32*'Lease Cycles'!$AU$32/12,'Lease Cycles'!$C$32*INDEX('Lease Cycles'!$CB$32:$CH$32,1,CB418)*(1+INDEX('Lease Cycles'!$CI$32:$CO$32,1,CB418))^INT(INT(CB419/12)/INDEX('Lease Cycles'!$CP$32:$CV$32,1,CB418))/12)))),'Lease Cycles'!$C$32*INDEX('Lease Cycles'!$CB$32:$CH$32,1,CB418)*(1+INDEX('Lease Cycles'!$CI$32:$CO$32,1,CB418))^INT(INT(CB419/12)/INDEX('Lease Cycles'!$CP$32:$CV$32,1,CB418))/12),IF(INDEX('Lease Cycles'!$EF$32:$EL$32,1,CB418)=1,IF(AND('Lease Cycles'!$AZ$32&gt;=INDEX('Lease Cycles'!$BG$32:$BM$32,1,CB418),'Lease Cycles'!$AZ$32&lt;=CB$6),'Lease Cycles'!$C$32*'Lease Cycles'!$BA$32/12,IF(AND('Lease Cycles'!$AX$32&gt;=INDEX('Lease Cycles'!$BG$32:$BM$32,1,CB418),'Lease Cycles'!$AX$32&lt;=CB$6),'Lease Cycles'!$C$32*'Lease Cycles'!$AY$32/12,IF(AND('Lease Cycles'!$AV$32&gt;=INDEX('Lease Cycles'!$BG$32:$BM$32,1,CB418),'Lease Cycles'!$AV$32&lt;=CB$6),'Lease Cycles'!$C$32*'Lease Cycles'!$AW$32/12,IF(AND('Lease Cycles'!$AT$32&gt;=INDEX('Lease Cycles'!$BG$32:$BM$32,1,CB418),'Lease Cycles'!$AT$32&lt;=CB$6),'Lease Cycles'!$C$32*'Lease Cycles'!$AU$32/12,'Lease Cycles'!$C$32*INDEX('Lease Cycles'!$CB$32:$CH$32,1,CB418)*(1+INDEX('Lease Cycles'!$CI$32:$CO$32,1,CB418))^INT(INT(CB419/12)/INDEX('Lease Cycles'!$CP$32:$CV$32,1,CB418))/12)))),'Lease Cycles'!$C$32*INDEX('Lease Cycles'!$CB$32:$CH$32,1,CB418)*(1+INDEX('Lease Cycles'!$CI$32:$CO$32,1,CB418))^INT(INT(CB419/12)/INDEX('Lease Cycles'!$CP$32:$CV$32,1,CB418))/12))),IF('Lease Cycles'!$N$32=1,'Lease Cycles'!$C$32*'Lease Cycles'!$E$32*INDEX('Lease Cycles'!$HE$32:$HK$32,1,CB418)*(1+INDEX('Lease Cycles'!$GQ$32:$GW$32,1,CB418))^INT(INT((CB$6-INDEX('Lease Cycles'!$GJ$32:$GP$32,1,CB418))/12)/INDEX('Lease Cycles'!$GX$32:$HD$32,1,CB418))/12,0)))</f>
        <v>0</v>
      </c>
      <c r="CC421" s="28">
        <f>IF(CC418=0,IF('Lease Cycles'!$F$32&gt;0,'Lease Cycles'!$C$32*'Lease Cycles'!$E$32/12,0),IF(CC420=1,IF('Lease Cycles'!$AT$32&gt;=9999,'Lease Cycles'!$C$32*INDEX('Lease Cycles'!$CB$32:$CH$32,1,CC418)*(1+INDEX('Lease Cycles'!$CI$32:$CO$32,1,CC418))^INT(INT(CC419/12)/INDEX('Lease Cycles'!$CP$32:$CV$32,1,CC418))/12,IF(CC418=1,IF(CC419&gt;=INDEX('Lease Cycles'!$DK$32:$DQ$32,1,CC418),IF(CC$6&gt;='Lease Cycles'!$AZ$32,'Lease Cycles'!$C$32*'Lease Cycles'!$BA$32/12,IF(CC$6&gt;='Lease Cycles'!$AX$32,'Lease Cycles'!$C$32*'Lease Cycles'!$AY$32/12,IF(CC$6&gt;='Lease Cycles'!$AV$32,'Lease Cycles'!$C$32*'Lease Cycles'!$AW$32/12,IF(CC$6&gt;='Lease Cycles'!$AT$32,'Lease Cycles'!$C$32*'Lease Cycles'!$AU$32/12,'Lease Cycles'!$C$32*INDEX('Lease Cycles'!$CB$32:$CH$32,1,CC418)*(1+INDEX('Lease Cycles'!$CI$32:$CO$32,1,CC418))^INT(INT(CC419/12)/INDEX('Lease Cycles'!$CP$32:$CV$32,1,CC418))/12)))),'Lease Cycles'!$C$32*INDEX('Lease Cycles'!$CB$32:$CH$32,1,CC418)*(1+INDEX('Lease Cycles'!$CI$32:$CO$32,1,CC418))^INT(INT(CC419/12)/INDEX('Lease Cycles'!$CP$32:$CV$32,1,CC418))/12),IF(INDEX('Lease Cycles'!$EF$32:$EL$32,1,CC418)=1,IF(AND('Lease Cycles'!$AZ$32&gt;=INDEX('Lease Cycles'!$BG$32:$BM$32,1,CC418),'Lease Cycles'!$AZ$32&lt;=CC$6),'Lease Cycles'!$C$32*'Lease Cycles'!$BA$32/12,IF(AND('Lease Cycles'!$AX$32&gt;=INDEX('Lease Cycles'!$BG$32:$BM$32,1,CC418),'Lease Cycles'!$AX$32&lt;=CC$6),'Lease Cycles'!$C$32*'Lease Cycles'!$AY$32/12,IF(AND('Lease Cycles'!$AV$32&gt;=INDEX('Lease Cycles'!$BG$32:$BM$32,1,CC418),'Lease Cycles'!$AV$32&lt;=CC$6),'Lease Cycles'!$C$32*'Lease Cycles'!$AW$32/12,IF(AND('Lease Cycles'!$AT$32&gt;=INDEX('Lease Cycles'!$BG$32:$BM$32,1,CC418),'Lease Cycles'!$AT$32&lt;=CC$6),'Lease Cycles'!$C$32*'Lease Cycles'!$AU$32/12,'Lease Cycles'!$C$32*INDEX('Lease Cycles'!$CB$32:$CH$32,1,CC418)*(1+INDEX('Lease Cycles'!$CI$32:$CO$32,1,CC418))^INT(INT(CC419/12)/INDEX('Lease Cycles'!$CP$32:$CV$32,1,CC418))/12)))),'Lease Cycles'!$C$32*INDEX('Lease Cycles'!$CB$32:$CH$32,1,CC418)*(1+INDEX('Lease Cycles'!$CI$32:$CO$32,1,CC418))^INT(INT(CC419/12)/INDEX('Lease Cycles'!$CP$32:$CV$32,1,CC418))/12))),IF('Lease Cycles'!$N$32=1,'Lease Cycles'!$C$32*'Lease Cycles'!$E$32*INDEX('Lease Cycles'!$HE$32:$HK$32,1,CC418)*(1+INDEX('Lease Cycles'!$GQ$32:$GW$32,1,CC418))^INT(INT((CC$6-INDEX('Lease Cycles'!$GJ$32:$GP$32,1,CC418))/12)/INDEX('Lease Cycles'!$GX$32:$HD$32,1,CC418))/12,0)))</f>
        <v>0</v>
      </c>
      <c r="CD421" s="28">
        <f>IF(CD418=0,IF('Lease Cycles'!$F$32&gt;0,'Lease Cycles'!$C$32*'Lease Cycles'!$E$32/12,0),IF(CD420=1,IF('Lease Cycles'!$AT$32&gt;=9999,'Lease Cycles'!$C$32*INDEX('Lease Cycles'!$CB$32:$CH$32,1,CD418)*(1+INDEX('Lease Cycles'!$CI$32:$CO$32,1,CD418))^INT(INT(CD419/12)/INDEX('Lease Cycles'!$CP$32:$CV$32,1,CD418))/12,IF(CD418=1,IF(CD419&gt;=INDEX('Lease Cycles'!$DK$32:$DQ$32,1,CD418),IF(CD$6&gt;='Lease Cycles'!$AZ$32,'Lease Cycles'!$C$32*'Lease Cycles'!$BA$32/12,IF(CD$6&gt;='Lease Cycles'!$AX$32,'Lease Cycles'!$C$32*'Lease Cycles'!$AY$32/12,IF(CD$6&gt;='Lease Cycles'!$AV$32,'Lease Cycles'!$C$32*'Lease Cycles'!$AW$32/12,IF(CD$6&gt;='Lease Cycles'!$AT$32,'Lease Cycles'!$C$32*'Lease Cycles'!$AU$32/12,'Lease Cycles'!$C$32*INDEX('Lease Cycles'!$CB$32:$CH$32,1,CD418)*(1+INDEX('Lease Cycles'!$CI$32:$CO$32,1,CD418))^INT(INT(CD419/12)/INDEX('Lease Cycles'!$CP$32:$CV$32,1,CD418))/12)))),'Lease Cycles'!$C$32*INDEX('Lease Cycles'!$CB$32:$CH$32,1,CD418)*(1+INDEX('Lease Cycles'!$CI$32:$CO$32,1,CD418))^INT(INT(CD419/12)/INDEX('Lease Cycles'!$CP$32:$CV$32,1,CD418))/12),IF(INDEX('Lease Cycles'!$EF$32:$EL$32,1,CD418)=1,IF(AND('Lease Cycles'!$AZ$32&gt;=INDEX('Lease Cycles'!$BG$32:$BM$32,1,CD418),'Lease Cycles'!$AZ$32&lt;=CD$6),'Lease Cycles'!$C$32*'Lease Cycles'!$BA$32/12,IF(AND('Lease Cycles'!$AX$32&gt;=INDEX('Lease Cycles'!$BG$32:$BM$32,1,CD418),'Lease Cycles'!$AX$32&lt;=CD$6),'Lease Cycles'!$C$32*'Lease Cycles'!$AY$32/12,IF(AND('Lease Cycles'!$AV$32&gt;=INDEX('Lease Cycles'!$BG$32:$BM$32,1,CD418),'Lease Cycles'!$AV$32&lt;=CD$6),'Lease Cycles'!$C$32*'Lease Cycles'!$AW$32/12,IF(AND('Lease Cycles'!$AT$32&gt;=INDEX('Lease Cycles'!$BG$32:$BM$32,1,CD418),'Lease Cycles'!$AT$32&lt;=CD$6),'Lease Cycles'!$C$32*'Lease Cycles'!$AU$32/12,'Lease Cycles'!$C$32*INDEX('Lease Cycles'!$CB$32:$CH$32,1,CD418)*(1+INDEX('Lease Cycles'!$CI$32:$CO$32,1,CD418))^INT(INT(CD419/12)/INDEX('Lease Cycles'!$CP$32:$CV$32,1,CD418))/12)))),'Lease Cycles'!$C$32*INDEX('Lease Cycles'!$CB$32:$CH$32,1,CD418)*(1+INDEX('Lease Cycles'!$CI$32:$CO$32,1,CD418))^INT(INT(CD419/12)/INDEX('Lease Cycles'!$CP$32:$CV$32,1,CD418))/12))),IF('Lease Cycles'!$N$32=1,'Lease Cycles'!$C$32*'Lease Cycles'!$E$32*INDEX('Lease Cycles'!$HE$32:$HK$32,1,CD418)*(1+INDEX('Lease Cycles'!$GQ$32:$GW$32,1,CD418))^INT(INT((CD$6-INDEX('Lease Cycles'!$GJ$32:$GP$32,1,CD418))/12)/INDEX('Lease Cycles'!$GX$32:$HD$32,1,CD418))/12,0)))</f>
        <v>0</v>
      </c>
      <c r="CE421" s="28">
        <f>IF(CE418=0,IF('Lease Cycles'!$F$32&gt;0,'Lease Cycles'!$C$32*'Lease Cycles'!$E$32/12,0),IF(CE420=1,IF('Lease Cycles'!$AT$32&gt;=9999,'Lease Cycles'!$C$32*INDEX('Lease Cycles'!$CB$32:$CH$32,1,CE418)*(1+INDEX('Lease Cycles'!$CI$32:$CO$32,1,CE418))^INT(INT(CE419/12)/INDEX('Lease Cycles'!$CP$32:$CV$32,1,CE418))/12,IF(CE418=1,IF(CE419&gt;=INDEX('Lease Cycles'!$DK$32:$DQ$32,1,CE418),IF(CE$6&gt;='Lease Cycles'!$AZ$32,'Lease Cycles'!$C$32*'Lease Cycles'!$BA$32/12,IF(CE$6&gt;='Lease Cycles'!$AX$32,'Lease Cycles'!$C$32*'Lease Cycles'!$AY$32/12,IF(CE$6&gt;='Lease Cycles'!$AV$32,'Lease Cycles'!$C$32*'Lease Cycles'!$AW$32/12,IF(CE$6&gt;='Lease Cycles'!$AT$32,'Lease Cycles'!$C$32*'Lease Cycles'!$AU$32/12,'Lease Cycles'!$C$32*INDEX('Lease Cycles'!$CB$32:$CH$32,1,CE418)*(1+INDEX('Lease Cycles'!$CI$32:$CO$32,1,CE418))^INT(INT(CE419/12)/INDEX('Lease Cycles'!$CP$32:$CV$32,1,CE418))/12)))),'Lease Cycles'!$C$32*INDEX('Lease Cycles'!$CB$32:$CH$32,1,CE418)*(1+INDEX('Lease Cycles'!$CI$32:$CO$32,1,CE418))^INT(INT(CE419/12)/INDEX('Lease Cycles'!$CP$32:$CV$32,1,CE418))/12),IF(INDEX('Lease Cycles'!$EF$32:$EL$32,1,CE418)=1,IF(AND('Lease Cycles'!$AZ$32&gt;=INDEX('Lease Cycles'!$BG$32:$BM$32,1,CE418),'Lease Cycles'!$AZ$32&lt;=CE$6),'Lease Cycles'!$C$32*'Lease Cycles'!$BA$32/12,IF(AND('Lease Cycles'!$AX$32&gt;=INDEX('Lease Cycles'!$BG$32:$BM$32,1,CE418),'Lease Cycles'!$AX$32&lt;=CE$6),'Lease Cycles'!$C$32*'Lease Cycles'!$AY$32/12,IF(AND('Lease Cycles'!$AV$32&gt;=INDEX('Lease Cycles'!$BG$32:$BM$32,1,CE418),'Lease Cycles'!$AV$32&lt;=CE$6),'Lease Cycles'!$C$32*'Lease Cycles'!$AW$32/12,IF(AND('Lease Cycles'!$AT$32&gt;=INDEX('Lease Cycles'!$BG$32:$BM$32,1,CE418),'Lease Cycles'!$AT$32&lt;=CE$6),'Lease Cycles'!$C$32*'Lease Cycles'!$AU$32/12,'Lease Cycles'!$C$32*INDEX('Lease Cycles'!$CB$32:$CH$32,1,CE418)*(1+INDEX('Lease Cycles'!$CI$32:$CO$32,1,CE418))^INT(INT(CE419/12)/INDEX('Lease Cycles'!$CP$32:$CV$32,1,CE418))/12)))),'Lease Cycles'!$C$32*INDEX('Lease Cycles'!$CB$32:$CH$32,1,CE418)*(1+INDEX('Lease Cycles'!$CI$32:$CO$32,1,CE418))^INT(INT(CE419/12)/INDEX('Lease Cycles'!$CP$32:$CV$32,1,CE418))/12))),IF('Lease Cycles'!$N$32=1,'Lease Cycles'!$C$32*'Lease Cycles'!$E$32*INDEX('Lease Cycles'!$HE$32:$HK$32,1,CE418)*(1+INDEX('Lease Cycles'!$GQ$32:$GW$32,1,CE418))^INT(INT((CE$6-INDEX('Lease Cycles'!$GJ$32:$GP$32,1,CE418))/12)/INDEX('Lease Cycles'!$GX$32:$HD$32,1,CE418))/12,0)))</f>
        <v>0</v>
      </c>
      <c r="CF421" s="28">
        <f>IF(CF418=0,IF('Lease Cycles'!$F$32&gt;0,'Lease Cycles'!$C$32*'Lease Cycles'!$E$32/12,0),IF(CF420=1,IF('Lease Cycles'!$AT$32&gt;=9999,'Lease Cycles'!$C$32*INDEX('Lease Cycles'!$CB$32:$CH$32,1,CF418)*(1+INDEX('Lease Cycles'!$CI$32:$CO$32,1,CF418))^INT(INT(CF419/12)/INDEX('Lease Cycles'!$CP$32:$CV$32,1,CF418))/12,IF(CF418=1,IF(CF419&gt;=INDEX('Lease Cycles'!$DK$32:$DQ$32,1,CF418),IF(CF$6&gt;='Lease Cycles'!$AZ$32,'Lease Cycles'!$C$32*'Lease Cycles'!$BA$32/12,IF(CF$6&gt;='Lease Cycles'!$AX$32,'Lease Cycles'!$C$32*'Lease Cycles'!$AY$32/12,IF(CF$6&gt;='Lease Cycles'!$AV$32,'Lease Cycles'!$C$32*'Lease Cycles'!$AW$32/12,IF(CF$6&gt;='Lease Cycles'!$AT$32,'Lease Cycles'!$C$32*'Lease Cycles'!$AU$32/12,'Lease Cycles'!$C$32*INDEX('Lease Cycles'!$CB$32:$CH$32,1,CF418)*(1+INDEX('Lease Cycles'!$CI$32:$CO$32,1,CF418))^INT(INT(CF419/12)/INDEX('Lease Cycles'!$CP$32:$CV$32,1,CF418))/12)))),'Lease Cycles'!$C$32*INDEX('Lease Cycles'!$CB$32:$CH$32,1,CF418)*(1+INDEX('Lease Cycles'!$CI$32:$CO$32,1,CF418))^INT(INT(CF419/12)/INDEX('Lease Cycles'!$CP$32:$CV$32,1,CF418))/12),IF(INDEX('Lease Cycles'!$EF$32:$EL$32,1,CF418)=1,IF(AND('Lease Cycles'!$AZ$32&gt;=INDEX('Lease Cycles'!$BG$32:$BM$32,1,CF418),'Lease Cycles'!$AZ$32&lt;=CF$6),'Lease Cycles'!$C$32*'Lease Cycles'!$BA$32/12,IF(AND('Lease Cycles'!$AX$32&gt;=INDEX('Lease Cycles'!$BG$32:$BM$32,1,CF418),'Lease Cycles'!$AX$32&lt;=CF$6),'Lease Cycles'!$C$32*'Lease Cycles'!$AY$32/12,IF(AND('Lease Cycles'!$AV$32&gt;=INDEX('Lease Cycles'!$BG$32:$BM$32,1,CF418),'Lease Cycles'!$AV$32&lt;=CF$6),'Lease Cycles'!$C$32*'Lease Cycles'!$AW$32/12,IF(AND('Lease Cycles'!$AT$32&gt;=INDEX('Lease Cycles'!$BG$32:$BM$32,1,CF418),'Lease Cycles'!$AT$32&lt;=CF$6),'Lease Cycles'!$C$32*'Lease Cycles'!$AU$32/12,'Lease Cycles'!$C$32*INDEX('Lease Cycles'!$CB$32:$CH$32,1,CF418)*(1+INDEX('Lease Cycles'!$CI$32:$CO$32,1,CF418))^INT(INT(CF419/12)/INDEX('Lease Cycles'!$CP$32:$CV$32,1,CF418))/12)))),'Lease Cycles'!$C$32*INDEX('Lease Cycles'!$CB$32:$CH$32,1,CF418)*(1+INDEX('Lease Cycles'!$CI$32:$CO$32,1,CF418))^INT(INT(CF419/12)/INDEX('Lease Cycles'!$CP$32:$CV$32,1,CF418))/12))),IF('Lease Cycles'!$N$32=1,'Lease Cycles'!$C$32*'Lease Cycles'!$E$32*INDEX('Lease Cycles'!$HE$32:$HK$32,1,CF418)*(1+INDEX('Lease Cycles'!$GQ$32:$GW$32,1,CF418))^INT(INT((CF$6-INDEX('Lease Cycles'!$GJ$32:$GP$32,1,CF418))/12)/INDEX('Lease Cycles'!$GX$32:$HD$32,1,CF418))/12,0)))</f>
        <v>0</v>
      </c>
      <c r="CG421" s="28">
        <f>IF(CG418=0,IF('Lease Cycles'!$F$32&gt;0,'Lease Cycles'!$C$32*'Lease Cycles'!$E$32/12,0),IF(CG420=1,IF('Lease Cycles'!$AT$32&gt;=9999,'Lease Cycles'!$C$32*INDEX('Lease Cycles'!$CB$32:$CH$32,1,CG418)*(1+INDEX('Lease Cycles'!$CI$32:$CO$32,1,CG418))^INT(INT(CG419/12)/INDEX('Lease Cycles'!$CP$32:$CV$32,1,CG418))/12,IF(CG418=1,IF(CG419&gt;=INDEX('Lease Cycles'!$DK$32:$DQ$32,1,CG418),IF(CG$6&gt;='Lease Cycles'!$AZ$32,'Lease Cycles'!$C$32*'Lease Cycles'!$BA$32/12,IF(CG$6&gt;='Lease Cycles'!$AX$32,'Lease Cycles'!$C$32*'Lease Cycles'!$AY$32/12,IF(CG$6&gt;='Lease Cycles'!$AV$32,'Lease Cycles'!$C$32*'Lease Cycles'!$AW$32/12,IF(CG$6&gt;='Lease Cycles'!$AT$32,'Lease Cycles'!$C$32*'Lease Cycles'!$AU$32/12,'Lease Cycles'!$C$32*INDEX('Lease Cycles'!$CB$32:$CH$32,1,CG418)*(1+INDEX('Lease Cycles'!$CI$32:$CO$32,1,CG418))^INT(INT(CG419/12)/INDEX('Lease Cycles'!$CP$32:$CV$32,1,CG418))/12)))),'Lease Cycles'!$C$32*INDEX('Lease Cycles'!$CB$32:$CH$32,1,CG418)*(1+INDEX('Lease Cycles'!$CI$32:$CO$32,1,CG418))^INT(INT(CG419/12)/INDEX('Lease Cycles'!$CP$32:$CV$32,1,CG418))/12),IF(INDEX('Lease Cycles'!$EF$32:$EL$32,1,CG418)=1,IF(AND('Lease Cycles'!$AZ$32&gt;=INDEX('Lease Cycles'!$BG$32:$BM$32,1,CG418),'Lease Cycles'!$AZ$32&lt;=CG$6),'Lease Cycles'!$C$32*'Lease Cycles'!$BA$32/12,IF(AND('Lease Cycles'!$AX$32&gt;=INDEX('Lease Cycles'!$BG$32:$BM$32,1,CG418),'Lease Cycles'!$AX$32&lt;=CG$6),'Lease Cycles'!$C$32*'Lease Cycles'!$AY$32/12,IF(AND('Lease Cycles'!$AV$32&gt;=INDEX('Lease Cycles'!$BG$32:$BM$32,1,CG418),'Lease Cycles'!$AV$32&lt;=CG$6),'Lease Cycles'!$C$32*'Lease Cycles'!$AW$32/12,IF(AND('Lease Cycles'!$AT$32&gt;=INDEX('Lease Cycles'!$BG$32:$BM$32,1,CG418),'Lease Cycles'!$AT$32&lt;=CG$6),'Lease Cycles'!$C$32*'Lease Cycles'!$AU$32/12,'Lease Cycles'!$C$32*INDEX('Lease Cycles'!$CB$32:$CH$32,1,CG418)*(1+INDEX('Lease Cycles'!$CI$32:$CO$32,1,CG418))^INT(INT(CG419/12)/INDEX('Lease Cycles'!$CP$32:$CV$32,1,CG418))/12)))),'Lease Cycles'!$C$32*INDEX('Lease Cycles'!$CB$32:$CH$32,1,CG418)*(1+INDEX('Lease Cycles'!$CI$32:$CO$32,1,CG418))^INT(INT(CG419/12)/INDEX('Lease Cycles'!$CP$32:$CV$32,1,CG418))/12))),IF('Lease Cycles'!$N$32=1,'Lease Cycles'!$C$32*'Lease Cycles'!$E$32*INDEX('Lease Cycles'!$HE$32:$HK$32,1,CG418)*(1+INDEX('Lease Cycles'!$GQ$32:$GW$32,1,CG418))^INT(INT((CG$6-INDEX('Lease Cycles'!$GJ$32:$GP$32,1,CG418))/12)/INDEX('Lease Cycles'!$GX$32:$HD$32,1,CG418))/12,0)))</f>
        <v>0</v>
      </c>
      <c r="CH421" s="28">
        <f>IF(CH418=0,IF('Lease Cycles'!$F$32&gt;0,'Lease Cycles'!$C$32*'Lease Cycles'!$E$32/12,0),IF(CH420=1,IF('Lease Cycles'!$AT$32&gt;=9999,'Lease Cycles'!$C$32*INDEX('Lease Cycles'!$CB$32:$CH$32,1,CH418)*(1+INDEX('Lease Cycles'!$CI$32:$CO$32,1,CH418))^INT(INT(CH419/12)/INDEX('Lease Cycles'!$CP$32:$CV$32,1,CH418))/12,IF(CH418=1,IF(CH419&gt;=INDEX('Lease Cycles'!$DK$32:$DQ$32,1,CH418),IF(CH$6&gt;='Lease Cycles'!$AZ$32,'Lease Cycles'!$C$32*'Lease Cycles'!$BA$32/12,IF(CH$6&gt;='Lease Cycles'!$AX$32,'Lease Cycles'!$C$32*'Lease Cycles'!$AY$32/12,IF(CH$6&gt;='Lease Cycles'!$AV$32,'Lease Cycles'!$C$32*'Lease Cycles'!$AW$32/12,IF(CH$6&gt;='Lease Cycles'!$AT$32,'Lease Cycles'!$C$32*'Lease Cycles'!$AU$32/12,'Lease Cycles'!$C$32*INDEX('Lease Cycles'!$CB$32:$CH$32,1,CH418)*(1+INDEX('Lease Cycles'!$CI$32:$CO$32,1,CH418))^INT(INT(CH419/12)/INDEX('Lease Cycles'!$CP$32:$CV$32,1,CH418))/12)))),'Lease Cycles'!$C$32*INDEX('Lease Cycles'!$CB$32:$CH$32,1,CH418)*(1+INDEX('Lease Cycles'!$CI$32:$CO$32,1,CH418))^INT(INT(CH419/12)/INDEX('Lease Cycles'!$CP$32:$CV$32,1,CH418))/12),IF(INDEX('Lease Cycles'!$EF$32:$EL$32,1,CH418)=1,IF(AND('Lease Cycles'!$AZ$32&gt;=INDEX('Lease Cycles'!$BG$32:$BM$32,1,CH418),'Lease Cycles'!$AZ$32&lt;=CH$6),'Lease Cycles'!$C$32*'Lease Cycles'!$BA$32/12,IF(AND('Lease Cycles'!$AX$32&gt;=INDEX('Lease Cycles'!$BG$32:$BM$32,1,CH418),'Lease Cycles'!$AX$32&lt;=CH$6),'Lease Cycles'!$C$32*'Lease Cycles'!$AY$32/12,IF(AND('Lease Cycles'!$AV$32&gt;=INDEX('Lease Cycles'!$BG$32:$BM$32,1,CH418),'Lease Cycles'!$AV$32&lt;=CH$6),'Lease Cycles'!$C$32*'Lease Cycles'!$AW$32/12,IF(AND('Lease Cycles'!$AT$32&gt;=INDEX('Lease Cycles'!$BG$32:$BM$32,1,CH418),'Lease Cycles'!$AT$32&lt;=CH$6),'Lease Cycles'!$C$32*'Lease Cycles'!$AU$32/12,'Lease Cycles'!$C$32*INDEX('Lease Cycles'!$CB$32:$CH$32,1,CH418)*(1+INDEX('Lease Cycles'!$CI$32:$CO$32,1,CH418))^INT(INT(CH419/12)/INDEX('Lease Cycles'!$CP$32:$CV$32,1,CH418))/12)))),'Lease Cycles'!$C$32*INDEX('Lease Cycles'!$CB$32:$CH$32,1,CH418)*(1+INDEX('Lease Cycles'!$CI$32:$CO$32,1,CH418))^INT(INT(CH419/12)/INDEX('Lease Cycles'!$CP$32:$CV$32,1,CH418))/12))),IF('Lease Cycles'!$N$32=1,'Lease Cycles'!$C$32*'Lease Cycles'!$E$32*INDEX('Lease Cycles'!$HE$32:$HK$32,1,CH418)*(1+INDEX('Lease Cycles'!$GQ$32:$GW$32,1,CH418))^INT(INT((CH$6-INDEX('Lease Cycles'!$GJ$32:$GP$32,1,CH418))/12)/INDEX('Lease Cycles'!$GX$32:$HD$32,1,CH418))/12,0)))</f>
        <v>0</v>
      </c>
      <c r="CI421" s="28">
        <f>IF(CI418=0,IF('Lease Cycles'!$F$32&gt;0,'Lease Cycles'!$C$32*'Lease Cycles'!$E$32/12,0),IF(CI420=1,IF('Lease Cycles'!$AT$32&gt;=9999,'Lease Cycles'!$C$32*INDEX('Lease Cycles'!$CB$32:$CH$32,1,CI418)*(1+INDEX('Lease Cycles'!$CI$32:$CO$32,1,CI418))^INT(INT(CI419/12)/INDEX('Lease Cycles'!$CP$32:$CV$32,1,CI418))/12,IF(CI418=1,IF(CI419&gt;=INDEX('Lease Cycles'!$DK$32:$DQ$32,1,CI418),IF(CI$6&gt;='Lease Cycles'!$AZ$32,'Lease Cycles'!$C$32*'Lease Cycles'!$BA$32/12,IF(CI$6&gt;='Lease Cycles'!$AX$32,'Lease Cycles'!$C$32*'Lease Cycles'!$AY$32/12,IF(CI$6&gt;='Lease Cycles'!$AV$32,'Lease Cycles'!$C$32*'Lease Cycles'!$AW$32/12,IF(CI$6&gt;='Lease Cycles'!$AT$32,'Lease Cycles'!$C$32*'Lease Cycles'!$AU$32/12,'Lease Cycles'!$C$32*INDEX('Lease Cycles'!$CB$32:$CH$32,1,CI418)*(1+INDEX('Lease Cycles'!$CI$32:$CO$32,1,CI418))^INT(INT(CI419/12)/INDEX('Lease Cycles'!$CP$32:$CV$32,1,CI418))/12)))),'Lease Cycles'!$C$32*INDEX('Lease Cycles'!$CB$32:$CH$32,1,CI418)*(1+INDEX('Lease Cycles'!$CI$32:$CO$32,1,CI418))^INT(INT(CI419/12)/INDEX('Lease Cycles'!$CP$32:$CV$32,1,CI418))/12),IF(INDEX('Lease Cycles'!$EF$32:$EL$32,1,CI418)=1,IF(AND('Lease Cycles'!$AZ$32&gt;=INDEX('Lease Cycles'!$BG$32:$BM$32,1,CI418),'Lease Cycles'!$AZ$32&lt;=CI$6),'Lease Cycles'!$C$32*'Lease Cycles'!$BA$32/12,IF(AND('Lease Cycles'!$AX$32&gt;=INDEX('Lease Cycles'!$BG$32:$BM$32,1,CI418),'Lease Cycles'!$AX$32&lt;=CI$6),'Lease Cycles'!$C$32*'Lease Cycles'!$AY$32/12,IF(AND('Lease Cycles'!$AV$32&gt;=INDEX('Lease Cycles'!$BG$32:$BM$32,1,CI418),'Lease Cycles'!$AV$32&lt;=CI$6),'Lease Cycles'!$C$32*'Lease Cycles'!$AW$32/12,IF(AND('Lease Cycles'!$AT$32&gt;=INDEX('Lease Cycles'!$BG$32:$BM$32,1,CI418),'Lease Cycles'!$AT$32&lt;=CI$6),'Lease Cycles'!$C$32*'Lease Cycles'!$AU$32/12,'Lease Cycles'!$C$32*INDEX('Lease Cycles'!$CB$32:$CH$32,1,CI418)*(1+INDEX('Lease Cycles'!$CI$32:$CO$32,1,CI418))^INT(INT(CI419/12)/INDEX('Lease Cycles'!$CP$32:$CV$32,1,CI418))/12)))),'Lease Cycles'!$C$32*INDEX('Lease Cycles'!$CB$32:$CH$32,1,CI418)*(1+INDEX('Lease Cycles'!$CI$32:$CO$32,1,CI418))^INT(INT(CI419/12)/INDEX('Lease Cycles'!$CP$32:$CV$32,1,CI418))/12))),IF('Lease Cycles'!$N$32=1,'Lease Cycles'!$C$32*'Lease Cycles'!$E$32*INDEX('Lease Cycles'!$HE$32:$HK$32,1,CI418)*(1+INDEX('Lease Cycles'!$GQ$32:$GW$32,1,CI418))^INT(INT((CI$6-INDEX('Lease Cycles'!$GJ$32:$GP$32,1,CI418))/12)/INDEX('Lease Cycles'!$GX$32:$HD$32,1,CI418))/12,0)))</f>
        <v>0</v>
      </c>
      <c r="CJ421" s="28">
        <f>IF(CJ418=0,IF('Lease Cycles'!$F$32&gt;0,'Lease Cycles'!$C$32*'Lease Cycles'!$E$32/12,0),IF(CJ420=1,IF('Lease Cycles'!$AT$32&gt;=9999,'Lease Cycles'!$C$32*INDEX('Lease Cycles'!$CB$32:$CH$32,1,CJ418)*(1+INDEX('Lease Cycles'!$CI$32:$CO$32,1,CJ418))^INT(INT(CJ419/12)/INDEX('Lease Cycles'!$CP$32:$CV$32,1,CJ418))/12,IF(CJ418=1,IF(CJ419&gt;=INDEX('Lease Cycles'!$DK$32:$DQ$32,1,CJ418),IF(CJ$6&gt;='Lease Cycles'!$AZ$32,'Lease Cycles'!$C$32*'Lease Cycles'!$BA$32/12,IF(CJ$6&gt;='Lease Cycles'!$AX$32,'Lease Cycles'!$C$32*'Lease Cycles'!$AY$32/12,IF(CJ$6&gt;='Lease Cycles'!$AV$32,'Lease Cycles'!$C$32*'Lease Cycles'!$AW$32/12,IF(CJ$6&gt;='Lease Cycles'!$AT$32,'Lease Cycles'!$C$32*'Lease Cycles'!$AU$32/12,'Lease Cycles'!$C$32*INDEX('Lease Cycles'!$CB$32:$CH$32,1,CJ418)*(1+INDEX('Lease Cycles'!$CI$32:$CO$32,1,CJ418))^INT(INT(CJ419/12)/INDEX('Lease Cycles'!$CP$32:$CV$32,1,CJ418))/12)))),'Lease Cycles'!$C$32*INDEX('Lease Cycles'!$CB$32:$CH$32,1,CJ418)*(1+INDEX('Lease Cycles'!$CI$32:$CO$32,1,CJ418))^INT(INT(CJ419/12)/INDEX('Lease Cycles'!$CP$32:$CV$32,1,CJ418))/12),IF(INDEX('Lease Cycles'!$EF$32:$EL$32,1,CJ418)=1,IF(AND('Lease Cycles'!$AZ$32&gt;=INDEX('Lease Cycles'!$BG$32:$BM$32,1,CJ418),'Lease Cycles'!$AZ$32&lt;=CJ$6),'Lease Cycles'!$C$32*'Lease Cycles'!$BA$32/12,IF(AND('Lease Cycles'!$AX$32&gt;=INDEX('Lease Cycles'!$BG$32:$BM$32,1,CJ418),'Lease Cycles'!$AX$32&lt;=CJ$6),'Lease Cycles'!$C$32*'Lease Cycles'!$AY$32/12,IF(AND('Lease Cycles'!$AV$32&gt;=INDEX('Lease Cycles'!$BG$32:$BM$32,1,CJ418),'Lease Cycles'!$AV$32&lt;=CJ$6),'Lease Cycles'!$C$32*'Lease Cycles'!$AW$32/12,IF(AND('Lease Cycles'!$AT$32&gt;=INDEX('Lease Cycles'!$BG$32:$BM$32,1,CJ418),'Lease Cycles'!$AT$32&lt;=CJ$6),'Lease Cycles'!$C$32*'Lease Cycles'!$AU$32/12,'Lease Cycles'!$C$32*INDEX('Lease Cycles'!$CB$32:$CH$32,1,CJ418)*(1+INDEX('Lease Cycles'!$CI$32:$CO$32,1,CJ418))^INT(INT(CJ419/12)/INDEX('Lease Cycles'!$CP$32:$CV$32,1,CJ418))/12)))),'Lease Cycles'!$C$32*INDEX('Lease Cycles'!$CB$32:$CH$32,1,CJ418)*(1+INDEX('Lease Cycles'!$CI$32:$CO$32,1,CJ418))^INT(INT(CJ419/12)/INDEX('Lease Cycles'!$CP$32:$CV$32,1,CJ418))/12))),IF('Lease Cycles'!$N$32=1,'Lease Cycles'!$C$32*'Lease Cycles'!$E$32*INDEX('Lease Cycles'!$HE$32:$HK$32,1,CJ418)*(1+INDEX('Lease Cycles'!$GQ$32:$GW$32,1,CJ418))^INT(INT((CJ$6-INDEX('Lease Cycles'!$GJ$32:$GP$32,1,CJ418))/12)/INDEX('Lease Cycles'!$GX$32:$HD$32,1,CJ418))/12,0)))</f>
        <v>0</v>
      </c>
      <c r="CK421" s="28">
        <f>IF(CK418=0,IF('Lease Cycles'!$F$32&gt;0,'Lease Cycles'!$C$32*'Lease Cycles'!$E$32/12,0),IF(CK420=1,IF('Lease Cycles'!$AT$32&gt;=9999,'Lease Cycles'!$C$32*INDEX('Lease Cycles'!$CB$32:$CH$32,1,CK418)*(1+INDEX('Lease Cycles'!$CI$32:$CO$32,1,CK418))^INT(INT(CK419/12)/INDEX('Lease Cycles'!$CP$32:$CV$32,1,CK418))/12,IF(CK418=1,IF(CK419&gt;=INDEX('Lease Cycles'!$DK$32:$DQ$32,1,CK418),IF(CK$6&gt;='Lease Cycles'!$AZ$32,'Lease Cycles'!$C$32*'Lease Cycles'!$BA$32/12,IF(CK$6&gt;='Lease Cycles'!$AX$32,'Lease Cycles'!$C$32*'Lease Cycles'!$AY$32/12,IF(CK$6&gt;='Lease Cycles'!$AV$32,'Lease Cycles'!$C$32*'Lease Cycles'!$AW$32/12,IF(CK$6&gt;='Lease Cycles'!$AT$32,'Lease Cycles'!$C$32*'Lease Cycles'!$AU$32/12,'Lease Cycles'!$C$32*INDEX('Lease Cycles'!$CB$32:$CH$32,1,CK418)*(1+INDEX('Lease Cycles'!$CI$32:$CO$32,1,CK418))^INT(INT(CK419/12)/INDEX('Lease Cycles'!$CP$32:$CV$32,1,CK418))/12)))),'Lease Cycles'!$C$32*INDEX('Lease Cycles'!$CB$32:$CH$32,1,CK418)*(1+INDEX('Lease Cycles'!$CI$32:$CO$32,1,CK418))^INT(INT(CK419/12)/INDEX('Lease Cycles'!$CP$32:$CV$32,1,CK418))/12),IF(INDEX('Lease Cycles'!$EF$32:$EL$32,1,CK418)=1,IF(AND('Lease Cycles'!$AZ$32&gt;=INDEX('Lease Cycles'!$BG$32:$BM$32,1,CK418),'Lease Cycles'!$AZ$32&lt;=CK$6),'Lease Cycles'!$C$32*'Lease Cycles'!$BA$32/12,IF(AND('Lease Cycles'!$AX$32&gt;=INDEX('Lease Cycles'!$BG$32:$BM$32,1,CK418),'Lease Cycles'!$AX$32&lt;=CK$6),'Lease Cycles'!$C$32*'Lease Cycles'!$AY$32/12,IF(AND('Lease Cycles'!$AV$32&gt;=INDEX('Lease Cycles'!$BG$32:$BM$32,1,CK418),'Lease Cycles'!$AV$32&lt;=CK$6),'Lease Cycles'!$C$32*'Lease Cycles'!$AW$32/12,IF(AND('Lease Cycles'!$AT$32&gt;=INDEX('Lease Cycles'!$BG$32:$BM$32,1,CK418),'Lease Cycles'!$AT$32&lt;=CK$6),'Lease Cycles'!$C$32*'Lease Cycles'!$AU$32/12,'Lease Cycles'!$C$32*INDEX('Lease Cycles'!$CB$32:$CH$32,1,CK418)*(1+INDEX('Lease Cycles'!$CI$32:$CO$32,1,CK418))^INT(INT(CK419/12)/INDEX('Lease Cycles'!$CP$32:$CV$32,1,CK418))/12)))),'Lease Cycles'!$C$32*INDEX('Lease Cycles'!$CB$32:$CH$32,1,CK418)*(1+INDEX('Lease Cycles'!$CI$32:$CO$32,1,CK418))^INT(INT(CK419/12)/INDEX('Lease Cycles'!$CP$32:$CV$32,1,CK418))/12))),IF('Lease Cycles'!$N$32=1,'Lease Cycles'!$C$32*'Lease Cycles'!$E$32*INDEX('Lease Cycles'!$HE$32:$HK$32,1,CK418)*(1+INDEX('Lease Cycles'!$GQ$32:$GW$32,1,CK418))^INT(INT((CK$6-INDEX('Lease Cycles'!$GJ$32:$GP$32,1,CK418))/12)/INDEX('Lease Cycles'!$GX$32:$HD$32,1,CK418))/12,0)))</f>
        <v>0</v>
      </c>
      <c r="CL421" s="28">
        <f>IF(CL418=0,IF('Lease Cycles'!$F$32&gt;0,'Lease Cycles'!$C$32*'Lease Cycles'!$E$32/12,0),IF(CL420=1,IF('Lease Cycles'!$AT$32&gt;=9999,'Lease Cycles'!$C$32*INDEX('Lease Cycles'!$CB$32:$CH$32,1,CL418)*(1+INDEX('Lease Cycles'!$CI$32:$CO$32,1,CL418))^INT(INT(CL419/12)/INDEX('Lease Cycles'!$CP$32:$CV$32,1,CL418))/12,IF(CL418=1,IF(CL419&gt;=INDEX('Lease Cycles'!$DK$32:$DQ$32,1,CL418),IF(CL$6&gt;='Lease Cycles'!$AZ$32,'Lease Cycles'!$C$32*'Lease Cycles'!$BA$32/12,IF(CL$6&gt;='Lease Cycles'!$AX$32,'Lease Cycles'!$C$32*'Lease Cycles'!$AY$32/12,IF(CL$6&gt;='Lease Cycles'!$AV$32,'Lease Cycles'!$C$32*'Lease Cycles'!$AW$32/12,IF(CL$6&gt;='Lease Cycles'!$AT$32,'Lease Cycles'!$C$32*'Lease Cycles'!$AU$32/12,'Lease Cycles'!$C$32*INDEX('Lease Cycles'!$CB$32:$CH$32,1,CL418)*(1+INDEX('Lease Cycles'!$CI$32:$CO$32,1,CL418))^INT(INT(CL419/12)/INDEX('Lease Cycles'!$CP$32:$CV$32,1,CL418))/12)))),'Lease Cycles'!$C$32*INDEX('Lease Cycles'!$CB$32:$CH$32,1,CL418)*(1+INDEX('Lease Cycles'!$CI$32:$CO$32,1,CL418))^INT(INT(CL419/12)/INDEX('Lease Cycles'!$CP$32:$CV$32,1,CL418))/12),IF(INDEX('Lease Cycles'!$EF$32:$EL$32,1,CL418)=1,IF(AND('Lease Cycles'!$AZ$32&gt;=INDEX('Lease Cycles'!$BG$32:$BM$32,1,CL418),'Lease Cycles'!$AZ$32&lt;=CL$6),'Lease Cycles'!$C$32*'Lease Cycles'!$BA$32/12,IF(AND('Lease Cycles'!$AX$32&gt;=INDEX('Lease Cycles'!$BG$32:$BM$32,1,CL418),'Lease Cycles'!$AX$32&lt;=CL$6),'Lease Cycles'!$C$32*'Lease Cycles'!$AY$32/12,IF(AND('Lease Cycles'!$AV$32&gt;=INDEX('Lease Cycles'!$BG$32:$BM$32,1,CL418),'Lease Cycles'!$AV$32&lt;=CL$6),'Lease Cycles'!$C$32*'Lease Cycles'!$AW$32/12,IF(AND('Lease Cycles'!$AT$32&gt;=INDEX('Lease Cycles'!$BG$32:$BM$32,1,CL418),'Lease Cycles'!$AT$32&lt;=CL$6),'Lease Cycles'!$C$32*'Lease Cycles'!$AU$32/12,'Lease Cycles'!$C$32*INDEX('Lease Cycles'!$CB$32:$CH$32,1,CL418)*(1+INDEX('Lease Cycles'!$CI$32:$CO$32,1,CL418))^INT(INT(CL419/12)/INDEX('Lease Cycles'!$CP$32:$CV$32,1,CL418))/12)))),'Lease Cycles'!$C$32*INDEX('Lease Cycles'!$CB$32:$CH$32,1,CL418)*(1+INDEX('Lease Cycles'!$CI$32:$CO$32,1,CL418))^INT(INT(CL419/12)/INDEX('Lease Cycles'!$CP$32:$CV$32,1,CL418))/12))),IF('Lease Cycles'!$N$32=1,'Lease Cycles'!$C$32*'Lease Cycles'!$E$32*INDEX('Lease Cycles'!$HE$32:$HK$32,1,CL418)*(1+INDEX('Lease Cycles'!$GQ$32:$GW$32,1,CL418))^INT(INT((CL$6-INDEX('Lease Cycles'!$GJ$32:$GP$32,1,CL418))/12)/INDEX('Lease Cycles'!$GX$32:$HD$32,1,CL418))/12,0)))</f>
        <v>0</v>
      </c>
      <c r="CM421" s="28">
        <f>IF(CM418=0,IF('Lease Cycles'!$F$32&gt;0,'Lease Cycles'!$C$32*'Lease Cycles'!$E$32/12,0),IF(CM420=1,IF('Lease Cycles'!$AT$32&gt;=9999,'Lease Cycles'!$C$32*INDEX('Lease Cycles'!$CB$32:$CH$32,1,CM418)*(1+INDEX('Lease Cycles'!$CI$32:$CO$32,1,CM418))^INT(INT(CM419/12)/INDEX('Lease Cycles'!$CP$32:$CV$32,1,CM418))/12,IF(CM418=1,IF(CM419&gt;=INDEX('Lease Cycles'!$DK$32:$DQ$32,1,CM418),IF(CM$6&gt;='Lease Cycles'!$AZ$32,'Lease Cycles'!$C$32*'Lease Cycles'!$BA$32/12,IF(CM$6&gt;='Lease Cycles'!$AX$32,'Lease Cycles'!$C$32*'Lease Cycles'!$AY$32/12,IF(CM$6&gt;='Lease Cycles'!$AV$32,'Lease Cycles'!$C$32*'Lease Cycles'!$AW$32/12,IF(CM$6&gt;='Lease Cycles'!$AT$32,'Lease Cycles'!$C$32*'Lease Cycles'!$AU$32/12,'Lease Cycles'!$C$32*INDEX('Lease Cycles'!$CB$32:$CH$32,1,CM418)*(1+INDEX('Lease Cycles'!$CI$32:$CO$32,1,CM418))^INT(INT(CM419/12)/INDEX('Lease Cycles'!$CP$32:$CV$32,1,CM418))/12)))),'Lease Cycles'!$C$32*INDEX('Lease Cycles'!$CB$32:$CH$32,1,CM418)*(1+INDEX('Lease Cycles'!$CI$32:$CO$32,1,CM418))^INT(INT(CM419/12)/INDEX('Lease Cycles'!$CP$32:$CV$32,1,CM418))/12),IF(INDEX('Lease Cycles'!$EF$32:$EL$32,1,CM418)=1,IF(AND('Lease Cycles'!$AZ$32&gt;=INDEX('Lease Cycles'!$BG$32:$BM$32,1,CM418),'Lease Cycles'!$AZ$32&lt;=CM$6),'Lease Cycles'!$C$32*'Lease Cycles'!$BA$32/12,IF(AND('Lease Cycles'!$AX$32&gt;=INDEX('Lease Cycles'!$BG$32:$BM$32,1,CM418),'Lease Cycles'!$AX$32&lt;=CM$6),'Lease Cycles'!$C$32*'Lease Cycles'!$AY$32/12,IF(AND('Lease Cycles'!$AV$32&gt;=INDEX('Lease Cycles'!$BG$32:$BM$32,1,CM418),'Lease Cycles'!$AV$32&lt;=CM$6),'Lease Cycles'!$C$32*'Lease Cycles'!$AW$32/12,IF(AND('Lease Cycles'!$AT$32&gt;=INDEX('Lease Cycles'!$BG$32:$BM$32,1,CM418),'Lease Cycles'!$AT$32&lt;=CM$6),'Lease Cycles'!$C$32*'Lease Cycles'!$AU$32/12,'Lease Cycles'!$C$32*INDEX('Lease Cycles'!$CB$32:$CH$32,1,CM418)*(1+INDEX('Lease Cycles'!$CI$32:$CO$32,1,CM418))^INT(INT(CM419/12)/INDEX('Lease Cycles'!$CP$32:$CV$32,1,CM418))/12)))),'Lease Cycles'!$C$32*INDEX('Lease Cycles'!$CB$32:$CH$32,1,CM418)*(1+INDEX('Lease Cycles'!$CI$32:$CO$32,1,CM418))^INT(INT(CM419/12)/INDEX('Lease Cycles'!$CP$32:$CV$32,1,CM418))/12))),IF('Lease Cycles'!$N$32=1,'Lease Cycles'!$C$32*'Lease Cycles'!$E$32*INDEX('Lease Cycles'!$HE$32:$HK$32,1,CM418)*(1+INDEX('Lease Cycles'!$GQ$32:$GW$32,1,CM418))^INT(INT((CM$6-INDEX('Lease Cycles'!$GJ$32:$GP$32,1,CM418))/12)/INDEX('Lease Cycles'!$GX$32:$HD$32,1,CM418))/12,0)))</f>
        <v>0</v>
      </c>
      <c r="CN421" s="28">
        <f>IF(CN418=0,IF('Lease Cycles'!$F$32&gt;0,'Lease Cycles'!$C$32*'Lease Cycles'!$E$32/12,0),IF(CN420=1,IF('Lease Cycles'!$AT$32&gt;=9999,'Lease Cycles'!$C$32*INDEX('Lease Cycles'!$CB$32:$CH$32,1,CN418)*(1+INDEX('Lease Cycles'!$CI$32:$CO$32,1,CN418))^INT(INT(CN419/12)/INDEX('Lease Cycles'!$CP$32:$CV$32,1,CN418))/12,IF(CN418=1,IF(CN419&gt;=INDEX('Lease Cycles'!$DK$32:$DQ$32,1,CN418),IF(CN$6&gt;='Lease Cycles'!$AZ$32,'Lease Cycles'!$C$32*'Lease Cycles'!$BA$32/12,IF(CN$6&gt;='Lease Cycles'!$AX$32,'Lease Cycles'!$C$32*'Lease Cycles'!$AY$32/12,IF(CN$6&gt;='Lease Cycles'!$AV$32,'Lease Cycles'!$C$32*'Lease Cycles'!$AW$32/12,IF(CN$6&gt;='Lease Cycles'!$AT$32,'Lease Cycles'!$C$32*'Lease Cycles'!$AU$32/12,'Lease Cycles'!$C$32*INDEX('Lease Cycles'!$CB$32:$CH$32,1,CN418)*(1+INDEX('Lease Cycles'!$CI$32:$CO$32,1,CN418))^INT(INT(CN419/12)/INDEX('Lease Cycles'!$CP$32:$CV$32,1,CN418))/12)))),'Lease Cycles'!$C$32*INDEX('Lease Cycles'!$CB$32:$CH$32,1,CN418)*(1+INDEX('Lease Cycles'!$CI$32:$CO$32,1,CN418))^INT(INT(CN419/12)/INDEX('Lease Cycles'!$CP$32:$CV$32,1,CN418))/12),IF(INDEX('Lease Cycles'!$EF$32:$EL$32,1,CN418)=1,IF(AND('Lease Cycles'!$AZ$32&gt;=INDEX('Lease Cycles'!$BG$32:$BM$32,1,CN418),'Lease Cycles'!$AZ$32&lt;=CN$6),'Lease Cycles'!$C$32*'Lease Cycles'!$BA$32/12,IF(AND('Lease Cycles'!$AX$32&gt;=INDEX('Lease Cycles'!$BG$32:$BM$32,1,CN418),'Lease Cycles'!$AX$32&lt;=CN$6),'Lease Cycles'!$C$32*'Lease Cycles'!$AY$32/12,IF(AND('Lease Cycles'!$AV$32&gt;=INDEX('Lease Cycles'!$BG$32:$BM$32,1,CN418),'Lease Cycles'!$AV$32&lt;=CN$6),'Lease Cycles'!$C$32*'Lease Cycles'!$AW$32/12,IF(AND('Lease Cycles'!$AT$32&gt;=INDEX('Lease Cycles'!$BG$32:$BM$32,1,CN418),'Lease Cycles'!$AT$32&lt;=CN$6),'Lease Cycles'!$C$32*'Lease Cycles'!$AU$32/12,'Lease Cycles'!$C$32*INDEX('Lease Cycles'!$CB$32:$CH$32,1,CN418)*(1+INDEX('Lease Cycles'!$CI$32:$CO$32,1,CN418))^INT(INT(CN419/12)/INDEX('Lease Cycles'!$CP$32:$CV$32,1,CN418))/12)))),'Lease Cycles'!$C$32*INDEX('Lease Cycles'!$CB$32:$CH$32,1,CN418)*(1+INDEX('Lease Cycles'!$CI$32:$CO$32,1,CN418))^INT(INT(CN419/12)/INDEX('Lease Cycles'!$CP$32:$CV$32,1,CN418))/12))),IF('Lease Cycles'!$N$32=1,'Lease Cycles'!$C$32*'Lease Cycles'!$E$32*INDEX('Lease Cycles'!$HE$32:$HK$32,1,CN418)*(1+INDEX('Lease Cycles'!$GQ$32:$GW$32,1,CN418))^INT(INT((CN$6-INDEX('Lease Cycles'!$GJ$32:$GP$32,1,CN418))/12)/INDEX('Lease Cycles'!$GX$32:$HD$32,1,CN418))/12,0)))</f>
        <v>0</v>
      </c>
      <c r="CO421" s="28">
        <f>IF(CO418=0,IF('Lease Cycles'!$F$32&gt;0,'Lease Cycles'!$C$32*'Lease Cycles'!$E$32/12,0),IF(CO420=1,IF('Lease Cycles'!$AT$32&gt;=9999,'Lease Cycles'!$C$32*INDEX('Lease Cycles'!$CB$32:$CH$32,1,CO418)*(1+INDEX('Lease Cycles'!$CI$32:$CO$32,1,CO418))^INT(INT(CO419/12)/INDEX('Lease Cycles'!$CP$32:$CV$32,1,CO418))/12,IF(CO418=1,IF(CO419&gt;=INDEX('Lease Cycles'!$DK$32:$DQ$32,1,CO418),IF(CO$6&gt;='Lease Cycles'!$AZ$32,'Lease Cycles'!$C$32*'Lease Cycles'!$BA$32/12,IF(CO$6&gt;='Lease Cycles'!$AX$32,'Lease Cycles'!$C$32*'Lease Cycles'!$AY$32/12,IF(CO$6&gt;='Lease Cycles'!$AV$32,'Lease Cycles'!$C$32*'Lease Cycles'!$AW$32/12,IF(CO$6&gt;='Lease Cycles'!$AT$32,'Lease Cycles'!$C$32*'Lease Cycles'!$AU$32/12,'Lease Cycles'!$C$32*INDEX('Lease Cycles'!$CB$32:$CH$32,1,CO418)*(1+INDEX('Lease Cycles'!$CI$32:$CO$32,1,CO418))^INT(INT(CO419/12)/INDEX('Lease Cycles'!$CP$32:$CV$32,1,CO418))/12)))),'Lease Cycles'!$C$32*INDEX('Lease Cycles'!$CB$32:$CH$32,1,CO418)*(1+INDEX('Lease Cycles'!$CI$32:$CO$32,1,CO418))^INT(INT(CO419/12)/INDEX('Lease Cycles'!$CP$32:$CV$32,1,CO418))/12),IF(INDEX('Lease Cycles'!$EF$32:$EL$32,1,CO418)=1,IF(AND('Lease Cycles'!$AZ$32&gt;=INDEX('Lease Cycles'!$BG$32:$BM$32,1,CO418),'Lease Cycles'!$AZ$32&lt;=CO$6),'Lease Cycles'!$C$32*'Lease Cycles'!$BA$32/12,IF(AND('Lease Cycles'!$AX$32&gt;=INDEX('Lease Cycles'!$BG$32:$BM$32,1,CO418),'Lease Cycles'!$AX$32&lt;=CO$6),'Lease Cycles'!$C$32*'Lease Cycles'!$AY$32/12,IF(AND('Lease Cycles'!$AV$32&gt;=INDEX('Lease Cycles'!$BG$32:$BM$32,1,CO418),'Lease Cycles'!$AV$32&lt;=CO$6),'Lease Cycles'!$C$32*'Lease Cycles'!$AW$32/12,IF(AND('Lease Cycles'!$AT$32&gt;=INDEX('Lease Cycles'!$BG$32:$BM$32,1,CO418),'Lease Cycles'!$AT$32&lt;=CO$6),'Lease Cycles'!$C$32*'Lease Cycles'!$AU$32/12,'Lease Cycles'!$C$32*INDEX('Lease Cycles'!$CB$32:$CH$32,1,CO418)*(1+INDEX('Lease Cycles'!$CI$32:$CO$32,1,CO418))^INT(INT(CO419/12)/INDEX('Lease Cycles'!$CP$32:$CV$32,1,CO418))/12)))),'Lease Cycles'!$C$32*INDEX('Lease Cycles'!$CB$32:$CH$32,1,CO418)*(1+INDEX('Lease Cycles'!$CI$32:$CO$32,1,CO418))^INT(INT(CO419/12)/INDEX('Lease Cycles'!$CP$32:$CV$32,1,CO418))/12))),IF('Lease Cycles'!$N$32=1,'Lease Cycles'!$C$32*'Lease Cycles'!$E$32*INDEX('Lease Cycles'!$HE$32:$HK$32,1,CO418)*(1+INDEX('Lease Cycles'!$GQ$32:$GW$32,1,CO418))^INT(INT((CO$6-INDEX('Lease Cycles'!$GJ$32:$GP$32,1,CO418))/12)/INDEX('Lease Cycles'!$GX$32:$HD$32,1,CO418))/12,0)))</f>
        <v>0</v>
      </c>
      <c r="CP421" s="28">
        <f>IF(CP418=0,IF('Lease Cycles'!$F$32&gt;0,'Lease Cycles'!$C$32*'Lease Cycles'!$E$32/12,0),IF(CP420=1,IF('Lease Cycles'!$AT$32&gt;=9999,'Lease Cycles'!$C$32*INDEX('Lease Cycles'!$CB$32:$CH$32,1,CP418)*(1+INDEX('Lease Cycles'!$CI$32:$CO$32,1,CP418))^INT(INT(CP419/12)/INDEX('Lease Cycles'!$CP$32:$CV$32,1,CP418))/12,IF(CP418=1,IF(CP419&gt;=INDEX('Lease Cycles'!$DK$32:$DQ$32,1,CP418),IF(CP$6&gt;='Lease Cycles'!$AZ$32,'Lease Cycles'!$C$32*'Lease Cycles'!$BA$32/12,IF(CP$6&gt;='Lease Cycles'!$AX$32,'Lease Cycles'!$C$32*'Lease Cycles'!$AY$32/12,IF(CP$6&gt;='Lease Cycles'!$AV$32,'Lease Cycles'!$C$32*'Lease Cycles'!$AW$32/12,IF(CP$6&gt;='Lease Cycles'!$AT$32,'Lease Cycles'!$C$32*'Lease Cycles'!$AU$32/12,'Lease Cycles'!$C$32*INDEX('Lease Cycles'!$CB$32:$CH$32,1,CP418)*(1+INDEX('Lease Cycles'!$CI$32:$CO$32,1,CP418))^INT(INT(CP419/12)/INDEX('Lease Cycles'!$CP$32:$CV$32,1,CP418))/12)))),'Lease Cycles'!$C$32*INDEX('Lease Cycles'!$CB$32:$CH$32,1,CP418)*(1+INDEX('Lease Cycles'!$CI$32:$CO$32,1,CP418))^INT(INT(CP419/12)/INDEX('Lease Cycles'!$CP$32:$CV$32,1,CP418))/12),IF(INDEX('Lease Cycles'!$EF$32:$EL$32,1,CP418)=1,IF(AND('Lease Cycles'!$AZ$32&gt;=INDEX('Lease Cycles'!$BG$32:$BM$32,1,CP418),'Lease Cycles'!$AZ$32&lt;=CP$6),'Lease Cycles'!$C$32*'Lease Cycles'!$BA$32/12,IF(AND('Lease Cycles'!$AX$32&gt;=INDEX('Lease Cycles'!$BG$32:$BM$32,1,CP418),'Lease Cycles'!$AX$32&lt;=CP$6),'Lease Cycles'!$C$32*'Lease Cycles'!$AY$32/12,IF(AND('Lease Cycles'!$AV$32&gt;=INDEX('Lease Cycles'!$BG$32:$BM$32,1,CP418),'Lease Cycles'!$AV$32&lt;=CP$6),'Lease Cycles'!$C$32*'Lease Cycles'!$AW$32/12,IF(AND('Lease Cycles'!$AT$32&gt;=INDEX('Lease Cycles'!$BG$32:$BM$32,1,CP418),'Lease Cycles'!$AT$32&lt;=CP$6),'Lease Cycles'!$C$32*'Lease Cycles'!$AU$32/12,'Lease Cycles'!$C$32*INDEX('Lease Cycles'!$CB$32:$CH$32,1,CP418)*(1+INDEX('Lease Cycles'!$CI$32:$CO$32,1,CP418))^INT(INT(CP419/12)/INDEX('Lease Cycles'!$CP$32:$CV$32,1,CP418))/12)))),'Lease Cycles'!$C$32*INDEX('Lease Cycles'!$CB$32:$CH$32,1,CP418)*(1+INDEX('Lease Cycles'!$CI$32:$CO$32,1,CP418))^INT(INT(CP419/12)/INDEX('Lease Cycles'!$CP$32:$CV$32,1,CP418))/12))),IF('Lease Cycles'!$N$32=1,'Lease Cycles'!$C$32*'Lease Cycles'!$E$32*INDEX('Lease Cycles'!$HE$32:$HK$32,1,CP418)*(1+INDEX('Lease Cycles'!$GQ$32:$GW$32,1,CP418))^INT(INT((CP$6-INDEX('Lease Cycles'!$GJ$32:$GP$32,1,CP418))/12)/INDEX('Lease Cycles'!$GX$32:$HD$32,1,CP418))/12,0)))</f>
        <v>0</v>
      </c>
      <c r="CQ421" s="28">
        <f>IF(CQ418=0,IF('Lease Cycles'!$F$32&gt;0,'Lease Cycles'!$C$32*'Lease Cycles'!$E$32/12,0),IF(CQ420=1,IF('Lease Cycles'!$AT$32&gt;=9999,'Lease Cycles'!$C$32*INDEX('Lease Cycles'!$CB$32:$CH$32,1,CQ418)*(1+INDEX('Lease Cycles'!$CI$32:$CO$32,1,CQ418))^INT(INT(CQ419/12)/INDEX('Lease Cycles'!$CP$32:$CV$32,1,CQ418))/12,IF(CQ418=1,IF(CQ419&gt;=INDEX('Lease Cycles'!$DK$32:$DQ$32,1,CQ418),IF(CQ$6&gt;='Lease Cycles'!$AZ$32,'Lease Cycles'!$C$32*'Lease Cycles'!$BA$32/12,IF(CQ$6&gt;='Lease Cycles'!$AX$32,'Lease Cycles'!$C$32*'Lease Cycles'!$AY$32/12,IF(CQ$6&gt;='Lease Cycles'!$AV$32,'Lease Cycles'!$C$32*'Lease Cycles'!$AW$32/12,IF(CQ$6&gt;='Lease Cycles'!$AT$32,'Lease Cycles'!$C$32*'Lease Cycles'!$AU$32/12,'Lease Cycles'!$C$32*INDEX('Lease Cycles'!$CB$32:$CH$32,1,CQ418)*(1+INDEX('Lease Cycles'!$CI$32:$CO$32,1,CQ418))^INT(INT(CQ419/12)/INDEX('Lease Cycles'!$CP$32:$CV$32,1,CQ418))/12)))),'Lease Cycles'!$C$32*INDEX('Lease Cycles'!$CB$32:$CH$32,1,CQ418)*(1+INDEX('Lease Cycles'!$CI$32:$CO$32,1,CQ418))^INT(INT(CQ419/12)/INDEX('Lease Cycles'!$CP$32:$CV$32,1,CQ418))/12),IF(INDEX('Lease Cycles'!$EF$32:$EL$32,1,CQ418)=1,IF(AND('Lease Cycles'!$AZ$32&gt;=INDEX('Lease Cycles'!$BG$32:$BM$32,1,CQ418),'Lease Cycles'!$AZ$32&lt;=CQ$6),'Lease Cycles'!$C$32*'Lease Cycles'!$BA$32/12,IF(AND('Lease Cycles'!$AX$32&gt;=INDEX('Lease Cycles'!$BG$32:$BM$32,1,CQ418),'Lease Cycles'!$AX$32&lt;=CQ$6),'Lease Cycles'!$C$32*'Lease Cycles'!$AY$32/12,IF(AND('Lease Cycles'!$AV$32&gt;=INDEX('Lease Cycles'!$BG$32:$BM$32,1,CQ418),'Lease Cycles'!$AV$32&lt;=CQ$6),'Lease Cycles'!$C$32*'Lease Cycles'!$AW$32/12,IF(AND('Lease Cycles'!$AT$32&gt;=INDEX('Lease Cycles'!$BG$32:$BM$32,1,CQ418),'Lease Cycles'!$AT$32&lt;=CQ$6),'Lease Cycles'!$C$32*'Lease Cycles'!$AU$32/12,'Lease Cycles'!$C$32*INDEX('Lease Cycles'!$CB$32:$CH$32,1,CQ418)*(1+INDEX('Lease Cycles'!$CI$32:$CO$32,1,CQ418))^INT(INT(CQ419/12)/INDEX('Lease Cycles'!$CP$32:$CV$32,1,CQ418))/12)))),'Lease Cycles'!$C$32*INDEX('Lease Cycles'!$CB$32:$CH$32,1,CQ418)*(1+INDEX('Lease Cycles'!$CI$32:$CO$32,1,CQ418))^INT(INT(CQ419/12)/INDEX('Lease Cycles'!$CP$32:$CV$32,1,CQ418))/12))),IF('Lease Cycles'!$N$32=1,'Lease Cycles'!$C$32*'Lease Cycles'!$E$32*INDEX('Lease Cycles'!$HE$32:$HK$32,1,CQ418)*(1+INDEX('Lease Cycles'!$GQ$32:$GW$32,1,CQ418))^INT(INT((CQ$6-INDEX('Lease Cycles'!$GJ$32:$GP$32,1,CQ418))/12)/INDEX('Lease Cycles'!$GX$32:$HD$32,1,CQ418))/12,0)))</f>
        <v>0</v>
      </c>
      <c r="CR421" s="28">
        <f>IF(CR418=0,IF('Lease Cycles'!$F$32&gt;0,'Lease Cycles'!$C$32*'Lease Cycles'!$E$32/12,0),IF(CR420=1,IF('Lease Cycles'!$AT$32&gt;=9999,'Lease Cycles'!$C$32*INDEX('Lease Cycles'!$CB$32:$CH$32,1,CR418)*(1+INDEX('Lease Cycles'!$CI$32:$CO$32,1,CR418))^INT(INT(CR419/12)/INDEX('Lease Cycles'!$CP$32:$CV$32,1,CR418))/12,IF(CR418=1,IF(CR419&gt;=INDEX('Lease Cycles'!$DK$32:$DQ$32,1,CR418),IF(CR$6&gt;='Lease Cycles'!$AZ$32,'Lease Cycles'!$C$32*'Lease Cycles'!$BA$32/12,IF(CR$6&gt;='Lease Cycles'!$AX$32,'Lease Cycles'!$C$32*'Lease Cycles'!$AY$32/12,IF(CR$6&gt;='Lease Cycles'!$AV$32,'Lease Cycles'!$C$32*'Lease Cycles'!$AW$32/12,IF(CR$6&gt;='Lease Cycles'!$AT$32,'Lease Cycles'!$C$32*'Lease Cycles'!$AU$32/12,'Lease Cycles'!$C$32*INDEX('Lease Cycles'!$CB$32:$CH$32,1,CR418)*(1+INDEX('Lease Cycles'!$CI$32:$CO$32,1,CR418))^INT(INT(CR419/12)/INDEX('Lease Cycles'!$CP$32:$CV$32,1,CR418))/12)))),'Lease Cycles'!$C$32*INDEX('Lease Cycles'!$CB$32:$CH$32,1,CR418)*(1+INDEX('Lease Cycles'!$CI$32:$CO$32,1,CR418))^INT(INT(CR419/12)/INDEX('Lease Cycles'!$CP$32:$CV$32,1,CR418))/12),IF(INDEX('Lease Cycles'!$EF$32:$EL$32,1,CR418)=1,IF(AND('Lease Cycles'!$AZ$32&gt;=INDEX('Lease Cycles'!$BG$32:$BM$32,1,CR418),'Lease Cycles'!$AZ$32&lt;=CR$6),'Lease Cycles'!$C$32*'Lease Cycles'!$BA$32/12,IF(AND('Lease Cycles'!$AX$32&gt;=INDEX('Lease Cycles'!$BG$32:$BM$32,1,CR418),'Lease Cycles'!$AX$32&lt;=CR$6),'Lease Cycles'!$C$32*'Lease Cycles'!$AY$32/12,IF(AND('Lease Cycles'!$AV$32&gt;=INDEX('Lease Cycles'!$BG$32:$BM$32,1,CR418),'Lease Cycles'!$AV$32&lt;=CR$6),'Lease Cycles'!$C$32*'Lease Cycles'!$AW$32/12,IF(AND('Lease Cycles'!$AT$32&gt;=INDEX('Lease Cycles'!$BG$32:$BM$32,1,CR418),'Lease Cycles'!$AT$32&lt;=CR$6),'Lease Cycles'!$C$32*'Lease Cycles'!$AU$32/12,'Lease Cycles'!$C$32*INDEX('Lease Cycles'!$CB$32:$CH$32,1,CR418)*(1+INDEX('Lease Cycles'!$CI$32:$CO$32,1,CR418))^INT(INT(CR419/12)/INDEX('Lease Cycles'!$CP$32:$CV$32,1,CR418))/12)))),'Lease Cycles'!$C$32*INDEX('Lease Cycles'!$CB$32:$CH$32,1,CR418)*(1+INDEX('Lease Cycles'!$CI$32:$CO$32,1,CR418))^INT(INT(CR419/12)/INDEX('Lease Cycles'!$CP$32:$CV$32,1,CR418))/12))),IF('Lease Cycles'!$N$32=1,'Lease Cycles'!$C$32*'Lease Cycles'!$E$32*INDEX('Lease Cycles'!$HE$32:$HK$32,1,CR418)*(1+INDEX('Lease Cycles'!$GQ$32:$GW$32,1,CR418))^INT(INT((CR$6-INDEX('Lease Cycles'!$GJ$32:$GP$32,1,CR418))/12)/INDEX('Lease Cycles'!$GX$32:$HD$32,1,CR418))/12,0)))</f>
        <v>0</v>
      </c>
      <c r="CS421" s="28">
        <f>IF(CS418=0,IF('Lease Cycles'!$F$32&gt;0,'Lease Cycles'!$C$32*'Lease Cycles'!$E$32/12,0),IF(CS420=1,IF('Lease Cycles'!$AT$32&gt;=9999,'Lease Cycles'!$C$32*INDEX('Lease Cycles'!$CB$32:$CH$32,1,CS418)*(1+INDEX('Lease Cycles'!$CI$32:$CO$32,1,CS418))^INT(INT(CS419/12)/INDEX('Lease Cycles'!$CP$32:$CV$32,1,CS418))/12,IF(CS418=1,IF(CS419&gt;=INDEX('Lease Cycles'!$DK$32:$DQ$32,1,CS418),IF(CS$6&gt;='Lease Cycles'!$AZ$32,'Lease Cycles'!$C$32*'Lease Cycles'!$BA$32/12,IF(CS$6&gt;='Lease Cycles'!$AX$32,'Lease Cycles'!$C$32*'Lease Cycles'!$AY$32/12,IF(CS$6&gt;='Lease Cycles'!$AV$32,'Lease Cycles'!$C$32*'Lease Cycles'!$AW$32/12,IF(CS$6&gt;='Lease Cycles'!$AT$32,'Lease Cycles'!$C$32*'Lease Cycles'!$AU$32/12,'Lease Cycles'!$C$32*INDEX('Lease Cycles'!$CB$32:$CH$32,1,CS418)*(1+INDEX('Lease Cycles'!$CI$32:$CO$32,1,CS418))^INT(INT(CS419/12)/INDEX('Lease Cycles'!$CP$32:$CV$32,1,CS418))/12)))),'Lease Cycles'!$C$32*INDEX('Lease Cycles'!$CB$32:$CH$32,1,CS418)*(1+INDEX('Lease Cycles'!$CI$32:$CO$32,1,CS418))^INT(INT(CS419/12)/INDEX('Lease Cycles'!$CP$32:$CV$32,1,CS418))/12),IF(INDEX('Lease Cycles'!$EF$32:$EL$32,1,CS418)=1,IF(AND('Lease Cycles'!$AZ$32&gt;=INDEX('Lease Cycles'!$BG$32:$BM$32,1,CS418),'Lease Cycles'!$AZ$32&lt;=CS$6),'Lease Cycles'!$C$32*'Lease Cycles'!$BA$32/12,IF(AND('Lease Cycles'!$AX$32&gt;=INDEX('Lease Cycles'!$BG$32:$BM$32,1,CS418),'Lease Cycles'!$AX$32&lt;=CS$6),'Lease Cycles'!$C$32*'Lease Cycles'!$AY$32/12,IF(AND('Lease Cycles'!$AV$32&gt;=INDEX('Lease Cycles'!$BG$32:$BM$32,1,CS418),'Lease Cycles'!$AV$32&lt;=CS$6),'Lease Cycles'!$C$32*'Lease Cycles'!$AW$32/12,IF(AND('Lease Cycles'!$AT$32&gt;=INDEX('Lease Cycles'!$BG$32:$BM$32,1,CS418),'Lease Cycles'!$AT$32&lt;=CS$6),'Lease Cycles'!$C$32*'Lease Cycles'!$AU$32/12,'Lease Cycles'!$C$32*INDEX('Lease Cycles'!$CB$32:$CH$32,1,CS418)*(1+INDEX('Lease Cycles'!$CI$32:$CO$32,1,CS418))^INT(INT(CS419/12)/INDEX('Lease Cycles'!$CP$32:$CV$32,1,CS418))/12)))),'Lease Cycles'!$C$32*INDEX('Lease Cycles'!$CB$32:$CH$32,1,CS418)*(1+INDEX('Lease Cycles'!$CI$32:$CO$32,1,CS418))^INT(INT(CS419/12)/INDEX('Lease Cycles'!$CP$32:$CV$32,1,CS418))/12))),IF('Lease Cycles'!$N$32=1,'Lease Cycles'!$C$32*'Lease Cycles'!$E$32*INDEX('Lease Cycles'!$HE$32:$HK$32,1,CS418)*(1+INDEX('Lease Cycles'!$GQ$32:$GW$32,1,CS418))^INT(INT((CS$6-INDEX('Lease Cycles'!$GJ$32:$GP$32,1,CS418))/12)/INDEX('Lease Cycles'!$GX$32:$HD$32,1,CS418))/12,0)))</f>
        <v>0</v>
      </c>
      <c r="CT421" s="28">
        <f>IF(CT418=0,IF('Lease Cycles'!$F$32&gt;0,'Lease Cycles'!$C$32*'Lease Cycles'!$E$32/12,0),IF(CT420=1,IF('Lease Cycles'!$AT$32&gt;=9999,'Lease Cycles'!$C$32*INDEX('Lease Cycles'!$CB$32:$CH$32,1,CT418)*(1+INDEX('Lease Cycles'!$CI$32:$CO$32,1,CT418))^INT(INT(CT419/12)/INDEX('Lease Cycles'!$CP$32:$CV$32,1,CT418))/12,IF(CT418=1,IF(CT419&gt;=INDEX('Lease Cycles'!$DK$32:$DQ$32,1,CT418),IF(CT$6&gt;='Lease Cycles'!$AZ$32,'Lease Cycles'!$C$32*'Lease Cycles'!$BA$32/12,IF(CT$6&gt;='Lease Cycles'!$AX$32,'Lease Cycles'!$C$32*'Lease Cycles'!$AY$32/12,IF(CT$6&gt;='Lease Cycles'!$AV$32,'Lease Cycles'!$C$32*'Lease Cycles'!$AW$32/12,IF(CT$6&gt;='Lease Cycles'!$AT$32,'Lease Cycles'!$C$32*'Lease Cycles'!$AU$32/12,'Lease Cycles'!$C$32*INDEX('Lease Cycles'!$CB$32:$CH$32,1,CT418)*(1+INDEX('Lease Cycles'!$CI$32:$CO$32,1,CT418))^INT(INT(CT419/12)/INDEX('Lease Cycles'!$CP$32:$CV$32,1,CT418))/12)))),'Lease Cycles'!$C$32*INDEX('Lease Cycles'!$CB$32:$CH$32,1,CT418)*(1+INDEX('Lease Cycles'!$CI$32:$CO$32,1,CT418))^INT(INT(CT419/12)/INDEX('Lease Cycles'!$CP$32:$CV$32,1,CT418))/12),IF(INDEX('Lease Cycles'!$EF$32:$EL$32,1,CT418)=1,IF(AND('Lease Cycles'!$AZ$32&gt;=INDEX('Lease Cycles'!$BG$32:$BM$32,1,CT418),'Lease Cycles'!$AZ$32&lt;=CT$6),'Lease Cycles'!$C$32*'Lease Cycles'!$BA$32/12,IF(AND('Lease Cycles'!$AX$32&gt;=INDEX('Lease Cycles'!$BG$32:$BM$32,1,CT418),'Lease Cycles'!$AX$32&lt;=CT$6),'Lease Cycles'!$C$32*'Lease Cycles'!$AY$32/12,IF(AND('Lease Cycles'!$AV$32&gt;=INDEX('Lease Cycles'!$BG$32:$BM$32,1,CT418),'Lease Cycles'!$AV$32&lt;=CT$6),'Lease Cycles'!$C$32*'Lease Cycles'!$AW$32/12,IF(AND('Lease Cycles'!$AT$32&gt;=INDEX('Lease Cycles'!$BG$32:$BM$32,1,CT418),'Lease Cycles'!$AT$32&lt;=CT$6),'Lease Cycles'!$C$32*'Lease Cycles'!$AU$32/12,'Lease Cycles'!$C$32*INDEX('Lease Cycles'!$CB$32:$CH$32,1,CT418)*(1+INDEX('Lease Cycles'!$CI$32:$CO$32,1,CT418))^INT(INT(CT419/12)/INDEX('Lease Cycles'!$CP$32:$CV$32,1,CT418))/12)))),'Lease Cycles'!$C$32*INDEX('Lease Cycles'!$CB$32:$CH$32,1,CT418)*(1+INDEX('Lease Cycles'!$CI$32:$CO$32,1,CT418))^INT(INT(CT419/12)/INDEX('Lease Cycles'!$CP$32:$CV$32,1,CT418))/12))),IF('Lease Cycles'!$N$32=1,'Lease Cycles'!$C$32*'Lease Cycles'!$E$32*INDEX('Lease Cycles'!$HE$32:$HK$32,1,CT418)*(1+INDEX('Lease Cycles'!$GQ$32:$GW$32,1,CT418))^INT(INT((CT$6-INDEX('Lease Cycles'!$GJ$32:$GP$32,1,CT418))/12)/INDEX('Lease Cycles'!$GX$32:$HD$32,1,CT418))/12,0)))</f>
        <v>0</v>
      </c>
      <c r="CU421" s="28">
        <f>IF(CU418=0,IF('Lease Cycles'!$F$32&gt;0,'Lease Cycles'!$C$32*'Lease Cycles'!$E$32/12,0),IF(CU420=1,IF('Lease Cycles'!$AT$32&gt;=9999,'Lease Cycles'!$C$32*INDEX('Lease Cycles'!$CB$32:$CH$32,1,CU418)*(1+INDEX('Lease Cycles'!$CI$32:$CO$32,1,CU418))^INT(INT(CU419/12)/INDEX('Lease Cycles'!$CP$32:$CV$32,1,CU418))/12,IF(CU418=1,IF(CU419&gt;=INDEX('Lease Cycles'!$DK$32:$DQ$32,1,CU418),IF(CU$6&gt;='Lease Cycles'!$AZ$32,'Lease Cycles'!$C$32*'Lease Cycles'!$BA$32/12,IF(CU$6&gt;='Lease Cycles'!$AX$32,'Lease Cycles'!$C$32*'Lease Cycles'!$AY$32/12,IF(CU$6&gt;='Lease Cycles'!$AV$32,'Lease Cycles'!$C$32*'Lease Cycles'!$AW$32/12,IF(CU$6&gt;='Lease Cycles'!$AT$32,'Lease Cycles'!$C$32*'Lease Cycles'!$AU$32/12,'Lease Cycles'!$C$32*INDEX('Lease Cycles'!$CB$32:$CH$32,1,CU418)*(1+INDEX('Lease Cycles'!$CI$32:$CO$32,1,CU418))^INT(INT(CU419/12)/INDEX('Lease Cycles'!$CP$32:$CV$32,1,CU418))/12)))),'Lease Cycles'!$C$32*INDEX('Lease Cycles'!$CB$32:$CH$32,1,CU418)*(1+INDEX('Lease Cycles'!$CI$32:$CO$32,1,CU418))^INT(INT(CU419/12)/INDEX('Lease Cycles'!$CP$32:$CV$32,1,CU418))/12),IF(INDEX('Lease Cycles'!$EF$32:$EL$32,1,CU418)=1,IF(AND('Lease Cycles'!$AZ$32&gt;=INDEX('Lease Cycles'!$BG$32:$BM$32,1,CU418),'Lease Cycles'!$AZ$32&lt;=CU$6),'Lease Cycles'!$C$32*'Lease Cycles'!$BA$32/12,IF(AND('Lease Cycles'!$AX$32&gt;=INDEX('Lease Cycles'!$BG$32:$BM$32,1,CU418),'Lease Cycles'!$AX$32&lt;=CU$6),'Lease Cycles'!$C$32*'Lease Cycles'!$AY$32/12,IF(AND('Lease Cycles'!$AV$32&gt;=INDEX('Lease Cycles'!$BG$32:$BM$32,1,CU418),'Lease Cycles'!$AV$32&lt;=CU$6),'Lease Cycles'!$C$32*'Lease Cycles'!$AW$32/12,IF(AND('Lease Cycles'!$AT$32&gt;=INDEX('Lease Cycles'!$BG$32:$BM$32,1,CU418),'Lease Cycles'!$AT$32&lt;=CU$6),'Lease Cycles'!$C$32*'Lease Cycles'!$AU$32/12,'Lease Cycles'!$C$32*INDEX('Lease Cycles'!$CB$32:$CH$32,1,CU418)*(1+INDEX('Lease Cycles'!$CI$32:$CO$32,1,CU418))^INT(INT(CU419/12)/INDEX('Lease Cycles'!$CP$32:$CV$32,1,CU418))/12)))),'Lease Cycles'!$C$32*INDEX('Lease Cycles'!$CB$32:$CH$32,1,CU418)*(1+INDEX('Lease Cycles'!$CI$32:$CO$32,1,CU418))^INT(INT(CU419/12)/INDEX('Lease Cycles'!$CP$32:$CV$32,1,CU418))/12))),IF('Lease Cycles'!$N$32=1,'Lease Cycles'!$C$32*'Lease Cycles'!$E$32*INDEX('Lease Cycles'!$HE$32:$HK$32,1,CU418)*(1+INDEX('Lease Cycles'!$GQ$32:$GW$32,1,CU418))^INT(INT((CU$6-INDEX('Lease Cycles'!$GJ$32:$GP$32,1,CU418))/12)/INDEX('Lease Cycles'!$GX$32:$HD$32,1,CU418))/12,0)))</f>
        <v>0</v>
      </c>
      <c r="CV421" s="28">
        <f>IF(CV418=0,IF('Lease Cycles'!$F$32&gt;0,'Lease Cycles'!$C$32*'Lease Cycles'!$E$32/12,0),IF(CV420=1,IF('Lease Cycles'!$AT$32&gt;=9999,'Lease Cycles'!$C$32*INDEX('Lease Cycles'!$CB$32:$CH$32,1,CV418)*(1+INDEX('Lease Cycles'!$CI$32:$CO$32,1,CV418))^INT(INT(CV419/12)/INDEX('Lease Cycles'!$CP$32:$CV$32,1,CV418))/12,IF(CV418=1,IF(CV419&gt;=INDEX('Lease Cycles'!$DK$32:$DQ$32,1,CV418),IF(CV$6&gt;='Lease Cycles'!$AZ$32,'Lease Cycles'!$C$32*'Lease Cycles'!$BA$32/12,IF(CV$6&gt;='Lease Cycles'!$AX$32,'Lease Cycles'!$C$32*'Lease Cycles'!$AY$32/12,IF(CV$6&gt;='Lease Cycles'!$AV$32,'Lease Cycles'!$C$32*'Lease Cycles'!$AW$32/12,IF(CV$6&gt;='Lease Cycles'!$AT$32,'Lease Cycles'!$C$32*'Lease Cycles'!$AU$32/12,'Lease Cycles'!$C$32*INDEX('Lease Cycles'!$CB$32:$CH$32,1,CV418)*(1+INDEX('Lease Cycles'!$CI$32:$CO$32,1,CV418))^INT(INT(CV419/12)/INDEX('Lease Cycles'!$CP$32:$CV$32,1,CV418))/12)))),'Lease Cycles'!$C$32*INDEX('Lease Cycles'!$CB$32:$CH$32,1,CV418)*(1+INDEX('Lease Cycles'!$CI$32:$CO$32,1,CV418))^INT(INT(CV419/12)/INDEX('Lease Cycles'!$CP$32:$CV$32,1,CV418))/12),IF(INDEX('Lease Cycles'!$EF$32:$EL$32,1,CV418)=1,IF(AND('Lease Cycles'!$AZ$32&gt;=INDEX('Lease Cycles'!$BG$32:$BM$32,1,CV418),'Lease Cycles'!$AZ$32&lt;=CV$6),'Lease Cycles'!$C$32*'Lease Cycles'!$BA$32/12,IF(AND('Lease Cycles'!$AX$32&gt;=INDEX('Lease Cycles'!$BG$32:$BM$32,1,CV418),'Lease Cycles'!$AX$32&lt;=CV$6),'Lease Cycles'!$C$32*'Lease Cycles'!$AY$32/12,IF(AND('Lease Cycles'!$AV$32&gt;=INDEX('Lease Cycles'!$BG$32:$BM$32,1,CV418),'Lease Cycles'!$AV$32&lt;=CV$6),'Lease Cycles'!$C$32*'Lease Cycles'!$AW$32/12,IF(AND('Lease Cycles'!$AT$32&gt;=INDEX('Lease Cycles'!$BG$32:$BM$32,1,CV418),'Lease Cycles'!$AT$32&lt;=CV$6),'Lease Cycles'!$C$32*'Lease Cycles'!$AU$32/12,'Lease Cycles'!$C$32*INDEX('Lease Cycles'!$CB$32:$CH$32,1,CV418)*(1+INDEX('Lease Cycles'!$CI$32:$CO$32,1,CV418))^INT(INT(CV419/12)/INDEX('Lease Cycles'!$CP$32:$CV$32,1,CV418))/12)))),'Lease Cycles'!$C$32*INDEX('Lease Cycles'!$CB$32:$CH$32,1,CV418)*(1+INDEX('Lease Cycles'!$CI$32:$CO$32,1,CV418))^INT(INT(CV419/12)/INDEX('Lease Cycles'!$CP$32:$CV$32,1,CV418))/12))),IF('Lease Cycles'!$N$32=1,'Lease Cycles'!$C$32*'Lease Cycles'!$E$32*INDEX('Lease Cycles'!$HE$32:$HK$32,1,CV418)*(1+INDEX('Lease Cycles'!$GQ$32:$GW$32,1,CV418))^INT(INT((CV$6-INDEX('Lease Cycles'!$GJ$32:$GP$32,1,CV418))/12)/INDEX('Lease Cycles'!$GX$32:$HD$32,1,CV418))/12,0)))</f>
        <v>0</v>
      </c>
      <c r="CW421" s="28">
        <f>IF(CW418=0,IF('Lease Cycles'!$F$32&gt;0,'Lease Cycles'!$C$32*'Lease Cycles'!$E$32/12,0),IF(CW420=1,IF('Lease Cycles'!$AT$32&gt;=9999,'Lease Cycles'!$C$32*INDEX('Lease Cycles'!$CB$32:$CH$32,1,CW418)*(1+INDEX('Lease Cycles'!$CI$32:$CO$32,1,CW418))^INT(INT(CW419/12)/INDEX('Lease Cycles'!$CP$32:$CV$32,1,CW418))/12,IF(CW418=1,IF(CW419&gt;=INDEX('Lease Cycles'!$DK$32:$DQ$32,1,CW418),IF(CW$6&gt;='Lease Cycles'!$AZ$32,'Lease Cycles'!$C$32*'Lease Cycles'!$BA$32/12,IF(CW$6&gt;='Lease Cycles'!$AX$32,'Lease Cycles'!$C$32*'Lease Cycles'!$AY$32/12,IF(CW$6&gt;='Lease Cycles'!$AV$32,'Lease Cycles'!$C$32*'Lease Cycles'!$AW$32/12,IF(CW$6&gt;='Lease Cycles'!$AT$32,'Lease Cycles'!$C$32*'Lease Cycles'!$AU$32/12,'Lease Cycles'!$C$32*INDEX('Lease Cycles'!$CB$32:$CH$32,1,CW418)*(1+INDEX('Lease Cycles'!$CI$32:$CO$32,1,CW418))^INT(INT(CW419/12)/INDEX('Lease Cycles'!$CP$32:$CV$32,1,CW418))/12)))),'Lease Cycles'!$C$32*INDEX('Lease Cycles'!$CB$32:$CH$32,1,CW418)*(1+INDEX('Lease Cycles'!$CI$32:$CO$32,1,CW418))^INT(INT(CW419/12)/INDEX('Lease Cycles'!$CP$32:$CV$32,1,CW418))/12),IF(INDEX('Lease Cycles'!$EF$32:$EL$32,1,CW418)=1,IF(AND('Lease Cycles'!$AZ$32&gt;=INDEX('Lease Cycles'!$BG$32:$BM$32,1,CW418),'Lease Cycles'!$AZ$32&lt;=CW$6),'Lease Cycles'!$C$32*'Lease Cycles'!$BA$32/12,IF(AND('Lease Cycles'!$AX$32&gt;=INDEX('Lease Cycles'!$BG$32:$BM$32,1,CW418),'Lease Cycles'!$AX$32&lt;=CW$6),'Lease Cycles'!$C$32*'Lease Cycles'!$AY$32/12,IF(AND('Lease Cycles'!$AV$32&gt;=INDEX('Lease Cycles'!$BG$32:$BM$32,1,CW418),'Lease Cycles'!$AV$32&lt;=CW$6),'Lease Cycles'!$C$32*'Lease Cycles'!$AW$32/12,IF(AND('Lease Cycles'!$AT$32&gt;=INDEX('Lease Cycles'!$BG$32:$BM$32,1,CW418),'Lease Cycles'!$AT$32&lt;=CW$6),'Lease Cycles'!$C$32*'Lease Cycles'!$AU$32/12,'Lease Cycles'!$C$32*INDEX('Lease Cycles'!$CB$32:$CH$32,1,CW418)*(1+INDEX('Lease Cycles'!$CI$32:$CO$32,1,CW418))^INT(INT(CW419/12)/INDEX('Lease Cycles'!$CP$32:$CV$32,1,CW418))/12)))),'Lease Cycles'!$C$32*INDEX('Lease Cycles'!$CB$32:$CH$32,1,CW418)*(1+INDEX('Lease Cycles'!$CI$32:$CO$32,1,CW418))^INT(INT(CW419/12)/INDEX('Lease Cycles'!$CP$32:$CV$32,1,CW418))/12))),IF('Lease Cycles'!$N$32=1,'Lease Cycles'!$C$32*'Lease Cycles'!$E$32*INDEX('Lease Cycles'!$HE$32:$HK$32,1,CW418)*(1+INDEX('Lease Cycles'!$GQ$32:$GW$32,1,CW418))^INT(INT((CW$6-INDEX('Lease Cycles'!$GJ$32:$GP$32,1,CW418))/12)/INDEX('Lease Cycles'!$GX$32:$HD$32,1,CW418))/12,0)))</f>
        <v>0</v>
      </c>
      <c r="CX421" s="28">
        <f>IF(CX418=0,IF('Lease Cycles'!$F$32&gt;0,'Lease Cycles'!$C$32*'Lease Cycles'!$E$32/12,0),IF(CX420=1,IF('Lease Cycles'!$AT$32&gt;=9999,'Lease Cycles'!$C$32*INDEX('Lease Cycles'!$CB$32:$CH$32,1,CX418)*(1+INDEX('Lease Cycles'!$CI$32:$CO$32,1,CX418))^INT(INT(CX419/12)/INDEX('Lease Cycles'!$CP$32:$CV$32,1,CX418))/12,IF(CX418=1,IF(CX419&gt;=INDEX('Lease Cycles'!$DK$32:$DQ$32,1,CX418),IF(CX$6&gt;='Lease Cycles'!$AZ$32,'Lease Cycles'!$C$32*'Lease Cycles'!$BA$32/12,IF(CX$6&gt;='Lease Cycles'!$AX$32,'Lease Cycles'!$C$32*'Lease Cycles'!$AY$32/12,IF(CX$6&gt;='Lease Cycles'!$AV$32,'Lease Cycles'!$C$32*'Lease Cycles'!$AW$32/12,IF(CX$6&gt;='Lease Cycles'!$AT$32,'Lease Cycles'!$C$32*'Lease Cycles'!$AU$32/12,'Lease Cycles'!$C$32*INDEX('Lease Cycles'!$CB$32:$CH$32,1,CX418)*(1+INDEX('Lease Cycles'!$CI$32:$CO$32,1,CX418))^INT(INT(CX419/12)/INDEX('Lease Cycles'!$CP$32:$CV$32,1,CX418))/12)))),'Lease Cycles'!$C$32*INDEX('Lease Cycles'!$CB$32:$CH$32,1,CX418)*(1+INDEX('Lease Cycles'!$CI$32:$CO$32,1,CX418))^INT(INT(CX419/12)/INDEX('Lease Cycles'!$CP$32:$CV$32,1,CX418))/12),IF(INDEX('Lease Cycles'!$EF$32:$EL$32,1,CX418)=1,IF(AND('Lease Cycles'!$AZ$32&gt;=INDEX('Lease Cycles'!$BG$32:$BM$32,1,CX418),'Lease Cycles'!$AZ$32&lt;=CX$6),'Lease Cycles'!$C$32*'Lease Cycles'!$BA$32/12,IF(AND('Lease Cycles'!$AX$32&gt;=INDEX('Lease Cycles'!$BG$32:$BM$32,1,CX418),'Lease Cycles'!$AX$32&lt;=CX$6),'Lease Cycles'!$C$32*'Lease Cycles'!$AY$32/12,IF(AND('Lease Cycles'!$AV$32&gt;=INDEX('Lease Cycles'!$BG$32:$BM$32,1,CX418),'Lease Cycles'!$AV$32&lt;=CX$6),'Lease Cycles'!$C$32*'Lease Cycles'!$AW$32/12,IF(AND('Lease Cycles'!$AT$32&gt;=INDEX('Lease Cycles'!$BG$32:$BM$32,1,CX418),'Lease Cycles'!$AT$32&lt;=CX$6),'Lease Cycles'!$C$32*'Lease Cycles'!$AU$32/12,'Lease Cycles'!$C$32*INDEX('Lease Cycles'!$CB$32:$CH$32,1,CX418)*(1+INDEX('Lease Cycles'!$CI$32:$CO$32,1,CX418))^INT(INT(CX419/12)/INDEX('Lease Cycles'!$CP$32:$CV$32,1,CX418))/12)))),'Lease Cycles'!$C$32*INDEX('Lease Cycles'!$CB$32:$CH$32,1,CX418)*(1+INDEX('Lease Cycles'!$CI$32:$CO$32,1,CX418))^INT(INT(CX419/12)/INDEX('Lease Cycles'!$CP$32:$CV$32,1,CX418))/12))),IF('Lease Cycles'!$N$32=1,'Lease Cycles'!$C$32*'Lease Cycles'!$E$32*INDEX('Lease Cycles'!$HE$32:$HK$32,1,CX418)*(1+INDEX('Lease Cycles'!$GQ$32:$GW$32,1,CX418))^INT(INT((CX$6-INDEX('Lease Cycles'!$GJ$32:$GP$32,1,CX418))/12)/INDEX('Lease Cycles'!$GX$32:$HD$32,1,CX418))/12,0)))</f>
        <v>0</v>
      </c>
      <c r="CY421" s="28">
        <f>IF(CY418=0,IF('Lease Cycles'!$F$32&gt;0,'Lease Cycles'!$C$32*'Lease Cycles'!$E$32/12,0),IF(CY420=1,IF('Lease Cycles'!$AT$32&gt;=9999,'Lease Cycles'!$C$32*INDEX('Lease Cycles'!$CB$32:$CH$32,1,CY418)*(1+INDEX('Lease Cycles'!$CI$32:$CO$32,1,CY418))^INT(INT(CY419/12)/INDEX('Lease Cycles'!$CP$32:$CV$32,1,CY418))/12,IF(CY418=1,IF(CY419&gt;=INDEX('Lease Cycles'!$DK$32:$DQ$32,1,CY418),IF(CY$6&gt;='Lease Cycles'!$AZ$32,'Lease Cycles'!$C$32*'Lease Cycles'!$BA$32/12,IF(CY$6&gt;='Lease Cycles'!$AX$32,'Lease Cycles'!$C$32*'Lease Cycles'!$AY$32/12,IF(CY$6&gt;='Lease Cycles'!$AV$32,'Lease Cycles'!$C$32*'Lease Cycles'!$AW$32/12,IF(CY$6&gt;='Lease Cycles'!$AT$32,'Lease Cycles'!$C$32*'Lease Cycles'!$AU$32/12,'Lease Cycles'!$C$32*INDEX('Lease Cycles'!$CB$32:$CH$32,1,CY418)*(1+INDEX('Lease Cycles'!$CI$32:$CO$32,1,CY418))^INT(INT(CY419/12)/INDEX('Lease Cycles'!$CP$32:$CV$32,1,CY418))/12)))),'Lease Cycles'!$C$32*INDEX('Lease Cycles'!$CB$32:$CH$32,1,CY418)*(1+INDEX('Lease Cycles'!$CI$32:$CO$32,1,CY418))^INT(INT(CY419/12)/INDEX('Lease Cycles'!$CP$32:$CV$32,1,CY418))/12),IF(INDEX('Lease Cycles'!$EF$32:$EL$32,1,CY418)=1,IF(AND('Lease Cycles'!$AZ$32&gt;=INDEX('Lease Cycles'!$BG$32:$BM$32,1,CY418),'Lease Cycles'!$AZ$32&lt;=CY$6),'Lease Cycles'!$C$32*'Lease Cycles'!$BA$32/12,IF(AND('Lease Cycles'!$AX$32&gt;=INDEX('Lease Cycles'!$BG$32:$BM$32,1,CY418),'Lease Cycles'!$AX$32&lt;=CY$6),'Lease Cycles'!$C$32*'Lease Cycles'!$AY$32/12,IF(AND('Lease Cycles'!$AV$32&gt;=INDEX('Lease Cycles'!$BG$32:$BM$32,1,CY418),'Lease Cycles'!$AV$32&lt;=CY$6),'Lease Cycles'!$C$32*'Lease Cycles'!$AW$32/12,IF(AND('Lease Cycles'!$AT$32&gt;=INDEX('Lease Cycles'!$BG$32:$BM$32,1,CY418),'Lease Cycles'!$AT$32&lt;=CY$6),'Lease Cycles'!$C$32*'Lease Cycles'!$AU$32/12,'Lease Cycles'!$C$32*INDEX('Lease Cycles'!$CB$32:$CH$32,1,CY418)*(1+INDEX('Lease Cycles'!$CI$32:$CO$32,1,CY418))^INT(INT(CY419/12)/INDEX('Lease Cycles'!$CP$32:$CV$32,1,CY418))/12)))),'Lease Cycles'!$C$32*INDEX('Lease Cycles'!$CB$32:$CH$32,1,CY418)*(1+INDEX('Lease Cycles'!$CI$32:$CO$32,1,CY418))^INT(INT(CY419/12)/INDEX('Lease Cycles'!$CP$32:$CV$32,1,CY418))/12))),IF('Lease Cycles'!$N$32=1,'Lease Cycles'!$C$32*'Lease Cycles'!$E$32*INDEX('Lease Cycles'!$HE$32:$HK$32,1,CY418)*(1+INDEX('Lease Cycles'!$GQ$32:$GW$32,1,CY418))^INT(INT((CY$6-INDEX('Lease Cycles'!$GJ$32:$GP$32,1,CY418))/12)/INDEX('Lease Cycles'!$GX$32:$HD$32,1,CY418))/12,0)))</f>
        <v>0</v>
      </c>
      <c r="CZ421" s="28">
        <f>IF(CZ418=0,IF('Lease Cycles'!$F$32&gt;0,'Lease Cycles'!$C$32*'Lease Cycles'!$E$32/12,0),IF(CZ420=1,IF('Lease Cycles'!$AT$32&gt;=9999,'Lease Cycles'!$C$32*INDEX('Lease Cycles'!$CB$32:$CH$32,1,CZ418)*(1+INDEX('Lease Cycles'!$CI$32:$CO$32,1,CZ418))^INT(INT(CZ419/12)/INDEX('Lease Cycles'!$CP$32:$CV$32,1,CZ418))/12,IF(CZ418=1,IF(CZ419&gt;=INDEX('Lease Cycles'!$DK$32:$DQ$32,1,CZ418),IF(CZ$6&gt;='Lease Cycles'!$AZ$32,'Lease Cycles'!$C$32*'Lease Cycles'!$BA$32/12,IF(CZ$6&gt;='Lease Cycles'!$AX$32,'Lease Cycles'!$C$32*'Lease Cycles'!$AY$32/12,IF(CZ$6&gt;='Lease Cycles'!$AV$32,'Lease Cycles'!$C$32*'Lease Cycles'!$AW$32/12,IF(CZ$6&gt;='Lease Cycles'!$AT$32,'Lease Cycles'!$C$32*'Lease Cycles'!$AU$32/12,'Lease Cycles'!$C$32*INDEX('Lease Cycles'!$CB$32:$CH$32,1,CZ418)*(1+INDEX('Lease Cycles'!$CI$32:$CO$32,1,CZ418))^INT(INT(CZ419/12)/INDEX('Lease Cycles'!$CP$32:$CV$32,1,CZ418))/12)))),'Lease Cycles'!$C$32*INDEX('Lease Cycles'!$CB$32:$CH$32,1,CZ418)*(1+INDEX('Lease Cycles'!$CI$32:$CO$32,1,CZ418))^INT(INT(CZ419/12)/INDEX('Lease Cycles'!$CP$32:$CV$32,1,CZ418))/12),IF(INDEX('Lease Cycles'!$EF$32:$EL$32,1,CZ418)=1,IF(AND('Lease Cycles'!$AZ$32&gt;=INDEX('Lease Cycles'!$BG$32:$BM$32,1,CZ418),'Lease Cycles'!$AZ$32&lt;=CZ$6),'Lease Cycles'!$C$32*'Lease Cycles'!$BA$32/12,IF(AND('Lease Cycles'!$AX$32&gt;=INDEX('Lease Cycles'!$BG$32:$BM$32,1,CZ418),'Lease Cycles'!$AX$32&lt;=CZ$6),'Lease Cycles'!$C$32*'Lease Cycles'!$AY$32/12,IF(AND('Lease Cycles'!$AV$32&gt;=INDEX('Lease Cycles'!$BG$32:$BM$32,1,CZ418),'Lease Cycles'!$AV$32&lt;=CZ$6),'Lease Cycles'!$C$32*'Lease Cycles'!$AW$32/12,IF(AND('Lease Cycles'!$AT$32&gt;=INDEX('Lease Cycles'!$BG$32:$BM$32,1,CZ418),'Lease Cycles'!$AT$32&lt;=CZ$6),'Lease Cycles'!$C$32*'Lease Cycles'!$AU$32/12,'Lease Cycles'!$C$32*INDEX('Lease Cycles'!$CB$32:$CH$32,1,CZ418)*(1+INDEX('Lease Cycles'!$CI$32:$CO$32,1,CZ418))^INT(INT(CZ419/12)/INDEX('Lease Cycles'!$CP$32:$CV$32,1,CZ418))/12)))),'Lease Cycles'!$C$32*INDEX('Lease Cycles'!$CB$32:$CH$32,1,CZ418)*(1+INDEX('Lease Cycles'!$CI$32:$CO$32,1,CZ418))^INT(INT(CZ419/12)/INDEX('Lease Cycles'!$CP$32:$CV$32,1,CZ418))/12))),IF('Lease Cycles'!$N$32=1,'Lease Cycles'!$C$32*'Lease Cycles'!$E$32*INDEX('Lease Cycles'!$HE$32:$HK$32,1,CZ418)*(1+INDEX('Lease Cycles'!$GQ$32:$GW$32,1,CZ418))^INT(INT((CZ$6-INDEX('Lease Cycles'!$GJ$32:$GP$32,1,CZ418))/12)/INDEX('Lease Cycles'!$GX$32:$HD$32,1,CZ418))/12,0)))</f>
        <v>0</v>
      </c>
      <c r="DA421" s="28">
        <f>IF(DA418=0,IF('Lease Cycles'!$F$32&gt;0,'Lease Cycles'!$C$32*'Lease Cycles'!$E$32/12,0),IF(DA420=1,IF('Lease Cycles'!$AT$32&gt;=9999,'Lease Cycles'!$C$32*INDEX('Lease Cycles'!$CB$32:$CH$32,1,DA418)*(1+INDEX('Lease Cycles'!$CI$32:$CO$32,1,DA418))^INT(INT(DA419/12)/INDEX('Lease Cycles'!$CP$32:$CV$32,1,DA418))/12,IF(DA418=1,IF(DA419&gt;=INDEX('Lease Cycles'!$DK$32:$DQ$32,1,DA418),IF(DA$6&gt;='Lease Cycles'!$AZ$32,'Lease Cycles'!$C$32*'Lease Cycles'!$BA$32/12,IF(DA$6&gt;='Lease Cycles'!$AX$32,'Lease Cycles'!$C$32*'Lease Cycles'!$AY$32/12,IF(DA$6&gt;='Lease Cycles'!$AV$32,'Lease Cycles'!$C$32*'Lease Cycles'!$AW$32/12,IF(DA$6&gt;='Lease Cycles'!$AT$32,'Lease Cycles'!$C$32*'Lease Cycles'!$AU$32/12,'Lease Cycles'!$C$32*INDEX('Lease Cycles'!$CB$32:$CH$32,1,DA418)*(1+INDEX('Lease Cycles'!$CI$32:$CO$32,1,DA418))^INT(INT(DA419/12)/INDEX('Lease Cycles'!$CP$32:$CV$32,1,DA418))/12)))),'Lease Cycles'!$C$32*INDEX('Lease Cycles'!$CB$32:$CH$32,1,DA418)*(1+INDEX('Lease Cycles'!$CI$32:$CO$32,1,DA418))^INT(INT(DA419/12)/INDEX('Lease Cycles'!$CP$32:$CV$32,1,DA418))/12),IF(INDEX('Lease Cycles'!$EF$32:$EL$32,1,DA418)=1,IF(AND('Lease Cycles'!$AZ$32&gt;=INDEX('Lease Cycles'!$BG$32:$BM$32,1,DA418),'Lease Cycles'!$AZ$32&lt;=DA$6),'Lease Cycles'!$C$32*'Lease Cycles'!$BA$32/12,IF(AND('Lease Cycles'!$AX$32&gt;=INDEX('Lease Cycles'!$BG$32:$BM$32,1,DA418),'Lease Cycles'!$AX$32&lt;=DA$6),'Lease Cycles'!$C$32*'Lease Cycles'!$AY$32/12,IF(AND('Lease Cycles'!$AV$32&gt;=INDEX('Lease Cycles'!$BG$32:$BM$32,1,DA418),'Lease Cycles'!$AV$32&lt;=DA$6),'Lease Cycles'!$C$32*'Lease Cycles'!$AW$32/12,IF(AND('Lease Cycles'!$AT$32&gt;=INDEX('Lease Cycles'!$BG$32:$BM$32,1,DA418),'Lease Cycles'!$AT$32&lt;=DA$6),'Lease Cycles'!$C$32*'Lease Cycles'!$AU$32/12,'Lease Cycles'!$C$32*INDEX('Lease Cycles'!$CB$32:$CH$32,1,DA418)*(1+INDEX('Lease Cycles'!$CI$32:$CO$32,1,DA418))^INT(INT(DA419/12)/INDEX('Lease Cycles'!$CP$32:$CV$32,1,DA418))/12)))),'Lease Cycles'!$C$32*INDEX('Lease Cycles'!$CB$32:$CH$32,1,DA418)*(1+INDEX('Lease Cycles'!$CI$32:$CO$32,1,DA418))^INT(INT(DA419/12)/INDEX('Lease Cycles'!$CP$32:$CV$32,1,DA418))/12))),IF('Lease Cycles'!$N$32=1,'Lease Cycles'!$C$32*'Lease Cycles'!$E$32*INDEX('Lease Cycles'!$HE$32:$HK$32,1,DA418)*(1+INDEX('Lease Cycles'!$GQ$32:$GW$32,1,DA418))^INT(INT((DA$6-INDEX('Lease Cycles'!$GJ$32:$GP$32,1,DA418))/12)/INDEX('Lease Cycles'!$GX$32:$HD$32,1,DA418))/12,0)))</f>
        <v>0</v>
      </c>
      <c r="DB421" s="28">
        <f>IF(DB418=0,IF('Lease Cycles'!$F$32&gt;0,'Lease Cycles'!$C$32*'Lease Cycles'!$E$32/12,0),IF(DB420=1,IF('Lease Cycles'!$AT$32&gt;=9999,'Lease Cycles'!$C$32*INDEX('Lease Cycles'!$CB$32:$CH$32,1,DB418)*(1+INDEX('Lease Cycles'!$CI$32:$CO$32,1,DB418))^INT(INT(DB419/12)/INDEX('Lease Cycles'!$CP$32:$CV$32,1,DB418))/12,IF(DB418=1,IF(DB419&gt;=INDEX('Lease Cycles'!$DK$32:$DQ$32,1,DB418),IF(DB$6&gt;='Lease Cycles'!$AZ$32,'Lease Cycles'!$C$32*'Lease Cycles'!$BA$32/12,IF(DB$6&gt;='Lease Cycles'!$AX$32,'Lease Cycles'!$C$32*'Lease Cycles'!$AY$32/12,IF(DB$6&gt;='Lease Cycles'!$AV$32,'Lease Cycles'!$C$32*'Lease Cycles'!$AW$32/12,IF(DB$6&gt;='Lease Cycles'!$AT$32,'Lease Cycles'!$C$32*'Lease Cycles'!$AU$32/12,'Lease Cycles'!$C$32*INDEX('Lease Cycles'!$CB$32:$CH$32,1,DB418)*(1+INDEX('Lease Cycles'!$CI$32:$CO$32,1,DB418))^INT(INT(DB419/12)/INDEX('Lease Cycles'!$CP$32:$CV$32,1,DB418))/12)))),'Lease Cycles'!$C$32*INDEX('Lease Cycles'!$CB$32:$CH$32,1,DB418)*(1+INDEX('Lease Cycles'!$CI$32:$CO$32,1,DB418))^INT(INT(DB419/12)/INDEX('Lease Cycles'!$CP$32:$CV$32,1,DB418))/12),IF(INDEX('Lease Cycles'!$EF$32:$EL$32,1,DB418)=1,IF(AND('Lease Cycles'!$AZ$32&gt;=INDEX('Lease Cycles'!$BG$32:$BM$32,1,DB418),'Lease Cycles'!$AZ$32&lt;=DB$6),'Lease Cycles'!$C$32*'Lease Cycles'!$BA$32/12,IF(AND('Lease Cycles'!$AX$32&gt;=INDEX('Lease Cycles'!$BG$32:$BM$32,1,DB418),'Lease Cycles'!$AX$32&lt;=DB$6),'Lease Cycles'!$C$32*'Lease Cycles'!$AY$32/12,IF(AND('Lease Cycles'!$AV$32&gt;=INDEX('Lease Cycles'!$BG$32:$BM$32,1,DB418),'Lease Cycles'!$AV$32&lt;=DB$6),'Lease Cycles'!$C$32*'Lease Cycles'!$AW$32/12,IF(AND('Lease Cycles'!$AT$32&gt;=INDEX('Lease Cycles'!$BG$32:$BM$32,1,DB418),'Lease Cycles'!$AT$32&lt;=DB$6),'Lease Cycles'!$C$32*'Lease Cycles'!$AU$32/12,'Lease Cycles'!$C$32*INDEX('Lease Cycles'!$CB$32:$CH$32,1,DB418)*(1+INDEX('Lease Cycles'!$CI$32:$CO$32,1,DB418))^INT(INT(DB419/12)/INDEX('Lease Cycles'!$CP$32:$CV$32,1,DB418))/12)))),'Lease Cycles'!$C$32*INDEX('Lease Cycles'!$CB$32:$CH$32,1,DB418)*(1+INDEX('Lease Cycles'!$CI$32:$CO$32,1,DB418))^INT(INT(DB419/12)/INDEX('Lease Cycles'!$CP$32:$CV$32,1,DB418))/12))),IF('Lease Cycles'!$N$32=1,'Lease Cycles'!$C$32*'Lease Cycles'!$E$32*INDEX('Lease Cycles'!$HE$32:$HK$32,1,DB418)*(1+INDEX('Lease Cycles'!$GQ$32:$GW$32,1,DB418))^INT(INT((DB$6-INDEX('Lease Cycles'!$GJ$32:$GP$32,1,DB418))/12)/INDEX('Lease Cycles'!$GX$32:$HD$32,1,DB418))/12,0)))</f>
        <v>0</v>
      </c>
      <c r="DC421" s="28">
        <f>IF(DC418=0,IF('Lease Cycles'!$F$32&gt;0,'Lease Cycles'!$C$32*'Lease Cycles'!$E$32/12,0),IF(DC420=1,IF('Lease Cycles'!$AT$32&gt;=9999,'Lease Cycles'!$C$32*INDEX('Lease Cycles'!$CB$32:$CH$32,1,DC418)*(1+INDEX('Lease Cycles'!$CI$32:$CO$32,1,DC418))^INT(INT(DC419/12)/INDEX('Lease Cycles'!$CP$32:$CV$32,1,DC418))/12,IF(DC418=1,IF(DC419&gt;=INDEX('Lease Cycles'!$DK$32:$DQ$32,1,DC418),IF(DC$6&gt;='Lease Cycles'!$AZ$32,'Lease Cycles'!$C$32*'Lease Cycles'!$BA$32/12,IF(DC$6&gt;='Lease Cycles'!$AX$32,'Lease Cycles'!$C$32*'Lease Cycles'!$AY$32/12,IF(DC$6&gt;='Lease Cycles'!$AV$32,'Lease Cycles'!$C$32*'Lease Cycles'!$AW$32/12,IF(DC$6&gt;='Lease Cycles'!$AT$32,'Lease Cycles'!$C$32*'Lease Cycles'!$AU$32/12,'Lease Cycles'!$C$32*INDEX('Lease Cycles'!$CB$32:$CH$32,1,DC418)*(1+INDEX('Lease Cycles'!$CI$32:$CO$32,1,DC418))^INT(INT(DC419/12)/INDEX('Lease Cycles'!$CP$32:$CV$32,1,DC418))/12)))),'Lease Cycles'!$C$32*INDEX('Lease Cycles'!$CB$32:$CH$32,1,DC418)*(1+INDEX('Lease Cycles'!$CI$32:$CO$32,1,DC418))^INT(INT(DC419/12)/INDEX('Lease Cycles'!$CP$32:$CV$32,1,DC418))/12),IF(INDEX('Lease Cycles'!$EF$32:$EL$32,1,DC418)=1,IF(AND('Lease Cycles'!$AZ$32&gt;=INDEX('Lease Cycles'!$BG$32:$BM$32,1,DC418),'Lease Cycles'!$AZ$32&lt;=DC$6),'Lease Cycles'!$C$32*'Lease Cycles'!$BA$32/12,IF(AND('Lease Cycles'!$AX$32&gt;=INDEX('Lease Cycles'!$BG$32:$BM$32,1,DC418),'Lease Cycles'!$AX$32&lt;=DC$6),'Lease Cycles'!$C$32*'Lease Cycles'!$AY$32/12,IF(AND('Lease Cycles'!$AV$32&gt;=INDEX('Lease Cycles'!$BG$32:$BM$32,1,DC418),'Lease Cycles'!$AV$32&lt;=DC$6),'Lease Cycles'!$C$32*'Lease Cycles'!$AW$32/12,IF(AND('Lease Cycles'!$AT$32&gt;=INDEX('Lease Cycles'!$BG$32:$BM$32,1,DC418),'Lease Cycles'!$AT$32&lt;=DC$6),'Lease Cycles'!$C$32*'Lease Cycles'!$AU$32/12,'Lease Cycles'!$C$32*INDEX('Lease Cycles'!$CB$32:$CH$32,1,DC418)*(1+INDEX('Lease Cycles'!$CI$32:$CO$32,1,DC418))^INT(INT(DC419/12)/INDEX('Lease Cycles'!$CP$32:$CV$32,1,DC418))/12)))),'Lease Cycles'!$C$32*INDEX('Lease Cycles'!$CB$32:$CH$32,1,DC418)*(1+INDEX('Lease Cycles'!$CI$32:$CO$32,1,DC418))^INT(INT(DC419/12)/INDEX('Lease Cycles'!$CP$32:$CV$32,1,DC418))/12))),IF('Lease Cycles'!$N$32=1,'Lease Cycles'!$C$32*'Lease Cycles'!$E$32*INDEX('Lease Cycles'!$HE$32:$HK$32,1,DC418)*(1+INDEX('Lease Cycles'!$GQ$32:$GW$32,1,DC418))^INT(INT((DC$6-INDEX('Lease Cycles'!$GJ$32:$GP$32,1,DC418))/12)/INDEX('Lease Cycles'!$GX$32:$HD$32,1,DC418))/12,0)))</f>
        <v>0</v>
      </c>
      <c r="DD421" s="28">
        <f>IF(DD418=0,IF('Lease Cycles'!$F$32&gt;0,'Lease Cycles'!$C$32*'Lease Cycles'!$E$32/12,0),IF(DD420=1,IF('Lease Cycles'!$AT$32&gt;=9999,'Lease Cycles'!$C$32*INDEX('Lease Cycles'!$CB$32:$CH$32,1,DD418)*(1+INDEX('Lease Cycles'!$CI$32:$CO$32,1,DD418))^INT(INT(DD419/12)/INDEX('Lease Cycles'!$CP$32:$CV$32,1,DD418))/12,IF(DD418=1,IF(DD419&gt;=INDEX('Lease Cycles'!$DK$32:$DQ$32,1,DD418),IF(DD$6&gt;='Lease Cycles'!$AZ$32,'Lease Cycles'!$C$32*'Lease Cycles'!$BA$32/12,IF(DD$6&gt;='Lease Cycles'!$AX$32,'Lease Cycles'!$C$32*'Lease Cycles'!$AY$32/12,IF(DD$6&gt;='Lease Cycles'!$AV$32,'Lease Cycles'!$C$32*'Lease Cycles'!$AW$32/12,IF(DD$6&gt;='Lease Cycles'!$AT$32,'Lease Cycles'!$C$32*'Lease Cycles'!$AU$32/12,'Lease Cycles'!$C$32*INDEX('Lease Cycles'!$CB$32:$CH$32,1,DD418)*(1+INDEX('Lease Cycles'!$CI$32:$CO$32,1,DD418))^INT(INT(DD419/12)/INDEX('Lease Cycles'!$CP$32:$CV$32,1,DD418))/12)))),'Lease Cycles'!$C$32*INDEX('Lease Cycles'!$CB$32:$CH$32,1,DD418)*(1+INDEX('Lease Cycles'!$CI$32:$CO$32,1,DD418))^INT(INT(DD419/12)/INDEX('Lease Cycles'!$CP$32:$CV$32,1,DD418))/12),IF(INDEX('Lease Cycles'!$EF$32:$EL$32,1,DD418)=1,IF(AND('Lease Cycles'!$AZ$32&gt;=INDEX('Lease Cycles'!$BG$32:$BM$32,1,DD418),'Lease Cycles'!$AZ$32&lt;=DD$6),'Lease Cycles'!$C$32*'Lease Cycles'!$BA$32/12,IF(AND('Lease Cycles'!$AX$32&gt;=INDEX('Lease Cycles'!$BG$32:$BM$32,1,DD418),'Lease Cycles'!$AX$32&lt;=DD$6),'Lease Cycles'!$C$32*'Lease Cycles'!$AY$32/12,IF(AND('Lease Cycles'!$AV$32&gt;=INDEX('Lease Cycles'!$BG$32:$BM$32,1,DD418),'Lease Cycles'!$AV$32&lt;=DD$6),'Lease Cycles'!$C$32*'Lease Cycles'!$AW$32/12,IF(AND('Lease Cycles'!$AT$32&gt;=INDEX('Lease Cycles'!$BG$32:$BM$32,1,DD418),'Lease Cycles'!$AT$32&lt;=DD$6),'Lease Cycles'!$C$32*'Lease Cycles'!$AU$32/12,'Lease Cycles'!$C$32*INDEX('Lease Cycles'!$CB$32:$CH$32,1,DD418)*(1+INDEX('Lease Cycles'!$CI$32:$CO$32,1,DD418))^INT(INT(DD419/12)/INDEX('Lease Cycles'!$CP$32:$CV$32,1,DD418))/12)))),'Lease Cycles'!$C$32*INDEX('Lease Cycles'!$CB$32:$CH$32,1,DD418)*(1+INDEX('Lease Cycles'!$CI$32:$CO$32,1,DD418))^INT(INT(DD419/12)/INDEX('Lease Cycles'!$CP$32:$CV$32,1,DD418))/12))),IF('Lease Cycles'!$N$32=1,'Lease Cycles'!$C$32*'Lease Cycles'!$E$32*INDEX('Lease Cycles'!$HE$32:$HK$32,1,DD418)*(1+INDEX('Lease Cycles'!$GQ$32:$GW$32,1,DD418))^INT(INT((DD$6-INDEX('Lease Cycles'!$GJ$32:$GP$32,1,DD418))/12)/INDEX('Lease Cycles'!$GX$32:$HD$32,1,DD418))/12,0)))</f>
        <v>0</v>
      </c>
      <c r="DE421" s="28">
        <f>IF(DE418=0,IF('Lease Cycles'!$F$32&gt;0,'Lease Cycles'!$C$32*'Lease Cycles'!$E$32/12,0),IF(DE420=1,IF('Lease Cycles'!$AT$32&gt;=9999,'Lease Cycles'!$C$32*INDEX('Lease Cycles'!$CB$32:$CH$32,1,DE418)*(1+INDEX('Lease Cycles'!$CI$32:$CO$32,1,DE418))^INT(INT(DE419/12)/INDEX('Lease Cycles'!$CP$32:$CV$32,1,DE418))/12,IF(DE418=1,IF(DE419&gt;=INDEX('Lease Cycles'!$DK$32:$DQ$32,1,DE418),IF(DE$6&gt;='Lease Cycles'!$AZ$32,'Lease Cycles'!$C$32*'Lease Cycles'!$BA$32/12,IF(DE$6&gt;='Lease Cycles'!$AX$32,'Lease Cycles'!$C$32*'Lease Cycles'!$AY$32/12,IF(DE$6&gt;='Lease Cycles'!$AV$32,'Lease Cycles'!$C$32*'Lease Cycles'!$AW$32/12,IF(DE$6&gt;='Lease Cycles'!$AT$32,'Lease Cycles'!$C$32*'Lease Cycles'!$AU$32/12,'Lease Cycles'!$C$32*INDEX('Lease Cycles'!$CB$32:$CH$32,1,DE418)*(1+INDEX('Lease Cycles'!$CI$32:$CO$32,1,DE418))^INT(INT(DE419/12)/INDEX('Lease Cycles'!$CP$32:$CV$32,1,DE418))/12)))),'Lease Cycles'!$C$32*INDEX('Lease Cycles'!$CB$32:$CH$32,1,DE418)*(1+INDEX('Lease Cycles'!$CI$32:$CO$32,1,DE418))^INT(INT(DE419/12)/INDEX('Lease Cycles'!$CP$32:$CV$32,1,DE418))/12),IF(INDEX('Lease Cycles'!$EF$32:$EL$32,1,DE418)=1,IF(AND('Lease Cycles'!$AZ$32&gt;=INDEX('Lease Cycles'!$BG$32:$BM$32,1,DE418),'Lease Cycles'!$AZ$32&lt;=DE$6),'Lease Cycles'!$C$32*'Lease Cycles'!$BA$32/12,IF(AND('Lease Cycles'!$AX$32&gt;=INDEX('Lease Cycles'!$BG$32:$BM$32,1,DE418),'Lease Cycles'!$AX$32&lt;=DE$6),'Lease Cycles'!$C$32*'Lease Cycles'!$AY$32/12,IF(AND('Lease Cycles'!$AV$32&gt;=INDEX('Lease Cycles'!$BG$32:$BM$32,1,DE418),'Lease Cycles'!$AV$32&lt;=DE$6),'Lease Cycles'!$C$32*'Lease Cycles'!$AW$32/12,IF(AND('Lease Cycles'!$AT$32&gt;=INDEX('Lease Cycles'!$BG$32:$BM$32,1,DE418),'Lease Cycles'!$AT$32&lt;=DE$6),'Lease Cycles'!$C$32*'Lease Cycles'!$AU$32/12,'Lease Cycles'!$C$32*INDEX('Lease Cycles'!$CB$32:$CH$32,1,DE418)*(1+INDEX('Lease Cycles'!$CI$32:$CO$32,1,DE418))^INT(INT(DE419/12)/INDEX('Lease Cycles'!$CP$32:$CV$32,1,DE418))/12)))),'Lease Cycles'!$C$32*INDEX('Lease Cycles'!$CB$32:$CH$32,1,DE418)*(1+INDEX('Lease Cycles'!$CI$32:$CO$32,1,DE418))^INT(INT(DE419/12)/INDEX('Lease Cycles'!$CP$32:$CV$32,1,DE418))/12))),IF('Lease Cycles'!$N$32=1,'Lease Cycles'!$C$32*'Lease Cycles'!$E$32*INDEX('Lease Cycles'!$HE$32:$HK$32,1,DE418)*(1+INDEX('Lease Cycles'!$GQ$32:$GW$32,1,DE418))^INT(INT((DE$6-INDEX('Lease Cycles'!$GJ$32:$GP$32,1,DE418))/12)/INDEX('Lease Cycles'!$GX$32:$HD$32,1,DE418))/12,0)))</f>
        <v>0</v>
      </c>
      <c r="DF421" s="28">
        <f>IF(DF418=0,IF('Lease Cycles'!$F$32&gt;0,'Lease Cycles'!$C$32*'Lease Cycles'!$E$32/12,0),IF(DF420=1,IF('Lease Cycles'!$AT$32&gt;=9999,'Lease Cycles'!$C$32*INDEX('Lease Cycles'!$CB$32:$CH$32,1,DF418)*(1+INDEX('Lease Cycles'!$CI$32:$CO$32,1,DF418))^INT(INT(DF419/12)/INDEX('Lease Cycles'!$CP$32:$CV$32,1,DF418))/12,IF(DF418=1,IF(DF419&gt;=INDEX('Lease Cycles'!$DK$32:$DQ$32,1,DF418),IF(DF$6&gt;='Lease Cycles'!$AZ$32,'Lease Cycles'!$C$32*'Lease Cycles'!$BA$32/12,IF(DF$6&gt;='Lease Cycles'!$AX$32,'Lease Cycles'!$C$32*'Lease Cycles'!$AY$32/12,IF(DF$6&gt;='Lease Cycles'!$AV$32,'Lease Cycles'!$C$32*'Lease Cycles'!$AW$32/12,IF(DF$6&gt;='Lease Cycles'!$AT$32,'Lease Cycles'!$C$32*'Lease Cycles'!$AU$32/12,'Lease Cycles'!$C$32*INDEX('Lease Cycles'!$CB$32:$CH$32,1,DF418)*(1+INDEX('Lease Cycles'!$CI$32:$CO$32,1,DF418))^INT(INT(DF419/12)/INDEX('Lease Cycles'!$CP$32:$CV$32,1,DF418))/12)))),'Lease Cycles'!$C$32*INDEX('Lease Cycles'!$CB$32:$CH$32,1,DF418)*(1+INDEX('Lease Cycles'!$CI$32:$CO$32,1,DF418))^INT(INT(DF419/12)/INDEX('Lease Cycles'!$CP$32:$CV$32,1,DF418))/12),IF(INDEX('Lease Cycles'!$EF$32:$EL$32,1,DF418)=1,IF(AND('Lease Cycles'!$AZ$32&gt;=INDEX('Lease Cycles'!$BG$32:$BM$32,1,DF418),'Lease Cycles'!$AZ$32&lt;=DF$6),'Lease Cycles'!$C$32*'Lease Cycles'!$BA$32/12,IF(AND('Lease Cycles'!$AX$32&gt;=INDEX('Lease Cycles'!$BG$32:$BM$32,1,DF418),'Lease Cycles'!$AX$32&lt;=DF$6),'Lease Cycles'!$C$32*'Lease Cycles'!$AY$32/12,IF(AND('Lease Cycles'!$AV$32&gt;=INDEX('Lease Cycles'!$BG$32:$BM$32,1,DF418),'Lease Cycles'!$AV$32&lt;=DF$6),'Lease Cycles'!$C$32*'Lease Cycles'!$AW$32/12,IF(AND('Lease Cycles'!$AT$32&gt;=INDEX('Lease Cycles'!$BG$32:$BM$32,1,DF418),'Lease Cycles'!$AT$32&lt;=DF$6),'Lease Cycles'!$C$32*'Lease Cycles'!$AU$32/12,'Lease Cycles'!$C$32*INDEX('Lease Cycles'!$CB$32:$CH$32,1,DF418)*(1+INDEX('Lease Cycles'!$CI$32:$CO$32,1,DF418))^INT(INT(DF419/12)/INDEX('Lease Cycles'!$CP$32:$CV$32,1,DF418))/12)))),'Lease Cycles'!$C$32*INDEX('Lease Cycles'!$CB$32:$CH$32,1,DF418)*(1+INDEX('Lease Cycles'!$CI$32:$CO$32,1,DF418))^INT(INT(DF419/12)/INDEX('Lease Cycles'!$CP$32:$CV$32,1,DF418))/12))),IF('Lease Cycles'!$N$32=1,'Lease Cycles'!$C$32*'Lease Cycles'!$E$32*INDEX('Lease Cycles'!$HE$32:$HK$32,1,DF418)*(1+INDEX('Lease Cycles'!$GQ$32:$GW$32,1,DF418))^INT(INT((DF$6-INDEX('Lease Cycles'!$GJ$32:$GP$32,1,DF418))/12)/INDEX('Lease Cycles'!$GX$32:$HD$32,1,DF418))/12,0)))</f>
        <v>0</v>
      </c>
      <c r="DG421" s="28">
        <f>IF(DG418=0,IF('Lease Cycles'!$F$32&gt;0,'Lease Cycles'!$C$32*'Lease Cycles'!$E$32/12,0),IF(DG420=1,IF('Lease Cycles'!$AT$32&gt;=9999,'Lease Cycles'!$C$32*INDEX('Lease Cycles'!$CB$32:$CH$32,1,DG418)*(1+INDEX('Lease Cycles'!$CI$32:$CO$32,1,DG418))^INT(INT(DG419/12)/INDEX('Lease Cycles'!$CP$32:$CV$32,1,DG418))/12,IF(DG418=1,IF(DG419&gt;=INDEX('Lease Cycles'!$DK$32:$DQ$32,1,DG418),IF(DG$6&gt;='Lease Cycles'!$AZ$32,'Lease Cycles'!$C$32*'Lease Cycles'!$BA$32/12,IF(DG$6&gt;='Lease Cycles'!$AX$32,'Lease Cycles'!$C$32*'Lease Cycles'!$AY$32/12,IF(DG$6&gt;='Lease Cycles'!$AV$32,'Lease Cycles'!$C$32*'Lease Cycles'!$AW$32/12,IF(DG$6&gt;='Lease Cycles'!$AT$32,'Lease Cycles'!$C$32*'Lease Cycles'!$AU$32/12,'Lease Cycles'!$C$32*INDEX('Lease Cycles'!$CB$32:$CH$32,1,DG418)*(1+INDEX('Lease Cycles'!$CI$32:$CO$32,1,DG418))^INT(INT(DG419/12)/INDEX('Lease Cycles'!$CP$32:$CV$32,1,DG418))/12)))),'Lease Cycles'!$C$32*INDEX('Lease Cycles'!$CB$32:$CH$32,1,DG418)*(1+INDEX('Lease Cycles'!$CI$32:$CO$32,1,DG418))^INT(INT(DG419/12)/INDEX('Lease Cycles'!$CP$32:$CV$32,1,DG418))/12),IF(INDEX('Lease Cycles'!$EF$32:$EL$32,1,DG418)=1,IF(AND('Lease Cycles'!$AZ$32&gt;=INDEX('Lease Cycles'!$BG$32:$BM$32,1,DG418),'Lease Cycles'!$AZ$32&lt;=DG$6),'Lease Cycles'!$C$32*'Lease Cycles'!$BA$32/12,IF(AND('Lease Cycles'!$AX$32&gt;=INDEX('Lease Cycles'!$BG$32:$BM$32,1,DG418),'Lease Cycles'!$AX$32&lt;=DG$6),'Lease Cycles'!$C$32*'Lease Cycles'!$AY$32/12,IF(AND('Lease Cycles'!$AV$32&gt;=INDEX('Lease Cycles'!$BG$32:$BM$32,1,DG418),'Lease Cycles'!$AV$32&lt;=DG$6),'Lease Cycles'!$C$32*'Lease Cycles'!$AW$32/12,IF(AND('Lease Cycles'!$AT$32&gt;=INDEX('Lease Cycles'!$BG$32:$BM$32,1,DG418),'Lease Cycles'!$AT$32&lt;=DG$6),'Lease Cycles'!$C$32*'Lease Cycles'!$AU$32/12,'Lease Cycles'!$C$32*INDEX('Lease Cycles'!$CB$32:$CH$32,1,DG418)*(1+INDEX('Lease Cycles'!$CI$32:$CO$32,1,DG418))^INT(INT(DG419/12)/INDEX('Lease Cycles'!$CP$32:$CV$32,1,DG418))/12)))),'Lease Cycles'!$C$32*INDEX('Lease Cycles'!$CB$32:$CH$32,1,DG418)*(1+INDEX('Lease Cycles'!$CI$32:$CO$32,1,DG418))^INT(INT(DG419/12)/INDEX('Lease Cycles'!$CP$32:$CV$32,1,DG418))/12))),IF('Lease Cycles'!$N$32=1,'Lease Cycles'!$C$32*'Lease Cycles'!$E$32*INDEX('Lease Cycles'!$HE$32:$HK$32,1,DG418)*(1+INDEX('Lease Cycles'!$GQ$32:$GW$32,1,DG418))^INT(INT((DG$6-INDEX('Lease Cycles'!$GJ$32:$GP$32,1,DG418))/12)/INDEX('Lease Cycles'!$GX$32:$HD$32,1,DG418))/12,0)))</f>
        <v>0</v>
      </c>
      <c r="DH421" s="28">
        <f>IF(DH418=0,IF('Lease Cycles'!$F$32&gt;0,'Lease Cycles'!$C$32*'Lease Cycles'!$E$32/12,0),IF(DH420=1,IF('Lease Cycles'!$AT$32&gt;=9999,'Lease Cycles'!$C$32*INDEX('Lease Cycles'!$CB$32:$CH$32,1,DH418)*(1+INDEX('Lease Cycles'!$CI$32:$CO$32,1,DH418))^INT(INT(DH419/12)/INDEX('Lease Cycles'!$CP$32:$CV$32,1,DH418))/12,IF(DH418=1,IF(DH419&gt;=INDEX('Lease Cycles'!$DK$32:$DQ$32,1,DH418),IF(DH$6&gt;='Lease Cycles'!$AZ$32,'Lease Cycles'!$C$32*'Lease Cycles'!$BA$32/12,IF(DH$6&gt;='Lease Cycles'!$AX$32,'Lease Cycles'!$C$32*'Lease Cycles'!$AY$32/12,IF(DH$6&gt;='Lease Cycles'!$AV$32,'Lease Cycles'!$C$32*'Lease Cycles'!$AW$32/12,IF(DH$6&gt;='Lease Cycles'!$AT$32,'Lease Cycles'!$C$32*'Lease Cycles'!$AU$32/12,'Lease Cycles'!$C$32*INDEX('Lease Cycles'!$CB$32:$CH$32,1,DH418)*(1+INDEX('Lease Cycles'!$CI$32:$CO$32,1,DH418))^INT(INT(DH419/12)/INDEX('Lease Cycles'!$CP$32:$CV$32,1,DH418))/12)))),'Lease Cycles'!$C$32*INDEX('Lease Cycles'!$CB$32:$CH$32,1,DH418)*(1+INDEX('Lease Cycles'!$CI$32:$CO$32,1,DH418))^INT(INT(DH419/12)/INDEX('Lease Cycles'!$CP$32:$CV$32,1,DH418))/12),IF(INDEX('Lease Cycles'!$EF$32:$EL$32,1,DH418)=1,IF(AND('Lease Cycles'!$AZ$32&gt;=INDEX('Lease Cycles'!$BG$32:$BM$32,1,DH418),'Lease Cycles'!$AZ$32&lt;=DH$6),'Lease Cycles'!$C$32*'Lease Cycles'!$BA$32/12,IF(AND('Lease Cycles'!$AX$32&gt;=INDEX('Lease Cycles'!$BG$32:$BM$32,1,DH418),'Lease Cycles'!$AX$32&lt;=DH$6),'Lease Cycles'!$C$32*'Lease Cycles'!$AY$32/12,IF(AND('Lease Cycles'!$AV$32&gt;=INDEX('Lease Cycles'!$BG$32:$BM$32,1,DH418),'Lease Cycles'!$AV$32&lt;=DH$6),'Lease Cycles'!$C$32*'Lease Cycles'!$AW$32/12,IF(AND('Lease Cycles'!$AT$32&gt;=INDEX('Lease Cycles'!$BG$32:$BM$32,1,DH418),'Lease Cycles'!$AT$32&lt;=DH$6),'Lease Cycles'!$C$32*'Lease Cycles'!$AU$32/12,'Lease Cycles'!$C$32*INDEX('Lease Cycles'!$CB$32:$CH$32,1,DH418)*(1+INDEX('Lease Cycles'!$CI$32:$CO$32,1,DH418))^INT(INT(DH419/12)/INDEX('Lease Cycles'!$CP$32:$CV$32,1,DH418))/12)))),'Lease Cycles'!$C$32*INDEX('Lease Cycles'!$CB$32:$CH$32,1,DH418)*(1+INDEX('Lease Cycles'!$CI$32:$CO$32,1,DH418))^INT(INT(DH419/12)/INDEX('Lease Cycles'!$CP$32:$CV$32,1,DH418))/12))),IF('Lease Cycles'!$N$32=1,'Lease Cycles'!$C$32*'Lease Cycles'!$E$32*INDEX('Lease Cycles'!$HE$32:$HK$32,1,DH418)*(1+INDEX('Lease Cycles'!$GQ$32:$GW$32,1,DH418))^INT(INT((DH$6-INDEX('Lease Cycles'!$GJ$32:$GP$32,1,DH418))/12)/INDEX('Lease Cycles'!$GX$32:$HD$32,1,DH418))/12,0)))</f>
        <v>0</v>
      </c>
      <c r="DI421" s="28">
        <f>IF(DI418=0,IF('Lease Cycles'!$F$32&gt;0,'Lease Cycles'!$C$32*'Lease Cycles'!$E$32/12,0),IF(DI420=1,IF('Lease Cycles'!$AT$32&gt;=9999,'Lease Cycles'!$C$32*INDEX('Lease Cycles'!$CB$32:$CH$32,1,DI418)*(1+INDEX('Lease Cycles'!$CI$32:$CO$32,1,DI418))^INT(INT(DI419/12)/INDEX('Lease Cycles'!$CP$32:$CV$32,1,DI418))/12,IF(DI418=1,IF(DI419&gt;=INDEX('Lease Cycles'!$DK$32:$DQ$32,1,DI418),IF(DI$6&gt;='Lease Cycles'!$AZ$32,'Lease Cycles'!$C$32*'Lease Cycles'!$BA$32/12,IF(DI$6&gt;='Lease Cycles'!$AX$32,'Lease Cycles'!$C$32*'Lease Cycles'!$AY$32/12,IF(DI$6&gt;='Lease Cycles'!$AV$32,'Lease Cycles'!$C$32*'Lease Cycles'!$AW$32/12,IF(DI$6&gt;='Lease Cycles'!$AT$32,'Lease Cycles'!$C$32*'Lease Cycles'!$AU$32/12,'Lease Cycles'!$C$32*INDEX('Lease Cycles'!$CB$32:$CH$32,1,DI418)*(1+INDEX('Lease Cycles'!$CI$32:$CO$32,1,DI418))^INT(INT(DI419/12)/INDEX('Lease Cycles'!$CP$32:$CV$32,1,DI418))/12)))),'Lease Cycles'!$C$32*INDEX('Lease Cycles'!$CB$32:$CH$32,1,DI418)*(1+INDEX('Lease Cycles'!$CI$32:$CO$32,1,DI418))^INT(INT(DI419/12)/INDEX('Lease Cycles'!$CP$32:$CV$32,1,DI418))/12),IF(INDEX('Lease Cycles'!$EF$32:$EL$32,1,DI418)=1,IF(AND('Lease Cycles'!$AZ$32&gt;=INDEX('Lease Cycles'!$BG$32:$BM$32,1,DI418),'Lease Cycles'!$AZ$32&lt;=DI$6),'Lease Cycles'!$C$32*'Lease Cycles'!$BA$32/12,IF(AND('Lease Cycles'!$AX$32&gt;=INDEX('Lease Cycles'!$BG$32:$BM$32,1,DI418),'Lease Cycles'!$AX$32&lt;=DI$6),'Lease Cycles'!$C$32*'Lease Cycles'!$AY$32/12,IF(AND('Lease Cycles'!$AV$32&gt;=INDEX('Lease Cycles'!$BG$32:$BM$32,1,DI418),'Lease Cycles'!$AV$32&lt;=DI$6),'Lease Cycles'!$C$32*'Lease Cycles'!$AW$32/12,IF(AND('Lease Cycles'!$AT$32&gt;=INDEX('Lease Cycles'!$BG$32:$BM$32,1,DI418),'Lease Cycles'!$AT$32&lt;=DI$6),'Lease Cycles'!$C$32*'Lease Cycles'!$AU$32/12,'Lease Cycles'!$C$32*INDEX('Lease Cycles'!$CB$32:$CH$32,1,DI418)*(1+INDEX('Lease Cycles'!$CI$32:$CO$32,1,DI418))^INT(INT(DI419/12)/INDEX('Lease Cycles'!$CP$32:$CV$32,1,DI418))/12)))),'Lease Cycles'!$C$32*INDEX('Lease Cycles'!$CB$32:$CH$32,1,DI418)*(1+INDEX('Lease Cycles'!$CI$32:$CO$32,1,DI418))^INT(INT(DI419/12)/INDEX('Lease Cycles'!$CP$32:$CV$32,1,DI418))/12))),IF('Lease Cycles'!$N$32=1,'Lease Cycles'!$C$32*'Lease Cycles'!$E$32*INDEX('Lease Cycles'!$HE$32:$HK$32,1,DI418)*(1+INDEX('Lease Cycles'!$GQ$32:$GW$32,1,DI418))^INT(INT((DI$6-INDEX('Lease Cycles'!$GJ$32:$GP$32,1,DI418))/12)/INDEX('Lease Cycles'!$GX$32:$HD$32,1,DI418))/12,0)))</f>
        <v>0</v>
      </c>
      <c r="DJ421" s="28">
        <f>IF(DJ418=0,IF('Lease Cycles'!$F$32&gt;0,'Lease Cycles'!$C$32*'Lease Cycles'!$E$32/12,0),IF(DJ420=1,IF('Lease Cycles'!$AT$32&gt;=9999,'Lease Cycles'!$C$32*INDEX('Lease Cycles'!$CB$32:$CH$32,1,DJ418)*(1+INDEX('Lease Cycles'!$CI$32:$CO$32,1,DJ418))^INT(INT(DJ419/12)/INDEX('Lease Cycles'!$CP$32:$CV$32,1,DJ418))/12,IF(DJ418=1,IF(DJ419&gt;=INDEX('Lease Cycles'!$DK$32:$DQ$32,1,DJ418),IF(DJ$6&gt;='Lease Cycles'!$AZ$32,'Lease Cycles'!$C$32*'Lease Cycles'!$BA$32/12,IF(DJ$6&gt;='Lease Cycles'!$AX$32,'Lease Cycles'!$C$32*'Lease Cycles'!$AY$32/12,IF(DJ$6&gt;='Lease Cycles'!$AV$32,'Lease Cycles'!$C$32*'Lease Cycles'!$AW$32/12,IF(DJ$6&gt;='Lease Cycles'!$AT$32,'Lease Cycles'!$C$32*'Lease Cycles'!$AU$32/12,'Lease Cycles'!$C$32*INDEX('Lease Cycles'!$CB$32:$CH$32,1,DJ418)*(1+INDEX('Lease Cycles'!$CI$32:$CO$32,1,DJ418))^INT(INT(DJ419/12)/INDEX('Lease Cycles'!$CP$32:$CV$32,1,DJ418))/12)))),'Lease Cycles'!$C$32*INDEX('Lease Cycles'!$CB$32:$CH$32,1,DJ418)*(1+INDEX('Lease Cycles'!$CI$32:$CO$32,1,DJ418))^INT(INT(DJ419/12)/INDEX('Lease Cycles'!$CP$32:$CV$32,1,DJ418))/12),IF(INDEX('Lease Cycles'!$EF$32:$EL$32,1,DJ418)=1,IF(AND('Lease Cycles'!$AZ$32&gt;=INDEX('Lease Cycles'!$BG$32:$BM$32,1,DJ418),'Lease Cycles'!$AZ$32&lt;=DJ$6),'Lease Cycles'!$C$32*'Lease Cycles'!$BA$32/12,IF(AND('Lease Cycles'!$AX$32&gt;=INDEX('Lease Cycles'!$BG$32:$BM$32,1,DJ418),'Lease Cycles'!$AX$32&lt;=DJ$6),'Lease Cycles'!$C$32*'Lease Cycles'!$AY$32/12,IF(AND('Lease Cycles'!$AV$32&gt;=INDEX('Lease Cycles'!$BG$32:$BM$32,1,DJ418),'Lease Cycles'!$AV$32&lt;=DJ$6),'Lease Cycles'!$C$32*'Lease Cycles'!$AW$32/12,IF(AND('Lease Cycles'!$AT$32&gt;=INDEX('Lease Cycles'!$BG$32:$BM$32,1,DJ418),'Lease Cycles'!$AT$32&lt;=DJ$6),'Lease Cycles'!$C$32*'Lease Cycles'!$AU$32/12,'Lease Cycles'!$C$32*INDEX('Lease Cycles'!$CB$32:$CH$32,1,DJ418)*(1+INDEX('Lease Cycles'!$CI$32:$CO$32,1,DJ418))^INT(INT(DJ419/12)/INDEX('Lease Cycles'!$CP$32:$CV$32,1,DJ418))/12)))),'Lease Cycles'!$C$32*INDEX('Lease Cycles'!$CB$32:$CH$32,1,DJ418)*(1+INDEX('Lease Cycles'!$CI$32:$CO$32,1,DJ418))^INT(INT(DJ419/12)/INDEX('Lease Cycles'!$CP$32:$CV$32,1,DJ418))/12))),IF('Lease Cycles'!$N$32=1,'Lease Cycles'!$C$32*'Lease Cycles'!$E$32*INDEX('Lease Cycles'!$HE$32:$HK$32,1,DJ418)*(1+INDEX('Lease Cycles'!$GQ$32:$GW$32,1,DJ418))^INT(INT((DJ$6-INDEX('Lease Cycles'!$GJ$32:$GP$32,1,DJ418))/12)/INDEX('Lease Cycles'!$GX$32:$HD$32,1,DJ418))/12,0)))</f>
        <v>0</v>
      </c>
      <c r="DK421" s="28">
        <f>IF(DK418=0,IF('Lease Cycles'!$F$32&gt;0,'Lease Cycles'!$C$32*'Lease Cycles'!$E$32/12,0),IF(DK420=1,IF('Lease Cycles'!$AT$32&gt;=9999,'Lease Cycles'!$C$32*INDEX('Lease Cycles'!$CB$32:$CH$32,1,DK418)*(1+INDEX('Lease Cycles'!$CI$32:$CO$32,1,DK418))^INT(INT(DK419/12)/INDEX('Lease Cycles'!$CP$32:$CV$32,1,DK418))/12,IF(DK418=1,IF(DK419&gt;=INDEX('Lease Cycles'!$DK$32:$DQ$32,1,DK418),IF(DK$6&gt;='Lease Cycles'!$AZ$32,'Lease Cycles'!$C$32*'Lease Cycles'!$BA$32/12,IF(DK$6&gt;='Lease Cycles'!$AX$32,'Lease Cycles'!$C$32*'Lease Cycles'!$AY$32/12,IF(DK$6&gt;='Lease Cycles'!$AV$32,'Lease Cycles'!$C$32*'Lease Cycles'!$AW$32/12,IF(DK$6&gt;='Lease Cycles'!$AT$32,'Lease Cycles'!$C$32*'Lease Cycles'!$AU$32/12,'Lease Cycles'!$C$32*INDEX('Lease Cycles'!$CB$32:$CH$32,1,DK418)*(1+INDEX('Lease Cycles'!$CI$32:$CO$32,1,DK418))^INT(INT(DK419/12)/INDEX('Lease Cycles'!$CP$32:$CV$32,1,DK418))/12)))),'Lease Cycles'!$C$32*INDEX('Lease Cycles'!$CB$32:$CH$32,1,DK418)*(1+INDEX('Lease Cycles'!$CI$32:$CO$32,1,DK418))^INT(INT(DK419/12)/INDEX('Lease Cycles'!$CP$32:$CV$32,1,DK418))/12),IF(INDEX('Lease Cycles'!$EF$32:$EL$32,1,DK418)=1,IF(AND('Lease Cycles'!$AZ$32&gt;=INDEX('Lease Cycles'!$BG$32:$BM$32,1,DK418),'Lease Cycles'!$AZ$32&lt;=DK$6),'Lease Cycles'!$C$32*'Lease Cycles'!$BA$32/12,IF(AND('Lease Cycles'!$AX$32&gt;=INDEX('Lease Cycles'!$BG$32:$BM$32,1,DK418),'Lease Cycles'!$AX$32&lt;=DK$6),'Lease Cycles'!$C$32*'Lease Cycles'!$AY$32/12,IF(AND('Lease Cycles'!$AV$32&gt;=INDEX('Lease Cycles'!$BG$32:$BM$32,1,DK418),'Lease Cycles'!$AV$32&lt;=DK$6),'Lease Cycles'!$C$32*'Lease Cycles'!$AW$32/12,IF(AND('Lease Cycles'!$AT$32&gt;=INDEX('Lease Cycles'!$BG$32:$BM$32,1,DK418),'Lease Cycles'!$AT$32&lt;=DK$6),'Lease Cycles'!$C$32*'Lease Cycles'!$AU$32/12,'Lease Cycles'!$C$32*INDEX('Lease Cycles'!$CB$32:$CH$32,1,DK418)*(1+INDEX('Lease Cycles'!$CI$32:$CO$32,1,DK418))^INT(INT(DK419/12)/INDEX('Lease Cycles'!$CP$32:$CV$32,1,DK418))/12)))),'Lease Cycles'!$C$32*INDEX('Lease Cycles'!$CB$32:$CH$32,1,DK418)*(1+INDEX('Lease Cycles'!$CI$32:$CO$32,1,DK418))^INT(INT(DK419/12)/INDEX('Lease Cycles'!$CP$32:$CV$32,1,DK418))/12))),IF('Lease Cycles'!$N$32=1,'Lease Cycles'!$C$32*'Lease Cycles'!$E$32*INDEX('Lease Cycles'!$HE$32:$HK$32,1,DK418)*(1+INDEX('Lease Cycles'!$GQ$32:$GW$32,1,DK418))^INT(INT((DK$6-INDEX('Lease Cycles'!$GJ$32:$GP$32,1,DK418))/12)/INDEX('Lease Cycles'!$GX$32:$HD$32,1,DK418))/12,0)))</f>
        <v>0</v>
      </c>
      <c r="DL421" s="28">
        <f>IF(DL418=0,IF('Lease Cycles'!$F$32&gt;0,'Lease Cycles'!$C$32*'Lease Cycles'!$E$32/12,0),IF(DL420=1,IF('Lease Cycles'!$AT$32&gt;=9999,'Lease Cycles'!$C$32*INDEX('Lease Cycles'!$CB$32:$CH$32,1,DL418)*(1+INDEX('Lease Cycles'!$CI$32:$CO$32,1,DL418))^INT(INT(DL419/12)/INDEX('Lease Cycles'!$CP$32:$CV$32,1,DL418))/12,IF(DL418=1,IF(DL419&gt;=INDEX('Lease Cycles'!$DK$32:$DQ$32,1,DL418),IF(DL$6&gt;='Lease Cycles'!$AZ$32,'Lease Cycles'!$C$32*'Lease Cycles'!$BA$32/12,IF(DL$6&gt;='Lease Cycles'!$AX$32,'Lease Cycles'!$C$32*'Lease Cycles'!$AY$32/12,IF(DL$6&gt;='Lease Cycles'!$AV$32,'Lease Cycles'!$C$32*'Lease Cycles'!$AW$32/12,IF(DL$6&gt;='Lease Cycles'!$AT$32,'Lease Cycles'!$C$32*'Lease Cycles'!$AU$32/12,'Lease Cycles'!$C$32*INDEX('Lease Cycles'!$CB$32:$CH$32,1,DL418)*(1+INDEX('Lease Cycles'!$CI$32:$CO$32,1,DL418))^INT(INT(DL419/12)/INDEX('Lease Cycles'!$CP$32:$CV$32,1,DL418))/12)))),'Lease Cycles'!$C$32*INDEX('Lease Cycles'!$CB$32:$CH$32,1,DL418)*(1+INDEX('Lease Cycles'!$CI$32:$CO$32,1,DL418))^INT(INT(DL419/12)/INDEX('Lease Cycles'!$CP$32:$CV$32,1,DL418))/12),IF(INDEX('Lease Cycles'!$EF$32:$EL$32,1,DL418)=1,IF(AND('Lease Cycles'!$AZ$32&gt;=INDEX('Lease Cycles'!$BG$32:$BM$32,1,DL418),'Lease Cycles'!$AZ$32&lt;=DL$6),'Lease Cycles'!$C$32*'Lease Cycles'!$BA$32/12,IF(AND('Lease Cycles'!$AX$32&gt;=INDEX('Lease Cycles'!$BG$32:$BM$32,1,DL418),'Lease Cycles'!$AX$32&lt;=DL$6),'Lease Cycles'!$C$32*'Lease Cycles'!$AY$32/12,IF(AND('Lease Cycles'!$AV$32&gt;=INDEX('Lease Cycles'!$BG$32:$BM$32,1,DL418),'Lease Cycles'!$AV$32&lt;=DL$6),'Lease Cycles'!$C$32*'Lease Cycles'!$AW$32/12,IF(AND('Lease Cycles'!$AT$32&gt;=INDEX('Lease Cycles'!$BG$32:$BM$32,1,DL418),'Lease Cycles'!$AT$32&lt;=DL$6),'Lease Cycles'!$C$32*'Lease Cycles'!$AU$32/12,'Lease Cycles'!$C$32*INDEX('Lease Cycles'!$CB$32:$CH$32,1,DL418)*(1+INDEX('Lease Cycles'!$CI$32:$CO$32,1,DL418))^INT(INT(DL419/12)/INDEX('Lease Cycles'!$CP$32:$CV$32,1,DL418))/12)))),'Lease Cycles'!$C$32*INDEX('Lease Cycles'!$CB$32:$CH$32,1,DL418)*(1+INDEX('Lease Cycles'!$CI$32:$CO$32,1,DL418))^INT(INT(DL419/12)/INDEX('Lease Cycles'!$CP$32:$CV$32,1,DL418))/12))),IF('Lease Cycles'!$N$32=1,'Lease Cycles'!$C$32*'Lease Cycles'!$E$32*INDEX('Lease Cycles'!$HE$32:$HK$32,1,DL418)*(1+INDEX('Lease Cycles'!$GQ$32:$GW$32,1,DL418))^INT(INT((DL$6-INDEX('Lease Cycles'!$GJ$32:$GP$32,1,DL418))/12)/INDEX('Lease Cycles'!$GX$32:$HD$32,1,DL418))/12,0)))</f>
        <v>0</v>
      </c>
      <c r="DM421" s="28">
        <f>IF(DM418=0,IF('Lease Cycles'!$F$32&gt;0,'Lease Cycles'!$C$32*'Lease Cycles'!$E$32/12,0),IF(DM420=1,IF('Lease Cycles'!$AT$32&gt;=9999,'Lease Cycles'!$C$32*INDEX('Lease Cycles'!$CB$32:$CH$32,1,DM418)*(1+INDEX('Lease Cycles'!$CI$32:$CO$32,1,DM418))^INT(INT(DM419/12)/INDEX('Lease Cycles'!$CP$32:$CV$32,1,DM418))/12,IF(DM418=1,IF(DM419&gt;=INDEX('Lease Cycles'!$DK$32:$DQ$32,1,DM418),IF(DM$6&gt;='Lease Cycles'!$AZ$32,'Lease Cycles'!$C$32*'Lease Cycles'!$BA$32/12,IF(DM$6&gt;='Lease Cycles'!$AX$32,'Lease Cycles'!$C$32*'Lease Cycles'!$AY$32/12,IF(DM$6&gt;='Lease Cycles'!$AV$32,'Lease Cycles'!$C$32*'Lease Cycles'!$AW$32/12,IF(DM$6&gt;='Lease Cycles'!$AT$32,'Lease Cycles'!$C$32*'Lease Cycles'!$AU$32/12,'Lease Cycles'!$C$32*INDEX('Lease Cycles'!$CB$32:$CH$32,1,DM418)*(1+INDEX('Lease Cycles'!$CI$32:$CO$32,1,DM418))^INT(INT(DM419/12)/INDEX('Lease Cycles'!$CP$32:$CV$32,1,DM418))/12)))),'Lease Cycles'!$C$32*INDEX('Lease Cycles'!$CB$32:$CH$32,1,DM418)*(1+INDEX('Lease Cycles'!$CI$32:$CO$32,1,DM418))^INT(INT(DM419/12)/INDEX('Lease Cycles'!$CP$32:$CV$32,1,DM418))/12),IF(INDEX('Lease Cycles'!$EF$32:$EL$32,1,DM418)=1,IF(AND('Lease Cycles'!$AZ$32&gt;=INDEX('Lease Cycles'!$BG$32:$BM$32,1,DM418),'Lease Cycles'!$AZ$32&lt;=DM$6),'Lease Cycles'!$C$32*'Lease Cycles'!$BA$32/12,IF(AND('Lease Cycles'!$AX$32&gt;=INDEX('Lease Cycles'!$BG$32:$BM$32,1,DM418),'Lease Cycles'!$AX$32&lt;=DM$6),'Lease Cycles'!$C$32*'Lease Cycles'!$AY$32/12,IF(AND('Lease Cycles'!$AV$32&gt;=INDEX('Lease Cycles'!$BG$32:$BM$32,1,DM418),'Lease Cycles'!$AV$32&lt;=DM$6),'Lease Cycles'!$C$32*'Lease Cycles'!$AW$32/12,IF(AND('Lease Cycles'!$AT$32&gt;=INDEX('Lease Cycles'!$BG$32:$BM$32,1,DM418),'Lease Cycles'!$AT$32&lt;=DM$6),'Lease Cycles'!$C$32*'Lease Cycles'!$AU$32/12,'Lease Cycles'!$C$32*INDEX('Lease Cycles'!$CB$32:$CH$32,1,DM418)*(1+INDEX('Lease Cycles'!$CI$32:$CO$32,1,DM418))^INT(INT(DM419/12)/INDEX('Lease Cycles'!$CP$32:$CV$32,1,DM418))/12)))),'Lease Cycles'!$C$32*INDEX('Lease Cycles'!$CB$32:$CH$32,1,DM418)*(1+INDEX('Lease Cycles'!$CI$32:$CO$32,1,DM418))^INT(INT(DM419/12)/INDEX('Lease Cycles'!$CP$32:$CV$32,1,DM418))/12))),IF('Lease Cycles'!$N$32=1,'Lease Cycles'!$C$32*'Lease Cycles'!$E$32*INDEX('Lease Cycles'!$HE$32:$HK$32,1,DM418)*(1+INDEX('Lease Cycles'!$GQ$32:$GW$32,1,DM418))^INT(INT((DM$6-INDEX('Lease Cycles'!$GJ$32:$GP$32,1,DM418))/12)/INDEX('Lease Cycles'!$GX$32:$HD$32,1,DM418))/12,0)))</f>
        <v>0</v>
      </c>
      <c r="DN421" s="28">
        <f>IF(DN418=0,IF('Lease Cycles'!$F$32&gt;0,'Lease Cycles'!$C$32*'Lease Cycles'!$E$32/12,0),IF(DN420=1,IF('Lease Cycles'!$AT$32&gt;=9999,'Lease Cycles'!$C$32*INDEX('Lease Cycles'!$CB$32:$CH$32,1,DN418)*(1+INDEX('Lease Cycles'!$CI$32:$CO$32,1,DN418))^INT(INT(DN419/12)/INDEX('Lease Cycles'!$CP$32:$CV$32,1,DN418))/12,IF(DN418=1,IF(DN419&gt;=INDEX('Lease Cycles'!$DK$32:$DQ$32,1,DN418),IF(DN$6&gt;='Lease Cycles'!$AZ$32,'Lease Cycles'!$C$32*'Lease Cycles'!$BA$32/12,IF(DN$6&gt;='Lease Cycles'!$AX$32,'Lease Cycles'!$C$32*'Lease Cycles'!$AY$32/12,IF(DN$6&gt;='Lease Cycles'!$AV$32,'Lease Cycles'!$C$32*'Lease Cycles'!$AW$32/12,IF(DN$6&gt;='Lease Cycles'!$AT$32,'Lease Cycles'!$C$32*'Lease Cycles'!$AU$32/12,'Lease Cycles'!$C$32*INDEX('Lease Cycles'!$CB$32:$CH$32,1,DN418)*(1+INDEX('Lease Cycles'!$CI$32:$CO$32,1,DN418))^INT(INT(DN419/12)/INDEX('Lease Cycles'!$CP$32:$CV$32,1,DN418))/12)))),'Lease Cycles'!$C$32*INDEX('Lease Cycles'!$CB$32:$CH$32,1,DN418)*(1+INDEX('Lease Cycles'!$CI$32:$CO$32,1,DN418))^INT(INT(DN419/12)/INDEX('Lease Cycles'!$CP$32:$CV$32,1,DN418))/12),IF(INDEX('Lease Cycles'!$EF$32:$EL$32,1,DN418)=1,IF(AND('Lease Cycles'!$AZ$32&gt;=INDEX('Lease Cycles'!$BG$32:$BM$32,1,DN418),'Lease Cycles'!$AZ$32&lt;=DN$6),'Lease Cycles'!$C$32*'Lease Cycles'!$BA$32/12,IF(AND('Lease Cycles'!$AX$32&gt;=INDEX('Lease Cycles'!$BG$32:$BM$32,1,DN418),'Lease Cycles'!$AX$32&lt;=DN$6),'Lease Cycles'!$C$32*'Lease Cycles'!$AY$32/12,IF(AND('Lease Cycles'!$AV$32&gt;=INDEX('Lease Cycles'!$BG$32:$BM$32,1,DN418),'Lease Cycles'!$AV$32&lt;=DN$6),'Lease Cycles'!$C$32*'Lease Cycles'!$AW$32/12,IF(AND('Lease Cycles'!$AT$32&gt;=INDEX('Lease Cycles'!$BG$32:$BM$32,1,DN418),'Lease Cycles'!$AT$32&lt;=DN$6),'Lease Cycles'!$C$32*'Lease Cycles'!$AU$32/12,'Lease Cycles'!$C$32*INDEX('Lease Cycles'!$CB$32:$CH$32,1,DN418)*(1+INDEX('Lease Cycles'!$CI$32:$CO$32,1,DN418))^INT(INT(DN419/12)/INDEX('Lease Cycles'!$CP$32:$CV$32,1,DN418))/12)))),'Lease Cycles'!$C$32*INDEX('Lease Cycles'!$CB$32:$CH$32,1,DN418)*(1+INDEX('Lease Cycles'!$CI$32:$CO$32,1,DN418))^INT(INT(DN419/12)/INDEX('Lease Cycles'!$CP$32:$CV$32,1,DN418))/12))),IF('Lease Cycles'!$N$32=1,'Lease Cycles'!$C$32*'Lease Cycles'!$E$32*INDEX('Lease Cycles'!$HE$32:$HK$32,1,DN418)*(1+INDEX('Lease Cycles'!$GQ$32:$GW$32,1,DN418))^INT(INT((DN$6-INDEX('Lease Cycles'!$GJ$32:$GP$32,1,DN418))/12)/INDEX('Lease Cycles'!$GX$32:$HD$32,1,DN418))/12,0)))</f>
        <v>0</v>
      </c>
      <c r="DO421" s="28">
        <f>IF(DO418=0,IF('Lease Cycles'!$F$32&gt;0,'Lease Cycles'!$C$32*'Lease Cycles'!$E$32/12,0),IF(DO420=1,IF('Lease Cycles'!$AT$32&gt;=9999,'Lease Cycles'!$C$32*INDEX('Lease Cycles'!$CB$32:$CH$32,1,DO418)*(1+INDEX('Lease Cycles'!$CI$32:$CO$32,1,DO418))^INT(INT(DO419/12)/INDEX('Lease Cycles'!$CP$32:$CV$32,1,DO418))/12,IF(DO418=1,IF(DO419&gt;=INDEX('Lease Cycles'!$DK$32:$DQ$32,1,DO418),IF(DO$6&gt;='Lease Cycles'!$AZ$32,'Lease Cycles'!$C$32*'Lease Cycles'!$BA$32/12,IF(DO$6&gt;='Lease Cycles'!$AX$32,'Lease Cycles'!$C$32*'Lease Cycles'!$AY$32/12,IF(DO$6&gt;='Lease Cycles'!$AV$32,'Lease Cycles'!$C$32*'Lease Cycles'!$AW$32/12,IF(DO$6&gt;='Lease Cycles'!$AT$32,'Lease Cycles'!$C$32*'Lease Cycles'!$AU$32/12,'Lease Cycles'!$C$32*INDEX('Lease Cycles'!$CB$32:$CH$32,1,DO418)*(1+INDEX('Lease Cycles'!$CI$32:$CO$32,1,DO418))^INT(INT(DO419/12)/INDEX('Lease Cycles'!$CP$32:$CV$32,1,DO418))/12)))),'Lease Cycles'!$C$32*INDEX('Lease Cycles'!$CB$32:$CH$32,1,DO418)*(1+INDEX('Lease Cycles'!$CI$32:$CO$32,1,DO418))^INT(INT(DO419/12)/INDEX('Lease Cycles'!$CP$32:$CV$32,1,DO418))/12),IF(INDEX('Lease Cycles'!$EF$32:$EL$32,1,DO418)=1,IF(AND('Lease Cycles'!$AZ$32&gt;=INDEX('Lease Cycles'!$BG$32:$BM$32,1,DO418),'Lease Cycles'!$AZ$32&lt;=DO$6),'Lease Cycles'!$C$32*'Lease Cycles'!$BA$32/12,IF(AND('Lease Cycles'!$AX$32&gt;=INDEX('Lease Cycles'!$BG$32:$BM$32,1,DO418),'Lease Cycles'!$AX$32&lt;=DO$6),'Lease Cycles'!$C$32*'Lease Cycles'!$AY$32/12,IF(AND('Lease Cycles'!$AV$32&gt;=INDEX('Lease Cycles'!$BG$32:$BM$32,1,DO418),'Lease Cycles'!$AV$32&lt;=DO$6),'Lease Cycles'!$C$32*'Lease Cycles'!$AW$32/12,IF(AND('Lease Cycles'!$AT$32&gt;=INDEX('Lease Cycles'!$BG$32:$BM$32,1,DO418),'Lease Cycles'!$AT$32&lt;=DO$6),'Lease Cycles'!$C$32*'Lease Cycles'!$AU$32/12,'Lease Cycles'!$C$32*INDEX('Lease Cycles'!$CB$32:$CH$32,1,DO418)*(1+INDEX('Lease Cycles'!$CI$32:$CO$32,1,DO418))^INT(INT(DO419/12)/INDEX('Lease Cycles'!$CP$32:$CV$32,1,DO418))/12)))),'Lease Cycles'!$C$32*INDEX('Lease Cycles'!$CB$32:$CH$32,1,DO418)*(1+INDEX('Lease Cycles'!$CI$32:$CO$32,1,DO418))^INT(INT(DO419/12)/INDEX('Lease Cycles'!$CP$32:$CV$32,1,DO418))/12))),IF('Lease Cycles'!$N$32=1,'Lease Cycles'!$C$32*'Lease Cycles'!$E$32*INDEX('Lease Cycles'!$HE$32:$HK$32,1,DO418)*(1+INDEX('Lease Cycles'!$GQ$32:$GW$32,1,DO418))^INT(INT((DO$6-INDEX('Lease Cycles'!$GJ$32:$GP$32,1,DO418))/12)/INDEX('Lease Cycles'!$GX$32:$HD$32,1,DO418))/12,0)))</f>
        <v>0</v>
      </c>
      <c r="DP421" s="28">
        <f>IF(DP418=0,IF('Lease Cycles'!$F$32&gt;0,'Lease Cycles'!$C$32*'Lease Cycles'!$E$32/12,0),IF(DP420=1,IF('Lease Cycles'!$AT$32&gt;=9999,'Lease Cycles'!$C$32*INDEX('Lease Cycles'!$CB$32:$CH$32,1,DP418)*(1+INDEX('Lease Cycles'!$CI$32:$CO$32,1,DP418))^INT(INT(DP419/12)/INDEX('Lease Cycles'!$CP$32:$CV$32,1,DP418))/12,IF(DP418=1,IF(DP419&gt;=INDEX('Lease Cycles'!$DK$32:$DQ$32,1,DP418),IF(DP$6&gt;='Lease Cycles'!$AZ$32,'Lease Cycles'!$C$32*'Lease Cycles'!$BA$32/12,IF(DP$6&gt;='Lease Cycles'!$AX$32,'Lease Cycles'!$C$32*'Lease Cycles'!$AY$32/12,IF(DP$6&gt;='Lease Cycles'!$AV$32,'Lease Cycles'!$C$32*'Lease Cycles'!$AW$32/12,IF(DP$6&gt;='Lease Cycles'!$AT$32,'Lease Cycles'!$C$32*'Lease Cycles'!$AU$32/12,'Lease Cycles'!$C$32*INDEX('Lease Cycles'!$CB$32:$CH$32,1,DP418)*(1+INDEX('Lease Cycles'!$CI$32:$CO$32,1,DP418))^INT(INT(DP419/12)/INDEX('Lease Cycles'!$CP$32:$CV$32,1,DP418))/12)))),'Lease Cycles'!$C$32*INDEX('Lease Cycles'!$CB$32:$CH$32,1,DP418)*(1+INDEX('Lease Cycles'!$CI$32:$CO$32,1,DP418))^INT(INT(DP419/12)/INDEX('Lease Cycles'!$CP$32:$CV$32,1,DP418))/12),IF(INDEX('Lease Cycles'!$EF$32:$EL$32,1,DP418)=1,IF(AND('Lease Cycles'!$AZ$32&gt;=INDEX('Lease Cycles'!$BG$32:$BM$32,1,DP418),'Lease Cycles'!$AZ$32&lt;=DP$6),'Lease Cycles'!$C$32*'Lease Cycles'!$BA$32/12,IF(AND('Lease Cycles'!$AX$32&gt;=INDEX('Lease Cycles'!$BG$32:$BM$32,1,DP418),'Lease Cycles'!$AX$32&lt;=DP$6),'Lease Cycles'!$C$32*'Lease Cycles'!$AY$32/12,IF(AND('Lease Cycles'!$AV$32&gt;=INDEX('Lease Cycles'!$BG$32:$BM$32,1,DP418),'Lease Cycles'!$AV$32&lt;=DP$6),'Lease Cycles'!$C$32*'Lease Cycles'!$AW$32/12,IF(AND('Lease Cycles'!$AT$32&gt;=INDEX('Lease Cycles'!$BG$32:$BM$32,1,DP418),'Lease Cycles'!$AT$32&lt;=DP$6),'Lease Cycles'!$C$32*'Lease Cycles'!$AU$32/12,'Lease Cycles'!$C$32*INDEX('Lease Cycles'!$CB$32:$CH$32,1,DP418)*(1+INDEX('Lease Cycles'!$CI$32:$CO$32,1,DP418))^INT(INT(DP419/12)/INDEX('Lease Cycles'!$CP$32:$CV$32,1,DP418))/12)))),'Lease Cycles'!$C$32*INDEX('Lease Cycles'!$CB$32:$CH$32,1,DP418)*(1+INDEX('Lease Cycles'!$CI$32:$CO$32,1,DP418))^INT(INT(DP419/12)/INDEX('Lease Cycles'!$CP$32:$CV$32,1,DP418))/12))),IF('Lease Cycles'!$N$32=1,'Lease Cycles'!$C$32*'Lease Cycles'!$E$32*INDEX('Lease Cycles'!$HE$32:$HK$32,1,DP418)*(1+INDEX('Lease Cycles'!$GQ$32:$GW$32,1,DP418))^INT(INT((DP$6-INDEX('Lease Cycles'!$GJ$32:$GP$32,1,DP418))/12)/INDEX('Lease Cycles'!$GX$32:$HD$32,1,DP418))/12,0)))</f>
        <v>0</v>
      </c>
      <c r="DQ421" s="28">
        <f>IF(DQ418=0,IF('Lease Cycles'!$F$32&gt;0,'Lease Cycles'!$C$32*'Lease Cycles'!$E$32/12,0),IF(DQ420=1,IF('Lease Cycles'!$AT$32&gt;=9999,'Lease Cycles'!$C$32*INDEX('Lease Cycles'!$CB$32:$CH$32,1,DQ418)*(1+INDEX('Lease Cycles'!$CI$32:$CO$32,1,DQ418))^INT(INT(DQ419/12)/INDEX('Lease Cycles'!$CP$32:$CV$32,1,DQ418))/12,IF(DQ418=1,IF(DQ419&gt;=INDEX('Lease Cycles'!$DK$32:$DQ$32,1,DQ418),IF(DQ$6&gt;='Lease Cycles'!$AZ$32,'Lease Cycles'!$C$32*'Lease Cycles'!$BA$32/12,IF(DQ$6&gt;='Lease Cycles'!$AX$32,'Lease Cycles'!$C$32*'Lease Cycles'!$AY$32/12,IF(DQ$6&gt;='Lease Cycles'!$AV$32,'Lease Cycles'!$C$32*'Lease Cycles'!$AW$32/12,IF(DQ$6&gt;='Lease Cycles'!$AT$32,'Lease Cycles'!$C$32*'Lease Cycles'!$AU$32/12,'Lease Cycles'!$C$32*INDEX('Lease Cycles'!$CB$32:$CH$32,1,DQ418)*(1+INDEX('Lease Cycles'!$CI$32:$CO$32,1,DQ418))^INT(INT(DQ419/12)/INDEX('Lease Cycles'!$CP$32:$CV$32,1,DQ418))/12)))),'Lease Cycles'!$C$32*INDEX('Lease Cycles'!$CB$32:$CH$32,1,DQ418)*(1+INDEX('Lease Cycles'!$CI$32:$CO$32,1,DQ418))^INT(INT(DQ419/12)/INDEX('Lease Cycles'!$CP$32:$CV$32,1,DQ418))/12),IF(INDEX('Lease Cycles'!$EF$32:$EL$32,1,DQ418)=1,IF(AND('Lease Cycles'!$AZ$32&gt;=INDEX('Lease Cycles'!$BG$32:$BM$32,1,DQ418),'Lease Cycles'!$AZ$32&lt;=DQ$6),'Lease Cycles'!$C$32*'Lease Cycles'!$BA$32/12,IF(AND('Lease Cycles'!$AX$32&gt;=INDEX('Lease Cycles'!$BG$32:$BM$32,1,DQ418),'Lease Cycles'!$AX$32&lt;=DQ$6),'Lease Cycles'!$C$32*'Lease Cycles'!$AY$32/12,IF(AND('Lease Cycles'!$AV$32&gt;=INDEX('Lease Cycles'!$BG$32:$BM$32,1,DQ418),'Lease Cycles'!$AV$32&lt;=DQ$6),'Lease Cycles'!$C$32*'Lease Cycles'!$AW$32/12,IF(AND('Lease Cycles'!$AT$32&gt;=INDEX('Lease Cycles'!$BG$32:$BM$32,1,DQ418),'Lease Cycles'!$AT$32&lt;=DQ$6),'Lease Cycles'!$C$32*'Lease Cycles'!$AU$32/12,'Lease Cycles'!$C$32*INDEX('Lease Cycles'!$CB$32:$CH$32,1,DQ418)*(1+INDEX('Lease Cycles'!$CI$32:$CO$32,1,DQ418))^INT(INT(DQ419/12)/INDEX('Lease Cycles'!$CP$32:$CV$32,1,DQ418))/12)))),'Lease Cycles'!$C$32*INDEX('Lease Cycles'!$CB$32:$CH$32,1,DQ418)*(1+INDEX('Lease Cycles'!$CI$32:$CO$32,1,DQ418))^INT(INT(DQ419/12)/INDEX('Lease Cycles'!$CP$32:$CV$32,1,DQ418))/12))),IF('Lease Cycles'!$N$32=1,'Lease Cycles'!$C$32*'Lease Cycles'!$E$32*INDEX('Lease Cycles'!$HE$32:$HK$32,1,DQ418)*(1+INDEX('Lease Cycles'!$GQ$32:$GW$32,1,DQ418))^INT(INT((DQ$6-INDEX('Lease Cycles'!$GJ$32:$GP$32,1,DQ418))/12)/INDEX('Lease Cycles'!$GX$32:$HD$32,1,DQ418))/12,0)))</f>
        <v>0</v>
      </c>
      <c r="DR421" s="28">
        <f>IF(DR418=0,IF('Lease Cycles'!$F$32&gt;0,'Lease Cycles'!$C$32*'Lease Cycles'!$E$32/12,0),IF(DR420=1,IF('Lease Cycles'!$AT$32&gt;=9999,'Lease Cycles'!$C$32*INDEX('Lease Cycles'!$CB$32:$CH$32,1,DR418)*(1+INDEX('Lease Cycles'!$CI$32:$CO$32,1,DR418))^INT(INT(DR419/12)/INDEX('Lease Cycles'!$CP$32:$CV$32,1,DR418))/12,IF(DR418=1,IF(DR419&gt;=INDEX('Lease Cycles'!$DK$32:$DQ$32,1,DR418),IF(DR$6&gt;='Lease Cycles'!$AZ$32,'Lease Cycles'!$C$32*'Lease Cycles'!$BA$32/12,IF(DR$6&gt;='Lease Cycles'!$AX$32,'Lease Cycles'!$C$32*'Lease Cycles'!$AY$32/12,IF(DR$6&gt;='Lease Cycles'!$AV$32,'Lease Cycles'!$C$32*'Lease Cycles'!$AW$32/12,IF(DR$6&gt;='Lease Cycles'!$AT$32,'Lease Cycles'!$C$32*'Lease Cycles'!$AU$32/12,'Lease Cycles'!$C$32*INDEX('Lease Cycles'!$CB$32:$CH$32,1,DR418)*(1+INDEX('Lease Cycles'!$CI$32:$CO$32,1,DR418))^INT(INT(DR419/12)/INDEX('Lease Cycles'!$CP$32:$CV$32,1,DR418))/12)))),'Lease Cycles'!$C$32*INDEX('Lease Cycles'!$CB$32:$CH$32,1,DR418)*(1+INDEX('Lease Cycles'!$CI$32:$CO$32,1,DR418))^INT(INT(DR419/12)/INDEX('Lease Cycles'!$CP$32:$CV$32,1,DR418))/12),IF(INDEX('Lease Cycles'!$EF$32:$EL$32,1,DR418)=1,IF(AND('Lease Cycles'!$AZ$32&gt;=INDEX('Lease Cycles'!$BG$32:$BM$32,1,DR418),'Lease Cycles'!$AZ$32&lt;=DR$6),'Lease Cycles'!$C$32*'Lease Cycles'!$BA$32/12,IF(AND('Lease Cycles'!$AX$32&gt;=INDEX('Lease Cycles'!$BG$32:$BM$32,1,DR418),'Lease Cycles'!$AX$32&lt;=DR$6),'Lease Cycles'!$C$32*'Lease Cycles'!$AY$32/12,IF(AND('Lease Cycles'!$AV$32&gt;=INDEX('Lease Cycles'!$BG$32:$BM$32,1,DR418),'Lease Cycles'!$AV$32&lt;=DR$6),'Lease Cycles'!$C$32*'Lease Cycles'!$AW$32/12,IF(AND('Lease Cycles'!$AT$32&gt;=INDEX('Lease Cycles'!$BG$32:$BM$32,1,DR418),'Lease Cycles'!$AT$32&lt;=DR$6),'Lease Cycles'!$C$32*'Lease Cycles'!$AU$32/12,'Lease Cycles'!$C$32*INDEX('Lease Cycles'!$CB$32:$CH$32,1,DR418)*(1+INDEX('Lease Cycles'!$CI$32:$CO$32,1,DR418))^INT(INT(DR419/12)/INDEX('Lease Cycles'!$CP$32:$CV$32,1,DR418))/12)))),'Lease Cycles'!$C$32*INDEX('Lease Cycles'!$CB$32:$CH$32,1,DR418)*(1+INDEX('Lease Cycles'!$CI$32:$CO$32,1,DR418))^INT(INT(DR419/12)/INDEX('Lease Cycles'!$CP$32:$CV$32,1,DR418))/12))),IF('Lease Cycles'!$N$32=1,'Lease Cycles'!$C$32*'Lease Cycles'!$E$32*INDEX('Lease Cycles'!$HE$32:$HK$32,1,DR418)*(1+INDEX('Lease Cycles'!$GQ$32:$GW$32,1,DR418))^INT(INT((DR$6-INDEX('Lease Cycles'!$GJ$32:$GP$32,1,DR418))/12)/INDEX('Lease Cycles'!$GX$32:$HD$32,1,DR418))/12,0)))</f>
        <v>0</v>
      </c>
      <c r="DS421" s="28">
        <f>IF(DS418=0,IF('Lease Cycles'!$F$32&gt;0,'Lease Cycles'!$C$32*'Lease Cycles'!$E$32/12,0),IF(DS420=1,IF('Lease Cycles'!$AT$32&gt;=9999,'Lease Cycles'!$C$32*INDEX('Lease Cycles'!$CB$32:$CH$32,1,DS418)*(1+INDEX('Lease Cycles'!$CI$32:$CO$32,1,DS418))^INT(INT(DS419/12)/INDEX('Lease Cycles'!$CP$32:$CV$32,1,DS418))/12,IF(DS418=1,IF(DS419&gt;=INDEX('Lease Cycles'!$DK$32:$DQ$32,1,DS418),IF(DS$6&gt;='Lease Cycles'!$AZ$32,'Lease Cycles'!$C$32*'Lease Cycles'!$BA$32/12,IF(DS$6&gt;='Lease Cycles'!$AX$32,'Lease Cycles'!$C$32*'Lease Cycles'!$AY$32/12,IF(DS$6&gt;='Lease Cycles'!$AV$32,'Lease Cycles'!$C$32*'Lease Cycles'!$AW$32/12,IF(DS$6&gt;='Lease Cycles'!$AT$32,'Lease Cycles'!$C$32*'Lease Cycles'!$AU$32/12,'Lease Cycles'!$C$32*INDEX('Lease Cycles'!$CB$32:$CH$32,1,DS418)*(1+INDEX('Lease Cycles'!$CI$32:$CO$32,1,DS418))^INT(INT(DS419/12)/INDEX('Lease Cycles'!$CP$32:$CV$32,1,DS418))/12)))),'Lease Cycles'!$C$32*INDEX('Lease Cycles'!$CB$32:$CH$32,1,DS418)*(1+INDEX('Lease Cycles'!$CI$32:$CO$32,1,DS418))^INT(INT(DS419/12)/INDEX('Lease Cycles'!$CP$32:$CV$32,1,DS418))/12),IF(INDEX('Lease Cycles'!$EF$32:$EL$32,1,DS418)=1,IF(AND('Lease Cycles'!$AZ$32&gt;=INDEX('Lease Cycles'!$BG$32:$BM$32,1,DS418),'Lease Cycles'!$AZ$32&lt;=DS$6),'Lease Cycles'!$C$32*'Lease Cycles'!$BA$32/12,IF(AND('Lease Cycles'!$AX$32&gt;=INDEX('Lease Cycles'!$BG$32:$BM$32,1,DS418),'Lease Cycles'!$AX$32&lt;=DS$6),'Lease Cycles'!$C$32*'Lease Cycles'!$AY$32/12,IF(AND('Lease Cycles'!$AV$32&gt;=INDEX('Lease Cycles'!$BG$32:$BM$32,1,DS418),'Lease Cycles'!$AV$32&lt;=DS$6),'Lease Cycles'!$C$32*'Lease Cycles'!$AW$32/12,IF(AND('Lease Cycles'!$AT$32&gt;=INDEX('Lease Cycles'!$BG$32:$BM$32,1,DS418),'Lease Cycles'!$AT$32&lt;=DS$6),'Lease Cycles'!$C$32*'Lease Cycles'!$AU$32/12,'Lease Cycles'!$C$32*INDEX('Lease Cycles'!$CB$32:$CH$32,1,DS418)*(1+INDEX('Lease Cycles'!$CI$32:$CO$32,1,DS418))^INT(INT(DS419/12)/INDEX('Lease Cycles'!$CP$32:$CV$32,1,DS418))/12)))),'Lease Cycles'!$C$32*INDEX('Lease Cycles'!$CB$32:$CH$32,1,DS418)*(1+INDEX('Lease Cycles'!$CI$32:$CO$32,1,DS418))^INT(INT(DS419/12)/INDEX('Lease Cycles'!$CP$32:$CV$32,1,DS418))/12))),IF('Lease Cycles'!$N$32=1,'Lease Cycles'!$C$32*'Lease Cycles'!$E$32*INDEX('Lease Cycles'!$HE$32:$HK$32,1,DS418)*(1+INDEX('Lease Cycles'!$GQ$32:$GW$32,1,DS418))^INT(INT((DS$6-INDEX('Lease Cycles'!$GJ$32:$GP$32,1,DS418))/12)/INDEX('Lease Cycles'!$GX$32:$HD$32,1,DS418))/12,0)))</f>
        <v>0</v>
      </c>
      <c r="DT421" s="28">
        <f>IF(DT418=0,IF('Lease Cycles'!$F$32&gt;0,'Lease Cycles'!$C$32*'Lease Cycles'!$E$32/12,0),IF(DT420=1,IF('Lease Cycles'!$AT$32&gt;=9999,'Lease Cycles'!$C$32*INDEX('Lease Cycles'!$CB$32:$CH$32,1,DT418)*(1+INDEX('Lease Cycles'!$CI$32:$CO$32,1,DT418))^INT(INT(DT419/12)/INDEX('Lease Cycles'!$CP$32:$CV$32,1,DT418))/12,IF(DT418=1,IF(DT419&gt;=INDEX('Lease Cycles'!$DK$32:$DQ$32,1,DT418),IF(DT$6&gt;='Lease Cycles'!$AZ$32,'Lease Cycles'!$C$32*'Lease Cycles'!$BA$32/12,IF(DT$6&gt;='Lease Cycles'!$AX$32,'Lease Cycles'!$C$32*'Lease Cycles'!$AY$32/12,IF(DT$6&gt;='Lease Cycles'!$AV$32,'Lease Cycles'!$C$32*'Lease Cycles'!$AW$32/12,IF(DT$6&gt;='Lease Cycles'!$AT$32,'Lease Cycles'!$C$32*'Lease Cycles'!$AU$32/12,'Lease Cycles'!$C$32*INDEX('Lease Cycles'!$CB$32:$CH$32,1,DT418)*(1+INDEX('Lease Cycles'!$CI$32:$CO$32,1,DT418))^INT(INT(DT419/12)/INDEX('Lease Cycles'!$CP$32:$CV$32,1,DT418))/12)))),'Lease Cycles'!$C$32*INDEX('Lease Cycles'!$CB$32:$CH$32,1,DT418)*(1+INDEX('Lease Cycles'!$CI$32:$CO$32,1,DT418))^INT(INT(DT419/12)/INDEX('Lease Cycles'!$CP$32:$CV$32,1,DT418))/12),IF(INDEX('Lease Cycles'!$EF$32:$EL$32,1,DT418)=1,IF(AND('Lease Cycles'!$AZ$32&gt;=INDEX('Lease Cycles'!$BG$32:$BM$32,1,DT418),'Lease Cycles'!$AZ$32&lt;=DT$6),'Lease Cycles'!$C$32*'Lease Cycles'!$BA$32/12,IF(AND('Lease Cycles'!$AX$32&gt;=INDEX('Lease Cycles'!$BG$32:$BM$32,1,DT418),'Lease Cycles'!$AX$32&lt;=DT$6),'Lease Cycles'!$C$32*'Lease Cycles'!$AY$32/12,IF(AND('Lease Cycles'!$AV$32&gt;=INDEX('Lease Cycles'!$BG$32:$BM$32,1,DT418),'Lease Cycles'!$AV$32&lt;=DT$6),'Lease Cycles'!$C$32*'Lease Cycles'!$AW$32/12,IF(AND('Lease Cycles'!$AT$32&gt;=INDEX('Lease Cycles'!$BG$32:$BM$32,1,DT418),'Lease Cycles'!$AT$32&lt;=DT$6),'Lease Cycles'!$C$32*'Lease Cycles'!$AU$32/12,'Lease Cycles'!$C$32*INDEX('Lease Cycles'!$CB$32:$CH$32,1,DT418)*(1+INDEX('Lease Cycles'!$CI$32:$CO$32,1,DT418))^INT(INT(DT419/12)/INDEX('Lease Cycles'!$CP$32:$CV$32,1,DT418))/12)))),'Lease Cycles'!$C$32*INDEX('Lease Cycles'!$CB$32:$CH$32,1,DT418)*(1+INDEX('Lease Cycles'!$CI$32:$CO$32,1,DT418))^INT(INT(DT419/12)/INDEX('Lease Cycles'!$CP$32:$CV$32,1,DT418))/12))),IF('Lease Cycles'!$N$32=1,'Lease Cycles'!$C$32*'Lease Cycles'!$E$32*INDEX('Lease Cycles'!$HE$32:$HK$32,1,DT418)*(1+INDEX('Lease Cycles'!$GQ$32:$GW$32,1,DT418))^INT(INT((DT$6-INDEX('Lease Cycles'!$GJ$32:$GP$32,1,DT418))/12)/INDEX('Lease Cycles'!$GX$32:$HD$32,1,DT418))/12,0)))</f>
        <v>0</v>
      </c>
      <c r="DU421" s="28">
        <f>IF(DU418=0,IF('Lease Cycles'!$F$32&gt;0,'Lease Cycles'!$C$32*'Lease Cycles'!$E$32/12,0),IF(DU420=1,IF('Lease Cycles'!$AT$32&gt;=9999,'Lease Cycles'!$C$32*INDEX('Lease Cycles'!$CB$32:$CH$32,1,DU418)*(1+INDEX('Lease Cycles'!$CI$32:$CO$32,1,DU418))^INT(INT(DU419/12)/INDEX('Lease Cycles'!$CP$32:$CV$32,1,DU418))/12,IF(DU418=1,IF(DU419&gt;=INDEX('Lease Cycles'!$DK$32:$DQ$32,1,DU418),IF(DU$6&gt;='Lease Cycles'!$AZ$32,'Lease Cycles'!$C$32*'Lease Cycles'!$BA$32/12,IF(DU$6&gt;='Lease Cycles'!$AX$32,'Lease Cycles'!$C$32*'Lease Cycles'!$AY$32/12,IF(DU$6&gt;='Lease Cycles'!$AV$32,'Lease Cycles'!$C$32*'Lease Cycles'!$AW$32/12,IF(DU$6&gt;='Lease Cycles'!$AT$32,'Lease Cycles'!$C$32*'Lease Cycles'!$AU$32/12,'Lease Cycles'!$C$32*INDEX('Lease Cycles'!$CB$32:$CH$32,1,DU418)*(1+INDEX('Lease Cycles'!$CI$32:$CO$32,1,DU418))^INT(INT(DU419/12)/INDEX('Lease Cycles'!$CP$32:$CV$32,1,DU418))/12)))),'Lease Cycles'!$C$32*INDEX('Lease Cycles'!$CB$32:$CH$32,1,DU418)*(1+INDEX('Lease Cycles'!$CI$32:$CO$32,1,DU418))^INT(INT(DU419/12)/INDEX('Lease Cycles'!$CP$32:$CV$32,1,DU418))/12),IF(INDEX('Lease Cycles'!$EF$32:$EL$32,1,DU418)=1,IF(AND('Lease Cycles'!$AZ$32&gt;=INDEX('Lease Cycles'!$BG$32:$BM$32,1,DU418),'Lease Cycles'!$AZ$32&lt;=DU$6),'Lease Cycles'!$C$32*'Lease Cycles'!$BA$32/12,IF(AND('Lease Cycles'!$AX$32&gt;=INDEX('Lease Cycles'!$BG$32:$BM$32,1,DU418),'Lease Cycles'!$AX$32&lt;=DU$6),'Lease Cycles'!$C$32*'Lease Cycles'!$AY$32/12,IF(AND('Lease Cycles'!$AV$32&gt;=INDEX('Lease Cycles'!$BG$32:$BM$32,1,DU418),'Lease Cycles'!$AV$32&lt;=DU$6),'Lease Cycles'!$C$32*'Lease Cycles'!$AW$32/12,IF(AND('Lease Cycles'!$AT$32&gt;=INDEX('Lease Cycles'!$BG$32:$BM$32,1,DU418),'Lease Cycles'!$AT$32&lt;=DU$6),'Lease Cycles'!$C$32*'Lease Cycles'!$AU$32/12,'Lease Cycles'!$C$32*INDEX('Lease Cycles'!$CB$32:$CH$32,1,DU418)*(1+INDEX('Lease Cycles'!$CI$32:$CO$32,1,DU418))^INT(INT(DU419/12)/INDEX('Lease Cycles'!$CP$32:$CV$32,1,DU418))/12)))),'Lease Cycles'!$C$32*INDEX('Lease Cycles'!$CB$32:$CH$32,1,DU418)*(1+INDEX('Lease Cycles'!$CI$32:$CO$32,1,DU418))^INT(INT(DU419/12)/INDEX('Lease Cycles'!$CP$32:$CV$32,1,DU418))/12))),IF('Lease Cycles'!$N$32=1,'Lease Cycles'!$C$32*'Lease Cycles'!$E$32*INDEX('Lease Cycles'!$HE$32:$HK$32,1,DU418)*(1+INDEX('Lease Cycles'!$GQ$32:$GW$32,1,DU418))^INT(INT((DU$6-INDEX('Lease Cycles'!$GJ$32:$GP$32,1,DU418))/12)/INDEX('Lease Cycles'!$GX$32:$HD$32,1,DU418))/12,0)))</f>
        <v>0</v>
      </c>
      <c r="DV421" s="28">
        <f>IF(DV418=0,IF('Lease Cycles'!$F$32&gt;0,'Lease Cycles'!$C$32*'Lease Cycles'!$E$32/12,0),IF(DV420=1,IF('Lease Cycles'!$AT$32&gt;=9999,'Lease Cycles'!$C$32*INDEX('Lease Cycles'!$CB$32:$CH$32,1,DV418)*(1+INDEX('Lease Cycles'!$CI$32:$CO$32,1,DV418))^INT(INT(DV419/12)/INDEX('Lease Cycles'!$CP$32:$CV$32,1,DV418))/12,IF(DV418=1,IF(DV419&gt;=INDEX('Lease Cycles'!$DK$32:$DQ$32,1,DV418),IF(DV$6&gt;='Lease Cycles'!$AZ$32,'Lease Cycles'!$C$32*'Lease Cycles'!$BA$32/12,IF(DV$6&gt;='Lease Cycles'!$AX$32,'Lease Cycles'!$C$32*'Lease Cycles'!$AY$32/12,IF(DV$6&gt;='Lease Cycles'!$AV$32,'Lease Cycles'!$C$32*'Lease Cycles'!$AW$32/12,IF(DV$6&gt;='Lease Cycles'!$AT$32,'Lease Cycles'!$C$32*'Lease Cycles'!$AU$32/12,'Lease Cycles'!$C$32*INDEX('Lease Cycles'!$CB$32:$CH$32,1,DV418)*(1+INDEX('Lease Cycles'!$CI$32:$CO$32,1,DV418))^INT(INT(DV419/12)/INDEX('Lease Cycles'!$CP$32:$CV$32,1,DV418))/12)))),'Lease Cycles'!$C$32*INDEX('Lease Cycles'!$CB$32:$CH$32,1,DV418)*(1+INDEX('Lease Cycles'!$CI$32:$CO$32,1,DV418))^INT(INT(DV419/12)/INDEX('Lease Cycles'!$CP$32:$CV$32,1,DV418))/12),IF(INDEX('Lease Cycles'!$EF$32:$EL$32,1,DV418)=1,IF(AND('Lease Cycles'!$AZ$32&gt;=INDEX('Lease Cycles'!$BG$32:$BM$32,1,DV418),'Lease Cycles'!$AZ$32&lt;=DV$6),'Lease Cycles'!$C$32*'Lease Cycles'!$BA$32/12,IF(AND('Lease Cycles'!$AX$32&gt;=INDEX('Lease Cycles'!$BG$32:$BM$32,1,DV418),'Lease Cycles'!$AX$32&lt;=DV$6),'Lease Cycles'!$C$32*'Lease Cycles'!$AY$32/12,IF(AND('Lease Cycles'!$AV$32&gt;=INDEX('Lease Cycles'!$BG$32:$BM$32,1,DV418),'Lease Cycles'!$AV$32&lt;=DV$6),'Lease Cycles'!$C$32*'Lease Cycles'!$AW$32/12,IF(AND('Lease Cycles'!$AT$32&gt;=INDEX('Lease Cycles'!$BG$32:$BM$32,1,DV418),'Lease Cycles'!$AT$32&lt;=DV$6),'Lease Cycles'!$C$32*'Lease Cycles'!$AU$32/12,'Lease Cycles'!$C$32*INDEX('Lease Cycles'!$CB$32:$CH$32,1,DV418)*(1+INDEX('Lease Cycles'!$CI$32:$CO$32,1,DV418))^INT(INT(DV419/12)/INDEX('Lease Cycles'!$CP$32:$CV$32,1,DV418))/12)))),'Lease Cycles'!$C$32*INDEX('Lease Cycles'!$CB$32:$CH$32,1,DV418)*(1+INDEX('Lease Cycles'!$CI$32:$CO$32,1,DV418))^INT(INT(DV419/12)/INDEX('Lease Cycles'!$CP$32:$CV$32,1,DV418))/12))),IF('Lease Cycles'!$N$32=1,'Lease Cycles'!$C$32*'Lease Cycles'!$E$32*INDEX('Lease Cycles'!$HE$32:$HK$32,1,DV418)*(1+INDEX('Lease Cycles'!$GQ$32:$GW$32,1,DV418))^INT(INT((DV$6-INDEX('Lease Cycles'!$GJ$32:$GP$32,1,DV418))/12)/INDEX('Lease Cycles'!$GX$32:$HD$32,1,DV418))/12,0)))</f>
        <v>0</v>
      </c>
      <c r="DW421" s="28">
        <f>IF(DW418=0,IF('Lease Cycles'!$F$32&gt;0,'Lease Cycles'!$C$32*'Lease Cycles'!$E$32/12,0),IF(DW420=1,IF('Lease Cycles'!$AT$32&gt;=9999,'Lease Cycles'!$C$32*INDEX('Lease Cycles'!$CB$32:$CH$32,1,DW418)*(1+INDEX('Lease Cycles'!$CI$32:$CO$32,1,DW418))^INT(INT(DW419/12)/INDEX('Lease Cycles'!$CP$32:$CV$32,1,DW418))/12,IF(DW418=1,IF(DW419&gt;=INDEX('Lease Cycles'!$DK$32:$DQ$32,1,DW418),IF(DW$6&gt;='Lease Cycles'!$AZ$32,'Lease Cycles'!$C$32*'Lease Cycles'!$BA$32/12,IF(DW$6&gt;='Lease Cycles'!$AX$32,'Lease Cycles'!$C$32*'Lease Cycles'!$AY$32/12,IF(DW$6&gt;='Lease Cycles'!$AV$32,'Lease Cycles'!$C$32*'Lease Cycles'!$AW$32/12,IF(DW$6&gt;='Lease Cycles'!$AT$32,'Lease Cycles'!$C$32*'Lease Cycles'!$AU$32/12,'Lease Cycles'!$C$32*INDEX('Lease Cycles'!$CB$32:$CH$32,1,DW418)*(1+INDEX('Lease Cycles'!$CI$32:$CO$32,1,DW418))^INT(INT(DW419/12)/INDEX('Lease Cycles'!$CP$32:$CV$32,1,DW418))/12)))),'Lease Cycles'!$C$32*INDEX('Lease Cycles'!$CB$32:$CH$32,1,DW418)*(1+INDEX('Lease Cycles'!$CI$32:$CO$32,1,DW418))^INT(INT(DW419/12)/INDEX('Lease Cycles'!$CP$32:$CV$32,1,DW418))/12),IF(INDEX('Lease Cycles'!$EF$32:$EL$32,1,DW418)=1,IF(AND('Lease Cycles'!$AZ$32&gt;=INDEX('Lease Cycles'!$BG$32:$BM$32,1,DW418),'Lease Cycles'!$AZ$32&lt;=DW$6),'Lease Cycles'!$C$32*'Lease Cycles'!$BA$32/12,IF(AND('Lease Cycles'!$AX$32&gt;=INDEX('Lease Cycles'!$BG$32:$BM$32,1,DW418),'Lease Cycles'!$AX$32&lt;=DW$6),'Lease Cycles'!$C$32*'Lease Cycles'!$AY$32/12,IF(AND('Lease Cycles'!$AV$32&gt;=INDEX('Lease Cycles'!$BG$32:$BM$32,1,DW418),'Lease Cycles'!$AV$32&lt;=DW$6),'Lease Cycles'!$C$32*'Lease Cycles'!$AW$32/12,IF(AND('Lease Cycles'!$AT$32&gt;=INDEX('Lease Cycles'!$BG$32:$BM$32,1,DW418),'Lease Cycles'!$AT$32&lt;=DW$6),'Lease Cycles'!$C$32*'Lease Cycles'!$AU$32/12,'Lease Cycles'!$C$32*INDEX('Lease Cycles'!$CB$32:$CH$32,1,DW418)*(1+INDEX('Lease Cycles'!$CI$32:$CO$32,1,DW418))^INT(INT(DW419/12)/INDEX('Lease Cycles'!$CP$32:$CV$32,1,DW418))/12)))),'Lease Cycles'!$C$32*INDEX('Lease Cycles'!$CB$32:$CH$32,1,DW418)*(1+INDEX('Lease Cycles'!$CI$32:$CO$32,1,DW418))^INT(INT(DW419/12)/INDEX('Lease Cycles'!$CP$32:$CV$32,1,DW418))/12))),IF('Lease Cycles'!$N$32=1,'Lease Cycles'!$C$32*'Lease Cycles'!$E$32*INDEX('Lease Cycles'!$HE$32:$HK$32,1,DW418)*(1+INDEX('Lease Cycles'!$GQ$32:$GW$32,1,DW418))^INT(INT((DW$6-INDEX('Lease Cycles'!$GJ$32:$GP$32,1,DW418))/12)/INDEX('Lease Cycles'!$GX$32:$HD$32,1,DW418))/12,0)))</f>
        <v>0</v>
      </c>
      <c r="DX421" s="28">
        <f>IF(DX418=0,IF('Lease Cycles'!$F$32&gt;0,'Lease Cycles'!$C$32*'Lease Cycles'!$E$32/12,0),IF(DX420=1,IF('Lease Cycles'!$AT$32&gt;=9999,'Lease Cycles'!$C$32*INDEX('Lease Cycles'!$CB$32:$CH$32,1,DX418)*(1+INDEX('Lease Cycles'!$CI$32:$CO$32,1,DX418))^INT(INT(DX419/12)/INDEX('Lease Cycles'!$CP$32:$CV$32,1,DX418))/12,IF(DX418=1,IF(DX419&gt;=INDEX('Lease Cycles'!$DK$32:$DQ$32,1,DX418),IF(DX$6&gt;='Lease Cycles'!$AZ$32,'Lease Cycles'!$C$32*'Lease Cycles'!$BA$32/12,IF(DX$6&gt;='Lease Cycles'!$AX$32,'Lease Cycles'!$C$32*'Lease Cycles'!$AY$32/12,IF(DX$6&gt;='Lease Cycles'!$AV$32,'Lease Cycles'!$C$32*'Lease Cycles'!$AW$32/12,IF(DX$6&gt;='Lease Cycles'!$AT$32,'Lease Cycles'!$C$32*'Lease Cycles'!$AU$32/12,'Lease Cycles'!$C$32*INDEX('Lease Cycles'!$CB$32:$CH$32,1,DX418)*(1+INDEX('Lease Cycles'!$CI$32:$CO$32,1,DX418))^INT(INT(DX419/12)/INDEX('Lease Cycles'!$CP$32:$CV$32,1,DX418))/12)))),'Lease Cycles'!$C$32*INDEX('Lease Cycles'!$CB$32:$CH$32,1,DX418)*(1+INDEX('Lease Cycles'!$CI$32:$CO$32,1,DX418))^INT(INT(DX419/12)/INDEX('Lease Cycles'!$CP$32:$CV$32,1,DX418))/12),IF(INDEX('Lease Cycles'!$EF$32:$EL$32,1,DX418)=1,IF(AND('Lease Cycles'!$AZ$32&gt;=INDEX('Lease Cycles'!$BG$32:$BM$32,1,DX418),'Lease Cycles'!$AZ$32&lt;=DX$6),'Lease Cycles'!$C$32*'Lease Cycles'!$BA$32/12,IF(AND('Lease Cycles'!$AX$32&gt;=INDEX('Lease Cycles'!$BG$32:$BM$32,1,DX418),'Lease Cycles'!$AX$32&lt;=DX$6),'Lease Cycles'!$C$32*'Lease Cycles'!$AY$32/12,IF(AND('Lease Cycles'!$AV$32&gt;=INDEX('Lease Cycles'!$BG$32:$BM$32,1,DX418),'Lease Cycles'!$AV$32&lt;=DX$6),'Lease Cycles'!$C$32*'Lease Cycles'!$AW$32/12,IF(AND('Lease Cycles'!$AT$32&gt;=INDEX('Lease Cycles'!$BG$32:$BM$32,1,DX418),'Lease Cycles'!$AT$32&lt;=DX$6),'Lease Cycles'!$C$32*'Lease Cycles'!$AU$32/12,'Lease Cycles'!$C$32*INDEX('Lease Cycles'!$CB$32:$CH$32,1,DX418)*(1+INDEX('Lease Cycles'!$CI$32:$CO$32,1,DX418))^INT(INT(DX419/12)/INDEX('Lease Cycles'!$CP$32:$CV$32,1,DX418))/12)))),'Lease Cycles'!$C$32*INDEX('Lease Cycles'!$CB$32:$CH$32,1,DX418)*(1+INDEX('Lease Cycles'!$CI$32:$CO$32,1,DX418))^INT(INT(DX419/12)/INDEX('Lease Cycles'!$CP$32:$CV$32,1,DX418))/12))),IF('Lease Cycles'!$N$32=1,'Lease Cycles'!$C$32*'Lease Cycles'!$E$32*INDEX('Lease Cycles'!$HE$32:$HK$32,1,DX418)*(1+INDEX('Lease Cycles'!$GQ$32:$GW$32,1,DX418))^INT(INT((DX$6-INDEX('Lease Cycles'!$GJ$32:$GP$32,1,DX418))/12)/INDEX('Lease Cycles'!$GX$32:$HD$32,1,DX418))/12,0)))</f>
        <v>0</v>
      </c>
      <c r="DY421" s="28">
        <f>IF(DY418=0,IF('Lease Cycles'!$F$32&gt;0,'Lease Cycles'!$C$32*'Lease Cycles'!$E$32/12,0),IF(DY420=1,IF('Lease Cycles'!$AT$32&gt;=9999,'Lease Cycles'!$C$32*INDEX('Lease Cycles'!$CB$32:$CH$32,1,DY418)*(1+INDEX('Lease Cycles'!$CI$32:$CO$32,1,DY418))^INT(INT(DY419/12)/INDEX('Lease Cycles'!$CP$32:$CV$32,1,DY418))/12,IF(DY418=1,IF(DY419&gt;=INDEX('Lease Cycles'!$DK$32:$DQ$32,1,DY418),IF(DY$6&gt;='Lease Cycles'!$AZ$32,'Lease Cycles'!$C$32*'Lease Cycles'!$BA$32/12,IF(DY$6&gt;='Lease Cycles'!$AX$32,'Lease Cycles'!$C$32*'Lease Cycles'!$AY$32/12,IF(DY$6&gt;='Lease Cycles'!$AV$32,'Lease Cycles'!$C$32*'Lease Cycles'!$AW$32/12,IF(DY$6&gt;='Lease Cycles'!$AT$32,'Lease Cycles'!$C$32*'Lease Cycles'!$AU$32/12,'Lease Cycles'!$C$32*INDEX('Lease Cycles'!$CB$32:$CH$32,1,DY418)*(1+INDEX('Lease Cycles'!$CI$32:$CO$32,1,DY418))^INT(INT(DY419/12)/INDEX('Lease Cycles'!$CP$32:$CV$32,1,DY418))/12)))),'Lease Cycles'!$C$32*INDEX('Lease Cycles'!$CB$32:$CH$32,1,DY418)*(1+INDEX('Lease Cycles'!$CI$32:$CO$32,1,DY418))^INT(INT(DY419/12)/INDEX('Lease Cycles'!$CP$32:$CV$32,1,DY418))/12),IF(INDEX('Lease Cycles'!$EF$32:$EL$32,1,DY418)=1,IF(AND('Lease Cycles'!$AZ$32&gt;=INDEX('Lease Cycles'!$BG$32:$BM$32,1,DY418),'Lease Cycles'!$AZ$32&lt;=DY$6),'Lease Cycles'!$C$32*'Lease Cycles'!$BA$32/12,IF(AND('Lease Cycles'!$AX$32&gt;=INDEX('Lease Cycles'!$BG$32:$BM$32,1,DY418),'Lease Cycles'!$AX$32&lt;=DY$6),'Lease Cycles'!$C$32*'Lease Cycles'!$AY$32/12,IF(AND('Lease Cycles'!$AV$32&gt;=INDEX('Lease Cycles'!$BG$32:$BM$32,1,DY418),'Lease Cycles'!$AV$32&lt;=DY$6),'Lease Cycles'!$C$32*'Lease Cycles'!$AW$32/12,IF(AND('Lease Cycles'!$AT$32&gt;=INDEX('Lease Cycles'!$BG$32:$BM$32,1,DY418),'Lease Cycles'!$AT$32&lt;=DY$6),'Lease Cycles'!$C$32*'Lease Cycles'!$AU$32/12,'Lease Cycles'!$C$32*INDEX('Lease Cycles'!$CB$32:$CH$32,1,DY418)*(1+INDEX('Lease Cycles'!$CI$32:$CO$32,1,DY418))^INT(INT(DY419/12)/INDEX('Lease Cycles'!$CP$32:$CV$32,1,DY418))/12)))),'Lease Cycles'!$C$32*INDEX('Lease Cycles'!$CB$32:$CH$32,1,DY418)*(1+INDEX('Lease Cycles'!$CI$32:$CO$32,1,DY418))^INT(INT(DY419/12)/INDEX('Lease Cycles'!$CP$32:$CV$32,1,DY418))/12))),IF('Lease Cycles'!$N$32=1,'Lease Cycles'!$C$32*'Lease Cycles'!$E$32*INDEX('Lease Cycles'!$HE$32:$HK$32,1,DY418)*(1+INDEX('Lease Cycles'!$GQ$32:$GW$32,1,DY418))^INT(INT((DY$6-INDEX('Lease Cycles'!$GJ$32:$GP$32,1,DY418))/12)/INDEX('Lease Cycles'!$GX$32:$HD$32,1,DY418))/12,0)))</f>
        <v>0</v>
      </c>
      <c r="DZ421" s="28">
        <f>IF(DZ418=0,IF('Lease Cycles'!$F$32&gt;0,'Lease Cycles'!$C$32*'Lease Cycles'!$E$32/12,0),IF(DZ420=1,IF('Lease Cycles'!$AT$32&gt;=9999,'Lease Cycles'!$C$32*INDEX('Lease Cycles'!$CB$32:$CH$32,1,DZ418)*(1+INDEX('Lease Cycles'!$CI$32:$CO$32,1,DZ418))^INT(INT(DZ419/12)/INDEX('Lease Cycles'!$CP$32:$CV$32,1,DZ418))/12,IF(DZ418=1,IF(DZ419&gt;=INDEX('Lease Cycles'!$DK$32:$DQ$32,1,DZ418),IF(DZ$6&gt;='Lease Cycles'!$AZ$32,'Lease Cycles'!$C$32*'Lease Cycles'!$BA$32/12,IF(DZ$6&gt;='Lease Cycles'!$AX$32,'Lease Cycles'!$C$32*'Lease Cycles'!$AY$32/12,IF(DZ$6&gt;='Lease Cycles'!$AV$32,'Lease Cycles'!$C$32*'Lease Cycles'!$AW$32/12,IF(DZ$6&gt;='Lease Cycles'!$AT$32,'Lease Cycles'!$C$32*'Lease Cycles'!$AU$32/12,'Lease Cycles'!$C$32*INDEX('Lease Cycles'!$CB$32:$CH$32,1,DZ418)*(1+INDEX('Lease Cycles'!$CI$32:$CO$32,1,DZ418))^INT(INT(DZ419/12)/INDEX('Lease Cycles'!$CP$32:$CV$32,1,DZ418))/12)))),'Lease Cycles'!$C$32*INDEX('Lease Cycles'!$CB$32:$CH$32,1,DZ418)*(1+INDEX('Lease Cycles'!$CI$32:$CO$32,1,DZ418))^INT(INT(DZ419/12)/INDEX('Lease Cycles'!$CP$32:$CV$32,1,DZ418))/12),IF(INDEX('Lease Cycles'!$EF$32:$EL$32,1,DZ418)=1,IF(AND('Lease Cycles'!$AZ$32&gt;=INDEX('Lease Cycles'!$BG$32:$BM$32,1,DZ418),'Lease Cycles'!$AZ$32&lt;=DZ$6),'Lease Cycles'!$C$32*'Lease Cycles'!$BA$32/12,IF(AND('Lease Cycles'!$AX$32&gt;=INDEX('Lease Cycles'!$BG$32:$BM$32,1,DZ418),'Lease Cycles'!$AX$32&lt;=DZ$6),'Lease Cycles'!$C$32*'Lease Cycles'!$AY$32/12,IF(AND('Lease Cycles'!$AV$32&gt;=INDEX('Lease Cycles'!$BG$32:$BM$32,1,DZ418),'Lease Cycles'!$AV$32&lt;=DZ$6),'Lease Cycles'!$C$32*'Lease Cycles'!$AW$32/12,IF(AND('Lease Cycles'!$AT$32&gt;=INDEX('Lease Cycles'!$BG$32:$BM$32,1,DZ418),'Lease Cycles'!$AT$32&lt;=DZ$6),'Lease Cycles'!$C$32*'Lease Cycles'!$AU$32/12,'Lease Cycles'!$C$32*INDEX('Lease Cycles'!$CB$32:$CH$32,1,DZ418)*(1+INDEX('Lease Cycles'!$CI$32:$CO$32,1,DZ418))^INT(INT(DZ419/12)/INDEX('Lease Cycles'!$CP$32:$CV$32,1,DZ418))/12)))),'Lease Cycles'!$C$32*INDEX('Lease Cycles'!$CB$32:$CH$32,1,DZ418)*(1+INDEX('Lease Cycles'!$CI$32:$CO$32,1,DZ418))^INT(INT(DZ419/12)/INDEX('Lease Cycles'!$CP$32:$CV$32,1,DZ418))/12))),IF('Lease Cycles'!$N$32=1,'Lease Cycles'!$C$32*'Lease Cycles'!$E$32*INDEX('Lease Cycles'!$HE$32:$HK$32,1,DZ418)*(1+INDEX('Lease Cycles'!$GQ$32:$GW$32,1,DZ418))^INT(INT((DZ$6-INDEX('Lease Cycles'!$GJ$32:$GP$32,1,DZ418))/12)/INDEX('Lease Cycles'!$GX$32:$HD$32,1,DZ418))/12,0)))</f>
        <v>0</v>
      </c>
      <c r="EA421" s="28">
        <f>IF(EA418=0,IF('Lease Cycles'!$F$32&gt;0,'Lease Cycles'!$C$32*'Lease Cycles'!$E$32/12,0),IF(EA420=1,IF('Lease Cycles'!$AT$32&gt;=9999,'Lease Cycles'!$C$32*INDEX('Lease Cycles'!$CB$32:$CH$32,1,EA418)*(1+INDEX('Lease Cycles'!$CI$32:$CO$32,1,EA418))^INT(INT(EA419/12)/INDEX('Lease Cycles'!$CP$32:$CV$32,1,EA418))/12,IF(EA418=1,IF(EA419&gt;=INDEX('Lease Cycles'!$DK$32:$DQ$32,1,EA418),IF(EA$6&gt;='Lease Cycles'!$AZ$32,'Lease Cycles'!$C$32*'Lease Cycles'!$BA$32/12,IF(EA$6&gt;='Lease Cycles'!$AX$32,'Lease Cycles'!$C$32*'Lease Cycles'!$AY$32/12,IF(EA$6&gt;='Lease Cycles'!$AV$32,'Lease Cycles'!$C$32*'Lease Cycles'!$AW$32/12,IF(EA$6&gt;='Lease Cycles'!$AT$32,'Lease Cycles'!$C$32*'Lease Cycles'!$AU$32/12,'Lease Cycles'!$C$32*INDEX('Lease Cycles'!$CB$32:$CH$32,1,EA418)*(1+INDEX('Lease Cycles'!$CI$32:$CO$32,1,EA418))^INT(INT(EA419/12)/INDEX('Lease Cycles'!$CP$32:$CV$32,1,EA418))/12)))),'Lease Cycles'!$C$32*INDEX('Lease Cycles'!$CB$32:$CH$32,1,EA418)*(1+INDEX('Lease Cycles'!$CI$32:$CO$32,1,EA418))^INT(INT(EA419/12)/INDEX('Lease Cycles'!$CP$32:$CV$32,1,EA418))/12),IF(INDEX('Lease Cycles'!$EF$32:$EL$32,1,EA418)=1,IF(AND('Lease Cycles'!$AZ$32&gt;=INDEX('Lease Cycles'!$BG$32:$BM$32,1,EA418),'Lease Cycles'!$AZ$32&lt;=EA$6),'Lease Cycles'!$C$32*'Lease Cycles'!$BA$32/12,IF(AND('Lease Cycles'!$AX$32&gt;=INDEX('Lease Cycles'!$BG$32:$BM$32,1,EA418),'Lease Cycles'!$AX$32&lt;=EA$6),'Lease Cycles'!$C$32*'Lease Cycles'!$AY$32/12,IF(AND('Lease Cycles'!$AV$32&gt;=INDEX('Lease Cycles'!$BG$32:$BM$32,1,EA418),'Lease Cycles'!$AV$32&lt;=EA$6),'Lease Cycles'!$C$32*'Lease Cycles'!$AW$32/12,IF(AND('Lease Cycles'!$AT$32&gt;=INDEX('Lease Cycles'!$BG$32:$BM$32,1,EA418),'Lease Cycles'!$AT$32&lt;=EA$6),'Lease Cycles'!$C$32*'Lease Cycles'!$AU$32/12,'Lease Cycles'!$C$32*INDEX('Lease Cycles'!$CB$32:$CH$32,1,EA418)*(1+INDEX('Lease Cycles'!$CI$32:$CO$32,1,EA418))^INT(INT(EA419/12)/INDEX('Lease Cycles'!$CP$32:$CV$32,1,EA418))/12)))),'Lease Cycles'!$C$32*INDEX('Lease Cycles'!$CB$32:$CH$32,1,EA418)*(1+INDEX('Lease Cycles'!$CI$32:$CO$32,1,EA418))^INT(INT(EA419/12)/INDEX('Lease Cycles'!$CP$32:$CV$32,1,EA418))/12))),IF('Lease Cycles'!$N$32=1,'Lease Cycles'!$C$32*'Lease Cycles'!$E$32*INDEX('Lease Cycles'!$HE$32:$HK$32,1,EA418)*(1+INDEX('Lease Cycles'!$GQ$32:$GW$32,1,EA418))^INT(INT((EA$6-INDEX('Lease Cycles'!$GJ$32:$GP$32,1,EA418))/12)/INDEX('Lease Cycles'!$GX$32:$HD$32,1,EA418))/12,0)))</f>
        <v>0</v>
      </c>
      <c r="EB421" s="28">
        <f>IF(EB418=0,IF('Lease Cycles'!$F$32&gt;0,'Lease Cycles'!$C$32*'Lease Cycles'!$E$32/12,0),IF(EB420=1,IF('Lease Cycles'!$AT$32&gt;=9999,'Lease Cycles'!$C$32*INDEX('Lease Cycles'!$CB$32:$CH$32,1,EB418)*(1+INDEX('Lease Cycles'!$CI$32:$CO$32,1,EB418))^INT(INT(EB419/12)/INDEX('Lease Cycles'!$CP$32:$CV$32,1,EB418))/12,IF(EB418=1,IF(EB419&gt;=INDEX('Lease Cycles'!$DK$32:$DQ$32,1,EB418),IF(EB$6&gt;='Lease Cycles'!$AZ$32,'Lease Cycles'!$C$32*'Lease Cycles'!$BA$32/12,IF(EB$6&gt;='Lease Cycles'!$AX$32,'Lease Cycles'!$C$32*'Lease Cycles'!$AY$32/12,IF(EB$6&gt;='Lease Cycles'!$AV$32,'Lease Cycles'!$C$32*'Lease Cycles'!$AW$32/12,IF(EB$6&gt;='Lease Cycles'!$AT$32,'Lease Cycles'!$C$32*'Lease Cycles'!$AU$32/12,'Lease Cycles'!$C$32*INDEX('Lease Cycles'!$CB$32:$CH$32,1,EB418)*(1+INDEX('Lease Cycles'!$CI$32:$CO$32,1,EB418))^INT(INT(EB419/12)/INDEX('Lease Cycles'!$CP$32:$CV$32,1,EB418))/12)))),'Lease Cycles'!$C$32*INDEX('Lease Cycles'!$CB$32:$CH$32,1,EB418)*(1+INDEX('Lease Cycles'!$CI$32:$CO$32,1,EB418))^INT(INT(EB419/12)/INDEX('Lease Cycles'!$CP$32:$CV$32,1,EB418))/12),IF(INDEX('Lease Cycles'!$EF$32:$EL$32,1,EB418)=1,IF(AND('Lease Cycles'!$AZ$32&gt;=INDEX('Lease Cycles'!$BG$32:$BM$32,1,EB418),'Lease Cycles'!$AZ$32&lt;=EB$6),'Lease Cycles'!$C$32*'Lease Cycles'!$BA$32/12,IF(AND('Lease Cycles'!$AX$32&gt;=INDEX('Lease Cycles'!$BG$32:$BM$32,1,EB418),'Lease Cycles'!$AX$32&lt;=EB$6),'Lease Cycles'!$C$32*'Lease Cycles'!$AY$32/12,IF(AND('Lease Cycles'!$AV$32&gt;=INDEX('Lease Cycles'!$BG$32:$BM$32,1,EB418),'Lease Cycles'!$AV$32&lt;=EB$6),'Lease Cycles'!$C$32*'Lease Cycles'!$AW$32/12,IF(AND('Lease Cycles'!$AT$32&gt;=INDEX('Lease Cycles'!$BG$32:$BM$32,1,EB418),'Lease Cycles'!$AT$32&lt;=EB$6),'Lease Cycles'!$C$32*'Lease Cycles'!$AU$32/12,'Lease Cycles'!$C$32*INDEX('Lease Cycles'!$CB$32:$CH$32,1,EB418)*(1+INDEX('Lease Cycles'!$CI$32:$CO$32,1,EB418))^INT(INT(EB419/12)/INDEX('Lease Cycles'!$CP$32:$CV$32,1,EB418))/12)))),'Lease Cycles'!$C$32*INDEX('Lease Cycles'!$CB$32:$CH$32,1,EB418)*(1+INDEX('Lease Cycles'!$CI$32:$CO$32,1,EB418))^INT(INT(EB419/12)/INDEX('Lease Cycles'!$CP$32:$CV$32,1,EB418))/12))),IF('Lease Cycles'!$N$32=1,'Lease Cycles'!$C$32*'Lease Cycles'!$E$32*INDEX('Lease Cycles'!$HE$32:$HK$32,1,EB418)*(1+INDEX('Lease Cycles'!$GQ$32:$GW$32,1,EB418))^INT(INT((EB$6-INDEX('Lease Cycles'!$GJ$32:$GP$32,1,EB418))/12)/INDEX('Lease Cycles'!$GX$32:$HD$32,1,EB418))/12,0)))</f>
        <v>0</v>
      </c>
      <c r="EC421" s="28">
        <f>IF(EC418=0,IF('Lease Cycles'!$F$32&gt;0,'Lease Cycles'!$C$32*'Lease Cycles'!$E$32/12,0),IF(EC420=1,IF('Lease Cycles'!$AT$32&gt;=9999,'Lease Cycles'!$C$32*INDEX('Lease Cycles'!$CB$32:$CH$32,1,EC418)*(1+INDEX('Lease Cycles'!$CI$32:$CO$32,1,EC418))^INT(INT(EC419/12)/INDEX('Lease Cycles'!$CP$32:$CV$32,1,EC418))/12,IF(EC418=1,IF(EC419&gt;=INDEX('Lease Cycles'!$DK$32:$DQ$32,1,EC418),IF(EC$6&gt;='Lease Cycles'!$AZ$32,'Lease Cycles'!$C$32*'Lease Cycles'!$BA$32/12,IF(EC$6&gt;='Lease Cycles'!$AX$32,'Lease Cycles'!$C$32*'Lease Cycles'!$AY$32/12,IF(EC$6&gt;='Lease Cycles'!$AV$32,'Lease Cycles'!$C$32*'Lease Cycles'!$AW$32/12,IF(EC$6&gt;='Lease Cycles'!$AT$32,'Lease Cycles'!$C$32*'Lease Cycles'!$AU$32/12,'Lease Cycles'!$C$32*INDEX('Lease Cycles'!$CB$32:$CH$32,1,EC418)*(1+INDEX('Lease Cycles'!$CI$32:$CO$32,1,EC418))^INT(INT(EC419/12)/INDEX('Lease Cycles'!$CP$32:$CV$32,1,EC418))/12)))),'Lease Cycles'!$C$32*INDEX('Lease Cycles'!$CB$32:$CH$32,1,EC418)*(1+INDEX('Lease Cycles'!$CI$32:$CO$32,1,EC418))^INT(INT(EC419/12)/INDEX('Lease Cycles'!$CP$32:$CV$32,1,EC418))/12),IF(INDEX('Lease Cycles'!$EF$32:$EL$32,1,EC418)=1,IF(AND('Lease Cycles'!$AZ$32&gt;=INDEX('Lease Cycles'!$BG$32:$BM$32,1,EC418),'Lease Cycles'!$AZ$32&lt;=EC$6),'Lease Cycles'!$C$32*'Lease Cycles'!$BA$32/12,IF(AND('Lease Cycles'!$AX$32&gt;=INDEX('Lease Cycles'!$BG$32:$BM$32,1,EC418),'Lease Cycles'!$AX$32&lt;=EC$6),'Lease Cycles'!$C$32*'Lease Cycles'!$AY$32/12,IF(AND('Lease Cycles'!$AV$32&gt;=INDEX('Lease Cycles'!$BG$32:$BM$32,1,EC418),'Lease Cycles'!$AV$32&lt;=EC$6),'Lease Cycles'!$C$32*'Lease Cycles'!$AW$32/12,IF(AND('Lease Cycles'!$AT$32&gt;=INDEX('Lease Cycles'!$BG$32:$BM$32,1,EC418),'Lease Cycles'!$AT$32&lt;=EC$6),'Lease Cycles'!$C$32*'Lease Cycles'!$AU$32/12,'Lease Cycles'!$C$32*INDEX('Lease Cycles'!$CB$32:$CH$32,1,EC418)*(1+INDEX('Lease Cycles'!$CI$32:$CO$32,1,EC418))^INT(INT(EC419/12)/INDEX('Lease Cycles'!$CP$32:$CV$32,1,EC418))/12)))),'Lease Cycles'!$C$32*INDEX('Lease Cycles'!$CB$32:$CH$32,1,EC418)*(1+INDEX('Lease Cycles'!$CI$32:$CO$32,1,EC418))^INT(INT(EC419/12)/INDEX('Lease Cycles'!$CP$32:$CV$32,1,EC418))/12))),IF('Lease Cycles'!$N$32=1,'Lease Cycles'!$C$32*'Lease Cycles'!$E$32*INDEX('Lease Cycles'!$HE$32:$HK$32,1,EC418)*(1+INDEX('Lease Cycles'!$GQ$32:$GW$32,1,EC418))^INT(INT((EC$6-INDEX('Lease Cycles'!$GJ$32:$GP$32,1,EC418))/12)/INDEX('Lease Cycles'!$GX$32:$HD$32,1,EC418))/12,0)))</f>
        <v>0</v>
      </c>
      <c r="ED421" s="28">
        <f>IF(ED418=0,IF('Lease Cycles'!$F$32&gt;0,'Lease Cycles'!$C$32*'Lease Cycles'!$E$32/12,0),IF(ED420=1,IF('Lease Cycles'!$AT$32&gt;=9999,'Lease Cycles'!$C$32*INDEX('Lease Cycles'!$CB$32:$CH$32,1,ED418)*(1+INDEX('Lease Cycles'!$CI$32:$CO$32,1,ED418))^INT(INT(ED419/12)/INDEX('Lease Cycles'!$CP$32:$CV$32,1,ED418))/12,IF(ED418=1,IF(ED419&gt;=INDEX('Lease Cycles'!$DK$32:$DQ$32,1,ED418),IF(ED$6&gt;='Lease Cycles'!$AZ$32,'Lease Cycles'!$C$32*'Lease Cycles'!$BA$32/12,IF(ED$6&gt;='Lease Cycles'!$AX$32,'Lease Cycles'!$C$32*'Lease Cycles'!$AY$32/12,IF(ED$6&gt;='Lease Cycles'!$AV$32,'Lease Cycles'!$C$32*'Lease Cycles'!$AW$32/12,IF(ED$6&gt;='Lease Cycles'!$AT$32,'Lease Cycles'!$C$32*'Lease Cycles'!$AU$32/12,'Lease Cycles'!$C$32*INDEX('Lease Cycles'!$CB$32:$CH$32,1,ED418)*(1+INDEX('Lease Cycles'!$CI$32:$CO$32,1,ED418))^INT(INT(ED419/12)/INDEX('Lease Cycles'!$CP$32:$CV$32,1,ED418))/12)))),'Lease Cycles'!$C$32*INDEX('Lease Cycles'!$CB$32:$CH$32,1,ED418)*(1+INDEX('Lease Cycles'!$CI$32:$CO$32,1,ED418))^INT(INT(ED419/12)/INDEX('Lease Cycles'!$CP$32:$CV$32,1,ED418))/12),IF(INDEX('Lease Cycles'!$EF$32:$EL$32,1,ED418)=1,IF(AND('Lease Cycles'!$AZ$32&gt;=INDEX('Lease Cycles'!$BG$32:$BM$32,1,ED418),'Lease Cycles'!$AZ$32&lt;=ED$6),'Lease Cycles'!$C$32*'Lease Cycles'!$BA$32/12,IF(AND('Lease Cycles'!$AX$32&gt;=INDEX('Lease Cycles'!$BG$32:$BM$32,1,ED418),'Lease Cycles'!$AX$32&lt;=ED$6),'Lease Cycles'!$C$32*'Lease Cycles'!$AY$32/12,IF(AND('Lease Cycles'!$AV$32&gt;=INDEX('Lease Cycles'!$BG$32:$BM$32,1,ED418),'Lease Cycles'!$AV$32&lt;=ED$6),'Lease Cycles'!$C$32*'Lease Cycles'!$AW$32/12,IF(AND('Lease Cycles'!$AT$32&gt;=INDEX('Lease Cycles'!$BG$32:$BM$32,1,ED418),'Lease Cycles'!$AT$32&lt;=ED$6),'Lease Cycles'!$C$32*'Lease Cycles'!$AU$32/12,'Lease Cycles'!$C$32*INDEX('Lease Cycles'!$CB$32:$CH$32,1,ED418)*(1+INDEX('Lease Cycles'!$CI$32:$CO$32,1,ED418))^INT(INT(ED419/12)/INDEX('Lease Cycles'!$CP$32:$CV$32,1,ED418))/12)))),'Lease Cycles'!$C$32*INDEX('Lease Cycles'!$CB$32:$CH$32,1,ED418)*(1+INDEX('Lease Cycles'!$CI$32:$CO$32,1,ED418))^INT(INT(ED419/12)/INDEX('Lease Cycles'!$CP$32:$CV$32,1,ED418))/12))),IF('Lease Cycles'!$N$32=1,'Lease Cycles'!$C$32*'Lease Cycles'!$E$32*INDEX('Lease Cycles'!$HE$32:$HK$32,1,ED418)*(1+INDEX('Lease Cycles'!$GQ$32:$GW$32,1,ED418))^INT(INT((ED$6-INDEX('Lease Cycles'!$GJ$32:$GP$32,1,ED418))/12)/INDEX('Lease Cycles'!$GX$32:$HD$32,1,ED418))/12,0)))</f>
        <v>0</v>
      </c>
      <c r="EE421" s="28">
        <f>IF(EE418=0,IF('Lease Cycles'!$F$32&gt;0,'Lease Cycles'!$C$32*'Lease Cycles'!$E$32/12,0),IF(EE420=1,IF('Lease Cycles'!$AT$32&gt;=9999,'Lease Cycles'!$C$32*INDEX('Lease Cycles'!$CB$32:$CH$32,1,EE418)*(1+INDEX('Lease Cycles'!$CI$32:$CO$32,1,EE418))^INT(INT(EE419/12)/INDEX('Lease Cycles'!$CP$32:$CV$32,1,EE418))/12,IF(EE418=1,IF(EE419&gt;=INDEX('Lease Cycles'!$DK$32:$DQ$32,1,EE418),IF(EE$6&gt;='Lease Cycles'!$AZ$32,'Lease Cycles'!$C$32*'Lease Cycles'!$BA$32/12,IF(EE$6&gt;='Lease Cycles'!$AX$32,'Lease Cycles'!$C$32*'Lease Cycles'!$AY$32/12,IF(EE$6&gt;='Lease Cycles'!$AV$32,'Lease Cycles'!$C$32*'Lease Cycles'!$AW$32/12,IF(EE$6&gt;='Lease Cycles'!$AT$32,'Lease Cycles'!$C$32*'Lease Cycles'!$AU$32/12,'Lease Cycles'!$C$32*INDEX('Lease Cycles'!$CB$32:$CH$32,1,EE418)*(1+INDEX('Lease Cycles'!$CI$32:$CO$32,1,EE418))^INT(INT(EE419/12)/INDEX('Lease Cycles'!$CP$32:$CV$32,1,EE418))/12)))),'Lease Cycles'!$C$32*INDEX('Lease Cycles'!$CB$32:$CH$32,1,EE418)*(1+INDEX('Lease Cycles'!$CI$32:$CO$32,1,EE418))^INT(INT(EE419/12)/INDEX('Lease Cycles'!$CP$32:$CV$32,1,EE418))/12),IF(INDEX('Lease Cycles'!$EF$32:$EL$32,1,EE418)=1,IF(AND('Lease Cycles'!$AZ$32&gt;=INDEX('Lease Cycles'!$BG$32:$BM$32,1,EE418),'Lease Cycles'!$AZ$32&lt;=EE$6),'Lease Cycles'!$C$32*'Lease Cycles'!$BA$32/12,IF(AND('Lease Cycles'!$AX$32&gt;=INDEX('Lease Cycles'!$BG$32:$BM$32,1,EE418),'Lease Cycles'!$AX$32&lt;=EE$6),'Lease Cycles'!$C$32*'Lease Cycles'!$AY$32/12,IF(AND('Lease Cycles'!$AV$32&gt;=INDEX('Lease Cycles'!$BG$32:$BM$32,1,EE418),'Lease Cycles'!$AV$32&lt;=EE$6),'Lease Cycles'!$C$32*'Lease Cycles'!$AW$32/12,IF(AND('Lease Cycles'!$AT$32&gt;=INDEX('Lease Cycles'!$BG$32:$BM$32,1,EE418),'Lease Cycles'!$AT$32&lt;=EE$6),'Lease Cycles'!$C$32*'Lease Cycles'!$AU$32/12,'Lease Cycles'!$C$32*INDEX('Lease Cycles'!$CB$32:$CH$32,1,EE418)*(1+INDEX('Lease Cycles'!$CI$32:$CO$32,1,EE418))^INT(INT(EE419/12)/INDEX('Lease Cycles'!$CP$32:$CV$32,1,EE418))/12)))),'Lease Cycles'!$C$32*INDEX('Lease Cycles'!$CB$32:$CH$32,1,EE418)*(1+INDEX('Lease Cycles'!$CI$32:$CO$32,1,EE418))^INT(INT(EE419/12)/INDEX('Lease Cycles'!$CP$32:$CV$32,1,EE418))/12))),IF('Lease Cycles'!$N$32=1,'Lease Cycles'!$C$32*'Lease Cycles'!$E$32*INDEX('Lease Cycles'!$HE$32:$HK$32,1,EE418)*(1+INDEX('Lease Cycles'!$GQ$32:$GW$32,1,EE418))^INT(INT((EE$6-INDEX('Lease Cycles'!$GJ$32:$GP$32,1,EE418))/12)/INDEX('Lease Cycles'!$GX$32:$HD$32,1,EE418))/12,0)))</f>
        <v>0</v>
      </c>
      <c r="EF421" s="28">
        <f>IF(EF418=0,IF('Lease Cycles'!$F$32&gt;0,'Lease Cycles'!$C$32*'Lease Cycles'!$E$32/12,0),IF(EF420=1,IF('Lease Cycles'!$AT$32&gt;=9999,'Lease Cycles'!$C$32*INDEX('Lease Cycles'!$CB$32:$CH$32,1,EF418)*(1+INDEX('Lease Cycles'!$CI$32:$CO$32,1,EF418))^INT(INT(EF419/12)/INDEX('Lease Cycles'!$CP$32:$CV$32,1,EF418))/12,IF(EF418=1,IF(EF419&gt;=INDEX('Lease Cycles'!$DK$32:$DQ$32,1,EF418),IF(EF$6&gt;='Lease Cycles'!$AZ$32,'Lease Cycles'!$C$32*'Lease Cycles'!$BA$32/12,IF(EF$6&gt;='Lease Cycles'!$AX$32,'Lease Cycles'!$C$32*'Lease Cycles'!$AY$32/12,IF(EF$6&gt;='Lease Cycles'!$AV$32,'Lease Cycles'!$C$32*'Lease Cycles'!$AW$32/12,IF(EF$6&gt;='Lease Cycles'!$AT$32,'Lease Cycles'!$C$32*'Lease Cycles'!$AU$32/12,'Lease Cycles'!$C$32*INDEX('Lease Cycles'!$CB$32:$CH$32,1,EF418)*(1+INDEX('Lease Cycles'!$CI$32:$CO$32,1,EF418))^INT(INT(EF419/12)/INDEX('Lease Cycles'!$CP$32:$CV$32,1,EF418))/12)))),'Lease Cycles'!$C$32*INDEX('Lease Cycles'!$CB$32:$CH$32,1,EF418)*(1+INDEX('Lease Cycles'!$CI$32:$CO$32,1,EF418))^INT(INT(EF419/12)/INDEX('Lease Cycles'!$CP$32:$CV$32,1,EF418))/12),IF(INDEX('Lease Cycles'!$EF$32:$EL$32,1,EF418)=1,IF(AND('Lease Cycles'!$AZ$32&gt;=INDEX('Lease Cycles'!$BG$32:$BM$32,1,EF418),'Lease Cycles'!$AZ$32&lt;=EF$6),'Lease Cycles'!$C$32*'Lease Cycles'!$BA$32/12,IF(AND('Lease Cycles'!$AX$32&gt;=INDEX('Lease Cycles'!$BG$32:$BM$32,1,EF418),'Lease Cycles'!$AX$32&lt;=EF$6),'Lease Cycles'!$C$32*'Lease Cycles'!$AY$32/12,IF(AND('Lease Cycles'!$AV$32&gt;=INDEX('Lease Cycles'!$BG$32:$BM$32,1,EF418),'Lease Cycles'!$AV$32&lt;=EF$6),'Lease Cycles'!$C$32*'Lease Cycles'!$AW$32/12,IF(AND('Lease Cycles'!$AT$32&gt;=INDEX('Lease Cycles'!$BG$32:$BM$32,1,EF418),'Lease Cycles'!$AT$32&lt;=EF$6),'Lease Cycles'!$C$32*'Lease Cycles'!$AU$32/12,'Lease Cycles'!$C$32*INDEX('Lease Cycles'!$CB$32:$CH$32,1,EF418)*(1+INDEX('Lease Cycles'!$CI$32:$CO$32,1,EF418))^INT(INT(EF419/12)/INDEX('Lease Cycles'!$CP$32:$CV$32,1,EF418))/12)))),'Lease Cycles'!$C$32*INDEX('Lease Cycles'!$CB$32:$CH$32,1,EF418)*(1+INDEX('Lease Cycles'!$CI$32:$CO$32,1,EF418))^INT(INT(EF419/12)/INDEX('Lease Cycles'!$CP$32:$CV$32,1,EF418))/12))),IF('Lease Cycles'!$N$32=1,'Lease Cycles'!$C$32*'Lease Cycles'!$E$32*INDEX('Lease Cycles'!$HE$32:$HK$32,1,EF418)*(1+INDEX('Lease Cycles'!$GQ$32:$GW$32,1,EF418))^INT(INT((EF$6-INDEX('Lease Cycles'!$GJ$32:$GP$32,1,EF418))/12)/INDEX('Lease Cycles'!$GX$32:$HD$32,1,EF418))/12,0)))</f>
        <v>0</v>
      </c>
      <c r="EG421" s="28">
        <f>IF(EG418=0,IF('Lease Cycles'!$F$32&gt;0,'Lease Cycles'!$C$32*'Lease Cycles'!$E$32/12,0),IF(EG420=1,IF('Lease Cycles'!$AT$32&gt;=9999,'Lease Cycles'!$C$32*INDEX('Lease Cycles'!$CB$32:$CH$32,1,EG418)*(1+INDEX('Lease Cycles'!$CI$32:$CO$32,1,EG418))^INT(INT(EG419/12)/INDEX('Lease Cycles'!$CP$32:$CV$32,1,EG418))/12,IF(EG418=1,IF(EG419&gt;=INDEX('Lease Cycles'!$DK$32:$DQ$32,1,EG418),IF(EG$6&gt;='Lease Cycles'!$AZ$32,'Lease Cycles'!$C$32*'Lease Cycles'!$BA$32/12,IF(EG$6&gt;='Lease Cycles'!$AX$32,'Lease Cycles'!$C$32*'Lease Cycles'!$AY$32/12,IF(EG$6&gt;='Lease Cycles'!$AV$32,'Lease Cycles'!$C$32*'Lease Cycles'!$AW$32/12,IF(EG$6&gt;='Lease Cycles'!$AT$32,'Lease Cycles'!$C$32*'Lease Cycles'!$AU$32/12,'Lease Cycles'!$C$32*INDEX('Lease Cycles'!$CB$32:$CH$32,1,EG418)*(1+INDEX('Lease Cycles'!$CI$32:$CO$32,1,EG418))^INT(INT(EG419/12)/INDEX('Lease Cycles'!$CP$32:$CV$32,1,EG418))/12)))),'Lease Cycles'!$C$32*INDEX('Lease Cycles'!$CB$32:$CH$32,1,EG418)*(1+INDEX('Lease Cycles'!$CI$32:$CO$32,1,EG418))^INT(INT(EG419/12)/INDEX('Lease Cycles'!$CP$32:$CV$32,1,EG418))/12),IF(INDEX('Lease Cycles'!$EF$32:$EL$32,1,EG418)=1,IF(AND('Lease Cycles'!$AZ$32&gt;=INDEX('Lease Cycles'!$BG$32:$BM$32,1,EG418),'Lease Cycles'!$AZ$32&lt;=EG$6),'Lease Cycles'!$C$32*'Lease Cycles'!$BA$32/12,IF(AND('Lease Cycles'!$AX$32&gt;=INDEX('Lease Cycles'!$BG$32:$BM$32,1,EG418),'Lease Cycles'!$AX$32&lt;=EG$6),'Lease Cycles'!$C$32*'Lease Cycles'!$AY$32/12,IF(AND('Lease Cycles'!$AV$32&gt;=INDEX('Lease Cycles'!$BG$32:$BM$32,1,EG418),'Lease Cycles'!$AV$32&lt;=EG$6),'Lease Cycles'!$C$32*'Lease Cycles'!$AW$32/12,IF(AND('Lease Cycles'!$AT$32&gt;=INDEX('Lease Cycles'!$BG$32:$BM$32,1,EG418),'Lease Cycles'!$AT$32&lt;=EG$6),'Lease Cycles'!$C$32*'Lease Cycles'!$AU$32/12,'Lease Cycles'!$C$32*INDEX('Lease Cycles'!$CB$32:$CH$32,1,EG418)*(1+INDEX('Lease Cycles'!$CI$32:$CO$32,1,EG418))^INT(INT(EG419/12)/INDEX('Lease Cycles'!$CP$32:$CV$32,1,EG418))/12)))),'Lease Cycles'!$C$32*INDEX('Lease Cycles'!$CB$32:$CH$32,1,EG418)*(1+INDEX('Lease Cycles'!$CI$32:$CO$32,1,EG418))^INT(INT(EG419/12)/INDEX('Lease Cycles'!$CP$32:$CV$32,1,EG418))/12))),IF('Lease Cycles'!$N$32=1,'Lease Cycles'!$C$32*'Lease Cycles'!$E$32*INDEX('Lease Cycles'!$HE$32:$HK$32,1,EG418)*(1+INDEX('Lease Cycles'!$GQ$32:$GW$32,1,EG418))^INT(INT((EG$6-INDEX('Lease Cycles'!$GJ$32:$GP$32,1,EG418))/12)/INDEX('Lease Cycles'!$GX$32:$HD$32,1,EG418))/12,0)))</f>
        <v>0</v>
      </c>
      <c r="EH421" s="28">
        <f>IF(EH418=0,IF('Lease Cycles'!$F$32&gt;0,'Lease Cycles'!$C$32*'Lease Cycles'!$E$32/12,0),IF(EH420=1,IF('Lease Cycles'!$AT$32&gt;=9999,'Lease Cycles'!$C$32*INDEX('Lease Cycles'!$CB$32:$CH$32,1,EH418)*(1+INDEX('Lease Cycles'!$CI$32:$CO$32,1,EH418))^INT(INT(EH419/12)/INDEX('Lease Cycles'!$CP$32:$CV$32,1,EH418))/12,IF(EH418=1,IF(EH419&gt;=INDEX('Lease Cycles'!$DK$32:$DQ$32,1,EH418),IF(EH$6&gt;='Lease Cycles'!$AZ$32,'Lease Cycles'!$C$32*'Lease Cycles'!$BA$32/12,IF(EH$6&gt;='Lease Cycles'!$AX$32,'Lease Cycles'!$C$32*'Lease Cycles'!$AY$32/12,IF(EH$6&gt;='Lease Cycles'!$AV$32,'Lease Cycles'!$C$32*'Lease Cycles'!$AW$32/12,IF(EH$6&gt;='Lease Cycles'!$AT$32,'Lease Cycles'!$C$32*'Lease Cycles'!$AU$32/12,'Lease Cycles'!$C$32*INDEX('Lease Cycles'!$CB$32:$CH$32,1,EH418)*(1+INDEX('Lease Cycles'!$CI$32:$CO$32,1,EH418))^INT(INT(EH419/12)/INDEX('Lease Cycles'!$CP$32:$CV$32,1,EH418))/12)))),'Lease Cycles'!$C$32*INDEX('Lease Cycles'!$CB$32:$CH$32,1,EH418)*(1+INDEX('Lease Cycles'!$CI$32:$CO$32,1,EH418))^INT(INT(EH419/12)/INDEX('Lease Cycles'!$CP$32:$CV$32,1,EH418))/12),IF(INDEX('Lease Cycles'!$EF$32:$EL$32,1,EH418)=1,IF(AND('Lease Cycles'!$AZ$32&gt;=INDEX('Lease Cycles'!$BG$32:$BM$32,1,EH418),'Lease Cycles'!$AZ$32&lt;=EH$6),'Lease Cycles'!$C$32*'Lease Cycles'!$BA$32/12,IF(AND('Lease Cycles'!$AX$32&gt;=INDEX('Lease Cycles'!$BG$32:$BM$32,1,EH418),'Lease Cycles'!$AX$32&lt;=EH$6),'Lease Cycles'!$C$32*'Lease Cycles'!$AY$32/12,IF(AND('Lease Cycles'!$AV$32&gt;=INDEX('Lease Cycles'!$BG$32:$BM$32,1,EH418),'Lease Cycles'!$AV$32&lt;=EH$6),'Lease Cycles'!$C$32*'Lease Cycles'!$AW$32/12,IF(AND('Lease Cycles'!$AT$32&gt;=INDEX('Lease Cycles'!$BG$32:$BM$32,1,EH418),'Lease Cycles'!$AT$32&lt;=EH$6),'Lease Cycles'!$C$32*'Lease Cycles'!$AU$32/12,'Lease Cycles'!$C$32*INDEX('Lease Cycles'!$CB$32:$CH$32,1,EH418)*(1+INDEX('Lease Cycles'!$CI$32:$CO$32,1,EH418))^INT(INT(EH419/12)/INDEX('Lease Cycles'!$CP$32:$CV$32,1,EH418))/12)))),'Lease Cycles'!$C$32*INDEX('Lease Cycles'!$CB$32:$CH$32,1,EH418)*(1+INDEX('Lease Cycles'!$CI$32:$CO$32,1,EH418))^INT(INT(EH419/12)/INDEX('Lease Cycles'!$CP$32:$CV$32,1,EH418))/12))),IF('Lease Cycles'!$N$32=1,'Lease Cycles'!$C$32*'Lease Cycles'!$E$32*INDEX('Lease Cycles'!$HE$32:$HK$32,1,EH418)*(1+INDEX('Lease Cycles'!$GQ$32:$GW$32,1,EH418))^INT(INT((EH$6-INDEX('Lease Cycles'!$GJ$32:$GP$32,1,EH418))/12)/INDEX('Lease Cycles'!$GX$32:$HD$32,1,EH418))/12,0)))</f>
        <v>0</v>
      </c>
      <c r="EI421" s="28">
        <f>IF(EI418=0,IF('Lease Cycles'!$F$32&gt;0,'Lease Cycles'!$C$32*'Lease Cycles'!$E$32/12,0),IF(EI420=1,IF('Lease Cycles'!$AT$32&gt;=9999,'Lease Cycles'!$C$32*INDEX('Lease Cycles'!$CB$32:$CH$32,1,EI418)*(1+INDEX('Lease Cycles'!$CI$32:$CO$32,1,EI418))^INT(INT(EI419/12)/INDEX('Lease Cycles'!$CP$32:$CV$32,1,EI418))/12,IF(EI418=1,IF(EI419&gt;=INDEX('Lease Cycles'!$DK$32:$DQ$32,1,EI418),IF(EI$6&gt;='Lease Cycles'!$AZ$32,'Lease Cycles'!$C$32*'Lease Cycles'!$BA$32/12,IF(EI$6&gt;='Lease Cycles'!$AX$32,'Lease Cycles'!$C$32*'Lease Cycles'!$AY$32/12,IF(EI$6&gt;='Lease Cycles'!$AV$32,'Lease Cycles'!$C$32*'Lease Cycles'!$AW$32/12,IF(EI$6&gt;='Lease Cycles'!$AT$32,'Lease Cycles'!$C$32*'Lease Cycles'!$AU$32/12,'Lease Cycles'!$C$32*INDEX('Lease Cycles'!$CB$32:$CH$32,1,EI418)*(1+INDEX('Lease Cycles'!$CI$32:$CO$32,1,EI418))^INT(INT(EI419/12)/INDEX('Lease Cycles'!$CP$32:$CV$32,1,EI418))/12)))),'Lease Cycles'!$C$32*INDEX('Lease Cycles'!$CB$32:$CH$32,1,EI418)*(1+INDEX('Lease Cycles'!$CI$32:$CO$32,1,EI418))^INT(INT(EI419/12)/INDEX('Lease Cycles'!$CP$32:$CV$32,1,EI418))/12),IF(INDEX('Lease Cycles'!$EF$32:$EL$32,1,EI418)=1,IF(AND('Lease Cycles'!$AZ$32&gt;=INDEX('Lease Cycles'!$BG$32:$BM$32,1,EI418),'Lease Cycles'!$AZ$32&lt;=EI$6),'Lease Cycles'!$C$32*'Lease Cycles'!$BA$32/12,IF(AND('Lease Cycles'!$AX$32&gt;=INDEX('Lease Cycles'!$BG$32:$BM$32,1,EI418),'Lease Cycles'!$AX$32&lt;=EI$6),'Lease Cycles'!$C$32*'Lease Cycles'!$AY$32/12,IF(AND('Lease Cycles'!$AV$32&gt;=INDEX('Lease Cycles'!$BG$32:$BM$32,1,EI418),'Lease Cycles'!$AV$32&lt;=EI$6),'Lease Cycles'!$C$32*'Lease Cycles'!$AW$32/12,IF(AND('Lease Cycles'!$AT$32&gt;=INDEX('Lease Cycles'!$BG$32:$BM$32,1,EI418),'Lease Cycles'!$AT$32&lt;=EI$6),'Lease Cycles'!$C$32*'Lease Cycles'!$AU$32/12,'Lease Cycles'!$C$32*INDEX('Lease Cycles'!$CB$32:$CH$32,1,EI418)*(1+INDEX('Lease Cycles'!$CI$32:$CO$32,1,EI418))^INT(INT(EI419/12)/INDEX('Lease Cycles'!$CP$32:$CV$32,1,EI418))/12)))),'Lease Cycles'!$C$32*INDEX('Lease Cycles'!$CB$32:$CH$32,1,EI418)*(1+INDEX('Lease Cycles'!$CI$32:$CO$32,1,EI418))^INT(INT(EI419/12)/INDEX('Lease Cycles'!$CP$32:$CV$32,1,EI418))/12))),IF('Lease Cycles'!$N$32=1,'Lease Cycles'!$C$32*'Lease Cycles'!$E$32*INDEX('Lease Cycles'!$HE$32:$HK$32,1,EI418)*(1+INDEX('Lease Cycles'!$GQ$32:$GW$32,1,EI418))^INT(INT((EI$6-INDEX('Lease Cycles'!$GJ$32:$GP$32,1,EI418))/12)/INDEX('Lease Cycles'!$GX$32:$HD$32,1,EI418))/12,0)))</f>
        <v>0</v>
      </c>
      <c r="EJ421" s="28">
        <f>IF(EJ418=0,IF('Lease Cycles'!$F$32&gt;0,'Lease Cycles'!$C$32*'Lease Cycles'!$E$32/12,0),IF(EJ420=1,IF('Lease Cycles'!$AT$32&gt;=9999,'Lease Cycles'!$C$32*INDEX('Lease Cycles'!$CB$32:$CH$32,1,EJ418)*(1+INDEX('Lease Cycles'!$CI$32:$CO$32,1,EJ418))^INT(INT(EJ419/12)/INDEX('Lease Cycles'!$CP$32:$CV$32,1,EJ418))/12,IF(EJ418=1,IF(EJ419&gt;=INDEX('Lease Cycles'!$DK$32:$DQ$32,1,EJ418),IF(EJ$6&gt;='Lease Cycles'!$AZ$32,'Lease Cycles'!$C$32*'Lease Cycles'!$BA$32/12,IF(EJ$6&gt;='Lease Cycles'!$AX$32,'Lease Cycles'!$C$32*'Lease Cycles'!$AY$32/12,IF(EJ$6&gt;='Lease Cycles'!$AV$32,'Lease Cycles'!$C$32*'Lease Cycles'!$AW$32/12,IF(EJ$6&gt;='Lease Cycles'!$AT$32,'Lease Cycles'!$C$32*'Lease Cycles'!$AU$32/12,'Lease Cycles'!$C$32*INDEX('Lease Cycles'!$CB$32:$CH$32,1,EJ418)*(1+INDEX('Lease Cycles'!$CI$32:$CO$32,1,EJ418))^INT(INT(EJ419/12)/INDEX('Lease Cycles'!$CP$32:$CV$32,1,EJ418))/12)))),'Lease Cycles'!$C$32*INDEX('Lease Cycles'!$CB$32:$CH$32,1,EJ418)*(1+INDEX('Lease Cycles'!$CI$32:$CO$32,1,EJ418))^INT(INT(EJ419/12)/INDEX('Lease Cycles'!$CP$32:$CV$32,1,EJ418))/12),IF(INDEX('Lease Cycles'!$EF$32:$EL$32,1,EJ418)=1,IF(AND('Lease Cycles'!$AZ$32&gt;=INDEX('Lease Cycles'!$BG$32:$BM$32,1,EJ418),'Lease Cycles'!$AZ$32&lt;=EJ$6),'Lease Cycles'!$C$32*'Lease Cycles'!$BA$32/12,IF(AND('Lease Cycles'!$AX$32&gt;=INDEX('Lease Cycles'!$BG$32:$BM$32,1,EJ418),'Lease Cycles'!$AX$32&lt;=EJ$6),'Lease Cycles'!$C$32*'Lease Cycles'!$AY$32/12,IF(AND('Lease Cycles'!$AV$32&gt;=INDEX('Lease Cycles'!$BG$32:$BM$32,1,EJ418),'Lease Cycles'!$AV$32&lt;=EJ$6),'Lease Cycles'!$C$32*'Lease Cycles'!$AW$32/12,IF(AND('Lease Cycles'!$AT$32&gt;=INDEX('Lease Cycles'!$BG$32:$BM$32,1,EJ418),'Lease Cycles'!$AT$32&lt;=EJ$6),'Lease Cycles'!$C$32*'Lease Cycles'!$AU$32/12,'Lease Cycles'!$C$32*INDEX('Lease Cycles'!$CB$32:$CH$32,1,EJ418)*(1+INDEX('Lease Cycles'!$CI$32:$CO$32,1,EJ418))^INT(INT(EJ419/12)/INDEX('Lease Cycles'!$CP$32:$CV$32,1,EJ418))/12)))),'Lease Cycles'!$C$32*INDEX('Lease Cycles'!$CB$32:$CH$32,1,EJ418)*(1+INDEX('Lease Cycles'!$CI$32:$CO$32,1,EJ418))^INT(INT(EJ419/12)/INDEX('Lease Cycles'!$CP$32:$CV$32,1,EJ418))/12))),IF('Lease Cycles'!$N$32=1,'Lease Cycles'!$C$32*'Lease Cycles'!$E$32*INDEX('Lease Cycles'!$HE$32:$HK$32,1,EJ418)*(1+INDEX('Lease Cycles'!$GQ$32:$GW$32,1,EJ418))^INT(INT((EJ$6-INDEX('Lease Cycles'!$GJ$32:$GP$32,1,EJ418))/12)/INDEX('Lease Cycles'!$GX$32:$HD$32,1,EJ418))/12,0)))</f>
        <v>0</v>
      </c>
      <c r="EK421" s="28">
        <f>IF(EK418=0,IF('Lease Cycles'!$F$32&gt;0,'Lease Cycles'!$C$32*'Lease Cycles'!$E$32/12,0),IF(EK420=1,IF('Lease Cycles'!$AT$32&gt;=9999,'Lease Cycles'!$C$32*INDEX('Lease Cycles'!$CB$32:$CH$32,1,EK418)*(1+INDEX('Lease Cycles'!$CI$32:$CO$32,1,EK418))^INT(INT(EK419/12)/INDEX('Lease Cycles'!$CP$32:$CV$32,1,EK418))/12,IF(EK418=1,IF(EK419&gt;=INDEX('Lease Cycles'!$DK$32:$DQ$32,1,EK418),IF(EK$6&gt;='Lease Cycles'!$AZ$32,'Lease Cycles'!$C$32*'Lease Cycles'!$BA$32/12,IF(EK$6&gt;='Lease Cycles'!$AX$32,'Lease Cycles'!$C$32*'Lease Cycles'!$AY$32/12,IF(EK$6&gt;='Lease Cycles'!$AV$32,'Lease Cycles'!$C$32*'Lease Cycles'!$AW$32/12,IF(EK$6&gt;='Lease Cycles'!$AT$32,'Lease Cycles'!$C$32*'Lease Cycles'!$AU$32/12,'Lease Cycles'!$C$32*INDEX('Lease Cycles'!$CB$32:$CH$32,1,EK418)*(1+INDEX('Lease Cycles'!$CI$32:$CO$32,1,EK418))^INT(INT(EK419/12)/INDEX('Lease Cycles'!$CP$32:$CV$32,1,EK418))/12)))),'Lease Cycles'!$C$32*INDEX('Lease Cycles'!$CB$32:$CH$32,1,EK418)*(1+INDEX('Lease Cycles'!$CI$32:$CO$32,1,EK418))^INT(INT(EK419/12)/INDEX('Lease Cycles'!$CP$32:$CV$32,1,EK418))/12),IF(INDEX('Lease Cycles'!$EF$32:$EL$32,1,EK418)=1,IF(AND('Lease Cycles'!$AZ$32&gt;=INDEX('Lease Cycles'!$BG$32:$BM$32,1,EK418),'Lease Cycles'!$AZ$32&lt;=EK$6),'Lease Cycles'!$C$32*'Lease Cycles'!$BA$32/12,IF(AND('Lease Cycles'!$AX$32&gt;=INDEX('Lease Cycles'!$BG$32:$BM$32,1,EK418),'Lease Cycles'!$AX$32&lt;=EK$6),'Lease Cycles'!$C$32*'Lease Cycles'!$AY$32/12,IF(AND('Lease Cycles'!$AV$32&gt;=INDEX('Lease Cycles'!$BG$32:$BM$32,1,EK418),'Lease Cycles'!$AV$32&lt;=EK$6),'Lease Cycles'!$C$32*'Lease Cycles'!$AW$32/12,IF(AND('Lease Cycles'!$AT$32&gt;=INDEX('Lease Cycles'!$BG$32:$BM$32,1,EK418),'Lease Cycles'!$AT$32&lt;=EK$6),'Lease Cycles'!$C$32*'Lease Cycles'!$AU$32/12,'Lease Cycles'!$C$32*INDEX('Lease Cycles'!$CB$32:$CH$32,1,EK418)*(1+INDEX('Lease Cycles'!$CI$32:$CO$32,1,EK418))^INT(INT(EK419/12)/INDEX('Lease Cycles'!$CP$32:$CV$32,1,EK418))/12)))),'Lease Cycles'!$C$32*INDEX('Lease Cycles'!$CB$32:$CH$32,1,EK418)*(1+INDEX('Lease Cycles'!$CI$32:$CO$32,1,EK418))^INT(INT(EK419/12)/INDEX('Lease Cycles'!$CP$32:$CV$32,1,EK418))/12))),IF('Lease Cycles'!$N$32=1,'Lease Cycles'!$C$32*'Lease Cycles'!$E$32*INDEX('Lease Cycles'!$HE$32:$HK$32,1,EK418)*(1+INDEX('Lease Cycles'!$GQ$32:$GW$32,1,EK418))^INT(INT((EK$6-INDEX('Lease Cycles'!$GJ$32:$GP$32,1,EK418))/12)/INDEX('Lease Cycles'!$GX$32:$HD$32,1,EK418))/12,0)))</f>
        <v>0</v>
      </c>
      <c r="EL421" s="28">
        <f>IF(EL418=0,IF('Lease Cycles'!$F$32&gt;0,'Lease Cycles'!$C$32*'Lease Cycles'!$E$32/12,0),IF(EL420=1,IF('Lease Cycles'!$AT$32&gt;=9999,'Lease Cycles'!$C$32*INDEX('Lease Cycles'!$CB$32:$CH$32,1,EL418)*(1+INDEX('Lease Cycles'!$CI$32:$CO$32,1,EL418))^INT(INT(EL419/12)/INDEX('Lease Cycles'!$CP$32:$CV$32,1,EL418))/12,IF(EL418=1,IF(EL419&gt;=INDEX('Lease Cycles'!$DK$32:$DQ$32,1,EL418),IF(EL$6&gt;='Lease Cycles'!$AZ$32,'Lease Cycles'!$C$32*'Lease Cycles'!$BA$32/12,IF(EL$6&gt;='Lease Cycles'!$AX$32,'Lease Cycles'!$C$32*'Lease Cycles'!$AY$32/12,IF(EL$6&gt;='Lease Cycles'!$AV$32,'Lease Cycles'!$C$32*'Lease Cycles'!$AW$32/12,IF(EL$6&gt;='Lease Cycles'!$AT$32,'Lease Cycles'!$C$32*'Lease Cycles'!$AU$32/12,'Lease Cycles'!$C$32*INDEX('Lease Cycles'!$CB$32:$CH$32,1,EL418)*(1+INDEX('Lease Cycles'!$CI$32:$CO$32,1,EL418))^INT(INT(EL419/12)/INDEX('Lease Cycles'!$CP$32:$CV$32,1,EL418))/12)))),'Lease Cycles'!$C$32*INDEX('Lease Cycles'!$CB$32:$CH$32,1,EL418)*(1+INDEX('Lease Cycles'!$CI$32:$CO$32,1,EL418))^INT(INT(EL419/12)/INDEX('Lease Cycles'!$CP$32:$CV$32,1,EL418))/12),IF(INDEX('Lease Cycles'!$EF$32:$EL$32,1,EL418)=1,IF(AND('Lease Cycles'!$AZ$32&gt;=INDEX('Lease Cycles'!$BG$32:$BM$32,1,EL418),'Lease Cycles'!$AZ$32&lt;=EL$6),'Lease Cycles'!$C$32*'Lease Cycles'!$BA$32/12,IF(AND('Lease Cycles'!$AX$32&gt;=INDEX('Lease Cycles'!$BG$32:$BM$32,1,EL418),'Lease Cycles'!$AX$32&lt;=EL$6),'Lease Cycles'!$C$32*'Lease Cycles'!$AY$32/12,IF(AND('Lease Cycles'!$AV$32&gt;=INDEX('Lease Cycles'!$BG$32:$BM$32,1,EL418),'Lease Cycles'!$AV$32&lt;=EL$6),'Lease Cycles'!$C$32*'Lease Cycles'!$AW$32/12,IF(AND('Lease Cycles'!$AT$32&gt;=INDEX('Lease Cycles'!$BG$32:$BM$32,1,EL418),'Lease Cycles'!$AT$32&lt;=EL$6),'Lease Cycles'!$C$32*'Lease Cycles'!$AU$32/12,'Lease Cycles'!$C$32*INDEX('Lease Cycles'!$CB$32:$CH$32,1,EL418)*(1+INDEX('Lease Cycles'!$CI$32:$CO$32,1,EL418))^INT(INT(EL419/12)/INDEX('Lease Cycles'!$CP$32:$CV$32,1,EL418))/12)))),'Lease Cycles'!$C$32*INDEX('Lease Cycles'!$CB$32:$CH$32,1,EL418)*(1+INDEX('Lease Cycles'!$CI$32:$CO$32,1,EL418))^INT(INT(EL419/12)/INDEX('Lease Cycles'!$CP$32:$CV$32,1,EL418))/12))),IF('Lease Cycles'!$N$32=1,'Lease Cycles'!$C$32*'Lease Cycles'!$E$32*INDEX('Lease Cycles'!$HE$32:$HK$32,1,EL418)*(1+INDEX('Lease Cycles'!$GQ$32:$GW$32,1,EL418))^INT(INT((EL$6-INDEX('Lease Cycles'!$GJ$32:$GP$32,1,EL418))/12)/INDEX('Lease Cycles'!$GX$32:$HD$32,1,EL418))/12,0)))</f>
        <v>0</v>
      </c>
      <c r="EM421" s="28">
        <f>IF(EM418=0,IF('Lease Cycles'!$F$32&gt;0,'Lease Cycles'!$C$32*'Lease Cycles'!$E$32/12,0),IF(EM420=1,IF('Lease Cycles'!$AT$32&gt;=9999,'Lease Cycles'!$C$32*INDEX('Lease Cycles'!$CB$32:$CH$32,1,EM418)*(1+INDEX('Lease Cycles'!$CI$32:$CO$32,1,EM418))^INT(INT(EM419/12)/INDEX('Lease Cycles'!$CP$32:$CV$32,1,EM418))/12,IF(EM418=1,IF(EM419&gt;=INDEX('Lease Cycles'!$DK$32:$DQ$32,1,EM418),IF(EM$6&gt;='Lease Cycles'!$AZ$32,'Lease Cycles'!$C$32*'Lease Cycles'!$BA$32/12,IF(EM$6&gt;='Lease Cycles'!$AX$32,'Lease Cycles'!$C$32*'Lease Cycles'!$AY$32/12,IF(EM$6&gt;='Lease Cycles'!$AV$32,'Lease Cycles'!$C$32*'Lease Cycles'!$AW$32/12,IF(EM$6&gt;='Lease Cycles'!$AT$32,'Lease Cycles'!$C$32*'Lease Cycles'!$AU$32/12,'Lease Cycles'!$C$32*INDEX('Lease Cycles'!$CB$32:$CH$32,1,EM418)*(1+INDEX('Lease Cycles'!$CI$32:$CO$32,1,EM418))^INT(INT(EM419/12)/INDEX('Lease Cycles'!$CP$32:$CV$32,1,EM418))/12)))),'Lease Cycles'!$C$32*INDEX('Lease Cycles'!$CB$32:$CH$32,1,EM418)*(1+INDEX('Lease Cycles'!$CI$32:$CO$32,1,EM418))^INT(INT(EM419/12)/INDEX('Lease Cycles'!$CP$32:$CV$32,1,EM418))/12),IF(INDEX('Lease Cycles'!$EF$32:$EL$32,1,EM418)=1,IF(AND('Lease Cycles'!$AZ$32&gt;=INDEX('Lease Cycles'!$BG$32:$BM$32,1,EM418),'Lease Cycles'!$AZ$32&lt;=EM$6),'Lease Cycles'!$C$32*'Lease Cycles'!$BA$32/12,IF(AND('Lease Cycles'!$AX$32&gt;=INDEX('Lease Cycles'!$BG$32:$BM$32,1,EM418),'Lease Cycles'!$AX$32&lt;=EM$6),'Lease Cycles'!$C$32*'Lease Cycles'!$AY$32/12,IF(AND('Lease Cycles'!$AV$32&gt;=INDEX('Lease Cycles'!$BG$32:$BM$32,1,EM418),'Lease Cycles'!$AV$32&lt;=EM$6),'Lease Cycles'!$C$32*'Lease Cycles'!$AW$32/12,IF(AND('Lease Cycles'!$AT$32&gt;=INDEX('Lease Cycles'!$BG$32:$BM$32,1,EM418),'Lease Cycles'!$AT$32&lt;=EM$6),'Lease Cycles'!$C$32*'Lease Cycles'!$AU$32/12,'Lease Cycles'!$C$32*INDEX('Lease Cycles'!$CB$32:$CH$32,1,EM418)*(1+INDEX('Lease Cycles'!$CI$32:$CO$32,1,EM418))^INT(INT(EM419/12)/INDEX('Lease Cycles'!$CP$32:$CV$32,1,EM418))/12)))),'Lease Cycles'!$C$32*INDEX('Lease Cycles'!$CB$32:$CH$32,1,EM418)*(1+INDEX('Lease Cycles'!$CI$32:$CO$32,1,EM418))^INT(INT(EM419/12)/INDEX('Lease Cycles'!$CP$32:$CV$32,1,EM418))/12))),IF('Lease Cycles'!$N$32=1,'Lease Cycles'!$C$32*'Lease Cycles'!$E$32*INDEX('Lease Cycles'!$HE$32:$HK$32,1,EM418)*(1+INDEX('Lease Cycles'!$GQ$32:$GW$32,1,EM418))^INT(INT((EM$6-INDEX('Lease Cycles'!$GJ$32:$GP$32,1,EM418))/12)/INDEX('Lease Cycles'!$GX$32:$HD$32,1,EM418))/12,0)))</f>
        <v>0</v>
      </c>
      <c r="EN421" s="28">
        <f>IF(EN418=0,IF('Lease Cycles'!$F$32&gt;0,'Lease Cycles'!$C$32*'Lease Cycles'!$E$32/12,0),IF(EN420=1,IF('Lease Cycles'!$AT$32&gt;=9999,'Lease Cycles'!$C$32*INDEX('Lease Cycles'!$CB$32:$CH$32,1,EN418)*(1+INDEX('Lease Cycles'!$CI$32:$CO$32,1,EN418))^INT(INT(EN419/12)/INDEX('Lease Cycles'!$CP$32:$CV$32,1,EN418))/12,IF(EN418=1,IF(EN419&gt;=INDEX('Lease Cycles'!$DK$32:$DQ$32,1,EN418),IF(EN$6&gt;='Lease Cycles'!$AZ$32,'Lease Cycles'!$C$32*'Lease Cycles'!$BA$32/12,IF(EN$6&gt;='Lease Cycles'!$AX$32,'Lease Cycles'!$C$32*'Lease Cycles'!$AY$32/12,IF(EN$6&gt;='Lease Cycles'!$AV$32,'Lease Cycles'!$C$32*'Lease Cycles'!$AW$32/12,IF(EN$6&gt;='Lease Cycles'!$AT$32,'Lease Cycles'!$C$32*'Lease Cycles'!$AU$32/12,'Lease Cycles'!$C$32*INDEX('Lease Cycles'!$CB$32:$CH$32,1,EN418)*(1+INDEX('Lease Cycles'!$CI$32:$CO$32,1,EN418))^INT(INT(EN419/12)/INDEX('Lease Cycles'!$CP$32:$CV$32,1,EN418))/12)))),'Lease Cycles'!$C$32*INDEX('Lease Cycles'!$CB$32:$CH$32,1,EN418)*(1+INDEX('Lease Cycles'!$CI$32:$CO$32,1,EN418))^INT(INT(EN419/12)/INDEX('Lease Cycles'!$CP$32:$CV$32,1,EN418))/12),IF(INDEX('Lease Cycles'!$EF$32:$EL$32,1,EN418)=1,IF(AND('Lease Cycles'!$AZ$32&gt;=INDEX('Lease Cycles'!$BG$32:$BM$32,1,EN418),'Lease Cycles'!$AZ$32&lt;=EN$6),'Lease Cycles'!$C$32*'Lease Cycles'!$BA$32/12,IF(AND('Lease Cycles'!$AX$32&gt;=INDEX('Lease Cycles'!$BG$32:$BM$32,1,EN418),'Lease Cycles'!$AX$32&lt;=EN$6),'Lease Cycles'!$C$32*'Lease Cycles'!$AY$32/12,IF(AND('Lease Cycles'!$AV$32&gt;=INDEX('Lease Cycles'!$BG$32:$BM$32,1,EN418),'Lease Cycles'!$AV$32&lt;=EN$6),'Lease Cycles'!$C$32*'Lease Cycles'!$AW$32/12,IF(AND('Lease Cycles'!$AT$32&gt;=INDEX('Lease Cycles'!$BG$32:$BM$32,1,EN418),'Lease Cycles'!$AT$32&lt;=EN$6),'Lease Cycles'!$C$32*'Lease Cycles'!$AU$32/12,'Lease Cycles'!$C$32*INDEX('Lease Cycles'!$CB$32:$CH$32,1,EN418)*(1+INDEX('Lease Cycles'!$CI$32:$CO$32,1,EN418))^INT(INT(EN419/12)/INDEX('Lease Cycles'!$CP$32:$CV$32,1,EN418))/12)))),'Lease Cycles'!$C$32*INDEX('Lease Cycles'!$CB$32:$CH$32,1,EN418)*(1+INDEX('Lease Cycles'!$CI$32:$CO$32,1,EN418))^INT(INT(EN419/12)/INDEX('Lease Cycles'!$CP$32:$CV$32,1,EN418))/12))),IF('Lease Cycles'!$N$32=1,'Lease Cycles'!$C$32*'Lease Cycles'!$E$32*INDEX('Lease Cycles'!$HE$32:$HK$32,1,EN418)*(1+INDEX('Lease Cycles'!$GQ$32:$GW$32,1,EN418))^INT(INT((EN$6-INDEX('Lease Cycles'!$GJ$32:$GP$32,1,EN418))/12)/INDEX('Lease Cycles'!$GX$32:$HD$32,1,EN418))/12,0)))</f>
        <v>0</v>
      </c>
      <c r="EO421" s="28">
        <f>IF(EO418=0,IF('Lease Cycles'!$F$32&gt;0,'Lease Cycles'!$C$32*'Lease Cycles'!$E$32/12,0),IF(EO420=1,IF('Lease Cycles'!$AT$32&gt;=9999,'Lease Cycles'!$C$32*INDEX('Lease Cycles'!$CB$32:$CH$32,1,EO418)*(1+INDEX('Lease Cycles'!$CI$32:$CO$32,1,EO418))^INT(INT(EO419/12)/INDEX('Lease Cycles'!$CP$32:$CV$32,1,EO418))/12,IF(EO418=1,IF(EO419&gt;=INDEX('Lease Cycles'!$DK$32:$DQ$32,1,EO418),IF(EO$6&gt;='Lease Cycles'!$AZ$32,'Lease Cycles'!$C$32*'Lease Cycles'!$BA$32/12,IF(EO$6&gt;='Lease Cycles'!$AX$32,'Lease Cycles'!$C$32*'Lease Cycles'!$AY$32/12,IF(EO$6&gt;='Lease Cycles'!$AV$32,'Lease Cycles'!$C$32*'Lease Cycles'!$AW$32/12,IF(EO$6&gt;='Lease Cycles'!$AT$32,'Lease Cycles'!$C$32*'Lease Cycles'!$AU$32/12,'Lease Cycles'!$C$32*INDEX('Lease Cycles'!$CB$32:$CH$32,1,EO418)*(1+INDEX('Lease Cycles'!$CI$32:$CO$32,1,EO418))^INT(INT(EO419/12)/INDEX('Lease Cycles'!$CP$32:$CV$32,1,EO418))/12)))),'Lease Cycles'!$C$32*INDEX('Lease Cycles'!$CB$32:$CH$32,1,EO418)*(1+INDEX('Lease Cycles'!$CI$32:$CO$32,1,EO418))^INT(INT(EO419/12)/INDEX('Lease Cycles'!$CP$32:$CV$32,1,EO418))/12),IF(INDEX('Lease Cycles'!$EF$32:$EL$32,1,EO418)=1,IF(AND('Lease Cycles'!$AZ$32&gt;=INDEX('Lease Cycles'!$BG$32:$BM$32,1,EO418),'Lease Cycles'!$AZ$32&lt;=EO$6),'Lease Cycles'!$C$32*'Lease Cycles'!$BA$32/12,IF(AND('Lease Cycles'!$AX$32&gt;=INDEX('Lease Cycles'!$BG$32:$BM$32,1,EO418),'Lease Cycles'!$AX$32&lt;=EO$6),'Lease Cycles'!$C$32*'Lease Cycles'!$AY$32/12,IF(AND('Lease Cycles'!$AV$32&gt;=INDEX('Lease Cycles'!$BG$32:$BM$32,1,EO418),'Lease Cycles'!$AV$32&lt;=EO$6),'Lease Cycles'!$C$32*'Lease Cycles'!$AW$32/12,IF(AND('Lease Cycles'!$AT$32&gt;=INDEX('Lease Cycles'!$BG$32:$BM$32,1,EO418),'Lease Cycles'!$AT$32&lt;=EO$6),'Lease Cycles'!$C$32*'Lease Cycles'!$AU$32/12,'Lease Cycles'!$C$32*INDEX('Lease Cycles'!$CB$32:$CH$32,1,EO418)*(1+INDEX('Lease Cycles'!$CI$32:$CO$32,1,EO418))^INT(INT(EO419/12)/INDEX('Lease Cycles'!$CP$32:$CV$32,1,EO418))/12)))),'Lease Cycles'!$C$32*INDEX('Lease Cycles'!$CB$32:$CH$32,1,EO418)*(1+INDEX('Lease Cycles'!$CI$32:$CO$32,1,EO418))^INT(INT(EO419/12)/INDEX('Lease Cycles'!$CP$32:$CV$32,1,EO418))/12))),IF('Lease Cycles'!$N$32=1,'Lease Cycles'!$C$32*'Lease Cycles'!$E$32*INDEX('Lease Cycles'!$HE$32:$HK$32,1,EO418)*(1+INDEX('Lease Cycles'!$GQ$32:$GW$32,1,EO418))^INT(INT((EO$6-INDEX('Lease Cycles'!$GJ$32:$GP$32,1,EO418))/12)/INDEX('Lease Cycles'!$GX$32:$HD$32,1,EO418))/12,0)))</f>
        <v>0</v>
      </c>
      <c r="EP421" s="28">
        <f>IF(EP418=0,IF('Lease Cycles'!$F$32&gt;0,'Lease Cycles'!$C$32*'Lease Cycles'!$E$32/12,0),IF(EP420=1,IF('Lease Cycles'!$AT$32&gt;=9999,'Lease Cycles'!$C$32*INDEX('Lease Cycles'!$CB$32:$CH$32,1,EP418)*(1+INDEX('Lease Cycles'!$CI$32:$CO$32,1,EP418))^INT(INT(EP419/12)/INDEX('Lease Cycles'!$CP$32:$CV$32,1,EP418))/12,IF(EP418=1,IF(EP419&gt;=INDEX('Lease Cycles'!$DK$32:$DQ$32,1,EP418),IF(EP$6&gt;='Lease Cycles'!$AZ$32,'Lease Cycles'!$C$32*'Lease Cycles'!$BA$32/12,IF(EP$6&gt;='Lease Cycles'!$AX$32,'Lease Cycles'!$C$32*'Lease Cycles'!$AY$32/12,IF(EP$6&gt;='Lease Cycles'!$AV$32,'Lease Cycles'!$C$32*'Lease Cycles'!$AW$32/12,IF(EP$6&gt;='Lease Cycles'!$AT$32,'Lease Cycles'!$C$32*'Lease Cycles'!$AU$32/12,'Lease Cycles'!$C$32*INDEX('Lease Cycles'!$CB$32:$CH$32,1,EP418)*(1+INDEX('Lease Cycles'!$CI$32:$CO$32,1,EP418))^INT(INT(EP419/12)/INDEX('Lease Cycles'!$CP$32:$CV$32,1,EP418))/12)))),'Lease Cycles'!$C$32*INDEX('Lease Cycles'!$CB$32:$CH$32,1,EP418)*(1+INDEX('Lease Cycles'!$CI$32:$CO$32,1,EP418))^INT(INT(EP419/12)/INDEX('Lease Cycles'!$CP$32:$CV$32,1,EP418))/12),IF(INDEX('Lease Cycles'!$EF$32:$EL$32,1,EP418)=1,IF(AND('Lease Cycles'!$AZ$32&gt;=INDEX('Lease Cycles'!$BG$32:$BM$32,1,EP418),'Lease Cycles'!$AZ$32&lt;=EP$6),'Lease Cycles'!$C$32*'Lease Cycles'!$BA$32/12,IF(AND('Lease Cycles'!$AX$32&gt;=INDEX('Lease Cycles'!$BG$32:$BM$32,1,EP418),'Lease Cycles'!$AX$32&lt;=EP$6),'Lease Cycles'!$C$32*'Lease Cycles'!$AY$32/12,IF(AND('Lease Cycles'!$AV$32&gt;=INDEX('Lease Cycles'!$BG$32:$BM$32,1,EP418),'Lease Cycles'!$AV$32&lt;=EP$6),'Lease Cycles'!$C$32*'Lease Cycles'!$AW$32/12,IF(AND('Lease Cycles'!$AT$32&gt;=INDEX('Lease Cycles'!$BG$32:$BM$32,1,EP418),'Lease Cycles'!$AT$32&lt;=EP$6),'Lease Cycles'!$C$32*'Lease Cycles'!$AU$32/12,'Lease Cycles'!$C$32*INDEX('Lease Cycles'!$CB$32:$CH$32,1,EP418)*(1+INDEX('Lease Cycles'!$CI$32:$CO$32,1,EP418))^INT(INT(EP419/12)/INDEX('Lease Cycles'!$CP$32:$CV$32,1,EP418))/12)))),'Lease Cycles'!$C$32*INDEX('Lease Cycles'!$CB$32:$CH$32,1,EP418)*(1+INDEX('Lease Cycles'!$CI$32:$CO$32,1,EP418))^INT(INT(EP419/12)/INDEX('Lease Cycles'!$CP$32:$CV$32,1,EP418))/12))),IF('Lease Cycles'!$N$32=1,'Lease Cycles'!$C$32*'Lease Cycles'!$E$32*INDEX('Lease Cycles'!$HE$32:$HK$32,1,EP418)*(1+INDEX('Lease Cycles'!$GQ$32:$GW$32,1,EP418))^INT(INT((EP$6-INDEX('Lease Cycles'!$GJ$32:$GP$32,1,EP418))/12)/INDEX('Lease Cycles'!$GX$32:$HD$32,1,EP418))/12,0)))</f>
        <v>0</v>
      </c>
      <c r="EQ421" s="28">
        <f>IF(EQ418=0,IF('Lease Cycles'!$F$32&gt;0,'Lease Cycles'!$C$32*'Lease Cycles'!$E$32/12,0),IF(EQ420=1,IF('Lease Cycles'!$AT$32&gt;=9999,'Lease Cycles'!$C$32*INDEX('Lease Cycles'!$CB$32:$CH$32,1,EQ418)*(1+INDEX('Lease Cycles'!$CI$32:$CO$32,1,EQ418))^INT(INT(EQ419/12)/INDEX('Lease Cycles'!$CP$32:$CV$32,1,EQ418))/12,IF(EQ418=1,IF(EQ419&gt;=INDEX('Lease Cycles'!$DK$32:$DQ$32,1,EQ418),IF(EQ$6&gt;='Lease Cycles'!$AZ$32,'Lease Cycles'!$C$32*'Lease Cycles'!$BA$32/12,IF(EQ$6&gt;='Lease Cycles'!$AX$32,'Lease Cycles'!$C$32*'Lease Cycles'!$AY$32/12,IF(EQ$6&gt;='Lease Cycles'!$AV$32,'Lease Cycles'!$C$32*'Lease Cycles'!$AW$32/12,IF(EQ$6&gt;='Lease Cycles'!$AT$32,'Lease Cycles'!$C$32*'Lease Cycles'!$AU$32/12,'Lease Cycles'!$C$32*INDEX('Lease Cycles'!$CB$32:$CH$32,1,EQ418)*(1+INDEX('Lease Cycles'!$CI$32:$CO$32,1,EQ418))^INT(INT(EQ419/12)/INDEX('Lease Cycles'!$CP$32:$CV$32,1,EQ418))/12)))),'Lease Cycles'!$C$32*INDEX('Lease Cycles'!$CB$32:$CH$32,1,EQ418)*(1+INDEX('Lease Cycles'!$CI$32:$CO$32,1,EQ418))^INT(INT(EQ419/12)/INDEX('Lease Cycles'!$CP$32:$CV$32,1,EQ418))/12),IF(INDEX('Lease Cycles'!$EF$32:$EL$32,1,EQ418)=1,IF(AND('Lease Cycles'!$AZ$32&gt;=INDEX('Lease Cycles'!$BG$32:$BM$32,1,EQ418),'Lease Cycles'!$AZ$32&lt;=EQ$6),'Lease Cycles'!$C$32*'Lease Cycles'!$BA$32/12,IF(AND('Lease Cycles'!$AX$32&gt;=INDEX('Lease Cycles'!$BG$32:$BM$32,1,EQ418),'Lease Cycles'!$AX$32&lt;=EQ$6),'Lease Cycles'!$C$32*'Lease Cycles'!$AY$32/12,IF(AND('Lease Cycles'!$AV$32&gt;=INDEX('Lease Cycles'!$BG$32:$BM$32,1,EQ418),'Lease Cycles'!$AV$32&lt;=EQ$6),'Lease Cycles'!$C$32*'Lease Cycles'!$AW$32/12,IF(AND('Lease Cycles'!$AT$32&gt;=INDEX('Lease Cycles'!$BG$32:$BM$32,1,EQ418),'Lease Cycles'!$AT$32&lt;=EQ$6),'Lease Cycles'!$C$32*'Lease Cycles'!$AU$32/12,'Lease Cycles'!$C$32*INDEX('Lease Cycles'!$CB$32:$CH$32,1,EQ418)*(1+INDEX('Lease Cycles'!$CI$32:$CO$32,1,EQ418))^INT(INT(EQ419/12)/INDEX('Lease Cycles'!$CP$32:$CV$32,1,EQ418))/12)))),'Lease Cycles'!$C$32*INDEX('Lease Cycles'!$CB$32:$CH$32,1,EQ418)*(1+INDEX('Lease Cycles'!$CI$32:$CO$32,1,EQ418))^INT(INT(EQ419/12)/INDEX('Lease Cycles'!$CP$32:$CV$32,1,EQ418))/12))),IF('Lease Cycles'!$N$32=1,'Lease Cycles'!$C$32*'Lease Cycles'!$E$32*INDEX('Lease Cycles'!$HE$32:$HK$32,1,EQ418)*(1+INDEX('Lease Cycles'!$GQ$32:$GW$32,1,EQ418))^INT(INT((EQ$6-INDEX('Lease Cycles'!$GJ$32:$GP$32,1,EQ418))/12)/INDEX('Lease Cycles'!$GX$32:$HD$32,1,EQ418))/12,0)))</f>
        <v>0</v>
      </c>
      <c r="ER421" s="28">
        <f>IF(ER418=0,IF('Lease Cycles'!$F$32&gt;0,'Lease Cycles'!$C$32*'Lease Cycles'!$E$32/12,0),IF(ER420=1,IF('Lease Cycles'!$AT$32&gt;=9999,'Lease Cycles'!$C$32*INDEX('Lease Cycles'!$CB$32:$CH$32,1,ER418)*(1+INDEX('Lease Cycles'!$CI$32:$CO$32,1,ER418))^INT(INT(ER419/12)/INDEX('Lease Cycles'!$CP$32:$CV$32,1,ER418))/12,IF(ER418=1,IF(ER419&gt;=INDEX('Lease Cycles'!$DK$32:$DQ$32,1,ER418),IF(ER$6&gt;='Lease Cycles'!$AZ$32,'Lease Cycles'!$C$32*'Lease Cycles'!$BA$32/12,IF(ER$6&gt;='Lease Cycles'!$AX$32,'Lease Cycles'!$C$32*'Lease Cycles'!$AY$32/12,IF(ER$6&gt;='Lease Cycles'!$AV$32,'Lease Cycles'!$C$32*'Lease Cycles'!$AW$32/12,IF(ER$6&gt;='Lease Cycles'!$AT$32,'Lease Cycles'!$C$32*'Lease Cycles'!$AU$32/12,'Lease Cycles'!$C$32*INDEX('Lease Cycles'!$CB$32:$CH$32,1,ER418)*(1+INDEX('Lease Cycles'!$CI$32:$CO$32,1,ER418))^INT(INT(ER419/12)/INDEX('Lease Cycles'!$CP$32:$CV$32,1,ER418))/12)))),'Lease Cycles'!$C$32*INDEX('Lease Cycles'!$CB$32:$CH$32,1,ER418)*(1+INDEX('Lease Cycles'!$CI$32:$CO$32,1,ER418))^INT(INT(ER419/12)/INDEX('Lease Cycles'!$CP$32:$CV$32,1,ER418))/12),IF(INDEX('Lease Cycles'!$EF$32:$EL$32,1,ER418)=1,IF(AND('Lease Cycles'!$AZ$32&gt;=INDEX('Lease Cycles'!$BG$32:$BM$32,1,ER418),'Lease Cycles'!$AZ$32&lt;=ER$6),'Lease Cycles'!$C$32*'Lease Cycles'!$BA$32/12,IF(AND('Lease Cycles'!$AX$32&gt;=INDEX('Lease Cycles'!$BG$32:$BM$32,1,ER418),'Lease Cycles'!$AX$32&lt;=ER$6),'Lease Cycles'!$C$32*'Lease Cycles'!$AY$32/12,IF(AND('Lease Cycles'!$AV$32&gt;=INDEX('Lease Cycles'!$BG$32:$BM$32,1,ER418),'Lease Cycles'!$AV$32&lt;=ER$6),'Lease Cycles'!$C$32*'Lease Cycles'!$AW$32/12,IF(AND('Lease Cycles'!$AT$32&gt;=INDEX('Lease Cycles'!$BG$32:$BM$32,1,ER418),'Lease Cycles'!$AT$32&lt;=ER$6),'Lease Cycles'!$C$32*'Lease Cycles'!$AU$32/12,'Lease Cycles'!$C$32*INDEX('Lease Cycles'!$CB$32:$CH$32,1,ER418)*(1+INDEX('Lease Cycles'!$CI$32:$CO$32,1,ER418))^INT(INT(ER419/12)/INDEX('Lease Cycles'!$CP$32:$CV$32,1,ER418))/12)))),'Lease Cycles'!$C$32*INDEX('Lease Cycles'!$CB$32:$CH$32,1,ER418)*(1+INDEX('Lease Cycles'!$CI$32:$CO$32,1,ER418))^INT(INT(ER419/12)/INDEX('Lease Cycles'!$CP$32:$CV$32,1,ER418))/12))),IF('Lease Cycles'!$N$32=1,'Lease Cycles'!$C$32*'Lease Cycles'!$E$32*INDEX('Lease Cycles'!$HE$32:$HK$32,1,ER418)*(1+INDEX('Lease Cycles'!$GQ$32:$GW$32,1,ER418))^INT(INT((ER$6-INDEX('Lease Cycles'!$GJ$32:$GP$32,1,ER418))/12)/INDEX('Lease Cycles'!$GX$32:$HD$32,1,ER418))/12,0)))</f>
        <v>0</v>
      </c>
      <c r="ES421" s="28">
        <f>IF(ES418=0,IF('Lease Cycles'!$F$32&gt;0,'Lease Cycles'!$C$32*'Lease Cycles'!$E$32/12,0),IF(ES420=1,IF('Lease Cycles'!$AT$32&gt;=9999,'Lease Cycles'!$C$32*INDEX('Lease Cycles'!$CB$32:$CH$32,1,ES418)*(1+INDEX('Lease Cycles'!$CI$32:$CO$32,1,ES418))^INT(INT(ES419/12)/INDEX('Lease Cycles'!$CP$32:$CV$32,1,ES418))/12,IF(ES418=1,IF(ES419&gt;=INDEX('Lease Cycles'!$DK$32:$DQ$32,1,ES418),IF(ES$6&gt;='Lease Cycles'!$AZ$32,'Lease Cycles'!$C$32*'Lease Cycles'!$BA$32/12,IF(ES$6&gt;='Lease Cycles'!$AX$32,'Lease Cycles'!$C$32*'Lease Cycles'!$AY$32/12,IF(ES$6&gt;='Lease Cycles'!$AV$32,'Lease Cycles'!$C$32*'Lease Cycles'!$AW$32/12,IF(ES$6&gt;='Lease Cycles'!$AT$32,'Lease Cycles'!$C$32*'Lease Cycles'!$AU$32/12,'Lease Cycles'!$C$32*INDEX('Lease Cycles'!$CB$32:$CH$32,1,ES418)*(1+INDEX('Lease Cycles'!$CI$32:$CO$32,1,ES418))^INT(INT(ES419/12)/INDEX('Lease Cycles'!$CP$32:$CV$32,1,ES418))/12)))),'Lease Cycles'!$C$32*INDEX('Lease Cycles'!$CB$32:$CH$32,1,ES418)*(1+INDEX('Lease Cycles'!$CI$32:$CO$32,1,ES418))^INT(INT(ES419/12)/INDEX('Lease Cycles'!$CP$32:$CV$32,1,ES418))/12),IF(INDEX('Lease Cycles'!$EF$32:$EL$32,1,ES418)=1,IF(AND('Lease Cycles'!$AZ$32&gt;=INDEX('Lease Cycles'!$BG$32:$BM$32,1,ES418),'Lease Cycles'!$AZ$32&lt;=ES$6),'Lease Cycles'!$C$32*'Lease Cycles'!$BA$32/12,IF(AND('Lease Cycles'!$AX$32&gt;=INDEX('Lease Cycles'!$BG$32:$BM$32,1,ES418),'Lease Cycles'!$AX$32&lt;=ES$6),'Lease Cycles'!$C$32*'Lease Cycles'!$AY$32/12,IF(AND('Lease Cycles'!$AV$32&gt;=INDEX('Lease Cycles'!$BG$32:$BM$32,1,ES418),'Lease Cycles'!$AV$32&lt;=ES$6),'Lease Cycles'!$C$32*'Lease Cycles'!$AW$32/12,IF(AND('Lease Cycles'!$AT$32&gt;=INDEX('Lease Cycles'!$BG$32:$BM$32,1,ES418),'Lease Cycles'!$AT$32&lt;=ES$6),'Lease Cycles'!$C$32*'Lease Cycles'!$AU$32/12,'Lease Cycles'!$C$32*INDEX('Lease Cycles'!$CB$32:$CH$32,1,ES418)*(1+INDEX('Lease Cycles'!$CI$32:$CO$32,1,ES418))^INT(INT(ES419/12)/INDEX('Lease Cycles'!$CP$32:$CV$32,1,ES418))/12)))),'Lease Cycles'!$C$32*INDEX('Lease Cycles'!$CB$32:$CH$32,1,ES418)*(1+INDEX('Lease Cycles'!$CI$32:$CO$32,1,ES418))^INT(INT(ES419/12)/INDEX('Lease Cycles'!$CP$32:$CV$32,1,ES418))/12))),IF('Lease Cycles'!$N$32=1,'Lease Cycles'!$C$32*'Lease Cycles'!$E$32*INDEX('Lease Cycles'!$HE$32:$HK$32,1,ES418)*(1+INDEX('Lease Cycles'!$GQ$32:$GW$32,1,ES418))^INT(INT((ES$6-INDEX('Lease Cycles'!$GJ$32:$GP$32,1,ES418))/12)/INDEX('Lease Cycles'!$GX$32:$HD$32,1,ES418))/12,0)))</f>
        <v>0</v>
      </c>
      <c r="ET421" s="28">
        <f>IF(ET418=0,IF('Lease Cycles'!$F$32&gt;0,'Lease Cycles'!$C$32*'Lease Cycles'!$E$32/12,0),IF(ET420=1,IF('Lease Cycles'!$AT$32&gt;=9999,'Lease Cycles'!$C$32*INDEX('Lease Cycles'!$CB$32:$CH$32,1,ET418)*(1+INDEX('Lease Cycles'!$CI$32:$CO$32,1,ET418))^INT(INT(ET419/12)/INDEX('Lease Cycles'!$CP$32:$CV$32,1,ET418))/12,IF(ET418=1,IF(ET419&gt;=INDEX('Lease Cycles'!$DK$32:$DQ$32,1,ET418),IF(ET$6&gt;='Lease Cycles'!$AZ$32,'Lease Cycles'!$C$32*'Lease Cycles'!$BA$32/12,IF(ET$6&gt;='Lease Cycles'!$AX$32,'Lease Cycles'!$C$32*'Lease Cycles'!$AY$32/12,IF(ET$6&gt;='Lease Cycles'!$AV$32,'Lease Cycles'!$C$32*'Lease Cycles'!$AW$32/12,IF(ET$6&gt;='Lease Cycles'!$AT$32,'Lease Cycles'!$C$32*'Lease Cycles'!$AU$32/12,'Lease Cycles'!$C$32*INDEX('Lease Cycles'!$CB$32:$CH$32,1,ET418)*(1+INDEX('Lease Cycles'!$CI$32:$CO$32,1,ET418))^INT(INT(ET419/12)/INDEX('Lease Cycles'!$CP$32:$CV$32,1,ET418))/12)))),'Lease Cycles'!$C$32*INDEX('Lease Cycles'!$CB$32:$CH$32,1,ET418)*(1+INDEX('Lease Cycles'!$CI$32:$CO$32,1,ET418))^INT(INT(ET419/12)/INDEX('Lease Cycles'!$CP$32:$CV$32,1,ET418))/12),IF(INDEX('Lease Cycles'!$EF$32:$EL$32,1,ET418)=1,IF(AND('Lease Cycles'!$AZ$32&gt;=INDEX('Lease Cycles'!$BG$32:$BM$32,1,ET418),'Lease Cycles'!$AZ$32&lt;=ET$6),'Lease Cycles'!$C$32*'Lease Cycles'!$BA$32/12,IF(AND('Lease Cycles'!$AX$32&gt;=INDEX('Lease Cycles'!$BG$32:$BM$32,1,ET418),'Lease Cycles'!$AX$32&lt;=ET$6),'Lease Cycles'!$C$32*'Lease Cycles'!$AY$32/12,IF(AND('Lease Cycles'!$AV$32&gt;=INDEX('Lease Cycles'!$BG$32:$BM$32,1,ET418),'Lease Cycles'!$AV$32&lt;=ET$6),'Lease Cycles'!$C$32*'Lease Cycles'!$AW$32/12,IF(AND('Lease Cycles'!$AT$32&gt;=INDEX('Lease Cycles'!$BG$32:$BM$32,1,ET418),'Lease Cycles'!$AT$32&lt;=ET$6),'Lease Cycles'!$C$32*'Lease Cycles'!$AU$32/12,'Lease Cycles'!$C$32*INDEX('Lease Cycles'!$CB$32:$CH$32,1,ET418)*(1+INDEX('Lease Cycles'!$CI$32:$CO$32,1,ET418))^INT(INT(ET419/12)/INDEX('Lease Cycles'!$CP$32:$CV$32,1,ET418))/12)))),'Lease Cycles'!$C$32*INDEX('Lease Cycles'!$CB$32:$CH$32,1,ET418)*(1+INDEX('Lease Cycles'!$CI$32:$CO$32,1,ET418))^INT(INT(ET419/12)/INDEX('Lease Cycles'!$CP$32:$CV$32,1,ET418))/12))),IF('Lease Cycles'!$N$32=1,'Lease Cycles'!$C$32*'Lease Cycles'!$E$32*INDEX('Lease Cycles'!$HE$32:$HK$32,1,ET418)*(1+INDEX('Lease Cycles'!$GQ$32:$GW$32,1,ET418))^INT(INT((ET$6-INDEX('Lease Cycles'!$GJ$32:$GP$32,1,ET418))/12)/INDEX('Lease Cycles'!$GX$32:$HD$32,1,ET418))/12,0)))</f>
        <v>0</v>
      </c>
    </row>
    <row r="422">
      <c r="A422" s="103">
        <v>25</v>
      </c>
      <c r="B422" s="23" t="str">
        <f>IF('Lease Cycles'!$B$32="","(empty slot)",'Lease Cycles'!$B$32)</f>
        <v>(empty slot)</v>
      </c>
      <c r="C422" s="23" t="s">
        <v>679</v>
      </c>
      <c r="D422" s="104" t="s">
        <v>680</v>
      </c>
      <c r="E422" s="25">
        <f>'Lease Cycles'!$AL$32</f>
        <v>0</v>
      </c>
      <c r="S422" s="28">
        <f>IF(S420=1,IF(INDEX('Lease Cycles'!$EF$32:$EL$32,1,S418)=1,'Lease Cycles'!$C$32*INDEX('Lease Cycles'!$ET$32:$EZ$32,1,S418)*(1+'Lease Cycles'!$V$32)^INT(INT(S419/12)/'Lease Cycles'!$W$32)/12,0),0)</f>
        <v>0</v>
      </c>
      <c r="T422" s="28">
        <f>IF(T420=1,IF(INDEX('Lease Cycles'!$EF$32:$EL$32,1,T418)=1,'Lease Cycles'!$C$32*INDEX('Lease Cycles'!$ET$32:$EZ$32,1,T418)*(1+'Lease Cycles'!$V$32)^INT(INT(T419/12)/'Lease Cycles'!$W$32)/12,0),0)</f>
        <v>0</v>
      </c>
      <c r="U422" s="28">
        <f>IF(U420=1,IF(INDEX('Lease Cycles'!$EF$32:$EL$32,1,U418)=1,'Lease Cycles'!$C$32*INDEX('Lease Cycles'!$ET$32:$EZ$32,1,U418)*(1+'Lease Cycles'!$V$32)^INT(INT(U419/12)/'Lease Cycles'!$W$32)/12,0),0)</f>
        <v>0</v>
      </c>
      <c r="V422" s="28">
        <f>IF(V420=1,IF(INDEX('Lease Cycles'!$EF$32:$EL$32,1,V418)=1,'Lease Cycles'!$C$32*INDEX('Lease Cycles'!$ET$32:$EZ$32,1,V418)*(1+'Lease Cycles'!$V$32)^INT(INT(V419/12)/'Lease Cycles'!$W$32)/12,0),0)</f>
        <v>0</v>
      </c>
      <c r="W422" s="28">
        <f>IF(W420=1,IF(INDEX('Lease Cycles'!$EF$32:$EL$32,1,W418)=1,'Lease Cycles'!$C$32*INDEX('Lease Cycles'!$ET$32:$EZ$32,1,W418)*(1+'Lease Cycles'!$V$32)^INT(INT(W419/12)/'Lease Cycles'!$W$32)/12,0),0)</f>
        <v>0</v>
      </c>
      <c r="X422" s="28">
        <f>IF(X420=1,IF(INDEX('Lease Cycles'!$EF$32:$EL$32,1,X418)=1,'Lease Cycles'!$C$32*INDEX('Lease Cycles'!$ET$32:$EZ$32,1,X418)*(1+'Lease Cycles'!$V$32)^INT(INT(X419/12)/'Lease Cycles'!$W$32)/12,0),0)</f>
        <v>0</v>
      </c>
      <c r="Y422" s="28">
        <f>IF(Y420=1,IF(INDEX('Lease Cycles'!$EF$32:$EL$32,1,Y418)=1,'Lease Cycles'!$C$32*INDEX('Lease Cycles'!$ET$32:$EZ$32,1,Y418)*(1+'Lease Cycles'!$V$32)^INT(INT(Y419/12)/'Lease Cycles'!$W$32)/12,0),0)</f>
        <v>0</v>
      </c>
      <c r="Z422" s="28">
        <f>IF(Z420=1,IF(INDEX('Lease Cycles'!$EF$32:$EL$32,1,Z418)=1,'Lease Cycles'!$C$32*INDEX('Lease Cycles'!$ET$32:$EZ$32,1,Z418)*(1+'Lease Cycles'!$V$32)^INT(INT(Z419/12)/'Lease Cycles'!$W$32)/12,0),0)</f>
        <v>0</v>
      </c>
      <c r="AA422" s="28">
        <f>IF(AA420=1,IF(INDEX('Lease Cycles'!$EF$32:$EL$32,1,AA418)=1,'Lease Cycles'!$C$32*INDEX('Lease Cycles'!$ET$32:$EZ$32,1,AA418)*(1+'Lease Cycles'!$V$32)^INT(INT(AA419/12)/'Lease Cycles'!$W$32)/12,0),0)</f>
        <v>0</v>
      </c>
      <c r="AB422" s="28">
        <f>IF(AB420=1,IF(INDEX('Lease Cycles'!$EF$32:$EL$32,1,AB418)=1,'Lease Cycles'!$C$32*INDEX('Lease Cycles'!$ET$32:$EZ$32,1,AB418)*(1+'Lease Cycles'!$V$32)^INT(INT(AB419/12)/'Lease Cycles'!$W$32)/12,0),0)</f>
        <v>0</v>
      </c>
      <c r="AC422" s="28">
        <f>IF(AC420=1,IF(INDEX('Lease Cycles'!$EF$32:$EL$32,1,AC418)=1,'Lease Cycles'!$C$32*INDEX('Lease Cycles'!$ET$32:$EZ$32,1,AC418)*(1+'Lease Cycles'!$V$32)^INT(INT(AC419/12)/'Lease Cycles'!$W$32)/12,0),0)</f>
        <v>0</v>
      </c>
      <c r="AD422" s="28">
        <f>IF(AD420=1,IF(INDEX('Lease Cycles'!$EF$32:$EL$32,1,AD418)=1,'Lease Cycles'!$C$32*INDEX('Lease Cycles'!$ET$32:$EZ$32,1,AD418)*(1+'Lease Cycles'!$V$32)^INT(INT(AD419/12)/'Lease Cycles'!$W$32)/12,0),0)</f>
        <v>0</v>
      </c>
      <c r="AE422" s="28">
        <f>IF(AE420=1,IF(INDEX('Lease Cycles'!$EF$32:$EL$32,1,AE418)=1,'Lease Cycles'!$C$32*INDEX('Lease Cycles'!$ET$32:$EZ$32,1,AE418)*(1+'Lease Cycles'!$V$32)^INT(INT(AE419/12)/'Lease Cycles'!$W$32)/12,0),0)</f>
        <v>0</v>
      </c>
      <c r="AF422" s="28">
        <f>IF(AF420=1,IF(INDEX('Lease Cycles'!$EF$32:$EL$32,1,AF418)=1,'Lease Cycles'!$C$32*INDEX('Lease Cycles'!$ET$32:$EZ$32,1,AF418)*(1+'Lease Cycles'!$V$32)^INT(INT(AF419/12)/'Lease Cycles'!$W$32)/12,0),0)</f>
        <v>0</v>
      </c>
      <c r="AG422" s="28">
        <f>IF(AG420=1,IF(INDEX('Lease Cycles'!$EF$32:$EL$32,1,AG418)=1,'Lease Cycles'!$C$32*INDEX('Lease Cycles'!$ET$32:$EZ$32,1,AG418)*(1+'Lease Cycles'!$V$32)^INT(INT(AG419/12)/'Lease Cycles'!$W$32)/12,0),0)</f>
        <v>0</v>
      </c>
      <c r="AH422" s="28">
        <f>IF(AH420=1,IF(INDEX('Lease Cycles'!$EF$32:$EL$32,1,AH418)=1,'Lease Cycles'!$C$32*INDEX('Lease Cycles'!$ET$32:$EZ$32,1,AH418)*(1+'Lease Cycles'!$V$32)^INT(INT(AH419/12)/'Lease Cycles'!$W$32)/12,0),0)</f>
        <v>0</v>
      </c>
      <c r="AI422" s="28">
        <f>IF(AI420=1,IF(INDEX('Lease Cycles'!$EF$32:$EL$32,1,AI418)=1,'Lease Cycles'!$C$32*INDEX('Lease Cycles'!$ET$32:$EZ$32,1,AI418)*(1+'Lease Cycles'!$V$32)^INT(INT(AI419/12)/'Lease Cycles'!$W$32)/12,0),0)</f>
        <v>0</v>
      </c>
      <c r="AJ422" s="28">
        <f>IF(AJ420=1,IF(INDEX('Lease Cycles'!$EF$32:$EL$32,1,AJ418)=1,'Lease Cycles'!$C$32*INDEX('Lease Cycles'!$ET$32:$EZ$32,1,AJ418)*(1+'Lease Cycles'!$V$32)^INT(INT(AJ419/12)/'Lease Cycles'!$W$32)/12,0),0)</f>
        <v>0</v>
      </c>
      <c r="AK422" s="28">
        <f>IF(AK420=1,IF(INDEX('Lease Cycles'!$EF$32:$EL$32,1,AK418)=1,'Lease Cycles'!$C$32*INDEX('Lease Cycles'!$ET$32:$EZ$32,1,AK418)*(1+'Lease Cycles'!$V$32)^INT(INT(AK419/12)/'Lease Cycles'!$W$32)/12,0),0)</f>
        <v>0</v>
      </c>
      <c r="AL422" s="28">
        <f>IF(AL420=1,IF(INDEX('Lease Cycles'!$EF$32:$EL$32,1,AL418)=1,'Lease Cycles'!$C$32*INDEX('Lease Cycles'!$ET$32:$EZ$32,1,AL418)*(1+'Lease Cycles'!$V$32)^INT(INT(AL419/12)/'Lease Cycles'!$W$32)/12,0),0)</f>
        <v>0</v>
      </c>
      <c r="AM422" s="28">
        <f>IF(AM420=1,IF(INDEX('Lease Cycles'!$EF$32:$EL$32,1,AM418)=1,'Lease Cycles'!$C$32*INDEX('Lease Cycles'!$ET$32:$EZ$32,1,AM418)*(1+'Lease Cycles'!$V$32)^INT(INT(AM419/12)/'Lease Cycles'!$W$32)/12,0),0)</f>
        <v>0</v>
      </c>
      <c r="AN422" s="28">
        <f>IF(AN420=1,IF(INDEX('Lease Cycles'!$EF$32:$EL$32,1,AN418)=1,'Lease Cycles'!$C$32*INDEX('Lease Cycles'!$ET$32:$EZ$32,1,AN418)*(1+'Lease Cycles'!$V$32)^INT(INT(AN419/12)/'Lease Cycles'!$W$32)/12,0),0)</f>
        <v>0</v>
      </c>
      <c r="AO422" s="28">
        <f>IF(AO420=1,IF(INDEX('Lease Cycles'!$EF$32:$EL$32,1,AO418)=1,'Lease Cycles'!$C$32*INDEX('Lease Cycles'!$ET$32:$EZ$32,1,AO418)*(1+'Lease Cycles'!$V$32)^INT(INT(AO419/12)/'Lease Cycles'!$W$32)/12,0),0)</f>
        <v>0</v>
      </c>
      <c r="AP422" s="28">
        <f>IF(AP420=1,IF(INDEX('Lease Cycles'!$EF$32:$EL$32,1,AP418)=1,'Lease Cycles'!$C$32*INDEX('Lease Cycles'!$ET$32:$EZ$32,1,AP418)*(1+'Lease Cycles'!$V$32)^INT(INT(AP419/12)/'Lease Cycles'!$W$32)/12,0),0)</f>
        <v>0</v>
      </c>
      <c r="AQ422" s="28">
        <f>IF(AQ420=1,IF(INDEX('Lease Cycles'!$EF$32:$EL$32,1,AQ418)=1,'Lease Cycles'!$C$32*INDEX('Lease Cycles'!$ET$32:$EZ$32,1,AQ418)*(1+'Lease Cycles'!$V$32)^INT(INT(AQ419/12)/'Lease Cycles'!$W$32)/12,0),0)</f>
        <v>0</v>
      </c>
      <c r="AR422" s="28">
        <f>IF(AR420=1,IF(INDEX('Lease Cycles'!$EF$32:$EL$32,1,AR418)=1,'Lease Cycles'!$C$32*INDEX('Lease Cycles'!$ET$32:$EZ$32,1,AR418)*(1+'Lease Cycles'!$V$32)^INT(INT(AR419/12)/'Lease Cycles'!$W$32)/12,0),0)</f>
        <v>0</v>
      </c>
      <c r="AS422" s="28">
        <f>IF(AS420=1,IF(INDEX('Lease Cycles'!$EF$32:$EL$32,1,AS418)=1,'Lease Cycles'!$C$32*INDEX('Lease Cycles'!$ET$32:$EZ$32,1,AS418)*(1+'Lease Cycles'!$V$32)^INT(INT(AS419/12)/'Lease Cycles'!$W$32)/12,0),0)</f>
        <v>0</v>
      </c>
      <c r="AT422" s="28">
        <f>IF(AT420=1,IF(INDEX('Lease Cycles'!$EF$32:$EL$32,1,AT418)=1,'Lease Cycles'!$C$32*INDEX('Lease Cycles'!$ET$32:$EZ$32,1,AT418)*(1+'Lease Cycles'!$V$32)^INT(INT(AT419/12)/'Lease Cycles'!$W$32)/12,0),0)</f>
        <v>0</v>
      </c>
      <c r="AU422" s="28">
        <f>IF(AU420=1,IF(INDEX('Lease Cycles'!$EF$32:$EL$32,1,AU418)=1,'Lease Cycles'!$C$32*INDEX('Lease Cycles'!$ET$32:$EZ$32,1,AU418)*(1+'Lease Cycles'!$V$32)^INT(INT(AU419/12)/'Lease Cycles'!$W$32)/12,0),0)</f>
        <v>0</v>
      </c>
      <c r="AV422" s="28">
        <f>IF(AV420=1,IF(INDEX('Lease Cycles'!$EF$32:$EL$32,1,AV418)=1,'Lease Cycles'!$C$32*INDEX('Lease Cycles'!$ET$32:$EZ$32,1,AV418)*(1+'Lease Cycles'!$V$32)^INT(INT(AV419/12)/'Lease Cycles'!$W$32)/12,0),0)</f>
        <v>0</v>
      </c>
      <c r="AW422" s="28">
        <f>IF(AW420=1,IF(INDEX('Lease Cycles'!$EF$32:$EL$32,1,AW418)=1,'Lease Cycles'!$C$32*INDEX('Lease Cycles'!$ET$32:$EZ$32,1,AW418)*(1+'Lease Cycles'!$V$32)^INT(INT(AW419/12)/'Lease Cycles'!$W$32)/12,0),0)</f>
        <v>0</v>
      </c>
      <c r="AX422" s="28">
        <f>IF(AX420=1,IF(INDEX('Lease Cycles'!$EF$32:$EL$32,1,AX418)=1,'Lease Cycles'!$C$32*INDEX('Lease Cycles'!$ET$32:$EZ$32,1,AX418)*(1+'Lease Cycles'!$V$32)^INT(INT(AX419/12)/'Lease Cycles'!$W$32)/12,0),0)</f>
        <v>0</v>
      </c>
      <c r="AY422" s="28">
        <f>IF(AY420=1,IF(INDEX('Lease Cycles'!$EF$32:$EL$32,1,AY418)=1,'Lease Cycles'!$C$32*INDEX('Lease Cycles'!$ET$32:$EZ$32,1,AY418)*(1+'Lease Cycles'!$V$32)^INT(INT(AY419/12)/'Lease Cycles'!$W$32)/12,0),0)</f>
        <v>0</v>
      </c>
      <c r="AZ422" s="28">
        <f>IF(AZ420=1,IF(INDEX('Lease Cycles'!$EF$32:$EL$32,1,AZ418)=1,'Lease Cycles'!$C$32*INDEX('Lease Cycles'!$ET$32:$EZ$32,1,AZ418)*(1+'Lease Cycles'!$V$32)^INT(INT(AZ419/12)/'Lease Cycles'!$W$32)/12,0),0)</f>
        <v>0</v>
      </c>
      <c r="BA422" s="28">
        <f>IF(BA420=1,IF(INDEX('Lease Cycles'!$EF$32:$EL$32,1,BA418)=1,'Lease Cycles'!$C$32*INDEX('Lease Cycles'!$ET$32:$EZ$32,1,BA418)*(1+'Lease Cycles'!$V$32)^INT(INT(BA419/12)/'Lease Cycles'!$W$32)/12,0),0)</f>
        <v>0</v>
      </c>
      <c r="BB422" s="28">
        <f>IF(BB420=1,IF(INDEX('Lease Cycles'!$EF$32:$EL$32,1,BB418)=1,'Lease Cycles'!$C$32*INDEX('Lease Cycles'!$ET$32:$EZ$32,1,BB418)*(1+'Lease Cycles'!$V$32)^INT(INT(BB419/12)/'Lease Cycles'!$W$32)/12,0),0)</f>
        <v>0</v>
      </c>
      <c r="BC422" s="28">
        <f>IF(BC420=1,IF(INDEX('Lease Cycles'!$EF$32:$EL$32,1,BC418)=1,'Lease Cycles'!$C$32*INDEX('Lease Cycles'!$ET$32:$EZ$32,1,BC418)*(1+'Lease Cycles'!$V$32)^INT(INT(BC419/12)/'Lease Cycles'!$W$32)/12,0),0)</f>
        <v>0</v>
      </c>
      <c r="BD422" s="28">
        <f>IF(BD420=1,IF(INDEX('Lease Cycles'!$EF$32:$EL$32,1,BD418)=1,'Lease Cycles'!$C$32*INDEX('Lease Cycles'!$ET$32:$EZ$32,1,BD418)*(1+'Lease Cycles'!$V$32)^INT(INT(BD419/12)/'Lease Cycles'!$W$32)/12,0),0)</f>
        <v>0</v>
      </c>
      <c r="BE422" s="28">
        <f>IF(BE420=1,IF(INDEX('Lease Cycles'!$EF$32:$EL$32,1,BE418)=1,'Lease Cycles'!$C$32*INDEX('Lease Cycles'!$ET$32:$EZ$32,1,BE418)*(1+'Lease Cycles'!$V$32)^INT(INT(BE419/12)/'Lease Cycles'!$W$32)/12,0),0)</f>
        <v>0</v>
      </c>
      <c r="BF422" s="28">
        <f>IF(BF420=1,IF(INDEX('Lease Cycles'!$EF$32:$EL$32,1,BF418)=1,'Lease Cycles'!$C$32*INDEX('Lease Cycles'!$ET$32:$EZ$32,1,BF418)*(1+'Lease Cycles'!$V$32)^INT(INT(BF419/12)/'Lease Cycles'!$W$32)/12,0),0)</f>
        <v>0</v>
      </c>
      <c r="BG422" s="28">
        <f>IF(BG420=1,IF(INDEX('Lease Cycles'!$EF$32:$EL$32,1,BG418)=1,'Lease Cycles'!$C$32*INDEX('Lease Cycles'!$ET$32:$EZ$32,1,BG418)*(1+'Lease Cycles'!$V$32)^INT(INT(BG419/12)/'Lease Cycles'!$W$32)/12,0),0)</f>
        <v>0</v>
      </c>
      <c r="BH422" s="28">
        <f>IF(BH420=1,IF(INDEX('Lease Cycles'!$EF$32:$EL$32,1,BH418)=1,'Lease Cycles'!$C$32*INDEX('Lease Cycles'!$ET$32:$EZ$32,1,BH418)*(1+'Lease Cycles'!$V$32)^INT(INT(BH419/12)/'Lease Cycles'!$W$32)/12,0),0)</f>
        <v>0</v>
      </c>
      <c r="BI422" s="28">
        <f>IF(BI420=1,IF(INDEX('Lease Cycles'!$EF$32:$EL$32,1,BI418)=1,'Lease Cycles'!$C$32*INDEX('Lease Cycles'!$ET$32:$EZ$32,1,BI418)*(1+'Lease Cycles'!$V$32)^INT(INT(BI419/12)/'Lease Cycles'!$W$32)/12,0),0)</f>
        <v>0</v>
      </c>
      <c r="BJ422" s="28">
        <f>IF(BJ420=1,IF(INDEX('Lease Cycles'!$EF$32:$EL$32,1,BJ418)=1,'Lease Cycles'!$C$32*INDEX('Lease Cycles'!$ET$32:$EZ$32,1,BJ418)*(1+'Lease Cycles'!$V$32)^INT(INT(BJ419/12)/'Lease Cycles'!$W$32)/12,0),0)</f>
        <v>0</v>
      </c>
      <c r="BK422" s="28">
        <f>IF(BK420=1,IF(INDEX('Lease Cycles'!$EF$32:$EL$32,1,BK418)=1,'Lease Cycles'!$C$32*INDEX('Lease Cycles'!$ET$32:$EZ$32,1,BK418)*(1+'Lease Cycles'!$V$32)^INT(INT(BK419/12)/'Lease Cycles'!$W$32)/12,0),0)</f>
        <v>0</v>
      </c>
      <c r="BL422" s="28">
        <f>IF(BL420=1,IF(INDEX('Lease Cycles'!$EF$32:$EL$32,1,BL418)=1,'Lease Cycles'!$C$32*INDEX('Lease Cycles'!$ET$32:$EZ$32,1,BL418)*(1+'Lease Cycles'!$V$32)^INT(INT(BL419/12)/'Lease Cycles'!$W$32)/12,0),0)</f>
        <v>0</v>
      </c>
      <c r="BM422" s="28">
        <f>IF(BM420=1,IF(INDEX('Lease Cycles'!$EF$32:$EL$32,1,BM418)=1,'Lease Cycles'!$C$32*INDEX('Lease Cycles'!$ET$32:$EZ$32,1,BM418)*(1+'Lease Cycles'!$V$32)^INT(INT(BM419/12)/'Lease Cycles'!$W$32)/12,0),0)</f>
        <v>0</v>
      </c>
      <c r="BN422" s="28">
        <f>IF(BN420=1,IF(INDEX('Lease Cycles'!$EF$32:$EL$32,1,BN418)=1,'Lease Cycles'!$C$32*INDEX('Lease Cycles'!$ET$32:$EZ$32,1,BN418)*(1+'Lease Cycles'!$V$32)^INT(INT(BN419/12)/'Lease Cycles'!$W$32)/12,0),0)</f>
        <v>0</v>
      </c>
      <c r="BO422" s="28">
        <f>IF(BO420=1,IF(INDEX('Lease Cycles'!$EF$32:$EL$32,1,BO418)=1,'Lease Cycles'!$C$32*INDEX('Lease Cycles'!$ET$32:$EZ$32,1,BO418)*(1+'Lease Cycles'!$V$32)^INT(INT(BO419/12)/'Lease Cycles'!$W$32)/12,0),0)</f>
        <v>0</v>
      </c>
      <c r="BP422" s="28">
        <f>IF(BP420=1,IF(INDEX('Lease Cycles'!$EF$32:$EL$32,1,BP418)=1,'Lease Cycles'!$C$32*INDEX('Lease Cycles'!$ET$32:$EZ$32,1,BP418)*(1+'Lease Cycles'!$V$32)^INT(INT(BP419/12)/'Lease Cycles'!$W$32)/12,0),0)</f>
        <v>0</v>
      </c>
      <c r="BQ422" s="28">
        <f>IF(BQ420=1,IF(INDEX('Lease Cycles'!$EF$32:$EL$32,1,BQ418)=1,'Lease Cycles'!$C$32*INDEX('Lease Cycles'!$ET$32:$EZ$32,1,BQ418)*(1+'Lease Cycles'!$V$32)^INT(INT(BQ419/12)/'Lease Cycles'!$W$32)/12,0),0)</f>
        <v>0</v>
      </c>
      <c r="BR422" s="28">
        <f>IF(BR420=1,IF(INDEX('Lease Cycles'!$EF$32:$EL$32,1,BR418)=1,'Lease Cycles'!$C$32*INDEX('Lease Cycles'!$ET$32:$EZ$32,1,BR418)*(1+'Lease Cycles'!$V$32)^INT(INT(BR419/12)/'Lease Cycles'!$W$32)/12,0),0)</f>
        <v>0</v>
      </c>
      <c r="BS422" s="28">
        <f>IF(BS420=1,IF(INDEX('Lease Cycles'!$EF$32:$EL$32,1,BS418)=1,'Lease Cycles'!$C$32*INDEX('Lease Cycles'!$ET$32:$EZ$32,1,BS418)*(1+'Lease Cycles'!$V$32)^INT(INT(BS419/12)/'Lease Cycles'!$W$32)/12,0),0)</f>
        <v>0</v>
      </c>
      <c r="BT422" s="28">
        <f>IF(BT420=1,IF(INDEX('Lease Cycles'!$EF$32:$EL$32,1,BT418)=1,'Lease Cycles'!$C$32*INDEX('Lease Cycles'!$ET$32:$EZ$32,1,BT418)*(1+'Lease Cycles'!$V$32)^INT(INT(BT419/12)/'Lease Cycles'!$W$32)/12,0),0)</f>
        <v>0</v>
      </c>
      <c r="BU422" s="28">
        <f>IF(BU420=1,IF(INDEX('Lease Cycles'!$EF$32:$EL$32,1,BU418)=1,'Lease Cycles'!$C$32*INDEX('Lease Cycles'!$ET$32:$EZ$32,1,BU418)*(1+'Lease Cycles'!$V$32)^INT(INT(BU419/12)/'Lease Cycles'!$W$32)/12,0),0)</f>
        <v>0</v>
      </c>
      <c r="BV422" s="28">
        <f>IF(BV420=1,IF(INDEX('Lease Cycles'!$EF$32:$EL$32,1,BV418)=1,'Lease Cycles'!$C$32*INDEX('Lease Cycles'!$ET$32:$EZ$32,1,BV418)*(1+'Lease Cycles'!$V$32)^INT(INT(BV419/12)/'Lease Cycles'!$W$32)/12,0),0)</f>
        <v>0</v>
      </c>
      <c r="BW422" s="28">
        <f>IF(BW420=1,IF(INDEX('Lease Cycles'!$EF$32:$EL$32,1,BW418)=1,'Lease Cycles'!$C$32*INDEX('Lease Cycles'!$ET$32:$EZ$32,1,BW418)*(1+'Lease Cycles'!$V$32)^INT(INT(BW419/12)/'Lease Cycles'!$W$32)/12,0),0)</f>
        <v>0</v>
      </c>
      <c r="BX422" s="28">
        <f>IF(BX420=1,IF(INDEX('Lease Cycles'!$EF$32:$EL$32,1,BX418)=1,'Lease Cycles'!$C$32*INDEX('Lease Cycles'!$ET$32:$EZ$32,1,BX418)*(1+'Lease Cycles'!$V$32)^INT(INT(BX419/12)/'Lease Cycles'!$W$32)/12,0),0)</f>
        <v>0</v>
      </c>
      <c r="BY422" s="28">
        <f>IF(BY420=1,IF(INDEX('Lease Cycles'!$EF$32:$EL$32,1,BY418)=1,'Lease Cycles'!$C$32*INDEX('Lease Cycles'!$ET$32:$EZ$32,1,BY418)*(1+'Lease Cycles'!$V$32)^INT(INT(BY419/12)/'Lease Cycles'!$W$32)/12,0),0)</f>
        <v>0</v>
      </c>
      <c r="BZ422" s="28">
        <f>IF(BZ420=1,IF(INDEX('Lease Cycles'!$EF$32:$EL$32,1,BZ418)=1,'Lease Cycles'!$C$32*INDEX('Lease Cycles'!$ET$32:$EZ$32,1,BZ418)*(1+'Lease Cycles'!$V$32)^INT(INT(BZ419/12)/'Lease Cycles'!$W$32)/12,0),0)</f>
        <v>0</v>
      </c>
      <c r="CA422" s="28">
        <f>IF(CA420=1,IF(INDEX('Lease Cycles'!$EF$32:$EL$32,1,CA418)=1,'Lease Cycles'!$C$32*INDEX('Lease Cycles'!$ET$32:$EZ$32,1,CA418)*(1+'Lease Cycles'!$V$32)^INT(INT(CA419/12)/'Lease Cycles'!$W$32)/12,0),0)</f>
        <v>0</v>
      </c>
      <c r="CB422" s="28">
        <f>IF(CB420=1,IF(INDEX('Lease Cycles'!$EF$32:$EL$32,1,CB418)=1,'Lease Cycles'!$C$32*INDEX('Lease Cycles'!$ET$32:$EZ$32,1,CB418)*(1+'Lease Cycles'!$V$32)^INT(INT(CB419/12)/'Lease Cycles'!$W$32)/12,0),0)</f>
        <v>0</v>
      </c>
      <c r="CC422" s="28">
        <f>IF(CC420=1,IF(INDEX('Lease Cycles'!$EF$32:$EL$32,1,CC418)=1,'Lease Cycles'!$C$32*INDEX('Lease Cycles'!$ET$32:$EZ$32,1,CC418)*(1+'Lease Cycles'!$V$32)^INT(INT(CC419/12)/'Lease Cycles'!$W$32)/12,0),0)</f>
        <v>0</v>
      </c>
      <c r="CD422" s="28">
        <f>IF(CD420=1,IF(INDEX('Lease Cycles'!$EF$32:$EL$32,1,CD418)=1,'Lease Cycles'!$C$32*INDEX('Lease Cycles'!$ET$32:$EZ$32,1,CD418)*(1+'Lease Cycles'!$V$32)^INT(INT(CD419/12)/'Lease Cycles'!$W$32)/12,0),0)</f>
        <v>0</v>
      </c>
      <c r="CE422" s="28">
        <f>IF(CE420=1,IF(INDEX('Lease Cycles'!$EF$32:$EL$32,1,CE418)=1,'Lease Cycles'!$C$32*INDEX('Lease Cycles'!$ET$32:$EZ$32,1,CE418)*(1+'Lease Cycles'!$V$32)^INT(INT(CE419/12)/'Lease Cycles'!$W$32)/12,0),0)</f>
        <v>0</v>
      </c>
      <c r="CF422" s="28">
        <f>IF(CF420=1,IF(INDEX('Lease Cycles'!$EF$32:$EL$32,1,CF418)=1,'Lease Cycles'!$C$32*INDEX('Lease Cycles'!$ET$32:$EZ$32,1,CF418)*(1+'Lease Cycles'!$V$32)^INT(INT(CF419/12)/'Lease Cycles'!$W$32)/12,0),0)</f>
        <v>0</v>
      </c>
      <c r="CG422" s="28">
        <f>IF(CG420=1,IF(INDEX('Lease Cycles'!$EF$32:$EL$32,1,CG418)=1,'Lease Cycles'!$C$32*INDEX('Lease Cycles'!$ET$32:$EZ$32,1,CG418)*(1+'Lease Cycles'!$V$32)^INT(INT(CG419/12)/'Lease Cycles'!$W$32)/12,0),0)</f>
        <v>0</v>
      </c>
      <c r="CH422" s="28">
        <f>IF(CH420=1,IF(INDEX('Lease Cycles'!$EF$32:$EL$32,1,CH418)=1,'Lease Cycles'!$C$32*INDEX('Lease Cycles'!$ET$32:$EZ$32,1,CH418)*(1+'Lease Cycles'!$V$32)^INT(INT(CH419/12)/'Lease Cycles'!$W$32)/12,0),0)</f>
        <v>0</v>
      </c>
      <c r="CI422" s="28">
        <f>IF(CI420=1,IF(INDEX('Lease Cycles'!$EF$32:$EL$32,1,CI418)=1,'Lease Cycles'!$C$32*INDEX('Lease Cycles'!$ET$32:$EZ$32,1,CI418)*(1+'Lease Cycles'!$V$32)^INT(INT(CI419/12)/'Lease Cycles'!$W$32)/12,0),0)</f>
        <v>0</v>
      </c>
      <c r="CJ422" s="28">
        <f>IF(CJ420=1,IF(INDEX('Lease Cycles'!$EF$32:$EL$32,1,CJ418)=1,'Lease Cycles'!$C$32*INDEX('Lease Cycles'!$ET$32:$EZ$32,1,CJ418)*(1+'Lease Cycles'!$V$32)^INT(INT(CJ419/12)/'Lease Cycles'!$W$32)/12,0),0)</f>
        <v>0</v>
      </c>
      <c r="CK422" s="28">
        <f>IF(CK420=1,IF(INDEX('Lease Cycles'!$EF$32:$EL$32,1,CK418)=1,'Lease Cycles'!$C$32*INDEX('Lease Cycles'!$ET$32:$EZ$32,1,CK418)*(1+'Lease Cycles'!$V$32)^INT(INT(CK419/12)/'Lease Cycles'!$W$32)/12,0),0)</f>
        <v>0</v>
      </c>
      <c r="CL422" s="28">
        <f>IF(CL420=1,IF(INDEX('Lease Cycles'!$EF$32:$EL$32,1,CL418)=1,'Lease Cycles'!$C$32*INDEX('Lease Cycles'!$ET$32:$EZ$32,1,CL418)*(1+'Lease Cycles'!$V$32)^INT(INT(CL419/12)/'Lease Cycles'!$W$32)/12,0),0)</f>
        <v>0</v>
      </c>
      <c r="CM422" s="28">
        <f>IF(CM420=1,IF(INDEX('Lease Cycles'!$EF$32:$EL$32,1,CM418)=1,'Lease Cycles'!$C$32*INDEX('Lease Cycles'!$ET$32:$EZ$32,1,CM418)*(1+'Lease Cycles'!$V$32)^INT(INT(CM419/12)/'Lease Cycles'!$W$32)/12,0),0)</f>
        <v>0</v>
      </c>
      <c r="CN422" s="28">
        <f>IF(CN420=1,IF(INDEX('Lease Cycles'!$EF$32:$EL$32,1,CN418)=1,'Lease Cycles'!$C$32*INDEX('Lease Cycles'!$ET$32:$EZ$32,1,CN418)*(1+'Lease Cycles'!$V$32)^INT(INT(CN419/12)/'Lease Cycles'!$W$32)/12,0),0)</f>
        <v>0</v>
      </c>
      <c r="CO422" s="28">
        <f>IF(CO420=1,IF(INDEX('Lease Cycles'!$EF$32:$EL$32,1,CO418)=1,'Lease Cycles'!$C$32*INDEX('Lease Cycles'!$ET$32:$EZ$32,1,CO418)*(1+'Lease Cycles'!$V$32)^INT(INT(CO419/12)/'Lease Cycles'!$W$32)/12,0),0)</f>
        <v>0</v>
      </c>
      <c r="CP422" s="28">
        <f>IF(CP420=1,IF(INDEX('Lease Cycles'!$EF$32:$EL$32,1,CP418)=1,'Lease Cycles'!$C$32*INDEX('Lease Cycles'!$ET$32:$EZ$32,1,CP418)*(1+'Lease Cycles'!$V$32)^INT(INT(CP419/12)/'Lease Cycles'!$W$32)/12,0),0)</f>
        <v>0</v>
      </c>
      <c r="CQ422" s="28">
        <f>IF(CQ420=1,IF(INDEX('Lease Cycles'!$EF$32:$EL$32,1,CQ418)=1,'Lease Cycles'!$C$32*INDEX('Lease Cycles'!$ET$32:$EZ$32,1,CQ418)*(1+'Lease Cycles'!$V$32)^INT(INT(CQ419/12)/'Lease Cycles'!$W$32)/12,0),0)</f>
        <v>0</v>
      </c>
      <c r="CR422" s="28">
        <f>IF(CR420=1,IF(INDEX('Lease Cycles'!$EF$32:$EL$32,1,CR418)=1,'Lease Cycles'!$C$32*INDEX('Lease Cycles'!$ET$32:$EZ$32,1,CR418)*(1+'Lease Cycles'!$V$32)^INT(INT(CR419/12)/'Lease Cycles'!$W$32)/12,0),0)</f>
        <v>0</v>
      </c>
      <c r="CS422" s="28">
        <f>IF(CS420=1,IF(INDEX('Lease Cycles'!$EF$32:$EL$32,1,CS418)=1,'Lease Cycles'!$C$32*INDEX('Lease Cycles'!$ET$32:$EZ$32,1,CS418)*(1+'Lease Cycles'!$V$32)^INT(INT(CS419/12)/'Lease Cycles'!$W$32)/12,0),0)</f>
        <v>0</v>
      </c>
      <c r="CT422" s="28">
        <f>IF(CT420=1,IF(INDEX('Lease Cycles'!$EF$32:$EL$32,1,CT418)=1,'Lease Cycles'!$C$32*INDEX('Lease Cycles'!$ET$32:$EZ$32,1,CT418)*(1+'Lease Cycles'!$V$32)^INT(INT(CT419/12)/'Lease Cycles'!$W$32)/12,0),0)</f>
        <v>0</v>
      </c>
      <c r="CU422" s="28">
        <f>IF(CU420=1,IF(INDEX('Lease Cycles'!$EF$32:$EL$32,1,CU418)=1,'Lease Cycles'!$C$32*INDEX('Lease Cycles'!$ET$32:$EZ$32,1,CU418)*(1+'Lease Cycles'!$V$32)^INT(INT(CU419/12)/'Lease Cycles'!$W$32)/12,0),0)</f>
        <v>0</v>
      </c>
      <c r="CV422" s="28">
        <f>IF(CV420=1,IF(INDEX('Lease Cycles'!$EF$32:$EL$32,1,CV418)=1,'Lease Cycles'!$C$32*INDEX('Lease Cycles'!$ET$32:$EZ$32,1,CV418)*(1+'Lease Cycles'!$V$32)^INT(INT(CV419/12)/'Lease Cycles'!$W$32)/12,0),0)</f>
        <v>0</v>
      </c>
      <c r="CW422" s="28">
        <f>IF(CW420=1,IF(INDEX('Lease Cycles'!$EF$32:$EL$32,1,CW418)=1,'Lease Cycles'!$C$32*INDEX('Lease Cycles'!$ET$32:$EZ$32,1,CW418)*(1+'Lease Cycles'!$V$32)^INT(INT(CW419/12)/'Lease Cycles'!$W$32)/12,0),0)</f>
        <v>0</v>
      </c>
      <c r="CX422" s="28">
        <f>IF(CX420=1,IF(INDEX('Lease Cycles'!$EF$32:$EL$32,1,CX418)=1,'Lease Cycles'!$C$32*INDEX('Lease Cycles'!$ET$32:$EZ$32,1,CX418)*(1+'Lease Cycles'!$V$32)^INT(INT(CX419/12)/'Lease Cycles'!$W$32)/12,0),0)</f>
        <v>0</v>
      </c>
      <c r="CY422" s="28">
        <f>IF(CY420=1,IF(INDEX('Lease Cycles'!$EF$32:$EL$32,1,CY418)=1,'Lease Cycles'!$C$32*INDEX('Lease Cycles'!$ET$32:$EZ$32,1,CY418)*(1+'Lease Cycles'!$V$32)^INT(INT(CY419/12)/'Lease Cycles'!$W$32)/12,0),0)</f>
        <v>0</v>
      </c>
      <c r="CZ422" s="28">
        <f>IF(CZ420=1,IF(INDEX('Lease Cycles'!$EF$32:$EL$32,1,CZ418)=1,'Lease Cycles'!$C$32*INDEX('Lease Cycles'!$ET$32:$EZ$32,1,CZ418)*(1+'Lease Cycles'!$V$32)^INT(INT(CZ419/12)/'Lease Cycles'!$W$32)/12,0),0)</f>
        <v>0</v>
      </c>
      <c r="DA422" s="28">
        <f>IF(DA420=1,IF(INDEX('Lease Cycles'!$EF$32:$EL$32,1,DA418)=1,'Lease Cycles'!$C$32*INDEX('Lease Cycles'!$ET$32:$EZ$32,1,DA418)*(1+'Lease Cycles'!$V$32)^INT(INT(DA419/12)/'Lease Cycles'!$W$32)/12,0),0)</f>
        <v>0</v>
      </c>
      <c r="DB422" s="28">
        <f>IF(DB420=1,IF(INDEX('Lease Cycles'!$EF$32:$EL$32,1,DB418)=1,'Lease Cycles'!$C$32*INDEX('Lease Cycles'!$ET$32:$EZ$32,1,DB418)*(1+'Lease Cycles'!$V$32)^INT(INT(DB419/12)/'Lease Cycles'!$W$32)/12,0),0)</f>
        <v>0</v>
      </c>
      <c r="DC422" s="28">
        <f>IF(DC420=1,IF(INDEX('Lease Cycles'!$EF$32:$EL$32,1,DC418)=1,'Lease Cycles'!$C$32*INDEX('Lease Cycles'!$ET$32:$EZ$32,1,DC418)*(1+'Lease Cycles'!$V$32)^INT(INT(DC419/12)/'Lease Cycles'!$W$32)/12,0),0)</f>
        <v>0</v>
      </c>
      <c r="DD422" s="28">
        <f>IF(DD420=1,IF(INDEX('Lease Cycles'!$EF$32:$EL$32,1,DD418)=1,'Lease Cycles'!$C$32*INDEX('Lease Cycles'!$ET$32:$EZ$32,1,DD418)*(1+'Lease Cycles'!$V$32)^INT(INT(DD419/12)/'Lease Cycles'!$W$32)/12,0),0)</f>
        <v>0</v>
      </c>
      <c r="DE422" s="28">
        <f>IF(DE420=1,IF(INDEX('Lease Cycles'!$EF$32:$EL$32,1,DE418)=1,'Lease Cycles'!$C$32*INDEX('Lease Cycles'!$ET$32:$EZ$32,1,DE418)*(1+'Lease Cycles'!$V$32)^INT(INT(DE419/12)/'Lease Cycles'!$W$32)/12,0),0)</f>
        <v>0</v>
      </c>
      <c r="DF422" s="28">
        <f>IF(DF420=1,IF(INDEX('Lease Cycles'!$EF$32:$EL$32,1,DF418)=1,'Lease Cycles'!$C$32*INDEX('Lease Cycles'!$ET$32:$EZ$32,1,DF418)*(1+'Lease Cycles'!$V$32)^INT(INT(DF419/12)/'Lease Cycles'!$W$32)/12,0),0)</f>
        <v>0</v>
      </c>
      <c r="DG422" s="28">
        <f>IF(DG420=1,IF(INDEX('Lease Cycles'!$EF$32:$EL$32,1,DG418)=1,'Lease Cycles'!$C$32*INDEX('Lease Cycles'!$ET$32:$EZ$32,1,DG418)*(1+'Lease Cycles'!$V$32)^INT(INT(DG419/12)/'Lease Cycles'!$W$32)/12,0),0)</f>
        <v>0</v>
      </c>
      <c r="DH422" s="28">
        <f>IF(DH420=1,IF(INDEX('Lease Cycles'!$EF$32:$EL$32,1,DH418)=1,'Lease Cycles'!$C$32*INDEX('Lease Cycles'!$ET$32:$EZ$32,1,DH418)*(1+'Lease Cycles'!$V$32)^INT(INT(DH419/12)/'Lease Cycles'!$W$32)/12,0),0)</f>
        <v>0</v>
      </c>
      <c r="DI422" s="28">
        <f>IF(DI420=1,IF(INDEX('Lease Cycles'!$EF$32:$EL$32,1,DI418)=1,'Lease Cycles'!$C$32*INDEX('Lease Cycles'!$ET$32:$EZ$32,1,DI418)*(1+'Lease Cycles'!$V$32)^INT(INT(DI419/12)/'Lease Cycles'!$W$32)/12,0),0)</f>
        <v>0</v>
      </c>
      <c r="DJ422" s="28">
        <f>IF(DJ420=1,IF(INDEX('Lease Cycles'!$EF$32:$EL$32,1,DJ418)=1,'Lease Cycles'!$C$32*INDEX('Lease Cycles'!$ET$32:$EZ$32,1,DJ418)*(1+'Lease Cycles'!$V$32)^INT(INT(DJ419/12)/'Lease Cycles'!$W$32)/12,0),0)</f>
        <v>0</v>
      </c>
      <c r="DK422" s="28">
        <f>IF(DK420=1,IF(INDEX('Lease Cycles'!$EF$32:$EL$32,1,DK418)=1,'Lease Cycles'!$C$32*INDEX('Lease Cycles'!$ET$32:$EZ$32,1,DK418)*(1+'Lease Cycles'!$V$32)^INT(INT(DK419/12)/'Lease Cycles'!$W$32)/12,0),0)</f>
        <v>0</v>
      </c>
      <c r="DL422" s="28">
        <f>IF(DL420=1,IF(INDEX('Lease Cycles'!$EF$32:$EL$32,1,DL418)=1,'Lease Cycles'!$C$32*INDEX('Lease Cycles'!$ET$32:$EZ$32,1,DL418)*(1+'Lease Cycles'!$V$32)^INT(INT(DL419/12)/'Lease Cycles'!$W$32)/12,0),0)</f>
        <v>0</v>
      </c>
      <c r="DM422" s="28">
        <f>IF(DM420=1,IF(INDEX('Lease Cycles'!$EF$32:$EL$32,1,DM418)=1,'Lease Cycles'!$C$32*INDEX('Lease Cycles'!$ET$32:$EZ$32,1,DM418)*(1+'Lease Cycles'!$V$32)^INT(INT(DM419/12)/'Lease Cycles'!$W$32)/12,0),0)</f>
        <v>0</v>
      </c>
      <c r="DN422" s="28">
        <f>IF(DN420=1,IF(INDEX('Lease Cycles'!$EF$32:$EL$32,1,DN418)=1,'Lease Cycles'!$C$32*INDEX('Lease Cycles'!$ET$32:$EZ$32,1,DN418)*(1+'Lease Cycles'!$V$32)^INT(INT(DN419/12)/'Lease Cycles'!$W$32)/12,0),0)</f>
        <v>0</v>
      </c>
      <c r="DO422" s="28">
        <f>IF(DO420=1,IF(INDEX('Lease Cycles'!$EF$32:$EL$32,1,DO418)=1,'Lease Cycles'!$C$32*INDEX('Lease Cycles'!$ET$32:$EZ$32,1,DO418)*(1+'Lease Cycles'!$V$32)^INT(INT(DO419/12)/'Lease Cycles'!$W$32)/12,0),0)</f>
        <v>0</v>
      </c>
      <c r="DP422" s="28">
        <f>IF(DP420=1,IF(INDEX('Lease Cycles'!$EF$32:$EL$32,1,DP418)=1,'Lease Cycles'!$C$32*INDEX('Lease Cycles'!$ET$32:$EZ$32,1,DP418)*(1+'Lease Cycles'!$V$32)^INT(INT(DP419/12)/'Lease Cycles'!$W$32)/12,0),0)</f>
        <v>0</v>
      </c>
      <c r="DQ422" s="28">
        <f>IF(DQ420=1,IF(INDEX('Lease Cycles'!$EF$32:$EL$32,1,DQ418)=1,'Lease Cycles'!$C$32*INDEX('Lease Cycles'!$ET$32:$EZ$32,1,DQ418)*(1+'Lease Cycles'!$V$32)^INT(INT(DQ419/12)/'Lease Cycles'!$W$32)/12,0),0)</f>
        <v>0</v>
      </c>
      <c r="DR422" s="28">
        <f>IF(DR420=1,IF(INDEX('Lease Cycles'!$EF$32:$EL$32,1,DR418)=1,'Lease Cycles'!$C$32*INDEX('Lease Cycles'!$ET$32:$EZ$32,1,DR418)*(1+'Lease Cycles'!$V$32)^INT(INT(DR419/12)/'Lease Cycles'!$W$32)/12,0),0)</f>
        <v>0</v>
      </c>
      <c r="DS422" s="28">
        <f>IF(DS420=1,IF(INDEX('Lease Cycles'!$EF$32:$EL$32,1,DS418)=1,'Lease Cycles'!$C$32*INDEX('Lease Cycles'!$ET$32:$EZ$32,1,DS418)*(1+'Lease Cycles'!$V$32)^INT(INT(DS419/12)/'Lease Cycles'!$W$32)/12,0),0)</f>
        <v>0</v>
      </c>
      <c r="DT422" s="28">
        <f>IF(DT420=1,IF(INDEX('Lease Cycles'!$EF$32:$EL$32,1,DT418)=1,'Lease Cycles'!$C$32*INDEX('Lease Cycles'!$ET$32:$EZ$32,1,DT418)*(1+'Lease Cycles'!$V$32)^INT(INT(DT419/12)/'Lease Cycles'!$W$32)/12,0),0)</f>
        <v>0</v>
      </c>
      <c r="DU422" s="28">
        <f>IF(DU420=1,IF(INDEX('Lease Cycles'!$EF$32:$EL$32,1,DU418)=1,'Lease Cycles'!$C$32*INDEX('Lease Cycles'!$ET$32:$EZ$32,1,DU418)*(1+'Lease Cycles'!$V$32)^INT(INT(DU419/12)/'Lease Cycles'!$W$32)/12,0),0)</f>
        <v>0</v>
      </c>
      <c r="DV422" s="28">
        <f>IF(DV420=1,IF(INDEX('Lease Cycles'!$EF$32:$EL$32,1,DV418)=1,'Lease Cycles'!$C$32*INDEX('Lease Cycles'!$ET$32:$EZ$32,1,DV418)*(1+'Lease Cycles'!$V$32)^INT(INT(DV419/12)/'Lease Cycles'!$W$32)/12,0),0)</f>
        <v>0</v>
      </c>
      <c r="DW422" s="28">
        <f>IF(DW420=1,IF(INDEX('Lease Cycles'!$EF$32:$EL$32,1,DW418)=1,'Lease Cycles'!$C$32*INDEX('Lease Cycles'!$ET$32:$EZ$32,1,DW418)*(1+'Lease Cycles'!$V$32)^INT(INT(DW419/12)/'Lease Cycles'!$W$32)/12,0),0)</f>
        <v>0</v>
      </c>
      <c r="DX422" s="28">
        <f>IF(DX420=1,IF(INDEX('Lease Cycles'!$EF$32:$EL$32,1,DX418)=1,'Lease Cycles'!$C$32*INDEX('Lease Cycles'!$ET$32:$EZ$32,1,DX418)*(1+'Lease Cycles'!$V$32)^INT(INT(DX419/12)/'Lease Cycles'!$W$32)/12,0),0)</f>
        <v>0</v>
      </c>
      <c r="DY422" s="28">
        <f>IF(DY420=1,IF(INDEX('Lease Cycles'!$EF$32:$EL$32,1,DY418)=1,'Lease Cycles'!$C$32*INDEX('Lease Cycles'!$ET$32:$EZ$32,1,DY418)*(1+'Lease Cycles'!$V$32)^INT(INT(DY419/12)/'Lease Cycles'!$W$32)/12,0),0)</f>
        <v>0</v>
      </c>
      <c r="DZ422" s="28">
        <f>IF(DZ420=1,IF(INDEX('Lease Cycles'!$EF$32:$EL$32,1,DZ418)=1,'Lease Cycles'!$C$32*INDEX('Lease Cycles'!$ET$32:$EZ$32,1,DZ418)*(1+'Lease Cycles'!$V$32)^INT(INT(DZ419/12)/'Lease Cycles'!$W$32)/12,0),0)</f>
        <v>0</v>
      </c>
      <c r="EA422" s="28">
        <f>IF(EA420=1,IF(INDEX('Lease Cycles'!$EF$32:$EL$32,1,EA418)=1,'Lease Cycles'!$C$32*INDEX('Lease Cycles'!$ET$32:$EZ$32,1,EA418)*(1+'Lease Cycles'!$V$32)^INT(INT(EA419/12)/'Lease Cycles'!$W$32)/12,0),0)</f>
        <v>0</v>
      </c>
      <c r="EB422" s="28">
        <f>IF(EB420=1,IF(INDEX('Lease Cycles'!$EF$32:$EL$32,1,EB418)=1,'Lease Cycles'!$C$32*INDEX('Lease Cycles'!$ET$32:$EZ$32,1,EB418)*(1+'Lease Cycles'!$V$32)^INT(INT(EB419/12)/'Lease Cycles'!$W$32)/12,0),0)</f>
        <v>0</v>
      </c>
      <c r="EC422" s="28">
        <f>IF(EC420=1,IF(INDEX('Lease Cycles'!$EF$32:$EL$32,1,EC418)=1,'Lease Cycles'!$C$32*INDEX('Lease Cycles'!$ET$32:$EZ$32,1,EC418)*(1+'Lease Cycles'!$V$32)^INT(INT(EC419/12)/'Lease Cycles'!$W$32)/12,0),0)</f>
        <v>0</v>
      </c>
      <c r="ED422" s="28">
        <f>IF(ED420=1,IF(INDEX('Lease Cycles'!$EF$32:$EL$32,1,ED418)=1,'Lease Cycles'!$C$32*INDEX('Lease Cycles'!$ET$32:$EZ$32,1,ED418)*(1+'Lease Cycles'!$V$32)^INT(INT(ED419/12)/'Lease Cycles'!$W$32)/12,0),0)</f>
        <v>0</v>
      </c>
      <c r="EE422" s="28">
        <f>IF(EE420=1,IF(INDEX('Lease Cycles'!$EF$32:$EL$32,1,EE418)=1,'Lease Cycles'!$C$32*INDEX('Lease Cycles'!$ET$32:$EZ$32,1,EE418)*(1+'Lease Cycles'!$V$32)^INT(INT(EE419/12)/'Lease Cycles'!$W$32)/12,0),0)</f>
        <v>0</v>
      </c>
      <c r="EF422" s="28">
        <f>IF(EF420=1,IF(INDEX('Lease Cycles'!$EF$32:$EL$32,1,EF418)=1,'Lease Cycles'!$C$32*INDEX('Lease Cycles'!$ET$32:$EZ$32,1,EF418)*(1+'Lease Cycles'!$V$32)^INT(INT(EF419/12)/'Lease Cycles'!$W$32)/12,0),0)</f>
        <v>0</v>
      </c>
      <c r="EG422" s="28">
        <f>IF(EG420=1,IF(INDEX('Lease Cycles'!$EF$32:$EL$32,1,EG418)=1,'Lease Cycles'!$C$32*INDEX('Lease Cycles'!$ET$32:$EZ$32,1,EG418)*(1+'Lease Cycles'!$V$32)^INT(INT(EG419/12)/'Lease Cycles'!$W$32)/12,0),0)</f>
        <v>0</v>
      </c>
      <c r="EH422" s="28">
        <f>IF(EH420=1,IF(INDEX('Lease Cycles'!$EF$32:$EL$32,1,EH418)=1,'Lease Cycles'!$C$32*INDEX('Lease Cycles'!$ET$32:$EZ$32,1,EH418)*(1+'Lease Cycles'!$V$32)^INT(INT(EH419/12)/'Lease Cycles'!$W$32)/12,0),0)</f>
        <v>0</v>
      </c>
      <c r="EI422" s="28">
        <f>IF(EI420=1,IF(INDEX('Lease Cycles'!$EF$32:$EL$32,1,EI418)=1,'Lease Cycles'!$C$32*INDEX('Lease Cycles'!$ET$32:$EZ$32,1,EI418)*(1+'Lease Cycles'!$V$32)^INT(INT(EI419/12)/'Lease Cycles'!$W$32)/12,0),0)</f>
        <v>0</v>
      </c>
      <c r="EJ422" s="28">
        <f>IF(EJ420=1,IF(INDEX('Lease Cycles'!$EF$32:$EL$32,1,EJ418)=1,'Lease Cycles'!$C$32*INDEX('Lease Cycles'!$ET$32:$EZ$32,1,EJ418)*(1+'Lease Cycles'!$V$32)^INT(INT(EJ419/12)/'Lease Cycles'!$W$32)/12,0),0)</f>
        <v>0</v>
      </c>
      <c r="EK422" s="28">
        <f>IF(EK420=1,IF(INDEX('Lease Cycles'!$EF$32:$EL$32,1,EK418)=1,'Lease Cycles'!$C$32*INDEX('Lease Cycles'!$ET$32:$EZ$32,1,EK418)*(1+'Lease Cycles'!$V$32)^INT(INT(EK419/12)/'Lease Cycles'!$W$32)/12,0),0)</f>
        <v>0</v>
      </c>
      <c r="EL422" s="28">
        <f>IF(EL420=1,IF(INDEX('Lease Cycles'!$EF$32:$EL$32,1,EL418)=1,'Lease Cycles'!$C$32*INDEX('Lease Cycles'!$ET$32:$EZ$32,1,EL418)*(1+'Lease Cycles'!$V$32)^INT(INT(EL419/12)/'Lease Cycles'!$W$32)/12,0),0)</f>
        <v>0</v>
      </c>
      <c r="EM422" s="28">
        <f>IF(EM420=1,IF(INDEX('Lease Cycles'!$EF$32:$EL$32,1,EM418)=1,'Lease Cycles'!$C$32*INDEX('Lease Cycles'!$ET$32:$EZ$32,1,EM418)*(1+'Lease Cycles'!$V$32)^INT(INT(EM419/12)/'Lease Cycles'!$W$32)/12,0),0)</f>
        <v>0</v>
      </c>
      <c r="EN422" s="28">
        <f>IF(EN420=1,IF(INDEX('Lease Cycles'!$EF$32:$EL$32,1,EN418)=1,'Lease Cycles'!$C$32*INDEX('Lease Cycles'!$ET$32:$EZ$32,1,EN418)*(1+'Lease Cycles'!$V$32)^INT(INT(EN419/12)/'Lease Cycles'!$W$32)/12,0),0)</f>
        <v>0</v>
      </c>
      <c r="EO422" s="28">
        <f>IF(EO420=1,IF(INDEX('Lease Cycles'!$EF$32:$EL$32,1,EO418)=1,'Lease Cycles'!$C$32*INDEX('Lease Cycles'!$ET$32:$EZ$32,1,EO418)*(1+'Lease Cycles'!$V$32)^INT(INT(EO419/12)/'Lease Cycles'!$W$32)/12,0),0)</f>
        <v>0</v>
      </c>
      <c r="EP422" s="28">
        <f>IF(EP420=1,IF(INDEX('Lease Cycles'!$EF$32:$EL$32,1,EP418)=1,'Lease Cycles'!$C$32*INDEX('Lease Cycles'!$ET$32:$EZ$32,1,EP418)*(1+'Lease Cycles'!$V$32)^INT(INT(EP419/12)/'Lease Cycles'!$W$32)/12,0),0)</f>
        <v>0</v>
      </c>
      <c r="EQ422" s="28">
        <f>IF(EQ420=1,IF(INDEX('Lease Cycles'!$EF$32:$EL$32,1,EQ418)=1,'Lease Cycles'!$C$32*INDEX('Lease Cycles'!$ET$32:$EZ$32,1,EQ418)*(1+'Lease Cycles'!$V$32)^INT(INT(EQ419/12)/'Lease Cycles'!$W$32)/12,0),0)</f>
        <v>0</v>
      </c>
      <c r="ER422" s="28">
        <f>IF(ER420=1,IF(INDEX('Lease Cycles'!$EF$32:$EL$32,1,ER418)=1,'Lease Cycles'!$C$32*INDEX('Lease Cycles'!$ET$32:$EZ$32,1,ER418)*(1+'Lease Cycles'!$V$32)^INT(INT(ER419/12)/'Lease Cycles'!$W$32)/12,0),0)</f>
        <v>0</v>
      </c>
      <c r="ES422" s="28">
        <f>IF(ES420=1,IF(INDEX('Lease Cycles'!$EF$32:$EL$32,1,ES418)=1,'Lease Cycles'!$C$32*INDEX('Lease Cycles'!$ET$32:$EZ$32,1,ES418)*(1+'Lease Cycles'!$V$32)^INT(INT(ES419/12)/'Lease Cycles'!$W$32)/12,0),0)</f>
        <v>0</v>
      </c>
      <c r="ET422" s="28">
        <f>IF(ET420=1,IF(INDEX('Lease Cycles'!$EF$32:$EL$32,1,ET418)=1,'Lease Cycles'!$C$32*INDEX('Lease Cycles'!$ET$32:$EZ$32,1,ET418)*(1+'Lease Cycles'!$V$32)^INT(INT(ET419/12)/'Lease Cycles'!$W$32)/12,0),0)</f>
        <v>0</v>
      </c>
    </row>
    <row r="423">
      <c r="A423" s="103">
        <v>25</v>
      </c>
      <c r="B423" s="23" t="str">
        <f>IF('Lease Cycles'!$B$32="","(empty slot)",'Lease Cycles'!$B$32)</f>
        <v>(empty slot)</v>
      </c>
      <c r="C423" s="23" t="s">
        <v>681</v>
      </c>
      <c r="D423" s="104" t="s">
        <v>490</v>
      </c>
      <c r="E423" s="25">
        <f>'Lease Cycles'!$AL$32</f>
        <v>0</v>
      </c>
      <c r="G423" s="28">
        <f>SUM(S423:AD423)</f>
        <v>0</v>
      </c>
      <c r="H423" s="28">
        <f>SUM(AE423:AP423)</f>
        <v>0</v>
      </c>
      <c r="I423" s="28">
        <f>SUM(AQ423:BB423)</f>
        <v>0</v>
      </c>
      <c r="J423" s="28">
        <f>SUM(BC423:BN423)</f>
        <v>0</v>
      </c>
      <c r="K423" s="28">
        <f>SUM(BO423:BZ423)</f>
        <v>0</v>
      </c>
      <c r="L423" s="28">
        <f>SUM(CA423:CL423)</f>
        <v>0</v>
      </c>
      <c r="M423" s="28">
        <f>SUM(CM423:CX423)</f>
        <v>0</v>
      </c>
      <c r="N423" s="28">
        <f>SUM(CY423:DJ423)</f>
        <v>0</v>
      </c>
      <c r="O423" s="28">
        <f>SUM(DK423:DV423)</f>
        <v>0</v>
      </c>
      <c r="P423" s="28">
        <f>SUM(DW423:EH423)</f>
        <v>0</v>
      </c>
      <c r="Q423" s="28">
        <f>SUM(EI423:ET423)</f>
        <v>0</v>
      </c>
      <c r="S423" s="28">
        <f>IF(S420=1,IF(INDEX('Lease Cycles'!$EF$32:$EL$32,1,S418)=1,S421*INDEX('Lease Cycles'!$EM$32:$ES$32,1,S418)+S422*(1-INDEX('Lease Cycles'!$EM$32:$ES$32,1,S418)),S421),S421)</f>
        <v>0</v>
      </c>
      <c r="T423" s="28">
        <f>IF(T420=1,IF(INDEX('Lease Cycles'!$EF$32:$EL$32,1,T418)=1,T421*INDEX('Lease Cycles'!$EM$32:$ES$32,1,T418)+T422*(1-INDEX('Lease Cycles'!$EM$32:$ES$32,1,T418)),T421),T421)</f>
        <v>0</v>
      </c>
      <c r="U423" s="28">
        <f>IF(U420=1,IF(INDEX('Lease Cycles'!$EF$32:$EL$32,1,U418)=1,U421*INDEX('Lease Cycles'!$EM$32:$ES$32,1,U418)+U422*(1-INDEX('Lease Cycles'!$EM$32:$ES$32,1,U418)),U421),U421)</f>
        <v>0</v>
      </c>
      <c r="V423" s="28">
        <f>IF(V420=1,IF(INDEX('Lease Cycles'!$EF$32:$EL$32,1,V418)=1,V421*INDEX('Lease Cycles'!$EM$32:$ES$32,1,V418)+V422*(1-INDEX('Lease Cycles'!$EM$32:$ES$32,1,V418)),V421),V421)</f>
        <v>0</v>
      </c>
      <c r="W423" s="28">
        <f>IF(W420=1,IF(INDEX('Lease Cycles'!$EF$32:$EL$32,1,W418)=1,W421*INDEX('Lease Cycles'!$EM$32:$ES$32,1,W418)+W422*(1-INDEX('Lease Cycles'!$EM$32:$ES$32,1,W418)),W421),W421)</f>
        <v>0</v>
      </c>
      <c r="X423" s="28">
        <f>IF(X420=1,IF(INDEX('Lease Cycles'!$EF$32:$EL$32,1,X418)=1,X421*INDEX('Lease Cycles'!$EM$32:$ES$32,1,X418)+X422*(1-INDEX('Lease Cycles'!$EM$32:$ES$32,1,X418)),X421),X421)</f>
        <v>0</v>
      </c>
      <c r="Y423" s="28">
        <f>IF(Y420=1,IF(INDEX('Lease Cycles'!$EF$32:$EL$32,1,Y418)=1,Y421*INDEX('Lease Cycles'!$EM$32:$ES$32,1,Y418)+Y422*(1-INDEX('Lease Cycles'!$EM$32:$ES$32,1,Y418)),Y421),Y421)</f>
        <v>0</v>
      </c>
      <c r="Z423" s="28">
        <f>IF(Z420=1,IF(INDEX('Lease Cycles'!$EF$32:$EL$32,1,Z418)=1,Z421*INDEX('Lease Cycles'!$EM$32:$ES$32,1,Z418)+Z422*(1-INDEX('Lease Cycles'!$EM$32:$ES$32,1,Z418)),Z421),Z421)</f>
        <v>0</v>
      </c>
      <c r="AA423" s="28">
        <f>IF(AA420=1,IF(INDEX('Lease Cycles'!$EF$32:$EL$32,1,AA418)=1,AA421*INDEX('Lease Cycles'!$EM$32:$ES$32,1,AA418)+AA422*(1-INDEX('Lease Cycles'!$EM$32:$ES$32,1,AA418)),AA421),AA421)</f>
        <v>0</v>
      </c>
      <c r="AB423" s="28">
        <f>IF(AB420=1,IF(INDEX('Lease Cycles'!$EF$32:$EL$32,1,AB418)=1,AB421*INDEX('Lease Cycles'!$EM$32:$ES$32,1,AB418)+AB422*(1-INDEX('Lease Cycles'!$EM$32:$ES$32,1,AB418)),AB421),AB421)</f>
        <v>0</v>
      </c>
      <c r="AC423" s="28">
        <f>IF(AC420=1,IF(INDEX('Lease Cycles'!$EF$32:$EL$32,1,AC418)=1,AC421*INDEX('Lease Cycles'!$EM$32:$ES$32,1,AC418)+AC422*(1-INDEX('Lease Cycles'!$EM$32:$ES$32,1,AC418)),AC421),AC421)</f>
        <v>0</v>
      </c>
      <c r="AD423" s="28">
        <f>IF(AD420=1,IF(INDEX('Lease Cycles'!$EF$32:$EL$32,1,AD418)=1,AD421*INDEX('Lease Cycles'!$EM$32:$ES$32,1,AD418)+AD422*(1-INDEX('Lease Cycles'!$EM$32:$ES$32,1,AD418)),AD421),AD421)</f>
        <v>0</v>
      </c>
      <c r="AE423" s="28">
        <f>IF(AE420=1,IF(INDEX('Lease Cycles'!$EF$32:$EL$32,1,AE418)=1,AE421*INDEX('Lease Cycles'!$EM$32:$ES$32,1,AE418)+AE422*(1-INDEX('Lease Cycles'!$EM$32:$ES$32,1,AE418)),AE421),AE421)</f>
        <v>0</v>
      </c>
      <c r="AF423" s="28">
        <f>IF(AF420=1,IF(INDEX('Lease Cycles'!$EF$32:$EL$32,1,AF418)=1,AF421*INDEX('Lease Cycles'!$EM$32:$ES$32,1,AF418)+AF422*(1-INDEX('Lease Cycles'!$EM$32:$ES$32,1,AF418)),AF421),AF421)</f>
        <v>0</v>
      </c>
      <c r="AG423" s="28">
        <f>IF(AG420=1,IF(INDEX('Lease Cycles'!$EF$32:$EL$32,1,AG418)=1,AG421*INDEX('Lease Cycles'!$EM$32:$ES$32,1,AG418)+AG422*(1-INDEX('Lease Cycles'!$EM$32:$ES$32,1,AG418)),AG421),AG421)</f>
        <v>0</v>
      </c>
      <c r="AH423" s="28">
        <f>IF(AH420=1,IF(INDEX('Lease Cycles'!$EF$32:$EL$32,1,AH418)=1,AH421*INDEX('Lease Cycles'!$EM$32:$ES$32,1,AH418)+AH422*(1-INDEX('Lease Cycles'!$EM$32:$ES$32,1,AH418)),AH421),AH421)</f>
        <v>0</v>
      </c>
      <c r="AI423" s="28">
        <f>IF(AI420=1,IF(INDEX('Lease Cycles'!$EF$32:$EL$32,1,AI418)=1,AI421*INDEX('Lease Cycles'!$EM$32:$ES$32,1,AI418)+AI422*(1-INDEX('Lease Cycles'!$EM$32:$ES$32,1,AI418)),AI421),AI421)</f>
        <v>0</v>
      </c>
      <c r="AJ423" s="28">
        <f>IF(AJ420=1,IF(INDEX('Lease Cycles'!$EF$32:$EL$32,1,AJ418)=1,AJ421*INDEX('Lease Cycles'!$EM$32:$ES$32,1,AJ418)+AJ422*(1-INDEX('Lease Cycles'!$EM$32:$ES$32,1,AJ418)),AJ421),AJ421)</f>
        <v>0</v>
      </c>
      <c r="AK423" s="28">
        <f>IF(AK420=1,IF(INDEX('Lease Cycles'!$EF$32:$EL$32,1,AK418)=1,AK421*INDEX('Lease Cycles'!$EM$32:$ES$32,1,AK418)+AK422*(1-INDEX('Lease Cycles'!$EM$32:$ES$32,1,AK418)),AK421),AK421)</f>
        <v>0</v>
      </c>
      <c r="AL423" s="28">
        <f>IF(AL420=1,IF(INDEX('Lease Cycles'!$EF$32:$EL$32,1,AL418)=1,AL421*INDEX('Lease Cycles'!$EM$32:$ES$32,1,AL418)+AL422*(1-INDEX('Lease Cycles'!$EM$32:$ES$32,1,AL418)),AL421),AL421)</f>
        <v>0</v>
      </c>
      <c r="AM423" s="28">
        <f>IF(AM420=1,IF(INDEX('Lease Cycles'!$EF$32:$EL$32,1,AM418)=1,AM421*INDEX('Lease Cycles'!$EM$32:$ES$32,1,AM418)+AM422*(1-INDEX('Lease Cycles'!$EM$32:$ES$32,1,AM418)),AM421),AM421)</f>
        <v>0</v>
      </c>
      <c r="AN423" s="28">
        <f>IF(AN420=1,IF(INDEX('Lease Cycles'!$EF$32:$EL$32,1,AN418)=1,AN421*INDEX('Lease Cycles'!$EM$32:$ES$32,1,AN418)+AN422*(1-INDEX('Lease Cycles'!$EM$32:$ES$32,1,AN418)),AN421),AN421)</f>
        <v>0</v>
      </c>
      <c r="AO423" s="28">
        <f>IF(AO420=1,IF(INDEX('Lease Cycles'!$EF$32:$EL$32,1,AO418)=1,AO421*INDEX('Lease Cycles'!$EM$32:$ES$32,1,AO418)+AO422*(1-INDEX('Lease Cycles'!$EM$32:$ES$32,1,AO418)),AO421),AO421)</f>
        <v>0</v>
      </c>
      <c r="AP423" s="28">
        <f>IF(AP420=1,IF(INDEX('Lease Cycles'!$EF$32:$EL$32,1,AP418)=1,AP421*INDEX('Lease Cycles'!$EM$32:$ES$32,1,AP418)+AP422*(1-INDEX('Lease Cycles'!$EM$32:$ES$32,1,AP418)),AP421),AP421)</f>
        <v>0</v>
      </c>
      <c r="AQ423" s="28">
        <f>IF(AQ420=1,IF(INDEX('Lease Cycles'!$EF$32:$EL$32,1,AQ418)=1,AQ421*INDEX('Lease Cycles'!$EM$32:$ES$32,1,AQ418)+AQ422*(1-INDEX('Lease Cycles'!$EM$32:$ES$32,1,AQ418)),AQ421),AQ421)</f>
        <v>0</v>
      </c>
      <c r="AR423" s="28">
        <f>IF(AR420=1,IF(INDEX('Lease Cycles'!$EF$32:$EL$32,1,AR418)=1,AR421*INDEX('Lease Cycles'!$EM$32:$ES$32,1,AR418)+AR422*(1-INDEX('Lease Cycles'!$EM$32:$ES$32,1,AR418)),AR421),AR421)</f>
        <v>0</v>
      </c>
      <c r="AS423" s="28">
        <f>IF(AS420=1,IF(INDEX('Lease Cycles'!$EF$32:$EL$32,1,AS418)=1,AS421*INDEX('Lease Cycles'!$EM$32:$ES$32,1,AS418)+AS422*(1-INDEX('Lease Cycles'!$EM$32:$ES$32,1,AS418)),AS421),AS421)</f>
        <v>0</v>
      </c>
      <c r="AT423" s="28">
        <f>IF(AT420=1,IF(INDEX('Lease Cycles'!$EF$32:$EL$32,1,AT418)=1,AT421*INDEX('Lease Cycles'!$EM$32:$ES$32,1,AT418)+AT422*(1-INDEX('Lease Cycles'!$EM$32:$ES$32,1,AT418)),AT421),AT421)</f>
        <v>0</v>
      </c>
      <c r="AU423" s="28">
        <f>IF(AU420=1,IF(INDEX('Lease Cycles'!$EF$32:$EL$32,1,AU418)=1,AU421*INDEX('Lease Cycles'!$EM$32:$ES$32,1,AU418)+AU422*(1-INDEX('Lease Cycles'!$EM$32:$ES$32,1,AU418)),AU421),AU421)</f>
        <v>0</v>
      </c>
      <c r="AV423" s="28">
        <f>IF(AV420=1,IF(INDEX('Lease Cycles'!$EF$32:$EL$32,1,AV418)=1,AV421*INDEX('Lease Cycles'!$EM$32:$ES$32,1,AV418)+AV422*(1-INDEX('Lease Cycles'!$EM$32:$ES$32,1,AV418)),AV421),AV421)</f>
        <v>0</v>
      </c>
      <c r="AW423" s="28">
        <f>IF(AW420=1,IF(INDEX('Lease Cycles'!$EF$32:$EL$32,1,AW418)=1,AW421*INDEX('Lease Cycles'!$EM$32:$ES$32,1,AW418)+AW422*(1-INDEX('Lease Cycles'!$EM$32:$ES$32,1,AW418)),AW421),AW421)</f>
        <v>0</v>
      </c>
      <c r="AX423" s="28">
        <f>IF(AX420=1,IF(INDEX('Lease Cycles'!$EF$32:$EL$32,1,AX418)=1,AX421*INDEX('Lease Cycles'!$EM$32:$ES$32,1,AX418)+AX422*(1-INDEX('Lease Cycles'!$EM$32:$ES$32,1,AX418)),AX421),AX421)</f>
        <v>0</v>
      </c>
      <c r="AY423" s="28">
        <f>IF(AY420=1,IF(INDEX('Lease Cycles'!$EF$32:$EL$32,1,AY418)=1,AY421*INDEX('Lease Cycles'!$EM$32:$ES$32,1,AY418)+AY422*(1-INDEX('Lease Cycles'!$EM$32:$ES$32,1,AY418)),AY421),AY421)</f>
        <v>0</v>
      </c>
      <c r="AZ423" s="28">
        <f>IF(AZ420=1,IF(INDEX('Lease Cycles'!$EF$32:$EL$32,1,AZ418)=1,AZ421*INDEX('Lease Cycles'!$EM$32:$ES$32,1,AZ418)+AZ422*(1-INDEX('Lease Cycles'!$EM$32:$ES$32,1,AZ418)),AZ421),AZ421)</f>
        <v>0</v>
      </c>
      <c r="BA423" s="28">
        <f>IF(BA420=1,IF(INDEX('Lease Cycles'!$EF$32:$EL$32,1,BA418)=1,BA421*INDEX('Lease Cycles'!$EM$32:$ES$32,1,BA418)+BA422*(1-INDEX('Lease Cycles'!$EM$32:$ES$32,1,BA418)),BA421),BA421)</f>
        <v>0</v>
      </c>
      <c r="BB423" s="28">
        <f>IF(BB420=1,IF(INDEX('Lease Cycles'!$EF$32:$EL$32,1,BB418)=1,BB421*INDEX('Lease Cycles'!$EM$32:$ES$32,1,BB418)+BB422*(1-INDEX('Lease Cycles'!$EM$32:$ES$32,1,BB418)),BB421),BB421)</f>
        <v>0</v>
      </c>
      <c r="BC423" s="28">
        <f>IF(BC420=1,IF(INDEX('Lease Cycles'!$EF$32:$EL$32,1,BC418)=1,BC421*INDEX('Lease Cycles'!$EM$32:$ES$32,1,BC418)+BC422*(1-INDEX('Lease Cycles'!$EM$32:$ES$32,1,BC418)),BC421),BC421)</f>
        <v>0</v>
      </c>
      <c r="BD423" s="28">
        <f>IF(BD420=1,IF(INDEX('Lease Cycles'!$EF$32:$EL$32,1,BD418)=1,BD421*INDEX('Lease Cycles'!$EM$32:$ES$32,1,BD418)+BD422*(1-INDEX('Lease Cycles'!$EM$32:$ES$32,1,BD418)),BD421),BD421)</f>
        <v>0</v>
      </c>
      <c r="BE423" s="28">
        <f>IF(BE420=1,IF(INDEX('Lease Cycles'!$EF$32:$EL$32,1,BE418)=1,BE421*INDEX('Lease Cycles'!$EM$32:$ES$32,1,BE418)+BE422*(1-INDEX('Lease Cycles'!$EM$32:$ES$32,1,BE418)),BE421),BE421)</f>
        <v>0</v>
      </c>
      <c r="BF423" s="28">
        <f>IF(BF420=1,IF(INDEX('Lease Cycles'!$EF$32:$EL$32,1,BF418)=1,BF421*INDEX('Lease Cycles'!$EM$32:$ES$32,1,BF418)+BF422*(1-INDEX('Lease Cycles'!$EM$32:$ES$32,1,BF418)),BF421),BF421)</f>
        <v>0</v>
      </c>
      <c r="BG423" s="28">
        <f>IF(BG420=1,IF(INDEX('Lease Cycles'!$EF$32:$EL$32,1,BG418)=1,BG421*INDEX('Lease Cycles'!$EM$32:$ES$32,1,BG418)+BG422*(1-INDEX('Lease Cycles'!$EM$32:$ES$32,1,BG418)),BG421),BG421)</f>
        <v>0</v>
      </c>
      <c r="BH423" s="28">
        <f>IF(BH420=1,IF(INDEX('Lease Cycles'!$EF$32:$EL$32,1,BH418)=1,BH421*INDEX('Lease Cycles'!$EM$32:$ES$32,1,BH418)+BH422*(1-INDEX('Lease Cycles'!$EM$32:$ES$32,1,BH418)),BH421),BH421)</f>
        <v>0</v>
      </c>
      <c r="BI423" s="28">
        <f>IF(BI420=1,IF(INDEX('Lease Cycles'!$EF$32:$EL$32,1,BI418)=1,BI421*INDEX('Lease Cycles'!$EM$32:$ES$32,1,BI418)+BI422*(1-INDEX('Lease Cycles'!$EM$32:$ES$32,1,BI418)),BI421),BI421)</f>
        <v>0</v>
      </c>
      <c r="BJ423" s="28">
        <f>IF(BJ420=1,IF(INDEX('Lease Cycles'!$EF$32:$EL$32,1,BJ418)=1,BJ421*INDEX('Lease Cycles'!$EM$32:$ES$32,1,BJ418)+BJ422*(1-INDEX('Lease Cycles'!$EM$32:$ES$32,1,BJ418)),BJ421),BJ421)</f>
        <v>0</v>
      </c>
      <c r="BK423" s="28">
        <f>IF(BK420=1,IF(INDEX('Lease Cycles'!$EF$32:$EL$32,1,BK418)=1,BK421*INDEX('Lease Cycles'!$EM$32:$ES$32,1,BK418)+BK422*(1-INDEX('Lease Cycles'!$EM$32:$ES$32,1,BK418)),BK421),BK421)</f>
        <v>0</v>
      </c>
      <c r="BL423" s="28">
        <f>IF(BL420=1,IF(INDEX('Lease Cycles'!$EF$32:$EL$32,1,BL418)=1,BL421*INDEX('Lease Cycles'!$EM$32:$ES$32,1,BL418)+BL422*(1-INDEX('Lease Cycles'!$EM$32:$ES$32,1,BL418)),BL421),BL421)</f>
        <v>0</v>
      </c>
      <c r="BM423" s="28">
        <f>IF(BM420=1,IF(INDEX('Lease Cycles'!$EF$32:$EL$32,1,BM418)=1,BM421*INDEX('Lease Cycles'!$EM$32:$ES$32,1,BM418)+BM422*(1-INDEX('Lease Cycles'!$EM$32:$ES$32,1,BM418)),BM421),BM421)</f>
        <v>0</v>
      </c>
      <c r="BN423" s="28">
        <f>IF(BN420=1,IF(INDEX('Lease Cycles'!$EF$32:$EL$32,1,BN418)=1,BN421*INDEX('Lease Cycles'!$EM$32:$ES$32,1,BN418)+BN422*(1-INDEX('Lease Cycles'!$EM$32:$ES$32,1,BN418)),BN421),BN421)</f>
        <v>0</v>
      </c>
      <c r="BO423" s="28">
        <f>IF(BO420=1,IF(INDEX('Lease Cycles'!$EF$32:$EL$32,1,BO418)=1,BO421*INDEX('Lease Cycles'!$EM$32:$ES$32,1,BO418)+BO422*(1-INDEX('Lease Cycles'!$EM$32:$ES$32,1,BO418)),BO421),BO421)</f>
        <v>0</v>
      </c>
      <c r="BP423" s="28">
        <f>IF(BP420=1,IF(INDEX('Lease Cycles'!$EF$32:$EL$32,1,BP418)=1,BP421*INDEX('Lease Cycles'!$EM$32:$ES$32,1,BP418)+BP422*(1-INDEX('Lease Cycles'!$EM$32:$ES$32,1,BP418)),BP421),BP421)</f>
        <v>0</v>
      </c>
      <c r="BQ423" s="28">
        <f>IF(BQ420=1,IF(INDEX('Lease Cycles'!$EF$32:$EL$32,1,BQ418)=1,BQ421*INDEX('Lease Cycles'!$EM$32:$ES$32,1,BQ418)+BQ422*(1-INDEX('Lease Cycles'!$EM$32:$ES$32,1,BQ418)),BQ421),BQ421)</f>
        <v>0</v>
      </c>
      <c r="BR423" s="28">
        <f>IF(BR420=1,IF(INDEX('Lease Cycles'!$EF$32:$EL$32,1,BR418)=1,BR421*INDEX('Lease Cycles'!$EM$32:$ES$32,1,BR418)+BR422*(1-INDEX('Lease Cycles'!$EM$32:$ES$32,1,BR418)),BR421),BR421)</f>
        <v>0</v>
      </c>
      <c r="BS423" s="28">
        <f>IF(BS420=1,IF(INDEX('Lease Cycles'!$EF$32:$EL$32,1,BS418)=1,BS421*INDEX('Lease Cycles'!$EM$32:$ES$32,1,BS418)+BS422*(1-INDEX('Lease Cycles'!$EM$32:$ES$32,1,BS418)),BS421),BS421)</f>
        <v>0</v>
      </c>
      <c r="BT423" s="28">
        <f>IF(BT420=1,IF(INDEX('Lease Cycles'!$EF$32:$EL$32,1,BT418)=1,BT421*INDEX('Lease Cycles'!$EM$32:$ES$32,1,BT418)+BT422*(1-INDEX('Lease Cycles'!$EM$32:$ES$32,1,BT418)),BT421),BT421)</f>
        <v>0</v>
      </c>
      <c r="BU423" s="28">
        <f>IF(BU420=1,IF(INDEX('Lease Cycles'!$EF$32:$EL$32,1,BU418)=1,BU421*INDEX('Lease Cycles'!$EM$32:$ES$32,1,BU418)+BU422*(1-INDEX('Lease Cycles'!$EM$32:$ES$32,1,BU418)),BU421),BU421)</f>
        <v>0</v>
      </c>
      <c r="BV423" s="28">
        <f>IF(BV420=1,IF(INDEX('Lease Cycles'!$EF$32:$EL$32,1,BV418)=1,BV421*INDEX('Lease Cycles'!$EM$32:$ES$32,1,BV418)+BV422*(1-INDEX('Lease Cycles'!$EM$32:$ES$32,1,BV418)),BV421),BV421)</f>
        <v>0</v>
      </c>
      <c r="BW423" s="28">
        <f>IF(BW420=1,IF(INDEX('Lease Cycles'!$EF$32:$EL$32,1,BW418)=1,BW421*INDEX('Lease Cycles'!$EM$32:$ES$32,1,BW418)+BW422*(1-INDEX('Lease Cycles'!$EM$32:$ES$32,1,BW418)),BW421),BW421)</f>
        <v>0</v>
      </c>
      <c r="BX423" s="28">
        <f>IF(BX420=1,IF(INDEX('Lease Cycles'!$EF$32:$EL$32,1,BX418)=1,BX421*INDEX('Lease Cycles'!$EM$32:$ES$32,1,BX418)+BX422*(1-INDEX('Lease Cycles'!$EM$32:$ES$32,1,BX418)),BX421),BX421)</f>
        <v>0</v>
      </c>
      <c r="BY423" s="28">
        <f>IF(BY420=1,IF(INDEX('Lease Cycles'!$EF$32:$EL$32,1,BY418)=1,BY421*INDEX('Lease Cycles'!$EM$32:$ES$32,1,BY418)+BY422*(1-INDEX('Lease Cycles'!$EM$32:$ES$32,1,BY418)),BY421),BY421)</f>
        <v>0</v>
      </c>
      <c r="BZ423" s="28">
        <f>IF(BZ420=1,IF(INDEX('Lease Cycles'!$EF$32:$EL$32,1,BZ418)=1,BZ421*INDEX('Lease Cycles'!$EM$32:$ES$32,1,BZ418)+BZ422*(1-INDEX('Lease Cycles'!$EM$32:$ES$32,1,BZ418)),BZ421),BZ421)</f>
        <v>0</v>
      </c>
      <c r="CA423" s="28">
        <f>IF(CA420=1,IF(INDEX('Lease Cycles'!$EF$32:$EL$32,1,CA418)=1,CA421*INDEX('Lease Cycles'!$EM$32:$ES$32,1,CA418)+CA422*(1-INDEX('Lease Cycles'!$EM$32:$ES$32,1,CA418)),CA421),CA421)</f>
        <v>0</v>
      </c>
      <c r="CB423" s="28">
        <f>IF(CB420=1,IF(INDEX('Lease Cycles'!$EF$32:$EL$32,1,CB418)=1,CB421*INDEX('Lease Cycles'!$EM$32:$ES$32,1,CB418)+CB422*(1-INDEX('Lease Cycles'!$EM$32:$ES$32,1,CB418)),CB421),CB421)</f>
        <v>0</v>
      </c>
      <c r="CC423" s="28">
        <f>IF(CC420=1,IF(INDEX('Lease Cycles'!$EF$32:$EL$32,1,CC418)=1,CC421*INDEX('Lease Cycles'!$EM$32:$ES$32,1,CC418)+CC422*(1-INDEX('Lease Cycles'!$EM$32:$ES$32,1,CC418)),CC421),CC421)</f>
        <v>0</v>
      </c>
      <c r="CD423" s="28">
        <f>IF(CD420=1,IF(INDEX('Lease Cycles'!$EF$32:$EL$32,1,CD418)=1,CD421*INDEX('Lease Cycles'!$EM$32:$ES$32,1,CD418)+CD422*(1-INDEX('Lease Cycles'!$EM$32:$ES$32,1,CD418)),CD421),CD421)</f>
        <v>0</v>
      </c>
      <c r="CE423" s="28">
        <f>IF(CE420=1,IF(INDEX('Lease Cycles'!$EF$32:$EL$32,1,CE418)=1,CE421*INDEX('Lease Cycles'!$EM$32:$ES$32,1,CE418)+CE422*(1-INDEX('Lease Cycles'!$EM$32:$ES$32,1,CE418)),CE421),CE421)</f>
        <v>0</v>
      </c>
      <c r="CF423" s="28">
        <f>IF(CF420=1,IF(INDEX('Lease Cycles'!$EF$32:$EL$32,1,CF418)=1,CF421*INDEX('Lease Cycles'!$EM$32:$ES$32,1,CF418)+CF422*(1-INDEX('Lease Cycles'!$EM$32:$ES$32,1,CF418)),CF421),CF421)</f>
        <v>0</v>
      </c>
      <c r="CG423" s="28">
        <f>IF(CG420=1,IF(INDEX('Lease Cycles'!$EF$32:$EL$32,1,CG418)=1,CG421*INDEX('Lease Cycles'!$EM$32:$ES$32,1,CG418)+CG422*(1-INDEX('Lease Cycles'!$EM$32:$ES$32,1,CG418)),CG421),CG421)</f>
        <v>0</v>
      </c>
      <c r="CH423" s="28">
        <f>IF(CH420=1,IF(INDEX('Lease Cycles'!$EF$32:$EL$32,1,CH418)=1,CH421*INDEX('Lease Cycles'!$EM$32:$ES$32,1,CH418)+CH422*(1-INDEX('Lease Cycles'!$EM$32:$ES$32,1,CH418)),CH421),CH421)</f>
        <v>0</v>
      </c>
      <c r="CI423" s="28">
        <f>IF(CI420=1,IF(INDEX('Lease Cycles'!$EF$32:$EL$32,1,CI418)=1,CI421*INDEX('Lease Cycles'!$EM$32:$ES$32,1,CI418)+CI422*(1-INDEX('Lease Cycles'!$EM$32:$ES$32,1,CI418)),CI421),CI421)</f>
        <v>0</v>
      </c>
      <c r="CJ423" s="28">
        <f>IF(CJ420=1,IF(INDEX('Lease Cycles'!$EF$32:$EL$32,1,CJ418)=1,CJ421*INDEX('Lease Cycles'!$EM$32:$ES$32,1,CJ418)+CJ422*(1-INDEX('Lease Cycles'!$EM$32:$ES$32,1,CJ418)),CJ421),CJ421)</f>
        <v>0</v>
      </c>
      <c r="CK423" s="28">
        <f>IF(CK420=1,IF(INDEX('Lease Cycles'!$EF$32:$EL$32,1,CK418)=1,CK421*INDEX('Lease Cycles'!$EM$32:$ES$32,1,CK418)+CK422*(1-INDEX('Lease Cycles'!$EM$32:$ES$32,1,CK418)),CK421),CK421)</f>
        <v>0</v>
      </c>
      <c r="CL423" s="28">
        <f>IF(CL420=1,IF(INDEX('Lease Cycles'!$EF$32:$EL$32,1,CL418)=1,CL421*INDEX('Lease Cycles'!$EM$32:$ES$32,1,CL418)+CL422*(1-INDEX('Lease Cycles'!$EM$32:$ES$32,1,CL418)),CL421),CL421)</f>
        <v>0</v>
      </c>
      <c r="CM423" s="28">
        <f>IF(CM420=1,IF(INDEX('Lease Cycles'!$EF$32:$EL$32,1,CM418)=1,CM421*INDEX('Lease Cycles'!$EM$32:$ES$32,1,CM418)+CM422*(1-INDEX('Lease Cycles'!$EM$32:$ES$32,1,CM418)),CM421),CM421)</f>
        <v>0</v>
      </c>
      <c r="CN423" s="28">
        <f>IF(CN420=1,IF(INDEX('Lease Cycles'!$EF$32:$EL$32,1,CN418)=1,CN421*INDEX('Lease Cycles'!$EM$32:$ES$32,1,CN418)+CN422*(1-INDEX('Lease Cycles'!$EM$32:$ES$32,1,CN418)),CN421),CN421)</f>
        <v>0</v>
      </c>
      <c r="CO423" s="28">
        <f>IF(CO420=1,IF(INDEX('Lease Cycles'!$EF$32:$EL$32,1,CO418)=1,CO421*INDEX('Lease Cycles'!$EM$32:$ES$32,1,CO418)+CO422*(1-INDEX('Lease Cycles'!$EM$32:$ES$32,1,CO418)),CO421),CO421)</f>
        <v>0</v>
      </c>
      <c r="CP423" s="28">
        <f>IF(CP420=1,IF(INDEX('Lease Cycles'!$EF$32:$EL$32,1,CP418)=1,CP421*INDEX('Lease Cycles'!$EM$32:$ES$32,1,CP418)+CP422*(1-INDEX('Lease Cycles'!$EM$32:$ES$32,1,CP418)),CP421),CP421)</f>
        <v>0</v>
      </c>
      <c r="CQ423" s="28">
        <f>IF(CQ420=1,IF(INDEX('Lease Cycles'!$EF$32:$EL$32,1,CQ418)=1,CQ421*INDEX('Lease Cycles'!$EM$32:$ES$32,1,CQ418)+CQ422*(1-INDEX('Lease Cycles'!$EM$32:$ES$32,1,CQ418)),CQ421),CQ421)</f>
        <v>0</v>
      </c>
      <c r="CR423" s="28">
        <f>IF(CR420=1,IF(INDEX('Lease Cycles'!$EF$32:$EL$32,1,CR418)=1,CR421*INDEX('Lease Cycles'!$EM$32:$ES$32,1,CR418)+CR422*(1-INDEX('Lease Cycles'!$EM$32:$ES$32,1,CR418)),CR421),CR421)</f>
        <v>0</v>
      </c>
      <c r="CS423" s="28">
        <f>IF(CS420=1,IF(INDEX('Lease Cycles'!$EF$32:$EL$32,1,CS418)=1,CS421*INDEX('Lease Cycles'!$EM$32:$ES$32,1,CS418)+CS422*(1-INDEX('Lease Cycles'!$EM$32:$ES$32,1,CS418)),CS421),CS421)</f>
        <v>0</v>
      </c>
      <c r="CT423" s="28">
        <f>IF(CT420=1,IF(INDEX('Lease Cycles'!$EF$32:$EL$32,1,CT418)=1,CT421*INDEX('Lease Cycles'!$EM$32:$ES$32,1,CT418)+CT422*(1-INDEX('Lease Cycles'!$EM$32:$ES$32,1,CT418)),CT421),CT421)</f>
        <v>0</v>
      </c>
      <c r="CU423" s="28">
        <f>IF(CU420=1,IF(INDEX('Lease Cycles'!$EF$32:$EL$32,1,CU418)=1,CU421*INDEX('Lease Cycles'!$EM$32:$ES$32,1,CU418)+CU422*(1-INDEX('Lease Cycles'!$EM$32:$ES$32,1,CU418)),CU421),CU421)</f>
        <v>0</v>
      </c>
      <c r="CV423" s="28">
        <f>IF(CV420=1,IF(INDEX('Lease Cycles'!$EF$32:$EL$32,1,CV418)=1,CV421*INDEX('Lease Cycles'!$EM$32:$ES$32,1,CV418)+CV422*(1-INDEX('Lease Cycles'!$EM$32:$ES$32,1,CV418)),CV421),CV421)</f>
        <v>0</v>
      </c>
      <c r="CW423" s="28">
        <f>IF(CW420=1,IF(INDEX('Lease Cycles'!$EF$32:$EL$32,1,CW418)=1,CW421*INDEX('Lease Cycles'!$EM$32:$ES$32,1,CW418)+CW422*(1-INDEX('Lease Cycles'!$EM$32:$ES$32,1,CW418)),CW421),CW421)</f>
        <v>0</v>
      </c>
      <c r="CX423" s="28">
        <f>IF(CX420=1,IF(INDEX('Lease Cycles'!$EF$32:$EL$32,1,CX418)=1,CX421*INDEX('Lease Cycles'!$EM$32:$ES$32,1,CX418)+CX422*(1-INDEX('Lease Cycles'!$EM$32:$ES$32,1,CX418)),CX421),CX421)</f>
        <v>0</v>
      </c>
      <c r="CY423" s="28">
        <f>IF(CY420=1,IF(INDEX('Lease Cycles'!$EF$32:$EL$32,1,CY418)=1,CY421*INDEX('Lease Cycles'!$EM$32:$ES$32,1,CY418)+CY422*(1-INDEX('Lease Cycles'!$EM$32:$ES$32,1,CY418)),CY421),CY421)</f>
        <v>0</v>
      </c>
      <c r="CZ423" s="28">
        <f>IF(CZ420=1,IF(INDEX('Lease Cycles'!$EF$32:$EL$32,1,CZ418)=1,CZ421*INDEX('Lease Cycles'!$EM$32:$ES$32,1,CZ418)+CZ422*(1-INDEX('Lease Cycles'!$EM$32:$ES$32,1,CZ418)),CZ421),CZ421)</f>
        <v>0</v>
      </c>
      <c r="DA423" s="28">
        <f>IF(DA420=1,IF(INDEX('Lease Cycles'!$EF$32:$EL$32,1,DA418)=1,DA421*INDEX('Lease Cycles'!$EM$32:$ES$32,1,DA418)+DA422*(1-INDEX('Lease Cycles'!$EM$32:$ES$32,1,DA418)),DA421),DA421)</f>
        <v>0</v>
      </c>
      <c r="DB423" s="28">
        <f>IF(DB420=1,IF(INDEX('Lease Cycles'!$EF$32:$EL$32,1,DB418)=1,DB421*INDEX('Lease Cycles'!$EM$32:$ES$32,1,DB418)+DB422*(1-INDEX('Lease Cycles'!$EM$32:$ES$32,1,DB418)),DB421),DB421)</f>
        <v>0</v>
      </c>
      <c r="DC423" s="28">
        <f>IF(DC420=1,IF(INDEX('Lease Cycles'!$EF$32:$EL$32,1,DC418)=1,DC421*INDEX('Lease Cycles'!$EM$32:$ES$32,1,DC418)+DC422*(1-INDEX('Lease Cycles'!$EM$32:$ES$32,1,DC418)),DC421),DC421)</f>
        <v>0</v>
      </c>
      <c r="DD423" s="28">
        <f>IF(DD420=1,IF(INDEX('Lease Cycles'!$EF$32:$EL$32,1,DD418)=1,DD421*INDEX('Lease Cycles'!$EM$32:$ES$32,1,DD418)+DD422*(1-INDEX('Lease Cycles'!$EM$32:$ES$32,1,DD418)),DD421),DD421)</f>
        <v>0</v>
      </c>
      <c r="DE423" s="28">
        <f>IF(DE420=1,IF(INDEX('Lease Cycles'!$EF$32:$EL$32,1,DE418)=1,DE421*INDEX('Lease Cycles'!$EM$32:$ES$32,1,DE418)+DE422*(1-INDEX('Lease Cycles'!$EM$32:$ES$32,1,DE418)),DE421),DE421)</f>
        <v>0</v>
      </c>
      <c r="DF423" s="28">
        <f>IF(DF420=1,IF(INDEX('Lease Cycles'!$EF$32:$EL$32,1,DF418)=1,DF421*INDEX('Lease Cycles'!$EM$32:$ES$32,1,DF418)+DF422*(1-INDEX('Lease Cycles'!$EM$32:$ES$32,1,DF418)),DF421),DF421)</f>
        <v>0</v>
      </c>
      <c r="DG423" s="28">
        <f>IF(DG420=1,IF(INDEX('Lease Cycles'!$EF$32:$EL$32,1,DG418)=1,DG421*INDEX('Lease Cycles'!$EM$32:$ES$32,1,DG418)+DG422*(1-INDEX('Lease Cycles'!$EM$32:$ES$32,1,DG418)),DG421),DG421)</f>
        <v>0</v>
      </c>
      <c r="DH423" s="28">
        <f>IF(DH420=1,IF(INDEX('Lease Cycles'!$EF$32:$EL$32,1,DH418)=1,DH421*INDEX('Lease Cycles'!$EM$32:$ES$32,1,DH418)+DH422*(1-INDEX('Lease Cycles'!$EM$32:$ES$32,1,DH418)),DH421),DH421)</f>
        <v>0</v>
      </c>
      <c r="DI423" s="28">
        <f>IF(DI420=1,IF(INDEX('Lease Cycles'!$EF$32:$EL$32,1,DI418)=1,DI421*INDEX('Lease Cycles'!$EM$32:$ES$32,1,DI418)+DI422*(1-INDEX('Lease Cycles'!$EM$32:$ES$32,1,DI418)),DI421),DI421)</f>
        <v>0</v>
      </c>
      <c r="DJ423" s="28">
        <f>IF(DJ420=1,IF(INDEX('Lease Cycles'!$EF$32:$EL$32,1,DJ418)=1,DJ421*INDEX('Lease Cycles'!$EM$32:$ES$32,1,DJ418)+DJ422*(1-INDEX('Lease Cycles'!$EM$32:$ES$32,1,DJ418)),DJ421),DJ421)</f>
        <v>0</v>
      </c>
      <c r="DK423" s="28">
        <f>IF(DK420=1,IF(INDEX('Lease Cycles'!$EF$32:$EL$32,1,DK418)=1,DK421*INDEX('Lease Cycles'!$EM$32:$ES$32,1,DK418)+DK422*(1-INDEX('Lease Cycles'!$EM$32:$ES$32,1,DK418)),DK421),DK421)</f>
        <v>0</v>
      </c>
      <c r="DL423" s="28">
        <f>IF(DL420=1,IF(INDEX('Lease Cycles'!$EF$32:$EL$32,1,DL418)=1,DL421*INDEX('Lease Cycles'!$EM$32:$ES$32,1,DL418)+DL422*(1-INDEX('Lease Cycles'!$EM$32:$ES$32,1,DL418)),DL421),DL421)</f>
        <v>0</v>
      </c>
      <c r="DM423" s="28">
        <f>IF(DM420=1,IF(INDEX('Lease Cycles'!$EF$32:$EL$32,1,DM418)=1,DM421*INDEX('Lease Cycles'!$EM$32:$ES$32,1,DM418)+DM422*(1-INDEX('Lease Cycles'!$EM$32:$ES$32,1,DM418)),DM421),DM421)</f>
        <v>0</v>
      </c>
      <c r="DN423" s="28">
        <f>IF(DN420=1,IF(INDEX('Lease Cycles'!$EF$32:$EL$32,1,DN418)=1,DN421*INDEX('Lease Cycles'!$EM$32:$ES$32,1,DN418)+DN422*(1-INDEX('Lease Cycles'!$EM$32:$ES$32,1,DN418)),DN421),DN421)</f>
        <v>0</v>
      </c>
      <c r="DO423" s="28">
        <f>IF(DO420=1,IF(INDEX('Lease Cycles'!$EF$32:$EL$32,1,DO418)=1,DO421*INDEX('Lease Cycles'!$EM$32:$ES$32,1,DO418)+DO422*(1-INDEX('Lease Cycles'!$EM$32:$ES$32,1,DO418)),DO421),DO421)</f>
        <v>0</v>
      </c>
      <c r="DP423" s="28">
        <f>IF(DP420=1,IF(INDEX('Lease Cycles'!$EF$32:$EL$32,1,DP418)=1,DP421*INDEX('Lease Cycles'!$EM$32:$ES$32,1,DP418)+DP422*(1-INDEX('Lease Cycles'!$EM$32:$ES$32,1,DP418)),DP421),DP421)</f>
        <v>0</v>
      </c>
      <c r="DQ423" s="28">
        <f>IF(DQ420=1,IF(INDEX('Lease Cycles'!$EF$32:$EL$32,1,DQ418)=1,DQ421*INDEX('Lease Cycles'!$EM$32:$ES$32,1,DQ418)+DQ422*(1-INDEX('Lease Cycles'!$EM$32:$ES$32,1,DQ418)),DQ421),DQ421)</f>
        <v>0</v>
      </c>
      <c r="DR423" s="28">
        <f>IF(DR420=1,IF(INDEX('Lease Cycles'!$EF$32:$EL$32,1,DR418)=1,DR421*INDEX('Lease Cycles'!$EM$32:$ES$32,1,DR418)+DR422*(1-INDEX('Lease Cycles'!$EM$32:$ES$32,1,DR418)),DR421),DR421)</f>
        <v>0</v>
      </c>
      <c r="DS423" s="28">
        <f>IF(DS420=1,IF(INDEX('Lease Cycles'!$EF$32:$EL$32,1,DS418)=1,DS421*INDEX('Lease Cycles'!$EM$32:$ES$32,1,DS418)+DS422*(1-INDEX('Lease Cycles'!$EM$32:$ES$32,1,DS418)),DS421),DS421)</f>
        <v>0</v>
      </c>
      <c r="DT423" s="28">
        <f>IF(DT420=1,IF(INDEX('Lease Cycles'!$EF$32:$EL$32,1,DT418)=1,DT421*INDEX('Lease Cycles'!$EM$32:$ES$32,1,DT418)+DT422*(1-INDEX('Lease Cycles'!$EM$32:$ES$32,1,DT418)),DT421),DT421)</f>
        <v>0</v>
      </c>
      <c r="DU423" s="28">
        <f>IF(DU420=1,IF(INDEX('Lease Cycles'!$EF$32:$EL$32,1,DU418)=1,DU421*INDEX('Lease Cycles'!$EM$32:$ES$32,1,DU418)+DU422*(1-INDEX('Lease Cycles'!$EM$32:$ES$32,1,DU418)),DU421),DU421)</f>
        <v>0</v>
      </c>
      <c r="DV423" s="28">
        <f>IF(DV420=1,IF(INDEX('Lease Cycles'!$EF$32:$EL$32,1,DV418)=1,DV421*INDEX('Lease Cycles'!$EM$32:$ES$32,1,DV418)+DV422*(1-INDEX('Lease Cycles'!$EM$32:$ES$32,1,DV418)),DV421),DV421)</f>
        <v>0</v>
      </c>
      <c r="DW423" s="28">
        <f>IF(DW420=1,IF(INDEX('Lease Cycles'!$EF$32:$EL$32,1,DW418)=1,DW421*INDEX('Lease Cycles'!$EM$32:$ES$32,1,DW418)+DW422*(1-INDEX('Lease Cycles'!$EM$32:$ES$32,1,DW418)),DW421),DW421)</f>
        <v>0</v>
      </c>
      <c r="DX423" s="28">
        <f>IF(DX420=1,IF(INDEX('Lease Cycles'!$EF$32:$EL$32,1,DX418)=1,DX421*INDEX('Lease Cycles'!$EM$32:$ES$32,1,DX418)+DX422*(1-INDEX('Lease Cycles'!$EM$32:$ES$32,1,DX418)),DX421),DX421)</f>
        <v>0</v>
      </c>
      <c r="DY423" s="28">
        <f>IF(DY420=1,IF(INDEX('Lease Cycles'!$EF$32:$EL$32,1,DY418)=1,DY421*INDEX('Lease Cycles'!$EM$32:$ES$32,1,DY418)+DY422*(1-INDEX('Lease Cycles'!$EM$32:$ES$32,1,DY418)),DY421),DY421)</f>
        <v>0</v>
      </c>
      <c r="DZ423" s="28">
        <f>IF(DZ420=1,IF(INDEX('Lease Cycles'!$EF$32:$EL$32,1,DZ418)=1,DZ421*INDEX('Lease Cycles'!$EM$32:$ES$32,1,DZ418)+DZ422*(1-INDEX('Lease Cycles'!$EM$32:$ES$32,1,DZ418)),DZ421),DZ421)</f>
        <v>0</v>
      </c>
      <c r="EA423" s="28">
        <f>IF(EA420=1,IF(INDEX('Lease Cycles'!$EF$32:$EL$32,1,EA418)=1,EA421*INDEX('Lease Cycles'!$EM$32:$ES$32,1,EA418)+EA422*(1-INDEX('Lease Cycles'!$EM$32:$ES$32,1,EA418)),EA421),EA421)</f>
        <v>0</v>
      </c>
      <c r="EB423" s="28">
        <f>IF(EB420=1,IF(INDEX('Lease Cycles'!$EF$32:$EL$32,1,EB418)=1,EB421*INDEX('Lease Cycles'!$EM$32:$ES$32,1,EB418)+EB422*(1-INDEX('Lease Cycles'!$EM$32:$ES$32,1,EB418)),EB421),EB421)</f>
        <v>0</v>
      </c>
      <c r="EC423" s="28">
        <f>IF(EC420=1,IF(INDEX('Lease Cycles'!$EF$32:$EL$32,1,EC418)=1,EC421*INDEX('Lease Cycles'!$EM$32:$ES$32,1,EC418)+EC422*(1-INDEX('Lease Cycles'!$EM$32:$ES$32,1,EC418)),EC421),EC421)</f>
        <v>0</v>
      </c>
      <c r="ED423" s="28">
        <f>IF(ED420=1,IF(INDEX('Lease Cycles'!$EF$32:$EL$32,1,ED418)=1,ED421*INDEX('Lease Cycles'!$EM$32:$ES$32,1,ED418)+ED422*(1-INDEX('Lease Cycles'!$EM$32:$ES$32,1,ED418)),ED421),ED421)</f>
        <v>0</v>
      </c>
      <c r="EE423" s="28">
        <f>IF(EE420=1,IF(INDEX('Lease Cycles'!$EF$32:$EL$32,1,EE418)=1,EE421*INDEX('Lease Cycles'!$EM$32:$ES$32,1,EE418)+EE422*(1-INDEX('Lease Cycles'!$EM$32:$ES$32,1,EE418)),EE421),EE421)</f>
        <v>0</v>
      </c>
      <c r="EF423" s="28">
        <f>IF(EF420=1,IF(INDEX('Lease Cycles'!$EF$32:$EL$32,1,EF418)=1,EF421*INDEX('Lease Cycles'!$EM$32:$ES$32,1,EF418)+EF422*(1-INDEX('Lease Cycles'!$EM$32:$ES$32,1,EF418)),EF421),EF421)</f>
        <v>0</v>
      </c>
      <c r="EG423" s="28">
        <f>IF(EG420=1,IF(INDEX('Lease Cycles'!$EF$32:$EL$32,1,EG418)=1,EG421*INDEX('Lease Cycles'!$EM$32:$ES$32,1,EG418)+EG422*(1-INDEX('Lease Cycles'!$EM$32:$ES$32,1,EG418)),EG421),EG421)</f>
        <v>0</v>
      </c>
      <c r="EH423" s="28">
        <f>IF(EH420=1,IF(INDEX('Lease Cycles'!$EF$32:$EL$32,1,EH418)=1,EH421*INDEX('Lease Cycles'!$EM$32:$ES$32,1,EH418)+EH422*(1-INDEX('Lease Cycles'!$EM$32:$ES$32,1,EH418)),EH421),EH421)</f>
        <v>0</v>
      </c>
      <c r="EI423" s="28">
        <f>IF(EI420=1,IF(INDEX('Lease Cycles'!$EF$32:$EL$32,1,EI418)=1,EI421*INDEX('Lease Cycles'!$EM$32:$ES$32,1,EI418)+EI422*(1-INDEX('Lease Cycles'!$EM$32:$ES$32,1,EI418)),EI421),EI421)</f>
        <v>0</v>
      </c>
      <c r="EJ423" s="28">
        <f>IF(EJ420=1,IF(INDEX('Lease Cycles'!$EF$32:$EL$32,1,EJ418)=1,EJ421*INDEX('Lease Cycles'!$EM$32:$ES$32,1,EJ418)+EJ422*(1-INDEX('Lease Cycles'!$EM$32:$ES$32,1,EJ418)),EJ421),EJ421)</f>
        <v>0</v>
      </c>
      <c r="EK423" s="28">
        <f>IF(EK420=1,IF(INDEX('Lease Cycles'!$EF$32:$EL$32,1,EK418)=1,EK421*INDEX('Lease Cycles'!$EM$32:$ES$32,1,EK418)+EK422*(1-INDEX('Lease Cycles'!$EM$32:$ES$32,1,EK418)),EK421),EK421)</f>
        <v>0</v>
      </c>
      <c r="EL423" s="28">
        <f>IF(EL420=1,IF(INDEX('Lease Cycles'!$EF$32:$EL$32,1,EL418)=1,EL421*INDEX('Lease Cycles'!$EM$32:$ES$32,1,EL418)+EL422*(1-INDEX('Lease Cycles'!$EM$32:$ES$32,1,EL418)),EL421),EL421)</f>
        <v>0</v>
      </c>
      <c r="EM423" s="28">
        <f>IF(EM420=1,IF(INDEX('Lease Cycles'!$EF$32:$EL$32,1,EM418)=1,EM421*INDEX('Lease Cycles'!$EM$32:$ES$32,1,EM418)+EM422*(1-INDEX('Lease Cycles'!$EM$32:$ES$32,1,EM418)),EM421),EM421)</f>
        <v>0</v>
      </c>
      <c r="EN423" s="28">
        <f>IF(EN420=1,IF(INDEX('Lease Cycles'!$EF$32:$EL$32,1,EN418)=1,EN421*INDEX('Lease Cycles'!$EM$32:$ES$32,1,EN418)+EN422*(1-INDEX('Lease Cycles'!$EM$32:$ES$32,1,EN418)),EN421),EN421)</f>
        <v>0</v>
      </c>
      <c r="EO423" s="28">
        <f>IF(EO420=1,IF(INDEX('Lease Cycles'!$EF$32:$EL$32,1,EO418)=1,EO421*INDEX('Lease Cycles'!$EM$32:$ES$32,1,EO418)+EO422*(1-INDEX('Lease Cycles'!$EM$32:$ES$32,1,EO418)),EO421),EO421)</f>
        <v>0</v>
      </c>
      <c r="EP423" s="28">
        <f>IF(EP420=1,IF(INDEX('Lease Cycles'!$EF$32:$EL$32,1,EP418)=1,EP421*INDEX('Lease Cycles'!$EM$32:$ES$32,1,EP418)+EP422*(1-INDEX('Lease Cycles'!$EM$32:$ES$32,1,EP418)),EP421),EP421)</f>
        <v>0</v>
      </c>
      <c r="EQ423" s="28">
        <f>IF(EQ420=1,IF(INDEX('Lease Cycles'!$EF$32:$EL$32,1,EQ418)=1,EQ421*INDEX('Lease Cycles'!$EM$32:$ES$32,1,EQ418)+EQ422*(1-INDEX('Lease Cycles'!$EM$32:$ES$32,1,EQ418)),EQ421),EQ421)</f>
        <v>0</v>
      </c>
      <c r="ER423" s="28">
        <f>IF(ER420=1,IF(INDEX('Lease Cycles'!$EF$32:$EL$32,1,ER418)=1,ER421*INDEX('Lease Cycles'!$EM$32:$ES$32,1,ER418)+ER422*(1-INDEX('Lease Cycles'!$EM$32:$ES$32,1,ER418)),ER421),ER421)</f>
        <v>0</v>
      </c>
      <c r="ES423" s="28">
        <f>IF(ES420=1,IF(INDEX('Lease Cycles'!$EF$32:$EL$32,1,ES418)=1,ES421*INDEX('Lease Cycles'!$EM$32:$ES$32,1,ES418)+ES422*(1-INDEX('Lease Cycles'!$EM$32:$ES$32,1,ES418)),ES421),ES421)</f>
        <v>0</v>
      </c>
      <c r="ET423" s="28">
        <f>IF(ET420=1,IF(INDEX('Lease Cycles'!$EF$32:$EL$32,1,ET418)=1,ET421*INDEX('Lease Cycles'!$EM$32:$ES$32,1,ET418)+ET422*(1-INDEX('Lease Cycles'!$EM$32:$ES$32,1,ET418)),ET421),ET421)</f>
        <v>0</v>
      </c>
    </row>
    <row r="424">
      <c r="A424" s="103">
        <v>25</v>
      </c>
      <c r="B424" s="23" t="str">
        <f>IF('Lease Cycles'!$B$32="","(empty slot)",'Lease Cycles'!$B$32)</f>
        <v>(empty slot)</v>
      </c>
      <c r="C424" s="23" t="s">
        <v>682</v>
      </c>
      <c r="D424" s="104" t="s">
        <v>495</v>
      </c>
      <c r="E424" s="25">
        <f>'Lease Cycles'!$AL$32</f>
        <v>0</v>
      </c>
      <c r="G424" s="28">
        <f>SUM(S424:AD424)</f>
        <v>0</v>
      </c>
      <c r="H424" s="28">
        <f>SUM(AE424:AP424)</f>
        <v>0</v>
      </c>
      <c r="I424" s="28">
        <f>SUM(AQ424:BB424)</f>
        <v>0</v>
      </c>
      <c r="J424" s="28">
        <f>SUM(BC424:BN424)</f>
        <v>0</v>
      </c>
      <c r="K424" s="28">
        <f>SUM(BO424:BZ424)</f>
        <v>0</v>
      </c>
      <c r="L424" s="28">
        <f>SUM(CA424:CL424)</f>
        <v>0</v>
      </c>
      <c r="M424" s="28">
        <f>SUM(CM424:CX424)</f>
        <v>0</v>
      </c>
      <c r="N424" s="28">
        <f>SUM(CY424:DJ424)</f>
        <v>0</v>
      </c>
      <c r="O424" s="28">
        <f>SUM(DK424:DV424)</f>
        <v>0</v>
      </c>
      <c r="P424" s="28">
        <f>SUM(DW424:EH424)</f>
        <v>0</v>
      </c>
      <c r="Q424" s="28">
        <f>SUM(EI424:ET424)</f>
        <v>0</v>
      </c>
      <c r="S424" s="28">
        <f>IF(S420=1,IF(INDEX('Lease Cycles'!$EF$32:$EL$32,1,S418)=1,S421*INDEX('Lease Cycles'!$EM$32:$ES$32,1,S418)+S422*IF(S419&lt;INDEX('Lease Cycles'!$FA$32:$FG$32,1,S418),0,1-INDEX('Lease Cycles'!$EM$32:$ES$32,1,S418)),S421*IF(S419&lt;INDEX('Lease Cycles'!$DK$32:$DQ$32,1,S418),0,IF(S419=INDEX('Lease Cycles'!$DK$32:$DQ$32,1,S418),1-INDEX('Lease Cycles'!$DR$32:$DX$32,1,S418),1))),0)</f>
        <v>0</v>
      </c>
      <c r="T424" s="28">
        <f>IF(T420=1,IF(INDEX('Lease Cycles'!$EF$32:$EL$32,1,T418)=1,T421*INDEX('Lease Cycles'!$EM$32:$ES$32,1,T418)+T422*IF(T419&lt;INDEX('Lease Cycles'!$FA$32:$FG$32,1,T418),0,1-INDEX('Lease Cycles'!$EM$32:$ES$32,1,T418)),T421*IF(T419&lt;INDEX('Lease Cycles'!$DK$32:$DQ$32,1,T418),0,IF(T419=INDEX('Lease Cycles'!$DK$32:$DQ$32,1,T418),1-INDEX('Lease Cycles'!$DR$32:$DX$32,1,T418),1))),0)</f>
        <v>0</v>
      </c>
      <c r="U424" s="28">
        <f>IF(U420=1,IF(INDEX('Lease Cycles'!$EF$32:$EL$32,1,U418)=1,U421*INDEX('Lease Cycles'!$EM$32:$ES$32,1,U418)+U422*IF(U419&lt;INDEX('Lease Cycles'!$FA$32:$FG$32,1,U418),0,1-INDEX('Lease Cycles'!$EM$32:$ES$32,1,U418)),U421*IF(U419&lt;INDEX('Lease Cycles'!$DK$32:$DQ$32,1,U418),0,IF(U419=INDEX('Lease Cycles'!$DK$32:$DQ$32,1,U418),1-INDEX('Lease Cycles'!$DR$32:$DX$32,1,U418),1))),0)</f>
        <v>0</v>
      </c>
      <c r="V424" s="28">
        <f>IF(V420=1,IF(INDEX('Lease Cycles'!$EF$32:$EL$32,1,V418)=1,V421*INDEX('Lease Cycles'!$EM$32:$ES$32,1,V418)+V422*IF(V419&lt;INDEX('Lease Cycles'!$FA$32:$FG$32,1,V418),0,1-INDEX('Lease Cycles'!$EM$32:$ES$32,1,V418)),V421*IF(V419&lt;INDEX('Lease Cycles'!$DK$32:$DQ$32,1,V418),0,IF(V419=INDEX('Lease Cycles'!$DK$32:$DQ$32,1,V418),1-INDEX('Lease Cycles'!$DR$32:$DX$32,1,V418),1))),0)</f>
        <v>0</v>
      </c>
      <c r="W424" s="28">
        <f>IF(W420=1,IF(INDEX('Lease Cycles'!$EF$32:$EL$32,1,W418)=1,W421*INDEX('Lease Cycles'!$EM$32:$ES$32,1,W418)+W422*IF(W419&lt;INDEX('Lease Cycles'!$FA$32:$FG$32,1,W418),0,1-INDEX('Lease Cycles'!$EM$32:$ES$32,1,W418)),W421*IF(W419&lt;INDEX('Lease Cycles'!$DK$32:$DQ$32,1,W418),0,IF(W419=INDEX('Lease Cycles'!$DK$32:$DQ$32,1,W418),1-INDEX('Lease Cycles'!$DR$32:$DX$32,1,W418),1))),0)</f>
        <v>0</v>
      </c>
      <c r="X424" s="28">
        <f>IF(X420=1,IF(INDEX('Lease Cycles'!$EF$32:$EL$32,1,X418)=1,X421*INDEX('Lease Cycles'!$EM$32:$ES$32,1,X418)+X422*IF(X419&lt;INDEX('Lease Cycles'!$FA$32:$FG$32,1,X418),0,1-INDEX('Lease Cycles'!$EM$32:$ES$32,1,X418)),X421*IF(X419&lt;INDEX('Lease Cycles'!$DK$32:$DQ$32,1,X418),0,IF(X419=INDEX('Lease Cycles'!$DK$32:$DQ$32,1,X418),1-INDEX('Lease Cycles'!$DR$32:$DX$32,1,X418),1))),0)</f>
        <v>0</v>
      </c>
      <c r="Y424" s="28">
        <f>IF(Y420=1,IF(INDEX('Lease Cycles'!$EF$32:$EL$32,1,Y418)=1,Y421*INDEX('Lease Cycles'!$EM$32:$ES$32,1,Y418)+Y422*IF(Y419&lt;INDEX('Lease Cycles'!$FA$32:$FG$32,1,Y418),0,1-INDEX('Lease Cycles'!$EM$32:$ES$32,1,Y418)),Y421*IF(Y419&lt;INDEX('Lease Cycles'!$DK$32:$DQ$32,1,Y418),0,IF(Y419=INDEX('Lease Cycles'!$DK$32:$DQ$32,1,Y418),1-INDEX('Lease Cycles'!$DR$32:$DX$32,1,Y418),1))),0)</f>
        <v>0</v>
      </c>
      <c r="Z424" s="28">
        <f>IF(Z420=1,IF(INDEX('Lease Cycles'!$EF$32:$EL$32,1,Z418)=1,Z421*INDEX('Lease Cycles'!$EM$32:$ES$32,1,Z418)+Z422*IF(Z419&lt;INDEX('Lease Cycles'!$FA$32:$FG$32,1,Z418),0,1-INDEX('Lease Cycles'!$EM$32:$ES$32,1,Z418)),Z421*IF(Z419&lt;INDEX('Lease Cycles'!$DK$32:$DQ$32,1,Z418),0,IF(Z419=INDEX('Lease Cycles'!$DK$32:$DQ$32,1,Z418),1-INDEX('Lease Cycles'!$DR$32:$DX$32,1,Z418),1))),0)</f>
        <v>0</v>
      </c>
      <c r="AA424" s="28">
        <f>IF(AA420=1,IF(INDEX('Lease Cycles'!$EF$32:$EL$32,1,AA418)=1,AA421*INDEX('Lease Cycles'!$EM$32:$ES$32,1,AA418)+AA422*IF(AA419&lt;INDEX('Lease Cycles'!$FA$32:$FG$32,1,AA418),0,1-INDEX('Lease Cycles'!$EM$32:$ES$32,1,AA418)),AA421*IF(AA419&lt;INDEX('Lease Cycles'!$DK$32:$DQ$32,1,AA418),0,IF(AA419=INDEX('Lease Cycles'!$DK$32:$DQ$32,1,AA418),1-INDEX('Lease Cycles'!$DR$32:$DX$32,1,AA418),1))),0)</f>
        <v>0</v>
      </c>
      <c r="AB424" s="28">
        <f>IF(AB420=1,IF(INDEX('Lease Cycles'!$EF$32:$EL$32,1,AB418)=1,AB421*INDEX('Lease Cycles'!$EM$32:$ES$32,1,AB418)+AB422*IF(AB419&lt;INDEX('Lease Cycles'!$FA$32:$FG$32,1,AB418),0,1-INDEX('Lease Cycles'!$EM$32:$ES$32,1,AB418)),AB421*IF(AB419&lt;INDEX('Lease Cycles'!$DK$32:$DQ$32,1,AB418),0,IF(AB419=INDEX('Lease Cycles'!$DK$32:$DQ$32,1,AB418),1-INDEX('Lease Cycles'!$DR$32:$DX$32,1,AB418),1))),0)</f>
        <v>0</v>
      </c>
      <c r="AC424" s="28">
        <f>IF(AC420=1,IF(INDEX('Lease Cycles'!$EF$32:$EL$32,1,AC418)=1,AC421*INDEX('Lease Cycles'!$EM$32:$ES$32,1,AC418)+AC422*IF(AC419&lt;INDEX('Lease Cycles'!$FA$32:$FG$32,1,AC418),0,1-INDEX('Lease Cycles'!$EM$32:$ES$32,1,AC418)),AC421*IF(AC419&lt;INDEX('Lease Cycles'!$DK$32:$DQ$32,1,AC418),0,IF(AC419=INDEX('Lease Cycles'!$DK$32:$DQ$32,1,AC418),1-INDEX('Lease Cycles'!$DR$32:$DX$32,1,AC418),1))),0)</f>
        <v>0</v>
      </c>
      <c r="AD424" s="28">
        <f>IF(AD420=1,IF(INDEX('Lease Cycles'!$EF$32:$EL$32,1,AD418)=1,AD421*INDEX('Lease Cycles'!$EM$32:$ES$32,1,AD418)+AD422*IF(AD419&lt;INDEX('Lease Cycles'!$FA$32:$FG$32,1,AD418),0,1-INDEX('Lease Cycles'!$EM$32:$ES$32,1,AD418)),AD421*IF(AD419&lt;INDEX('Lease Cycles'!$DK$32:$DQ$32,1,AD418),0,IF(AD419=INDEX('Lease Cycles'!$DK$32:$DQ$32,1,AD418),1-INDEX('Lease Cycles'!$DR$32:$DX$32,1,AD418),1))),0)</f>
        <v>0</v>
      </c>
      <c r="AE424" s="28">
        <f>IF(AE420=1,IF(INDEX('Lease Cycles'!$EF$32:$EL$32,1,AE418)=1,AE421*INDEX('Lease Cycles'!$EM$32:$ES$32,1,AE418)+AE422*IF(AE419&lt;INDEX('Lease Cycles'!$FA$32:$FG$32,1,AE418),0,1-INDEX('Lease Cycles'!$EM$32:$ES$32,1,AE418)),AE421*IF(AE419&lt;INDEX('Lease Cycles'!$DK$32:$DQ$32,1,AE418),0,IF(AE419=INDEX('Lease Cycles'!$DK$32:$DQ$32,1,AE418),1-INDEX('Lease Cycles'!$DR$32:$DX$32,1,AE418),1))),0)</f>
        <v>0</v>
      </c>
      <c r="AF424" s="28">
        <f>IF(AF420=1,IF(INDEX('Lease Cycles'!$EF$32:$EL$32,1,AF418)=1,AF421*INDEX('Lease Cycles'!$EM$32:$ES$32,1,AF418)+AF422*IF(AF419&lt;INDEX('Lease Cycles'!$FA$32:$FG$32,1,AF418),0,1-INDEX('Lease Cycles'!$EM$32:$ES$32,1,AF418)),AF421*IF(AF419&lt;INDEX('Lease Cycles'!$DK$32:$DQ$32,1,AF418),0,IF(AF419=INDEX('Lease Cycles'!$DK$32:$DQ$32,1,AF418),1-INDEX('Lease Cycles'!$DR$32:$DX$32,1,AF418),1))),0)</f>
        <v>0</v>
      </c>
      <c r="AG424" s="28">
        <f>IF(AG420=1,IF(INDEX('Lease Cycles'!$EF$32:$EL$32,1,AG418)=1,AG421*INDEX('Lease Cycles'!$EM$32:$ES$32,1,AG418)+AG422*IF(AG419&lt;INDEX('Lease Cycles'!$FA$32:$FG$32,1,AG418),0,1-INDEX('Lease Cycles'!$EM$32:$ES$32,1,AG418)),AG421*IF(AG419&lt;INDEX('Lease Cycles'!$DK$32:$DQ$32,1,AG418),0,IF(AG419=INDEX('Lease Cycles'!$DK$32:$DQ$32,1,AG418),1-INDEX('Lease Cycles'!$DR$32:$DX$32,1,AG418),1))),0)</f>
        <v>0</v>
      </c>
      <c r="AH424" s="28">
        <f>IF(AH420=1,IF(INDEX('Lease Cycles'!$EF$32:$EL$32,1,AH418)=1,AH421*INDEX('Lease Cycles'!$EM$32:$ES$32,1,AH418)+AH422*IF(AH419&lt;INDEX('Lease Cycles'!$FA$32:$FG$32,1,AH418),0,1-INDEX('Lease Cycles'!$EM$32:$ES$32,1,AH418)),AH421*IF(AH419&lt;INDEX('Lease Cycles'!$DK$32:$DQ$32,1,AH418),0,IF(AH419=INDEX('Lease Cycles'!$DK$32:$DQ$32,1,AH418),1-INDEX('Lease Cycles'!$DR$32:$DX$32,1,AH418),1))),0)</f>
        <v>0</v>
      </c>
      <c r="AI424" s="28">
        <f>IF(AI420=1,IF(INDEX('Lease Cycles'!$EF$32:$EL$32,1,AI418)=1,AI421*INDEX('Lease Cycles'!$EM$32:$ES$32,1,AI418)+AI422*IF(AI419&lt;INDEX('Lease Cycles'!$FA$32:$FG$32,1,AI418),0,1-INDEX('Lease Cycles'!$EM$32:$ES$32,1,AI418)),AI421*IF(AI419&lt;INDEX('Lease Cycles'!$DK$32:$DQ$32,1,AI418),0,IF(AI419=INDEX('Lease Cycles'!$DK$32:$DQ$32,1,AI418),1-INDEX('Lease Cycles'!$DR$32:$DX$32,1,AI418),1))),0)</f>
        <v>0</v>
      </c>
      <c r="AJ424" s="28">
        <f>IF(AJ420=1,IF(INDEX('Lease Cycles'!$EF$32:$EL$32,1,AJ418)=1,AJ421*INDEX('Lease Cycles'!$EM$32:$ES$32,1,AJ418)+AJ422*IF(AJ419&lt;INDEX('Lease Cycles'!$FA$32:$FG$32,1,AJ418),0,1-INDEX('Lease Cycles'!$EM$32:$ES$32,1,AJ418)),AJ421*IF(AJ419&lt;INDEX('Lease Cycles'!$DK$32:$DQ$32,1,AJ418),0,IF(AJ419=INDEX('Lease Cycles'!$DK$32:$DQ$32,1,AJ418),1-INDEX('Lease Cycles'!$DR$32:$DX$32,1,AJ418),1))),0)</f>
        <v>0</v>
      </c>
      <c r="AK424" s="28">
        <f>IF(AK420=1,IF(INDEX('Lease Cycles'!$EF$32:$EL$32,1,AK418)=1,AK421*INDEX('Lease Cycles'!$EM$32:$ES$32,1,AK418)+AK422*IF(AK419&lt;INDEX('Lease Cycles'!$FA$32:$FG$32,1,AK418),0,1-INDEX('Lease Cycles'!$EM$32:$ES$32,1,AK418)),AK421*IF(AK419&lt;INDEX('Lease Cycles'!$DK$32:$DQ$32,1,AK418),0,IF(AK419=INDEX('Lease Cycles'!$DK$32:$DQ$32,1,AK418),1-INDEX('Lease Cycles'!$DR$32:$DX$32,1,AK418),1))),0)</f>
        <v>0</v>
      </c>
      <c r="AL424" s="28">
        <f>IF(AL420=1,IF(INDEX('Lease Cycles'!$EF$32:$EL$32,1,AL418)=1,AL421*INDEX('Lease Cycles'!$EM$32:$ES$32,1,AL418)+AL422*IF(AL419&lt;INDEX('Lease Cycles'!$FA$32:$FG$32,1,AL418),0,1-INDEX('Lease Cycles'!$EM$32:$ES$32,1,AL418)),AL421*IF(AL419&lt;INDEX('Lease Cycles'!$DK$32:$DQ$32,1,AL418),0,IF(AL419=INDEX('Lease Cycles'!$DK$32:$DQ$32,1,AL418),1-INDEX('Lease Cycles'!$DR$32:$DX$32,1,AL418),1))),0)</f>
        <v>0</v>
      </c>
      <c r="AM424" s="28">
        <f>IF(AM420=1,IF(INDEX('Lease Cycles'!$EF$32:$EL$32,1,AM418)=1,AM421*INDEX('Lease Cycles'!$EM$32:$ES$32,1,AM418)+AM422*IF(AM419&lt;INDEX('Lease Cycles'!$FA$32:$FG$32,1,AM418),0,1-INDEX('Lease Cycles'!$EM$32:$ES$32,1,AM418)),AM421*IF(AM419&lt;INDEX('Lease Cycles'!$DK$32:$DQ$32,1,AM418),0,IF(AM419=INDEX('Lease Cycles'!$DK$32:$DQ$32,1,AM418),1-INDEX('Lease Cycles'!$DR$32:$DX$32,1,AM418),1))),0)</f>
        <v>0</v>
      </c>
      <c r="AN424" s="28">
        <f>IF(AN420=1,IF(INDEX('Lease Cycles'!$EF$32:$EL$32,1,AN418)=1,AN421*INDEX('Lease Cycles'!$EM$32:$ES$32,1,AN418)+AN422*IF(AN419&lt;INDEX('Lease Cycles'!$FA$32:$FG$32,1,AN418),0,1-INDEX('Lease Cycles'!$EM$32:$ES$32,1,AN418)),AN421*IF(AN419&lt;INDEX('Lease Cycles'!$DK$32:$DQ$32,1,AN418),0,IF(AN419=INDEX('Lease Cycles'!$DK$32:$DQ$32,1,AN418),1-INDEX('Lease Cycles'!$DR$32:$DX$32,1,AN418),1))),0)</f>
        <v>0</v>
      </c>
      <c r="AO424" s="28">
        <f>IF(AO420=1,IF(INDEX('Lease Cycles'!$EF$32:$EL$32,1,AO418)=1,AO421*INDEX('Lease Cycles'!$EM$32:$ES$32,1,AO418)+AO422*IF(AO419&lt;INDEX('Lease Cycles'!$FA$32:$FG$32,1,AO418),0,1-INDEX('Lease Cycles'!$EM$32:$ES$32,1,AO418)),AO421*IF(AO419&lt;INDEX('Lease Cycles'!$DK$32:$DQ$32,1,AO418),0,IF(AO419=INDEX('Lease Cycles'!$DK$32:$DQ$32,1,AO418),1-INDEX('Lease Cycles'!$DR$32:$DX$32,1,AO418),1))),0)</f>
        <v>0</v>
      </c>
      <c r="AP424" s="28">
        <f>IF(AP420=1,IF(INDEX('Lease Cycles'!$EF$32:$EL$32,1,AP418)=1,AP421*INDEX('Lease Cycles'!$EM$32:$ES$32,1,AP418)+AP422*IF(AP419&lt;INDEX('Lease Cycles'!$FA$32:$FG$32,1,AP418),0,1-INDEX('Lease Cycles'!$EM$32:$ES$32,1,AP418)),AP421*IF(AP419&lt;INDEX('Lease Cycles'!$DK$32:$DQ$32,1,AP418),0,IF(AP419=INDEX('Lease Cycles'!$DK$32:$DQ$32,1,AP418),1-INDEX('Lease Cycles'!$DR$32:$DX$32,1,AP418),1))),0)</f>
        <v>0</v>
      </c>
      <c r="AQ424" s="28">
        <f>IF(AQ420=1,IF(INDEX('Lease Cycles'!$EF$32:$EL$32,1,AQ418)=1,AQ421*INDEX('Lease Cycles'!$EM$32:$ES$32,1,AQ418)+AQ422*IF(AQ419&lt;INDEX('Lease Cycles'!$FA$32:$FG$32,1,AQ418),0,1-INDEX('Lease Cycles'!$EM$32:$ES$32,1,AQ418)),AQ421*IF(AQ419&lt;INDEX('Lease Cycles'!$DK$32:$DQ$32,1,AQ418),0,IF(AQ419=INDEX('Lease Cycles'!$DK$32:$DQ$32,1,AQ418),1-INDEX('Lease Cycles'!$DR$32:$DX$32,1,AQ418),1))),0)</f>
        <v>0</v>
      </c>
      <c r="AR424" s="28">
        <f>IF(AR420=1,IF(INDEX('Lease Cycles'!$EF$32:$EL$32,1,AR418)=1,AR421*INDEX('Lease Cycles'!$EM$32:$ES$32,1,AR418)+AR422*IF(AR419&lt;INDEX('Lease Cycles'!$FA$32:$FG$32,1,AR418),0,1-INDEX('Lease Cycles'!$EM$32:$ES$32,1,AR418)),AR421*IF(AR419&lt;INDEX('Lease Cycles'!$DK$32:$DQ$32,1,AR418),0,IF(AR419=INDEX('Lease Cycles'!$DK$32:$DQ$32,1,AR418),1-INDEX('Lease Cycles'!$DR$32:$DX$32,1,AR418),1))),0)</f>
        <v>0</v>
      </c>
      <c r="AS424" s="28">
        <f>IF(AS420=1,IF(INDEX('Lease Cycles'!$EF$32:$EL$32,1,AS418)=1,AS421*INDEX('Lease Cycles'!$EM$32:$ES$32,1,AS418)+AS422*IF(AS419&lt;INDEX('Lease Cycles'!$FA$32:$FG$32,1,AS418),0,1-INDEX('Lease Cycles'!$EM$32:$ES$32,1,AS418)),AS421*IF(AS419&lt;INDEX('Lease Cycles'!$DK$32:$DQ$32,1,AS418),0,IF(AS419=INDEX('Lease Cycles'!$DK$32:$DQ$32,1,AS418),1-INDEX('Lease Cycles'!$DR$32:$DX$32,1,AS418),1))),0)</f>
        <v>0</v>
      </c>
      <c r="AT424" s="28">
        <f>IF(AT420=1,IF(INDEX('Lease Cycles'!$EF$32:$EL$32,1,AT418)=1,AT421*INDEX('Lease Cycles'!$EM$32:$ES$32,1,AT418)+AT422*IF(AT419&lt;INDEX('Lease Cycles'!$FA$32:$FG$32,1,AT418),0,1-INDEX('Lease Cycles'!$EM$32:$ES$32,1,AT418)),AT421*IF(AT419&lt;INDEX('Lease Cycles'!$DK$32:$DQ$32,1,AT418),0,IF(AT419=INDEX('Lease Cycles'!$DK$32:$DQ$32,1,AT418),1-INDEX('Lease Cycles'!$DR$32:$DX$32,1,AT418),1))),0)</f>
        <v>0</v>
      </c>
      <c r="AU424" s="28">
        <f>IF(AU420=1,IF(INDEX('Lease Cycles'!$EF$32:$EL$32,1,AU418)=1,AU421*INDEX('Lease Cycles'!$EM$32:$ES$32,1,AU418)+AU422*IF(AU419&lt;INDEX('Lease Cycles'!$FA$32:$FG$32,1,AU418),0,1-INDEX('Lease Cycles'!$EM$32:$ES$32,1,AU418)),AU421*IF(AU419&lt;INDEX('Lease Cycles'!$DK$32:$DQ$32,1,AU418),0,IF(AU419=INDEX('Lease Cycles'!$DK$32:$DQ$32,1,AU418),1-INDEX('Lease Cycles'!$DR$32:$DX$32,1,AU418),1))),0)</f>
        <v>0</v>
      </c>
      <c r="AV424" s="28">
        <f>IF(AV420=1,IF(INDEX('Lease Cycles'!$EF$32:$EL$32,1,AV418)=1,AV421*INDEX('Lease Cycles'!$EM$32:$ES$32,1,AV418)+AV422*IF(AV419&lt;INDEX('Lease Cycles'!$FA$32:$FG$32,1,AV418),0,1-INDEX('Lease Cycles'!$EM$32:$ES$32,1,AV418)),AV421*IF(AV419&lt;INDEX('Lease Cycles'!$DK$32:$DQ$32,1,AV418),0,IF(AV419=INDEX('Lease Cycles'!$DK$32:$DQ$32,1,AV418),1-INDEX('Lease Cycles'!$DR$32:$DX$32,1,AV418),1))),0)</f>
        <v>0</v>
      </c>
      <c r="AW424" s="28">
        <f>IF(AW420=1,IF(INDEX('Lease Cycles'!$EF$32:$EL$32,1,AW418)=1,AW421*INDEX('Lease Cycles'!$EM$32:$ES$32,1,AW418)+AW422*IF(AW419&lt;INDEX('Lease Cycles'!$FA$32:$FG$32,1,AW418),0,1-INDEX('Lease Cycles'!$EM$32:$ES$32,1,AW418)),AW421*IF(AW419&lt;INDEX('Lease Cycles'!$DK$32:$DQ$32,1,AW418),0,IF(AW419=INDEX('Lease Cycles'!$DK$32:$DQ$32,1,AW418),1-INDEX('Lease Cycles'!$DR$32:$DX$32,1,AW418),1))),0)</f>
        <v>0</v>
      </c>
      <c r="AX424" s="28">
        <f>IF(AX420=1,IF(INDEX('Lease Cycles'!$EF$32:$EL$32,1,AX418)=1,AX421*INDEX('Lease Cycles'!$EM$32:$ES$32,1,AX418)+AX422*IF(AX419&lt;INDEX('Lease Cycles'!$FA$32:$FG$32,1,AX418),0,1-INDEX('Lease Cycles'!$EM$32:$ES$32,1,AX418)),AX421*IF(AX419&lt;INDEX('Lease Cycles'!$DK$32:$DQ$32,1,AX418),0,IF(AX419=INDEX('Lease Cycles'!$DK$32:$DQ$32,1,AX418),1-INDEX('Lease Cycles'!$DR$32:$DX$32,1,AX418),1))),0)</f>
        <v>0</v>
      </c>
      <c r="AY424" s="28">
        <f>IF(AY420=1,IF(INDEX('Lease Cycles'!$EF$32:$EL$32,1,AY418)=1,AY421*INDEX('Lease Cycles'!$EM$32:$ES$32,1,AY418)+AY422*IF(AY419&lt;INDEX('Lease Cycles'!$FA$32:$FG$32,1,AY418),0,1-INDEX('Lease Cycles'!$EM$32:$ES$32,1,AY418)),AY421*IF(AY419&lt;INDEX('Lease Cycles'!$DK$32:$DQ$32,1,AY418),0,IF(AY419=INDEX('Lease Cycles'!$DK$32:$DQ$32,1,AY418),1-INDEX('Lease Cycles'!$DR$32:$DX$32,1,AY418),1))),0)</f>
        <v>0</v>
      </c>
      <c r="AZ424" s="28">
        <f>IF(AZ420=1,IF(INDEX('Lease Cycles'!$EF$32:$EL$32,1,AZ418)=1,AZ421*INDEX('Lease Cycles'!$EM$32:$ES$32,1,AZ418)+AZ422*IF(AZ419&lt;INDEX('Lease Cycles'!$FA$32:$FG$32,1,AZ418),0,1-INDEX('Lease Cycles'!$EM$32:$ES$32,1,AZ418)),AZ421*IF(AZ419&lt;INDEX('Lease Cycles'!$DK$32:$DQ$32,1,AZ418),0,IF(AZ419=INDEX('Lease Cycles'!$DK$32:$DQ$32,1,AZ418),1-INDEX('Lease Cycles'!$DR$32:$DX$32,1,AZ418),1))),0)</f>
        <v>0</v>
      </c>
      <c r="BA424" s="28">
        <f>IF(BA420=1,IF(INDEX('Lease Cycles'!$EF$32:$EL$32,1,BA418)=1,BA421*INDEX('Lease Cycles'!$EM$32:$ES$32,1,BA418)+BA422*IF(BA419&lt;INDEX('Lease Cycles'!$FA$32:$FG$32,1,BA418),0,1-INDEX('Lease Cycles'!$EM$32:$ES$32,1,BA418)),BA421*IF(BA419&lt;INDEX('Lease Cycles'!$DK$32:$DQ$32,1,BA418),0,IF(BA419=INDEX('Lease Cycles'!$DK$32:$DQ$32,1,BA418),1-INDEX('Lease Cycles'!$DR$32:$DX$32,1,BA418),1))),0)</f>
        <v>0</v>
      </c>
      <c r="BB424" s="28">
        <f>IF(BB420=1,IF(INDEX('Lease Cycles'!$EF$32:$EL$32,1,BB418)=1,BB421*INDEX('Lease Cycles'!$EM$32:$ES$32,1,BB418)+BB422*IF(BB419&lt;INDEX('Lease Cycles'!$FA$32:$FG$32,1,BB418),0,1-INDEX('Lease Cycles'!$EM$32:$ES$32,1,BB418)),BB421*IF(BB419&lt;INDEX('Lease Cycles'!$DK$32:$DQ$32,1,BB418),0,IF(BB419=INDEX('Lease Cycles'!$DK$32:$DQ$32,1,BB418),1-INDEX('Lease Cycles'!$DR$32:$DX$32,1,BB418),1))),0)</f>
        <v>0</v>
      </c>
      <c r="BC424" s="28">
        <f>IF(BC420=1,IF(INDEX('Lease Cycles'!$EF$32:$EL$32,1,BC418)=1,BC421*INDEX('Lease Cycles'!$EM$32:$ES$32,1,BC418)+BC422*IF(BC419&lt;INDEX('Lease Cycles'!$FA$32:$FG$32,1,BC418),0,1-INDEX('Lease Cycles'!$EM$32:$ES$32,1,BC418)),BC421*IF(BC419&lt;INDEX('Lease Cycles'!$DK$32:$DQ$32,1,BC418),0,IF(BC419=INDEX('Lease Cycles'!$DK$32:$DQ$32,1,BC418),1-INDEX('Lease Cycles'!$DR$32:$DX$32,1,BC418),1))),0)</f>
        <v>0</v>
      </c>
      <c r="BD424" s="28">
        <f>IF(BD420=1,IF(INDEX('Lease Cycles'!$EF$32:$EL$32,1,BD418)=1,BD421*INDEX('Lease Cycles'!$EM$32:$ES$32,1,BD418)+BD422*IF(BD419&lt;INDEX('Lease Cycles'!$FA$32:$FG$32,1,BD418),0,1-INDEX('Lease Cycles'!$EM$32:$ES$32,1,BD418)),BD421*IF(BD419&lt;INDEX('Lease Cycles'!$DK$32:$DQ$32,1,BD418),0,IF(BD419=INDEX('Lease Cycles'!$DK$32:$DQ$32,1,BD418),1-INDEX('Lease Cycles'!$DR$32:$DX$32,1,BD418),1))),0)</f>
        <v>0</v>
      </c>
      <c r="BE424" s="28">
        <f>IF(BE420=1,IF(INDEX('Lease Cycles'!$EF$32:$EL$32,1,BE418)=1,BE421*INDEX('Lease Cycles'!$EM$32:$ES$32,1,BE418)+BE422*IF(BE419&lt;INDEX('Lease Cycles'!$FA$32:$FG$32,1,BE418),0,1-INDEX('Lease Cycles'!$EM$32:$ES$32,1,BE418)),BE421*IF(BE419&lt;INDEX('Lease Cycles'!$DK$32:$DQ$32,1,BE418),0,IF(BE419=INDEX('Lease Cycles'!$DK$32:$DQ$32,1,BE418),1-INDEX('Lease Cycles'!$DR$32:$DX$32,1,BE418),1))),0)</f>
        <v>0</v>
      </c>
      <c r="BF424" s="28">
        <f>IF(BF420=1,IF(INDEX('Lease Cycles'!$EF$32:$EL$32,1,BF418)=1,BF421*INDEX('Lease Cycles'!$EM$32:$ES$32,1,BF418)+BF422*IF(BF419&lt;INDEX('Lease Cycles'!$FA$32:$FG$32,1,BF418),0,1-INDEX('Lease Cycles'!$EM$32:$ES$32,1,BF418)),BF421*IF(BF419&lt;INDEX('Lease Cycles'!$DK$32:$DQ$32,1,BF418),0,IF(BF419=INDEX('Lease Cycles'!$DK$32:$DQ$32,1,BF418),1-INDEX('Lease Cycles'!$DR$32:$DX$32,1,BF418),1))),0)</f>
        <v>0</v>
      </c>
      <c r="BG424" s="28">
        <f>IF(BG420=1,IF(INDEX('Lease Cycles'!$EF$32:$EL$32,1,BG418)=1,BG421*INDEX('Lease Cycles'!$EM$32:$ES$32,1,BG418)+BG422*IF(BG419&lt;INDEX('Lease Cycles'!$FA$32:$FG$32,1,BG418),0,1-INDEX('Lease Cycles'!$EM$32:$ES$32,1,BG418)),BG421*IF(BG419&lt;INDEX('Lease Cycles'!$DK$32:$DQ$32,1,BG418),0,IF(BG419=INDEX('Lease Cycles'!$DK$32:$DQ$32,1,BG418),1-INDEX('Lease Cycles'!$DR$32:$DX$32,1,BG418),1))),0)</f>
        <v>0</v>
      </c>
      <c r="BH424" s="28">
        <f>IF(BH420=1,IF(INDEX('Lease Cycles'!$EF$32:$EL$32,1,BH418)=1,BH421*INDEX('Lease Cycles'!$EM$32:$ES$32,1,BH418)+BH422*IF(BH419&lt;INDEX('Lease Cycles'!$FA$32:$FG$32,1,BH418),0,1-INDEX('Lease Cycles'!$EM$32:$ES$32,1,BH418)),BH421*IF(BH419&lt;INDEX('Lease Cycles'!$DK$32:$DQ$32,1,BH418),0,IF(BH419=INDEX('Lease Cycles'!$DK$32:$DQ$32,1,BH418),1-INDEX('Lease Cycles'!$DR$32:$DX$32,1,BH418),1))),0)</f>
        <v>0</v>
      </c>
      <c r="BI424" s="28">
        <f>IF(BI420=1,IF(INDEX('Lease Cycles'!$EF$32:$EL$32,1,BI418)=1,BI421*INDEX('Lease Cycles'!$EM$32:$ES$32,1,BI418)+BI422*IF(BI419&lt;INDEX('Lease Cycles'!$FA$32:$FG$32,1,BI418),0,1-INDEX('Lease Cycles'!$EM$32:$ES$32,1,BI418)),BI421*IF(BI419&lt;INDEX('Lease Cycles'!$DK$32:$DQ$32,1,BI418),0,IF(BI419=INDEX('Lease Cycles'!$DK$32:$DQ$32,1,BI418),1-INDEX('Lease Cycles'!$DR$32:$DX$32,1,BI418),1))),0)</f>
        <v>0</v>
      </c>
      <c r="BJ424" s="28">
        <f>IF(BJ420=1,IF(INDEX('Lease Cycles'!$EF$32:$EL$32,1,BJ418)=1,BJ421*INDEX('Lease Cycles'!$EM$32:$ES$32,1,BJ418)+BJ422*IF(BJ419&lt;INDEX('Lease Cycles'!$FA$32:$FG$32,1,BJ418),0,1-INDEX('Lease Cycles'!$EM$32:$ES$32,1,BJ418)),BJ421*IF(BJ419&lt;INDEX('Lease Cycles'!$DK$32:$DQ$32,1,BJ418),0,IF(BJ419=INDEX('Lease Cycles'!$DK$32:$DQ$32,1,BJ418),1-INDEX('Lease Cycles'!$DR$32:$DX$32,1,BJ418),1))),0)</f>
        <v>0</v>
      </c>
      <c r="BK424" s="28">
        <f>IF(BK420=1,IF(INDEX('Lease Cycles'!$EF$32:$EL$32,1,BK418)=1,BK421*INDEX('Lease Cycles'!$EM$32:$ES$32,1,BK418)+BK422*IF(BK419&lt;INDEX('Lease Cycles'!$FA$32:$FG$32,1,BK418),0,1-INDEX('Lease Cycles'!$EM$32:$ES$32,1,BK418)),BK421*IF(BK419&lt;INDEX('Lease Cycles'!$DK$32:$DQ$32,1,BK418),0,IF(BK419=INDEX('Lease Cycles'!$DK$32:$DQ$32,1,BK418),1-INDEX('Lease Cycles'!$DR$32:$DX$32,1,BK418),1))),0)</f>
        <v>0</v>
      </c>
      <c r="BL424" s="28">
        <f>IF(BL420=1,IF(INDEX('Lease Cycles'!$EF$32:$EL$32,1,BL418)=1,BL421*INDEX('Lease Cycles'!$EM$32:$ES$32,1,BL418)+BL422*IF(BL419&lt;INDEX('Lease Cycles'!$FA$32:$FG$32,1,BL418),0,1-INDEX('Lease Cycles'!$EM$32:$ES$32,1,BL418)),BL421*IF(BL419&lt;INDEX('Lease Cycles'!$DK$32:$DQ$32,1,BL418),0,IF(BL419=INDEX('Lease Cycles'!$DK$32:$DQ$32,1,BL418),1-INDEX('Lease Cycles'!$DR$32:$DX$32,1,BL418),1))),0)</f>
        <v>0</v>
      </c>
      <c r="BM424" s="28">
        <f>IF(BM420=1,IF(INDEX('Lease Cycles'!$EF$32:$EL$32,1,BM418)=1,BM421*INDEX('Lease Cycles'!$EM$32:$ES$32,1,BM418)+BM422*IF(BM419&lt;INDEX('Lease Cycles'!$FA$32:$FG$32,1,BM418),0,1-INDEX('Lease Cycles'!$EM$32:$ES$32,1,BM418)),BM421*IF(BM419&lt;INDEX('Lease Cycles'!$DK$32:$DQ$32,1,BM418),0,IF(BM419=INDEX('Lease Cycles'!$DK$32:$DQ$32,1,BM418),1-INDEX('Lease Cycles'!$DR$32:$DX$32,1,BM418),1))),0)</f>
        <v>0</v>
      </c>
      <c r="BN424" s="28">
        <f>IF(BN420=1,IF(INDEX('Lease Cycles'!$EF$32:$EL$32,1,BN418)=1,BN421*INDEX('Lease Cycles'!$EM$32:$ES$32,1,BN418)+BN422*IF(BN419&lt;INDEX('Lease Cycles'!$FA$32:$FG$32,1,BN418),0,1-INDEX('Lease Cycles'!$EM$32:$ES$32,1,BN418)),BN421*IF(BN419&lt;INDEX('Lease Cycles'!$DK$32:$DQ$32,1,BN418),0,IF(BN419=INDEX('Lease Cycles'!$DK$32:$DQ$32,1,BN418),1-INDEX('Lease Cycles'!$DR$32:$DX$32,1,BN418),1))),0)</f>
        <v>0</v>
      </c>
      <c r="BO424" s="28">
        <f>IF(BO420=1,IF(INDEX('Lease Cycles'!$EF$32:$EL$32,1,BO418)=1,BO421*INDEX('Lease Cycles'!$EM$32:$ES$32,1,BO418)+BO422*IF(BO419&lt;INDEX('Lease Cycles'!$FA$32:$FG$32,1,BO418),0,1-INDEX('Lease Cycles'!$EM$32:$ES$32,1,BO418)),BO421*IF(BO419&lt;INDEX('Lease Cycles'!$DK$32:$DQ$32,1,BO418),0,IF(BO419=INDEX('Lease Cycles'!$DK$32:$DQ$32,1,BO418),1-INDEX('Lease Cycles'!$DR$32:$DX$32,1,BO418),1))),0)</f>
        <v>0</v>
      </c>
      <c r="BP424" s="28">
        <f>IF(BP420=1,IF(INDEX('Lease Cycles'!$EF$32:$EL$32,1,BP418)=1,BP421*INDEX('Lease Cycles'!$EM$32:$ES$32,1,BP418)+BP422*IF(BP419&lt;INDEX('Lease Cycles'!$FA$32:$FG$32,1,BP418),0,1-INDEX('Lease Cycles'!$EM$32:$ES$32,1,BP418)),BP421*IF(BP419&lt;INDEX('Lease Cycles'!$DK$32:$DQ$32,1,BP418),0,IF(BP419=INDEX('Lease Cycles'!$DK$32:$DQ$32,1,BP418),1-INDEX('Lease Cycles'!$DR$32:$DX$32,1,BP418),1))),0)</f>
        <v>0</v>
      </c>
      <c r="BQ424" s="28">
        <f>IF(BQ420=1,IF(INDEX('Lease Cycles'!$EF$32:$EL$32,1,BQ418)=1,BQ421*INDEX('Lease Cycles'!$EM$32:$ES$32,1,BQ418)+BQ422*IF(BQ419&lt;INDEX('Lease Cycles'!$FA$32:$FG$32,1,BQ418),0,1-INDEX('Lease Cycles'!$EM$32:$ES$32,1,BQ418)),BQ421*IF(BQ419&lt;INDEX('Lease Cycles'!$DK$32:$DQ$32,1,BQ418),0,IF(BQ419=INDEX('Lease Cycles'!$DK$32:$DQ$32,1,BQ418),1-INDEX('Lease Cycles'!$DR$32:$DX$32,1,BQ418),1))),0)</f>
        <v>0</v>
      </c>
      <c r="BR424" s="28">
        <f>IF(BR420=1,IF(INDEX('Lease Cycles'!$EF$32:$EL$32,1,BR418)=1,BR421*INDEX('Lease Cycles'!$EM$32:$ES$32,1,BR418)+BR422*IF(BR419&lt;INDEX('Lease Cycles'!$FA$32:$FG$32,1,BR418),0,1-INDEX('Lease Cycles'!$EM$32:$ES$32,1,BR418)),BR421*IF(BR419&lt;INDEX('Lease Cycles'!$DK$32:$DQ$32,1,BR418),0,IF(BR419=INDEX('Lease Cycles'!$DK$32:$DQ$32,1,BR418),1-INDEX('Lease Cycles'!$DR$32:$DX$32,1,BR418),1))),0)</f>
        <v>0</v>
      </c>
      <c r="BS424" s="28">
        <f>IF(BS420=1,IF(INDEX('Lease Cycles'!$EF$32:$EL$32,1,BS418)=1,BS421*INDEX('Lease Cycles'!$EM$32:$ES$32,1,BS418)+BS422*IF(BS419&lt;INDEX('Lease Cycles'!$FA$32:$FG$32,1,BS418),0,1-INDEX('Lease Cycles'!$EM$32:$ES$32,1,BS418)),BS421*IF(BS419&lt;INDEX('Lease Cycles'!$DK$32:$DQ$32,1,BS418),0,IF(BS419=INDEX('Lease Cycles'!$DK$32:$DQ$32,1,BS418),1-INDEX('Lease Cycles'!$DR$32:$DX$32,1,BS418),1))),0)</f>
        <v>0</v>
      </c>
      <c r="BT424" s="28">
        <f>IF(BT420=1,IF(INDEX('Lease Cycles'!$EF$32:$EL$32,1,BT418)=1,BT421*INDEX('Lease Cycles'!$EM$32:$ES$32,1,BT418)+BT422*IF(BT419&lt;INDEX('Lease Cycles'!$FA$32:$FG$32,1,BT418),0,1-INDEX('Lease Cycles'!$EM$32:$ES$32,1,BT418)),BT421*IF(BT419&lt;INDEX('Lease Cycles'!$DK$32:$DQ$32,1,BT418),0,IF(BT419=INDEX('Lease Cycles'!$DK$32:$DQ$32,1,BT418),1-INDEX('Lease Cycles'!$DR$32:$DX$32,1,BT418),1))),0)</f>
        <v>0</v>
      </c>
      <c r="BU424" s="28">
        <f>IF(BU420=1,IF(INDEX('Lease Cycles'!$EF$32:$EL$32,1,BU418)=1,BU421*INDEX('Lease Cycles'!$EM$32:$ES$32,1,BU418)+BU422*IF(BU419&lt;INDEX('Lease Cycles'!$FA$32:$FG$32,1,BU418),0,1-INDEX('Lease Cycles'!$EM$32:$ES$32,1,BU418)),BU421*IF(BU419&lt;INDEX('Lease Cycles'!$DK$32:$DQ$32,1,BU418),0,IF(BU419=INDEX('Lease Cycles'!$DK$32:$DQ$32,1,BU418),1-INDEX('Lease Cycles'!$DR$32:$DX$32,1,BU418),1))),0)</f>
        <v>0</v>
      </c>
      <c r="BV424" s="28">
        <f>IF(BV420=1,IF(INDEX('Lease Cycles'!$EF$32:$EL$32,1,BV418)=1,BV421*INDEX('Lease Cycles'!$EM$32:$ES$32,1,BV418)+BV422*IF(BV419&lt;INDEX('Lease Cycles'!$FA$32:$FG$32,1,BV418),0,1-INDEX('Lease Cycles'!$EM$32:$ES$32,1,BV418)),BV421*IF(BV419&lt;INDEX('Lease Cycles'!$DK$32:$DQ$32,1,BV418),0,IF(BV419=INDEX('Lease Cycles'!$DK$32:$DQ$32,1,BV418),1-INDEX('Lease Cycles'!$DR$32:$DX$32,1,BV418),1))),0)</f>
        <v>0</v>
      </c>
      <c r="BW424" s="28">
        <f>IF(BW420=1,IF(INDEX('Lease Cycles'!$EF$32:$EL$32,1,BW418)=1,BW421*INDEX('Lease Cycles'!$EM$32:$ES$32,1,BW418)+BW422*IF(BW419&lt;INDEX('Lease Cycles'!$FA$32:$FG$32,1,BW418),0,1-INDEX('Lease Cycles'!$EM$32:$ES$32,1,BW418)),BW421*IF(BW419&lt;INDEX('Lease Cycles'!$DK$32:$DQ$32,1,BW418),0,IF(BW419=INDEX('Lease Cycles'!$DK$32:$DQ$32,1,BW418),1-INDEX('Lease Cycles'!$DR$32:$DX$32,1,BW418),1))),0)</f>
        <v>0</v>
      </c>
      <c r="BX424" s="28">
        <f>IF(BX420=1,IF(INDEX('Lease Cycles'!$EF$32:$EL$32,1,BX418)=1,BX421*INDEX('Lease Cycles'!$EM$32:$ES$32,1,BX418)+BX422*IF(BX419&lt;INDEX('Lease Cycles'!$FA$32:$FG$32,1,BX418),0,1-INDEX('Lease Cycles'!$EM$32:$ES$32,1,BX418)),BX421*IF(BX419&lt;INDEX('Lease Cycles'!$DK$32:$DQ$32,1,BX418),0,IF(BX419=INDEX('Lease Cycles'!$DK$32:$DQ$32,1,BX418),1-INDEX('Lease Cycles'!$DR$32:$DX$32,1,BX418),1))),0)</f>
        <v>0</v>
      </c>
      <c r="BY424" s="28">
        <f>IF(BY420=1,IF(INDEX('Lease Cycles'!$EF$32:$EL$32,1,BY418)=1,BY421*INDEX('Lease Cycles'!$EM$32:$ES$32,1,BY418)+BY422*IF(BY419&lt;INDEX('Lease Cycles'!$FA$32:$FG$32,1,BY418),0,1-INDEX('Lease Cycles'!$EM$32:$ES$32,1,BY418)),BY421*IF(BY419&lt;INDEX('Lease Cycles'!$DK$32:$DQ$32,1,BY418),0,IF(BY419=INDEX('Lease Cycles'!$DK$32:$DQ$32,1,BY418),1-INDEX('Lease Cycles'!$DR$32:$DX$32,1,BY418),1))),0)</f>
        <v>0</v>
      </c>
      <c r="BZ424" s="28">
        <f>IF(BZ420=1,IF(INDEX('Lease Cycles'!$EF$32:$EL$32,1,BZ418)=1,BZ421*INDEX('Lease Cycles'!$EM$32:$ES$32,1,BZ418)+BZ422*IF(BZ419&lt;INDEX('Lease Cycles'!$FA$32:$FG$32,1,BZ418),0,1-INDEX('Lease Cycles'!$EM$32:$ES$32,1,BZ418)),BZ421*IF(BZ419&lt;INDEX('Lease Cycles'!$DK$32:$DQ$32,1,BZ418),0,IF(BZ419=INDEX('Lease Cycles'!$DK$32:$DQ$32,1,BZ418),1-INDEX('Lease Cycles'!$DR$32:$DX$32,1,BZ418),1))),0)</f>
        <v>0</v>
      </c>
      <c r="CA424" s="28">
        <f>IF(CA420=1,IF(INDEX('Lease Cycles'!$EF$32:$EL$32,1,CA418)=1,CA421*INDEX('Lease Cycles'!$EM$32:$ES$32,1,CA418)+CA422*IF(CA419&lt;INDEX('Lease Cycles'!$FA$32:$FG$32,1,CA418),0,1-INDEX('Lease Cycles'!$EM$32:$ES$32,1,CA418)),CA421*IF(CA419&lt;INDEX('Lease Cycles'!$DK$32:$DQ$32,1,CA418),0,IF(CA419=INDEX('Lease Cycles'!$DK$32:$DQ$32,1,CA418),1-INDEX('Lease Cycles'!$DR$32:$DX$32,1,CA418),1))),0)</f>
        <v>0</v>
      </c>
      <c r="CB424" s="28">
        <f>IF(CB420=1,IF(INDEX('Lease Cycles'!$EF$32:$EL$32,1,CB418)=1,CB421*INDEX('Lease Cycles'!$EM$32:$ES$32,1,CB418)+CB422*IF(CB419&lt;INDEX('Lease Cycles'!$FA$32:$FG$32,1,CB418),0,1-INDEX('Lease Cycles'!$EM$32:$ES$32,1,CB418)),CB421*IF(CB419&lt;INDEX('Lease Cycles'!$DK$32:$DQ$32,1,CB418),0,IF(CB419=INDEX('Lease Cycles'!$DK$32:$DQ$32,1,CB418),1-INDEX('Lease Cycles'!$DR$32:$DX$32,1,CB418),1))),0)</f>
        <v>0</v>
      </c>
      <c r="CC424" s="28">
        <f>IF(CC420=1,IF(INDEX('Lease Cycles'!$EF$32:$EL$32,1,CC418)=1,CC421*INDEX('Lease Cycles'!$EM$32:$ES$32,1,CC418)+CC422*IF(CC419&lt;INDEX('Lease Cycles'!$FA$32:$FG$32,1,CC418),0,1-INDEX('Lease Cycles'!$EM$32:$ES$32,1,CC418)),CC421*IF(CC419&lt;INDEX('Lease Cycles'!$DK$32:$DQ$32,1,CC418),0,IF(CC419=INDEX('Lease Cycles'!$DK$32:$DQ$32,1,CC418),1-INDEX('Lease Cycles'!$DR$32:$DX$32,1,CC418),1))),0)</f>
        <v>0</v>
      </c>
      <c r="CD424" s="28">
        <f>IF(CD420=1,IF(INDEX('Lease Cycles'!$EF$32:$EL$32,1,CD418)=1,CD421*INDEX('Lease Cycles'!$EM$32:$ES$32,1,CD418)+CD422*IF(CD419&lt;INDEX('Lease Cycles'!$FA$32:$FG$32,1,CD418),0,1-INDEX('Lease Cycles'!$EM$32:$ES$32,1,CD418)),CD421*IF(CD419&lt;INDEX('Lease Cycles'!$DK$32:$DQ$32,1,CD418),0,IF(CD419=INDEX('Lease Cycles'!$DK$32:$DQ$32,1,CD418),1-INDEX('Lease Cycles'!$DR$32:$DX$32,1,CD418),1))),0)</f>
        <v>0</v>
      </c>
      <c r="CE424" s="28">
        <f>IF(CE420=1,IF(INDEX('Lease Cycles'!$EF$32:$EL$32,1,CE418)=1,CE421*INDEX('Lease Cycles'!$EM$32:$ES$32,1,CE418)+CE422*IF(CE419&lt;INDEX('Lease Cycles'!$FA$32:$FG$32,1,CE418),0,1-INDEX('Lease Cycles'!$EM$32:$ES$32,1,CE418)),CE421*IF(CE419&lt;INDEX('Lease Cycles'!$DK$32:$DQ$32,1,CE418),0,IF(CE419=INDEX('Lease Cycles'!$DK$32:$DQ$32,1,CE418),1-INDEX('Lease Cycles'!$DR$32:$DX$32,1,CE418),1))),0)</f>
        <v>0</v>
      </c>
      <c r="CF424" s="28">
        <f>IF(CF420=1,IF(INDEX('Lease Cycles'!$EF$32:$EL$32,1,CF418)=1,CF421*INDEX('Lease Cycles'!$EM$32:$ES$32,1,CF418)+CF422*IF(CF419&lt;INDEX('Lease Cycles'!$FA$32:$FG$32,1,CF418),0,1-INDEX('Lease Cycles'!$EM$32:$ES$32,1,CF418)),CF421*IF(CF419&lt;INDEX('Lease Cycles'!$DK$32:$DQ$32,1,CF418),0,IF(CF419=INDEX('Lease Cycles'!$DK$32:$DQ$32,1,CF418),1-INDEX('Lease Cycles'!$DR$32:$DX$32,1,CF418),1))),0)</f>
        <v>0</v>
      </c>
      <c r="CG424" s="28">
        <f>IF(CG420=1,IF(INDEX('Lease Cycles'!$EF$32:$EL$32,1,CG418)=1,CG421*INDEX('Lease Cycles'!$EM$32:$ES$32,1,CG418)+CG422*IF(CG419&lt;INDEX('Lease Cycles'!$FA$32:$FG$32,1,CG418),0,1-INDEX('Lease Cycles'!$EM$32:$ES$32,1,CG418)),CG421*IF(CG419&lt;INDEX('Lease Cycles'!$DK$32:$DQ$32,1,CG418),0,IF(CG419=INDEX('Lease Cycles'!$DK$32:$DQ$32,1,CG418),1-INDEX('Lease Cycles'!$DR$32:$DX$32,1,CG418),1))),0)</f>
        <v>0</v>
      </c>
      <c r="CH424" s="28">
        <f>IF(CH420=1,IF(INDEX('Lease Cycles'!$EF$32:$EL$32,1,CH418)=1,CH421*INDEX('Lease Cycles'!$EM$32:$ES$32,1,CH418)+CH422*IF(CH419&lt;INDEX('Lease Cycles'!$FA$32:$FG$32,1,CH418),0,1-INDEX('Lease Cycles'!$EM$32:$ES$32,1,CH418)),CH421*IF(CH419&lt;INDEX('Lease Cycles'!$DK$32:$DQ$32,1,CH418),0,IF(CH419=INDEX('Lease Cycles'!$DK$32:$DQ$32,1,CH418),1-INDEX('Lease Cycles'!$DR$32:$DX$32,1,CH418),1))),0)</f>
        <v>0</v>
      </c>
      <c r="CI424" s="28">
        <f>IF(CI420=1,IF(INDEX('Lease Cycles'!$EF$32:$EL$32,1,CI418)=1,CI421*INDEX('Lease Cycles'!$EM$32:$ES$32,1,CI418)+CI422*IF(CI419&lt;INDEX('Lease Cycles'!$FA$32:$FG$32,1,CI418),0,1-INDEX('Lease Cycles'!$EM$32:$ES$32,1,CI418)),CI421*IF(CI419&lt;INDEX('Lease Cycles'!$DK$32:$DQ$32,1,CI418),0,IF(CI419=INDEX('Lease Cycles'!$DK$32:$DQ$32,1,CI418),1-INDEX('Lease Cycles'!$DR$32:$DX$32,1,CI418),1))),0)</f>
        <v>0</v>
      </c>
      <c r="CJ424" s="28">
        <f>IF(CJ420=1,IF(INDEX('Lease Cycles'!$EF$32:$EL$32,1,CJ418)=1,CJ421*INDEX('Lease Cycles'!$EM$32:$ES$32,1,CJ418)+CJ422*IF(CJ419&lt;INDEX('Lease Cycles'!$FA$32:$FG$32,1,CJ418),0,1-INDEX('Lease Cycles'!$EM$32:$ES$32,1,CJ418)),CJ421*IF(CJ419&lt;INDEX('Lease Cycles'!$DK$32:$DQ$32,1,CJ418),0,IF(CJ419=INDEX('Lease Cycles'!$DK$32:$DQ$32,1,CJ418),1-INDEX('Lease Cycles'!$DR$32:$DX$32,1,CJ418),1))),0)</f>
        <v>0</v>
      </c>
      <c r="CK424" s="28">
        <f>IF(CK420=1,IF(INDEX('Lease Cycles'!$EF$32:$EL$32,1,CK418)=1,CK421*INDEX('Lease Cycles'!$EM$32:$ES$32,1,CK418)+CK422*IF(CK419&lt;INDEX('Lease Cycles'!$FA$32:$FG$32,1,CK418),0,1-INDEX('Lease Cycles'!$EM$32:$ES$32,1,CK418)),CK421*IF(CK419&lt;INDEX('Lease Cycles'!$DK$32:$DQ$32,1,CK418),0,IF(CK419=INDEX('Lease Cycles'!$DK$32:$DQ$32,1,CK418),1-INDEX('Lease Cycles'!$DR$32:$DX$32,1,CK418),1))),0)</f>
        <v>0</v>
      </c>
      <c r="CL424" s="28">
        <f>IF(CL420=1,IF(INDEX('Lease Cycles'!$EF$32:$EL$32,1,CL418)=1,CL421*INDEX('Lease Cycles'!$EM$32:$ES$32,1,CL418)+CL422*IF(CL419&lt;INDEX('Lease Cycles'!$FA$32:$FG$32,1,CL418),0,1-INDEX('Lease Cycles'!$EM$32:$ES$32,1,CL418)),CL421*IF(CL419&lt;INDEX('Lease Cycles'!$DK$32:$DQ$32,1,CL418),0,IF(CL419=INDEX('Lease Cycles'!$DK$32:$DQ$32,1,CL418),1-INDEX('Lease Cycles'!$DR$32:$DX$32,1,CL418),1))),0)</f>
        <v>0</v>
      </c>
      <c r="CM424" s="28">
        <f>IF(CM420=1,IF(INDEX('Lease Cycles'!$EF$32:$EL$32,1,CM418)=1,CM421*INDEX('Lease Cycles'!$EM$32:$ES$32,1,CM418)+CM422*IF(CM419&lt;INDEX('Lease Cycles'!$FA$32:$FG$32,1,CM418),0,1-INDEX('Lease Cycles'!$EM$32:$ES$32,1,CM418)),CM421*IF(CM419&lt;INDEX('Lease Cycles'!$DK$32:$DQ$32,1,CM418),0,IF(CM419=INDEX('Lease Cycles'!$DK$32:$DQ$32,1,CM418),1-INDEX('Lease Cycles'!$DR$32:$DX$32,1,CM418),1))),0)</f>
        <v>0</v>
      </c>
      <c r="CN424" s="28">
        <f>IF(CN420=1,IF(INDEX('Lease Cycles'!$EF$32:$EL$32,1,CN418)=1,CN421*INDEX('Lease Cycles'!$EM$32:$ES$32,1,CN418)+CN422*IF(CN419&lt;INDEX('Lease Cycles'!$FA$32:$FG$32,1,CN418),0,1-INDEX('Lease Cycles'!$EM$32:$ES$32,1,CN418)),CN421*IF(CN419&lt;INDEX('Lease Cycles'!$DK$32:$DQ$32,1,CN418),0,IF(CN419=INDEX('Lease Cycles'!$DK$32:$DQ$32,1,CN418),1-INDEX('Lease Cycles'!$DR$32:$DX$32,1,CN418),1))),0)</f>
        <v>0</v>
      </c>
      <c r="CO424" s="28">
        <f>IF(CO420=1,IF(INDEX('Lease Cycles'!$EF$32:$EL$32,1,CO418)=1,CO421*INDEX('Lease Cycles'!$EM$32:$ES$32,1,CO418)+CO422*IF(CO419&lt;INDEX('Lease Cycles'!$FA$32:$FG$32,1,CO418),0,1-INDEX('Lease Cycles'!$EM$32:$ES$32,1,CO418)),CO421*IF(CO419&lt;INDEX('Lease Cycles'!$DK$32:$DQ$32,1,CO418),0,IF(CO419=INDEX('Lease Cycles'!$DK$32:$DQ$32,1,CO418),1-INDEX('Lease Cycles'!$DR$32:$DX$32,1,CO418),1))),0)</f>
        <v>0</v>
      </c>
      <c r="CP424" s="28">
        <f>IF(CP420=1,IF(INDEX('Lease Cycles'!$EF$32:$EL$32,1,CP418)=1,CP421*INDEX('Lease Cycles'!$EM$32:$ES$32,1,CP418)+CP422*IF(CP419&lt;INDEX('Lease Cycles'!$FA$32:$FG$32,1,CP418),0,1-INDEX('Lease Cycles'!$EM$32:$ES$32,1,CP418)),CP421*IF(CP419&lt;INDEX('Lease Cycles'!$DK$32:$DQ$32,1,CP418),0,IF(CP419=INDEX('Lease Cycles'!$DK$32:$DQ$32,1,CP418),1-INDEX('Lease Cycles'!$DR$32:$DX$32,1,CP418),1))),0)</f>
        <v>0</v>
      </c>
      <c r="CQ424" s="28">
        <f>IF(CQ420=1,IF(INDEX('Lease Cycles'!$EF$32:$EL$32,1,CQ418)=1,CQ421*INDEX('Lease Cycles'!$EM$32:$ES$32,1,CQ418)+CQ422*IF(CQ419&lt;INDEX('Lease Cycles'!$FA$32:$FG$32,1,CQ418),0,1-INDEX('Lease Cycles'!$EM$32:$ES$32,1,CQ418)),CQ421*IF(CQ419&lt;INDEX('Lease Cycles'!$DK$32:$DQ$32,1,CQ418),0,IF(CQ419=INDEX('Lease Cycles'!$DK$32:$DQ$32,1,CQ418),1-INDEX('Lease Cycles'!$DR$32:$DX$32,1,CQ418),1))),0)</f>
        <v>0</v>
      </c>
      <c r="CR424" s="28">
        <f>IF(CR420=1,IF(INDEX('Lease Cycles'!$EF$32:$EL$32,1,CR418)=1,CR421*INDEX('Lease Cycles'!$EM$32:$ES$32,1,CR418)+CR422*IF(CR419&lt;INDEX('Lease Cycles'!$FA$32:$FG$32,1,CR418),0,1-INDEX('Lease Cycles'!$EM$32:$ES$32,1,CR418)),CR421*IF(CR419&lt;INDEX('Lease Cycles'!$DK$32:$DQ$32,1,CR418),0,IF(CR419=INDEX('Lease Cycles'!$DK$32:$DQ$32,1,CR418),1-INDEX('Lease Cycles'!$DR$32:$DX$32,1,CR418),1))),0)</f>
        <v>0</v>
      </c>
      <c r="CS424" s="28">
        <f>IF(CS420=1,IF(INDEX('Lease Cycles'!$EF$32:$EL$32,1,CS418)=1,CS421*INDEX('Lease Cycles'!$EM$32:$ES$32,1,CS418)+CS422*IF(CS419&lt;INDEX('Lease Cycles'!$FA$32:$FG$32,1,CS418),0,1-INDEX('Lease Cycles'!$EM$32:$ES$32,1,CS418)),CS421*IF(CS419&lt;INDEX('Lease Cycles'!$DK$32:$DQ$32,1,CS418),0,IF(CS419=INDEX('Lease Cycles'!$DK$32:$DQ$32,1,CS418),1-INDEX('Lease Cycles'!$DR$32:$DX$32,1,CS418),1))),0)</f>
        <v>0</v>
      </c>
      <c r="CT424" s="28">
        <f>IF(CT420=1,IF(INDEX('Lease Cycles'!$EF$32:$EL$32,1,CT418)=1,CT421*INDEX('Lease Cycles'!$EM$32:$ES$32,1,CT418)+CT422*IF(CT419&lt;INDEX('Lease Cycles'!$FA$32:$FG$32,1,CT418),0,1-INDEX('Lease Cycles'!$EM$32:$ES$32,1,CT418)),CT421*IF(CT419&lt;INDEX('Lease Cycles'!$DK$32:$DQ$32,1,CT418),0,IF(CT419=INDEX('Lease Cycles'!$DK$32:$DQ$32,1,CT418),1-INDEX('Lease Cycles'!$DR$32:$DX$32,1,CT418),1))),0)</f>
        <v>0</v>
      </c>
      <c r="CU424" s="28">
        <f>IF(CU420=1,IF(INDEX('Lease Cycles'!$EF$32:$EL$32,1,CU418)=1,CU421*INDEX('Lease Cycles'!$EM$32:$ES$32,1,CU418)+CU422*IF(CU419&lt;INDEX('Lease Cycles'!$FA$32:$FG$32,1,CU418),0,1-INDEX('Lease Cycles'!$EM$32:$ES$32,1,CU418)),CU421*IF(CU419&lt;INDEX('Lease Cycles'!$DK$32:$DQ$32,1,CU418),0,IF(CU419=INDEX('Lease Cycles'!$DK$32:$DQ$32,1,CU418),1-INDEX('Lease Cycles'!$DR$32:$DX$32,1,CU418),1))),0)</f>
        <v>0</v>
      </c>
      <c r="CV424" s="28">
        <f>IF(CV420=1,IF(INDEX('Lease Cycles'!$EF$32:$EL$32,1,CV418)=1,CV421*INDEX('Lease Cycles'!$EM$32:$ES$32,1,CV418)+CV422*IF(CV419&lt;INDEX('Lease Cycles'!$FA$32:$FG$32,1,CV418),0,1-INDEX('Lease Cycles'!$EM$32:$ES$32,1,CV418)),CV421*IF(CV419&lt;INDEX('Lease Cycles'!$DK$32:$DQ$32,1,CV418),0,IF(CV419=INDEX('Lease Cycles'!$DK$32:$DQ$32,1,CV418),1-INDEX('Lease Cycles'!$DR$32:$DX$32,1,CV418),1))),0)</f>
        <v>0</v>
      </c>
      <c r="CW424" s="28">
        <f>IF(CW420=1,IF(INDEX('Lease Cycles'!$EF$32:$EL$32,1,CW418)=1,CW421*INDEX('Lease Cycles'!$EM$32:$ES$32,1,CW418)+CW422*IF(CW419&lt;INDEX('Lease Cycles'!$FA$32:$FG$32,1,CW418),0,1-INDEX('Lease Cycles'!$EM$32:$ES$32,1,CW418)),CW421*IF(CW419&lt;INDEX('Lease Cycles'!$DK$32:$DQ$32,1,CW418),0,IF(CW419=INDEX('Lease Cycles'!$DK$32:$DQ$32,1,CW418),1-INDEX('Lease Cycles'!$DR$32:$DX$32,1,CW418),1))),0)</f>
        <v>0</v>
      </c>
      <c r="CX424" s="28">
        <f>IF(CX420=1,IF(INDEX('Lease Cycles'!$EF$32:$EL$32,1,CX418)=1,CX421*INDEX('Lease Cycles'!$EM$32:$ES$32,1,CX418)+CX422*IF(CX419&lt;INDEX('Lease Cycles'!$FA$32:$FG$32,1,CX418),0,1-INDEX('Lease Cycles'!$EM$32:$ES$32,1,CX418)),CX421*IF(CX419&lt;INDEX('Lease Cycles'!$DK$32:$DQ$32,1,CX418),0,IF(CX419=INDEX('Lease Cycles'!$DK$32:$DQ$32,1,CX418),1-INDEX('Lease Cycles'!$DR$32:$DX$32,1,CX418),1))),0)</f>
        <v>0</v>
      </c>
      <c r="CY424" s="28">
        <f>IF(CY420=1,IF(INDEX('Lease Cycles'!$EF$32:$EL$32,1,CY418)=1,CY421*INDEX('Lease Cycles'!$EM$32:$ES$32,1,CY418)+CY422*IF(CY419&lt;INDEX('Lease Cycles'!$FA$32:$FG$32,1,CY418),0,1-INDEX('Lease Cycles'!$EM$32:$ES$32,1,CY418)),CY421*IF(CY419&lt;INDEX('Lease Cycles'!$DK$32:$DQ$32,1,CY418),0,IF(CY419=INDEX('Lease Cycles'!$DK$32:$DQ$32,1,CY418),1-INDEX('Lease Cycles'!$DR$32:$DX$32,1,CY418),1))),0)</f>
        <v>0</v>
      </c>
      <c r="CZ424" s="28">
        <f>IF(CZ420=1,IF(INDEX('Lease Cycles'!$EF$32:$EL$32,1,CZ418)=1,CZ421*INDEX('Lease Cycles'!$EM$32:$ES$32,1,CZ418)+CZ422*IF(CZ419&lt;INDEX('Lease Cycles'!$FA$32:$FG$32,1,CZ418),0,1-INDEX('Lease Cycles'!$EM$32:$ES$32,1,CZ418)),CZ421*IF(CZ419&lt;INDEX('Lease Cycles'!$DK$32:$DQ$32,1,CZ418),0,IF(CZ419=INDEX('Lease Cycles'!$DK$32:$DQ$32,1,CZ418),1-INDEX('Lease Cycles'!$DR$32:$DX$32,1,CZ418),1))),0)</f>
        <v>0</v>
      </c>
      <c r="DA424" s="28">
        <f>IF(DA420=1,IF(INDEX('Lease Cycles'!$EF$32:$EL$32,1,DA418)=1,DA421*INDEX('Lease Cycles'!$EM$32:$ES$32,1,DA418)+DA422*IF(DA419&lt;INDEX('Lease Cycles'!$FA$32:$FG$32,1,DA418),0,1-INDEX('Lease Cycles'!$EM$32:$ES$32,1,DA418)),DA421*IF(DA419&lt;INDEX('Lease Cycles'!$DK$32:$DQ$32,1,DA418),0,IF(DA419=INDEX('Lease Cycles'!$DK$32:$DQ$32,1,DA418),1-INDEX('Lease Cycles'!$DR$32:$DX$32,1,DA418),1))),0)</f>
        <v>0</v>
      </c>
      <c r="DB424" s="28">
        <f>IF(DB420=1,IF(INDEX('Lease Cycles'!$EF$32:$EL$32,1,DB418)=1,DB421*INDEX('Lease Cycles'!$EM$32:$ES$32,1,DB418)+DB422*IF(DB419&lt;INDEX('Lease Cycles'!$FA$32:$FG$32,1,DB418),0,1-INDEX('Lease Cycles'!$EM$32:$ES$32,1,DB418)),DB421*IF(DB419&lt;INDEX('Lease Cycles'!$DK$32:$DQ$32,1,DB418),0,IF(DB419=INDEX('Lease Cycles'!$DK$32:$DQ$32,1,DB418),1-INDEX('Lease Cycles'!$DR$32:$DX$32,1,DB418),1))),0)</f>
        <v>0</v>
      </c>
      <c r="DC424" s="28">
        <f>IF(DC420=1,IF(INDEX('Lease Cycles'!$EF$32:$EL$32,1,DC418)=1,DC421*INDEX('Lease Cycles'!$EM$32:$ES$32,1,DC418)+DC422*IF(DC419&lt;INDEX('Lease Cycles'!$FA$32:$FG$32,1,DC418),0,1-INDEX('Lease Cycles'!$EM$32:$ES$32,1,DC418)),DC421*IF(DC419&lt;INDEX('Lease Cycles'!$DK$32:$DQ$32,1,DC418),0,IF(DC419=INDEX('Lease Cycles'!$DK$32:$DQ$32,1,DC418),1-INDEX('Lease Cycles'!$DR$32:$DX$32,1,DC418),1))),0)</f>
        <v>0</v>
      </c>
      <c r="DD424" s="28">
        <f>IF(DD420=1,IF(INDEX('Lease Cycles'!$EF$32:$EL$32,1,DD418)=1,DD421*INDEX('Lease Cycles'!$EM$32:$ES$32,1,DD418)+DD422*IF(DD419&lt;INDEX('Lease Cycles'!$FA$32:$FG$32,1,DD418),0,1-INDEX('Lease Cycles'!$EM$32:$ES$32,1,DD418)),DD421*IF(DD419&lt;INDEX('Lease Cycles'!$DK$32:$DQ$32,1,DD418),0,IF(DD419=INDEX('Lease Cycles'!$DK$32:$DQ$32,1,DD418),1-INDEX('Lease Cycles'!$DR$32:$DX$32,1,DD418),1))),0)</f>
        <v>0</v>
      </c>
      <c r="DE424" s="28">
        <f>IF(DE420=1,IF(INDEX('Lease Cycles'!$EF$32:$EL$32,1,DE418)=1,DE421*INDEX('Lease Cycles'!$EM$32:$ES$32,1,DE418)+DE422*IF(DE419&lt;INDEX('Lease Cycles'!$FA$32:$FG$32,1,DE418),0,1-INDEX('Lease Cycles'!$EM$32:$ES$32,1,DE418)),DE421*IF(DE419&lt;INDEX('Lease Cycles'!$DK$32:$DQ$32,1,DE418),0,IF(DE419=INDEX('Lease Cycles'!$DK$32:$DQ$32,1,DE418),1-INDEX('Lease Cycles'!$DR$32:$DX$32,1,DE418),1))),0)</f>
        <v>0</v>
      </c>
      <c r="DF424" s="28">
        <f>IF(DF420=1,IF(INDEX('Lease Cycles'!$EF$32:$EL$32,1,DF418)=1,DF421*INDEX('Lease Cycles'!$EM$32:$ES$32,1,DF418)+DF422*IF(DF419&lt;INDEX('Lease Cycles'!$FA$32:$FG$32,1,DF418),0,1-INDEX('Lease Cycles'!$EM$32:$ES$32,1,DF418)),DF421*IF(DF419&lt;INDEX('Lease Cycles'!$DK$32:$DQ$32,1,DF418),0,IF(DF419=INDEX('Lease Cycles'!$DK$32:$DQ$32,1,DF418),1-INDEX('Lease Cycles'!$DR$32:$DX$32,1,DF418),1))),0)</f>
        <v>0</v>
      </c>
      <c r="DG424" s="28">
        <f>IF(DG420=1,IF(INDEX('Lease Cycles'!$EF$32:$EL$32,1,DG418)=1,DG421*INDEX('Lease Cycles'!$EM$32:$ES$32,1,DG418)+DG422*IF(DG419&lt;INDEX('Lease Cycles'!$FA$32:$FG$32,1,DG418),0,1-INDEX('Lease Cycles'!$EM$32:$ES$32,1,DG418)),DG421*IF(DG419&lt;INDEX('Lease Cycles'!$DK$32:$DQ$32,1,DG418),0,IF(DG419=INDEX('Lease Cycles'!$DK$32:$DQ$32,1,DG418),1-INDEX('Lease Cycles'!$DR$32:$DX$32,1,DG418),1))),0)</f>
        <v>0</v>
      </c>
      <c r="DH424" s="28">
        <f>IF(DH420=1,IF(INDEX('Lease Cycles'!$EF$32:$EL$32,1,DH418)=1,DH421*INDEX('Lease Cycles'!$EM$32:$ES$32,1,DH418)+DH422*IF(DH419&lt;INDEX('Lease Cycles'!$FA$32:$FG$32,1,DH418),0,1-INDEX('Lease Cycles'!$EM$32:$ES$32,1,DH418)),DH421*IF(DH419&lt;INDEX('Lease Cycles'!$DK$32:$DQ$32,1,DH418),0,IF(DH419=INDEX('Lease Cycles'!$DK$32:$DQ$32,1,DH418),1-INDEX('Lease Cycles'!$DR$32:$DX$32,1,DH418),1))),0)</f>
        <v>0</v>
      </c>
      <c r="DI424" s="28">
        <f>IF(DI420=1,IF(INDEX('Lease Cycles'!$EF$32:$EL$32,1,DI418)=1,DI421*INDEX('Lease Cycles'!$EM$32:$ES$32,1,DI418)+DI422*IF(DI419&lt;INDEX('Lease Cycles'!$FA$32:$FG$32,1,DI418),0,1-INDEX('Lease Cycles'!$EM$32:$ES$32,1,DI418)),DI421*IF(DI419&lt;INDEX('Lease Cycles'!$DK$32:$DQ$32,1,DI418),0,IF(DI419=INDEX('Lease Cycles'!$DK$32:$DQ$32,1,DI418),1-INDEX('Lease Cycles'!$DR$32:$DX$32,1,DI418),1))),0)</f>
        <v>0</v>
      </c>
      <c r="DJ424" s="28">
        <f>IF(DJ420=1,IF(INDEX('Lease Cycles'!$EF$32:$EL$32,1,DJ418)=1,DJ421*INDEX('Lease Cycles'!$EM$32:$ES$32,1,DJ418)+DJ422*IF(DJ419&lt;INDEX('Lease Cycles'!$FA$32:$FG$32,1,DJ418),0,1-INDEX('Lease Cycles'!$EM$32:$ES$32,1,DJ418)),DJ421*IF(DJ419&lt;INDEX('Lease Cycles'!$DK$32:$DQ$32,1,DJ418),0,IF(DJ419=INDEX('Lease Cycles'!$DK$32:$DQ$32,1,DJ418),1-INDEX('Lease Cycles'!$DR$32:$DX$32,1,DJ418),1))),0)</f>
        <v>0</v>
      </c>
      <c r="DK424" s="28">
        <f>IF(DK420=1,IF(INDEX('Lease Cycles'!$EF$32:$EL$32,1,DK418)=1,DK421*INDEX('Lease Cycles'!$EM$32:$ES$32,1,DK418)+DK422*IF(DK419&lt;INDEX('Lease Cycles'!$FA$32:$FG$32,1,DK418),0,1-INDEX('Lease Cycles'!$EM$32:$ES$32,1,DK418)),DK421*IF(DK419&lt;INDEX('Lease Cycles'!$DK$32:$DQ$32,1,DK418),0,IF(DK419=INDEX('Lease Cycles'!$DK$32:$DQ$32,1,DK418),1-INDEX('Lease Cycles'!$DR$32:$DX$32,1,DK418),1))),0)</f>
        <v>0</v>
      </c>
      <c r="DL424" s="28">
        <f>IF(DL420=1,IF(INDEX('Lease Cycles'!$EF$32:$EL$32,1,DL418)=1,DL421*INDEX('Lease Cycles'!$EM$32:$ES$32,1,DL418)+DL422*IF(DL419&lt;INDEX('Lease Cycles'!$FA$32:$FG$32,1,DL418),0,1-INDEX('Lease Cycles'!$EM$32:$ES$32,1,DL418)),DL421*IF(DL419&lt;INDEX('Lease Cycles'!$DK$32:$DQ$32,1,DL418),0,IF(DL419=INDEX('Lease Cycles'!$DK$32:$DQ$32,1,DL418),1-INDEX('Lease Cycles'!$DR$32:$DX$32,1,DL418),1))),0)</f>
        <v>0</v>
      </c>
      <c r="DM424" s="28">
        <f>IF(DM420=1,IF(INDEX('Lease Cycles'!$EF$32:$EL$32,1,DM418)=1,DM421*INDEX('Lease Cycles'!$EM$32:$ES$32,1,DM418)+DM422*IF(DM419&lt;INDEX('Lease Cycles'!$FA$32:$FG$32,1,DM418),0,1-INDEX('Lease Cycles'!$EM$32:$ES$32,1,DM418)),DM421*IF(DM419&lt;INDEX('Lease Cycles'!$DK$32:$DQ$32,1,DM418),0,IF(DM419=INDEX('Lease Cycles'!$DK$32:$DQ$32,1,DM418),1-INDEX('Lease Cycles'!$DR$32:$DX$32,1,DM418),1))),0)</f>
        <v>0</v>
      </c>
      <c r="DN424" s="28">
        <f>IF(DN420=1,IF(INDEX('Lease Cycles'!$EF$32:$EL$32,1,DN418)=1,DN421*INDEX('Lease Cycles'!$EM$32:$ES$32,1,DN418)+DN422*IF(DN419&lt;INDEX('Lease Cycles'!$FA$32:$FG$32,1,DN418),0,1-INDEX('Lease Cycles'!$EM$32:$ES$32,1,DN418)),DN421*IF(DN419&lt;INDEX('Lease Cycles'!$DK$32:$DQ$32,1,DN418),0,IF(DN419=INDEX('Lease Cycles'!$DK$32:$DQ$32,1,DN418),1-INDEX('Lease Cycles'!$DR$32:$DX$32,1,DN418),1))),0)</f>
        <v>0</v>
      </c>
      <c r="DO424" s="28">
        <f>IF(DO420=1,IF(INDEX('Lease Cycles'!$EF$32:$EL$32,1,DO418)=1,DO421*INDEX('Lease Cycles'!$EM$32:$ES$32,1,DO418)+DO422*IF(DO419&lt;INDEX('Lease Cycles'!$FA$32:$FG$32,1,DO418),0,1-INDEX('Lease Cycles'!$EM$32:$ES$32,1,DO418)),DO421*IF(DO419&lt;INDEX('Lease Cycles'!$DK$32:$DQ$32,1,DO418),0,IF(DO419=INDEX('Lease Cycles'!$DK$32:$DQ$32,1,DO418),1-INDEX('Lease Cycles'!$DR$32:$DX$32,1,DO418),1))),0)</f>
        <v>0</v>
      </c>
      <c r="DP424" s="28">
        <f>IF(DP420=1,IF(INDEX('Lease Cycles'!$EF$32:$EL$32,1,DP418)=1,DP421*INDEX('Lease Cycles'!$EM$32:$ES$32,1,DP418)+DP422*IF(DP419&lt;INDEX('Lease Cycles'!$FA$32:$FG$32,1,DP418),0,1-INDEX('Lease Cycles'!$EM$32:$ES$32,1,DP418)),DP421*IF(DP419&lt;INDEX('Lease Cycles'!$DK$32:$DQ$32,1,DP418),0,IF(DP419=INDEX('Lease Cycles'!$DK$32:$DQ$32,1,DP418),1-INDEX('Lease Cycles'!$DR$32:$DX$32,1,DP418),1))),0)</f>
        <v>0</v>
      </c>
      <c r="DQ424" s="28">
        <f>IF(DQ420=1,IF(INDEX('Lease Cycles'!$EF$32:$EL$32,1,DQ418)=1,DQ421*INDEX('Lease Cycles'!$EM$32:$ES$32,1,DQ418)+DQ422*IF(DQ419&lt;INDEX('Lease Cycles'!$FA$32:$FG$32,1,DQ418),0,1-INDEX('Lease Cycles'!$EM$32:$ES$32,1,DQ418)),DQ421*IF(DQ419&lt;INDEX('Lease Cycles'!$DK$32:$DQ$32,1,DQ418),0,IF(DQ419=INDEX('Lease Cycles'!$DK$32:$DQ$32,1,DQ418),1-INDEX('Lease Cycles'!$DR$32:$DX$32,1,DQ418),1))),0)</f>
        <v>0</v>
      </c>
      <c r="DR424" s="28">
        <f>IF(DR420=1,IF(INDEX('Lease Cycles'!$EF$32:$EL$32,1,DR418)=1,DR421*INDEX('Lease Cycles'!$EM$32:$ES$32,1,DR418)+DR422*IF(DR419&lt;INDEX('Lease Cycles'!$FA$32:$FG$32,1,DR418),0,1-INDEX('Lease Cycles'!$EM$32:$ES$32,1,DR418)),DR421*IF(DR419&lt;INDEX('Lease Cycles'!$DK$32:$DQ$32,1,DR418),0,IF(DR419=INDEX('Lease Cycles'!$DK$32:$DQ$32,1,DR418),1-INDEX('Lease Cycles'!$DR$32:$DX$32,1,DR418),1))),0)</f>
        <v>0</v>
      </c>
      <c r="DS424" s="28">
        <f>IF(DS420=1,IF(INDEX('Lease Cycles'!$EF$32:$EL$32,1,DS418)=1,DS421*INDEX('Lease Cycles'!$EM$32:$ES$32,1,DS418)+DS422*IF(DS419&lt;INDEX('Lease Cycles'!$FA$32:$FG$32,1,DS418),0,1-INDEX('Lease Cycles'!$EM$32:$ES$32,1,DS418)),DS421*IF(DS419&lt;INDEX('Lease Cycles'!$DK$32:$DQ$32,1,DS418),0,IF(DS419=INDEX('Lease Cycles'!$DK$32:$DQ$32,1,DS418),1-INDEX('Lease Cycles'!$DR$32:$DX$32,1,DS418),1))),0)</f>
        <v>0</v>
      </c>
      <c r="DT424" s="28">
        <f>IF(DT420=1,IF(INDEX('Lease Cycles'!$EF$32:$EL$32,1,DT418)=1,DT421*INDEX('Lease Cycles'!$EM$32:$ES$32,1,DT418)+DT422*IF(DT419&lt;INDEX('Lease Cycles'!$FA$32:$FG$32,1,DT418),0,1-INDEX('Lease Cycles'!$EM$32:$ES$32,1,DT418)),DT421*IF(DT419&lt;INDEX('Lease Cycles'!$DK$32:$DQ$32,1,DT418),0,IF(DT419=INDEX('Lease Cycles'!$DK$32:$DQ$32,1,DT418),1-INDEX('Lease Cycles'!$DR$32:$DX$32,1,DT418),1))),0)</f>
        <v>0</v>
      </c>
      <c r="DU424" s="28">
        <f>IF(DU420=1,IF(INDEX('Lease Cycles'!$EF$32:$EL$32,1,DU418)=1,DU421*INDEX('Lease Cycles'!$EM$32:$ES$32,1,DU418)+DU422*IF(DU419&lt;INDEX('Lease Cycles'!$FA$32:$FG$32,1,DU418),0,1-INDEX('Lease Cycles'!$EM$32:$ES$32,1,DU418)),DU421*IF(DU419&lt;INDEX('Lease Cycles'!$DK$32:$DQ$32,1,DU418),0,IF(DU419=INDEX('Lease Cycles'!$DK$32:$DQ$32,1,DU418),1-INDEX('Lease Cycles'!$DR$32:$DX$32,1,DU418),1))),0)</f>
        <v>0</v>
      </c>
      <c r="DV424" s="28">
        <f>IF(DV420=1,IF(INDEX('Lease Cycles'!$EF$32:$EL$32,1,DV418)=1,DV421*INDEX('Lease Cycles'!$EM$32:$ES$32,1,DV418)+DV422*IF(DV419&lt;INDEX('Lease Cycles'!$FA$32:$FG$32,1,DV418),0,1-INDEX('Lease Cycles'!$EM$32:$ES$32,1,DV418)),DV421*IF(DV419&lt;INDEX('Lease Cycles'!$DK$32:$DQ$32,1,DV418),0,IF(DV419=INDEX('Lease Cycles'!$DK$32:$DQ$32,1,DV418),1-INDEX('Lease Cycles'!$DR$32:$DX$32,1,DV418),1))),0)</f>
        <v>0</v>
      </c>
      <c r="DW424" s="28">
        <f>IF(DW420=1,IF(INDEX('Lease Cycles'!$EF$32:$EL$32,1,DW418)=1,DW421*INDEX('Lease Cycles'!$EM$32:$ES$32,1,DW418)+DW422*IF(DW419&lt;INDEX('Lease Cycles'!$FA$32:$FG$32,1,DW418),0,1-INDEX('Lease Cycles'!$EM$32:$ES$32,1,DW418)),DW421*IF(DW419&lt;INDEX('Lease Cycles'!$DK$32:$DQ$32,1,DW418),0,IF(DW419=INDEX('Lease Cycles'!$DK$32:$DQ$32,1,DW418),1-INDEX('Lease Cycles'!$DR$32:$DX$32,1,DW418),1))),0)</f>
        <v>0</v>
      </c>
      <c r="DX424" s="28">
        <f>IF(DX420=1,IF(INDEX('Lease Cycles'!$EF$32:$EL$32,1,DX418)=1,DX421*INDEX('Lease Cycles'!$EM$32:$ES$32,1,DX418)+DX422*IF(DX419&lt;INDEX('Lease Cycles'!$FA$32:$FG$32,1,DX418),0,1-INDEX('Lease Cycles'!$EM$32:$ES$32,1,DX418)),DX421*IF(DX419&lt;INDEX('Lease Cycles'!$DK$32:$DQ$32,1,DX418),0,IF(DX419=INDEX('Lease Cycles'!$DK$32:$DQ$32,1,DX418),1-INDEX('Lease Cycles'!$DR$32:$DX$32,1,DX418),1))),0)</f>
        <v>0</v>
      </c>
      <c r="DY424" s="28">
        <f>IF(DY420=1,IF(INDEX('Lease Cycles'!$EF$32:$EL$32,1,DY418)=1,DY421*INDEX('Lease Cycles'!$EM$32:$ES$32,1,DY418)+DY422*IF(DY419&lt;INDEX('Lease Cycles'!$FA$32:$FG$32,1,DY418),0,1-INDEX('Lease Cycles'!$EM$32:$ES$32,1,DY418)),DY421*IF(DY419&lt;INDEX('Lease Cycles'!$DK$32:$DQ$32,1,DY418),0,IF(DY419=INDEX('Lease Cycles'!$DK$32:$DQ$32,1,DY418),1-INDEX('Lease Cycles'!$DR$32:$DX$32,1,DY418),1))),0)</f>
        <v>0</v>
      </c>
      <c r="DZ424" s="28">
        <f>IF(DZ420=1,IF(INDEX('Lease Cycles'!$EF$32:$EL$32,1,DZ418)=1,DZ421*INDEX('Lease Cycles'!$EM$32:$ES$32,1,DZ418)+DZ422*IF(DZ419&lt;INDEX('Lease Cycles'!$FA$32:$FG$32,1,DZ418),0,1-INDEX('Lease Cycles'!$EM$32:$ES$32,1,DZ418)),DZ421*IF(DZ419&lt;INDEX('Lease Cycles'!$DK$32:$DQ$32,1,DZ418),0,IF(DZ419=INDEX('Lease Cycles'!$DK$32:$DQ$32,1,DZ418),1-INDEX('Lease Cycles'!$DR$32:$DX$32,1,DZ418),1))),0)</f>
        <v>0</v>
      </c>
      <c r="EA424" s="28">
        <f>IF(EA420=1,IF(INDEX('Lease Cycles'!$EF$32:$EL$32,1,EA418)=1,EA421*INDEX('Lease Cycles'!$EM$32:$ES$32,1,EA418)+EA422*IF(EA419&lt;INDEX('Lease Cycles'!$FA$32:$FG$32,1,EA418),0,1-INDEX('Lease Cycles'!$EM$32:$ES$32,1,EA418)),EA421*IF(EA419&lt;INDEX('Lease Cycles'!$DK$32:$DQ$32,1,EA418),0,IF(EA419=INDEX('Lease Cycles'!$DK$32:$DQ$32,1,EA418),1-INDEX('Lease Cycles'!$DR$32:$DX$32,1,EA418),1))),0)</f>
        <v>0</v>
      </c>
      <c r="EB424" s="28">
        <f>IF(EB420=1,IF(INDEX('Lease Cycles'!$EF$32:$EL$32,1,EB418)=1,EB421*INDEX('Lease Cycles'!$EM$32:$ES$32,1,EB418)+EB422*IF(EB419&lt;INDEX('Lease Cycles'!$FA$32:$FG$32,1,EB418),0,1-INDEX('Lease Cycles'!$EM$32:$ES$32,1,EB418)),EB421*IF(EB419&lt;INDEX('Lease Cycles'!$DK$32:$DQ$32,1,EB418),0,IF(EB419=INDEX('Lease Cycles'!$DK$32:$DQ$32,1,EB418),1-INDEX('Lease Cycles'!$DR$32:$DX$32,1,EB418),1))),0)</f>
        <v>0</v>
      </c>
      <c r="EC424" s="28">
        <f>IF(EC420=1,IF(INDEX('Lease Cycles'!$EF$32:$EL$32,1,EC418)=1,EC421*INDEX('Lease Cycles'!$EM$32:$ES$32,1,EC418)+EC422*IF(EC419&lt;INDEX('Lease Cycles'!$FA$32:$FG$32,1,EC418),0,1-INDEX('Lease Cycles'!$EM$32:$ES$32,1,EC418)),EC421*IF(EC419&lt;INDEX('Lease Cycles'!$DK$32:$DQ$32,1,EC418),0,IF(EC419=INDEX('Lease Cycles'!$DK$32:$DQ$32,1,EC418),1-INDEX('Lease Cycles'!$DR$32:$DX$32,1,EC418),1))),0)</f>
        <v>0</v>
      </c>
      <c r="ED424" s="28">
        <f>IF(ED420=1,IF(INDEX('Lease Cycles'!$EF$32:$EL$32,1,ED418)=1,ED421*INDEX('Lease Cycles'!$EM$32:$ES$32,1,ED418)+ED422*IF(ED419&lt;INDEX('Lease Cycles'!$FA$32:$FG$32,1,ED418),0,1-INDEX('Lease Cycles'!$EM$32:$ES$32,1,ED418)),ED421*IF(ED419&lt;INDEX('Lease Cycles'!$DK$32:$DQ$32,1,ED418),0,IF(ED419=INDEX('Lease Cycles'!$DK$32:$DQ$32,1,ED418),1-INDEX('Lease Cycles'!$DR$32:$DX$32,1,ED418),1))),0)</f>
        <v>0</v>
      </c>
      <c r="EE424" s="28">
        <f>IF(EE420=1,IF(INDEX('Lease Cycles'!$EF$32:$EL$32,1,EE418)=1,EE421*INDEX('Lease Cycles'!$EM$32:$ES$32,1,EE418)+EE422*IF(EE419&lt;INDEX('Lease Cycles'!$FA$32:$FG$32,1,EE418),0,1-INDEX('Lease Cycles'!$EM$32:$ES$32,1,EE418)),EE421*IF(EE419&lt;INDEX('Lease Cycles'!$DK$32:$DQ$32,1,EE418),0,IF(EE419=INDEX('Lease Cycles'!$DK$32:$DQ$32,1,EE418),1-INDEX('Lease Cycles'!$DR$32:$DX$32,1,EE418),1))),0)</f>
        <v>0</v>
      </c>
      <c r="EF424" s="28">
        <f>IF(EF420=1,IF(INDEX('Lease Cycles'!$EF$32:$EL$32,1,EF418)=1,EF421*INDEX('Lease Cycles'!$EM$32:$ES$32,1,EF418)+EF422*IF(EF419&lt;INDEX('Lease Cycles'!$FA$32:$FG$32,1,EF418),0,1-INDEX('Lease Cycles'!$EM$32:$ES$32,1,EF418)),EF421*IF(EF419&lt;INDEX('Lease Cycles'!$DK$32:$DQ$32,1,EF418),0,IF(EF419=INDEX('Lease Cycles'!$DK$32:$DQ$32,1,EF418),1-INDEX('Lease Cycles'!$DR$32:$DX$32,1,EF418),1))),0)</f>
        <v>0</v>
      </c>
      <c r="EG424" s="28">
        <f>IF(EG420=1,IF(INDEX('Lease Cycles'!$EF$32:$EL$32,1,EG418)=1,EG421*INDEX('Lease Cycles'!$EM$32:$ES$32,1,EG418)+EG422*IF(EG419&lt;INDEX('Lease Cycles'!$FA$32:$FG$32,1,EG418),0,1-INDEX('Lease Cycles'!$EM$32:$ES$32,1,EG418)),EG421*IF(EG419&lt;INDEX('Lease Cycles'!$DK$32:$DQ$32,1,EG418),0,IF(EG419=INDEX('Lease Cycles'!$DK$32:$DQ$32,1,EG418),1-INDEX('Lease Cycles'!$DR$32:$DX$32,1,EG418),1))),0)</f>
        <v>0</v>
      </c>
      <c r="EH424" s="28">
        <f>IF(EH420=1,IF(INDEX('Lease Cycles'!$EF$32:$EL$32,1,EH418)=1,EH421*INDEX('Lease Cycles'!$EM$32:$ES$32,1,EH418)+EH422*IF(EH419&lt;INDEX('Lease Cycles'!$FA$32:$FG$32,1,EH418),0,1-INDEX('Lease Cycles'!$EM$32:$ES$32,1,EH418)),EH421*IF(EH419&lt;INDEX('Lease Cycles'!$DK$32:$DQ$32,1,EH418),0,IF(EH419=INDEX('Lease Cycles'!$DK$32:$DQ$32,1,EH418),1-INDEX('Lease Cycles'!$DR$32:$DX$32,1,EH418),1))),0)</f>
        <v>0</v>
      </c>
      <c r="EI424" s="28">
        <f>IF(EI420=1,IF(INDEX('Lease Cycles'!$EF$32:$EL$32,1,EI418)=1,EI421*INDEX('Lease Cycles'!$EM$32:$ES$32,1,EI418)+EI422*IF(EI419&lt;INDEX('Lease Cycles'!$FA$32:$FG$32,1,EI418),0,1-INDEX('Lease Cycles'!$EM$32:$ES$32,1,EI418)),EI421*IF(EI419&lt;INDEX('Lease Cycles'!$DK$32:$DQ$32,1,EI418),0,IF(EI419=INDEX('Lease Cycles'!$DK$32:$DQ$32,1,EI418),1-INDEX('Lease Cycles'!$DR$32:$DX$32,1,EI418),1))),0)</f>
        <v>0</v>
      </c>
      <c r="EJ424" s="28">
        <f>IF(EJ420=1,IF(INDEX('Lease Cycles'!$EF$32:$EL$32,1,EJ418)=1,EJ421*INDEX('Lease Cycles'!$EM$32:$ES$32,1,EJ418)+EJ422*IF(EJ419&lt;INDEX('Lease Cycles'!$FA$32:$FG$32,1,EJ418),0,1-INDEX('Lease Cycles'!$EM$32:$ES$32,1,EJ418)),EJ421*IF(EJ419&lt;INDEX('Lease Cycles'!$DK$32:$DQ$32,1,EJ418),0,IF(EJ419=INDEX('Lease Cycles'!$DK$32:$DQ$32,1,EJ418),1-INDEX('Lease Cycles'!$DR$32:$DX$32,1,EJ418),1))),0)</f>
        <v>0</v>
      </c>
      <c r="EK424" s="28">
        <f>IF(EK420=1,IF(INDEX('Lease Cycles'!$EF$32:$EL$32,1,EK418)=1,EK421*INDEX('Lease Cycles'!$EM$32:$ES$32,1,EK418)+EK422*IF(EK419&lt;INDEX('Lease Cycles'!$FA$32:$FG$32,1,EK418),0,1-INDEX('Lease Cycles'!$EM$32:$ES$32,1,EK418)),EK421*IF(EK419&lt;INDEX('Lease Cycles'!$DK$32:$DQ$32,1,EK418),0,IF(EK419=INDEX('Lease Cycles'!$DK$32:$DQ$32,1,EK418),1-INDEX('Lease Cycles'!$DR$32:$DX$32,1,EK418),1))),0)</f>
        <v>0</v>
      </c>
      <c r="EL424" s="28">
        <f>IF(EL420=1,IF(INDEX('Lease Cycles'!$EF$32:$EL$32,1,EL418)=1,EL421*INDEX('Lease Cycles'!$EM$32:$ES$32,1,EL418)+EL422*IF(EL419&lt;INDEX('Lease Cycles'!$FA$32:$FG$32,1,EL418),0,1-INDEX('Lease Cycles'!$EM$32:$ES$32,1,EL418)),EL421*IF(EL419&lt;INDEX('Lease Cycles'!$DK$32:$DQ$32,1,EL418),0,IF(EL419=INDEX('Lease Cycles'!$DK$32:$DQ$32,1,EL418),1-INDEX('Lease Cycles'!$DR$32:$DX$32,1,EL418),1))),0)</f>
        <v>0</v>
      </c>
      <c r="EM424" s="28">
        <f>IF(EM420=1,IF(INDEX('Lease Cycles'!$EF$32:$EL$32,1,EM418)=1,EM421*INDEX('Lease Cycles'!$EM$32:$ES$32,1,EM418)+EM422*IF(EM419&lt;INDEX('Lease Cycles'!$FA$32:$FG$32,1,EM418),0,1-INDEX('Lease Cycles'!$EM$32:$ES$32,1,EM418)),EM421*IF(EM419&lt;INDEX('Lease Cycles'!$DK$32:$DQ$32,1,EM418),0,IF(EM419=INDEX('Lease Cycles'!$DK$32:$DQ$32,1,EM418),1-INDEX('Lease Cycles'!$DR$32:$DX$32,1,EM418),1))),0)</f>
        <v>0</v>
      </c>
      <c r="EN424" s="28">
        <f>IF(EN420=1,IF(INDEX('Lease Cycles'!$EF$32:$EL$32,1,EN418)=1,EN421*INDEX('Lease Cycles'!$EM$32:$ES$32,1,EN418)+EN422*IF(EN419&lt;INDEX('Lease Cycles'!$FA$32:$FG$32,1,EN418),0,1-INDEX('Lease Cycles'!$EM$32:$ES$32,1,EN418)),EN421*IF(EN419&lt;INDEX('Lease Cycles'!$DK$32:$DQ$32,1,EN418),0,IF(EN419=INDEX('Lease Cycles'!$DK$32:$DQ$32,1,EN418),1-INDEX('Lease Cycles'!$DR$32:$DX$32,1,EN418),1))),0)</f>
        <v>0</v>
      </c>
      <c r="EO424" s="28">
        <f>IF(EO420=1,IF(INDEX('Lease Cycles'!$EF$32:$EL$32,1,EO418)=1,EO421*INDEX('Lease Cycles'!$EM$32:$ES$32,1,EO418)+EO422*IF(EO419&lt;INDEX('Lease Cycles'!$FA$32:$FG$32,1,EO418),0,1-INDEX('Lease Cycles'!$EM$32:$ES$32,1,EO418)),EO421*IF(EO419&lt;INDEX('Lease Cycles'!$DK$32:$DQ$32,1,EO418),0,IF(EO419=INDEX('Lease Cycles'!$DK$32:$DQ$32,1,EO418),1-INDEX('Lease Cycles'!$DR$32:$DX$32,1,EO418),1))),0)</f>
        <v>0</v>
      </c>
      <c r="EP424" s="28">
        <f>IF(EP420=1,IF(INDEX('Lease Cycles'!$EF$32:$EL$32,1,EP418)=1,EP421*INDEX('Lease Cycles'!$EM$32:$ES$32,1,EP418)+EP422*IF(EP419&lt;INDEX('Lease Cycles'!$FA$32:$FG$32,1,EP418),0,1-INDEX('Lease Cycles'!$EM$32:$ES$32,1,EP418)),EP421*IF(EP419&lt;INDEX('Lease Cycles'!$DK$32:$DQ$32,1,EP418),0,IF(EP419=INDEX('Lease Cycles'!$DK$32:$DQ$32,1,EP418),1-INDEX('Lease Cycles'!$DR$32:$DX$32,1,EP418),1))),0)</f>
        <v>0</v>
      </c>
      <c r="EQ424" s="28">
        <f>IF(EQ420=1,IF(INDEX('Lease Cycles'!$EF$32:$EL$32,1,EQ418)=1,EQ421*INDEX('Lease Cycles'!$EM$32:$ES$32,1,EQ418)+EQ422*IF(EQ419&lt;INDEX('Lease Cycles'!$FA$32:$FG$32,1,EQ418),0,1-INDEX('Lease Cycles'!$EM$32:$ES$32,1,EQ418)),EQ421*IF(EQ419&lt;INDEX('Lease Cycles'!$DK$32:$DQ$32,1,EQ418),0,IF(EQ419=INDEX('Lease Cycles'!$DK$32:$DQ$32,1,EQ418),1-INDEX('Lease Cycles'!$DR$32:$DX$32,1,EQ418),1))),0)</f>
        <v>0</v>
      </c>
      <c r="ER424" s="28">
        <f>IF(ER420=1,IF(INDEX('Lease Cycles'!$EF$32:$EL$32,1,ER418)=1,ER421*INDEX('Lease Cycles'!$EM$32:$ES$32,1,ER418)+ER422*IF(ER419&lt;INDEX('Lease Cycles'!$FA$32:$FG$32,1,ER418),0,1-INDEX('Lease Cycles'!$EM$32:$ES$32,1,ER418)),ER421*IF(ER419&lt;INDEX('Lease Cycles'!$DK$32:$DQ$32,1,ER418),0,IF(ER419=INDEX('Lease Cycles'!$DK$32:$DQ$32,1,ER418),1-INDEX('Lease Cycles'!$DR$32:$DX$32,1,ER418),1))),0)</f>
        <v>0</v>
      </c>
      <c r="ES424" s="28">
        <f>IF(ES420=1,IF(INDEX('Lease Cycles'!$EF$32:$EL$32,1,ES418)=1,ES421*INDEX('Lease Cycles'!$EM$32:$ES$32,1,ES418)+ES422*IF(ES419&lt;INDEX('Lease Cycles'!$FA$32:$FG$32,1,ES418),0,1-INDEX('Lease Cycles'!$EM$32:$ES$32,1,ES418)),ES421*IF(ES419&lt;INDEX('Lease Cycles'!$DK$32:$DQ$32,1,ES418),0,IF(ES419=INDEX('Lease Cycles'!$DK$32:$DQ$32,1,ES418),1-INDEX('Lease Cycles'!$DR$32:$DX$32,1,ES418),1))),0)</f>
        <v>0</v>
      </c>
      <c r="ET424" s="28">
        <f>IF(ET420=1,IF(INDEX('Lease Cycles'!$EF$32:$EL$32,1,ET418)=1,ET421*INDEX('Lease Cycles'!$EM$32:$ES$32,1,ET418)+ET422*IF(ET419&lt;INDEX('Lease Cycles'!$FA$32:$FG$32,1,ET418),0,1-INDEX('Lease Cycles'!$EM$32:$ES$32,1,ET418)),ET421*IF(ET419&lt;INDEX('Lease Cycles'!$DK$32:$DQ$32,1,ET418),0,IF(ET419=INDEX('Lease Cycles'!$DK$32:$DQ$32,1,ET418),1-INDEX('Lease Cycles'!$DR$32:$DX$32,1,ET418),1))),0)</f>
        <v>0</v>
      </c>
    </row>
    <row r="425">
      <c r="A425" s="103">
        <v>25</v>
      </c>
      <c r="B425" s="23" t="str">
        <f>IF('Lease Cycles'!$B$32="","(empty slot)",'Lease Cycles'!$B$32)</f>
        <v>(empty slot)</v>
      </c>
      <c r="C425" s="23" t="s">
        <v>493</v>
      </c>
      <c r="D425" s="104" t="s">
        <v>494</v>
      </c>
      <c r="E425" s="25">
        <f>'Lease Cycles'!$AL$32</f>
        <v>0</v>
      </c>
      <c r="G425" s="28">
        <f>SUM(S425:AD425)</f>
        <v>0</v>
      </c>
      <c r="H425" s="28">
        <f>SUM(AE425:AP425)</f>
        <v>0</v>
      </c>
      <c r="I425" s="28">
        <f>SUM(AQ425:BB425)</f>
        <v>0</v>
      </c>
      <c r="J425" s="28">
        <f>SUM(BC425:BN425)</f>
        <v>0</v>
      </c>
      <c r="K425" s="28">
        <f>SUM(BO425:BZ425)</f>
        <v>0</v>
      </c>
      <c r="L425" s="28">
        <f>SUM(CA425:CL425)</f>
        <v>0</v>
      </c>
      <c r="M425" s="28">
        <f>SUM(CM425:CX425)</f>
        <v>0</v>
      </c>
      <c r="N425" s="28">
        <f>SUM(CY425:DJ425)</f>
        <v>0</v>
      </c>
      <c r="O425" s="28">
        <f>SUM(DK425:DV425)</f>
        <v>0</v>
      </c>
      <c r="P425" s="28">
        <f>SUM(DW425:EH425)</f>
        <v>0</v>
      </c>
      <c r="Q425" s="28">
        <f>SUM(EI425:ET425)</f>
        <v>0</v>
      </c>
      <c r="S425" s="28">
        <f>IF(S420=1,IF(INDEX('Lease Cycles'!$EF$32:$EL$32,1,S418)=1,0,S421*(1-IF(S419&lt;INDEX('Lease Cycles'!$DK$32:$DQ$32,1,S418),0,IF(S419=INDEX('Lease Cycles'!$DK$32:$DQ$32,1,S418),1-INDEX('Lease Cycles'!$DR$32:$DX$32,1,S418),1))-IF(S419=0,INDEX('Lease Cycles'!$DD$32:$DJ$32,1,S418),0))),0)</f>
        <v>0</v>
      </c>
      <c r="T425" s="28">
        <f>IF(T420=1,IF(INDEX('Lease Cycles'!$EF$32:$EL$32,1,T418)=1,0,T421*(1-IF(T419&lt;INDEX('Lease Cycles'!$DK$32:$DQ$32,1,T418),0,IF(T419=INDEX('Lease Cycles'!$DK$32:$DQ$32,1,T418),1-INDEX('Lease Cycles'!$DR$32:$DX$32,1,T418),1))-IF(T419=0,INDEX('Lease Cycles'!$DD$32:$DJ$32,1,T418),0))),0)</f>
        <v>0</v>
      </c>
      <c r="U425" s="28">
        <f>IF(U420=1,IF(INDEX('Lease Cycles'!$EF$32:$EL$32,1,U418)=1,0,U421*(1-IF(U419&lt;INDEX('Lease Cycles'!$DK$32:$DQ$32,1,U418),0,IF(U419=INDEX('Lease Cycles'!$DK$32:$DQ$32,1,U418),1-INDEX('Lease Cycles'!$DR$32:$DX$32,1,U418),1))-IF(U419=0,INDEX('Lease Cycles'!$DD$32:$DJ$32,1,U418),0))),0)</f>
        <v>0</v>
      </c>
      <c r="V425" s="28">
        <f>IF(V420=1,IF(INDEX('Lease Cycles'!$EF$32:$EL$32,1,V418)=1,0,V421*(1-IF(V419&lt;INDEX('Lease Cycles'!$DK$32:$DQ$32,1,V418),0,IF(V419=INDEX('Lease Cycles'!$DK$32:$DQ$32,1,V418),1-INDEX('Lease Cycles'!$DR$32:$DX$32,1,V418),1))-IF(V419=0,INDEX('Lease Cycles'!$DD$32:$DJ$32,1,V418),0))),0)</f>
        <v>0</v>
      </c>
      <c r="W425" s="28">
        <f>IF(W420=1,IF(INDEX('Lease Cycles'!$EF$32:$EL$32,1,W418)=1,0,W421*(1-IF(W419&lt;INDEX('Lease Cycles'!$DK$32:$DQ$32,1,W418),0,IF(W419=INDEX('Lease Cycles'!$DK$32:$DQ$32,1,W418),1-INDEX('Lease Cycles'!$DR$32:$DX$32,1,W418),1))-IF(W419=0,INDEX('Lease Cycles'!$DD$32:$DJ$32,1,W418),0))),0)</f>
        <v>0</v>
      </c>
      <c r="X425" s="28">
        <f>IF(X420=1,IF(INDEX('Lease Cycles'!$EF$32:$EL$32,1,X418)=1,0,X421*(1-IF(X419&lt;INDEX('Lease Cycles'!$DK$32:$DQ$32,1,X418),0,IF(X419=INDEX('Lease Cycles'!$DK$32:$DQ$32,1,X418),1-INDEX('Lease Cycles'!$DR$32:$DX$32,1,X418),1))-IF(X419=0,INDEX('Lease Cycles'!$DD$32:$DJ$32,1,X418),0))),0)</f>
        <v>0</v>
      </c>
      <c r="Y425" s="28">
        <f>IF(Y420=1,IF(INDEX('Lease Cycles'!$EF$32:$EL$32,1,Y418)=1,0,Y421*(1-IF(Y419&lt;INDEX('Lease Cycles'!$DK$32:$DQ$32,1,Y418),0,IF(Y419=INDEX('Lease Cycles'!$DK$32:$DQ$32,1,Y418),1-INDEX('Lease Cycles'!$DR$32:$DX$32,1,Y418),1))-IF(Y419=0,INDEX('Lease Cycles'!$DD$32:$DJ$32,1,Y418),0))),0)</f>
        <v>0</v>
      </c>
      <c r="Z425" s="28">
        <f>IF(Z420=1,IF(INDEX('Lease Cycles'!$EF$32:$EL$32,1,Z418)=1,0,Z421*(1-IF(Z419&lt;INDEX('Lease Cycles'!$DK$32:$DQ$32,1,Z418),0,IF(Z419=INDEX('Lease Cycles'!$DK$32:$DQ$32,1,Z418),1-INDEX('Lease Cycles'!$DR$32:$DX$32,1,Z418),1))-IF(Z419=0,INDEX('Lease Cycles'!$DD$32:$DJ$32,1,Z418),0))),0)</f>
        <v>0</v>
      </c>
      <c r="AA425" s="28">
        <f>IF(AA420=1,IF(INDEX('Lease Cycles'!$EF$32:$EL$32,1,AA418)=1,0,AA421*(1-IF(AA419&lt;INDEX('Lease Cycles'!$DK$32:$DQ$32,1,AA418),0,IF(AA419=INDEX('Lease Cycles'!$DK$32:$DQ$32,1,AA418),1-INDEX('Lease Cycles'!$DR$32:$DX$32,1,AA418),1))-IF(AA419=0,INDEX('Lease Cycles'!$DD$32:$DJ$32,1,AA418),0))),0)</f>
        <v>0</v>
      </c>
      <c r="AB425" s="28">
        <f>IF(AB420=1,IF(INDEX('Lease Cycles'!$EF$32:$EL$32,1,AB418)=1,0,AB421*(1-IF(AB419&lt;INDEX('Lease Cycles'!$DK$32:$DQ$32,1,AB418),0,IF(AB419=INDEX('Lease Cycles'!$DK$32:$DQ$32,1,AB418),1-INDEX('Lease Cycles'!$DR$32:$DX$32,1,AB418),1))-IF(AB419=0,INDEX('Lease Cycles'!$DD$32:$DJ$32,1,AB418),0))),0)</f>
        <v>0</v>
      </c>
      <c r="AC425" s="28">
        <f>IF(AC420=1,IF(INDEX('Lease Cycles'!$EF$32:$EL$32,1,AC418)=1,0,AC421*(1-IF(AC419&lt;INDEX('Lease Cycles'!$DK$32:$DQ$32,1,AC418),0,IF(AC419=INDEX('Lease Cycles'!$DK$32:$DQ$32,1,AC418),1-INDEX('Lease Cycles'!$DR$32:$DX$32,1,AC418),1))-IF(AC419=0,INDEX('Lease Cycles'!$DD$32:$DJ$32,1,AC418),0))),0)</f>
        <v>0</v>
      </c>
      <c r="AD425" s="28">
        <f>IF(AD420=1,IF(INDEX('Lease Cycles'!$EF$32:$EL$32,1,AD418)=1,0,AD421*(1-IF(AD419&lt;INDEX('Lease Cycles'!$DK$32:$DQ$32,1,AD418),0,IF(AD419=INDEX('Lease Cycles'!$DK$32:$DQ$32,1,AD418),1-INDEX('Lease Cycles'!$DR$32:$DX$32,1,AD418),1))-IF(AD419=0,INDEX('Lease Cycles'!$DD$32:$DJ$32,1,AD418),0))),0)</f>
        <v>0</v>
      </c>
      <c r="AE425" s="28">
        <f>IF(AE420=1,IF(INDEX('Lease Cycles'!$EF$32:$EL$32,1,AE418)=1,0,AE421*(1-IF(AE419&lt;INDEX('Lease Cycles'!$DK$32:$DQ$32,1,AE418),0,IF(AE419=INDEX('Lease Cycles'!$DK$32:$DQ$32,1,AE418),1-INDEX('Lease Cycles'!$DR$32:$DX$32,1,AE418),1))-IF(AE419=0,INDEX('Lease Cycles'!$DD$32:$DJ$32,1,AE418),0))),0)</f>
        <v>0</v>
      </c>
      <c r="AF425" s="28">
        <f>IF(AF420=1,IF(INDEX('Lease Cycles'!$EF$32:$EL$32,1,AF418)=1,0,AF421*(1-IF(AF419&lt;INDEX('Lease Cycles'!$DK$32:$DQ$32,1,AF418),0,IF(AF419=INDEX('Lease Cycles'!$DK$32:$DQ$32,1,AF418),1-INDEX('Lease Cycles'!$DR$32:$DX$32,1,AF418),1))-IF(AF419=0,INDEX('Lease Cycles'!$DD$32:$DJ$32,1,AF418),0))),0)</f>
        <v>0</v>
      </c>
      <c r="AG425" s="28">
        <f>IF(AG420=1,IF(INDEX('Lease Cycles'!$EF$32:$EL$32,1,AG418)=1,0,AG421*(1-IF(AG419&lt;INDEX('Lease Cycles'!$DK$32:$DQ$32,1,AG418),0,IF(AG419=INDEX('Lease Cycles'!$DK$32:$DQ$32,1,AG418),1-INDEX('Lease Cycles'!$DR$32:$DX$32,1,AG418),1))-IF(AG419=0,INDEX('Lease Cycles'!$DD$32:$DJ$32,1,AG418),0))),0)</f>
        <v>0</v>
      </c>
      <c r="AH425" s="28">
        <f>IF(AH420=1,IF(INDEX('Lease Cycles'!$EF$32:$EL$32,1,AH418)=1,0,AH421*(1-IF(AH419&lt;INDEX('Lease Cycles'!$DK$32:$DQ$32,1,AH418),0,IF(AH419=INDEX('Lease Cycles'!$DK$32:$DQ$32,1,AH418),1-INDEX('Lease Cycles'!$DR$32:$DX$32,1,AH418),1))-IF(AH419=0,INDEX('Lease Cycles'!$DD$32:$DJ$32,1,AH418),0))),0)</f>
        <v>0</v>
      </c>
      <c r="AI425" s="28">
        <f>IF(AI420=1,IF(INDEX('Lease Cycles'!$EF$32:$EL$32,1,AI418)=1,0,AI421*(1-IF(AI419&lt;INDEX('Lease Cycles'!$DK$32:$DQ$32,1,AI418),0,IF(AI419=INDEX('Lease Cycles'!$DK$32:$DQ$32,1,AI418),1-INDEX('Lease Cycles'!$DR$32:$DX$32,1,AI418),1))-IF(AI419=0,INDEX('Lease Cycles'!$DD$32:$DJ$32,1,AI418),0))),0)</f>
        <v>0</v>
      </c>
      <c r="AJ425" s="28">
        <f>IF(AJ420=1,IF(INDEX('Lease Cycles'!$EF$32:$EL$32,1,AJ418)=1,0,AJ421*(1-IF(AJ419&lt;INDEX('Lease Cycles'!$DK$32:$DQ$32,1,AJ418),0,IF(AJ419=INDEX('Lease Cycles'!$DK$32:$DQ$32,1,AJ418),1-INDEX('Lease Cycles'!$DR$32:$DX$32,1,AJ418),1))-IF(AJ419=0,INDEX('Lease Cycles'!$DD$32:$DJ$32,1,AJ418),0))),0)</f>
        <v>0</v>
      </c>
      <c r="AK425" s="28">
        <f>IF(AK420=1,IF(INDEX('Lease Cycles'!$EF$32:$EL$32,1,AK418)=1,0,AK421*(1-IF(AK419&lt;INDEX('Lease Cycles'!$DK$32:$DQ$32,1,AK418),0,IF(AK419=INDEX('Lease Cycles'!$DK$32:$DQ$32,1,AK418),1-INDEX('Lease Cycles'!$DR$32:$DX$32,1,AK418),1))-IF(AK419=0,INDEX('Lease Cycles'!$DD$32:$DJ$32,1,AK418),0))),0)</f>
        <v>0</v>
      </c>
      <c r="AL425" s="28">
        <f>IF(AL420=1,IF(INDEX('Lease Cycles'!$EF$32:$EL$32,1,AL418)=1,0,AL421*(1-IF(AL419&lt;INDEX('Lease Cycles'!$DK$32:$DQ$32,1,AL418),0,IF(AL419=INDEX('Lease Cycles'!$DK$32:$DQ$32,1,AL418),1-INDEX('Lease Cycles'!$DR$32:$DX$32,1,AL418),1))-IF(AL419=0,INDEX('Lease Cycles'!$DD$32:$DJ$32,1,AL418),0))),0)</f>
        <v>0</v>
      </c>
      <c r="AM425" s="28">
        <f>IF(AM420=1,IF(INDEX('Lease Cycles'!$EF$32:$EL$32,1,AM418)=1,0,AM421*(1-IF(AM419&lt;INDEX('Lease Cycles'!$DK$32:$DQ$32,1,AM418),0,IF(AM419=INDEX('Lease Cycles'!$DK$32:$DQ$32,1,AM418),1-INDEX('Lease Cycles'!$DR$32:$DX$32,1,AM418),1))-IF(AM419=0,INDEX('Lease Cycles'!$DD$32:$DJ$32,1,AM418),0))),0)</f>
        <v>0</v>
      </c>
      <c r="AN425" s="28">
        <f>IF(AN420=1,IF(INDEX('Lease Cycles'!$EF$32:$EL$32,1,AN418)=1,0,AN421*(1-IF(AN419&lt;INDEX('Lease Cycles'!$DK$32:$DQ$32,1,AN418),0,IF(AN419=INDEX('Lease Cycles'!$DK$32:$DQ$32,1,AN418),1-INDEX('Lease Cycles'!$DR$32:$DX$32,1,AN418),1))-IF(AN419=0,INDEX('Lease Cycles'!$DD$32:$DJ$32,1,AN418),0))),0)</f>
        <v>0</v>
      </c>
      <c r="AO425" s="28">
        <f>IF(AO420=1,IF(INDEX('Lease Cycles'!$EF$32:$EL$32,1,AO418)=1,0,AO421*(1-IF(AO419&lt;INDEX('Lease Cycles'!$DK$32:$DQ$32,1,AO418),0,IF(AO419=INDEX('Lease Cycles'!$DK$32:$DQ$32,1,AO418),1-INDEX('Lease Cycles'!$DR$32:$DX$32,1,AO418),1))-IF(AO419=0,INDEX('Lease Cycles'!$DD$32:$DJ$32,1,AO418),0))),0)</f>
        <v>0</v>
      </c>
      <c r="AP425" s="28">
        <f>IF(AP420=1,IF(INDEX('Lease Cycles'!$EF$32:$EL$32,1,AP418)=1,0,AP421*(1-IF(AP419&lt;INDEX('Lease Cycles'!$DK$32:$DQ$32,1,AP418),0,IF(AP419=INDEX('Lease Cycles'!$DK$32:$DQ$32,1,AP418),1-INDEX('Lease Cycles'!$DR$32:$DX$32,1,AP418),1))-IF(AP419=0,INDEX('Lease Cycles'!$DD$32:$DJ$32,1,AP418),0))),0)</f>
        <v>0</v>
      </c>
      <c r="AQ425" s="28">
        <f>IF(AQ420=1,IF(INDEX('Lease Cycles'!$EF$32:$EL$32,1,AQ418)=1,0,AQ421*(1-IF(AQ419&lt;INDEX('Lease Cycles'!$DK$32:$DQ$32,1,AQ418),0,IF(AQ419=INDEX('Lease Cycles'!$DK$32:$DQ$32,1,AQ418),1-INDEX('Lease Cycles'!$DR$32:$DX$32,1,AQ418),1))-IF(AQ419=0,INDEX('Lease Cycles'!$DD$32:$DJ$32,1,AQ418),0))),0)</f>
        <v>0</v>
      </c>
      <c r="AR425" s="28">
        <f>IF(AR420=1,IF(INDEX('Lease Cycles'!$EF$32:$EL$32,1,AR418)=1,0,AR421*(1-IF(AR419&lt;INDEX('Lease Cycles'!$DK$32:$DQ$32,1,AR418),0,IF(AR419=INDEX('Lease Cycles'!$DK$32:$DQ$32,1,AR418),1-INDEX('Lease Cycles'!$DR$32:$DX$32,1,AR418),1))-IF(AR419=0,INDEX('Lease Cycles'!$DD$32:$DJ$32,1,AR418),0))),0)</f>
        <v>0</v>
      </c>
      <c r="AS425" s="28">
        <f>IF(AS420=1,IF(INDEX('Lease Cycles'!$EF$32:$EL$32,1,AS418)=1,0,AS421*(1-IF(AS419&lt;INDEX('Lease Cycles'!$DK$32:$DQ$32,1,AS418),0,IF(AS419=INDEX('Lease Cycles'!$DK$32:$DQ$32,1,AS418),1-INDEX('Lease Cycles'!$DR$32:$DX$32,1,AS418),1))-IF(AS419=0,INDEX('Lease Cycles'!$DD$32:$DJ$32,1,AS418),0))),0)</f>
        <v>0</v>
      </c>
      <c r="AT425" s="28">
        <f>IF(AT420=1,IF(INDEX('Lease Cycles'!$EF$32:$EL$32,1,AT418)=1,0,AT421*(1-IF(AT419&lt;INDEX('Lease Cycles'!$DK$32:$DQ$32,1,AT418),0,IF(AT419=INDEX('Lease Cycles'!$DK$32:$DQ$32,1,AT418),1-INDEX('Lease Cycles'!$DR$32:$DX$32,1,AT418),1))-IF(AT419=0,INDEX('Lease Cycles'!$DD$32:$DJ$32,1,AT418),0))),0)</f>
        <v>0</v>
      </c>
      <c r="AU425" s="28">
        <f>IF(AU420=1,IF(INDEX('Lease Cycles'!$EF$32:$EL$32,1,AU418)=1,0,AU421*(1-IF(AU419&lt;INDEX('Lease Cycles'!$DK$32:$DQ$32,1,AU418),0,IF(AU419=INDEX('Lease Cycles'!$DK$32:$DQ$32,1,AU418),1-INDEX('Lease Cycles'!$DR$32:$DX$32,1,AU418),1))-IF(AU419=0,INDEX('Lease Cycles'!$DD$32:$DJ$32,1,AU418),0))),0)</f>
        <v>0</v>
      </c>
      <c r="AV425" s="28">
        <f>IF(AV420=1,IF(INDEX('Lease Cycles'!$EF$32:$EL$32,1,AV418)=1,0,AV421*(1-IF(AV419&lt;INDEX('Lease Cycles'!$DK$32:$DQ$32,1,AV418),0,IF(AV419=INDEX('Lease Cycles'!$DK$32:$DQ$32,1,AV418),1-INDEX('Lease Cycles'!$DR$32:$DX$32,1,AV418),1))-IF(AV419=0,INDEX('Lease Cycles'!$DD$32:$DJ$32,1,AV418),0))),0)</f>
        <v>0</v>
      </c>
      <c r="AW425" s="28">
        <f>IF(AW420=1,IF(INDEX('Lease Cycles'!$EF$32:$EL$32,1,AW418)=1,0,AW421*(1-IF(AW419&lt;INDEX('Lease Cycles'!$DK$32:$DQ$32,1,AW418),0,IF(AW419=INDEX('Lease Cycles'!$DK$32:$DQ$32,1,AW418),1-INDEX('Lease Cycles'!$DR$32:$DX$32,1,AW418),1))-IF(AW419=0,INDEX('Lease Cycles'!$DD$32:$DJ$32,1,AW418),0))),0)</f>
        <v>0</v>
      </c>
      <c r="AX425" s="28">
        <f>IF(AX420=1,IF(INDEX('Lease Cycles'!$EF$32:$EL$32,1,AX418)=1,0,AX421*(1-IF(AX419&lt;INDEX('Lease Cycles'!$DK$32:$DQ$32,1,AX418),0,IF(AX419=INDEX('Lease Cycles'!$DK$32:$DQ$32,1,AX418),1-INDEX('Lease Cycles'!$DR$32:$DX$32,1,AX418),1))-IF(AX419=0,INDEX('Lease Cycles'!$DD$32:$DJ$32,1,AX418),0))),0)</f>
        <v>0</v>
      </c>
      <c r="AY425" s="28">
        <f>IF(AY420=1,IF(INDEX('Lease Cycles'!$EF$32:$EL$32,1,AY418)=1,0,AY421*(1-IF(AY419&lt;INDEX('Lease Cycles'!$DK$32:$DQ$32,1,AY418),0,IF(AY419=INDEX('Lease Cycles'!$DK$32:$DQ$32,1,AY418),1-INDEX('Lease Cycles'!$DR$32:$DX$32,1,AY418),1))-IF(AY419=0,INDEX('Lease Cycles'!$DD$32:$DJ$32,1,AY418),0))),0)</f>
        <v>0</v>
      </c>
      <c r="AZ425" s="28">
        <f>IF(AZ420=1,IF(INDEX('Lease Cycles'!$EF$32:$EL$32,1,AZ418)=1,0,AZ421*(1-IF(AZ419&lt;INDEX('Lease Cycles'!$DK$32:$DQ$32,1,AZ418),0,IF(AZ419=INDEX('Lease Cycles'!$DK$32:$DQ$32,1,AZ418),1-INDEX('Lease Cycles'!$DR$32:$DX$32,1,AZ418),1))-IF(AZ419=0,INDEX('Lease Cycles'!$DD$32:$DJ$32,1,AZ418),0))),0)</f>
        <v>0</v>
      </c>
      <c r="BA425" s="28">
        <f>IF(BA420=1,IF(INDEX('Lease Cycles'!$EF$32:$EL$32,1,BA418)=1,0,BA421*(1-IF(BA419&lt;INDEX('Lease Cycles'!$DK$32:$DQ$32,1,BA418),0,IF(BA419=INDEX('Lease Cycles'!$DK$32:$DQ$32,1,BA418),1-INDEX('Lease Cycles'!$DR$32:$DX$32,1,BA418),1))-IF(BA419=0,INDEX('Lease Cycles'!$DD$32:$DJ$32,1,BA418),0))),0)</f>
        <v>0</v>
      </c>
      <c r="BB425" s="28">
        <f>IF(BB420=1,IF(INDEX('Lease Cycles'!$EF$32:$EL$32,1,BB418)=1,0,BB421*(1-IF(BB419&lt;INDEX('Lease Cycles'!$DK$32:$DQ$32,1,BB418),0,IF(BB419=INDEX('Lease Cycles'!$DK$32:$DQ$32,1,BB418),1-INDEX('Lease Cycles'!$DR$32:$DX$32,1,BB418),1))-IF(BB419=0,INDEX('Lease Cycles'!$DD$32:$DJ$32,1,BB418),0))),0)</f>
        <v>0</v>
      </c>
      <c r="BC425" s="28">
        <f>IF(BC420=1,IF(INDEX('Lease Cycles'!$EF$32:$EL$32,1,BC418)=1,0,BC421*(1-IF(BC419&lt;INDEX('Lease Cycles'!$DK$32:$DQ$32,1,BC418),0,IF(BC419=INDEX('Lease Cycles'!$DK$32:$DQ$32,1,BC418),1-INDEX('Lease Cycles'!$DR$32:$DX$32,1,BC418),1))-IF(BC419=0,INDEX('Lease Cycles'!$DD$32:$DJ$32,1,BC418),0))),0)</f>
        <v>0</v>
      </c>
      <c r="BD425" s="28">
        <f>IF(BD420=1,IF(INDEX('Lease Cycles'!$EF$32:$EL$32,1,BD418)=1,0,BD421*(1-IF(BD419&lt;INDEX('Lease Cycles'!$DK$32:$DQ$32,1,BD418),0,IF(BD419=INDEX('Lease Cycles'!$DK$32:$DQ$32,1,BD418),1-INDEX('Lease Cycles'!$DR$32:$DX$32,1,BD418),1))-IF(BD419=0,INDEX('Lease Cycles'!$DD$32:$DJ$32,1,BD418),0))),0)</f>
        <v>0</v>
      </c>
      <c r="BE425" s="28">
        <f>IF(BE420=1,IF(INDEX('Lease Cycles'!$EF$32:$EL$32,1,BE418)=1,0,BE421*(1-IF(BE419&lt;INDEX('Lease Cycles'!$DK$32:$DQ$32,1,BE418),0,IF(BE419=INDEX('Lease Cycles'!$DK$32:$DQ$32,1,BE418),1-INDEX('Lease Cycles'!$DR$32:$DX$32,1,BE418),1))-IF(BE419=0,INDEX('Lease Cycles'!$DD$32:$DJ$32,1,BE418),0))),0)</f>
        <v>0</v>
      </c>
      <c r="BF425" s="28">
        <f>IF(BF420=1,IF(INDEX('Lease Cycles'!$EF$32:$EL$32,1,BF418)=1,0,BF421*(1-IF(BF419&lt;INDEX('Lease Cycles'!$DK$32:$DQ$32,1,BF418),0,IF(BF419=INDEX('Lease Cycles'!$DK$32:$DQ$32,1,BF418),1-INDEX('Lease Cycles'!$DR$32:$DX$32,1,BF418),1))-IF(BF419=0,INDEX('Lease Cycles'!$DD$32:$DJ$32,1,BF418),0))),0)</f>
        <v>0</v>
      </c>
      <c r="BG425" s="28">
        <f>IF(BG420=1,IF(INDEX('Lease Cycles'!$EF$32:$EL$32,1,BG418)=1,0,BG421*(1-IF(BG419&lt;INDEX('Lease Cycles'!$DK$32:$DQ$32,1,BG418),0,IF(BG419=INDEX('Lease Cycles'!$DK$32:$DQ$32,1,BG418),1-INDEX('Lease Cycles'!$DR$32:$DX$32,1,BG418),1))-IF(BG419=0,INDEX('Lease Cycles'!$DD$32:$DJ$32,1,BG418),0))),0)</f>
        <v>0</v>
      </c>
      <c r="BH425" s="28">
        <f>IF(BH420=1,IF(INDEX('Lease Cycles'!$EF$32:$EL$32,1,BH418)=1,0,BH421*(1-IF(BH419&lt;INDEX('Lease Cycles'!$DK$32:$DQ$32,1,BH418),0,IF(BH419=INDEX('Lease Cycles'!$DK$32:$DQ$32,1,BH418),1-INDEX('Lease Cycles'!$DR$32:$DX$32,1,BH418),1))-IF(BH419=0,INDEX('Lease Cycles'!$DD$32:$DJ$32,1,BH418),0))),0)</f>
        <v>0</v>
      </c>
      <c r="BI425" s="28">
        <f>IF(BI420=1,IF(INDEX('Lease Cycles'!$EF$32:$EL$32,1,BI418)=1,0,BI421*(1-IF(BI419&lt;INDEX('Lease Cycles'!$DK$32:$DQ$32,1,BI418),0,IF(BI419=INDEX('Lease Cycles'!$DK$32:$DQ$32,1,BI418),1-INDEX('Lease Cycles'!$DR$32:$DX$32,1,BI418),1))-IF(BI419=0,INDEX('Lease Cycles'!$DD$32:$DJ$32,1,BI418),0))),0)</f>
        <v>0</v>
      </c>
      <c r="BJ425" s="28">
        <f>IF(BJ420=1,IF(INDEX('Lease Cycles'!$EF$32:$EL$32,1,BJ418)=1,0,BJ421*(1-IF(BJ419&lt;INDEX('Lease Cycles'!$DK$32:$DQ$32,1,BJ418),0,IF(BJ419=INDEX('Lease Cycles'!$DK$32:$DQ$32,1,BJ418),1-INDEX('Lease Cycles'!$DR$32:$DX$32,1,BJ418),1))-IF(BJ419=0,INDEX('Lease Cycles'!$DD$32:$DJ$32,1,BJ418),0))),0)</f>
        <v>0</v>
      </c>
      <c r="BK425" s="28">
        <f>IF(BK420=1,IF(INDEX('Lease Cycles'!$EF$32:$EL$32,1,BK418)=1,0,BK421*(1-IF(BK419&lt;INDEX('Lease Cycles'!$DK$32:$DQ$32,1,BK418),0,IF(BK419=INDEX('Lease Cycles'!$DK$32:$DQ$32,1,BK418),1-INDEX('Lease Cycles'!$DR$32:$DX$32,1,BK418),1))-IF(BK419=0,INDEX('Lease Cycles'!$DD$32:$DJ$32,1,BK418),0))),0)</f>
        <v>0</v>
      </c>
      <c r="BL425" s="28">
        <f>IF(BL420=1,IF(INDEX('Lease Cycles'!$EF$32:$EL$32,1,BL418)=1,0,BL421*(1-IF(BL419&lt;INDEX('Lease Cycles'!$DK$32:$DQ$32,1,BL418),0,IF(BL419=INDEX('Lease Cycles'!$DK$32:$DQ$32,1,BL418),1-INDEX('Lease Cycles'!$DR$32:$DX$32,1,BL418),1))-IF(BL419=0,INDEX('Lease Cycles'!$DD$32:$DJ$32,1,BL418),0))),0)</f>
        <v>0</v>
      </c>
      <c r="BM425" s="28">
        <f>IF(BM420=1,IF(INDEX('Lease Cycles'!$EF$32:$EL$32,1,BM418)=1,0,BM421*(1-IF(BM419&lt;INDEX('Lease Cycles'!$DK$32:$DQ$32,1,BM418),0,IF(BM419=INDEX('Lease Cycles'!$DK$32:$DQ$32,1,BM418),1-INDEX('Lease Cycles'!$DR$32:$DX$32,1,BM418),1))-IF(BM419=0,INDEX('Lease Cycles'!$DD$32:$DJ$32,1,BM418),0))),0)</f>
        <v>0</v>
      </c>
      <c r="BN425" s="28">
        <f>IF(BN420=1,IF(INDEX('Lease Cycles'!$EF$32:$EL$32,1,BN418)=1,0,BN421*(1-IF(BN419&lt;INDEX('Lease Cycles'!$DK$32:$DQ$32,1,BN418),0,IF(BN419=INDEX('Lease Cycles'!$DK$32:$DQ$32,1,BN418),1-INDEX('Lease Cycles'!$DR$32:$DX$32,1,BN418),1))-IF(BN419=0,INDEX('Lease Cycles'!$DD$32:$DJ$32,1,BN418),0))),0)</f>
        <v>0</v>
      </c>
      <c r="BO425" s="28">
        <f>IF(BO420=1,IF(INDEX('Lease Cycles'!$EF$32:$EL$32,1,BO418)=1,0,BO421*(1-IF(BO419&lt;INDEX('Lease Cycles'!$DK$32:$DQ$32,1,BO418),0,IF(BO419=INDEX('Lease Cycles'!$DK$32:$DQ$32,1,BO418),1-INDEX('Lease Cycles'!$DR$32:$DX$32,1,BO418),1))-IF(BO419=0,INDEX('Lease Cycles'!$DD$32:$DJ$32,1,BO418),0))),0)</f>
        <v>0</v>
      </c>
      <c r="BP425" s="28">
        <f>IF(BP420=1,IF(INDEX('Lease Cycles'!$EF$32:$EL$32,1,BP418)=1,0,BP421*(1-IF(BP419&lt;INDEX('Lease Cycles'!$DK$32:$DQ$32,1,BP418),0,IF(BP419=INDEX('Lease Cycles'!$DK$32:$DQ$32,1,BP418),1-INDEX('Lease Cycles'!$DR$32:$DX$32,1,BP418),1))-IF(BP419=0,INDEX('Lease Cycles'!$DD$32:$DJ$32,1,BP418),0))),0)</f>
        <v>0</v>
      </c>
      <c r="BQ425" s="28">
        <f>IF(BQ420=1,IF(INDEX('Lease Cycles'!$EF$32:$EL$32,1,BQ418)=1,0,BQ421*(1-IF(BQ419&lt;INDEX('Lease Cycles'!$DK$32:$DQ$32,1,BQ418),0,IF(BQ419=INDEX('Lease Cycles'!$DK$32:$DQ$32,1,BQ418),1-INDEX('Lease Cycles'!$DR$32:$DX$32,1,BQ418),1))-IF(BQ419=0,INDEX('Lease Cycles'!$DD$32:$DJ$32,1,BQ418),0))),0)</f>
        <v>0</v>
      </c>
      <c r="BR425" s="28">
        <f>IF(BR420=1,IF(INDEX('Lease Cycles'!$EF$32:$EL$32,1,BR418)=1,0,BR421*(1-IF(BR419&lt;INDEX('Lease Cycles'!$DK$32:$DQ$32,1,BR418),0,IF(BR419=INDEX('Lease Cycles'!$DK$32:$DQ$32,1,BR418),1-INDEX('Lease Cycles'!$DR$32:$DX$32,1,BR418),1))-IF(BR419=0,INDEX('Lease Cycles'!$DD$32:$DJ$32,1,BR418),0))),0)</f>
        <v>0</v>
      </c>
      <c r="BS425" s="28">
        <f>IF(BS420=1,IF(INDEX('Lease Cycles'!$EF$32:$EL$32,1,BS418)=1,0,BS421*(1-IF(BS419&lt;INDEX('Lease Cycles'!$DK$32:$DQ$32,1,BS418),0,IF(BS419=INDEX('Lease Cycles'!$DK$32:$DQ$32,1,BS418),1-INDEX('Lease Cycles'!$DR$32:$DX$32,1,BS418),1))-IF(BS419=0,INDEX('Lease Cycles'!$DD$32:$DJ$32,1,BS418),0))),0)</f>
        <v>0</v>
      </c>
      <c r="BT425" s="28">
        <f>IF(BT420=1,IF(INDEX('Lease Cycles'!$EF$32:$EL$32,1,BT418)=1,0,BT421*(1-IF(BT419&lt;INDEX('Lease Cycles'!$DK$32:$DQ$32,1,BT418),0,IF(BT419=INDEX('Lease Cycles'!$DK$32:$DQ$32,1,BT418),1-INDEX('Lease Cycles'!$DR$32:$DX$32,1,BT418),1))-IF(BT419=0,INDEX('Lease Cycles'!$DD$32:$DJ$32,1,BT418),0))),0)</f>
        <v>0</v>
      </c>
      <c r="BU425" s="28">
        <f>IF(BU420=1,IF(INDEX('Lease Cycles'!$EF$32:$EL$32,1,BU418)=1,0,BU421*(1-IF(BU419&lt;INDEX('Lease Cycles'!$DK$32:$DQ$32,1,BU418),0,IF(BU419=INDEX('Lease Cycles'!$DK$32:$DQ$32,1,BU418),1-INDEX('Lease Cycles'!$DR$32:$DX$32,1,BU418),1))-IF(BU419=0,INDEX('Lease Cycles'!$DD$32:$DJ$32,1,BU418),0))),0)</f>
        <v>0</v>
      </c>
      <c r="BV425" s="28">
        <f>IF(BV420=1,IF(INDEX('Lease Cycles'!$EF$32:$EL$32,1,BV418)=1,0,BV421*(1-IF(BV419&lt;INDEX('Lease Cycles'!$DK$32:$DQ$32,1,BV418),0,IF(BV419=INDEX('Lease Cycles'!$DK$32:$DQ$32,1,BV418),1-INDEX('Lease Cycles'!$DR$32:$DX$32,1,BV418),1))-IF(BV419=0,INDEX('Lease Cycles'!$DD$32:$DJ$32,1,BV418),0))),0)</f>
        <v>0</v>
      </c>
      <c r="BW425" s="28">
        <f>IF(BW420=1,IF(INDEX('Lease Cycles'!$EF$32:$EL$32,1,BW418)=1,0,BW421*(1-IF(BW419&lt;INDEX('Lease Cycles'!$DK$32:$DQ$32,1,BW418),0,IF(BW419=INDEX('Lease Cycles'!$DK$32:$DQ$32,1,BW418),1-INDEX('Lease Cycles'!$DR$32:$DX$32,1,BW418),1))-IF(BW419=0,INDEX('Lease Cycles'!$DD$32:$DJ$32,1,BW418),0))),0)</f>
        <v>0</v>
      </c>
      <c r="BX425" s="28">
        <f>IF(BX420=1,IF(INDEX('Lease Cycles'!$EF$32:$EL$32,1,BX418)=1,0,BX421*(1-IF(BX419&lt;INDEX('Lease Cycles'!$DK$32:$DQ$32,1,BX418),0,IF(BX419=INDEX('Lease Cycles'!$DK$32:$DQ$32,1,BX418),1-INDEX('Lease Cycles'!$DR$32:$DX$32,1,BX418),1))-IF(BX419=0,INDEX('Lease Cycles'!$DD$32:$DJ$32,1,BX418),0))),0)</f>
        <v>0</v>
      </c>
      <c r="BY425" s="28">
        <f>IF(BY420=1,IF(INDEX('Lease Cycles'!$EF$32:$EL$32,1,BY418)=1,0,BY421*(1-IF(BY419&lt;INDEX('Lease Cycles'!$DK$32:$DQ$32,1,BY418),0,IF(BY419=INDEX('Lease Cycles'!$DK$32:$DQ$32,1,BY418),1-INDEX('Lease Cycles'!$DR$32:$DX$32,1,BY418),1))-IF(BY419=0,INDEX('Lease Cycles'!$DD$32:$DJ$32,1,BY418),0))),0)</f>
        <v>0</v>
      </c>
      <c r="BZ425" s="28">
        <f>IF(BZ420=1,IF(INDEX('Lease Cycles'!$EF$32:$EL$32,1,BZ418)=1,0,BZ421*(1-IF(BZ419&lt;INDEX('Lease Cycles'!$DK$32:$DQ$32,1,BZ418),0,IF(BZ419=INDEX('Lease Cycles'!$DK$32:$DQ$32,1,BZ418),1-INDEX('Lease Cycles'!$DR$32:$DX$32,1,BZ418),1))-IF(BZ419=0,INDEX('Lease Cycles'!$DD$32:$DJ$32,1,BZ418),0))),0)</f>
        <v>0</v>
      </c>
      <c r="CA425" s="28">
        <f>IF(CA420=1,IF(INDEX('Lease Cycles'!$EF$32:$EL$32,1,CA418)=1,0,CA421*(1-IF(CA419&lt;INDEX('Lease Cycles'!$DK$32:$DQ$32,1,CA418),0,IF(CA419=INDEX('Lease Cycles'!$DK$32:$DQ$32,1,CA418),1-INDEX('Lease Cycles'!$DR$32:$DX$32,1,CA418),1))-IF(CA419=0,INDEX('Lease Cycles'!$DD$32:$DJ$32,1,CA418),0))),0)</f>
        <v>0</v>
      </c>
      <c r="CB425" s="28">
        <f>IF(CB420=1,IF(INDEX('Lease Cycles'!$EF$32:$EL$32,1,CB418)=1,0,CB421*(1-IF(CB419&lt;INDEX('Lease Cycles'!$DK$32:$DQ$32,1,CB418),0,IF(CB419=INDEX('Lease Cycles'!$DK$32:$DQ$32,1,CB418),1-INDEX('Lease Cycles'!$DR$32:$DX$32,1,CB418),1))-IF(CB419=0,INDEX('Lease Cycles'!$DD$32:$DJ$32,1,CB418),0))),0)</f>
        <v>0</v>
      </c>
      <c r="CC425" s="28">
        <f>IF(CC420=1,IF(INDEX('Lease Cycles'!$EF$32:$EL$32,1,CC418)=1,0,CC421*(1-IF(CC419&lt;INDEX('Lease Cycles'!$DK$32:$DQ$32,1,CC418),0,IF(CC419=INDEX('Lease Cycles'!$DK$32:$DQ$32,1,CC418),1-INDEX('Lease Cycles'!$DR$32:$DX$32,1,CC418),1))-IF(CC419=0,INDEX('Lease Cycles'!$DD$32:$DJ$32,1,CC418),0))),0)</f>
        <v>0</v>
      </c>
      <c r="CD425" s="28">
        <f>IF(CD420=1,IF(INDEX('Lease Cycles'!$EF$32:$EL$32,1,CD418)=1,0,CD421*(1-IF(CD419&lt;INDEX('Lease Cycles'!$DK$32:$DQ$32,1,CD418),0,IF(CD419=INDEX('Lease Cycles'!$DK$32:$DQ$32,1,CD418),1-INDEX('Lease Cycles'!$DR$32:$DX$32,1,CD418),1))-IF(CD419=0,INDEX('Lease Cycles'!$DD$32:$DJ$32,1,CD418),0))),0)</f>
        <v>0</v>
      </c>
      <c r="CE425" s="28">
        <f>IF(CE420=1,IF(INDEX('Lease Cycles'!$EF$32:$EL$32,1,CE418)=1,0,CE421*(1-IF(CE419&lt;INDEX('Lease Cycles'!$DK$32:$DQ$32,1,CE418),0,IF(CE419=INDEX('Lease Cycles'!$DK$32:$DQ$32,1,CE418),1-INDEX('Lease Cycles'!$DR$32:$DX$32,1,CE418),1))-IF(CE419=0,INDEX('Lease Cycles'!$DD$32:$DJ$32,1,CE418),0))),0)</f>
        <v>0</v>
      </c>
      <c r="CF425" s="28">
        <f>IF(CF420=1,IF(INDEX('Lease Cycles'!$EF$32:$EL$32,1,CF418)=1,0,CF421*(1-IF(CF419&lt;INDEX('Lease Cycles'!$DK$32:$DQ$32,1,CF418),0,IF(CF419=INDEX('Lease Cycles'!$DK$32:$DQ$32,1,CF418),1-INDEX('Lease Cycles'!$DR$32:$DX$32,1,CF418),1))-IF(CF419=0,INDEX('Lease Cycles'!$DD$32:$DJ$32,1,CF418),0))),0)</f>
        <v>0</v>
      </c>
      <c r="CG425" s="28">
        <f>IF(CG420=1,IF(INDEX('Lease Cycles'!$EF$32:$EL$32,1,CG418)=1,0,CG421*(1-IF(CG419&lt;INDEX('Lease Cycles'!$DK$32:$DQ$32,1,CG418),0,IF(CG419=INDEX('Lease Cycles'!$DK$32:$DQ$32,1,CG418),1-INDEX('Lease Cycles'!$DR$32:$DX$32,1,CG418),1))-IF(CG419=0,INDEX('Lease Cycles'!$DD$32:$DJ$32,1,CG418),0))),0)</f>
        <v>0</v>
      </c>
      <c r="CH425" s="28">
        <f>IF(CH420=1,IF(INDEX('Lease Cycles'!$EF$32:$EL$32,1,CH418)=1,0,CH421*(1-IF(CH419&lt;INDEX('Lease Cycles'!$DK$32:$DQ$32,1,CH418),0,IF(CH419=INDEX('Lease Cycles'!$DK$32:$DQ$32,1,CH418),1-INDEX('Lease Cycles'!$DR$32:$DX$32,1,CH418),1))-IF(CH419=0,INDEX('Lease Cycles'!$DD$32:$DJ$32,1,CH418),0))),0)</f>
        <v>0</v>
      </c>
      <c r="CI425" s="28">
        <f>IF(CI420=1,IF(INDEX('Lease Cycles'!$EF$32:$EL$32,1,CI418)=1,0,CI421*(1-IF(CI419&lt;INDEX('Lease Cycles'!$DK$32:$DQ$32,1,CI418),0,IF(CI419=INDEX('Lease Cycles'!$DK$32:$DQ$32,1,CI418),1-INDEX('Lease Cycles'!$DR$32:$DX$32,1,CI418),1))-IF(CI419=0,INDEX('Lease Cycles'!$DD$32:$DJ$32,1,CI418),0))),0)</f>
        <v>0</v>
      </c>
      <c r="CJ425" s="28">
        <f>IF(CJ420=1,IF(INDEX('Lease Cycles'!$EF$32:$EL$32,1,CJ418)=1,0,CJ421*(1-IF(CJ419&lt;INDEX('Lease Cycles'!$DK$32:$DQ$32,1,CJ418),0,IF(CJ419=INDEX('Lease Cycles'!$DK$32:$DQ$32,1,CJ418),1-INDEX('Lease Cycles'!$DR$32:$DX$32,1,CJ418),1))-IF(CJ419=0,INDEX('Lease Cycles'!$DD$32:$DJ$32,1,CJ418),0))),0)</f>
        <v>0</v>
      </c>
      <c r="CK425" s="28">
        <f>IF(CK420=1,IF(INDEX('Lease Cycles'!$EF$32:$EL$32,1,CK418)=1,0,CK421*(1-IF(CK419&lt;INDEX('Lease Cycles'!$DK$32:$DQ$32,1,CK418),0,IF(CK419=INDEX('Lease Cycles'!$DK$32:$DQ$32,1,CK418),1-INDEX('Lease Cycles'!$DR$32:$DX$32,1,CK418),1))-IF(CK419=0,INDEX('Lease Cycles'!$DD$32:$DJ$32,1,CK418),0))),0)</f>
        <v>0</v>
      </c>
      <c r="CL425" s="28">
        <f>IF(CL420=1,IF(INDEX('Lease Cycles'!$EF$32:$EL$32,1,CL418)=1,0,CL421*(1-IF(CL419&lt;INDEX('Lease Cycles'!$DK$32:$DQ$32,1,CL418),0,IF(CL419=INDEX('Lease Cycles'!$DK$32:$DQ$32,1,CL418),1-INDEX('Lease Cycles'!$DR$32:$DX$32,1,CL418),1))-IF(CL419=0,INDEX('Lease Cycles'!$DD$32:$DJ$32,1,CL418),0))),0)</f>
        <v>0</v>
      </c>
      <c r="CM425" s="28">
        <f>IF(CM420=1,IF(INDEX('Lease Cycles'!$EF$32:$EL$32,1,CM418)=1,0,CM421*(1-IF(CM419&lt;INDEX('Lease Cycles'!$DK$32:$DQ$32,1,CM418),0,IF(CM419=INDEX('Lease Cycles'!$DK$32:$DQ$32,1,CM418),1-INDEX('Lease Cycles'!$DR$32:$DX$32,1,CM418),1))-IF(CM419=0,INDEX('Lease Cycles'!$DD$32:$DJ$32,1,CM418),0))),0)</f>
        <v>0</v>
      </c>
      <c r="CN425" s="28">
        <f>IF(CN420=1,IF(INDEX('Lease Cycles'!$EF$32:$EL$32,1,CN418)=1,0,CN421*(1-IF(CN419&lt;INDEX('Lease Cycles'!$DK$32:$DQ$32,1,CN418),0,IF(CN419=INDEX('Lease Cycles'!$DK$32:$DQ$32,1,CN418),1-INDEX('Lease Cycles'!$DR$32:$DX$32,1,CN418),1))-IF(CN419=0,INDEX('Lease Cycles'!$DD$32:$DJ$32,1,CN418),0))),0)</f>
        <v>0</v>
      </c>
      <c r="CO425" s="28">
        <f>IF(CO420=1,IF(INDEX('Lease Cycles'!$EF$32:$EL$32,1,CO418)=1,0,CO421*(1-IF(CO419&lt;INDEX('Lease Cycles'!$DK$32:$DQ$32,1,CO418),0,IF(CO419=INDEX('Lease Cycles'!$DK$32:$DQ$32,1,CO418),1-INDEX('Lease Cycles'!$DR$32:$DX$32,1,CO418),1))-IF(CO419=0,INDEX('Lease Cycles'!$DD$32:$DJ$32,1,CO418),0))),0)</f>
        <v>0</v>
      </c>
      <c r="CP425" s="28">
        <f>IF(CP420=1,IF(INDEX('Lease Cycles'!$EF$32:$EL$32,1,CP418)=1,0,CP421*(1-IF(CP419&lt;INDEX('Lease Cycles'!$DK$32:$DQ$32,1,CP418),0,IF(CP419=INDEX('Lease Cycles'!$DK$32:$DQ$32,1,CP418),1-INDEX('Lease Cycles'!$DR$32:$DX$32,1,CP418),1))-IF(CP419=0,INDEX('Lease Cycles'!$DD$32:$DJ$32,1,CP418),0))),0)</f>
        <v>0</v>
      </c>
      <c r="CQ425" s="28">
        <f>IF(CQ420=1,IF(INDEX('Lease Cycles'!$EF$32:$EL$32,1,CQ418)=1,0,CQ421*(1-IF(CQ419&lt;INDEX('Lease Cycles'!$DK$32:$DQ$32,1,CQ418),0,IF(CQ419=INDEX('Lease Cycles'!$DK$32:$DQ$32,1,CQ418),1-INDEX('Lease Cycles'!$DR$32:$DX$32,1,CQ418),1))-IF(CQ419=0,INDEX('Lease Cycles'!$DD$32:$DJ$32,1,CQ418),0))),0)</f>
        <v>0</v>
      </c>
      <c r="CR425" s="28">
        <f>IF(CR420=1,IF(INDEX('Lease Cycles'!$EF$32:$EL$32,1,CR418)=1,0,CR421*(1-IF(CR419&lt;INDEX('Lease Cycles'!$DK$32:$DQ$32,1,CR418),0,IF(CR419=INDEX('Lease Cycles'!$DK$32:$DQ$32,1,CR418),1-INDEX('Lease Cycles'!$DR$32:$DX$32,1,CR418),1))-IF(CR419=0,INDEX('Lease Cycles'!$DD$32:$DJ$32,1,CR418),0))),0)</f>
        <v>0</v>
      </c>
      <c r="CS425" s="28">
        <f>IF(CS420=1,IF(INDEX('Lease Cycles'!$EF$32:$EL$32,1,CS418)=1,0,CS421*(1-IF(CS419&lt;INDEX('Lease Cycles'!$DK$32:$DQ$32,1,CS418),0,IF(CS419=INDEX('Lease Cycles'!$DK$32:$DQ$32,1,CS418),1-INDEX('Lease Cycles'!$DR$32:$DX$32,1,CS418),1))-IF(CS419=0,INDEX('Lease Cycles'!$DD$32:$DJ$32,1,CS418),0))),0)</f>
        <v>0</v>
      </c>
      <c r="CT425" s="28">
        <f>IF(CT420=1,IF(INDEX('Lease Cycles'!$EF$32:$EL$32,1,CT418)=1,0,CT421*(1-IF(CT419&lt;INDEX('Lease Cycles'!$DK$32:$DQ$32,1,CT418),0,IF(CT419=INDEX('Lease Cycles'!$DK$32:$DQ$32,1,CT418),1-INDEX('Lease Cycles'!$DR$32:$DX$32,1,CT418),1))-IF(CT419=0,INDEX('Lease Cycles'!$DD$32:$DJ$32,1,CT418),0))),0)</f>
        <v>0</v>
      </c>
      <c r="CU425" s="28">
        <f>IF(CU420=1,IF(INDEX('Lease Cycles'!$EF$32:$EL$32,1,CU418)=1,0,CU421*(1-IF(CU419&lt;INDEX('Lease Cycles'!$DK$32:$DQ$32,1,CU418),0,IF(CU419=INDEX('Lease Cycles'!$DK$32:$DQ$32,1,CU418),1-INDEX('Lease Cycles'!$DR$32:$DX$32,1,CU418),1))-IF(CU419=0,INDEX('Lease Cycles'!$DD$32:$DJ$32,1,CU418),0))),0)</f>
        <v>0</v>
      </c>
      <c r="CV425" s="28">
        <f>IF(CV420=1,IF(INDEX('Lease Cycles'!$EF$32:$EL$32,1,CV418)=1,0,CV421*(1-IF(CV419&lt;INDEX('Lease Cycles'!$DK$32:$DQ$32,1,CV418),0,IF(CV419=INDEX('Lease Cycles'!$DK$32:$DQ$32,1,CV418),1-INDEX('Lease Cycles'!$DR$32:$DX$32,1,CV418),1))-IF(CV419=0,INDEX('Lease Cycles'!$DD$32:$DJ$32,1,CV418),0))),0)</f>
        <v>0</v>
      </c>
      <c r="CW425" s="28">
        <f>IF(CW420=1,IF(INDEX('Lease Cycles'!$EF$32:$EL$32,1,CW418)=1,0,CW421*(1-IF(CW419&lt;INDEX('Lease Cycles'!$DK$32:$DQ$32,1,CW418),0,IF(CW419=INDEX('Lease Cycles'!$DK$32:$DQ$32,1,CW418),1-INDEX('Lease Cycles'!$DR$32:$DX$32,1,CW418),1))-IF(CW419=0,INDEX('Lease Cycles'!$DD$32:$DJ$32,1,CW418),0))),0)</f>
        <v>0</v>
      </c>
      <c r="CX425" s="28">
        <f>IF(CX420=1,IF(INDEX('Lease Cycles'!$EF$32:$EL$32,1,CX418)=1,0,CX421*(1-IF(CX419&lt;INDEX('Lease Cycles'!$DK$32:$DQ$32,1,CX418),0,IF(CX419=INDEX('Lease Cycles'!$DK$32:$DQ$32,1,CX418),1-INDEX('Lease Cycles'!$DR$32:$DX$32,1,CX418),1))-IF(CX419=0,INDEX('Lease Cycles'!$DD$32:$DJ$32,1,CX418),0))),0)</f>
        <v>0</v>
      </c>
      <c r="CY425" s="28">
        <f>IF(CY420=1,IF(INDEX('Lease Cycles'!$EF$32:$EL$32,1,CY418)=1,0,CY421*(1-IF(CY419&lt;INDEX('Lease Cycles'!$DK$32:$DQ$32,1,CY418),0,IF(CY419=INDEX('Lease Cycles'!$DK$32:$DQ$32,1,CY418),1-INDEX('Lease Cycles'!$DR$32:$DX$32,1,CY418),1))-IF(CY419=0,INDEX('Lease Cycles'!$DD$32:$DJ$32,1,CY418),0))),0)</f>
        <v>0</v>
      </c>
      <c r="CZ425" s="28">
        <f>IF(CZ420=1,IF(INDEX('Lease Cycles'!$EF$32:$EL$32,1,CZ418)=1,0,CZ421*(1-IF(CZ419&lt;INDEX('Lease Cycles'!$DK$32:$DQ$32,1,CZ418),0,IF(CZ419=INDEX('Lease Cycles'!$DK$32:$DQ$32,1,CZ418),1-INDEX('Lease Cycles'!$DR$32:$DX$32,1,CZ418),1))-IF(CZ419=0,INDEX('Lease Cycles'!$DD$32:$DJ$32,1,CZ418),0))),0)</f>
        <v>0</v>
      </c>
      <c r="DA425" s="28">
        <f>IF(DA420=1,IF(INDEX('Lease Cycles'!$EF$32:$EL$32,1,DA418)=1,0,DA421*(1-IF(DA419&lt;INDEX('Lease Cycles'!$DK$32:$DQ$32,1,DA418),0,IF(DA419=INDEX('Lease Cycles'!$DK$32:$DQ$32,1,DA418),1-INDEX('Lease Cycles'!$DR$32:$DX$32,1,DA418),1))-IF(DA419=0,INDEX('Lease Cycles'!$DD$32:$DJ$32,1,DA418),0))),0)</f>
        <v>0</v>
      </c>
      <c r="DB425" s="28">
        <f>IF(DB420=1,IF(INDEX('Lease Cycles'!$EF$32:$EL$32,1,DB418)=1,0,DB421*(1-IF(DB419&lt;INDEX('Lease Cycles'!$DK$32:$DQ$32,1,DB418),0,IF(DB419=INDEX('Lease Cycles'!$DK$32:$DQ$32,1,DB418),1-INDEX('Lease Cycles'!$DR$32:$DX$32,1,DB418),1))-IF(DB419=0,INDEX('Lease Cycles'!$DD$32:$DJ$32,1,DB418),0))),0)</f>
        <v>0</v>
      </c>
      <c r="DC425" s="28">
        <f>IF(DC420=1,IF(INDEX('Lease Cycles'!$EF$32:$EL$32,1,DC418)=1,0,DC421*(1-IF(DC419&lt;INDEX('Lease Cycles'!$DK$32:$DQ$32,1,DC418),0,IF(DC419=INDEX('Lease Cycles'!$DK$32:$DQ$32,1,DC418),1-INDEX('Lease Cycles'!$DR$32:$DX$32,1,DC418),1))-IF(DC419=0,INDEX('Lease Cycles'!$DD$32:$DJ$32,1,DC418),0))),0)</f>
        <v>0</v>
      </c>
      <c r="DD425" s="28">
        <f>IF(DD420=1,IF(INDEX('Lease Cycles'!$EF$32:$EL$32,1,DD418)=1,0,DD421*(1-IF(DD419&lt;INDEX('Lease Cycles'!$DK$32:$DQ$32,1,DD418),0,IF(DD419=INDEX('Lease Cycles'!$DK$32:$DQ$32,1,DD418),1-INDEX('Lease Cycles'!$DR$32:$DX$32,1,DD418),1))-IF(DD419=0,INDEX('Lease Cycles'!$DD$32:$DJ$32,1,DD418),0))),0)</f>
        <v>0</v>
      </c>
      <c r="DE425" s="28">
        <f>IF(DE420=1,IF(INDEX('Lease Cycles'!$EF$32:$EL$32,1,DE418)=1,0,DE421*(1-IF(DE419&lt;INDEX('Lease Cycles'!$DK$32:$DQ$32,1,DE418),0,IF(DE419=INDEX('Lease Cycles'!$DK$32:$DQ$32,1,DE418),1-INDEX('Lease Cycles'!$DR$32:$DX$32,1,DE418),1))-IF(DE419=0,INDEX('Lease Cycles'!$DD$32:$DJ$32,1,DE418),0))),0)</f>
        <v>0</v>
      </c>
      <c r="DF425" s="28">
        <f>IF(DF420=1,IF(INDEX('Lease Cycles'!$EF$32:$EL$32,1,DF418)=1,0,DF421*(1-IF(DF419&lt;INDEX('Lease Cycles'!$DK$32:$DQ$32,1,DF418),0,IF(DF419=INDEX('Lease Cycles'!$DK$32:$DQ$32,1,DF418),1-INDEX('Lease Cycles'!$DR$32:$DX$32,1,DF418),1))-IF(DF419=0,INDEX('Lease Cycles'!$DD$32:$DJ$32,1,DF418),0))),0)</f>
        <v>0</v>
      </c>
      <c r="DG425" s="28">
        <f>IF(DG420=1,IF(INDEX('Lease Cycles'!$EF$32:$EL$32,1,DG418)=1,0,DG421*(1-IF(DG419&lt;INDEX('Lease Cycles'!$DK$32:$DQ$32,1,DG418),0,IF(DG419=INDEX('Lease Cycles'!$DK$32:$DQ$32,1,DG418),1-INDEX('Lease Cycles'!$DR$32:$DX$32,1,DG418),1))-IF(DG419=0,INDEX('Lease Cycles'!$DD$32:$DJ$32,1,DG418),0))),0)</f>
        <v>0</v>
      </c>
      <c r="DH425" s="28">
        <f>IF(DH420=1,IF(INDEX('Lease Cycles'!$EF$32:$EL$32,1,DH418)=1,0,DH421*(1-IF(DH419&lt;INDEX('Lease Cycles'!$DK$32:$DQ$32,1,DH418),0,IF(DH419=INDEX('Lease Cycles'!$DK$32:$DQ$32,1,DH418),1-INDEX('Lease Cycles'!$DR$32:$DX$32,1,DH418),1))-IF(DH419=0,INDEX('Lease Cycles'!$DD$32:$DJ$32,1,DH418),0))),0)</f>
        <v>0</v>
      </c>
      <c r="DI425" s="28">
        <f>IF(DI420=1,IF(INDEX('Lease Cycles'!$EF$32:$EL$32,1,DI418)=1,0,DI421*(1-IF(DI419&lt;INDEX('Lease Cycles'!$DK$32:$DQ$32,1,DI418),0,IF(DI419=INDEX('Lease Cycles'!$DK$32:$DQ$32,1,DI418),1-INDEX('Lease Cycles'!$DR$32:$DX$32,1,DI418),1))-IF(DI419=0,INDEX('Lease Cycles'!$DD$32:$DJ$32,1,DI418),0))),0)</f>
        <v>0</v>
      </c>
      <c r="DJ425" s="28">
        <f>IF(DJ420=1,IF(INDEX('Lease Cycles'!$EF$32:$EL$32,1,DJ418)=1,0,DJ421*(1-IF(DJ419&lt;INDEX('Lease Cycles'!$DK$32:$DQ$32,1,DJ418),0,IF(DJ419=INDEX('Lease Cycles'!$DK$32:$DQ$32,1,DJ418),1-INDEX('Lease Cycles'!$DR$32:$DX$32,1,DJ418),1))-IF(DJ419=0,INDEX('Lease Cycles'!$DD$32:$DJ$32,1,DJ418),0))),0)</f>
        <v>0</v>
      </c>
      <c r="DK425" s="28">
        <f>IF(DK420=1,IF(INDEX('Lease Cycles'!$EF$32:$EL$32,1,DK418)=1,0,DK421*(1-IF(DK419&lt;INDEX('Lease Cycles'!$DK$32:$DQ$32,1,DK418),0,IF(DK419=INDEX('Lease Cycles'!$DK$32:$DQ$32,1,DK418),1-INDEX('Lease Cycles'!$DR$32:$DX$32,1,DK418),1))-IF(DK419=0,INDEX('Lease Cycles'!$DD$32:$DJ$32,1,DK418),0))),0)</f>
        <v>0</v>
      </c>
      <c r="DL425" s="28">
        <f>IF(DL420=1,IF(INDEX('Lease Cycles'!$EF$32:$EL$32,1,DL418)=1,0,DL421*(1-IF(DL419&lt;INDEX('Lease Cycles'!$DK$32:$DQ$32,1,DL418),0,IF(DL419=INDEX('Lease Cycles'!$DK$32:$DQ$32,1,DL418),1-INDEX('Lease Cycles'!$DR$32:$DX$32,1,DL418),1))-IF(DL419=0,INDEX('Lease Cycles'!$DD$32:$DJ$32,1,DL418),0))),0)</f>
        <v>0</v>
      </c>
      <c r="DM425" s="28">
        <f>IF(DM420=1,IF(INDEX('Lease Cycles'!$EF$32:$EL$32,1,DM418)=1,0,DM421*(1-IF(DM419&lt;INDEX('Lease Cycles'!$DK$32:$DQ$32,1,DM418),0,IF(DM419=INDEX('Lease Cycles'!$DK$32:$DQ$32,1,DM418),1-INDEX('Lease Cycles'!$DR$32:$DX$32,1,DM418),1))-IF(DM419=0,INDEX('Lease Cycles'!$DD$32:$DJ$32,1,DM418),0))),0)</f>
        <v>0</v>
      </c>
      <c r="DN425" s="28">
        <f>IF(DN420=1,IF(INDEX('Lease Cycles'!$EF$32:$EL$32,1,DN418)=1,0,DN421*(1-IF(DN419&lt;INDEX('Lease Cycles'!$DK$32:$DQ$32,1,DN418),0,IF(DN419=INDEX('Lease Cycles'!$DK$32:$DQ$32,1,DN418),1-INDEX('Lease Cycles'!$DR$32:$DX$32,1,DN418),1))-IF(DN419=0,INDEX('Lease Cycles'!$DD$32:$DJ$32,1,DN418),0))),0)</f>
        <v>0</v>
      </c>
      <c r="DO425" s="28">
        <f>IF(DO420=1,IF(INDEX('Lease Cycles'!$EF$32:$EL$32,1,DO418)=1,0,DO421*(1-IF(DO419&lt;INDEX('Lease Cycles'!$DK$32:$DQ$32,1,DO418),0,IF(DO419=INDEX('Lease Cycles'!$DK$32:$DQ$32,1,DO418),1-INDEX('Lease Cycles'!$DR$32:$DX$32,1,DO418),1))-IF(DO419=0,INDEX('Lease Cycles'!$DD$32:$DJ$32,1,DO418),0))),0)</f>
        <v>0</v>
      </c>
      <c r="DP425" s="28">
        <f>IF(DP420=1,IF(INDEX('Lease Cycles'!$EF$32:$EL$32,1,DP418)=1,0,DP421*(1-IF(DP419&lt;INDEX('Lease Cycles'!$DK$32:$DQ$32,1,DP418),0,IF(DP419=INDEX('Lease Cycles'!$DK$32:$DQ$32,1,DP418),1-INDEX('Lease Cycles'!$DR$32:$DX$32,1,DP418),1))-IF(DP419=0,INDEX('Lease Cycles'!$DD$32:$DJ$32,1,DP418),0))),0)</f>
        <v>0</v>
      </c>
      <c r="DQ425" s="28">
        <f>IF(DQ420=1,IF(INDEX('Lease Cycles'!$EF$32:$EL$32,1,DQ418)=1,0,DQ421*(1-IF(DQ419&lt;INDEX('Lease Cycles'!$DK$32:$DQ$32,1,DQ418),0,IF(DQ419=INDEX('Lease Cycles'!$DK$32:$DQ$32,1,DQ418),1-INDEX('Lease Cycles'!$DR$32:$DX$32,1,DQ418),1))-IF(DQ419=0,INDEX('Lease Cycles'!$DD$32:$DJ$32,1,DQ418),0))),0)</f>
        <v>0</v>
      </c>
      <c r="DR425" s="28">
        <f>IF(DR420=1,IF(INDEX('Lease Cycles'!$EF$32:$EL$32,1,DR418)=1,0,DR421*(1-IF(DR419&lt;INDEX('Lease Cycles'!$DK$32:$DQ$32,1,DR418),0,IF(DR419=INDEX('Lease Cycles'!$DK$32:$DQ$32,1,DR418),1-INDEX('Lease Cycles'!$DR$32:$DX$32,1,DR418),1))-IF(DR419=0,INDEX('Lease Cycles'!$DD$32:$DJ$32,1,DR418),0))),0)</f>
        <v>0</v>
      </c>
      <c r="DS425" s="28">
        <f>IF(DS420=1,IF(INDEX('Lease Cycles'!$EF$32:$EL$32,1,DS418)=1,0,DS421*(1-IF(DS419&lt;INDEX('Lease Cycles'!$DK$32:$DQ$32,1,DS418),0,IF(DS419=INDEX('Lease Cycles'!$DK$32:$DQ$32,1,DS418),1-INDEX('Lease Cycles'!$DR$32:$DX$32,1,DS418),1))-IF(DS419=0,INDEX('Lease Cycles'!$DD$32:$DJ$32,1,DS418),0))),0)</f>
        <v>0</v>
      </c>
      <c r="DT425" s="28">
        <f>IF(DT420=1,IF(INDEX('Lease Cycles'!$EF$32:$EL$32,1,DT418)=1,0,DT421*(1-IF(DT419&lt;INDEX('Lease Cycles'!$DK$32:$DQ$32,1,DT418),0,IF(DT419=INDEX('Lease Cycles'!$DK$32:$DQ$32,1,DT418),1-INDEX('Lease Cycles'!$DR$32:$DX$32,1,DT418),1))-IF(DT419=0,INDEX('Lease Cycles'!$DD$32:$DJ$32,1,DT418),0))),0)</f>
        <v>0</v>
      </c>
      <c r="DU425" s="28">
        <f>IF(DU420=1,IF(INDEX('Lease Cycles'!$EF$32:$EL$32,1,DU418)=1,0,DU421*(1-IF(DU419&lt;INDEX('Lease Cycles'!$DK$32:$DQ$32,1,DU418),0,IF(DU419=INDEX('Lease Cycles'!$DK$32:$DQ$32,1,DU418),1-INDEX('Lease Cycles'!$DR$32:$DX$32,1,DU418),1))-IF(DU419=0,INDEX('Lease Cycles'!$DD$32:$DJ$32,1,DU418),0))),0)</f>
        <v>0</v>
      </c>
      <c r="DV425" s="28">
        <f>IF(DV420=1,IF(INDEX('Lease Cycles'!$EF$32:$EL$32,1,DV418)=1,0,DV421*(1-IF(DV419&lt;INDEX('Lease Cycles'!$DK$32:$DQ$32,1,DV418),0,IF(DV419=INDEX('Lease Cycles'!$DK$32:$DQ$32,1,DV418),1-INDEX('Lease Cycles'!$DR$32:$DX$32,1,DV418),1))-IF(DV419=0,INDEX('Lease Cycles'!$DD$32:$DJ$32,1,DV418),0))),0)</f>
        <v>0</v>
      </c>
      <c r="DW425" s="28">
        <f>IF(DW420=1,IF(INDEX('Lease Cycles'!$EF$32:$EL$32,1,DW418)=1,0,DW421*(1-IF(DW419&lt;INDEX('Lease Cycles'!$DK$32:$DQ$32,1,DW418),0,IF(DW419=INDEX('Lease Cycles'!$DK$32:$DQ$32,1,DW418),1-INDEX('Lease Cycles'!$DR$32:$DX$32,1,DW418),1))-IF(DW419=0,INDEX('Lease Cycles'!$DD$32:$DJ$32,1,DW418),0))),0)</f>
        <v>0</v>
      </c>
      <c r="DX425" s="28">
        <f>IF(DX420=1,IF(INDEX('Lease Cycles'!$EF$32:$EL$32,1,DX418)=1,0,DX421*(1-IF(DX419&lt;INDEX('Lease Cycles'!$DK$32:$DQ$32,1,DX418),0,IF(DX419=INDEX('Lease Cycles'!$DK$32:$DQ$32,1,DX418),1-INDEX('Lease Cycles'!$DR$32:$DX$32,1,DX418),1))-IF(DX419=0,INDEX('Lease Cycles'!$DD$32:$DJ$32,1,DX418),0))),0)</f>
        <v>0</v>
      </c>
      <c r="DY425" s="28">
        <f>IF(DY420=1,IF(INDEX('Lease Cycles'!$EF$32:$EL$32,1,DY418)=1,0,DY421*(1-IF(DY419&lt;INDEX('Lease Cycles'!$DK$32:$DQ$32,1,DY418),0,IF(DY419=INDEX('Lease Cycles'!$DK$32:$DQ$32,1,DY418),1-INDEX('Lease Cycles'!$DR$32:$DX$32,1,DY418),1))-IF(DY419=0,INDEX('Lease Cycles'!$DD$32:$DJ$32,1,DY418),0))),0)</f>
        <v>0</v>
      </c>
      <c r="DZ425" s="28">
        <f>IF(DZ420=1,IF(INDEX('Lease Cycles'!$EF$32:$EL$32,1,DZ418)=1,0,DZ421*(1-IF(DZ419&lt;INDEX('Lease Cycles'!$DK$32:$DQ$32,1,DZ418),0,IF(DZ419=INDEX('Lease Cycles'!$DK$32:$DQ$32,1,DZ418),1-INDEX('Lease Cycles'!$DR$32:$DX$32,1,DZ418),1))-IF(DZ419=0,INDEX('Lease Cycles'!$DD$32:$DJ$32,1,DZ418),0))),0)</f>
        <v>0</v>
      </c>
      <c r="EA425" s="28">
        <f>IF(EA420=1,IF(INDEX('Lease Cycles'!$EF$32:$EL$32,1,EA418)=1,0,EA421*(1-IF(EA419&lt;INDEX('Lease Cycles'!$DK$32:$DQ$32,1,EA418),0,IF(EA419=INDEX('Lease Cycles'!$DK$32:$DQ$32,1,EA418),1-INDEX('Lease Cycles'!$DR$32:$DX$32,1,EA418),1))-IF(EA419=0,INDEX('Lease Cycles'!$DD$32:$DJ$32,1,EA418),0))),0)</f>
        <v>0</v>
      </c>
      <c r="EB425" s="28">
        <f>IF(EB420=1,IF(INDEX('Lease Cycles'!$EF$32:$EL$32,1,EB418)=1,0,EB421*(1-IF(EB419&lt;INDEX('Lease Cycles'!$DK$32:$DQ$32,1,EB418),0,IF(EB419=INDEX('Lease Cycles'!$DK$32:$DQ$32,1,EB418),1-INDEX('Lease Cycles'!$DR$32:$DX$32,1,EB418),1))-IF(EB419=0,INDEX('Lease Cycles'!$DD$32:$DJ$32,1,EB418),0))),0)</f>
        <v>0</v>
      </c>
      <c r="EC425" s="28">
        <f>IF(EC420=1,IF(INDEX('Lease Cycles'!$EF$32:$EL$32,1,EC418)=1,0,EC421*(1-IF(EC419&lt;INDEX('Lease Cycles'!$DK$32:$DQ$32,1,EC418),0,IF(EC419=INDEX('Lease Cycles'!$DK$32:$DQ$32,1,EC418),1-INDEX('Lease Cycles'!$DR$32:$DX$32,1,EC418),1))-IF(EC419=0,INDEX('Lease Cycles'!$DD$32:$DJ$32,1,EC418),0))),0)</f>
        <v>0</v>
      </c>
      <c r="ED425" s="28">
        <f>IF(ED420=1,IF(INDEX('Lease Cycles'!$EF$32:$EL$32,1,ED418)=1,0,ED421*(1-IF(ED419&lt;INDEX('Lease Cycles'!$DK$32:$DQ$32,1,ED418),0,IF(ED419=INDEX('Lease Cycles'!$DK$32:$DQ$32,1,ED418),1-INDEX('Lease Cycles'!$DR$32:$DX$32,1,ED418),1))-IF(ED419=0,INDEX('Lease Cycles'!$DD$32:$DJ$32,1,ED418),0))),0)</f>
        <v>0</v>
      </c>
      <c r="EE425" s="28">
        <f>IF(EE420=1,IF(INDEX('Lease Cycles'!$EF$32:$EL$32,1,EE418)=1,0,EE421*(1-IF(EE419&lt;INDEX('Lease Cycles'!$DK$32:$DQ$32,1,EE418),0,IF(EE419=INDEX('Lease Cycles'!$DK$32:$DQ$32,1,EE418),1-INDEX('Lease Cycles'!$DR$32:$DX$32,1,EE418),1))-IF(EE419=0,INDEX('Lease Cycles'!$DD$32:$DJ$32,1,EE418),0))),0)</f>
        <v>0</v>
      </c>
      <c r="EF425" s="28">
        <f>IF(EF420=1,IF(INDEX('Lease Cycles'!$EF$32:$EL$32,1,EF418)=1,0,EF421*(1-IF(EF419&lt;INDEX('Lease Cycles'!$DK$32:$DQ$32,1,EF418),0,IF(EF419=INDEX('Lease Cycles'!$DK$32:$DQ$32,1,EF418),1-INDEX('Lease Cycles'!$DR$32:$DX$32,1,EF418),1))-IF(EF419=0,INDEX('Lease Cycles'!$DD$32:$DJ$32,1,EF418),0))),0)</f>
        <v>0</v>
      </c>
      <c r="EG425" s="28">
        <f>IF(EG420=1,IF(INDEX('Lease Cycles'!$EF$32:$EL$32,1,EG418)=1,0,EG421*(1-IF(EG419&lt;INDEX('Lease Cycles'!$DK$32:$DQ$32,1,EG418),0,IF(EG419=INDEX('Lease Cycles'!$DK$32:$DQ$32,1,EG418),1-INDEX('Lease Cycles'!$DR$32:$DX$32,1,EG418),1))-IF(EG419=0,INDEX('Lease Cycles'!$DD$32:$DJ$32,1,EG418),0))),0)</f>
        <v>0</v>
      </c>
      <c r="EH425" s="28">
        <f>IF(EH420=1,IF(INDEX('Lease Cycles'!$EF$32:$EL$32,1,EH418)=1,0,EH421*(1-IF(EH419&lt;INDEX('Lease Cycles'!$DK$32:$DQ$32,1,EH418),0,IF(EH419=INDEX('Lease Cycles'!$DK$32:$DQ$32,1,EH418),1-INDEX('Lease Cycles'!$DR$32:$DX$32,1,EH418),1))-IF(EH419=0,INDEX('Lease Cycles'!$DD$32:$DJ$32,1,EH418),0))),0)</f>
        <v>0</v>
      </c>
      <c r="EI425" s="28">
        <f>IF(EI420=1,IF(INDEX('Lease Cycles'!$EF$32:$EL$32,1,EI418)=1,0,EI421*(1-IF(EI419&lt;INDEX('Lease Cycles'!$DK$32:$DQ$32,1,EI418),0,IF(EI419=INDEX('Lease Cycles'!$DK$32:$DQ$32,1,EI418),1-INDEX('Lease Cycles'!$DR$32:$DX$32,1,EI418),1))-IF(EI419=0,INDEX('Lease Cycles'!$DD$32:$DJ$32,1,EI418),0))),0)</f>
        <v>0</v>
      </c>
      <c r="EJ425" s="28">
        <f>IF(EJ420=1,IF(INDEX('Lease Cycles'!$EF$32:$EL$32,1,EJ418)=1,0,EJ421*(1-IF(EJ419&lt;INDEX('Lease Cycles'!$DK$32:$DQ$32,1,EJ418),0,IF(EJ419=INDEX('Lease Cycles'!$DK$32:$DQ$32,1,EJ418),1-INDEX('Lease Cycles'!$DR$32:$DX$32,1,EJ418),1))-IF(EJ419=0,INDEX('Lease Cycles'!$DD$32:$DJ$32,1,EJ418),0))),0)</f>
        <v>0</v>
      </c>
      <c r="EK425" s="28">
        <f>IF(EK420=1,IF(INDEX('Lease Cycles'!$EF$32:$EL$32,1,EK418)=1,0,EK421*(1-IF(EK419&lt;INDEX('Lease Cycles'!$DK$32:$DQ$32,1,EK418),0,IF(EK419=INDEX('Lease Cycles'!$DK$32:$DQ$32,1,EK418),1-INDEX('Lease Cycles'!$DR$32:$DX$32,1,EK418),1))-IF(EK419=0,INDEX('Lease Cycles'!$DD$32:$DJ$32,1,EK418),0))),0)</f>
        <v>0</v>
      </c>
      <c r="EL425" s="28">
        <f>IF(EL420=1,IF(INDEX('Lease Cycles'!$EF$32:$EL$32,1,EL418)=1,0,EL421*(1-IF(EL419&lt;INDEX('Lease Cycles'!$DK$32:$DQ$32,1,EL418),0,IF(EL419=INDEX('Lease Cycles'!$DK$32:$DQ$32,1,EL418),1-INDEX('Lease Cycles'!$DR$32:$DX$32,1,EL418),1))-IF(EL419=0,INDEX('Lease Cycles'!$DD$32:$DJ$32,1,EL418),0))),0)</f>
        <v>0</v>
      </c>
      <c r="EM425" s="28">
        <f>IF(EM420=1,IF(INDEX('Lease Cycles'!$EF$32:$EL$32,1,EM418)=1,0,EM421*(1-IF(EM419&lt;INDEX('Lease Cycles'!$DK$32:$DQ$32,1,EM418),0,IF(EM419=INDEX('Lease Cycles'!$DK$32:$DQ$32,1,EM418),1-INDEX('Lease Cycles'!$DR$32:$DX$32,1,EM418),1))-IF(EM419=0,INDEX('Lease Cycles'!$DD$32:$DJ$32,1,EM418),0))),0)</f>
        <v>0</v>
      </c>
      <c r="EN425" s="28">
        <f>IF(EN420=1,IF(INDEX('Lease Cycles'!$EF$32:$EL$32,1,EN418)=1,0,EN421*(1-IF(EN419&lt;INDEX('Lease Cycles'!$DK$32:$DQ$32,1,EN418),0,IF(EN419=INDEX('Lease Cycles'!$DK$32:$DQ$32,1,EN418),1-INDEX('Lease Cycles'!$DR$32:$DX$32,1,EN418),1))-IF(EN419=0,INDEX('Lease Cycles'!$DD$32:$DJ$32,1,EN418),0))),0)</f>
        <v>0</v>
      </c>
      <c r="EO425" s="28">
        <f>IF(EO420=1,IF(INDEX('Lease Cycles'!$EF$32:$EL$32,1,EO418)=1,0,EO421*(1-IF(EO419&lt;INDEX('Lease Cycles'!$DK$32:$DQ$32,1,EO418),0,IF(EO419=INDEX('Lease Cycles'!$DK$32:$DQ$32,1,EO418),1-INDEX('Lease Cycles'!$DR$32:$DX$32,1,EO418),1))-IF(EO419=0,INDEX('Lease Cycles'!$DD$32:$DJ$32,1,EO418),0))),0)</f>
        <v>0</v>
      </c>
      <c r="EP425" s="28">
        <f>IF(EP420=1,IF(INDEX('Lease Cycles'!$EF$32:$EL$32,1,EP418)=1,0,EP421*(1-IF(EP419&lt;INDEX('Lease Cycles'!$DK$32:$DQ$32,1,EP418),0,IF(EP419=INDEX('Lease Cycles'!$DK$32:$DQ$32,1,EP418),1-INDEX('Lease Cycles'!$DR$32:$DX$32,1,EP418),1))-IF(EP419=0,INDEX('Lease Cycles'!$DD$32:$DJ$32,1,EP418),0))),0)</f>
        <v>0</v>
      </c>
      <c r="EQ425" s="28">
        <f>IF(EQ420=1,IF(INDEX('Lease Cycles'!$EF$32:$EL$32,1,EQ418)=1,0,EQ421*(1-IF(EQ419&lt;INDEX('Lease Cycles'!$DK$32:$DQ$32,1,EQ418),0,IF(EQ419=INDEX('Lease Cycles'!$DK$32:$DQ$32,1,EQ418),1-INDEX('Lease Cycles'!$DR$32:$DX$32,1,EQ418),1))-IF(EQ419=0,INDEX('Lease Cycles'!$DD$32:$DJ$32,1,EQ418),0))),0)</f>
        <v>0</v>
      </c>
      <c r="ER425" s="28">
        <f>IF(ER420=1,IF(INDEX('Lease Cycles'!$EF$32:$EL$32,1,ER418)=1,0,ER421*(1-IF(ER419&lt;INDEX('Lease Cycles'!$DK$32:$DQ$32,1,ER418),0,IF(ER419=INDEX('Lease Cycles'!$DK$32:$DQ$32,1,ER418),1-INDEX('Lease Cycles'!$DR$32:$DX$32,1,ER418),1))-IF(ER419=0,INDEX('Lease Cycles'!$DD$32:$DJ$32,1,ER418),0))),0)</f>
        <v>0</v>
      </c>
      <c r="ES425" s="28">
        <f>IF(ES420=1,IF(INDEX('Lease Cycles'!$EF$32:$EL$32,1,ES418)=1,0,ES421*(1-IF(ES419&lt;INDEX('Lease Cycles'!$DK$32:$DQ$32,1,ES418),0,IF(ES419=INDEX('Lease Cycles'!$DK$32:$DQ$32,1,ES418),1-INDEX('Lease Cycles'!$DR$32:$DX$32,1,ES418),1))-IF(ES419=0,INDEX('Lease Cycles'!$DD$32:$DJ$32,1,ES418),0))),0)</f>
        <v>0</v>
      </c>
      <c r="ET425" s="28">
        <f>IF(ET420=1,IF(INDEX('Lease Cycles'!$EF$32:$EL$32,1,ET418)=1,0,ET421*(1-IF(ET419&lt;INDEX('Lease Cycles'!$DK$32:$DQ$32,1,ET418),0,IF(ET419=INDEX('Lease Cycles'!$DK$32:$DQ$32,1,ET418),1-INDEX('Lease Cycles'!$DR$32:$DX$32,1,ET418),1))-IF(ET419=0,INDEX('Lease Cycles'!$DD$32:$DJ$32,1,ET418),0))),0)</f>
        <v>0</v>
      </c>
    </row>
    <row r="426">
      <c r="A426" s="103">
        <v>25</v>
      </c>
      <c r="B426" s="23" t="str">
        <f>IF('Lease Cycles'!$B$32="","(empty slot)",'Lease Cycles'!$B$32)</f>
        <v>(empty slot)</v>
      </c>
      <c r="C426" s="23" t="s">
        <v>683</v>
      </c>
      <c r="D426" s="104" t="s">
        <v>684</v>
      </c>
      <c r="E426" s="25">
        <f>'Lease Cycles'!$AL$32</f>
        <v>0</v>
      </c>
      <c r="G426" s="24">
        <f>SUM(S426:AD426)</f>
        <v>0</v>
      </c>
      <c r="H426" s="24">
        <f>SUM(AE426:AP426)</f>
        <v>0</v>
      </c>
      <c r="I426" s="24">
        <f>SUM(AQ426:BB426)</f>
        <v>0</v>
      </c>
      <c r="J426" s="24">
        <f>SUM(BC426:BN426)</f>
        <v>0</v>
      </c>
      <c r="K426" s="24">
        <f>SUM(BO426:BZ426)</f>
        <v>0</v>
      </c>
      <c r="L426" s="24">
        <f>SUM(CA426:CL426)</f>
        <v>0</v>
      </c>
      <c r="M426" s="24">
        <f>SUM(CM426:CX426)</f>
        <v>0</v>
      </c>
      <c r="N426" s="24">
        <f>SUM(CY426:DJ426)</f>
        <v>0</v>
      </c>
      <c r="O426" s="24">
        <f>SUM(DK426:DV426)</f>
        <v>0</v>
      </c>
      <c r="P426" s="24">
        <f>SUM(DW426:EH426)</f>
        <v>0</v>
      </c>
      <c r="Q426" s="24">
        <f>SUM(EI426:ET426)</f>
        <v>0</v>
      </c>
      <c r="S426" s="24">
        <f>IF(S420=1,'Lease Cycles'!$D$32*IF(INDEX('Lease Cycles'!$EF$32:$EL$32,1,S418)=1,(1-'Lease Cycles'!$AJ$32)*INDEX('Lease Cycles'!$EM$32:$ES$32,1,S418)+(1-'Lease Cycles'!$BE$32)*IF(S419&lt;INDEX('Lease Cycles'!$FA$32:$FG$32,1,S418),0,1-INDEX('Lease Cycles'!$EM$32:$ES$32,1,S418)),IF(OR(INDEX('Lease Cycles'!$DY$32:$EE$32,1,S418)=1,S419&gt;0),1,1-INDEX('Lease Cycles'!$DD$32:$DJ$32,1,S418))*((1-'Lease Cycles'!$AJ$32)*INDEX('Lease Cycles'!$FO$32:$FU$32,1,S418)+(1-'Lease Cycles'!$BE$32)*(1-INDEX('Lease Cycles'!$FO$32:$FU$32,1,S418)))),0)</f>
        <v>0</v>
      </c>
      <c r="T426" s="24">
        <f>IF(T420=1,'Lease Cycles'!$D$32*IF(INDEX('Lease Cycles'!$EF$32:$EL$32,1,T418)=1,(1-'Lease Cycles'!$AJ$32)*INDEX('Lease Cycles'!$EM$32:$ES$32,1,T418)+(1-'Lease Cycles'!$BE$32)*IF(T419&lt;INDEX('Lease Cycles'!$FA$32:$FG$32,1,T418),0,1-INDEX('Lease Cycles'!$EM$32:$ES$32,1,T418)),IF(OR(INDEX('Lease Cycles'!$DY$32:$EE$32,1,T418)=1,T419&gt;0),1,1-INDEX('Lease Cycles'!$DD$32:$DJ$32,1,T418))*((1-'Lease Cycles'!$AJ$32)*INDEX('Lease Cycles'!$FO$32:$FU$32,1,T418)+(1-'Lease Cycles'!$BE$32)*(1-INDEX('Lease Cycles'!$FO$32:$FU$32,1,T418)))),0)</f>
        <v>0</v>
      </c>
      <c r="U426" s="24">
        <f>IF(U420=1,'Lease Cycles'!$D$32*IF(INDEX('Lease Cycles'!$EF$32:$EL$32,1,U418)=1,(1-'Lease Cycles'!$AJ$32)*INDEX('Lease Cycles'!$EM$32:$ES$32,1,U418)+(1-'Lease Cycles'!$BE$32)*IF(U419&lt;INDEX('Lease Cycles'!$FA$32:$FG$32,1,U418),0,1-INDEX('Lease Cycles'!$EM$32:$ES$32,1,U418)),IF(OR(INDEX('Lease Cycles'!$DY$32:$EE$32,1,U418)=1,U419&gt;0),1,1-INDEX('Lease Cycles'!$DD$32:$DJ$32,1,U418))*((1-'Lease Cycles'!$AJ$32)*INDEX('Lease Cycles'!$FO$32:$FU$32,1,U418)+(1-'Lease Cycles'!$BE$32)*(1-INDEX('Lease Cycles'!$FO$32:$FU$32,1,U418)))),0)</f>
        <v>0</v>
      </c>
      <c r="V426" s="24">
        <f>IF(V420=1,'Lease Cycles'!$D$32*IF(INDEX('Lease Cycles'!$EF$32:$EL$32,1,V418)=1,(1-'Lease Cycles'!$AJ$32)*INDEX('Lease Cycles'!$EM$32:$ES$32,1,V418)+(1-'Lease Cycles'!$BE$32)*IF(V419&lt;INDEX('Lease Cycles'!$FA$32:$FG$32,1,V418),0,1-INDEX('Lease Cycles'!$EM$32:$ES$32,1,V418)),IF(OR(INDEX('Lease Cycles'!$DY$32:$EE$32,1,V418)=1,V419&gt;0),1,1-INDEX('Lease Cycles'!$DD$32:$DJ$32,1,V418))*((1-'Lease Cycles'!$AJ$32)*INDEX('Lease Cycles'!$FO$32:$FU$32,1,V418)+(1-'Lease Cycles'!$BE$32)*(1-INDEX('Lease Cycles'!$FO$32:$FU$32,1,V418)))),0)</f>
        <v>0</v>
      </c>
      <c r="W426" s="24">
        <f>IF(W420=1,'Lease Cycles'!$D$32*IF(INDEX('Lease Cycles'!$EF$32:$EL$32,1,W418)=1,(1-'Lease Cycles'!$AJ$32)*INDEX('Lease Cycles'!$EM$32:$ES$32,1,W418)+(1-'Lease Cycles'!$BE$32)*IF(W419&lt;INDEX('Lease Cycles'!$FA$32:$FG$32,1,W418),0,1-INDEX('Lease Cycles'!$EM$32:$ES$32,1,W418)),IF(OR(INDEX('Lease Cycles'!$DY$32:$EE$32,1,W418)=1,W419&gt;0),1,1-INDEX('Lease Cycles'!$DD$32:$DJ$32,1,W418))*((1-'Lease Cycles'!$AJ$32)*INDEX('Lease Cycles'!$FO$32:$FU$32,1,W418)+(1-'Lease Cycles'!$BE$32)*(1-INDEX('Lease Cycles'!$FO$32:$FU$32,1,W418)))),0)</f>
        <v>0</v>
      </c>
      <c r="X426" s="24">
        <f>IF(X420=1,'Lease Cycles'!$D$32*IF(INDEX('Lease Cycles'!$EF$32:$EL$32,1,X418)=1,(1-'Lease Cycles'!$AJ$32)*INDEX('Lease Cycles'!$EM$32:$ES$32,1,X418)+(1-'Lease Cycles'!$BE$32)*IF(X419&lt;INDEX('Lease Cycles'!$FA$32:$FG$32,1,X418),0,1-INDEX('Lease Cycles'!$EM$32:$ES$32,1,X418)),IF(OR(INDEX('Lease Cycles'!$DY$32:$EE$32,1,X418)=1,X419&gt;0),1,1-INDEX('Lease Cycles'!$DD$32:$DJ$32,1,X418))*((1-'Lease Cycles'!$AJ$32)*INDEX('Lease Cycles'!$FO$32:$FU$32,1,X418)+(1-'Lease Cycles'!$BE$32)*(1-INDEX('Lease Cycles'!$FO$32:$FU$32,1,X418)))),0)</f>
        <v>0</v>
      </c>
      <c r="Y426" s="24">
        <f>IF(Y420=1,'Lease Cycles'!$D$32*IF(INDEX('Lease Cycles'!$EF$32:$EL$32,1,Y418)=1,(1-'Lease Cycles'!$AJ$32)*INDEX('Lease Cycles'!$EM$32:$ES$32,1,Y418)+(1-'Lease Cycles'!$BE$32)*IF(Y419&lt;INDEX('Lease Cycles'!$FA$32:$FG$32,1,Y418),0,1-INDEX('Lease Cycles'!$EM$32:$ES$32,1,Y418)),IF(OR(INDEX('Lease Cycles'!$DY$32:$EE$32,1,Y418)=1,Y419&gt;0),1,1-INDEX('Lease Cycles'!$DD$32:$DJ$32,1,Y418))*((1-'Lease Cycles'!$AJ$32)*INDEX('Lease Cycles'!$FO$32:$FU$32,1,Y418)+(1-'Lease Cycles'!$BE$32)*(1-INDEX('Lease Cycles'!$FO$32:$FU$32,1,Y418)))),0)</f>
        <v>0</v>
      </c>
      <c r="Z426" s="24">
        <f>IF(Z420=1,'Lease Cycles'!$D$32*IF(INDEX('Lease Cycles'!$EF$32:$EL$32,1,Z418)=1,(1-'Lease Cycles'!$AJ$32)*INDEX('Lease Cycles'!$EM$32:$ES$32,1,Z418)+(1-'Lease Cycles'!$BE$32)*IF(Z419&lt;INDEX('Lease Cycles'!$FA$32:$FG$32,1,Z418),0,1-INDEX('Lease Cycles'!$EM$32:$ES$32,1,Z418)),IF(OR(INDEX('Lease Cycles'!$DY$32:$EE$32,1,Z418)=1,Z419&gt;0),1,1-INDEX('Lease Cycles'!$DD$32:$DJ$32,1,Z418))*((1-'Lease Cycles'!$AJ$32)*INDEX('Lease Cycles'!$FO$32:$FU$32,1,Z418)+(1-'Lease Cycles'!$BE$32)*(1-INDEX('Lease Cycles'!$FO$32:$FU$32,1,Z418)))),0)</f>
        <v>0</v>
      </c>
      <c r="AA426" s="24">
        <f>IF(AA420=1,'Lease Cycles'!$D$32*IF(INDEX('Lease Cycles'!$EF$32:$EL$32,1,AA418)=1,(1-'Lease Cycles'!$AJ$32)*INDEX('Lease Cycles'!$EM$32:$ES$32,1,AA418)+(1-'Lease Cycles'!$BE$32)*IF(AA419&lt;INDEX('Lease Cycles'!$FA$32:$FG$32,1,AA418),0,1-INDEX('Lease Cycles'!$EM$32:$ES$32,1,AA418)),IF(OR(INDEX('Lease Cycles'!$DY$32:$EE$32,1,AA418)=1,AA419&gt;0),1,1-INDEX('Lease Cycles'!$DD$32:$DJ$32,1,AA418))*((1-'Lease Cycles'!$AJ$32)*INDEX('Lease Cycles'!$FO$32:$FU$32,1,AA418)+(1-'Lease Cycles'!$BE$32)*(1-INDEX('Lease Cycles'!$FO$32:$FU$32,1,AA418)))),0)</f>
        <v>0</v>
      </c>
      <c r="AB426" s="24">
        <f>IF(AB420=1,'Lease Cycles'!$D$32*IF(INDEX('Lease Cycles'!$EF$32:$EL$32,1,AB418)=1,(1-'Lease Cycles'!$AJ$32)*INDEX('Lease Cycles'!$EM$32:$ES$32,1,AB418)+(1-'Lease Cycles'!$BE$32)*IF(AB419&lt;INDEX('Lease Cycles'!$FA$32:$FG$32,1,AB418),0,1-INDEX('Lease Cycles'!$EM$32:$ES$32,1,AB418)),IF(OR(INDEX('Lease Cycles'!$DY$32:$EE$32,1,AB418)=1,AB419&gt;0),1,1-INDEX('Lease Cycles'!$DD$32:$DJ$32,1,AB418))*((1-'Lease Cycles'!$AJ$32)*INDEX('Lease Cycles'!$FO$32:$FU$32,1,AB418)+(1-'Lease Cycles'!$BE$32)*(1-INDEX('Lease Cycles'!$FO$32:$FU$32,1,AB418)))),0)</f>
        <v>0</v>
      </c>
      <c r="AC426" s="24">
        <f>IF(AC420=1,'Lease Cycles'!$D$32*IF(INDEX('Lease Cycles'!$EF$32:$EL$32,1,AC418)=1,(1-'Lease Cycles'!$AJ$32)*INDEX('Lease Cycles'!$EM$32:$ES$32,1,AC418)+(1-'Lease Cycles'!$BE$32)*IF(AC419&lt;INDEX('Lease Cycles'!$FA$32:$FG$32,1,AC418),0,1-INDEX('Lease Cycles'!$EM$32:$ES$32,1,AC418)),IF(OR(INDEX('Lease Cycles'!$DY$32:$EE$32,1,AC418)=1,AC419&gt;0),1,1-INDEX('Lease Cycles'!$DD$32:$DJ$32,1,AC418))*((1-'Lease Cycles'!$AJ$32)*INDEX('Lease Cycles'!$FO$32:$FU$32,1,AC418)+(1-'Lease Cycles'!$BE$32)*(1-INDEX('Lease Cycles'!$FO$32:$FU$32,1,AC418)))),0)</f>
        <v>0</v>
      </c>
      <c r="AD426" s="24">
        <f>IF(AD420=1,'Lease Cycles'!$D$32*IF(INDEX('Lease Cycles'!$EF$32:$EL$32,1,AD418)=1,(1-'Lease Cycles'!$AJ$32)*INDEX('Lease Cycles'!$EM$32:$ES$32,1,AD418)+(1-'Lease Cycles'!$BE$32)*IF(AD419&lt;INDEX('Lease Cycles'!$FA$32:$FG$32,1,AD418),0,1-INDEX('Lease Cycles'!$EM$32:$ES$32,1,AD418)),IF(OR(INDEX('Lease Cycles'!$DY$32:$EE$32,1,AD418)=1,AD419&gt;0),1,1-INDEX('Lease Cycles'!$DD$32:$DJ$32,1,AD418))*((1-'Lease Cycles'!$AJ$32)*INDEX('Lease Cycles'!$FO$32:$FU$32,1,AD418)+(1-'Lease Cycles'!$BE$32)*(1-INDEX('Lease Cycles'!$FO$32:$FU$32,1,AD418)))),0)</f>
        <v>0</v>
      </c>
      <c r="AE426" s="24">
        <f>IF(AE420=1,'Lease Cycles'!$D$32*IF(INDEX('Lease Cycles'!$EF$32:$EL$32,1,AE418)=1,(1-'Lease Cycles'!$AJ$32)*INDEX('Lease Cycles'!$EM$32:$ES$32,1,AE418)+(1-'Lease Cycles'!$BE$32)*IF(AE419&lt;INDEX('Lease Cycles'!$FA$32:$FG$32,1,AE418),0,1-INDEX('Lease Cycles'!$EM$32:$ES$32,1,AE418)),IF(OR(INDEX('Lease Cycles'!$DY$32:$EE$32,1,AE418)=1,AE419&gt;0),1,1-INDEX('Lease Cycles'!$DD$32:$DJ$32,1,AE418))*((1-'Lease Cycles'!$AJ$32)*INDEX('Lease Cycles'!$FO$32:$FU$32,1,AE418)+(1-'Lease Cycles'!$BE$32)*(1-INDEX('Lease Cycles'!$FO$32:$FU$32,1,AE418)))),0)</f>
        <v>0</v>
      </c>
      <c r="AF426" s="24">
        <f>IF(AF420=1,'Lease Cycles'!$D$32*IF(INDEX('Lease Cycles'!$EF$32:$EL$32,1,AF418)=1,(1-'Lease Cycles'!$AJ$32)*INDEX('Lease Cycles'!$EM$32:$ES$32,1,AF418)+(1-'Lease Cycles'!$BE$32)*IF(AF419&lt;INDEX('Lease Cycles'!$FA$32:$FG$32,1,AF418),0,1-INDEX('Lease Cycles'!$EM$32:$ES$32,1,AF418)),IF(OR(INDEX('Lease Cycles'!$DY$32:$EE$32,1,AF418)=1,AF419&gt;0),1,1-INDEX('Lease Cycles'!$DD$32:$DJ$32,1,AF418))*((1-'Lease Cycles'!$AJ$32)*INDEX('Lease Cycles'!$FO$32:$FU$32,1,AF418)+(1-'Lease Cycles'!$BE$32)*(1-INDEX('Lease Cycles'!$FO$32:$FU$32,1,AF418)))),0)</f>
        <v>0</v>
      </c>
      <c r="AG426" s="24">
        <f>IF(AG420=1,'Lease Cycles'!$D$32*IF(INDEX('Lease Cycles'!$EF$32:$EL$32,1,AG418)=1,(1-'Lease Cycles'!$AJ$32)*INDEX('Lease Cycles'!$EM$32:$ES$32,1,AG418)+(1-'Lease Cycles'!$BE$32)*IF(AG419&lt;INDEX('Lease Cycles'!$FA$32:$FG$32,1,AG418),0,1-INDEX('Lease Cycles'!$EM$32:$ES$32,1,AG418)),IF(OR(INDEX('Lease Cycles'!$DY$32:$EE$32,1,AG418)=1,AG419&gt;0),1,1-INDEX('Lease Cycles'!$DD$32:$DJ$32,1,AG418))*((1-'Lease Cycles'!$AJ$32)*INDEX('Lease Cycles'!$FO$32:$FU$32,1,AG418)+(1-'Lease Cycles'!$BE$32)*(1-INDEX('Lease Cycles'!$FO$32:$FU$32,1,AG418)))),0)</f>
        <v>0</v>
      </c>
      <c r="AH426" s="24">
        <f>IF(AH420=1,'Lease Cycles'!$D$32*IF(INDEX('Lease Cycles'!$EF$32:$EL$32,1,AH418)=1,(1-'Lease Cycles'!$AJ$32)*INDEX('Lease Cycles'!$EM$32:$ES$32,1,AH418)+(1-'Lease Cycles'!$BE$32)*IF(AH419&lt;INDEX('Lease Cycles'!$FA$32:$FG$32,1,AH418),0,1-INDEX('Lease Cycles'!$EM$32:$ES$32,1,AH418)),IF(OR(INDEX('Lease Cycles'!$DY$32:$EE$32,1,AH418)=1,AH419&gt;0),1,1-INDEX('Lease Cycles'!$DD$32:$DJ$32,1,AH418))*((1-'Lease Cycles'!$AJ$32)*INDEX('Lease Cycles'!$FO$32:$FU$32,1,AH418)+(1-'Lease Cycles'!$BE$32)*(1-INDEX('Lease Cycles'!$FO$32:$FU$32,1,AH418)))),0)</f>
        <v>0</v>
      </c>
      <c r="AI426" s="24">
        <f>IF(AI420=1,'Lease Cycles'!$D$32*IF(INDEX('Lease Cycles'!$EF$32:$EL$32,1,AI418)=1,(1-'Lease Cycles'!$AJ$32)*INDEX('Lease Cycles'!$EM$32:$ES$32,1,AI418)+(1-'Lease Cycles'!$BE$32)*IF(AI419&lt;INDEX('Lease Cycles'!$FA$32:$FG$32,1,AI418),0,1-INDEX('Lease Cycles'!$EM$32:$ES$32,1,AI418)),IF(OR(INDEX('Lease Cycles'!$DY$32:$EE$32,1,AI418)=1,AI419&gt;0),1,1-INDEX('Lease Cycles'!$DD$32:$DJ$32,1,AI418))*((1-'Lease Cycles'!$AJ$32)*INDEX('Lease Cycles'!$FO$32:$FU$32,1,AI418)+(1-'Lease Cycles'!$BE$32)*(1-INDEX('Lease Cycles'!$FO$32:$FU$32,1,AI418)))),0)</f>
        <v>0</v>
      </c>
      <c r="AJ426" s="24">
        <f>IF(AJ420=1,'Lease Cycles'!$D$32*IF(INDEX('Lease Cycles'!$EF$32:$EL$32,1,AJ418)=1,(1-'Lease Cycles'!$AJ$32)*INDEX('Lease Cycles'!$EM$32:$ES$32,1,AJ418)+(1-'Lease Cycles'!$BE$32)*IF(AJ419&lt;INDEX('Lease Cycles'!$FA$32:$FG$32,1,AJ418),0,1-INDEX('Lease Cycles'!$EM$32:$ES$32,1,AJ418)),IF(OR(INDEX('Lease Cycles'!$DY$32:$EE$32,1,AJ418)=1,AJ419&gt;0),1,1-INDEX('Lease Cycles'!$DD$32:$DJ$32,1,AJ418))*((1-'Lease Cycles'!$AJ$32)*INDEX('Lease Cycles'!$FO$32:$FU$32,1,AJ418)+(1-'Lease Cycles'!$BE$32)*(1-INDEX('Lease Cycles'!$FO$32:$FU$32,1,AJ418)))),0)</f>
        <v>0</v>
      </c>
      <c r="AK426" s="24">
        <f>IF(AK420=1,'Lease Cycles'!$D$32*IF(INDEX('Lease Cycles'!$EF$32:$EL$32,1,AK418)=1,(1-'Lease Cycles'!$AJ$32)*INDEX('Lease Cycles'!$EM$32:$ES$32,1,AK418)+(1-'Lease Cycles'!$BE$32)*IF(AK419&lt;INDEX('Lease Cycles'!$FA$32:$FG$32,1,AK418),0,1-INDEX('Lease Cycles'!$EM$32:$ES$32,1,AK418)),IF(OR(INDEX('Lease Cycles'!$DY$32:$EE$32,1,AK418)=1,AK419&gt;0),1,1-INDEX('Lease Cycles'!$DD$32:$DJ$32,1,AK418))*((1-'Lease Cycles'!$AJ$32)*INDEX('Lease Cycles'!$FO$32:$FU$32,1,AK418)+(1-'Lease Cycles'!$BE$32)*(1-INDEX('Lease Cycles'!$FO$32:$FU$32,1,AK418)))),0)</f>
        <v>0</v>
      </c>
      <c r="AL426" s="24">
        <f>IF(AL420=1,'Lease Cycles'!$D$32*IF(INDEX('Lease Cycles'!$EF$32:$EL$32,1,AL418)=1,(1-'Lease Cycles'!$AJ$32)*INDEX('Lease Cycles'!$EM$32:$ES$32,1,AL418)+(1-'Lease Cycles'!$BE$32)*IF(AL419&lt;INDEX('Lease Cycles'!$FA$32:$FG$32,1,AL418),0,1-INDEX('Lease Cycles'!$EM$32:$ES$32,1,AL418)),IF(OR(INDEX('Lease Cycles'!$DY$32:$EE$32,1,AL418)=1,AL419&gt;0),1,1-INDEX('Lease Cycles'!$DD$32:$DJ$32,1,AL418))*((1-'Lease Cycles'!$AJ$32)*INDEX('Lease Cycles'!$FO$32:$FU$32,1,AL418)+(1-'Lease Cycles'!$BE$32)*(1-INDEX('Lease Cycles'!$FO$32:$FU$32,1,AL418)))),0)</f>
        <v>0</v>
      </c>
      <c r="AM426" s="24">
        <f>IF(AM420=1,'Lease Cycles'!$D$32*IF(INDEX('Lease Cycles'!$EF$32:$EL$32,1,AM418)=1,(1-'Lease Cycles'!$AJ$32)*INDEX('Lease Cycles'!$EM$32:$ES$32,1,AM418)+(1-'Lease Cycles'!$BE$32)*IF(AM419&lt;INDEX('Lease Cycles'!$FA$32:$FG$32,1,AM418),0,1-INDEX('Lease Cycles'!$EM$32:$ES$32,1,AM418)),IF(OR(INDEX('Lease Cycles'!$DY$32:$EE$32,1,AM418)=1,AM419&gt;0),1,1-INDEX('Lease Cycles'!$DD$32:$DJ$32,1,AM418))*((1-'Lease Cycles'!$AJ$32)*INDEX('Lease Cycles'!$FO$32:$FU$32,1,AM418)+(1-'Lease Cycles'!$BE$32)*(1-INDEX('Lease Cycles'!$FO$32:$FU$32,1,AM418)))),0)</f>
        <v>0</v>
      </c>
      <c r="AN426" s="24">
        <f>IF(AN420=1,'Lease Cycles'!$D$32*IF(INDEX('Lease Cycles'!$EF$32:$EL$32,1,AN418)=1,(1-'Lease Cycles'!$AJ$32)*INDEX('Lease Cycles'!$EM$32:$ES$32,1,AN418)+(1-'Lease Cycles'!$BE$32)*IF(AN419&lt;INDEX('Lease Cycles'!$FA$32:$FG$32,1,AN418),0,1-INDEX('Lease Cycles'!$EM$32:$ES$32,1,AN418)),IF(OR(INDEX('Lease Cycles'!$DY$32:$EE$32,1,AN418)=1,AN419&gt;0),1,1-INDEX('Lease Cycles'!$DD$32:$DJ$32,1,AN418))*((1-'Lease Cycles'!$AJ$32)*INDEX('Lease Cycles'!$FO$32:$FU$32,1,AN418)+(1-'Lease Cycles'!$BE$32)*(1-INDEX('Lease Cycles'!$FO$32:$FU$32,1,AN418)))),0)</f>
        <v>0</v>
      </c>
      <c r="AO426" s="24">
        <f>IF(AO420=1,'Lease Cycles'!$D$32*IF(INDEX('Lease Cycles'!$EF$32:$EL$32,1,AO418)=1,(1-'Lease Cycles'!$AJ$32)*INDEX('Lease Cycles'!$EM$32:$ES$32,1,AO418)+(1-'Lease Cycles'!$BE$32)*IF(AO419&lt;INDEX('Lease Cycles'!$FA$32:$FG$32,1,AO418),0,1-INDEX('Lease Cycles'!$EM$32:$ES$32,1,AO418)),IF(OR(INDEX('Lease Cycles'!$DY$32:$EE$32,1,AO418)=1,AO419&gt;0),1,1-INDEX('Lease Cycles'!$DD$32:$DJ$32,1,AO418))*((1-'Lease Cycles'!$AJ$32)*INDEX('Lease Cycles'!$FO$32:$FU$32,1,AO418)+(1-'Lease Cycles'!$BE$32)*(1-INDEX('Lease Cycles'!$FO$32:$FU$32,1,AO418)))),0)</f>
        <v>0</v>
      </c>
      <c r="AP426" s="24">
        <f>IF(AP420=1,'Lease Cycles'!$D$32*IF(INDEX('Lease Cycles'!$EF$32:$EL$32,1,AP418)=1,(1-'Lease Cycles'!$AJ$32)*INDEX('Lease Cycles'!$EM$32:$ES$32,1,AP418)+(1-'Lease Cycles'!$BE$32)*IF(AP419&lt;INDEX('Lease Cycles'!$FA$32:$FG$32,1,AP418),0,1-INDEX('Lease Cycles'!$EM$32:$ES$32,1,AP418)),IF(OR(INDEX('Lease Cycles'!$DY$32:$EE$32,1,AP418)=1,AP419&gt;0),1,1-INDEX('Lease Cycles'!$DD$32:$DJ$32,1,AP418))*((1-'Lease Cycles'!$AJ$32)*INDEX('Lease Cycles'!$FO$32:$FU$32,1,AP418)+(1-'Lease Cycles'!$BE$32)*(1-INDEX('Lease Cycles'!$FO$32:$FU$32,1,AP418)))),0)</f>
        <v>0</v>
      </c>
      <c r="AQ426" s="24">
        <f>IF(AQ420=1,'Lease Cycles'!$D$32*IF(INDEX('Lease Cycles'!$EF$32:$EL$32,1,AQ418)=1,(1-'Lease Cycles'!$AJ$32)*INDEX('Lease Cycles'!$EM$32:$ES$32,1,AQ418)+(1-'Lease Cycles'!$BE$32)*IF(AQ419&lt;INDEX('Lease Cycles'!$FA$32:$FG$32,1,AQ418),0,1-INDEX('Lease Cycles'!$EM$32:$ES$32,1,AQ418)),IF(OR(INDEX('Lease Cycles'!$DY$32:$EE$32,1,AQ418)=1,AQ419&gt;0),1,1-INDEX('Lease Cycles'!$DD$32:$DJ$32,1,AQ418))*((1-'Lease Cycles'!$AJ$32)*INDEX('Lease Cycles'!$FO$32:$FU$32,1,AQ418)+(1-'Lease Cycles'!$BE$32)*(1-INDEX('Lease Cycles'!$FO$32:$FU$32,1,AQ418)))),0)</f>
        <v>0</v>
      </c>
      <c r="AR426" s="24">
        <f>IF(AR420=1,'Lease Cycles'!$D$32*IF(INDEX('Lease Cycles'!$EF$32:$EL$32,1,AR418)=1,(1-'Lease Cycles'!$AJ$32)*INDEX('Lease Cycles'!$EM$32:$ES$32,1,AR418)+(1-'Lease Cycles'!$BE$32)*IF(AR419&lt;INDEX('Lease Cycles'!$FA$32:$FG$32,1,AR418),0,1-INDEX('Lease Cycles'!$EM$32:$ES$32,1,AR418)),IF(OR(INDEX('Lease Cycles'!$DY$32:$EE$32,1,AR418)=1,AR419&gt;0),1,1-INDEX('Lease Cycles'!$DD$32:$DJ$32,1,AR418))*((1-'Lease Cycles'!$AJ$32)*INDEX('Lease Cycles'!$FO$32:$FU$32,1,AR418)+(1-'Lease Cycles'!$BE$32)*(1-INDEX('Lease Cycles'!$FO$32:$FU$32,1,AR418)))),0)</f>
        <v>0</v>
      </c>
      <c r="AS426" s="24">
        <f>IF(AS420=1,'Lease Cycles'!$D$32*IF(INDEX('Lease Cycles'!$EF$32:$EL$32,1,AS418)=1,(1-'Lease Cycles'!$AJ$32)*INDEX('Lease Cycles'!$EM$32:$ES$32,1,AS418)+(1-'Lease Cycles'!$BE$32)*IF(AS419&lt;INDEX('Lease Cycles'!$FA$32:$FG$32,1,AS418),0,1-INDEX('Lease Cycles'!$EM$32:$ES$32,1,AS418)),IF(OR(INDEX('Lease Cycles'!$DY$32:$EE$32,1,AS418)=1,AS419&gt;0),1,1-INDEX('Lease Cycles'!$DD$32:$DJ$32,1,AS418))*((1-'Lease Cycles'!$AJ$32)*INDEX('Lease Cycles'!$FO$32:$FU$32,1,AS418)+(1-'Lease Cycles'!$BE$32)*(1-INDEX('Lease Cycles'!$FO$32:$FU$32,1,AS418)))),0)</f>
        <v>0</v>
      </c>
      <c r="AT426" s="24">
        <f>IF(AT420=1,'Lease Cycles'!$D$32*IF(INDEX('Lease Cycles'!$EF$32:$EL$32,1,AT418)=1,(1-'Lease Cycles'!$AJ$32)*INDEX('Lease Cycles'!$EM$32:$ES$32,1,AT418)+(1-'Lease Cycles'!$BE$32)*IF(AT419&lt;INDEX('Lease Cycles'!$FA$32:$FG$32,1,AT418),0,1-INDEX('Lease Cycles'!$EM$32:$ES$32,1,AT418)),IF(OR(INDEX('Lease Cycles'!$DY$32:$EE$32,1,AT418)=1,AT419&gt;0),1,1-INDEX('Lease Cycles'!$DD$32:$DJ$32,1,AT418))*((1-'Lease Cycles'!$AJ$32)*INDEX('Lease Cycles'!$FO$32:$FU$32,1,AT418)+(1-'Lease Cycles'!$BE$32)*(1-INDEX('Lease Cycles'!$FO$32:$FU$32,1,AT418)))),0)</f>
        <v>0</v>
      </c>
      <c r="AU426" s="24">
        <f>IF(AU420=1,'Lease Cycles'!$D$32*IF(INDEX('Lease Cycles'!$EF$32:$EL$32,1,AU418)=1,(1-'Lease Cycles'!$AJ$32)*INDEX('Lease Cycles'!$EM$32:$ES$32,1,AU418)+(1-'Lease Cycles'!$BE$32)*IF(AU419&lt;INDEX('Lease Cycles'!$FA$32:$FG$32,1,AU418),0,1-INDEX('Lease Cycles'!$EM$32:$ES$32,1,AU418)),IF(OR(INDEX('Lease Cycles'!$DY$32:$EE$32,1,AU418)=1,AU419&gt;0),1,1-INDEX('Lease Cycles'!$DD$32:$DJ$32,1,AU418))*((1-'Lease Cycles'!$AJ$32)*INDEX('Lease Cycles'!$FO$32:$FU$32,1,AU418)+(1-'Lease Cycles'!$BE$32)*(1-INDEX('Lease Cycles'!$FO$32:$FU$32,1,AU418)))),0)</f>
        <v>0</v>
      </c>
      <c r="AV426" s="24">
        <f>IF(AV420=1,'Lease Cycles'!$D$32*IF(INDEX('Lease Cycles'!$EF$32:$EL$32,1,AV418)=1,(1-'Lease Cycles'!$AJ$32)*INDEX('Lease Cycles'!$EM$32:$ES$32,1,AV418)+(1-'Lease Cycles'!$BE$32)*IF(AV419&lt;INDEX('Lease Cycles'!$FA$32:$FG$32,1,AV418),0,1-INDEX('Lease Cycles'!$EM$32:$ES$32,1,AV418)),IF(OR(INDEX('Lease Cycles'!$DY$32:$EE$32,1,AV418)=1,AV419&gt;0),1,1-INDEX('Lease Cycles'!$DD$32:$DJ$32,1,AV418))*((1-'Lease Cycles'!$AJ$32)*INDEX('Lease Cycles'!$FO$32:$FU$32,1,AV418)+(1-'Lease Cycles'!$BE$32)*(1-INDEX('Lease Cycles'!$FO$32:$FU$32,1,AV418)))),0)</f>
        <v>0</v>
      </c>
      <c r="AW426" s="24">
        <f>IF(AW420=1,'Lease Cycles'!$D$32*IF(INDEX('Lease Cycles'!$EF$32:$EL$32,1,AW418)=1,(1-'Lease Cycles'!$AJ$32)*INDEX('Lease Cycles'!$EM$32:$ES$32,1,AW418)+(1-'Lease Cycles'!$BE$32)*IF(AW419&lt;INDEX('Lease Cycles'!$FA$32:$FG$32,1,AW418),0,1-INDEX('Lease Cycles'!$EM$32:$ES$32,1,AW418)),IF(OR(INDEX('Lease Cycles'!$DY$32:$EE$32,1,AW418)=1,AW419&gt;0),1,1-INDEX('Lease Cycles'!$DD$32:$DJ$32,1,AW418))*((1-'Lease Cycles'!$AJ$32)*INDEX('Lease Cycles'!$FO$32:$FU$32,1,AW418)+(1-'Lease Cycles'!$BE$32)*(1-INDEX('Lease Cycles'!$FO$32:$FU$32,1,AW418)))),0)</f>
        <v>0</v>
      </c>
      <c r="AX426" s="24">
        <f>IF(AX420=1,'Lease Cycles'!$D$32*IF(INDEX('Lease Cycles'!$EF$32:$EL$32,1,AX418)=1,(1-'Lease Cycles'!$AJ$32)*INDEX('Lease Cycles'!$EM$32:$ES$32,1,AX418)+(1-'Lease Cycles'!$BE$32)*IF(AX419&lt;INDEX('Lease Cycles'!$FA$32:$FG$32,1,AX418),0,1-INDEX('Lease Cycles'!$EM$32:$ES$32,1,AX418)),IF(OR(INDEX('Lease Cycles'!$DY$32:$EE$32,1,AX418)=1,AX419&gt;0),1,1-INDEX('Lease Cycles'!$DD$32:$DJ$32,1,AX418))*((1-'Lease Cycles'!$AJ$32)*INDEX('Lease Cycles'!$FO$32:$FU$32,1,AX418)+(1-'Lease Cycles'!$BE$32)*(1-INDEX('Lease Cycles'!$FO$32:$FU$32,1,AX418)))),0)</f>
        <v>0</v>
      </c>
      <c r="AY426" s="24">
        <f>IF(AY420=1,'Lease Cycles'!$D$32*IF(INDEX('Lease Cycles'!$EF$32:$EL$32,1,AY418)=1,(1-'Lease Cycles'!$AJ$32)*INDEX('Lease Cycles'!$EM$32:$ES$32,1,AY418)+(1-'Lease Cycles'!$BE$32)*IF(AY419&lt;INDEX('Lease Cycles'!$FA$32:$FG$32,1,AY418),0,1-INDEX('Lease Cycles'!$EM$32:$ES$32,1,AY418)),IF(OR(INDEX('Lease Cycles'!$DY$32:$EE$32,1,AY418)=1,AY419&gt;0),1,1-INDEX('Lease Cycles'!$DD$32:$DJ$32,1,AY418))*((1-'Lease Cycles'!$AJ$32)*INDEX('Lease Cycles'!$FO$32:$FU$32,1,AY418)+(1-'Lease Cycles'!$BE$32)*(1-INDEX('Lease Cycles'!$FO$32:$FU$32,1,AY418)))),0)</f>
        <v>0</v>
      </c>
      <c r="AZ426" s="24">
        <f>IF(AZ420=1,'Lease Cycles'!$D$32*IF(INDEX('Lease Cycles'!$EF$32:$EL$32,1,AZ418)=1,(1-'Lease Cycles'!$AJ$32)*INDEX('Lease Cycles'!$EM$32:$ES$32,1,AZ418)+(1-'Lease Cycles'!$BE$32)*IF(AZ419&lt;INDEX('Lease Cycles'!$FA$32:$FG$32,1,AZ418),0,1-INDEX('Lease Cycles'!$EM$32:$ES$32,1,AZ418)),IF(OR(INDEX('Lease Cycles'!$DY$32:$EE$32,1,AZ418)=1,AZ419&gt;0),1,1-INDEX('Lease Cycles'!$DD$32:$DJ$32,1,AZ418))*((1-'Lease Cycles'!$AJ$32)*INDEX('Lease Cycles'!$FO$32:$FU$32,1,AZ418)+(1-'Lease Cycles'!$BE$32)*(1-INDEX('Lease Cycles'!$FO$32:$FU$32,1,AZ418)))),0)</f>
        <v>0</v>
      </c>
      <c r="BA426" s="24">
        <f>IF(BA420=1,'Lease Cycles'!$D$32*IF(INDEX('Lease Cycles'!$EF$32:$EL$32,1,BA418)=1,(1-'Lease Cycles'!$AJ$32)*INDEX('Lease Cycles'!$EM$32:$ES$32,1,BA418)+(1-'Lease Cycles'!$BE$32)*IF(BA419&lt;INDEX('Lease Cycles'!$FA$32:$FG$32,1,BA418),0,1-INDEX('Lease Cycles'!$EM$32:$ES$32,1,BA418)),IF(OR(INDEX('Lease Cycles'!$DY$32:$EE$32,1,BA418)=1,BA419&gt;0),1,1-INDEX('Lease Cycles'!$DD$32:$DJ$32,1,BA418))*((1-'Lease Cycles'!$AJ$32)*INDEX('Lease Cycles'!$FO$32:$FU$32,1,BA418)+(1-'Lease Cycles'!$BE$32)*(1-INDEX('Lease Cycles'!$FO$32:$FU$32,1,BA418)))),0)</f>
        <v>0</v>
      </c>
      <c r="BB426" s="24">
        <f>IF(BB420=1,'Lease Cycles'!$D$32*IF(INDEX('Lease Cycles'!$EF$32:$EL$32,1,BB418)=1,(1-'Lease Cycles'!$AJ$32)*INDEX('Lease Cycles'!$EM$32:$ES$32,1,BB418)+(1-'Lease Cycles'!$BE$32)*IF(BB419&lt;INDEX('Lease Cycles'!$FA$32:$FG$32,1,BB418),0,1-INDEX('Lease Cycles'!$EM$32:$ES$32,1,BB418)),IF(OR(INDEX('Lease Cycles'!$DY$32:$EE$32,1,BB418)=1,BB419&gt;0),1,1-INDEX('Lease Cycles'!$DD$32:$DJ$32,1,BB418))*((1-'Lease Cycles'!$AJ$32)*INDEX('Lease Cycles'!$FO$32:$FU$32,1,BB418)+(1-'Lease Cycles'!$BE$32)*(1-INDEX('Lease Cycles'!$FO$32:$FU$32,1,BB418)))),0)</f>
        <v>0</v>
      </c>
      <c r="BC426" s="24">
        <f>IF(BC420=1,'Lease Cycles'!$D$32*IF(INDEX('Lease Cycles'!$EF$32:$EL$32,1,BC418)=1,(1-'Lease Cycles'!$AJ$32)*INDEX('Lease Cycles'!$EM$32:$ES$32,1,BC418)+(1-'Lease Cycles'!$BE$32)*IF(BC419&lt;INDEX('Lease Cycles'!$FA$32:$FG$32,1,BC418),0,1-INDEX('Lease Cycles'!$EM$32:$ES$32,1,BC418)),IF(OR(INDEX('Lease Cycles'!$DY$32:$EE$32,1,BC418)=1,BC419&gt;0),1,1-INDEX('Lease Cycles'!$DD$32:$DJ$32,1,BC418))*((1-'Lease Cycles'!$AJ$32)*INDEX('Lease Cycles'!$FO$32:$FU$32,1,BC418)+(1-'Lease Cycles'!$BE$32)*(1-INDEX('Lease Cycles'!$FO$32:$FU$32,1,BC418)))),0)</f>
        <v>0</v>
      </c>
      <c r="BD426" s="24">
        <f>IF(BD420=1,'Lease Cycles'!$D$32*IF(INDEX('Lease Cycles'!$EF$32:$EL$32,1,BD418)=1,(1-'Lease Cycles'!$AJ$32)*INDEX('Lease Cycles'!$EM$32:$ES$32,1,BD418)+(1-'Lease Cycles'!$BE$32)*IF(BD419&lt;INDEX('Lease Cycles'!$FA$32:$FG$32,1,BD418),0,1-INDEX('Lease Cycles'!$EM$32:$ES$32,1,BD418)),IF(OR(INDEX('Lease Cycles'!$DY$32:$EE$32,1,BD418)=1,BD419&gt;0),1,1-INDEX('Lease Cycles'!$DD$32:$DJ$32,1,BD418))*((1-'Lease Cycles'!$AJ$32)*INDEX('Lease Cycles'!$FO$32:$FU$32,1,BD418)+(1-'Lease Cycles'!$BE$32)*(1-INDEX('Lease Cycles'!$FO$32:$FU$32,1,BD418)))),0)</f>
        <v>0</v>
      </c>
      <c r="BE426" s="24">
        <f>IF(BE420=1,'Lease Cycles'!$D$32*IF(INDEX('Lease Cycles'!$EF$32:$EL$32,1,BE418)=1,(1-'Lease Cycles'!$AJ$32)*INDEX('Lease Cycles'!$EM$32:$ES$32,1,BE418)+(1-'Lease Cycles'!$BE$32)*IF(BE419&lt;INDEX('Lease Cycles'!$FA$32:$FG$32,1,BE418),0,1-INDEX('Lease Cycles'!$EM$32:$ES$32,1,BE418)),IF(OR(INDEX('Lease Cycles'!$DY$32:$EE$32,1,BE418)=1,BE419&gt;0),1,1-INDEX('Lease Cycles'!$DD$32:$DJ$32,1,BE418))*((1-'Lease Cycles'!$AJ$32)*INDEX('Lease Cycles'!$FO$32:$FU$32,1,BE418)+(1-'Lease Cycles'!$BE$32)*(1-INDEX('Lease Cycles'!$FO$32:$FU$32,1,BE418)))),0)</f>
        <v>0</v>
      </c>
      <c r="BF426" s="24">
        <f>IF(BF420=1,'Lease Cycles'!$D$32*IF(INDEX('Lease Cycles'!$EF$32:$EL$32,1,BF418)=1,(1-'Lease Cycles'!$AJ$32)*INDEX('Lease Cycles'!$EM$32:$ES$32,1,BF418)+(1-'Lease Cycles'!$BE$32)*IF(BF419&lt;INDEX('Lease Cycles'!$FA$32:$FG$32,1,BF418),0,1-INDEX('Lease Cycles'!$EM$32:$ES$32,1,BF418)),IF(OR(INDEX('Lease Cycles'!$DY$32:$EE$32,1,BF418)=1,BF419&gt;0),1,1-INDEX('Lease Cycles'!$DD$32:$DJ$32,1,BF418))*((1-'Lease Cycles'!$AJ$32)*INDEX('Lease Cycles'!$FO$32:$FU$32,1,BF418)+(1-'Lease Cycles'!$BE$32)*(1-INDEX('Lease Cycles'!$FO$32:$FU$32,1,BF418)))),0)</f>
        <v>0</v>
      </c>
      <c r="BG426" s="24">
        <f>IF(BG420=1,'Lease Cycles'!$D$32*IF(INDEX('Lease Cycles'!$EF$32:$EL$32,1,BG418)=1,(1-'Lease Cycles'!$AJ$32)*INDEX('Lease Cycles'!$EM$32:$ES$32,1,BG418)+(1-'Lease Cycles'!$BE$32)*IF(BG419&lt;INDEX('Lease Cycles'!$FA$32:$FG$32,1,BG418),0,1-INDEX('Lease Cycles'!$EM$32:$ES$32,1,BG418)),IF(OR(INDEX('Lease Cycles'!$DY$32:$EE$32,1,BG418)=1,BG419&gt;0),1,1-INDEX('Lease Cycles'!$DD$32:$DJ$32,1,BG418))*((1-'Lease Cycles'!$AJ$32)*INDEX('Lease Cycles'!$FO$32:$FU$32,1,BG418)+(1-'Lease Cycles'!$BE$32)*(1-INDEX('Lease Cycles'!$FO$32:$FU$32,1,BG418)))),0)</f>
        <v>0</v>
      </c>
      <c r="BH426" s="24">
        <f>IF(BH420=1,'Lease Cycles'!$D$32*IF(INDEX('Lease Cycles'!$EF$32:$EL$32,1,BH418)=1,(1-'Lease Cycles'!$AJ$32)*INDEX('Lease Cycles'!$EM$32:$ES$32,1,BH418)+(1-'Lease Cycles'!$BE$32)*IF(BH419&lt;INDEX('Lease Cycles'!$FA$32:$FG$32,1,BH418),0,1-INDEX('Lease Cycles'!$EM$32:$ES$32,1,BH418)),IF(OR(INDEX('Lease Cycles'!$DY$32:$EE$32,1,BH418)=1,BH419&gt;0),1,1-INDEX('Lease Cycles'!$DD$32:$DJ$32,1,BH418))*((1-'Lease Cycles'!$AJ$32)*INDEX('Lease Cycles'!$FO$32:$FU$32,1,BH418)+(1-'Lease Cycles'!$BE$32)*(1-INDEX('Lease Cycles'!$FO$32:$FU$32,1,BH418)))),0)</f>
        <v>0</v>
      </c>
      <c r="BI426" s="24">
        <f>IF(BI420=1,'Lease Cycles'!$D$32*IF(INDEX('Lease Cycles'!$EF$32:$EL$32,1,BI418)=1,(1-'Lease Cycles'!$AJ$32)*INDEX('Lease Cycles'!$EM$32:$ES$32,1,BI418)+(1-'Lease Cycles'!$BE$32)*IF(BI419&lt;INDEX('Lease Cycles'!$FA$32:$FG$32,1,BI418),0,1-INDEX('Lease Cycles'!$EM$32:$ES$32,1,BI418)),IF(OR(INDEX('Lease Cycles'!$DY$32:$EE$32,1,BI418)=1,BI419&gt;0),1,1-INDEX('Lease Cycles'!$DD$32:$DJ$32,1,BI418))*((1-'Lease Cycles'!$AJ$32)*INDEX('Lease Cycles'!$FO$32:$FU$32,1,BI418)+(1-'Lease Cycles'!$BE$32)*(1-INDEX('Lease Cycles'!$FO$32:$FU$32,1,BI418)))),0)</f>
        <v>0</v>
      </c>
      <c r="BJ426" s="24">
        <f>IF(BJ420=1,'Lease Cycles'!$D$32*IF(INDEX('Lease Cycles'!$EF$32:$EL$32,1,BJ418)=1,(1-'Lease Cycles'!$AJ$32)*INDEX('Lease Cycles'!$EM$32:$ES$32,1,BJ418)+(1-'Lease Cycles'!$BE$32)*IF(BJ419&lt;INDEX('Lease Cycles'!$FA$32:$FG$32,1,BJ418),0,1-INDEX('Lease Cycles'!$EM$32:$ES$32,1,BJ418)),IF(OR(INDEX('Lease Cycles'!$DY$32:$EE$32,1,BJ418)=1,BJ419&gt;0),1,1-INDEX('Lease Cycles'!$DD$32:$DJ$32,1,BJ418))*((1-'Lease Cycles'!$AJ$32)*INDEX('Lease Cycles'!$FO$32:$FU$32,1,BJ418)+(1-'Lease Cycles'!$BE$32)*(1-INDEX('Lease Cycles'!$FO$32:$FU$32,1,BJ418)))),0)</f>
        <v>0</v>
      </c>
      <c r="BK426" s="24">
        <f>IF(BK420=1,'Lease Cycles'!$D$32*IF(INDEX('Lease Cycles'!$EF$32:$EL$32,1,BK418)=1,(1-'Lease Cycles'!$AJ$32)*INDEX('Lease Cycles'!$EM$32:$ES$32,1,BK418)+(1-'Lease Cycles'!$BE$32)*IF(BK419&lt;INDEX('Lease Cycles'!$FA$32:$FG$32,1,BK418),0,1-INDEX('Lease Cycles'!$EM$32:$ES$32,1,BK418)),IF(OR(INDEX('Lease Cycles'!$DY$32:$EE$32,1,BK418)=1,BK419&gt;0),1,1-INDEX('Lease Cycles'!$DD$32:$DJ$32,1,BK418))*((1-'Lease Cycles'!$AJ$32)*INDEX('Lease Cycles'!$FO$32:$FU$32,1,BK418)+(1-'Lease Cycles'!$BE$32)*(1-INDEX('Lease Cycles'!$FO$32:$FU$32,1,BK418)))),0)</f>
        <v>0</v>
      </c>
      <c r="BL426" s="24">
        <f>IF(BL420=1,'Lease Cycles'!$D$32*IF(INDEX('Lease Cycles'!$EF$32:$EL$32,1,BL418)=1,(1-'Lease Cycles'!$AJ$32)*INDEX('Lease Cycles'!$EM$32:$ES$32,1,BL418)+(1-'Lease Cycles'!$BE$32)*IF(BL419&lt;INDEX('Lease Cycles'!$FA$32:$FG$32,1,BL418),0,1-INDEX('Lease Cycles'!$EM$32:$ES$32,1,BL418)),IF(OR(INDEX('Lease Cycles'!$DY$32:$EE$32,1,BL418)=1,BL419&gt;0),1,1-INDEX('Lease Cycles'!$DD$32:$DJ$32,1,BL418))*((1-'Lease Cycles'!$AJ$32)*INDEX('Lease Cycles'!$FO$32:$FU$32,1,BL418)+(1-'Lease Cycles'!$BE$32)*(1-INDEX('Lease Cycles'!$FO$32:$FU$32,1,BL418)))),0)</f>
        <v>0</v>
      </c>
      <c r="BM426" s="24">
        <f>IF(BM420=1,'Lease Cycles'!$D$32*IF(INDEX('Lease Cycles'!$EF$32:$EL$32,1,BM418)=1,(1-'Lease Cycles'!$AJ$32)*INDEX('Lease Cycles'!$EM$32:$ES$32,1,BM418)+(1-'Lease Cycles'!$BE$32)*IF(BM419&lt;INDEX('Lease Cycles'!$FA$32:$FG$32,1,BM418),0,1-INDEX('Lease Cycles'!$EM$32:$ES$32,1,BM418)),IF(OR(INDEX('Lease Cycles'!$DY$32:$EE$32,1,BM418)=1,BM419&gt;0),1,1-INDEX('Lease Cycles'!$DD$32:$DJ$32,1,BM418))*((1-'Lease Cycles'!$AJ$32)*INDEX('Lease Cycles'!$FO$32:$FU$32,1,BM418)+(1-'Lease Cycles'!$BE$32)*(1-INDEX('Lease Cycles'!$FO$32:$FU$32,1,BM418)))),0)</f>
        <v>0</v>
      </c>
      <c r="BN426" s="24">
        <f>IF(BN420=1,'Lease Cycles'!$D$32*IF(INDEX('Lease Cycles'!$EF$32:$EL$32,1,BN418)=1,(1-'Lease Cycles'!$AJ$32)*INDEX('Lease Cycles'!$EM$32:$ES$32,1,BN418)+(1-'Lease Cycles'!$BE$32)*IF(BN419&lt;INDEX('Lease Cycles'!$FA$32:$FG$32,1,BN418),0,1-INDEX('Lease Cycles'!$EM$32:$ES$32,1,BN418)),IF(OR(INDEX('Lease Cycles'!$DY$32:$EE$32,1,BN418)=1,BN419&gt;0),1,1-INDEX('Lease Cycles'!$DD$32:$DJ$32,1,BN418))*((1-'Lease Cycles'!$AJ$32)*INDEX('Lease Cycles'!$FO$32:$FU$32,1,BN418)+(1-'Lease Cycles'!$BE$32)*(1-INDEX('Lease Cycles'!$FO$32:$FU$32,1,BN418)))),0)</f>
        <v>0</v>
      </c>
      <c r="BO426" s="24">
        <f>IF(BO420=1,'Lease Cycles'!$D$32*IF(INDEX('Lease Cycles'!$EF$32:$EL$32,1,BO418)=1,(1-'Lease Cycles'!$AJ$32)*INDEX('Lease Cycles'!$EM$32:$ES$32,1,BO418)+(1-'Lease Cycles'!$BE$32)*IF(BO419&lt;INDEX('Lease Cycles'!$FA$32:$FG$32,1,BO418),0,1-INDEX('Lease Cycles'!$EM$32:$ES$32,1,BO418)),IF(OR(INDEX('Lease Cycles'!$DY$32:$EE$32,1,BO418)=1,BO419&gt;0),1,1-INDEX('Lease Cycles'!$DD$32:$DJ$32,1,BO418))*((1-'Lease Cycles'!$AJ$32)*INDEX('Lease Cycles'!$FO$32:$FU$32,1,BO418)+(1-'Lease Cycles'!$BE$32)*(1-INDEX('Lease Cycles'!$FO$32:$FU$32,1,BO418)))),0)</f>
        <v>0</v>
      </c>
      <c r="BP426" s="24">
        <f>IF(BP420=1,'Lease Cycles'!$D$32*IF(INDEX('Lease Cycles'!$EF$32:$EL$32,1,BP418)=1,(1-'Lease Cycles'!$AJ$32)*INDEX('Lease Cycles'!$EM$32:$ES$32,1,BP418)+(1-'Lease Cycles'!$BE$32)*IF(BP419&lt;INDEX('Lease Cycles'!$FA$32:$FG$32,1,BP418),0,1-INDEX('Lease Cycles'!$EM$32:$ES$32,1,BP418)),IF(OR(INDEX('Lease Cycles'!$DY$32:$EE$32,1,BP418)=1,BP419&gt;0),1,1-INDEX('Lease Cycles'!$DD$32:$DJ$32,1,BP418))*((1-'Lease Cycles'!$AJ$32)*INDEX('Lease Cycles'!$FO$32:$FU$32,1,BP418)+(1-'Lease Cycles'!$BE$32)*(1-INDEX('Lease Cycles'!$FO$32:$FU$32,1,BP418)))),0)</f>
        <v>0</v>
      </c>
      <c r="BQ426" s="24">
        <f>IF(BQ420=1,'Lease Cycles'!$D$32*IF(INDEX('Lease Cycles'!$EF$32:$EL$32,1,BQ418)=1,(1-'Lease Cycles'!$AJ$32)*INDEX('Lease Cycles'!$EM$32:$ES$32,1,BQ418)+(1-'Lease Cycles'!$BE$32)*IF(BQ419&lt;INDEX('Lease Cycles'!$FA$32:$FG$32,1,BQ418),0,1-INDEX('Lease Cycles'!$EM$32:$ES$32,1,BQ418)),IF(OR(INDEX('Lease Cycles'!$DY$32:$EE$32,1,BQ418)=1,BQ419&gt;0),1,1-INDEX('Lease Cycles'!$DD$32:$DJ$32,1,BQ418))*((1-'Lease Cycles'!$AJ$32)*INDEX('Lease Cycles'!$FO$32:$FU$32,1,BQ418)+(1-'Lease Cycles'!$BE$32)*(1-INDEX('Lease Cycles'!$FO$32:$FU$32,1,BQ418)))),0)</f>
        <v>0</v>
      </c>
      <c r="BR426" s="24">
        <f>IF(BR420=1,'Lease Cycles'!$D$32*IF(INDEX('Lease Cycles'!$EF$32:$EL$32,1,BR418)=1,(1-'Lease Cycles'!$AJ$32)*INDEX('Lease Cycles'!$EM$32:$ES$32,1,BR418)+(1-'Lease Cycles'!$BE$32)*IF(BR419&lt;INDEX('Lease Cycles'!$FA$32:$FG$32,1,BR418),0,1-INDEX('Lease Cycles'!$EM$32:$ES$32,1,BR418)),IF(OR(INDEX('Lease Cycles'!$DY$32:$EE$32,1,BR418)=1,BR419&gt;0),1,1-INDEX('Lease Cycles'!$DD$32:$DJ$32,1,BR418))*((1-'Lease Cycles'!$AJ$32)*INDEX('Lease Cycles'!$FO$32:$FU$32,1,BR418)+(1-'Lease Cycles'!$BE$32)*(1-INDEX('Lease Cycles'!$FO$32:$FU$32,1,BR418)))),0)</f>
        <v>0</v>
      </c>
      <c r="BS426" s="24">
        <f>IF(BS420=1,'Lease Cycles'!$D$32*IF(INDEX('Lease Cycles'!$EF$32:$EL$32,1,BS418)=1,(1-'Lease Cycles'!$AJ$32)*INDEX('Lease Cycles'!$EM$32:$ES$32,1,BS418)+(1-'Lease Cycles'!$BE$32)*IF(BS419&lt;INDEX('Lease Cycles'!$FA$32:$FG$32,1,BS418),0,1-INDEX('Lease Cycles'!$EM$32:$ES$32,1,BS418)),IF(OR(INDEX('Lease Cycles'!$DY$32:$EE$32,1,BS418)=1,BS419&gt;0),1,1-INDEX('Lease Cycles'!$DD$32:$DJ$32,1,BS418))*((1-'Lease Cycles'!$AJ$32)*INDEX('Lease Cycles'!$FO$32:$FU$32,1,BS418)+(1-'Lease Cycles'!$BE$32)*(1-INDEX('Lease Cycles'!$FO$32:$FU$32,1,BS418)))),0)</f>
        <v>0</v>
      </c>
      <c r="BT426" s="24">
        <f>IF(BT420=1,'Lease Cycles'!$D$32*IF(INDEX('Lease Cycles'!$EF$32:$EL$32,1,BT418)=1,(1-'Lease Cycles'!$AJ$32)*INDEX('Lease Cycles'!$EM$32:$ES$32,1,BT418)+(1-'Lease Cycles'!$BE$32)*IF(BT419&lt;INDEX('Lease Cycles'!$FA$32:$FG$32,1,BT418),0,1-INDEX('Lease Cycles'!$EM$32:$ES$32,1,BT418)),IF(OR(INDEX('Lease Cycles'!$DY$32:$EE$32,1,BT418)=1,BT419&gt;0),1,1-INDEX('Lease Cycles'!$DD$32:$DJ$32,1,BT418))*((1-'Lease Cycles'!$AJ$32)*INDEX('Lease Cycles'!$FO$32:$FU$32,1,BT418)+(1-'Lease Cycles'!$BE$32)*(1-INDEX('Lease Cycles'!$FO$32:$FU$32,1,BT418)))),0)</f>
        <v>0</v>
      </c>
      <c r="BU426" s="24">
        <f>IF(BU420=1,'Lease Cycles'!$D$32*IF(INDEX('Lease Cycles'!$EF$32:$EL$32,1,BU418)=1,(1-'Lease Cycles'!$AJ$32)*INDEX('Lease Cycles'!$EM$32:$ES$32,1,BU418)+(1-'Lease Cycles'!$BE$32)*IF(BU419&lt;INDEX('Lease Cycles'!$FA$32:$FG$32,1,BU418),0,1-INDEX('Lease Cycles'!$EM$32:$ES$32,1,BU418)),IF(OR(INDEX('Lease Cycles'!$DY$32:$EE$32,1,BU418)=1,BU419&gt;0),1,1-INDEX('Lease Cycles'!$DD$32:$DJ$32,1,BU418))*((1-'Lease Cycles'!$AJ$32)*INDEX('Lease Cycles'!$FO$32:$FU$32,1,BU418)+(1-'Lease Cycles'!$BE$32)*(1-INDEX('Lease Cycles'!$FO$32:$FU$32,1,BU418)))),0)</f>
        <v>0</v>
      </c>
      <c r="BV426" s="24">
        <f>IF(BV420=1,'Lease Cycles'!$D$32*IF(INDEX('Lease Cycles'!$EF$32:$EL$32,1,BV418)=1,(1-'Lease Cycles'!$AJ$32)*INDEX('Lease Cycles'!$EM$32:$ES$32,1,BV418)+(1-'Lease Cycles'!$BE$32)*IF(BV419&lt;INDEX('Lease Cycles'!$FA$32:$FG$32,1,BV418),0,1-INDEX('Lease Cycles'!$EM$32:$ES$32,1,BV418)),IF(OR(INDEX('Lease Cycles'!$DY$32:$EE$32,1,BV418)=1,BV419&gt;0),1,1-INDEX('Lease Cycles'!$DD$32:$DJ$32,1,BV418))*((1-'Lease Cycles'!$AJ$32)*INDEX('Lease Cycles'!$FO$32:$FU$32,1,BV418)+(1-'Lease Cycles'!$BE$32)*(1-INDEX('Lease Cycles'!$FO$32:$FU$32,1,BV418)))),0)</f>
        <v>0</v>
      </c>
      <c r="BW426" s="24">
        <f>IF(BW420=1,'Lease Cycles'!$D$32*IF(INDEX('Lease Cycles'!$EF$32:$EL$32,1,BW418)=1,(1-'Lease Cycles'!$AJ$32)*INDEX('Lease Cycles'!$EM$32:$ES$32,1,BW418)+(1-'Lease Cycles'!$BE$32)*IF(BW419&lt;INDEX('Lease Cycles'!$FA$32:$FG$32,1,BW418),0,1-INDEX('Lease Cycles'!$EM$32:$ES$32,1,BW418)),IF(OR(INDEX('Lease Cycles'!$DY$32:$EE$32,1,BW418)=1,BW419&gt;0),1,1-INDEX('Lease Cycles'!$DD$32:$DJ$32,1,BW418))*((1-'Lease Cycles'!$AJ$32)*INDEX('Lease Cycles'!$FO$32:$FU$32,1,BW418)+(1-'Lease Cycles'!$BE$32)*(1-INDEX('Lease Cycles'!$FO$32:$FU$32,1,BW418)))),0)</f>
        <v>0</v>
      </c>
      <c r="BX426" s="24">
        <f>IF(BX420=1,'Lease Cycles'!$D$32*IF(INDEX('Lease Cycles'!$EF$32:$EL$32,1,BX418)=1,(1-'Lease Cycles'!$AJ$32)*INDEX('Lease Cycles'!$EM$32:$ES$32,1,BX418)+(1-'Lease Cycles'!$BE$32)*IF(BX419&lt;INDEX('Lease Cycles'!$FA$32:$FG$32,1,BX418),0,1-INDEX('Lease Cycles'!$EM$32:$ES$32,1,BX418)),IF(OR(INDEX('Lease Cycles'!$DY$32:$EE$32,1,BX418)=1,BX419&gt;0),1,1-INDEX('Lease Cycles'!$DD$32:$DJ$32,1,BX418))*((1-'Lease Cycles'!$AJ$32)*INDEX('Lease Cycles'!$FO$32:$FU$32,1,BX418)+(1-'Lease Cycles'!$BE$32)*(1-INDEX('Lease Cycles'!$FO$32:$FU$32,1,BX418)))),0)</f>
        <v>0</v>
      </c>
      <c r="BY426" s="24">
        <f>IF(BY420=1,'Lease Cycles'!$D$32*IF(INDEX('Lease Cycles'!$EF$32:$EL$32,1,BY418)=1,(1-'Lease Cycles'!$AJ$32)*INDEX('Lease Cycles'!$EM$32:$ES$32,1,BY418)+(1-'Lease Cycles'!$BE$32)*IF(BY419&lt;INDEX('Lease Cycles'!$FA$32:$FG$32,1,BY418),0,1-INDEX('Lease Cycles'!$EM$32:$ES$32,1,BY418)),IF(OR(INDEX('Lease Cycles'!$DY$32:$EE$32,1,BY418)=1,BY419&gt;0),1,1-INDEX('Lease Cycles'!$DD$32:$DJ$32,1,BY418))*((1-'Lease Cycles'!$AJ$32)*INDEX('Lease Cycles'!$FO$32:$FU$32,1,BY418)+(1-'Lease Cycles'!$BE$32)*(1-INDEX('Lease Cycles'!$FO$32:$FU$32,1,BY418)))),0)</f>
        <v>0</v>
      </c>
      <c r="BZ426" s="24">
        <f>IF(BZ420=1,'Lease Cycles'!$D$32*IF(INDEX('Lease Cycles'!$EF$32:$EL$32,1,BZ418)=1,(1-'Lease Cycles'!$AJ$32)*INDEX('Lease Cycles'!$EM$32:$ES$32,1,BZ418)+(1-'Lease Cycles'!$BE$32)*IF(BZ419&lt;INDEX('Lease Cycles'!$FA$32:$FG$32,1,BZ418),0,1-INDEX('Lease Cycles'!$EM$32:$ES$32,1,BZ418)),IF(OR(INDEX('Lease Cycles'!$DY$32:$EE$32,1,BZ418)=1,BZ419&gt;0),1,1-INDEX('Lease Cycles'!$DD$32:$DJ$32,1,BZ418))*((1-'Lease Cycles'!$AJ$32)*INDEX('Lease Cycles'!$FO$32:$FU$32,1,BZ418)+(1-'Lease Cycles'!$BE$32)*(1-INDEX('Lease Cycles'!$FO$32:$FU$32,1,BZ418)))),0)</f>
        <v>0</v>
      </c>
      <c r="CA426" s="24">
        <f>IF(CA420=1,'Lease Cycles'!$D$32*IF(INDEX('Lease Cycles'!$EF$32:$EL$32,1,CA418)=1,(1-'Lease Cycles'!$AJ$32)*INDEX('Lease Cycles'!$EM$32:$ES$32,1,CA418)+(1-'Lease Cycles'!$BE$32)*IF(CA419&lt;INDEX('Lease Cycles'!$FA$32:$FG$32,1,CA418),0,1-INDEX('Lease Cycles'!$EM$32:$ES$32,1,CA418)),IF(OR(INDEX('Lease Cycles'!$DY$32:$EE$32,1,CA418)=1,CA419&gt;0),1,1-INDEX('Lease Cycles'!$DD$32:$DJ$32,1,CA418))*((1-'Lease Cycles'!$AJ$32)*INDEX('Lease Cycles'!$FO$32:$FU$32,1,CA418)+(1-'Lease Cycles'!$BE$32)*(1-INDEX('Lease Cycles'!$FO$32:$FU$32,1,CA418)))),0)</f>
        <v>0</v>
      </c>
      <c r="CB426" s="24">
        <f>IF(CB420=1,'Lease Cycles'!$D$32*IF(INDEX('Lease Cycles'!$EF$32:$EL$32,1,CB418)=1,(1-'Lease Cycles'!$AJ$32)*INDEX('Lease Cycles'!$EM$32:$ES$32,1,CB418)+(1-'Lease Cycles'!$BE$32)*IF(CB419&lt;INDEX('Lease Cycles'!$FA$32:$FG$32,1,CB418),0,1-INDEX('Lease Cycles'!$EM$32:$ES$32,1,CB418)),IF(OR(INDEX('Lease Cycles'!$DY$32:$EE$32,1,CB418)=1,CB419&gt;0),1,1-INDEX('Lease Cycles'!$DD$32:$DJ$32,1,CB418))*((1-'Lease Cycles'!$AJ$32)*INDEX('Lease Cycles'!$FO$32:$FU$32,1,CB418)+(1-'Lease Cycles'!$BE$32)*(1-INDEX('Lease Cycles'!$FO$32:$FU$32,1,CB418)))),0)</f>
        <v>0</v>
      </c>
      <c r="CC426" s="24">
        <f>IF(CC420=1,'Lease Cycles'!$D$32*IF(INDEX('Lease Cycles'!$EF$32:$EL$32,1,CC418)=1,(1-'Lease Cycles'!$AJ$32)*INDEX('Lease Cycles'!$EM$32:$ES$32,1,CC418)+(1-'Lease Cycles'!$BE$32)*IF(CC419&lt;INDEX('Lease Cycles'!$FA$32:$FG$32,1,CC418),0,1-INDEX('Lease Cycles'!$EM$32:$ES$32,1,CC418)),IF(OR(INDEX('Lease Cycles'!$DY$32:$EE$32,1,CC418)=1,CC419&gt;0),1,1-INDEX('Lease Cycles'!$DD$32:$DJ$32,1,CC418))*((1-'Lease Cycles'!$AJ$32)*INDEX('Lease Cycles'!$FO$32:$FU$32,1,CC418)+(1-'Lease Cycles'!$BE$32)*(1-INDEX('Lease Cycles'!$FO$32:$FU$32,1,CC418)))),0)</f>
        <v>0</v>
      </c>
      <c r="CD426" s="24">
        <f>IF(CD420=1,'Lease Cycles'!$D$32*IF(INDEX('Lease Cycles'!$EF$32:$EL$32,1,CD418)=1,(1-'Lease Cycles'!$AJ$32)*INDEX('Lease Cycles'!$EM$32:$ES$32,1,CD418)+(1-'Lease Cycles'!$BE$32)*IF(CD419&lt;INDEX('Lease Cycles'!$FA$32:$FG$32,1,CD418),0,1-INDEX('Lease Cycles'!$EM$32:$ES$32,1,CD418)),IF(OR(INDEX('Lease Cycles'!$DY$32:$EE$32,1,CD418)=1,CD419&gt;0),1,1-INDEX('Lease Cycles'!$DD$32:$DJ$32,1,CD418))*((1-'Lease Cycles'!$AJ$32)*INDEX('Lease Cycles'!$FO$32:$FU$32,1,CD418)+(1-'Lease Cycles'!$BE$32)*(1-INDEX('Lease Cycles'!$FO$32:$FU$32,1,CD418)))),0)</f>
        <v>0</v>
      </c>
      <c r="CE426" s="24">
        <f>IF(CE420=1,'Lease Cycles'!$D$32*IF(INDEX('Lease Cycles'!$EF$32:$EL$32,1,CE418)=1,(1-'Lease Cycles'!$AJ$32)*INDEX('Lease Cycles'!$EM$32:$ES$32,1,CE418)+(1-'Lease Cycles'!$BE$32)*IF(CE419&lt;INDEX('Lease Cycles'!$FA$32:$FG$32,1,CE418),0,1-INDEX('Lease Cycles'!$EM$32:$ES$32,1,CE418)),IF(OR(INDEX('Lease Cycles'!$DY$32:$EE$32,1,CE418)=1,CE419&gt;0),1,1-INDEX('Lease Cycles'!$DD$32:$DJ$32,1,CE418))*((1-'Lease Cycles'!$AJ$32)*INDEX('Lease Cycles'!$FO$32:$FU$32,1,CE418)+(1-'Lease Cycles'!$BE$32)*(1-INDEX('Lease Cycles'!$FO$32:$FU$32,1,CE418)))),0)</f>
        <v>0</v>
      </c>
      <c r="CF426" s="24">
        <f>IF(CF420=1,'Lease Cycles'!$D$32*IF(INDEX('Lease Cycles'!$EF$32:$EL$32,1,CF418)=1,(1-'Lease Cycles'!$AJ$32)*INDEX('Lease Cycles'!$EM$32:$ES$32,1,CF418)+(1-'Lease Cycles'!$BE$32)*IF(CF419&lt;INDEX('Lease Cycles'!$FA$32:$FG$32,1,CF418),0,1-INDEX('Lease Cycles'!$EM$32:$ES$32,1,CF418)),IF(OR(INDEX('Lease Cycles'!$DY$32:$EE$32,1,CF418)=1,CF419&gt;0),1,1-INDEX('Lease Cycles'!$DD$32:$DJ$32,1,CF418))*((1-'Lease Cycles'!$AJ$32)*INDEX('Lease Cycles'!$FO$32:$FU$32,1,CF418)+(1-'Lease Cycles'!$BE$32)*(1-INDEX('Lease Cycles'!$FO$32:$FU$32,1,CF418)))),0)</f>
        <v>0</v>
      </c>
      <c r="CG426" s="24">
        <f>IF(CG420=1,'Lease Cycles'!$D$32*IF(INDEX('Lease Cycles'!$EF$32:$EL$32,1,CG418)=1,(1-'Lease Cycles'!$AJ$32)*INDEX('Lease Cycles'!$EM$32:$ES$32,1,CG418)+(1-'Lease Cycles'!$BE$32)*IF(CG419&lt;INDEX('Lease Cycles'!$FA$32:$FG$32,1,CG418),0,1-INDEX('Lease Cycles'!$EM$32:$ES$32,1,CG418)),IF(OR(INDEX('Lease Cycles'!$DY$32:$EE$32,1,CG418)=1,CG419&gt;0),1,1-INDEX('Lease Cycles'!$DD$32:$DJ$32,1,CG418))*((1-'Lease Cycles'!$AJ$32)*INDEX('Lease Cycles'!$FO$32:$FU$32,1,CG418)+(1-'Lease Cycles'!$BE$32)*(1-INDEX('Lease Cycles'!$FO$32:$FU$32,1,CG418)))),0)</f>
        <v>0</v>
      </c>
      <c r="CH426" s="24">
        <f>IF(CH420=1,'Lease Cycles'!$D$32*IF(INDEX('Lease Cycles'!$EF$32:$EL$32,1,CH418)=1,(1-'Lease Cycles'!$AJ$32)*INDEX('Lease Cycles'!$EM$32:$ES$32,1,CH418)+(1-'Lease Cycles'!$BE$32)*IF(CH419&lt;INDEX('Lease Cycles'!$FA$32:$FG$32,1,CH418),0,1-INDEX('Lease Cycles'!$EM$32:$ES$32,1,CH418)),IF(OR(INDEX('Lease Cycles'!$DY$32:$EE$32,1,CH418)=1,CH419&gt;0),1,1-INDEX('Lease Cycles'!$DD$32:$DJ$32,1,CH418))*((1-'Lease Cycles'!$AJ$32)*INDEX('Lease Cycles'!$FO$32:$FU$32,1,CH418)+(1-'Lease Cycles'!$BE$32)*(1-INDEX('Lease Cycles'!$FO$32:$FU$32,1,CH418)))),0)</f>
        <v>0</v>
      </c>
      <c r="CI426" s="24">
        <f>IF(CI420=1,'Lease Cycles'!$D$32*IF(INDEX('Lease Cycles'!$EF$32:$EL$32,1,CI418)=1,(1-'Lease Cycles'!$AJ$32)*INDEX('Lease Cycles'!$EM$32:$ES$32,1,CI418)+(1-'Lease Cycles'!$BE$32)*IF(CI419&lt;INDEX('Lease Cycles'!$FA$32:$FG$32,1,CI418),0,1-INDEX('Lease Cycles'!$EM$32:$ES$32,1,CI418)),IF(OR(INDEX('Lease Cycles'!$DY$32:$EE$32,1,CI418)=1,CI419&gt;0),1,1-INDEX('Lease Cycles'!$DD$32:$DJ$32,1,CI418))*((1-'Lease Cycles'!$AJ$32)*INDEX('Lease Cycles'!$FO$32:$FU$32,1,CI418)+(1-'Lease Cycles'!$BE$32)*(1-INDEX('Lease Cycles'!$FO$32:$FU$32,1,CI418)))),0)</f>
        <v>0</v>
      </c>
      <c r="CJ426" s="24">
        <f>IF(CJ420=1,'Lease Cycles'!$D$32*IF(INDEX('Lease Cycles'!$EF$32:$EL$32,1,CJ418)=1,(1-'Lease Cycles'!$AJ$32)*INDEX('Lease Cycles'!$EM$32:$ES$32,1,CJ418)+(1-'Lease Cycles'!$BE$32)*IF(CJ419&lt;INDEX('Lease Cycles'!$FA$32:$FG$32,1,CJ418),0,1-INDEX('Lease Cycles'!$EM$32:$ES$32,1,CJ418)),IF(OR(INDEX('Lease Cycles'!$DY$32:$EE$32,1,CJ418)=1,CJ419&gt;0),1,1-INDEX('Lease Cycles'!$DD$32:$DJ$32,1,CJ418))*((1-'Lease Cycles'!$AJ$32)*INDEX('Lease Cycles'!$FO$32:$FU$32,1,CJ418)+(1-'Lease Cycles'!$BE$32)*(1-INDEX('Lease Cycles'!$FO$32:$FU$32,1,CJ418)))),0)</f>
        <v>0</v>
      </c>
      <c r="CK426" s="24">
        <f>IF(CK420=1,'Lease Cycles'!$D$32*IF(INDEX('Lease Cycles'!$EF$32:$EL$32,1,CK418)=1,(1-'Lease Cycles'!$AJ$32)*INDEX('Lease Cycles'!$EM$32:$ES$32,1,CK418)+(1-'Lease Cycles'!$BE$32)*IF(CK419&lt;INDEX('Lease Cycles'!$FA$32:$FG$32,1,CK418),0,1-INDEX('Lease Cycles'!$EM$32:$ES$32,1,CK418)),IF(OR(INDEX('Lease Cycles'!$DY$32:$EE$32,1,CK418)=1,CK419&gt;0),1,1-INDEX('Lease Cycles'!$DD$32:$DJ$32,1,CK418))*((1-'Lease Cycles'!$AJ$32)*INDEX('Lease Cycles'!$FO$32:$FU$32,1,CK418)+(1-'Lease Cycles'!$BE$32)*(1-INDEX('Lease Cycles'!$FO$32:$FU$32,1,CK418)))),0)</f>
        <v>0</v>
      </c>
      <c r="CL426" s="24">
        <f>IF(CL420=1,'Lease Cycles'!$D$32*IF(INDEX('Lease Cycles'!$EF$32:$EL$32,1,CL418)=1,(1-'Lease Cycles'!$AJ$32)*INDEX('Lease Cycles'!$EM$32:$ES$32,1,CL418)+(1-'Lease Cycles'!$BE$32)*IF(CL419&lt;INDEX('Lease Cycles'!$FA$32:$FG$32,1,CL418),0,1-INDEX('Lease Cycles'!$EM$32:$ES$32,1,CL418)),IF(OR(INDEX('Lease Cycles'!$DY$32:$EE$32,1,CL418)=1,CL419&gt;0),1,1-INDEX('Lease Cycles'!$DD$32:$DJ$32,1,CL418))*((1-'Lease Cycles'!$AJ$32)*INDEX('Lease Cycles'!$FO$32:$FU$32,1,CL418)+(1-'Lease Cycles'!$BE$32)*(1-INDEX('Lease Cycles'!$FO$32:$FU$32,1,CL418)))),0)</f>
        <v>0</v>
      </c>
      <c r="CM426" s="24">
        <f>IF(CM420=1,'Lease Cycles'!$D$32*IF(INDEX('Lease Cycles'!$EF$32:$EL$32,1,CM418)=1,(1-'Lease Cycles'!$AJ$32)*INDEX('Lease Cycles'!$EM$32:$ES$32,1,CM418)+(1-'Lease Cycles'!$BE$32)*IF(CM419&lt;INDEX('Lease Cycles'!$FA$32:$FG$32,1,CM418),0,1-INDEX('Lease Cycles'!$EM$32:$ES$32,1,CM418)),IF(OR(INDEX('Lease Cycles'!$DY$32:$EE$32,1,CM418)=1,CM419&gt;0),1,1-INDEX('Lease Cycles'!$DD$32:$DJ$32,1,CM418))*((1-'Lease Cycles'!$AJ$32)*INDEX('Lease Cycles'!$FO$32:$FU$32,1,CM418)+(1-'Lease Cycles'!$BE$32)*(1-INDEX('Lease Cycles'!$FO$32:$FU$32,1,CM418)))),0)</f>
        <v>0</v>
      </c>
      <c r="CN426" s="24">
        <f>IF(CN420=1,'Lease Cycles'!$D$32*IF(INDEX('Lease Cycles'!$EF$32:$EL$32,1,CN418)=1,(1-'Lease Cycles'!$AJ$32)*INDEX('Lease Cycles'!$EM$32:$ES$32,1,CN418)+(1-'Lease Cycles'!$BE$32)*IF(CN419&lt;INDEX('Lease Cycles'!$FA$32:$FG$32,1,CN418),0,1-INDEX('Lease Cycles'!$EM$32:$ES$32,1,CN418)),IF(OR(INDEX('Lease Cycles'!$DY$32:$EE$32,1,CN418)=1,CN419&gt;0),1,1-INDEX('Lease Cycles'!$DD$32:$DJ$32,1,CN418))*((1-'Lease Cycles'!$AJ$32)*INDEX('Lease Cycles'!$FO$32:$FU$32,1,CN418)+(1-'Lease Cycles'!$BE$32)*(1-INDEX('Lease Cycles'!$FO$32:$FU$32,1,CN418)))),0)</f>
        <v>0</v>
      </c>
      <c r="CO426" s="24">
        <f>IF(CO420=1,'Lease Cycles'!$D$32*IF(INDEX('Lease Cycles'!$EF$32:$EL$32,1,CO418)=1,(1-'Lease Cycles'!$AJ$32)*INDEX('Lease Cycles'!$EM$32:$ES$32,1,CO418)+(1-'Lease Cycles'!$BE$32)*IF(CO419&lt;INDEX('Lease Cycles'!$FA$32:$FG$32,1,CO418),0,1-INDEX('Lease Cycles'!$EM$32:$ES$32,1,CO418)),IF(OR(INDEX('Lease Cycles'!$DY$32:$EE$32,1,CO418)=1,CO419&gt;0),1,1-INDEX('Lease Cycles'!$DD$32:$DJ$32,1,CO418))*((1-'Lease Cycles'!$AJ$32)*INDEX('Lease Cycles'!$FO$32:$FU$32,1,CO418)+(1-'Lease Cycles'!$BE$32)*(1-INDEX('Lease Cycles'!$FO$32:$FU$32,1,CO418)))),0)</f>
        <v>0</v>
      </c>
      <c r="CP426" s="24">
        <f>IF(CP420=1,'Lease Cycles'!$D$32*IF(INDEX('Lease Cycles'!$EF$32:$EL$32,1,CP418)=1,(1-'Lease Cycles'!$AJ$32)*INDEX('Lease Cycles'!$EM$32:$ES$32,1,CP418)+(1-'Lease Cycles'!$BE$32)*IF(CP419&lt;INDEX('Lease Cycles'!$FA$32:$FG$32,1,CP418),0,1-INDEX('Lease Cycles'!$EM$32:$ES$32,1,CP418)),IF(OR(INDEX('Lease Cycles'!$DY$32:$EE$32,1,CP418)=1,CP419&gt;0),1,1-INDEX('Lease Cycles'!$DD$32:$DJ$32,1,CP418))*((1-'Lease Cycles'!$AJ$32)*INDEX('Lease Cycles'!$FO$32:$FU$32,1,CP418)+(1-'Lease Cycles'!$BE$32)*(1-INDEX('Lease Cycles'!$FO$32:$FU$32,1,CP418)))),0)</f>
        <v>0</v>
      </c>
      <c r="CQ426" s="24">
        <f>IF(CQ420=1,'Lease Cycles'!$D$32*IF(INDEX('Lease Cycles'!$EF$32:$EL$32,1,CQ418)=1,(1-'Lease Cycles'!$AJ$32)*INDEX('Lease Cycles'!$EM$32:$ES$32,1,CQ418)+(1-'Lease Cycles'!$BE$32)*IF(CQ419&lt;INDEX('Lease Cycles'!$FA$32:$FG$32,1,CQ418),0,1-INDEX('Lease Cycles'!$EM$32:$ES$32,1,CQ418)),IF(OR(INDEX('Lease Cycles'!$DY$32:$EE$32,1,CQ418)=1,CQ419&gt;0),1,1-INDEX('Lease Cycles'!$DD$32:$DJ$32,1,CQ418))*((1-'Lease Cycles'!$AJ$32)*INDEX('Lease Cycles'!$FO$32:$FU$32,1,CQ418)+(1-'Lease Cycles'!$BE$32)*(1-INDEX('Lease Cycles'!$FO$32:$FU$32,1,CQ418)))),0)</f>
        <v>0</v>
      </c>
      <c r="CR426" s="24">
        <f>IF(CR420=1,'Lease Cycles'!$D$32*IF(INDEX('Lease Cycles'!$EF$32:$EL$32,1,CR418)=1,(1-'Lease Cycles'!$AJ$32)*INDEX('Lease Cycles'!$EM$32:$ES$32,1,CR418)+(1-'Lease Cycles'!$BE$32)*IF(CR419&lt;INDEX('Lease Cycles'!$FA$32:$FG$32,1,CR418),0,1-INDEX('Lease Cycles'!$EM$32:$ES$32,1,CR418)),IF(OR(INDEX('Lease Cycles'!$DY$32:$EE$32,1,CR418)=1,CR419&gt;0),1,1-INDEX('Lease Cycles'!$DD$32:$DJ$32,1,CR418))*((1-'Lease Cycles'!$AJ$32)*INDEX('Lease Cycles'!$FO$32:$FU$32,1,CR418)+(1-'Lease Cycles'!$BE$32)*(1-INDEX('Lease Cycles'!$FO$32:$FU$32,1,CR418)))),0)</f>
        <v>0</v>
      </c>
      <c r="CS426" s="24">
        <f>IF(CS420=1,'Lease Cycles'!$D$32*IF(INDEX('Lease Cycles'!$EF$32:$EL$32,1,CS418)=1,(1-'Lease Cycles'!$AJ$32)*INDEX('Lease Cycles'!$EM$32:$ES$32,1,CS418)+(1-'Lease Cycles'!$BE$32)*IF(CS419&lt;INDEX('Lease Cycles'!$FA$32:$FG$32,1,CS418),0,1-INDEX('Lease Cycles'!$EM$32:$ES$32,1,CS418)),IF(OR(INDEX('Lease Cycles'!$DY$32:$EE$32,1,CS418)=1,CS419&gt;0),1,1-INDEX('Lease Cycles'!$DD$32:$DJ$32,1,CS418))*((1-'Lease Cycles'!$AJ$32)*INDEX('Lease Cycles'!$FO$32:$FU$32,1,CS418)+(1-'Lease Cycles'!$BE$32)*(1-INDEX('Lease Cycles'!$FO$32:$FU$32,1,CS418)))),0)</f>
        <v>0</v>
      </c>
      <c r="CT426" s="24">
        <f>IF(CT420=1,'Lease Cycles'!$D$32*IF(INDEX('Lease Cycles'!$EF$32:$EL$32,1,CT418)=1,(1-'Lease Cycles'!$AJ$32)*INDEX('Lease Cycles'!$EM$32:$ES$32,1,CT418)+(1-'Lease Cycles'!$BE$32)*IF(CT419&lt;INDEX('Lease Cycles'!$FA$32:$FG$32,1,CT418),0,1-INDEX('Lease Cycles'!$EM$32:$ES$32,1,CT418)),IF(OR(INDEX('Lease Cycles'!$DY$32:$EE$32,1,CT418)=1,CT419&gt;0),1,1-INDEX('Lease Cycles'!$DD$32:$DJ$32,1,CT418))*((1-'Lease Cycles'!$AJ$32)*INDEX('Lease Cycles'!$FO$32:$FU$32,1,CT418)+(1-'Lease Cycles'!$BE$32)*(1-INDEX('Lease Cycles'!$FO$32:$FU$32,1,CT418)))),0)</f>
        <v>0</v>
      </c>
      <c r="CU426" s="24">
        <f>IF(CU420=1,'Lease Cycles'!$D$32*IF(INDEX('Lease Cycles'!$EF$32:$EL$32,1,CU418)=1,(1-'Lease Cycles'!$AJ$32)*INDEX('Lease Cycles'!$EM$32:$ES$32,1,CU418)+(1-'Lease Cycles'!$BE$32)*IF(CU419&lt;INDEX('Lease Cycles'!$FA$32:$FG$32,1,CU418),0,1-INDEX('Lease Cycles'!$EM$32:$ES$32,1,CU418)),IF(OR(INDEX('Lease Cycles'!$DY$32:$EE$32,1,CU418)=1,CU419&gt;0),1,1-INDEX('Lease Cycles'!$DD$32:$DJ$32,1,CU418))*((1-'Lease Cycles'!$AJ$32)*INDEX('Lease Cycles'!$FO$32:$FU$32,1,CU418)+(1-'Lease Cycles'!$BE$32)*(1-INDEX('Lease Cycles'!$FO$32:$FU$32,1,CU418)))),0)</f>
        <v>0</v>
      </c>
      <c r="CV426" s="24">
        <f>IF(CV420=1,'Lease Cycles'!$D$32*IF(INDEX('Lease Cycles'!$EF$32:$EL$32,1,CV418)=1,(1-'Lease Cycles'!$AJ$32)*INDEX('Lease Cycles'!$EM$32:$ES$32,1,CV418)+(1-'Lease Cycles'!$BE$32)*IF(CV419&lt;INDEX('Lease Cycles'!$FA$32:$FG$32,1,CV418),0,1-INDEX('Lease Cycles'!$EM$32:$ES$32,1,CV418)),IF(OR(INDEX('Lease Cycles'!$DY$32:$EE$32,1,CV418)=1,CV419&gt;0),1,1-INDEX('Lease Cycles'!$DD$32:$DJ$32,1,CV418))*((1-'Lease Cycles'!$AJ$32)*INDEX('Lease Cycles'!$FO$32:$FU$32,1,CV418)+(1-'Lease Cycles'!$BE$32)*(1-INDEX('Lease Cycles'!$FO$32:$FU$32,1,CV418)))),0)</f>
        <v>0</v>
      </c>
      <c r="CW426" s="24">
        <f>IF(CW420=1,'Lease Cycles'!$D$32*IF(INDEX('Lease Cycles'!$EF$32:$EL$32,1,CW418)=1,(1-'Lease Cycles'!$AJ$32)*INDEX('Lease Cycles'!$EM$32:$ES$32,1,CW418)+(1-'Lease Cycles'!$BE$32)*IF(CW419&lt;INDEX('Lease Cycles'!$FA$32:$FG$32,1,CW418),0,1-INDEX('Lease Cycles'!$EM$32:$ES$32,1,CW418)),IF(OR(INDEX('Lease Cycles'!$DY$32:$EE$32,1,CW418)=1,CW419&gt;0),1,1-INDEX('Lease Cycles'!$DD$32:$DJ$32,1,CW418))*((1-'Lease Cycles'!$AJ$32)*INDEX('Lease Cycles'!$FO$32:$FU$32,1,CW418)+(1-'Lease Cycles'!$BE$32)*(1-INDEX('Lease Cycles'!$FO$32:$FU$32,1,CW418)))),0)</f>
        <v>0</v>
      </c>
      <c r="CX426" s="24">
        <f>IF(CX420=1,'Lease Cycles'!$D$32*IF(INDEX('Lease Cycles'!$EF$32:$EL$32,1,CX418)=1,(1-'Lease Cycles'!$AJ$32)*INDEX('Lease Cycles'!$EM$32:$ES$32,1,CX418)+(1-'Lease Cycles'!$BE$32)*IF(CX419&lt;INDEX('Lease Cycles'!$FA$32:$FG$32,1,CX418),0,1-INDEX('Lease Cycles'!$EM$32:$ES$32,1,CX418)),IF(OR(INDEX('Lease Cycles'!$DY$32:$EE$32,1,CX418)=1,CX419&gt;0),1,1-INDEX('Lease Cycles'!$DD$32:$DJ$32,1,CX418))*((1-'Lease Cycles'!$AJ$32)*INDEX('Lease Cycles'!$FO$32:$FU$32,1,CX418)+(1-'Lease Cycles'!$BE$32)*(1-INDEX('Lease Cycles'!$FO$32:$FU$32,1,CX418)))),0)</f>
        <v>0</v>
      </c>
      <c r="CY426" s="24">
        <f>IF(CY420=1,'Lease Cycles'!$D$32*IF(INDEX('Lease Cycles'!$EF$32:$EL$32,1,CY418)=1,(1-'Lease Cycles'!$AJ$32)*INDEX('Lease Cycles'!$EM$32:$ES$32,1,CY418)+(1-'Lease Cycles'!$BE$32)*IF(CY419&lt;INDEX('Lease Cycles'!$FA$32:$FG$32,1,CY418),0,1-INDEX('Lease Cycles'!$EM$32:$ES$32,1,CY418)),IF(OR(INDEX('Lease Cycles'!$DY$32:$EE$32,1,CY418)=1,CY419&gt;0),1,1-INDEX('Lease Cycles'!$DD$32:$DJ$32,1,CY418))*((1-'Lease Cycles'!$AJ$32)*INDEX('Lease Cycles'!$FO$32:$FU$32,1,CY418)+(1-'Lease Cycles'!$BE$32)*(1-INDEX('Lease Cycles'!$FO$32:$FU$32,1,CY418)))),0)</f>
        <v>0</v>
      </c>
      <c r="CZ426" s="24">
        <f>IF(CZ420=1,'Lease Cycles'!$D$32*IF(INDEX('Lease Cycles'!$EF$32:$EL$32,1,CZ418)=1,(1-'Lease Cycles'!$AJ$32)*INDEX('Lease Cycles'!$EM$32:$ES$32,1,CZ418)+(1-'Lease Cycles'!$BE$32)*IF(CZ419&lt;INDEX('Lease Cycles'!$FA$32:$FG$32,1,CZ418),0,1-INDEX('Lease Cycles'!$EM$32:$ES$32,1,CZ418)),IF(OR(INDEX('Lease Cycles'!$DY$32:$EE$32,1,CZ418)=1,CZ419&gt;0),1,1-INDEX('Lease Cycles'!$DD$32:$DJ$32,1,CZ418))*((1-'Lease Cycles'!$AJ$32)*INDEX('Lease Cycles'!$FO$32:$FU$32,1,CZ418)+(1-'Lease Cycles'!$BE$32)*(1-INDEX('Lease Cycles'!$FO$32:$FU$32,1,CZ418)))),0)</f>
        <v>0</v>
      </c>
      <c r="DA426" s="24">
        <f>IF(DA420=1,'Lease Cycles'!$D$32*IF(INDEX('Lease Cycles'!$EF$32:$EL$32,1,DA418)=1,(1-'Lease Cycles'!$AJ$32)*INDEX('Lease Cycles'!$EM$32:$ES$32,1,DA418)+(1-'Lease Cycles'!$BE$32)*IF(DA419&lt;INDEX('Lease Cycles'!$FA$32:$FG$32,1,DA418),0,1-INDEX('Lease Cycles'!$EM$32:$ES$32,1,DA418)),IF(OR(INDEX('Lease Cycles'!$DY$32:$EE$32,1,DA418)=1,DA419&gt;0),1,1-INDEX('Lease Cycles'!$DD$32:$DJ$32,1,DA418))*((1-'Lease Cycles'!$AJ$32)*INDEX('Lease Cycles'!$FO$32:$FU$32,1,DA418)+(1-'Lease Cycles'!$BE$32)*(1-INDEX('Lease Cycles'!$FO$32:$FU$32,1,DA418)))),0)</f>
        <v>0</v>
      </c>
      <c r="DB426" s="24">
        <f>IF(DB420=1,'Lease Cycles'!$D$32*IF(INDEX('Lease Cycles'!$EF$32:$EL$32,1,DB418)=1,(1-'Lease Cycles'!$AJ$32)*INDEX('Lease Cycles'!$EM$32:$ES$32,1,DB418)+(1-'Lease Cycles'!$BE$32)*IF(DB419&lt;INDEX('Lease Cycles'!$FA$32:$FG$32,1,DB418),0,1-INDEX('Lease Cycles'!$EM$32:$ES$32,1,DB418)),IF(OR(INDEX('Lease Cycles'!$DY$32:$EE$32,1,DB418)=1,DB419&gt;0),1,1-INDEX('Lease Cycles'!$DD$32:$DJ$32,1,DB418))*((1-'Lease Cycles'!$AJ$32)*INDEX('Lease Cycles'!$FO$32:$FU$32,1,DB418)+(1-'Lease Cycles'!$BE$32)*(1-INDEX('Lease Cycles'!$FO$32:$FU$32,1,DB418)))),0)</f>
        <v>0</v>
      </c>
      <c r="DC426" s="24">
        <f>IF(DC420=1,'Lease Cycles'!$D$32*IF(INDEX('Lease Cycles'!$EF$32:$EL$32,1,DC418)=1,(1-'Lease Cycles'!$AJ$32)*INDEX('Lease Cycles'!$EM$32:$ES$32,1,DC418)+(1-'Lease Cycles'!$BE$32)*IF(DC419&lt;INDEX('Lease Cycles'!$FA$32:$FG$32,1,DC418),0,1-INDEX('Lease Cycles'!$EM$32:$ES$32,1,DC418)),IF(OR(INDEX('Lease Cycles'!$DY$32:$EE$32,1,DC418)=1,DC419&gt;0),1,1-INDEX('Lease Cycles'!$DD$32:$DJ$32,1,DC418))*((1-'Lease Cycles'!$AJ$32)*INDEX('Lease Cycles'!$FO$32:$FU$32,1,DC418)+(1-'Lease Cycles'!$BE$32)*(1-INDEX('Lease Cycles'!$FO$32:$FU$32,1,DC418)))),0)</f>
        <v>0</v>
      </c>
      <c r="DD426" s="24">
        <f>IF(DD420=1,'Lease Cycles'!$D$32*IF(INDEX('Lease Cycles'!$EF$32:$EL$32,1,DD418)=1,(1-'Lease Cycles'!$AJ$32)*INDEX('Lease Cycles'!$EM$32:$ES$32,1,DD418)+(1-'Lease Cycles'!$BE$32)*IF(DD419&lt;INDEX('Lease Cycles'!$FA$32:$FG$32,1,DD418),0,1-INDEX('Lease Cycles'!$EM$32:$ES$32,1,DD418)),IF(OR(INDEX('Lease Cycles'!$DY$32:$EE$32,1,DD418)=1,DD419&gt;0),1,1-INDEX('Lease Cycles'!$DD$32:$DJ$32,1,DD418))*((1-'Lease Cycles'!$AJ$32)*INDEX('Lease Cycles'!$FO$32:$FU$32,1,DD418)+(1-'Lease Cycles'!$BE$32)*(1-INDEX('Lease Cycles'!$FO$32:$FU$32,1,DD418)))),0)</f>
        <v>0</v>
      </c>
      <c r="DE426" s="24">
        <f>IF(DE420=1,'Lease Cycles'!$D$32*IF(INDEX('Lease Cycles'!$EF$32:$EL$32,1,DE418)=1,(1-'Lease Cycles'!$AJ$32)*INDEX('Lease Cycles'!$EM$32:$ES$32,1,DE418)+(1-'Lease Cycles'!$BE$32)*IF(DE419&lt;INDEX('Lease Cycles'!$FA$32:$FG$32,1,DE418),0,1-INDEX('Lease Cycles'!$EM$32:$ES$32,1,DE418)),IF(OR(INDEX('Lease Cycles'!$DY$32:$EE$32,1,DE418)=1,DE419&gt;0),1,1-INDEX('Lease Cycles'!$DD$32:$DJ$32,1,DE418))*((1-'Lease Cycles'!$AJ$32)*INDEX('Lease Cycles'!$FO$32:$FU$32,1,DE418)+(1-'Lease Cycles'!$BE$32)*(1-INDEX('Lease Cycles'!$FO$32:$FU$32,1,DE418)))),0)</f>
        <v>0</v>
      </c>
      <c r="DF426" s="24">
        <f>IF(DF420=1,'Lease Cycles'!$D$32*IF(INDEX('Lease Cycles'!$EF$32:$EL$32,1,DF418)=1,(1-'Lease Cycles'!$AJ$32)*INDEX('Lease Cycles'!$EM$32:$ES$32,1,DF418)+(1-'Lease Cycles'!$BE$32)*IF(DF419&lt;INDEX('Lease Cycles'!$FA$32:$FG$32,1,DF418),0,1-INDEX('Lease Cycles'!$EM$32:$ES$32,1,DF418)),IF(OR(INDEX('Lease Cycles'!$DY$32:$EE$32,1,DF418)=1,DF419&gt;0),1,1-INDEX('Lease Cycles'!$DD$32:$DJ$32,1,DF418))*((1-'Lease Cycles'!$AJ$32)*INDEX('Lease Cycles'!$FO$32:$FU$32,1,DF418)+(1-'Lease Cycles'!$BE$32)*(1-INDEX('Lease Cycles'!$FO$32:$FU$32,1,DF418)))),0)</f>
        <v>0</v>
      </c>
      <c r="DG426" s="24">
        <f>IF(DG420=1,'Lease Cycles'!$D$32*IF(INDEX('Lease Cycles'!$EF$32:$EL$32,1,DG418)=1,(1-'Lease Cycles'!$AJ$32)*INDEX('Lease Cycles'!$EM$32:$ES$32,1,DG418)+(1-'Lease Cycles'!$BE$32)*IF(DG419&lt;INDEX('Lease Cycles'!$FA$32:$FG$32,1,DG418),0,1-INDEX('Lease Cycles'!$EM$32:$ES$32,1,DG418)),IF(OR(INDEX('Lease Cycles'!$DY$32:$EE$32,1,DG418)=1,DG419&gt;0),1,1-INDEX('Lease Cycles'!$DD$32:$DJ$32,1,DG418))*((1-'Lease Cycles'!$AJ$32)*INDEX('Lease Cycles'!$FO$32:$FU$32,1,DG418)+(1-'Lease Cycles'!$BE$32)*(1-INDEX('Lease Cycles'!$FO$32:$FU$32,1,DG418)))),0)</f>
        <v>0</v>
      </c>
      <c r="DH426" s="24">
        <f>IF(DH420=1,'Lease Cycles'!$D$32*IF(INDEX('Lease Cycles'!$EF$32:$EL$32,1,DH418)=1,(1-'Lease Cycles'!$AJ$32)*INDEX('Lease Cycles'!$EM$32:$ES$32,1,DH418)+(1-'Lease Cycles'!$BE$32)*IF(DH419&lt;INDEX('Lease Cycles'!$FA$32:$FG$32,1,DH418),0,1-INDEX('Lease Cycles'!$EM$32:$ES$32,1,DH418)),IF(OR(INDEX('Lease Cycles'!$DY$32:$EE$32,1,DH418)=1,DH419&gt;0),1,1-INDEX('Lease Cycles'!$DD$32:$DJ$32,1,DH418))*((1-'Lease Cycles'!$AJ$32)*INDEX('Lease Cycles'!$FO$32:$FU$32,1,DH418)+(1-'Lease Cycles'!$BE$32)*(1-INDEX('Lease Cycles'!$FO$32:$FU$32,1,DH418)))),0)</f>
        <v>0</v>
      </c>
      <c r="DI426" s="24">
        <f>IF(DI420=1,'Lease Cycles'!$D$32*IF(INDEX('Lease Cycles'!$EF$32:$EL$32,1,DI418)=1,(1-'Lease Cycles'!$AJ$32)*INDEX('Lease Cycles'!$EM$32:$ES$32,1,DI418)+(1-'Lease Cycles'!$BE$32)*IF(DI419&lt;INDEX('Lease Cycles'!$FA$32:$FG$32,1,DI418),0,1-INDEX('Lease Cycles'!$EM$32:$ES$32,1,DI418)),IF(OR(INDEX('Lease Cycles'!$DY$32:$EE$32,1,DI418)=1,DI419&gt;0),1,1-INDEX('Lease Cycles'!$DD$32:$DJ$32,1,DI418))*((1-'Lease Cycles'!$AJ$32)*INDEX('Lease Cycles'!$FO$32:$FU$32,1,DI418)+(1-'Lease Cycles'!$BE$32)*(1-INDEX('Lease Cycles'!$FO$32:$FU$32,1,DI418)))),0)</f>
        <v>0</v>
      </c>
      <c r="DJ426" s="24">
        <f>IF(DJ420=1,'Lease Cycles'!$D$32*IF(INDEX('Lease Cycles'!$EF$32:$EL$32,1,DJ418)=1,(1-'Lease Cycles'!$AJ$32)*INDEX('Lease Cycles'!$EM$32:$ES$32,1,DJ418)+(1-'Lease Cycles'!$BE$32)*IF(DJ419&lt;INDEX('Lease Cycles'!$FA$32:$FG$32,1,DJ418),0,1-INDEX('Lease Cycles'!$EM$32:$ES$32,1,DJ418)),IF(OR(INDEX('Lease Cycles'!$DY$32:$EE$32,1,DJ418)=1,DJ419&gt;0),1,1-INDEX('Lease Cycles'!$DD$32:$DJ$32,1,DJ418))*((1-'Lease Cycles'!$AJ$32)*INDEX('Lease Cycles'!$FO$32:$FU$32,1,DJ418)+(1-'Lease Cycles'!$BE$32)*(1-INDEX('Lease Cycles'!$FO$32:$FU$32,1,DJ418)))),0)</f>
        <v>0</v>
      </c>
      <c r="DK426" s="24">
        <f>IF(DK420=1,'Lease Cycles'!$D$32*IF(INDEX('Lease Cycles'!$EF$32:$EL$32,1,DK418)=1,(1-'Lease Cycles'!$AJ$32)*INDEX('Lease Cycles'!$EM$32:$ES$32,1,DK418)+(1-'Lease Cycles'!$BE$32)*IF(DK419&lt;INDEX('Lease Cycles'!$FA$32:$FG$32,1,DK418),0,1-INDEX('Lease Cycles'!$EM$32:$ES$32,1,DK418)),IF(OR(INDEX('Lease Cycles'!$DY$32:$EE$32,1,DK418)=1,DK419&gt;0),1,1-INDEX('Lease Cycles'!$DD$32:$DJ$32,1,DK418))*((1-'Lease Cycles'!$AJ$32)*INDEX('Lease Cycles'!$FO$32:$FU$32,1,DK418)+(1-'Lease Cycles'!$BE$32)*(1-INDEX('Lease Cycles'!$FO$32:$FU$32,1,DK418)))),0)</f>
        <v>0</v>
      </c>
      <c r="DL426" s="24">
        <f>IF(DL420=1,'Lease Cycles'!$D$32*IF(INDEX('Lease Cycles'!$EF$32:$EL$32,1,DL418)=1,(1-'Lease Cycles'!$AJ$32)*INDEX('Lease Cycles'!$EM$32:$ES$32,1,DL418)+(1-'Lease Cycles'!$BE$32)*IF(DL419&lt;INDEX('Lease Cycles'!$FA$32:$FG$32,1,DL418),0,1-INDEX('Lease Cycles'!$EM$32:$ES$32,1,DL418)),IF(OR(INDEX('Lease Cycles'!$DY$32:$EE$32,1,DL418)=1,DL419&gt;0),1,1-INDEX('Lease Cycles'!$DD$32:$DJ$32,1,DL418))*((1-'Lease Cycles'!$AJ$32)*INDEX('Lease Cycles'!$FO$32:$FU$32,1,DL418)+(1-'Lease Cycles'!$BE$32)*(1-INDEX('Lease Cycles'!$FO$32:$FU$32,1,DL418)))),0)</f>
        <v>0</v>
      </c>
      <c r="DM426" s="24">
        <f>IF(DM420=1,'Lease Cycles'!$D$32*IF(INDEX('Lease Cycles'!$EF$32:$EL$32,1,DM418)=1,(1-'Lease Cycles'!$AJ$32)*INDEX('Lease Cycles'!$EM$32:$ES$32,1,DM418)+(1-'Lease Cycles'!$BE$32)*IF(DM419&lt;INDEX('Lease Cycles'!$FA$32:$FG$32,1,DM418),0,1-INDEX('Lease Cycles'!$EM$32:$ES$32,1,DM418)),IF(OR(INDEX('Lease Cycles'!$DY$32:$EE$32,1,DM418)=1,DM419&gt;0),1,1-INDEX('Lease Cycles'!$DD$32:$DJ$32,1,DM418))*((1-'Lease Cycles'!$AJ$32)*INDEX('Lease Cycles'!$FO$32:$FU$32,1,DM418)+(1-'Lease Cycles'!$BE$32)*(1-INDEX('Lease Cycles'!$FO$32:$FU$32,1,DM418)))),0)</f>
        <v>0</v>
      </c>
      <c r="DN426" s="24">
        <f>IF(DN420=1,'Lease Cycles'!$D$32*IF(INDEX('Lease Cycles'!$EF$32:$EL$32,1,DN418)=1,(1-'Lease Cycles'!$AJ$32)*INDEX('Lease Cycles'!$EM$32:$ES$32,1,DN418)+(1-'Lease Cycles'!$BE$32)*IF(DN419&lt;INDEX('Lease Cycles'!$FA$32:$FG$32,1,DN418),0,1-INDEX('Lease Cycles'!$EM$32:$ES$32,1,DN418)),IF(OR(INDEX('Lease Cycles'!$DY$32:$EE$32,1,DN418)=1,DN419&gt;0),1,1-INDEX('Lease Cycles'!$DD$32:$DJ$32,1,DN418))*((1-'Lease Cycles'!$AJ$32)*INDEX('Lease Cycles'!$FO$32:$FU$32,1,DN418)+(1-'Lease Cycles'!$BE$32)*(1-INDEX('Lease Cycles'!$FO$32:$FU$32,1,DN418)))),0)</f>
        <v>0</v>
      </c>
      <c r="DO426" s="24">
        <f>IF(DO420=1,'Lease Cycles'!$D$32*IF(INDEX('Lease Cycles'!$EF$32:$EL$32,1,DO418)=1,(1-'Lease Cycles'!$AJ$32)*INDEX('Lease Cycles'!$EM$32:$ES$32,1,DO418)+(1-'Lease Cycles'!$BE$32)*IF(DO419&lt;INDEX('Lease Cycles'!$FA$32:$FG$32,1,DO418),0,1-INDEX('Lease Cycles'!$EM$32:$ES$32,1,DO418)),IF(OR(INDEX('Lease Cycles'!$DY$32:$EE$32,1,DO418)=1,DO419&gt;0),1,1-INDEX('Lease Cycles'!$DD$32:$DJ$32,1,DO418))*((1-'Lease Cycles'!$AJ$32)*INDEX('Lease Cycles'!$FO$32:$FU$32,1,DO418)+(1-'Lease Cycles'!$BE$32)*(1-INDEX('Lease Cycles'!$FO$32:$FU$32,1,DO418)))),0)</f>
        <v>0</v>
      </c>
      <c r="DP426" s="24">
        <f>IF(DP420=1,'Lease Cycles'!$D$32*IF(INDEX('Lease Cycles'!$EF$32:$EL$32,1,DP418)=1,(1-'Lease Cycles'!$AJ$32)*INDEX('Lease Cycles'!$EM$32:$ES$32,1,DP418)+(1-'Lease Cycles'!$BE$32)*IF(DP419&lt;INDEX('Lease Cycles'!$FA$32:$FG$32,1,DP418),0,1-INDEX('Lease Cycles'!$EM$32:$ES$32,1,DP418)),IF(OR(INDEX('Lease Cycles'!$DY$32:$EE$32,1,DP418)=1,DP419&gt;0),1,1-INDEX('Lease Cycles'!$DD$32:$DJ$32,1,DP418))*((1-'Lease Cycles'!$AJ$32)*INDEX('Lease Cycles'!$FO$32:$FU$32,1,DP418)+(1-'Lease Cycles'!$BE$32)*(1-INDEX('Lease Cycles'!$FO$32:$FU$32,1,DP418)))),0)</f>
        <v>0</v>
      </c>
      <c r="DQ426" s="24">
        <f>IF(DQ420=1,'Lease Cycles'!$D$32*IF(INDEX('Lease Cycles'!$EF$32:$EL$32,1,DQ418)=1,(1-'Lease Cycles'!$AJ$32)*INDEX('Lease Cycles'!$EM$32:$ES$32,1,DQ418)+(1-'Lease Cycles'!$BE$32)*IF(DQ419&lt;INDEX('Lease Cycles'!$FA$32:$FG$32,1,DQ418),0,1-INDEX('Lease Cycles'!$EM$32:$ES$32,1,DQ418)),IF(OR(INDEX('Lease Cycles'!$DY$32:$EE$32,1,DQ418)=1,DQ419&gt;0),1,1-INDEX('Lease Cycles'!$DD$32:$DJ$32,1,DQ418))*((1-'Lease Cycles'!$AJ$32)*INDEX('Lease Cycles'!$FO$32:$FU$32,1,DQ418)+(1-'Lease Cycles'!$BE$32)*(1-INDEX('Lease Cycles'!$FO$32:$FU$32,1,DQ418)))),0)</f>
        <v>0</v>
      </c>
      <c r="DR426" s="24">
        <f>IF(DR420=1,'Lease Cycles'!$D$32*IF(INDEX('Lease Cycles'!$EF$32:$EL$32,1,DR418)=1,(1-'Lease Cycles'!$AJ$32)*INDEX('Lease Cycles'!$EM$32:$ES$32,1,DR418)+(1-'Lease Cycles'!$BE$32)*IF(DR419&lt;INDEX('Lease Cycles'!$FA$32:$FG$32,1,DR418),0,1-INDEX('Lease Cycles'!$EM$32:$ES$32,1,DR418)),IF(OR(INDEX('Lease Cycles'!$DY$32:$EE$32,1,DR418)=1,DR419&gt;0),1,1-INDEX('Lease Cycles'!$DD$32:$DJ$32,1,DR418))*((1-'Lease Cycles'!$AJ$32)*INDEX('Lease Cycles'!$FO$32:$FU$32,1,DR418)+(1-'Lease Cycles'!$BE$32)*(1-INDEX('Lease Cycles'!$FO$32:$FU$32,1,DR418)))),0)</f>
        <v>0</v>
      </c>
      <c r="DS426" s="24">
        <f>IF(DS420=1,'Lease Cycles'!$D$32*IF(INDEX('Lease Cycles'!$EF$32:$EL$32,1,DS418)=1,(1-'Lease Cycles'!$AJ$32)*INDEX('Lease Cycles'!$EM$32:$ES$32,1,DS418)+(1-'Lease Cycles'!$BE$32)*IF(DS419&lt;INDEX('Lease Cycles'!$FA$32:$FG$32,1,DS418),0,1-INDEX('Lease Cycles'!$EM$32:$ES$32,1,DS418)),IF(OR(INDEX('Lease Cycles'!$DY$32:$EE$32,1,DS418)=1,DS419&gt;0),1,1-INDEX('Lease Cycles'!$DD$32:$DJ$32,1,DS418))*((1-'Lease Cycles'!$AJ$32)*INDEX('Lease Cycles'!$FO$32:$FU$32,1,DS418)+(1-'Lease Cycles'!$BE$32)*(1-INDEX('Lease Cycles'!$FO$32:$FU$32,1,DS418)))),0)</f>
        <v>0</v>
      </c>
      <c r="DT426" s="24">
        <f>IF(DT420=1,'Lease Cycles'!$D$32*IF(INDEX('Lease Cycles'!$EF$32:$EL$32,1,DT418)=1,(1-'Lease Cycles'!$AJ$32)*INDEX('Lease Cycles'!$EM$32:$ES$32,1,DT418)+(1-'Lease Cycles'!$BE$32)*IF(DT419&lt;INDEX('Lease Cycles'!$FA$32:$FG$32,1,DT418),0,1-INDEX('Lease Cycles'!$EM$32:$ES$32,1,DT418)),IF(OR(INDEX('Lease Cycles'!$DY$32:$EE$32,1,DT418)=1,DT419&gt;0),1,1-INDEX('Lease Cycles'!$DD$32:$DJ$32,1,DT418))*((1-'Lease Cycles'!$AJ$32)*INDEX('Lease Cycles'!$FO$32:$FU$32,1,DT418)+(1-'Lease Cycles'!$BE$32)*(1-INDEX('Lease Cycles'!$FO$32:$FU$32,1,DT418)))),0)</f>
        <v>0</v>
      </c>
      <c r="DU426" s="24">
        <f>IF(DU420=1,'Lease Cycles'!$D$32*IF(INDEX('Lease Cycles'!$EF$32:$EL$32,1,DU418)=1,(1-'Lease Cycles'!$AJ$32)*INDEX('Lease Cycles'!$EM$32:$ES$32,1,DU418)+(1-'Lease Cycles'!$BE$32)*IF(DU419&lt;INDEX('Lease Cycles'!$FA$32:$FG$32,1,DU418),0,1-INDEX('Lease Cycles'!$EM$32:$ES$32,1,DU418)),IF(OR(INDEX('Lease Cycles'!$DY$32:$EE$32,1,DU418)=1,DU419&gt;0),1,1-INDEX('Lease Cycles'!$DD$32:$DJ$32,1,DU418))*((1-'Lease Cycles'!$AJ$32)*INDEX('Lease Cycles'!$FO$32:$FU$32,1,DU418)+(1-'Lease Cycles'!$BE$32)*(1-INDEX('Lease Cycles'!$FO$32:$FU$32,1,DU418)))),0)</f>
        <v>0</v>
      </c>
      <c r="DV426" s="24">
        <f>IF(DV420=1,'Lease Cycles'!$D$32*IF(INDEX('Lease Cycles'!$EF$32:$EL$32,1,DV418)=1,(1-'Lease Cycles'!$AJ$32)*INDEX('Lease Cycles'!$EM$32:$ES$32,1,DV418)+(1-'Lease Cycles'!$BE$32)*IF(DV419&lt;INDEX('Lease Cycles'!$FA$32:$FG$32,1,DV418),0,1-INDEX('Lease Cycles'!$EM$32:$ES$32,1,DV418)),IF(OR(INDEX('Lease Cycles'!$DY$32:$EE$32,1,DV418)=1,DV419&gt;0),1,1-INDEX('Lease Cycles'!$DD$32:$DJ$32,1,DV418))*((1-'Lease Cycles'!$AJ$32)*INDEX('Lease Cycles'!$FO$32:$FU$32,1,DV418)+(1-'Lease Cycles'!$BE$32)*(1-INDEX('Lease Cycles'!$FO$32:$FU$32,1,DV418)))),0)</f>
        <v>0</v>
      </c>
      <c r="DW426" s="24">
        <f>IF(DW420=1,'Lease Cycles'!$D$32*IF(INDEX('Lease Cycles'!$EF$32:$EL$32,1,DW418)=1,(1-'Lease Cycles'!$AJ$32)*INDEX('Lease Cycles'!$EM$32:$ES$32,1,DW418)+(1-'Lease Cycles'!$BE$32)*IF(DW419&lt;INDEX('Lease Cycles'!$FA$32:$FG$32,1,DW418),0,1-INDEX('Lease Cycles'!$EM$32:$ES$32,1,DW418)),IF(OR(INDEX('Lease Cycles'!$DY$32:$EE$32,1,DW418)=1,DW419&gt;0),1,1-INDEX('Lease Cycles'!$DD$32:$DJ$32,1,DW418))*((1-'Lease Cycles'!$AJ$32)*INDEX('Lease Cycles'!$FO$32:$FU$32,1,DW418)+(1-'Lease Cycles'!$BE$32)*(1-INDEX('Lease Cycles'!$FO$32:$FU$32,1,DW418)))),0)</f>
        <v>0</v>
      </c>
      <c r="DX426" s="24">
        <f>IF(DX420=1,'Lease Cycles'!$D$32*IF(INDEX('Lease Cycles'!$EF$32:$EL$32,1,DX418)=1,(1-'Lease Cycles'!$AJ$32)*INDEX('Lease Cycles'!$EM$32:$ES$32,1,DX418)+(1-'Lease Cycles'!$BE$32)*IF(DX419&lt;INDEX('Lease Cycles'!$FA$32:$FG$32,1,DX418),0,1-INDEX('Lease Cycles'!$EM$32:$ES$32,1,DX418)),IF(OR(INDEX('Lease Cycles'!$DY$32:$EE$32,1,DX418)=1,DX419&gt;0),1,1-INDEX('Lease Cycles'!$DD$32:$DJ$32,1,DX418))*((1-'Lease Cycles'!$AJ$32)*INDEX('Lease Cycles'!$FO$32:$FU$32,1,DX418)+(1-'Lease Cycles'!$BE$32)*(1-INDEX('Lease Cycles'!$FO$32:$FU$32,1,DX418)))),0)</f>
        <v>0</v>
      </c>
      <c r="DY426" s="24">
        <f>IF(DY420=1,'Lease Cycles'!$D$32*IF(INDEX('Lease Cycles'!$EF$32:$EL$32,1,DY418)=1,(1-'Lease Cycles'!$AJ$32)*INDEX('Lease Cycles'!$EM$32:$ES$32,1,DY418)+(1-'Lease Cycles'!$BE$32)*IF(DY419&lt;INDEX('Lease Cycles'!$FA$32:$FG$32,1,DY418),0,1-INDEX('Lease Cycles'!$EM$32:$ES$32,1,DY418)),IF(OR(INDEX('Lease Cycles'!$DY$32:$EE$32,1,DY418)=1,DY419&gt;0),1,1-INDEX('Lease Cycles'!$DD$32:$DJ$32,1,DY418))*((1-'Lease Cycles'!$AJ$32)*INDEX('Lease Cycles'!$FO$32:$FU$32,1,DY418)+(1-'Lease Cycles'!$BE$32)*(1-INDEX('Lease Cycles'!$FO$32:$FU$32,1,DY418)))),0)</f>
        <v>0</v>
      </c>
      <c r="DZ426" s="24">
        <f>IF(DZ420=1,'Lease Cycles'!$D$32*IF(INDEX('Lease Cycles'!$EF$32:$EL$32,1,DZ418)=1,(1-'Lease Cycles'!$AJ$32)*INDEX('Lease Cycles'!$EM$32:$ES$32,1,DZ418)+(1-'Lease Cycles'!$BE$32)*IF(DZ419&lt;INDEX('Lease Cycles'!$FA$32:$FG$32,1,DZ418),0,1-INDEX('Lease Cycles'!$EM$32:$ES$32,1,DZ418)),IF(OR(INDEX('Lease Cycles'!$DY$32:$EE$32,1,DZ418)=1,DZ419&gt;0),1,1-INDEX('Lease Cycles'!$DD$32:$DJ$32,1,DZ418))*((1-'Lease Cycles'!$AJ$32)*INDEX('Lease Cycles'!$FO$32:$FU$32,1,DZ418)+(1-'Lease Cycles'!$BE$32)*(1-INDEX('Lease Cycles'!$FO$32:$FU$32,1,DZ418)))),0)</f>
        <v>0</v>
      </c>
      <c r="EA426" s="24">
        <f>IF(EA420=1,'Lease Cycles'!$D$32*IF(INDEX('Lease Cycles'!$EF$32:$EL$32,1,EA418)=1,(1-'Lease Cycles'!$AJ$32)*INDEX('Lease Cycles'!$EM$32:$ES$32,1,EA418)+(1-'Lease Cycles'!$BE$32)*IF(EA419&lt;INDEX('Lease Cycles'!$FA$32:$FG$32,1,EA418),0,1-INDEX('Lease Cycles'!$EM$32:$ES$32,1,EA418)),IF(OR(INDEX('Lease Cycles'!$DY$32:$EE$32,1,EA418)=1,EA419&gt;0),1,1-INDEX('Lease Cycles'!$DD$32:$DJ$32,1,EA418))*((1-'Lease Cycles'!$AJ$32)*INDEX('Lease Cycles'!$FO$32:$FU$32,1,EA418)+(1-'Lease Cycles'!$BE$32)*(1-INDEX('Lease Cycles'!$FO$32:$FU$32,1,EA418)))),0)</f>
        <v>0</v>
      </c>
      <c r="EB426" s="24">
        <f>IF(EB420=1,'Lease Cycles'!$D$32*IF(INDEX('Lease Cycles'!$EF$32:$EL$32,1,EB418)=1,(1-'Lease Cycles'!$AJ$32)*INDEX('Lease Cycles'!$EM$32:$ES$32,1,EB418)+(1-'Lease Cycles'!$BE$32)*IF(EB419&lt;INDEX('Lease Cycles'!$FA$32:$FG$32,1,EB418),0,1-INDEX('Lease Cycles'!$EM$32:$ES$32,1,EB418)),IF(OR(INDEX('Lease Cycles'!$DY$32:$EE$32,1,EB418)=1,EB419&gt;0),1,1-INDEX('Lease Cycles'!$DD$32:$DJ$32,1,EB418))*((1-'Lease Cycles'!$AJ$32)*INDEX('Lease Cycles'!$FO$32:$FU$32,1,EB418)+(1-'Lease Cycles'!$BE$32)*(1-INDEX('Lease Cycles'!$FO$32:$FU$32,1,EB418)))),0)</f>
        <v>0</v>
      </c>
      <c r="EC426" s="24">
        <f>IF(EC420=1,'Lease Cycles'!$D$32*IF(INDEX('Lease Cycles'!$EF$32:$EL$32,1,EC418)=1,(1-'Lease Cycles'!$AJ$32)*INDEX('Lease Cycles'!$EM$32:$ES$32,1,EC418)+(1-'Lease Cycles'!$BE$32)*IF(EC419&lt;INDEX('Lease Cycles'!$FA$32:$FG$32,1,EC418),0,1-INDEX('Lease Cycles'!$EM$32:$ES$32,1,EC418)),IF(OR(INDEX('Lease Cycles'!$DY$32:$EE$32,1,EC418)=1,EC419&gt;0),1,1-INDEX('Lease Cycles'!$DD$32:$DJ$32,1,EC418))*((1-'Lease Cycles'!$AJ$32)*INDEX('Lease Cycles'!$FO$32:$FU$32,1,EC418)+(1-'Lease Cycles'!$BE$32)*(1-INDEX('Lease Cycles'!$FO$32:$FU$32,1,EC418)))),0)</f>
        <v>0</v>
      </c>
      <c r="ED426" s="24">
        <f>IF(ED420=1,'Lease Cycles'!$D$32*IF(INDEX('Lease Cycles'!$EF$32:$EL$32,1,ED418)=1,(1-'Lease Cycles'!$AJ$32)*INDEX('Lease Cycles'!$EM$32:$ES$32,1,ED418)+(1-'Lease Cycles'!$BE$32)*IF(ED419&lt;INDEX('Lease Cycles'!$FA$32:$FG$32,1,ED418),0,1-INDEX('Lease Cycles'!$EM$32:$ES$32,1,ED418)),IF(OR(INDEX('Lease Cycles'!$DY$32:$EE$32,1,ED418)=1,ED419&gt;0),1,1-INDEX('Lease Cycles'!$DD$32:$DJ$32,1,ED418))*((1-'Lease Cycles'!$AJ$32)*INDEX('Lease Cycles'!$FO$32:$FU$32,1,ED418)+(1-'Lease Cycles'!$BE$32)*(1-INDEX('Lease Cycles'!$FO$32:$FU$32,1,ED418)))),0)</f>
        <v>0</v>
      </c>
      <c r="EE426" s="24">
        <f>IF(EE420=1,'Lease Cycles'!$D$32*IF(INDEX('Lease Cycles'!$EF$32:$EL$32,1,EE418)=1,(1-'Lease Cycles'!$AJ$32)*INDEX('Lease Cycles'!$EM$32:$ES$32,1,EE418)+(1-'Lease Cycles'!$BE$32)*IF(EE419&lt;INDEX('Lease Cycles'!$FA$32:$FG$32,1,EE418),0,1-INDEX('Lease Cycles'!$EM$32:$ES$32,1,EE418)),IF(OR(INDEX('Lease Cycles'!$DY$32:$EE$32,1,EE418)=1,EE419&gt;0),1,1-INDEX('Lease Cycles'!$DD$32:$DJ$32,1,EE418))*((1-'Lease Cycles'!$AJ$32)*INDEX('Lease Cycles'!$FO$32:$FU$32,1,EE418)+(1-'Lease Cycles'!$BE$32)*(1-INDEX('Lease Cycles'!$FO$32:$FU$32,1,EE418)))),0)</f>
        <v>0</v>
      </c>
      <c r="EF426" s="24">
        <f>IF(EF420=1,'Lease Cycles'!$D$32*IF(INDEX('Lease Cycles'!$EF$32:$EL$32,1,EF418)=1,(1-'Lease Cycles'!$AJ$32)*INDEX('Lease Cycles'!$EM$32:$ES$32,1,EF418)+(1-'Lease Cycles'!$BE$32)*IF(EF419&lt;INDEX('Lease Cycles'!$FA$32:$FG$32,1,EF418),0,1-INDEX('Lease Cycles'!$EM$32:$ES$32,1,EF418)),IF(OR(INDEX('Lease Cycles'!$DY$32:$EE$32,1,EF418)=1,EF419&gt;0),1,1-INDEX('Lease Cycles'!$DD$32:$DJ$32,1,EF418))*((1-'Lease Cycles'!$AJ$32)*INDEX('Lease Cycles'!$FO$32:$FU$32,1,EF418)+(1-'Lease Cycles'!$BE$32)*(1-INDEX('Lease Cycles'!$FO$32:$FU$32,1,EF418)))),0)</f>
        <v>0</v>
      </c>
      <c r="EG426" s="24">
        <f>IF(EG420=1,'Lease Cycles'!$D$32*IF(INDEX('Lease Cycles'!$EF$32:$EL$32,1,EG418)=1,(1-'Lease Cycles'!$AJ$32)*INDEX('Lease Cycles'!$EM$32:$ES$32,1,EG418)+(1-'Lease Cycles'!$BE$32)*IF(EG419&lt;INDEX('Lease Cycles'!$FA$32:$FG$32,1,EG418),0,1-INDEX('Lease Cycles'!$EM$32:$ES$32,1,EG418)),IF(OR(INDEX('Lease Cycles'!$DY$32:$EE$32,1,EG418)=1,EG419&gt;0),1,1-INDEX('Lease Cycles'!$DD$32:$DJ$32,1,EG418))*((1-'Lease Cycles'!$AJ$32)*INDEX('Lease Cycles'!$FO$32:$FU$32,1,EG418)+(1-'Lease Cycles'!$BE$32)*(1-INDEX('Lease Cycles'!$FO$32:$FU$32,1,EG418)))),0)</f>
        <v>0</v>
      </c>
      <c r="EH426" s="24">
        <f>IF(EH420=1,'Lease Cycles'!$D$32*IF(INDEX('Lease Cycles'!$EF$32:$EL$32,1,EH418)=1,(1-'Lease Cycles'!$AJ$32)*INDEX('Lease Cycles'!$EM$32:$ES$32,1,EH418)+(1-'Lease Cycles'!$BE$32)*IF(EH419&lt;INDEX('Lease Cycles'!$FA$32:$FG$32,1,EH418),0,1-INDEX('Lease Cycles'!$EM$32:$ES$32,1,EH418)),IF(OR(INDEX('Lease Cycles'!$DY$32:$EE$32,1,EH418)=1,EH419&gt;0),1,1-INDEX('Lease Cycles'!$DD$32:$DJ$32,1,EH418))*((1-'Lease Cycles'!$AJ$32)*INDEX('Lease Cycles'!$FO$32:$FU$32,1,EH418)+(1-'Lease Cycles'!$BE$32)*(1-INDEX('Lease Cycles'!$FO$32:$FU$32,1,EH418)))),0)</f>
        <v>0</v>
      </c>
      <c r="EI426" s="24">
        <f>IF(EI420=1,'Lease Cycles'!$D$32*IF(INDEX('Lease Cycles'!$EF$32:$EL$32,1,EI418)=1,(1-'Lease Cycles'!$AJ$32)*INDEX('Lease Cycles'!$EM$32:$ES$32,1,EI418)+(1-'Lease Cycles'!$BE$32)*IF(EI419&lt;INDEX('Lease Cycles'!$FA$32:$FG$32,1,EI418),0,1-INDEX('Lease Cycles'!$EM$32:$ES$32,1,EI418)),IF(OR(INDEX('Lease Cycles'!$DY$32:$EE$32,1,EI418)=1,EI419&gt;0),1,1-INDEX('Lease Cycles'!$DD$32:$DJ$32,1,EI418))*((1-'Lease Cycles'!$AJ$32)*INDEX('Lease Cycles'!$FO$32:$FU$32,1,EI418)+(1-'Lease Cycles'!$BE$32)*(1-INDEX('Lease Cycles'!$FO$32:$FU$32,1,EI418)))),0)</f>
        <v>0</v>
      </c>
      <c r="EJ426" s="24">
        <f>IF(EJ420=1,'Lease Cycles'!$D$32*IF(INDEX('Lease Cycles'!$EF$32:$EL$32,1,EJ418)=1,(1-'Lease Cycles'!$AJ$32)*INDEX('Lease Cycles'!$EM$32:$ES$32,1,EJ418)+(1-'Lease Cycles'!$BE$32)*IF(EJ419&lt;INDEX('Lease Cycles'!$FA$32:$FG$32,1,EJ418),0,1-INDEX('Lease Cycles'!$EM$32:$ES$32,1,EJ418)),IF(OR(INDEX('Lease Cycles'!$DY$32:$EE$32,1,EJ418)=1,EJ419&gt;0),1,1-INDEX('Lease Cycles'!$DD$32:$DJ$32,1,EJ418))*((1-'Lease Cycles'!$AJ$32)*INDEX('Lease Cycles'!$FO$32:$FU$32,1,EJ418)+(1-'Lease Cycles'!$BE$32)*(1-INDEX('Lease Cycles'!$FO$32:$FU$32,1,EJ418)))),0)</f>
        <v>0</v>
      </c>
      <c r="EK426" s="24">
        <f>IF(EK420=1,'Lease Cycles'!$D$32*IF(INDEX('Lease Cycles'!$EF$32:$EL$32,1,EK418)=1,(1-'Lease Cycles'!$AJ$32)*INDEX('Lease Cycles'!$EM$32:$ES$32,1,EK418)+(1-'Lease Cycles'!$BE$32)*IF(EK419&lt;INDEX('Lease Cycles'!$FA$32:$FG$32,1,EK418),0,1-INDEX('Lease Cycles'!$EM$32:$ES$32,1,EK418)),IF(OR(INDEX('Lease Cycles'!$DY$32:$EE$32,1,EK418)=1,EK419&gt;0),1,1-INDEX('Lease Cycles'!$DD$32:$DJ$32,1,EK418))*((1-'Lease Cycles'!$AJ$32)*INDEX('Lease Cycles'!$FO$32:$FU$32,1,EK418)+(1-'Lease Cycles'!$BE$32)*(1-INDEX('Lease Cycles'!$FO$32:$FU$32,1,EK418)))),0)</f>
        <v>0</v>
      </c>
      <c r="EL426" s="24">
        <f>IF(EL420=1,'Lease Cycles'!$D$32*IF(INDEX('Lease Cycles'!$EF$32:$EL$32,1,EL418)=1,(1-'Lease Cycles'!$AJ$32)*INDEX('Lease Cycles'!$EM$32:$ES$32,1,EL418)+(1-'Lease Cycles'!$BE$32)*IF(EL419&lt;INDEX('Lease Cycles'!$FA$32:$FG$32,1,EL418),0,1-INDEX('Lease Cycles'!$EM$32:$ES$32,1,EL418)),IF(OR(INDEX('Lease Cycles'!$DY$32:$EE$32,1,EL418)=1,EL419&gt;0),1,1-INDEX('Lease Cycles'!$DD$32:$DJ$32,1,EL418))*((1-'Lease Cycles'!$AJ$32)*INDEX('Lease Cycles'!$FO$32:$FU$32,1,EL418)+(1-'Lease Cycles'!$BE$32)*(1-INDEX('Lease Cycles'!$FO$32:$FU$32,1,EL418)))),0)</f>
        <v>0</v>
      </c>
      <c r="EM426" s="24">
        <f>IF(EM420=1,'Lease Cycles'!$D$32*IF(INDEX('Lease Cycles'!$EF$32:$EL$32,1,EM418)=1,(1-'Lease Cycles'!$AJ$32)*INDEX('Lease Cycles'!$EM$32:$ES$32,1,EM418)+(1-'Lease Cycles'!$BE$32)*IF(EM419&lt;INDEX('Lease Cycles'!$FA$32:$FG$32,1,EM418),0,1-INDEX('Lease Cycles'!$EM$32:$ES$32,1,EM418)),IF(OR(INDEX('Lease Cycles'!$DY$32:$EE$32,1,EM418)=1,EM419&gt;0),1,1-INDEX('Lease Cycles'!$DD$32:$DJ$32,1,EM418))*((1-'Lease Cycles'!$AJ$32)*INDEX('Lease Cycles'!$FO$32:$FU$32,1,EM418)+(1-'Lease Cycles'!$BE$32)*(1-INDEX('Lease Cycles'!$FO$32:$FU$32,1,EM418)))),0)</f>
        <v>0</v>
      </c>
      <c r="EN426" s="24">
        <f>IF(EN420=1,'Lease Cycles'!$D$32*IF(INDEX('Lease Cycles'!$EF$32:$EL$32,1,EN418)=1,(1-'Lease Cycles'!$AJ$32)*INDEX('Lease Cycles'!$EM$32:$ES$32,1,EN418)+(1-'Lease Cycles'!$BE$32)*IF(EN419&lt;INDEX('Lease Cycles'!$FA$32:$FG$32,1,EN418),0,1-INDEX('Lease Cycles'!$EM$32:$ES$32,1,EN418)),IF(OR(INDEX('Lease Cycles'!$DY$32:$EE$32,1,EN418)=1,EN419&gt;0),1,1-INDEX('Lease Cycles'!$DD$32:$DJ$32,1,EN418))*((1-'Lease Cycles'!$AJ$32)*INDEX('Lease Cycles'!$FO$32:$FU$32,1,EN418)+(1-'Lease Cycles'!$BE$32)*(1-INDEX('Lease Cycles'!$FO$32:$FU$32,1,EN418)))),0)</f>
        <v>0</v>
      </c>
      <c r="EO426" s="24">
        <f>IF(EO420=1,'Lease Cycles'!$D$32*IF(INDEX('Lease Cycles'!$EF$32:$EL$32,1,EO418)=1,(1-'Lease Cycles'!$AJ$32)*INDEX('Lease Cycles'!$EM$32:$ES$32,1,EO418)+(1-'Lease Cycles'!$BE$32)*IF(EO419&lt;INDEX('Lease Cycles'!$FA$32:$FG$32,1,EO418),0,1-INDEX('Lease Cycles'!$EM$32:$ES$32,1,EO418)),IF(OR(INDEX('Lease Cycles'!$DY$32:$EE$32,1,EO418)=1,EO419&gt;0),1,1-INDEX('Lease Cycles'!$DD$32:$DJ$32,1,EO418))*((1-'Lease Cycles'!$AJ$32)*INDEX('Lease Cycles'!$FO$32:$FU$32,1,EO418)+(1-'Lease Cycles'!$BE$32)*(1-INDEX('Lease Cycles'!$FO$32:$FU$32,1,EO418)))),0)</f>
        <v>0</v>
      </c>
      <c r="EP426" s="24">
        <f>IF(EP420=1,'Lease Cycles'!$D$32*IF(INDEX('Lease Cycles'!$EF$32:$EL$32,1,EP418)=1,(1-'Lease Cycles'!$AJ$32)*INDEX('Lease Cycles'!$EM$32:$ES$32,1,EP418)+(1-'Lease Cycles'!$BE$32)*IF(EP419&lt;INDEX('Lease Cycles'!$FA$32:$FG$32,1,EP418),0,1-INDEX('Lease Cycles'!$EM$32:$ES$32,1,EP418)),IF(OR(INDEX('Lease Cycles'!$DY$32:$EE$32,1,EP418)=1,EP419&gt;0),1,1-INDEX('Lease Cycles'!$DD$32:$DJ$32,1,EP418))*((1-'Lease Cycles'!$AJ$32)*INDEX('Lease Cycles'!$FO$32:$FU$32,1,EP418)+(1-'Lease Cycles'!$BE$32)*(1-INDEX('Lease Cycles'!$FO$32:$FU$32,1,EP418)))),0)</f>
        <v>0</v>
      </c>
      <c r="EQ426" s="24">
        <f>IF(EQ420=1,'Lease Cycles'!$D$32*IF(INDEX('Lease Cycles'!$EF$32:$EL$32,1,EQ418)=1,(1-'Lease Cycles'!$AJ$32)*INDEX('Lease Cycles'!$EM$32:$ES$32,1,EQ418)+(1-'Lease Cycles'!$BE$32)*IF(EQ419&lt;INDEX('Lease Cycles'!$FA$32:$FG$32,1,EQ418),0,1-INDEX('Lease Cycles'!$EM$32:$ES$32,1,EQ418)),IF(OR(INDEX('Lease Cycles'!$DY$32:$EE$32,1,EQ418)=1,EQ419&gt;0),1,1-INDEX('Lease Cycles'!$DD$32:$DJ$32,1,EQ418))*((1-'Lease Cycles'!$AJ$32)*INDEX('Lease Cycles'!$FO$32:$FU$32,1,EQ418)+(1-'Lease Cycles'!$BE$32)*(1-INDEX('Lease Cycles'!$FO$32:$FU$32,1,EQ418)))),0)</f>
        <v>0</v>
      </c>
      <c r="ER426" s="24">
        <f>IF(ER420=1,'Lease Cycles'!$D$32*IF(INDEX('Lease Cycles'!$EF$32:$EL$32,1,ER418)=1,(1-'Lease Cycles'!$AJ$32)*INDEX('Lease Cycles'!$EM$32:$ES$32,1,ER418)+(1-'Lease Cycles'!$BE$32)*IF(ER419&lt;INDEX('Lease Cycles'!$FA$32:$FG$32,1,ER418),0,1-INDEX('Lease Cycles'!$EM$32:$ES$32,1,ER418)),IF(OR(INDEX('Lease Cycles'!$DY$32:$EE$32,1,ER418)=1,ER419&gt;0),1,1-INDEX('Lease Cycles'!$DD$32:$DJ$32,1,ER418))*((1-'Lease Cycles'!$AJ$32)*INDEX('Lease Cycles'!$FO$32:$FU$32,1,ER418)+(1-'Lease Cycles'!$BE$32)*(1-INDEX('Lease Cycles'!$FO$32:$FU$32,1,ER418)))),0)</f>
        <v>0</v>
      </c>
      <c r="ES426" s="24">
        <f>IF(ES420=1,'Lease Cycles'!$D$32*IF(INDEX('Lease Cycles'!$EF$32:$EL$32,1,ES418)=1,(1-'Lease Cycles'!$AJ$32)*INDEX('Lease Cycles'!$EM$32:$ES$32,1,ES418)+(1-'Lease Cycles'!$BE$32)*IF(ES419&lt;INDEX('Lease Cycles'!$FA$32:$FG$32,1,ES418),0,1-INDEX('Lease Cycles'!$EM$32:$ES$32,1,ES418)),IF(OR(INDEX('Lease Cycles'!$DY$32:$EE$32,1,ES418)=1,ES419&gt;0),1,1-INDEX('Lease Cycles'!$DD$32:$DJ$32,1,ES418))*((1-'Lease Cycles'!$AJ$32)*INDEX('Lease Cycles'!$FO$32:$FU$32,1,ES418)+(1-'Lease Cycles'!$BE$32)*(1-INDEX('Lease Cycles'!$FO$32:$FU$32,1,ES418)))),0)</f>
        <v>0</v>
      </c>
      <c r="ET426" s="24">
        <f>IF(ET420=1,'Lease Cycles'!$D$32*IF(INDEX('Lease Cycles'!$EF$32:$EL$32,1,ET418)=1,(1-'Lease Cycles'!$AJ$32)*INDEX('Lease Cycles'!$EM$32:$ES$32,1,ET418)+(1-'Lease Cycles'!$BE$32)*IF(ET419&lt;INDEX('Lease Cycles'!$FA$32:$FG$32,1,ET418),0,1-INDEX('Lease Cycles'!$EM$32:$ES$32,1,ET418)),IF(OR(INDEX('Lease Cycles'!$DY$32:$EE$32,1,ET418)=1,ET419&gt;0),1,1-INDEX('Lease Cycles'!$DD$32:$DJ$32,1,ET418))*((1-'Lease Cycles'!$AJ$32)*INDEX('Lease Cycles'!$FO$32:$FU$32,1,ET418)+(1-'Lease Cycles'!$BE$32)*(1-INDEX('Lease Cycles'!$FO$32:$FU$32,1,ET418)))),0)</f>
        <v>0</v>
      </c>
    </row>
    <row r="427">
      <c r="A427" s="103">
        <v>25</v>
      </c>
      <c r="B427" s="23" t="str">
        <f>IF('Lease Cycles'!$B$32="","(empty slot)",'Lease Cycles'!$B$32)</f>
        <v>(empty slot)</v>
      </c>
      <c r="C427" s="23" t="s">
        <v>685</v>
      </c>
      <c r="D427" s="104" t="s">
        <v>686</v>
      </c>
      <c r="E427" s="25">
        <f>'Lease Cycles'!$AL$32</f>
        <v>0</v>
      </c>
      <c r="G427" s="24">
        <f>SUM(S427:AD427)</f>
        <v>0</v>
      </c>
      <c r="H427" s="24">
        <f>SUM(AE427:AP427)</f>
        <v>0</v>
      </c>
      <c r="I427" s="24">
        <f>SUM(AQ427:BB427)</f>
        <v>0</v>
      </c>
      <c r="J427" s="24">
        <f>SUM(BC427:BN427)</f>
        <v>0</v>
      </c>
      <c r="K427" s="24">
        <f>SUM(BO427:BZ427)</f>
        <v>0</v>
      </c>
      <c r="L427" s="24">
        <f>SUM(CA427:CL427)</f>
        <v>0</v>
      </c>
      <c r="M427" s="24">
        <f>SUM(CM427:CX427)</f>
        <v>0</v>
      </c>
      <c r="N427" s="24">
        <f>SUM(CY427:DJ427)</f>
        <v>0</v>
      </c>
      <c r="O427" s="24">
        <f>SUM(DK427:DV427)</f>
        <v>0</v>
      </c>
      <c r="P427" s="24">
        <f>SUM(DW427:EH427)</f>
        <v>0</v>
      </c>
      <c r="Q427" s="24">
        <f>SUM(EI427:ET427)</f>
        <v>0</v>
      </c>
      <c r="S427" s="24">
        <f>IF(S420=1,IF('Lease Cycles'!$AJ$32=1,0,'Lease Cycles'!$D$32*INDEX('Lease Cycles'!$FH$32:$FN$32,1,S418)*IF(INDEX('Lease Cycles'!$EF$32:$EL$32,1,S418)=1,1,IF(OR(INDEX('Lease Cycles'!$DY$32:$EE$32,1,S418)=1,S419&gt;0),1,1-INDEX('Lease Cycles'!$DD$32:$DJ$32,1,S418)))),0)</f>
        <v>0</v>
      </c>
      <c r="T427" s="24">
        <f>IF(T420=1,IF('Lease Cycles'!$AJ$32=1,0,'Lease Cycles'!$D$32*INDEX('Lease Cycles'!$FH$32:$FN$32,1,T418)*IF(INDEX('Lease Cycles'!$EF$32:$EL$32,1,T418)=1,1,IF(OR(INDEX('Lease Cycles'!$DY$32:$EE$32,1,T418)=1,T419&gt;0),1,1-INDEX('Lease Cycles'!$DD$32:$DJ$32,1,T418)))),0)</f>
        <v>0</v>
      </c>
      <c r="U427" s="24">
        <f>IF(U420=1,IF('Lease Cycles'!$AJ$32=1,0,'Lease Cycles'!$D$32*INDEX('Lease Cycles'!$FH$32:$FN$32,1,U418)*IF(INDEX('Lease Cycles'!$EF$32:$EL$32,1,U418)=1,1,IF(OR(INDEX('Lease Cycles'!$DY$32:$EE$32,1,U418)=1,U419&gt;0),1,1-INDEX('Lease Cycles'!$DD$32:$DJ$32,1,U418)))),0)</f>
        <v>0</v>
      </c>
      <c r="V427" s="24">
        <f>IF(V420=1,IF('Lease Cycles'!$AJ$32=1,0,'Lease Cycles'!$D$32*INDEX('Lease Cycles'!$FH$32:$FN$32,1,V418)*IF(INDEX('Lease Cycles'!$EF$32:$EL$32,1,V418)=1,1,IF(OR(INDEX('Lease Cycles'!$DY$32:$EE$32,1,V418)=1,V419&gt;0),1,1-INDEX('Lease Cycles'!$DD$32:$DJ$32,1,V418)))),0)</f>
        <v>0</v>
      </c>
      <c r="W427" s="24">
        <f>IF(W420=1,IF('Lease Cycles'!$AJ$32=1,0,'Lease Cycles'!$D$32*INDEX('Lease Cycles'!$FH$32:$FN$32,1,W418)*IF(INDEX('Lease Cycles'!$EF$32:$EL$32,1,W418)=1,1,IF(OR(INDEX('Lease Cycles'!$DY$32:$EE$32,1,W418)=1,W419&gt;0),1,1-INDEX('Lease Cycles'!$DD$32:$DJ$32,1,W418)))),0)</f>
        <v>0</v>
      </c>
      <c r="X427" s="24">
        <f>IF(X420=1,IF('Lease Cycles'!$AJ$32=1,0,'Lease Cycles'!$D$32*INDEX('Lease Cycles'!$FH$32:$FN$32,1,X418)*IF(INDEX('Lease Cycles'!$EF$32:$EL$32,1,X418)=1,1,IF(OR(INDEX('Lease Cycles'!$DY$32:$EE$32,1,X418)=1,X419&gt;0),1,1-INDEX('Lease Cycles'!$DD$32:$DJ$32,1,X418)))),0)</f>
        <v>0</v>
      </c>
      <c r="Y427" s="24">
        <f>IF(Y420=1,IF('Lease Cycles'!$AJ$32=1,0,'Lease Cycles'!$D$32*INDEX('Lease Cycles'!$FH$32:$FN$32,1,Y418)*IF(INDEX('Lease Cycles'!$EF$32:$EL$32,1,Y418)=1,1,IF(OR(INDEX('Lease Cycles'!$DY$32:$EE$32,1,Y418)=1,Y419&gt;0),1,1-INDEX('Lease Cycles'!$DD$32:$DJ$32,1,Y418)))),0)</f>
        <v>0</v>
      </c>
      <c r="Z427" s="24">
        <f>IF(Z420=1,IF('Lease Cycles'!$AJ$32=1,0,'Lease Cycles'!$D$32*INDEX('Lease Cycles'!$FH$32:$FN$32,1,Z418)*IF(INDEX('Lease Cycles'!$EF$32:$EL$32,1,Z418)=1,1,IF(OR(INDEX('Lease Cycles'!$DY$32:$EE$32,1,Z418)=1,Z419&gt;0),1,1-INDEX('Lease Cycles'!$DD$32:$DJ$32,1,Z418)))),0)</f>
        <v>0</v>
      </c>
      <c r="AA427" s="24">
        <f>IF(AA420=1,IF('Lease Cycles'!$AJ$32=1,0,'Lease Cycles'!$D$32*INDEX('Lease Cycles'!$FH$32:$FN$32,1,AA418)*IF(INDEX('Lease Cycles'!$EF$32:$EL$32,1,AA418)=1,1,IF(OR(INDEX('Lease Cycles'!$DY$32:$EE$32,1,AA418)=1,AA419&gt;0),1,1-INDEX('Lease Cycles'!$DD$32:$DJ$32,1,AA418)))),0)</f>
        <v>0</v>
      </c>
      <c r="AB427" s="24">
        <f>IF(AB420=1,IF('Lease Cycles'!$AJ$32=1,0,'Lease Cycles'!$D$32*INDEX('Lease Cycles'!$FH$32:$FN$32,1,AB418)*IF(INDEX('Lease Cycles'!$EF$32:$EL$32,1,AB418)=1,1,IF(OR(INDEX('Lease Cycles'!$DY$32:$EE$32,1,AB418)=1,AB419&gt;0),1,1-INDEX('Lease Cycles'!$DD$32:$DJ$32,1,AB418)))),0)</f>
        <v>0</v>
      </c>
      <c r="AC427" s="24">
        <f>IF(AC420=1,IF('Lease Cycles'!$AJ$32=1,0,'Lease Cycles'!$D$32*INDEX('Lease Cycles'!$FH$32:$FN$32,1,AC418)*IF(INDEX('Lease Cycles'!$EF$32:$EL$32,1,AC418)=1,1,IF(OR(INDEX('Lease Cycles'!$DY$32:$EE$32,1,AC418)=1,AC419&gt;0),1,1-INDEX('Lease Cycles'!$DD$32:$DJ$32,1,AC418)))),0)</f>
        <v>0</v>
      </c>
      <c r="AD427" s="24">
        <f>IF(AD420=1,IF('Lease Cycles'!$AJ$32=1,0,'Lease Cycles'!$D$32*INDEX('Lease Cycles'!$FH$32:$FN$32,1,AD418)*IF(INDEX('Lease Cycles'!$EF$32:$EL$32,1,AD418)=1,1,IF(OR(INDEX('Lease Cycles'!$DY$32:$EE$32,1,AD418)=1,AD419&gt;0),1,1-INDEX('Lease Cycles'!$DD$32:$DJ$32,1,AD418)))),0)</f>
        <v>0</v>
      </c>
      <c r="AE427" s="24">
        <f>IF(AE420=1,IF('Lease Cycles'!$AJ$32=1,0,'Lease Cycles'!$D$32*INDEX('Lease Cycles'!$FH$32:$FN$32,1,AE418)*IF(INDEX('Lease Cycles'!$EF$32:$EL$32,1,AE418)=1,1,IF(OR(INDEX('Lease Cycles'!$DY$32:$EE$32,1,AE418)=1,AE419&gt;0),1,1-INDEX('Lease Cycles'!$DD$32:$DJ$32,1,AE418)))),0)</f>
        <v>0</v>
      </c>
      <c r="AF427" s="24">
        <f>IF(AF420=1,IF('Lease Cycles'!$AJ$32=1,0,'Lease Cycles'!$D$32*INDEX('Lease Cycles'!$FH$32:$FN$32,1,AF418)*IF(INDEX('Lease Cycles'!$EF$32:$EL$32,1,AF418)=1,1,IF(OR(INDEX('Lease Cycles'!$DY$32:$EE$32,1,AF418)=1,AF419&gt;0),1,1-INDEX('Lease Cycles'!$DD$32:$DJ$32,1,AF418)))),0)</f>
        <v>0</v>
      </c>
      <c r="AG427" s="24">
        <f>IF(AG420=1,IF('Lease Cycles'!$AJ$32=1,0,'Lease Cycles'!$D$32*INDEX('Lease Cycles'!$FH$32:$FN$32,1,AG418)*IF(INDEX('Lease Cycles'!$EF$32:$EL$32,1,AG418)=1,1,IF(OR(INDEX('Lease Cycles'!$DY$32:$EE$32,1,AG418)=1,AG419&gt;0),1,1-INDEX('Lease Cycles'!$DD$32:$DJ$32,1,AG418)))),0)</f>
        <v>0</v>
      </c>
      <c r="AH427" s="24">
        <f>IF(AH420=1,IF('Lease Cycles'!$AJ$32=1,0,'Lease Cycles'!$D$32*INDEX('Lease Cycles'!$FH$32:$FN$32,1,AH418)*IF(INDEX('Lease Cycles'!$EF$32:$EL$32,1,AH418)=1,1,IF(OR(INDEX('Lease Cycles'!$DY$32:$EE$32,1,AH418)=1,AH419&gt;0),1,1-INDEX('Lease Cycles'!$DD$32:$DJ$32,1,AH418)))),0)</f>
        <v>0</v>
      </c>
      <c r="AI427" s="24">
        <f>IF(AI420=1,IF('Lease Cycles'!$AJ$32=1,0,'Lease Cycles'!$D$32*INDEX('Lease Cycles'!$FH$32:$FN$32,1,AI418)*IF(INDEX('Lease Cycles'!$EF$32:$EL$32,1,AI418)=1,1,IF(OR(INDEX('Lease Cycles'!$DY$32:$EE$32,1,AI418)=1,AI419&gt;0),1,1-INDEX('Lease Cycles'!$DD$32:$DJ$32,1,AI418)))),0)</f>
        <v>0</v>
      </c>
      <c r="AJ427" s="24">
        <f>IF(AJ420=1,IF('Lease Cycles'!$AJ$32=1,0,'Lease Cycles'!$D$32*INDEX('Lease Cycles'!$FH$32:$FN$32,1,AJ418)*IF(INDEX('Lease Cycles'!$EF$32:$EL$32,1,AJ418)=1,1,IF(OR(INDEX('Lease Cycles'!$DY$32:$EE$32,1,AJ418)=1,AJ419&gt;0),1,1-INDEX('Lease Cycles'!$DD$32:$DJ$32,1,AJ418)))),0)</f>
        <v>0</v>
      </c>
      <c r="AK427" s="24">
        <f>IF(AK420=1,IF('Lease Cycles'!$AJ$32=1,0,'Lease Cycles'!$D$32*INDEX('Lease Cycles'!$FH$32:$FN$32,1,AK418)*IF(INDEX('Lease Cycles'!$EF$32:$EL$32,1,AK418)=1,1,IF(OR(INDEX('Lease Cycles'!$DY$32:$EE$32,1,AK418)=1,AK419&gt;0),1,1-INDEX('Lease Cycles'!$DD$32:$DJ$32,1,AK418)))),0)</f>
        <v>0</v>
      </c>
      <c r="AL427" s="24">
        <f>IF(AL420=1,IF('Lease Cycles'!$AJ$32=1,0,'Lease Cycles'!$D$32*INDEX('Lease Cycles'!$FH$32:$FN$32,1,AL418)*IF(INDEX('Lease Cycles'!$EF$32:$EL$32,1,AL418)=1,1,IF(OR(INDEX('Lease Cycles'!$DY$32:$EE$32,1,AL418)=1,AL419&gt;0),1,1-INDEX('Lease Cycles'!$DD$32:$DJ$32,1,AL418)))),0)</f>
        <v>0</v>
      </c>
      <c r="AM427" s="24">
        <f>IF(AM420=1,IF('Lease Cycles'!$AJ$32=1,0,'Lease Cycles'!$D$32*INDEX('Lease Cycles'!$FH$32:$FN$32,1,AM418)*IF(INDEX('Lease Cycles'!$EF$32:$EL$32,1,AM418)=1,1,IF(OR(INDEX('Lease Cycles'!$DY$32:$EE$32,1,AM418)=1,AM419&gt;0),1,1-INDEX('Lease Cycles'!$DD$32:$DJ$32,1,AM418)))),0)</f>
        <v>0</v>
      </c>
      <c r="AN427" s="24">
        <f>IF(AN420=1,IF('Lease Cycles'!$AJ$32=1,0,'Lease Cycles'!$D$32*INDEX('Lease Cycles'!$FH$32:$FN$32,1,AN418)*IF(INDEX('Lease Cycles'!$EF$32:$EL$32,1,AN418)=1,1,IF(OR(INDEX('Lease Cycles'!$DY$32:$EE$32,1,AN418)=1,AN419&gt;0),1,1-INDEX('Lease Cycles'!$DD$32:$DJ$32,1,AN418)))),0)</f>
        <v>0</v>
      </c>
      <c r="AO427" s="24">
        <f>IF(AO420=1,IF('Lease Cycles'!$AJ$32=1,0,'Lease Cycles'!$D$32*INDEX('Lease Cycles'!$FH$32:$FN$32,1,AO418)*IF(INDEX('Lease Cycles'!$EF$32:$EL$32,1,AO418)=1,1,IF(OR(INDEX('Lease Cycles'!$DY$32:$EE$32,1,AO418)=1,AO419&gt;0),1,1-INDEX('Lease Cycles'!$DD$32:$DJ$32,1,AO418)))),0)</f>
        <v>0</v>
      </c>
      <c r="AP427" s="24">
        <f>IF(AP420=1,IF('Lease Cycles'!$AJ$32=1,0,'Lease Cycles'!$D$32*INDEX('Lease Cycles'!$FH$32:$FN$32,1,AP418)*IF(INDEX('Lease Cycles'!$EF$32:$EL$32,1,AP418)=1,1,IF(OR(INDEX('Lease Cycles'!$DY$32:$EE$32,1,AP418)=1,AP419&gt;0),1,1-INDEX('Lease Cycles'!$DD$32:$DJ$32,1,AP418)))),0)</f>
        <v>0</v>
      </c>
      <c r="AQ427" s="24">
        <f>IF(AQ420=1,IF('Lease Cycles'!$AJ$32=1,0,'Lease Cycles'!$D$32*INDEX('Lease Cycles'!$FH$32:$FN$32,1,AQ418)*IF(INDEX('Lease Cycles'!$EF$32:$EL$32,1,AQ418)=1,1,IF(OR(INDEX('Lease Cycles'!$DY$32:$EE$32,1,AQ418)=1,AQ419&gt;0),1,1-INDEX('Lease Cycles'!$DD$32:$DJ$32,1,AQ418)))),0)</f>
        <v>0</v>
      </c>
      <c r="AR427" s="24">
        <f>IF(AR420=1,IF('Lease Cycles'!$AJ$32=1,0,'Lease Cycles'!$D$32*INDEX('Lease Cycles'!$FH$32:$FN$32,1,AR418)*IF(INDEX('Lease Cycles'!$EF$32:$EL$32,1,AR418)=1,1,IF(OR(INDEX('Lease Cycles'!$DY$32:$EE$32,1,AR418)=1,AR419&gt;0),1,1-INDEX('Lease Cycles'!$DD$32:$DJ$32,1,AR418)))),0)</f>
        <v>0</v>
      </c>
      <c r="AS427" s="24">
        <f>IF(AS420=1,IF('Lease Cycles'!$AJ$32=1,0,'Lease Cycles'!$D$32*INDEX('Lease Cycles'!$FH$32:$FN$32,1,AS418)*IF(INDEX('Lease Cycles'!$EF$32:$EL$32,1,AS418)=1,1,IF(OR(INDEX('Lease Cycles'!$DY$32:$EE$32,1,AS418)=1,AS419&gt;0),1,1-INDEX('Lease Cycles'!$DD$32:$DJ$32,1,AS418)))),0)</f>
        <v>0</v>
      </c>
      <c r="AT427" s="24">
        <f>IF(AT420=1,IF('Lease Cycles'!$AJ$32=1,0,'Lease Cycles'!$D$32*INDEX('Lease Cycles'!$FH$32:$FN$32,1,AT418)*IF(INDEX('Lease Cycles'!$EF$32:$EL$32,1,AT418)=1,1,IF(OR(INDEX('Lease Cycles'!$DY$32:$EE$32,1,AT418)=1,AT419&gt;0),1,1-INDEX('Lease Cycles'!$DD$32:$DJ$32,1,AT418)))),0)</f>
        <v>0</v>
      </c>
      <c r="AU427" s="24">
        <f>IF(AU420=1,IF('Lease Cycles'!$AJ$32=1,0,'Lease Cycles'!$D$32*INDEX('Lease Cycles'!$FH$32:$FN$32,1,AU418)*IF(INDEX('Lease Cycles'!$EF$32:$EL$32,1,AU418)=1,1,IF(OR(INDEX('Lease Cycles'!$DY$32:$EE$32,1,AU418)=1,AU419&gt;0),1,1-INDEX('Lease Cycles'!$DD$32:$DJ$32,1,AU418)))),0)</f>
        <v>0</v>
      </c>
      <c r="AV427" s="24">
        <f>IF(AV420=1,IF('Lease Cycles'!$AJ$32=1,0,'Lease Cycles'!$D$32*INDEX('Lease Cycles'!$FH$32:$FN$32,1,AV418)*IF(INDEX('Lease Cycles'!$EF$32:$EL$32,1,AV418)=1,1,IF(OR(INDEX('Lease Cycles'!$DY$32:$EE$32,1,AV418)=1,AV419&gt;0),1,1-INDEX('Lease Cycles'!$DD$32:$DJ$32,1,AV418)))),0)</f>
        <v>0</v>
      </c>
      <c r="AW427" s="24">
        <f>IF(AW420=1,IF('Lease Cycles'!$AJ$32=1,0,'Lease Cycles'!$D$32*INDEX('Lease Cycles'!$FH$32:$FN$32,1,AW418)*IF(INDEX('Lease Cycles'!$EF$32:$EL$32,1,AW418)=1,1,IF(OR(INDEX('Lease Cycles'!$DY$32:$EE$32,1,AW418)=1,AW419&gt;0),1,1-INDEX('Lease Cycles'!$DD$32:$DJ$32,1,AW418)))),0)</f>
        <v>0</v>
      </c>
      <c r="AX427" s="24">
        <f>IF(AX420=1,IF('Lease Cycles'!$AJ$32=1,0,'Lease Cycles'!$D$32*INDEX('Lease Cycles'!$FH$32:$FN$32,1,AX418)*IF(INDEX('Lease Cycles'!$EF$32:$EL$32,1,AX418)=1,1,IF(OR(INDEX('Lease Cycles'!$DY$32:$EE$32,1,AX418)=1,AX419&gt;0),1,1-INDEX('Lease Cycles'!$DD$32:$DJ$32,1,AX418)))),0)</f>
        <v>0</v>
      </c>
      <c r="AY427" s="24">
        <f>IF(AY420=1,IF('Lease Cycles'!$AJ$32=1,0,'Lease Cycles'!$D$32*INDEX('Lease Cycles'!$FH$32:$FN$32,1,AY418)*IF(INDEX('Lease Cycles'!$EF$32:$EL$32,1,AY418)=1,1,IF(OR(INDEX('Lease Cycles'!$DY$32:$EE$32,1,AY418)=1,AY419&gt;0),1,1-INDEX('Lease Cycles'!$DD$32:$DJ$32,1,AY418)))),0)</f>
        <v>0</v>
      </c>
      <c r="AZ427" s="24">
        <f>IF(AZ420=1,IF('Lease Cycles'!$AJ$32=1,0,'Lease Cycles'!$D$32*INDEX('Lease Cycles'!$FH$32:$FN$32,1,AZ418)*IF(INDEX('Lease Cycles'!$EF$32:$EL$32,1,AZ418)=1,1,IF(OR(INDEX('Lease Cycles'!$DY$32:$EE$32,1,AZ418)=1,AZ419&gt;0),1,1-INDEX('Lease Cycles'!$DD$32:$DJ$32,1,AZ418)))),0)</f>
        <v>0</v>
      </c>
      <c r="BA427" s="24">
        <f>IF(BA420=1,IF('Lease Cycles'!$AJ$32=1,0,'Lease Cycles'!$D$32*INDEX('Lease Cycles'!$FH$32:$FN$32,1,BA418)*IF(INDEX('Lease Cycles'!$EF$32:$EL$32,1,BA418)=1,1,IF(OR(INDEX('Lease Cycles'!$DY$32:$EE$32,1,BA418)=1,BA419&gt;0),1,1-INDEX('Lease Cycles'!$DD$32:$DJ$32,1,BA418)))),0)</f>
        <v>0</v>
      </c>
      <c r="BB427" s="24">
        <f>IF(BB420=1,IF('Lease Cycles'!$AJ$32=1,0,'Lease Cycles'!$D$32*INDEX('Lease Cycles'!$FH$32:$FN$32,1,BB418)*IF(INDEX('Lease Cycles'!$EF$32:$EL$32,1,BB418)=1,1,IF(OR(INDEX('Lease Cycles'!$DY$32:$EE$32,1,BB418)=1,BB419&gt;0),1,1-INDEX('Lease Cycles'!$DD$32:$DJ$32,1,BB418)))),0)</f>
        <v>0</v>
      </c>
      <c r="BC427" s="24">
        <f>IF(BC420=1,IF('Lease Cycles'!$AJ$32=1,0,'Lease Cycles'!$D$32*INDEX('Lease Cycles'!$FH$32:$FN$32,1,BC418)*IF(INDEX('Lease Cycles'!$EF$32:$EL$32,1,BC418)=1,1,IF(OR(INDEX('Lease Cycles'!$DY$32:$EE$32,1,BC418)=1,BC419&gt;0),1,1-INDEX('Lease Cycles'!$DD$32:$DJ$32,1,BC418)))),0)</f>
        <v>0</v>
      </c>
      <c r="BD427" s="24">
        <f>IF(BD420=1,IF('Lease Cycles'!$AJ$32=1,0,'Lease Cycles'!$D$32*INDEX('Lease Cycles'!$FH$32:$FN$32,1,BD418)*IF(INDEX('Lease Cycles'!$EF$32:$EL$32,1,BD418)=1,1,IF(OR(INDEX('Lease Cycles'!$DY$32:$EE$32,1,BD418)=1,BD419&gt;0),1,1-INDEX('Lease Cycles'!$DD$32:$DJ$32,1,BD418)))),0)</f>
        <v>0</v>
      </c>
      <c r="BE427" s="24">
        <f>IF(BE420=1,IF('Lease Cycles'!$AJ$32=1,0,'Lease Cycles'!$D$32*INDEX('Lease Cycles'!$FH$32:$FN$32,1,BE418)*IF(INDEX('Lease Cycles'!$EF$32:$EL$32,1,BE418)=1,1,IF(OR(INDEX('Lease Cycles'!$DY$32:$EE$32,1,BE418)=1,BE419&gt;0),1,1-INDEX('Lease Cycles'!$DD$32:$DJ$32,1,BE418)))),0)</f>
        <v>0</v>
      </c>
      <c r="BF427" s="24">
        <f>IF(BF420=1,IF('Lease Cycles'!$AJ$32=1,0,'Lease Cycles'!$D$32*INDEX('Lease Cycles'!$FH$32:$FN$32,1,BF418)*IF(INDEX('Lease Cycles'!$EF$32:$EL$32,1,BF418)=1,1,IF(OR(INDEX('Lease Cycles'!$DY$32:$EE$32,1,BF418)=1,BF419&gt;0),1,1-INDEX('Lease Cycles'!$DD$32:$DJ$32,1,BF418)))),0)</f>
        <v>0</v>
      </c>
      <c r="BG427" s="24">
        <f>IF(BG420=1,IF('Lease Cycles'!$AJ$32=1,0,'Lease Cycles'!$D$32*INDEX('Lease Cycles'!$FH$32:$FN$32,1,BG418)*IF(INDEX('Lease Cycles'!$EF$32:$EL$32,1,BG418)=1,1,IF(OR(INDEX('Lease Cycles'!$DY$32:$EE$32,1,BG418)=1,BG419&gt;0),1,1-INDEX('Lease Cycles'!$DD$32:$DJ$32,1,BG418)))),0)</f>
        <v>0</v>
      </c>
      <c r="BH427" s="24">
        <f>IF(BH420=1,IF('Lease Cycles'!$AJ$32=1,0,'Lease Cycles'!$D$32*INDEX('Lease Cycles'!$FH$32:$FN$32,1,BH418)*IF(INDEX('Lease Cycles'!$EF$32:$EL$32,1,BH418)=1,1,IF(OR(INDEX('Lease Cycles'!$DY$32:$EE$32,1,BH418)=1,BH419&gt;0),1,1-INDEX('Lease Cycles'!$DD$32:$DJ$32,1,BH418)))),0)</f>
        <v>0</v>
      </c>
      <c r="BI427" s="24">
        <f>IF(BI420=1,IF('Lease Cycles'!$AJ$32=1,0,'Lease Cycles'!$D$32*INDEX('Lease Cycles'!$FH$32:$FN$32,1,BI418)*IF(INDEX('Lease Cycles'!$EF$32:$EL$32,1,BI418)=1,1,IF(OR(INDEX('Lease Cycles'!$DY$32:$EE$32,1,BI418)=1,BI419&gt;0),1,1-INDEX('Lease Cycles'!$DD$32:$DJ$32,1,BI418)))),0)</f>
        <v>0</v>
      </c>
      <c r="BJ427" s="24">
        <f>IF(BJ420=1,IF('Lease Cycles'!$AJ$32=1,0,'Lease Cycles'!$D$32*INDEX('Lease Cycles'!$FH$32:$FN$32,1,BJ418)*IF(INDEX('Lease Cycles'!$EF$32:$EL$32,1,BJ418)=1,1,IF(OR(INDEX('Lease Cycles'!$DY$32:$EE$32,1,BJ418)=1,BJ419&gt;0),1,1-INDEX('Lease Cycles'!$DD$32:$DJ$32,1,BJ418)))),0)</f>
        <v>0</v>
      </c>
      <c r="BK427" s="24">
        <f>IF(BK420=1,IF('Lease Cycles'!$AJ$32=1,0,'Lease Cycles'!$D$32*INDEX('Lease Cycles'!$FH$32:$FN$32,1,BK418)*IF(INDEX('Lease Cycles'!$EF$32:$EL$32,1,BK418)=1,1,IF(OR(INDEX('Lease Cycles'!$DY$32:$EE$32,1,BK418)=1,BK419&gt;0),1,1-INDEX('Lease Cycles'!$DD$32:$DJ$32,1,BK418)))),0)</f>
        <v>0</v>
      </c>
      <c r="BL427" s="24">
        <f>IF(BL420=1,IF('Lease Cycles'!$AJ$32=1,0,'Lease Cycles'!$D$32*INDEX('Lease Cycles'!$FH$32:$FN$32,1,BL418)*IF(INDEX('Lease Cycles'!$EF$32:$EL$32,1,BL418)=1,1,IF(OR(INDEX('Lease Cycles'!$DY$32:$EE$32,1,BL418)=1,BL419&gt;0),1,1-INDEX('Lease Cycles'!$DD$32:$DJ$32,1,BL418)))),0)</f>
        <v>0</v>
      </c>
      <c r="BM427" s="24">
        <f>IF(BM420=1,IF('Lease Cycles'!$AJ$32=1,0,'Lease Cycles'!$D$32*INDEX('Lease Cycles'!$FH$32:$FN$32,1,BM418)*IF(INDEX('Lease Cycles'!$EF$32:$EL$32,1,BM418)=1,1,IF(OR(INDEX('Lease Cycles'!$DY$32:$EE$32,1,BM418)=1,BM419&gt;0),1,1-INDEX('Lease Cycles'!$DD$32:$DJ$32,1,BM418)))),0)</f>
        <v>0</v>
      </c>
      <c r="BN427" s="24">
        <f>IF(BN420=1,IF('Lease Cycles'!$AJ$32=1,0,'Lease Cycles'!$D$32*INDEX('Lease Cycles'!$FH$32:$FN$32,1,BN418)*IF(INDEX('Lease Cycles'!$EF$32:$EL$32,1,BN418)=1,1,IF(OR(INDEX('Lease Cycles'!$DY$32:$EE$32,1,BN418)=1,BN419&gt;0),1,1-INDEX('Lease Cycles'!$DD$32:$DJ$32,1,BN418)))),0)</f>
        <v>0</v>
      </c>
      <c r="BO427" s="24">
        <f>IF(BO420=1,IF('Lease Cycles'!$AJ$32=1,0,'Lease Cycles'!$D$32*INDEX('Lease Cycles'!$FH$32:$FN$32,1,BO418)*IF(INDEX('Lease Cycles'!$EF$32:$EL$32,1,BO418)=1,1,IF(OR(INDEX('Lease Cycles'!$DY$32:$EE$32,1,BO418)=1,BO419&gt;0),1,1-INDEX('Lease Cycles'!$DD$32:$DJ$32,1,BO418)))),0)</f>
        <v>0</v>
      </c>
      <c r="BP427" s="24">
        <f>IF(BP420=1,IF('Lease Cycles'!$AJ$32=1,0,'Lease Cycles'!$D$32*INDEX('Lease Cycles'!$FH$32:$FN$32,1,BP418)*IF(INDEX('Lease Cycles'!$EF$32:$EL$32,1,BP418)=1,1,IF(OR(INDEX('Lease Cycles'!$DY$32:$EE$32,1,BP418)=1,BP419&gt;0),1,1-INDEX('Lease Cycles'!$DD$32:$DJ$32,1,BP418)))),0)</f>
        <v>0</v>
      </c>
      <c r="BQ427" s="24">
        <f>IF(BQ420=1,IF('Lease Cycles'!$AJ$32=1,0,'Lease Cycles'!$D$32*INDEX('Lease Cycles'!$FH$32:$FN$32,1,BQ418)*IF(INDEX('Lease Cycles'!$EF$32:$EL$32,1,BQ418)=1,1,IF(OR(INDEX('Lease Cycles'!$DY$32:$EE$32,1,BQ418)=1,BQ419&gt;0),1,1-INDEX('Lease Cycles'!$DD$32:$DJ$32,1,BQ418)))),0)</f>
        <v>0</v>
      </c>
      <c r="BR427" s="24">
        <f>IF(BR420=1,IF('Lease Cycles'!$AJ$32=1,0,'Lease Cycles'!$D$32*INDEX('Lease Cycles'!$FH$32:$FN$32,1,BR418)*IF(INDEX('Lease Cycles'!$EF$32:$EL$32,1,BR418)=1,1,IF(OR(INDEX('Lease Cycles'!$DY$32:$EE$32,1,BR418)=1,BR419&gt;0),1,1-INDEX('Lease Cycles'!$DD$32:$DJ$32,1,BR418)))),0)</f>
        <v>0</v>
      </c>
      <c r="BS427" s="24">
        <f>IF(BS420=1,IF('Lease Cycles'!$AJ$32=1,0,'Lease Cycles'!$D$32*INDEX('Lease Cycles'!$FH$32:$FN$32,1,BS418)*IF(INDEX('Lease Cycles'!$EF$32:$EL$32,1,BS418)=1,1,IF(OR(INDEX('Lease Cycles'!$DY$32:$EE$32,1,BS418)=1,BS419&gt;0),1,1-INDEX('Lease Cycles'!$DD$32:$DJ$32,1,BS418)))),0)</f>
        <v>0</v>
      </c>
      <c r="BT427" s="24">
        <f>IF(BT420=1,IF('Lease Cycles'!$AJ$32=1,0,'Lease Cycles'!$D$32*INDEX('Lease Cycles'!$FH$32:$FN$32,1,BT418)*IF(INDEX('Lease Cycles'!$EF$32:$EL$32,1,BT418)=1,1,IF(OR(INDEX('Lease Cycles'!$DY$32:$EE$32,1,BT418)=1,BT419&gt;0),1,1-INDEX('Lease Cycles'!$DD$32:$DJ$32,1,BT418)))),0)</f>
        <v>0</v>
      </c>
      <c r="BU427" s="24">
        <f>IF(BU420=1,IF('Lease Cycles'!$AJ$32=1,0,'Lease Cycles'!$D$32*INDEX('Lease Cycles'!$FH$32:$FN$32,1,BU418)*IF(INDEX('Lease Cycles'!$EF$32:$EL$32,1,BU418)=1,1,IF(OR(INDEX('Lease Cycles'!$DY$32:$EE$32,1,BU418)=1,BU419&gt;0),1,1-INDEX('Lease Cycles'!$DD$32:$DJ$32,1,BU418)))),0)</f>
        <v>0</v>
      </c>
      <c r="BV427" s="24">
        <f>IF(BV420=1,IF('Lease Cycles'!$AJ$32=1,0,'Lease Cycles'!$D$32*INDEX('Lease Cycles'!$FH$32:$FN$32,1,BV418)*IF(INDEX('Lease Cycles'!$EF$32:$EL$32,1,BV418)=1,1,IF(OR(INDEX('Lease Cycles'!$DY$32:$EE$32,1,BV418)=1,BV419&gt;0),1,1-INDEX('Lease Cycles'!$DD$32:$DJ$32,1,BV418)))),0)</f>
        <v>0</v>
      </c>
      <c r="BW427" s="24">
        <f>IF(BW420=1,IF('Lease Cycles'!$AJ$32=1,0,'Lease Cycles'!$D$32*INDEX('Lease Cycles'!$FH$32:$FN$32,1,BW418)*IF(INDEX('Lease Cycles'!$EF$32:$EL$32,1,BW418)=1,1,IF(OR(INDEX('Lease Cycles'!$DY$32:$EE$32,1,BW418)=1,BW419&gt;0),1,1-INDEX('Lease Cycles'!$DD$32:$DJ$32,1,BW418)))),0)</f>
        <v>0</v>
      </c>
      <c r="BX427" s="24">
        <f>IF(BX420=1,IF('Lease Cycles'!$AJ$32=1,0,'Lease Cycles'!$D$32*INDEX('Lease Cycles'!$FH$32:$FN$32,1,BX418)*IF(INDEX('Lease Cycles'!$EF$32:$EL$32,1,BX418)=1,1,IF(OR(INDEX('Lease Cycles'!$DY$32:$EE$32,1,BX418)=1,BX419&gt;0),1,1-INDEX('Lease Cycles'!$DD$32:$DJ$32,1,BX418)))),0)</f>
        <v>0</v>
      </c>
      <c r="BY427" s="24">
        <f>IF(BY420=1,IF('Lease Cycles'!$AJ$32=1,0,'Lease Cycles'!$D$32*INDEX('Lease Cycles'!$FH$32:$FN$32,1,BY418)*IF(INDEX('Lease Cycles'!$EF$32:$EL$32,1,BY418)=1,1,IF(OR(INDEX('Lease Cycles'!$DY$32:$EE$32,1,BY418)=1,BY419&gt;0),1,1-INDEX('Lease Cycles'!$DD$32:$DJ$32,1,BY418)))),0)</f>
        <v>0</v>
      </c>
      <c r="BZ427" s="24">
        <f>IF(BZ420=1,IF('Lease Cycles'!$AJ$32=1,0,'Lease Cycles'!$D$32*INDEX('Lease Cycles'!$FH$32:$FN$32,1,BZ418)*IF(INDEX('Lease Cycles'!$EF$32:$EL$32,1,BZ418)=1,1,IF(OR(INDEX('Lease Cycles'!$DY$32:$EE$32,1,BZ418)=1,BZ419&gt;0),1,1-INDEX('Lease Cycles'!$DD$32:$DJ$32,1,BZ418)))),0)</f>
        <v>0</v>
      </c>
      <c r="CA427" s="24">
        <f>IF(CA420=1,IF('Lease Cycles'!$AJ$32=1,0,'Lease Cycles'!$D$32*INDEX('Lease Cycles'!$FH$32:$FN$32,1,CA418)*IF(INDEX('Lease Cycles'!$EF$32:$EL$32,1,CA418)=1,1,IF(OR(INDEX('Lease Cycles'!$DY$32:$EE$32,1,CA418)=1,CA419&gt;0),1,1-INDEX('Lease Cycles'!$DD$32:$DJ$32,1,CA418)))),0)</f>
        <v>0</v>
      </c>
      <c r="CB427" s="24">
        <f>IF(CB420=1,IF('Lease Cycles'!$AJ$32=1,0,'Lease Cycles'!$D$32*INDEX('Lease Cycles'!$FH$32:$FN$32,1,CB418)*IF(INDEX('Lease Cycles'!$EF$32:$EL$32,1,CB418)=1,1,IF(OR(INDEX('Lease Cycles'!$DY$32:$EE$32,1,CB418)=1,CB419&gt;0),1,1-INDEX('Lease Cycles'!$DD$32:$DJ$32,1,CB418)))),0)</f>
        <v>0</v>
      </c>
      <c r="CC427" s="24">
        <f>IF(CC420=1,IF('Lease Cycles'!$AJ$32=1,0,'Lease Cycles'!$D$32*INDEX('Lease Cycles'!$FH$32:$FN$32,1,CC418)*IF(INDEX('Lease Cycles'!$EF$32:$EL$32,1,CC418)=1,1,IF(OR(INDEX('Lease Cycles'!$DY$32:$EE$32,1,CC418)=1,CC419&gt;0),1,1-INDEX('Lease Cycles'!$DD$32:$DJ$32,1,CC418)))),0)</f>
        <v>0</v>
      </c>
      <c r="CD427" s="24">
        <f>IF(CD420=1,IF('Lease Cycles'!$AJ$32=1,0,'Lease Cycles'!$D$32*INDEX('Lease Cycles'!$FH$32:$FN$32,1,CD418)*IF(INDEX('Lease Cycles'!$EF$32:$EL$32,1,CD418)=1,1,IF(OR(INDEX('Lease Cycles'!$DY$32:$EE$32,1,CD418)=1,CD419&gt;0),1,1-INDEX('Lease Cycles'!$DD$32:$DJ$32,1,CD418)))),0)</f>
        <v>0</v>
      </c>
      <c r="CE427" s="24">
        <f>IF(CE420=1,IF('Lease Cycles'!$AJ$32=1,0,'Lease Cycles'!$D$32*INDEX('Lease Cycles'!$FH$32:$FN$32,1,CE418)*IF(INDEX('Lease Cycles'!$EF$32:$EL$32,1,CE418)=1,1,IF(OR(INDEX('Lease Cycles'!$DY$32:$EE$32,1,CE418)=1,CE419&gt;0),1,1-INDEX('Lease Cycles'!$DD$32:$DJ$32,1,CE418)))),0)</f>
        <v>0</v>
      </c>
      <c r="CF427" s="24">
        <f>IF(CF420=1,IF('Lease Cycles'!$AJ$32=1,0,'Lease Cycles'!$D$32*INDEX('Lease Cycles'!$FH$32:$FN$32,1,CF418)*IF(INDEX('Lease Cycles'!$EF$32:$EL$32,1,CF418)=1,1,IF(OR(INDEX('Lease Cycles'!$DY$32:$EE$32,1,CF418)=1,CF419&gt;0),1,1-INDEX('Lease Cycles'!$DD$32:$DJ$32,1,CF418)))),0)</f>
        <v>0</v>
      </c>
      <c r="CG427" s="24">
        <f>IF(CG420=1,IF('Lease Cycles'!$AJ$32=1,0,'Lease Cycles'!$D$32*INDEX('Lease Cycles'!$FH$32:$FN$32,1,CG418)*IF(INDEX('Lease Cycles'!$EF$32:$EL$32,1,CG418)=1,1,IF(OR(INDEX('Lease Cycles'!$DY$32:$EE$32,1,CG418)=1,CG419&gt;0),1,1-INDEX('Lease Cycles'!$DD$32:$DJ$32,1,CG418)))),0)</f>
        <v>0</v>
      </c>
      <c r="CH427" s="24">
        <f>IF(CH420=1,IF('Lease Cycles'!$AJ$32=1,0,'Lease Cycles'!$D$32*INDEX('Lease Cycles'!$FH$32:$FN$32,1,CH418)*IF(INDEX('Lease Cycles'!$EF$32:$EL$32,1,CH418)=1,1,IF(OR(INDEX('Lease Cycles'!$DY$32:$EE$32,1,CH418)=1,CH419&gt;0),1,1-INDEX('Lease Cycles'!$DD$32:$DJ$32,1,CH418)))),0)</f>
        <v>0</v>
      </c>
      <c r="CI427" s="24">
        <f>IF(CI420=1,IF('Lease Cycles'!$AJ$32=1,0,'Lease Cycles'!$D$32*INDEX('Lease Cycles'!$FH$32:$FN$32,1,CI418)*IF(INDEX('Lease Cycles'!$EF$32:$EL$32,1,CI418)=1,1,IF(OR(INDEX('Lease Cycles'!$DY$32:$EE$32,1,CI418)=1,CI419&gt;0),1,1-INDEX('Lease Cycles'!$DD$32:$DJ$32,1,CI418)))),0)</f>
        <v>0</v>
      </c>
      <c r="CJ427" s="24">
        <f>IF(CJ420=1,IF('Lease Cycles'!$AJ$32=1,0,'Lease Cycles'!$D$32*INDEX('Lease Cycles'!$FH$32:$FN$32,1,CJ418)*IF(INDEX('Lease Cycles'!$EF$32:$EL$32,1,CJ418)=1,1,IF(OR(INDEX('Lease Cycles'!$DY$32:$EE$32,1,CJ418)=1,CJ419&gt;0),1,1-INDEX('Lease Cycles'!$DD$32:$DJ$32,1,CJ418)))),0)</f>
        <v>0</v>
      </c>
      <c r="CK427" s="24">
        <f>IF(CK420=1,IF('Lease Cycles'!$AJ$32=1,0,'Lease Cycles'!$D$32*INDEX('Lease Cycles'!$FH$32:$FN$32,1,CK418)*IF(INDEX('Lease Cycles'!$EF$32:$EL$32,1,CK418)=1,1,IF(OR(INDEX('Lease Cycles'!$DY$32:$EE$32,1,CK418)=1,CK419&gt;0),1,1-INDEX('Lease Cycles'!$DD$32:$DJ$32,1,CK418)))),0)</f>
        <v>0</v>
      </c>
      <c r="CL427" s="24">
        <f>IF(CL420=1,IF('Lease Cycles'!$AJ$32=1,0,'Lease Cycles'!$D$32*INDEX('Lease Cycles'!$FH$32:$FN$32,1,CL418)*IF(INDEX('Lease Cycles'!$EF$32:$EL$32,1,CL418)=1,1,IF(OR(INDEX('Lease Cycles'!$DY$32:$EE$32,1,CL418)=1,CL419&gt;0),1,1-INDEX('Lease Cycles'!$DD$32:$DJ$32,1,CL418)))),0)</f>
        <v>0</v>
      </c>
      <c r="CM427" s="24">
        <f>IF(CM420=1,IF('Lease Cycles'!$AJ$32=1,0,'Lease Cycles'!$D$32*INDEX('Lease Cycles'!$FH$32:$FN$32,1,CM418)*IF(INDEX('Lease Cycles'!$EF$32:$EL$32,1,CM418)=1,1,IF(OR(INDEX('Lease Cycles'!$DY$32:$EE$32,1,CM418)=1,CM419&gt;0),1,1-INDEX('Lease Cycles'!$DD$32:$DJ$32,1,CM418)))),0)</f>
        <v>0</v>
      </c>
      <c r="CN427" s="24">
        <f>IF(CN420=1,IF('Lease Cycles'!$AJ$32=1,0,'Lease Cycles'!$D$32*INDEX('Lease Cycles'!$FH$32:$FN$32,1,CN418)*IF(INDEX('Lease Cycles'!$EF$32:$EL$32,1,CN418)=1,1,IF(OR(INDEX('Lease Cycles'!$DY$32:$EE$32,1,CN418)=1,CN419&gt;0),1,1-INDEX('Lease Cycles'!$DD$32:$DJ$32,1,CN418)))),0)</f>
        <v>0</v>
      </c>
      <c r="CO427" s="24">
        <f>IF(CO420=1,IF('Lease Cycles'!$AJ$32=1,0,'Lease Cycles'!$D$32*INDEX('Lease Cycles'!$FH$32:$FN$32,1,CO418)*IF(INDEX('Lease Cycles'!$EF$32:$EL$32,1,CO418)=1,1,IF(OR(INDEX('Lease Cycles'!$DY$32:$EE$32,1,CO418)=1,CO419&gt;0),1,1-INDEX('Lease Cycles'!$DD$32:$DJ$32,1,CO418)))),0)</f>
        <v>0</v>
      </c>
      <c r="CP427" s="24">
        <f>IF(CP420=1,IF('Lease Cycles'!$AJ$32=1,0,'Lease Cycles'!$D$32*INDEX('Lease Cycles'!$FH$32:$FN$32,1,CP418)*IF(INDEX('Lease Cycles'!$EF$32:$EL$32,1,CP418)=1,1,IF(OR(INDEX('Lease Cycles'!$DY$32:$EE$32,1,CP418)=1,CP419&gt;0),1,1-INDEX('Lease Cycles'!$DD$32:$DJ$32,1,CP418)))),0)</f>
        <v>0</v>
      </c>
      <c r="CQ427" s="24">
        <f>IF(CQ420=1,IF('Lease Cycles'!$AJ$32=1,0,'Lease Cycles'!$D$32*INDEX('Lease Cycles'!$FH$32:$FN$32,1,CQ418)*IF(INDEX('Lease Cycles'!$EF$32:$EL$32,1,CQ418)=1,1,IF(OR(INDEX('Lease Cycles'!$DY$32:$EE$32,1,CQ418)=1,CQ419&gt;0),1,1-INDEX('Lease Cycles'!$DD$32:$DJ$32,1,CQ418)))),0)</f>
        <v>0</v>
      </c>
      <c r="CR427" s="24">
        <f>IF(CR420=1,IF('Lease Cycles'!$AJ$32=1,0,'Lease Cycles'!$D$32*INDEX('Lease Cycles'!$FH$32:$FN$32,1,CR418)*IF(INDEX('Lease Cycles'!$EF$32:$EL$32,1,CR418)=1,1,IF(OR(INDEX('Lease Cycles'!$DY$32:$EE$32,1,CR418)=1,CR419&gt;0),1,1-INDEX('Lease Cycles'!$DD$32:$DJ$32,1,CR418)))),0)</f>
        <v>0</v>
      </c>
      <c r="CS427" s="24">
        <f>IF(CS420=1,IF('Lease Cycles'!$AJ$32=1,0,'Lease Cycles'!$D$32*INDEX('Lease Cycles'!$FH$32:$FN$32,1,CS418)*IF(INDEX('Lease Cycles'!$EF$32:$EL$32,1,CS418)=1,1,IF(OR(INDEX('Lease Cycles'!$DY$32:$EE$32,1,CS418)=1,CS419&gt;0),1,1-INDEX('Lease Cycles'!$DD$32:$DJ$32,1,CS418)))),0)</f>
        <v>0</v>
      </c>
      <c r="CT427" s="24">
        <f>IF(CT420=1,IF('Lease Cycles'!$AJ$32=1,0,'Lease Cycles'!$D$32*INDEX('Lease Cycles'!$FH$32:$FN$32,1,CT418)*IF(INDEX('Lease Cycles'!$EF$32:$EL$32,1,CT418)=1,1,IF(OR(INDEX('Lease Cycles'!$DY$32:$EE$32,1,CT418)=1,CT419&gt;0),1,1-INDEX('Lease Cycles'!$DD$32:$DJ$32,1,CT418)))),0)</f>
        <v>0</v>
      </c>
      <c r="CU427" s="24">
        <f>IF(CU420=1,IF('Lease Cycles'!$AJ$32=1,0,'Lease Cycles'!$D$32*INDEX('Lease Cycles'!$FH$32:$FN$32,1,CU418)*IF(INDEX('Lease Cycles'!$EF$32:$EL$32,1,CU418)=1,1,IF(OR(INDEX('Lease Cycles'!$DY$32:$EE$32,1,CU418)=1,CU419&gt;0),1,1-INDEX('Lease Cycles'!$DD$32:$DJ$32,1,CU418)))),0)</f>
        <v>0</v>
      </c>
      <c r="CV427" s="24">
        <f>IF(CV420=1,IF('Lease Cycles'!$AJ$32=1,0,'Lease Cycles'!$D$32*INDEX('Lease Cycles'!$FH$32:$FN$32,1,CV418)*IF(INDEX('Lease Cycles'!$EF$32:$EL$32,1,CV418)=1,1,IF(OR(INDEX('Lease Cycles'!$DY$32:$EE$32,1,CV418)=1,CV419&gt;0),1,1-INDEX('Lease Cycles'!$DD$32:$DJ$32,1,CV418)))),0)</f>
        <v>0</v>
      </c>
      <c r="CW427" s="24">
        <f>IF(CW420=1,IF('Lease Cycles'!$AJ$32=1,0,'Lease Cycles'!$D$32*INDEX('Lease Cycles'!$FH$32:$FN$32,1,CW418)*IF(INDEX('Lease Cycles'!$EF$32:$EL$32,1,CW418)=1,1,IF(OR(INDEX('Lease Cycles'!$DY$32:$EE$32,1,CW418)=1,CW419&gt;0),1,1-INDEX('Lease Cycles'!$DD$32:$DJ$32,1,CW418)))),0)</f>
        <v>0</v>
      </c>
      <c r="CX427" s="24">
        <f>IF(CX420=1,IF('Lease Cycles'!$AJ$32=1,0,'Lease Cycles'!$D$32*INDEX('Lease Cycles'!$FH$32:$FN$32,1,CX418)*IF(INDEX('Lease Cycles'!$EF$32:$EL$32,1,CX418)=1,1,IF(OR(INDEX('Lease Cycles'!$DY$32:$EE$32,1,CX418)=1,CX419&gt;0),1,1-INDEX('Lease Cycles'!$DD$32:$DJ$32,1,CX418)))),0)</f>
        <v>0</v>
      </c>
      <c r="CY427" s="24">
        <f>IF(CY420=1,IF('Lease Cycles'!$AJ$32=1,0,'Lease Cycles'!$D$32*INDEX('Lease Cycles'!$FH$32:$FN$32,1,CY418)*IF(INDEX('Lease Cycles'!$EF$32:$EL$32,1,CY418)=1,1,IF(OR(INDEX('Lease Cycles'!$DY$32:$EE$32,1,CY418)=1,CY419&gt;0),1,1-INDEX('Lease Cycles'!$DD$32:$DJ$32,1,CY418)))),0)</f>
        <v>0</v>
      </c>
      <c r="CZ427" s="24">
        <f>IF(CZ420=1,IF('Lease Cycles'!$AJ$32=1,0,'Lease Cycles'!$D$32*INDEX('Lease Cycles'!$FH$32:$FN$32,1,CZ418)*IF(INDEX('Lease Cycles'!$EF$32:$EL$32,1,CZ418)=1,1,IF(OR(INDEX('Lease Cycles'!$DY$32:$EE$32,1,CZ418)=1,CZ419&gt;0),1,1-INDEX('Lease Cycles'!$DD$32:$DJ$32,1,CZ418)))),0)</f>
        <v>0</v>
      </c>
      <c r="DA427" s="24">
        <f>IF(DA420=1,IF('Lease Cycles'!$AJ$32=1,0,'Lease Cycles'!$D$32*INDEX('Lease Cycles'!$FH$32:$FN$32,1,DA418)*IF(INDEX('Lease Cycles'!$EF$32:$EL$32,1,DA418)=1,1,IF(OR(INDEX('Lease Cycles'!$DY$32:$EE$32,1,DA418)=1,DA419&gt;0),1,1-INDEX('Lease Cycles'!$DD$32:$DJ$32,1,DA418)))),0)</f>
        <v>0</v>
      </c>
      <c r="DB427" s="24">
        <f>IF(DB420=1,IF('Lease Cycles'!$AJ$32=1,0,'Lease Cycles'!$D$32*INDEX('Lease Cycles'!$FH$32:$FN$32,1,DB418)*IF(INDEX('Lease Cycles'!$EF$32:$EL$32,1,DB418)=1,1,IF(OR(INDEX('Lease Cycles'!$DY$32:$EE$32,1,DB418)=1,DB419&gt;0),1,1-INDEX('Lease Cycles'!$DD$32:$DJ$32,1,DB418)))),0)</f>
        <v>0</v>
      </c>
      <c r="DC427" s="24">
        <f>IF(DC420=1,IF('Lease Cycles'!$AJ$32=1,0,'Lease Cycles'!$D$32*INDEX('Lease Cycles'!$FH$32:$FN$32,1,DC418)*IF(INDEX('Lease Cycles'!$EF$32:$EL$32,1,DC418)=1,1,IF(OR(INDEX('Lease Cycles'!$DY$32:$EE$32,1,DC418)=1,DC419&gt;0),1,1-INDEX('Lease Cycles'!$DD$32:$DJ$32,1,DC418)))),0)</f>
        <v>0</v>
      </c>
      <c r="DD427" s="24">
        <f>IF(DD420=1,IF('Lease Cycles'!$AJ$32=1,0,'Lease Cycles'!$D$32*INDEX('Lease Cycles'!$FH$32:$FN$32,1,DD418)*IF(INDEX('Lease Cycles'!$EF$32:$EL$32,1,DD418)=1,1,IF(OR(INDEX('Lease Cycles'!$DY$32:$EE$32,1,DD418)=1,DD419&gt;0),1,1-INDEX('Lease Cycles'!$DD$32:$DJ$32,1,DD418)))),0)</f>
        <v>0</v>
      </c>
      <c r="DE427" s="24">
        <f>IF(DE420=1,IF('Lease Cycles'!$AJ$32=1,0,'Lease Cycles'!$D$32*INDEX('Lease Cycles'!$FH$32:$FN$32,1,DE418)*IF(INDEX('Lease Cycles'!$EF$32:$EL$32,1,DE418)=1,1,IF(OR(INDEX('Lease Cycles'!$DY$32:$EE$32,1,DE418)=1,DE419&gt;0),1,1-INDEX('Lease Cycles'!$DD$32:$DJ$32,1,DE418)))),0)</f>
        <v>0</v>
      </c>
      <c r="DF427" s="24">
        <f>IF(DF420=1,IF('Lease Cycles'!$AJ$32=1,0,'Lease Cycles'!$D$32*INDEX('Lease Cycles'!$FH$32:$FN$32,1,DF418)*IF(INDEX('Lease Cycles'!$EF$32:$EL$32,1,DF418)=1,1,IF(OR(INDEX('Lease Cycles'!$DY$32:$EE$32,1,DF418)=1,DF419&gt;0),1,1-INDEX('Lease Cycles'!$DD$32:$DJ$32,1,DF418)))),0)</f>
        <v>0</v>
      </c>
      <c r="DG427" s="24">
        <f>IF(DG420=1,IF('Lease Cycles'!$AJ$32=1,0,'Lease Cycles'!$D$32*INDEX('Lease Cycles'!$FH$32:$FN$32,1,DG418)*IF(INDEX('Lease Cycles'!$EF$32:$EL$32,1,DG418)=1,1,IF(OR(INDEX('Lease Cycles'!$DY$32:$EE$32,1,DG418)=1,DG419&gt;0),1,1-INDEX('Lease Cycles'!$DD$32:$DJ$32,1,DG418)))),0)</f>
        <v>0</v>
      </c>
      <c r="DH427" s="24">
        <f>IF(DH420=1,IF('Lease Cycles'!$AJ$32=1,0,'Lease Cycles'!$D$32*INDEX('Lease Cycles'!$FH$32:$FN$32,1,DH418)*IF(INDEX('Lease Cycles'!$EF$32:$EL$32,1,DH418)=1,1,IF(OR(INDEX('Lease Cycles'!$DY$32:$EE$32,1,DH418)=1,DH419&gt;0),1,1-INDEX('Lease Cycles'!$DD$32:$DJ$32,1,DH418)))),0)</f>
        <v>0</v>
      </c>
      <c r="DI427" s="24">
        <f>IF(DI420=1,IF('Lease Cycles'!$AJ$32=1,0,'Lease Cycles'!$D$32*INDEX('Lease Cycles'!$FH$32:$FN$32,1,DI418)*IF(INDEX('Lease Cycles'!$EF$32:$EL$32,1,DI418)=1,1,IF(OR(INDEX('Lease Cycles'!$DY$32:$EE$32,1,DI418)=1,DI419&gt;0),1,1-INDEX('Lease Cycles'!$DD$32:$DJ$32,1,DI418)))),0)</f>
        <v>0</v>
      </c>
      <c r="DJ427" s="24">
        <f>IF(DJ420=1,IF('Lease Cycles'!$AJ$32=1,0,'Lease Cycles'!$D$32*INDEX('Lease Cycles'!$FH$32:$FN$32,1,DJ418)*IF(INDEX('Lease Cycles'!$EF$32:$EL$32,1,DJ418)=1,1,IF(OR(INDEX('Lease Cycles'!$DY$32:$EE$32,1,DJ418)=1,DJ419&gt;0),1,1-INDEX('Lease Cycles'!$DD$32:$DJ$32,1,DJ418)))),0)</f>
        <v>0</v>
      </c>
      <c r="DK427" s="24">
        <f>IF(DK420=1,IF('Lease Cycles'!$AJ$32=1,0,'Lease Cycles'!$D$32*INDEX('Lease Cycles'!$FH$32:$FN$32,1,DK418)*IF(INDEX('Lease Cycles'!$EF$32:$EL$32,1,DK418)=1,1,IF(OR(INDEX('Lease Cycles'!$DY$32:$EE$32,1,DK418)=1,DK419&gt;0),1,1-INDEX('Lease Cycles'!$DD$32:$DJ$32,1,DK418)))),0)</f>
        <v>0</v>
      </c>
      <c r="DL427" s="24">
        <f>IF(DL420=1,IF('Lease Cycles'!$AJ$32=1,0,'Lease Cycles'!$D$32*INDEX('Lease Cycles'!$FH$32:$FN$32,1,DL418)*IF(INDEX('Lease Cycles'!$EF$32:$EL$32,1,DL418)=1,1,IF(OR(INDEX('Lease Cycles'!$DY$32:$EE$32,1,DL418)=1,DL419&gt;0),1,1-INDEX('Lease Cycles'!$DD$32:$DJ$32,1,DL418)))),0)</f>
        <v>0</v>
      </c>
      <c r="DM427" s="24">
        <f>IF(DM420=1,IF('Lease Cycles'!$AJ$32=1,0,'Lease Cycles'!$D$32*INDEX('Lease Cycles'!$FH$32:$FN$32,1,DM418)*IF(INDEX('Lease Cycles'!$EF$32:$EL$32,1,DM418)=1,1,IF(OR(INDEX('Lease Cycles'!$DY$32:$EE$32,1,DM418)=1,DM419&gt;0),1,1-INDEX('Lease Cycles'!$DD$32:$DJ$32,1,DM418)))),0)</f>
        <v>0</v>
      </c>
      <c r="DN427" s="24">
        <f>IF(DN420=1,IF('Lease Cycles'!$AJ$32=1,0,'Lease Cycles'!$D$32*INDEX('Lease Cycles'!$FH$32:$FN$32,1,DN418)*IF(INDEX('Lease Cycles'!$EF$32:$EL$32,1,DN418)=1,1,IF(OR(INDEX('Lease Cycles'!$DY$32:$EE$32,1,DN418)=1,DN419&gt;0),1,1-INDEX('Lease Cycles'!$DD$32:$DJ$32,1,DN418)))),0)</f>
        <v>0</v>
      </c>
      <c r="DO427" s="24">
        <f>IF(DO420=1,IF('Lease Cycles'!$AJ$32=1,0,'Lease Cycles'!$D$32*INDEX('Lease Cycles'!$FH$32:$FN$32,1,DO418)*IF(INDEX('Lease Cycles'!$EF$32:$EL$32,1,DO418)=1,1,IF(OR(INDEX('Lease Cycles'!$DY$32:$EE$32,1,DO418)=1,DO419&gt;0),1,1-INDEX('Lease Cycles'!$DD$32:$DJ$32,1,DO418)))),0)</f>
        <v>0</v>
      </c>
      <c r="DP427" s="24">
        <f>IF(DP420=1,IF('Lease Cycles'!$AJ$32=1,0,'Lease Cycles'!$D$32*INDEX('Lease Cycles'!$FH$32:$FN$32,1,DP418)*IF(INDEX('Lease Cycles'!$EF$32:$EL$32,1,DP418)=1,1,IF(OR(INDEX('Lease Cycles'!$DY$32:$EE$32,1,DP418)=1,DP419&gt;0),1,1-INDEX('Lease Cycles'!$DD$32:$DJ$32,1,DP418)))),0)</f>
        <v>0</v>
      </c>
      <c r="DQ427" s="24">
        <f>IF(DQ420=1,IF('Lease Cycles'!$AJ$32=1,0,'Lease Cycles'!$D$32*INDEX('Lease Cycles'!$FH$32:$FN$32,1,DQ418)*IF(INDEX('Lease Cycles'!$EF$32:$EL$32,1,DQ418)=1,1,IF(OR(INDEX('Lease Cycles'!$DY$32:$EE$32,1,DQ418)=1,DQ419&gt;0),1,1-INDEX('Lease Cycles'!$DD$32:$DJ$32,1,DQ418)))),0)</f>
        <v>0</v>
      </c>
      <c r="DR427" s="24">
        <f>IF(DR420=1,IF('Lease Cycles'!$AJ$32=1,0,'Lease Cycles'!$D$32*INDEX('Lease Cycles'!$FH$32:$FN$32,1,DR418)*IF(INDEX('Lease Cycles'!$EF$32:$EL$32,1,DR418)=1,1,IF(OR(INDEX('Lease Cycles'!$DY$32:$EE$32,1,DR418)=1,DR419&gt;0),1,1-INDEX('Lease Cycles'!$DD$32:$DJ$32,1,DR418)))),0)</f>
        <v>0</v>
      </c>
      <c r="DS427" s="24">
        <f>IF(DS420=1,IF('Lease Cycles'!$AJ$32=1,0,'Lease Cycles'!$D$32*INDEX('Lease Cycles'!$FH$32:$FN$32,1,DS418)*IF(INDEX('Lease Cycles'!$EF$32:$EL$32,1,DS418)=1,1,IF(OR(INDEX('Lease Cycles'!$DY$32:$EE$32,1,DS418)=1,DS419&gt;0),1,1-INDEX('Lease Cycles'!$DD$32:$DJ$32,1,DS418)))),0)</f>
        <v>0</v>
      </c>
      <c r="DT427" s="24">
        <f>IF(DT420=1,IF('Lease Cycles'!$AJ$32=1,0,'Lease Cycles'!$D$32*INDEX('Lease Cycles'!$FH$32:$FN$32,1,DT418)*IF(INDEX('Lease Cycles'!$EF$32:$EL$32,1,DT418)=1,1,IF(OR(INDEX('Lease Cycles'!$DY$32:$EE$32,1,DT418)=1,DT419&gt;0),1,1-INDEX('Lease Cycles'!$DD$32:$DJ$32,1,DT418)))),0)</f>
        <v>0</v>
      </c>
      <c r="DU427" s="24">
        <f>IF(DU420=1,IF('Lease Cycles'!$AJ$32=1,0,'Lease Cycles'!$D$32*INDEX('Lease Cycles'!$FH$32:$FN$32,1,DU418)*IF(INDEX('Lease Cycles'!$EF$32:$EL$32,1,DU418)=1,1,IF(OR(INDEX('Lease Cycles'!$DY$32:$EE$32,1,DU418)=1,DU419&gt;0),1,1-INDEX('Lease Cycles'!$DD$32:$DJ$32,1,DU418)))),0)</f>
        <v>0</v>
      </c>
      <c r="DV427" s="24">
        <f>IF(DV420=1,IF('Lease Cycles'!$AJ$32=1,0,'Lease Cycles'!$D$32*INDEX('Lease Cycles'!$FH$32:$FN$32,1,DV418)*IF(INDEX('Lease Cycles'!$EF$32:$EL$32,1,DV418)=1,1,IF(OR(INDEX('Lease Cycles'!$DY$32:$EE$32,1,DV418)=1,DV419&gt;0),1,1-INDEX('Lease Cycles'!$DD$32:$DJ$32,1,DV418)))),0)</f>
        <v>0</v>
      </c>
      <c r="DW427" s="24">
        <f>IF(DW420=1,IF('Lease Cycles'!$AJ$32=1,0,'Lease Cycles'!$D$32*INDEX('Lease Cycles'!$FH$32:$FN$32,1,DW418)*IF(INDEX('Lease Cycles'!$EF$32:$EL$32,1,DW418)=1,1,IF(OR(INDEX('Lease Cycles'!$DY$32:$EE$32,1,DW418)=1,DW419&gt;0),1,1-INDEX('Lease Cycles'!$DD$32:$DJ$32,1,DW418)))),0)</f>
        <v>0</v>
      </c>
      <c r="DX427" s="24">
        <f>IF(DX420=1,IF('Lease Cycles'!$AJ$32=1,0,'Lease Cycles'!$D$32*INDEX('Lease Cycles'!$FH$32:$FN$32,1,DX418)*IF(INDEX('Lease Cycles'!$EF$32:$EL$32,1,DX418)=1,1,IF(OR(INDEX('Lease Cycles'!$DY$32:$EE$32,1,DX418)=1,DX419&gt;0),1,1-INDEX('Lease Cycles'!$DD$32:$DJ$32,1,DX418)))),0)</f>
        <v>0</v>
      </c>
      <c r="DY427" s="24">
        <f>IF(DY420=1,IF('Lease Cycles'!$AJ$32=1,0,'Lease Cycles'!$D$32*INDEX('Lease Cycles'!$FH$32:$FN$32,1,DY418)*IF(INDEX('Lease Cycles'!$EF$32:$EL$32,1,DY418)=1,1,IF(OR(INDEX('Lease Cycles'!$DY$32:$EE$32,1,DY418)=1,DY419&gt;0),1,1-INDEX('Lease Cycles'!$DD$32:$DJ$32,1,DY418)))),0)</f>
        <v>0</v>
      </c>
      <c r="DZ427" s="24">
        <f>IF(DZ420=1,IF('Lease Cycles'!$AJ$32=1,0,'Lease Cycles'!$D$32*INDEX('Lease Cycles'!$FH$32:$FN$32,1,DZ418)*IF(INDEX('Lease Cycles'!$EF$32:$EL$32,1,DZ418)=1,1,IF(OR(INDEX('Lease Cycles'!$DY$32:$EE$32,1,DZ418)=1,DZ419&gt;0),1,1-INDEX('Lease Cycles'!$DD$32:$DJ$32,1,DZ418)))),0)</f>
        <v>0</v>
      </c>
      <c r="EA427" s="24">
        <f>IF(EA420=1,IF('Lease Cycles'!$AJ$32=1,0,'Lease Cycles'!$D$32*INDEX('Lease Cycles'!$FH$32:$FN$32,1,EA418)*IF(INDEX('Lease Cycles'!$EF$32:$EL$32,1,EA418)=1,1,IF(OR(INDEX('Lease Cycles'!$DY$32:$EE$32,1,EA418)=1,EA419&gt;0),1,1-INDEX('Lease Cycles'!$DD$32:$DJ$32,1,EA418)))),0)</f>
        <v>0</v>
      </c>
      <c r="EB427" s="24">
        <f>IF(EB420=1,IF('Lease Cycles'!$AJ$32=1,0,'Lease Cycles'!$D$32*INDEX('Lease Cycles'!$FH$32:$FN$32,1,EB418)*IF(INDEX('Lease Cycles'!$EF$32:$EL$32,1,EB418)=1,1,IF(OR(INDEX('Lease Cycles'!$DY$32:$EE$32,1,EB418)=1,EB419&gt;0),1,1-INDEX('Lease Cycles'!$DD$32:$DJ$32,1,EB418)))),0)</f>
        <v>0</v>
      </c>
      <c r="EC427" s="24">
        <f>IF(EC420=1,IF('Lease Cycles'!$AJ$32=1,0,'Lease Cycles'!$D$32*INDEX('Lease Cycles'!$FH$32:$FN$32,1,EC418)*IF(INDEX('Lease Cycles'!$EF$32:$EL$32,1,EC418)=1,1,IF(OR(INDEX('Lease Cycles'!$DY$32:$EE$32,1,EC418)=1,EC419&gt;0),1,1-INDEX('Lease Cycles'!$DD$32:$DJ$32,1,EC418)))),0)</f>
        <v>0</v>
      </c>
      <c r="ED427" s="24">
        <f>IF(ED420=1,IF('Lease Cycles'!$AJ$32=1,0,'Lease Cycles'!$D$32*INDEX('Lease Cycles'!$FH$32:$FN$32,1,ED418)*IF(INDEX('Lease Cycles'!$EF$32:$EL$32,1,ED418)=1,1,IF(OR(INDEX('Lease Cycles'!$DY$32:$EE$32,1,ED418)=1,ED419&gt;0),1,1-INDEX('Lease Cycles'!$DD$32:$DJ$32,1,ED418)))),0)</f>
        <v>0</v>
      </c>
      <c r="EE427" s="24">
        <f>IF(EE420=1,IF('Lease Cycles'!$AJ$32=1,0,'Lease Cycles'!$D$32*INDEX('Lease Cycles'!$FH$32:$FN$32,1,EE418)*IF(INDEX('Lease Cycles'!$EF$32:$EL$32,1,EE418)=1,1,IF(OR(INDEX('Lease Cycles'!$DY$32:$EE$32,1,EE418)=1,EE419&gt;0),1,1-INDEX('Lease Cycles'!$DD$32:$DJ$32,1,EE418)))),0)</f>
        <v>0</v>
      </c>
      <c r="EF427" s="24">
        <f>IF(EF420=1,IF('Lease Cycles'!$AJ$32=1,0,'Lease Cycles'!$D$32*INDEX('Lease Cycles'!$FH$32:$FN$32,1,EF418)*IF(INDEX('Lease Cycles'!$EF$32:$EL$32,1,EF418)=1,1,IF(OR(INDEX('Lease Cycles'!$DY$32:$EE$32,1,EF418)=1,EF419&gt;0),1,1-INDEX('Lease Cycles'!$DD$32:$DJ$32,1,EF418)))),0)</f>
        <v>0</v>
      </c>
      <c r="EG427" s="24">
        <f>IF(EG420=1,IF('Lease Cycles'!$AJ$32=1,0,'Lease Cycles'!$D$32*INDEX('Lease Cycles'!$FH$32:$FN$32,1,EG418)*IF(INDEX('Lease Cycles'!$EF$32:$EL$32,1,EG418)=1,1,IF(OR(INDEX('Lease Cycles'!$DY$32:$EE$32,1,EG418)=1,EG419&gt;0),1,1-INDEX('Lease Cycles'!$DD$32:$DJ$32,1,EG418)))),0)</f>
        <v>0</v>
      </c>
      <c r="EH427" s="24">
        <f>IF(EH420=1,IF('Lease Cycles'!$AJ$32=1,0,'Lease Cycles'!$D$32*INDEX('Lease Cycles'!$FH$32:$FN$32,1,EH418)*IF(INDEX('Lease Cycles'!$EF$32:$EL$32,1,EH418)=1,1,IF(OR(INDEX('Lease Cycles'!$DY$32:$EE$32,1,EH418)=1,EH419&gt;0),1,1-INDEX('Lease Cycles'!$DD$32:$DJ$32,1,EH418)))),0)</f>
        <v>0</v>
      </c>
      <c r="EI427" s="24">
        <f>IF(EI420=1,IF('Lease Cycles'!$AJ$32=1,0,'Lease Cycles'!$D$32*INDEX('Lease Cycles'!$FH$32:$FN$32,1,EI418)*IF(INDEX('Lease Cycles'!$EF$32:$EL$32,1,EI418)=1,1,IF(OR(INDEX('Lease Cycles'!$DY$32:$EE$32,1,EI418)=1,EI419&gt;0),1,1-INDEX('Lease Cycles'!$DD$32:$DJ$32,1,EI418)))),0)</f>
        <v>0</v>
      </c>
      <c r="EJ427" s="24">
        <f>IF(EJ420=1,IF('Lease Cycles'!$AJ$32=1,0,'Lease Cycles'!$D$32*INDEX('Lease Cycles'!$FH$32:$FN$32,1,EJ418)*IF(INDEX('Lease Cycles'!$EF$32:$EL$32,1,EJ418)=1,1,IF(OR(INDEX('Lease Cycles'!$DY$32:$EE$32,1,EJ418)=1,EJ419&gt;0),1,1-INDEX('Lease Cycles'!$DD$32:$DJ$32,1,EJ418)))),0)</f>
        <v>0</v>
      </c>
      <c r="EK427" s="24">
        <f>IF(EK420=1,IF('Lease Cycles'!$AJ$32=1,0,'Lease Cycles'!$D$32*INDEX('Lease Cycles'!$FH$32:$FN$32,1,EK418)*IF(INDEX('Lease Cycles'!$EF$32:$EL$32,1,EK418)=1,1,IF(OR(INDEX('Lease Cycles'!$DY$32:$EE$32,1,EK418)=1,EK419&gt;0),1,1-INDEX('Lease Cycles'!$DD$32:$DJ$32,1,EK418)))),0)</f>
        <v>0</v>
      </c>
      <c r="EL427" s="24">
        <f>IF(EL420=1,IF('Lease Cycles'!$AJ$32=1,0,'Lease Cycles'!$D$32*INDEX('Lease Cycles'!$FH$32:$FN$32,1,EL418)*IF(INDEX('Lease Cycles'!$EF$32:$EL$32,1,EL418)=1,1,IF(OR(INDEX('Lease Cycles'!$DY$32:$EE$32,1,EL418)=1,EL419&gt;0),1,1-INDEX('Lease Cycles'!$DD$32:$DJ$32,1,EL418)))),0)</f>
        <v>0</v>
      </c>
      <c r="EM427" s="24">
        <f>IF(EM420=1,IF('Lease Cycles'!$AJ$32=1,0,'Lease Cycles'!$D$32*INDEX('Lease Cycles'!$FH$32:$FN$32,1,EM418)*IF(INDEX('Lease Cycles'!$EF$32:$EL$32,1,EM418)=1,1,IF(OR(INDEX('Lease Cycles'!$DY$32:$EE$32,1,EM418)=1,EM419&gt;0),1,1-INDEX('Lease Cycles'!$DD$32:$DJ$32,1,EM418)))),0)</f>
        <v>0</v>
      </c>
      <c r="EN427" s="24">
        <f>IF(EN420=1,IF('Lease Cycles'!$AJ$32=1,0,'Lease Cycles'!$D$32*INDEX('Lease Cycles'!$FH$32:$FN$32,1,EN418)*IF(INDEX('Lease Cycles'!$EF$32:$EL$32,1,EN418)=1,1,IF(OR(INDEX('Lease Cycles'!$DY$32:$EE$32,1,EN418)=1,EN419&gt;0),1,1-INDEX('Lease Cycles'!$DD$32:$DJ$32,1,EN418)))),0)</f>
        <v>0</v>
      </c>
      <c r="EO427" s="24">
        <f>IF(EO420=1,IF('Lease Cycles'!$AJ$32=1,0,'Lease Cycles'!$D$32*INDEX('Lease Cycles'!$FH$32:$FN$32,1,EO418)*IF(INDEX('Lease Cycles'!$EF$32:$EL$32,1,EO418)=1,1,IF(OR(INDEX('Lease Cycles'!$DY$32:$EE$32,1,EO418)=1,EO419&gt;0),1,1-INDEX('Lease Cycles'!$DD$32:$DJ$32,1,EO418)))),0)</f>
        <v>0</v>
      </c>
      <c r="EP427" s="24">
        <f>IF(EP420=1,IF('Lease Cycles'!$AJ$32=1,0,'Lease Cycles'!$D$32*INDEX('Lease Cycles'!$FH$32:$FN$32,1,EP418)*IF(INDEX('Lease Cycles'!$EF$32:$EL$32,1,EP418)=1,1,IF(OR(INDEX('Lease Cycles'!$DY$32:$EE$32,1,EP418)=1,EP419&gt;0),1,1-INDEX('Lease Cycles'!$DD$32:$DJ$32,1,EP418)))),0)</f>
        <v>0</v>
      </c>
      <c r="EQ427" s="24">
        <f>IF(EQ420=1,IF('Lease Cycles'!$AJ$32=1,0,'Lease Cycles'!$D$32*INDEX('Lease Cycles'!$FH$32:$FN$32,1,EQ418)*IF(INDEX('Lease Cycles'!$EF$32:$EL$32,1,EQ418)=1,1,IF(OR(INDEX('Lease Cycles'!$DY$32:$EE$32,1,EQ418)=1,EQ419&gt;0),1,1-INDEX('Lease Cycles'!$DD$32:$DJ$32,1,EQ418)))),0)</f>
        <v>0</v>
      </c>
      <c r="ER427" s="24">
        <f>IF(ER420=1,IF('Lease Cycles'!$AJ$32=1,0,'Lease Cycles'!$D$32*INDEX('Lease Cycles'!$FH$32:$FN$32,1,ER418)*IF(INDEX('Lease Cycles'!$EF$32:$EL$32,1,ER418)=1,1,IF(OR(INDEX('Lease Cycles'!$DY$32:$EE$32,1,ER418)=1,ER419&gt;0),1,1-INDEX('Lease Cycles'!$DD$32:$DJ$32,1,ER418)))),0)</f>
        <v>0</v>
      </c>
      <c r="ES427" s="24">
        <f>IF(ES420=1,IF('Lease Cycles'!$AJ$32=1,0,'Lease Cycles'!$D$32*INDEX('Lease Cycles'!$FH$32:$FN$32,1,ES418)*IF(INDEX('Lease Cycles'!$EF$32:$EL$32,1,ES418)=1,1,IF(OR(INDEX('Lease Cycles'!$DY$32:$EE$32,1,ES418)=1,ES419&gt;0),1,1-INDEX('Lease Cycles'!$DD$32:$DJ$32,1,ES418)))),0)</f>
        <v>0</v>
      </c>
      <c r="ET427" s="24">
        <f>IF(ET420=1,IF('Lease Cycles'!$AJ$32=1,0,'Lease Cycles'!$D$32*INDEX('Lease Cycles'!$FH$32:$FN$32,1,ET418)*IF(INDEX('Lease Cycles'!$EF$32:$EL$32,1,ET418)=1,1,IF(OR(INDEX('Lease Cycles'!$DY$32:$EE$32,1,ET418)=1,ET419&gt;0),1,1-INDEX('Lease Cycles'!$DD$32:$DJ$32,1,ET418)))),0)</f>
        <v>0</v>
      </c>
    </row>
    <row r="428">
      <c r="A428" s="103">
        <v>25</v>
      </c>
      <c r="B428" s="23" t="str">
        <f>IF('Lease Cycles'!$B$32="","(empty slot)",'Lease Cycles'!$B$32)</f>
        <v>(empty slot)</v>
      </c>
      <c r="C428" s="23" t="s">
        <v>687</v>
      </c>
      <c r="D428" s="104" t="s">
        <v>688</v>
      </c>
      <c r="E428" s="25">
        <f>'Lease Cycles'!$AL$32</f>
        <v>0</v>
      </c>
      <c r="G428" s="24">
        <f>SUM(S428:AD428)</f>
        <v>0</v>
      </c>
      <c r="H428" s="24">
        <f>SUM(AE428:AP428)</f>
        <v>0</v>
      </c>
      <c r="I428" s="24">
        <f>SUM(AQ428:BB428)</f>
        <v>0</v>
      </c>
      <c r="J428" s="24">
        <f>SUM(BC428:BN428)</f>
        <v>0</v>
      </c>
      <c r="K428" s="24">
        <f>SUM(BO428:BZ428)</f>
        <v>0</v>
      </c>
      <c r="L428" s="24">
        <f>SUM(CA428:CL428)</f>
        <v>0</v>
      </c>
      <c r="M428" s="24">
        <f>SUM(CM428:CX428)</f>
        <v>0</v>
      </c>
      <c r="N428" s="24">
        <f>SUM(CY428:DJ428)</f>
        <v>0</v>
      </c>
      <c r="O428" s="24">
        <f>SUM(DK428:DV428)</f>
        <v>0</v>
      </c>
      <c r="P428" s="24">
        <f>SUM(DW428:EH428)</f>
        <v>0</v>
      </c>
      <c r="Q428" s="24">
        <f>SUM(EI428:ET428)</f>
        <v>0</v>
      </c>
      <c r="S428" s="24">
        <f>IF(S420=1,'Lease Cycles'!$D$32*IF(INDEX('Lease Cycles'!$EF$32:$EL$32,1,S418)=1,'Lease Cycles'!$AJ$32*INDEX('Lease Cycles'!$FO$32:$FU$32,1,S418)*INDEX('Lease Cycles'!$EM$32:$ES$32,1,S418)+'Lease Cycles'!$BE$32*IF(S419&lt;INDEX('Lease Cycles'!$FA$32:$FG$32,1,S418),0,1-INDEX('Lease Cycles'!$EM$32:$ES$32,1,S418)),IF(OR(INDEX('Lease Cycles'!$DY$32:$EE$32,1,S418)=1,S419&gt;0),1,1-INDEX('Lease Cycles'!$DD$32:$DJ$32,1,S418))*('Lease Cycles'!$AJ$32*INDEX('Lease Cycles'!$FO$32:$FU$32,1,S418)+'Lease Cycles'!$BE$32*(1-INDEX('Lease Cycles'!$FO$32:$FU$32,1,S418)))),0)</f>
        <v>0</v>
      </c>
      <c r="T428" s="24">
        <f>IF(T420=1,'Lease Cycles'!$D$32*IF(INDEX('Lease Cycles'!$EF$32:$EL$32,1,T418)=1,'Lease Cycles'!$AJ$32*INDEX('Lease Cycles'!$FO$32:$FU$32,1,T418)*INDEX('Lease Cycles'!$EM$32:$ES$32,1,T418)+'Lease Cycles'!$BE$32*IF(T419&lt;INDEX('Lease Cycles'!$FA$32:$FG$32,1,T418),0,1-INDEX('Lease Cycles'!$EM$32:$ES$32,1,T418)),IF(OR(INDEX('Lease Cycles'!$DY$32:$EE$32,1,T418)=1,T419&gt;0),1,1-INDEX('Lease Cycles'!$DD$32:$DJ$32,1,T418))*('Lease Cycles'!$AJ$32*INDEX('Lease Cycles'!$FO$32:$FU$32,1,T418)+'Lease Cycles'!$BE$32*(1-INDEX('Lease Cycles'!$FO$32:$FU$32,1,T418)))),0)</f>
        <v>0</v>
      </c>
      <c r="U428" s="24">
        <f>IF(U420=1,'Lease Cycles'!$D$32*IF(INDEX('Lease Cycles'!$EF$32:$EL$32,1,U418)=1,'Lease Cycles'!$AJ$32*INDEX('Lease Cycles'!$FO$32:$FU$32,1,U418)*INDEX('Lease Cycles'!$EM$32:$ES$32,1,U418)+'Lease Cycles'!$BE$32*IF(U419&lt;INDEX('Lease Cycles'!$FA$32:$FG$32,1,U418),0,1-INDEX('Lease Cycles'!$EM$32:$ES$32,1,U418)),IF(OR(INDEX('Lease Cycles'!$DY$32:$EE$32,1,U418)=1,U419&gt;0),1,1-INDEX('Lease Cycles'!$DD$32:$DJ$32,1,U418))*('Lease Cycles'!$AJ$32*INDEX('Lease Cycles'!$FO$32:$FU$32,1,U418)+'Lease Cycles'!$BE$32*(1-INDEX('Lease Cycles'!$FO$32:$FU$32,1,U418)))),0)</f>
        <v>0</v>
      </c>
      <c r="V428" s="24">
        <f>IF(V420=1,'Lease Cycles'!$D$32*IF(INDEX('Lease Cycles'!$EF$32:$EL$32,1,V418)=1,'Lease Cycles'!$AJ$32*INDEX('Lease Cycles'!$FO$32:$FU$32,1,V418)*INDEX('Lease Cycles'!$EM$32:$ES$32,1,V418)+'Lease Cycles'!$BE$32*IF(V419&lt;INDEX('Lease Cycles'!$FA$32:$FG$32,1,V418),0,1-INDEX('Lease Cycles'!$EM$32:$ES$32,1,V418)),IF(OR(INDEX('Lease Cycles'!$DY$32:$EE$32,1,V418)=1,V419&gt;0),1,1-INDEX('Lease Cycles'!$DD$32:$DJ$32,1,V418))*('Lease Cycles'!$AJ$32*INDEX('Lease Cycles'!$FO$32:$FU$32,1,V418)+'Lease Cycles'!$BE$32*(1-INDEX('Lease Cycles'!$FO$32:$FU$32,1,V418)))),0)</f>
        <v>0</v>
      </c>
      <c r="W428" s="24">
        <f>IF(W420=1,'Lease Cycles'!$D$32*IF(INDEX('Lease Cycles'!$EF$32:$EL$32,1,W418)=1,'Lease Cycles'!$AJ$32*INDEX('Lease Cycles'!$FO$32:$FU$32,1,W418)*INDEX('Lease Cycles'!$EM$32:$ES$32,1,W418)+'Lease Cycles'!$BE$32*IF(W419&lt;INDEX('Lease Cycles'!$FA$32:$FG$32,1,W418),0,1-INDEX('Lease Cycles'!$EM$32:$ES$32,1,W418)),IF(OR(INDEX('Lease Cycles'!$DY$32:$EE$32,1,W418)=1,W419&gt;0),1,1-INDEX('Lease Cycles'!$DD$32:$DJ$32,1,W418))*('Lease Cycles'!$AJ$32*INDEX('Lease Cycles'!$FO$32:$FU$32,1,W418)+'Lease Cycles'!$BE$32*(1-INDEX('Lease Cycles'!$FO$32:$FU$32,1,W418)))),0)</f>
        <v>0</v>
      </c>
      <c r="X428" s="24">
        <f>IF(X420=1,'Lease Cycles'!$D$32*IF(INDEX('Lease Cycles'!$EF$32:$EL$32,1,X418)=1,'Lease Cycles'!$AJ$32*INDEX('Lease Cycles'!$FO$32:$FU$32,1,X418)*INDEX('Lease Cycles'!$EM$32:$ES$32,1,X418)+'Lease Cycles'!$BE$32*IF(X419&lt;INDEX('Lease Cycles'!$FA$32:$FG$32,1,X418),0,1-INDEX('Lease Cycles'!$EM$32:$ES$32,1,X418)),IF(OR(INDEX('Lease Cycles'!$DY$32:$EE$32,1,X418)=1,X419&gt;0),1,1-INDEX('Lease Cycles'!$DD$32:$DJ$32,1,X418))*('Lease Cycles'!$AJ$32*INDEX('Lease Cycles'!$FO$32:$FU$32,1,X418)+'Lease Cycles'!$BE$32*(1-INDEX('Lease Cycles'!$FO$32:$FU$32,1,X418)))),0)</f>
        <v>0</v>
      </c>
      <c r="Y428" s="24">
        <f>IF(Y420=1,'Lease Cycles'!$D$32*IF(INDEX('Lease Cycles'!$EF$32:$EL$32,1,Y418)=1,'Lease Cycles'!$AJ$32*INDEX('Lease Cycles'!$FO$32:$FU$32,1,Y418)*INDEX('Lease Cycles'!$EM$32:$ES$32,1,Y418)+'Lease Cycles'!$BE$32*IF(Y419&lt;INDEX('Lease Cycles'!$FA$32:$FG$32,1,Y418),0,1-INDEX('Lease Cycles'!$EM$32:$ES$32,1,Y418)),IF(OR(INDEX('Lease Cycles'!$DY$32:$EE$32,1,Y418)=1,Y419&gt;0),1,1-INDEX('Lease Cycles'!$DD$32:$DJ$32,1,Y418))*('Lease Cycles'!$AJ$32*INDEX('Lease Cycles'!$FO$32:$FU$32,1,Y418)+'Lease Cycles'!$BE$32*(1-INDEX('Lease Cycles'!$FO$32:$FU$32,1,Y418)))),0)</f>
        <v>0</v>
      </c>
      <c r="Z428" s="24">
        <f>IF(Z420=1,'Lease Cycles'!$D$32*IF(INDEX('Lease Cycles'!$EF$32:$EL$32,1,Z418)=1,'Lease Cycles'!$AJ$32*INDEX('Lease Cycles'!$FO$32:$FU$32,1,Z418)*INDEX('Lease Cycles'!$EM$32:$ES$32,1,Z418)+'Lease Cycles'!$BE$32*IF(Z419&lt;INDEX('Lease Cycles'!$FA$32:$FG$32,1,Z418),0,1-INDEX('Lease Cycles'!$EM$32:$ES$32,1,Z418)),IF(OR(INDEX('Lease Cycles'!$DY$32:$EE$32,1,Z418)=1,Z419&gt;0),1,1-INDEX('Lease Cycles'!$DD$32:$DJ$32,1,Z418))*('Lease Cycles'!$AJ$32*INDEX('Lease Cycles'!$FO$32:$FU$32,1,Z418)+'Lease Cycles'!$BE$32*(1-INDEX('Lease Cycles'!$FO$32:$FU$32,1,Z418)))),0)</f>
        <v>0</v>
      </c>
      <c r="AA428" s="24">
        <f>IF(AA420=1,'Lease Cycles'!$D$32*IF(INDEX('Lease Cycles'!$EF$32:$EL$32,1,AA418)=1,'Lease Cycles'!$AJ$32*INDEX('Lease Cycles'!$FO$32:$FU$32,1,AA418)*INDEX('Lease Cycles'!$EM$32:$ES$32,1,AA418)+'Lease Cycles'!$BE$32*IF(AA419&lt;INDEX('Lease Cycles'!$FA$32:$FG$32,1,AA418),0,1-INDEX('Lease Cycles'!$EM$32:$ES$32,1,AA418)),IF(OR(INDEX('Lease Cycles'!$DY$32:$EE$32,1,AA418)=1,AA419&gt;0),1,1-INDEX('Lease Cycles'!$DD$32:$DJ$32,1,AA418))*('Lease Cycles'!$AJ$32*INDEX('Lease Cycles'!$FO$32:$FU$32,1,AA418)+'Lease Cycles'!$BE$32*(1-INDEX('Lease Cycles'!$FO$32:$FU$32,1,AA418)))),0)</f>
        <v>0</v>
      </c>
      <c r="AB428" s="24">
        <f>IF(AB420=1,'Lease Cycles'!$D$32*IF(INDEX('Lease Cycles'!$EF$32:$EL$32,1,AB418)=1,'Lease Cycles'!$AJ$32*INDEX('Lease Cycles'!$FO$32:$FU$32,1,AB418)*INDEX('Lease Cycles'!$EM$32:$ES$32,1,AB418)+'Lease Cycles'!$BE$32*IF(AB419&lt;INDEX('Lease Cycles'!$FA$32:$FG$32,1,AB418),0,1-INDEX('Lease Cycles'!$EM$32:$ES$32,1,AB418)),IF(OR(INDEX('Lease Cycles'!$DY$32:$EE$32,1,AB418)=1,AB419&gt;0),1,1-INDEX('Lease Cycles'!$DD$32:$DJ$32,1,AB418))*('Lease Cycles'!$AJ$32*INDEX('Lease Cycles'!$FO$32:$FU$32,1,AB418)+'Lease Cycles'!$BE$32*(1-INDEX('Lease Cycles'!$FO$32:$FU$32,1,AB418)))),0)</f>
        <v>0</v>
      </c>
      <c r="AC428" s="24">
        <f>IF(AC420=1,'Lease Cycles'!$D$32*IF(INDEX('Lease Cycles'!$EF$32:$EL$32,1,AC418)=1,'Lease Cycles'!$AJ$32*INDEX('Lease Cycles'!$FO$32:$FU$32,1,AC418)*INDEX('Lease Cycles'!$EM$32:$ES$32,1,AC418)+'Lease Cycles'!$BE$32*IF(AC419&lt;INDEX('Lease Cycles'!$FA$32:$FG$32,1,AC418),0,1-INDEX('Lease Cycles'!$EM$32:$ES$32,1,AC418)),IF(OR(INDEX('Lease Cycles'!$DY$32:$EE$32,1,AC418)=1,AC419&gt;0),1,1-INDEX('Lease Cycles'!$DD$32:$DJ$32,1,AC418))*('Lease Cycles'!$AJ$32*INDEX('Lease Cycles'!$FO$32:$FU$32,1,AC418)+'Lease Cycles'!$BE$32*(1-INDEX('Lease Cycles'!$FO$32:$FU$32,1,AC418)))),0)</f>
        <v>0</v>
      </c>
      <c r="AD428" s="24">
        <f>IF(AD420=1,'Lease Cycles'!$D$32*IF(INDEX('Lease Cycles'!$EF$32:$EL$32,1,AD418)=1,'Lease Cycles'!$AJ$32*INDEX('Lease Cycles'!$FO$32:$FU$32,1,AD418)*INDEX('Lease Cycles'!$EM$32:$ES$32,1,AD418)+'Lease Cycles'!$BE$32*IF(AD419&lt;INDEX('Lease Cycles'!$FA$32:$FG$32,1,AD418),0,1-INDEX('Lease Cycles'!$EM$32:$ES$32,1,AD418)),IF(OR(INDEX('Lease Cycles'!$DY$32:$EE$32,1,AD418)=1,AD419&gt;0),1,1-INDEX('Lease Cycles'!$DD$32:$DJ$32,1,AD418))*('Lease Cycles'!$AJ$32*INDEX('Lease Cycles'!$FO$32:$FU$32,1,AD418)+'Lease Cycles'!$BE$32*(1-INDEX('Lease Cycles'!$FO$32:$FU$32,1,AD418)))),0)</f>
        <v>0</v>
      </c>
      <c r="AE428" s="24">
        <f>IF(AE420=1,'Lease Cycles'!$D$32*IF(INDEX('Lease Cycles'!$EF$32:$EL$32,1,AE418)=1,'Lease Cycles'!$AJ$32*INDEX('Lease Cycles'!$FO$32:$FU$32,1,AE418)*INDEX('Lease Cycles'!$EM$32:$ES$32,1,AE418)+'Lease Cycles'!$BE$32*IF(AE419&lt;INDEX('Lease Cycles'!$FA$32:$FG$32,1,AE418),0,1-INDEX('Lease Cycles'!$EM$32:$ES$32,1,AE418)),IF(OR(INDEX('Lease Cycles'!$DY$32:$EE$32,1,AE418)=1,AE419&gt;0),1,1-INDEX('Lease Cycles'!$DD$32:$DJ$32,1,AE418))*('Lease Cycles'!$AJ$32*INDEX('Lease Cycles'!$FO$32:$FU$32,1,AE418)+'Lease Cycles'!$BE$32*(1-INDEX('Lease Cycles'!$FO$32:$FU$32,1,AE418)))),0)</f>
        <v>0</v>
      </c>
      <c r="AF428" s="24">
        <f>IF(AF420=1,'Lease Cycles'!$D$32*IF(INDEX('Lease Cycles'!$EF$32:$EL$32,1,AF418)=1,'Lease Cycles'!$AJ$32*INDEX('Lease Cycles'!$FO$32:$FU$32,1,AF418)*INDEX('Lease Cycles'!$EM$32:$ES$32,1,AF418)+'Lease Cycles'!$BE$32*IF(AF419&lt;INDEX('Lease Cycles'!$FA$32:$FG$32,1,AF418),0,1-INDEX('Lease Cycles'!$EM$32:$ES$32,1,AF418)),IF(OR(INDEX('Lease Cycles'!$DY$32:$EE$32,1,AF418)=1,AF419&gt;0),1,1-INDEX('Lease Cycles'!$DD$32:$DJ$32,1,AF418))*('Lease Cycles'!$AJ$32*INDEX('Lease Cycles'!$FO$32:$FU$32,1,AF418)+'Lease Cycles'!$BE$32*(1-INDEX('Lease Cycles'!$FO$32:$FU$32,1,AF418)))),0)</f>
        <v>0</v>
      </c>
      <c r="AG428" s="24">
        <f>IF(AG420=1,'Lease Cycles'!$D$32*IF(INDEX('Lease Cycles'!$EF$32:$EL$32,1,AG418)=1,'Lease Cycles'!$AJ$32*INDEX('Lease Cycles'!$FO$32:$FU$32,1,AG418)*INDEX('Lease Cycles'!$EM$32:$ES$32,1,AG418)+'Lease Cycles'!$BE$32*IF(AG419&lt;INDEX('Lease Cycles'!$FA$32:$FG$32,1,AG418),0,1-INDEX('Lease Cycles'!$EM$32:$ES$32,1,AG418)),IF(OR(INDEX('Lease Cycles'!$DY$32:$EE$32,1,AG418)=1,AG419&gt;0),1,1-INDEX('Lease Cycles'!$DD$32:$DJ$32,1,AG418))*('Lease Cycles'!$AJ$32*INDEX('Lease Cycles'!$FO$32:$FU$32,1,AG418)+'Lease Cycles'!$BE$32*(1-INDEX('Lease Cycles'!$FO$32:$FU$32,1,AG418)))),0)</f>
        <v>0</v>
      </c>
      <c r="AH428" s="24">
        <f>IF(AH420=1,'Lease Cycles'!$D$32*IF(INDEX('Lease Cycles'!$EF$32:$EL$32,1,AH418)=1,'Lease Cycles'!$AJ$32*INDEX('Lease Cycles'!$FO$32:$FU$32,1,AH418)*INDEX('Lease Cycles'!$EM$32:$ES$32,1,AH418)+'Lease Cycles'!$BE$32*IF(AH419&lt;INDEX('Lease Cycles'!$FA$32:$FG$32,1,AH418),0,1-INDEX('Lease Cycles'!$EM$32:$ES$32,1,AH418)),IF(OR(INDEX('Lease Cycles'!$DY$32:$EE$32,1,AH418)=1,AH419&gt;0),1,1-INDEX('Lease Cycles'!$DD$32:$DJ$32,1,AH418))*('Lease Cycles'!$AJ$32*INDEX('Lease Cycles'!$FO$32:$FU$32,1,AH418)+'Lease Cycles'!$BE$32*(1-INDEX('Lease Cycles'!$FO$32:$FU$32,1,AH418)))),0)</f>
        <v>0</v>
      </c>
      <c r="AI428" s="24">
        <f>IF(AI420=1,'Lease Cycles'!$D$32*IF(INDEX('Lease Cycles'!$EF$32:$EL$32,1,AI418)=1,'Lease Cycles'!$AJ$32*INDEX('Lease Cycles'!$FO$32:$FU$32,1,AI418)*INDEX('Lease Cycles'!$EM$32:$ES$32,1,AI418)+'Lease Cycles'!$BE$32*IF(AI419&lt;INDEX('Lease Cycles'!$FA$32:$FG$32,1,AI418),0,1-INDEX('Lease Cycles'!$EM$32:$ES$32,1,AI418)),IF(OR(INDEX('Lease Cycles'!$DY$32:$EE$32,1,AI418)=1,AI419&gt;0),1,1-INDEX('Lease Cycles'!$DD$32:$DJ$32,1,AI418))*('Lease Cycles'!$AJ$32*INDEX('Lease Cycles'!$FO$32:$FU$32,1,AI418)+'Lease Cycles'!$BE$32*(1-INDEX('Lease Cycles'!$FO$32:$FU$32,1,AI418)))),0)</f>
        <v>0</v>
      </c>
      <c r="AJ428" s="24">
        <f>IF(AJ420=1,'Lease Cycles'!$D$32*IF(INDEX('Lease Cycles'!$EF$32:$EL$32,1,AJ418)=1,'Lease Cycles'!$AJ$32*INDEX('Lease Cycles'!$FO$32:$FU$32,1,AJ418)*INDEX('Lease Cycles'!$EM$32:$ES$32,1,AJ418)+'Lease Cycles'!$BE$32*IF(AJ419&lt;INDEX('Lease Cycles'!$FA$32:$FG$32,1,AJ418),0,1-INDEX('Lease Cycles'!$EM$32:$ES$32,1,AJ418)),IF(OR(INDEX('Lease Cycles'!$DY$32:$EE$32,1,AJ418)=1,AJ419&gt;0),1,1-INDEX('Lease Cycles'!$DD$32:$DJ$32,1,AJ418))*('Lease Cycles'!$AJ$32*INDEX('Lease Cycles'!$FO$32:$FU$32,1,AJ418)+'Lease Cycles'!$BE$32*(1-INDEX('Lease Cycles'!$FO$32:$FU$32,1,AJ418)))),0)</f>
        <v>0</v>
      </c>
      <c r="AK428" s="24">
        <f>IF(AK420=1,'Lease Cycles'!$D$32*IF(INDEX('Lease Cycles'!$EF$32:$EL$32,1,AK418)=1,'Lease Cycles'!$AJ$32*INDEX('Lease Cycles'!$FO$32:$FU$32,1,AK418)*INDEX('Lease Cycles'!$EM$32:$ES$32,1,AK418)+'Lease Cycles'!$BE$32*IF(AK419&lt;INDEX('Lease Cycles'!$FA$32:$FG$32,1,AK418),0,1-INDEX('Lease Cycles'!$EM$32:$ES$32,1,AK418)),IF(OR(INDEX('Lease Cycles'!$DY$32:$EE$32,1,AK418)=1,AK419&gt;0),1,1-INDEX('Lease Cycles'!$DD$32:$DJ$32,1,AK418))*('Lease Cycles'!$AJ$32*INDEX('Lease Cycles'!$FO$32:$FU$32,1,AK418)+'Lease Cycles'!$BE$32*(1-INDEX('Lease Cycles'!$FO$32:$FU$32,1,AK418)))),0)</f>
        <v>0</v>
      </c>
      <c r="AL428" s="24">
        <f>IF(AL420=1,'Lease Cycles'!$D$32*IF(INDEX('Lease Cycles'!$EF$32:$EL$32,1,AL418)=1,'Lease Cycles'!$AJ$32*INDEX('Lease Cycles'!$FO$32:$FU$32,1,AL418)*INDEX('Lease Cycles'!$EM$32:$ES$32,1,AL418)+'Lease Cycles'!$BE$32*IF(AL419&lt;INDEX('Lease Cycles'!$FA$32:$FG$32,1,AL418),0,1-INDEX('Lease Cycles'!$EM$32:$ES$32,1,AL418)),IF(OR(INDEX('Lease Cycles'!$DY$32:$EE$32,1,AL418)=1,AL419&gt;0),1,1-INDEX('Lease Cycles'!$DD$32:$DJ$32,1,AL418))*('Lease Cycles'!$AJ$32*INDEX('Lease Cycles'!$FO$32:$FU$32,1,AL418)+'Lease Cycles'!$BE$32*(1-INDEX('Lease Cycles'!$FO$32:$FU$32,1,AL418)))),0)</f>
        <v>0</v>
      </c>
      <c r="AM428" s="24">
        <f>IF(AM420=1,'Lease Cycles'!$D$32*IF(INDEX('Lease Cycles'!$EF$32:$EL$32,1,AM418)=1,'Lease Cycles'!$AJ$32*INDEX('Lease Cycles'!$FO$32:$FU$32,1,AM418)*INDEX('Lease Cycles'!$EM$32:$ES$32,1,AM418)+'Lease Cycles'!$BE$32*IF(AM419&lt;INDEX('Lease Cycles'!$FA$32:$FG$32,1,AM418),0,1-INDEX('Lease Cycles'!$EM$32:$ES$32,1,AM418)),IF(OR(INDEX('Lease Cycles'!$DY$32:$EE$32,1,AM418)=1,AM419&gt;0),1,1-INDEX('Lease Cycles'!$DD$32:$DJ$32,1,AM418))*('Lease Cycles'!$AJ$32*INDEX('Lease Cycles'!$FO$32:$FU$32,1,AM418)+'Lease Cycles'!$BE$32*(1-INDEX('Lease Cycles'!$FO$32:$FU$32,1,AM418)))),0)</f>
        <v>0</v>
      </c>
      <c r="AN428" s="24">
        <f>IF(AN420=1,'Lease Cycles'!$D$32*IF(INDEX('Lease Cycles'!$EF$32:$EL$32,1,AN418)=1,'Lease Cycles'!$AJ$32*INDEX('Lease Cycles'!$FO$32:$FU$32,1,AN418)*INDEX('Lease Cycles'!$EM$32:$ES$32,1,AN418)+'Lease Cycles'!$BE$32*IF(AN419&lt;INDEX('Lease Cycles'!$FA$32:$FG$32,1,AN418),0,1-INDEX('Lease Cycles'!$EM$32:$ES$32,1,AN418)),IF(OR(INDEX('Lease Cycles'!$DY$32:$EE$32,1,AN418)=1,AN419&gt;0),1,1-INDEX('Lease Cycles'!$DD$32:$DJ$32,1,AN418))*('Lease Cycles'!$AJ$32*INDEX('Lease Cycles'!$FO$32:$FU$32,1,AN418)+'Lease Cycles'!$BE$32*(1-INDEX('Lease Cycles'!$FO$32:$FU$32,1,AN418)))),0)</f>
        <v>0</v>
      </c>
      <c r="AO428" s="24">
        <f>IF(AO420=1,'Lease Cycles'!$D$32*IF(INDEX('Lease Cycles'!$EF$32:$EL$32,1,AO418)=1,'Lease Cycles'!$AJ$32*INDEX('Lease Cycles'!$FO$32:$FU$32,1,AO418)*INDEX('Lease Cycles'!$EM$32:$ES$32,1,AO418)+'Lease Cycles'!$BE$32*IF(AO419&lt;INDEX('Lease Cycles'!$FA$32:$FG$32,1,AO418),0,1-INDEX('Lease Cycles'!$EM$32:$ES$32,1,AO418)),IF(OR(INDEX('Lease Cycles'!$DY$32:$EE$32,1,AO418)=1,AO419&gt;0),1,1-INDEX('Lease Cycles'!$DD$32:$DJ$32,1,AO418))*('Lease Cycles'!$AJ$32*INDEX('Lease Cycles'!$FO$32:$FU$32,1,AO418)+'Lease Cycles'!$BE$32*(1-INDEX('Lease Cycles'!$FO$32:$FU$32,1,AO418)))),0)</f>
        <v>0</v>
      </c>
      <c r="AP428" s="24">
        <f>IF(AP420=1,'Lease Cycles'!$D$32*IF(INDEX('Lease Cycles'!$EF$32:$EL$32,1,AP418)=1,'Lease Cycles'!$AJ$32*INDEX('Lease Cycles'!$FO$32:$FU$32,1,AP418)*INDEX('Lease Cycles'!$EM$32:$ES$32,1,AP418)+'Lease Cycles'!$BE$32*IF(AP419&lt;INDEX('Lease Cycles'!$FA$32:$FG$32,1,AP418),0,1-INDEX('Lease Cycles'!$EM$32:$ES$32,1,AP418)),IF(OR(INDEX('Lease Cycles'!$DY$32:$EE$32,1,AP418)=1,AP419&gt;0),1,1-INDEX('Lease Cycles'!$DD$32:$DJ$32,1,AP418))*('Lease Cycles'!$AJ$32*INDEX('Lease Cycles'!$FO$32:$FU$32,1,AP418)+'Lease Cycles'!$BE$32*(1-INDEX('Lease Cycles'!$FO$32:$FU$32,1,AP418)))),0)</f>
        <v>0</v>
      </c>
      <c r="AQ428" s="24">
        <f>IF(AQ420=1,'Lease Cycles'!$D$32*IF(INDEX('Lease Cycles'!$EF$32:$EL$32,1,AQ418)=1,'Lease Cycles'!$AJ$32*INDEX('Lease Cycles'!$FO$32:$FU$32,1,AQ418)*INDEX('Lease Cycles'!$EM$32:$ES$32,1,AQ418)+'Lease Cycles'!$BE$32*IF(AQ419&lt;INDEX('Lease Cycles'!$FA$32:$FG$32,1,AQ418),0,1-INDEX('Lease Cycles'!$EM$32:$ES$32,1,AQ418)),IF(OR(INDEX('Lease Cycles'!$DY$32:$EE$32,1,AQ418)=1,AQ419&gt;0),1,1-INDEX('Lease Cycles'!$DD$32:$DJ$32,1,AQ418))*('Lease Cycles'!$AJ$32*INDEX('Lease Cycles'!$FO$32:$FU$32,1,AQ418)+'Lease Cycles'!$BE$32*(1-INDEX('Lease Cycles'!$FO$32:$FU$32,1,AQ418)))),0)</f>
        <v>0</v>
      </c>
      <c r="AR428" s="24">
        <f>IF(AR420=1,'Lease Cycles'!$D$32*IF(INDEX('Lease Cycles'!$EF$32:$EL$32,1,AR418)=1,'Lease Cycles'!$AJ$32*INDEX('Lease Cycles'!$FO$32:$FU$32,1,AR418)*INDEX('Lease Cycles'!$EM$32:$ES$32,1,AR418)+'Lease Cycles'!$BE$32*IF(AR419&lt;INDEX('Lease Cycles'!$FA$32:$FG$32,1,AR418),0,1-INDEX('Lease Cycles'!$EM$32:$ES$32,1,AR418)),IF(OR(INDEX('Lease Cycles'!$DY$32:$EE$32,1,AR418)=1,AR419&gt;0),1,1-INDEX('Lease Cycles'!$DD$32:$DJ$32,1,AR418))*('Lease Cycles'!$AJ$32*INDEX('Lease Cycles'!$FO$32:$FU$32,1,AR418)+'Lease Cycles'!$BE$32*(1-INDEX('Lease Cycles'!$FO$32:$FU$32,1,AR418)))),0)</f>
        <v>0</v>
      </c>
      <c r="AS428" s="24">
        <f>IF(AS420=1,'Lease Cycles'!$D$32*IF(INDEX('Lease Cycles'!$EF$32:$EL$32,1,AS418)=1,'Lease Cycles'!$AJ$32*INDEX('Lease Cycles'!$FO$32:$FU$32,1,AS418)*INDEX('Lease Cycles'!$EM$32:$ES$32,1,AS418)+'Lease Cycles'!$BE$32*IF(AS419&lt;INDEX('Lease Cycles'!$FA$32:$FG$32,1,AS418),0,1-INDEX('Lease Cycles'!$EM$32:$ES$32,1,AS418)),IF(OR(INDEX('Lease Cycles'!$DY$32:$EE$32,1,AS418)=1,AS419&gt;0),1,1-INDEX('Lease Cycles'!$DD$32:$DJ$32,1,AS418))*('Lease Cycles'!$AJ$32*INDEX('Lease Cycles'!$FO$32:$FU$32,1,AS418)+'Lease Cycles'!$BE$32*(1-INDEX('Lease Cycles'!$FO$32:$FU$32,1,AS418)))),0)</f>
        <v>0</v>
      </c>
      <c r="AT428" s="24">
        <f>IF(AT420=1,'Lease Cycles'!$D$32*IF(INDEX('Lease Cycles'!$EF$32:$EL$32,1,AT418)=1,'Lease Cycles'!$AJ$32*INDEX('Lease Cycles'!$FO$32:$FU$32,1,AT418)*INDEX('Lease Cycles'!$EM$32:$ES$32,1,AT418)+'Lease Cycles'!$BE$32*IF(AT419&lt;INDEX('Lease Cycles'!$FA$32:$FG$32,1,AT418),0,1-INDEX('Lease Cycles'!$EM$32:$ES$32,1,AT418)),IF(OR(INDEX('Lease Cycles'!$DY$32:$EE$32,1,AT418)=1,AT419&gt;0),1,1-INDEX('Lease Cycles'!$DD$32:$DJ$32,1,AT418))*('Lease Cycles'!$AJ$32*INDEX('Lease Cycles'!$FO$32:$FU$32,1,AT418)+'Lease Cycles'!$BE$32*(1-INDEX('Lease Cycles'!$FO$32:$FU$32,1,AT418)))),0)</f>
        <v>0</v>
      </c>
      <c r="AU428" s="24">
        <f>IF(AU420=1,'Lease Cycles'!$D$32*IF(INDEX('Lease Cycles'!$EF$32:$EL$32,1,AU418)=1,'Lease Cycles'!$AJ$32*INDEX('Lease Cycles'!$FO$32:$FU$32,1,AU418)*INDEX('Lease Cycles'!$EM$32:$ES$32,1,AU418)+'Lease Cycles'!$BE$32*IF(AU419&lt;INDEX('Lease Cycles'!$FA$32:$FG$32,1,AU418),0,1-INDEX('Lease Cycles'!$EM$32:$ES$32,1,AU418)),IF(OR(INDEX('Lease Cycles'!$DY$32:$EE$32,1,AU418)=1,AU419&gt;0),1,1-INDEX('Lease Cycles'!$DD$32:$DJ$32,1,AU418))*('Lease Cycles'!$AJ$32*INDEX('Lease Cycles'!$FO$32:$FU$32,1,AU418)+'Lease Cycles'!$BE$32*(1-INDEX('Lease Cycles'!$FO$32:$FU$32,1,AU418)))),0)</f>
        <v>0</v>
      </c>
      <c r="AV428" s="24">
        <f>IF(AV420=1,'Lease Cycles'!$D$32*IF(INDEX('Lease Cycles'!$EF$32:$EL$32,1,AV418)=1,'Lease Cycles'!$AJ$32*INDEX('Lease Cycles'!$FO$32:$FU$32,1,AV418)*INDEX('Lease Cycles'!$EM$32:$ES$32,1,AV418)+'Lease Cycles'!$BE$32*IF(AV419&lt;INDEX('Lease Cycles'!$FA$32:$FG$32,1,AV418),0,1-INDEX('Lease Cycles'!$EM$32:$ES$32,1,AV418)),IF(OR(INDEX('Lease Cycles'!$DY$32:$EE$32,1,AV418)=1,AV419&gt;0),1,1-INDEX('Lease Cycles'!$DD$32:$DJ$32,1,AV418))*('Lease Cycles'!$AJ$32*INDEX('Lease Cycles'!$FO$32:$FU$32,1,AV418)+'Lease Cycles'!$BE$32*(1-INDEX('Lease Cycles'!$FO$32:$FU$32,1,AV418)))),0)</f>
        <v>0</v>
      </c>
      <c r="AW428" s="24">
        <f>IF(AW420=1,'Lease Cycles'!$D$32*IF(INDEX('Lease Cycles'!$EF$32:$EL$32,1,AW418)=1,'Lease Cycles'!$AJ$32*INDEX('Lease Cycles'!$FO$32:$FU$32,1,AW418)*INDEX('Lease Cycles'!$EM$32:$ES$32,1,AW418)+'Lease Cycles'!$BE$32*IF(AW419&lt;INDEX('Lease Cycles'!$FA$32:$FG$32,1,AW418),0,1-INDEX('Lease Cycles'!$EM$32:$ES$32,1,AW418)),IF(OR(INDEX('Lease Cycles'!$DY$32:$EE$32,1,AW418)=1,AW419&gt;0),1,1-INDEX('Lease Cycles'!$DD$32:$DJ$32,1,AW418))*('Lease Cycles'!$AJ$32*INDEX('Lease Cycles'!$FO$32:$FU$32,1,AW418)+'Lease Cycles'!$BE$32*(1-INDEX('Lease Cycles'!$FO$32:$FU$32,1,AW418)))),0)</f>
        <v>0</v>
      </c>
      <c r="AX428" s="24">
        <f>IF(AX420=1,'Lease Cycles'!$D$32*IF(INDEX('Lease Cycles'!$EF$32:$EL$32,1,AX418)=1,'Lease Cycles'!$AJ$32*INDEX('Lease Cycles'!$FO$32:$FU$32,1,AX418)*INDEX('Lease Cycles'!$EM$32:$ES$32,1,AX418)+'Lease Cycles'!$BE$32*IF(AX419&lt;INDEX('Lease Cycles'!$FA$32:$FG$32,1,AX418),0,1-INDEX('Lease Cycles'!$EM$32:$ES$32,1,AX418)),IF(OR(INDEX('Lease Cycles'!$DY$32:$EE$32,1,AX418)=1,AX419&gt;0),1,1-INDEX('Lease Cycles'!$DD$32:$DJ$32,1,AX418))*('Lease Cycles'!$AJ$32*INDEX('Lease Cycles'!$FO$32:$FU$32,1,AX418)+'Lease Cycles'!$BE$32*(1-INDEX('Lease Cycles'!$FO$32:$FU$32,1,AX418)))),0)</f>
        <v>0</v>
      </c>
      <c r="AY428" s="24">
        <f>IF(AY420=1,'Lease Cycles'!$D$32*IF(INDEX('Lease Cycles'!$EF$32:$EL$32,1,AY418)=1,'Lease Cycles'!$AJ$32*INDEX('Lease Cycles'!$FO$32:$FU$32,1,AY418)*INDEX('Lease Cycles'!$EM$32:$ES$32,1,AY418)+'Lease Cycles'!$BE$32*IF(AY419&lt;INDEX('Lease Cycles'!$FA$32:$FG$32,1,AY418),0,1-INDEX('Lease Cycles'!$EM$32:$ES$32,1,AY418)),IF(OR(INDEX('Lease Cycles'!$DY$32:$EE$32,1,AY418)=1,AY419&gt;0),1,1-INDEX('Lease Cycles'!$DD$32:$DJ$32,1,AY418))*('Lease Cycles'!$AJ$32*INDEX('Lease Cycles'!$FO$32:$FU$32,1,AY418)+'Lease Cycles'!$BE$32*(1-INDEX('Lease Cycles'!$FO$32:$FU$32,1,AY418)))),0)</f>
        <v>0</v>
      </c>
      <c r="AZ428" s="24">
        <f>IF(AZ420=1,'Lease Cycles'!$D$32*IF(INDEX('Lease Cycles'!$EF$32:$EL$32,1,AZ418)=1,'Lease Cycles'!$AJ$32*INDEX('Lease Cycles'!$FO$32:$FU$32,1,AZ418)*INDEX('Lease Cycles'!$EM$32:$ES$32,1,AZ418)+'Lease Cycles'!$BE$32*IF(AZ419&lt;INDEX('Lease Cycles'!$FA$32:$FG$32,1,AZ418),0,1-INDEX('Lease Cycles'!$EM$32:$ES$32,1,AZ418)),IF(OR(INDEX('Lease Cycles'!$DY$32:$EE$32,1,AZ418)=1,AZ419&gt;0),1,1-INDEX('Lease Cycles'!$DD$32:$DJ$32,1,AZ418))*('Lease Cycles'!$AJ$32*INDEX('Lease Cycles'!$FO$32:$FU$32,1,AZ418)+'Lease Cycles'!$BE$32*(1-INDEX('Lease Cycles'!$FO$32:$FU$32,1,AZ418)))),0)</f>
        <v>0</v>
      </c>
      <c r="BA428" s="24">
        <f>IF(BA420=1,'Lease Cycles'!$D$32*IF(INDEX('Lease Cycles'!$EF$32:$EL$32,1,BA418)=1,'Lease Cycles'!$AJ$32*INDEX('Lease Cycles'!$FO$32:$FU$32,1,BA418)*INDEX('Lease Cycles'!$EM$32:$ES$32,1,BA418)+'Lease Cycles'!$BE$32*IF(BA419&lt;INDEX('Lease Cycles'!$FA$32:$FG$32,1,BA418),0,1-INDEX('Lease Cycles'!$EM$32:$ES$32,1,BA418)),IF(OR(INDEX('Lease Cycles'!$DY$32:$EE$32,1,BA418)=1,BA419&gt;0),1,1-INDEX('Lease Cycles'!$DD$32:$DJ$32,1,BA418))*('Lease Cycles'!$AJ$32*INDEX('Lease Cycles'!$FO$32:$FU$32,1,BA418)+'Lease Cycles'!$BE$32*(1-INDEX('Lease Cycles'!$FO$32:$FU$32,1,BA418)))),0)</f>
        <v>0</v>
      </c>
      <c r="BB428" s="24">
        <f>IF(BB420=1,'Lease Cycles'!$D$32*IF(INDEX('Lease Cycles'!$EF$32:$EL$32,1,BB418)=1,'Lease Cycles'!$AJ$32*INDEX('Lease Cycles'!$FO$32:$FU$32,1,BB418)*INDEX('Lease Cycles'!$EM$32:$ES$32,1,BB418)+'Lease Cycles'!$BE$32*IF(BB419&lt;INDEX('Lease Cycles'!$FA$32:$FG$32,1,BB418),0,1-INDEX('Lease Cycles'!$EM$32:$ES$32,1,BB418)),IF(OR(INDEX('Lease Cycles'!$DY$32:$EE$32,1,BB418)=1,BB419&gt;0),1,1-INDEX('Lease Cycles'!$DD$32:$DJ$32,1,BB418))*('Lease Cycles'!$AJ$32*INDEX('Lease Cycles'!$FO$32:$FU$32,1,BB418)+'Lease Cycles'!$BE$32*(1-INDEX('Lease Cycles'!$FO$32:$FU$32,1,BB418)))),0)</f>
        <v>0</v>
      </c>
      <c r="BC428" s="24">
        <f>IF(BC420=1,'Lease Cycles'!$D$32*IF(INDEX('Lease Cycles'!$EF$32:$EL$32,1,BC418)=1,'Lease Cycles'!$AJ$32*INDEX('Lease Cycles'!$FO$32:$FU$32,1,BC418)*INDEX('Lease Cycles'!$EM$32:$ES$32,1,BC418)+'Lease Cycles'!$BE$32*IF(BC419&lt;INDEX('Lease Cycles'!$FA$32:$FG$32,1,BC418),0,1-INDEX('Lease Cycles'!$EM$32:$ES$32,1,BC418)),IF(OR(INDEX('Lease Cycles'!$DY$32:$EE$32,1,BC418)=1,BC419&gt;0),1,1-INDEX('Lease Cycles'!$DD$32:$DJ$32,1,BC418))*('Lease Cycles'!$AJ$32*INDEX('Lease Cycles'!$FO$32:$FU$32,1,BC418)+'Lease Cycles'!$BE$32*(1-INDEX('Lease Cycles'!$FO$32:$FU$32,1,BC418)))),0)</f>
        <v>0</v>
      </c>
      <c r="BD428" s="24">
        <f>IF(BD420=1,'Lease Cycles'!$D$32*IF(INDEX('Lease Cycles'!$EF$32:$EL$32,1,BD418)=1,'Lease Cycles'!$AJ$32*INDEX('Lease Cycles'!$FO$32:$FU$32,1,BD418)*INDEX('Lease Cycles'!$EM$32:$ES$32,1,BD418)+'Lease Cycles'!$BE$32*IF(BD419&lt;INDEX('Lease Cycles'!$FA$32:$FG$32,1,BD418),0,1-INDEX('Lease Cycles'!$EM$32:$ES$32,1,BD418)),IF(OR(INDEX('Lease Cycles'!$DY$32:$EE$32,1,BD418)=1,BD419&gt;0),1,1-INDEX('Lease Cycles'!$DD$32:$DJ$32,1,BD418))*('Lease Cycles'!$AJ$32*INDEX('Lease Cycles'!$FO$32:$FU$32,1,BD418)+'Lease Cycles'!$BE$32*(1-INDEX('Lease Cycles'!$FO$32:$FU$32,1,BD418)))),0)</f>
        <v>0</v>
      </c>
      <c r="BE428" s="24">
        <f>IF(BE420=1,'Lease Cycles'!$D$32*IF(INDEX('Lease Cycles'!$EF$32:$EL$32,1,BE418)=1,'Lease Cycles'!$AJ$32*INDEX('Lease Cycles'!$FO$32:$FU$32,1,BE418)*INDEX('Lease Cycles'!$EM$32:$ES$32,1,BE418)+'Lease Cycles'!$BE$32*IF(BE419&lt;INDEX('Lease Cycles'!$FA$32:$FG$32,1,BE418),0,1-INDEX('Lease Cycles'!$EM$32:$ES$32,1,BE418)),IF(OR(INDEX('Lease Cycles'!$DY$32:$EE$32,1,BE418)=1,BE419&gt;0),1,1-INDEX('Lease Cycles'!$DD$32:$DJ$32,1,BE418))*('Lease Cycles'!$AJ$32*INDEX('Lease Cycles'!$FO$32:$FU$32,1,BE418)+'Lease Cycles'!$BE$32*(1-INDEX('Lease Cycles'!$FO$32:$FU$32,1,BE418)))),0)</f>
        <v>0</v>
      </c>
      <c r="BF428" s="24">
        <f>IF(BF420=1,'Lease Cycles'!$D$32*IF(INDEX('Lease Cycles'!$EF$32:$EL$32,1,BF418)=1,'Lease Cycles'!$AJ$32*INDEX('Lease Cycles'!$FO$32:$FU$32,1,BF418)*INDEX('Lease Cycles'!$EM$32:$ES$32,1,BF418)+'Lease Cycles'!$BE$32*IF(BF419&lt;INDEX('Lease Cycles'!$FA$32:$FG$32,1,BF418),0,1-INDEX('Lease Cycles'!$EM$32:$ES$32,1,BF418)),IF(OR(INDEX('Lease Cycles'!$DY$32:$EE$32,1,BF418)=1,BF419&gt;0),1,1-INDEX('Lease Cycles'!$DD$32:$DJ$32,1,BF418))*('Lease Cycles'!$AJ$32*INDEX('Lease Cycles'!$FO$32:$FU$32,1,BF418)+'Lease Cycles'!$BE$32*(1-INDEX('Lease Cycles'!$FO$32:$FU$32,1,BF418)))),0)</f>
        <v>0</v>
      </c>
      <c r="BG428" s="24">
        <f>IF(BG420=1,'Lease Cycles'!$D$32*IF(INDEX('Lease Cycles'!$EF$32:$EL$32,1,BG418)=1,'Lease Cycles'!$AJ$32*INDEX('Lease Cycles'!$FO$32:$FU$32,1,BG418)*INDEX('Lease Cycles'!$EM$32:$ES$32,1,BG418)+'Lease Cycles'!$BE$32*IF(BG419&lt;INDEX('Lease Cycles'!$FA$32:$FG$32,1,BG418),0,1-INDEX('Lease Cycles'!$EM$32:$ES$32,1,BG418)),IF(OR(INDEX('Lease Cycles'!$DY$32:$EE$32,1,BG418)=1,BG419&gt;0),1,1-INDEX('Lease Cycles'!$DD$32:$DJ$32,1,BG418))*('Lease Cycles'!$AJ$32*INDEX('Lease Cycles'!$FO$32:$FU$32,1,BG418)+'Lease Cycles'!$BE$32*(1-INDEX('Lease Cycles'!$FO$32:$FU$32,1,BG418)))),0)</f>
        <v>0</v>
      </c>
      <c r="BH428" s="24">
        <f>IF(BH420=1,'Lease Cycles'!$D$32*IF(INDEX('Lease Cycles'!$EF$32:$EL$32,1,BH418)=1,'Lease Cycles'!$AJ$32*INDEX('Lease Cycles'!$FO$32:$FU$32,1,BH418)*INDEX('Lease Cycles'!$EM$32:$ES$32,1,BH418)+'Lease Cycles'!$BE$32*IF(BH419&lt;INDEX('Lease Cycles'!$FA$32:$FG$32,1,BH418),0,1-INDEX('Lease Cycles'!$EM$32:$ES$32,1,BH418)),IF(OR(INDEX('Lease Cycles'!$DY$32:$EE$32,1,BH418)=1,BH419&gt;0),1,1-INDEX('Lease Cycles'!$DD$32:$DJ$32,1,BH418))*('Lease Cycles'!$AJ$32*INDEX('Lease Cycles'!$FO$32:$FU$32,1,BH418)+'Lease Cycles'!$BE$32*(1-INDEX('Lease Cycles'!$FO$32:$FU$32,1,BH418)))),0)</f>
        <v>0</v>
      </c>
      <c r="BI428" s="24">
        <f>IF(BI420=1,'Lease Cycles'!$D$32*IF(INDEX('Lease Cycles'!$EF$32:$EL$32,1,BI418)=1,'Lease Cycles'!$AJ$32*INDEX('Lease Cycles'!$FO$32:$FU$32,1,BI418)*INDEX('Lease Cycles'!$EM$32:$ES$32,1,BI418)+'Lease Cycles'!$BE$32*IF(BI419&lt;INDEX('Lease Cycles'!$FA$32:$FG$32,1,BI418),0,1-INDEX('Lease Cycles'!$EM$32:$ES$32,1,BI418)),IF(OR(INDEX('Lease Cycles'!$DY$32:$EE$32,1,BI418)=1,BI419&gt;0),1,1-INDEX('Lease Cycles'!$DD$32:$DJ$32,1,BI418))*('Lease Cycles'!$AJ$32*INDEX('Lease Cycles'!$FO$32:$FU$32,1,BI418)+'Lease Cycles'!$BE$32*(1-INDEX('Lease Cycles'!$FO$32:$FU$32,1,BI418)))),0)</f>
        <v>0</v>
      </c>
      <c r="BJ428" s="24">
        <f>IF(BJ420=1,'Lease Cycles'!$D$32*IF(INDEX('Lease Cycles'!$EF$32:$EL$32,1,BJ418)=1,'Lease Cycles'!$AJ$32*INDEX('Lease Cycles'!$FO$32:$FU$32,1,BJ418)*INDEX('Lease Cycles'!$EM$32:$ES$32,1,BJ418)+'Lease Cycles'!$BE$32*IF(BJ419&lt;INDEX('Lease Cycles'!$FA$32:$FG$32,1,BJ418),0,1-INDEX('Lease Cycles'!$EM$32:$ES$32,1,BJ418)),IF(OR(INDEX('Lease Cycles'!$DY$32:$EE$32,1,BJ418)=1,BJ419&gt;0),1,1-INDEX('Lease Cycles'!$DD$32:$DJ$32,1,BJ418))*('Lease Cycles'!$AJ$32*INDEX('Lease Cycles'!$FO$32:$FU$32,1,BJ418)+'Lease Cycles'!$BE$32*(1-INDEX('Lease Cycles'!$FO$32:$FU$32,1,BJ418)))),0)</f>
        <v>0</v>
      </c>
      <c r="BK428" s="24">
        <f>IF(BK420=1,'Lease Cycles'!$D$32*IF(INDEX('Lease Cycles'!$EF$32:$EL$32,1,BK418)=1,'Lease Cycles'!$AJ$32*INDEX('Lease Cycles'!$FO$32:$FU$32,1,BK418)*INDEX('Lease Cycles'!$EM$32:$ES$32,1,BK418)+'Lease Cycles'!$BE$32*IF(BK419&lt;INDEX('Lease Cycles'!$FA$32:$FG$32,1,BK418),0,1-INDEX('Lease Cycles'!$EM$32:$ES$32,1,BK418)),IF(OR(INDEX('Lease Cycles'!$DY$32:$EE$32,1,BK418)=1,BK419&gt;0),1,1-INDEX('Lease Cycles'!$DD$32:$DJ$32,1,BK418))*('Lease Cycles'!$AJ$32*INDEX('Lease Cycles'!$FO$32:$FU$32,1,BK418)+'Lease Cycles'!$BE$32*(1-INDEX('Lease Cycles'!$FO$32:$FU$32,1,BK418)))),0)</f>
        <v>0</v>
      </c>
      <c r="BL428" s="24">
        <f>IF(BL420=1,'Lease Cycles'!$D$32*IF(INDEX('Lease Cycles'!$EF$32:$EL$32,1,BL418)=1,'Lease Cycles'!$AJ$32*INDEX('Lease Cycles'!$FO$32:$FU$32,1,BL418)*INDEX('Lease Cycles'!$EM$32:$ES$32,1,BL418)+'Lease Cycles'!$BE$32*IF(BL419&lt;INDEX('Lease Cycles'!$FA$32:$FG$32,1,BL418),0,1-INDEX('Lease Cycles'!$EM$32:$ES$32,1,BL418)),IF(OR(INDEX('Lease Cycles'!$DY$32:$EE$32,1,BL418)=1,BL419&gt;0),1,1-INDEX('Lease Cycles'!$DD$32:$DJ$32,1,BL418))*('Lease Cycles'!$AJ$32*INDEX('Lease Cycles'!$FO$32:$FU$32,1,BL418)+'Lease Cycles'!$BE$32*(1-INDEX('Lease Cycles'!$FO$32:$FU$32,1,BL418)))),0)</f>
        <v>0</v>
      </c>
      <c r="BM428" s="24">
        <f>IF(BM420=1,'Lease Cycles'!$D$32*IF(INDEX('Lease Cycles'!$EF$32:$EL$32,1,BM418)=1,'Lease Cycles'!$AJ$32*INDEX('Lease Cycles'!$FO$32:$FU$32,1,BM418)*INDEX('Lease Cycles'!$EM$32:$ES$32,1,BM418)+'Lease Cycles'!$BE$32*IF(BM419&lt;INDEX('Lease Cycles'!$FA$32:$FG$32,1,BM418),0,1-INDEX('Lease Cycles'!$EM$32:$ES$32,1,BM418)),IF(OR(INDEX('Lease Cycles'!$DY$32:$EE$32,1,BM418)=1,BM419&gt;0),1,1-INDEX('Lease Cycles'!$DD$32:$DJ$32,1,BM418))*('Lease Cycles'!$AJ$32*INDEX('Lease Cycles'!$FO$32:$FU$32,1,BM418)+'Lease Cycles'!$BE$32*(1-INDEX('Lease Cycles'!$FO$32:$FU$32,1,BM418)))),0)</f>
        <v>0</v>
      </c>
      <c r="BN428" s="24">
        <f>IF(BN420=1,'Lease Cycles'!$D$32*IF(INDEX('Lease Cycles'!$EF$32:$EL$32,1,BN418)=1,'Lease Cycles'!$AJ$32*INDEX('Lease Cycles'!$FO$32:$FU$32,1,BN418)*INDEX('Lease Cycles'!$EM$32:$ES$32,1,BN418)+'Lease Cycles'!$BE$32*IF(BN419&lt;INDEX('Lease Cycles'!$FA$32:$FG$32,1,BN418),0,1-INDEX('Lease Cycles'!$EM$32:$ES$32,1,BN418)),IF(OR(INDEX('Lease Cycles'!$DY$32:$EE$32,1,BN418)=1,BN419&gt;0),1,1-INDEX('Lease Cycles'!$DD$32:$DJ$32,1,BN418))*('Lease Cycles'!$AJ$32*INDEX('Lease Cycles'!$FO$32:$FU$32,1,BN418)+'Lease Cycles'!$BE$32*(1-INDEX('Lease Cycles'!$FO$32:$FU$32,1,BN418)))),0)</f>
        <v>0</v>
      </c>
      <c r="BO428" s="24">
        <f>IF(BO420=1,'Lease Cycles'!$D$32*IF(INDEX('Lease Cycles'!$EF$32:$EL$32,1,BO418)=1,'Lease Cycles'!$AJ$32*INDEX('Lease Cycles'!$FO$32:$FU$32,1,BO418)*INDEX('Lease Cycles'!$EM$32:$ES$32,1,BO418)+'Lease Cycles'!$BE$32*IF(BO419&lt;INDEX('Lease Cycles'!$FA$32:$FG$32,1,BO418),0,1-INDEX('Lease Cycles'!$EM$32:$ES$32,1,BO418)),IF(OR(INDEX('Lease Cycles'!$DY$32:$EE$32,1,BO418)=1,BO419&gt;0),1,1-INDEX('Lease Cycles'!$DD$32:$DJ$32,1,BO418))*('Lease Cycles'!$AJ$32*INDEX('Lease Cycles'!$FO$32:$FU$32,1,BO418)+'Lease Cycles'!$BE$32*(1-INDEX('Lease Cycles'!$FO$32:$FU$32,1,BO418)))),0)</f>
        <v>0</v>
      </c>
      <c r="BP428" s="24">
        <f>IF(BP420=1,'Lease Cycles'!$D$32*IF(INDEX('Lease Cycles'!$EF$32:$EL$32,1,BP418)=1,'Lease Cycles'!$AJ$32*INDEX('Lease Cycles'!$FO$32:$FU$32,1,BP418)*INDEX('Lease Cycles'!$EM$32:$ES$32,1,BP418)+'Lease Cycles'!$BE$32*IF(BP419&lt;INDEX('Lease Cycles'!$FA$32:$FG$32,1,BP418),0,1-INDEX('Lease Cycles'!$EM$32:$ES$32,1,BP418)),IF(OR(INDEX('Lease Cycles'!$DY$32:$EE$32,1,BP418)=1,BP419&gt;0),1,1-INDEX('Lease Cycles'!$DD$32:$DJ$32,1,BP418))*('Lease Cycles'!$AJ$32*INDEX('Lease Cycles'!$FO$32:$FU$32,1,BP418)+'Lease Cycles'!$BE$32*(1-INDEX('Lease Cycles'!$FO$32:$FU$32,1,BP418)))),0)</f>
        <v>0</v>
      </c>
      <c r="BQ428" s="24">
        <f>IF(BQ420=1,'Lease Cycles'!$D$32*IF(INDEX('Lease Cycles'!$EF$32:$EL$32,1,BQ418)=1,'Lease Cycles'!$AJ$32*INDEX('Lease Cycles'!$FO$32:$FU$32,1,BQ418)*INDEX('Lease Cycles'!$EM$32:$ES$32,1,BQ418)+'Lease Cycles'!$BE$32*IF(BQ419&lt;INDEX('Lease Cycles'!$FA$32:$FG$32,1,BQ418),0,1-INDEX('Lease Cycles'!$EM$32:$ES$32,1,BQ418)),IF(OR(INDEX('Lease Cycles'!$DY$32:$EE$32,1,BQ418)=1,BQ419&gt;0),1,1-INDEX('Lease Cycles'!$DD$32:$DJ$32,1,BQ418))*('Lease Cycles'!$AJ$32*INDEX('Lease Cycles'!$FO$32:$FU$32,1,BQ418)+'Lease Cycles'!$BE$32*(1-INDEX('Lease Cycles'!$FO$32:$FU$32,1,BQ418)))),0)</f>
        <v>0</v>
      </c>
      <c r="BR428" s="24">
        <f>IF(BR420=1,'Lease Cycles'!$D$32*IF(INDEX('Lease Cycles'!$EF$32:$EL$32,1,BR418)=1,'Lease Cycles'!$AJ$32*INDEX('Lease Cycles'!$FO$32:$FU$32,1,BR418)*INDEX('Lease Cycles'!$EM$32:$ES$32,1,BR418)+'Lease Cycles'!$BE$32*IF(BR419&lt;INDEX('Lease Cycles'!$FA$32:$FG$32,1,BR418),0,1-INDEX('Lease Cycles'!$EM$32:$ES$32,1,BR418)),IF(OR(INDEX('Lease Cycles'!$DY$32:$EE$32,1,BR418)=1,BR419&gt;0),1,1-INDEX('Lease Cycles'!$DD$32:$DJ$32,1,BR418))*('Lease Cycles'!$AJ$32*INDEX('Lease Cycles'!$FO$32:$FU$32,1,BR418)+'Lease Cycles'!$BE$32*(1-INDEX('Lease Cycles'!$FO$32:$FU$32,1,BR418)))),0)</f>
        <v>0</v>
      </c>
      <c r="BS428" s="24">
        <f>IF(BS420=1,'Lease Cycles'!$D$32*IF(INDEX('Lease Cycles'!$EF$32:$EL$32,1,BS418)=1,'Lease Cycles'!$AJ$32*INDEX('Lease Cycles'!$FO$32:$FU$32,1,BS418)*INDEX('Lease Cycles'!$EM$32:$ES$32,1,BS418)+'Lease Cycles'!$BE$32*IF(BS419&lt;INDEX('Lease Cycles'!$FA$32:$FG$32,1,BS418),0,1-INDEX('Lease Cycles'!$EM$32:$ES$32,1,BS418)),IF(OR(INDEX('Lease Cycles'!$DY$32:$EE$32,1,BS418)=1,BS419&gt;0),1,1-INDEX('Lease Cycles'!$DD$32:$DJ$32,1,BS418))*('Lease Cycles'!$AJ$32*INDEX('Lease Cycles'!$FO$32:$FU$32,1,BS418)+'Lease Cycles'!$BE$32*(1-INDEX('Lease Cycles'!$FO$32:$FU$32,1,BS418)))),0)</f>
        <v>0</v>
      </c>
      <c r="BT428" s="24">
        <f>IF(BT420=1,'Lease Cycles'!$D$32*IF(INDEX('Lease Cycles'!$EF$32:$EL$32,1,BT418)=1,'Lease Cycles'!$AJ$32*INDEX('Lease Cycles'!$FO$32:$FU$32,1,BT418)*INDEX('Lease Cycles'!$EM$32:$ES$32,1,BT418)+'Lease Cycles'!$BE$32*IF(BT419&lt;INDEX('Lease Cycles'!$FA$32:$FG$32,1,BT418),0,1-INDEX('Lease Cycles'!$EM$32:$ES$32,1,BT418)),IF(OR(INDEX('Lease Cycles'!$DY$32:$EE$32,1,BT418)=1,BT419&gt;0),1,1-INDEX('Lease Cycles'!$DD$32:$DJ$32,1,BT418))*('Lease Cycles'!$AJ$32*INDEX('Lease Cycles'!$FO$32:$FU$32,1,BT418)+'Lease Cycles'!$BE$32*(1-INDEX('Lease Cycles'!$FO$32:$FU$32,1,BT418)))),0)</f>
        <v>0</v>
      </c>
      <c r="BU428" s="24">
        <f>IF(BU420=1,'Lease Cycles'!$D$32*IF(INDEX('Lease Cycles'!$EF$32:$EL$32,1,BU418)=1,'Lease Cycles'!$AJ$32*INDEX('Lease Cycles'!$FO$32:$FU$32,1,BU418)*INDEX('Lease Cycles'!$EM$32:$ES$32,1,BU418)+'Lease Cycles'!$BE$32*IF(BU419&lt;INDEX('Lease Cycles'!$FA$32:$FG$32,1,BU418),0,1-INDEX('Lease Cycles'!$EM$32:$ES$32,1,BU418)),IF(OR(INDEX('Lease Cycles'!$DY$32:$EE$32,1,BU418)=1,BU419&gt;0),1,1-INDEX('Lease Cycles'!$DD$32:$DJ$32,1,BU418))*('Lease Cycles'!$AJ$32*INDEX('Lease Cycles'!$FO$32:$FU$32,1,BU418)+'Lease Cycles'!$BE$32*(1-INDEX('Lease Cycles'!$FO$32:$FU$32,1,BU418)))),0)</f>
        <v>0</v>
      </c>
      <c r="BV428" s="24">
        <f>IF(BV420=1,'Lease Cycles'!$D$32*IF(INDEX('Lease Cycles'!$EF$32:$EL$32,1,BV418)=1,'Lease Cycles'!$AJ$32*INDEX('Lease Cycles'!$FO$32:$FU$32,1,BV418)*INDEX('Lease Cycles'!$EM$32:$ES$32,1,BV418)+'Lease Cycles'!$BE$32*IF(BV419&lt;INDEX('Lease Cycles'!$FA$32:$FG$32,1,BV418),0,1-INDEX('Lease Cycles'!$EM$32:$ES$32,1,BV418)),IF(OR(INDEX('Lease Cycles'!$DY$32:$EE$32,1,BV418)=1,BV419&gt;0),1,1-INDEX('Lease Cycles'!$DD$32:$DJ$32,1,BV418))*('Lease Cycles'!$AJ$32*INDEX('Lease Cycles'!$FO$32:$FU$32,1,BV418)+'Lease Cycles'!$BE$32*(1-INDEX('Lease Cycles'!$FO$32:$FU$32,1,BV418)))),0)</f>
        <v>0</v>
      </c>
      <c r="BW428" s="24">
        <f>IF(BW420=1,'Lease Cycles'!$D$32*IF(INDEX('Lease Cycles'!$EF$32:$EL$32,1,BW418)=1,'Lease Cycles'!$AJ$32*INDEX('Lease Cycles'!$FO$32:$FU$32,1,BW418)*INDEX('Lease Cycles'!$EM$32:$ES$32,1,BW418)+'Lease Cycles'!$BE$32*IF(BW419&lt;INDEX('Lease Cycles'!$FA$32:$FG$32,1,BW418),0,1-INDEX('Lease Cycles'!$EM$32:$ES$32,1,BW418)),IF(OR(INDEX('Lease Cycles'!$DY$32:$EE$32,1,BW418)=1,BW419&gt;0),1,1-INDEX('Lease Cycles'!$DD$32:$DJ$32,1,BW418))*('Lease Cycles'!$AJ$32*INDEX('Lease Cycles'!$FO$32:$FU$32,1,BW418)+'Lease Cycles'!$BE$32*(1-INDEX('Lease Cycles'!$FO$32:$FU$32,1,BW418)))),0)</f>
        <v>0</v>
      </c>
      <c r="BX428" s="24">
        <f>IF(BX420=1,'Lease Cycles'!$D$32*IF(INDEX('Lease Cycles'!$EF$32:$EL$32,1,BX418)=1,'Lease Cycles'!$AJ$32*INDEX('Lease Cycles'!$FO$32:$FU$32,1,BX418)*INDEX('Lease Cycles'!$EM$32:$ES$32,1,BX418)+'Lease Cycles'!$BE$32*IF(BX419&lt;INDEX('Lease Cycles'!$FA$32:$FG$32,1,BX418),0,1-INDEX('Lease Cycles'!$EM$32:$ES$32,1,BX418)),IF(OR(INDEX('Lease Cycles'!$DY$32:$EE$32,1,BX418)=1,BX419&gt;0),1,1-INDEX('Lease Cycles'!$DD$32:$DJ$32,1,BX418))*('Lease Cycles'!$AJ$32*INDEX('Lease Cycles'!$FO$32:$FU$32,1,BX418)+'Lease Cycles'!$BE$32*(1-INDEX('Lease Cycles'!$FO$32:$FU$32,1,BX418)))),0)</f>
        <v>0</v>
      </c>
      <c r="BY428" s="24">
        <f>IF(BY420=1,'Lease Cycles'!$D$32*IF(INDEX('Lease Cycles'!$EF$32:$EL$32,1,BY418)=1,'Lease Cycles'!$AJ$32*INDEX('Lease Cycles'!$FO$32:$FU$32,1,BY418)*INDEX('Lease Cycles'!$EM$32:$ES$32,1,BY418)+'Lease Cycles'!$BE$32*IF(BY419&lt;INDEX('Lease Cycles'!$FA$32:$FG$32,1,BY418),0,1-INDEX('Lease Cycles'!$EM$32:$ES$32,1,BY418)),IF(OR(INDEX('Lease Cycles'!$DY$32:$EE$32,1,BY418)=1,BY419&gt;0),1,1-INDEX('Lease Cycles'!$DD$32:$DJ$32,1,BY418))*('Lease Cycles'!$AJ$32*INDEX('Lease Cycles'!$FO$32:$FU$32,1,BY418)+'Lease Cycles'!$BE$32*(1-INDEX('Lease Cycles'!$FO$32:$FU$32,1,BY418)))),0)</f>
        <v>0</v>
      </c>
      <c r="BZ428" s="24">
        <f>IF(BZ420=1,'Lease Cycles'!$D$32*IF(INDEX('Lease Cycles'!$EF$32:$EL$32,1,BZ418)=1,'Lease Cycles'!$AJ$32*INDEX('Lease Cycles'!$FO$32:$FU$32,1,BZ418)*INDEX('Lease Cycles'!$EM$32:$ES$32,1,BZ418)+'Lease Cycles'!$BE$32*IF(BZ419&lt;INDEX('Lease Cycles'!$FA$32:$FG$32,1,BZ418),0,1-INDEX('Lease Cycles'!$EM$32:$ES$32,1,BZ418)),IF(OR(INDEX('Lease Cycles'!$DY$32:$EE$32,1,BZ418)=1,BZ419&gt;0),1,1-INDEX('Lease Cycles'!$DD$32:$DJ$32,1,BZ418))*('Lease Cycles'!$AJ$32*INDEX('Lease Cycles'!$FO$32:$FU$32,1,BZ418)+'Lease Cycles'!$BE$32*(1-INDEX('Lease Cycles'!$FO$32:$FU$32,1,BZ418)))),0)</f>
        <v>0</v>
      </c>
      <c r="CA428" s="24">
        <f>IF(CA420=1,'Lease Cycles'!$D$32*IF(INDEX('Lease Cycles'!$EF$32:$EL$32,1,CA418)=1,'Lease Cycles'!$AJ$32*INDEX('Lease Cycles'!$FO$32:$FU$32,1,CA418)*INDEX('Lease Cycles'!$EM$32:$ES$32,1,CA418)+'Lease Cycles'!$BE$32*IF(CA419&lt;INDEX('Lease Cycles'!$FA$32:$FG$32,1,CA418),0,1-INDEX('Lease Cycles'!$EM$32:$ES$32,1,CA418)),IF(OR(INDEX('Lease Cycles'!$DY$32:$EE$32,1,CA418)=1,CA419&gt;0),1,1-INDEX('Lease Cycles'!$DD$32:$DJ$32,1,CA418))*('Lease Cycles'!$AJ$32*INDEX('Lease Cycles'!$FO$32:$FU$32,1,CA418)+'Lease Cycles'!$BE$32*(1-INDEX('Lease Cycles'!$FO$32:$FU$32,1,CA418)))),0)</f>
        <v>0</v>
      </c>
      <c r="CB428" s="24">
        <f>IF(CB420=1,'Lease Cycles'!$D$32*IF(INDEX('Lease Cycles'!$EF$32:$EL$32,1,CB418)=1,'Lease Cycles'!$AJ$32*INDEX('Lease Cycles'!$FO$32:$FU$32,1,CB418)*INDEX('Lease Cycles'!$EM$32:$ES$32,1,CB418)+'Lease Cycles'!$BE$32*IF(CB419&lt;INDEX('Lease Cycles'!$FA$32:$FG$32,1,CB418),0,1-INDEX('Lease Cycles'!$EM$32:$ES$32,1,CB418)),IF(OR(INDEX('Lease Cycles'!$DY$32:$EE$32,1,CB418)=1,CB419&gt;0),1,1-INDEX('Lease Cycles'!$DD$32:$DJ$32,1,CB418))*('Lease Cycles'!$AJ$32*INDEX('Lease Cycles'!$FO$32:$FU$32,1,CB418)+'Lease Cycles'!$BE$32*(1-INDEX('Lease Cycles'!$FO$32:$FU$32,1,CB418)))),0)</f>
        <v>0</v>
      </c>
      <c r="CC428" s="24">
        <f>IF(CC420=1,'Lease Cycles'!$D$32*IF(INDEX('Lease Cycles'!$EF$32:$EL$32,1,CC418)=1,'Lease Cycles'!$AJ$32*INDEX('Lease Cycles'!$FO$32:$FU$32,1,CC418)*INDEX('Lease Cycles'!$EM$32:$ES$32,1,CC418)+'Lease Cycles'!$BE$32*IF(CC419&lt;INDEX('Lease Cycles'!$FA$32:$FG$32,1,CC418),0,1-INDEX('Lease Cycles'!$EM$32:$ES$32,1,CC418)),IF(OR(INDEX('Lease Cycles'!$DY$32:$EE$32,1,CC418)=1,CC419&gt;0),1,1-INDEX('Lease Cycles'!$DD$32:$DJ$32,1,CC418))*('Lease Cycles'!$AJ$32*INDEX('Lease Cycles'!$FO$32:$FU$32,1,CC418)+'Lease Cycles'!$BE$32*(1-INDEX('Lease Cycles'!$FO$32:$FU$32,1,CC418)))),0)</f>
        <v>0</v>
      </c>
      <c r="CD428" s="24">
        <f>IF(CD420=1,'Lease Cycles'!$D$32*IF(INDEX('Lease Cycles'!$EF$32:$EL$32,1,CD418)=1,'Lease Cycles'!$AJ$32*INDEX('Lease Cycles'!$FO$32:$FU$32,1,CD418)*INDEX('Lease Cycles'!$EM$32:$ES$32,1,CD418)+'Lease Cycles'!$BE$32*IF(CD419&lt;INDEX('Lease Cycles'!$FA$32:$FG$32,1,CD418),0,1-INDEX('Lease Cycles'!$EM$32:$ES$32,1,CD418)),IF(OR(INDEX('Lease Cycles'!$DY$32:$EE$32,1,CD418)=1,CD419&gt;0),1,1-INDEX('Lease Cycles'!$DD$32:$DJ$32,1,CD418))*('Lease Cycles'!$AJ$32*INDEX('Lease Cycles'!$FO$32:$FU$32,1,CD418)+'Lease Cycles'!$BE$32*(1-INDEX('Lease Cycles'!$FO$32:$FU$32,1,CD418)))),0)</f>
        <v>0</v>
      </c>
      <c r="CE428" s="24">
        <f>IF(CE420=1,'Lease Cycles'!$D$32*IF(INDEX('Lease Cycles'!$EF$32:$EL$32,1,CE418)=1,'Lease Cycles'!$AJ$32*INDEX('Lease Cycles'!$FO$32:$FU$32,1,CE418)*INDEX('Lease Cycles'!$EM$32:$ES$32,1,CE418)+'Lease Cycles'!$BE$32*IF(CE419&lt;INDEX('Lease Cycles'!$FA$32:$FG$32,1,CE418),0,1-INDEX('Lease Cycles'!$EM$32:$ES$32,1,CE418)),IF(OR(INDEX('Lease Cycles'!$DY$32:$EE$32,1,CE418)=1,CE419&gt;0),1,1-INDEX('Lease Cycles'!$DD$32:$DJ$32,1,CE418))*('Lease Cycles'!$AJ$32*INDEX('Lease Cycles'!$FO$32:$FU$32,1,CE418)+'Lease Cycles'!$BE$32*(1-INDEX('Lease Cycles'!$FO$32:$FU$32,1,CE418)))),0)</f>
        <v>0</v>
      </c>
      <c r="CF428" s="24">
        <f>IF(CF420=1,'Lease Cycles'!$D$32*IF(INDEX('Lease Cycles'!$EF$32:$EL$32,1,CF418)=1,'Lease Cycles'!$AJ$32*INDEX('Lease Cycles'!$FO$32:$FU$32,1,CF418)*INDEX('Lease Cycles'!$EM$32:$ES$32,1,CF418)+'Lease Cycles'!$BE$32*IF(CF419&lt;INDEX('Lease Cycles'!$FA$32:$FG$32,1,CF418),0,1-INDEX('Lease Cycles'!$EM$32:$ES$32,1,CF418)),IF(OR(INDEX('Lease Cycles'!$DY$32:$EE$32,1,CF418)=1,CF419&gt;0),1,1-INDEX('Lease Cycles'!$DD$32:$DJ$32,1,CF418))*('Lease Cycles'!$AJ$32*INDEX('Lease Cycles'!$FO$32:$FU$32,1,CF418)+'Lease Cycles'!$BE$32*(1-INDEX('Lease Cycles'!$FO$32:$FU$32,1,CF418)))),0)</f>
        <v>0</v>
      </c>
      <c r="CG428" s="24">
        <f>IF(CG420=1,'Lease Cycles'!$D$32*IF(INDEX('Lease Cycles'!$EF$32:$EL$32,1,CG418)=1,'Lease Cycles'!$AJ$32*INDEX('Lease Cycles'!$FO$32:$FU$32,1,CG418)*INDEX('Lease Cycles'!$EM$32:$ES$32,1,CG418)+'Lease Cycles'!$BE$32*IF(CG419&lt;INDEX('Lease Cycles'!$FA$32:$FG$32,1,CG418),0,1-INDEX('Lease Cycles'!$EM$32:$ES$32,1,CG418)),IF(OR(INDEX('Lease Cycles'!$DY$32:$EE$32,1,CG418)=1,CG419&gt;0),1,1-INDEX('Lease Cycles'!$DD$32:$DJ$32,1,CG418))*('Lease Cycles'!$AJ$32*INDEX('Lease Cycles'!$FO$32:$FU$32,1,CG418)+'Lease Cycles'!$BE$32*(1-INDEX('Lease Cycles'!$FO$32:$FU$32,1,CG418)))),0)</f>
        <v>0</v>
      </c>
      <c r="CH428" s="24">
        <f>IF(CH420=1,'Lease Cycles'!$D$32*IF(INDEX('Lease Cycles'!$EF$32:$EL$32,1,CH418)=1,'Lease Cycles'!$AJ$32*INDEX('Lease Cycles'!$FO$32:$FU$32,1,CH418)*INDEX('Lease Cycles'!$EM$32:$ES$32,1,CH418)+'Lease Cycles'!$BE$32*IF(CH419&lt;INDEX('Lease Cycles'!$FA$32:$FG$32,1,CH418),0,1-INDEX('Lease Cycles'!$EM$32:$ES$32,1,CH418)),IF(OR(INDEX('Lease Cycles'!$DY$32:$EE$32,1,CH418)=1,CH419&gt;0),1,1-INDEX('Lease Cycles'!$DD$32:$DJ$32,1,CH418))*('Lease Cycles'!$AJ$32*INDEX('Lease Cycles'!$FO$32:$FU$32,1,CH418)+'Lease Cycles'!$BE$32*(1-INDEX('Lease Cycles'!$FO$32:$FU$32,1,CH418)))),0)</f>
        <v>0</v>
      </c>
      <c r="CI428" s="24">
        <f>IF(CI420=1,'Lease Cycles'!$D$32*IF(INDEX('Lease Cycles'!$EF$32:$EL$32,1,CI418)=1,'Lease Cycles'!$AJ$32*INDEX('Lease Cycles'!$FO$32:$FU$32,1,CI418)*INDEX('Lease Cycles'!$EM$32:$ES$32,1,CI418)+'Lease Cycles'!$BE$32*IF(CI419&lt;INDEX('Lease Cycles'!$FA$32:$FG$32,1,CI418),0,1-INDEX('Lease Cycles'!$EM$32:$ES$32,1,CI418)),IF(OR(INDEX('Lease Cycles'!$DY$32:$EE$32,1,CI418)=1,CI419&gt;0),1,1-INDEX('Lease Cycles'!$DD$32:$DJ$32,1,CI418))*('Lease Cycles'!$AJ$32*INDEX('Lease Cycles'!$FO$32:$FU$32,1,CI418)+'Lease Cycles'!$BE$32*(1-INDEX('Lease Cycles'!$FO$32:$FU$32,1,CI418)))),0)</f>
        <v>0</v>
      </c>
      <c r="CJ428" s="24">
        <f>IF(CJ420=1,'Lease Cycles'!$D$32*IF(INDEX('Lease Cycles'!$EF$32:$EL$32,1,CJ418)=1,'Lease Cycles'!$AJ$32*INDEX('Lease Cycles'!$FO$32:$FU$32,1,CJ418)*INDEX('Lease Cycles'!$EM$32:$ES$32,1,CJ418)+'Lease Cycles'!$BE$32*IF(CJ419&lt;INDEX('Lease Cycles'!$FA$32:$FG$32,1,CJ418),0,1-INDEX('Lease Cycles'!$EM$32:$ES$32,1,CJ418)),IF(OR(INDEX('Lease Cycles'!$DY$32:$EE$32,1,CJ418)=1,CJ419&gt;0),1,1-INDEX('Lease Cycles'!$DD$32:$DJ$32,1,CJ418))*('Lease Cycles'!$AJ$32*INDEX('Lease Cycles'!$FO$32:$FU$32,1,CJ418)+'Lease Cycles'!$BE$32*(1-INDEX('Lease Cycles'!$FO$32:$FU$32,1,CJ418)))),0)</f>
        <v>0</v>
      </c>
      <c r="CK428" s="24">
        <f>IF(CK420=1,'Lease Cycles'!$D$32*IF(INDEX('Lease Cycles'!$EF$32:$EL$32,1,CK418)=1,'Lease Cycles'!$AJ$32*INDEX('Lease Cycles'!$FO$32:$FU$32,1,CK418)*INDEX('Lease Cycles'!$EM$32:$ES$32,1,CK418)+'Lease Cycles'!$BE$32*IF(CK419&lt;INDEX('Lease Cycles'!$FA$32:$FG$32,1,CK418),0,1-INDEX('Lease Cycles'!$EM$32:$ES$32,1,CK418)),IF(OR(INDEX('Lease Cycles'!$DY$32:$EE$32,1,CK418)=1,CK419&gt;0),1,1-INDEX('Lease Cycles'!$DD$32:$DJ$32,1,CK418))*('Lease Cycles'!$AJ$32*INDEX('Lease Cycles'!$FO$32:$FU$32,1,CK418)+'Lease Cycles'!$BE$32*(1-INDEX('Lease Cycles'!$FO$32:$FU$32,1,CK418)))),0)</f>
        <v>0</v>
      </c>
      <c r="CL428" s="24">
        <f>IF(CL420=1,'Lease Cycles'!$D$32*IF(INDEX('Lease Cycles'!$EF$32:$EL$32,1,CL418)=1,'Lease Cycles'!$AJ$32*INDEX('Lease Cycles'!$FO$32:$FU$32,1,CL418)*INDEX('Lease Cycles'!$EM$32:$ES$32,1,CL418)+'Lease Cycles'!$BE$32*IF(CL419&lt;INDEX('Lease Cycles'!$FA$32:$FG$32,1,CL418),0,1-INDEX('Lease Cycles'!$EM$32:$ES$32,1,CL418)),IF(OR(INDEX('Lease Cycles'!$DY$32:$EE$32,1,CL418)=1,CL419&gt;0),1,1-INDEX('Lease Cycles'!$DD$32:$DJ$32,1,CL418))*('Lease Cycles'!$AJ$32*INDEX('Lease Cycles'!$FO$32:$FU$32,1,CL418)+'Lease Cycles'!$BE$32*(1-INDEX('Lease Cycles'!$FO$32:$FU$32,1,CL418)))),0)</f>
        <v>0</v>
      </c>
      <c r="CM428" s="24">
        <f>IF(CM420=1,'Lease Cycles'!$D$32*IF(INDEX('Lease Cycles'!$EF$32:$EL$32,1,CM418)=1,'Lease Cycles'!$AJ$32*INDEX('Lease Cycles'!$FO$32:$FU$32,1,CM418)*INDEX('Lease Cycles'!$EM$32:$ES$32,1,CM418)+'Lease Cycles'!$BE$32*IF(CM419&lt;INDEX('Lease Cycles'!$FA$32:$FG$32,1,CM418),0,1-INDEX('Lease Cycles'!$EM$32:$ES$32,1,CM418)),IF(OR(INDEX('Lease Cycles'!$DY$32:$EE$32,1,CM418)=1,CM419&gt;0),1,1-INDEX('Lease Cycles'!$DD$32:$DJ$32,1,CM418))*('Lease Cycles'!$AJ$32*INDEX('Lease Cycles'!$FO$32:$FU$32,1,CM418)+'Lease Cycles'!$BE$32*(1-INDEX('Lease Cycles'!$FO$32:$FU$32,1,CM418)))),0)</f>
        <v>0</v>
      </c>
      <c r="CN428" s="24">
        <f>IF(CN420=1,'Lease Cycles'!$D$32*IF(INDEX('Lease Cycles'!$EF$32:$EL$32,1,CN418)=1,'Lease Cycles'!$AJ$32*INDEX('Lease Cycles'!$FO$32:$FU$32,1,CN418)*INDEX('Lease Cycles'!$EM$32:$ES$32,1,CN418)+'Lease Cycles'!$BE$32*IF(CN419&lt;INDEX('Lease Cycles'!$FA$32:$FG$32,1,CN418),0,1-INDEX('Lease Cycles'!$EM$32:$ES$32,1,CN418)),IF(OR(INDEX('Lease Cycles'!$DY$32:$EE$32,1,CN418)=1,CN419&gt;0),1,1-INDEX('Lease Cycles'!$DD$32:$DJ$32,1,CN418))*('Lease Cycles'!$AJ$32*INDEX('Lease Cycles'!$FO$32:$FU$32,1,CN418)+'Lease Cycles'!$BE$32*(1-INDEX('Lease Cycles'!$FO$32:$FU$32,1,CN418)))),0)</f>
        <v>0</v>
      </c>
      <c r="CO428" s="24">
        <f>IF(CO420=1,'Lease Cycles'!$D$32*IF(INDEX('Lease Cycles'!$EF$32:$EL$32,1,CO418)=1,'Lease Cycles'!$AJ$32*INDEX('Lease Cycles'!$FO$32:$FU$32,1,CO418)*INDEX('Lease Cycles'!$EM$32:$ES$32,1,CO418)+'Lease Cycles'!$BE$32*IF(CO419&lt;INDEX('Lease Cycles'!$FA$32:$FG$32,1,CO418),0,1-INDEX('Lease Cycles'!$EM$32:$ES$32,1,CO418)),IF(OR(INDEX('Lease Cycles'!$DY$32:$EE$32,1,CO418)=1,CO419&gt;0),1,1-INDEX('Lease Cycles'!$DD$32:$DJ$32,1,CO418))*('Lease Cycles'!$AJ$32*INDEX('Lease Cycles'!$FO$32:$FU$32,1,CO418)+'Lease Cycles'!$BE$32*(1-INDEX('Lease Cycles'!$FO$32:$FU$32,1,CO418)))),0)</f>
        <v>0</v>
      </c>
      <c r="CP428" s="24">
        <f>IF(CP420=1,'Lease Cycles'!$D$32*IF(INDEX('Lease Cycles'!$EF$32:$EL$32,1,CP418)=1,'Lease Cycles'!$AJ$32*INDEX('Lease Cycles'!$FO$32:$FU$32,1,CP418)*INDEX('Lease Cycles'!$EM$32:$ES$32,1,CP418)+'Lease Cycles'!$BE$32*IF(CP419&lt;INDEX('Lease Cycles'!$FA$32:$FG$32,1,CP418),0,1-INDEX('Lease Cycles'!$EM$32:$ES$32,1,CP418)),IF(OR(INDEX('Lease Cycles'!$DY$32:$EE$32,1,CP418)=1,CP419&gt;0),1,1-INDEX('Lease Cycles'!$DD$32:$DJ$32,1,CP418))*('Lease Cycles'!$AJ$32*INDEX('Lease Cycles'!$FO$32:$FU$32,1,CP418)+'Lease Cycles'!$BE$32*(1-INDEX('Lease Cycles'!$FO$32:$FU$32,1,CP418)))),0)</f>
        <v>0</v>
      </c>
      <c r="CQ428" s="24">
        <f>IF(CQ420=1,'Lease Cycles'!$D$32*IF(INDEX('Lease Cycles'!$EF$32:$EL$32,1,CQ418)=1,'Lease Cycles'!$AJ$32*INDEX('Lease Cycles'!$FO$32:$FU$32,1,CQ418)*INDEX('Lease Cycles'!$EM$32:$ES$32,1,CQ418)+'Lease Cycles'!$BE$32*IF(CQ419&lt;INDEX('Lease Cycles'!$FA$32:$FG$32,1,CQ418),0,1-INDEX('Lease Cycles'!$EM$32:$ES$32,1,CQ418)),IF(OR(INDEX('Lease Cycles'!$DY$32:$EE$32,1,CQ418)=1,CQ419&gt;0),1,1-INDEX('Lease Cycles'!$DD$32:$DJ$32,1,CQ418))*('Lease Cycles'!$AJ$32*INDEX('Lease Cycles'!$FO$32:$FU$32,1,CQ418)+'Lease Cycles'!$BE$32*(1-INDEX('Lease Cycles'!$FO$32:$FU$32,1,CQ418)))),0)</f>
        <v>0</v>
      </c>
      <c r="CR428" s="24">
        <f>IF(CR420=1,'Lease Cycles'!$D$32*IF(INDEX('Lease Cycles'!$EF$32:$EL$32,1,CR418)=1,'Lease Cycles'!$AJ$32*INDEX('Lease Cycles'!$FO$32:$FU$32,1,CR418)*INDEX('Lease Cycles'!$EM$32:$ES$32,1,CR418)+'Lease Cycles'!$BE$32*IF(CR419&lt;INDEX('Lease Cycles'!$FA$32:$FG$32,1,CR418),0,1-INDEX('Lease Cycles'!$EM$32:$ES$32,1,CR418)),IF(OR(INDEX('Lease Cycles'!$DY$32:$EE$32,1,CR418)=1,CR419&gt;0),1,1-INDEX('Lease Cycles'!$DD$32:$DJ$32,1,CR418))*('Lease Cycles'!$AJ$32*INDEX('Lease Cycles'!$FO$32:$FU$32,1,CR418)+'Lease Cycles'!$BE$32*(1-INDEX('Lease Cycles'!$FO$32:$FU$32,1,CR418)))),0)</f>
        <v>0</v>
      </c>
      <c r="CS428" s="24">
        <f>IF(CS420=1,'Lease Cycles'!$D$32*IF(INDEX('Lease Cycles'!$EF$32:$EL$32,1,CS418)=1,'Lease Cycles'!$AJ$32*INDEX('Lease Cycles'!$FO$32:$FU$32,1,CS418)*INDEX('Lease Cycles'!$EM$32:$ES$32,1,CS418)+'Lease Cycles'!$BE$32*IF(CS419&lt;INDEX('Lease Cycles'!$FA$32:$FG$32,1,CS418),0,1-INDEX('Lease Cycles'!$EM$32:$ES$32,1,CS418)),IF(OR(INDEX('Lease Cycles'!$DY$32:$EE$32,1,CS418)=1,CS419&gt;0),1,1-INDEX('Lease Cycles'!$DD$32:$DJ$32,1,CS418))*('Lease Cycles'!$AJ$32*INDEX('Lease Cycles'!$FO$32:$FU$32,1,CS418)+'Lease Cycles'!$BE$32*(1-INDEX('Lease Cycles'!$FO$32:$FU$32,1,CS418)))),0)</f>
        <v>0</v>
      </c>
      <c r="CT428" s="24">
        <f>IF(CT420=1,'Lease Cycles'!$D$32*IF(INDEX('Lease Cycles'!$EF$32:$EL$32,1,CT418)=1,'Lease Cycles'!$AJ$32*INDEX('Lease Cycles'!$FO$32:$FU$32,1,CT418)*INDEX('Lease Cycles'!$EM$32:$ES$32,1,CT418)+'Lease Cycles'!$BE$32*IF(CT419&lt;INDEX('Lease Cycles'!$FA$32:$FG$32,1,CT418),0,1-INDEX('Lease Cycles'!$EM$32:$ES$32,1,CT418)),IF(OR(INDEX('Lease Cycles'!$DY$32:$EE$32,1,CT418)=1,CT419&gt;0),1,1-INDEX('Lease Cycles'!$DD$32:$DJ$32,1,CT418))*('Lease Cycles'!$AJ$32*INDEX('Lease Cycles'!$FO$32:$FU$32,1,CT418)+'Lease Cycles'!$BE$32*(1-INDEX('Lease Cycles'!$FO$32:$FU$32,1,CT418)))),0)</f>
        <v>0</v>
      </c>
      <c r="CU428" s="24">
        <f>IF(CU420=1,'Lease Cycles'!$D$32*IF(INDEX('Lease Cycles'!$EF$32:$EL$32,1,CU418)=1,'Lease Cycles'!$AJ$32*INDEX('Lease Cycles'!$FO$32:$FU$32,1,CU418)*INDEX('Lease Cycles'!$EM$32:$ES$32,1,CU418)+'Lease Cycles'!$BE$32*IF(CU419&lt;INDEX('Lease Cycles'!$FA$32:$FG$32,1,CU418),0,1-INDEX('Lease Cycles'!$EM$32:$ES$32,1,CU418)),IF(OR(INDEX('Lease Cycles'!$DY$32:$EE$32,1,CU418)=1,CU419&gt;0),1,1-INDEX('Lease Cycles'!$DD$32:$DJ$32,1,CU418))*('Lease Cycles'!$AJ$32*INDEX('Lease Cycles'!$FO$32:$FU$32,1,CU418)+'Lease Cycles'!$BE$32*(1-INDEX('Lease Cycles'!$FO$32:$FU$32,1,CU418)))),0)</f>
        <v>0</v>
      </c>
      <c r="CV428" s="24">
        <f>IF(CV420=1,'Lease Cycles'!$D$32*IF(INDEX('Lease Cycles'!$EF$32:$EL$32,1,CV418)=1,'Lease Cycles'!$AJ$32*INDEX('Lease Cycles'!$FO$32:$FU$32,1,CV418)*INDEX('Lease Cycles'!$EM$32:$ES$32,1,CV418)+'Lease Cycles'!$BE$32*IF(CV419&lt;INDEX('Lease Cycles'!$FA$32:$FG$32,1,CV418),0,1-INDEX('Lease Cycles'!$EM$32:$ES$32,1,CV418)),IF(OR(INDEX('Lease Cycles'!$DY$32:$EE$32,1,CV418)=1,CV419&gt;0),1,1-INDEX('Lease Cycles'!$DD$32:$DJ$32,1,CV418))*('Lease Cycles'!$AJ$32*INDEX('Lease Cycles'!$FO$32:$FU$32,1,CV418)+'Lease Cycles'!$BE$32*(1-INDEX('Lease Cycles'!$FO$32:$FU$32,1,CV418)))),0)</f>
        <v>0</v>
      </c>
      <c r="CW428" s="24">
        <f>IF(CW420=1,'Lease Cycles'!$D$32*IF(INDEX('Lease Cycles'!$EF$32:$EL$32,1,CW418)=1,'Lease Cycles'!$AJ$32*INDEX('Lease Cycles'!$FO$32:$FU$32,1,CW418)*INDEX('Lease Cycles'!$EM$32:$ES$32,1,CW418)+'Lease Cycles'!$BE$32*IF(CW419&lt;INDEX('Lease Cycles'!$FA$32:$FG$32,1,CW418),0,1-INDEX('Lease Cycles'!$EM$32:$ES$32,1,CW418)),IF(OR(INDEX('Lease Cycles'!$DY$32:$EE$32,1,CW418)=1,CW419&gt;0),1,1-INDEX('Lease Cycles'!$DD$32:$DJ$32,1,CW418))*('Lease Cycles'!$AJ$32*INDEX('Lease Cycles'!$FO$32:$FU$32,1,CW418)+'Lease Cycles'!$BE$32*(1-INDEX('Lease Cycles'!$FO$32:$FU$32,1,CW418)))),0)</f>
        <v>0</v>
      </c>
      <c r="CX428" s="24">
        <f>IF(CX420=1,'Lease Cycles'!$D$32*IF(INDEX('Lease Cycles'!$EF$32:$EL$32,1,CX418)=1,'Lease Cycles'!$AJ$32*INDEX('Lease Cycles'!$FO$32:$FU$32,1,CX418)*INDEX('Lease Cycles'!$EM$32:$ES$32,1,CX418)+'Lease Cycles'!$BE$32*IF(CX419&lt;INDEX('Lease Cycles'!$FA$32:$FG$32,1,CX418),0,1-INDEX('Lease Cycles'!$EM$32:$ES$32,1,CX418)),IF(OR(INDEX('Lease Cycles'!$DY$32:$EE$32,1,CX418)=1,CX419&gt;0),1,1-INDEX('Lease Cycles'!$DD$32:$DJ$32,1,CX418))*('Lease Cycles'!$AJ$32*INDEX('Lease Cycles'!$FO$32:$FU$32,1,CX418)+'Lease Cycles'!$BE$32*(1-INDEX('Lease Cycles'!$FO$32:$FU$32,1,CX418)))),0)</f>
        <v>0</v>
      </c>
      <c r="CY428" s="24">
        <f>IF(CY420=1,'Lease Cycles'!$D$32*IF(INDEX('Lease Cycles'!$EF$32:$EL$32,1,CY418)=1,'Lease Cycles'!$AJ$32*INDEX('Lease Cycles'!$FO$32:$FU$32,1,CY418)*INDEX('Lease Cycles'!$EM$32:$ES$32,1,CY418)+'Lease Cycles'!$BE$32*IF(CY419&lt;INDEX('Lease Cycles'!$FA$32:$FG$32,1,CY418),0,1-INDEX('Lease Cycles'!$EM$32:$ES$32,1,CY418)),IF(OR(INDEX('Lease Cycles'!$DY$32:$EE$32,1,CY418)=1,CY419&gt;0),1,1-INDEX('Lease Cycles'!$DD$32:$DJ$32,1,CY418))*('Lease Cycles'!$AJ$32*INDEX('Lease Cycles'!$FO$32:$FU$32,1,CY418)+'Lease Cycles'!$BE$32*(1-INDEX('Lease Cycles'!$FO$32:$FU$32,1,CY418)))),0)</f>
        <v>0</v>
      </c>
      <c r="CZ428" s="24">
        <f>IF(CZ420=1,'Lease Cycles'!$D$32*IF(INDEX('Lease Cycles'!$EF$32:$EL$32,1,CZ418)=1,'Lease Cycles'!$AJ$32*INDEX('Lease Cycles'!$FO$32:$FU$32,1,CZ418)*INDEX('Lease Cycles'!$EM$32:$ES$32,1,CZ418)+'Lease Cycles'!$BE$32*IF(CZ419&lt;INDEX('Lease Cycles'!$FA$32:$FG$32,1,CZ418),0,1-INDEX('Lease Cycles'!$EM$32:$ES$32,1,CZ418)),IF(OR(INDEX('Lease Cycles'!$DY$32:$EE$32,1,CZ418)=1,CZ419&gt;0),1,1-INDEX('Lease Cycles'!$DD$32:$DJ$32,1,CZ418))*('Lease Cycles'!$AJ$32*INDEX('Lease Cycles'!$FO$32:$FU$32,1,CZ418)+'Lease Cycles'!$BE$32*(1-INDEX('Lease Cycles'!$FO$32:$FU$32,1,CZ418)))),0)</f>
        <v>0</v>
      </c>
      <c r="DA428" s="24">
        <f>IF(DA420=1,'Lease Cycles'!$D$32*IF(INDEX('Lease Cycles'!$EF$32:$EL$32,1,DA418)=1,'Lease Cycles'!$AJ$32*INDEX('Lease Cycles'!$FO$32:$FU$32,1,DA418)*INDEX('Lease Cycles'!$EM$32:$ES$32,1,DA418)+'Lease Cycles'!$BE$32*IF(DA419&lt;INDEX('Lease Cycles'!$FA$32:$FG$32,1,DA418),0,1-INDEX('Lease Cycles'!$EM$32:$ES$32,1,DA418)),IF(OR(INDEX('Lease Cycles'!$DY$32:$EE$32,1,DA418)=1,DA419&gt;0),1,1-INDEX('Lease Cycles'!$DD$32:$DJ$32,1,DA418))*('Lease Cycles'!$AJ$32*INDEX('Lease Cycles'!$FO$32:$FU$32,1,DA418)+'Lease Cycles'!$BE$32*(1-INDEX('Lease Cycles'!$FO$32:$FU$32,1,DA418)))),0)</f>
        <v>0</v>
      </c>
      <c r="DB428" s="24">
        <f>IF(DB420=1,'Lease Cycles'!$D$32*IF(INDEX('Lease Cycles'!$EF$32:$EL$32,1,DB418)=1,'Lease Cycles'!$AJ$32*INDEX('Lease Cycles'!$FO$32:$FU$32,1,DB418)*INDEX('Lease Cycles'!$EM$32:$ES$32,1,DB418)+'Lease Cycles'!$BE$32*IF(DB419&lt;INDEX('Lease Cycles'!$FA$32:$FG$32,1,DB418),0,1-INDEX('Lease Cycles'!$EM$32:$ES$32,1,DB418)),IF(OR(INDEX('Lease Cycles'!$DY$32:$EE$32,1,DB418)=1,DB419&gt;0),1,1-INDEX('Lease Cycles'!$DD$32:$DJ$32,1,DB418))*('Lease Cycles'!$AJ$32*INDEX('Lease Cycles'!$FO$32:$FU$32,1,DB418)+'Lease Cycles'!$BE$32*(1-INDEX('Lease Cycles'!$FO$32:$FU$32,1,DB418)))),0)</f>
        <v>0</v>
      </c>
      <c r="DC428" s="24">
        <f>IF(DC420=1,'Lease Cycles'!$D$32*IF(INDEX('Lease Cycles'!$EF$32:$EL$32,1,DC418)=1,'Lease Cycles'!$AJ$32*INDEX('Lease Cycles'!$FO$32:$FU$32,1,DC418)*INDEX('Lease Cycles'!$EM$32:$ES$32,1,DC418)+'Lease Cycles'!$BE$32*IF(DC419&lt;INDEX('Lease Cycles'!$FA$32:$FG$32,1,DC418),0,1-INDEX('Lease Cycles'!$EM$32:$ES$32,1,DC418)),IF(OR(INDEX('Lease Cycles'!$DY$32:$EE$32,1,DC418)=1,DC419&gt;0),1,1-INDEX('Lease Cycles'!$DD$32:$DJ$32,1,DC418))*('Lease Cycles'!$AJ$32*INDEX('Lease Cycles'!$FO$32:$FU$32,1,DC418)+'Lease Cycles'!$BE$32*(1-INDEX('Lease Cycles'!$FO$32:$FU$32,1,DC418)))),0)</f>
        <v>0</v>
      </c>
      <c r="DD428" s="24">
        <f>IF(DD420=1,'Lease Cycles'!$D$32*IF(INDEX('Lease Cycles'!$EF$32:$EL$32,1,DD418)=1,'Lease Cycles'!$AJ$32*INDEX('Lease Cycles'!$FO$32:$FU$32,1,DD418)*INDEX('Lease Cycles'!$EM$32:$ES$32,1,DD418)+'Lease Cycles'!$BE$32*IF(DD419&lt;INDEX('Lease Cycles'!$FA$32:$FG$32,1,DD418),0,1-INDEX('Lease Cycles'!$EM$32:$ES$32,1,DD418)),IF(OR(INDEX('Lease Cycles'!$DY$32:$EE$32,1,DD418)=1,DD419&gt;0),1,1-INDEX('Lease Cycles'!$DD$32:$DJ$32,1,DD418))*('Lease Cycles'!$AJ$32*INDEX('Lease Cycles'!$FO$32:$FU$32,1,DD418)+'Lease Cycles'!$BE$32*(1-INDEX('Lease Cycles'!$FO$32:$FU$32,1,DD418)))),0)</f>
        <v>0</v>
      </c>
      <c r="DE428" s="24">
        <f>IF(DE420=1,'Lease Cycles'!$D$32*IF(INDEX('Lease Cycles'!$EF$32:$EL$32,1,DE418)=1,'Lease Cycles'!$AJ$32*INDEX('Lease Cycles'!$FO$32:$FU$32,1,DE418)*INDEX('Lease Cycles'!$EM$32:$ES$32,1,DE418)+'Lease Cycles'!$BE$32*IF(DE419&lt;INDEX('Lease Cycles'!$FA$32:$FG$32,1,DE418),0,1-INDEX('Lease Cycles'!$EM$32:$ES$32,1,DE418)),IF(OR(INDEX('Lease Cycles'!$DY$32:$EE$32,1,DE418)=1,DE419&gt;0),1,1-INDEX('Lease Cycles'!$DD$32:$DJ$32,1,DE418))*('Lease Cycles'!$AJ$32*INDEX('Lease Cycles'!$FO$32:$FU$32,1,DE418)+'Lease Cycles'!$BE$32*(1-INDEX('Lease Cycles'!$FO$32:$FU$32,1,DE418)))),0)</f>
        <v>0</v>
      </c>
      <c r="DF428" s="24">
        <f>IF(DF420=1,'Lease Cycles'!$D$32*IF(INDEX('Lease Cycles'!$EF$32:$EL$32,1,DF418)=1,'Lease Cycles'!$AJ$32*INDEX('Lease Cycles'!$FO$32:$FU$32,1,DF418)*INDEX('Lease Cycles'!$EM$32:$ES$32,1,DF418)+'Lease Cycles'!$BE$32*IF(DF419&lt;INDEX('Lease Cycles'!$FA$32:$FG$32,1,DF418),0,1-INDEX('Lease Cycles'!$EM$32:$ES$32,1,DF418)),IF(OR(INDEX('Lease Cycles'!$DY$32:$EE$32,1,DF418)=1,DF419&gt;0),1,1-INDEX('Lease Cycles'!$DD$32:$DJ$32,1,DF418))*('Lease Cycles'!$AJ$32*INDEX('Lease Cycles'!$FO$32:$FU$32,1,DF418)+'Lease Cycles'!$BE$32*(1-INDEX('Lease Cycles'!$FO$32:$FU$32,1,DF418)))),0)</f>
        <v>0</v>
      </c>
      <c r="DG428" s="24">
        <f>IF(DG420=1,'Lease Cycles'!$D$32*IF(INDEX('Lease Cycles'!$EF$32:$EL$32,1,DG418)=1,'Lease Cycles'!$AJ$32*INDEX('Lease Cycles'!$FO$32:$FU$32,1,DG418)*INDEX('Lease Cycles'!$EM$32:$ES$32,1,DG418)+'Lease Cycles'!$BE$32*IF(DG419&lt;INDEX('Lease Cycles'!$FA$32:$FG$32,1,DG418),0,1-INDEX('Lease Cycles'!$EM$32:$ES$32,1,DG418)),IF(OR(INDEX('Lease Cycles'!$DY$32:$EE$32,1,DG418)=1,DG419&gt;0),1,1-INDEX('Lease Cycles'!$DD$32:$DJ$32,1,DG418))*('Lease Cycles'!$AJ$32*INDEX('Lease Cycles'!$FO$32:$FU$32,1,DG418)+'Lease Cycles'!$BE$32*(1-INDEX('Lease Cycles'!$FO$32:$FU$32,1,DG418)))),0)</f>
        <v>0</v>
      </c>
      <c r="DH428" s="24">
        <f>IF(DH420=1,'Lease Cycles'!$D$32*IF(INDEX('Lease Cycles'!$EF$32:$EL$32,1,DH418)=1,'Lease Cycles'!$AJ$32*INDEX('Lease Cycles'!$FO$32:$FU$32,1,DH418)*INDEX('Lease Cycles'!$EM$32:$ES$32,1,DH418)+'Lease Cycles'!$BE$32*IF(DH419&lt;INDEX('Lease Cycles'!$FA$32:$FG$32,1,DH418),0,1-INDEX('Lease Cycles'!$EM$32:$ES$32,1,DH418)),IF(OR(INDEX('Lease Cycles'!$DY$32:$EE$32,1,DH418)=1,DH419&gt;0),1,1-INDEX('Lease Cycles'!$DD$32:$DJ$32,1,DH418))*('Lease Cycles'!$AJ$32*INDEX('Lease Cycles'!$FO$32:$FU$32,1,DH418)+'Lease Cycles'!$BE$32*(1-INDEX('Lease Cycles'!$FO$32:$FU$32,1,DH418)))),0)</f>
        <v>0</v>
      </c>
      <c r="DI428" s="24">
        <f>IF(DI420=1,'Lease Cycles'!$D$32*IF(INDEX('Lease Cycles'!$EF$32:$EL$32,1,DI418)=1,'Lease Cycles'!$AJ$32*INDEX('Lease Cycles'!$FO$32:$FU$32,1,DI418)*INDEX('Lease Cycles'!$EM$32:$ES$32,1,DI418)+'Lease Cycles'!$BE$32*IF(DI419&lt;INDEX('Lease Cycles'!$FA$32:$FG$32,1,DI418),0,1-INDEX('Lease Cycles'!$EM$32:$ES$32,1,DI418)),IF(OR(INDEX('Lease Cycles'!$DY$32:$EE$32,1,DI418)=1,DI419&gt;0),1,1-INDEX('Lease Cycles'!$DD$32:$DJ$32,1,DI418))*('Lease Cycles'!$AJ$32*INDEX('Lease Cycles'!$FO$32:$FU$32,1,DI418)+'Lease Cycles'!$BE$32*(1-INDEX('Lease Cycles'!$FO$32:$FU$32,1,DI418)))),0)</f>
        <v>0</v>
      </c>
      <c r="DJ428" s="24">
        <f>IF(DJ420=1,'Lease Cycles'!$D$32*IF(INDEX('Lease Cycles'!$EF$32:$EL$32,1,DJ418)=1,'Lease Cycles'!$AJ$32*INDEX('Lease Cycles'!$FO$32:$FU$32,1,DJ418)*INDEX('Lease Cycles'!$EM$32:$ES$32,1,DJ418)+'Lease Cycles'!$BE$32*IF(DJ419&lt;INDEX('Lease Cycles'!$FA$32:$FG$32,1,DJ418),0,1-INDEX('Lease Cycles'!$EM$32:$ES$32,1,DJ418)),IF(OR(INDEX('Lease Cycles'!$DY$32:$EE$32,1,DJ418)=1,DJ419&gt;0),1,1-INDEX('Lease Cycles'!$DD$32:$DJ$32,1,DJ418))*('Lease Cycles'!$AJ$32*INDEX('Lease Cycles'!$FO$32:$FU$32,1,DJ418)+'Lease Cycles'!$BE$32*(1-INDEX('Lease Cycles'!$FO$32:$FU$32,1,DJ418)))),0)</f>
        <v>0</v>
      </c>
      <c r="DK428" s="24">
        <f>IF(DK420=1,'Lease Cycles'!$D$32*IF(INDEX('Lease Cycles'!$EF$32:$EL$32,1,DK418)=1,'Lease Cycles'!$AJ$32*INDEX('Lease Cycles'!$FO$32:$FU$32,1,DK418)*INDEX('Lease Cycles'!$EM$32:$ES$32,1,DK418)+'Lease Cycles'!$BE$32*IF(DK419&lt;INDEX('Lease Cycles'!$FA$32:$FG$32,1,DK418),0,1-INDEX('Lease Cycles'!$EM$32:$ES$32,1,DK418)),IF(OR(INDEX('Lease Cycles'!$DY$32:$EE$32,1,DK418)=1,DK419&gt;0),1,1-INDEX('Lease Cycles'!$DD$32:$DJ$32,1,DK418))*('Lease Cycles'!$AJ$32*INDEX('Lease Cycles'!$FO$32:$FU$32,1,DK418)+'Lease Cycles'!$BE$32*(1-INDEX('Lease Cycles'!$FO$32:$FU$32,1,DK418)))),0)</f>
        <v>0</v>
      </c>
      <c r="DL428" s="24">
        <f>IF(DL420=1,'Lease Cycles'!$D$32*IF(INDEX('Lease Cycles'!$EF$32:$EL$32,1,DL418)=1,'Lease Cycles'!$AJ$32*INDEX('Lease Cycles'!$FO$32:$FU$32,1,DL418)*INDEX('Lease Cycles'!$EM$32:$ES$32,1,DL418)+'Lease Cycles'!$BE$32*IF(DL419&lt;INDEX('Lease Cycles'!$FA$32:$FG$32,1,DL418),0,1-INDEX('Lease Cycles'!$EM$32:$ES$32,1,DL418)),IF(OR(INDEX('Lease Cycles'!$DY$32:$EE$32,1,DL418)=1,DL419&gt;0),1,1-INDEX('Lease Cycles'!$DD$32:$DJ$32,1,DL418))*('Lease Cycles'!$AJ$32*INDEX('Lease Cycles'!$FO$32:$FU$32,1,DL418)+'Lease Cycles'!$BE$32*(1-INDEX('Lease Cycles'!$FO$32:$FU$32,1,DL418)))),0)</f>
        <v>0</v>
      </c>
      <c r="DM428" s="24">
        <f>IF(DM420=1,'Lease Cycles'!$D$32*IF(INDEX('Lease Cycles'!$EF$32:$EL$32,1,DM418)=1,'Lease Cycles'!$AJ$32*INDEX('Lease Cycles'!$FO$32:$FU$32,1,DM418)*INDEX('Lease Cycles'!$EM$32:$ES$32,1,DM418)+'Lease Cycles'!$BE$32*IF(DM419&lt;INDEX('Lease Cycles'!$FA$32:$FG$32,1,DM418),0,1-INDEX('Lease Cycles'!$EM$32:$ES$32,1,DM418)),IF(OR(INDEX('Lease Cycles'!$DY$32:$EE$32,1,DM418)=1,DM419&gt;0),1,1-INDEX('Lease Cycles'!$DD$32:$DJ$32,1,DM418))*('Lease Cycles'!$AJ$32*INDEX('Lease Cycles'!$FO$32:$FU$32,1,DM418)+'Lease Cycles'!$BE$32*(1-INDEX('Lease Cycles'!$FO$32:$FU$32,1,DM418)))),0)</f>
        <v>0</v>
      </c>
      <c r="DN428" s="24">
        <f>IF(DN420=1,'Lease Cycles'!$D$32*IF(INDEX('Lease Cycles'!$EF$32:$EL$32,1,DN418)=1,'Lease Cycles'!$AJ$32*INDEX('Lease Cycles'!$FO$32:$FU$32,1,DN418)*INDEX('Lease Cycles'!$EM$32:$ES$32,1,DN418)+'Lease Cycles'!$BE$32*IF(DN419&lt;INDEX('Lease Cycles'!$FA$32:$FG$32,1,DN418),0,1-INDEX('Lease Cycles'!$EM$32:$ES$32,1,DN418)),IF(OR(INDEX('Lease Cycles'!$DY$32:$EE$32,1,DN418)=1,DN419&gt;0),1,1-INDEX('Lease Cycles'!$DD$32:$DJ$32,1,DN418))*('Lease Cycles'!$AJ$32*INDEX('Lease Cycles'!$FO$32:$FU$32,1,DN418)+'Lease Cycles'!$BE$32*(1-INDEX('Lease Cycles'!$FO$32:$FU$32,1,DN418)))),0)</f>
        <v>0</v>
      </c>
      <c r="DO428" s="24">
        <f>IF(DO420=1,'Lease Cycles'!$D$32*IF(INDEX('Lease Cycles'!$EF$32:$EL$32,1,DO418)=1,'Lease Cycles'!$AJ$32*INDEX('Lease Cycles'!$FO$32:$FU$32,1,DO418)*INDEX('Lease Cycles'!$EM$32:$ES$32,1,DO418)+'Lease Cycles'!$BE$32*IF(DO419&lt;INDEX('Lease Cycles'!$FA$32:$FG$32,1,DO418),0,1-INDEX('Lease Cycles'!$EM$32:$ES$32,1,DO418)),IF(OR(INDEX('Lease Cycles'!$DY$32:$EE$32,1,DO418)=1,DO419&gt;0),1,1-INDEX('Lease Cycles'!$DD$32:$DJ$32,1,DO418))*('Lease Cycles'!$AJ$32*INDEX('Lease Cycles'!$FO$32:$FU$32,1,DO418)+'Lease Cycles'!$BE$32*(1-INDEX('Lease Cycles'!$FO$32:$FU$32,1,DO418)))),0)</f>
        <v>0</v>
      </c>
      <c r="DP428" s="24">
        <f>IF(DP420=1,'Lease Cycles'!$D$32*IF(INDEX('Lease Cycles'!$EF$32:$EL$32,1,DP418)=1,'Lease Cycles'!$AJ$32*INDEX('Lease Cycles'!$FO$32:$FU$32,1,DP418)*INDEX('Lease Cycles'!$EM$32:$ES$32,1,DP418)+'Lease Cycles'!$BE$32*IF(DP419&lt;INDEX('Lease Cycles'!$FA$32:$FG$32,1,DP418),0,1-INDEX('Lease Cycles'!$EM$32:$ES$32,1,DP418)),IF(OR(INDEX('Lease Cycles'!$DY$32:$EE$32,1,DP418)=1,DP419&gt;0),1,1-INDEX('Lease Cycles'!$DD$32:$DJ$32,1,DP418))*('Lease Cycles'!$AJ$32*INDEX('Lease Cycles'!$FO$32:$FU$32,1,DP418)+'Lease Cycles'!$BE$32*(1-INDEX('Lease Cycles'!$FO$32:$FU$32,1,DP418)))),0)</f>
        <v>0</v>
      </c>
      <c r="DQ428" s="24">
        <f>IF(DQ420=1,'Lease Cycles'!$D$32*IF(INDEX('Lease Cycles'!$EF$32:$EL$32,1,DQ418)=1,'Lease Cycles'!$AJ$32*INDEX('Lease Cycles'!$FO$32:$FU$32,1,DQ418)*INDEX('Lease Cycles'!$EM$32:$ES$32,1,DQ418)+'Lease Cycles'!$BE$32*IF(DQ419&lt;INDEX('Lease Cycles'!$FA$32:$FG$32,1,DQ418),0,1-INDEX('Lease Cycles'!$EM$32:$ES$32,1,DQ418)),IF(OR(INDEX('Lease Cycles'!$DY$32:$EE$32,1,DQ418)=1,DQ419&gt;0),1,1-INDEX('Lease Cycles'!$DD$32:$DJ$32,1,DQ418))*('Lease Cycles'!$AJ$32*INDEX('Lease Cycles'!$FO$32:$FU$32,1,DQ418)+'Lease Cycles'!$BE$32*(1-INDEX('Lease Cycles'!$FO$32:$FU$32,1,DQ418)))),0)</f>
        <v>0</v>
      </c>
      <c r="DR428" s="24">
        <f>IF(DR420=1,'Lease Cycles'!$D$32*IF(INDEX('Lease Cycles'!$EF$32:$EL$32,1,DR418)=1,'Lease Cycles'!$AJ$32*INDEX('Lease Cycles'!$FO$32:$FU$32,1,DR418)*INDEX('Lease Cycles'!$EM$32:$ES$32,1,DR418)+'Lease Cycles'!$BE$32*IF(DR419&lt;INDEX('Lease Cycles'!$FA$32:$FG$32,1,DR418),0,1-INDEX('Lease Cycles'!$EM$32:$ES$32,1,DR418)),IF(OR(INDEX('Lease Cycles'!$DY$32:$EE$32,1,DR418)=1,DR419&gt;0),1,1-INDEX('Lease Cycles'!$DD$32:$DJ$32,1,DR418))*('Lease Cycles'!$AJ$32*INDEX('Lease Cycles'!$FO$32:$FU$32,1,DR418)+'Lease Cycles'!$BE$32*(1-INDEX('Lease Cycles'!$FO$32:$FU$32,1,DR418)))),0)</f>
        <v>0</v>
      </c>
      <c r="DS428" s="24">
        <f>IF(DS420=1,'Lease Cycles'!$D$32*IF(INDEX('Lease Cycles'!$EF$32:$EL$32,1,DS418)=1,'Lease Cycles'!$AJ$32*INDEX('Lease Cycles'!$FO$32:$FU$32,1,DS418)*INDEX('Lease Cycles'!$EM$32:$ES$32,1,DS418)+'Lease Cycles'!$BE$32*IF(DS419&lt;INDEX('Lease Cycles'!$FA$32:$FG$32,1,DS418),0,1-INDEX('Lease Cycles'!$EM$32:$ES$32,1,DS418)),IF(OR(INDEX('Lease Cycles'!$DY$32:$EE$32,1,DS418)=1,DS419&gt;0),1,1-INDEX('Lease Cycles'!$DD$32:$DJ$32,1,DS418))*('Lease Cycles'!$AJ$32*INDEX('Lease Cycles'!$FO$32:$FU$32,1,DS418)+'Lease Cycles'!$BE$32*(1-INDEX('Lease Cycles'!$FO$32:$FU$32,1,DS418)))),0)</f>
        <v>0</v>
      </c>
      <c r="DT428" s="24">
        <f>IF(DT420=1,'Lease Cycles'!$D$32*IF(INDEX('Lease Cycles'!$EF$32:$EL$32,1,DT418)=1,'Lease Cycles'!$AJ$32*INDEX('Lease Cycles'!$FO$32:$FU$32,1,DT418)*INDEX('Lease Cycles'!$EM$32:$ES$32,1,DT418)+'Lease Cycles'!$BE$32*IF(DT419&lt;INDEX('Lease Cycles'!$FA$32:$FG$32,1,DT418),0,1-INDEX('Lease Cycles'!$EM$32:$ES$32,1,DT418)),IF(OR(INDEX('Lease Cycles'!$DY$32:$EE$32,1,DT418)=1,DT419&gt;0),1,1-INDEX('Lease Cycles'!$DD$32:$DJ$32,1,DT418))*('Lease Cycles'!$AJ$32*INDEX('Lease Cycles'!$FO$32:$FU$32,1,DT418)+'Lease Cycles'!$BE$32*(1-INDEX('Lease Cycles'!$FO$32:$FU$32,1,DT418)))),0)</f>
        <v>0</v>
      </c>
      <c r="DU428" s="24">
        <f>IF(DU420=1,'Lease Cycles'!$D$32*IF(INDEX('Lease Cycles'!$EF$32:$EL$32,1,DU418)=1,'Lease Cycles'!$AJ$32*INDEX('Lease Cycles'!$FO$32:$FU$32,1,DU418)*INDEX('Lease Cycles'!$EM$32:$ES$32,1,DU418)+'Lease Cycles'!$BE$32*IF(DU419&lt;INDEX('Lease Cycles'!$FA$32:$FG$32,1,DU418),0,1-INDEX('Lease Cycles'!$EM$32:$ES$32,1,DU418)),IF(OR(INDEX('Lease Cycles'!$DY$32:$EE$32,1,DU418)=1,DU419&gt;0),1,1-INDEX('Lease Cycles'!$DD$32:$DJ$32,1,DU418))*('Lease Cycles'!$AJ$32*INDEX('Lease Cycles'!$FO$32:$FU$32,1,DU418)+'Lease Cycles'!$BE$32*(1-INDEX('Lease Cycles'!$FO$32:$FU$32,1,DU418)))),0)</f>
        <v>0</v>
      </c>
      <c r="DV428" s="24">
        <f>IF(DV420=1,'Lease Cycles'!$D$32*IF(INDEX('Lease Cycles'!$EF$32:$EL$32,1,DV418)=1,'Lease Cycles'!$AJ$32*INDEX('Lease Cycles'!$FO$32:$FU$32,1,DV418)*INDEX('Lease Cycles'!$EM$32:$ES$32,1,DV418)+'Lease Cycles'!$BE$32*IF(DV419&lt;INDEX('Lease Cycles'!$FA$32:$FG$32,1,DV418),0,1-INDEX('Lease Cycles'!$EM$32:$ES$32,1,DV418)),IF(OR(INDEX('Lease Cycles'!$DY$32:$EE$32,1,DV418)=1,DV419&gt;0),1,1-INDEX('Lease Cycles'!$DD$32:$DJ$32,1,DV418))*('Lease Cycles'!$AJ$32*INDEX('Lease Cycles'!$FO$32:$FU$32,1,DV418)+'Lease Cycles'!$BE$32*(1-INDEX('Lease Cycles'!$FO$32:$FU$32,1,DV418)))),0)</f>
        <v>0</v>
      </c>
      <c r="DW428" s="24">
        <f>IF(DW420=1,'Lease Cycles'!$D$32*IF(INDEX('Lease Cycles'!$EF$32:$EL$32,1,DW418)=1,'Lease Cycles'!$AJ$32*INDEX('Lease Cycles'!$FO$32:$FU$32,1,DW418)*INDEX('Lease Cycles'!$EM$32:$ES$32,1,DW418)+'Lease Cycles'!$BE$32*IF(DW419&lt;INDEX('Lease Cycles'!$FA$32:$FG$32,1,DW418),0,1-INDEX('Lease Cycles'!$EM$32:$ES$32,1,DW418)),IF(OR(INDEX('Lease Cycles'!$DY$32:$EE$32,1,DW418)=1,DW419&gt;0),1,1-INDEX('Lease Cycles'!$DD$32:$DJ$32,1,DW418))*('Lease Cycles'!$AJ$32*INDEX('Lease Cycles'!$FO$32:$FU$32,1,DW418)+'Lease Cycles'!$BE$32*(1-INDEX('Lease Cycles'!$FO$32:$FU$32,1,DW418)))),0)</f>
        <v>0</v>
      </c>
      <c r="DX428" s="24">
        <f>IF(DX420=1,'Lease Cycles'!$D$32*IF(INDEX('Lease Cycles'!$EF$32:$EL$32,1,DX418)=1,'Lease Cycles'!$AJ$32*INDEX('Lease Cycles'!$FO$32:$FU$32,1,DX418)*INDEX('Lease Cycles'!$EM$32:$ES$32,1,DX418)+'Lease Cycles'!$BE$32*IF(DX419&lt;INDEX('Lease Cycles'!$FA$32:$FG$32,1,DX418),0,1-INDEX('Lease Cycles'!$EM$32:$ES$32,1,DX418)),IF(OR(INDEX('Lease Cycles'!$DY$32:$EE$32,1,DX418)=1,DX419&gt;0),1,1-INDEX('Lease Cycles'!$DD$32:$DJ$32,1,DX418))*('Lease Cycles'!$AJ$32*INDEX('Lease Cycles'!$FO$32:$FU$32,1,DX418)+'Lease Cycles'!$BE$32*(1-INDEX('Lease Cycles'!$FO$32:$FU$32,1,DX418)))),0)</f>
        <v>0</v>
      </c>
      <c r="DY428" s="24">
        <f>IF(DY420=1,'Lease Cycles'!$D$32*IF(INDEX('Lease Cycles'!$EF$32:$EL$32,1,DY418)=1,'Lease Cycles'!$AJ$32*INDEX('Lease Cycles'!$FO$32:$FU$32,1,DY418)*INDEX('Lease Cycles'!$EM$32:$ES$32,1,DY418)+'Lease Cycles'!$BE$32*IF(DY419&lt;INDEX('Lease Cycles'!$FA$32:$FG$32,1,DY418),0,1-INDEX('Lease Cycles'!$EM$32:$ES$32,1,DY418)),IF(OR(INDEX('Lease Cycles'!$DY$32:$EE$32,1,DY418)=1,DY419&gt;0),1,1-INDEX('Lease Cycles'!$DD$32:$DJ$32,1,DY418))*('Lease Cycles'!$AJ$32*INDEX('Lease Cycles'!$FO$32:$FU$32,1,DY418)+'Lease Cycles'!$BE$32*(1-INDEX('Lease Cycles'!$FO$32:$FU$32,1,DY418)))),0)</f>
        <v>0</v>
      </c>
      <c r="DZ428" s="24">
        <f>IF(DZ420=1,'Lease Cycles'!$D$32*IF(INDEX('Lease Cycles'!$EF$32:$EL$32,1,DZ418)=1,'Lease Cycles'!$AJ$32*INDEX('Lease Cycles'!$FO$32:$FU$32,1,DZ418)*INDEX('Lease Cycles'!$EM$32:$ES$32,1,DZ418)+'Lease Cycles'!$BE$32*IF(DZ419&lt;INDEX('Lease Cycles'!$FA$32:$FG$32,1,DZ418),0,1-INDEX('Lease Cycles'!$EM$32:$ES$32,1,DZ418)),IF(OR(INDEX('Lease Cycles'!$DY$32:$EE$32,1,DZ418)=1,DZ419&gt;0),1,1-INDEX('Lease Cycles'!$DD$32:$DJ$32,1,DZ418))*('Lease Cycles'!$AJ$32*INDEX('Lease Cycles'!$FO$32:$FU$32,1,DZ418)+'Lease Cycles'!$BE$32*(1-INDEX('Lease Cycles'!$FO$32:$FU$32,1,DZ418)))),0)</f>
        <v>0</v>
      </c>
      <c r="EA428" s="24">
        <f>IF(EA420=1,'Lease Cycles'!$D$32*IF(INDEX('Lease Cycles'!$EF$32:$EL$32,1,EA418)=1,'Lease Cycles'!$AJ$32*INDEX('Lease Cycles'!$FO$32:$FU$32,1,EA418)*INDEX('Lease Cycles'!$EM$32:$ES$32,1,EA418)+'Lease Cycles'!$BE$32*IF(EA419&lt;INDEX('Lease Cycles'!$FA$32:$FG$32,1,EA418),0,1-INDEX('Lease Cycles'!$EM$32:$ES$32,1,EA418)),IF(OR(INDEX('Lease Cycles'!$DY$32:$EE$32,1,EA418)=1,EA419&gt;0),1,1-INDEX('Lease Cycles'!$DD$32:$DJ$32,1,EA418))*('Lease Cycles'!$AJ$32*INDEX('Lease Cycles'!$FO$32:$FU$32,1,EA418)+'Lease Cycles'!$BE$32*(1-INDEX('Lease Cycles'!$FO$32:$FU$32,1,EA418)))),0)</f>
        <v>0</v>
      </c>
      <c r="EB428" s="24">
        <f>IF(EB420=1,'Lease Cycles'!$D$32*IF(INDEX('Lease Cycles'!$EF$32:$EL$32,1,EB418)=1,'Lease Cycles'!$AJ$32*INDEX('Lease Cycles'!$FO$32:$FU$32,1,EB418)*INDEX('Lease Cycles'!$EM$32:$ES$32,1,EB418)+'Lease Cycles'!$BE$32*IF(EB419&lt;INDEX('Lease Cycles'!$FA$32:$FG$32,1,EB418),0,1-INDEX('Lease Cycles'!$EM$32:$ES$32,1,EB418)),IF(OR(INDEX('Lease Cycles'!$DY$32:$EE$32,1,EB418)=1,EB419&gt;0),1,1-INDEX('Lease Cycles'!$DD$32:$DJ$32,1,EB418))*('Lease Cycles'!$AJ$32*INDEX('Lease Cycles'!$FO$32:$FU$32,1,EB418)+'Lease Cycles'!$BE$32*(1-INDEX('Lease Cycles'!$FO$32:$FU$32,1,EB418)))),0)</f>
        <v>0</v>
      </c>
      <c r="EC428" s="24">
        <f>IF(EC420=1,'Lease Cycles'!$D$32*IF(INDEX('Lease Cycles'!$EF$32:$EL$32,1,EC418)=1,'Lease Cycles'!$AJ$32*INDEX('Lease Cycles'!$FO$32:$FU$32,1,EC418)*INDEX('Lease Cycles'!$EM$32:$ES$32,1,EC418)+'Lease Cycles'!$BE$32*IF(EC419&lt;INDEX('Lease Cycles'!$FA$32:$FG$32,1,EC418),0,1-INDEX('Lease Cycles'!$EM$32:$ES$32,1,EC418)),IF(OR(INDEX('Lease Cycles'!$DY$32:$EE$32,1,EC418)=1,EC419&gt;0),1,1-INDEX('Lease Cycles'!$DD$32:$DJ$32,1,EC418))*('Lease Cycles'!$AJ$32*INDEX('Lease Cycles'!$FO$32:$FU$32,1,EC418)+'Lease Cycles'!$BE$32*(1-INDEX('Lease Cycles'!$FO$32:$FU$32,1,EC418)))),0)</f>
        <v>0</v>
      </c>
      <c r="ED428" s="24">
        <f>IF(ED420=1,'Lease Cycles'!$D$32*IF(INDEX('Lease Cycles'!$EF$32:$EL$32,1,ED418)=1,'Lease Cycles'!$AJ$32*INDEX('Lease Cycles'!$FO$32:$FU$32,1,ED418)*INDEX('Lease Cycles'!$EM$32:$ES$32,1,ED418)+'Lease Cycles'!$BE$32*IF(ED419&lt;INDEX('Lease Cycles'!$FA$32:$FG$32,1,ED418),0,1-INDEX('Lease Cycles'!$EM$32:$ES$32,1,ED418)),IF(OR(INDEX('Lease Cycles'!$DY$32:$EE$32,1,ED418)=1,ED419&gt;0),1,1-INDEX('Lease Cycles'!$DD$32:$DJ$32,1,ED418))*('Lease Cycles'!$AJ$32*INDEX('Lease Cycles'!$FO$32:$FU$32,1,ED418)+'Lease Cycles'!$BE$32*(1-INDEX('Lease Cycles'!$FO$32:$FU$32,1,ED418)))),0)</f>
        <v>0</v>
      </c>
      <c r="EE428" s="24">
        <f>IF(EE420=1,'Lease Cycles'!$D$32*IF(INDEX('Lease Cycles'!$EF$32:$EL$32,1,EE418)=1,'Lease Cycles'!$AJ$32*INDEX('Lease Cycles'!$FO$32:$FU$32,1,EE418)*INDEX('Lease Cycles'!$EM$32:$ES$32,1,EE418)+'Lease Cycles'!$BE$32*IF(EE419&lt;INDEX('Lease Cycles'!$FA$32:$FG$32,1,EE418),0,1-INDEX('Lease Cycles'!$EM$32:$ES$32,1,EE418)),IF(OR(INDEX('Lease Cycles'!$DY$32:$EE$32,1,EE418)=1,EE419&gt;0),1,1-INDEX('Lease Cycles'!$DD$32:$DJ$32,1,EE418))*('Lease Cycles'!$AJ$32*INDEX('Lease Cycles'!$FO$32:$FU$32,1,EE418)+'Lease Cycles'!$BE$32*(1-INDEX('Lease Cycles'!$FO$32:$FU$32,1,EE418)))),0)</f>
        <v>0</v>
      </c>
      <c r="EF428" s="24">
        <f>IF(EF420=1,'Lease Cycles'!$D$32*IF(INDEX('Lease Cycles'!$EF$32:$EL$32,1,EF418)=1,'Lease Cycles'!$AJ$32*INDEX('Lease Cycles'!$FO$32:$FU$32,1,EF418)*INDEX('Lease Cycles'!$EM$32:$ES$32,1,EF418)+'Lease Cycles'!$BE$32*IF(EF419&lt;INDEX('Lease Cycles'!$FA$32:$FG$32,1,EF418),0,1-INDEX('Lease Cycles'!$EM$32:$ES$32,1,EF418)),IF(OR(INDEX('Lease Cycles'!$DY$32:$EE$32,1,EF418)=1,EF419&gt;0),1,1-INDEX('Lease Cycles'!$DD$32:$DJ$32,1,EF418))*('Lease Cycles'!$AJ$32*INDEX('Lease Cycles'!$FO$32:$FU$32,1,EF418)+'Lease Cycles'!$BE$32*(1-INDEX('Lease Cycles'!$FO$32:$FU$32,1,EF418)))),0)</f>
        <v>0</v>
      </c>
      <c r="EG428" s="24">
        <f>IF(EG420=1,'Lease Cycles'!$D$32*IF(INDEX('Lease Cycles'!$EF$32:$EL$32,1,EG418)=1,'Lease Cycles'!$AJ$32*INDEX('Lease Cycles'!$FO$32:$FU$32,1,EG418)*INDEX('Lease Cycles'!$EM$32:$ES$32,1,EG418)+'Lease Cycles'!$BE$32*IF(EG419&lt;INDEX('Lease Cycles'!$FA$32:$FG$32,1,EG418),0,1-INDEX('Lease Cycles'!$EM$32:$ES$32,1,EG418)),IF(OR(INDEX('Lease Cycles'!$DY$32:$EE$32,1,EG418)=1,EG419&gt;0),1,1-INDEX('Lease Cycles'!$DD$32:$DJ$32,1,EG418))*('Lease Cycles'!$AJ$32*INDEX('Lease Cycles'!$FO$32:$FU$32,1,EG418)+'Lease Cycles'!$BE$32*(1-INDEX('Lease Cycles'!$FO$32:$FU$32,1,EG418)))),0)</f>
        <v>0</v>
      </c>
      <c r="EH428" s="24">
        <f>IF(EH420=1,'Lease Cycles'!$D$32*IF(INDEX('Lease Cycles'!$EF$32:$EL$32,1,EH418)=1,'Lease Cycles'!$AJ$32*INDEX('Lease Cycles'!$FO$32:$FU$32,1,EH418)*INDEX('Lease Cycles'!$EM$32:$ES$32,1,EH418)+'Lease Cycles'!$BE$32*IF(EH419&lt;INDEX('Lease Cycles'!$FA$32:$FG$32,1,EH418),0,1-INDEX('Lease Cycles'!$EM$32:$ES$32,1,EH418)),IF(OR(INDEX('Lease Cycles'!$DY$32:$EE$32,1,EH418)=1,EH419&gt;0),1,1-INDEX('Lease Cycles'!$DD$32:$DJ$32,1,EH418))*('Lease Cycles'!$AJ$32*INDEX('Lease Cycles'!$FO$32:$FU$32,1,EH418)+'Lease Cycles'!$BE$32*(1-INDEX('Lease Cycles'!$FO$32:$FU$32,1,EH418)))),0)</f>
        <v>0</v>
      </c>
      <c r="EI428" s="24">
        <f>IF(EI420=1,'Lease Cycles'!$D$32*IF(INDEX('Lease Cycles'!$EF$32:$EL$32,1,EI418)=1,'Lease Cycles'!$AJ$32*INDEX('Lease Cycles'!$FO$32:$FU$32,1,EI418)*INDEX('Lease Cycles'!$EM$32:$ES$32,1,EI418)+'Lease Cycles'!$BE$32*IF(EI419&lt;INDEX('Lease Cycles'!$FA$32:$FG$32,1,EI418),0,1-INDEX('Lease Cycles'!$EM$32:$ES$32,1,EI418)),IF(OR(INDEX('Lease Cycles'!$DY$32:$EE$32,1,EI418)=1,EI419&gt;0),1,1-INDEX('Lease Cycles'!$DD$32:$DJ$32,1,EI418))*('Lease Cycles'!$AJ$32*INDEX('Lease Cycles'!$FO$32:$FU$32,1,EI418)+'Lease Cycles'!$BE$32*(1-INDEX('Lease Cycles'!$FO$32:$FU$32,1,EI418)))),0)</f>
        <v>0</v>
      </c>
      <c r="EJ428" s="24">
        <f>IF(EJ420=1,'Lease Cycles'!$D$32*IF(INDEX('Lease Cycles'!$EF$32:$EL$32,1,EJ418)=1,'Lease Cycles'!$AJ$32*INDEX('Lease Cycles'!$FO$32:$FU$32,1,EJ418)*INDEX('Lease Cycles'!$EM$32:$ES$32,1,EJ418)+'Lease Cycles'!$BE$32*IF(EJ419&lt;INDEX('Lease Cycles'!$FA$32:$FG$32,1,EJ418),0,1-INDEX('Lease Cycles'!$EM$32:$ES$32,1,EJ418)),IF(OR(INDEX('Lease Cycles'!$DY$32:$EE$32,1,EJ418)=1,EJ419&gt;0),1,1-INDEX('Lease Cycles'!$DD$32:$DJ$32,1,EJ418))*('Lease Cycles'!$AJ$32*INDEX('Lease Cycles'!$FO$32:$FU$32,1,EJ418)+'Lease Cycles'!$BE$32*(1-INDEX('Lease Cycles'!$FO$32:$FU$32,1,EJ418)))),0)</f>
        <v>0</v>
      </c>
      <c r="EK428" s="24">
        <f>IF(EK420=1,'Lease Cycles'!$D$32*IF(INDEX('Lease Cycles'!$EF$32:$EL$32,1,EK418)=1,'Lease Cycles'!$AJ$32*INDEX('Lease Cycles'!$FO$32:$FU$32,1,EK418)*INDEX('Lease Cycles'!$EM$32:$ES$32,1,EK418)+'Lease Cycles'!$BE$32*IF(EK419&lt;INDEX('Lease Cycles'!$FA$32:$FG$32,1,EK418),0,1-INDEX('Lease Cycles'!$EM$32:$ES$32,1,EK418)),IF(OR(INDEX('Lease Cycles'!$DY$32:$EE$32,1,EK418)=1,EK419&gt;0),1,1-INDEX('Lease Cycles'!$DD$32:$DJ$32,1,EK418))*('Lease Cycles'!$AJ$32*INDEX('Lease Cycles'!$FO$32:$FU$32,1,EK418)+'Lease Cycles'!$BE$32*(1-INDEX('Lease Cycles'!$FO$32:$FU$32,1,EK418)))),0)</f>
        <v>0</v>
      </c>
      <c r="EL428" s="24">
        <f>IF(EL420=1,'Lease Cycles'!$D$32*IF(INDEX('Lease Cycles'!$EF$32:$EL$32,1,EL418)=1,'Lease Cycles'!$AJ$32*INDEX('Lease Cycles'!$FO$32:$FU$32,1,EL418)*INDEX('Lease Cycles'!$EM$32:$ES$32,1,EL418)+'Lease Cycles'!$BE$32*IF(EL419&lt;INDEX('Lease Cycles'!$FA$32:$FG$32,1,EL418),0,1-INDEX('Lease Cycles'!$EM$32:$ES$32,1,EL418)),IF(OR(INDEX('Lease Cycles'!$DY$32:$EE$32,1,EL418)=1,EL419&gt;0),1,1-INDEX('Lease Cycles'!$DD$32:$DJ$32,1,EL418))*('Lease Cycles'!$AJ$32*INDEX('Lease Cycles'!$FO$32:$FU$32,1,EL418)+'Lease Cycles'!$BE$32*(1-INDEX('Lease Cycles'!$FO$32:$FU$32,1,EL418)))),0)</f>
        <v>0</v>
      </c>
      <c r="EM428" s="24">
        <f>IF(EM420=1,'Lease Cycles'!$D$32*IF(INDEX('Lease Cycles'!$EF$32:$EL$32,1,EM418)=1,'Lease Cycles'!$AJ$32*INDEX('Lease Cycles'!$FO$32:$FU$32,1,EM418)*INDEX('Lease Cycles'!$EM$32:$ES$32,1,EM418)+'Lease Cycles'!$BE$32*IF(EM419&lt;INDEX('Lease Cycles'!$FA$32:$FG$32,1,EM418),0,1-INDEX('Lease Cycles'!$EM$32:$ES$32,1,EM418)),IF(OR(INDEX('Lease Cycles'!$DY$32:$EE$32,1,EM418)=1,EM419&gt;0),1,1-INDEX('Lease Cycles'!$DD$32:$DJ$32,1,EM418))*('Lease Cycles'!$AJ$32*INDEX('Lease Cycles'!$FO$32:$FU$32,1,EM418)+'Lease Cycles'!$BE$32*(1-INDEX('Lease Cycles'!$FO$32:$FU$32,1,EM418)))),0)</f>
        <v>0</v>
      </c>
      <c r="EN428" s="24">
        <f>IF(EN420=1,'Lease Cycles'!$D$32*IF(INDEX('Lease Cycles'!$EF$32:$EL$32,1,EN418)=1,'Lease Cycles'!$AJ$32*INDEX('Lease Cycles'!$FO$32:$FU$32,1,EN418)*INDEX('Lease Cycles'!$EM$32:$ES$32,1,EN418)+'Lease Cycles'!$BE$32*IF(EN419&lt;INDEX('Lease Cycles'!$FA$32:$FG$32,1,EN418),0,1-INDEX('Lease Cycles'!$EM$32:$ES$32,1,EN418)),IF(OR(INDEX('Lease Cycles'!$DY$32:$EE$32,1,EN418)=1,EN419&gt;0),1,1-INDEX('Lease Cycles'!$DD$32:$DJ$32,1,EN418))*('Lease Cycles'!$AJ$32*INDEX('Lease Cycles'!$FO$32:$FU$32,1,EN418)+'Lease Cycles'!$BE$32*(1-INDEX('Lease Cycles'!$FO$32:$FU$32,1,EN418)))),0)</f>
        <v>0</v>
      </c>
      <c r="EO428" s="24">
        <f>IF(EO420=1,'Lease Cycles'!$D$32*IF(INDEX('Lease Cycles'!$EF$32:$EL$32,1,EO418)=1,'Lease Cycles'!$AJ$32*INDEX('Lease Cycles'!$FO$32:$FU$32,1,EO418)*INDEX('Lease Cycles'!$EM$32:$ES$32,1,EO418)+'Lease Cycles'!$BE$32*IF(EO419&lt;INDEX('Lease Cycles'!$FA$32:$FG$32,1,EO418),0,1-INDEX('Lease Cycles'!$EM$32:$ES$32,1,EO418)),IF(OR(INDEX('Lease Cycles'!$DY$32:$EE$32,1,EO418)=1,EO419&gt;0),1,1-INDEX('Lease Cycles'!$DD$32:$DJ$32,1,EO418))*('Lease Cycles'!$AJ$32*INDEX('Lease Cycles'!$FO$32:$FU$32,1,EO418)+'Lease Cycles'!$BE$32*(1-INDEX('Lease Cycles'!$FO$32:$FU$32,1,EO418)))),0)</f>
        <v>0</v>
      </c>
      <c r="EP428" s="24">
        <f>IF(EP420=1,'Lease Cycles'!$D$32*IF(INDEX('Lease Cycles'!$EF$32:$EL$32,1,EP418)=1,'Lease Cycles'!$AJ$32*INDEX('Lease Cycles'!$FO$32:$FU$32,1,EP418)*INDEX('Lease Cycles'!$EM$32:$ES$32,1,EP418)+'Lease Cycles'!$BE$32*IF(EP419&lt;INDEX('Lease Cycles'!$FA$32:$FG$32,1,EP418),0,1-INDEX('Lease Cycles'!$EM$32:$ES$32,1,EP418)),IF(OR(INDEX('Lease Cycles'!$DY$32:$EE$32,1,EP418)=1,EP419&gt;0),1,1-INDEX('Lease Cycles'!$DD$32:$DJ$32,1,EP418))*('Lease Cycles'!$AJ$32*INDEX('Lease Cycles'!$FO$32:$FU$32,1,EP418)+'Lease Cycles'!$BE$32*(1-INDEX('Lease Cycles'!$FO$32:$FU$32,1,EP418)))),0)</f>
        <v>0</v>
      </c>
      <c r="EQ428" s="24">
        <f>IF(EQ420=1,'Lease Cycles'!$D$32*IF(INDEX('Lease Cycles'!$EF$32:$EL$32,1,EQ418)=1,'Lease Cycles'!$AJ$32*INDEX('Lease Cycles'!$FO$32:$FU$32,1,EQ418)*INDEX('Lease Cycles'!$EM$32:$ES$32,1,EQ418)+'Lease Cycles'!$BE$32*IF(EQ419&lt;INDEX('Lease Cycles'!$FA$32:$FG$32,1,EQ418),0,1-INDEX('Lease Cycles'!$EM$32:$ES$32,1,EQ418)),IF(OR(INDEX('Lease Cycles'!$DY$32:$EE$32,1,EQ418)=1,EQ419&gt;0),1,1-INDEX('Lease Cycles'!$DD$32:$DJ$32,1,EQ418))*('Lease Cycles'!$AJ$32*INDEX('Lease Cycles'!$FO$32:$FU$32,1,EQ418)+'Lease Cycles'!$BE$32*(1-INDEX('Lease Cycles'!$FO$32:$FU$32,1,EQ418)))),0)</f>
        <v>0</v>
      </c>
      <c r="ER428" s="24">
        <f>IF(ER420=1,'Lease Cycles'!$D$32*IF(INDEX('Lease Cycles'!$EF$32:$EL$32,1,ER418)=1,'Lease Cycles'!$AJ$32*INDEX('Lease Cycles'!$FO$32:$FU$32,1,ER418)*INDEX('Lease Cycles'!$EM$32:$ES$32,1,ER418)+'Lease Cycles'!$BE$32*IF(ER419&lt;INDEX('Lease Cycles'!$FA$32:$FG$32,1,ER418),0,1-INDEX('Lease Cycles'!$EM$32:$ES$32,1,ER418)),IF(OR(INDEX('Lease Cycles'!$DY$32:$EE$32,1,ER418)=1,ER419&gt;0),1,1-INDEX('Lease Cycles'!$DD$32:$DJ$32,1,ER418))*('Lease Cycles'!$AJ$32*INDEX('Lease Cycles'!$FO$32:$FU$32,1,ER418)+'Lease Cycles'!$BE$32*(1-INDEX('Lease Cycles'!$FO$32:$FU$32,1,ER418)))),0)</f>
        <v>0</v>
      </c>
      <c r="ES428" s="24">
        <f>IF(ES420=1,'Lease Cycles'!$D$32*IF(INDEX('Lease Cycles'!$EF$32:$EL$32,1,ES418)=1,'Lease Cycles'!$AJ$32*INDEX('Lease Cycles'!$FO$32:$FU$32,1,ES418)*INDEX('Lease Cycles'!$EM$32:$ES$32,1,ES418)+'Lease Cycles'!$BE$32*IF(ES419&lt;INDEX('Lease Cycles'!$FA$32:$FG$32,1,ES418),0,1-INDEX('Lease Cycles'!$EM$32:$ES$32,1,ES418)),IF(OR(INDEX('Lease Cycles'!$DY$32:$EE$32,1,ES418)=1,ES419&gt;0),1,1-INDEX('Lease Cycles'!$DD$32:$DJ$32,1,ES418))*('Lease Cycles'!$AJ$32*INDEX('Lease Cycles'!$FO$32:$FU$32,1,ES418)+'Lease Cycles'!$BE$32*(1-INDEX('Lease Cycles'!$FO$32:$FU$32,1,ES418)))),0)</f>
        <v>0</v>
      </c>
      <c r="ET428" s="24">
        <f>IF(ET420=1,'Lease Cycles'!$D$32*IF(INDEX('Lease Cycles'!$EF$32:$EL$32,1,ET418)=1,'Lease Cycles'!$AJ$32*INDEX('Lease Cycles'!$FO$32:$FU$32,1,ET418)*INDEX('Lease Cycles'!$EM$32:$ES$32,1,ET418)+'Lease Cycles'!$BE$32*IF(ET419&lt;INDEX('Lease Cycles'!$FA$32:$FG$32,1,ET418),0,1-INDEX('Lease Cycles'!$EM$32:$ES$32,1,ET418)),IF(OR(INDEX('Lease Cycles'!$DY$32:$EE$32,1,ET418)=1,ET419&gt;0),1,1-INDEX('Lease Cycles'!$DD$32:$DJ$32,1,ET418))*('Lease Cycles'!$AJ$32*INDEX('Lease Cycles'!$FO$32:$FU$32,1,ET418)+'Lease Cycles'!$BE$32*(1-INDEX('Lease Cycles'!$FO$32:$FU$32,1,ET418)))),0)</f>
        <v>0</v>
      </c>
    </row>
    <row r="429">
      <c r="A429" s="103">
        <v>25</v>
      </c>
      <c r="B429" s="23" t="str">
        <f>IF('Lease Cycles'!$B$32="","(empty slot)",'Lease Cycles'!$B$32)</f>
        <v>(empty slot)</v>
      </c>
      <c r="C429" s="23" t="s">
        <v>689</v>
      </c>
      <c r="D429" s="104" t="s">
        <v>690</v>
      </c>
      <c r="E429" s="25">
        <f>'Lease Cycles'!$AL$32</f>
        <v>0</v>
      </c>
      <c r="G429" s="28">
        <f>SUM(S429:AD429)</f>
        <v>0</v>
      </c>
      <c r="H429" s="28">
        <f>SUM(AE429:AP429)</f>
        <v>0</v>
      </c>
      <c r="I429" s="28">
        <f>SUM(AQ429:BB429)</f>
        <v>0</v>
      </c>
      <c r="J429" s="28">
        <f>SUM(BC429:BN429)</f>
        <v>0</v>
      </c>
      <c r="K429" s="28">
        <f>SUM(BO429:BZ429)</f>
        <v>0</v>
      </c>
      <c r="L429" s="28">
        <f>SUM(CA429:CL429)</f>
        <v>0</v>
      </c>
      <c r="M429" s="28">
        <f>SUM(CM429:CX429)</f>
        <v>0</v>
      </c>
      <c r="N429" s="28">
        <f>SUM(CY429:DJ429)</f>
        <v>0</v>
      </c>
      <c r="O429" s="28">
        <f>SUM(DK429:DV429)</f>
        <v>0</v>
      </c>
      <c r="P429" s="28">
        <f>SUM(DW429:EH429)</f>
        <v>0</v>
      </c>
      <c r="Q429" s="28">
        <f>SUM(EI429:ET429)</f>
        <v>0</v>
      </c>
      <c r="S429" s="28">
        <f>IF(S428=0,0,S428*MAX(0,(INDEX(c_CAMy,1,S$7)-INDEX(c_CAMy,1,INDEX('Lease Cycles'!$GC$32:$GI$32,1,S418)+1))*(1+'Lease Cycles'!$AK$32)+(INDEX(c_TAXy,1,S$7)-INDEX(c_TAXy,1,INDEX('Lease Cycles'!$GC$32:$GI$32,1,S418)+1))+(INDEX(c_INSy,1,S$7)-INDEX(c_INSy,1,INDEX('Lease Cycles'!$GC$32:$GI$32,1,S418)+1)))/12)</f>
        <v>0</v>
      </c>
      <c r="T429" s="28">
        <f>IF(T428=0,0,T428*MAX(0,(INDEX(c_CAMy,1,T$7)-INDEX(c_CAMy,1,INDEX('Lease Cycles'!$GC$32:$GI$32,1,T418)+1))*(1+'Lease Cycles'!$AK$32)+(INDEX(c_TAXy,1,T$7)-INDEX(c_TAXy,1,INDEX('Lease Cycles'!$GC$32:$GI$32,1,T418)+1))+(INDEX(c_INSy,1,T$7)-INDEX(c_INSy,1,INDEX('Lease Cycles'!$GC$32:$GI$32,1,T418)+1)))/12)</f>
        <v>0</v>
      </c>
      <c r="U429" s="28">
        <f>IF(U428=0,0,U428*MAX(0,(INDEX(c_CAMy,1,U$7)-INDEX(c_CAMy,1,INDEX('Lease Cycles'!$GC$32:$GI$32,1,U418)+1))*(1+'Lease Cycles'!$AK$32)+(INDEX(c_TAXy,1,U$7)-INDEX(c_TAXy,1,INDEX('Lease Cycles'!$GC$32:$GI$32,1,U418)+1))+(INDEX(c_INSy,1,U$7)-INDEX(c_INSy,1,INDEX('Lease Cycles'!$GC$32:$GI$32,1,U418)+1)))/12)</f>
        <v>0</v>
      </c>
      <c r="V429" s="28">
        <f>IF(V428=0,0,V428*MAX(0,(INDEX(c_CAMy,1,V$7)-INDEX(c_CAMy,1,INDEX('Lease Cycles'!$GC$32:$GI$32,1,V418)+1))*(1+'Lease Cycles'!$AK$32)+(INDEX(c_TAXy,1,V$7)-INDEX(c_TAXy,1,INDEX('Lease Cycles'!$GC$32:$GI$32,1,V418)+1))+(INDEX(c_INSy,1,V$7)-INDEX(c_INSy,1,INDEX('Lease Cycles'!$GC$32:$GI$32,1,V418)+1)))/12)</f>
        <v>0</v>
      </c>
      <c r="W429" s="28">
        <f>IF(W428=0,0,W428*MAX(0,(INDEX(c_CAMy,1,W$7)-INDEX(c_CAMy,1,INDEX('Lease Cycles'!$GC$32:$GI$32,1,W418)+1))*(1+'Lease Cycles'!$AK$32)+(INDEX(c_TAXy,1,W$7)-INDEX(c_TAXy,1,INDEX('Lease Cycles'!$GC$32:$GI$32,1,W418)+1))+(INDEX(c_INSy,1,W$7)-INDEX(c_INSy,1,INDEX('Lease Cycles'!$GC$32:$GI$32,1,W418)+1)))/12)</f>
        <v>0</v>
      </c>
      <c r="X429" s="28">
        <f>IF(X428=0,0,X428*MAX(0,(INDEX(c_CAMy,1,X$7)-INDEX(c_CAMy,1,INDEX('Lease Cycles'!$GC$32:$GI$32,1,X418)+1))*(1+'Lease Cycles'!$AK$32)+(INDEX(c_TAXy,1,X$7)-INDEX(c_TAXy,1,INDEX('Lease Cycles'!$GC$32:$GI$32,1,X418)+1))+(INDEX(c_INSy,1,X$7)-INDEX(c_INSy,1,INDEX('Lease Cycles'!$GC$32:$GI$32,1,X418)+1)))/12)</f>
        <v>0</v>
      </c>
      <c r="Y429" s="28">
        <f>IF(Y428=0,0,Y428*MAX(0,(INDEX(c_CAMy,1,Y$7)-INDEX(c_CAMy,1,INDEX('Lease Cycles'!$GC$32:$GI$32,1,Y418)+1))*(1+'Lease Cycles'!$AK$32)+(INDEX(c_TAXy,1,Y$7)-INDEX(c_TAXy,1,INDEX('Lease Cycles'!$GC$32:$GI$32,1,Y418)+1))+(INDEX(c_INSy,1,Y$7)-INDEX(c_INSy,1,INDEX('Lease Cycles'!$GC$32:$GI$32,1,Y418)+1)))/12)</f>
        <v>0</v>
      </c>
      <c r="Z429" s="28">
        <f>IF(Z428=0,0,Z428*MAX(0,(INDEX(c_CAMy,1,Z$7)-INDEX(c_CAMy,1,INDEX('Lease Cycles'!$GC$32:$GI$32,1,Z418)+1))*(1+'Lease Cycles'!$AK$32)+(INDEX(c_TAXy,1,Z$7)-INDEX(c_TAXy,1,INDEX('Lease Cycles'!$GC$32:$GI$32,1,Z418)+1))+(INDEX(c_INSy,1,Z$7)-INDEX(c_INSy,1,INDEX('Lease Cycles'!$GC$32:$GI$32,1,Z418)+1)))/12)</f>
        <v>0</v>
      </c>
      <c r="AA429" s="28">
        <f>IF(AA428=0,0,AA428*MAX(0,(INDEX(c_CAMy,1,AA$7)-INDEX(c_CAMy,1,INDEX('Lease Cycles'!$GC$32:$GI$32,1,AA418)+1))*(1+'Lease Cycles'!$AK$32)+(INDEX(c_TAXy,1,AA$7)-INDEX(c_TAXy,1,INDEX('Lease Cycles'!$GC$32:$GI$32,1,AA418)+1))+(INDEX(c_INSy,1,AA$7)-INDEX(c_INSy,1,INDEX('Lease Cycles'!$GC$32:$GI$32,1,AA418)+1)))/12)</f>
        <v>0</v>
      </c>
      <c r="AB429" s="28">
        <f>IF(AB428=0,0,AB428*MAX(0,(INDEX(c_CAMy,1,AB$7)-INDEX(c_CAMy,1,INDEX('Lease Cycles'!$GC$32:$GI$32,1,AB418)+1))*(1+'Lease Cycles'!$AK$32)+(INDEX(c_TAXy,1,AB$7)-INDEX(c_TAXy,1,INDEX('Lease Cycles'!$GC$32:$GI$32,1,AB418)+1))+(INDEX(c_INSy,1,AB$7)-INDEX(c_INSy,1,INDEX('Lease Cycles'!$GC$32:$GI$32,1,AB418)+1)))/12)</f>
        <v>0</v>
      </c>
      <c r="AC429" s="28">
        <f>IF(AC428=0,0,AC428*MAX(0,(INDEX(c_CAMy,1,AC$7)-INDEX(c_CAMy,1,INDEX('Lease Cycles'!$GC$32:$GI$32,1,AC418)+1))*(1+'Lease Cycles'!$AK$32)+(INDEX(c_TAXy,1,AC$7)-INDEX(c_TAXy,1,INDEX('Lease Cycles'!$GC$32:$GI$32,1,AC418)+1))+(INDEX(c_INSy,1,AC$7)-INDEX(c_INSy,1,INDEX('Lease Cycles'!$GC$32:$GI$32,1,AC418)+1)))/12)</f>
        <v>0</v>
      </c>
      <c r="AD429" s="28">
        <f>IF(AD428=0,0,AD428*MAX(0,(INDEX(c_CAMy,1,AD$7)-INDEX(c_CAMy,1,INDEX('Lease Cycles'!$GC$32:$GI$32,1,AD418)+1))*(1+'Lease Cycles'!$AK$32)+(INDEX(c_TAXy,1,AD$7)-INDEX(c_TAXy,1,INDEX('Lease Cycles'!$GC$32:$GI$32,1,AD418)+1))+(INDEX(c_INSy,1,AD$7)-INDEX(c_INSy,1,INDEX('Lease Cycles'!$GC$32:$GI$32,1,AD418)+1)))/12)</f>
        <v>0</v>
      </c>
      <c r="AE429" s="28">
        <f>IF(AE428=0,0,AE428*MAX(0,(INDEX(c_CAMy,1,AE$7)-INDEX(c_CAMy,1,INDEX('Lease Cycles'!$GC$32:$GI$32,1,AE418)+1))*(1+'Lease Cycles'!$AK$32)+(INDEX(c_TAXy,1,AE$7)-INDEX(c_TAXy,1,INDEX('Lease Cycles'!$GC$32:$GI$32,1,AE418)+1))+(INDEX(c_INSy,1,AE$7)-INDEX(c_INSy,1,INDEX('Lease Cycles'!$GC$32:$GI$32,1,AE418)+1)))/12)</f>
        <v>0</v>
      </c>
      <c r="AF429" s="28">
        <f>IF(AF428=0,0,AF428*MAX(0,(INDEX(c_CAMy,1,AF$7)-INDEX(c_CAMy,1,INDEX('Lease Cycles'!$GC$32:$GI$32,1,AF418)+1))*(1+'Lease Cycles'!$AK$32)+(INDEX(c_TAXy,1,AF$7)-INDEX(c_TAXy,1,INDEX('Lease Cycles'!$GC$32:$GI$32,1,AF418)+1))+(INDEX(c_INSy,1,AF$7)-INDEX(c_INSy,1,INDEX('Lease Cycles'!$GC$32:$GI$32,1,AF418)+1)))/12)</f>
        <v>0</v>
      </c>
      <c r="AG429" s="28">
        <f>IF(AG428=0,0,AG428*MAX(0,(INDEX(c_CAMy,1,AG$7)-INDEX(c_CAMy,1,INDEX('Lease Cycles'!$GC$32:$GI$32,1,AG418)+1))*(1+'Lease Cycles'!$AK$32)+(INDEX(c_TAXy,1,AG$7)-INDEX(c_TAXy,1,INDEX('Lease Cycles'!$GC$32:$GI$32,1,AG418)+1))+(INDEX(c_INSy,1,AG$7)-INDEX(c_INSy,1,INDEX('Lease Cycles'!$GC$32:$GI$32,1,AG418)+1)))/12)</f>
        <v>0</v>
      </c>
      <c r="AH429" s="28">
        <f>IF(AH428=0,0,AH428*MAX(0,(INDEX(c_CAMy,1,AH$7)-INDEX(c_CAMy,1,INDEX('Lease Cycles'!$GC$32:$GI$32,1,AH418)+1))*(1+'Lease Cycles'!$AK$32)+(INDEX(c_TAXy,1,AH$7)-INDEX(c_TAXy,1,INDEX('Lease Cycles'!$GC$32:$GI$32,1,AH418)+1))+(INDEX(c_INSy,1,AH$7)-INDEX(c_INSy,1,INDEX('Lease Cycles'!$GC$32:$GI$32,1,AH418)+1)))/12)</f>
        <v>0</v>
      </c>
      <c r="AI429" s="28">
        <f>IF(AI428=0,0,AI428*MAX(0,(INDEX(c_CAMy,1,AI$7)-INDEX(c_CAMy,1,INDEX('Lease Cycles'!$GC$32:$GI$32,1,AI418)+1))*(1+'Lease Cycles'!$AK$32)+(INDEX(c_TAXy,1,AI$7)-INDEX(c_TAXy,1,INDEX('Lease Cycles'!$GC$32:$GI$32,1,AI418)+1))+(INDEX(c_INSy,1,AI$7)-INDEX(c_INSy,1,INDEX('Lease Cycles'!$GC$32:$GI$32,1,AI418)+1)))/12)</f>
        <v>0</v>
      </c>
      <c r="AJ429" s="28">
        <f>IF(AJ428=0,0,AJ428*MAX(0,(INDEX(c_CAMy,1,AJ$7)-INDEX(c_CAMy,1,INDEX('Lease Cycles'!$GC$32:$GI$32,1,AJ418)+1))*(1+'Lease Cycles'!$AK$32)+(INDEX(c_TAXy,1,AJ$7)-INDEX(c_TAXy,1,INDEX('Lease Cycles'!$GC$32:$GI$32,1,AJ418)+1))+(INDEX(c_INSy,1,AJ$7)-INDEX(c_INSy,1,INDEX('Lease Cycles'!$GC$32:$GI$32,1,AJ418)+1)))/12)</f>
        <v>0</v>
      </c>
      <c r="AK429" s="28">
        <f>IF(AK428=0,0,AK428*MAX(0,(INDEX(c_CAMy,1,AK$7)-INDEX(c_CAMy,1,INDEX('Lease Cycles'!$GC$32:$GI$32,1,AK418)+1))*(1+'Lease Cycles'!$AK$32)+(INDEX(c_TAXy,1,AK$7)-INDEX(c_TAXy,1,INDEX('Lease Cycles'!$GC$32:$GI$32,1,AK418)+1))+(INDEX(c_INSy,1,AK$7)-INDEX(c_INSy,1,INDEX('Lease Cycles'!$GC$32:$GI$32,1,AK418)+1)))/12)</f>
        <v>0</v>
      </c>
      <c r="AL429" s="28">
        <f>IF(AL428=0,0,AL428*MAX(0,(INDEX(c_CAMy,1,AL$7)-INDEX(c_CAMy,1,INDEX('Lease Cycles'!$GC$32:$GI$32,1,AL418)+1))*(1+'Lease Cycles'!$AK$32)+(INDEX(c_TAXy,1,AL$7)-INDEX(c_TAXy,1,INDEX('Lease Cycles'!$GC$32:$GI$32,1,AL418)+1))+(INDEX(c_INSy,1,AL$7)-INDEX(c_INSy,1,INDEX('Lease Cycles'!$GC$32:$GI$32,1,AL418)+1)))/12)</f>
        <v>0</v>
      </c>
      <c r="AM429" s="28">
        <f>IF(AM428=0,0,AM428*MAX(0,(INDEX(c_CAMy,1,AM$7)-INDEX(c_CAMy,1,INDEX('Lease Cycles'!$GC$32:$GI$32,1,AM418)+1))*(1+'Lease Cycles'!$AK$32)+(INDEX(c_TAXy,1,AM$7)-INDEX(c_TAXy,1,INDEX('Lease Cycles'!$GC$32:$GI$32,1,AM418)+1))+(INDEX(c_INSy,1,AM$7)-INDEX(c_INSy,1,INDEX('Lease Cycles'!$GC$32:$GI$32,1,AM418)+1)))/12)</f>
        <v>0</v>
      </c>
      <c r="AN429" s="28">
        <f>IF(AN428=0,0,AN428*MAX(0,(INDEX(c_CAMy,1,AN$7)-INDEX(c_CAMy,1,INDEX('Lease Cycles'!$GC$32:$GI$32,1,AN418)+1))*(1+'Lease Cycles'!$AK$32)+(INDEX(c_TAXy,1,AN$7)-INDEX(c_TAXy,1,INDEX('Lease Cycles'!$GC$32:$GI$32,1,AN418)+1))+(INDEX(c_INSy,1,AN$7)-INDEX(c_INSy,1,INDEX('Lease Cycles'!$GC$32:$GI$32,1,AN418)+1)))/12)</f>
        <v>0</v>
      </c>
      <c r="AO429" s="28">
        <f>IF(AO428=0,0,AO428*MAX(0,(INDEX(c_CAMy,1,AO$7)-INDEX(c_CAMy,1,INDEX('Lease Cycles'!$GC$32:$GI$32,1,AO418)+1))*(1+'Lease Cycles'!$AK$32)+(INDEX(c_TAXy,1,AO$7)-INDEX(c_TAXy,1,INDEX('Lease Cycles'!$GC$32:$GI$32,1,AO418)+1))+(INDEX(c_INSy,1,AO$7)-INDEX(c_INSy,1,INDEX('Lease Cycles'!$GC$32:$GI$32,1,AO418)+1)))/12)</f>
        <v>0</v>
      </c>
      <c r="AP429" s="28">
        <f>IF(AP428=0,0,AP428*MAX(0,(INDEX(c_CAMy,1,AP$7)-INDEX(c_CAMy,1,INDEX('Lease Cycles'!$GC$32:$GI$32,1,AP418)+1))*(1+'Lease Cycles'!$AK$32)+(INDEX(c_TAXy,1,AP$7)-INDEX(c_TAXy,1,INDEX('Lease Cycles'!$GC$32:$GI$32,1,AP418)+1))+(INDEX(c_INSy,1,AP$7)-INDEX(c_INSy,1,INDEX('Lease Cycles'!$GC$32:$GI$32,1,AP418)+1)))/12)</f>
        <v>0</v>
      </c>
      <c r="AQ429" s="28">
        <f>IF(AQ428=0,0,AQ428*MAX(0,(INDEX(c_CAMy,1,AQ$7)-INDEX(c_CAMy,1,INDEX('Lease Cycles'!$GC$32:$GI$32,1,AQ418)+1))*(1+'Lease Cycles'!$AK$32)+(INDEX(c_TAXy,1,AQ$7)-INDEX(c_TAXy,1,INDEX('Lease Cycles'!$GC$32:$GI$32,1,AQ418)+1))+(INDEX(c_INSy,1,AQ$7)-INDEX(c_INSy,1,INDEX('Lease Cycles'!$GC$32:$GI$32,1,AQ418)+1)))/12)</f>
        <v>0</v>
      </c>
      <c r="AR429" s="28">
        <f>IF(AR428=0,0,AR428*MAX(0,(INDEX(c_CAMy,1,AR$7)-INDEX(c_CAMy,1,INDEX('Lease Cycles'!$GC$32:$GI$32,1,AR418)+1))*(1+'Lease Cycles'!$AK$32)+(INDEX(c_TAXy,1,AR$7)-INDEX(c_TAXy,1,INDEX('Lease Cycles'!$GC$32:$GI$32,1,AR418)+1))+(INDEX(c_INSy,1,AR$7)-INDEX(c_INSy,1,INDEX('Lease Cycles'!$GC$32:$GI$32,1,AR418)+1)))/12)</f>
        <v>0</v>
      </c>
      <c r="AS429" s="28">
        <f>IF(AS428=0,0,AS428*MAX(0,(INDEX(c_CAMy,1,AS$7)-INDEX(c_CAMy,1,INDEX('Lease Cycles'!$GC$32:$GI$32,1,AS418)+1))*(1+'Lease Cycles'!$AK$32)+(INDEX(c_TAXy,1,AS$7)-INDEX(c_TAXy,1,INDEX('Lease Cycles'!$GC$32:$GI$32,1,AS418)+1))+(INDEX(c_INSy,1,AS$7)-INDEX(c_INSy,1,INDEX('Lease Cycles'!$GC$32:$GI$32,1,AS418)+1)))/12)</f>
        <v>0</v>
      </c>
      <c r="AT429" s="28">
        <f>IF(AT428=0,0,AT428*MAX(0,(INDEX(c_CAMy,1,AT$7)-INDEX(c_CAMy,1,INDEX('Lease Cycles'!$GC$32:$GI$32,1,AT418)+1))*(1+'Lease Cycles'!$AK$32)+(INDEX(c_TAXy,1,AT$7)-INDEX(c_TAXy,1,INDEX('Lease Cycles'!$GC$32:$GI$32,1,AT418)+1))+(INDEX(c_INSy,1,AT$7)-INDEX(c_INSy,1,INDEX('Lease Cycles'!$GC$32:$GI$32,1,AT418)+1)))/12)</f>
        <v>0</v>
      </c>
      <c r="AU429" s="28">
        <f>IF(AU428=0,0,AU428*MAX(0,(INDEX(c_CAMy,1,AU$7)-INDEX(c_CAMy,1,INDEX('Lease Cycles'!$GC$32:$GI$32,1,AU418)+1))*(1+'Lease Cycles'!$AK$32)+(INDEX(c_TAXy,1,AU$7)-INDEX(c_TAXy,1,INDEX('Lease Cycles'!$GC$32:$GI$32,1,AU418)+1))+(INDEX(c_INSy,1,AU$7)-INDEX(c_INSy,1,INDEX('Lease Cycles'!$GC$32:$GI$32,1,AU418)+1)))/12)</f>
        <v>0</v>
      </c>
      <c r="AV429" s="28">
        <f>IF(AV428=0,0,AV428*MAX(0,(INDEX(c_CAMy,1,AV$7)-INDEX(c_CAMy,1,INDEX('Lease Cycles'!$GC$32:$GI$32,1,AV418)+1))*(1+'Lease Cycles'!$AK$32)+(INDEX(c_TAXy,1,AV$7)-INDEX(c_TAXy,1,INDEX('Lease Cycles'!$GC$32:$GI$32,1,AV418)+1))+(INDEX(c_INSy,1,AV$7)-INDEX(c_INSy,1,INDEX('Lease Cycles'!$GC$32:$GI$32,1,AV418)+1)))/12)</f>
        <v>0</v>
      </c>
      <c r="AW429" s="28">
        <f>IF(AW428=0,0,AW428*MAX(0,(INDEX(c_CAMy,1,AW$7)-INDEX(c_CAMy,1,INDEX('Lease Cycles'!$GC$32:$GI$32,1,AW418)+1))*(1+'Lease Cycles'!$AK$32)+(INDEX(c_TAXy,1,AW$7)-INDEX(c_TAXy,1,INDEX('Lease Cycles'!$GC$32:$GI$32,1,AW418)+1))+(INDEX(c_INSy,1,AW$7)-INDEX(c_INSy,1,INDEX('Lease Cycles'!$GC$32:$GI$32,1,AW418)+1)))/12)</f>
        <v>0</v>
      </c>
      <c r="AX429" s="28">
        <f>IF(AX428=0,0,AX428*MAX(0,(INDEX(c_CAMy,1,AX$7)-INDEX(c_CAMy,1,INDEX('Lease Cycles'!$GC$32:$GI$32,1,AX418)+1))*(1+'Lease Cycles'!$AK$32)+(INDEX(c_TAXy,1,AX$7)-INDEX(c_TAXy,1,INDEX('Lease Cycles'!$GC$32:$GI$32,1,AX418)+1))+(INDEX(c_INSy,1,AX$7)-INDEX(c_INSy,1,INDEX('Lease Cycles'!$GC$32:$GI$32,1,AX418)+1)))/12)</f>
        <v>0</v>
      </c>
      <c r="AY429" s="28">
        <f>IF(AY428=0,0,AY428*MAX(0,(INDEX(c_CAMy,1,AY$7)-INDEX(c_CAMy,1,INDEX('Lease Cycles'!$GC$32:$GI$32,1,AY418)+1))*(1+'Lease Cycles'!$AK$32)+(INDEX(c_TAXy,1,AY$7)-INDEX(c_TAXy,1,INDEX('Lease Cycles'!$GC$32:$GI$32,1,AY418)+1))+(INDEX(c_INSy,1,AY$7)-INDEX(c_INSy,1,INDEX('Lease Cycles'!$GC$32:$GI$32,1,AY418)+1)))/12)</f>
        <v>0</v>
      </c>
      <c r="AZ429" s="28">
        <f>IF(AZ428=0,0,AZ428*MAX(0,(INDEX(c_CAMy,1,AZ$7)-INDEX(c_CAMy,1,INDEX('Lease Cycles'!$GC$32:$GI$32,1,AZ418)+1))*(1+'Lease Cycles'!$AK$32)+(INDEX(c_TAXy,1,AZ$7)-INDEX(c_TAXy,1,INDEX('Lease Cycles'!$GC$32:$GI$32,1,AZ418)+1))+(INDEX(c_INSy,1,AZ$7)-INDEX(c_INSy,1,INDEX('Lease Cycles'!$GC$32:$GI$32,1,AZ418)+1)))/12)</f>
        <v>0</v>
      </c>
      <c r="BA429" s="28">
        <f>IF(BA428=0,0,BA428*MAX(0,(INDEX(c_CAMy,1,BA$7)-INDEX(c_CAMy,1,INDEX('Lease Cycles'!$GC$32:$GI$32,1,BA418)+1))*(1+'Lease Cycles'!$AK$32)+(INDEX(c_TAXy,1,BA$7)-INDEX(c_TAXy,1,INDEX('Lease Cycles'!$GC$32:$GI$32,1,BA418)+1))+(INDEX(c_INSy,1,BA$7)-INDEX(c_INSy,1,INDEX('Lease Cycles'!$GC$32:$GI$32,1,BA418)+1)))/12)</f>
        <v>0</v>
      </c>
      <c r="BB429" s="28">
        <f>IF(BB428=0,0,BB428*MAX(0,(INDEX(c_CAMy,1,BB$7)-INDEX(c_CAMy,1,INDEX('Lease Cycles'!$GC$32:$GI$32,1,BB418)+1))*(1+'Lease Cycles'!$AK$32)+(INDEX(c_TAXy,1,BB$7)-INDEX(c_TAXy,1,INDEX('Lease Cycles'!$GC$32:$GI$32,1,BB418)+1))+(INDEX(c_INSy,1,BB$7)-INDEX(c_INSy,1,INDEX('Lease Cycles'!$GC$32:$GI$32,1,BB418)+1)))/12)</f>
        <v>0</v>
      </c>
      <c r="BC429" s="28">
        <f>IF(BC428=0,0,BC428*MAX(0,(INDEX(c_CAMy,1,BC$7)-INDEX(c_CAMy,1,INDEX('Lease Cycles'!$GC$32:$GI$32,1,BC418)+1))*(1+'Lease Cycles'!$AK$32)+(INDEX(c_TAXy,1,BC$7)-INDEX(c_TAXy,1,INDEX('Lease Cycles'!$GC$32:$GI$32,1,BC418)+1))+(INDEX(c_INSy,1,BC$7)-INDEX(c_INSy,1,INDEX('Lease Cycles'!$GC$32:$GI$32,1,BC418)+1)))/12)</f>
        <v>0</v>
      </c>
      <c r="BD429" s="28">
        <f>IF(BD428=0,0,BD428*MAX(0,(INDEX(c_CAMy,1,BD$7)-INDEX(c_CAMy,1,INDEX('Lease Cycles'!$GC$32:$GI$32,1,BD418)+1))*(1+'Lease Cycles'!$AK$32)+(INDEX(c_TAXy,1,BD$7)-INDEX(c_TAXy,1,INDEX('Lease Cycles'!$GC$32:$GI$32,1,BD418)+1))+(INDEX(c_INSy,1,BD$7)-INDEX(c_INSy,1,INDEX('Lease Cycles'!$GC$32:$GI$32,1,BD418)+1)))/12)</f>
        <v>0</v>
      </c>
      <c r="BE429" s="28">
        <f>IF(BE428=0,0,BE428*MAX(0,(INDEX(c_CAMy,1,BE$7)-INDEX(c_CAMy,1,INDEX('Lease Cycles'!$GC$32:$GI$32,1,BE418)+1))*(1+'Lease Cycles'!$AK$32)+(INDEX(c_TAXy,1,BE$7)-INDEX(c_TAXy,1,INDEX('Lease Cycles'!$GC$32:$GI$32,1,BE418)+1))+(INDEX(c_INSy,1,BE$7)-INDEX(c_INSy,1,INDEX('Lease Cycles'!$GC$32:$GI$32,1,BE418)+1)))/12)</f>
        <v>0</v>
      </c>
      <c r="BF429" s="28">
        <f>IF(BF428=0,0,BF428*MAX(0,(INDEX(c_CAMy,1,BF$7)-INDEX(c_CAMy,1,INDEX('Lease Cycles'!$GC$32:$GI$32,1,BF418)+1))*(1+'Lease Cycles'!$AK$32)+(INDEX(c_TAXy,1,BF$7)-INDEX(c_TAXy,1,INDEX('Lease Cycles'!$GC$32:$GI$32,1,BF418)+1))+(INDEX(c_INSy,1,BF$7)-INDEX(c_INSy,1,INDEX('Lease Cycles'!$GC$32:$GI$32,1,BF418)+1)))/12)</f>
        <v>0</v>
      </c>
      <c r="BG429" s="28">
        <f>IF(BG428=0,0,BG428*MAX(0,(INDEX(c_CAMy,1,BG$7)-INDEX(c_CAMy,1,INDEX('Lease Cycles'!$GC$32:$GI$32,1,BG418)+1))*(1+'Lease Cycles'!$AK$32)+(INDEX(c_TAXy,1,BG$7)-INDEX(c_TAXy,1,INDEX('Lease Cycles'!$GC$32:$GI$32,1,BG418)+1))+(INDEX(c_INSy,1,BG$7)-INDEX(c_INSy,1,INDEX('Lease Cycles'!$GC$32:$GI$32,1,BG418)+1)))/12)</f>
        <v>0</v>
      </c>
      <c r="BH429" s="28">
        <f>IF(BH428=0,0,BH428*MAX(0,(INDEX(c_CAMy,1,BH$7)-INDEX(c_CAMy,1,INDEX('Lease Cycles'!$GC$32:$GI$32,1,BH418)+1))*(1+'Lease Cycles'!$AK$32)+(INDEX(c_TAXy,1,BH$7)-INDEX(c_TAXy,1,INDEX('Lease Cycles'!$GC$32:$GI$32,1,BH418)+1))+(INDEX(c_INSy,1,BH$7)-INDEX(c_INSy,1,INDEX('Lease Cycles'!$GC$32:$GI$32,1,BH418)+1)))/12)</f>
        <v>0</v>
      </c>
      <c r="BI429" s="28">
        <f>IF(BI428=0,0,BI428*MAX(0,(INDEX(c_CAMy,1,BI$7)-INDEX(c_CAMy,1,INDEX('Lease Cycles'!$GC$32:$GI$32,1,BI418)+1))*(1+'Lease Cycles'!$AK$32)+(INDEX(c_TAXy,1,BI$7)-INDEX(c_TAXy,1,INDEX('Lease Cycles'!$GC$32:$GI$32,1,BI418)+1))+(INDEX(c_INSy,1,BI$7)-INDEX(c_INSy,1,INDEX('Lease Cycles'!$GC$32:$GI$32,1,BI418)+1)))/12)</f>
        <v>0</v>
      </c>
      <c r="BJ429" s="28">
        <f>IF(BJ428=0,0,BJ428*MAX(0,(INDEX(c_CAMy,1,BJ$7)-INDEX(c_CAMy,1,INDEX('Lease Cycles'!$GC$32:$GI$32,1,BJ418)+1))*(1+'Lease Cycles'!$AK$32)+(INDEX(c_TAXy,1,BJ$7)-INDEX(c_TAXy,1,INDEX('Lease Cycles'!$GC$32:$GI$32,1,BJ418)+1))+(INDEX(c_INSy,1,BJ$7)-INDEX(c_INSy,1,INDEX('Lease Cycles'!$GC$32:$GI$32,1,BJ418)+1)))/12)</f>
        <v>0</v>
      </c>
      <c r="BK429" s="28">
        <f>IF(BK428=0,0,BK428*MAX(0,(INDEX(c_CAMy,1,BK$7)-INDEX(c_CAMy,1,INDEX('Lease Cycles'!$GC$32:$GI$32,1,BK418)+1))*(1+'Lease Cycles'!$AK$32)+(INDEX(c_TAXy,1,BK$7)-INDEX(c_TAXy,1,INDEX('Lease Cycles'!$GC$32:$GI$32,1,BK418)+1))+(INDEX(c_INSy,1,BK$7)-INDEX(c_INSy,1,INDEX('Lease Cycles'!$GC$32:$GI$32,1,BK418)+1)))/12)</f>
        <v>0</v>
      </c>
      <c r="BL429" s="28">
        <f>IF(BL428=0,0,BL428*MAX(0,(INDEX(c_CAMy,1,BL$7)-INDEX(c_CAMy,1,INDEX('Lease Cycles'!$GC$32:$GI$32,1,BL418)+1))*(1+'Lease Cycles'!$AK$32)+(INDEX(c_TAXy,1,BL$7)-INDEX(c_TAXy,1,INDEX('Lease Cycles'!$GC$32:$GI$32,1,BL418)+1))+(INDEX(c_INSy,1,BL$7)-INDEX(c_INSy,1,INDEX('Lease Cycles'!$GC$32:$GI$32,1,BL418)+1)))/12)</f>
        <v>0</v>
      </c>
      <c r="BM429" s="28">
        <f>IF(BM428=0,0,BM428*MAX(0,(INDEX(c_CAMy,1,BM$7)-INDEX(c_CAMy,1,INDEX('Lease Cycles'!$GC$32:$GI$32,1,BM418)+1))*(1+'Lease Cycles'!$AK$32)+(INDEX(c_TAXy,1,BM$7)-INDEX(c_TAXy,1,INDEX('Lease Cycles'!$GC$32:$GI$32,1,BM418)+1))+(INDEX(c_INSy,1,BM$7)-INDEX(c_INSy,1,INDEX('Lease Cycles'!$GC$32:$GI$32,1,BM418)+1)))/12)</f>
        <v>0</v>
      </c>
      <c r="BN429" s="28">
        <f>IF(BN428=0,0,BN428*MAX(0,(INDEX(c_CAMy,1,BN$7)-INDEX(c_CAMy,1,INDEX('Lease Cycles'!$GC$32:$GI$32,1,BN418)+1))*(1+'Lease Cycles'!$AK$32)+(INDEX(c_TAXy,1,BN$7)-INDEX(c_TAXy,1,INDEX('Lease Cycles'!$GC$32:$GI$32,1,BN418)+1))+(INDEX(c_INSy,1,BN$7)-INDEX(c_INSy,1,INDEX('Lease Cycles'!$GC$32:$GI$32,1,BN418)+1)))/12)</f>
        <v>0</v>
      </c>
      <c r="BO429" s="28">
        <f>IF(BO428=0,0,BO428*MAX(0,(INDEX(c_CAMy,1,BO$7)-INDEX(c_CAMy,1,INDEX('Lease Cycles'!$GC$32:$GI$32,1,BO418)+1))*(1+'Lease Cycles'!$AK$32)+(INDEX(c_TAXy,1,BO$7)-INDEX(c_TAXy,1,INDEX('Lease Cycles'!$GC$32:$GI$32,1,BO418)+1))+(INDEX(c_INSy,1,BO$7)-INDEX(c_INSy,1,INDEX('Lease Cycles'!$GC$32:$GI$32,1,BO418)+1)))/12)</f>
        <v>0</v>
      </c>
      <c r="BP429" s="28">
        <f>IF(BP428=0,0,BP428*MAX(0,(INDEX(c_CAMy,1,BP$7)-INDEX(c_CAMy,1,INDEX('Lease Cycles'!$GC$32:$GI$32,1,BP418)+1))*(1+'Lease Cycles'!$AK$32)+(INDEX(c_TAXy,1,BP$7)-INDEX(c_TAXy,1,INDEX('Lease Cycles'!$GC$32:$GI$32,1,BP418)+1))+(INDEX(c_INSy,1,BP$7)-INDEX(c_INSy,1,INDEX('Lease Cycles'!$GC$32:$GI$32,1,BP418)+1)))/12)</f>
        <v>0</v>
      </c>
      <c r="BQ429" s="28">
        <f>IF(BQ428=0,0,BQ428*MAX(0,(INDEX(c_CAMy,1,BQ$7)-INDEX(c_CAMy,1,INDEX('Lease Cycles'!$GC$32:$GI$32,1,BQ418)+1))*(1+'Lease Cycles'!$AK$32)+(INDEX(c_TAXy,1,BQ$7)-INDEX(c_TAXy,1,INDEX('Lease Cycles'!$GC$32:$GI$32,1,BQ418)+1))+(INDEX(c_INSy,1,BQ$7)-INDEX(c_INSy,1,INDEX('Lease Cycles'!$GC$32:$GI$32,1,BQ418)+1)))/12)</f>
        <v>0</v>
      </c>
      <c r="BR429" s="28">
        <f>IF(BR428=0,0,BR428*MAX(0,(INDEX(c_CAMy,1,BR$7)-INDEX(c_CAMy,1,INDEX('Lease Cycles'!$GC$32:$GI$32,1,BR418)+1))*(1+'Lease Cycles'!$AK$32)+(INDEX(c_TAXy,1,BR$7)-INDEX(c_TAXy,1,INDEX('Lease Cycles'!$GC$32:$GI$32,1,BR418)+1))+(INDEX(c_INSy,1,BR$7)-INDEX(c_INSy,1,INDEX('Lease Cycles'!$GC$32:$GI$32,1,BR418)+1)))/12)</f>
        <v>0</v>
      </c>
      <c r="BS429" s="28">
        <f>IF(BS428=0,0,BS428*MAX(0,(INDEX(c_CAMy,1,BS$7)-INDEX(c_CAMy,1,INDEX('Lease Cycles'!$GC$32:$GI$32,1,BS418)+1))*(1+'Lease Cycles'!$AK$32)+(INDEX(c_TAXy,1,BS$7)-INDEX(c_TAXy,1,INDEX('Lease Cycles'!$GC$32:$GI$32,1,BS418)+1))+(INDEX(c_INSy,1,BS$7)-INDEX(c_INSy,1,INDEX('Lease Cycles'!$GC$32:$GI$32,1,BS418)+1)))/12)</f>
        <v>0</v>
      </c>
      <c r="BT429" s="28">
        <f>IF(BT428=0,0,BT428*MAX(0,(INDEX(c_CAMy,1,BT$7)-INDEX(c_CAMy,1,INDEX('Lease Cycles'!$GC$32:$GI$32,1,BT418)+1))*(1+'Lease Cycles'!$AK$32)+(INDEX(c_TAXy,1,BT$7)-INDEX(c_TAXy,1,INDEX('Lease Cycles'!$GC$32:$GI$32,1,BT418)+1))+(INDEX(c_INSy,1,BT$7)-INDEX(c_INSy,1,INDEX('Lease Cycles'!$GC$32:$GI$32,1,BT418)+1)))/12)</f>
        <v>0</v>
      </c>
      <c r="BU429" s="28">
        <f>IF(BU428=0,0,BU428*MAX(0,(INDEX(c_CAMy,1,BU$7)-INDEX(c_CAMy,1,INDEX('Lease Cycles'!$GC$32:$GI$32,1,BU418)+1))*(1+'Lease Cycles'!$AK$32)+(INDEX(c_TAXy,1,BU$7)-INDEX(c_TAXy,1,INDEX('Lease Cycles'!$GC$32:$GI$32,1,BU418)+1))+(INDEX(c_INSy,1,BU$7)-INDEX(c_INSy,1,INDEX('Lease Cycles'!$GC$32:$GI$32,1,BU418)+1)))/12)</f>
        <v>0</v>
      </c>
      <c r="BV429" s="28">
        <f>IF(BV428=0,0,BV428*MAX(0,(INDEX(c_CAMy,1,BV$7)-INDEX(c_CAMy,1,INDEX('Lease Cycles'!$GC$32:$GI$32,1,BV418)+1))*(1+'Lease Cycles'!$AK$32)+(INDEX(c_TAXy,1,BV$7)-INDEX(c_TAXy,1,INDEX('Lease Cycles'!$GC$32:$GI$32,1,BV418)+1))+(INDEX(c_INSy,1,BV$7)-INDEX(c_INSy,1,INDEX('Lease Cycles'!$GC$32:$GI$32,1,BV418)+1)))/12)</f>
        <v>0</v>
      </c>
      <c r="BW429" s="28">
        <f>IF(BW428=0,0,BW428*MAX(0,(INDEX(c_CAMy,1,BW$7)-INDEX(c_CAMy,1,INDEX('Lease Cycles'!$GC$32:$GI$32,1,BW418)+1))*(1+'Lease Cycles'!$AK$32)+(INDEX(c_TAXy,1,BW$7)-INDEX(c_TAXy,1,INDEX('Lease Cycles'!$GC$32:$GI$32,1,BW418)+1))+(INDEX(c_INSy,1,BW$7)-INDEX(c_INSy,1,INDEX('Lease Cycles'!$GC$32:$GI$32,1,BW418)+1)))/12)</f>
        <v>0</v>
      </c>
      <c r="BX429" s="28">
        <f>IF(BX428=0,0,BX428*MAX(0,(INDEX(c_CAMy,1,BX$7)-INDEX(c_CAMy,1,INDEX('Lease Cycles'!$GC$32:$GI$32,1,BX418)+1))*(1+'Lease Cycles'!$AK$32)+(INDEX(c_TAXy,1,BX$7)-INDEX(c_TAXy,1,INDEX('Lease Cycles'!$GC$32:$GI$32,1,BX418)+1))+(INDEX(c_INSy,1,BX$7)-INDEX(c_INSy,1,INDEX('Lease Cycles'!$GC$32:$GI$32,1,BX418)+1)))/12)</f>
        <v>0</v>
      </c>
      <c r="BY429" s="28">
        <f>IF(BY428=0,0,BY428*MAX(0,(INDEX(c_CAMy,1,BY$7)-INDEX(c_CAMy,1,INDEX('Lease Cycles'!$GC$32:$GI$32,1,BY418)+1))*(1+'Lease Cycles'!$AK$32)+(INDEX(c_TAXy,1,BY$7)-INDEX(c_TAXy,1,INDEX('Lease Cycles'!$GC$32:$GI$32,1,BY418)+1))+(INDEX(c_INSy,1,BY$7)-INDEX(c_INSy,1,INDEX('Lease Cycles'!$GC$32:$GI$32,1,BY418)+1)))/12)</f>
        <v>0</v>
      </c>
      <c r="BZ429" s="28">
        <f>IF(BZ428=0,0,BZ428*MAX(0,(INDEX(c_CAMy,1,BZ$7)-INDEX(c_CAMy,1,INDEX('Lease Cycles'!$GC$32:$GI$32,1,BZ418)+1))*(1+'Lease Cycles'!$AK$32)+(INDEX(c_TAXy,1,BZ$7)-INDEX(c_TAXy,1,INDEX('Lease Cycles'!$GC$32:$GI$32,1,BZ418)+1))+(INDEX(c_INSy,1,BZ$7)-INDEX(c_INSy,1,INDEX('Lease Cycles'!$GC$32:$GI$32,1,BZ418)+1)))/12)</f>
        <v>0</v>
      </c>
      <c r="CA429" s="28">
        <f>IF(CA428=0,0,CA428*MAX(0,(INDEX(c_CAMy,1,CA$7)-INDEX(c_CAMy,1,INDEX('Lease Cycles'!$GC$32:$GI$32,1,CA418)+1))*(1+'Lease Cycles'!$AK$32)+(INDEX(c_TAXy,1,CA$7)-INDEX(c_TAXy,1,INDEX('Lease Cycles'!$GC$32:$GI$32,1,CA418)+1))+(INDEX(c_INSy,1,CA$7)-INDEX(c_INSy,1,INDEX('Lease Cycles'!$GC$32:$GI$32,1,CA418)+1)))/12)</f>
        <v>0</v>
      </c>
      <c r="CB429" s="28">
        <f>IF(CB428=0,0,CB428*MAX(0,(INDEX(c_CAMy,1,CB$7)-INDEX(c_CAMy,1,INDEX('Lease Cycles'!$GC$32:$GI$32,1,CB418)+1))*(1+'Lease Cycles'!$AK$32)+(INDEX(c_TAXy,1,CB$7)-INDEX(c_TAXy,1,INDEX('Lease Cycles'!$GC$32:$GI$32,1,CB418)+1))+(INDEX(c_INSy,1,CB$7)-INDEX(c_INSy,1,INDEX('Lease Cycles'!$GC$32:$GI$32,1,CB418)+1)))/12)</f>
        <v>0</v>
      </c>
      <c r="CC429" s="28">
        <f>IF(CC428=0,0,CC428*MAX(0,(INDEX(c_CAMy,1,CC$7)-INDEX(c_CAMy,1,INDEX('Lease Cycles'!$GC$32:$GI$32,1,CC418)+1))*(1+'Lease Cycles'!$AK$32)+(INDEX(c_TAXy,1,CC$7)-INDEX(c_TAXy,1,INDEX('Lease Cycles'!$GC$32:$GI$32,1,CC418)+1))+(INDEX(c_INSy,1,CC$7)-INDEX(c_INSy,1,INDEX('Lease Cycles'!$GC$32:$GI$32,1,CC418)+1)))/12)</f>
        <v>0</v>
      </c>
      <c r="CD429" s="28">
        <f>IF(CD428=0,0,CD428*MAX(0,(INDEX(c_CAMy,1,CD$7)-INDEX(c_CAMy,1,INDEX('Lease Cycles'!$GC$32:$GI$32,1,CD418)+1))*(1+'Lease Cycles'!$AK$32)+(INDEX(c_TAXy,1,CD$7)-INDEX(c_TAXy,1,INDEX('Lease Cycles'!$GC$32:$GI$32,1,CD418)+1))+(INDEX(c_INSy,1,CD$7)-INDEX(c_INSy,1,INDEX('Lease Cycles'!$GC$32:$GI$32,1,CD418)+1)))/12)</f>
        <v>0</v>
      </c>
      <c r="CE429" s="28">
        <f>IF(CE428=0,0,CE428*MAX(0,(INDEX(c_CAMy,1,CE$7)-INDEX(c_CAMy,1,INDEX('Lease Cycles'!$GC$32:$GI$32,1,CE418)+1))*(1+'Lease Cycles'!$AK$32)+(INDEX(c_TAXy,1,CE$7)-INDEX(c_TAXy,1,INDEX('Lease Cycles'!$GC$32:$GI$32,1,CE418)+1))+(INDEX(c_INSy,1,CE$7)-INDEX(c_INSy,1,INDEX('Lease Cycles'!$GC$32:$GI$32,1,CE418)+1)))/12)</f>
        <v>0</v>
      </c>
      <c r="CF429" s="28">
        <f>IF(CF428=0,0,CF428*MAX(0,(INDEX(c_CAMy,1,CF$7)-INDEX(c_CAMy,1,INDEX('Lease Cycles'!$GC$32:$GI$32,1,CF418)+1))*(1+'Lease Cycles'!$AK$32)+(INDEX(c_TAXy,1,CF$7)-INDEX(c_TAXy,1,INDEX('Lease Cycles'!$GC$32:$GI$32,1,CF418)+1))+(INDEX(c_INSy,1,CF$7)-INDEX(c_INSy,1,INDEX('Lease Cycles'!$GC$32:$GI$32,1,CF418)+1)))/12)</f>
        <v>0</v>
      </c>
      <c r="CG429" s="28">
        <f>IF(CG428=0,0,CG428*MAX(0,(INDEX(c_CAMy,1,CG$7)-INDEX(c_CAMy,1,INDEX('Lease Cycles'!$GC$32:$GI$32,1,CG418)+1))*(1+'Lease Cycles'!$AK$32)+(INDEX(c_TAXy,1,CG$7)-INDEX(c_TAXy,1,INDEX('Lease Cycles'!$GC$32:$GI$32,1,CG418)+1))+(INDEX(c_INSy,1,CG$7)-INDEX(c_INSy,1,INDEX('Lease Cycles'!$GC$32:$GI$32,1,CG418)+1)))/12)</f>
        <v>0</v>
      </c>
      <c r="CH429" s="28">
        <f>IF(CH428=0,0,CH428*MAX(0,(INDEX(c_CAMy,1,CH$7)-INDEX(c_CAMy,1,INDEX('Lease Cycles'!$GC$32:$GI$32,1,CH418)+1))*(1+'Lease Cycles'!$AK$32)+(INDEX(c_TAXy,1,CH$7)-INDEX(c_TAXy,1,INDEX('Lease Cycles'!$GC$32:$GI$32,1,CH418)+1))+(INDEX(c_INSy,1,CH$7)-INDEX(c_INSy,1,INDEX('Lease Cycles'!$GC$32:$GI$32,1,CH418)+1)))/12)</f>
        <v>0</v>
      </c>
      <c r="CI429" s="28">
        <f>IF(CI428=0,0,CI428*MAX(0,(INDEX(c_CAMy,1,CI$7)-INDEX(c_CAMy,1,INDEX('Lease Cycles'!$GC$32:$GI$32,1,CI418)+1))*(1+'Lease Cycles'!$AK$32)+(INDEX(c_TAXy,1,CI$7)-INDEX(c_TAXy,1,INDEX('Lease Cycles'!$GC$32:$GI$32,1,CI418)+1))+(INDEX(c_INSy,1,CI$7)-INDEX(c_INSy,1,INDEX('Lease Cycles'!$GC$32:$GI$32,1,CI418)+1)))/12)</f>
        <v>0</v>
      </c>
      <c r="CJ429" s="28">
        <f>IF(CJ428=0,0,CJ428*MAX(0,(INDEX(c_CAMy,1,CJ$7)-INDEX(c_CAMy,1,INDEX('Lease Cycles'!$GC$32:$GI$32,1,CJ418)+1))*(1+'Lease Cycles'!$AK$32)+(INDEX(c_TAXy,1,CJ$7)-INDEX(c_TAXy,1,INDEX('Lease Cycles'!$GC$32:$GI$32,1,CJ418)+1))+(INDEX(c_INSy,1,CJ$7)-INDEX(c_INSy,1,INDEX('Lease Cycles'!$GC$32:$GI$32,1,CJ418)+1)))/12)</f>
        <v>0</v>
      </c>
      <c r="CK429" s="28">
        <f>IF(CK428=0,0,CK428*MAX(0,(INDEX(c_CAMy,1,CK$7)-INDEX(c_CAMy,1,INDEX('Lease Cycles'!$GC$32:$GI$32,1,CK418)+1))*(1+'Lease Cycles'!$AK$32)+(INDEX(c_TAXy,1,CK$7)-INDEX(c_TAXy,1,INDEX('Lease Cycles'!$GC$32:$GI$32,1,CK418)+1))+(INDEX(c_INSy,1,CK$7)-INDEX(c_INSy,1,INDEX('Lease Cycles'!$GC$32:$GI$32,1,CK418)+1)))/12)</f>
        <v>0</v>
      </c>
      <c r="CL429" s="28">
        <f>IF(CL428=0,0,CL428*MAX(0,(INDEX(c_CAMy,1,CL$7)-INDEX(c_CAMy,1,INDEX('Lease Cycles'!$GC$32:$GI$32,1,CL418)+1))*(1+'Lease Cycles'!$AK$32)+(INDEX(c_TAXy,1,CL$7)-INDEX(c_TAXy,1,INDEX('Lease Cycles'!$GC$32:$GI$32,1,CL418)+1))+(INDEX(c_INSy,1,CL$7)-INDEX(c_INSy,1,INDEX('Lease Cycles'!$GC$32:$GI$32,1,CL418)+1)))/12)</f>
        <v>0</v>
      </c>
      <c r="CM429" s="28">
        <f>IF(CM428=0,0,CM428*MAX(0,(INDEX(c_CAMy,1,CM$7)-INDEX(c_CAMy,1,INDEX('Lease Cycles'!$GC$32:$GI$32,1,CM418)+1))*(1+'Lease Cycles'!$AK$32)+(INDEX(c_TAXy,1,CM$7)-INDEX(c_TAXy,1,INDEX('Lease Cycles'!$GC$32:$GI$32,1,CM418)+1))+(INDEX(c_INSy,1,CM$7)-INDEX(c_INSy,1,INDEX('Lease Cycles'!$GC$32:$GI$32,1,CM418)+1)))/12)</f>
        <v>0</v>
      </c>
      <c r="CN429" s="28">
        <f>IF(CN428=0,0,CN428*MAX(0,(INDEX(c_CAMy,1,CN$7)-INDEX(c_CAMy,1,INDEX('Lease Cycles'!$GC$32:$GI$32,1,CN418)+1))*(1+'Lease Cycles'!$AK$32)+(INDEX(c_TAXy,1,CN$7)-INDEX(c_TAXy,1,INDEX('Lease Cycles'!$GC$32:$GI$32,1,CN418)+1))+(INDEX(c_INSy,1,CN$7)-INDEX(c_INSy,1,INDEX('Lease Cycles'!$GC$32:$GI$32,1,CN418)+1)))/12)</f>
        <v>0</v>
      </c>
      <c r="CO429" s="28">
        <f>IF(CO428=0,0,CO428*MAX(0,(INDEX(c_CAMy,1,CO$7)-INDEX(c_CAMy,1,INDEX('Lease Cycles'!$GC$32:$GI$32,1,CO418)+1))*(1+'Lease Cycles'!$AK$32)+(INDEX(c_TAXy,1,CO$7)-INDEX(c_TAXy,1,INDEX('Lease Cycles'!$GC$32:$GI$32,1,CO418)+1))+(INDEX(c_INSy,1,CO$7)-INDEX(c_INSy,1,INDEX('Lease Cycles'!$GC$32:$GI$32,1,CO418)+1)))/12)</f>
        <v>0</v>
      </c>
      <c r="CP429" s="28">
        <f>IF(CP428=0,0,CP428*MAX(0,(INDEX(c_CAMy,1,CP$7)-INDEX(c_CAMy,1,INDEX('Lease Cycles'!$GC$32:$GI$32,1,CP418)+1))*(1+'Lease Cycles'!$AK$32)+(INDEX(c_TAXy,1,CP$7)-INDEX(c_TAXy,1,INDEX('Lease Cycles'!$GC$32:$GI$32,1,CP418)+1))+(INDEX(c_INSy,1,CP$7)-INDEX(c_INSy,1,INDEX('Lease Cycles'!$GC$32:$GI$32,1,CP418)+1)))/12)</f>
        <v>0</v>
      </c>
      <c r="CQ429" s="28">
        <f>IF(CQ428=0,0,CQ428*MAX(0,(INDEX(c_CAMy,1,CQ$7)-INDEX(c_CAMy,1,INDEX('Lease Cycles'!$GC$32:$GI$32,1,CQ418)+1))*(1+'Lease Cycles'!$AK$32)+(INDEX(c_TAXy,1,CQ$7)-INDEX(c_TAXy,1,INDEX('Lease Cycles'!$GC$32:$GI$32,1,CQ418)+1))+(INDEX(c_INSy,1,CQ$7)-INDEX(c_INSy,1,INDEX('Lease Cycles'!$GC$32:$GI$32,1,CQ418)+1)))/12)</f>
        <v>0</v>
      </c>
      <c r="CR429" s="28">
        <f>IF(CR428=0,0,CR428*MAX(0,(INDEX(c_CAMy,1,CR$7)-INDEX(c_CAMy,1,INDEX('Lease Cycles'!$GC$32:$GI$32,1,CR418)+1))*(1+'Lease Cycles'!$AK$32)+(INDEX(c_TAXy,1,CR$7)-INDEX(c_TAXy,1,INDEX('Lease Cycles'!$GC$32:$GI$32,1,CR418)+1))+(INDEX(c_INSy,1,CR$7)-INDEX(c_INSy,1,INDEX('Lease Cycles'!$GC$32:$GI$32,1,CR418)+1)))/12)</f>
        <v>0</v>
      </c>
      <c r="CS429" s="28">
        <f>IF(CS428=0,0,CS428*MAX(0,(INDEX(c_CAMy,1,CS$7)-INDEX(c_CAMy,1,INDEX('Lease Cycles'!$GC$32:$GI$32,1,CS418)+1))*(1+'Lease Cycles'!$AK$32)+(INDEX(c_TAXy,1,CS$7)-INDEX(c_TAXy,1,INDEX('Lease Cycles'!$GC$32:$GI$32,1,CS418)+1))+(INDEX(c_INSy,1,CS$7)-INDEX(c_INSy,1,INDEX('Lease Cycles'!$GC$32:$GI$32,1,CS418)+1)))/12)</f>
        <v>0</v>
      </c>
      <c r="CT429" s="28">
        <f>IF(CT428=0,0,CT428*MAX(0,(INDEX(c_CAMy,1,CT$7)-INDEX(c_CAMy,1,INDEX('Lease Cycles'!$GC$32:$GI$32,1,CT418)+1))*(1+'Lease Cycles'!$AK$32)+(INDEX(c_TAXy,1,CT$7)-INDEX(c_TAXy,1,INDEX('Lease Cycles'!$GC$32:$GI$32,1,CT418)+1))+(INDEX(c_INSy,1,CT$7)-INDEX(c_INSy,1,INDEX('Lease Cycles'!$GC$32:$GI$32,1,CT418)+1)))/12)</f>
        <v>0</v>
      </c>
      <c r="CU429" s="28">
        <f>IF(CU428=0,0,CU428*MAX(0,(INDEX(c_CAMy,1,CU$7)-INDEX(c_CAMy,1,INDEX('Lease Cycles'!$GC$32:$GI$32,1,CU418)+1))*(1+'Lease Cycles'!$AK$32)+(INDEX(c_TAXy,1,CU$7)-INDEX(c_TAXy,1,INDEX('Lease Cycles'!$GC$32:$GI$32,1,CU418)+1))+(INDEX(c_INSy,1,CU$7)-INDEX(c_INSy,1,INDEX('Lease Cycles'!$GC$32:$GI$32,1,CU418)+1)))/12)</f>
        <v>0</v>
      </c>
      <c r="CV429" s="28">
        <f>IF(CV428=0,0,CV428*MAX(0,(INDEX(c_CAMy,1,CV$7)-INDEX(c_CAMy,1,INDEX('Lease Cycles'!$GC$32:$GI$32,1,CV418)+1))*(1+'Lease Cycles'!$AK$32)+(INDEX(c_TAXy,1,CV$7)-INDEX(c_TAXy,1,INDEX('Lease Cycles'!$GC$32:$GI$32,1,CV418)+1))+(INDEX(c_INSy,1,CV$7)-INDEX(c_INSy,1,INDEX('Lease Cycles'!$GC$32:$GI$32,1,CV418)+1)))/12)</f>
        <v>0</v>
      </c>
      <c r="CW429" s="28">
        <f>IF(CW428=0,0,CW428*MAX(0,(INDEX(c_CAMy,1,CW$7)-INDEX(c_CAMy,1,INDEX('Lease Cycles'!$GC$32:$GI$32,1,CW418)+1))*(1+'Lease Cycles'!$AK$32)+(INDEX(c_TAXy,1,CW$7)-INDEX(c_TAXy,1,INDEX('Lease Cycles'!$GC$32:$GI$32,1,CW418)+1))+(INDEX(c_INSy,1,CW$7)-INDEX(c_INSy,1,INDEX('Lease Cycles'!$GC$32:$GI$32,1,CW418)+1)))/12)</f>
        <v>0</v>
      </c>
      <c r="CX429" s="28">
        <f>IF(CX428=0,0,CX428*MAX(0,(INDEX(c_CAMy,1,CX$7)-INDEX(c_CAMy,1,INDEX('Lease Cycles'!$GC$32:$GI$32,1,CX418)+1))*(1+'Lease Cycles'!$AK$32)+(INDEX(c_TAXy,1,CX$7)-INDEX(c_TAXy,1,INDEX('Lease Cycles'!$GC$32:$GI$32,1,CX418)+1))+(INDEX(c_INSy,1,CX$7)-INDEX(c_INSy,1,INDEX('Lease Cycles'!$GC$32:$GI$32,1,CX418)+1)))/12)</f>
        <v>0</v>
      </c>
      <c r="CY429" s="28">
        <f>IF(CY428=0,0,CY428*MAX(0,(INDEX(c_CAMy,1,CY$7)-INDEX(c_CAMy,1,INDEX('Lease Cycles'!$GC$32:$GI$32,1,CY418)+1))*(1+'Lease Cycles'!$AK$32)+(INDEX(c_TAXy,1,CY$7)-INDEX(c_TAXy,1,INDEX('Lease Cycles'!$GC$32:$GI$32,1,CY418)+1))+(INDEX(c_INSy,1,CY$7)-INDEX(c_INSy,1,INDEX('Lease Cycles'!$GC$32:$GI$32,1,CY418)+1)))/12)</f>
        <v>0</v>
      </c>
      <c r="CZ429" s="28">
        <f>IF(CZ428=0,0,CZ428*MAX(0,(INDEX(c_CAMy,1,CZ$7)-INDEX(c_CAMy,1,INDEX('Lease Cycles'!$GC$32:$GI$32,1,CZ418)+1))*(1+'Lease Cycles'!$AK$32)+(INDEX(c_TAXy,1,CZ$7)-INDEX(c_TAXy,1,INDEX('Lease Cycles'!$GC$32:$GI$32,1,CZ418)+1))+(INDEX(c_INSy,1,CZ$7)-INDEX(c_INSy,1,INDEX('Lease Cycles'!$GC$32:$GI$32,1,CZ418)+1)))/12)</f>
        <v>0</v>
      </c>
      <c r="DA429" s="28">
        <f>IF(DA428=0,0,DA428*MAX(0,(INDEX(c_CAMy,1,DA$7)-INDEX(c_CAMy,1,INDEX('Lease Cycles'!$GC$32:$GI$32,1,DA418)+1))*(1+'Lease Cycles'!$AK$32)+(INDEX(c_TAXy,1,DA$7)-INDEX(c_TAXy,1,INDEX('Lease Cycles'!$GC$32:$GI$32,1,DA418)+1))+(INDEX(c_INSy,1,DA$7)-INDEX(c_INSy,1,INDEX('Lease Cycles'!$GC$32:$GI$32,1,DA418)+1)))/12)</f>
        <v>0</v>
      </c>
      <c r="DB429" s="28">
        <f>IF(DB428=0,0,DB428*MAX(0,(INDEX(c_CAMy,1,DB$7)-INDEX(c_CAMy,1,INDEX('Lease Cycles'!$GC$32:$GI$32,1,DB418)+1))*(1+'Lease Cycles'!$AK$32)+(INDEX(c_TAXy,1,DB$7)-INDEX(c_TAXy,1,INDEX('Lease Cycles'!$GC$32:$GI$32,1,DB418)+1))+(INDEX(c_INSy,1,DB$7)-INDEX(c_INSy,1,INDEX('Lease Cycles'!$GC$32:$GI$32,1,DB418)+1)))/12)</f>
        <v>0</v>
      </c>
      <c r="DC429" s="28">
        <f>IF(DC428=0,0,DC428*MAX(0,(INDEX(c_CAMy,1,DC$7)-INDEX(c_CAMy,1,INDEX('Lease Cycles'!$GC$32:$GI$32,1,DC418)+1))*(1+'Lease Cycles'!$AK$32)+(INDEX(c_TAXy,1,DC$7)-INDEX(c_TAXy,1,INDEX('Lease Cycles'!$GC$32:$GI$32,1,DC418)+1))+(INDEX(c_INSy,1,DC$7)-INDEX(c_INSy,1,INDEX('Lease Cycles'!$GC$32:$GI$32,1,DC418)+1)))/12)</f>
        <v>0</v>
      </c>
      <c r="DD429" s="28">
        <f>IF(DD428=0,0,DD428*MAX(0,(INDEX(c_CAMy,1,DD$7)-INDEX(c_CAMy,1,INDEX('Lease Cycles'!$GC$32:$GI$32,1,DD418)+1))*(1+'Lease Cycles'!$AK$32)+(INDEX(c_TAXy,1,DD$7)-INDEX(c_TAXy,1,INDEX('Lease Cycles'!$GC$32:$GI$32,1,DD418)+1))+(INDEX(c_INSy,1,DD$7)-INDEX(c_INSy,1,INDEX('Lease Cycles'!$GC$32:$GI$32,1,DD418)+1)))/12)</f>
        <v>0</v>
      </c>
      <c r="DE429" s="28">
        <f>IF(DE428=0,0,DE428*MAX(0,(INDEX(c_CAMy,1,DE$7)-INDEX(c_CAMy,1,INDEX('Lease Cycles'!$GC$32:$GI$32,1,DE418)+1))*(1+'Lease Cycles'!$AK$32)+(INDEX(c_TAXy,1,DE$7)-INDEX(c_TAXy,1,INDEX('Lease Cycles'!$GC$32:$GI$32,1,DE418)+1))+(INDEX(c_INSy,1,DE$7)-INDEX(c_INSy,1,INDEX('Lease Cycles'!$GC$32:$GI$32,1,DE418)+1)))/12)</f>
        <v>0</v>
      </c>
      <c r="DF429" s="28">
        <f>IF(DF428=0,0,DF428*MAX(0,(INDEX(c_CAMy,1,DF$7)-INDEX(c_CAMy,1,INDEX('Lease Cycles'!$GC$32:$GI$32,1,DF418)+1))*(1+'Lease Cycles'!$AK$32)+(INDEX(c_TAXy,1,DF$7)-INDEX(c_TAXy,1,INDEX('Lease Cycles'!$GC$32:$GI$32,1,DF418)+1))+(INDEX(c_INSy,1,DF$7)-INDEX(c_INSy,1,INDEX('Lease Cycles'!$GC$32:$GI$32,1,DF418)+1)))/12)</f>
        <v>0</v>
      </c>
      <c r="DG429" s="28">
        <f>IF(DG428=0,0,DG428*MAX(0,(INDEX(c_CAMy,1,DG$7)-INDEX(c_CAMy,1,INDEX('Lease Cycles'!$GC$32:$GI$32,1,DG418)+1))*(1+'Lease Cycles'!$AK$32)+(INDEX(c_TAXy,1,DG$7)-INDEX(c_TAXy,1,INDEX('Lease Cycles'!$GC$32:$GI$32,1,DG418)+1))+(INDEX(c_INSy,1,DG$7)-INDEX(c_INSy,1,INDEX('Lease Cycles'!$GC$32:$GI$32,1,DG418)+1)))/12)</f>
        <v>0</v>
      </c>
      <c r="DH429" s="28">
        <f>IF(DH428=0,0,DH428*MAX(0,(INDEX(c_CAMy,1,DH$7)-INDEX(c_CAMy,1,INDEX('Lease Cycles'!$GC$32:$GI$32,1,DH418)+1))*(1+'Lease Cycles'!$AK$32)+(INDEX(c_TAXy,1,DH$7)-INDEX(c_TAXy,1,INDEX('Lease Cycles'!$GC$32:$GI$32,1,DH418)+1))+(INDEX(c_INSy,1,DH$7)-INDEX(c_INSy,1,INDEX('Lease Cycles'!$GC$32:$GI$32,1,DH418)+1)))/12)</f>
        <v>0</v>
      </c>
      <c r="DI429" s="28">
        <f>IF(DI428=0,0,DI428*MAX(0,(INDEX(c_CAMy,1,DI$7)-INDEX(c_CAMy,1,INDEX('Lease Cycles'!$GC$32:$GI$32,1,DI418)+1))*(1+'Lease Cycles'!$AK$32)+(INDEX(c_TAXy,1,DI$7)-INDEX(c_TAXy,1,INDEX('Lease Cycles'!$GC$32:$GI$32,1,DI418)+1))+(INDEX(c_INSy,1,DI$7)-INDEX(c_INSy,1,INDEX('Lease Cycles'!$GC$32:$GI$32,1,DI418)+1)))/12)</f>
        <v>0</v>
      </c>
      <c r="DJ429" s="28">
        <f>IF(DJ428=0,0,DJ428*MAX(0,(INDEX(c_CAMy,1,DJ$7)-INDEX(c_CAMy,1,INDEX('Lease Cycles'!$GC$32:$GI$32,1,DJ418)+1))*(1+'Lease Cycles'!$AK$32)+(INDEX(c_TAXy,1,DJ$7)-INDEX(c_TAXy,1,INDEX('Lease Cycles'!$GC$32:$GI$32,1,DJ418)+1))+(INDEX(c_INSy,1,DJ$7)-INDEX(c_INSy,1,INDEX('Lease Cycles'!$GC$32:$GI$32,1,DJ418)+1)))/12)</f>
        <v>0</v>
      </c>
      <c r="DK429" s="28">
        <f>IF(DK428=0,0,DK428*MAX(0,(INDEX(c_CAMy,1,DK$7)-INDEX(c_CAMy,1,INDEX('Lease Cycles'!$GC$32:$GI$32,1,DK418)+1))*(1+'Lease Cycles'!$AK$32)+(INDEX(c_TAXy,1,DK$7)-INDEX(c_TAXy,1,INDEX('Lease Cycles'!$GC$32:$GI$32,1,DK418)+1))+(INDEX(c_INSy,1,DK$7)-INDEX(c_INSy,1,INDEX('Lease Cycles'!$GC$32:$GI$32,1,DK418)+1)))/12)</f>
        <v>0</v>
      </c>
      <c r="DL429" s="28">
        <f>IF(DL428=0,0,DL428*MAX(0,(INDEX(c_CAMy,1,DL$7)-INDEX(c_CAMy,1,INDEX('Lease Cycles'!$GC$32:$GI$32,1,DL418)+1))*(1+'Lease Cycles'!$AK$32)+(INDEX(c_TAXy,1,DL$7)-INDEX(c_TAXy,1,INDEX('Lease Cycles'!$GC$32:$GI$32,1,DL418)+1))+(INDEX(c_INSy,1,DL$7)-INDEX(c_INSy,1,INDEX('Lease Cycles'!$GC$32:$GI$32,1,DL418)+1)))/12)</f>
        <v>0</v>
      </c>
      <c r="DM429" s="28">
        <f>IF(DM428=0,0,DM428*MAX(0,(INDEX(c_CAMy,1,DM$7)-INDEX(c_CAMy,1,INDEX('Lease Cycles'!$GC$32:$GI$32,1,DM418)+1))*(1+'Lease Cycles'!$AK$32)+(INDEX(c_TAXy,1,DM$7)-INDEX(c_TAXy,1,INDEX('Lease Cycles'!$GC$32:$GI$32,1,DM418)+1))+(INDEX(c_INSy,1,DM$7)-INDEX(c_INSy,1,INDEX('Lease Cycles'!$GC$32:$GI$32,1,DM418)+1)))/12)</f>
        <v>0</v>
      </c>
      <c r="DN429" s="28">
        <f>IF(DN428=0,0,DN428*MAX(0,(INDEX(c_CAMy,1,DN$7)-INDEX(c_CAMy,1,INDEX('Lease Cycles'!$GC$32:$GI$32,1,DN418)+1))*(1+'Lease Cycles'!$AK$32)+(INDEX(c_TAXy,1,DN$7)-INDEX(c_TAXy,1,INDEX('Lease Cycles'!$GC$32:$GI$32,1,DN418)+1))+(INDEX(c_INSy,1,DN$7)-INDEX(c_INSy,1,INDEX('Lease Cycles'!$GC$32:$GI$32,1,DN418)+1)))/12)</f>
        <v>0</v>
      </c>
      <c r="DO429" s="28">
        <f>IF(DO428=0,0,DO428*MAX(0,(INDEX(c_CAMy,1,DO$7)-INDEX(c_CAMy,1,INDEX('Lease Cycles'!$GC$32:$GI$32,1,DO418)+1))*(1+'Lease Cycles'!$AK$32)+(INDEX(c_TAXy,1,DO$7)-INDEX(c_TAXy,1,INDEX('Lease Cycles'!$GC$32:$GI$32,1,DO418)+1))+(INDEX(c_INSy,1,DO$7)-INDEX(c_INSy,1,INDEX('Lease Cycles'!$GC$32:$GI$32,1,DO418)+1)))/12)</f>
        <v>0</v>
      </c>
      <c r="DP429" s="28">
        <f>IF(DP428=0,0,DP428*MAX(0,(INDEX(c_CAMy,1,DP$7)-INDEX(c_CAMy,1,INDEX('Lease Cycles'!$GC$32:$GI$32,1,DP418)+1))*(1+'Lease Cycles'!$AK$32)+(INDEX(c_TAXy,1,DP$7)-INDEX(c_TAXy,1,INDEX('Lease Cycles'!$GC$32:$GI$32,1,DP418)+1))+(INDEX(c_INSy,1,DP$7)-INDEX(c_INSy,1,INDEX('Lease Cycles'!$GC$32:$GI$32,1,DP418)+1)))/12)</f>
        <v>0</v>
      </c>
      <c r="DQ429" s="28">
        <f>IF(DQ428=0,0,DQ428*MAX(0,(INDEX(c_CAMy,1,DQ$7)-INDEX(c_CAMy,1,INDEX('Lease Cycles'!$GC$32:$GI$32,1,DQ418)+1))*(1+'Lease Cycles'!$AK$32)+(INDEX(c_TAXy,1,DQ$7)-INDEX(c_TAXy,1,INDEX('Lease Cycles'!$GC$32:$GI$32,1,DQ418)+1))+(INDEX(c_INSy,1,DQ$7)-INDEX(c_INSy,1,INDEX('Lease Cycles'!$GC$32:$GI$32,1,DQ418)+1)))/12)</f>
        <v>0</v>
      </c>
      <c r="DR429" s="28">
        <f>IF(DR428=0,0,DR428*MAX(0,(INDEX(c_CAMy,1,DR$7)-INDEX(c_CAMy,1,INDEX('Lease Cycles'!$GC$32:$GI$32,1,DR418)+1))*(1+'Lease Cycles'!$AK$32)+(INDEX(c_TAXy,1,DR$7)-INDEX(c_TAXy,1,INDEX('Lease Cycles'!$GC$32:$GI$32,1,DR418)+1))+(INDEX(c_INSy,1,DR$7)-INDEX(c_INSy,1,INDEX('Lease Cycles'!$GC$32:$GI$32,1,DR418)+1)))/12)</f>
        <v>0</v>
      </c>
      <c r="DS429" s="28">
        <f>IF(DS428=0,0,DS428*MAX(0,(INDEX(c_CAMy,1,DS$7)-INDEX(c_CAMy,1,INDEX('Lease Cycles'!$GC$32:$GI$32,1,DS418)+1))*(1+'Lease Cycles'!$AK$32)+(INDEX(c_TAXy,1,DS$7)-INDEX(c_TAXy,1,INDEX('Lease Cycles'!$GC$32:$GI$32,1,DS418)+1))+(INDEX(c_INSy,1,DS$7)-INDEX(c_INSy,1,INDEX('Lease Cycles'!$GC$32:$GI$32,1,DS418)+1)))/12)</f>
        <v>0</v>
      </c>
      <c r="DT429" s="28">
        <f>IF(DT428=0,0,DT428*MAX(0,(INDEX(c_CAMy,1,DT$7)-INDEX(c_CAMy,1,INDEX('Lease Cycles'!$GC$32:$GI$32,1,DT418)+1))*(1+'Lease Cycles'!$AK$32)+(INDEX(c_TAXy,1,DT$7)-INDEX(c_TAXy,1,INDEX('Lease Cycles'!$GC$32:$GI$32,1,DT418)+1))+(INDEX(c_INSy,1,DT$7)-INDEX(c_INSy,1,INDEX('Lease Cycles'!$GC$32:$GI$32,1,DT418)+1)))/12)</f>
        <v>0</v>
      </c>
      <c r="DU429" s="28">
        <f>IF(DU428=0,0,DU428*MAX(0,(INDEX(c_CAMy,1,DU$7)-INDEX(c_CAMy,1,INDEX('Lease Cycles'!$GC$32:$GI$32,1,DU418)+1))*(1+'Lease Cycles'!$AK$32)+(INDEX(c_TAXy,1,DU$7)-INDEX(c_TAXy,1,INDEX('Lease Cycles'!$GC$32:$GI$32,1,DU418)+1))+(INDEX(c_INSy,1,DU$7)-INDEX(c_INSy,1,INDEX('Lease Cycles'!$GC$32:$GI$32,1,DU418)+1)))/12)</f>
        <v>0</v>
      </c>
      <c r="DV429" s="28">
        <f>IF(DV428=0,0,DV428*MAX(0,(INDEX(c_CAMy,1,DV$7)-INDEX(c_CAMy,1,INDEX('Lease Cycles'!$GC$32:$GI$32,1,DV418)+1))*(1+'Lease Cycles'!$AK$32)+(INDEX(c_TAXy,1,DV$7)-INDEX(c_TAXy,1,INDEX('Lease Cycles'!$GC$32:$GI$32,1,DV418)+1))+(INDEX(c_INSy,1,DV$7)-INDEX(c_INSy,1,INDEX('Lease Cycles'!$GC$32:$GI$32,1,DV418)+1)))/12)</f>
        <v>0</v>
      </c>
      <c r="DW429" s="28">
        <f>IF(DW428=0,0,DW428*MAX(0,(INDEX(c_CAMy,1,DW$7)-INDEX(c_CAMy,1,INDEX('Lease Cycles'!$GC$32:$GI$32,1,DW418)+1))*(1+'Lease Cycles'!$AK$32)+(INDEX(c_TAXy,1,DW$7)-INDEX(c_TAXy,1,INDEX('Lease Cycles'!$GC$32:$GI$32,1,DW418)+1))+(INDEX(c_INSy,1,DW$7)-INDEX(c_INSy,1,INDEX('Lease Cycles'!$GC$32:$GI$32,1,DW418)+1)))/12)</f>
        <v>0</v>
      </c>
      <c r="DX429" s="28">
        <f>IF(DX428=0,0,DX428*MAX(0,(INDEX(c_CAMy,1,DX$7)-INDEX(c_CAMy,1,INDEX('Lease Cycles'!$GC$32:$GI$32,1,DX418)+1))*(1+'Lease Cycles'!$AK$32)+(INDEX(c_TAXy,1,DX$7)-INDEX(c_TAXy,1,INDEX('Lease Cycles'!$GC$32:$GI$32,1,DX418)+1))+(INDEX(c_INSy,1,DX$7)-INDEX(c_INSy,1,INDEX('Lease Cycles'!$GC$32:$GI$32,1,DX418)+1)))/12)</f>
        <v>0</v>
      </c>
      <c r="DY429" s="28">
        <f>IF(DY428=0,0,DY428*MAX(0,(INDEX(c_CAMy,1,DY$7)-INDEX(c_CAMy,1,INDEX('Lease Cycles'!$GC$32:$GI$32,1,DY418)+1))*(1+'Lease Cycles'!$AK$32)+(INDEX(c_TAXy,1,DY$7)-INDEX(c_TAXy,1,INDEX('Lease Cycles'!$GC$32:$GI$32,1,DY418)+1))+(INDEX(c_INSy,1,DY$7)-INDEX(c_INSy,1,INDEX('Lease Cycles'!$GC$32:$GI$32,1,DY418)+1)))/12)</f>
        <v>0</v>
      </c>
      <c r="DZ429" s="28">
        <f>IF(DZ428=0,0,DZ428*MAX(0,(INDEX(c_CAMy,1,DZ$7)-INDEX(c_CAMy,1,INDEX('Lease Cycles'!$GC$32:$GI$32,1,DZ418)+1))*(1+'Lease Cycles'!$AK$32)+(INDEX(c_TAXy,1,DZ$7)-INDEX(c_TAXy,1,INDEX('Lease Cycles'!$GC$32:$GI$32,1,DZ418)+1))+(INDEX(c_INSy,1,DZ$7)-INDEX(c_INSy,1,INDEX('Lease Cycles'!$GC$32:$GI$32,1,DZ418)+1)))/12)</f>
        <v>0</v>
      </c>
      <c r="EA429" s="28">
        <f>IF(EA428=0,0,EA428*MAX(0,(INDEX(c_CAMy,1,EA$7)-INDEX(c_CAMy,1,INDEX('Lease Cycles'!$GC$32:$GI$32,1,EA418)+1))*(1+'Lease Cycles'!$AK$32)+(INDEX(c_TAXy,1,EA$7)-INDEX(c_TAXy,1,INDEX('Lease Cycles'!$GC$32:$GI$32,1,EA418)+1))+(INDEX(c_INSy,1,EA$7)-INDEX(c_INSy,1,INDEX('Lease Cycles'!$GC$32:$GI$32,1,EA418)+1)))/12)</f>
        <v>0</v>
      </c>
      <c r="EB429" s="28">
        <f>IF(EB428=0,0,EB428*MAX(0,(INDEX(c_CAMy,1,EB$7)-INDEX(c_CAMy,1,INDEX('Lease Cycles'!$GC$32:$GI$32,1,EB418)+1))*(1+'Lease Cycles'!$AK$32)+(INDEX(c_TAXy,1,EB$7)-INDEX(c_TAXy,1,INDEX('Lease Cycles'!$GC$32:$GI$32,1,EB418)+1))+(INDEX(c_INSy,1,EB$7)-INDEX(c_INSy,1,INDEX('Lease Cycles'!$GC$32:$GI$32,1,EB418)+1)))/12)</f>
        <v>0</v>
      </c>
      <c r="EC429" s="28">
        <f>IF(EC428=0,0,EC428*MAX(0,(INDEX(c_CAMy,1,EC$7)-INDEX(c_CAMy,1,INDEX('Lease Cycles'!$GC$32:$GI$32,1,EC418)+1))*(1+'Lease Cycles'!$AK$32)+(INDEX(c_TAXy,1,EC$7)-INDEX(c_TAXy,1,INDEX('Lease Cycles'!$GC$32:$GI$32,1,EC418)+1))+(INDEX(c_INSy,1,EC$7)-INDEX(c_INSy,1,INDEX('Lease Cycles'!$GC$32:$GI$32,1,EC418)+1)))/12)</f>
        <v>0</v>
      </c>
      <c r="ED429" s="28">
        <f>IF(ED428=0,0,ED428*MAX(0,(INDEX(c_CAMy,1,ED$7)-INDEX(c_CAMy,1,INDEX('Lease Cycles'!$GC$32:$GI$32,1,ED418)+1))*(1+'Lease Cycles'!$AK$32)+(INDEX(c_TAXy,1,ED$7)-INDEX(c_TAXy,1,INDEX('Lease Cycles'!$GC$32:$GI$32,1,ED418)+1))+(INDEX(c_INSy,1,ED$7)-INDEX(c_INSy,1,INDEX('Lease Cycles'!$GC$32:$GI$32,1,ED418)+1)))/12)</f>
        <v>0</v>
      </c>
      <c r="EE429" s="28">
        <f>IF(EE428=0,0,EE428*MAX(0,(INDEX(c_CAMy,1,EE$7)-INDEX(c_CAMy,1,INDEX('Lease Cycles'!$GC$32:$GI$32,1,EE418)+1))*(1+'Lease Cycles'!$AK$32)+(INDEX(c_TAXy,1,EE$7)-INDEX(c_TAXy,1,INDEX('Lease Cycles'!$GC$32:$GI$32,1,EE418)+1))+(INDEX(c_INSy,1,EE$7)-INDEX(c_INSy,1,INDEX('Lease Cycles'!$GC$32:$GI$32,1,EE418)+1)))/12)</f>
        <v>0</v>
      </c>
      <c r="EF429" s="28">
        <f>IF(EF428=0,0,EF428*MAX(0,(INDEX(c_CAMy,1,EF$7)-INDEX(c_CAMy,1,INDEX('Lease Cycles'!$GC$32:$GI$32,1,EF418)+1))*(1+'Lease Cycles'!$AK$32)+(INDEX(c_TAXy,1,EF$7)-INDEX(c_TAXy,1,INDEX('Lease Cycles'!$GC$32:$GI$32,1,EF418)+1))+(INDEX(c_INSy,1,EF$7)-INDEX(c_INSy,1,INDEX('Lease Cycles'!$GC$32:$GI$32,1,EF418)+1)))/12)</f>
        <v>0</v>
      </c>
      <c r="EG429" s="28">
        <f>IF(EG428=0,0,EG428*MAX(0,(INDEX(c_CAMy,1,EG$7)-INDEX(c_CAMy,1,INDEX('Lease Cycles'!$GC$32:$GI$32,1,EG418)+1))*(1+'Lease Cycles'!$AK$32)+(INDEX(c_TAXy,1,EG$7)-INDEX(c_TAXy,1,INDEX('Lease Cycles'!$GC$32:$GI$32,1,EG418)+1))+(INDEX(c_INSy,1,EG$7)-INDEX(c_INSy,1,INDEX('Lease Cycles'!$GC$32:$GI$32,1,EG418)+1)))/12)</f>
        <v>0</v>
      </c>
      <c r="EH429" s="28">
        <f>IF(EH428=0,0,EH428*MAX(0,(INDEX(c_CAMy,1,EH$7)-INDEX(c_CAMy,1,INDEX('Lease Cycles'!$GC$32:$GI$32,1,EH418)+1))*(1+'Lease Cycles'!$AK$32)+(INDEX(c_TAXy,1,EH$7)-INDEX(c_TAXy,1,INDEX('Lease Cycles'!$GC$32:$GI$32,1,EH418)+1))+(INDEX(c_INSy,1,EH$7)-INDEX(c_INSy,1,INDEX('Lease Cycles'!$GC$32:$GI$32,1,EH418)+1)))/12)</f>
        <v>0</v>
      </c>
      <c r="EI429" s="28">
        <f>IF(EI428=0,0,EI428*MAX(0,(INDEX(c_CAMy,1,EI$7)-INDEX(c_CAMy,1,INDEX('Lease Cycles'!$GC$32:$GI$32,1,EI418)+1))*(1+'Lease Cycles'!$AK$32)+(INDEX(c_TAXy,1,EI$7)-INDEX(c_TAXy,1,INDEX('Lease Cycles'!$GC$32:$GI$32,1,EI418)+1))+(INDEX(c_INSy,1,EI$7)-INDEX(c_INSy,1,INDEX('Lease Cycles'!$GC$32:$GI$32,1,EI418)+1)))/12)</f>
        <v>0</v>
      </c>
      <c r="EJ429" s="28">
        <f>IF(EJ428=0,0,EJ428*MAX(0,(INDEX(c_CAMy,1,EJ$7)-INDEX(c_CAMy,1,INDEX('Lease Cycles'!$GC$32:$GI$32,1,EJ418)+1))*(1+'Lease Cycles'!$AK$32)+(INDEX(c_TAXy,1,EJ$7)-INDEX(c_TAXy,1,INDEX('Lease Cycles'!$GC$32:$GI$32,1,EJ418)+1))+(INDEX(c_INSy,1,EJ$7)-INDEX(c_INSy,1,INDEX('Lease Cycles'!$GC$32:$GI$32,1,EJ418)+1)))/12)</f>
        <v>0</v>
      </c>
      <c r="EK429" s="28">
        <f>IF(EK428=0,0,EK428*MAX(0,(INDEX(c_CAMy,1,EK$7)-INDEX(c_CAMy,1,INDEX('Lease Cycles'!$GC$32:$GI$32,1,EK418)+1))*(1+'Lease Cycles'!$AK$32)+(INDEX(c_TAXy,1,EK$7)-INDEX(c_TAXy,1,INDEX('Lease Cycles'!$GC$32:$GI$32,1,EK418)+1))+(INDEX(c_INSy,1,EK$7)-INDEX(c_INSy,1,INDEX('Lease Cycles'!$GC$32:$GI$32,1,EK418)+1)))/12)</f>
        <v>0</v>
      </c>
      <c r="EL429" s="28">
        <f>IF(EL428=0,0,EL428*MAX(0,(INDEX(c_CAMy,1,EL$7)-INDEX(c_CAMy,1,INDEX('Lease Cycles'!$GC$32:$GI$32,1,EL418)+1))*(1+'Lease Cycles'!$AK$32)+(INDEX(c_TAXy,1,EL$7)-INDEX(c_TAXy,1,INDEX('Lease Cycles'!$GC$32:$GI$32,1,EL418)+1))+(INDEX(c_INSy,1,EL$7)-INDEX(c_INSy,1,INDEX('Lease Cycles'!$GC$32:$GI$32,1,EL418)+1)))/12)</f>
        <v>0</v>
      </c>
      <c r="EM429" s="28">
        <f>IF(EM428=0,0,EM428*MAX(0,(INDEX(c_CAMy,1,EM$7)-INDEX(c_CAMy,1,INDEX('Lease Cycles'!$GC$32:$GI$32,1,EM418)+1))*(1+'Lease Cycles'!$AK$32)+(INDEX(c_TAXy,1,EM$7)-INDEX(c_TAXy,1,INDEX('Lease Cycles'!$GC$32:$GI$32,1,EM418)+1))+(INDEX(c_INSy,1,EM$7)-INDEX(c_INSy,1,INDEX('Lease Cycles'!$GC$32:$GI$32,1,EM418)+1)))/12)</f>
        <v>0</v>
      </c>
      <c r="EN429" s="28">
        <f>IF(EN428=0,0,EN428*MAX(0,(INDEX(c_CAMy,1,EN$7)-INDEX(c_CAMy,1,INDEX('Lease Cycles'!$GC$32:$GI$32,1,EN418)+1))*(1+'Lease Cycles'!$AK$32)+(INDEX(c_TAXy,1,EN$7)-INDEX(c_TAXy,1,INDEX('Lease Cycles'!$GC$32:$GI$32,1,EN418)+1))+(INDEX(c_INSy,1,EN$7)-INDEX(c_INSy,1,INDEX('Lease Cycles'!$GC$32:$GI$32,1,EN418)+1)))/12)</f>
        <v>0</v>
      </c>
      <c r="EO429" s="28">
        <f>IF(EO428=0,0,EO428*MAX(0,(INDEX(c_CAMy,1,EO$7)-INDEX(c_CAMy,1,INDEX('Lease Cycles'!$GC$32:$GI$32,1,EO418)+1))*(1+'Lease Cycles'!$AK$32)+(INDEX(c_TAXy,1,EO$7)-INDEX(c_TAXy,1,INDEX('Lease Cycles'!$GC$32:$GI$32,1,EO418)+1))+(INDEX(c_INSy,1,EO$7)-INDEX(c_INSy,1,INDEX('Lease Cycles'!$GC$32:$GI$32,1,EO418)+1)))/12)</f>
        <v>0</v>
      </c>
      <c r="EP429" s="28">
        <f>IF(EP428=0,0,EP428*MAX(0,(INDEX(c_CAMy,1,EP$7)-INDEX(c_CAMy,1,INDEX('Lease Cycles'!$GC$32:$GI$32,1,EP418)+1))*(1+'Lease Cycles'!$AK$32)+(INDEX(c_TAXy,1,EP$7)-INDEX(c_TAXy,1,INDEX('Lease Cycles'!$GC$32:$GI$32,1,EP418)+1))+(INDEX(c_INSy,1,EP$7)-INDEX(c_INSy,1,INDEX('Lease Cycles'!$GC$32:$GI$32,1,EP418)+1)))/12)</f>
        <v>0</v>
      </c>
      <c r="EQ429" s="28">
        <f>IF(EQ428=0,0,EQ428*MAX(0,(INDEX(c_CAMy,1,EQ$7)-INDEX(c_CAMy,1,INDEX('Lease Cycles'!$GC$32:$GI$32,1,EQ418)+1))*(1+'Lease Cycles'!$AK$32)+(INDEX(c_TAXy,1,EQ$7)-INDEX(c_TAXy,1,INDEX('Lease Cycles'!$GC$32:$GI$32,1,EQ418)+1))+(INDEX(c_INSy,1,EQ$7)-INDEX(c_INSy,1,INDEX('Lease Cycles'!$GC$32:$GI$32,1,EQ418)+1)))/12)</f>
        <v>0</v>
      </c>
      <c r="ER429" s="28">
        <f>IF(ER428=0,0,ER428*MAX(0,(INDEX(c_CAMy,1,ER$7)-INDEX(c_CAMy,1,INDEX('Lease Cycles'!$GC$32:$GI$32,1,ER418)+1))*(1+'Lease Cycles'!$AK$32)+(INDEX(c_TAXy,1,ER$7)-INDEX(c_TAXy,1,INDEX('Lease Cycles'!$GC$32:$GI$32,1,ER418)+1))+(INDEX(c_INSy,1,ER$7)-INDEX(c_INSy,1,INDEX('Lease Cycles'!$GC$32:$GI$32,1,ER418)+1)))/12)</f>
        <v>0</v>
      </c>
      <c r="ES429" s="28">
        <f>IF(ES428=0,0,ES428*MAX(0,(INDEX(c_CAMy,1,ES$7)-INDEX(c_CAMy,1,INDEX('Lease Cycles'!$GC$32:$GI$32,1,ES418)+1))*(1+'Lease Cycles'!$AK$32)+(INDEX(c_TAXy,1,ES$7)-INDEX(c_TAXy,1,INDEX('Lease Cycles'!$GC$32:$GI$32,1,ES418)+1))+(INDEX(c_INSy,1,ES$7)-INDEX(c_INSy,1,INDEX('Lease Cycles'!$GC$32:$GI$32,1,ES418)+1)))/12)</f>
        <v>0</v>
      </c>
      <c r="ET429" s="28">
        <f>IF(ET428=0,0,ET428*MAX(0,(INDEX(c_CAMy,1,ET$7)-INDEX(c_CAMy,1,INDEX('Lease Cycles'!$GC$32:$GI$32,1,ET418)+1))*(1+'Lease Cycles'!$AK$32)+(INDEX(c_TAXy,1,ET$7)-INDEX(c_TAXy,1,INDEX('Lease Cycles'!$GC$32:$GI$32,1,ET418)+1))+(INDEX(c_INSy,1,ET$7)-INDEX(c_INSy,1,INDEX('Lease Cycles'!$GC$32:$GI$32,1,ET418)+1)))/12)</f>
        <v>0</v>
      </c>
    </row>
    <row r="430">
      <c r="A430" s="103">
        <v>25</v>
      </c>
      <c r="B430" s="23" t="str">
        <f>IF('Lease Cycles'!$B$32="","(empty slot)",'Lease Cycles'!$B$32)</f>
        <v>(empty slot)</v>
      </c>
      <c r="C430" s="23" t="s">
        <v>530</v>
      </c>
      <c r="D430" s="104" t="s">
        <v>531</v>
      </c>
      <c r="E430" s="25">
        <f>'Lease Cycles'!$AL$32</f>
        <v>0</v>
      </c>
      <c r="G430" s="28">
        <f>SUM(S430:AD430)</f>
        <v>0</v>
      </c>
      <c r="H430" s="28">
        <f>SUM(AE430:AP430)</f>
        <v>0</v>
      </c>
      <c r="I430" s="28">
        <f>SUM(AQ430:BB430)</f>
        <v>0</v>
      </c>
      <c r="J430" s="28">
        <f>SUM(BC430:BN430)</f>
        <v>0</v>
      </c>
      <c r="K430" s="28">
        <f>SUM(BO430:BZ430)</f>
        <v>0</v>
      </c>
      <c r="L430" s="28">
        <f>SUM(CA430:CL430)</f>
        <v>0</v>
      </c>
      <c r="M430" s="28">
        <f>SUM(CM430:CX430)</f>
        <v>0</v>
      </c>
      <c r="N430" s="28">
        <f>SUM(CY430:DJ430)</f>
        <v>0</v>
      </c>
      <c r="O430" s="28">
        <f>SUM(DK430:DV430)</f>
        <v>0</v>
      </c>
      <c r="P430" s="28">
        <f>SUM(DW430:EH430)</f>
        <v>0</v>
      </c>
      <c r="Q430" s="28">
        <f>SUM(EI430:ET430)</f>
        <v>0</v>
      </c>
      <c r="S430" s="28">
        <f>SUMIF('Lease Cycles'!$HL$32:$HR$32,S$6,'Lease Cycles'!$HS$32:$HY$32)</f>
        <v>0</v>
      </c>
      <c r="T430" s="28">
        <f>SUMIF('Lease Cycles'!$HL$32:$HR$32,T$6,'Lease Cycles'!$HS$32:$HY$32)</f>
        <v>0</v>
      </c>
      <c r="U430" s="28">
        <f>SUMIF('Lease Cycles'!$HL$32:$HR$32,U$6,'Lease Cycles'!$HS$32:$HY$32)</f>
        <v>0</v>
      </c>
      <c r="V430" s="28">
        <f>SUMIF('Lease Cycles'!$HL$32:$HR$32,V$6,'Lease Cycles'!$HS$32:$HY$32)</f>
        <v>0</v>
      </c>
      <c r="W430" s="28">
        <f>SUMIF('Lease Cycles'!$HL$32:$HR$32,W$6,'Lease Cycles'!$HS$32:$HY$32)</f>
        <v>0</v>
      </c>
      <c r="X430" s="28">
        <f>SUMIF('Lease Cycles'!$HL$32:$HR$32,X$6,'Lease Cycles'!$HS$32:$HY$32)</f>
        <v>0</v>
      </c>
      <c r="Y430" s="28">
        <f>SUMIF('Lease Cycles'!$HL$32:$HR$32,Y$6,'Lease Cycles'!$HS$32:$HY$32)</f>
        <v>0</v>
      </c>
      <c r="Z430" s="28">
        <f>SUMIF('Lease Cycles'!$HL$32:$HR$32,Z$6,'Lease Cycles'!$HS$32:$HY$32)</f>
        <v>0</v>
      </c>
      <c r="AA430" s="28">
        <f>SUMIF('Lease Cycles'!$HL$32:$HR$32,AA$6,'Lease Cycles'!$HS$32:$HY$32)</f>
        <v>0</v>
      </c>
      <c r="AB430" s="28">
        <f>SUMIF('Lease Cycles'!$HL$32:$HR$32,AB$6,'Lease Cycles'!$HS$32:$HY$32)</f>
        <v>0</v>
      </c>
      <c r="AC430" s="28">
        <f>SUMIF('Lease Cycles'!$HL$32:$HR$32,AC$6,'Lease Cycles'!$HS$32:$HY$32)</f>
        <v>0</v>
      </c>
      <c r="AD430" s="28">
        <f>SUMIF('Lease Cycles'!$HL$32:$HR$32,AD$6,'Lease Cycles'!$HS$32:$HY$32)</f>
        <v>0</v>
      </c>
      <c r="AE430" s="28">
        <f>SUMIF('Lease Cycles'!$HL$32:$HR$32,AE$6,'Lease Cycles'!$HS$32:$HY$32)</f>
        <v>0</v>
      </c>
      <c r="AF430" s="28">
        <f>SUMIF('Lease Cycles'!$HL$32:$HR$32,AF$6,'Lease Cycles'!$HS$32:$HY$32)</f>
        <v>0</v>
      </c>
      <c r="AG430" s="28">
        <f>SUMIF('Lease Cycles'!$HL$32:$HR$32,AG$6,'Lease Cycles'!$HS$32:$HY$32)</f>
        <v>0</v>
      </c>
      <c r="AH430" s="28">
        <f>SUMIF('Lease Cycles'!$HL$32:$HR$32,AH$6,'Lease Cycles'!$HS$32:$HY$32)</f>
        <v>0</v>
      </c>
      <c r="AI430" s="28">
        <f>SUMIF('Lease Cycles'!$HL$32:$HR$32,AI$6,'Lease Cycles'!$HS$32:$HY$32)</f>
        <v>0</v>
      </c>
      <c r="AJ430" s="28">
        <f>SUMIF('Lease Cycles'!$HL$32:$HR$32,AJ$6,'Lease Cycles'!$HS$32:$HY$32)</f>
        <v>0</v>
      </c>
      <c r="AK430" s="28">
        <f>SUMIF('Lease Cycles'!$HL$32:$HR$32,AK$6,'Lease Cycles'!$HS$32:$HY$32)</f>
        <v>0</v>
      </c>
      <c r="AL430" s="28">
        <f>SUMIF('Lease Cycles'!$HL$32:$HR$32,AL$6,'Lease Cycles'!$HS$32:$HY$32)</f>
        <v>0</v>
      </c>
      <c r="AM430" s="28">
        <f>SUMIF('Lease Cycles'!$HL$32:$HR$32,AM$6,'Lease Cycles'!$HS$32:$HY$32)</f>
        <v>0</v>
      </c>
      <c r="AN430" s="28">
        <f>SUMIF('Lease Cycles'!$HL$32:$HR$32,AN$6,'Lease Cycles'!$HS$32:$HY$32)</f>
        <v>0</v>
      </c>
      <c r="AO430" s="28">
        <f>SUMIF('Lease Cycles'!$HL$32:$HR$32,AO$6,'Lease Cycles'!$HS$32:$HY$32)</f>
        <v>0</v>
      </c>
      <c r="AP430" s="28">
        <f>SUMIF('Lease Cycles'!$HL$32:$HR$32,AP$6,'Lease Cycles'!$HS$32:$HY$32)</f>
        <v>0</v>
      </c>
      <c r="AQ430" s="28">
        <f>SUMIF('Lease Cycles'!$HL$32:$HR$32,AQ$6,'Lease Cycles'!$HS$32:$HY$32)</f>
        <v>0</v>
      </c>
      <c r="AR430" s="28">
        <f>SUMIF('Lease Cycles'!$HL$32:$HR$32,AR$6,'Lease Cycles'!$HS$32:$HY$32)</f>
        <v>0</v>
      </c>
      <c r="AS430" s="28">
        <f>SUMIF('Lease Cycles'!$HL$32:$HR$32,AS$6,'Lease Cycles'!$HS$32:$HY$32)</f>
        <v>0</v>
      </c>
      <c r="AT430" s="28">
        <f>SUMIF('Lease Cycles'!$HL$32:$HR$32,AT$6,'Lease Cycles'!$HS$32:$HY$32)</f>
        <v>0</v>
      </c>
      <c r="AU430" s="28">
        <f>SUMIF('Lease Cycles'!$HL$32:$HR$32,AU$6,'Lease Cycles'!$HS$32:$HY$32)</f>
        <v>0</v>
      </c>
      <c r="AV430" s="28">
        <f>SUMIF('Lease Cycles'!$HL$32:$HR$32,AV$6,'Lease Cycles'!$HS$32:$HY$32)</f>
        <v>0</v>
      </c>
      <c r="AW430" s="28">
        <f>SUMIF('Lease Cycles'!$HL$32:$HR$32,AW$6,'Lease Cycles'!$HS$32:$HY$32)</f>
        <v>0</v>
      </c>
      <c r="AX430" s="28">
        <f>SUMIF('Lease Cycles'!$HL$32:$HR$32,AX$6,'Lease Cycles'!$HS$32:$HY$32)</f>
        <v>0</v>
      </c>
      <c r="AY430" s="28">
        <f>SUMIF('Lease Cycles'!$HL$32:$HR$32,AY$6,'Lease Cycles'!$HS$32:$HY$32)</f>
        <v>0</v>
      </c>
      <c r="AZ430" s="28">
        <f>SUMIF('Lease Cycles'!$HL$32:$HR$32,AZ$6,'Lease Cycles'!$HS$32:$HY$32)</f>
        <v>0</v>
      </c>
      <c r="BA430" s="28">
        <f>SUMIF('Lease Cycles'!$HL$32:$HR$32,BA$6,'Lease Cycles'!$HS$32:$HY$32)</f>
        <v>0</v>
      </c>
      <c r="BB430" s="28">
        <f>SUMIF('Lease Cycles'!$HL$32:$HR$32,BB$6,'Lease Cycles'!$HS$32:$HY$32)</f>
        <v>0</v>
      </c>
      <c r="BC430" s="28">
        <f>SUMIF('Lease Cycles'!$HL$32:$HR$32,BC$6,'Lease Cycles'!$HS$32:$HY$32)</f>
        <v>0</v>
      </c>
      <c r="BD430" s="28">
        <f>SUMIF('Lease Cycles'!$HL$32:$HR$32,BD$6,'Lease Cycles'!$HS$32:$HY$32)</f>
        <v>0</v>
      </c>
      <c r="BE430" s="28">
        <f>SUMIF('Lease Cycles'!$HL$32:$HR$32,BE$6,'Lease Cycles'!$HS$32:$HY$32)</f>
        <v>0</v>
      </c>
      <c r="BF430" s="28">
        <f>SUMIF('Lease Cycles'!$HL$32:$HR$32,BF$6,'Lease Cycles'!$HS$32:$HY$32)</f>
        <v>0</v>
      </c>
      <c r="BG430" s="28">
        <f>SUMIF('Lease Cycles'!$HL$32:$HR$32,BG$6,'Lease Cycles'!$HS$32:$HY$32)</f>
        <v>0</v>
      </c>
      <c r="BH430" s="28">
        <f>SUMIF('Lease Cycles'!$HL$32:$HR$32,BH$6,'Lease Cycles'!$HS$32:$HY$32)</f>
        <v>0</v>
      </c>
      <c r="BI430" s="28">
        <f>SUMIF('Lease Cycles'!$HL$32:$HR$32,BI$6,'Lease Cycles'!$HS$32:$HY$32)</f>
        <v>0</v>
      </c>
      <c r="BJ430" s="28">
        <f>SUMIF('Lease Cycles'!$HL$32:$HR$32,BJ$6,'Lease Cycles'!$HS$32:$HY$32)</f>
        <v>0</v>
      </c>
      <c r="BK430" s="28">
        <f>SUMIF('Lease Cycles'!$HL$32:$HR$32,BK$6,'Lease Cycles'!$HS$32:$HY$32)</f>
        <v>0</v>
      </c>
      <c r="BL430" s="28">
        <f>SUMIF('Lease Cycles'!$HL$32:$HR$32,BL$6,'Lease Cycles'!$HS$32:$HY$32)</f>
        <v>0</v>
      </c>
      <c r="BM430" s="28">
        <f>SUMIF('Lease Cycles'!$HL$32:$HR$32,BM$6,'Lease Cycles'!$HS$32:$HY$32)</f>
        <v>0</v>
      </c>
      <c r="BN430" s="28">
        <f>SUMIF('Lease Cycles'!$HL$32:$HR$32,BN$6,'Lease Cycles'!$HS$32:$HY$32)</f>
        <v>0</v>
      </c>
      <c r="BO430" s="28">
        <f>SUMIF('Lease Cycles'!$HL$32:$HR$32,BO$6,'Lease Cycles'!$HS$32:$HY$32)</f>
        <v>0</v>
      </c>
      <c r="BP430" s="28">
        <f>SUMIF('Lease Cycles'!$HL$32:$HR$32,BP$6,'Lease Cycles'!$HS$32:$HY$32)</f>
        <v>0</v>
      </c>
      <c r="BQ430" s="28">
        <f>SUMIF('Lease Cycles'!$HL$32:$HR$32,BQ$6,'Lease Cycles'!$HS$32:$HY$32)</f>
        <v>0</v>
      </c>
      <c r="BR430" s="28">
        <f>SUMIF('Lease Cycles'!$HL$32:$HR$32,BR$6,'Lease Cycles'!$HS$32:$HY$32)</f>
        <v>0</v>
      </c>
      <c r="BS430" s="28">
        <f>SUMIF('Lease Cycles'!$HL$32:$HR$32,BS$6,'Lease Cycles'!$HS$32:$HY$32)</f>
        <v>0</v>
      </c>
      <c r="BT430" s="28">
        <f>SUMIF('Lease Cycles'!$HL$32:$HR$32,BT$6,'Lease Cycles'!$HS$32:$HY$32)</f>
        <v>0</v>
      </c>
      <c r="BU430" s="28">
        <f>SUMIF('Lease Cycles'!$HL$32:$HR$32,BU$6,'Lease Cycles'!$HS$32:$HY$32)</f>
        <v>0</v>
      </c>
      <c r="BV430" s="28">
        <f>SUMIF('Lease Cycles'!$HL$32:$HR$32,BV$6,'Lease Cycles'!$HS$32:$HY$32)</f>
        <v>0</v>
      </c>
      <c r="BW430" s="28">
        <f>SUMIF('Lease Cycles'!$HL$32:$HR$32,BW$6,'Lease Cycles'!$HS$32:$HY$32)</f>
        <v>0</v>
      </c>
      <c r="BX430" s="28">
        <f>SUMIF('Lease Cycles'!$HL$32:$HR$32,BX$6,'Lease Cycles'!$HS$32:$HY$32)</f>
        <v>0</v>
      </c>
      <c r="BY430" s="28">
        <f>SUMIF('Lease Cycles'!$HL$32:$HR$32,BY$6,'Lease Cycles'!$HS$32:$HY$32)</f>
        <v>0</v>
      </c>
      <c r="BZ430" s="28">
        <f>SUMIF('Lease Cycles'!$HL$32:$HR$32,BZ$6,'Lease Cycles'!$HS$32:$HY$32)</f>
        <v>0</v>
      </c>
      <c r="CA430" s="28">
        <f>SUMIF('Lease Cycles'!$HL$32:$HR$32,CA$6,'Lease Cycles'!$HS$32:$HY$32)</f>
        <v>0</v>
      </c>
      <c r="CB430" s="28">
        <f>SUMIF('Lease Cycles'!$HL$32:$HR$32,CB$6,'Lease Cycles'!$HS$32:$HY$32)</f>
        <v>0</v>
      </c>
      <c r="CC430" s="28">
        <f>SUMIF('Lease Cycles'!$HL$32:$HR$32,CC$6,'Lease Cycles'!$HS$32:$HY$32)</f>
        <v>0</v>
      </c>
      <c r="CD430" s="28">
        <f>SUMIF('Lease Cycles'!$HL$32:$HR$32,CD$6,'Lease Cycles'!$HS$32:$HY$32)</f>
        <v>0</v>
      </c>
      <c r="CE430" s="28">
        <f>SUMIF('Lease Cycles'!$HL$32:$HR$32,CE$6,'Lease Cycles'!$HS$32:$HY$32)</f>
        <v>0</v>
      </c>
      <c r="CF430" s="28">
        <f>SUMIF('Lease Cycles'!$HL$32:$HR$32,CF$6,'Lease Cycles'!$HS$32:$HY$32)</f>
        <v>0</v>
      </c>
      <c r="CG430" s="28">
        <f>SUMIF('Lease Cycles'!$HL$32:$HR$32,CG$6,'Lease Cycles'!$HS$32:$HY$32)</f>
        <v>0</v>
      </c>
      <c r="CH430" s="28">
        <f>SUMIF('Lease Cycles'!$HL$32:$HR$32,CH$6,'Lease Cycles'!$HS$32:$HY$32)</f>
        <v>0</v>
      </c>
      <c r="CI430" s="28">
        <f>SUMIF('Lease Cycles'!$HL$32:$HR$32,CI$6,'Lease Cycles'!$HS$32:$HY$32)</f>
        <v>0</v>
      </c>
      <c r="CJ430" s="28">
        <f>SUMIF('Lease Cycles'!$HL$32:$HR$32,CJ$6,'Lease Cycles'!$HS$32:$HY$32)</f>
        <v>0</v>
      </c>
      <c r="CK430" s="28">
        <f>SUMIF('Lease Cycles'!$HL$32:$HR$32,CK$6,'Lease Cycles'!$HS$32:$HY$32)</f>
        <v>0</v>
      </c>
      <c r="CL430" s="28">
        <f>SUMIF('Lease Cycles'!$HL$32:$HR$32,CL$6,'Lease Cycles'!$HS$32:$HY$32)</f>
        <v>0</v>
      </c>
      <c r="CM430" s="28">
        <f>SUMIF('Lease Cycles'!$HL$32:$HR$32,CM$6,'Lease Cycles'!$HS$32:$HY$32)</f>
        <v>0</v>
      </c>
      <c r="CN430" s="28">
        <f>SUMIF('Lease Cycles'!$HL$32:$HR$32,CN$6,'Lease Cycles'!$HS$32:$HY$32)</f>
        <v>0</v>
      </c>
      <c r="CO430" s="28">
        <f>SUMIF('Lease Cycles'!$HL$32:$HR$32,CO$6,'Lease Cycles'!$HS$32:$HY$32)</f>
        <v>0</v>
      </c>
      <c r="CP430" s="28">
        <f>SUMIF('Lease Cycles'!$HL$32:$HR$32,CP$6,'Lease Cycles'!$HS$32:$HY$32)</f>
        <v>0</v>
      </c>
      <c r="CQ430" s="28">
        <f>SUMIF('Lease Cycles'!$HL$32:$HR$32,CQ$6,'Lease Cycles'!$HS$32:$HY$32)</f>
        <v>0</v>
      </c>
      <c r="CR430" s="28">
        <f>SUMIF('Lease Cycles'!$HL$32:$HR$32,CR$6,'Lease Cycles'!$HS$32:$HY$32)</f>
        <v>0</v>
      </c>
      <c r="CS430" s="28">
        <f>SUMIF('Lease Cycles'!$HL$32:$HR$32,CS$6,'Lease Cycles'!$HS$32:$HY$32)</f>
        <v>0</v>
      </c>
      <c r="CT430" s="28">
        <f>SUMIF('Lease Cycles'!$HL$32:$HR$32,CT$6,'Lease Cycles'!$HS$32:$HY$32)</f>
        <v>0</v>
      </c>
      <c r="CU430" s="28">
        <f>SUMIF('Lease Cycles'!$HL$32:$HR$32,CU$6,'Lease Cycles'!$HS$32:$HY$32)</f>
        <v>0</v>
      </c>
      <c r="CV430" s="28">
        <f>SUMIF('Lease Cycles'!$HL$32:$HR$32,CV$6,'Lease Cycles'!$HS$32:$HY$32)</f>
        <v>0</v>
      </c>
      <c r="CW430" s="28">
        <f>SUMIF('Lease Cycles'!$HL$32:$HR$32,CW$6,'Lease Cycles'!$HS$32:$HY$32)</f>
        <v>0</v>
      </c>
      <c r="CX430" s="28">
        <f>SUMIF('Lease Cycles'!$HL$32:$HR$32,CX$6,'Lease Cycles'!$HS$32:$HY$32)</f>
        <v>0</v>
      </c>
      <c r="CY430" s="28">
        <f>SUMIF('Lease Cycles'!$HL$32:$HR$32,CY$6,'Lease Cycles'!$HS$32:$HY$32)</f>
        <v>0</v>
      </c>
      <c r="CZ430" s="28">
        <f>SUMIF('Lease Cycles'!$HL$32:$HR$32,CZ$6,'Lease Cycles'!$HS$32:$HY$32)</f>
        <v>0</v>
      </c>
      <c r="DA430" s="28">
        <f>SUMIF('Lease Cycles'!$HL$32:$HR$32,DA$6,'Lease Cycles'!$HS$32:$HY$32)</f>
        <v>0</v>
      </c>
      <c r="DB430" s="28">
        <f>SUMIF('Lease Cycles'!$HL$32:$HR$32,DB$6,'Lease Cycles'!$HS$32:$HY$32)</f>
        <v>0</v>
      </c>
      <c r="DC430" s="28">
        <f>SUMIF('Lease Cycles'!$HL$32:$HR$32,DC$6,'Lease Cycles'!$HS$32:$HY$32)</f>
        <v>0</v>
      </c>
      <c r="DD430" s="28">
        <f>SUMIF('Lease Cycles'!$HL$32:$HR$32,DD$6,'Lease Cycles'!$HS$32:$HY$32)</f>
        <v>0</v>
      </c>
      <c r="DE430" s="28">
        <f>SUMIF('Lease Cycles'!$HL$32:$HR$32,DE$6,'Lease Cycles'!$HS$32:$HY$32)</f>
        <v>0</v>
      </c>
      <c r="DF430" s="28">
        <f>SUMIF('Lease Cycles'!$HL$32:$HR$32,DF$6,'Lease Cycles'!$HS$32:$HY$32)</f>
        <v>0</v>
      </c>
      <c r="DG430" s="28">
        <f>SUMIF('Lease Cycles'!$HL$32:$HR$32,DG$6,'Lease Cycles'!$HS$32:$HY$32)</f>
        <v>0</v>
      </c>
      <c r="DH430" s="28">
        <f>SUMIF('Lease Cycles'!$HL$32:$HR$32,DH$6,'Lease Cycles'!$HS$32:$HY$32)</f>
        <v>0</v>
      </c>
      <c r="DI430" s="28">
        <f>SUMIF('Lease Cycles'!$HL$32:$HR$32,DI$6,'Lease Cycles'!$HS$32:$HY$32)</f>
        <v>0</v>
      </c>
      <c r="DJ430" s="28">
        <f>SUMIF('Lease Cycles'!$HL$32:$HR$32,DJ$6,'Lease Cycles'!$HS$32:$HY$32)</f>
        <v>0</v>
      </c>
      <c r="DK430" s="28">
        <f>SUMIF('Lease Cycles'!$HL$32:$HR$32,DK$6,'Lease Cycles'!$HS$32:$HY$32)</f>
        <v>0</v>
      </c>
      <c r="DL430" s="28">
        <f>SUMIF('Lease Cycles'!$HL$32:$HR$32,DL$6,'Lease Cycles'!$HS$32:$HY$32)</f>
        <v>0</v>
      </c>
      <c r="DM430" s="28">
        <f>SUMIF('Lease Cycles'!$HL$32:$HR$32,DM$6,'Lease Cycles'!$HS$32:$HY$32)</f>
        <v>0</v>
      </c>
      <c r="DN430" s="28">
        <f>SUMIF('Lease Cycles'!$HL$32:$HR$32,DN$6,'Lease Cycles'!$HS$32:$HY$32)</f>
        <v>0</v>
      </c>
      <c r="DO430" s="28">
        <f>SUMIF('Lease Cycles'!$HL$32:$HR$32,DO$6,'Lease Cycles'!$HS$32:$HY$32)</f>
        <v>0</v>
      </c>
      <c r="DP430" s="28">
        <f>SUMIF('Lease Cycles'!$HL$32:$HR$32,DP$6,'Lease Cycles'!$HS$32:$HY$32)</f>
        <v>0</v>
      </c>
      <c r="DQ430" s="28">
        <f>SUMIF('Lease Cycles'!$HL$32:$HR$32,DQ$6,'Lease Cycles'!$HS$32:$HY$32)</f>
        <v>0</v>
      </c>
      <c r="DR430" s="28">
        <f>SUMIF('Lease Cycles'!$HL$32:$HR$32,DR$6,'Lease Cycles'!$HS$32:$HY$32)</f>
        <v>0</v>
      </c>
      <c r="DS430" s="28">
        <f>SUMIF('Lease Cycles'!$HL$32:$HR$32,DS$6,'Lease Cycles'!$HS$32:$HY$32)</f>
        <v>0</v>
      </c>
      <c r="DT430" s="28">
        <f>SUMIF('Lease Cycles'!$HL$32:$HR$32,DT$6,'Lease Cycles'!$HS$32:$HY$32)</f>
        <v>0</v>
      </c>
      <c r="DU430" s="28">
        <f>SUMIF('Lease Cycles'!$HL$32:$HR$32,DU$6,'Lease Cycles'!$HS$32:$HY$32)</f>
        <v>0</v>
      </c>
      <c r="DV430" s="28">
        <f>SUMIF('Lease Cycles'!$HL$32:$HR$32,DV$6,'Lease Cycles'!$HS$32:$HY$32)</f>
        <v>0</v>
      </c>
      <c r="DW430" s="28">
        <f>SUMIF('Lease Cycles'!$HL$32:$HR$32,DW$6,'Lease Cycles'!$HS$32:$HY$32)</f>
        <v>0</v>
      </c>
      <c r="DX430" s="28">
        <f>SUMIF('Lease Cycles'!$HL$32:$HR$32,DX$6,'Lease Cycles'!$HS$32:$HY$32)</f>
        <v>0</v>
      </c>
      <c r="DY430" s="28">
        <f>SUMIF('Lease Cycles'!$HL$32:$HR$32,DY$6,'Lease Cycles'!$HS$32:$HY$32)</f>
        <v>0</v>
      </c>
      <c r="DZ430" s="28">
        <f>SUMIF('Lease Cycles'!$HL$32:$HR$32,DZ$6,'Lease Cycles'!$HS$32:$HY$32)</f>
        <v>0</v>
      </c>
      <c r="EA430" s="28">
        <f>SUMIF('Lease Cycles'!$HL$32:$HR$32,EA$6,'Lease Cycles'!$HS$32:$HY$32)</f>
        <v>0</v>
      </c>
      <c r="EB430" s="28">
        <f>SUMIF('Lease Cycles'!$HL$32:$HR$32,EB$6,'Lease Cycles'!$HS$32:$HY$32)</f>
        <v>0</v>
      </c>
      <c r="EC430" s="28">
        <f>SUMIF('Lease Cycles'!$HL$32:$HR$32,EC$6,'Lease Cycles'!$HS$32:$HY$32)</f>
        <v>0</v>
      </c>
      <c r="ED430" s="28">
        <f>SUMIF('Lease Cycles'!$HL$32:$HR$32,ED$6,'Lease Cycles'!$HS$32:$HY$32)</f>
        <v>0</v>
      </c>
      <c r="EE430" s="28">
        <f>SUMIF('Lease Cycles'!$HL$32:$HR$32,EE$6,'Lease Cycles'!$HS$32:$HY$32)</f>
        <v>0</v>
      </c>
      <c r="EF430" s="28">
        <f>SUMIF('Lease Cycles'!$HL$32:$HR$32,EF$6,'Lease Cycles'!$HS$32:$HY$32)</f>
        <v>0</v>
      </c>
      <c r="EG430" s="28">
        <f>SUMIF('Lease Cycles'!$HL$32:$HR$32,EG$6,'Lease Cycles'!$HS$32:$HY$32)</f>
        <v>0</v>
      </c>
      <c r="EH430" s="28">
        <f>SUMIF('Lease Cycles'!$HL$32:$HR$32,EH$6,'Lease Cycles'!$HS$32:$HY$32)</f>
        <v>0</v>
      </c>
      <c r="EI430" s="28">
        <f>SUMIF('Lease Cycles'!$HL$32:$HR$32,EI$6,'Lease Cycles'!$HS$32:$HY$32)</f>
        <v>0</v>
      </c>
      <c r="EJ430" s="28">
        <f>SUMIF('Lease Cycles'!$HL$32:$HR$32,EJ$6,'Lease Cycles'!$HS$32:$HY$32)</f>
        <v>0</v>
      </c>
      <c r="EK430" s="28">
        <f>SUMIF('Lease Cycles'!$HL$32:$HR$32,EK$6,'Lease Cycles'!$HS$32:$HY$32)</f>
        <v>0</v>
      </c>
      <c r="EL430" s="28">
        <f>SUMIF('Lease Cycles'!$HL$32:$HR$32,EL$6,'Lease Cycles'!$HS$32:$HY$32)</f>
        <v>0</v>
      </c>
      <c r="EM430" s="28">
        <f>SUMIF('Lease Cycles'!$HL$32:$HR$32,EM$6,'Lease Cycles'!$HS$32:$HY$32)</f>
        <v>0</v>
      </c>
      <c r="EN430" s="28">
        <f>SUMIF('Lease Cycles'!$HL$32:$HR$32,EN$6,'Lease Cycles'!$HS$32:$HY$32)</f>
        <v>0</v>
      </c>
      <c r="EO430" s="28">
        <f>SUMIF('Lease Cycles'!$HL$32:$HR$32,EO$6,'Lease Cycles'!$HS$32:$HY$32)</f>
        <v>0</v>
      </c>
      <c r="EP430" s="28">
        <f>SUMIF('Lease Cycles'!$HL$32:$HR$32,EP$6,'Lease Cycles'!$HS$32:$HY$32)</f>
        <v>0</v>
      </c>
      <c r="EQ430" s="28">
        <f>SUMIF('Lease Cycles'!$HL$32:$HR$32,EQ$6,'Lease Cycles'!$HS$32:$HY$32)</f>
        <v>0</v>
      </c>
      <c r="ER430" s="28">
        <f>SUMIF('Lease Cycles'!$HL$32:$HR$32,ER$6,'Lease Cycles'!$HS$32:$HY$32)</f>
        <v>0</v>
      </c>
      <c r="ES430" s="28">
        <f>SUMIF('Lease Cycles'!$HL$32:$HR$32,ES$6,'Lease Cycles'!$HS$32:$HY$32)</f>
        <v>0</v>
      </c>
      <c r="ET430" s="28">
        <f>SUMIF('Lease Cycles'!$HL$32:$HR$32,ET$6,'Lease Cycles'!$HS$32:$HY$32)</f>
        <v>0</v>
      </c>
    </row>
    <row r="431">
      <c r="A431" s="103">
        <v>25</v>
      </c>
      <c r="B431" s="23" t="str">
        <f>IF('Lease Cycles'!$B$32="","(empty slot)",'Lease Cycles'!$B$32)</f>
        <v>(empty slot)</v>
      </c>
      <c r="C431" s="23" t="s">
        <v>532</v>
      </c>
      <c r="D431" s="104" t="s">
        <v>533</v>
      </c>
      <c r="E431" s="25">
        <f>'Lease Cycles'!$AL$32</f>
        <v>0</v>
      </c>
      <c r="G431" s="28">
        <f>SUM(S431:AD431)</f>
        <v>0</v>
      </c>
      <c r="H431" s="28">
        <f>SUM(AE431:AP431)</f>
        <v>0</v>
      </c>
      <c r="I431" s="28">
        <f>SUM(AQ431:BB431)</f>
        <v>0</v>
      </c>
      <c r="J431" s="28">
        <f>SUM(BC431:BN431)</f>
        <v>0</v>
      </c>
      <c r="K431" s="28">
        <f>SUM(BO431:BZ431)</f>
        <v>0</v>
      </c>
      <c r="L431" s="28">
        <f>SUM(CA431:CL431)</f>
        <v>0</v>
      </c>
      <c r="M431" s="28">
        <f>SUM(CM431:CX431)</f>
        <v>0</v>
      </c>
      <c r="N431" s="28">
        <f>SUM(CY431:DJ431)</f>
        <v>0</v>
      </c>
      <c r="O431" s="28">
        <f>SUM(DK431:DV431)</f>
        <v>0</v>
      </c>
      <c r="P431" s="28">
        <f>SUM(DW431:EH431)</f>
        <v>0</v>
      </c>
      <c r="Q431" s="28">
        <f>SUM(EI431:ET431)</f>
        <v>0</v>
      </c>
      <c r="S431" s="28">
        <f>SUMIF('Lease Cycles'!$HL$32:$HR$32,S$6,'Lease Cycles'!$HZ$32:$IF$32)</f>
        <v>0</v>
      </c>
      <c r="T431" s="28">
        <f>SUMIF('Lease Cycles'!$HL$32:$HR$32,T$6,'Lease Cycles'!$HZ$32:$IF$32)</f>
        <v>0</v>
      </c>
      <c r="U431" s="28">
        <f>SUMIF('Lease Cycles'!$HL$32:$HR$32,U$6,'Lease Cycles'!$HZ$32:$IF$32)</f>
        <v>0</v>
      </c>
      <c r="V431" s="28">
        <f>SUMIF('Lease Cycles'!$HL$32:$HR$32,V$6,'Lease Cycles'!$HZ$32:$IF$32)</f>
        <v>0</v>
      </c>
      <c r="W431" s="28">
        <f>SUMIF('Lease Cycles'!$HL$32:$HR$32,W$6,'Lease Cycles'!$HZ$32:$IF$32)</f>
        <v>0</v>
      </c>
      <c r="X431" s="28">
        <f>SUMIF('Lease Cycles'!$HL$32:$HR$32,X$6,'Lease Cycles'!$HZ$32:$IF$32)</f>
        <v>0</v>
      </c>
      <c r="Y431" s="28">
        <f>SUMIF('Lease Cycles'!$HL$32:$HR$32,Y$6,'Lease Cycles'!$HZ$32:$IF$32)</f>
        <v>0</v>
      </c>
      <c r="Z431" s="28">
        <f>SUMIF('Lease Cycles'!$HL$32:$HR$32,Z$6,'Lease Cycles'!$HZ$32:$IF$32)</f>
        <v>0</v>
      </c>
      <c r="AA431" s="28">
        <f>SUMIF('Lease Cycles'!$HL$32:$HR$32,AA$6,'Lease Cycles'!$HZ$32:$IF$32)</f>
        <v>0</v>
      </c>
      <c r="AB431" s="28">
        <f>SUMIF('Lease Cycles'!$HL$32:$HR$32,AB$6,'Lease Cycles'!$HZ$32:$IF$32)</f>
        <v>0</v>
      </c>
      <c r="AC431" s="28">
        <f>SUMIF('Lease Cycles'!$HL$32:$HR$32,AC$6,'Lease Cycles'!$HZ$32:$IF$32)</f>
        <v>0</v>
      </c>
      <c r="AD431" s="28">
        <f>SUMIF('Lease Cycles'!$HL$32:$HR$32,AD$6,'Lease Cycles'!$HZ$32:$IF$32)</f>
        <v>0</v>
      </c>
      <c r="AE431" s="28">
        <f>SUMIF('Lease Cycles'!$HL$32:$HR$32,AE$6,'Lease Cycles'!$HZ$32:$IF$32)</f>
        <v>0</v>
      </c>
      <c r="AF431" s="28">
        <f>SUMIF('Lease Cycles'!$HL$32:$HR$32,AF$6,'Lease Cycles'!$HZ$32:$IF$32)</f>
        <v>0</v>
      </c>
      <c r="AG431" s="28">
        <f>SUMIF('Lease Cycles'!$HL$32:$HR$32,AG$6,'Lease Cycles'!$HZ$32:$IF$32)</f>
        <v>0</v>
      </c>
      <c r="AH431" s="28">
        <f>SUMIF('Lease Cycles'!$HL$32:$HR$32,AH$6,'Lease Cycles'!$HZ$32:$IF$32)</f>
        <v>0</v>
      </c>
      <c r="AI431" s="28">
        <f>SUMIF('Lease Cycles'!$HL$32:$HR$32,AI$6,'Lease Cycles'!$HZ$32:$IF$32)</f>
        <v>0</v>
      </c>
      <c r="AJ431" s="28">
        <f>SUMIF('Lease Cycles'!$HL$32:$HR$32,AJ$6,'Lease Cycles'!$HZ$32:$IF$32)</f>
        <v>0</v>
      </c>
      <c r="AK431" s="28">
        <f>SUMIF('Lease Cycles'!$HL$32:$HR$32,AK$6,'Lease Cycles'!$HZ$32:$IF$32)</f>
        <v>0</v>
      </c>
      <c r="AL431" s="28">
        <f>SUMIF('Lease Cycles'!$HL$32:$HR$32,AL$6,'Lease Cycles'!$HZ$32:$IF$32)</f>
        <v>0</v>
      </c>
      <c r="AM431" s="28">
        <f>SUMIF('Lease Cycles'!$HL$32:$HR$32,AM$6,'Lease Cycles'!$HZ$32:$IF$32)</f>
        <v>0</v>
      </c>
      <c r="AN431" s="28">
        <f>SUMIF('Lease Cycles'!$HL$32:$HR$32,AN$6,'Lease Cycles'!$HZ$32:$IF$32)</f>
        <v>0</v>
      </c>
      <c r="AO431" s="28">
        <f>SUMIF('Lease Cycles'!$HL$32:$HR$32,AO$6,'Lease Cycles'!$HZ$32:$IF$32)</f>
        <v>0</v>
      </c>
      <c r="AP431" s="28">
        <f>SUMIF('Lease Cycles'!$HL$32:$HR$32,AP$6,'Lease Cycles'!$HZ$32:$IF$32)</f>
        <v>0</v>
      </c>
      <c r="AQ431" s="28">
        <f>SUMIF('Lease Cycles'!$HL$32:$HR$32,AQ$6,'Lease Cycles'!$HZ$32:$IF$32)</f>
        <v>0</v>
      </c>
      <c r="AR431" s="28">
        <f>SUMIF('Lease Cycles'!$HL$32:$HR$32,AR$6,'Lease Cycles'!$HZ$32:$IF$32)</f>
        <v>0</v>
      </c>
      <c r="AS431" s="28">
        <f>SUMIF('Lease Cycles'!$HL$32:$HR$32,AS$6,'Lease Cycles'!$HZ$32:$IF$32)</f>
        <v>0</v>
      </c>
      <c r="AT431" s="28">
        <f>SUMIF('Lease Cycles'!$HL$32:$HR$32,AT$6,'Lease Cycles'!$HZ$32:$IF$32)</f>
        <v>0</v>
      </c>
      <c r="AU431" s="28">
        <f>SUMIF('Lease Cycles'!$HL$32:$HR$32,AU$6,'Lease Cycles'!$HZ$32:$IF$32)</f>
        <v>0</v>
      </c>
      <c r="AV431" s="28">
        <f>SUMIF('Lease Cycles'!$HL$32:$HR$32,AV$6,'Lease Cycles'!$HZ$32:$IF$32)</f>
        <v>0</v>
      </c>
      <c r="AW431" s="28">
        <f>SUMIF('Lease Cycles'!$HL$32:$HR$32,AW$6,'Lease Cycles'!$HZ$32:$IF$32)</f>
        <v>0</v>
      </c>
      <c r="AX431" s="28">
        <f>SUMIF('Lease Cycles'!$HL$32:$HR$32,AX$6,'Lease Cycles'!$HZ$32:$IF$32)</f>
        <v>0</v>
      </c>
      <c r="AY431" s="28">
        <f>SUMIF('Lease Cycles'!$HL$32:$HR$32,AY$6,'Lease Cycles'!$HZ$32:$IF$32)</f>
        <v>0</v>
      </c>
      <c r="AZ431" s="28">
        <f>SUMIF('Lease Cycles'!$HL$32:$HR$32,AZ$6,'Lease Cycles'!$HZ$32:$IF$32)</f>
        <v>0</v>
      </c>
      <c r="BA431" s="28">
        <f>SUMIF('Lease Cycles'!$HL$32:$HR$32,BA$6,'Lease Cycles'!$HZ$32:$IF$32)</f>
        <v>0</v>
      </c>
      <c r="BB431" s="28">
        <f>SUMIF('Lease Cycles'!$HL$32:$HR$32,BB$6,'Lease Cycles'!$HZ$32:$IF$32)</f>
        <v>0</v>
      </c>
      <c r="BC431" s="28">
        <f>SUMIF('Lease Cycles'!$HL$32:$HR$32,BC$6,'Lease Cycles'!$HZ$32:$IF$32)</f>
        <v>0</v>
      </c>
      <c r="BD431" s="28">
        <f>SUMIF('Lease Cycles'!$HL$32:$HR$32,BD$6,'Lease Cycles'!$HZ$32:$IF$32)</f>
        <v>0</v>
      </c>
      <c r="BE431" s="28">
        <f>SUMIF('Lease Cycles'!$HL$32:$HR$32,BE$6,'Lease Cycles'!$HZ$32:$IF$32)</f>
        <v>0</v>
      </c>
      <c r="BF431" s="28">
        <f>SUMIF('Lease Cycles'!$HL$32:$HR$32,BF$6,'Lease Cycles'!$HZ$32:$IF$32)</f>
        <v>0</v>
      </c>
      <c r="BG431" s="28">
        <f>SUMIF('Lease Cycles'!$HL$32:$HR$32,BG$6,'Lease Cycles'!$HZ$32:$IF$32)</f>
        <v>0</v>
      </c>
      <c r="BH431" s="28">
        <f>SUMIF('Lease Cycles'!$HL$32:$HR$32,BH$6,'Lease Cycles'!$HZ$32:$IF$32)</f>
        <v>0</v>
      </c>
      <c r="BI431" s="28">
        <f>SUMIF('Lease Cycles'!$HL$32:$HR$32,BI$6,'Lease Cycles'!$HZ$32:$IF$32)</f>
        <v>0</v>
      </c>
      <c r="BJ431" s="28">
        <f>SUMIF('Lease Cycles'!$HL$32:$HR$32,BJ$6,'Lease Cycles'!$HZ$32:$IF$32)</f>
        <v>0</v>
      </c>
      <c r="BK431" s="28">
        <f>SUMIF('Lease Cycles'!$HL$32:$HR$32,BK$6,'Lease Cycles'!$HZ$32:$IF$32)</f>
        <v>0</v>
      </c>
      <c r="BL431" s="28">
        <f>SUMIF('Lease Cycles'!$HL$32:$HR$32,BL$6,'Lease Cycles'!$HZ$32:$IF$32)</f>
        <v>0</v>
      </c>
      <c r="BM431" s="28">
        <f>SUMIF('Lease Cycles'!$HL$32:$HR$32,BM$6,'Lease Cycles'!$HZ$32:$IF$32)</f>
        <v>0</v>
      </c>
      <c r="BN431" s="28">
        <f>SUMIF('Lease Cycles'!$HL$32:$HR$32,BN$6,'Lease Cycles'!$HZ$32:$IF$32)</f>
        <v>0</v>
      </c>
      <c r="BO431" s="28">
        <f>SUMIF('Lease Cycles'!$HL$32:$HR$32,BO$6,'Lease Cycles'!$HZ$32:$IF$32)</f>
        <v>0</v>
      </c>
      <c r="BP431" s="28">
        <f>SUMIF('Lease Cycles'!$HL$32:$HR$32,BP$6,'Lease Cycles'!$HZ$32:$IF$32)</f>
        <v>0</v>
      </c>
      <c r="BQ431" s="28">
        <f>SUMIF('Lease Cycles'!$HL$32:$HR$32,BQ$6,'Lease Cycles'!$HZ$32:$IF$32)</f>
        <v>0</v>
      </c>
      <c r="BR431" s="28">
        <f>SUMIF('Lease Cycles'!$HL$32:$HR$32,BR$6,'Lease Cycles'!$HZ$32:$IF$32)</f>
        <v>0</v>
      </c>
      <c r="BS431" s="28">
        <f>SUMIF('Lease Cycles'!$HL$32:$HR$32,BS$6,'Lease Cycles'!$HZ$32:$IF$32)</f>
        <v>0</v>
      </c>
      <c r="BT431" s="28">
        <f>SUMIF('Lease Cycles'!$HL$32:$HR$32,BT$6,'Lease Cycles'!$HZ$32:$IF$32)</f>
        <v>0</v>
      </c>
      <c r="BU431" s="28">
        <f>SUMIF('Lease Cycles'!$HL$32:$HR$32,BU$6,'Lease Cycles'!$HZ$32:$IF$32)</f>
        <v>0</v>
      </c>
      <c r="BV431" s="28">
        <f>SUMIF('Lease Cycles'!$HL$32:$HR$32,BV$6,'Lease Cycles'!$HZ$32:$IF$32)</f>
        <v>0</v>
      </c>
      <c r="BW431" s="28">
        <f>SUMIF('Lease Cycles'!$HL$32:$HR$32,BW$6,'Lease Cycles'!$HZ$32:$IF$32)</f>
        <v>0</v>
      </c>
      <c r="BX431" s="28">
        <f>SUMIF('Lease Cycles'!$HL$32:$HR$32,BX$6,'Lease Cycles'!$HZ$32:$IF$32)</f>
        <v>0</v>
      </c>
      <c r="BY431" s="28">
        <f>SUMIF('Lease Cycles'!$HL$32:$HR$32,BY$6,'Lease Cycles'!$HZ$32:$IF$32)</f>
        <v>0</v>
      </c>
      <c r="BZ431" s="28">
        <f>SUMIF('Lease Cycles'!$HL$32:$HR$32,BZ$6,'Lease Cycles'!$HZ$32:$IF$32)</f>
        <v>0</v>
      </c>
      <c r="CA431" s="28">
        <f>SUMIF('Lease Cycles'!$HL$32:$HR$32,CA$6,'Lease Cycles'!$HZ$32:$IF$32)</f>
        <v>0</v>
      </c>
      <c r="CB431" s="28">
        <f>SUMIF('Lease Cycles'!$HL$32:$HR$32,CB$6,'Lease Cycles'!$HZ$32:$IF$32)</f>
        <v>0</v>
      </c>
      <c r="CC431" s="28">
        <f>SUMIF('Lease Cycles'!$HL$32:$HR$32,CC$6,'Lease Cycles'!$HZ$32:$IF$32)</f>
        <v>0</v>
      </c>
      <c r="CD431" s="28">
        <f>SUMIF('Lease Cycles'!$HL$32:$HR$32,CD$6,'Lease Cycles'!$HZ$32:$IF$32)</f>
        <v>0</v>
      </c>
      <c r="CE431" s="28">
        <f>SUMIF('Lease Cycles'!$HL$32:$HR$32,CE$6,'Lease Cycles'!$HZ$32:$IF$32)</f>
        <v>0</v>
      </c>
      <c r="CF431" s="28">
        <f>SUMIF('Lease Cycles'!$HL$32:$HR$32,CF$6,'Lease Cycles'!$HZ$32:$IF$32)</f>
        <v>0</v>
      </c>
      <c r="CG431" s="28">
        <f>SUMIF('Lease Cycles'!$HL$32:$HR$32,CG$6,'Lease Cycles'!$HZ$32:$IF$32)</f>
        <v>0</v>
      </c>
      <c r="CH431" s="28">
        <f>SUMIF('Lease Cycles'!$HL$32:$HR$32,CH$6,'Lease Cycles'!$HZ$32:$IF$32)</f>
        <v>0</v>
      </c>
      <c r="CI431" s="28">
        <f>SUMIF('Lease Cycles'!$HL$32:$HR$32,CI$6,'Lease Cycles'!$HZ$32:$IF$32)</f>
        <v>0</v>
      </c>
      <c r="CJ431" s="28">
        <f>SUMIF('Lease Cycles'!$HL$32:$HR$32,CJ$6,'Lease Cycles'!$HZ$32:$IF$32)</f>
        <v>0</v>
      </c>
      <c r="CK431" s="28">
        <f>SUMIF('Lease Cycles'!$HL$32:$HR$32,CK$6,'Lease Cycles'!$HZ$32:$IF$32)</f>
        <v>0</v>
      </c>
      <c r="CL431" s="28">
        <f>SUMIF('Lease Cycles'!$HL$32:$HR$32,CL$6,'Lease Cycles'!$HZ$32:$IF$32)</f>
        <v>0</v>
      </c>
      <c r="CM431" s="28">
        <f>SUMIF('Lease Cycles'!$HL$32:$HR$32,CM$6,'Lease Cycles'!$HZ$32:$IF$32)</f>
        <v>0</v>
      </c>
      <c r="CN431" s="28">
        <f>SUMIF('Lease Cycles'!$HL$32:$HR$32,CN$6,'Lease Cycles'!$HZ$32:$IF$32)</f>
        <v>0</v>
      </c>
      <c r="CO431" s="28">
        <f>SUMIF('Lease Cycles'!$HL$32:$HR$32,CO$6,'Lease Cycles'!$HZ$32:$IF$32)</f>
        <v>0</v>
      </c>
      <c r="CP431" s="28">
        <f>SUMIF('Lease Cycles'!$HL$32:$HR$32,CP$6,'Lease Cycles'!$HZ$32:$IF$32)</f>
        <v>0</v>
      </c>
      <c r="CQ431" s="28">
        <f>SUMIF('Lease Cycles'!$HL$32:$HR$32,CQ$6,'Lease Cycles'!$HZ$32:$IF$32)</f>
        <v>0</v>
      </c>
      <c r="CR431" s="28">
        <f>SUMIF('Lease Cycles'!$HL$32:$HR$32,CR$6,'Lease Cycles'!$HZ$32:$IF$32)</f>
        <v>0</v>
      </c>
      <c r="CS431" s="28">
        <f>SUMIF('Lease Cycles'!$HL$32:$HR$32,CS$6,'Lease Cycles'!$HZ$32:$IF$32)</f>
        <v>0</v>
      </c>
      <c r="CT431" s="28">
        <f>SUMIF('Lease Cycles'!$HL$32:$HR$32,CT$6,'Lease Cycles'!$HZ$32:$IF$32)</f>
        <v>0</v>
      </c>
      <c r="CU431" s="28">
        <f>SUMIF('Lease Cycles'!$HL$32:$HR$32,CU$6,'Lease Cycles'!$HZ$32:$IF$32)</f>
        <v>0</v>
      </c>
      <c r="CV431" s="28">
        <f>SUMIF('Lease Cycles'!$HL$32:$HR$32,CV$6,'Lease Cycles'!$HZ$32:$IF$32)</f>
        <v>0</v>
      </c>
      <c r="CW431" s="28">
        <f>SUMIF('Lease Cycles'!$HL$32:$HR$32,CW$6,'Lease Cycles'!$HZ$32:$IF$32)</f>
        <v>0</v>
      </c>
      <c r="CX431" s="28">
        <f>SUMIF('Lease Cycles'!$HL$32:$HR$32,CX$6,'Lease Cycles'!$HZ$32:$IF$32)</f>
        <v>0</v>
      </c>
      <c r="CY431" s="28">
        <f>SUMIF('Lease Cycles'!$HL$32:$HR$32,CY$6,'Lease Cycles'!$HZ$32:$IF$32)</f>
        <v>0</v>
      </c>
      <c r="CZ431" s="28">
        <f>SUMIF('Lease Cycles'!$HL$32:$HR$32,CZ$6,'Lease Cycles'!$HZ$32:$IF$32)</f>
        <v>0</v>
      </c>
      <c r="DA431" s="28">
        <f>SUMIF('Lease Cycles'!$HL$32:$HR$32,DA$6,'Lease Cycles'!$HZ$32:$IF$32)</f>
        <v>0</v>
      </c>
      <c r="DB431" s="28">
        <f>SUMIF('Lease Cycles'!$HL$32:$HR$32,DB$6,'Lease Cycles'!$HZ$32:$IF$32)</f>
        <v>0</v>
      </c>
      <c r="DC431" s="28">
        <f>SUMIF('Lease Cycles'!$HL$32:$HR$32,DC$6,'Lease Cycles'!$HZ$32:$IF$32)</f>
        <v>0</v>
      </c>
      <c r="DD431" s="28">
        <f>SUMIF('Lease Cycles'!$HL$32:$HR$32,DD$6,'Lease Cycles'!$HZ$32:$IF$32)</f>
        <v>0</v>
      </c>
      <c r="DE431" s="28">
        <f>SUMIF('Lease Cycles'!$HL$32:$HR$32,DE$6,'Lease Cycles'!$HZ$32:$IF$32)</f>
        <v>0</v>
      </c>
      <c r="DF431" s="28">
        <f>SUMIF('Lease Cycles'!$HL$32:$HR$32,DF$6,'Lease Cycles'!$HZ$32:$IF$32)</f>
        <v>0</v>
      </c>
      <c r="DG431" s="28">
        <f>SUMIF('Lease Cycles'!$HL$32:$HR$32,DG$6,'Lease Cycles'!$HZ$32:$IF$32)</f>
        <v>0</v>
      </c>
      <c r="DH431" s="28">
        <f>SUMIF('Lease Cycles'!$HL$32:$HR$32,DH$6,'Lease Cycles'!$HZ$32:$IF$32)</f>
        <v>0</v>
      </c>
      <c r="DI431" s="28">
        <f>SUMIF('Lease Cycles'!$HL$32:$HR$32,DI$6,'Lease Cycles'!$HZ$32:$IF$32)</f>
        <v>0</v>
      </c>
      <c r="DJ431" s="28">
        <f>SUMIF('Lease Cycles'!$HL$32:$HR$32,DJ$6,'Lease Cycles'!$HZ$32:$IF$32)</f>
        <v>0</v>
      </c>
      <c r="DK431" s="28">
        <f>SUMIF('Lease Cycles'!$HL$32:$HR$32,DK$6,'Lease Cycles'!$HZ$32:$IF$32)</f>
        <v>0</v>
      </c>
      <c r="DL431" s="28">
        <f>SUMIF('Lease Cycles'!$HL$32:$HR$32,DL$6,'Lease Cycles'!$HZ$32:$IF$32)</f>
        <v>0</v>
      </c>
      <c r="DM431" s="28">
        <f>SUMIF('Lease Cycles'!$HL$32:$HR$32,DM$6,'Lease Cycles'!$HZ$32:$IF$32)</f>
        <v>0</v>
      </c>
      <c r="DN431" s="28">
        <f>SUMIF('Lease Cycles'!$HL$32:$HR$32,DN$6,'Lease Cycles'!$HZ$32:$IF$32)</f>
        <v>0</v>
      </c>
      <c r="DO431" s="28">
        <f>SUMIF('Lease Cycles'!$HL$32:$HR$32,DO$6,'Lease Cycles'!$HZ$32:$IF$32)</f>
        <v>0</v>
      </c>
      <c r="DP431" s="28">
        <f>SUMIF('Lease Cycles'!$HL$32:$HR$32,DP$6,'Lease Cycles'!$HZ$32:$IF$32)</f>
        <v>0</v>
      </c>
      <c r="DQ431" s="28">
        <f>SUMIF('Lease Cycles'!$HL$32:$HR$32,DQ$6,'Lease Cycles'!$HZ$32:$IF$32)</f>
        <v>0</v>
      </c>
      <c r="DR431" s="28">
        <f>SUMIF('Lease Cycles'!$HL$32:$HR$32,DR$6,'Lease Cycles'!$HZ$32:$IF$32)</f>
        <v>0</v>
      </c>
      <c r="DS431" s="28">
        <f>SUMIF('Lease Cycles'!$HL$32:$HR$32,DS$6,'Lease Cycles'!$HZ$32:$IF$32)</f>
        <v>0</v>
      </c>
      <c r="DT431" s="28">
        <f>SUMIF('Lease Cycles'!$HL$32:$HR$32,DT$6,'Lease Cycles'!$HZ$32:$IF$32)</f>
        <v>0</v>
      </c>
      <c r="DU431" s="28">
        <f>SUMIF('Lease Cycles'!$HL$32:$HR$32,DU$6,'Lease Cycles'!$HZ$32:$IF$32)</f>
        <v>0</v>
      </c>
      <c r="DV431" s="28">
        <f>SUMIF('Lease Cycles'!$HL$32:$HR$32,DV$6,'Lease Cycles'!$HZ$32:$IF$32)</f>
        <v>0</v>
      </c>
      <c r="DW431" s="28">
        <f>SUMIF('Lease Cycles'!$HL$32:$HR$32,DW$6,'Lease Cycles'!$HZ$32:$IF$32)</f>
        <v>0</v>
      </c>
      <c r="DX431" s="28">
        <f>SUMIF('Lease Cycles'!$HL$32:$HR$32,DX$6,'Lease Cycles'!$HZ$32:$IF$32)</f>
        <v>0</v>
      </c>
      <c r="DY431" s="28">
        <f>SUMIF('Lease Cycles'!$HL$32:$HR$32,DY$6,'Lease Cycles'!$HZ$32:$IF$32)</f>
        <v>0</v>
      </c>
      <c r="DZ431" s="28">
        <f>SUMIF('Lease Cycles'!$HL$32:$HR$32,DZ$6,'Lease Cycles'!$HZ$32:$IF$32)</f>
        <v>0</v>
      </c>
      <c r="EA431" s="28">
        <f>SUMIF('Lease Cycles'!$HL$32:$HR$32,EA$6,'Lease Cycles'!$HZ$32:$IF$32)</f>
        <v>0</v>
      </c>
      <c r="EB431" s="28">
        <f>SUMIF('Lease Cycles'!$HL$32:$HR$32,EB$6,'Lease Cycles'!$HZ$32:$IF$32)</f>
        <v>0</v>
      </c>
      <c r="EC431" s="28">
        <f>SUMIF('Lease Cycles'!$HL$32:$HR$32,EC$6,'Lease Cycles'!$HZ$32:$IF$32)</f>
        <v>0</v>
      </c>
      <c r="ED431" s="28">
        <f>SUMIF('Lease Cycles'!$HL$32:$HR$32,ED$6,'Lease Cycles'!$HZ$32:$IF$32)</f>
        <v>0</v>
      </c>
      <c r="EE431" s="28">
        <f>SUMIF('Lease Cycles'!$HL$32:$HR$32,EE$6,'Lease Cycles'!$HZ$32:$IF$32)</f>
        <v>0</v>
      </c>
      <c r="EF431" s="28">
        <f>SUMIF('Lease Cycles'!$HL$32:$HR$32,EF$6,'Lease Cycles'!$HZ$32:$IF$32)</f>
        <v>0</v>
      </c>
      <c r="EG431" s="28">
        <f>SUMIF('Lease Cycles'!$HL$32:$HR$32,EG$6,'Lease Cycles'!$HZ$32:$IF$32)</f>
        <v>0</v>
      </c>
      <c r="EH431" s="28">
        <f>SUMIF('Lease Cycles'!$HL$32:$HR$32,EH$6,'Lease Cycles'!$HZ$32:$IF$32)</f>
        <v>0</v>
      </c>
      <c r="EI431" s="28">
        <f>SUMIF('Lease Cycles'!$HL$32:$HR$32,EI$6,'Lease Cycles'!$HZ$32:$IF$32)</f>
        <v>0</v>
      </c>
      <c r="EJ431" s="28">
        <f>SUMIF('Lease Cycles'!$HL$32:$HR$32,EJ$6,'Lease Cycles'!$HZ$32:$IF$32)</f>
        <v>0</v>
      </c>
      <c r="EK431" s="28">
        <f>SUMIF('Lease Cycles'!$HL$32:$HR$32,EK$6,'Lease Cycles'!$HZ$32:$IF$32)</f>
        <v>0</v>
      </c>
      <c r="EL431" s="28">
        <f>SUMIF('Lease Cycles'!$HL$32:$HR$32,EL$6,'Lease Cycles'!$HZ$32:$IF$32)</f>
        <v>0</v>
      </c>
      <c r="EM431" s="28">
        <f>SUMIF('Lease Cycles'!$HL$32:$HR$32,EM$6,'Lease Cycles'!$HZ$32:$IF$32)</f>
        <v>0</v>
      </c>
      <c r="EN431" s="28">
        <f>SUMIF('Lease Cycles'!$HL$32:$HR$32,EN$6,'Lease Cycles'!$HZ$32:$IF$32)</f>
        <v>0</v>
      </c>
      <c r="EO431" s="28">
        <f>SUMIF('Lease Cycles'!$HL$32:$HR$32,EO$6,'Lease Cycles'!$HZ$32:$IF$32)</f>
        <v>0</v>
      </c>
      <c r="EP431" s="28">
        <f>SUMIF('Lease Cycles'!$HL$32:$HR$32,EP$6,'Lease Cycles'!$HZ$32:$IF$32)</f>
        <v>0</v>
      </c>
      <c r="EQ431" s="28">
        <f>SUMIF('Lease Cycles'!$HL$32:$HR$32,EQ$6,'Lease Cycles'!$HZ$32:$IF$32)</f>
        <v>0</v>
      </c>
      <c r="ER431" s="28">
        <f>SUMIF('Lease Cycles'!$HL$32:$HR$32,ER$6,'Lease Cycles'!$HZ$32:$IF$32)</f>
        <v>0</v>
      </c>
      <c r="ES431" s="28">
        <f>SUMIF('Lease Cycles'!$HL$32:$HR$32,ES$6,'Lease Cycles'!$HZ$32:$IF$32)</f>
        <v>0</v>
      </c>
      <c r="ET431" s="28">
        <f>SUMIF('Lease Cycles'!$HL$32:$HR$32,ET$6,'Lease Cycles'!$HZ$32:$IF$32)</f>
        <v>0</v>
      </c>
    </row>
    <row r="432">
      <c r="A432" s="103">
        <v>25</v>
      </c>
      <c r="B432" s="23" t="str">
        <f>IF('Lease Cycles'!$B$32="","(empty slot)",'Lease Cycles'!$B$32)</f>
        <v>(empty slot)</v>
      </c>
      <c r="C432" s="23" t="s">
        <v>691</v>
      </c>
      <c r="D432" s="104" t="s">
        <v>692</v>
      </c>
      <c r="E432" s="25">
        <f>'Lease Cycles'!$AL$32</f>
        <v>0</v>
      </c>
      <c r="G432" s="28">
        <f>SUM(S432:AD432)</f>
        <v>0</v>
      </c>
      <c r="H432" s="28">
        <f>SUM(AE432:AP432)</f>
        <v>0</v>
      </c>
      <c r="I432" s="28">
        <f>SUM(AQ432:BB432)</f>
        <v>0</v>
      </c>
      <c r="J432" s="28">
        <f>SUM(BC432:BN432)</f>
        <v>0</v>
      </c>
      <c r="K432" s="28">
        <f>SUM(BO432:BZ432)</f>
        <v>0</v>
      </c>
      <c r="L432" s="28">
        <f>SUM(CA432:CL432)</f>
        <v>0</v>
      </c>
      <c r="M432" s="28">
        <f>SUM(CM432:CX432)</f>
        <v>0</v>
      </c>
      <c r="N432" s="28">
        <f>SUM(CY432:DJ432)</f>
        <v>0</v>
      </c>
      <c r="O432" s="28">
        <f>SUM(DK432:DV432)</f>
        <v>0</v>
      </c>
      <c r="P432" s="28">
        <f>SUM(DW432:EH432)</f>
        <v>0</v>
      </c>
      <c r="Q432" s="28">
        <f>SUM(EI432:ET432)</f>
        <v>0</v>
      </c>
      <c r="S432" s="28">
        <f>IF(S$6='Lease Cycles'!$HL$32,'Lease Cycles'!$HS$32+'Lease Cycles'!$HZ$32,0)</f>
        <v>0</v>
      </c>
      <c r="T432" s="28">
        <f>IF(T$6='Lease Cycles'!$HL$32,'Lease Cycles'!$HS$32+'Lease Cycles'!$HZ$32,0)</f>
        <v>0</v>
      </c>
      <c r="U432" s="28">
        <f>IF(U$6='Lease Cycles'!$HL$32,'Lease Cycles'!$HS$32+'Lease Cycles'!$HZ$32,0)</f>
        <v>0</v>
      </c>
      <c r="V432" s="28">
        <f>IF(V$6='Lease Cycles'!$HL$32,'Lease Cycles'!$HS$32+'Lease Cycles'!$HZ$32,0)</f>
        <v>0</v>
      </c>
      <c r="W432" s="28">
        <f>IF(W$6='Lease Cycles'!$HL$32,'Lease Cycles'!$HS$32+'Lease Cycles'!$HZ$32,0)</f>
        <v>0</v>
      </c>
      <c r="X432" s="28">
        <f>IF(X$6='Lease Cycles'!$HL$32,'Lease Cycles'!$HS$32+'Lease Cycles'!$HZ$32,0)</f>
        <v>0</v>
      </c>
      <c r="Y432" s="28">
        <f>IF(Y$6='Lease Cycles'!$HL$32,'Lease Cycles'!$HS$32+'Lease Cycles'!$HZ$32,0)</f>
        <v>0</v>
      </c>
      <c r="Z432" s="28">
        <f>IF(Z$6='Lease Cycles'!$HL$32,'Lease Cycles'!$HS$32+'Lease Cycles'!$HZ$32,0)</f>
        <v>0</v>
      </c>
      <c r="AA432" s="28">
        <f>IF(AA$6='Lease Cycles'!$HL$32,'Lease Cycles'!$HS$32+'Lease Cycles'!$HZ$32,0)</f>
        <v>0</v>
      </c>
      <c r="AB432" s="28">
        <f>IF(AB$6='Lease Cycles'!$HL$32,'Lease Cycles'!$HS$32+'Lease Cycles'!$HZ$32,0)</f>
        <v>0</v>
      </c>
      <c r="AC432" s="28">
        <f>IF(AC$6='Lease Cycles'!$HL$32,'Lease Cycles'!$HS$32+'Lease Cycles'!$HZ$32,0)</f>
        <v>0</v>
      </c>
      <c r="AD432" s="28">
        <f>IF(AD$6='Lease Cycles'!$HL$32,'Lease Cycles'!$HS$32+'Lease Cycles'!$HZ$32,0)</f>
        <v>0</v>
      </c>
      <c r="AE432" s="28">
        <f>IF(AE$6='Lease Cycles'!$HL$32,'Lease Cycles'!$HS$32+'Lease Cycles'!$HZ$32,0)</f>
        <v>0</v>
      </c>
      <c r="AF432" s="28">
        <f>IF(AF$6='Lease Cycles'!$HL$32,'Lease Cycles'!$HS$32+'Lease Cycles'!$HZ$32,0)</f>
        <v>0</v>
      </c>
      <c r="AG432" s="28">
        <f>IF(AG$6='Lease Cycles'!$HL$32,'Lease Cycles'!$HS$32+'Lease Cycles'!$HZ$32,0)</f>
        <v>0</v>
      </c>
      <c r="AH432" s="28">
        <f>IF(AH$6='Lease Cycles'!$HL$32,'Lease Cycles'!$HS$32+'Lease Cycles'!$HZ$32,0)</f>
        <v>0</v>
      </c>
      <c r="AI432" s="28">
        <f>IF(AI$6='Lease Cycles'!$HL$32,'Lease Cycles'!$HS$32+'Lease Cycles'!$HZ$32,0)</f>
        <v>0</v>
      </c>
      <c r="AJ432" s="28">
        <f>IF(AJ$6='Lease Cycles'!$HL$32,'Lease Cycles'!$HS$32+'Lease Cycles'!$HZ$32,0)</f>
        <v>0</v>
      </c>
      <c r="AK432" s="28">
        <f>IF(AK$6='Lease Cycles'!$HL$32,'Lease Cycles'!$HS$32+'Lease Cycles'!$HZ$32,0)</f>
        <v>0</v>
      </c>
      <c r="AL432" s="28">
        <f>IF(AL$6='Lease Cycles'!$HL$32,'Lease Cycles'!$HS$32+'Lease Cycles'!$HZ$32,0)</f>
        <v>0</v>
      </c>
      <c r="AM432" s="28">
        <f>IF(AM$6='Lease Cycles'!$HL$32,'Lease Cycles'!$HS$32+'Lease Cycles'!$HZ$32,0)</f>
        <v>0</v>
      </c>
      <c r="AN432" s="28">
        <f>IF(AN$6='Lease Cycles'!$HL$32,'Lease Cycles'!$HS$32+'Lease Cycles'!$HZ$32,0)</f>
        <v>0</v>
      </c>
      <c r="AO432" s="28">
        <f>IF(AO$6='Lease Cycles'!$HL$32,'Lease Cycles'!$HS$32+'Lease Cycles'!$HZ$32,0)</f>
        <v>0</v>
      </c>
      <c r="AP432" s="28">
        <f>IF(AP$6='Lease Cycles'!$HL$32,'Lease Cycles'!$HS$32+'Lease Cycles'!$HZ$32,0)</f>
        <v>0</v>
      </c>
      <c r="AQ432" s="28">
        <f>IF(AQ$6='Lease Cycles'!$HL$32,'Lease Cycles'!$HS$32+'Lease Cycles'!$HZ$32,0)</f>
        <v>0</v>
      </c>
      <c r="AR432" s="28">
        <f>IF(AR$6='Lease Cycles'!$HL$32,'Lease Cycles'!$HS$32+'Lease Cycles'!$HZ$32,0)</f>
        <v>0</v>
      </c>
      <c r="AS432" s="28">
        <f>IF(AS$6='Lease Cycles'!$HL$32,'Lease Cycles'!$HS$32+'Lease Cycles'!$HZ$32,0)</f>
        <v>0</v>
      </c>
      <c r="AT432" s="28">
        <f>IF(AT$6='Lease Cycles'!$HL$32,'Lease Cycles'!$HS$32+'Lease Cycles'!$HZ$32,0)</f>
        <v>0</v>
      </c>
      <c r="AU432" s="28">
        <f>IF(AU$6='Lease Cycles'!$HL$32,'Lease Cycles'!$HS$32+'Lease Cycles'!$HZ$32,0)</f>
        <v>0</v>
      </c>
      <c r="AV432" s="28">
        <f>IF(AV$6='Lease Cycles'!$HL$32,'Lease Cycles'!$HS$32+'Lease Cycles'!$HZ$32,0)</f>
        <v>0</v>
      </c>
      <c r="AW432" s="28">
        <f>IF(AW$6='Lease Cycles'!$HL$32,'Lease Cycles'!$HS$32+'Lease Cycles'!$HZ$32,0)</f>
        <v>0</v>
      </c>
      <c r="AX432" s="28">
        <f>IF(AX$6='Lease Cycles'!$HL$32,'Lease Cycles'!$HS$32+'Lease Cycles'!$HZ$32,0)</f>
        <v>0</v>
      </c>
      <c r="AY432" s="28">
        <f>IF(AY$6='Lease Cycles'!$HL$32,'Lease Cycles'!$HS$32+'Lease Cycles'!$HZ$32,0)</f>
        <v>0</v>
      </c>
      <c r="AZ432" s="28">
        <f>IF(AZ$6='Lease Cycles'!$HL$32,'Lease Cycles'!$HS$32+'Lease Cycles'!$HZ$32,0)</f>
        <v>0</v>
      </c>
      <c r="BA432" s="28">
        <f>IF(BA$6='Lease Cycles'!$HL$32,'Lease Cycles'!$HS$32+'Lease Cycles'!$HZ$32,0)</f>
        <v>0</v>
      </c>
      <c r="BB432" s="28">
        <f>IF(BB$6='Lease Cycles'!$HL$32,'Lease Cycles'!$HS$32+'Lease Cycles'!$HZ$32,0)</f>
        <v>0</v>
      </c>
      <c r="BC432" s="28">
        <f>IF(BC$6='Lease Cycles'!$HL$32,'Lease Cycles'!$HS$32+'Lease Cycles'!$HZ$32,0)</f>
        <v>0</v>
      </c>
      <c r="BD432" s="28">
        <f>IF(BD$6='Lease Cycles'!$HL$32,'Lease Cycles'!$HS$32+'Lease Cycles'!$HZ$32,0)</f>
        <v>0</v>
      </c>
      <c r="BE432" s="28">
        <f>IF(BE$6='Lease Cycles'!$HL$32,'Lease Cycles'!$HS$32+'Lease Cycles'!$HZ$32,0)</f>
        <v>0</v>
      </c>
      <c r="BF432" s="28">
        <f>IF(BF$6='Lease Cycles'!$HL$32,'Lease Cycles'!$HS$32+'Lease Cycles'!$HZ$32,0)</f>
        <v>0</v>
      </c>
      <c r="BG432" s="28">
        <f>IF(BG$6='Lease Cycles'!$HL$32,'Lease Cycles'!$HS$32+'Lease Cycles'!$HZ$32,0)</f>
        <v>0</v>
      </c>
      <c r="BH432" s="28">
        <f>IF(BH$6='Lease Cycles'!$HL$32,'Lease Cycles'!$HS$32+'Lease Cycles'!$HZ$32,0)</f>
        <v>0</v>
      </c>
      <c r="BI432" s="28">
        <f>IF(BI$6='Lease Cycles'!$HL$32,'Lease Cycles'!$HS$32+'Lease Cycles'!$HZ$32,0)</f>
        <v>0</v>
      </c>
      <c r="BJ432" s="28">
        <f>IF(BJ$6='Lease Cycles'!$HL$32,'Lease Cycles'!$HS$32+'Lease Cycles'!$HZ$32,0)</f>
        <v>0</v>
      </c>
      <c r="BK432" s="28">
        <f>IF(BK$6='Lease Cycles'!$HL$32,'Lease Cycles'!$HS$32+'Lease Cycles'!$HZ$32,0)</f>
        <v>0</v>
      </c>
      <c r="BL432" s="28">
        <f>IF(BL$6='Lease Cycles'!$HL$32,'Lease Cycles'!$HS$32+'Lease Cycles'!$HZ$32,0)</f>
        <v>0</v>
      </c>
      <c r="BM432" s="28">
        <f>IF(BM$6='Lease Cycles'!$HL$32,'Lease Cycles'!$HS$32+'Lease Cycles'!$HZ$32,0)</f>
        <v>0</v>
      </c>
      <c r="BN432" s="28">
        <f>IF(BN$6='Lease Cycles'!$HL$32,'Lease Cycles'!$HS$32+'Lease Cycles'!$HZ$32,0)</f>
        <v>0</v>
      </c>
      <c r="BO432" s="28">
        <f>IF(BO$6='Lease Cycles'!$HL$32,'Lease Cycles'!$HS$32+'Lease Cycles'!$HZ$32,0)</f>
        <v>0</v>
      </c>
      <c r="BP432" s="28">
        <f>IF(BP$6='Lease Cycles'!$HL$32,'Lease Cycles'!$HS$32+'Lease Cycles'!$HZ$32,0)</f>
        <v>0</v>
      </c>
      <c r="BQ432" s="28">
        <f>IF(BQ$6='Lease Cycles'!$HL$32,'Lease Cycles'!$HS$32+'Lease Cycles'!$HZ$32,0)</f>
        <v>0</v>
      </c>
      <c r="BR432" s="28">
        <f>IF(BR$6='Lease Cycles'!$HL$32,'Lease Cycles'!$HS$32+'Lease Cycles'!$HZ$32,0)</f>
        <v>0</v>
      </c>
      <c r="BS432" s="28">
        <f>IF(BS$6='Lease Cycles'!$HL$32,'Lease Cycles'!$HS$32+'Lease Cycles'!$HZ$32,0)</f>
        <v>0</v>
      </c>
      <c r="BT432" s="28">
        <f>IF(BT$6='Lease Cycles'!$HL$32,'Lease Cycles'!$HS$32+'Lease Cycles'!$HZ$32,0)</f>
        <v>0</v>
      </c>
      <c r="BU432" s="28">
        <f>IF(BU$6='Lease Cycles'!$HL$32,'Lease Cycles'!$HS$32+'Lease Cycles'!$HZ$32,0)</f>
        <v>0</v>
      </c>
      <c r="BV432" s="28">
        <f>IF(BV$6='Lease Cycles'!$HL$32,'Lease Cycles'!$HS$32+'Lease Cycles'!$HZ$32,0)</f>
        <v>0</v>
      </c>
      <c r="BW432" s="28">
        <f>IF(BW$6='Lease Cycles'!$HL$32,'Lease Cycles'!$HS$32+'Lease Cycles'!$HZ$32,0)</f>
        <v>0</v>
      </c>
      <c r="BX432" s="28">
        <f>IF(BX$6='Lease Cycles'!$HL$32,'Lease Cycles'!$HS$32+'Lease Cycles'!$HZ$32,0)</f>
        <v>0</v>
      </c>
      <c r="BY432" s="28">
        <f>IF(BY$6='Lease Cycles'!$HL$32,'Lease Cycles'!$HS$32+'Lease Cycles'!$HZ$32,0)</f>
        <v>0</v>
      </c>
      <c r="BZ432" s="28">
        <f>IF(BZ$6='Lease Cycles'!$HL$32,'Lease Cycles'!$HS$32+'Lease Cycles'!$HZ$32,0)</f>
        <v>0</v>
      </c>
      <c r="CA432" s="28">
        <f>IF(CA$6='Lease Cycles'!$HL$32,'Lease Cycles'!$HS$32+'Lease Cycles'!$HZ$32,0)</f>
        <v>0</v>
      </c>
      <c r="CB432" s="28">
        <f>IF(CB$6='Lease Cycles'!$HL$32,'Lease Cycles'!$HS$32+'Lease Cycles'!$HZ$32,0)</f>
        <v>0</v>
      </c>
      <c r="CC432" s="28">
        <f>IF(CC$6='Lease Cycles'!$HL$32,'Lease Cycles'!$HS$32+'Lease Cycles'!$HZ$32,0)</f>
        <v>0</v>
      </c>
      <c r="CD432" s="28">
        <f>IF(CD$6='Lease Cycles'!$HL$32,'Lease Cycles'!$HS$32+'Lease Cycles'!$HZ$32,0)</f>
        <v>0</v>
      </c>
      <c r="CE432" s="28">
        <f>IF(CE$6='Lease Cycles'!$HL$32,'Lease Cycles'!$HS$32+'Lease Cycles'!$HZ$32,0)</f>
        <v>0</v>
      </c>
      <c r="CF432" s="28">
        <f>IF(CF$6='Lease Cycles'!$HL$32,'Lease Cycles'!$HS$32+'Lease Cycles'!$HZ$32,0)</f>
        <v>0</v>
      </c>
      <c r="CG432" s="28">
        <f>IF(CG$6='Lease Cycles'!$HL$32,'Lease Cycles'!$HS$32+'Lease Cycles'!$HZ$32,0)</f>
        <v>0</v>
      </c>
      <c r="CH432" s="28">
        <f>IF(CH$6='Lease Cycles'!$HL$32,'Lease Cycles'!$HS$32+'Lease Cycles'!$HZ$32,0)</f>
        <v>0</v>
      </c>
      <c r="CI432" s="28">
        <f>IF(CI$6='Lease Cycles'!$HL$32,'Lease Cycles'!$HS$32+'Lease Cycles'!$HZ$32,0)</f>
        <v>0</v>
      </c>
      <c r="CJ432" s="28">
        <f>IF(CJ$6='Lease Cycles'!$HL$32,'Lease Cycles'!$HS$32+'Lease Cycles'!$HZ$32,0)</f>
        <v>0</v>
      </c>
      <c r="CK432" s="28">
        <f>IF(CK$6='Lease Cycles'!$HL$32,'Lease Cycles'!$HS$32+'Lease Cycles'!$HZ$32,0)</f>
        <v>0</v>
      </c>
      <c r="CL432" s="28">
        <f>IF(CL$6='Lease Cycles'!$HL$32,'Lease Cycles'!$HS$32+'Lease Cycles'!$HZ$32,0)</f>
        <v>0</v>
      </c>
      <c r="CM432" s="28">
        <f>IF(CM$6='Lease Cycles'!$HL$32,'Lease Cycles'!$HS$32+'Lease Cycles'!$HZ$32,0)</f>
        <v>0</v>
      </c>
      <c r="CN432" s="28">
        <f>IF(CN$6='Lease Cycles'!$HL$32,'Lease Cycles'!$HS$32+'Lease Cycles'!$HZ$32,0)</f>
        <v>0</v>
      </c>
      <c r="CO432" s="28">
        <f>IF(CO$6='Lease Cycles'!$HL$32,'Lease Cycles'!$HS$32+'Lease Cycles'!$HZ$32,0)</f>
        <v>0</v>
      </c>
      <c r="CP432" s="28">
        <f>IF(CP$6='Lease Cycles'!$HL$32,'Lease Cycles'!$HS$32+'Lease Cycles'!$HZ$32,0)</f>
        <v>0</v>
      </c>
      <c r="CQ432" s="28">
        <f>IF(CQ$6='Lease Cycles'!$HL$32,'Lease Cycles'!$HS$32+'Lease Cycles'!$HZ$32,0)</f>
        <v>0</v>
      </c>
      <c r="CR432" s="28">
        <f>IF(CR$6='Lease Cycles'!$HL$32,'Lease Cycles'!$HS$32+'Lease Cycles'!$HZ$32,0)</f>
        <v>0</v>
      </c>
      <c r="CS432" s="28">
        <f>IF(CS$6='Lease Cycles'!$HL$32,'Lease Cycles'!$HS$32+'Lease Cycles'!$HZ$32,0)</f>
        <v>0</v>
      </c>
      <c r="CT432" s="28">
        <f>IF(CT$6='Lease Cycles'!$HL$32,'Lease Cycles'!$HS$32+'Lease Cycles'!$HZ$32,0)</f>
        <v>0</v>
      </c>
      <c r="CU432" s="28">
        <f>IF(CU$6='Lease Cycles'!$HL$32,'Lease Cycles'!$HS$32+'Lease Cycles'!$HZ$32,0)</f>
        <v>0</v>
      </c>
      <c r="CV432" s="28">
        <f>IF(CV$6='Lease Cycles'!$HL$32,'Lease Cycles'!$HS$32+'Lease Cycles'!$HZ$32,0)</f>
        <v>0</v>
      </c>
      <c r="CW432" s="28">
        <f>IF(CW$6='Lease Cycles'!$HL$32,'Lease Cycles'!$HS$32+'Lease Cycles'!$HZ$32,0)</f>
        <v>0</v>
      </c>
      <c r="CX432" s="28">
        <f>IF(CX$6='Lease Cycles'!$HL$32,'Lease Cycles'!$HS$32+'Lease Cycles'!$HZ$32,0)</f>
        <v>0</v>
      </c>
      <c r="CY432" s="28">
        <f>IF(CY$6='Lease Cycles'!$HL$32,'Lease Cycles'!$HS$32+'Lease Cycles'!$HZ$32,0)</f>
        <v>0</v>
      </c>
      <c r="CZ432" s="28">
        <f>IF(CZ$6='Lease Cycles'!$HL$32,'Lease Cycles'!$HS$32+'Lease Cycles'!$HZ$32,0)</f>
        <v>0</v>
      </c>
      <c r="DA432" s="28">
        <f>IF(DA$6='Lease Cycles'!$HL$32,'Lease Cycles'!$HS$32+'Lease Cycles'!$HZ$32,0)</f>
        <v>0</v>
      </c>
      <c r="DB432" s="28">
        <f>IF(DB$6='Lease Cycles'!$HL$32,'Lease Cycles'!$HS$32+'Lease Cycles'!$HZ$32,0)</f>
        <v>0</v>
      </c>
      <c r="DC432" s="28">
        <f>IF(DC$6='Lease Cycles'!$HL$32,'Lease Cycles'!$HS$32+'Lease Cycles'!$HZ$32,0)</f>
        <v>0</v>
      </c>
      <c r="DD432" s="28">
        <f>IF(DD$6='Lease Cycles'!$HL$32,'Lease Cycles'!$HS$32+'Lease Cycles'!$HZ$32,0)</f>
        <v>0</v>
      </c>
      <c r="DE432" s="28">
        <f>IF(DE$6='Lease Cycles'!$HL$32,'Lease Cycles'!$HS$32+'Lease Cycles'!$HZ$32,0)</f>
        <v>0</v>
      </c>
      <c r="DF432" s="28">
        <f>IF(DF$6='Lease Cycles'!$HL$32,'Lease Cycles'!$HS$32+'Lease Cycles'!$HZ$32,0)</f>
        <v>0</v>
      </c>
      <c r="DG432" s="28">
        <f>IF(DG$6='Lease Cycles'!$HL$32,'Lease Cycles'!$HS$32+'Lease Cycles'!$HZ$32,0)</f>
        <v>0</v>
      </c>
      <c r="DH432" s="28">
        <f>IF(DH$6='Lease Cycles'!$HL$32,'Lease Cycles'!$HS$32+'Lease Cycles'!$HZ$32,0)</f>
        <v>0</v>
      </c>
      <c r="DI432" s="28">
        <f>IF(DI$6='Lease Cycles'!$HL$32,'Lease Cycles'!$HS$32+'Lease Cycles'!$HZ$32,0)</f>
        <v>0</v>
      </c>
      <c r="DJ432" s="28">
        <f>IF(DJ$6='Lease Cycles'!$HL$32,'Lease Cycles'!$HS$32+'Lease Cycles'!$HZ$32,0)</f>
        <v>0</v>
      </c>
      <c r="DK432" s="28">
        <f>IF(DK$6='Lease Cycles'!$HL$32,'Lease Cycles'!$HS$32+'Lease Cycles'!$HZ$32,0)</f>
        <v>0</v>
      </c>
      <c r="DL432" s="28">
        <f>IF(DL$6='Lease Cycles'!$HL$32,'Lease Cycles'!$HS$32+'Lease Cycles'!$HZ$32,0)</f>
        <v>0</v>
      </c>
      <c r="DM432" s="28">
        <f>IF(DM$6='Lease Cycles'!$HL$32,'Lease Cycles'!$HS$32+'Lease Cycles'!$HZ$32,0)</f>
        <v>0</v>
      </c>
      <c r="DN432" s="28">
        <f>IF(DN$6='Lease Cycles'!$HL$32,'Lease Cycles'!$HS$32+'Lease Cycles'!$HZ$32,0)</f>
        <v>0</v>
      </c>
      <c r="DO432" s="28">
        <f>IF(DO$6='Lease Cycles'!$HL$32,'Lease Cycles'!$HS$32+'Lease Cycles'!$HZ$32,0)</f>
        <v>0</v>
      </c>
      <c r="DP432" s="28">
        <f>IF(DP$6='Lease Cycles'!$HL$32,'Lease Cycles'!$HS$32+'Lease Cycles'!$HZ$32,0)</f>
        <v>0</v>
      </c>
      <c r="DQ432" s="28">
        <f>IF(DQ$6='Lease Cycles'!$HL$32,'Lease Cycles'!$HS$32+'Lease Cycles'!$HZ$32,0)</f>
        <v>0</v>
      </c>
      <c r="DR432" s="28">
        <f>IF(DR$6='Lease Cycles'!$HL$32,'Lease Cycles'!$HS$32+'Lease Cycles'!$HZ$32,0)</f>
        <v>0</v>
      </c>
      <c r="DS432" s="28">
        <f>IF(DS$6='Lease Cycles'!$HL$32,'Lease Cycles'!$HS$32+'Lease Cycles'!$HZ$32,0)</f>
        <v>0</v>
      </c>
      <c r="DT432" s="28">
        <f>IF(DT$6='Lease Cycles'!$HL$32,'Lease Cycles'!$HS$32+'Lease Cycles'!$HZ$32,0)</f>
        <v>0</v>
      </c>
      <c r="DU432" s="28">
        <f>IF(DU$6='Lease Cycles'!$HL$32,'Lease Cycles'!$HS$32+'Lease Cycles'!$HZ$32,0)</f>
        <v>0</v>
      </c>
      <c r="DV432" s="28">
        <f>IF(DV$6='Lease Cycles'!$HL$32,'Lease Cycles'!$HS$32+'Lease Cycles'!$HZ$32,0)</f>
        <v>0</v>
      </c>
      <c r="DW432" s="28">
        <f>IF(DW$6='Lease Cycles'!$HL$32,'Lease Cycles'!$HS$32+'Lease Cycles'!$HZ$32,0)</f>
        <v>0</v>
      </c>
      <c r="DX432" s="28">
        <f>IF(DX$6='Lease Cycles'!$HL$32,'Lease Cycles'!$HS$32+'Lease Cycles'!$HZ$32,0)</f>
        <v>0</v>
      </c>
      <c r="DY432" s="28">
        <f>IF(DY$6='Lease Cycles'!$HL$32,'Lease Cycles'!$HS$32+'Lease Cycles'!$HZ$32,0)</f>
        <v>0</v>
      </c>
      <c r="DZ432" s="28">
        <f>IF(DZ$6='Lease Cycles'!$HL$32,'Lease Cycles'!$HS$32+'Lease Cycles'!$HZ$32,0)</f>
        <v>0</v>
      </c>
      <c r="EA432" s="28">
        <f>IF(EA$6='Lease Cycles'!$HL$32,'Lease Cycles'!$HS$32+'Lease Cycles'!$HZ$32,0)</f>
        <v>0</v>
      </c>
      <c r="EB432" s="28">
        <f>IF(EB$6='Lease Cycles'!$HL$32,'Lease Cycles'!$HS$32+'Lease Cycles'!$HZ$32,0)</f>
        <v>0</v>
      </c>
      <c r="EC432" s="28">
        <f>IF(EC$6='Lease Cycles'!$HL$32,'Lease Cycles'!$HS$32+'Lease Cycles'!$HZ$32,0)</f>
        <v>0</v>
      </c>
      <c r="ED432" s="28">
        <f>IF(ED$6='Lease Cycles'!$HL$32,'Lease Cycles'!$HS$32+'Lease Cycles'!$HZ$32,0)</f>
        <v>0</v>
      </c>
      <c r="EE432" s="28">
        <f>IF(EE$6='Lease Cycles'!$HL$32,'Lease Cycles'!$HS$32+'Lease Cycles'!$HZ$32,0)</f>
        <v>0</v>
      </c>
      <c r="EF432" s="28">
        <f>IF(EF$6='Lease Cycles'!$HL$32,'Lease Cycles'!$HS$32+'Lease Cycles'!$HZ$32,0)</f>
        <v>0</v>
      </c>
      <c r="EG432" s="28">
        <f>IF(EG$6='Lease Cycles'!$HL$32,'Lease Cycles'!$HS$32+'Lease Cycles'!$HZ$32,0)</f>
        <v>0</v>
      </c>
      <c r="EH432" s="28">
        <f>IF(EH$6='Lease Cycles'!$HL$32,'Lease Cycles'!$HS$32+'Lease Cycles'!$HZ$32,0)</f>
        <v>0</v>
      </c>
      <c r="EI432" s="28">
        <f>IF(EI$6='Lease Cycles'!$HL$32,'Lease Cycles'!$HS$32+'Lease Cycles'!$HZ$32,0)</f>
        <v>0</v>
      </c>
      <c r="EJ432" s="28">
        <f>IF(EJ$6='Lease Cycles'!$HL$32,'Lease Cycles'!$HS$32+'Lease Cycles'!$HZ$32,0)</f>
        <v>0</v>
      </c>
      <c r="EK432" s="28">
        <f>IF(EK$6='Lease Cycles'!$HL$32,'Lease Cycles'!$HS$32+'Lease Cycles'!$HZ$32,0)</f>
        <v>0</v>
      </c>
      <c r="EL432" s="28">
        <f>IF(EL$6='Lease Cycles'!$HL$32,'Lease Cycles'!$HS$32+'Lease Cycles'!$HZ$32,0)</f>
        <v>0</v>
      </c>
      <c r="EM432" s="28">
        <f>IF(EM$6='Lease Cycles'!$HL$32,'Lease Cycles'!$HS$32+'Lease Cycles'!$HZ$32,0)</f>
        <v>0</v>
      </c>
      <c r="EN432" s="28">
        <f>IF(EN$6='Lease Cycles'!$HL$32,'Lease Cycles'!$HS$32+'Lease Cycles'!$HZ$32,0)</f>
        <v>0</v>
      </c>
      <c r="EO432" s="28">
        <f>IF(EO$6='Lease Cycles'!$HL$32,'Lease Cycles'!$HS$32+'Lease Cycles'!$HZ$32,0)</f>
        <v>0</v>
      </c>
      <c r="EP432" s="28">
        <f>IF(EP$6='Lease Cycles'!$HL$32,'Lease Cycles'!$HS$32+'Lease Cycles'!$HZ$32,0)</f>
        <v>0</v>
      </c>
      <c r="EQ432" s="28">
        <f>IF(EQ$6='Lease Cycles'!$HL$32,'Lease Cycles'!$HS$32+'Lease Cycles'!$HZ$32,0)</f>
        <v>0</v>
      </c>
      <c r="ER432" s="28">
        <f>IF(ER$6='Lease Cycles'!$HL$32,'Lease Cycles'!$HS$32+'Lease Cycles'!$HZ$32,0)</f>
        <v>0</v>
      </c>
      <c r="ES432" s="28">
        <f>IF(ES$6='Lease Cycles'!$HL$32,'Lease Cycles'!$HS$32+'Lease Cycles'!$HZ$32,0)</f>
        <v>0</v>
      </c>
      <c r="ET432" s="28">
        <f>IF(ET$6='Lease Cycles'!$HL$32,'Lease Cycles'!$HS$32+'Lease Cycles'!$HZ$32,0)</f>
        <v>0</v>
      </c>
    </row>
    <row r="433">
      <c r="A433" s="103">
        <v>25</v>
      </c>
      <c r="B433" s="23" t="str">
        <f>IF('Lease Cycles'!$B$32="","(empty slot)",'Lease Cycles'!$B$32)</f>
        <v>(empty slot)</v>
      </c>
      <c r="C433" s="23" t="s">
        <v>499</v>
      </c>
      <c r="D433" s="104" t="s">
        <v>500</v>
      </c>
      <c r="E433" s="25">
        <f>'Lease Cycles'!$AL$32</f>
        <v>0</v>
      </c>
      <c r="G433" s="28">
        <f>MAX(0,'Lease Cycles'!$AN$32*'Lease Cycles'!$C$32*'Lease Cycles'!$AM$32*(1+a_SalesGrowth)^(G$6-1)-G423)</f>
        <v>0</v>
      </c>
      <c r="H433" s="28">
        <f>MAX(0,'Lease Cycles'!$AN$32*'Lease Cycles'!$C$32*'Lease Cycles'!$AM$32*(1+a_SalesGrowth)^(H$6-1)-H423)</f>
        <v>0</v>
      </c>
      <c r="I433" s="28">
        <f>MAX(0,'Lease Cycles'!$AN$32*'Lease Cycles'!$C$32*'Lease Cycles'!$AM$32*(1+a_SalesGrowth)^(I$6-1)-I423)</f>
        <v>0</v>
      </c>
      <c r="J433" s="28">
        <f>MAX(0,'Lease Cycles'!$AN$32*'Lease Cycles'!$C$32*'Lease Cycles'!$AM$32*(1+a_SalesGrowth)^(J$6-1)-J423)</f>
        <v>0</v>
      </c>
      <c r="K433" s="28">
        <f>MAX(0,'Lease Cycles'!$AN$32*'Lease Cycles'!$C$32*'Lease Cycles'!$AM$32*(1+a_SalesGrowth)^(K$6-1)-K423)</f>
        <v>0</v>
      </c>
      <c r="L433" s="28">
        <f>MAX(0,'Lease Cycles'!$AN$32*'Lease Cycles'!$C$32*'Lease Cycles'!$AM$32*(1+a_SalesGrowth)^(L$6-1)-L423)</f>
        <v>0</v>
      </c>
      <c r="M433" s="28">
        <f>MAX(0,'Lease Cycles'!$AN$32*'Lease Cycles'!$C$32*'Lease Cycles'!$AM$32*(1+a_SalesGrowth)^(M$6-1)-M423)</f>
        <v>0</v>
      </c>
      <c r="N433" s="28">
        <f>MAX(0,'Lease Cycles'!$AN$32*'Lease Cycles'!$C$32*'Lease Cycles'!$AM$32*(1+a_SalesGrowth)^(N$6-1)-N423)</f>
        <v>0</v>
      </c>
      <c r="O433" s="28">
        <f>MAX(0,'Lease Cycles'!$AN$32*'Lease Cycles'!$C$32*'Lease Cycles'!$AM$32*(1+a_SalesGrowth)^(O$6-1)-O423)</f>
        <v>0</v>
      </c>
      <c r="P433" s="28">
        <f>MAX(0,'Lease Cycles'!$AN$32*'Lease Cycles'!$C$32*'Lease Cycles'!$AM$32*(1+a_SalesGrowth)^(P$6-1)-P423)</f>
        <v>0</v>
      </c>
      <c r="Q433" s="28">
        <f>MAX(0,'Lease Cycles'!$AN$32*'Lease Cycles'!$C$32*'Lease Cycles'!$AM$32*(1+a_SalesGrowth)^(Q$6-1)-Q423)</f>
        <v>0</v>
      </c>
    </row>
  </sheetData>
  <sheetProtection sheet="1" objects="1" scenarios="1" formatColumns="0" formatRows="0" autoFilter="0"/>
  <hyperlinks>
    <hyperlink ref="I2" location="'Executive Summary'!A1" display="Back to summary"/>
  </hyperlinks>
  <pageMargins left="0.5" right="0.5" top="0.6" bottom="0.6" header="0.3" footer="0.3"/>
  <ignoredErrors>
    <ignoredError sqref="A1:ET433" numberStoredAsText="1" formula="1" formulaRange="1" unlockedFormula="1" emptyCellReference="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5B7C93"/>
  </sheetPr>
  <dimension ref="A1:IT32"/>
  <sheetViews>
    <sheetView workbookViewId="0" showGridLines="0" zoomScale="90" zoomScaleNormal="9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defaultRowHeight="15"/>
  <cols>
    <col min="1" max="1" width="2.5" customWidth="1"/>
  </cols>
  <sheetData>
    <row r="1" ht="20" customHeight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ht="26" customHeight="1">
      <c r="B2" s="3" t="s">
        <v>693</v>
      </c>
      <c r="I2" s="30" t="s">
        <v>65</v>
      </c>
    </row>
    <row r="3">
      <c r="B3" s="4" t="s">
        <v>2</v>
      </c>
    </row>
    <row r="4">
      <c r="B4" s="22" t="s">
        <v>694</v>
      </c>
    </row>
    <row r="5">
      <c r="B5" s="22" t="s">
        <v>695</v>
      </c>
    </row>
    <row r="7">
      <c r="A7" s="31" t="s">
        <v>696</v>
      </c>
      <c r="B7" s="31" t="s">
        <v>697</v>
      </c>
      <c r="C7" s="31" t="s">
        <v>206</v>
      </c>
      <c r="D7" s="31" t="s">
        <v>698</v>
      </c>
      <c r="E7" s="31" t="s">
        <v>699</v>
      </c>
      <c r="F7" s="31" t="s">
        <v>700</v>
      </c>
      <c r="G7" s="31" t="s">
        <v>701</v>
      </c>
      <c r="H7" s="31" t="s">
        <v>702</v>
      </c>
      <c r="I7" s="31" t="s">
        <v>703</v>
      </c>
      <c r="J7" s="31" t="s">
        <v>704</v>
      </c>
      <c r="K7" s="31" t="s">
        <v>705</v>
      </c>
      <c r="L7" s="31" t="s">
        <v>706</v>
      </c>
      <c r="M7" s="31" t="s">
        <v>707</v>
      </c>
      <c r="N7" s="31" t="s">
        <v>708</v>
      </c>
      <c r="O7" s="31" t="s">
        <v>709</v>
      </c>
      <c r="P7" s="31" t="s">
        <v>710</v>
      </c>
      <c r="Q7" s="31" t="s">
        <v>711</v>
      </c>
      <c r="R7" s="31" t="s">
        <v>712</v>
      </c>
      <c r="S7" s="31" t="s">
        <v>713</v>
      </c>
      <c r="T7" s="31" t="s">
        <v>714</v>
      </c>
      <c r="U7" s="31" t="s">
        <v>715</v>
      </c>
      <c r="V7" s="31" t="s">
        <v>716</v>
      </c>
      <c r="W7" s="31" t="s">
        <v>717</v>
      </c>
      <c r="X7" s="31" t="s">
        <v>718</v>
      </c>
      <c r="Y7" s="31" t="s">
        <v>719</v>
      </c>
      <c r="Z7" s="31" t="s">
        <v>720</v>
      </c>
      <c r="AA7" s="31" t="s">
        <v>721</v>
      </c>
      <c r="AB7" s="31" t="s">
        <v>722</v>
      </c>
      <c r="AC7" s="31" t="s">
        <v>723</v>
      </c>
      <c r="AD7" s="31" t="s">
        <v>724</v>
      </c>
      <c r="AE7" s="31" t="s">
        <v>725</v>
      </c>
      <c r="AF7" s="31" t="s">
        <v>726</v>
      </c>
      <c r="AG7" s="31" t="s">
        <v>727</v>
      </c>
      <c r="AH7" s="31" t="s">
        <v>728</v>
      </c>
      <c r="AI7" s="31" t="s">
        <v>729</v>
      </c>
      <c r="AJ7" s="31" t="s">
        <v>730</v>
      </c>
      <c r="AK7" s="31" t="s">
        <v>731</v>
      </c>
      <c r="AL7" s="31" t="s">
        <v>732</v>
      </c>
      <c r="AM7" s="31" t="s">
        <v>733</v>
      </c>
      <c r="AN7" s="31" t="s">
        <v>734</v>
      </c>
      <c r="AO7" s="31" t="s">
        <v>735</v>
      </c>
      <c r="AP7" s="31" t="s">
        <v>736</v>
      </c>
      <c r="AQ7" s="31" t="s">
        <v>737</v>
      </c>
      <c r="AR7" s="31" t="s">
        <v>738</v>
      </c>
      <c r="AS7" s="31" t="s">
        <v>739</v>
      </c>
      <c r="AT7" s="31" t="s">
        <v>740</v>
      </c>
      <c r="AU7" s="31" t="s">
        <v>741</v>
      </c>
      <c r="AV7" s="31" t="s">
        <v>742</v>
      </c>
      <c r="AW7" s="31" t="s">
        <v>743</v>
      </c>
      <c r="AX7" s="31" t="s">
        <v>744</v>
      </c>
      <c r="AY7" s="31" t="s">
        <v>745</v>
      </c>
      <c r="AZ7" s="31" t="s">
        <v>746</v>
      </c>
      <c r="BA7" s="31" t="s">
        <v>747</v>
      </c>
      <c r="BB7" s="31" t="s">
        <v>748</v>
      </c>
      <c r="BC7" s="31" t="s">
        <v>749</v>
      </c>
      <c r="BD7" s="31" t="s">
        <v>750</v>
      </c>
      <c r="BE7" s="31" t="s">
        <v>751</v>
      </c>
      <c r="BG7" s="31" t="s">
        <v>752</v>
      </c>
      <c r="BH7" s="31" t="s">
        <v>753</v>
      </c>
      <c r="BI7" s="31" t="s">
        <v>754</v>
      </c>
      <c r="BJ7" s="31" t="s">
        <v>755</v>
      </c>
      <c r="BK7" s="31" t="s">
        <v>756</v>
      </c>
      <c r="BL7" s="31" t="s">
        <v>757</v>
      </c>
      <c r="BM7" s="31" t="s">
        <v>758</v>
      </c>
      <c r="BN7" s="31" t="s">
        <v>759</v>
      </c>
      <c r="BO7" s="31" t="s">
        <v>760</v>
      </c>
      <c r="BP7" s="31" t="s">
        <v>761</v>
      </c>
      <c r="BQ7" s="31" t="s">
        <v>762</v>
      </c>
      <c r="BR7" s="31" t="s">
        <v>763</v>
      </c>
      <c r="BS7" s="31" t="s">
        <v>764</v>
      </c>
      <c r="BT7" s="31" t="s">
        <v>765</v>
      </c>
      <c r="BU7" s="31" t="s">
        <v>766</v>
      </c>
      <c r="BV7" s="31" t="s">
        <v>767</v>
      </c>
      <c r="BW7" s="31" t="s">
        <v>768</v>
      </c>
      <c r="BX7" s="31" t="s">
        <v>769</v>
      </c>
      <c r="BY7" s="31" t="s">
        <v>770</v>
      </c>
      <c r="BZ7" s="31" t="s">
        <v>771</v>
      </c>
      <c r="CA7" s="31" t="s">
        <v>772</v>
      </c>
      <c r="CB7" s="31" t="s">
        <v>699</v>
      </c>
      <c r="CC7" s="31" t="s">
        <v>773</v>
      </c>
      <c r="CD7" s="31" t="s">
        <v>774</v>
      </c>
      <c r="CE7" s="31" t="s">
        <v>775</v>
      </c>
      <c r="CF7" s="31" t="s">
        <v>776</v>
      </c>
      <c r="CG7" s="31" t="s">
        <v>777</v>
      </c>
      <c r="CH7" s="31" t="s">
        <v>778</v>
      </c>
      <c r="CI7" s="31" t="s">
        <v>735</v>
      </c>
      <c r="CJ7" s="31" t="s">
        <v>779</v>
      </c>
      <c r="CK7" s="31" t="s">
        <v>780</v>
      </c>
      <c r="CL7" s="31" t="s">
        <v>781</v>
      </c>
      <c r="CM7" s="31" t="s">
        <v>782</v>
      </c>
      <c r="CN7" s="31" t="s">
        <v>783</v>
      </c>
      <c r="CO7" s="31" t="s">
        <v>784</v>
      </c>
      <c r="CP7" s="31" t="s">
        <v>736</v>
      </c>
      <c r="CQ7" s="31" t="s">
        <v>785</v>
      </c>
      <c r="CR7" s="31" t="s">
        <v>786</v>
      </c>
      <c r="CS7" s="31" t="s">
        <v>787</v>
      </c>
      <c r="CT7" s="31" t="s">
        <v>788</v>
      </c>
      <c r="CU7" s="31" t="s">
        <v>789</v>
      </c>
      <c r="CV7" s="31" t="s">
        <v>790</v>
      </c>
      <c r="CW7" s="31" t="s">
        <v>791</v>
      </c>
      <c r="CX7" s="31" t="s">
        <v>792</v>
      </c>
      <c r="CY7" s="31" t="s">
        <v>793</v>
      </c>
      <c r="CZ7" s="31" t="s">
        <v>794</v>
      </c>
      <c r="DA7" s="31" t="s">
        <v>795</v>
      </c>
      <c r="DB7" s="31" t="s">
        <v>796</v>
      </c>
      <c r="DC7" s="31" t="s">
        <v>797</v>
      </c>
      <c r="DD7" s="31" t="s">
        <v>798</v>
      </c>
      <c r="DE7" s="31" t="s">
        <v>799</v>
      </c>
      <c r="DF7" s="31" t="s">
        <v>800</v>
      </c>
      <c r="DG7" s="31" t="s">
        <v>801</v>
      </c>
      <c r="DH7" s="31" t="s">
        <v>802</v>
      </c>
      <c r="DI7" s="31" t="s">
        <v>803</v>
      </c>
      <c r="DJ7" s="31" t="s">
        <v>804</v>
      </c>
      <c r="DK7" s="31" t="s">
        <v>805</v>
      </c>
      <c r="DL7" s="31" t="s">
        <v>806</v>
      </c>
      <c r="DM7" s="31" t="s">
        <v>807</v>
      </c>
      <c r="DN7" s="31" t="s">
        <v>808</v>
      </c>
      <c r="DO7" s="31" t="s">
        <v>809</v>
      </c>
      <c r="DP7" s="31" t="s">
        <v>810</v>
      </c>
      <c r="DQ7" s="31" t="s">
        <v>811</v>
      </c>
      <c r="DR7" s="31" t="s">
        <v>812</v>
      </c>
      <c r="DS7" s="31" t="s">
        <v>813</v>
      </c>
      <c r="DT7" s="31" t="s">
        <v>814</v>
      </c>
      <c r="DU7" s="31" t="s">
        <v>815</v>
      </c>
      <c r="DV7" s="31" t="s">
        <v>816</v>
      </c>
      <c r="DW7" s="31" t="s">
        <v>817</v>
      </c>
      <c r="DX7" s="31" t="s">
        <v>818</v>
      </c>
      <c r="DY7" s="31" t="s">
        <v>819</v>
      </c>
      <c r="DZ7" s="31" t="s">
        <v>820</v>
      </c>
      <c r="EA7" s="31" t="s">
        <v>821</v>
      </c>
      <c r="EB7" s="31" t="s">
        <v>822</v>
      </c>
      <c r="EC7" s="31" t="s">
        <v>823</v>
      </c>
      <c r="ED7" s="31" t="s">
        <v>824</v>
      </c>
      <c r="EE7" s="31" t="s">
        <v>825</v>
      </c>
      <c r="EF7" s="31" t="s">
        <v>826</v>
      </c>
      <c r="EG7" s="31" t="s">
        <v>827</v>
      </c>
      <c r="EH7" s="31" t="s">
        <v>828</v>
      </c>
      <c r="EI7" s="31" t="s">
        <v>829</v>
      </c>
      <c r="EJ7" s="31" t="s">
        <v>830</v>
      </c>
      <c r="EK7" s="31" t="s">
        <v>831</v>
      </c>
      <c r="EL7" s="31" t="s">
        <v>832</v>
      </c>
      <c r="EM7" s="31" t="s">
        <v>833</v>
      </c>
      <c r="EN7" s="31" t="s">
        <v>834</v>
      </c>
      <c r="EO7" s="31" t="s">
        <v>835</v>
      </c>
      <c r="EP7" s="31" t="s">
        <v>836</v>
      </c>
      <c r="EQ7" s="31" t="s">
        <v>837</v>
      </c>
      <c r="ER7" s="31" t="s">
        <v>838</v>
      </c>
      <c r="ES7" s="31" t="s">
        <v>839</v>
      </c>
      <c r="ET7" s="31" t="s">
        <v>840</v>
      </c>
      <c r="EU7" s="31" t="s">
        <v>841</v>
      </c>
      <c r="EV7" s="31" t="s">
        <v>842</v>
      </c>
      <c r="EW7" s="31" t="s">
        <v>843</v>
      </c>
      <c r="EX7" s="31" t="s">
        <v>844</v>
      </c>
      <c r="EY7" s="31" t="s">
        <v>845</v>
      </c>
      <c r="EZ7" s="31" t="s">
        <v>846</v>
      </c>
      <c r="FA7" s="31" t="s">
        <v>847</v>
      </c>
      <c r="FB7" s="31" t="s">
        <v>848</v>
      </c>
      <c r="FC7" s="31" t="s">
        <v>849</v>
      </c>
      <c r="FD7" s="31" t="s">
        <v>850</v>
      </c>
      <c r="FE7" s="31" t="s">
        <v>851</v>
      </c>
      <c r="FF7" s="31" t="s">
        <v>852</v>
      </c>
      <c r="FG7" s="31" t="s">
        <v>853</v>
      </c>
      <c r="FH7" s="31" t="s">
        <v>854</v>
      </c>
      <c r="FI7" s="31" t="s">
        <v>855</v>
      </c>
      <c r="FJ7" s="31" t="s">
        <v>856</v>
      </c>
      <c r="FK7" s="31" t="s">
        <v>857</v>
      </c>
      <c r="FL7" s="31" t="s">
        <v>858</v>
      </c>
      <c r="FM7" s="31" t="s">
        <v>859</v>
      </c>
      <c r="FN7" s="31" t="s">
        <v>860</v>
      </c>
      <c r="FO7" s="31" t="s">
        <v>861</v>
      </c>
      <c r="FP7" s="31" t="s">
        <v>862</v>
      </c>
      <c r="FQ7" s="31" t="s">
        <v>863</v>
      </c>
      <c r="FR7" s="31" t="s">
        <v>864</v>
      </c>
      <c r="FS7" s="31" t="s">
        <v>865</v>
      </c>
      <c r="FT7" s="31" t="s">
        <v>866</v>
      </c>
      <c r="FU7" s="31" t="s">
        <v>867</v>
      </c>
      <c r="FV7" s="31" t="s">
        <v>868</v>
      </c>
      <c r="FW7" s="31" t="s">
        <v>869</v>
      </c>
      <c r="FX7" s="31" t="s">
        <v>870</v>
      </c>
      <c r="FY7" s="31" t="s">
        <v>871</v>
      </c>
      <c r="FZ7" s="31" t="s">
        <v>872</v>
      </c>
      <c r="GA7" s="31" t="s">
        <v>873</v>
      </c>
      <c r="GB7" s="31" t="s">
        <v>874</v>
      </c>
      <c r="GC7" s="31" t="s">
        <v>875</v>
      </c>
      <c r="GD7" s="31" t="s">
        <v>876</v>
      </c>
      <c r="GE7" s="31" t="s">
        <v>877</v>
      </c>
      <c r="GF7" s="31" t="s">
        <v>878</v>
      </c>
      <c r="GG7" s="31" t="s">
        <v>879</v>
      </c>
      <c r="GH7" s="31" t="s">
        <v>880</v>
      </c>
      <c r="GI7" s="31" t="s">
        <v>881</v>
      </c>
      <c r="GJ7" s="31" t="s">
        <v>882</v>
      </c>
      <c r="GK7" s="31" t="s">
        <v>883</v>
      </c>
      <c r="GL7" s="31" t="s">
        <v>884</v>
      </c>
      <c r="GM7" s="31" t="s">
        <v>885</v>
      </c>
      <c r="GN7" s="31" t="s">
        <v>886</v>
      </c>
      <c r="GO7" s="31" t="s">
        <v>887</v>
      </c>
      <c r="GP7" s="31" t="s">
        <v>888</v>
      </c>
      <c r="GQ7" s="31" t="s">
        <v>889</v>
      </c>
      <c r="GR7" s="31" t="s">
        <v>890</v>
      </c>
      <c r="GS7" s="31" t="s">
        <v>891</v>
      </c>
      <c r="GT7" s="31" t="s">
        <v>892</v>
      </c>
      <c r="GU7" s="31" t="s">
        <v>893</v>
      </c>
      <c r="GV7" s="31" t="s">
        <v>894</v>
      </c>
      <c r="GW7" s="31" t="s">
        <v>895</v>
      </c>
      <c r="GX7" s="31" t="s">
        <v>896</v>
      </c>
      <c r="GY7" s="31" t="s">
        <v>897</v>
      </c>
      <c r="GZ7" s="31" t="s">
        <v>898</v>
      </c>
      <c r="HA7" s="31" t="s">
        <v>899</v>
      </c>
      <c r="HB7" s="31" t="s">
        <v>900</v>
      </c>
      <c r="HC7" s="31" t="s">
        <v>901</v>
      </c>
      <c r="HD7" s="31" t="s">
        <v>902</v>
      </c>
      <c r="HE7" s="31" t="s">
        <v>903</v>
      </c>
      <c r="HF7" s="31" t="s">
        <v>904</v>
      </c>
      <c r="HG7" s="31" t="s">
        <v>905</v>
      </c>
      <c r="HH7" s="31" t="s">
        <v>906</v>
      </c>
      <c r="HI7" s="31" t="s">
        <v>907</v>
      </c>
      <c r="HJ7" s="31" t="s">
        <v>908</v>
      </c>
      <c r="HK7" s="31" t="s">
        <v>909</v>
      </c>
      <c r="HL7" s="31" t="s">
        <v>910</v>
      </c>
      <c r="HM7" s="31" t="s">
        <v>911</v>
      </c>
      <c r="HN7" s="31" t="s">
        <v>912</v>
      </c>
      <c r="HO7" s="31" t="s">
        <v>913</v>
      </c>
      <c r="HP7" s="31" t="s">
        <v>914</v>
      </c>
      <c r="HQ7" s="31" t="s">
        <v>915</v>
      </c>
      <c r="HR7" s="31" t="s">
        <v>916</v>
      </c>
      <c r="HS7" s="31" t="s">
        <v>917</v>
      </c>
      <c r="HT7" s="31" t="s">
        <v>918</v>
      </c>
      <c r="HU7" s="31" t="s">
        <v>919</v>
      </c>
      <c r="HV7" s="31" t="s">
        <v>920</v>
      </c>
      <c r="HW7" s="31" t="s">
        <v>921</v>
      </c>
      <c r="HX7" s="31" t="s">
        <v>922</v>
      </c>
      <c r="HY7" s="31" t="s">
        <v>923</v>
      </c>
      <c r="HZ7" s="31" t="s">
        <v>924</v>
      </c>
      <c r="IA7" s="31" t="s">
        <v>925</v>
      </c>
      <c r="IB7" s="31" t="s">
        <v>926</v>
      </c>
      <c r="IC7" s="31" t="s">
        <v>927</v>
      </c>
      <c r="ID7" s="31" t="s">
        <v>928</v>
      </c>
      <c r="IE7" s="31" t="s">
        <v>929</v>
      </c>
      <c r="IF7" s="31" t="s">
        <v>930</v>
      </c>
      <c r="IG7" s="31" t="s">
        <v>931</v>
      </c>
      <c r="IH7" s="31" t="s">
        <v>725</v>
      </c>
      <c r="II7" s="31" t="s">
        <v>932</v>
      </c>
      <c r="IJ7" s="31" t="s">
        <v>933</v>
      </c>
      <c r="IK7" s="31" t="s">
        <v>934</v>
      </c>
      <c r="IL7" s="31" t="s">
        <v>935</v>
      </c>
      <c r="IM7" s="31" t="s">
        <v>936</v>
      </c>
      <c r="IN7" s="31" t="s">
        <v>937</v>
      </c>
      <c r="IO7" s="31" t="s">
        <v>938</v>
      </c>
      <c r="IP7" s="31" t="s">
        <v>939</v>
      </c>
      <c r="IQ7" s="31" t="s">
        <v>940</v>
      </c>
      <c r="IR7" s="31" t="s">
        <v>941</v>
      </c>
      <c r="IS7" s="31" t="s">
        <v>942</v>
      </c>
      <c r="IT7" s="31" t="s">
        <v>943</v>
      </c>
    </row>
    <row r="8">
      <c r="A8" s="25">
        <v>1</v>
      </c>
      <c r="B8" s="23" t="str">
        <f>IF('Rent Roll'!C8="","",'Rent Roll'!C8)</f>
        <v>Fieldstone Grocery</v>
      </c>
      <c r="C8" s="24">
        <f>IF(ISNUMBER('Rent Roll'!E8),MAX(0,'Rent Roll'!E8),0)</f>
        <v>32000</v>
      </c>
      <c r="D8" s="88">
        <f>IF(a_GLA&gt;0,C8/a_GLA,0)</f>
        <v>0.5360134003350083</v>
      </c>
      <c r="E8" s="29">
        <f>IF(BC8=1,ROUND(BD8*(1+X8)^(F8/12),2),BD8)</f>
        <v>14.5</v>
      </c>
      <c r="F8" s="24">
        <f>IF(C8&gt;0,MAX(0,(YEAR(IF(ISNUMBER('Rent Roll'!G8),'Rent Roll'!G8,0))-YEAR(in_AnalysisStart))*12+MONTH(IF(ISNUMBER('Rent Roll'!G8),'Rent Roll'!G8,0))-MONTH(in_AnalysisStart)),0)</f>
        <v>0</v>
      </c>
      <c r="G8" s="24">
        <f>IF(C8&gt;0,MAX(0,(YEAR(IF(ISNUMBER('Rent Roll'!H8),'Rent Roll'!H8,0))-YEAR(in_AnalysisStart))*12+MONTH(IF(ISNUMBER('Rent Roll'!H8),'Rent Roll'!H8,0))-MONTH(in_AnalysisStart)+1-F8),0)</f>
        <v>84</v>
      </c>
      <c r="H8" s="24">
        <f>IF(ISNUMBER('Rent Roll'!N8),'Rent Roll'!N8,0)</f>
        <v>0</v>
      </c>
      <c r="I8" s="88">
        <f>IF(ISNUMBER('Rent Roll'!L8),'Rent Roll'!L8,0)</f>
        <v>0</v>
      </c>
      <c r="J8" s="24">
        <f>MAX(1,ROUND(IF(ISNUMBER('Rent Roll'!M8),'Rent Roll'!M8,0),0))</f>
        <v>1</v>
      </c>
      <c r="K8" s="29">
        <f>IF(ISNUMBER('Rent Roll'!AJ8),'Rent Roll'!AJ8,0)</f>
        <v>12</v>
      </c>
      <c r="L8" s="88">
        <f>IF(IF(ISNUMBER('Rent Roll'!AK8),'Rent Roll'!AK8,0)&gt;0,'Rent Roll'!AK8,a_LeaseUpLC)</f>
        <v>0.05</v>
      </c>
      <c r="M8" s="24">
        <f>IF('Rent Roll'!R8="",0,IFERROR(MATCH('Rent Roll'!R8,a_PName,0),0))</f>
        <v>1</v>
      </c>
      <c r="N8" s="24">
        <f>IF(M8&gt;0,1,0)</f>
        <v>1</v>
      </c>
      <c r="O8" s="29">
        <f>IF(IF(ISNUMBER('Rent Roll'!S8),'Rent Roll'!S8,0)&gt;0,'Rent Roll'!S8,IF(M8&gt;0,IF(ISNUMBER(INDEX(a_PRent,M8)),INDEX(a_PRent,M8),0),0))</f>
        <v>16.13</v>
      </c>
      <c r="P8" s="24">
        <f>IF(M8&gt;0,IF(ISNUMBER(INDEX(a_PDown,M8)),INDEX(a_PDown,M8),0),0)</f>
        <v>6</v>
      </c>
      <c r="Q8" s="24">
        <f>IF(M8&gt;0,MAX(1,IF(ISNUMBER(INDEX(a_PTerm,M8)),INDEX(a_PTerm,M8),0)),5)</f>
        <v>7.25</v>
      </c>
      <c r="R8" s="29">
        <f>IF(M8&gt;0,IF(ISNUMBER(INDEX(a_PTiNew,M8)),INDEX(a_PTiNew,M8),0),0)</f>
        <v>16</v>
      </c>
      <c r="S8" s="29">
        <f>IF(M8&gt;0,IF(ISNUMBER(INDEX(a_PTiRen,M8)),INDEX(a_PTiRen,M8),0),0)</f>
        <v>4</v>
      </c>
      <c r="T8" s="88">
        <f>IF(M8&gt;0,IF(ISNUMBER(INDEX(a_PLcNew,M8)),INDEX(a_PLcNew,M8),0),0)</f>
        <v>0.05</v>
      </c>
      <c r="U8" s="88">
        <f>IF(M8&gt;0,IF(ISNUMBER(INDEX(a_PLcRen,M8)),INDEX(a_PLcRen,M8),0),0)</f>
        <v>0.02</v>
      </c>
      <c r="V8" s="88">
        <f>IF(M8&gt;0,IF(ISNUMBER(INDEX(a_PBump,M8)),INDEX(a_PBump,M8),0),0)</f>
        <v>0.1</v>
      </c>
      <c r="W8" s="24">
        <f>MAX(1,ROUND(IF(M8&gt;0,IF(ISNUMBER(INDEX(a_PEvery,M8)),INDEX(a_PEvery,M8),0),1),0))</f>
        <v>5</v>
      </c>
      <c r="X8" s="88">
        <f>IF(M8&gt;0,IF(ISNUMBER(INDEX(a_PGrow,M8)),INDEX(a_PGrow,M8),in_RentGrowth),in_RentGrowth)</f>
        <v>0.03</v>
      </c>
      <c r="Y8" s="24">
        <f>IF(M8&gt;0,IF(ISNUMBER(INDEX(a_PFreeNew,M8)),INDEX(a_PFreeNew,M8),0),0)</f>
        <v>3</v>
      </c>
      <c r="Z8" s="24">
        <f>IF(M8&gt;0,IF(ISNUMBER(INDEX(a_PFreeRen,M8)),INDEX(a_PFreeRen,M8),0),0)</f>
        <v>0</v>
      </c>
      <c r="AA8" s="88">
        <f>IF(M8&gt;0,IF(ISNUMBER(INDEX(a_PRenPct,M8)),INDEX(a_PRenPct,M8),1),1)</f>
        <v>1</v>
      </c>
      <c r="AB8" s="24">
        <f>IF(M8&gt;0,IF(ISNUMBER(INDEX(a_PAF,M8)),INDEX(a_PAF,M8),0),0)</f>
        <v>8.300000000000004</v>
      </c>
      <c r="AC8" s="88">
        <f>IF(ISNUMBER('Rent Roll'!V8),'Rent Roll'!V8,IF(M8&gt;0,IF(ISNUMBER(INDEX(a_PRenew,M8)),INDEX(a_PRenew,M8),0),0.8))</f>
        <v>1</v>
      </c>
      <c r="AD8" s="23" t="str">
        <f>IF('Rent Roll'!W8="","Probability",'Rent Roll'!W8)</f>
        <v>Renew</v>
      </c>
      <c r="AE8" s="88">
        <f>IF(AD8="Renew",1,IF(AD8="Vacate",0,AC8))</f>
        <v>1</v>
      </c>
      <c r="AF8" s="88">
        <f>IF(AD8="Renew",1,IF(ISNUMBER('Rent Roll'!AA8),'Rent Roll'!AA8,AC8))</f>
        <v>1</v>
      </c>
      <c r="AG8" s="24">
        <f>IF(AND(N8=1,IF(ISNUMBER('Rent Roll'!Y8),'Rent Roll'!Y8,0)&gt;0,IF(ISNUMBER('Rent Roll'!Z8),'Rent Roll'!Z8,0)&gt;0,AF8&gt;0,AD8&lt;&gt;"Vacate",C8&gt;0),1,0)</f>
        <v>1</v>
      </c>
      <c r="AH8" s="24">
        <f>ROUND(12*IF(ISNUMBER('Rent Roll'!Y8),'Rent Roll'!Y8,0),0)</f>
        <v>60</v>
      </c>
      <c r="AI8" s="29">
        <f>IF(ISNUMBER('Rent Roll'!Z8),'Rent Roll'!Z8,0)</f>
        <v>15.5</v>
      </c>
      <c r="AJ8" s="24">
        <f>IF('Rent Roll'!P8="Base year",1,0)</f>
        <v>0</v>
      </c>
      <c r="AK8" s="88">
        <f>IF(ISNUMBER('Rent Roll'!Q8),'Rent Roll'!Q8,0)</f>
        <v>0</v>
      </c>
      <c r="AL8" s="24">
        <f>IF(AND('Rent Roll'!AH8="Yes",a_AnchorInVac&lt;&gt;"Yes"),1,0)</f>
        <v>1</v>
      </c>
      <c r="AM8" s="29">
        <f>IF(ISNUMBER('Rent Roll'!AL8),'Rent Roll'!AL8,0)</f>
        <v>0</v>
      </c>
      <c r="AN8" s="88">
        <f>IF(ISNUMBER('Rent Roll'!AM8),'Rent Roll'!AM8,0)</f>
        <v>0</v>
      </c>
      <c r="AO8" s="88">
        <f>IF(AND(BC8=1,N8=1),V8,I8)</f>
        <v>0</v>
      </c>
      <c r="AP8" s="24">
        <f>IF(AND(BC8=1,N8=1),W8,J8)</f>
        <v>1</v>
      </c>
      <c r="AQ8" s="24">
        <f>IF(AO8=0,G8/12,AP8*((1+AO8)^INT(INT(G8/12)/AP8)-1)/AO8+(INT(G8/12)-INT(INT(G8/12)/AP8)*AP8)*(1+AO8)^INT(INT(G8/12)/AP8)+(G8/12-INT(G8/12))*(1+AO8)^INT(INT(G8/12)/AP8))</f>
        <v>7</v>
      </c>
      <c r="AR8" s="24">
        <f>IF(AND(C8&gt;0,BU8&lt;9999,BU8&gt;0),INT((BU8-1)/12)+1,0)</f>
        <v>7</v>
      </c>
      <c r="AS8" s="24">
        <f>COUNTIF('Lease Cycles'!$BG$8:$BM$8,"&lt;132")</f>
        <v>2</v>
      </c>
      <c r="AT8" s="24">
        <f>IF(AND(ISNUMBER('Rent Roll'!AR8),IF(ISNUMBER('Rent Roll'!AS8),'Rent Roll'!AS8,0)&gt;0),(YEAR('Rent Roll'!AR8)-YEAR(in_AnalysisStart))*12+MONTH('Rent Roll'!AR8)-MONTH(in_AnalysisStart),9999)</f>
        <v>9999</v>
      </c>
      <c r="AU8" s="29">
        <f>IF(ISNUMBER('Rent Roll'!AS8),'Rent Roll'!AS8,0)</f>
        <v>0</v>
      </c>
      <c r="AV8" s="24">
        <f>IF(AND(ISNUMBER('Rent Roll'!AT8),IF(ISNUMBER('Rent Roll'!AU8),'Rent Roll'!AU8,0)&gt;0),(YEAR('Rent Roll'!AT8)-YEAR(in_AnalysisStart))*12+MONTH('Rent Roll'!AT8)-MONTH(in_AnalysisStart),9999)</f>
        <v>9999</v>
      </c>
      <c r="AW8" s="29">
        <f>IF(ISNUMBER('Rent Roll'!AU8),'Rent Roll'!AU8,0)</f>
        <v>0</v>
      </c>
      <c r="AX8" s="24">
        <f>IF(AND(ISNUMBER('Rent Roll'!AV8),IF(ISNUMBER('Rent Roll'!AW8),'Rent Roll'!AW8,0)&gt;0),(YEAR('Rent Roll'!AV8)-YEAR(in_AnalysisStart))*12+MONTH('Rent Roll'!AV8)-MONTH(in_AnalysisStart),9999)</f>
        <v>9999</v>
      </c>
      <c r="AY8" s="29">
        <f>IF(ISNUMBER('Rent Roll'!AW8),'Rent Roll'!AW8,0)</f>
        <v>0</v>
      </c>
      <c r="AZ8" s="24">
        <f>IF(AND(ISNUMBER('Rent Roll'!AX8),IF(ISNUMBER('Rent Roll'!AY8),'Rent Roll'!AY8,0)&gt;0),(YEAR('Rent Roll'!AX8)-YEAR(in_AnalysisStart))*12+MONTH('Rent Roll'!AX8)-MONTH(in_AnalysisStart),9999)</f>
        <v>9999</v>
      </c>
      <c r="BA8" s="29">
        <f>IF(ISNUMBER('Rent Roll'!AY8),'Rent Roll'!AY8,0)</f>
        <v>0</v>
      </c>
      <c r="BB8" s="29">
        <f>IF(BU8&gt;=9999,O8,O8*(1+X8)^((BU8-F8)/12))</f>
        <v>19.837865449303155</v>
      </c>
      <c r="BC8" s="24">
        <f>IF(AND('Rent Roll'!AZ8="Yes",F8&gt;0,BD8&gt;0,AT8&gt;=9999),1,0)</f>
        <v>0</v>
      </c>
      <c r="BD8" s="29">
        <f>IF(ISNUMBER('Rent Roll'!I8),'Rent Roll'!I8,0)</f>
        <v>14.5</v>
      </c>
      <c r="BE8" s="24">
        <f>IF(a_MarketRecovery="Base year",1,0)</f>
        <v>0</v>
      </c>
      <c r="BG8" s="24">
        <f>IF(C8&gt;0,F8,9999)</f>
        <v>0</v>
      </c>
      <c r="BH8" s="24">
        <f>BU8</f>
        <v>84</v>
      </c>
      <c r="BI8" s="24">
        <f>IF(OR(N8=0,BV8&gt;=9999),9999,IF(AG8=1,BV8,INT(BV8+IP8)))</f>
        <v>144</v>
      </c>
      <c r="BJ8" s="24">
        <f>IF(OR(N8=0,BW8&gt;=9999),9999,INT(BW8+IQ8))</f>
        <v>231</v>
      </c>
      <c r="BK8" s="24">
        <f>IF(OR(N8=0,BX8&gt;=9999),9999,INT(BX8+IR8))</f>
        <v>318</v>
      </c>
      <c r="BL8" s="24">
        <f>IF(OR(N8=0,BY8&gt;=9999),9999,INT(BY8+IS8))</f>
        <v>405</v>
      </c>
      <c r="BM8" s="24">
        <f>IF(OR(N8=0,BZ8&gt;=9999),9999,INT(BZ8+IT8))</f>
        <v>492</v>
      </c>
      <c r="BN8" s="24">
        <f>G8</f>
        <v>84</v>
      </c>
      <c r="BO8" s="24">
        <f>IF(AG8=1,AH8,0)</f>
        <v>60</v>
      </c>
      <c r="BP8" s="24">
        <f>MAX(12,ROUND(12*Q8,0))</f>
        <v>87</v>
      </c>
      <c r="BQ8" s="24">
        <f>MAX(12,ROUND(12*Q8,0))</f>
        <v>87</v>
      </c>
      <c r="BR8" s="24">
        <f>MAX(12,ROUND(12*Q8,0))</f>
        <v>87</v>
      </c>
      <c r="BS8" s="24">
        <f>MAX(12,ROUND(12*Q8,0))</f>
        <v>87</v>
      </c>
      <c r="BT8" s="24">
        <f>MAX(12,ROUND(12*Q8,0))</f>
        <v>87</v>
      </c>
      <c r="BU8" s="24">
        <f>BG8+BN8</f>
        <v>84</v>
      </c>
      <c r="BV8" s="24">
        <f>BH8+BO8</f>
        <v>144</v>
      </c>
      <c r="BW8" s="24">
        <f>IF(BI8&gt;=9999,9999,BI8+BP8)</f>
        <v>231</v>
      </c>
      <c r="BX8" s="24">
        <f>IF(BJ8&gt;=9999,9999,BJ8+BQ8)</f>
        <v>318</v>
      </c>
      <c r="BY8" s="24">
        <f>IF(BK8&gt;=9999,9999,BK8+BR8)</f>
        <v>405</v>
      </c>
      <c r="BZ8" s="24">
        <f>IF(BL8&gt;=9999,9999,BL8+BS8)</f>
        <v>492</v>
      </c>
      <c r="CA8" s="24">
        <f>IF(BM8&gt;=9999,9999,BM8+BT8)</f>
        <v>579</v>
      </c>
      <c r="CB8" s="24">
        <f>E8</f>
        <v>14.5</v>
      </c>
      <c r="CC8" s="24">
        <f>AI8</f>
        <v>15.5</v>
      </c>
      <c r="CD8" s="24">
        <f>IF(BI8&gt;=9999,0,O8*(1+X8)^((BI8-F8)/12)*(AA8*II8+1-II8))</f>
        <v>22.997523104828876</v>
      </c>
      <c r="CE8" s="24">
        <f>IF(BJ8&gt;=9999,0,O8*(1+X8)^((BJ8-F8)/12)*(AA8*IJ8+1-IJ8))</f>
        <v>28.49383748470103</v>
      </c>
      <c r="CF8" s="24">
        <f>IF(BK8&gt;=9999,0,O8*(1+X8)^((BK8-F8)/12)*(AA8*IK8+1-IK8))</f>
        <v>35.303748621262436</v>
      </c>
      <c r="CG8" s="24">
        <f>IF(BL8&gt;=9999,0,O8*(1+X8)^((BL8-F8)/12)*(AA8*IL8+1-IL8))</f>
        <v>43.74120079060902</v>
      </c>
      <c r="CH8" s="24">
        <f>IF(BM8&gt;=9999,0,O8*(1+X8)^((BM8-F8)/12)*(AA8*IM8+1-IM8))</f>
        <v>54.19516967249348</v>
      </c>
      <c r="CI8" s="24">
        <f>AO8</f>
        <v>0</v>
      </c>
      <c r="CJ8" s="24">
        <f>I8</f>
        <v>0</v>
      </c>
      <c r="CK8" s="24">
        <f>V8</f>
        <v>0.1</v>
      </c>
      <c r="CL8" s="24">
        <f>V8</f>
        <v>0.1</v>
      </c>
      <c r="CM8" s="24">
        <f>V8</f>
        <v>0.1</v>
      </c>
      <c r="CN8" s="24">
        <f>V8</f>
        <v>0.1</v>
      </c>
      <c r="CO8" s="24">
        <f>V8</f>
        <v>0.1</v>
      </c>
      <c r="CP8" s="24">
        <f>AP8</f>
        <v>1</v>
      </c>
      <c r="CQ8" s="24">
        <f>J8</f>
        <v>1</v>
      </c>
      <c r="CR8" s="24">
        <f>W8</f>
        <v>5</v>
      </c>
      <c r="CS8" s="24">
        <f>W8</f>
        <v>5</v>
      </c>
      <c r="CT8" s="24">
        <f>W8</f>
        <v>5</v>
      </c>
      <c r="CU8" s="24">
        <f>W8</f>
        <v>5</v>
      </c>
      <c r="CV8" s="24">
        <f>W8</f>
        <v>5</v>
      </c>
      <c r="CW8" s="24">
        <f>H8</f>
        <v>0</v>
      </c>
      <c r="CX8" s="24">
        <v>0</v>
      </c>
      <c r="CY8" s="24">
        <f>Y8*(1-II8)+Z8*II8</f>
        <v>0</v>
      </c>
      <c r="CZ8" s="24">
        <f>Y8*(1-IJ8)+Z8*IJ8</f>
        <v>0</v>
      </c>
      <c r="DA8" s="24">
        <f>Y8*(1-IK8)+Z8*IK8</f>
        <v>0</v>
      </c>
      <c r="DB8" s="24">
        <f>Y8*(1-IL8)+Z8*IL8</f>
        <v>0</v>
      </c>
      <c r="DC8" s="24">
        <f>Y8*(1-IM8)+Z8*IM8</f>
        <v>0</v>
      </c>
      <c r="DD8" s="24">
        <v>0</v>
      </c>
      <c r="DE8" s="24">
        <v>0</v>
      </c>
      <c r="DF8" s="24">
        <f>IF(BI8&gt;=9999,0,IF(AG8=1,0,BV8+IP8-BI8))</f>
        <v>0</v>
      </c>
      <c r="DG8" s="24">
        <f>IF(BJ8&gt;=9999,0,BW8+IQ8-BJ8)</f>
        <v>0</v>
      </c>
      <c r="DH8" s="24">
        <f>IF(BK8&gt;=9999,0,BX8+IR8-BK8)</f>
        <v>0</v>
      </c>
      <c r="DI8" s="24">
        <f>IF(BL8&gt;=9999,0,BY8+IS8-BL8)</f>
        <v>0</v>
      </c>
      <c r="DJ8" s="24">
        <f>IF(BM8&gt;=9999,0,BZ8+IT8-BM8)</f>
        <v>0</v>
      </c>
      <c r="DK8" s="24">
        <f>INT(CW8+DD8)</f>
        <v>0</v>
      </c>
      <c r="DL8" s="24">
        <v>0</v>
      </c>
      <c r="DM8" s="24">
        <f>INT(CY8+DF8)</f>
        <v>0</v>
      </c>
      <c r="DN8" s="24">
        <f>INT(CZ8+DG8)</f>
        <v>0</v>
      </c>
      <c r="DO8" s="24">
        <f>INT(DA8+DH8)</f>
        <v>0</v>
      </c>
      <c r="DP8" s="24">
        <f>INT(DB8+DI8)</f>
        <v>0</v>
      </c>
      <c r="DQ8" s="24">
        <f>INT(DC8+DJ8)</f>
        <v>0</v>
      </c>
      <c r="DR8" s="24">
        <f>CW8+DD8-DK8</f>
        <v>0</v>
      </c>
      <c r="DS8" s="24">
        <v>0</v>
      </c>
      <c r="DT8" s="24">
        <f>CY8+DF8-DM8</f>
        <v>0</v>
      </c>
      <c r="DU8" s="24">
        <f>CZ8+DG8-DN8</f>
        <v>0</v>
      </c>
      <c r="DV8" s="24">
        <f>DA8+DH8-DO8</f>
        <v>0</v>
      </c>
      <c r="DW8" s="24">
        <f>DB8+DI8-DP8</f>
        <v>0</v>
      </c>
      <c r="DX8" s="24">
        <f>DC8+DJ8-DQ8</f>
        <v>0</v>
      </c>
      <c r="DY8" s="24">
        <v>1</v>
      </c>
      <c r="DZ8" s="24">
        <v>1</v>
      </c>
      <c r="EA8" s="24">
        <v>0</v>
      </c>
      <c r="EB8" s="24">
        <v>0</v>
      </c>
      <c r="EC8" s="24">
        <v>0</v>
      </c>
      <c r="ED8" s="24">
        <v>0</v>
      </c>
      <c r="EE8" s="24">
        <v>0</v>
      </c>
      <c r="EF8" s="24">
        <v>0</v>
      </c>
      <c r="EG8" s="24">
        <f>IF(AG8=1,1,2)</f>
        <v>1</v>
      </c>
      <c r="EH8" s="24">
        <v>0</v>
      </c>
      <c r="EI8" s="24">
        <v>0</v>
      </c>
      <c r="EJ8" s="24">
        <v>0</v>
      </c>
      <c r="EK8" s="24">
        <v>0</v>
      </c>
      <c r="EL8" s="24">
        <v>0</v>
      </c>
      <c r="EM8" s="24">
        <v>1</v>
      </c>
      <c r="EN8" s="24">
        <f>IF(AG8=1,AF8,1)</f>
        <v>1</v>
      </c>
      <c r="EO8" s="24">
        <v>1</v>
      </c>
      <c r="EP8" s="24">
        <v>1</v>
      </c>
      <c r="EQ8" s="24">
        <v>1</v>
      </c>
      <c r="ER8" s="24">
        <v>1</v>
      </c>
      <c r="ES8" s="24">
        <v>1</v>
      </c>
      <c r="ET8" s="24">
        <v>0</v>
      </c>
      <c r="EU8" s="24">
        <f>BB8</f>
        <v>19.837865449303155</v>
      </c>
      <c r="EV8" s="24">
        <v>0</v>
      </c>
      <c r="EW8" s="24">
        <v>0</v>
      </c>
      <c r="EX8" s="24">
        <v>0</v>
      </c>
      <c r="EY8" s="24">
        <v>0</v>
      </c>
      <c r="EZ8" s="24">
        <v>0</v>
      </c>
      <c r="FA8" s="24">
        <v>0</v>
      </c>
      <c r="FB8" s="24">
        <f>ROUND(P8,0)</f>
        <v>6</v>
      </c>
      <c r="FC8" s="24">
        <v>0</v>
      </c>
      <c r="FD8" s="24">
        <v>0</v>
      </c>
      <c r="FE8" s="24">
        <v>0</v>
      </c>
      <c r="FF8" s="24">
        <v>0</v>
      </c>
      <c r="FG8" s="24">
        <v>0</v>
      </c>
      <c r="FH8" s="24">
        <f>AK8</f>
        <v>0</v>
      </c>
      <c r="FI8" s="24">
        <f>IF(AG8=1,AK8*AF8,FH8)</f>
        <v>0</v>
      </c>
      <c r="FJ8" s="24">
        <f>FI8*II8</f>
        <v>0</v>
      </c>
      <c r="FK8" s="24">
        <f>FJ8*IJ8</f>
        <v>0</v>
      </c>
      <c r="FL8" s="24">
        <f>FK8*IK8</f>
        <v>0</v>
      </c>
      <c r="FM8" s="24">
        <f>FL8*IL8</f>
        <v>0</v>
      </c>
      <c r="FN8" s="24">
        <f>FM8*IM8</f>
        <v>0</v>
      </c>
      <c r="FO8" s="24">
        <v>1</v>
      </c>
      <c r="FP8" s="24">
        <f>FV8</f>
        <v>1</v>
      </c>
      <c r="FQ8" s="24">
        <f>FW8*II8</f>
        <v>1</v>
      </c>
      <c r="FR8" s="24">
        <f>FX8*IJ8</f>
        <v>1</v>
      </c>
      <c r="FS8" s="24">
        <f>FY8*IK8</f>
        <v>1</v>
      </c>
      <c r="FT8" s="24">
        <f>FZ8*IL8</f>
        <v>1</v>
      </c>
      <c r="FU8" s="24">
        <f>GA8*IM8</f>
        <v>1</v>
      </c>
      <c r="FV8" s="24">
        <v>1</v>
      </c>
      <c r="FW8" s="24">
        <f>IF(AG8=1,FP8*AF8,FV8)</f>
        <v>1</v>
      </c>
      <c r="FX8" s="24">
        <f>FQ8</f>
        <v>1</v>
      </c>
      <c r="FY8" s="24">
        <f>FR8</f>
        <v>1</v>
      </c>
      <c r="FZ8" s="24">
        <f>FS8</f>
        <v>1</v>
      </c>
      <c r="GA8" s="24">
        <f>FT8</f>
        <v>1</v>
      </c>
      <c r="GB8" s="24">
        <f>FU8</f>
        <v>1</v>
      </c>
      <c r="GC8" s="24">
        <v>0</v>
      </c>
      <c r="GD8" s="24">
        <f>GC8</f>
        <v>0</v>
      </c>
      <c r="GE8" s="24">
        <f>IF(BI8&gt;=9999,0,INT(BI8/12))</f>
        <v>12</v>
      </c>
      <c r="GF8" s="24">
        <f>IF(BJ8&gt;=9999,0,INT(BJ8/12))</f>
        <v>19</v>
      </c>
      <c r="GG8" s="24">
        <f>IF(BK8&gt;=9999,0,INT(BK8/12))</f>
        <v>26</v>
      </c>
      <c r="GH8" s="24">
        <f>IF(BL8&gt;=9999,0,INT(BL8/12))</f>
        <v>33</v>
      </c>
      <c r="GI8" s="24">
        <f>IF(BM8&gt;=9999,0,INT(BM8/12))</f>
        <v>41</v>
      </c>
      <c r="GJ8" s="24">
        <f>BG8</f>
        <v>0</v>
      </c>
      <c r="GK8" s="24">
        <f>IF(AG8=1,BH8,GJ8)</f>
        <v>84</v>
      </c>
      <c r="GL8" s="24">
        <f>BI8</f>
        <v>144</v>
      </c>
      <c r="GM8" s="24">
        <f>BJ8</f>
        <v>231</v>
      </c>
      <c r="GN8" s="24">
        <f>BK8</f>
        <v>318</v>
      </c>
      <c r="GO8" s="24">
        <f>BL8</f>
        <v>405</v>
      </c>
      <c r="GP8" s="24">
        <f>BM8</f>
        <v>492</v>
      </c>
      <c r="GQ8" s="24">
        <f>CI8</f>
        <v>0</v>
      </c>
      <c r="GR8" s="24">
        <f>IF(AG8=1,I8,GQ8)</f>
        <v>0</v>
      </c>
      <c r="GS8" s="24">
        <f>V8</f>
        <v>0.1</v>
      </c>
      <c r="GT8" s="24">
        <f>V8</f>
        <v>0.1</v>
      </c>
      <c r="GU8" s="24">
        <f>V8</f>
        <v>0.1</v>
      </c>
      <c r="GV8" s="24">
        <f>V8</f>
        <v>0.1</v>
      </c>
      <c r="GW8" s="24">
        <f>V8</f>
        <v>0.1</v>
      </c>
      <c r="GX8" s="24">
        <f>CP8</f>
        <v>1</v>
      </c>
      <c r="GY8" s="24">
        <f>IF(AG8=1,J8,GX8)</f>
        <v>1</v>
      </c>
      <c r="GZ8" s="24">
        <f>W8</f>
        <v>5</v>
      </c>
      <c r="HA8" s="24">
        <f>W8</f>
        <v>5</v>
      </c>
      <c r="HB8" s="24">
        <f>W8</f>
        <v>5</v>
      </c>
      <c r="HC8" s="24">
        <f>W8</f>
        <v>5</v>
      </c>
      <c r="HD8" s="24">
        <f>W8</f>
        <v>5</v>
      </c>
      <c r="HE8" s="24">
        <f>IF(BU8&gt;=9999,1,(1+X8)^(BU8/12))</f>
        <v>1.2298738654248702</v>
      </c>
      <c r="HF8" s="24">
        <f>IF(AG8=1,IF(BV8&gt;=9999,1,(1+X8)^(BV8/12)),HE8)</f>
        <v>1.4257608868461795</v>
      </c>
      <c r="HG8" s="24">
        <f>IF(BW8&gt;=9999,1,(1+X8)^(BW8/12))</f>
        <v>1.7665119333354637</v>
      </c>
      <c r="HH8" s="24">
        <f>IF(BX8&gt;=9999,1,(1+X8)^(BX8/12))</f>
        <v>2.188701092452724</v>
      </c>
      <c r="HI8" s="24">
        <f>IF(BY8&gt;=9999,1,(1+X8)^(BY8/12))</f>
        <v>2.711791741513269</v>
      </c>
      <c r="HJ8" s="24">
        <f>IF(BZ8&gt;=9999,1,(1+X8)^(BZ8/12))</f>
        <v>3.35989892575905</v>
      </c>
      <c r="HK8" s="24">
        <f>IF(CA8&gt;=9999,1,(1+X8)^(CA8/12))</f>
        <v>4.162901088052297</v>
      </c>
      <c r="HL8" s="24">
        <f>IF(AND(F8&gt;0,C8&gt;0),F8,-1)</f>
        <v>-1</v>
      </c>
      <c r="HM8" s="24">
        <f>IF(AG8=1,BU8+FB8,-1)</f>
        <v>90</v>
      </c>
      <c r="HN8" s="24">
        <f>IF(BI8&gt;=9999,-1,BV8+ROUND(IP8,0))</f>
        <v>144</v>
      </c>
      <c r="HO8" s="24">
        <f>IF(BJ8&gt;=9999,-1,IF(HN8&lt;0,BW8,HN8+BP8)+ROUND(IQ8,0))</f>
        <v>231</v>
      </c>
      <c r="HP8" s="24">
        <f>IF(BK8&gt;=9999,-1,IF(HO8&lt;0,BX8,HO8+BQ8)+ROUND(IR8,0))</f>
        <v>318</v>
      </c>
      <c r="HQ8" s="24">
        <f>IF(BL8&gt;=9999,-1,IF(HP8&lt;0,BY8,HP8+BR8)+ROUND(IS8,0))</f>
        <v>405</v>
      </c>
      <c r="HR8" s="24">
        <f>IF(BM8&gt;=9999,-1,IF(HQ8&lt;0,BZ8,HQ8+BS8)+ROUND(IT8,0))</f>
        <v>492</v>
      </c>
      <c r="HS8" s="24">
        <f>IF(HL8&lt;0,0,C8*K8)</f>
        <v>0</v>
      </c>
      <c r="HT8" s="24">
        <f>IF(AG8=1,C8*R8*(1+in_ExpenseGrowth)^(HM8/12)*(1-AF8),0)</f>
        <v>0</v>
      </c>
      <c r="HU8" s="24">
        <f>IF(HN8&lt;0,0,C8*(S8*II8+R8*(1-II8))*(1+in_ExpenseGrowth)^(HN8/12))</f>
        <v>162334.94970400585</v>
      </c>
      <c r="HV8" s="24">
        <f>IF(HO8&lt;0,0,C8*(S8*IJ8+R8*(1-IJ8))*(1+in_ExpenseGrowth)^(HO8/12))</f>
        <v>187397.27701659303</v>
      </c>
      <c r="HW8" s="24">
        <f>IF(HP8&lt;0,0,C8*(S8*IK8+R8*(1-IK8))*(1+in_ExpenseGrowth)^(HP8/12))</f>
        <v>216328.88972624685</v>
      </c>
      <c r="HX8" s="24">
        <f>IF(HQ8&lt;0,0,C8*(S8*IL8+R8*(1-IL8))*(1+in_ExpenseGrowth)^(HQ8/12))</f>
        <v>249727.15332489563</v>
      </c>
      <c r="HY8" s="24">
        <f>IF(HR8&lt;0,0,C8*(S8*IM8+R8*(1-IM8))*(1+in_ExpenseGrowth)^(HR8/12))</f>
        <v>288281.65848155535</v>
      </c>
      <c r="HZ8" s="24">
        <f>IF(HL8&lt;0,0,L8*C8*E8*AQ8)</f>
        <v>0</v>
      </c>
      <c r="IA8" s="24">
        <f>IF(AG8=1,T8*C8*O8*(1+X8)^(MAX(0,HM8-F8)/12)*AB8*(1-AF8),0)</f>
        <v>0</v>
      </c>
      <c r="IB8" s="24">
        <f>IF(HN8&lt;0,0,(U8*II8+T8*(1-II8))*C8*O8*(1+X8)^(MAX(0,HN8-F8)/12)*(AA8*II8+1-II8)*AB8)</f>
        <v>122162.84273285103</v>
      </c>
      <c r="IC8" s="24">
        <f>IF(HO8&lt;0,0,(U8*IJ8+T8*(1-IJ8))*C8*O8*(1+X8)^(MAX(0,HO8-F8)/12)*(AA8*IJ8+1-IJ8)*AB8)</f>
        <v>151359.26471873192</v>
      </c>
      <c r="ID8" s="24">
        <f>IF(HP8&lt;0,0,(U8*IK8+T8*(1-IK8))*C8*O8*(1+X8)^(MAX(0,HP8-F8)/12)*(AA8*IK8+1-IK8)*AB8)</f>
        <v>187533.51267614614</v>
      </c>
      <c r="IE8" s="24">
        <f>IF(HQ8&lt;0,0,(U8*IL8+T8*(1-IL8))*C8*O8*(1+X8)^(MAX(0,HQ8-F8)/12)*(AA8*IL8+1-IL8)*AB8)</f>
        <v>232353.25859971522</v>
      </c>
      <c r="IF8" s="24">
        <f>IF(HR8&lt;0,0,(U8*IM8+T8*(1-IM8))*C8*O8*(1+X8)^(MAX(0,HR8-F8)/12)*(AA8*IM8+1-IM8)*AB8)</f>
        <v>287884.7413002855</v>
      </c>
      <c r="IG8" s="24">
        <v>1</v>
      </c>
      <c r="IH8" s="24">
        <f>IF(AG8=1,AF8,1)</f>
        <v>1</v>
      </c>
      <c r="II8" s="24">
        <f>IF(AG8=1,AC8,AE8)</f>
        <v>1</v>
      </c>
      <c r="IJ8" s="24">
        <f>AC8</f>
        <v>1</v>
      </c>
      <c r="IK8" s="24">
        <f>AC8</f>
        <v>1</v>
      </c>
      <c r="IL8" s="24">
        <f>AC8</f>
        <v>1</v>
      </c>
      <c r="IM8" s="24">
        <f>AC8</f>
        <v>1</v>
      </c>
      <c r="IN8" s="24">
        <v>0</v>
      </c>
      <c r="IO8" s="24">
        <f>P8</f>
        <v>6</v>
      </c>
      <c r="IP8" s="24">
        <f>P8*(1-II8)</f>
        <v>0</v>
      </c>
      <c r="IQ8" s="24">
        <f>P8*(1-IJ8)</f>
        <v>0</v>
      </c>
      <c r="IR8" s="24">
        <f>P8*(1-IK8)</f>
        <v>0</v>
      </c>
      <c r="IS8" s="24">
        <f>P8*(1-IL8)</f>
        <v>0</v>
      </c>
      <c r="IT8" s="24">
        <f>P8*(1-IM8)</f>
        <v>0</v>
      </c>
    </row>
    <row r="9">
      <c r="A9" s="25">
        <v>2</v>
      </c>
      <c r="B9" s="23" t="str">
        <f>IF('Rent Roll'!C9="","",'Rent Roll'!C9)</f>
        <v>Sunfield Pharmacy</v>
      </c>
      <c r="C9" s="24">
        <f>IF(ISNUMBER('Rent Roll'!E9),MAX(0,'Rent Roll'!E9),0)</f>
        <v>9000</v>
      </c>
      <c r="D9" s="88">
        <f>IF(a_GLA&gt;0,C9/a_GLA,0)</f>
        <v>0.1507537688442211</v>
      </c>
      <c r="E9" s="29">
        <f>IF(BC9=1,ROUND(BD9*(1+X9)^(F9/12),2),BD9)</f>
        <v>18</v>
      </c>
      <c r="F9" s="24">
        <f>IF(C9&gt;0,MAX(0,(YEAR(IF(ISNUMBER('Rent Roll'!G9),'Rent Roll'!G9,0))-YEAR(in_AnalysisStart))*12+MONTH(IF(ISNUMBER('Rent Roll'!G9),'Rent Roll'!G9,0))-MONTH(in_AnalysisStart)),0)</f>
        <v>0</v>
      </c>
      <c r="G9" s="24">
        <f>IF(C9&gt;0,MAX(0,(YEAR(IF(ISNUMBER('Rent Roll'!H9),'Rent Roll'!H9,0))-YEAR(in_AnalysisStart))*12+MONTH(IF(ISNUMBER('Rent Roll'!H9),'Rent Roll'!H9,0))-MONTH(in_AnalysisStart)+1-F9),0)</f>
        <v>54</v>
      </c>
      <c r="H9" s="24">
        <f>IF(ISNUMBER('Rent Roll'!N9),'Rent Roll'!N9,0)</f>
        <v>0</v>
      </c>
      <c r="I9" s="88">
        <f>IF(ISNUMBER('Rent Roll'!L9),'Rent Roll'!L9,0)</f>
        <v>0</v>
      </c>
      <c r="J9" s="24">
        <f>MAX(1,ROUND(IF(ISNUMBER('Rent Roll'!M9),'Rent Roll'!M9,0),0))</f>
        <v>1</v>
      </c>
      <c r="K9" s="29">
        <f>IF(ISNUMBER('Rent Roll'!AJ9),'Rent Roll'!AJ9,0)</f>
        <v>12</v>
      </c>
      <c r="L9" s="88">
        <f>IF(IF(ISNUMBER('Rent Roll'!AK9),'Rent Roll'!AK9,0)&gt;0,'Rent Roll'!AK9,a_LeaseUpLC)</f>
        <v>0.05</v>
      </c>
      <c r="M9" s="24">
        <f>IF('Rent Roll'!R9="",0,IFERROR(MATCH('Rent Roll'!R9,a_PName,0),0))</f>
        <v>1</v>
      </c>
      <c r="N9" s="24">
        <f>IF(M9&gt;0,1,0)</f>
        <v>1</v>
      </c>
      <c r="O9" s="29">
        <f>IF(IF(ISNUMBER('Rent Roll'!S9),'Rent Roll'!S9,0)&gt;0,'Rent Roll'!S9,IF(M9&gt;0,IF(ISNUMBER(INDEX(a_PRent,M9)),INDEX(a_PRent,M9),0),0))</f>
        <v>16.13</v>
      </c>
      <c r="P9" s="24">
        <f>IF(M9&gt;0,IF(ISNUMBER(INDEX(a_PDown,M9)),INDEX(a_PDown,M9),0),0)</f>
        <v>6</v>
      </c>
      <c r="Q9" s="24">
        <f>IF(M9&gt;0,MAX(1,IF(ISNUMBER(INDEX(a_PTerm,M9)),INDEX(a_PTerm,M9),0)),5)</f>
        <v>7.25</v>
      </c>
      <c r="R9" s="29">
        <f>IF(M9&gt;0,IF(ISNUMBER(INDEX(a_PTiNew,M9)),INDEX(a_PTiNew,M9),0),0)</f>
        <v>16</v>
      </c>
      <c r="S9" s="29">
        <f>IF(M9&gt;0,IF(ISNUMBER(INDEX(a_PTiRen,M9)),INDEX(a_PTiRen,M9),0),0)</f>
        <v>4</v>
      </c>
      <c r="T9" s="88">
        <f>IF(M9&gt;0,IF(ISNUMBER(INDEX(a_PLcNew,M9)),INDEX(a_PLcNew,M9),0),0)</f>
        <v>0.05</v>
      </c>
      <c r="U9" s="88">
        <f>IF(M9&gt;0,IF(ISNUMBER(INDEX(a_PLcRen,M9)),INDEX(a_PLcRen,M9),0),0)</f>
        <v>0.02</v>
      </c>
      <c r="V9" s="88">
        <f>IF(M9&gt;0,IF(ISNUMBER(INDEX(a_PBump,M9)),INDEX(a_PBump,M9),0),0)</f>
        <v>0.1</v>
      </c>
      <c r="W9" s="24">
        <f>MAX(1,ROUND(IF(M9&gt;0,IF(ISNUMBER(INDEX(a_PEvery,M9)),INDEX(a_PEvery,M9),0),1),0))</f>
        <v>5</v>
      </c>
      <c r="X9" s="88">
        <f>IF(M9&gt;0,IF(ISNUMBER(INDEX(a_PGrow,M9)),INDEX(a_PGrow,M9),in_RentGrowth),in_RentGrowth)</f>
        <v>0.03</v>
      </c>
      <c r="Y9" s="24">
        <f>IF(M9&gt;0,IF(ISNUMBER(INDEX(a_PFreeNew,M9)),INDEX(a_PFreeNew,M9),0),0)</f>
        <v>3</v>
      </c>
      <c r="Z9" s="24">
        <f>IF(M9&gt;0,IF(ISNUMBER(INDEX(a_PFreeRen,M9)),INDEX(a_PFreeRen,M9),0),0)</f>
        <v>0</v>
      </c>
      <c r="AA9" s="88">
        <f>IF(M9&gt;0,IF(ISNUMBER(INDEX(a_PRenPct,M9)),INDEX(a_PRenPct,M9),1),1)</f>
        <v>1</v>
      </c>
      <c r="AB9" s="24">
        <f>IF(M9&gt;0,IF(ISNUMBER(INDEX(a_PAF,M9)),INDEX(a_PAF,M9),0),0)</f>
        <v>8.300000000000004</v>
      </c>
      <c r="AC9" s="88">
        <f>IF(ISNUMBER('Rent Roll'!V9),'Rent Roll'!V9,IF(M9&gt;0,IF(ISNUMBER(INDEX(a_PRenew,M9)),INDEX(a_PRenew,M9),0),0.8))</f>
        <v>0.8</v>
      </c>
      <c r="AD9" s="23" t="str">
        <f>IF('Rent Roll'!W9="","Probability",'Rent Roll'!W9)</f>
        <v>Probability</v>
      </c>
      <c r="AE9" s="88">
        <f>IF(AD9="Renew",1,IF(AD9="Vacate",0,AC9))</f>
        <v>0.8</v>
      </c>
      <c r="AF9" s="88">
        <f>IF(AD9="Renew",1,IF(ISNUMBER('Rent Roll'!AA9),'Rent Roll'!AA9,AC9))</f>
        <v>0.8</v>
      </c>
      <c r="AG9" s="24">
        <f>IF(AND(N9=1,IF(ISNUMBER('Rent Roll'!Y9),'Rent Roll'!Y9,0)&gt;0,IF(ISNUMBER('Rent Roll'!Z9),'Rent Roll'!Z9,0)&gt;0,AF9&gt;0,AD9&lt;&gt;"Vacate",C9&gt;0),1,0)</f>
        <v>0</v>
      </c>
      <c r="AH9" s="24">
        <f>ROUND(12*IF(ISNUMBER('Rent Roll'!Y9),'Rent Roll'!Y9,0),0)</f>
        <v>0</v>
      </c>
      <c r="AI9" s="29">
        <f>IF(ISNUMBER('Rent Roll'!Z9),'Rent Roll'!Z9,0)</f>
        <v>0</v>
      </c>
      <c r="AJ9" s="24">
        <f>IF('Rent Roll'!P9="Base year",1,0)</f>
        <v>0</v>
      </c>
      <c r="AK9" s="88">
        <f>IF(ISNUMBER('Rent Roll'!Q9),'Rent Roll'!Q9,0)</f>
        <v>0</v>
      </c>
      <c r="AL9" s="24">
        <f>IF(AND('Rent Roll'!AH9="Yes",a_AnchorInVac&lt;&gt;"Yes"),1,0)</f>
        <v>0</v>
      </c>
      <c r="AM9" s="29">
        <f>IF(ISNUMBER('Rent Roll'!AL9),'Rent Roll'!AL9,0)</f>
        <v>0</v>
      </c>
      <c r="AN9" s="88">
        <f>IF(ISNUMBER('Rent Roll'!AM9),'Rent Roll'!AM9,0)</f>
        <v>0</v>
      </c>
      <c r="AO9" s="88">
        <f>IF(AND(BC9=1,N9=1),V9,I9)</f>
        <v>0</v>
      </c>
      <c r="AP9" s="24">
        <f>IF(AND(BC9=1,N9=1),W9,J9)</f>
        <v>1</v>
      </c>
      <c r="AQ9" s="24">
        <f>IF(AO9=0,G9/12,AP9*((1+AO9)^INT(INT(G9/12)/AP9)-1)/AO9+(INT(G9/12)-INT(INT(G9/12)/AP9)*AP9)*(1+AO9)^INT(INT(G9/12)/AP9)+(G9/12-INT(G9/12))*(1+AO9)^INT(INT(G9/12)/AP9))</f>
        <v>4.5</v>
      </c>
      <c r="AR9" s="24">
        <f>IF(AND(C9&gt;0,BU9&lt;9999,BU9&gt;0),INT((BU9-1)/12)+1,0)</f>
        <v>5</v>
      </c>
      <c r="AS9" s="24">
        <f>COUNTIF('Lease Cycles'!$BG$9:$BM$9,"&lt;132")</f>
        <v>3</v>
      </c>
      <c r="AT9" s="24">
        <f>IF(AND(ISNUMBER('Rent Roll'!AR9),IF(ISNUMBER('Rent Roll'!AS9),'Rent Roll'!AS9,0)&gt;0),(YEAR('Rent Roll'!AR9)-YEAR(in_AnalysisStart))*12+MONTH('Rent Roll'!AR9)-MONTH(in_AnalysisStart),9999)</f>
        <v>9999</v>
      </c>
      <c r="AU9" s="29">
        <f>IF(ISNUMBER('Rent Roll'!AS9),'Rent Roll'!AS9,0)</f>
        <v>0</v>
      </c>
      <c r="AV9" s="24">
        <f>IF(AND(ISNUMBER('Rent Roll'!AT9),IF(ISNUMBER('Rent Roll'!AU9),'Rent Roll'!AU9,0)&gt;0),(YEAR('Rent Roll'!AT9)-YEAR(in_AnalysisStart))*12+MONTH('Rent Roll'!AT9)-MONTH(in_AnalysisStart),9999)</f>
        <v>9999</v>
      </c>
      <c r="AW9" s="29">
        <f>IF(ISNUMBER('Rent Roll'!AU9),'Rent Roll'!AU9,0)</f>
        <v>0</v>
      </c>
      <c r="AX9" s="24">
        <f>IF(AND(ISNUMBER('Rent Roll'!AV9),IF(ISNUMBER('Rent Roll'!AW9),'Rent Roll'!AW9,0)&gt;0),(YEAR('Rent Roll'!AV9)-YEAR(in_AnalysisStart))*12+MONTH('Rent Roll'!AV9)-MONTH(in_AnalysisStart),9999)</f>
        <v>9999</v>
      </c>
      <c r="AY9" s="29">
        <f>IF(ISNUMBER('Rent Roll'!AW9),'Rent Roll'!AW9,0)</f>
        <v>0</v>
      </c>
      <c r="AZ9" s="24">
        <f>IF(AND(ISNUMBER('Rent Roll'!AX9),IF(ISNUMBER('Rent Roll'!AY9),'Rent Roll'!AY9,0)&gt;0),(YEAR('Rent Roll'!AX9)-YEAR(in_AnalysisStart))*12+MONTH('Rent Roll'!AX9)-MONTH(in_AnalysisStart),9999)</f>
        <v>9999</v>
      </c>
      <c r="BA9" s="29">
        <f>IF(ISNUMBER('Rent Roll'!AY9),'Rent Roll'!AY9,0)</f>
        <v>0</v>
      </c>
      <c r="BB9" s="29">
        <f>IF(BU9&gt;=9999,O9,O9*(1+X9)^((BU9-F9)/12))</f>
        <v>18.42476165848077</v>
      </c>
      <c r="BC9" s="24">
        <f>IF(AND('Rent Roll'!AZ9="Yes",F9&gt;0,BD9&gt;0,AT9&gt;=9999),1,0)</f>
        <v>0</v>
      </c>
      <c r="BD9" s="29">
        <f>IF(ISNUMBER('Rent Roll'!I9),'Rent Roll'!I9,0)</f>
        <v>18</v>
      </c>
      <c r="BE9" s="24">
        <f>IF(a_MarketRecovery="Base year",1,0)</f>
        <v>0</v>
      </c>
      <c r="BG9" s="24">
        <f>IF(C9&gt;0,F9,9999)</f>
        <v>0</v>
      </c>
      <c r="BH9" s="24">
        <f>BU9</f>
        <v>54</v>
      </c>
      <c r="BI9" s="24">
        <f>IF(OR(N9=0,BV9&gt;=9999),9999,IF(AG9=1,BV9,INT(BV9+IP9)))</f>
        <v>55</v>
      </c>
      <c r="BJ9" s="24">
        <f>IF(OR(N9=0,BW9&gt;=9999),9999,INT(BW9+IQ9))</f>
        <v>143</v>
      </c>
      <c r="BK9" s="24">
        <f>IF(OR(N9=0,BX9&gt;=9999),9999,INT(BX9+IR9))</f>
        <v>231</v>
      </c>
      <c r="BL9" s="24">
        <f>IF(OR(N9=0,BY9&gt;=9999),9999,INT(BY9+IS9))</f>
        <v>319</v>
      </c>
      <c r="BM9" s="24">
        <f>IF(OR(N9=0,BZ9&gt;=9999),9999,INT(BZ9+IT9))</f>
        <v>407</v>
      </c>
      <c r="BN9" s="24">
        <f>G9</f>
        <v>54</v>
      </c>
      <c r="BO9" s="24">
        <f>IF(AG9=1,AH9,0)</f>
        <v>0</v>
      </c>
      <c r="BP9" s="24">
        <f>MAX(12,ROUND(12*Q9,0))</f>
        <v>87</v>
      </c>
      <c r="BQ9" s="24">
        <f>MAX(12,ROUND(12*Q9,0))</f>
        <v>87</v>
      </c>
      <c r="BR9" s="24">
        <f>MAX(12,ROUND(12*Q9,0))</f>
        <v>87</v>
      </c>
      <c r="BS9" s="24">
        <f>MAX(12,ROUND(12*Q9,0))</f>
        <v>87</v>
      </c>
      <c r="BT9" s="24">
        <f>MAX(12,ROUND(12*Q9,0))</f>
        <v>87</v>
      </c>
      <c r="BU9" s="24">
        <f>BG9+BN9</f>
        <v>54</v>
      </c>
      <c r="BV9" s="24">
        <f>BH9+BO9</f>
        <v>54</v>
      </c>
      <c r="BW9" s="24">
        <f>IF(BI9&gt;=9999,9999,BI9+BP9)</f>
        <v>142</v>
      </c>
      <c r="BX9" s="24">
        <f>IF(BJ9&gt;=9999,9999,BJ9+BQ9)</f>
        <v>230</v>
      </c>
      <c r="BY9" s="24">
        <f>IF(BK9&gt;=9999,9999,BK9+BR9)</f>
        <v>318</v>
      </c>
      <c r="BZ9" s="24">
        <f>IF(BL9&gt;=9999,9999,BL9+BS9)</f>
        <v>406</v>
      </c>
      <c r="CA9" s="24">
        <f>IF(BM9&gt;=9999,9999,BM9+BT9)</f>
        <v>494</v>
      </c>
      <c r="CB9" s="24">
        <f>E9</f>
        <v>18</v>
      </c>
      <c r="CC9" s="24">
        <f>AI9</f>
        <v>0</v>
      </c>
      <c r="CD9" s="24">
        <f>IF(BI9&gt;=9999,0,O9*(1+X9)^((BI9-F9)/12)*(AA9*II9+1-II9))</f>
        <v>18.47020209122098</v>
      </c>
      <c r="CE9" s="24">
        <f>IF(BJ9&gt;=9999,0,O9*(1+X9)^((BJ9-F9)/12)*(AA9*IJ9+1-IJ9))</f>
        <v>22.94094454674514</v>
      </c>
      <c r="CF9" s="24">
        <f>IF(BK9&gt;=9999,0,O9*(1+X9)^((BK9-F9)/12)*(AA9*IK9+1-IK9))</f>
        <v>28.49383748470103</v>
      </c>
      <c r="CG9" s="24">
        <f>IF(BL9&gt;=9999,0,O9*(1+X9)^((BL9-F9)/12)*(AA9*IL9+1-IL9))</f>
        <v>35.39081718933607</v>
      </c>
      <c r="CH9" s="24">
        <f>IF(BM9&gt;=9999,0,O9*(1+X9)^((BM9-F9)/12)*(AA9*IM9+1-IM9))</f>
        <v>43.95722204850453</v>
      </c>
      <c r="CI9" s="24">
        <f>AO9</f>
        <v>0</v>
      </c>
      <c r="CJ9" s="24">
        <f>I9</f>
        <v>0</v>
      </c>
      <c r="CK9" s="24">
        <f>V9</f>
        <v>0.1</v>
      </c>
      <c r="CL9" s="24">
        <f>V9</f>
        <v>0.1</v>
      </c>
      <c r="CM9" s="24">
        <f>V9</f>
        <v>0.1</v>
      </c>
      <c r="CN9" s="24">
        <f>V9</f>
        <v>0.1</v>
      </c>
      <c r="CO9" s="24">
        <f>V9</f>
        <v>0.1</v>
      </c>
      <c r="CP9" s="24">
        <f>AP9</f>
        <v>1</v>
      </c>
      <c r="CQ9" s="24">
        <f>J9</f>
        <v>1</v>
      </c>
      <c r="CR9" s="24">
        <f>W9</f>
        <v>5</v>
      </c>
      <c r="CS9" s="24">
        <f>W9</f>
        <v>5</v>
      </c>
      <c r="CT9" s="24">
        <f>W9</f>
        <v>5</v>
      </c>
      <c r="CU9" s="24">
        <f>W9</f>
        <v>5</v>
      </c>
      <c r="CV9" s="24">
        <f>W9</f>
        <v>5</v>
      </c>
      <c r="CW9" s="24">
        <f>H9</f>
        <v>0</v>
      </c>
      <c r="CX9" s="24">
        <v>0</v>
      </c>
      <c r="CY9" s="24">
        <f>Y9*(1-II9)+Z9*II9</f>
        <v>0.5999999999999999</v>
      </c>
      <c r="CZ9" s="24">
        <f>Y9*(1-IJ9)+Z9*IJ9</f>
        <v>0.5999999999999999</v>
      </c>
      <c r="DA9" s="24">
        <f>Y9*(1-IK9)+Z9*IK9</f>
        <v>0.5999999999999999</v>
      </c>
      <c r="DB9" s="24">
        <f>Y9*(1-IL9)+Z9*IL9</f>
        <v>0.5999999999999999</v>
      </c>
      <c r="DC9" s="24">
        <f>Y9*(1-IM9)+Z9*IM9</f>
        <v>0.5999999999999999</v>
      </c>
      <c r="DD9" s="24">
        <v>0</v>
      </c>
      <c r="DE9" s="24">
        <v>0</v>
      </c>
      <c r="DF9" s="24">
        <f>IF(BI9&gt;=9999,0,IF(AG9=1,0,BV9+IP9-BI9))</f>
        <v>0.20000000000000284</v>
      </c>
      <c r="DG9" s="24">
        <f>IF(BJ9&gt;=9999,0,BW9+IQ9-BJ9)</f>
        <v>0.19999999999998863</v>
      </c>
      <c r="DH9" s="24">
        <f>IF(BK9&gt;=9999,0,BX9+IR9-BK9)</f>
        <v>0.19999999999998863</v>
      </c>
      <c r="DI9" s="24">
        <f>IF(BL9&gt;=9999,0,BY9+IS9-BL9)</f>
        <v>0.19999999999998863</v>
      </c>
      <c r="DJ9" s="24">
        <f>IF(BM9&gt;=9999,0,BZ9+IT9-BM9)</f>
        <v>0.19999999999998863</v>
      </c>
      <c r="DK9" s="24">
        <f>INT(CW9+DD9)</f>
        <v>0</v>
      </c>
      <c r="DL9" s="24">
        <v>0</v>
      </c>
      <c r="DM9" s="24">
        <f>INT(CY9+DF9)</f>
        <v>0</v>
      </c>
      <c r="DN9" s="24">
        <f>INT(CZ9+DG9)</f>
        <v>0</v>
      </c>
      <c r="DO9" s="24">
        <f>INT(DA9+DH9)</f>
        <v>0</v>
      </c>
      <c r="DP9" s="24">
        <f>INT(DB9+DI9)</f>
        <v>0</v>
      </c>
      <c r="DQ9" s="24">
        <f>INT(DC9+DJ9)</f>
        <v>0</v>
      </c>
      <c r="DR9" s="24">
        <f>CW9+DD9-DK9</f>
        <v>0</v>
      </c>
      <c r="DS9" s="24">
        <v>0</v>
      </c>
      <c r="DT9" s="24">
        <f>CY9+DF9-DM9</f>
        <v>0.8000000000000027</v>
      </c>
      <c r="DU9" s="24">
        <f>CZ9+DG9-DN9</f>
        <v>0.7999999999999885</v>
      </c>
      <c r="DV9" s="24">
        <f>DA9+DH9-DO9</f>
        <v>0.7999999999999885</v>
      </c>
      <c r="DW9" s="24">
        <f>DB9+DI9-DP9</f>
        <v>0.7999999999999885</v>
      </c>
      <c r="DX9" s="24">
        <f>DC9+DJ9-DQ9</f>
        <v>0.7999999999999885</v>
      </c>
      <c r="DY9" s="24">
        <v>1</v>
      </c>
      <c r="DZ9" s="24">
        <v>1</v>
      </c>
      <c r="EA9" s="24">
        <v>0</v>
      </c>
      <c r="EB9" s="24">
        <v>0</v>
      </c>
      <c r="EC9" s="24">
        <v>0</v>
      </c>
      <c r="ED9" s="24">
        <v>0</v>
      </c>
      <c r="EE9" s="24">
        <v>0</v>
      </c>
      <c r="EF9" s="24">
        <v>0</v>
      </c>
      <c r="EG9" s="24">
        <f>IF(AG9=1,1,2)</f>
        <v>2</v>
      </c>
      <c r="EH9" s="24">
        <v>0</v>
      </c>
      <c r="EI9" s="24">
        <v>0</v>
      </c>
      <c r="EJ9" s="24">
        <v>0</v>
      </c>
      <c r="EK9" s="24">
        <v>0</v>
      </c>
      <c r="EL9" s="24">
        <v>0</v>
      </c>
      <c r="EM9" s="24">
        <v>1</v>
      </c>
      <c r="EN9" s="24">
        <f>IF(AG9=1,AF9,1)</f>
        <v>1</v>
      </c>
      <c r="EO9" s="24">
        <v>1</v>
      </c>
      <c r="EP9" s="24">
        <v>1</v>
      </c>
      <c r="EQ9" s="24">
        <v>1</v>
      </c>
      <c r="ER9" s="24">
        <v>1</v>
      </c>
      <c r="ES9" s="24">
        <v>1</v>
      </c>
      <c r="ET9" s="24">
        <v>0</v>
      </c>
      <c r="EU9" s="24">
        <f>BB9</f>
        <v>18.42476165848077</v>
      </c>
      <c r="EV9" s="24">
        <v>0</v>
      </c>
      <c r="EW9" s="24">
        <v>0</v>
      </c>
      <c r="EX9" s="24">
        <v>0</v>
      </c>
      <c r="EY9" s="24">
        <v>0</v>
      </c>
      <c r="EZ9" s="24">
        <v>0</v>
      </c>
      <c r="FA9" s="24">
        <v>0</v>
      </c>
      <c r="FB9" s="24">
        <f>ROUND(P9,0)</f>
        <v>6</v>
      </c>
      <c r="FC9" s="24">
        <v>0</v>
      </c>
      <c r="FD9" s="24">
        <v>0</v>
      </c>
      <c r="FE9" s="24">
        <v>0</v>
      </c>
      <c r="FF9" s="24">
        <v>0</v>
      </c>
      <c r="FG9" s="24">
        <v>0</v>
      </c>
      <c r="FH9" s="24">
        <f>AK9</f>
        <v>0</v>
      </c>
      <c r="FI9" s="24">
        <f>IF(AG9=1,AK9*AF9,FH9)</f>
        <v>0</v>
      </c>
      <c r="FJ9" s="24">
        <f>FI9*II9</f>
        <v>0</v>
      </c>
      <c r="FK9" s="24">
        <f>FJ9*IJ9</f>
        <v>0</v>
      </c>
      <c r="FL9" s="24">
        <f>FK9*IK9</f>
        <v>0</v>
      </c>
      <c r="FM9" s="24">
        <f>FL9*IL9</f>
        <v>0</v>
      </c>
      <c r="FN9" s="24">
        <f>FM9*IM9</f>
        <v>0</v>
      </c>
      <c r="FO9" s="24">
        <v>1</v>
      </c>
      <c r="FP9" s="24">
        <f>FV9</f>
        <v>1</v>
      </c>
      <c r="FQ9" s="24">
        <f>FW9*II9</f>
        <v>0.8</v>
      </c>
      <c r="FR9" s="24">
        <f>FX9*IJ9</f>
        <v>0.6400000000000001</v>
      </c>
      <c r="FS9" s="24">
        <f>FY9*IK9</f>
        <v>0.5120000000000001</v>
      </c>
      <c r="FT9" s="24">
        <f>FZ9*IL9</f>
        <v>0.40960000000000013</v>
      </c>
      <c r="FU9" s="24">
        <f>GA9*IM9</f>
        <v>0.32768000000000014</v>
      </c>
      <c r="FV9" s="24">
        <v>1</v>
      </c>
      <c r="FW9" s="24">
        <f>IF(AG9=1,FP9*AF9,FV9)</f>
        <v>1</v>
      </c>
      <c r="FX9" s="24">
        <f>FQ9</f>
        <v>0.8</v>
      </c>
      <c r="FY9" s="24">
        <f>FR9</f>
        <v>0.6400000000000001</v>
      </c>
      <c r="FZ9" s="24">
        <f>FS9</f>
        <v>0.5120000000000001</v>
      </c>
      <c r="GA9" s="24">
        <f>FT9</f>
        <v>0.40960000000000013</v>
      </c>
      <c r="GB9" s="24">
        <f>FU9</f>
        <v>0.32768000000000014</v>
      </c>
      <c r="GC9" s="24">
        <v>0</v>
      </c>
      <c r="GD9" s="24">
        <f>GC9</f>
        <v>0</v>
      </c>
      <c r="GE9" s="24">
        <f>IF(BI9&gt;=9999,0,INT(BI9/12))</f>
        <v>4</v>
      </c>
      <c r="GF9" s="24">
        <f>IF(BJ9&gt;=9999,0,INT(BJ9/12))</f>
        <v>11</v>
      </c>
      <c r="GG9" s="24">
        <f>IF(BK9&gt;=9999,0,INT(BK9/12))</f>
        <v>19</v>
      </c>
      <c r="GH9" s="24">
        <f>IF(BL9&gt;=9999,0,INT(BL9/12))</f>
        <v>26</v>
      </c>
      <c r="GI9" s="24">
        <f>IF(BM9&gt;=9999,0,INT(BM9/12))</f>
        <v>33</v>
      </c>
      <c r="GJ9" s="24">
        <f>BG9</f>
        <v>0</v>
      </c>
      <c r="GK9" s="24">
        <f>IF(AG9=1,BH9,GJ9)</f>
        <v>0</v>
      </c>
      <c r="GL9" s="24">
        <f>BI9</f>
        <v>55</v>
      </c>
      <c r="GM9" s="24">
        <f>BJ9</f>
        <v>143</v>
      </c>
      <c r="GN9" s="24">
        <f>BK9</f>
        <v>231</v>
      </c>
      <c r="GO9" s="24">
        <f>BL9</f>
        <v>319</v>
      </c>
      <c r="GP9" s="24">
        <f>BM9</f>
        <v>407</v>
      </c>
      <c r="GQ9" s="24">
        <f>CI9</f>
        <v>0</v>
      </c>
      <c r="GR9" s="24">
        <f>IF(AG9=1,I9,GQ9)</f>
        <v>0</v>
      </c>
      <c r="GS9" s="24">
        <f>V9</f>
        <v>0.1</v>
      </c>
      <c r="GT9" s="24">
        <f>V9</f>
        <v>0.1</v>
      </c>
      <c r="GU9" s="24">
        <f>V9</f>
        <v>0.1</v>
      </c>
      <c r="GV9" s="24">
        <f>V9</f>
        <v>0.1</v>
      </c>
      <c r="GW9" s="24">
        <f>V9</f>
        <v>0.1</v>
      </c>
      <c r="GX9" s="24">
        <f>CP9</f>
        <v>1</v>
      </c>
      <c r="GY9" s="24">
        <f>IF(AG9=1,J9,GX9)</f>
        <v>1</v>
      </c>
      <c r="GZ9" s="24">
        <f>W9</f>
        <v>5</v>
      </c>
      <c r="HA9" s="24">
        <f>W9</f>
        <v>5</v>
      </c>
      <c r="HB9" s="24">
        <f>W9</f>
        <v>5</v>
      </c>
      <c r="HC9" s="24">
        <f>W9</f>
        <v>5</v>
      </c>
      <c r="HD9" s="24">
        <f>W9</f>
        <v>5</v>
      </c>
      <c r="HE9" s="24">
        <f>IF(BU9&gt;=9999,1,(1+X9)^(BU9/12))</f>
        <v>1.1422666868245983</v>
      </c>
      <c r="HF9" s="24">
        <f>IF(AG9=1,IF(BV9&gt;=9999,1,(1+X9)^(BV9/12)),HE9)</f>
        <v>1.1422666868245983</v>
      </c>
      <c r="HG9" s="24">
        <f>IF(BW9&gt;=9999,1,(1+X9)^(BW9/12))</f>
        <v>1.4187541961163859</v>
      </c>
      <c r="HH9" s="24">
        <f>IF(BX9&gt;=9999,1,(1+X9)^(BX9/12))</f>
        <v>1.7621659567026655</v>
      </c>
      <c r="HI9" s="24">
        <f>IF(BY9&gt;=9999,1,(1+X9)^(BY9/12))</f>
        <v>2.188701092452724</v>
      </c>
      <c r="HJ9" s="24">
        <f>IF(BZ9&gt;=9999,1,(1+X9)^(BZ9/12))</f>
        <v>2.718479751514146</v>
      </c>
      <c r="HK9" s="24">
        <f>IF(CA9&gt;=9999,1,(1+X9)^(CA9/12))</f>
        <v>3.3764921966163985</v>
      </c>
      <c r="HL9" s="24">
        <f>IF(AND(F9&gt;0,C9&gt;0),F9,-1)</f>
        <v>-1</v>
      </c>
      <c r="HM9" s="24">
        <f>IF(AG9=1,BU9+FB9,-1)</f>
        <v>-1</v>
      </c>
      <c r="HN9" s="24">
        <f>IF(BI9&gt;=9999,-1,BV9+ROUND(IP9,0))</f>
        <v>55</v>
      </c>
      <c r="HO9" s="24">
        <f>IF(BJ9&gt;=9999,-1,IF(HN9&lt;0,BW9,HN9+BP9)+ROUND(IQ9,0))</f>
        <v>143</v>
      </c>
      <c r="HP9" s="24">
        <f>IF(BK9&gt;=9999,-1,IF(HO9&lt;0,BX9,HO9+BQ9)+ROUND(IR9,0))</f>
        <v>231</v>
      </c>
      <c r="HQ9" s="24">
        <f>IF(BL9&gt;=9999,-1,IF(HP9&lt;0,BY9,HP9+BR9)+ROUND(IS9,0))</f>
        <v>319</v>
      </c>
      <c r="HR9" s="24">
        <f>IF(BM9&gt;=9999,-1,IF(HQ9&lt;0,BZ9,HQ9+BS9)+ROUND(IT9,0))</f>
        <v>407</v>
      </c>
      <c r="HS9" s="24">
        <f>IF(HL9&lt;0,0,C9*K9)</f>
        <v>0</v>
      </c>
      <c r="HT9" s="24">
        <f>IF(AG9=1,C9*R9*(1+in_ExpenseGrowth)^(HM9/12)*(1-AF9),0)</f>
        <v>0</v>
      </c>
      <c r="HU9" s="24">
        <f>IF(HN9&lt;0,0,C9*(S9*II9+R9*(1-II9))*(1+in_ExpenseGrowth)^(HN9/12))</f>
        <v>63072.4843005704</v>
      </c>
      <c r="HV9" s="24">
        <f>IF(HO9&lt;0,0,C9*(S9*IJ9+R9*(1-IJ9))*(1+in_ExpenseGrowth)^(HO9/12))</f>
        <v>72930.27708482546</v>
      </c>
      <c r="HW9" s="24">
        <f>IF(HP9&lt;0,0,C9*(S9*IK9+R9*(1-IK9))*(1+in_ExpenseGrowth)^(HP9/12))</f>
        <v>84328.77465746686</v>
      </c>
      <c r="HX9" s="24">
        <f>IF(HQ9&lt;0,0,C9*(S9*IL9+R9*(1-IL9))*(1+in_ExpenseGrowth)^(HQ9/12))</f>
        <v>97508.77851401272</v>
      </c>
      <c r="HY9" s="24">
        <f>IF(HR9&lt;0,0,C9*(S9*IM9+R9*(1-IM9))*(1+in_ExpenseGrowth)^(HR9/12))</f>
        <v>112748.7257571922</v>
      </c>
      <c r="HZ9" s="24">
        <f>IF(HL9&lt;0,0,L9*C9*E9*AQ9)</f>
        <v>0</v>
      </c>
      <c r="IA9" s="24">
        <f>IF(AG9=1,T9*C9*O9*(1+X9)^(MAX(0,HM9-F9)/12)*AB9*(1-AF9),0)</f>
        <v>0</v>
      </c>
      <c r="IB9" s="24">
        <f>IF(HN9&lt;0,0,(U9*II9+T9*(1-II9))*C9*O9*(1+X9)^(MAX(0,HN9-F9)/12)*(AA9*II9+1-II9)*AB9)</f>
        <v>35872.8265015694</v>
      </c>
      <c r="IC9" s="24">
        <f>IF(HO9&lt;0,0,(U9*IJ9+T9*(1-IJ9))*C9*O9*(1+X9)^(MAX(0,HO9-F9)/12)*(AA9*IJ9+1-IJ9)*AB9)</f>
        <v>44555.90249868843</v>
      </c>
      <c r="ID9" s="24">
        <f>IF(HP9&lt;0,0,(U9*IK9+T9*(1-IK9))*C9*O9*(1+X9)^(MAX(0,HP9-F9)/12)*(AA9*IK9+1-IK9)*AB9)</f>
        <v>55340.73116278636</v>
      </c>
      <c r="IE9" s="24">
        <f>IF(HQ9&lt;0,0,(U9*IL9+T9*(1-IL9))*C9*O9*(1+X9)^(MAX(0,HQ9-F9)/12)*(AA9*IL9+1-IL9)*AB9)</f>
        <v>68736.04514512853</v>
      </c>
      <c r="IF9" s="24">
        <f>IF(HR9&lt;0,0,(U9*IM9+T9*(1-IM9))*C9*O9*(1+X9)^(MAX(0,HR9-F9)/12)*(AA9*IM9+1-IM9)*AB9)</f>
        <v>85373.71666260556</v>
      </c>
      <c r="IG9" s="24">
        <v>1</v>
      </c>
      <c r="IH9" s="24">
        <f>IF(AG9=1,AF9,1)</f>
        <v>1</v>
      </c>
      <c r="II9" s="24">
        <f>IF(AG9=1,AC9,AE9)</f>
        <v>0.8</v>
      </c>
      <c r="IJ9" s="24">
        <f>AC9</f>
        <v>0.8</v>
      </c>
      <c r="IK9" s="24">
        <f>AC9</f>
        <v>0.8</v>
      </c>
      <c r="IL9" s="24">
        <f>AC9</f>
        <v>0.8</v>
      </c>
      <c r="IM9" s="24">
        <f>AC9</f>
        <v>0.8</v>
      </c>
      <c r="IN9" s="24">
        <v>0</v>
      </c>
      <c r="IO9" s="24">
        <f>P9</f>
        <v>6</v>
      </c>
      <c r="IP9" s="24">
        <f>P9*(1-II9)</f>
        <v>1.1999999999999997</v>
      </c>
      <c r="IQ9" s="24">
        <f>P9*(1-IJ9)</f>
        <v>1.1999999999999997</v>
      </c>
      <c r="IR9" s="24">
        <f>P9*(1-IK9)</f>
        <v>1.1999999999999997</v>
      </c>
      <c r="IS9" s="24">
        <f>P9*(1-IL9)</f>
        <v>1.1999999999999997</v>
      </c>
      <c r="IT9" s="24">
        <f>P9*(1-IM9)</f>
        <v>1.1999999999999997</v>
      </c>
    </row>
    <row r="10">
      <c r="A10" s="25">
        <v>3</v>
      </c>
      <c r="B10" s="23" t="str">
        <f>IF('Rent Roll'!C10="","",'Rent Roll'!C10)</f>
        <v>Sunfield Fitness</v>
      </c>
      <c r="C10" s="24">
        <f>IF(ISNUMBER('Rent Roll'!E10),MAX(0,'Rent Roll'!E10),0)</f>
        <v>6000</v>
      </c>
      <c r="D10" s="88">
        <f>IF(a_GLA&gt;0,C10/a_GLA,0)</f>
        <v>0.10050251256281408</v>
      </c>
      <c r="E10" s="29">
        <f>IF(BC10=1,ROUND(BD10*(1+X10)^(F10/12),2),BD10)</f>
        <v>16</v>
      </c>
      <c r="F10" s="24">
        <f>IF(C10&gt;0,MAX(0,(YEAR(IF(ISNUMBER('Rent Roll'!G10),'Rent Roll'!G10,0))-YEAR(in_AnalysisStart))*12+MONTH(IF(ISNUMBER('Rent Roll'!G10),'Rent Roll'!G10,0))-MONTH(in_AnalysisStart)),0)</f>
        <v>0</v>
      </c>
      <c r="G10" s="24">
        <f>IF(C10&gt;0,MAX(0,(YEAR(IF(ISNUMBER('Rent Roll'!H10),'Rent Roll'!H10,0))-YEAR(in_AnalysisStart))*12+MONTH(IF(ISNUMBER('Rent Roll'!H10),'Rent Roll'!H10,0))-MONTH(in_AnalysisStart)+1-F10),0)</f>
        <v>60</v>
      </c>
      <c r="H10" s="24">
        <f>IF(ISNUMBER('Rent Roll'!N10),'Rent Roll'!N10,0)</f>
        <v>0</v>
      </c>
      <c r="I10" s="88">
        <f>IF(ISNUMBER('Rent Roll'!L10),'Rent Roll'!L10,0)</f>
        <v>0</v>
      </c>
      <c r="J10" s="24">
        <f>MAX(1,ROUND(IF(ISNUMBER('Rent Roll'!M10),'Rent Roll'!M10,0),0))</f>
        <v>1</v>
      </c>
      <c r="K10" s="29">
        <f>IF(ISNUMBER('Rent Roll'!AJ10),'Rent Roll'!AJ10,0)</f>
        <v>12</v>
      </c>
      <c r="L10" s="88">
        <f>IF(IF(ISNUMBER('Rent Roll'!AK10),'Rent Roll'!AK10,0)&gt;0,'Rent Roll'!AK10,a_LeaseUpLC)</f>
        <v>0.05</v>
      </c>
      <c r="M10" s="24">
        <f>IF('Rent Roll'!R10="",0,IFERROR(MATCH('Rent Roll'!R10,a_PName,0),0))</f>
        <v>1</v>
      </c>
      <c r="N10" s="24">
        <f>IF(M10&gt;0,1,0)</f>
        <v>1</v>
      </c>
      <c r="O10" s="29">
        <f>IF(IF(ISNUMBER('Rent Roll'!S10),'Rent Roll'!S10,0)&gt;0,'Rent Roll'!S10,IF(M10&gt;0,IF(ISNUMBER(INDEX(a_PRent,M10)),INDEX(a_PRent,M10),0),0))</f>
        <v>16.13</v>
      </c>
      <c r="P10" s="24">
        <f>IF(M10&gt;0,IF(ISNUMBER(INDEX(a_PDown,M10)),INDEX(a_PDown,M10),0),0)</f>
        <v>6</v>
      </c>
      <c r="Q10" s="24">
        <f>IF(M10&gt;0,MAX(1,IF(ISNUMBER(INDEX(a_PTerm,M10)),INDEX(a_PTerm,M10),0)),5)</f>
        <v>7.25</v>
      </c>
      <c r="R10" s="29">
        <f>IF(M10&gt;0,IF(ISNUMBER(INDEX(a_PTiNew,M10)),INDEX(a_PTiNew,M10),0),0)</f>
        <v>16</v>
      </c>
      <c r="S10" s="29">
        <f>IF(M10&gt;0,IF(ISNUMBER(INDEX(a_PTiRen,M10)),INDEX(a_PTiRen,M10),0),0)</f>
        <v>4</v>
      </c>
      <c r="T10" s="88">
        <f>IF(M10&gt;0,IF(ISNUMBER(INDEX(a_PLcNew,M10)),INDEX(a_PLcNew,M10),0),0)</f>
        <v>0.05</v>
      </c>
      <c r="U10" s="88">
        <f>IF(M10&gt;0,IF(ISNUMBER(INDEX(a_PLcRen,M10)),INDEX(a_PLcRen,M10),0),0)</f>
        <v>0.02</v>
      </c>
      <c r="V10" s="88">
        <f>IF(M10&gt;0,IF(ISNUMBER(INDEX(a_PBump,M10)),INDEX(a_PBump,M10),0),0)</f>
        <v>0.1</v>
      </c>
      <c r="W10" s="24">
        <f>MAX(1,ROUND(IF(M10&gt;0,IF(ISNUMBER(INDEX(a_PEvery,M10)),INDEX(a_PEvery,M10),0),1),0))</f>
        <v>5</v>
      </c>
      <c r="X10" s="88">
        <f>IF(M10&gt;0,IF(ISNUMBER(INDEX(a_PGrow,M10)),INDEX(a_PGrow,M10),in_RentGrowth),in_RentGrowth)</f>
        <v>0.03</v>
      </c>
      <c r="Y10" s="24">
        <f>IF(M10&gt;0,IF(ISNUMBER(INDEX(a_PFreeNew,M10)),INDEX(a_PFreeNew,M10),0),0)</f>
        <v>3</v>
      </c>
      <c r="Z10" s="24">
        <f>IF(M10&gt;0,IF(ISNUMBER(INDEX(a_PFreeRen,M10)),INDEX(a_PFreeRen,M10),0),0)</f>
        <v>0</v>
      </c>
      <c r="AA10" s="88">
        <f>IF(M10&gt;0,IF(ISNUMBER(INDEX(a_PRenPct,M10)),INDEX(a_PRenPct,M10),1),1)</f>
        <v>1</v>
      </c>
      <c r="AB10" s="24">
        <f>IF(M10&gt;0,IF(ISNUMBER(INDEX(a_PAF,M10)),INDEX(a_PAF,M10),0),0)</f>
        <v>8.300000000000004</v>
      </c>
      <c r="AC10" s="88">
        <f>IF(ISNUMBER('Rent Roll'!V10),'Rent Roll'!V10,IF(M10&gt;0,IF(ISNUMBER(INDEX(a_PRenew,M10)),INDEX(a_PRenew,M10),0),0.8))</f>
        <v>0.8</v>
      </c>
      <c r="AD10" s="23" t="str">
        <f>IF('Rent Roll'!W10="","Probability",'Rent Roll'!W10)</f>
        <v>Probability</v>
      </c>
      <c r="AE10" s="88">
        <f>IF(AD10="Renew",1,IF(AD10="Vacate",0,AC10))</f>
        <v>0.8</v>
      </c>
      <c r="AF10" s="88">
        <f>IF(AD10="Renew",1,IF(ISNUMBER('Rent Roll'!AA10),'Rent Roll'!AA10,AC10))</f>
        <v>0.8</v>
      </c>
      <c r="AG10" s="24">
        <f>IF(AND(N10=1,IF(ISNUMBER('Rent Roll'!Y10),'Rent Roll'!Y10,0)&gt;0,IF(ISNUMBER('Rent Roll'!Z10),'Rent Roll'!Z10,0)&gt;0,AF10&gt;0,AD10&lt;&gt;"Vacate",C10&gt;0),1,0)</f>
        <v>0</v>
      </c>
      <c r="AH10" s="24">
        <f>ROUND(12*IF(ISNUMBER('Rent Roll'!Y10),'Rent Roll'!Y10,0),0)</f>
        <v>0</v>
      </c>
      <c r="AI10" s="29">
        <f>IF(ISNUMBER('Rent Roll'!Z10),'Rent Roll'!Z10,0)</f>
        <v>0</v>
      </c>
      <c r="AJ10" s="24">
        <f>IF('Rent Roll'!P10="Base year",1,0)</f>
        <v>0</v>
      </c>
      <c r="AK10" s="88">
        <f>IF(ISNUMBER('Rent Roll'!Q10),'Rent Roll'!Q10,0)</f>
        <v>0</v>
      </c>
      <c r="AL10" s="24">
        <f>IF(AND('Rent Roll'!AH10="Yes",a_AnchorInVac&lt;&gt;"Yes"),1,0)</f>
        <v>0</v>
      </c>
      <c r="AM10" s="29">
        <f>IF(ISNUMBER('Rent Roll'!AL10),'Rent Roll'!AL10,0)</f>
        <v>0</v>
      </c>
      <c r="AN10" s="88">
        <f>IF(ISNUMBER('Rent Roll'!AM10),'Rent Roll'!AM10,0)</f>
        <v>0</v>
      </c>
      <c r="AO10" s="88">
        <f>IF(AND(BC10=1,N10=1),V10,I10)</f>
        <v>0</v>
      </c>
      <c r="AP10" s="24">
        <f>IF(AND(BC10=1,N10=1),W10,J10)</f>
        <v>1</v>
      </c>
      <c r="AQ10" s="24">
        <f>IF(AO10=0,G10/12,AP10*((1+AO10)^INT(INT(G10/12)/AP10)-1)/AO10+(INT(G10/12)-INT(INT(G10/12)/AP10)*AP10)*(1+AO10)^INT(INT(G10/12)/AP10)+(G10/12-INT(G10/12))*(1+AO10)^INT(INT(G10/12)/AP10))</f>
        <v>5</v>
      </c>
      <c r="AR10" s="24">
        <f>IF(AND(C10&gt;0,BU10&lt;9999,BU10&gt;0),INT((BU10-1)/12)+1,0)</f>
        <v>5</v>
      </c>
      <c r="AS10" s="24">
        <f>COUNTIF('Lease Cycles'!$BG$10:$BM$10,"&lt;132")</f>
        <v>3</v>
      </c>
      <c r="AT10" s="24">
        <f>IF(AND(ISNUMBER('Rent Roll'!AR10),IF(ISNUMBER('Rent Roll'!AS10),'Rent Roll'!AS10,0)&gt;0),(YEAR('Rent Roll'!AR10)-YEAR(in_AnalysisStart))*12+MONTH('Rent Roll'!AR10)-MONTH(in_AnalysisStart),9999)</f>
        <v>9999</v>
      </c>
      <c r="AU10" s="29">
        <f>IF(ISNUMBER('Rent Roll'!AS10),'Rent Roll'!AS10,0)</f>
        <v>0</v>
      </c>
      <c r="AV10" s="24">
        <f>IF(AND(ISNUMBER('Rent Roll'!AT10),IF(ISNUMBER('Rent Roll'!AU10),'Rent Roll'!AU10,0)&gt;0),(YEAR('Rent Roll'!AT10)-YEAR(in_AnalysisStart))*12+MONTH('Rent Roll'!AT10)-MONTH(in_AnalysisStart),9999)</f>
        <v>9999</v>
      </c>
      <c r="AW10" s="29">
        <f>IF(ISNUMBER('Rent Roll'!AU10),'Rent Roll'!AU10,0)</f>
        <v>0</v>
      </c>
      <c r="AX10" s="24">
        <f>IF(AND(ISNUMBER('Rent Roll'!AV10),IF(ISNUMBER('Rent Roll'!AW10),'Rent Roll'!AW10,0)&gt;0),(YEAR('Rent Roll'!AV10)-YEAR(in_AnalysisStart))*12+MONTH('Rent Roll'!AV10)-MONTH(in_AnalysisStart),9999)</f>
        <v>9999</v>
      </c>
      <c r="AY10" s="29">
        <f>IF(ISNUMBER('Rent Roll'!AW10),'Rent Roll'!AW10,0)</f>
        <v>0</v>
      </c>
      <c r="AZ10" s="24">
        <f>IF(AND(ISNUMBER('Rent Roll'!AX10),IF(ISNUMBER('Rent Roll'!AY10),'Rent Roll'!AY10,0)&gt;0),(YEAR('Rent Roll'!AX10)-YEAR(in_AnalysisStart))*12+MONTH('Rent Roll'!AX10)-MONTH(in_AnalysisStart),9999)</f>
        <v>9999</v>
      </c>
      <c r="BA10" s="29">
        <f>IF(ISNUMBER('Rent Roll'!AY10),'Rent Roll'!AY10,0)</f>
        <v>0</v>
      </c>
      <c r="BB10" s="29">
        <f>IF(BU10&gt;=9999,O10,O10*(1+X10)^((BU10-F10)/12))</f>
        <v>18.699090818459</v>
      </c>
      <c r="BC10" s="24">
        <f>IF(AND('Rent Roll'!AZ10="Yes",F10&gt;0,BD10&gt;0,AT10&gt;=9999),1,0)</f>
        <v>0</v>
      </c>
      <c r="BD10" s="29">
        <f>IF(ISNUMBER('Rent Roll'!I10),'Rent Roll'!I10,0)</f>
        <v>16</v>
      </c>
      <c r="BE10" s="24">
        <f>IF(a_MarketRecovery="Base year",1,0)</f>
        <v>0</v>
      </c>
      <c r="BG10" s="24">
        <f>IF(C10&gt;0,F10,9999)</f>
        <v>0</v>
      </c>
      <c r="BH10" s="24">
        <f>BU10</f>
        <v>60</v>
      </c>
      <c r="BI10" s="24">
        <f>IF(OR(N10=0,BV10&gt;=9999),9999,IF(AG10=1,BV10,INT(BV10+IP10)))</f>
        <v>61</v>
      </c>
      <c r="BJ10" s="24">
        <f>IF(OR(N10=0,BW10&gt;=9999),9999,INT(BW10+IQ10))</f>
        <v>149</v>
      </c>
      <c r="BK10" s="24">
        <f>IF(OR(N10=0,BX10&gt;=9999),9999,INT(BX10+IR10))</f>
        <v>237</v>
      </c>
      <c r="BL10" s="24">
        <f>IF(OR(N10=0,BY10&gt;=9999),9999,INT(BY10+IS10))</f>
        <v>325</v>
      </c>
      <c r="BM10" s="24">
        <f>IF(OR(N10=0,BZ10&gt;=9999),9999,INT(BZ10+IT10))</f>
        <v>413</v>
      </c>
      <c r="BN10" s="24">
        <f>G10</f>
        <v>60</v>
      </c>
      <c r="BO10" s="24">
        <f>IF(AG10=1,AH10,0)</f>
        <v>0</v>
      </c>
      <c r="BP10" s="24">
        <f>MAX(12,ROUND(12*Q10,0))</f>
        <v>87</v>
      </c>
      <c r="BQ10" s="24">
        <f>MAX(12,ROUND(12*Q10,0))</f>
        <v>87</v>
      </c>
      <c r="BR10" s="24">
        <f>MAX(12,ROUND(12*Q10,0))</f>
        <v>87</v>
      </c>
      <c r="BS10" s="24">
        <f>MAX(12,ROUND(12*Q10,0))</f>
        <v>87</v>
      </c>
      <c r="BT10" s="24">
        <f>MAX(12,ROUND(12*Q10,0))</f>
        <v>87</v>
      </c>
      <c r="BU10" s="24">
        <f>BG10+BN10</f>
        <v>60</v>
      </c>
      <c r="BV10" s="24">
        <f>BH10+BO10</f>
        <v>60</v>
      </c>
      <c r="BW10" s="24">
        <f>IF(BI10&gt;=9999,9999,BI10+BP10)</f>
        <v>148</v>
      </c>
      <c r="BX10" s="24">
        <f>IF(BJ10&gt;=9999,9999,BJ10+BQ10)</f>
        <v>236</v>
      </c>
      <c r="BY10" s="24">
        <f>IF(BK10&gt;=9999,9999,BK10+BR10)</f>
        <v>324</v>
      </c>
      <c r="BZ10" s="24">
        <f>IF(BL10&gt;=9999,9999,BL10+BS10)</f>
        <v>412</v>
      </c>
      <c r="CA10" s="24">
        <f>IF(BM10&gt;=9999,9999,BM10+BT10)</f>
        <v>500</v>
      </c>
      <c r="CB10" s="24">
        <f>E10</f>
        <v>16</v>
      </c>
      <c r="CC10" s="24">
        <f>AI10</f>
        <v>0</v>
      </c>
      <c r="CD10" s="24">
        <f>IF(BI10&gt;=9999,0,O10*(1+X10)^((BI10-F10)/12)*(AA10*II10+1-II10))</f>
        <v>18.74520782091413</v>
      </c>
      <c r="CE10" s="24">
        <f>IF(BJ10&gt;=9999,0,O10*(1+X10)^((BJ10-F10)/12)*(AA10*IJ10+1-IJ10))</f>
        <v>23.282515860571014</v>
      </c>
      <c r="CF10" s="24">
        <f>IF(BK10&gt;=9999,0,O10*(1+X10)^((BK10-F10)/12)*(AA10*IK10+1-IK10))</f>
        <v>28.918086690559075</v>
      </c>
      <c r="CG10" s="24">
        <f>IF(BL10&gt;=9999,0,O10*(1+X10)^((BL10-F10)/12)*(AA10*IL10+1-IL10))</f>
        <v>35.917756605457356</v>
      </c>
      <c r="CH10" s="24">
        <f>IF(BM10&gt;=9999,0,O10*(1+X10)^((BM10-F10)/12)*(AA10*IM10+1-IM10))</f>
        <v>44.61170800729534</v>
      </c>
      <c r="CI10" s="24">
        <f>AO10</f>
        <v>0</v>
      </c>
      <c r="CJ10" s="24">
        <f>I10</f>
        <v>0</v>
      </c>
      <c r="CK10" s="24">
        <f>V10</f>
        <v>0.1</v>
      </c>
      <c r="CL10" s="24">
        <f>V10</f>
        <v>0.1</v>
      </c>
      <c r="CM10" s="24">
        <f>V10</f>
        <v>0.1</v>
      </c>
      <c r="CN10" s="24">
        <f>V10</f>
        <v>0.1</v>
      </c>
      <c r="CO10" s="24">
        <f>V10</f>
        <v>0.1</v>
      </c>
      <c r="CP10" s="24">
        <f>AP10</f>
        <v>1</v>
      </c>
      <c r="CQ10" s="24">
        <f>J10</f>
        <v>1</v>
      </c>
      <c r="CR10" s="24">
        <f>W10</f>
        <v>5</v>
      </c>
      <c r="CS10" s="24">
        <f>W10</f>
        <v>5</v>
      </c>
      <c r="CT10" s="24">
        <f>W10</f>
        <v>5</v>
      </c>
      <c r="CU10" s="24">
        <f>W10</f>
        <v>5</v>
      </c>
      <c r="CV10" s="24">
        <f>W10</f>
        <v>5</v>
      </c>
      <c r="CW10" s="24">
        <f>H10</f>
        <v>0</v>
      </c>
      <c r="CX10" s="24">
        <v>0</v>
      </c>
      <c r="CY10" s="24">
        <f>Y10*(1-II10)+Z10*II10</f>
        <v>0.5999999999999999</v>
      </c>
      <c r="CZ10" s="24">
        <f>Y10*(1-IJ10)+Z10*IJ10</f>
        <v>0.5999999999999999</v>
      </c>
      <c r="DA10" s="24">
        <f>Y10*(1-IK10)+Z10*IK10</f>
        <v>0.5999999999999999</v>
      </c>
      <c r="DB10" s="24">
        <f>Y10*(1-IL10)+Z10*IL10</f>
        <v>0.5999999999999999</v>
      </c>
      <c r="DC10" s="24">
        <f>Y10*(1-IM10)+Z10*IM10</f>
        <v>0.5999999999999999</v>
      </c>
      <c r="DD10" s="24">
        <v>0</v>
      </c>
      <c r="DE10" s="24">
        <v>0</v>
      </c>
      <c r="DF10" s="24">
        <f>IF(BI10&gt;=9999,0,IF(AG10=1,0,BV10+IP10-BI10))</f>
        <v>0.20000000000000284</v>
      </c>
      <c r="DG10" s="24">
        <f>IF(BJ10&gt;=9999,0,BW10+IQ10-BJ10)</f>
        <v>0.19999999999998863</v>
      </c>
      <c r="DH10" s="24">
        <f>IF(BK10&gt;=9999,0,BX10+IR10-BK10)</f>
        <v>0.19999999999998863</v>
      </c>
      <c r="DI10" s="24">
        <f>IF(BL10&gt;=9999,0,BY10+IS10-BL10)</f>
        <v>0.19999999999998863</v>
      </c>
      <c r="DJ10" s="24">
        <f>IF(BM10&gt;=9999,0,BZ10+IT10-BM10)</f>
        <v>0.19999999999998863</v>
      </c>
      <c r="DK10" s="24">
        <f>INT(CW10+DD10)</f>
        <v>0</v>
      </c>
      <c r="DL10" s="24">
        <v>0</v>
      </c>
      <c r="DM10" s="24">
        <f>INT(CY10+DF10)</f>
        <v>0</v>
      </c>
      <c r="DN10" s="24">
        <f>INT(CZ10+DG10)</f>
        <v>0</v>
      </c>
      <c r="DO10" s="24">
        <f>INT(DA10+DH10)</f>
        <v>0</v>
      </c>
      <c r="DP10" s="24">
        <f>INT(DB10+DI10)</f>
        <v>0</v>
      </c>
      <c r="DQ10" s="24">
        <f>INT(DC10+DJ10)</f>
        <v>0</v>
      </c>
      <c r="DR10" s="24">
        <f>CW10+DD10-DK10</f>
        <v>0</v>
      </c>
      <c r="DS10" s="24">
        <v>0</v>
      </c>
      <c r="DT10" s="24">
        <f>CY10+DF10-DM10</f>
        <v>0.8000000000000027</v>
      </c>
      <c r="DU10" s="24">
        <f>CZ10+DG10-DN10</f>
        <v>0.7999999999999885</v>
      </c>
      <c r="DV10" s="24">
        <f>DA10+DH10-DO10</f>
        <v>0.7999999999999885</v>
      </c>
      <c r="DW10" s="24">
        <f>DB10+DI10-DP10</f>
        <v>0.7999999999999885</v>
      </c>
      <c r="DX10" s="24">
        <f>DC10+DJ10-DQ10</f>
        <v>0.7999999999999885</v>
      </c>
      <c r="DY10" s="24">
        <v>1</v>
      </c>
      <c r="DZ10" s="24">
        <v>1</v>
      </c>
      <c r="EA10" s="24">
        <v>0</v>
      </c>
      <c r="EB10" s="24">
        <v>0</v>
      </c>
      <c r="EC10" s="24">
        <v>0</v>
      </c>
      <c r="ED10" s="24">
        <v>0</v>
      </c>
      <c r="EE10" s="24">
        <v>0</v>
      </c>
      <c r="EF10" s="24">
        <v>0</v>
      </c>
      <c r="EG10" s="24">
        <f>IF(AG10=1,1,2)</f>
        <v>2</v>
      </c>
      <c r="EH10" s="24">
        <v>0</v>
      </c>
      <c r="EI10" s="24">
        <v>0</v>
      </c>
      <c r="EJ10" s="24">
        <v>0</v>
      </c>
      <c r="EK10" s="24">
        <v>0</v>
      </c>
      <c r="EL10" s="24">
        <v>0</v>
      </c>
      <c r="EM10" s="24">
        <v>1</v>
      </c>
      <c r="EN10" s="24">
        <f>IF(AG10=1,AF10,1)</f>
        <v>1</v>
      </c>
      <c r="EO10" s="24">
        <v>1</v>
      </c>
      <c r="EP10" s="24">
        <v>1</v>
      </c>
      <c r="EQ10" s="24">
        <v>1</v>
      </c>
      <c r="ER10" s="24">
        <v>1</v>
      </c>
      <c r="ES10" s="24">
        <v>1</v>
      </c>
      <c r="ET10" s="24">
        <v>0</v>
      </c>
      <c r="EU10" s="24">
        <f>BB10</f>
        <v>18.699090818459</v>
      </c>
      <c r="EV10" s="24">
        <v>0</v>
      </c>
      <c r="EW10" s="24">
        <v>0</v>
      </c>
      <c r="EX10" s="24">
        <v>0</v>
      </c>
      <c r="EY10" s="24">
        <v>0</v>
      </c>
      <c r="EZ10" s="24">
        <v>0</v>
      </c>
      <c r="FA10" s="24">
        <v>0</v>
      </c>
      <c r="FB10" s="24">
        <f>ROUND(P10,0)</f>
        <v>6</v>
      </c>
      <c r="FC10" s="24">
        <v>0</v>
      </c>
      <c r="FD10" s="24">
        <v>0</v>
      </c>
      <c r="FE10" s="24">
        <v>0</v>
      </c>
      <c r="FF10" s="24">
        <v>0</v>
      </c>
      <c r="FG10" s="24">
        <v>0</v>
      </c>
      <c r="FH10" s="24">
        <f>AK10</f>
        <v>0</v>
      </c>
      <c r="FI10" s="24">
        <f>IF(AG10=1,AK10*AF10,FH10)</f>
        <v>0</v>
      </c>
      <c r="FJ10" s="24">
        <f>FI10*II10</f>
        <v>0</v>
      </c>
      <c r="FK10" s="24">
        <f>FJ10*IJ10</f>
        <v>0</v>
      </c>
      <c r="FL10" s="24">
        <f>FK10*IK10</f>
        <v>0</v>
      </c>
      <c r="FM10" s="24">
        <f>FL10*IL10</f>
        <v>0</v>
      </c>
      <c r="FN10" s="24">
        <f>FM10*IM10</f>
        <v>0</v>
      </c>
      <c r="FO10" s="24">
        <v>1</v>
      </c>
      <c r="FP10" s="24">
        <f>FV10</f>
        <v>1</v>
      </c>
      <c r="FQ10" s="24">
        <f>FW10*II10</f>
        <v>0.8</v>
      </c>
      <c r="FR10" s="24">
        <f>FX10*IJ10</f>
        <v>0.6400000000000001</v>
      </c>
      <c r="FS10" s="24">
        <f>FY10*IK10</f>
        <v>0.5120000000000001</v>
      </c>
      <c r="FT10" s="24">
        <f>FZ10*IL10</f>
        <v>0.40960000000000013</v>
      </c>
      <c r="FU10" s="24">
        <f>GA10*IM10</f>
        <v>0.32768000000000014</v>
      </c>
      <c r="FV10" s="24">
        <v>1</v>
      </c>
      <c r="FW10" s="24">
        <f>IF(AG10=1,FP10*AF10,FV10)</f>
        <v>1</v>
      </c>
      <c r="FX10" s="24">
        <f>FQ10</f>
        <v>0.8</v>
      </c>
      <c r="FY10" s="24">
        <f>FR10</f>
        <v>0.6400000000000001</v>
      </c>
      <c r="FZ10" s="24">
        <f>FS10</f>
        <v>0.5120000000000001</v>
      </c>
      <c r="GA10" s="24">
        <f>FT10</f>
        <v>0.40960000000000013</v>
      </c>
      <c r="GB10" s="24">
        <f>FU10</f>
        <v>0.32768000000000014</v>
      </c>
      <c r="GC10" s="24">
        <v>0</v>
      </c>
      <c r="GD10" s="24">
        <f>GC10</f>
        <v>0</v>
      </c>
      <c r="GE10" s="24">
        <f>IF(BI10&gt;=9999,0,INT(BI10/12))</f>
        <v>5</v>
      </c>
      <c r="GF10" s="24">
        <f>IF(BJ10&gt;=9999,0,INT(BJ10/12))</f>
        <v>12</v>
      </c>
      <c r="GG10" s="24">
        <f>IF(BK10&gt;=9999,0,INT(BK10/12))</f>
        <v>19</v>
      </c>
      <c r="GH10" s="24">
        <f>IF(BL10&gt;=9999,0,INT(BL10/12))</f>
        <v>27</v>
      </c>
      <c r="GI10" s="24">
        <f>IF(BM10&gt;=9999,0,INT(BM10/12))</f>
        <v>34</v>
      </c>
      <c r="GJ10" s="24">
        <f>BG10</f>
        <v>0</v>
      </c>
      <c r="GK10" s="24">
        <f>IF(AG10=1,BH10,GJ10)</f>
        <v>0</v>
      </c>
      <c r="GL10" s="24">
        <f>BI10</f>
        <v>61</v>
      </c>
      <c r="GM10" s="24">
        <f>BJ10</f>
        <v>149</v>
      </c>
      <c r="GN10" s="24">
        <f>BK10</f>
        <v>237</v>
      </c>
      <c r="GO10" s="24">
        <f>BL10</f>
        <v>325</v>
      </c>
      <c r="GP10" s="24">
        <f>BM10</f>
        <v>413</v>
      </c>
      <c r="GQ10" s="24">
        <f>CI10</f>
        <v>0</v>
      </c>
      <c r="GR10" s="24">
        <f>IF(AG10=1,I10,GQ10)</f>
        <v>0</v>
      </c>
      <c r="GS10" s="24">
        <f>V10</f>
        <v>0.1</v>
      </c>
      <c r="GT10" s="24">
        <f>V10</f>
        <v>0.1</v>
      </c>
      <c r="GU10" s="24">
        <f>V10</f>
        <v>0.1</v>
      </c>
      <c r="GV10" s="24">
        <f>V10</f>
        <v>0.1</v>
      </c>
      <c r="GW10" s="24">
        <f>V10</f>
        <v>0.1</v>
      </c>
      <c r="GX10" s="24">
        <f>CP10</f>
        <v>1</v>
      </c>
      <c r="GY10" s="24">
        <f>IF(AG10=1,J10,GX10)</f>
        <v>1</v>
      </c>
      <c r="GZ10" s="24">
        <f>W10</f>
        <v>5</v>
      </c>
      <c r="HA10" s="24">
        <f>W10</f>
        <v>5</v>
      </c>
      <c r="HB10" s="24">
        <f>W10</f>
        <v>5</v>
      </c>
      <c r="HC10" s="24">
        <f>W10</f>
        <v>5</v>
      </c>
      <c r="HD10" s="24">
        <f>W10</f>
        <v>5</v>
      </c>
      <c r="HE10" s="24">
        <f>IF(BU10&gt;=9999,1,(1+X10)^(BU10/12))</f>
        <v>1.1592740743</v>
      </c>
      <c r="HF10" s="24">
        <f>IF(AG10=1,IF(BV10&gt;=9999,1,(1+X10)^(BV10/12)),HE10)</f>
        <v>1.1592740743</v>
      </c>
      <c r="HG10" s="24">
        <f>IF(BW10&gt;=9999,1,(1+X10)^(BW10/12))</f>
        <v>1.4398782493904783</v>
      </c>
      <c r="HH10" s="24">
        <f>IF(BX10&gt;=9999,1,(1+X10)^(BX10/12))</f>
        <v>1.7884031214272345</v>
      </c>
      <c r="HI10" s="24">
        <f>IF(BY10&gt;=9999,1,(1+X10)^(BY10/12))</f>
        <v>2.221289005570158</v>
      </c>
      <c r="HJ10" s="24">
        <f>IF(BZ10&gt;=9999,1,(1+X10)^(BZ10/12))</f>
        <v>2.758955622001591</v>
      </c>
      <c r="HK10" s="24">
        <f>IF(CA10&gt;=9999,1,(1+X10)^(CA10/12))</f>
        <v>3.426765317383987</v>
      </c>
      <c r="HL10" s="24">
        <f>IF(AND(F10&gt;0,C10&gt;0),F10,-1)</f>
        <v>-1</v>
      </c>
      <c r="HM10" s="24">
        <f>IF(AG10=1,BU10+FB10,-1)</f>
        <v>-1</v>
      </c>
      <c r="HN10" s="24">
        <f>IF(BI10&gt;=9999,-1,BV10+ROUND(IP10,0))</f>
        <v>61</v>
      </c>
      <c r="HO10" s="24">
        <f>IF(BJ10&gt;=9999,-1,IF(HN10&lt;0,BW10,HN10+BP10)+ROUND(IQ10,0))</f>
        <v>149</v>
      </c>
      <c r="HP10" s="24">
        <f>IF(BK10&gt;=9999,-1,IF(HO10&lt;0,BX10,HO10+BQ10)+ROUND(IR10,0))</f>
        <v>237</v>
      </c>
      <c r="HQ10" s="24">
        <f>IF(BL10&gt;=9999,-1,IF(HP10&lt;0,BY10,HP10+BR10)+ROUND(IS10,0))</f>
        <v>325</v>
      </c>
      <c r="HR10" s="24">
        <f>IF(BM10&gt;=9999,-1,IF(HQ10&lt;0,BZ10,HQ10+BS10)+ROUND(IT10,0))</f>
        <v>413</v>
      </c>
      <c r="HS10" s="24">
        <f>IF(HL10&lt;0,0,C10*K10)</f>
        <v>0</v>
      </c>
      <c r="HT10" s="24">
        <f>IF(AG10=1,C10*R10*(1+in_ExpenseGrowth)^(HM10/12)*(1-AF10),0)</f>
        <v>0</v>
      </c>
      <c r="HU10" s="24">
        <f>IF(HN10&lt;0,0,C10*(S10*II10+R10*(1-II10))*(1+in_ExpenseGrowth)^(HN10/12))</f>
        <v>42466.72444455837</v>
      </c>
      <c r="HV10" s="24">
        <f>IF(HO10&lt;0,0,C10*(S10*IJ10+R10*(1-IJ10))*(1+in_ExpenseGrowth)^(HO10/12))</f>
        <v>49103.97957162063</v>
      </c>
      <c r="HW10" s="24">
        <f>IF(HP10&lt;0,0,C10*(S10*IK10+R10*(1-IK10))*(1+in_ExpenseGrowth)^(HP10/12))</f>
        <v>56778.59173994063</v>
      </c>
      <c r="HX10" s="24">
        <f>IF(HQ10&lt;0,0,C10*(S10*IL10+R10*(1-IL10))*(1+in_ExpenseGrowth)^(HQ10/12))</f>
        <v>65652.69267572838</v>
      </c>
      <c r="HY10" s="24">
        <f>IF(HR10&lt;0,0,C10*(S10*IM10+R10*(1-IM10))*(1+in_ExpenseGrowth)^(HR10/12))</f>
        <v>75913.75417191963</v>
      </c>
      <c r="HZ10" s="24">
        <f>IF(HL10&lt;0,0,L10*C10*E10*AQ10)</f>
        <v>0</v>
      </c>
      <c r="IA10" s="24">
        <f>IF(AG10=1,T10*C10*O10*(1+X10)^(MAX(0,HM10-F10)/12)*AB10*(1-AF10),0)</f>
        <v>0</v>
      </c>
      <c r="IB10" s="24">
        <f>IF(HN10&lt;0,0,(U10*II10+T10*(1-II10))*C10*O10*(1+X10)^(MAX(0,HN10-F10)/12)*(AA10*II10+1-II10)*AB10)</f>
        <v>24271.29508651962</v>
      </c>
      <c r="IC10" s="24">
        <f>IF(HO10&lt;0,0,(U10*IJ10+T10*(1-IJ10))*C10*O10*(1+X10)^(MAX(0,HO10-F10)/12)*(AA10*IJ10+1-IJ10)*AB10)</f>
        <v>30146.201536267363</v>
      </c>
      <c r="ID10" s="24">
        <f>IF(HP10&lt;0,0,(U10*IK10+T10*(1-IK10))*C10*O10*(1+X10)^(MAX(0,HP10-F10)/12)*(AA10*IK10+1-IK10)*AB10)</f>
        <v>37443.13864693591</v>
      </c>
      <c r="IE10" s="24">
        <f>IF(HQ10&lt;0,0,(U10*IL10+T10*(1-IL10))*C10*O10*(1+X10)^(MAX(0,HQ10-F10)/12)*(AA10*IL10+1-IL10)*AB10)</f>
        <v>46506.31125274621</v>
      </c>
      <c r="IF10" s="24">
        <f>IF(HR10&lt;0,0,(U10*IM10+T10*(1-IM10))*C10*O10*(1+X10)^(MAX(0,HR10-F10)/12)*(AA10*IM10+1-IM10)*AB10)</f>
        <v>57763.23952784603</v>
      </c>
      <c r="IG10" s="24">
        <v>1</v>
      </c>
      <c r="IH10" s="24">
        <f>IF(AG10=1,AF10,1)</f>
        <v>1</v>
      </c>
      <c r="II10" s="24">
        <f>IF(AG10=1,AC10,AE10)</f>
        <v>0.8</v>
      </c>
      <c r="IJ10" s="24">
        <f>AC10</f>
        <v>0.8</v>
      </c>
      <c r="IK10" s="24">
        <f>AC10</f>
        <v>0.8</v>
      </c>
      <c r="IL10" s="24">
        <f>AC10</f>
        <v>0.8</v>
      </c>
      <c r="IM10" s="24">
        <f>AC10</f>
        <v>0.8</v>
      </c>
      <c r="IN10" s="24">
        <v>0</v>
      </c>
      <c r="IO10" s="24">
        <f>P10</f>
        <v>6</v>
      </c>
      <c r="IP10" s="24">
        <f>P10*(1-II10)</f>
        <v>1.1999999999999997</v>
      </c>
      <c r="IQ10" s="24">
        <f>P10*(1-IJ10)</f>
        <v>1.1999999999999997</v>
      </c>
      <c r="IR10" s="24">
        <f>P10*(1-IK10)</f>
        <v>1.1999999999999997</v>
      </c>
      <c r="IS10" s="24">
        <f>P10*(1-IL10)</f>
        <v>1.1999999999999997</v>
      </c>
      <c r="IT10" s="24">
        <f>P10*(1-IM10)</f>
        <v>1.1999999999999997</v>
      </c>
    </row>
    <row r="11">
      <c r="A11" s="25">
        <v>4</v>
      </c>
      <c r="B11" s="23" t="str">
        <f>IF('Rent Roll'!C11="","",'Rent Roll'!C11)</f>
        <v>Sunfield Dental</v>
      </c>
      <c r="C11" s="24">
        <f>IF(ISNUMBER('Rent Roll'!E11),MAX(0,'Rent Roll'!E11),0)</f>
        <v>2500</v>
      </c>
      <c r="D11" s="88">
        <f>IF(a_GLA&gt;0,C11/a_GLA,0)</f>
        <v>0.04187604690117253</v>
      </c>
      <c r="E11" s="29">
        <f>IF(BC11=1,ROUND(BD11*(1+X11)^(F11/12),2),BD11)</f>
        <v>27</v>
      </c>
      <c r="F11" s="24">
        <f>IF(C11&gt;0,MAX(0,(YEAR(IF(ISNUMBER('Rent Roll'!G11),'Rent Roll'!G11,0))-YEAR(in_AnalysisStart))*12+MONTH(IF(ISNUMBER('Rent Roll'!G11),'Rent Roll'!G11,0))-MONTH(in_AnalysisStart)),0)</f>
        <v>0</v>
      </c>
      <c r="G11" s="24">
        <f>IF(C11&gt;0,MAX(0,(YEAR(IF(ISNUMBER('Rent Roll'!H11),'Rent Roll'!H11,0))-YEAR(in_AnalysisStart))*12+MONTH(IF(ISNUMBER('Rent Roll'!H11),'Rent Roll'!H11,0))-MONTH(in_AnalysisStart)+1-F11),0)</f>
        <v>62</v>
      </c>
      <c r="H11" s="24">
        <f>IF(ISNUMBER('Rent Roll'!N11),'Rent Roll'!N11,0)</f>
        <v>0</v>
      </c>
      <c r="I11" s="88">
        <f>IF(ISNUMBER('Rent Roll'!L11),'Rent Roll'!L11,0)</f>
        <v>0</v>
      </c>
      <c r="J11" s="24">
        <f>MAX(1,ROUND(IF(ISNUMBER('Rent Roll'!M11),'Rent Roll'!M11,0),0))</f>
        <v>1</v>
      </c>
      <c r="K11" s="29">
        <f>IF(ISNUMBER('Rent Roll'!AJ11),'Rent Roll'!AJ11,0)</f>
        <v>12</v>
      </c>
      <c r="L11" s="88">
        <f>IF(IF(ISNUMBER('Rent Roll'!AK11),'Rent Roll'!AK11,0)&gt;0,'Rent Roll'!AK11,a_LeaseUpLC)</f>
        <v>0.05</v>
      </c>
      <c r="M11" s="24">
        <f>IF('Rent Roll'!R11="",0,IFERROR(MATCH('Rent Roll'!R11,a_PName,0),0))</f>
        <v>2</v>
      </c>
      <c r="N11" s="24">
        <f>IF(M11&gt;0,1,0)</f>
        <v>1</v>
      </c>
      <c r="O11" s="29">
        <f>IF(IF(ISNUMBER('Rent Roll'!S11),'Rent Roll'!S11,0)&gt;0,'Rent Roll'!S11,IF(M11&gt;0,IF(ISNUMBER(INDEX(a_PRent,M11)),INDEX(a_PRent,M11),0),0))</f>
        <v>18.5</v>
      </c>
      <c r="P11" s="24">
        <f>IF(M11&gt;0,IF(ISNUMBER(INDEX(a_PDown,M11)),INDEX(a_PDown,M11),0),0)</f>
        <v>6</v>
      </c>
      <c r="Q11" s="24">
        <f>IF(M11&gt;0,MAX(1,IF(ISNUMBER(INDEX(a_PTerm,M11)),INDEX(a_PTerm,M11),0)),5)</f>
        <v>7.25</v>
      </c>
      <c r="R11" s="29">
        <f>IF(M11&gt;0,IF(ISNUMBER(INDEX(a_PTiNew,M11)),INDEX(a_PTiNew,M11),0),0)</f>
        <v>15</v>
      </c>
      <c r="S11" s="29">
        <f>IF(M11&gt;0,IF(ISNUMBER(INDEX(a_PTiRen,M11)),INDEX(a_PTiRen,M11),0),0)</f>
        <v>5</v>
      </c>
      <c r="T11" s="88">
        <f>IF(M11&gt;0,IF(ISNUMBER(INDEX(a_PLcNew,M11)),INDEX(a_PLcNew,M11),0),0)</f>
        <v>0.05</v>
      </c>
      <c r="U11" s="88">
        <f>IF(M11&gt;0,IF(ISNUMBER(INDEX(a_PLcRen,M11)),INDEX(a_PLcRen,M11),0),0)</f>
        <v>0.02</v>
      </c>
      <c r="V11" s="88">
        <f>IF(M11&gt;0,IF(ISNUMBER(INDEX(a_PBump,M11)),INDEX(a_PBump,M11),0),0)</f>
        <v>0.03</v>
      </c>
      <c r="W11" s="24">
        <f>MAX(1,ROUND(IF(M11&gt;0,IF(ISNUMBER(INDEX(a_PEvery,M11)),INDEX(a_PEvery,M11),0),1),0))</f>
        <v>1</v>
      </c>
      <c r="X11" s="88">
        <f>IF(M11&gt;0,IF(ISNUMBER(INDEX(a_PGrow,M11)),INDEX(a_PGrow,M11),in_RentGrowth),in_RentGrowth)</f>
        <v>0.03</v>
      </c>
      <c r="Y11" s="24">
        <f>IF(M11&gt;0,IF(ISNUMBER(INDEX(a_PFreeNew,M11)),INDEX(a_PFreeNew,M11),0),0)</f>
        <v>3</v>
      </c>
      <c r="Z11" s="24">
        <f>IF(M11&gt;0,IF(ISNUMBER(INDEX(a_PFreeRen,M11)),INDEX(a_PFreeRen,M11),0),0)</f>
        <v>0</v>
      </c>
      <c r="AA11" s="88">
        <f>IF(M11&gt;0,IF(ISNUMBER(INDEX(a_PRenPct,M11)),INDEX(a_PRenPct,M11),1),1)</f>
        <v>1</v>
      </c>
      <c r="AB11" s="24">
        <f>IF(M11&gt;0,IF(ISNUMBER(INDEX(a_PAF,M11)),INDEX(a_PAF,M11),0),0)</f>
        <v>8.89233604625388</v>
      </c>
      <c r="AC11" s="88">
        <f>IF(ISNUMBER('Rent Roll'!V11),'Rent Roll'!V11,IF(M11&gt;0,IF(ISNUMBER(INDEX(a_PRenew,M11)),INDEX(a_PRenew,M11),0),0.8))</f>
        <v>0.8</v>
      </c>
      <c r="AD11" s="23" t="str">
        <f>IF('Rent Roll'!W11="","Probability",'Rent Roll'!W11)</f>
        <v>Probability</v>
      </c>
      <c r="AE11" s="88">
        <f>IF(AD11="Renew",1,IF(AD11="Vacate",0,AC11))</f>
        <v>0.8</v>
      </c>
      <c r="AF11" s="88">
        <f>IF(AD11="Renew",1,IF(ISNUMBER('Rent Roll'!AA11),'Rent Roll'!AA11,AC11))</f>
        <v>0.8</v>
      </c>
      <c r="AG11" s="24">
        <f>IF(AND(N11=1,IF(ISNUMBER('Rent Roll'!Y11),'Rent Roll'!Y11,0)&gt;0,IF(ISNUMBER('Rent Roll'!Z11),'Rent Roll'!Z11,0)&gt;0,AF11&gt;0,AD11&lt;&gt;"Vacate",C11&gt;0),1,0)</f>
        <v>0</v>
      </c>
      <c r="AH11" s="24">
        <f>ROUND(12*IF(ISNUMBER('Rent Roll'!Y11),'Rent Roll'!Y11,0),0)</f>
        <v>0</v>
      </c>
      <c r="AI11" s="29">
        <f>IF(ISNUMBER('Rent Roll'!Z11),'Rent Roll'!Z11,0)</f>
        <v>0</v>
      </c>
      <c r="AJ11" s="24">
        <f>IF('Rent Roll'!P11="Base year",1,0)</f>
        <v>0</v>
      </c>
      <c r="AK11" s="88">
        <f>IF(ISNUMBER('Rent Roll'!Q11),'Rent Roll'!Q11,0)</f>
        <v>0</v>
      </c>
      <c r="AL11" s="24">
        <f>IF(AND('Rent Roll'!AH11="Yes",a_AnchorInVac&lt;&gt;"Yes"),1,0)</f>
        <v>0</v>
      </c>
      <c r="AM11" s="29">
        <f>IF(ISNUMBER('Rent Roll'!AL11),'Rent Roll'!AL11,0)</f>
        <v>0</v>
      </c>
      <c r="AN11" s="88">
        <f>IF(ISNUMBER('Rent Roll'!AM11),'Rent Roll'!AM11,0)</f>
        <v>0</v>
      </c>
      <c r="AO11" s="88">
        <f>IF(AND(BC11=1,N11=1),V11,I11)</f>
        <v>0</v>
      </c>
      <c r="AP11" s="24">
        <f>IF(AND(BC11=1,N11=1),W11,J11)</f>
        <v>1</v>
      </c>
      <c r="AQ11" s="24">
        <f>IF(AO11=0,G11/12,AP11*((1+AO11)^INT(INT(G11/12)/AP11)-1)/AO11+(INT(G11/12)-INT(INT(G11/12)/AP11)*AP11)*(1+AO11)^INT(INT(G11/12)/AP11)+(G11/12-INT(G11/12))*(1+AO11)^INT(INT(G11/12)/AP11))</f>
        <v>5.166666666666667</v>
      </c>
      <c r="AR11" s="24">
        <f>IF(AND(C11&gt;0,BU11&lt;9999,BU11&gt;0),INT((BU11-1)/12)+1,0)</f>
        <v>6</v>
      </c>
      <c r="AS11" s="24">
        <f>COUNTIF('Lease Cycles'!$BG$11:$BM$11,"&lt;132")</f>
        <v>3</v>
      </c>
      <c r="AT11" s="24">
        <f>IF(AND(ISNUMBER('Rent Roll'!AR11),IF(ISNUMBER('Rent Roll'!AS11),'Rent Roll'!AS11,0)&gt;0),(YEAR('Rent Roll'!AR11)-YEAR(in_AnalysisStart))*12+MONTH('Rent Roll'!AR11)-MONTH(in_AnalysisStart),9999)</f>
        <v>9999</v>
      </c>
      <c r="AU11" s="29">
        <f>IF(ISNUMBER('Rent Roll'!AS11),'Rent Roll'!AS11,0)</f>
        <v>0</v>
      </c>
      <c r="AV11" s="24">
        <f>IF(AND(ISNUMBER('Rent Roll'!AT11),IF(ISNUMBER('Rent Roll'!AU11),'Rent Roll'!AU11,0)&gt;0),(YEAR('Rent Roll'!AT11)-YEAR(in_AnalysisStart))*12+MONTH('Rent Roll'!AT11)-MONTH(in_AnalysisStart),9999)</f>
        <v>9999</v>
      </c>
      <c r="AW11" s="29">
        <f>IF(ISNUMBER('Rent Roll'!AU11),'Rent Roll'!AU11,0)</f>
        <v>0</v>
      </c>
      <c r="AX11" s="24">
        <f>IF(AND(ISNUMBER('Rent Roll'!AV11),IF(ISNUMBER('Rent Roll'!AW11),'Rent Roll'!AW11,0)&gt;0),(YEAR('Rent Roll'!AV11)-YEAR(in_AnalysisStart))*12+MONTH('Rent Roll'!AV11)-MONTH(in_AnalysisStart),9999)</f>
        <v>9999</v>
      </c>
      <c r="AY11" s="29">
        <f>IF(ISNUMBER('Rent Roll'!AW11),'Rent Roll'!AW11,0)</f>
        <v>0</v>
      </c>
      <c r="AZ11" s="24">
        <f>IF(AND(ISNUMBER('Rent Roll'!AX11),IF(ISNUMBER('Rent Roll'!AY11),'Rent Roll'!AY11,0)&gt;0),(YEAR('Rent Roll'!AX11)-YEAR(in_AnalysisStart))*12+MONTH('Rent Roll'!AX11)-MONTH(in_AnalysisStart),9999)</f>
        <v>9999</v>
      </c>
      <c r="BA11" s="29">
        <f>IF(ISNUMBER('Rent Roll'!AY11),'Rent Roll'!AY11,0)</f>
        <v>0</v>
      </c>
      <c r="BB11" s="29">
        <f>IF(BU11&gt;=9999,O11,O11*(1+X11)^((BU11-F11)/12))</f>
        <v>21.552486879495373</v>
      </c>
      <c r="BC11" s="24">
        <f>IF(AND('Rent Roll'!AZ11="Yes",F11&gt;0,BD11&gt;0,AT11&gt;=9999),1,0)</f>
        <v>0</v>
      </c>
      <c r="BD11" s="29">
        <f>IF(ISNUMBER('Rent Roll'!I11),'Rent Roll'!I11,0)</f>
        <v>27</v>
      </c>
      <c r="BE11" s="24">
        <f>IF(a_MarketRecovery="Base year",1,0)</f>
        <v>0</v>
      </c>
      <c r="BG11" s="24">
        <f>IF(C11&gt;0,F11,9999)</f>
        <v>0</v>
      </c>
      <c r="BH11" s="24">
        <f>BU11</f>
        <v>62</v>
      </c>
      <c r="BI11" s="24">
        <f>IF(OR(N11=0,BV11&gt;=9999),9999,IF(AG11=1,BV11,INT(BV11+IP11)))</f>
        <v>63</v>
      </c>
      <c r="BJ11" s="24">
        <f>IF(OR(N11=0,BW11&gt;=9999),9999,INT(BW11+IQ11))</f>
        <v>151</v>
      </c>
      <c r="BK11" s="24">
        <f>IF(OR(N11=0,BX11&gt;=9999),9999,INT(BX11+IR11))</f>
        <v>239</v>
      </c>
      <c r="BL11" s="24">
        <f>IF(OR(N11=0,BY11&gt;=9999),9999,INT(BY11+IS11))</f>
        <v>327</v>
      </c>
      <c r="BM11" s="24">
        <f>IF(OR(N11=0,BZ11&gt;=9999),9999,INT(BZ11+IT11))</f>
        <v>415</v>
      </c>
      <c r="BN11" s="24">
        <f>G11</f>
        <v>62</v>
      </c>
      <c r="BO11" s="24">
        <f>IF(AG11=1,AH11,0)</f>
        <v>0</v>
      </c>
      <c r="BP11" s="24">
        <f>MAX(12,ROUND(12*Q11,0))</f>
        <v>87</v>
      </c>
      <c r="BQ11" s="24">
        <f>MAX(12,ROUND(12*Q11,0))</f>
        <v>87</v>
      </c>
      <c r="BR11" s="24">
        <f>MAX(12,ROUND(12*Q11,0))</f>
        <v>87</v>
      </c>
      <c r="BS11" s="24">
        <f>MAX(12,ROUND(12*Q11,0))</f>
        <v>87</v>
      </c>
      <c r="BT11" s="24">
        <f>MAX(12,ROUND(12*Q11,0))</f>
        <v>87</v>
      </c>
      <c r="BU11" s="24">
        <f>BG11+BN11</f>
        <v>62</v>
      </c>
      <c r="BV11" s="24">
        <f>BH11+BO11</f>
        <v>62</v>
      </c>
      <c r="BW11" s="24">
        <f>IF(BI11&gt;=9999,9999,BI11+BP11)</f>
        <v>150</v>
      </c>
      <c r="BX11" s="24">
        <f>IF(BJ11&gt;=9999,9999,BJ11+BQ11)</f>
        <v>238</v>
      </c>
      <c r="BY11" s="24">
        <f>IF(BK11&gt;=9999,9999,BK11+BR11)</f>
        <v>326</v>
      </c>
      <c r="BZ11" s="24">
        <f>IF(BL11&gt;=9999,9999,BL11+BS11)</f>
        <v>414</v>
      </c>
      <c r="CA11" s="24">
        <f>IF(BM11&gt;=9999,9999,BM11+BT11)</f>
        <v>502</v>
      </c>
      <c r="CB11" s="24">
        <f>E11</f>
        <v>27</v>
      </c>
      <c r="CC11" s="24">
        <f>AI11</f>
        <v>0</v>
      </c>
      <c r="CD11" s="24">
        <f>IF(BI11&gt;=9999,0,O11*(1+X11)^((BI11-F11)/12)*(AA11*II11+1-II11))</f>
        <v>21.605641126404244</v>
      </c>
      <c r="CE11" s="24">
        <f>IF(BJ11&gt;=9999,0,O11*(1+X11)^((BJ11-F11)/12)*(AA11*IJ11+1-IJ11))</f>
        <v>26.83532169977197</v>
      </c>
      <c r="CF11" s="24">
        <f>IF(BK11&gt;=9999,0,O11*(1+X11)^((BK11-F11)/12)*(AA11*IK11+1-IK11))</f>
        <v>33.33085496130806</v>
      </c>
      <c r="CG11" s="24">
        <f>IF(BL11&gt;=9999,0,O11*(1+X11)^((BL11-F11)/12)*(AA11*IL11+1-IL11))</f>
        <v>41.398642612925876</v>
      </c>
      <c r="CH11" s="24">
        <f>IF(BM11&gt;=9999,0,O11*(1+X11)^((BM11-F11)/12)*(AA11*IM11+1-IM11))</f>
        <v>51.419251386808796</v>
      </c>
      <c r="CI11" s="24">
        <f>AO11</f>
        <v>0</v>
      </c>
      <c r="CJ11" s="24">
        <f>I11</f>
        <v>0</v>
      </c>
      <c r="CK11" s="24">
        <f>V11</f>
        <v>0.03</v>
      </c>
      <c r="CL11" s="24">
        <f>V11</f>
        <v>0.03</v>
      </c>
      <c r="CM11" s="24">
        <f>V11</f>
        <v>0.03</v>
      </c>
      <c r="CN11" s="24">
        <f>V11</f>
        <v>0.03</v>
      </c>
      <c r="CO11" s="24">
        <f>V11</f>
        <v>0.03</v>
      </c>
      <c r="CP11" s="24">
        <f>AP11</f>
        <v>1</v>
      </c>
      <c r="CQ11" s="24">
        <f>J11</f>
        <v>1</v>
      </c>
      <c r="CR11" s="24">
        <f>W11</f>
        <v>1</v>
      </c>
      <c r="CS11" s="24">
        <f>W11</f>
        <v>1</v>
      </c>
      <c r="CT11" s="24">
        <f>W11</f>
        <v>1</v>
      </c>
      <c r="CU11" s="24">
        <f>W11</f>
        <v>1</v>
      </c>
      <c r="CV11" s="24">
        <f>W11</f>
        <v>1</v>
      </c>
      <c r="CW11" s="24">
        <f>H11</f>
        <v>0</v>
      </c>
      <c r="CX11" s="24">
        <v>0</v>
      </c>
      <c r="CY11" s="24">
        <f>Y11*(1-II11)+Z11*II11</f>
        <v>0.5999999999999999</v>
      </c>
      <c r="CZ11" s="24">
        <f>Y11*(1-IJ11)+Z11*IJ11</f>
        <v>0.5999999999999999</v>
      </c>
      <c r="DA11" s="24">
        <f>Y11*(1-IK11)+Z11*IK11</f>
        <v>0.5999999999999999</v>
      </c>
      <c r="DB11" s="24">
        <f>Y11*(1-IL11)+Z11*IL11</f>
        <v>0.5999999999999999</v>
      </c>
      <c r="DC11" s="24">
        <f>Y11*(1-IM11)+Z11*IM11</f>
        <v>0.5999999999999999</v>
      </c>
      <c r="DD11" s="24">
        <v>0</v>
      </c>
      <c r="DE11" s="24">
        <v>0</v>
      </c>
      <c r="DF11" s="24">
        <f>IF(BI11&gt;=9999,0,IF(AG11=1,0,BV11+IP11-BI11))</f>
        <v>0.20000000000000284</v>
      </c>
      <c r="DG11" s="24">
        <f>IF(BJ11&gt;=9999,0,BW11+IQ11-BJ11)</f>
        <v>0.19999999999998863</v>
      </c>
      <c r="DH11" s="24">
        <f>IF(BK11&gt;=9999,0,BX11+IR11-BK11)</f>
        <v>0.19999999999998863</v>
      </c>
      <c r="DI11" s="24">
        <f>IF(BL11&gt;=9999,0,BY11+IS11-BL11)</f>
        <v>0.19999999999998863</v>
      </c>
      <c r="DJ11" s="24">
        <f>IF(BM11&gt;=9999,0,BZ11+IT11-BM11)</f>
        <v>0.19999999999998863</v>
      </c>
      <c r="DK11" s="24">
        <f>INT(CW11+DD11)</f>
        <v>0</v>
      </c>
      <c r="DL11" s="24">
        <v>0</v>
      </c>
      <c r="DM11" s="24">
        <f>INT(CY11+DF11)</f>
        <v>0</v>
      </c>
      <c r="DN11" s="24">
        <f>INT(CZ11+DG11)</f>
        <v>0</v>
      </c>
      <c r="DO11" s="24">
        <f>INT(DA11+DH11)</f>
        <v>0</v>
      </c>
      <c r="DP11" s="24">
        <f>INT(DB11+DI11)</f>
        <v>0</v>
      </c>
      <c r="DQ11" s="24">
        <f>INT(DC11+DJ11)</f>
        <v>0</v>
      </c>
      <c r="DR11" s="24">
        <f>CW11+DD11-DK11</f>
        <v>0</v>
      </c>
      <c r="DS11" s="24">
        <v>0</v>
      </c>
      <c r="DT11" s="24">
        <f>CY11+DF11-DM11</f>
        <v>0.8000000000000027</v>
      </c>
      <c r="DU11" s="24">
        <f>CZ11+DG11-DN11</f>
        <v>0.7999999999999885</v>
      </c>
      <c r="DV11" s="24">
        <f>DA11+DH11-DO11</f>
        <v>0.7999999999999885</v>
      </c>
      <c r="DW11" s="24">
        <f>DB11+DI11-DP11</f>
        <v>0.7999999999999885</v>
      </c>
      <c r="DX11" s="24">
        <f>DC11+DJ11-DQ11</f>
        <v>0.7999999999999885</v>
      </c>
      <c r="DY11" s="24">
        <v>1</v>
      </c>
      <c r="DZ11" s="24">
        <v>1</v>
      </c>
      <c r="EA11" s="24">
        <v>0</v>
      </c>
      <c r="EB11" s="24">
        <v>0</v>
      </c>
      <c r="EC11" s="24">
        <v>0</v>
      </c>
      <c r="ED11" s="24">
        <v>0</v>
      </c>
      <c r="EE11" s="24">
        <v>0</v>
      </c>
      <c r="EF11" s="24">
        <v>0</v>
      </c>
      <c r="EG11" s="24">
        <f>IF(AG11=1,1,2)</f>
        <v>2</v>
      </c>
      <c r="EH11" s="24">
        <v>0</v>
      </c>
      <c r="EI11" s="24">
        <v>0</v>
      </c>
      <c r="EJ11" s="24">
        <v>0</v>
      </c>
      <c r="EK11" s="24">
        <v>0</v>
      </c>
      <c r="EL11" s="24">
        <v>0</v>
      </c>
      <c r="EM11" s="24">
        <v>1</v>
      </c>
      <c r="EN11" s="24">
        <f>IF(AG11=1,AF11,1)</f>
        <v>1</v>
      </c>
      <c r="EO11" s="24">
        <v>1</v>
      </c>
      <c r="EP11" s="24">
        <v>1</v>
      </c>
      <c r="EQ11" s="24">
        <v>1</v>
      </c>
      <c r="ER11" s="24">
        <v>1</v>
      </c>
      <c r="ES11" s="24">
        <v>1</v>
      </c>
      <c r="ET11" s="24">
        <v>0</v>
      </c>
      <c r="EU11" s="24">
        <f>BB11</f>
        <v>21.552486879495373</v>
      </c>
      <c r="EV11" s="24">
        <v>0</v>
      </c>
      <c r="EW11" s="24">
        <v>0</v>
      </c>
      <c r="EX11" s="24">
        <v>0</v>
      </c>
      <c r="EY11" s="24">
        <v>0</v>
      </c>
      <c r="EZ11" s="24">
        <v>0</v>
      </c>
      <c r="FA11" s="24">
        <v>0</v>
      </c>
      <c r="FB11" s="24">
        <f>ROUND(P11,0)</f>
        <v>6</v>
      </c>
      <c r="FC11" s="24">
        <v>0</v>
      </c>
      <c r="FD11" s="24">
        <v>0</v>
      </c>
      <c r="FE11" s="24">
        <v>0</v>
      </c>
      <c r="FF11" s="24">
        <v>0</v>
      </c>
      <c r="FG11" s="24">
        <v>0</v>
      </c>
      <c r="FH11" s="24">
        <f>AK11</f>
        <v>0</v>
      </c>
      <c r="FI11" s="24">
        <f>IF(AG11=1,AK11*AF11,FH11)</f>
        <v>0</v>
      </c>
      <c r="FJ11" s="24">
        <f>FI11*II11</f>
        <v>0</v>
      </c>
      <c r="FK11" s="24">
        <f>FJ11*IJ11</f>
        <v>0</v>
      </c>
      <c r="FL11" s="24">
        <f>FK11*IK11</f>
        <v>0</v>
      </c>
      <c r="FM11" s="24">
        <f>FL11*IL11</f>
        <v>0</v>
      </c>
      <c r="FN11" s="24">
        <f>FM11*IM11</f>
        <v>0</v>
      </c>
      <c r="FO11" s="24">
        <v>1</v>
      </c>
      <c r="FP11" s="24">
        <f>FV11</f>
        <v>1</v>
      </c>
      <c r="FQ11" s="24">
        <f>FW11*II11</f>
        <v>0.8</v>
      </c>
      <c r="FR11" s="24">
        <f>FX11*IJ11</f>
        <v>0.6400000000000001</v>
      </c>
      <c r="FS11" s="24">
        <f>FY11*IK11</f>
        <v>0.5120000000000001</v>
      </c>
      <c r="FT11" s="24">
        <f>FZ11*IL11</f>
        <v>0.40960000000000013</v>
      </c>
      <c r="FU11" s="24">
        <f>GA11*IM11</f>
        <v>0.32768000000000014</v>
      </c>
      <c r="FV11" s="24">
        <v>1</v>
      </c>
      <c r="FW11" s="24">
        <f>IF(AG11=1,FP11*AF11,FV11)</f>
        <v>1</v>
      </c>
      <c r="FX11" s="24">
        <f>FQ11</f>
        <v>0.8</v>
      </c>
      <c r="FY11" s="24">
        <f>FR11</f>
        <v>0.6400000000000001</v>
      </c>
      <c r="FZ11" s="24">
        <f>FS11</f>
        <v>0.5120000000000001</v>
      </c>
      <c r="GA11" s="24">
        <f>FT11</f>
        <v>0.40960000000000013</v>
      </c>
      <c r="GB11" s="24">
        <f>FU11</f>
        <v>0.32768000000000014</v>
      </c>
      <c r="GC11" s="24">
        <v>0</v>
      </c>
      <c r="GD11" s="24">
        <f>GC11</f>
        <v>0</v>
      </c>
      <c r="GE11" s="24">
        <f>IF(BI11&gt;=9999,0,INT(BI11/12))</f>
        <v>5</v>
      </c>
      <c r="GF11" s="24">
        <f>IF(BJ11&gt;=9999,0,INT(BJ11/12))</f>
        <v>12</v>
      </c>
      <c r="GG11" s="24">
        <f>IF(BK11&gt;=9999,0,INT(BK11/12))</f>
        <v>19</v>
      </c>
      <c r="GH11" s="24">
        <f>IF(BL11&gt;=9999,0,INT(BL11/12))</f>
        <v>27</v>
      </c>
      <c r="GI11" s="24">
        <f>IF(BM11&gt;=9999,0,INT(BM11/12))</f>
        <v>34</v>
      </c>
      <c r="GJ11" s="24">
        <f>BG11</f>
        <v>0</v>
      </c>
      <c r="GK11" s="24">
        <f>IF(AG11=1,BH11,GJ11)</f>
        <v>0</v>
      </c>
      <c r="GL11" s="24">
        <f>BI11</f>
        <v>63</v>
      </c>
      <c r="GM11" s="24">
        <f>BJ11</f>
        <v>151</v>
      </c>
      <c r="GN11" s="24">
        <f>BK11</f>
        <v>239</v>
      </c>
      <c r="GO11" s="24">
        <f>BL11</f>
        <v>327</v>
      </c>
      <c r="GP11" s="24">
        <f>BM11</f>
        <v>415</v>
      </c>
      <c r="GQ11" s="24">
        <f>CI11</f>
        <v>0</v>
      </c>
      <c r="GR11" s="24">
        <f>IF(AG11=1,I11,GQ11)</f>
        <v>0</v>
      </c>
      <c r="GS11" s="24">
        <f>V11</f>
        <v>0.03</v>
      </c>
      <c r="GT11" s="24">
        <f>V11</f>
        <v>0.03</v>
      </c>
      <c r="GU11" s="24">
        <f>V11</f>
        <v>0.03</v>
      </c>
      <c r="GV11" s="24">
        <f>V11</f>
        <v>0.03</v>
      </c>
      <c r="GW11" s="24">
        <f>V11</f>
        <v>0.03</v>
      </c>
      <c r="GX11" s="24">
        <f>CP11</f>
        <v>1</v>
      </c>
      <c r="GY11" s="24">
        <f>IF(AG11=1,J11,GX11)</f>
        <v>1</v>
      </c>
      <c r="GZ11" s="24">
        <f>W11</f>
        <v>1</v>
      </c>
      <c r="HA11" s="24">
        <f>W11</f>
        <v>1</v>
      </c>
      <c r="HB11" s="24">
        <f>W11</f>
        <v>1</v>
      </c>
      <c r="HC11" s="24">
        <f>W11</f>
        <v>1</v>
      </c>
      <c r="HD11" s="24">
        <f>W11</f>
        <v>1</v>
      </c>
      <c r="HE11" s="24">
        <f>IF(BU11&gt;=9999,1,(1+X11)^(BU11/12))</f>
        <v>1.1649992907835336</v>
      </c>
      <c r="HF11" s="24">
        <f>IF(AG11=1,IF(BV11&gt;=9999,1,(1+X11)^(BV11/12)),HE11)</f>
        <v>1.1649992907835336</v>
      </c>
      <c r="HG11" s="24">
        <f>IF(BW11&gt;=9999,1,(1+X11)^(BW11/12))</f>
        <v>1.4469892638351594</v>
      </c>
      <c r="HH11" s="24">
        <f>IF(BX11&gt;=9999,1,(1+X11)^(BX11/12))</f>
        <v>1.7972353684833762</v>
      </c>
      <c r="HI11" s="24">
        <f>IF(BY11&gt;=9999,1,(1+X11)^(BY11/12))</f>
        <v>2.2322591123907225</v>
      </c>
      <c r="HJ11" s="24">
        <f>IF(BZ11&gt;=9999,1,(1+X11)^(BZ11/12))</f>
        <v>2.7725810610195025</v>
      </c>
      <c r="HK11" s="24">
        <f>IF(CA11&gt;=9999,1,(1+X11)^(CA11/12))</f>
        <v>3.4436888160761616</v>
      </c>
      <c r="HL11" s="24">
        <f>IF(AND(F11&gt;0,C11&gt;0),F11,-1)</f>
        <v>-1</v>
      </c>
      <c r="HM11" s="24">
        <f>IF(AG11=1,BU11+FB11,-1)</f>
        <v>-1</v>
      </c>
      <c r="HN11" s="24">
        <f>IF(BI11&gt;=9999,-1,BV11+ROUND(IP11,0))</f>
        <v>63</v>
      </c>
      <c r="HO11" s="24">
        <f>IF(BJ11&gt;=9999,-1,IF(HN11&lt;0,BW11,HN11+BP11)+ROUND(IQ11,0))</f>
        <v>151</v>
      </c>
      <c r="HP11" s="24">
        <f>IF(BK11&gt;=9999,-1,IF(HO11&lt;0,BX11,HO11+BQ11)+ROUND(IR11,0))</f>
        <v>239</v>
      </c>
      <c r="HQ11" s="24">
        <f>IF(BL11&gt;=9999,-1,IF(HP11&lt;0,BY11,HP11+BR11)+ROUND(IS11,0))</f>
        <v>327</v>
      </c>
      <c r="HR11" s="24">
        <f>IF(BM11&gt;=9999,-1,IF(HQ11&lt;0,BZ11,HQ11+BS11)+ROUND(IT11,0))</f>
        <v>415</v>
      </c>
      <c r="HS11" s="24">
        <f>IF(HL11&lt;0,0,C11*K11)</f>
        <v>0</v>
      </c>
      <c r="HT11" s="24">
        <f>IF(AG11=1,C11*R11*(1+in_ExpenseGrowth)^(HM11/12)*(1-AF11),0)</f>
        <v>0</v>
      </c>
      <c r="HU11" s="24">
        <f>IF(HN11&lt;0,0,C11*(S11*II11+R11*(1-II11))*(1+in_ExpenseGrowth)^(HN11/12))</f>
        <v>19417.304911857464</v>
      </c>
      <c r="HV11" s="24">
        <f>IF(HO11&lt;0,0,C11*(S11*IJ11+R11*(1-IJ11))*(1+in_ExpenseGrowth)^(HO11/12))</f>
        <v>22452.095286335505</v>
      </c>
      <c r="HW11" s="24">
        <f>IF(HP11&lt;0,0,C11*(S11*IK11+R11*(1-IK11))*(1+in_ExpenseGrowth)^(HP11/12))</f>
        <v>25961.202393173277</v>
      </c>
      <c r="HX11" s="24">
        <f>IF(HQ11&lt;0,0,C11*(S11*IL11+R11*(1-IL11))*(1+in_ExpenseGrowth)^(HQ11/12))</f>
        <v>30018.758654988287</v>
      </c>
      <c r="HY11" s="24">
        <f>IF(HR11&lt;0,0,C11*(S11*IM11+R11*(1-IM11))*(1+in_ExpenseGrowth)^(HR11/12))</f>
        <v>34710.48287899767</v>
      </c>
      <c r="HZ11" s="24">
        <f>IF(HL11&lt;0,0,L11*C11*E11*AQ11)</f>
        <v>0</v>
      </c>
      <c r="IA11" s="24">
        <f>IF(AG11=1,T11*C11*O11*(1+X11)^(MAX(0,HM11-F11)/12)*AB11*(1-AF11),0)</f>
        <v>0</v>
      </c>
      <c r="IB11" s="24">
        <f>IF(HN11&lt;0,0,(U11*II11+T11*(1-II11))*C11*O11*(1+X11)^(MAX(0,HN11-F11)/12)*(AA11*II11+1-II11)*AB11)</f>
        <v>12488.100390398731</v>
      </c>
      <c r="IC11" s="24">
        <f>IF(HO11&lt;0,0,(U11*IJ11+T11*(1-IJ11))*C11*O11*(1+X11)^(MAX(0,HO11-F11)/12)*(AA11*IJ11+1-IJ11)*AB11)</f>
        <v>15510.86540014058</v>
      </c>
      <c r="ID11" s="24">
        <f>IF(HP11&lt;0,0,(U11*IK11+T11*(1-IK11))*C11*O11*(1+X11)^(MAX(0,HP11-F11)/12)*(AA11*IK11+1-IK11)*AB11)</f>
        <v>19265.295596618475</v>
      </c>
      <c r="IE11" s="24">
        <f>IF(HQ11&lt;0,0,(U11*IL11+T11*(1-IL11))*C11*O11*(1+X11)^(MAX(0,HQ11-F11)/12)*(AA11*IL11+1-IL11)*AB11)</f>
        <v>23928.49172823867</v>
      </c>
      <c r="IF11" s="24">
        <f>IF(HR11&lt;0,0,(U11*IM11+T11*(1-IM11))*C11*O11*(1+X11)^(MAX(0,HR11-F11)/12)*(AA11*IM11+1-IM11)*AB11)</f>
        <v>29720.42206759012</v>
      </c>
      <c r="IG11" s="24">
        <v>1</v>
      </c>
      <c r="IH11" s="24">
        <f>IF(AG11=1,AF11,1)</f>
        <v>1</v>
      </c>
      <c r="II11" s="24">
        <f>IF(AG11=1,AC11,AE11)</f>
        <v>0.8</v>
      </c>
      <c r="IJ11" s="24">
        <f>AC11</f>
        <v>0.8</v>
      </c>
      <c r="IK11" s="24">
        <f>AC11</f>
        <v>0.8</v>
      </c>
      <c r="IL11" s="24">
        <f>AC11</f>
        <v>0.8</v>
      </c>
      <c r="IM11" s="24">
        <f>AC11</f>
        <v>0.8</v>
      </c>
      <c r="IN11" s="24">
        <v>0</v>
      </c>
      <c r="IO11" s="24">
        <f>P11</f>
        <v>6</v>
      </c>
      <c r="IP11" s="24">
        <f>P11*(1-II11)</f>
        <v>1.1999999999999997</v>
      </c>
      <c r="IQ11" s="24">
        <f>P11*(1-IJ11)</f>
        <v>1.1999999999999997</v>
      </c>
      <c r="IR11" s="24">
        <f>P11*(1-IK11)</f>
        <v>1.1999999999999997</v>
      </c>
      <c r="IS11" s="24">
        <f>P11*(1-IL11)</f>
        <v>1.1999999999999997</v>
      </c>
      <c r="IT11" s="24">
        <f>P11*(1-IM11)</f>
        <v>1.1999999999999997</v>
      </c>
    </row>
    <row r="12">
      <c r="A12" s="25">
        <v>5</v>
      </c>
      <c r="B12" s="23" t="str">
        <f>IF('Rent Roll'!C12="","",'Rent Roll'!C12)</f>
        <v>Sunfield Pizza</v>
      </c>
      <c r="C12" s="24">
        <f>IF(ISNUMBER('Rent Roll'!E12),MAX(0,'Rent Roll'!E12),0)</f>
        <v>2000</v>
      </c>
      <c r="D12" s="88">
        <f>IF(a_GLA&gt;0,C12/a_GLA,0)</f>
        <v>0.03350083752093802</v>
      </c>
      <c r="E12" s="29">
        <f>IF(BC12=1,ROUND(BD12*(1+X12)^(F12/12),2),BD12)</f>
        <v>30</v>
      </c>
      <c r="F12" s="24">
        <f>IF(C12&gt;0,MAX(0,(YEAR(IF(ISNUMBER('Rent Roll'!G12),'Rent Roll'!G12,0))-YEAR(in_AnalysisStart))*12+MONTH(IF(ISNUMBER('Rent Roll'!G12),'Rent Roll'!G12,0))-MONTH(in_AnalysisStart)),0)</f>
        <v>0</v>
      </c>
      <c r="G12" s="24">
        <f>IF(C12&gt;0,MAX(0,(YEAR(IF(ISNUMBER('Rent Roll'!H12),'Rent Roll'!H12,0))-YEAR(in_AnalysisStart))*12+MONTH(IF(ISNUMBER('Rent Roll'!H12),'Rent Roll'!H12,0))-MONTH(in_AnalysisStart)+1-F12),0)</f>
        <v>22</v>
      </c>
      <c r="H12" s="24">
        <f>IF(ISNUMBER('Rent Roll'!N12),'Rent Roll'!N12,0)</f>
        <v>0</v>
      </c>
      <c r="I12" s="88">
        <f>IF(ISNUMBER('Rent Roll'!L12),'Rent Roll'!L12,0)</f>
        <v>0</v>
      </c>
      <c r="J12" s="24">
        <f>MAX(1,ROUND(IF(ISNUMBER('Rent Roll'!M12),'Rent Roll'!M12,0),0))</f>
        <v>1</v>
      </c>
      <c r="K12" s="29">
        <f>IF(ISNUMBER('Rent Roll'!AJ12),'Rent Roll'!AJ12,0)</f>
        <v>12</v>
      </c>
      <c r="L12" s="88">
        <f>IF(IF(ISNUMBER('Rent Roll'!AK12),'Rent Roll'!AK12,0)&gt;0,'Rent Roll'!AK12,a_LeaseUpLC)</f>
        <v>0.05</v>
      </c>
      <c r="M12" s="24">
        <f>IF('Rent Roll'!R12="",0,IFERROR(MATCH('Rent Roll'!R12,a_PName,0),0))</f>
        <v>2</v>
      </c>
      <c r="N12" s="24">
        <f>IF(M12&gt;0,1,0)</f>
        <v>1</v>
      </c>
      <c r="O12" s="29">
        <f>IF(IF(ISNUMBER('Rent Roll'!S12),'Rent Roll'!S12,0)&gt;0,'Rent Roll'!S12,IF(M12&gt;0,IF(ISNUMBER(INDEX(a_PRent,M12)),INDEX(a_PRent,M12),0),0))</f>
        <v>18.5</v>
      </c>
      <c r="P12" s="24">
        <f>IF(M12&gt;0,IF(ISNUMBER(INDEX(a_PDown,M12)),INDEX(a_PDown,M12),0),0)</f>
        <v>6</v>
      </c>
      <c r="Q12" s="24">
        <f>IF(M12&gt;0,MAX(1,IF(ISNUMBER(INDEX(a_PTerm,M12)),INDEX(a_PTerm,M12),0)),5)</f>
        <v>7.25</v>
      </c>
      <c r="R12" s="29">
        <f>IF(M12&gt;0,IF(ISNUMBER(INDEX(a_PTiNew,M12)),INDEX(a_PTiNew,M12),0),0)</f>
        <v>15</v>
      </c>
      <c r="S12" s="29">
        <f>IF(M12&gt;0,IF(ISNUMBER(INDEX(a_PTiRen,M12)),INDEX(a_PTiRen,M12),0),0)</f>
        <v>5</v>
      </c>
      <c r="T12" s="88">
        <f>IF(M12&gt;0,IF(ISNUMBER(INDEX(a_PLcNew,M12)),INDEX(a_PLcNew,M12),0),0)</f>
        <v>0.05</v>
      </c>
      <c r="U12" s="88">
        <f>IF(M12&gt;0,IF(ISNUMBER(INDEX(a_PLcRen,M12)),INDEX(a_PLcRen,M12),0),0)</f>
        <v>0.02</v>
      </c>
      <c r="V12" s="88">
        <f>IF(M12&gt;0,IF(ISNUMBER(INDEX(a_PBump,M12)),INDEX(a_PBump,M12),0),0)</f>
        <v>0.03</v>
      </c>
      <c r="W12" s="24">
        <f>MAX(1,ROUND(IF(M12&gt;0,IF(ISNUMBER(INDEX(a_PEvery,M12)),INDEX(a_PEvery,M12),0),1),0))</f>
        <v>1</v>
      </c>
      <c r="X12" s="88">
        <f>IF(M12&gt;0,IF(ISNUMBER(INDEX(a_PGrow,M12)),INDEX(a_PGrow,M12),in_RentGrowth),in_RentGrowth)</f>
        <v>0.03</v>
      </c>
      <c r="Y12" s="24">
        <f>IF(M12&gt;0,IF(ISNUMBER(INDEX(a_PFreeNew,M12)),INDEX(a_PFreeNew,M12),0),0)</f>
        <v>3</v>
      </c>
      <c r="Z12" s="24">
        <f>IF(M12&gt;0,IF(ISNUMBER(INDEX(a_PFreeRen,M12)),INDEX(a_PFreeRen,M12),0),0)</f>
        <v>0</v>
      </c>
      <c r="AA12" s="88">
        <f>IF(M12&gt;0,IF(ISNUMBER(INDEX(a_PRenPct,M12)),INDEX(a_PRenPct,M12),1),1)</f>
        <v>1</v>
      </c>
      <c r="AB12" s="24">
        <f>IF(M12&gt;0,IF(ISNUMBER(INDEX(a_PAF,M12)),INDEX(a_PAF,M12),0),0)</f>
        <v>8.89233604625388</v>
      </c>
      <c r="AC12" s="88">
        <f>IF(ISNUMBER('Rent Roll'!V12),'Rent Roll'!V12,IF(M12&gt;0,IF(ISNUMBER(INDEX(a_PRenew,M12)),INDEX(a_PRenew,M12),0),0.8))</f>
        <v>0.8</v>
      </c>
      <c r="AD12" s="23" t="str">
        <f>IF('Rent Roll'!W12="","Probability",'Rent Roll'!W12)</f>
        <v>Probability</v>
      </c>
      <c r="AE12" s="88">
        <f>IF(AD12="Renew",1,IF(AD12="Vacate",0,AC12))</f>
        <v>0.8</v>
      </c>
      <c r="AF12" s="88">
        <f>IF(AD12="Renew",1,IF(ISNUMBER('Rent Roll'!AA12),'Rent Roll'!AA12,AC12))</f>
        <v>0.8</v>
      </c>
      <c r="AG12" s="24">
        <f>IF(AND(N12=1,IF(ISNUMBER('Rent Roll'!Y12),'Rent Roll'!Y12,0)&gt;0,IF(ISNUMBER('Rent Roll'!Z12),'Rent Roll'!Z12,0)&gt;0,AF12&gt;0,AD12&lt;&gt;"Vacate",C12&gt;0),1,0)</f>
        <v>0</v>
      </c>
      <c r="AH12" s="24">
        <f>ROUND(12*IF(ISNUMBER('Rent Roll'!Y12),'Rent Roll'!Y12,0),0)</f>
        <v>0</v>
      </c>
      <c r="AI12" s="29">
        <f>IF(ISNUMBER('Rent Roll'!Z12),'Rent Roll'!Z12,0)</f>
        <v>0</v>
      </c>
      <c r="AJ12" s="24">
        <f>IF('Rent Roll'!P12="Base year",1,0)</f>
        <v>0</v>
      </c>
      <c r="AK12" s="88">
        <f>IF(ISNUMBER('Rent Roll'!Q12),'Rent Roll'!Q12,0)</f>
        <v>0</v>
      </c>
      <c r="AL12" s="24">
        <f>IF(AND('Rent Roll'!AH12="Yes",a_AnchorInVac&lt;&gt;"Yes"),1,0)</f>
        <v>0</v>
      </c>
      <c r="AM12" s="29">
        <f>IF(ISNUMBER('Rent Roll'!AL12),'Rent Roll'!AL12,0)</f>
        <v>0</v>
      </c>
      <c r="AN12" s="88">
        <f>IF(ISNUMBER('Rent Roll'!AM12),'Rent Roll'!AM12,0)</f>
        <v>0</v>
      </c>
      <c r="AO12" s="88">
        <f>IF(AND(BC12=1,N12=1),V12,I12)</f>
        <v>0</v>
      </c>
      <c r="AP12" s="24">
        <f>IF(AND(BC12=1,N12=1),W12,J12)</f>
        <v>1</v>
      </c>
      <c r="AQ12" s="24">
        <f>IF(AO12=0,G12/12,AP12*((1+AO12)^INT(INT(G12/12)/AP12)-1)/AO12+(INT(G12/12)-INT(INT(G12/12)/AP12)*AP12)*(1+AO12)^INT(INT(G12/12)/AP12)+(G12/12-INT(G12/12))*(1+AO12)^INT(INT(G12/12)/AP12))</f>
        <v>1.8333333333333333</v>
      </c>
      <c r="AR12" s="24">
        <f>IF(AND(C12&gt;0,BU12&lt;9999,BU12&gt;0),INT((BU12-1)/12)+1,0)</f>
        <v>2</v>
      </c>
      <c r="AS12" s="24">
        <f>COUNTIF('Lease Cycles'!$BG$12:$BM$12,"&lt;132")</f>
        <v>4</v>
      </c>
      <c r="AT12" s="24">
        <f>IF(AND(ISNUMBER('Rent Roll'!AR12),IF(ISNUMBER('Rent Roll'!AS12),'Rent Roll'!AS12,0)&gt;0),(YEAR('Rent Roll'!AR12)-YEAR(in_AnalysisStart))*12+MONTH('Rent Roll'!AR12)-MONTH(in_AnalysisStart),9999)</f>
        <v>9999</v>
      </c>
      <c r="AU12" s="29">
        <f>IF(ISNUMBER('Rent Roll'!AS12),'Rent Roll'!AS12,0)</f>
        <v>0</v>
      </c>
      <c r="AV12" s="24">
        <f>IF(AND(ISNUMBER('Rent Roll'!AT12),IF(ISNUMBER('Rent Roll'!AU12),'Rent Roll'!AU12,0)&gt;0),(YEAR('Rent Roll'!AT12)-YEAR(in_AnalysisStart))*12+MONTH('Rent Roll'!AT12)-MONTH(in_AnalysisStart),9999)</f>
        <v>9999</v>
      </c>
      <c r="AW12" s="29">
        <f>IF(ISNUMBER('Rent Roll'!AU12),'Rent Roll'!AU12,0)</f>
        <v>0</v>
      </c>
      <c r="AX12" s="24">
        <f>IF(AND(ISNUMBER('Rent Roll'!AV12),IF(ISNUMBER('Rent Roll'!AW12),'Rent Roll'!AW12,0)&gt;0),(YEAR('Rent Roll'!AV12)-YEAR(in_AnalysisStart))*12+MONTH('Rent Roll'!AV12)-MONTH(in_AnalysisStart),9999)</f>
        <v>9999</v>
      </c>
      <c r="AY12" s="29">
        <f>IF(ISNUMBER('Rent Roll'!AW12),'Rent Roll'!AW12,0)</f>
        <v>0</v>
      </c>
      <c r="AZ12" s="24">
        <f>IF(AND(ISNUMBER('Rent Roll'!AX12),IF(ISNUMBER('Rent Roll'!AY12),'Rent Roll'!AY12,0)&gt;0),(YEAR('Rent Roll'!AX12)-YEAR(in_AnalysisStart))*12+MONTH('Rent Roll'!AX12)-MONTH(in_AnalysisStart),9999)</f>
        <v>9999</v>
      </c>
      <c r="BA12" s="29">
        <f>IF(ISNUMBER('Rent Roll'!AY12),'Rent Roll'!AY12,0)</f>
        <v>0</v>
      </c>
      <c r="BB12" s="29">
        <f>IF(BU12&gt;=9999,O12,O12*(1+X12)^((BU12-F12)/12))</f>
        <v>19.53019773519135</v>
      </c>
      <c r="BC12" s="24">
        <f>IF(AND('Rent Roll'!AZ12="Yes",F12&gt;0,BD12&gt;0,AT12&gt;=9999),1,0)</f>
        <v>0</v>
      </c>
      <c r="BD12" s="29">
        <f>IF(ISNUMBER('Rent Roll'!I12),'Rent Roll'!I12,0)</f>
        <v>30</v>
      </c>
      <c r="BE12" s="24">
        <f>IF(a_MarketRecovery="Base year",1,0)</f>
        <v>0</v>
      </c>
      <c r="BG12" s="24">
        <f>IF(C12&gt;0,F12,9999)</f>
        <v>0</v>
      </c>
      <c r="BH12" s="24">
        <f>BU12</f>
        <v>22</v>
      </c>
      <c r="BI12" s="24">
        <f>IF(OR(N12=0,BV12&gt;=9999),9999,IF(AG12=1,BV12,INT(BV12+IP12)))</f>
        <v>23</v>
      </c>
      <c r="BJ12" s="24">
        <f>IF(OR(N12=0,BW12&gt;=9999),9999,INT(BW12+IQ12))</f>
        <v>111</v>
      </c>
      <c r="BK12" s="24">
        <f>IF(OR(N12=0,BX12&gt;=9999),9999,INT(BX12+IR12))</f>
        <v>199</v>
      </c>
      <c r="BL12" s="24">
        <f>IF(OR(N12=0,BY12&gt;=9999),9999,INT(BY12+IS12))</f>
        <v>287</v>
      </c>
      <c r="BM12" s="24">
        <f>IF(OR(N12=0,BZ12&gt;=9999),9999,INT(BZ12+IT12))</f>
        <v>375</v>
      </c>
      <c r="BN12" s="24">
        <f>G12</f>
        <v>22</v>
      </c>
      <c r="BO12" s="24">
        <f>IF(AG12=1,AH12,0)</f>
        <v>0</v>
      </c>
      <c r="BP12" s="24">
        <f>MAX(12,ROUND(12*Q12,0))</f>
        <v>87</v>
      </c>
      <c r="BQ12" s="24">
        <f>MAX(12,ROUND(12*Q12,0))</f>
        <v>87</v>
      </c>
      <c r="BR12" s="24">
        <f>MAX(12,ROUND(12*Q12,0))</f>
        <v>87</v>
      </c>
      <c r="BS12" s="24">
        <f>MAX(12,ROUND(12*Q12,0))</f>
        <v>87</v>
      </c>
      <c r="BT12" s="24">
        <f>MAX(12,ROUND(12*Q12,0))</f>
        <v>87</v>
      </c>
      <c r="BU12" s="24">
        <f>BG12+BN12</f>
        <v>22</v>
      </c>
      <c r="BV12" s="24">
        <f>BH12+BO12</f>
        <v>22</v>
      </c>
      <c r="BW12" s="24">
        <f>IF(BI12&gt;=9999,9999,BI12+BP12)</f>
        <v>110</v>
      </c>
      <c r="BX12" s="24">
        <f>IF(BJ12&gt;=9999,9999,BJ12+BQ12)</f>
        <v>198</v>
      </c>
      <c r="BY12" s="24">
        <f>IF(BK12&gt;=9999,9999,BK12+BR12)</f>
        <v>286</v>
      </c>
      <c r="BZ12" s="24">
        <f>IF(BL12&gt;=9999,9999,BL12+BS12)</f>
        <v>374</v>
      </c>
      <c r="CA12" s="24">
        <f>IF(BM12&gt;=9999,9999,BM12+BT12)</f>
        <v>462</v>
      </c>
      <c r="CB12" s="24">
        <f>E12</f>
        <v>30</v>
      </c>
      <c r="CC12" s="24">
        <f>AI12</f>
        <v>0</v>
      </c>
      <c r="CD12" s="24">
        <f>IF(BI12&gt;=9999,0,O12*(1+X12)^((BI12-F12)/12)*(AA12*II12+1-II12))</f>
        <v>19.578364471512764</v>
      </c>
      <c r="CE12" s="24">
        <f>IF(BJ12&gt;=9999,0,O12*(1+X12)^((BJ12-F12)/12)*(AA12*IJ12+1-IJ12))</f>
        <v>24.317339433466298</v>
      </c>
      <c r="CF12" s="24">
        <f>IF(BK12&gt;=9999,0,O12*(1+X12)^((BK12-F12)/12)*(AA12*IK12+1-IK12))</f>
        <v>30.20339099227753</v>
      </c>
      <c r="CG12" s="24">
        <f>IF(BL12&gt;=9999,0,O12*(1+X12)^((BL12-F12)/12)*(AA12*IL12+1-IL12))</f>
        <v>37.51417090378443</v>
      </c>
      <c r="CH12" s="24">
        <f>IF(BM12&gt;=9999,0,O12*(1+X12)^((BM12-F12)/12)*(AA12*IM12+1-IM12))</f>
        <v>46.5945369828895</v>
      </c>
      <c r="CI12" s="24">
        <f>AO12</f>
        <v>0</v>
      </c>
      <c r="CJ12" s="24">
        <f>I12</f>
        <v>0</v>
      </c>
      <c r="CK12" s="24">
        <f>V12</f>
        <v>0.03</v>
      </c>
      <c r="CL12" s="24">
        <f>V12</f>
        <v>0.03</v>
      </c>
      <c r="CM12" s="24">
        <f>V12</f>
        <v>0.03</v>
      </c>
      <c r="CN12" s="24">
        <f>V12</f>
        <v>0.03</v>
      </c>
      <c r="CO12" s="24">
        <f>V12</f>
        <v>0.03</v>
      </c>
      <c r="CP12" s="24">
        <f>AP12</f>
        <v>1</v>
      </c>
      <c r="CQ12" s="24">
        <f>J12</f>
        <v>1</v>
      </c>
      <c r="CR12" s="24">
        <f>W12</f>
        <v>1</v>
      </c>
      <c r="CS12" s="24">
        <f>W12</f>
        <v>1</v>
      </c>
      <c r="CT12" s="24">
        <f>W12</f>
        <v>1</v>
      </c>
      <c r="CU12" s="24">
        <f>W12</f>
        <v>1</v>
      </c>
      <c r="CV12" s="24">
        <f>W12</f>
        <v>1</v>
      </c>
      <c r="CW12" s="24">
        <f>H12</f>
        <v>0</v>
      </c>
      <c r="CX12" s="24">
        <v>0</v>
      </c>
      <c r="CY12" s="24">
        <f>Y12*(1-II12)+Z12*II12</f>
        <v>0.5999999999999999</v>
      </c>
      <c r="CZ12" s="24">
        <f>Y12*(1-IJ12)+Z12*IJ12</f>
        <v>0.5999999999999999</v>
      </c>
      <c r="DA12" s="24">
        <f>Y12*(1-IK12)+Z12*IK12</f>
        <v>0.5999999999999999</v>
      </c>
      <c r="DB12" s="24">
        <f>Y12*(1-IL12)+Z12*IL12</f>
        <v>0.5999999999999999</v>
      </c>
      <c r="DC12" s="24">
        <f>Y12*(1-IM12)+Z12*IM12</f>
        <v>0.5999999999999999</v>
      </c>
      <c r="DD12" s="24">
        <v>0</v>
      </c>
      <c r="DE12" s="24">
        <v>0</v>
      </c>
      <c r="DF12" s="24">
        <f>IF(BI12&gt;=9999,0,IF(AG12=1,0,BV12+IP12-BI12))</f>
        <v>0.1999999999999993</v>
      </c>
      <c r="DG12" s="24">
        <f>IF(BJ12&gt;=9999,0,BW12+IQ12-BJ12)</f>
        <v>0.20000000000000284</v>
      </c>
      <c r="DH12" s="24">
        <f>IF(BK12&gt;=9999,0,BX12+IR12-BK12)</f>
        <v>0.19999999999998863</v>
      </c>
      <c r="DI12" s="24">
        <f>IF(BL12&gt;=9999,0,BY12+IS12-BL12)</f>
        <v>0.19999999999998863</v>
      </c>
      <c r="DJ12" s="24">
        <f>IF(BM12&gt;=9999,0,BZ12+IT12-BM12)</f>
        <v>0.19999999999998863</v>
      </c>
      <c r="DK12" s="24">
        <f>INT(CW12+DD12)</f>
        <v>0</v>
      </c>
      <c r="DL12" s="24">
        <v>0</v>
      </c>
      <c r="DM12" s="24">
        <f>INT(CY12+DF12)</f>
        <v>0</v>
      </c>
      <c r="DN12" s="24">
        <f>INT(CZ12+DG12)</f>
        <v>0</v>
      </c>
      <c r="DO12" s="24">
        <f>INT(DA12+DH12)</f>
        <v>0</v>
      </c>
      <c r="DP12" s="24">
        <f>INT(DB12+DI12)</f>
        <v>0</v>
      </c>
      <c r="DQ12" s="24">
        <f>INT(DC12+DJ12)</f>
        <v>0</v>
      </c>
      <c r="DR12" s="24">
        <f>CW12+DD12-DK12</f>
        <v>0</v>
      </c>
      <c r="DS12" s="24">
        <v>0</v>
      </c>
      <c r="DT12" s="24">
        <f>CY12+DF12-DM12</f>
        <v>0.7999999999999992</v>
      </c>
      <c r="DU12" s="24">
        <f>CZ12+DG12-DN12</f>
        <v>0.8000000000000027</v>
      </c>
      <c r="DV12" s="24">
        <f>DA12+DH12-DO12</f>
        <v>0.7999999999999885</v>
      </c>
      <c r="DW12" s="24">
        <f>DB12+DI12-DP12</f>
        <v>0.7999999999999885</v>
      </c>
      <c r="DX12" s="24">
        <f>DC12+DJ12-DQ12</f>
        <v>0.7999999999999885</v>
      </c>
      <c r="DY12" s="24">
        <v>1</v>
      </c>
      <c r="DZ12" s="24">
        <v>1</v>
      </c>
      <c r="EA12" s="24">
        <v>0</v>
      </c>
      <c r="EB12" s="24">
        <v>0</v>
      </c>
      <c r="EC12" s="24">
        <v>0</v>
      </c>
      <c r="ED12" s="24">
        <v>0</v>
      </c>
      <c r="EE12" s="24">
        <v>0</v>
      </c>
      <c r="EF12" s="24">
        <v>0</v>
      </c>
      <c r="EG12" s="24">
        <f>IF(AG12=1,1,2)</f>
        <v>2</v>
      </c>
      <c r="EH12" s="24">
        <v>0</v>
      </c>
      <c r="EI12" s="24">
        <v>0</v>
      </c>
      <c r="EJ12" s="24">
        <v>0</v>
      </c>
      <c r="EK12" s="24">
        <v>0</v>
      </c>
      <c r="EL12" s="24">
        <v>0</v>
      </c>
      <c r="EM12" s="24">
        <v>1</v>
      </c>
      <c r="EN12" s="24">
        <f>IF(AG12=1,AF12,1)</f>
        <v>1</v>
      </c>
      <c r="EO12" s="24">
        <v>1</v>
      </c>
      <c r="EP12" s="24">
        <v>1</v>
      </c>
      <c r="EQ12" s="24">
        <v>1</v>
      </c>
      <c r="ER12" s="24">
        <v>1</v>
      </c>
      <c r="ES12" s="24">
        <v>1</v>
      </c>
      <c r="ET12" s="24">
        <v>0</v>
      </c>
      <c r="EU12" s="24">
        <f>BB12</f>
        <v>19.53019773519135</v>
      </c>
      <c r="EV12" s="24">
        <v>0</v>
      </c>
      <c r="EW12" s="24">
        <v>0</v>
      </c>
      <c r="EX12" s="24">
        <v>0</v>
      </c>
      <c r="EY12" s="24">
        <v>0</v>
      </c>
      <c r="EZ12" s="24">
        <v>0</v>
      </c>
      <c r="FA12" s="24">
        <v>0</v>
      </c>
      <c r="FB12" s="24">
        <f>ROUND(P12,0)</f>
        <v>6</v>
      </c>
      <c r="FC12" s="24">
        <v>0</v>
      </c>
      <c r="FD12" s="24">
        <v>0</v>
      </c>
      <c r="FE12" s="24">
        <v>0</v>
      </c>
      <c r="FF12" s="24">
        <v>0</v>
      </c>
      <c r="FG12" s="24">
        <v>0</v>
      </c>
      <c r="FH12" s="24">
        <f>AK12</f>
        <v>0</v>
      </c>
      <c r="FI12" s="24">
        <f>IF(AG12=1,AK12*AF12,FH12)</f>
        <v>0</v>
      </c>
      <c r="FJ12" s="24">
        <f>FI12*II12</f>
        <v>0</v>
      </c>
      <c r="FK12" s="24">
        <f>FJ12*IJ12</f>
        <v>0</v>
      </c>
      <c r="FL12" s="24">
        <f>FK12*IK12</f>
        <v>0</v>
      </c>
      <c r="FM12" s="24">
        <f>FL12*IL12</f>
        <v>0</v>
      </c>
      <c r="FN12" s="24">
        <f>FM12*IM12</f>
        <v>0</v>
      </c>
      <c r="FO12" s="24">
        <v>1</v>
      </c>
      <c r="FP12" s="24">
        <f>FV12</f>
        <v>1</v>
      </c>
      <c r="FQ12" s="24">
        <f>FW12*II12</f>
        <v>0.8</v>
      </c>
      <c r="FR12" s="24">
        <f>FX12*IJ12</f>
        <v>0.6400000000000001</v>
      </c>
      <c r="FS12" s="24">
        <f>FY12*IK12</f>
        <v>0.5120000000000001</v>
      </c>
      <c r="FT12" s="24">
        <f>FZ12*IL12</f>
        <v>0.40960000000000013</v>
      </c>
      <c r="FU12" s="24">
        <f>GA12*IM12</f>
        <v>0.32768000000000014</v>
      </c>
      <c r="FV12" s="24">
        <v>1</v>
      </c>
      <c r="FW12" s="24">
        <f>IF(AG12=1,FP12*AF12,FV12)</f>
        <v>1</v>
      </c>
      <c r="FX12" s="24">
        <f>FQ12</f>
        <v>0.8</v>
      </c>
      <c r="FY12" s="24">
        <f>FR12</f>
        <v>0.6400000000000001</v>
      </c>
      <c r="FZ12" s="24">
        <f>FS12</f>
        <v>0.5120000000000001</v>
      </c>
      <c r="GA12" s="24">
        <f>FT12</f>
        <v>0.40960000000000013</v>
      </c>
      <c r="GB12" s="24">
        <f>FU12</f>
        <v>0.32768000000000014</v>
      </c>
      <c r="GC12" s="24">
        <v>0</v>
      </c>
      <c r="GD12" s="24">
        <f>GC12</f>
        <v>0</v>
      </c>
      <c r="GE12" s="24">
        <f>IF(BI12&gt;=9999,0,INT(BI12/12))</f>
        <v>1</v>
      </c>
      <c r="GF12" s="24">
        <f>IF(BJ12&gt;=9999,0,INT(BJ12/12))</f>
        <v>9</v>
      </c>
      <c r="GG12" s="24">
        <f>IF(BK12&gt;=9999,0,INT(BK12/12))</f>
        <v>16</v>
      </c>
      <c r="GH12" s="24">
        <f>IF(BL12&gt;=9999,0,INT(BL12/12))</f>
        <v>23</v>
      </c>
      <c r="GI12" s="24">
        <f>IF(BM12&gt;=9999,0,INT(BM12/12))</f>
        <v>31</v>
      </c>
      <c r="GJ12" s="24">
        <f>BG12</f>
        <v>0</v>
      </c>
      <c r="GK12" s="24">
        <f>IF(AG12=1,BH12,GJ12)</f>
        <v>0</v>
      </c>
      <c r="GL12" s="24">
        <f>BI12</f>
        <v>23</v>
      </c>
      <c r="GM12" s="24">
        <f>BJ12</f>
        <v>111</v>
      </c>
      <c r="GN12" s="24">
        <f>BK12</f>
        <v>199</v>
      </c>
      <c r="GO12" s="24">
        <f>BL12</f>
        <v>287</v>
      </c>
      <c r="GP12" s="24">
        <f>BM12</f>
        <v>375</v>
      </c>
      <c r="GQ12" s="24">
        <f>CI12</f>
        <v>0</v>
      </c>
      <c r="GR12" s="24">
        <f>IF(AG12=1,I12,GQ12)</f>
        <v>0</v>
      </c>
      <c r="GS12" s="24">
        <f>V12</f>
        <v>0.03</v>
      </c>
      <c r="GT12" s="24">
        <f>V12</f>
        <v>0.03</v>
      </c>
      <c r="GU12" s="24">
        <f>V12</f>
        <v>0.03</v>
      </c>
      <c r="GV12" s="24">
        <f>V12</f>
        <v>0.03</v>
      </c>
      <c r="GW12" s="24">
        <f>V12</f>
        <v>0.03</v>
      </c>
      <c r="GX12" s="24">
        <f>CP12</f>
        <v>1</v>
      </c>
      <c r="GY12" s="24">
        <f>IF(AG12=1,J12,GX12)</f>
        <v>1</v>
      </c>
      <c r="GZ12" s="24">
        <f>W12</f>
        <v>1</v>
      </c>
      <c r="HA12" s="24">
        <f>W12</f>
        <v>1</v>
      </c>
      <c r="HB12" s="24">
        <f>W12</f>
        <v>1</v>
      </c>
      <c r="HC12" s="24">
        <f>W12</f>
        <v>1</v>
      </c>
      <c r="HD12" s="24">
        <f>W12</f>
        <v>1</v>
      </c>
      <c r="HE12" s="24">
        <f>IF(BU12&gt;=9999,1,(1+X12)^(BU12/12))</f>
        <v>1.0556863640643974</v>
      </c>
      <c r="HF12" s="24">
        <f>IF(AG12=1,IF(BV12&gt;=9999,1,(1+X12)^(BV12/12)),HE12)</f>
        <v>1.0556863640643974</v>
      </c>
      <c r="HG12" s="24">
        <f>IF(BW12&gt;=9999,1,(1+X12)^(BW12/12))</f>
        <v>1.311216965420619</v>
      </c>
      <c r="HH12" s="24">
        <f>IF(BX12&gt;=9999,1,(1+X12)^(BX12/12))</f>
        <v>1.6285991644218862</v>
      </c>
      <c r="HI12" s="24">
        <f>IF(BY12&gt;=9999,1,(1+X12)^(BY12/12))</f>
        <v>2.0228042408716367</v>
      </c>
      <c r="HJ12" s="24">
        <f>IF(BZ12&gt;=9999,1,(1+X12)^(BZ12/12))</f>
        <v>2.5124272971985384</v>
      </c>
      <c r="HK12" s="24">
        <f>IF(CA12&gt;=9999,1,(1+X12)^(CA12/12))</f>
        <v>3.120564410616598</v>
      </c>
      <c r="HL12" s="24">
        <f>IF(AND(F12&gt;0,C12&gt;0),F12,-1)</f>
        <v>-1</v>
      </c>
      <c r="HM12" s="24">
        <f>IF(AG12=1,BU12+FB12,-1)</f>
        <v>-1</v>
      </c>
      <c r="HN12" s="24">
        <f>IF(BI12&gt;=9999,-1,BV12+ROUND(IP12,0))</f>
        <v>23</v>
      </c>
      <c r="HO12" s="24">
        <f>IF(BJ12&gt;=9999,-1,IF(HN12&lt;0,BW12,HN12+BP12)+ROUND(IQ12,0))</f>
        <v>111</v>
      </c>
      <c r="HP12" s="24">
        <f>IF(BK12&gt;=9999,-1,IF(HO12&lt;0,BX12,HO12+BQ12)+ROUND(IR12,0))</f>
        <v>199</v>
      </c>
      <c r="HQ12" s="24">
        <f>IF(BL12&gt;=9999,-1,IF(HP12&lt;0,BY12,HP12+BR12)+ROUND(IS12,0))</f>
        <v>287</v>
      </c>
      <c r="HR12" s="24">
        <f>IF(BM12&gt;=9999,-1,IF(HQ12&lt;0,BZ12,HQ12+BS12)+ROUND(IT12,0))</f>
        <v>375</v>
      </c>
      <c r="HS12" s="24">
        <f>IF(HL12&lt;0,0,C12*K12)</f>
        <v>0</v>
      </c>
      <c r="HT12" s="24">
        <f>IF(AG12=1,C12*R12*(1+in_ExpenseGrowth)^(HM12/12)*(1-AF12),0)</f>
        <v>0</v>
      </c>
      <c r="HU12" s="24">
        <f>IF(HN12&lt;0,0,C12*(S12*II12+R12*(1-II12))*(1+in_ExpenseGrowth)^(HN12/12))</f>
        <v>14541.58339276819</v>
      </c>
      <c r="HV12" s="24">
        <f>IF(HO12&lt;0,0,C12*(S12*IJ12+R12*(1-IJ12))*(1+in_ExpenseGrowth)^(HO12/12))</f>
        <v>16814.332237696388</v>
      </c>
      <c r="HW12" s="24">
        <f>IF(HP12&lt;0,0,C12*(S12*IK12+R12*(1-IK12))*(1+in_ExpenseGrowth)^(HP12/12))</f>
        <v>19442.29599785117</v>
      </c>
      <c r="HX12" s="24">
        <f>IF(HQ12&lt;0,0,C12*(S12*IL12+R12*(1-IL12))*(1+in_ExpenseGrowth)^(HQ12/12))</f>
        <v>22480.992306111777</v>
      </c>
      <c r="HY12" s="24">
        <f>IF(HR12&lt;0,0,C12*(S12*IM12+R12*(1-IM12))*(1+in_ExpenseGrowth)^(HR12/12))</f>
        <v>25994.615817150137</v>
      </c>
      <c r="HZ12" s="24">
        <f>IF(HL12&lt;0,0,L12*C12*E12*AQ12)</f>
        <v>0</v>
      </c>
      <c r="IA12" s="24">
        <f>IF(AG12=1,T12*C12*O12*(1+X12)^(MAX(0,HM12-F12)/12)*AB12*(1-AF12),0)</f>
        <v>0</v>
      </c>
      <c r="IB12" s="24">
        <f>IF(HN12&lt;0,0,(U12*II12+T12*(1-II12))*C12*O12*(1+X12)^(MAX(0,HN12-F12)/12)*(AA12*II12+1-II12)*AB12)</f>
        <v>9053.064598069921</v>
      </c>
      <c r="IC12" s="24">
        <f>IF(HO12&lt;0,0,(U12*IJ12+T12*(1-IJ12))*C12*O12*(1+X12)^(MAX(0,HO12-F12)/12)*(AA12*IJ12+1-IJ12)*AB12)</f>
        <v>11244.373607646568</v>
      </c>
      <c r="ID12" s="24">
        <f>IF(HP12&lt;0,0,(U12*IK12+T12*(1-IK12))*C12*O12*(1+X12)^(MAX(0,HP12-F12)/12)*(AA12*IK12+1-IK12)*AB12)</f>
        <v>13966.09252686592</v>
      </c>
      <c r="IE12" s="24">
        <f>IF(HQ12&lt;0,0,(U12*IL12+T12*(1-IL12))*C12*O12*(1+X12)^(MAX(0,HQ12-F12)/12)*(AA12*IL12+1-IL12)*AB12)</f>
        <v>17346.60793699864</v>
      </c>
      <c r="IF12" s="24">
        <f>IF(HR12&lt;0,0,(U12*IM12+T12*(1-IM12))*C12*O12*(1+X12)^(MAX(0,HR12-F12)/12)*(AA12*IM12+1-IM12)*AB12)</f>
        <v>21545.382600115805</v>
      </c>
      <c r="IG12" s="24">
        <v>1</v>
      </c>
      <c r="IH12" s="24">
        <f>IF(AG12=1,AF12,1)</f>
        <v>1</v>
      </c>
      <c r="II12" s="24">
        <f>IF(AG12=1,AC12,AE12)</f>
        <v>0.8</v>
      </c>
      <c r="IJ12" s="24">
        <f>AC12</f>
        <v>0.8</v>
      </c>
      <c r="IK12" s="24">
        <f>AC12</f>
        <v>0.8</v>
      </c>
      <c r="IL12" s="24">
        <f>AC12</f>
        <v>0.8</v>
      </c>
      <c r="IM12" s="24">
        <f>AC12</f>
        <v>0.8</v>
      </c>
      <c r="IN12" s="24">
        <v>0</v>
      </c>
      <c r="IO12" s="24">
        <f>P12</f>
        <v>6</v>
      </c>
      <c r="IP12" s="24">
        <f>P12*(1-II12)</f>
        <v>1.1999999999999997</v>
      </c>
      <c r="IQ12" s="24">
        <f>P12*(1-IJ12)</f>
        <v>1.1999999999999997</v>
      </c>
      <c r="IR12" s="24">
        <f>P12*(1-IK12)</f>
        <v>1.1999999999999997</v>
      </c>
      <c r="IS12" s="24">
        <f>P12*(1-IL12)</f>
        <v>1.1999999999999997</v>
      </c>
      <c r="IT12" s="24">
        <f>P12*(1-IM12)</f>
        <v>1.1999999999999997</v>
      </c>
    </row>
    <row r="13">
      <c r="A13" s="25">
        <v>6</v>
      </c>
      <c r="B13" s="23" t="str">
        <f>IF('Rent Roll'!C13="","",'Rent Roll'!C13)</f>
        <v>Sunfield Cleaners</v>
      </c>
      <c r="C13" s="24">
        <f>IF(ISNUMBER('Rent Roll'!E13),MAX(0,'Rent Roll'!E13),0)</f>
        <v>1800</v>
      </c>
      <c r="D13" s="88">
        <f>IF(a_GLA&gt;0,C13/a_GLA,0)</f>
        <v>0.03015075376884422</v>
      </c>
      <c r="E13" s="29">
        <f>IF(BC13=1,ROUND(BD13*(1+X13)^(F13/12),2),BD13)</f>
        <v>26</v>
      </c>
      <c r="F13" s="24">
        <f>IF(C13&gt;0,MAX(0,(YEAR(IF(ISNUMBER('Rent Roll'!G13),'Rent Roll'!G13,0))-YEAR(in_AnalysisStart))*12+MONTH(IF(ISNUMBER('Rent Roll'!G13),'Rent Roll'!G13,0))-MONTH(in_AnalysisStart)),0)</f>
        <v>0</v>
      </c>
      <c r="G13" s="24">
        <f>IF(C13&gt;0,MAX(0,(YEAR(IF(ISNUMBER('Rent Roll'!H13),'Rent Roll'!H13,0))-YEAR(in_AnalysisStart))*12+MONTH(IF(ISNUMBER('Rent Roll'!H13),'Rent Roll'!H13,0))-MONTH(in_AnalysisStart)+1-F13),0)</f>
        <v>44</v>
      </c>
      <c r="H13" s="24">
        <f>IF(ISNUMBER('Rent Roll'!N13),'Rent Roll'!N13,0)</f>
        <v>0</v>
      </c>
      <c r="I13" s="88">
        <f>IF(ISNUMBER('Rent Roll'!L13),'Rent Roll'!L13,0)</f>
        <v>0</v>
      </c>
      <c r="J13" s="24">
        <f>MAX(1,ROUND(IF(ISNUMBER('Rent Roll'!M13),'Rent Roll'!M13,0),0))</f>
        <v>1</v>
      </c>
      <c r="K13" s="29">
        <f>IF(ISNUMBER('Rent Roll'!AJ13),'Rent Roll'!AJ13,0)</f>
        <v>12</v>
      </c>
      <c r="L13" s="88">
        <f>IF(IF(ISNUMBER('Rent Roll'!AK13),'Rent Roll'!AK13,0)&gt;0,'Rent Roll'!AK13,a_LeaseUpLC)</f>
        <v>0.05</v>
      </c>
      <c r="M13" s="24">
        <f>IF('Rent Roll'!R13="",0,IFERROR(MATCH('Rent Roll'!R13,a_PName,0),0))</f>
        <v>2</v>
      </c>
      <c r="N13" s="24">
        <f>IF(M13&gt;0,1,0)</f>
        <v>1</v>
      </c>
      <c r="O13" s="29">
        <f>IF(IF(ISNUMBER('Rent Roll'!S13),'Rent Roll'!S13,0)&gt;0,'Rent Roll'!S13,IF(M13&gt;0,IF(ISNUMBER(INDEX(a_PRent,M13)),INDEX(a_PRent,M13),0),0))</f>
        <v>18.5</v>
      </c>
      <c r="P13" s="24">
        <f>IF(M13&gt;0,IF(ISNUMBER(INDEX(a_PDown,M13)),INDEX(a_PDown,M13),0),0)</f>
        <v>6</v>
      </c>
      <c r="Q13" s="24">
        <f>IF(M13&gt;0,MAX(1,IF(ISNUMBER(INDEX(a_PTerm,M13)),INDEX(a_PTerm,M13),0)),5)</f>
        <v>7.25</v>
      </c>
      <c r="R13" s="29">
        <f>IF(M13&gt;0,IF(ISNUMBER(INDEX(a_PTiNew,M13)),INDEX(a_PTiNew,M13),0),0)</f>
        <v>15</v>
      </c>
      <c r="S13" s="29">
        <f>IF(M13&gt;0,IF(ISNUMBER(INDEX(a_PTiRen,M13)),INDEX(a_PTiRen,M13),0),0)</f>
        <v>5</v>
      </c>
      <c r="T13" s="88">
        <f>IF(M13&gt;0,IF(ISNUMBER(INDEX(a_PLcNew,M13)),INDEX(a_PLcNew,M13),0),0)</f>
        <v>0.05</v>
      </c>
      <c r="U13" s="88">
        <f>IF(M13&gt;0,IF(ISNUMBER(INDEX(a_PLcRen,M13)),INDEX(a_PLcRen,M13),0),0)</f>
        <v>0.02</v>
      </c>
      <c r="V13" s="88">
        <f>IF(M13&gt;0,IF(ISNUMBER(INDEX(a_PBump,M13)),INDEX(a_PBump,M13),0),0)</f>
        <v>0.03</v>
      </c>
      <c r="W13" s="24">
        <f>MAX(1,ROUND(IF(M13&gt;0,IF(ISNUMBER(INDEX(a_PEvery,M13)),INDEX(a_PEvery,M13),0),1),0))</f>
        <v>1</v>
      </c>
      <c r="X13" s="88">
        <f>IF(M13&gt;0,IF(ISNUMBER(INDEX(a_PGrow,M13)),INDEX(a_PGrow,M13),in_RentGrowth),in_RentGrowth)</f>
        <v>0.03</v>
      </c>
      <c r="Y13" s="24">
        <f>IF(M13&gt;0,IF(ISNUMBER(INDEX(a_PFreeNew,M13)),INDEX(a_PFreeNew,M13),0),0)</f>
        <v>3</v>
      </c>
      <c r="Z13" s="24">
        <f>IF(M13&gt;0,IF(ISNUMBER(INDEX(a_PFreeRen,M13)),INDEX(a_PFreeRen,M13),0),0)</f>
        <v>0</v>
      </c>
      <c r="AA13" s="88">
        <f>IF(M13&gt;0,IF(ISNUMBER(INDEX(a_PRenPct,M13)),INDEX(a_PRenPct,M13),1),1)</f>
        <v>1</v>
      </c>
      <c r="AB13" s="24">
        <f>IF(M13&gt;0,IF(ISNUMBER(INDEX(a_PAF,M13)),INDEX(a_PAF,M13),0),0)</f>
        <v>8.89233604625388</v>
      </c>
      <c r="AC13" s="88">
        <f>IF(ISNUMBER('Rent Roll'!V13),'Rent Roll'!V13,IF(M13&gt;0,IF(ISNUMBER(INDEX(a_PRenew,M13)),INDEX(a_PRenew,M13),0),0.8))</f>
        <v>0.8</v>
      </c>
      <c r="AD13" s="23" t="str">
        <f>IF('Rent Roll'!W13="","Probability",'Rent Roll'!W13)</f>
        <v>Probability</v>
      </c>
      <c r="AE13" s="88">
        <f>IF(AD13="Renew",1,IF(AD13="Vacate",0,AC13))</f>
        <v>0.8</v>
      </c>
      <c r="AF13" s="88">
        <f>IF(AD13="Renew",1,IF(ISNUMBER('Rent Roll'!AA13),'Rent Roll'!AA13,AC13))</f>
        <v>0.8</v>
      </c>
      <c r="AG13" s="24">
        <f>IF(AND(N13=1,IF(ISNUMBER('Rent Roll'!Y13),'Rent Roll'!Y13,0)&gt;0,IF(ISNUMBER('Rent Roll'!Z13),'Rent Roll'!Z13,0)&gt;0,AF13&gt;0,AD13&lt;&gt;"Vacate",C13&gt;0),1,0)</f>
        <v>0</v>
      </c>
      <c r="AH13" s="24">
        <f>ROUND(12*IF(ISNUMBER('Rent Roll'!Y13),'Rent Roll'!Y13,0),0)</f>
        <v>0</v>
      </c>
      <c r="AI13" s="29">
        <f>IF(ISNUMBER('Rent Roll'!Z13),'Rent Roll'!Z13,0)</f>
        <v>0</v>
      </c>
      <c r="AJ13" s="24">
        <f>IF('Rent Roll'!P13="Base year",1,0)</f>
        <v>0</v>
      </c>
      <c r="AK13" s="88">
        <f>IF(ISNUMBER('Rent Roll'!Q13),'Rent Roll'!Q13,0)</f>
        <v>0</v>
      </c>
      <c r="AL13" s="24">
        <f>IF(AND('Rent Roll'!AH13="Yes",a_AnchorInVac&lt;&gt;"Yes"),1,0)</f>
        <v>0</v>
      </c>
      <c r="AM13" s="29">
        <f>IF(ISNUMBER('Rent Roll'!AL13),'Rent Roll'!AL13,0)</f>
        <v>0</v>
      </c>
      <c r="AN13" s="88">
        <f>IF(ISNUMBER('Rent Roll'!AM13),'Rent Roll'!AM13,0)</f>
        <v>0</v>
      </c>
      <c r="AO13" s="88">
        <f>IF(AND(BC13=1,N13=1),V13,I13)</f>
        <v>0</v>
      </c>
      <c r="AP13" s="24">
        <f>IF(AND(BC13=1,N13=1),W13,J13)</f>
        <v>1</v>
      </c>
      <c r="AQ13" s="24">
        <f>IF(AO13=0,G13/12,AP13*((1+AO13)^INT(INT(G13/12)/AP13)-1)/AO13+(INT(G13/12)-INT(INT(G13/12)/AP13)*AP13)*(1+AO13)^INT(INT(G13/12)/AP13)+(G13/12-INT(G13/12))*(1+AO13)^INT(INT(G13/12)/AP13))</f>
        <v>3.6666666666666665</v>
      </c>
      <c r="AR13" s="24">
        <f>IF(AND(C13&gt;0,BU13&lt;9999,BU13&gt;0),INT((BU13-1)/12)+1,0)</f>
        <v>4</v>
      </c>
      <c r="AS13" s="24">
        <f>COUNTIF('Lease Cycles'!$BG$13:$BM$13,"&lt;132")</f>
        <v>3</v>
      </c>
      <c r="AT13" s="24">
        <f>IF(AND(ISNUMBER('Rent Roll'!AR13),IF(ISNUMBER('Rent Roll'!AS13),'Rent Roll'!AS13,0)&gt;0),(YEAR('Rent Roll'!AR13)-YEAR(in_AnalysisStart))*12+MONTH('Rent Roll'!AR13)-MONTH(in_AnalysisStart),9999)</f>
        <v>9999</v>
      </c>
      <c r="AU13" s="29">
        <f>IF(ISNUMBER('Rent Roll'!AS13),'Rent Roll'!AS13,0)</f>
        <v>0</v>
      </c>
      <c r="AV13" s="24">
        <f>IF(AND(ISNUMBER('Rent Roll'!AT13),IF(ISNUMBER('Rent Roll'!AU13),'Rent Roll'!AU13,0)&gt;0),(YEAR('Rent Roll'!AT13)-YEAR(in_AnalysisStart))*12+MONTH('Rent Roll'!AT13)-MONTH(in_AnalysisStart),9999)</f>
        <v>9999</v>
      </c>
      <c r="AW13" s="29">
        <f>IF(ISNUMBER('Rent Roll'!AU13),'Rent Roll'!AU13,0)</f>
        <v>0</v>
      </c>
      <c r="AX13" s="24">
        <f>IF(AND(ISNUMBER('Rent Roll'!AV13),IF(ISNUMBER('Rent Roll'!AW13),'Rent Roll'!AW13,0)&gt;0),(YEAR('Rent Roll'!AV13)-YEAR(in_AnalysisStart))*12+MONTH('Rent Roll'!AV13)-MONTH(in_AnalysisStart),9999)</f>
        <v>9999</v>
      </c>
      <c r="AY13" s="29">
        <f>IF(ISNUMBER('Rent Roll'!AW13),'Rent Roll'!AW13,0)</f>
        <v>0</v>
      </c>
      <c r="AZ13" s="24">
        <f>IF(AND(ISNUMBER('Rent Roll'!AX13),IF(ISNUMBER('Rent Roll'!AY13),'Rent Roll'!AY13,0)&gt;0),(YEAR('Rent Roll'!AX13)-YEAR(in_AnalysisStart))*12+MONTH('Rent Roll'!AX13)-MONTH(in_AnalysisStart),9999)</f>
        <v>9999</v>
      </c>
      <c r="BA13" s="29">
        <f>IF(ISNUMBER('Rent Roll'!AY13),'Rent Roll'!AY13,0)</f>
        <v>0</v>
      </c>
      <c r="BB13" s="29">
        <f>IF(BU13&gt;=9999,O13,O13*(1+X13)^((BU13-F13)/12))</f>
        <v>20.617763436522885</v>
      </c>
      <c r="BC13" s="24">
        <f>IF(AND('Rent Roll'!AZ13="Yes",F13&gt;0,BD13&gt;0,AT13&gt;=9999),1,0)</f>
        <v>0</v>
      </c>
      <c r="BD13" s="29">
        <f>IF(ISNUMBER('Rent Roll'!I13),'Rent Roll'!I13,0)</f>
        <v>26</v>
      </c>
      <c r="BE13" s="24">
        <f>IF(a_MarketRecovery="Base year",1,0)</f>
        <v>0</v>
      </c>
      <c r="BG13" s="24">
        <f>IF(C13&gt;0,F13,9999)</f>
        <v>0</v>
      </c>
      <c r="BH13" s="24">
        <f>BU13</f>
        <v>44</v>
      </c>
      <c r="BI13" s="24">
        <f>IF(OR(N13=0,BV13&gt;=9999),9999,IF(AG13=1,BV13,INT(BV13+IP13)))</f>
        <v>45</v>
      </c>
      <c r="BJ13" s="24">
        <f>IF(OR(N13=0,BW13&gt;=9999),9999,INT(BW13+IQ13))</f>
        <v>133</v>
      </c>
      <c r="BK13" s="24">
        <f>IF(OR(N13=0,BX13&gt;=9999),9999,INT(BX13+IR13))</f>
        <v>221</v>
      </c>
      <c r="BL13" s="24">
        <f>IF(OR(N13=0,BY13&gt;=9999),9999,INT(BY13+IS13))</f>
        <v>309</v>
      </c>
      <c r="BM13" s="24">
        <f>IF(OR(N13=0,BZ13&gt;=9999),9999,INT(BZ13+IT13))</f>
        <v>397</v>
      </c>
      <c r="BN13" s="24">
        <f>G13</f>
        <v>44</v>
      </c>
      <c r="BO13" s="24">
        <f>IF(AG13=1,AH13,0)</f>
        <v>0</v>
      </c>
      <c r="BP13" s="24">
        <f>MAX(12,ROUND(12*Q13,0))</f>
        <v>87</v>
      </c>
      <c r="BQ13" s="24">
        <f>MAX(12,ROUND(12*Q13,0))</f>
        <v>87</v>
      </c>
      <c r="BR13" s="24">
        <f>MAX(12,ROUND(12*Q13,0))</f>
        <v>87</v>
      </c>
      <c r="BS13" s="24">
        <f>MAX(12,ROUND(12*Q13,0))</f>
        <v>87</v>
      </c>
      <c r="BT13" s="24">
        <f>MAX(12,ROUND(12*Q13,0))</f>
        <v>87</v>
      </c>
      <c r="BU13" s="24">
        <f>BG13+BN13</f>
        <v>44</v>
      </c>
      <c r="BV13" s="24">
        <f>BH13+BO13</f>
        <v>44</v>
      </c>
      <c r="BW13" s="24">
        <f>IF(BI13&gt;=9999,9999,BI13+BP13)</f>
        <v>132</v>
      </c>
      <c r="BX13" s="24">
        <f>IF(BJ13&gt;=9999,9999,BJ13+BQ13)</f>
        <v>220</v>
      </c>
      <c r="BY13" s="24">
        <f>IF(BK13&gt;=9999,9999,BK13+BR13)</f>
        <v>308</v>
      </c>
      <c r="BZ13" s="24">
        <f>IF(BL13&gt;=9999,9999,BL13+BS13)</f>
        <v>396</v>
      </c>
      <c r="CA13" s="24">
        <f>IF(BM13&gt;=9999,9999,BM13+BT13)</f>
        <v>484</v>
      </c>
      <c r="CB13" s="24">
        <f>E13</f>
        <v>26</v>
      </c>
      <c r="CC13" s="24">
        <f>AI13</f>
        <v>0</v>
      </c>
      <c r="CD13" s="24">
        <f>IF(BI13&gt;=9999,0,O13*(1+X13)^((BI13-F13)/12)*(AA13*II13+1-II13))</f>
        <v>20.66861240325889</v>
      </c>
      <c r="CE13" s="24">
        <f>IF(BJ13&gt;=9999,0,O13*(1+X13)^((BJ13-F13)/12)*(AA13*IJ13+1-IJ13))</f>
        <v>25.67148365023583</v>
      </c>
      <c r="CF13" s="24">
        <f>IF(BK13&gt;=9999,0,O13*(1+X13)^((BK13-F13)/12)*(AA13*IK13+1-IK13))</f>
        <v>31.88530801905284</v>
      </c>
      <c r="CG13" s="24">
        <f>IF(BL13&gt;=9999,0,O13*(1+X13)^((BL13-F13)/12)*(AA13*IL13+1-IL13))</f>
        <v>39.603198682306605</v>
      </c>
      <c r="CH13" s="24">
        <f>IF(BM13&gt;=9999,0,O13*(1+X13)^((BM13-F13)/12)*(AA13*IM13+1-IM13))</f>
        <v>49.18921733273071</v>
      </c>
      <c r="CI13" s="24">
        <f>AO13</f>
        <v>0</v>
      </c>
      <c r="CJ13" s="24">
        <f>I13</f>
        <v>0</v>
      </c>
      <c r="CK13" s="24">
        <f>V13</f>
        <v>0.03</v>
      </c>
      <c r="CL13" s="24">
        <f>V13</f>
        <v>0.03</v>
      </c>
      <c r="CM13" s="24">
        <f>V13</f>
        <v>0.03</v>
      </c>
      <c r="CN13" s="24">
        <f>V13</f>
        <v>0.03</v>
      </c>
      <c r="CO13" s="24">
        <f>V13</f>
        <v>0.03</v>
      </c>
      <c r="CP13" s="24">
        <f>AP13</f>
        <v>1</v>
      </c>
      <c r="CQ13" s="24">
        <f>J13</f>
        <v>1</v>
      </c>
      <c r="CR13" s="24">
        <f>W13</f>
        <v>1</v>
      </c>
      <c r="CS13" s="24">
        <f>W13</f>
        <v>1</v>
      </c>
      <c r="CT13" s="24">
        <f>W13</f>
        <v>1</v>
      </c>
      <c r="CU13" s="24">
        <f>W13</f>
        <v>1</v>
      </c>
      <c r="CV13" s="24">
        <f>W13</f>
        <v>1</v>
      </c>
      <c r="CW13" s="24">
        <f>H13</f>
        <v>0</v>
      </c>
      <c r="CX13" s="24">
        <v>0</v>
      </c>
      <c r="CY13" s="24">
        <f>Y13*(1-II13)+Z13*II13</f>
        <v>0.5999999999999999</v>
      </c>
      <c r="CZ13" s="24">
        <f>Y13*(1-IJ13)+Z13*IJ13</f>
        <v>0.5999999999999999</v>
      </c>
      <c r="DA13" s="24">
        <f>Y13*(1-IK13)+Z13*IK13</f>
        <v>0.5999999999999999</v>
      </c>
      <c r="DB13" s="24">
        <f>Y13*(1-IL13)+Z13*IL13</f>
        <v>0.5999999999999999</v>
      </c>
      <c r="DC13" s="24">
        <f>Y13*(1-IM13)+Z13*IM13</f>
        <v>0.5999999999999999</v>
      </c>
      <c r="DD13" s="24">
        <v>0</v>
      </c>
      <c r="DE13" s="24">
        <v>0</v>
      </c>
      <c r="DF13" s="24">
        <f>IF(BI13&gt;=9999,0,IF(AG13=1,0,BV13+IP13-BI13))</f>
        <v>0.20000000000000284</v>
      </c>
      <c r="DG13" s="24">
        <f>IF(BJ13&gt;=9999,0,BW13+IQ13-BJ13)</f>
        <v>0.19999999999998863</v>
      </c>
      <c r="DH13" s="24">
        <f>IF(BK13&gt;=9999,0,BX13+IR13-BK13)</f>
        <v>0.19999999999998863</v>
      </c>
      <c r="DI13" s="24">
        <f>IF(BL13&gt;=9999,0,BY13+IS13-BL13)</f>
        <v>0.19999999999998863</v>
      </c>
      <c r="DJ13" s="24">
        <f>IF(BM13&gt;=9999,0,BZ13+IT13-BM13)</f>
        <v>0.19999999999998863</v>
      </c>
      <c r="DK13" s="24">
        <f>INT(CW13+DD13)</f>
        <v>0</v>
      </c>
      <c r="DL13" s="24">
        <v>0</v>
      </c>
      <c r="DM13" s="24">
        <f>INT(CY13+DF13)</f>
        <v>0</v>
      </c>
      <c r="DN13" s="24">
        <f>INT(CZ13+DG13)</f>
        <v>0</v>
      </c>
      <c r="DO13" s="24">
        <f>INT(DA13+DH13)</f>
        <v>0</v>
      </c>
      <c r="DP13" s="24">
        <f>INT(DB13+DI13)</f>
        <v>0</v>
      </c>
      <c r="DQ13" s="24">
        <f>INT(DC13+DJ13)</f>
        <v>0</v>
      </c>
      <c r="DR13" s="24">
        <f>CW13+DD13-DK13</f>
        <v>0</v>
      </c>
      <c r="DS13" s="24">
        <v>0</v>
      </c>
      <c r="DT13" s="24">
        <f>CY13+DF13-DM13</f>
        <v>0.8000000000000027</v>
      </c>
      <c r="DU13" s="24">
        <f>CZ13+DG13-DN13</f>
        <v>0.7999999999999885</v>
      </c>
      <c r="DV13" s="24">
        <f>DA13+DH13-DO13</f>
        <v>0.7999999999999885</v>
      </c>
      <c r="DW13" s="24">
        <f>DB13+DI13-DP13</f>
        <v>0.7999999999999885</v>
      </c>
      <c r="DX13" s="24">
        <f>DC13+DJ13-DQ13</f>
        <v>0.7999999999999885</v>
      </c>
      <c r="DY13" s="24">
        <v>1</v>
      </c>
      <c r="DZ13" s="24">
        <v>1</v>
      </c>
      <c r="EA13" s="24">
        <v>0</v>
      </c>
      <c r="EB13" s="24">
        <v>0</v>
      </c>
      <c r="EC13" s="24">
        <v>0</v>
      </c>
      <c r="ED13" s="24">
        <v>0</v>
      </c>
      <c r="EE13" s="24">
        <v>0</v>
      </c>
      <c r="EF13" s="24">
        <v>0</v>
      </c>
      <c r="EG13" s="24">
        <f>IF(AG13=1,1,2)</f>
        <v>2</v>
      </c>
      <c r="EH13" s="24">
        <v>0</v>
      </c>
      <c r="EI13" s="24">
        <v>0</v>
      </c>
      <c r="EJ13" s="24">
        <v>0</v>
      </c>
      <c r="EK13" s="24">
        <v>0</v>
      </c>
      <c r="EL13" s="24">
        <v>0</v>
      </c>
      <c r="EM13" s="24">
        <v>1</v>
      </c>
      <c r="EN13" s="24">
        <f>IF(AG13=1,AF13,1)</f>
        <v>1</v>
      </c>
      <c r="EO13" s="24">
        <v>1</v>
      </c>
      <c r="EP13" s="24">
        <v>1</v>
      </c>
      <c r="EQ13" s="24">
        <v>1</v>
      </c>
      <c r="ER13" s="24">
        <v>1</v>
      </c>
      <c r="ES13" s="24">
        <v>1</v>
      </c>
      <c r="ET13" s="24">
        <v>0</v>
      </c>
      <c r="EU13" s="24">
        <f>BB13</f>
        <v>20.617763436522885</v>
      </c>
      <c r="EV13" s="24">
        <v>0</v>
      </c>
      <c r="EW13" s="24">
        <v>0</v>
      </c>
      <c r="EX13" s="24">
        <v>0</v>
      </c>
      <c r="EY13" s="24">
        <v>0</v>
      </c>
      <c r="EZ13" s="24">
        <v>0</v>
      </c>
      <c r="FA13" s="24">
        <v>0</v>
      </c>
      <c r="FB13" s="24">
        <f>ROUND(P13,0)</f>
        <v>6</v>
      </c>
      <c r="FC13" s="24">
        <v>0</v>
      </c>
      <c r="FD13" s="24">
        <v>0</v>
      </c>
      <c r="FE13" s="24">
        <v>0</v>
      </c>
      <c r="FF13" s="24">
        <v>0</v>
      </c>
      <c r="FG13" s="24">
        <v>0</v>
      </c>
      <c r="FH13" s="24">
        <f>AK13</f>
        <v>0</v>
      </c>
      <c r="FI13" s="24">
        <f>IF(AG13=1,AK13*AF13,FH13)</f>
        <v>0</v>
      </c>
      <c r="FJ13" s="24">
        <f>FI13*II13</f>
        <v>0</v>
      </c>
      <c r="FK13" s="24">
        <f>FJ13*IJ13</f>
        <v>0</v>
      </c>
      <c r="FL13" s="24">
        <f>FK13*IK13</f>
        <v>0</v>
      </c>
      <c r="FM13" s="24">
        <f>FL13*IL13</f>
        <v>0</v>
      </c>
      <c r="FN13" s="24">
        <f>FM13*IM13</f>
        <v>0</v>
      </c>
      <c r="FO13" s="24">
        <v>1</v>
      </c>
      <c r="FP13" s="24">
        <f>FV13</f>
        <v>1</v>
      </c>
      <c r="FQ13" s="24">
        <f>FW13*II13</f>
        <v>0.8</v>
      </c>
      <c r="FR13" s="24">
        <f>FX13*IJ13</f>
        <v>0.6400000000000001</v>
      </c>
      <c r="FS13" s="24">
        <f>FY13*IK13</f>
        <v>0.5120000000000001</v>
      </c>
      <c r="FT13" s="24">
        <f>FZ13*IL13</f>
        <v>0.40960000000000013</v>
      </c>
      <c r="FU13" s="24">
        <f>GA13*IM13</f>
        <v>0.32768000000000014</v>
      </c>
      <c r="FV13" s="24">
        <v>1</v>
      </c>
      <c r="FW13" s="24">
        <f>IF(AG13=1,FP13*AF13,FV13)</f>
        <v>1</v>
      </c>
      <c r="FX13" s="24">
        <f>FQ13</f>
        <v>0.8</v>
      </c>
      <c r="FY13" s="24">
        <f>FR13</f>
        <v>0.6400000000000001</v>
      </c>
      <c r="FZ13" s="24">
        <f>FS13</f>
        <v>0.5120000000000001</v>
      </c>
      <c r="GA13" s="24">
        <f>FT13</f>
        <v>0.40960000000000013</v>
      </c>
      <c r="GB13" s="24">
        <f>FU13</f>
        <v>0.32768000000000014</v>
      </c>
      <c r="GC13" s="24">
        <v>0</v>
      </c>
      <c r="GD13" s="24">
        <f>GC13</f>
        <v>0</v>
      </c>
      <c r="GE13" s="24">
        <f>IF(BI13&gt;=9999,0,INT(BI13/12))</f>
        <v>3</v>
      </c>
      <c r="GF13" s="24">
        <f>IF(BJ13&gt;=9999,0,INT(BJ13/12))</f>
        <v>11</v>
      </c>
      <c r="GG13" s="24">
        <f>IF(BK13&gt;=9999,0,INT(BK13/12))</f>
        <v>18</v>
      </c>
      <c r="GH13" s="24">
        <f>IF(BL13&gt;=9999,0,INT(BL13/12))</f>
        <v>25</v>
      </c>
      <c r="GI13" s="24">
        <f>IF(BM13&gt;=9999,0,INT(BM13/12))</f>
        <v>33</v>
      </c>
      <c r="GJ13" s="24">
        <f>BG13</f>
        <v>0</v>
      </c>
      <c r="GK13" s="24">
        <f>IF(AG13=1,BH13,GJ13)</f>
        <v>0</v>
      </c>
      <c r="GL13" s="24">
        <f>BI13</f>
        <v>45</v>
      </c>
      <c r="GM13" s="24">
        <f>BJ13</f>
        <v>133</v>
      </c>
      <c r="GN13" s="24">
        <f>BK13</f>
        <v>221</v>
      </c>
      <c r="GO13" s="24">
        <f>BL13</f>
        <v>309</v>
      </c>
      <c r="GP13" s="24">
        <f>BM13</f>
        <v>397</v>
      </c>
      <c r="GQ13" s="24">
        <f>CI13</f>
        <v>0</v>
      </c>
      <c r="GR13" s="24">
        <f>IF(AG13=1,I13,GQ13)</f>
        <v>0</v>
      </c>
      <c r="GS13" s="24">
        <f>V13</f>
        <v>0.03</v>
      </c>
      <c r="GT13" s="24">
        <f>V13</f>
        <v>0.03</v>
      </c>
      <c r="GU13" s="24">
        <f>V13</f>
        <v>0.03</v>
      </c>
      <c r="GV13" s="24">
        <f>V13</f>
        <v>0.03</v>
      </c>
      <c r="GW13" s="24">
        <f>V13</f>
        <v>0.03</v>
      </c>
      <c r="GX13" s="24">
        <f>CP13</f>
        <v>1</v>
      </c>
      <c r="GY13" s="24">
        <f>IF(AG13=1,J13,GX13)</f>
        <v>1</v>
      </c>
      <c r="GZ13" s="24">
        <f>W13</f>
        <v>1</v>
      </c>
      <c r="HA13" s="24">
        <f>W13</f>
        <v>1</v>
      </c>
      <c r="HB13" s="24">
        <f>W13</f>
        <v>1</v>
      </c>
      <c r="HC13" s="24">
        <f>W13</f>
        <v>1</v>
      </c>
      <c r="HD13" s="24">
        <f>W13</f>
        <v>1</v>
      </c>
      <c r="HE13" s="24">
        <f>IF(BU13&gt;=9999,1,(1+X13)^(BU13/12))</f>
        <v>1.1144736992715074</v>
      </c>
      <c r="HF13" s="24">
        <f>IF(AG13=1,IF(BV13&gt;=9999,1,(1+X13)^(BV13/12)),HE13)</f>
        <v>1.1144736992715074</v>
      </c>
      <c r="HG13" s="24">
        <f>IF(BW13&gt;=9999,1,(1+X13)^(BW13/12))</f>
        <v>1.384233870724446</v>
      </c>
      <c r="HH13" s="24">
        <f>IF(BX13&gt;=9999,1,(1+X13)^(BX13/12))</f>
        <v>1.7192899304068567</v>
      </c>
      <c r="HI13" s="24">
        <f>IF(BY13&gt;=9999,1,(1+X13)^(BY13/12))</f>
        <v>2.1354468542598215</v>
      </c>
      <c r="HJ13" s="24">
        <f>IF(BZ13&gt;=9999,1,(1+X13)^(BZ13/12))</f>
        <v>2.652335238355666</v>
      </c>
      <c r="HK13" s="24">
        <f>IF(CA13&gt;=9999,1,(1+X13)^(CA13/12))</f>
        <v>3.2943372964725954</v>
      </c>
      <c r="HL13" s="24">
        <f>IF(AND(F13&gt;0,C13&gt;0),F13,-1)</f>
        <v>-1</v>
      </c>
      <c r="HM13" s="24">
        <f>IF(AG13=1,BU13+FB13,-1)</f>
        <v>-1</v>
      </c>
      <c r="HN13" s="24">
        <f>IF(BI13&gt;=9999,-1,BV13+ROUND(IP13,0))</f>
        <v>45</v>
      </c>
      <c r="HO13" s="24">
        <f>IF(BJ13&gt;=9999,-1,IF(HN13&lt;0,BW13,HN13+BP13)+ROUND(IQ13,0))</f>
        <v>133</v>
      </c>
      <c r="HP13" s="24">
        <f>IF(BK13&gt;=9999,-1,IF(HO13&lt;0,BX13,HO13+BQ13)+ROUND(IR13,0))</f>
        <v>221</v>
      </c>
      <c r="HQ13" s="24">
        <f>IF(BL13&gt;=9999,-1,IF(HP13&lt;0,BY13,HP13+BR13)+ROUND(IS13,0))</f>
        <v>309</v>
      </c>
      <c r="HR13" s="24">
        <f>IF(BM13&gt;=9999,-1,IF(HQ13&lt;0,BZ13,HQ13+BS13)+ROUND(IT13,0))</f>
        <v>397</v>
      </c>
      <c r="HS13" s="24">
        <f>IF(HL13&lt;0,0,C13*K13)</f>
        <v>0</v>
      </c>
      <c r="HT13" s="24">
        <f>IF(AG13=1,C13*R13*(1+in_ExpenseGrowth)^(HM13/12)*(1-AF13),0)</f>
        <v>0</v>
      </c>
      <c r="HU13" s="24">
        <f>IF(HN13&lt;0,0,C13*(S13*II13+R13*(1-II13))*(1+in_ExpenseGrowth)^(HN13/12))</f>
        <v>13571.291823320877</v>
      </c>
      <c r="HV13" s="24">
        <f>IF(HO13&lt;0,0,C13*(S13*IJ13+R13*(1-IJ13))*(1+in_ExpenseGrowth)^(HO13/12))</f>
        <v>15692.390811136429</v>
      </c>
      <c r="HW13" s="24">
        <f>IF(HP13&lt;0,0,C13*(S13*IK13+R13*(1-IK13))*(1+in_ExpenseGrowth)^(HP13/12))</f>
        <v>18145.002891049888</v>
      </c>
      <c r="HX13" s="24">
        <f>IF(HQ13&lt;0,0,C13*(S13*IL13+R13*(1-IL13))*(1+in_ExpenseGrowth)^(HQ13/12))</f>
        <v>20980.94126502101</v>
      </c>
      <c r="HY13" s="24">
        <f>IF(HR13&lt;0,0,C13*(S13*IM13+R13*(1-IM13))*(1+in_ExpenseGrowth)^(HR13/12))</f>
        <v>24260.11717988715</v>
      </c>
      <c r="HZ13" s="24">
        <f>IF(HL13&lt;0,0,L13*C13*E13*AQ13)</f>
        <v>0</v>
      </c>
      <c r="IA13" s="24">
        <f>IF(AG13=1,T13*C13*O13*(1+X13)^(MAX(0,HM13-F13)/12)*AB13*(1-AF13),0)</f>
        <v>0</v>
      </c>
      <c r="IB13" s="24">
        <f>IF(HN13&lt;0,0,(U13*II13+T13*(1-II13))*C13*O13*(1+X13)^(MAX(0,HN13-F13)/12)*(AA13*II13+1-II13)*AB13)</f>
        <v>8601.477164258895</v>
      </c>
      <c r="IC13" s="24">
        <f>IF(HO13&lt;0,0,(U13*IJ13+T13*(1-IJ13))*C13*O13*(1+X13)^(MAX(0,HO13-F13)/12)*(AA13*IJ13+1-IJ13)*AB13)</f>
        <v>10683.478701034268</v>
      </c>
      <c r="ID13" s="24">
        <f>IF(HP13&lt;0,0,(U13*IK13+T13*(1-IK13))*C13*O13*(1+X13)^(MAX(0,HP13-F13)/12)*(AA13*IK13+1-IK13)*AB13)</f>
        <v>13269.43209588663</v>
      </c>
      <c r="IE13" s="24">
        <f>IF(HQ13&lt;0,0,(U13*IL13+T13*(1-IL13))*C13*O13*(1+X13)^(MAX(0,HQ13-F13)/12)*(AA13*IL13+1-IL13)*AB13)</f>
        <v>16481.319715674643</v>
      </c>
      <c r="IF13" s="24">
        <f>IF(HR13&lt;0,0,(U13*IM13+T13*(1-IM13))*C13*O13*(1+X13)^(MAX(0,HR13-F13)/12)*(AA13*IM13+1-IM13)*AB13)</f>
        <v>20470.649957543326</v>
      </c>
      <c r="IG13" s="24">
        <v>1</v>
      </c>
      <c r="IH13" s="24">
        <f>IF(AG13=1,AF13,1)</f>
        <v>1</v>
      </c>
      <c r="II13" s="24">
        <f>IF(AG13=1,AC13,AE13)</f>
        <v>0.8</v>
      </c>
      <c r="IJ13" s="24">
        <f>AC13</f>
        <v>0.8</v>
      </c>
      <c r="IK13" s="24">
        <f>AC13</f>
        <v>0.8</v>
      </c>
      <c r="IL13" s="24">
        <f>AC13</f>
        <v>0.8</v>
      </c>
      <c r="IM13" s="24">
        <f>AC13</f>
        <v>0.8</v>
      </c>
      <c r="IN13" s="24">
        <v>0</v>
      </c>
      <c r="IO13" s="24">
        <f>P13</f>
        <v>6</v>
      </c>
      <c r="IP13" s="24">
        <f>P13*(1-II13)</f>
        <v>1.1999999999999997</v>
      </c>
      <c r="IQ13" s="24">
        <f>P13*(1-IJ13)</f>
        <v>1.1999999999999997</v>
      </c>
      <c r="IR13" s="24">
        <f>P13*(1-IK13)</f>
        <v>1.1999999999999997</v>
      </c>
      <c r="IS13" s="24">
        <f>P13*(1-IL13)</f>
        <v>1.1999999999999997</v>
      </c>
      <c r="IT13" s="24">
        <f>P13*(1-IM13)</f>
        <v>1.1999999999999997</v>
      </c>
    </row>
    <row r="14">
      <c r="A14" s="25">
        <v>7</v>
      </c>
      <c r="B14" s="23" t="str">
        <f>IF('Rent Roll'!C14="","",'Rent Roll'!C14)</f>
        <v>Sunfield Nails</v>
      </c>
      <c r="C14" s="24">
        <f>IF(ISNUMBER('Rent Roll'!E14),MAX(0,'Rent Roll'!E14),0)</f>
        <v>1400</v>
      </c>
      <c r="D14" s="88">
        <f>IF(a_GLA&gt;0,C14/a_GLA,0)</f>
        <v>0.023450586264656615</v>
      </c>
      <c r="E14" s="29">
        <f>IF(BC14=1,ROUND(BD14*(1+X14)^(F14/12),2),BD14)</f>
        <v>28</v>
      </c>
      <c r="F14" s="24">
        <f>IF(C14&gt;0,MAX(0,(YEAR(IF(ISNUMBER('Rent Roll'!G14),'Rent Roll'!G14,0))-YEAR(in_AnalysisStart))*12+MONTH(IF(ISNUMBER('Rent Roll'!G14),'Rent Roll'!G14,0))-MONTH(in_AnalysisStart)),0)</f>
        <v>0</v>
      </c>
      <c r="G14" s="24">
        <f>IF(C14&gt;0,MAX(0,(YEAR(IF(ISNUMBER('Rent Roll'!H14),'Rent Roll'!H14,0))-YEAR(in_AnalysisStart))*12+MONTH(IF(ISNUMBER('Rent Roll'!H14),'Rent Roll'!H14,0))-MONTH(in_AnalysisStart)+1-F14),0)</f>
        <v>27</v>
      </c>
      <c r="H14" s="24">
        <f>IF(ISNUMBER('Rent Roll'!N14),'Rent Roll'!N14,0)</f>
        <v>0</v>
      </c>
      <c r="I14" s="88">
        <f>IF(ISNUMBER('Rent Roll'!L14),'Rent Roll'!L14,0)</f>
        <v>0</v>
      </c>
      <c r="J14" s="24">
        <f>MAX(1,ROUND(IF(ISNUMBER('Rent Roll'!M14),'Rent Roll'!M14,0),0))</f>
        <v>1</v>
      </c>
      <c r="K14" s="29">
        <f>IF(ISNUMBER('Rent Roll'!AJ14),'Rent Roll'!AJ14,0)</f>
        <v>12</v>
      </c>
      <c r="L14" s="88">
        <f>IF(IF(ISNUMBER('Rent Roll'!AK14),'Rent Roll'!AK14,0)&gt;0,'Rent Roll'!AK14,a_LeaseUpLC)</f>
        <v>0.05</v>
      </c>
      <c r="M14" s="24">
        <f>IF('Rent Roll'!R14="",0,IFERROR(MATCH('Rent Roll'!R14,a_PName,0),0))</f>
        <v>2</v>
      </c>
      <c r="N14" s="24">
        <f>IF(M14&gt;0,1,0)</f>
        <v>1</v>
      </c>
      <c r="O14" s="29">
        <f>IF(IF(ISNUMBER('Rent Roll'!S14),'Rent Roll'!S14,0)&gt;0,'Rent Roll'!S14,IF(M14&gt;0,IF(ISNUMBER(INDEX(a_PRent,M14)),INDEX(a_PRent,M14),0),0))</f>
        <v>18.5</v>
      </c>
      <c r="P14" s="24">
        <f>IF(M14&gt;0,IF(ISNUMBER(INDEX(a_PDown,M14)),INDEX(a_PDown,M14),0),0)</f>
        <v>6</v>
      </c>
      <c r="Q14" s="24">
        <f>IF(M14&gt;0,MAX(1,IF(ISNUMBER(INDEX(a_PTerm,M14)),INDEX(a_PTerm,M14),0)),5)</f>
        <v>7.25</v>
      </c>
      <c r="R14" s="29">
        <f>IF(M14&gt;0,IF(ISNUMBER(INDEX(a_PTiNew,M14)),INDEX(a_PTiNew,M14),0),0)</f>
        <v>15</v>
      </c>
      <c r="S14" s="29">
        <f>IF(M14&gt;0,IF(ISNUMBER(INDEX(a_PTiRen,M14)),INDEX(a_PTiRen,M14),0),0)</f>
        <v>5</v>
      </c>
      <c r="T14" s="88">
        <f>IF(M14&gt;0,IF(ISNUMBER(INDEX(a_PLcNew,M14)),INDEX(a_PLcNew,M14),0),0)</f>
        <v>0.05</v>
      </c>
      <c r="U14" s="88">
        <f>IF(M14&gt;0,IF(ISNUMBER(INDEX(a_PLcRen,M14)),INDEX(a_PLcRen,M14),0),0)</f>
        <v>0.02</v>
      </c>
      <c r="V14" s="88">
        <f>IF(M14&gt;0,IF(ISNUMBER(INDEX(a_PBump,M14)),INDEX(a_PBump,M14),0),0)</f>
        <v>0.03</v>
      </c>
      <c r="W14" s="24">
        <f>MAX(1,ROUND(IF(M14&gt;0,IF(ISNUMBER(INDEX(a_PEvery,M14)),INDEX(a_PEvery,M14),0),1),0))</f>
        <v>1</v>
      </c>
      <c r="X14" s="88">
        <f>IF(M14&gt;0,IF(ISNUMBER(INDEX(a_PGrow,M14)),INDEX(a_PGrow,M14),in_RentGrowth),in_RentGrowth)</f>
        <v>0.03</v>
      </c>
      <c r="Y14" s="24">
        <f>IF(M14&gt;0,IF(ISNUMBER(INDEX(a_PFreeNew,M14)),INDEX(a_PFreeNew,M14),0),0)</f>
        <v>3</v>
      </c>
      <c r="Z14" s="24">
        <f>IF(M14&gt;0,IF(ISNUMBER(INDEX(a_PFreeRen,M14)),INDEX(a_PFreeRen,M14),0),0)</f>
        <v>0</v>
      </c>
      <c r="AA14" s="88">
        <f>IF(M14&gt;0,IF(ISNUMBER(INDEX(a_PRenPct,M14)),INDEX(a_PRenPct,M14),1),1)</f>
        <v>1</v>
      </c>
      <c r="AB14" s="24">
        <f>IF(M14&gt;0,IF(ISNUMBER(INDEX(a_PAF,M14)),INDEX(a_PAF,M14),0),0)</f>
        <v>8.89233604625388</v>
      </c>
      <c r="AC14" s="88">
        <f>IF(ISNUMBER('Rent Roll'!V14),'Rent Roll'!V14,IF(M14&gt;0,IF(ISNUMBER(INDEX(a_PRenew,M14)),INDEX(a_PRenew,M14),0),0.8))</f>
        <v>0.8</v>
      </c>
      <c r="AD14" s="23" t="str">
        <f>IF('Rent Roll'!W14="","Probability",'Rent Roll'!W14)</f>
        <v>Probability</v>
      </c>
      <c r="AE14" s="88">
        <f>IF(AD14="Renew",1,IF(AD14="Vacate",0,AC14))</f>
        <v>0.8</v>
      </c>
      <c r="AF14" s="88">
        <f>IF(AD14="Renew",1,IF(ISNUMBER('Rent Roll'!AA14),'Rent Roll'!AA14,AC14))</f>
        <v>0.8</v>
      </c>
      <c r="AG14" s="24">
        <f>IF(AND(N14=1,IF(ISNUMBER('Rent Roll'!Y14),'Rent Roll'!Y14,0)&gt;0,IF(ISNUMBER('Rent Roll'!Z14),'Rent Roll'!Z14,0)&gt;0,AF14&gt;0,AD14&lt;&gt;"Vacate",C14&gt;0),1,0)</f>
        <v>0</v>
      </c>
      <c r="AH14" s="24">
        <f>ROUND(12*IF(ISNUMBER('Rent Roll'!Y14),'Rent Roll'!Y14,0),0)</f>
        <v>0</v>
      </c>
      <c r="AI14" s="29">
        <f>IF(ISNUMBER('Rent Roll'!Z14),'Rent Roll'!Z14,0)</f>
        <v>0</v>
      </c>
      <c r="AJ14" s="24">
        <f>IF('Rent Roll'!P14="Base year",1,0)</f>
        <v>0</v>
      </c>
      <c r="AK14" s="88">
        <f>IF(ISNUMBER('Rent Roll'!Q14),'Rent Roll'!Q14,0)</f>
        <v>0</v>
      </c>
      <c r="AL14" s="24">
        <f>IF(AND('Rent Roll'!AH14="Yes",a_AnchorInVac&lt;&gt;"Yes"),1,0)</f>
        <v>0</v>
      </c>
      <c r="AM14" s="29">
        <f>IF(ISNUMBER('Rent Roll'!AL14),'Rent Roll'!AL14,0)</f>
        <v>0</v>
      </c>
      <c r="AN14" s="88">
        <f>IF(ISNUMBER('Rent Roll'!AM14),'Rent Roll'!AM14,0)</f>
        <v>0</v>
      </c>
      <c r="AO14" s="88">
        <f>IF(AND(BC14=1,N14=1),V14,I14)</f>
        <v>0</v>
      </c>
      <c r="AP14" s="24">
        <f>IF(AND(BC14=1,N14=1),W14,J14)</f>
        <v>1</v>
      </c>
      <c r="AQ14" s="24">
        <f>IF(AO14=0,G14/12,AP14*((1+AO14)^INT(INT(G14/12)/AP14)-1)/AO14+(INT(G14/12)-INT(INT(G14/12)/AP14)*AP14)*(1+AO14)^INT(INT(G14/12)/AP14)+(G14/12-INT(G14/12))*(1+AO14)^INT(INT(G14/12)/AP14))</f>
        <v>2.25</v>
      </c>
      <c r="AR14" s="24">
        <f>IF(AND(C14&gt;0,BU14&lt;9999,BU14&gt;0),INT((BU14-1)/12)+1,0)</f>
        <v>3</v>
      </c>
      <c r="AS14" s="24">
        <f>COUNTIF('Lease Cycles'!$BG$14:$BM$14,"&lt;132")</f>
        <v>4</v>
      </c>
      <c r="AT14" s="24">
        <f>IF(AND(ISNUMBER('Rent Roll'!AR14),IF(ISNUMBER('Rent Roll'!AS14),'Rent Roll'!AS14,0)&gt;0),(YEAR('Rent Roll'!AR14)-YEAR(in_AnalysisStart))*12+MONTH('Rent Roll'!AR14)-MONTH(in_AnalysisStart),9999)</f>
        <v>9999</v>
      </c>
      <c r="AU14" s="29">
        <f>IF(ISNUMBER('Rent Roll'!AS14),'Rent Roll'!AS14,0)</f>
        <v>0</v>
      </c>
      <c r="AV14" s="24">
        <f>IF(AND(ISNUMBER('Rent Roll'!AT14),IF(ISNUMBER('Rent Roll'!AU14),'Rent Roll'!AU14,0)&gt;0),(YEAR('Rent Roll'!AT14)-YEAR(in_AnalysisStart))*12+MONTH('Rent Roll'!AT14)-MONTH(in_AnalysisStart),9999)</f>
        <v>9999</v>
      </c>
      <c r="AW14" s="29">
        <f>IF(ISNUMBER('Rent Roll'!AU14),'Rent Roll'!AU14,0)</f>
        <v>0</v>
      </c>
      <c r="AX14" s="24">
        <f>IF(AND(ISNUMBER('Rent Roll'!AV14),IF(ISNUMBER('Rent Roll'!AW14),'Rent Roll'!AW14,0)&gt;0),(YEAR('Rent Roll'!AV14)-YEAR(in_AnalysisStart))*12+MONTH('Rent Roll'!AV14)-MONTH(in_AnalysisStart),9999)</f>
        <v>9999</v>
      </c>
      <c r="AY14" s="29">
        <f>IF(ISNUMBER('Rent Roll'!AW14),'Rent Roll'!AW14,0)</f>
        <v>0</v>
      </c>
      <c r="AZ14" s="24">
        <f>IF(AND(ISNUMBER('Rent Roll'!AX14),IF(ISNUMBER('Rent Roll'!AY14),'Rent Roll'!AY14,0)&gt;0),(YEAR('Rent Roll'!AX14)-YEAR(in_AnalysisStart))*12+MONTH('Rent Roll'!AX14)-MONTH(in_AnalysisStart),9999)</f>
        <v>9999</v>
      </c>
      <c r="BA14" s="29">
        <f>IF(ISNUMBER('Rent Roll'!AY14),'Rent Roll'!AY14,0)</f>
        <v>0</v>
      </c>
      <c r="BB14" s="29">
        <f>IF(BU14&gt;=9999,O14,O14*(1+X14)^((BU14-F14)/12))</f>
        <v>19.77222227180644</v>
      </c>
      <c r="BC14" s="24">
        <f>IF(AND('Rent Roll'!AZ14="Yes",F14&gt;0,BD14&gt;0,AT14&gt;=9999),1,0)</f>
        <v>0</v>
      </c>
      <c r="BD14" s="29">
        <f>IF(ISNUMBER('Rent Roll'!I14),'Rent Roll'!I14,0)</f>
        <v>28</v>
      </c>
      <c r="BE14" s="24">
        <f>IF(a_MarketRecovery="Base year",1,0)</f>
        <v>0</v>
      </c>
      <c r="BG14" s="24">
        <f>IF(C14&gt;0,F14,9999)</f>
        <v>0</v>
      </c>
      <c r="BH14" s="24">
        <f>BU14</f>
        <v>27</v>
      </c>
      <c r="BI14" s="24">
        <f>IF(OR(N14=0,BV14&gt;=9999),9999,IF(AG14=1,BV14,INT(BV14+IP14)))</f>
        <v>28</v>
      </c>
      <c r="BJ14" s="24">
        <f>IF(OR(N14=0,BW14&gt;=9999),9999,INT(BW14+IQ14))</f>
        <v>116</v>
      </c>
      <c r="BK14" s="24">
        <f>IF(OR(N14=0,BX14&gt;=9999),9999,INT(BX14+IR14))</f>
        <v>204</v>
      </c>
      <c r="BL14" s="24">
        <f>IF(OR(N14=0,BY14&gt;=9999),9999,INT(BY14+IS14))</f>
        <v>292</v>
      </c>
      <c r="BM14" s="24">
        <f>IF(OR(N14=0,BZ14&gt;=9999),9999,INT(BZ14+IT14))</f>
        <v>380</v>
      </c>
      <c r="BN14" s="24">
        <f>G14</f>
        <v>27</v>
      </c>
      <c r="BO14" s="24">
        <f>IF(AG14=1,AH14,0)</f>
        <v>0</v>
      </c>
      <c r="BP14" s="24">
        <f>MAX(12,ROUND(12*Q14,0))</f>
        <v>87</v>
      </c>
      <c r="BQ14" s="24">
        <f>MAX(12,ROUND(12*Q14,0))</f>
        <v>87</v>
      </c>
      <c r="BR14" s="24">
        <f>MAX(12,ROUND(12*Q14,0))</f>
        <v>87</v>
      </c>
      <c r="BS14" s="24">
        <f>MAX(12,ROUND(12*Q14,0))</f>
        <v>87</v>
      </c>
      <c r="BT14" s="24">
        <f>MAX(12,ROUND(12*Q14,0))</f>
        <v>87</v>
      </c>
      <c r="BU14" s="24">
        <f>BG14+BN14</f>
        <v>27</v>
      </c>
      <c r="BV14" s="24">
        <f>BH14+BO14</f>
        <v>27</v>
      </c>
      <c r="BW14" s="24">
        <f>IF(BI14&gt;=9999,9999,BI14+BP14)</f>
        <v>115</v>
      </c>
      <c r="BX14" s="24">
        <f>IF(BJ14&gt;=9999,9999,BJ14+BQ14)</f>
        <v>203</v>
      </c>
      <c r="BY14" s="24">
        <f>IF(BK14&gt;=9999,9999,BK14+BR14)</f>
        <v>291</v>
      </c>
      <c r="BZ14" s="24">
        <f>IF(BL14&gt;=9999,9999,BL14+BS14)</f>
        <v>379</v>
      </c>
      <c r="CA14" s="24">
        <f>IF(BM14&gt;=9999,9999,BM14+BT14)</f>
        <v>467</v>
      </c>
      <c r="CB14" s="24">
        <f>E14</f>
        <v>28</v>
      </c>
      <c r="CC14" s="24">
        <f>AI14</f>
        <v>0</v>
      </c>
      <c r="CD14" s="24">
        <f>IF(BI14&gt;=9999,0,O14*(1+X14)^((BI14-F14)/12)*(AA14*II14+1-II14))</f>
        <v>19.82098590592667</v>
      </c>
      <c r="CE14" s="24">
        <f>IF(BJ14&gt;=9999,0,O14*(1+X14)^((BJ14-F14)/12)*(AA14*IJ14+1-IJ14))</f>
        <v>24.618687780671802</v>
      </c>
      <c r="CF14" s="24">
        <f>IF(BK14&gt;=9999,0,O14*(1+X14)^((BK14-F14)/12)*(AA14*IK14+1-IK14))</f>
        <v>30.57768119702741</v>
      </c>
      <c r="CG14" s="24">
        <f>IF(BL14&gt;=9999,0,O14*(1+X14)^((BL14-F14)/12)*(AA14*IL14+1-IL14))</f>
        <v>37.979058661327606</v>
      </c>
      <c r="CH14" s="24">
        <f>IF(BM14&gt;=9999,0,O14*(1+X14)^((BM14-F14)/12)*(AA14*IM14+1-IM14))</f>
        <v>47.17195157822453</v>
      </c>
      <c r="CI14" s="24">
        <f>AO14</f>
        <v>0</v>
      </c>
      <c r="CJ14" s="24">
        <f>I14</f>
        <v>0</v>
      </c>
      <c r="CK14" s="24">
        <f>V14</f>
        <v>0.03</v>
      </c>
      <c r="CL14" s="24">
        <f>V14</f>
        <v>0.03</v>
      </c>
      <c r="CM14" s="24">
        <f>V14</f>
        <v>0.03</v>
      </c>
      <c r="CN14" s="24">
        <f>V14</f>
        <v>0.03</v>
      </c>
      <c r="CO14" s="24">
        <f>V14</f>
        <v>0.03</v>
      </c>
      <c r="CP14" s="24">
        <f>AP14</f>
        <v>1</v>
      </c>
      <c r="CQ14" s="24">
        <f>J14</f>
        <v>1</v>
      </c>
      <c r="CR14" s="24">
        <f>W14</f>
        <v>1</v>
      </c>
      <c r="CS14" s="24">
        <f>W14</f>
        <v>1</v>
      </c>
      <c r="CT14" s="24">
        <f>W14</f>
        <v>1</v>
      </c>
      <c r="CU14" s="24">
        <f>W14</f>
        <v>1</v>
      </c>
      <c r="CV14" s="24">
        <f>W14</f>
        <v>1</v>
      </c>
      <c r="CW14" s="24">
        <f>H14</f>
        <v>0</v>
      </c>
      <c r="CX14" s="24">
        <v>0</v>
      </c>
      <c r="CY14" s="24">
        <f>Y14*(1-II14)+Z14*II14</f>
        <v>0.5999999999999999</v>
      </c>
      <c r="CZ14" s="24">
        <f>Y14*(1-IJ14)+Z14*IJ14</f>
        <v>0.5999999999999999</v>
      </c>
      <c r="DA14" s="24">
        <f>Y14*(1-IK14)+Z14*IK14</f>
        <v>0.5999999999999999</v>
      </c>
      <c r="DB14" s="24">
        <f>Y14*(1-IL14)+Z14*IL14</f>
        <v>0.5999999999999999</v>
      </c>
      <c r="DC14" s="24">
        <f>Y14*(1-IM14)+Z14*IM14</f>
        <v>0.5999999999999999</v>
      </c>
      <c r="DD14" s="24">
        <v>0</v>
      </c>
      <c r="DE14" s="24">
        <v>0</v>
      </c>
      <c r="DF14" s="24">
        <f>IF(BI14&gt;=9999,0,IF(AG14=1,0,BV14+IP14-BI14))</f>
        <v>0.1999999999999993</v>
      </c>
      <c r="DG14" s="24">
        <f>IF(BJ14&gt;=9999,0,BW14+IQ14-BJ14)</f>
        <v>0.20000000000000284</v>
      </c>
      <c r="DH14" s="24">
        <f>IF(BK14&gt;=9999,0,BX14+IR14-BK14)</f>
        <v>0.19999999999998863</v>
      </c>
      <c r="DI14" s="24">
        <f>IF(BL14&gt;=9999,0,BY14+IS14-BL14)</f>
        <v>0.19999999999998863</v>
      </c>
      <c r="DJ14" s="24">
        <f>IF(BM14&gt;=9999,0,BZ14+IT14-BM14)</f>
        <v>0.19999999999998863</v>
      </c>
      <c r="DK14" s="24">
        <f>INT(CW14+DD14)</f>
        <v>0</v>
      </c>
      <c r="DL14" s="24">
        <v>0</v>
      </c>
      <c r="DM14" s="24">
        <f>INT(CY14+DF14)</f>
        <v>0</v>
      </c>
      <c r="DN14" s="24">
        <f>INT(CZ14+DG14)</f>
        <v>0</v>
      </c>
      <c r="DO14" s="24">
        <f>INT(DA14+DH14)</f>
        <v>0</v>
      </c>
      <c r="DP14" s="24">
        <f>INT(DB14+DI14)</f>
        <v>0</v>
      </c>
      <c r="DQ14" s="24">
        <f>INT(DC14+DJ14)</f>
        <v>0</v>
      </c>
      <c r="DR14" s="24">
        <f>CW14+DD14-DK14</f>
        <v>0</v>
      </c>
      <c r="DS14" s="24">
        <v>0</v>
      </c>
      <c r="DT14" s="24">
        <f>CY14+DF14-DM14</f>
        <v>0.7999999999999992</v>
      </c>
      <c r="DU14" s="24">
        <f>CZ14+DG14-DN14</f>
        <v>0.8000000000000027</v>
      </c>
      <c r="DV14" s="24">
        <f>DA14+DH14-DO14</f>
        <v>0.7999999999999885</v>
      </c>
      <c r="DW14" s="24">
        <f>DB14+DI14-DP14</f>
        <v>0.7999999999999885</v>
      </c>
      <c r="DX14" s="24">
        <f>DC14+DJ14-DQ14</f>
        <v>0.7999999999999885</v>
      </c>
      <c r="DY14" s="24">
        <v>1</v>
      </c>
      <c r="DZ14" s="24">
        <v>1</v>
      </c>
      <c r="EA14" s="24">
        <v>0</v>
      </c>
      <c r="EB14" s="24">
        <v>0</v>
      </c>
      <c r="EC14" s="24">
        <v>0</v>
      </c>
      <c r="ED14" s="24">
        <v>0</v>
      </c>
      <c r="EE14" s="24">
        <v>0</v>
      </c>
      <c r="EF14" s="24">
        <v>0</v>
      </c>
      <c r="EG14" s="24">
        <f>IF(AG14=1,1,2)</f>
        <v>2</v>
      </c>
      <c r="EH14" s="24">
        <v>0</v>
      </c>
      <c r="EI14" s="24">
        <v>0</v>
      </c>
      <c r="EJ14" s="24">
        <v>0</v>
      </c>
      <c r="EK14" s="24">
        <v>0</v>
      </c>
      <c r="EL14" s="24">
        <v>0</v>
      </c>
      <c r="EM14" s="24">
        <v>1</v>
      </c>
      <c r="EN14" s="24">
        <f>IF(AG14=1,AF14,1)</f>
        <v>1</v>
      </c>
      <c r="EO14" s="24">
        <v>1</v>
      </c>
      <c r="EP14" s="24">
        <v>1</v>
      </c>
      <c r="EQ14" s="24">
        <v>1</v>
      </c>
      <c r="ER14" s="24">
        <v>1</v>
      </c>
      <c r="ES14" s="24">
        <v>1</v>
      </c>
      <c r="ET14" s="24">
        <v>0</v>
      </c>
      <c r="EU14" s="24">
        <f>BB14</f>
        <v>19.77222227180644</v>
      </c>
      <c r="EV14" s="24">
        <v>0</v>
      </c>
      <c r="EW14" s="24">
        <v>0</v>
      </c>
      <c r="EX14" s="24">
        <v>0</v>
      </c>
      <c r="EY14" s="24">
        <v>0</v>
      </c>
      <c r="EZ14" s="24">
        <v>0</v>
      </c>
      <c r="FA14" s="24">
        <v>0</v>
      </c>
      <c r="FB14" s="24">
        <f>ROUND(P14,0)</f>
        <v>6</v>
      </c>
      <c r="FC14" s="24">
        <v>0</v>
      </c>
      <c r="FD14" s="24">
        <v>0</v>
      </c>
      <c r="FE14" s="24">
        <v>0</v>
      </c>
      <c r="FF14" s="24">
        <v>0</v>
      </c>
      <c r="FG14" s="24">
        <v>0</v>
      </c>
      <c r="FH14" s="24">
        <f>AK14</f>
        <v>0</v>
      </c>
      <c r="FI14" s="24">
        <f>IF(AG14=1,AK14*AF14,FH14)</f>
        <v>0</v>
      </c>
      <c r="FJ14" s="24">
        <f>FI14*II14</f>
        <v>0</v>
      </c>
      <c r="FK14" s="24">
        <f>FJ14*IJ14</f>
        <v>0</v>
      </c>
      <c r="FL14" s="24">
        <f>FK14*IK14</f>
        <v>0</v>
      </c>
      <c r="FM14" s="24">
        <f>FL14*IL14</f>
        <v>0</v>
      </c>
      <c r="FN14" s="24">
        <f>FM14*IM14</f>
        <v>0</v>
      </c>
      <c r="FO14" s="24">
        <v>1</v>
      </c>
      <c r="FP14" s="24">
        <f>FV14</f>
        <v>1</v>
      </c>
      <c r="FQ14" s="24">
        <f>FW14*II14</f>
        <v>0.8</v>
      </c>
      <c r="FR14" s="24">
        <f>FX14*IJ14</f>
        <v>0.6400000000000001</v>
      </c>
      <c r="FS14" s="24">
        <f>FY14*IK14</f>
        <v>0.5120000000000001</v>
      </c>
      <c r="FT14" s="24">
        <f>FZ14*IL14</f>
        <v>0.40960000000000013</v>
      </c>
      <c r="FU14" s="24">
        <f>GA14*IM14</f>
        <v>0.32768000000000014</v>
      </c>
      <c r="FV14" s="24">
        <v>1</v>
      </c>
      <c r="FW14" s="24">
        <f>IF(AG14=1,FP14*AF14,FV14)</f>
        <v>1</v>
      </c>
      <c r="FX14" s="24">
        <f>FQ14</f>
        <v>0.8</v>
      </c>
      <c r="FY14" s="24">
        <f>FR14</f>
        <v>0.6400000000000001</v>
      </c>
      <c r="FZ14" s="24">
        <f>FS14</f>
        <v>0.5120000000000001</v>
      </c>
      <c r="GA14" s="24">
        <f>FT14</f>
        <v>0.40960000000000013</v>
      </c>
      <c r="GB14" s="24">
        <f>FU14</f>
        <v>0.32768000000000014</v>
      </c>
      <c r="GC14" s="24">
        <v>0</v>
      </c>
      <c r="GD14" s="24">
        <f>GC14</f>
        <v>0</v>
      </c>
      <c r="GE14" s="24">
        <f>IF(BI14&gt;=9999,0,INT(BI14/12))</f>
        <v>2</v>
      </c>
      <c r="GF14" s="24">
        <f>IF(BJ14&gt;=9999,0,INT(BJ14/12))</f>
        <v>9</v>
      </c>
      <c r="GG14" s="24">
        <f>IF(BK14&gt;=9999,0,INT(BK14/12))</f>
        <v>17</v>
      </c>
      <c r="GH14" s="24">
        <f>IF(BL14&gt;=9999,0,INT(BL14/12))</f>
        <v>24</v>
      </c>
      <c r="GI14" s="24">
        <f>IF(BM14&gt;=9999,0,INT(BM14/12))</f>
        <v>31</v>
      </c>
      <c r="GJ14" s="24">
        <f>BG14</f>
        <v>0</v>
      </c>
      <c r="GK14" s="24">
        <f>IF(AG14=1,BH14,GJ14)</f>
        <v>0</v>
      </c>
      <c r="GL14" s="24">
        <f>BI14</f>
        <v>28</v>
      </c>
      <c r="GM14" s="24">
        <f>BJ14</f>
        <v>116</v>
      </c>
      <c r="GN14" s="24">
        <f>BK14</f>
        <v>204</v>
      </c>
      <c r="GO14" s="24">
        <f>BL14</f>
        <v>292</v>
      </c>
      <c r="GP14" s="24">
        <f>BM14</f>
        <v>380</v>
      </c>
      <c r="GQ14" s="24">
        <f>CI14</f>
        <v>0</v>
      </c>
      <c r="GR14" s="24">
        <f>IF(AG14=1,I14,GQ14)</f>
        <v>0</v>
      </c>
      <c r="GS14" s="24">
        <f>V14</f>
        <v>0.03</v>
      </c>
      <c r="GT14" s="24">
        <f>V14</f>
        <v>0.03</v>
      </c>
      <c r="GU14" s="24">
        <f>V14</f>
        <v>0.03</v>
      </c>
      <c r="GV14" s="24">
        <f>V14</f>
        <v>0.03</v>
      </c>
      <c r="GW14" s="24">
        <f>V14</f>
        <v>0.03</v>
      </c>
      <c r="GX14" s="24">
        <f>CP14</f>
        <v>1</v>
      </c>
      <c r="GY14" s="24">
        <f>IF(AG14=1,J14,GX14)</f>
        <v>1</v>
      </c>
      <c r="GZ14" s="24">
        <f>W14</f>
        <v>1</v>
      </c>
      <c r="HA14" s="24">
        <f>W14</f>
        <v>1</v>
      </c>
      <c r="HB14" s="24">
        <f>W14</f>
        <v>1</v>
      </c>
      <c r="HC14" s="24">
        <f>W14</f>
        <v>1</v>
      </c>
      <c r="HD14" s="24">
        <f>W14</f>
        <v>1</v>
      </c>
      <c r="HE14" s="24">
        <f>IF(BU14&gt;=9999,1,(1+X14)^(BU14/12))</f>
        <v>1.0687687714489968</v>
      </c>
      <c r="HF14" s="24">
        <f>IF(AG14=1,IF(BV14&gt;=9999,1,(1+X14)^(BV14/12)),HE14)</f>
        <v>1.0687687714489968</v>
      </c>
      <c r="HG14" s="24">
        <f>IF(BW14&gt;=9999,1,(1+X14)^(BW14/12))</f>
        <v>1.3274659907894686</v>
      </c>
      <c r="HH14" s="24">
        <f>IF(BX14&gt;=9999,1,(1+X14)^(BX14/12))</f>
        <v>1.6487812928081595</v>
      </c>
      <c r="HI14" s="24">
        <f>IF(BY14&gt;=9999,1,(1+X14)^(BY14/12))</f>
        <v>2.0478714862573733</v>
      </c>
      <c r="HJ14" s="24">
        <f>IF(BZ14&gt;=9999,1,(1+X14)^(BZ14/12))</f>
        <v>2.5435621100984562</v>
      </c>
      <c r="HK14" s="24">
        <f>IF(CA14&gt;=9999,1,(1+X14)^(CA14/12))</f>
        <v>3.1592354556156015</v>
      </c>
      <c r="HL14" s="24">
        <f>IF(AND(F14&gt;0,C14&gt;0),F14,-1)</f>
        <v>-1</v>
      </c>
      <c r="HM14" s="24">
        <f>IF(AG14=1,BU14+FB14,-1)</f>
        <v>-1</v>
      </c>
      <c r="HN14" s="24">
        <f>IF(BI14&gt;=9999,-1,BV14+ROUND(IP14,0))</f>
        <v>28</v>
      </c>
      <c r="HO14" s="24">
        <f>IF(BJ14&gt;=9999,-1,IF(HN14&lt;0,BW14,HN14+BP14)+ROUND(IQ14,0))</f>
        <v>116</v>
      </c>
      <c r="HP14" s="24">
        <f>IF(BK14&gt;=9999,-1,IF(HO14&lt;0,BX14,HO14+BQ14)+ROUND(IR14,0))</f>
        <v>204</v>
      </c>
      <c r="HQ14" s="24">
        <f>IF(BL14&gt;=9999,-1,IF(HP14&lt;0,BY14,HP14+BR14)+ROUND(IS14,0))</f>
        <v>292</v>
      </c>
      <c r="HR14" s="24">
        <f>IF(BM14&gt;=9999,-1,IF(HQ14&lt;0,BZ14,HQ14+BS14)+ROUND(IT14,0))</f>
        <v>380</v>
      </c>
      <c r="HS14" s="24">
        <f>IF(HL14&lt;0,0,C14*K14)</f>
        <v>0</v>
      </c>
      <c r="HT14" s="24">
        <f>IF(AG14=1,C14*R14*(1+in_ExpenseGrowth)^(HM14/12)*(1-AF14),0)</f>
        <v>0</v>
      </c>
      <c r="HU14" s="24">
        <f>IF(HN14&lt;0,0,C14*(S14*II14+R14*(1-II14))*(1+in_ExpenseGrowth)^(HN14/12))</f>
        <v>10263.444616858145</v>
      </c>
      <c r="HV14" s="24">
        <f>IF(HO14&lt;0,0,C14*(S14*IJ14+R14*(1-IJ14))*(1+in_ExpenseGrowth)^(HO14/12))</f>
        <v>11867.549979245949</v>
      </c>
      <c r="HW14" s="24">
        <f>IF(HP14&lt;0,0,C14*(S14*IK14+R14*(1-IK14))*(1+in_ExpenseGrowth)^(HP14/12))</f>
        <v>13722.365908085761</v>
      </c>
      <c r="HX14" s="24">
        <f>IF(HQ14&lt;0,0,C14*(S14*IL14+R14*(1-IL14))*(1+in_ExpenseGrowth)^(HQ14/12))</f>
        <v>15867.076729796838</v>
      </c>
      <c r="HY14" s="24">
        <f>IF(HR14&lt;0,0,C14*(S14*IM14+R14*(1-IM14))*(1+in_ExpenseGrowth)^(HR14/12))</f>
        <v>18346.99100983096</v>
      </c>
      <c r="HZ14" s="24">
        <f>IF(HL14&lt;0,0,L14*C14*E14*AQ14)</f>
        <v>0</v>
      </c>
      <c r="IA14" s="24">
        <f>IF(AG14=1,T14*C14*O14*(1+X14)^(MAX(0,HM14-F14)/12)*AB14*(1-AF14),0)</f>
        <v>0</v>
      </c>
      <c r="IB14" s="24">
        <f>IF(HN14&lt;0,0,(U14*II14+T14*(1-II14))*C14*O14*(1+X14)^(MAX(0,HN14-F14)/12)*(AA14*II14+1-II14)*AB14)</f>
        <v>6415.67717494565</v>
      </c>
      <c r="IC14" s="24">
        <f>IF(HO14&lt;0,0,(U14*IJ14+T14*(1-IJ14))*C14*O14*(1+X14)^(MAX(0,HO14-F14)/12)*(AA14*IJ14+1-IJ14)*AB14)</f>
        <v>7968.602269392775</v>
      </c>
      <c r="ID14" s="24">
        <f>IF(HP14&lt;0,0,(U14*IK14+T14*(1-IK14))*C14*O14*(1+X14)^(MAX(0,HP14-F14)/12)*(AA14*IK14+1-IK14)*AB14)</f>
        <v>9897.41540857838</v>
      </c>
      <c r="IE14" s="24">
        <f>IF(HQ14&lt;0,0,(U14*IL14+T14*(1-IL14))*C14*O14*(1+X14)^(MAX(0,HQ14-F14)/12)*(AA14*IL14+1-IL14)*AB14)</f>
        <v>12293.100905063671</v>
      </c>
      <c r="IF14" s="24">
        <f>IF(HR14&lt;0,0,(U14*IM14+T14*(1-IM14))*C14*O14*(1+X14)^(MAX(0,HR14-F14)/12)*(AA14*IM14+1-IM14)*AB14)</f>
        <v>15268.665972239261</v>
      </c>
      <c r="IG14" s="24">
        <v>1</v>
      </c>
      <c r="IH14" s="24">
        <f>IF(AG14=1,AF14,1)</f>
        <v>1</v>
      </c>
      <c r="II14" s="24">
        <f>IF(AG14=1,AC14,AE14)</f>
        <v>0.8</v>
      </c>
      <c r="IJ14" s="24">
        <f>AC14</f>
        <v>0.8</v>
      </c>
      <c r="IK14" s="24">
        <f>AC14</f>
        <v>0.8</v>
      </c>
      <c r="IL14" s="24">
        <f>AC14</f>
        <v>0.8</v>
      </c>
      <c r="IM14" s="24">
        <f>AC14</f>
        <v>0.8</v>
      </c>
      <c r="IN14" s="24">
        <v>0</v>
      </c>
      <c r="IO14" s="24">
        <f>P14</f>
        <v>6</v>
      </c>
      <c r="IP14" s="24">
        <f>P14*(1-II14)</f>
        <v>1.1999999999999997</v>
      </c>
      <c r="IQ14" s="24">
        <f>P14*(1-IJ14)</f>
        <v>1.1999999999999997</v>
      </c>
      <c r="IR14" s="24">
        <f>P14*(1-IK14)</f>
        <v>1.1999999999999997</v>
      </c>
      <c r="IS14" s="24">
        <f>P14*(1-IL14)</f>
        <v>1.1999999999999997</v>
      </c>
      <c r="IT14" s="24">
        <f>P14*(1-IM14)</f>
        <v>1.1999999999999997</v>
      </c>
    </row>
    <row r="15">
      <c r="A15" s="25">
        <v>8</v>
      </c>
      <c r="B15" s="23" t="str">
        <f>IF('Rent Roll'!C15="","",'Rent Roll'!C15)</f>
        <v>Sunfield Bagels</v>
      </c>
      <c r="C15" s="24">
        <f>IF(ISNUMBER('Rent Roll'!E15),MAX(0,'Rent Roll'!E15),0)</f>
        <v>1200</v>
      </c>
      <c r="D15" s="88">
        <f>IF(a_GLA&gt;0,C15/a_GLA,0)</f>
        <v>0.020100502512562814</v>
      </c>
      <c r="E15" s="29">
        <f>IF(BC15=1,ROUND(BD15*(1+X15)^(F15/12),2),BD15)</f>
        <v>32</v>
      </c>
      <c r="F15" s="24">
        <f>IF(C15&gt;0,MAX(0,(YEAR(IF(ISNUMBER('Rent Roll'!G15),'Rent Roll'!G15,0))-YEAR(in_AnalysisStart))*12+MONTH(IF(ISNUMBER('Rent Roll'!G15),'Rent Roll'!G15,0))-MONTH(in_AnalysisStart)),0)</f>
        <v>0</v>
      </c>
      <c r="G15" s="24">
        <f>IF(C15&gt;0,MAX(0,(YEAR(IF(ISNUMBER('Rent Roll'!H15),'Rent Roll'!H15,0))-YEAR(in_AnalysisStart))*12+MONTH(IF(ISNUMBER('Rent Roll'!H15),'Rent Roll'!H15,0))-MONTH(in_AnalysisStart)+1-F15),0)</f>
        <v>41</v>
      </c>
      <c r="H15" s="24">
        <f>IF(ISNUMBER('Rent Roll'!N15),'Rent Roll'!N15,0)</f>
        <v>0</v>
      </c>
      <c r="I15" s="88">
        <f>IF(ISNUMBER('Rent Roll'!L15),'Rent Roll'!L15,0)</f>
        <v>0</v>
      </c>
      <c r="J15" s="24">
        <f>MAX(1,ROUND(IF(ISNUMBER('Rent Roll'!M15),'Rent Roll'!M15,0),0))</f>
        <v>1</v>
      </c>
      <c r="K15" s="29">
        <f>IF(ISNUMBER('Rent Roll'!AJ15),'Rent Roll'!AJ15,0)</f>
        <v>12</v>
      </c>
      <c r="L15" s="88">
        <f>IF(IF(ISNUMBER('Rent Roll'!AK15),'Rent Roll'!AK15,0)&gt;0,'Rent Roll'!AK15,a_LeaseUpLC)</f>
        <v>0.05</v>
      </c>
      <c r="M15" s="24">
        <f>IF('Rent Roll'!R15="",0,IFERROR(MATCH('Rent Roll'!R15,a_PName,0),0))</f>
        <v>2</v>
      </c>
      <c r="N15" s="24">
        <f>IF(M15&gt;0,1,0)</f>
        <v>1</v>
      </c>
      <c r="O15" s="29">
        <f>IF(IF(ISNUMBER('Rent Roll'!S15),'Rent Roll'!S15,0)&gt;0,'Rent Roll'!S15,IF(M15&gt;0,IF(ISNUMBER(INDEX(a_PRent,M15)),INDEX(a_PRent,M15),0),0))</f>
        <v>18.5</v>
      </c>
      <c r="P15" s="24">
        <f>IF(M15&gt;0,IF(ISNUMBER(INDEX(a_PDown,M15)),INDEX(a_PDown,M15),0),0)</f>
        <v>6</v>
      </c>
      <c r="Q15" s="24">
        <f>IF(M15&gt;0,MAX(1,IF(ISNUMBER(INDEX(a_PTerm,M15)),INDEX(a_PTerm,M15),0)),5)</f>
        <v>7.25</v>
      </c>
      <c r="R15" s="29">
        <f>IF(M15&gt;0,IF(ISNUMBER(INDEX(a_PTiNew,M15)),INDEX(a_PTiNew,M15),0),0)</f>
        <v>15</v>
      </c>
      <c r="S15" s="29">
        <f>IF(M15&gt;0,IF(ISNUMBER(INDEX(a_PTiRen,M15)),INDEX(a_PTiRen,M15),0),0)</f>
        <v>5</v>
      </c>
      <c r="T15" s="88">
        <f>IF(M15&gt;0,IF(ISNUMBER(INDEX(a_PLcNew,M15)),INDEX(a_PLcNew,M15),0),0)</f>
        <v>0.05</v>
      </c>
      <c r="U15" s="88">
        <f>IF(M15&gt;0,IF(ISNUMBER(INDEX(a_PLcRen,M15)),INDEX(a_PLcRen,M15),0),0)</f>
        <v>0.02</v>
      </c>
      <c r="V15" s="88">
        <f>IF(M15&gt;0,IF(ISNUMBER(INDEX(a_PBump,M15)),INDEX(a_PBump,M15),0),0)</f>
        <v>0.03</v>
      </c>
      <c r="W15" s="24">
        <f>MAX(1,ROUND(IF(M15&gt;0,IF(ISNUMBER(INDEX(a_PEvery,M15)),INDEX(a_PEvery,M15),0),1),0))</f>
        <v>1</v>
      </c>
      <c r="X15" s="88">
        <f>IF(M15&gt;0,IF(ISNUMBER(INDEX(a_PGrow,M15)),INDEX(a_PGrow,M15),in_RentGrowth),in_RentGrowth)</f>
        <v>0.03</v>
      </c>
      <c r="Y15" s="24">
        <f>IF(M15&gt;0,IF(ISNUMBER(INDEX(a_PFreeNew,M15)),INDEX(a_PFreeNew,M15),0),0)</f>
        <v>3</v>
      </c>
      <c r="Z15" s="24">
        <f>IF(M15&gt;0,IF(ISNUMBER(INDEX(a_PFreeRen,M15)),INDEX(a_PFreeRen,M15),0),0)</f>
        <v>0</v>
      </c>
      <c r="AA15" s="88">
        <f>IF(M15&gt;0,IF(ISNUMBER(INDEX(a_PRenPct,M15)),INDEX(a_PRenPct,M15),1),1)</f>
        <v>1</v>
      </c>
      <c r="AB15" s="24">
        <f>IF(M15&gt;0,IF(ISNUMBER(INDEX(a_PAF,M15)),INDEX(a_PAF,M15),0),0)</f>
        <v>8.89233604625388</v>
      </c>
      <c r="AC15" s="88">
        <f>IF(ISNUMBER('Rent Roll'!V15),'Rent Roll'!V15,IF(M15&gt;0,IF(ISNUMBER(INDEX(a_PRenew,M15)),INDEX(a_PRenew,M15),0),0.8))</f>
        <v>0.8</v>
      </c>
      <c r="AD15" s="23" t="str">
        <f>IF('Rent Roll'!W15="","Probability",'Rent Roll'!W15)</f>
        <v>Probability</v>
      </c>
      <c r="AE15" s="88">
        <f>IF(AD15="Renew",1,IF(AD15="Vacate",0,AC15))</f>
        <v>0.8</v>
      </c>
      <c r="AF15" s="88">
        <f>IF(AD15="Renew",1,IF(ISNUMBER('Rent Roll'!AA15),'Rent Roll'!AA15,AC15))</f>
        <v>0.8</v>
      </c>
      <c r="AG15" s="24">
        <f>IF(AND(N15=1,IF(ISNUMBER('Rent Roll'!Y15),'Rent Roll'!Y15,0)&gt;0,IF(ISNUMBER('Rent Roll'!Z15),'Rent Roll'!Z15,0)&gt;0,AF15&gt;0,AD15&lt;&gt;"Vacate",C15&gt;0),1,0)</f>
        <v>0</v>
      </c>
      <c r="AH15" s="24">
        <f>ROUND(12*IF(ISNUMBER('Rent Roll'!Y15),'Rent Roll'!Y15,0),0)</f>
        <v>0</v>
      </c>
      <c r="AI15" s="29">
        <f>IF(ISNUMBER('Rent Roll'!Z15),'Rent Roll'!Z15,0)</f>
        <v>0</v>
      </c>
      <c r="AJ15" s="24">
        <f>IF('Rent Roll'!P15="Base year",1,0)</f>
        <v>0</v>
      </c>
      <c r="AK15" s="88">
        <f>IF(ISNUMBER('Rent Roll'!Q15),'Rent Roll'!Q15,0)</f>
        <v>0</v>
      </c>
      <c r="AL15" s="24">
        <f>IF(AND('Rent Roll'!AH15="Yes",a_AnchorInVac&lt;&gt;"Yes"),1,0)</f>
        <v>0</v>
      </c>
      <c r="AM15" s="29">
        <f>IF(ISNUMBER('Rent Roll'!AL15),'Rent Roll'!AL15,0)</f>
        <v>0</v>
      </c>
      <c r="AN15" s="88">
        <f>IF(ISNUMBER('Rent Roll'!AM15),'Rent Roll'!AM15,0)</f>
        <v>0</v>
      </c>
      <c r="AO15" s="88">
        <f>IF(AND(BC15=1,N15=1),V15,I15)</f>
        <v>0</v>
      </c>
      <c r="AP15" s="24">
        <f>IF(AND(BC15=1,N15=1),W15,J15)</f>
        <v>1</v>
      </c>
      <c r="AQ15" s="24">
        <f>IF(AO15=0,G15/12,AP15*((1+AO15)^INT(INT(G15/12)/AP15)-1)/AO15+(INT(G15/12)-INT(INT(G15/12)/AP15)*AP15)*(1+AO15)^INT(INT(G15/12)/AP15)+(G15/12-INT(G15/12))*(1+AO15)^INT(INT(G15/12)/AP15))</f>
        <v>3.4166666666666665</v>
      </c>
      <c r="AR15" s="24">
        <f>IF(AND(C15&gt;0,BU15&lt;9999,BU15&gt;0),INT((BU15-1)/12)+1,0)</f>
        <v>4</v>
      </c>
      <c r="AS15" s="24">
        <f>COUNTIF('Lease Cycles'!$BG$15:$BM$15,"&lt;132")</f>
        <v>4</v>
      </c>
      <c r="AT15" s="24">
        <f>IF(AND(ISNUMBER('Rent Roll'!AR15),IF(ISNUMBER('Rent Roll'!AS15),'Rent Roll'!AS15,0)&gt;0),(YEAR('Rent Roll'!AR15)-YEAR(in_AnalysisStart))*12+MONTH('Rent Roll'!AR15)-MONTH(in_AnalysisStart),9999)</f>
        <v>9999</v>
      </c>
      <c r="AU15" s="29">
        <f>IF(ISNUMBER('Rent Roll'!AS15),'Rent Roll'!AS15,0)</f>
        <v>0</v>
      </c>
      <c r="AV15" s="24">
        <f>IF(AND(ISNUMBER('Rent Roll'!AT15),IF(ISNUMBER('Rent Roll'!AU15),'Rent Roll'!AU15,0)&gt;0),(YEAR('Rent Roll'!AT15)-YEAR(in_AnalysisStart))*12+MONTH('Rent Roll'!AT15)-MONTH(in_AnalysisStart),9999)</f>
        <v>9999</v>
      </c>
      <c r="AW15" s="29">
        <f>IF(ISNUMBER('Rent Roll'!AU15),'Rent Roll'!AU15,0)</f>
        <v>0</v>
      </c>
      <c r="AX15" s="24">
        <f>IF(AND(ISNUMBER('Rent Roll'!AV15),IF(ISNUMBER('Rent Roll'!AW15),'Rent Roll'!AW15,0)&gt;0),(YEAR('Rent Roll'!AV15)-YEAR(in_AnalysisStart))*12+MONTH('Rent Roll'!AV15)-MONTH(in_AnalysisStart),9999)</f>
        <v>9999</v>
      </c>
      <c r="AY15" s="29">
        <f>IF(ISNUMBER('Rent Roll'!AW15),'Rent Roll'!AW15,0)</f>
        <v>0</v>
      </c>
      <c r="AZ15" s="24">
        <f>IF(AND(ISNUMBER('Rent Roll'!AX15),IF(ISNUMBER('Rent Roll'!AY15),'Rent Roll'!AY15,0)&gt;0),(YEAR('Rent Roll'!AX15)-YEAR(in_AnalysisStart))*12+MONTH('Rent Roll'!AX15)-MONTH(in_AnalysisStart),9999)</f>
        <v>9999</v>
      </c>
      <c r="BA15" s="29">
        <f>IF(ISNUMBER('Rent Roll'!AY15),'Rent Roll'!AY15,0)</f>
        <v>0</v>
      </c>
      <c r="BB15" s="29">
        <f>IF(BU15&gt;=9999,O15,O15*(1+X15)^((BU15-F15)/12))</f>
        <v>20.465965898453423</v>
      </c>
      <c r="BC15" s="24">
        <f>IF(AND('Rent Roll'!AZ15="Yes",F15&gt;0,BD15&gt;0,AT15&gt;=9999),1,0)</f>
        <v>0</v>
      </c>
      <c r="BD15" s="29">
        <f>IF(ISNUMBER('Rent Roll'!I15),'Rent Roll'!I15,0)</f>
        <v>32</v>
      </c>
      <c r="BE15" s="24">
        <f>IF(a_MarketRecovery="Base year",1,0)</f>
        <v>0</v>
      </c>
      <c r="BG15" s="24">
        <f>IF(C15&gt;0,F15,9999)</f>
        <v>0</v>
      </c>
      <c r="BH15" s="24">
        <f>BU15</f>
        <v>41</v>
      </c>
      <c r="BI15" s="24">
        <f>IF(OR(N15=0,BV15&gt;=9999),9999,IF(AG15=1,BV15,INT(BV15+IP15)))</f>
        <v>42</v>
      </c>
      <c r="BJ15" s="24">
        <f>IF(OR(N15=0,BW15&gt;=9999),9999,INT(BW15+IQ15))</f>
        <v>130</v>
      </c>
      <c r="BK15" s="24">
        <f>IF(OR(N15=0,BX15&gt;=9999),9999,INT(BX15+IR15))</f>
        <v>218</v>
      </c>
      <c r="BL15" s="24">
        <f>IF(OR(N15=0,BY15&gt;=9999),9999,INT(BY15+IS15))</f>
        <v>306</v>
      </c>
      <c r="BM15" s="24">
        <f>IF(OR(N15=0,BZ15&gt;=9999),9999,INT(BZ15+IT15))</f>
        <v>394</v>
      </c>
      <c r="BN15" s="24">
        <f>G15</f>
        <v>41</v>
      </c>
      <c r="BO15" s="24">
        <f>IF(AG15=1,AH15,0)</f>
        <v>0</v>
      </c>
      <c r="BP15" s="24">
        <f>MAX(12,ROUND(12*Q15,0))</f>
        <v>87</v>
      </c>
      <c r="BQ15" s="24">
        <f>MAX(12,ROUND(12*Q15,0))</f>
        <v>87</v>
      </c>
      <c r="BR15" s="24">
        <f>MAX(12,ROUND(12*Q15,0))</f>
        <v>87</v>
      </c>
      <c r="BS15" s="24">
        <f>MAX(12,ROUND(12*Q15,0))</f>
        <v>87</v>
      </c>
      <c r="BT15" s="24">
        <f>MAX(12,ROUND(12*Q15,0))</f>
        <v>87</v>
      </c>
      <c r="BU15" s="24">
        <f>BG15+BN15</f>
        <v>41</v>
      </c>
      <c r="BV15" s="24">
        <f>BH15+BO15</f>
        <v>41</v>
      </c>
      <c r="BW15" s="24">
        <f>IF(BI15&gt;=9999,9999,BI15+BP15)</f>
        <v>129</v>
      </c>
      <c r="BX15" s="24">
        <f>IF(BJ15&gt;=9999,9999,BJ15+BQ15)</f>
        <v>217</v>
      </c>
      <c r="BY15" s="24">
        <f>IF(BK15&gt;=9999,9999,BK15+BR15)</f>
        <v>305</v>
      </c>
      <c r="BZ15" s="24">
        <f>IF(BL15&gt;=9999,9999,BL15+BS15)</f>
        <v>393</v>
      </c>
      <c r="CA15" s="24">
        <f>IF(BM15&gt;=9999,9999,BM15+BT15)</f>
        <v>481</v>
      </c>
      <c r="CB15" s="24">
        <f>E15</f>
        <v>32</v>
      </c>
      <c r="CC15" s="24">
        <f>AI15</f>
        <v>0</v>
      </c>
      <c r="CD15" s="24">
        <f>IF(BI15&gt;=9999,0,O15*(1+X15)^((BI15-F15)/12)*(AA15*II15+1-II15))</f>
        <v>20.516440491509773</v>
      </c>
      <c r="CE15" s="24">
        <f>IF(BJ15&gt;=9999,0,O15*(1+X15)^((BJ15-F15)/12)*(AA15*IJ15+1-IJ15))</f>
        <v>25.48247827976033</v>
      </c>
      <c r="CF15" s="24">
        <f>IF(BK15&gt;=9999,0,O15*(1+X15)^((BK15-F15)/12)*(AA15*IK15+1-IK15))</f>
        <v>31.650553591261467</v>
      </c>
      <c r="CG15" s="24">
        <f>IF(BL15&gt;=9999,0,O15*(1+X15)^((BL15-F15)/12)*(AA15*IL15+1-IL15))</f>
        <v>39.31162156347126</v>
      </c>
      <c r="CH15" s="24">
        <f>IF(BM15&gt;=9999,0,O15*(1+X15)^((BM15-F15)/12)*(AA15*IM15+1-IM15))</f>
        <v>48.827063498069606</v>
      </c>
      <c r="CI15" s="24">
        <f>AO15</f>
        <v>0</v>
      </c>
      <c r="CJ15" s="24">
        <f>I15</f>
        <v>0</v>
      </c>
      <c r="CK15" s="24">
        <f>V15</f>
        <v>0.03</v>
      </c>
      <c r="CL15" s="24">
        <f>V15</f>
        <v>0.03</v>
      </c>
      <c r="CM15" s="24">
        <f>V15</f>
        <v>0.03</v>
      </c>
      <c r="CN15" s="24">
        <f>V15</f>
        <v>0.03</v>
      </c>
      <c r="CO15" s="24">
        <f>V15</f>
        <v>0.03</v>
      </c>
      <c r="CP15" s="24">
        <f>AP15</f>
        <v>1</v>
      </c>
      <c r="CQ15" s="24">
        <f>J15</f>
        <v>1</v>
      </c>
      <c r="CR15" s="24">
        <f>W15</f>
        <v>1</v>
      </c>
      <c r="CS15" s="24">
        <f>W15</f>
        <v>1</v>
      </c>
      <c r="CT15" s="24">
        <f>W15</f>
        <v>1</v>
      </c>
      <c r="CU15" s="24">
        <f>W15</f>
        <v>1</v>
      </c>
      <c r="CV15" s="24">
        <f>W15</f>
        <v>1</v>
      </c>
      <c r="CW15" s="24">
        <f>H15</f>
        <v>0</v>
      </c>
      <c r="CX15" s="24">
        <v>0</v>
      </c>
      <c r="CY15" s="24">
        <f>Y15*(1-II15)+Z15*II15</f>
        <v>0.5999999999999999</v>
      </c>
      <c r="CZ15" s="24">
        <f>Y15*(1-IJ15)+Z15*IJ15</f>
        <v>0.5999999999999999</v>
      </c>
      <c r="DA15" s="24">
        <f>Y15*(1-IK15)+Z15*IK15</f>
        <v>0.5999999999999999</v>
      </c>
      <c r="DB15" s="24">
        <f>Y15*(1-IL15)+Z15*IL15</f>
        <v>0.5999999999999999</v>
      </c>
      <c r="DC15" s="24">
        <f>Y15*(1-IM15)+Z15*IM15</f>
        <v>0.5999999999999999</v>
      </c>
      <c r="DD15" s="24">
        <v>0</v>
      </c>
      <c r="DE15" s="24">
        <v>0</v>
      </c>
      <c r="DF15" s="24">
        <f>IF(BI15&gt;=9999,0,IF(AG15=1,0,BV15+IP15-BI15))</f>
        <v>0.20000000000000284</v>
      </c>
      <c r="DG15" s="24">
        <f>IF(BJ15&gt;=9999,0,BW15+IQ15-BJ15)</f>
        <v>0.19999999999998863</v>
      </c>
      <c r="DH15" s="24">
        <f>IF(BK15&gt;=9999,0,BX15+IR15-BK15)</f>
        <v>0.19999999999998863</v>
      </c>
      <c r="DI15" s="24">
        <f>IF(BL15&gt;=9999,0,BY15+IS15-BL15)</f>
        <v>0.19999999999998863</v>
      </c>
      <c r="DJ15" s="24">
        <f>IF(BM15&gt;=9999,0,BZ15+IT15-BM15)</f>
        <v>0.19999999999998863</v>
      </c>
      <c r="DK15" s="24">
        <f>INT(CW15+DD15)</f>
        <v>0</v>
      </c>
      <c r="DL15" s="24">
        <v>0</v>
      </c>
      <c r="DM15" s="24">
        <f>INT(CY15+DF15)</f>
        <v>0</v>
      </c>
      <c r="DN15" s="24">
        <f>INT(CZ15+DG15)</f>
        <v>0</v>
      </c>
      <c r="DO15" s="24">
        <f>INT(DA15+DH15)</f>
        <v>0</v>
      </c>
      <c r="DP15" s="24">
        <f>INT(DB15+DI15)</f>
        <v>0</v>
      </c>
      <c r="DQ15" s="24">
        <f>INT(DC15+DJ15)</f>
        <v>0</v>
      </c>
      <c r="DR15" s="24">
        <f>CW15+DD15-DK15</f>
        <v>0</v>
      </c>
      <c r="DS15" s="24">
        <v>0</v>
      </c>
      <c r="DT15" s="24">
        <f>CY15+DF15-DM15</f>
        <v>0.8000000000000027</v>
      </c>
      <c r="DU15" s="24">
        <f>CZ15+DG15-DN15</f>
        <v>0.7999999999999885</v>
      </c>
      <c r="DV15" s="24">
        <f>DA15+DH15-DO15</f>
        <v>0.7999999999999885</v>
      </c>
      <c r="DW15" s="24">
        <f>DB15+DI15-DP15</f>
        <v>0.7999999999999885</v>
      </c>
      <c r="DX15" s="24">
        <f>DC15+DJ15-DQ15</f>
        <v>0.7999999999999885</v>
      </c>
      <c r="DY15" s="24">
        <v>1</v>
      </c>
      <c r="DZ15" s="24">
        <v>1</v>
      </c>
      <c r="EA15" s="24">
        <v>0</v>
      </c>
      <c r="EB15" s="24">
        <v>0</v>
      </c>
      <c r="EC15" s="24">
        <v>0</v>
      </c>
      <c r="ED15" s="24">
        <v>0</v>
      </c>
      <c r="EE15" s="24">
        <v>0</v>
      </c>
      <c r="EF15" s="24">
        <v>0</v>
      </c>
      <c r="EG15" s="24">
        <f>IF(AG15=1,1,2)</f>
        <v>2</v>
      </c>
      <c r="EH15" s="24">
        <v>0</v>
      </c>
      <c r="EI15" s="24">
        <v>0</v>
      </c>
      <c r="EJ15" s="24">
        <v>0</v>
      </c>
      <c r="EK15" s="24">
        <v>0</v>
      </c>
      <c r="EL15" s="24">
        <v>0</v>
      </c>
      <c r="EM15" s="24">
        <v>1</v>
      </c>
      <c r="EN15" s="24">
        <f>IF(AG15=1,AF15,1)</f>
        <v>1</v>
      </c>
      <c r="EO15" s="24">
        <v>1</v>
      </c>
      <c r="EP15" s="24">
        <v>1</v>
      </c>
      <c r="EQ15" s="24">
        <v>1</v>
      </c>
      <c r="ER15" s="24">
        <v>1</v>
      </c>
      <c r="ES15" s="24">
        <v>1</v>
      </c>
      <c r="ET15" s="24">
        <v>0</v>
      </c>
      <c r="EU15" s="24">
        <f>BB15</f>
        <v>20.465965898453423</v>
      </c>
      <c r="EV15" s="24">
        <v>0</v>
      </c>
      <c r="EW15" s="24">
        <v>0</v>
      </c>
      <c r="EX15" s="24">
        <v>0</v>
      </c>
      <c r="EY15" s="24">
        <v>0</v>
      </c>
      <c r="EZ15" s="24">
        <v>0</v>
      </c>
      <c r="FA15" s="24">
        <v>0</v>
      </c>
      <c r="FB15" s="24">
        <f>ROUND(P15,0)</f>
        <v>6</v>
      </c>
      <c r="FC15" s="24">
        <v>0</v>
      </c>
      <c r="FD15" s="24">
        <v>0</v>
      </c>
      <c r="FE15" s="24">
        <v>0</v>
      </c>
      <c r="FF15" s="24">
        <v>0</v>
      </c>
      <c r="FG15" s="24">
        <v>0</v>
      </c>
      <c r="FH15" s="24">
        <f>AK15</f>
        <v>0</v>
      </c>
      <c r="FI15" s="24">
        <f>IF(AG15=1,AK15*AF15,FH15)</f>
        <v>0</v>
      </c>
      <c r="FJ15" s="24">
        <f>FI15*II15</f>
        <v>0</v>
      </c>
      <c r="FK15" s="24">
        <f>FJ15*IJ15</f>
        <v>0</v>
      </c>
      <c r="FL15" s="24">
        <f>FK15*IK15</f>
        <v>0</v>
      </c>
      <c r="FM15" s="24">
        <f>FL15*IL15</f>
        <v>0</v>
      </c>
      <c r="FN15" s="24">
        <f>FM15*IM15</f>
        <v>0</v>
      </c>
      <c r="FO15" s="24">
        <v>1</v>
      </c>
      <c r="FP15" s="24">
        <f>FV15</f>
        <v>1</v>
      </c>
      <c r="FQ15" s="24">
        <f>FW15*II15</f>
        <v>0.8</v>
      </c>
      <c r="FR15" s="24">
        <f>FX15*IJ15</f>
        <v>0.6400000000000001</v>
      </c>
      <c r="FS15" s="24">
        <f>FY15*IK15</f>
        <v>0.5120000000000001</v>
      </c>
      <c r="FT15" s="24">
        <f>FZ15*IL15</f>
        <v>0.40960000000000013</v>
      </c>
      <c r="FU15" s="24">
        <f>GA15*IM15</f>
        <v>0.32768000000000014</v>
      </c>
      <c r="FV15" s="24">
        <v>1</v>
      </c>
      <c r="FW15" s="24">
        <f>IF(AG15=1,FP15*AF15,FV15)</f>
        <v>1</v>
      </c>
      <c r="FX15" s="24">
        <f>FQ15</f>
        <v>0.8</v>
      </c>
      <c r="FY15" s="24">
        <f>FR15</f>
        <v>0.6400000000000001</v>
      </c>
      <c r="FZ15" s="24">
        <f>FS15</f>
        <v>0.5120000000000001</v>
      </c>
      <c r="GA15" s="24">
        <f>FT15</f>
        <v>0.40960000000000013</v>
      </c>
      <c r="GB15" s="24">
        <f>FU15</f>
        <v>0.32768000000000014</v>
      </c>
      <c r="GC15" s="24">
        <v>0</v>
      </c>
      <c r="GD15" s="24">
        <f>GC15</f>
        <v>0</v>
      </c>
      <c r="GE15" s="24">
        <f>IF(BI15&gt;=9999,0,INT(BI15/12))</f>
        <v>3</v>
      </c>
      <c r="GF15" s="24">
        <f>IF(BJ15&gt;=9999,0,INT(BJ15/12))</f>
        <v>10</v>
      </c>
      <c r="GG15" s="24">
        <f>IF(BK15&gt;=9999,0,INT(BK15/12))</f>
        <v>18</v>
      </c>
      <c r="GH15" s="24">
        <f>IF(BL15&gt;=9999,0,INT(BL15/12))</f>
        <v>25</v>
      </c>
      <c r="GI15" s="24">
        <f>IF(BM15&gt;=9999,0,INT(BM15/12))</f>
        <v>32</v>
      </c>
      <c r="GJ15" s="24">
        <f>BG15</f>
        <v>0</v>
      </c>
      <c r="GK15" s="24">
        <f>IF(AG15=1,BH15,GJ15)</f>
        <v>0</v>
      </c>
      <c r="GL15" s="24">
        <f>BI15</f>
        <v>42</v>
      </c>
      <c r="GM15" s="24">
        <f>BJ15</f>
        <v>130</v>
      </c>
      <c r="GN15" s="24">
        <f>BK15</f>
        <v>218</v>
      </c>
      <c r="GO15" s="24">
        <f>BL15</f>
        <v>306</v>
      </c>
      <c r="GP15" s="24">
        <f>BM15</f>
        <v>394</v>
      </c>
      <c r="GQ15" s="24">
        <f>CI15</f>
        <v>0</v>
      </c>
      <c r="GR15" s="24">
        <f>IF(AG15=1,I15,GQ15)</f>
        <v>0</v>
      </c>
      <c r="GS15" s="24">
        <f>V15</f>
        <v>0.03</v>
      </c>
      <c r="GT15" s="24">
        <f>V15</f>
        <v>0.03</v>
      </c>
      <c r="GU15" s="24">
        <f>V15</f>
        <v>0.03</v>
      </c>
      <c r="GV15" s="24">
        <f>V15</f>
        <v>0.03</v>
      </c>
      <c r="GW15" s="24">
        <f>V15</f>
        <v>0.03</v>
      </c>
      <c r="GX15" s="24">
        <f>CP15</f>
        <v>1</v>
      </c>
      <c r="GY15" s="24">
        <f>IF(AG15=1,J15,GX15)</f>
        <v>1</v>
      </c>
      <c r="GZ15" s="24">
        <f>W15</f>
        <v>1</v>
      </c>
      <c r="HA15" s="24">
        <f>W15</f>
        <v>1</v>
      </c>
      <c r="HB15" s="24">
        <f>W15</f>
        <v>1</v>
      </c>
      <c r="HC15" s="24">
        <f>W15</f>
        <v>1</v>
      </c>
      <c r="HD15" s="24">
        <f>W15</f>
        <v>1</v>
      </c>
      <c r="HE15" s="24">
        <f>IF(BU15&gt;=9999,1,(1+X15)^(BU15/12))</f>
        <v>1.1062684269434282</v>
      </c>
      <c r="HF15" s="24">
        <f>IF(AG15=1,IF(BV15&gt;=9999,1,(1+X15)^(BV15/12)),HE15)</f>
        <v>1.1062684269434282</v>
      </c>
      <c r="HG15" s="24">
        <f>IF(BW15&gt;=9999,1,(1+X15)^(BW15/12))</f>
        <v>1.3740424988845636</v>
      </c>
      <c r="HH15" s="24">
        <f>IF(BX15&gt;=9999,1,(1+X15)^(BX15/12))</f>
        <v>1.7066317204382107</v>
      </c>
      <c r="HI15" s="24">
        <f>IF(BY15&gt;=9999,1,(1+X15)^(BY15/12))</f>
        <v>2.1197247039813583</v>
      </c>
      <c r="HJ15" s="24">
        <f>IF(BZ15&gt;=9999,1,(1+X15)^(BZ15/12))</f>
        <v>2.6328075160322997</v>
      </c>
      <c r="HK15" s="24">
        <f>IF(CA15&gt;=9999,1,(1+X15)^(CA15/12))</f>
        <v>3.270082857201597</v>
      </c>
      <c r="HL15" s="24">
        <f>IF(AND(F15&gt;0,C15&gt;0),F15,-1)</f>
        <v>-1</v>
      </c>
      <c r="HM15" s="24">
        <f>IF(AG15=1,BU15+FB15,-1)</f>
        <v>-1</v>
      </c>
      <c r="HN15" s="24">
        <f>IF(BI15&gt;=9999,-1,BV15+ROUND(IP15,0))</f>
        <v>42</v>
      </c>
      <c r="HO15" s="24">
        <f>IF(BJ15&gt;=9999,-1,IF(HN15&lt;0,BW15,HN15+BP15)+ROUND(IQ15,0))</f>
        <v>130</v>
      </c>
      <c r="HP15" s="24">
        <f>IF(BK15&gt;=9999,-1,IF(HO15&lt;0,BX15,HO15+BQ15)+ROUND(IR15,0))</f>
        <v>218</v>
      </c>
      <c r="HQ15" s="24">
        <f>IF(BL15&gt;=9999,-1,IF(HP15&lt;0,BY15,HP15+BR15)+ROUND(IS15,0))</f>
        <v>306</v>
      </c>
      <c r="HR15" s="24">
        <f>IF(BM15&gt;=9999,-1,IF(HQ15&lt;0,BZ15,HQ15+BS15)+ROUND(IT15,0))</f>
        <v>394</v>
      </c>
      <c r="HS15" s="24">
        <f>IF(HL15&lt;0,0,C15*K15)</f>
        <v>0</v>
      </c>
      <c r="HT15" s="24">
        <f>IF(AG15=1,C15*R15*(1+in_ExpenseGrowth)^(HM15/12)*(1-AF15),0)</f>
        <v>0</v>
      </c>
      <c r="HU15" s="24">
        <f>IF(HN15&lt;0,0,C15*(S15*II15+R15*(1-II15))*(1+in_ExpenseGrowth)^(HN15/12))</f>
        <v>9002.847366768647</v>
      </c>
      <c r="HV15" s="24">
        <f>IF(HO15&lt;0,0,C15*(S15*IJ15+R15*(1-IJ15))*(1+in_ExpenseGrowth)^(HO15/12))</f>
        <v>10409.93010330641</v>
      </c>
      <c r="HW15" s="24">
        <f>IF(HP15&lt;0,0,C15*(S15*IK15+R15*(1-IK15))*(1+in_ExpenseGrowth)^(HP15/12))</f>
        <v>12036.930133429612</v>
      </c>
      <c r="HX15" s="24">
        <f>IF(HQ15&lt;0,0,C15*(S15*IL15+R15*(1-IL15))*(1+in_ExpenseGrowth)^(HQ15/12))</f>
        <v>13918.219008122496</v>
      </c>
      <c r="HY15" s="24">
        <f>IF(HR15&lt;0,0,C15*(S15*IM15+R15*(1-IM15))*(1+in_ExpenseGrowth)^(HR15/12))</f>
        <v>16093.540313909569</v>
      </c>
      <c r="HZ15" s="24">
        <f>IF(HL15&lt;0,0,L15*C15*E15*AQ15)</f>
        <v>0</v>
      </c>
      <c r="IA15" s="24">
        <f>IF(AG15=1,T15*C15*O15*(1+X15)^(MAX(0,HM15-F15)/12)*AB15*(1-AF15),0)</f>
        <v>0</v>
      </c>
      <c r="IB15" s="24">
        <f>IF(HN15&lt;0,0,(U15*II15+T15*(1-II15))*C15*O15*(1+X15)^(MAX(0,HN15-F15)/12)*(AA15*II15+1-II15)*AB15)</f>
        <v>5692.09939969242</v>
      </c>
      <c r="IC15" s="24">
        <f>IF(HO15&lt;0,0,(U15*IJ15+T15*(1-IJ15))*C15*O15*(1+X15)^(MAX(0,HO15-F15)/12)*(AA15*IJ15+1-IJ15)*AB15)</f>
        <v>7069.881316835821</v>
      </c>
      <c r="ID15" s="24">
        <f>IF(HP15&lt;0,0,(U15*IK15+T15*(1-IK15))*C15*O15*(1+X15)^(MAX(0,HP15-F15)/12)*(AA15*IK15+1-IK15)*AB15)</f>
        <v>8781.157587804091</v>
      </c>
      <c r="IE15" s="24">
        <f>IF(HQ15&lt;0,0,(U15*IL15+T15*(1-IL15))*C15*O15*(1+X15)^(MAX(0,HQ15-F15)/12)*(AA15*IL15+1-IL15)*AB15)</f>
        <v>10906.651063325058</v>
      </c>
      <c r="IF15" s="24">
        <f>IF(HR15&lt;0,0,(U15*IM15+T15*(1-IM15))*C15*O15*(1+X15)^(MAX(0,HR15-F15)/12)*(AA15*IM15+1-IM15)*AB15)</f>
        <v>13546.623691430274</v>
      </c>
      <c r="IG15" s="24">
        <v>1</v>
      </c>
      <c r="IH15" s="24">
        <f>IF(AG15=1,AF15,1)</f>
        <v>1</v>
      </c>
      <c r="II15" s="24">
        <f>IF(AG15=1,AC15,AE15)</f>
        <v>0.8</v>
      </c>
      <c r="IJ15" s="24">
        <f>AC15</f>
        <v>0.8</v>
      </c>
      <c r="IK15" s="24">
        <f>AC15</f>
        <v>0.8</v>
      </c>
      <c r="IL15" s="24">
        <f>AC15</f>
        <v>0.8</v>
      </c>
      <c r="IM15" s="24">
        <f>AC15</f>
        <v>0.8</v>
      </c>
      <c r="IN15" s="24">
        <v>0</v>
      </c>
      <c r="IO15" s="24">
        <f>P15</f>
        <v>6</v>
      </c>
      <c r="IP15" s="24">
        <f>P15*(1-II15)</f>
        <v>1.1999999999999997</v>
      </c>
      <c r="IQ15" s="24">
        <f>P15*(1-IJ15)</f>
        <v>1.1999999999999997</v>
      </c>
      <c r="IR15" s="24">
        <f>P15*(1-IK15)</f>
        <v>1.1999999999999997</v>
      </c>
      <c r="IS15" s="24">
        <f>P15*(1-IL15)</f>
        <v>1.1999999999999997</v>
      </c>
      <c r="IT15" s="24">
        <f>P15*(1-IM15)</f>
        <v>1.1999999999999997</v>
      </c>
    </row>
    <row r="16">
      <c r="A16" s="25">
        <v>9</v>
      </c>
      <c r="B16" s="23" t="str">
        <f>IF('Rent Roll'!C16="","",'Rent Roll'!C16)</f>
        <v>Sunfield Office Suite</v>
      </c>
      <c r="C16" s="24">
        <f>IF(ISNUMBER('Rent Roll'!E16),MAX(0,'Rent Roll'!E16),0)</f>
        <v>2200</v>
      </c>
      <c r="D16" s="88">
        <f>IF(a_GLA&gt;0,C16/a_GLA,0)</f>
        <v>0.03685092127303183</v>
      </c>
      <c r="E16" s="29">
        <f>IF(BC16=1,ROUND(BD16*(1+X16)^(F16/12),2),BD16)</f>
        <v>24</v>
      </c>
      <c r="F16" s="24">
        <f>IF(C16&gt;0,MAX(0,(YEAR(IF(ISNUMBER('Rent Roll'!G16),'Rent Roll'!G16,0))-YEAR(in_AnalysisStart))*12+MONTH(IF(ISNUMBER('Rent Roll'!G16),'Rent Roll'!G16,0))-MONTH(in_AnalysisStart)),0)</f>
        <v>0</v>
      </c>
      <c r="G16" s="24">
        <f>IF(C16&gt;0,MAX(0,(YEAR(IF(ISNUMBER('Rent Roll'!H16),'Rent Roll'!H16,0))-YEAR(in_AnalysisStart))*12+MONTH(IF(ISNUMBER('Rent Roll'!H16),'Rent Roll'!H16,0))-MONTH(in_AnalysisStart)+1-F16),0)</f>
        <v>57</v>
      </c>
      <c r="H16" s="24">
        <f>IF(ISNUMBER('Rent Roll'!N16),'Rent Roll'!N16,0)</f>
        <v>0</v>
      </c>
      <c r="I16" s="88">
        <f>IF(ISNUMBER('Rent Roll'!L16),'Rent Roll'!L16,0)</f>
        <v>0</v>
      </c>
      <c r="J16" s="24">
        <f>MAX(1,ROUND(IF(ISNUMBER('Rent Roll'!M16),'Rent Roll'!M16,0),0))</f>
        <v>1</v>
      </c>
      <c r="K16" s="29">
        <f>IF(ISNUMBER('Rent Roll'!AJ16),'Rent Roll'!AJ16,0)</f>
        <v>12</v>
      </c>
      <c r="L16" s="88">
        <f>IF(IF(ISNUMBER('Rent Roll'!AK16),'Rent Roll'!AK16,0)&gt;0,'Rent Roll'!AK16,a_LeaseUpLC)</f>
        <v>0.05</v>
      </c>
      <c r="M16" s="24">
        <f>IF('Rent Roll'!R16="",0,IFERROR(MATCH('Rent Roll'!R16,a_PName,0),0))</f>
        <v>2</v>
      </c>
      <c r="N16" s="24">
        <f>IF(M16&gt;0,1,0)</f>
        <v>1</v>
      </c>
      <c r="O16" s="29">
        <f>IF(IF(ISNUMBER('Rent Roll'!S16),'Rent Roll'!S16,0)&gt;0,'Rent Roll'!S16,IF(M16&gt;0,IF(ISNUMBER(INDEX(a_PRent,M16)),INDEX(a_PRent,M16),0),0))</f>
        <v>18.5</v>
      </c>
      <c r="P16" s="24">
        <f>IF(M16&gt;0,IF(ISNUMBER(INDEX(a_PDown,M16)),INDEX(a_PDown,M16),0),0)</f>
        <v>6</v>
      </c>
      <c r="Q16" s="24">
        <f>IF(M16&gt;0,MAX(1,IF(ISNUMBER(INDEX(a_PTerm,M16)),INDEX(a_PTerm,M16),0)),5)</f>
        <v>7.25</v>
      </c>
      <c r="R16" s="29">
        <f>IF(M16&gt;0,IF(ISNUMBER(INDEX(a_PTiNew,M16)),INDEX(a_PTiNew,M16),0),0)</f>
        <v>15</v>
      </c>
      <c r="S16" s="29">
        <f>IF(M16&gt;0,IF(ISNUMBER(INDEX(a_PTiRen,M16)),INDEX(a_PTiRen,M16),0),0)</f>
        <v>5</v>
      </c>
      <c r="T16" s="88">
        <f>IF(M16&gt;0,IF(ISNUMBER(INDEX(a_PLcNew,M16)),INDEX(a_PLcNew,M16),0),0)</f>
        <v>0.05</v>
      </c>
      <c r="U16" s="88">
        <f>IF(M16&gt;0,IF(ISNUMBER(INDEX(a_PLcRen,M16)),INDEX(a_PLcRen,M16),0),0)</f>
        <v>0.02</v>
      </c>
      <c r="V16" s="88">
        <f>IF(M16&gt;0,IF(ISNUMBER(INDEX(a_PBump,M16)),INDEX(a_PBump,M16),0),0)</f>
        <v>0.03</v>
      </c>
      <c r="W16" s="24">
        <f>MAX(1,ROUND(IF(M16&gt;0,IF(ISNUMBER(INDEX(a_PEvery,M16)),INDEX(a_PEvery,M16),0),1),0))</f>
        <v>1</v>
      </c>
      <c r="X16" s="88">
        <f>IF(M16&gt;0,IF(ISNUMBER(INDEX(a_PGrow,M16)),INDEX(a_PGrow,M16),in_RentGrowth),in_RentGrowth)</f>
        <v>0.03</v>
      </c>
      <c r="Y16" s="24">
        <f>IF(M16&gt;0,IF(ISNUMBER(INDEX(a_PFreeNew,M16)),INDEX(a_PFreeNew,M16),0),0)</f>
        <v>3</v>
      </c>
      <c r="Z16" s="24">
        <f>IF(M16&gt;0,IF(ISNUMBER(INDEX(a_PFreeRen,M16)),INDEX(a_PFreeRen,M16),0),0)</f>
        <v>0</v>
      </c>
      <c r="AA16" s="88">
        <f>IF(M16&gt;0,IF(ISNUMBER(INDEX(a_PRenPct,M16)),INDEX(a_PRenPct,M16),1),1)</f>
        <v>1</v>
      </c>
      <c r="AB16" s="24">
        <f>IF(M16&gt;0,IF(ISNUMBER(INDEX(a_PAF,M16)),INDEX(a_PAF,M16),0),0)</f>
        <v>8.89233604625388</v>
      </c>
      <c r="AC16" s="88">
        <f>IF(ISNUMBER('Rent Roll'!V16),'Rent Roll'!V16,IF(M16&gt;0,IF(ISNUMBER(INDEX(a_PRenew,M16)),INDEX(a_PRenew,M16),0),0.8))</f>
        <v>0.8</v>
      </c>
      <c r="AD16" s="23" t="str">
        <f>IF('Rent Roll'!W16="","Probability",'Rent Roll'!W16)</f>
        <v>Probability</v>
      </c>
      <c r="AE16" s="88">
        <f>IF(AD16="Renew",1,IF(AD16="Vacate",0,AC16))</f>
        <v>0.8</v>
      </c>
      <c r="AF16" s="88">
        <f>IF(AD16="Renew",1,IF(ISNUMBER('Rent Roll'!AA16),'Rent Roll'!AA16,AC16))</f>
        <v>0.8</v>
      </c>
      <c r="AG16" s="24">
        <f>IF(AND(N16=1,IF(ISNUMBER('Rent Roll'!Y16),'Rent Roll'!Y16,0)&gt;0,IF(ISNUMBER('Rent Roll'!Z16),'Rent Roll'!Z16,0)&gt;0,AF16&gt;0,AD16&lt;&gt;"Vacate",C16&gt;0),1,0)</f>
        <v>0</v>
      </c>
      <c r="AH16" s="24">
        <f>ROUND(12*IF(ISNUMBER('Rent Roll'!Y16),'Rent Roll'!Y16,0),0)</f>
        <v>0</v>
      </c>
      <c r="AI16" s="29">
        <f>IF(ISNUMBER('Rent Roll'!Z16),'Rent Roll'!Z16,0)</f>
        <v>0</v>
      </c>
      <c r="AJ16" s="24">
        <f>IF('Rent Roll'!P16="Base year",1,0)</f>
        <v>1</v>
      </c>
      <c r="AK16" s="88">
        <f>IF(ISNUMBER('Rent Roll'!Q16),'Rent Roll'!Q16,0)</f>
        <v>0</v>
      </c>
      <c r="AL16" s="24">
        <f>IF(AND('Rent Roll'!AH16="Yes",a_AnchorInVac&lt;&gt;"Yes"),1,0)</f>
        <v>0</v>
      </c>
      <c r="AM16" s="29">
        <f>IF(ISNUMBER('Rent Roll'!AL16),'Rent Roll'!AL16,0)</f>
        <v>0</v>
      </c>
      <c r="AN16" s="88">
        <f>IF(ISNUMBER('Rent Roll'!AM16),'Rent Roll'!AM16,0)</f>
        <v>0</v>
      </c>
      <c r="AO16" s="88">
        <f>IF(AND(BC16=1,N16=1),V16,I16)</f>
        <v>0</v>
      </c>
      <c r="AP16" s="24">
        <f>IF(AND(BC16=1,N16=1),W16,J16)</f>
        <v>1</v>
      </c>
      <c r="AQ16" s="24">
        <f>IF(AO16=0,G16/12,AP16*((1+AO16)^INT(INT(G16/12)/AP16)-1)/AO16+(INT(G16/12)-INT(INT(G16/12)/AP16)*AP16)*(1+AO16)^INT(INT(G16/12)/AP16)+(G16/12-INT(G16/12))*(1+AO16)^INT(INT(G16/12)/AP16))</f>
        <v>4.75</v>
      </c>
      <c r="AR16" s="24">
        <f>IF(AND(C16&gt;0,BU16&lt;9999,BU16&gt;0),INT((BU16-1)/12)+1,0)</f>
        <v>5</v>
      </c>
      <c r="AS16" s="24">
        <f>COUNTIF('Lease Cycles'!$BG$16:$BM$16,"&lt;132")</f>
        <v>3</v>
      </c>
      <c r="AT16" s="24">
        <f>IF(AND(ISNUMBER('Rent Roll'!AR16),IF(ISNUMBER('Rent Roll'!AS16),'Rent Roll'!AS16,0)&gt;0),(YEAR('Rent Roll'!AR16)-YEAR(in_AnalysisStart))*12+MONTH('Rent Roll'!AR16)-MONTH(in_AnalysisStart),9999)</f>
        <v>9999</v>
      </c>
      <c r="AU16" s="29">
        <f>IF(ISNUMBER('Rent Roll'!AS16),'Rent Roll'!AS16,0)</f>
        <v>0</v>
      </c>
      <c r="AV16" s="24">
        <f>IF(AND(ISNUMBER('Rent Roll'!AT16),IF(ISNUMBER('Rent Roll'!AU16),'Rent Roll'!AU16,0)&gt;0),(YEAR('Rent Roll'!AT16)-YEAR(in_AnalysisStart))*12+MONTH('Rent Roll'!AT16)-MONTH(in_AnalysisStart),9999)</f>
        <v>9999</v>
      </c>
      <c r="AW16" s="29">
        <f>IF(ISNUMBER('Rent Roll'!AU16),'Rent Roll'!AU16,0)</f>
        <v>0</v>
      </c>
      <c r="AX16" s="24">
        <f>IF(AND(ISNUMBER('Rent Roll'!AV16),IF(ISNUMBER('Rent Roll'!AW16),'Rent Roll'!AW16,0)&gt;0),(YEAR('Rent Roll'!AV16)-YEAR(in_AnalysisStart))*12+MONTH('Rent Roll'!AV16)-MONTH(in_AnalysisStart),9999)</f>
        <v>9999</v>
      </c>
      <c r="AY16" s="29">
        <f>IF(ISNUMBER('Rent Roll'!AW16),'Rent Roll'!AW16,0)</f>
        <v>0</v>
      </c>
      <c r="AZ16" s="24">
        <f>IF(AND(ISNUMBER('Rent Roll'!AX16),IF(ISNUMBER('Rent Roll'!AY16),'Rent Roll'!AY16,0)&gt;0),(YEAR('Rent Roll'!AX16)-YEAR(in_AnalysisStart))*12+MONTH('Rent Roll'!AX16)-MONTH(in_AnalysisStart),9999)</f>
        <v>9999</v>
      </c>
      <c r="BA16" s="29">
        <f>IF(ISNUMBER('Rent Roll'!AY16),'Rent Roll'!AY16,0)</f>
        <v>0</v>
      </c>
      <c r="BB16" s="29">
        <f>IF(BU16&gt;=9999,O16,O16*(1+X16)^((BU16-F16)/12))</f>
        <v>21.288670775356657</v>
      </c>
      <c r="BC16" s="24">
        <f>IF(AND('Rent Roll'!AZ16="Yes",F16&gt;0,BD16&gt;0,AT16&gt;=9999),1,0)</f>
        <v>0</v>
      </c>
      <c r="BD16" s="29">
        <f>IF(ISNUMBER('Rent Roll'!I16),'Rent Roll'!I16,0)</f>
        <v>24</v>
      </c>
      <c r="BE16" s="24">
        <f>IF(a_MarketRecovery="Base year",1,0)</f>
        <v>0</v>
      </c>
      <c r="BG16" s="24">
        <f>IF(C16&gt;0,F16,9999)</f>
        <v>0</v>
      </c>
      <c r="BH16" s="24">
        <f>BU16</f>
        <v>57</v>
      </c>
      <c r="BI16" s="24">
        <f>IF(OR(N16=0,BV16&gt;=9999),9999,IF(AG16=1,BV16,INT(BV16+IP16)))</f>
        <v>58</v>
      </c>
      <c r="BJ16" s="24">
        <f>IF(OR(N16=0,BW16&gt;=9999),9999,INT(BW16+IQ16))</f>
        <v>146</v>
      </c>
      <c r="BK16" s="24">
        <f>IF(OR(N16=0,BX16&gt;=9999),9999,INT(BX16+IR16))</f>
        <v>234</v>
      </c>
      <c r="BL16" s="24">
        <f>IF(OR(N16=0,BY16&gt;=9999),9999,INT(BY16+IS16))</f>
        <v>322</v>
      </c>
      <c r="BM16" s="24">
        <f>IF(OR(N16=0,BZ16&gt;=9999),9999,INT(BZ16+IT16))</f>
        <v>410</v>
      </c>
      <c r="BN16" s="24">
        <f>G16</f>
        <v>57</v>
      </c>
      <c r="BO16" s="24">
        <f>IF(AG16=1,AH16,0)</f>
        <v>0</v>
      </c>
      <c r="BP16" s="24">
        <f>MAX(12,ROUND(12*Q16,0))</f>
        <v>87</v>
      </c>
      <c r="BQ16" s="24">
        <f>MAX(12,ROUND(12*Q16,0))</f>
        <v>87</v>
      </c>
      <c r="BR16" s="24">
        <f>MAX(12,ROUND(12*Q16,0))</f>
        <v>87</v>
      </c>
      <c r="BS16" s="24">
        <f>MAX(12,ROUND(12*Q16,0))</f>
        <v>87</v>
      </c>
      <c r="BT16" s="24">
        <f>MAX(12,ROUND(12*Q16,0))</f>
        <v>87</v>
      </c>
      <c r="BU16" s="24">
        <f>BG16+BN16</f>
        <v>57</v>
      </c>
      <c r="BV16" s="24">
        <f>BH16+BO16</f>
        <v>57</v>
      </c>
      <c r="BW16" s="24">
        <f>IF(BI16&gt;=9999,9999,BI16+BP16)</f>
        <v>145</v>
      </c>
      <c r="BX16" s="24">
        <f>IF(BJ16&gt;=9999,9999,BJ16+BQ16)</f>
        <v>233</v>
      </c>
      <c r="BY16" s="24">
        <f>IF(BK16&gt;=9999,9999,BK16+BR16)</f>
        <v>321</v>
      </c>
      <c r="BZ16" s="24">
        <f>IF(BL16&gt;=9999,9999,BL16+BS16)</f>
        <v>409</v>
      </c>
      <c r="CA16" s="24">
        <f>IF(BM16&gt;=9999,9999,BM16+BT16)</f>
        <v>497</v>
      </c>
      <c r="CB16" s="24">
        <f>E16</f>
        <v>24</v>
      </c>
      <c r="CC16" s="24">
        <f>AI16</f>
        <v>0</v>
      </c>
      <c r="CD16" s="24">
        <f>IF(BI16&gt;=9999,0,O16*(1+X16)^((BI16-F16)/12)*(AA16*II16+1-II16))</f>
        <v>21.34117438058244</v>
      </c>
      <c r="CE16" s="24">
        <f>IF(BJ16&gt;=9999,0,O16*(1+X16)^((BJ16-F16)/12)*(AA16*IJ16+1-IJ16))</f>
        <v>26.506840348003774</v>
      </c>
      <c r="CF16" s="24">
        <f>IF(BK16&gt;=9999,0,O16*(1+X16)^((BK16-F16)/12)*(AA16*IK16+1-IK16))</f>
        <v>32.92286416411284</v>
      </c>
      <c r="CG16" s="24">
        <f>IF(BL16&gt;=9999,0,O16*(1+X16)^((BL16-F16)/12)*(AA16*IL16+1-IL16))</f>
        <v>40.891896979726404</v>
      </c>
      <c r="CH16" s="24">
        <f>IF(BM16&gt;=9999,0,O16*(1+X16)^((BM16-F16)/12)*(AA16*IM16+1-IM16))</f>
        <v>50.78984714893854</v>
      </c>
      <c r="CI16" s="24">
        <f>AO16</f>
        <v>0</v>
      </c>
      <c r="CJ16" s="24">
        <f>I16</f>
        <v>0</v>
      </c>
      <c r="CK16" s="24">
        <f>V16</f>
        <v>0.03</v>
      </c>
      <c r="CL16" s="24">
        <f>V16</f>
        <v>0.03</v>
      </c>
      <c r="CM16" s="24">
        <f>V16</f>
        <v>0.03</v>
      </c>
      <c r="CN16" s="24">
        <f>V16</f>
        <v>0.03</v>
      </c>
      <c r="CO16" s="24">
        <f>V16</f>
        <v>0.03</v>
      </c>
      <c r="CP16" s="24">
        <f>AP16</f>
        <v>1</v>
      </c>
      <c r="CQ16" s="24">
        <f>J16</f>
        <v>1</v>
      </c>
      <c r="CR16" s="24">
        <f>W16</f>
        <v>1</v>
      </c>
      <c r="CS16" s="24">
        <f>W16</f>
        <v>1</v>
      </c>
      <c r="CT16" s="24">
        <f>W16</f>
        <v>1</v>
      </c>
      <c r="CU16" s="24">
        <f>W16</f>
        <v>1</v>
      </c>
      <c r="CV16" s="24">
        <f>W16</f>
        <v>1</v>
      </c>
      <c r="CW16" s="24">
        <f>H16</f>
        <v>0</v>
      </c>
      <c r="CX16" s="24">
        <v>0</v>
      </c>
      <c r="CY16" s="24">
        <f>Y16*(1-II16)+Z16*II16</f>
        <v>0.5999999999999999</v>
      </c>
      <c r="CZ16" s="24">
        <f>Y16*(1-IJ16)+Z16*IJ16</f>
        <v>0.5999999999999999</v>
      </c>
      <c r="DA16" s="24">
        <f>Y16*(1-IK16)+Z16*IK16</f>
        <v>0.5999999999999999</v>
      </c>
      <c r="DB16" s="24">
        <f>Y16*(1-IL16)+Z16*IL16</f>
        <v>0.5999999999999999</v>
      </c>
      <c r="DC16" s="24">
        <f>Y16*(1-IM16)+Z16*IM16</f>
        <v>0.5999999999999999</v>
      </c>
      <c r="DD16" s="24">
        <v>0</v>
      </c>
      <c r="DE16" s="24">
        <v>0</v>
      </c>
      <c r="DF16" s="24">
        <f>IF(BI16&gt;=9999,0,IF(AG16=1,0,BV16+IP16-BI16))</f>
        <v>0.20000000000000284</v>
      </c>
      <c r="DG16" s="24">
        <f>IF(BJ16&gt;=9999,0,BW16+IQ16-BJ16)</f>
        <v>0.19999999999998863</v>
      </c>
      <c r="DH16" s="24">
        <f>IF(BK16&gt;=9999,0,BX16+IR16-BK16)</f>
        <v>0.19999999999998863</v>
      </c>
      <c r="DI16" s="24">
        <f>IF(BL16&gt;=9999,0,BY16+IS16-BL16)</f>
        <v>0.19999999999998863</v>
      </c>
      <c r="DJ16" s="24">
        <f>IF(BM16&gt;=9999,0,BZ16+IT16-BM16)</f>
        <v>0.19999999999998863</v>
      </c>
      <c r="DK16" s="24">
        <f>INT(CW16+DD16)</f>
        <v>0</v>
      </c>
      <c r="DL16" s="24">
        <v>0</v>
      </c>
      <c r="DM16" s="24">
        <f>INT(CY16+DF16)</f>
        <v>0</v>
      </c>
      <c r="DN16" s="24">
        <f>INT(CZ16+DG16)</f>
        <v>0</v>
      </c>
      <c r="DO16" s="24">
        <f>INT(DA16+DH16)</f>
        <v>0</v>
      </c>
      <c r="DP16" s="24">
        <f>INT(DB16+DI16)</f>
        <v>0</v>
      </c>
      <c r="DQ16" s="24">
        <f>INT(DC16+DJ16)</f>
        <v>0</v>
      </c>
      <c r="DR16" s="24">
        <f>CW16+DD16-DK16</f>
        <v>0</v>
      </c>
      <c r="DS16" s="24">
        <v>0</v>
      </c>
      <c r="DT16" s="24">
        <f>CY16+DF16-DM16</f>
        <v>0.8000000000000027</v>
      </c>
      <c r="DU16" s="24">
        <f>CZ16+DG16-DN16</f>
        <v>0.7999999999999885</v>
      </c>
      <c r="DV16" s="24">
        <f>DA16+DH16-DO16</f>
        <v>0.7999999999999885</v>
      </c>
      <c r="DW16" s="24">
        <f>DB16+DI16-DP16</f>
        <v>0.7999999999999885</v>
      </c>
      <c r="DX16" s="24">
        <f>DC16+DJ16-DQ16</f>
        <v>0.7999999999999885</v>
      </c>
      <c r="DY16" s="24">
        <v>1</v>
      </c>
      <c r="DZ16" s="24">
        <v>1</v>
      </c>
      <c r="EA16" s="24">
        <v>0</v>
      </c>
      <c r="EB16" s="24">
        <v>0</v>
      </c>
      <c r="EC16" s="24">
        <v>0</v>
      </c>
      <c r="ED16" s="24">
        <v>0</v>
      </c>
      <c r="EE16" s="24">
        <v>0</v>
      </c>
      <c r="EF16" s="24">
        <v>0</v>
      </c>
      <c r="EG16" s="24">
        <f>IF(AG16=1,1,2)</f>
        <v>2</v>
      </c>
      <c r="EH16" s="24">
        <v>0</v>
      </c>
      <c r="EI16" s="24">
        <v>0</v>
      </c>
      <c r="EJ16" s="24">
        <v>0</v>
      </c>
      <c r="EK16" s="24">
        <v>0</v>
      </c>
      <c r="EL16" s="24">
        <v>0</v>
      </c>
      <c r="EM16" s="24">
        <v>1</v>
      </c>
      <c r="EN16" s="24">
        <f>IF(AG16=1,AF16,1)</f>
        <v>1</v>
      </c>
      <c r="EO16" s="24">
        <v>1</v>
      </c>
      <c r="EP16" s="24">
        <v>1</v>
      </c>
      <c r="EQ16" s="24">
        <v>1</v>
      </c>
      <c r="ER16" s="24">
        <v>1</v>
      </c>
      <c r="ES16" s="24">
        <v>1</v>
      </c>
      <c r="ET16" s="24">
        <v>0</v>
      </c>
      <c r="EU16" s="24">
        <f>BB16</f>
        <v>21.288670775356657</v>
      </c>
      <c r="EV16" s="24">
        <v>0</v>
      </c>
      <c r="EW16" s="24">
        <v>0</v>
      </c>
      <c r="EX16" s="24">
        <v>0</v>
      </c>
      <c r="EY16" s="24">
        <v>0</v>
      </c>
      <c r="EZ16" s="24">
        <v>0</v>
      </c>
      <c r="FA16" s="24">
        <v>0</v>
      </c>
      <c r="FB16" s="24">
        <f>ROUND(P16,0)</f>
        <v>6</v>
      </c>
      <c r="FC16" s="24">
        <v>0</v>
      </c>
      <c r="FD16" s="24">
        <v>0</v>
      </c>
      <c r="FE16" s="24">
        <v>0</v>
      </c>
      <c r="FF16" s="24">
        <v>0</v>
      </c>
      <c r="FG16" s="24">
        <v>0</v>
      </c>
      <c r="FH16" s="24">
        <f>AK16</f>
        <v>0</v>
      </c>
      <c r="FI16" s="24">
        <f>IF(AG16=1,AK16*AF16,FH16)</f>
        <v>0</v>
      </c>
      <c r="FJ16" s="24">
        <f>FI16*II16</f>
        <v>0</v>
      </c>
      <c r="FK16" s="24">
        <f>FJ16*IJ16</f>
        <v>0</v>
      </c>
      <c r="FL16" s="24">
        <f>FK16*IK16</f>
        <v>0</v>
      </c>
      <c r="FM16" s="24">
        <f>FL16*IL16</f>
        <v>0</v>
      </c>
      <c r="FN16" s="24">
        <f>FM16*IM16</f>
        <v>0</v>
      </c>
      <c r="FO16" s="24">
        <v>1</v>
      </c>
      <c r="FP16" s="24">
        <f>FV16</f>
        <v>1</v>
      </c>
      <c r="FQ16" s="24">
        <f>FW16*II16</f>
        <v>0.8</v>
      </c>
      <c r="FR16" s="24">
        <f>FX16*IJ16</f>
        <v>0.6400000000000001</v>
      </c>
      <c r="FS16" s="24">
        <f>FY16*IK16</f>
        <v>0.5120000000000001</v>
      </c>
      <c r="FT16" s="24">
        <f>FZ16*IL16</f>
        <v>0.40960000000000013</v>
      </c>
      <c r="FU16" s="24">
        <f>GA16*IM16</f>
        <v>0.32768000000000014</v>
      </c>
      <c r="FV16" s="24">
        <v>1</v>
      </c>
      <c r="FW16" s="24">
        <f>IF(AG16=1,FP16*AF16,FV16)</f>
        <v>1</v>
      </c>
      <c r="FX16" s="24">
        <f>FQ16</f>
        <v>0.8</v>
      </c>
      <c r="FY16" s="24">
        <f>FR16</f>
        <v>0.6400000000000001</v>
      </c>
      <c r="FZ16" s="24">
        <f>FS16</f>
        <v>0.5120000000000001</v>
      </c>
      <c r="GA16" s="24">
        <f>FT16</f>
        <v>0.40960000000000013</v>
      </c>
      <c r="GB16" s="24">
        <f>FU16</f>
        <v>0.32768000000000014</v>
      </c>
      <c r="GC16" s="24">
        <v>0</v>
      </c>
      <c r="GD16" s="24">
        <f>GC16</f>
        <v>0</v>
      </c>
      <c r="GE16" s="24">
        <f>IF(BI16&gt;=9999,0,INT(BI16/12))</f>
        <v>4</v>
      </c>
      <c r="GF16" s="24">
        <f>IF(BJ16&gt;=9999,0,INT(BJ16/12))</f>
        <v>12</v>
      </c>
      <c r="GG16" s="24">
        <f>IF(BK16&gt;=9999,0,INT(BK16/12))</f>
        <v>19</v>
      </c>
      <c r="GH16" s="24">
        <f>IF(BL16&gt;=9999,0,INT(BL16/12))</f>
        <v>26</v>
      </c>
      <c r="GI16" s="24">
        <f>IF(BM16&gt;=9999,0,INT(BM16/12))</f>
        <v>34</v>
      </c>
      <c r="GJ16" s="24">
        <f>BG16</f>
        <v>0</v>
      </c>
      <c r="GK16" s="24">
        <f>IF(AG16=1,BH16,GJ16)</f>
        <v>0</v>
      </c>
      <c r="GL16" s="24">
        <f>BI16</f>
        <v>58</v>
      </c>
      <c r="GM16" s="24">
        <f>BJ16</f>
        <v>146</v>
      </c>
      <c r="GN16" s="24">
        <f>BK16</f>
        <v>234</v>
      </c>
      <c r="GO16" s="24">
        <f>BL16</f>
        <v>322</v>
      </c>
      <c r="GP16" s="24">
        <f>BM16</f>
        <v>410</v>
      </c>
      <c r="GQ16" s="24">
        <f>CI16</f>
        <v>0</v>
      </c>
      <c r="GR16" s="24">
        <f>IF(AG16=1,I16,GQ16)</f>
        <v>0</v>
      </c>
      <c r="GS16" s="24">
        <f>V16</f>
        <v>0.03</v>
      </c>
      <c r="GT16" s="24">
        <f>V16</f>
        <v>0.03</v>
      </c>
      <c r="GU16" s="24">
        <f>V16</f>
        <v>0.03</v>
      </c>
      <c r="GV16" s="24">
        <f>V16</f>
        <v>0.03</v>
      </c>
      <c r="GW16" s="24">
        <f>V16</f>
        <v>0.03</v>
      </c>
      <c r="GX16" s="24">
        <f>CP16</f>
        <v>1</v>
      </c>
      <c r="GY16" s="24">
        <f>IF(AG16=1,J16,GX16)</f>
        <v>1</v>
      </c>
      <c r="GZ16" s="24">
        <f>W16</f>
        <v>1</v>
      </c>
      <c r="HA16" s="24">
        <f>W16</f>
        <v>1</v>
      </c>
      <c r="HB16" s="24">
        <f>W16</f>
        <v>1</v>
      </c>
      <c r="HC16" s="24">
        <f>W16</f>
        <v>1</v>
      </c>
      <c r="HD16" s="24">
        <f>W16</f>
        <v>1</v>
      </c>
      <c r="HE16" s="24">
        <f>IF(BU16&gt;=9999,1,(1+X16)^(BU16/12))</f>
        <v>1.1507389608300895</v>
      </c>
      <c r="HF16" s="24">
        <f>IF(AG16=1,IF(BV16&gt;=9999,1,(1+X16)^(BV16/12)),HE16)</f>
        <v>1.1507389608300895</v>
      </c>
      <c r="HG16" s="24">
        <f>IF(BW16&gt;=9999,1,(1+X16)^(BW16/12))</f>
        <v>1.429277197823941</v>
      </c>
      <c r="HH16" s="24">
        <f>IF(BX16&gt;=9999,1,(1+X16)^(BX16/12))</f>
        <v>1.7752360680878068</v>
      </c>
      <c r="HI16" s="24">
        <f>IF(BY16&gt;=9999,1,(1+X16)^(BY16/12))</f>
        <v>2.2049348455554485</v>
      </c>
      <c r="HJ16" s="24">
        <f>IF(BZ16&gt;=9999,1,(1+X16)^(BZ16/12))</f>
        <v>2.7386429109574397</v>
      </c>
      <c r="HK16" s="24">
        <f>IF(CA16&gt;=9999,1,(1+X16)^(CA16/12))</f>
        <v>3.401535881595658</v>
      </c>
      <c r="HL16" s="24">
        <f>IF(AND(F16&gt;0,C16&gt;0),F16,-1)</f>
        <v>-1</v>
      </c>
      <c r="HM16" s="24">
        <f>IF(AG16=1,BU16+FB16,-1)</f>
        <v>-1</v>
      </c>
      <c r="HN16" s="24">
        <f>IF(BI16&gt;=9999,-1,BV16+ROUND(IP16,0))</f>
        <v>58</v>
      </c>
      <c r="HO16" s="24">
        <f>IF(BJ16&gt;=9999,-1,IF(HN16&lt;0,BW16,HN16+BP16)+ROUND(IQ16,0))</f>
        <v>146</v>
      </c>
      <c r="HP16" s="24">
        <f>IF(BK16&gt;=9999,-1,IF(HO16&lt;0,BX16,HO16+BQ16)+ROUND(IR16,0))</f>
        <v>234</v>
      </c>
      <c r="HQ16" s="24">
        <f>IF(BL16&gt;=9999,-1,IF(HP16&lt;0,BY16,HP16+BR16)+ROUND(IS16,0))</f>
        <v>322</v>
      </c>
      <c r="HR16" s="24">
        <f>IF(BM16&gt;=9999,-1,IF(HQ16&lt;0,BZ16,HQ16+BS16)+ROUND(IT16,0))</f>
        <v>410</v>
      </c>
      <c r="HS16" s="24">
        <f>IF(HL16&lt;0,0,C16*K16)</f>
        <v>0</v>
      </c>
      <c r="HT16" s="24">
        <f>IF(AG16=1,C16*R16*(1+in_ExpenseGrowth)^(HM16/12)*(1-AF16),0)</f>
        <v>0</v>
      </c>
      <c r="HU16" s="24">
        <f>IF(HN16&lt;0,0,C16*(S16*II16+R16*(1-II16))*(1+in_ExpenseGrowth)^(HN16/12))</f>
        <v>16946.820040873507</v>
      </c>
      <c r="HV16" s="24">
        <f>IF(HO16&lt;0,0,C16*(S16*IJ16+R16*(1-IJ16))*(1+in_ExpenseGrowth)^(HO16/12))</f>
        <v>19595.490727743552</v>
      </c>
      <c r="HW16" s="24">
        <f>IF(HP16&lt;0,0,C16*(S16*IK16+R16*(1-IK16))*(1+in_ExpenseGrowth)^(HP16/12))</f>
        <v>22658.13031205655</v>
      </c>
      <c r="HX16" s="24">
        <f>IF(HQ16&lt;0,0,C16*(S16*IL16+R16*(1-IL16))*(1+in_ExpenseGrowth)^(HQ16/12))</f>
        <v>26199.439267487716</v>
      </c>
      <c r="HY16" s="24">
        <f>IF(HR16&lt;0,0,C16*(S16*IM16+R16*(1-IM16))*(1+in_ExpenseGrowth)^(HR16/12))</f>
        <v>30294.23030396879</v>
      </c>
      <c r="HZ16" s="24">
        <f>IF(HL16&lt;0,0,L16*C16*E16*AQ16)</f>
        <v>0</v>
      </c>
      <c r="IA16" s="24">
        <f>IF(AG16=1,T16*C16*O16*(1+X16)^(MAX(0,HM16-F16)/12)*AB16*(1-AF16),0)</f>
        <v>0</v>
      </c>
      <c r="IB16" s="24">
        <f>IF(HN16&lt;0,0,(U16*II16+T16*(1-II16))*C16*O16*(1+X16)^(MAX(0,HN16-F16)/12)*(AA16*II16+1-II16)*AB16)</f>
        <v>10855.00954903182</v>
      </c>
      <c r="IC16" s="24">
        <f>IF(HO16&lt;0,0,(U16*IJ16+T16*(1-IJ16))*C16*O16*(1+X16)^(MAX(0,HO16-F16)/12)*(AA16*IJ16+1-IJ16)*AB16)</f>
        <v>13482.482264614258</v>
      </c>
      <c r="ID16" s="24">
        <f>IF(HP16&lt;0,0,(U16*IK16+T16*(1-IK16))*C16*O16*(1+X16)^(MAX(0,HP16-F16)/12)*(AA16*IK16+1-IK16)*AB16)</f>
        <v>16745.93902424075</v>
      </c>
      <c r="IE16" s="24">
        <f>IF(HQ16&lt;0,0,(U16*IL16+T16*(1-IL16))*C16*O16*(1+X16)^(MAX(0,HQ16-F16)/12)*(AA16*IL16+1-IL16)*AB16)</f>
        <v>20799.320800116213</v>
      </c>
      <c r="IF16" s="24">
        <f>IF(HR16&lt;0,0,(U16*IM16+T16*(1-IM16))*C16*O16*(1+X16)^(MAX(0,HR16-F16)/12)*(AA16*IM16+1-IM16)*AB16)</f>
        <v>25833.830227132414</v>
      </c>
      <c r="IG16" s="24">
        <v>1</v>
      </c>
      <c r="IH16" s="24">
        <f>IF(AG16=1,AF16,1)</f>
        <v>1</v>
      </c>
      <c r="II16" s="24">
        <f>IF(AG16=1,AC16,AE16)</f>
        <v>0.8</v>
      </c>
      <c r="IJ16" s="24">
        <f>AC16</f>
        <v>0.8</v>
      </c>
      <c r="IK16" s="24">
        <f>AC16</f>
        <v>0.8</v>
      </c>
      <c r="IL16" s="24">
        <f>AC16</f>
        <v>0.8</v>
      </c>
      <c r="IM16" s="24">
        <f>AC16</f>
        <v>0.8</v>
      </c>
      <c r="IN16" s="24">
        <v>0</v>
      </c>
      <c r="IO16" s="24">
        <f>P16</f>
        <v>6</v>
      </c>
      <c r="IP16" s="24">
        <f>P16*(1-II16)</f>
        <v>1.1999999999999997</v>
      </c>
      <c r="IQ16" s="24">
        <f>P16*(1-IJ16)</f>
        <v>1.1999999999999997</v>
      </c>
      <c r="IR16" s="24">
        <f>P16*(1-IK16)</f>
        <v>1.1999999999999997</v>
      </c>
      <c r="IS16" s="24">
        <f>P16*(1-IL16)</f>
        <v>1.1999999999999997</v>
      </c>
      <c r="IT16" s="24">
        <f>P16*(1-IM16)</f>
        <v>1.1999999999999997</v>
      </c>
    </row>
    <row r="17">
      <c r="A17" s="25">
        <v>10</v>
      </c>
      <c r="B17" s="23" t="str">
        <f>IF('Rent Roll'!C17="","",'Rent Roll'!C17)</f>
        <v>Available B-9</v>
      </c>
      <c r="C17" s="24">
        <f>IF(ISNUMBER('Rent Roll'!E17),MAX(0,'Rent Roll'!E17),0)</f>
        <v>1600</v>
      </c>
      <c r="D17" s="88">
        <f>IF(a_GLA&gt;0,C17/a_GLA,0)</f>
        <v>0.02680067001675042</v>
      </c>
      <c r="E17" s="29">
        <f>IF(BC17=1,ROUND(BD17*(1+X17)^(F17/12),2),BD17)</f>
        <v>18.91</v>
      </c>
      <c r="F17" s="24">
        <f>IF(C17&gt;0,MAX(0,(YEAR(IF(ISNUMBER('Rent Roll'!G17),'Rent Roll'!G17,0))-YEAR(in_AnalysisStart))*12+MONTH(IF(ISNUMBER('Rent Roll'!G17),'Rent Roll'!G17,0))-MONTH(in_AnalysisStart)),0)</f>
        <v>9</v>
      </c>
      <c r="G17" s="24">
        <f>IF(C17&gt;0,MAX(0,(YEAR(IF(ISNUMBER('Rent Roll'!H17),'Rent Roll'!H17,0))-YEAR(in_AnalysisStart))*12+MONTH(IF(ISNUMBER('Rent Roll'!H17),'Rent Roll'!H17,0))-MONTH(in_AnalysisStart)+1-F17),0)</f>
        <v>84</v>
      </c>
      <c r="H17" s="24">
        <f>IF(ISNUMBER('Rent Roll'!N17),'Rent Roll'!N17,0)</f>
        <v>3</v>
      </c>
      <c r="I17" s="88">
        <f>IF(ISNUMBER('Rent Roll'!L17),'Rent Roll'!L17,0)</f>
        <v>0.02</v>
      </c>
      <c r="J17" s="24">
        <f>MAX(1,ROUND(IF(ISNUMBER('Rent Roll'!M17),'Rent Roll'!M17,0),0))</f>
        <v>1</v>
      </c>
      <c r="K17" s="29">
        <f>IF(ISNUMBER('Rent Roll'!AJ17),'Rent Roll'!AJ17,0)</f>
        <v>15</v>
      </c>
      <c r="L17" s="88">
        <f>IF(IF(ISNUMBER('Rent Roll'!AK17),'Rent Roll'!AK17,0)&gt;0,'Rent Roll'!AK17,a_LeaseUpLC)</f>
        <v>0.05</v>
      </c>
      <c r="M17" s="24">
        <f>IF('Rent Roll'!R17="",0,IFERROR(MATCH('Rent Roll'!R17,a_PName,0),0))</f>
        <v>2</v>
      </c>
      <c r="N17" s="24">
        <f>IF(M17&gt;0,1,0)</f>
        <v>1</v>
      </c>
      <c r="O17" s="29">
        <f>IF(IF(ISNUMBER('Rent Roll'!S17),'Rent Roll'!S17,0)&gt;0,'Rent Roll'!S17,IF(M17&gt;0,IF(ISNUMBER(INDEX(a_PRent,M17)),INDEX(a_PRent,M17),0),0))</f>
        <v>18.5</v>
      </c>
      <c r="P17" s="24">
        <f>IF(M17&gt;0,IF(ISNUMBER(INDEX(a_PDown,M17)),INDEX(a_PDown,M17),0),0)</f>
        <v>6</v>
      </c>
      <c r="Q17" s="24">
        <f>IF(M17&gt;0,MAX(1,IF(ISNUMBER(INDEX(a_PTerm,M17)),INDEX(a_PTerm,M17),0)),5)</f>
        <v>7.25</v>
      </c>
      <c r="R17" s="29">
        <f>IF(M17&gt;0,IF(ISNUMBER(INDEX(a_PTiNew,M17)),INDEX(a_PTiNew,M17),0),0)</f>
        <v>15</v>
      </c>
      <c r="S17" s="29">
        <f>IF(M17&gt;0,IF(ISNUMBER(INDEX(a_PTiRen,M17)),INDEX(a_PTiRen,M17),0),0)</f>
        <v>5</v>
      </c>
      <c r="T17" s="88">
        <f>IF(M17&gt;0,IF(ISNUMBER(INDEX(a_PLcNew,M17)),INDEX(a_PLcNew,M17),0),0)</f>
        <v>0.05</v>
      </c>
      <c r="U17" s="88">
        <f>IF(M17&gt;0,IF(ISNUMBER(INDEX(a_PLcRen,M17)),INDEX(a_PLcRen,M17),0),0)</f>
        <v>0.02</v>
      </c>
      <c r="V17" s="88">
        <f>IF(M17&gt;0,IF(ISNUMBER(INDEX(a_PBump,M17)),INDEX(a_PBump,M17),0),0)</f>
        <v>0.03</v>
      </c>
      <c r="W17" s="24">
        <f>MAX(1,ROUND(IF(M17&gt;0,IF(ISNUMBER(INDEX(a_PEvery,M17)),INDEX(a_PEvery,M17),0),1),0))</f>
        <v>1</v>
      </c>
      <c r="X17" s="88">
        <f>IF(M17&gt;0,IF(ISNUMBER(INDEX(a_PGrow,M17)),INDEX(a_PGrow,M17),in_RentGrowth),in_RentGrowth)</f>
        <v>0.03</v>
      </c>
      <c r="Y17" s="24">
        <f>IF(M17&gt;0,IF(ISNUMBER(INDEX(a_PFreeNew,M17)),INDEX(a_PFreeNew,M17),0),0)</f>
        <v>3</v>
      </c>
      <c r="Z17" s="24">
        <f>IF(M17&gt;0,IF(ISNUMBER(INDEX(a_PFreeRen,M17)),INDEX(a_PFreeRen,M17),0),0)</f>
        <v>0</v>
      </c>
      <c r="AA17" s="88">
        <f>IF(M17&gt;0,IF(ISNUMBER(INDEX(a_PRenPct,M17)),INDEX(a_PRenPct,M17),1),1)</f>
        <v>1</v>
      </c>
      <c r="AB17" s="24">
        <f>IF(M17&gt;0,IF(ISNUMBER(INDEX(a_PAF,M17)),INDEX(a_PAF,M17),0),0)</f>
        <v>8.89233604625388</v>
      </c>
      <c r="AC17" s="88">
        <f>IF(ISNUMBER('Rent Roll'!V17),'Rent Roll'!V17,IF(M17&gt;0,IF(ISNUMBER(INDEX(a_PRenew,M17)),INDEX(a_PRenew,M17),0),0.8))</f>
        <v>0.8</v>
      </c>
      <c r="AD17" s="23" t="str">
        <f>IF('Rent Roll'!W17="","Probability",'Rent Roll'!W17)</f>
        <v>Probability</v>
      </c>
      <c r="AE17" s="88">
        <f>IF(AD17="Renew",1,IF(AD17="Vacate",0,AC17))</f>
        <v>0.8</v>
      </c>
      <c r="AF17" s="88">
        <f>IF(AD17="Renew",1,IF(ISNUMBER('Rent Roll'!AA17),'Rent Roll'!AA17,AC17))</f>
        <v>0.8</v>
      </c>
      <c r="AG17" s="24">
        <f>IF(AND(N17=1,IF(ISNUMBER('Rent Roll'!Y17),'Rent Roll'!Y17,0)&gt;0,IF(ISNUMBER('Rent Roll'!Z17),'Rent Roll'!Z17,0)&gt;0,AF17&gt;0,AD17&lt;&gt;"Vacate",C17&gt;0),1,0)</f>
        <v>0</v>
      </c>
      <c r="AH17" s="24">
        <f>ROUND(12*IF(ISNUMBER('Rent Roll'!Y17),'Rent Roll'!Y17,0),0)</f>
        <v>0</v>
      </c>
      <c r="AI17" s="29">
        <f>IF(ISNUMBER('Rent Roll'!Z17),'Rent Roll'!Z17,0)</f>
        <v>0</v>
      </c>
      <c r="AJ17" s="24">
        <f>IF('Rent Roll'!P17="Base year",1,0)</f>
        <v>0</v>
      </c>
      <c r="AK17" s="88">
        <f>IF(ISNUMBER('Rent Roll'!Q17),'Rent Roll'!Q17,0)</f>
        <v>0</v>
      </c>
      <c r="AL17" s="24">
        <f>IF(AND('Rent Roll'!AH17="Yes",a_AnchorInVac&lt;&gt;"Yes"),1,0)</f>
        <v>0</v>
      </c>
      <c r="AM17" s="29">
        <f>IF(ISNUMBER('Rent Roll'!AL17),'Rent Roll'!AL17,0)</f>
        <v>0</v>
      </c>
      <c r="AN17" s="88">
        <f>IF(ISNUMBER('Rent Roll'!AM17),'Rent Roll'!AM17,0)</f>
        <v>0</v>
      </c>
      <c r="AO17" s="88">
        <f>IF(AND(BC17=1,N17=1),V17,I17)</f>
        <v>0.03</v>
      </c>
      <c r="AP17" s="24">
        <f>IF(AND(BC17=1,N17=1),W17,J17)</f>
        <v>1</v>
      </c>
      <c r="AQ17" s="24">
        <f>IF(AO17=0,G17/12,AP17*((1+AO17)^INT(INT(G17/12)/AP17)-1)/AO17+(INT(G17/12)-INT(INT(G17/12)/AP17)*AP17)*(1+AO17)^INT(INT(G17/12)/AP17)+(G17/12-INT(G17/12))*(1+AO17)^INT(INT(G17/12)/AP17))</f>
        <v>7.662462180829007</v>
      </c>
      <c r="AR17" s="24">
        <f>IF(AND(C17&gt;0,BU17&lt;9999,BU17&gt;0),INT((BU17-1)/12)+1,0)</f>
        <v>8</v>
      </c>
      <c r="AS17" s="24">
        <f>COUNTIF('Lease Cycles'!$BG$17:$BM$17,"&lt;132")</f>
        <v>3</v>
      </c>
      <c r="AT17" s="24">
        <f>IF(AND(ISNUMBER('Rent Roll'!AR17),IF(ISNUMBER('Rent Roll'!AS17),'Rent Roll'!AS17,0)&gt;0),(YEAR('Rent Roll'!AR17)-YEAR(in_AnalysisStart))*12+MONTH('Rent Roll'!AR17)-MONTH(in_AnalysisStart),9999)</f>
        <v>9999</v>
      </c>
      <c r="AU17" s="29">
        <f>IF(ISNUMBER('Rent Roll'!AS17),'Rent Roll'!AS17,0)</f>
        <v>0</v>
      </c>
      <c r="AV17" s="24">
        <f>IF(AND(ISNUMBER('Rent Roll'!AT17),IF(ISNUMBER('Rent Roll'!AU17),'Rent Roll'!AU17,0)&gt;0),(YEAR('Rent Roll'!AT17)-YEAR(in_AnalysisStart))*12+MONTH('Rent Roll'!AT17)-MONTH(in_AnalysisStart),9999)</f>
        <v>9999</v>
      </c>
      <c r="AW17" s="29">
        <f>IF(ISNUMBER('Rent Roll'!AU17),'Rent Roll'!AU17,0)</f>
        <v>0</v>
      </c>
      <c r="AX17" s="24">
        <f>IF(AND(ISNUMBER('Rent Roll'!AV17),IF(ISNUMBER('Rent Roll'!AW17),'Rent Roll'!AW17,0)&gt;0),(YEAR('Rent Roll'!AV17)-YEAR(in_AnalysisStart))*12+MONTH('Rent Roll'!AV17)-MONTH(in_AnalysisStart),9999)</f>
        <v>9999</v>
      </c>
      <c r="AY17" s="29">
        <f>IF(ISNUMBER('Rent Roll'!AW17),'Rent Roll'!AW17,0)</f>
        <v>0</v>
      </c>
      <c r="AZ17" s="24">
        <f>IF(AND(ISNUMBER('Rent Roll'!AX17),IF(ISNUMBER('Rent Roll'!AY17),'Rent Roll'!AY17,0)&gt;0),(YEAR('Rent Roll'!AX17)-YEAR(in_AnalysisStart))*12+MONTH('Rent Roll'!AX17)-MONTH(in_AnalysisStart),9999)</f>
        <v>9999</v>
      </c>
      <c r="BA17" s="29">
        <f>IF(ISNUMBER('Rent Roll'!AY17),'Rent Roll'!AY17,0)</f>
        <v>0</v>
      </c>
      <c r="BB17" s="29">
        <f>IF(BU17&gt;=9999,O17,O17*(1+X17)^((BU17-F17)/12))</f>
        <v>22.7526665103601</v>
      </c>
      <c r="BC17" s="24">
        <f>IF(AND('Rent Roll'!AZ17="Yes",F17&gt;0,BD17&gt;0,AT17&gt;=9999),1,0)</f>
        <v>1</v>
      </c>
      <c r="BD17" s="29">
        <f>IF(ISNUMBER('Rent Roll'!I17),'Rent Roll'!I17,0)</f>
        <v>18.5</v>
      </c>
      <c r="BE17" s="24">
        <f>IF(a_MarketRecovery="Base year",1,0)</f>
        <v>0</v>
      </c>
      <c r="BG17" s="24">
        <f>IF(C17&gt;0,F17,9999)</f>
        <v>9</v>
      </c>
      <c r="BH17" s="24">
        <f>BU17</f>
        <v>93</v>
      </c>
      <c r="BI17" s="24">
        <f>IF(OR(N17=0,BV17&gt;=9999),9999,IF(AG17=1,BV17,INT(BV17+IP17)))</f>
        <v>94</v>
      </c>
      <c r="BJ17" s="24">
        <f>IF(OR(N17=0,BW17&gt;=9999),9999,INT(BW17+IQ17))</f>
        <v>182</v>
      </c>
      <c r="BK17" s="24">
        <f>IF(OR(N17=0,BX17&gt;=9999),9999,INT(BX17+IR17))</f>
        <v>270</v>
      </c>
      <c r="BL17" s="24">
        <f>IF(OR(N17=0,BY17&gt;=9999),9999,INT(BY17+IS17))</f>
        <v>358</v>
      </c>
      <c r="BM17" s="24">
        <f>IF(OR(N17=0,BZ17&gt;=9999),9999,INT(BZ17+IT17))</f>
        <v>446</v>
      </c>
      <c r="BN17" s="24">
        <f>G17</f>
        <v>84</v>
      </c>
      <c r="BO17" s="24">
        <f>IF(AG17=1,AH17,0)</f>
        <v>0</v>
      </c>
      <c r="BP17" s="24">
        <f>MAX(12,ROUND(12*Q17,0))</f>
        <v>87</v>
      </c>
      <c r="BQ17" s="24">
        <f>MAX(12,ROUND(12*Q17,0))</f>
        <v>87</v>
      </c>
      <c r="BR17" s="24">
        <f>MAX(12,ROUND(12*Q17,0))</f>
        <v>87</v>
      </c>
      <c r="BS17" s="24">
        <f>MAX(12,ROUND(12*Q17,0))</f>
        <v>87</v>
      </c>
      <c r="BT17" s="24">
        <f>MAX(12,ROUND(12*Q17,0))</f>
        <v>87</v>
      </c>
      <c r="BU17" s="24">
        <f>BG17+BN17</f>
        <v>93</v>
      </c>
      <c r="BV17" s="24">
        <f>BH17+BO17</f>
        <v>93</v>
      </c>
      <c r="BW17" s="24">
        <f>IF(BI17&gt;=9999,9999,BI17+BP17)</f>
        <v>181</v>
      </c>
      <c r="BX17" s="24">
        <f>IF(BJ17&gt;=9999,9999,BJ17+BQ17)</f>
        <v>269</v>
      </c>
      <c r="BY17" s="24">
        <f>IF(BK17&gt;=9999,9999,BK17+BR17)</f>
        <v>357</v>
      </c>
      <c r="BZ17" s="24">
        <f>IF(BL17&gt;=9999,9999,BL17+BS17)</f>
        <v>445</v>
      </c>
      <c r="CA17" s="24">
        <f>IF(BM17&gt;=9999,9999,BM17+BT17)</f>
        <v>533</v>
      </c>
      <c r="CB17" s="24">
        <f>E17</f>
        <v>18.91</v>
      </c>
      <c r="CC17" s="24">
        <f>AI17</f>
        <v>0</v>
      </c>
      <c r="CD17" s="24">
        <f>IF(BI17&gt;=9999,0,O17*(1+X17)^((BI17-F17)/12)*(AA17*II17+1-II17))</f>
        <v>22.808780724013904</v>
      </c>
      <c r="CE17" s="24">
        <f>IF(BJ17&gt;=9999,0,O17*(1+X17)^((BJ17-F17)/12)*(AA17*IJ17+1-IJ17))</f>
        <v>28.3296831937307</v>
      </c>
      <c r="CF17" s="24">
        <f>IF(BK17&gt;=9999,0,O17*(1+X17)^((BK17-F17)/12)*(AA17*IK17+1-IK17))</f>
        <v>35.18692908526109</v>
      </c>
      <c r="CG17" s="24">
        <f>IF(BL17&gt;=9999,0,O17*(1+X17)^((BL17-F17)/12)*(AA17*IL17+1-IL17))</f>
        <v>43.70398249724114</v>
      </c>
      <c r="CH17" s="24">
        <f>IF(BM17&gt;=9999,0,O17*(1+X17)^((BM17-F17)/12)*(AA17*IM17+1-IM17))</f>
        <v>54.28260253945339</v>
      </c>
      <c r="CI17" s="24">
        <f>AO17</f>
        <v>0.03</v>
      </c>
      <c r="CJ17" s="24">
        <f>I17</f>
        <v>0.02</v>
      </c>
      <c r="CK17" s="24">
        <f>V17</f>
        <v>0.03</v>
      </c>
      <c r="CL17" s="24">
        <f>V17</f>
        <v>0.03</v>
      </c>
      <c r="CM17" s="24">
        <f>V17</f>
        <v>0.03</v>
      </c>
      <c r="CN17" s="24">
        <f>V17</f>
        <v>0.03</v>
      </c>
      <c r="CO17" s="24">
        <f>V17</f>
        <v>0.03</v>
      </c>
      <c r="CP17" s="24">
        <f>AP17</f>
        <v>1</v>
      </c>
      <c r="CQ17" s="24">
        <f>J17</f>
        <v>1</v>
      </c>
      <c r="CR17" s="24">
        <f>W17</f>
        <v>1</v>
      </c>
      <c r="CS17" s="24">
        <f>W17</f>
        <v>1</v>
      </c>
      <c r="CT17" s="24">
        <f>W17</f>
        <v>1</v>
      </c>
      <c r="CU17" s="24">
        <f>W17</f>
        <v>1</v>
      </c>
      <c r="CV17" s="24">
        <f>W17</f>
        <v>1</v>
      </c>
      <c r="CW17" s="24">
        <f>H17</f>
        <v>3</v>
      </c>
      <c r="CX17" s="24">
        <v>0</v>
      </c>
      <c r="CY17" s="24">
        <f>Y17*(1-II17)+Z17*II17</f>
        <v>0.5999999999999999</v>
      </c>
      <c r="CZ17" s="24">
        <f>Y17*(1-IJ17)+Z17*IJ17</f>
        <v>0.5999999999999999</v>
      </c>
      <c r="DA17" s="24">
        <f>Y17*(1-IK17)+Z17*IK17</f>
        <v>0.5999999999999999</v>
      </c>
      <c r="DB17" s="24">
        <f>Y17*(1-IL17)+Z17*IL17</f>
        <v>0.5999999999999999</v>
      </c>
      <c r="DC17" s="24">
        <f>Y17*(1-IM17)+Z17*IM17</f>
        <v>0.5999999999999999</v>
      </c>
      <c r="DD17" s="24">
        <v>0</v>
      </c>
      <c r="DE17" s="24">
        <v>0</v>
      </c>
      <c r="DF17" s="24">
        <f>IF(BI17&gt;=9999,0,IF(AG17=1,0,BV17+IP17-BI17))</f>
        <v>0.20000000000000284</v>
      </c>
      <c r="DG17" s="24">
        <f>IF(BJ17&gt;=9999,0,BW17+IQ17-BJ17)</f>
        <v>0.19999999999998863</v>
      </c>
      <c r="DH17" s="24">
        <f>IF(BK17&gt;=9999,0,BX17+IR17-BK17)</f>
        <v>0.19999999999998863</v>
      </c>
      <c r="DI17" s="24">
        <f>IF(BL17&gt;=9999,0,BY17+IS17-BL17)</f>
        <v>0.19999999999998863</v>
      </c>
      <c r="DJ17" s="24">
        <f>IF(BM17&gt;=9999,0,BZ17+IT17-BM17)</f>
        <v>0.19999999999998863</v>
      </c>
      <c r="DK17" s="24">
        <f>INT(CW17+DD17)</f>
        <v>3</v>
      </c>
      <c r="DL17" s="24">
        <v>0</v>
      </c>
      <c r="DM17" s="24">
        <f>INT(CY17+DF17)</f>
        <v>0</v>
      </c>
      <c r="DN17" s="24">
        <f>INT(CZ17+DG17)</f>
        <v>0</v>
      </c>
      <c r="DO17" s="24">
        <f>INT(DA17+DH17)</f>
        <v>0</v>
      </c>
      <c r="DP17" s="24">
        <f>INT(DB17+DI17)</f>
        <v>0</v>
      </c>
      <c r="DQ17" s="24">
        <f>INT(DC17+DJ17)</f>
        <v>0</v>
      </c>
      <c r="DR17" s="24">
        <f>CW17+DD17-DK17</f>
        <v>0</v>
      </c>
      <c r="DS17" s="24">
        <v>0</v>
      </c>
      <c r="DT17" s="24">
        <f>CY17+DF17-DM17</f>
        <v>0.8000000000000027</v>
      </c>
      <c r="DU17" s="24">
        <f>CZ17+DG17-DN17</f>
        <v>0.7999999999999885</v>
      </c>
      <c r="DV17" s="24">
        <f>DA17+DH17-DO17</f>
        <v>0.7999999999999885</v>
      </c>
      <c r="DW17" s="24">
        <f>DB17+DI17-DP17</f>
        <v>0.7999999999999885</v>
      </c>
      <c r="DX17" s="24">
        <f>DC17+DJ17-DQ17</f>
        <v>0.7999999999999885</v>
      </c>
      <c r="DY17" s="24">
        <v>1</v>
      </c>
      <c r="DZ17" s="24">
        <v>1</v>
      </c>
      <c r="EA17" s="24">
        <v>0</v>
      </c>
      <c r="EB17" s="24">
        <v>0</v>
      </c>
      <c r="EC17" s="24">
        <v>0</v>
      </c>
      <c r="ED17" s="24">
        <v>0</v>
      </c>
      <c r="EE17" s="24">
        <v>0</v>
      </c>
      <c r="EF17" s="24">
        <v>0</v>
      </c>
      <c r="EG17" s="24">
        <f>IF(AG17=1,1,2)</f>
        <v>2</v>
      </c>
      <c r="EH17" s="24">
        <v>0</v>
      </c>
      <c r="EI17" s="24">
        <v>0</v>
      </c>
      <c r="EJ17" s="24">
        <v>0</v>
      </c>
      <c r="EK17" s="24">
        <v>0</v>
      </c>
      <c r="EL17" s="24">
        <v>0</v>
      </c>
      <c r="EM17" s="24">
        <v>1</v>
      </c>
      <c r="EN17" s="24">
        <f>IF(AG17=1,AF17,1)</f>
        <v>1</v>
      </c>
      <c r="EO17" s="24">
        <v>1</v>
      </c>
      <c r="EP17" s="24">
        <v>1</v>
      </c>
      <c r="EQ17" s="24">
        <v>1</v>
      </c>
      <c r="ER17" s="24">
        <v>1</v>
      </c>
      <c r="ES17" s="24">
        <v>1</v>
      </c>
      <c r="ET17" s="24">
        <v>0</v>
      </c>
      <c r="EU17" s="24">
        <f>BB17</f>
        <v>22.7526665103601</v>
      </c>
      <c r="EV17" s="24">
        <v>0</v>
      </c>
      <c r="EW17" s="24">
        <v>0</v>
      </c>
      <c r="EX17" s="24">
        <v>0</v>
      </c>
      <c r="EY17" s="24">
        <v>0</v>
      </c>
      <c r="EZ17" s="24">
        <v>0</v>
      </c>
      <c r="FA17" s="24">
        <v>0</v>
      </c>
      <c r="FB17" s="24">
        <f>ROUND(P17,0)</f>
        <v>6</v>
      </c>
      <c r="FC17" s="24">
        <v>0</v>
      </c>
      <c r="FD17" s="24">
        <v>0</v>
      </c>
      <c r="FE17" s="24">
        <v>0</v>
      </c>
      <c r="FF17" s="24">
        <v>0</v>
      </c>
      <c r="FG17" s="24">
        <v>0</v>
      </c>
      <c r="FH17" s="24">
        <f>AK17</f>
        <v>0</v>
      </c>
      <c r="FI17" s="24">
        <f>IF(AG17=1,AK17*AF17,FH17)</f>
        <v>0</v>
      </c>
      <c r="FJ17" s="24">
        <f>FI17*II17</f>
        <v>0</v>
      </c>
      <c r="FK17" s="24">
        <f>FJ17*IJ17</f>
        <v>0</v>
      </c>
      <c r="FL17" s="24">
        <f>FK17*IK17</f>
        <v>0</v>
      </c>
      <c r="FM17" s="24">
        <f>FL17*IL17</f>
        <v>0</v>
      </c>
      <c r="FN17" s="24">
        <f>FM17*IM17</f>
        <v>0</v>
      </c>
      <c r="FO17" s="24">
        <v>1</v>
      </c>
      <c r="FP17" s="24">
        <f>FV17</f>
        <v>1</v>
      </c>
      <c r="FQ17" s="24">
        <f>FW17*II17</f>
        <v>0.8</v>
      </c>
      <c r="FR17" s="24">
        <f>FX17*IJ17</f>
        <v>0.6400000000000001</v>
      </c>
      <c r="FS17" s="24">
        <f>FY17*IK17</f>
        <v>0.5120000000000001</v>
      </c>
      <c r="FT17" s="24">
        <f>FZ17*IL17</f>
        <v>0.40960000000000013</v>
      </c>
      <c r="FU17" s="24">
        <f>GA17*IM17</f>
        <v>0.32768000000000014</v>
      </c>
      <c r="FV17" s="24">
        <v>1</v>
      </c>
      <c r="FW17" s="24">
        <f>IF(AG17=1,FP17*AF17,FV17)</f>
        <v>1</v>
      </c>
      <c r="FX17" s="24">
        <f>FQ17</f>
        <v>0.8</v>
      </c>
      <c r="FY17" s="24">
        <f>FR17</f>
        <v>0.6400000000000001</v>
      </c>
      <c r="FZ17" s="24">
        <f>FS17</f>
        <v>0.5120000000000001</v>
      </c>
      <c r="GA17" s="24">
        <f>FT17</f>
        <v>0.40960000000000013</v>
      </c>
      <c r="GB17" s="24">
        <f>FU17</f>
        <v>0.32768000000000014</v>
      </c>
      <c r="GC17" s="24">
        <v>0</v>
      </c>
      <c r="GD17" s="24">
        <f>GC17</f>
        <v>0</v>
      </c>
      <c r="GE17" s="24">
        <f>IF(BI17&gt;=9999,0,INT(BI17/12))</f>
        <v>7</v>
      </c>
      <c r="GF17" s="24">
        <f>IF(BJ17&gt;=9999,0,INT(BJ17/12))</f>
        <v>15</v>
      </c>
      <c r="GG17" s="24">
        <f>IF(BK17&gt;=9999,0,INT(BK17/12))</f>
        <v>22</v>
      </c>
      <c r="GH17" s="24">
        <f>IF(BL17&gt;=9999,0,INT(BL17/12))</f>
        <v>29</v>
      </c>
      <c r="GI17" s="24">
        <f>IF(BM17&gt;=9999,0,INT(BM17/12))</f>
        <v>37</v>
      </c>
      <c r="GJ17" s="24">
        <f>BG17</f>
        <v>9</v>
      </c>
      <c r="GK17" s="24">
        <f>IF(AG17=1,BH17,GJ17)</f>
        <v>9</v>
      </c>
      <c r="GL17" s="24">
        <f>BI17</f>
        <v>94</v>
      </c>
      <c r="GM17" s="24">
        <f>BJ17</f>
        <v>182</v>
      </c>
      <c r="GN17" s="24">
        <f>BK17</f>
        <v>270</v>
      </c>
      <c r="GO17" s="24">
        <f>BL17</f>
        <v>358</v>
      </c>
      <c r="GP17" s="24">
        <f>BM17</f>
        <v>446</v>
      </c>
      <c r="GQ17" s="24">
        <f>CI17</f>
        <v>0.03</v>
      </c>
      <c r="GR17" s="24">
        <f>IF(AG17=1,I17,GQ17)</f>
        <v>0.03</v>
      </c>
      <c r="GS17" s="24">
        <f>V17</f>
        <v>0.03</v>
      </c>
      <c r="GT17" s="24">
        <f>V17</f>
        <v>0.03</v>
      </c>
      <c r="GU17" s="24">
        <f>V17</f>
        <v>0.03</v>
      </c>
      <c r="GV17" s="24">
        <f>V17</f>
        <v>0.03</v>
      </c>
      <c r="GW17" s="24">
        <f>V17</f>
        <v>0.03</v>
      </c>
      <c r="GX17" s="24">
        <f>CP17</f>
        <v>1</v>
      </c>
      <c r="GY17" s="24">
        <f>IF(AG17=1,J17,GX17)</f>
        <v>1</v>
      </c>
      <c r="GZ17" s="24">
        <f>W17</f>
        <v>1</v>
      </c>
      <c r="HA17" s="24">
        <f>W17</f>
        <v>1</v>
      </c>
      <c r="HB17" s="24">
        <f>W17</f>
        <v>1</v>
      </c>
      <c r="HC17" s="24">
        <f>W17</f>
        <v>1</v>
      </c>
      <c r="HD17" s="24">
        <f>W17</f>
        <v>1</v>
      </c>
      <c r="HE17" s="24">
        <f>IF(BU17&gt;=9999,1,(1+X17)^(BU17/12))</f>
        <v>1.2574435324509814</v>
      </c>
      <c r="HF17" s="24">
        <f>IF(AG17=1,IF(BV17&gt;=9999,1,(1+X17)^(BV17/12)),HE17)</f>
        <v>1.2574435324509814</v>
      </c>
      <c r="HG17" s="24">
        <f>IF(BW17&gt;=9999,1,(1+X17)^(BW17/12))</f>
        <v>1.5618097845465617</v>
      </c>
      <c r="HH17" s="24">
        <f>IF(BX17&gt;=9999,1,(1+X17)^(BX17/12))</f>
        <v>1.9398483829733848</v>
      </c>
      <c r="HI17" s="24">
        <f>IF(BY17&gt;=9999,1,(1+X17)^(BY17/12))</f>
        <v>2.409391838979269</v>
      </c>
      <c r="HJ17" s="24">
        <f>IF(BZ17&gt;=9999,1,(1+X17)^(BZ17/12))</f>
        <v>2.9925890521617906</v>
      </c>
      <c r="HK17" s="24">
        <f>IF(CA17&gt;=9999,1,(1+X17)^(CA17/12))</f>
        <v>3.7169500992883786</v>
      </c>
      <c r="HL17" s="24">
        <f>IF(AND(F17&gt;0,C17&gt;0),F17,-1)</f>
        <v>9</v>
      </c>
      <c r="HM17" s="24">
        <f>IF(AG17=1,BU17+FB17,-1)</f>
        <v>-1</v>
      </c>
      <c r="HN17" s="24">
        <f>IF(BI17&gt;=9999,-1,BV17+ROUND(IP17,0))</f>
        <v>94</v>
      </c>
      <c r="HO17" s="24">
        <f>IF(BJ17&gt;=9999,-1,IF(HN17&lt;0,BW17,HN17+BP17)+ROUND(IQ17,0))</f>
        <v>182</v>
      </c>
      <c r="HP17" s="24">
        <f>IF(BK17&gt;=9999,-1,IF(HO17&lt;0,BX17,HO17+BQ17)+ROUND(IR17,0))</f>
        <v>270</v>
      </c>
      <c r="HQ17" s="24">
        <f>IF(BL17&gt;=9999,-1,IF(HP17&lt;0,BY17,HP17+BR17)+ROUND(IS17,0))</f>
        <v>358</v>
      </c>
      <c r="HR17" s="24">
        <f>IF(BM17&gt;=9999,-1,IF(HQ17&lt;0,BZ17,HQ17+BS17)+ROUND(IT17,0))</f>
        <v>446</v>
      </c>
      <c r="HS17" s="24">
        <f>IF(HL17&lt;0,0,C17*K17)</f>
        <v>24000</v>
      </c>
      <c r="HT17" s="24">
        <f>IF(AG17=1,C17*R17*(1+in_ExpenseGrowth)^(HM17/12)*(1-AF17),0)</f>
        <v>0</v>
      </c>
      <c r="HU17" s="24">
        <f>IF(HN17&lt;0,0,C17*(S17*II17+R17*(1-II17))*(1+in_ExpenseGrowth)^(HN17/12))</f>
        <v>13079.346183225669</v>
      </c>
      <c r="HV17" s="24">
        <f>IF(HO17&lt;0,0,C17*(S17*IJ17+R17*(1-IJ17))*(1+in_ExpenseGrowth)^(HO17/12))</f>
        <v>15123.557472150746</v>
      </c>
      <c r="HW17" s="24">
        <f>IF(HP17&lt;0,0,C17*(S17*IK17+R17*(1-IK17))*(1+in_ExpenseGrowth)^(HP17/12))</f>
        <v>17487.264837961386</v>
      </c>
      <c r="HX17" s="24">
        <f>IF(HQ17&lt;0,0,C17*(S17*IL17+R17*(1-IL17))*(1+in_ExpenseGrowth)^(HQ17/12))</f>
        <v>20220.403306306987</v>
      </c>
      <c r="HY17" s="24">
        <f>IF(HR17&lt;0,0,C17*(S17*IM17+R17*(1-IM17))*(1+in_ExpenseGrowth)^(HR17/12))</f>
        <v>23380.712401755718</v>
      </c>
      <c r="HZ17" s="24">
        <f>IF(HL17&lt;0,0,L17*C17*E17*AQ17)</f>
        <v>11591.772787158123</v>
      </c>
      <c r="IA17" s="24">
        <f>IF(AG17=1,T17*C17*O17*(1+X17)^(MAX(0,HM17-F17)/12)*AB17*(1-AF17),0)</f>
        <v>0</v>
      </c>
      <c r="IB17" s="24">
        <f>IF(HN17&lt;0,0,(U17*II17+T17*(1-II17))*C17*O17*(1+X17)^(MAX(0,HN17-F17)/12)*(AA17*II17+1-II17)*AB17)</f>
        <v>8437.45106893518</v>
      </c>
      <c r="IC17" s="24">
        <f>IF(HO17&lt;0,0,(U17*IJ17+T17*(1-IJ17))*C17*O17*(1+X17)^(MAX(0,HO17-F17)/12)*(AA17*IJ17+1-IJ17)*AB17)</f>
        <v>10479.749822570671</v>
      </c>
      <c r="ID17" s="24">
        <f>IF(HP17&lt;0,0,(U17*IK17+T17*(1-IK17))*C17*O17*(1+X17)^(MAX(0,HP17-F17)/12)*(AA17*IK17+1-IK17)*AB17)</f>
        <v>13016.390311052804</v>
      </c>
      <c r="IE17" s="24">
        <f>IF(HQ17&lt;0,0,(U17*IL17+T17*(1-IL17))*C17*O17*(1+X17)^(MAX(0,HQ17-F17)/12)*(AA17*IL17+1-IL17)*AB17)</f>
        <v>16167.028755282749</v>
      </c>
      <c r="IF17" s="24">
        <f>IF(HR17&lt;0,0,(U17*IM17+T17*(1-IM17))*C17*O17*(1+X17)^(MAX(0,HR17-F17)/12)*(AA17*IM17+1-IM17)*AB17)</f>
        <v>20080.284359035835</v>
      </c>
      <c r="IG17" s="24">
        <v>1</v>
      </c>
      <c r="IH17" s="24">
        <f>IF(AG17=1,AF17,1)</f>
        <v>1</v>
      </c>
      <c r="II17" s="24">
        <f>IF(AG17=1,AC17,AE17)</f>
        <v>0.8</v>
      </c>
      <c r="IJ17" s="24">
        <f>AC17</f>
        <v>0.8</v>
      </c>
      <c r="IK17" s="24">
        <f>AC17</f>
        <v>0.8</v>
      </c>
      <c r="IL17" s="24">
        <f>AC17</f>
        <v>0.8</v>
      </c>
      <c r="IM17" s="24">
        <f>AC17</f>
        <v>0.8</v>
      </c>
      <c r="IN17" s="24">
        <v>0</v>
      </c>
      <c r="IO17" s="24">
        <f>P17</f>
        <v>6</v>
      </c>
      <c r="IP17" s="24">
        <f>P17*(1-II17)</f>
        <v>1.1999999999999997</v>
      </c>
      <c r="IQ17" s="24">
        <f>P17*(1-IJ17)</f>
        <v>1.1999999999999997</v>
      </c>
      <c r="IR17" s="24">
        <f>P17*(1-IK17)</f>
        <v>1.1999999999999997</v>
      </c>
      <c r="IS17" s="24">
        <f>P17*(1-IL17)</f>
        <v>1.1999999999999997</v>
      </c>
      <c r="IT17" s="24">
        <f>P17*(1-IM17)</f>
        <v>1.1999999999999997</v>
      </c>
    </row>
    <row r="18">
      <c r="A18" s="25">
        <v>11</v>
      </c>
      <c r="B18" s="23" t="str">
        <f>IF('Rent Roll'!C18="","",'Rent Roll'!C18)</f>
        <v/>
      </c>
      <c r="C18" s="24">
        <f>IF(ISNUMBER('Rent Roll'!E18),MAX(0,'Rent Roll'!E18),0)</f>
        <v>0</v>
      </c>
      <c r="D18" s="88">
        <f>IF(a_GLA&gt;0,C18/a_GLA,0)</f>
        <v>0</v>
      </c>
      <c r="E18" s="29">
        <f>IF(BC18=1,ROUND(BD18*(1+X18)^(F18/12),2),BD18)</f>
        <v>0</v>
      </c>
      <c r="F18" s="24">
        <f>IF(C18&gt;0,MAX(0,(YEAR(IF(ISNUMBER('Rent Roll'!G18),'Rent Roll'!G18,0))-YEAR(in_AnalysisStart))*12+MONTH(IF(ISNUMBER('Rent Roll'!G18),'Rent Roll'!G18,0))-MONTH(in_AnalysisStart)),0)</f>
        <v>0</v>
      </c>
      <c r="G18" s="24">
        <f>IF(C18&gt;0,MAX(0,(YEAR(IF(ISNUMBER('Rent Roll'!H18),'Rent Roll'!H18,0))-YEAR(in_AnalysisStart))*12+MONTH(IF(ISNUMBER('Rent Roll'!H18),'Rent Roll'!H18,0))-MONTH(in_AnalysisStart)+1-F18),0)</f>
        <v>0</v>
      </c>
      <c r="H18" s="24">
        <f>IF(ISNUMBER('Rent Roll'!N18),'Rent Roll'!N18,0)</f>
        <v>0</v>
      </c>
      <c r="I18" s="88">
        <f>IF(ISNUMBER('Rent Roll'!L18),'Rent Roll'!L18,0)</f>
        <v>0</v>
      </c>
      <c r="J18" s="24">
        <f>MAX(1,ROUND(IF(ISNUMBER('Rent Roll'!M18),'Rent Roll'!M18,0),0))</f>
        <v>1</v>
      </c>
      <c r="K18" s="29">
        <f>IF(ISNUMBER('Rent Roll'!AJ18),'Rent Roll'!AJ18,0)</f>
        <v>0</v>
      </c>
      <c r="L18" s="88">
        <f>IF(IF(ISNUMBER('Rent Roll'!AK18),'Rent Roll'!AK18,0)&gt;0,'Rent Roll'!AK18,a_LeaseUpLC)</f>
        <v>0.06</v>
      </c>
      <c r="M18" s="24">
        <f>IF('Rent Roll'!R18="",0,IFERROR(MATCH('Rent Roll'!R18,a_PName,0),0))</f>
        <v>0</v>
      </c>
      <c r="N18" s="24">
        <f>IF(M18&gt;0,1,0)</f>
        <v>0</v>
      </c>
      <c r="O18" s="29">
        <f>IF(IF(ISNUMBER('Rent Roll'!S18),'Rent Roll'!S18,0)&gt;0,'Rent Roll'!S18,IF(M18&gt;0,IF(ISNUMBER(INDEX(a_PRent,M18)),INDEX(a_PRent,M18),0),0))</f>
        <v>0</v>
      </c>
      <c r="P18" s="24">
        <f>IF(M18&gt;0,IF(ISNUMBER(INDEX(a_PDown,M18)),INDEX(a_PDown,M18),0),0)</f>
        <v>0</v>
      </c>
      <c r="Q18" s="24">
        <f>IF(M18&gt;0,MAX(1,IF(ISNUMBER(INDEX(a_PTerm,M18)),INDEX(a_PTerm,M18),0)),5)</f>
        <v>5</v>
      </c>
      <c r="R18" s="29">
        <f>IF(M18&gt;0,IF(ISNUMBER(INDEX(a_PTiNew,M18)),INDEX(a_PTiNew,M18),0),0)</f>
        <v>0</v>
      </c>
      <c r="S18" s="29">
        <f>IF(M18&gt;0,IF(ISNUMBER(INDEX(a_PTiRen,M18)),INDEX(a_PTiRen,M18),0),0)</f>
        <v>0</v>
      </c>
      <c r="T18" s="88">
        <f>IF(M18&gt;0,IF(ISNUMBER(INDEX(a_PLcNew,M18)),INDEX(a_PLcNew,M18),0),0)</f>
        <v>0</v>
      </c>
      <c r="U18" s="88">
        <f>IF(M18&gt;0,IF(ISNUMBER(INDEX(a_PLcRen,M18)),INDEX(a_PLcRen,M18),0),0)</f>
        <v>0</v>
      </c>
      <c r="V18" s="88">
        <f>IF(M18&gt;0,IF(ISNUMBER(INDEX(a_PBump,M18)),INDEX(a_PBump,M18),0),0)</f>
        <v>0</v>
      </c>
      <c r="W18" s="24">
        <f>MAX(1,ROUND(IF(M18&gt;0,IF(ISNUMBER(INDEX(a_PEvery,M18)),INDEX(a_PEvery,M18),0),1),0))</f>
        <v>1</v>
      </c>
      <c r="X18" s="88">
        <f>IF(M18&gt;0,IF(ISNUMBER(INDEX(a_PGrow,M18)),INDEX(a_PGrow,M18),in_RentGrowth),in_RentGrowth)</f>
        <v>0.03</v>
      </c>
      <c r="Y18" s="24">
        <f>IF(M18&gt;0,IF(ISNUMBER(INDEX(a_PFreeNew,M18)),INDEX(a_PFreeNew,M18),0),0)</f>
        <v>0</v>
      </c>
      <c r="Z18" s="24">
        <f>IF(M18&gt;0,IF(ISNUMBER(INDEX(a_PFreeRen,M18)),INDEX(a_PFreeRen,M18),0),0)</f>
        <v>0</v>
      </c>
      <c r="AA18" s="88">
        <f>IF(M18&gt;0,IF(ISNUMBER(INDEX(a_PRenPct,M18)),INDEX(a_PRenPct,M18),1),1)</f>
        <v>1</v>
      </c>
      <c r="AB18" s="24">
        <f>IF(M18&gt;0,IF(ISNUMBER(INDEX(a_PAF,M18)),INDEX(a_PAF,M18),0),0)</f>
        <v>0</v>
      </c>
      <c r="AC18" s="88">
        <f>IF(ISNUMBER('Rent Roll'!V18),'Rent Roll'!V18,IF(M18&gt;0,IF(ISNUMBER(INDEX(a_PRenew,M18)),INDEX(a_PRenew,M18),0),0.8))</f>
        <v>0.8</v>
      </c>
      <c r="AD18" s="23" t="str">
        <f>IF('Rent Roll'!W18="","Probability",'Rent Roll'!W18)</f>
        <v>Probability</v>
      </c>
      <c r="AE18" s="88">
        <f>IF(AD18="Renew",1,IF(AD18="Vacate",0,AC18))</f>
        <v>0.8</v>
      </c>
      <c r="AF18" s="88">
        <f>IF(AD18="Renew",1,IF(ISNUMBER('Rent Roll'!AA18),'Rent Roll'!AA18,AC18))</f>
        <v>0.8</v>
      </c>
      <c r="AG18" s="24">
        <f>IF(AND(N18=1,IF(ISNUMBER('Rent Roll'!Y18),'Rent Roll'!Y18,0)&gt;0,IF(ISNUMBER('Rent Roll'!Z18),'Rent Roll'!Z18,0)&gt;0,AF18&gt;0,AD18&lt;&gt;"Vacate",C18&gt;0),1,0)</f>
        <v>0</v>
      </c>
      <c r="AH18" s="24">
        <f>ROUND(12*IF(ISNUMBER('Rent Roll'!Y18),'Rent Roll'!Y18,0),0)</f>
        <v>0</v>
      </c>
      <c r="AI18" s="29">
        <f>IF(ISNUMBER('Rent Roll'!Z18),'Rent Roll'!Z18,0)</f>
        <v>0</v>
      </c>
      <c r="AJ18" s="24">
        <f>IF('Rent Roll'!P18="Base year",1,0)</f>
        <v>0</v>
      </c>
      <c r="AK18" s="88">
        <f>IF(ISNUMBER('Rent Roll'!Q18),'Rent Roll'!Q18,0)</f>
        <v>0</v>
      </c>
      <c r="AL18" s="24">
        <f>IF(AND('Rent Roll'!AH18="Yes",a_AnchorInVac&lt;&gt;"Yes"),1,0)</f>
        <v>0</v>
      </c>
      <c r="AM18" s="29">
        <f>IF(ISNUMBER('Rent Roll'!AL18),'Rent Roll'!AL18,0)</f>
        <v>0</v>
      </c>
      <c r="AN18" s="88">
        <f>IF(ISNUMBER('Rent Roll'!AM18),'Rent Roll'!AM18,0)</f>
        <v>0</v>
      </c>
      <c r="AO18" s="88">
        <f>IF(AND(BC18=1,N18=1),V18,I18)</f>
        <v>0</v>
      </c>
      <c r="AP18" s="24">
        <f>IF(AND(BC18=1,N18=1),W18,J18)</f>
        <v>1</v>
      </c>
      <c r="AQ18" s="24">
        <f>IF(AO18=0,G18/12,AP18*((1+AO18)^INT(INT(G18/12)/AP18)-1)/AO18+(INT(G18/12)-INT(INT(G18/12)/AP18)*AP18)*(1+AO18)^INT(INT(G18/12)/AP18)+(G18/12-INT(G18/12))*(1+AO18)^INT(INT(G18/12)/AP18))</f>
        <v>0</v>
      </c>
      <c r="AR18" s="24">
        <f>IF(AND(C18&gt;0,BU18&lt;9999,BU18&gt;0),INT((BU18-1)/12)+1,0)</f>
        <v>0</v>
      </c>
      <c r="AS18" s="24">
        <f>COUNTIF('Lease Cycles'!$BG$18:$BM$18,"&lt;132")</f>
        <v>0</v>
      </c>
      <c r="AT18" s="24">
        <f>IF(AND(ISNUMBER('Rent Roll'!AR18),IF(ISNUMBER('Rent Roll'!AS18),'Rent Roll'!AS18,0)&gt;0),(YEAR('Rent Roll'!AR18)-YEAR(in_AnalysisStart))*12+MONTH('Rent Roll'!AR18)-MONTH(in_AnalysisStart),9999)</f>
        <v>9999</v>
      </c>
      <c r="AU18" s="29">
        <f>IF(ISNUMBER('Rent Roll'!AS18),'Rent Roll'!AS18,0)</f>
        <v>0</v>
      </c>
      <c r="AV18" s="24">
        <f>IF(AND(ISNUMBER('Rent Roll'!AT18),IF(ISNUMBER('Rent Roll'!AU18),'Rent Roll'!AU18,0)&gt;0),(YEAR('Rent Roll'!AT18)-YEAR(in_AnalysisStart))*12+MONTH('Rent Roll'!AT18)-MONTH(in_AnalysisStart),9999)</f>
        <v>9999</v>
      </c>
      <c r="AW18" s="29">
        <f>IF(ISNUMBER('Rent Roll'!AU18),'Rent Roll'!AU18,0)</f>
        <v>0</v>
      </c>
      <c r="AX18" s="24">
        <f>IF(AND(ISNUMBER('Rent Roll'!AV18),IF(ISNUMBER('Rent Roll'!AW18),'Rent Roll'!AW18,0)&gt;0),(YEAR('Rent Roll'!AV18)-YEAR(in_AnalysisStart))*12+MONTH('Rent Roll'!AV18)-MONTH(in_AnalysisStart),9999)</f>
        <v>9999</v>
      </c>
      <c r="AY18" s="29">
        <f>IF(ISNUMBER('Rent Roll'!AW18),'Rent Roll'!AW18,0)</f>
        <v>0</v>
      </c>
      <c r="AZ18" s="24">
        <f>IF(AND(ISNUMBER('Rent Roll'!AX18),IF(ISNUMBER('Rent Roll'!AY18),'Rent Roll'!AY18,0)&gt;0),(YEAR('Rent Roll'!AX18)-YEAR(in_AnalysisStart))*12+MONTH('Rent Roll'!AX18)-MONTH(in_AnalysisStart),9999)</f>
        <v>9999</v>
      </c>
      <c r="BA18" s="29">
        <f>IF(ISNUMBER('Rent Roll'!AY18),'Rent Roll'!AY18,0)</f>
        <v>0</v>
      </c>
      <c r="BB18" s="29">
        <f>IF(BU18&gt;=9999,O18,O18*(1+X18)^((BU18-F18)/12))</f>
        <v>0</v>
      </c>
      <c r="BC18" s="24">
        <f>IF(AND('Rent Roll'!AZ18="Yes",F18&gt;0,BD18&gt;0,AT18&gt;=9999),1,0)</f>
        <v>0</v>
      </c>
      <c r="BD18" s="29">
        <f>IF(ISNUMBER('Rent Roll'!I18),'Rent Roll'!I18,0)</f>
        <v>0</v>
      </c>
      <c r="BE18" s="24">
        <f>IF(a_MarketRecovery="Base year",1,0)</f>
        <v>0</v>
      </c>
      <c r="BG18" s="24">
        <f>IF(C18&gt;0,F18,9999)</f>
        <v>9999</v>
      </c>
      <c r="BH18" s="24">
        <f>BU18</f>
        <v>9999</v>
      </c>
      <c r="BI18" s="24">
        <f>IF(OR(N18=0,BV18&gt;=9999),9999,IF(AG18=1,BV18,INT(BV18+IP18)))</f>
        <v>9999</v>
      </c>
      <c r="BJ18" s="24">
        <f>IF(OR(N18=0,BW18&gt;=9999),9999,INT(BW18+IQ18))</f>
        <v>9999</v>
      </c>
      <c r="BK18" s="24">
        <f>IF(OR(N18=0,BX18&gt;=9999),9999,INT(BX18+IR18))</f>
        <v>9999</v>
      </c>
      <c r="BL18" s="24">
        <f>IF(OR(N18=0,BY18&gt;=9999),9999,INT(BY18+IS18))</f>
        <v>9999</v>
      </c>
      <c r="BM18" s="24">
        <f>IF(OR(N18=0,BZ18&gt;=9999),9999,INT(BZ18+IT18))</f>
        <v>9999</v>
      </c>
      <c r="BN18" s="24">
        <f>G18</f>
        <v>0</v>
      </c>
      <c r="BO18" s="24">
        <f>IF(AG18=1,AH18,0)</f>
        <v>0</v>
      </c>
      <c r="BP18" s="24">
        <f>MAX(12,ROUND(12*Q18,0))</f>
        <v>60</v>
      </c>
      <c r="BQ18" s="24">
        <f>MAX(12,ROUND(12*Q18,0))</f>
        <v>60</v>
      </c>
      <c r="BR18" s="24">
        <f>MAX(12,ROUND(12*Q18,0))</f>
        <v>60</v>
      </c>
      <c r="BS18" s="24">
        <f>MAX(12,ROUND(12*Q18,0))</f>
        <v>60</v>
      </c>
      <c r="BT18" s="24">
        <f>MAX(12,ROUND(12*Q18,0))</f>
        <v>60</v>
      </c>
      <c r="BU18" s="24">
        <f>BG18+BN18</f>
        <v>9999</v>
      </c>
      <c r="BV18" s="24">
        <f>BH18+BO18</f>
        <v>9999</v>
      </c>
      <c r="BW18" s="24">
        <f>IF(BI18&gt;=9999,9999,BI18+BP18)</f>
        <v>9999</v>
      </c>
      <c r="BX18" s="24">
        <f>IF(BJ18&gt;=9999,9999,BJ18+BQ18)</f>
        <v>9999</v>
      </c>
      <c r="BY18" s="24">
        <f>IF(BK18&gt;=9999,9999,BK18+BR18)</f>
        <v>9999</v>
      </c>
      <c r="BZ18" s="24">
        <f>IF(BL18&gt;=9999,9999,BL18+BS18)</f>
        <v>9999</v>
      </c>
      <c r="CA18" s="24">
        <f>IF(BM18&gt;=9999,9999,BM18+BT18)</f>
        <v>9999</v>
      </c>
      <c r="CB18" s="24">
        <f>E18</f>
        <v>0</v>
      </c>
      <c r="CC18" s="24">
        <f>AI18</f>
        <v>0</v>
      </c>
      <c r="CD18" s="24">
        <f>IF(BI18&gt;=9999,0,O18*(1+X18)^((BI18-F18)/12)*(AA18*II18+1-II18))</f>
        <v>0</v>
      </c>
      <c r="CE18" s="24">
        <f>IF(BJ18&gt;=9999,0,O18*(1+X18)^((BJ18-F18)/12)*(AA18*IJ18+1-IJ18))</f>
        <v>0</v>
      </c>
      <c r="CF18" s="24">
        <f>IF(BK18&gt;=9999,0,O18*(1+X18)^((BK18-F18)/12)*(AA18*IK18+1-IK18))</f>
        <v>0</v>
      </c>
      <c r="CG18" s="24">
        <f>IF(BL18&gt;=9999,0,O18*(1+X18)^((BL18-F18)/12)*(AA18*IL18+1-IL18))</f>
        <v>0</v>
      </c>
      <c r="CH18" s="24">
        <f>IF(BM18&gt;=9999,0,O18*(1+X18)^((BM18-F18)/12)*(AA18*IM18+1-IM18))</f>
        <v>0</v>
      </c>
      <c r="CI18" s="24">
        <f>AO18</f>
        <v>0</v>
      </c>
      <c r="CJ18" s="24">
        <f>I18</f>
        <v>0</v>
      </c>
      <c r="CK18" s="24">
        <f>V18</f>
        <v>0</v>
      </c>
      <c r="CL18" s="24">
        <f>V18</f>
        <v>0</v>
      </c>
      <c r="CM18" s="24">
        <f>V18</f>
        <v>0</v>
      </c>
      <c r="CN18" s="24">
        <f>V18</f>
        <v>0</v>
      </c>
      <c r="CO18" s="24">
        <f>V18</f>
        <v>0</v>
      </c>
      <c r="CP18" s="24">
        <f>AP18</f>
        <v>1</v>
      </c>
      <c r="CQ18" s="24">
        <f>J18</f>
        <v>1</v>
      </c>
      <c r="CR18" s="24">
        <f>W18</f>
        <v>1</v>
      </c>
      <c r="CS18" s="24">
        <f>W18</f>
        <v>1</v>
      </c>
      <c r="CT18" s="24">
        <f>W18</f>
        <v>1</v>
      </c>
      <c r="CU18" s="24">
        <f>W18</f>
        <v>1</v>
      </c>
      <c r="CV18" s="24">
        <f>W18</f>
        <v>1</v>
      </c>
      <c r="CW18" s="24">
        <f>H18</f>
        <v>0</v>
      </c>
      <c r="CX18" s="24">
        <v>0</v>
      </c>
      <c r="CY18" s="24">
        <f>Y18*(1-II18)+Z18*II18</f>
        <v>0</v>
      </c>
      <c r="CZ18" s="24">
        <f>Y18*(1-IJ18)+Z18*IJ18</f>
        <v>0</v>
      </c>
      <c r="DA18" s="24">
        <f>Y18*(1-IK18)+Z18*IK18</f>
        <v>0</v>
      </c>
      <c r="DB18" s="24">
        <f>Y18*(1-IL18)+Z18*IL18</f>
        <v>0</v>
      </c>
      <c r="DC18" s="24">
        <f>Y18*(1-IM18)+Z18*IM18</f>
        <v>0</v>
      </c>
      <c r="DD18" s="24">
        <v>0</v>
      </c>
      <c r="DE18" s="24">
        <v>0</v>
      </c>
      <c r="DF18" s="24">
        <f>IF(BI18&gt;=9999,0,IF(AG18=1,0,BV18+IP18-BI18))</f>
        <v>0</v>
      </c>
      <c r="DG18" s="24">
        <f>IF(BJ18&gt;=9999,0,BW18+IQ18-BJ18)</f>
        <v>0</v>
      </c>
      <c r="DH18" s="24">
        <f>IF(BK18&gt;=9999,0,BX18+IR18-BK18)</f>
        <v>0</v>
      </c>
      <c r="DI18" s="24">
        <f>IF(BL18&gt;=9999,0,BY18+IS18-BL18)</f>
        <v>0</v>
      </c>
      <c r="DJ18" s="24">
        <f>IF(BM18&gt;=9999,0,BZ18+IT18-BM18)</f>
        <v>0</v>
      </c>
      <c r="DK18" s="24">
        <f>INT(CW18+DD18)</f>
        <v>0</v>
      </c>
      <c r="DL18" s="24">
        <v>0</v>
      </c>
      <c r="DM18" s="24">
        <f>INT(CY18+DF18)</f>
        <v>0</v>
      </c>
      <c r="DN18" s="24">
        <f>INT(CZ18+DG18)</f>
        <v>0</v>
      </c>
      <c r="DO18" s="24">
        <f>INT(DA18+DH18)</f>
        <v>0</v>
      </c>
      <c r="DP18" s="24">
        <f>INT(DB18+DI18)</f>
        <v>0</v>
      </c>
      <c r="DQ18" s="24">
        <f>INT(DC18+DJ18)</f>
        <v>0</v>
      </c>
      <c r="DR18" s="24">
        <f>CW18+DD18-DK18</f>
        <v>0</v>
      </c>
      <c r="DS18" s="24">
        <v>0</v>
      </c>
      <c r="DT18" s="24">
        <f>CY18+DF18-DM18</f>
        <v>0</v>
      </c>
      <c r="DU18" s="24">
        <f>CZ18+DG18-DN18</f>
        <v>0</v>
      </c>
      <c r="DV18" s="24">
        <f>DA18+DH18-DO18</f>
        <v>0</v>
      </c>
      <c r="DW18" s="24">
        <f>DB18+DI18-DP18</f>
        <v>0</v>
      </c>
      <c r="DX18" s="24">
        <f>DC18+DJ18-DQ18</f>
        <v>0</v>
      </c>
      <c r="DY18" s="24">
        <v>1</v>
      </c>
      <c r="DZ18" s="24">
        <v>1</v>
      </c>
      <c r="EA18" s="24">
        <v>0</v>
      </c>
      <c r="EB18" s="24">
        <v>0</v>
      </c>
      <c r="EC18" s="24">
        <v>0</v>
      </c>
      <c r="ED18" s="24">
        <v>0</v>
      </c>
      <c r="EE18" s="24">
        <v>0</v>
      </c>
      <c r="EF18" s="24">
        <v>0</v>
      </c>
      <c r="EG18" s="24">
        <f>IF(AG18=1,1,2)</f>
        <v>2</v>
      </c>
      <c r="EH18" s="24">
        <v>0</v>
      </c>
      <c r="EI18" s="24">
        <v>0</v>
      </c>
      <c r="EJ18" s="24">
        <v>0</v>
      </c>
      <c r="EK18" s="24">
        <v>0</v>
      </c>
      <c r="EL18" s="24">
        <v>0</v>
      </c>
      <c r="EM18" s="24">
        <v>1</v>
      </c>
      <c r="EN18" s="24">
        <f>IF(AG18=1,AF18,1)</f>
        <v>1</v>
      </c>
      <c r="EO18" s="24">
        <v>1</v>
      </c>
      <c r="EP18" s="24">
        <v>1</v>
      </c>
      <c r="EQ18" s="24">
        <v>1</v>
      </c>
      <c r="ER18" s="24">
        <v>1</v>
      </c>
      <c r="ES18" s="24">
        <v>1</v>
      </c>
      <c r="ET18" s="24">
        <v>0</v>
      </c>
      <c r="EU18" s="24">
        <f>BB18</f>
        <v>0</v>
      </c>
      <c r="EV18" s="24">
        <v>0</v>
      </c>
      <c r="EW18" s="24">
        <v>0</v>
      </c>
      <c r="EX18" s="24">
        <v>0</v>
      </c>
      <c r="EY18" s="24">
        <v>0</v>
      </c>
      <c r="EZ18" s="24">
        <v>0</v>
      </c>
      <c r="FA18" s="24">
        <v>0</v>
      </c>
      <c r="FB18" s="24">
        <f>ROUND(P18,0)</f>
        <v>0</v>
      </c>
      <c r="FC18" s="24">
        <v>0</v>
      </c>
      <c r="FD18" s="24">
        <v>0</v>
      </c>
      <c r="FE18" s="24">
        <v>0</v>
      </c>
      <c r="FF18" s="24">
        <v>0</v>
      </c>
      <c r="FG18" s="24">
        <v>0</v>
      </c>
      <c r="FH18" s="24">
        <f>AK18</f>
        <v>0</v>
      </c>
      <c r="FI18" s="24">
        <f>IF(AG18=1,AK18*AF18,FH18)</f>
        <v>0</v>
      </c>
      <c r="FJ18" s="24">
        <f>FI18*II18</f>
        <v>0</v>
      </c>
      <c r="FK18" s="24">
        <f>FJ18*IJ18</f>
        <v>0</v>
      </c>
      <c r="FL18" s="24">
        <f>FK18*IK18</f>
        <v>0</v>
      </c>
      <c r="FM18" s="24">
        <f>FL18*IL18</f>
        <v>0</v>
      </c>
      <c r="FN18" s="24">
        <f>FM18*IM18</f>
        <v>0</v>
      </c>
      <c r="FO18" s="24">
        <v>1</v>
      </c>
      <c r="FP18" s="24">
        <f>FV18</f>
        <v>1</v>
      </c>
      <c r="FQ18" s="24">
        <f>FW18*II18</f>
        <v>0.8</v>
      </c>
      <c r="FR18" s="24">
        <f>FX18*IJ18</f>
        <v>0.6400000000000001</v>
      </c>
      <c r="FS18" s="24">
        <f>FY18*IK18</f>
        <v>0.5120000000000001</v>
      </c>
      <c r="FT18" s="24">
        <f>FZ18*IL18</f>
        <v>0.40960000000000013</v>
      </c>
      <c r="FU18" s="24">
        <f>GA18*IM18</f>
        <v>0.32768000000000014</v>
      </c>
      <c r="FV18" s="24">
        <v>1</v>
      </c>
      <c r="FW18" s="24">
        <f>IF(AG18=1,FP18*AF18,FV18)</f>
        <v>1</v>
      </c>
      <c r="FX18" s="24">
        <f>FQ18</f>
        <v>0.8</v>
      </c>
      <c r="FY18" s="24">
        <f>FR18</f>
        <v>0.6400000000000001</v>
      </c>
      <c r="FZ18" s="24">
        <f>FS18</f>
        <v>0.5120000000000001</v>
      </c>
      <c r="GA18" s="24">
        <f>FT18</f>
        <v>0.40960000000000013</v>
      </c>
      <c r="GB18" s="24">
        <f>FU18</f>
        <v>0.32768000000000014</v>
      </c>
      <c r="GC18" s="24">
        <v>0</v>
      </c>
      <c r="GD18" s="24">
        <f>GC18</f>
        <v>0</v>
      </c>
      <c r="GE18" s="24">
        <f>IF(BI18&gt;=9999,0,INT(BI18/12))</f>
        <v>0</v>
      </c>
      <c r="GF18" s="24">
        <f>IF(BJ18&gt;=9999,0,INT(BJ18/12))</f>
        <v>0</v>
      </c>
      <c r="GG18" s="24">
        <f>IF(BK18&gt;=9999,0,INT(BK18/12))</f>
        <v>0</v>
      </c>
      <c r="GH18" s="24">
        <f>IF(BL18&gt;=9999,0,INT(BL18/12))</f>
        <v>0</v>
      </c>
      <c r="GI18" s="24">
        <f>IF(BM18&gt;=9999,0,INT(BM18/12))</f>
        <v>0</v>
      </c>
      <c r="GJ18" s="24">
        <f>BG18</f>
        <v>9999</v>
      </c>
      <c r="GK18" s="24">
        <f>IF(AG18=1,BH18,GJ18)</f>
        <v>9999</v>
      </c>
      <c r="GL18" s="24">
        <f>BI18</f>
        <v>9999</v>
      </c>
      <c r="GM18" s="24">
        <f>BJ18</f>
        <v>9999</v>
      </c>
      <c r="GN18" s="24">
        <f>BK18</f>
        <v>9999</v>
      </c>
      <c r="GO18" s="24">
        <f>BL18</f>
        <v>9999</v>
      </c>
      <c r="GP18" s="24">
        <f>BM18</f>
        <v>9999</v>
      </c>
      <c r="GQ18" s="24">
        <f>CI18</f>
        <v>0</v>
      </c>
      <c r="GR18" s="24">
        <f>IF(AG18=1,I18,GQ18)</f>
        <v>0</v>
      </c>
      <c r="GS18" s="24">
        <f>V18</f>
        <v>0</v>
      </c>
      <c r="GT18" s="24">
        <f>V18</f>
        <v>0</v>
      </c>
      <c r="GU18" s="24">
        <f>V18</f>
        <v>0</v>
      </c>
      <c r="GV18" s="24">
        <f>V18</f>
        <v>0</v>
      </c>
      <c r="GW18" s="24">
        <f>V18</f>
        <v>0</v>
      </c>
      <c r="GX18" s="24">
        <f>CP18</f>
        <v>1</v>
      </c>
      <c r="GY18" s="24">
        <f>IF(AG18=1,J18,GX18)</f>
        <v>1</v>
      </c>
      <c r="GZ18" s="24">
        <f>W18</f>
        <v>1</v>
      </c>
      <c r="HA18" s="24">
        <f>W18</f>
        <v>1</v>
      </c>
      <c r="HB18" s="24">
        <f>W18</f>
        <v>1</v>
      </c>
      <c r="HC18" s="24">
        <f>W18</f>
        <v>1</v>
      </c>
      <c r="HD18" s="24">
        <f>W18</f>
        <v>1</v>
      </c>
      <c r="HE18" s="24">
        <f>IF(BU18&gt;=9999,1,(1+X18)^(BU18/12))</f>
        <v>1</v>
      </c>
      <c r="HF18" s="24">
        <f>IF(AG18=1,IF(BV18&gt;=9999,1,(1+X18)^(BV18/12)),HE18)</f>
        <v>1</v>
      </c>
      <c r="HG18" s="24">
        <f>IF(BW18&gt;=9999,1,(1+X18)^(BW18/12))</f>
        <v>1</v>
      </c>
      <c r="HH18" s="24">
        <f>IF(BX18&gt;=9999,1,(1+X18)^(BX18/12))</f>
        <v>1</v>
      </c>
      <c r="HI18" s="24">
        <f>IF(BY18&gt;=9999,1,(1+X18)^(BY18/12))</f>
        <v>1</v>
      </c>
      <c r="HJ18" s="24">
        <f>IF(BZ18&gt;=9999,1,(1+X18)^(BZ18/12))</f>
        <v>1</v>
      </c>
      <c r="HK18" s="24">
        <f>IF(CA18&gt;=9999,1,(1+X18)^(CA18/12))</f>
        <v>1</v>
      </c>
      <c r="HL18" s="24">
        <f>IF(AND(F18&gt;0,C18&gt;0),F18,-1)</f>
        <v>-1</v>
      </c>
      <c r="HM18" s="24">
        <f>IF(AG18=1,BU18+FB18,-1)</f>
        <v>-1</v>
      </c>
      <c r="HN18" s="24">
        <f>IF(BI18&gt;=9999,-1,BV18+ROUND(IP18,0))</f>
        <v>-1</v>
      </c>
      <c r="HO18" s="24">
        <f>IF(BJ18&gt;=9999,-1,IF(HN18&lt;0,BW18,HN18+BP18)+ROUND(IQ18,0))</f>
        <v>-1</v>
      </c>
      <c r="HP18" s="24">
        <f>IF(BK18&gt;=9999,-1,IF(HO18&lt;0,BX18,HO18+BQ18)+ROUND(IR18,0))</f>
        <v>-1</v>
      </c>
      <c r="HQ18" s="24">
        <f>IF(BL18&gt;=9999,-1,IF(HP18&lt;0,BY18,HP18+BR18)+ROUND(IS18,0))</f>
        <v>-1</v>
      </c>
      <c r="HR18" s="24">
        <f>IF(BM18&gt;=9999,-1,IF(HQ18&lt;0,BZ18,HQ18+BS18)+ROUND(IT18,0))</f>
        <v>-1</v>
      </c>
      <c r="HS18" s="24">
        <f>IF(HL18&lt;0,0,C18*K18)</f>
        <v>0</v>
      </c>
      <c r="HT18" s="24">
        <f>IF(AG18=1,C18*R18*(1+in_ExpenseGrowth)^(HM18/12)*(1-AF18),0)</f>
        <v>0</v>
      </c>
      <c r="HU18" s="24">
        <f>IF(HN18&lt;0,0,C18*(S18*II18+R18*(1-II18))*(1+in_ExpenseGrowth)^(HN18/12))</f>
        <v>0</v>
      </c>
      <c r="HV18" s="24">
        <f>IF(HO18&lt;0,0,C18*(S18*IJ18+R18*(1-IJ18))*(1+in_ExpenseGrowth)^(HO18/12))</f>
        <v>0</v>
      </c>
      <c r="HW18" s="24">
        <f>IF(HP18&lt;0,0,C18*(S18*IK18+R18*(1-IK18))*(1+in_ExpenseGrowth)^(HP18/12))</f>
        <v>0</v>
      </c>
      <c r="HX18" s="24">
        <f>IF(HQ18&lt;0,0,C18*(S18*IL18+R18*(1-IL18))*(1+in_ExpenseGrowth)^(HQ18/12))</f>
        <v>0</v>
      </c>
      <c r="HY18" s="24">
        <f>IF(HR18&lt;0,0,C18*(S18*IM18+R18*(1-IM18))*(1+in_ExpenseGrowth)^(HR18/12))</f>
        <v>0</v>
      </c>
      <c r="HZ18" s="24">
        <f>IF(HL18&lt;0,0,L18*C18*E18*AQ18)</f>
        <v>0</v>
      </c>
      <c r="IA18" s="24">
        <f>IF(AG18=1,T18*C18*O18*(1+X18)^(MAX(0,HM18-F18)/12)*AB18*(1-AF18),0)</f>
        <v>0</v>
      </c>
      <c r="IB18" s="24">
        <f>IF(HN18&lt;0,0,(U18*II18+T18*(1-II18))*C18*O18*(1+X18)^(MAX(0,HN18-F18)/12)*(AA18*II18+1-II18)*AB18)</f>
        <v>0</v>
      </c>
      <c r="IC18" s="24">
        <f>IF(HO18&lt;0,0,(U18*IJ18+T18*(1-IJ18))*C18*O18*(1+X18)^(MAX(0,HO18-F18)/12)*(AA18*IJ18+1-IJ18)*AB18)</f>
        <v>0</v>
      </c>
      <c r="ID18" s="24">
        <f>IF(HP18&lt;0,0,(U18*IK18+T18*(1-IK18))*C18*O18*(1+X18)^(MAX(0,HP18-F18)/12)*(AA18*IK18+1-IK18)*AB18)</f>
        <v>0</v>
      </c>
      <c r="IE18" s="24">
        <f>IF(HQ18&lt;0,0,(U18*IL18+T18*(1-IL18))*C18*O18*(1+X18)^(MAX(0,HQ18-F18)/12)*(AA18*IL18+1-IL18)*AB18)</f>
        <v>0</v>
      </c>
      <c r="IF18" s="24">
        <f>IF(HR18&lt;0,0,(U18*IM18+T18*(1-IM18))*C18*O18*(1+X18)^(MAX(0,HR18-F18)/12)*(AA18*IM18+1-IM18)*AB18)</f>
        <v>0</v>
      </c>
      <c r="IG18" s="24">
        <v>1</v>
      </c>
      <c r="IH18" s="24">
        <f>IF(AG18=1,AF18,1)</f>
        <v>1</v>
      </c>
      <c r="II18" s="24">
        <f>IF(AG18=1,AC18,AE18)</f>
        <v>0.8</v>
      </c>
      <c r="IJ18" s="24">
        <f>AC18</f>
        <v>0.8</v>
      </c>
      <c r="IK18" s="24">
        <f>AC18</f>
        <v>0.8</v>
      </c>
      <c r="IL18" s="24">
        <f>AC18</f>
        <v>0.8</v>
      </c>
      <c r="IM18" s="24">
        <f>AC18</f>
        <v>0.8</v>
      </c>
      <c r="IN18" s="24">
        <v>0</v>
      </c>
      <c r="IO18" s="24">
        <f>P18</f>
        <v>0</v>
      </c>
      <c r="IP18" s="24">
        <f>P18*(1-II18)</f>
        <v>0</v>
      </c>
      <c r="IQ18" s="24">
        <f>P18*(1-IJ18)</f>
        <v>0</v>
      </c>
      <c r="IR18" s="24">
        <f>P18*(1-IK18)</f>
        <v>0</v>
      </c>
      <c r="IS18" s="24">
        <f>P18*(1-IL18)</f>
        <v>0</v>
      </c>
      <c r="IT18" s="24">
        <f>P18*(1-IM18)</f>
        <v>0</v>
      </c>
    </row>
    <row r="19">
      <c r="A19" s="25">
        <v>12</v>
      </c>
      <c r="B19" s="23" t="str">
        <f>IF('Rent Roll'!C19="","",'Rent Roll'!C19)</f>
        <v/>
      </c>
      <c r="C19" s="24">
        <f>IF(ISNUMBER('Rent Roll'!E19),MAX(0,'Rent Roll'!E19),0)</f>
        <v>0</v>
      </c>
      <c r="D19" s="88">
        <f>IF(a_GLA&gt;0,C19/a_GLA,0)</f>
        <v>0</v>
      </c>
      <c r="E19" s="29">
        <f>IF(BC19=1,ROUND(BD19*(1+X19)^(F19/12),2),BD19)</f>
        <v>0</v>
      </c>
      <c r="F19" s="24">
        <f>IF(C19&gt;0,MAX(0,(YEAR(IF(ISNUMBER('Rent Roll'!G19),'Rent Roll'!G19,0))-YEAR(in_AnalysisStart))*12+MONTH(IF(ISNUMBER('Rent Roll'!G19),'Rent Roll'!G19,0))-MONTH(in_AnalysisStart)),0)</f>
        <v>0</v>
      </c>
      <c r="G19" s="24">
        <f>IF(C19&gt;0,MAX(0,(YEAR(IF(ISNUMBER('Rent Roll'!H19),'Rent Roll'!H19,0))-YEAR(in_AnalysisStart))*12+MONTH(IF(ISNUMBER('Rent Roll'!H19),'Rent Roll'!H19,0))-MONTH(in_AnalysisStart)+1-F19),0)</f>
        <v>0</v>
      </c>
      <c r="H19" s="24">
        <f>IF(ISNUMBER('Rent Roll'!N19),'Rent Roll'!N19,0)</f>
        <v>0</v>
      </c>
      <c r="I19" s="88">
        <f>IF(ISNUMBER('Rent Roll'!L19),'Rent Roll'!L19,0)</f>
        <v>0</v>
      </c>
      <c r="J19" s="24">
        <f>MAX(1,ROUND(IF(ISNUMBER('Rent Roll'!M19),'Rent Roll'!M19,0),0))</f>
        <v>1</v>
      </c>
      <c r="K19" s="29">
        <f>IF(ISNUMBER('Rent Roll'!AJ19),'Rent Roll'!AJ19,0)</f>
        <v>0</v>
      </c>
      <c r="L19" s="88">
        <f>IF(IF(ISNUMBER('Rent Roll'!AK19),'Rent Roll'!AK19,0)&gt;0,'Rent Roll'!AK19,a_LeaseUpLC)</f>
        <v>0.06</v>
      </c>
      <c r="M19" s="24">
        <f>IF('Rent Roll'!R19="",0,IFERROR(MATCH('Rent Roll'!R19,a_PName,0),0))</f>
        <v>0</v>
      </c>
      <c r="N19" s="24">
        <f>IF(M19&gt;0,1,0)</f>
        <v>0</v>
      </c>
      <c r="O19" s="29">
        <f>IF(IF(ISNUMBER('Rent Roll'!S19),'Rent Roll'!S19,0)&gt;0,'Rent Roll'!S19,IF(M19&gt;0,IF(ISNUMBER(INDEX(a_PRent,M19)),INDEX(a_PRent,M19),0),0))</f>
        <v>0</v>
      </c>
      <c r="P19" s="24">
        <f>IF(M19&gt;0,IF(ISNUMBER(INDEX(a_PDown,M19)),INDEX(a_PDown,M19),0),0)</f>
        <v>0</v>
      </c>
      <c r="Q19" s="24">
        <f>IF(M19&gt;0,MAX(1,IF(ISNUMBER(INDEX(a_PTerm,M19)),INDEX(a_PTerm,M19),0)),5)</f>
        <v>5</v>
      </c>
      <c r="R19" s="29">
        <f>IF(M19&gt;0,IF(ISNUMBER(INDEX(a_PTiNew,M19)),INDEX(a_PTiNew,M19),0),0)</f>
        <v>0</v>
      </c>
      <c r="S19" s="29">
        <f>IF(M19&gt;0,IF(ISNUMBER(INDEX(a_PTiRen,M19)),INDEX(a_PTiRen,M19),0),0)</f>
        <v>0</v>
      </c>
      <c r="T19" s="88">
        <f>IF(M19&gt;0,IF(ISNUMBER(INDEX(a_PLcNew,M19)),INDEX(a_PLcNew,M19),0),0)</f>
        <v>0</v>
      </c>
      <c r="U19" s="88">
        <f>IF(M19&gt;0,IF(ISNUMBER(INDEX(a_PLcRen,M19)),INDEX(a_PLcRen,M19),0),0)</f>
        <v>0</v>
      </c>
      <c r="V19" s="88">
        <f>IF(M19&gt;0,IF(ISNUMBER(INDEX(a_PBump,M19)),INDEX(a_PBump,M19),0),0)</f>
        <v>0</v>
      </c>
      <c r="W19" s="24">
        <f>MAX(1,ROUND(IF(M19&gt;0,IF(ISNUMBER(INDEX(a_PEvery,M19)),INDEX(a_PEvery,M19),0),1),0))</f>
        <v>1</v>
      </c>
      <c r="X19" s="88">
        <f>IF(M19&gt;0,IF(ISNUMBER(INDEX(a_PGrow,M19)),INDEX(a_PGrow,M19),in_RentGrowth),in_RentGrowth)</f>
        <v>0.03</v>
      </c>
      <c r="Y19" s="24">
        <f>IF(M19&gt;0,IF(ISNUMBER(INDEX(a_PFreeNew,M19)),INDEX(a_PFreeNew,M19),0),0)</f>
        <v>0</v>
      </c>
      <c r="Z19" s="24">
        <f>IF(M19&gt;0,IF(ISNUMBER(INDEX(a_PFreeRen,M19)),INDEX(a_PFreeRen,M19),0),0)</f>
        <v>0</v>
      </c>
      <c r="AA19" s="88">
        <f>IF(M19&gt;0,IF(ISNUMBER(INDEX(a_PRenPct,M19)),INDEX(a_PRenPct,M19),1),1)</f>
        <v>1</v>
      </c>
      <c r="AB19" s="24">
        <f>IF(M19&gt;0,IF(ISNUMBER(INDEX(a_PAF,M19)),INDEX(a_PAF,M19),0),0)</f>
        <v>0</v>
      </c>
      <c r="AC19" s="88">
        <f>IF(ISNUMBER('Rent Roll'!V19),'Rent Roll'!V19,IF(M19&gt;0,IF(ISNUMBER(INDEX(a_PRenew,M19)),INDEX(a_PRenew,M19),0),0.8))</f>
        <v>0.8</v>
      </c>
      <c r="AD19" s="23" t="str">
        <f>IF('Rent Roll'!W19="","Probability",'Rent Roll'!W19)</f>
        <v>Probability</v>
      </c>
      <c r="AE19" s="88">
        <f>IF(AD19="Renew",1,IF(AD19="Vacate",0,AC19))</f>
        <v>0.8</v>
      </c>
      <c r="AF19" s="88">
        <f>IF(AD19="Renew",1,IF(ISNUMBER('Rent Roll'!AA19),'Rent Roll'!AA19,AC19))</f>
        <v>0.8</v>
      </c>
      <c r="AG19" s="24">
        <f>IF(AND(N19=1,IF(ISNUMBER('Rent Roll'!Y19),'Rent Roll'!Y19,0)&gt;0,IF(ISNUMBER('Rent Roll'!Z19),'Rent Roll'!Z19,0)&gt;0,AF19&gt;0,AD19&lt;&gt;"Vacate",C19&gt;0),1,0)</f>
        <v>0</v>
      </c>
      <c r="AH19" s="24">
        <f>ROUND(12*IF(ISNUMBER('Rent Roll'!Y19),'Rent Roll'!Y19,0),0)</f>
        <v>0</v>
      </c>
      <c r="AI19" s="29">
        <f>IF(ISNUMBER('Rent Roll'!Z19),'Rent Roll'!Z19,0)</f>
        <v>0</v>
      </c>
      <c r="AJ19" s="24">
        <f>IF('Rent Roll'!P19="Base year",1,0)</f>
        <v>0</v>
      </c>
      <c r="AK19" s="88">
        <f>IF(ISNUMBER('Rent Roll'!Q19),'Rent Roll'!Q19,0)</f>
        <v>0</v>
      </c>
      <c r="AL19" s="24">
        <f>IF(AND('Rent Roll'!AH19="Yes",a_AnchorInVac&lt;&gt;"Yes"),1,0)</f>
        <v>0</v>
      </c>
      <c r="AM19" s="29">
        <f>IF(ISNUMBER('Rent Roll'!AL19),'Rent Roll'!AL19,0)</f>
        <v>0</v>
      </c>
      <c r="AN19" s="88">
        <f>IF(ISNUMBER('Rent Roll'!AM19),'Rent Roll'!AM19,0)</f>
        <v>0</v>
      </c>
      <c r="AO19" s="88">
        <f>IF(AND(BC19=1,N19=1),V19,I19)</f>
        <v>0</v>
      </c>
      <c r="AP19" s="24">
        <f>IF(AND(BC19=1,N19=1),W19,J19)</f>
        <v>1</v>
      </c>
      <c r="AQ19" s="24">
        <f>IF(AO19=0,G19/12,AP19*((1+AO19)^INT(INT(G19/12)/AP19)-1)/AO19+(INT(G19/12)-INT(INT(G19/12)/AP19)*AP19)*(1+AO19)^INT(INT(G19/12)/AP19)+(G19/12-INT(G19/12))*(1+AO19)^INT(INT(G19/12)/AP19))</f>
        <v>0</v>
      </c>
      <c r="AR19" s="24">
        <f>IF(AND(C19&gt;0,BU19&lt;9999,BU19&gt;0),INT((BU19-1)/12)+1,0)</f>
        <v>0</v>
      </c>
      <c r="AS19" s="24">
        <f>COUNTIF('Lease Cycles'!$BG$19:$BM$19,"&lt;132")</f>
        <v>0</v>
      </c>
      <c r="AT19" s="24">
        <f>IF(AND(ISNUMBER('Rent Roll'!AR19),IF(ISNUMBER('Rent Roll'!AS19),'Rent Roll'!AS19,0)&gt;0),(YEAR('Rent Roll'!AR19)-YEAR(in_AnalysisStart))*12+MONTH('Rent Roll'!AR19)-MONTH(in_AnalysisStart),9999)</f>
        <v>9999</v>
      </c>
      <c r="AU19" s="29">
        <f>IF(ISNUMBER('Rent Roll'!AS19),'Rent Roll'!AS19,0)</f>
        <v>0</v>
      </c>
      <c r="AV19" s="24">
        <f>IF(AND(ISNUMBER('Rent Roll'!AT19),IF(ISNUMBER('Rent Roll'!AU19),'Rent Roll'!AU19,0)&gt;0),(YEAR('Rent Roll'!AT19)-YEAR(in_AnalysisStart))*12+MONTH('Rent Roll'!AT19)-MONTH(in_AnalysisStart),9999)</f>
        <v>9999</v>
      </c>
      <c r="AW19" s="29">
        <f>IF(ISNUMBER('Rent Roll'!AU19),'Rent Roll'!AU19,0)</f>
        <v>0</v>
      </c>
      <c r="AX19" s="24">
        <f>IF(AND(ISNUMBER('Rent Roll'!AV19),IF(ISNUMBER('Rent Roll'!AW19),'Rent Roll'!AW19,0)&gt;0),(YEAR('Rent Roll'!AV19)-YEAR(in_AnalysisStart))*12+MONTH('Rent Roll'!AV19)-MONTH(in_AnalysisStart),9999)</f>
        <v>9999</v>
      </c>
      <c r="AY19" s="29">
        <f>IF(ISNUMBER('Rent Roll'!AW19),'Rent Roll'!AW19,0)</f>
        <v>0</v>
      </c>
      <c r="AZ19" s="24">
        <f>IF(AND(ISNUMBER('Rent Roll'!AX19),IF(ISNUMBER('Rent Roll'!AY19),'Rent Roll'!AY19,0)&gt;0),(YEAR('Rent Roll'!AX19)-YEAR(in_AnalysisStart))*12+MONTH('Rent Roll'!AX19)-MONTH(in_AnalysisStart),9999)</f>
        <v>9999</v>
      </c>
      <c r="BA19" s="29">
        <f>IF(ISNUMBER('Rent Roll'!AY19),'Rent Roll'!AY19,0)</f>
        <v>0</v>
      </c>
      <c r="BB19" s="29">
        <f>IF(BU19&gt;=9999,O19,O19*(1+X19)^((BU19-F19)/12))</f>
        <v>0</v>
      </c>
      <c r="BC19" s="24">
        <f>IF(AND('Rent Roll'!AZ19="Yes",F19&gt;0,BD19&gt;0,AT19&gt;=9999),1,0)</f>
        <v>0</v>
      </c>
      <c r="BD19" s="29">
        <f>IF(ISNUMBER('Rent Roll'!I19),'Rent Roll'!I19,0)</f>
        <v>0</v>
      </c>
      <c r="BE19" s="24">
        <f>IF(a_MarketRecovery="Base year",1,0)</f>
        <v>0</v>
      </c>
      <c r="BG19" s="24">
        <f>IF(C19&gt;0,F19,9999)</f>
        <v>9999</v>
      </c>
      <c r="BH19" s="24">
        <f>BU19</f>
        <v>9999</v>
      </c>
      <c r="BI19" s="24">
        <f>IF(OR(N19=0,BV19&gt;=9999),9999,IF(AG19=1,BV19,INT(BV19+IP19)))</f>
        <v>9999</v>
      </c>
      <c r="BJ19" s="24">
        <f>IF(OR(N19=0,BW19&gt;=9999),9999,INT(BW19+IQ19))</f>
        <v>9999</v>
      </c>
      <c r="BK19" s="24">
        <f>IF(OR(N19=0,BX19&gt;=9999),9999,INT(BX19+IR19))</f>
        <v>9999</v>
      </c>
      <c r="BL19" s="24">
        <f>IF(OR(N19=0,BY19&gt;=9999),9999,INT(BY19+IS19))</f>
        <v>9999</v>
      </c>
      <c r="BM19" s="24">
        <f>IF(OR(N19=0,BZ19&gt;=9999),9999,INT(BZ19+IT19))</f>
        <v>9999</v>
      </c>
      <c r="BN19" s="24">
        <f>G19</f>
        <v>0</v>
      </c>
      <c r="BO19" s="24">
        <f>IF(AG19=1,AH19,0)</f>
        <v>0</v>
      </c>
      <c r="BP19" s="24">
        <f>MAX(12,ROUND(12*Q19,0))</f>
        <v>60</v>
      </c>
      <c r="BQ19" s="24">
        <f>MAX(12,ROUND(12*Q19,0))</f>
        <v>60</v>
      </c>
      <c r="BR19" s="24">
        <f>MAX(12,ROUND(12*Q19,0))</f>
        <v>60</v>
      </c>
      <c r="BS19" s="24">
        <f>MAX(12,ROUND(12*Q19,0))</f>
        <v>60</v>
      </c>
      <c r="BT19" s="24">
        <f>MAX(12,ROUND(12*Q19,0))</f>
        <v>60</v>
      </c>
      <c r="BU19" s="24">
        <f>BG19+BN19</f>
        <v>9999</v>
      </c>
      <c r="BV19" s="24">
        <f>BH19+BO19</f>
        <v>9999</v>
      </c>
      <c r="BW19" s="24">
        <f>IF(BI19&gt;=9999,9999,BI19+BP19)</f>
        <v>9999</v>
      </c>
      <c r="BX19" s="24">
        <f>IF(BJ19&gt;=9999,9999,BJ19+BQ19)</f>
        <v>9999</v>
      </c>
      <c r="BY19" s="24">
        <f>IF(BK19&gt;=9999,9999,BK19+BR19)</f>
        <v>9999</v>
      </c>
      <c r="BZ19" s="24">
        <f>IF(BL19&gt;=9999,9999,BL19+BS19)</f>
        <v>9999</v>
      </c>
      <c r="CA19" s="24">
        <f>IF(BM19&gt;=9999,9999,BM19+BT19)</f>
        <v>9999</v>
      </c>
      <c r="CB19" s="24">
        <f>E19</f>
        <v>0</v>
      </c>
      <c r="CC19" s="24">
        <f>AI19</f>
        <v>0</v>
      </c>
      <c r="CD19" s="24">
        <f>IF(BI19&gt;=9999,0,O19*(1+X19)^((BI19-F19)/12)*(AA19*II19+1-II19))</f>
        <v>0</v>
      </c>
      <c r="CE19" s="24">
        <f>IF(BJ19&gt;=9999,0,O19*(1+X19)^((BJ19-F19)/12)*(AA19*IJ19+1-IJ19))</f>
        <v>0</v>
      </c>
      <c r="CF19" s="24">
        <f>IF(BK19&gt;=9999,0,O19*(1+X19)^((BK19-F19)/12)*(AA19*IK19+1-IK19))</f>
        <v>0</v>
      </c>
      <c r="CG19" s="24">
        <f>IF(BL19&gt;=9999,0,O19*(1+X19)^((BL19-F19)/12)*(AA19*IL19+1-IL19))</f>
        <v>0</v>
      </c>
      <c r="CH19" s="24">
        <f>IF(BM19&gt;=9999,0,O19*(1+X19)^((BM19-F19)/12)*(AA19*IM19+1-IM19))</f>
        <v>0</v>
      </c>
      <c r="CI19" s="24">
        <f>AO19</f>
        <v>0</v>
      </c>
      <c r="CJ19" s="24">
        <f>I19</f>
        <v>0</v>
      </c>
      <c r="CK19" s="24">
        <f>V19</f>
        <v>0</v>
      </c>
      <c r="CL19" s="24">
        <f>V19</f>
        <v>0</v>
      </c>
      <c r="CM19" s="24">
        <f>V19</f>
        <v>0</v>
      </c>
      <c r="CN19" s="24">
        <f>V19</f>
        <v>0</v>
      </c>
      <c r="CO19" s="24">
        <f>V19</f>
        <v>0</v>
      </c>
      <c r="CP19" s="24">
        <f>AP19</f>
        <v>1</v>
      </c>
      <c r="CQ19" s="24">
        <f>J19</f>
        <v>1</v>
      </c>
      <c r="CR19" s="24">
        <f>W19</f>
        <v>1</v>
      </c>
      <c r="CS19" s="24">
        <f>W19</f>
        <v>1</v>
      </c>
      <c r="CT19" s="24">
        <f>W19</f>
        <v>1</v>
      </c>
      <c r="CU19" s="24">
        <f>W19</f>
        <v>1</v>
      </c>
      <c r="CV19" s="24">
        <f>W19</f>
        <v>1</v>
      </c>
      <c r="CW19" s="24">
        <f>H19</f>
        <v>0</v>
      </c>
      <c r="CX19" s="24">
        <v>0</v>
      </c>
      <c r="CY19" s="24">
        <f>Y19*(1-II19)+Z19*II19</f>
        <v>0</v>
      </c>
      <c r="CZ19" s="24">
        <f>Y19*(1-IJ19)+Z19*IJ19</f>
        <v>0</v>
      </c>
      <c r="DA19" s="24">
        <f>Y19*(1-IK19)+Z19*IK19</f>
        <v>0</v>
      </c>
      <c r="DB19" s="24">
        <f>Y19*(1-IL19)+Z19*IL19</f>
        <v>0</v>
      </c>
      <c r="DC19" s="24">
        <f>Y19*(1-IM19)+Z19*IM19</f>
        <v>0</v>
      </c>
      <c r="DD19" s="24">
        <v>0</v>
      </c>
      <c r="DE19" s="24">
        <v>0</v>
      </c>
      <c r="DF19" s="24">
        <f>IF(BI19&gt;=9999,0,IF(AG19=1,0,BV19+IP19-BI19))</f>
        <v>0</v>
      </c>
      <c r="DG19" s="24">
        <f>IF(BJ19&gt;=9999,0,BW19+IQ19-BJ19)</f>
        <v>0</v>
      </c>
      <c r="DH19" s="24">
        <f>IF(BK19&gt;=9999,0,BX19+IR19-BK19)</f>
        <v>0</v>
      </c>
      <c r="DI19" s="24">
        <f>IF(BL19&gt;=9999,0,BY19+IS19-BL19)</f>
        <v>0</v>
      </c>
      <c r="DJ19" s="24">
        <f>IF(BM19&gt;=9999,0,BZ19+IT19-BM19)</f>
        <v>0</v>
      </c>
      <c r="DK19" s="24">
        <f>INT(CW19+DD19)</f>
        <v>0</v>
      </c>
      <c r="DL19" s="24">
        <v>0</v>
      </c>
      <c r="DM19" s="24">
        <f>INT(CY19+DF19)</f>
        <v>0</v>
      </c>
      <c r="DN19" s="24">
        <f>INT(CZ19+DG19)</f>
        <v>0</v>
      </c>
      <c r="DO19" s="24">
        <f>INT(DA19+DH19)</f>
        <v>0</v>
      </c>
      <c r="DP19" s="24">
        <f>INT(DB19+DI19)</f>
        <v>0</v>
      </c>
      <c r="DQ19" s="24">
        <f>INT(DC19+DJ19)</f>
        <v>0</v>
      </c>
      <c r="DR19" s="24">
        <f>CW19+DD19-DK19</f>
        <v>0</v>
      </c>
      <c r="DS19" s="24">
        <v>0</v>
      </c>
      <c r="DT19" s="24">
        <f>CY19+DF19-DM19</f>
        <v>0</v>
      </c>
      <c r="DU19" s="24">
        <f>CZ19+DG19-DN19</f>
        <v>0</v>
      </c>
      <c r="DV19" s="24">
        <f>DA19+DH19-DO19</f>
        <v>0</v>
      </c>
      <c r="DW19" s="24">
        <f>DB19+DI19-DP19</f>
        <v>0</v>
      </c>
      <c r="DX19" s="24">
        <f>DC19+DJ19-DQ19</f>
        <v>0</v>
      </c>
      <c r="DY19" s="24">
        <v>1</v>
      </c>
      <c r="DZ19" s="24">
        <v>1</v>
      </c>
      <c r="EA19" s="24">
        <v>0</v>
      </c>
      <c r="EB19" s="24">
        <v>0</v>
      </c>
      <c r="EC19" s="24">
        <v>0</v>
      </c>
      <c r="ED19" s="24">
        <v>0</v>
      </c>
      <c r="EE19" s="24">
        <v>0</v>
      </c>
      <c r="EF19" s="24">
        <v>0</v>
      </c>
      <c r="EG19" s="24">
        <f>IF(AG19=1,1,2)</f>
        <v>2</v>
      </c>
      <c r="EH19" s="24">
        <v>0</v>
      </c>
      <c r="EI19" s="24">
        <v>0</v>
      </c>
      <c r="EJ19" s="24">
        <v>0</v>
      </c>
      <c r="EK19" s="24">
        <v>0</v>
      </c>
      <c r="EL19" s="24">
        <v>0</v>
      </c>
      <c r="EM19" s="24">
        <v>1</v>
      </c>
      <c r="EN19" s="24">
        <f>IF(AG19=1,AF19,1)</f>
        <v>1</v>
      </c>
      <c r="EO19" s="24">
        <v>1</v>
      </c>
      <c r="EP19" s="24">
        <v>1</v>
      </c>
      <c r="EQ19" s="24">
        <v>1</v>
      </c>
      <c r="ER19" s="24">
        <v>1</v>
      </c>
      <c r="ES19" s="24">
        <v>1</v>
      </c>
      <c r="ET19" s="24">
        <v>0</v>
      </c>
      <c r="EU19" s="24">
        <f>BB19</f>
        <v>0</v>
      </c>
      <c r="EV19" s="24">
        <v>0</v>
      </c>
      <c r="EW19" s="24">
        <v>0</v>
      </c>
      <c r="EX19" s="24">
        <v>0</v>
      </c>
      <c r="EY19" s="24">
        <v>0</v>
      </c>
      <c r="EZ19" s="24">
        <v>0</v>
      </c>
      <c r="FA19" s="24">
        <v>0</v>
      </c>
      <c r="FB19" s="24">
        <f>ROUND(P19,0)</f>
        <v>0</v>
      </c>
      <c r="FC19" s="24">
        <v>0</v>
      </c>
      <c r="FD19" s="24">
        <v>0</v>
      </c>
      <c r="FE19" s="24">
        <v>0</v>
      </c>
      <c r="FF19" s="24">
        <v>0</v>
      </c>
      <c r="FG19" s="24">
        <v>0</v>
      </c>
      <c r="FH19" s="24">
        <f>AK19</f>
        <v>0</v>
      </c>
      <c r="FI19" s="24">
        <f>IF(AG19=1,AK19*AF19,FH19)</f>
        <v>0</v>
      </c>
      <c r="FJ19" s="24">
        <f>FI19*II19</f>
        <v>0</v>
      </c>
      <c r="FK19" s="24">
        <f>FJ19*IJ19</f>
        <v>0</v>
      </c>
      <c r="FL19" s="24">
        <f>FK19*IK19</f>
        <v>0</v>
      </c>
      <c r="FM19" s="24">
        <f>FL19*IL19</f>
        <v>0</v>
      </c>
      <c r="FN19" s="24">
        <f>FM19*IM19</f>
        <v>0</v>
      </c>
      <c r="FO19" s="24">
        <v>1</v>
      </c>
      <c r="FP19" s="24">
        <f>FV19</f>
        <v>1</v>
      </c>
      <c r="FQ19" s="24">
        <f>FW19*II19</f>
        <v>0.8</v>
      </c>
      <c r="FR19" s="24">
        <f>FX19*IJ19</f>
        <v>0.6400000000000001</v>
      </c>
      <c r="FS19" s="24">
        <f>FY19*IK19</f>
        <v>0.5120000000000001</v>
      </c>
      <c r="FT19" s="24">
        <f>FZ19*IL19</f>
        <v>0.40960000000000013</v>
      </c>
      <c r="FU19" s="24">
        <f>GA19*IM19</f>
        <v>0.32768000000000014</v>
      </c>
      <c r="FV19" s="24">
        <v>1</v>
      </c>
      <c r="FW19" s="24">
        <f>IF(AG19=1,FP19*AF19,FV19)</f>
        <v>1</v>
      </c>
      <c r="FX19" s="24">
        <f>FQ19</f>
        <v>0.8</v>
      </c>
      <c r="FY19" s="24">
        <f>FR19</f>
        <v>0.6400000000000001</v>
      </c>
      <c r="FZ19" s="24">
        <f>FS19</f>
        <v>0.5120000000000001</v>
      </c>
      <c r="GA19" s="24">
        <f>FT19</f>
        <v>0.40960000000000013</v>
      </c>
      <c r="GB19" s="24">
        <f>FU19</f>
        <v>0.32768000000000014</v>
      </c>
      <c r="GC19" s="24">
        <v>0</v>
      </c>
      <c r="GD19" s="24">
        <f>GC19</f>
        <v>0</v>
      </c>
      <c r="GE19" s="24">
        <f>IF(BI19&gt;=9999,0,INT(BI19/12))</f>
        <v>0</v>
      </c>
      <c r="GF19" s="24">
        <f>IF(BJ19&gt;=9999,0,INT(BJ19/12))</f>
        <v>0</v>
      </c>
      <c r="GG19" s="24">
        <f>IF(BK19&gt;=9999,0,INT(BK19/12))</f>
        <v>0</v>
      </c>
      <c r="GH19" s="24">
        <f>IF(BL19&gt;=9999,0,INT(BL19/12))</f>
        <v>0</v>
      </c>
      <c r="GI19" s="24">
        <f>IF(BM19&gt;=9999,0,INT(BM19/12))</f>
        <v>0</v>
      </c>
      <c r="GJ19" s="24">
        <f>BG19</f>
        <v>9999</v>
      </c>
      <c r="GK19" s="24">
        <f>IF(AG19=1,BH19,GJ19)</f>
        <v>9999</v>
      </c>
      <c r="GL19" s="24">
        <f>BI19</f>
        <v>9999</v>
      </c>
      <c r="GM19" s="24">
        <f>BJ19</f>
        <v>9999</v>
      </c>
      <c r="GN19" s="24">
        <f>BK19</f>
        <v>9999</v>
      </c>
      <c r="GO19" s="24">
        <f>BL19</f>
        <v>9999</v>
      </c>
      <c r="GP19" s="24">
        <f>BM19</f>
        <v>9999</v>
      </c>
      <c r="GQ19" s="24">
        <f>CI19</f>
        <v>0</v>
      </c>
      <c r="GR19" s="24">
        <f>IF(AG19=1,I19,GQ19)</f>
        <v>0</v>
      </c>
      <c r="GS19" s="24">
        <f>V19</f>
        <v>0</v>
      </c>
      <c r="GT19" s="24">
        <f>V19</f>
        <v>0</v>
      </c>
      <c r="GU19" s="24">
        <f>V19</f>
        <v>0</v>
      </c>
      <c r="GV19" s="24">
        <f>V19</f>
        <v>0</v>
      </c>
      <c r="GW19" s="24">
        <f>V19</f>
        <v>0</v>
      </c>
      <c r="GX19" s="24">
        <f>CP19</f>
        <v>1</v>
      </c>
      <c r="GY19" s="24">
        <f>IF(AG19=1,J19,GX19)</f>
        <v>1</v>
      </c>
      <c r="GZ19" s="24">
        <f>W19</f>
        <v>1</v>
      </c>
      <c r="HA19" s="24">
        <f>W19</f>
        <v>1</v>
      </c>
      <c r="HB19" s="24">
        <f>W19</f>
        <v>1</v>
      </c>
      <c r="HC19" s="24">
        <f>W19</f>
        <v>1</v>
      </c>
      <c r="HD19" s="24">
        <f>W19</f>
        <v>1</v>
      </c>
      <c r="HE19" s="24">
        <f>IF(BU19&gt;=9999,1,(1+X19)^(BU19/12))</f>
        <v>1</v>
      </c>
      <c r="HF19" s="24">
        <f>IF(AG19=1,IF(BV19&gt;=9999,1,(1+X19)^(BV19/12)),HE19)</f>
        <v>1</v>
      </c>
      <c r="HG19" s="24">
        <f>IF(BW19&gt;=9999,1,(1+X19)^(BW19/12))</f>
        <v>1</v>
      </c>
      <c r="HH19" s="24">
        <f>IF(BX19&gt;=9999,1,(1+X19)^(BX19/12))</f>
        <v>1</v>
      </c>
      <c r="HI19" s="24">
        <f>IF(BY19&gt;=9999,1,(1+X19)^(BY19/12))</f>
        <v>1</v>
      </c>
      <c r="HJ19" s="24">
        <f>IF(BZ19&gt;=9999,1,(1+X19)^(BZ19/12))</f>
        <v>1</v>
      </c>
      <c r="HK19" s="24">
        <f>IF(CA19&gt;=9999,1,(1+X19)^(CA19/12))</f>
        <v>1</v>
      </c>
      <c r="HL19" s="24">
        <f>IF(AND(F19&gt;0,C19&gt;0),F19,-1)</f>
        <v>-1</v>
      </c>
      <c r="HM19" s="24">
        <f>IF(AG19=1,BU19+FB19,-1)</f>
        <v>-1</v>
      </c>
      <c r="HN19" s="24">
        <f>IF(BI19&gt;=9999,-1,BV19+ROUND(IP19,0))</f>
        <v>-1</v>
      </c>
      <c r="HO19" s="24">
        <f>IF(BJ19&gt;=9999,-1,IF(HN19&lt;0,BW19,HN19+BP19)+ROUND(IQ19,0))</f>
        <v>-1</v>
      </c>
      <c r="HP19" s="24">
        <f>IF(BK19&gt;=9999,-1,IF(HO19&lt;0,BX19,HO19+BQ19)+ROUND(IR19,0))</f>
        <v>-1</v>
      </c>
      <c r="HQ19" s="24">
        <f>IF(BL19&gt;=9999,-1,IF(HP19&lt;0,BY19,HP19+BR19)+ROUND(IS19,0))</f>
        <v>-1</v>
      </c>
      <c r="HR19" s="24">
        <f>IF(BM19&gt;=9999,-1,IF(HQ19&lt;0,BZ19,HQ19+BS19)+ROUND(IT19,0))</f>
        <v>-1</v>
      </c>
      <c r="HS19" s="24">
        <f>IF(HL19&lt;0,0,C19*K19)</f>
        <v>0</v>
      </c>
      <c r="HT19" s="24">
        <f>IF(AG19=1,C19*R19*(1+in_ExpenseGrowth)^(HM19/12)*(1-AF19),0)</f>
        <v>0</v>
      </c>
      <c r="HU19" s="24">
        <f>IF(HN19&lt;0,0,C19*(S19*II19+R19*(1-II19))*(1+in_ExpenseGrowth)^(HN19/12))</f>
        <v>0</v>
      </c>
      <c r="HV19" s="24">
        <f>IF(HO19&lt;0,0,C19*(S19*IJ19+R19*(1-IJ19))*(1+in_ExpenseGrowth)^(HO19/12))</f>
        <v>0</v>
      </c>
      <c r="HW19" s="24">
        <f>IF(HP19&lt;0,0,C19*(S19*IK19+R19*(1-IK19))*(1+in_ExpenseGrowth)^(HP19/12))</f>
        <v>0</v>
      </c>
      <c r="HX19" s="24">
        <f>IF(HQ19&lt;0,0,C19*(S19*IL19+R19*(1-IL19))*(1+in_ExpenseGrowth)^(HQ19/12))</f>
        <v>0</v>
      </c>
      <c r="HY19" s="24">
        <f>IF(HR19&lt;0,0,C19*(S19*IM19+R19*(1-IM19))*(1+in_ExpenseGrowth)^(HR19/12))</f>
        <v>0</v>
      </c>
      <c r="HZ19" s="24">
        <f>IF(HL19&lt;0,0,L19*C19*E19*AQ19)</f>
        <v>0</v>
      </c>
      <c r="IA19" s="24">
        <f>IF(AG19=1,T19*C19*O19*(1+X19)^(MAX(0,HM19-F19)/12)*AB19*(1-AF19),0)</f>
        <v>0</v>
      </c>
      <c r="IB19" s="24">
        <f>IF(HN19&lt;0,0,(U19*II19+T19*(1-II19))*C19*O19*(1+X19)^(MAX(0,HN19-F19)/12)*(AA19*II19+1-II19)*AB19)</f>
        <v>0</v>
      </c>
      <c r="IC19" s="24">
        <f>IF(HO19&lt;0,0,(U19*IJ19+T19*(1-IJ19))*C19*O19*(1+X19)^(MAX(0,HO19-F19)/12)*(AA19*IJ19+1-IJ19)*AB19)</f>
        <v>0</v>
      </c>
      <c r="ID19" s="24">
        <f>IF(HP19&lt;0,0,(U19*IK19+T19*(1-IK19))*C19*O19*(1+X19)^(MAX(0,HP19-F19)/12)*(AA19*IK19+1-IK19)*AB19)</f>
        <v>0</v>
      </c>
      <c r="IE19" s="24">
        <f>IF(HQ19&lt;0,0,(U19*IL19+T19*(1-IL19))*C19*O19*(1+X19)^(MAX(0,HQ19-F19)/12)*(AA19*IL19+1-IL19)*AB19)</f>
        <v>0</v>
      </c>
      <c r="IF19" s="24">
        <f>IF(HR19&lt;0,0,(U19*IM19+T19*(1-IM19))*C19*O19*(1+X19)^(MAX(0,HR19-F19)/12)*(AA19*IM19+1-IM19)*AB19)</f>
        <v>0</v>
      </c>
      <c r="IG19" s="24">
        <v>1</v>
      </c>
      <c r="IH19" s="24">
        <f>IF(AG19=1,AF19,1)</f>
        <v>1</v>
      </c>
      <c r="II19" s="24">
        <f>IF(AG19=1,AC19,AE19)</f>
        <v>0.8</v>
      </c>
      <c r="IJ19" s="24">
        <f>AC19</f>
        <v>0.8</v>
      </c>
      <c r="IK19" s="24">
        <f>AC19</f>
        <v>0.8</v>
      </c>
      <c r="IL19" s="24">
        <f>AC19</f>
        <v>0.8</v>
      </c>
      <c r="IM19" s="24">
        <f>AC19</f>
        <v>0.8</v>
      </c>
      <c r="IN19" s="24">
        <v>0</v>
      </c>
      <c r="IO19" s="24">
        <f>P19</f>
        <v>0</v>
      </c>
      <c r="IP19" s="24">
        <f>P19*(1-II19)</f>
        <v>0</v>
      </c>
      <c r="IQ19" s="24">
        <f>P19*(1-IJ19)</f>
        <v>0</v>
      </c>
      <c r="IR19" s="24">
        <f>P19*(1-IK19)</f>
        <v>0</v>
      </c>
      <c r="IS19" s="24">
        <f>P19*(1-IL19)</f>
        <v>0</v>
      </c>
      <c r="IT19" s="24">
        <f>P19*(1-IM19)</f>
        <v>0</v>
      </c>
    </row>
    <row r="20">
      <c r="A20" s="25">
        <v>13</v>
      </c>
      <c r="B20" s="23" t="str">
        <f>IF('Rent Roll'!C20="","",'Rent Roll'!C20)</f>
        <v/>
      </c>
      <c r="C20" s="24">
        <f>IF(ISNUMBER('Rent Roll'!E20),MAX(0,'Rent Roll'!E20),0)</f>
        <v>0</v>
      </c>
      <c r="D20" s="88">
        <f>IF(a_GLA&gt;0,C20/a_GLA,0)</f>
        <v>0</v>
      </c>
      <c r="E20" s="29">
        <f>IF(BC20=1,ROUND(BD20*(1+X20)^(F20/12),2),BD20)</f>
        <v>0</v>
      </c>
      <c r="F20" s="24">
        <f>IF(C20&gt;0,MAX(0,(YEAR(IF(ISNUMBER('Rent Roll'!G20),'Rent Roll'!G20,0))-YEAR(in_AnalysisStart))*12+MONTH(IF(ISNUMBER('Rent Roll'!G20),'Rent Roll'!G20,0))-MONTH(in_AnalysisStart)),0)</f>
        <v>0</v>
      </c>
      <c r="G20" s="24">
        <f>IF(C20&gt;0,MAX(0,(YEAR(IF(ISNUMBER('Rent Roll'!H20),'Rent Roll'!H20,0))-YEAR(in_AnalysisStart))*12+MONTH(IF(ISNUMBER('Rent Roll'!H20),'Rent Roll'!H20,0))-MONTH(in_AnalysisStart)+1-F20),0)</f>
        <v>0</v>
      </c>
      <c r="H20" s="24">
        <f>IF(ISNUMBER('Rent Roll'!N20),'Rent Roll'!N20,0)</f>
        <v>0</v>
      </c>
      <c r="I20" s="88">
        <f>IF(ISNUMBER('Rent Roll'!L20),'Rent Roll'!L20,0)</f>
        <v>0</v>
      </c>
      <c r="J20" s="24">
        <f>MAX(1,ROUND(IF(ISNUMBER('Rent Roll'!M20),'Rent Roll'!M20,0),0))</f>
        <v>1</v>
      </c>
      <c r="K20" s="29">
        <f>IF(ISNUMBER('Rent Roll'!AJ20),'Rent Roll'!AJ20,0)</f>
        <v>0</v>
      </c>
      <c r="L20" s="88">
        <f>IF(IF(ISNUMBER('Rent Roll'!AK20),'Rent Roll'!AK20,0)&gt;0,'Rent Roll'!AK20,a_LeaseUpLC)</f>
        <v>0.06</v>
      </c>
      <c r="M20" s="24">
        <f>IF('Rent Roll'!R20="",0,IFERROR(MATCH('Rent Roll'!R20,a_PName,0),0))</f>
        <v>0</v>
      </c>
      <c r="N20" s="24">
        <f>IF(M20&gt;0,1,0)</f>
        <v>0</v>
      </c>
      <c r="O20" s="29">
        <f>IF(IF(ISNUMBER('Rent Roll'!S20),'Rent Roll'!S20,0)&gt;0,'Rent Roll'!S20,IF(M20&gt;0,IF(ISNUMBER(INDEX(a_PRent,M20)),INDEX(a_PRent,M20),0),0))</f>
        <v>0</v>
      </c>
      <c r="P20" s="24">
        <f>IF(M20&gt;0,IF(ISNUMBER(INDEX(a_PDown,M20)),INDEX(a_PDown,M20),0),0)</f>
        <v>0</v>
      </c>
      <c r="Q20" s="24">
        <f>IF(M20&gt;0,MAX(1,IF(ISNUMBER(INDEX(a_PTerm,M20)),INDEX(a_PTerm,M20),0)),5)</f>
        <v>5</v>
      </c>
      <c r="R20" s="29">
        <f>IF(M20&gt;0,IF(ISNUMBER(INDEX(a_PTiNew,M20)),INDEX(a_PTiNew,M20),0),0)</f>
        <v>0</v>
      </c>
      <c r="S20" s="29">
        <f>IF(M20&gt;0,IF(ISNUMBER(INDEX(a_PTiRen,M20)),INDEX(a_PTiRen,M20),0),0)</f>
        <v>0</v>
      </c>
      <c r="T20" s="88">
        <f>IF(M20&gt;0,IF(ISNUMBER(INDEX(a_PLcNew,M20)),INDEX(a_PLcNew,M20),0),0)</f>
        <v>0</v>
      </c>
      <c r="U20" s="88">
        <f>IF(M20&gt;0,IF(ISNUMBER(INDEX(a_PLcRen,M20)),INDEX(a_PLcRen,M20),0),0)</f>
        <v>0</v>
      </c>
      <c r="V20" s="88">
        <f>IF(M20&gt;0,IF(ISNUMBER(INDEX(a_PBump,M20)),INDEX(a_PBump,M20),0),0)</f>
        <v>0</v>
      </c>
      <c r="W20" s="24">
        <f>MAX(1,ROUND(IF(M20&gt;0,IF(ISNUMBER(INDEX(a_PEvery,M20)),INDEX(a_PEvery,M20),0),1),0))</f>
        <v>1</v>
      </c>
      <c r="X20" s="88">
        <f>IF(M20&gt;0,IF(ISNUMBER(INDEX(a_PGrow,M20)),INDEX(a_PGrow,M20),in_RentGrowth),in_RentGrowth)</f>
        <v>0.03</v>
      </c>
      <c r="Y20" s="24">
        <f>IF(M20&gt;0,IF(ISNUMBER(INDEX(a_PFreeNew,M20)),INDEX(a_PFreeNew,M20),0),0)</f>
        <v>0</v>
      </c>
      <c r="Z20" s="24">
        <f>IF(M20&gt;0,IF(ISNUMBER(INDEX(a_PFreeRen,M20)),INDEX(a_PFreeRen,M20),0),0)</f>
        <v>0</v>
      </c>
      <c r="AA20" s="88">
        <f>IF(M20&gt;0,IF(ISNUMBER(INDEX(a_PRenPct,M20)),INDEX(a_PRenPct,M20),1),1)</f>
        <v>1</v>
      </c>
      <c r="AB20" s="24">
        <f>IF(M20&gt;0,IF(ISNUMBER(INDEX(a_PAF,M20)),INDEX(a_PAF,M20),0),0)</f>
        <v>0</v>
      </c>
      <c r="AC20" s="88">
        <f>IF(ISNUMBER('Rent Roll'!V20),'Rent Roll'!V20,IF(M20&gt;0,IF(ISNUMBER(INDEX(a_PRenew,M20)),INDEX(a_PRenew,M20),0),0.8))</f>
        <v>0.8</v>
      </c>
      <c r="AD20" s="23" t="str">
        <f>IF('Rent Roll'!W20="","Probability",'Rent Roll'!W20)</f>
        <v>Probability</v>
      </c>
      <c r="AE20" s="88">
        <f>IF(AD20="Renew",1,IF(AD20="Vacate",0,AC20))</f>
        <v>0.8</v>
      </c>
      <c r="AF20" s="88">
        <f>IF(AD20="Renew",1,IF(ISNUMBER('Rent Roll'!AA20),'Rent Roll'!AA20,AC20))</f>
        <v>0.8</v>
      </c>
      <c r="AG20" s="24">
        <f>IF(AND(N20=1,IF(ISNUMBER('Rent Roll'!Y20),'Rent Roll'!Y20,0)&gt;0,IF(ISNUMBER('Rent Roll'!Z20),'Rent Roll'!Z20,0)&gt;0,AF20&gt;0,AD20&lt;&gt;"Vacate",C20&gt;0),1,0)</f>
        <v>0</v>
      </c>
      <c r="AH20" s="24">
        <f>ROUND(12*IF(ISNUMBER('Rent Roll'!Y20),'Rent Roll'!Y20,0),0)</f>
        <v>0</v>
      </c>
      <c r="AI20" s="29">
        <f>IF(ISNUMBER('Rent Roll'!Z20),'Rent Roll'!Z20,0)</f>
        <v>0</v>
      </c>
      <c r="AJ20" s="24">
        <f>IF('Rent Roll'!P20="Base year",1,0)</f>
        <v>0</v>
      </c>
      <c r="AK20" s="88">
        <f>IF(ISNUMBER('Rent Roll'!Q20),'Rent Roll'!Q20,0)</f>
        <v>0</v>
      </c>
      <c r="AL20" s="24">
        <f>IF(AND('Rent Roll'!AH20="Yes",a_AnchorInVac&lt;&gt;"Yes"),1,0)</f>
        <v>0</v>
      </c>
      <c r="AM20" s="29">
        <f>IF(ISNUMBER('Rent Roll'!AL20),'Rent Roll'!AL20,0)</f>
        <v>0</v>
      </c>
      <c r="AN20" s="88">
        <f>IF(ISNUMBER('Rent Roll'!AM20),'Rent Roll'!AM20,0)</f>
        <v>0</v>
      </c>
      <c r="AO20" s="88">
        <f>IF(AND(BC20=1,N20=1),V20,I20)</f>
        <v>0</v>
      </c>
      <c r="AP20" s="24">
        <f>IF(AND(BC20=1,N20=1),W20,J20)</f>
        <v>1</v>
      </c>
      <c r="AQ20" s="24">
        <f>IF(AO20=0,G20/12,AP20*((1+AO20)^INT(INT(G20/12)/AP20)-1)/AO20+(INT(G20/12)-INT(INT(G20/12)/AP20)*AP20)*(1+AO20)^INT(INT(G20/12)/AP20)+(G20/12-INT(G20/12))*(1+AO20)^INT(INT(G20/12)/AP20))</f>
        <v>0</v>
      </c>
      <c r="AR20" s="24">
        <f>IF(AND(C20&gt;0,BU20&lt;9999,BU20&gt;0),INT((BU20-1)/12)+1,0)</f>
        <v>0</v>
      </c>
      <c r="AS20" s="24">
        <f>COUNTIF('Lease Cycles'!$BG$20:$BM$20,"&lt;132")</f>
        <v>0</v>
      </c>
      <c r="AT20" s="24">
        <f>IF(AND(ISNUMBER('Rent Roll'!AR20),IF(ISNUMBER('Rent Roll'!AS20),'Rent Roll'!AS20,0)&gt;0),(YEAR('Rent Roll'!AR20)-YEAR(in_AnalysisStart))*12+MONTH('Rent Roll'!AR20)-MONTH(in_AnalysisStart),9999)</f>
        <v>9999</v>
      </c>
      <c r="AU20" s="29">
        <f>IF(ISNUMBER('Rent Roll'!AS20),'Rent Roll'!AS20,0)</f>
        <v>0</v>
      </c>
      <c r="AV20" s="24">
        <f>IF(AND(ISNUMBER('Rent Roll'!AT20),IF(ISNUMBER('Rent Roll'!AU20),'Rent Roll'!AU20,0)&gt;0),(YEAR('Rent Roll'!AT20)-YEAR(in_AnalysisStart))*12+MONTH('Rent Roll'!AT20)-MONTH(in_AnalysisStart),9999)</f>
        <v>9999</v>
      </c>
      <c r="AW20" s="29">
        <f>IF(ISNUMBER('Rent Roll'!AU20),'Rent Roll'!AU20,0)</f>
        <v>0</v>
      </c>
      <c r="AX20" s="24">
        <f>IF(AND(ISNUMBER('Rent Roll'!AV20),IF(ISNUMBER('Rent Roll'!AW20),'Rent Roll'!AW20,0)&gt;0),(YEAR('Rent Roll'!AV20)-YEAR(in_AnalysisStart))*12+MONTH('Rent Roll'!AV20)-MONTH(in_AnalysisStart),9999)</f>
        <v>9999</v>
      </c>
      <c r="AY20" s="29">
        <f>IF(ISNUMBER('Rent Roll'!AW20),'Rent Roll'!AW20,0)</f>
        <v>0</v>
      </c>
      <c r="AZ20" s="24">
        <f>IF(AND(ISNUMBER('Rent Roll'!AX20),IF(ISNUMBER('Rent Roll'!AY20),'Rent Roll'!AY20,0)&gt;0),(YEAR('Rent Roll'!AX20)-YEAR(in_AnalysisStart))*12+MONTH('Rent Roll'!AX20)-MONTH(in_AnalysisStart),9999)</f>
        <v>9999</v>
      </c>
      <c r="BA20" s="29">
        <f>IF(ISNUMBER('Rent Roll'!AY20),'Rent Roll'!AY20,0)</f>
        <v>0</v>
      </c>
      <c r="BB20" s="29">
        <f>IF(BU20&gt;=9999,O20,O20*(1+X20)^((BU20-F20)/12))</f>
        <v>0</v>
      </c>
      <c r="BC20" s="24">
        <f>IF(AND('Rent Roll'!AZ20="Yes",F20&gt;0,BD20&gt;0,AT20&gt;=9999),1,0)</f>
        <v>0</v>
      </c>
      <c r="BD20" s="29">
        <f>IF(ISNUMBER('Rent Roll'!I20),'Rent Roll'!I20,0)</f>
        <v>0</v>
      </c>
      <c r="BE20" s="24">
        <f>IF(a_MarketRecovery="Base year",1,0)</f>
        <v>0</v>
      </c>
      <c r="BG20" s="24">
        <f>IF(C20&gt;0,F20,9999)</f>
        <v>9999</v>
      </c>
      <c r="BH20" s="24">
        <f>BU20</f>
        <v>9999</v>
      </c>
      <c r="BI20" s="24">
        <f>IF(OR(N20=0,BV20&gt;=9999),9999,IF(AG20=1,BV20,INT(BV20+IP20)))</f>
        <v>9999</v>
      </c>
      <c r="BJ20" s="24">
        <f>IF(OR(N20=0,BW20&gt;=9999),9999,INT(BW20+IQ20))</f>
        <v>9999</v>
      </c>
      <c r="BK20" s="24">
        <f>IF(OR(N20=0,BX20&gt;=9999),9999,INT(BX20+IR20))</f>
        <v>9999</v>
      </c>
      <c r="BL20" s="24">
        <f>IF(OR(N20=0,BY20&gt;=9999),9999,INT(BY20+IS20))</f>
        <v>9999</v>
      </c>
      <c r="BM20" s="24">
        <f>IF(OR(N20=0,BZ20&gt;=9999),9999,INT(BZ20+IT20))</f>
        <v>9999</v>
      </c>
      <c r="BN20" s="24">
        <f>G20</f>
        <v>0</v>
      </c>
      <c r="BO20" s="24">
        <f>IF(AG20=1,AH20,0)</f>
        <v>0</v>
      </c>
      <c r="BP20" s="24">
        <f>MAX(12,ROUND(12*Q20,0))</f>
        <v>60</v>
      </c>
      <c r="BQ20" s="24">
        <f>MAX(12,ROUND(12*Q20,0))</f>
        <v>60</v>
      </c>
      <c r="BR20" s="24">
        <f>MAX(12,ROUND(12*Q20,0))</f>
        <v>60</v>
      </c>
      <c r="BS20" s="24">
        <f>MAX(12,ROUND(12*Q20,0))</f>
        <v>60</v>
      </c>
      <c r="BT20" s="24">
        <f>MAX(12,ROUND(12*Q20,0))</f>
        <v>60</v>
      </c>
      <c r="BU20" s="24">
        <f>BG20+BN20</f>
        <v>9999</v>
      </c>
      <c r="BV20" s="24">
        <f>BH20+BO20</f>
        <v>9999</v>
      </c>
      <c r="BW20" s="24">
        <f>IF(BI20&gt;=9999,9999,BI20+BP20)</f>
        <v>9999</v>
      </c>
      <c r="BX20" s="24">
        <f>IF(BJ20&gt;=9999,9999,BJ20+BQ20)</f>
        <v>9999</v>
      </c>
      <c r="BY20" s="24">
        <f>IF(BK20&gt;=9999,9999,BK20+BR20)</f>
        <v>9999</v>
      </c>
      <c r="BZ20" s="24">
        <f>IF(BL20&gt;=9999,9999,BL20+BS20)</f>
        <v>9999</v>
      </c>
      <c r="CA20" s="24">
        <f>IF(BM20&gt;=9999,9999,BM20+BT20)</f>
        <v>9999</v>
      </c>
      <c r="CB20" s="24">
        <f>E20</f>
        <v>0</v>
      </c>
      <c r="CC20" s="24">
        <f>AI20</f>
        <v>0</v>
      </c>
      <c r="CD20" s="24">
        <f>IF(BI20&gt;=9999,0,O20*(1+X20)^((BI20-F20)/12)*(AA20*II20+1-II20))</f>
        <v>0</v>
      </c>
      <c r="CE20" s="24">
        <f>IF(BJ20&gt;=9999,0,O20*(1+X20)^((BJ20-F20)/12)*(AA20*IJ20+1-IJ20))</f>
        <v>0</v>
      </c>
      <c r="CF20" s="24">
        <f>IF(BK20&gt;=9999,0,O20*(1+X20)^((BK20-F20)/12)*(AA20*IK20+1-IK20))</f>
        <v>0</v>
      </c>
      <c r="CG20" s="24">
        <f>IF(BL20&gt;=9999,0,O20*(1+X20)^((BL20-F20)/12)*(AA20*IL20+1-IL20))</f>
        <v>0</v>
      </c>
      <c r="CH20" s="24">
        <f>IF(BM20&gt;=9999,0,O20*(1+X20)^((BM20-F20)/12)*(AA20*IM20+1-IM20))</f>
        <v>0</v>
      </c>
      <c r="CI20" s="24">
        <f>AO20</f>
        <v>0</v>
      </c>
      <c r="CJ20" s="24">
        <f>I20</f>
        <v>0</v>
      </c>
      <c r="CK20" s="24">
        <f>V20</f>
        <v>0</v>
      </c>
      <c r="CL20" s="24">
        <f>V20</f>
        <v>0</v>
      </c>
      <c r="CM20" s="24">
        <f>V20</f>
        <v>0</v>
      </c>
      <c r="CN20" s="24">
        <f>V20</f>
        <v>0</v>
      </c>
      <c r="CO20" s="24">
        <f>V20</f>
        <v>0</v>
      </c>
      <c r="CP20" s="24">
        <f>AP20</f>
        <v>1</v>
      </c>
      <c r="CQ20" s="24">
        <f>J20</f>
        <v>1</v>
      </c>
      <c r="CR20" s="24">
        <f>W20</f>
        <v>1</v>
      </c>
      <c r="CS20" s="24">
        <f>W20</f>
        <v>1</v>
      </c>
      <c r="CT20" s="24">
        <f>W20</f>
        <v>1</v>
      </c>
      <c r="CU20" s="24">
        <f>W20</f>
        <v>1</v>
      </c>
      <c r="CV20" s="24">
        <f>W20</f>
        <v>1</v>
      </c>
      <c r="CW20" s="24">
        <f>H20</f>
        <v>0</v>
      </c>
      <c r="CX20" s="24">
        <v>0</v>
      </c>
      <c r="CY20" s="24">
        <f>Y20*(1-II20)+Z20*II20</f>
        <v>0</v>
      </c>
      <c r="CZ20" s="24">
        <f>Y20*(1-IJ20)+Z20*IJ20</f>
        <v>0</v>
      </c>
      <c r="DA20" s="24">
        <f>Y20*(1-IK20)+Z20*IK20</f>
        <v>0</v>
      </c>
      <c r="DB20" s="24">
        <f>Y20*(1-IL20)+Z20*IL20</f>
        <v>0</v>
      </c>
      <c r="DC20" s="24">
        <f>Y20*(1-IM20)+Z20*IM20</f>
        <v>0</v>
      </c>
      <c r="DD20" s="24">
        <v>0</v>
      </c>
      <c r="DE20" s="24">
        <v>0</v>
      </c>
      <c r="DF20" s="24">
        <f>IF(BI20&gt;=9999,0,IF(AG20=1,0,BV20+IP20-BI20))</f>
        <v>0</v>
      </c>
      <c r="DG20" s="24">
        <f>IF(BJ20&gt;=9999,0,BW20+IQ20-BJ20)</f>
        <v>0</v>
      </c>
      <c r="DH20" s="24">
        <f>IF(BK20&gt;=9999,0,BX20+IR20-BK20)</f>
        <v>0</v>
      </c>
      <c r="DI20" s="24">
        <f>IF(BL20&gt;=9999,0,BY20+IS20-BL20)</f>
        <v>0</v>
      </c>
      <c r="DJ20" s="24">
        <f>IF(BM20&gt;=9999,0,BZ20+IT20-BM20)</f>
        <v>0</v>
      </c>
      <c r="DK20" s="24">
        <f>INT(CW20+DD20)</f>
        <v>0</v>
      </c>
      <c r="DL20" s="24">
        <v>0</v>
      </c>
      <c r="DM20" s="24">
        <f>INT(CY20+DF20)</f>
        <v>0</v>
      </c>
      <c r="DN20" s="24">
        <f>INT(CZ20+DG20)</f>
        <v>0</v>
      </c>
      <c r="DO20" s="24">
        <f>INT(DA20+DH20)</f>
        <v>0</v>
      </c>
      <c r="DP20" s="24">
        <f>INT(DB20+DI20)</f>
        <v>0</v>
      </c>
      <c r="DQ20" s="24">
        <f>INT(DC20+DJ20)</f>
        <v>0</v>
      </c>
      <c r="DR20" s="24">
        <f>CW20+DD20-DK20</f>
        <v>0</v>
      </c>
      <c r="DS20" s="24">
        <v>0</v>
      </c>
      <c r="DT20" s="24">
        <f>CY20+DF20-DM20</f>
        <v>0</v>
      </c>
      <c r="DU20" s="24">
        <f>CZ20+DG20-DN20</f>
        <v>0</v>
      </c>
      <c r="DV20" s="24">
        <f>DA20+DH20-DO20</f>
        <v>0</v>
      </c>
      <c r="DW20" s="24">
        <f>DB20+DI20-DP20</f>
        <v>0</v>
      </c>
      <c r="DX20" s="24">
        <f>DC20+DJ20-DQ20</f>
        <v>0</v>
      </c>
      <c r="DY20" s="24">
        <v>1</v>
      </c>
      <c r="DZ20" s="24">
        <v>1</v>
      </c>
      <c r="EA20" s="24">
        <v>0</v>
      </c>
      <c r="EB20" s="24">
        <v>0</v>
      </c>
      <c r="EC20" s="24">
        <v>0</v>
      </c>
      <c r="ED20" s="24">
        <v>0</v>
      </c>
      <c r="EE20" s="24">
        <v>0</v>
      </c>
      <c r="EF20" s="24">
        <v>0</v>
      </c>
      <c r="EG20" s="24">
        <f>IF(AG20=1,1,2)</f>
        <v>2</v>
      </c>
      <c r="EH20" s="24">
        <v>0</v>
      </c>
      <c r="EI20" s="24">
        <v>0</v>
      </c>
      <c r="EJ20" s="24">
        <v>0</v>
      </c>
      <c r="EK20" s="24">
        <v>0</v>
      </c>
      <c r="EL20" s="24">
        <v>0</v>
      </c>
      <c r="EM20" s="24">
        <v>1</v>
      </c>
      <c r="EN20" s="24">
        <f>IF(AG20=1,AF20,1)</f>
        <v>1</v>
      </c>
      <c r="EO20" s="24">
        <v>1</v>
      </c>
      <c r="EP20" s="24">
        <v>1</v>
      </c>
      <c r="EQ20" s="24">
        <v>1</v>
      </c>
      <c r="ER20" s="24">
        <v>1</v>
      </c>
      <c r="ES20" s="24">
        <v>1</v>
      </c>
      <c r="ET20" s="24">
        <v>0</v>
      </c>
      <c r="EU20" s="24">
        <f>BB20</f>
        <v>0</v>
      </c>
      <c r="EV20" s="24">
        <v>0</v>
      </c>
      <c r="EW20" s="24">
        <v>0</v>
      </c>
      <c r="EX20" s="24">
        <v>0</v>
      </c>
      <c r="EY20" s="24">
        <v>0</v>
      </c>
      <c r="EZ20" s="24">
        <v>0</v>
      </c>
      <c r="FA20" s="24">
        <v>0</v>
      </c>
      <c r="FB20" s="24">
        <f>ROUND(P20,0)</f>
        <v>0</v>
      </c>
      <c r="FC20" s="24">
        <v>0</v>
      </c>
      <c r="FD20" s="24">
        <v>0</v>
      </c>
      <c r="FE20" s="24">
        <v>0</v>
      </c>
      <c r="FF20" s="24">
        <v>0</v>
      </c>
      <c r="FG20" s="24">
        <v>0</v>
      </c>
      <c r="FH20" s="24">
        <f>AK20</f>
        <v>0</v>
      </c>
      <c r="FI20" s="24">
        <f>IF(AG20=1,AK20*AF20,FH20)</f>
        <v>0</v>
      </c>
      <c r="FJ20" s="24">
        <f>FI20*II20</f>
        <v>0</v>
      </c>
      <c r="FK20" s="24">
        <f>FJ20*IJ20</f>
        <v>0</v>
      </c>
      <c r="FL20" s="24">
        <f>FK20*IK20</f>
        <v>0</v>
      </c>
      <c r="FM20" s="24">
        <f>FL20*IL20</f>
        <v>0</v>
      </c>
      <c r="FN20" s="24">
        <f>FM20*IM20</f>
        <v>0</v>
      </c>
      <c r="FO20" s="24">
        <v>1</v>
      </c>
      <c r="FP20" s="24">
        <f>FV20</f>
        <v>1</v>
      </c>
      <c r="FQ20" s="24">
        <f>FW20*II20</f>
        <v>0.8</v>
      </c>
      <c r="FR20" s="24">
        <f>FX20*IJ20</f>
        <v>0.6400000000000001</v>
      </c>
      <c r="FS20" s="24">
        <f>FY20*IK20</f>
        <v>0.5120000000000001</v>
      </c>
      <c r="FT20" s="24">
        <f>FZ20*IL20</f>
        <v>0.40960000000000013</v>
      </c>
      <c r="FU20" s="24">
        <f>GA20*IM20</f>
        <v>0.32768000000000014</v>
      </c>
      <c r="FV20" s="24">
        <v>1</v>
      </c>
      <c r="FW20" s="24">
        <f>IF(AG20=1,FP20*AF20,FV20)</f>
        <v>1</v>
      </c>
      <c r="FX20" s="24">
        <f>FQ20</f>
        <v>0.8</v>
      </c>
      <c r="FY20" s="24">
        <f>FR20</f>
        <v>0.6400000000000001</v>
      </c>
      <c r="FZ20" s="24">
        <f>FS20</f>
        <v>0.5120000000000001</v>
      </c>
      <c r="GA20" s="24">
        <f>FT20</f>
        <v>0.40960000000000013</v>
      </c>
      <c r="GB20" s="24">
        <f>FU20</f>
        <v>0.32768000000000014</v>
      </c>
      <c r="GC20" s="24">
        <v>0</v>
      </c>
      <c r="GD20" s="24">
        <f>GC20</f>
        <v>0</v>
      </c>
      <c r="GE20" s="24">
        <f>IF(BI20&gt;=9999,0,INT(BI20/12))</f>
        <v>0</v>
      </c>
      <c r="GF20" s="24">
        <f>IF(BJ20&gt;=9999,0,INT(BJ20/12))</f>
        <v>0</v>
      </c>
      <c r="GG20" s="24">
        <f>IF(BK20&gt;=9999,0,INT(BK20/12))</f>
        <v>0</v>
      </c>
      <c r="GH20" s="24">
        <f>IF(BL20&gt;=9999,0,INT(BL20/12))</f>
        <v>0</v>
      </c>
      <c r="GI20" s="24">
        <f>IF(BM20&gt;=9999,0,INT(BM20/12))</f>
        <v>0</v>
      </c>
      <c r="GJ20" s="24">
        <f>BG20</f>
        <v>9999</v>
      </c>
      <c r="GK20" s="24">
        <f>IF(AG20=1,BH20,GJ20)</f>
        <v>9999</v>
      </c>
      <c r="GL20" s="24">
        <f>BI20</f>
        <v>9999</v>
      </c>
      <c r="GM20" s="24">
        <f>BJ20</f>
        <v>9999</v>
      </c>
      <c r="GN20" s="24">
        <f>BK20</f>
        <v>9999</v>
      </c>
      <c r="GO20" s="24">
        <f>BL20</f>
        <v>9999</v>
      </c>
      <c r="GP20" s="24">
        <f>BM20</f>
        <v>9999</v>
      </c>
      <c r="GQ20" s="24">
        <f>CI20</f>
        <v>0</v>
      </c>
      <c r="GR20" s="24">
        <f>IF(AG20=1,I20,GQ20)</f>
        <v>0</v>
      </c>
      <c r="GS20" s="24">
        <f>V20</f>
        <v>0</v>
      </c>
      <c r="GT20" s="24">
        <f>V20</f>
        <v>0</v>
      </c>
      <c r="GU20" s="24">
        <f>V20</f>
        <v>0</v>
      </c>
      <c r="GV20" s="24">
        <f>V20</f>
        <v>0</v>
      </c>
      <c r="GW20" s="24">
        <f>V20</f>
        <v>0</v>
      </c>
      <c r="GX20" s="24">
        <f>CP20</f>
        <v>1</v>
      </c>
      <c r="GY20" s="24">
        <f>IF(AG20=1,J20,GX20)</f>
        <v>1</v>
      </c>
      <c r="GZ20" s="24">
        <f>W20</f>
        <v>1</v>
      </c>
      <c r="HA20" s="24">
        <f>W20</f>
        <v>1</v>
      </c>
      <c r="HB20" s="24">
        <f>W20</f>
        <v>1</v>
      </c>
      <c r="HC20" s="24">
        <f>W20</f>
        <v>1</v>
      </c>
      <c r="HD20" s="24">
        <f>W20</f>
        <v>1</v>
      </c>
      <c r="HE20" s="24">
        <f>IF(BU20&gt;=9999,1,(1+X20)^(BU20/12))</f>
        <v>1</v>
      </c>
      <c r="HF20" s="24">
        <f>IF(AG20=1,IF(BV20&gt;=9999,1,(1+X20)^(BV20/12)),HE20)</f>
        <v>1</v>
      </c>
      <c r="HG20" s="24">
        <f>IF(BW20&gt;=9999,1,(1+X20)^(BW20/12))</f>
        <v>1</v>
      </c>
      <c r="HH20" s="24">
        <f>IF(BX20&gt;=9999,1,(1+X20)^(BX20/12))</f>
        <v>1</v>
      </c>
      <c r="HI20" s="24">
        <f>IF(BY20&gt;=9999,1,(1+X20)^(BY20/12))</f>
        <v>1</v>
      </c>
      <c r="HJ20" s="24">
        <f>IF(BZ20&gt;=9999,1,(1+X20)^(BZ20/12))</f>
        <v>1</v>
      </c>
      <c r="HK20" s="24">
        <f>IF(CA20&gt;=9999,1,(1+X20)^(CA20/12))</f>
        <v>1</v>
      </c>
      <c r="HL20" s="24">
        <f>IF(AND(F20&gt;0,C20&gt;0),F20,-1)</f>
        <v>-1</v>
      </c>
      <c r="HM20" s="24">
        <f>IF(AG20=1,BU20+FB20,-1)</f>
        <v>-1</v>
      </c>
      <c r="HN20" s="24">
        <f>IF(BI20&gt;=9999,-1,BV20+ROUND(IP20,0))</f>
        <v>-1</v>
      </c>
      <c r="HO20" s="24">
        <f>IF(BJ20&gt;=9999,-1,IF(HN20&lt;0,BW20,HN20+BP20)+ROUND(IQ20,0))</f>
        <v>-1</v>
      </c>
      <c r="HP20" s="24">
        <f>IF(BK20&gt;=9999,-1,IF(HO20&lt;0,BX20,HO20+BQ20)+ROUND(IR20,0))</f>
        <v>-1</v>
      </c>
      <c r="HQ20" s="24">
        <f>IF(BL20&gt;=9999,-1,IF(HP20&lt;0,BY20,HP20+BR20)+ROUND(IS20,0))</f>
        <v>-1</v>
      </c>
      <c r="HR20" s="24">
        <f>IF(BM20&gt;=9999,-1,IF(HQ20&lt;0,BZ20,HQ20+BS20)+ROUND(IT20,0))</f>
        <v>-1</v>
      </c>
      <c r="HS20" s="24">
        <f>IF(HL20&lt;0,0,C20*K20)</f>
        <v>0</v>
      </c>
      <c r="HT20" s="24">
        <f>IF(AG20=1,C20*R20*(1+in_ExpenseGrowth)^(HM20/12)*(1-AF20),0)</f>
        <v>0</v>
      </c>
      <c r="HU20" s="24">
        <f>IF(HN20&lt;0,0,C20*(S20*II20+R20*(1-II20))*(1+in_ExpenseGrowth)^(HN20/12))</f>
        <v>0</v>
      </c>
      <c r="HV20" s="24">
        <f>IF(HO20&lt;0,0,C20*(S20*IJ20+R20*(1-IJ20))*(1+in_ExpenseGrowth)^(HO20/12))</f>
        <v>0</v>
      </c>
      <c r="HW20" s="24">
        <f>IF(HP20&lt;0,0,C20*(S20*IK20+R20*(1-IK20))*(1+in_ExpenseGrowth)^(HP20/12))</f>
        <v>0</v>
      </c>
      <c r="HX20" s="24">
        <f>IF(HQ20&lt;0,0,C20*(S20*IL20+R20*(1-IL20))*(1+in_ExpenseGrowth)^(HQ20/12))</f>
        <v>0</v>
      </c>
      <c r="HY20" s="24">
        <f>IF(HR20&lt;0,0,C20*(S20*IM20+R20*(1-IM20))*(1+in_ExpenseGrowth)^(HR20/12))</f>
        <v>0</v>
      </c>
      <c r="HZ20" s="24">
        <f>IF(HL20&lt;0,0,L20*C20*E20*AQ20)</f>
        <v>0</v>
      </c>
      <c r="IA20" s="24">
        <f>IF(AG20=1,T20*C20*O20*(1+X20)^(MAX(0,HM20-F20)/12)*AB20*(1-AF20),0)</f>
        <v>0</v>
      </c>
      <c r="IB20" s="24">
        <f>IF(HN20&lt;0,0,(U20*II20+T20*(1-II20))*C20*O20*(1+X20)^(MAX(0,HN20-F20)/12)*(AA20*II20+1-II20)*AB20)</f>
        <v>0</v>
      </c>
      <c r="IC20" s="24">
        <f>IF(HO20&lt;0,0,(U20*IJ20+T20*(1-IJ20))*C20*O20*(1+X20)^(MAX(0,HO20-F20)/12)*(AA20*IJ20+1-IJ20)*AB20)</f>
        <v>0</v>
      </c>
      <c r="ID20" s="24">
        <f>IF(HP20&lt;0,0,(U20*IK20+T20*(1-IK20))*C20*O20*(1+X20)^(MAX(0,HP20-F20)/12)*(AA20*IK20+1-IK20)*AB20)</f>
        <v>0</v>
      </c>
      <c r="IE20" s="24">
        <f>IF(HQ20&lt;0,0,(U20*IL20+T20*(1-IL20))*C20*O20*(1+X20)^(MAX(0,HQ20-F20)/12)*(AA20*IL20+1-IL20)*AB20)</f>
        <v>0</v>
      </c>
      <c r="IF20" s="24">
        <f>IF(HR20&lt;0,0,(U20*IM20+T20*(1-IM20))*C20*O20*(1+X20)^(MAX(0,HR20-F20)/12)*(AA20*IM20+1-IM20)*AB20)</f>
        <v>0</v>
      </c>
      <c r="IG20" s="24">
        <v>1</v>
      </c>
      <c r="IH20" s="24">
        <f>IF(AG20=1,AF20,1)</f>
        <v>1</v>
      </c>
      <c r="II20" s="24">
        <f>IF(AG20=1,AC20,AE20)</f>
        <v>0.8</v>
      </c>
      <c r="IJ20" s="24">
        <f>AC20</f>
        <v>0.8</v>
      </c>
      <c r="IK20" s="24">
        <f>AC20</f>
        <v>0.8</v>
      </c>
      <c r="IL20" s="24">
        <f>AC20</f>
        <v>0.8</v>
      </c>
      <c r="IM20" s="24">
        <f>AC20</f>
        <v>0.8</v>
      </c>
      <c r="IN20" s="24">
        <v>0</v>
      </c>
      <c r="IO20" s="24">
        <f>P20</f>
        <v>0</v>
      </c>
      <c r="IP20" s="24">
        <f>P20*(1-II20)</f>
        <v>0</v>
      </c>
      <c r="IQ20" s="24">
        <f>P20*(1-IJ20)</f>
        <v>0</v>
      </c>
      <c r="IR20" s="24">
        <f>P20*(1-IK20)</f>
        <v>0</v>
      </c>
      <c r="IS20" s="24">
        <f>P20*(1-IL20)</f>
        <v>0</v>
      </c>
      <c r="IT20" s="24">
        <f>P20*(1-IM20)</f>
        <v>0</v>
      </c>
    </row>
    <row r="21">
      <c r="A21" s="25">
        <v>14</v>
      </c>
      <c r="B21" s="23" t="str">
        <f>IF('Rent Roll'!C21="","",'Rent Roll'!C21)</f>
        <v/>
      </c>
      <c r="C21" s="24">
        <f>IF(ISNUMBER('Rent Roll'!E21),MAX(0,'Rent Roll'!E21),0)</f>
        <v>0</v>
      </c>
      <c r="D21" s="88">
        <f>IF(a_GLA&gt;0,C21/a_GLA,0)</f>
        <v>0</v>
      </c>
      <c r="E21" s="29">
        <f>IF(BC21=1,ROUND(BD21*(1+X21)^(F21/12),2),BD21)</f>
        <v>0</v>
      </c>
      <c r="F21" s="24">
        <f>IF(C21&gt;0,MAX(0,(YEAR(IF(ISNUMBER('Rent Roll'!G21),'Rent Roll'!G21,0))-YEAR(in_AnalysisStart))*12+MONTH(IF(ISNUMBER('Rent Roll'!G21),'Rent Roll'!G21,0))-MONTH(in_AnalysisStart)),0)</f>
        <v>0</v>
      </c>
      <c r="G21" s="24">
        <f>IF(C21&gt;0,MAX(0,(YEAR(IF(ISNUMBER('Rent Roll'!H21),'Rent Roll'!H21,0))-YEAR(in_AnalysisStart))*12+MONTH(IF(ISNUMBER('Rent Roll'!H21),'Rent Roll'!H21,0))-MONTH(in_AnalysisStart)+1-F21),0)</f>
        <v>0</v>
      </c>
      <c r="H21" s="24">
        <f>IF(ISNUMBER('Rent Roll'!N21),'Rent Roll'!N21,0)</f>
        <v>0</v>
      </c>
      <c r="I21" s="88">
        <f>IF(ISNUMBER('Rent Roll'!L21),'Rent Roll'!L21,0)</f>
        <v>0</v>
      </c>
      <c r="J21" s="24">
        <f>MAX(1,ROUND(IF(ISNUMBER('Rent Roll'!M21),'Rent Roll'!M21,0),0))</f>
        <v>1</v>
      </c>
      <c r="K21" s="29">
        <f>IF(ISNUMBER('Rent Roll'!AJ21),'Rent Roll'!AJ21,0)</f>
        <v>0</v>
      </c>
      <c r="L21" s="88">
        <f>IF(IF(ISNUMBER('Rent Roll'!AK21),'Rent Roll'!AK21,0)&gt;0,'Rent Roll'!AK21,a_LeaseUpLC)</f>
        <v>0.06</v>
      </c>
      <c r="M21" s="24">
        <f>IF('Rent Roll'!R21="",0,IFERROR(MATCH('Rent Roll'!R21,a_PName,0),0))</f>
        <v>0</v>
      </c>
      <c r="N21" s="24">
        <f>IF(M21&gt;0,1,0)</f>
        <v>0</v>
      </c>
      <c r="O21" s="29">
        <f>IF(IF(ISNUMBER('Rent Roll'!S21),'Rent Roll'!S21,0)&gt;0,'Rent Roll'!S21,IF(M21&gt;0,IF(ISNUMBER(INDEX(a_PRent,M21)),INDEX(a_PRent,M21),0),0))</f>
        <v>0</v>
      </c>
      <c r="P21" s="24">
        <f>IF(M21&gt;0,IF(ISNUMBER(INDEX(a_PDown,M21)),INDEX(a_PDown,M21),0),0)</f>
        <v>0</v>
      </c>
      <c r="Q21" s="24">
        <f>IF(M21&gt;0,MAX(1,IF(ISNUMBER(INDEX(a_PTerm,M21)),INDEX(a_PTerm,M21),0)),5)</f>
        <v>5</v>
      </c>
      <c r="R21" s="29">
        <f>IF(M21&gt;0,IF(ISNUMBER(INDEX(a_PTiNew,M21)),INDEX(a_PTiNew,M21),0),0)</f>
        <v>0</v>
      </c>
      <c r="S21" s="29">
        <f>IF(M21&gt;0,IF(ISNUMBER(INDEX(a_PTiRen,M21)),INDEX(a_PTiRen,M21),0),0)</f>
        <v>0</v>
      </c>
      <c r="T21" s="88">
        <f>IF(M21&gt;0,IF(ISNUMBER(INDEX(a_PLcNew,M21)),INDEX(a_PLcNew,M21),0),0)</f>
        <v>0</v>
      </c>
      <c r="U21" s="88">
        <f>IF(M21&gt;0,IF(ISNUMBER(INDEX(a_PLcRen,M21)),INDEX(a_PLcRen,M21),0),0)</f>
        <v>0</v>
      </c>
      <c r="V21" s="88">
        <f>IF(M21&gt;0,IF(ISNUMBER(INDEX(a_PBump,M21)),INDEX(a_PBump,M21),0),0)</f>
        <v>0</v>
      </c>
      <c r="W21" s="24">
        <f>MAX(1,ROUND(IF(M21&gt;0,IF(ISNUMBER(INDEX(a_PEvery,M21)),INDEX(a_PEvery,M21),0),1),0))</f>
        <v>1</v>
      </c>
      <c r="X21" s="88">
        <f>IF(M21&gt;0,IF(ISNUMBER(INDEX(a_PGrow,M21)),INDEX(a_PGrow,M21),in_RentGrowth),in_RentGrowth)</f>
        <v>0.03</v>
      </c>
      <c r="Y21" s="24">
        <f>IF(M21&gt;0,IF(ISNUMBER(INDEX(a_PFreeNew,M21)),INDEX(a_PFreeNew,M21),0),0)</f>
        <v>0</v>
      </c>
      <c r="Z21" s="24">
        <f>IF(M21&gt;0,IF(ISNUMBER(INDEX(a_PFreeRen,M21)),INDEX(a_PFreeRen,M21),0),0)</f>
        <v>0</v>
      </c>
      <c r="AA21" s="88">
        <f>IF(M21&gt;0,IF(ISNUMBER(INDEX(a_PRenPct,M21)),INDEX(a_PRenPct,M21),1),1)</f>
        <v>1</v>
      </c>
      <c r="AB21" s="24">
        <f>IF(M21&gt;0,IF(ISNUMBER(INDEX(a_PAF,M21)),INDEX(a_PAF,M21),0),0)</f>
        <v>0</v>
      </c>
      <c r="AC21" s="88">
        <f>IF(ISNUMBER('Rent Roll'!V21),'Rent Roll'!V21,IF(M21&gt;0,IF(ISNUMBER(INDEX(a_PRenew,M21)),INDEX(a_PRenew,M21),0),0.8))</f>
        <v>0.8</v>
      </c>
      <c r="AD21" s="23" t="str">
        <f>IF('Rent Roll'!W21="","Probability",'Rent Roll'!W21)</f>
        <v>Probability</v>
      </c>
      <c r="AE21" s="88">
        <f>IF(AD21="Renew",1,IF(AD21="Vacate",0,AC21))</f>
        <v>0.8</v>
      </c>
      <c r="AF21" s="88">
        <f>IF(AD21="Renew",1,IF(ISNUMBER('Rent Roll'!AA21),'Rent Roll'!AA21,AC21))</f>
        <v>0.8</v>
      </c>
      <c r="AG21" s="24">
        <f>IF(AND(N21=1,IF(ISNUMBER('Rent Roll'!Y21),'Rent Roll'!Y21,0)&gt;0,IF(ISNUMBER('Rent Roll'!Z21),'Rent Roll'!Z21,0)&gt;0,AF21&gt;0,AD21&lt;&gt;"Vacate",C21&gt;0),1,0)</f>
        <v>0</v>
      </c>
      <c r="AH21" s="24">
        <f>ROUND(12*IF(ISNUMBER('Rent Roll'!Y21),'Rent Roll'!Y21,0),0)</f>
        <v>0</v>
      </c>
      <c r="AI21" s="29">
        <f>IF(ISNUMBER('Rent Roll'!Z21),'Rent Roll'!Z21,0)</f>
        <v>0</v>
      </c>
      <c r="AJ21" s="24">
        <f>IF('Rent Roll'!P21="Base year",1,0)</f>
        <v>0</v>
      </c>
      <c r="AK21" s="88">
        <f>IF(ISNUMBER('Rent Roll'!Q21),'Rent Roll'!Q21,0)</f>
        <v>0</v>
      </c>
      <c r="AL21" s="24">
        <f>IF(AND('Rent Roll'!AH21="Yes",a_AnchorInVac&lt;&gt;"Yes"),1,0)</f>
        <v>0</v>
      </c>
      <c r="AM21" s="29">
        <f>IF(ISNUMBER('Rent Roll'!AL21),'Rent Roll'!AL21,0)</f>
        <v>0</v>
      </c>
      <c r="AN21" s="88">
        <f>IF(ISNUMBER('Rent Roll'!AM21),'Rent Roll'!AM21,0)</f>
        <v>0</v>
      </c>
      <c r="AO21" s="88">
        <f>IF(AND(BC21=1,N21=1),V21,I21)</f>
        <v>0</v>
      </c>
      <c r="AP21" s="24">
        <f>IF(AND(BC21=1,N21=1),W21,J21)</f>
        <v>1</v>
      </c>
      <c r="AQ21" s="24">
        <f>IF(AO21=0,G21/12,AP21*((1+AO21)^INT(INT(G21/12)/AP21)-1)/AO21+(INT(G21/12)-INT(INT(G21/12)/AP21)*AP21)*(1+AO21)^INT(INT(G21/12)/AP21)+(G21/12-INT(G21/12))*(1+AO21)^INT(INT(G21/12)/AP21))</f>
        <v>0</v>
      </c>
      <c r="AR21" s="24">
        <f>IF(AND(C21&gt;0,BU21&lt;9999,BU21&gt;0),INT((BU21-1)/12)+1,0)</f>
        <v>0</v>
      </c>
      <c r="AS21" s="24">
        <f>COUNTIF('Lease Cycles'!$BG$21:$BM$21,"&lt;132")</f>
        <v>0</v>
      </c>
      <c r="AT21" s="24">
        <f>IF(AND(ISNUMBER('Rent Roll'!AR21),IF(ISNUMBER('Rent Roll'!AS21),'Rent Roll'!AS21,0)&gt;0),(YEAR('Rent Roll'!AR21)-YEAR(in_AnalysisStart))*12+MONTH('Rent Roll'!AR21)-MONTH(in_AnalysisStart),9999)</f>
        <v>9999</v>
      </c>
      <c r="AU21" s="29">
        <f>IF(ISNUMBER('Rent Roll'!AS21),'Rent Roll'!AS21,0)</f>
        <v>0</v>
      </c>
      <c r="AV21" s="24">
        <f>IF(AND(ISNUMBER('Rent Roll'!AT21),IF(ISNUMBER('Rent Roll'!AU21),'Rent Roll'!AU21,0)&gt;0),(YEAR('Rent Roll'!AT21)-YEAR(in_AnalysisStart))*12+MONTH('Rent Roll'!AT21)-MONTH(in_AnalysisStart),9999)</f>
        <v>9999</v>
      </c>
      <c r="AW21" s="29">
        <f>IF(ISNUMBER('Rent Roll'!AU21),'Rent Roll'!AU21,0)</f>
        <v>0</v>
      </c>
      <c r="AX21" s="24">
        <f>IF(AND(ISNUMBER('Rent Roll'!AV21),IF(ISNUMBER('Rent Roll'!AW21),'Rent Roll'!AW21,0)&gt;0),(YEAR('Rent Roll'!AV21)-YEAR(in_AnalysisStart))*12+MONTH('Rent Roll'!AV21)-MONTH(in_AnalysisStart),9999)</f>
        <v>9999</v>
      </c>
      <c r="AY21" s="29">
        <f>IF(ISNUMBER('Rent Roll'!AW21),'Rent Roll'!AW21,0)</f>
        <v>0</v>
      </c>
      <c r="AZ21" s="24">
        <f>IF(AND(ISNUMBER('Rent Roll'!AX21),IF(ISNUMBER('Rent Roll'!AY21),'Rent Roll'!AY21,0)&gt;0),(YEAR('Rent Roll'!AX21)-YEAR(in_AnalysisStart))*12+MONTH('Rent Roll'!AX21)-MONTH(in_AnalysisStart),9999)</f>
        <v>9999</v>
      </c>
      <c r="BA21" s="29">
        <f>IF(ISNUMBER('Rent Roll'!AY21),'Rent Roll'!AY21,0)</f>
        <v>0</v>
      </c>
      <c r="BB21" s="29">
        <f>IF(BU21&gt;=9999,O21,O21*(1+X21)^((BU21-F21)/12))</f>
        <v>0</v>
      </c>
      <c r="BC21" s="24">
        <f>IF(AND('Rent Roll'!AZ21="Yes",F21&gt;0,BD21&gt;0,AT21&gt;=9999),1,0)</f>
        <v>0</v>
      </c>
      <c r="BD21" s="29">
        <f>IF(ISNUMBER('Rent Roll'!I21),'Rent Roll'!I21,0)</f>
        <v>0</v>
      </c>
      <c r="BE21" s="24">
        <f>IF(a_MarketRecovery="Base year",1,0)</f>
        <v>0</v>
      </c>
      <c r="BG21" s="24">
        <f>IF(C21&gt;0,F21,9999)</f>
        <v>9999</v>
      </c>
      <c r="BH21" s="24">
        <f>BU21</f>
        <v>9999</v>
      </c>
      <c r="BI21" s="24">
        <f>IF(OR(N21=0,BV21&gt;=9999),9999,IF(AG21=1,BV21,INT(BV21+IP21)))</f>
        <v>9999</v>
      </c>
      <c r="BJ21" s="24">
        <f>IF(OR(N21=0,BW21&gt;=9999),9999,INT(BW21+IQ21))</f>
        <v>9999</v>
      </c>
      <c r="BK21" s="24">
        <f>IF(OR(N21=0,BX21&gt;=9999),9999,INT(BX21+IR21))</f>
        <v>9999</v>
      </c>
      <c r="BL21" s="24">
        <f>IF(OR(N21=0,BY21&gt;=9999),9999,INT(BY21+IS21))</f>
        <v>9999</v>
      </c>
      <c r="BM21" s="24">
        <f>IF(OR(N21=0,BZ21&gt;=9999),9999,INT(BZ21+IT21))</f>
        <v>9999</v>
      </c>
      <c r="BN21" s="24">
        <f>G21</f>
        <v>0</v>
      </c>
      <c r="BO21" s="24">
        <f>IF(AG21=1,AH21,0)</f>
        <v>0</v>
      </c>
      <c r="BP21" s="24">
        <f>MAX(12,ROUND(12*Q21,0))</f>
        <v>60</v>
      </c>
      <c r="BQ21" s="24">
        <f>MAX(12,ROUND(12*Q21,0))</f>
        <v>60</v>
      </c>
      <c r="BR21" s="24">
        <f>MAX(12,ROUND(12*Q21,0))</f>
        <v>60</v>
      </c>
      <c r="BS21" s="24">
        <f>MAX(12,ROUND(12*Q21,0))</f>
        <v>60</v>
      </c>
      <c r="BT21" s="24">
        <f>MAX(12,ROUND(12*Q21,0))</f>
        <v>60</v>
      </c>
      <c r="BU21" s="24">
        <f>BG21+BN21</f>
        <v>9999</v>
      </c>
      <c r="BV21" s="24">
        <f>BH21+BO21</f>
        <v>9999</v>
      </c>
      <c r="BW21" s="24">
        <f>IF(BI21&gt;=9999,9999,BI21+BP21)</f>
        <v>9999</v>
      </c>
      <c r="BX21" s="24">
        <f>IF(BJ21&gt;=9999,9999,BJ21+BQ21)</f>
        <v>9999</v>
      </c>
      <c r="BY21" s="24">
        <f>IF(BK21&gt;=9999,9999,BK21+BR21)</f>
        <v>9999</v>
      </c>
      <c r="BZ21" s="24">
        <f>IF(BL21&gt;=9999,9999,BL21+BS21)</f>
        <v>9999</v>
      </c>
      <c r="CA21" s="24">
        <f>IF(BM21&gt;=9999,9999,BM21+BT21)</f>
        <v>9999</v>
      </c>
      <c r="CB21" s="24">
        <f>E21</f>
        <v>0</v>
      </c>
      <c r="CC21" s="24">
        <f>AI21</f>
        <v>0</v>
      </c>
      <c r="CD21" s="24">
        <f>IF(BI21&gt;=9999,0,O21*(1+X21)^((BI21-F21)/12)*(AA21*II21+1-II21))</f>
        <v>0</v>
      </c>
      <c r="CE21" s="24">
        <f>IF(BJ21&gt;=9999,0,O21*(1+X21)^((BJ21-F21)/12)*(AA21*IJ21+1-IJ21))</f>
        <v>0</v>
      </c>
      <c r="CF21" s="24">
        <f>IF(BK21&gt;=9999,0,O21*(1+X21)^((BK21-F21)/12)*(AA21*IK21+1-IK21))</f>
        <v>0</v>
      </c>
      <c r="CG21" s="24">
        <f>IF(BL21&gt;=9999,0,O21*(1+X21)^((BL21-F21)/12)*(AA21*IL21+1-IL21))</f>
        <v>0</v>
      </c>
      <c r="CH21" s="24">
        <f>IF(BM21&gt;=9999,0,O21*(1+X21)^((BM21-F21)/12)*(AA21*IM21+1-IM21))</f>
        <v>0</v>
      </c>
      <c r="CI21" s="24">
        <f>AO21</f>
        <v>0</v>
      </c>
      <c r="CJ21" s="24">
        <f>I21</f>
        <v>0</v>
      </c>
      <c r="CK21" s="24">
        <f>V21</f>
        <v>0</v>
      </c>
      <c r="CL21" s="24">
        <f>V21</f>
        <v>0</v>
      </c>
      <c r="CM21" s="24">
        <f>V21</f>
        <v>0</v>
      </c>
      <c r="CN21" s="24">
        <f>V21</f>
        <v>0</v>
      </c>
      <c r="CO21" s="24">
        <f>V21</f>
        <v>0</v>
      </c>
      <c r="CP21" s="24">
        <f>AP21</f>
        <v>1</v>
      </c>
      <c r="CQ21" s="24">
        <f>J21</f>
        <v>1</v>
      </c>
      <c r="CR21" s="24">
        <f>W21</f>
        <v>1</v>
      </c>
      <c r="CS21" s="24">
        <f>W21</f>
        <v>1</v>
      </c>
      <c r="CT21" s="24">
        <f>W21</f>
        <v>1</v>
      </c>
      <c r="CU21" s="24">
        <f>W21</f>
        <v>1</v>
      </c>
      <c r="CV21" s="24">
        <f>W21</f>
        <v>1</v>
      </c>
      <c r="CW21" s="24">
        <f>H21</f>
        <v>0</v>
      </c>
      <c r="CX21" s="24">
        <v>0</v>
      </c>
      <c r="CY21" s="24">
        <f>Y21*(1-II21)+Z21*II21</f>
        <v>0</v>
      </c>
      <c r="CZ21" s="24">
        <f>Y21*(1-IJ21)+Z21*IJ21</f>
        <v>0</v>
      </c>
      <c r="DA21" s="24">
        <f>Y21*(1-IK21)+Z21*IK21</f>
        <v>0</v>
      </c>
      <c r="DB21" s="24">
        <f>Y21*(1-IL21)+Z21*IL21</f>
        <v>0</v>
      </c>
      <c r="DC21" s="24">
        <f>Y21*(1-IM21)+Z21*IM21</f>
        <v>0</v>
      </c>
      <c r="DD21" s="24">
        <v>0</v>
      </c>
      <c r="DE21" s="24">
        <v>0</v>
      </c>
      <c r="DF21" s="24">
        <f>IF(BI21&gt;=9999,0,IF(AG21=1,0,BV21+IP21-BI21))</f>
        <v>0</v>
      </c>
      <c r="DG21" s="24">
        <f>IF(BJ21&gt;=9999,0,BW21+IQ21-BJ21)</f>
        <v>0</v>
      </c>
      <c r="DH21" s="24">
        <f>IF(BK21&gt;=9999,0,BX21+IR21-BK21)</f>
        <v>0</v>
      </c>
      <c r="DI21" s="24">
        <f>IF(BL21&gt;=9999,0,BY21+IS21-BL21)</f>
        <v>0</v>
      </c>
      <c r="DJ21" s="24">
        <f>IF(BM21&gt;=9999,0,BZ21+IT21-BM21)</f>
        <v>0</v>
      </c>
      <c r="DK21" s="24">
        <f>INT(CW21+DD21)</f>
        <v>0</v>
      </c>
      <c r="DL21" s="24">
        <v>0</v>
      </c>
      <c r="DM21" s="24">
        <f>INT(CY21+DF21)</f>
        <v>0</v>
      </c>
      <c r="DN21" s="24">
        <f>INT(CZ21+DG21)</f>
        <v>0</v>
      </c>
      <c r="DO21" s="24">
        <f>INT(DA21+DH21)</f>
        <v>0</v>
      </c>
      <c r="DP21" s="24">
        <f>INT(DB21+DI21)</f>
        <v>0</v>
      </c>
      <c r="DQ21" s="24">
        <f>INT(DC21+DJ21)</f>
        <v>0</v>
      </c>
      <c r="DR21" s="24">
        <f>CW21+DD21-DK21</f>
        <v>0</v>
      </c>
      <c r="DS21" s="24">
        <v>0</v>
      </c>
      <c r="DT21" s="24">
        <f>CY21+DF21-DM21</f>
        <v>0</v>
      </c>
      <c r="DU21" s="24">
        <f>CZ21+DG21-DN21</f>
        <v>0</v>
      </c>
      <c r="DV21" s="24">
        <f>DA21+DH21-DO21</f>
        <v>0</v>
      </c>
      <c r="DW21" s="24">
        <f>DB21+DI21-DP21</f>
        <v>0</v>
      </c>
      <c r="DX21" s="24">
        <f>DC21+DJ21-DQ21</f>
        <v>0</v>
      </c>
      <c r="DY21" s="24">
        <v>1</v>
      </c>
      <c r="DZ21" s="24">
        <v>1</v>
      </c>
      <c r="EA21" s="24">
        <v>0</v>
      </c>
      <c r="EB21" s="24">
        <v>0</v>
      </c>
      <c r="EC21" s="24">
        <v>0</v>
      </c>
      <c r="ED21" s="24">
        <v>0</v>
      </c>
      <c r="EE21" s="24">
        <v>0</v>
      </c>
      <c r="EF21" s="24">
        <v>0</v>
      </c>
      <c r="EG21" s="24">
        <f>IF(AG21=1,1,2)</f>
        <v>2</v>
      </c>
      <c r="EH21" s="24">
        <v>0</v>
      </c>
      <c r="EI21" s="24">
        <v>0</v>
      </c>
      <c r="EJ21" s="24">
        <v>0</v>
      </c>
      <c r="EK21" s="24">
        <v>0</v>
      </c>
      <c r="EL21" s="24">
        <v>0</v>
      </c>
      <c r="EM21" s="24">
        <v>1</v>
      </c>
      <c r="EN21" s="24">
        <f>IF(AG21=1,AF21,1)</f>
        <v>1</v>
      </c>
      <c r="EO21" s="24">
        <v>1</v>
      </c>
      <c r="EP21" s="24">
        <v>1</v>
      </c>
      <c r="EQ21" s="24">
        <v>1</v>
      </c>
      <c r="ER21" s="24">
        <v>1</v>
      </c>
      <c r="ES21" s="24">
        <v>1</v>
      </c>
      <c r="ET21" s="24">
        <v>0</v>
      </c>
      <c r="EU21" s="24">
        <f>BB21</f>
        <v>0</v>
      </c>
      <c r="EV21" s="24">
        <v>0</v>
      </c>
      <c r="EW21" s="24">
        <v>0</v>
      </c>
      <c r="EX21" s="24">
        <v>0</v>
      </c>
      <c r="EY21" s="24">
        <v>0</v>
      </c>
      <c r="EZ21" s="24">
        <v>0</v>
      </c>
      <c r="FA21" s="24">
        <v>0</v>
      </c>
      <c r="FB21" s="24">
        <f>ROUND(P21,0)</f>
        <v>0</v>
      </c>
      <c r="FC21" s="24">
        <v>0</v>
      </c>
      <c r="FD21" s="24">
        <v>0</v>
      </c>
      <c r="FE21" s="24">
        <v>0</v>
      </c>
      <c r="FF21" s="24">
        <v>0</v>
      </c>
      <c r="FG21" s="24">
        <v>0</v>
      </c>
      <c r="FH21" s="24">
        <f>AK21</f>
        <v>0</v>
      </c>
      <c r="FI21" s="24">
        <f>IF(AG21=1,AK21*AF21,FH21)</f>
        <v>0</v>
      </c>
      <c r="FJ21" s="24">
        <f>FI21*II21</f>
        <v>0</v>
      </c>
      <c r="FK21" s="24">
        <f>FJ21*IJ21</f>
        <v>0</v>
      </c>
      <c r="FL21" s="24">
        <f>FK21*IK21</f>
        <v>0</v>
      </c>
      <c r="FM21" s="24">
        <f>FL21*IL21</f>
        <v>0</v>
      </c>
      <c r="FN21" s="24">
        <f>FM21*IM21</f>
        <v>0</v>
      </c>
      <c r="FO21" s="24">
        <v>1</v>
      </c>
      <c r="FP21" s="24">
        <f>FV21</f>
        <v>1</v>
      </c>
      <c r="FQ21" s="24">
        <f>FW21*II21</f>
        <v>0.8</v>
      </c>
      <c r="FR21" s="24">
        <f>FX21*IJ21</f>
        <v>0.6400000000000001</v>
      </c>
      <c r="FS21" s="24">
        <f>FY21*IK21</f>
        <v>0.5120000000000001</v>
      </c>
      <c r="FT21" s="24">
        <f>FZ21*IL21</f>
        <v>0.40960000000000013</v>
      </c>
      <c r="FU21" s="24">
        <f>GA21*IM21</f>
        <v>0.32768000000000014</v>
      </c>
      <c r="FV21" s="24">
        <v>1</v>
      </c>
      <c r="FW21" s="24">
        <f>IF(AG21=1,FP21*AF21,FV21)</f>
        <v>1</v>
      </c>
      <c r="FX21" s="24">
        <f>FQ21</f>
        <v>0.8</v>
      </c>
      <c r="FY21" s="24">
        <f>FR21</f>
        <v>0.6400000000000001</v>
      </c>
      <c r="FZ21" s="24">
        <f>FS21</f>
        <v>0.5120000000000001</v>
      </c>
      <c r="GA21" s="24">
        <f>FT21</f>
        <v>0.40960000000000013</v>
      </c>
      <c r="GB21" s="24">
        <f>FU21</f>
        <v>0.32768000000000014</v>
      </c>
      <c r="GC21" s="24">
        <v>0</v>
      </c>
      <c r="GD21" s="24">
        <f>GC21</f>
        <v>0</v>
      </c>
      <c r="GE21" s="24">
        <f>IF(BI21&gt;=9999,0,INT(BI21/12))</f>
        <v>0</v>
      </c>
      <c r="GF21" s="24">
        <f>IF(BJ21&gt;=9999,0,INT(BJ21/12))</f>
        <v>0</v>
      </c>
      <c r="GG21" s="24">
        <f>IF(BK21&gt;=9999,0,INT(BK21/12))</f>
        <v>0</v>
      </c>
      <c r="GH21" s="24">
        <f>IF(BL21&gt;=9999,0,INT(BL21/12))</f>
        <v>0</v>
      </c>
      <c r="GI21" s="24">
        <f>IF(BM21&gt;=9999,0,INT(BM21/12))</f>
        <v>0</v>
      </c>
      <c r="GJ21" s="24">
        <f>BG21</f>
        <v>9999</v>
      </c>
      <c r="GK21" s="24">
        <f>IF(AG21=1,BH21,GJ21)</f>
        <v>9999</v>
      </c>
      <c r="GL21" s="24">
        <f>BI21</f>
        <v>9999</v>
      </c>
      <c r="GM21" s="24">
        <f>BJ21</f>
        <v>9999</v>
      </c>
      <c r="GN21" s="24">
        <f>BK21</f>
        <v>9999</v>
      </c>
      <c r="GO21" s="24">
        <f>BL21</f>
        <v>9999</v>
      </c>
      <c r="GP21" s="24">
        <f>BM21</f>
        <v>9999</v>
      </c>
      <c r="GQ21" s="24">
        <f>CI21</f>
        <v>0</v>
      </c>
      <c r="GR21" s="24">
        <f>IF(AG21=1,I21,GQ21)</f>
        <v>0</v>
      </c>
      <c r="GS21" s="24">
        <f>V21</f>
        <v>0</v>
      </c>
      <c r="GT21" s="24">
        <f>V21</f>
        <v>0</v>
      </c>
      <c r="GU21" s="24">
        <f>V21</f>
        <v>0</v>
      </c>
      <c r="GV21" s="24">
        <f>V21</f>
        <v>0</v>
      </c>
      <c r="GW21" s="24">
        <f>V21</f>
        <v>0</v>
      </c>
      <c r="GX21" s="24">
        <f>CP21</f>
        <v>1</v>
      </c>
      <c r="GY21" s="24">
        <f>IF(AG21=1,J21,GX21)</f>
        <v>1</v>
      </c>
      <c r="GZ21" s="24">
        <f>W21</f>
        <v>1</v>
      </c>
      <c r="HA21" s="24">
        <f>W21</f>
        <v>1</v>
      </c>
      <c r="HB21" s="24">
        <f>W21</f>
        <v>1</v>
      </c>
      <c r="HC21" s="24">
        <f>W21</f>
        <v>1</v>
      </c>
      <c r="HD21" s="24">
        <f>W21</f>
        <v>1</v>
      </c>
      <c r="HE21" s="24">
        <f>IF(BU21&gt;=9999,1,(1+X21)^(BU21/12))</f>
        <v>1</v>
      </c>
      <c r="HF21" s="24">
        <f>IF(AG21=1,IF(BV21&gt;=9999,1,(1+X21)^(BV21/12)),HE21)</f>
        <v>1</v>
      </c>
      <c r="HG21" s="24">
        <f>IF(BW21&gt;=9999,1,(1+X21)^(BW21/12))</f>
        <v>1</v>
      </c>
      <c r="HH21" s="24">
        <f>IF(BX21&gt;=9999,1,(1+X21)^(BX21/12))</f>
        <v>1</v>
      </c>
      <c r="HI21" s="24">
        <f>IF(BY21&gt;=9999,1,(1+X21)^(BY21/12))</f>
        <v>1</v>
      </c>
      <c r="HJ21" s="24">
        <f>IF(BZ21&gt;=9999,1,(1+X21)^(BZ21/12))</f>
        <v>1</v>
      </c>
      <c r="HK21" s="24">
        <f>IF(CA21&gt;=9999,1,(1+X21)^(CA21/12))</f>
        <v>1</v>
      </c>
      <c r="HL21" s="24">
        <f>IF(AND(F21&gt;0,C21&gt;0),F21,-1)</f>
        <v>-1</v>
      </c>
      <c r="HM21" s="24">
        <f>IF(AG21=1,BU21+FB21,-1)</f>
        <v>-1</v>
      </c>
      <c r="HN21" s="24">
        <f>IF(BI21&gt;=9999,-1,BV21+ROUND(IP21,0))</f>
        <v>-1</v>
      </c>
      <c r="HO21" s="24">
        <f>IF(BJ21&gt;=9999,-1,IF(HN21&lt;0,BW21,HN21+BP21)+ROUND(IQ21,0))</f>
        <v>-1</v>
      </c>
      <c r="HP21" s="24">
        <f>IF(BK21&gt;=9999,-1,IF(HO21&lt;0,BX21,HO21+BQ21)+ROUND(IR21,0))</f>
        <v>-1</v>
      </c>
      <c r="HQ21" s="24">
        <f>IF(BL21&gt;=9999,-1,IF(HP21&lt;0,BY21,HP21+BR21)+ROUND(IS21,0))</f>
        <v>-1</v>
      </c>
      <c r="HR21" s="24">
        <f>IF(BM21&gt;=9999,-1,IF(HQ21&lt;0,BZ21,HQ21+BS21)+ROUND(IT21,0))</f>
        <v>-1</v>
      </c>
      <c r="HS21" s="24">
        <f>IF(HL21&lt;0,0,C21*K21)</f>
        <v>0</v>
      </c>
      <c r="HT21" s="24">
        <f>IF(AG21=1,C21*R21*(1+in_ExpenseGrowth)^(HM21/12)*(1-AF21),0)</f>
        <v>0</v>
      </c>
      <c r="HU21" s="24">
        <f>IF(HN21&lt;0,0,C21*(S21*II21+R21*(1-II21))*(1+in_ExpenseGrowth)^(HN21/12))</f>
        <v>0</v>
      </c>
      <c r="HV21" s="24">
        <f>IF(HO21&lt;0,0,C21*(S21*IJ21+R21*(1-IJ21))*(1+in_ExpenseGrowth)^(HO21/12))</f>
        <v>0</v>
      </c>
      <c r="HW21" s="24">
        <f>IF(HP21&lt;0,0,C21*(S21*IK21+R21*(1-IK21))*(1+in_ExpenseGrowth)^(HP21/12))</f>
        <v>0</v>
      </c>
      <c r="HX21" s="24">
        <f>IF(HQ21&lt;0,0,C21*(S21*IL21+R21*(1-IL21))*(1+in_ExpenseGrowth)^(HQ21/12))</f>
        <v>0</v>
      </c>
      <c r="HY21" s="24">
        <f>IF(HR21&lt;0,0,C21*(S21*IM21+R21*(1-IM21))*(1+in_ExpenseGrowth)^(HR21/12))</f>
        <v>0</v>
      </c>
      <c r="HZ21" s="24">
        <f>IF(HL21&lt;0,0,L21*C21*E21*AQ21)</f>
        <v>0</v>
      </c>
      <c r="IA21" s="24">
        <f>IF(AG21=1,T21*C21*O21*(1+X21)^(MAX(0,HM21-F21)/12)*AB21*(1-AF21),0)</f>
        <v>0</v>
      </c>
      <c r="IB21" s="24">
        <f>IF(HN21&lt;0,0,(U21*II21+T21*(1-II21))*C21*O21*(1+X21)^(MAX(0,HN21-F21)/12)*(AA21*II21+1-II21)*AB21)</f>
        <v>0</v>
      </c>
      <c r="IC21" s="24">
        <f>IF(HO21&lt;0,0,(U21*IJ21+T21*(1-IJ21))*C21*O21*(1+X21)^(MAX(0,HO21-F21)/12)*(AA21*IJ21+1-IJ21)*AB21)</f>
        <v>0</v>
      </c>
      <c r="ID21" s="24">
        <f>IF(HP21&lt;0,0,(U21*IK21+T21*(1-IK21))*C21*O21*(1+X21)^(MAX(0,HP21-F21)/12)*(AA21*IK21+1-IK21)*AB21)</f>
        <v>0</v>
      </c>
      <c r="IE21" s="24">
        <f>IF(HQ21&lt;0,0,(U21*IL21+T21*(1-IL21))*C21*O21*(1+X21)^(MAX(0,HQ21-F21)/12)*(AA21*IL21+1-IL21)*AB21)</f>
        <v>0</v>
      </c>
      <c r="IF21" s="24">
        <f>IF(HR21&lt;0,0,(U21*IM21+T21*(1-IM21))*C21*O21*(1+X21)^(MAX(0,HR21-F21)/12)*(AA21*IM21+1-IM21)*AB21)</f>
        <v>0</v>
      </c>
      <c r="IG21" s="24">
        <v>1</v>
      </c>
      <c r="IH21" s="24">
        <f>IF(AG21=1,AF21,1)</f>
        <v>1</v>
      </c>
      <c r="II21" s="24">
        <f>IF(AG21=1,AC21,AE21)</f>
        <v>0.8</v>
      </c>
      <c r="IJ21" s="24">
        <f>AC21</f>
        <v>0.8</v>
      </c>
      <c r="IK21" s="24">
        <f>AC21</f>
        <v>0.8</v>
      </c>
      <c r="IL21" s="24">
        <f>AC21</f>
        <v>0.8</v>
      </c>
      <c r="IM21" s="24">
        <f>AC21</f>
        <v>0.8</v>
      </c>
      <c r="IN21" s="24">
        <v>0</v>
      </c>
      <c r="IO21" s="24">
        <f>P21</f>
        <v>0</v>
      </c>
      <c r="IP21" s="24">
        <f>P21*(1-II21)</f>
        <v>0</v>
      </c>
      <c r="IQ21" s="24">
        <f>P21*(1-IJ21)</f>
        <v>0</v>
      </c>
      <c r="IR21" s="24">
        <f>P21*(1-IK21)</f>
        <v>0</v>
      </c>
      <c r="IS21" s="24">
        <f>P21*(1-IL21)</f>
        <v>0</v>
      </c>
      <c r="IT21" s="24">
        <f>P21*(1-IM21)</f>
        <v>0</v>
      </c>
    </row>
    <row r="22">
      <c r="A22" s="25">
        <v>15</v>
      </c>
      <c r="B22" s="23" t="str">
        <f>IF('Rent Roll'!C22="","",'Rent Roll'!C22)</f>
        <v/>
      </c>
      <c r="C22" s="24">
        <f>IF(ISNUMBER('Rent Roll'!E22),MAX(0,'Rent Roll'!E22),0)</f>
        <v>0</v>
      </c>
      <c r="D22" s="88">
        <f>IF(a_GLA&gt;0,C22/a_GLA,0)</f>
        <v>0</v>
      </c>
      <c r="E22" s="29">
        <f>IF(BC22=1,ROUND(BD22*(1+X22)^(F22/12),2),BD22)</f>
        <v>0</v>
      </c>
      <c r="F22" s="24">
        <f>IF(C22&gt;0,MAX(0,(YEAR(IF(ISNUMBER('Rent Roll'!G22),'Rent Roll'!G22,0))-YEAR(in_AnalysisStart))*12+MONTH(IF(ISNUMBER('Rent Roll'!G22),'Rent Roll'!G22,0))-MONTH(in_AnalysisStart)),0)</f>
        <v>0</v>
      </c>
      <c r="G22" s="24">
        <f>IF(C22&gt;0,MAX(0,(YEAR(IF(ISNUMBER('Rent Roll'!H22),'Rent Roll'!H22,0))-YEAR(in_AnalysisStart))*12+MONTH(IF(ISNUMBER('Rent Roll'!H22),'Rent Roll'!H22,0))-MONTH(in_AnalysisStart)+1-F22),0)</f>
        <v>0</v>
      </c>
      <c r="H22" s="24">
        <f>IF(ISNUMBER('Rent Roll'!N22),'Rent Roll'!N22,0)</f>
        <v>0</v>
      </c>
      <c r="I22" s="88">
        <f>IF(ISNUMBER('Rent Roll'!L22),'Rent Roll'!L22,0)</f>
        <v>0</v>
      </c>
      <c r="J22" s="24">
        <f>MAX(1,ROUND(IF(ISNUMBER('Rent Roll'!M22),'Rent Roll'!M22,0),0))</f>
        <v>1</v>
      </c>
      <c r="K22" s="29">
        <f>IF(ISNUMBER('Rent Roll'!AJ22),'Rent Roll'!AJ22,0)</f>
        <v>0</v>
      </c>
      <c r="L22" s="88">
        <f>IF(IF(ISNUMBER('Rent Roll'!AK22),'Rent Roll'!AK22,0)&gt;0,'Rent Roll'!AK22,a_LeaseUpLC)</f>
        <v>0.06</v>
      </c>
      <c r="M22" s="24">
        <f>IF('Rent Roll'!R22="",0,IFERROR(MATCH('Rent Roll'!R22,a_PName,0),0))</f>
        <v>0</v>
      </c>
      <c r="N22" s="24">
        <f>IF(M22&gt;0,1,0)</f>
        <v>0</v>
      </c>
      <c r="O22" s="29">
        <f>IF(IF(ISNUMBER('Rent Roll'!S22),'Rent Roll'!S22,0)&gt;0,'Rent Roll'!S22,IF(M22&gt;0,IF(ISNUMBER(INDEX(a_PRent,M22)),INDEX(a_PRent,M22),0),0))</f>
        <v>0</v>
      </c>
      <c r="P22" s="24">
        <f>IF(M22&gt;0,IF(ISNUMBER(INDEX(a_PDown,M22)),INDEX(a_PDown,M22),0),0)</f>
        <v>0</v>
      </c>
      <c r="Q22" s="24">
        <f>IF(M22&gt;0,MAX(1,IF(ISNUMBER(INDEX(a_PTerm,M22)),INDEX(a_PTerm,M22),0)),5)</f>
        <v>5</v>
      </c>
      <c r="R22" s="29">
        <f>IF(M22&gt;0,IF(ISNUMBER(INDEX(a_PTiNew,M22)),INDEX(a_PTiNew,M22),0),0)</f>
        <v>0</v>
      </c>
      <c r="S22" s="29">
        <f>IF(M22&gt;0,IF(ISNUMBER(INDEX(a_PTiRen,M22)),INDEX(a_PTiRen,M22),0),0)</f>
        <v>0</v>
      </c>
      <c r="T22" s="88">
        <f>IF(M22&gt;0,IF(ISNUMBER(INDEX(a_PLcNew,M22)),INDEX(a_PLcNew,M22),0),0)</f>
        <v>0</v>
      </c>
      <c r="U22" s="88">
        <f>IF(M22&gt;0,IF(ISNUMBER(INDEX(a_PLcRen,M22)),INDEX(a_PLcRen,M22),0),0)</f>
        <v>0</v>
      </c>
      <c r="V22" s="88">
        <f>IF(M22&gt;0,IF(ISNUMBER(INDEX(a_PBump,M22)),INDEX(a_PBump,M22),0),0)</f>
        <v>0</v>
      </c>
      <c r="W22" s="24">
        <f>MAX(1,ROUND(IF(M22&gt;0,IF(ISNUMBER(INDEX(a_PEvery,M22)),INDEX(a_PEvery,M22),0),1),0))</f>
        <v>1</v>
      </c>
      <c r="X22" s="88">
        <f>IF(M22&gt;0,IF(ISNUMBER(INDEX(a_PGrow,M22)),INDEX(a_PGrow,M22),in_RentGrowth),in_RentGrowth)</f>
        <v>0.03</v>
      </c>
      <c r="Y22" s="24">
        <f>IF(M22&gt;0,IF(ISNUMBER(INDEX(a_PFreeNew,M22)),INDEX(a_PFreeNew,M22),0),0)</f>
        <v>0</v>
      </c>
      <c r="Z22" s="24">
        <f>IF(M22&gt;0,IF(ISNUMBER(INDEX(a_PFreeRen,M22)),INDEX(a_PFreeRen,M22),0),0)</f>
        <v>0</v>
      </c>
      <c r="AA22" s="88">
        <f>IF(M22&gt;0,IF(ISNUMBER(INDEX(a_PRenPct,M22)),INDEX(a_PRenPct,M22),1),1)</f>
        <v>1</v>
      </c>
      <c r="AB22" s="24">
        <f>IF(M22&gt;0,IF(ISNUMBER(INDEX(a_PAF,M22)),INDEX(a_PAF,M22),0),0)</f>
        <v>0</v>
      </c>
      <c r="AC22" s="88">
        <f>IF(ISNUMBER('Rent Roll'!V22),'Rent Roll'!V22,IF(M22&gt;0,IF(ISNUMBER(INDEX(a_PRenew,M22)),INDEX(a_PRenew,M22),0),0.8))</f>
        <v>0.8</v>
      </c>
      <c r="AD22" s="23" t="str">
        <f>IF('Rent Roll'!W22="","Probability",'Rent Roll'!W22)</f>
        <v>Probability</v>
      </c>
      <c r="AE22" s="88">
        <f>IF(AD22="Renew",1,IF(AD22="Vacate",0,AC22))</f>
        <v>0.8</v>
      </c>
      <c r="AF22" s="88">
        <f>IF(AD22="Renew",1,IF(ISNUMBER('Rent Roll'!AA22),'Rent Roll'!AA22,AC22))</f>
        <v>0.8</v>
      </c>
      <c r="AG22" s="24">
        <f>IF(AND(N22=1,IF(ISNUMBER('Rent Roll'!Y22),'Rent Roll'!Y22,0)&gt;0,IF(ISNUMBER('Rent Roll'!Z22),'Rent Roll'!Z22,0)&gt;0,AF22&gt;0,AD22&lt;&gt;"Vacate",C22&gt;0),1,0)</f>
        <v>0</v>
      </c>
      <c r="AH22" s="24">
        <f>ROUND(12*IF(ISNUMBER('Rent Roll'!Y22),'Rent Roll'!Y22,0),0)</f>
        <v>0</v>
      </c>
      <c r="AI22" s="29">
        <f>IF(ISNUMBER('Rent Roll'!Z22),'Rent Roll'!Z22,0)</f>
        <v>0</v>
      </c>
      <c r="AJ22" s="24">
        <f>IF('Rent Roll'!P22="Base year",1,0)</f>
        <v>0</v>
      </c>
      <c r="AK22" s="88">
        <f>IF(ISNUMBER('Rent Roll'!Q22),'Rent Roll'!Q22,0)</f>
        <v>0</v>
      </c>
      <c r="AL22" s="24">
        <f>IF(AND('Rent Roll'!AH22="Yes",a_AnchorInVac&lt;&gt;"Yes"),1,0)</f>
        <v>0</v>
      </c>
      <c r="AM22" s="29">
        <f>IF(ISNUMBER('Rent Roll'!AL22),'Rent Roll'!AL22,0)</f>
        <v>0</v>
      </c>
      <c r="AN22" s="88">
        <f>IF(ISNUMBER('Rent Roll'!AM22),'Rent Roll'!AM22,0)</f>
        <v>0</v>
      </c>
      <c r="AO22" s="88">
        <f>IF(AND(BC22=1,N22=1),V22,I22)</f>
        <v>0</v>
      </c>
      <c r="AP22" s="24">
        <f>IF(AND(BC22=1,N22=1),W22,J22)</f>
        <v>1</v>
      </c>
      <c r="AQ22" s="24">
        <f>IF(AO22=0,G22/12,AP22*((1+AO22)^INT(INT(G22/12)/AP22)-1)/AO22+(INT(G22/12)-INT(INT(G22/12)/AP22)*AP22)*(1+AO22)^INT(INT(G22/12)/AP22)+(G22/12-INT(G22/12))*(1+AO22)^INT(INT(G22/12)/AP22))</f>
        <v>0</v>
      </c>
      <c r="AR22" s="24">
        <f>IF(AND(C22&gt;0,BU22&lt;9999,BU22&gt;0),INT((BU22-1)/12)+1,0)</f>
        <v>0</v>
      </c>
      <c r="AS22" s="24">
        <f>COUNTIF('Lease Cycles'!$BG$22:$BM$22,"&lt;132")</f>
        <v>0</v>
      </c>
      <c r="AT22" s="24">
        <f>IF(AND(ISNUMBER('Rent Roll'!AR22),IF(ISNUMBER('Rent Roll'!AS22),'Rent Roll'!AS22,0)&gt;0),(YEAR('Rent Roll'!AR22)-YEAR(in_AnalysisStart))*12+MONTH('Rent Roll'!AR22)-MONTH(in_AnalysisStart),9999)</f>
        <v>9999</v>
      </c>
      <c r="AU22" s="29">
        <f>IF(ISNUMBER('Rent Roll'!AS22),'Rent Roll'!AS22,0)</f>
        <v>0</v>
      </c>
      <c r="AV22" s="24">
        <f>IF(AND(ISNUMBER('Rent Roll'!AT22),IF(ISNUMBER('Rent Roll'!AU22),'Rent Roll'!AU22,0)&gt;0),(YEAR('Rent Roll'!AT22)-YEAR(in_AnalysisStart))*12+MONTH('Rent Roll'!AT22)-MONTH(in_AnalysisStart),9999)</f>
        <v>9999</v>
      </c>
      <c r="AW22" s="29">
        <f>IF(ISNUMBER('Rent Roll'!AU22),'Rent Roll'!AU22,0)</f>
        <v>0</v>
      </c>
      <c r="AX22" s="24">
        <f>IF(AND(ISNUMBER('Rent Roll'!AV22),IF(ISNUMBER('Rent Roll'!AW22),'Rent Roll'!AW22,0)&gt;0),(YEAR('Rent Roll'!AV22)-YEAR(in_AnalysisStart))*12+MONTH('Rent Roll'!AV22)-MONTH(in_AnalysisStart),9999)</f>
        <v>9999</v>
      </c>
      <c r="AY22" s="29">
        <f>IF(ISNUMBER('Rent Roll'!AW22),'Rent Roll'!AW22,0)</f>
        <v>0</v>
      </c>
      <c r="AZ22" s="24">
        <f>IF(AND(ISNUMBER('Rent Roll'!AX22),IF(ISNUMBER('Rent Roll'!AY22),'Rent Roll'!AY22,0)&gt;0),(YEAR('Rent Roll'!AX22)-YEAR(in_AnalysisStart))*12+MONTH('Rent Roll'!AX22)-MONTH(in_AnalysisStart),9999)</f>
        <v>9999</v>
      </c>
      <c r="BA22" s="29">
        <f>IF(ISNUMBER('Rent Roll'!AY22),'Rent Roll'!AY22,0)</f>
        <v>0</v>
      </c>
      <c r="BB22" s="29">
        <f>IF(BU22&gt;=9999,O22,O22*(1+X22)^((BU22-F22)/12))</f>
        <v>0</v>
      </c>
      <c r="BC22" s="24">
        <f>IF(AND('Rent Roll'!AZ22="Yes",F22&gt;0,BD22&gt;0,AT22&gt;=9999),1,0)</f>
        <v>0</v>
      </c>
      <c r="BD22" s="29">
        <f>IF(ISNUMBER('Rent Roll'!I22),'Rent Roll'!I22,0)</f>
        <v>0</v>
      </c>
      <c r="BE22" s="24">
        <f>IF(a_MarketRecovery="Base year",1,0)</f>
        <v>0</v>
      </c>
      <c r="BG22" s="24">
        <f>IF(C22&gt;0,F22,9999)</f>
        <v>9999</v>
      </c>
      <c r="BH22" s="24">
        <f>BU22</f>
        <v>9999</v>
      </c>
      <c r="BI22" s="24">
        <f>IF(OR(N22=0,BV22&gt;=9999),9999,IF(AG22=1,BV22,INT(BV22+IP22)))</f>
        <v>9999</v>
      </c>
      <c r="BJ22" s="24">
        <f>IF(OR(N22=0,BW22&gt;=9999),9999,INT(BW22+IQ22))</f>
        <v>9999</v>
      </c>
      <c r="BK22" s="24">
        <f>IF(OR(N22=0,BX22&gt;=9999),9999,INT(BX22+IR22))</f>
        <v>9999</v>
      </c>
      <c r="BL22" s="24">
        <f>IF(OR(N22=0,BY22&gt;=9999),9999,INT(BY22+IS22))</f>
        <v>9999</v>
      </c>
      <c r="BM22" s="24">
        <f>IF(OR(N22=0,BZ22&gt;=9999),9999,INT(BZ22+IT22))</f>
        <v>9999</v>
      </c>
      <c r="BN22" s="24">
        <f>G22</f>
        <v>0</v>
      </c>
      <c r="BO22" s="24">
        <f>IF(AG22=1,AH22,0)</f>
        <v>0</v>
      </c>
      <c r="BP22" s="24">
        <f>MAX(12,ROUND(12*Q22,0))</f>
        <v>60</v>
      </c>
      <c r="BQ22" s="24">
        <f>MAX(12,ROUND(12*Q22,0))</f>
        <v>60</v>
      </c>
      <c r="BR22" s="24">
        <f>MAX(12,ROUND(12*Q22,0))</f>
        <v>60</v>
      </c>
      <c r="BS22" s="24">
        <f>MAX(12,ROUND(12*Q22,0))</f>
        <v>60</v>
      </c>
      <c r="BT22" s="24">
        <f>MAX(12,ROUND(12*Q22,0))</f>
        <v>60</v>
      </c>
      <c r="BU22" s="24">
        <f>BG22+BN22</f>
        <v>9999</v>
      </c>
      <c r="BV22" s="24">
        <f>BH22+BO22</f>
        <v>9999</v>
      </c>
      <c r="BW22" s="24">
        <f>IF(BI22&gt;=9999,9999,BI22+BP22)</f>
        <v>9999</v>
      </c>
      <c r="BX22" s="24">
        <f>IF(BJ22&gt;=9999,9999,BJ22+BQ22)</f>
        <v>9999</v>
      </c>
      <c r="BY22" s="24">
        <f>IF(BK22&gt;=9999,9999,BK22+BR22)</f>
        <v>9999</v>
      </c>
      <c r="BZ22" s="24">
        <f>IF(BL22&gt;=9999,9999,BL22+BS22)</f>
        <v>9999</v>
      </c>
      <c r="CA22" s="24">
        <f>IF(BM22&gt;=9999,9999,BM22+BT22)</f>
        <v>9999</v>
      </c>
      <c r="CB22" s="24">
        <f>E22</f>
        <v>0</v>
      </c>
      <c r="CC22" s="24">
        <f>AI22</f>
        <v>0</v>
      </c>
      <c r="CD22" s="24">
        <f>IF(BI22&gt;=9999,0,O22*(1+X22)^((BI22-F22)/12)*(AA22*II22+1-II22))</f>
        <v>0</v>
      </c>
      <c r="CE22" s="24">
        <f>IF(BJ22&gt;=9999,0,O22*(1+X22)^((BJ22-F22)/12)*(AA22*IJ22+1-IJ22))</f>
        <v>0</v>
      </c>
      <c r="CF22" s="24">
        <f>IF(BK22&gt;=9999,0,O22*(1+X22)^((BK22-F22)/12)*(AA22*IK22+1-IK22))</f>
        <v>0</v>
      </c>
      <c r="CG22" s="24">
        <f>IF(BL22&gt;=9999,0,O22*(1+X22)^((BL22-F22)/12)*(AA22*IL22+1-IL22))</f>
        <v>0</v>
      </c>
      <c r="CH22" s="24">
        <f>IF(BM22&gt;=9999,0,O22*(1+X22)^((BM22-F22)/12)*(AA22*IM22+1-IM22))</f>
        <v>0</v>
      </c>
      <c r="CI22" s="24">
        <f>AO22</f>
        <v>0</v>
      </c>
      <c r="CJ22" s="24">
        <f>I22</f>
        <v>0</v>
      </c>
      <c r="CK22" s="24">
        <f>V22</f>
        <v>0</v>
      </c>
      <c r="CL22" s="24">
        <f>V22</f>
        <v>0</v>
      </c>
      <c r="CM22" s="24">
        <f>V22</f>
        <v>0</v>
      </c>
      <c r="CN22" s="24">
        <f>V22</f>
        <v>0</v>
      </c>
      <c r="CO22" s="24">
        <f>V22</f>
        <v>0</v>
      </c>
      <c r="CP22" s="24">
        <f>AP22</f>
        <v>1</v>
      </c>
      <c r="CQ22" s="24">
        <f>J22</f>
        <v>1</v>
      </c>
      <c r="CR22" s="24">
        <f>W22</f>
        <v>1</v>
      </c>
      <c r="CS22" s="24">
        <f>W22</f>
        <v>1</v>
      </c>
      <c r="CT22" s="24">
        <f>W22</f>
        <v>1</v>
      </c>
      <c r="CU22" s="24">
        <f>W22</f>
        <v>1</v>
      </c>
      <c r="CV22" s="24">
        <f>W22</f>
        <v>1</v>
      </c>
      <c r="CW22" s="24">
        <f>H22</f>
        <v>0</v>
      </c>
      <c r="CX22" s="24">
        <v>0</v>
      </c>
      <c r="CY22" s="24">
        <f>Y22*(1-II22)+Z22*II22</f>
        <v>0</v>
      </c>
      <c r="CZ22" s="24">
        <f>Y22*(1-IJ22)+Z22*IJ22</f>
        <v>0</v>
      </c>
      <c r="DA22" s="24">
        <f>Y22*(1-IK22)+Z22*IK22</f>
        <v>0</v>
      </c>
      <c r="DB22" s="24">
        <f>Y22*(1-IL22)+Z22*IL22</f>
        <v>0</v>
      </c>
      <c r="DC22" s="24">
        <f>Y22*(1-IM22)+Z22*IM22</f>
        <v>0</v>
      </c>
      <c r="DD22" s="24">
        <v>0</v>
      </c>
      <c r="DE22" s="24">
        <v>0</v>
      </c>
      <c r="DF22" s="24">
        <f>IF(BI22&gt;=9999,0,IF(AG22=1,0,BV22+IP22-BI22))</f>
        <v>0</v>
      </c>
      <c r="DG22" s="24">
        <f>IF(BJ22&gt;=9999,0,BW22+IQ22-BJ22)</f>
        <v>0</v>
      </c>
      <c r="DH22" s="24">
        <f>IF(BK22&gt;=9999,0,BX22+IR22-BK22)</f>
        <v>0</v>
      </c>
      <c r="DI22" s="24">
        <f>IF(BL22&gt;=9999,0,BY22+IS22-BL22)</f>
        <v>0</v>
      </c>
      <c r="DJ22" s="24">
        <f>IF(BM22&gt;=9999,0,BZ22+IT22-BM22)</f>
        <v>0</v>
      </c>
      <c r="DK22" s="24">
        <f>INT(CW22+DD22)</f>
        <v>0</v>
      </c>
      <c r="DL22" s="24">
        <v>0</v>
      </c>
      <c r="DM22" s="24">
        <f>INT(CY22+DF22)</f>
        <v>0</v>
      </c>
      <c r="DN22" s="24">
        <f>INT(CZ22+DG22)</f>
        <v>0</v>
      </c>
      <c r="DO22" s="24">
        <f>INT(DA22+DH22)</f>
        <v>0</v>
      </c>
      <c r="DP22" s="24">
        <f>INT(DB22+DI22)</f>
        <v>0</v>
      </c>
      <c r="DQ22" s="24">
        <f>INT(DC22+DJ22)</f>
        <v>0</v>
      </c>
      <c r="DR22" s="24">
        <f>CW22+DD22-DK22</f>
        <v>0</v>
      </c>
      <c r="DS22" s="24">
        <v>0</v>
      </c>
      <c r="DT22" s="24">
        <f>CY22+DF22-DM22</f>
        <v>0</v>
      </c>
      <c r="DU22" s="24">
        <f>CZ22+DG22-DN22</f>
        <v>0</v>
      </c>
      <c r="DV22" s="24">
        <f>DA22+DH22-DO22</f>
        <v>0</v>
      </c>
      <c r="DW22" s="24">
        <f>DB22+DI22-DP22</f>
        <v>0</v>
      </c>
      <c r="DX22" s="24">
        <f>DC22+DJ22-DQ22</f>
        <v>0</v>
      </c>
      <c r="DY22" s="24">
        <v>1</v>
      </c>
      <c r="DZ22" s="24">
        <v>1</v>
      </c>
      <c r="EA22" s="24">
        <v>0</v>
      </c>
      <c r="EB22" s="24">
        <v>0</v>
      </c>
      <c r="EC22" s="24">
        <v>0</v>
      </c>
      <c r="ED22" s="24">
        <v>0</v>
      </c>
      <c r="EE22" s="24">
        <v>0</v>
      </c>
      <c r="EF22" s="24">
        <v>0</v>
      </c>
      <c r="EG22" s="24">
        <f>IF(AG22=1,1,2)</f>
        <v>2</v>
      </c>
      <c r="EH22" s="24">
        <v>0</v>
      </c>
      <c r="EI22" s="24">
        <v>0</v>
      </c>
      <c r="EJ22" s="24">
        <v>0</v>
      </c>
      <c r="EK22" s="24">
        <v>0</v>
      </c>
      <c r="EL22" s="24">
        <v>0</v>
      </c>
      <c r="EM22" s="24">
        <v>1</v>
      </c>
      <c r="EN22" s="24">
        <f>IF(AG22=1,AF22,1)</f>
        <v>1</v>
      </c>
      <c r="EO22" s="24">
        <v>1</v>
      </c>
      <c r="EP22" s="24">
        <v>1</v>
      </c>
      <c r="EQ22" s="24">
        <v>1</v>
      </c>
      <c r="ER22" s="24">
        <v>1</v>
      </c>
      <c r="ES22" s="24">
        <v>1</v>
      </c>
      <c r="ET22" s="24">
        <v>0</v>
      </c>
      <c r="EU22" s="24">
        <f>BB22</f>
        <v>0</v>
      </c>
      <c r="EV22" s="24">
        <v>0</v>
      </c>
      <c r="EW22" s="24">
        <v>0</v>
      </c>
      <c r="EX22" s="24">
        <v>0</v>
      </c>
      <c r="EY22" s="24">
        <v>0</v>
      </c>
      <c r="EZ22" s="24">
        <v>0</v>
      </c>
      <c r="FA22" s="24">
        <v>0</v>
      </c>
      <c r="FB22" s="24">
        <f>ROUND(P22,0)</f>
        <v>0</v>
      </c>
      <c r="FC22" s="24">
        <v>0</v>
      </c>
      <c r="FD22" s="24">
        <v>0</v>
      </c>
      <c r="FE22" s="24">
        <v>0</v>
      </c>
      <c r="FF22" s="24">
        <v>0</v>
      </c>
      <c r="FG22" s="24">
        <v>0</v>
      </c>
      <c r="FH22" s="24">
        <f>AK22</f>
        <v>0</v>
      </c>
      <c r="FI22" s="24">
        <f>IF(AG22=1,AK22*AF22,FH22)</f>
        <v>0</v>
      </c>
      <c r="FJ22" s="24">
        <f>FI22*II22</f>
        <v>0</v>
      </c>
      <c r="FK22" s="24">
        <f>FJ22*IJ22</f>
        <v>0</v>
      </c>
      <c r="FL22" s="24">
        <f>FK22*IK22</f>
        <v>0</v>
      </c>
      <c r="FM22" s="24">
        <f>FL22*IL22</f>
        <v>0</v>
      </c>
      <c r="FN22" s="24">
        <f>FM22*IM22</f>
        <v>0</v>
      </c>
      <c r="FO22" s="24">
        <v>1</v>
      </c>
      <c r="FP22" s="24">
        <f>FV22</f>
        <v>1</v>
      </c>
      <c r="FQ22" s="24">
        <f>FW22*II22</f>
        <v>0.8</v>
      </c>
      <c r="FR22" s="24">
        <f>FX22*IJ22</f>
        <v>0.6400000000000001</v>
      </c>
      <c r="FS22" s="24">
        <f>FY22*IK22</f>
        <v>0.5120000000000001</v>
      </c>
      <c r="FT22" s="24">
        <f>FZ22*IL22</f>
        <v>0.40960000000000013</v>
      </c>
      <c r="FU22" s="24">
        <f>GA22*IM22</f>
        <v>0.32768000000000014</v>
      </c>
      <c r="FV22" s="24">
        <v>1</v>
      </c>
      <c r="FW22" s="24">
        <f>IF(AG22=1,FP22*AF22,FV22)</f>
        <v>1</v>
      </c>
      <c r="FX22" s="24">
        <f>FQ22</f>
        <v>0.8</v>
      </c>
      <c r="FY22" s="24">
        <f>FR22</f>
        <v>0.6400000000000001</v>
      </c>
      <c r="FZ22" s="24">
        <f>FS22</f>
        <v>0.5120000000000001</v>
      </c>
      <c r="GA22" s="24">
        <f>FT22</f>
        <v>0.40960000000000013</v>
      </c>
      <c r="GB22" s="24">
        <f>FU22</f>
        <v>0.32768000000000014</v>
      </c>
      <c r="GC22" s="24">
        <v>0</v>
      </c>
      <c r="GD22" s="24">
        <f>GC22</f>
        <v>0</v>
      </c>
      <c r="GE22" s="24">
        <f>IF(BI22&gt;=9999,0,INT(BI22/12))</f>
        <v>0</v>
      </c>
      <c r="GF22" s="24">
        <f>IF(BJ22&gt;=9999,0,INT(BJ22/12))</f>
        <v>0</v>
      </c>
      <c r="GG22" s="24">
        <f>IF(BK22&gt;=9999,0,INT(BK22/12))</f>
        <v>0</v>
      </c>
      <c r="GH22" s="24">
        <f>IF(BL22&gt;=9999,0,INT(BL22/12))</f>
        <v>0</v>
      </c>
      <c r="GI22" s="24">
        <f>IF(BM22&gt;=9999,0,INT(BM22/12))</f>
        <v>0</v>
      </c>
      <c r="GJ22" s="24">
        <f>BG22</f>
        <v>9999</v>
      </c>
      <c r="GK22" s="24">
        <f>IF(AG22=1,BH22,GJ22)</f>
        <v>9999</v>
      </c>
      <c r="GL22" s="24">
        <f>BI22</f>
        <v>9999</v>
      </c>
      <c r="GM22" s="24">
        <f>BJ22</f>
        <v>9999</v>
      </c>
      <c r="GN22" s="24">
        <f>BK22</f>
        <v>9999</v>
      </c>
      <c r="GO22" s="24">
        <f>BL22</f>
        <v>9999</v>
      </c>
      <c r="GP22" s="24">
        <f>BM22</f>
        <v>9999</v>
      </c>
      <c r="GQ22" s="24">
        <f>CI22</f>
        <v>0</v>
      </c>
      <c r="GR22" s="24">
        <f>IF(AG22=1,I22,GQ22)</f>
        <v>0</v>
      </c>
      <c r="GS22" s="24">
        <f>V22</f>
        <v>0</v>
      </c>
      <c r="GT22" s="24">
        <f>V22</f>
        <v>0</v>
      </c>
      <c r="GU22" s="24">
        <f>V22</f>
        <v>0</v>
      </c>
      <c r="GV22" s="24">
        <f>V22</f>
        <v>0</v>
      </c>
      <c r="GW22" s="24">
        <f>V22</f>
        <v>0</v>
      </c>
      <c r="GX22" s="24">
        <f>CP22</f>
        <v>1</v>
      </c>
      <c r="GY22" s="24">
        <f>IF(AG22=1,J22,GX22)</f>
        <v>1</v>
      </c>
      <c r="GZ22" s="24">
        <f>W22</f>
        <v>1</v>
      </c>
      <c r="HA22" s="24">
        <f>W22</f>
        <v>1</v>
      </c>
      <c r="HB22" s="24">
        <f>W22</f>
        <v>1</v>
      </c>
      <c r="HC22" s="24">
        <f>W22</f>
        <v>1</v>
      </c>
      <c r="HD22" s="24">
        <f>W22</f>
        <v>1</v>
      </c>
      <c r="HE22" s="24">
        <f>IF(BU22&gt;=9999,1,(1+X22)^(BU22/12))</f>
        <v>1</v>
      </c>
      <c r="HF22" s="24">
        <f>IF(AG22=1,IF(BV22&gt;=9999,1,(1+X22)^(BV22/12)),HE22)</f>
        <v>1</v>
      </c>
      <c r="HG22" s="24">
        <f>IF(BW22&gt;=9999,1,(1+X22)^(BW22/12))</f>
        <v>1</v>
      </c>
      <c r="HH22" s="24">
        <f>IF(BX22&gt;=9999,1,(1+X22)^(BX22/12))</f>
        <v>1</v>
      </c>
      <c r="HI22" s="24">
        <f>IF(BY22&gt;=9999,1,(1+X22)^(BY22/12))</f>
        <v>1</v>
      </c>
      <c r="HJ22" s="24">
        <f>IF(BZ22&gt;=9999,1,(1+X22)^(BZ22/12))</f>
        <v>1</v>
      </c>
      <c r="HK22" s="24">
        <f>IF(CA22&gt;=9999,1,(1+X22)^(CA22/12))</f>
        <v>1</v>
      </c>
      <c r="HL22" s="24">
        <f>IF(AND(F22&gt;0,C22&gt;0),F22,-1)</f>
        <v>-1</v>
      </c>
      <c r="HM22" s="24">
        <f>IF(AG22=1,BU22+FB22,-1)</f>
        <v>-1</v>
      </c>
      <c r="HN22" s="24">
        <f>IF(BI22&gt;=9999,-1,BV22+ROUND(IP22,0))</f>
        <v>-1</v>
      </c>
      <c r="HO22" s="24">
        <f>IF(BJ22&gt;=9999,-1,IF(HN22&lt;0,BW22,HN22+BP22)+ROUND(IQ22,0))</f>
        <v>-1</v>
      </c>
      <c r="HP22" s="24">
        <f>IF(BK22&gt;=9999,-1,IF(HO22&lt;0,BX22,HO22+BQ22)+ROUND(IR22,0))</f>
        <v>-1</v>
      </c>
      <c r="HQ22" s="24">
        <f>IF(BL22&gt;=9999,-1,IF(HP22&lt;0,BY22,HP22+BR22)+ROUND(IS22,0))</f>
        <v>-1</v>
      </c>
      <c r="HR22" s="24">
        <f>IF(BM22&gt;=9999,-1,IF(HQ22&lt;0,BZ22,HQ22+BS22)+ROUND(IT22,0))</f>
        <v>-1</v>
      </c>
      <c r="HS22" s="24">
        <f>IF(HL22&lt;0,0,C22*K22)</f>
        <v>0</v>
      </c>
      <c r="HT22" s="24">
        <f>IF(AG22=1,C22*R22*(1+in_ExpenseGrowth)^(HM22/12)*(1-AF22),0)</f>
        <v>0</v>
      </c>
      <c r="HU22" s="24">
        <f>IF(HN22&lt;0,0,C22*(S22*II22+R22*(1-II22))*(1+in_ExpenseGrowth)^(HN22/12))</f>
        <v>0</v>
      </c>
      <c r="HV22" s="24">
        <f>IF(HO22&lt;0,0,C22*(S22*IJ22+R22*(1-IJ22))*(1+in_ExpenseGrowth)^(HO22/12))</f>
        <v>0</v>
      </c>
      <c r="HW22" s="24">
        <f>IF(HP22&lt;0,0,C22*(S22*IK22+R22*(1-IK22))*(1+in_ExpenseGrowth)^(HP22/12))</f>
        <v>0</v>
      </c>
      <c r="HX22" s="24">
        <f>IF(HQ22&lt;0,0,C22*(S22*IL22+R22*(1-IL22))*(1+in_ExpenseGrowth)^(HQ22/12))</f>
        <v>0</v>
      </c>
      <c r="HY22" s="24">
        <f>IF(HR22&lt;0,0,C22*(S22*IM22+R22*(1-IM22))*(1+in_ExpenseGrowth)^(HR22/12))</f>
        <v>0</v>
      </c>
      <c r="HZ22" s="24">
        <f>IF(HL22&lt;0,0,L22*C22*E22*AQ22)</f>
        <v>0</v>
      </c>
      <c r="IA22" s="24">
        <f>IF(AG22=1,T22*C22*O22*(1+X22)^(MAX(0,HM22-F22)/12)*AB22*(1-AF22),0)</f>
        <v>0</v>
      </c>
      <c r="IB22" s="24">
        <f>IF(HN22&lt;0,0,(U22*II22+T22*(1-II22))*C22*O22*(1+X22)^(MAX(0,HN22-F22)/12)*(AA22*II22+1-II22)*AB22)</f>
        <v>0</v>
      </c>
      <c r="IC22" s="24">
        <f>IF(HO22&lt;0,0,(U22*IJ22+T22*(1-IJ22))*C22*O22*(1+X22)^(MAX(0,HO22-F22)/12)*(AA22*IJ22+1-IJ22)*AB22)</f>
        <v>0</v>
      </c>
      <c r="ID22" s="24">
        <f>IF(HP22&lt;0,0,(U22*IK22+T22*(1-IK22))*C22*O22*(1+X22)^(MAX(0,HP22-F22)/12)*(AA22*IK22+1-IK22)*AB22)</f>
        <v>0</v>
      </c>
      <c r="IE22" s="24">
        <f>IF(HQ22&lt;0,0,(U22*IL22+T22*(1-IL22))*C22*O22*(1+X22)^(MAX(0,HQ22-F22)/12)*(AA22*IL22+1-IL22)*AB22)</f>
        <v>0</v>
      </c>
      <c r="IF22" s="24">
        <f>IF(HR22&lt;0,0,(U22*IM22+T22*(1-IM22))*C22*O22*(1+X22)^(MAX(0,HR22-F22)/12)*(AA22*IM22+1-IM22)*AB22)</f>
        <v>0</v>
      </c>
      <c r="IG22" s="24">
        <v>1</v>
      </c>
      <c r="IH22" s="24">
        <f>IF(AG22=1,AF22,1)</f>
        <v>1</v>
      </c>
      <c r="II22" s="24">
        <f>IF(AG22=1,AC22,AE22)</f>
        <v>0.8</v>
      </c>
      <c r="IJ22" s="24">
        <f>AC22</f>
        <v>0.8</v>
      </c>
      <c r="IK22" s="24">
        <f>AC22</f>
        <v>0.8</v>
      </c>
      <c r="IL22" s="24">
        <f>AC22</f>
        <v>0.8</v>
      </c>
      <c r="IM22" s="24">
        <f>AC22</f>
        <v>0.8</v>
      </c>
      <c r="IN22" s="24">
        <v>0</v>
      </c>
      <c r="IO22" s="24">
        <f>P22</f>
        <v>0</v>
      </c>
      <c r="IP22" s="24">
        <f>P22*(1-II22)</f>
        <v>0</v>
      </c>
      <c r="IQ22" s="24">
        <f>P22*(1-IJ22)</f>
        <v>0</v>
      </c>
      <c r="IR22" s="24">
        <f>P22*(1-IK22)</f>
        <v>0</v>
      </c>
      <c r="IS22" s="24">
        <f>P22*(1-IL22)</f>
        <v>0</v>
      </c>
      <c r="IT22" s="24">
        <f>P22*(1-IM22)</f>
        <v>0</v>
      </c>
    </row>
    <row r="23">
      <c r="A23" s="25">
        <v>16</v>
      </c>
      <c r="B23" s="23" t="str">
        <f>IF('Rent Roll'!C23="","",'Rent Roll'!C23)</f>
        <v/>
      </c>
      <c r="C23" s="24">
        <f>IF(ISNUMBER('Rent Roll'!E23),MAX(0,'Rent Roll'!E23),0)</f>
        <v>0</v>
      </c>
      <c r="D23" s="88">
        <f>IF(a_GLA&gt;0,C23/a_GLA,0)</f>
        <v>0</v>
      </c>
      <c r="E23" s="29">
        <f>IF(BC23=1,ROUND(BD23*(1+X23)^(F23/12),2),BD23)</f>
        <v>0</v>
      </c>
      <c r="F23" s="24">
        <f>IF(C23&gt;0,MAX(0,(YEAR(IF(ISNUMBER('Rent Roll'!G23),'Rent Roll'!G23,0))-YEAR(in_AnalysisStart))*12+MONTH(IF(ISNUMBER('Rent Roll'!G23),'Rent Roll'!G23,0))-MONTH(in_AnalysisStart)),0)</f>
        <v>0</v>
      </c>
      <c r="G23" s="24">
        <f>IF(C23&gt;0,MAX(0,(YEAR(IF(ISNUMBER('Rent Roll'!H23),'Rent Roll'!H23,0))-YEAR(in_AnalysisStart))*12+MONTH(IF(ISNUMBER('Rent Roll'!H23),'Rent Roll'!H23,0))-MONTH(in_AnalysisStart)+1-F23),0)</f>
        <v>0</v>
      </c>
      <c r="H23" s="24">
        <f>IF(ISNUMBER('Rent Roll'!N23),'Rent Roll'!N23,0)</f>
        <v>0</v>
      </c>
      <c r="I23" s="88">
        <f>IF(ISNUMBER('Rent Roll'!L23),'Rent Roll'!L23,0)</f>
        <v>0</v>
      </c>
      <c r="J23" s="24">
        <f>MAX(1,ROUND(IF(ISNUMBER('Rent Roll'!M23),'Rent Roll'!M23,0),0))</f>
        <v>1</v>
      </c>
      <c r="K23" s="29">
        <f>IF(ISNUMBER('Rent Roll'!AJ23),'Rent Roll'!AJ23,0)</f>
        <v>0</v>
      </c>
      <c r="L23" s="88">
        <f>IF(IF(ISNUMBER('Rent Roll'!AK23),'Rent Roll'!AK23,0)&gt;0,'Rent Roll'!AK23,a_LeaseUpLC)</f>
        <v>0.06</v>
      </c>
      <c r="M23" s="24">
        <f>IF('Rent Roll'!R23="",0,IFERROR(MATCH('Rent Roll'!R23,a_PName,0),0))</f>
        <v>0</v>
      </c>
      <c r="N23" s="24">
        <f>IF(M23&gt;0,1,0)</f>
        <v>0</v>
      </c>
      <c r="O23" s="29">
        <f>IF(IF(ISNUMBER('Rent Roll'!S23),'Rent Roll'!S23,0)&gt;0,'Rent Roll'!S23,IF(M23&gt;0,IF(ISNUMBER(INDEX(a_PRent,M23)),INDEX(a_PRent,M23),0),0))</f>
        <v>0</v>
      </c>
      <c r="P23" s="24">
        <f>IF(M23&gt;0,IF(ISNUMBER(INDEX(a_PDown,M23)),INDEX(a_PDown,M23),0),0)</f>
        <v>0</v>
      </c>
      <c r="Q23" s="24">
        <f>IF(M23&gt;0,MAX(1,IF(ISNUMBER(INDEX(a_PTerm,M23)),INDEX(a_PTerm,M23),0)),5)</f>
        <v>5</v>
      </c>
      <c r="R23" s="29">
        <f>IF(M23&gt;0,IF(ISNUMBER(INDEX(a_PTiNew,M23)),INDEX(a_PTiNew,M23),0),0)</f>
        <v>0</v>
      </c>
      <c r="S23" s="29">
        <f>IF(M23&gt;0,IF(ISNUMBER(INDEX(a_PTiRen,M23)),INDEX(a_PTiRen,M23),0),0)</f>
        <v>0</v>
      </c>
      <c r="T23" s="88">
        <f>IF(M23&gt;0,IF(ISNUMBER(INDEX(a_PLcNew,M23)),INDEX(a_PLcNew,M23),0),0)</f>
        <v>0</v>
      </c>
      <c r="U23" s="88">
        <f>IF(M23&gt;0,IF(ISNUMBER(INDEX(a_PLcRen,M23)),INDEX(a_PLcRen,M23),0),0)</f>
        <v>0</v>
      </c>
      <c r="V23" s="88">
        <f>IF(M23&gt;0,IF(ISNUMBER(INDEX(a_PBump,M23)),INDEX(a_PBump,M23),0),0)</f>
        <v>0</v>
      </c>
      <c r="W23" s="24">
        <f>MAX(1,ROUND(IF(M23&gt;0,IF(ISNUMBER(INDEX(a_PEvery,M23)),INDEX(a_PEvery,M23),0),1),0))</f>
        <v>1</v>
      </c>
      <c r="X23" s="88">
        <f>IF(M23&gt;0,IF(ISNUMBER(INDEX(a_PGrow,M23)),INDEX(a_PGrow,M23),in_RentGrowth),in_RentGrowth)</f>
        <v>0.03</v>
      </c>
      <c r="Y23" s="24">
        <f>IF(M23&gt;0,IF(ISNUMBER(INDEX(a_PFreeNew,M23)),INDEX(a_PFreeNew,M23),0),0)</f>
        <v>0</v>
      </c>
      <c r="Z23" s="24">
        <f>IF(M23&gt;0,IF(ISNUMBER(INDEX(a_PFreeRen,M23)),INDEX(a_PFreeRen,M23),0),0)</f>
        <v>0</v>
      </c>
      <c r="AA23" s="88">
        <f>IF(M23&gt;0,IF(ISNUMBER(INDEX(a_PRenPct,M23)),INDEX(a_PRenPct,M23),1),1)</f>
        <v>1</v>
      </c>
      <c r="AB23" s="24">
        <f>IF(M23&gt;0,IF(ISNUMBER(INDEX(a_PAF,M23)),INDEX(a_PAF,M23),0),0)</f>
        <v>0</v>
      </c>
      <c r="AC23" s="88">
        <f>IF(ISNUMBER('Rent Roll'!V23),'Rent Roll'!V23,IF(M23&gt;0,IF(ISNUMBER(INDEX(a_PRenew,M23)),INDEX(a_PRenew,M23),0),0.8))</f>
        <v>0.8</v>
      </c>
      <c r="AD23" s="23" t="str">
        <f>IF('Rent Roll'!W23="","Probability",'Rent Roll'!W23)</f>
        <v>Probability</v>
      </c>
      <c r="AE23" s="88">
        <f>IF(AD23="Renew",1,IF(AD23="Vacate",0,AC23))</f>
        <v>0.8</v>
      </c>
      <c r="AF23" s="88">
        <f>IF(AD23="Renew",1,IF(ISNUMBER('Rent Roll'!AA23),'Rent Roll'!AA23,AC23))</f>
        <v>0.8</v>
      </c>
      <c r="AG23" s="24">
        <f>IF(AND(N23=1,IF(ISNUMBER('Rent Roll'!Y23),'Rent Roll'!Y23,0)&gt;0,IF(ISNUMBER('Rent Roll'!Z23),'Rent Roll'!Z23,0)&gt;0,AF23&gt;0,AD23&lt;&gt;"Vacate",C23&gt;0),1,0)</f>
        <v>0</v>
      </c>
      <c r="AH23" s="24">
        <f>ROUND(12*IF(ISNUMBER('Rent Roll'!Y23),'Rent Roll'!Y23,0),0)</f>
        <v>0</v>
      </c>
      <c r="AI23" s="29">
        <f>IF(ISNUMBER('Rent Roll'!Z23),'Rent Roll'!Z23,0)</f>
        <v>0</v>
      </c>
      <c r="AJ23" s="24">
        <f>IF('Rent Roll'!P23="Base year",1,0)</f>
        <v>0</v>
      </c>
      <c r="AK23" s="88">
        <f>IF(ISNUMBER('Rent Roll'!Q23),'Rent Roll'!Q23,0)</f>
        <v>0</v>
      </c>
      <c r="AL23" s="24">
        <f>IF(AND('Rent Roll'!AH23="Yes",a_AnchorInVac&lt;&gt;"Yes"),1,0)</f>
        <v>0</v>
      </c>
      <c r="AM23" s="29">
        <f>IF(ISNUMBER('Rent Roll'!AL23),'Rent Roll'!AL23,0)</f>
        <v>0</v>
      </c>
      <c r="AN23" s="88">
        <f>IF(ISNUMBER('Rent Roll'!AM23),'Rent Roll'!AM23,0)</f>
        <v>0</v>
      </c>
      <c r="AO23" s="88">
        <f>IF(AND(BC23=1,N23=1),V23,I23)</f>
        <v>0</v>
      </c>
      <c r="AP23" s="24">
        <f>IF(AND(BC23=1,N23=1),W23,J23)</f>
        <v>1</v>
      </c>
      <c r="AQ23" s="24">
        <f>IF(AO23=0,G23/12,AP23*((1+AO23)^INT(INT(G23/12)/AP23)-1)/AO23+(INT(G23/12)-INT(INT(G23/12)/AP23)*AP23)*(1+AO23)^INT(INT(G23/12)/AP23)+(G23/12-INT(G23/12))*(1+AO23)^INT(INT(G23/12)/AP23))</f>
        <v>0</v>
      </c>
      <c r="AR23" s="24">
        <f>IF(AND(C23&gt;0,BU23&lt;9999,BU23&gt;0),INT((BU23-1)/12)+1,0)</f>
        <v>0</v>
      </c>
      <c r="AS23" s="24">
        <f>COUNTIF('Lease Cycles'!$BG$23:$BM$23,"&lt;132")</f>
        <v>0</v>
      </c>
      <c r="AT23" s="24">
        <f>IF(AND(ISNUMBER('Rent Roll'!AR23),IF(ISNUMBER('Rent Roll'!AS23),'Rent Roll'!AS23,0)&gt;0),(YEAR('Rent Roll'!AR23)-YEAR(in_AnalysisStart))*12+MONTH('Rent Roll'!AR23)-MONTH(in_AnalysisStart),9999)</f>
        <v>9999</v>
      </c>
      <c r="AU23" s="29">
        <f>IF(ISNUMBER('Rent Roll'!AS23),'Rent Roll'!AS23,0)</f>
        <v>0</v>
      </c>
      <c r="AV23" s="24">
        <f>IF(AND(ISNUMBER('Rent Roll'!AT23),IF(ISNUMBER('Rent Roll'!AU23),'Rent Roll'!AU23,0)&gt;0),(YEAR('Rent Roll'!AT23)-YEAR(in_AnalysisStart))*12+MONTH('Rent Roll'!AT23)-MONTH(in_AnalysisStart),9999)</f>
        <v>9999</v>
      </c>
      <c r="AW23" s="29">
        <f>IF(ISNUMBER('Rent Roll'!AU23),'Rent Roll'!AU23,0)</f>
        <v>0</v>
      </c>
      <c r="AX23" s="24">
        <f>IF(AND(ISNUMBER('Rent Roll'!AV23),IF(ISNUMBER('Rent Roll'!AW23),'Rent Roll'!AW23,0)&gt;0),(YEAR('Rent Roll'!AV23)-YEAR(in_AnalysisStart))*12+MONTH('Rent Roll'!AV23)-MONTH(in_AnalysisStart),9999)</f>
        <v>9999</v>
      </c>
      <c r="AY23" s="29">
        <f>IF(ISNUMBER('Rent Roll'!AW23),'Rent Roll'!AW23,0)</f>
        <v>0</v>
      </c>
      <c r="AZ23" s="24">
        <f>IF(AND(ISNUMBER('Rent Roll'!AX23),IF(ISNUMBER('Rent Roll'!AY23),'Rent Roll'!AY23,0)&gt;0),(YEAR('Rent Roll'!AX23)-YEAR(in_AnalysisStart))*12+MONTH('Rent Roll'!AX23)-MONTH(in_AnalysisStart),9999)</f>
        <v>9999</v>
      </c>
      <c r="BA23" s="29">
        <f>IF(ISNUMBER('Rent Roll'!AY23),'Rent Roll'!AY23,0)</f>
        <v>0</v>
      </c>
      <c r="BB23" s="29">
        <f>IF(BU23&gt;=9999,O23,O23*(1+X23)^((BU23-F23)/12))</f>
        <v>0</v>
      </c>
      <c r="BC23" s="24">
        <f>IF(AND('Rent Roll'!AZ23="Yes",F23&gt;0,BD23&gt;0,AT23&gt;=9999),1,0)</f>
        <v>0</v>
      </c>
      <c r="BD23" s="29">
        <f>IF(ISNUMBER('Rent Roll'!I23),'Rent Roll'!I23,0)</f>
        <v>0</v>
      </c>
      <c r="BE23" s="24">
        <f>IF(a_MarketRecovery="Base year",1,0)</f>
        <v>0</v>
      </c>
      <c r="BG23" s="24">
        <f>IF(C23&gt;0,F23,9999)</f>
        <v>9999</v>
      </c>
      <c r="BH23" s="24">
        <f>BU23</f>
        <v>9999</v>
      </c>
      <c r="BI23" s="24">
        <f>IF(OR(N23=0,BV23&gt;=9999),9999,IF(AG23=1,BV23,INT(BV23+IP23)))</f>
        <v>9999</v>
      </c>
      <c r="BJ23" s="24">
        <f>IF(OR(N23=0,BW23&gt;=9999),9999,INT(BW23+IQ23))</f>
        <v>9999</v>
      </c>
      <c r="BK23" s="24">
        <f>IF(OR(N23=0,BX23&gt;=9999),9999,INT(BX23+IR23))</f>
        <v>9999</v>
      </c>
      <c r="BL23" s="24">
        <f>IF(OR(N23=0,BY23&gt;=9999),9999,INT(BY23+IS23))</f>
        <v>9999</v>
      </c>
      <c r="BM23" s="24">
        <f>IF(OR(N23=0,BZ23&gt;=9999),9999,INT(BZ23+IT23))</f>
        <v>9999</v>
      </c>
      <c r="BN23" s="24">
        <f>G23</f>
        <v>0</v>
      </c>
      <c r="BO23" s="24">
        <f>IF(AG23=1,AH23,0)</f>
        <v>0</v>
      </c>
      <c r="BP23" s="24">
        <f>MAX(12,ROUND(12*Q23,0))</f>
        <v>60</v>
      </c>
      <c r="BQ23" s="24">
        <f>MAX(12,ROUND(12*Q23,0))</f>
        <v>60</v>
      </c>
      <c r="BR23" s="24">
        <f>MAX(12,ROUND(12*Q23,0))</f>
        <v>60</v>
      </c>
      <c r="BS23" s="24">
        <f>MAX(12,ROUND(12*Q23,0))</f>
        <v>60</v>
      </c>
      <c r="BT23" s="24">
        <f>MAX(12,ROUND(12*Q23,0))</f>
        <v>60</v>
      </c>
      <c r="BU23" s="24">
        <f>BG23+BN23</f>
        <v>9999</v>
      </c>
      <c r="BV23" s="24">
        <f>BH23+BO23</f>
        <v>9999</v>
      </c>
      <c r="BW23" s="24">
        <f>IF(BI23&gt;=9999,9999,BI23+BP23)</f>
        <v>9999</v>
      </c>
      <c r="BX23" s="24">
        <f>IF(BJ23&gt;=9999,9999,BJ23+BQ23)</f>
        <v>9999</v>
      </c>
      <c r="BY23" s="24">
        <f>IF(BK23&gt;=9999,9999,BK23+BR23)</f>
        <v>9999</v>
      </c>
      <c r="BZ23" s="24">
        <f>IF(BL23&gt;=9999,9999,BL23+BS23)</f>
        <v>9999</v>
      </c>
      <c r="CA23" s="24">
        <f>IF(BM23&gt;=9999,9999,BM23+BT23)</f>
        <v>9999</v>
      </c>
      <c r="CB23" s="24">
        <f>E23</f>
        <v>0</v>
      </c>
      <c r="CC23" s="24">
        <f>AI23</f>
        <v>0</v>
      </c>
      <c r="CD23" s="24">
        <f>IF(BI23&gt;=9999,0,O23*(1+X23)^((BI23-F23)/12)*(AA23*II23+1-II23))</f>
        <v>0</v>
      </c>
      <c r="CE23" s="24">
        <f>IF(BJ23&gt;=9999,0,O23*(1+X23)^((BJ23-F23)/12)*(AA23*IJ23+1-IJ23))</f>
        <v>0</v>
      </c>
      <c r="CF23" s="24">
        <f>IF(BK23&gt;=9999,0,O23*(1+X23)^((BK23-F23)/12)*(AA23*IK23+1-IK23))</f>
        <v>0</v>
      </c>
      <c r="CG23" s="24">
        <f>IF(BL23&gt;=9999,0,O23*(1+X23)^((BL23-F23)/12)*(AA23*IL23+1-IL23))</f>
        <v>0</v>
      </c>
      <c r="CH23" s="24">
        <f>IF(BM23&gt;=9999,0,O23*(1+X23)^((BM23-F23)/12)*(AA23*IM23+1-IM23))</f>
        <v>0</v>
      </c>
      <c r="CI23" s="24">
        <f>AO23</f>
        <v>0</v>
      </c>
      <c r="CJ23" s="24">
        <f>I23</f>
        <v>0</v>
      </c>
      <c r="CK23" s="24">
        <f>V23</f>
        <v>0</v>
      </c>
      <c r="CL23" s="24">
        <f>V23</f>
        <v>0</v>
      </c>
      <c r="CM23" s="24">
        <f>V23</f>
        <v>0</v>
      </c>
      <c r="CN23" s="24">
        <f>V23</f>
        <v>0</v>
      </c>
      <c r="CO23" s="24">
        <f>V23</f>
        <v>0</v>
      </c>
      <c r="CP23" s="24">
        <f>AP23</f>
        <v>1</v>
      </c>
      <c r="CQ23" s="24">
        <f>J23</f>
        <v>1</v>
      </c>
      <c r="CR23" s="24">
        <f>W23</f>
        <v>1</v>
      </c>
      <c r="CS23" s="24">
        <f>W23</f>
        <v>1</v>
      </c>
      <c r="CT23" s="24">
        <f>W23</f>
        <v>1</v>
      </c>
      <c r="CU23" s="24">
        <f>W23</f>
        <v>1</v>
      </c>
      <c r="CV23" s="24">
        <f>W23</f>
        <v>1</v>
      </c>
      <c r="CW23" s="24">
        <f>H23</f>
        <v>0</v>
      </c>
      <c r="CX23" s="24">
        <v>0</v>
      </c>
      <c r="CY23" s="24">
        <f>Y23*(1-II23)+Z23*II23</f>
        <v>0</v>
      </c>
      <c r="CZ23" s="24">
        <f>Y23*(1-IJ23)+Z23*IJ23</f>
        <v>0</v>
      </c>
      <c r="DA23" s="24">
        <f>Y23*(1-IK23)+Z23*IK23</f>
        <v>0</v>
      </c>
      <c r="DB23" s="24">
        <f>Y23*(1-IL23)+Z23*IL23</f>
        <v>0</v>
      </c>
      <c r="DC23" s="24">
        <f>Y23*(1-IM23)+Z23*IM23</f>
        <v>0</v>
      </c>
      <c r="DD23" s="24">
        <v>0</v>
      </c>
      <c r="DE23" s="24">
        <v>0</v>
      </c>
      <c r="DF23" s="24">
        <f>IF(BI23&gt;=9999,0,IF(AG23=1,0,BV23+IP23-BI23))</f>
        <v>0</v>
      </c>
      <c r="DG23" s="24">
        <f>IF(BJ23&gt;=9999,0,BW23+IQ23-BJ23)</f>
        <v>0</v>
      </c>
      <c r="DH23" s="24">
        <f>IF(BK23&gt;=9999,0,BX23+IR23-BK23)</f>
        <v>0</v>
      </c>
      <c r="DI23" s="24">
        <f>IF(BL23&gt;=9999,0,BY23+IS23-BL23)</f>
        <v>0</v>
      </c>
      <c r="DJ23" s="24">
        <f>IF(BM23&gt;=9999,0,BZ23+IT23-BM23)</f>
        <v>0</v>
      </c>
      <c r="DK23" s="24">
        <f>INT(CW23+DD23)</f>
        <v>0</v>
      </c>
      <c r="DL23" s="24">
        <v>0</v>
      </c>
      <c r="DM23" s="24">
        <f>INT(CY23+DF23)</f>
        <v>0</v>
      </c>
      <c r="DN23" s="24">
        <f>INT(CZ23+DG23)</f>
        <v>0</v>
      </c>
      <c r="DO23" s="24">
        <f>INT(DA23+DH23)</f>
        <v>0</v>
      </c>
      <c r="DP23" s="24">
        <f>INT(DB23+DI23)</f>
        <v>0</v>
      </c>
      <c r="DQ23" s="24">
        <f>INT(DC23+DJ23)</f>
        <v>0</v>
      </c>
      <c r="DR23" s="24">
        <f>CW23+DD23-DK23</f>
        <v>0</v>
      </c>
      <c r="DS23" s="24">
        <v>0</v>
      </c>
      <c r="DT23" s="24">
        <f>CY23+DF23-DM23</f>
        <v>0</v>
      </c>
      <c r="DU23" s="24">
        <f>CZ23+DG23-DN23</f>
        <v>0</v>
      </c>
      <c r="DV23" s="24">
        <f>DA23+DH23-DO23</f>
        <v>0</v>
      </c>
      <c r="DW23" s="24">
        <f>DB23+DI23-DP23</f>
        <v>0</v>
      </c>
      <c r="DX23" s="24">
        <f>DC23+DJ23-DQ23</f>
        <v>0</v>
      </c>
      <c r="DY23" s="24">
        <v>1</v>
      </c>
      <c r="DZ23" s="24">
        <v>1</v>
      </c>
      <c r="EA23" s="24">
        <v>0</v>
      </c>
      <c r="EB23" s="24">
        <v>0</v>
      </c>
      <c r="EC23" s="24">
        <v>0</v>
      </c>
      <c r="ED23" s="24">
        <v>0</v>
      </c>
      <c r="EE23" s="24">
        <v>0</v>
      </c>
      <c r="EF23" s="24">
        <v>0</v>
      </c>
      <c r="EG23" s="24">
        <f>IF(AG23=1,1,2)</f>
        <v>2</v>
      </c>
      <c r="EH23" s="24">
        <v>0</v>
      </c>
      <c r="EI23" s="24">
        <v>0</v>
      </c>
      <c r="EJ23" s="24">
        <v>0</v>
      </c>
      <c r="EK23" s="24">
        <v>0</v>
      </c>
      <c r="EL23" s="24">
        <v>0</v>
      </c>
      <c r="EM23" s="24">
        <v>1</v>
      </c>
      <c r="EN23" s="24">
        <f>IF(AG23=1,AF23,1)</f>
        <v>1</v>
      </c>
      <c r="EO23" s="24">
        <v>1</v>
      </c>
      <c r="EP23" s="24">
        <v>1</v>
      </c>
      <c r="EQ23" s="24">
        <v>1</v>
      </c>
      <c r="ER23" s="24">
        <v>1</v>
      </c>
      <c r="ES23" s="24">
        <v>1</v>
      </c>
      <c r="ET23" s="24">
        <v>0</v>
      </c>
      <c r="EU23" s="24">
        <f>BB23</f>
        <v>0</v>
      </c>
      <c r="EV23" s="24">
        <v>0</v>
      </c>
      <c r="EW23" s="24">
        <v>0</v>
      </c>
      <c r="EX23" s="24">
        <v>0</v>
      </c>
      <c r="EY23" s="24">
        <v>0</v>
      </c>
      <c r="EZ23" s="24">
        <v>0</v>
      </c>
      <c r="FA23" s="24">
        <v>0</v>
      </c>
      <c r="FB23" s="24">
        <f>ROUND(P23,0)</f>
        <v>0</v>
      </c>
      <c r="FC23" s="24">
        <v>0</v>
      </c>
      <c r="FD23" s="24">
        <v>0</v>
      </c>
      <c r="FE23" s="24">
        <v>0</v>
      </c>
      <c r="FF23" s="24">
        <v>0</v>
      </c>
      <c r="FG23" s="24">
        <v>0</v>
      </c>
      <c r="FH23" s="24">
        <f>AK23</f>
        <v>0</v>
      </c>
      <c r="FI23" s="24">
        <f>IF(AG23=1,AK23*AF23,FH23)</f>
        <v>0</v>
      </c>
      <c r="FJ23" s="24">
        <f>FI23*II23</f>
        <v>0</v>
      </c>
      <c r="FK23" s="24">
        <f>FJ23*IJ23</f>
        <v>0</v>
      </c>
      <c r="FL23" s="24">
        <f>FK23*IK23</f>
        <v>0</v>
      </c>
      <c r="FM23" s="24">
        <f>FL23*IL23</f>
        <v>0</v>
      </c>
      <c r="FN23" s="24">
        <f>FM23*IM23</f>
        <v>0</v>
      </c>
      <c r="FO23" s="24">
        <v>1</v>
      </c>
      <c r="FP23" s="24">
        <f>FV23</f>
        <v>1</v>
      </c>
      <c r="FQ23" s="24">
        <f>FW23*II23</f>
        <v>0.8</v>
      </c>
      <c r="FR23" s="24">
        <f>FX23*IJ23</f>
        <v>0.6400000000000001</v>
      </c>
      <c r="FS23" s="24">
        <f>FY23*IK23</f>
        <v>0.5120000000000001</v>
      </c>
      <c r="FT23" s="24">
        <f>FZ23*IL23</f>
        <v>0.40960000000000013</v>
      </c>
      <c r="FU23" s="24">
        <f>GA23*IM23</f>
        <v>0.32768000000000014</v>
      </c>
      <c r="FV23" s="24">
        <v>1</v>
      </c>
      <c r="FW23" s="24">
        <f>IF(AG23=1,FP23*AF23,FV23)</f>
        <v>1</v>
      </c>
      <c r="FX23" s="24">
        <f>FQ23</f>
        <v>0.8</v>
      </c>
      <c r="FY23" s="24">
        <f>FR23</f>
        <v>0.6400000000000001</v>
      </c>
      <c r="FZ23" s="24">
        <f>FS23</f>
        <v>0.5120000000000001</v>
      </c>
      <c r="GA23" s="24">
        <f>FT23</f>
        <v>0.40960000000000013</v>
      </c>
      <c r="GB23" s="24">
        <f>FU23</f>
        <v>0.32768000000000014</v>
      </c>
      <c r="GC23" s="24">
        <v>0</v>
      </c>
      <c r="GD23" s="24">
        <f>GC23</f>
        <v>0</v>
      </c>
      <c r="GE23" s="24">
        <f>IF(BI23&gt;=9999,0,INT(BI23/12))</f>
        <v>0</v>
      </c>
      <c r="GF23" s="24">
        <f>IF(BJ23&gt;=9999,0,INT(BJ23/12))</f>
        <v>0</v>
      </c>
      <c r="GG23" s="24">
        <f>IF(BK23&gt;=9999,0,INT(BK23/12))</f>
        <v>0</v>
      </c>
      <c r="GH23" s="24">
        <f>IF(BL23&gt;=9999,0,INT(BL23/12))</f>
        <v>0</v>
      </c>
      <c r="GI23" s="24">
        <f>IF(BM23&gt;=9999,0,INT(BM23/12))</f>
        <v>0</v>
      </c>
      <c r="GJ23" s="24">
        <f>BG23</f>
        <v>9999</v>
      </c>
      <c r="GK23" s="24">
        <f>IF(AG23=1,BH23,GJ23)</f>
        <v>9999</v>
      </c>
      <c r="GL23" s="24">
        <f>BI23</f>
        <v>9999</v>
      </c>
      <c r="GM23" s="24">
        <f>BJ23</f>
        <v>9999</v>
      </c>
      <c r="GN23" s="24">
        <f>BK23</f>
        <v>9999</v>
      </c>
      <c r="GO23" s="24">
        <f>BL23</f>
        <v>9999</v>
      </c>
      <c r="GP23" s="24">
        <f>BM23</f>
        <v>9999</v>
      </c>
      <c r="GQ23" s="24">
        <f>CI23</f>
        <v>0</v>
      </c>
      <c r="GR23" s="24">
        <f>IF(AG23=1,I23,GQ23)</f>
        <v>0</v>
      </c>
      <c r="GS23" s="24">
        <f>V23</f>
        <v>0</v>
      </c>
      <c r="GT23" s="24">
        <f>V23</f>
        <v>0</v>
      </c>
      <c r="GU23" s="24">
        <f>V23</f>
        <v>0</v>
      </c>
      <c r="GV23" s="24">
        <f>V23</f>
        <v>0</v>
      </c>
      <c r="GW23" s="24">
        <f>V23</f>
        <v>0</v>
      </c>
      <c r="GX23" s="24">
        <f>CP23</f>
        <v>1</v>
      </c>
      <c r="GY23" s="24">
        <f>IF(AG23=1,J23,GX23)</f>
        <v>1</v>
      </c>
      <c r="GZ23" s="24">
        <f>W23</f>
        <v>1</v>
      </c>
      <c r="HA23" s="24">
        <f>W23</f>
        <v>1</v>
      </c>
      <c r="HB23" s="24">
        <f>W23</f>
        <v>1</v>
      </c>
      <c r="HC23" s="24">
        <f>W23</f>
        <v>1</v>
      </c>
      <c r="HD23" s="24">
        <f>W23</f>
        <v>1</v>
      </c>
      <c r="HE23" s="24">
        <f>IF(BU23&gt;=9999,1,(1+X23)^(BU23/12))</f>
        <v>1</v>
      </c>
      <c r="HF23" s="24">
        <f>IF(AG23=1,IF(BV23&gt;=9999,1,(1+X23)^(BV23/12)),HE23)</f>
        <v>1</v>
      </c>
      <c r="HG23" s="24">
        <f>IF(BW23&gt;=9999,1,(1+X23)^(BW23/12))</f>
        <v>1</v>
      </c>
      <c r="HH23" s="24">
        <f>IF(BX23&gt;=9999,1,(1+X23)^(BX23/12))</f>
        <v>1</v>
      </c>
      <c r="HI23" s="24">
        <f>IF(BY23&gt;=9999,1,(1+X23)^(BY23/12))</f>
        <v>1</v>
      </c>
      <c r="HJ23" s="24">
        <f>IF(BZ23&gt;=9999,1,(1+X23)^(BZ23/12))</f>
        <v>1</v>
      </c>
      <c r="HK23" s="24">
        <f>IF(CA23&gt;=9999,1,(1+X23)^(CA23/12))</f>
        <v>1</v>
      </c>
      <c r="HL23" s="24">
        <f>IF(AND(F23&gt;0,C23&gt;0),F23,-1)</f>
        <v>-1</v>
      </c>
      <c r="HM23" s="24">
        <f>IF(AG23=1,BU23+FB23,-1)</f>
        <v>-1</v>
      </c>
      <c r="HN23" s="24">
        <f>IF(BI23&gt;=9999,-1,BV23+ROUND(IP23,0))</f>
        <v>-1</v>
      </c>
      <c r="HO23" s="24">
        <f>IF(BJ23&gt;=9999,-1,IF(HN23&lt;0,BW23,HN23+BP23)+ROUND(IQ23,0))</f>
        <v>-1</v>
      </c>
      <c r="HP23" s="24">
        <f>IF(BK23&gt;=9999,-1,IF(HO23&lt;0,BX23,HO23+BQ23)+ROUND(IR23,0))</f>
        <v>-1</v>
      </c>
      <c r="HQ23" s="24">
        <f>IF(BL23&gt;=9999,-1,IF(HP23&lt;0,BY23,HP23+BR23)+ROUND(IS23,0))</f>
        <v>-1</v>
      </c>
      <c r="HR23" s="24">
        <f>IF(BM23&gt;=9999,-1,IF(HQ23&lt;0,BZ23,HQ23+BS23)+ROUND(IT23,0))</f>
        <v>-1</v>
      </c>
      <c r="HS23" s="24">
        <f>IF(HL23&lt;0,0,C23*K23)</f>
        <v>0</v>
      </c>
      <c r="HT23" s="24">
        <f>IF(AG23=1,C23*R23*(1+in_ExpenseGrowth)^(HM23/12)*(1-AF23),0)</f>
        <v>0</v>
      </c>
      <c r="HU23" s="24">
        <f>IF(HN23&lt;0,0,C23*(S23*II23+R23*(1-II23))*(1+in_ExpenseGrowth)^(HN23/12))</f>
        <v>0</v>
      </c>
      <c r="HV23" s="24">
        <f>IF(HO23&lt;0,0,C23*(S23*IJ23+R23*(1-IJ23))*(1+in_ExpenseGrowth)^(HO23/12))</f>
        <v>0</v>
      </c>
      <c r="HW23" s="24">
        <f>IF(HP23&lt;0,0,C23*(S23*IK23+R23*(1-IK23))*(1+in_ExpenseGrowth)^(HP23/12))</f>
        <v>0</v>
      </c>
      <c r="HX23" s="24">
        <f>IF(HQ23&lt;0,0,C23*(S23*IL23+R23*(1-IL23))*(1+in_ExpenseGrowth)^(HQ23/12))</f>
        <v>0</v>
      </c>
      <c r="HY23" s="24">
        <f>IF(HR23&lt;0,0,C23*(S23*IM23+R23*(1-IM23))*(1+in_ExpenseGrowth)^(HR23/12))</f>
        <v>0</v>
      </c>
      <c r="HZ23" s="24">
        <f>IF(HL23&lt;0,0,L23*C23*E23*AQ23)</f>
        <v>0</v>
      </c>
      <c r="IA23" s="24">
        <f>IF(AG23=1,T23*C23*O23*(1+X23)^(MAX(0,HM23-F23)/12)*AB23*(1-AF23),0)</f>
        <v>0</v>
      </c>
      <c r="IB23" s="24">
        <f>IF(HN23&lt;0,0,(U23*II23+T23*(1-II23))*C23*O23*(1+X23)^(MAX(0,HN23-F23)/12)*(AA23*II23+1-II23)*AB23)</f>
        <v>0</v>
      </c>
      <c r="IC23" s="24">
        <f>IF(HO23&lt;0,0,(U23*IJ23+T23*(1-IJ23))*C23*O23*(1+X23)^(MAX(0,HO23-F23)/12)*(AA23*IJ23+1-IJ23)*AB23)</f>
        <v>0</v>
      </c>
      <c r="ID23" s="24">
        <f>IF(HP23&lt;0,0,(U23*IK23+T23*(1-IK23))*C23*O23*(1+X23)^(MAX(0,HP23-F23)/12)*(AA23*IK23+1-IK23)*AB23)</f>
        <v>0</v>
      </c>
      <c r="IE23" s="24">
        <f>IF(HQ23&lt;0,0,(U23*IL23+T23*(1-IL23))*C23*O23*(1+X23)^(MAX(0,HQ23-F23)/12)*(AA23*IL23+1-IL23)*AB23)</f>
        <v>0</v>
      </c>
      <c r="IF23" s="24">
        <f>IF(HR23&lt;0,0,(U23*IM23+T23*(1-IM23))*C23*O23*(1+X23)^(MAX(0,HR23-F23)/12)*(AA23*IM23+1-IM23)*AB23)</f>
        <v>0</v>
      </c>
      <c r="IG23" s="24">
        <v>1</v>
      </c>
      <c r="IH23" s="24">
        <f>IF(AG23=1,AF23,1)</f>
        <v>1</v>
      </c>
      <c r="II23" s="24">
        <f>IF(AG23=1,AC23,AE23)</f>
        <v>0.8</v>
      </c>
      <c r="IJ23" s="24">
        <f>AC23</f>
        <v>0.8</v>
      </c>
      <c r="IK23" s="24">
        <f>AC23</f>
        <v>0.8</v>
      </c>
      <c r="IL23" s="24">
        <f>AC23</f>
        <v>0.8</v>
      </c>
      <c r="IM23" s="24">
        <f>AC23</f>
        <v>0.8</v>
      </c>
      <c r="IN23" s="24">
        <v>0</v>
      </c>
      <c r="IO23" s="24">
        <f>P23</f>
        <v>0</v>
      </c>
      <c r="IP23" s="24">
        <f>P23*(1-II23)</f>
        <v>0</v>
      </c>
      <c r="IQ23" s="24">
        <f>P23*(1-IJ23)</f>
        <v>0</v>
      </c>
      <c r="IR23" s="24">
        <f>P23*(1-IK23)</f>
        <v>0</v>
      </c>
      <c r="IS23" s="24">
        <f>P23*(1-IL23)</f>
        <v>0</v>
      </c>
      <c r="IT23" s="24">
        <f>P23*(1-IM23)</f>
        <v>0</v>
      </c>
    </row>
    <row r="24">
      <c r="A24" s="25">
        <v>17</v>
      </c>
      <c r="B24" s="23" t="str">
        <f>IF('Rent Roll'!C24="","",'Rent Roll'!C24)</f>
        <v/>
      </c>
      <c r="C24" s="24">
        <f>IF(ISNUMBER('Rent Roll'!E24),MAX(0,'Rent Roll'!E24),0)</f>
        <v>0</v>
      </c>
      <c r="D24" s="88">
        <f>IF(a_GLA&gt;0,C24/a_GLA,0)</f>
        <v>0</v>
      </c>
      <c r="E24" s="29">
        <f>IF(BC24=1,ROUND(BD24*(1+X24)^(F24/12),2),BD24)</f>
        <v>0</v>
      </c>
      <c r="F24" s="24">
        <f>IF(C24&gt;0,MAX(0,(YEAR(IF(ISNUMBER('Rent Roll'!G24),'Rent Roll'!G24,0))-YEAR(in_AnalysisStart))*12+MONTH(IF(ISNUMBER('Rent Roll'!G24),'Rent Roll'!G24,0))-MONTH(in_AnalysisStart)),0)</f>
        <v>0</v>
      </c>
      <c r="G24" s="24">
        <f>IF(C24&gt;0,MAX(0,(YEAR(IF(ISNUMBER('Rent Roll'!H24),'Rent Roll'!H24,0))-YEAR(in_AnalysisStart))*12+MONTH(IF(ISNUMBER('Rent Roll'!H24),'Rent Roll'!H24,0))-MONTH(in_AnalysisStart)+1-F24),0)</f>
        <v>0</v>
      </c>
      <c r="H24" s="24">
        <f>IF(ISNUMBER('Rent Roll'!N24),'Rent Roll'!N24,0)</f>
        <v>0</v>
      </c>
      <c r="I24" s="88">
        <f>IF(ISNUMBER('Rent Roll'!L24),'Rent Roll'!L24,0)</f>
        <v>0</v>
      </c>
      <c r="J24" s="24">
        <f>MAX(1,ROUND(IF(ISNUMBER('Rent Roll'!M24),'Rent Roll'!M24,0),0))</f>
        <v>1</v>
      </c>
      <c r="K24" s="29">
        <f>IF(ISNUMBER('Rent Roll'!AJ24),'Rent Roll'!AJ24,0)</f>
        <v>0</v>
      </c>
      <c r="L24" s="88">
        <f>IF(IF(ISNUMBER('Rent Roll'!AK24),'Rent Roll'!AK24,0)&gt;0,'Rent Roll'!AK24,a_LeaseUpLC)</f>
        <v>0.06</v>
      </c>
      <c r="M24" s="24">
        <f>IF('Rent Roll'!R24="",0,IFERROR(MATCH('Rent Roll'!R24,a_PName,0),0))</f>
        <v>0</v>
      </c>
      <c r="N24" s="24">
        <f>IF(M24&gt;0,1,0)</f>
        <v>0</v>
      </c>
      <c r="O24" s="29">
        <f>IF(IF(ISNUMBER('Rent Roll'!S24),'Rent Roll'!S24,0)&gt;0,'Rent Roll'!S24,IF(M24&gt;0,IF(ISNUMBER(INDEX(a_PRent,M24)),INDEX(a_PRent,M24),0),0))</f>
        <v>0</v>
      </c>
      <c r="P24" s="24">
        <f>IF(M24&gt;0,IF(ISNUMBER(INDEX(a_PDown,M24)),INDEX(a_PDown,M24),0),0)</f>
        <v>0</v>
      </c>
      <c r="Q24" s="24">
        <f>IF(M24&gt;0,MAX(1,IF(ISNUMBER(INDEX(a_PTerm,M24)),INDEX(a_PTerm,M24),0)),5)</f>
        <v>5</v>
      </c>
      <c r="R24" s="29">
        <f>IF(M24&gt;0,IF(ISNUMBER(INDEX(a_PTiNew,M24)),INDEX(a_PTiNew,M24),0),0)</f>
        <v>0</v>
      </c>
      <c r="S24" s="29">
        <f>IF(M24&gt;0,IF(ISNUMBER(INDEX(a_PTiRen,M24)),INDEX(a_PTiRen,M24),0),0)</f>
        <v>0</v>
      </c>
      <c r="T24" s="88">
        <f>IF(M24&gt;0,IF(ISNUMBER(INDEX(a_PLcNew,M24)),INDEX(a_PLcNew,M24),0),0)</f>
        <v>0</v>
      </c>
      <c r="U24" s="88">
        <f>IF(M24&gt;0,IF(ISNUMBER(INDEX(a_PLcRen,M24)),INDEX(a_PLcRen,M24),0),0)</f>
        <v>0</v>
      </c>
      <c r="V24" s="88">
        <f>IF(M24&gt;0,IF(ISNUMBER(INDEX(a_PBump,M24)),INDEX(a_PBump,M24),0),0)</f>
        <v>0</v>
      </c>
      <c r="W24" s="24">
        <f>MAX(1,ROUND(IF(M24&gt;0,IF(ISNUMBER(INDEX(a_PEvery,M24)),INDEX(a_PEvery,M24),0),1),0))</f>
        <v>1</v>
      </c>
      <c r="X24" s="88">
        <f>IF(M24&gt;0,IF(ISNUMBER(INDEX(a_PGrow,M24)),INDEX(a_PGrow,M24),in_RentGrowth),in_RentGrowth)</f>
        <v>0.03</v>
      </c>
      <c r="Y24" s="24">
        <f>IF(M24&gt;0,IF(ISNUMBER(INDEX(a_PFreeNew,M24)),INDEX(a_PFreeNew,M24),0),0)</f>
        <v>0</v>
      </c>
      <c r="Z24" s="24">
        <f>IF(M24&gt;0,IF(ISNUMBER(INDEX(a_PFreeRen,M24)),INDEX(a_PFreeRen,M24),0),0)</f>
        <v>0</v>
      </c>
      <c r="AA24" s="88">
        <f>IF(M24&gt;0,IF(ISNUMBER(INDEX(a_PRenPct,M24)),INDEX(a_PRenPct,M24),1),1)</f>
        <v>1</v>
      </c>
      <c r="AB24" s="24">
        <f>IF(M24&gt;0,IF(ISNUMBER(INDEX(a_PAF,M24)),INDEX(a_PAF,M24),0),0)</f>
        <v>0</v>
      </c>
      <c r="AC24" s="88">
        <f>IF(ISNUMBER('Rent Roll'!V24),'Rent Roll'!V24,IF(M24&gt;0,IF(ISNUMBER(INDEX(a_PRenew,M24)),INDEX(a_PRenew,M24),0),0.8))</f>
        <v>0.8</v>
      </c>
      <c r="AD24" s="23" t="str">
        <f>IF('Rent Roll'!W24="","Probability",'Rent Roll'!W24)</f>
        <v>Probability</v>
      </c>
      <c r="AE24" s="88">
        <f>IF(AD24="Renew",1,IF(AD24="Vacate",0,AC24))</f>
        <v>0.8</v>
      </c>
      <c r="AF24" s="88">
        <f>IF(AD24="Renew",1,IF(ISNUMBER('Rent Roll'!AA24),'Rent Roll'!AA24,AC24))</f>
        <v>0.8</v>
      </c>
      <c r="AG24" s="24">
        <f>IF(AND(N24=1,IF(ISNUMBER('Rent Roll'!Y24),'Rent Roll'!Y24,0)&gt;0,IF(ISNUMBER('Rent Roll'!Z24),'Rent Roll'!Z24,0)&gt;0,AF24&gt;0,AD24&lt;&gt;"Vacate",C24&gt;0),1,0)</f>
        <v>0</v>
      </c>
      <c r="AH24" s="24">
        <f>ROUND(12*IF(ISNUMBER('Rent Roll'!Y24),'Rent Roll'!Y24,0),0)</f>
        <v>0</v>
      </c>
      <c r="AI24" s="29">
        <f>IF(ISNUMBER('Rent Roll'!Z24),'Rent Roll'!Z24,0)</f>
        <v>0</v>
      </c>
      <c r="AJ24" s="24">
        <f>IF('Rent Roll'!P24="Base year",1,0)</f>
        <v>0</v>
      </c>
      <c r="AK24" s="88">
        <f>IF(ISNUMBER('Rent Roll'!Q24),'Rent Roll'!Q24,0)</f>
        <v>0</v>
      </c>
      <c r="AL24" s="24">
        <f>IF(AND('Rent Roll'!AH24="Yes",a_AnchorInVac&lt;&gt;"Yes"),1,0)</f>
        <v>0</v>
      </c>
      <c r="AM24" s="29">
        <f>IF(ISNUMBER('Rent Roll'!AL24),'Rent Roll'!AL24,0)</f>
        <v>0</v>
      </c>
      <c r="AN24" s="88">
        <f>IF(ISNUMBER('Rent Roll'!AM24),'Rent Roll'!AM24,0)</f>
        <v>0</v>
      </c>
      <c r="AO24" s="88">
        <f>IF(AND(BC24=1,N24=1),V24,I24)</f>
        <v>0</v>
      </c>
      <c r="AP24" s="24">
        <f>IF(AND(BC24=1,N24=1),W24,J24)</f>
        <v>1</v>
      </c>
      <c r="AQ24" s="24">
        <f>IF(AO24=0,G24/12,AP24*((1+AO24)^INT(INT(G24/12)/AP24)-1)/AO24+(INT(G24/12)-INT(INT(G24/12)/AP24)*AP24)*(1+AO24)^INT(INT(G24/12)/AP24)+(G24/12-INT(G24/12))*(1+AO24)^INT(INT(G24/12)/AP24))</f>
        <v>0</v>
      </c>
      <c r="AR24" s="24">
        <f>IF(AND(C24&gt;0,BU24&lt;9999,BU24&gt;0),INT((BU24-1)/12)+1,0)</f>
        <v>0</v>
      </c>
      <c r="AS24" s="24">
        <f>COUNTIF('Lease Cycles'!$BG$24:$BM$24,"&lt;132")</f>
        <v>0</v>
      </c>
      <c r="AT24" s="24">
        <f>IF(AND(ISNUMBER('Rent Roll'!AR24),IF(ISNUMBER('Rent Roll'!AS24),'Rent Roll'!AS24,0)&gt;0),(YEAR('Rent Roll'!AR24)-YEAR(in_AnalysisStart))*12+MONTH('Rent Roll'!AR24)-MONTH(in_AnalysisStart),9999)</f>
        <v>9999</v>
      </c>
      <c r="AU24" s="29">
        <f>IF(ISNUMBER('Rent Roll'!AS24),'Rent Roll'!AS24,0)</f>
        <v>0</v>
      </c>
      <c r="AV24" s="24">
        <f>IF(AND(ISNUMBER('Rent Roll'!AT24),IF(ISNUMBER('Rent Roll'!AU24),'Rent Roll'!AU24,0)&gt;0),(YEAR('Rent Roll'!AT24)-YEAR(in_AnalysisStart))*12+MONTH('Rent Roll'!AT24)-MONTH(in_AnalysisStart),9999)</f>
        <v>9999</v>
      </c>
      <c r="AW24" s="29">
        <f>IF(ISNUMBER('Rent Roll'!AU24),'Rent Roll'!AU24,0)</f>
        <v>0</v>
      </c>
      <c r="AX24" s="24">
        <f>IF(AND(ISNUMBER('Rent Roll'!AV24),IF(ISNUMBER('Rent Roll'!AW24),'Rent Roll'!AW24,0)&gt;0),(YEAR('Rent Roll'!AV24)-YEAR(in_AnalysisStart))*12+MONTH('Rent Roll'!AV24)-MONTH(in_AnalysisStart),9999)</f>
        <v>9999</v>
      </c>
      <c r="AY24" s="29">
        <f>IF(ISNUMBER('Rent Roll'!AW24),'Rent Roll'!AW24,0)</f>
        <v>0</v>
      </c>
      <c r="AZ24" s="24">
        <f>IF(AND(ISNUMBER('Rent Roll'!AX24),IF(ISNUMBER('Rent Roll'!AY24),'Rent Roll'!AY24,0)&gt;0),(YEAR('Rent Roll'!AX24)-YEAR(in_AnalysisStart))*12+MONTH('Rent Roll'!AX24)-MONTH(in_AnalysisStart),9999)</f>
        <v>9999</v>
      </c>
      <c r="BA24" s="29">
        <f>IF(ISNUMBER('Rent Roll'!AY24),'Rent Roll'!AY24,0)</f>
        <v>0</v>
      </c>
      <c r="BB24" s="29">
        <f>IF(BU24&gt;=9999,O24,O24*(1+X24)^((BU24-F24)/12))</f>
        <v>0</v>
      </c>
      <c r="BC24" s="24">
        <f>IF(AND('Rent Roll'!AZ24="Yes",F24&gt;0,BD24&gt;0,AT24&gt;=9999),1,0)</f>
        <v>0</v>
      </c>
      <c r="BD24" s="29">
        <f>IF(ISNUMBER('Rent Roll'!I24),'Rent Roll'!I24,0)</f>
        <v>0</v>
      </c>
      <c r="BE24" s="24">
        <f>IF(a_MarketRecovery="Base year",1,0)</f>
        <v>0</v>
      </c>
      <c r="BG24" s="24">
        <f>IF(C24&gt;0,F24,9999)</f>
        <v>9999</v>
      </c>
      <c r="BH24" s="24">
        <f>BU24</f>
        <v>9999</v>
      </c>
      <c r="BI24" s="24">
        <f>IF(OR(N24=0,BV24&gt;=9999),9999,IF(AG24=1,BV24,INT(BV24+IP24)))</f>
        <v>9999</v>
      </c>
      <c r="BJ24" s="24">
        <f>IF(OR(N24=0,BW24&gt;=9999),9999,INT(BW24+IQ24))</f>
        <v>9999</v>
      </c>
      <c r="BK24" s="24">
        <f>IF(OR(N24=0,BX24&gt;=9999),9999,INT(BX24+IR24))</f>
        <v>9999</v>
      </c>
      <c r="BL24" s="24">
        <f>IF(OR(N24=0,BY24&gt;=9999),9999,INT(BY24+IS24))</f>
        <v>9999</v>
      </c>
      <c r="BM24" s="24">
        <f>IF(OR(N24=0,BZ24&gt;=9999),9999,INT(BZ24+IT24))</f>
        <v>9999</v>
      </c>
      <c r="BN24" s="24">
        <f>G24</f>
        <v>0</v>
      </c>
      <c r="BO24" s="24">
        <f>IF(AG24=1,AH24,0)</f>
        <v>0</v>
      </c>
      <c r="BP24" s="24">
        <f>MAX(12,ROUND(12*Q24,0))</f>
        <v>60</v>
      </c>
      <c r="BQ24" s="24">
        <f>MAX(12,ROUND(12*Q24,0))</f>
        <v>60</v>
      </c>
      <c r="BR24" s="24">
        <f>MAX(12,ROUND(12*Q24,0))</f>
        <v>60</v>
      </c>
      <c r="BS24" s="24">
        <f>MAX(12,ROUND(12*Q24,0))</f>
        <v>60</v>
      </c>
      <c r="BT24" s="24">
        <f>MAX(12,ROUND(12*Q24,0))</f>
        <v>60</v>
      </c>
      <c r="BU24" s="24">
        <f>BG24+BN24</f>
        <v>9999</v>
      </c>
      <c r="BV24" s="24">
        <f>BH24+BO24</f>
        <v>9999</v>
      </c>
      <c r="BW24" s="24">
        <f>IF(BI24&gt;=9999,9999,BI24+BP24)</f>
        <v>9999</v>
      </c>
      <c r="BX24" s="24">
        <f>IF(BJ24&gt;=9999,9999,BJ24+BQ24)</f>
        <v>9999</v>
      </c>
      <c r="BY24" s="24">
        <f>IF(BK24&gt;=9999,9999,BK24+BR24)</f>
        <v>9999</v>
      </c>
      <c r="BZ24" s="24">
        <f>IF(BL24&gt;=9999,9999,BL24+BS24)</f>
        <v>9999</v>
      </c>
      <c r="CA24" s="24">
        <f>IF(BM24&gt;=9999,9999,BM24+BT24)</f>
        <v>9999</v>
      </c>
      <c r="CB24" s="24">
        <f>E24</f>
        <v>0</v>
      </c>
      <c r="CC24" s="24">
        <f>AI24</f>
        <v>0</v>
      </c>
      <c r="CD24" s="24">
        <f>IF(BI24&gt;=9999,0,O24*(1+X24)^((BI24-F24)/12)*(AA24*II24+1-II24))</f>
        <v>0</v>
      </c>
      <c r="CE24" s="24">
        <f>IF(BJ24&gt;=9999,0,O24*(1+X24)^((BJ24-F24)/12)*(AA24*IJ24+1-IJ24))</f>
        <v>0</v>
      </c>
      <c r="CF24" s="24">
        <f>IF(BK24&gt;=9999,0,O24*(1+X24)^((BK24-F24)/12)*(AA24*IK24+1-IK24))</f>
        <v>0</v>
      </c>
      <c r="CG24" s="24">
        <f>IF(BL24&gt;=9999,0,O24*(1+X24)^((BL24-F24)/12)*(AA24*IL24+1-IL24))</f>
        <v>0</v>
      </c>
      <c r="CH24" s="24">
        <f>IF(BM24&gt;=9999,0,O24*(1+X24)^((BM24-F24)/12)*(AA24*IM24+1-IM24))</f>
        <v>0</v>
      </c>
      <c r="CI24" s="24">
        <f>AO24</f>
        <v>0</v>
      </c>
      <c r="CJ24" s="24">
        <f>I24</f>
        <v>0</v>
      </c>
      <c r="CK24" s="24">
        <f>V24</f>
        <v>0</v>
      </c>
      <c r="CL24" s="24">
        <f>V24</f>
        <v>0</v>
      </c>
      <c r="CM24" s="24">
        <f>V24</f>
        <v>0</v>
      </c>
      <c r="CN24" s="24">
        <f>V24</f>
        <v>0</v>
      </c>
      <c r="CO24" s="24">
        <f>V24</f>
        <v>0</v>
      </c>
      <c r="CP24" s="24">
        <f>AP24</f>
        <v>1</v>
      </c>
      <c r="CQ24" s="24">
        <f>J24</f>
        <v>1</v>
      </c>
      <c r="CR24" s="24">
        <f>W24</f>
        <v>1</v>
      </c>
      <c r="CS24" s="24">
        <f>W24</f>
        <v>1</v>
      </c>
      <c r="CT24" s="24">
        <f>W24</f>
        <v>1</v>
      </c>
      <c r="CU24" s="24">
        <f>W24</f>
        <v>1</v>
      </c>
      <c r="CV24" s="24">
        <f>W24</f>
        <v>1</v>
      </c>
      <c r="CW24" s="24">
        <f>H24</f>
        <v>0</v>
      </c>
      <c r="CX24" s="24">
        <v>0</v>
      </c>
      <c r="CY24" s="24">
        <f>Y24*(1-II24)+Z24*II24</f>
        <v>0</v>
      </c>
      <c r="CZ24" s="24">
        <f>Y24*(1-IJ24)+Z24*IJ24</f>
        <v>0</v>
      </c>
      <c r="DA24" s="24">
        <f>Y24*(1-IK24)+Z24*IK24</f>
        <v>0</v>
      </c>
      <c r="DB24" s="24">
        <f>Y24*(1-IL24)+Z24*IL24</f>
        <v>0</v>
      </c>
      <c r="DC24" s="24">
        <f>Y24*(1-IM24)+Z24*IM24</f>
        <v>0</v>
      </c>
      <c r="DD24" s="24">
        <v>0</v>
      </c>
      <c r="DE24" s="24">
        <v>0</v>
      </c>
      <c r="DF24" s="24">
        <f>IF(BI24&gt;=9999,0,IF(AG24=1,0,BV24+IP24-BI24))</f>
        <v>0</v>
      </c>
      <c r="DG24" s="24">
        <f>IF(BJ24&gt;=9999,0,BW24+IQ24-BJ24)</f>
        <v>0</v>
      </c>
      <c r="DH24" s="24">
        <f>IF(BK24&gt;=9999,0,BX24+IR24-BK24)</f>
        <v>0</v>
      </c>
      <c r="DI24" s="24">
        <f>IF(BL24&gt;=9999,0,BY24+IS24-BL24)</f>
        <v>0</v>
      </c>
      <c r="DJ24" s="24">
        <f>IF(BM24&gt;=9999,0,BZ24+IT24-BM24)</f>
        <v>0</v>
      </c>
      <c r="DK24" s="24">
        <f>INT(CW24+DD24)</f>
        <v>0</v>
      </c>
      <c r="DL24" s="24">
        <v>0</v>
      </c>
      <c r="DM24" s="24">
        <f>INT(CY24+DF24)</f>
        <v>0</v>
      </c>
      <c r="DN24" s="24">
        <f>INT(CZ24+DG24)</f>
        <v>0</v>
      </c>
      <c r="DO24" s="24">
        <f>INT(DA24+DH24)</f>
        <v>0</v>
      </c>
      <c r="DP24" s="24">
        <f>INT(DB24+DI24)</f>
        <v>0</v>
      </c>
      <c r="DQ24" s="24">
        <f>INT(DC24+DJ24)</f>
        <v>0</v>
      </c>
      <c r="DR24" s="24">
        <f>CW24+DD24-DK24</f>
        <v>0</v>
      </c>
      <c r="DS24" s="24">
        <v>0</v>
      </c>
      <c r="DT24" s="24">
        <f>CY24+DF24-DM24</f>
        <v>0</v>
      </c>
      <c r="DU24" s="24">
        <f>CZ24+DG24-DN24</f>
        <v>0</v>
      </c>
      <c r="DV24" s="24">
        <f>DA24+DH24-DO24</f>
        <v>0</v>
      </c>
      <c r="DW24" s="24">
        <f>DB24+DI24-DP24</f>
        <v>0</v>
      </c>
      <c r="DX24" s="24">
        <f>DC24+DJ24-DQ24</f>
        <v>0</v>
      </c>
      <c r="DY24" s="24">
        <v>1</v>
      </c>
      <c r="DZ24" s="24">
        <v>1</v>
      </c>
      <c r="EA24" s="24">
        <v>0</v>
      </c>
      <c r="EB24" s="24">
        <v>0</v>
      </c>
      <c r="EC24" s="24">
        <v>0</v>
      </c>
      <c r="ED24" s="24">
        <v>0</v>
      </c>
      <c r="EE24" s="24">
        <v>0</v>
      </c>
      <c r="EF24" s="24">
        <v>0</v>
      </c>
      <c r="EG24" s="24">
        <f>IF(AG24=1,1,2)</f>
        <v>2</v>
      </c>
      <c r="EH24" s="24">
        <v>0</v>
      </c>
      <c r="EI24" s="24">
        <v>0</v>
      </c>
      <c r="EJ24" s="24">
        <v>0</v>
      </c>
      <c r="EK24" s="24">
        <v>0</v>
      </c>
      <c r="EL24" s="24">
        <v>0</v>
      </c>
      <c r="EM24" s="24">
        <v>1</v>
      </c>
      <c r="EN24" s="24">
        <f>IF(AG24=1,AF24,1)</f>
        <v>1</v>
      </c>
      <c r="EO24" s="24">
        <v>1</v>
      </c>
      <c r="EP24" s="24">
        <v>1</v>
      </c>
      <c r="EQ24" s="24">
        <v>1</v>
      </c>
      <c r="ER24" s="24">
        <v>1</v>
      </c>
      <c r="ES24" s="24">
        <v>1</v>
      </c>
      <c r="ET24" s="24">
        <v>0</v>
      </c>
      <c r="EU24" s="24">
        <f>BB24</f>
        <v>0</v>
      </c>
      <c r="EV24" s="24">
        <v>0</v>
      </c>
      <c r="EW24" s="24">
        <v>0</v>
      </c>
      <c r="EX24" s="24">
        <v>0</v>
      </c>
      <c r="EY24" s="24">
        <v>0</v>
      </c>
      <c r="EZ24" s="24">
        <v>0</v>
      </c>
      <c r="FA24" s="24">
        <v>0</v>
      </c>
      <c r="FB24" s="24">
        <f>ROUND(P24,0)</f>
        <v>0</v>
      </c>
      <c r="FC24" s="24">
        <v>0</v>
      </c>
      <c r="FD24" s="24">
        <v>0</v>
      </c>
      <c r="FE24" s="24">
        <v>0</v>
      </c>
      <c r="FF24" s="24">
        <v>0</v>
      </c>
      <c r="FG24" s="24">
        <v>0</v>
      </c>
      <c r="FH24" s="24">
        <f>AK24</f>
        <v>0</v>
      </c>
      <c r="FI24" s="24">
        <f>IF(AG24=1,AK24*AF24,FH24)</f>
        <v>0</v>
      </c>
      <c r="FJ24" s="24">
        <f>FI24*II24</f>
        <v>0</v>
      </c>
      <c r="FK24" s="24">
        <f>FJ24*IJ24</f>
        <v>0</v>
      </c>
      <c r="FL24" s="24">
        <f>FK24*IK24</f>
        <v>0</v>
      </c>
      <c r="FM24" s="24">
        <f>FL24*IL24</f>
        <v>0</v>
      </c>
      <c r="FN24" s="24">
        <f>FM24*IM24</f>
        <v>0</v>
      </c>
      <c r="FO24" s="24">
        <v>1</v>
      </c>
      <c r="FP24" s="24">
        <f>FV24</f>
        <v>1</v>
      </c>
      <c r="FQ24" s="24">
        <f>FW24*II24</f>
        <v>0.8</v>
      </c>
      <c r="FR24" s="24">
        <f>FX24*IJ24</f>
        <v>0.6400000000000001</v>
      </c>
      <c r="FS24" s="24">
        <f>FY24*IK24</f>
        <v>0.5120000000000001</v>
      </c>
      <c r="FT24" s="24">
        <f>FZ24*IL24</f>
        <v>0.40960000000000013</v>
      </c>
      <c r="FU24" s="24">
        <f>GA24*IM24</f>
        <v>0.32768000000000014</v>
      </c>
      <c r="FV24" s="24">
        <v>1</v>
      </c>
      <c r="FW24" s="24">
        <f>IF(AG24=1,FP24*AF24,FV24)</f>
        <v>1</v>
      </c>
      <c r="FX24" s="24">
        <f>FQ24</f>
        <v>0.8</v>
      </c>
      <c r="FY24" s="24">
        <f>FR24</f>
        <v>0.6400000000000001</v>
      </c>
      <c r="FZ24" s="24">
        <f>FS24</f>
        <v>0.5120000000000001</v>
      </c>
      <c r="GA24" s="24">
        <f>FT24</f>
        <v>0.40960000000000013</v>
      </c>
      <c r="GB24" s="24">
        <f>FU24</f>
        <v>0.32768000000000014</v>
      </c>
      <c r="GC24" s="24">
        <v>0</v>
      </c>
      <c r="GD24" s="24">
        <f>GC24</f>
        <v>0</v>
      </c>
      <c r="GE24" s="24">
        <f>IF(BI24&gt;=9999,0,INT(BI24/12))</f>
        <v>0</v>
      </c>
      <c r="GF24" s="24">
        <f>IF(BJ24&gt;=9999,0,INT(BJ24/12))</f>
        <v>0</v>
      </c>
      <c r="GG24" s="24">
        <f>IF(BK24&gt;=9999,0,INT(BK24/12))</f>
        <v>0</v>
      </c>
      <c r="GH24" s="24">
        <f>IF(BL24&gt;=9999,0,INT(BL24/12))</f>
        <v>0</v>
      </c>
      <c r="GI24" s="24">
        <f>IF(BM24&gt;=9999,0,INT(BM24/12))</f>
        <v>0</v>
      </c>
      <c r="GJ24" s="24">
        <f>BG24</f>
        <v>9999</v>
      </c>
      <c r="GK24" s="24">
        <f>IF(AG24=1,BH24,GJ24)</f>
        <v>9999</v>
      </c>
      <c r="GL24" s="24">
        <f>BI24</f>
        <v>9999</v>
      </c>
      <c r="GM24" s="24">
        <f>BJ24</f>
        <v>9999</v>
      </c>
      <c r="GN24" s="24">
        <f>BK24</f>
        <v>9999</v>
      </c>
      <c r="GO24" s="24">
        <f>BL24</f>
        <v>9999</v>
      </c>
      <c r="GP24" s="24">
        <f>BM24</f>
        <v>9999</v>
      </c>
      <c r="GQ24" s="24">
        <f>CI24</f>
        <v>0</v>
      </c>
      <c r="GR24" s="24">
        <f>IF(AG24=1,I24,GQ24)</f>
        <v>0</v>
      </c>
      <c r="GS24" s="24">
        <f>V24</f>
        <v>0</v>
      </c>
      <c r="GT24" s="24">
        <f>V24</f>
        <v>0</v>
      </c>
      <c r="GU24" s="24">
        <f>V24</f>
        <v>0</v>
      </c>
      <c r="GV24" s="24">
        <f>V24</f>
        <v>0</v>
      </c>
      <c r="GW24" s="24">
        <f>V24</f>
        <v>0</v>
      </c>
      <c r="GX24" s="24">
        <f>CP24</f>
        <v>1</v>
      </c>
      <c r="GY24" s="24">
        <f>IF(AG24=1,J24,GX24)</f>
        <v>1</v>
      </c>
      <c r="GZ24" s="24">
        <f>W24</f>
        <v>1</v>
      </c>
      <c r="HA24" s="24">
        <f>W24</f>
        <v>1</v>
      </c>
      <c r="HB24" s="24">
        <f>W24</f>
        <v>1</v>
      </c>
      <c r="HC24" s="24">
        <f>W24</f>
        <v>1</v>
      </c>
      <c r="HD24" s="24">
        <f>W24</f>
        <v>1</v>
      </c>
      <c r="HE24" s="24">
        <f>IF(BU24&gt;=9999,1,(1+X24)^(BU24/12))</f>
        <v>1</v>
      </c>
      <c r="HF24" s="24">
        <f>IF(AG24=1,IF(BV24&gt;=9999,1,(1+X24)^(BV24/12)),HE24)</f>
        <v>1</v>
      </c>
      <c r="HG24" s="24">
        <f>IF(BW24&gt;=9999,1,(1+X24)^(BW24/12))</f>
        <v>1</v>
      </c>
      <c r="HH24" s="24">
        <f>IF(BX24&gt;=9999,1,(1+X24)^(BX24/12))</f>
        <v>1</v>
      </c>
      <c r="HI24" s="24">
        <f>IF(BY24&gt;=9999,1,(1+X24)^(BY24/12))</f>
        <v>1</v>
      </c>
      <c r="HJ24" s="24">
        <f>IF(BZ24&gt;=9999,1,(1+X24)^(BZ24/12))</f>
        <v>1</v>
      </c>
      <c r="HK24" s="24">
        <f>IF(CA24&gt;=9999,1,(1+X24)^(CA24/12))</f>
        <v>1</v>
      </c>
      <c r="HL24" s="24">
        <f>IF(AND(F24&gt;0,C24&gt;0),F24,-1)</f>
        <v>-1</v>
      </c>
      <c r="HM24" s="24">
        <f>IF(AG24=1,BU24+FB24,-1)</f>
        <v>-1</v>
      </c>
      <c r="HN24" s="24">
        <f>IF(BI24&gt;=9999,-1,BV24+ROUND(IP24,0))</f>
        <v>-1</v>
      </c>
      <c r="HO24" s="24">
        <f>IF(BJ24&gt;=9999,-1,IF(HN24&lt;0,BW24,HN24+BP24)+ROUND(IQ24,0))</f>
        <v>-1</v>
      </c>
      <c r="HP24" s="24">
        <f>IF(BK24&gt;=9999,-1,IF(HO24&lt;0,BX24,HO24+BQ24)+ROUND(IR24,0))</f>
        <v>-1</v>
      </c>
      <c r="HQ24" s="24">
        <f>IF(BL24&gt;=9999,-1,IF(HP24&lt;0,BY24,HP24+BR24)+ROUND(IS24,0))</f>
        <v>-1</v>
      </c>
      <c r="HR24" s="24">
        <f>IF(BM24&gt;=9999,-1,IF(HQ24&lt;0,BZ24,HQ24+BS24)+ROUND(IT24,0))</f>
        <v>-1</v>
      </c>
      <c r="HS24" s="24">
        <f>IF(HL24&lt;0,0,C24*K24)</f>
        <v>0</v>
      </c>
      <c r="HT24" s="24">
        <f>IF(AG24=1,C24*R24*(1+in_ExpenseGrowth)^(HM24/12)*(1-AF24),0)</f>
        <v>0</v>
      </c>
      <c r="HU24" s="24">
        <f>IF(HN24&lt;0,0,C24*(S24*II24+R24*(1-II24))*(1+in_ExpenseGrowth)^(HN24/12))</f>
        <v>0</v>
      </c>
      <c r="HV24" s="24">
        <f>IF(HO24&lt;0,0,C24*(S24*IJ24+R24*(1-IJ24))*(1+in_ExpenseGrowth)^(HO24/12))</f>
        <v>0</v>
      </c>
      <c r="HW24" s="24">
        <f>IF(HP24&lt;0,0,C24*(S24*IK24+R24*(1-IK24))*(1+in_ExpenseGrowth)^(HP24/12))</f>
        <v>0</v>
      </c>
      <c r="HX24" s="24">
        <f>IF(HQ24&lt;0,0,C24*(S24*IL24+R24*(1-IL24))*(1+in_ExpenseGrowth)^(HQ24/12))</f>
        <v>0</v>
      </c>
      <c r="HY24" s="24">
        <f>IF(HR24&lt;0,0,C24*(S24*IM24+R24*(1-IM24))*(1+in_ExpenseGrowth)^(HR24/12))</f>
        <v>0</v>
      </c>
      <c r="HZ24" s="24">
        <f>IF(HL24&lt;0,0,L24*C24*E24*AQ24)</f>
        <v>0</v>
      </c>
      <c r="IA24" s="24">
        <f>IF(AG24=1,T24*C24*O24*(1+X24)^(MAX(0,HM24-F24)/12)*AB24*(1-AF24),0)</f>
        <v>0</v>
      </c>
      <c r="IB24" s="24">
        <f>IF(HN24&lt;0,0,(U24*II24+T24*(1-II24))*C24*O24*(1+X24)^(MAX(0,HN24-F24)/12)*(AA24*II24+1-II24)*AB24)</f>
        <v>0</v>
      </c>
      <c r="IC24" s="24">
        <f>IF(HO24&lt;0,0,(U24*IJ24+T24*(1-IJ24))*C24*O24*(1+X24)^(MAX(0,HO24-F24)/12)*(AA24*IJ24+1-IJ24)*AB24)</f>
        <v>0</v>
      </c>
      <c r="ID24" s="24">
        <f>IF(HP24&lt;0,0,(U24*IK24+T24*(1-IK24))*C24*O24*(1+X24)^(MAX(0,HP24-F24)/12)*(AA24*IK24+1-IK24)*AB24)</f>
        <v>0</v>
      </c>
      <c r="IE24" s="24">
        <f>IF(HQ24&lt;0,0,(U24*IL24+T24*(1-IL24))*C24*O24*(1+X24)^(MAX(0,HQ24-F24)/12)*(AA24*IL24+1-IL24)*AB24)</f>
        <v>0</v>
      </c>
      <c r="IF24" s="24">
        <f>IF(HR24&lt;0,0,(U24*IM24+T24*(1-IM24))*C24*O24*(1+X24)^(MAX(0,HR24-F24)/12)*(AA24*IM24+1-IM24)*AB24)</f>
        <v>0</v>
      </c>
      <c r="IG24" s="24">
        <v>1</v>
      </c>
      <c r="IH24" s="24">
        <f>IF(AG24=1,AF24,1)</f>
        <v>1</v>
      </c>
      <c r="II24" s="24">
        <f>IF(AG24=1,AC24,AE24)</f>
        <v>0.8</v>
      </c>
      <c r="IJ24" s="24">
        <f>AC24</f>
        <v>0.8</v>
      </c>
      <c r="IK24" s="24">
        <f>AC24</f>
        <v>0.8</v>
      </c>
      <c r="IL24" s="24">
        <f>AC24</f>
        <v>0.8</v>
      </c>
      <c r="IM24" s="24">
        <f>AC24</f>
        <v>0.8</v>
      </c>
      <c r="IN24" s="24">
        <v>0</v>
      </c>
      <c r="IO24" s="24">
        <f>P24</f>
        <v>0</v>
      </c>
      <c r="IP24" s="24">
        <f>P24*(1-II24)</f>
        <v>0</v>
      </c>
      <c r="IQ24" s="24">
        <f>P24*(1-IJ24)</f>
        <v>0</v>
      </c>
      <c r="IR24" s="24">
        <f>P24*(1-IK24)</f>
        <v>0</v>
      </c>
      <c r="IS24" s="24">
        <f>P24*(1-IL24)</f>
        <v>0</v>
      </c>
      <c r="IT24" s="24">
        <f>P24*(1-IM24)</f>
        <v>0</v>
      </c>
    </row>
    <row r="25">
      <c r="A25" s="25">
        <v>18</v>
      </c>
      <c r="B25" s="23" t="str">
        <f>IF('Rent Roll'!C25="","",'Rent Roll'!C25)</f>
        <v/>
      </c>
      <c r="C25" s="24">
        <f>IF(ISNUMBER('Rent Roll'!E25),MAX(0,'Rent Roll'!E25),0)</f>
        <v>0</v>
      </c>
      <c r="D25" s="88">
        <f>IF(a_GLA&gt;0,C25/a_GLA,0)</f>
        <v>0</v>
      </c>
      <c r="E25" s="29">
        <f>IF(BC25=1,ROUND(BD25*(1+X25)^(F25/12),2),BD25)</f>
        <v>0</v>
      </c>
      <c r="F25" s="24">
        <f>IF(C25&gt;0,MAX(0,(YEAR(IF(ISNUMBER('Rent Roll'!G25),'Rent Roll'!G25,0))-YEAR(in_AnalysisStart))*12+MONTH(IF(ISNUMBER('Rent Roll'!G25),'Rent Roll'!G25,0))-MONTH(in_AnalysisStart)),0)</f>
        <v>0</v>
      </c>
      <c r="G25" s="24">
        <f>IF(C25&gt;0,MAX(0,(YEAR(IF(ISNUMBER('Rent Roll'!H25),'Rent Roll'!H25,0))-YEAR(in_AnalysisStart))*12+MONTH(IF(ISNUMBER('Rent Roll'!H25),'Rent Roll'!H25,0))-MONTH(in_AnalysisStart)+1-F25),0)</f>
        <v>0</v>
      </c>
      <c r="H25" s="24">
        <f>IF(ISNUMBER('Rent Roll'!N25),'Rent Roll'!N25,0)</f>
        <v>0</v>
      </c>
      <c r="I25" s="88">
        <f>IF(ISNUMBER('Rent Roll'!L25),'Rent Roll'!L25,0)</f>
        <v>0</v>
      </c>
      <c r="J25" s="24">
        <f>MAX(1,ROUND(IF(ISNUMBER('Rent Roll'!M25),'Rent Roll'!M25,0),0))</f>
        <v>1</v>
      </c>
      <c r="K25" s="29">
        <f>IF(ISNUMBER('Rent Roll'!AJ25),'Rent Roll'!AJ25,0)</f>
        <v>0</v>
      </c>
      <c r="L25" s="88">
        <f>IF(IF(ISNUMBER('Rent Roll'!AK25),'Rent Roll'!AK25,0)&gt;0,'Rent Roll'!AK25,a_LeaseUpLC)</f>
        <v>0.06</v>
      </c>
      <c r="M25" s="24">
        <f>IF('Rent Roll'!R25="",0,IFERROR(MATCH('Rent Roll'!R25,a_PName,0),0))</f>
        <v>0</v>
      </c>
      <c r="N25" s="24">
        <f>IF(M25&gt;0,1,0)</f>
        <v>0</v>
      </c>
      <c r="O25" s="29">
        <f>IF(IF(ISNUMBER('Rent Roll'!S25),'Rent Roll'!S25,0)&gt;0,'Rent Roll'!S25,IF(M25&gt;0,IF(ISNUMBER(INDEX(a_PRent,M25)),INDEX(a_PRent,M25),0),0))</f>
        <v>0</v>
      </c>
      <c r="P25" s="24">
        <f>IF(M25&gt;0,IF(ISNUMBER(INDEX(a_PDown,M25)),INDEX(a_PDown,M25),0),0)</f>
        <v>0</v>
      </c>
      <c r="Q25" s="24">
        <f>IF(M25&gt;0,MAX(1,IF(ISNUMBER(INDEX(a_PTerm,M25)),INDEX(a_PTerm,M25),0)),5)</f>
        <v>5</v>
      </c>
      <c r="R25" s="29">
        <f>IF(M25&gt;0,IF(ISNUMBER(INDEX(a_PTiNew,M25)),INDEX(a_PTiNew,M25),0),0)</f>
        <v>0</v>
      </c>
      <c r="S25" s="29">
        <f>IF(M25&gt;0,IF(ISNUMBER(INDEX(a_PTiRen,M25)),INDEX(a_PTiRen,M25),0),0)</f>
        <v>0</v>
      </c>
      <c r="T25" s="88">
        <f>IF(M25&gt;0,IF(ISNUMBER(INDEX(a_PLcNew,M25)),INDEX(a_PLcNew,M25),0),0)</f>
        <v>0</v>
      </c>
      <c r="U25" s="88">
        <f>IF(M25&gt;0,IF(ISNUMBER(INDEX(a_PLcRen,M25)),INDEX(a_PLcRen,M25),0),0)</f>
        <v>0</v>
      </c>
      <c r="V25" s="88">
        <f>IF(M25&gt;0,IF(ISNUMBER(INDEX(a_PBump,M25)),INDEX(a_PBump,M25),0),0)</f>
        <v>0</v>
      </c>
      <c r="W25" s="24">
        <f>MAX(1,ROUND(IF(M25&gt;0,IF(ISNUMBER(INDEX(a_PEvery,M25)),INDEX(a_PEvery,M25),0),1),0))</f>
        <v>1</v>
      </c>
      <c r="X25" s="88">
        <f>IF(M25&gt;0,IF(ISNUMBER(INDEX(a_PGrow,M25)),INDEX(a_PGrow,M25),in_RentGrowth),in_RentGrowth)</f>
        <v>0.03</v>
      </c>
      <c r="Y25" s="24">
        <f>IF(M25&gt;0,IF(ISNUMBER(INDEX(a_PFreeNew,M25)),INDEX(a_PFreeNew,M25),0),0)</f>
        <v>0</v>
      </c>
      <c r="Z25" s="24">
        <f>IF(M25&gt;0,IF(ISNUMBER(INDEX(a_PFreeRen,M25)),INDEX(a_PFreeRen,M25),0),0)</f>
        <v>0</v>
      </c>
      <c r="AA25" s="88">
        <f>IF(M25&gt;0,IF(ISNUMBER(INDEX(a_PRenPct,M25)),INDEX(a_PRenPct,M25),1),1)</f>
        <v>1</v>
      </c>
      <c r="AB25" s="24">
        <f>IF(M25&gt;0,IF(ISNUMBER(INDEX(a_PAF,M25)),INDEX(a_PAF,M25),0),0)</f>
        <v>0</v>
      </c>
      <c r="AC25" s="88">
        <f>IF(ISNUMBER('Rent Roll'!V25),'Rent Roll'!V25,IF(M25&gt;0,IF(ISNUMBER(INDEX(a_PRenew,M25)),INDEX(a_PRenew,M25),0),0.8))</f>
        <v>0.8</v>
      </c>
      <c r="AD25" s="23" t="str">
        <f>IF('Rent Roll'!W25="","Probability",'Rent Roll'!W25)</f>
        <v>Probability</v>
      </c>
      <c r="AE25" s="88">
        <f>IF(AD25="Renew",1,IF(AD25="Vacate",0,AC25))</f>
        <v>0.8</v>
      </c>
      <c r="AF25" s="88">
        <f>IF(AD25="Renew",1,IF(ISNUMBER('Rent Roll'!AA25),'Rent Roll'!AA25,AC25))</f>
        <v>0.8</v>
      </c>
      <c r="AG25" s="24">
        <f>IF(AND(N25=1,IF(ISNUMBER('Rent Roll'!Y25),'Rent Roll'!Y25,0)&gt;0,IF(ISNUMBER('Rent Roll'!Z25),'Rent Roll'!Z25,0)&gt;0,AF25&gt;0,AD25&lt;&gt;"Vacate",C25&gt;0),1,0)</f>
        <v>0</v>
      </c>
      <c r="AH25" s="24">
        <f>ROUND(12*IF(ISNUMBER('Rent Roll'!Y25),'Rent Roll'!Y25,0),0)</f>
        <v>0</v>
      </c>
      <c r="AI25" s="29">
        <f>IF(ISNUMBER('Rent Roll'!Z25),'Rent Roll'!Z25,0)</f>
        <v>0</v>
      </c>
      <c r="AJ25" s="24">
        <f>IF('Rent Roll'!P25="Base year",1,0)</f>
        <v>0</v>
      </c>
      <c r="AK25" s="88">
        <f>IF(ISNUMBER('Rent Roll'!Q25),'Rent Roll'!Q25,0)</f>
        <v>0</v>
      </c>
      <c r="AL25" s="24">
        <f>IF(AND('Rent Roll'!AH25="Yes",a_AnchorInVac&lt;&gt;"Yes"),1,0)</f>
        <v>0</v>
      </c>
      <c r="AM25" s="29">
        <f>IF(ISNUMBER('Rent Roll'!AL25),'Rent Roll'!AL25,0)</f>
        <v>0</v>
      </c>
      <c r="AN25" s="88">
        <f>IF(ISNUMBER('Rent Roll'!AM25),'Rent Roll'!AM25,0)</f>
        <v>0</v>
      </c>
      <c r="AO25" s="88">
        <f>IF(AND(BC25=1,N25=1),V25,I25)</f>
        <v>0</v>
      </c>
      <c r="AP25" s="24">
        <f>IF(AND(BC25=1,N25=1),W25,J25)</f>
        <v>1</v>
      </c>
      <c r="AQ25" s="24">
        <f>IF(AO25=0,G25/12,AP25*((1+AO25)^INT(INT(G25/12)/AP25)-1)/AO25+(INT(G25/12)-INT(INT(G25/12)/AP25)*AP25)*(1+AO25)^INT(INT(G25/12)/AP25)+(G25/12-INT(G25/12))*(1+AO25)^INT(INT(G25/12)/AP25))</f>
        <v>0</v>
      </c>
      <c r="AR25" s="24">
        <f>IF(AND(C25&gt;0,BU25&lt;9999,BU25&gt;0),INT((BU25-1)/12)+1,0)</f>
        <v>0</v>
      </c>
      <c r="AS25" s="24">
        <f>COUNTIF('Lease Cycles'!$BG$25:$BM$25,"&lt;132")</f>
        <v>0</v>
      </c>
      <c r="AT25" s="24">
        <f>IF(AND(ISNUMBER('Rent Roll'!AR25),IF(ISNUMBER('Rent Roll'!AS25),'Rent Roll'!AS25,0)&gt;0),(YEAR('Rent Roll'!AR25)-YEAR(in_AnalysisStart))*12+MONTH('Rent Roll'!AR25)-MONTH(in_AnalysisStart),9999)</f>
        <v>9999</v>
      </c>
      <c r="AU25" s="29">
        <f>IF(ISNUMBER('Rent Roll'!AS25),'Rent Roll'!AS25,0)</f>
        <v>0</v>
      </c>
      <c r="AV25" s="24">
        <f>IF(AND(ISNUMBER('Rent Roll'!AT25),IF(ISNUMBER('Rent Roll'!AU25),'Rent Roll'!AU25,0)&gt;0),(YEAR('Rent Roll'!AT25)-YEAR(in_AnalysisStart))*12+MONTH('Rent Roll'!AT25)-MONTH(in_AnalysisStart),9999)</f>
        <v>9999</v>
      </c>
      <c r="AW25" s="29">
        <f>IF(ISNUMBER('Rent Roll'!AU25),'Rent Roll'!AU25,0)</f>
        <v>0</v>
      </c>
      <c r="AX25" s="24">
        <f>IF(AND(ISNUMBER('Rent Roll'!AV25),IF(ISNUMBER('Rent Roll'!AW25),'Rent Roll'!AW25,0)&gt;0),(YEAR('Rent Roll'!AV25)-YEAR(in_AnalysisStart))*12+MONTH('Rent Roll'!AV25)-MONTH(in_AnalysisStart),9999)</f>
        <v>9999</v>
      </c>
      <c r="AY25" s="29">
        <f>IF(ISNUMBER('Rent Roll'!AW25),'Rent Roll'!AW25,0)</f>
        <v>0</v>
      </c>
      <c r="AZ25" s="24">
        <f>IF(AND(ISNUMBER('Rent Roll'!AX25),IF(ISNUMBER('Rent Roll'!AY25),'Rent Roll'!AY25,0)&gt;0),(YEAR('Rent Roll'!AX25)-YEAR(in_AnalysisStart))*12+MONTH('Rent Roll'!AX25)-MONTH(in_AnalysisStart),9999)</f>
        <v>9999</v>
      </c>
      <c r="BA25" s="29">
        <f>IF(ISNUMBER('Rent Roll'!AY25),'Rent Roll'!AY25,0)</f>
        <v>0</v>
      </c>
      <c r="BB25" s="29">
        <f>IF(BU25&gt;=9999,O25,O25*(1+X25)^((BU25-F25)/12))</f>
        <v>0</v>
      </c>
      <c r="BC25" s="24">
        <f>IF(AND('Rent Roll'!AZ25="Yes",F25&gt;0,BD25&gt;0,AT25&gt;=9999),1,0)</f>
        <v>0</v>
      </c>
      <c r="BD25" s="29">
        <f>IF(ISNUMBER('Rent Roll'!I25),'Rent Roll'!I25,0)</f>
        <v>0</v>
      </c>
      <c r="BE25" s="24">
        <f>IF(a_MarketRecovery="Base year",1,0)</f>
        <v>0</v>
      </c>
      <c r="BG25" s="24">
        <f>IF(C25&gt;0,F25,9999)</f>
        <v>9999</v>
      </c>
      <c r="BH25" s="24">
        <f>BU25</f>
        <v>9999</v>
      </c>
      <c r="BI25" s="24">
        <f>IF(OR(N25=0,BV25&gt;=9999),9999,IF(AG25=1,BV25,INT(BV25+IP25)))</f>
        <v>9999</v>
      </c>
      <c r="BJ25" s="24">
        <f>IF(OR(N25=0,BW25&gt;=9999),9999,INT(BW25+IQ25))</f>
        <v>9999</v>
      </c>
      <c r="BK25" s="24">
        <f>IF(OR(N25=0,BX25&gt;=9999),9999,INT(BX25+IR25))</f>
        <v>9999</v>
      </c>
      <c r="BL25" s="24">
        <f>IF(OR(N25=0,BY25&gt;=9999),9999,INT(BY25+IS25))</f>
        <v>9999</v>
      </c>
      <c r="BM25" s="24">
        <f>IF(OR(N25=0,BZ25&gt;=9999),9999,INT(BZ25+IT25))</f>
        <v>9999</v>
      </c>
      <c r="BN25" s="24">
        <f>G25</f>
        <v>0</v>
      </c>
      <c r="BO25" s="24">
        <f>IF(AG25=1,AH25,0)</f>
        <v>0</v>
      </c>
      <c r="BP25" s="24">
        <f>MAX(12,ROUND(12*Q25,0))</f>
        <v>60</v>
      </c>
      <c r="BQ25" s="24">
        <f>MAX(12,ROUND(12*Q25,0))</f>
        <v>60</v>
      </c>
      <c r="BR25" s="24">
        <f>MAX(12,ROUND(12*Q25,0))</f>
        <v>60</v>
      </c>
      <c r="BS25" s="24">
        <f>MAX(12,ROUND(12*Q25,0))</f>
        <v>60</v>
      </c>
      <c r="BT25" s="24">
        <f>MAX(12,ROUND(12*Q25,0))</f>
        <v>60</v>
      </c>
      <c r="BU25" s="24">
        <f>BG25+BN25</f>
        <v>9999</v>
      </c>
      <c r="BV25" s="24">
        <f>BH25+BO25</f>
        <v>9999</v>
      </c>
      <c r="BW25" s="24">
        <f>IF(BI25&gt;=9999,9999,BI25+BP25)</f>
        <v>9999</v>
      </c>
      <c r="BX25" s="24">
        <f>IF(BJ25&gt;=9999,9999,BJ25+BQ25)</f>
        <v>9999</v>
      </c>
      <c r="BY25" s="24">
        <f>IF(BK25&gt;=9999,9999,BK25+BR25)</f>
        <v>9999</v>
      </c>
      <c r="BZ25" s="24">
        <f>IF(BL25&gt;=9999,9999,BL25+BS25)</f>
        <v>9999</v>
      </c>
      <c r="CA25" s="24">
        <f>IF(BM25&gt;=9999,9999,BM25+BT25)</f>
        <v>9999</v>
      </c>
      <c r="CB25" s="24">
        <f>E25</f>
        <v>0</v>
      </c>
      <c r="CC25" s="24">
        <f>AI25</f>
        <v>0</v>
      </c>
      <c r="CD25" s="24">
        <f>IF(BI25&gt;=9999,0,O25*(1+X25)^((BI25-F25)/12)*(AA25*II25+1-II25))</f>
        <v>0</v>
      </c>
      <c r="CE25" s="24">
        <f>IF(BJ25&gt;=9999,0,O25*(1+X25)^((BJ25-F25)/12)*(AA25*IJ25+1-IJ25))</f>
        <v>0</v>
      </c>
      <c r="CF25" s="24">
        <f>IF(BK25&gt;=9999,0,O25*(1+X25)^((BK25-F25)/12)*(AA25*IK25+1-IK25))</f>
        <v>0</v>
      </c>
      <c r="CG25" s="24">
        <f>IF(BL25&gt;=9999,0,O25*(1+X25)^((BL25-F25)/12)*(AA25*IL25+1-IL25))</f>
        <v>0</v>
      </c>
      <c r="CH25" s="24">
        <f>IF(BM25&gt;=9999,0,O25*(1+X25)^((BM25-F25)/12)*(AA25*IM25+1-IM25))</f>
        <v>0</v>
      </c>
      <c r="CI25" s="24">
        <f>AO25</f>
        <v>0</v>
      </c>
      <c r="CJ25" s="24">
        <f>I25</f>
        <v>0</v>
      </c>
      <c r="CK25" s="24">
        <f>V25</f>
        <v>0</v>
      </c>
      <c r="CL25" s="24">
        <f>V25</f>
        <v>0</v>
      </c>
      <c r="CM25" s="24">
        <f>V25</f>
        <v>0</v>
      </c>
      <c r="CN25" s="24">
        <f>V25</f>
        <v>0</v>
      </c>
      <c r="CO25" s="24">
        <f>V25</f>
        <v>0</v>
      </c>
      <c r="CP25" s="24">
        <f>AP25</f>
        <v>1</v>
      </c>
      <c r="CQ25" s="24">
        <f>J25</f>
        <v>1</v>
      </c>
      <c r="CR25" s="24">
        <f>W25</f>
        <v>1</v>
      </c>
      <c r="CS25" s="24">
        <f>W25</f>
        <v>1</v>
      </c>
      <c r="CT25" s="24">
        <f>W25</f>
        <v>1</v>
      </c>
      <c r="CU25" s="24">
        <f>W25</f>
        <v>1</v>
      </c>
      <c r="CV25" s="24">
        <f>W25</f>
        <v>1</v>
      </c>
      <c r="CW25" s="24">
        <f>H25</f>
        <v>0</v>
      </c>
      <c r="CX25" s="24">
        <v>0</v>
      </c>
      <c r="CY25" s="24">
        <f>Y25*(1-II25)+Z25*II25</f>
        <v>0</v>
      </c>
      <c r="CZ25" s="24">
        <f>Y25*(1-IJ25)+Z25*IJ25</f>
        <v>0</v>
      </c>
      <c r="DA25" s="24">
        <f>Y25*(1-IK25)+Z25*IK25</f>
        <v>0</v>
      </c>
      <c r="DB25" s="24">
        <f>Y25*(1-IL25)+Z25*IL25</f>
        <v>0</v>
      </c>
      <c r="DC25" s="24">
        <f>Y25*(1-IM25)+Z25*IM25</f>
        <v>0</v>
      </c>
      <c r="DD25" s="24">
        <v>0</v>
      </c>
      <c r="DE25" s="24">
        <v>0</v>
      </c>
      <c r="DF25" s="24">
        <f>IF(BI25&gt;=9999,0,IF(AG25=1,0,BV25+IP25-BI25))</f>
        <v>0</v>
      </c>
      <c r="DG25" s="24">
        <f>IF(BJ25&gt;=9999,0,BW25+IQ25-BJ25)</f>
        <v>0</v>
      </c>
      <c r="DH25" s="24">
        <f>IF(BK25&gt;=9999,0,BX25+IR25-BK25)</f>
        <v>0</v>
      </c>
      <c r="DI25" s="24">
        <f>IF(BL25&gt;=9999,0,BY25+IS25-BL25)</f>
        <v>0</v>
      </c>
      <c r="DJ25" s="24">
        <f>IF(BM25&gt;=9999,0,BZ25+IT25-BM25)</f>
        <v>0</v>
      </c>
      <c r="DK25" s="24">
        <f>INT(CW25+DD25)</f>
        <v>0</v>
      </c>
      <c r="DL25" s="24">
        <v>0</v>
      </c>
      <c r="DM25" s="24">
        <f>INT(CY25+DF25)</f>
        <v>0</v>
      </c>
      <c r="DN25" s="24">
        <f>INT(CZ25+DG25)</f>
        <v>0</v>
      </c>
      <c r="DO25" s="24">
        <f>INT(DA25+DH25)</f>
        <v>0</v>
      </c>
      <c r="DP25" s="24">
        <f>INT(DB25+DI25)</f>
        <v>0</v>
      </c>
      <c r="DQ25" s="24">
        <f>INT(DC25+DJ25)</f>
        <v>0</v>
      </c>
      <c r="DR25" s="24">
        <f>CW25+DD25-DK25</f>
        <v>0</v>
      </c>
      <c r="DS25" s="24">
        <v>0</v>
      </c>
      <c r="DT25" s="24">
        <f>CY25+DF25-DM25</f>
        <v>0</v>
      </c>
      <c r="DU25" s="24">
        <f>CZ25+DG25-DN25</f>
        <v>0</v>
      </c>
      <c r="DV25" s="24">
        <f>DA25+DH25-DO25</f>
        <v>0</v>
      </c>
      <c r="DW25" s="24">
        <f>DB25+DI25-DP25</f>
        <v>0</v>
      </c>
      <c r="DX25" s="24">
        <f>DC25+DJ25-DQ25</f>
        <v>0</v>
      </c>
      <c r="DY25" s="24">
        <v>1</v>
      </c>
      <c r="DZ25" s="24">
        <v>1</v>
      </c>
      <c r="EA25" s="24">
        <v>0</v>
      </c>
      <c r="EB25" s="24">
        <v>0</v>
      </c>
      <c r="EC25" s="24">
        <v>0</v>
      </c>
      <c r="ED25" s="24">
        <v>0</v>
      </c>
      <c r="EE25" s="24">
        <v>0</v>
      </c>
      <c r="EF25" s="24">
        <v>0</v>
      </c>
      <c r="EG25" s="24">
        <f>IF(AG25=1,1,2)</f>
        <v>2</v>
      </c>
      <c r="EH25" s="24">
        <v>0</v>
      </c>
      <c r="EI25" s="24">
        <v>0</v>
      </c>
      <c r="EJ25" s="24">
        <v>0</v>
      </c>
      <c r="EK25" s="24">
        <v>0</v>
      </c>
      <c r="EL25" s="24">
        <v>0</v>
      </c>
      <c r="EM25" s="24">
        <v>1</v>
      </c>
      <c r="EN25" s="24">
        <f>IF(AG25=1,AF25,1)</f>
        <v>1</v>
      </c>
      <c r="EO25" s="24">
        <v>1</v>
      </c>
      <c r="EP25" s="24">
        <v>1</v>
      </c>
      <c r="EQ25" s="24">
        <v>1</v>
      </c>
      <c r="ER25" s="24">
        <v>1</v>
      </c>
      <c r="ES25" s="24">
        <v>1</v>
      </c>
      <c r="ET25" s="24">
        <v>0</v>
      </c>
      <c r="EU25" s="24">
        <f>BB25</f>
        <v>0</v>
      </c>
      <c r="EV25" s="24">
        <v>0</v>
      </c>
      <c r="EW25" s="24">
        <v>0</v>
      </c>
      <c r="EX25" s="24">
        <v>0</v>
      </c>
      <c r="EY25" s="24">
        <v>0</v>
      </c>
      <c r="EZ25" s="24">
        <v>0</v>
      </c>
      <c r="FA25" s="24">
        <v>0</v>
      </c>
      <c r="FB25" s="24">
        <f>ROUND(P25,0)</f>
        <v>0</v>
      </c>
      <c r="FC25" s="24">
        <v>0</v>
      </c>
      <c r="FD25" s="24">
        <v>0</v>
      </c>
      <c r="FE25" s="24">
        <v>0</v>
      </c>
      <c r="FF25" s="24">
        <v>0</v>
      </c>
      <c r="FG25" s="24">
        <v>0</v>
      </c>
      <c r="FH25" s="24">
        <f>AK25</f>
        <v>0</v>
      </c>
      <c r="FI25" s="24">
        <f>IF(AG25=1,AK25*AF25,FH25)</f>
        <v>0</v>
      </c>
      <c r="FJ25" s="24">
        <f>FI25*II25</f>
        <v>0</v>
      </c>
      <c r="FK25" s="24">
        <f>FJ25*IJ25</f>
        <v>0</v>
      </c>
      <c r="FL25" s="24">
        <f>FK25*IK25</f>
        <v>0</v>
      </c>
      <c r="FM25" s="24">
        <f>FL25*IL25</f>
        <v>0</v>
      </c>
      <c r="FN25" s="24">
        <f>FM25*IM25</f>
        <v>0</v>
      </c>
      <c r="FO25" s="24">
        <v>1</v>
      </c>
      <c r="FP25" s="24">
        <f>FV25</f>
        <v>1</v>
      </c>
      <c r="FQ25" s="24">
        <f>FW25*II25</f>
        <v>0.8</v>
      </c>
      <c r="FR25" s="24">
        <f>FX25*IJ25</f>
        <v>0.6400000000000001</v>
      </c>
      <c r="FS25" s="24">
        <f>FY25*IK25</f>
        <v>0.5120000000000001</v>
      </c>
      <c r="FT25" s="24">
        <f>FZ25*IL25</f>
        <v>0.40960000000000013</v>
      </c>
      <c r="FU25" s="24">
        <f>GA25*IM25</f>
        <v>0.32768000000000014</v>
      </c>
      <c r="FV25" s="24">
        <v>1</v>
      </c>
      <c r="FW25" s="24">
        <f>IF(AG25=1,FP25*AF25,FV25)</f>
        <v>1</v>
      </c>
      <c r="FX25" s="24">
        <f>FQ25</f>
        <v>0.8</v>
      </c>
      <c r="FY25" s="24">
        <f>FR25</f>
        <v>0.6400000000000001</v>
      </c>
      <c r="FZ25" s="24">
        <f>FS25</f>
        <v>0.5120000000000001</v>
      </c>
      <c r="GA25" s="24">
        <f>FT25</f>
        <v>0.40960000000000013</v>
      </c>
      <c r="GB25" s="24">
        <f>FU25</f>
        <v>0.32768000000000014</v>
      </c>
      <c r="GC25" s="24">
        <v>0</v>
      </c>
      <c r="GD25" s="24">
        <f>GC25</f>
        <v>0</v>
      </c>
      <c r="GE25" s="24">
        <f>IF(BI25&gt;=9999,0,INT(BI25/12))</f>
        <v>0</v>
      </c>
      <c r="GF25" s="24">
        <f>IF(BJ25&gt;=9999,0,INT(BJ25/12))</f>
        <v>0</v>
      </c>
      <c r="GG25" s="24">
        <f>IF(BK25&gt;=9999,0,INT(BK25/12))</f>
        <v>0</v>
      </c>
      <c r="GH25" s="24">
        <f>IF(BL25&gt;=9999,0,INT(BL25/12))</f>
        <v>0</v>
      </c>
      <c r="GI25" s="24">
        <f>IF(BM25&gt;=9999,0,INT(BM25/12))</f>
        <v>0</v>
      </c>
      <c r="GJ25" s="24">
        <f>BG25</f>
        <v>9999</v>
      </c>
      <c r="GK25" s="24">
        <f>IF(AG25=1,BH25,GJ25)</f>
        <v>9999</v>
      </c>
      <c r="GL25" s="24">
        <f>BI25</f>
        <v>9999</v>
      </c>
      <c r="GM25" s="24">
        <f>BJ25</f>
        <v>9999</v>
      </c>
      <c r="GN25" s="24">
        <f>BK25</f>
        <v>9999</v>
      </c>
      <c r="GO25" s="24">
        <f>BL25</f>
        <v>9999</v>
      </c>
      <c r="GP25" s="24">
        <f>BM25</f>
        <v>9999</v>
      </c>
      <c r="GQ25" s="24">
        <f>CI25</f>
        <v>0</v>
      </c>
      <c r="GR25" s="24">
        <f>IF(AG25=1,I25,GQ25)</f>
        <v>0</v>
      </c>
      <c r="GS25" s="24">
        <f>V25</f>
        <v>0</v>
      </c>
      <c r="GT25" s="24">
        <f>V25</f>
        <v>0</v>
      </c>
      <c r="GU25" s="24">
        <f>V25</f>
        <v>0</v>
      </c>
      <c r="GV25" s="24">
        <f>V25</f>
        <v>0</v>
      </c>
      <c r="GW25" s="24">
        <f>V25</f>
        <v>0</v>
      </c>
      <c r="GX25" s="24">
        <f>CP25</f>
        <v>1</v>
      </c>
      <c r="GY25" s="24">
        <f>IF(AG25=1,J25,GX25)</f>
        <v>1</v>
      </c>
      <c r="GZ25" s="24">
        <f>W25</f>
        <v>1</v>
      </c>
      <c r="HA25" s="24">
        <f>W25</f>
        <v>1</v>
      </c>
      <c r="HB25" s="24">
        <f>W25</f>
        <v>1</v>
      </c>
      <c r="HC25" s="24">
        <f>W25</f>
        <v>1</v>
      </c>
      <c r="HD25" s="24">
        <f>W25</f>
        <v>1</v>
      </c>
      <c r="HE25" s="24">
        <f>IF(BU25&gt;=9999,1,(1+X25)^(BU25/12))</f>
        <v>1</v>
      </c>
      <c r="HF25" s="24">
        <f>IF(AG25=1,IF(BV25&gt;=9999,1,(1+X25)^(BV25/12)),HE25)</f>
        <v>1</v>
      </c>
      <c r="HG25" s="24">
        <f>IF(BW25&gt;=9999,1,(1+X25)^(BW25/12))</f>
        <v>1</v>
      </c>
      <c r="HH25" s="24">
        <f>IF(BX25&gt;=9999,1,(1+X25)^(BX25/12))</f>
        <v>1</v>
      </c>
      <c r="HI25" s="24">
        <f>IF(BY25&gt;=9999,1,(1+X25)^(BY25/12))</f>
        <v>1</v>
      </c>
      <c r="HJ25" s="24">
        <f>IF(BZ25&gt;=9999,1,(1+X25)^(BZ25/12))</f>
        <v>1</v>
      </c>
      <c r="HK25" s="24">
        <f>IF(CA25&gt;=9999,1,(1+X25)^(CA25/12))</f>
        <v>1</v>
      </c>
      <c r="HL25" s="24">
        <f>IF(AND(F25&gt;0,C25&gt;0),F25,-1)</f>
        <v>-1</v>
      </c>
      <c r="HM25" s="24">
        <f>IF(AG25=1,BU25+FB25,-1)</f>
        <v>-1</v>
      </c>
      <c r="HN25" s="24">
        <f>IF(BI25&gt;=9999,-1,BV25+ROUND(IP25,0))</f>
        <v>-1</v>
      </c>
      <c r="HO25" s="24">
        <f>IF(BJ25&gt;=9999,-1,IF(HN25&lt;0,BW25,HN25+BP25)+ROUND(IQ25,0))</f>
        <v>-1</v>
      </c>
      <c r="HP25" s="24">
        <f>IF(BK25&gt;=9999,-1,IF(HO25&lt;0,BX25,HO25+BQ25)+ROUND(IR25,0))</f>
        <v>-1</v>
      </c>
      <c r="HQ25" s="24">
        <f>IF(BL25&gt;=9999,-1,IF(HP25&lt;0,BY25,HP25+BR25)+ROUND(IS25,0))</f>
        <v>-1</v>
      </c>
      <c r="HR25" s="24">
        <f>IF(BM25&gt;=9999,-1,IF(HQ25&lt;0,BZ25,HQ25+BS25)+ROUND(IT25,0))</f>
        <v>-1</v>
      </c>
      <c r="HS25" s="24">
        <f>IF(HL25&lt;0,0,C25*K25)</f>
        <v>0</v>
      </c>
      <c r="HT25" s="24">
        <f>IF(AG25=1,C25*R25*(1+in_ExpenseGrowth)^(HM25/12)*(1-AF25),0)</f>
        <v>0</v>
      </c>
      <c r="HU25" s="24">
        <f>IF(HN25&lt;0,0,C25*(S25*II25+R25*(1-II25))*(1+in_ExpenseGrowth)^(HN25/12))</f>
        <v>0</v>
      </c>
      <c r="HV25" s="24">
        <f>IF(HO25&lt;0,0,C25*(S25*IJ25+R25*(1-IJ25))*(1+in_ExpenseGrowth)^(HO25/12))</f>
        <v>0</v>
      </c>
      <c r="HW25" s="24">
        <f>IF(HP25&lt;0,0,C25*(S25*IK25+R25*(1-IK25))*(1+in_ExpenseGrowth)^(HP25/12))</f>
        <v>0</v>
      </c>
      <c r="HX25" s="24">
        <f>IF(HQ25&lt;0,0,C25*(S25*IL25+R25*(1-IL25))*(1+in_ExpenseGrowth)^(HQ25/12))</f>
        <v>0</v>
      </c>
      <c r="HY25" s="24">
        <f>IF(HR25&lt;0,0,C25*(S25*IM25+R25*(1-IM25))*(1+in_ExpenseGrowth)^(HR25/12))</f>
        <v>0</v>
      </c>
      <c r="HZ25" s="24">
        <f>IF(HL25&lt;0,0,L25*C25*E25*AQ25)</f>
        <v>0</v>
      </c>
      <c r="IA25" s="24">
        <f>IF(AG25=1,T25*C25*O25*(1+X25)^(MAX(0,HM25-F25)/12)*AB25*(1-AF25),0)</f>
        <v>0</v>
      </c>
      <c r="IB25" s="24">
        <f>IF(HN25&lt;0,0,(U25*II25+T25*(1-II25))*C25*O25*(1+X25)^(MAX(0,HN25-F25)/12)*(AA25*II25+1-II25)*AB25)</f>
        <v>0</v>
      </c>
      <c r="IC25" s="24">
        <f>IF(HO25&lt;0,0,(U25*IJ25+T25*(1-IJ25))*C25*O25*(1+X25)^(MAX(0,HO25-F25)/12)*(AA25*IJ25+1-IJ25)*AB25)</f>
        <v>0</v>
      </c>
      <c r="ID25" s="24">
        <f>IF(HP25&lt;0,0,(U25*IK25+T25*(1-IK25))*C25*O25*(1+X25)^(MAX(0,HP25-F25)/12)*(AA25*IK25+1-IK25)*AB25)</f>
        <v>0</v>
      </c>
      <c r="IE25" s="24">
        <f>IF(HQ25&lt;0,0,(U25*IL25+T25*(1-IL25))*C25*O25*(1+X25)^(MAX(0,HQ25-F25)/12)*(AA25*IL25+1-IL25)*AB25)</f>
        <v>0</v>
      </c>
      <c r="IF25" s="24">
        <f>IF(HR25&lt;0,0,(U25*IM25+T25*(1-IM25))*C25*O25*(1+X25)^(MAX(0,HR25-F25)/12)*(AA25*IM25+1-IM25)*AB25)</f>
        <v>0</v>
      </c>
      <c r="IG25" s="24">
        <v>1</v>
      </c>
      <c r="IH25" s="24">
        <f>IF(AG25=1,AF25,1)</f>
        <v>1</v>
      </c>
      <c r="II25" s="24">
        <f>IF(AG25=1,AC25,AE25)</f>
        <v>0.8</v>
      </c>
      <c r="IJ25" s="24">
        <f>AC25</f>
        <v>0.8</v>
      </c>
      <c r="IK25" s="24">
        <f>AC25</f>
        <v>0.8</v>
      </c>
      <c r="IL25" s="24">
        <f>AC25</f>
        <v>0.8</v>
      </c>
      <c r="IM25" s="24">
        <f>AC25</f>
        <v>0.8</v>
      </c>
      <c r="IN25" s="24">
        <v>0</v>
      </c>
      <c r="IO25" s="24">
        <f>P25</f>
        <v>0</v>
      </c>
      <c r="IP25" s="24">
        <f>P25*(1-II25)</f>
        <v>0</v>
      </c>
      <c r="IQ25" s="24">
        <f>P25*(1-IJ25)</f>
        <v>0</v>
      </c>
      <c r="IR25" s="24">
        <f>P25*(1-IK25)</f>
        <v>0</v>
      </c>
      <c r="IS25" s="24">
        <f>P25*(1-IL25)</f>
        <v>0</v>
      </c>
      <c r="IT25" s="24">
        <f>P25*(1-IM25)</f>
        <v>0</v>
      </c>
    </row>
    <row r="26">
      <c r="A26" s="25">
        <v>19</v>
      </c>
      <c r="B26" s="23" t="str">
        <f>IF('Rent Roll'!C26="","",'Rent Roll'!C26)</f>
        <v/>
      </c>
      <c r="C26" s="24">
        <f>IF(ISNUMBER('Rent Roll'!E26),MAX(0,'Rent Roll'!E26),0)</f>
        <v>0</v>
      </c>
      <c r="D26" s="88">
        <f>IF(a_GLA&gt;0,C26/a_GLA,0)</f>
        <v>0</v>
      </c>
      <c r="E26" s="29">
        <f>IF(BC26=1,ROUND(BD26*(1+X26)^(F26/12),2),BD26)</f>
        <v>0</v>
      </c>
      <c r="F26" s="24">
        <f>IF(C26&gt;0,MAX(0,(YEAR(IF(ISNUMBER('Rent Roll'!G26),'Rent Roll'!G26,0))-YEAR(in_AnalysisStart))*12+MONTH(IF(ISNUMBER('Rent Roll'!G26),'Rent Roll'!G26,0))-MONTH(in_AnalysisStart)),0)</f>
        <v>0</v>
      </c>
      <c r="G26" s="24">
        <f>IF(C26&gt;0,MAX(0,(YEAR(IF(ISNUMBER('Rent Roll'!H26),'Rent Roll'!H26,0))-YEAR(in_AnalysisStart))*12+MONTH(IF(ISNUMBER('Rent Roll'!H26),'Rent Roll'!H26,0))-MONTH(in_AnalysisStart)+1-F26),0)</f>
        <v>0</v>
      </c>
      <c r="H26" s="24">
        <f>IF(ISNUMBER('Rent Roll'!N26),'Rent Roll'!N26,0)</f>
        <v>0</v>
      </c>
      <c r="I26" s="88">
        <f>IF(ISNUMBER('Rent Roll'!L26),'Rent Roll'!L26,0)</f>
        <v>0</v>
      </c>
      <c r="J26" s="24">
        <f>MAX(1,ROUND(IF(ISNUMBER('Rent Roll'!M26),'Rent Roll'!M26,0),0))</f>
        <v>1</v>
      </c>
      <c r="K26" s="29">
        <f>IF(ISNUMBER('Rent Roll'!AJ26),'Rent Roll'!AJ26,0)</f>
        <v>0</v>
      </c>
      <c r="L26" s="88">
        <f>IF(IF(ISNUMBER('Rent Roll'!AK26),'Rent Roll'!AK26,0)&gt;0,'Rent Roll'!AK26,a_LeaseUpLC)</f>
        <v>0.06</v>
      </c>
      <c r="M26" s="24">
        <f>IF('Rent Roll'!R26="",0,IFERROR(MATCH('Rent Roll'!R26,a_PName,0),0))</f>
        <v>0</v>
      </c>
      <c r="N26" s="24">
        <f>IF(M26&gt;0,1,0)</f>
        <v>0</v>
      </c>
      <c r="O26" s="29">
        <f>IF(IF(ISNUMBER('Rent Roll'!S26),'Rent Roll'!S26,0)&gt;0,'Rent Roll'!S26,IF(M26&gt;0,IF(ISNUMBER(INDEX(a_PRent,M26)),INDEX(a_PRent,M26),0),0))</f>
        <v>0</v>
      </c>
      <c r="P26" s="24">
        <f>IF(M26&gt;0,IF(ISNUMBER(INDEX(a_PDown,M26)),INDEX(a_PDown,M26),0),0)</f>
        <v>0</v>
      </c>
      <c r="Q26" s="24">
        <f>IF(M26&gt;0,MAX(1,IF(ISNUMBER(INDEX(a_PTerm,M26)),INDEX(a_PTerm,M26),0)),5)</f>
        <v>5</v>
      </c>
      <c r="R26" s="29">
        <f>IF(M26&gt;0,IF(ISNUMBER(INDEX(a_PTiNew,M26)),INDEX(a_PTiNew,M26),0),0)</f>
        <v>0</v>
      </c>
      <c r="S26" s="29">
        <f>IF(M26&gt;0,IF(ISNUMBER(INDEX(a_PTiRen,M26)),INDEX(a_PTiRen,M26),0),0)</f>
        <v>0</v>
      </c>
      <c r="T26" s="88">
        <f>IF(M26&gt;0,IF(ISNUMBER(INDEX(a_PLcNew,M26)),INDEX(a_PLcNew,M26),0),0)</f>
        <v>0</v>
      </c>
      <c r="U26" s="88">
        <f>IF(M26&gt;0,IF(ISNUMBER(INDEX(a_PLcRen,M26)),INDEX(a_PLcRen,M26),0),0)</f>
        <v>0</v>
      </c>
      <c r="V26" s="88">
        <f>IF(M26&gt;0,IF(ISNUMBER(INDEX(a_PBump,M26)),INDEX(a_PBump,M26),0),0)</f>
        <v>0</v>
      </c>
      <c r="W26" s="24">
        <f>MAX(1,ROUND(IF(M26&gt;0,IF(ISNUMBER(INDEX(a_PEvery,M26)),INDEX(a_PEvery,M26),0),1),0))</f>
        <v>1</v>
      </c>
      <c r="X26" s="88">
        <f>IF(M26&gt;0,IF(ISNUMBER(INDEX(a_PGrow,M26)),INDEX(a_PGrow,M26),in_RentGrowth),in_RentGrowth)</f>
        <v>0.03</v>
      </c>
      <c r="Y26" s="24">
        <f>IF(M26&gt;0,IF(ISNUMBER(INDEX(a_PFreeNew,M26)),INDEX(a_PFreeNew,M26),0),0)</f>
        <v>0</v>
      </c>
      <c r="Z26" s="24">
        <f>IF(M26&gt;0,IF(ISNUMBER(INDEX(a_PFreeRen,M26)),INDEX(a_PFreeRen,M26),0),0)</f>
        <v>0</v>
      </c>
      <c r="AA26" s="88">
        <f>IF(M26&gt;0,IF(ISNUMBER(INDEX(a_PRenPct,M26)),INDEX(a_PRenPct,M26),1),1)</f>
        <v>1</v>
      </c>
      <c r="AB26" s="24">
        <f>IF(M26&gt;0,IF(ISNUMBER(INDEX(a_PAF,M26)),INDEX(a_PAF,M26),0),0)</f>
        <v>0</v>
      </c>
      <c r="AC26" s="88">
        <f>IF(ISNUMBER('Rent Roll'!V26),'Rent Roll'!V26,IF(M26&gt;0,IF(ISNUMBER(INDEX(a_PRenew,M26)),INDEX(a_PRenew,M26),0),0.8))</f>
        <v>0.8</v>
      </c>
      <c r="AD26" s="23" t="str">
        <f>IF('Rent Roll'!W26="","Probability",'Rent Roll'!W26)</f>
        <v>Probability</v>
      </c>
      <c r="AE26" s="88">
        <f>IF(AD26="Renew",1,IF(AD26="Vacate",0,AC26))</f>
        <v>0.8</v>
      </c>
      <c r="AF26" s="88">
        <f>IF(AD26="Renew",1,IF(ISNUMBER('Rent Roll'!AA26),'Rent Roll'!AA26,AC26))</f>
        <v>0.8</v>
      </c>
      <c r="AG26" s="24">
        <f>IF(AND(N26=1,IF(ISNUMBER('Rent Roll'!Y26),'Rent Roll'!Y26,0)&gt;0,IF(ISNUMBER('Rent Roll'!Z26),'Rent Roll'!Z26,0)&gt;0,AF26&gt;0,AD26&lt;&gt;"Vacate",C26&gt;0),1,0)</f>
        <v>0</v>
      </c>
      <c r="AH26" s="24">
        <f>ROUND(12*IF(ISNUMBER('Rent Roll'!Y26),'Rent Roll'!Y26,0),0)</f>
        <v>0</v>
      </c>
      <c r="AI26" s="29">
        <f>IF(ISNUMBER('Rent Roll'!Z26),'Rent Roll'!Z26,0)</f>
        <v>0</v>
      </c>
      <c r="AJ26" s="24">
        <f>IF('Rent Roll'!P26="Base year",1,0)</f>
        <v>0</v>
      </c>
      <c r="AK26" s="88">
        <f>IF(ISNUMBER('Rent Roll'!Q26),'Rent Roll'!Q26,0)</f>
        <v>0</v>
      </c>
      <c r="AL26" s="24">
        <f>IF(AND('Rent Roll'!AH26="Yes",a_AnchorInVac&lt;&gt;"Yes"),1,0)</f>
        <v>0</v>
      </c>
      <c r="AM26" s="29">
        <f>IF(ISNUMBER('Rent Roll'!AL26),'Rent Roll'!AL26,0)</f>
        <v>0</v>
      </c>
      <c r="AN26" s="88">
        <f>IF(ISNUMBER('Rent Roll'!AM26),'Rent Roll'!AM26,0)</f>
        <v>0</v>
      </c>
      <c r="AO26" s="88">
        <f>IF(AND(BC26=1,N26=1),V26,I26)</f>
        <v>0</v>
      </c>
      <c r="AP26" s="24">
        <f>IF(AND(BC26=1,N26=1),W26,J26)</f>
        <v>1</v>
      </c>
      <c r="AQ26" s="24">
        <f>IF(AO26=0,G26/12,AP26*((1+AO26)^INT(INT(G26/12)/AP26)-1)/AO26+(INT(G26/12)-INT(INT(G26/12)/AP26)*AP26)*(1+AO26)^INT(INT(G26/12)/AP26)+(G26/12-INT(G26/12))*(1+AO26)^INT(INT(G26/12)/AP26))</f>
        <v>0</v>
      </c>
      <c r="AR26" s="24">
        <f>IF(AND(C26&gt;0,BU26&lt;9999,BU26&gt;0),INT((BU26-1)/12)+1,0)</f>
        <v>0</v>
      </c>
      <c r="AS26" s="24">
        <f>COUNTIF('Lease Cycles'!$BG$26:$BM$26,"&lt;132")</f>
        <v>0</v>
      </c>
      <c r="AT26" s="24">
        <f>IF(AND(ISNUMBER('Rent Roll'!AR26),IF(ISNUMBER('Rent Roll'!AS26),'Rent Roll'!AS26,0)&gt;0),(YEAR('Rent Roll'!AR26)-YEAR(in_AnalysisStart))*12+MONTH('Rent Roll'!AR26)-MONTH(in_AnalysisStart),9999)</f>
        <v>9999</v>
      </c>
      <c r="AU26" s="29">
        <f>IF(ISNUMBER('Rent Roll'!AS26),'Rent Roll'!AS26,0)</f>
        <v>0</v>
      </c>
      <c r="AV26" s="24">
        <f>IF(AND(ISNUMBER('Rent Roll'!AT26),IF(ISNUMBER('Rent Roll'!AU26),'Rent Roll'!AU26,0)&gt;0),(YEAR('Rent Roll'!AT26)-YEAR(in_AnalysisStart))*12+MONTH('Rent Roll'!AT26)-MONTH(in_AnalysisStart),9999)</f>
        <v>9999</v>
      </c>
      <c r="AW26" s="29">
        <f>IF(ISNUMBER('Rent Roll'!AU26),'Rent Roll'!AU26,0)</f>
        <v>0</v>
      </c>
      <c r="AX26" s="24">
        <f>IF(AND(ISNUMBER('Rent Roll'!AV26),IF(ISNUMBER('Rent Roll'!AW26),'Rent Roll'!AW26,0)&gt;0),(YEAR('Rent Roll'!AV26)-YEAR(in_AnalysisStart))*12+MONTH('Rent Roll'!AV26)-MONTH(in_AnalysisStart),9999)</f>
        <v>9999</v>
      </c>
      <c r="AY26" s="29">
        <f>IF(ISNUMBER('Rent Roll'!AW26),'Rent Roll'!AW26,0)</f>
        <v>0</v>
      </c>
      <c r="AZ26" s="24">
        <f>IF(AND(ISNUMBER('Rent Roll'!AX26),IF(ISNUMBER('Rent Roll'!AY26),'Rent Roll'!AY26,0)&gt;0),(YEAR('Rent Roll'!AX26)-YEAR(in_AnalysisStart))*12+MONTH('Rent Roll'!AX26)-MONTH(in_AnalysisStart),9999)</f>
        <v>9999</v>
      </c>
      <c r="BA26" s="29">
        <f>IF(ISNUMBER('Rent Roll'!AY26),'Rent Roll'!AY26,0)</f>
        <v>0</v>
      </c>
      <c r="BB26" s="29">
        <f>IF(BU26&gt;=9999,O26,O26*(1+X26)^((BU26-F26)/12))</f>
        <v>0</v>
      </c>
      <c r="BC26" s="24">
        <f>IF(AND('Rent Roll'!AZ26="Yes",F26&gt;0,BD26&gt;0,AT26&gt;=9999),1,0)</f>
        <v>0</v>
      </c>
      <c r="BD26" s="29">
        <f>IF(ISNUMBER('Rent Roll'!I26),'Rent Roll'!I26,0)</f>
        <v>0</v>
      </c>
      <c r="BE26" s="24">
        <f>IF(a_MarketRecovery="Base year",1,0)</f>
        <v>0</v>
      </c>
      <c r="BG26" s="24">
        <f>IF(C26&gt;0,F26,9999)</f>
        <v>9999</v>
      </c>
      <c r="BH26" s="24">
        <f>BU26</f>
        <v>9999</v>
      </c>
      <c r="BI26" s="24">
        <f>IF(OR(N26=0,BV26&gt;=9999),9999,IF(AG26=1,BV26,INT(BV26+IP26)))</f>
        <v>9999</v>
      </c>
      <c r="BJ26" s="24">
        <f>IF(OR(N26=0,BW26&gt;=9999),9999,INT(BW26+IQ26))</f>
        <v>9999</v>
      </c>
      <c r="BK26" s="24">
        <f>IF(OR(N26=0,BX26&gt;=9999),9999,INT(BX26+IR26))</f>
        <v>9999</v>
      </c>
      <c r="BL26" s="24">
        <f>IF(OR(N26=0,BY26&gt;=9999),9999,INT(BY26+IS26))</f>
        <v>9999</v>
      </c>
      <c r="BM26" s="24">
        <f>IF(OR(N26=0,BZ26&gt;=9999),9999,INT(BZ26+IT26))</f>
        <v>9999</v>
      </c>
      <c r="BN26" s="24">
        <f>G26</f>
        <v>0</v>
      </c>
      <c r="BO26" s="24">
        <f>IF(AG26=1,AH26,0)</f>
        <v>0</v>
      </c>
      <c r="BP26" s="24">
        <f>MAX(12,ROUND(12*Q26,0))</f>
        <v>60</v>
      </c>
      <c r="BQ26" s="24">
        <f>MAX(12,ROUND(12*Q26,0))</f>
        <v>60</v>
      </c>
      <c r="BR26" s="24">
        <f>MAX(12,ROUND(12*Q26,0))</f>
        <v>60</v>
      </c>
      <c r="BS26" s="24">
        <f>MAX(12,ROUND(12*Q26,0))</f>
        <v>60</v>
      </c>
      <c r="BT26" s="24">
        <f>MAX(12,ROUND(12*Q26,0))</f>
        <v>60</v>
      </c>
      <c r="BU26" s="24">
        <f>BG26+BN26</f>
        <v>9999</v>
      </c>
      <c r="BV26" s="24">
        <f>BH26+BO26</f>
        <v>9999</v>
      </c>
      <c r="BW26" s="24">
        <f>IF(BI26&gt;=9999,9999,BI26+BP26)</f>
        <v>9999</v>
      </c>
      <c r="BX26" s="24">
        <f>IF(BJ26&gt;=9999,9999,BJ26+BQ26)</f>
        <v>9999</v>
      </c>
      <c r="BY26" s="24">
        <f>IF(BK26&gt;=9999,9999,BK26+BR26)</f>
        <v>9999</v>
      </c>
      <c r="BZ26" s="24">
        <f>IF(BL26&gt;=9999,9999,BL26+BS26)</f>
        <v>9999</v>
      </c>
      <c r="CA26" s="24">
        <f>IF(BM26&gt;=9999,9999,BM26+BT26)</f>
        <v>9999</v>
      </c>
      <c r="CB26" s="24">
        <f>E26</f>
        <v>0</v>
      </c>
      <c r="CC26" s="24">
        <f>AI26</f>
        <v>0</v>
      </c>
      <c r="CD26" s="24">
        <f>IF(BI26&gt;=9999,0,O26*(1+X26)^((BI26-F26)/12)*(AA26*II26+1-II26))</f>
        <v>0</v>
      </c>
      <c r="CE26" s="24">
        <f>IF(BJ26&gt;=9999,0,O26*(1+X26)^((BJ26-F26)/12)*(AA26*IJ26+1-IJ26))</f>
        <v>0</v>
      </c>
      <c r="CF26" s="24">
        <f>IF(BK26&gt;=9999,0,O26*(1+X26)^((BK26-F26)/12)*(AA26*IK26+1-IK26))</f>
        <v>0</v>
      </c>
      <c r="CG26" s="24">
        <f>IF(BL26&gt;=9999,0,O26*(1+X26)^((BL26-F26)/12)*(AA26*IL26+1-IL26))</f>
        <v>0</v>
      </c>
      <c r="CH26" s="24">
        <f>IF(BM26&gt;=9999,0,O26*(1+X26)^((BM26-F26)/12)*(AA26*IM26+1-IM26))</f>
        <v>0</v>
      </c>
      <c r="CI26" s="24">
        <f>AO26</f>
        <v>0</v>
      </c>
      <c r="CJ26" s="24">
        <f>I26</f>
        <v>0</v>
      </c>
      <c r="CK26" s="24">
        <f>V26</f>
        <v>0</v>
      </c>
      <c r="CL26" s="24">
        <f>V26</f>
        <v>0</v>
      </c>
      <c r="CM26" s="24">
        <f>V26</f>
        <v>0</v>
      </c>
      <c r="CN26" s="24">
        <f>V26</f>
        <v>0</v>
      </c>
      <c r="CO26" s="24">
        <f>V26</f>
        <v>0</v>
      </c>
      <c r="CP26" s="24">
        <f>AP26</f>
        <v>1</v>
      </c>
      <c r="CQ26" s="24">
        <f>J26</f>
        <v>1</v>
      </c>
      <c r="CR26" s="24">
        <f>W26</f>
        <v>1</v>
      </c>
      <c r="CS26" s="24">
        <f>W26</f>
        <v>1</v>
      </c>
      <c r="CT26" s="24">
        <f>W26</f>
        <v>1</v>
      </c>
      <c r="CU26" s="24">
        <f>W26</f>
        <v>1</v>
      </c>
      <c r="CV26" s="24">
        <f>W26</f>
        <v>1</v>
      </c>
      <c r="CW26" s="24">
        <f>H26</f>
        <v>0</v>
      </c>
      <c r="CX26" s="24">
        <v>0</v>
      </c>
      <c r="CY26" s="24">
        <f>Y26*(1-II26)+Z26*II26</f>
        <v>0</v>
      </c>
      <c r="CZ26" s="24">
        <f>Y26*(1-IJ26)+Z26*IJ26</f>
        <v>0</v>
      </c>
      <c r="DA26" s="24">
        <f>Y26*(1-IK26)+Z26*IK26</f>
        <v>0</v>
      </c>
      <c r="DB26" s="24">
        <f>Y26*(1-IL26)+Z26*IL26</f>
        <v>0</v>
      </c>
      <c r="DC26" s="24">
        <f>Y26*(1-IM26)+Z26*IM26</f>
        <v>0</v>
      </c>
      <c r="DD26" s="24">
        <v>0</v>
      </c>
      <c r="DE26" s="24">
        <v>0</v>
      </c>
      <c r="DF26" s="24">
        <f>IF(BI26&gt;=9999,0,IF(AG26=1,0,BV26+IP26-BI26))</f>
        <v>0</v>
      </c>
      <c r="DG26" s="24">
        <f>IF(BJ26&gt;=9999,0,BW26+IQ26-BJ26)</f>
        <v>0</v>
      </c>
      <c r="DH26" s="24">
        <f>IF(BK26&gt;=9999,0,BX26+IR26-BK26)</f>
        <v>0</v>
      </c>
      <c r="DI26" s="24">
        <f>IF(BL26&gt;=9999,0,BY26+IS26-BL26)</f>
        <v>0</v>
      </c>
      <c r="DJ26" s="24">
        <f>IF(BM26&gt;=9999,0,BZ26+IT26-BM26)</f>
        <v>0</v>
      </c>
      <c r="DK26" s="24">
        <f>INT(CW26+DD26)</f>
        <v>0</v>
      </c>
      <c r="DL26" s="24">
        <v>0</v>
      </c>
      <c r="DM26" s="24">
        <f>INT(CY26+DF26)</f>
        <v>0</v>
      </c>
      <c r="DN26" s="24">
        <f>INT(CZ26+DG26)</f>
        <v>0</v>
      </c>
      <c r="DO26" s="24">
        <f>INT(DA26+DH26)</f>
        <v>0</v>
      </c>
      <c r="DP26" s="24">
        <f>INT(DB26+DI26)</f>
        <v>0</v>
      </c>
      <c r="DQ26" s="24">
        <f>INT(DC26+DJ26)</f>
        <v>0</v>
      </c>
      <c r="DR26" s="24">
        <f>CW26+DD26-DK26</f>
        <v>0</v>
      </c>
      <c r="DS26" s="24">
        <v>0</v>
      </c>
      <c r="DT26" s="24">
        <f>CY26+DF26-DM26</f>
        <v>0</v>
      </c>
      <c r="DU26" s="24">
        <f>CZ26+DG26-DN26</f>
        <v>0</v>
      </c>
      <c r="DV26" s="24">
        <f>DA26+DH26-DO26</f>
        <v>0</v>
      </c>
      <c r="DW26" s="24">
        <f>DB26+DI26-DP26</f>
        <v>0</v>
      </c>
      <c r="DX26" s="24">
        <f>DC26+DJ26-DQ26</f>
        <v>0</v>
      </c>
      <c r="DY26" s="24">
        <v>1</v>
      </c>
      <c r="DZ26" s="24">
        <v>1</v>
      </c>
      <c r="EA26" s="24">
        <v>0</v>
      </c>
      <c r="EB26" s="24">
        <v>0</v>
      </c>
      <c r="EC26" s="24">
        <v>0</v>
      </c>
      <c r="ED26" s="24">
        <v>0</v>
      </c>
      <c r="EE26" s="24">
        <v>0</v>
      </c>
      <c r="EF26" s="24">
        <v>0</v>
      </c>
      <c r="EG26" s="24">
        <f>IF(AG26=1,1,2)</f>
        <v>2</v>
      </c>
      <c r="EH26" s="24">
        <v>0</v>
      </c>
      <c r="EI26" s="24">
        <v>0</v>
      </c>
      <c r="EJ26" s="24">
        <v>0</v>
      </c>
      <c r="EK26" s="24">
        <v>0</v>
      </c>
      <c r="EL26" s="24">
        <v>0</v>
      </c>
      <c r="EM26" s="24">
        <v>1</v>
      </c>
      <c r="EN26" s="24">
        <f>IF(AG26=1,AF26,1)</f>
        <v>1</v>
      </c>
      <c r="EO26" s="24">
        <v>1</v>
      </c>
      <c r="EP26" s="24">
        <v>1</v>
      </c>
      <c r="EQ26" s="24">
        <v>1</v>
      </c>
      <c r="ER26" s="24">
        <v>1</v>
      </c>
      <c r="ES26" s="24">
        <v>1</v>
      </c>
      <c r="ET26" s="24">
        <v>0</v>
      </c>
      <c r="EU26" s="24">
        <f>BB26</f>
        <v>0</v>
      </c>
      <c r="EV26" s="24">
        <v>0</v>
      </c>
      <c r="EW26" s="24">
        <v>0</v>
      </c>
      <c r="EX26" s="24">
        <v>0</v>
      </c>
      <c r="EY26" s="24">
        <v>0</v>
      </c>
      <c r="EZ26" s="24">
        <v>0</v>
      </c>
      <c r="FA26" s="24">
        <v>0</v>
      </c>
      <c r="FB26" s="24">
        <f>ROUND(P26,0)</f>
        <v>0</v>
      </c>
      <c r="FC26" s="24">
        <v>0</v>
      </c>
      <c r="FD26" s="24">
        <v>0</v>
      </c>
      <c r="FE26" s="24">
        <v>0</v>
      </c>
      <c r="FF26" s="24">
        <v>0</v>
      </c>
      <c r="FG26" s="24">
        <v>0</v>
      </c>
      <c r="FH26" s="24">
        <f>AK26</f>
        <v>0</v>
      </c>
      <c r="FI26" s="24">
        <f>IF(AG26=1,AK26*AF26,FH26)</f>
        <v>0</v>
      </c>
      <c r="FJ26" s="24">
        <f>FI26*II26</f>
        <v>0</v>
      </c>
      <c r="FK26" s="24">
        <f>FJ26*IJ26</f>
        <v>0</v>
      </c>
      <c r="FL26" s="24">
        <f>FK26*IK26</f>
        <v>0</v>
      </c>
      <c r="FM26" s="24">
        <f>FL26*IL26</f>
        <v>0</v>
      </c>
      <c r="FN26" s="24">
        <f>FM26*IM26</f>
        <v>0</v>
      </c>
      <c r="FO26" s="24">
        <v>1</v>
      </c>
      <c r="FP26" s="24">
        <f>FV26</f>
        <v>1</v>
      </c>
      <c r="FQ26" s="24">
        <f>FW26*II26</f>
        <v>0.8</v>
      </c>
      <c r="FR26" s="24">
        <f>FX26*IJ26</f>
        <v>0.6400000000000001</v>
      </c>
      <c r="FS26" s="24">
        <f>FY26*IK26</f>
        <v>0.5120000000000001</v>
      </c>
      <c r="FT26" s="24">
        <f>FZ26*IL26</f>
        <v>0.40960000000000013</v>
      </c>
      <c r="FU26" s="24">
        <f>GA26*IM26</f>
        <v>0.32768000000000014</v>
      </c>
      <c r="FV26" s="24">
        <v>1</v>
      </c>
      <c r="FW26" s="24">
        <f>IF(AG26=1,FP26*AF26,FV26)</f>
        <v>1</v>
      </c>
      <c r="FX26" s="24">
        <f>FQ26</f>
        <v>0.8</v>
      </c>
      <c r="FY26" s="24">
        <f>FR26</f>
        <v>0.6400000000000001</v>
      </c>
      <c r="FZ26" s="24">
        <f>FS26</f>
        <v>0.5120000000000001</v>
      </c>
      <c r="GA26" s="24">
        <f>FT26</f>
        <v>0.40960000000000013</v>
      </c>
      <c r="GB26" s="24">
        <f>FU26</f>
        <v>0.32768000000000014</v>
      </c>
      <c r="GC26" s="24">
        <v>0</v>
      </c>
      <c r="GD26" s="24">
        <f>GC26</f>
        <v>0</v>
      </c>
      <c r="GE26" s="24">
        <f>IF(BI26&gt;=9999,0,INT(BI26/12))</f>
        <v>0</v>
      </c>
      <c r="GF26" s="24">
        <f>IF(BJ26&gt;=9999,0,INT(BJ26/12))</f>
        <v>0</v>
      </c>
      <c r="GG26" s="24">
        <f>IF(BK26&gt;=9999,0,INT(BK26/12))</f>
        <v>0</v>
      </c>
      <c r="GH26" s="24">
        <f>IF(BL26&gt;=9999,0,INT(BL26/12))</f>
        <v>0</v>
      </c>
      <c r="GI26" s="24">
        <f>IF(BM26&gt;=9999,0,INT(BM26/12))</f>
        <v>0</v>
      </c>
      <c r="GJ26" s="24">
        <f>BG26</f>
        <v>9999</v>
      </c>
      <c r="GK26" s="24">
        <f>IF(AG26=1,BH26,GJ26)</f>
        <v>9999</v>
      </c>
      <c r="GL26" s="24">
        <f>BI26</f>
        <v>9999</v>
      </c>
      <c r="GM26" s="24">
        <f>BJ26</f>
        <v>9999</v>
      </c>
      <c r="GN26" s="24">
        <f>BK26</f>
        <v>9999</v>
      </c>
      <c r="GO26" s="24">
        <f>BL26</f>
        <v>9999</v>
      </c>
      <c r="GP26" s="24">
        <f>BM26</f>
        <v>9999</v>
      </c>
      <c r="GQ26" s="24">
        <f>CI26</f>
        <v>0</v>
      </c>
      <c r="GR26" s="24">
        <f>IF(AG26=1,I26,GQ26)</f>
        <v>0</v>
      </c>
      <c r="GS26" s="24">
        <f>V26</f>
        <v>0</v>
      </c>
      <c r="GT26" s="24">
        <f>V26</f>
        <v>0</v>
      </c>
      <c r="GU26" s="24">
        <f>V26</f>
        <v>0</v>
      </c>
      <c r="GV26" s="24">
        <f>V26</f>
        <v>0</v>
      </c>
      <c r="GW26" s="24">
        <f>V26</f>
        <v>0</v>
      </c>
      <c r="GX26" s="24">
        <f>CP26</f>
        <v>1</v>
      </c>
      <c r="GY26" s="24">
        <f>IF(AG26=1,J26,GX26)</f>
        <v>1</v>
      </c>
      <c r="GZ26" s="24">
        <f>W26</f>
        <v>1</v>
      </c>
      <c r="HA26" s="24">
        <f>W26</f>
        <v>1</v>
      </c>
      <c r="HB26" s="24">
        <f>W26</f>
        <v>1</v>
      </c>
      <c r="HC26" s="24">
        <f>W26</f>
        <v>1</v>
      </c>
      <c r="HD26" s="24">
        <f>W26</f>
        <v>1</v>
      </c>
      <c r="HE26" s="24">
        <f>IF(BU26&gt;=9999,1,(1+X26)^(BU26/12))</f>
        <v>1</v>
      </c>
      <c r="HF26" s="24">
        <f>IF(AG26=1,IF(BV26&gt;=9999,1,(1+X26)^(BV26/12)),HE26)</f>
        <v>1</v>
      </c>
      <c r="HG26" s="24">
        <f>IF(BW26&gt;=9999,1,(1+X26)^(BW26/12))</f>
        <v>1</v>
      </c>
      <c r="HH26" s="24">
        <f>IF(BX26&gt;=9999,1,(1+X26)^(BX26/12))</f>
        <v>1</v>
      </c>
      <c r="HI26" s="24">
        <f>IF(BY26&gt;=9999,1,(1+X26)^(BY26/12))</f>
        <v>1</v>
      </c>
      <c r="HJ26" s="24">
        <f>IF(BZ26&gt;=9999,1,(1+X26)^(BZ26/12))</f>
        <v>1</v>
      </c>
      <c r="HK26" s="24">
        <f>IF(CA26&gt;=9999,1,(1+X26)^(CA26/12))</f>
        <v>1</v>
      </c>
      <c r="HL26" s="24">
        <f>IF(AND(F26&gt;0,C26&gt;0),F26,-1)</f>
        <v>-1</v>
      </c>
      <c r="HM26" s="24">
        <f>IF(AG26=1,BU26+FB26,-1)</f>
        <v>-1</v>
      </c>
      <c r="HN26" s="24">
        <f>IF(BI26&gt;=9999,-1,BV26+ROUND(IP26,0))</f>
        <v>-1</v>
      </c>
      <c r="HO26" s="24">
        <f>IF(BJ26&gt;=9999,-1,IF(HN26&lt;0,BW26,HN26+BP26)+ROUND(IQ26,0))</f>
        <v>-1</v>
      </c>
      <c r="HP26" s="24">
        <f>IF(BK26&gt;=9999,-1,IF(HO26&lt;0,BX26,HO26+BQ26)+ROUND(IR26,0))</f>
        <v>-1</v>
      </c>
      <c r="HQ26" s="24">
        <f>IF(BL26&gt;=9999,-1,IF(HP26&lt;0,BY26,HP26+BR26)+ROUND(IS26,0))</f>
        <v>-1</v>
      </c>
      <c r="HR26" s="24">
        <f>IF(BM26&gt;=9999,-1,IF(HQ26&lt;0,BZ26,HQ26+BS26)+ROUND(IT26,0))</f>
        <v>-1</v>
      </c>
      <c r="HS26" s="24">
        <f>IF(HL26&lt;0,0,C26*K26)</f>
        <v>0</v>
      </c>
      <c r="HT26" s="24">
        <f>IF(AG26=1,C26*R26*(1+in_ExpenseGrowth)^(HM26/12)*(1-AF26),0)</f>
        <v>0</v>
      </c>
      <c r="HU26" s="24">
        <f>IF(HN26&lt;0,0,C26*(S26*II26+R26*(1-II26))*(1+in_ExpenseGrowth)^(HN26/12))</f>
        <v>0</v>
      </c>
      <c r="HV26" s="24">
        <f>IF(HO26&lt;0,0,C26*(S26*IJ26+R26*(1-IJ26))*(1+in_ExpenseGrowth)^(HO26/12))</f>
        <v>0</v>
      </c>
      <c r="HW26" s="24">
        <f>IF(HP26&lt;0,0,C26*(S26*IK26+R26*(1-IK26))*(1+in_ExpenseGrowth)^(HP26/12))</f>
        <v>0</v>
      </c>
      <c r="HX26" s="24">
        <f>IF(HQ26&lt;0,0,C26*(S26*IL26+R26*(1-IL26))*(1+in_ExpenseGrowth)^(HQ26/12))</f>
        <v>0</v>
      </c>
      <c r="HY26" s="24">
        <f>IF(HR26&lt;0,0,C26*(S26*IM26+R26*(1-IM26))*(1+in_ExpenseGrowth)^(HR26/12))</f>
        <v>0</v>
      </c>
      <c r="HZ26" s="24">
        <f>IF(HL26&lt;0,0,L26*C26*E26*AQ26)</f>
        <v>0</v>
      </c>
      <c r="IA26" s="24">
        <f>IF(AG26=1,T26*C26*O26*(1+X26)^(MAX(0,HM26-F26)/12)*AB26*(1-AF26),0)</f>
        <v>0</v>
      </c>
      <c r="IB26" s="24">
        <f>IF(HN26&lt;0,0,(U26*II26+T26*(1-II26))*C26*O26*(1+X26)^(MAX(0,HN26-F26)/12)*(AA26*II26+1-II26)*AB26)</f>
        <v>0</v>
      </c>
      <c r="IC26" s="24">
        <f>IF(HO26&lt;0,0,(U26*IJ26+T26*(1-IJ26))*C26*O26*(1+X26)^(MAX(0,HO26-F26)/12)*(AA26*IJ26+1-IJ26)*AB26)</f>
        <v>0</v>
      </c>
      <c r="ID26" s="24">
        <f>IF(HP26&lt;0,0,(U26*IK26+T26*(1-IK26))*C26*O26*(1+X26)^(MAX(0,HP26-F26)/12)*(AA26*IK26+1-IK26)*AB26)</f>
        <v>0</v>
      </c>
      <c r="IE26" s="24">
        <f>IF(HQ26&lt;0,0,(U26*IL26+T26*(1-IL26))*C26*O26*(1+X26)^(MAX(0,HQ26-F26)/12)*(AA26*IL26+1-IL26)*AB26)</f>
        <v>0</v>
      </c>
      <c r="IF26" s="24">
        <f>IF(HR26&lt;0,0,(U26*IM26+T26*(1-IM26))*C26*O26*(1+X26)^(MAX(0,HR26-F26)/12)*(AA26*IM26+1-IM26)*AB26)</f>
        <v>0</v>
      </c>
      <c r="IG26" s="24">
        <v>1</v>
      </c>
      <c r="IH26" s="24">
        <f>IF(AG26=1,AF26,1)</f>
        <v>1</v>
      </c>
      <c r="II26" s="24">
        <f>IF(AG26=1,AC26,AE26)</f>
        <v>0.8</v>
      </c>
      <c r="IJ26" s="24">
        <f>AC26</f>
        <v>0.8</v>
      </c>
      <c r="IK26" s="24">
        <f>AC26</f>
        <v>0.8</v>
      </c>
      <c r="IL26" s="24">
        <f>AC26</f>
        <v>0.8</v>
      </c>
      <c r="IM26" s="24">
        <f>AC26</f>
        <v>0.8</v>
      </c>
      <c r="IN26" s="24">
        <v>0</v>
      </c>
      <c r="IO26" s="24">
        <f>P26</f>
        <v>0</v>
      </c>
      <c r="IP26" s="24">
        <f>P26*(1-II26)</f>
        <v>0</v>
      </c>
      <c r="IQ26" s="24">
        <f>P26*(1-IJ26)</f>
        <v>0</v>
      </c>
      <c r="IR26" s="24">
        <f>P26*(1-IK26)</f>
        <v>0</v>
      </c>
      <c r="IS26" s="24">
        <f>P26*(1-IL26)</f>
        <v>0</v>
      </c>
      <c r="IT26" s="24">
        <f>P26*(1-IM26)</f>
        <v>0</v>
      </c>
    </row>
    <row r="27">
      <c r="A27" s="25">
        <v>20</v>
      </c>
      <c r="B27" s="23" t="str">
        <f>IF('Rent Roll'!C27="","",'Rent Roll'!C27)</f>
        <v/>
      </c>
      <c r="C27" s="24">
        <f>IF(ISNUMBER('Rent Roll'!E27),MAX(0,'Rent Roll'!E27),0)</f>
        <v>0</v>
      </c>
      <c r="D27" s="88">
        <f>IF(a_GLA&gt;0,C27/a_GLA,0)</f>
        <v>0</v>
      </c>
      <c r="E27" s="29">
        <f>IF(BC27=1,ROUND(BD27*(1+X27)^(F27/12),2),BD27)</f>
        <v>0</v>
      </c>
      <c r="F27" s="24">
        <f>IF(C27&gt;0,MAX(0,(YEAR(IF(ISNUMBER('Rent Roll'!G27),'Rent Roll'!G27,0))-YEAR(in_AnalysisStart))*12+MONTH(IF(ISNUMBER('Rent Roll'!G27),'Rent Roll'!G27,0))-MONTH(in_AnalysisStart)),0)</f>
        <v>0</v>
      </c>
      <c r="G27" s="24">
        <f>IF(C27&gt;0,MAX(0,(YEAR(IF(ISNUMBER('Rent Roll'!H27),'Rent Roll'!H27,0))-YEAR(in_AnalysisStart))*12+MONTH(IF(ISNUMBER('Rent Roll'!H27),'Rent Roll'!H27,0))-MONTH(in_AnalysisStart)+1-F27),0)</f>
        <v>0</v>
      </c>
      <c r="H27" s="24">
        <f>IF(ISNUMBER('Rent Roll'!N27),'Rent Roll'!N27,0)</f>
        <v>0</v>
      </c>
      <c r="I27" s="88">
        <f>IF(ISNUMBER('Rent Roll'!L27),'Rent Roll'!L27,0)</f>
        <v>0</v>
      </c>
      <c r="J27" s="24">
        <f>MAX(1,ROUND(IF(ISNUMBER('Rent Roll'!M27),'Rent Roll'!M27,0),0))</f>
        <v>1</v>
      </c>
      <c r="K27" s="29">
        <f>IF(ISNUMBER('Rent Roll'!AJ27),'Rent Roll'!AJ27,0)</f>
        <v>0</v>
      </c>
      <c r="L27" s="88">
        <f>IF(IF(ISNUMBER('Rent Roll'!AK27),'Rent Roll'!AK27,0)&gt;0,'Rent Roll'!AK27,a_LeaseUpLC)</f>
        <v>0.06</v>
      </c>
      <c r="M27" s="24">
        <f>IF('Rent Roll'!R27="",0,IFERROR(MATCH('Rent Roll'!R27,a_PName,0),0))</f>
        <v>0</v>
      </c>
      <c r="N27" s="24">
        <f>IF(M27&gt;0,1,0)</f>
        <v>0</v>
      </c>
      <c r="O27" s="29">
        <f>IF(IF(ISNUMBER('Rent Roll'!S27),'Rent Roll'!S27,0)&gt;0,'Rent Roll'!S27,IF(M27&gt;0,IF(ISNUMBER(INDEX(a_PRent,M27)),INDEX(a_PRent,M27),0),0))</f>
        <v>0</v>
      </c>
      <c r="P27" s="24">
        <f>IF(M27&gt;0,IF(ISNUMBER(INDEX(a_PDown,M27)),INDEX(a_PDown,M27),0),0)</f>
        <v>0</v>
      </c>
      <c r="Q27" s="24">
        <f>IF(M27&gt;0,MAX(1,IF(ISNUMBER(INDEX(a_PTerm,M27)),INDEX(a_PTerm,M27),0)),5)</f>
        <v>5</v>
      </c>
      <c r="R27" s="29">
        <f>IF(M27&gt;0,IF(ISNUMBER(INDEX(a_PTiNew,M27)),INDEX(a_PTiNew,M27),0),0)</f>
        <v>0</v>
      </c>
      <c r="S27" s="29">
        <f>IF(M27&gt;0,IF(ISNUMBER(INDEX(a_PTiRen,M27)),INDEX(a_PTiRen,M27),0),0)</f>
        <v>0</v>
      </c>
      <c r="T27" s="88">
        <f>IF(M27&gt;0,IF(ISNUMBER(INDEX(a_PLcNew,M27)),INDEX(a_PLcNew,M27),0),0)</f>
        <v>0</v>
      </c>
      <c r="U27" s="88">
        <f>IF(M27&gt;0,IF(ISNUMBER(INDEX(a_PLcRen,M27)),INDEX(a_PLcRen,M27),0),0)</f>
        <v>0</v>
      </c>
      <c r="V27" s="88">
        <f>IF(M27&gt;0,IF(ISNUMBER(INDEX(a_PBump,M27)),INDEX(a_PBump,M27),0),0)</f>
        <v>0</v>
      </c>
      <c r="W27" s="24">
        <f>MAX(1,ROUND(IF(M27&gt;0,IF(ISNUMBER(INDEX(a_PEvery,M27)),INDEX(a_PEvery,M27),0),1),0))</f>
        <v>1</v>
      </c>
      <c r="X27" s="88">
        <f>IF(M27&gt;0,IF(ISNUMBER(INDEX(a_PGrow,M27)),INDEX(a_PGrow,M27),in_RentGrowth),in_RentGrowth)</f>
        <v>0.03</v>
      </c>
      <c r="Y27" s="24">
        <f>IF(M27&gt;0,IF(ISNUMBER(INDEX(a_PFreeNew,M27)),INDEX(a_PFreeNew,M27),0),0)</f>
        <v>0</v>
      </c>
      <c r="Z27" s="24">
        <f>IF(M27&gt;0,IF(ISNUMBER(INDEX(a_PFreeRen,M27)),INDEX(a_PFreeRen,M27),0),0)</f>
        <v>0</v>
      </c>
      <c r="AA27" s="88">
        <f>IF(M27&gt;0,IF(ISNUMBER(INDEX(a_PRenPct,M27)),INDEX(a_PRenPct,M27),1),1)</f>
        <v>1</v>
      </c>
      <c r="AB27" s="24">
        <f>IF(M27&gt;0,IF(ISNUMBER(INDEX(a_PAF,M27)),INDEX(a_PAF,M27),0),0)</f>
        <v>0</v>
      </c>
      <c r="AC27" s="88">
        <f>IF(ISNUMBER('Rent Roll'!V27),'Rent Roll'!V27,IF(M27&gt;0,IF(ISNUMBER(INDEX(a_PRenew,M27)),INDEX(a_PRenew,M27),0),0.8))</f>
        <v>0.8</v>
      </c>
      <c r="AD27" s="23" t="str">
        <f>IF('Rent Roll'!W27="","Probability",'Rent Roll'!W27)</f>
        <v>Probability</v>
      </c>
      <c r="AE27" s="88">
        <f>IF(AD27="Renew",1,IF(AD27="Vacate",0,AC27))</f>
        <v>0.8</v>
      </c>
      <c r="AF27" s="88">
        <f>IF(AD27="Renew",1,IF(ISNUMBER('Rent Roll'!AA27),'Rent Roll'!AA27,AC27))</f>
        <v>0.8</v>
      </c>
      <c r="AG27" s="24">
        <f>IF(AND(N27=1,IF(ISNUMBER('Rent Roll'!Y27),'Rent Roll'!Y27,0)&gt;0,IF(ISNUMBER('Rent Roll'!Z27),'Rent Roll'!Z27,0)&gt;0,AF27&gt;0,AD27&lt;&gt;"Vacate",C27&gt;0),1,0)</f>
        <v>0</v>
      </c>
      <c r="AH27" s="24">
        <f>ROUND(12*IF(ISNUMBER('Rent Roll'!Y27),'Rent Roll'!Y27,0),0)</f>
        <v>0</v>
      </c>
      <c r="AI27" s="29">
        <f>IF(ISNUMBER('Rent Roll'!Z27),'Rent Roll'!Z27,0)</f>
        <v>0</v>
      </c>
      <c r="AJ27" s="24">
        <f>IF('Rent Roll'!P27="Base year",1,0)</f>
        <v>0</v>
      </c>
      <c r="AK27" s="88">
        <f>IF(ISNUMBER('Rent Roll'!Q27),'Rent Roll'!Q27,0)</f>
        <v>0</v>
      </c>
      <c r="AL27" s="24">
        <f>IF(AND('Rent Roll'!AH27="Yes",a_AnchorInVac&lt;&gt;"Yes"),1,0)</f>
        <v>0</v>
      </c>
      <c r="AM27" s="29">
        <f>IF(ISNUMBER('Rent Roll'!AL27),'Rent Roll'!AL27,0)</f>
        <v>0</v>
      </c>
      <c r="AN27" s="88">
        <f>IF(ISNUMBER('Rent Roll'!AM27),'Rent Roll'!AM27,0)</f>
        <v>0</v>
      </c>
      <c r="AO27" s="88">
        <f>IF(AND(BC27=1,N27=1),V27,I27)</f>
        <v>0</v>
      </c>
      <c r="AP27" s="24">
        <f>IF(AND(BC27=1,N27=1),W27,J27)</f>
        <v>1</v>
      </c>
      <c r="AQ27" s="24">
        <f>IF(AO27=0,G27/12,AP27*((1+AO27)^INT(INT(G27/12)/AP27)-1)/AO27+(INT(G27/12)-INT(INT(G27/12)/AP27)*AP27)*(1+AO27)^INT(INT(G27/12)/AP27)+(G27/12-INT(G27/12))*(1+AO27)^INT(INT(G27/12)/AP27))</f>
        <v>0</v>
      </c>
      <c r="AR27" s="24">
        <f>IF(AND(C27&gt;0,BU27&lt;9999,BU27&gt;0),INT((BU27-1)/12)+1,0)</f>
        <v>0</v>
      </c>
      <c r="AS27" s="24">
        <f>COUNTIF('Lease Cycles'!$BG$27:$BM$27,"&lt;132")</f>
        <v>0</v>
      </c>
      <c r="AT27" s="24">
        <f>IF(AND(ISNUMBER('Rent Roll'!AR27),IF(ISNUMBER('Rent Roll'!AS27),'Rent Roll'!AS27,0)&gt;0),(YEAR('Rent Roll'!AR27)-YEAR(in_AnalysisStart))*12+MONTH('Rent Roll'!AR27)-MONTH(in_AnalysisStart),9999)</f>
        <v>9999</v>
      </c>
      <c r="AU27" s="29">
        <f>IF(ISNUMBER('Rent Roll'!AS27),'Rent Roll'!AS27,0)</f>
        <v>0</v>
      </c>
      <c r="AV27" s="24">
        <f>IF(AND(ISNUMBER('Rent Roll'!AT27),IF(ISNUMBER('Rent Roll'!AU27),'Rent Roll'!AU27,0)&gt;0),(YEAR('Rent Roll'!AT27)-YEAR(in_AnalysisStart))*12+MONTH('Rent Roll'!AT27)-MONTH(in_AnalysisStart),9999)</f>
        <v>9999</v>
      </c>
      <c r="AW27" s="29">
        <f>IF(ISNUMBER('Rent Roll'!AU27),'Rent Roll'!AU27,0)</f>
        <v>0</v>
      </c>
      <c r="AX27" s="24">
        <f>IF(AND(ISNUMBER('Rent Roll'!AV27),IF(ISNUMBER('Rent Roll'!AW27),'Rent Roll'!AW27,0)&gt;0),(YEAR('Rent Roll'!AV27)-YEAR(in_AnalysisStart))*12+MONTH('Rent Roll'!AV27)-MONTH(in_AnalysisStart),9999)</f>
        <v>9999</v>
      </c>
      <c r="AY27" s="29">
        <f>IF(ISNUMBER('Rent Roll'!AW27),'Rent Roll'!AW27,0)</f>
        <v>0</v>
      </c>
      <c r="AZ27" s="24">
        <f>IF(AND(ISNUMBER('Rent Roll'!AX27),IF(ISNUMBER('Rent Roll'!AY27),'Rent Roll'!AY27,0)&gt;0),(YEAR('Rent Roll'!AX27)-YEAR(in_AnalysisStart))*12+MONTH('Rent Roll'!AX27)-MONTH(in_AnalysisStart),9999)</f>
        <v>9999</v>
      </c>
      <c r="BA27" s="29">
        <f>IF(ISNUMBER('Rent Roll'!AY27),'Rent Roll'!AY27,0)</f>
        <v>0</v>
      </c>
      <c r="BB27" s="29">
        <f>IF(BU27&gt;=9999,O27,O27*(1+X27)^((BU27-F27)/12))</f>
        <v>0</v>
      </c>
      <c r="BC27" s="24">
        <f>IF(AND('Rent Roll'!AZ27="Yes",F27&gt;0,BD27&gt;0,AT27&gt;=9999),1,0)</f>
        <v>0</v>
      </c>
      <c r="BD27" s="29">
        <f>IF(ISNUMBER('Rent Roll'!I27),'Rent Roll'!I27,0)</f>
        <v>0</v>
      </c>
      <c r="BE27" s="24">
        <f>IF(a_MarketRecovery="Base year",1,0)</f>
        <v>0</v>
      </c>
      <c r="BG27" s="24">
        <f>IF(C27&gt;0,F27,9999)</f>
        <v>9999</v>
      </c>
      <c r="BH27" s="24">
        <f>BU27</f>
        <v>9999</v>
      </c>
      <c r="BI27" s="24">
        <f>IF(OR(N27=0,BV27&gt;=9999),9999,IF(AG27=1,BV27,INT(BV27+IP27)))</f>
        <v>9999</v>
      </c>
      <c r="BJ27" s="24">
        <f>IF(OR(N27=0,BW27&gt;=9999),9999,INT(BW27+IQ27))</f>
        <v>9999</v>
      </c>
      <c r="BK27" s="24">
        <f>IF(OR(N27=0,BX27&gt;=9999),9999,INT(BX27+IR27))</f>
        <v>9999</v>
      </c>
      <c r="BL27" s="24">
        <f>IF(OR(N27=0,BY27&gt;=9999),9999,INT(BY27+IS27))</f>
        <v>9999</v>
      </c>
      <c r="BM27" s="24">
        <f>IF(OR(N27=0,BZ27&gt;=9999),9999,INT(BZ27+IT27))</f>
        <v>9999</v>
      </c>
      <c r="BN27" s="24">
        <f>G27</f>
        <v>0</v>
      </c>
      <c r="BO27" s="24">
        <f>IF(AG27=1,AH27,0)</f>
        <v>0</v>
      </c>
      <c r="BP27" s="24">
        <f>MAX(12,ROUND(12*Q27,0))</f>
        <v>60</v>
      </c>
      <c r="BQ27" s="24">
        <f>MAX(12,ROUND(12*Q27,0))</f>
        <v>60</v>
      </c>
      <c r="BR27" s="24">
        <f>MAX(12,ROUND(12*Q27,0))</f>
        <v>60</v>
      </c>
      <c r="BS27" s="24">
        <f>MAX(12,ROUND(12*Q27,0))</f>
        <v>60</v>
      </c>
      <c r="BT27" s="24">
        <f>MAX(12,ROUND(12*Q27,0))</f>
        <v>60</v>
      </c>
      <c r="BU27" s="24">
        <f>BG27+BN27</f>
        <v>9999</v>
      </c>
      <c r="BV27" s="24">
        <f>BH27+BO27</f>
        <v>9999</v>
      </c>
      <c r="BW27" s="24">
        <f>IF(BI27&gt;=9999,9999,BI27+BP27)</f>
        <v>9999</v>
      </c>
      <c r="BX27" s="24">
        <f>IF(BJ27&gt;=9999,9999,BJ27+BQ27)</f>
        <v>9999</v>
      </c>
      <c r="BY27" s="24">
        <f>IF(BK27&gt;=9999,9999,BK27+BR27)</f>
        <v>9999</v>
      </c>
      <c r="BZ27" s="24">
        <f>IF(BL27&gt;=9999,9999,BL27+BS27)</f>
        <v>9999</v>
      </c>
      <c r="CA27" s="24">
        <f>IF(BM27&gt;=9999,9999,BM27+BT27)</f>
        <v>9999</v>
      </c>
      <c r="CB27" s="24">
        <f>E27</f>
        <v>0</v>
      </c>
      <c r="CC27" s="24">
        <f>AI27</f>
        <v>0</v>
      </c>
      <c r="CD27" s="24">
        <f>IF(BI27&gt;=9999,0,O27*(1+X27)^((BI27-F27)/12)*(AA27*II27+1-II27))</f>
        <v>0</v>
      </c>
      <c r="CE27" s="24">
        <f>IF(BJ27&gt;=9999,0,O27*(1+X27)^((BJ27-F27)/12)*(AA27*IJ27+1-IJ27))</f>
        <v>0</v>
      </c>
      <c r="CF27" s="24">
        <f>IF(BK27&gt;=9999,0,O27*(1+X27)^((BK27-F27)/12)*(AA27*IK27+1-IK27))</f>
        <v>0</v>
      </c>
      <c r="CG27" s="24">
        <f>IF(BL27&gt;=9999,0,O27*(1+X27)^((BL27-F27)/12)*(AA27*IL27+1-IL27))</f>
        <v>0</v>
      </c>
      <c r="CH27" s="24">
        <f>IF(BM27&gt;=9999,0,O27*(1+X27)^((BM27-F27)/12)*(AA27*IM27+1-IM27))</f>
        <v>0</v>
      </c>
      <c r="CI27" s="24">
        <f>AO27</f>
        <v>0</v>
      </c>
      <c r="CJ27" s="24">
        <f>I27</f>
        <v>0</v>
      </c>
      <c r="CK27" s="24">
        <f>V27</f>
        <v>0</v>
      </c>
      <c r="CL27" s="24">
        <f>V27</f>
        <v>0</v>
      </c>
      <c r="CM27" s="24">
        <f>V27</f>
        <v>0</v>
      </c>
      <c r="CN27" s="24">
        <f>V27</f>
        <v>0</v>
      </c>
      <c r="CO27" s="24">
        <f>V27</f>
        <v>0</v>
      </c>
      <c r="CP27" s="24">
        <f>AP27</f>
        <v>1</v>
      </c>
      <c r="CQ27" s="24">
        <f>J27</f>
        <v>1</v>
      </c>
      <c r="CR27" s="24">
        <f>W27</f>
        <v>1</v>
      </c>
      <c r="CS27" s="24">
        <f>W27</f>
        <v>1</v>
      </c>
      <c r="CT27" s="24">
        <f>W27</f>
        <v>1</v>
      </c>
      <c r="CU27" s="24">
        <f>W27</f>
        <v>1</v>
      </c>
      <c r="CV27" s="24">
        <f>W27</f>
        <v>1</v>
      </c>
      <c r="CW27" s="24">
        <f>H27</f>
        <v>0</v>
      </c>
      <c r="CX27" s="24">
        <v>0</v>
      </c>
      <c r="CY27" s="24">
        <f>Y27*(1-II27)+Z27*II27</f>
        <v>0</v>
      </c>
      <c r="CZ27" s="24">
        <f>Y27*(1-IJ27)+Z27*IJ27</f>
        <v>0</v>
      </c>
      <c r="DA27" s="24">
        <f>Y27*(1-IK27)+Z27*IK27</f>
        <v>0</v>
      </c>
      <c r="DB27" s="24">
        <f>Y27*(1-IL27)+Z27*IL27</f>
        <v>0</v>
      </c>
      <c r="DC27" s="24">
        <f>Y27*(1-IM27)+Z27*IM27</f>
        <v>0</v>
      </c>
      <c r="DD27" s="24">
        <v>0</v>
      </c>
      <c r="DE27" s="24">
        <v>0</v>
      </c>
      <c r="DF27" s="24">
        <f>IF(BI27&gt;=9999,0,IF(AG27=1,0,BV27+IP27-BI27))</f>
        <v>0</v>
      </c>
      <c r="DG27" s="24">
        <f>IF(BJ27&gt;=9999,0,BW27+IQ27-BJ27)</f>
        <v>0</v>
      </c>
      <c r="DH27" s="24">
        <f>IF(BK27&gt;=9999,0,BX27+IR27-BK27)</f>
        <v>0</v>
      </c>
      <c r="DI27" s="24">
        <f>IF(BL27&gt;=9999,0,BY27+IS27-BL27)</f>
        <v>0</v>
      </c>
      <c r="DJ27" s="24">
        <f>IF(BM27&gt;=9999,0,BZ27+IT27-BM27)</f>
        <v>0</v>
      </c>
      <c r="DK27" s="24">
        <f>INT(CW27+DD27)</f>
        <v>0</v>
      </c>
      <c r="DL27" s="24">
        <v>0</v>
      </c>
      <c r="DM27" s="24">
        <f>INT(CY27+DF27)</f>
        <v>0</v>
      </c>
      <c r="DN27" s="24">
        <f>INT(CZ27+DG27)</f>
        <v>0</v>
      </c>
      <c r="DO27" s="24">
        <f>INT(DA27+DH27)</f>
        <v>0</v>
      </c>
      <c r="DP27" s="24">
        <f>INT(DB27+DI27)</f>
        <v>0</v>
      </c>
      <c r="DQ27" s="24">
        <f>INT(DC27+DJ27)</f>
        <v>0</v>
      </c>
      <c r="DR27" s="24">
        <f>CW27+DD27-DK27</f>
        <v>0</v>
      </c>
      <c r="DS27" s="24">
        <v>0</v>
      </c>
      <c r="DT27" s="24">
        <f>CY27+DF27-DM27</f>
        <v>0</v>
      </c>
      <c r="DU27" s="24">
        <f>CZ27+DG27-DN27</f>
        <v>0</v>
      </c>
      <c r="DV27" s="24">
        <f>DA27+DH27-DO27</f>
        <v>0</v>
      </c>
      <c r="DW27" s="24">
        <f>DB27+DI27-DP27</f>
        <v>0</v>
      </c>
      <c r="DX27" s="24">
        <f>DC27+DJ27-DQ27</f>
        <v>0</v>
      </c>
      <c r="DY27" s="24">
        <v>1</v>
      </c>
      <c r="DZ27" s="24">
        <v>1</v>
      </c>
      <c r="EA27" s="24">
        <v>0</v>
      </c>
      <c r="EB27" s="24">
        <v>0</v>
      </c>
      <c r="EC27" s="24">
        <v>0</v>
      </c>
      <c r="ED27" s="24">
        <v>0</v>
      </c>
      <c r="EE27" s="24">
        <v>0</v>
      </c>
      <c r="EF27" s="24">
        <v>0</v>
      </c>
      <c r="EG27" s="24">
        <f>IF(AG27=1,1,2)</f>
        <v>2</v>
      </c>
      <c r="EH27" s="24">
        <v>0</v>
      </c>
      <c r="EI27" s="24">
        <v>0</v>
      </c>
      <c r="EJ27" s="24">
        <v>0</v>
      </c>
      <c r="EK27" s="24">
        <v>0</v>
      </c>
      <c r="EL27" s="24">
        <v>0</v>
      </c>
      <c r="EM27" s="24">
        <v>1</v>
      </c>
      <c r="EN27" s="24">
        <f>IF(AG27=1,AF27,1)</f>
        <v>1</v>
      </c>
      <c r="EO27" s="24">
        <v>1</v>
      </c>
      <c r="EP27" s="24">
        <v>1</v>
      </c>
      <c r="EQ27" s="24">
        <v>1</v>
      </c>
      <c r="ER27" s="24">
        <v>1</v>
      </c>
      <c r="ES27" s="24">
        <v>1</v>
      </c>
      <c r="ET27" s="24">
        <v>0</v>
      </c>
      <c r="EU27" s="24">
        <f>BB27</f>
        <v>0</v>
      </c>
      <c r="EV27" s="24">
        <v>0</v>
      </c>
      <c r="EW27" s="24">
        <v>0</v>
      </c>
      <c r="EX27" s="24">
        <v>0</v>
      </c>
      <c r="EY27" s="24">
        <v>0</v>
      </c>
      <c r="EZ27" s="24">
        <v>0</v>
      </c>
      <c r="FA27" s="24">
        <v>0</v>
      </c>
      <c r="FB27" s="24">
        <f>ROUND(P27,0)</f>
        <v>0</v>
      </c>
      <c r="FC27" s="24">
        <v>0</v>
      </c>
      <c r="FD27" s="24">
        <v>0</v>
      </c>
      <c r="FE27" s="24">
        <v>0</v>
      </c>
      <c r="FF27" s="24">
        <v>0</v>
      </c>
      <c r="FG27" s="24">
        <v>0</v>
      </c>
      <c r="FH27" s="24">
        <f>AK27</f>
        <v>0</v>
      </c>
      <c r="FI27" s="24">
        <f>IF(AG27=1,AK27*AF27,FH27)</f>
        <v>0</v>
      </c>
      <c r="FJ27" s="24">
        <f>FI27*II27</f>
        <v>0</v>
      </c>
      <c r="FK27" s="24">
        <f>FJ27*IJ27</f>
        <v>0</v>
      </c>
      <c r="FL27" s="24">
        <f>FK27*IK27</f>
        <v>0</v>
      </c>
      <c r="FM27" s="24">
        <f>FL27*IL27</f>
        <v>0</v>
      </c>
      <c r="FN27" s="24">
        <f>FM27*IM27</f>
        <v>0</v>
      </c>
      <c r="FO27" s="24">
        <v>1</v>
      </c>
      <c r="FP27" s="24">
        <f>FV27</f>
        <v>1</v>
      </c>
      <c r="FQ27" s="24">
        <f>FW27*II27</f>
        <v>0.8</v>
      </c>
      <c r="FR27" s="24">
        <f>FX27*IJ27</f>
        <v>0.6400000000000001</v>
      </c>
      <c r="FS27" s="24">
        <f>FY27*IK27</f>
        <v>0.5120000000000001</v>
      </c>
      <c r="FT27" s="24">
        <f>FZ27*IL27</f>
        <v>0.40960000000000013</v>
      </c>
      <c r="FU27" s="24">
        <f>GA27*IM27</f>
        <v>0.32768000000000014</v>
      </c>
      <c r="FV27" s="24">
        <v>1</v>
      </c>
      <c r="FW27" s="24">
        <f>IF(AG27=1,FP27*AF27,FV27)</f>
        <v>1</v>
      </c>
      <c r="FX27" s="24">
        <f>FQ27</f>
        <v>0.8</v>
      </c>
      <c r="FY27" s="24">
        <f>FR27</f>
        <v>0.6400000000000001</v>
      </c>
      <c r="FZ27" s="24">
        <f>FS27</f>
        <v>0.5120000000000001</v>
      </c>
      <c r="GA27" s="24">
        <f>FT27</f>
        <v>0.40960000000000013</v>
      </c>
      <c r="GB27" s="24">
        <f>FU27</f>
        <v>0.32768000000000014</v>
      </c>
      <c r="GC27" s="24">
        <v>0</v>
      </c>
      <c r="GD27" s="24">
        <f>GC27</f>
        <v>0</v>
      </c>
      <c r="GE27" s="24">
        <f>IF(BI27&gt;=9999,0,INT(BI27/12))</f>
        <v>0</v>
      </c>
      <c r="GF27" s="24">
        <f>IF(BJ27&gt;=9999,0,INT(BJ27/12))</f>
        <v>0</v>
      </c>
      <c r="GG27" s="24">
        <f>IF(BK27&gt;=9999,0,INT(BK27/12))</f>
        <v>0</v>
      </c>
      <c r="GH27" s="24">
        <f>IF(BL27&gt;=9999,0,INT(BL27/12))</f>
        <v>0</v>
      </c>
      <c r="GI27" s="24">
        <f>IF(BM27&gt;=9999,0,INT(BM27/12))</f>
        <v>0</v>
      </c>
      <c r="GJ27" s="24">
        <f>BG27</f>
        <v>9999</v>
      </c>
      <c r="GK27" s="24">
        <f>IF(AG27=1,BH27,GJ27)</f>
        <v>9999</v>
      </c>
      <c r="GL27" s="24">
        <f>BI27</f>
        <v>9999</v>
      </c>
      <c r="GM27" s="24">
        <f>BJ27</f>
        <v>9999</v>
      </c>
      <c r="GN27" s="24">
        <f>BK27</f>
        <v>9999</v>
      </c>
      <c r="GO27" s="24">
        <f>BL27</f>
        <v>9999</v>
      </c>
      <c r="GP27" s="24">
        <f>BM27</f>
        <v>9999</v>
      </c>
      <c r="GQ27" s="24">
        <f>CI27</f>
        <v>0</v>
      </c>
      <c r="GR27" s="24">
        <f>IF(AG27=1,I27,GQ27)</f>
        <v>0</v>
      </c>
      <c r="GS27" s="24">
        <f>V27</f>
        <v>0</v>
      </c>
      <c r="GT27" s="24">
        <f>V27</f>
        <v>0</v>
      </c>
      <c r="GU27" s="24">
        <f>V27</f>
        <v>0</v>
      </c>
      <c r="GV27" s="24">
        <f>V27</f>
        <v>0</v>
      </c>
      <c r="GW27" s="24">
        <f>V27</f>
        <v>0</v>
      </c>
      <c r="GX27" s="24">
        <f>CP27</f>
        <v>1</v>
      </c>
      <c r="GY27" s="24">
        <f>IF(AG27=1,J27,GX27)</f>
        <v>1</v>
      </c>
      <c r="GZ27" s="24">
        <f>W27</f>
        <v>1</v>
      </c>
      <c r="HA27" s="24">
        <f>W27</f>
        <v>1</v>
      </c>
      <c r="HB27" s="24">
        <f>W27</f>
        <v>1</v>
      </c>
      <c r="HC27" s="24">
        <f>W27</f>
        <v>1</v>
      </c>
      <c r="HD27" s="24">
        <f>W27</f>
        <v>1</v>
      </c>
      <c r="HE27" s="24">
        <f>IF(BU27&gt;=9999,1,(1+X27)^(BU27/12))</f>
        <v>1</v>
      </c>
      <c r="HF27" s="24">
        <f>IF(AG27=1,IF(BV27&gt;=9999,1,(1+X27)^(BV27/12)),HE27)</f>
        <v>1</v>
      </c>
      <c r="HG27" s="24">
        <f>IF(BW27&gt;=9999,1,(1+X27)^(BW27/12))</f>
        <v>1</v>
      </c>
      <c r="HH27" s="24">
        <f>IF(BX27&gt;=9999,1,(1+X27)^(BX27/12))</f>
        <v>1</v>
      </c>
      <c r="HI27" s="24">
        <f>IF(BY27&gt;=9999,1,(1+X27)^(BY27/12))</f>
        <v>1</v>
      </c>
      <c r="HJ27" s="24">
        <f>IF(BZ27&gt;=9999,1,(1+X27)^(BZ27/12))</f>
        <v>1</v>
      </c>
      <c r="HK27" s="24">
        <f>IF(CA27&gt;=9999,1,(1+X27)^(CA27/12))</f>
        <v>1</v>
      </c>
      <c r="HL27" s="24">
        <f>IF(AND(F27&gt;0,C27&gt;0),F27,-1)</f>
        <v>-1</v>
      </c>
      <c r="HM27" s="24">
        <f>IF(AG27=1,BU27+FB27,-1)</f>
        <v>-1</v>
      </c>
      <c r="HN27" s="24">
        <f>IF(BI27&gt;=9999,-1,BV27+ROUND(IP27,0))</f>
        <v>-1</v>
      </c>
      <c r="HO27" s="24">
        <f>IF(BJ27&gt;=9999,-1,IF(HN27&lt;0,BW27,HN27+BP27)+ROUND(IQ27,0))</f>
        <v>-1</v>
      </c>
      <c r="HP27" s="24">
        <f>IF(BK27&gt;=9999,-1,IF(HO27&lt;0,BX27,HO27+BQ27)+ROUND(IR27,0))</f>
        <v>-1</v>
      </c>
      <c r="HQ27" s="24">
        <f>IF(BL27&gt;=9999,-1,IF(HP27&lt;0,BY27,HP27+BR27)+ROUND(IS27,0))</f>
        <v>-1</v>
      </c>
      <c r="HR27" s="24">
        <f>IF(BM27&gt;=9999,-1,IF(HQ27&lt;0,BZ27,HQ27+BS27)+ROUND(IT27,0))</f>
        <v>-1</v>
      </c>
      <c r="HS27" s="24">
        <f>IF(HL27&lt;0,0,C27*K27)</f>
        <v>0</v>
      </c>
      <c r="HT27" s="24">
        <f>IF(AG27=1,C27*R27*(1+in_ExpenseGrowth)^(HM27/12)*(1-AF27),0)</f>
        <v>0</v>
      </c>
      <c r="HU27" s="24">
        <f>IF(HN27&lt;0,0,C27*(S27*II27+R27*(1-II27))*(1+in_ExpenseGrowth)^(HN27/12))</f>
        <v>0</v>
      </c>
      <c r="HV27" s="24">
        <f>IF(HO27&lt;0,0,C27*(S27*IJ27+R27*(1-IJ27))*(1+in_ExpenseGrowth)^(HO27/12))</f>
        <v>0</v>
      </c>
      <c r="HW27" s="24">
        <f>IF(HP27&lt;0,0,C27*(S27*IK27+R27*(1-IK27))*(1+in_ExpenseGrowth)^(HP27/12))</f>
        <v>0</v>
      </c>
      <c r="HX27" s="24">
        <f>IF(HQ27&lt;0,0,C27*(S27*IL27+R27*(1-IL27))*(1+in_ExpenseGrowth)^(HQ27/12))</f>
        <v>0</v>
      </c>
      <c r="HY27" s="24">
        <f>IF(HR27&lt;0,0,C27*(S27*IM27+R27*(1-IM27))*(1+in_ExpenseGrowth)^(HR27/12))</f>
        <v>0</v>
      </c>
      <c r="HZ27" s="24">
        <f>IF(HL27&lt;0,0,L27*C27*E27*AQ27)</f>
        <v>0</v>
      </c>
      <c r="IA27" s="24">
        <f>IF(AG27=1,T27*C27*O27*(1+X27)^(MAX(0,HM27-F27)/12)*AB27*(1-AF27),0)</f>
        <v>0</v>
      </c>
      <c r="IB27" s="24">
        <f>IF(HN27&lt;0,0,(U27*II27+T27*(1-II27))*C27*O27*(1+X27)^(MAX(0,HN27-F27)/12)*(AA27*II27+1-II27)*AB27)</f>
        <v>0</v>
      </c>
      <c r="IC27" s="24">
        <f>IF(HO27&lt;0,0,(U27*IJ27+T27*(1-IJ27))*C27*O27*(1+X27)^(MAX(0,HO27-F27)/12)*(AA27*IJ27+1-IJ27)*AB27)</f>
        <v>0</v>
      </c>
      <c r="ID27" s="24">
        <f>IF(HP27&lt;0,0,(U27*IK27+T27*(1-IK27))*C27*O27*(1+X27)^(MAX(0,HP27-F27)/12)*(AA27*IK27+1-IK27)*AB27)</f>
        <v>0</v>
      </c>
      <c r="IE27" s="24">
        <f>IF(HQ27&lt;0,0,(U27*IL27+T27*(1-IL27))*C27*O27*(1+X27)^(MAX(0,HQ27-F27)/12)*(AA27*IL27+1-IL27)*AB27)</f>
        <v>0</v>
      </c>
      <c r="IF27" s="24">
        <f>IF(HR27&lt;0,0,(U27*IM27+T27*(1-IM27))*C27*O27*(1+X27)^(MAX(0,HR27-F27)/12)*(AA27*IM27+1-IM27)*AB27)</f>
        <v>0</v>
      </c>
      <c r="IG27" s="24">
        <v>1</v>
      </c>
      <c r="IH27" s="24">
        <f>IF(AG27=1,AF27,1)</f>
        <v>1</v>
      </c>
      <c r="II27" s="24">
        <f>IF(AG27=1,AC27,AE27)</f>
        <v>0.8</v>
      </c>
      <c r="IJ27" s="24">
        <f>AC27</f>
        <v>0.8</v>
      </c>
      <c r="IK27" s="24">
        <f>AC27</f>
        <v>0.8</v>
      </c>
      <c r="IL27" s="24">
        <f>AC27</f>
        <v>0.8</v>
      </c>
      <c r="IM27" s="24">
        <f>AC27</f>
        <v>0.8</v>
      </c>
      <c r="IN27" s="24">
        <v>0</v>
      </c>
      <c r="IO27" s="24">
        <f>P27</f>
        <v>0</v>
      </c>
      <c r="IP27" s="24">
        <f>P27*(1-II27)</f>
        <v>0</v>
      </c>
      <c r="IQ27" s="24">
        <f>P27*(1-IJ27)</f>
        <v>0</v>
      </c>
      <c r="IR27" s="24">
        <f>P27*(1-IK27)</f>
        <v>0</v>
      </c>
      <c r="IS27" s="24">
        <f>P27*(1-IL27)</f>
        <v>0</v>
      </c>
      <c r="IT27" s="24">
        <f>P27*(1-IM27)</f>
        <v>0</v>
      </c>
    </row>
    <row r="28">
      <c r="A28" s="25">
        <v>21</v>
      </c>
      <c r="B28" s="23" t="str">
        <f>IF('Rent Roll'!C28="","",'Rent Roll'!C28)</f>
        <v/>
      </c>
      <c r="C28" s="24">
        <f>IF(ISNUMBER('Rent Roll'!E28),MAX(0,'Rent Roll'!E28),0)</f>
        <v>0</v>
      </c>
      <c r="D28" s="88">
        <f>IF(a_GLA&gt;0,C28/a_GLA,0)</f>
        <v>0</v>
      </c>
      <c r="E28" s="29">
        <f>IF(BC28=1,ROUND(BD28*(1+X28)^(F28/12),2),BD28)</f>
        <v>0</v>
      </c>
      <c r="F28" s="24">
        <f>IF(C28&gt;0,MAX(0,(YEAR(IF(ISNUMBER('Rent Roll'!G28),'Rent Roll'!G28,0))-YEAR(in_AnalysisStart))*12+MONTH(IF(ISNUMBER('Rent Roll'!G28),'Rent Roll'!G28,0))-MONTH(in_AnalysisStart)),0)</f>
        <v>0</v>
      </c>
      <c r="G28" s="24">
        <f>IF(C28&gt;0,MAX(0,(YEAR(IF(ISNUMBER('Rent Roll'!H28),'Rent Roll'!H28,0))-YEAR(in_AnalysisStart))*12+MONTH(IF(ISNUMBER('Rent Roll'!H28),'Rent Roll'!H28,0))-MONTH(in_AnalysisStart)+1-F28),0)</f>
        <v>0</v>
      </c>
      <c r="H28" s="24">
        <f>IF(ISNUMBER('Rent Roll'!N28),'Rent Roll'!N28,0)</f>
        <v>0</v>
      </c>
      <c r="I28" s="88">
        <f>IF(ISNUMBER('Rent Roll'!L28),'Rent Roll'!L28,0)</f>
        <v>0</v>
      </c>
      <c r="J28" s="24">
        <f>MAX(1,ROUND(IF(ISNUMBER('Rent Roll'!M28),'Rent Roll'!M28,0),0))</f>
        <v>1</v>
      </c>
      <c r="K28" s="29">
        <f>IF(ISNUMBER('Rent Roll'!AJ28),'Rent Roll'!AJ28,0)</f>
        <v>0</v>
      </c>
      <c r="L28" s="88">
        <f>IF(IF(ISNUMBER('Rent Roll'!AK28),'Rent Roll'!AK28,0)&gt;0,'Rent Roll'!AK28,a_LeaseUpLC)</f>
        <v>0.06</v>
      </c>
      <c r="M28" s="24">
        <f>IF('Rent Roll'!R28="",0,IFERROR(MATCH('Rent Roll'!R28,a_PName,0),0))</f>
        <v>0</v>
      </c>
      <c r="N28" s="24">
        <f>IF(M28&gt;0,1,0)</f>
        <v>0</v>
      </c>
      <c r="O28" s="29">
        <f>IF(IF(ISNUMBER('Rent Roll'!S28),'Rent Roll'!S28,0)&gt;0,'Rent Roll'!S28,IF(M28&gt;0,IF(ISNUMBER(INDEX(a_PRent,M28)),INDEX(a_PRent,M28),0),0))</f>
        <v>0</v>
      </c>
      <c r="P28" s="24">
        <f>IF(M28&gt;0,IF(ISNUMBER(INDEX(a_PDown,M28)),INDEX(a_PDown,M28),0),0)</f>
        <v>0</v>
      </c>
      <c r="Q28" s="24">
        <f>IF(M28&gt;0,MAX(1,IF(ISNUMBER(INDEX(a_PTerm,M28)),INDEX(a_PTerm,M28),0)),5)</f>
        <v>5</v>
      </c>
      <c r="R28" s="29">
        <f>IF(M28&gt;0,IF(ISNUMBER(INDEX(a_PTiNew,M28)),INDEX(a_PTiNew,M28),0),0)</f>
        <v>0</v>
      </c>
      <c r="S28" s="29">
        <f>IF(M28&gt;0,IF(ISNUMBER(INDEX(a_PTiRen,M28)),INDEX(a_PTiRen,M28),0),0)</f>
        <v>0</v>
      </c>
      <c r="T28" s="88">
        <f>IF(M28&gt;0,IF(ISNUMBER(INDEX(a_PLcNew,M28)),INDEX(a_PLcNew,M28),0),0)</f>
        <v>0</v>
      </c>
      <c r="U28" s="88">
        <f>IF(M28&gt;0,IF(ISNUMBER(INDEX(a_PLcRen,M28)),INDEX(a_PLcRen,M28),0),0)</f>
        <v>0</v>
      </c>
      <c r="V28" s="88">
        <f>IF(M28&gt;0,IF(ISNUMBER(INDEX(a_PBump,M28)),INDEX(a_PBump,M28),0),0)</f>
        <v>0</v>
      </c>
      <c r="W28" s="24">
        <f>MAX(1,ROUND(IF(M28&gt;0,IF(ISNUMBER(INDEX(a_PEvery,M28)),INDEX(a_PEvery,M28),0),1),0))</f>
        <v>1</v>
      </c>
      <c r="X28" s="88">
        <f>IF(M28&gt;0,IF(ISNUMBER(INDEX(a_PGrow,M28)),INDEX(a_PGrow,M28),in_RentGrowth),in_RentGrowth)</f>
        <v>0.03</v>
      </c>
      <c r="Y28" s="24">
        <f>IF(M28&gt;0,IF(ISNUMBER(INDEX(a_PFreeNew,M28)),INDEX(a_PFreeNew,M28),0),0)</f>
        <v>0</v>
      </c>
      <c r="Z28" s="24">
        <f>IF(M28&gt;0,IF(ISNUMBER(INDEX(a_PFreeRen,M28)),INDEX(a_PFreeRen,M28),0),0)</f>
        <v>0</v>
      </c>
      <c r="AA28" s="88">
        <f>IF(M28&gt;0,IF(ISNUMBER(INDEX(a_PRenPct,M28)),INDEX(a_PRenPct,M28),1),1)</f>
        <v>1</v>
      </c>
      <c r="AB28" s="24">
        <f>IF(M28&gt;0,IF(ISNUMBER(INDEX(a_PAF,M28)),INDEX(a_PAF,M28),0),0)</f>
        <v>0</v>
      </c>
      <c r="AC28" s="88">
        <f>IF(ISNUMBER('Rent Roll'!V28),'Rent Roll'!V28,IF(M28&gt;0,IF(ISNUMBER(INDEX(a_PRenew,M28)),INDEX(a_PRenew,M28),0),0.8))</f>
        <v>0.8</v>
      </c>
      <c r="AD28" s="23" t="str">
        <f>IF('Rent Roll'!W28="","Probability",'Rent Roll'!W28)</f>
        <v>Probability</v>
      </c>
      <c r="AE28" s="88">
        <f>IF(AD28="Renew",1,IF(AD28="Vacate",0,AC28))</f>
        <v>0.8</v>
      </c>
      <c r="AF28" s="88">
        <f>IF(AD28="Renew",1,IF(ISNUMBER('Rent Roll'!AA28),'Rent Roll'!AA28,AC28))</f>
        <v>0.8</v>
      </c>
      <c r="AG28" s="24">
        <f>IF(AND(N28=1,IF(ISNUMBER('Rent Roll'!Y28),'Rent Roll'!Y28,0)&gt;0,IF(ISNUMBER('Rent Roll'!Z28),'Rent Roll'!Z28,0)&gt;0,AF28&gt;0,AD28&lt;&gt;"Vacate",C28&gt;0),1,0)</f>
        <v>0</v>
      </c>
      <c r="AH28" s="24">
        <f>ROUND(12*IF(ISNUMBER('Rent Roll'!Y28),'Rent Roll'!Y28,0),0)</f>
        <v>0</v>
      </c>
      <c r="AI28" s="29">
        <f>IF(ISNUMBER('Rent Roll'!Z28),'Rent Roll'!Z28,0)</f>
        <v>0</v>
      </c>
      <c r="AJ28" s="24">
        <f>IF('Rent Roll'!P28="Base year",1,0)</f>
        <v>0</v>
      </c>
      <c r="AK28" s="88">
        <f>IF(ISNUMBER('Rent Roll'!Q28),'Rent Roll'!Q28,0)</f>
        <v>0</v>
      </c>
      <c r="AL28" s="24">
        <f>IF(AND('Rent Roll'!AH28="Yes",a_AnchorInVac&lt;&gt;"Yes"),1,0)</f>
        <v>0</v>
      </c>
      <c r="AM28" s="29">
        <f>IF(ISNUMBER('Rent Roll'!AL28),'Rent Roll'!AL28,0)</f>
        <v>0</v>
      </c>
      <c r="AN28" s="88">
        <f>IF(ISNUMBER('Rent Roll'!AM28),'Rent Roll'!AM28,0)</f>
        <v>0</v>
      </c>
      <c r="AO28" s="88">
        <f>IF(AND(BC28=1,N28=1),V28,I28)</f>
        <v>0</v>
      </c>
      <c r="AP28" s="24">
        <f>IF(AND(BC28=1,N28=1),W28,J28)</f>
        <v>1</v>
      </c>
      <c r="AQ28" s="24">
        <f>IF(AO28=0,G28/12,AP28*((1+AO28)^INT(INT(G28/12)/AP28)-1)/AO28+(INT(G28/12)-INT(INT(G28/12)/AP28)*AP28)*(1+AO28)^INT(INT(G28/12)/AP28)+(G28/12-INT(G28/12))*(1+AO28)^INT(INT(G28/12)/AP28))</f>
        <v>0</v>
      </c>
      <c r="AR28" s="24">
        <f>IF(AND(C28&gt;0,BU28&lt;9999,BU28&gt;0),INT((BU28-1)/12)+1,0)</f>
        <v>0</v>
      </c>
      <c r="AS28" s="24">
        <f>COUNTIF('Lease Cycles'!$BG$28:$BM$28,"&lt;132")</f>
        <v>0</v>
      </c>
      <c r="AT28" s="24">
        <f>IF(AND(ISNUMBER('Rent Roll'!AR28),IF(ISNUMBER('Rent Roll'!AS28),'Rent Roll'!AS28,0)&gt;0),(YEAR('Rent Roll'!AR28)-YEAR(in_AnalysisStart))*12+MONTH('Rent Roll'!AR28)-MONTH(in_AnalysisStart),9999)</f>
        <v>9999</v>
      </c>
      <c r="AU28" s="29">
        <f>IF(ISNUMBER('Rent Roll'!AS28),'Rent Roll'!AS28,0)</f>
        <v>0</v>
      </c>
      <c r="AV28" s="24">
        <f>IF(AND(ISNUMBER('Rent Roll'!AT28),IF(ISNUMBER('Rent Roll'!AU28),'Rent Roll'!AU28,0)&gt;0),(YEAR('Rent Roll'!AT28)-YEAR(in_AnalysisStart))*12+MONTH('Rent Roll'!AT28)-MONTH(in_AnalysisStart),9999)</f>
        <v>9999</v>
      </c>
      <c r="AW28" s="29">
        <f>IF(ISNUMBER('Rent Roll'!AU28),'Rent Roll'!AU28,0)</f>
        <v>0</v>
      </c>
      <c r="AX28" s="24">
        <f>IF(AND(ISNUMBER('Rent Roll'!AV28),IF(ISNUMBER('Rent Roll'!AW28),'Rent Roll'!AW28,0)&gt;0),(YEAR('Rent Roll'!AV28)-YEAR(in_AnalysisStart))*12+MONTH('Rent Roll'!AV28)-MONTH(in_AnalysisStart),9999)</f>
        <v>9999</v>
      </c>
      <c r="AY28" s="29">
        <f>IF(ISNUMBER('Rent Roll'!AW28),'Rent Roll'!AW28,0)</f>
        <v>0</v>
      </c>
      <c r="AZ28" s="24">
        <f>IF(AND(ISNUMBER('Rent Roll'!AX28),IF(ISNUMBER('Rent Roll'!AY28),'Rent Roll'!AY28,0)&gt;0),(YEAR('Rent Roll'!AX28)-YEAR(in_AnalysisStart))*12+MONTH('Rent Roll'!AX28)-MONTH(in_AnalysisStart),9999)</f>
        <v>9999</v>
      </c>
      <c r="BA28" s="29">
        <f>IF(ISNUMBER('Rent Roll'!AY28),'Rent Roll'!AY28,0)</f>
        <v>0</v>
      </c>
      <c r="BB28" s="29">
        <f>IF(BU28&gt;=9999,O28,O28*(1+X28)^((BU28-F28)/12))</f>
        <v>0</v>
      </c>
      <c r="BC28" s="24">
        <f>IF(AND('Rent Roll'!AZ28="Yes",F28&gt;0,BD28&gt;0,AT28&gt;=9999),1,0)</f>
        <v>0</v>
      </c>
      <c r="BD28" s="29">
        <f>IF(ISNUMBER('Rent Roll'!I28),'Rent Roll'!I28,0)</f>
        <v>0</v>
      </c>
      <c r="BE28" s="24">
        <f>IF(a_MarketRecovery="Base year",1,0)</f>
        <v>0</v>
      </c>
      <c r="BG28" s="24">
        <f>IF(C28&gt;0,F28,9999)</f>
        <v>9999</v>
      </c>
      <c r="BH28" s="24">
        <f>BU28</f>
        <v>9999</v>
      </c>
      <c r="BI28" s="24">
        <f>IF(OR(N28=0,BV28&gt;=9999),9999,IF(AG28=1,BV28,INT(BV28+IP28)))</f>
        <v>9999</v>
      </c>
      <c r="BJ28" s="24">
        <f>IF(OR(N28=0,BW28&gt;=9999),9999,INT(BW28+IQ28))</f>
        <v>9999</v>
      </c>
      <c r="BK28" s="24">
        <f>IF(OR(N28=0,BX28&gt;=9999),9999,INT(BX28+IR28))</f>
        <v>9999</v>
      </c>
      <c r="BL28" s="24">
        <f>IF(OR(N28=0,BY28&gt;=9999),9999,INT(BY28+IS28))</f>
        <v>9999</v>
      </c>
      <c r="BM28" s="24">
        <f>IF(OR(N28=0,BZ28&gt;=9999),9999,INT(BZ28+IT28))</f>
        <v>9999</v>
      </c>
      <c r="BN28" s="24">
        <f>G28</f>
        <v>0</v>
      </c>
      <c r="BO28" s="24">
        <f>IF(AG28=1,AH28,0)</f>
        <v>0</v>
      </c>
      <c r="BP28" s="24">
        <f>MAX(12,ROUND(12*Q28,0))</f>
        <v>60</v>
      </c>
      <c r="BQ28" s="24">
        <f>MAX(12,ROUND(12*Q28,0))</f>
        <v>60</v>
      </c>
      <c r="BR28" s="24">
        <f>MAX(12,ROUND(12*Q28,0))</f>
        <v>60</v>
      </c>
      <c r="BS28" s="24">
        <f>MAX(12,ROUND(12*Q28,0))</f>
        <v>60</v>
      </c>
      <c r="BT28" s="24">
        <f>MAX(12,ROUND(12*Q28,0))</f>
        <v>60</v>
      </c>
      <c r="BU28" s="24">
        <f>BG28+BN28</f>
        <v>9999</v>
      </c>
      <c r="BV28" s="24">
        <f>BH28+BO28</f>
        <v>9999</v>
      </c>
      <c r="BW28" s="24">
        <f>IF(BI28&gt;=9999,9999,BI28+BP28)</f>
        <v>9999</v>
      </c>
      <c r="BX28" s="24">
        <f>IF(BJ28&gt;=9999,9999,BJ28+BQ28)</f>
        <v>9999</v>
      </c>
      <c r="BY28" s="24">
        <f>IF(BK28&gt;=9999,9999,BK28+BR28)</f>
        <v>9999</v>
      </c>
      <c r="BZ28" s="24">
        <f>IF(BL28&gt;=9999,9999,BL28+BS28)</f>
        <v>9999</v>
      </c>
      <c r="CA28" s="24">
        <f>IF(BM28&gt;=9999,9999,BM28+BT28)</f>
        <v>9999</v>
      </c>
      <c r="CB28" s="24">
        <f>E28</f>
        <v>0</v>
      </c>
      <c r="CC28" s="24">
        <f>AI28</f>
        <v>0</v>
      </c>
      <c r="CD28" s="24">
        <f>IF(BI28&gt;=9999,0,O28*(1+X28)^((BI28-F28)/12)*(AA28*II28+1-II28))</f>
        <v>0</v>
      </c>
      <c r="CE28" s="24">
        <f>IF(BJ28&gt;=9999,0,O28*(1+X28)^((BJ28-F28)/12)*(AA28*IJ28+1-IJ28))</f>
        <v>0</v>
      </c>
      <c r="CF28" s="24">
        <f>IF(BK28&gt;=9999,0,O28*(1+X28)^((BK28-F28)/12)*(AA28*IK28+1-IK28))</f>
        <v>0</v>
      </c>
      <c r="CG28" s="24">
        <f>IF(BL28&gt;=9999,0,O28*(1+X28)^((BL28-F28)/12)*(AA28*IL28+1-IL28))</f>
        <v>0</v>
      </c>
      <c r="CH28" s="24">
        <f>IF(BM28&gt;=9999,0,O28*(1+X28)^((BM28-F28)/12)*(AA28*IM28+1-IM28))</f>
        <v>0</v>
      </c>
      <c r="CI28" s="24">
        <f>AO28</f>
        <v>0</v>
      </c>
      <c r="CJ28" s="24">
        <f>I28</f>
        <v>0</v>
      </c>
      <c r="CK28" s="24">
        <f>V28</f>
        <v>0</v>
      </c>
      <c r="CL28" s="24">
        <f>V28</f>
        <v>0</v>
      </c>
      <c r="CM28" s="24">
        <f>V28</f>
        <v>0</v>
      </c>
      <c r="CN28" s="24">
        <f>V28</f>
        <v>0</v>
      </c>
      <c r="CO28" s="24">
        <f>V28</f>
        <v>0</v>
      </c>
      <c r="CP28" s="24">
        <f>AP28</f>
        <v>1</v>
      </c>
      <c r="CQ28" s="24">
        <f>J28</f>
        <v>1</v>
      </c>
      <c r="CR28" s="24">
        <f>W28</f>
        <v>1</v>
      </c>
      <c r="CS28" s="24">
        <f>W28</f>
        <v>1</v>
      </c>
      <c r="CT28" s="24">
        <f>W28</f>
        <v>1</v>
      </c>
      <c r="CU28" s="24">
        <f>W28</f>
        <v>1</v>
      </c>
      <c r="CV28" s="24">
        <f>W28</f>
        <v>1</v>
      </c>
      <c r="CW28" s="24">
        <f>H28</f>
        <v>0</v>
      </c>
      <c r="CX28" s="24">
        <v>0</v>
      </c>
      <c r="CY28" s="24">
        <f>Y28*(1-II28)+Z28*II28</f>
        <v>0</v>
      </c>
      <c r="CZ28" s="24">
        <f>Y28*(1-IJ28)+Z28*IJ28</f>
        <v>0</v>
      </c>
      <c r="DA28" s="24">
        <f>Y28*(1-IK28)+Z28*IK28</f>
        <v>0</v>
      </c>
      <c r="DB28" s="24">
        <f>Y28*(1-IL28)+Z28*IL28</f>
        <v>0</v>
      </c>
      <c r="DC28" s="24">
        <f>Y28*(1-IM28)+Z28*IM28</f>
        <v>0</v>
      </c>
      <c r="DD28" s="24">
        <v>0</v>
      </c>
      <c r="DE28" s="24">
        <v>0</v>
      </c>
      <c r="DF28" s="24">
        <f>IF(BI28&gt;=9999,0,IF(AG28=1,0,BV28+IP28-BI28))</f>
        <v>0</v>
      </c>
      <c r="DG28" s="24">
        <f>IF(BJ28&gt;=9999,0,BW28+IQ28-BJ28)</f>
        <v>0</v>
      </c>
      <c r="DH28" s="24">
        <f>IF(BK28&gt;=9999,0,BX28+IR28-BK28)</f>
        <v>0</v>
      </c>
      <c r="DI28" s="24">
        <f>IF(BL28&gt;=9999,0,BY28+IS28-BL28)</f>
        <v>0</v>
      </c>
      <c r="DJ28" s="24">
        <f>IF(BM28&gt;=9999,0,BZ28+IT28-BM28)</f>
        <v>0</v>
      </c>
      <c r="DK28" s="24">
        <f>INT(CW28+DD28)</f>
        <v>0</v>
      </c>
      <c r="DL28" s="24">
        <v>0</v>
      </c>
      <c r="DM28" s="24">
        <f>INT(CY28+DF28)</f>
        <v>0</v>
      </c>
      <c r="DN28" s="24">
        <f>INT(CZ28+DG28)</f>
        <v>0</v>
      </c>
      <c r="DO28" s="24">
        <f>INT(DA28+DH28)</f>
        <v>0</v>
      </c>
      <c r="DP28" s="24">
        <f>INT(DB28+DI28)</f>
        <v>0</v>
      </c>
      <c r="DQ28" s="24">
        <f>INT(DC28+DJ28)</f>
        <v>0</v>
      </c>
      <c r="DR28" s="24">
        <f>CW28+DD28-DK28</f>
        <v>0</v>
      </c>
      <c r="DS28" s="24">
        <v>0</v>
      </c>
      <c r="DT28" s="24">
        <f>CY28+DF28-DM28</f>
        <v>0</v>
      </c>
      <c r="DU28" s="24">
        <f>CZ28+DG28-DN28</f>
        <v>0</v>
      </c>
      <c r="DV28" s="24">
        <f>DA28+DH28-DO28</f>
        <v>0</v>
      </c>
      <c r="DW28" s="24">
        <f>DB28+DI28-DP28</f>
        <v>0</v>
      </c>
      <c r="DX28" s="24">
        <f>DC28+DJ28-DQ28</f>
        <v>0</v>
      </c>
      <c r="DY28" s="24">
        <v>1</v>
      </c>
      <c r="DZ28" s="24">
        <v>1</v>
      </c>
      <c r="EA28" s="24">
        <v>0</v>
      </c>
      <c r="EB28" s="24">
        <v>0</v>
      </c>
      <c r="EC28" s="24">
        <v>0</v>
      </c>
      <c r="ED28" s="24">
        <v>0</v>
      </c>
      <c r="EE28" s="24">
        <v>0</v>
      </c>
      <c r="EF28" s="24">
        <v>0</v>
      </c>
      <c r="EG28" s="24">
        <f>IF(AG28=1,1,2)</f>
        <v>2</v>
      </c>
      <c r="EH28" s="24">
        <v>0</v>
      </c>
      <c r="EI28" s="24">
        <v>0</v>
      </c>
      <c r="EJ28" s="24">
        <v>0</v>
      </c>
      <c r="EK28" s="24">
        <v>0</v>
      </c>
      <c r="EL28" s="24">
        <v>0</v>
      </c>
      <c r="EM28" s="24">
        <v>1</v>
      </c>
      <c r="EN28" s="24">
        <f>IF(AG28=1,AF28,1)</f>
        <v>1</v>
      </c>
      <c r="EO28" s="24">
        <v>1</v>
      </c>
      <c r="EP28" s="24">
        <v>1</v>
      </c>
      <c r="EQ28" s="24">
        <v>1</v>
      </c>
      <c r="ER28" s="24">
        <v>1</v>
      </c>
      <c r="ES28" s="24">
        <v>1</v>
      </c>
      <c r="ET28" s="24">
        <v>0</v>
      </c>
      <c r="EU28" s="24">
        <f>BB28</f>
        <v>0</v>
      </c>
      <c r="EV28" s="24">
        <v>0</v>
      </c>
      <c r="EW28" s="24">
        <v>0</v>
      </c>
      <c r="EX28" s="24">
        <v>0</v>
      </c>
      <c r="EY28" s="24">
        <v>0</v>
      </c>
      <c r="EZ28" s="24">
        <v>0</v>
      </c>
      <c r="FA28" s="24">
        <v>0</v>
      </c>
      <c r="FB28" s="24">
        <f>ROUND(P28,0)</f>
        <v>0</v>
      </c>
      <c r="FC28" s="24">
        <v>0</v>
      </c>
      <c r="FD28" s="24">
        <v>0</v>
      </c>
      <c r="FE28" s="24">
        <v>0</v>
      </c>
      <c r="FF28" s="24">
        <v>0</v>
      </c>
      <c r="FG28" s="24">
        <v>0</v>
      </c>
      <c r="FH28" s="24">
        <f>AK28</f>
        <v>0</v>
      </c>
      <c r="FI28" s="24">
        <f>IF(AG28=1,AK28*AF28,FH28)</f>
        <v>0</v>
      </c>
      <c r="FJ28" s="24">
        <f>FI28*II28</f>
        <v>0</v>
      </c>
      <c r="FK28" s="24">
        <f>FJ28*IJ28</f>
        <v>0</v>
      </c>
      <c r="FL28" s="24">
        <f>FK28*IK28</f>
        <v>0</v>
      </c>
      <c r="FM28" s="24">
        <f>FL28*IL28</f>
        <v>0</v>
      </c>
      <c r="FN28" s="24">
        <f>FM28*IM28</f>
        <v>0</v>
      </c>
      <c r="FO28" s="24">
        <v>1</v>
      </c>
      <c r="FP28" s="24">
        <f>FV28</f>
        <v>1</v>
      </c>
      <c r="FQ28" s="24">
        <f>FW28*II28</f>
        <v>0.8</v>
      </c>
      <c r="FR28" s="24">
        <f>FX28*IJ28</f>
        <v>0.6400000000000001</v>
      </c>
      <c r="FS28" s="24">
        <f>FY28*IK28</f>
        <v>0.5120000000000001</v>
      </c>
      <c r="FT28" s="24">
        <f>FZ28*IL28</f>
        <v>0.40960000000000013</v>
      </c>
      <c r="FU28" s="24">
        <f>GA28*IM28</f>
        <v>0.32768000000000014</v>
      </c>
      <c r="FV28" s="24">
        <v>1</v>
      </c>
      <c r="FW28" s="24">
        <f>IF(AG28=1,FP28*AF28,FV28)</f>
        <v>1</v>
      </c>
      <c r="FX28" s="24">
        <f>FQ28</f>
        <v>0.8</v>
      </c>
      <c r="FY28" s="24">
        <f>FR28</f>
        <v>0.6400000000000001</v>
      </c>
      <c r="FZ28" s="24">
        <f>FS28</f>
        <v>0.5120000000000001</v>
      </c>
      <c r="GA28" s="24">
        <f>FT28</f>
        <v>0.40960000000000013</v>
      </c>
      <c r="GB28" s="24">
        <f>FU28</f>
        <v>0.32768000000000014</v>
      </c>
      <c r="GC28" s="24">
        <v>0</v>
      </c>
      <c r="GD28" s="24">
        <f>GC28</f>
        <v>0</v>
      </c>
      <c r="GE28" s="24">
        <f>IF(BI28&gt;=9999,0,INT(BI28/12))</f>
        <v>0</v>
      </c>
      <c r="GF28" s="24">
        <f>IF(BJ28&gt;=9999,0,INT(BJ28/12))</f>
        <v>0</v>
      </c>
      <c r="GG28" s="24">
        <f>IF(BK28&gt;=9999,0,INT(BK28/12))</f>
        <v>0</v>
      </c>
      <c r="GH28" s="24">
        <f>IF(BL28&gt;=9999,0,INT(BL28/12))</f>
        <v>0</v>
      </c>
      <c r="GI28" s="24">
        <f>IF(BM28&gt;=9999,0,INT(BM28/12))</f>
        <v>0</v>
      </c>
      <c r="GJ28" s="24">
        <f>BG28</f>
        <v>9999</v>
      </c>
      <c r="GK28" s="24">
        <f>IF(AG28=1,BH28,GJ28)</f>
        <v>9999</v>
      </c>
      <c r="GL28" s="24">
        <f>BI28</f>
        <v>9999</v>
      </c>
      <c r="GM28" s="24">
        <f>BJ28</f>
        <v>9999</v>
      </c>
      <c r="GN28" s="24">
        <f>BK28</f>
        <v>9999</v>
      </c>
      <c r="GO28" s="24">
        <f>BL28</f>
        <v>9999</v>
      </c>
      <c r="GP28" s="24">
        <f>BM28</f>
        <v>9999</v>
      </c>
      <c r="GQ28" s="24">
        <f>CI28</f>
        <v>0</v>
      </c>
      <c r="GR28" s="24">
        <f>IF(AG28=1,I28,GQ28)</f>
        <v>0</v>
      </c>
      <c r="GS28" s="24">
        <f>V28</f>
        <v>0</v>
      </c>
      <c r="GT28" s="24">
        <f>V28</f>
        <v>0</v>
      </c>
      <c r="GU28" s="24">
        <f>V28</f>
        <v>0</v>
      </c>
      <c r="GV28" s="24">
        <f>V28</f>
        <v>0</v>
      </c>
      <c r="GW28" s="24">
        <f>V28</f>
        <v>0</v>
      </c>
      <c r="GX28" s="24">
        <f>CP28</f>
        <v>1</v>
      </c>
      <c r="GY28" s="24">
        <f>IF(AG28=1,J28,GX28)</f>
        <v>1</v>
      </c>
      <c r="GZ28" s="24">
        <f>W28</f>
        <v>1</v>
      </c>
      <c r="HA28" s="24">
        <f>W28</f>
        <v>1</v>
      </c>
      <c r="HB28" s="24">
        <f>W28</f>
        <v>1</v>
      </c>
      <c r="HC28" s="24">
        <f>W28</f>
        <v>1</v>
      </c>
      <c r="HD28" s="24">
        <f>W28</f>
        <v>1</v>
      </c>
      <c r="HE28" s="24">
        <f>IF(BU28&gt;=9999,1,(1+X28)^(BU28/12))</f>
        <v>1</v>
      </c>
      <c r="HF28" s="24">
        <f>IF(AG28=1,IF(BV28&gt;=9999,1,(1+X28)^(BV28/12)),HE28)</f>
        <v>1</v>
      </c>
      <c r="HG28" s="24">
        <f>IF(BW28&gt;=9999,1,(1+X28)^(BW28/12))</f>
        <v>1</v>
      </c>
      <c r="HH28" s="24">
        <f>IF(BX28&gt;=9999,1,(1+X28)^(BX28/12))</f>
        <v>1</v>
      </c>
      <c r="HI28" s="24">
        <f>IF(BY28&gt;=9999,1,(1+X28)^(BY28/12))</f>
        <v>1</v>
      </c>
      <c r="HJ28" s="24">
        <f>IF(BZ28&gt;=9999,1,(1+X28)^(BZ28/12))</f>
        <v>1</v>
      </c>
      <c r="HK28" s="24">
        <f>IF(CA28&gt;=9999,1,(1+X28)^(CA28/12))</f>
        <v>1</v>
      </c>
      <c r="HL28" s="24">
        <f>IF(AND(F28&gt;0,C28&gt;0),F28,-1)</f>
        <v>-1</v>
      </c>
      <c r="HM28" s="24">
        <f>IF(AG28=1,BU28+FB28,-1)</f>
        <v>-1</v>
      </c>
      <c r="HN28" s="24">
        <f>IF(BI28&gt;=9999,-1,BV28+ROUND(IP28,0))</f>
        <v>-1</v>
      </c>
      <c r="HO28" s="24">
        <f>IF(BJ28&gt;=9999,-1,IF(HN28&lt;0,BW28,HN28+BP28)+ROUND(IQ28,0))</f>
        <v>-1</v>
      </c>
      <c r="HP28" s="24">
        <f>IF(BK28&gt;=9999,-1,IF(HO28&lt;0,BX28,HO28+BQ28)+ROUND(IR28,0))</f>
        <v>-1</v>
      </c>
      <c r="HQ28" s="24">
        <f>IF(BL28&gt;=9999,-1,IF(HP28&lt;0,BY28,HP28+BR28)+ROUND(IS28,0))</f>
        <v>-1</v>
      </c>
      <c r="HR28" s="24">
        <f>IF(BM28&gt;=9999,-1,IF(HQ28&lt;0,BZ28,HQ28+BS28)+ROUND(IT28,0))</f>
        <v>-1</v>
      </c>
      <c r="HS28" s="24">
        <f>IF(HL28&lt;0,0,C28*K28)</f>
        <v>0</v>
      </c>
      <c r="HT28" s="24">
        <f>IF(AG28=1,C28*R28*(1+in_ExpenseGrowth)^(HM28/12)*(1-AF28),0)</f>
        <v>0</v>
      </c>
      <c r="HU28" s="24">
        <f>IF(HN28&lt;0,0,C28*(S28*II28+R28*(1-II28))*(1+in_ExpenseGrowth)^(HN28/12))</f>
        <v>0</v>
      </c>
      <c r="HV28" s="24">
        <f>IF(HO28&lt;0,0,C28*(S28*IJ28+R28*(1-IJ28))*(1+in_ExpenseGrowth)^(HO28/12))</f>
        <v>0</v>
      </c>
      <c r="HW28" s="24">
        <f>IF(HP28&lt;0,0,C28*(S28*IK28+R28*(1-IK28))*(1+in_ExpenseGrowth)^(HP28/12))</f>
        <v>0</v>
      </c>
      <c r="HX28" s="24">
        <f>IF(HQ28&lt;0,0,C28*(S28*IL28+R28*(1-IL28))*(1+in_ExpenseGrowth)^(HQ28/12))</f>
        <v>0</v>
      </c>
      <c r="HY28" s="24">
        <f>IF(HR28&lt;0,0,C28*(S28*IM28+R28*(1-IM28))*(1+in_ExpenseGrowth)^(HR28/12))</f>
        <v>0</v>
      </c>
      <c r="HZ28" s="24">
        <f>IF(HL28&lt;0,0,L28*C28*E28*AQ28)</f>
        <v>0</v>
      </c>
      <c r="IA28" s="24">
        <f>IF(AG28=1,T28*C28*O28*(1+X28)^(MAX(0,HM28-F28)/12)*AB28*(1-AF28),0)</f>
        <v>0</v>
      </c>
      <c r="IB28" s="24">
        <f>IF(HN28&lt;0,0,(U28*II28+T28*(1-II28))*C28*O28*(1+X28)^(MAX(0,HN28-F28)/12)*(AA28*II28+1-II28)*AB28)</f>
        <v>0</v>
      </c>
      <c r="IC28" s="24">
        <f>IF(HO28&lt;0,0,(U28*IJ28+T28*(1-IJ28))*C28*O28*(1+X28)^(MAX(0,HO28-F28)/12)*(AA28*IJ28+1-IJ28)*AB28)</f>
        <v>0</v>
      </c>
      <c r="ID28" s="24">
        <f>IF(HP28&lt;0,0,(U28*IK28+T28*(1-IK28))*C28*O28*(1+X28)^(MAX(0,HP28-F28)/12)*(AA28*IK28+1-IK28)*AB28)</f>
        <v>0</v>
      </c>
      <c r="IE28" s="24">
        <f>IF(HQ28&lt;0,0,(U28*IL28+T28*(1-IL28))*C28*O28*(1+X28)^(MAX(0,HQ28-F28)/12)*(AA28*IL28+1-IL28)*AB28)</f>
        <v>0</v>
      </c>
      <c r="IF28" s="24">
        <f>IF(HR28&lt;0,0,(U28*IM28+T28*(1-IM28))*C28*O28*(1+X28)^(MAX(0,HR28-F28)/12)*(AA28*IM28+1-IM28)*AB28)</f>
        <v>0</v>
      </c>
      <c r="IG28" s="24">
        <v>1</v>
      </c>
      <c r="IH28" s="24">
        <f>IF(AG28=1,AF28,1)</f>
        <v>1</v>
      </c>
      <c r="II28" s="24">
        <f>IF(AG28=1,AC28,AE28)</f>
        <v>0.8</v>
      </c>
      <c r="IJ28" s="24">
        <f>AC28</f>
        <v>0.8</v>
      </c>
      <c r="IK28" s="24">
        <f>AC28</f>
        <v>0.8</v>
      </c>
      <c r="IL28" s="24">
        <f>AC28</f>
        <v>0.8</v>
      </c>
      <c r="IM28" s="24">
        <f>AC28</f>
        <v>0.8</v>
      </c>
      <c r="IN28" s="24">
        <v>0</v>
      </c>
      <c r="IO28" s="24">
        <f>P28</f>
        <v>0</v>
      </c>
      <c r="IP28" s="24">
        <f>P28*(1-II28)</f>
        <v>0</v>
      </c>
      <c r="IQ28" s="24">
        <f>P28*(1-IJ28)</f>
        <v>0</v>
      </c>
      <c r="IR28" s="24">
        <f>P28*(1-IK28)</f>
        <v>0</v>
      </c>
      <c r="IS28" s="24">
        <f>P28*(1-IL28)</f>
        <v>0</v>
      </c>
      <c r="IT28" s="24">
        <f>P28*(1-IM28)</f>
        <v>0</v>
      </c>
    </row>
    <row r="29">
      <c r="A29" s="25">
        <v>22</v>
      </c>
      <c r="B29" s="23" t="str">
        <f>IF('Rent Roll'!C29="","",'Rent Roll'!C29)</f>
        <v/>
      </c>
      <c r="C29" s="24">
        <f>IF(ISNUMBER('Rent Roll'!E29),MAX(0,'Rent Roll'!E29),0)</f>
        <v>0</v>
      </c>
      <c r="D29" s="88">
        <f>IF(a_GLA&gt;0,C29/a_GLA,0)</f>
        <v>0</v>
      </c>
      <c r="E29" s="29">
        <f>IF(BC29=1,ROUND(BD29*(1+X29)^(F29/12),2),BD29)</f>
        <v>0</v>
      </c>
      <c r="F29" s="24">
        <f>IF(C29&gt;0,MAX(0,(YEAR(IF(ISNUMBER('Rent Roll'!G29),'Rent Roll'!G29,0))-YEAR(in_AnalysisStart))*12+MONTH(IF(ISNUMBER('Rent Roll'!G29),'Rent Roll'!G29,0))-MONTH(in_AnalysisStart)),0)</f>
        <v>0</v>
      </c>
      <c r="G29" s="24">
        <f>IF(C29&gt;0,MAX(0,(YEAR(IF(ISNUMBER('Rent Roll'!H29),'Rent Roll'!H29,0))-YEAR(in_AnalysisStart))*12+MONTH(IF(ISNUMBER('Rent Roll'!H29),'Rent Roll'!H29,0))-MONTH(in_AnalysisStart)+1-F29),0)</f>
        <v>0</v>
      </c>
      <c r="H29" s="24">
        <f>IF(ISNUMBER('Rent Roll'!N29),'Rent Roll'!N29,0)</f>
        <v>0</v>
      </c>
      <c r="I29" s="88">
        <f>IF(ISNUMBER('Rent Roll'!L29),'Rent Roll'!L29,0)</f>
        <v>0</v>
      </c>
      <c r="J29" s="24">
        <f>MAX(1,ROUND(IF(ISNUMBER('Rent Roll'!M29),'Rent Roll'!M29,0),0))</f>
        <v>1</v>
      </c>
      <c r="K29" s="29">
        <f>IF(ISNUMBER('Rent Roll'!AJ29),'Rent Roll'!AJ29,0)</f>
        <v>0</v>
      </c>
      <c r="L29" s="88">
        <f>IF(IF(ISNUMBER('Rent Roll'!AK29),'Rent Roll'!AK29,0)&gt;0,'Rent Roll'!AK29,a_LeaseUpLC)</f>
        <v>0.06</v>
      </c>
      <c r="M29" s="24">
        <f>IF('Rent Roll'!R29="",0,IFERROR(MATCH('Rent Roll'!R29,a_PName,0),0))</f>
        <v>0</v>
      </c>
      <c r="N29" s="24">
        <f>IF(M29&gt;0,1,0)</f>
        <v>0</v>
      </c>
      <c r="O29" s="29">
        <f>IF(IF(ISNUMBER('Rent Roll'!S29),'Rent Roll'!S29,0)&gt;0,'Rent Roll'!S29,IF(M29&gt;0,IF(ISNUMBER(INDEX(a_PRent,M29)),INDEX(a_PRent,M29),0),0))</f>
        <v>0</v>
      </c>
      <c r="P29" s="24">
        <f>IF(M29&gt;0,IF(ISNUMBER(INDEX(a_PDown,M29)),INDEX(a_PDown,M29),0),0)</f>
        <v>0</v>
      </c>
      <c r="Q29" s="24">
        <f>IF(M29&gt;0,MAX(1,IF(ISNUMBER(INDEX(a_PTerm,M29)),INDEX(a_PTerm,M29),0)),5)</f>
        <v>5</v>
      </c>
      <c r="R29" s="29">
        <f>IF(M29&gt;0,IF(ISNUMBER(INDEX(a_PTiNew,M29)),INDEX(a_PTiNew,M29),0),0)</f>
        <v>0</v>
      </c>
      <c r="S29" s="29">
        <f>IF(M29&gt;0,IF(ISNUMBER(INDEX(a_PTiRen,M29)),INDEX(a_PTiRen,M29),0),0)</f>
        <v>0</v>
      </c>
      <c r="T29" s="88">
        <f>IF(M29&gt;0,IF(ISNUMBER(INDEX(a_PLcNew,M29)),INDEX(a_PLcNew,M29),0),0)</f>
        <v>0</v>
      </c>
      <c r="U29" s="88">
        <f>IF(M29&gt;0,IF(ISNUMBER(INDEX(a_PLcRen,M29)),INDEX(a_PLcRen,M29),0),0)</f>
        <v>0</v>
      </c>
      <c r="V29" s="88">
        <f>IF(M29&gt;0,IF(ISNUMBER(INDEX(a_PBump,M29)),INDEX(a_PBump,M29),0),0)</f>
        <v>0</v>
      </c>
      <c r="W29" s="24">
        <f>MAX(1,ROUND(IF(M29&gt;0,IF(ISNUMBER(INDEX(a_PEvery,M29)),INDEX(a_PEvery,M29),0),1),0))</f>
        <v>1</v>
      </c>
      <c r="X29" s="88">
        <f>IF(M29&gt;0,IF(ISNUMBER(INDEX(a_PGrow,M29)),INDEX(a_PGrow,M29),in_RentGrowth),in_RentGrowth)</f>
        <v>0.03</v>
      </c>
      <c r="Y29" s="24">
        <f>IF(M29&gt;0,IF(ISNUMBER(INDEX(a_PFreeNew,M29)),INDEX(a_PFreeNew,M29),0),0)</f>
        <v>0</v>
      </c>
      <c r="Z29" s="24">
        <f>IF(M29&gt;0,IF(ISNUMBER(INDEX(a_PFreeRen,M29)),INDEX(a_PFreeRen,M29),0),0)</f>
        <v>0</v>
      </c>
      <c r="AA29" s="88">
        <f>IF(M29&gt;0,IF(ISNUMBER(INDEX(a_PRenPct,M29)),INDEX(a_PRenPct,M29),1),1)</f>
        <v>1</v>
      </c>
      <c r="AB29" s="24">
        <f>IF(M29&gt;0,IF(ISNUMBER(INDEX(a_PAF,M29)),INDEX(a_PAF,M29),0),0)</f>
        <v>0</v>
      </c>
      <c r="AC29" s="88">
        <f>IF(ISNUMBER('Rent Roll'!V29),'Rent Roll'!V29,IF(M29&gt;0,IF(ISNUMBER(INDEX(a_PRenew,M29)),INDEX(a_PRenew,M29),0),0.8))</f>
        <v>0.8</v>
      </c>
      <c r="AD29" s="23" t="str">
        <f>IF('Rent Roll'!W29="","Probability",'Rent Roll'!W29)</f>
        <v>Probability</v>
      </c>
      <c r="AE29" s="88">
        <f>IF(AD29="Renew",1,IF(AD29="Vacate",0,AC29))</f>
        <v>0.8</v>
      </c>
      <c r="AF29" s="88">
        <f>IF(AD29="Renew",1,IF(ISNUMBER('Rent Roll'!AA29),'Rent Roll'!AA29,AC29))</f>
        <v>0.8</v>
      </c>
      <c r="AG29" s="24">
        <f>IF(AND(N29=1,IF(ISNUMBER('Rent Roll'!Y29),'Rent Roll'!Y29,0)&gt;0,IF(ISNUMBER('Rent Roll'!Z29),'Rent Roll'!Z29,0)&gt;0,AF29&gt;0,AD29&lt;&gt;"Vacate",C29&gt;0),1,0)</f>
        <v>0</v>
      </c>
      <c r="AH29" s="24">
        <f>ROUND(12*IF(ISNUMBER('Rent Roll'!Y29),'Rent Roll'!Y29,0),0)</f>
        <v>0</v>
      </c>
      <c r="AI29" s="29">
        <f>IF(ISNUMBER('Rent Roll'!Z29),'Rent Roll'!Z29,0)</f>
        <v>0</v>
      </c>
      <c r="AJ29" s="24">
        <f>IF('Rent Roll'!P29="Base year",1,0)</f>
        <v>0</v>
      </c>
      <c r="AK29" s="88">
        <f>IF(ISNUMBER('Rent Roll'!Q29),'Rent Roll'!Q29,0)</f>
        <v>0</v>
      </c>
      <c r="AL29" s="24">
        <f>IF(AND('Rent Roll'!AH29="Yes",a_AnchorInVac&lt;&gt;"Yes"),1,0)</f>
        <v>0</v>
      </c>
      <c r="AM29" s="29">
        <f>IF(ISNUMBER('Rent Roll'!AL29),'Rent Roll'!AL29,0)</f>
        <v>0</v>
      </c>
      <c r="AN29" s="88">
        <f>IF(ISNUMBER('Rent Roll'!AM29),'Rent Roll'!AM29,0)</f>
        <v>0</v>
      </c>
      <c r="AO29" s="88">
        <f>IF(AND(BC29=1,N29=1),V29,I29)</f>
        <v>0</v>
      </c>
      <c r="AP29" s="24">
        <f>IF(AND(BC29=1,N29=1),W29,J29)</f>
        <v>1</v>
      </c>
      <c r="AQ29" s="24">
        <f>IF(AO29=0,G29/12,AP29*((1+AO29)^INT(INT(G29/12)/AP29)-1)/AO29+(INT(G29/12)-INT(INT(G29/12)/AP29)*AP29)*(1+AO29)^INT(INT(G29/12)/AP29)+(G29/12-INT(G29/12))*(1+AO29)^INT(INT(G29/12)/AP29))</f>
        <v>0</v>
      </c>
      <c r="AR29" s="24">
        <f>IF(AND(C29&gt;0,BU29&lt;9999,BU29&gt;0),INT((BU29-1)/12)+1,0)</f>
        <v>0</v>
      </c>
      <c r="AS29" s="24">
        <f>COUNTIF('Lease Cycles'!$BG$29:$BM$29,"&lt;132")</f>
        <v>0</v>
      </c>
      <c r="AT29" s="24">
        <f>IF(AND(ISNUMBER('Rent Roll'!AR29),IF(ISNUMBER('Rent Roll'!AS29),'Rent Roll'!AS29,0)&gt;0),(YEAR('Rent Roll'!AR29)-YEAR(in_AnalysisStart))*12+MONTH('Rent Roll'!AR29)-MONTH(in_AnalysisStart),9999)</f>
        <v>9999</v>
      </c>
      <c r="AU29" s="29">
        <f>IF(ISNUMBER('Rent Roll'!AS29),'Rent Roll'!AS29,0)</f>
        <v>0</v>
      </c>
      <c r="AV29" s="24">
        <f>IF(AND(ISNUMBER('Rent Roll'!AT29),IF(ISNUMBER('Rent Roll'!AU29),'Rent Roll'!AU29,0)&gt;0),(YEAR('Rent Roll'!AT29)-YEAR(in_AnalysisStart))*12+MONTH('Rent Roll'!AT29)-MONTH(in_AnalysisStart),9999)</f>
        <v>9999</v>
      </c>
      <c r="AW29" s="29">
        <f>IF(ISNUMBER('Rent Roll'!AU29),'Rent Roll'!AU29,0)</f>
        <v>0</v>
      </c>
      <c r="AX29" s="24">
        <f>IF(AND(ISNUMBER('Rent Roll'!AV29),IF(ISNUMBER('Rent Roll'!AW29),'Rent Roll'!AW29,0)&gt;0),(YEAR('Rent Roll'!AV29)-YEAR(in_AnalysisStart))*12+MONTH('Rent Roll'!AV29)-MONTH(in_AnalysisStart),9999)</f>
        <v>9999</v>
      </c>
      <c r="AY29" s="29">
        <f>IF(ISNUMBER('Rent Roll'!AW29),'Rent Roll'!AW29,0)</f>
        <v>0</v>
      </c>
      <c r="AZ29" s="24">
        <f>IF(AND(ISNUMBER('Rent Roll'!AX29),IF(ISNUMBER('Rent Roll'!AY29),'Rent Roll'!AY29,0)&gt;0),(YEAR('Rent Roll'!AX29)-YEAR(in_AnalysisStart))*12+MONTH('Rent Roll'!AX29)-MONTH(in_AnalysisStart),9999)</f>
        <v>9999</v>
      </c>
      <c r="BA29" s="29">
        <f>IF(ISNUMBER('Rent Roll'!AY29),'Rent Roll'!AY29,0)</f>
        <v>0</v>
      </c>
      <c r="BB29" s="29">
        <f>IF(BU29&gt;=9999,O29,O29*(1+X29)^((BU29-F29)/12))</f>
        <v>0</v>
      </c>
      <c r="BC29" s="24">
        <f>IF(AND('Rent Roll'!AZ29="Yes",F29&gt;0,BD29&gt;0,AT29&gt;=9999),1,0)</f>
        <v>0</v>
      </c>
      <c r="BD29" s="29">
        <f>IF(ISNUMBER('Rent Roll'!I29),'Rent Roll'!I29,0)</f>
        <v>0</v>
      </c>
      <c r="BE29" s="24">
        <f>IF(a_MarketRecovery="Base year",1,0)</f>
        <v>0</v>
      </c>
      <c r="BG29" s="24">
        <f>IF(C29&gt;0,F29,9999)</f>
        <v>9999</v>
      </c>
      <c r="BH29" s="24">
        <f>BU29</f>
        <v>9999</v>
      </c>
      <c r="BI29" s="24">
        <f>IF(OR(N29=0,BV29&gt;=9999),9999,IF(AG29=1,BV29,INT(BV29+IP29)))</f>
        <v>9999</v>
      </c>
      <c r="BJ29" s="24">
        <f>IF(OR(N29=0,BW29&gt;=9999),9999,INT(BW29+IQ29))</f>
        <v>9999</v>
      </c>
      <c r="BK29" s="24">
        <f>IF(OR(N29=0,BX29&gt;=9999),9999,INT(BX29+IR29))</f>
        <v>9999</v>
      </c>
      <c r="BL29" s="24">
        <f>IF(OR(N29=0,BY29&gt;=9999),9999,INT(BY29+IS29))</f>
        <v>9999</v>
      </c>
      <c r="BM29" s="24">
        <f>IF(OR(N29=0,BZ29&gt;=9999),9999,INT(BZ29+IT29))</f>
        <v>9999</v>
      </c>
      <c r="BN29" s="24">
        <f>G29</f>
        <v>0</v>
      </c>
      <c r="BO29" s="24">
        <f>IF(AG29=1,AH29,0)</f>
        <v>0</v>
      </c>
      <c r="BP29" s="24">
        <f>MAX(12,ROUND(12*Q29,0))</f>
        <v>60</v>
      </c>
      <c r="BQ29" s="24">
        <f>MAX(12,ROUND(12*Q29,0))</f>
        <v>60</v>
      </c>
      <c r="BR29" s="24">
        <f>MAX(12,ROUND(12*Q29,0))</f>
        <v>60</v>
      </c>
      <c r="BS29" s="24">
        <f>MAX(12,ROUND(12*Q29,0))</f>
        <v>60</v>
      </c>
      <c r="BT29" s="24">
        <f>MAX(12,ROUND(12*Q29,0))</f>
        <v>60</v>
      </c>
      <c r="BU29" s="24">
        <f>BG29+BN29</f>
        <v>9999</v>
      </c>
      <c r="BV29" s="24">
        <f>BH29+BO29</f>
        <v>9999</v>
      </c>
      <c r="BW29" s="24">
        <f>IF(BI29&gt;=9999,9999,BI29+BP29)</f>
        <v>9999</v>
      </c>
      <c r="BX29" s="24">
        <f>IF(BJ29&gt;=9999,9999,BJ29+BQ29)</f>
        <v>9999</v>
      </c>
      <c r="BY29" s="24">
        <f>IF(BK29&gt;=9999,9999,BK29+BR29)</f>
        <v>9999</v>
      </c>
      <c r="BZ29" s="24">
        <f>IF(BL29&gt;=9999,9999,BL29+BS29)</f>
        <v>9999</v>
      </c>
      <c r="CA29" s="24">
        <f>IF(BM29&gt;=9999,9999,BM29+BT29)</f>
        <v>9999</v>
      </c>
      <c r="CB29" s="24">
        <f>E29</f>
        <v>0</v>
      </c>
      <c r="CC29" s="24">
        <f>AI29</f>
        <v>0</v>
      </c>
      <c r="CD29" s="24">
        <f>IF(BI29&gt;=9999,0,O29*(1+X29)^((BI29-F29)/12)*(AA29*II29+1-II29))</f>
        <v>0</v>
      </c>
      <c r="CE29" s="24">
        <f>IF(BJ29&gt;=9999,0,O29*(1+X29)^((BJ29-F29)/12)*(AA29*IJ29+1-IJ29))</f>
        <v>0</v>
      </c>
      <c r="CF29" s="24">
        <f>IF(BK29&gt;=9999,0,O29*(1+X29)^((BK29-F29)/12)*(AA29*IK29+1-IK29))</f>
        <v>0</v>
      </c>
      <c r="CG29" s="24">
        <f>IF(BL29&gt;=9999,0,O29*(1+X29)^((BL29-F29)/12)*(AA29*IL29+1-IL29))</f>
        <v>0</v>
      </c>
      <c r="CH29" s="24">
        <f>IF(BM29&gt;=9999,0,O29*(1+X29)^((BM29-F29)/12)*(AA29*IM29+1-IM29))</f>
        <v>0</v>
      </c>
      <c r="CI29" s="24">
        <f>AO29</f>
        <v>0</v>
      </c>
      <c r="CJ29" s="24">
        <f>I29</f>
        <v>0</v>
      </c>
      <c r="CK29" s="24">
        <f>V29</f>
        <v>0</v>
      </c>
      <c r="CL29" s="24">
        <f>V29</f>
        <v>0</v>
      </c>
      <c r="CM29" s="24">
        <f>V29</f>
        <v>0</v>
      </c>
      <c r="CN29" s="24">
        <f>V29</f>
        <v>0</v>
      </c>
      <c r="CO29" s="24">
        <f>V29</f>
        <v>0</v>
      </c>
      <c r="CP29" s="24">
        <f>AP29</f>
        <v>1</v>
      </c>
      <c r="CQ29" s="24">
        <f>J29</f>
        <v>1</v>
      </c>
      <c r="CR29" s="24">
        <f>W29</f>
        <v>1</v>
      </c>
      <c r="CS29" s="24">
        <f>W29</f>
        <v>1</v>
      </c>
      <c r="CT29" s="24">
        <f>W29</f>
        <v>1</v>
      </c>
      <c r="CU29" s="24">
        <f>W29</f>
        <v>1</v>
      </c>
      <c r="CV29" s="24">
        <f>W29</f>
        <v>1</v>
      </c>
      <c r="CW29" s="24">
        <f>H29</f>
        <v>0</v>
      </c>
      <c r="CX29" s="24">
        <v>0</v>
      </c>
      <c r="CY29" s="24">
        <f>Y29*(1-II29)+Z29*II29</f>
        <v>0</v>
      </c>
      <c r="CZ29" s="24">
        <f>Y29*(1-IJ29)+Z29*IJ29</f>
        <v>0</v>
      </c>
      <c r="DA29" s="24">
        <f>Y29*(1-IK29)+Z29*IK29</f>
        <v>0</v>
      </c>
      <c r="DB29" s="24">
        <f>Y29*(1-IL29)+Z29*IL29</f>
        <v>0</v>
      </c>
      <c r="DC29" s="24">
        <f>Y29*(1-IM29)+Z29*IM29</f>
        <v>0</v>
      </c>
      <c r="DD29" s="24">
        <v>0</v>
      </c>
      <c r="DE29" s="24">
        <v>0</v>
      </c>
      <c r="DF29" s="24">
        <f>IF(BI29&gt;=9999,0,IF(AG29=1,0,BV29+IP29-BI29))</f>
        <v>0</v>
      </c>
      <c r="DG29" s="24">
        <f>IF(BJ29&gt;=9999,0,BW29+IQ29-BJ29)</f>
        <v>0</v>
      </c>
      <c r="DH29" s="24">
        <f>IF(BK29&gt;=9999,0,BX29+IR29-BK29)</f>
        <v>0</v>
      </c>
      <c r="DI29" s="24">
        <f>IF(BL29&gt;=9999,0,BY29+IS29-BL29)</f>
        <v>0</v>
      </c>
      <c r="DJ29" s="24">
        <f>IF(BM29&gt;=9999,0,BZ29+IT29-BM29)</f>
        <v>0</v>
      </c>
      <c r="DK29" s="24">
        <f>INT(CW29+DD29)</f>
        <v>0</v>
      </c>
      <c r="DL29" s="24">
        <v>0</v>
      </c>
      <c r="DM29" s="24">
        <f>INT(CY29+DF29)</f>
        <v>0</v>
      </c>
      <c r="DN29" s="24">
        <f>INT(CZ29+DG29)</f>
        <v>0</v>
      </c>
      <c r="DO29" s="24">
        <f>INT(DA29+DH29)</f>
        <v>0</v>
      </c>
      <c r="DP29" s="24">
        <f>INT(DB29+DI29)</f>
        <v>0</v>
      </c>
      <c r="DQ29" s="24">
        <f>INT(DC29+DJ29)</f>
        <v>0</v>
      </c>
      <c r="DR29" s="24">
        <f>CW29+DD29-DK29</f>
        <v>0</v>
      </c>
      <c r="DS29" s="24">
        <v>0</v>
      </c>
      <c r="DT29" s="24">
        <f>CY29+DF29-DM29</f>
        <v>0</v>
      </c>
      <c r="DU29" s="24">
        <f>CZ29+DG29-DN29</f>
        <v>0</v>
      </c>
      <c r="DV29" s="24">
        <f>DA29+DH29-DO29</f>
        <v>0</v>
      </c>
      <c r="DW29" s="24">
        <f>DB29+DI29-DP29</f>
        <v>0</v>
      </c>
      <c r="DX29" s="24">
        <f>DC29+DJ29-DQ29</f>
        <v>0</v>
      </c>
      <c r="DY29" s="24">
        <v>1</v>
      </c>
      <c r="DZ29" s="24">
        <v>1</v>
      </c>
      <c r="EA29" s="24">
        <v>0</v>
      </c>
      <c r="EB29" s="24">
        <v>0</v>
      </c>
      <c r="EC29" s="24">
        <v>0</v>
      </c>
      <c r="ED29" s="24">
        <v>0</v>
      </c>
      <c r="EE29" s="24">
        <v>0</v>
      </c>
      <c r="EF29" s="24">
        <v>0</v>
      </c>
      <c r="EG29" s="24">
        <f>IF(AG29=1,1,2)</f>
        <v>2</v>
      </c>
      <c r="EH29" s="24">
        <v>0</v>
      </c>
      <c r="EI29" s="24">
        <v>0</v>
      </c>
      <c r="EJ29" s="24">
        <v>0</v>
      </c>
      <c r="EK29" s="24">
        <v>0</v>
      </c>
      <c r="EL29" s="24">
        <v>0</v>
      </c>
      <c r="EM29" s="24">
        <v>1</v>
      </c>
      <c r="EN29" s="24">
        <f>IF(AG29=1,AF29,1)</f>
        <v>1</v>
      </c>
      <c r="EO29" s="24">
        <v>1</v>
      </c>
      <c r="EP29" s="24">
        <v>1</v>
      </c>
      <c r="EQ29" s="24">
        <v>1</v>
      </c>
      <c r="ER29" s="24">
        <v>1</v>
      </c>
      <c r="ES29" s="24">
        <v>1</v>
      </c>
      <c r="ET29" s="24">
        <v>0</v>
      </c>
      <c r="EU29" s="24">
        <f>BB29</f>
        <v>0</v>
      </c>
      <c r="EV29" s="24">
        <v>0</v>
      </c>
      <c r="EW29" s="24">
        <v>0</v>
      </c>
      <c r="EX29" s="24">
        <v>0</v>
      </c>
      <c r="EY29" s="24">
        <v>0</v>
      </c>
      <c r="EZ29" s="24">
        <v>0</v>
      </c>
      <c r="FA29" s="24">
        <v>0</v>
      </c>
      <c r="FB29" s="24">
        <f>ROUND(P29,0)</f>
        <v>0</v>
      </c>
      <c r="FC29" s="24">
        <v>0</v>
      </c>
      <c r="FD29" s="24">
        <v>0</v>
      </c>
      <c r="FE29" s="24">
        <v>0</v>
      </c>
      <c r="FF29" s="24">
        <v>0</v>
      </c>
      <c r="FG29" s="24">
        <v>0</v>
      </c>
      <c r="FH29" s="24">
        <f>AK29</f>
        <v>0</v>
      </c>
      <c r="FI29" s="24">
        <f>IF(AG29=1,AK29*AF29,FH29)</f>
        <v>0</v>
      </c>
      <c r="FJ29" s="24">
        <f>FI29*II29</f>
        <v>0</v>
      </c>
      <c r="FK29" s="24">
        <f>FJ29*IJ29</f>
        <v>0</v>
      </c>
      <c r="FL29" s="24">
        <f>FK29*IK29</f>
        <v>0</v>
      </c>
      <c r="FM29" s="24">
        <f>FL29*IL29</f>
        <v>0</v>
      </c>
      <c r="FN29" s="24">
        <f>FM29*IM29</f>
        <v>0</v>
      </c>
      <c r="FO29" s="24">
        <v>1</v>
      </c>
      <c r="FP29" s="24">
        <f>FV29</f>
        <v>1</v>
      </c>
      <c r="FQ29" s="24">
        <f>FW29*II29</f>
        <v>0.8</v>
      </c>
      <c r="FR29" s="24">
        <f>FX29*IJ29</f>
        <v>0.6400000000000001</v>
      </c>
      <c r="FS29" s="24">
        <f>FY29*IK29</f>
        <v>0.5120000000000001</v>
      </c>
      <c r="FT29" s="24">
        <f>FZ29*IL29</f>
        <v>0.40960000000000013</v>
      </c>
      <c r="FU29" s="24">
        <f>GA29*IM29</f>
        <v>0.32768000000000014</v>
      </c>
      <c r="FV29" s="24">
        <v>1</v>
      </c>
      <c r="FW29" s="24">
        <f>IF(AG29=1,FP29*AF29,FV29)</f>
        <v>1</v>
      </c>
      <c r="FX29" s="24">
        <f>FQ29</f>
        <v>0.8</v>
      </c>
      <c r="FY29" s="24">
        <f>FR29</f>
        <v>0.6400000000000001</v>
      </c>
      <c r="FZ29" s="24">
        <f>FS29</f>
        <v>0.5120000000000001</v>
      </c>
      <c r="GA29" s="24">
        <f>FT29</f>
        <v>0.40960000000000013</v>
      </c>
      <c r="GB29" s="24">
        <f>FU29</f>
        <v>0.32768000000000014</v>
      </c>
      <c r="GC29" s="24">
        <v>0</v>
      </c>
      <c r="GD29" s="24">
        <f>GC29</f>
        <v>0</v>
      </c>
      <c r="GE29" s="24">
        <f>IF(BI29&gt;=9999,0,INT(BI29/12))</f>
        <v>0</v>
      </c>
      <c r="GF29" s="24">
        <f>IF(BJ29&gt;=9999,0,INT(BJ29/12))</f>
        <v>0</v>
      </c>
      <c r="GG29" s="24">
        <f>IF(BK29&gt;=9999,0,INT(BK29/12))</f>
        <v>0</v>
      </c>
      <c r="GH29" s="24">
        <f>IF(BL29&gt;=9999,0,INT(BL29/12))</f>
        <v>0</v>
      </c>
      <c r="GI29" s="24">
        <f>IF(BM29&gt;=9999,0,INT(BM29/12))</f>
        <v>0</v>
      </c>
      <c r="GJ29" s="24">
        <f>BG29</f>
        <v>9999</v>
      </c>
      <c r="GK29" s="24">
        <f>IF(AG29=1,BH29,GJ29)</f>
        <v>9999</v>
      </c>
      <c r="GL29" s="24">
        <f>BI29</f>
        <v>9999</v>
      </c>
      <c r="GM29" s="24">
        <f>BJ29</f>
        <v>9999</v>
      </c>
      <c r="GN29" s="24">
        <f>BK29</f>
        <v>9999</v>
      </c>
      <c r="GO29" s="24">
        <f>BL29</f>
        <v>9999</v>
      </c>
      <c r="GP29" s="24">
        <f>BM29</f>
        <v>9999</v>
      </c>
      <c r="GQ29" s="24">
        <f>CI29</f>
        <v>0</v>
      </c>
      <c r="GR29" s="24">
        <f>IF(AG29=1,I29,GQ29)</f>
        <v>0</v>
      </c>
      <c r="GS29" s="24">
        <f>V29</f>
        <v>0</v>
      </c>
      <c r="GT29" s="24">
        <f>V29</f>
        <v>0</v>
      </c>
      <c r="GU29" s="24">
        <f>V29</f>
        <v>0</v>
      </c>
      <c r="GV29" s="24">
        <f>V29</f>
        <v>0</v>
      </c>
      <c r="GW29" s="24">
        <f>V29</f>
        <v>0</v>
      </c>
      <c r="GX29" s="24">
        <f>CP29</f>
        <v>1</v>
      </c>
      <c r="GY29" s="24">
        <f>IF(AG29=1,J29,GX29)</f>
        <v>1</v>
      </c>
      <c r="GZ29" s="24">
        <f>W29</f>
        <v>1</v>
      </c>
      <c r="HA29" s="24">
        <f>W29</f>
        <v>1</v>
      </c>
      <c r="HB29" s="24">
        <f>W29</f>
        <v>1</v>
      </c>
      <c r="HC29" s="24">
        <f>W29</f>
        <v>1</v>
      </c>
      <c r="HD29" s="24">
        <f>W29</f>
        <v>1</v>
      </c>
      <c r="HE29" s="24">
        <f>IF(BU29&gt;=9999,1,(1+X29)^(BU29/12))</f>
        <v>1</v>
      </c>
      <c r="HF29" s="24">
        <f>IF(AG29=1,IF(BV29&gt;=9999,1,(1+X29)^(BV29/12)),HE29)</f>
        <v>1</v>
      </c>
      <c r="HG29" s="24">
        <f>IF(BW29&gt;=9999,1,(1+X29)^(BW29/12))</f>
        <v>1</v>
      </c>
      <c r="HH29" s="24">
        <f>IF(BX29&gt;=9999,1,(1+X29)^(BX29/12))</f>
        <v>1</v>
      </c>
      <c r="HI29" s="24">
        <f>IF(BY29&gt;=9999,1,(1+X29)^(BY29/12))</f>
        <v>1</v>
      </c>
      <c r="HJ29" s="24">
        <f>IF(BZ29&gt;=9999,1,(1+X29)^(BZ29/12))</f>
        <v>1</v>
      </c>
      <c r="HK29" s="24">
        <f>IF(CA29&gt;=9999,1,(1+X29)^(CA29/12))</f>
        <v>1</v>
      </c>
      <c r="HL29" s="24">
        <f>IF(AND(F29&gt;0,C29&gt;0),F29,-1)</f>
        <v>-1</v>
      </c>
      <c r="HM29" s="24">
        <f>IF(AG29=1,BU29+FB29,-1)</f>
        <v>-1</v>
      </c>
      <c r="HN29" s="24">
        <f>IF(BI29&gt;=9999,-1,BV29+ROUND(IP29,0))</f>
        <v>-1</v>
      </c>
      <c r="HO29" s="24">
        <f>IF(BJ29&gt;=9999,-1,IF(HN29&lt;0,BW29,HN29+BP29)+ROUND(IQ29,0))</f>
        <v>-1</v>
      </c>
      <c r="HP29" s="24">
        <f>IF(BK29&gt;=9999,-1,IF(HO29&lt;0,BX29,HO29+BQ29)+ROUND(IR29,0))</f>
        <v>-1</v>
      </c>
      <c r="HQ29" s="24">
        <f>IF(BL29&gt;=9999,-1,IF(HP29&lt;0,BY29,HP29+BR29)+ROUND(IS29,0))</f>
        <v>-1</v>
      </c>
      <c r="HR29" s="24">
        <f>IF(BM29&gt;=9999,-1,IF(HQ29&lt;0,BZ29,HQ29+BS29)+ROUND(IT29,0))</f>
        <v>-1</v>
      </c>
      <c r="HS29" s="24">
        <f>IF(HL29&lt;0,0,C29*K29)</f>
        <v>0</v>
      </c>
      <c r="HT29" s="24">
        <f>IF(AG29=1,C29*R29*(1+in_ExpenseGrowth)^(HM29/12)*(1-AF29),0)</f>
        <v>0</v>
      </c>
      <c r="HU29" s="24">
        <f>IF(HN29&lt;0,0,C29*(S29*II29+R29*(1-II29))*(1+in_ExpenseGrowth)^(HN29/12))</f>
        <v>0</v>
      </c>
      <c r="HV29" s="24">
        <f>IF(HO29&lt;0,0,C29*(S29*IJ29+R29*(1-IJ29))*(1+in_ExpenseGrowth)^(HO29/12))</f>
        <v>0</v>
      </c>
      <c r="HW29" s="24">
        <f>IF(HP29&lt;0,0,C29*(S29*IK29+R29*(1-IK29))*(1+in_ExpenseGrowth)^(HP29/12))</f>
        <v>0</v>
      </c>
      <c r="HX29" s="24">
        <f>IF(HQ29&lt;0,0,C29*(S29*IL29+R29*(1-IL29))*(1+in_ExpenseGrowth)^(HQ29/12))</f>
        <v>0</v>
      </c>
      <c r="HY29" s="24">
        <f>IF(HR29&lt;0,0,C29*(S29*IM29+R29*(1-IM29))*(1+in_ExpenseGrowth)^(HR29/12))</f>
        <v>0</v>
      </c>
      <c r="HZ29" s="24">
        <f>IF(HL29&lt;0,0,L29*C29*E29*AQ29)</f>
        <v>0</v>
      </c>
      <c r="IA29" s="24">
        <f>IF(AG29=1,T29*C29*O29*(1+X29)^(MAX(0,HM29-F29)/12)*AB29*(1-AF29),0)</f>
        <v>0</v>
      </c>
      <c r="IB29" s="24">
        <f>IF(HN29&lt;0,0,(U29*II29+T29*(1-II29))*C29*O29*(1+X29)^(MAX(0,HN29-F29)/12)*(AA29*II29+1-II29)*AB29)</f>
        <v>0</v>
      </c>
      <c r="IC29" s="24">
        <f>IF(HO29&lt;0,0,(U29*IJ29+T29*(1-IJ29))*C29*O29*(1+X29)^(MAX(0,HO29-F29)/12)*(AA29*IJ29+1-IJ29)*AB29)</f>
        <v>0</v>
      </c>
      <c r="ID29" s="24">
        <f>IF(HP29&lt;0,0,(U29*IK29+T29*(1-IK29))*C29*O29*(1+X29)^(MAX(0,HP29-F29)/12)*(AA29*IK29+1-IK29)*AB29)</f>
        <v>0</v>
      </c>
      <c r="IE29" s="24">
        <f>IF(HQ29&lt;0,0,(U29*IL29+T29*(1-IL29))*C29*O29*(1+X29)^(MAX(0,HQ29-F29)/12)*(AA29*IL29+1-IL29)*AB29)</f>
        <v>0</v>
      </c>
      <c r="IF29" s="24">
        <f>IF(HR29&lt;0,0,(U29*IM29+T29*(1-IM29))*C29*O29*(1+X29)^(MAX(0,HR29-F29)/12)*(AA29*IM29+1-IM29)*AB29)</f>
        <v>0</v>
      </c>
      <c r="IG29" s="24">
        <v>1</v>
      </c>
      <c r="IH29" s="24">
        <f>IF(AG29=1,AF29,1)</f>
        <v>1</v>
      </c>
      <c r="II29" s="24">
        <f>IF(AG29=1,AC29,AE29)</f>
        <v>0.8</v>
      </c>
      <c r="IJ29" s="24">
        <f>AC29</f>
        <v>0.8</v>
      </c>
      <c r="IK29" s="24">
        <f>AC29</f>
        <v>0.8</v>
      </c>
      <c r="IL29" s="24">
        <f>AC29</f>
        <v>0.8</v>
      </c>
      <c r="IM29" s="24">
        <f>AC29</f>
        <v>0.8</v>
      </c>
      <c r="IN29" s="24">
        <v>0</v>
      </c>
      <c r="IO29" s="24">
        <f>P29</f>
        <v>0</v>
      </c>
      <c r="IP29" s="24">
        <f>P29*(1-II29)</f>
        <v>0</v>
      </c>
      <c r="IQ29" s="24">
        <f>P29*(1-IJ29)</f>
        <v>0</v>
      </c>
      <c r="IR29" s="24">
        <f>P29*(1-IK29)</f>
        <v>0</v>
      </c>
      <c r="IS29" s="24">
        <f>P29*(1-IL29)</f>
        <v>0</v>
      </c>
      <c r="IT29" s="24">
        <f>P29*(1-IM29)</f>
        <v>0</v>
      </c>
    </row>
    <row r="30">
      <c r="A30" s="25">
        <v>23</v>
      </c>
      <c r="B30" s="23" t="str">
        <f>IF('Rent Roll'!C30="","",'Rent Roll'!C30)</f>
        <v/>
      </c>
      <c r="C30" s="24">
        <f>IF(ISNUMBER('Rent Roll'!E30),MAX(0,'Rent Roll'!E30),0)</f>
        <v>0</v>
      </c>
      <c r="D30" s="88">
        <f>IF(a_GLA&gt;0,C30/a_GLA,0)</f>
        <v>0</v>
      </c>
      <c r="E30" s="29">
        <f>IF(BC30=1,ROUND(BD30*(1+X30)^(F30/12),2),BD30)</f>
        <v>0</v>
      </c>
      <c r="F30" s="24">
        <f>IF(C30&gt;0,MAX(0,(YEAR(IF(ISNUMBER('Rent Roll'!G30),'Rent Roll'!G30,0))-YEAR(in_AnalysisStart))*12+MONTH(IF(ISNUMBER('Rent Roll'!G30),'Rent Roll'!G30,0))-MONTH(in_AnalysisStart)),0)</f>
        <v>0</v>
      </c>
      <c r="G30" s="24">
        <f>IF(C30&gt;0,MAX(0,(YEAR(IF(ISNUMBER('Rent Roll'!H30),'Rent Roll'!H30,0))-YEAR(in_AnalysisStart))*12+MONTH(IF(ISNUMBER('Rent Roll'!H30),'Rent Roll'!H30,0))-MONTH(in_AnalysisStart)+1-F30),0)</f>
        <v>0</v>
      </c>
      <c r="H30" s="24">
        <f>IF(ISNUMBER('Rent Roll'!N30),'Rent Roll'!N30,0)</f>
        <v>0</v>
      </c>
      <c r="I30" s="88">
        <f>IF(ISNUMBER('Rent Roll'!L30),'Rent Roll'!L30,0)</f>
        <v>0</v>
      </c>
      <c r="J30" s="24">
        <f>MAX(1,ROUND(IF(ISNUMBER('Rent Roll'!M30),'Rent Roll'!M30,0),0))</f>
        <v>1</v>
      </c>
      <c r="K30" s="29">
        <f>IF(ISNUMBER('Rent Roll'!AJ30),'Rent Roll'!AJ30,0)</f>
        <v>0</v>
      </c>
      <c r="L30" s="88">
        <f>IF(IF(ISNUMBER('Rent Roll'!AK30),'Rent Roll'!AK30,0)&gt;0,'Rent Roll'!AK30,a_LeaseUpLC)</f>
        <v>0.06</v>
      </c>
      <c r="M30" s="24">
        <f>IF('Rent Roll'!R30="",0,IFERROR(MATCH('Rent Roll'!R30,a_PName,0),0))</f>
        <v>0</v>
      </c>
      <c r="N30" s="24">
        <f>IF(M30&gt;0,1,0)</f>
        <v>0</v>
      </c>
      <c r="O30" s="29">
        <f>IF(IF(ISNUMBER('Rent Roll'!S30),'Rent Roll'!S30,0)&gt;0,'Rent Roll'!S30,IF(M30&gt;0,IF(ISNUMBER(INDEX(a_PRent,M30)),INDEX(a_PRent,M30),0),0))</f>
        <v>0</v>
      </c>
      <c r="P30" s="24">
        <f>IF(M30&gt;0,IF(ISNUMBER(INDEX(a_PDown,M30)),INDEX(a_PDown,M30),0),0)</f>
        <v>0</v>
      </c>
      <c r="Q30" s="24">
        <f>IF(M30&gt;0,MAX(1,IF(ISNUMBER(INDEX(a_PTerm,M30)),INDEX(a_PTerm,M30),0)),5)</f>
        <v>5</v>
      </c>
      <c r="R30" s="29">
        <f>IF(M30&gt;0,IF(ISNUMBER(INDEX(a_PTiNew,M30)),INDEX(a_PTiNew,M30),0),0)</f>
        <v>0</v>
      </c>
      <c r="S30" s="29">
        <f>IF(M30&gt;0,IF(ISNUMBER(INDEX(a_PTiRen,M30)),INDEX(a_PTiRen,M30),0),0)</f>
        <v>0</v>
      </c>
      <c r="T30" s="88">
        <f>IF(M30&gt;0,IF(ISNUMBER(INDEX(a_PLcNew,M30)),INDEX(a_PLcNew,M30),0),0)</f>
        <v>0</v>
      </c>
      <c r="U30" s="88">
        <f>IF(M30&gt;0,IF(ISNUMBER(INDEX(a_PLcRen,M30)),INDEX(a_PLcRen,M30),0),0)</f>
        <v>0</v>
      </c>
      <c r="V30" s="88">
        <f>IF(M30&gt;0,IF(ISNUMBER(INDEX(a_PBump,M30)),INDEX(a_PBump,M30),0),0)</f>
        <v>0</v>
      </c>
      <c r="W30" s="24">
        <f>MAX(1,ROUND(IF(M30&gt;0,IF(ISNUMBER(INDEX(a_PEvery,M30)),INDEX(a_PEvery,M30),0),1),0))</f>
        <v>1</v>
      </c>
      <c r="X30" s="88">
        <f>IF(M30&gt;0,IF(ISNUMBER(INDEX(a_PGrow,M30)),INDEX(a_PGrow,M30),in_RentGrowth),in_RentGrowth)</f>
        <v>0.03</v>
      </c>
      <c r="Y30" s="24">
        <f>IF(M30&gt;0,IF(ISNUMBER(INDEX(a_PFreeNew,M30)),INDEX(a_PFreeNew,M30),0),0)</f>
        <v>0</v>
      </c>
      <c r="Z30" s="24">
        <f>IF(M30&gt;0,IF(ISNUMBER(INDEX(a_PFreeRen,M30)),INDEX(a_PFreeRen,M30),0),0)</f>
        <v>0</v>
      </c>
      <c r="AA30" s="88">
        <f>IF(M30&gt;0,IF(ISNUMBER(INDEX(a_PRenPct,M30)),INDEX(a_PRenPct,M30),1),1)</f>
        <v>1</v>
      </c>
      <c r="AB30" s="24">
        <f>IF(M30&gt;0,IF(ISNUMBER(INDEX(a_PAF,M30)),INDEX(a_PAF,M30),0),0)</f>
        <v>0</v>
      </c>
      <c r="AC30" s="88">
        <f>IF(ISNUMBER('Rent Roll'!V30),'Rent Roll'!V30,IF(M30&gt;0,IF(ISNUMBER(INDEX(a_PRenew,M30)),INDEX(a_PRenew,M30),0),0.8))</f>
        <v>0.8</v>
      </c>
      <c r="AD30" s="23" t="str">
        <f>IF('Rent Roll'!W30="","Probability",'Rent Roll'!W30)</f>
        <v>Probability</v>
      </c>
      <c r="AE30" s="88">
        <f>IF(AD30="Renew",1,IF(AD30="Vacate",0,AC30))</f>
        <v>0.8</v>
      </c>
      <c r="AF30" s="88">
        <f>IF(AD30="Renew",1,IF(ISNUMBER('Rent Roll'!AA30),'Rent Roll'!AA30,AC30))</f>
        <v>0.8</v>
      </c>
      <c r="AG30" s="24">
        <f>IF(AND(N30=1,IF(ISNUMBER('Rent Roll'!Y30),'Rent Roll'!Y30,0)&gt;0,IF(ISNUMBER('Rent Roll'!Z30),'Rent Roll'!Z30,0)&gt;0,AF30&gt;0,AD30&lt;&gt;"Vacate",C30&gt;0),1,0)</f>
        <v>0</v>
      </c>
      <c r="AH30" s="24">
        <f>ROUND(12*IF(ISNUMBER('Rent Roll'!Y30),'Rent Roll'!Y30,0),0)</f>
        <v>0</v>
      </c>
      <c r="AI30" s="29">
        <f>IF(ISNUMBER('Rent Roll'!Z30),'Rent Roll'!Z30,0)</f>
        <v>0</v>
      </c>
      <c r="AJ30" s="24">
        <f>IF('Rent Roll'!P30="Base year",1,0)</f>
        <v>0</v>
      </c>
      <c r="AK30" s="88">
        <f>IF(ISNUMBER('Rent Roll'!Q30),'Rent Roll'!Q30,0)</f>
        <v>0</v>
      </c>
      <c r="AL30" s="24">
        <f>IF(AND('Rent Roll'!AH30="Yes",a_AnchorInVac&lt;&gt;"Yes"),1,0)</f>
        <v>0</v>
      </c>
      <c r="AM30" s="29">
        <f>IF(ISNUMBER('Rent Roll'!AL30),'Rent Roll'!AL30,0)</f>
        <v>0</v>
      </c>
      <c r="AN30" s="88">
        <f>IF(ISNUMBER('Rent Roll'!AM30),'Rent Roll'!AM30,0)</f>
        <v>0</v>
      </c>
      <c r="AO30" s="88">
        <f>IF(AND(BC30=1,N30=1),V30,I30)</f>
        <v>0</v>
      </c>
      <c r="AP30" s="24">
        <f>IF(AND(BC30=1,N30=1),W30,J30)</f>
        <v>1</v>
      </c>
      <c r="AQ30" s="24">
        <f>IF(AO30=0,G30/12,AP30*((1+AO30)^INT(INT(G30/12)/AP30)-1)/AO30+(INT(G30/12)-INT(INT(G30/12)/AP30)*AP30)*(1+AO30)^INT(INT(G30/12)/AP30)+(G30/12-INT(G30/12))*(1+AO30)^INT(INT(G30/12)/AP30))</f>
        <v>0</v>
      </c>
      <c r="AR30" s="24">
        <f>IF(AND(C30&gt;0,BU30&lt;9999,BU30&gt;0),INT((BU30-1)/12)+1,0)</f>
        <v>0</v>
      </c>
      <c r="AS30" s="24">
        <f>COUNTIF('Lease Cycles'!$BG$30:$BM$30,"&lt;132")</f>
        <v>0</v>
      </c>
      <c r="AT30" s="24">
        <f>IF(AND(ISNUMBER('Rent Roll'!AR30),IF(ISNUMBER('Rent Roll'!AS30),'Rent Roll'!AS30,0)&gt;0),(YEAR('Rent Roll'!AR30)-YEAR(in_AnalysisStart))*12+MONTH('Rent Roll'!AR30)-MONTH(in_AnalysisStart),9999)</f>
        <v>9999</v>
      </c>
      <c r="AU30" s="29">
        <f>IF(ISNUMBER('Rent Roll'!AS30),'Rent Roll'!AS30,0)</f>
        <v>0</v>
      </c>
      <c r="AV30" s="24">
        <f>IF(AND(ISNUMBER('Rent Roll'!AT30),IF(ISNUMBER('Rent Roll'!AU30),'Rent Roll'!AU30,0)&gt;0),(YEAR('Rent Roll'!AT30)-YEAR(in_AnalysisStart))*12+MONTH('Rent Roll'!AT30)-MONTH(in_AnalysisStart),9999)</f>
        <v>9999</v>
      </c>
      <c r="AW30" s="29">
        <f>IF(ISNUMBER('Rent Roll'!AU30),'Rent Roll'!AU30,0)</f>
        <v>0</v>
      </c>
      <c r="AX30" s="24">
        <f>IF(AND(ISNUMBER('Rent Roll'!AV30),IF(ISNUMBER('Rent Roll'!AW30),'Rent Roll'!AW30,0)&gt;0),(YEAR('Rent Roll'!AV30)-YEAR(in_AnalysisStart))*12+MONTH('Rent Roll'!AV30)-MONTH(in_AnalysisStart),9999)</f>
        <v>9999</v>
      </c>
      <c r="AY30" s="29">
        <f>IF(ISNUMBER('Rent Roll'!AW30),'Rent Roll'!AW30,0)</f>
        <v>0</v>
      </c>
      <c r="AZ30" s="24">
        <f>IF(AND(ISNUMBER('Rent Roll'!AX30),IF(ISNUMBER('Rent Roll'!AY30),'Rent Roll'!AY30,0)&gt;0),(YEAR('Rent Roll'!AX30)-YEAR(in_AnalysisStart))*12+MONTH('Rent Roll'!AX30)-MONTH(in_AnalysisStart),9999)</f>
        <v>9999</v>
      </c>
      <c r="BA30" s="29">
        <f>IF(ISNUMBER('Rent Roll'!AY30),'Rent Roll'!AY30,0)</f>
        <v>0</v>
      </c>
      <c r="BB30" s="29">
        <f>IF(BU30&gt;=9999,O30,O30*(1+X30)^((BU30-F30)/12))</f>
        <v>0</v>
      </c>
      <c r="BC30" s="24">
        <f>IF(AND('Rent Roll'!AZ30="Yes",F30&gt;0,BD30&gt;0,AT30&gt;=9999),1,0)</f>
        <v>0</v>
      </c>
      <c r="BD30" s="29">
        <f>IF(ISNUMBER('Rent Roll'!I30),'Rent Roll'!I30,0)</f>
        <v>0</v>
      </c>
      <c r="BE30" s="24">
        <f>IF(a_MarketRecovery="Base year",1,0)</f>
        <v>0</v>
      </c>
      <c r="BG30" s="24">
        <f>IF(C30&gt;0,F30,9999)</f>
        <v>9999</v>
      </c>
      <c r="BH30" s="24">
        <f>BU30</f>
        <v>9999</v>
      </c>
      <c r="BI30" s="24">
        <f>IF(OR(N30=0,BV30&gt;=9999),9999,IF(AG30=1,BV30,INT(BV30+IP30)))</f>
        <v>9999</v>
      </c>
      <c r="BJ30" s="24">
        <f>IF(OR(N30=0,BW30&gt;=9999),9999,INT(BW30+IQ30))</f>
        <v>9999</v>
      </c>
      <c r="BK30" s="24">
        <f>IF(OR(N30=0,BX30&gt;=9999),9999,INT(BX30+IR30))</f>
        <v>9999</v>
      </c>
      <c r="BL30" s="24">
        <f>IF(OR(N30=0,BY30&gt;=9999),9999,INT(BY30+IS30))</f>
        <v>9999</v>
      </c>
      <c r="BM30" s="24">
        <f>IF(OR(N30=0,BZ30&gt;=9999),9999,INT(BZ30+IT30))</f>
        <v>9999</v>
      </c>
      <c r="BN30" s="24">
        <f>G30</f>
        <v>0</v>
      </c>
      <c r="BO30" s="24">
        <f>IF(AG30=1,AH30,0)</f>
        <v>0</v>
      </c>
      <c r="BP30" s="24">
        <f>MAX(12,ROUND(12*Q30,0))</f>
        <v>60</v>
      </c>
      <c r="BQ30" s="24">
        <f>MAX(12,ROUND(12*Q30,0))</f>
        <v>60</v>
      </c>
      <c r="BR30" s="24">
        <f>MAX(12,ROUND(12*Q30,0))</f>
        <v>60</v>
      </c>
      <c r="BS30" s="24">
        <f>MAX(12,ROUND(12*Q30,0))</f>
        <v>60</v>
      </c>
      <c r="BT30" s="24">
        <f>MAX(12,ROUND(12*Q30,0))</f>
        <v>60</v>
      </c>
      <c r="BU30" s="24">
        <f>BG30+BN30</f>
        <v>9999</v>
      </c>
      <c r="BV30" s="24">
        <f>BH30+BO30</f>
        <v>9999</v>
      </c>
      <c r="BW30" s="24">
        <f>IF(BI30&gt;=9999,9999,BI30+BP30)</f>
        <v>9999</v>
      </c>
      <c r="BX30" s="24">
        <f>IF(BJ30&gt;=9999,9999,BJ30+BQ30)</f>
        <v>9999</v>
      </c>
      <c r="BY30" s="24">
        <f>IF(BK30&gt;=9999,9999,BK30+BR30)</f>
        <v>9999</v>
      </c>
      <c r="BZ30" s="24">
        <f>IF(BL30&gt;=9999,9999,BL30+BS30)</f>
        <v>9999</v>
      </c>
      <c r="CA30" s="24">
        <f>IF(BM30&gt;=9999,9999,BM30+BT30)</f>
        <v>9999</v>
      </c>
      <c r="CB30" s="24">
        <f>E30</f>
        <v>0</v>
      </c>
      <c r="CC30" s="24">
        <f>AI30</f>
        <v>0</v>
      </c>
      <c r="CD30" s="24">
        <f>IF(BI30&gt;=9999,0,O30*(1+X30)^((BI30-F30)/12)*(AA30*II30+1-II30))</f>
        <v>0</v>
      </c>
      <c r="CE30" s="24">
        <f>IF(BJ30&gt;=9999,0,O30*(1+X30)^((BJ30-F30)/12)*(AA30*IJ30+1-IJ30))</f>
        <v>0</v>
      </c>
      <c r="CF30" s="24">
        <f>IF(BK30&gt;=9999,0,O30*(1+X30)^((BK30-F30)/12)*(AA30*IK30+1-IK30))</f>
        <v>0</v>
      </c>
      <c r="CG30" s="24">
        <f>IF(BL30&gt;=9999,0,O30*(1+X30)^((BL30-F30)/12)*(AA30*IL30+1-IL30))</f>
        <v>0</v>
      </c>
      <c r="CH30" s="24">
        <f>IF(BM30&gt;=9999,0,O30*(1+X30)^((BM30-F30)/12)*(AA30*IM30+1-IM30))</f>
        <v>0</v>
      </c>
      <c r="CI30" s="24">
        <f>AO30</f>
        <v>0</v>
      </c>
      <c r="CJ30" s="24">
        <f>I30</f>
        <v>0</v>
      </c>
      <c r="CK30" s="24">
        <f>V30</f>
        <v>0</v>
      </c>
      <c r="CL30" s="24">
        <f>V30</f>
        <v>0</v>
      </c>
      <c r="CM30" s="24">
        <f>V30</f>
        <v>0</v>
      </c>
      <c r="CN30" s="24">
        <f>V30</f>
        <v>0</v>
      </c>
      <c r="CO30" s="24">
        <f>V30</f>
        <v>0</v>
      </c>
      <c r="CP30" s="24">
        <f>AP30</f>
        <v>1</v>
      </c>
      <c r="CQ30" s="24">
        <f>J30</f>
        <v>1</v>
      </c>
      <c r="CR30" s="24">
        <f>W30</f>
        <v>1</v>
      </c>
      <c r="CS30" s="24">
        <f>W30</f>
        <v>1</v>
      </c>
      <c r="CT30" s="24">
        <f>W30</f>
        <v>1</v>
      </c>
      <c r="CU30" s="24">
        <f>W30</f>
        <v>1</v>
      </c>
      <c r="CV30" s="24">
        <f>W30</f>
        <v>1</v>
      </c>
      <c r="CW30" s="24">
        <f>H30</f>
        <v>0</v>
      </c>
      <c r="CX30" s="24">
        <v>0</v>
      </c>
      <c r="CY30" s="24">
        <f>Y30*(1-II30)+Z30*II30</f>
        <v>0</v>
      </c>
      <c r="CZ30" s="24">
        <f>Y30*(1-IJ30)+Z30*IJ30</f>
        <v>0</v>
      </c>
      <c r="DA30" s="24">
        <f>Y30*(1-IK30)+Z30*IK30</f>
        <v>0</v>
      </c>
      <c r="DB30" s="24">
        <f>Y30*(1-IL30)+Z30*IL30</f>
        <v>0</v>
      </c>
      <c r="DC30" s="24">
        <f>Y30*(1-IM30)+Z30*IM30</f>
        <v>0</v>
      </c>
      <c r="DD30" s="24">
        <v>0</v>
      </c>
      <c r="DE30" s="24">
        <v>0</v>
      </c>
      <c r="DF30" s="24">
        <f>IF(BI30&gt;=9999,0,IF(AG30=1,0,BV30+IP30-BI30))</f>
        <v>0</v>
      </c>
      <c r="DG30" s="24">
        <f>IF(BJ30&gt;=9999,0,BW30+IQ30-BJ30)</f>
        <v>0</v>
      </c>
      <c r="DH30" s="24">
        <f>IF(BK30&gt;=9999,0,BX30+IR30-BK30)</f>
        <v>0</v>
      </c>
      <c r="DI30" s="24">
        <f>IF(BL30&gt;=9999,0,BY30+IS30-BL30)</f>
        <v>0</v>
      </c>
      <c r="DJ30" s="24">
        <f>IF(BM30&gt;=9999,0,BZ30+IT30-BM30)</f>
        <v>0</v>
      </c>
      <c r="DK30" s="24">
        <f>INT(CW30+DD30)</f>
        <v>0</v>
      </c>
      <c r="DL30" s="24">
        <v>0</v>
      </c>
      <c r="DM30" s="24">
        <f>INT(CY30+DF30)</f>
        <v>0</v>
      </c>
      <c r="DN30" s="24">
        <f>INT(CZ30+DG30)</f>
        <v>0</v>
      </c>
      <c r="DO30" s="24">
        <f>INT(DA30+DH30)</f>
        <v>0</v>
      </c>
      <c r="DP30" s="24">
        <f>INT(DB30+DI30)</f>
        <v>0</v>
      </c>
      <c r="DQ30" s="24">
        <f>INT(DC30+DJ30)</f>
        <v>0</v>
      </c>
      <c r="DR30" s="24">
        <f>CW30+DD30-DK30</f>
        <v>0</v>
      </c>
      <c r="DS30" s="24">
        <v>0</v>
      </c>
      <c r="DT30" s="24">
        <f>CY30+DF30-DM30</f>
        <v>0</v>
      </c>
      <c r="DU30" s="24">
        <f>CZ30+DG30-DN30</f>
        <v>0</v>
      </c>
      <c r="DV30" s="24">
        <f>DA30+DH30-DO30</f>
        <v>0</v>
      </c>
      <c r="DW30" s="24">
        <f>DB30+DI30-DP30</f>
        <v>0</v>
      </c>
      <c r="DX30" s="24">
        <f>DC30+DJ30-DQ30</f>
        <v>0</v>
      </c>
      <c r="DY30" s="24">
        <v>1</v>
      </c>
      <c r="DZ30" s="24">
        <v>1</v>
      </c>
      <c r="EA30" s="24">
        <v>0</v>
      </c>
      <c r="EB30" s="24">
        <v>0</v>
      </c>
      <c r="EC30" s="24">
        <v>0</v>
      </c>
      <c r="ED30" s="24">
        <v>0</v>
      </c>
      <c r="EE30" s="24">
        <v>0</v>
      </c>
      <c r="EF30" s="24">
        <v>0</v>
      </c>
      <c r="EG30" s="24">
        <f>IF(AG30=1,1,2)</f>
        <v>2</v>
      </c>
      <c r="EH30" s="24">
        <v>0</v>
      </c>
      <c r="EI30" s="24">
        <v>0</v>
      </c>
      <c r="EJ30" s="24">
        <v>0</v>
      </c>
      <c r="EK30" s="24">
        <v>0</v>
      </c>
      <c r="EL30" s="24">
        <v>0</v>
      </c>
      <c r="EM30" s="24">
        <v>1</v>
      </c>
      <c r="EN30" s="24">
        <f>IF(AG30=1,AF30,1)</f>
        <v>1</v>
      </c>
      <c r="EO30" s="24">
        <v>1</v>
      </c>
      <c r="EP30" s="24">
        <v>1</v>
      </c>
      <c r="EQ30" s="24">
        <v>1</v>
      </c>
      <c r="ER30" s="24">
        <v>1</v>
      </c>
      <c r="ES30" s="24">
        <v>1</v>
      </c>
      <c r="ET30" s="24">
        <v>0</v>
      </c>
      <c r="EU30" s="24">
        <f>BB30</f>
        <v>0</v>
      </c>
      <c r="EV30" s="24">
        <v>0</v>
      </c>
      <c r="EW30" s="24">
        <v>0</v>
      </c>
      <c r="EX30" s="24">
        <v>0</v>
      </c>
      <c r="EY30" s="24">
        <v>0</v>
      </c>
      <c r="EZ30" s="24">
        <v>0</v>
      </c>
      <c r="FA30" s="24">
        <v>0</v>
      </c>
      <c r="FB30" s="24">
        <f>ROUND(P30,0)</f>
        <v>0</v>
      </c>
      <c r="FC30" s="24">
        <v>0</v>
      </c>
      <c r="FD30" s="24">
        <v>0</v>
      </c>
      <c r="FE30" s="24">
        <v>0</v>
      </c>
      <c r="FF30" s="24">
        <v>0</v>
      </c>
      <c r="FG30" s="24">
        <v>0</v>
      </c>
      <c r="FH30" s="24">
        <f>AK30</f>
        <v>0</v>
      </c>
      <c r="FI30" s="24">
        <f>IF(AG30=1,AK30*AF30,FH30)</f>
        <v>0</v>
      </c>
      <c r="FJ30" s="24">
        <f>FI30*II30</f>
        <v>0</v>
      </c>
      <c r="FK30" s="24">
        <f>FJ30*IJ30</f>
        <v>0</v>
      </c>
      <c r="FL30" s="24">
        <f>FK30*IK30</f>
        <v>0</v>
      </c>
      <c r="FM30" s="24">
        <f>FL30*IL30</f>
        <v>0</v>
      </c>
      <c r="FN30" s="24">
        <f>FM30*IM30</f>
        <v>0</v>
      </c>
      <c r="FO30" s="24">
        <v>1</v>
      </c>
      <c r="FP30" s="24">
        <f>FV30</f>
        <v>1</v>
      </c>
      <c r="FQ30" s="24">
        <f>FW30*II30</f>
        <v>0.8</v>
      </c>
      <c r="FR30" s="24">
        <f>FX30*IJ30</f>
        <v>0.6400000000000001</v>
      </c>
      <c r="FS30" s="24">
        <f>FY30*IK30</f>
        <v>0.5120000000000001</v>
      </c>
      <c r="FT30" s="24">
        <f>FZ30*IL30</f>
        <v>0.40960000000000013</v>
      </c>
      <c r="FU30" s="24">
        <f>GA30*IM30</f>
        <v>0.32768000000000014</v>
      </c>
      <c r="FV30" s="24">
        <v>1</v>
      </c>
      <c r="FW30" s="24">
        <f>IF(AG30=1,FP30*AF30,FV30)</f>
        <v>1</v>
      </c>
      <c r="FX30" s="24">
        <f>FQ30</f>
        <v>0.8</v>
      </c>
      <c r="FY30" s="24">
        <f>FR30</f>
        <v>0.6400000000000001</v>
      </c>
      <c r="FZ30" s="24">
        <f>FS30</f>
        <v>0.5120000000000001</v>
      </c>
      <c r="GA30" s="24">
        <f>FT30</f>
        <v>0.40960000000000013</v>
      </c>
      <c r="GB30" s="24">
        <f>FU30</f>
        <v>0.32768000000000014</v>
      </c>
      <c r="GC30" s="24">
        <v>0</v>
      </c>
      <c r="GD30" s="24">
        <f>GC30</f>
        <v>0</v>
      </c>
      <c r="GE30" s="24">
        <f>IF(BI30&gt;=9999,0,INT(BI30/12))</f>
        <v>0</v>
      </c>
      <c r="GF30" s="24">
        <f>IF(BJ30&gt;=9999,0,INT(BJ30/12))</f>
        <v>0</v>
      </c>
      <c r="GG30" s="24">
        <f>IF(BK30&gt;=9999,0,INT(BK30/12))</f>
        <v>0</v>
      </c>
      <c r="GH30" s="24">
        <f>IF(BL30&gt;=9999,0,INT(BL30/12))</f>
        <v>0</v>
      </c>
      <c r="GI30" s="24">
        <f>IF(BM30&gt;=9999,0,INT(BM30/12))</f>
        <v>0</v>
      </c>
      <c r="GJ30" s="24">
        <f>BG30</f>
        <v>9999</v>
      </c>
      <c r="GK30" s="24">
        <f>IF(AG30=1,BH30,GJ30)</f>
        <v>9999</v>
      </c>
      <c r="GL30" s="24">
        <f>BI30</f>
        <v>9999</v>
      </c>
      <c r="GM30" s="24">
        <f>BJ30</f>
        <v>9999</v>
      </c>
      <c r="GN30" s="24">
        <f>BK30</f>
        <v>9999</v>
      </c>
      <c r="GO30" s="24">
        <f>BL30</f>
        <v>9999</v>
      </c>
      <c r="GP30" s="24">
        <f>BM30</f>
        <v>9999</v>
      </c>
      <c r="GQ30" s="24">
        <f>CI30</f>
        <v>0</v>
      </c>
      <c r="GR30" s="24">
        <f>IF(AG30=1,I30,GQ30)</f>
        <v>0</v>
      </c>
      <c r="GS30" s="24">
        <f>V30</f>
        <v>0</v>
      </c>
      <c r="GT30" s="24">
        <f>V30</f>
        <v>0</v>
      </c>
      <c r="GU30" s="24">
        <f>V30</f>
        <v>0</v>
      </c>
      <c r="GV30" s="24">
        <f>V30</f>
        <v>0</v>
      </c>
      <c r="GW30" s="24">
        <f>V30</f>
        <v>0</v>
      </c>
      <c r="GX30" s="24">
        <f>CP30</f>
        <v>1</v>
      </c>
      <c r="GY30" s="24">
        <f>IF(AG30=1,J30,GX30)</f>
        <v>1</v>
      </c>
      <c r="GZ30" s="24">
        <f>W30</f>
        <v>1</v>
      </c>
      <c r="HA30" s="24">
        <f>W30</f>
        <v>1</v>
      </c>
      <c r="HB30" s="24">
        <f>W30</f>
        <v>1</v>
      </c>
      <c r="HC30" s="24">
        <f>W30</f>
        <v>1</v>
      </c>
      <c r="HD30" s="24">
        <f>W30</f>
        <v>1</v>
      </c>
      <c r="HE30" s="24">
        <f>IF(BU30&gt;=9999,1,(1+X30)^(BU30/12))</f>
        <v>1</v>
      </c>
      <c r="HF30" s="24">
        <f>IF(AG30=1,IF(BV30&gt;=9999,1,(1+X30)^(BV30/12)),HE30)</f>
        <v>1</v>
      </c>
      <c r="HG30" s="24">
        <f>IF(BW30&gt;=9999,1,(1+X30)^(BW30/12))</f>
        <v>1</v>
      </c>
      <c r="HH30" s="24">
        <f>IF(BX30&gt;=9999,1,(1+X30)^(BX30/12))</f>
        <v>1</v>
      </c>
      <c r="HI30" s="24">
        <f>IF(BY30&gt;=9999,1,(1+X30)^(BY30/12))</f>
        <v>1</v>
      </c>
      <c r="HJ30" s="24">
        <f>IF(BZ30&gt;=9999,1,(1+X30)^(BZ30/12))</f>
        <v>1</v>
      </c>
      <c r="HK30" s="24">
        <f>IF(CA30&gt;=9999,1,(1+X30)^(CA30/12))</f>
        <v>1</v>
      </c>
      <c r="HL30" s="24">
        <f>IF(AND(F30&gt;0,C30&gt;0),F30,-1)</f>
        <v>-1</v>
      </c>
      <c r="HM30" s="24">
        <f>IF(AG30=1,BU30+FB30,-1)</f>
        <v>-1</v>
      </c>
      <c r="HN30" s="24">
        <f>IF(BI30&gt;=9999,-1,BV30+ROUND(IP30,0))</f>
        <v>-1</v>
      </c>
      <c r="HO30" s="24">
        <f>IF(BJ30&gt;=9999,-1,IF(HN30&lt;0,BW30,HN30+BP30)+ROUND(IQ30,0))</f>
        <v>-1</v>
      </c>
      <c r="HP30" s="24">
        <f>IF(BK30&gt;=9999,-1,IF(HO30&lt;0,BX30,HO30+BQ30)+ROUND(IR30,0))</f>
        <v>-1</v>
      </c>
      <c r="HQ30" s="24">
        <f>IF(BL30&gt;=9999,-1,IF(HP30&lt;0,BY30,HP30+BR30)+ROUND(IS30,0))</f>
        <v>-1</v>
      </c>
      <c r="HR30" s="24">
        <f>IF(BM30&gt;=9999,-1,IF(HQ30&lt;0,BZ30,HQ30+BS30)+ROUND(IT30,0))</f>
        <v>-1</v>
      </c>
      <c r="HS30" s="24">
        <f>IF(HL30&lt;0,0,C30*K30)</f>
        <v>0</v>
      </c>
      <c r="HT30" s="24">
        <f>IF(AG30=1,C30*R30*(1+in_ExpenseGrowth)^(HM30/12)*(1-AF30),0)</f>
        <v>0</v>
      </c>
      <c r="HU30" s="24">
        <f>IF(HN30&lt;0,0,C30*(S30*II30+R30*(1-II30))*(1+in_ExpenseGrowth)^(HN30/12))</f>
        <v>0</v>
      </c>
      <c r="HV30" s="24">
        <f>IF(HO30&lt;0,0,C30*(S30*IJ30+R30*(1-IJ30))*(1+in_ExpenseGrowth)^(HO30/12))</f>
        <v>0</v>
      </c>
      <c r="HW30" s="24">
        <f>IF(HP30&lt;0,0,C30*(S30*IK30+R30*(1-IK30))*(1+in_ExpenseGrowth)^(HP30/12))</f>
        <v>0</v>
      </c>
      <c r="HX30" s="24">
        <f>IF(HQ30&lt;0,0,C30*(S30*IL30+R30*(1-IL30))*(1+in_ExpenseGrowth)^(HQ30/12))</f>
        <v>0</v>
      </c>
      <c r="HY30" s="24">
        <f>IF(HR30&lt;0,0,C30*(S30*IM30+R30*(1-IM30))*(1+in_ExpenseGrowth)^(HR30/12))</f>
        <v>0</v>
      </c>
      <c r="HZ30" s="24">
        <f>IF(HL30&lt;0,0,L30*C30*E30*AQ30)</f>
        <v>0</v>
      </c>
      <c r="IA30" s="24">
        <f>IF(AG30=1,T30*C30*O30*(1+X30)^(MAX(0,HM30-F30)/12)*AB30*(1-AF30),0)</f>
        <v>0</v>
      </c>
      <c r="IB30" s="24">
        <f>IF(HN30&lt;0,0,(U30*II30+T30*(1-II30))*C30*O30*(1+X30)^(MAX(0,HN30-F30)/12)*(AA30*II30+1-II30)*AB30)</f>
        <v>0</v>
      </c>
      <c r="IC30" s="24">
        <f>IF(HO30&lt;0,0,(U30*IJ30+T30*(1-IJ30))*C30*O30*(1+X30)^(MAX(0,HO30-F30)/12)*(AA30*IJ30+1-IJ30)*AB30)</f>
        <v>0</v>
      </c>
      <c r="ID30" s="24">
        <f>IF(HP30&lt;0,0,(U30*IK30+T30*(1-IK30))*C30*O30*(1+X30)^(MAX(0,HP30-F30)/12)*(AA30*IK30+1-IK30)*AB30)</f>
        <v>0</v>
      </c>
      <c r="IE30" s="24">
        <f>IF(HQ30&lt;0,0,(U30*IL30+T30*(1-IL30))*C30*O30*(1+X30)^(MAX(0,HQ30-F30)/12)*(AA30*IL30+1-IL30)*AB30)</f>
        <v>0</v>
      </c>
      <c r="IF30" s="24">
        <f>IF(HR30&lt;0,0,(U30*IM30+T30*(1-IM30))*C30*O30*(1+X30)^(MAX(0,HR30-F30)/12)*(AA30*IM30+1-IM30)*AB30)</f>
        <v>0</v>
      </c>
      <c r="IG30" s="24">
        <v>1</v>
      </c>
      <c r="IH30" s="24">
        <f>IF(AG30=1,AF30,1)</f>
        <v>1</v>
      </c>
      <c r="II30" s="24">
        <f>IF(AG30=1,AC30,AE30)</f>
        <v>0.8</v>
      </c>
      <c r="IJ30" s="24">
        <f>AC30</f>
        <v>0.8</v>
      </c>
      <c r="IK30" s="24">
        <f>AC30</f>
        <v>0.8</v>
      </c>
      <c r="IL30" s="24">
        <f>AC30</f>
        <v>0.8</v>
      </c>
      <c r="IM30" s="24">
        <f>AC30</f>
        <v>0.8</v>
      </c>
      <c r="IN30" s="24">
        <v>0</v>
      </c>
      <c r="IO30" s="24">
        <f>P30</f>
        <v>0</v>
      </c>
      <c r="IP30" s="24">
        <f>P30*(1-II30)</f>
        <v>0</v>
      </c>
      <c r="IQ30" s="24">
        <f>P30*(1-IJ30)</f>
        <v>0</v>
      </c>
      <c r="IR30" s="24">
        <f>P30*(1-IK30)</f>
        <v>0</v>
      </c>
      <c r="IS30" s="24">
        <f>P30*(1-IL30)</f>
        <v>0</v>
      </c>
      <c r="IT30" s="24">
        <f>P30*(1-IM30)</f>
        <v>0</v>
      </c>
    </row>
    <row r="31">
      <c r="A31" s="25">
        <v>24</v>
      </c>
      <c r="B31" s="23" t="str">
        <f>IF('Rent Roll'!C31="","",'Rent Roll'!C31)</f>
        <v/>
      </c>
      <c r="C31" s="24">
        <f>IF(ISNUMBER('Rent Roll'!E31),MAX(0,'Rent Roll'!E31),0)</f>
        <v>0</v>
      </c>
      <c r="D31" s="88">
        <f>IF(a_GLA&gt;0,C31/a_GLA,0)</f>
        <v>0</v>
      </c>
      <c r="E31" s="29">
        <f>IF(BC31=1,ROUND(BD31*(1+X31)^(F31/12),2),BD31)</f>
        <v>0</v>
      </c>
      <c r="F31" s="24">
        <f>IF(C31&gt;0,MAX(0,(YEAR(IF(ISNUMBER('Rent Roll'!G31),'Rent Roll'!G31,0))-YEAR(in_AnalysisStart))*12+MONTH(IF(ISNUMBER('Rent Roll'!G31),'Rent Roll'!G31,0))-MONTH(in_AnalysisStart)),0)</f>
        <v>0</v>
      </c>
      <c r="G31" s="24">
        <f>IF(C31&gt;0,MAX(0,(YEAR(IF(ISNUMBER('Rent Roll'!H31),'Rent Roll'!H31,0))-YEAR(in_AnalysisStart))*12+MONTH(IF(ISNUMBER('Rent Roll'!H31),'Rent Roll'!H31,0))-MONTH(in_AnalysisStart)+1-F31),0)</f>
        <v>0</v>
      </c>
      <c r="H31" s="24">
        <f>IF(ISNUMBER('Rent Roll'!N31),'Rent Roll'!N31,0)</f>
        <v>0</v>
      </c>
      <c r="I31" s="88">
        <f>IF(ISNUMBER('Rent Roll'!L31),'Rent Roll'!L31,0)</f>
        <v>0</v>
      </c>
      <c r="J31" s="24">
        <f>MAX(1,ROUND(IF(ISNUMBER('Rent Roll'!M31),'Rent Roll'!M31,0),0))</f>
        <v>1</v>
      </c>
      <c r="K31" s="29">
        <f>IF(ISNUMBER('Rent Roll'!AJ31),'Rent Roll'!AJ31,0)</f>
        <v>0</v>
      </c>
      <c r="L31" s="88">
        <f>IF(IF(ISNUMBER('Rent Roll'!AK31),'Rent Roll'!AK31,0)&gt;0,'Rent Roll'!AK31,a_LeaseUpLC)</f>
        <v>0.06</v>
      </c>
      <c r="M31" s="24">
        <f>IF('Rent Roll'!R31="",0,IFERROR(MATCH('Rent Roll'!R31,a_PName,0),0))</f>
        <v>0</v>
      </c>
      <c r="N31" s="24">
        <f>IF(M31&gt;0,1,0)</f>
        <v>0</v>
      </c>
      <c r="O31" s="29">
        <f>IF(IF(ISNUMBER('Rent Roll'!S31),'Rent Roll'!S31,0)&gt;0,'Rent Roll'!S31,IF(M31&gt;0,IF(ISNUMBER(INDEX(a_PRent,M31)),INDEX(a_PRent,M31),0),0))</f>
        <v>0</v>
      </c>
      <c r="P31" s="24">
        <f>IF(M31&gt;0,IF(ISNUMBER(INDEX(a_PDown,M31)),INDEX(a_PDown,M31),0),0)</f>
        <v>0</v>
      </c>
      <c r="Q31" s="24">
        <f>IF(M31&gt;0,MAX(1,IF(ISNUMBER(INDEX(a_PTerm,M31)),INDEX(a_PTerm,M31),0)),5)</f>
        <v>5</v>
      </c>
      <c r="R31" s="29">
        <f>IF(M31&gt;0,IF(ISNUMBER(INDEX(a_PTiNew,M31)),INDEX(a_PTiNew,M31),0),0)</f>
        <v>0</v>
      </c>
      <c r="S31" s="29">
        <f>IF(M31&gt;0,IF(ISNUMBER(INDEX(a_PTiRen,M31)),INDEX(a_PTiRen,M31),0),0)</f>
        <v>0</v>
      </c>
      <c r="T31" s="88">
        <f>IF(M31&gt;0,IF(ISNUMBER(INDEX(a_PLcNew,M31)),INDEX(a_PLcNew,M31),0),0)</f>
        <v>0</v>
      </c>
      <c r="U31" s="88">
        <f>IF(M31&gt;0,IF(ISNUMBER(INDEX(a_PLcRen,M31)),INDEX(a_PLcRen,M31),0),0)</f>
        <v>0</v>
      </c>
      <c r="V31" s="88">
        <f>IF(M31&gt;0,IF(ISNUMBER(INDEX(a_PBump,M31)),INDEX(a_PBump,M31),0),0)</f>
        <v>0</v>
      </c>
      <c r="W31" s="24">
        <f>MAX(1,ROUND(IF(M31&gt;0,IF(ISNUMBER(INDEX(a_PEvery,M31)),INDEX(a_PEvery,M31),0),1),0))</f>
        <v>1</v>
      </c>
      <c r="X31" s="88">
        <f>IF(M31&gt;0,IF(ISNUMBER(INDEX(a_PGrow,M31)),INDEX(a_PGrow,M31),in_RentGrowth),in_RentGrowth)</f>
        <v>0.03</v>
      </c>
      <c r="Y31" s="24">
        <f>IF(M31&gt;0,IF(ISNUMBER(INDEX(a_PFreeNew,M31)),INDEX(a_PFreeNew,M31),0),0)</f>
        <v>0</v>
      </c>
      <c r="Z31" s="24">
        <f>IF(M31&gt;0,IF(ISNUMBER(INDEX(a_PFreeRen,M31)),INDEX(a_PFreeRen,M31),0),0)</f>
        <v>0</v>
      </c>
      <c r="AA31" s="88">
        <f>IF(M31&gt;0,IF(ISNUMBER(INDEX(a_PRenPct,M31)),INDEX(a_PRenPct,M31),1),1)</f>
        <v>1</v>
      </c>
      <c r="AB31" s="24">
        <f>IF(M31&gt;0,IF(ISNUMBER(INDEX(a_PAF,M31)),INDEX(a_PAF,M31),0),0)</f>
        <v>0</v>
      </c>
      <c r="AC31" s="88">
        <f>IF(ISNUMBER('Rent Roll'!V31),'Rent Roll'!V31,IF(M31&gt;0,IF(ISNUMBER(INDEX(a_PRenew,M31)),INDEX(a_PRenew,M31),0),0.8))</f>
        <v>0.8</v>
      </c>
      <c r="AD31" s="23" t="str">
        <f>IF('Rent Roll'!W31="","Probability",'Rent Roll'!W31)</f>
        <v>Probability</v>
      </c>
      <c r="AE31" s="88">
        <f>IF(AD31="Renew",1,IF(AD31="Vacate",0,AC31))</f>
        <v>0.8</v>
      </c>
      <c r="AF31" s="88">
        <f>IF(AD31="Renew",1,IF(ISNUMBER('Rent Roll'!AA31),'Rent Roll'!AA31,AC31))</f>
        <v>0.8</v>
      </c>
      <c r="AG31" s="24">
        <f>IF(AND(N31=1,IF(ISNUMBER('Rent Roll'!Y31),'Rent Roll'!Y31,0)&gt;0,IF(ISNUMBER('Rent Roll'!Z31),'Rent Roll'!Z31,0)&gt;0,AF31&gt;0,AD31&lt;&gt;"Vacate",C31&gt;0),1,0)</f>
        <v>0</v>
      </c>
      <c r="AH31" s="24">
        <f>ROUND(12*IF(ISNUMBER('Rent Roll'!Y31),'Rent Roll'!Y31,0),0)</f>
        <v>0</v>
      </c>
      <c r="AI31" s="29">
        <f>IF(ISNUMBER('Rent Roll'!Z31),'Rent Roll'!Z31,0)</f>
        <v>0</v>
      </c>
      <c r="AJ31" s="24">
        <f>IF('Rent Roll'!P31="Base year",1,0)</f>
        <v>0</v>
      </c>
      <c r="AK31" s="88">
        <f>IF(ISNUMBER('Rent Roll'!Q31),'Rent Roll'!Q31,0)</f>
        <v>0</v>
      </c>
      <c r="AL31" s="24">
        <f>IF(AND('Rent Roll'!AH31="Yes",a_AnchorInVac&lt;&gt;"Yes"),1,0)</f>
        <v>0</v>
      </c>
      <c r="AM31" s="29">
        <f>IF(ISNUMBER('Rent Roll'!AL31),'Rent Roll'!AL31,0)</f>
        <v>0</v>
      </c>
      <c r="AN31" s="88">
        <f>IF(ISNUMBER('Rent Roll'!AM31),'Rent Roll'!AM31,0)</f>
        <v>0</v>
      </c>
      <c r="AO31" s="88">
        <f>IF(AND(BC31=1,N31=1),V31,I31)</f>
        <v>0</v>
      </c>
      <c r="AP31" s="24">
        <f>IF(AND(BC31=1,N31=1),W31,J31)</f>
        <v>1</v>
      </c>
      <c r="AQ31" s="24">
        <f>IF(AO31=0,G31/12,AP31*((1+AO31)^INT(INT(G31/12)/AP31)-1)/AO31+(INT(G31/12)-INT(INT(G31/12)/AP31)*AP31)*(1+AO31)^INT(INT(G31/12)/AP31)+(G31/12-INT(G31/12))*(1+AO31)^INT(INT(G31/12)/AP31))</f>
        <v>0</v>
      </c>
      <c r="AR31" s="24">
        <f>IF(AND(C31&gt;0,BU31&lt;9999,BU31&gt;0),INT((BU31-1)/12)+1,0)</f>
        <v>0</v>
      </c>
      <c r="AS31" s="24">
        <f>COUNTIF('Lease Cycles'!$BG$31:$BM$31,"&lt;132")</f>
        <v>0</v>
      </c>
      <c r="AT31" s="24">
        <f>IF(AND(ISNUMBER('Rent Roll'!AR31),IF(ISNUMBER('Rent Roll'!AS31),'Rent Roll'!AS31,0)&gt;0),(YEAR('Rent Roll'!AR31)-YEAR(in_AnalysisStart))*12+MONTH('Rent Roll'!AR31)-MONTH(in_AnalysisStart),9999)</f>
        <v>9999</v>
      </c>
      <c r="AU31" s="29">
        <f>IF(ISNUMBER('Rent Roll'!AS31),'Rent Roll'!AS31,0)</f>
        <v>0</v>
      </c>
      <c r="AV31" s="24">
        <f>IF(AND(ISNUMBER('Rent Roll'!AT31),IF(ISNUMBER('Rent Roll'!AU31),'Rent Roll'!AU31,0)&gt;0),(YEAR('Rent Roll'!AT31)-YEAR(in_AnalysisStart))*12+MONTH('Rent Roll'!AT31)-MONTH(in_AnalysisStart),9999)</f>
        <v>9999</v>
      </c>
      <c r="AW31" s="29">
        <f>IF(ISNUMBER('Rent Roll'!AU31),'Rent Roll'!AU31,0)</f>
        <v>0</v>
      </c>
      <c r="AX31" s="24">
        <f>IF(AND(ISNUMBER('Rent Roll'!AV31),IF(ISNUMBER('Rent Roll'!AW31),'Rent Roll'!AW31,0)&gt;0),(YEAR('Rent Roll'!AV31)-YEAR(in_AnalysisStart))*12+MONTH('Rent Roll'!AV31)-MONTH(in_AnalysisStart),9999)</f>
        <v>9999</v>
      </c>
      <c r="AY31" s="29">
        <f>IF(ISNUMBER('Rent Roll'!AW31),'Rent Roll'!AW31,0)</f>
        <v>0</v>
      </c>
      <c r="AZ31" s="24">
        <f>IF(AND(ISNUMBER('Rent Roll'!AX31),IF(ISNUMBER('Rent Roll'!AY31),'Rent Roll'!AY31,0)&gt;0),(YEAR('Rent Roll'!AX31)-YEAR(in_AnalysisStart))*12+MONTH('Rent Roll'!AX31)-MONTH(in_AnalysisStart),9999)</f>
        <v>9999</v>
      </c>
      <c r="BA31" s="29">
        <f>IF(ISNUMBER('Rent Roll'!AY31),'Rent Roll'!AY31,0)</f>
        <v>0</v>
      </c>
      <c r="BB31" s="29">
        <f>IF(BU31&gt;=9999,O31,O31*(1+X31)^((BU31-F31)/12))</f>
        <v>0</v>
      </c>
      <c r="BC31" s="24">
        <f>IF(AND('Rent Roll'!AZ31="Yes",F31&gt;0,BD31&gt;0,AT31&gt;=9999),1,0)</f>
        <v>0</v>
      </c>
      <c r="BD31" s="29">
        <f>IF(ISNUMBER('Rent Roll'!I31),'Rent Roll'!I31,0)</f>
        <v>0</v>
      </c>
      <c r="BE31" s="24">
        <f>IF(a_MarketRecovery="Base year",1,0)</f>
        <v>0</v>
      </c>
      <c r="BG31" s="24">
        <f>IF(C31&gt;0,F31,9999)</f>
        <v>9999</v>
      </c>
      <c r="BH31" s="24">
        <f>BU31</f>
        <v>9999</v>
      </c>
      <c r="BI31" s="24">
        <f>IF(OR(N31=0,BV31&gt;=9999),9999,IF(AG31=1,BV31,INT(BV31+IP31)))</f>
        <v>9999</v>
      </c>
      <c r="BJ31" s="24">
        <f>IF(OR(N31=0,BW31&gt;=9999),9999,INT(BW31+IQ31))</f>
        <v>9999</v>
      </c>
      <c r="BK31" s="24">
        <f>IF(OR(N31=0,BX31&gt;=9999),9999,INT(BX31+IR31))</f>
        <v>9999</v>
      </c>
      <c r="BL31" s="24">
        <f>IF(OR(N31=0,BY31&gt;=9999),9999,INT(BY31+IS31))</f>
        <v>9999</v>
      </c>
      <c r="BM31" s="24">
        <f>IF(OR(N31=0,BZ31&gt;=9999),9999,INT(BZ31+IT31))</f>
        <v>9999</v>
      </c>
      <c r="BN31" s="24">
        <f>G31</f>
        <v>0</v>
      </c>
      <c r="BO31" s="24">
        <f>IF(AG31=1,AH31,0)</f>
        <v>0</v>
      </c>
      <c r="BP31" s="24">
        <f>MAX(12,ROUND(12*Q31,0))</f>
        <v>60</v>
      </c>
      <c r="BQ31" s="24">
        <f>MAX(12,ROUND(12*Q31,0))</f>
        <v>60</v>
      </c>
      <c r="BR31" s="24">
        <f>MAX(12,ROUND(12*Q31,0))</f>
        <v>60</v>
      </c>
      <c r="BS31" s="24">
        <f>MAX(12,ROUND(12*Q31,0))</f>
        <v>60</v>
      </c>
      <c r="BT31" s="24">
        <f>MAX(12,ROUND(12*Q31,0))</f>
        <v>60</v>
      </c>
      <c r="BU31" s="24">
        <f>BG31+BN31</f>
        <v>9999</v>
      </c>
      <c r="BV31" s="24">
        <f>BH31+BO31</f>
        <v>9999</v>
      </c>
      <c r="BW31" s="24">
        <f>IF(BI31&gt;=9999,9999,BI31+BP31)</f>
        <v>9999</v>
      </c>
      <c r="BX31" s="24">
        <f>IF(BJ31&gt;=9999,9999,BJ31+BQ31)</f>
        <v>9999</v>
      </c>
      <c r="BY31" s="24">
        <f>IF(BK31&gt;=9999,9999,BK31+BR31)</f>
        <v>9999</v>
      </c>
      <c r="BZ31" s="24">
        <f>IF(BL31&gt;=9999,9999,BL31+BS31)</f>
        <v>9999</v>
      </c>
      <c r="CA31" s="24">
        <f>IF(BM31&gt;=9999,9999,BM31+BT31)</f>
        <v>9999</v>
      </c>
      <c r="CB31" s="24">
        <f>E31</f>
        <v>0</v>
      </c>
      <c r="CC31" s="24">
        <f>AI31</f>
        <v>0</v>
      </c>
      <c r="CD31" s="24">
        <f>IF(BI31&gt;=9999,0,O31*(1+X31)^((BI31-F31)/12)*(AA31*II31+1-II31))</f>
        <v>0</v>
      </c>
      <c r="CE31" s="24">
        <f>IF(BJ31&gt;=9999,0,O31*(1+X31)^((BJ31-F31)/12)*(AA31*IJ31+1-IJ31))</f>
        <v>0</v>
      </c>
      <c r="CF31" s="24">
        <f>IF(BK31&gt;=9999,0,O31*(1+X31)^((BK31-F31)/12)*(AA31*IK31+1-IK31))</f>
        <v>0</v>
      </c>
      <c r="CG31" s="24">
        <f>IF(BL31&gt;=9999,0,O31*(1+X31)^((BL31-F31)/12)*(AA31*IL31+1-IL31))</f>
        <v>0</v>
      </c>
      <c r="CH31" s="24">
        <f>IF(BM31&gt;=9999,0,O31*(1+X31)^((BM31-F31)/12)*(AA31*IM31+1-IM31))</f>
        <v>0</v>
      </c>
      <c r="CI31" s="24">
        <f>AO31</f>
        <v>0</v>
      </c>
      <c r="CJ31" s="24">
        <f>I31</f>
        <v>0</v>
      </c>
      <c r="CK31" s="24">
        <f>V31</f>
        <v>0</v>
      </c>
      <c r="CL31" s="24">
        <f>V31</f>
        <v>0</v>
      </c>
      <c r="CM31" s="24">
        <f>V31</f>
        <v>0</v>
      </c>
      <c r="CN31" s="24">
        <f>V31</f>
        <v>0</v>
      </c>
      <c r="CO31" s="24">
        <f>V31</f>
        <v>0</v>
      </c>
      <c r="CP31" s="24">
        <f>AP31</f>
        <v>1</v>
      </c>
      <c r="CQ31" s="24">
        <f>J31</f>
        <v>1</v>
      </c>
      <c r="CR31" s="24">
        <f>W31</f>
        <v>1</v>
      </c>
      <c r="CS31" s="24">
        <f>W31</f>
        <v>1</v>
      </c>
      <c r="CT31" s="24">
        <f>W31</f>
        <v>1</v>
      </c>
      <c r="CU31" s="24">
        <f>W31</f>
        <v>1</v>
      </c>
      <c r="CV31" s="24">
        <f>W31</f>
        <v>1</v>
      </c>
      <c r="CW31" s="24">
        <f>H31</f>
        <v>0</v>
      </c>
      <c r="CX31" s="24">
        <v>0</v>
      </c>
      <c r="CY31" s="24">
        <f>Y31*(1-II31)+Z31*II31</f>
        <v>0</v>
      </c>
      <c r="CZ31" s="24">
        <f>Y31*(1-IJ31)+Z31*IJ31</f>
        <v>0</v>
      </c>
      <c r="DA31" s="24">
        <f>Y31*(1-IK31)+Z31*IK31</f>
        <v>0</v>
      </c>
      <c r="DB31" s="24">
        <f>Y31*(1-IL31)+Z31*IL31</f>
        <v>0</v>
      </c>
      <c r="DC31" s="24">
        <f>Y31*(1-IM31)+Z31*IM31</f>
        <v>0</v>
      </c>
      <c r="DD31" s="24">
        <v>0</v>
      </c>
      <c r="DE31" s="24">
        <v>0</v>
      </c>
      <c r="DF31" s="24">
        <f>IF(BI31&gt;=9999,0,IF(AG31=1,0,BV31+IP31-BI31))</f>
        <v>0</v>
      </c>
      <c r="DG31" s="24">
        <f>IF(BJ31&gt;=9999,0,BW31+IQ31-BJ31)</f>
        <v>0</v>
      </c>
      <c r="DH31" s="24">
        <f>IF(BK31&gt;=9999,0,BX31+IR31-BK31)</f>
        <v>0</v>
      </c>
      <c r="DI31" s="24">
        <f>IF(BL31&gt;=9999,0,BY31+IS31-BL31)</f>
        <v>0</v>
      </c>
      <c r="DJ31" s="24">
        <f>IF(BM31&gt;=9999,0,BZ31+IT31-BM31)</f>
        <v>0</v>
      </c>
      <c r="DK31" s="24">
        <f>INT(CW31+DD31)</f>
        <v>0</v>
      </c>
      <c r="DL31" s="24">
        <v>0</v>
      </c>
      <c r="DM31" s="24">
        <f>INT(CY31+DF31)</f>
        <v>0</v>
      </c>
      <c r="DN31" s="24">
        <f>INT(CZ31+DG31)</f>
        <v>0</v>
      </c>
      <c r="DO31" s="24">
        <f>INT(DA31+DH31)</f>
        <v>0</v>
      </c>
      <c r="DP31" s="24">
        <f>INT(DB31+DI31)</f>
        <v>0</v>
      </c>
      <c r="DQ31" s="24">
        <f>INT(DC31+DJ31)</f>
        <v>0</v>
      </c>
      <c r="DR31" s="24">
        <f>CW31+DD31-DK31</f>
        <v>0</v>
      </c>
      <c r="DS31" s="24">
        <v>0</v>
      </c>
      <c r="DT31" s="24">
        <f>CY31+DF31-DM31</f>
        <v>0</v>
      </c>
      <c r="DU31" s="24">
        <f>CZ31+DG31-DN31</f>
        <v>0</v>
      </c>
      <c r="DV31" s="24">
        <f>DA31+DH31-DO31</f>
        <v>0</v>
      </c>
      <c r="DW31" s="24">
        <f>DB31+DI31-DP31</f>
        <v>0</v>
      </c>
      <c r="DX31" s="24">
        <f>DC31+DJ31-DQ31</f>
        <v>0</v>
      </c>
      <c r="DY31" s="24">
        <v>1</v>
      </c>
      <c r="DZ31" s="24">
        <v>1</v>
      </c>
      <c r="EA31" s="24">
        <v>0</v>
      </c>
      <c r="EB31" s="24">
        <v>0</v>
      </c>
      <c r="EC31" s="24">
        <v>0</v>
      </c>
      <c r="ED31" s="24">
        <v>0</v>
      </c>
      <c r="EE31" s="24">
        <v>0</v>
      </c>
      <c r="EF31" s="24">
        <v>0</v>
      </c>
      <c r="EG31" s="24">
        <f>IF(AG31=1,1,2)</f>
        <v>2</v>
      </c>
      <c r="EH31" s="24">
        <v>0</v>
      </c>
      <c r="EI31" s="24">
        <v>0</v>
      </c>
      <c r="EJ31" s="24">
        <v>0</v>
      </c>
      <c r="EK31" s="24">
        <v>0</v>
      </c>
      <c r="EL31" s="24">
        <v>0</v>
      </c>
      <c r="EM31" s="24">
        <v>1</v>
      </c>
      <c r="EN31" s="24">
        <f>IF(AG31=1,AF31,1)</f>
        <v>1</v>
      </c>
      <c r="EO31" s="24">
        <v>1</v>
      </c>
      <c r="EP31" s="24">
        <v>1</v>
      </c>
      <c r="EQ31" s="24">
        <v>1</v>
      </c>
      <c r="ER31" s="24">
        <v>1</v>
      </c>
      <c r="ES31" s="24">
        <v>1</v>
      </c>
      <c r="ET31" s="24">
        <v>0</v>
      </c>
      <c r="EU31" s="24">
        <f>BB31</f>
        <v>0</v>
      </c>
      <c r="EV31" s="24">
        <v>0</v>
      </c>
      <c r="EW31" s="24">
        <v>0</v>
      </c>
      <c r="EX31" s="24">
        <v>0</v>
      </c>
      <c r="EY31" s="24">
        <v>0</v>
      </c>
      <c r="EZ31" s="24">
        <v>0</v>
      </c>
      <c r="FA31" s="24">
        <v>0</v>
      </c>
      <c r="FB31" s="24">
        <f>ROUND(P31,0)</f>
        <v>0</v>
      </c>
      <c r="FC31" s="24">
        <v>0</v>
      </c>
      <c r="FD31" s="24">
        <v>0</v>
      </c>
      <c r="FE31" s="24">
        <v>0</v>
      </c>
      <c r="FF31" s="24">
        <v>0</v>
      </c>
      <c r="FG31" s="24">
        <v>0</v>
      </c>
      <c r="FH31" s="24">
        <f>AK31</f>
        <v>0</v>
      </c>
      <c r="FI31" s="24">
        <f>IF(AG31=1,AK31*AF31,FH31)</f>
        <v>0</v>
      </c>
      <c r="FJ31" s="24">
        <f>FI31*II31</f>
        <v>0</v>
      </c>
      <c r="FK31" s="24">
        <f>FJ31*IJ31</f>
        <v>0</v>
      </c>
      <c r="FL31" s="24">
        <f>FK31*IK31</f>
        <v>0</v>
      </c>
      <c r="FM31" s="24">
        <f>FL31*IL31</f>
        <v>0</v>
      </c>
      <c r="FN31" s="24">
        <f>FM31*IM31</f>
        <v>0</v>
      </c>
      <c r="FO31" s="24">
        <v>1</v>
      </c>
      <c r="FP31" s="24">
        <f>FV31</f>
        <v>1</v>
      </c>
      <c r="FQ31" s="24">
        <f>FW31*II31</f>
        <v>0.8</v>
      </c>
      <c r="FR31" s="24">
        <f>FX31*IJ31</f>
        <v>0.6400000000000001</v>
      </c>
      <c r="FS31" s="24">
        <f>FY31*IK31</f>
        <v>0.5120000000000001</v>
      </c>
      <c r="FT31" s="24">
        <f>FZ31*IL31</f>
        <v>0.40960000000000013</v>
      </c>
      <c r="FU31" s="24">
        <f>GA31*IM31</f>
        <v>0.32768000000000014</v>
      </c>
      <c r="FV31" s="24">
        <v>1</v>
      </c>
      <c r="FW31" s="24">
        <f>IF(AG31=1,FP31*AF31,FV31)</f>
        <v>1</v>
      </c>
      <c r="FX31" s="24">
        <f>FQ31</f>
        <v>0.8</v>
      </c>
      <c r="FY31" s="24">
        <f>FR31</f>
        <v>0.6400000000000001</v>
      </c>
      <c r="FZ31" s="24">
        <f>FS31</f>
        <v>0.5120000000000001</v>
      </c>
      <c r="GA31" s="24">
        <f>FT31</f>
        <v>0.40960000000000013</v>
      </c>
      <c r="GB31" s="24">
        <f>FU31</f>
        <v>0.32768000000000014</v>
      </c>
      <c r="GC31" s="24">
        <v>0</v>
      </c>
      <c r="GD31" s="24">
        <f>GC31</f>
        <v>0</v>
      </c>
      <c r="GE31" s="24">
        <f>IF(BI31&gt;=9999,0,INT(BI31/12))</f>
        <v>0</v>
      </c>
      <c r="GF31" s="24">
        <f>IF(BJ31&gt;=9999,0,INT(BJ31/12))</f>
        <v>0</v>
      </c>
      <c r="GG31" s="24">
        <f>IF(BK31&gt;=9999,0,INT(BK31/12))</f>
        <v>0</v>
      </c>
      <c r="GH31" s="24">
        <f>IF(BL31&gt;=9999,0,INT(BL31/12))</f>
        <v>0</v>
      </c>
      <c r="GI31" s="24">
        <f>IF(BM31&gt;=9999,0,INT(BM31/12))</f>
        <v>0</v>
      </c>
      <c r="GJ31" s="24">
        <f>BG31</f>
        <v>9999</v>
      </c>
      <c r="GK31" s="24">
        <f>IF(AG31=1,BH31,GJ31)</f>
        <v>9999</v>
      </c>
      <c r="GL31" s="24">
        <f>BI31</f>
        <v>9999</v>
      </c>
      <c r="GM31" s="24">
        <f>BJ31</f>
        <v>9999</v>
      </c>
      <c r="GN31" s="24">
        <f>BK31</f>
        <v>9999</v>
      </c>
      <c r="GO31" s="24">
        <f>BL31</f>
        <v>9999</v>
      </c>
      <c r="GP31" s="24">
        <f>BM31</f>
        <v>9999</v>
      </c>
      <c r="GQ31" s="24">
        <f>CI31</f>
        <v>0</v>
      </c>
      <c r="GR31" s="24">
        <f>IF(AG31=1,I31,GQ31)</f>
        <v>0</v>
      </c>
      <c r="GS31" s="24">
        <f>V31</f>
        <v>0</v>
      </c>
      <c r="GT31" s="24">
        <f>V31</f>
        <v>0</v>
      </c>
      <c r="GU31" s="24">
        <f>V31</f>
        <v>0</v>
      </c>
      <c r="GV31" s="24">
        <f>V31</f>
        <v>0</v>
      </c>
      <c r="GW31" s="24">
        <f>V31</f>
        <v>0</v>
      </c>
      <c r="GX31" s="24">
        <f>CP31</f>
        <v>1</v>
      </c>
      <c r="GY31" s="24">
        <f>IF(AG31=1,J31,GX31)</f>
        <v>1</v>
      </c>
      <c r="GZ31" s="24">
        <f>W31</f>
        <v>1</v>
      </c>
      <c r="HA31" s="24">
        <f>W31</f>
        <v>1</v>
      </c>
      <c r="HB31" s="24">
        <f>W31</f>
        <v>1</v>
      </c>
      <c r="HC31" s="24">
        <f>W31</f>
        <v>1</v>
      </c>
      <c r="HD31" s="24">
        <f>W31</f>
        <v>1</v>
      </c>
      <c r="HE31" s="24">
        <f>IF(BU31&gt;=9999,1,(1+X31)^(BU31/12))</f>
        <v>1</v>
      </c>
      <c r="HF31" s="24">
        <f>IF(AG31=1,IF(BV31&gt;=9999,1,(1+X31)^(BV31/12)),HE31)</f>
        <v>1</v>
      </c>
      <c r="HG31" s="24">
        <f>IF(BW31&gt;=9999,1,(1+X31)^(BW31/12))</f>
        <v>1</v>
      </c>
      <c r="HH31" s="24">
        <f>IF(BX31&gt;=9999,1,(1+X31)^(BX31/12))</f>
        <v>1</v>
      </c>
      <c r="HI31" s="24">
        <f>IF(BY31&gt;=9999,1,(1+X31)^(BY31/12))</f>
        <v>1</v>
      </c>
      <c r="HJ31" s="24">
        <f>IF(BZ31&gt;=9999,1,(1+X31)^(BZ31/12))</f>
        <v>1</v>
      </c>
      <c r="HK31" s="24">
        <f>IF(CA31&gt;=9999,1,(1+X31)^(CA31/12))</f>
        <v>1</v>
      </c>
      <c r="HL31" s="24">
        <f>IF(AND(F31&gt;0,C31&gt;0),F31,-1)</f>
        <v>-1</v>
      </c>
      <c r="HM31" s="24">
        <f>IF(AG31=1,BU31+FB31,-1)</f>
        <v>-1</v>
      </c>
      <c r="HN31" s="24">
        <f>IF(BI31&gt;=9999,-1,BV31+ROUND(IP31,0))</f>
        <v>-1</v>
      </c>
      <c r="HO31" s="24">
        <f>IF(BJ31&gt;=9999,-1,IF(HN31&lt;0,BW31,HN31+BP31)+ROUND(IQ31,0))</f>
        <v>-1</v>
      </c>
      <c r="HP31" s="24">
        <f>IF(BK31&gt;=9999,-1,IF(HO31&lt;0,BX31,HO31+BQ31)+ROUND(IR31,0))</f>
        <v>-1</v>
      </c>
      <c r="HQ31" s="24">
        <f>IF(BL31&gt;=9999,-1,IF(HP31&lt;0,BY31,HP31+BR31)+ROUND(IS31,0))</f>
        <v>-1</v>
      </c>
      <c r="HR31" s="24">
        <f>IF(BM31&gt;=9999,-1,IF(HQ31&lt;0,BZ31,HQ31+BS31)+ROUND(IT31,0))</f>
        <v>-1</v>
      </c>
      <c r="HS31" s="24">
        <f>IF(HL31&lt;0,0,C31*K31)</f>
        <v>0</v>
      </c>
      <c r="HT31" s="24">
        <f>IF(AG31=1,C31*R31*(1+in_ExpenseGrowth)^(HM31/12)*(1-AF31),0)</f>
        <v>0</v>
      </c>
      <c r="HU31" s="24">
        <f>IF(HN31&lt;0,0,C31*(S31*II31+R31*(1-II31))*(1+in_ExpenseGrowth)^(HN31/12))</f>
        <v>0</v>
      </c>
      <c r="HV31" s="24">
        <f>IF(HO31&lt;0,0,C31*(S31*IJ31+R31*(1-IJ31))*(1+in_ExpenseGrowth)^(HO31/12))</f>
        <v>0</v>
      </c>
      <c r="HW31" s="24">
        <f>IF(HP31&lt;0,0,C31*(S31*IK31+R31*(1-IK31))*(1+in_ExpenseGrowth)^(HP31/12))</f>
        <v>0</v>
      </c>
      <c r="HX31" s="24">
        <f>IF(HQ31&lt;0,0,C31*(S31*IL31+R31*(1-IL31))*(1+in_ExpenseGrowth)^(HQ31/12))</f>
        <v>0</v>
      </c>
      <c r="HY31" s="24">
        <f>IF(HR31&lt;0,0,C31*(S31*IM31+R31*(1-IM31))*(1+in_ExpenseGrowth)^(HR31/12))</f>
        <v>0</v>
      </c>
      <c r="HZ31" s="24">
        <f>IF(HL31&lt;0,0,L31*C31*E31*AQ31)</f>
        <v>0</v>
      </c>
      <c r="IA31" s="24">
        <f>IF(AG31=1,T31*C31*O31*(1+X31)^(MAX(0,HM31-F31)/12)*AB31*(1-AF31),0)</f>
        <v>0</v>
      </c>
      <c r="IB31" s="24">
        <f>IF(HN31&lt;0,0,(U31*II31+T31*(1-II31))*C31*O31*(1+X31)^(MAX(0,HN31-F31)/12)*(AA31*II31+1-II31)*AB31)</f>
        <v>0</v>
      </c>
      <c r="IC31" s="24">
        <f>IF(HO31&lt;0,0,(U31*IJ31+T31*(1-IJ31))*C31*O31*(1+X31)^(MAX(0,HO31-F31)/12)*(AA31*IJ31+1-IJ31)*AB31)</f>
        <v>0</v>
      </c>
      <c r="ID31" s="24">
        <f>IF(HP31&lt;0,0,(U31*IK31+T31*(1-IK31))*C31*O31*(1+X31)^(MAX(0,HP31-F31)/12)*(AA31*IK31+1-IK31)*AB31)</f>
        <v>0</v>
      </c>
      <c r="IE31" s="24">
        <f>IF(HQ31&lt;0,0,(U31*IL31+T31*(1-IL31))*C31*O31*(1+X31)^(MAX(0,HQ31-F31)/12)*(AA31*IL31+1-IL31)*AB31)</f>
        <v>0</v>
      </c>
      <c r="IF31" s="24">
        <f>IF(HR31&lt;0,0,(U31*IM31+T31*(1-IM31))*C31*O31*(1+X31)^(MAX(0,HR31-F31)/12)*(AA31*IM31+1-IM31)*AB31)</f>
        <v>0</v>
      </c>
      <c r="IG31" s="24">
        <v>1</v>
      </c>
      <c r="IH31" s="24">
        <f>IF(AG31=1,AF31,1)</f>
        <v>1</v>
      </c>
      <c r="II31" s="24">
        <f>IF(AG31=1,AC31,AE31)</f>
        <v>0.8</v>
      </c>
      <c r="IJ31" s="24">
        <f>AC31</f>
        <v>0.8</v>
      </c>
      <c r="IK31" s="24">
        <f>AC31</f>
        <v>0.8</v>
      </c>
      <c r="IL31" s="24">
        <f>AC31</f>
        <v>0.8</v>
      </c>
      <c r="IM31" s="24">
        <f>AC31</f>
        <v>0.8</v>
      </c>
      <c r="IN31" s="24">
        <v>0</v>
      </c>
      <c r="IO31" s="24">
        <f>P31</f>
        <v>0</v>
      </c>
      <c r="IP31" s="24">
        <f>P31*(1-II31)</f>
        <v>0</v>
      </c>
      <c r="IQ31" s="24">
        <f>P31*(1-IJ31)</f>
        <v>0</v>
      </c>
      <c r="IR31" s="24">
        <f>P31*(1-IK31)</f>
        <v>0</v>
      </c>
      <c r="IS31" s="24">
        <f>P31*(1-IL31)</f>
        <v>0</v>
      </c>
      <c r="IT31" s="24">
        <f>P31*(1-IM31)</f>
        <v>0</v>
      </c>
    </row>
    <row r="32">
      <c r="A32" s="25">
        <v>25</v>
      </c>
      <c r="B32" s="23" t="str">
        <f>IF('Rent Roll'!C32="","",'Rent Roll'!C32)</f>
        <v/>
      </c>
      <c r="C32" s="24">
        <f>IF(ISNUMBER('Rent Roll'!E32),MAX(0,'Rent Roll'!E32),0)</f>
        <v>0</v>
      </c>
      <c r="D32" s="88">
        <f>IF(a_GLA&gt;0,C32/a_GLA,0)</f>
        <v>0</v>
      </c>
      <c r="E32" s="29">
        <f>IF(BC32=1,ROUND(BD32*(1+X32)^(F32/12),2),BD32)</f>
        <v>0</v>
      </c>
      <c r="F32" s="24">
        <f>IF(C32&gt;0,MAX(0,(YEAR(IF(ISNUMBER('Rent Roll'!G32),'Rent Roll'!G32,0))-YEAR(in_AnalysisStart))*12+MONTH(IF(ISNUMBER('Rent Roll'!G32),'Rent Roll'!G32,0))-MONTH(in_AnalysisStart)),0)</f>
        <v>0</v>
      </c>
      <c r="G32" s="24">
        <f>IF(C32&gt;0,MAX(0,(YEAR(IF(ISNUMBER('Rent Roll'!H32),'Rent Roll'!H32,0))-YEAR(in_AnalysisStart))*12+MONTH(IF(ISNUMBER('Rent Roll'!H32),'Rent Roll'!H32,0))-MONTH(in_AnalysisStart)+1-F32),0)</f>
        <v>0</v>
      </c>
      <c r="H32" s="24">
        <f>IF(ISNUMBER('Rent Roll'!N32),'Rent Roll'!N32,0)</f>
        <v>0</v>
      </c>
      <c r="I32" s="88">
        <f>IF(ISNUMBER('Rent Roll'!L32),'Rent Roll'!L32,0)</f>
        <v>0</v>
      </c>
      <c r="J32" s="24">
        <f>MAX(1,ROUND(IF(ISNUMBER('Rent Roll'!M32),'Rent Roll'!M32,0),0))</f>
        <v>1</v>
      </c>
      <c r="K32" s="29">
        <f>IF(ISNUMBER('Rent Roll'!AJ32),'Rent Roll'!AJ32,0)</f>
        <v>0</v>
      </c>
      <c r="L32" s="88">
        <f>IF(IF(ISNUMBER('Rent Roll'!AK32),'Rent Roll'!AK32,0)&gt;0,'Rent Roll'!AK32,a_LeaseUpLC)</f>
        <v>0.06</v>
      </c>
      <c r="M32" s="24">
        <f>IF('Rent Roll'!R32="",0,IFERROR(MATCH('Rent Roll'!R32,a_PName,0),0))</f>
        <v>0</v>
      </c>
      <c r="N32" s="24">
        <f>IF(M32&gt;0,1,0)</f>
        <v>0</v>
      </c>
      <c r="O32" s="29">
        <f>IF(IF(ISNUMBER('Rent Roll'!S32),'Rent Roll'!S32,0)&gt;0,'Rent Roll'!S32,IF(M32&gt;0,IF(ISNUMBER(INDEX(a_PRent,M32)),INDEX(a_PRent,M32),0),0))</f>
        <v>0</v>
      </c>
      <c r="P32" s="24">
        <f>IF(M32&gt;0,IF(ISNUMBER(INDEX(a_PDown,M32)),INDEX(a_PDown,M32),0),0)</f>
        <v>0</v>
      </c>
      <c r="Q32" s="24">
        <f>IF(M32&gt;0,MAX(1,IF(ISNUMBER(INDEX(a_PTerm,M32)),INDEX(a_PTerm,M32),0)),5)</f>
        <v>5</v>
      </c>
      <c r="R32" s="29">
        <f>IF(M32&gt;0,IF(ISNUMBER(INDEX(a_PTiNew,M32)),INDEX(a_PTiNew,M32),0),0)</f>
        <v>0</v>
      </c>
      <c r="S32" s="29">
        <f>IF(M32&gt;0,IF(ISNUMBER(INDEX(a_PTiRen,M32)),INDEX(a_PTiRen,M32),0),0)</f>
        <v>0</v>
      </c>
      <c r="T32" s="88">
        <f>IF(M32&gt;0,IF(ISNUMBER(INDEX(a_PLcNew,M32)),INDEX(a_PLcNew,M32),0),0)</f>
        <v>0</v>
      </c>
      <c r="U32" s="88">
        <f>IF(M32&gt;0,IF(ISNUMBER(INDEX(a_PLcRen,M32)),INDEX(a_PLcRen,M32),0),0)</f>
        <v>0</v>
      </c>
      <c r="V32" s="88">
        <f>IF(M32&gt;0,IF(ISNUMBER(INDEX(a_PBump,M32)),INDEX(a_PBump,M32),0),0)</f>
        <v>0</v>
      </c>
      <c r="W32" s="24">
        <f>MAX(1,ROUND(IF(M32&gt;0,IF(ISNUMBER(INDEX(a_PEvery,M32)),INDEX(a_PEvery,M32),0),1),0))</f>
        <v>1</v>
      </c>
      <c r="X32" s="88">
        <f>IF(M32&gt;0,IF(ISNUMBER(INDEX(a_PGrow,M32)),INDEX(a_PGrow,M32),in_RentGrowth),in_RentGrowth)</f>
        <v>0.03</v>
      </c>
      <c r="Y32" s="24">
        <f>IF(M32&gt;0,IF(ISNUMBER(INDEX(a_PFreeNew,M32)),INDEX(a_PFreeNew,M32),0),0)</f>
        <v>0</v>
      </c>
      <c r="Z32" s="24">
        <f>IF(M32&gt;0,IF(ISNUMBER(INDEX(a_PFreeRen,M32)),INDEX(a_PFreeRen,M32),0),0)</f>
        <v>0</v>
      </c>
      <c r="AA32" s="88">
        <f>IF(M32&gt;0,IF(ISNUMBER(INDEX(a_PRenPct,M32)),INDEX(a_PRenPct,M32),1),1)</f>
        <v>1</v>
      </c>
      <c r="AB32" s="24">
        <f>IF(M32&gt;0,IF(ISNUMBER(INDEX(a_PAF,M32)),INDEX(a_PAF,M32),0),0)</f>
        <v>0</v>
      </c>
      <c r="AC32" s="88">
        <f>IF(ISNUMBER('Rent Roll'!V32),'Rent Roll'!V32,IF(M32&gt;0,IF(ISNUMBER(INDEX(a_PRenew,M32)),INDEX(a_PRenew,M32),0),0.8))</f>
        <v>0.8</v>
      </c>
      <c r="AD32" s="23" t="str">
        <f>IF('Rent Roll'!W32="","Probability",'Rent Roll'!W32)</f>
        <v>Probability</v>
      </c>
      <c r="AE32" s="88">
        <f>IF(AD32="Renew",1,IF(AD32="Vacate",0,AC32))</f>
        <v>0.8</v>
      </c>
      <c r="AF32" s="88">
        <f>IF(AD32="Renew",1,IF(ISNUMBER('Rent Roll'!AA32),'Rent Roll'!AA32,AC32))</f>
        <v>0.8</v>
      </c>
      <c r="AG32" s="24">
        <f>IF(AND(N32=1,IF(ISNUMBER('Rent Roll'!Y32),'Rent Roll'!Y32,0)&gt;0,IF(ISNUMBER('Rent Roll'!Z32),'Rent Roll'!Z32,0)&gt;0,AF32&gt;0,AD32&lt;&gt;"Vacate",C32&gt;0),1,0)</f>
        <v>0</v>
      </c>
      <c r="AH32" s="24">
        <f>ROUND(12*IF(ISNUMBER('Rent Roll'!Y32),'Rent Roll'!Y32,0),0)</f>
        <v>0</v>
      </c>
      <c r="AI32" s="29">
        <f>IF(ISNUMBER('Rent Roll'!Z32),'Rent Roll'!Z32,0)</f>
        <v>0</v>
      </c>
      <c r="AJ32" s="24">
        <f>IF('Rent Roll'!P32="Base year",1,0)</f>
        <v>0</v>
      </c>
      <c r="AK32" s="88">
        <f>IF(ISNUMBER('Rent Roll'!Q32),'Rent Roll'!Q32,0)</f>
        <v>0</v>
      </c>
      <c r="AL32" s="24">
        <f>IF(AND('Rent Roll'!AH32="Yes",a_AnchorInVac&lt;&gt;"Yes"),1,0)</f>
        <v>0</v>
      </c>
      <c r="AM32" s="29">
        <f>IF(ISNUMBER('Rent Roll'!AL32),'Rent Roll'!AL32,0)</f>
        <v>0</v>
      </c>
      <c r="AN32" s="88">
        <f>IF(ISNUMBER('Rent Roll'!AM32),'Rent Roll'!AM32,0)</f>
        <v>0</v>
      </c>
      <c r="AO32" s="88">
        <f>IF(AND(BC32=1,N32=1),V32,I32)</f>
        <v>0</v>
      </c>
      <c r="AP32" s="24">
        <f>IF(AND(BC32=1,N32=1),W32,J32)</f>
        <v>1</v>
      </c>
      <c r="AQ32" s="24">
        <f>IF(AO32=0,G32/12,AP32*((1+AO32)^INT(INT(G32/12)/AP32)-1)/AO32+(INT(G32/12)-INT(INT(G32/12)/AP32)*AP32)*(1+AO32)^INT(INT(G32/12)/AP32)+(G32/12-INT(G32/12))*(1+AO32)^INT(INT(G32/12)/AP32))</f>
        <v>0</v>
      </c>
      <c r="AR32" s="24">
        <f>IF(AND(C32&gt;0,BU32&lt;9999,BU32&gt;0),INT((BU32-1)/12)+1,0)</f>
        <v>0</v>
      </c>
      <c r="AS32" s="24">
        <f>COUNTIF('Lease Cycles'!$BG$32:$BM$32,"&lt;132")</f>
        <v>0</v>
      </c>
      <c r="AT32" s="24">
        <f>IF(AND(ISNUMBER('Rent Roll'!AR32),IF(ISNUMBER('Rent Roll'!AS32),'Rent Roll'!AS32,0)&gt;0),(YEAR('Rent Roll'!AR32)-YEAR(in_AnalysisStart))*12+MONTH('Rent Roll'!AR32)-MONTH(in_AnalysisStart),9999)</f>
        <v>9999</v>
      </c>
      <c r="AU32" s="29">
        <f>IF(ISNUMBER('Rent Roll'!AS32),'Rent Roll'!AS32,0)</f>
        <v>0</v>
      </c>
      <c r="AV32" s="24">
        <f>IF(AND(ISNUMBER('Rent Roll'!AT32),IF(ISNUMBER('Rent Roll'!AU32),'Rent Roll'!AU32,0)&gt;0),(YEAR('Rent Roll'!AT32)-YEAR(in_AnalysisStart))*12+MONTH('Rent Roll'!AT32)-MONTH(in_AnalysisStart),9999)</f>
        <v>9999</v>
      </c>
      <c r="AW32" s="29">
        <f>IF(ISNUMBER('Rent Roll'!AU32),'Rent Roll'!AU32,0)</f>
        <v>0</v>
      </c>
      <c r="AX32" s="24">
        <f>IF(AND(ISNUMBER('Rent Roll'!AV32),IF(ISNUMBER('Rent Roll'!AW32),'Rent Roll'!AW32,0)&gt;0),(YEAR('Rent Roll'!AV32)-YEAR(in_AnalysisStart))*12+MONTH('Rent Roll'!AV32)-MONTH(in_AnalysisStart),9999)</f>
        <v>9999</v>
      </c>
      <c r="AY32" s="29">
        <f>IF(ISNUMBER('Rent Roll'!AW32),'Rent Roll'!AW32,0)</f>
        <v>0</v>
      </c>
      <c r="AZ32" s="24">
        <f>IF(AND(ISNUMBER('Rent Roll'!AX32),IF(ISNUMBER('Rent Roll'!AY32),'Rent Roll'!AY32,0)&gt;0),(YEAR('Rent Roll'!AX32)-YEAR(in_AnalysisStart))*12+MONTH('Rent Roll'!AX32)-MONTH(in_AnalysisStart),9999)</f>
        <v>9999</v>
      </c>
      <c r="BA32" s="29">
        <f>IF(ISNUMBER('Rent Roll'!AY32),'Rent Roll'!AY32,0)</f>
        <v>0</v>
      </c>
      <c r="BB32" s="29">
        <f>IF(BU32&gt;=9999,O32,O32*(1+X32)^((BU32-F32)/12))</f>
        <v>0</v>
      </c>
      <c r="BC32" s="24">
        <f>IF(AND('Rent Roll'!AZ32="Yes",F32&gt;0,BD32&gt;0,AT32&gt;=9999),1,0)</f>
        <v>0</v>
      </c>
      <c r="BD32" s="29">
        <f>IF(ISNUMBER('Rent Roll'!I32),'Rent Roll'!I32,0)</f>
        <v>0</v>
      </c>
      <c r="BE32" s="24">
        <f>IF(a_MarketRecovery="Base year",1,0)</f>
        <v>0</v>
      </c>
      <c r="BG32" s="24">
        <f>IF(C32&gt;0,F32,9999)</f>
        <v>9999</v>
      </c>
      <c r="BH32" s="24">
        <f>BU32</f>
        <v>9999</v>
      </c>
      <c r="BI32" s="24">
        <f>IF(OR(N32=0,BV32&gt;=9999),9999,IF(AG32=1,BV32,INT(BV32+IP32)))</f>
        <v>9999</v>
      </c>
      <c r="BJ32" s="24">
        <f>IF(OR(N32=0,BW32&gt;=9999),9999,INT(BW32+IQ32))</f>
        <v>9999</v>
      </c>
      <c r="BK32" s="24">
        <f>IF(OR(N32=0,BX32&gt;=9999),9999,INT(BX32+IR32))</f>
        <v>9999</v>
      </c>
      <c r="BL32" s="24">
        <f>IF(OR(N32=0,BY32&gt;=9999),9999,INT(BY32+IS32))</f>
        <v>9999</v>
      </c>
      <c r="BM32" s="24">
        <f>IF(OR(N32=0,BZ32&gt;=9999),9999,INT(BZ32+IT32))</f>
        <v>9999</v>
      </c>
      <c r="BN32" s="24">
        <f>G32</f>
        <v>0</v>
      </c>
      <c r="BO32" s="24">
        <f>IF(AG32=1,AH32,0)</f>
        <v>0</v>
      </c>
      <c r="BP32" s="24">
        <f>MAX(12,ROUND(12*Q32,0))</f>
        <v>60</v>
      </c>
      <c r="BQ32" s="24">
        <f>MAX(12,ROUND(12*Q32,0))</f>
        <v>60</v>
      </c>
      <c r="BR32" s="24">
        <f>MAX(12,ROUND(12*Q32,0))</f>
        <v>60</v>
      </c>
      <c r="BS32" s="24">
        <f>MAX(12,ROUND(12*Q32,0))</f>
        <v>60</v>
      </c>
      <c r="BT32" s="24">
        <f>MAX(12,ROUND(12*Q32,0))</f>
        <v>60</v>
      </c>
      <c r="BU32" s="24">
        <f>BG32+BN32</f>
        <v>9999</v>
      </c>
      <c r="BV32" s="24">
        <f>BH32+BO32</f>
        <v>9999</v>
      </c>
      <c r="BW32" s="24">
        <f>IF(BI32&gt;=9999,9999,BI32+BP32)</f>
        <v>9999</v>
      </c>
      <c r="BX32" s="24">
        <f>IF(BJ32&gt;=9999,9999,BJ32+BQ32)</f>
        <v>9999</v>
      </c>
      <c r="BY32" s="24">
        <f>IF(BK32&gt;=9999,9999,BK32+BR32)</f>
        <v>9999</v>
      </c>
      <c r="BZ32" s="24">
        <f>IF(BL32&gt;=9999,9999,BL32+BS32)</f>
        <v>9999</v>
      </c>
      <c r="CA32" s="24">
        <f>IF(BM32&gt;=9999,9999,BM32+BT32)</f>
        <v>9999</v>
      </c>
      <c r="CB32" s="24">
        <f>E32</f>
        <v>0</v>
      </c>
      <c r="CC32" s="24">
        <f>AI32</f>
        <v>0</v>
      </c>
      <c r="CD32" s="24">
        <f>IF(BI32&gt;=9999,0,O32*(1+X32)^((BI32-F32)/12)*(AA32*II32+1-II32))</f>
        <v>0</v>
      </c>
      <c r="CE32" s="24">
        <f>IF(BJ32&gt;=9999,0,O32*(1+X32)^((BJ32-F32)/12)*(AA32*IJ32+1-IJ32))</f>
        <v>0</v>
      </c>
      <c r="CF32" s="24">
        <f>IF(BK32&gt;=9999,0,O32*(1+X32)^((BK32-F32)/12)*(AA32*IK32+1-IK32))</f>
        <v>0</v>
      </c>
      <c r="CG32" s="24">
        <f>IF(BL32&gt;=9999,0,O32*(1+X32)^((BL32-F32)/12)*(AA32*IL32+1-IL32))</f>
        <v>0</v>
      </c>
      <c r="CH32" s="24">
        <f>IF(BM32&gt;=9999,0,O32*(1+X32)^((BM32-F32)/12)*(AA32*IM32+1-IM32))</f>
        <v>0</v>
      </c>
      <c r="CI32" s="24">
        <f>AO32</f>
        <v>0</v>
      </c>
      <c r="CJ32" s="24">
        <f>I32</f>
        <v>0</v>
      </c>
      <c r="CK32" s="24">
        <f>V32</f>
        <v>0</v>
      </c>
      <c r="CL32" s="24">
        <f>V32</f>
        <v>0</v>
      </c>
      <c r="CM32" s="24">
        <f>V32</f>
        <v>0</v>
      </c>
      <c r="CN32" s="24">
        <f>V32</f>
        <v>0</v>
      </c>
      <c r="CO32" s="24">
        <f>V32</f>
        <v>0</v>
      </c>
      <c r="CP32" s="24">
        <f>AP32</f>
        <v>1</v>
      </c>
      <c r="CQ32" s="24">
        <f>J32</f>
        <v>1</v>
      </c>
      <c r="CR32" s="24">
        <f>W32</f>
        <v>1</v>
      </c>
      <c r="CS32" s="24">
        <f>W32</f>
        <v>1</v>
      </c>
      <c r="CT32" s="24">
        <f>W32</f>
        <v>1</v>
      </c>
      <c r="CU32" s="24">
        <f>W32</f>
        <v>1</v>
      </c>
      <c r="CV32" s="24">
        <f>W32</f>
        <v>1</v>
      </c>
      <c r="CW32" s="24">
        <f>H32</f>
        <v>0</v>
      </c>
      <c r="CX32" s="24">
        <v>0</v>
      </c>
      <c r="CY32" s="24">
        <f>Y32*(1-II32)+Z32*II32</f>
        <v>0</v>
      </c>
      <c r="CZ32" s="24">
        <f>Y32*(1-IJ32)+Z32*IJ32</f>
        <v>0</v>
      </c>
      <c r="DA32" s="24">
        <f>Y32*(1-IK32)+Z32*IK32</f>
        <v>0</v>
      </c>
      <c r="DB32" s="24">
        <f>Y32*(1-IL32)+Z32*IL32</f>
        <v>0</v>
      </c>
      <c r="DC32" s="24">
        <f>Y32*(1-IM32)+Z32*IM32</f>
        <v>0</v>
      </c>
      <c r="DD32" s="24">
        <v>0</v>
      </c>
      <c r="DE32" s="24">
        <v>0</v>
      </c>
      <c r="DF32" s="24">
        <f>IF(BI32&gt;=9999,0,IF(AG32=1,0,BV32+IP32-BI32))</f>
        <v>0</v>
      </c>
      <c r="DG32" s="24">
        <f>IF(BJ32&gt;=9999,0,BW32+IQ32-BJ32)</f>
        <v>0</v>
      </c>
      <c r="DH32" s="24">
        <f>IF(BK32&gt;=9999,0,BX32+IR32-BK32)</f>
        <v>0</v>
      </c>
      <c r="DI32" s="24">
        <f>IF(BL32&gt;=9999,0,BY32+IS32-BL32)</f>
        <v>0</v>
      </c>
      <c r="DJ32" s="24">
        <f>IF(BM32&gt;=9999,0,BZ32+IT32-BM32)</f>
        <v>0</v>
      </c>
      <c r="DK32" s="24">
        <f>INT(CW32+DD32)</f>
        <v>0</v>
      </c>
      <c r="DL32" s="24">
        <v>0</v>
      </c>
      <c r="DM32" s="24">
        <f>INT(CY32+DF32)</f>
        <v>0</v>
      </c>
      <c r="DN32" s="24">
        <f>INT(CZ32+DG32)</f>
        <v>0</v>
      </c>
      <c r="DO32" s="24">
        <f>INT(DA32+DH32)</f>
        <v>0</v>
      </c>
      <c r="DP32" s="24">
        <f>INT(DB32+DI32)</f>
        <v>0</v>
      </c>
      <c r="DQ32" s="24">
        <f>INT(DC32+DJ32)</f>
        <v>0</v>
      </c>
      <c r="DR32" s="24">
        <f>CW32+DD32-DK32</f>
        <v>0</v>
      </c>
      <c r="DS32" s="24">
        <v>0</v>
      </c>
      <c r="DT32" s="24">
        <f>CY32+DF32-DM32</f>
        <v>0</v>
      </c>
      <c r="DU32" s="24">
        <f>CZ32+DG32-DN32</f>
        <v>0</v>
      </c>
      <c r="DV32" s="24">
        <f>DA32+DH32-DO32</f>
        <v>0</v>
      </c>
      <c r="DW32" s="24">
        <f>DB32+DI32-DP32</f>
        <v>0</v>
      </c>
      <c r="DX32" s="24">
        <f>DC32+DJ32-DQ32</f>
        <v>0</v>
      </c>
      <c r="DY32" s="24">
        <v>1</v>
      </c>
      <c r="DZ32" s="24">
        <v>1</v>
      </c>
      <c r="EA32" s="24">
        <v>0</v>
      </c>
      <c r="EB32" s="24">
        <v>0</v>
      </c>
      <c r="EC32" s="24">
        <v>0</v>
      </c>
      <c r="ED32" s="24">
        <v>0</v>
      </c>
      <c r="EE32" s="24">
        <v>0</v>
      </c>
      <c r="EF32" s="24">
        <v>0</v>
      </c>
      <c r="EG32" s="24">
        <f>IF(AG32=1,1,2)</f>
        <v>2</v>
      </c>
      <c r="EH32" s="24">
        <v>0</v>
      </c>
      <c r="EI32" s="24">
        <v>0</v>
      </c>
      <c r="EJ32" s="24">
        <v>0</v>
      </c>
      <c r="EK32" s="24">
        <v>0</v>
      </c>
      <c r="EL32" s="24">
        <v>0</v>
      </c>
      <c r="EM32" s="24">
        <v>1</v>
      </c>
      <c r="EN32" s="24">
        <f>IF(AG32=1,AF32,1)</f>
        <v>1</v>
      </c>
      <c r="EO32" s="24">
        <v>1</v>
      </c>
      <c r="EP32" s="24">
        <v>1</v>
      </c>
      <c r="EQ32" s="24">
        <v>1</v>
      </c>
      <c r="ER32" s="24">
        <v>1</v>
      </c>
      <c r="ES32" s="24">
        <v>1</v>
      </c>
      <c r="ET32" s="24">
        <v>0</v>
      </c>
      <c r="EU32" s="24">
        <f>BB32</f>
        <v>0</v>
      </c>
      <c r="EV32" s="24">
        <v>0</v>
      </c>
      <c r="EW32" s="24">
        <v>0</v>
      </c>
      <c r="EX32" s="24">
        <v>0</v>
      </c>
      <c r="EY32" s="24">
        <v>0</v>
      </c>
      <c r="EZ32" s="24">
        <v>0</v>
      </c>
      <c r="FA32" s="24">
        <v>0</v>
      </c>
      <c r="FB32" s="24">
        <f>ROUND(P32,0)</f>
        <v>0</v>
      </c>
      <c r="FC32" s="24">
        <v>0</v>
      </c>
      <c r="FD32" s="24">
        <v>0</v>
      </c>
      <c r="FE32" s="24">
        <v>0</v>
      </c>
      <c r="FF32" s="24">
        <v>0</v>
      </c>
      <c r="FG32" s="24">
        <v>0</v>
      </c>
      <c r="FH32" s="24">
        <f>AK32</f>
        <v>0</v>
      </c>
      <c r="FI32" s="24">
        <f>IF(AG32=1,AK32*AF32,FH32)</f>
        <v>0</v>
      </c>
      <c r="FJ32" s="24">
        <f>FI32*II32</f>
        <v>0</v>
      </c>
      <c r="FK32" s="24">
        <f>FJ32*IJ32</f>
        <v>0</v>
      </c>
      <c r="FL32" s="24">
        <f>FK32*IK32</f>
        <v>0</v>
      </c>
      <c r="FM32" s="24">
        <f>FL32*IL32</f>
        <v>0</v>
      </c>
      <c r="FN32" s="24">
        <f>FM32*IM32</f>
        <v>0</v>
      </c>
      <c r="FO32" s="24">
        <v>1</v>
      </c>
      <c r="FP32" s="24">
        <f>FV32</f>
        <v>1</v>
      </c>
      <c r="FQ32" s="24">
        <f>FW32*II32</f>
        <v>0.8</v>
      </c>
      <c r="FR32" s="24">
        <f>FX32*IJ32</f>
        <v>0.6400000000000001</v>
      </c>
      <c r="FS32" s="24">
        <f>FY32*IK32</f>
        <v>0.5120000000000001</v>
      </c>
      <c r="FT32" s="24">
        <f>FZ32*IL32</f>
        <v>0.40960000000000013</v>
      </c>
      <c r="FU32" s="24">
        <f>GA32*IM32</f>
        <v>0.32768000000000014</v>
      </c>
      <c r="FV32" s="24">
        <v>1</v>
      </c>
      <c r="FW32" s="24">
        <f>IF(AG32=1,FP32*AF32,FV32)</f>
        <v>1</v>
      </c>
      <c r="FX32" s="24">
        <f>FQ32</f>
        <v>0.8</v>
      </c>
      <c r="FY32" s="24">
        <f>FR32</f>
        <v>0.6400000000000001</v>
      </c>
      <c r="FZ32" s="24">
        <f>FS32</f>
        <v>0.5120000000000001</v>
      </c>
      <c r="GA32" s="24">
        <f>FT32</f>
        <v>0.40960000000000013</v>
      </c>
      <c r="GB32" s="24">
        <f>FU32</f>
        <v>0.32768000000000014</v>
      </c>
      <c r="GC32" s="24">
        <v>0</v>
      </c>
      <c r="GD32" s="24">
        <f>GC32</f>
        <v>0</v>
      </c>
      <c r="GE32" s="24">
        <f>IF(BI32&gt;=9999,0,INT(BI32/12))</f>
        <v>0</v>
      </c>
      <c r="GF32" s="24">
        <f>IF(BJ32&gt;=9999,0,INT(BJ32/12))</f>
        <v>0</v>
      </c>
      <c r="GG32" s="24">
        <f>IF(BK32&gt;=9999,0,INT(BK32/12))</f>
        <v>0</v>
      </c>
      <c r="GH32" s="24">
        <f>IF(BL32&gt;=9999,0,INT(BL32/12))</f>
        <v>0</v>
      </c>
      <c r="GI32" s="24">
        <f>IF(BM32&gt;=9999,0,INT(BM32/12))</f>
        <v>0</v>
      </c>
      <c r="GJ32" s="24">
        <f>BG32</f>
        <v>9999</v>
      </c>
      <c r="GK32" s="24">
        <f>IF(AG32=1,BH32,GJ32)</f>
        <v>9999</v>
      </c>
      <c r="GL32" s="24">
        <f>BI32</f>
        <v>9999</v>
      </c>
      <c r="GM32" s="24">
        <f>BJ32</f>
        <v>9999</v>
      </c>
      <c r="GN32" s="24">
        <f>BK32</f>
        <v>9999</v>
      </c>
      <c r="GO32" s="24">
        <f>BL32</f>
        <v>9999</v>
      </c>
      <c r="GP32" s="24">
        <f>BM32</f>
        <v>9999</v>
      </c>
      <c r="GQ32" s="24">
        <f>CI32</f>
        <v>0</v>
      </c>
      <c r="GR32" s="24">
        <f>IF(AG32=1,I32,GQ32)</f>
        <v>0</v>
      </c>
      <c r="GS32" s="24">
        <f>V32</f>
        <v>0</v>
      </c>
      <c r="GT32" s="24">
        <f>V32</f>
        <v>0</v>
      </c>
      <c r="GU32" s="24">
        <f>V32</f>
        <v>0</v>
      </c>
      <c r="GV32" s="24">
        <f>V32</f>
        <v>0</v>
      </c>
      <c r="GW32" s="24">
        <f>V32</f>
        <v>0</v>
      </c>
      <c r="GX32" s="24">
        <f>CP32</f>
        <v>1</v>
      </c>
      <c r="GY32" s="24">
        <f>IF(AG32=1,J32,GX32)</f>
        <v>1</v>
      </c>
      <c r="GZ32" s="24">
        <f>W32</f>
        <v>1</v>
      </c>
      <c r="HA32" s="24">
        <f>W32</f>
        <v>1</v>
      </c>
      <c r="HB32" s="24">
        <f>W32</f>
        <v>1</v>
      </c>
      <c r="HC32" s="24">
        <f>W32</f>
        <v>1</v>
      </c>
      <c r="HD32" s="24">
        <f>W32</f>
        <v>1</v>
      </c>
      <c r="HE32" s="24">
        <f>IF(BU32&gt;=9999,1,(1+X32)^(BU32/12))</f>
        <v>1</v>
      </c>
      <c r="HF32" s="24">
        <f>IF(AG32=1,IF(BV32&gt;=9999,1,(1+X32)^(BV32/12)),HE32)</f>
        <v>1</v>
      </c>
      <c r="HG32" s="24">
        <f>IF(BW32&gt;=9999,1,(1+X32)^(BW32/12))</f>
        <v>1</v>
      </c>
      <c r="HH32" s="24">
        <f>IF(BX32&gt;=9999,1,(1+X32)^(BX32/12))</f>
        <v>1</v>
      </c>
      <c r="HI32" s="24">
        <f>IF(BY32&gt;=9999,1,(1+X32)^(BY32/12))</f>
        <v>1</v>
      </c>
      <c r="HJ32" s="24">
        <f>IF(BZ32&gt;=9999,1,(1+X32)^(BZ32/12))</f>
        <v>1</v>
      </c>
      <c r="HK32" s="24">
        <f>IF(CA32&gt;=9999,1,(1+X32)^(CA32/12))</f>
        <v>1</v>
      </c>
      <c r="HL32" s="24">
        <f>IF(AND(F32&gt;0,C32&gt;0),F32,-1)</f>
        <v>-1</v>
      </c>
      <c r="HM32" s="24">
        <f>IF(AG32=1,BU32+FB32,-1)</f>
        <v>-1</v>
      </c>
      <c r="HN32" s="24">
        <f>IF(BI32&gt;=9999,-1,BV32+ROUND(IP32,0))</f>
        <v>-1</v>
      </c>
      <c r="HO32" s="24">
        <f>IF(BJ32&gt;=9999,-1,IF(HN32&lt;0,BW32,HN32+BP32)+ROUND(IQ32,0))</f>
        <v>-1</v>
      </c>
      <c r="HP32" s="24">
        <f>IF(BK32&gt;=9999,-1,IF(HO32&lt;0,BX32,HO32+BQ32)+ROUND(IR32,0))</f>
        <v>-1</v>
      </c>
      <c r="HQ32" s="24">
        <f>IF(BL32&gt;=9999,-1,IF(HP32&lt;0,BY32,HP32+BR32)+ROUND(IS32,0))</f>
        <v>-1</v>
      </c>
      <c r="HR32" s="24">
        <f>IF(BM32&gt;=9999,-1,IF(HQ32&lt;0,BZ32,HQ32+BS32)+ROUND(IT32,0))</f>
        <v>-1</v>
      </c>
      <c r="HS32" s="24">
        <f>IF(HL32&lt;0,0,C32*K32)</f>
        <v>0</v>
      </c>
      <c r="HT32" s="24">
        <f>IF(AG32=1,C32*R32*(1+in_ExpenseGrowth)^(HM32/12)*(1-AF32),0)</f>
        <v>0</v>
      </c>
      <c r="HU32" s="24">
        <f>IF(HN32&lt;0,0,C32*(S32*II32+R32*(1-II32))*(1+in_ExpenseGrowth)^(HN32/12))</f>
        <v>0</v>
      </c>
      <c r="HV32" s="24">
        <f>IF(HO32&lt;0,0,C32*(S32*IJ32+R32*(1-IJ32))*(1+in_ExpenseGrowth)^(HO32/12))</f>
        <v>0</v>
      </c>
      <c r="HW32" s="24">
        <f>IF(HP32&lt;0,0,C32*(S32*IK32+R32*(1-IK32))*(1+in_ExpenseGrowth)^(HP32/12))</f>
        <v>0</v>
      </c>
      <c r="HX32" s="24">
        <f>IF(HQ32&lt;0,0,C32*(S32*IL32+R32*(1-IL32))*(1+in_ExpenseGrowth)^(HQ32/12))</f>
        <v>0</v>
      </c>
      <c r="HY32" s="24">
        <f>IF(HR32&lt;0,0,C32*(S32*IM32+R32*(1-IM32))*(1+in_ExpenseGrowth)^(HR32/12))</f>
        <v>0</v>
      </c>
      <c r="HZ32" s="24">
        <f>IF(HL32&lt;0,0,L32*C32*E32*AQ32)</f>
        <v>0</v>
      </c>
      <c r="IA32" s="24">
        <f>IF(AG32=1,T32*C32*O32*(1+X32)^(MAX(0,HM32-F32)/12)*AB32*(1-AF32),0)</f>
        <v>0</v>
      </c>
      <c r="IB32" s="24">
        <f>IF(HN32&lt;0,0,(U32*II32+T32*(1-II32))*C32*O32*(1+X32)^(MAX(0,HN32-F32)/12)*(AA32*II32+1-II32)*AB32)</f>
        <v>0</v>
      </c>
      <c r="IC32" s="24">
        <f>IF(HO32&lt;0,0,(U32*IJ32+T32*(1-IJ32))*C32*O32*(1+X32)^(MAX(0,HO32-F32)/12)*(AA32*IJ32+1-IJ32)*AB32)</f>
        <v>0</v>
      </c>
      <c r="ID32" s="24">
        <f>IF(HP32&lt;0,0,(U32*IK32+T32*(1-IK32))*C32*O32*(1+X32)^(MAX(0,HP32-F32)/12)*(AA32*IK32+1-IK32)*AB32)</f>
        <v>0</v>
      </c>
      <c r="IE32" s="24">
        <f>IF(HQ32&lt;0,0,(U32*IL32+T32*(1-IL32))*C32*O32*(1+X32)^(MAX(0,HQ32-F32)/12)*(AA32*IL32+1-IL32)*AB32)</f>
        <v>0</v>
      </c>
      <c r="IF32" s="24">
        <f>IF(HR32&lt;0,0,(U32*IM32+T32*(1-IM32))*C32*O32*(1+X32)^(MAX(0,HR32-F32)/12)*(AA32*IM32+1-IM32)*AB32)</f>
        <v>0</v>
      </c>
      <c r="IG32" s="24">
        <v>1</v>
      </c>
      <c r="IH32" s="24">
        <f>IF(AG32=1,AF32,1)</f>
        <v>1</v>
      </c>
      <c r="II32" s="24">
        <f>IF(AG32=1,AC32,AE32)</f>
        <v>0.8</v>
      </c>
      <c r="IJ32" s="24">
        <f>AC32</f>
        <v>0.8</v>
      </c>
      <c r="IK32" s="24">
        <f>AC32</f>
        <v>0.8</v>
      </c>
      <c r="IL32" s="24">
        <f>AC32</f>
        <v>0.8</v>
      </c>
      <c r="IM32" s="24">
        <f>AC32</f>
        <v>0.8</v>
      </c>
      <c r="IN32" s="24">
        <v>0</v>
      </c>
      <c r="IO32" s="24">
        <f>P32</f>
        <v>0</v>
      </c>
      <c r="IP32" s="24">
        <f>P32*(1-II32)</f>
        <v>0</v>
      </c>
      <c r="IQ32" s="24">
        <f>P32*(1-IJ32)</f>
        <v>0</v>
      </c>
      <c r="IR32" s="24">
        <f>P32*(1-IK32)</f>
        <v>0</v>
      </c>
      <c r="IS32" s="24">
        <f>P32*(1-IL32)</f>
        <v>0</v>
      </c>
      <c r="IT32" s="24">
        <f>P32*(1-IM32)</f>
        <v>0</v>
      </c>
    </row>
  </sheetData>
  <sheetProtection sheet="1" objects="1" scenarios="1" formatColumns="0" formatRows="0" autoFilter="0"/>
  <hyperlinks>
    <hyperlink ref="I2" location="'Executive Summary'!A1" display="Back to summary"/>
  </hyperlinks>
  <pageMargins left="0.5" right="0.5" top="0.6" bottom="0.6" header="0.3" footer="0.3"/>
  <ignoredErrors>
    <ignoredError sqref="A1:IT32" numberStoredAsText="1" formula="1" formulaRange="1" unlockedFormula="1" emptyCellReference="1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5B7C93"/>
  </sheetPr>
  <dimension ref="B1:O50"/>
  <sheetViews>
    <sheetView workbookViewId="0" showGridLines="0" zoomScale="90" zoomScaleNormal="90"/>
  </sheetViews>
  <sheetFormatPr defaultRowHeight="15"/>
  <cols>
    <col min="1" max="1" width="2.5" customWidth="1"/>
    <col min="2" max="2" width="46" customWidth="1"/>
    <col min="3" max="3" width="8" customWidth="1"/>
    <col min="4" max="15" width="13" customWidth="1"/>
  </cols>
  <sheetData>
    <row r="1" ht="20" customHeight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6" customHeight="1">
      <c r="B2" s="3" t="s">
        <v>944</v>
      </c>
      <c r="I2" s="30" t="s">
        <v>65</v>
      </c>
    </row>
    <row r="3">
      <c r="B3" s="4" t="s">
        <v>2</v>
      </c>
    </row>
    <row r="4">
      <c r="B4" s="22" t="s">
        <v>945</v>
      </c>
    </row>
    <row r="6">
      <c r="B6" s="23" t="s">
        <v>476</v>
      </c>
      <c r="C6" s="7" t="s">
        <v>946</v>
      </c>
      <c r="D6" s="105">
        <v>0</v>
      </c>
      <c r="E6" s="81">
        <v>1</v>
      </c>
      <c r="F6" s="81">
        <v>2</v>
      </c>
      <c r="G6" s="81">
        <v>3</v>
      </c>
      <c r="H6" s="81">
        <v>4</v>
      </c>
      <c r="I6" s="81">
        <v>5</v>
      </c>
      <c r="J6" s="81">
        <v>6</v>
      </c>
      <c r="K6" s="81">
        <v>7</v>
      </c>
      <c r="L6" s="81">
        <v>8</v>
      </c>
      <c r="M6" s="81">
        <v>9</v>
      </c>
      <c r="N6" s="81">
        <v>10</v>
      </c>
      <c r="O6" s="81">
        <v>11</v>
      </c>
    </row>
    <row r="7">
      <c r="B7" s="23" t="s">
        <v>947</v>
      </c>
      <c r="C7" s="7" t="s">
        <v>948</v>
      </c>
      <c r="E7" s="25">
        <f>IF(E$6&lt;=in_HoldYears,1,0)</f>
        <v>1</v>
      </c>
      <c r="F7" s="25">
        <f>IF(F$6&lt;=in_HoldYears,1,0)</f>
        <v>1</v>
      </c>
      <c r="G7" s="25">
        <f>IF(G$6&lt;=in_HoldYears,1,0)</f>
        <v>1</v>
      </c>
      <c r="H7" s="25">
        <f>IF(H$6&lt;=in_HoldYears,1,0)</f>
        <v>1</v>
      </c>
      <c r="I7" s="25">
        <f>IF(I$6&lt;=in_HoldYears,1,0)</f>
        <v>1</v>
      </c>
      <c r="J7" s="25">
        <f>IF(J$6&lt;=in_HoldYears,1,0)</f>
        <v>1</v>
      </c>
      <c r="K7" s="25">
        <f>IF(K$6&lt;=in_HoldYears,1,0)</f>
        <v>1</v>
      </c>
      <c r="L7" s="25">
        <f>IF(L$6&lt;=in_HoldYears,1,0)</f>
        <v>0</v>
      </c>
      <c r="M7" s="25">
        <f>IF(M$6&lt;=in_HoldYears,1,0)</f>
        <v>0</v>
      </c>
      <c r="N7" s="25">
        <f>IF(N$6&lt;=in_HoldYears,1,0)</f>
        <v>0</v>
      </c>
      <c r="O7" s="25">
        <f>IF(O$6&lt;=in_HoldYears,1,0)</f>
        <v>0</v>
      </c>
    </row>
    <row r="8">
      <c r="B8" s="23" t="s">
        <v>949</v>
      </c>
      <c r="C8" s="7" t="s">
        <v>950</v>
      </c>
      <c r="E8" s="25">
        <f>IF(E$6=in_HoldYears,1,0)</f>
        <v>0</v>
      </c>
      <c r="F8" s="25">
        <f>IF(F$6=in_HoldYears,1,0)</f>
        <v>0</v>
      </c>
      <c r="G8" s="25">
        <f>IF(G$6=in_HoldYears,1,0)</f>
        <v>0</v>
      </c>
      <c r="H8" s="25">
        <f>IF(H$6=in_HoldYears,1,0)</f>
        <v>0</v>
      </c>
      <c r="I8" s="25">
        <f>IF(I$6=in_HoldYears,1,0)</f>
        <v>0</v>
      </c>
      <c r="J8" s="25">
        <f>IF(J$6=in_HoldYears,1,0)</f>
        <v>0</v>
      </c>
      <c r="K8" s="25">
        <f>IF(K$6=in_HoldYears,1,0)</f>
        <v>1</v>
      </c>
      <c r="L8" s="25">
        <f>IF(L$6=in_HoldYears,1,0)</f>
        <v>0</v>
      </c>
      <c r="M8" s="25">
        <f>IF(M$6=in_HoldYears,1,0)</f>
        <v>0</v>
      </c>
      <c r="N8" s="25">
        <f>IF(N$6=in_HoldYears,1,0)</f>
        <v>0</v>
      </c>
      <c r="O8" s="25">
        <f>IF(O$6=in_HoldYears,1,0)</f>
        <v>0</v>
      </c>
    </row>
    <row r="9">
      <c r="B9" s="23" t="s">
        <v>951</v>
      </c>
      <c r="C9" s="7" t="s">
        <v>952</v>
      </c>
      <c r="E9" s="25">
        <f>IF(E$6=in_HoldYears+1,1,0)</f>
        <v>0</v>
      </c>
      <c r="F9" s="25">
        <f>IF(F$6=in_HoldYears+1,1,0)</f>
        <v>0</v>
      </c>
      <c r="G9" s="25">
        <f>IF(G$6=in_HoldYears+1,1,0)</f>
        <v>0</v>
      </c>
      <c r="H9" s="25">
        <f>IF(H$6=in_HoldYears+1,1,0)</f>
        <v>0</v>
      </c>
      <c r="I9" s="25">
        <f>IF(I$6=in_HoldYears+1,1,0)</f>
        <v>0</v>
      </c>
      <c r="J9" s="25">
        <f>IF(J$6=in_HoldYears+1,1,0)</f>
        <v>0</v>
      </c>
      <c r="K9" s="25">
        <f>IF(K$6=in_HoldYears+1,1,0)</f>
        <v>0</v>
      </c>
      <c r="L9" s="25">
        <f>IF(L$6=in_HoldYears+1,1,0)</f>
        <v>1</v>
      </c>
      <c r="M9" s="25">
        <f>IF(M$6=in_HoldYears+1,1,0)</f>
        <v>0</v>
      </c>
      <c r="N9" s="25">
        <f>IF(N$6=in_HoldYears+1,1,0)</f>
        <v>0</v>
      </c>
      <c r="O9" s="25">
        <f>IF(O$6=in_HoldYears+1,1,0)</f>
        <v>0</v>
      </c>
    </row>
    <row r="10">
      <c r="B10" s="23" t="s">
        <v>953</v>
      </c>
      <c r="C10" s="7" t="s">
        <v>954</v>
      </c>
      <c r="E10" s="24">
        <f>(1+in_ExpenseGrowth)^(E$6-1)</f>
        <v>1</v>
      </c>
      <c r="F10" s="24">
        <f>(1+in_ExpenseGrowth)^(F$6-1)</f>
        <v>1.02</v>
      </c>
      <c r="G10" s="24">
        <f>(1+in_ExpenseGrowth)^(G$6-1)</f>
        <v>1.0404</v>
      </c>
      <c r="H10" s="24">
        <f>(1+in_ExpenseGrowth)^(H$6-1)</f>
        <v>1.0612080000000002</v>
      </c>
      <c r="I10" s="24">
        <f>(1+in_ExpenseGrowth)^(I$6-1)</f>
        <v>1.08243216</v>
      </c>
      <c r="J10" s="24">
        <f>(1+in_ExpenseGrowth)^(J$6-1)</f>
        <v>1.1040808032</v>
      </c>
      <c r="K10" s="24">
        <f>(1+in_ExpenseGrowth)^(K$6-1)</f>
        <v>1.126162419264</v>
      </c>
      <c r="L10" s="24">
        <f>(1+in_ExpenseGrowth)^(L$6-1)</f>
        <v>1.14868566764928</v>
      </c>
      <c r="M10" s="24">
        <f>(1+in_ExpenseGrowth)^(M$6-1)</f>
        <v>1.1716593810022657</v>
      </c>
      <c r="N10" s="24">
        <f>(1+in_ExpenseGrowth)^(N$6-1)</f>
        <v>1.195092568622311</v>
      </c>
      <c r="O10" s="24">
        <f>(1+in_ExpenseGrowth)^(O$6-1)</f>
        <v>1.2189944199947573</v>
      </c>
    </row>
    <row r="11">
      <c r="B11" s="23" t="s">
        <v>955</v>
      </c>
      <c r="C11" s="7" t="s">
        <v>956</v>
      </c>
      <c r="E11" s="28">
        <f>a_GLA*a_CamPsf*E10</f>
        <v>86565</v>
      </c>
      <c r="F11" s="28">
        <f>a_GLA*a_CamPsf*F10</f>
        <v>88296.3</v>
      </c>
      <c r="G11" s="28">
        <f>a_GLA*a_CamPsf*G10</f>
        <v>90062.226</v>
      </c>
      <c r="H11" s="28">
        <f>a_GLA*a_CamPsf*H10</f>
        <v>91863.47052000002</v>
      </c>
      <c r="I11" s="28">
        <f>a_GLA*a_CamPsf*I10</f>
        <v>93700.7399304</v>
      </c>
      <c r="J11" s="28">
        <f>a_GLA*a_CamPsf*J10</f>
        <v>95574.754729008</v>
      </c>
      <c r="K11" s="28">
        <f>a_GLA*a_CamPsf*K10</f>
        <v>97486.24982358816</v>
      </c>
      <c r="L11" s="28">
        <f>a_GLA*a_CamPsf*L10</f>
        <v>99435.97482005993</v>
      </c>
      <c r="M11" s="28">
        <f>a_GLA*a_CamPsf*M10</f>
        <v>101424.69431646113</v>
      </c>
      <c r="N11" s="28">
        <f>a_GLA*a_CamPsf*N10</f>
        <v>103453.18820279036</v>
      </c>
      <c r="O11" s="28">
        <f>a_GLA*a_CamPsf*O10</f>
        <v>105522.25196684616</v>
      </c>
    </row>
    <row r="12">
      <c r="B12" s="23" t="s">
        <v>957</v>
      </c>
      <c r="C12" s="7" t="s">
        <v>958</v>
      </c>
      <c r="E12" s="28">
        <f>a_GLA*a_InsPsf*E10</f>
        <v>26865</v>
      </c>
      <c r="F12" s="28">
        <f>a_GLA*a_InsPsf*F10</f>
        <v>27402.3</v>
      </c>
      <c r="G12" s="28">
        <f>a_GLA*a_InsPsf*G10</f>
        <v>27950.346</v>
      </c>
      <c r="H12" s="28">
        <f>a_GLA*a_InsPsf*H10</f>
        <v>28509.352920000005</v>
      </c>
      <c r="I12" s="28">
        <f>a_GLA*a_InsPsf*I10</f>
        <v>29079.5399784</v>
      </c>
      <c r="J12" s="28">
        <f>a_GLA*a_InsPsf*J10</f>
        <v>29661.130777968</v>
      </c>
      <c r="K12" s="28">
        <f>a_GLA*a_InsPsf*K10</f>
        <v>30254.353393527363</v>
      </c>
      <c r="L12" s="28">
        <f>a_GLA*a_InsPsf*L10</f>
        <v>30859.44046139791</v>
      </c>
      <c r="M12" s="28">
        <f>a_GLA*a_InsPsf*M10</f>
        <v>31476.62927062587</v>
      </c>
      <c r="N12" s="28">
        <f>a_GLA*a_InsPsf*N10</f>
        <v>32106.161856038387</v>
      </c>
      <c r="O12" s="28">
        <f>a_GLA*a_InsPsf*O10</f>
        <v>32748.285093159157</v>
      </c>
    </row>
    <row r="13">
      <c r="B13" s="23" t="s">
        <v>959</v>
      </c>
      <c r="C13" s="7" t="s">
        <v>960</v>
      </c>
      <c r="E13" s="28">
        <f>a_GLA*a_NonRecPsf*E10</f>
        <v>0</v>
      </c>
      <c r="F13" s="28">
        <f>a_GLA*a_NonRecPsf*F10</f>
        <v>0</v>
      </c>
      <c r="G13" s="28">
        <f>a_GLA*a_NonRecPsf*G10</f>
        <v>0</v>
      </c>
      <c r="H13" s="28">
        <f>a_GLA*a_NonRecPsf*H10</f>
        <v>0</v>
      </c>
      <c r="I13" s="28">
        <f>a_GLA*a_NonRecPsf*I10</f>
        <v>0</v>
      </c>
      <c r="J13" s="28">
        <f>a_GLA*a_NonRecPsf*J10</f>
        <v>0</v>
      </c>
      <c r="K13" s="28">
        <f>a_GLA*a_NonRecPsf*K10</f>
        <v>0</v>
      </c>
      <c r="L13" s="28">
        <f>a_GLA*a_NonRecPsf*L10</f>
        <v>0</v>
      </c>
      <c r="M13" s="28">
        <f>a_GLA*a_NonRecPsf*M10</f>
        <v>0</v>
      </c>
      <c r="N13" s="28">
        <f>a_GLA*a_NonRecPsf*N10</f>
        <v>0</v>
      </c>
      <c r="O13" s="28">
        <f>a_GLA*a_NonRecPsf*O10</f>
        <v>0</v>
      </c>
    </row>
    <row r="14">
      <c r="B14" s="23" t="s">
        <v>961</v>
      </c>
      <c r="C14" s="7" t="s">
        <v>962</v>
      </c>
      <c r="E14" s="28">
        <f>a_GLA*a_TaxPsf</f>
        <v>179100</v>
      </c>
      <c r="F14" s="28">
        <f>a_GLA*a_TaxPsf</f>
        <v>179100</v>
      </c>
      <c r="G14" s="28">
        <f>a_GLA*a_TaxPsf</f>
        <v>179100</v>
      </c>
      <c r="H14" s="28">
        <f>a_GLA*a_TaxPsf</f>
        <v>179100</v>
      </c>
      <c r="I14" s="28">
        <f>a_GLA*a_TaxPsf</f>
        <v>179100</v>
      </c>
      <c r="J14" s="28">
        <f>a_GLA*a_TaxPsf</f>
        <v>179100</v>
      </c>
      <c r="K14" s="28">
        <f>a_GLA*a_TaxPsf</f>
        <v>179100</v>
      </c>
      <c r="L14" s="28">
        <f>a_GLA*a_TaxPsf</f>
        <v>179100</v>
      </c>
      <c r="M14" s="28">
        <f>a_GLA*a_TaxPsf</f>
        <v>179100</v>
      </c>
      <c r="N14" s="28">
        <f>a_GLA*a_TaxPsf</f>
        <v>179100</v>
      </c>
      <c r="O14" s="28">
        <f>a_GLA*a_TaxPsf</f>
        <v>179100</v>
      </c>
    </row>
    <row r="15">
      <c r="B15" s="23" t="s">
        <v>963</v>
      </c>
      <c r="C15" s="7" t="s">
        <v>964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</row>
    <row r="16">
      <c r="B16" s="23" t="s">
        <v>965</v>
      </c>
      <c r="C16" s="7" t="s">
        <v>966</v>
      </c>
      <c r="E16" s="28">
        <f>IF(AND(ISNUMBER(a_Adj1From),E$6&gt;=a_Adj1From,OR(IF(ISNUMBER(a_Adj1Set),a_Adj1Set,0)&gt;0,IF(ISNUMBER(a_Adj1Pct),a_Adj1Pct,0)&lt;&gt;0)),IF(IF(ISNUMBER(a_Adj1Set),a_Adj1Set,0)&gt;0,a_GLA*a_Adj1Set,E14*(1+IF(ISNUMBER(a_Adj1Pct),a_Adj1Pct,0))),E14)</f>
        <v>179100</v>
      </c>
      <c r="F16" s="28">
        <f>IF(AND(ISNUMBER(a_Adj1From),F$6&gt;=a_Adj1From,OR(IF(ISNUMBER(a_Adj1Set),a_Adj1Set,0)&gt;0,IF(ISNUMBER(a_Adj1Pct),a_Adj1Pct,0)&lt;&gt;0)),IF(IF(ISNUMBER(a_Adj1Set),a_Adj1Set,0)&gt;0,a_GLA*a_Adj1Set,F14*(1+IF(ISNUMBER(a_Adj1Pct),a_Adj1Pct,0))),F14)</f>
        <v>179100</v>
      </c>
      <c r="G16" s="28">
        <f>IF(AND(ISNUMBER(a_Adj1From),G$6&gt;=a_Adj1From,OR(IF(ISNUMBER(a_Adj1Set),a_Adj1Set,0)&gt;0,IF(ISNUMBER(a_Adj1Pct),a_Adj1Pct,0)&lt;&gt;0)),IF(IF(ISNUMBER(a_Adj1Set),a_Adj1Set,0)&gt;0,a_GLA*a_Adj1Set,G14*(1+IF(ISNUMBER(a_Adj1Pct),a_Adj1Pct,0))),G14)</f>
        <v>179100</v>
      </c>
      <c r="H16" s="28">
        <f>IF(AND(ISNUMBER(a_Adj1From),H$6&gt;=a_Adj1From,OR(IF(ISNUMBER(a_Adj1Set),a_Adj1Set,0)&gt;0,IF(ISNUMBER(a_Adj1Pct),a_Adj1Pct,0)&lt;&gt;0)),IF(IF(ISNUMBER(a_Adj1Set),a_Adj1Set,0)&gt;0,a_GLA*a_Adj1Set,H14*(1+IF(ISNUMBER(a_Adj1Pct),a_Adj1Pct,0))),H14)</f>
        <v>179100</v>
      </c>
      <c r="I16" s="28">
        <f>IF(AND(ISNUMBER(a_Adj1From),I$6&gt;=a_Adj1From,OR(IF(ISNUMBER(a_Adj1Set),a_Adj1Set,0)&gt;0,IF(ISNUMBER(a_Adj1Pct),a_Adj1Pct,0)&lt;&gt;0)),IF(IF(ISNUMBER(a_Adj1Set),a_Adj1Set,0)&gt;0,a_GLA*a_Adj1Set,I14*(1+IF(ISNUMBER(a_Adj1Pct),a_Adj1Pct,0))),I14)</f>
        <v>179100</v>
      </c>
      <c r="J16" s="28">
        <f>IF(AND(ISNUMBER(a_Adj1From),J$6&gt;=a_Adj1From,OR(IF(ISNUMBER(a_Adj1Set),a_Adj1Set,0)&gt;0,IF(ISNUMBER(a_Adj1Pct),a_Adj1Pct,0)&lt;&gt;0)),IF(IF(ISNUMBER(a_Adj1Set),a_Adj1Set,0)&gt;0,a_GLA*a_Adj1Set,J14*(1+IF(ISNUMBER(a_Adj1Pct),a_Adj1Pct,0))),J14)</f>
        <v>179100</v>
      </c>
      <c r="K16" s="28">
        <f>IF(AND(ISNUMBER(a_Adj1From),K$6&gt;=a_Adj1From,OR(IF(ISNUMBER(a_Adj1Set),a_Adj1Set,0)&gt;0,IF(ISNUMBER(a_Adj1Pct),a_Adj1Pct,0)&lt;&gt;0)),IF(IF(ISNUMBER(a_Adj1Set),a_Adj1Set,0)&gt;0,a_GLA*a_Adj1Set,K14*(1+IF(ISNUMBER(a_Adj1Pct),a_Adj1Pct,0))),K14)</f>
        <v>179100</v>
      </c>
      <c r="L16" s="28">
        <f>IF(AND(ISNUMBER(a_Adj1From),L$6&gt;=a_Adj1From,OR(IF(ISNUMBER(a_Adj1Set),a_Adj1Set,0)&gt;0,IF(ISNUMBER(a_Adj1Pct),a_Adj1Pct,0)&lt;&gt;0)),IF(IF(ISNUMBER(a_Adj1Set),a_Adj1Set,0)&gt;0,a_GLA*a_Adj1Set,L14*(1+IF(ISNUMBER(a_Adj1Pct),a_Adj1Pct,0))),L14)</f>
        <v>179100</v>
      </c>
      <c r="M16" s="28">
        <f>IF(AND(ISNUMBER(a_Adj1From),M$6&gt;=a_Adj1From,OR(IF(ISNUMBER(a_Adj1Set),a_Adj1Set,0)&gt;0,IF(ISNUMBER(a_Adj1Pct),a_Adj1Pct,0)&lt;&gt;0)),IF(IF(ISNUMBER(a_Adj1Set),a_Adj1Set,0)&gt;0,a_GLA*a_Adj1Set,M14*(1+IF(ISNUMBER(a_Adj1Pct),a_Adj1Pct,0))),M14)</f>
        <v>179100</v>
      </c>
      <c r="N16" s="28">
        <f>IF(AND(ISNUMBER(a_Adj1From),N$6&gt;=a_Adj1From,OR(IF(ISNUMBER(a_Adj1Set),a_Adj1Set,0)&gt;0,IF(ISNUMBER(a_Adj1Pct),a_Adj1Pct,0)&lt;&gt;0)),IF(IF(ISNUMBER(a_Adj1Set),a_Adj1Set,0)&gt;0,a_GLA*a_Adj1Set,N14*(1+IF(ISNUMBER(a_Adj1Pct),a_Adj1Pct,0))),N14)</f>
        <v>179100</v>
      </c>
      <c r="O16" s="28">
        <f>IF(AND(ISNUMBER(a_Adj1From),O$6&gt;=a_Adj1From,OR(IF(ISNUMBER(a_Adj1Set),a_Adj1Set,0)&gt;0,IF(ISNUMBER(a_Adj1Pct),a_Adj1Pct,0)&lt;&gt;0)),IF(IF(ISNUMBER(a_Adj1Set),a_Adj1Set,0)&gt;0,a_GLA*a_Adj1Set,O14*(1+IF(ISNUMBER(a_Adj1Pct),a_Adj1Pct,0))),O14)</f>
        <v>179100</v>
      </c>
    </row>
    <row r="17">
      <c r="B17" s="23" t="s">
        <v>963</v>
      </c>
      <c r="C17" s="7" t="s">
        <v>967</v>
      </c>
      <c r="E17" s="25">
        <f>IF(AND(ISNUMBER(a_Adj1From),E$6&gt;=a_Adj1From,OR(IF(ISNUMBER(a_Adj1Set),a_Adj1Set,0)&gt;0,IF(ISNUMBER(a_Adj1Pct),a_Adj1Pct,0)&lt;&gt;0)),a_Adj1From-1,E15)</f>
        <v>0</v>
      </c>
      <c r="F17" s="25">
        <f>IF(AND(ISNUMBER(a_Adj1From),F$6&gt;=a_Adj1From,OR(IF(ISNUMBER(a_Adj1Set),a_Adj1Set,0)&gt;0,IF(ISNUMBER(a_Adj1Pct),a_Adj1Pct,0)&lt;&gt;0)),a_Adj1From-1,F15)</f>
        <v>0</v>
      </c>
      <c r="G17" s="25">
        <f>IF(AND(ISNUMBER(a_Adj1From),G$6&gt;=a_Adj1From,OR(IF(ISNUMBER(a_Adj1Set),a_Adj1Set,0)&gt;0,IF(ISNUMBER(a_Adj1Pct),a_Adj1Pct,0)&lt;&gt;0)),a_Adj1From-1,G15)</f>
        <v>0</v>
      </c>
      <c r="H17" s="25">
        <f>IF(AND(ISNUMBER(a_Adj1From),H$6&gt;=a_Adj1From,OR(IF(ISNUMBER(a_Adj1Set),a_Adj1Set,0)&gt;0,IF(ISNUMBER(a_Adj1Pct),a_Adj1Pct,0)&lt;&gt;0)),a_Adj1From-1,H15)</f>
        <v>0</v>
      </c>
      <c r="I17" s="25">
        <f>IF(AND(ISNUMBER(a_Adj1From),I$6&gt;=a_Adj1From,OR(IF(ISNUMBER(a_Adj1Set),a_Adj1Set,0)&gt;0,IF(ISNUMBER(a_Adj1Pct),a_Adj1Pct,0)&lt;&gt;0)),a_Adj1From-1,I15)</f>
        <v>0</v>
      </c>
      <c r="J17" s="25">
        <f>IF(AND(ISNUMBER(a_Adj1From),J$6&gt;=a_Adj1From,OR(IF(ISNUMBER(a_Adj1Set),a_Adj1Set,0)&gt;0,IF(ISNUMBER(a_Adj1Pct),a_Adj1Pct,0)&lt;&gt;0)),a_Adj1From-1,J15)</f>
        <v>0</v>
      </c>
      <c r="K17" s="25">
        <f>IF(AND(ISNUMBER(a_Adj1From),K$6&gt;=a_Adj1From,OR(IF(ISNUMBER(a_Adj1Set),a_Adj1Set,0)&gt;0,IF(ISNUMBER(a_Adj1Pct),a_Adj1Pct,0)&lt;&gt;0)),a_Adj1From-1,K15)</f>
        <v>0</v>
      </c>
      <c r="L17" s="25">
        <f>IF(AND(ISNUMBER(a_Adj1From),L$6&gt;=a_Adj1From,OR(IF(ISNUMBER(a_Adj1Set),a_Adj1Set,0)&gt;0,IF(ISNUMBER(a_Adj1Pct),a_Adj1Pct,0)&lt;&gt;0)),a_Adj1From-1,L15)</f>
        <v>0</v>
      </c>
      <c r="M17" s="25">
        <f>IF(AND(ISNUMBER(a_Adj1From),M$6&gt;=a_Adj1From,OR(IF(ISNUMBER(a_Adj1Set),a_Adj1Set,0)&gt;0,IF(ISNUMBER(a_Adj1Pct),a_Adj1Pct,0)&lt;&gt;0)),a_Adj1From-1,M15)</f>
        <v>0</v>
      </c>
      <c r="N17" s="25">
        <f>IF(AND(ISNUMBER(a_Adj1From),N$6&gt;=a_Adj1From,OR(IF(ISNUMBER(a_Adj1Set),a_Adj1Set,0)&gt;0,IF(ISNUMBER(a_Adj1Pct),a_Adj1Pct,0)&lt;&gt;0)),a_Adj1From-1,N15)</f>
        <v>0</v>
      </c>
      <c r="O17" s="25">
        <f>IF(AND(ISNUMBER(a_Adj1From),O$6&gt;=a_Adj1From,OR(IF(ISNUMBER(a_Adj1Set),a_Adj1Set,0)&gt;0,IF(ISNUMBER(a_Adj1Pct),a_Adj1Pct,0)&lt;&gt;0)),a_Adj1From-1,O15)</f>
        <v>0</v>
      </c>
    </row>
    <row r="18">
      <c r="B18" s="23" t="s">
        <v>968</v>
      </c>
      <c r="C18" s="7" t="s">
        <v>969</v>
      </c>
      <c r="E18" s="28">
        <f>IF(AND(ISNUMBER(a_Adj2From),E$6&gt;=a_Adj2From,OR(IF(ISNUMBER(a_Adj2Set),a_Adj2Set,0)&gt;0,IF(ISNUMBER(a_Adj2Pct),a_Adj2Pct,0)&lt;&gt;0)),IF(IF(ISNUMBER(a_Adj2Set),a_Adj2Set,0)&gt;0,a_GLA*a_Adj2Set,E16*(1+IF(ISNUMBER(a_Adj2Pct),a_Adj2Pct,0))),E16)</f>
        <v>179100</v>
      </c>
      <c r="F18" s="28">
        <f>IF(AND(ISNUMBER(a_Adj2From),F$6&gt;=a_Adj2From,OR(IF(ISNUMBER(a_Adj2Set),a_Adj2Set,0)&gt;0,IF(ISNUMBER(a_Adj2Pct),a_Adj2Pct,0)&lt;&gt;0)),IF(IF(ISNUMBER(a_Adj2Set),a_Adj2Set,0)&gt;0,a_GLA*a_Adj2Set,F16*(1+IF(ISNUMBER(a_Adj2Pct),a_Adj2Pct,0))),F16)</f>
        <v>179100</v>
      </c>
      <c r="G18" s="28">
        <f>IF(AND(ISNUMBER(a_Adj2From),G$6&gt;=a_Adj2From,OR(IF(ISNUMBER(a_Adj2Set),a_Adj2Set,0)&gt;0,IF(ISNUMBER(a_Adj2Pct),a_Adj2Pct,0)&lt;&gt;0)),IF(IF(ISNUMBER(a_Adj2Set),a_Adj2Set,0)&gt;0,a_GLA*a_Adj2Set,G16*(1+IF(ISNUMBER(a_Adj2Pct),a_Adj2Pct,0))),G16)</f>
        <v>179100</v>
      </c>
      <c r="H18" s="28">
        <f>IF(AND(ISNUMBER(a_Adj2From),H$6&gt;=a_Adj2From,OR(IF(ISNUMBER(a_Adj2Set),a_Adj2Set,0)&gt;0,IF(ISNUMBER(a_Adj2Pct),a_Adj2Pct,0)&lt;&gt;0)),IF(IF(ISNUMBER(a_Adj2Set),a_Adj2Set,0)&gt;0,a_GLA*a_Adj2Set,H16*(1+IF(ISNUMBER(a_Adj2Pct),a_Adj2Pct,0))),H16)</f>
        <v>179100</v>
      </c>
      <c r="I18" s="28">
        <f>IF(AND(ISNUMBER(a_Adj2From),I$6&gt;=a_Adj2From,OR(IF(ISNUMBER(a_Adj2Set),a_Adj2Set,0)&gt;0,IF(ISNUMBER(a_Adj2Pct),a_Adj2Pct,0)&lt;&gt;0)),IF(IF(ISNUMBER(a_Adj2Set),a_Adj2Set,0)&gt;0,a_GLA*a_Adj2Set,I16*(1+IF(ISNUMBER(a_Adj2Pct),a_Adj2Pct,0))),I16)</f>
        <v>179100</v>
      </c>
      <c r="J18" s="28">
        <f>IF(AND(ISNUMBER(a_Adj2From),J$6&gt;=a_Adj2From,OR(IF(ISNUMBER(a_Adj2Set),a_Adj2Set,0)&gt;0,IF(ISNUMBER(a_Adj2Pct),a_Adj2Pct,0)&lt;&gt;0)),IF(IF(ISNUMBER(a_Adj2Set),a_Adj2Set,0)&gt;0,a_GLA*a_Adj2Set,J16*(1+IF(ISNUMBER(a_Adj2Pct),a_Adj2Pct,0))),J16)</f>
        <v>179100</v>
      </c>
      <c r="K18" s="28">
        <f>IF(AND(ISNUMBER(a_Adj2From),K$6&gt;=a_Adj2From,OR(IF(ISNUMBER(a_Adj2Set),a_Adj2Set,0)&gt;0,IF(ISNUMBER(a_Adj2Pct),a_Adj2Pct,0)&lt;&gt;0)),IF(IF(ISNUMBER(a_Adj2Set),a_Adj2Set,0)&gt;0,a_GLA*a_Adj2Set,K16*(1+IF(ISNUMBER(a_Adj2Pct),a_Adj2Pct,0))),K16)</f>
        <v>179100</v>
      </c>
      <c r="L18" s="28">
        <f>IF(AND(ISNUMBER(a_Adj2From),L$6&gt;=a_Adj2From,OR(IF(ISNUMBER(a_Adj2Set),a_Adj2Set,0)&gt;0,IF(ISNUMBER(a_Adj2Pct),a_Adj2Pct,0)&lt;&gt;0)),IF(IF(ISNUMBER(a_Adj2Set),a_Adj2Set,0)&gt;0,a_GLA*a_Adj2Set,L16*(1+IF(ISNUMBER(a_Adj2Pct),a_Adj2Pct,0))),L16)</f>
        <v>179100</v>
      </c>
      <c r="M18" s="28">
        <f>IF(AND(ISNUMBER(a_Adj2From),M$6&gt;=a_Adj2From,OR(IF(ISNUMBER(a_Adj2Set),a_Adj2Set,0)&gt;0,IF(ISNUMBER(a_Adj2Pct),a_Adj2Pct,0)&lt;&gt;0)),IF(IF(ISNUMBER(a_Adj2Set),a_Adj2Set,0)&gt;0,a_GLA*a_Adj2Set,M16*(1+IF(ISNUMBER(a_Adj2Pct),a_Adj2Pct,0))),M16)</f>
        <v>179100</v>
      </c>
      <c r="N18" s="28">
        <f>IF(AND(ISNUMBER(a_Adj2From),N$6&gt;=a_Adj2From,OR(IF(ISNUMBER(a_Adj2Set),a_Adj2Set,0)&gt;0,IF(ISNUMBER(a_Adj2Pct),a_Adj2Pct,0)&lt;&gt;0)),IF(IF(ISNUMBER(a_Adj2Set),a_Adj2Set,0)&gt;0,a_GLA*a_Adj2Set,N16*(1+IF(ISNUMBER(a_Adj2Pct),a_Adj2Pct,0))),N16)</f>
        <v>179100</v>
      </c>
      <c r="O18" s="28">
        <f>IF(AND(ISNUMBER(a_Adj2From),O$6&gt;=a_Adj2From,OR(IF(ISNUMBER(a_Adj2Set),a_Adj2Set,0)&gt;0,IF(ISNUMBER(a_Adj2Pct),a_Adj2Pct,0)&lt;&gt;0)),IF(IF(ISNUMBER(a_Adj2Set),a_Adj2Set,0)&gt;0,a_GLA*a_Adj2Set,O16*(1+IF(ISNUMBER(a_Adj2Pct),a_Adj2Pct,0))),O16)</f>
        <v>179100</v>
      </c>
    </row>
    <row r="19">
      <c r="B19" s="23" t="s">
        <v>963</v>
      </c>
      <c r="C19" s="7" t="s">
        <v>970</v>
      </c>
      <c r="E19" s="25">
        <f>IF(AND(ISNUMBER(a_Adj2From),E$6&gt;=a_Adj2From,OR(IF(ISNUMBER(a_Adj2Set),a_Adj2Set,0)&gt;0,IF(ISNUMBER(a_Adj2Pct),a_Adj2Pct,0)&lt;&gt;0)),a_Adj2From-1,E17)</f>
        <v>0</v>
      </c>
      <c r="F19" s="25">
        <f>IF(AND(ISNUMBER(a_Adj2From),F$6&gt;=a_Adj2From,OR(IF(ISNUMBER(a_Adj2Set),a_Adj2Set,0)&gt;0,IF(ISNUMBER(a_Adj2Pct),a_Adj2Pct,0)&lt;&gt;0)),a_Adj2From-1,F17)</f>
        <v>0</v>
      </c>
      <c r="G19" s="25">
        <f>IF(AND(ISNUMBER(a_Adj2From),G$6&gt;=a_Adj2From,OR(IF(ISNUMBER(a_Adj2Set),a_Adj2Set,0)&gt;0,IF(ISNUMBER(a_Adj2Pct),a_Adj2Pct,0)&lt;&gt;0)),a_Adj2From-1,G17)</f>
        <v>0</v>
      </c>
      <c r="H19" s="25">
        <f>IF(AND(ISNUMBER(a_Adj2From),H$6&gt;=a_Adj2From,OR(IF(ISNUMBER(a_Adj2Set),a_Adj2Set,0)&gt;0,IF(ISNUMBER(a_Adj2Pct),a_Adj2Pct,0)&lt;&gt;0)),a_Adj2From-1,H17)</f>
        <v>0</v>
      </c>
      <c r="I19" s="25">
        <f>IF(AND(ISNUMBER(a_Adj2From),I$6&gt;=a_Adj2From,OR(IF(ISNUMBER(a_Adj2Set),a_Adj2Set,0)&gt;0,IF(ISNUMBER(a_Adj2Pct),a_Adj2Pct,0)&lt;&gt;0)),a_Adj2From-1,I17)</f>
        <v>0</v>
      </c>
      <c r="J19" s="25">
        <f>IF(AND(ISNUMBER(a_Adj2From),J$6&gt;=a_Adj2From,OR(IF(ISNUMBER(a_Adj2Set),a_Adj2Set,0)&gt;0,IF(ISNUMBER(a_Adj2Pct),a_Adj2Pct,0)&lt;&gt;0)),a_Adj2From-1,J17)</f>
        <v>0</v>
      </c>
      <c r="K19" s="25">
        <f>IF(AND(ISNUMBER(a_Adj2From),K$6&gt;=a_Adj2From,OR(IF(ISNUMBER(a_Adj2Set),a_Adj2Set,0)&gt;0,IF(ISNUMBER(a_Adj2Pct),a_Adj2Pct,0)&lt;&gt;0)),a_Adj2From-1,K17)</f>
        <v>0</v>
      </c>
      <c r="L19" s="25">
        <f>IF(AND(ISNUMBER(a_Adj2From),L$6&gt;=a_Adj2From,OR(IF(ISNUMBER(a_Adj2Set),a_Adj2Set,0)&gt;0,IF(ISNUMBER(a_Adj2Pct),a_Adj2Pct,0)&lt;&gt;0)),a_Adj2From-1,L17)</f>
        <v>0</v>
      </c>
      <c r="M19" s="25">
        <f>IF(AND(ISNUMBER(a_Adj2From),M$6&gt;=a_Adj2From,OR(IF(ISNUMBER(a_Adj2Set),a_Adj2Set,0)&gt;0,IF(ISNUMBER(a_Adj2Pct),a_Adj2Pct,0)&lt;&gt;0)),a_Adj2From-1,M17)</f>
        <v>0</v>
      </c>
      <c r="N19" s="25">
        <f>IF(AND(ISNUMBER(a_Adj2From),N$6&gt;=a_Adj2From,OR(IF(ISNUMBER(a_Adj2Set),a_Adj2Set,0)&gt;0,IF(ISNUMBER(a_Adj2Pct),a_Adj2Pct,0)&lt;&gt;0)),a_Adj2From-1,N17)</f>
        <v>0</v>
      </c>
      <c r="O19" s="25">
        <f>IF(AND(ISNUMBER(a_Adj2From),O$6&gt;=a_Adj2From,OR(IF(ISNUMBER(a_Adj2Set),a_Adj2Set,0)&gt;0,IF(ISNUMBER(a_Adj2Pct),a_Adj2Pct,0)&lt;&gt;0)),a_Adj2From-1,O17)</f>
        <v>0</v>
      </c>
    </row>
    <row r="20">
      <c r="B20" s="23" t="s">
        <v>971</v>
      </c>
      <c r="C20" s="7" t="s">
        <v>972</v>
      </c>
      <c r="E20" s="28">
        <f>IF(AND(ISNUMBER(a_Adj3From),E$6&gt;=a_Adj3From,OR(IF(ISNUMBER(a_Adj3Set),a_Adj3Set,0)&gt;0,IF(ISNUMBER(a_Adj3Pct),a_Adj3Pct,0)&lt;&gt;0)),IF(IF(ISNUMBER(a_Adj3Set),a_Adj3Set,0)&gt;0,a_GLA*a_Adj3Set,E18*(1+IF(ISNUMBER(a_Adj3Pct),a_Adj3Pct,0))),E18)</f>
        <v>179100</v>
      </c>
      <c r="F20" s="28">
        <f>IF(AND(ISNUMBER(a_Adj3From),F$6&gt;=a_Adj3From,OR(IF(ISNUMBER(a_Adj3Set),a_Adj3Set,0)&gt;0,IF(ISNUMBER(a_Adj3Pct),a_Adj3Pct,0)&lt;&gt;0)),IF(IF(ISNUMBER(a_Adj3Set),a_Adj3Set,0)&gt;0,a_GLA*a_Adj3Set,F18*(1+IF(ISNUMBER(a_Adj3Pct),a_Adj3Pct,0))),F18)</f>
        <v>179100</v>
      </c>
      <c r="G20" s="28">
        <f>IF(AND(ISNUMBER(a_Adj3From),G$6&gt;=a_Adj3From,OR(IF(ISNUMBER(a_Adj3Set),a_Adj3Set,0)&gt;0,IF(ISNUMBER(a_Adj3Pct),a_Adj3Pct,0)&lt;&gt;0)),IF(IF(ISNUMBER(a_Adj3Set),a_Adj3Set,0)&gt;0,a_GLA*a_Adj3Set,G18*(1+IF(ISNUMBER(a_Adj3Pct),a_Adj3Pct,0))),G18)</f>
        <v>179100</v>
      </c>
      <c r="H20" s="28">
        <f>IF(AND(ISNUMBER(a_Adj3From),H$6&gt;=a_Adj3From,OR(IF(ISNUMBER(a_Adj3Set),a_Adj3Set,0)&gt;0,IF(ISNUMBER(a_Adj3Pct),a_Adj3Pct,0)&lt;&gt;0)),IF(IF(ISNUMBER(a_Adj3Set),a_Adj3Set,0)&gt;0,a_GLA*a_Adj3Set,H18*(1+IF(ISNUMBER(a_Adj3Pct),a_Adj3Pct,0))),H18)</f>
        <v>179100</v>
      </c>
      <c r="I20" s="28">
        <f>IF(AND(ISNUMBER(a_Adj3From),I$6&gt;=a_Adj3From,OR(IF(ISNUMBER(a_Adj3Set),a_Adj3Set,0)&gt;0,IF(ISNUMBER(a_Adj3Pct),a_Adj3Pct,0)&lt;&gt;0)),IF(IF(ISNUMBER(a_Adj3Set),a_Adj3Set,0)&gt;0,a_GLA*a_Adj3Set,I18*(1+IF(ISNUMBER(a_Adj3Pct),a_Adj3Pct,0))),I18)</f>
        <v>179100</v>
      </c>
      <c r="J20" s="28">
        <f>IF(AND(ISNUMBER(a_Adj3From),J$6&gt;=a_Adj3From,OR(IF(ISNUMBER(a_Adj3Set),a_Adj3Set,0)&gt;0,IF(ISNUMBER(a_Adj3Pct),a_Adj3Pct,0)&lt;&gt;0)),IF(IF(ISNUMBER(a_Adj3Set),a_Adj3Set,0)&gt;0,a_GLA*a_Adj3Set,J18*(1+IF(ISNUMBER(a_Adj3Pct),a_Adj3Pct,0))),J18)</f>
        <v>179100</v>
      </c>
      <c r="K20" s="28">
        <f>IF(AND(ISNUMBER(a_Adj3From),K$6&gt;=a_Adj3From,OR(IF(ISNUMBER(a_Adj3Set),a_Adj3Set,0)&gt;0,IF(ISNUMBER(a_Adj3Pct),a_Adj3Pct,0)&lt;&gt;0)),IF(IF(ISNUMBER(a_Adj3Set),a_Adj3Set,0)&gt;0,a_GLA*a_Adj3Set,K18*(1+IF(ISNUMBER(a_Adj3Pct),a_Adj3Pct,0))),K18)</f>
        <v>179100</v>
      </c>
      <c r="L20" s="28">
        <f>IF(AND(ISNUMBER(a_Adj3From),L$6&gt;=a_Adj3From,OR(IF(ISNUMBER(a_Adj3Set),a_Adj3Set,0)&gt;0,IF(ISNUMBER(a_Adj3Pct),a_Adj3Pct,0)&lt;&gt;0)),IF(IF(ISNUMBER(a_Adj3Set),a_Adj3Set,0)&gt;0,a_GLA*a_Adj3Set,L18*(1+IF(ISNUMBER(a_Adj3Pct),a_Adj3Pct,0))),L18)</f>
        <v>179100</v>
      </c>
      <c r="M20" s="28">
        <f>IF(AND(ISNUMBER(a_Adj3From),M$6&gt;=a_Adj3From,OR(IF(ISNUMBER(a_Adj3Set),a_Adj3Set,0)&gt;0,IF(ISNUMBER(a_Adj3Pct),a_Adj3Pct,0)&lt;&gt;0)),IF(IF(ISNUMBER(a_Adj3Set),a_Adj3Set,0)&gt;0,a_GLA*a_Adj3Set,M18*(1+IF(ISNUMBER(a_Adj3Pct),a_Adj3Pct,0))),M18)</f>
        <v>179100</v>
      </c>
      <c r="N20" s="28">
        <f>IF(AND(ISNUMBER(a_Adj3From),N$6&gt;=a_Adj3From,OR(IF(ISNUMBER(a_Adj3Set),a_Adj3Set,0)&gt;0,IF(ISNUMBER(a_Adj3Pct),a_Adj3Pct,0)&lt;&gt;0)),IF(IF(ISNUMBER(a_Adj3Set),a_Adj3Set,0)&gt;0,a_GLA*a_Adj3Set,N18*(1+IF(ISNUMBER(a_Adj3Pct),a_Adj3Pct,0))),N18)</f>
        <v>179100</v>
      </c>
      <c r="O20" s="28">
        <f>IF(AND(ISNUMBER(a_Adj3From),O$6&gt;=a_Adj3From,OR(IF(ISNUMBER(a_Adj3Set),a_Adj3Set,0)&gt;0,IF(ISNUMBER(a_Adj3Pct),a_Adj3Pct,0)&lt;&gt;0)),IF(IF(ISNUMBER(a_Adj3Set),a_Adj3Set,0)&gt;0,a_GLA*a_Adj3Set,O18*(1+IF(ISNUMBER(a_Adj3Pct),a_Adj3Pct,0))),O18)</f>
        <v>179100</v>
      </c>
    </row>
    <row r="21">
      <c r="B21" s="23" t="s">
        <v>963</v>
      </c>
      <c r="C21" s="7" t="s">
        <v>973</v>
      </c>
      <c r="E21" s="25">
        <f>IF(AND(ISNUMBER(a_Adj3From),E$6&gt;=a_Adj3From,OR(IF(ISNUMBER(a_Adj3Set),a_Adj3Set,0)&gt;0,IF(ISNUMBER(a_Adj3Pct),a_Adj3Pct,0)&lt;&gt;0)),a_Adj3From-1,E19)</f>
        <v>0</v>
      </c>
      <c r="F21" s="25">
        <f>IF(AND(ISNUMBER(a_Adj3From),F$6&gt;=a_Adj3From,OR(IF(ISNUMBER(a_Adj3Set),a_Adj3Set,0)&gt;0,IF(ISNUMBER(a_Adj3Pct),a_Adj3Pct,0)&lt;&gt;0)),a_Adj3From-1,F19)</f>
        <v>0</v>
      </c>
      <c r="G21" s="25">
        <f>IF(AND(ISNUMBER(a_Adj3From),G$6&gt;=a_Adj3From,OR(IF(ISNUMBER(a_Adj3Set),a_Adj3Set,0)&gt;0,IF(ISNUMBER(a_Adj3Pct),a_Adj3Pct,0)&lt;&gt;0)),a_Adj3From-1,G19)</f>
        <v>0</v>
      </c>
      <c r="H21" s="25">
        <f>IF(AND(ISNUMBER(a_Adj3From),H$6&gt;=a_Adj3From,OR(IF(ISNUMBER(a_Adj3Set),a_Adj3Set,0)&gt;0,IF(ISNUMBER(a_Adj3Pct),a_Adj3Pct,0)&lt;&gt;0)),a_Adj3From-1,H19)</f>
        <v>0</v>
      </c>
      <c r="I21" s="25">
        <f>IF(AND(ISNUMBER(a_Adj3From),I$6&gt;=a_Adj3From,OR(IF(ISNUMBER(a_Adj3Set),a_Adj3Set,0)&gt;0,IF(ISNUMBER(a_Adj3Pct),a_Adj3Pct,0)&lt;&gt;0)),a_Adj3From-1,I19)</f>
        <v>0</v>
      </c>
      <c r="J21" s="25">
        <f>IF(AND(ISNUMBER(a_Adj3From),J$6&gt;=a_Adj3From,OR(IF(ISNUMBER(a_Adj3Set),a_Adj3Set,0)&gt;0,IF(ISNUMBER(a_Adj3Pct),a_Adj3Pct,0)&lt;&gt;0)),a_Adj3From-1,J19)</f>
        <v>0</v>
      </c>
      <c r="K21" s="25">
        <f>IF(AND(ISNUMBER(a_Adj3From),K$6&gt;=a_Adj3From,OR(IF(ISNUMBER(a_Adj3Set),a_Adj3Set,0)&gt;0,IF(ISNUMBER(a_Adj3Pct),a_Adj3Pct,0)&lt;&gt;0)),a_Adj3From-1,K19)</f>
        <v>0</v>
      </c>
      <c r="L21" s="25">
        <f>IF(AND(ISNUMBER(a_Adj3From),L$6&gt;=a_Adj3From,OR(IF(ISNUMBER(a_Adj3Set),a_Adj3Set,0)&gt;0,IF(ISNUMBER(a_Adj3Pct),a_Adj3Pct,0)&lt;&gt;0)),a_Adj3From-1,L19)</f>
        <v>0</v>
      </c>
      <c r="M21" s="25">
        <f>IF(AND(ISNUMBER(a_Adj3From),M$6&gt;=a_Adj3From,OR(IF(ISNUMBER(a_Adj3Set),a_Adj3Set,0)&gt;0,IF(ISNUMBER(a_Adj3Pct),a_Adj3Pct,0)&lt;&gt;0)),a_Adj3From-1,M19)</f>
        <v>0</v>
      </c>
      <c r="N21" s="25">
        <f>IF(AND(ISNUMBER(a_Adj3From),N$6&gt;=a_Adj3From,OR(IF(ISNUMBER(a_Adj3Set),a_Adj3Set,0)&gt;0,IF(ISNUMBER(a_Adj3Pct),a_Adj3Pct,0)&lt;&gt;0)),a_Adj3From-1,N19)</f>
        <v>0</v>
      </c>
      <c r="O21" s="25">
        <f>IF(AND(ISNUMBER(a_Adj3From),O$6&gt;=a_Adj3From,OR(IF(ISNUMBER(a_Adj3Set),a_Adj3Set,0)&gt;0,IF(ISNUMBER(a_Adj3Pct),a_Adj3Pct,0)&lt;&gt;0)),a_Adj3From-1,O19)</f>
        <v>0</v>
      </c>
    </row>
    <row r="22">
      <c r="B22" s="23" t="s">
        <v>974</v>
      </c>
      <c r="C22" s="7" t="s">
        <v>975</v>
      </c>
      <c r="E22" s="28">
        <f>E20*(1+a_TaxGrowth)^(E$6-1-E21)</f>
        <v>179100</v>
      </c>
      <c r="F22" s="28">
        <f>F20*(1+a_TaxGrowth)^(F$6-1-F21)</f>
        <v>183577.49999999997</v>
      </c>
      <c r="G22" s="28">
        <f>G20*(1+a_TaxGrowth)^(G$6-1-G21)</f>
        <v>188166.9375</v>
      </c>
      <c r="H22" s="28">
        <f>H20*(1+a_TaxGrowth)^(H$6-1-H21)</f>
        <v>192871.11093749994</v>
      </c>
      <c r="I22" s="28">
        <f>I20*(1+a_TaxGrowth)^(I$6-1-I21)</f>
        <v>197692.8887109374</v>
      </c>
      <c r="J22" s="28">
        <f>J20*(1+a_TaxGrowth)^(J$6-1-J21)</f>
        <v>202635.21092871085</v>
      </c>
      <c r="K22" s="28">
        <f>K20*(1+a_TaxGrowth)^(K$6-1-K21)</f>
        <v>207701.0912019286</v>
      </c>
      <c r="L22" s="28">
        <f>L20*(1+a_TaxGrowth)^(L$6-1-L21)</f>
        <v>212893.61848197682</v>
      </c>
      <c r="M22" s="28">
        <f>M20*(1+a_TaxGrowth)^(M$6-1-M21)</f>
        <v>218215.95894402618</v>
      </c>
      <c r="N22" s="28">
        <f>N20*(1+a_TaxGrowth)^(N$6-1-N21)</f>
        <v>223671.35791762685</v>
      </c>
      <c r="O22" s="28">
        <f>O20*(1+a_TaxGrowth)^(O$6-1-O21)</f>
        <v>229263.14186556748</v>
      </c>
    </row>
    <row r="23">
      <c r="B23" s="23" t="s">
        <v>976</v>
      </c>
      <c r="C23" s="7" t="s">
        <v>977</v>
      </c>
      <c r="E23" s="28">
        <f>a_GroundRent</f>
        <v>0</v>
      </c>
      <c r="F23" s="28">
        <f>a_GroundRent</f>
        <v>0</v>
      </c>
      <c r="G23" s="28">
        <f>a_GroundRent</f>
        <v>0</v>
      </c>
      <c r="H23" s="28">
        <f>a_GroundRent</f>
        <v>0</v>
      </c>
      <c r="I23" s="28">
        <f>a_GroundRent</f>
        <v>0</v>
      </c>
      <c r="J23" s="28">
        <f>a_GroundRent</f>
        <v>0</v>
      </c>
      <c r="K23" s="28">
        <f>a_GroundRent</f>
        <v>0</v>
      </c>
      <c r="L23" s="28">
        <f>a_GroundRent</f>
        <v>0</v>
      </c>
      <c r="M23" s="28">
        <f>a_GroundRent</f>
        <v>0</v>
      </c>
      <c r="N23" s="28">
        <f>a_GroundRent</f>
        <v>0</v>
      </c>
      <c r="O23" s="28">
        <f>a_GroundRent</f>
        <v>0</v>
      </c>
    </row>
    <row r="25">
      <c r="B25" s="23" t="s">
        <v>978</v>
      </c>
      <c r="C25" s="7" t="s">
        <v>681</v>
      </c>
      <c r="E25" s="28">
        <f>SUMIF('Leasing Engine'!$C$10:$C$434,"POT",'Leasing Engine'!G$10:G$434)</f>
        <v>1056956</v>
      </c>
      <c r="F25" s="28">
        <f>SUMIF('Leasing Engine'!$C$10:$C$434,"POT",'Leasing Engine'!H$10:H$434)</f>
        <v>1055724.412565574</v>
      </c>
      <c r="G25" s="28">
        <f>SUMIF('Leasing Engine'!$C$10:$C$434,"POT",'Leasing Engine'!I$10:I$434)</f>
        <v>1029942.9265309813</v>
      </c>
      <c r="H25" s="28">
        <f>SUMIF('Leasing Engine'!$C$10:$C$434,"POT",'Leasing Engine'!J$10:J$434)</f>
        <v>1020073.203359758</v>
      </c>
      <c r="I25" s="28">
        <f>SUMIF('Leasing Engine'!$C$10:$C$434,"POT",'Leasing Engine'!K$10:K$434)</f>
        <v>1012251.9957294203</v>
      </c>
      <c r="J25" s="28">
        <f>SUMIF('Leasing Engine'!$C$10:$C$434,"POT",'Leasing Engine'!L$10:L$434)</f>
        <v>1019680.871690667</v>
      </c>
      <c r="K25" s="28">
        <f>SUMIF('Leasing Engine'!$C$10:$C$434,"POT",'Leasing Engine'!M$10:M$434)</f>
        <v>1023257.8805875571</v>
      </c>
      <c r="L25" s="28">
        <f>SUMIF('Leasing Engine'!$C$10:$C$434,"POT",'Leasing Engine'!N$10:N$434)</f>
        <v>1064353.3349203153</v>
      </c>
      <c r="M25" s="28">
        <f>SUMIF('Leasing Engine'!$C$10:$C$434,"POT",'Leasing Engine'!O$10:O$434)</f>
        <v>1071530.0415657563</v>
      </c>
      <c r="N25" s="28">
        <f>SUMIF('Leasing Engine'!$C$10:$C$434,"POT",'Leasing Engine'!P$10:P$434)</f>
        <v>1094250.25060804</v>
      </c>
      <c r="O25" s="28">
        <f>SUMIF('Leasing Engine'!$C$10:$C$434,"POT",'Leasing Engine'!Q$10:Q$434)</f>
        <v>1119476.634907359</v>
      </c>
    </row>
    <row r="26">
      <c r="B26" s="23" t="s">
        <v>979</v>
      </c>
      <c r="C26" s="7" t="s">
        <v>682</v>
      </c>
      <c r="E26" s="28">
        <f>SUMIF('Leasing Engine'!$C$10:$C$434,"SCH",'Leasing Engine'!G$10:G$434)</f>
        <v>1026700</v>
      </c>
      <c r="F26" s="28">
        <f>SUMIF('Leasing Engine'!$C$10:$C$434,"SCH",'Leasing Engine'!H$10:H$434)</f>
        <v>1047835.5321490504</v>
      </c>
      <c r="G26" s="28">
        <f>SUMIF('Leasing Engine'!$C$10:$C$434,"SCH",'Leasing Engine'!I$10:I$434)</f>
        <v>1024601.6565263615</v>
      </c>
      <c r="H26" s="28">
        <f>SUMIF('Leasing Engine'!$C$10:$C$434,"SCH",'Leasing Engine'!J$10:J$434)</f>
        <v>1008065.1482386683</v>
      </c>
      <c r="I26" s="28">
        <f>SUMIF('Leasing Engine'!$C$10:$C$434,"SCH",'Leasing Engine'!K$10:K$434)</f>
        <v>977555.9838657512</v>
      </c>
      <c r="J26" s="28">
        <f>SUMIF('Leasing Engine'!$C$10:$C$434,"SCH",'Leasing Engine'!L$10:L$434)</f>
        <v>992754.5347695098</v>
      </c>
      <c r="K26" s="28">
        <f>SUMIF('Leasing Engine'!$C$10:$C$434,"SCH",'Leasing Engine'!M$10:M$434)</f>
        <v>1023257.8805875571</v>
      </c>
      <c r="L26" s="28">
        <f>SUMIF('Leasing Engine'!$C$10:$C$434,"SCH",'Leasing Engine'!N$10:N$434)</f>
        <v>1058021.164030558</v>
      </c>
      <c r="M26" s="28">
        <f>SUMIF('Leasing Engine'!$C$10:$C$434,"SCH",'Leasing Engine'!O$10:O$434)</f>
        <v>1071530.0415657563</v>
      </c>
      <c r="N26" s="28">
        <f>SUMIF('Leasing Engine'!$C$10:$C$434,"SCH",'Leasing Engine'!P$10:P$434)</f>
        <v>1075313.8257199323</v>
      </c>
      <c r="O26" s="28">
        <f>SUMIF('Leasing Engine'!$C$10:$C$434,"SCH",'Leasing Engine'!Q$10:Q$434)</f>
        <v>1112030.3599750223</v>
      </c>
    </row>
    <row r="27">
      <c r="B27" s="23" t="s">
        <v>980</v>
      </c>
      <c r="C27" s="7" t="s">
        <v>493</v>
      </c>
      <c r="E27" s="28">
        <f>SUMIF('Leasing Engine'!$C$10:$C$434,"FREE",'Leasing Engine'!G$10:G$434)</f>
        <v>7564</v>
      </c>
      <c r="F27" s="28">
        <f>SUMIF('Leasing Engine'!$C$10:$C$434,"FREE",'Leasing Engine'!H$10:H$434)</f>
        <v>1957.836447151276</v>
      </c>
      <c r="G27" s="28">
        <f>SUMIF('Leasing Engine'!$C$10:$C$434,"FREE",'Leasing Engine'!I$10:I$434)</f>
        <v>1387.4690134148666</v>
      </c>
      <c r="H27" s="28">
        <f>SUMIF('Leasing Engine'!$C$10:$C$434,"FREE",'Leasing Engine'!J$10:J$434)</f>
        <v>3091.1615457838852</v>
      </c>
      <c r="I27" s="28">
        <f>SUMIF('Leasing Engine'!$C$10:$C$434,"FREE",'Leasing Engine'!K$10:K$434)</f>
        <v>10659.120122913508</v>
      </c>
      <c r="J27" s="28">
        <f>SUMIF('Leasing Engine'!$C$10:$C$434,"FREE",'Leasing Engine'!L$10:L$434)</f>
        <v>8324.267487074767</v>
      </c>
      <c r="K27" s="28">
        <f>SUMIF('Leasing Engine'!$C$10:$C$434,"FREE",'Leasing Engine'!M$10:M$434)</f>
        <v>0</v>
      </c>
      <c r="L27" s="28">
        <f>SUMIF('Leasing Engine'!$C$10:$C$434,"FREE",'Leasing Engine'!N$10:N$434)</f>
        <v>1824.7024579211118</v>
      </c>
      <c r="M27" s="28">
        <f>SUMIF('Leasing Engine'!$C$10:$C$434,"FREE",'Leasing Engine'!O$10:O$434)</f>
        <v>0</v>
      </c>
      <c r="N27" s="28">
        <f>SUMIF('Leasing Engine'!$C$10:$C$434,"FREE",'Leasing Engine'!P$10:P$434)</f>
        <v>4155.0420879936555</v>
      </c>
      <c r="O27" s="28">
        <f>SUMIF('Leasing Engine'!$C$10:$C$434,"FREE",'Leasing Engine'!Q$10:Q$434)</f>
        <v>1528.9486967856194</v>
      </c>
    </row>
    <row r="28">
      <c r="B28" s="23" t="s">
        <v>981</v>
      </c>
      <c r="C28" s="7" t="s">
        <v>683</v>
      </c>
      <c r="E28" s="24">
        <f>SUMIF('Leasing Engine'!$C$10:$C$434,"OCC",'Leasing Engine'!G$10:G$434)</f>
        <v>11.316582914572864</v>
      </c>
      <c r="F28" s="24">
        <f>SUMIF('Leasing Engine'!$C$10:$C$434,"OCC",'Leasing Engine'!H$10:H$434)</f>
        <v>11.517587939698492</v>
      </c>
      <c r="G28" s="24">
        <f>SUMIF('Leasing Engine'!$C$10:$C$434,"OCC",'Leasing Engine'!I$10:I$434)</f>
        <v>11.52964824120603</v>
      </c>
      <c r="H28" s="24">
        <f>SUMIF('Leasing Engine'!$C$10:$C$434,"OCC",'Leasing Engine'!J$10:J$434)</f>
        <v>11.49748743718593</v>
      </c>
      <c r="I28" s="24">
        <f>SUMIF('Leasing Engine'!$C$10:$C$434,"OCC",'Leasing Engine'!K$10:K$434)</f>
        <v>11.390150753768843</v>
      </c>
      <c r="J28" s="24">
        <f>SUMIF('Leasing Engine'!$C$10:$C$434,"OCC",'Leasing Engine'!L$10:L$434)</f>
        <v>11.47537688442211</v>
      </c>
      <c r="K28" s="24">
        <f>SUMIF('Leasing Engine'!$C$10:$C$434,"OCC",'Leasing Engine'!M$10:M$434)</f>
        <v>11.646231155778894</v>
      </c>
      <c r="L28" s="24">
        <f>SUMIF('Leasing Engine'!$C$10:$C$434,"OCC",'Leasing Engine'!N$10:N$434)</f>
        <v>11.614070351758793</v>
      </c>
      <c r="M28" s="24">
        <f>SUMIF('Leasing Engine'!$C$10:$C$434,"OCC",'Leasing Engine'!O$10:O$434)</f>
        <v>11.646231155778894</v>
      </c>
      <c r="N28" s="24">
        <f>SUMIF('Leasing Engine'!$C$10:$C$434,"OCC",'Leasing Engine'!P$10:P$434)</f>
        <v>11.57788944723618</v>
      </c>
      <c r="O28" s="24">
        <f>SUMIF('Leasing Engine'!$C$10:$C$434,"OCC",'Leasing Engine'!Q$10:Q$434)</f>
        <v>11.622110552763818</v>
      </c>
    </row>
    <row r="29">
      <c r="B29" s="23" t="s">
        <v>982</v>
      </c>
      <c r="C29" s="7" t="s">
        <v>685</v>
      </c>
      <c r="E29" s="24">
        <f>SUMIF('Leasing Engine'!$C$10:$C$434,"ADM",'Leasing Engine'!G$10:G$434)</f>
        <v>0</v>
      </c>
      <c r="F29" s="24">
        <f>SUMIF('Leasing Engine'!$C$10:$C$434,"ADM",'Leasing Engine'!H$10:H$434)</f>
        <v>0</v>
      </c>
      <c r="G29" s="24">
        <f>SUMIF('Leasing Engine'!$C$10:$C$434,"ADM",'Leasing Engine'!I$10:I$434)</f>
        <v>0</v>
      </c>
      <c r="H29" s="24">
        <f>SUMIF('Leasing Engine'!$C$10:$C$434,"ADM",'Leasing Engine'!J$10:J$434)</f>
        <v>0</v>
      </c>
      <c r="I29" s="24">
        <f>SUMIF('Leasing Engine'!$C$10:$C$434,"ADM",'Leasing Engine'!K$10:K$434)</f>
        <v>0</v>
      </c>
      <c r="J29" s="24">
        <f>SUMIF('Leasing Engine'!$C$10:$C$434,"ADM",'Leasing Engine'!L$10:L$434)</f>
        <v>0</v>
      </c>
      <c r="K29" s="24">
        <f>SUMIF('Leasing Engine'!$C$10:$C$434,"ADM",'Leasing Engine'!M$10:M$434)</f>
        <v>0</v>
      </c>
      <c r="L29" s="24">
        <f>SUMIF('Leasing Engine'!$C$10:$C$434,"ADM",'Leasing Engine'!N$10:N$434)</f>
        <v>0</v>
      </c>
      <c r="M29" s="24">
        <f>SUMIF('Leasing Engine'!$C$10:$C$434,"ADM",'Leasing Engine'!O$10:O$434)</f>
        <v>0</v>
      </c>
      <c r="N29" s="24">
        <f>SUMIF('Leasing Engine'!$C$10:$C$434,"ADM",'Leasing Engine'!P$10:P$434)</f>
        <v>0</v>
      </c>
      <c r="O29" s="24">
        <f>SUMIF('Leasing Engine'!$C$10:$C$434,"ADM",'Leasing Engine'!Q$10:Q$434)</f>
        <v>0</v>
      </c>
    </row>
    <row r="30">
      <c r="B30" s="23" t="s">
        <v>690</v>
      </c>
      <c r="C30" s="7" t="s">
        <v>689</v>
      </c>
      <c r="E30" s="28">
        <f>SUMIF('Leasing Engine'!$C$10:$C$434,"BYR",'Leasing Engine'!G$10:G$434)</f>
        <v>0</v>
      </c>
      <c r="F30" s="28">
        <f>SUMIF('Leasing Engine'!$C$10:$C$434,"BYR",'Leasing Engine'!H$10:H$434)</f>
        <v>248.59999999999906</v>
      </c>
      <c r="G30" s="28">
        <f>SUMIF('Leasing Engine'!$C$10:$C$434,"BYR",'Leasing Engine'!I$10:I$434)</f>
        <v>502.99699999999984</v>
      </c>
      <c r="H30" s="28">
        <f>SUMIF('Leasing Engine'!$C$10:$C$434,"BYR",'Leasing Engine'!J$10:J$434)</f>
        <v>763.3275649999985</v>
      </c>
      <c r="I30" s="28">
        <f>SUMIF('Leasing Engine'!$C$10:$C$434,"BYR",'Leasing Engine'!K$10:K$434)</f>
        <v>772.2986301937474</v>
      </c>
      <c r="J30" s="28">
        <f>SUMIF('Leasing Engine'!$C$10:$C$434,"BYR",'Leasing Engine'!L$10:L$434)</f>
        <v>218.0963644233001</v>
      </c>
      <c r="K30" s="28">
        <f>SUMIF('Leasing Engine'!$C$10:$C$434,"BYR",'Leasing Engine'!M$10:M$434)</f>
        <v>441.283172642878</v>
      </c>
      <c r="L30" s="28">
        <f>SUMIF('Leasing Engine'!$C$10:$C$434,"BYR",'Leasing Engine'!N$10:N$434)</f>
        <v>669.6804464473564</v>
      </c>
      <c r="M30" s="28">
        <f>SUMIF('Leasing Engine'!$C$10:$C$434,"BYR",'Leasing Engine'!O$10:O$434)</f>
        <v>903.4110633839424</v>
      </c>
      <c r="N30" s="28">
        <f>SUMIF('Leasing Engine'!$C$10:$C$434,"BYR",'Leasing Engine'!P$10:P$434)</f>
        <v>1142.6008252566842</v>
      </c>
      <c r="O30" s="28">
        <f>SUMIF('Leasing Engine'!$C$10:$C$434,"BYR",'Leasing Engine'!Q$10:Q$434)</f>
        <v>1387.3785282792344</v>
      </c>
    </row>
    <row r="31">
      <c r="B31" s="23" t="s">
        <v>531</v>
      </c>
      <c r="C31" s="7" t="s">
        <v>530</v>
      </c>
      <c r="E31" s="28">
        <f>SUMIF('Leasing Engine'!$C$10:$C$434,"TI",'Leasing Engine'!G$10:G$434)</f>
        <v>24000</v>
      </c>
      <c r="F31" s="28">
        <f>SUMIF('Leasing Engine'!$C$10:$C$434,"TI",'Leasing Engine'!H$10:H$434)</f>
        <v>14541.58339276819</v>
      </c>
      <c r="G31" s="28">
        <f>SUMIF('Leasing Engine'!$C$10:$C$434,"TI",'Leasing Engine'!I$10:I$434)</f>
        <v>10263.444616858145</v>
      </c>
      <c r="H31" s="28">
        <f>SUMIF('Leasing Engine'!$C$10:$C$434,"TI",'Leasing Engine'!J$10:J$434)</f>
        <v>22574.139190089525</v>
      </c>
      <c r="I31" s="28">
        <f>SUMIF('Leasing Engine'!$C$10:$C$434,"TI",'Leasing Engine'!K$10:K$434)</f>
        <v>80019.3043414439</v>
      </c>
      <c r="J31" s="28">
        <f>SUMIF('Leasing Engine'!$C$10:$C$434,"TI",'Leasing Engine'!L$10:L$434)</f>
        <v>61884.029356415835</v>
      </c>
      <c r="K31" s="28">
        <f>SUMIF('Leasing Engine'!$C$10:$C$434,"TI",'Leasing Engine'!M$10:M$434)</f>
        <v>0</v>
      </c>
      <c r="L31" s="28">
        <f>SUMIF('Leasing Engine'!$C$10:$C$434,"TI",'Leasing Engine'!N$10:N$434)</f>
        <v>13079.346183225669</v>
      </c>
      <c r="M31" s="28">
        <f>SUMIF('Leasing Engine'!$C$10:$C$434,"TI",'Leasing Engine'!O$10:O$434)</f>
        <v>0</v>
      </c>
      <c r="N31" s="28">
        <f>SUMIF('Leasing Engine'!$C$10:$C$434,"TI",'Leasing Engine'!P$10:P$434)</f>
        <v>28681.882216942337</v>
      </c>
      <c r="O31" s="28">
        <f>SUMIF('Leasing Engine'!$C$10:$C$434,"TI",'Leasing Engine'!Q$10:Q$434)</f>
        <v>10409.93010330641</v>
      </c>
    </row>
    <row r="32">
      <c r="B32" s="23" t="s">
        <v>533</v>
      </c>
      <c r="C32" s="7" t="s">
        <v>532</v>
      </c>
      <c r="E32" s="28">
        <f>SUMIF('Leasing Engine'!$C$10:$C$434,"LC",'Leasing Engine'!G$10:G$434)</f>
        <v>11591.772787158123</v>
      </c>
      <c r="F32" s="28">
        <f>SUMIF('Leasing Engine'!$C$10:$C$434,"LC",'Leasing Engine'!H$10:H$434)</f>
        <v>9053.064598069921</v>
      </c>
      <c r="G32" s="28">
        <f>SUMIF('Leasing Engine'!$C$10:$C$434,"LC",'Leasing Engine'!I$10:I$434)</f>
        <v>6415.67717494565</v>
      </c>
      <c r="H32" s="28">
        <f>SUMIF('Leasing Engine'!$C$10:$C$434,"LC",'Leasing Engine'!J$10:J$434)</f>
        <v>14293.576563951316</v>
      </c>
      <c r="I32" s="28">
        <f>SUMIF('Leasing Engine'!$C$10:$C$434,"LC",'Leasing Engine'!K$10:K$434)</f>
        <v>46727.83605060122</v>
      </c>
      <c r="J32" s="28">
        <f>SUMIF('Leasing Engine'!$C$10:$C$434,"LC",'Leasing Engine'!L$10:L$434)</f>
        <v>36759.395476918355</v>
      </c>
      <c r="K32" s="28">
        <f>SUMIF('Leasing Engine'!$C$10:$C$434,"LC",'Leasing Engine'!M$10:M$434)</f>
        <v>0</v>
      </c>
      <c r="L32" s="28">
        <f>SUMIF('Leasing Engine'!$C$10:$C$434,"LC",'Leasing Engine'!N$10:N$434)</f>
        <v>8437.45106893518</v>
      </c>
      <c r="M32" s="28">
        <f>SUMIF('Leasing Engine'!$C$10:$C$434,"LC",'Leasing Engine'!O$10:O$434)</f>
        <v>0</v>
      </c>
      <c r="N32" s="28">
        <f>SUMIF('Leasing Engine'!$C$10:$C$434,"LC",'Leasing Engine'!P$10:P$434)</f>
        <v>19212.975877039346</v>
      </c>
      <c r="O32" s="28">
        <f>SUMIF('Leasing Engine'!$C$10:$C$434,"LC",'Leasing Engine'!Q$10:Q$434)</f>
        <v>7069.881316835821</v>
      </c>
    </row>
    <row r="33">
      <c r="B33" s="23" t="s">
        <v>983</v>
      </c>
      <c r="C33" s="7" t="s">
        <v>691</v>
      </c>
      <c r="E33" s="28">
        <f>SUMIF('Leasing Engine'!$C$10:$C$434,"LU",'Leasing Engine'!G$10:G$434)</f>
        <v>35591.77278715812</v>
      </c>
      <c r="F33" s="28">
        <f>SUMIF('Leasing Engine'!$C$10:$C$434,"LU",'Leasing Engine'!H$10:H$434)</f>
        <v>0</v>
      </c>
      <c r="G33" s="28">
        <f>SUMIF('Leasing Engine'!$C$10:$C$434,"LU",'Leasing Engine'!I$10:I$434)</f>
        <v>0</v>
      </c>
      <c r="H33" s="28">
        <f>SUMIF('Leasing Engine'!$C$10:$C$434,"LU",'Leasing Engine'!J$10:J$434)</f>
        <v>0</v>
      </c>
      <c r="I33" s="28">
        <f>SUMIF('Leasing Engine'!$C$10:$C$434,"LU",'Leasing Engine'!K$10:K$434)</f>
        <v>0</v>
      </c>
      <c r="J33" s="28">
        <f>SUMIF('Leasing Engine'!$C$10:$C$434,"LU",'Leasing Engine'!L$10:L$434)</f>
        <v>0</v>
      </c>
      <c r="K33" s="28">
        <f>SUMIF('Leasing Engine'!$C$10:$C$434,"LU",'Leasing Engine'!M$10:M$434)</f>
        <v>0</v>
      </c>
      <c r="L33" s="28">
        <f>SUMIF('Leasing Engine'!$C$10:$C$434,"LU",'Leasing Engine'!N$10:N$434)</f>
        <v>0</v>
      </c>
      <c r="M33" s="28">
        <f>SUMIF('Leasing Engine'!$C$10:$C$434,"LU",'Leasing Engine'!O$10:O$434)</f>
        <v>0</v>
      </c>
      <c r="N33" s="28">
        <f>SUMIF('Leasing Engine'!$C$10:$C$434,"LU",'Leasing Engine'!P$10:P$434)</f>
        <v>0</v>
      </c>
      <c r="O33" s="28">
        <f>SUMIF('Leasing Engine'!$C$10:$C$434,"LU",'Leasing Engine'!Q$10:Q$434)</f>
        <v>0</v>
      </c>
    </row>
    <row r="34">
      <c r="B34" s="23" t="s">
        <v>500</v>
      </c>
      <c r="C34" s="7" t="s">
        <v>499</v>
      </c>
      <c r="E34" s="28">
        <f>SUMIF('Leasing Engine'!$C$10:$C$434,"PCT",'Leasing Engine'!G$10:G$434)</f>
        <v>0</v>
      </c>
      <c r="F34" s="28">
        <f>SUMIF('Leasing Engine'!$C$10:$C$434,"PCT",'Leasing Engine'!H$10:H$434)</f>
        <v>0</v>
      </c>
      <c r="G34" s="28">
        <f>SUMIF('Leasing Engine'!$C$10:$C$434,"PCT",'Leasing Engine'!I$10:I$434)</f>
        <v>0</v>
      </c>
      <c r="H34" s="28">
        <f>SUMIF('Leasing Engine'!$C$10:$C$434,"PCT",'Leasing Engine'!J$10:J$434)</f>
        <v>0</v>
      </c>
      <c r="I34" s="28">
        <f>SUMIF('Leasing Engine'!$C$10:$C$434,"PCT",'Leasing Engine'!K$10:K$434)</f>
        <v>0</v>
      </c>
      <c r="J34" s="28">
        <f>SUMIF('Leasing Engine'!$C$10:$C$434,"PCT",'Leasing Engine'!L$10:L$434)</f>
        <v>0</v>
      </c>
      <c r="K34" s="28">
        <f>SUMIF('Leasing Engine'!$C$10:$C$434,"PCT",'Leasing Engine'!M$10:M$434)</f>
        <v>0</v>
      </c>
      <c r="L34" s="28">
        <f>SUMIF('Leasing Engine'!$C$10:$C$434,"PCT",'Leasing Engine'!N$10:N$434)</f>
        <v>0</v>
      </c>
      <c r="M34" s="28">
        <f>SUMIF('Leasing Engine'!$C$10:$C$434,"PCT",'Leasing Engine'!O$10:O$434)</f>
        <v>0</v>
      </c>
      <c r="N34" s="28">
        <f>SUMIF('Leasing Engine'!$C$10:$C$434,"PCT",'Leasing Engine'!P$10:P$434)</f>
        <v>0</v>
      </c>
      <c r="O34" s="28">
        <f>SUMIF('Leasing Engine'!$C$10:$C$434,"PCT",'Leasing Engine'!Q$10:Q$434)</f>
        <v>0</v>
      </c>
    </row>
    <row r="35">
      <c r="B35" s="23" t="s">
        <v>984</v>
      </c>
      <c r="C35" s="7" t="s">
        <v>985</v>
      </c>
      <c r="E35" s="28">
        <f>SUMIFS('Leasing Engine'!G$10:G$434,'Leasing Engine'!$C$10:$C$434,"POT",'Leasing Engine'!$E$10:$E$434,1)</f>
        <v>464000</v>
      </c>
      <c r="F35" s="28">
        <f>SUMIFS('Leasing Engine'!H$10:H$434,'Leasing Engine'!$C$10:$C$434,"POT",'Leasing Engine'!$E$10:$E$434,1)</f>
        <v>464000</v>
      </c>
      <c r="G35" s="28">
        <f>SUMIFS('Leasing Engine'!I$10:I$434,'Leasing Engine'!$C$10:$C$434,"POT",'Leasing Engine'!$E$10:$E$434,1)</f>
        <v>464000</v>
      </c>
      <c r="H35" s="28">
        <f>SUMIFS('Leasing Engine'!J$10:J$434,'Leasing Engine'!$C$10:$C$434,"POT",'Leasing Engine'!$E$10:$E$434,1)</f>
        <v>464000</v>
      </c>
      <c r="I35" s="28">
        <f>SUMIFS('Leasing Engine'!K$10:K$434,'Leasing Engine'!$C$10:$C$434,"POT",'Leasing Engine'!$E$10:$E$434,1)</f>
        <v>464000</v>
      </c>
      <c r="J35" s="28">
        <f>SUMIFS('Leasing Engine'!L$10:L$434,'Leasing Engine'!$C$10:$C$434,"POT",'Leasing Engine'!$E$10:$E$434,1)</f>
        <v>464000</v>
      </c>
      <c r="K35" s="28">
        <f>SUMIFS('Leasing Engine'!M$10:M$434,'Leasing Engine'!$C$10:$C$434,"POT",'Leasing Engine'!$E$10:$E$434,1)</f>
        <v>464000</v>
      </c>
      <c r="L35" s="28">
        <f>SUMIFS('Leasing Engine'!N$10:N$434,'Leasing Engine'!$C$10:$C$434,"POT",'Leasing Engine'!$E$10:$E$434,1)</f>
        <v>496000</v>
      </c>
      <c r="M35" s="28">
        <f>SUMIFS('Leasing Engine'!O$10:O$434,'Leasing Engine'!$C$10:$C$434,"POT",'Leasing Engine'!$E$10:$E$434,1)</f>
        <v>496000</v>
      </c>
      <c r="N35" s="28">
        <f>SUMIFS('Leasing Engine'!P$10:P$434,'Leasing Engine'!$C$10:$C$434,"POT",'Leasing Engine'!$E$10:$E$434,1)</f>
        <v>496000</v>
      </c>
      <c r="O35" s="28">
        <f>SUMIFS('Leasing Engine'!Q$10:Q$434,'Leasing Engine'!$C$10:$C$434,"POT",'Leasing Engine'!$E$10:$E$434,1)</f>
        <v>496000</v>
      </c>
    </row>
    <row r="36">
      <c r="B36" s="23" t="s">
        <v>986</v>
      </c>
      <c r="C36" s="7" t="s">
        <v>987</v>
      </c>
      <c r="E36" s="28">
        <f>SUMIFS('Leasing Engine'!G$10:G$434,'Leasing Engine'!$C$10:$C$434,"SCH",'Leasing Engine'!$E$10:$E$434,1)</f>
        <v>464000</v>
      </c>
      <c r="F36" s="28">
        <f>SUMIFS('Leasing Engine'!H$10:H$434,'Leasing Engine'!$C$10:$C$434,"SCH",'Leasing Engine'!$E$10:$E$434,1)</f>
        <v>464000</v>
      </c>
      <c r="G36" s="28">
        <f>SUMIFS('Leasing Engine'!I$10:I$434,'Leasing Engine'!$C$10:$C$434,"SCH",'Leasing Engine'!$E$10:$E$434,1)</f>
        <v>464000</v>
      </c>
      <c r="H36" s="28">
        <f>SUMIFS('Leasing Engine'!J$10:J$434,'Leasing Engine'!$C$10:$C$434,"SCH",'Leasing Engine'!$E$10:$E$434,1)</f>
        <v>464000</v>
      </c>
      <c r="I36" s="28">
        <f>SUMIFS('Leasing Engine'!K$10:K$434,'Leasing Engine'!$C$10:$C$434,"SCH",'Leasing Engine'!$E$10:$E$434,1)</f>
        <v>464000</v>
      </c>
      <c r="J36" s="28">
        <f>SUMIFS('Leasing Engine'!L$10:L$434,'Leasing Engine'!$C$10:$C$434,"SCH",'Leasing Engine'!$E$10:$E$434,1)</f>
        <v>464000</v>
      </c>
      <c r="K36" s="28">
        <f>SUMIFS('Leasing Engine'!M$10:M$434,'Leasing Engine'!$C$10:$C$434,"SCH",'Leasing Engine'!$E$10:$E$434,1)</f>
        <v>464000</v>
      </c>
      <c r="L36" s="28">
        <f>SUMIFS('Leasing Engine'!N$10:N$434,'Leasing Engine'!$C$10:$C$434,"SCH",'Leasing Engine'!$E$10:$E$434,1)</f>
        <v>496000</v>
      </c>
      <c r="M36" s="28">
        <f>SUMIFS('Leasing Engine'!O$10:O$434,'Leasing Engine'!$C$10:$C$434,"SCH",'Leasing Engine'!$E$10:$E$434,1)</f>
        <v>496000</v>
      </c>
      <c r="N36" s="28">
        <f>SUMIFS('Leasing Engine'!P$10:P$434,'Leasing Engine'!$C$10:$C$434,"SCH",'Leasing Engine'!$E$10:$E$434,1)</f>
        <v>496000</v>
      </c>
      <c r="O36" s="28">
        <f>SUMIFS('Leasing Engine'!Q$10:Q$434,'Leasing Engine'!$C$10:$C$434,"SCH",'Leasing Engine'!$E$10:$E$434,1)</f>
        <v>496000</v>
      </c>
    </row>
    <row r="37">
      <c r="B37" s="23" t="s">
        <v>988</v>
      </c>
      <c r="C37" s="7" t="s">
        <v>989</v>
      </c>
      <c r="E37" s="28">
        <f>SUMIFS('Leasing Engine'!G$10:G$434,'Leasing Engine'!$C$10:$C$434,"FREE",'Leasing Engine'!$E$10:$E$434,1)</f>
        <v>0</v>
      </c>
      <c r="F37" s="28">
        <f>SUMIFS('Leasing Engine'!H$10:H$434,'Leasing Engine'!$C$10:$C$434,"FREE",'Leasing Engine'!$E$10:$E$434,1)</f>
        <v>0</v>
      </c>
      <c r="G37" s="28">
        <f>SUMIFS('Leasing Engine'!I$10:I$434,'Leasing Engine'!$C$10:$C$434,"FREE",'Leasing Engine'!$E$10:$E$434,1)</f>
        <v>0</v>
      </c>
      <c r="H37" s="28">
        <f>SUMIFS('Leasing Engine'!J$10:J$434,'Leasing Engine'!$C$10:$C$434,"FREE",'Leasing Engine'!$E$10:$E$434,1)</f>
        <v>0</v>
      </c>
      <c r="I37" s="28">
        <f>SUMIFS('Leasing Engine'!K$10:K$434,'Leasing Engine'!$C$10:$C$434,"FREE",'Leasing Engine'!$E$10:$E$434,1)</f>
        <v>0</v>
      </c>
      <c r="J37" s="28">
        <f>SUMIFS('Leasing Engine'!L$10:L$434,'Leasing Engine'!$C$10:$C$434,"FREE",'Leasing Engine'!$E$10:$E$434,1)</f>
        <v>0</v>
      </c>
      <c r="K37" s="28">
        <f>SUMIFS('Leasing Engine'!M$10:M$434,'Leasing Engine'!$C$10:$C$434,"FREE",'Leasing Engine'!$E$10:$E$434,1)</f>
        <v>0</v>
      </c>
      <c r="L37" s="28">
        <f>SUMIFS('Leasing Engine'!N$10:N$434,'Leasing Engine'!$C$10:$C$434,"FREE",'Leasing Engine'!$E$10:$E$434,1)</f>
        <v>0</v>
      </c>
      <c r="M37" s="28">
        <f>SUMIFS('Leasing Engine'!O$10:O$434,'Leasing Engine'!$C$10:$C$434,"FREE",'Leasing Engine'!$E$10:$E$434,1)</f>
        <v>0</v>
      </c>
      <c r="N37" s="28">
        <f>SUMIFS('Leasing Engine'!P$10:P$434,'Leasing Engine'!$C$10:$C$434,"FREE",'Leasing Engine'!$E$10:$E$434,1)</f>
        <v>0</v>
      </c>
      <c r="O37" s="28">
        <f>SUMIFS('Leasing Engine'!Q$10:Q$434,'Leasing Engine'!$C$10:$C$434,"FREE",'Leasing Engine'!$E$10:$E$434,1)</f>
        <v>0</v>
      </c>
    </row>
    <row r="38">
      <c r="B38" s="23" t="s">
        <v>297</v>
      </c>
      <c r="C38" s="7" t="s">
        <v>296</v>
      </c>
      <c r="E38" s="28">
        <f>E28/12*(E11+E22+E12)+E29/12*E11+E30</f>
        <v>275870</v>
      </c>
      <c r="F38" s="28">
        <f>F28/12*(F11+F22+F12)+F29/12*F11+F30</f>
        <v>287493.49999999994</v>
      </c>
      <c r="G38" s="28">
        <f>G28/12*(G11+G22+G12)+G29/12*G11+G30</f>
        <v>294681.5006</v>
      </c>
      <c r="H38" s="28">
        <f>H28/12*(H11+H22+H12)+H29/12*H11+H30</f>
        <v>300889.84425499995</v>
      </c>
      <c r="I38" s="28">
        <f>I28/12*(I11+I22+I12)+I29/12*I11+I30</f>
        <v>304958.7738899264</v>
      </c>
      <c r="J38" s="28">
        <f>J28/12*(J11+J22+J12)+J29/12*J11+J30</f>
        <v>313755.12979010766</v>
      </c>
      <c r="K38" s="28">
        <f>K28/12*(K11+K22+K12)+K29/12*K11+K30</f>
        <v>325993.9092135041</v>
      </c>
      <c r="L38" s="28">
        <f>L28/12*(L11+L22+L12)+L29/12*L11+L30</f>
        <v>332821.4789531685</v>
      </c>
      <c r="M38" s="28">
        <f>M28/12*(M11+M22+M12)+M29/12*M11+M30</f>
        <v>341669.4973255732</v>
      </c>
      <c r="N38" s="28">
        <f>N28/12*(N11+N22+N12)+N29/12*N11+N30</f>
        <v>347737.05274223885</v>
      </c>
      <c r="O38" s="28">
        <f>O28/12*(O11+O22+O12)+O29/12*O11+O30</f>
        <v>357347.13255636336</v>
      </c>
    </row>
    <row r="39">
      <c r="B39" s="23" t="s">
        <v>990</v>
      </c>
      <c r="C39" s="7" t="s">
        <v>991</v>
      </c>
      <c r="E39" s="28">
        <f>E25-E26</f>
        <v>30256</v>
      </c>
      <c r="F39" s="28">
        <f>F25-F26</f>
        <v>7888.880416523665</v>
      </c>
      <c r="G39" s="28">
        <f>G25-G26</f>
        <v>5341.270004619844</v>
      </c>
      <c r="H39" s="28">
        <f>H25-H26</f>
        <v>12008.055121089681</v>
      </c>
      <c r="I39" s="28">
        <f>I25-I26</f>
        <v>34696.01186366915</v>
      </c>
      <c r="J39" s="28">
        <f>J25-J26</f>
        <v>26926.3369211572</v>
      </c>
      <c r="K39" s="28">
        <f>K25-K26</f>
        <v>0</v>
      </c>
      <c r="L39" s="28">
        <f>L25-L26</f>
        <v>6332.170889757341</v>
      </c>
      <c r="M39" s="28">
        <f>M25-M26</f>
        <v>0</v>
      </c>
      <c r="N39" s="28">
        <f>N25-N26</f>
        <v>18936.424888107693</v>
      </c>
      <c r="O39" s="28">
        <f>O25-O26</f>
        <v>7446.274932336761</v>
      </c>
    </row>
    <row r="40">
      <c r="B40" s="23" t="s">
        <v>992</v>
      </c>
      <c r="C40" s="7" t="s">
        <v>993</v>
      </c>
      <c r="E40" s="28">
        <f>MAX(0,E25-E35)</f>
        <v>592956</v>
      </c>
      <c r="F40" s="28">
        <f>MAX(0,F25-F35)</f>
        <v>591724.412565574</v>
      </c>
      <c r="G40" s="28">
        <f>MAX(0,G25-G35)</f>
        <v>565942.9265309813</v>
      </c>
      <c r="H40" s="28">
        <f>MAX(0,H25-H35)</f>
        <v>556073.203359758</v>
      </c>
      <c r="I40" s="28">
        <f>MAX(0,I25-I35)</f>
        <v>548251.9957294203</v>
      </c>
      <c r="J40" s="28">
        <f>MAX(0,J25-J35)</f>
        <v>555680.871690667</v>
      </c>
      <c r="K40" s="28">
        <f>MAX(0,K25-K35)</f>
        <v>559257.8805875571</v>
      </c>
      <c r="L40" s="28">
        <f>MAX(0,L25-L35)</f>
        <v>568353.3349203153</v>
      </c>
      <c r="M40" s="28">
        <f>MAX(0,M25-M35)</f>
        <v>575530.0415657563</v>
      </c>
      <c r="N40" s="28">
        <f>MAX(0,N25-N35)</f>
        <v>598250.25060804</v>
      </c>
      <c r="O40" s="28">
        <f>MAX(0,O25-O35)</f>
        <v>623476.634907359</v>
      </c>
    </row>
    <row r="41">
      <c r="B41" s="23" t="s">
        <v>994</v>
      </c>
      <c r="C41" s="7" t="s">
        <v>995</v>
      </c>
      <c r="E41" s="28">
        <f>MAX(0,(E39-E27)-(E35-E36-E37))</f>
        <v>22692</v>
      </c>
      <c r="F41" s="28">
        <f>MAX(0,(F39-F27)-(F35-F36-F37))</f>
        <v>5931.043969372389</v>
      </c>
      <c r="G41" s="28">
        <f>MAX(0,(G39-G27)-(G35-G36-G37))</f>
        <v>3953.8009912049774</v>
      </c>
      <c r="H41" s="28">
        <f>MAX(0,(H39-H27)-(H35-H36-H37))</f>
        <v>8916.893575305796</v>
      </c>
      <c r="I41" s="28">
        <f>MAX(0,(I39-I27)-(I35-I36-I37))</f>
        <v>24036.89174075564</v>
      </c>
      <c r="J41" s="28">
        <f>MAX(0,(J39-J27)-(J35-J36-J37))</f>
        <v>18602.069434082434</v>
      </c>
      <c r="K41" s="28">
        <f>MAX(0,(K39-K27)-(K35-K36-K37))</f>
        <v>0</v>
      </c>
      <c r="L41" s="28">
        <f>MAX(0,(L39-L27)-(L35-L36-L37))</f>
        <v>4507.468431836229</v>
      </c>
      <c r="M41" s="28">
        <f>MAX(0,(M39-M27)-(M35-M36-M37))</f>
        <v>0</v>
      </c>
      <c r="N41" s="28">
        <f>MAX(0,(N39-N27)-(N35-N36-N37))</f>
        <v>14781.382800114037</v>
      </c>
      <c r="O41" s="28">
        <f>MAX(0,(O39-O27)-(O35-O36-O37))</f>
        <v>5917.3262355511415</v>
      </c>
    </row>
    <row r="42">
      <c r="B42" s="23" t="s">
        <v>89</v>
      </c>
      <c r="C42" s="7" t="s">
        <v>996</v>
      </c>
      <c r="E42" s="28">
        <f>IF(E$6&lt;a_VacStart,0,MAX(0,in_GeneralVacancy*(E40+E38*IF(E25&gt;0,E40/E25,1))-E41))</f>
        <v>7216.801261585155</v>
      </c>
      <c r="F42" s="28">
        <f>IF(F$6&lt;a_VacStart,0,MAX(0,in_GeneralVacancy*(F40+F38*IF(F25&gt;0,F40/F25,1))-F41))</f>
        <v>24183.437454009592</v>
      </c>
      <c r="G42" s="28">
        <f>IF(G$6&lt;a_VacStart,0,MAX(0,in_GeneralVacancy*(G40+G38*IF(G25&gt;0,G40/G25,1))-G41))</f>
        <v>25160.892863528024</v>
      </c>
      <c r="H42" s="28">
        <f>IF(H$6&lt;a_VacStart,0,MAX(0,in_GeneralVacancy*(H40+H38*IF(H25&gt;0,H40/H25,1))-H41))</f>
        <v>19887.006026709187</v>
      </c>
      <c r="I42" s="28">
        <f>IF(I$6&lt;a_VacStart,0,MAX(0,in_GeneralVacancy*(I40+I38*IF(I25&gt;0,I40/I25,1))-I41))</f>
        <v>4500.011571337418</v>
      </c>
      <c r="J42" s="28">
        <f>IF(J$6&lt;a_VacStart,0,MAX(0,in_GeneralVacancy*(J40+J38*IF(J25&gt;0,J40/J25,1))-J41))</f>
        <v>10464.47090095429</v>
      </c>
      <c r="K42" s="28">
        <f>IF(K$6&lt;a_VacStart,0,MAX(0,in_GeneralVacancy*(K40+K38*IF(K25&gt;0,K40/K25,1))-K41))</f>
        <v>29497.146737236097</v>
      </c>
      <c r="L42" s="28">
        <f>IF(L$6&lt;a_VacStart,0,MAX(0,in_GeneralVacancy*(L40+L38*IF(L25&gt;0,L40/L25,1))-L41))</f>
        <v>25335.58984133078</v>
      </c>
      <c r="M42" s="28">
        <f>IF(M$6&lt;a_VacStart,0,MAX(0,in_GeneralVacancy*(M40+M38*IF(M25&gt;0,M40/M25,1))-M41))</f>
        <v>30361.77271037053</v>
      </c>
      <c r="N42" s="28">
        <f>IF(N$6&lt;a_VacStart,0,MAX(0,in_GeneralVacancy*(N40+N38*IF(N25&gt;0,N40/N25,1))-N41))</f>
        <v>16753.241573919542</v>
      </c>
      <c r="O42" s="28">
        <f>IF(O$6&lt;a_VacStart,0,MAX(0,in_GeneralVacancy*(O40+O38*IF(O25&gt;0,O40/O25,1))-O41))</f>
        <v>26982.515857738697</v>
      </c>
    </row>
    <row r="43">
      <c r="B43" s="23" t="s">
        <v>90</v>
      </c>
      <c r="C43" s="7" t="s">
        <v>512</v>
      </c>
      <c r="E43" s="28">
        <f>IF(E$6&lt;a_VacStart,0,in_CreditLoss*(E26+E38))</f>
        <v>13025.7</v>
      </c>
      <c r="F43" s="28">
        <f>IF(F$6&lt;a_VacStart,0,in_CreditLoss*(F26+F38))</f>
        <v>13353.290321490504</v>
      </c>
      <c r="G43" s="28">
        <f>IF(G$6&lt;a_VacStart,0,in_CreditLoss*(G26+G38))</f>
        <v>13192.831571263616</v>
      </c>
      <c r="H43" s="28">
        <f>IF(H$6&lt;a_VacStart,0,in_CreditLoss*(H26+H38))</f>
        <v>13089.549924936684</v>
      </c>
      <c r="I43" s="28">
        <f>IF(I$6&lt;a_VacStart,0,in_CreditLoss*(I26+I38))</f>
        <v>12825.147577556778</v>
      </c>
      <c r="J43" s="28">
        <f>IF(J$6&lt;a_VacStart,0,in_CreditLoss*(J26+J38))</f>
        <v>13065.096645596175</v>
      </c>
      <c r="K43" s="28">
        <f>IF(K$6&lt;a_VacStart,0,in_CreditLoss*(K26+K38))</f>
        <v>13492.517898010612</v>
      </c>
      <c r="L43" s="28">
        <f>IF(L$6&lt;a_VacStart,0,in_CreditLoss*(L26+L38))</f>
        <v>13908.426429837265</v>
      </c>
      <c r="M43" s="28">
        <f>IF(M$6&lt;a_VacStart,0,in_CreditLoss*(M26+M38))</f>
        <v>14131.995388913294</v>
      </c>
      <c r="N43" s="28">
        <f>IF(N$6&lt;a_VacStart,0,in_CreditLoss*(N26+N38))</f>
        <v>14230.508784621712</v>
      </c>
      <c r="O43" s="28">
        <f>IF(O$6&lt;a_VacStart,0,in_CreditLoss*(O26+O38))</f>
        <v>14693.774925313857</v>
      </c>
    </row>
    <row r="45">
      <c r="B45" s="23" t="s">
        <v>558</v>
      </c>
      <c r="C45" s="7" t="s">
        <v>557</v>
      </c>
      <c r="E45" s="28">
        <f>SUMIF('Debt'!$D$40:$D$171,E$6,'Debt'!$F$40:$F$171)*E7</f>
        <v>380037.46726147406</v>
      </c>
      <c r="F45" s="28">
        <f>SUMIF('Debt'!$D$40:$D$171,F$6,'Debt'!$F$40:$F$171)*F7</f>
        <v>375873.069659217</v>
      </c>
      <c r="G45" s="28">
        <f>SUMIF('Debt'!$D$40:$D$171,G$6,'Debt'!$F$40:$F$171)*G7</f>
        <v>371416.8061503862</v>
      </c>
      <c r="H45" s="28">
        <f>SUMIF('Debt'!$D$40:$D$171,H$6,'Debt'!$F$40:$F$171)*H7</f>
        <v>366648.22102552355</v>
      </c>
      <c r="I45" s="28">
        <f>SUMIF('Debt'!$D$40:$D$171,I$6,'Debt'!$F$40:$F$171)*I7</f>
        <v>361545.4249166309</v>
      </c>
      <c r="J45" s="28">
        <f>SUMIF('Debt'!$D$40:$D$171,J$6,'Debt'!$F$40:$F$171)*J7</f>
        <v>356084.99431780016</v>
      </c>
      <c r="K45" s="28">
        <f>SUMIF('Debt'!$D$40:$D$171,K$6,'Debt'!$F$40:$F$171)*K7</f>
        <v>350241.8640636466</v>
      </c>
      <c r="L45" s="28">
        <f>SUMIF('Debt'!$D$40:$D$171,L$6,'Debt'!$F$40:$F$171)*L7</f>
        <v>0</v>
      </c>
      <c r="M45" s="28">
        <f>SUMIF('Debt'!$D$40:$D$171,M$6,'Debt'!$F$40:$F$171)*M7</f>
        <v>0</v>
      </c>
      <c r="N45" s="28">
        <f>SUMIF('Debt'!$D$40:$D$171,N$6,'Debt'!$F$40:$F$171)*N7</f>
        <v>0</v>
      </c>
      <c r="O45" s="28">
        <f>SUMIF('Debt'!$D$40:$D$171,O$6,'Debt'!$F$40:$F$171)*O7</f>
        <v>0</v>
      </c>
    </row>
    <row r="46">
      <c r="B46" s="23" t="s">
        <v>560</v>
      </c>
      <c r="C46" s="7" t="s">
        <v>559</v>
      </c>
      <c r="E46" s="28">
        <f>SUMIF('Debt'!$D$40:$D$171,E$6,'Debt'!$G$40:$G$171)*E7</f>
        <v>59418.40756005212</v>
      </c>
      <c r="F46" s="28">
        <f>SUMIF('Debt'!$D$40:$D$171,F$6,'Debt'!$G$40:$G$171)*F7</f>
        <v>63582.80516230906</v>
      </c>
      <c r="G46" s="28">
        <f>SUMIF('Debt'!$D$40:$D$171,G$6,'Debt'!$G$40:$G$171)*G7</f>
        <v>68039.06867113973</v>
      </c>
      <c r="H46" s="28">
        <f>SUMIF('Debt'!$D$40:$D$171,H$6,'Debt'!$G$40:$G$171)*H7</f>
        <v>72807.65379600236</v>
      </c>
      <c r="I46" s="28">
        <f>SUMIF('Debt'!$D$40:$D$171,I$6,'Debt'!$G$40:$G$171)*I7</f>
        <v>77910.4499048949</v>
      </c>
      <c r="J46" s="28">
        <f>SUMIF('Debt'!$D$40:$D$171,J$6,'Debt'!$G$40:$G$171)*J7</f>
        <v>83370.88050372562</v>
      </c>
      <c r="K46" s="28">
        <f>SUMIF('Debt'!$D$40:$D$171,K$6,'Debt'!$G$40:$G$171)*K7</f>
        <v>89214.01075787915</v>
      </c>
      <c r="L46" s="28">
        <f>SUMIF('Debt'!$D$40:$D$171,L$6,'Debt'!$G$40:$G$171)*L7</f>
        <v>0</v>
      </c>
      <c r="M46" s="28">
        <f>SUMIF('Debt'!$D$40:$D$171,M$6,'Debt'!$G$40:$G$171)*M7</f>
        <v>0</v>
      </c>
      <c r="N46" s="28">
        <f>SUMIF('Debt'!$D$40:$D$171,N$6,'Debt'!$G$40:$G$171)*N7</f>
        <v>0</v>
      </c>
      <c r="O46" s="28">
        <f>SUMIF('Debt'!$D$40:$D$171,O$6,'Debt'!$G$40:$G$171)*O7</f>
        <v>0</v>
      </c>
    </row>
    <row r="47">
      <c r="B47" s="23" t="s">
        <v>997</v>
      </c>
      <c r="C47" s="7" t="s">
        <v>998</v>
      </c>
      <c r="E47" s="28">
        <f>INDEX('Debt'!$I$40:$I$171,12*E$6)</f>
        <v>5561981.592439948</v>
      </c>
      <c r="F47" s="28">
        <f>INDEX('Debt'!$I$40:$I$171,12*F$6)</f>
        <v>5498398.787277638</v>
      </c>
      <c r="G47" s="28">
        <f>INDEX('Debt'!$I$40:$I$171,12*G$6)</f>
        <v>5430359.718606497</v>
      </c>
      <c r="H47" s="28">
        <f>INDEX('Debt'!$I$40:$I$171,12*H$6)</f>
        <v>5357552.064810495</v>
      </c>
      <c r="I47" s="28">
        <f>INDEX('Debt'!$I$40:$I$171,12*I$6)</f>
        <v>5279641.6149055995</v>
      </c>
      <c r="J47" s="28">
        <f>INDEX('Debt'!$I$40:$I$171,12*J$6)</f>
        <v>5196270.734401874</v>
      </c>
      <c r="K47" s="28">
        <f>INDEX('Debt'!$I$40:$I$171,12*K$6)</f>
        <v>5107056.723643995</v>
      </c>
      <c r="L47" s="28">
        <f>INDEX('Debt'!$I$40:$I$171,12*L$6)</f>
        <v>5011590.061094459</v>
      </c>
      <c r="M47" s="28">
        <f>INDEX('Debt'!$I$40:$I$171,12*M$6)</f>
        <v>4909432.523495552</v>
      </c>
      <c r="N47" s="28">
        <f>INDEX('Debt'!$I$40:$I$171,12*N$6)</f>
        <v>4800115.17428104</v>
      </c>
      <c r="O47" s="28">
        <f>INDEX('Debt'!$I$40:$I$171,12*O$6)</f>
        <v>4683136.211003682</v>
      </c>
    </row>
    <row r="48">
      <c r="B48" s="23" t="s">
        <v>602</v>
      </c>
      <c r="C48" s="7" t="s">
        <v>999</v>
      </c>
      <c r="E48" s="28">
        <f>E45+E46</f>
        <v>439455.8748215262</v>
      </c>
      <c r="F48" s="28">
        <f>F45+F46</f>
        <v>439455.8748215261</v>
      </c>
      <c r="G48" s="28">
        <f>G45+G46</f>
        <v>439455.87482152594</v>
      </c>
      <c r="H48" s="28">
        <f>H45+H46</f>
        <v>439455.8748215259</v>
      </c>
      <c r="I48" s="28">
        <f>I45+I46</f>
        <v>439455.87482152577</v>
      </c>
      <c r="J48" s="28">
        <f>J45+J46</f>
        <v>439455.87482152577</v>
      </c>
      <c r="K48" s="28">
        <f>K45+K46</f>
        <v>439455.87482152577</v>
      </c>
      <c r="L48" s="28">
        <f>L45+L46</f>
        <v>0</v>
      </c>
      <c r="M48" s="28">
        <f>M45+M46</f>
        <v>0</v>
      </c>
      <c r="N48" s="28">
        <f>N45+N46</f>
        <v>0</v>
      </c>
      <c r="O48" s="28">
        <f>O45+O46</f>
        <v>0</v>
      </c>
    </row>
    <row r="50">
      <c r="B50" s="23" t="s">
        <v>1000</v>
      </c>
      <c r="C50" s="7" t="s">
        <v>1001</v>
      </c>
      <c r="E50" s="28">
        <f>E33*IF(E$6&lt;=in_HoldYears+1,1,0)</f>
        <v>35591.77278715812</v>
      </c>
      <c r="F50" s="28">
        <f>F33*IF(F$6&lt;=in_HoldYears+1,1,0)</f>
        <v>0</v>
      </c>
      <c r="G50" s="28">
        <f>G33*IF(G$6&lt;=in_HoldYears+1,1,0)</f>
        <v>0</v>
      </c>
      <c r="H50" s="28">
        <f>H33*IF(H$6&lt;=in_HoldYears+1,1,0)</f>
        <v>0</v>
      </c>
      <c r="I50" s="28">
        <f>I33*IF(I$6&lt;=in_HoldYears+1,1,0)</f>
        <v>0</v>
      </c>
      <c r="J50" s="28">
        <f>J33*IF(J$6&lt;=in_HoldYears+1,1,0)</f>
        <v>0</v>
      </c>
      <c r="K50" s="28">
        <f>K33*IF(K$6&lt;=in_HoldYears+1,1,0)</f>
        <v>0</v>
      </c>
      <c r="L50" s="28">
        <f>L33*IF(L$6&lt;=in_HoldYears+1,1,0)</f>
        <v>0</v>
      </c>
      <c r="M50" s="28">
        <f>M33*IF(M$6&lt;=in_HoldYears+1,1,0)</f>
        <v>0</v>
      </c>
      <c r="N50" s="28">
        <f>N33*IF(N$6&lt;=in_HoldYears+1,1,0)</f>
        <v>0</v>
      </c>
      <c r="O50" s="28">
        <f>O33*IF(O$6&lt;=in_HoldYears+1,1,0)</f>
        <v>0</v>
      </c>
    </row>
  </sheetData>
  <sheetProtection sheet="1" objects="1" scenarios="1" formatColumns="0" formatRows="0" autoFilter="0"/>
  <hyperlinks>
    <hyperlink ref="I2" location="'Executive Summary'!A1" display="Back to summary"/>
  </hyperlinks>
  <pageMargins left="0.5" right="0.5" top="0.6" bottom="0.6" header="0.3" footer="0.3"/>
  <ignoredErrors>
    <ignoredError sqref="A1:O50" numberStoredAsText="1" formula="1" formulaRange="1" unlockedFormula="1" emptyCellReference="1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5B7C93"/>
  </sheetPr>
  <dimension ref="B1:AI56"/>
  <sheetViews>
    <sheetView workbookViewId="0" showGridLines="0" zoomScale="90" zoomScaleNormal="90"/>
  </sheetViews>
  <sheetFormatPr defaultRowHeight="15"/>
  <cols>
    <col min="1" max="1" width="2.5" customWidth="1"/>
    <col min="2" max="4" width="6" customWidth="1"/>
    <col min="5" max="36" width="13" customWidth="1"/>
  </cols>
  <sheetData>
    <row r="1" ht="20" customHeight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6" customHeight="1">
      <c r="B2" s="3" t="s">
        <v>1002</v>
      </c>
      <c r="I2" s="30" t="s">
        <v>65</v>
      </c>
    </row>
    <row r="3">
      <c r="B3" s="4" t="s">
        <v>2</v>
      </c>
    </row>
    <row r="4">
      <c r="B4" s="22" t="s">
        <v>1003</v>
      </c>
    </row>
    <row r="6">
      <c r="B6" s="31" t="s">
        <v>1004</v>
      </c>
      <c r="C6" s="31" t="s">
        <v>1005</v>
      </c>
      <c r="D6" s="31" t="s">
        <v>1006</v>
      </c>
      <c r="E6" s="31" t="s">
        <v>1007</v>
      </c>
      <c r="F6" s="31" t="s">
        <v>1008</v>
      </c>
      <c r="G6" s="31" t="s">
        <v>1009</v>
      </c>
      <c r="H6" s="31" t="s">
        <v>319</v>
      </c>
      <c r="I6" s="31" t="s">
        <v>1010</v>
      </c>
      <c r="J6" s="31" t="s">
        <v>435</v>
      </c>
      <c r="K6" s="31" t="s">
        <v>1011</v>
      </c>
      <c r="L6" s="31" t="s">
        <v>1012</v>
      </c>
      <c r="M6" s="31" t="s">
        <v>1013</v>
      </c>
      <c r="N6" s="31" t="s">
        <v>114</v>
      </c>
      <c r="O6" s="31" t="s">
        <v>612</v>
      </c>
      <c r="P6" s="31" t="s">
        <v>1014</v>
      </c>
      <c r="Q6" s="31" t="s">
        <v>585</v>
      </c>
      <c r="R6" s="31" t="s">
        <v>1015</v>
      </c>
      <c r="S6" s="31" t="s">
        <v>1016</v>
      </c>
      <c r="T6" s="31" t="s">
        <v>450</v>
      </c>
      <c r="U6" s="31" t="s">
        <v>30</v>
      </c>
      <c r="V6" s="31" t="s">
        <v>1017</v>
      </c>
      <c r="W6" s="31" t="s">
        <v>1018</v>
      </c>
      <c r="X6" s="105">
        <v>0</v>
      </c>
      <c r="Y6" s="105">
        <v>1</v>
      </c>
      <c r="Z6" s="105">
        <v>2</v>
      </c>
      <c r="AA6" s="105">
        <v>3</v>
      </c>
      <c r="AB6" s="105">
        <v>4</v>
      </c>
      <c r="AC6" s="105">
        <v>5</v>
      </c>
      <c r="AD6" s="105">
        <v>6</v>
      </c>
      <c r="AE6" s="105">
        <v>7</v>
      </c>
      <c r="AF6" s="105">
        <v>8</v>
      </c>
      <c r="AG6" s="105">
        <v>9</v>
      </c>
      <c r="AH6" s="105">
        <v>10</v>
      </c>
      <c r="AI6" s="105">
        <v>11</v>
      </c>
    </row>
    <row r="7">
      <c r="B7" s="25">
        <v>1</v>
      </c>
      <c r="C7" s="25">
        <v>-2</v>
      </c>
      <c r="D7" s="25">
        <v>-2</v>
      </c>
      <c r="E7" s="28">
        <f>in_PurchasePrice*(1+(-2)*s_PriceStep)</f>
        <v>8432100</v>
      </c>
      <c r="F7" s="88">
        <f>in_ExitCap+(-2)*s_CapStep</f>
        <v>0.0989</v>
      </c>
      <c r="G7" s="88">
        <f>in_InterestRate</f>
        <v>0.067</v>
      </c>
      <c r="H7" s="28">
        <f>E7*in_ClosingCostPct+a_ClosingOther</f>
        <v>126481.5</v>
      </c>
      <c r="I7" s="28">
        <f>E7+H7+a_UpfrontOther+a_LeaseUpReserve</f>
        <v>8610173.272787157</v>
      </c>
      <c r="J7" s="88">
        <f>G7*a_DayFactor/12</f>
        <v>0.005660879629629629</v>
      </c>
      <c r="K7" s="24">
        <f>IF(J7=0,1/(in_AmortYears*12),J7/(1-(1+J7)^(-in_AmortYears*12)))</f>
        <v>0.006514626765893523</v>
      </c>
      <c r="L7" s="24">
        <f>MIN(12,in_IOYears*12)*J7+(12-MIN(12,in_IOYears*12))*K7</f>
        <v>0.07817552119072227</v>
      </c>
      <c r="M7" s="28">
        <f>MAX(0,MIN(I7,IF(a_LoanMode="Fixed amount",a_FixedLoan,IF(a_LoanMode="LTC",I7*a_LTCTarget,IF(a_LoanMode="Lender tests",MIN(E7*a_LTVTarget,IF(AND(a_MinDSCR&gt;0,L7&gt;0),out_NOI_Y1/a_MinDSCR/L7,9E+99),IF(a_MinDY&gt;0,out_NOI_Y1/a_MinDY,9E+99)),E7*a_LTVTarget)))))</f>
        <v>5059260</v>
      </c>
      <c r="N7" s="28">
        <f>I7+M7*a_LoanFeePct+a_IntReserve-M7</f>
        <v>3601505.872787157</v>
      </c>
      <c r="O7" s="28">
        <f>M7*K7</f>
        <v>32959.19061161447</v>
      </c>
      <c r="P7" s="25">
        <f>MAX(0,12*in_HoldYears-ROUND(in_IOYears*12,0))</f>
        <v>84</v>
      </c>
      <c r="Q7" s="28">
        <f>MAX(0,IF(J7=0,M7*(1-P7/(in_AmortYears*12)),M7*((1+J7)^(in_AmortYears*12)-(1+J7)^P7)/((1+J7)^(in_AmortYears*12)-1)))</f>
        <v>4596351.051279602</v>
      </c>
      <c r="R7" s="28">
        <f>IF(Q7&lt;=0,0,IF(a_Prepay="Step-down 5-4-3-2-1",Q7*IF(in_HoldYears&lt;5,CHOOSE(in_HoldYears+1,5,4,3,2,1),0)/100,IF(a_Prepay="Step-down 3-2-1",Q7*IF(in_HoldYears&lt;3,CHOOSE(in_HoldYears+1,3,2,1),0)/100,IF(AND(OR(a_Prepay="Yield maintenance",a_Prepay="Yield maintenance (1% floor)"),a_LoanTerm&gt;in_HoldYears,G7&gt;0,a_IndexRate&gt;0),Q7*MAX(IF(a_Prepay="Yield maintenance",0.5,1),(O7*(1-(1+(a_IndexRate/12))^(-(a_LoanTerm*12-in_HoldYears*12)))/(a_IndexRate/12)+MAX(0,Q7*(1+(G7/12))^(a_LoanTerm*12-in_HoldYears*12)-O7*((1+(G7/12))^(a_LoanTerm*12-in_HoldYears*12)-1)/(G7/12))/(1+(a_IndexRate/12))^(a_LoanTerm*12-in_HoldYears*12)-Q7)/Q7*100+IF(a_Prepay="Yield maintenance",0,1))/100,0))))</f>
        <v>0</v>
      </c>
      <c r="S7" s="28">
        <f>IF(F7&gt;0,out_ExitNOI/F7,0)</f>
        <v>9786265.259330101</v>
      </c>
      <c r="T7" s="28">
        <f>S7*IF(a_SaleCostMode="Market tiers",IF(S7&gt;a_Tier3Over,a_Tier3Pct,IF(S7&gt;a_Tier2Over,a_Tier2Pct,a_Tier1Pct)),a_SaleCostEntered)</f>
        <v>244656.63148325254</v>
      </c>
      <c r="U7" s="28">
        <f>S7-T7-r_LeasingAfterSale-Q7-R7-M7*a_ExtN*a_ExtFeeBps/10000-Q7*a_ExitFeePct</f>
        <v>4923740.779315085</v>
      </c>
      <c r="V7" s="106">
        <f>IFERROR(IRR(X7:AI7),"")</f>
        <v>0.16788580396375818</v>
      </c>
      <c r="W7" s="87">
        <f>SUMIF(Y7:AI7,"&gt;0")/(N7-SUMIF(Y7:AI7,"&lt;0"))</f>
        <v>2.301598525451208</v>
      </c>
      <c r="X7" s="28">
        <f>-N7</f>
        <v>-3601505.872787157</v>
      </c>
      <c r="Y7" s="28">
        <f>IF(1&lt;=in_HoldYears,'Cash Flow'!E54-((12-(MAX(0,12*1-ROUND(in_IOYears*12,0))-MAX(0,12*(1-1)-ROUND(in_IOYears*12,0))))*M7*J7+(MAX(0,12*1-ROUND(in_IOYears*12,0))-MAX(0,12*(1-1)-ROUND(in_IOYears*12,0)))*O7)+'Cash Flow'!E61+IF(1=in_HoldYears,U7,0),0)</f>
        <v>543877.3864368888</v>
      </c>
      <c r="Z7" s="28">
        <f>IF(2&lt;=in_HoldYears,'Cash Flow'!F54-((12-(MAX(0,12*2-ROUND(in_IOYears*12,0))-MAX(0,12*(2-1)-ROUND(in_IOYears*12,0))))*M7*J7+(MAX(0,12*2-ROUND(in_IOYears*12,0))-MAX(0,12*(2-1)-ROUND(in_IOYears*12,0)))*O7)+'Cash Flow'!F61+IF(2=in_HoldYears,U7,0),0)</f>
        <v>528238.9999121319</v>
      </c>
      <c r="AA7" s="28">
        <f>IF(3&lt;=in_HoldYears,'Cash Flow'!G54-((12-(MAX(0,12*3-ROUND(in_IOYears*12,0))-MAX(0,12*(3-1)-ROUND(in_IOYears*12,0))))*M7*J7+(MAX(0,12*3-ROUND(in_IOYears*12,0))-MAX(0,12*(3-1)-ROUND(in_IOYears*12,0)))*O7)+'Cash Flow'!G61+IF(3=in_HoldYears,U7,0),0)</f>
        <v>511588.16857964545</v>
      </c>
      <c r="AB7" s="28">
        <f>IF(4&lt;=in_HoldYears,'Cash Flow'!H54-((12-(MAX(0,12*4-ROUND(in_IOYears*12,0))-MAX(0,12*(4-1)-ROUND(in_IOYears*12,0))))*M7*J7+(MAX(0,12*4-ROUND(in_IOYears*12,0))-MAX(0,12*(4-1)-ROUND(in_IOYears*12,0)))*O7)+'Cash Flow'!H61+IF(4=in_HoldYears,U7,0),0)</f>
        <v>479219.07191234746</v>
      </c>
      <c r="AC7" s="28">
        <f>IF(5&lt;=in_HoldYears,'Cash Flow'!I54-((12-(MAX(0,12*5-ROUND(in_IOYears*12,0))-MAX(0,12*(5-1)-ROUND(in_IOYears*12,0))))*M7*J7+(MAX(0,12*5-ROUND(in_IOYears*12,0))-MAX(0,12*(5-1)-ROUND(in_IOYears*12,0)))*O7)+'Cash Flow'!I61+IF(5=in_HoldYears,U7,0),0)</f>
        <v>371323.7883833613</v>
      </c>
      <c r="AD7" s="28">
        <f>IF(6&lt;=in_HoldYears,'Cash Flow'!J54-((12-(MAX(0,12*6-ROUND(in_IOYears*12,0))-MAX(0,12*(6-1)-ROUND(in_IOYears*12,0))))*M7*J7+(MAX(0,12*6-ROUND(in_IOYears*12,0))-MAX(0,12*(6-1)-ROUND(in_IOYears*12,0)))*O7)+'Cash Flow'!J61+IF(6=in_HoldYears,U7,0),0)</f>
        <v>408956.8714323663</v>
      </c>
      <c r="AE7" s="28">
        <f>IF(7&lt;=in_HoldYears,'Cash Flow'!K54-((12-(MAX(0,12*7-ROUND(in_IOYears*12,0))-MAX(0,12*(7-1)-ROUND(in_IOYears*12,0))))*M7*J7+(MAX(0,12*7-ROUND(in_IOYears*12,0))-MAX(0,12*(7-1)-ROUND(in_IOYears*12,0)))*O7)+'Cash Flow'!K61+IF(7=in_HoldYears,U7,0),0)</f>
        <v>5446016.319554046</v>
      </c>
      <c r="AF7" s="28">
        <f>IF(8&lt;=in_HoldYears,'Cash Flow'!L54-((12-(MAX(0,12*8-ROUND(in_IOYears*12,0))-MAX(0,12*(8-1)-ROUND(in_IOYears*12,0))))*M7*J7+(MAX(0,12*8-ROUND(in_IOYears*12,0))-MAX(0,12*(8-1)-ROUND(in_IOYears*12,0)))*O7)+'Cash Flow'!L61+IF(8=in_HoldYears,U7,0),0)</f>
        <v>0</v>
      </c>
      <c r="AG7" s="28">
        <f>IF(9&lt;=in_HoldYears,'Cash Flow'!M54-((12-(MAX(0,12*9-ROUND(in_IOYears*12,0))-MAX(0,12*(9-1)-ROUND(in_IOYears*12,0))))*M7*J7+(MAX(0,12*9-ROUND(in_IOYears*12,0))-MAX(0,12*(9-1)-ROUND(in_IOYears*12,0)))*O7)+'Cash Flow'!M61+IF(9=in_HoldYears,U7,0),0)</f>
        <v>0</v>
      </c>
      <c r="AH7" s="28">
        <f>IF(10&lt;=in_HoldYears,'Cash Flow'!N54-((12-(MAX(0,12*10-ROUND(in_IOYears*12,0))-MAX(0,12*(10-1)-ROUND(in_IOYears*12,0))))*M7*J7+(MAX(0,12*10-ROUND(in_IOYears*12,0))-MAX(0,12*(10-1)-ROUND(in_IOYears*12,0)))*O7)+'Cash Flow'!N61+IF(10=in_HoldYears,U7,0),0)</f>
        <v>0</v>
      </c>
      <c r="AI7" s="28">
        <f>IF(11&lt;=in_HoldYears,'Cash Flow'!O54-((12-(MAX(0,12*11-ROUND(in_IOYears*12,0))-MAX(0,12*(11-1)-ROUND(in_IOYears*12,0))))*M7*J7+(MAX(0,12*11-ROUND(in_IOYears*12,0))-MAX(0,12*(11-1)-ROUND(in_IOYears*12,0)))*O7)+'Cash Flow'!O61+IF(11=in_HoldYears,U7,0),0)</f>
        <v>0</v>
      </c>
    </row>
    <row r="8">
      <c r="B8" s="25">
        <v>1</v>
      </c>
      <c r="C8" s="25">
        <v>-2</v>
      </c>
      <c r="D8" s="25">
        <v>-1</v>
      </c>
      <c r="E8" s="28">
        <f>in_PurchasePrice*(1+(-2)*s_PriceStep)</f>
        <v>8432100</v>
      </c>
      <c r="F8" s="88">
        <f>in_ExitCap+(-1)*s_CapStep</f>
        <v>0.1014</v>
      </c>
      <c r="G8" s="88">
        <f>in_InterestRate</f>
        <v>0.067</v>
      </c>
      <c r="H8" s="28">
        <f>E8*in_ClosingCostPct+a_ClosingOther</f>
        <v>126481.5</v>
      </c>
      <c r="I8" s="28">
        <f>E8+H8+a_UpfrontOther+a_LeaseUpReserve</f>
        <v>8610173.272787157</v>
      </c>
      <c r="J8" s="88">
        <f>G8*a_DayFactor/12</f>
        <v>0.005660879629629629</v>
      </c>
      <c r="K8" s="24">
        <f>IF(J8=0,1/(in_AmortYears*12),J8/(1-(1+J8)^(-in_AmortYears*12)))</f>
        <v>0.006514626765893523</v>
      </c>
      <c r="L8" s="24">
        <f>MIN(12,in_IOYears*12)*J8+(12-MIN(12,in_IOYears*12))*K8</f>
        <v>0.07817552119072227</v>
      </c>
      <c r="M8" s="28">
        <f>MAX(0,MIN(I8,IF(a_LoanMode="Fixed amount",a_FixedLoan,IF(a_LoanMode="LTC",I8*a_LTCTarget,IF(a_LoanMode="Lender tests",MIN(E8*a_LTVTarget,IF(AND(a_MinDSCR&gt;0,L8&gt;0),out_NOI_Y1/a_MinDSCR/L8,9E+99),IF(a_MinDY&gt;0,out_NOI_Y1/a_MinDY,9E+99)),E8*a_LTVTarget)))))</f>
        <v>5059260</v>
      </c>
      <c r="N8" s="28">
        <f>I8+M8*a_LoanFeePct+a_IntReserve-M8</f>
        <v>3601505.872787157</v>
      </c>
      <c r="O8" s="28">
        <f>M8*K8</f>
        <v>32959.19061161447</v>
      </c>
      <c r="P8" s="25">
        <f>MAX(0,12*in_HoldYears-ROUND(in_IOYears*12,0))</f>
        <v>84</v>
      </c>
      <c r="Q8" s="28">
        <f>MAX(0,IF(J8=0,M8*(1-P8/(in_AmortYears*12)),M8*((1+J8)^(in_AmortYears*12)-(1+J8)^P8)/((1+J8)^(in_AmortYears*12)-1)))</f>
        <v>4596351.051279602</v>
      </c>
      <c r="R8" s="28">
        <f>IF(Q8&lt;=0,0,IF(a_Prepay="Step-down 5-4-3-2-1",Q8*IF(in_HoldYears&lt;5,CHOOSE(in_HoldYears+1,5,4,3,2,1),0)/100,IF(a_Prepay="Step-down 3-2-1",Q8*IF(in_HoldYears&lt;3,CHOOSE(in_HoldYears+1,3,2,1),0)/100,IF(AND(OR(a_Prepay="Yield maintenance",a_Prepay="Yield maintenance (1% floor)"),a_LoanTerm&gt;in_HoldYears,G8&gt;0,a_IndexRate&gt;0),Q8*MAX(IF(a_Prepay="Yield maintenance",0.5,1),(O8*(1-(1+(a_IndexRate/12))^(-(a_LoanTerm*12-in_HoldYears*12)))/(a_IndexRate/12)+MAX(0,Q8*(1+(G8/12))^(a_LoanTerm*12-in_HoldYears*12)-O8*((1+(G8/12))^(a_LoanTerm*12-in_HoldYears*12)-1)/(G8/12))/(1+(a_IndexRate/12))^(a_LoanTerm*12-in_HoldYears*12)-Q8)/Q8*100+IF(a_Prepay="Yield maintenance",0,1))/100,0))))</f>
        <v>0</v>
      </c>
      <c r="S8" s="28">
        <f>IF(F8&gt;0,out_ExitNOI/F8,0)</f>
        <v>9544986.530056676</v>
      </c>
      <c r="T8" s="28">
        <f>S8*IF(a_SaleCostMode="Market tiers",IF(S8&gt;a_Tier3Over,a_Tier3Pct,IF(S8&gt;a_Tier2Over,a_Tier2Pct,a_Tier1Pct)),a_SaleCostEntered)</f>
        <v>238624.6632514169</v>
      </c>
      <c r="U8" s="28">
        <f>S8-T8-r_LeasingAfterSale-Q8-R8-M8*a_ExtN*a_ExtFeeBps/10000-Q8*a_ExitFeePct</f>
        <v>4688494.018273496</v>
      </c>
      <c r="V8" s="106">
        <f>IFERROR(IRR(X8:AI8),"")</f>
        <v>0.16263118078109112</v>
      </c>
      <c r="W8" s="87">
        <f>SUMIF(Y8:AI8,"&gt;0")/(N8-SUMIF(Y8:AI8,"&lt;0"))</f>
        <v>2.2362795257463612</v>
      </c>
      <c r="X8" s="28">
        <f>-N8</f>
        <v>-3601505.872787157</v>
      </c>
      <c r="Y8" s="28">
        <f>IF(1&lt;=in_HoldYears,'Cash Flow'!E54-((12-(MAX(0,12*1-ROUND(in_IOYears*12,0))-MAX(0,12*(1-1)-ROUND(in_IOYears*12,0))))*M8*J8+(MAX(0,12*1-ROUND(in_IOYears*12,0))-MAX(0,12*(1-1)-ROUND(in_IOYears*12,0)))*O8)+'Cash Flow'!E61+IF(1=in_HoldYears,U8,0),0)</f>
        <v>543877.3864368888</v>
      </c>
      <c r="Z8" s="28">
        <f>IF(2&lt;=in_HoldYears,'Cash Flow'!F54-((12-(MAX(0,12*2-ROUND(in_IOYears*12,0))-MAX(0,12*(2-1)-ROUND(in_IOYears*12,0))))*M8*J8+(MAX(0,12*2-ROUND(in_IOYears*12,0))-MAX(0,12*(2-1)-ROUND(in_IOYears*12,0)))*O8)+'Cash Flow'!F61+IF(2=in_HoldYears,U8,0),0)</f>
        <v>528238.9999121319</v>
      </c>
      <c r="AA8" s="28">
        <f>IF(3&lt;=in_HoldYears,'Cash Flow'!G54-((12-(MAX(0,12*3-ROUND(in_IOYears*12,0))-MAX(0,12*(3-1)-ROUND(in_IOYears*12,0))))*M8*J8+(MAX(0,12*3-ROUND(in_IOYears*12,0))-MAX(0,12*(3-1)-ROUND(in_IOYears*12,0)))*O8)+'Cash Flow'!G61+IF(3=in_HoldYears,U8,0),0)</f>
        <v>511588.16857964545</v>
      </c>
      <c r="AB8" s="28">
        <f>IF(4&lt;=in_HoldYears,'Cash Flow'!H54-((12-(MAX(0,12*4-ROUND(in_IOYears*12,0))-MAX(0,12*(4-1)-ROUND(in_IOYears*12,0))))*M8*J8+(MAX(0,12*4-ROUND(in_IOYears*12,0))-MAX(0,12*(4-1)-ROUND(in_IOYears*12,0)))*O8)+'Cash Flow'!H61+IF(4=in_HoldYears,U8,0),0)</f>
        <v>479219.07191234746</v>
      </c>
      <c r="AC8" s="28">
        <f>IF(5&lt;=in_HoldYears,'Cash Flow'!I54-((12-(MAX(0,12*5-ROUND(in_IOYears*12,0))-MAX(0,12*(5-1)-ROUND(in_IOYears*12,0))))*M8*J8+(MAX(0,12*5-ROUND(in_IOYears*12,0))-MAX(0,12*(5-1)-ROUND(in_IOYears*12,0)))*O8)+'Cash Flow'!I61+IF(5=in_HoldYears,U8,0),0)</f>
        <v>371323.7883833613</v>
      </c>
      <c r="AD8" s="28">
        <f>IF(6&lt;=in_HoldYears,'Cash Flow'!J54-((12-(MAX(0,12*6-ROUND(in_IOYears*12,0))-MAX(0,12*(6-1)-ROUND(in_IOYears*12,0))))*M8*J8+(MAX(0,12*6-ROUND(in_IOYears*12,0))-MAX(0,12*(6-1)-ROUND(in_IOYears*12,0)))*O8)+'Cash Flow'!J61+IF(6=in_HoldYears,U8,0),0)</f>
        <v>408956.8714323663</v>
      </c>
      <c r="AE8" s="28">
        <f>IF(7&lt;=in_HoldYears,'Cash Flow'!K54-((12-(MAX(0,12*7-ROUND(in_IOYears*12,0))-MAX(0,12*(7-1)-ROUND(in_IOYears*12,0))))*M8*J8+(MAX(0,12*7-ROUND(in_IOYears*12,0))-MAX(0,12*(7-1)-ROUND(in_IOYears*12,0)))*O8)+'Cash Flow'!K61+IF(7=in_HoldYears,U8,0),0)</f>
        <v>5210769.558512457</v>
      </c>
      <c r="AF8" s="28">
        <f>IF(8&lt;=in_HoldYears,'Cash Flow'!L54-((12-(MAX(0,12*8-ROUND(in_IOYears*12,0))-MAX(0,12*(8-1)-ROUND(in_IOYears*12,0))))*M8*J8+(MAX(0,12*8-ROUND(in_IOYears*12,0))-MAX(0,12*(8-1)-ROUND(in_IOYears*12,0)))*O8)+'Cash Flow'!L61+IF(8=in_HoldYears,U8,0),0)</f>
        <v>0</v>
      </c>
      <c r="AG8" s="28">
        <f>IF(9&lt;=in_HoldYears,'Cash Flow'!M54-((12-(MAX(0,12*9-ROUND(in_IOYears*12,0))-MAX(0,12*(9-1)-ROUND(in_IOYears*12,0))))*M8*J8+(MAX(0,12*9-ROUND(in_IOYears*12,0))-MAX(0,12*(9-1)-ROUND(in_IOYears*12,0)))*O8)+'Cash Flow'!M61+IF(9=in_HoldYears,U8,0),0)</f>
        <v>0</v>
      </c>
      <c r="AH8" s="28">
        <f>IF(10&lt;=in_HoldYears,'Cash Flow'!N54-((12-(MAX(0,12*10-ROUND(in_IOYears*12,0))-MAX(0,12*(10-1)-ROUND(in_IOYears*12,0))))*M8*J8+(MAX(0,12*10-ROUND(in_IOYears*12,0))-MAX(0,12*(10-1)-ROUND(in_IOYears*12,0)))*O8)+'Cash Flow'!N61+IF(10=in_HoldYears,U8,0),0)</f>
        <v>0</v>
      </c>
      <c r="AI8" s="28">
        <f>IF(11&lt;=in_HoldYears,'Cash Flow'!O54-((12-(MAX(0,12*11-ROUND(in_IOYears*12,0))-MAX(0,12*(11-1)-ROUND(in_IOYears*12,0))))*M8*J8+(MAX(0,12*11-ROUND(in_IOYears*12,0))-MAX(0,12*(11-1)-ROUND(in_IOYears*12,0)))*O8)+'Cash Flow'!O61+IF(11=in_HoldYears,U8,0),0)</f>
        <v>0</v>
      </c>
    </row>
    <row r="9">
      <c r="B9" s="25">
        <v>1</v>
      </c>
      <c r="C9" s="25">
        <v>-2</v>
      </c>
      <c r="D9" s="25">
        <v>0</v>
      </c>
      <c r="E9" s="28">
        <f>in_PurchasePrice*(1+(-2)*s_PriceStep)</f>
        <v>8432100</v>
      </c>
      <c r="F9" s="88">
        <f>in_ExitCap+(0)*s_CapStep</f>
        <v>0.1039</v>
      </c>
      <c r="G9" s="88">
        <f>in_InterestRate</f>
        <v>0.067</v>
      </c>
      <c r="H9" s="28">
        <f>E9*in_ClosingCostPct+a_ClosingOther</f>
        <v>126481.5</v>
      </c>
      <c r="I9" s="28">
        <f>E9+H9+a_UpfrontOther+a_LeaseUpReserve</f>
        <v>8610173.272787157</v>
      </c>
      <c r="J9" s="88">
        <f>G9*a_DayFactor/12</f>
        <v>0.005660879629629629</v>
      </c>
      <c r="K9" s="24">
        <f>IF(J9=0,1/(in_AmortYears*12),J9/(1-(1+J9)^(-in_AmortYears*12)))</f>
        <v>0.006514626765893523</v>
      </c>
      <c r="L9" s="24">
        <f>MIN(12,in_IOYears*12)*J9+(12-MIN(12,in_IOYears*12))*K9</f>
        <v>0.07817552119072227</v>
      </c>
      <c r="M9" s="28">
        <f>MAX(0,MIN(I9,IF(a_LoanMode="Fixed amount",a_FixedLoan,IF(a_LoanMode="LTC",I9*a_LTCTarget,IF(a_LoanMode="Lender tests",MIN(E9*a_LTVTarget,IF(AND(a_MinDSCR&gt;0,L9&gt;0),out_NOI_Y1/a_MinDSCR/L9,9E+99),IF(a_MinDY&gt;0,out_NOI_Y1/a_MinDY,9E+99)),E9*a_LTVTarget)))))</f>
        <v>5059260</v>
      </c>
      <c r="N9" s="28">
        <f>I9+M9*a_LoanFeePct+a_IntReserve-M9</f>
        <v>3601505.872787157</v>
      </c>
      <c r="O9" s="28">
        <f>M9*K9</f>
        <v>32959.19061161447</v>
      </c>
      <c r="P9" s="25">
        <f>MAX(0,12*in_HoldYears-ROUND(in_IOYears*12,0))</f>
        <v>84</v>
      </c>
      <c r="Q9" s="28">
        <f>MAX(0,IF(J9=0,M9*(1-P9/(in_AmortYears*12)),M9*((1+J9)^(in_AmortYears*12)-(1+J9)^P9)/((1+J9)^(in_AmortYears*12)-1)))</f>
        <v>4596351.051279602</v>
      </c>
      <c r="R9" s="28">
        <f>IF(Q9&lt;=0,0,IF(a_Prepay="Step-down 5-4-3-2-1",Q9*IF(in_HoldYears&lt;5,CHOOSE(in_HoldYears+1,5,4,3,2,1),0)/100,IF(a_Prepay="Step-down 3-2-1",Q9*IF(in_HoldYears&lt;3,CHOOSE(in_HoldYears+1,3,2,1),0)/100,IF(AND(OR(a_Prepay="Yield maintenance",a_Prepay="Yield maintenance (1% floor)"),a_LoanTerm&gt;in_HoldYears,G9&gt;0,a_IndexRate&gt;0),Q9*MAX(IF(a_Prepay="Yield maintenance",0.5,1),(O9*(1-(1+(a_IndexRate/12))^(-(a_LoanTerm*12-in_HoldYears*12)))/(a_IndexRate/12)+MAX(0,Q9*(1+(G9/12))^(a_LoanTerm*12-in_HoldYears*12)-O9*((1+(G9/12))^(a_LoanTerm*12-in_HoldYears*12)-1)/(G9/12))/(1+(a_IndexRate/12))^(a_LoanTerm*12-in_HoldYears*12)-Q9)/Q9*100+IF(a_Prepay="Yield maintenance",0,1))/100,0))))</f>
        <v>0</v>
      </c>
      <c r="S9" s="28">
        <f>IF(F9&gt;0,out_ExitNOI/F9,0)</f>
        <v>9315318.904213157</v>
      </c>
      <c r="T9" s="28">
        <f>S9*IF(a_SaleCostMode="Market tiers",IF(S9&gt;a_Tier3Over,a_Tier3Pct,IF(S9&gt;a_Tier2Over,a_Tier2Pct,a_Tier1Pct)),a_SaleCostEntered)</f>
        <v>232882.97260532892</v>
      </c>
      <c r="U9" s="28">
        <f>S9-T9-r_LeasingAfterSale-Q9-R9-M9*a_ExtN*a_ExtFeeBps/10000-Q9*a_ExitFeePct</f>
        <v>4464568.0830760645</v>
      </c>
      <c r="V9" s="106">
        <f>IFERROR(IRR(X9:AI9),"")</f>
        <v>0.15747186662449972</v>
      </c>
      <c r="W9" s="87">
        <f>SUMIF(Y9:AI9,"&gt;0")/(N9-SUMIF(Y9:AI9,"&lt;0"))</f>
        <v>2.174103885026348</v>
      </c>
      <c r="X9" s="28">
        <f>-N9</f>
        <v>-3601505.872787157</v>
      </c>
      <c r="Y9" s="28">
        <f>IF(1&lt;=in_HoldYears,'Cash Flow'!E54-((12-(MAX(0,12*1-ROUND(in_IOYears*12,0))-MAX(0,12*(1-1)-ROUND(in_IOYears*12,0))))*M9*J9+(MAX(0,12*1-ROUND(in_IOYears*12,0))-MAX(0,12*(1-1)-ROUND(in_IOYears*12,0)))*O9)+'Cash Flow'!E61+IF(1=in_HoldYears,U9,0),0)</f>
        <v>543877.3864368888</v>
      </c>
      <c r="Z9" s="28">
        <f>IF(2&lt;=in_HoldYears,'Cash Flow'!F54-((12-(MAX(0,12*2-ROUND(in_IOYears*12,0))-MAX(0,12*(2-1)-ROUND(in_IOYears*12,0))))*M9*J9+(MAX(0,12*2-ROUND(in_IOYears*12,0))-MAX(0,12*(2-1)-ROUND(in_IOYears*12,0)))*O9)+'Cash Flow'!F61+IF(2=in_HoldYears,U9,0),0)</f>
        <v>528238.9999121319</v>
      </c>
      <c r="AA9" s="28">
        <f>IF(3&lt;=in_HoldYears,'Cash Flow'!G54-((12-(MAX(0,12*3-ROUND(in_IOYears*12,0))-MAX(0,12*(3-1)-ROUND(in_IOYears*12,0))))*M9*J9+(MAX(0,12*3-ROUND(in_IOYears*12,0))-MAX(0,12*(3-1)-ROUND(in_IOYears*12,0)))*O9)+'Cash Flow'!G61+IF(3=in_HoldYears,U9,0),0)</f>
        <v>511588.16857964545</v>
      </c>
      <c r="AB9" s="28">
        <f>IF(4&lt;=in_HoldYears,'Cash Flow'!H54-((12-(MAX(0,12*4-ROUND(in_IOYears*12,0))-MAX(0,12*(4-1)-ROUND(in_IOYears*12,0))))*M9*J9+(MAX(0,12*4-ROUND(in_IOYears*12,0))-MAX(0,12*(4-1)-ROUND(in_IOYears*12,0)))*O9)+'Cash Flow'!H61+IF(4=in_HoldYears,U9,0),0)</f>
        <v>479219.07191234746</v>
      </c>
      <c r="AC9" s="28">
        <f>IF(5&lt;=in_HoldYears,'Cash Flow'!I54-((12-(MAX(0,12*5-ROUND(in_IOYears*12,0))-MAX(0,12*(5-1)-ROUND(in_IOYears*12,0))))*M9*J9+(MAX(0,12*5-ROUND(in_IOYears*12,0))-MAX(0,12*(5-1)-ROUND(in_IOYears*12,0)))*O9)+'Cash Flow'!I61+IF(5=in_HoldYears,U9,0),0)</f>
        <v>371323.7883833613</v>
      </c>
      <c r="AD9" s="28">
        <f>IF(6&lt;=in_HoldYears,'Cash Flow'!J54-((12-(MAX(0,12*6-ROUND(in_IOYears*12,0))-MAX(0,12*(6-1)-ROUND(in_IOYears*12,0))))*M9*J9+(MAX(0,12*6-ROUND(in_IOYears*12,0))-MAX(0,12*(6-1)-ROUND(in_IOYears*12,0)))*O9)+'Cash Flow'!J61+IF(6=in_HoldYears,U9,0),0)</f>
        <v>408956.8714323663</v>
      </c>
      <c r="AE9" s="28">
        <f>IF(7&lt;=in_HoldYears,'Cash Flow'!K54-((12-(MAX(0,12*7-ROUND(in_IOYears*12,0))-MAX(0,12*(7-1)-ROUND(in_IOYears*12,0))))*M9*J9+(MAX(0,12*7-ROUND(in_IOYears*12,0))-MAX(0,12*(7-1)-ROUND(in_IOYears*12,0)))*O9)+'Cash Flow'!K61+IF(7=in_HoldYears,U9,0),0)</f>
        <v>4986843.623315025</v>
      </c>
      <c r="AF9" s="28">
        <f>IF(8&lt;=in_HoldYears,'Cash Flow'!L54-((12-(MAX(0,12*8-ROUND(in_IOYears*12,0))-MAX(0,12*(8-1)-ROUND(in_IOYears*12,0))))*M9*J9+(MAX(0,12*8-ROUND(in_IOYears*12,0))-MAX(0,12*(8-1)-ROUND(in_IOYears*12,0)))*O9)+'Cash Flow'!L61+IF(8=in_HoldYears,U9,0),0)</f>
        <v>0</v>
      </c>
      <c r="AG9" s="28">
        <f>IF(9&lt;=in_HoldYears,'Cash Flow'!M54-((12-(MAX(0,12*9-ROUND(in_IOYears*12,0))-MAX(0,12*(9-1)-ROUND(in_IOYears*12,0))))*M9*J9+(MAX(0,12*9-ROUND(in_IOYears*12,0))-MAX(0,12*(9-1)-ROUND(in_IOYears*12,0)))*O9)+'Cash Flow'!M61+IF(9=in_HoldYears,U9,0),0)</f>
        <v>0</v>
      </c>
      <c r="AH9" s="28">
        <f>IF(10&lt;=in_HoldYears,'Cash Flow'!N54-((12-(MAX(0,12*10-ROUND(in_IOYears*12,0))-MAX(0,12*(10-1)-ROUND(in_IOYears*12,0))))*M9*J9+(MAX(0,12*10-ROUND(in_IOYears*12,0))-MAX(0,12*(10-1)-ROUND(in_IOYears*12,0)))*O9)+'Cash Flow'!N61+IF(10=in_HoldYears,U9,0),0)</f>
        <v>0</v>
      </c>
      <c r="AI9" s="28">
        <f>IF(11&lt;=in_HoldYears,'Cash Flow'!O54-((12-(MAX(0,12*11-ROUND(in_IOYears*12,0))-MAX(0,12*(11-1)-ROUND(in_IOYears*12,0))))*M9*J9+(MAX(0,12*11-ROUND(in_IOYears*12,0))-MAX(0,12*(11-1)-ROUND(in_IOYears*12,0)))*O9)+'Cash Flow'!O61+IF(11=in_HoldYears,U9,0),0)</f>
        <v>0</v>
      </c>
    </row>
    <row r="10">
      <c r="B10" s="25">
        <v>1</v>
      </c>
      <c r="C10" s="25">
        <v>-2</v>
      </c>
      <c r="D10" s="25">
        <v>1</v>
      </c>
      <c r="E10" s="28">
        <f>in_PurchasePrice*(1+(-2)*s_PriceStep)</f>
        <v>8432100</v>
      </c>
      <c r="F10" s="88">
        <f>in_ExitCap+(1)*s_CapStep</f>
        <v>0.10640000000000001</v>
      </c>
      <c r="G10" s="88">
        <f>in_InterestRate</f>
        <v>0.067</v>
      </c>
      <c r="H10" s="28">
        <f>E10*in_ClosingCostPct+a_ClosingOther</f>
        <v>126481.5</v>
      </c>
      <c r="I10" s="28">
        <f>E10+H10+a_UpfrontOther+a_LeaseUpReserve</f>
        <v>8610173.272787157</v>
      </c>
      <c r="J10" s="88">
        <f>G10*a_DayFactor/12</f>
        <v>0.005660879629629629</v>
      </c>
      <c r="K10" s="24">
        <f>IF(J10=0,1/(in_AmortYears*12),J10/(1-(1+J10)^(-in_AmortYears*12)))</f>
        <v>0.006514626765893523</v>
      </c>
      <c r="L10" s="24">
        <f>MIN(12,in_IOYears*12)*J10+(12-MIN(12,in_IOYears*12))*K10</f>
        <v>0.07817552119072227</v>
      </c>
      <c r="M10" s="28">
        <f>MAX(0,MIN(I10,IF(a_LoanMode="Fixed amount",a_FixedLoan,IF(a_LoanMode="LTC",I10*a_LTCTarget,IF(a_LoanMode="Lender tests",MIN(E10*a_LTVTarget,IF(AND(a_MinDSCR&gt;0,L10&gt;0),out_NOI_Y1/a_MinDSCR/L10,9E+99),IF(a_MinDY&gt;0,out_NOI_Y1/a_MinDY,9E+99)),E10*a_LTVTarget)))))</f>
        <v>5059260</v>
      </c>
      <c r="N10" s="28">
        <f>I10+M10*a_LoanFeePct+a_IntReserve-M10</f>
        <v>3601505.872787157</v>
      </c>
      <c r="O10" s="28">
        <f>M10*K10</f>
        <v>32959.19061161447</v>
      </c>
      <c r="P10" s="25">
        <f>MAX(0,12*in_HoldYears-ROUND(in_IOYears*12,0))</f>
        <v>84</v>
      </c>
      <c r="Q10" s="28">
        <f>MAX(0,IF(J10=0,M10*(1-P10/(in_AmortYears*12)),M10*((1+J10)^(in_AmortYears*12)-(1+J10)^P10)/((1+J10)^(in_AmortYears*12)-1)))</f>
        <v>4596351.051279602</v>
      </c>
      <c r="R10" s="28">
        <f>IF(Q10&lt;=0,0,IF(a_Prepay="Step-down 5-4-3-2-1",Q10*IF(in_HoldYears&lt;5,CHOOSE(in_HoldYears+1,5,4,3,2,1),0)/100,IF(a_Prepay="Step-down 3-2-1",Q10*IF(in_HoldYears&lt;3,CHOOSE(in_HoldYears+1,3,2,1),0)/100,IF(AND(OR(a_Prepay="Yield maintenance",a_Prepay="Yield maintenance (1% floor)"),a_LoanTerm&gt;in_HoldYears,G10&gt;0,a_IndexRate&gt;0),Q10*MAX(IF(a_Prepay="Yield maintenance",0.5,1),(O10*(1-(1+(a_IndexRate/12))^(-(a_LoanTerm*12-in_HoldYears*12)))/(a_IndexRate/12)+MAX(0,Q10*(1+(G10/12))^(a_LoanTerm*12-in_HoldYears*12)-O10*((1+(G10/12))^(a_LoanTerm*12-in_HoldYears*12)-1)/(G10/12))/(1+(a_IndexRate/12))^(a_LoanTerm*12-in_HoldYears*12)-Q10)/Q10*100+IF(a_Prepay="Yield maintenance",0,1))/100,0))))</f>
        <v>0</v>
      </c>
      <c r="S10" s="28">
        <f>IF(F10&gt;0,out_ExitNOI/F10,0)</f>
        <v>9096443.929960027</v>
      </c>
      <c r="T10" s="28">
        <f>S10*IF(a_SaleCostMode="Market tiers",IF(S10&gt;a_Tier3Over,a_Tier3Pct,IF(S10&gt;a_Tier2Over,a_Tier2Pct,a_Tier1Pct)),a_SaleCostEntered)</f>
        <v>227411.0982490007</v>
      </c>
      <c r="U10" s="28">
        <f>S10-T10-r_LeasingAfterSale-Q10-R10-M10*a_ExtN*a_ExtFeeBps/10000-Q10*a_ExitFeePct</f>
        <v>4251164.983179263</v>
      </c>
      <c r="V10" s="106">
        <f>IFERROR(IRR(X10:AI10),"")</f>
        <v>0.1524018478225652</v>
      </c>
      <c r="W10" s="87">
        <f>SUMIF(Y10:AI10,"&gt;0")/(N10-SUMIF(Y10:AI10,"&lt;0"))</f>
        <v>2.1148500319341546</v>
      </c>
      <c r="X10" s="28">
        <f>-N10</f>
        <v>-3601505.872787157</v>
      </c>
      <c r="Y10" s="28">
        <f>IF(1&lt;=in_HoldYears,'Cash Flow'!E54-((12-(MAX(0,12*1-ROUND(in_IOYears*12,0))-MAX(0,12*(1-1)-ROUND(in_IOYears*12,0))))*M10*J10+(MAX(0,12*1-ROUND(in_IOYears*12,0))-MAX(0,12*(1-1)-ROUND(in_IOYears*12,0)))*O10)+'Cash Flow'!E61+IF(1=in_HoldYears,U10,0),0)</f>
        <v>543877.3864368888</v>
      </c>
      <c r="Z10" s="28">
        <f>IF(2&lt;=in_HoldYears,'Cash Flow'!F54-((12-(MAX(0,12*2-ROUND(in_IOYears*12,0))-MAX(0,12*(2-1)-ROUND(in_IOYears*12,0))))*M10*J10+(MAX(0,12*2-ROUND(in_IOYears*12,0))-MAX(0,12*(2-1)-ROUND(in_IOYears*12,0)))*O10)+'Cash Flow'!F61+IF(2=in_HoldYears,U10,0),0)</f>
        <v>528238.9999121319</v>
      </c>
      <c r="AA10" s="28">
        <f>IF(3&lt;=in_HoldYears,'Cash Flow'!G54-((12-(MAX(0,12*3-ROUND(in_IOYears*12,0))-MAX(0,12*(3-1)-ROUND(in_IOYears*12,0))))*M10*J10+(MAX(0,12*3-ROUND(in_IOYears*12,0))-MAX(0,12*(3-1)-ROUND(in_IOYears*12,0)))*O10)+'Cash Flow'!G61+IF(3=in_HoldYears,U10,0),0)</f>
        <v>511588.16857964545</v>
      </c>
      <c r="AB10" s="28">
        <f>IF(4&lt;=in_HoldYears,'Cash Flow'!H54-((12-(MAX(0,12*4-ROUND(in_IOYears*12,0))-MAX(0,12*(4-1)-ROUND(in_IOYears*12,0))))*M10*J10+(MAX(0,12*4-ROUND(in_IOYears*12,0))-MAX(0,12*(4-1)-ROUND(in_IOYears*12,0)))*O10)+'Cash Flow'!H61+IF(4=in_HoldYears,U10,0),0)</f>
        <v>479219.07191234746</v>
      </c>
      <c r="AC10" s="28">
        <f>IF(5&lt;=in_HoldYears,'Cash Flow'!I54-((12-(MAX(0,12*5-ROUND(in_IOYears*12,0))-MAX(0,12*(5-1)-ROUND(in_IOYears*12,0))))*M10*J10+(MAX(0,12*5-ROUND(in_IOYears*12,0))-MAX(0,12*(5-1)-ROUND(in_IOYears*12,0)))*O10)+'Cash Flow'!I61+IF(5=in_HoldYears,U10,0),0)</f>
        <v>371323.7883833613</v>
      </c>
      <c r="AD10" s="28">
        <f>IF(6&lt;=in_HoldYears,'Cash Flow'!J54-((12-(MAX(0,12*6-ROUND(in_IOYears*12,0))-MAX(0,12*(6-1)-ROUND(in_IOYears*12,0))))*M10*J10+(MAX(0,12*6-ROUND(in_IOYears*12,0))-MAX(0,12*(6-1)-ROUND(in_IOYears*12,0)))*O10)+'Cash Flow'!J61+IF(6=in_HoldYears,U10,0),0)</f>
        <v>408956.8714323663</v>
      </c>
      <c r="AE10" s="28">
        <f>IF(7&lt;=in_HoldYears,'Cash Flow'!K54-((12-(MAX(0,12*7-ROUND(in_IOYears*12,0))-MAX(0,12*(7-1)-ROUND(in_IOYears*12,0))))*M10*J10+(MAX(0,12*7-ROUND(in_IOYears*12,0))-MAX(0,12*(7-1)-ROUND(in_IOYears*12,0)))*O10)+'Cash Flow'!K61+IF(7=in_HoldYears,U10,0),0)</f>
        <v>4773440.5234182235</v>
      </c>
      <c r="AF10" s="28">
        <f>IF(8&lt;=in_HoldYears,'Cash Flow'!L54-((12-(MAX(0,12*8-ROUND(in_IOYears*12,0))-MAX(0,12*(8-1)-ROUND(in_IOYears*12,0))))*M10*J10+(MAX(0,12*8-ROUND(in_IOYears*12,0))-MAX(0,12*(8-1)-ROUND(in_IOYears*12,0)))*O10)+'Cash Flow'!L61+IF(8=in_HoldYears,U10,0),0)</f>
        <v>0</v>
      </c>
      <c r="AG10" s="28">
        <f>IF(9&lt;=in_HoldYears,'Cash Flow'!M54-((12-(MAX(0,12*9-ROUND(in_IOYears*12,0))-MAX(0,12*(9-1)-ROUND(in_IOYears*12,0))))*M10*J10+(MAX(0,12*9-ROUND(in_IOYears*12,0))-MAX(0,12*(9-1)-ROUND(in_IOYears*12,0)))*O10)+'Cash Flow'!M61+IF(9=in_HoldYears,U10,0),0)</f>
        <v>0</v>
      </c>
      <c r="AH10" s="28">
        <f>IF(10&lt;=in_HoldYears,'Cash Flow'!N54-((12-(MAX(0,12*10-ROUND(in_IOYears*12,0))-MAX(0,12*(10-1)-ROUND(in_IOYears*12,0))))*M10*J10+(MAX(0,12*10-ROUND(in_IOYears*12,0))-MAX(0,12*(10-1)-ROUND(in_IOYears*12,0)))*O10)+'Cash Flow'!N61+IF(10=in_HoldYears,U10,0),0)</f>
        <v>0</v>
      </c>
      <c r="AI10" s="28">
        <f>IF(11&lt;=in_HoldYears,'Cash Flow'!O54-((12-(MAX(0,12*11-ROUND(in_IOYears*12,0))-MAX(0,12*(11-1)-ROUND(in_IOYears*12,0))))*M10*J10+(MAX(0,12*11-ROUND(in_IOYears*12,0))-MAX(0,12*(11-1)-ROUND(in_IOYears*12,0)))*O10)+'Cash Flow'!O61+IF(11=in_HoldYears,U10,0),0)</f>
        <v>0</v>
      </c>
    </row>
    <row r="11">
      <c r="B11" s="25">
        <v>1</v>
      </c>
      <c r="C11" s="25">
        <v>-2</v>
      </c>
      <c r="D11" s="25">
        <v>2</v>
      </c>
      <c r="E11" s="28">
        <f>in_PurchasePrice*(1+(-2)*s_PriceStep)</f>
        <v>8432100</v>
      </c>
      <c r="F11" s="88">
        <f>in_ExitCap+(2)*s_CapStep</f>
        <v>0.10890000000000001</v>
      </c>
      <c r="G11" s="88">
        <f>in_InterestRate</f>
        <v>0.067</v>
      </c>
      <c r="H11" s="28">
        <f>E11*in_ClosingCostPct+a_ClosingOther</f>
        <v>126481.5</v>
      </c>
      <c r="I11" s="28">
        <f>E11+H11+a_UpfrontOther+a_LeaseUpReserve</f>
        <v>8610173.272787157</v>
      </c>
      <c r="J11" s="88">
        <f>G11*a_DayFactor/12</f>
        <v>0.005660879629629629</v>
      </c>
      <c r="K11" s="24">
        <f>IF(J11=0,1/(in_AmortYears*12),J11/(1-(1+J11)^(-in_AmortYears*12)))</f>
        <v>0.006514626765893523</v>
      </c>
      <c r="L11" s="24">
        <f>MIN(12,in_IOYears*12)*J11+(12-MIN(12,in_IOYears*12))*K11</f>
        <v>0.07817552119072227</v>
      </c>
      <c r="M11" s="28">
        <f>MAX(0,MIN(I11,IF(a_LoanMode="Fixed amount",a_FixedLoan,IF(a_LoanMode="LTC",I11*a_LTCTarget,IF(a_LoanMode="Lender tests",MIN(E11*a_LTVTarget,IF(AND(a_MinDSCR&gt;0,L11&gt;0),out_NOI_Y1/a_MinDSCR/L11,9E+99),IF(a_MinDY&gt;0,out_NOI_Y1/a_MinDY,9E+99)),E11*a_LTVTarget)))))</f>
        <v>5059260</v>
      </c>
      <c r="N11" s="28">
        <f>I11+M11*a_LoanFeePct+a_IntReserve-M11</f>
        <v>3601505.872787157</v>
      </c>
      <c r="O11" s="28">
        <f>M11*K11</f>
        <v>32959.19061161447</v>
      </c>
      <c r="P11" s="25">
        <f>MAX(0,12*in_HoldYears-ROUND(in_IOYears*12,0))</f>
        <v>84</v>
      </c>
      <c r="Q11" s="28">
        <f>MAX(0,IF(J11=0,M11*(1-P11/(in_AmortYears*12)),M11*((1+J11)^(in_AmortYears*12)-(1+J11)^P11)/((1+J11)^(in_AmortYears*12)-1)))</f>
        <v>4596351.051279602</v>
      </c>
      <c r="R11" s="28">
        <f>IF(Q11&lt;=0,0,IF(a_Prepay="Step-down 5-4-3-2-1",Q11*IF(in_HoldYears&lt;5,CHOOSE(in_HoldYears+1,5,4,3,2,1),0)/100,IF(a_Prepay="Step-down 3-2-1",Q11*IF(in_HoldYears&lt;3,CHOOSE(in_HoldYears+1,3,2,1),0)/100,IF(AND(OR(a_Prepay="Yield maintenance",a_Prepay="Yield maintenance (1% floor)"),a_LoanTerm&gt;in_HoldYears,G11&gt;0,a_IndexRate&gt;0),Q11*MAX(IF(a_Prepay="Yield maintenance",0.5,1),(O11*(1-(1+(a_IndexRate/12))^(-(a_LoanTerm*12-in_HoldYears*12)))/(a_IndexRate/12)+MAX(0,Q11*(1+(G11/12))^(a_LoanTerm*12-in_HoldYears*12)-O11*((1+(G11/12))^(a_LoanTerm*12-in_HoldYears*12)-1)/(G11/12))/(1+(a_IndexRate/12))^(a_LoanTerm*12-in_HoldYears*12)-Q11)/Q11*100+IF(a_Prepay="Yield maintenance",0,1))/100,0))))</f>
        <v>0</v>
      </c>
      <c r="S11" s="28">
        <f>IF(F11&gt;0,out_ExitNOI/F11,0)</f>
        <v>8887618.311733212</v>
      </c>
      <c r="T11" s="28">
        <f>S11*IF(a_SaleCostMode="Market tiers",IF(S11&gt;a_Tier3Over,a_Tier3Pct,IF(S11&gt;a_Tier2Over,a_Tier2Pct,a_Tier1Pct)),a_SaleCostEntered)</f>
        <v>222190.4577933303</v>
      </c>
      <c r="U11" s="28">
        <f>S11-T11-r_LeasingAfterSale-Q11-R11-M11*a_ExtN*a_ExtFeeBps/10000-Q11*a_ExitFeePct</f>
        <v>4047560.0054081185</v>
      </c>
      <c r="V11" s="106">
        <f>IFERROR(IRR(X11:AI11),"")</f>
        <v>0.1474155038855443</v>
      </c>
      <c r="W11" s="87">
        <f>SUMIF(Y11:AI11,"&gt;0")/(N11-SUMIF(Y11:AI11,"&lt;0"))</f>
        <v>2.0583167414265433</v>
      </c>
      <c r="X11" s="28">
        <f>-N11</f>
        <v>-3601505.872787157</v>
      </c>
      <c r="Y11" s="28">
        <f>IF(1&lt;=in_HoldYears,'Cash Flow'!E54-((12-(MAX(0,12*1-ROUND(in_IOYears*12,0))-MAX(0,12*(1-1)-ROUND(in_IOYears*12,0))))*M11*J11+(MAX(0,12*1-ROUND(in_IOYears*12,0))-MAX(0,12*(1-1)-ROUND(in_IOYears*12,0)))*O11)+'Cash Flow'!E61+IF(1=in_HoldYears,U11,0),0)</f>
        <v>543877.3864368888</v>
      </c>
      <c r="Z11" s="28">
        <f>IF(2&lt;=in_HoldYears,'Cash Flow'!F54-((12-(MAX(0,12*2-ROUND(in_IOYears*12,0))-MAX(0,12*(2-1)-ROUND(in_IOYears*12,0))))*M11*J11+(MAX(0,12*2-ROUND(in_IOYears*12,0))-MAX(0,12*(2-1)-ROUND(in_IOYears*12,0)))*O11)+'Cash Flow'!F61+IF(2=in_HoldYears,U11,0),0)</f>
        <v>528238.9999121319</v>
      </c>
      <c r="AA11" s="28">
        <f>IF(3&lt;=in_HoldYears,'Cash Flow'!G54-((12-(MAX(0,12*3-ROUND(in_IOYears*12,0))-MAX(0,12*(3-1)-ROUND(in_IOYears*12,0))))*M11*J11+(MAX(0,12*3-ROUND(in_IOYears*12,0))-MAX(0,12*(3-1)-ROUND(in_IOYears*12,0)))*O11)+'Cash Flow'!G61+IF(3=in_HoldYears,U11,0),0)</f>
        <v>511588.16857964545</v>
      </c>
      <c r="AB11" s="28">
        <f>IF(4&lt;=in_HoldYears,'Cash Flow'!H54-((12-(MAX(0,12*4-ROUND(in_IOYears*12,0))-MAX(0,12*(4-1)-ROUND(in_IOYears*12,0))))*M11*J11+(MAX(0,12*4-ROUND(in_IOYears*12,0))-MAX(0,12*(4-1)-ROUND(in_IOYears*12,0)))*O11)+'Cash Flow'!H61+IF(4=in_HoldYears,U11,0),0)</f>
        <v>479219.07191234746</v>
      </c>
      <c r="AC11" s="28">
        <f>IF(5&lt;=in_HoldYears,'Cash Flow'!I54-((12-(MAX(0,12*5-ROUND(in_IOYears*12,0))-MAX(0,12*(5-1)-ROUND(in_IOYears*12,0))))*M11*J11+(MAX(0,12*5-ROUND(in_IOYears*12,0))-MAX(0,12*(5-1)-ROUND(in_IOYears*12,0)))*O11)+'Cash Flow'!I61+IF(5=in_HoldYears,U11,0),0)</f>
        <v>371323.7883833613</v>
      </c>
      <c r="AD11" s="28">
        <f>IF(6&lt;=in_HoldYears,'Cash Flow'!J54-((12-(MAX(0,12*6-ROUND(in_IOYears*12,0))-MAX(0,12*(6-1)-ROUND(in_IOYears*12,0))))*M11*J11+(MAX(0,12*6-ROUND(in_IOYears*12,0))-MAX(0,12*(6-1)-ROUND(in_IOYears*12,0)))*O11)+'Cash Flow'!J61+IF(6=in_HoldYears,U11,0),0)</f>
        <v>408956.8714323663</v>
      </c>
      <c r="AE11" s="28">
        <f>IF(7&lt;=in_HoldYears,'Cash Flow'!K54-((12-(MAX(0,12*7-ROUND(in_IOYears*12,0))-MAX(0,12*(7-1)-ROUND(in_IOYears*12,0))))*M11*J11+(MAX(0,12*7-ROUND(in_IOYears*12,0))-MAX(0,12*(7-1)-ROUND(in_IOYears*12,0)))*O11)+'Cash Flow'!K61+IF(7=in_HoldYears,U11,0),0)</f>
        <v>4569835.545647079</v>
      </c>
      <c r="AF11" s="28">
        <f>IF(8&lt;=in_HoldYears,'Cash Flow'!L54-((12-(MAX(0,12*8-ROUND(in_IOYears*12,0))-MAX(0,12*(8-1)-ROUND(in_IOYears*12,0))))*M11*J11+(MAX(0,12*8-ROUND(in_IOYears*12,0))-MAX(0,12*(8-1)-ROUND(in_IOYears*12,0)))*O11)+'Cash Flow'!L61+IF(8=in_HoldYears,U11,0),0)</f>
        <v>0</v>
      </c>
      <c r="AG11" s="28">
        <f>IF(9&lt;=in_HoldYears,'Cash Flow'!M54-((12-(MAX(0,12*9-ROUND(in_IOYears*12,0))-MAX(0,12*(9-1)-ROUND(in_IOYears*12,0))))*M11*J11+(MAX(0,12*9-ROUND(in_IOYears*12,0))-MAX(0,12*(9-1)-ROUND(in_IOYears*12,0)))*O11)+'Cash Flow'!M61+IF(9=in_HoldYears,U11,0),0)</f>
        <v>0</v>
      </c>
      <c r="AH11" s="28">
        <f>IF(10&lt;=in_HoldYears,'Cash Flow'!N54-((12-(MAX(0,12*10-ROUND(in_IOYears*12,0))-MAX(0,12*(10-1)-ROUND(in_IOYears*12,0))))*M11*J11+(MAX(0,12*10-ROUND(in_IOYears*12,0))-MAX(0,12*(10-1)-ROUND(in_IOYears*12,0)))*O11)+'Cash Flow'!N61+IF(10=in_HoldYears,U11,0),0)</f>
        <v>0</v>
      </c>
      <c r="AI11" s="28">
        <f>IF(11&lt;=in_HoldYears,'Cash Flow'!O54-((12-(MAX(0,12*11-ROUND(in_IOYears*12,0))-MAX(0,12*(11-1)-ROUND(in_IOYears*12,0))))*M11*J11+(MAX(0,12*11-ROUND(in_IOYears*12,0))-MAX(0,12*(11-1)-ROUND(in_IOYears*12,0)))*O11)+'Cash Flow'!O61+IF(11=in_HoldYears,U11,0),0)</f>
        <v>0</v>
      </c>
    </row>
    <row r="12">
      <c r="B12" s="25">
        <v>1</v>
      </c>
      <c r="C12" s="25">
        <v>-1</v>
      </c>
      <c r="D12" s="25">
        <v>-2</v>
      </c>
      <c r="E12" s="28">
        <f>in_PurchasePrice*(1+(-1)*s_PriceStep)</f>
        <v>8900550</v>
      </c>
      <c r="F12" s="88">
        <f>in_ExitCap+(-2)*s_CapStep</f>
        <v>0.0989</v>
      </c>
      <c r="G12" s="88">
        <f>in_InterestRate</f>
        <v>0.067</v>
      </c>
      <c r="H12" s="28">
        <f>E12*in_ClosingCostPct+a_ClosingOther</f>
        <v>133508.25</v>
      </c>
      <c r="I12" s="28">
        <f>E12+H12+a_UpfrontOther+a_LeaseUpReserve</f>
        <v>9085650.022787157</v>
      </c>
      <c r="J12" s="88">
        <f>G12*a_DayFactor/12</f>
        <v>0.005660879629629629</v>
      </c>
      <c r="K12" s="24">
        <f>IF(J12=0,1/(in_AmortYears*12),J12/(1-(1+J12)^(-in_AmortYears*12)))</f>
        <v>0.006514626765893523</v>
      </c>
      <c r="L12" s="24">
        <f>MIN(12,in_IOYears*12)*J12+(12-MIN(12,in_IOYears*12))*K12</f>
        <v>0.07817552119072227</v>
      </c>
      <c r="M12" s="28">
        <f>MAX(0,MIN(I12,IF(a_LoanMode="Fixed amount",a_FixedLoan,IF(a_LoanMode="LTC",I12*a_LTCTarget,IF(a_LoanMode="Lender tests",MIN(E12*a_LTVTarget,IF(AND(a_MinDSCR&gt;0,L12&gt;0),out_NOI_Y1/a_MinDSCR/L12,9E+99),IF(a_MinDY&gt;0,out_NOI_Y1/a_MinDY,9E+99)),E12*a_LTVTarget)))))</f>
        <v>5340330</v>
      </c>
      <c r="N12" s="28">
        <f>I12+M12*a_LoanFeePct+a_IntReserve-M12</f>
        <v>3798723.322787158</v>
      </c>
      <c r="O12" s="28">
        <f>M12*K12</f>
        <v>34790.256756704155</v>
      </c>
      <c r="P12" s="25">
        <f>MAX(0,12*in_HoldYears-ROUND(in_IOYears*12,0))</f>
        <v>84</v>
      </c>
      <c r="Q12" s="28">
        <f>MAX(0,IF(J12=0,M12*(1-P12/(in_AmortYears*12)),M12*((1+J12)^(in_AmortYears*12)-(1+J12)^P12)/((1+J12)^(in_AmortYears*12)-1)))</f>
        <v>4851703.887461801</v>
      </c>
      <c r="R12" s="28">
        <f>IF(Q12&lt;=0,0,IF(a_Prepay="Step-down 5-4-3-2-1",Q12*IF(in_HoldYears&lt;5,CHOOSE(in_HoldYears+1,5,4,3,2,1),0)/100,IF(a_Prepay="Step-down 3-2-1",Q12*IF(in_HoldYears&lt;3,CHOOSE(in_HoldYears+1,3,2,1),0)/100,IF(AND(OR(a_Prepay="Yield maintenance",a_Prepay="Yield maintenance (1% floor)"),a_LoanTerm&gt;in_HoldYears,G12&gt;0,a_IndexRate&gt;0),Q12*MAX(IF(a_Prepay="Yield maintenance",0.5,1),(O12*(1-(1+(a_IndexRate/12))^(-(a_LoanTerm*12-in_HoldYears*12)))/(a_IndexRate/12)+MAX(0,Q12*(1+(G12/12))^(a_LoanTerm*12-in_HoldYears*12)-O12*((1+(G12/12))^(a_LoanTerm*12-in_HoldYears*12)-1)/(G12/12))/(1+(a_IndexRate/12))^(a_LoanTerm*12-in_HoldYears*12)-Q12)/Q12*100+IF(a_Prepay="Yield maintenance",0,1))/100,0))))</f>
        <v>0</v>
      </c>
      <c r="S12" s="28">
        <f>IF(F12&gt;0,out_ExitNOI/F12,0)</f>
        <v>9786265.259330101</v>
      </c>
      <c r="T12" s="28">
        <f>S12*IF(a_SaleCostMode="Market tiers",IF(S12&gt;a_Tier3Over,a_Tier3Pct,IF(S12&gt;a_Tier2Over,a_Tier2Pct,a_Tier1Pct)),a_SaleCostEntered)</f>
        <v>244656.63148325254</v>
      </c>
      <c r="U12" s="28">
        <f>S12-T12-r_LeasingAfterSale-Q12-R12-M12*a_ExtN*a_ExtFeeBps/10000-Q12*a_ExitFeePct</f>
        <v>4668387.943132886</v>
      </c>
      <c r="V12" s="106">
        <f>IFERROR(IRR(X12:AI12),"")</f>
        <v>0.14428498790289263</v>
      </c>
      <c r="W12" s="87">
        <f>SUMIF(Y12:AI12,"&gt;0")/(N12-SUMIF(Y12:AI12,"&lt;0"))</f>
        <v>2.07439646014003</v>
      </c>
      <c r="X12" s="28">
        <f>-N12</f>
        <v>-3798723.322787158</v>
      </c>
      <c r="Y12" s="28">
        <f>IF(1&lt;=in_HoldYears,'Cash Flow'!E54-((12-(MAX(0,12*1-ROUND(in_IOYears*12,0))-MAX(0,12*(1-1)-ROUND(in_IOYears*12,0))))*M12*J12+(MAX(0,12*1-ROUND(in_IOYears*12,0))-MAX(0,12*(1-1)-ROUND(in_IOYears*12,0)))*O12)+'Cash Flow'!E61+IF(1=in_HoldYears,U12,0),0)</f>
        <v>521904.5926958126</v>
      </c>
      <c r="Z12" s="28">
        <f>IF(2&lt;=in_HoldYears,'Cash Flow'!F54-((12-(MAX(0,12*2-ROUND(in_IOYears*12,0))-MAX(0,12*(2-1)-ROUND(in_IOYears*12,0))))*M12*J12+(MAX(0,12*2-ROUND(in_IOYears*12,0))-MAX(0,12*(2-1)-ROUND(in_IOYears*12,0)))*O12)+'Cash Flow'!F61+IF(2=in_HoldYears,U12,0),0)</f>
        <v>506266.2061710557</v>
      </c>
      <c r="AA12" s="28">
        <f>IF(3&lt;=in_HoldYears,'Cash Flow'!G54-((12-(MAX(0,12*3-ROUND(in_IOYears*12,0))-MAX(0,12*(3-1)-ROUND(in_IOYears*12,0))))*M12*J12+(MAX(0,12*3-ROUND(in_IOYears*12,0))-MAX(0,12*(3-1)-ROUND(in_IOYears*12,0)))*O12)+'Cash Flow'!G61+IF(3=in_HoldYears,U12,0),0)</f>
        <v>489615.3748385692</v>
      </c>
      <c r="AB12" s="28">
        <f>IF(4&lt;=in_HoldYears,'Cash Flow'!H54-((12-(MAX(0,12*4-ROUND(in_IOYears*12,0))-MAX(0,12*(4-1)-ROUND(in_IOYears*12,0))))*M12*J12+(MAX(0,12*4-ROUND(in_IOYears*12,0))-MAX(0,12*(4-1)-ROUND(in_IOYears*12,0)))*O12)+'Cash Flow'!H61+IF(4=in_HoldYears,U12,0),0)</f>
        <v>457246.2781712712</v>
      </c>
      <c r="AC12" s="28">
        <f>IF(5&lt;=in_HoldYears,'Cash Flow'!I54-((12-(MAX(0,12*5-ROUND(in_IOYears*12,0))-MAX(0,12*(5-1)-ROUND(in_IOYears*12,0))))*M12*J12+(MAX(0,12*5-ROUND(in_IOYears*12,0))-MAX(0,12*(5-1)-ROUND(in_IOYears*12,0)))*O12)+'Cash Flow'!I61+IF(5=in_HoldYears,U12,0),0)</f>
        <v>349350.99464228505</v>
      </c>
      <c r="AD12" s="28">
        <f>IF(6&lt;=in_HoldYears,'Cash Flow'!J54-((12-(MAX(0,12*6-ROUND(in_IOYears*12,0))-MAX(0,12*(6-1)-ROUND(in_IOYears*12,0))))*M12*J12+(MAX(0,12*6-ROUND(in_IOYears*12,0))-MAX(0,12*(6-1)-ROUND(in_IOYears*12,0)))*O12)+'Cash Flow'!J61+IF(6=in_HoldYears,U12,0),0)</f>
        <v>386984.07769129006</v>
      </c>
      <c r="AE12" s="28">
        <f>IF(7&lt;=in_HoldYears,'Cash Flow'!K54-((12-(MAX(0,12*7-ROUND(in_IOYears*12,0))-MAX(0,12*(7-1)-ROUND(in_IOYears*12,0))))*M12*J12+(MAX(0,12*7-ROUND(in_IOYears*12,0))-MAX(0,12*(7-1)-ROUND(in_IOYears*12,0)))*O12)+'Cash Flow'!K61+IF(7=in_HoldYears,U12,0),0)</f>
        <v>5168690.68963077</v>
      </c>
      <c r="AF12" s="28">
        <f>IF(8&lt;=in_HoldYears,'Cash Flow'!L54-((12-(MAX(0,12*8-ROUND(in_IOYears*12,0))-MAX(0,12*(8-1)-ROUND(in_IOYears*12,0))))*M12*J12+(MAX(0,12*8-ROUND(in_IOYears*12,0))-MAX(0,12*(8-1)-ROUND(in_IOYears*12,0)))*O12)+'Cash Flow'!L61+IF(8=in_HoldYears,U12,0),0)</f>
        <v>0</v>
      </c>
      <c r="AG12" s="28">
        <f>IF(9&lt;=in_HoldYears,'Cash Flow'!M54-((12-(MAX(0,12*9-ROUND(in_IOYears*12,0))-MAX(0,12*(9-1)-ROUND(in_IOYears*12,0))))*M12*J12+(MAX(0,12*9-ROUND(in_IOYears*12,0))-MAX(0,12*(9-1)-ROUND(in_IOYears*12,0)))*O12)+'Cash Flow'!M61+IF(9=in_HoldYears,U12,0),0)</f>
        <v>0</v>
      </c>
      <c r="AH12" s="28">
        <f>IF(10&lt;=in_HoldYears,'Cash Flow'!N54-((12-(MAX(0,12*10-ROUND(in_IOYears*12,0))-MAX(0,12*(10-1)-ROUND(in_IOYears*12,0))))*M12*J12+(MAX(0,12*10-ROUND(in_IOYears*12,0))-MAX(0,12*(10-1)-ROUND(in_IOYears*12,0)))*O12)+'Cash Flow'!N61+IF(10=in_HoldYears,U12,0),0)</f>
        <v>0</v>
      </c>
      <c r="AI12" s="28">
        <f>IF(11&lt;=in_HoldYears,'Cash Flow'!O54-((12-(MAX(0,12*11-ROUND(in_IOYears*12,0))-MAX(0,12*(11-1)-ROUND(in_IOYears*12,0))))*M12*J12+(MAX(0,12*11-ROUND(in_IOYears*12,0))-MAX(0,12*(11-1)-ROUND(in_IOYears*12,0)))*O12)+'Cash Flow'!O61+IF(11=in_HoldYears,U12,0),0)</f>
        <v>0</v>
      </c>
    </row>
    <row r="13">
      <c r="B13" s="25">
        <v>1</v>
      </c>
      <c r="C13" s="25">
        <v>-1</v>
      </c>
      <c r="D13" s="25">
        <v>-1</v>
      </c>
      <c r="E13" s="28">
        <f>in_PurchasePrice*(1+(-1)*s_PriceStep)</f>
        <v>8900550</v>
      </c>
      <c r="F13" s="88">
        <f>in_ExitCap+(-1)*s_CapStep</f>
        <v>0.1014</v>
      </c>
      <c r="G13" s="88">
        <f>in_InterestRate</f>
        <v>0.067</v>
      </c>
      <c r="H13" s="28">
        <f>E13*in_ClosingCostPct+a_ClosingOther</f>
        <v>133508.25</v>
      </c>
      <c r="I13" s="28">
        <f>E13+H13+a_UpfrontOther+a_LeaseUpReserve</f>
        <v>9085650.022787157</v>
      </c>
      <c r="J13" s="88">
        <f>G13*a_DayFactor/12</f>
        <v>0.005660879629629629</v>
      </c>
      <c r="K13" s="24">
        <f>IF(J13=0,1/(in_AmortYears*12),J13/(1-(1+J13)^(-in_AmortYears*12)))</f>
        <v>0.006514626765893523</v>
      </c>
      <c r="L13" s="24">
        <f>MIN(12,in_IOYears*12)*J13+(12-MIN(12,in_IOYears*12))*K13</f>
        <v>0.07817552119072227</v>
      </c>
      <c r="M13" s="28">
        <f>MAX(0,MIN(I13,IF(a_LoanMode="Fixed amount",a_FixedLoan,IF(a_LoanMode="LTC",I13*a_LTCTarget,IF(a_LoanMode="Lender tests",MIN(E13*a_LTVTarget,IF(AND(a_MinDSCR&gt;0,L13&gt;0),out_NOI_Y1/a_MinDSCR/L13,9E+99),IF(a_MinDY&gt;0,out_NOI_Y1/a_MinDY,9E+99)),E13*a_LTVTarget)))))</f>
        <v>5340330</v>
      </c>
      <c r="N13" s="28">
        <f>I13+M13*a_LoanFeePct+a_IntReserve-M13</f>
        <v>3798723.322787158</v>
      </c>
      <c r="O13" s="28">
        <f>M13*K13</f>
        <v>34790.256756704155</v>
      </c>
      <c r="P13" s="25">
        <f>MAX(0,12*in_HoldYears-ROUND(in_IOYears*12,0))</f>
        <v>84</v>
      </c>
      <c r="Q13" s="28">
        <f>MAX(0,IF(J13=0,M13*(1-P13/(in_AmortYears*12)),M13*((1+J13)^(in_AmortYears*12)-(1+J13)^P13)/((1+J13)^(in_AmortYears*12)-1)))</f>
        <v>4851703.887461801</v>
      </c>
      <c r="R13" s="28">
        <f>IF(Q13&lt;=0,0,IF(a_Prepay="Step-down 5-4-3-2-1",Q13*IF(in_HoldYears&lt;5,CHOOSE(in_HoldYears+1,5,4,3,2,1),0)/100,IF(a_Prepay="Step-down 3-2-1",Q13*IF(in_HoldYears&lt;3,CHOOSE(in_HoldYears+1,3,2,1),0)/100,IF(AND(OR(a_Prepay="Yield maintenance",a_Prepay="Yield maintenance (1% floor)"),a_LoanTerm&gt;in_HoldYears,G13&gt;0,a_IndexRate&gt;0),Q13*MAX(IF(a_Prepay="Yield maintenance",0.5,1),(O13*(1-(1+(a_IndexRate/12))^(-(a_LoanTerm*12-in_HoldYears*12)))/(a_IndexRate/12)+MAX(0,Q13*(1+(G13/12))^(a_LoanTerm*12-in_HoldYears*12)-O13*((1+(G13/12))^(a_LoanTerm*12-in_HoldYears*12)-1)/(G13/12))/(1+(a_IndexRate/12))^(a_LoanTerm*12-in_HoldYears*12)-Q13)/Q13*100+IF(a_Prepay="Yield maintenance",0,1))/100,0))))</f>
        <v>0</v>
      </c>
      <c r="S13" s="28">
        <f>IF(F13&gt;0,out_ExitNOI/F13,0)</f>
        <v>9544986.530056676</v>
      </c>
      <c r="T13" s="28">
        <f>S13*IF(a_SaleCostMode="Market tiers",IF(S13&gt;a_Tier3Over,a_Tier3Pct,IF(S13&gt;a_Tier2Over,a_Tier2Pct,a_Tier1Pct)),a_SaleCostEntered)</f>
        <v>238624.6632514169</v>
      </c>
      <c r="U13" s="28">
        <f>S13-T13-r_LeasingAfterSale-Q13-R13-M13*a_ExtN*a_ExtFeeBps/10000-Q13*a_ExitFeePct</f>
        <v>4433141.182091297</v>
      </c>
      <c r="V13" s="106">
        <f>IFERROR(IRR(X13:AI13),"")</f>
        <v>0.13876074679074724</v>
      </c>
      <c r="W13" s="87">
        <f>SUMIF(Y13:AI13,"&gt;0")/(N13-SUMIF(Y13:AI13,"&lt;0"))</f>
        <v>2.0124686120047293</v>
      </c>
      <c r="X13" s="28">
        <f>-N13</f>
        <v>-3798723.322787158</v>
      </c>
      <c r="Y13" s="28">
        <f>IF(1&lt;=in_HoldYears,'Cash Flow'!E54-((12-(MAX(0,12*1-ROUND(in_IOYears*12,0))-MAX(0,12*(1-1)-ROUND(in_IOYears*12,0))))*M13*J13+(MAX(0,12*1-ROUND(in_IOYears*12,0))-MAX(0,12*(1-1)-ROUND(in_IOYears*12,0)))*O13)+'Cash Flow'!E61+IF(1=in_HoldYears,U13,0),0)</f>
        <v>521904.5926958126</v>
      </c>
      <c r="Z13" s="28">
        <f>IF(2&lt;=in_HoldYears,'Cash Flow'!F54-((12-(MAX(0,12*2-ROUND(in_IOYears*12,0))-MAX(0,12*(2-1)-ROUND(in_IOYears*12,0))))*M13*J13+(MAX(0,12*2-ROUND(in_IOYears*12,0))-MAX(0,12*(2-1)-ROUND(in_IOYears*12,0)))*O13)+'Cash Flow'!F61+IF(2=in_HoldYears,U13,0),0)</f>
        <v>506266.2061710557</v>
      </c>
      <c r="AA13" s="28">
        <f>IF(3&lt;=in_HoldYears,'Cash Flow'!G54-((12-(MAX(0,12*3-ROUND(in_IOYears*12,0))-MAX(0,12*(3-1)-ROUND(in_IOYears*12,0))))*M13*J13+(MAX(0,12*3-ROUND(in_IOYears*12,0))-MAX(0,12*(3-1)-ROUND(in_IOYears*12,0)))*O13)+'Cash Flow'!G61+IF(3=in_HoldYears,U13,0),0)</f>
        <v>489615.3748385692</v>
      </c>
      <c r="AB13" s="28">
        <f>IF(4&lt;=in_HoldYears,'Cash Flow'!H54-((12-(MAX(0,12*4-ROUND(in_IOYears*12,0))-MAX(0,12*(4-1)-ROUND(in_IOYears*12,0))))*M13*J13+(MAX(0,12*4-ROUND(in_IOYears*12,0))-MAX(0,12*(4-1)-ROUND(in_IOYears*12,0)))*O13)+'Cash Flow'!H61+IF(4=in_HoldYears,U13,0),0)</f>
        <v>457246.2781712712</v>
      </c>
      <c r="AC13" s="28">
        <f>IF(5&lt;=in_HoldYears,'Cash Flow'!I54-((12-(MAX(0,12*5-ROUND(in_IOYears*12,0))-MAX(0,12*(5-1)-ROUND(in_IOYears*12,0))))*M13*J13+(MAX(0,12*5-ROUND(in_IOYears*12,0))-MAX(0,12*(5-1)-ROUND(in_IOYears*12,0)))*O13)+'Cash Flow'!I61+IF(5=in_HoldYears,U13,0),0)</f>
        <v>349350.99464228505</v>
      </c>
      <c r="AD13" s="28">
        <f>IF(6&lt;=in_HoldYears,'Cash Flow'!J54-((12-(MAX(0,12*6-ROUND(in_IOYears*12,0))-MAX(0,12*(6-1)-ROUND(in_IOYears*12,0))))*M13*J13+(MAX(0,12*6-ROUND(in_IOYears*12,0))-MAX(0,12*(6-1)-ROUND(in_IOYears*12,0)))*O13)+'Cash Flow'!J61+IF(6=in_HoldYears,U13,0),0)</f>
        <v>386984.07769129006</v>
      </c>
      <c r="AE13" s="28">
        <f>IF(7&lt;=in_HoldYears,'Cash Flow'!K54-((12-(MAX(0,12*7-ROUND(in_IOYears*12,0))-MAX(0,12*(7-1)-ROUND(in_IOYears*12,0))))*M13*J13+(MAX(0,12*7-ROUND(in_IOYears*12,0))-MAX(0,12*(7-1)-ROUND(in_IOYears*12,0)))*O13)+'Cash Flow'!K61+IF(7=in_HoldYears,U13,0),0)</f>
        <v>4933443.928589181</v>
      </c>
      <c r="AF13" s="28">
        <f>IF(8&lt;=in_HoldYears,'Cash Flow'!L54-((12-(MAX(0,12*8-ROUND(in_IOYears*12,0))-MAX(0,12*(8-1)-ROUND(in_IOYears*12,0))))*M13*J13+(MAX(0,12*8-ROUND(in_IOYears*12,0))-MAX(0,12*(8-1)-ROUND(in_IOYears*12,0)))*O13)+'Cash Flow'!L61+IF(8=in_HoldYears,U13,0),0)</f>
        <v>0</v>
      </c>
      <c r="AG13" s="28">
        <f>IF(9&lt;=in_HoldYears,'Cash Flow'!M54-((12-(MAX(0,12*9-ROUND(in_IOYears*12,0))-MAX(0,12*(9-1)-ROUND(in_IOYears*12,0))))*M13*J13+(MAX(0,12*9-ROUND(in_IOYears*12,0))-MAX(0,12*(9-1)-ROUND(in_IOYears*12,0)))*O13)+'Cash Flow'!M61+IF(9=in_HoldYears,U13,0),0)</f>
        <v>0</v>
      </c>
      <c r="AH13" s="28">
        <f>IF(10&lt;=in_HoldYears,'Cash Flow'!N54-((12-(MAX(0,12*10-ROUND(in_IOYears*12,0))-MAX(0,12*(10-1)-ROUND(in_IOYears*12,0))))*M13*J13+(MAX(0,12*10-ROUND(in_IOYears*12,0))-MAX(0,12*(10-1)-ROUND(in_IOYears*12,0)))*O13)+'Cash Flow'!N61+IF(10=in_HoldYears,U13,0),0)</f>
        <v>0</v>
      </c>
      <c r="AI13" s="28">
        <f>IF(11&lt;=in_HoldYears,'Cash Flow'!O54-((12-(MAX(0,12*11-ROUND(in_IOYears*12,0))-MAX(0,12*(11-1)-ROUND(in_IOYears*12,0))))*M13*J13+(MAX(0,12*11-ROUND(in_IOYears*12,0))-MAX(0,12*(11-1)-ROUND(in_IOYears*12,0)))*O13)+'Cash Flow'!O61+IF(11=in_HoldYears,U13,0),0)</f>
        <v>0</v>
      </c>
    </row>
    <row r="14">
      <c r="B14" s="25">
        <v>1</v>
      </c>
      <c r="C14" s="25">
        <v>-1</v>
      </c>
      <c r="D14" s="25">
        <v>0</v>
      </c>
      <c r="E14" s="28">
        <f>in_PurchasePrice*(1+(-1)*s_PriceStep)</f>
        <v>8900550</v>
      </c>
      <c r="F14" s="88">
        <f>in_ExitCap+(0)*s_CapStep</f>
        <v>0.1039</v>
      </c>
      <c r="G14" s="88">
        <f>in_InterestRate</f>
        <v>0.067</v>
      </c>
      <c r="H14" s="28">
        <f>E14*in_ClosingCostPct+a_ClosingOther</f>
        <v>133508.25</v>
      </c>
      <c r="I14" s="28">
        <f>E14+H14+a_UpfrontOther+a_LeaseUpReserve</f>
        <v>9085650.022787157</v>
      </c>
      <c r="J14" s="88">
        <f>G14*a_DayFactor/12</f>
        <v>0.005660879629629629</v>
      </c>
      <c r="K14" s="24">
        <f>IF(J14=0,1/(in_AmortYears*12),J14/(1-(1+J14)^(-in_AmortYears*12)))</f>
        <v>0.006514626765893523</v>
      </c>
      <c r="L14" s="24">
        <f>MIN(12,in_IOYears*12)*J14+(12-MIN(12,in_IOYears*12))*K14</f>
        <v>0.07817552119072227</v>
      </c>
      <c r="M14" s="28">
        <f>MAX(0,MIN(I14,IF(a_LoanMode="Fixed amount",a_FixedLoan,IF(a_LoanMode="LTC",I14*a_LTCTarget,IF(a_LoanMode="Lender tests",MIN(E14*a_LTVTarget,IF(AND(a_MinDSCR&gt;0,L14&gt;0),out_NOI_Y1/a_MinDSCR/L14,9E+99),IF(a_MinDY&gt;0,out_NOI_Y1/a_MinDY,9E+99)),E14*a_LTVTarget)))))</f>
        <v>5340330</v>
      </c>
      <c r="N14" s="28">
        <f>I14+M14*a_LoanFeePct+a_IntReserve-M14</f>
        <v>3798723.322787158</v>
      </c>
      <c r="O14" s="28">
        <f>M14*K14</f>
        <v>34790.256756704155</v>
      </c>
      <c r="P14" s="25">
        <f>MAX(0,12*in_HoldYears-ROUND(in_IOYears*12,0))</f>
        <v>84</v>
      </c>
      <c r="Q14" s="28">
        <f>MAX(0,IF(J14=0,M14*(1-P14/(in_AmortYears*12)),M14*((1+J14)^(in_AmortYears*12)-(1+J14)^P14)/((1+J14)^(in_AmortYears*12)-1)))</f>
        <v>4851703.887461801</v>
      </c>
      <c r="R14" s="28">
        <f>IF(Q14&lt;=0,0,IF(a_Prepay="Step-down 5-4-3-2-1",Q14*IF(in_HoldYears&lt;5,CHOOSE(in_HoldYears+1,5,4,3,2,1),0)/100,IF(a_Prepay="Step-down 3-2-1",Q14*IF(in_HoldYears&lt;3,CHOOSE(in_HoldYears+1,3,2,1),0)/100,IF(AND(OR(a_Prepay="Yield maintenance",a_Prepay="Yield maintenance (1% floor)"),a_LoanTerm&gt;in_HoldYears,G14&gt;0,a_IndexRate&gt;0),Q14*MAX(IF(a_Prepay="Yield maintenance",0.5,1),(O14*(1-(1+(a_IndexRate/12))^(-(a_LoanTerm*12-in_HoldYears*12)))/(a_IndexRate/12)+MAX(0,Q14*(1+(G14/12))^(a_LoanTerm*12-in_HoldYears*12)-O14*((1+(G14/12))^(a_LoanTerm*12-in_HoldYears*12)-1)/(G14/12))/(1+(a_IndexRate/12))^(a_LoanTerm*12-in_HoldYears*12)-Q14)/Q14*100+IF(a_Prepay="Yield maintenance",0,1))/100,0))))</f>
        <v>0</v>
      </c>
      <c r="S14" s="28">
        <f>IF(F14&gt;0,out_ExitNOI/F14,0)</f>
        <v>9315318.904213157</v>
      </c>
      <c r="T14" s="28">
        <f>S14*IF(a_SaleCostMode="Market tiers",IF(S14&gt;a_Tier3Over,a_Tier3Pct,IF(S14&gt;a_Tier2Over,a_Tier2Pct,a_Tier1Pct)),a_SaleCostEntered)</f>
        <v>232882.97260532892</v>
      </c>
      <c r="U14" s="28">
        <f>S14-T14-r_LeasingAfterSale-Q14-R14-M14*a_ExtN*a_ExtFeeBps/10000-Q14*a_ExitFeePct</f>
        <v>4209215.246893865</v>
      </c>
      <c r="V14" s="106">
        <f>IFERROR(IRR(X14:AI14),"")</f>
        <v>0.13332550592076944</v>
      </c>
      <c r="W14" s="87">
        <f>SUMIF(Y14:AI14,"&gt;0")/(N14-SUMIF(Y14:AI14,"&lt;0"))</f>
        <v>1.953520929804717</v>
      </c>
      <c r="X14" s="28">
        <f>-N14</f>
        <v>-3798723.322787158</v>
      </c>
      <c r="Y14" s="28">
        <f>IF(1&lt;=in_HoldYears,'Cash Flow'!E54-((12-(MAX(0,12*1-ROUND(in_IOYears*12,0))-MAX(0,12*(1-1)-ROUND(in_IOYears*12,0))))*M14*J14+(MAX(0,12*1-ROUND(in_IOYears*12,0))-MAX(0,12*(1-1)-ROUND(in_IOYears*12,0)))*O14)+'Cash Flow'!E61+IF(1=in_HoldYears,U14,0),0)</f>
        <v>521904.5926958126</v>
      </c>
      <c r="Z14" s="28">
        <f>IF(2&lt;=in_HoldYears,'Cash Flow'!F54-((12-(MAX(0,12*2-ROUND(in_IOYears*12,0))-MAX(0,12*(2-1)-ROUND(in_IOYears*12,0))))*M14*J14+(MAX(0,12*2-ROUND(in_IOYears*12,0))-MAX(0,12*(2-1)-ROUND(in_IOYears*12,0)))*O14)+'Cash Flow'!F61+IF(2=in_HoldYears,U14,0),0)</f>
        <v>506266.2061710557</v>
      </c>
      <c r="AA14" s="28">
        <f>IF(3&lt;=in_HoldYears,'Cash Flow'!G54-((12-(MAX(0,12*3-ROUND(in_IOYears*12,0))-MAX(0,12*(3-1)-ROUND(in_IOYears*12,0))))*M14*J14+(MAX(0,12*3-ROUND(in_IOYears*12,0))-MAX(0,12*(3-1)-ROUND(in_IOYears*12,0)))*O14)+'Cash Flow'!G61+IF(3=in_HoldYears,U14,0),0)</f>
        <v>489615.3748385692</v>
      </c>
      <c r="AB14" s="28">
        <f>IF(4&lt;=in_HoldYears,'Cash Flow'!H54-((12-(MAX(0,12*4-ROUND(in_IOYears*12,0))-MAX(0,12*(4-1)-ROUND(in_IOYears*12,0))))*M14*J14+(MAX(0,12*4-ROUND(in_IOYears*12,0))-MAX(0,12*(4-1)-ROUND(in_IOYears*12,0)))*O14)+'Cash Flow'!H61+IF(4=in_HoldYears,U14,0),0)</f>
        <v>457246.2781712712</v>
      </c>
      <c r="AC14" s="28">
        <f>IF(5&lt;=in_HoldYears,'Cash Flow'!I54-((12-(MAX(0,12*5-ROUND(in_IOYears*12,0))-MAX(0,12*(5-1)-ROUND(in_IOYears*12,0))))*M14*J14+(MAX(0,12*5-ROUND(in_IOYears*12,0))-MAX(0,12*(5-1)-ROUND(in_IOYears*12,0)))*O14)+'Cash Flow'!I61+IF(5=in_HoldYears,U14,0),0)</f>
        <v>349350.99464228505</v>
      </c>
      <c r="AD14" s="28">
        <f>IF(6&lt;=in_HoldYears,'Cash Flow'!J54-((12-(MAX(0,12*6-ROUND(in_IOYears*12,0))-MAX(0,12*(6-1)-ROUND(in_IOYears*12,0))))*M14*J14+(MAX(0,12*6-ROUND(in_IOYears*12,0))-MAX(0,12*(6-1)-ROUND(in_IOYears*12,0)))*O14)+'Cash Flow'!J61+IF(6=in_HoldYears,U14,0),0)</f>
        <v>386984.07769129006</v>
      </c>
      <c r="AE14" s="28">
        <f>IF(7&lt;=in_HoldYears,'Cash Flow'!K54-((12-(MAX(0,12*7-ROUND(in_IOYears*12,0))-MAX(0,12*(7-1)-ROUND(in_IOYears*12,0))))*M14*J14+(MAX(0,12*7-ROUND(in_IOYears*12,0))-MAX(0,12*(7-1)-ROUND(in_IOYears*12,0)))*O14)+'Cash Flow'!K61+IF(7=in_HoldYears,U14,0),0)</f>
        <v>4709517.993391749</v>
      </c>
      <c r="AF14" s="28">
        <f>IF(8&lt;=in_HoldYears,'Cash Flow'!L54-((12-(MAX(0,12*8-ROUND(in_IOYears*12,0))-MAX(0,12*(8-1)-ROUND(in_IOYears*12,0))))*M14*J14+(MAX(0,12*8-ROUND(in_IOYears*12,0))-MAX(0,12*(8-1)-ROUND(in_IOYears*12,0)))*O14)+'Cash Flow'!L61+IF(8=in_HoldYears,U14,0),0)</f>
        <v>0</v>
      </c>
      <c r="AG14" s="28">
        <f>IF(9&lt;=in_HoldYears,'Cash Flow'!M54-((12-(MAX(0,12*9-ROUND(in_IOYears*12,0))-MAX(0,12*(9-1)-ROUND(in_IOYears*12,0))))*M14*J14+(MAX(0,12*9-ROUND(in_IOYears*12,0))-MAX(0,12*(9-1)-ROUND(in_IOYears*12,0)))*O14)+'Cash Flow'!M61+IF(9=in_HoldYears,U14,0),0)</f>
        <v>0</v>
      </c>
      <c r="AH14" s="28">
        <f>IF(10&lt;=in_HoldYears,'Cash Flow'!N54-((12-(MAX(0,12*10-ROUND(in_IOYears*12,0))-MAX(0,12*(10-1)-ROUND(in_IOYears*12,0))))*M14*J14+(MAX(0,12*10-ROUND(in_IOYears*12,0))-MAX(0,12*(10-1)-ROUND(in_IOYears*12,0)))*O14)+'Cash Flow'!N61+IF(10=in_HoldYears,U14,0),0)</f>
        <v>0</v>
      </c>
      <c r="AI14" s="28">
        <f>IF(11&lt;=in_HoldYears,'Cash Flow'!O54-((12-(MAX(0,12*11-ROUND(in_IOYears*12,0))-MAX(0,12*(11-1)-ROUND(in_IOYears*12,0))))*M14*J14+(MAX(0,12*11-ROUND(in_IOYears*12,0))-MAX(0,12*(11-1)-ROUND(in_IOYears*12,0)))*O14)+'Cash Flow'!O61+IF(11=in_HoldYears,U14,0),0)</f>
        <v>0</v>
      </c>
    </row>
    <row r="15">
      <c r="B15" s="25">
        <v>1</v>
      </c>
      <c r="C15" s="25">
        <v>-1</v>
      </c>
      <c r="D15" s="25">
        <v>1</v>
      </c>
      <c r="E15" s="28">
        <f>in_PurchasePrice*(1+(-1)*s_PriceStep)</f>
        <v>8900550</v>
      </c>
      <c r="F15" s="88">
        <f>in_ExitCap+(1)*s_CapStep</f>
        <v>0.10640000000000001</v>
      </c>
      <c r="G15" s="88">
        <f>in_InterestRate</f>
        <v>0.067</v>
      </c>
      <c r="H15" s="28">
        <f>E15*in_ClosingCostPct+a_ClosingOther</f>
        <v>133508.25</v>
      </c>
      <c r="I15" s="28">
        <f>E15+H15+a_UpfrontOther+a_LeaseUpReserve</f>
        <v>9085650.022787157</v>
      </c>
      <c r="J15" s="88">
        <f>G15*a_DayFactor/12</f>
        <v>0.005660879629629629</v>
      </c>
      <c r="K15" s="24">
        <f>IF(J15=0,1/(in_AmortYears*12),J15/(1-(1+J15)^(-in_AmortYears*12)))</f>
        <v>0.006514626765893523</v>
      </c>
      <c r="L15" s="24">
        <f>MIN(12,in_IOYears*12)*J15+(12-MIN(12,in_IOYears*12))*K15</f>
        <v>0.07817552119072227</v>
      </c>
      <c r="M15" s="28">
        <f>MAX(0,MIN(I15,IF(a_LoanMode="Fixed amount",a_FixedLoan,IF(a_LoanMode="LTC",I15*a_LTCTarget,IF(a_LoanMode="Lender tests",MIN(E15*a_LTVTarget,IF(AND(a_MinDSCR&gt;0,L15&gt;0),out_NOI_Y1/a_MinDSCR/L15,9E+99),IF(a_MinDY&gt;0,out_NOI_Y1/a_MinDY,9E+99)),E15*a_LTVTarget)))))</f>
        <v>5340330</v>
      </c>
      <c r="N15" s="28">
        <f>I15+M15*a_LoanFeePct+a_IntReserve-M15</f>
        <v>3798723.322787158</v>
      </c>
      <c r="O15" s="28">
        <f>M15*K15</f>
        <v>34790.256756704155</v>
      </c>
      <c r="P15" s="25">
        <f>MAX(0,12*in_HoldYears-ROUND(in_IOYears*12,0))</f>
        <v>84</v>
      </c>
      <c r="Q15" s="28">
        <f>MAX(0,IF(J15=0,M15*(1-P15/(in_AmortYears*12)),M15*((1+J15)^(in_AmortYears*12)-(1+J15)^P15)/((1+J15)^(in_AmortYears*12)-1)))</f>
        <v>4851703.887461801</v>
      </c>
      <c r="R15" s="28">
        <f>IF(Q15&lt;=0,0,IF(a_Prepay="Step-down 5-4-3-2-1",Q15*IF(in_HoldYears&lt;5,CHOOSE(in_HoldYears+1,5,4,3,2,1),0)/100,IF(a_Prepay="Step-down 3-2-1",Q15*IF(in_HoldYears&lt;3,CHOOSE(in_HoldYears+1,3,2,1),0)/100,IF(AND(OR(a_Prepay="Yield maintenance",a_Prepay="Yield maintenance (1% floor)"),a_LoanTerm&gt;in_HoldYears,G15&gt;0,a_IndexRate&gt;0),Q15*MAX(IF(a_Prepay="Yield maintenance",0.5,1),(O15*(1-(1+(a_IndexRate/12))^(-(a_LoanTerm*12-in_HoldYears*12)))/(a_IndexRate/12)+MAX(0,Q15*(1+(G15/12))^(a_LoanTerm*12-in_HoldYears*12)-O15*((1+(G15/12))^(a_LoanTerm*12-in_HoldYears*12)-1)/(G15/12))/(1+(a_IndexRate/12))^(a_LoanTerm*12-in_HoldYears*12)-Q15)/Q15*100+IF(a_Prepay="Yield maintenance",0,1))/100,0))))</f>
        <v>0</v>
      </c>
      <c r="S15" s="28">
        <f>IF(F15&gt;0,out_ExitNOI/F15,0)</f>
        <v>9096443.929960027</v>
      </c>
      <c r="T15" s="28">
        <f>S15*IF(a_SaleCostMode="Market tiers",IF(S15&gt;a_Tier3Over,a_Tier3Pct,IF(S15&gt;a_Tier2Over,a_Tier2Pct,a_Tier1Pct)),a_SaleCostEntered)</f>
        <v>227411.0982490007</v>
      </c>
      <c r="U15" s="28">
        <f>S15-T15-r_LeasingAfterSale-Q15-R15-M15*a_ExtN*a_ExtFeeBps/10000-Q15*a_ExitFeePct</f>
        <v>3995812.1469970634</v>
      </c>
      <c r="V15" s="106">
        <f>IFERROR(IRR(X15:AI15),"")</f>
        <v>0.1279729953229413</v>
      </c>
      <c r="W15" s="87">
        <f>SUMIF(Y15:AI15,"&gt;0")/(N15-SUMIF(Y15:AI15,"&lt;0"))</f>
        <v>1.8973433454524493</v>
      </c>
      <c r="X15" s="28">
        <f>-N15</f>
        <v>-3798723.322787158</v>
      </c>
      <c r="Y15" s="28">
        <f>IF(1&lt;=in_HoldYears,'Cash Flow'!E54-((12-(MAX(0,12*1-ROUND(in_IOYears*12,0))-MAX(0,12*(1-1)-ROUND(in_IOYears*12,0))))*M15*J15+(MAX(0,12*1-ROUND(in_IOYears*12,0))-MAX(0,12*(1-1)-ROUND(in_IOYears*12,0)))*O15)+'Cash Flow'!E61+IF(1=in_HoldYears,U15,0),0)</f>
        <v>521904.5926958126</v>
      </c>
      <c r="Z15" s="28">
        <f>IF(2&lt;=in_HoldYears,'Cash Flow'!F54-((12-(MAX(0,12*2-ROUND(in_IOYears*12,0))-MAX(0,12*(2-1)-ROUND(in_IOYears*12,0))))*M15*J15+(MAX(0,12*2-ROUND(in_IOYears*12,0))-MAX(0,12*(2-1)-ROUND(in_IOYears*12,0)))*O15)+'Cash Flow'!F61+IF(2=in_HoldYears,U15,0),0)</f>
        <v>506266.2061710557</v>
      </c>
      <c r="AA15" s="28">
        <f>IF(3&lt;=in_HoldYears,'Cash Flow'!G54-((12-(MAX(0,12*3-ROUND(in_IOYears*12,0))-MAX(0,12*(3-1)-ROUND(in_IOYears*12,0))))*M15*J15+(MAX(0,12*3-ROUND(in_IOYears*12,0))-MAX(0,12*(3-1)-ROUND(in_IOYears*12,0)))*O15)+'Cash Flow'!G61+IF(3=in_HoldYears,U15,0),0)</f>
        <v>489615.3748385692</v>
      </c>
      <c r="AB15" s="28">
        <f>IF(4&lt;=in_HoldYears,'Cash Flow'!H54-((12-(MAX(0,12*4-ROUND(in_IOYears*12,0))-MAX(0,12*(4-1)-ROUND(in_IOYears*12,0))))*M15*J15+(MAX(0,12*4-ROUND(in_IOYears*12,0))-MAX(0,12*(4-1)-ROUND(in_IOYears*12,0)))*O15)+'Cash Flow'!H61+IF(4=in_HoldYears,U15,0),0)</f>
        <v>457246.2781712712</v>
      </c>
      <c r="AC15" s="28">
        <f>IF(5&lt;=in_HoldYears,'Cash Flow'!I54-((12-(MAX(0,12*5-ROUND(in_IOYears*12,0))-MAX(0,12*(5-1)-ROUND(in_IOYears*12,0))))*M15*J15+(MAX(0,12*5-ROUND(in_IOYears*12,0))-MAX(0,12*(5-1)-ROUND(in_IOYears*12,0)))*O15)+'Cash Flow'!I61+IF(5=in_HoldYears,U15,0),0)</f>
        <v>349350.99464228505</v>
      </c>
      <c r="AD15" s="28">
        <f>IF(6&lt;=in_HoldYears,'Cash Flow'!J54-((12-(MAX(0,12*6-ROUND(in_IOYears*12,0))-MAX(0,12*(6-1)-ROUND(in_IOYears*12,0))))*M15*J15+(MAX(0,12*6-ROUND(in_IOYears*12,0))-MAX(0,12*(6-1)-ROUND(in_IOYears*12,0)))*O15)+'Cash Flow'!J61+IF(6=in_HoldYears,U15,0),0)</f>
        <v>386984.07769129006</v>
      </c>
      <c r="AE15" s="28">
        <f>IF(7&lt;=in_HoldYears,'Cash Flow'!K54-((12-(MAX(0,12*7-ROUND(in_IOYears*12,0))-MAX(0,12*(7-1)-ROUND(in_IOYears*12,0))))*M15*J15+(MAX(0,12*7-ROUND(in_IOYears*12,0))-MAX(0,12*(7-1)-ROUND(in_IOYears*12,0)))*O15)+'Cash Flow'!K61+IF(7=in_HoldYears,U15,0),0)</f>
        <v>4496114.893494948</v>
      </c>
      <c r="AF15" s="28">
        <f>IF(8&lt;=in_HoldYears,'Cash Flow'!L54-((12-(MAX(0,12*8-ROUND(in_IOYears*12,0))-MAX(0,12*(8-1)-ROUND(in_IOYears*12,0))))*M15*J15+(MAX(0,12*8-ROUND(in_IOYears*12,0))-MAX(0,12*(8-1)-ROUND(in_IOYears*12,0)))*O15)+'Cash Flow'!L61+IF(8=in_HoldYears,U15,0),0)</f>
        <v>0</v>
      </c>
      <c r="AG15" s="28">
        <f>IF(9&lt;=in_HoldYears,'Cash Flow'!M54-((12-(MAX(0,12*9-ROUND(in_IOYears*12,0))-MAX(0,12*(9-1)-ROUND(in_IOYears*12,0))))*M15*J15+(MAX(0,12*9-ROUND(in_IOYears*12,0))-MAX(0,12*(9-1)-ROUND(in_IOYears*12,0)))*O15)+'Cash Flow'!M61+IF(9=in_HoldYears,U15,0),0)</f>
        <v>0</v>
      </c>
      <c r="AH15" s="28">
        <f>IF(10&lt;=in_HoldYears,'Cash Flow'!N54-((12-(MAX(0,12*10-ROUND(in_IOYears*12,0))-MAX(0,12*(10-1)-ROUND(in_IOYears*12,0))))*M15*J15+(MAX(0,12*10-ROUND(in_IOYears*12,0))-MAX(0,12*(10-1)-ROUND(in_IOYears*12,0)))*O15)+'Cash Flow'!N61+IF(10=in_HoldYears,U15,0),0)</f>
        <v>0</v>
      </c>
      <c r="AI15" s="28">
        <f>IF(11&lt;=in_HoldYears,'Cash Flow'!O54-((12-(MAX(0,12*11-ROUND(in_IOYears*12,0))-MAX(0,12*(11-1)-ROUND(in_IOYears*12,0))))*M15*J15+(MAX(0,12*11-ROUND(in_IOYears*12,0))-MAX(0,12*(11-1)-ROUND(in_IOYears*12,0)))*O15)+'Cash Flow'!O61+IF(11=in_HoldYears,U15,0),0)</f>
        <v>0</v>
      </c>
    </row>
    <row r="16">
      <c r="B16" s="25">
        <v>1</v>
      </c>
      <c r="C16" s="25">
        <v>-1</v>
      </c>
      <c r="D16" s="25">
        <v>2</v>
      </c>
      <c r="E16" s="28">
        <f>in_PurchasePrice*(1+(-1)*s_PriceStep)</f>
        <v>8900550</v>
      </c>
      <c r="F16" s="88">
        <f>in_ExitCap+(2)*s_CapStep</f>
        <v>0.10890000000000001</v>
      </c>
      <c r="G16" s="88">
        <f>in_InterestRate</f>
        <v>0.067</v>
      </c>
      <c r="H16" s="28">
        <f>E16*in_ClosingCostPct+a_ClosingOther</f>
        <v>133508.25</v>
      </c>
      <c r="I16" s="28">
        <f>E16+H16+a_UpfrontOther+a_LeaseUpReserve</f>
        <v>9085650.022787157</v>
      </c>
      <c r="J16" s="88">
        <f>G16*a_DayFactor/12</f>
        <v>0.005660879629629629</v>
      </c>
      <c r="K16" s="24">
        <f>IF(J16=0,1/(in_AmortYears*12),J16/(1-(1+J16)^(-in_AmortYears*12)))</f>
        <v>0.006514626765893523</v>
      </c>
      <c r="L16" s="24">
        <f>MIN(12,in_IOYears*12)*J16+(12-MIN(12,in_IOYears*12))*K16</f>
        <v>0.07817552119072227</v>
      </c>
      <c r="M16" s="28">
        <f>MAX(0,MIN(I16,IF(a_LoanMode="Fixed amount",a_FixedLoan,IF(a_LoanMode="LTC",I16*a_LTCTarget,IF(a_LoanMode="Lender tests",MIN(E16*a_LTVTarget,IF(AND(a_MinDSCR&gt;0,L16&gt;0),out_NOI_Y1/a_MinDSCR/L16,9E+99),IF(a_MinDY&gt;0,out_NOI_Y1/a_MinDY,9E+99)),E16*a_LTVTarget)))))</f>
        <v>5340330</v>
      </c>
      <c r="N16" s="28">
        <f>I16+M16*a_LoanFeePct+a_IntReserve-M16</f>
        <v>3798723.322787158</v>
      </c>
      <c r="O16" s="28">
        <f>M16*K16</f>
        <v>34790.256756704155</v>
      </c>
      <c r="P16" s="25">
        <f>MAX(0,12*in_HoldYears-ROUND(in_IOYears*12,0))</f>
        <v>84</v>
      </c>
      <c r="Q16" s="28">
        <f>MAX(0,IF(J16=0,M16*(1-P16/(in_AmortYears*12)),M16*((1+J16)^(in_AmortYears*12)-(1+J16)^P16)/((1+J16)^(in_AmortYears*12)-1)))</f>
        <v>4851703.887461801</v>
      </c>
      <c r="R16" s="28">
        <f>IF(Q16&lt;=0,0,IF(a_Prepay="Step-down 5-4-3-2-1",Q16*IF(in_HoldYears&lt;5,CHOOSE(in_HoldYears+1,5,4,3,2,1),0)/100,IF(a_Prepay="Step-down 3-2-1",Q16*IF(in_HoldYears&lt;3,CHOOSE(in_HoldYears+1,3,2,1),0)/100,IF(AND(OR(a_Prepay="Yield maintenance",a_Prepay="Yield maintenance (1% floor)"),a_LoanTerm&gt;in_HoldYears,G16&gt;0,a_IndexRate&gt;0),Q16*MAX(IF(a_Prepay="Yield maintenance",0.5,1),(O16*(1-(1+(a_IndexRate/12))^(-(a_LoanTerm*12-in_HoldYears*12)))/(a_IndexRate/12)+MAX(0,Q16*(1+(G16/12))^(a_LoanTerm*12-in_HoldYears*12)-O16*((1+(G16/12))^(a_LoanTerm*12-in_HoldYears*12)-1)/(G16/12))/(1+(a_IndexRate/12))^(a_LoanTerm*12-in_HoldYears*12)-Q16)/Q16*100+IF(a_Prepay="Yield maintenance",0,1))/100,0))))</f>
        <v>0</v>
      </c>
      <c r="S16" s="28">
        <f>IF(F16&gt;0,out_ExitNOI/F16,0)</f>
        <v>8887618.311733212</v>
      </c>
      <c r="T16" s="28">
        <f>S16*IF(a_SaleCostMode="Market tiers",IF(S16&gt;a_Tier3Over,a_Tier3Pct,IF(S16&gt;a_Tier2Over,a_Tier2Pct,a_Tier1Pct)),a_SaleCostEntered)</f>
        <v>222190.4577933303</v>
      </c>
      <c r="U16" s="28">
        <f>S16-T16-r_LeasingAfterSale-Q16-R16-M16*a_ExtN*a_ExtFeeBps/10000-Q16*a_ExitFeePct</f>
        <v>3792207.169225919</v>
      </c>
      <c r="V16" s="106">
        <f>IFERROR(IRR(X16:AI16),"")</f>
        <v>0.12269732105318855</v>
      </c>
      <c r="W16" s="87">
        <f>SUMIF(Y16:AI16,"&gt;0")/(N16-SUMIF(Y16:AI16,"&lt;0"))</f>
        <v>1.8437450808592393</v>
      </c>
      <c r="X16" s="28">
        <f>-N16</f>
        <v>-3798723.322787158</v>
      </c>
      <c r="Y16" s="28">
        <f>IF(1&lt;=in_HoldYears,'Cash Flow'!E54-((12-(MAX(0,12*1-ROUND(in_IOYears*12,0))-MAX(0,12*(1-1)-ROUND(in_IOYears*12,0))))*M16*J16+(MAX(0,12*1-ROUND(in_IOYears*12,0))-MAX(0,12*(1-1)-ROUND(in_IOYears*12,0)))*O16)+'Cash Flow'!E61+IF(1=in_HoldYears,U16,0),0)</f>
        <v>521904.5926958126</v>
      </c>
      <c r="Z16" s="28">
        <f>IF(2&lt;=in_HoldYears,'Cash Flow'!F54-((12-(MAX(0,12*2-ROUND(in_IOYears*12,0))-MAX(0,12*(2-1)-ROUND(in_IOYears*12,0))))*M16*J16+(MAX(0,12*2-ROUND(in_IOYears*12,0))-MAX(0,12*(2-1)-ROUND(in_IOYears*12,0)))*O16)+'Cash Flow'!F61+IF(2=in_HoldYears,U16,0),0)</f>
        <v>506266.2061710557</v>
      </c>
      <c r="AA16" s="28">
        <f>IF(3&lt;=in_HoldYears,'Cash Flow'!G54-((12-(MAX(0,12*3-ROUND(in_IOYears*12,0))-MAX(0,12*(3-1)-ROUND(in_IOYears*12,0))))*M16*J16+(MAX(0,12*3-ROUND(in_IOYears*12,0))-MAX(0,12*(3-1)-ROUND(in_IOYears*12,0)))*O16)+'Cash Flow'!G61+IF(3=in_HoldYears,U16,0),0)</f>
        <v>489615.3748385692</v>
      </c>
      <c r="AB16" s="28">
        <f>IF(4&lt;=in_HoldYears,'Cash Flow'!H54-((12-(MAX(0,12*4-ROUND(in_IOYears*12,0))-MAX(0,12*(4-1)-ROUND(in_IOYears*12,0))))*M16*J16+(MAX(0,12*4-ROUND(in_IOYears*12,0))-MAX(0,12*(4-1)-ROUND(in_IOYears*12,0)))*O16)+'Cash Flow'!H61+IF(4=in_HoldYears,U16,0),0)</f>
        <v>457246.2781712712</v>
      </c>
      <c r="AC16" s="28">
        <f>IF(5&lt;=in_HoldYears,'Cash Flow'!I54-((12-(MAX(0,12*5-ROUND(in_IOYears*12,0))-MAX(0,12*(5-1)-ROUND(in_IOYears*12,0))))*M16*J16+(MAX(0,12*5-ROUND(in_IOYears*12,0))-MAX(0,12*(5-1)-ROUND(in_IOYears*12,0)))*O16)+'Cash Flow'!I61+IF(5=in_HoldYears,U16,0),0)</f>
        <v>349350.99464228505</v>
      </c>
      <c r="AD16" s="28">
        <f>IF(6&lt;=in_HoldYears,'Cash Flow'!J54-((12-(MAX(0,12*6-ROUND(in_IOYears*12,0))-MAX(0,12*(6-1)-ROUND(in_IOYears*12,0))))*M16*J16+(MAX(0,12*6-ROUND(in_IOYears*12,0))-MAX(0,12*(6-1)-ROUND(in_IOYears*12,0)))*O16)+'Cash Flow'!J61+IF(6=in_HoldYears,U16,0),0)</f>
        <v>386984.07769129006</v>
      </c>
      <c r="AE16" s="28">
        <f>IF(7&lt;=in_HoldYears,'Cash Flow'!K54-((12-(MAX(0,12*7-ROUND(in_IOYears*12,0))-MAX(0,12*(7-1)-ROUND(in_IOYears*12,0))))*M16*J16+(MAX(0,12*7-ROUND(in_IOYears*12,0))-MAX(0,12*(7-1)-ROUND(in_IOYears*12,0)))*O16)+'Cash Flow'!K61+IF(7=in_HoldYears,U16,0),0)</f>
        <v>4292509.915723803</v>
      </c>
      <c r="AF16" s="28">
        <f>IF(8&lt;=in_HoldYears,'Cash Flow'!L54-((12-(MAX(0,12*8-ROUND(in_IOYears*12,0))-MAX(0,12*(8-1)-ROUND(in_IOYears*12,0))))*M16*J16+(MAX(0,12*8-ROUND(in_IOYears*12,0))-MAX(0,12*(8-1)-ROUND(in_IOYears*12,0)))*O16)+'Cash Flow'!L61+IF(8=in_HoldYears,U16,0),0)</f>
        <v>0</v>
      </c>
      <c r="AG16" s="28">
        <f>IF(9&lt;=in_HoldYears,'Cash Flow'!M54-((12-(MAX(0,12*9-ROUND(in_IOYears*12,0))-MAX(0,12*(9-1)-ROUND(in_IOYears*12,0))))*M16*J16+(MAX(0,12*9-ROUND(in_IOYears*12,0))-MAX(0,12*(9-1)-ROUND(in_IOYears*12,0)))*O16)+'Cash Flow'!M61+IF(9=in_HoldYears,U16,0),0)</f>
        <v>0</v>
      </c>
      <c r="AH16" s="28">
        <f>IF(10&lt;=in_HoldYears,'Cash Flow'!N54-((12-(MAX(0,12*10-ROUND(in_IOYears*12,0))-MAX(0,12*(10-1)-ROUND(in_IOYears*12,0))))*M16*J16+(MAX(0,12*10-ROUND(in_IOYears*12,0))-MAX(0,12*(10-1)-ROUND(in_IOYears*12,0)))*O16)+'Cash Flow'!N61+IF(10=in_HoldYears,U16,0),0)</f>
        <v>0</v>
      </c>
      <c r="AI16" s="28">
        <f>IF(11&lt;=in_HoldYears,'Cash Flow'!O54-((12-(MAX(0,12*11-ROUND(in_IOYears*12,0))-MAX(0,12*(11-1)-ROUND(in_IOYears*12,0))))*M16*J16+(MAX(0,12*11-ROUND(in_IOYears*12,0))-MAX(0,12*(11-1)-ROUND(in_IOYears*12,0)))*O16)+'Cash Flow'!O61+IF(11=in_HoldYears,U16,0),0)</f>
        <v>0</v>
      </c>
    </row>
    <row r="17">
      <c r="B17" s="25">
        <v>1</v>
      </c>
      <c r="C17" s="25">
        <v>0</v>
      </c>
      <c r="D17" s="25">
        <v>-2</v>
      </c>
      <c r="E17" s="28">
        <f>in_PurchasePrice*(1+(0)*s_PriceStep)</f>
        <v>9369000</v>
      </c>
      <c r="F17" s="88">
        <f>in_ExitCap+(-2)*s_CapStep</f>
        <v>0.0989</v>
      </c>
      <c r="G17" s="88">
        <f>in_InterestRate</f>
        <v>0.067</v>
      </c>
      <c r="H17" s="28">
        <f>E17*in_ClosingCostPct+a_ClosingOther</f>
        <v>140535</v>
      </c>
      <c r="I17" s="28">
        <f>E17+H17+a_UpfrontOther+a_LeaseUpReserve</f>
        <v>9561126.772787157</v>
      </c>
      <c r="J17" s="88">
        <f>G17*a_DayFactor/12</f>
        <v>0.005660879629629629</v>
      </c>
      <c r="K17" s="24">
        <f>IF(J17=0,1/(in_AmortYears*12),J17/(1-(1+J17)^(-in_AmortYears*12)))</f>
        <v>0.006514626765893523</v>
      </c>
      <c r="L17" s="24">
        <f>MIN(12,in_IOYears*12)*J17+(12-MIN(12,in_IOYears*12))*K17</f>
        <v>0.07817552119072227</v>
      </c>
      <c r="M17" s="28">
        <f>MAX(0,MIN(I17,IF(a_LoanMode="Fixed amount",a_FixedLoan,IF(a_LoanMode="LTC",I17*a_LTCTarget,IF(a_LoanMode="Lender tests",MIN(E17*a_LTVTarget,IF(AND(a_MinDSCR&gt;0,L17&gt;0),out_NOI_Y1/a_MinDSCR/L17,9E+99),IF(a_MinDY&gt;0,out_NOI_Y1/a_MinDY,9E+99)),E17*a_LTVTarget)))))</f>
        <v>5621400</v>
      </c>
      <c r="N17" s="28">
        <f>I17+M17*a_LoanFeePct+a_IntReserve-M17</f>
        <v>3995940.7727871574</v>
      </c>
      <c r="O17" s="28">
        <f>M17*K17</f>
        <v>36621.32290179385</v>
      </c>
      <c r="P17" s="25">
        <f>MAX(0,12*in_HoldYears-ROUND(in_IOYears*12,0))</f>
        <v>84</v>
      </c>
      <c r="Q17" s="28">
        <f>MAX(0,IF(J17=0,M17*(1-P17/(in_AmortYears*12)),M17*((1+J17)^(in_AmortYears*12)-(1+J17)^P17)/((1+J17)^(in_AmortYears*12)-1)))</f>
        <v>5107056.723644001</v>
      </c>
      <c r="R17" s="28">
        <f>IF(Q17&lt;=0,0,IF(a_Prepay="Step-down 5-4-3-2-1",Q17*IF(in_HoldYears&lt;5,CHOOSE(in_HoldYears+1,5,4,3,2,1),0)/100,IF(a_Prepay="Step-down 3-2-1",Q17*IF(in_HoldYears&lt;3,CHOOSE(in_HoldYears+1,3,2,1),0)/100,IF(AND(OR(a_Prepay="Yield maintenance",a_Prepay="Yield maintenance (1% floor)"),a_LoanTerm&gt;in_HoldYears,G17&gt;0,a_IndexRate&gt;0),Q17*MAX(IF(a_Prepay="Yield maintenance",0.5,1),(O17*(1-(1+(a_IndexRate/12))^(-(a_LoanTerm*12-in_HoldYears*12)))/(a_IndexRate/12)+MAX(0,Q17*(1+(G17/12))^(a_LoanTerm*12-in_HoldYears*12)-O17*((1+(G17/12))^(a_LoanTerm*12-in_HoldYears*12)-1)/(G17/12))/(1+(a_IndexRate/12))^(a_LoanTerm*12-in_HoldYears*12)-Q17)/Q17*100+IF(a_Prepay="Yield maintenance",0,1))/100,0))))</f>
        <v>0</v>
      </c>
      <c r="S17" s="28">
        <f>IF(F17&gt;0,out_ExitNOI/F17,0)</f>
        <v>9786265.259330101</v>
      </c>
      <c r="T17" s="28">
        <f>S17*IF(a_SaleCostMode="Market tiers",IF(S17&gt;a_Tier3Over,a_Tier3Pct,IF(S17&gt;a_Tier2Over,a_Tier2Pct,a_Tier1Pct)),a_SaleCostEntered)</f>
        <v>244656.63148325254</v>
      </c>
      <c r="U17" s="28">
        <f>S17-T17-r_LeasingAfterSale-Q17-R17-M17*a_ExtN*a_ExtFeeBps/10000-Q17*a_ExitFeePct</f>
        <v>4413035.106950685</v>
      </c>
      <c r="V17" s="106">
        <f>IFERROR(IRR(X17:AI17),"")</f>
        <v>0.12158081080436604</v>
      </c>
      <c r="W17" s="87">
        <f>SUMIF(Y17:AI17,"&gt;0")/(N17-SUMIF(Y17:AI17,"&lt;0"))</f>
        <v>1.8696212597416426</v>
      </c>
      <c r="X17" s="28">
        <f>-N17</f>
        <v>-3995940.7727871574</v>
      </c>
      <c r="Y17" s="28">
        <f>IF(1&lt;=in_HoldYears,'Cash Flow'!E54-((12-(MAX(0,12*1-ROUND(in_IOYears*12,0))-MAX(0,12*(1-1)-ROUND(in_IOYears*12,0))))*M17*J17+(MAX(0,12*1-ROUND(in_IOYears*12,0))-MAX(0,12*(1-1)-ROUND(in_IOYears*12,0)))*O17)+'Cash Flow'!E61+IF(1=in_HoldYears,U17,0),0)</f>
        <v>499931.7989547362</v>
      </c>
      <c r="Z17" s="28">
        <f>IF(2&lt;=in_HoldYears,'Cash Flow'!F54-((12-(MAX(0,12*2-ROUND(in_IOYears*12,0))-MAX(0,12*(2-1)-ROUND(in_IOYears*12,0))))*M17*J17+(MAX(0,12*2-ROUND(in_IOYears*12,0))-MAX(0,12*(2-1)-ROUND(in_IOYears*12,0)))*O17)+'Cash Flow'!F61+IF(2=in_HoldYears,U17,0),0)</f>
        <v>484293.4124299793</v>
      </c>
      <c r="AA17" s="28">
        <f>IF(3&lt;=in_HoldYears,'Cash Flow'!G54-((12-(MAX(0,12*3-ROUND(in_IOYears*12,0))-MAX(0,12*(3-1)-ROUND(in_IOYears*12,0))))*M17*J17+(MAX(0,12*3-ROUND(in_IOYears*12,0))-MAX(0,12*(3-1)-ROUND(in_IOYears*12,0)))*O17)+'Cash Flow'!G61+IF(3=in_HoldYears,U17,0),0)</f>
        <v>467642.58109749283</v>
      </c>
      <c r="AB17" s="28">
        <f>IF(4&lt;=in_HoldYears,'Cash Flow'!H54-((12-(MAX(0,12*4-ROUND(in_IOYears*12,0))-MAX(0,12*(4-1)-ROUND(in_IOYears*12,0))))*M17*J17+(MAX(0,12*4-ROUND(in_IOYears*12,0))-MAX(0,12*(4-1)-ROUND(in_IOYears*12,0)))*O17)+'Cash Flow'!H61+IF(4=in_HoldYears,U17,0),0)</f>
        <v>435273.48443019483</v>
      </c>
      <c r="AC17" s="28">
        <f>IF(5&lt;=in_HoldYears,'Cash Flow'!I54-((12-(MAX(0,12*5-ROUND(in_IOYears*12,0))-MAX(0,12*(5-1)-ROUND(in_IOYears*12,0))))*M17*J17+(MAX(0,12*5-ROUND(in_IOYears*12,0))-MAX(0,12*(5-1)-ROUND(in_IOYears*12,0)))*O17)+'Cash Flow'!I61+IF(5=in_HoldYears,U17,0),0)</f>
        <v>327378.2009012087</v>
      </c>
      <c r="AD17" s="28">
        <f>IF(6&lt;=in_HoldYears,'Cash Flow'!J54-((12-(MAX(0,12*6-ROUND(in_IOYears*12,0))-MAX(0,12*(6-1)-ROUND(in_IOYears*12,0))))*M17*J17+(MAX(0,12*6-ROUND(in_IOYears*12,0))-MAX(0,12*(6-1)-ROUND(in_IOYears*12,0)))*O17)+'Cash Flow'!J61+IF(6=in_HoldYears,U17,0),0)</f>
        <v>365011.2839502137</v>
      </c>
      <c r="AE17" s="28">
        <f>IF(7&lt;=in_HoldYears,'Cash Flow'!K54-((12-(MAX(0,12*7-ROUND(in_IOYears*12,0))-MAX(0,12*(7-1)-ROUND(in_IOYears*12,0))))*M17*J17+(MAX(0,12*7-ROUND(in_IOYears*12,0))-MAX(0,12*(7-1)-ROUND(in_IOYears*12,0)))*O17)+'Cash Flow'!K61+IF(7=in_HoldYears,U17,0),0)</f>
        <v>4891365.0597074935</v>
      </c>
      <c r="AF17" s="28">
        <f>IF(8&lt;=in_HoldYears,'Cash Flow'!L54-((12-(MAX(0,12*8-ROUND(in_IOYears*12,0))-MAX(0,12*(8-1)-ROUND(in_IOYears*12,0))))*M17*J17+(MAX(0,12*8-ROUND(in_IOYears*12,0))-MAX(0,12*(8-1)-ROUND(in_IOYears*12,0)))*O17)+'Cash Flow'!L61+IF(8=in_HoldYears,U17,0),0)</f>
        <v>0</v>
      </c>
      <c r="AG17" s="28">
        <f>IF(9&lt;=in_HoldYears,'Cash Flow'!M54-((12-(MAX(0,12*9-ROUND(in_IOYears*12,0))-MAX(0,12*(9-1)-ROUND(in_IOYears*12,0))))*M17*J17+(MAX(0,12*9-ROUND(in_IOYears*12,0))-MAX(0,12*(9-1)-ROUND(in_IOYears*12,0)))*O17)+'Cash Flow'!M61+IF(9=in_HoldYears,U17,0),0)</f>
        <v>0</v>
      </c>
      <c r="AH17" s="28">
        <f>IF(10&lt;=in_HoldYears,'Cash Flow'!N54-((12-(MAX(0,12*10-ROUND(in_IOYears*12,0))-MAX(0,12*(10-1)-ROUND(in_IOYears*12,0))))*M17*J17+(MAX(0,12*10-ROUND(in_IOYears*12,0))-MAX(0,12*(10-1)-ROUND(in_IOYears*12,0)))*O17)+'Cash Flow'!N61+IF(10=in_HoldYears,U17,0),0)</f>
        <v>0</v>
      </c>
      <c r="AI17" s="28">
        <f>IF(11&lt;=in_HoldYears,'Cash Flow'!O54-((12-(MAX(0,12*11-ROUND(in_IOYears*12,0))-MAX(0,12*(11-1)-ROUND(in_IOYears*12,0))))*M17*J17+(MAX(0,12*11-ROUND(in_IOYears*12,0))-MAX(0,12*(11-1)-ROUND(in_IOYears*12,0)))*O17)+'Cash Flow'!O61+IF(11=in_HoldYears,U17,0),0)</f>
        <v>0</v>
      </c>
    </row>
    <row r="18">
      <c r="B18" s="25">
        <v>1</v>
      </c>
      <c r="C18" s="25">
        <v>0</v>
      </c>
      <c r="D18" s="25">
        <v>-1</v>
      </c>
      <c r="E18" s="28">
        <f>in_PurchasePrice*(1+(0)*s_PriceStep)</f>
        <v>9369000</v>
      </c>
      <c r="F18" s="88">
        <f>in_ExitCap+(-1)*s_CapStep</f>
        <v>0.1014</v>
      </c>
      <c r="G18" s="88">
        <f>in_InterestRate</f>
        <v>0.067</v>
      </c>
      <c r="H18" s="28">
        <f>E18*in_ClosingCostPct+a_ClosingOther</f>
        <v>140535</v>
      </c>
      <c r="I18" s="28">
        <f>E18+H18+a_UpfrontOther+a_LeaseUpReserve</f>
        <v>9561126.772787157</v>
      </c>
      <c r="J18" s="88">
        <f>G18*a_DayFactor/12</f>
        <v>0.005660879629629629</v>
      </c>
      <c r="K18" s="24">
        <f>IF(J18=0,1/(in_AmortYears*12),J18/(1-(1+J18)^(-in_AmortYears*12)))</f>
        <v>0.006514626765893523</v>
      </c>
      <c r="L18" s="24">
        <f>MIN(12,in_IOYears*12)*J18+(12-MIN(12,in_IOYears*12))*K18</f>
        <v>0.07817552119072227</v>
      </c>
      <c r="M18" s="28">
        <f>MAX(0,MIN(I18,IF(a_LoanMode="Fixed amount",a_FixedLoan,IF(a_LoanMode="LTC",I18*a_LTCTarget,IF(a_LoanMode="Lender tests",MIN(E18*a_LTVTarget,IF(AND(a_MinDSCR&gt;0,L18&gt;0),out_NOI_Y1/a_MinDSCR/L18,9E+99),IF(a_MinDY&gt;0,out_NOI_Y1/a_MinDY,9E+99)),E18*a_LTVTarget)))))</f>
        <v>5621400</v>
      </c>
      <c r="N18" s="28">
        <f>I18+M18*a_LoanFeePct+a_IntReserve-M18</f>
        <v>3995940.7727871574</v>
      </c>
      <c r="O18" s="28">
        <f>M18*K18</f>
        <v>36621.32290179385</v>
      </c>
      <c r="P18" s="25">
        <f>MAX(0,12*in_HoldYears-ROUND(in_IOYears*12,0))</f>
        <v>84</v>
      </c>
      <c r="Q18" s="28">
        <f>MAX(0,IF(J18=0,M18*(1-P18/(in_AmortYears*12)),M18*((1+J18)^(in_AmortYears*12)-(1+J18)^P18)/((1+J18)^(in_AmortYears*12)-1)))</f>
        <v>5107056.723644001</v>
      </c>
      <c r="R18" s="28">
        <f>IF(Q18&lt;=0,0,IF(a_Prepay="Step-down 5-4-3-2-1",Q18*IF(in_HoldYears&lt;5,CHOOSE(in_HoldYears+1,5,4,3,2,1),0)/100,IF(a_Prepay="Step-down 3-2-1",Q18*IF(in_HoldYears&lt;3,CHOOSE(in_HoldYears+1,3,2,1),0)/100,IF(AND(OR(a_Prepay="Yield maintenance",a_Prepay="Yield maintenance (1% floor)"),a_LoanTerm&gt;in_HoldYears,G18&gt;0,a_IndexRate&gt;0),Q18*MAX(IF(a_Prepay="Yield maintenance",0.5,1),(O18*(1-(1+(a_IndexRate/12))^(-(a_LoanTerm*12-in_HoldYears*12)))/(a_IndexRate/12)+MAX(0,Q18*(1+(G18/12))^(a_LoanTerm*12-in_HoldYears*12)-O18*((1+(G18/12))^(a_LoanTerm*12-in_HoldYears*12)-1)/(G18/12))/(1+(a_IndexRate/12))^(a_LoanTerm*12-in_HoldYears*12)-Q18)/Q18*100+IF(a_Prepay="Yield maintenance",0,1))/100,0))))</f>
        <v>0</v>
      </c>
      <c r="S18" s="28">
        <f>IF(F18&gt;0,out_ExitNOI/F18,0)</f>
        <v>9544986.530056676</v>
      </c>
      <c r="T18" s="28">
        <f>S18*IF(a_SaleCostMode="Market tiers",IF(S18&gt;a_Tier3Over,a_Tier3Pct,IF(S18&gt;a_Tier2Over,a_Tier2Pct,a_Tier1Pct)),a_SaleCostEntered)</f>
        <v>238624.6632514169</v>
      </c>
      <c r="U18" s="28">
        <f>S18-T18-r_LeasingAfterSale-Q18-R18-M18*a_ExtN*a_ExtFeeBps/10000-Q18*a_ExitFeePct</f>
        <v>4177788.3459090963</v>
      </c>
      <c r="V18" s="106">
        <f>IFERROR(IRR(X18:AI18),"")</f>
        <v>0.11576121814484477</v>
      </c>
      <c r="W18" s="87">
        <f>SUMIF(Y18:AI18,"&gt;0")/(N18-SUMIF(Y18:AI18,"&lt;0"))</f>
        <v>1.810749826350125</v>
      </c>
      <c r="X18" s="28">
        <f>-N18</f>
        <v>-3995940.7727871574</v>
      </c>
      <c r="Y18" s="28">
        <f>IF(1&lt;=in_HoldYears,'Cash Flow'!E54-((12-(MAX(0,12*1-ROUND(in_IOYears*12,0))-MAX(0,12*(1-1)-ROUND(in_IOYears*12,0))))*M18*J18+(MAX(0,12*1-ROUND(in_IOYears*12,0))-MAX(0,12*(1-1)-ROUND(in_IOYears*12,0)))*O18)+'Cash Flow'!E61+IF(1=in_HoldYears,U18,0),0)</f>
        <v>499931.7989547362</v>
      </c>
      <c r="Z18" s="28">
        <f>IF(2&lt;=in_HoldYears,'Cash Flow'!F54-((12-(MAX(0,12*2-ROUND(in_IOYears*12,0))-MAX(0,12*(2-1)-ROUND(in_IOYears*12,0))))*M18*J18+(MAX(0,12*2-ROUND(in_IOYears*12,0))-MAX(0,12*(2-1)-ROUND(in_IOYears*12,0)))*O18)+'Cash Flow'!F61+IF(2=in_HoldYears,U18,0),0)</f>
        <v>484293.4124299793</v>
      </c>
      <c r="AA18" s="28">
        <f>IF(3&lt;=in_HoldYears,'Cash Flow'!G54-((12-(MAX(0,12*3-ROUND(in_IOYears*12,0))-MAX(0,12*(3-1)-ROUND(in_IOYears*12,0))))*M18*J18+(MAX(0,12*3-ROUND(in_IOYears*12,0))-MAX(0,12*(3-1)-ROUND(in_IOYears*12,0)))*O18)+'Cash Flow'!G61+IF(3=in_HoldYears,U18,0),0)</f>
        <v>467642.58109749283</v>
      </c>
      <c r="AB18" s="28">
        <f>IF(4&lt;=in_HoldYears,'Cash Flow'!H54-((12-(MAX(0,12*4-ROUND(in_IOYears*12,0))-MAX(0,12*(4-1)-ROUND(in_IOYears*12,0))))*M18*J18+(MAX(0,12*4-ROUND(in_IOYears*12,0))-MAX(0,12*(4-1)-ROUND(in_IOYears*12,0)))*O18)+'Cash Flow'!H61+IF(4=in_HoldYears,U18,0),0)</f>
        <v>435273.48443019483</v>
      </c>
      <c r="AC18" s="28">
        <f>IF(5&lt;=in_HoldYears,'Cash Flow'!I54-((12-(MAX(0,12*5-ROUND(in_IOYears*12,0))-MAX(0,12*(5-1)-ROUND(in_IOYears*12,0))))*M18*J18+(MAX(0,12*5-ROUND(in_IOYears*12,0))-MAX(0,12*(5-1)-ROUND(in_IOYears*12,0)))*O18)+'Cash Flow'!I61+IF(5=in_HoldYears,U18,0),0)</f>
        <v>327378.2009012087</v>
      </c>
      <c r="AD18" s="28">
        <f>IF(6&lt;=in_HoldYears,'Cash Flow'!J54-((12-(MAX(0,12*6-ROUND(in_IOYears*12,0))-MAX(0,12*(6-1)-ROUND(in_IOYears*12,0))))*M18*J18+(MAX(0,12*6-ROUND(in_IOYears*12,0))-MAX(0,12*(6-1)-ROUND(in_IOYears*12,0)))*O18)+'Cash Flow'!J61+IF(6=in_HoldYears,U18,0),0)</f>
        <v>365011.2839502137</v>
      </c>
      <c r="AE18" s="28">
        <f>IF(7&lt;=in_HoldYears,'Cash Flow'!K54-((12-(MAX(0,12*7-ROUND(in_IOYears*12,0))-MAX(0,12*(7-1)-ROUND(in_IOYears*12,0))))*M18*J18+(MAX(0,12*7-ROUND(in_IOYears*12,0))-MAX(0,12*(7-1)-ROUND(in_IOYears*12,0)))*O18)+'Cash Flow'!K61+IF(7=in_HoldYears,U18,0),0)</f>
        <v>4656118.298665904</v>
      </c>
      <c r="AF18" s="28">
        <f>IF(8&lt;=in_HoldYears,'Cash Flow'!L54-((12-(MAX(0,12*8-ROUND(in_IOYears*12,0))-MAX(0,12*(8-1)-ROUND(in_IOYears*12,0))))*M18*J18+(MAX(0,12*8-ROUND(in_IOYears*12,0))-MAX(0,12*(8-1)-ROUND(in_IOYears*12,0)))*O18)+'Cash Flow'!L61+IF(8=in_HoldYears,U18,0),0)</f>
        <v>0</v>
      </c>
      <c r="AG18" s="28">
        <f>IF(9&lt;=in_HoldYears,'Cash Flow'!M54-((12-(MAX(0,12*9-ROUND(in_IOYears*12,0))-MAX(0,12*(9-1)-ROUND(in_IOYears*12,0))))*M18*J18+(MAX(0,12*9-ROUND(in_IOYears*12,0))-MAX(0,12*(9-1)-ROUND(in_IOYears*12,0)))*O18)+'Cash Flow'!M61+IF(9=in_HoldYears,U18,0),0)</f>
        <v>0</v>
      </c>
      <c r="AH18" s="28">
        <f>IF(10&lt;=in_HoldYears,'Cash Flow'!N54-((12-(MAX(0,12*10-ROUND(in_IOYears*12,0))-MAX(0,12*(10-1)-ROUND(in_IOYears*12,0))))*M18*J18+(MAX(0,12*10-ROUND(in_IOYears*12,0))-MAX(0,12*(10-1)-ROUND(in_IOYears*12,0)))*O18)+'Cash Flow'!N61+IF(10=in_HoldYears,U18,0),0)</f>
        <v>0</v>
      </c>
      <c r="AI18" s="28">
        <f>IF(11&lt;=in_HoldYears,'Cash Flow'!O54-((12-(MAX(0,12*11-ROUND(in_IOYears*12,0))-MAX(0,12*(11-1)-ROUND(in_IOYears*12,0))))*M18*J18+(MAX(0,12*11-ROUND(in_IOYears*12,0))-MAX(0,12*(11-1)-ROUND(in_IOYears*12,0)))*O18)+'Cash Flow'!O61+IF(11=in_HoldYears,U18,0),0)</f>
        <v>0</v>
      </c>
    </row>
    <row r="19">
      <c r="B19" s="25">
        <v>1</v>
      </c>
      <c r="C19" s="25">
        <v>0</v>
      </c>
      <c r="D19" s="25">
        <v>0</v>
      </c>
      <c r="E19" s="28">
        <f>in_PurchasePrice*(1+(0)*s_PriceStep)</f>
        <v>9369000</v>
      </c>
      <c r="F19" s="88">
        <f>in_ExitCap+(0)*s_CapStep</f>
        <v>0.1039</v>
      </c>
      <c r="G19" s="88">
        <f>in_InterestRate</f>
        <v>0.067</v>
      </c>
      <c r="H19" s="28">
        <f>E19*in_ClosingCostPct+a_ClosingOther</f>
        <v>140535</v>
      </c>
      <c r="I19" s="28">
        <f>E19+H19+a_UpfrontOther+a_LeaseUpReserve</f>
        <v>9561126.772787157</v>
      </c>
      <c r="J19" s="88">
        <f>G19*a_DayFactor/12</f>
        <v>0.005660879629629629</v>
      </c>
      <c r="K19" s="24">
        <f>IF(J19=0,1/(in_AmortYears*12),J19/(1-(1+J19)^(-in_AmortYears*12)))</f>
        <v>0.006514626765893523</v>
      </c>
      <c r="L19" s="24">
        <f>MIN(12,in_IOYears*12)*J19+(12-MIN(12,in_IOYears*12))*K19</f>
        <v>0.07817552119072227</v>
      </c>
      <c r="M19" s="28">
        <f>MAX(0,MIN(I19,IF(a_LoanMode="Fixed amount",a_FixedLoan,IF(a_LoanMode="LTC",I19*a_LTCTarget,IF(a_LoanMode="Lender tests",MIN(E19*a_LTVTarget,IF(AND(a_MinDSCR&gt;0,L19&gt;0),out_NOI_Y1/a_MinDSCR/L19,9E+99),IF(a_MinDY&gt;0,out_NOI_Y1/a_MinDY,9E+99)),E19*a_LTVTarget)))))</f>
        <v>5621400</v>
      </c>
      <c r="N19" s="28">
        <f>I19+M19*a_LoanFeePct+a_IntReserve-M19</f>
        <v>3995940.7727871574</v>
      </c>
      <c r="O19" s="28">
        <f>M19*K19</f>
        <v>36621.32290179385</v>
      </c>
      <c r="P19" s="25">
        <f>MAX(0,12*in_HoldYears-ROUND(in_IOYears*12,0))</f>
        <v>84</v>
      </c>
      <c r="Q19" s="28">
        <f>MAX(0,IF(J19=0,M19*(1-P19/(in_AmortYears*12)),M19*((1+J19)^(in_AmortYears*12)-(1+J19)^P19)/((1+J19)^(in_AmortYears*12)-1)))</f>
        <v>5107056.723644001</v>
      </c>
      <c r="R19" s="28">
        <f>IF(Q19&lt;=0,0,IF(a_Prepay="Step-down 5-4-3-2-1",Q19*IF(in_HoldYears&lt;5,CHOOSE(in_HoldYears+1,5,4,3,2,1),0)/100,IF(a_Prepay="Step-down 3-2-1",Q19*IF(in_HoldYears&lt;3,CHOOSE(in_HoldYears+1,3,2,1),0)/100,IF(AND(OR(a_Prepay="Yield maintenance",a_Prepay="Yield maintenance (1% floor)"),a_LoanTerm&gt;in_HoldYears,G19&gt;0,a_IndexRate&gt;0),Q19*MAX(IF(a_Prepay="Yield maintenance",0.5,1),(O19*(1-(1+(a_IndexRate/12))^(-(a_LoanTerm*12-in_HoldYears*12)))/(a_IndexRate/12)+MAX(0,Q19*(1+(G19/12))^(a_LoanTerm*12-in_HoldYears*12)-O19*((1+(G19/12))^(a_LoanTerm*12-in_HoldYears*12)-1)/(G19/12))/(1+(a_IndexRate/12))^(a_LoanTerm*12-in_HoldYears*12)-Q19)/Q19*100+IF(a_Prepay="Yield maintenance",0,1))/100,0))))</f>
        <v>0</v>
      </c>
      <c r="S19" s="28">
        <f>IF(F19&gt;0,out_ExitNOI/F19,0)</f>
        <v>9315318.904213157</v>
      </c>
      <c r="T19" s="28">
        <f>S19*IF(a_SaleCostMode="Market tiers",IF(S19&gt;a_Tier3Over,a_Tier3Pct,IF(S19&gt;a_Tier2Over,a_Tier2Pct,a_Tier1Pct)),a_SaleCostEntered)</f>
        <v>232882.97260532892</v>
      </c>
      <c r="U19" s="28">
        <f>S19-T19-r_LeasingAfterSale-Q19-R19-M19*a_ExtN*a_ExtFeeBps/10000-Q19*a_ExitFeePct</f>
        <v>3953862.4107116647</v>
      </c>
      <c r="V19" s="106">
        <f>IFERROR(IRR(X19:AI19),"")</f>
        <v>0.11002229787561121</v>
      </c>
      <c r="W19" s="87">
        <f>SUMIF(Y19:AI19,"&gt;0")/(N19-SUMIF(Y19:AI19,"&lt;0"))</f>
        <v>1.754711474450018</v>
      </c>
      <c r="X19" s="28">
        <f>-N19</f>
        <v>-3995940.7727871574</v>
      </c>
      <c r="Y19" s="28">
        <f>IF(1&lt;=in_HoldYears,'Cash Flow'!E54-((12-(MAX(0,12*1-ROUND(in_IOYears*12,0))-MAX(0,12*(1-1)-ROUND(in_IOYears*12,0))))*M19*J19+(MAX(0,12*1-ROUND(in_IOYears*12,0))-MAX(0,12*(1-1)-ROUND(in_IOYears*12,0)))*O19)+'Cash Flow'!E61+IF(1=in_HoldYears,U19,0),0)</f>
        <v>499931.7989547362</v>
      </c>
      <c r="Z19" s="28">
        <f>IF(2&lt;=in_HoldYears,'Cash Flow'!F54-((12-(MAX(0,12*2-ROUND(in_IOYears*12,0))-MAX(0,12*(2-1)-ROUND(in_IOYears*12,0))))*M19*J19+(MAX(0,12*2-ROUND(in_IOYears*12,0))-MAX(0,12*(2-1)-ROUND(in_IOYears*12,0)))*O19)+'Cash Flow'!F61+IF(2=in_HoldYears,U19,0),0)</f>
        <v>484293.4124299793</v>
      </c>
      <c r="AA19" s="28">
        <f>IF(3&lt;=in_HoldYears,'Cash Flow'!G54-((12-(MAX(0,12*3-ROUND(in_IOYears*12,0))-MAX(0,12*(3-1)-ROUND(in_IOYears*12,0))))*M19*J19+(MAX(0,12*3-ROUND(in_IOYears*12,0))-MAX(0,12*(3-1)-ROUND(in_IOYears*12,0)))*O19)+'Cash Flow'!G61+IF(3=in_HoldYears,U19,0),0)</f>
        <v>467642.58109749283</v>
      </c>
      <c r="AB19" s="28">
        <f>IF(4&lt;=in_HoldYears,'Cash Flow'!H54-((12-(MAX(0,12*4-ROUND(in_IOYears*12,0))-MAX(0,12*(4-1)-ROUND(in_IOYears*12,0))))*M19*J19+(MAX(0,12*4-ROUND(in_IOYears*12,0))-MAX(0,12*(4-1)-ROUND(in_IOYears*12,0)))*O19)+'Cash Flow'!H61+IF(4=in_HoldYears,U19,0),0)</f>
        <v>435273.48443019483</v>
      </c>
      <c r="AC19" s="28">
        <f>IF(5&lt;=in_HoldYears,'Cash Flow'!I54-((12-(MAX(0,12*5-ROUND(in_IOYears*12,0))-MAX(0,12*(5-1)-ROUND(in_IOYears*12,0))))*M19*J19+(MAX(0,12*5-ROUND(in_IOYears*12,0))-MAX(0,12*(5-1)-ROUND(in_IOYears*12,0)))*O19)+'Cash Flow'!I61+IF(5=in_HoldYears,U19,0),0)</f>
        <v>327378.2009012087</v>
      </c>
      <c r="AD19" s="28">
        <f>IF(6&lt;=in_HoldYears,'Cash Flow'!J54-((12-(MAX(0,12*6-ROUND(in_IOYears*12,0))-MAX(0,12*(6-1)-ROUND(in_IOYears*12,0))))*M19*J19+(MAX(0,12*6-ROUND(in_IOYears*12,0))-MAX(0,12*(6-1)-ROUND(in_IOYears*12,0)))*O19)+'Cash Flow'!J61+IF(6=in_HoldYears,U19,0),0)</f>
        <v>365011.2839502137</v>
      </c>
      <c r="AE19" s="28">
        <f>IF(7&lt;=in_HoldYears,'Cash Flow'!K54-((12-(MAX(0,12*7-ROUND(in_IOYears*12,0))-MAX(0,12*(7-1)-ROUND(in_IOYears*12,0))))*M19*J19+(MAX(0,12*7-ROUND(in_IOYears*12,0))-MAX(0,12*(7-1)-ROUND(in_IOYears*12,0)))*O19)+'Cash Flow'!K61+IF(7=in_HoldYears,U19,0),0)</f>
        <v>4432192.363468473</v>
      </c>
      <c r="AF19" s="28">
        <f>IF(8&lt;=in_HoldYears,'Cash Flow'!L54-((12-(MAX(0,12*8-ROUND(in_IOYears*12,0))-MAX(0,12*(8-1)-ROUND(in_IOYears*12,0))))*M19*J19+(MAX(0,12*8-ROUND(in_IOYears*12,0))-MAX(0,12*(8-1)-ROUND(in_IOYears*12,0)))*O19)+'Cash Flow'!L61+IF(8=in_HoldYears,U19,0),0)</f>
        <v>0</v>
      </c>
      <c r="AG19" s="28">
        <f>IF(9&lt;=in_HoldYears,'Cash Flow'!M54-((12-(MAX(0,12*9-ROUND(in_IOYears*12,0))-MAX(0,12*(9-1)-ROUND(in_IOYears*12,0))))*M19*J19+(MAX(0,12*9-ROUND(in_IOYears*12,0))-MAX(0,12*(9-1)-ROUND(in_IOYears*12,0)))*O19)+'Cash Flow'!M61+IF(9=in_HoldYears,U19,0),0)</f>
        <v>0</v>
      </c>
      <c r="AH19" s="28">
        <f>IF(10&lt;=in_HoldYears,'Cash Flow'!N54-((12-(MAX(0,12*10-ROUND(in_IOYears*12,0))-MAX(0,12*(10-1)-ROUND(in_IOYears*12,0))))*M19*J19+(MAX(0,12*10-ROUND(in_IOYears*12,0))-MAX(0,12*(10-1)-ROUND(in_IOYears*12,0)))*O19)+'Cash Flow'!N61+IF(10=in_HoldYears,U19,0),0)</f>
        <v>0</v>
      </c>
      <c r="AI19" s="28">
        <f>IF(11&lt;=in_HoldYears,'Cash Flow'!O54-((12-(MAX(0,12*11-ROUND(in_IOYears*12,0))-MAX(0,12*(11-1)-ROUND(in_IOYears*12,0))))*M19*J19+(MAX(0,12*11-ROUND(in_IOYears*12,0))-MAX(0,12*(11-1)-ROUND(in_IOYears*12,0)))*O19)+'Cash Flow'!O61+IF(11=in_HoldYears,U19,0),0)</f>
        <v>0</v>
      </c>
    </row>
    <row r="20">
      <c r="B20" s="25">
        <v>1</v>
      </c>
      <c r="C20" s="25">
        <v>0</v>
      </c>
      <c r="D20" s="25">
        <v>1</v>
      </c>
      <c r="E20" s="28">
        <f>in_PurchasePrice*(1+(0)*s_PriceStep)</f>
        <v>9369000</v>
      </c>
      <c r="F20" s="88">
        <f>in_ExitCap+(1)*s_CapStep</f>
        <v>0.10640000000000001</v>
      </c>
      <c r="G20" s="88">
        <f>in_InterestRate</f>
        <v>0.067</v>
      </c>
      <c r="H20" s="28">
        <f>E20*in_ClosingCostPct+a_ClosingOther</f>
        <v>140535</v>
      </c>
      <c r="I20" s="28">
        <f>E20+H20+a_UpfrontOther+a_LeaseUpReserve</f>
        <v>9561126.772787157</v>
      </c>
      <c r="J20" s="88">
        <f>G20*a_DayFactor/12</f>
        <v>0.005660879629629629</v>
      </c>
      <c r="K20" s="24">
        <f>IF(J20=0,1/(in_AmortYears*12),J20/(1-(1+J20)^(-in_AmortYears*12)))</f>
        <v>0.006514626765893523</v>
      </c>
      <c r="L20" s="24">
        <f>MIN(12,in_IOYears*12)*J20+(12-MIN(12,in_IOYears*12))*K20</f>
        <v>0.07817552119072227</v>
      </c>
      <c r="M20" s="28">
        <f>MAX(0,MIN(I20,IF(a_LoanMode="Fixed amount",a_FixedLoan,IF(a_LoanMode="LTC",I20*a_LTCTarget,IF(a_LoanMode="Lender tests",MIN(E20*a_LTVTarget,IF(AND(a_MinDSCR&gt;0,L20&gt;0),out_NOI_Y1/a_MinDSCR/L20,9E+99),IF(a_MinDY&gt;0,out_NOI_Y1/a_MinDY,9E+99)),E20*a_LTVTarget)))))</f>
        <v>5621400</v>
      </c>
      <c r="N20" s="28">
        <f>I20+M20*a_LoanFeePct+a_IntReserve-M20</f>
        <v>3995940.7727871574</v>
      </c>
      <c r="O20" s="28">
        <f>M20*K20</f>
        <v>36621.32290179385</v>
      </c>
      <c r="P20" s="25">
        <f>MAX(0,12*in_HoldYears-ROUND(in_IOYears*12,0))</f>
        <v>84</v>
      </c>
      <c r="Q20" s="28">
        <f>MAX(0,IF(J20=0,M20*(1-P20/(in_AmortYears*12)),M20*((1+J20)^(in_AmortYears*12)-(1+J20)^P20)/((1+J20)^(in_AmortYears*12)-1)))</f>
        <v>5107056.723644001</v>
      </c>
      <c r="R20" s="28">
        <f>IF(Q20&lt;=0,0,IF(a_Prepay="Step-down 5-4-3-2-1",Q20*IF(in_HoldYears&lt;5,CHOOSE(in_HoldYears+1,5,4,3,2,1),0)/100,IF(a_Prepay="Step-down 3-2-1",Q20*IF(in_HoldYears&lt;3,CHOOSE(in_HoldYears+1,3,2,1),0)/100,IF(AND(OR(a_Prepay="Yield maintenance",a_Prepay="Yield maintenance (1% floor)"),a_LoanTerm&gt;in_HoldYears,G20&gt;0,a_IndexRate&gt;0),Q20*MAX(IF(a_Prepay="Yield maintenance",0.5,1),(O20*(1-(1+(a_IndexRate/12))^(-(a_LoanTerm*12-in_HoldYears*12)))/(a_IndexRate/12)+MAX(0,Q20*(1+(G20/12))^(a_LoanTerm*12-in_HoldYears*12)-O20*((1+(G20/12))^(a_LoanTerm*12-in_HoldYears*12)-1)/(G20/12))/(1+(a_IndexRate/12))^(a_LoanTerm*12-in_HoldYears*12)-Q20)/Q20*100+IF(a_Prepay="Yield maintenance",0,1))/100,0))))</f>
        <v>0</v>
      </c>
      <c r="S20" s="28">
        <f>IF(F20&gt;0,out_ExitNOI/F20,0)</f>
        <v>9096443.929960027</v>
      </c>
      <c r="T20" s="28">
        <f>S20*IF(a_SaleCostMode="Market tiers",IF(S20&gt;a_Tier3Over,a_Tier3Pct,IF(S20&gt;a_Tier2Over,a_Tier2Pct,a_Tier1Pct)),a_SaleCostEntered)</f>
        <v>227411.0982490007</v>
      </c>
      <c r="U20" s="28">
        <f>S20-T20-r_LeasingAfterSale-Q20-R20-M20*a_ExtN*a_ExtFeeBps/10000-Q20*a_ExitFeePct</f>
        <v>3740459.310814863</v>
      </c>
      <c r="V20" s="106">
        <f>IFERROR(IRR(X20:AI20),"")</f>
        <v>0.10435737711430243</v>
      </c>
      <c r="W20" s="87">
        <f>SUMIF(Y20:AI20,"&gt;0")/(N20-SUMIF(Y20:AI20,"&lt;0"))</f>
        <v>1.7013065037482242</v>
      </c>
      <c r="X20" s="28">
        <f>-N20</f>
        <v>-3995940.7727871574</v>
      </c>
      <c r="Y20" s="28">
        <f>IF(1&lt;=in_HoldYears,'Cash Flow'!E54-((12-(MAX(0,12*1-ROUND(in_IOYears*12,0))-MAX(0,12*(1-1)-ROUND(in_IOYears*12,0))))*M20*J20+(MAX(0,12*1-ROUND(in_IOYears*12,0))-MAX(0,12*(1-1)-ROUND(in_IOYears*12,0)))*O20)+'Cash Flow'!E61+IF(1=in_HoldYears,U20,0),0)</f>
        <v>499931.7989547362</v>
      </c>
      <c r="Z20" s="28">
        <f>IF(2&lt;=in_HoldYears,'Cash Flow'!F54-((12-(MAX(0,12*2-ROUND(in_IOYears*12,0))-MAX(0,12*(2-1)-ROUND(in_IOYears*12,0))))*M20*J20+(MAX(0,12*2-ROUND(in_IOYears*12,0))-MAX(0,12*(2-1)-ROUND(in_IOYears*12,0)))*O20)+'Cash Flow'!F61+IF(2=in_HoldYears,U20,0),0)</f>
        <v>484293.4124299793</v>
      </c>
      <c r="AA20" s="28">
        <f>IF(3&lt;=in_HoldYears,'Cash Flow'!G54-((12-(MAX(0,12*3-ROUND(in_IOYears*12,0))-MAX(0,12*(3-1)-ROUND(in_IOYears*12,0))))*M20*J20+(MAX(0,12*3-ROUND(in_IOYears*12,0))-MAX(0,12*(3-1)-ROUND(in_IOYears*12,0)))*O20)+'Cash Flow'!G61+IF(3=in_HoldYears,U20,0),0)</f>
        <v>467642.58109749283</v>
      </c>
      <c r="AB20" s="28">
        <f>IF(4&lt;=in_HoldYears,'Cash Flow'!H54-((12-(MAX(0,12*4-ROUND(in_IOYears*12,0))-MAX(0,12*(4-1)-ROUND(in_IOYears*12,0))))*M20*J20+(MAX(0,12*4-ROUND(in_IOYears*12,0))-MAX(0,12*(4-1)-ROUND(in_IOYears*12,0)))*O20)+'Cash Flow'!H61+IF(4=in_HoldYears,U20,0),0)</f>
        <v>435273.48443019483</v>
      </c>
      <c r="AC20" s="28">
        <f>IF(5&lt;=in_HoldYears,'Cash Flow'!I54-((12-(MAX(0,12*5-ROUND(in_IOYears*12,0))-MAX(0,12*(5-1)-ROUND(in_IOYears*12,0))))*M20*J20+(MAX(0,12*5-ROUND(in_IOYears*12,0))-MAX(0,12*(5-1)-ROUND(in_IOYears*12,0)))*O20)+'Cash Flow'!I61+IF(5=in_HoldYears,U20,0),0)</f>
        <v>327378.2009012087</v>
      </c>
      <c r="AD20" s="28">
        <f>IF(6&lt;=in_HoldYears,'Cash Flow'!J54-((12-(MAX(0,12*6-ROUND(in_IOYears*12,0))-MAX(0,12*(6-1)-ROUND(in_IOYears*12,0))))*M20*J20+(MAX(0,12*6-ROUND(in_IOYears*12,0))-MAX(0,12*(6-1)-ROUND(in_IOYears*12,0)))*O20)+'Cash Flow'!J61+IF(6=in_HoldYears,U20,0),0)</f>
        <v>365011.2839502137</v>
      </c>
      <c r="AE20" s="28">
        <f>IF(7&lt;=in_HoldYears,'Cash Flow'!K54-((12-(MAX(0,12*7-ROUND(in_IOYears*12,0))-MAX(0,12*(7-1)-ROUND(in_IOYears*12,0))))*M20*J20+(MAX(0,12*7-ROUND(in_IOYears*12,0))-MAX(0,12*(7-1)-ROUND(in_IOYears*12,0)))*O20)+'Cash Flow'!K61+IF(7=in_HoldYears,U20,0),0)</f>
        <v>4218789.263571671</v>
      </c>
      <c r="AF20" s="28">
        <f>IF(8&lt;=in_HoldYears,'Cash Flow'!L54-((12-(MAX(0,12*8-ROUND(in_IOYears*12,0))-MAX(0,12*(8-1)-ROUND(in_IOYears*12,0))))*M20*J20+(MAX(0,12*8-ROUND(in_IOYears*12,0))-MAX(0,12*(8-1)-ROUND(in_IOYears*12,0)))*O20)+'Cash Flow'!L61+IF(8=in_HoldYears,U20,0),0)</f>
        <v>0</v>
      </c>
      <c r="AG20" s="28">
        <f>IF(9&lt;=in_HoldYears,'Cash Flow'!M54-((12-(MAX(0,12*9-ROUND(in_IOYears*12,0))-MAX(0,12*(9-1)-ROUND(in_IOYears*12,0))))*M20*J20+(MAX(0,12*9-ROUND(in_IOYears*12,0))-MAX(0,12*(9-1)-ROUND(in_IOYears*12,0)))*O20)+'Cash Flow'!M61+IF(9=in_HoldYears,U20,0),0)</f>
        <v>0</v>
      </c>
      <c r="AH20" s="28">
        <f>IF(10&lt;=in_HoldYears,'Cash Flow'!N54-((12-(MAX(0,12*10-ROUND(in_IOYears*12,0))-MAX(0,12*(10-1)-ROUND(in_IOYears*12,0))))*M20*J20+(MAX(0,12*10-ROUND(in_IOYears*12,0))-MAX(0,12*(10-1)-ROUND(in_IOYears*12,0)))*O20)+'Cash Flow'!N61+IF(10=in_HoldYears,U20,0),0)</f>
        <v>0</v>
      </c>
      <c r="AI20" s="28">
        <f>IF(11&lt;=in_HoldYears,'Cash Flow'!O54-((12-(MAX(0,12*11-ROUND(in_IOYears*12,0))-MAX(0,12*(11-1)-ROUND(in_IOYears*12,0))))*M20*J20+(MAX(0,12*11-ROUND(in_IOYears*12,0))-MAX(0,12*(11-1)-ROUND(in_IOYears*12,0)))*O20)+'Cash Flow'!O61+IF(11=in_HoldYears,U20,0),0)</f>
        <v>0</v>
      </c>
    </row>
    <row r="21">
      <c r="B21" s="25">
        <v>1</v>
      </c>
      <c r="C21" s="25">
        <v>0</v>
      </c>
      <c r="D21" s="25">
        <v>2</v>
      </c>
      <c r="E21" s="28">
        <f>in_PurchasePrice*(1+(0)*s_PriceStep)</f>
        <v>9369000</v>
      </c>
      <c r="F21" s="88">
        <f>in_ExitCap+(2)*s_CapStep</f>
        <v>0.10890000000000001</v>
      </c>
      <c r="G21" s="88">
        <f>in_InterestRate</f>
        <v>0.067</v>
      </c>
      <c r="H21" s="28">
        <f>E21*in_ClosingCostPct+a_ClosingOther</f>
        <v>140535</v>
      </c>
      <c r="I21" s="28">
        <f>E21+H21+a_UpfrontOther+a_LeaseUpReserve</f>
        <v>9561126.772787157</v>
      </c>
      <c r="J21" s="88">
        <f>G21*a_DayFactor/12</f>
        <v>0.005660879629629629</v>
      </c>
      <c r="K21" s="24">
        <f>IF(J21=0,1/(in_AmortYears*12),J21/(1-(1+J21)^(-in_AmortYears*12)))</f>
        <v>0.006514626765893523</v>
      </c>
      <c r="L21" s="24">
        <f>MIN(12,in_IOYears*12)*J21+(12-MIN(12,in_IOYears*12))*K21</f>
        <v>0.07817552119072227</v>
      </c>
      <c r="M21" s="28">
        <f>MAX(0,MIN(I21,IF(a_LoanMode="Fixed amount",a_FixedLoan,IF(a_LoanMode="LTC",I21*a_LTCTarget,IF(a_LoanMode="Lender tests",MIN(E21*a_LTVTarget,IF(AND(a_MinDSCR&gt;0,L21&gt;0),out_NOI_Y1/a_MinDSCR/L21,9E+99),IF(a_MinDY&gt;0,out_NOI_Y1/a_MinDY,9E+99)),E21*a_LTVTarget)))))</f>
        <v>5621400</v>
      </c>
      <c r="N21" s="28">
        <f>I21+M21*a_LoanFeePct+a_IntReserve-M21</f>
        <v>3995940.7727871574</v>
      </c>
      <c r="O21" s="28">
        <f>M21*K21</f>
        <v>36621.32290179385</v>
      </c>
      <c r="P21" s="25">
        <f>MAX(0,12*in_HoldYears-ROUND(in_IOYears*12,0))</f>
        <v>84</v>
      </c>
      <c r="Q21" s="28">
        <f>MAX(0,IF(J21=0,M21*(1-P21/(in_AmortYears*12)),M21*((1+J21)^(in_AmortYears*12)-(1+J21)^P21)/((1+J21)^(in_AmortYears*12)-1)))</f>
        <v>5107056.723644001</v>
      </c>
      <c r="R21" s="28">
        <f>IF(Q21&lt;=0,0,IF(a_Prepay="Step-down 5-4-3-2-1",Q21*IF(in_HoldYears&lt;5,CHOOSE(in_HoldYears+1,5,4,3,2,1),0)/100,IF(a_Prepay="Step-down 3-2-1",Q21*IF(in_HoldYears&lt;3,CHOOSE(in_HoldYears+1,3,2,1),0)/100,IF(AND(OR(a_Prepay="Yield maintenance",a_Prepay="Yield maintenance (1% floor)"),a_LoanTerm&gt;in_HoldYears,G21&gt;0,a_IndexRate&gt;0),Q21*MAX(IF(a_Prepay="Yield maintenance",0.5,1),(O21*(1-(1+(a_IndexRate/12))^(-(a_LoanTerm*12-in_HoldYears*12)))/(a_IndexRate/12)+MAX(0,Q21*(1+(G21/12))^(a_LoanTerm*12-in_HoldYears*12)-O21*((1+(G21/12))^(a_LoanTerm*12-in_HoldYears*12)-1)/(G21/12))/(1+(a_IndexRate/12))^(a_LoanTerm*12-in_HoldYears*12)-Q21)/Q21*100+IF(a_Prepay="Yield maintenance",0,1))/100,0))))</f>
        <v>0</v>
      </c>
      <c r="S21" s="28">
        <f>IF(F21&gt;0,out_ExitNOI/F21,0)</f>
        <v>8887618.311733212</v>
      </c>
      <c r="T21" s="28">
        <f>S21*IF(a_SaleCostMode="Market tiers",IF(S21&gt;a_Tier3Over,a_Tier3Pct,IF(S21&gt;a_Tier2Over,a_Tier2Pct,a_Tier1Pct)),a_SaleCostEntered)</f>
        <v>222190.4577933303</v>
      </c>
      <c r="U21" s="28">
        <f>S21-T21-r_LeasingAfterSale-Q21-R21-M21*a_ExtN*a_ExtFeeBps/10000-Q21*a_ExitFeePct</f>
        <v>3536854.3330437187</v>
      </c>
      <c r="V21" s="106">
        <f>IFERROR(IRR(X21:AI21),"")</f>
        <v>0.09876012863788831</v>
      </c>
      <c r="W21" s="87">
        <f>SUMIF(Y21:AI21,"&gt;0")/(N21-SUMIF(Y21:AI21,"&lt;0"))</f>
        <v>1.6503535519032622</v>
      </c>
      <c r="X21" s="28">
        <f>-N21</f>
        <v>-3995940.7727871574</v>
      </c>
      <c r="Y21" s="28">
        <f>IF(1&lt;=in_HoldYears,'Cash Flow'!E54-((12-(MAX(0,12*1-ROUND(in_IOYears*12,0))-MAX(0,12*(1-1)-ROUND(in_IOYears*12,0))))*M21*J21+(MAX(0,12*1-ROUND(in_IOYears*12,0))-MAX(0,12*(1-1)-ROUND(in_IOYears*12,0)))*O21)+'Cash Flow'!E61+IF(1=in_HoldYears,U21,0),0)</f>
        <v>499931.7989547362</v>
      </c>
      <c r="Z21" s="28">
        <f>IF(2&lt;=in_HoldYears,'Cash Flow'!F54-((12-(MAX(0,12*2-ROUND(in_IOYears*12,0))-MAX(0,12*(2-1)-ROUND(in_IOYears*12,0))))*M21*J21+(MAX(0,12*2-ROUND(in_IOYears*12,0))-MAX(0,12*(2-1)-ROUND(in_IOYears*12,0)))*O21)+'Cash Flow'!F61+IF(2=in_HoldYears,U21,0),0)</f>
        <v>484293.4124299793</v>
      </c>
      <c r="AA21" s="28">
        <f>IF(3&lt;=in_HoldYears,'Cash Flow'!G54-((12-(MAX(0,12*3-ROUND(in_IOYears*12,0))-MAX(0,12*(3-1)-ROUND(in_IOYears*12,0))))*M21*J21+(MAX(0,12*3-ROUND(in_IOYears*12,0))-MAX(0,12*(3-1)-ROUND(in_IOYears*12,0)))*O21)+'Cash Flow'!G61+IF(3=in_HoldYears,U21,0),0)</f>
        <v>467642.58109749283</v>
      </c>
      <c r="AB21" s="28">
        <f>IF(4&lt;=in_HoldYears,'Cash Flow'!H54-((12-(MAX(0,12*4-ROUND(in_IOYears*12,0))-MAX(0,12*(4-1)-ROUND(in_IOYears*12,0))))*M21*J21+(MAX(0,12*4-ROUND(in_IOYears*12,0))-MAX(0,12*(4-1)-ROUND(in_IOYears*12,0)))*O21)+'Cash Flow'!H61+IF(4=in_HoldYears,U21,0),0)</f>
        <v>435273.48443019483</v>
      </c>
      <c r="AC21" s="28">
        <f>IF(5&lt;=in_HoldYears,'Cash Flow'!I54-((12-(MAX(0,12*5-ROUND(in_IOYears*12,0))-MAX(0,12*(5-1)-ROUND(in_IOYears*12,0))))*M21*J21+(MAX(0,12*5-ROUND(in_IOYears*12,0))-MAX(0,12*(5-1)-ROUND(in_IOYears*12,0)))*O21)+'Cash Flow'!I61+IF(5=in_HoldYears,U21,0),0)</f>
        <v>327378.2009012087</v>
      </c>
      <c r="AD21" s="28">
        <f>IF(6&lt;=in_HoldYears,'Cash Flow'!J54-((12-(MAX(0,12*6-ROUND(in_IOYears*12,0))-MAX(0,12*(6-1)-ROUND(in_IOYears*12,0))))*M21*J21+(MAX(0,12*6-ROUND(in_IOYears*12,0))-MAX(0,12*(6-1)-ROUND(in_IOYears*12,0)))*O21)+'Cash Flow'!J61+IF(6=in_HoldYears,U21,0),0)</f>
        <v>365011.2839502137</v>
      </c>
      <c r="AE21" s="28">
        <f>IF(7&lt;=in_HoldYears,'Cash Flow'!K54-((12-(MAX(0,12*7-ROUND(in_IOYears*12,0))-MAX(0,12*(7-1)-ROUND(in_IOYears*12,0))))*M21*J21+(MAX(0,12*7-ROUND(in_IOYears*12,0))-MAX(0,12*(7-1)-ROUND(in_IOYears*12,0)))*O21)+'Cash Flow'!K61+IF(7=in_HoldYears,U21,0),0)</f>
        <v>4015184.285800527</v>
      </c>
      <c r="AF21" s="28">
        <f>IF(8&lt;=in_HoldYears,'Cash Flow'!L54-((12-(MAX(0,12*8-ROUND(in_IOYears*12,0))-MAX(0,12*(8-1)-ROUND(in_IOYears*12,0))))*M21*J21+(MAX(0,12*8-ROUND(in_IOYears*12,0))-MAX(0,12*(8-1)-ROUND(in_IOYears*12,0)))*O21)+'Cash Flow'!L61+IF(8=in_HoldYears,U21,0),0)</f>
        <v>0</v>
      </c>
      <c r="AG21" s="28">
        <f>IF(9&lt;=in_HoldYears,'Cash Flow'!M54-((12-(MAX(0,12*9-ROUND(in_IOYears*12,0))-MAX(0,12*(9-1)-ROUND(in_IOYears*12,0))))*M21*J21+(MAX(0,12*9-ROUND(in_IOYears*12,0))-MAX(0,12*(9-1)-ROUND(in_IOYears*12,0)))*O21)+'Cash Flow'!M61+IF(9=in_HoldYears,U21,0),0)</f>
        <v>0</v>
      </c>
      <c r="AH21" s="28">
        <f>IF(10&lt;=in_HoldYears,'Cash Flow'!N54-((12-(MAX(0,12*10-ROUND(in_IOYears*12,0))-MAX(0,12*(10-1)-ROUND(in_IOYears*12,0))))*M21*J21+(MAX(0,12*10-ROUND(in_IOYears*12,0))-MAX(0,12*(10-1)-ROUND(in_IOYears*12,0)))*O21)+'Cash Flow'!N61+IF(10=in_HoldYears,U21,0),0)</f>
        <v>0</v>
      </c>
      <c r="AI21" s="28">
        <f>IF(11&lt;=in_HoldYears,'Cash Flow'!O54-((12-(MAX(0,12*11-ROUND(in_IOYears*12,0))-MAX(0,12*(11-1)-ROUND(in_IOYears*12,0))))*M21*J21+(MAX(0,12*11-ROUND(in_IOYears*12,0))-MAX(0,12*(11-1)-ROUND(in_IOYears*12,0)))*O21)+'Cash Flow'!O61+IF(11=in_HoldYears,U21,0),0)</f>
        <v>0</v>
      </c>
    </row>
    <row r="22">
      <c r="B22" s="25">
        <v>1</v>
      </c>
      <c r="C22" s="25">
        <v>1</v>
      </c>
      <c r="D22" s="25">
        <v>-2</v>
      </c>
      <c r="E22" s="28">
        <f>in_PurchasePrice*(1+(1)*s_PriceStep)</f>
        <v>9837450</v>
      </c>
      <c r="F22" s="88">
        <f>in_ExitCap+(-2)*s_CapStep</f>
        <v>0.0989</v>
      </c>
      <c r="G22" s="88">
        <f>in_InterestRate</f>
        <v>0.067</v>
      </c>
      <c r="H22" s="28">
        <f>E22*in_ClosingCostPct+a_ClosingOther</f>
        <v>147561.75</v>
      </c>
      <c r="I22" s="28">
        <f>E22+H22+a_UpfrontOther+a_LeaseUpReserve</f>
        <v>10036603.522787157</v>
      </c>
      <c r="J22" s="88">
        <f>G22*a_DayFactor/12</f>
        <v>0.005660879629629629</v>
      </c>
      <c r="K22" s="24">
        <f>IF(J22=0,1/(in_AmortYears*12),J22/(1-(1+J22)^(-in_AmortYears*12)))</f>
        <v>0.006514626765893523</v>
      </c>
      <c r="L22" s="24">
        <f>MIN(12,in_IOYears*12)*J22+(12-MIN(12,in_IOYears*12))*K22</f>
        <v>0.07817552119072227</v>
      </c>
      <c r="M22" s="28">
        <f>MAX(0,MIN(I22,IF(a_LoanMode="Fixed amount",a_FixedLoan,IF(a_LoanMode="LTC",I22*a_LTCTarget,IF(a_LoanMode="Lender tests",MIN(E22*a_LTVTarget,IF(AND(a_MinDSCR&gt;0,L22&gt;0),out_NOI_Y1/a_MinDSCR/L22,9E+99),IF(a_MinDY&gt;0,out_NOI_Y1/a_MinDY,9E+99)),E22*a_LTVTarget)))))</f>
        <v>5902470</v>
      </c>
      <c r="N22" s="28">
        <f>I22+M22*a_LoanFeePct+a_IntReserve-M22</f>
        <v>4193158.2227871567</v>
      </c>
      <c r="O22" s="28">
        <f>M22*K22</f>
        <v>38452.389046883545</v>
      </c>
      <c r="P22" s="25">
        <f>MAX(0,12*in_HoldYears-ROUND(in_IOYears*12,0))</f>
        <v>84</v>
      </c>
      <c r="Q22" s="28">
        <f>MAX(0,IF(J22=0,M22*(1-P22/(in_AmortYears*12)),M22*((1+J22)^(in_AmortYears*12)-(1+J22)^P22)/((1+J22)^(in_AmortYears*12)-1)))</f>
        <v>5362409.559826201</v>
      </c>
      <c r="R22" s="28">
        <f>IF(Q22&lt;=0,0,IF(a_Prepay="Step-down 5-4-3-2-1",Q22*IF(in_HoldYears&lt;5,CHOOSE(in_HoldYears+1,5,4,3,2,1),0)/100,IF(a_Prepay="Step-down 3-2-1",Q22*IF(in_HoldYears&lt;3,CHOOSE(in_HoldYears+1,3,2,1),0)/100,IF(AND(OR(a_Prepay="Yield maintenance",a_Prepay="Yield maintenance (1% floor)"),a_LoanTerm&gt;in_HoldYears,G22&gt;0,a_IndexRate&gt;0),Q22*MAX(IF(a_Prepay="Yield maintenance",0.5,1),(O22*(1-(1+(a_IndexRate/12))^(-(a_LoanTerm*12-in_HoldYears*12)))/(a_IndexRate/12)+MAX(0,Q22*(1+(G22/12))^(a_LoanTerm*12-in_HoldYears*12)-O22*((1+(G22/12))^(a_LoanTerm*12-in_HoldYears*12)-1)/(G22/12))/(1+(a_IndexRate/12))^(a_LoanTerm*12-in_HoldYears*12)-Q22)/Q22*100+IF(a_Prepay="Yield maintenance",0,1))/100,0))))</f>
        <v>0</v>
      </c>
      <c r="S22" s="28">
        <f>IF(F22&gt;0,out_ExitNOI/F22,0)</f>
        <v>9786265.259330101</v>
      </c>
      <c r="T22" s="28">
        <f>S22*IF(a_SaleCostMode="Market tiers",IF(S22&gt;a_Tier3Over,a_Tier3Pct,IF(S22&gt;a_Tier2Over,a_Tier2Pct,a_Tier1Pct)),a_SaleCostEntered)</f>
        <v>244656.63148325254</v>
      </c>
      <c r="U22" s="28">
        <f>S22-T22-r_LeasingAfterSale-Q22-R22-M22*a_ExtN*a_ExtFeeBps/10000-Q22*a_ExitFeePct</f>
        <v>4157682.270768486</v>
      </c>
      <c r="V22" s="106">
        <f>IFERROR(IRR(X22:AI22),"")</f>
        <v>0.0995790068808974</v>
      </c>
      <c r="W22" s="87">
        <f>SUMIF(Y22:AI22,"&gt;0")/(N22-SUMIF(Y22:AI22,"&lt;0"))</f>
        <v>1.6841085057858158</v>
      </c>
      <c r="X22" s="28">
        <f>-N22</f>
        <v>-4193158.2227871567</v>
      </c>
      <c r="Y22" s="28">
        <f>IF(1&lt;=in_HoldYears,'Cash Flow'!E54-((12-(MAX(0,12*1-ROUND(in_IOYears*12,0))-MAX(0,12*(1-1)-ROUND(in_IOYears*12,0))))*M22*J22+(MAX(0,12*1-ROUND(in_IOYears*12,0))-MAX(0,12*(1-1)-ROUND(in_IOYears*12,0)))*O22)+'Cash Flow'!E61+IF(1=in_HoldYears,U22,0),0)</f>
        <v>477959.0052136599</v>
      </c>
      <c r="Z22" s="28">
        <f>IF(2&lt;=in_HoldYears,'Cash Flow'!F54-((12-(MAX(0,12*2-ROUND(in_IOYears*12,0))-MAX(0,12*(2-1)-ROUND(in_IOYears*12,0))))*M22*J22+(MAX(0,12*2-ROUND(in_IOYears*12,0))-MAX(0,12*(2-1)-ROUND(in_IOYears*12,0)))*O22)+'Cash Flow'!F61+IF(2=in_HoldYears,U22,0),0)</f>
        <v>462320.618688903</v>
      </c>
      <c r="AA22" s="28">
        <f>IF(3&lt;=in_HoldYears,'Cash Flow'!G54-((12-(MAX(0,12*3-ROUND(in_IOYears*12,0))-MAX(0,12*(3-1)-ROUND(in_IOYears*12,0))))*M22*J22+(MAX(0,12*3-ROUND(in_IOYears*12,0))-MAX(0,12*(3-1)-ROUND(in_IOYears*12,0)))*O22)+'Cash Flow'!G61+IF(3=in_HoldYears,U22,0),0)</f>
        <v>445669.7873564165</v>
      </c>
      <c r="AB22" s="28">
        <f>IF(4&lt;=in_HoldYears,'Cash Flow'!H54-((12-(MAX(0,12*4-ROUND(in_IOYears*12,0))-MAX(0,12*(4-1)-ROUND(in_IOYears*12,0))))*M22*J22+(MAX(0,12*4-ROUND(in_IOYears*12,0))-MAX(0,12*(4-1)-ROUND(in_IOYears*12,0)))*O22)+'Cash Flow'!H61+IF(4=in_HoldYears,U22,0),0)</f>
        <v>413300.6906891185</v>
      </c>
      <c r="AC22" s="28">
        <f>IF(5&lt;=in_HoldYears,'Cash Flow'!I54-((12-(MAX(0,12*5-ROUND(in_IOYears*12,0))-MAX(0,12*(5-1)-ROUND(in_IOYears*12,0))))*M22*J22+(MAX(0,12*5-ROUND(in_IOYears*12,0))-MAX(0,12*(5-1)-ROUND(in_IOYears*12,0)))*O22)+'Cash Flow'!I61+IF(5=in_HoldYears,U22,0),0)</f>
        <v>305405.40716013237</v>
      </c>
      <c r="AD22" s="28">
        <f>IF(6&lt;=in_HoldYears,'Cash Flow'!J54-((12-(MAX(0,12*6-ROUND(in_IOYears*12,0))-MAX(0,12*(6-1)-ROUND(in_IOYears*12,0))))*M22*J22+(MAX(0,12*6-ROUND(in_IOYears*12,0))-MAX(0,12*(6-1)-ROUND(in_IOYears*12,0)))*O22)+'Cash Flow'!J61+IF(6=in_HoldYears,U22,0),0)</f>
        <v>343038.4902091374</v>
      </c>
      <c r="AE22" s="28">
        <f>IF(7&lt;=in_HoldYears,'Cash Flow'!K54-((12-(MAX(0,12*7-ROUND(in_IOYears*12,0))-MAX(0,12*(7-1)-ROUND(in_IOYears*12,0))))*M22*J22+(MAX(0,12*7-ROUND(in_IOYears*12,0))-MAX(0,12*(7-1)-ROUND(in_IOYears*12,0)))*O22)+'Cash Flow'!K61+IF(7=in_HoldYears,U22,0),0)</f>
        <v>4614039.429784218</v>
      </c>
      <c r="AF22" s="28">
        <f>IF(8&lt;=in_HoldYears,'Cash Flow'!L54-((12-(MAX(0,12*8-ROUND(in_IOYears*12,0))-MAX(0,12*(8-1)-ROUND(in_IOYears*12,0))))*M22*J22+(MAX(0,12*8-ROUND(in_IOYears*12,0))-MAX(0,12*(8-1)-ROUND(in_IOYears*12,0)))*O22)+'Cash Flow'!L61+IF(8=in_HoldYears,U22,0),0)</f>
        <v>0</v>
      </c>
      <c r="AG22" s="28">
        <f>IF(9&lt;=in_HoldYears,'Cash Flow'!M54-((12-(MAX(0,12*9-ROUND(in_IOYears*12,0))-MAX(0,12*(9-1)-ROUND(in_IOYears*12,0))))*M22*J22+(MAX(0,12*9-ROUND(in_IOYears*12,0))-MAX(0,12*(9-1)-ROUND(in_IOYears*12,0)))*O22)+'Cash Flow'!M61+IF(9=in_HoldYears,U22,0),0)</f>
        <v>0</v>
      </c>
      <c r="AH22" s="28">
        <f>IF(10&lt;=in_HoldYears,'Cash Flow'!N54-((12-(MAX(0,12*10-ROUND(in_IOYears*12,0))-MAX(0,12*(10-1)-ROUND(in_IOYears*12,0))))*M22*J22+(MAX(0,12*10-ROUND(in_IOYears*12,0))-MAX(0,12*(10-1)-ROUND(in_IOYears*12,0)))*O22)+'Cash Flow'!N61+IF(10=in_HoldYears,U22,0),0)</f>
        <v>0</v>
      </c>
      <c r="AI22" s="28">
        <f>IF(11&lt;=in_HoldYears,'Cash Flow'!O54-((12-(MAX(0,12*11-ROUND(in_IOYears*12,0))-MAX(0,12*(11-1)-ROUND(in_IOYears*12,0))))*M22*J22+(MAX(0,12*11-ROUND(in_IOYears*12,0))-MAX(0,12*(11-1)-ROUND(in_IOYears*12,0)))*O22)+'Cash Flow'!O61+IF(11=in_HoldYears,U22,0),0)</f>
        <v>0</v>
      </c>
    </row>
    <row r="23">
      <c r="B23" s="25">
        <v>1</v>
      </c>
      <c r="C23" s="25">
        <v>1</v>
      </c>
      <c r="D23" s="25">
        <v>-1</v>
      </c>
      <c r="E23" s="28">
        <f>in_PurchasePrice*(1+(1)*s_PriceStep)</f>
        <v>9837450</v>
      </c>
      <c r="F23" s="88">
        <f>in_ExitCap+(-1)*s_CapStep</f>
        <v>0.1014</v>
      </c>
      <c r="G23" s="88">
        <f>in_InterestRate</f>
        <v>0.067</v>
      </c>
      <c r="H23" s="28">
        <f>E23*in_ClosingCostPct+a_ClosingOther</f>
        <v>147561.75</v>
      </c>
      <c r="I23" s="28">
        <f>E23+H23+a_UpfrontOther+a_LeaseUpReserve</f>
        <v>10036603.522787157</v>
      </c>
      <c r="J23" s="88">
        <f>G23*a_DayFactor/12</f>
        <v>0.005660879629629629</v>
      </c>
      <c r="K23" s="24">
        <f>IF(J23=0,1/(in_AmortYears*12),J23/(1-(1+J23)^(-in_AmortYears*12)))</f>
        <v>0.006514626765893523</v>
      </c>
      <c r="L23" s="24">
        <f>MIN(12,in_IOYears*12)*J23+(12-MIN(12,in_IOYears*12))*K23</f>
        <v>0.07817552119072227</v>
      </c>
      <c r="M23" s="28">
        <f>MAX(0,MIN(I23,IF(a_LoanMode="Fixed amount",a_FixedLoan,IF(a_LoanMode="LTC",I23*a_LTCTarget,IF(a_LoanMode="Lender tests",MIN(E23*a_LTVTarget,IF(AND(a_MinDSCR&gt;0,L23&gt;0),out_NOI_Y1/a_MinDSCR/L23,9E+99),IF(a_MinDY&gt;0,out_NOI_Y1/a_MinDY,9E+99)),E23*a_LTVTarget)))))</f>
        <v>5902470</v>
      </c>
      <c r="N23" s="28">
        <f>I23+M23*a_LoanFeePct+a_IntReserve-M23</f>
        <v>4193158.2227871567</v>
      </c>
      <c r="O23" s="28">
        <f>M23*K23</f>
        <v>38452.389046883545</v>
      </c>
      <c r="P23" s="25">
        <f>MAX(0,12*in_HoldYears-ROUND(in_IOYears*12,0))</f>
        <v>84</v>
      </c>
      <c r="Q23" s="28">
        <f>MAX(0,IF(J23=0,M23*(1-P23/(in_AmortYears*12)),M23*((1+J23)^(in_AmortYears*12)-(1+J23)^P23)/((1+J23)^(in_AmortYears*12)-1)))</f>
        <v>5362409.559826201</v>
      </c>
      <c r="R23" s="28">
        <f>IF(Q23&lt;=0,0,IF(a_Prepay="Step-down 5-4-3-2-1",Q23*IF(in_HoldYears&lt;5,CHOOSE(in_HoldYears+1,5,4,3,2,1),0)/100,IF(a_Prepay="Step-down 3-2-1",Q23*IF(in_HoldYears&lt;3,CHOOSE(in_HoldYears+1,3,2,1),0)/100,IF(AND(OR(a_Prepay="Yield maintenance",a_Prepay="Yield maintenance (1% floor)"),a_LoanTerm&gt;in_HoldYears,G23&gt;0,a_IndexRate&gt;0),Q23*MAX(IF(a_Prepay="Yield maintenance",0.5,1),(O23*(1-(1+(a_IndexRate/12))^(-(a_LoanTerm*12-in_HoldYears*12)))/(a_IndexRate/12)+MAX(0,Q23*(1+(G23/12))^(a_LoanTerm*12-in_HoldYears*12)-O23*((1+(G23/12))^(a_LoanTerm*12-in_HoldYears*12)-1)/(G23/12))/(1+(a_IndexRate/12))^(a_LoanTerm*12-in_HoldYears*12)-Q23)/Q23*100+IF(a_Prepay="Yield maintenance",0,1))/100,0))))</f>
        <v>0</v>
      </c>
      <c r="S23" s="28">
        <f>IF(F23&gt;0,out_ExitNOI/F23,0)</f>
        <v>9544986.530056676</v>
      </c>
      <c r="T23" s="28">
        <f>S23*IF(a_SaleCostMode="Market tiers",IF(S23&gt;a_Tier3Over,a_Tier3Pct,IF(S23&gt;a_Tier2Over,a_Tier2Pct,a_Tier1Pct)),a_SaleCostEntered)</f>
        <v>238624.6632514169</v>
      </c>
      <c r="U23" s="28">
        <f>S23-T23-r_LeasingAfterSale-Q23-R23-M23*a_ExtN*a_ExtFeeBps/10000-Q23*a_ExitFeePct</f>
        <v>3922435.509726897</v>
      </c>
      <c r="V23" s="106">
        <f>IFERROR(IRR(X23:AI23),"")</f>
        <v>0.09343304557566691</v>
      </c>
      <c r="W23" s="87">
        <f>SUMIF(Y23:AI23,"&gt;0")/(N23-SUMIF(Y23:AI23,"&lt;0"))</f>
        <v>1.6280059814968033</v>
      </c>
      <c r="X23" s="28">
        <f>-N23</f>
        <v>-4193158.2227871567</v>
      </c>
      <c r="Y23" s="28">
        <f>IF(1&lt;=in_HoldYears,'Cash Flow'!E54-((12-(MAX(0,12*1-ROUND(in_IOYears*12,0))-MAX(0,12*(1-1)-ROUND(in_IOYears*12,0))))*M23*J23+(MAX(0,12*1-ROUND(in_IOYears*12,0))-MAX(0,12*(1-1)-ROUND(in_IOYears*12,0)))*O23)+'Cash Flow'!E61+IF(1=in_HoldYears,U23,0),0)</f>
        <v>477959.0052136599</v>
      </c>
      <c r="Z23" s="28">
        <f>IF(2&lt;=in_HoldYears,'Cash Flow'!F54-((12-(MAX(0,12*2-ROUND(in_IOYears*12,0))-MAX(0,12*(2-1)-ROUND(in_IOYears*12,0))))*M23*J23+(MAX(0,12*2-ROUND(in_IOYears*12,0))-MAX(0,12*(2-1)-ROUND(in_IOYears*12,0)))*O23)+'Cash Flow'!F61+IF(2=in_HoldYears,U23,0),0)</f>
        <v>462320.618688903</v>
      </c>
      <c r="AA23" s="28">
        <f>IF(3&lt;=in_HoldYears,'Cash Flow'!G54-((12-(MAX(0,12*3-ROUND(in_IOYears*12,0))-MAX(0,12*(3-1)-ROUND(in_IOYears*12,0))))*M23*J23+(MAX(0,12*3-ROUND(in_IOYears*12,0))-MAX(0,12*(3-1)-ROUND(in_IOYears*12,0)))*O23)+'Cash Flow'!G61+IF(3=in_HoldYears,U23,0),0)</f>
        <v>445669.7873564165</v>
      </c>
      <c r="AB23" s="28">
        <f>IF(4&lt;=in_HoldYears,'Cash Flow'!H54-((12-(MAX(0,12*4-ROUND(in_IOYears*12,0))-MAX(0,12*(4-1)-ROUND(in_IOYears*12,0))))*M23*J23+(MAX(0,12*4-ROUND(in_IOYears*12,0))-MAX(0,12*(4-1)-ROUND(in_IOYears*12,0)))*O23)+'Cash Flow'!H61+IF(4=in_HoldYears,U23,0),0)</f>
        <v>413300.6906891185</v>
      </c>
      <c r="AC23" s="28">
        <f>IF(5&lt;=in_HoldYears,'Cash Flow'!I54-((12-(MAX(0,12*5-ROUND(in_IOYears*12,0))-MAX(0,12*(5-1)-ROUND(in_IOYears*12,0))))*M23*J23+(MAX(0,12*5-ROUND(in_IOYears*12,0))-MAX(0,12*(5-1)-ROUND(in_IOYears*12,0)))*O23)+'Cash Flow'!I61+IF(5=in_HoldYears,U23,0),0)</f>
        <v>305405.40716013237</v>
      </c>
      <c r="AD23" s="28">
        <f>IF(6&lt;=in_HoldYears,'Cash Flow'!J54-((12-(MAX(0,12*6-ROUND(in_IOYears*12,0))-MAX(0,12*(6-1)-ROUND(in_IOYears*12,0))))*M23*J23+(MAX(0,12*6-ROUND(in_IOYears*12,0))-MAX(0,12*(6-1)-ROUND(in_IOYears*12,0)))*O23)+'Cash Flow'!J61+IF(6=in_HoldYears,U23,0),0)</f>
        <v>343038.4902091374</v>
      </c>
      <c r="AE23" s="28">
        <f>IF(7&lt;=in_HoldYears,'Cash Flow'!K54-((12-(MAX(0,12*7-ROUND(in_IOYears*12,0))-MAX(0,12*(7-1)-ROUND(in_IOYears*12,0))))*M23*J23+(MAX(0,12*7-ROUND(in_IOYears*12,0))-MAX(0,12*(7-1)-ROUND(in_IOYears*12,0)))*O23)+'Cash Flow'!K61+IF(7=in_HoldYears,U23,0),0)</f>
        <v>4378792.668742629</v>
      </c>
      <c r="AF23" s="28">
        <f>IF(8&lt;=in_HoldYears,'Cash Flow'!L54-((12-(MAX(0,12*8-ROUND(in_IOYears*12,0))-MAX(0,12*(8-1)-ROUND(in_IOYears*12,0))))*M23*J23+(MAX(0,12*8-ROUND(in_IOYears*12,0))-MAX(0,12*(8-1)-ROUND(in_IOYears*12,0)))*O23)+'Cash Flow'!L61+IF(8=in_HoldYears,U23,0),0)</f>
        <v>0</v>
      </c>
      <c r="AG23" s="28">
        <f>IF(9&lt;=in_HoldYears,'Cash Flow'!M54-((12-(MAX(0,12*9-ROUND(in_IOYears*12,0))-MAX(0,12*(9-1)-ROUND(in_IOYears*12,0))))*M23*J23+(MAX(0,12*9-ROUND(in_IOYears*12,0))-MAX(0,12*(9-1)-ROUND(in_IOYears*12,0)))*O23)+'Cash Flow'!M61+IF(9=in_HoldYears,U23,0),0)</f>
        <v>0</v>
      </c>
      <c r="AH23" s="28">
        <f>IF(10&lt;=in_HoldYears,'Cash Flow'!N54-((12-(MAX(0,12*10-ROUND(in_IOYears*12,0))-MAX(0,12*(10-1)-ROUND(in_IOYears*12,0))))*M23*J23+(MAX(0,12*10-ROUND(in_IOYears*12,0))-MAX(0,12*(10-1)-ROUND(in_IOYears*12,0)))*O23)+'Cash Flow'!N61+IF(10=in_HoldYears,U23,0),0)</f>
        <v>0</v>
      </c>
      <c r="AI23" s="28">
        <f>IF(11&lt;=in_HoldYears,'Cash Flow'!O54-((12-(MAX(0,12*11-ROUND(in_IOYears*12,0))-MAX(0,12*(11-1)-ROUND(in_IOYears*12,0))))*M23*J23+(MAX(0,12*11-ROUND(in_IOYears*12,0))-MAX(0,12*(11-1)-ROUND(in_IOYears*12,0)))*O23)+'Cash Flow'!O61+IF(11=in_HoldYears,U23,0),0)</f>
        <v>0</v>
      </c>
    </row>
    <row r="24">
      <c r="B24" s="25">
        <v>1</v>
      </c>
      <c r="C24" s="25">
        <v>1</v>
      </c>
      <c r="D24" s="25">
        <v>0</v>
      </c>
      <c r="E24" s="28">
        <f>in_PurchasePrice*(1+(1)*s_PriceStep)</f>
        <v>9837450</v>
      </c>
      <c r="F24" s="88">
        <f>in_ExitCap+(0)*s_CapStep</f>
        <v>0.1039</v>
      </c>
      <c r="G24" s="88">
        <f>in_InterestRate</f>
        <v>0.067</v>
      </c>
      <c r="H24" s="28">
        <f>E24*in_ClosingCostPct+a_ClosingOther</f>
        <v>147561.75</v>
      </c>
      <c r="I24" s="28">
        <f>E24+H24+a_UpfrontOther+a_LeaseUpReserve</f>
        <v>10036603.522787157</v>
      </c>
      <c r="J24" s="88">
        <f>G24*a_DayFactor/12</f>
        <v>0.005660879629629629</v>
      </c>
      <c r="K24" s="24">
        <f>IF(J24=0,1/(in_AmortYears*12),J24/(1-(1+J24)^(-in_AmortYears*12)))</f>
        <v>0.006514626765893523</v>
      </c>
      <c r="L24" s="24">
        <f>MIN(12,in_IOYears*12)*J24+(12-MIN(12,in_IOYears*12))*K24</f>
        <v>0.07817552119072227</v>
      </c>
      <c r="M24" s="28">
        <f>MAX(0,MIN(I24,IF(a_LoanMode="Fixed amount",a_FixedLoan,IF(a_LoanMode="LTC",I24*a_LTCTarget,IF(a_LoanMode="Lender tests",MIN(E24*a_LTVTarget,IF(AND(a_MinDSCR&gt;0,L24&gt;0),out_NOI_Y1/a_MinDSCR/L24,9E+99),IF(a_MinDY&gt;0,out_NOI_Y1/a_MinDY,9E+99)),E24*a_LTVTarget)))))</f>
        <v>5902470</v>
      </c>
      <c r="N24" s="28">
        <f>I24+M24*a_LoanFeePct+a_IntReserve-M24</f>
        <v>4193158.2227871567</v>
      </c>
      <c r="O24" s="28">
        <f>M24*K24</f>
        <v>38452.389046883545</v>
      </c>
      <c r="P24" s="25">
        <f>MAX(0,12*in_HoldYears-ROUND(in_IOYears*12,0))</f>
        <v>84</v>
      </c>
      <c r="Q24" s="28">
        <f>MAX(0,IF(J24=0,M24*(1-P24/(in_AmortYears*12)),M24*((1+J24)^(in_AmortYears*12)-(1+J24)^P24)/((1+J24)^(in_AmortYears*12)-1)))</f>
        <v>5362409.559826201</v>
      </c>
      <c r="R24" s="28">
        <f>IF(Q24&lt;=0,0,IF(a_Prepay="Step-down 5-4-3-2-1",Q24*IF(in_HoldYears&lt;5,CHOOSE(in_HoldYears+1,5,4,3,2,1),0)/100,IF(a_Prepay="Step-down 3-2-1",Q24*IF(in_HoldYears&lt;3,CHOOSE(in_HoldYears+1,3,2,1),0)/100,IF(AND(OR(a_Prepay="Yield maintenance",a_Prepay="Yield maintenance (1% floor)"),a_LoanTerm&gt;in_HoldYears,G24&gt;0,a_IndexRate&gt;0),Q24*MAX(IF(a_Prepay="Yield maintenance",0.5,1),(O24*(1-(1+(a_IndexRate/12))^(-(a_LoanTerm*12-in_HoldYears*12)))/(a_IndexRate/12)+MAX(0,Q24*(1+(G24/12))^(a_LoanTerm*12-in_HoldYears*12)-O24*((1+(G24/12))^(a_LoanTerm*12-in_HoldYears*12)-1)/(G24/12))/(1+(a_IndexRate/12))^(a_LoanTerm*12-in_HoldYears*12)-Q24)/Q24*100+IF(a_Prepay="Yield maintenance",0,1))/100,0))))</f>
        <v>0</v>
      </c>
      <c r="S24" s="28">
        <f>IF(F24&gt;0,out_ExitNOI/F24,0)</f>
        <v>9315318.904213157</v>
      </c>
      <c r="T24" s="28">
        <f>S24*IF(a_SaleCostMode="Market tiers",IF(S24&gt;a_Tier3Over,a_Tier3Pct,IF(S24&gt;a_Tier2Over,a_Tier2Pct,a_Tier1Pct)),a_SaleCostEntered)</f>
        <v>232882.97260532892</v>
      </c>
      <c r="U24" s="28">
        <f>S24-T24-r_LeasingAfterSale-Q24-R24-M24*a_ExtN*a_ExtFeeBps/10000-Q24*a_ExitFeePct</f>
        <v>3698509.5745294653</v>
      </c>
      <c r="V24" s="106">
        <f>IFERROR(IRR(X24:AI24),"")</f>
        <v>0.08735680805138532</v>
      </c>
      <c r="W24" s="87">
        <f>SUMIF(Y24:AI24,"&gt;0")/(N24-SUMIF(Y24:AI24,"&lt;0"))</f>
        <v>1.5746032899454718</v>
      </c>
      <c r="X24" s="28">
        <f>-N24</f>
        <v>-4193158.2227871567</v>
      </c>
      <c r="Y24" s="28">
        <f>IF(1&lt;=in_HoldYears,'Cash Flow'!E54-((12-(MAX(0,12*1-ROUND(in_IOYears*12,0))-MAX(0,12*(1-1)-ROUND(in_IOYears*12,0))))*M24*J24+(MAX(0,12*1-ROUND(in_IOYears*12,0))-MAX(0,12*(1-1)-ROUND(in_IOYears*12,0)))*O24)+'Cash Flow'!E61+IF(1=in_HoldYears,U24,0),0)</f>
        <v>477959.0052136599</v>
      </c>
      <c r="Z24" s="28">
        <f>IF(2&lt;=in_HoldYears,'Cash Flow'!F54-((12-(MAX(0,12*2-ROUND(in_IOYears*12,0))-MAX(0,12*(2-1)-ROUND(in_IOYears*12,0))))*M24*J24+(MAX(0,12*2-ROUND(in_IOYears*12,0))-MAX(0,12*(2-1)-ROUND(in_IOYears*12,0)))*O24)+'Cash Flow'!F61+IF(2=in_HoldYears,U24,0),0)</f>
        <v>462320.618688903</v>
      </c>
      <c r="AA24" s="28">
        <f>IF(3&lt;=in_HoldYears,'Cash Flow'!G54-((12-(MAX(0,12*3-ROUND(in_IOYears*12,0))-MAX(0,12*(3-1)-ROUND(in_IOYears*12,0))))*M24*J24+(MAX(0,12*3-ROUND(in_IOYears*12,0))-MAX(0,12*(3-1)-ROUND(in_IOYears*12,0)))*O24)+'Cash Flow'!G61+IF(3=in_HoldYears,U24,0),0)</f>
        <v>445669.7873564165</v>
      </c>
      <c r="AB24" s="28">
        <f>IF(4&lt;=in_HoldYears,'Cash Flow'!H54-((12-(MAX(0,12*4-ROUND(in_IOYears*12,0))-MAX(0,12*(4-1)-ROUND(in_IOYears*12,0))))*M24*J24+(MAX(0,12*4-ROUND(in_IOYears*12,0))-MAX(0,12*(4-1)-ROUND(in_IOYears*12,0)))*O24)+'Cash Flow'!H61+IF(4=in_HoldYears,U24,0),0)</f>
        <v>413300.6906891185</v>
      </c>
      <c r="AC24" s="28">
        <f>IF(5&lt;=in_HoldYears,'Cash Flow'!I54-((12-(MAX(0,12*5-ROUND(in_IOYears*12,0))-MAX(0,12*(5-1)-ROUND(in_IOYears*12,0))))*M24*J24+(MAX(0,12*5-ROUND(in_IOYears*12,0))-MAX(0,12*(5-1)-ROUND(in_IOYears*12,0)))*O24)+'Cash Flow'!I61+IF(5=in_HoldYears,U24,0),0)</f>
        <v>305405.40716013237</v>
      </c>
      <c r="AD24" s="28">
        <f>IF(6&lt;=in_HoldYears,'Cash Flow'!J54-((12-(MAX(0,12*6-ROUND(in_IOYears*12,0))-MAX(0,12*(6-1)-ROUND(in_IOYears*12,0))))*M24*J24+(MAX(0,12*6-ROUND(in_IOYears*12,0))-MAX(0,12*(6-1)-ROUND(in_IOYears*12,0)))*O24)+'Cash Flow'!J61+IF(6=in_HoldYears,U24,0),0)</f>
        <v>343038.4902091374</v>
      </c>
      <c r="AE24" s="28">
        <f>IF(7&lt;=in_HoldYears,'Cash Flow'!K54-((12-(MAX(0,12*7-ROUND(in_IOYears*12,0))-MAX(0,12*(7-1)-ROUND(in_IOYears*12,0))))*M24*J24+(MAX(0,12*7-ROUND(in_IOYears*12,0))-MAX(0,12*(7-1)-ROUND(in_IOYears*12,0)))*O24)+'Cash Flow'!K61+IF(7=in_HoldYears,U24,0),0)</f>
        <v>4154866.7335451967</v>
      </c>
      <c r="AF24" s="28">
        <f>IF(8&lt;=in_HoldYears,'Cash Flow'!L54-((12-(MAX(0,12*8-ROUND(in_IOYears*12,0))-MAX(0,12*(8-1)-ROUND(in_IOYears*12,0))))*M24*J24+(MAX(0,12*8-ROUND(in_IOYears*12,0))-MAX(0,12*(8-1)-ROUND(in_IOYears*12,0)))*O24)+'Cash Flow'!L61+IF(8=in_HoldYears,U24,0),0)</f>
        <v>0</v>
      </c>
      <c r="AG24" s="28">
        <f>IF(9&lt;=in_HoldYears,'Cash Flow'!M54-((12-(MAX(0,12*9-ROUND(in_IOYears*12,0))-MAX(0,12*(9-1)-ROUND(in_IOYears*12,0))))*M24*J24+(MAX(0,12*9-ROUND(in_IOYears*12,0))-MAX(0,12*(9-1)-ROUND(in_IOYears*12,0)))*O24)+'Cash Flow'!M61+IF(9=in_HoldYears,U24,0),0)</f>
        <v>0</v>
      </c>
      <c r="AH24" s="28">
        <f>IF(10&lt;=in_HoldYears,'Cash Flow'!N54-((12-(MAX(0,12*10-ROUND(in_IOYears*12,0))-MAX(0,12*(10-1)-ROUND(in_IOYears*12,0))))*M24*J24+(MAX(0,12*10-ROUND(in_IOYears*12,0))-MAX(0,12*(10-1)-ROUND(in_IOYears*12,0)))*O24)+'Cash Flow'!N61+IF(10=in_HoldYears,U24,0),0)</f>
        <v>0</v>
      </c>
      <c r="AI24" s="28">
        <f>IF(11&lt;=in_HoldYears,'Cash Flow'!O54-((12-(MAX(0,12*11-ROUND(in_IOYears*12,0))-MAX(0,12*(11-1)-ROUND(in_IOYears*12,0))))*M24*J24+(MAX(0,12*11-ROUND(in_IOYears*12,0))-MAX(0,12*(11-1)-ROUND(in_IOYears*12,0)))*O24)+'Cash Flow'!O61+IF(11=in_HoldYears,U24,0),0)</f>
        <v>0</v>
      </c>
    </row>
    <row r="25">
      <c r="B25" s="25">
        <v>1</v>
      </c>
      <c r="C25" s="25">
        <v>1</v>
      </c>
      <c r="D25" s="25">
        <v>1</v>
      </c>
      <c r="E25" s="28">
        <f>in_PurchasePrice*(1+(1)*s_PriceStep)</f>
        <v>9837450</v>
      </c>
      <c r="F25" s="88">
        <f>in_ExitCap+(1)*s_CapStep</f>
        <v>0.10640000000000001</v>
      </c>
      <c r="G25" s="88">
        <f>in_InterestRate</f>
        <v>0.067</v>
      </c>
      <c r="H25" s="28">
        <f>E25*in_ClosingCostPct+a_ClosingOther</f>
        <v>147561.75</v>
      </c>
      <c r="I25" s="28">
        <f>E25+H25+a_UpfrontOther+a_LeaseUpReserve</f>
        <v>10036603.522787157</v>
      </c>
      <c r="J25" s="88">
        <f>G25*a_DayFactor/12</f>
        <v>0.005660879629629629</v>
      </c>
      <c r="K25" s="24">
        <f>IF(J25=0,1/(in_AmortYears*12),J25/(1-(1+J25)^(-in_AmortYears*12)))</f>
        <v>0.006514626765893523</v>
      </c>
      <c r="L25" s="24">
        <f>MIN(12,in_IOYears*12)*J25+(12-MIN(12,in_IOYears*12))*K25</f>
        <v>0.07817552119072227</v>
      </c>
      <c r="M25" s="28">
        <f>MAX(0,MIN(I25,IF(a_LoanMode="Fixed amount",a_FixedLoan,IF(a_LoanMode="LTC",I25*a_LTCTarget,IF(a_LoanMode="Lender tests",MIN(E25*a_LTVTarget,IF(AND(a_MinDSCR&gt;0,L25&gt;0),out_NOI_Y1/a_MinDSCR/L25,9E+99),IF(a_MinDY&gt;0,out_NOI_Y1/a_MinDY,9E+99)),E25*a_LTVTarget)))))</f>
        <v>5902470</v>
      </c>
      <c r="N25" s="28">
        <f>I25+M25*a_LoanFeePct+a_IntReserve-M25</f>
        <v>4193158.2227871567</v>
      </c>
      <c r="O25" s="28">
        <f>M25*K25</f>
        <v>38452.389046883545</v>
      </c>
      <c r="P25" s="25">
        <f>MAX(0,12*in_HoldYears-ROUND(in_IOYears*12,0))</f>
        <v>84</v>
      </c>
      <c r="Q25" s="28">
        <f>MAX(0,IF(J25=0,M25*(1-P25/(in_AmortYears*12)),M25*((1+J25)^(in_AmortYears*12)-(1+J25)^P25)/((1+J25)^(in_AmortYears*12)-1)))</f>
        <v>5362409.559826201</v>
      </c>
      <c r="R25" s="28">
        <f>IF(Q25&lt;=0,0,IF(a_Prepay="Step-down 5-4-3-2-1",Q25*IF(in_HoldYears&lt;5,CHOOSE(in_HoldYears+1,5,4,3,2,1),0)/100,IF(a_Prepay="Step-down 3-2-1",Q25*IF(in_HoldYears&lt;3,CHOOSE(in_HoldYears+1,3,2,1),0)/100,IF(AND(OR(a_Prepay="Yield maintenance",a_Prepay="Yield maintenance (1% floor)"),a_LoanTerm&gt;in_HoldYears,G25&gt;0,a_IndexRate&gt;0),Q25*MAX(IF(a_Prepay="Yield maintenance",0.5,1),(O25*(1-(1+(a_IndexRate/12))^(-(a_LoanTerm*12-in_HoldYears*12)))/(a_IndexRate/12)+MAX(0,Q25*(1+(G25/12))^(a_LoanTerm*12-in_HoldYears*12)-O25*((1+(G25/12))^(a_LoanTerm*12-in_HoldYears*12)-1)/(G25/12))/(1+(a_IndexRate/12))^(a_LoanTerm*12-in_HoldYears*12)-Q25)/Q25*100+IF(a_Prepay="Yield maintenance",0,1))/100,0))))</f>
        <v>0</v>
      </c>
      <c r="S25" s="28">
        <f>IF(F25&gt;0,out_ExitNOI/F25,0)</f>
        <v>9096443.929960027</v>
      </c>
      <c r="T25" s="28">
        <f>S25*IF(a_SaleCostMode="Market tiers",IF(S25&gt;a_Tier3Over,a_Tier3Pct,IF(S25&gt;a_Tier2Over,a_Tier2Pct,a_Tier1Pct)),a_SaleCostEntered)</f>
        <v>227411.0982490007</v>
      </c>
      <c r="U25" s="28">
        <f>S25-T25-r_LeasingAfterSale-Q25-R25-M25*a_ExtN*a_ExtFeeBps/10000-Q25*a_ExitFeePct</f>
        <v>3485106.4746326637</v>
      </c>
      <c r="V25" s="106">
        <f>IFERROR(IRR(X25:AI25),"")</f>
        <v>0.08134299606349932</v>
      </c>
      <c r="W25" s="87">
        <f>SUMIF(Y25:AI25,"&gt;0")/(N25-SUMIF(Y25:AI25,"&lt;0"))</f>
        <v>1.5237101233730561</v>
      </c>
      <c r="X25" s="28">
        <f>-N25</f>
        <v>-4193158.2227871567</v>
      </c>
      <c r="Y25" s="28">
        <f>IF(1&lt;=in_HoldYears,'Cash Flow'!E54-((12-(MAX(0,12*1-ROUND(in_IOYears*12,0))-MAX(0,12*(1-1)-ROUND(in_IOYears*12,0))))*M25*J25+(MAX(0,12*1-ROUND(in_IOYears*12,0))-MAX(0,12*(1-1)-ROUND(in_IOYears*12,0)))*O25)+'Cash Flow'!E61+IF(1=in_HoldYears,U25,0),0)</f>
        <v>477959.0052136599</v>
      </c>
      <c r="Z25" s="28">
        <f>IF(2&lt;=in_HoldYears,'Cash Flow'!F54-((12-(MAX(0,12*2-ROUND(in_IOYears*12,0))-MAX(0,12*(2-1)-ROUND(in_IOYears*12,0))))*M25*J25+(MAX(0,12*2-ROUND(in_IOYears*12,0))-MAX(0,12*(2-1)-ROUND(in_IOYears*12,0)))*O25)+'Cash Flow'!F61+IF(2=in_HoldYears,U25,0),0)</f>
        <v>462320.618688903</v>
      </c>
      <c r="AA25" s="28">
        <f>IF(3&lt;=in_HoldYears,'Cash Flow'!G54-((12-(MAX(0,12*3-ROUND(in_IOYears*12,0))-MAX(0,12*(3-1)-ROUND(in_IOYears*12,0))))*M25*J25+(MAX(0,12*3-ROUND(in_IOYears*12,0))-MAX(0,12*(3-1)-ROUND(in_IOYears*12,0)))*O25)+'Cash Flow'!G61+IF(3=in_HoldYears,U25,0),0)</f>
        <v>445669.7873564165</v>
      </c>
      <c r="AB25" s="28">
        <f>IF(4&lt;=in_HoldYears,'Cash Flow'!H54-((12-(MAX(0,12*4-ROUND(in_IOYears*12,0))-MAX(0,12*(4-1)-ROUND(in_IOYears*12,0))))*M25*J25+(MAX(0,12*4-ROUND(in_IOYears*12,0))-MAX(0,12*(4-1)-ROUND(in_IOYears*12,0)))*O25)+'Cash Flow'!H61+IF(4=in_HoldYears,U25,0),0)</f>
        <v>413300.6906891185</v>
      </c>
      <c r="AC25" s="28">
        <f>IF(5&lt;=in_HoldYears,'Cash Flow'!I54-((12-(MAX(0,12*5-ROUND(in_IOYears*12,0))-MAX(0,12*(5-1)-ROUND(in_IOYears*12,0))))*M25*J25+(MAX(0,12*5-ROUND(in_IOYears*12,0))-MAX(0,12*(5-1)-ROUND(in_IOYears*12,0)))*O25)+'Cash Flow'!I61+IF(5=in_HoldYears,U25,0),0)</f>
        <v>305405.40716013237</v>
      </c>
      <c r="AD25" s="28">
        <f>IF(6&lt;=in_HoldYears,'Cash Flow'!J54-((12-(MAX(0,12*6-ROUND(in_IOYears*12,0))-MAX(0,12*(6-1)-ROUND(in_IOYears*12,0))))*M25*J25+(MAX(0,12*6-ROUND(in_IOYears*12,0))-MAX(0,12*(6-1)-ROUND(in_IOYears*12,0)))*O25)+'Cash Flow'!J61+IF(6=in_HoldYears,U25,0),0)</f>
        <v>343038.4902091374</v>
      </c>
      <c r="AE25" s="28">
        <f>IF(7&lt;=in_HoldYears,'Cash Flow'!K54-((12-(MAX(0,12*7-ROUND(in_IOYears*12,0))-MAX(0,12*(7-1)-ROUND(in_IOYears*12,0))))*M25*J25+(MAX(0,12*7-ROUND(in_IOYears*12,0))-MAX(0,12*(7-1)-ROUND(in_IOYears*12,0)))*O25)+'Cash Flow'!K61+IF(7=in_HoldYears,U25,0),0)</f>
        <v>3941463.633648395</v>
      </c>
      <c r="AF25" s="28">
        <f>IF(8&lt;=in_HoldYears,'Cash Flow'!L54-((12-(MAX(0,12*8-ROUND(in_IOYears*12,0))-MAX(0,12*(8-1)-ROUND(in_IOYears*12,0))))*M25*J25+(MAX(0,12*8-ROUND(in_IOYears*12,0))-MAX(0,12*(8-1)-ROUND(in_IOYears*12,0)))*O25)+'Cash Flow'!L61+IF(8=in_HoldYears,U25,0),0)</f>
        <v>0</v>
      </c>
      <c r="AG25" s="28">
        <f>IF(9&lt;=in_HoldYears,'Cash Flow'!M54-((12-(MAX(0,12*9-ROUND(in_IOYears*12,0))-MAX(0,12*(9-1)-ROUND(in_IOYears*12,0))))*M25*J25+(MAX(0,12*9-ROUND(in_IOYears*12,0))-MAX(0,12*(9-1)-ROUND(in_IOYears*12,0)))*O25)+'Cash Flow'!M61+IF(9=in_HoldYears,U25,0),0)</f>
        <v>0</v>
      </c>
      <c r="AH25" s="28">
        <f>IF(10&lt;=in_HoldYears,'Cash Flow'!N54-((12-(MAX(0,12*10-ROUND(in_IOYears*12,0))-MAX(0,12*(10-1)-ROUND(in_IOYears*12,0))))*M25*J25+(MAX(0,12*10-ROUND(in_IOYears*12,0))-MAX(0,12*(10-1)-ROUND(in_IOYears*12,0)))*O25)+'Cash Flow'!N61+IF(10=in_HoldYears,U25,0),0)</f>
        <v>0</v>
      </c>
      <c r="AI25" s="28">
        <f>IF(11&lt;=in_HoldYears,'Cash Flow'!O54-((12-(MAX(0,12*11-ROUND(in_IOYears*12,0))-MAX(0,12*(11-1)-ROUND(in_IOYears*12,0))))*M25*J25+(MAX(0,12*11-ROUND(in_IOYears*12,0))-MAX(0,12*(11-1)-ROUND(in_IOYears*12,0)))*O25)+'Cash Flow'!O61+IF(11=in_HoldYears,U25,0),0)</f>
        <v>0</v>
      </c>
    </row>
    <row r="26">
      <c r="B26" s="25">
        <v>1</v>
      </c>
      <c r="C26" s="25">
        <v>1</v>
      </c>
      <c r="D26" s="25">
        <v>2</v>
      </c>
      <c r="E26" s="28">
        <f>in_PurchasePrice*(1+(1)*s_PriceStep)</f>
        <v>9837450</v>
      </c>
      <c r="F26" s="88">
        <f>in_ExitCap+(2)*s_CapStep</f>
        <v>0.10890000000000001</v>
      </c>
      <c r="G26" s="88">
        <f>in_InterestRate</f>
        <v>0.067</v>
      </c>
      <c r="H26" s="28">
        <f>E26*in_ClosingCostPct+a_ClosingOther</f>
        <v>147561.75</v>
      </c>
      <c r="I26" s="28">
        <f>E26+H26+a_UpfrontOther+a_LeaseUpReserve</f>
        <v>10036603.522787157</v>
      </c>
      <c r="J26" s="88">
        <f>G26*a_DayFactor/12</f>
        <v>0.005660879629629629</v>
      </c>
      <c r="K26" s="24">
        <f>IF(J26=0,1/(in_AmortYears*12),J26/(1-(1+J26)^(-in_AmortYears*12)))</f>
        <v>0.006514626765893523</v>
      </c>
      <c r="L26" s="24">
        <f>MIN(12,in_IOYears*12)*J26+(12-MIN(12,in_IOYears*12))*K26</f>
        <v>0.07817552119072227</v>
      </c>
      <c r="M26" s="28">
        <f>MAX(0,MIN(I26,IF(a_LoanMode="Fixed amount",a_FixedLoan,IF(a_LoanMode="LTC",I26*a_LTCTarget,IF(a_LoanMode="Lender tests",MIN(E26*a_LTVTarget,IF(AND(a_MinDSCR&gt;0,L26&gt;0),out_NOI_Y1/a_MinDSCR/L26,9E+99),IF(a_MinDY&gt;0,out_NOI_Y1/a_MinDY,9E+99)),E26*a_LTVTarget)))))</f>
        <v>5902470</v>
      </c>
      <c r="N26" s="28">
        <f>I26+M26*a_LoanFeePct+a_IntReserve-M26</f>
        <v>4193158.2227871567</v>
      </c>
      <c r="O26" s="28">
        <f>M26*K26</f>
        <v>38452.389046883545</v>
      </c>
      <c r="P26" s="25">
        <f>MAX(0,12*in_HoldYears-ROUND(in_IOYears*12,0))</f>
        <v>84</v>
      </c>
      <c r="Q26" s="28">
        <f>MAX(0,IF(J26=0,M26*(1-P26/(in_AmortYears*12)),M26*((1+J26)^(in_AmortYears*12)-(1+J26)^P26)/((1+J26)^(in_AmortYears*12)-1)))</f>
        <v>5362409.559826201</v>
      </c>
      <c r="R26" s="28">
        <f>IF(Q26&lt;=0,0,IF(a_Prepay="Step-down 5-4-3-2-1",Q26*IF(in_HoldYears&lt;5,CHOOSE(in_HoldYears+1,5,4,3,2,1),0)/100,IF(a_Prepay="Step-down 3-2-1",Q26*IF(in_HoldYears&lt;3,CHOOSE(in_HoldYears+1,3,2,1),0)/100,IF(AND(OR(a_Prepay="Yield maintenance",a_Prepay="Yield maintenance (1% floor)"),a_LoanTerm&gt;in_HoldYears,G26&gt;0,a_IndexRate&gt;0),Q26*MAX(IF(a_Prepay="Yield maintenance",0.5,1),(O26*(1-(1+(a_IndexRate/12))^(-(a_LoanTerm*12-in_HoldYears*12)))/(a_IndexRate/12)+MAX(0,Q26*(1+(G26/12))^(a_LoanTerm*12-in_HoldYears*12)-O26*((1+(G26/12))^(a_LoanTerm*12-in_HoldYears*12)-1)/(G26/12))/(1+(a_IndexRate/12))^(a_LoanTerm*12-in_HoldYears*12)-Q26)/Q26*100+IF(a_Prepay="Yield maintenance",0,1))/100,0))))</f>
        <v>0</v>
      </c>
      <c r="S26" s="28">
        <f>IF(F26&gt;0,out_ExitNOI/F26,0)</f>
        <v>8887618.311733212</v>
      </c>
      <c r="T26" s="28">
        <f>S26*IF(a_SaleCostMode="Market tiers",IF(S26&gt;a_Tier3Over,a_Tier3Pct,IF(S26&gt;a_Tier2Over,a_Tier2Pct,a_Tier1Pct)),a_SaleCostEntered)</f>
        <v>222190.4577933303</v>
      </c>
      <c r="U26" s="28">
        <f>S26-T26-r_LeasingAfterSale-Q26-R26-M26*a_ExtN*a_ExtFeeBps/10000-Q26*a_ExitFeePct</f>
        <v>3281501.4968615193</v>
      </c>
      <c r="V26" s="106">
        <f>IFERROR(IRR(X26:AI26),"")</f>
        <v>0.0753846032317558</v>
      </c>
      <c r="W26" s="87">
        <f>SUMIF(Y26:AI26,"&gt;0")/(N26-SUMIF(Y26:AI26,"&lt;0"))</f>
        <v>1.475153649480733</v>
      </c>
      <c r="X26" s="28">
        <f>-N26</f>
        <v>-4193158.2227871567</v>
      </c>
      <c r="Y26" s="28">
        <f>IF(1&lt;=in_HoldYears,'Cash Flow'!E54-((12-(MAX(0,12*1-ROUND(in_IOYears*12,0))-MAX(0,12*(1-1)-ROUND(in_IOYears*12,0))))*M26*J26+(MAX(0,12*1-ROUND(in_IOYears*12,0))-MAX(0,12*(1-1)-ROUND(in_IOYears*12,0)))*O26)+'Cash Flow'!E61+IF(1=in_HoldYears,U26,0),0)</f>
        <v>477959.0052136599</v>
      </c>
      <c r="Z26" s="28">
        <f>IF(2&lt;=in_HoldYears,'Cash Flow'!F54-((12-(MAX(0,12*2-ROUND(in_IOYears*12,0))-MAX(0,12*(2-1)-ROUND(in_IOYears*12,0))))*M26*J26+(MAX(0,12*2-ROUND(in_IOYears*12,0))-MAX(0,12*(2-1)-ROUND(in_IOYears*12,0)))*O26)+'Cash Flow'!F61+IF(2=in_HoldYears,U26,0),0)</f>
        <v>462320.618688903</v>
      </c>
      <c r="AA26" s="28">
        <f>IF(3&lt;=in_HoldYears,'Cash Flow'!G54-((12-(MAX(0,12*3-ROUND(in_IOYears*12,0))-MAX(0,12*(3-1)-ROUND(in_IOYears*12,0))))*M26*J26+(MAX(0,12*3-ROUND(in_IOYears*12,0))-MAX(0,12*(3-1)-ROUND(in_IOYears*12,0)))*O26)+'Cash Flow'!G61+IF(3=in_HoldYears,U26,0),0)</f>
        <v>445669.7873564165</v>
      </c>
      <c r="AB26" s="28">
        <f>IF(4&lt;=in_HoldYears,'Cash Flow'!H54-((12-(MAX(0,12*4-ROUND(in_IOYears*12,0))-MAX(0,12*(4-1)-ROUND(in_IOYears*12,0))))*M26*J26+(MAX(0,12*4-ROUND(in_IOYears*12,0))-MAX(0,12*(4-1)-ROUND(in_IOYears*12,0)))*O26)+'Cash Flow'!H61+IF(4=in_HoldYears,U26,0),0)</f>
        <v>413300.6906891185</v>
      </c>
      <c r="AC26" s="28">
        <f>IF(5&lt;=in_HoldYears,'Cash Flow'!I54-((12-(MAX(0,12*5-ROUND(in_IOYears*12,0))-MAX(0,12*(5-1)-ROUND(in_IOYears*12,0))))*M26*J26+(MAX(0,12*5-ROUND(in_IOYears*12,0))-MAX(0,12*(5-1)-ROUND(in_IOYears*12,0)))*O26)+'Cash Flow'!I61+IF(5=in_HoldYears,U26,0),0)</f>
        <v>305405.40716013237</v>
      </c>
      <c r="AD26" s="28">
        <f>IF(6&lt;=in_HoldYears,'Cash Flow'!J54-((12-(MAX(0,12*6-ROUND(in_IOYears*12,0))-MAX(0,12*(6-1)-ROUND(in_IOYears*12,0))))*M26*J26+(MAX(0,12*6-ROUND(in_IOYears*12,0))-MAX(0,12*(6-1)-ROUND(in_IOYears*12,0)))*O26)+'Cash Flow'!J61+IF(6=in_HoldYears,U26,0),0)</f>
        <v>343038.4902091374</v>
      </c>
      <c r="AE26" s="28">
        <f>IF(7&lt;=in_HoldYears,'Cash Flow'!K54-((12-(MAX(0,12*7-ROUND(in_IOYears*12,0))-MAX(0,12*(7-1)-ROUND(in_IOYears*12,0))))*M26*J26+(MAX(0,12*7-ROUND(in_IOYears*12,0))-MAX(0,12*(7-1)-ROUND(in_IOYears*12,0)))*O26)+'Cash Flow'!K61+IF(7=in_HoldYears,U26,0),0)</f>
        <v>3737858.6558772507</v>
      </c>
      <c r="AF26" s="28">
        <f>IF(8&lt;=in_HoldYears,'Cash Flow'!L54-((12-(MAX(0,12*8-ROUND(in_IOYears*12,0))-MAX(0,12*(8-1)-ROUND(in_IOYears*12,0))))*M26*J26+(MAX(0,12*8-ROUND(in_IOYears*12,0))-MAX(0,12*(8-1)-ROUND(in_IOYears*12,0)))*O26)+'Cash Flow'!L61+IF(8=in_HoldYears,U26,0),0)</f>
        <v>0</v>
      </c>
      <c r="AG26" s="28">
        <f>IF(9&lt;=in_HoldYears,'Cash Flow'!M54-((12-(MAX(0,12*9-ROUND(in_IOYears*12,0))-MAX(0,12*(9-1)-ROUND(in_IOYears*12,0))))*M26*J26+(MAX(0,12*9-ROUND(in_IOYears*12,0))-MAX(0,12*(9-1)-ROUND(in_IOYears*12,0)))*O26)+'Cash Flow'!M61+IF(9=in_HoldYears,U26,0),0)</f>
        <v>0</v>
      </c>
      <c r="AH26" s="28">
        <f>IF(10&lt;=in_HoldYears,'Cash Flow'!N54-((12-(MAX(0,12*10-ROUND(in_IOYears*12,0))-MAX(0,12*(10-1)-ROUND(in_IOYears*12,0))))*M26*J26+(MAX(0,12*10-ROUND(in_IOYears*12,0))-MAX(0,12*(10-1)-ROUND(in_IOYears*12,0)))*O26)+'Cash Flow'!N61+IF(10=in_HoldYears,U26,0),0)</f>
        <v>0</v>
      </c>
      <c r="AI26" s="28">
        <f>IF(11&lt;=in_HoldYears,'Cash Flow'!O54-((12-(MAX(0,12*11-ROUND(in_IOYears*12,0))-MAX(0,12*(11-1)-ROUND(in_IOYears*12,0))))*M26*J26+(MAX(0,12*11-ROUND(in_IOYears*12,0))-MAX(0,12*(11-1)-ROUND(in_IOYears*12,0)))*O26)+'Cash Flow'!O61+IF(11=in_HoldYears,U26,0),0)</f>
        <v>0</v>
      </c>
    </row>
    <row r="27">
      <c r="B27" s="25">
        <v>1</v>
      </c>
      <c r="C27" s="25">
        <v>2</v>
      </c>
      <c r="D27" s="25">
        <v>-2</v>
      </c>
      <c r="E27" s="28">
        <f>in_PurchasePrice*(1+(2)*s_PriceStep)</f>
        <v>10305900</v>
      </c>
      <c r="F27" s="88">
        <f>in_ExitCap+(-2)*s_CapStep</f>
        <v>0.0989</v>
      </c>
      <c r="G27" s="88">
        <f>in_InterestRate</f>
        <v>0.067</v>
      </c>
      <c r="H27" s="28">
        <f>E27*in_ClosingCostPct+a_ClosingOther</f>
        <v>154588.5</v>
      </c>
      <c r="I27" s="28">
        <f>E27+H27+a_UpfrontOther+a_LeaseUpReserve</f>
        <v>10512080.272787157</v>
      </c>
      <c r="J27" s="88">
        <f>G27*a_DayFactor/12</f>
        <v>0.005660879629629629</v>
      </c>
      <c r="K27" s="24">
        <f>IF(J27=0,1/(in_AmortYears*12),J27/(1-(1+J27)^(-in_AmortYears*12)))</f>
        <v>0.006514626765893523</v>
      </c>
      <c r="L27" s="24">
        <f>MIN(12,in_IOYears*12)*J27+(12-MIN(12,in_IOYears*12))*K27</f>
        <v>0.07817552119072227</v>
      </c>
      <c r="M27" s="28">
        <f>MAX(0,MIN(I27,IF(a_LoanMode="Fixed amount",a_FixedLoan,IF(a_LoanMode="LTC",I27*a_LTCTarget,IF(a_LoanMode="Lender tests",MIN(E27*a_LTVTarget,IF(AND(a_MinDSCR&gt;0,L27&gt;0),out_NOI_Y1/a_MinDSCR/L27,9E+99),IF(a_MinDY&gt;0,out_NOI_Y1/a_MinDY,9E+99)),E27*a_LTVTarget)))))</f>
        <v>6183540</v>
      </c>
      <c r="N27" s="28">
        <f>I27+M27*a_LoanFeePct+a_IntReserve-M27</f>
        <v>4390375.672787158</v>
      </c>
      <c r="O27" s="28">
        <f>M27*K27</f>
        <v>40283.45519197323</v>
      </c>
      <c r="P27" s="25">
        <f>MAX(0,12*in_HoldYears-ROUND(in_IOYears*12,0))</f>
        <v>84</v>
      </c>
      <c r="Q27" s="28">
        <f>MAX(0,IF(J27=0,M27*(1-P27/(in_AmortYears*12)),M27*((1+J27)^(in_AmortYears*12)-(1+J27)^P27)/((1+J27)^(in_AmortYears*12)-1)))</f>
        <v>5617762.396008401</v>
      </c>
      <c r="R27" s="28">
        <f>IF(Q27&lt;=0,0,IF(a_Prepay="Step-down 5-4-3-2-1",Q27*IF(in_HoldYears&lt;5,CHOOSE(in_HoldYears+1,5,4,3,2,1),0)/100,IF(a_Prepay="Step-down 3-2-1",Q27*IF(in_HoldYears&lt;3,CHOOSE(in_HoldYears+1,3,2,1),0)/100,IF(AND(OR(a_Prepay="Yield maintenance",a_Prepay="Yield maintenance (1% floor)"),a_LoanTerm&gt;in_HoldYears,G27&gt;0,a_IndexRate&gt;0),Q27*MAX(IF(a_Prepay="Yield maintenance",0.5,1),(O27*(1-(1+(a_IndexRate/12))^(-(a_LoanTerm*12-in_HoldYears*12)))/(a_IndexRate/12)+MAX(0,Q27*(1+(G27/12))^(a_LoanTerm*12-in_HoldYears*12)-O27*((1+(G27/12))^(a_LoanTerm*12-in_HoldYears*12)-1)/(G27/12))/(1+(a_IndexRate/12))^(a_LoanTerm*12-in_HoldYears*12)-Q27)/Q27*100+IF(a_Prepay="Yield maintenance",0,1))/100,0))))</f>
        <v>0</v>
      </c>
      <c r="S27" s="28">
        <f>IF(F27&gt;0,out_ExitNOI/F27,0)</f>
        <v>9786265.259330101</v>
      </c>
      <c r="T27" s="28">
        <f>S27*IF(a_SaleCostMode="Market tiers",IF(S27&gt;a_Tier3Over,a_Tier3Pct,IF(S27&gt;a_Tier2Over,a_Tier2Pct,a_Tier1Pct)),a_SaleCostEntered)</f>
        <v>244656.63148325254</v>
      </c>
      <c r="U27" s="28">
        <f>S27-T27-r_LeasingAfterSale-Q27-R27-M27*a_ExtN*a_ExtFeeBps/10000-Q27*a_ExitFeePct</f>
        <v>3902329.4345862856</v>
      </c>
      <c r="V27" s="106">
        <f>IFERROR(IRR(X27:AI27),"")</f>
        <v>0.07810580989307628</v>
      </c>
      <c r="W27" s="87">
        <f>SUMIF(Y27:AI27,"&gt;0")/(N27-SUMIF(Y27:AI27,"&lt;0"))</f>
        <v>1.5152623676298242</v>
      </c>
      <c r="X27" s="28">
        <f>-N27</f>
        <v>-4390375.672787158</v>
      </c>
      <c r="Y27" s="28">
        <f>IF(1&lt;=in_HoldYears,'Cash Flow'!E54-((12-(MAX(0,12*1-ROUND(in_IOYears*12,0))-MAX(0,12*(1-1)-ROUND(in_IOYears*12,0))))*M27*J27+(MAX(0,12*1-ROUND(in_IOYears*12,0))-MAX(0,12*(1-1)-ROUND(in_IOYears*12,0)))*O27)+'Cash Flow'!E61+IF(1=in_HoldYears,U27,0),0)</f>
        <v>455986.21147258364</v>
      </c>
      <c r="Z27" s="28">
        <f>IF(2&lt;=in_HoldYears,'Cash Flow'!F54-((12-(MAX(0,12*2-ROUND(in_IOYears*12,0))-MAX(0,12*(2-1)-ROUND(in_IOYears*12,0))))*M27*J27+(MAX(0,12*2-ROUND(in_IOYears*12,0))-MAX(0,12*(2-1)-ROUND(in_IOYears*12,0)))*O27)+'Cash Flow'!F61+IF(2=in_HoldYears,U27,0),0)</f>
        <v>440347.82494782674</v>
      </c>
      <c r="AA27" s="28">
        <f>IF(3&lt;=in_HoldYears,'Cash Flow'!G54-((12-(MAX(0,12*3-ROUND(in_IOYears*12,0))-MAX(0,12*(3-1)-ROUND(in_IOYears*12,0))))*M27*J27+(MAX(0,12*3-ROUND(in_IOYears*12,0))-MAX(0,12*(3-1)-ROUND(in_IOYears*12,0)))*O27)+'Cash Flow'!G61+IF(3=in_HoldYears,U27,0),0)</f>
        <v>423696.99361534027</v>
      </c>
      <c r="AB27" s="28">
        <f>IF(4&lt;=in_HoldYears,'Cash Flow'!H54-((12-(MAX(0,12*4-ROUND(in_IOYears*12,0))-MAX(0,12*(4-1)-ROUND(in_IOYears*12,0))))*M27*J27+(MAX(0,12*4-ROUND(in_IOYears*12,0))-MAX(0,12*(4-1)-ROUND(in_IOYears*12,0)))*O27)+'Cash Flow'!H61+IF(4=in_HoldYears,U27,0),0)</f>
        <v>391327.89694804227</v>
      </c>
      <c r="AC27" s="28">
        <f>IF(5&lt;=in_HoldYears,'Cash Flow'!I54-((12-(MAX(0,12*5-ROUND(in_IOYears*12,0))-MAX(0,12*(5-1)-ROUND(in_IOYears*12,0))))*M27*J27+(MAX(0,12*5-ROUND(in_IOYears*12,0))-MAX(0,12*(5-1)-ROUND(in_IOYears*12,0)))*O27)+'Cash Flow'!I61+IF(5=in_HoldYears,U27,0),0)</f>
        <v>283432.6134190561</v>
      </c>
      <c r="AD27" s="28">
        <f>IF(6&lt;=in_HoldYears,'Cash Flow'!J54-((12-(MAX(0,12*6-ROUND(in_IOYears*12,0))-MAX(0,12*(6-1)-ROUND(in_IOYears*12,0))))*M27*J27+(MAX(0,12*6-ROUND(in_IOYears*12,0))-MAX(0,12*(6-1)-ROUND(in_IOYears*12,0)))*O27)+'Cash Flow'!J61+IF(6=in_HoldYears,U27,0),0)</f>
        <v>321065.6964680611</v>
      </c>
      <c r="AE27" s="28">
        <f>IF(7&lt;=in_HoldYears,'Cash Flow'!K54-((12-(MAX(0,12*7-ROUND(in_IOYears*12,0))-MAX(0,12*(7-1)-ROUND(in_IOYears*12,0))))*M27*J27+(MAX(0,12*7-ROUND(in_IOYears*12,0))-MAX(0,12*(7-1)-ROUND(in_IOYears*12,0)))*O27)+'Cash Flow'!K61+IF(7=in_HoldYears,U27,0),0)</f>
        <v>4336713.799860941</v>
      </c>
      <c r="AF27" s="28">
        <f>IF(8&lt;=in_HoldYears,'Cash Flow'!L54-((12-(MAX(0,12*8-ROUND(in_IOYears*12,0))-MAX(0,12*(8-1)-ROUND(in_IOYears*12,0))))*M27*J27+(MAX(0,12*8-ROUND(in_IOYears*12,0))-MAX(0,12*(8-1)-ROUND(in_IOYears*12,0)))*O27)+'Cash Flow'!L61+IF(8=in_HoldYears,U27,0),0)</f>
        <v>0</v>
      </c>
      <c r="AG27" s="28">
        <f>IF(9&lt;=in_HoldYears,'Cash Flow'!M54-((12-(MAX(0,12*9-ROUND(in_IOYears*12,0))-MAX(0,12*(9-1)-ROUND(in_IOYears*12,0))))*M27*J27+(MAX(0,12*9-ROUND(in_IOYears*12,0))-MAX(0,12*(9-1)-ROUND(in_IOYears*12,0)))*O27)+'Cash Flow'!M61+IF(9=in_HoldYears,U27,0),0)</f>
        <v>0</v>
      </c>
      <c r="AH27" s="28">
        <f>IF(10&lt;=in_HoldYears,'Cash Flow'!N54-((12-(MAX(0,12*10-ROUND(in_IOYears*12,0))-MAX(0,12*(10-1)-ROUND(in_IOYears*12,0))))*M27*J27+(MAX(0,12*10-ROUND(in_IOYears*12,0))-MAX(0,12*(10-1)-ROUND(in_IOYears*12,0)))*O27)+'Cash Flow'!N61+IF(10=in_HoldYears,U27,0),0)</f>
        <v>0</v>
      </c>
      <c r="AI27" s="28">
        <f>IF(11&lt;=in_HoldYears,'Cash Flow'!O54-((12-(MAX(0,12*11-ROUND(in_IOYears*12,0))-MAX(0,12*(11-1)-ROUND(in_IOYears*12,0))))*M27*J27+(MAX(0,12*11-ROUND(in_IOYears*12,0))-MAX(0,12*(11-1)-ROUND(in_IOYears*12,0)))*O27)+'Cash Flow'!O61+IF(11=in_HoldYears,U27,0),0)</f>
        <v>0</v>
      </c>
    </row>
    <row r="28">
      <c r="B28" s="25">
        <v>1</v>
      </c>
      <c r="C28" s="25">
        <v>2</v>
      </c>
      <c r="D28" s="25">
        <v>-1</v>
      </c>
      <c r="E28" s="28">
        <f>in_PurchasePrice*(1+(2)*s_PriceStep)</f>
        <v>10305900</v>
      </c>
      <c r="F28" s="88">
        <f>in_ExitCap+(-1)*s_CapStep</f>
        <v>0.1014</v>
      </c>
      <c r="G28" s="88">
        <f>in_InterestRate</f>
        <v>0.067</v>
      </c>
      <c r="H28" s="28">
        <f>E28*in_ClosingCostPct+a_ClosingOther</f>
        <v>154588.5</v>
      </c>
      <c r="I28" s="28">
        <f>E28+H28+a_UpfrontOther+a_LeaseUpReserve</f>
        <v>10512080.272787157</v>
      </c>
      <c r="J28" s="88">
        <f>G28*a_DayFactor/12</f>
        <v>0.005660879629629629</v>
      </c>
      <c r="K28" s="24">
        <f>IF(J28=0,1/(in_AmortYears*12),J28/(1-(1+J28)^(-in_AmortYears*12)))</f>
        <v>0.006514626765893523</v>
      </c>
      <c r="L28" s="24">
        <f>MIN(12,in_IOYears*12)*J28+(12-MIN(12,in_IOYears*12))*K28</f>
        <v>0.07817552119072227</v>
      </c>
      <c r="M28" s="28">
        <f>MAX(0,MIN(I28,IF(a_LoanMode="Fixed amount",a_FixedLoan,IF(a_LoanMode="LTC",I28*a_LTCTarget,IF(a_LoanMode="Lender tests",MIN(E28*a_LTVTarget,IF(AND(a_MinDSCR&gt;0,L28&gt;0),out_NOI_Y1/a_MinDSCR/L28,9E+99),IF(a_MinDY&gt;0,out_NOI_Y1/a_MinDY,9E+99)),E28*a_LTVTarget)))))</f>
        <v>6183540</v>
      </c>
      <c r="N28" s="28">
        <f>I28+M28*a_LoanFeePct+a_IntReserve-M28</f>
        <v>4390375.672787158</v>
      </c>
      <c r="O28" s="28">
        <f>M28*K28</f>
        <v>40283.45519197323</v>
      </c>
      <c r="P28" s="25">
        <f>MAX(0,12*in_HoldYears-ROUND(in_IOYears*12,0))</f>
        <v>84</v>
      </c>
      <c r="Q28" s="28">
        <f>MAX(0,IF(J28=0,M28*(1-P28/(in_AmortYears*12)),M28*((1+J28)^(in_AmortYears*12)-(1+J28)^P28)/((1+J28)^(in_AmortYears*12)-1)))</f>
        <v>5617762.396008401</v>
      </c>
      <c r="R28" s="28">
        <f>IF(Q28&lt;=0,0,IF(a_Prepay="Step-down 5-4-3-2-1",Q28*IF(in_HoldYears&lt;5,CHOOSE(in_HoldYears+1,5,4,3,2,1),0)/100,IF(a_Prepay="Step-down 3-2-1",Q28*IF(in_HoldYears&lt;3,CHOOSE(in_HoldYears+1,3,2,1),0)/100,IF(AND(OR(a_Prepay="Yield maintenance",a_Prepay="Yield maintenance (1% floor)"),a_LoanTerm&gt;in_HoldYears,G28&gt;0,a_IndexRate&gt;0),Q28*MAX(IF(a_Prepay="Yield maintenance",0.5,1),(O28*(1-(1+(a_IndexRate/12))^(-(a_LoanTerm*12-in_HoldYears*12)))/(a_IndexRate/12)+MAX(0,Q28*(1+(G28/12))^(a_LoanTerm*12-in_HoldYears*12)-O28*((1+(G28/12))^(a_LoanTerm*12-in_HoldYears*12)-1)/(G28/12))/(1+(a_IndexRate/12))^(a_LoanTerm*12-in_HoldYears*12)-Q28)/Q28*100+IF(a_Prepay="Yield maintenance",0,1))/100,0))))</f>
        <v>0</v>
      </c>
      <c r="S28" s="28">
        <f>IF(F28&gt;0,out_ExitNOI/F28,0)</f>
        <v>9544986.530056676</v>
      </c>
      <c r="T28" s="28">
        <f>S28*IF(a_SaleCostMode="Market tiers",IF(S28&gt;a_Tier3Over,a_Tier3Pct,IF(S28&gt;a_Tier2Over,a_Tier2Pct,a_Tier1Pct)),a_SaleCostEntered)</f>
        <v>238624.6632514169</v>
      </c>
      <c r="U28" s="28">
        <f>S28-T28-r_LeasingAfterSale-Q28-R28-M28*a_ExtN*a_ExtFeeBps/10000-Q28*a_ExitFeePct</f>
        <v>3667082.6735446965</v>
      </c>
      <c r="V28" s="106">
        <f>IFERROR(IRR(X28:AI28),"")</f>
        <v>0.07159599566479294</v>
      </c>
      <c r="W28" s="87">
        <f>SUMIF(Y28:AI28,"&gt;0")/(N28-SUMIF(Y28:AI28,"&lt;0"))</f>
        <v>1.461679991410924</v>
      </c>
      <c r="X28" s="28">
        <f>-N28</f>
        <v>-4390375.672787158</v>
      </c>
      <c r="Y28" s="28">
        <f>IF(1&lt;=in_HoldYears,'Cash Flow'!E54-((12-(MAX(0,12*1-ROUND(in_IOYears*12,0))-MAX(0,12*(1-1)-ROUND(in_IOYears*12,0))))*M28*J28+(MAX(0,12*1-ROUND(in_IOYears*12,0))-MAX(0,12*(1-1)-ROUND(in_IOYears*12,0)))*O28)+'Cash Flow'!E61+IF(1=in_HoldYears,U28,0),0)</f>
        <v>455986.21147258364</v>
      </c>
      <c r="Z28" s="28">
        <f>IF(2&lt;=in_HoldYears,'Cash Flow'!F54-((12-(MAX(0,12*2-ROUND(in_IOYears*12,0))-MAX(0,12*(2-1)-ROUND(in_IOYears*12,0))))*M28*J28+(MAX(0,12*2-ROUND(in_IOYears*12,0))-MAX(0,12*(2-1)-ROUND(in_IOYears*12,0)))*O28)+'Cash Flow'!F61+IF(2=in_HoldYears,U28,0),0)</f>
        <v>440347.82494782674</v>
      </c>
      <c r="AA28" s="28">
        <f>IF(3&lt;=in_HoldYears,'Cash Flow'!G54-((12-(MAX(0,12*3-ROUND(in_IOYears*12,0))-MAX(0,12*(3-1)-ROUND(in_IOYears*12,0))))*M28*J28+(MAX(0,12*3-ROUND(in_IOYears*12,0))-MAX(0,12*(3-1)-ROUND(in_IOYears*12,0)))*O28)+'Cash Flow'!G61+IF(3=in_HoldYears,U28,0),0)</f>
        <v>423696.99361534027</v>
      </c>
      <c r="AB28" s="28">
        <f>IF(4&lt;=in_HoldYears,'Cash Flow'!H54-((12-(MAX(0,12*4-ROUND(in_IOYears*12,0))-MAX(0,12*(4-1)-ROUND(in_IOYears*12,0))))*M28*J28+(MAX(0,12*4-ROUND(in_IOYears*12,0))-MAX(0,12*(4-1)-ROUND(in_IOYears*12,0)))*O28)+'Cash Flow'!H61+IF(4=in_HoldYears,U28,0),0)</f>
        <v>391327.89694804227</v>
      </c>
      <c r="AC28" s="28">
        <f>IF(5&lt;=in_HoldYears,'Cash Flow'!I54-((12-(MAX(0,12*5-ROUND(in_IOYears*12,0))-MAX(0,12*(5-1)-ROUND(in_IOYears*12,0))))*M28*J28+(MAX(0,12*5-ROUND(in_IOYears*12,0))-MAX(0,12*(5-1)-ROUND(in_IOYears*12,0)))*O28)+'Cash Flow'!I61+IF(5=in_HoldYears,U28,0),0)</f>
        <v>283432.6134190561</v>
      </c>
      <c r="AD28" s="28">
        <f>IF(6&lt;=in_HoldYears,'Cash Flow'!J54-((12-(MAX(0,12*6-ROUND(in_IOYears*12,0))-MAX(0,12*(6-1)-ROUND(in_IOYears*12,0))))*M28*J28+(MAX(0,12*6-ROUND(in_IOYears*12,0))-MAX(0,12*(6-1)-ROUND(in_IOYears*12,0)))*O28)+'Cash Flow'!J61+IF(6=in_HoldYears,U28,0),0)</f>
        <v>321065.6964680611</v>
      </c>
      <c r="AE28" s="28">
        <f>IF(7&lt;=in_HoldYears,'Cash Flow'!K54-((12-(MAX(0,12*7-ROUND(in_IOYears*12,0))-MAX(0,12*(7-1)-ROUND(in_IOYears*12,0))))*M28*J28+(MAX(0,12*7-ROUND(in_IOYears*12,0))-MAX(0,12*(7-1)-ROUND(in_IOYears*12,0)))*O28)+'Cash Flow'!K61+IF(7=in_HoldYears,U28,0),0)</f>
        <v>4101467.0388193517</v>
      </c>
      <c r="AF28" s="28">
        <f>IF(8&lt;=in_HoldYears,'Cash Flow'!L54-((12-(MAX(0,12*8-ROUND(in_IOYears*12,0))-MAX(0,12*(8-1)-ROUND(in_IOYears*12,0))))*M28*J28+(MAX(0,12*8-ROUND(in_IOYears*12,0))-MAX(0,12*(8-1)-ROUND(in_IOYears*12,0)))*O28)+'Cash Flow'!L61+IF(8=in_HoldYears,U28,0),0)</f>
        <v>0</v>
      </c>
      <c r="AG28" s="28">
        <f>IF(9&lt;=in_HoldYears,'Cash Flow'!M54-((12-(MAX(0,12*9-ROUND(in_IOYears*12,0))-MAX(0,12*(9-1)-ROUND(in_IOYears*12,0))))*M28*J28+(MAX(0,12*9-ROUND(in_IOYears*12,0))-MAX(0,12*(9-1)-ROUND(in_IOYears*12,0)))*O28)+'Cash Flow'!M61+IF(9=in_HoldYears,U28,0),0)</f>
        <v>0</v>
      </c>
      <c r="AH28" s="28">
        <f>IF(10&lt;=in_HoldYears,'Cash Flow'!N54-((12-(MAX(0,12*10-ROUND(in_IOYears*12,0))-MAX(0,12*(10-1)-ROUND(in_IOYears*12,0))))*M28*J28+(MAX(0,12*10-ROUND(in_IOYears*12,0))-MAX(0,12*(10-1)-ROUND(in_IOYears*12,0)))*O28)+'Cash Flow'!N61+IF(10=in_HoldYears,U28,0),0)</f>
        <v>0</v>
      </c>
      <c r="AI28" s="28">
        <f>IF(11&lt;=in_HoldYears,'Cash Flow'!O54-((12-(MAX(0,12*11-ROUND(in_IOYears*12,0))-MAX(0,12*(11-1)-ROUND(in_IOYears*12,0))))*M28*J28+(MAX(0,12*11-ROUND(in_IOYears*12,0))-MAX(0,12*(11-1)-ROUND(in_IOYears*12,0)))*O28)+'Cash Flow'!O61+IF(11=in_HoldYears,U28,0),0)</f>
        <v>0</v>
      </c>
    </row>
    <row r="29">
      <c r="B29" s="25">
        <v>1</v>
      </c>
      <c r="C29" s="25">
        <v>2</v>
      </c>
      <c r="D29" s="25">
        <v>0</v>
      </c>
      <c r="E29" s="28">
        <f>in_PurchasePrice*(1+(2)*s_PriceStep)</f>
        <v>10305900</v>
      </c>
      <c r="F29" s="88">
        <f>in_ExitCap+(0)*s_CapStep</f>
        <v>0.1039</v>
      </c>
      <c r="G29" s="88">
        <f>in_InterestRate</f>
        <v>0.067</v>
      </c>
      <c r="H29" s="28">
        <f>E29*in_ClosingCostPct+a_ClosingOther</f>
        <v>154588.5</v>
      </c>
      <c r="I29" s="28">
        <f>E29+H29+a_UpfrontOther+a_LeaseUpReserve</f>
        <v>10512080.272787157</v>
      </c>
      <c r="J29" s="88">
        <f>G29*a_DayFactor/12</f>
        <v>0.005660879629629629</v>
      </c>
      <c r="K29" s="24">
        <f>IF(J29=0,1/(in_AmortYears*12),J29/(1-(1+J29)^(-in_AmortYears*12)))</f>
        <v>0.006514626765893523</v>
      </c>
      <c r="L29" s="24">
        <f>MIN(12,in_IOYears*12)*J29+(12-MIN(12,in_IOYears*12))*K29</f>
        <v>0.07817552119072227</v>
      </c>
      <c r="M29" s="28">
        <f>MAX(0,MIN(I29,IF(a_LoanMode="Fixed amount",a_FixedLoan,IF(a_LoanMode="LTC",I29*a_LTCTarget,IF(a_LoanMode="Lender tests",MIN(E29*a_LTVTarget,IF(AND(a_MinDSCR&gt;0,L29&gt;0),out_NOI_Y1/a_MinDSCR/L29,9E+99),IF(a_MinDY&gt;0,out_NOI_Y1/a_MinDY,9E+99)),E29*a_LTVTarget)))))</f>
        <v>6183540</v>
      </c>
      <c r="N29" s="28">
        <f>I29+M29*a_LoanFeePct+a_IntReserve-M29</f>
        <v>4390375.672787158</v>
      </c>
      <c r="O29" s="28">
        <f>M29*K29</f>
        <v>40283.45519197323</v>
      </c>
      <c r="P29" s="25">
        <f>MAX(0,12*in_HoldYears-ROUND(in_IOYears*12,0))</f>
        <v>84</v>
      </c>
      <c r="Q29" s="28">
        <f>MAX(0,IF(J29=0,M29*(1-P29/(in_AmortYears*12)),M29*((1+J29)^(in_AmortYears*12)-(1+J29)^P29)/((1+J29)^(in_AmortYears*12)-1)))</f>
        <v>5617762.396008401</v>
      </c>
      <c r="R29" s="28">
        <f>IF(Q29&lt;=0,0,IF(a_Prepay="Step-down 5-4-3-2-1",Q29*IF(in_HoldYears&lt;5,CHOOSE(in_HoldYears+1,5,4,3,2,1),0)/100,IF(a_Prepay="Step-down 3-2-1",Q29*IF(in_HoldYears&lt;3,CHOOSE(in_HoldYears+1,3,2,1),0)/100,IF(AND(OR(a_Prepay="Yield maintenance",a_Prepay="Yield maintenance (1% floor)"),a_LoanTerm&gt;in_HoldYears,G29&gt;0,a_IndexRate&gt;0),Q29*MAX(IF(a_Prepay="Yield maintenance",0.5,1),(O29*(1-(1+(a_IndexRate/12))^(-(a_LoanTerm*12-in_HoldYears*12)))/(a_IndexRate/12)+MAX(0,Q29*(1+(G29/12))^(a_LoanTerm*12-in_HoldYears*12)-O29*((1+(G29/12))^(a_LoanTerm*12-in_HoldYears*12)-1)/(G29/12))/(1+(a_IndexRate/12))^(a_LoanTerm*12-in_HoldYears*12)-Q29)/Q29*100+IF(a_Prepay="Yield maintenance",0,1))/100,0))))</f>
        <v>0</v>
      </c>
      <c r="S29" s="28">
        <f>IF(F29&gt;0,out_ExitNOI/F29,0)</f>
        <v>9315318.904213157</v>
      </c>
      <c r="T29" s="28">
        <f>S29*IF(a_SaleCostMode="Market tiers",IF(S29&gt;a_Tier3Over,a_Tier3Pct,IF(S29&gt;a_Tier2Over,a_Tier2Pct,a_Tier1Pct)),a_SaleCostEntered)</f>
        <v>232882.97260532892</v>
      </c>
      <c r="U29" s="28">
        <f>S29-T29-r_LeasingAfterSale-Q29-R29-M29*a_ExtN*a_ExtFeeBps/10000-Q29*a_ExitFeePct</f>
        <v>3443156.738347265</v>
      </c>
      <c r="V29" s="106">
        <f>IFERROR(IRR(X29:AI29),"")</f>
        <v>0.0651415038337425</v>
      </c>
      <c r="W29" s="87">
        <f>SUMIF(Y29:AI29,"&gt;0")/(N29-SUMIF(Y29:AI29,"&lt;0"))</f>
        <v>1.4106761703517396</v>
      </c>
      <c r="X29" s="28">
        <f>-N29</f>
        <v>-4390375.672787158</v>
      </c>
      <c r="Y29" s="28">
        <f>IF(1&lt;=in_HoldYears,'Cash Flow'!E54-((12-(MAX(0,12*1-ROUND(in_IOYears*12,0))-MAX(0,12*(1-1)-ROUND(in_IOYears*12,0))))*M29*J29+(MAX(0,12*1-ROUND(in_IOYears*12,0))-MAX(0,12*(1-1)-ROUND(in_IOYears*12,0)))*O29)+'Cash Flow'!E61+IF(1=in_HoldYears,U29,0),0)</f>
        <v>455986.21147258364</v>
      </c>
      <c r="Z29" s="28">
        <f>IF(2&lt;=in_HoldYears,'Cash Flow'!F54-((12-(MAX(0,12*2-ROUND(in_IOYears*12,0))-MAX(0,12*(2-1)-ROUND(in_IOYears*12,0))))*M29*J29+(MAX(0,12*2-ROUND(in_IOYears*12,0))-MAX(0,12*(2-1)-ROUND(in_IOYears*12,0)))*O29)+'Cash Flow'!F61+IF(2=in_HoldYears,U29,0),0)</f>
        <v>440347.82494782674</v>
      </c>
      <c r="AA29" s="28">
        <f>IF(3&lt;=in_HoldYears,'Cash Flow'!G54-((12-(MAX(0,12*3-ROUND(in_IOYears*12,0))-MAX(0,12*(3-1)-ROUND(in_IOYears*12,0))))*M29*J29+(MAX(0,12*3-ROUND(in_IOYears*12,0))-MAX(0,12*(3-1)-ROUND(in_IOYears*12,0)))*O29)+'Cash Flow'!G61+IF(3=in_HoldYears,U29,0),0)</f>
        <v>423696.99361534027</v>
      </c>
      <c r="AB29" s="28">
        <f>IF(4&lt;=in_HoldYears,'Cash Flow'!H54-((12-(MAX(0,12*4-ROUND(in_IOYears*12,0))-MAX(0,12*(4-1)-ROUND(in_IOYears*12,0))))*M29*J29+(MAX(0,12*4-ROUND(in_IOYears*12,0))-MAX(0,12*(4-1)-ROUND(in_IOYears*12,0)))*O29)+'Cash Flow'!H61+IF(4=in_HoldYears,U29,0),0)</f>
        <v>391327.89694804227</v>
      </c>
      <c r="AC29" s="28">
        <f>IF(5&lt;=in_HoldYears,'Cash Flow'!I54-((12-(MAX(0,12*5-ROUND(in_IOYears*12,0))-MAX(0,12*(5-1)-ROUND(in_IOYears*12,0))))*M29*J29+(MAX(0,12*5-ROUND(in_IOYears*12,0))-MAX(0,12*(5-1)-ROUND(in_IOYears*12,0)))*O29)+'Cash Flow'!I61+IF(5=in_HoldYears,U29,0),0)</f>
        <v>283432.6134190561</v>
      </c>
      <c r="AD29" s="28">
        <f>IF(6&lt;=in_HoldYears,'Cash Flow'!J54-((12-(MAX(0,12*6-ROUND(in_IOYears*12,0))-MAX(0,12*(6-1)-ROUND(in_IOYears*12,0))))*M29*J29+(MAX(0,12*6-ROUND(in_IOYears*12,0))-MAX(0,12*(6-1)-ROUND(in_IOYears*12,0)))*O29)+'Cash Flow'!J61+IF(6=in_HoldYears,U29,0),0)</f>
        <v>321065.6964680611</v>
      </c>
      <c r="AE29" s="28">
        <f>IF(7&lt;=in_HoldYears,'Cash Flow'!K54-((12-(MAX(0,12*7-ROUND(in_IOYears*12,0))-MAX(0,12*(7-1)-ROUND(in_IOYears*12,0))))*M29*J29+(MAX(0,12*7-ROUND(in_IOYears*12,0))-MAX(0,12*(7-1)-ROUND(in_IOYears*12,0)))*O29)+'Cash Flow'!K61+IF(7=in_HoldYears,U29,0),0)</f>
        <v>3877541.10362192</v>
      </c>
      <c r="AF29" s="28">
        <f>IF(8&lt;=in_HoldYears,'Cash Flow'!L54-((12-(MAX(0,12*8-ROUND(in_IOYears*12,0))-MAX(0,12*(8-1)-ROUND(in_IOYears*12,0))))*M29*J29+(MAX(0,12*8-ROUND(in_IOYears*12,0))-MAX(0,12*(8-1)-ROUND(in_IOYears*12,0)))*O29)+'Cash Flow'!L61+IF(8=in_HoldYears,U29,0),0)</f>
        <v>0</v>
      </c>
      <c r="AG29" s="28">
        <f>IF(9&lt;=in_HoldYears,'Cash Flow'!M54-((12-(MAX(0,12*9-ROUND(in_IOYears*12,0))-MAX(0,12*(9-1)-ROUND(in_IOYears*12,0))))*M29*J29+(MAX(0,12*9-ROUND(in_IOYears*12,0))-MAX(0,12*(9-1)-ROUND(in_IOYears*12,0)))*O29)+'Cash Flow'!M61+IF(9=in_HoldYears,U29,0),0)</f>
        <v>0</v>
      </c>
      <c r="AH29" s="28">
        <f>IF(10&lt;=in_HoldYears,'Cash Flow'!N54-((12-(MAX(0,12*10-ROUND(in_IOYears*12,0))-MAX(0,12*(10-1)-ROUND(in_IOYears*12,0))))*M29*J29+(MAX(0,12*10-ROUND(in_IOYears*12,0))-MAX(0,12*(10-1)-ROUND(in_IOYears*12,0)))*O29)+'Cash Flow'!N61+IF(10=in_HoldYears,U29,0),0)</f>
        <v>0</v>
      </c>
      <c r="AI29" s="28">
        <f>IF(11&lt;=in_HoldYears,'Cash Flow'!O54-((12-(MAX(0,12*11-ROUND(in_IOYears*12,0))-MAX(0,12*(11-1)-ROUND(in_IOYears*12,0))))*M29*J29+(MAX(0,12*11-ROUND(in_IOYears*12,0))-MAX(0,12*(11-1)-ROUND(in_IOYears*12,0)))*O29)+'Cash Flow'!O61+IF(11=in_HoldYears,U29,0),0)</f>
        <v>0</v>
      </c>
    </row>
    <row r="30">
      <c r="B30" s="25">
        <v>1</v>
      </c>
      <c r="C30" s="25">
        <v>2</v>
      </c>
      <c r="D30" s="25">
        <v>1</v>
      </c>
      <c r="E30" s="28">
        <f>in_PurchasePrice*(1+(2)*s_PriceStep)</f>
        <v>10305900</v>
      </c>
      <c r="F30" s="88">
        <f>in_ExitCap+(1)*s_CapStep</f>
        <v>0.10640000000000001</v>
      </c>
      <c r="G30" s="88">
        <f>in_InterestRate</f>
        <v>0.067</v>
      </c>
      <c r="H30" s="28">
        <f>E30*in_ClosingCostPct+a_ClosingOther</f>
        <v>154588.5</v>
      </c>
      <c r="I30" s="28">
        <f>E30+H30+a_UpfrontOther+a_LeaseUpReserve</f>
        <v>10512080.272787157</v>
      </c>
      <c r="J30" s="88">
        <f>G30*a_DayFactor/12</f>
        <v>0.005660879629629629</v>
      </c>
      <c r="K30" s="24">
        <f>IF(J30=0,1/(in_AmortYears*12),J30/(1-(1+J30)^(-in_AmortYears*12)))</f>
        <v>0.006514626765893523</v>
      </c>
      <c r="L30" s="24">
        <f>MIN(12,in_IOYears*12)*J30+(12-MIN(12,in_IOYears*12))*K30</f>
        <v>0.07817552119072227</v>
      </c>
      <c r="M30" s="28">
        <f>MAX(0,MIN(I30,IF(a_LoanMode="Fixed amount",a_FixedLoan,IF(a_LoanMode="LTC",I30*a_LTCTarget,IF(a_LoanMode="Lender tests",MIN(E30*a_LTVTarget,IF(AND(a_MinDSCR&gt;0,L30&gt;0),out_NOI_Y1/a_MinDSCR/L30,9E+99),IF(a_MinDY&gt;0,out_NOI_Y1/a_MinDY,9E+99)),E30*a_LTVTarget)))))</f>
        <v>6183540</v>
      </c>
      <c r="N30" s="28">
        <f>I30+M30*a_LoanFeePct+a_IntReserve-M30</f>
        <v>4390375.672787158</v>
      </c>
      <c r="O30" s="28">
        <f>M30*K30</f>
        <v>40283.45519197323</v>
      </c>
      <c r="P30" s="25">
        <f>MAX(0,12*in_HoldYears-ROUND(in_IOYears*12,0))</f>
        <v>84</v>
      </c>
      <c r="Q30" s="28">
        <f>MAX(0,IF(J30=0,M30*(1-P30/(in_AmortYears*12)),M30*((1+J30)^(in_AmortYears*12)-(1+J30)^P30)/((1+J30)^(in_AmortYears*12)-1)))</f>
        <v>5617762.396008401</v>
      </c>
      <c r="R30" s="28">
        <f>IF(Q30&lt;=0,0,IF(a_Prepay="Step-down 5-4-3-2-1",Q30*IF(in_HoldYears&lt;5,CHOOSE(in_HoldYears+1,5,4,3,2,1),0)/100,IF(a_Prepay="Step-down 3-2-1",Q30*IF(in_HoldYears&lt;3,CHOOSE(in_HoldYears+1,3,2,1),0)/100,IF(AND(OR(a_Prepay="Yield maintenance",a_Prepay="Yield maintenance (1% floor)"),a_LoanTerm&gt;in_HoldYears,G30&gt;0,a_IndexRate&gt;0),Q30*MAX(IF(a_Prepay="Yield maintenance",0.5,1),(O30*(1-(1+(a_IndexRate/12))^(-(a_LoanTerm*12-in_HoldYears*12)))/(a_IndexRate/12)+MAX(0,Q30*(1+(G30/12))^(a_LoanTerm*12-in_HoldYears*12)-O30*((1+(G30/12))^(a_LoanTerm*12-in_HoldYears*12)-1)/(G30/12))/(1+(a_IndexRate/12))^(a_LoanTerm*12-in_HoldYears*12)-Q30)/Q30*100+IF(a_Prepay="Yield maintenance",0,1))/100,0))))</f>
        <v>0</v>
      </c>
      <c r="S30" s="28">
        <f>IF(F30&gt;0,out_ExitNOI/F30,0)</f>
        <v>9096443.929960027</v>
      </c>
      <c r="T30" s="28">
        <f>S30*IF(a_SaleCostMode="Market tiers",IF(S30&gt;a_Tier3Over,a_Tier3Pct,IF(S30&gt;a_Tier2Over,a_Tier2Pct,a_Tier1Pct)),a_SaleCostEntered)</f>
        <v>227411.0982490007</v>
      </c>
      <c r="U30" s="28">
        <f>S30-T30-r_LeasingAfterSale-Q30-R30-M30*a_ExtN*a_ExtFeeBps/10000-Q30*a_ExitFeePct</f>
        <v>3229753.6384504633</v>
      </c>
      <c r="V30" s="106">
        <f>IFERROR(IRR(X30:AI30),"")</f>
        <v>0.058734070582672736</v>
      </c>
      <c r="W30" s="87">
        <f>SUMIF(Y30:AI30,"&gt;0")/(N30-SUMIF(Y30:AI30,"&lt;0"))</f>
        <v>1.3620691453949605</v>
      </c>
      <c r="X30" s="28">
        <f>-N30</f>
        <v>-4390375.672787158</v>
      </c>
      <c r="Y30" s="28">
        <f>IF(1&lt;=in_HoldYears,'Cash Flow'!E54-((12-(MAX(0,12*1-ROUND(in_IOYears*12,0))-MAX(0,12*(1-1)-ROUND(in_IOYears*12,0))))*M30*J30+(MAX(0,12*1-ROUND(in_IOYears*12,0))-MAX(0,12*(1-1)-ROUND(in_IOYears*12,0)))*O30)+'Cash Flow'!E61+IF(1=in_HoldYears,U30,0),0)</f>
        <v>455986.21147258364</v>
      </c>
      <c r="Z30" s="28">
        <f>IF(2&lt;=in_HoldYears,'Cash Flow'!F54-((12-(MAX(0,12*2-ROUND(in_IOYears*12,0))-MAX(0,12*(2-1)-ROUND(in_IOYears*12,0))))*M30*J30+(MAX(0,12*2-ROUND(in_IOYears*12,0))-MAX(0,12*(2-1)-ROUND(in_IOYears*12,0)))*O30)+'Cash Flow'!F61+IF(2=in_HoldYears,U30,0),0)</f>
        <v>440347.82494782674</v>
      </c>
      <c r="AA30" s="28">
        <f>IF(3&lt;=in_HoldYears,'Cash Flow'!G54-((12-(MAX(0,12*3-ROUND(in_IOYears*12,0))-MAX(0,12*(3-1)-ROUND(in_IOYears*12,0))))*M30*J30+(MAX(0,12*3-ROUND(in_IOYears*12,0))-MAX(0,12*(3-1)-ROUND(in_IOYears*12,0)))*O30)+'Cash Flow'!G61+IF(3=in_HoldYears,U30,0),0)</f>
        <v>423696.99361534027</v>
      </c>
      <c r="AB30" s="28">
        <f>IF(4&lt;=in_HoldYears,'Cash Flow'!H54-((12-(MAX(0,12*4-ROUND(in_IOYears*12,0))-MAX(0,12*(4-1)-ROUND(in_IOYears*12,0))))*M30*J30+(MAX(0,12*4-ROUND(in_IOYears*12,0))-MAX(0,12*(4-1)-ROUND(in_IOYears*12,0)))*O30)+'Cash Flow'!H61+IF(4=in_HoldYears,U30,0),0)</f>
        <v>391327.89694804227</v>
      </c>
      <c r="AC30" s="28">
        <f>IF(5&lt;=in_HoldYears,'Cash Flow'!I54-((12-(MAX(0,12*5-ROUND(in_IOYears*12,0))-MAX(0,12*(5-1)-ROUND(in_IOYears*12,0))))*M30*J30+(MAX(0,12*5-ROUND(in_IOYears*12,0))-MAX(0,12*(5-1)-ROUND(in_IOYears*12,0)))*O30)+'Cash Flow'!I61+IF(5=in_HoldYears,U30,0),0)</f>
        <v>283432.6134190561</v>
      </c>
      <c r="AD30" s="28">
        <f>IF(6&lt;=in_HoldYears,'Cash Flow'!J54-((12-(MAX(0,12*6-ROUND(in_IOYears*12,0))-MAX(0,12*(6-1)-ROUND(in_IOYears*12,0))))*M30*J30+(MAX(0,12*6-ROUND(in_IOYears*12,0))-MAX(0,12*(6-1)-ROUND(in_IOYears*12,0)))*O30)+'Cash Flow'!J61+IF(6=in_HoldYears,U30,0),0)</f>
        <v>321065.6964680611</v>
      </c>
      <c r="AE30" s="28">
        <f>IF(7&lt;=in_HoldYears,'Cash Flow'!K54-((12-(MAX(0,12*7-ROUND(in_IOYears*12,0))-MAX(0,12*(7-1)-ROUND(in_IOYears*12,0))))*M30*J30+(MAX(0,12*7-ROUND(in_IOYears*12,0))-MAX(0,12*(7-1)-ROUND(in_IOYears*12,0)))*O30)+'Cash Flow'!K61+IF(7=in_HoldYears,U30,0),0)</f>
        <v>3664138.0037251185</v>
      </c>
      <c r="AF30" s="28">
        <f>IF(8&lt;=in_HoldYears,'Cash Flow'!L54-((12-(MAX(0,12*8-ROUND(in_IOYears*12,0))-MAX(0,12*(8-1)-ROUND(in_IOYears*12,0))))*M30*J30+(MAX(0,12*8-ROUND(in_IOYears*12,0))-MAX(0,12*(8-1)-ROUND(in_IOYears*12,0)))*O30)+'Cash Flow'!L61+IF(8=in_HoldYears,U30,0),0)</f>
        <v>0</v>
      </c>
      <c r="AG30" s="28">
        <f>IF(9&lt;=in_HoldYears,'Cash Flow'!M54-((12-(MAX(0,12*9-ROUND(in_IOYears*12,0))-MAX(0,12*(9-1)-ROUND(in_IOYears*12,0))))*M30*J30+(MAX(0,12*9-ROUND(in_IOYears*12,0))-MAX(0,12*(9-1)-ROUND(in_IOYears*12,0)))*O30)+'Cash Flow'!M61+IF(9=in_HoldYears,U30,0),0)</f>
        <v>0</v>
      </c>
      <c r="AH30" s="28">
        <f>IF(10&lt;=in_HoldYears,'Cash Flow'!N54-((12-(MAX(0,12*10-ROUND(in_IOYears*12,0))-MAX(0,12*(10-1)-ROUND(in_IOYears*12,0))))*M30*J30+(MAX(0,12*10-ROUND(in_IOYears*12,0))-MAX(0,12*(10-1)-ROUND(in_IOYears*12,0)))*O30)+'Cash Flow'!N61+IF(10=in_HoldYears,U30,0),0)</f>
        <v>0</v>
      </c>
      <c r="AI30" s="28">
        <f>IF(11&lt;=in_HoldYears,'Cash Flow'!O54-((12-(MAX(0,12*11-ROUND(in_IOYears*12,0))-MAX(0,12*(11-1)-ROUND(in_IOYears*12,0))))*M30*J30+(MAX(0,12*11-ROUND(in_IOYears*12,0))-MAX(0,12*(11-1)-ROUND(in_IOYears*12,0)))*O30)+'Cash Flow'!O61+IF(11=in_HoldYears,U30,0),0)</f>
        <v>0</v>
      </c>
    </row>
    <row r="31">
      <c r="B31" s="25">
        <v>1</v>
      </c>
      <c r="C31" s="25">
        <v>2</v>
      </c>
      <c r="D31" s="25">
        <v>2</v>
      </c>
      <c r="E31" s="28">
        <f>in_PurchasePrice*(1+(2)*s_PriceStep)</f>
        <v>10305900</v>
      </c>
      <c r="F31" s="88">
        <f>in_ExitCap+(2)*s_CapStep</f>
        <v>0.10890000000000001</v>
      </c>
      <c r="G31" s="88">
        <f>in_InterestRate</f>
        <v>0.067</v>
      </c>
      <c r="H31" s="28">
        <f>E31*in_ClosingCostPct+a_ClosingOther</f>
        <v>154588.5</v>
      </c>
      <c r="I31" s="28">
        <f>E31+H31+a_UpfrontOther+a_LeaseUpReserve</f>
        <v>10512080.272787157</v>
      </c>
      <c r="J31" s="88">
        <f>G31*a_DayFactor/12</f>
        <v>0.005660879629629629</v>
      </c>
      <c r="K31" s="24">
        <f>IF(J31=0,1/(in_AmortYears*12),J31/(1-(1+J31)^(-in_AmortYears*12)))</f>
        <v>0.006514626765893523</v>
      </c>
      <c r="L31" s="24">
        <f>MIN(12,in_IOYears*12)*J31+(12-MIN(12,in_IOYears*12))*K31</f>
        <v>0.07817552119072227</v>
      </c>
      <c r="M31" s="28">
        <f>MAX(0,MIN(I31,IF(a_LoanMode="Fixed amount",a_FixedLoan,IF(a_LoanMode="LTC",I31*a_LTCTarget,IF(a_LoanMode="Lender tests",MIN(E31*a_LTVTarget,IF(AND(a_MinDSCR&gt;0,L31&gt;0),out_NOI_Y1/a_MinDSCR/L31,9E+99),IF(a_MinDY&gt;0,out_NOI_Y1/a_MinDY,9E+99)),E31*a_LTVTarget)))))</f>
        <v>6183540</v>
      </c>
      <c r="N31" s="28">
        <f>I31+M31*a_LoanFeePct+a_IntReserve-M31</f>
        <v>4390375.672787158</v>
      </c>
      <c r="O31" s="28">
        <f>M31*K31</f>
        <v>40283.45519197323</v>
      </c>
      <c r="P31" s="25">
        <f>MAX(0,12*in_HoldYears-ROUND(in_IOYears*12,0))</f>
        <v>84</v>
      </c>
      <c r="Q31" s="28">
        <f>MAX(0,IF(J31=0,M31*(1-P31/(in_AmortYears*12)),M31*((1+J31)^(in_AmortYears*12)-(1+J31)^P31)/((1+J31)^(in_AmortYears*12)-1)))</f>
        <v>5617762.396008401</v>
      </c>
      <c r="R31" s="28">
        <f>IF(Q31&lt;=0,0,IF(a_Prepay="Step-down 5-4-3-2-1",Q31*IF(in_HoldYears&lt;5,CHOOSE(in_HoldYears+1,5,4,3,2,1),0)/100,IF(a_Prepay="Step-down 3-2-1",Q31*IF(in_HoldYears&lt;3,CHOOSE(in_HoldYears+1,3,2,1),0)/100,IF(AND(OR(a_Prepay="Yield maintenance",a_Prepay="Yield maintenance (1% floor)"),a_LoanTerm&gt;in_HoldYears,G31&gt;0,a_IndexRate&gt;0),Q31*MAX(IF(a_Prepay="Yield maintenance",0.5,1),(O31*(1-(1+(a_IndexRate/12))^(-(a_LoanTerm*12-in_HoldYears*12)))/(a_IndexRate/12)+MAX(0,Q31*(1+(G31/12))^(a_LoanTerm*12-in_HoldYears*12)-O31*((1+(G31/12))^(a_LoanTerm*12-in_HoldYears*12)-1)/(G31/12))/(1+(a_IndexRate/12))^(a_LoanTerm*12-in_HoldYears*12)-Q31)/Q31*100+IF(a_Prepay="Yield maintenance",0,1))/100,0))))</f>
        <v>0</v>
      </c>
      <c r="S31" s="28">
        <f>IF(F31&gt;0,out_ExitNOI/F31,0)</f>
        <v>8887618.311733212</v>
      </c>
      <c r="T31" s="28">
        <f>S31*IF(a_SaleCostMode="Market tiers",IF(S31&gt;a_Tier3Over,a_Tier3Pct,IF(S31&gt;a_Tier2Over,a_Tier2Pct,a_Tier1Pct)),a_SaleCostEntered)</f>
        <v>222190.4577933303</v>
      </c>
      <c r="U31" s="28">
        <f>S31-T31-r_LeasingAfterSale-Q31-R31-M31*a_ExtN*a_ExtFeeBps/10000-Q31*a_ExitFeePct</f>
        <v>3026148.660679319</v>
      </c>
      <c r="V31" s="106">
        <f>IFERROR(IRR(X31:AI31),"")</f>
        <v>0.05236562839721707</v>
      </c>
      <c r="W31" s="87">
        <f>SUMIF(Y31:AI31,"&gt;0")/(N31-SUMIF(Y31:AI31,"&lt;0"))</f>
        <v>1.3156938479384928</v>
      </c>
      <c r="X31" s="28">
        <f>-N31</f>
        <v>-4390375.672787158</v>
      </c>
      <c r="Y31" s="28">
        <f>IF(1&lt;=in_HoldYears,'Cash Flow'!E54-((12-(MAX(0,12*1-ROUND(in_IOYears*12,0))-MAX(0,12*(1-1)-ROUND(in_IOYears*12,0))))*M31*J31+(MAX(0,12*1-ROUND(in_IOYears*12,0))-MAX(0,12*(1-1)-ROUND(in_IOYears*12,0)))*O31)+'Cash Flow'!E61+IF(1=in_HoldYears,U31,0),0)</f>
        <v>455986.21147258364</v>
      </c>
      <c r="Z31" s="28">
        <f>IF(2&lt;=in_HoldYears,'Cash Flow'!F54-((12-(MAX(0,12*2-ROUND(in_IOYears*12,0))-MAX(0,12*(2-1)-ROUND(in_IOYears*12,0))))*M31*J31+(MAX(0,12*2-ROUND(in_IOYears*12,0))-MAX(0,12*(2-1)-ROUND(in_IOYears*12,0)))*O31)+'Cash Flow'!F61+IF(2=in_HoldYears,U31,0),0)</f>
        <v>440347.82494782674</v>
      </c>
      <c r="AA31" s="28">
        <f>IF(3&lt;=in_HoldYears,'Cash Flow'!G54-((12-(MAX(0,12*3-ROUND(in_IOYears*12,0))-MAX(0,12*(3-1)-ROUND(in_IOYears*12,0))))*M31*J31+(MAX(0,12*3-ROUND(in_IOYears*12,0))-MAX(0,12*(3-1)-ROUND(in_IOYears*12,0)))*O31)+'Cash Flow'!G61+IF(3=in_HoldYears,U31,0),0)</f>
        <v>423696.99361534027</v>
      </c>
      <c r="AB31" s="28">
        <f>IF(4&lt;=in_HoldYears,'Cash Flow'!H54-((12-(MAX(0,12*4-ROUND(in_IOYears*12,0))-MAX(0,12*(4-1)-ROUND(in_IOYears*12,0))))*M31*J31+(MAX(0,12*4-ROUND(in_IOYears*12,0))-MAX(0,12*(4-1)-ROUND(in_IOYears*12,0)))*O31)+'Cash Flow'!H61+IF(4=in_HoldYears,U31,0),0)</f>
        <v>391327.89694804227</v>
      </c>
      <c r="AC31" s="28">
        <f>IF(5&lt;=in_HoldYears,'Cash Flow'!I54-((12-(MAX(0,12*5-ROUND(in_IOYears*12,0))-MAX(0,12*(5-1)-ROUND(in_IOYears*12,0))))*M31*J31+(MAX(0,12*5-ROUND(in_IOYears*12,0))-MAX(0,12*(5-1)-ROUND(in_IOYears*12,0)))*O31)+'Cash Flow'!I61+IF(5=in_HoldYears,U31,0),0)</f>
        <v>283432.6134190561</v>
      </c>
      <c r="AD31" s="28">
        <f>IF(6&lt;=in_HoldYears,'Cash Flow'!J54-((12-(MAX(0,12*6-ROUND(in_IOYears*12,0))-MAX(0,12*(6-1)-ROUND(in_IOYears*12,0))))*M31*J31+(MAX(0,12*6-ROUND(in_IOYears*12,0))-MAX(0,12*(6-1)-ROUND(in_IOYears*12,0)))*O31)+'Cash Flow'!J61+IF(6=in_HoldYears,U31,0),0)</f>
        <v>321065.6964680611</v>
      </c>
      <c r="AE31" s="28">
        <f>IF(7&lt;=in_HoldYears,'Cash Flow'!K54-((12-(MAX(0,12*7-ROUND(in_IOYears*12,0))-MAX(0,12*(7-1)-ROUND(in_IOYears*12,0))))*M31*J31+(MAX(0,12*7-ROUND(in_IOYears*12,0))-MAX(0,12*(7-1)-ROUND(in_IOYears*12,0)))*O31)+'Cash Flow'!K61+IF(7=in_HoldYears,U31,0),0)</f>
        <v>3460533.025953974</v>
      </c>
      <c r="AF31" s="28">
        <f>IF(8&lt;=in_HoldYears,'Cash Flow'!L54-((12-(MAX(0,12*8-ROUND(in_IOYears*12,0))-MAX(0,12*(8-1)-ROUND(in_IOYears*12,0))))*M31*J31+(MAX(0,12*8-ROUND(in_IOYears*12,0))-MAX(0,12*(8-1)-ROUND(in_IOYears*12,0)))*O31)+'Cash Flow'!L61+IF(8=in_HoldYears,U31,0),0)</f>
        <v>0</v>
      </c>
      <c r="AG31" s="28">
        <f>IF(9&lt;=in_HoldYears,'Cash Flow'!M54-((12-(MAX(0,12*9-ROUND(in_IOYears*12,0))-MAX(0,12*(9-1)-ROUND(in_IOYears*12,0))))*M31*J31+(MAX(0,12*9-ROUND(in_IOYears*12,0))-MAX(0,12*(9-1)-ROUND(in_IOYears*12,0)))*O31)+'Cash Flow'!M61+IF(9=in_HoldYears,U31,0),0)</f>
        <v>0</v>
      </c>
      <c r="AH31" s="28">
        <f>IF(10&lt;=in_HoldYears,'Cash Flow'!N54-((12-(MAX(0,12*10-ROUND(in_IOYears*12,0))-MAX(0,12*(10-1)-ROUND(in_IOYears*12,0))))*M31*J31+(MAX(0,12*10-ROUND(in_IOYears*12,0))-MAX(0,12*(10-1)-ROUND(in_IOYears*12,0)))*O31)+'Cash Flow'!N61+IF(10=in_HoldYears,U31,0),0)</f>
        <v>0</v>
      </c>
      <c r="AI31" s="28">
        <f>IF(11&lt;=in_HoldYears,'Cash Flow'!O54-((12-(MAX(0,12*11-ROUND(in_IOYears*12,0))-MAX(0,12*(11-1)-ROUND(in_IOYears*12,0))))*M31*J31+(MAX(0,12*11-ROUND(in_IOYears*12,0))-MAX(0,12*(11-1)-ROUND(in_IOYears*12,0)))*O31)+'Cash Flow'!O61+IF(11=in_HoldYears,U31,0),0)</f>
        <v>0</v>
      </c>
    </row>
    <row r="32">
      <c r="B32" s="25">
        <v>2</v>
      </c>
      <c r="C32" s="25">
        <v>-2</v>
      </c>
      <c r="D32" s="25">
        <v>-2</v>
      </c>
      <c r="E32" s="28">
        <f>in_PurchasePrice</f>
        <v>9369000</v>
      </c>
      <c r="F32" s="88">
        <f>in_ExitCap+(-2)*s_CapStep</f>
        <v>0.0989</v>
      </c>
      <c r="G32" s="88">
        <f>in_InterestRate+(-2)*s_RateStep</f>
        <v>0.057</v>
      </c>
      <c r="H32" s="28">
        <f>E32*in_ClosingCostPct+a_ClosingOther</f>
        <v>140535</v>
      </c>
      <c r="I32" s="28">
        <f>E32+H32+a_UpfrontOther+a_LeaseUpReserve</f>
        <v>9561126.772787157</v>
      </c>
      <c r="J32" s="88">
        <f>G32*a_DayFactor/12</f>
        <v>0.004815972222222222</v>
      </c>
      <c r="K32" s="24">
        <f>IF(J32=0,1/(in_AmortYears*12),J32/(1-(1+J32)^(-in_AmortYears*12)))</f>
        <v>0.005854270226718756</v>
      </c>
      <c r="L32" s="24">
        <f>MIN(12,in_IOYears*12)*J32+(12-MIN(12,in_IOYears*12))*K32</f>
        <v>0.07025124272062507</v>
      </c>
      <c r="M32" s="28">
        <f>MAX(0,MIN(I32,IF(a_LoanMode="Fixed amount",a_FixedLoan,IF(a_LoanMode="LTC",I32*a_LTCTarget,IF(a_LoanMode="Lender tests",MIN(E32*a_LTVTarget,IF(AND(a_MinDSCR&gt;0,L32&gt;0),out_NOI_Y1/a_MinDSCR/L32,9E+99),IF(a_MinDY&gt;0,out_NOI_Y1/a_MinDY,9E+99)),E32*a_LTVTarget)))))</f>
        <v>5621400</v>
      </c>
      <c r="N32" s="28">
        <f>I32+M32*a_LoanFeePct+a_IntReserve-M32</f>
        <v>3995940.7727871574</v>
      </c>
      <c r="O32" s="28">
        <f>M32*K32</f>
        <v>32909.194652476814</v>
      </c>
      <c r="P32" s="25">
        <f>MAX(0,12*in_HoldYears-ROUND(in_IOYears*12,0))</f>
        <v>84</v>
      </c>
      <c r="Q32" s="28">
        <f>MAX(0,IF(J32=0,M32*(1-P32/(in_AmortYears*12)),M32*((1+J32)^(in_AmortYears*12)-(1+J32)^P32)/((1+J32)^(in_AmortYears*12)-1)))</f>
        <v>5018868.725791827</v>
      </c>
      <c r="R32" s="28">
        <f>IF(Q32&lt;=0,0,IF(a_Prepay="Step-down 5-4-3-2-1",Q32*IF(in_HoldYears&lt;5,CHOOSE(in_HoldYears+1,5,4,3,2,1),0)/100,IF(a_Prepay="Step-down 3-2-1",Q32*IF(in_HoldYears&lt;3,CHOOSE(in_HoldYears+1,3,2,1),0)/100,IF(AND(OR(a_Prepay="Yield maintenance",a_Prepay="Yield maintenance (1% floor)"),a_LoanTerm&gt;in_HoldYears,G32&gt;0,a_IndexRate&gt;0),Q32*MAX(IF(a_Prepay="Yield maintenance",0.5,1),(O32*(1-(1+(a_IndexRate/12))^(-(a_LoanTerm*12-in_HoldYears*12)))/(a_IndexRate/12)+MAX(0,Q32*(1+(G32/12))^(a_LoanTerm*12-in_HoldYears*12)-O32*((1+(G32/12))^(a_LoanTerm*12-in_HoldYears*12)-1)/(G32/12))/(1+(a_IndexRate/12))^(a_LoanTerm*12-in_HoldYears*12)-Q32)/Q32*100+IF(a_Prepay="Yield maintenance",0,1))/100,0))))</f>
        <v>0</v>
      </c>
      <c r="S32" s="28">
        <f>IF(F32&gt;0,out_ExitNOI/F32,0)</f>
        <v>9786265.259330101</v>
      </c>
      <c r="T32" s="28">
        <f>S32*IF(a_SaleCostMode="Market tiers",IF(S32&gt;a_Tier3Over,a_Tier3Pct,IF(S32&gt;a_Tier2Over,a_Tier2Pct,a_Tier1Pct)),a_SaleCostEntered)</f>
        <v>244656.63148325254</v>
      </c>
      <c r="U32" s="28">
        <f>S32-T32-r_LeasingAfterSale-Q32-R32-M32*a_ExtN*a_ExtFeeBps/10000-Q32*a_ExitFeePct</f>
        <v>4501223.10480286</v>
      </c>
      <c r="V32" s="106">
        <f>IFERROR(IRR(X32:AI32),"")</f>
        <v>0.1346236390261639</v>
      </c>
      <c r="W32" s="87">
        <f>SUMIF(Y32:AI32,"&gt;0")/(N32-SUMIF(Y32:AI32,"&lt;0"))</f>
        <v>1.9697245379280715</v>
      </c>
      <c r="X32" s="28">
        <f>-N32</f>
        <v>-3995940.7727871574</v>
      </c>
      <c r="Y32" s="28">
        <f>IF(1&lt;=in_HoldYears,'Cash Flow'!E54-((12-(MAX(0,12*1-ROUND(in_IOYears*12,0))-MAX(0,12*(1-1)-ROUND(in_IOYears*12,0))))*M32*J32+(MAX(0,12*1-ROUND(in_IOYears*12,0))-MAX(0,12*(1-1)-ROUND(in_IOYears*12,0)))*O32)+'Cash Flow'!E61+IF(1=in_HoldYears,U32,0),0)</f>
        <v>544477.3379465407</v>
      </c>
      <c r="Z32" s="28">
        <f>IF(2&lt;=in_HoldYears,'Cash Flow'!F54-((12-(MAX(0,12*2-ROUND(in_IOYears*12,0))-MAX(0,12*(2-1)-ROUND(in_IOYears*12,0))))*M32*J32+(MAX(0,12*2-ROUND(in_IOYears*12,0))-MAX(0,12*(2-1)-ROUND(in_IOYears*12,0)))*O32)+'Cash Flow'!F61+IF(2=in_HoldYears,U32,0),0)</f>
        <v>528838.9514217838</v>
      </c>
      <c r="AA32" s="28">
        <f>IF(3&lt;=in_HoldYears,'Cash Flow'!G54-((12-(MAX(0,12*3-ROUND(in_IOYears*12,0))-MAX(0,12*(3-1)-ROUND(in_IOYears*12,0))))*M32*J32+(MAX(0,12*3-ROUND(in_IOYears*12,0))-MAX(0,12*(3-1)-ROUND(in_IOYears*12,0)))*O32)+'Cash Flow'!G61+IF(3=in_HoldYears,U32,0),0)</f>
        <v>512188.1200892973</v>
      </c>
      <c r="AB32" s="28">
        <f>IF(4&lt;=in_HoldYears,'Cash Flow'!H54-((12-(MAX(0,12*4-ROUND(in_IOYears*12,0))-MAX(0,12*(4-1)-ROUND(in_IOYears*12,0))))*M32*J32+(MAX(0,12*4-ROUND(in_IOYears*12,0))-MAX(0,12*(4-1)-ROUND(in_IOYears*12,0)))*O32)+'Cash Flow'!H61+IF(4=in_HoldYears,U32,0),0)</f>
        <v>479819.0234219993</v>
      </c>
      <c r="AC32" s="28">
        <f>IF(5&lt;=in_HoldYears,'Cash Flow'!I54-((12-(MAX(0,12*5-ROUND(in_IOYears*12,0))-MAX(0,12*(5-1)-ROUND(in_IOYears*12,0))))*M32*J32+(MAX(0,12*5-ROUND(in_IOYears*12,0))-MAX(0,12*(5-1)-ROUND(in_IOYears*12,0)))*O32)+'Cash Flow'!I61+IF(5=in_HoldYears,U32,0),0)</f>
        <v>371923.73989301315</v>
      </c>
      <c r="AD32" s="28">
        <f>IF(6&lt;=in_HoldYears,'Cash Flow'!J54-((12-(MAX(0,12*6-ROUND(in_IOYears*12,0))-MAX(0,12*(6-1)-ROUND(in_IOYears*12,0))))*M32*J32+(MAX(0,12*6-ROUND(in_IOYears*12,0))-MAX(0,12*(6-1)-ROUND(in_IOYears*12,0)))*O32)+'Cash Flow'!J61+IF(6=in_HoldYears,U32,0),0)</f>
        <v>409556.82294201816</v>
      </c>
      <c r="AE32" s="28">
        <f>IF(7&lt;=in_HoldYears,'Cash Flow'!K54-((12-(MAX(0,12*7-ROUND(in_IOYears*12,0))-MAX(0,12*(7-1)-ROUND(in_IOYears*12,0))))*M32*J32+(MAX(0,12*7-ROUND(in_IOYears*12,0))-MAX(0,12*(7-1)-ROUND(in_IOYears*12,0)))*O32)+'Cash Flow'!K61+IF(7=in_HoldYears,U32,0),0)</f>
        <v>5024098.596551472</v>
      </c>
      <c r="AF32" s="28">
        <f>IF(8&lt;=in_HoldYears,'Cash Flow'!L54-((12-(MAX(0,12*8-ROUND(in_IOYears*12,0))-MAX(0,12*(8-1)-ROUND(in_IOYears*12,0))))*M32*J32+(MAX(0,12*8-ROUND(in_IOYears*12,0))-MAX(0,12*(8-1)-ROUND(in_IOYears*12,0)))*O32)+'Cash Flow'!L61+IF(8=in_HoldYears,U32,0),0)</f>
        <v>0</v>
      </c>
      <c r="AG32" s="28">
        <f>IF(9&lt;=in_HoldYears,'Cash Flow'!M54-((12-(MAX(0,12*9-ROUND(in_IOYears*12,0))-MAX(0,12*(9-1)-ROUND(in_IOYears*12,0))))*M32*J32+(MAX(0,12*9-ROUND(in_IOYears*12,0))-MAX(0,12*(9-1)-ROUND(in_IOYears*12,0)))*O32)+'Cash Flow'!M61+IF(9=in_HoldYears,U32,0),0)</f>
        <v>0</v>
      </c>
      <c r="AH32" s="28">
        <f>IF(10&lt;=in_HoldYears,'Cash Flow'!N54-((12-(MAX(0,12*10-ROUND(in_IOYears*12,0))-MAX(0,12*(10-1)-ROUND(in_IOYears*12,0))))*M32*J32+(MAX(0,12*10-ROUND(in_IOYears*12,0))-MAX(0,12*(10-1)-ROUND(in_IOYears*12,0)))*O32)+'Cash Flow'!N61+IF(10=in_HoldYears,U32,0),0)</f>
        <v>0</v>
      </c>
      <c r="AI32" s="28">
        <f>IF(11&lt;=in_HoldYears,'Cash Flow'!O54-((12-(MAX(0,12*11-ROUND(in_IOYears*12,0))-MAX(0,12*(11-1)-ROUND(in_IOYears*12,0))))*M32*J32+(MAX(0,12*11-ROUND(in_IOYears*12,0))-MAX(0,12*(11-1)-ROUND(in_IOYears*12,0)))*O32)+'Cash Flow'!O61+IF(11=in_HoldYears,U32,0),0)</f>
        <v>0</v>
      </c>
    </row>
    <row r="33">
      <c r="B33" s="25">
        <v>2</v>
      </c>
      <c r="C33" s="25">
        <v>-2</v>
      </c>
      <c r="D33" s="25">
        <v>-1</v>
      </c>
      <c r="E33" s="28">
        <f>in_PurchasePrice</f>
        <v>9369000</v>
      </c>
      <c r="F33" s="88">
        <f>in_ExitCap+(-2)*s_CapStep</f>
        <v>0.0989</v>
      </c>
      <c r="G33" s="88">
        <f>in_InterestRate+(-1)*s_RateStep</f>
        <v>0.062000000000000006</v>
      </c>
      <c r="H33" s="28">
        <f>E33*in_ClosingCostPct+a_ClosingOther</f>
        <v>140535</v>
      </c>
      <c r="I33" s="28">
        <f>E33+H33+a_UpfrontOther+a_LeaseUpReserve</f>
        <v>9561126.772787157</v>
      </c>
      <c r="J33" s="88">
        <f>G33*a_DayFactor/12</f>
        <v>0.005238425925925927</v>
      </c>
      <c r="K33" s="24">
        <f>IF(J33=0,1/(in_AmortYears*12),J33/(1-(1+J33)^(-in_AmortYears*12)))</f>
        <v>0.006180677225472388</v>
      </c>
      <c r="L33" s="24">
        <f>MIN(12,in_IOYears*12)*J33+(12-MIN(12,in_IOYears*12))*K33</f>
        <v>0.07416812670566866</v>
      </c>
      <c r="M33" s="28">
        <f>MAX(0,MIN(I33,IF(a_LoanMode="Fixed amount",a_FixedLoan,IF(a_LoanMode="LTC",I33*a_LTCTarget,IF(a_LoanMode="Lender tests",MIN(E33*a_LTVTarget,IF(AND(a_MinDSCR&gt;0,L33&gt;0),out_NOI_Y1/a_MinDSCR/L33,9E+99),IF(a_MinDY&gt;0,out_NOI_Y1/a_MinDY,9E+99)),E33*a_LTVTarget)))))</f>
        <v>5621400</v>
      </c>
      <c r="N33" s="28">
        <f>I33+M33*a_LoanFeePct+a_IntReserve-M33</f>
        <v>3995940.7727871574</v>
      </c>
      <c r="O33" s="28">
        <f>M33*K33</f>
        <v>34744.058955270484</v>
      </c>
      <c r="P33" s="25">
        <f>MAX(0,12*in_HoldYears-ROUND(in_IOYears*12,0))</f>
        <v>84</v>
      </c>
      <c r="Q33" s="28">
        <f>MAX(0,IF(J33=0,M33*(1-P33/(in_AmortYears*12)),M33*((1+J33)^(in_AmortYears*12)-(1+J33)^P33)/((1+J33)^(in_AmortYears*12)-1)))</f>
        <v>5064295.311424832</v>
      </c>
      <c r="R33" s="28">
        <f>IF(Q33&lt;=0,0,IF(a_Prepay="Step-down 5-4-3-2-1",Q33*IF(in_HoldYears&lt;5,CHOOSE(in_HoldYears+1,5,4,3,2,1),0)/100,IF(a_Prepay="Step-down 3-2-1",Q33*IF(in_HoldYears&lt;3,CHOOSE(in_HoldYears+1,3,2,1),0)/100,IF(AND(OR(a_Prepay="Yield maintenance",a_Prepay="Yield maintenance (1% floor)"),a_LoanTerm&gt;in_HoldYears,G33&gt;0,a_IndexRate&gt;0),Q33*MAX(IF(a_Prepay="Yield maintenance",0.5,1),(O33*(1-(1+(a_IndexRate/12))^(-(a_LoanTerm*12-in_HoldYears*12)))/(a_IndexRate/12)+MAX(0,Q33*(1+(G33/12))^(a_LoanTerm*12-in_HoldYears*12)-O33*((1+(G33/12))^(a_LoanTerm*12-in_HoldYears*12)-1)/(G33/12))/(1+(a_IndexRate/12))^(a_LoanTerm*12-in_HoldYears*12)-Q33)/Q33*100+IF(a_Prepay="Yield maintenance",0,1))/100,0))))</f>
        <v>0</v>
      </c>
      <c r="S33" s="28">
        <f>IF(F33&gt;0,out_ExitNOI/F33,0)</f>
        <v>9786265.259330101</v>
      </c>
      <c r="T33" s="28">
        <f>S33*IF(a_SaleCostMode="Market tiers",IF(S33&gt;a_Tier3Over,a_Tier3Pct,IF(S33&gt;a_Tier2Over,a_Tier2Pct,a_Tier1Pct)),a_SaleCostEntered)</f>
        <v>244656.63148325254</v>
      </c>
      <c r="U33" s="28">
        <f>S33-T33-r_LeasingAfterSale-Q33-R33-M33*a_ExtN*a_ExtFeeBps/10000-Q33*a_ExitFeePct</f>
        <v>4455796.519169855</v>
      </c>
      <c r="V33" s="106">
        <f>IFERROR(IRR(X33:AI33),"")</f>
        <v>0.12815213438223497</v>
      </c>
      <c r="W33" s="87">
        <f>SUMIF(Y33:AI33,"&gt;0")/(N33-SUMIF(Y33:AI33,"&lt;0"))</f>
        <v>1.9197850622414776</v>
      </c>
      <c r="X33" s="28">
        <f>-N33</f>
        <v>-3995940.7727871574</v>
      </c>
      <c r="Y33" s="28">
        <f>IF(1&lt;=in_HoldYears,'Cash Flow'!E54-((12-(MAX(0,12*1-ROUND(in_IOYears*12,0))-MAX(0,12*(1-1)-ROUND(in_IOYears*12,0))))*M33*J33+(MAX(0,12*1-ROUND(in_IOYears*12,0))-MAX(0,12*(1-1)-ROUND(in_IOYears*12,0)))*O33)+'Cash Flow'!E61+IF(1=in_HoldYears,U33,0),0)</f>
        <v>522458.9663130166</v>
      </c>
      <c r="Z33" s="28">
        <f>IF(2&lt;=in_HoldYears,'Cash Flow'!F54-((12-(MAX(0,12*2-ROUND(in_IOYears*12,0))-MAX(0,12*(2-1)-ROUND(in_IOYears*12,0))))*M33*J33+(MAX(0,12*2-ROUND(in_IOYears*12,0))-MAX(0,12*(2-1)-ROUND(in_IOYears*12,0)))*O33)+'Cash Flow'!F61+IF(2=in_HoldYears,U33,0),0)</f>
        <v>506820.5797882597</v>
      </c>
      <c r="AA33" s="28">
        <f>IF(3&lt;=in_HoldYears,'Cash Flow'!G54-((12-(MAX(0,12*3-ROUND(in_IOYears*12,0))-MAX(0,12*(3-1)-ROUND(in_IOYears*12,0))))*M33*J33+(MAX(0,12*3-ROUND(in_IOYears*12,0))-MAX(0,12*(3-1)-ROUND(in_IOYears*12,0)))*O33)+'Cash Flow'!G61+IF(3=in_HoldYears,U33,0),0)</f>
        <v>490169.7484557732</v>
      </c>
      <c r="AB33" s="28">
        <f>IF(4&lt;=in_HoldYears,'Cash Flow'!H54-((12-(MAX(0,12*4-ROUND(in_IOYears*12,0))-MAX(0,12*(4-1)-ROUND(in_IOYears*12,0))))*M33*J33+(MAX(0,12*4-ROUND(in_IOYears*12,0))-MAX(0,12*(4-1)-ROUND(in_IOYears*12,0)))*O33)+'Cash Flow'!H61+IF(4=in_HoldYears,U33,0),0)</f>
        <v>457800.6517884752</v>
      </c>
      <c r="AC33" s="28">
        <f>IF(5&lt;=in_HoldYears,'Cash Flow'!I54-((12-(MAX(0,12*5-ROUND(in_IOYears*12,0))-MAX(0,12*(5-1)-ROUND(in_IOYears*12,0))))*M33*J33+(MAX(0,12*5-ROUND(in_IOYears*12,0))-MAX(0,12*(5-1)-ROUND(in_IOYears*12,0)))*O33)+'Cash Flow'!I61+IF(5=in_HoldYears,U33,0),0)</f>
        <v>349905.36825948907</v>
      </c>
      <c r="AD33" s="28">
        <f>IF(6&lt;=in_HoldYears,'Cash Flow'!J54-((12-(MAX(0,12*6-ROUND(in_IOYears*12,0))-MAX(0,12*(6-1)-ROUND(in_IOYears*12,0))))*M33*J33+(MAX(0,12*6-ROUND(in_IOYears*12,0))-MAX(0,12*(6-1)-ROUND(in_IOYears*12,0)))*O33)+'Cash Flow'!J61+IF(6=in_HoldYears,U33,0),0)</f>
        <v>387538.4513084941</v>
      </c>
      <c r="AE33" s="28">
        <f>IF(7&lt;=in_HoldYears,'Cash Flow'!K54-((12-(MAX(0,12*7-ROUND(in_IOYears*12,0))-MAX(0,12*(7-1)-ROUND(in_IOYears*12,0))))*M33*J33+(MAX(0,12*7-ROUND(in_IOYears*12,0))-MAX(0,12*(7-1)-ROUND(in_IOYears*12,0)))*O33)+'Cash Flow'!K61+IF(7=in_HoldYears,U33,0),0)</f>
        <v>4956653.639284943</v>
      </c>
      <c r="AF33" s="28">
        <f>IF(8&lt;=in_HoldYears,'Cash Flow'!L54-((12-(MAX(0,12*8-ROUND(in_IOYears*12,0))-MAX(0,12*(8-1)-ROUND(in_IOYears*12,0))))*M33*J33+(MAX(0,12*8-ROUND(in_IOYears*12,0))-MAX(0,12*(8-1)-ROUND(in_IOYears*12,0)))*O33)+'Cash Flow'!L61+IF(8=in_HoldYears,U33,0),0)</f>
        <v>0</v>
      </c>
      <c r="AG33" s="28">
        <f>IF(9&lt;=in_HoldYears,'Cash Flow'!M54-((12-(MAX(0,12*9-ROUND(in_IOYears*12,0))-MAX(0,12*(9-1)-ROUND(in_IOYears*12,0))))*M33*J33+(MAX(0,12*9-ROUND(in_IOYears*12,0))-MAX(0,12*(9-1)-ROUND(in_IOYears*12,0)))*O33)+'Cash Flow'!M61+IF(9=in_HoldYears,U33,0),0)</f>
        <v>0</v>
      </c>
      <c r="AH33" s="28">
        <f>IF(10&lt;=in_HoldYears,'Cash Flow'!N54-((12-(MAX(0,12*10-ROUND(in_IOYears*12,0))-MAX(0,12*(10-1)-ROUND(in_IOYears*12,0))))*M33*J33+(MAX(0,12*10-ROUND(in_IOYears*12,0))-MAX(0,12*(10-1)-ROUND(in_IOYears*12,0)))*O33)+'Cash Flow'!N61+IF(10=in_HoldYears,U33,0),0)</f>
        <v>0</v>
      </c>
      <c r="AI33" s="28">
        <f>IF(11&lt;=in_HoldYears,'Cash Flow'!O54-((12-(MAX(0,12*11-ROUND(in_IOYears*12,0))-MAX(0,12*(11-1)-ROUND(in_IOYears*12,0))))*M33*J33+(MAX(0,12*11-ROUND(in_IOYears*12,0))-MAX(0,12*(11-1)-ROUND(in_IOYears*12,0)))*O33)+'Cash Flow'!O61+IF(11=in_HoldYears,U33,0),0)</f>
        <v>0</v>
      </c>
    </row>
    <row r="34">
      <c r="B34" s="25">
        <v>2</v>
      </c>
      <c r="C34" s="25">
        <v>-2</v>
      </c>
      <c r="D34" s="25">
        <v>0</v>
      </c>
      <c r="E34" s="28">
        <f>in_PurchasePrice</f>
        <v>9369000</v>
      </c>
      <c r="F34" s="88">
        <f>in_ExitCap+(-2)*s_CapStep</f>
        <v>0.0989</v>
      </c>
      <c r="G34" s="88">
        <f>in_InterestRate+(0)*s_RateStep</f>
        <v>0.067</v>
      </c>
      <c r="H34" s="28">
        <f>E34*in_ClosingCostPct+a_ClosingOther</f>
        <v>140535</v>
      </c>
      <c r="I34" s="28">
        <f>E34+H34+a_UpfrontOther+a_LeaseUpReserve</f>
        <v>9561126.772787157</v>
      </c>
      <c r="J34" s="88">
        <f>G34*a_DayFactor/12</f>
        <v>0.005660879629629629</v>
      </c>
      <c r="K34" s="24">
        <f>IF(J34=0,1/(in_AmortYears*12),J34/(1-(1+J34)^(-in_AmortYears*12)))</f>
        <v>0.006514626765893523</v>
      </c>
      <c r="L34" s="24">
        <f>MIN(12,in_IOYears*12)*J34+(12-MIN(12,in_IOYears*12))*K34</f>
        <v>0.07817552119072227</v>
      </c>
      <c r="M34" s="28">
        <f>MAX(0,MIN(I34,IF(a_LoanMode="Fixed amount",a_FixedLoan,IF(a_LoanMode="LTC",I34*a_LTCTarget,IF(a_LoanMode="Lender tests",MIN(E34*a_LTVTarget,IF(AND(a_MinDSCR&gt;0,L34&gt;0),out_NOI_Y1/a_MinDSCR/L34,9E+99),IF(a_MinDY&gt;0,out_NOI_Y1/a_MinDY,9E+99)),E34*a_LTVTarget)))))</f>
        <v>5621400</v>
      </c>
      <c r="N34" s="28">
        <f>I34+M34*a_LoanFeePct+a_IntReserve-M34</f>
        <v>3995940.7727871574</v>
      </c>
      <c r="O34" s="28">
        <f>M34*K34</f>
        <v>36621.32290179385</v>
      </c>
      <c r="P34" s="25">
        <f>MAX(0,12*in_HoldYears-ROUND(in_IOYears*12,0))</f>
        <v>84</v>
      </c>
      <c r="Q34" s="28">
        <f>MAX(0,IF(J34=0,M34*(1-P34/(in_AmortYears*12)),M34*((1+J34)^(in_AmortYears*12)-(1+J34)^P34)/((1+J34)^(in_AmortYears*12)-1)))</f>
        <v>5107056.723644001</v>
      </c>
      <c r="R34" s="28">
        <f>IF(Q34&lt;=0,0,IF(a_Prepay="Step-down 5-4-3-2-1",Q34*IF(in_HoldYears&lt;5,CHOOSE(in_HoldYears+1,5,4,3,2,1),0)/100,IF(a_Prepay="Step-down 3-2-1",Q34*IF(in_HoldYears&lt;3,CHOOSE(in_HoldYears+1,3,2,1),0)/100,IF(AND(OR(a_Prepay="Yield maintenance",a_Prepay="Yield maintenance (1% floor)"),a_LoanTerm&gt;in_HoldYears,G34&gt;0,a_IndexRate&gt;0),Q34*MAX(IF(a_Prepay="Yield maintenance",0.5,1),(O34*(1-(1+(a_IndexRate/12))^(-(a_LoanTerm*12-in_HoldYears*12)))/(a_IndexRate/12)+MAX(0,Q34*(1+(G34/12))^(a_LoanTerm*12-in_HoldYears*12)-O34*((1+(G34/12))^(a_LoanTerm*12-in_HoldYears*12)-1)/(G34/12))/(1+(a_IndexRate/12))^(a_LoanTerm*12-in_HoldYears*12)-Q34)/Q34*100+IF(a_Prepay="Yield maintenance",0,1))/100,0))))</f>
        <v>0</v>
      </c>
      <c r="S34" s="28">
        <f>IF(F34&gt;0,out_ExitNOI/F34,0)</f>
        <v>9786265.259330101</v>
      </c>
      <c r="T34" s="28">
        <f>S34*IF(a_SaleCostMode="Market tiers",IF(S34&gt;a_Tier3Over,a_Tier3Pct,IF(S34&gt;a_Tier2Over,a_Tier2Pct,a_Tier1Pct)),a_SaleCostEntered)</f>
        <v>244656.63148325254</v>
      </c>
      <c r="U34" s="28">
        <f>S34-T34-r_LeasingAfterSale-Q34-R34-M34*a_ExtN*a_ExtFeeBps/10000-Q34*a_ExitFeePct</f>
        <v>4413035.106950685</v>
      </c>
      <c r="V34" s="106">
        <f>IFERROR(IRR(X34:AI34),"")</f>
        <v>0.12158081080436604</v>
      </c>
      <c r="W34" s="87">
        <f>SUMIF(Y34:AI34,"&gt;0")/(N34-SUMIF(Y34:AI34,"&lt;0"))</f>
        <v>1.8696212597416426</v>
      </c>
      <c r="X34" s="28">
        <f>-N34</f>
        <v>-3995940.7727871574</v>
      </c>
      <c r="Y34" s="28">
        <f>IF(1&lt;=in_HoldYears,'Cash Flow'!E54-((12-(MAX(0,12*1-ROUND(in_IOYears*12,0))-MAX(0,12*(1-1)-ROUND(in_IOYears*12,0))))*M34*J34+(MAX(0,12*1-ROUND(in_IOYears*12,0))-MAX(0,12*(1-1)-ROUND(in_IOYears*12,0)))*O34)+'Cash Flow'!E61+IF(1=in_HoldYears,U34,0),0)</f>
        <v>499931.7989547362</v>
      </c>
      <c r="Z34" s="28">
        <f>IF(2&lt;=in_HoldYears,'Cash Flow'!F54-((12-(MAX(0,12*2-ROUND(in_IOYears*12,0))-MAX(0,12*(2-1)-ROUND(in_IOYears*12,0))))*M34*J34+(MAX(0,12*2-ROUND(in_IOYears*12,0))-MAX(0,12*(2-1)-ROUND(in_IOYears*12,0)))*O34)+'Cash Flow'!F61+IF(2=in_HoldYears,U34,0),0)</f>
        <v>484293.4124299793</v>
      </c>
      <c r="AA34" s="28">
        <f>IF(3&lt;=in_HoldYears,'Cash Flow'!G54-((12-(MAX(0,12*3-ROUND(in_IOYears*12,0))-MAX(0,12*(3-1)-ROUND(in_IOYears*12,0))))*M34*J34+(MAX(0,12*3-ROUND(in_IOYears*12,0))-MAX(0,12*(3-1)-ROUND(in_IOYears*12,0)))*O34)+'Cash Flow'!G61+IF(3=in_HoldYears,U34,0),0)</f>
        <v>467642.58109749283</v>
      </c>
      <c r="AB34" s="28">
        <f>IF(4&lt;=in_HoldYears,'Cash Flow'!H54-((12-(MAX(0,12*4-ROUND(in_IOYears*12,0))-MAX(0,12*(4-1)-ROUND(in_IOYears*12,0))))*M34*J34+(MAX(0,12*4-ROUND(in_IOYears*12,0))-MAX(0,12*(4-1)-ROUND(in_IOYears*12,0)))*O34)+'Cash Flow'!H61+IF(4=in_HoldYears,U34,0),0)</f>
        <v>435273.48443019483</v>
      </c>
      <c r="AC34" s="28">
        <f>IF(5&lt;=in_HoldYears,'Cash Flow'!I54-((12-(MAX(0,12*5-ROUND(in_IOYears*12,0))-MAX(0,12*(5-1)-ROUND(in_IOYears*12,0))))*M34*J34+(MAX(0,12*5-ROUND(in_IOYears*12,0))-MAX(0,12*(5-1)-ROUND(in_IOYears*12,0)))*O34)+'Cash Flow'!I61+IF(5=in_HoldYears,U34,0),0)</f>
        <v>327378.2009012087</v>
      </c>
      <c r="AD34" s="28">
        <f>IF(6&lt;=in_HoldYears,'Cash Flow'!J54-((12-(MAX(0,12*6-ROUND(in_IOYears*12,0))-MAX(0,12*(6-1)-ROUND(in_IOYears*12,0))))*M34*J34+(MAX(0,12*6-ROUND(in_IOYears*12,0))-MAX(0,12*(6-1)-ROUND(in_IOYears*12,0)))*O34)+'Cash Flow'!J61+IF(6=in_HoldYears,U34,0),0)</f>
        <v>365011.2839502137</v>
      </c>
      <c r="AE34" s="28">
        <f>IF(7&lt;=in_HoldYears,'Cash Flow'!K54-((12-(MAX(0,12*7-ROUND(in_IOYears*12,0))-MAX(0,12*(7-1)-ROUND(in_IOYears*12,0))))*M34*J34+(MAX(0,12*7-ROUND(in_IOYears*12,0))-MAX(0,12*(7-1)-ROUND(in_IOYears*12,0)))*O34)+'Cash Flow'!K61+IF(7=in_HoldYears,U34,0),0)</f>
        <v>4891365.0597074935</v>
      </c>
      <c r="AF34" s="28">
        <f>IF(8&lt;=in_HoldYears,'Cash Flow'!L54-((12-(MAX(0,12*8-ROUND(in_IOYears*12,0))-MAX(0,12*(8-1)-ROUND(in_IOYears*12,0))))*M34*J34+(MAX(0,12*8-ROUND(in_IOYears*12,0))-MAX(0,12*(8-1)-ROUND(in_IOYears*12,0)))*O34)+'Cash Flow'!L61+IF(8=in_HoldYears,U34,0),0)</f>
        <v>0</v>
      </c>
      <c r="AG34" s="28">
        <f>IF(9&lt;=in_HoldYears,'Cash Flow'!M54-((12-(MAX(0,12*9-ROUND(in_IOYears*12,0))-MAX(0,12*(9-1)-ROUND(in_IOYears*12,0))))*M34*J34+(MAX(0,12*9-ROUND(in_IOYears*12,0))-MAX(0,12*(9-1)-ROUND(in_IOYears*12,0)))*O34)+'Cash Flow'!M61+IF(9=in_HoldYears,U34,0),0)</f>
        <v>0</v>
      </c>
      <c r="AH34" s="28">
        <f>IF(10&lt;=in_HoldYears,'Cash Flow'!N54-((12-(MAX(0,12*10-ROUND(in_IOYears*12,0))-MAX(0,12*(10-1)-ROUND(in_IOYears*12,0))))*M34*J34+(MAX(0,12*10-ROUND(in_IOYears*12,0))-MAX(0,12*(10-1)-ROUND(in_IOYears*12,0)))*O34)+'Cash Flow'!N61+IF(10=in_HoldYears,U34,0),0)</f>
        <v>0</v>
      </c>
      <c r="AI34" s="28">
        <f>IF(11&lt;=in_HoldYears,'Cash Flow'!O54-((12-(MAX(0,12*11-ROUND(in_IOYears*12,0))-MAX(0,12*(11-1)-ROUND(in_IOYears*12,0))))*M34*J34+(MAX(0,12*11-ROUND(in_IOYears*12,0))-MAX(0,12*(11-1)-ROUND(in_IOYears*12,0)))*O34)+'Cash Flow'!O61+IF(11=in_HoldYears,U34,0),0)</f>
        <v>0</v>
      </c>
    </row>
    <row r="35">
      <c r="B35" s="25">
        <v>2</v>
      </c>
      <c r="C35" s="25">
        <v>-2</v>
      </c>
      <c r="D35" s="25">
        <v>1</v>
      </c>
      <c r="E35" s="28">
        <f>in_PurchasePrice</f>
        <v>9369000</v>
      </c>
      <c r="F35" s="88">
        <f>in_ExitCap+(-2)*s_CapStep</f>
        <v>0.0989</v>
      </c>
      <c r="G35" s="88">
        <f>in_InterestRate+(1)*s_RateStep</f>
        <v>0.07200000000000001</v>
      </c>
      <c r="H35" s="28">
        <f>E35*in_ClosingCostPct+a_ClosingOther</f>
        <v>140535</v>
      </c>
      <c r="I35" s="28">
        <f>E35+H35+a_UpfrontOther+a_LeaseUpReserve</f>
        <v>9561126.772787157</v>
      </c>
      <c r="J35" s="88">
        <f>G35*a_DayFactor/12</f>
        <v>0.006083333333333334</v>
      </c>
      <c r="K35" s="24">
        <f>IF(J35=0,1/(in_AmortYears*12),J35/(1-(1+J35)^(-in_AmortYears*12)))</f>
        <v>0.006855709283653555</v>
      </c>
      <c r="L35" s="24">
        <f>MIN(12,in_IOYears*12)*J35+(12-MIN(12,in_IOYears*12))*K35</f>
        <v>0.08226851140384267</v>
      </c>
      <c r="M35" s="28">
        <f>MAX(0,MIN(I35,IF(a_LoanMode="Fixed amount",a_FixedLoan,IF(a_LoanMode="LTC",I35*a_LTCTarget,IF(a_LoanMode="Lender tests",MIN(E35*a_LTVTarget,IF(AND(a_MinDSCR&gt;0,L35&gt;0),out_NOI_Y1/a_MinDSCR/L35,9E+99),IF(a_MinDY&gt;0,out_NOI_Y1/a_MinDY,9E+99)),E35*a_LTVTarget)))))</f>
        <v>5621400</v>
      </c>
      <c r="N35" s="28">
        <f>I35+M35*a_LoanFeePct+a_IntReserve-M35</f>
        <v>3995940.7727871574</v>
      </c>
      <c r="O35" s="28">
        <f>M35*K35</f>
        <v>38538.68416713009</v>
      </c>
      <c r="P35" s="25">
        <f>MAX(0,12*in_HoldYears-ROUND(in_IOYears*12,0))</f>
        <v>84</v>
      </c>
      <c r="Q35" s="28">
        <f>MAX(0,IF(J35=0,M35*(1-P35/(in_AmortYears*12)),M35*((1+J35)^(in_AmortYears*12)-(1+J35)^P35)/((1+J35)^(in_AmortYears*12)-1)))</f>
        <v>5147215.440592228</v>
      </c>
      <c r="R35" s="28">
        <f>IF(Q35&lt;=0,0,IF(a_Prepay="Step-down 5-4-3-2-1",Q35*IF(in_HoldYears&lt;5,CHOOSE(in_HoldYears+1,5,4,3,2,1),0)/100,IF(a_Prepay="Step-down 3-2-1",Q35*IF(in_HoldYears&lt;3,CHOOSE(in_HoldYears+1,3,2,1),0)/100,IF(AND(OR(a_Prepay="Yield maintenance",a_Prepay="Yield maintenance (1% floor)"),a_LoanTerm&gt;in_HoldYears,G35&gt;0,a_IndexRate&gt;0),Q35*MAX(IF(a_Prepay="Yield maintenance",0.5,1),(O35*(1-(1+(a_IndexRate/12))^(-(a_LoanTerm*12-in_HoldYears*12)))/(a_IndexRate/12)+MAX(0,Q35*(1+(G35/12))^(a_LoanTerm*12-in_HoldYears*12)-O35*((1+(G35/12))^(a_LoanTerm*12-in_HoldYears*12)-1)/(G35/12))/(1+(a_IndexRate/12))^(a_LoanTerm*12-in_HoldYears*12)-Q35)/Q35*100+IF(a_Prepay="Yield maintenance",0,1))/100,0))))</f>
        <v>0</v>
      </c>
      <c r="S35" s="28">
        <f>IF(F35&gt;0,out_ExitNOI/F35,0)</f>
        <v>9786265.259330101</v>
      </c>
      <c r="T35" s="28">
        <f>S35*IF(a_SaleCostMode="Market tiers",IF(S35&gt;a_Tier3Over,a_Tier3Pct,IF(S35&gt;a_Tier2Over,a_Tier2Pct,a_Tier1Pct)),a_SaleCostEntered)</f>
        <v>244656.63148325254</v>
      </c>
      <c r="U35" s="28">
        <f>S35-T35-r_LeasingAfterSale-Q35-R35-M35*a_ExtN*a_ExtFeeBps/10000-Q35*a_ExitFeePct</f>
        <v>4372876.390002458</v>
      </c>
      <c r="V35" s="106">
        <f>IFERROR(IRR(X35:AI35),"")</f>
        <v>0.11491693899653807</v>
      </c>
      <c r="W35" s="87">
        <f>SUMIF(Y35:AI35,"&gt;0")/(N35-SUMIF(Y35:AI35,"&lt;0"))</f>
        <v>1.8192658929637404</v>
      </c>
      <c r="X35" s="28">
        <f>-N35</f>
        <v>-3995940.7727871574</v>
      </c>
      <c r="Y35" s="28">
        <f>IF(1&lt;=in_HoldYears,'Cash Flow'!E54-((12-(MAX(0,12*1-ROUND(in_IOYears*12,0))-MAX(0,12*(1-1)-ROUND(in_IOYears*12,0))))*M35*J35+(MAX(0,12*1-ROUND(in_IOYears*12,0))-MAX(0,12*(1-1)-ROUND(in_IOYears*12,0)))*O35)+'Cash Flow'!E61+IF(1=in_HoldYears,U35,0),0)</f>
        <v>476923.4637707013</v>
      </c>
      <c r="Z35" s="28">
        <f>IF(2&lt;=in_HoldYears,'Cash Flow'!F54-((12-(MAX(0,12*2-ROUND(in_IOYears*12,0))-MAX(0,12*(2-1)-ROUND(in_IOYears*12,0))))*M35*J35+(MAX(0,12*2-ROUND(in_IOYears*12,0))-MAX(0,12*(2-1)-ROUND(in_IOYears*12,0)))*O35)+'Cash Flow'!F61+IF(2=in_HoldYears,U35,0),0)</f>
        <v>461285.0772459444</v>
      </c>
      <c r="AA35" s="28">
        <f>IF(3&lt;=in_HoldYears,'Cash Flow'!G54-((12-(MAX(0,12*3-ROUND(in_IOYears*12,0))-MAX(0,12*(3-1)-ROUND(in_IOYears*12,0))))*M35*J35+(MAX(0,12*3-ROUND(in_IOYears*12,0))-MAX(0,12*(3-1)-ROUND(in_IOYears*12,0)))*O35)+'Cash Flow'!G61+IF(3=in_HoldYears,U35,0),0)</f>
        <v>444634.24591345794</v>
      </c>
      <c r="AB35" s="28">
        <f>IF(4&lt;=in_HoldYears,'Cash Flow'!H54-((12-(MAX(0,12*4-ROUND(in_IOYears*12,0))-MAX(0,12*(4-1)-ROUND(in_IOYears*12,0))))*M35*J35+(MAX(0,12*4-ROUND(in_IOYears*12,0))-MAX(0,12*(4-1)-ROUND(in_IOYears*12,0)))*O35)+'Cash Flow'!H61+IF(4=in_HoldYears,U35,0),0)</f>
        <v>412265.14924615994</v>
      </c>
      <c r="AC35" s="28">
        <f>IF(5&lt;=in_HoldYears,'Cash Flow'!I54-((12-(MAX(0,12*5-ROUND(in_IOYears*12,0))-MAX(0,12*(5-1)-ROUND(in_IOYears*12,0))))*M35*J35+(MAX(0,12*5-ROUND(in_IOYears*12,0))-MAX(0,12*(5-1)-ROUND(in_IOYears*12,0)))*O35)+'Cash Flow'!I61+IF(5=in_HoldYears,U35,0),0)</f>
        <v>304369.8657171738</v>
      </c>
      <c r="AD35" s="28">
        <f>IF(6&lt;=in_HoldYears,'Cash Flow'!J54-((12-(MAX(0,12*6-ROUND(in_IOYears*12,0))-MAX(0,12*(6-1)-ROUND(in_IOYears*12,0))))*M35*J35+(MAX(0,12*6-ROUND(in_IOYears*12,0))-MAX(0,12*(6-1)-ROUND(in_IOYears*12,0)))*O35)+'Cash Flow'!J61+IF(6=in_HoldYears,U35,0),0)</f>
        <v>342002.9487661788</v>
      </c>
      <c r="AE35" s="28">
        <f>IF(7&lt;=in_HoldYears,'Cash Flow'!K54-((12-(MAX(0,12*7-ROUND(in_IOYears*12,0))-MAX(0,12*(7-1)-ROUND(in_IOYears*12,0))))*M35*J35+(MAX(0,12*7-ROUND(in_IOYears*12,0))-MAX(0,12*(7-1)-ROUND(in_IOYears*12,0)))*O35)+'Cash Flow'!K61+IF(7=in_HoldYears,U35,0),0)</f>
        <v>4828198.007575232</v>
      </c>
      <c r="AF35" s="28">
        <f>IF(8&lt;=in_HoldYears,'Cash Flow'!L54-((12-(MAX(0,12*8-ROUND(in_IOYears*12,0))-MAX(0,12*(8-1)-ROUND(in_IOYears*12,0))))*M35*J35+(MAX(0,12*8-ROUND(in_IOYears*12,0))-MAX(0,12*(8-1)-ROUND(in_IOYears*12,0)))*O35)+'Cash Flow'!L61+IF(8=in_HoldYears,U35,0),0)</f>
        <v>0</v>
      </c>
      <c r="AG35" s="28">
        <f>IF(9&lt;=in_HoldYears,'Cash Flow'!M54-((12-(MAX(0,12*9-ROUND(in_IOYears*12,0))-MAX(0,12*(9-1)-ROUND(in_IOYears*12,0))))*M35*J35+(MAX(0,12*9-ROUND(in_IOYears*12,0))-MAX(0,12*(9-1)-ROUND(in_IOYears*12,0)))*O35)+'Cash Flow'!M61+IF(9=in_HoldYears,U35,0),0)</f>
        <v>0</v>
      </c>
      <c r="AH35" s="28">
        <f>IF(10&lt;=in_HoldYears,'Cash Flow'!N54-((12-(MAX(0,12*10-ROUND(in_IOYears*12,0))-MAX(0,12*(10-1)-ROUND(in_IOYears*12,0))))*M35*J35+(MAX(0,12*10-ROUND(in_IOYears*12,0))-MAX(0,12*(10-1)-ROUND(in_IOYears*12,0)))*O35)+'Cash Flow'!N61+IF(10=in_HoldYears,U35,0),0)</f>
        <v>0</v>
      </c>
      <c r="AI35" s="28">
        <f>IF(11&lt;=in_HoldYears,'Cash Flow'!O54-((12-(MAX(0,12*11-ROUND(in_IOYears*12,0))-MAX(0,12*(11-1)-ROUND(in_IOYears*12,0))))*M35*J35+(MAX(0,12*11-ROUND(in_IOYears*12,0))-MAX(0,12*(11-1)-ROUND(in_IOYears*12,0)))*O35)+'Cash Flow'!O61+IF(11=in_HoldYears,U35,0),0)</f>
        <v>0</v>
      </c>
    </row>
    <row r="36">
      <c r="B36" s="25">
        <v>2</v>
      </c>
      <c r="C36" s="25">
        <v>-2</v>
      </c>
      <c r="D36" s="25">
        <v>2</v>
      </c>
      <c r="E36" s="28">
        <f>in_PurchasePrice</f>
        <v>9369000</v>
      </c>
      <c r="F36" s="88">
        <f>in_ExitCap+(-2)*s_CapStep</f>
        <v>0.0989</v>
      </c>
      <c r="G36" s="88">
        <f>in_InterestRate+(2)*s_RateStep</f>
        <v>0.077</v>
      </c>
      <c r="H36" s="28">
        <f>E36*in_ClosingCostPct+a_ClosingOther</f>
        <v>140535</v>
      </c>
      <c r="I36" s="28">
        <f>E36+H36+a_UpfrontOther+a_LeaseUpReserve</f>
        <v>9561126.772787157</v>
      </c>
      <c r="J36" s="88">
        <f>G36*a_DayFactor/12</f>
        <v>0.0065057870370370365</v>
      </c>
      <c r="K36" s="24">
        <f>IF(J36=0,1/(in_AmortYears*12),J36/(1-(1+J36)^(-in_AmortYears*12)))</f>
        <v>0.007203513009166921</v>
      </c>
      <c r="L36" s="24">
        <f>MIN(12,in_IOYears*12)*J36+(12-MIN(12,in_IOYears*12))*K36</f>
        <v>0.08644215611000305</v>
      </c>
      <c r="M36" s="28">
        <f>MAX(0,MIN(I36,IF(a_LoanMode="Fixed amount",a_FixedLoan,IF(a_LoanMode="LTC",I36*a_LTCTarget,IF(a_LoanMode="Lender tests",MIN(E36*a_LTVTarget,IF(AND(a_MinDSCR&gt;0,L36&gt;0),out_NOI_Y1/a_MinDSCR/L36,9E+99),IF(a_MinDY&gt;0,out_NOI_Y1/a_MinDY,9E+99)),E36*a_LTVTarget)))))</f>
        <v>5621400</v>
      </c>
      <c r="N36" s="28">
        <f>I36+M36*a_LoanFeePct+a_IntReserve-M36</f>
        <v>3995940.7727871574</v>
      </c>
      <c r="O36" s="28">
        <f>M36*K36</f>
        <v>40493.828029730925</v>
      </c>
      <c r="P36" s="25">
        <f>MAX(0,12*in_HoldYears-ROUND(in_IOYears*12,0))</f>
        <v>84</v>
      </c>
      <c r="Q36" s="28">
        <f>MAX(0,IF(J36=0,M36*(1-P36/(in_AmortYears*12)),M36*((1+J36)^(in_AmortYears*12)-(1+J36)^P36)/((1+J36)^(in_AmortYears*12)-1)))</f>
        <v>5184844.560712963</v>
      </c>
      <c r="R36" s="28">
        <f>IF(Q36&lt;=0,0,IF(a_Prepay="Step-down 5-4-3-2-1",Q36*IF(in_HoldYears&lt;5,CHOOSE(in_HoldYears+1,5,4,3,2,1),0)/100,IF(a_Prepay="Step-down 3-2-1",Q36*IF(in_HoldYears&lt;3,CHOOSE(in_HoldYears+1,3,2,1),0)/100,IF(AND(OR(a_Prepay="Yield maintenance",a_Prepay="Yield maintenance (1% floor)"),a_LoanTerm&gt;in_HoldYears,G36&gt;0,a_IndexRate&gt;0),Q36*MAX(IF(a_Prepay="Yield maintenance",0.5,1),(O36*(1-(1+(a_IndexRate/12))^(-(a_LoanTerm*12-in_HoldYears*12)))/(a_IndexRate/12)+MAX(0,Q36*(1+(G36/12))^(a_LoanTerm*12-in_HoldYears*12)-O36*((1+(G36/12))^(a_LoanTerm*12-in_HoldYears*12)-1)/(G36/12))/(1+(a_IndexRate/12))^(a_LoanTerm*12-in_HoldYears*12)-Q36)/Q36*100+IF(a_Prepay="Yield maintenance",0,1))/100,0))))</f>
        <v>0</v>
      </c>
      <c r="S36" s="28">
        <f>IF(F36&gt;0,out_ExitNOI/F36,0)</f>
        <v>9786265.259330101</v>
      </c>
      <c r="T36" s="28">
        <f>S36*IF(a_SaleCostMode="Market tiers",IF(S36&gt;a_Tier3Over,a_Tier3Pct,IF(S36&gt;a_Tier2Over,a_Tier2Pct,a_Tier1Pct)),a_SaleCostEntered)</f>
        <v>244656.63148325254</v>
      </c>
      <c r="U36" s="28">
        <f>S36-T36-r_LeasingAfterSale-Q36-R36-M36*a_ExtN*a_ExtFeeBps/10000-Q36*a_ExitFeePct</f>
        <v>4335247.269881723</v>
      </c>
      <c r="V36" s="106">
        <f>IFERROR(IRR(X36:AI36),"")</f>
        <v>0.1081676852263194</v>
      </c>
      <c r="W36" s="87">
        <f>SUMIF(Y36:AI36,"&gt;0")/(N36-SUMIF(Y36:AI36,"&lt;0"))</f>
        <v>1.7687493272643928</v>
      </c>
      <c r="X36" s="28">
        <f>-N36</f>
        <v>-3995940.7727871574</v>
      </c>
      <c r="Y36" s="28">
        <f>IF(1&lt;=in_HoldYears,'Cash Flow'!E54-((12-(MAX(0,12*1-ROUND(in_IOYears*12,0))-MAX(0,12*(1-1)-ROUND(in_IOYears*12,0))))*M36*J36+(MAX(0,12*1-ROUND(in_IOYears*12,0))-MAX(0,12*(1-1)-ROUND(in_IOYears*12,0)))*O36)+'Cash Flow'!E61+IF(1=in_HoldYears,U36,0),0)</f>
        <v>453461.73741949134</v>
      </c>
      <c r="Z36" s="28">
        <f>IF(2&lt;=in_HoldYears,'Cash Flow'!F54-((12-(MAX(0,12*2-ROUND(in_IOYears*12,0))-MAX(0,12*(2-1)-ROUND(in_IOYears*12,0))))*M36*J36+(MAX(0,12*2-ROUND(in_IOYears*12,0))-MAX(0,12*(2-1)-ROUND(in_IOYears*12,0)))*O36)+'Cash Flow'!F61+IF(2=in_HoldYears,U36,0),0)</f>
        <v>437823.35089473444</v>
      </c>
      <c r="AA36" s="28">
        <f>IF(3&lt;=in_HoldYears,'Cash Flow'!G54-((12-(MAX(0,12*3-ROUND(in_IOYears*12,0))-MAX(0,12*(3-1)-ROUND(in_IOYears*12,0))))*M36*J36+(MAX(0,12*3-ROUND(in_IOYears*12,0))-MAX(0,12*(3-1)-ROUND(in_IOYears*12,0)))*O36)+'Cash Flow'!G61+IF(3=in_HoldYears,U36,0),0)</f>
        <v>421172.51956224797</v>
      </c>
      <c r="AB36" s="28">
        <f>IF(4&lt;=in_HoldYears,'Cash Flow'!H54-((12-(MAX(0,12*4-ROUND(in_IOYears*12,0))-MAX(0,12*(4-1)-ROUND(in_IOYears*12,0))))*M36*J36+(MAX(0,12*4-ROUND(in_IOYears*12,0))-MAX(0,12*(4-1)-ROUND(in_IOYears*12,0)))*O36)+'Cash Flow'!H61+IF(4=in_HoldYears,U36,0),0)</f>
        <v>388803.42289494997</v>
      </c>
      <c r="AC36" s="28">
        <f>IF(5&lt;=in_HoldYears,'Cash Flow'!I54-((12-(MAX(0,12*5-ROUND(in_IOYears*12,0))-MAX(0,12*(5-1)-ROUND(in_IOYears*12,0))))*M36*J36+(MAX(0,12*5-ROUND(in_IOYears*12,0))-MAX(0,12*(5-1)-ROUND(in_IOYears*12,0)))*O36)+'Cash Flow'!I61+IF(5=in_HoldYears,U36,0),0)</f>
        <v>280908.1393659638</v>
      </c>
      <c r="AD36" s="28">
        <f>IF(6&lt;=in_HoldYears,'Cash Flow'!J54-((12-(MAX(0,12*6-ROUND(in_IOYears*12,0))-MAX(0,12*(6-1)-ROUND(in_IOYears*12,0))))*M36*J36+(MAX(0,12*6-ROUND(in_IOYears*12,0))-MAX(0,12*(6-1)-ROUND(in_IOYears*12,0)))*O36)+'Cash Flow'!J61+IF(6=in_HoldYears,U36,0),0)</f>
        <v>318541.2224149688</v>
      </c>
      <c r="AE36" s="28">
        <f>IF(7&lt;=in_HoldYears,'Cash Flow'!K54-((12-(MAX(0,12*7-ROUND(in_IOYears*12,0))-MAX(0,12*(7-1)-ROUND(in_IOYears*12,0))))*M36*J36+(MAX(0,12*7-ROUND(in_IOYears*12,0))-MAX(0,12*(7-1)-ROUND(in_IOYears*12,0)))*O36)+'Cash Flow'!K61+IF(7=in_HoldYears,U36,0),0)</f>
        <v>4767107.161103287</v>
      </c>
      <c r="AF36" s="28">
        <f>IF(8&lt;=in_HoldYears,'Cash Flow'!L54-((12-(MAX(0,12*8-ROUND(in_IOYears*12,0))-MAX(0,12*(8-1)-ROUND(in_IOYears*12,0))))*M36*J36+(MAX(0,12*8-ROUND(in_IOYears*12,0))-MAX(0,12*(8-1)-ROUND(in_IOYears*12,0)))*O36)+'Cash Flow'!L61+IF(8=in_HoldYears,U36,0),0)</f>
        <v>0</v>
      </c>
      <c r="AG36" s="28">
        <f>IF(9&lt;=in_HoldYears,'Cash Flow'!M54-((12-(MAX(0,12*9-ROUND(in_IOYears*12,0))-MAX(0,12*(9-1)-ROUND(in_IOYears*12,0))))*M36*J36+(MAX(0,12*9-ROUND(in_IOYears*12,0))-MAX(0,12*(9-1)-ROUND(in_IOYears*12,0)))*O36)+'Cash Flow'!M61+IF(9=in_HoldYears,U36,0),0)</f>
        <v>0</v>
      </c>
      <c r="AH36" s="28">
        <f>IF(10&lt;=in_HoldYears,'Cash Flow'!N54-((12-(MAX(0,12*10-ROUND(in_IOYears*12,0))-MAX(0,12*(10-1)-ROUND(in_IOYears*12,0))))*M36*J36+(MAX(0,12*10-ROUND(in_IOYears*12,0))-MAX(0,12*(10-1)-ROUND(in_IOYears*12,0)))*O36)+'Cash Flow'!N61+IF(10=in_HoldYears,U36,0),0)</f>
        <v>0</v>
      </c>
      <c r="AI36" s="28">
        <f>IF(11&lt;=in_HoldYears,'Cash Flow'!O54-((12-(MAX(0,12*11-ROUND(in_IOYears*12,0))-MAX(0,12*(11-1)-ROUND(in_IOYears*12,0))))*M36*J36+(MAX(0,12*11-ROUND(in_IOYears*12,0))-MAX(0,12*(11-1)-ROUND(in_IOYears*12,0)))*O36)+'Cash Flow'!O61+IF(11=in_HoldYears,U36,0),0)</f>
        <v>0</v>
      </c>
    </row>
    <row r="37">
      <c r="B37" s="25">
        <v>2</v>
      </c>
      <c r="C37" s="25">
        <v>-1</v>
      </c>
      <c r="D37" s="25">
        <v>-2</v>
      </c>
      <c r="E37" s="28">
        <f>in_PurchasePrice</f>
        <v>9369000</v>
      </c>
      <c r="F37" s="88">
        <f>in_ExitCap+(-1)*s_CapStep</f>
        <v>0.1014</v>
      </c>
      <c r="G37" s="88">
        <f>in_InterestRate+(-2)*s_RateStep</f>
        <v>0.057</v>
      </c>
      <c r="H37" s="28">
        <f>E37*in_ClosingCostPct+a_ClosingOther</f>
        <v>140535</v>
      </c>
      <c r="I37" s="28">
        <f>E37+H37+a_UpfrontOther+a_LeaseUpReserve</f>
        <v>9561126.772787157</v>
      </c>
      <c r="J37" s="88">
        <f>G37*a_DayFactor/12</f>
        <v>0.004815972222222222</v>
      </c>
      <c r="K37" s="24">
        <f>IF(J37=0,1/(in_AmortYears*12),J37/(1-(1+J37)^(-in_AmortYears*12)))</f>
        <v>0.005854270226718756</v>
      </c>
      <c r="L37" s="24">
        <f>MIN(12,in_IOYears*12)*J37+(12-MIN(12,in_IOYears*12))*K37</f>
        <v>0.07025124272062507</v>
      </c>
      <c r="M37" s="28">
        <f>MAX(0,MIN(I37,IF(a_LoanMode="Fixed amount",a_FixedLoan,IF(a_LoanMode="LTC",I37*a_LTCTarget,IF(a_LoanMode="Lender tests",MIN(E37*a_LTVTarget,IF(AND(a_MinDSCR&gt;0,L37&gt;0),out_NOI_Y1/a_MinDSCR/L37,9E+99),IF(a_MinDY&gt;0,out_NOI_Y1/a_MinDY,9E+99)),E37*a_LTVTarget)))))</f>
        <v>5621400</v>
      </c>
      <c r="N37" s="28">
        <f>I37+M37*a_LoanFeePct+a_IntReserve-M37</f>
        <v>3995940.7727871574</v>
      </c>
      <c r="O37" s="28">
        <f>M37*K37</f>
        <v>32909.194652476814</v>
      </c>
      <c r="P37" s="25">
        <f>MAX(0,12*in_HoldYears-ROUND(in_IOYears*12,0))</f>
        <v>84</v>
      </c>
      <c r="Q37" s="28">
        <f>MAX(0,IF(J37=0,M37*(1-P37/(in_AmortYears*12)),M37*((1+J37)^(in_AmortYears*12)-(1+J37)^P37)/((1+J37)^(in_AmortYears*12)-1)))</f>
        <v>5018868.725791827</v>
      </c>
      <c r="R37" s="28">
        <f>IF(Q37&lt;=0,0,IF(a_Prepay="Step-down 5-4-3-2-1",Q37*IF(in_HoldYears&lt;5,CHOOSE(in_HoldYears+1,5,4,3,2,1),0)/100,IF(a_Prepay="Step-down 3-2-1",Q37*IF(in_HoldYears&lt;3,CHOOSE(in_HoldYears+1,3,2,1),0)/100,IF(AND(OR(a_Prepay="Yield maintenance",a_Prepay="Yield maintenance (1% floor)"),a_LoanTerm&gt;in_HoldYears,G37&gt;0,a_IndexRate&gt;0),Q37*MAX(IF(a_Prepay="Yield maintenance",0.5,1),(O37*(1-(1+(a_IndexRate/12))^(-(a_LoanTerm*12-in_HoldYears*12)))/(a_IndexRate/12)+MAX(0,Q37*(1+(G37/12))^(a_LoanTerm*12-in_HoldYears*12)-O37*((1+(G37/12))^(a_LoanTerm*12-in_HoldYears*12)-1)/(G37/12))/(1+(a_IndexRate/12))^(a_LoanTerm*12-in_HoldYears*12)-Q37)/Q37*100+IF(a_Prepay="Yield maintenance",0,1))/100,0))))</f>
        <v>0</v>
      </c>
      <c r="S37" s="28">
        <f>IF(F37&gt;0,out_ExitNOI/F37,0)</f>
        <v>9544986.530056676</v>
      </c>
      <c r="T37" s="28">
        <f>S37*IF(a_SaleCostMode="Market tiers",IF(S37&gt;a_Tier3Over,a_Tier3Pct,IF(S37&gt;a_Tier2Over,a_Tier2Pct,a_Tier1Pct)),a_SaleCostEntered)</f>
        <v>238624.6632514169</v>
      </c>
      <c r="U37" s="28">
        <f>S37-T37-r_LeasingAfterSale-Q37-R37-M37*a_ExtN*a_ExtFeeBps/10000-Q37*a_ExitFeePct</f>
        <v>4265976.343761271</v>
      </c>
      <c r="V37" s="106">
        <f>IFERROR(IRR(X37:AI37),"")</f>
        <v>0.1290669808799104</v>
      </c>
      <c r="W37" s="87">
        <f>SUMIF(Y37:AI37,"&gt;0")/(N37-SUMIF(Y37:AI37,"&lt;0"))</f>
        <v>1.9108531045365538</v>
      </c>
      <c r="X37" s="28">
        <f>-N37</f>
        <v>-3995940.7727871574</v>
      </c>
      <c r="Y37" s="28">
        <f>IF(1&lt;=in_HoldYears,'Cash Flow'!E54-((12-(MAX(0,12*1-ROUND(in_IOYears*12,0))-MAX(0,12*(1-1)-ROUND(in_IOYears*12,0))))*M37*J37+(MAX(0,12*1-ROUND(in_IOYears*12,0))-MAX(0,12*(1-1)-ROUND(in_IOYears*12,0)))*O37)+'Cash Flow'!E61+IF(1=in_HoldYears,U37,0),0)</f>
        <v>544477.3379465407</v>
      </c>
      <c r="Z37" s="28">
        <f>IF(2&lt;=in_HoldYears,'Cash Flow'!F54-((12-(MAX(0,12*2-ROUND(in_IOYears*12,0))-MAX(0,12*(2-1)-ROUND(in_IOYears*12,0))))*M37*J37+(MAX(0,12*2-ROUND(in_IOYears*12,0))-MAX(0,12*(2-1)-ROUND(in_IOYears*12,0)))*O37)+'Cash Flow'!F61+IF(2=in_HoldYears,U37,0),0)</f>
        <v>528838.9514217838</v>
      </c>
      <c r="AA37" s="28">
        <f>IF(3&lt;=in_HoldYears,'Cash Flow'!G54-((12-(MAX(0,12*3-ROUND(in_IOYears*12,0))-MAX(0,12*(3-1)-ROUND(in_IOYears*12,0))))*M37*J37+(MAX(0,12*3-ROUND(in_IOYears*12,0))-MAX(0,12*(3-1)-ROUND(in_IOYears*12,0)))*O37)+'Cash Flow'!G61+IF(3=in_HoldYears,U37,0),0)</f>
        <v>512188.1200892973</v>
      </c>
      <c r="AB37" s="28">
        <f>IF(4&lt;=in_HoldYears,'Cash Flow'!H54-((12-(MAX(0,12*4-ROUND(in_IOYears*12,0))-MAX(0,12*(4-1)-ROUND(in_IOYears*12,0))))*M37*J37+(MAX(0,12*4-ROUND(in_IOYears*12,0))-MAX(0,12*(4-1)-ROUND(in_IOYears*12,0)))*O37)+'Cash Flow'!H61+IF(4=in_HoldYears,U37,0),0)</f>
        <v>479819.0234219993</v>
      </c>
      <c r="AC37" s="28">
        <f>IF(5&lt;=in_HoldYears,'Cash Flow'!I54-((12-(MAX(0,12*5-ROUND(in_IOYears*12,0))-MAX(0,12*(5-1)-ROUND(in_IOYears*12,0))))*M37*J37+(MAX(0,12*5-ROUND(in_IOYears*12,0))-MAX(0,12*(5-1)-ROUND(in_IOYears*12,0)))*O37)+'Cash Flow'!I61+IF(5=in_HoldYears,U37,0),0)</f>
        <v>371923.73989301315</v>
      </c>
      <c r="AD37" s="28">
        <f>IF(6&lt;=in_HoldYears,'Cash Flow'!J54-((12-(MAX(0,12*6-ROUND(in_IOYears*12,0))-MAX(0,12*(6-1)-ROUND(in_IOYears*12,0))))*M37*J37+(MAX(0,12*6-ROUND(in_IOYears*12,0))-MAX(0,12*(6-1)-ROUND(in_IOYears*12,0)))*O37)+'Cash Flow'!J61+IF(6=in_HoldYears,U37,0),0)</f>
        <v>409556.82294201816</v>
      </c>
      <c r="AE37" s="28">
        <f>IF(7&lt;=in_HoldYears,'Cash Flow'!K54-((12-(MAX(0,12*7-ROUND(in_IOYears*12,0))-MAX(0,12*(7-1)-ROUND(in_IOYears*12,0))))*M37*J37+(MAX(0,12*7-ROUND(in_IOYears*12,0))-MAX(0,12*(7-1)-ROUND(in_IOYears*12,0)))*O37)+'Cash Flow'!K61+IF(7=in_HoldYears,U37,0),0)</f>
        <v>4788851.835509883</v>
      </c>
      <c r="AF37" s="28">
        <f>IF(8&lt;=in_HoldYears,'Cash Flow'!L54-((12-(MAX(0,12*8-ROUND(in_IOYears*12,0))-MAX(0,12*(8-1)-ROUND(in_IOYears*12,0))))*M37*J37+(MAX(0,12*8-ROUND(in_IOYears*12,0))-MAX(0,12*(8-1)-ROUND(in_IOYears*12,0)))*O37)+'Cash Flow'!L61+IF(8=in_HoldYears,U37,0),0)</f>
        <v>0</v>
      </c>
      <c r="AG37" s="28">
        <f>IF(9&lt;=in_HoldYears,'Cash Flow'!M54-((12-(MAX(0,12*9-ROUND(in_IOYears*12,0))-MAX(0,12*(9-1)-ROUND(in_IOYears*12,0))))*M37*J37+(MAX(0,12*9-ROUND(in_IOYears*12,0))-MAX(0,12*(9-1)-ROUND(in_IOYears*12,0)))*O37)+'Cash Flow'!M61+IF(9=in_HoldYears,U37,0),0)</f>
        <v>0</v>
      </c>
      <c r="AH37" s="28">
        <f>IF(10&lt;=in_HoldYears,'Cash Flow'!N54-((12-(MAX(0,12*10-ROUND(in_IOYears*12,0))-MAX(0,12*(10-1)-ROUND(in_IOYears*12,0))))*M37*J37+(MAX(0,12*10-ROUND(in_IOYears*12,0))-MAX(0,12*(10-1)-ROUND(in_IOYears*12,0)))*O37)+'Cash Flow'!N61+IF(10=in_HoldYears,U37,0),0)</f>
        <v>0</v>
      </c>
      <c r="AI37" s="28">
        <f>IF(11&lt;=in_HoldYears,'Cash Flow'!O54-((12-(MAX(0,12*11-ROUND(in_IOYears*12,0))-MAX(0,12*(11-1)-ROUND(in_IOYears*12,0))))*M37*J37+(MAX(0,12*11-ROUND(in_IOYears*12,0))-MAX(0,12*(11-1)-ROUND(in_IOYears*12,0)))*O37)+'Cash Flow'!O61+IF(11=in_HoldYears,U37,0),0)</f>
        <v>0</v>
      </c>
    </row>
    <row r="38">
      <c r="B38" s="25">
        <v>2</v>
      </c>
      <c r="C38" s="25">
        <v>-1</v>
      </c>
      <c r="D38" s="25">
        <v>-1</v>
      </c>
      <c r="E38" s="28">
        <f>in_PurchasePrice</f>
        <v>9369000</v>
      </c>
      <c r="F38" s="88">
        <f>in_ExitCap+(-1)*s_CapStep</f>
        <v>0.1014</v>
      </c>
      <c r="G38" s="88">
        <f>in_InterestRate+(-1)*s_RateStep</f>
        <v>0.062000000000000006</v>
      </c>
      <c r="H38" s="28">
        <f>E38*in_ClosingCostPct+a_ClosingOther</f>
        <v>140535</v>
      </c>
      <c r="I38" s="28">
        <f>E38+H38+a_UpfrontOther+a_LeaseUpReserve</f>
        <v>9561126.772787157</v>
      </c>
      <c r="J38" s="88">
        <f>G38*a_DayFactor/12</f>
        <v>0.005238425925925927</v>
      </c>
      <c r="K38" s="24">
        <f>IF(J38=0,1/(in_AmortYears*12),J38/(1-(1+J38)^(-in_AmortYears*12)))</f>
        <v>0.006180677225472388</v>
      </c>
      <c r="L38" s="24">
        <f>MIN(12,in_IOYears*12)*J38+(12-MIN(12,in_IOYears*12))*K38</f>
        <v>0.07416812670566866</v>
      </c>
      <c r="M38" s="28">
        <f>MAX(0,MIN(I38,IF(a_LoanMode="Fixed amount",a_FixedLoan,IF(a_LoanMode="LTC",I38*a_LTCTarget,IF(a_LoanMode="Lender tests",MIN(E38*a_LTVTarget,IF(AND(a_MinDSCR&gt;0,L38&gt;0),out_NOI_Y1/a_MinDSCR/L38,9E+99),IF(a_MinDY&gt;0,out_NOI_Y1/a_MinDY,9E+99)),E38*a_LTVTarget)))))</f>
        <v>5621400</v>
      </c>
      <c r="N38" s="28">
        <f>I38+M38*a_LoanFeePct+a_IntReserve-M38</f>
        <v>3995940.7727871574</v>
      </c>
      <c r="O38" s="28">
        <f>M38*K38</f>
        <v>34744.058955270484</v>
      </c>
      <c r="P38" s="25">
        <f>MAX(0,12*in_HoldYears-ROUND(in_IOYears*12,0))</f>
        <v>84</v>
      </c>
      <c r="Q38" s="28">
        <f>MAX(0,IF(J38=0,M38*(1-P38/(in_AmortYears*12)),M38*((1+J38)^(in_AmortYears*12)-(1+J38)^P38)/((1+J38)^(in_AmortYears*12)-1)))</f>
        <v>5064295.311424832</v>
      </c>
      <c r="R38" s="28">
        <f>IF(Q38&lt;=0,0,IF(a_Prepay="Step-down 5-4-3-2-1",Q38*IF(in_HoldYears&lt;5,CHOOSE(in_HoldYears+1,5,4,3,2,1),0)/100,IF(a_Prepay="Step-down 3-2-1",Q38*IF(in_HoldYears&lt;3,CHOOSE(in_HoldYears+1,3,2,1),0)/100,IF(AND(OR(a_Prepay="Yield maintenance",a_Prepay="Yield maintenance (1% floor)"),a_LoanTerm&gt;in_HoldYears,G38&gt;0,a_IndexRate&gt;0),Q38*MAX(IF(a_Prepay="Yield maintenance",0.5,1),(O38*(1-(1+(a_IndexRate/12))^(-(a_LoanTerm*12-in_HoldYears*12)))/(a_IndexRate/12)+MAX(0,Q38*(1+(G38/12))^(a_LoanTerm*12-in_HoldYears*12)-O38*((1+(G38/12))^(a_LoanTerm*12-in_HoldYears*12)-1)/(G38/12))/(1+(a_IndexRate/12))^(a_LoanTerm*12-in_HoldYears*12)-Q38)/Q38*100+IF(a_Prepay="Yield maintenance",0,1))/100,0))))</f>
        <v>0</v>
      </c>
      <c r="S38" s="28">
        <f>IF(F38&gt;0,out_ExitNOI/F38,0)</f>
        <v>9544986.530056676</v>
      </c>
      <c r="T38" s="28">
        <f>S38*IF(a_SaleCostMode="Market tiers",IF(S38&gt;a_Tier3Over,a_Tier3Pct,IF(S38&gt;a_Tier2Over,a_Tier2Pct,a_Tier1Pct)),a_SaleCostEntered)</f>
        <v>238624.6632514169</v>
      </c>
      <c r="U38" s="28">
        <f>S38-T38-r_LeasingAfterSale-Q38-R38-M38*a_ExtN*a_ExtFeeBps/10000-Q38*a_ExitFeePct</f>
        <v>4220549.758128266</v>
      </c>
      <c r="V38" s="106">
        <f>IFERROR(IRR(X38:AI38),"")</f>
        <v>0.12246615312316243</v>
      </c>
      <c r="W38" s="87">
        <f>SUMIF(Y38:AI38,"&gt;0")/(N38-SUMIF(Y38:AI38,"&lt;0"))</f>
        <v>1.86091362884996</v>
      </c>
      <c r="X38" s="28">
        <f>-N38</f>
        <v>-3995940.7727871574</v>
      </c>
      <c r="Y38" s="28">
        <f>IF(1&lt;=in_HoldYears,'Cash Flow'!E54-((12-(MAX(0,12*1-ROUND(in_IOYears*12,0))-MAX(0,12*(1-1)-ROUND(in_IOYears*12,0))))*M38*J38+(MAX(0,12*1-ROUND(in_IOYears*12,0))-MAX(0,12*(1-1)-ROUND(in_IOYears*12,0)))*O38)+'Cash Flow'!E61+IF(1=in_HoldYears,U38,0),0)</f>
        <v>522458.9663130166</v>
      </c>
      <c r="Z38" s="28">
        <f>IF(2&lt;=in_HoldYears,'Cash Flow'!F54-((12-(MAX(0,12*2-ROUND(in_IOYears*12,0))-MAX(0,12*(2-1)-ROUND(in_IOYears*12,0))))*M38*J38+(MAX(0,12*2-ROUND(in_IOYears*12,0))-MAX(0,12*(2-1)-ROUND(in_IOYears*12,0)))*O38)+'Cash Flow'!F61+IF(2=in_HoldYears,U38,0),0)</f>
        <v>506820.5797882597</v>
      </c>
      <c r="AA38" s="28">
        <f>IF(3&lt;=in_HoldYears,'Cash Flow'!G54-((12-(MAX(0,12*3-ROUND(in_IOYears*12,0))-MAX(0,12*(3-1)-ROUND(in_IOYears*12,0))))*M38*J38+(MAX(0,12*3-ROUND(in_IOYears*12,0))-MAX(0,12*(3-1)-ROUND(in_IOYears*12,0)))*O38)+'Cash Flow'!G61+IF(3=in_HoldYears,U38,0),0)</f>
        <v>490169.7484557732</v>
      </c>
      <c r="AB38" s="28">
        <f>IF(4&lt;=in_HoldYears,'Cash Flow'!H54-((12-(MAX(0,12*4-ROUND(in_IOYears*12,0))-MAX(0,12*(4-1)-ROUND(in_IOYears*12,0))))*M38*J38+(MAX(0,12*4-ROUND(in_IOYears*12,0))-MAX(0,12*(4-1)-ROUND(in_IOYears*12,0)))*O38)+'Cash Flow'!H61+IF(4=in_HoldYears,U38,0),0)</f>
        <v>457800.6517884752</v>
      </c>
      <c r="AC38" s="28">
        <f>IF(5&lt;=in_HoldYears,'Cash Flow'!I54-((12-(MAX(0,12*5-ROUND(in_IOYears*12,0))-MAX(0,12*(5-1)-ROUND(in_IOYears*12,0))))*M38*J38+(MAX(0,12*5-ROUND(in_IOYears*12,0))-MAX(0,12*(5-1)-ROUND(in_IOYears*12,0)))*O38)+'Cash Flow'!I61+IF(5=in_HoldYears,U38,0),0)</f>
        <v>349905.36825948907</v>
      </c>
      <c r="AD38" s="28">
        <f>IF(6&lt;=in_HoldYears,'Cash Flow'!J54-((12-(MAX(0,12*6-ROUND(in_IOYears*12,0))-MAX(0,12*(6-1)-ROUND(in_IOYears*12,0))))*M38*J38+(MAX(0,12*6-ROUND(in_IOYears*12,0))-MAX(0,12*(6-1)-ROUND(in_IOYears*12,0)))*O38)+'Cash Flow'!J61+IF(6=in_HoldYears,U38,0),0)</f>
        <v>387538.4513084941</v>
      </c>
      <c r="AE38" s="28">
        <f>IF(7&lt;=in_HoldYears,'Cash Flow'!K54-((12-(MAX(0,12*7-ROUND(in_IOYears*12,0))-MAX(0,12*(7-1)-ROUND(in_IOYears*12,0))))*M38*J38+(MAX(0,12*7-ROUND(in_IOYears*12,0))-MAX(0,12*(7-1)-ROUND(in_IOYears*12,0)))*O38)+'Cash Flow'!K61+IF(7=in_HoldYears,U38,0),0)</f>
        <v>4721406.878243354</v>
      </c>
      <c r="AF38" s="28">
        <f>IF(8&lt;=in_HoldYears,'Cash Flow'!L54-((12-(MAX(0,12*8-ROUND(in_IOYears*12,0))-MAX(0,12*(8-1)-ROUND(in_IOYears*12,0))))*M38*J38+(MAX(0,12*8-ROUND(in_IOYears*12,0))-MAX(0,12*(8-1)-ROUND(in_IOYears*12,0)))*O38)+'Cash Flow'!L61+IF(8=in_HoldYears,U38,0),0)</f>
        <v>0</v>
      </c>
      <c r="AG38" s="28">
        <f>IF(9&lt;=in_HoldYears,'Cash Flow'!M54-((12-(MAX(0,12*9-ROUND(in_IOYears*12,0))-MAX(0,12*(9-1)-ROUND(in_IOYears*12,0))))*M38*J38+(MAX(0,12*9-ROUND(in_IOYears*12,0))-MAX(0,12*(9-1)-ROUND(in_IOYears*12,0)))*O38)+'Cash Flow'!M61+IF(9=in_HoldYears,U38,0),0)</f>
        <v>0</v>
      </c>
      <c r="AH38" s="28">
        <f>IF(10&lt;=in_HoldYears,'Cash Flow'!N54-((12-(MAX(0,12*10-ROUND(in_IOYears*12,0))-MAX(0,12*(10-1)-ROUND(in_IOYears*12,0))))*M38*J38+(MAX(0,12*10-ROUND(in_IOYears*12,0))-MAX(0,12*(10-1)-ROUND(in_IOYears*12,0)))*O38)+'Cash Flow'!N61+IF(10=in_HoldYears,U38,0),0)</f>
        <v>0</v>
      </c>
      <c r="AI38" s="28">
        <f>IF(11&lt;=in_HoldYears,'Cash Flow'!O54-((12-(MAX(0,12*11-ROUND(in_IOYears*12,0))-MAX(0,12*(11-1)-ROUND(in_IOYears*12,0))))*M38*J38+(MAX(0,12*11-ROUND(in_IOYears*12,0))-MAX(0,12*(11-1)-ROUND(in_IOYears*12,0)))*O38)+'Cash Flow'!O61+IF(11=in_HoldYears,U38,0),0)</f>
        <v>0</v>
      </c>
    </row>
    <row r="39">
      <c r="B39" s="25">
        <v>2</v>
      </c>
      <c r="C39" s="25">
        <v>-1</v>
      </c>
      <c r="D39" s="25">
        <v>0</v>
      </c>
      <c r="E39" s="28">
        <f>in_PurchasePrice</f>
        <v>9369000</v>
      </c>
      <c r="F39" s="88">
        <f>in_ExitCap+(-1)*s_CapStep</f>
        <v>0.1014</v>
      </c>
      <c r="G39" s="88">
        <f>in_InterestRate+(0)*s_RateStep</f>
        <v>0.067</v>
      </c>
      <c r="H39" s="28">
        <f>E39*in_ClosingCostPct+a_ClosingOther</f>
        <v>140535</v>
      </c>
      <c r="I39" s="28">
        <f>E39+H39+a_UpfrontOther+a_LeaseUpReserve</f>
        <v>9561126.772787157</v>
      </c>
      <c r="J39" s="88">
        <f>G39*a_DayFactor/12</f>
        <v>0.005660879629629629</v>
      </c>
      <c r="K39" s="24">
        <f>IF(J39=0,1/(in_AmortYears*12),J39/(1-(1+J39)^(-in_AmortYears*12)))</f>
        <v>0.006514626765893523</v>
      </c>
      <c r="L39" s="24">
        <f>MIN(12,in_IOYears*12)*J39+(12-MIN(12,in_IOYears*12))*K39</f>
        <v>0.07817552119072227</v>
      </c>
      <c r="M39" s="28">
        <f>MAX(0,MIN(I39,IF(a_LoanMode="Fixed amount",a_FixedLoan,IF(a_LoanMode="LTC",I39*a_LTCTarget,IF(a_LoanMode="Lender tests",MIN(E39*a_LTVTarget,IF(AND(a_MinDSCR&gt;0,L39&gt;0),out_NOI_Y1/a_MinDSCR/L39,9E+99),IF(a_MinDY&gt;0,out_NOI_Y1/a_MinDY,9E+99)),E39*a_LTVTarget)))))</f>
        <v>5621400</v>
      </c>
      <c r="N39" s="28">
        <f>I39+M39*a_LoanFeePct+a_IntReserve-M39</f>
        <v>3995940.7727871574</v>
      </c>
      <c r="O39" s="28">
        <f>M39*K39</f>
        <v>36621.32290179385</v>
      </c>
      <c r="P39" s="25">
        <f>MAX(0,12*in_HoldYears-ROUND(in_IOYears*12,0))</f>
        <v>84</v>
      </c>
      <c r="Q39" s="28">
        <f>MAX(0,IF(J39=0,M39*(1-P39/(in_AmortYears*12)),M39*((1+J39)^(in_AmortYears*12)-(1+J39)^P39)/((1+J39)^(in_AmortYears*12)-1)))</f>
        <v>5107056.723644001</v>
      </c>
      <c r="R39" s="28">
        <f>IF(Q39&lt;=0,0,IF(a_Prepay="Step-down 5-4-3-2-1",Q39*IF(in_HoldYears&lt;5,CHOOSE(in_HoldYears+1,5,4,3,2,1),0)/100,IF(a_Prepay="Step-down 3-2-1",Q39*IF(in_HoldYears&lt;3,CHOOSE(in_HoldYears+1,3,2,1),0)/100,IF(AND(OR(a_Prepay="Yield maintenance",a_Prepay="Yield maintenance (1% floor)"),a_LoanTerm&gt;in_HoldYears,G39&gt;0,a_IndexRate&gt;0),Q39*MAX(IF(a_Prepay="Yield maintenance",0.5,1),(O39*(1-(1+(a_IndexRate/12))^(-(a_LoanTerm*12-in_HoldYears*12)))/(a_IndexRate/12)+MAX(0,Q39*(1+(G39/12))^(a_LoanTerm*12-in_HoldYears*12)-O39*((1+(G39/12))^(a_LoanTerm*12-in_HoldYears*12)-1)/(G39/12))/(1+(a_IndexRate/12))^(a_LoanTerm*12-in_HoldYears*12)-Q39)/Q39*100+IF(a_Prepay="Yield maintenance",0,1))/100,0))))</f>
        <v>0</v>
      </c>
      <c r="S39" s="28">
        <f>IF(F39&gt;0,out_ExitNOI/F39,0)</f>
        <v>9544986.530056676</v>
      </c>
      <c r="T39" s="28">
        <f>S39*IF(a_SaleCostMode="Market tiers",IF(S39&gt;a_Tier3Over,a_Tier3Pct,IF(S39&gt;a_Tier2Over,a_Tier2Pct,a_Tier1Pct)),a_SaleCostEntered)</f>
        <v>238624.6632514169</v>
      </c>
      <c r="U39" s="28">
        <f>S39-T39-r_LeasingAfterSale-Q39-R39-M39*a_ExtN*a_ExtFeeBps/10000-Q39*a_ExitFeePct</f>
        <v>4177788.3459090963</v>
      </c>
      <c r="V39" s="106">
        <f>IFERROR(IRR(X39:AI39),"")</f>
        <v>0.11576121814484477</v>
      </c>
      <c r="W39" s="87">
        <f>SUMIF(Y39:AI39,"&gt;0")/(N39-SUMIF(Y39:AI39,"&lt;0"))</f>
        <v>1.810749826350125</v>
      </c>
      <c r="X39" s="28">
        <f>-N39</f>
        <v>-3995940.7727871574</v>
      </c>
      <c r="Y39" s="28">
        <f>IF(1&lt;=in_HoldYears,'Cash Flow'!E54-((12-(MAX(0,12*1-ROUND(in_IOYears*12,0))-MAX(0,12*(1-1)-ROUND(in_IOYears*12,0))))*M39*J39+(MAX(0,12*1-ROUND(in_IOYears*12,0))-MAX(0,12*(1-1)-ROUND(in_IOYears*12,0)))*O39)+'Cash Flow'!E61+IF(1=in_HoldYears,U39,0),0)</f>
        <v>499931.7989547362</v>
      </c>
      <c r="Z39" s="28">
        <f>IF(2&lt;=in_HoldYears,'Cash Flow'!F54-((12-(MAX(0,12*2-ROUND(in_IOYears*12,0))-MAX(0,12*(2-1)-ROUND(in_IOYears*12,0))))*M39*J39+(MAX(0,12*2-ROUND(in_IOYears*12,0))-MAX(0,12*(2-1)-ROUND(in_IOYears*12,0)))*O39)+'Cash Flow'!F61+IF(2=in_HoldYears,U39,0),0)</f>
        <v>484293.4124299793</v>
      </c>
      <c r="AA39" s="28">
        <f>IF(3&lt;=in_HoldYears,'Cash Flow'!G54-((12-(MAX(0,12*3-ROUND(in_IOYears*12,0))-MAX(0,12*(3-1)-ROUND(in_IOYears*12,0))))*M39*J39+(MAX(0,12*3-ROUND(in_IOYears*12,0))-MAX(0,12*(3-1)-ROUND(in_IOYears*12,0)))*O39)+'Cash Flow'!G61+IF(3=in_HoldYears,U39,0),0)</f>
        <v>467642.58109749283</v>
      </c>
      <c r="AB39" s="28">
        <f>IF(4&lt;=in_HoldYears,'Cash Flow'!H54-((12-(MAX(0,12*4-ROUND(in_IOYears*12,0))-MAX(0,12*(4-1)-ROUND(in_IOYears*12,0))))*M39*J39+(MAX(0,12*4-ROUND(in_IOYears*12,0))-MAX(0,12*(4-1)-ROUND(in_IOYears*12,0)))*O39)+'Cash Flow'!H61+IF(4=in_HoldYears,U39,0),0)</f>
        <v>435273.48443019483</v>
      </c>
      <c r="AC39" s="28">
        <f>IF(5&lt;=in_HoldYears,'Cash Flow'!I54-((12-(MAX(0,12*5-ROUND(in_IOYears*12,0))-MAX(0,12*(5-1)-ROUND(in_IOYears*12,0))))*M39*J39+(MAX(0,12*5-ROUND(in_IOYears*12,0))-MAX(0,12*(5-1)-ROUND(in_IOYears*12,0)))*O39)+'Cash Flow'!I61+IF(5=in_HoldYears,U39,0),0)</f>
        <v>327378.2009012087</v>
      </c>
      <c r="AD39" s="28">
        <f>IF(6&lt;=in_HoldYears,'Cash Flow'!J54-((12-(MAX(0,12*6-ROUND(in_IOYears*12,0))-MAX(0,12*(6-1)-ROUND(in_IOYears*12,0))))*M39*J39+(MAX(0,12*6-ROUND(in_IOYears*12,0))-MAX(0,12*(6-1)-ROUND(in_IOYears*12,0)))*O39)+'Cash Flow'!J61+IF(6=in_HoldYears,U39,0),0)</f>
        <v>365011.2839502137</v>
      </c>
      <c r="AE39" s="28">
        <f>IF(7&lt;=in_HoldYears,'Cash Flow'!K54-((12-(MAX(0,12*7-ROUND(in_IOYears*12,0))-MAX(0,12*(7-1)-ROUND(in_IOYears*12,0))))*M39*J39+(MAX(0,12*7-ROUND(in_IOYears*12,0))-MAX(0,12*(7-1)-ROUND(in_IOYears*12,0)))*O39)+'Cash Flow'!K61+IF(7=in_HoldYears,U39,0),0)</f>
        <v>4656118.298665904</v>
      </c>
      <c r="AF39" s="28">
        <f>IF(8&lt;=in_HoldYears,'Cash Flow'!L54-((12-(MAX(0,12*8-ROUND(in_IOYears*12,0))-MAX(0,12*(8-1)-ROUND(in_IOYears*12,0))))*M39*J39+(MAX(0,12*8-ROUND(in_IOYears*12,0))-MAX(0,12*(8-1)-ROUND(in_IOYears*12,0)))*O39)+'Cash Flow'!L61+IF(8=in_HoldYears,U39,0),0)</f>
        <v>0</v>
      </c>
      <c r="AG39" s="28">
        <f>IF(9&lt;=in_HoldYears,'Cash Flow'!M54-((12-(MAX(0,12*9-ROUND(in_IOYears*12,0))-MAX(0,12*(9-1)-ROUND(in_IOYears*12,0))))*M39*J39+(MAX(0,12*9-ROUND(in_IOYears*12,0))-MAX(0,12*(9-1)-ROUND(in_IOYears*12,0)))*O39)+'Cash Flow'!M61+IF(9=in_HoldYears,U39,0),0)</f>
        <v>0</v>
      </c>
      <c r="AH39" s="28">
        <f>IF(10&lt;=in_HoldYears,'Cash Flow'!N54-((12-(MAX(0,12*10-ROUND(in_IOYears*12,0))-MAX(0,12*(10-1)-ROUND(in_IOYears*12,0))))*M39*J39+(MAX(0,12*10-ROUND(in_IOYears*12,0))-MAX(0,12*(10-1)-ROUND(in_IOYears*12,0)))*O39)+'Cash Flow'!N61+IF(10=in_HoldYears,U39,0),0)</f>
        <v>0</v>
      </c>
      <c r="AI39" s="28">
        <f>IF(11&lt;=in_HoldYears,'Cash Flow'!O54-((12-(MAX(0,12*11-ROUND(in_IOYears*12,0))-MAX(0,12*(11-1)-ROUND(in_IOYears*12,0))))*M39*J39+(MAX(0,12*11-ROUND(in_IOYears*12,0))-MAX(0,12*(11-1)-ROUND(in_IOYears*12,0)))*O39)+'Cash Flow'!O61+IF(11=in_HoldYears,U39,0),0)</f>
        <v>0</v>
      </c>
    </row>
    <row r="40">
      <c r="B40" s="25">
        <v>2</v>
      </c>
      <c r="C40" s="25">
        <v>-1</v>
      </c>
      <c r="D40" s="25">
        <v>1</v>
      </c>
      <c r="E40" s="28">
        <f>in_PurchasePrice</f>
        <v>9369000</v>
      </c>
      <c r="F40" s="88">
        <f>in_ExitCap+(-1)*s_CapStep</f>
        <v>0.1014</v>
      </c>
      <c r="G40" s="88">
        <f>in_InterestRate+(1)*s_RateStep</f>
        <v>0.07200000000000001</v>
      </c>
      <c r="H40" s="28">
        <f>E40*in_ClosingCostPct+a_ClosingOther</f>
        <v>140535</v>
      </c>
      <c r="I40" s="28">
        <f>E40+H40+a_UpfrontOther+a_LeaseUpReserve</f>
        <v>9561126.772787157</v>
      </c>
      <c r="J40" s="88">
        <f>G40*a_DayFactor/12</f>
        <v>0.006083333333333334</v>
      </c>
      <c r="K40" s="24">
        <f>IF(J40=0,1/(in_AmortYears*12),J40/(1-(1+J40)^(-in_AmortYears*12)))</f>
        <v>0.006855709283653555</v>
      </c>
      <c r="L40" s="24">
        <f>MIN(12,in_IOYears*12)*J40+(12-MIN(12,in_IOYears*12))*K40</f>
        <v>0.08226851140384267</v>
      </c>
      <c r="M40" s="28">
        <f>MAX(0,MIN(I40,IF(a_LoanMode="Fixed amount",a_FixedLoan,IF(a_LoanMode="LTC",I40*a_LTCTarget,IF(a_LoanMode="Lender tests",MIN(E40*a_LTVTarget,IF(AND(a_MinDSCR&gt;0,L40&gt;0),out_NOI_Y1/a_MinDSCR/L40,9E+99),IF(a_MinDY&gt;0,out_NOI_Y1/a_MinDY,9E+99)),E40*a_LTVTarget)))))</f>
        <v>5621400</v>
      </c>
      <c r="N40" s="28">
        <f>I40+M40*a_LoanFeePct+a_IntReserve-M40</f>
        <v>3995940.7727871574</v>
      </c>
      <c r="O40" s="28">
        <f>M40*K40</f>
        <v>38538.68416713009</v>
      </c>
      <c r="P40" s="25">
        <f>MAX(0,12*in_HoldYears-ROUND(in_IOYears*12,0))</f>
        <v>84</v>
      </c>
      <c r="Q40" s="28">
        <f>MAX(0,IF(J40=0,M40*(1-P40/(in_AmortYears*12)),M40*((1+J40)^(in_AmortYears*12)-(1+J40)^P40)/((1+J40)^(in_AmortYears*12)-1)))</f>
        <v>5147215.440592228</v>
      </c>
      <c r="R40" s="28">
        <f>IF(Q40&lt;=0,0,IF(a_Prepay="Step-down 5-4-3-2-1",Q40*IF(in_HoldYears&lt;5,CHOOSE(in_HoldYears+1,5,4,3,2,1),0)/100,IF(a_Prepay="Step-down 3-2-1",Q40*IF(in_HoldYears&lt;3,CHOOSE(in_HoldYears+1,3,2,1),0)/100,IF(AND(OR(a_Prepay="Yield maintenance",a_Prepay="Yield maintenance (1% floor)"),a_LoanTerm&gt;in_HoldYears,G40&gt;0,a_IndexRate&gt;0),Q40*MAX(IF(a_Prepay="Yield maintenance",0.5,1),(O40*(1-(1+(a_IndexRate/12))^(-(a_LoanTerm*12-in_HoldYears*12)))/(a_IndexRate/12)+MAX(0,Q40*(1+(G40/12))^(a_LoanTerm*12-in_HoldYears*12)-O40*((1+(G40/12))^(a_LoanTerm*12-in_HoldYears*12)-1)/(G40/12))/(1+(a_IndexRate/12))^(a_LoanTerm*12-in_HoldYears*12)-Q40)/Q40*100+IF(a_Prepay="Yield maintenance",0,1))/100,0))))</f>
        <v>0</v>
      </c>
      <c r="S40" s="28">
        <f>IF(F40&gt;0,out_ExitNOI/F40,0)</f>
        <v>9544986.530056676</v>
      </c>
      <c r="T40" s="28">
        <f>S40*IF(a_SaleCostMode="Market tiers",IF(S40&gt;a_Tier3Over,a_Tier3Pct,IF(S40&gt;a_Tier2Over,a_Tier2Pct,a_Tier1Pct)),a_SaleCostEntered)</f>
        <v>238624.6632514169</v>
      </c>
      <c r="U40" s="28">
        <f>S40-T40-r_LeasingAfterSale-Q40-R40-M40*a_ExtN*a_ExtFeeBps/10000-Q40*a_ExitFeePct</f>
        <v>4137629.6289608693</v>
      </c>
      <c r="V40" s="106">
        <f>IFERROR(IRR(X40:AI40),"")</f>
        <v>0.10895944527842215</v>
      </c>
      <c r="W40" s="87">
        <f>SUMIF(Y40:AI40,"&gt;0")/(N40-SUMIF(Y40:AI40,"&lt;0"))</f>
        <v>1.7603944595722227</v>
      </c>
      <c r="X40" s="28">
        <f>-N40</f>
        <v>-3995940.7727871574</v>
      </c>
      <c r="Y40" s="28">
        <f>IF(1&lt;=in_HoldYears,'Cash Flow'!E54-((12-(MAX(0,12*1-ROUND(in_IOYears*12,0))-MAX(0,12*(1-1)-ROUND(in_IOYears*12,0))))*M40*J40+(MAX(0,12*1-ROUND(in_IOYears*12,0))-MAX(0,12*(1-1)-ROUND(in_IOYears*12,0)))*O40)+'Cash Flow'!E61+IF(1=in_HoldYears,U40,0),0)</f>
        <v>476923.4637707013</v>
      </c>
      <c r="Z40" s="28">
        <f>IF(2&lt;=in_HoldYears,'Cash Flow'!F54-((12-(MAX(0,12*2-ROUND(in_IOYears*12,0))-MAX(0,12*(2-1)-ROUND(in_IOYears*12,0))))*M40*J40+(MAX(0,12*2-ROUND(in_IOYears*12,0))-MAX(0,12*(2-1)-ROUND(in_IOYears*12,0)))*O40)+'Cash Flow'!F61+IF(2=in_HoldYears,U40,0),0)</f>
        <v>461285.0772459444</v>
      </c>
      <c r="AA40" s="28">
        <f>IF(3&lt;=in_HoldYears,'Cash Flow'!G54-((12-(MAX(0,12*3-ROUND(in_IOYears*12,0))-MAX(0,12*(3-1)-ROUND(in_IOYears*12,0))))*M40*J40+(MAX(0,12*3-ROUND(in_IOYears*12,0))-MAX(0,12*(3-1)-ROUND(in_IOYears*12,0)))*O40)+'Cash Flow'!G61+IF(3=in_HoldYears,U40,0),0)</f>
        <v>444634.24591345794</v>
      </c>
      <c r="AB40" s="28">
        <f>IF(4&lt;=in_HoldYears,'Cash Flow'!H54-((12-(MAX(0,12*4-ROUND(in_IOYears*12,0))-MAX(0,12*(4-1)-ROUND(in_IOYears*12,0))))*M40*J40+(MAX(0,12*4-ROUND(in_IOYears*12,0))-MAX(0,12*(4-1)-ROUND(in_IOYears*12,0)))*O40)+'Cash Flow'!H61+IF(4=in_HoldYears,U40,0),0)</f>
        <v>412265.14924615994</v>
      </c>
      <c r="AC40" s="28">
        <f>IF(5&lt;=in_HoldYears,'Cash Flow'!I54-((12-(MAX(0,12*5-ROUND(in_IOYears*12,0))-MAX(0,12*(5-1)-ROUND(in_IOYears*12,0))))*M40*J40+(MAX(0,12*5-ROUND(in_IOYears*12,0))-MAX(0,12*(5-1)-ROUND(in_IOYears*12,0)))*O40)+'Cash Flow'!I61+IF(5=in_HoldYears,U40,0),0)</f>
        <v>304369.8657171738</v>
      </c>
      <c r="AD40" s="28">
        <f>IF(6&lt;=in_HoldYears,'Cash Flow'!J54-((12-(MAX(0,12*6-ROUND(in_IOYears*12,0))-MAX(0,12*(6-1)-ROUND(in_IOYears*12,0))))*M40*J40+(MAX(0,12*6-ROUND(in_IOYears*12,0))-MAX(0,12*(6-1)-ROUND(in_IOYears*12,0)))*O40)+'Cash Flow'!J61+IF(6=in_HoldYears,U40,0),0)</f>
        <v>342002.9487661788</v>
      </c>
      <c r="AE40" s="28">
        <f>IF(7&lt;=in_HoldYears,'Cash Flow'!K54-((12-(MAX(0,12*7-ROUND(in_IOYears*12,0))-MAX(0,12*(7-1)-ROUND(in_IOYears*12,0))))*M40*J40+(MAX(0,12*7-ROUND(in_IOYears*12,0))-MAX(0,12*(7-1)-ROUND(in_IOYears*12,0)))*O40)+'Cash Flow'!K61+IF(7=in_HoldYears,U40,0),0)</f>
        <v>4592951.2465336425</v>
      </c>
      <c r="AF40" s="28">
        <f>IF(8&lt;=in_HoldYears,'Cash Flow'!L54-((12-(MAX(0,12*8-ROUND(in_IOYears*12,0))-MAX(0,12*(8-1)-ROUND(in_IOYears*12,0))))*M40*J40+(MAX(0,12*8-ROUND(in_IOYears*12,0))-MAX(0,12*(8-1)-ROUND(in_IOYears*12,0)))*O40)+'Cash Flow'!L61+IF(8=in_HoldYears,U40,0),0)</f>
        <v>0</v>
      </c>
      <c r="AG40" s="28">
        <f>IF(9&lt;=in_HoldYears,'Cash Flow'!M54-((12-(MAX(0,12*9-ROUND(in_IOYears*12,0))-MAX(0,12*(9-1)-ROUND(in_IOYears*12,0))))*M40*J40+(MAX(0,12*9-ROUND(in_IOYears*12,0))-MAX(0,12*(9-1)-ROUND(in_IOYears*12,0)))*O40)+'Cash Flow'!M61+IF(9=in_HoldYears,U40,0),0)</f>
        <v>0</v>
      </c>
      <c r="AH40" s="28">
        <f>IF(10&lt;=in_HoldYears,'Cash Flow'!N54-((12-(MAX(0,12*10-ROUND(in_IOYears*12,0))-MAX(0,12*(10-1)-ROUND(in_IOYears*12,0))))*M40*J40+(MAX(0,12*10-ROUND(in_IOYears*12,0))-MAX(0,12*(10-1)-ROUND(in_IOYears*12,0)))*O40)+'Cash Flow'!N61+IF(10=in_HoldYears,U40,0),0)</f>
        <v>0</v>
      </c>
      <c r="AI40" s="28">
        <f>IF(11&lt;=in_HoldYears,'Cash Flow'!O54-((12-(MAX(0,12*11-ROUND(in_IOYears*12,0))-MAX(0,12*(11-1)-ROUND(in_IOYears*12,0))))*M40*J40+(MAX(0,12*11-ROUND(in_IOYears*12,0))-MAX(0,12*(11-1)-ROUND(in_IOYears*12,0)))*O40)+'Cash Flow'!O61+IF(11=in_HoldYears,U40,0),0)</f>
        <v>0</v>
      </c>
    </row>
    <row r="41">
      <c r="B41" s="25">
        <v>2</v>
      </c>
      <c r="C41" s="25">
        <v>-1</v>
      </c>
      <c r="D41" s="25">
        <v>2</v>
      </c>
      <c r="E41" s="28">
        <f>in_PurchasePrice</f>
        <v>9369000</v>
      </c>
      <c r="F41" s="88">
        <f>in_ExitCap+(-1)*s_CapStep</f>
        <v>0.1014</v>
      </c>
      <c r="G41" s="88">
        <f>in_InterestRate+(2)*s_RateStep</f>
        <v>0.077</v>
      </c>
      <c r="H41" s="28">
        <f>E41*in_ClosingCostPct+a_ClosingOther</f>
        <v>140535</v>
      </c>
      <c r="I41" s="28">
        <f>E41+H41+a_UpfrontOther+a_LeaseUpReserve</f>
        <v>9561126.772787157</v>
      </c>
      <c r="J41" s="88">
        <f>G41*a_DayFactor/12</f>
        <v>0.0065057870370370365</v>
      </c>
      <c r="K41" s="24">
        <f>IF(J41=0,1/(in_AmortYears*12),J41/(1-(1+J41)^(-in_AmortYears*12)))</f>
        <v>0.007203513009166921</v>
      </c>
      <c r="L41" s="24">
        <f>MIN(12,in_IOYears*12)*J41+(12-MIN(12,in_IOYears*12))*K41</f>
        <v>0.08644215611000305</v>
      </c>
      <c r="M41" s="28">
        <f>MAX(0,MIN(I41,IF(a_LoanMode="Fixed amount",a_FixedLoan,IF(a_LoanMode="LTC",I41*a_LTCTarget,IF(a_LoanMode="Lender tests",MIN(E41*a_LTVTarget,IF(AND(a_MinDSCR&gt;0,L41&gt;0),out_NOI_Y1/a_MinDSCR/L41,9E+99),IF(a_MinDY&gt;0,out_NOI_Y1/a_MinDY,9E+99)),E41*a_LTVTarget)))))</f>
        <v>5621400</v>
      </c>
      <c r="N41" s="28">
        <f>I41+M41*a_LoanFeePct+a_IntReserve-M41</f>
        <v>3995940.7727871574</v>
      </c>
      <c r="O41" s="28">
        <f>M41*K41</f>
        <v>40493.828029730925</v>
      </c>
      <c r="P41" s="25">
        <f>MAX(0,12*in_HoldYears-ROUND(in_IOYears*12,0))</f>
        <v>84</v>
      </c>
      <c r="Q41" s="28">
        <f>MAX(0,IF(J41=0,M41*(1-P41/(in_AmortYears*12)),M41*((1+J41)^(in_AmortYears*12)-(1+J41)^P41)/((1+J41)^(in_AmortYears*12)-1)))</f>
        <v>5184844.560712963</v>
      </c>
      <c r="R41" s="28">
        <f>IF(Q41&lt;=0,0,IF(a_Prepay="Step-down 5-4-3-2-1",Q41*IF(in_HoldYears&lt;5,CHOOSE(in_HoldYears+1,5,4,3,2,1),0)/100,IF(a_Prepay="Step-down 3-2-1",Q41*IF(in_HoldYears&lt;3,CHOOSE(in_HoldYears+1,3,2,1),0)/100,IF(AND(OR(a_Prepay="Yield maintenance",a_Prepay="Yield maintenance (1% floor)"),a_LoanTerm&gt;in_HoldYears,G41&gt;0,a_IndexRate&gt;0),Q41*MAX(IF(a_Prepay="Yield maintenance",0.5,1),(O41*(1-(1+(a_IndexRate/12))^(-(a_LoanTerm*12-in_HoldYears*12)))/(a_IndexRate/12)+MAX(0,Q41*(1+(G41/12))^(a_LoanTerm*12-in_HoldYears*12)-O41*((1+(G41/12))^(a_LoanTerm*12-in_HoldYears*12)-1)/(G41/12))/(1+(a_IndexRate/12))^(a_LoanTerm*12-in_HoldYears*12)-Q41)/Q41*100+IF(a_Prepay="Yield maintenance",0,1))/100,0))))</f>
        <v>0</v>
      </c>
      <c r="S41" s="28">
        <f>IF(F41&gt;0,out_ExitNOI/F41,0)</f>
        <v>9544986.530056676</v>
      </c>
      <c r="T41" s="28">
        <f>S41*IF(a_SaleCostMode="Market tiers",IF(S41&gt;a_Tier3Over,a_Tier3Pct,IF(S41&gt;a_Tier2Over,a_Tier2Pct,a_Tier1Pct)),a_SaleCostEntered)</f>
        <v>238624.6632514169</v>
      </c>
      <c r="U41" s="28">
        <f>S41-T41-r_LeasingAfterSale-Q41-R41-M41*a_ExtN*a_ExtFeeBps/10000-Q41*a_ExitFeePct</f>
        <v>4100000.5088401344</v>
      </c>
      <c r="V41" s="106">
        <f>IFERROR(IRR(X41:AI41),"")</f>
        <v>0.10206800378837277</v>
      </c>
      <c r="W41" s="87">
        <f>SUMIF(Y41:AI41,"&gt;0")/(N41-SUMIF(Y41:AI41,"&lt;0"))</f>
        <v>1.7098778938728751</v>
      </c>
      <c r="X41" s="28">
        <f>-N41</f>
        <v>-3995940.7727871574</v>
      </c>
      <c r="Y41" s="28">
        <f>IF(1&lt;=in_HoldYears,'Cash Flow'!E54-((12-(MAX(0,12*1-ROUND(in_IOYears*12,0))-MAX(0,12*(1-1)-ROUND(in_IOYears*12,0))))*M41*J41+(MAX(0,12*1-ROUND(in_IOYears*12,0))-MAX(0,12*(1-1)-ROUND(in_IOYears*12,0)))*O41)+'Cash Flow'!E61+IF(1=in_HoldYears,U41,0),0)</f>
        <v>453461.73741949134</v>
      </c>
      <c r="Z41" s="28">
        <f>IF(2&lt;=in_HoldYears,'Cash Flow'!F54-((12-(MAX(0,12*2-ROUND(in_IOYears*12,0))-MAX(0,12*(2-1)-ROUND(in_IOYears*12,0))))*M41*J41+(MAX(0,12*2-ROUND(in_IOYears*12,0))-MAX(0,12*(2-1)-ROUND(in_IOYears*12,0)))*O41)+'Cash Flow'!F61+IF(2=in_HoldYears,U41,0),0)</f>
        <v>437823.35089473444</v>
      </c>
      <c r="AA41" s="28">
        <f>IF(3&lt;=in_HoldYears,'Cash Flow'!G54-((12-(MAX(0,12*3-ROUND(in_IOYears*12,0))-MAX(0,12*(3-1)-ROUND(in_IOYears*12,0))))*M41*J41+(MAX(0,12*3-ROUND(in_IOYears*12,0))-MAX(0,12*(3-1)-ROUND(in_IOYears*12,0)))*O41)+'Cash Flow'!G61+IF(3=in_HoldYears,U41,0),0)</f>
        <v>421172.51956224797</v>
      </c>
      <c r="AB41" s="28">
        <f>IF(4&lt;=in_HoldYears,'Cash Flow'!H54-((12-(MAX(0,12*4-ROUND(in_IOYears*12,0))-MAX(0,12*(4-1)-ROUND(in_IOYears*12,0))))*M41*J41+(MAX(0,12*4-ROUND(in_IOYears*12,0))-MAX(0,12*(4-1)-ROUND(in_IOYears*12,0)))*O41)+'Cash Flow'!H61+IF(4=in_HoldYears,U41,0),0)</f>
        <v>388803.42289494997</v>
      </c>
      <c r="AC41" s="28">
        <f>IF(5&lt;=in_HoldYears,'Cash Flow'!I54-((12-(MAX(0,12*5-ROUND(in_IOYears*12,0))-MAX(0,12*(5-1)-ROUND(in_IOYears*12,0))))*M41*J41+(MAX(0,12*5-ROUND(in_IOYears*12,0))-MAX(0,12*(5-1)-ROUND(in_IOYears*12,0)))*O41)+'Cash Flow'!I61+IF(5=in_HoldYears,U41,0),0)</f>
        <v>280908.1393659638</v>
      </c>
      <c r="AD41" s="28">
        <f>IF(6&lt;=in_HoldYears,'Cash Flow'!J54-((12-(MAX(0,12*6-ROUND(in_IOYears*12,0))-MAX(0,12*(6-1)-ROUND(in_IOYears*12,0))))*M41*J41+(MAX(0,12*6-ROUND(in_IOYears*12,0))-MAX(0,12*(6-1)-ROUND(in_IOYears*12,0)))*O41)+'Cash Flow'!J61+IF(6=in_HoldYears,U41,0),0)</f>
        <v>318541.2224149688</v>
      </c>
      <c r="AE41" s="28">
        <f>IF(7&lt;=in_HoldYears,'Cash Flow'!K54-((12-(MAX(0,12*7-ROUND(in_IOYears*12,0))-MAX(0,12*(7-1)-ROUND(in_IOYears*12,0))))*M41*J41+(MAX(0,12*7-ROUND(in_IOYears*12,0))-MAX(0,12*(7-1)-ROUND(in_IOYears*12,0)))*O41)+'Cash Flow'!K61+IF(7=in_HoldYears,U41,0),0)</f>
        <v>4531860.400061698</v>
      </c>
      <c r="AF41" s="28">
        <f>IF(8&lt;=in_HoldYears,'Cash Flow'!L54-((12-(MAX(0,12*8-ROUND(in_IOYears*12,0))-MAX(0,12*(8-1)-ROUND(in_IOYears*12,0))))*M41*J41+(MAX(0,12*8-ROUND(in_IOYears*12,0))-MAX(0,12*(8-1)-ROUND(in_IOYears*12,0)))*O41)+'Cash Flow'!L61+IF(8=in_HoldYears,U41,0),0)</f>
        <v>0</v>
      </c>
      <c r="AG41" s="28">
        <f>IF(9&lt;=in_HoldYears,'Cash Flow'!M54-((12-(MAX(0,12*9-ROUND(in_IOYears*12,0))-MAX(0,12*(9-1)-ROUND(in_IOYears*12,0))))*M41*J41+(MAX(0,12*9-ROUND(in_IOYears*12,0))-MAX(0,12*(9-1)-ROUND(in_IOYears*12,0)))*O41)+'Cash Flow'!M61+IF(9=in_HoldYears,U41,0),0)</f>
        <v>0</v>
      </c>
      <c r="AH41" s="28">
        <f>IF(10&lt;=in_HoldYears,'Cash Flow'!N54-((12-(MAX(0,12*10-ROUND(in_IOYears*12,0))-MAX(0,12*(10-1)-ROUND(in_IOYears*12,0))))*M41*J41+(MAX(0,12*10-ROUND(in_IOYears*12,0))-MAX(0,12*(10-1)-ROUND(in_IOYears*12,0)))*O41)+'Cash Flow'!N61+IF(10=in_HoldYears,U41,0),0)</f>
        <v>0</v>
      </c>
      <c r="AI41" s="28">
        <f>IF(11&lt;=in_HoldYears,'Cash Flow'!O54-((12-(MAX(0,12*11-ROUND(in_IOYears*12,0))-MAX(0,12*(11-1)-ROUND(in_IOYears*12,0))))*M41*J41+(MAX(0,12*11-ROUND(in_IOYears*12,0))-MAX(0,12*(11-1)-ROUND(in_IOYears*12,0)))*O41)+'Cash Flow'!O61+IF(11=in_HoldYears,U41,0),0)</f>
        <v>0</v>
      </c>
    </row>
    <row r="42">
      <c r="B42" s="25">
        <v>2</v>
      </c>
      <c r="C42" s="25">
        <v>0</v>
      </c>
      <c r="D42" s="25">
        <v>-2</v>
      </c>
      <c r="E42" s="28">
        <f>in_PurchasePrice</f>
        <v>9369000</v>
      </c>
      <c r="F42" s="88">
        <f>in_ExitCap+(0)*s_CapStep</f>
        <v>0.1039</v>
      </c>
      <c r="G42" s="88">
        <f>in_InterestRate+(-2)*s_RateStep</f>
        <v>0.057</v>
      </c>
      <c r="H42" s="28">
        <f>E42*in_ClosingCostPct+a_ClosingOther</f>
        <v>140535</v>
      </c>
      <c r="I42" s="28">
        <f>E42+H42+a_UpfrontOther+a_LeaseUpReserve</f>
        <v>9561126.772787157</v>
      </c>
      <c r="J42" s="88">
        <f>G42*a_DayFactor/12</f>
        <v>0.004815972222222222</v>
      </c>
      <c r="K42" s="24">
        <f>IF(J42=0,1/(in_AmortYears*12),J42/(1-(1+J42)^(-in_AmortYears*12)))</f>
        <v>0.005854270226718756</v>
      </c>
      <c r="L42" s="24">
        <f>MIN(12,in_IOYears*12)*J42+(12-MIN(12,in_IOYears*12))*K42</f>
        <v>0.07025124272062507</v>
      </c>
      <c r="M42" s="28">
        <f>MAX(0,MIN(I42,IF(a_LoanMode="Fixed amount",a_FixedLoan,IF(a_LoanMode="LTC",I42*a_LTCTarget,IF(a_LoanMode="Lender tests",MIN(E42*a_LTVTarget,IF(AND(a_MinDSCR&gt;0,L42&gt;0),out_NOI_Y1/a_MinDSCR/L42,9E+99),IF(a_MinDY&gt;0,out_NOI_Y1/a_MinDY,9E+99)),E42*a_LTVTarget)))))</f>
        <v>5621400</v>
      </c>
      <c r="N42" s="28">
        <f>I42+M42*a_LoanFeePct+a_IntReserve-M42</f>
        <v>3995940.7727871574</v>
      </c>
      <c r="O42" s="28">
        <f>M42*K42</f>
        <v>32909.194652476814</v>
      </c>
      <c r="P42" s="25">
        <f>MAX(0,12*in_HoldYears-ROUND(in_IOYears*12,0))</f>
        <v>84</v>
      </c>
      <c r="Q42" s="28">
        <f>MAX(0,IF(J42=0,M42*(1-P42/(in_AmortYears*12)),M42*((1+J42)^(in_AmortYears*12)-(1+J42)^P42)/((1+J42)^(in_AmortYears*12)-1)))</f>
        <v>5018868.725791827</v>
      </c>
      <c r="R42" s="28">
        <f>IF(Q42&lt;=0,0,IF(a_Prepay="Step-down 5-4-3-2-1",Q42*IF(in_HoldYears&lt;5,CHOOSE(in_HoldYears+1,5,4,3,2,1),0)/100,IF(a_Prepay="Step-down 3-2-1",Q42*IF(in_HoldYears&lt;3,CHOOSE(in_HoldYears+1,3,2,1),0)/100,IF(AND(OR(a_Prepay="Yield maintenance",a_Prepay="Yield maintenance (1% floor)"),a_LoanTerm&gt;in_HoldYears,G42&gt;0,a_IndexRate&gt;0),Q42*MAX(IF(a_Prepay="Yield maintenance",0.5,1),(O42*(1-(1+(a_IndexRate/12))^(-(a_LoanTerm*12-in_HoldYears*12)))/(a_IndexRate/12)+MAX(0,Q42*(1+(G42/12))^(a_LoanTerm*12-in_HoldYears*12)-O42*((1+(G42/12))^(a_LoanTerm*12-in_HoldYears*12)-1)/(G42/12))/(1+(a_IndexRate/12))^(a_LoanTerm*12-in_HoldYears*12)-Q42)/Q42*100+IF(a_Prepay="Yield maintenance",0,1))/100,0))))</f>
        <v>0</v>
      </c>
      <c r="S42" s="28">
        <f>IF(F42&gt;0,out_ExitNOI/F42,0)</f>
        <v>9315318.904213157</v>
      </c>
      <c r="T42" s="28">
        <f>S42*IF(a_SaleCostMode="Market tiers",IF(S42&gt;a_Tier3Over,a_Tier3Pct,IF(S42&gt;a_Tier2Over,a_Tier2Pct,a_Tier1Pct)),a_SaleCostEntered)</f>
        <v>232882.97260532892</v>
      </c>
      <c r="U42" s="28">
        <f>S42-T42-r_LeasingAfterSale-Q42-R42-M42*a_ExtN*a_ExtFeeBps/10000-Q42*a_ExitFeePct</f>
        <v>4042050.4085638393</v>
      </c>
      <c r="V42" s="106">
        <f>IFERROR(IRR(X42:AI42),"")</f>
        <v>0.1235964894425021</v>
      </c>
      <c r="W42" s="87">
        <f>SUMIF(Y42:AI42,"&gt;0")/(N42-SUMIF(Y42:AI42,"&lt;0"))</f>
        <v>1.854814752636447</v>
      </c>
      <c r="X42" s="28">
        <f>-N42</f>
        <v>-3995940.7727871574</v>
      </c>
      <c r="Y42" s="28">
        <f>IF(1&lt;=in_HoldYears,'Cash Flow'!E54-((12-(MAX(0,12*1-ROUND(in_IOYears*12,0))-MAX(0,12*(1-1)-ROUND(in_IOYears*12,0))))*M42*J42+(MAX(0,12*1-ROUND(in_IOYears*12,0))-MAX(0,12*(1-1)-ROUND(in_IOYears*12,0)))*O42)+'Cash Flow'!E61+IF(1=in_HoldYears,U42,0),0)</f>
        <v>544477.3379465407</v>
      </c>
      <c r="Z42" s="28">
        <f>IF(2&lt;=in_HoldYears,'Cash Flow'!F54-((12-(MAX(0,12*2-ROUND(in_IOYears*12,0))-MAX(0,12*(2-1)-ROUND(in_IOYears*12,0))))*M42*J42+(MAX(0,12*2-ROUND(in_IOYears*12,0))-MAX(0,12*(2-1)-ROUND(in_IOYears*12,0)))*O42)+'Cash Flow'!F61+IF(2=in_HoldYears,U42,0),0)</f>
        <v>528838.9514217838</v>
      </c>
      <c r="AA42" s="28">
        <f>IF(3&lt;=in_HoldYears,'Cash Flow'!G54-((12-(MAX(0,12*3-ROUND(in_IOYears*12,0))-MAX(0,12*(3-1)-ROUND(in_IOYears*12,0))))*M42*J42+(MAX(0,12*3-ROUND(in_IOYears*12,0))-MAX(0,12*(3-1)-ROUND(in_IOYears*12,0)))*O42)+'Cash Flow'!G61+IF(3=in_HoldYears,U42,0),0)</f>
        <v>512188.1200892973</v>
      </c>
      <c r="AB42" s="28">
        <f>IF(4&lt;=in_HoldYears,'Cash Flow'!H54-((12-(MAX(0,12*4-ROUND(in_IOYears*12,0))-MAX(0,12*(4-1)-ROUND(in_IOYears*12,0))))*M42*J42+(MAX(0,12*4-ROUND(in_IOYears*12,0))-MAX(0,12*(4-1)-ROUND(in_IOYears*12,0)))*O42)+'Cash Flow'!H61+IF(4=in_HoldYears,U42,0),0)</f>
        <v>479819.0234219993</v>
      </c>
      <c r="AC42" s="28">
        <f>IF(5&lt;=in_HoldYears,'Cash Flow'!I54-((12-(MAX(0,12*5-ROUND(in_IOYears*12,0))-MAX(0,12*(5-1)-ROUND(in_IOYears*12,0))))*M42*J42+(MAX(0,12*5-ROUND(in_IOYears*12,0))-MAX(0,12*(5-1)-ROUND(in_IOYears*12,0)))*O42)+'Cash Flow'!I61+IF(5=in_HoldYears,U42,0),0)</f>
        <v>371923.73989301315</v>
      </c>
      <c r="AD42" s="28">
        <f>IF(6&lt;=in_HoldYears,'Cash Flow'!J54-((12-(MAX(0,12*6-ROUND(in_IOYears*12,0))-MAX(0,12*(6-1)-ROUND(in_IOYears*12,0))))*M42*J42+(MAX(0,12*6-ROUND(in_IOYears*12,0))-MAX(0,12*(6-1)-ROUND(in_IOYears*12,0)))*O42)+'Cash Flow'!J61+IF(6=in_HoldYears,U42,0),0)</f>
        <v>409556.82294201816</v>
      </c>
      <c r="AE42" s="28">
        <f>IF(7&lt;=in_HoldYears,'Cash Flow'!K54-((12-(MAX(0,12*7-ROUND(in_IOYears*12,0))-MAX(0,12*(7-1)-ROUND(in_IOYears*12,0))))*M42*J42+(MAX(0,12*7-ROUND(in_IOYears*12,0))-MAX(0,12*(7-1)-ROUND(in_IOYears*12,0)))*O42)+'Cash Flow'!K61+IF(7=in_HoldYears,U42,0),0)</f>
        <v>4564925.900312452</v>
      </c>
      <c r="AF42" s="28">
        <f>IF(8&lt;=in_HoldYears,'Cash Flow'!L54-((12-(MAX(0,12*8-ROUND(in_IOYears*12,0))-MAX(0,12*(8-1)-ROUND(in_IOYears*12,0))))*M42*J42+(MAX(0,12*8-ROUND(in_IOYears*12,0))-MAX(0,12*(8-1)-ROUND(in_IOYears*12,0)))*O42)+'Cash Flow'!L61+IF(8=in_HoldYears,U42,0),0)</f>
        <v>0</v>
      </c>
      <c r="AG42" s="28">
        <f>IF(9&lt;=in_HoldYears,'Cash Flow'!M54-((12-(MAX(0,12*9-ROUND(in_IOYears*12,0))-MAX(0,12*(9-1)-ROUND(in_IOYears*12,0))))*M42*J42+(MAX(0,12*9-ROUND(in_IOYears*12,0))-MAX(0,12*(9-1)-ROUND(in_IOYears*12,0)))*O42)+'Cash Flow'!M61+IF(9=in_HoldYears,U42,0),0)</f>
        <v>0</v>
      </c>
      <c r="AH42" s="28">
        <f>IF(10&lt;=in_HoldYears,'Cash Flow'!N54-((12-(MAX(0,12*10-ROUND(in_IOYears*12,0))-MAX(0,12*(10-1)-ROUND(in_IOYears*12,0))))*M42*J42+(MAX(0,12*10-ROUND(in_IOYears*12,0))-MAX(0,12*(10-1)-ROUND(in_IOYears*12,0)))*O42)+'Cash Flow'!N61+IF(10=in_HoldYears,U42,0),0)</f>
        <v>0</v>
      </c>
      <c r="AI42" s="28">
        <f>IF(11&lt;=in_HoldYears,'Cash Flow'!O54-((12-(MAX(0,12*11-ROUND(in_IOYears*12,0))-MAX(0,12*(11-1)-ROUND(in_IOYears*12,0))))*M42*J42+(MAX(0,12*11-ROUND(in_IOYears*12,0))-MAX(0,12*(11-1)-ROUND(in_IOYears*12,0)))*O42)+'Cash Flow'!O61+IF(11=in_HoldYears,U42,0),0)</f>
        <v>0</v>
      </c>
    </row>
    <row r="43">
      <c r="B43" s="25">
        <v>2</v>
      </c>
      <c r="C43" s="25">
        <v>0</v>
      </c>
      <c r="D43" s="25">
        <v>-1</v>
      </c>
      <c r="E43" s="28">
        <f>in_PurchasePrice</f>
        <v>9369000</v>
      </c>
      <c r="F43" s="88">
        <f>in_ExitCap+(0)*s_CapStep</f>
        <v>0.1039</v>
      </c>
      <c r="G43" s="88">
        <f>in_InterestRate+(-1)*s_RateStep</f>
        <v>0.062000000000000006</v>
      </c>
      <c r="H43" s="28">
        <f>E43*in_ClosingCostPct+a_ClosingOther</f>
        <v>140535</v>
      </c>
      <c r="I43" s="28">
        <f>E43+H43+a_UpfrontOther+a_LeaseUpReserve</f>
        <v>9561126.772787157</v>
      </c>
      <c r="J43" s="88">
        <f>G43*a_DayFactor/12</f>
        <v>0.005238425925925927</v>
      </c>
      <c r="K43" s="24">
        <f>IF(J43=0,1/(in_AmortYears*12),J43/(1-(1+J43)^(-in_AmortYears*12)))</f>
        <v>0.006180677225472388</v>
      </c>
      <c r="L43" s="24">
        <f>MIN(12,in_IOYears*12)*J43+(12-MIN(12,in_IOYears*12))*K43</f>
        <v>0.07416812670566866</v>
      </c>
      <c r="M43" s="28">
        <f>MAX(0,MIN(I43,IF(a_LoanMode="Fixed amount",a_FixedLoan,IF(a_LoanMode="LTC",I43*a_LTCTarget,IF(a_LoanMode="Lender tests",MIN(E43*a_LTVTarget,IF(AND(a_MinDSCR&gt;0,L43&gt;0),out_NOI_Y1/a_MinDSCR/L43,9E+99),IF(a_MinDY&gt;0,out_NOI_Y1/a_MinDY,9E+99)),E43*a_LTVTarget)))))</f>
        <v>5621400</v>
      </c>
      <c r="N43" s="28">
        <f>I43+M43*a_LoanFeePct+a_IntReserve-M43</f>
        <v>3995940.7727871574</v>
      </c>
      <c r="O43" s="28">
        <f>M43*K43</f>
        <v>34744.058955270484</v>
      </c>
      <c r="P43" s="25">
        <f>MAX(0,12*in_HoldYears-ROUND(in_IOYears*12,0))</f>
        <v>84</v>
      </c>
      <c r="Q43" s="28">
        <f>MAX(0,IF(J43=0,M43*(1-P43/(in_AmortYears*12)),M43*((1+J43)^(in_AmortYears*12)-(1+J43)^P43)/((1+J43)^(in_AmortYears*12)-1)))</f>
        <v>5064295.311424832</v>
      </c>
      <c r="R43" s="28">
        <f>IF(Q43&lt;=0,0,IF(a_Prepay="Step-down 5-4-3-2-1",Q43*IF(in_HoldYears&lt;5,CHOOSE(in_HoldYears+1,5,4,3,2,1),0)/100,IF(a_Prepay="Step-down 3-2-1",Q43*IF(in_HoldYears&lt;3,CHOOSE(in_HoldYears+1,3,2,1),0)/100,IF(AND(OR(a_Prepay="Yield maintenance",a_Prepay="Yield maintenance (1% floor)"),a_LoanTerm&gt;in_HoldYears,G43&gt;0,a_IndexRate&gt;0),Q43*MAX(IF(a_Prepay="Yield maintenance",0.5,1),(O43*(1-(1+(a_IndexRate/12))^(-(a_LoanTerm*12-in_HoldYears*12)))/(a_IndexRate/12)+MAX(0,Q43*(1+(G43/12))^(a_LoanTerm*12-in_HoldYears*12)-O43*((1+(G43/12))^(a_LoanTerm*12-in_HoldYears*12)-1)/(G43/12))/(1+(a_IndexRate/12))^(a_LoanTerm*12-in_HoldYears*12)-Q43)/Q43*100+IF(a_Prepay="Yield maintenance",0,1))/100,0))))</f>
        <v>0</v>
      </c>
      <c r="S43" s="28">
        <f>IF(F43&gt;0,out_ExitNOI/F43,0)</f>
        <v>9315318.904213157</v>
      </c>
      <c r="T43" s="28">
        <f>S43*IF(a_SaleCostMode="Market tiers",IF(S43&gt;a_Tier3Over,a_Tier3Pct,IF(S43&gt;a_Tier2Over,a_Tier2Pct,a_Tier1Pct)),a_SaleCostEntered)</f>
        <v>232882.97260532892</v>
      </c>
      <c r="U43" s="28">
        <f>S43-T43-r_LeasingAfterSale-Q43-R43-M43*a_ExtN*a_ExtFeeBps/10000-Q43*a_ExitFeePct</f>
        <v>3996623.8229308343</v>
      </c>
      <c r="V43" s="106">
        <f>IFERROR(IRR(X43:AI43),"")</f>
        <v>0.11686373641435173</v>
      </c>
      <c r="W43" s="87">
        <f>SUMIF(Y43:AI43,"&gt;0")/(N43-SUMIF(Y43:AI43,"&lt;0"))</f>
        <v>1.804875276949853</v>
      </c>
      <c r="X43" s="28">
        <f>-N43</f>
        <v>-3995940.7727871574</v>
      </c>
      <c r="Y43" s="28">
        <f>IF(1&lt;=in_HoldYears,'Cash Flow'!E54-((12-(MAX(0,12*1-ROUND(in_IOYears*12,0))-MAX(0,12*(1-1)-ROUND(in_IOYears*12,0))))*M43*J43+(MAX(0,12*1-ROUND(in_IOYears*12,0))-MAX(0,12*(1-1)-ROUND(in_IOYears*12,0)))*O43)+'Cash Flow'!E61+IF(1=in_HoldYears,U43,0),0)</f>
        <v>522458.9663130166</v>
      </c>
      <c r="Z43" s="28">
        <f>IF(2&lt;=in_HoldYears,'Cash Flow'!F54-((12-(MAX(0,12*2-ROUND(in_IOYears*12,0))-MAX(0,12*(2-1)-ROUND(in_IOYears*12,0))))*M43*J43+(MAX(0,12*2-ROUND(in_IOYears*12,0))-MAX(0,12*(2-1)-ROUND(in_IOYears*12,0)))*O43)+'Cash Flow'!F61+IF(2=in_HoldYears,U43,0),0)</f>
        <v>506820.5797882597</v>
      </c>
      <c r="AA43" s="28">
        <f>IF(3&lt;=in_HoldYears,'Cash Flow'!G54-((12-(MAX(0,12*3-ROUND(in_IOYears*12,0))-MAX(0,12*(3-1)-ROUND(in_IOYears*12,0))))*M43*J43+(MAX(0,12*3-ROUND(in_IOYears*12,0))-MAX(0,12*(3-1)-ROUND(in_IOYears*12,0)))*O43)+'Cash Flow'!G61+IF(3=in_HoldYears,U43,0),0)</f>
        <v>490169.7484557732</v>
      </c>
      <c r="AB43" s="28">
        <f>IF(4&lt;=in_HoldYears,'Cash Flow'!H54-((12-(MAX(0,12*4-ROUND(in_IOYears*12,0))-MAX(0,12*(4-1)-ROUND(in_IOYears*12,0))))*M43*J43+(MAX(0,12*4-ROUND(in_IOYears*12,0))-MAX(0,12*(4-1)-ROUND(in_IOYears*12,0)))*O43)+'Cash Flow'!H61+IF(4=in_HoldYears,U43,0),0)</f>
        <v>457800.6517884752</v>
      </c>
      <c r="AC43" s="28">
        <f>IF(5&lt;=in_HoldYears,'Cash Flow'!I54-((12-(MAX(0,12*5-ROUND(in_IOYears*12,0))-MAX(0,12*(5-1)-ROUND(in_IOYears*12,0))))*M43*J43+(MAX(0,12*5-ROUND(in_IOYears*12,0))-MAX(0,12*(5-1)-ROUND(in_IOYears*12,0)))*O43)+'Cash Flow'!I61+IF(5=in_HoldYears,U43,0),0)</f>
        <v>349905.36825948907</v>
      </c>
      <c r="AD43" s="28">
        <f>IF(6&lt;=in_HoldYears,'Cash Flow'!J54-((12-(MAX(0,12*6-ROUND(in_IOYears*12,0))-MAX(0,12*(6-1)-ROUND(in_IOYears*12,0))))*M43*J43+(MAX(0,12*6-ROUND(in_IOYears*12,0))-MAX(0,12*(6-1)-ROUND(in_IOYears*12,0)))*O43)+'Cash Flow'!J61+IF(6=in_HoldYears,U43,0),0)</f>
        <v>387538.4513084941</v>
      </c>
      <c r="AE43" s="28">
        <f>IF(7&lt;=in_HoldYears,'Cash Flow'!K54-((12-(MAX(0,12*7-ROUND(in_IOYears*12,0))-MAX(0,12*(7-1)-ROUND(in_IOYears*12,0))))*M43*J43+(MAX(0,12*7-ROUND(in_IOYears*12,0))-MAX(0,12*(7-1)-ROUND(in_IOYears*12,0)))*O43)+'Cash Flow'!K61+IF(7=in_HoldYears,U43,0),0)</f>
        <v>4497480.943045923</v>
      </c>
      <c r="AF43" s="28">
        <f>IF(8&lt;=in_HoldYears,'Cash Flow'!L54-((12-(MAX(0,12*8-ROUND(in_IOYears*12,0))-MAX(0,12*(8-1)-ROUND(in_IOYears*12,0))))*M43*J43+(MAX(0,12*8-ROUND(in_IOYears*12,0))-MAX(0,12*(8-1)-ROUND(in_IOYears*12,0)))*O43)+'Cash Flow'!L61+IF(8=in_HoldYears,U43,0),0)</f>
        <v>0</v>
      </c>
      <c r="AG43" s="28">
        <f>IF(9&lt;=in_HoldYears,'Cash Flow'!M54-((12-(MAX(0,12*9-ROUND(in_IOYears*12,0))-MAX(0,12*(9-1)-ROUND(in_IOYears*12,0))))*M43*J43+(MAX(0,12*9-ROUND(in_IOYears*12,0))-MAX(0,12*(9-1)-ROUND(in_IOYears*12,0)))*O43)+'Cash Flow'!M61+IF(9=in_HoldYears,U43,0),0)</f>
        <v>0</v>
      </c>
      <c r="AH43" s="28">
        <f>IF(10&lt;=in_HoldYears,'Cash Flow'!N54-((12-(MAX(0,12*10-ROUND(in_IOYears*12,0))-MAX(0,12*(10-1)-ROUND(in_IOYears*12,0))))*M43*J43+(MAX(0,12*10-ROUND(in_IOYears*12,0))-MAX(0,12*(10-1)-ROUND(in_IOYears*12,0)))*O43)+'Cash Flow'!N61+IF(10=in_HoldYears,U43,0),0)</f>
        <v>0</v>
      </c>
      <c r="AI43" s="28">
        <f>IF(11&lt;=in_HoldYears,'Cash Flow'!O54-((12-(MAX(0,12*11-ROUND(in_IOYears*12,0))-MAX(0,12*(11-1)-ROUND(in_IOYears*12,0))))*M43*J43+(MAX(0,12*11-ROUND(in_IOYears*12,0))-MAX(0,12*(11-1)-ROUND(in_IOYears*12,0)))*O43)+'Cash Flow'!O61+IF(11=in_HoldYears,U43,0),0)</f>
        <v>0</v>
      </c>
    </row>
    <row r="44">
      <c r="B44" s="25">
        <v>2</v>
      </c>
      <c r="C44" s="25">
        <v>0</v>
      </c>
      <c r="D44" s="25">
        <v>0</v>
      </c>
      <c r="E44" s="28">
        <f>in_PurchasePrice</f>
        <v>9369000</v>
      </c>
      <c r="F44" s="88">
        <f>in_ExitCap+(0)*s_CapStep</f>
        <v>0.1039</v>
      </c>
      <c r="G44" s="88">
        <f>in_InterestRate+(0)*s_RateStep</f>
        <v>0.067</v>
      </c>
      <c r="H44" s="28">
        <f>E44*in_ClosingCostPct+a_ClosingOther</f>
        <v>140535</v>
      </c>
      <c r="I44" s="28">
        <f>E44+H44+a_UpfrontOther+a_LeaseUpReserve</f>
        <v>9561126.772787157</v>
      </c>
      <c r="J44" s="88">
        <f>G44*a_DayFactor/12</f>
        <v>0.005660879629629629</v>
      </c>
      <c r="K44" s="24">
        <f>IF(J44=0,1/(in_AmortYears*12),J44/(1-(1+J44)^(-in_AmortYears*12)))</f>
        <v>0.006514626765893523</v>
      </c>
      <c r="L44" s="24">
        <f>MIN(12,in_IOYears*12)*J44+(12-MIN(12,in_IOYears*12))*K44</f>
        <v>0.07817552119072227</v>
      </c>
      <c r="M44" s="28">
        <f>MAX(0,MIN(I44,IF(a_LoanMode="Fixed amount",a_FixedLoan,IF(a_LoanMode="LTC",I44*a_LTCTarget,IF(a_LoanMode="Lender tests",MIN(E44*a_LTVTarget,IF(AND(a_MinDSCR&gt;0,L44&gt;0),out_NOI_Y1/a_MinDSCR/L44,9E+99),IF(a_MinDY&gt;0,out_NOI_Y1/a_MinDY,9E+99)),E44*a_LTVTarget)))))</f>
        <v>5621400</v>
      </c>
      <c r="N44" s="28">
        <f>I44+M44*a_LoanFeePct+a_IntReserve-M44</f>
        <v>3995940.7727871574</v>
      </c>
      <c r="O44" s="28">
        <f>M44*K44</f>
        <v>36621.32290179385</v>
      </c>
      <c r="P44" s="25">
        <f>MAX(0,12*in_HoldYears-ROUND(in_IOYears*12,0))</f>
        <v>84</v>
      </c>
      <c r="Q44" s="28">
        <f>MAX(0,IF(J44=0,M44*(1-P44/(in_AmortYears*12)),M44*((1+J44)^(in_AmortYears*12)-(1+J44)^P44)/((1+J44)^(in_AmortYears*12)-1)))</f>
        <v>5107056.723644001</v>
      </c>
      <c r="R44" s="28">
        <f>IF(Q44&lt;=0,0,IF(a_Prepay="Step-down 5-4-3-2-1",Q44*IF(in_HoldYears&lt;5,CHOOSE(in_HoldYears+1,5,4,3,2,1),0)/100,IF(a_Prepay="Step-down 3-2-1",Q44*IF(in_HoldYears&lt;3,CHOOSE(in_HoldYears+1,3,2,1),0)/100,IF(AND(OR(a_Prepay="Yield maintenance",a_Prepay="Yield maintenance (1% floor)"),a_LoanTerm&gt;in_HoldYears,G44&gt;0,a_IndexRate&gt;0),Q44*MAX(IF(a_Prepay="Yield maintenance",0.5,1),(O44*(1-(1+(a_IndexRate/12))^(-(a_LoanTerm*12-in_HoldYears*12)))/(a_IndexRate/12)+MAX(0,Q44*(1+(G44/12))^(a_LoanTerm*12-in_HoldYears*12)-O44*((1+(G44/12))^(a_LoanTerm*12-in_HoldYears*12)-1)/(G44/12))/(1+(a_IndexRate/12))^(a_LoanTerm*12-in_HoldYears*12)-Q44)/Q44*100+IF(a_Prepay="Yield maintenance",0,1))/100,0))))</f>
        <v>0</v>
      </c>
      <c r="S44" s="28">
        <f>IF(F44&gt;0,out_ExitNOI/F44,0)</f>
        <v>9315318.904213157</v>
      </c>
      <c r="T44" s="28">
        <f>S44*IF(a_SaleCostMode="Market tiers",IF(S44&gt;a_Tier3Over,a_Tier3Pct,IF(S44&gt;a_Tier2Over,a_Tier2Pct,a_Tier1Pct)),a_SaleCostEntered)</f>
        <v>232882.97260532892</v>
      </c>
      <c r="U44" s="28">
        <f>S44-T44-r_LeasingAfterSale-Q44-R44-M44*a_ExtN*a_ExtFeeBps/10000-Q44*a_ExitFeePct</f>
        <v>3953862.4107116647</v>
      </c>
      <c r="V44" s="106">
        <f>IFERROR(IRR(X44:AI44),"")</f>
        <v>0.11002229787561121</v>
      </c>
      <c r="W44" s="87">
        <f>SUMIF(Y44:AI44,"&gt;0")/(N44-SUMIF(Y44:AI44,"&lt;0"))</f>
        <v>1.754711474450018</v>
      </c>
      <c r="X44" s="28">
        <f>-N44</f>
        <v>-3995940.7727871574</v>
      </c>
      <c r="Y44" s="28">
        <f>IF(1&lt;=in_HoldYears,'Cash Flow'!E54-((12-(MAX(0,12*1-ROUND(in_IOYears*12,0))-MAX(0,12*(1-1)-ROUND(in_IOYears*12,0))))*M44*J44+(MAX(0,12*1-ROUND(in_IOYears*12,0))-MAX(0,12*(1-1)-ROUND(in_IOYears*12,0)))*O44)+'Cash Flow'!E61+IF(1=in_HoldYears,U44,0),0)</f>
        <v>499931.7989547362</v>
      </c>
      <c r="Z44" s="28">
        <f>IF(2&lt;=in_HoldYears,'Cash Flow'!F54-((12-(MAX(0,12*2-ROUND(in_IOYears*12,0))-MAX(0,12*(2-1)-ROUND(in_IOYears*12,0))))*M44*J44+(MAX(0,12*2-ROUND(in_IOYears*12,0))-MAX(0,12*(2-1)-ROUND(in_IOYears*12,0)))*O44)+'Cash Flow'!F61+IF(2=in_HoldYears,U44,0),0)</f>
        <v>484293.4124299793</v>
      </c>
      <c r="AA44" s="28">
        <f>IF(3&lt;=in_HoldYears,'Cash Flow'!G54-((12-(MAX(0,12*3-ROUND(in_IOYears*12,0))-MAX(0,12*(3-1)-ROUND(in_IOYears*12,0))))*M44*J44+(MAX(0,12*3-ROUND(in_IOYears*12,0))-MAX(0,12*(3-1)-ROUND(in_IOYears*12,0)))*O44)+'Cash Flow'!G61+IF(3=in_HoldYears,U44,0),0)</f>
        <v>467642.58109749283</v>
      </c>
      <c r="AB44" s="28">
        <f>IF(4&lt;=in_HoldYears,'Cash Flow'!H54-((12-(MAX(0,12*4-ROUND(in_IOYears*12,0))-MAX(0,12*(4-1)-ROUND(in_IOYears*12,0))))*M44*J44+(MAX(0,12*4-ROUND(in_IOYears*12,0))-MAX(0,12*(4-1)-ROUND(in_IOYears*12,0)))*O44)+'Cash Flow'!H61+IF(4=in_HoldYears,U44,0),0)</f>
        <v>435273.48443019483</v>
      </c>
      <c r="AC44" s="28">
        <f>IF(5&lt;=in_HoldYears,'Cash Flow'!I54-((12-(MAX(0,12*5-ROUND(in_IOYears*12,0))-MAX(0,12*(5-1)-ROUND(in_IOYears*12,0))))*M44*J44+(MAX(0,12*5-ROUND(in_IOYears*12,0))-MAX(0,12*(5-1)-ROUND(in_IOYears*12,0)))*O44)+'Cash Flow'!I61+IF(5=in_HoldYears,U44,0),0)</f>
        <v>327378.2009012087</v>
      </c>
      <c r="AD44" s="28">
        <f>IF(6&lt;=in_HoldYears,'Cash Flow'!J54-((12-(MAX(0,12*6-ROUND(in_IOYears*12,0))-MAX(0,12*(6-1)-ROUND(in_IOYears*12,0))))*M44*J44+(MAX(0,12*6-ROUND(in_IOYears*12,0))-MAX(0,12*(6-1)-ROUND(in_IOYears*12,0)))*O44)+'Cash Flow'!J61+IF(6=in_HoldYears,U44,0),0)</f>
        <v>365011.2839502137</v>
      </c>
      <c r="AE44" s="28">
        <f>IF(7&lt;=in_HoldYears,'Cash Flow'!K54-((12-(MAX(0,12*7-ROUND(in_IOYears*12,0))-MAX(0,12*(7-1)-ROUND(in_IOYears*12,0))))*M44*J44+(MAX(0,12*7-ROUND(in_IOYears*12,0))-MAX(0,12*(7-1)-ROUND(in_IOYears*12,0)))*O44)+'Cash Flow'!K61+IF(7=in_HoldYears,U44,0),0)</f>
        <v>4432192.363468473</v>
      </c>
      <c r="AF44" s="28">
        <f>IF(8&lt;=in_HoldYears,'Cash Flow'!L54-((12-(MAX(0,12*8-ROUND(in_IOYears*12,0))-MAX(0,12*(8-1)-ROUND(in_IOYears*12,0))))*M44*J44+(MAX(0,12*8-ROUND(in_IOYears*12,0))-MAX(0,12*(8-1)-ROUND(in_IOYears*12,0)))*O44)+'Cash Flow'!L61+IF(8=in_HoldYears,U44,0),0)</f>
        <v>0</v>
      </c>
      <c r="AG44" s="28">
        <f>IF(9&lt;=in_HoldYears,'Cash Flow'!M54-((12-(MAX(0,12*9-ROUND(in_IOYears*12,0))-MAX(0,12*(9-1)-ROUND(in_IOYears*12,0))))*M44*J44+(MAX(0,12*9-ROUND(in_IOYears*12,0))-MAX(0,12*(9-1)-ROUND(in_IOYears*12,0)))*O44)+'Cash Flow'!M61+IF(9=in_HoldYears,U44,0),0)</f>
        <v>0</v>
      </c>
      <c r="AH44" s="28">
        <f>IF(10&lt;=in_HoldYears,'Cash Flow'!N54-((12-(MAX(0,12*10-ROUND(in_IOYears*12,0))-MAX(0,12*(10-1)-ROUND(in_IOYears*12,0))))*M44*J44+(MAX(0,12*10-ROUND(in_IOYears*12,0))-MAX(0,12*(10-1)-ROUND(in_IOYears*12,0)))*O44)+'Cash Flow'!N61+IF(10=in_HoldYears,U44,0),0)</f>
        <v>0</v>
      </c>
      <c r="AI44" s="28">
        <f>IF(11&lt;=in_HoldYears,'Cash Flow'!O54-((12-(MAX(0,12*11-ROUND(in_IOYears*12,0))-MAX(0,12*(11-1)-ROUND(in_IOYears*12,0))))*M44*J44+(MAX(0,12*11-ROUND(in_IOYears*12,0))-MAX(0,12*(11-1)-ROUND(in_IOYears*12,0)))*O44)+'Cash Flow'!O61+IF(11=in_HoldYears,U44,0),0)</f>
        <v>0</v>
      </c>
    </row>
    <row r="45">
      <c r="B45" s="25">
        <v>2</v>
      </c>
      <c r="C45" s="25">
        <v>0</v>
      </c>
      <c r="D45" s="25">
        <v>1</v>
      </c>
      <c r="E45" s="28">
        <f>in_PurchasePrice</f>
        <v>9369000</v>
      </c>
      <c r="F45" s="88">
        <f>in_ExitCap+(0)*s_CapStep</f>
        <v>0.1039</v>
      </c>
      <c r="G45" s="88">
        <f>in_InterestRate+(1)*s_RateStep</f>
        <v>0.07200000000000001</v>
      </c>
      <c r="H45" s="28">
        <f>E45*in_ClosingCostPct+a_ClosingOther</f>
        <v>140535</v>
      </c>
      <c r="I45" s="28">
        <f>E45+H45+a_UpfrontOther+a_LeaseUpReserve</f>
        <v>9561126.772787157</v>
      </c>
      <c r="J45" s="88">
        <f>G45*a_DayFactor/12</f>
        <v>0.006083333333333334</v>
      </c>
      <c r="K45" s="24">
        <f>IF(J45=0,1/(in_AmortYears*12),J45/(1-(1+J45)^(-in_AmortYears*12)))</f>
        <v>0.006855709283653555</v>
      </c>
      <c r="L45" s="24">
        <f>MIN(12,in_IOYears*12)*J45+(12-MIN(12,in_IOYears*12))*K45</f>
        <v>0.08226851140384267</v>
      </c>
      <c r="M45" s="28">
        <f>MAX(0,MIN(I45,IF(a_LoanMode="Fixed amount",a_FixedLoan,IF(a_LoanMode="LTC",I45*a_LTCTarget,IF(a_LoanMode="Lender tests",MIN(E45*a_LTVTarget,IF(AND(a_MinDSCR&gt;0,L45&gt;0),out_NOI_Y1/a_MinDSCR/L45,9E+99),IF(a_MinDY&gt;0,out_NOI_Y1/a_MinDY,9E+99)),E45*a_LTVTarget)))))</f>
        <v>5621400</v>
      </c>
      <c r="N45" s="28">
        <f>I45+M45*a_LoanFeePct+a_IntReserve-M45</f>
        <v>3995940.7727871574</v>
      </c>
      <c r="O45" s="28">
        <f>M45*K45</f>
        <v>38538.68416713009</v>
      </c>
      <c r="P45" s="25">
        <f>MAX(0,12*in_HoldYears-ROUND(in_IOYears*12,0))</f>
        <v>84</v>
      </c>
      <c r="Q45" s="28">
        <f>MAX(0,IF(J45=0,M45*(1-P45/(in_AmortYears*12)),M45*((1+J45)^(in_AmortYears*12)-(1+J45)^P45)/((1+J45)^(in_AmortYears*12)-1)))</f>
        <v>5147215.440592228</v>
      </c>
      <c r="R45" s="28">
        <f>IF(Q45&lt;=0,0,IF(a_Prepay="Step-down 5-4-3-2-1",Q45*IF(in_HoldYears&lt;5,CHOOSE(in_HoldYears+1,5,4,3,2,1),0)/100,IF(a_Prepay="Step-down 3-2-1",Q45*IF(in_HoldYears&lt;3,CHOOSE(in_HoldYears+1,3,2,1),0)/100,IF(AND(OR(a_Prepay="Yield maintenance",a_Prepay="Yield maintenance (1% floor)"),a_LoanTerm&gt;in_HoldYears,G45&gt;0,a_IndexRate&gt;0),Q45*MAX(IF(a_Prepay="Yield maintenance",0.5,1),(O45*(1-(1+(a_IndexRate/12))^(-(a_LoanTerm*12-in_HoldYears*12)))/(a_IndexRate/12)+MAX(0,Q45*(1+(G45/12))^(a_LoanTerm*12-in_HoldYears*12)-O45*((1+(G45/12))^(a_LoanTerm*12-in_HoldYears*12)-1)/(G45/12))/(1+(a_IndexRate/12))^(a_LoanTerm*12-in_HoldYears*12)-Q45)/Q45*100+IF(a_Prepay="Yield maintenance",0,1))/100,0))))</f>
        <v>0</v>
      </c>
      <c r="S45" s="28">
        <f>IF(F45&gt;0,out_ExitNOI/F45,0)</f>
        <v>9315318.904213157</v>
      </c>
      <c r="T45" s="28">
        <f>S45*IF(a_SaleCostMode="Market tiers",IF(S45&gt;a_Tier3Over,a_Tier3Pct,IF(S45&gt;a_Tier2Over,a_Tier2Pct,a_Tier1Pct)),a_SaleCostEntered)</f>
        <v>232882.97260532892</v>
      </c>
      <c r="U45" s="28">
        <f>S45-T45-r_LeasingAfterSale-Q45-R45-M45*a_ExtN*a_ExtFeeBps/10000-Q45*a_ExitFeePct</f>
        <v>3913703.6937634377</v>
      </c>
      <c r="V45" s="106">
        <f>IFERROR(IRR(X45:AI45),"")</f>
        <v>0.10307942343347551</v>
      </c>
      <c r="W45" s="87">
        <f>SUMIF(Y45:AI45,"&gt;0")/(N45-SUMIF(Y45:AI45,"&lt;0"))</f>
        <v>1.7043561076721159</v>
      </c>
      <c r="X45" s="28">
        <f>-N45</f>
        <v>-3995940.7727871574</v>
      </c>
      <c r="Y45" s="28">
        <f>IF(1&lt;=in_HoldYears,'Cash Flow'!E54-((12-(MAX(0,12*1-ROUND(in_IOYears*12,0))-MAX(0,12*(1-1)-ROUND(in_IOYears*12,0))))*M45*J45+(MAX(0,12*1-ROUND(in_IOYears*12,0))-MAX(0,12*(1-1)-ROUND(in_IOYears*12,0)))*O45)+'Cash Flow'!E61+IF(1=in_HoldYears,U45,0),0)</f>
        <v>476923.4637707013</v>
      </c>
      <c r="Z45" s="28">
        <f>IF(2&lt;=in_HoldYears,'Cash Flow'!F54-((12-(MAX(0,12*2-ROUND(in_IOYears*12,0))-MAX(0,12*(2-1)-ROUND(in_IOYears*12,0))))*M45*J45+(MAX(0,12*2-ROUND(in_IOYears*12,0))-MAX(0,12*(2-1)-ROUND(in_IOYears*12,0)))*O45)+'Cash Flow'!F61+IF(2=in_HoldYears,U45,0),0)</f>
        <v>461285.0772459444</v>
      </c>
      <c r="AA45" s="28">
        <f>IF(3&lt;=in_HoldYears,'Cash Flow'!G54-((12-(MAX(0,12*3-ROUND(in_IOYears*12,0))-MAX(0,12*(3-1)-ROUND(in_IOYears*12,0))))*M45*J45+(MAX(0,12*3-ROUND(in_IOYears*12,0))-MAX(0,12*(3-1)-ROUND(in_IOYears*12,0)))*O45)+'Cash Flow'!G61+IF(3=in_HoldYears,U45,0),0)</f>
        <v>444634.24591345794</v>
      </c>
      <c r="AB45" s="28">
        <f>IF(4&lt;=in_HoldYears,'Cash Flow'!H54-((12-(MAX(0,12*4-ROUND(in_IOYears*12,0))-MAX(0,12*(4-1)-ROUND(in_IOYears*12,0))))*M45*J45+(MAX(0,12*4-ROUND(in_IOYears*12,0))-MAX(0,12*(4-1)-ROUND(in_IOYears*12,0)))*O45)+'Cash Flow'!H61+IF(4=in_HoldYears,U45,0),0)</f>
        <v>412265.14924615994</v>
      </c>
      <c r="AC45" s="28">
        <f>IF(5&lt;=in_HoldYears,'Cash Flow'!I54-((12-(MAX(0,12*5-ROUND(in_IOYears*12,0))-MAX(0,12*(5-1)-ROUND(in_IOYears*12,0))))*M45*J45+(MAX(0,12*5-ROUND(in_IOYears*12,0))-MAX(0,12*(5-1)-ROUND(in_IOYears*12,0)))*O45)+'Cash Flow'!I61+IF(5=in_HoldYears,U45,0),0)</f>
        <v>304369.8657171738</v>
      </c>
      <c r="AD45" s="28">
        <f>IF(6&lt;=in_HoldYears,'Cash Flow'!J54-((12-(MAX(0,12*6-ROUND(in_IOYears*12,0))-MAX(0,12*(6-1)-ROUND(in_IOYears*12,0))))*M45*J45+(MAX(0,12*6-ROUND(in_IOYears*12,0))-MAX(0,12*(6-1)-ROUND(in_IOYears*12,0)))*O45)+'Cash Flow'!J61+IF(6=in_HoldYears,U45,0),0)</f>
        <v>342002.9487661788</v>
      </c>
      <c r="AE45" s="28">
        <f>IF(7&lt;=in_HoldYears,'Cash Flow'!K54-((12-(MAX(0,12*7-ROUND(in_IOYears*12,0))-MAX(0,12*(7-1)-ROUND(in_IOYears*12,0))))*M45*J45+(MAX(0,12*7-ROUND(in_IOYears*12,0))-MAX(0,12*(7-1)-ROUND(in_IOYears*12,0)))*O45)+'Cash Flow'!K61+IF(7=in_HoldYears,U45,0),0)</f>
        <v>4369025.311336211</v>
      </c>
      <c r="AF45" s="28">
        <f>IF(8&lt;=in_HoldYears,'Cash Flow'!L54-((12-(MAX(0,12*8-ROUND(in_IOYears*12,0))-MAX(0,12*(8-1)-ROUND(in_IOYears*12,0))))*M45*J45+(MAX(0,12*8-ROUND(in_IOYears*12,0))-MAX(0,12*(8-1)-ROUND(in_IOYears*12,0)))*O45)+'Cash Flow'!L61+IF(8=in_HoldYears,U45,0),0)</f>
        <v>0</v>
      </c>
      <c r="AG45" s="28">
        <f>IF(9&lt;=in_HoldYears,'Cash Flow'!M54-((12-(MAX(0,12*9-ROUND(in_IOYears*12,0))-MAX(0,12*(9-1)-ROUND(in_IOYears*12,0))))*M45*J45+(MAX(0,12*9-ROUND(in_IOYears*12,0))-MAX(0,12*(9-1)-ROUND(in_IOYears*12,0)))*O45)+'Cash Flow'!M61+IF(9=in_HoldYears,U45,0),0)</f>
        <v>0</v>
      </c>
      <c r="AH45" s="28">
        <f>IF(10&lt;=in_HoldYears,'Cash Flow'!N54-((12-(MAX(0,12*10-ROUND(in_IOYears*12,0))-MAX(0,12*(10-1)-ROUND(in_IOYears*12,0))))*M45*J45+(MAX(0,12*10-ROUND(in_IOYears*12,0))-MAX(0,12*(10-1)-ROUND(in_IOYears*12,0)))*O45)+'Cash Flow'!N61+IF(10=in_HoldYears,U45,0),0)</f>
        <v>0</v>
      </c>
      <c r="AI45" s="28">
        <f>IF(11&lt;=in_HoldYears,'Cash Flow'!O54-((12-(MAX(0,12*11-ROUND(in_IOYears*12,0))-MAX(0,12*(11-1)-ROUND(in_IOYears*12,0))))*M45*J45+(MAX(0,12*11-ROUND(in_IOYears*12,0))-MAX(0,12*(11-1)-ROUND(in_IOYears*12,0)))*O45)+'Cash Flow'!O61+IF(11=in_HoldYears,U45,0),0)</f>
        <v>0</v>
      </c>
    </row>
    <row r="46">
      <c r="B46" s="25">
        <v>2</v>
      </c>
      <c r="C46" s="25">
        <v>0</v>
      </c>
      <c r="D46" s="25">
        <v>2</v>
      </c>
      <c r="E46" s="28">
        <f>in_PurchasePrice</f>
        <v>9369000</v>
      </c>
      <c r="F46" s="88">
        <f>in_ExitCap+(0)*s_CapStep</f>
        <v>0.1039</v>
      </c>
      <c r="G46" s="88">
        <f>in_InterestRate+(2)*s_RateStep</f>
        <v>0.077</v>
      </c>
      <c r="H46" s="28">
        <f>E46*in_ClosingCostPct+a_ClosingOther</f>
        <v>140535</v>
      </c>
      <c r="I46" s="28">
        <f>E46+H46+a_UpfrontOther+a_LeaseUpReserve</f>
        <v>9561126.772787157</v>
      </c>
      <c r="J46" s="88">
        <f>G46*a_DayFactor/12</f>
        <v>0.0065057870370370365</v>
      </c>
      <c r="K46" s="24">
        <f>IF(J46=0,1/(in_AmortYears*12),J46/(1-(1+J46)^(-in_AmortYears*12)))</f>
        <v>0.007203513009166921</v>
      </c>
      <c r="L46" s="24">
        <f>MIN(12,in_IOYears*12)*J46+(12-MIN(12,in_IOYears*12))*K46</f>
        <v>0.08644215611000305</v>
      </c>
      <c r="M46" s="28">
        <f>MAX(0,MIN(I46,IF(a_LoanMode="Fixed amount",a_FixedLoan,IF(a_LoanMode="LTC",I46*a_LTCTarget,IF(a_LoanMode="Lender tests",MIN(E46*a_LTVTarget,IF(AND(a_MinDSCR&gt;0,L46&gt;0),out_NOI_Y1/a_MinDSCR/L46,9E+99),IF(a_MinDY&gt;0,out_NOI_Y1/a_MinDY,9E+99)),E46*a_LTVTarget)))))</f>
        <v>5621400</v>
      </c>
      <c r="N46" s="28">
        <f>I46+M46*a_LoanFeePct+a_IntReserve-M46</f>
        <v>3995940.7727871574</v>
      </c>
      <c r="O46" s="28">
        <f>M46*K46</f>
        <v>40493.828029730925</v>
      </c>
      <c r="P46" s="25">
        <f>MAX(0,12*in_HoldYears-ROUND(in_IOYears*12,0))</f>
        <v>84</v>
      </c>
      <c r="Q46" s="28">
        <f>MAX(0,IF(J46=0,M46*(1-P46/(in_AmortYears*12)),M46*((1+J46)^(in_AmortYears*12)-(1+J46)^P46)/((1+J46)^(in_AmortYears*12)-1)))</f>
        <v>5184844.560712963</v>
      </c>
      <c r="R46" s="28">
        <f>IF(Q46&lt;=0,0,IF(a_Prepay="Step-down 5-4-3-2-1",Q46*IF(in_HoldYears&lt;5,CHOOSE(in_HoldYears+1,5,4,3,2,1),0)/100,IF(a_Prepay="Step-down 3-2-1",Q46*IF(in_HoldYears&lt;3,CHOOSE(in_HoldYears+1,3,2,1),0)/100,IF(AND(OR(a_Prepay="Yield maintenance",a_Prepay="Yield maintenance (1% floor)"),a_LoanTerm&gt;in_HoldYears,G46&gt;0,a_IndexRate&gt;0),Q46*MAX(IF(a_Prepay="Yield maintenance",0.5,1),(O46*(1-(1+(a_IndexRate/12))^(-(a_LoanTerm*12-in_HoldYears*12)))/(a_IndexRate/12)+MAX(0,Q46*(1+(G46/12))^(a_LoanTerm*12-in_HoldYears*12)-O46*((1+(G46/12))^(a_LoanTerm*12-in_HoldYears*12)-1)/(G46/12))/(1+(a_IndexRate/12))^(a_LoanTerm*12-in_HoldYears*12)-Q46)/Q46*100+IF(a_Prepay="Yield maintenance",0,1))/100,0))))</f>
        <v>0</v>
      </c>
      <c r="S46" s="28">
        <f>IF(F46&gt;0,out_ExitNOI/F46,0)</f>
        <v>9315318.904213157</v>
      </c>
      <c r="T46" s="28">
        <f>S46*IF(a_SaleCostMode="Market tiers",IF(S46&gt;a_Tier3Over,a_Tier3Pct,IF(S46&gt;a_Tier2Over,a_Tier2Pct,a_Tier1Pct)),a_SaleCostEntered)</f>
        <v>232882.97260532892</v>
      </c>
      <c r="U46" s="28">
        <f>S46-T46-r_LeasingAfterSale-Q46-R46-M46*a_ExtN*a_ExtFeeBps/10000-Q46*a_ExitFeePct</f>
        <v>3876074.573642703</v>
      </c>
      <c r="V46" s="106">
        <f>IFERROR(IRR(X46:AI46),"")</f>
        <v>0.09604226680632819</v>
      </c>
      <c r="W46" s="87">
        <f>SUMIF(Y46:AI46,"&gt;0")/(N46-SUMIF(Y46:AI46,"&lt;0"))</f>
        <v>1.6538395419727683</v>
      </c>
      <c r="X46" s="28">
        <f>-N46</f>
        <v>-3995940.7727871574</v>
      </c>
      <c r="Y46" s="28">
        <f>IF(1&lt;=in_HoldYears,'Cash Flow'!E54-((12-(MAX(0,12*1-ROUND(in_IOYears*12,0))-MAX(0,12*(1-1)-ROUND(in_IOYears*12,0))))*M46*J46+(MAX(0,12*1-ROUND(in_IOYears*12,0))-MAX(0,12*(1-1)-ROUND(in_IOYears*12,0)))*O46)+'Cash Flow'!E61+IF(1=in_HoldYears,U46,0),0)</f>
        <v>453461.73741949134</v>
      </c>
      <c r="Z46" s="28">
        <f>IF(2&lt;=in_HoldYears,'Cash Flow'!F54-((12-(MAX(0,12*2-ROUND(in_IOYears*12,0))-MAX(0,12*(2-1)-ROUND(in_IOYears*12,0))))*M46*J46+(MAX(0,12*2-ROUND(in_IOYears*12,0))-MAX(0,12*(2-1)-ROUND(in_IOYears*12,0)))*O46)+'Cash Flow'!F61+IF(2=in_HoldYears,U46,0),0)</f>
        <v>437823.35089473444</v>
      </c>
      <c r="AA46" s="28">
        <f>IF(3&lt;=in_HoldYears,'Cash Flow'!G54-((12-(MAX(0,12*3-ROUND(in_IOYears*12,0))-MAX(0,12*(3-1)-ROUND(in_IOYears*12,0))))*M46*J46+(MAX(0,12*3-ROUND(in_IOYears*12,0))-MAX(0,12*(3-1)-ROUND(in_IOYears*12,0)))*O46)+'Cash Flow'!G61+IF(3=in_HoldYears,U46,0),0)</f>
        <v>421172.51956224797</v>
      </c>
      <c r="AB46" s="28">
        <f>IF(4&lt;=in_HoldYears,'Cash Flow'!H54-((12-(MAX(0,12*4-ROUND(in_IOYears*12,0))-MAX(0,12*(4-1)-ROUND(in_IOYears*12,0))))*M46*J46+(MAX(0,12*4-ROUND(in_IOYears*12,0))-MAX(0,12*(4-1)-ROUND(in_IOYears*12,0)))*O46)+'Cash Flow'!H61+IF(4=in_HoldYears,U46,0),0)</f>
        <v>388803.42289494997</v>
      </c>
      <c r="AC46" s="28">
        <f>IF(5&lt;=in_HoldYears,'Cash Flow'!I54-((12-(MAX(0,12*5-ROUND(in_IOYears*12,0))-MAX(0,12*(5-1)-ROUND(in_IOYears*12,0))))*M46*J46+(MAX(0,12*5-ROUND(in_IOYears*12,0))-MAX(0,12*(5-1)-ROUND(in_IOYears*12,0)))*O46)+'Cash Flow'!I61+IF(5=in_HoldYears,U46,0),0)</f>
        <v>280908.1393659638</v>
      </c>
      <c r="AD46" s="28">
        <f>IF(6&lt;=in_HoldYears,'Cash Flow'!J54-((12-(MAX(0,12*6-ROUND(in_IOYears*12,0))-MAX(0,12*(6-1)-ROUND(in_IOYears*12,0))))*M46*J46+(MAX(0,12*6-ROUND(in_IOYears*12,0))-MAX(0,12*(6-1)-ROUND(in_IOYears*12,0)))*O46)+'Cash Flow'!J61+IF(6=in_HoldYears,U46,0),0)</f>
        <v>318541.2224149688</v>
      </c>
      <c r="AE46" s="28">
        <f>IF(7&lt;=in_HoldYears,'Cash Flow'!K54-((12-(MAX(0,12*7-ROUND(in_IOYears*12,0))-MAX(0,12*(7-1)-ROUND(in_IOYears*12,0))))*M46*J46+(MAX(0,12*7-ROUND(in_IOYears*12,0))-MAX(0,12*(7-1)-ROUND(in_IOYears*12,0)))*O46)+'Cash Flow'!K61+IF(7=in_HoldYears,U46,0),0)</f>
        <v>4307934.464864266</v>
      </c>
      <c r="AF46" s="28">
        <f>IF(8&lt;=in_HoldYears,'Cash Flow'!L54-((12-(MAX(0,12*8-ROUND(in_IOYears*12,0))-MAX(0,12*(8-1)-ROUND(in_IOYears*12,0))))*M46*J46+(MAX(0,12*8-ROUND(in_IOYears*12,0))-MAX(0,12*(8-1)-ROUND(in_IOYears*12,0)))*O46)+'Cash Flow'!L61+IF(8=in_HoldYears,U46,0),0)</f>
        <v>0</v>
      </c>
      <c r="AG46" s="28">
        <f>IF(9&lt;=in_HoldYears,'Cash Flow'!M54-((12-(MAX(0,12*9-ROUND(in_IOYears*12,0))-MAX(0,12*(9-1)-ROUND(in_IOYears*12,0))))*M46*J46+(MAX(0,12*9-ROUND(in_IOYears*12,0))-MAX(0,12*(9-1)-ROUND(in_IOYears*12,0)))*O46)+'Cash Flow'!M61+IF(9=in_HoldYears,U46,0),0)</f>
        <v>0</v>
      </c>
      <c r="AH46" s="28">
        <f>IF(10&lt;=in_HoldYears,'Cash Flow'!N54-((12-(MAX(0,12*10-ROUND(in_IOYears*12,0))-MAX(0,12*(10-1)-ROUND(in_IOYears*12,0))))*M46*J46+(MAX(0,12*10-ROUND(in_IOYears*12,0))-MAX(0,12*(10-1)-ROUND(in_IOYears*12,0)))*O46)+'Cash Flow'!N61+IF(10=in_HoldYears,U46,0),0)</f>
        <v>0</v>
      </c>
      <c r="AI46" s="28">
        <f>IF(11&lt;=in_HoldYears,'Cash Flow'!O54-((12-(MAX(0,12*11-ROUND(in_IOYears*12,0))-MAX(0,12*(11-1)-ROUND(in_IOYears*12,0))))*M46*J46+(MAX(0,12*11-ROUND(in_IOYears*12,0))-MAX(0,12*(11-1)-ROUND(in_IOYears*12,0)))*O46)+'Cash Flow'!O61+IF(11=in_HoldYears,U46,0),0)</f>
        <v>0</v>
      </c>
    </row>
    <row r="47">
      <c r="B47" s="25">
        <v>2</v>
      </c>
      <c r="C47" s="25">
        <v>1</v>
      </c>
      <c r="D47" s="25">
        <v>-2</v>
      </c>
      <c r="E47" s="28">
        <f>in_PurchasePrice</f>
        <v>9369000</v>
      </c>
      <c r="F47" s="88">
        <f>in_ExitCap+(1)*s_CapStep</f>
        <v>0.10640000000000001</v>
      </c>
      <c r="G47" s="88">
        <f>in_InterestRate+(-2)*s_RateStep</f>
        <v>0.057</v>
      </c>
      <c r="H47" s="28">
        <f>E47*in_ClosingCostPct+a_ClosingOther</f>
        <v>140535</v>
      </c>
      <c r="I47" s="28">
        <f>E47+H47+a_UpfrontOther+a_LeaseUpReserve</f>
        <v>9561126.772787157</v>
      </c>
      <c r="J47" s="88">
        <f>G47*a_DayFactor/12</f>
        <v>0.004815972222222222</v>
      </c>
      <c r="K47" s="24">
        <f>IF(J47=0,1/(in_AmortYears*12),J47/(1-(1+J47)^(-in_AmortYears*12)))</f>
        <v>0.005854270226718756</v>
      </c>
      <c r="L47" s="24">
        <f>MIN(12,in_IOYears*12)*J47+(12-MIN(12,in_IOYears*12))*K47</f>
        <v>0.07025124272062507</v>
      </c>
      <c r="M47" s="28">
        <f>MAX(0,MIN(I47,IF(a_LoanMode="Fixed amount",a_FixedLoan,IF(a_LoanMode="LTC",I47*a_LTCTarget,IF(a_LoanMode="Lender tests",MIN(E47*a_LTVTarget,IF(AND(a_MinDSCR&gt;0,L47&gt;0),out_NOI_Y1/a_MinDSCR/L47,9E+99),IF(a_MinDY&gt;0,out_NOI_Y1/a_MinDY,9E+99)),E47*a_LTVTarget)))))</f>
        <v>5621400</v>
      </c>
      <c r="N47" s="28">
        <f>I47+M47*a_LoanFeePct+a_IntReserve-M47</f>
        <v>3995940.7727871574</v>
      </c>
      <c r="O47" s="28">
        <f>M47*K47</f>
        <v>32909.194652476814</v>
      </c>
      <c r="P47" s="25">
        <f>MAX(0,12*in_HoldYears-ROUND(in_IOYears*12,0))</f>
        <v>84</v>
      </c>
      <c r="Q47" s="28">
        <f>MAX(0,IF(J47=0,M47*(1-P47/(in_AmortYears*12)),M47*((1+J47)^(in_AmortYears*12)-(1+J47)^P47)/((1+J47)^(in_AmortYears*12)-1)))</f>
        <v>5018868.725791827</v>
      </c>
      <c r="R47" s="28">
        <f>IF(Q47&lt;=0,0,IF(a_Prepay="Step-down 5-4-3-2-1",Q47*IF(in_HoldYears&lt;5,CHOOSE(in_HoldYears+1,5,4,3,2,1),0)/100,IF(a_Prepay="Step-down 3-2-1",Q47*IF(in_HoldYears&lt;3,CHOOSE(in_HoldYears+1,3,2,1),0)/100,IF(AND(OR(a_Prepay="Yield maintenance",a_Prepay="Yield maintenance (1% floor)"),a_LoanTerm&gt;in_HoldYears,G47&gt;0,a_IndexRate&gt;0),Q47*MAX(IF(a_Prepay="Yield maintenance",0.5,1),(O47*(1-(1+(a_IndexRate/12))^(-(a_LoanTerm*12-in_HoldYears*12)))/(a_IndexRate/12)+MAX(0,Q47*(1+(G47/12))^(a_LoanTerm*12-in_HoldYears*12)-O47*((1+(G47/12))^(a_LoanTerm*12-in_HoldYears*12)-1)/(G47/12))/(1+(a_IndexRate/12))^(a_LoanTerm*12-in_HoldYears*12)-Q47)/Q47*100+IF(a_Prepay="Yield maintenance",0,1))/100,0))))</f>
        <v>0</v>
      </c>
      <c r="S47" s="28">
        <f>IF(F47&gt;0,out_ExitNOI/F47,0)</f>
        <v>9096443.929960027</v>
      </c>
      <c r="T47" s="28">
        <f>S47*IF(a_SaleCostMode="Market tiers",IF(S47&gt;a_Tier3Over,a_Tier3Pct,IF(S47&gt;a_Tier2Over,a_Tier2Pct,a_Tier1Pct)),a_SaleCostEntered)</f>
        <v>227411.0982490007</v>
      </c>
      <c r="U47" s="28">
        <f>S47-T47-r_LeasingAfterSale-Q47-R47-M47*a_ExtN*a_ExtFeeBps/10000-Q47*a_ExitFeePct</f>
        <v>3828647.3086670376</v>
      </c>
      <c r="V47" s="106">
        <f>IFERROR(IRR(X47:AI47),"")</f>
        <v>0.11820583705177325</v>
      </c>
      <c r="W47" s="87">
        <f>SUMIF(Y47:AI47,"&gt;0")/(N47-SUMIF(Y47:AI47,"&lt;0"))</f>
        <v>1.801409781934653</v>
      </c>
      <c r="X47" s="28">
        <f>-N47</f>
        <v>-3995940.7727871574</v>
      </c>
      <c r="Y47" s="28">
        <f>IF(1&lt;=in_HoldYears,'Cash Flow'!E54-((12-(MAX(0,12*1-ROUND(in_IOYears*12,0))-MAX(0,12*(1-1)-ROUND(in_IOYears*12,0))))*M47*J47+(MAX(0,12*1-ROUND(in_IOYears*12,0))-MAX(0,12*(1-1)-ROUND(in_IOYears*12,0)))*O47)+'Cash Flow'!E61+IF(1=in_HoldYears,U47,0),0)</f>
        <v>544477.3379465407</v>
      </c>
      <c r="Z47" s="28">
        <f>IF(2&lt;=in_HoldYears,'Cash Flow'!F54-((12-(MAX(0,12*2-ROUND(in_IOYears*12,0))-MAX(0,12*(2-1)-ROUND(in_IOYears*12,0))))*M47*J47+(MAX(0,12*2-ROUND(in_IOYears*12,0))-MAX(0,12*(2-1)-ROUND(in_IOYears*12,0)))*O47)+'Cash Flow'!F61+IF(2=in_HoldYears,U47,0),0)</f>
        <v>528838.9514217838</v>
      </c>
      <c r="AA47" s="28">
        <f>IF(3&lt;=in_HoldYears,'Cash Flow'!G54-((12-(MAX(0,12*3-ROUND(in_IOYears*12,0))-MAX(0,12*(3-1)-ROUND(in_IOYears*12,0))))*M47*J47+(MAX(0,12*3-ROUND(in_IOYears*12,0))-MAX(0,12*(3-1)-ROUND(in_IOYears*12,0)))*O47)+'Cash Flow'!G61+IF(3=in_HoldYears,U47,0),0)</f>
        <v>512188.1200892973</v>
      </c>
      <c r="AB47" s="28">
        <f>IF(4&lt;=in_HoldYears,'Cash Flow'!H54-((12-(MAX(0,12*4-ROUND(in_IOYears*12,0))-MAX(0,12*(4-1)-ROUND(in_IOYears*12,0))))*M47*J47+(MAX(0,12*4-ROUND(in_IOYears*12,0))-MAX(0,12*(4-1)-ROUND(in_IOYears*12,0)))*O47)+'Cash Flow'!H61+IF(4=in_HoldYears,U47,0),0)</f>
        <v>479819.0234219993</v>
      </c>
      <c r="AC47" s="28">
        <f>IF(5&lt;=in_HoldYears,'Cash Flow'!I54-((12-(MAX(0,12*5-ROUND(in_IOYears*12,0))-MAX(0,12*(5-1)-ROUND(in_IOYears*12,0))))*M47*J47+(MAX(0,12*5-ROUND(in_IOYears*12,0))-MAX(0,12*(5-1)-ROUND(in_IOYears*12,0)))*O47)+'Cash Flow'!I61+IF(5=in_HoldYears,U47,0),0)</f>
        <v>371923.73989301315</v>
      </c>
      <c r="AD47" s="28">
        <f>IF(6&lt;=in_HoldYears,'Cash Flow'!J54-((12-(MAX(0,12*6-ROUND(in_IOYears*12,0))-MAX(0,12*(6-1)-ROUND(in_IOYears*12,0))))*M47*J47+(MAX(0,12*6-ROUND(in_IOYears*12,0))-MAX(0,12*(6-1)-ROUND(in_IOYears*12,0)))*O47)+'Cash Flow'!J61+IF(6=in_HoldYears,U47,0),0)</f>
        <v>409556.82294201816</v>
      </c>
      <c r="AE47" s="28">
        <f>IF(7&lt;=in_HoldYears,'Cash Flow'!K54-((12-(MAX(0,12*7-ROUND(in_IOYears*12,0))-MAX(0,12*(7-1)-ROUND(in_IOYears*12,0))))*M47*J47+(MAX(0,12*7-ROUND(in_IOYears*12,0))-MAX(0,12*(7-1)-ROUND(in_IOYears*12,0)))*O47)+'Cash Flow'!K61+IF(7=in_HoldYears,U47,0),0)</f>
        <v>4351522.80041565</v>
      </c>
      <c r="AF47" s="28">
        <f>IF(8&lt;=in_HoldYears,'Cash Flow'!L54-((12-(MAX(0,12*8-ROUND(in_IOYears*12,0))-MAX(0,12*(8-1)-ROUND(in_IOYears*12,0))))*M47*J47+(MAX(0,12*8-ROUND(in_IOYears*12,0))-MAX(0,12*(8-1)-ROUND(in_IOYears*12,0)))*O47)+'Cash Flow'!L61+IF(8=in_HoldYears,U47,0),0)</f>
        <v>0</v>
      </c>
      <c r="AG47" s="28">
        <f>IF(9&lt;=in_HoldYears,'Cash Flow'!M54-((12-(MAX(0,12*9-ROUND(in_IOYears*12,0))-MAX(0,12*(9-1)-ROUND(in_IOYears*12,0))))*M47*J47+(MAX(0,12*9-ROUND(in_IOYears*12,0))-MAX(0,12*(9-1)-ROUND(in_IOYears*12,0)))*O47)+'Cash Flow'!M61+IF(9=in_HoldYears,U47,0),0)</f>
        <v>0</v>
      </c>
      <c r="AH47" s="28">
        <f>IF(10&lt;=in_HoldYears,'Cash Flow'!N54-((12-(MAX(0,12*10-ROUND(in_IOYears*12,0))-MAX(0,12*(10-1)-ROUND(in_IOYears*12,0))))*M47*J47+(MAX(0,12*10-ROUND(in_IOYears*12,0))-MAX(0,12*(10-1)-ROUND(in_IOYears*12,0)))*O47)+'Cash Flow'!N61+IF(10=in_HoldYears,U47,0),0)</f>
        <v>0</v>
      </c>
      <c r="AI47" s="28">
        <f>IF(11&lt;=in_HoldYears,'Cash Flow'!O54-((12-(MAX(0,12*11-ROUND(in_IOYears*12,0))-MAX(0,12*(11-1)-ROUND(in_IOYears*12,0))))*M47*J47+(MAX(0,12*11-ROUND(in_IOYears*12,0))-MAX(0,12*(11-1)-ROUND(in_IOYears*12,0)))*O47)+'Cash Flow'!O61+IF(11=in_HoldYears,U47,0),0)</f>
        <v>0</v>
      </c>
    </row>
    <row r="48">
      <c r="B48" s="25">
        <v>2</v>
      </c>
      <c r="C48" s="25">
        <v>1</v>
      </c>
      <c r="D48" s="25">
        <v>-1</v>
      </c>
      <c r="E48" s="28">
        <f>in_PurchasePrice</f>
        <v>9369000</v>
      </c>
      <c r="F48" s="88">
        <f>in_ExitCap+(1)*s_CapStep</f>
        <v>0.10640000000000001</v>
      </c>
      <c r="G48" s="88">
        <f>in_InterestRate+(-1)*s_RateStep</f>
        <v>0.062000000000000006</v>
      </c>
      <c r="H48" s="28">
        <f>E48*in_ClosingCostPct+a_ClosingOther</f>
        <v>140535</v>
      </c>
      <c r="I48" s="28">
        <f>E48+H48+a_UpfrontOther+a_LeaseUpReserve</f>
        <v>9561126.772787157</v>
      </c>
      <c r="J48" s="88">
        <f>G48*a_DayFactor/12</f>
        <v>0.005238425925925927</v>
      </c>
      <c r="K48" s="24">
        <f>IF(J48=0,1/(in_AmortYears*12),J48/(1-(1+J48)^(-in_AmortYears*12)))</f>
        <v>0.006180677225472388</v>
      </c>
      <c r="L48" s="24">
        <f>MIN(12,in_IOYears*12)*J48+(12-MIN(12,in_IOYears*12))*K48</f>
        <v>0.07416812670566866</v>
      </c>
      <c r="M48" s="28">
        <f>MAX(0,MIN(I48,IF(a_LoanMode="Fixed amount",a_FixedLoan,IF(a_LoanMode="LTC",I48*a_LTCTarget,IF(a_LoanMode="Lender tests",MIN(E48*a_LTVTarget,IF(AND(a_MinDSCR&gt;0,L48&gt;0),out_NOI_Y1/a_MinDSCR/L48,9E+99),IF(a_MinDY&gt;0,out_NOI_Y1/a_MinDY,9E+99)),E48*a_LTVTarget)))))</f>
        <v>5621400</v>
      </c>
      <c r="N48" s="28">
        <f>I48+M48*a_LoanFeePct+a_IntReserve-M48</f>
        <v>3995940.7727871574</v>
      </c>
      <c r="O48" s="28">
        <f>M48*K48</f>
        <v>34744.058955270484</v>
      </c>
      <c r="P48" s="25">
        <f>MAX(0,12*in_HoldYears-ROUND(in_IOYears*12,0))</f>
        <v>84</v>
      </c>
      <c r="Q48" s="28">
        <f>MAX(0,IF(J48=0,M48*(1-P48/(in_AmortYears*12)),M48*((1+J48)^(in_AmortYears*12)-(1+J48)^P48)/((1+J48)^(in_AmortYears*12)-1)))</f>
        <v>5064295.311424832</v>
      </c>
      <c r="R48" s="28">
        <f>IF(Q48&lt;=0,0,IF(a_Prepay="Step-down 5-4-3-2-1",Q48*IF(in_HoldYears&lt;5,CHOOSE(in_HoldYears+1,5,4,3,2,1),0)/100,IF(a_Prepay="Step-down 3-2-1",Q48*IF(in_HoldYears&lt;3,CHOOSE(in_HoldYears+1,3,2,1),0)/100,IF(AND(OR(a_Prepay="Yield maintenance",a_Prepay="Yield maintenance (1% floor)"),a_LoanTerm&gt;in_HoldYears,G48&gt;0,a_IndexRate&gt;0),Q48*MAX(IF(a_Prepay="Yield maintenance",0.5,1),(O48*(1-(1+(a_IndexRate/12))^(-(a_LoanTerm*12-in_HoldYears*12)))/(a_IndexRate/12)+MAX(0,Q48*(1+(G48/12))^(a_LoanTerm*12-in_HoldYears*12)-O48*((1+(G48/12))^(a_LoanTerm*12-in_HoldYears*12)-1)/(G48/12))/(1+(a_IndexRate/12))^(a_LoanTerm*12-in_HoldYears*12)-Q48)/Q48*100+IF(a_Prepay="Yield maintenance",0,1))/100,0))))</f>
        <v>0</v>
      </c>
      <c r="S48" s="28">
        <f>IF(F48&gt;0,out_ExitNOI/F48,0)</f>
        <v>9096443.929960027</v>
      </c>
      <c r="T48" s="28">
        <f>S48*IF(a_SaleCostMode="Market tiers",IF(S48&gt;a_Tier3Over,a_Tier3Pct,IF(S48&gt;a_Tier2Over,a_Tier2Pct,a_Tier1Pct)),a_SaleCostEntered)</f>
        <v>227411.0982490007</v>
      </c>
      <c r="U48" s="28">
        <f>S48-T48-r_LeasingAfterSale-Q48-R48-M48*a_ExtN*a_ExtFeeBps/10000-Q48*a_ExitFeePct</f>
        <v>3783220.7230340326</v>
      </c>
      <c r="V48" s="106">
        <f>IFERROR(IRR(X48:AI48),"")</f>
        <v>0.11133839536981978</v>
      </c>
      <c r="W48" s="87">
        <f>SUMIF(Y48:AI48,"&gt;0")/(N48-SUMIF(Y48:AI48,"&lt;0"))</f>
        <v>1.7514703062480592</v>
      </c>
      <c r="X48" s="28">
        <f>-N48</f>
        <v>-3995940.7727871574</v>
      </c>
      <c r="Y48" s="28">
        <f>IF(1&lt;=in_HoldYears,'Cash Flow'!E54-((12-(MAX(0,12*1-ROUND(in_IOYears*12,0))-MAX(0,12*(1-1)-ROUND(in_IOYears*12,0))))*M48*J48+(MAX(0,12*1-ROUND(in_IOYears*12,0))-MAX(0,12*(1-1)-ROUND(in_IOYears*12,0)))*O48)+'Cash Flow'!E61+IF(1=in_HoldYears,U48,0),0)</f>
        <v>522458.9663130166</v>
      </c>
      <c r="Z48" s="28">
        <f>IF(2&lt;=in_HoldYears,'Cash Flow'!F54-((12-(MAX(0,12*2-ROUND(in_IOYears*12,0))-MAX(0,12*(2-1)-ROUND(in_IOYears*12,0))))*M48*J48+(MAX(0,12*2-ROUND(in_IOYears*12,0))-MAX(0,12*(2-1)-ROUND(in_IOYears*12,0)))*O48)+'Cash Flow'!F61+IF(2=in_HoldYears,U48,0),0)</f>
        <v>506820.5797882597</v>
      </c>
      <c r="AA48" s="28">
        <f>IF(3&lt;=in_HoldYears,'Cash Flow'!G54-((12-(MAX(0,12*3-ROUND(in_IOYears*12,0))-MAX(0,12*(3-1)-ROUND(in_IOYears*12,0))))*M48*J48+(MAX(0,12*3-ROUND(in_IOYears*12,0))-MAX(0,12*(3-1)-ROUND(in_IOYears*12,0)))*O48)+'Cash Flow'!G61+IF(3=in_HoldYears,U48,0),0)</f>
        <v>490169.7484557732</v>
      </c>
      <c r="AB48" s="28">
        <f>IF(4&lt;=in_HoldYears,'Cash Flow'!H54-((12-(MAX(0,12*4-ROUND(in_IOYears*12,0))-MAX(0,12*(4-1)-ROUND(in_IOYears*12,0))))*M48*J48+(MAX(0,12*4-ROUND(in_IOYears*12,0))-MAX(0,12*(4-1)-ROUND(in_IOYears*12,0)))*O48)+'Cash Flow'!H61+IF(4=in_HoldYears,U48,0),0)</f>
        <v>457800.6517884752</v>
      </c>
      <c r="AC48" s="28">
        <f>IF(5&lt;=in_HoldYears,'Cash Flow'!I54-((12-(MAX(0,12*5-ROUND(in_IOYears*12,0))-MAX(0,12*(5-1)-ROUND(in_IOYears*12,0))))*M48*J48+(MAX(0,12*5-ROUND(in_IOYears*12,0))-MAX(0,12*(5-1)-ROUND(in_IOYears*12,0)))*O48)+'Cash Flow'!I61+IF(5=in_HoldYears,U48,0),0)</f>
        <v>349905.36825948907</v>
      </c>
      <c r="AD48" s="28">
        <f>IF(6&lt;=in_HoldYears,'Cash Flow'!J54-((12-(MAX(0,12*6-ROUND(in_IOYears*12,0))-MAX(0,12*(6-1)-ROUND(in_IOYears*12,0))))*M48*J48+(MAX(0,12*6-ROUND(in_IOYears*12,0))-MAX(0,12*(6-1)-ROUND(in_IOYears*12,0)))*O48)+'Cash Flow'!J61+IF(6=in_HoldYears,U48,0),0)</f>
        <v>387538.4513084941</v>
      </c>
      <c r="AE48" s="28">
        <f>IF(7&lt;=in_HoldYears,'Cash Flow'!K54-((12-(MAX(0,12*7-ROUND(in_IOYears*12,0))-MAX(0,12*(7-1)-ROUND(in_IOYears*12,0))))*M48*J48+(MAX(0,12*7-ROUND(in_IOYears*12,0))-MAX(0,12*(7-1)-ROUND(in_IOYears*12,0)))*O48)+'Cash Flow'!K61+IF(7=in_HoldYears,U48,0),0)</f>
        <v>4284077.843149121</v>
      </c>
      <c r="AF48" s="28">
        <f>IF(8&lt;=in_HoldYears,'Cash Flow'!L54-((12-(MAX(0,12*8-ROUND(in_IOYears*12,0))-MAX(0,12*(8-1)-ROUND(in_IOYears*12,0))))*M48*J48+(MAX(0,12*8-ROUND(in_IOYears*12,0))-MAX(0,12*(8-1)-ROUND(in_IOYears*12,0)))*O48)+'Cash Flow'!L61+IF(8=in_HoldYears,U48,0),0)</f>
        <v>0</v>
      </c>
      <c r="AG48" s="28">
        <f>IF(9&lt;=in_HoldYears,'Cash Flow'!M54-((12-(MAX(0,12*9-ROUND(in_IOYears*12,0))-MAX(0,12*(9-1)-ROUND(in_IOYears*12,0))))*M48*J48+(MAX(0,12*9-ROUND(in_IOYears*12,0))-MAX(0,12*(9-1)-ROUND(in_IOYears*12,0)))*O48)+'Cash Flow'!M61+IF(9=in_HoldYears,U48,0),0)</f>
        <v>0</v>
      </c>
      <c r="AH48" s="28">
        <f>IF(10&lt;=in_HoldYears,'Cash Flow'!N54-((12-(MAX(0,12*10-ROUND(in_IOYears*12,0))-MAX(0,12*(10-1)-ROUND(in_IOYears*12,0))))*M48*J48+(MAX(0,12*10-ROUND(in_IOYears*12,0))-MAX(0,12*(10-1)-ROUND(in_IOYears*12,0)))*O48)+'Cash Flow'!N61+IF(10=in_HoldYears,U48,0),0)</f>
        <v>0</v>
      </c>
      <c r="AI48" s="28">
        <f>IF(11&lt;=in_HoldYears,'Cash Flow'!O54-((12-(MAX(0,12*11-ROUND(in_IOYears*12,0))-MAX(0,12*(11-1)-ROUND(in_IOYears*12,0))))*M48*J48+(MAX(0,12*11-ROUND(in_IOYears*12,0))-MAX(0,12*(11-1)-ROUND(in_IOYears*12,0)))*O48)+'Cash Flow'!O61+IF(11=in_HoldYears,U48,0),0)</f>
        <v>0</v>
      </c>
    </row>
    <row r="49">
      <c r="B49" s="25">
        <v>2</v>
      </c>
      <c r="C49" s="25">
        <v>1</v>
      </c>
      <c r="D49" s="25">
        <v>0</v>
      </c>
      <c r="E49" s="28">
        <f>in_PurchasePrice</f>
        <v>9369000</v>
      </c>
      <c r="F49" s="88">
        <f>in_ExitCap+(1)*s_CapStep</f>
        <v>0.10640000000000001</v>
      </c>
      <c r="G49" s="88">
        <f>in_InterestRate+(0)*s_RateStep</f>
        <v>0.067</v>
      </c>
      <c r="H49" s="28">
        <f>E49*in_ClosingCostPct+a_ClosingOther</f>
        <v>140535</v>
      </c>
      <c r="I49" s="28">
        <f>E49+H49+a_UpfrontOther+a_LeaseUpReserve</f>
        <v>9561126.772787157</v>
      </c>
      <c r="J49" s="88">
        <f>G49*a_DayFactor/12</f>
        <v>0.005660879629629629</v>
      </c>
      <c r="K49" s="24">
        <f>IF(J49=0,1/(in_AmortYears*12),J49/(1-(1+J49)^(-in_AmortYears*12)))</f>
        <v>0.006514626765893523</v>
      </c>
      <c r="L49" s="24">
        <f>MIN(12,in_IOYears*12)*J49+(12-MIN(12,in_IOYears*12))*K49</f>
        <v>0.07817552119072227</v>
      </c>
      <c r="M49" s="28">
        <f>MAX(0,MIN(I49,IF(a_LoanMode="Fixed amount",a_FixedLoan,IF(a_LoanMode="LTC",I49*a_LTCTarget,IF(a_LoanMode="Lender tests",MIN(E49*a_LTVTarget,IF(AND(a_MinDSCR&gt;0,L49&gt;0),out_NOI_Y1/a_MinDSCR/L49,9E+99),IF(a_MinDY&gt;0,out_NOI_Y1/a_MinDY,9E+99)),E49*a_LTVTarget)))))</f>
        <v>5621400</v>
      </c>
      <c r="N49" s="28">
        <f>I49+M49*a_LoanFeePct+a_IntReserve-M49</f>
        <v>3995940.7727871574</v>
      </c>
      <c r="O49" s="28">
        <f>M49*K49</f>
        <v>36621.32290179385</v>
      </c>
      <c r="P49" s="25">
        <f>MAX(0,12*in_HoldYears-ROUND(in_IOYears*12,0))</f>
        <v>84</v>
      </c>
      <c r="Q49" s="28">
        <f>MAX(0,IF(J49=0,M49*(1-P49/(in_AmortYears*12)),M49*((1+J49)^(in_AmortYears*12)-(1+J49)^P49)/((1+J49)^(in_AmortYears*12)-1)))</f>
        <v>5107056.723644001</v>
      </c>
      <c r="R49" s="28">
        <f>IF(Q49&lt;=0,0,IF(a_Prepay="Step-down 5-4-3-2-1",Q49*IF(in_HoldYears&lt;5,CHOOSE(in_HoldYears+1,5,4,3,2,1),0)/100,IF(a_Prepay="Step-down 3-2-1",Q49*IF(in_HoldYears&lt;3,CHOOSE(in_HoldYears+1,3,2,1),0)/100,IF(AND(OR(a_Prepay="Yield maintenance",a_Prepay="Yield maintenance (1% floor)"),a_LoanTerm&gt;in_HoldYears,G49&gt;0,a_IndexRate&gt;0),Q49*MAX(IF(a_Prepay="Yield maintenance",0.5,1),(O49*(1-(1+(a_IndexRate/12))^(-(a_LoanTerm*12-in_HoldYears*12)))/(a_IndexRate/12)+MAX(0,Q49*(1+(G49/12))^(a_LoanTerm*12-in_HoldYears*12)-O49*((1+(G49/12))^(a_LoanTerm*12-in_HoldYears*12)-1)/(G49/12))/(1+(a_IndexRate/12))^(a_LoanTerm*12-in_HoldYears*12)-Q49)/Q49*100+IF(a_Prepay="Yield maintenance",0,1))/100,0))))</f>
        <v>0</v>
      </c>
      <c r="S49" s="28">
        <f>IF(F49&gt;0,out_ExitNOI/F49,0)</f>
        <v>9096443.929960027</v>
      </c>
      <c r="T49" s="28">
        <f>S49*IF(a_SaleCostMode="Market tiers",IF(S49&gt;a_Tier3Over,a_Tier3Pct,IF(S49&gt;a_Tier2Over,a_Tier2Pct,a_Tier1Pct)),a_SaleCostEntered)</f>
        <v>227411.0982490007</v>
      </c>
      <c r="U49" s="28">
        <f>S49-T49-r_LeasingAfterSale-Q49-R49-M49*a_ExtN*a_ExtFeeBps/10000-Q49*a_ExitFeePct</f>
        <v>3740459.310814863</v>
      </c>
      <c r="V49" s="106">
        <f>IFERROR(IRR(X49:AI49),"")</f>
        <v>0.10435737711430243</v>
      </c>
      <c r="W49" s="87">
        <f>SUMIF(Y49:AI49,"&gt;0")/(N49-SUMIF(Y49:AI49,"&lt;0"))</f>
        <v>1.7013065037482242</v>
      </c>
      <c r="X49" s="28">
        <f>-N49</f>
        <v>-3995940.7727871574</v>
      </c>
      <c r="Y49" s="28">
        <f>IF(1&lt;=in_HoldYears,'Cash Flow'!E54-((12-(MAX(0,12*1-ROUND(in_IOYears*12,0))-MAX(0,12*(1-1)-ROUND(in_IOYears*12,0))))*M49*J49+(MAX(0,12*1-ROUND(in_IOYears*12,0))-MAX(0,12*(1-1)-ROUND(in_IOYears*12,0)))*O49)+'Cash Flow'!E61+IF(1=in_HoldYears,U49,0),0)</f>
        <v>499931.7989547362</v>
      </c>
      <c r="Z49" s="28">
        <f>IF(2&lt;=in_HoldYears,'Cash Flow'!F54-((12-(MAX(0,12*2-ROUND(in_IOYears*12,0))-MAX(0,12*(2-1)-ROUND(in_IOYears*12,0))))*M49*J49+(MAX(0,12*2-ROUND(in_IOYears*12,0))-MAX(0,12*(2-1)-ROUND(in_IOYears*12,0)))*O49)+'Cash Flow'!F61+IF(2=in_HoldYears,U49,0),0)</f>
        <v>484293.4124299793</v>
      </c>
      <c r="AA49" s="28">
        <f>IF(3&lt;=in_HoldYears,'Cash Flow'!G54-((12-(MAX(0,12*3-ROUND(in_IOYears*12,0))-MAX(0,12*(3-1)-ROUND(in_IOYears*12,0))))*M49*J49+(MAX(0,12*3-ROUND(in_IOYears*12,0))-MAX(0,12*(3-1)-ROUND(in_IOYears*12,0)))*O49)+'Cash Flow'!G61+IF(3=in_HoldYears,U49,0),0)</f>
        <v>467642.58109749283</v>
      </c>
      <c r="AB49" s="28">
        <f>IF(4&lt;=in_HoldYears,'Cash Flow'!H54-((12-(MAX(0,12*4-ROUND(in_IOYears*12,0))-MAX(0,12*(4-1)-ROUND(in_IOYears*12,0))))*M49*J49+(MAX(0,12*4-ROUND(in_IOYears*12,0))-MAX(0,12*(4-1)-ROUND(in_IOYears*12,0)))*O49)+'Cash Flow'!H61+IF(4=in_HoldYears,U49,0),0)</f>
        <v>435273.48443019483</v>
      </c>
      <c r="AC49" s="28">
        <f>IF(5&lt;=in_HoldYears,'Cash Flow'!I54-((12-(MAX(0,12*5-ROUND(in_IOYears*12,0))-MAX(0,12*(5-1)-ROUND(in_IOYears*12,0))))*M49*J49+(MAX(0,12*5-ROUND(in_IOYears*12,0))-MAX(0,12*(5-1)-ROUND(in_IOYears*12,0)))*O49)+'Cash Flow'!I61+IF(5=in_HoldYears,U49,0),0)</f>
        <v>327378.2009012087</v>
      </c>
      <c r="AD49" s="28">
        <f>IF(6&lt;=in_HoldYears,'Cash Flow'!J54-((12-(MAX(0,12*6-ROUND(in_IOYears*12,0))-MAX(0,12*(6-1)-ROUND(in_IOYears*12,0))))*M49*J49+(MAX(0,12*6-ROUND(in_IOYears*12,0))-MAX(0,12*(6-1)-ROUND(in_IOYears*12,0)))*O49)+'Cash Flow'!J61+IF(6=in_HoldYears,U49,0),0)</f>
        <v>365011.2839502137</v>
      </c>
      <c r="AE49" s="28">
        <f>IF(7&lt;=in_HoldYears,'Cash Flow'!K54-((12-(MAX(0,12*7-ROUND(in_IOYears*12,0))-MAX(0,12*(7-1)-ROUND(in_IOYears*12,0))))*M49*J49+(MAX(0,12*7-ROUND(in_IOYears*12,0))-MAX(0,12*(7-1)-ROUND(in_IOYears*12,0)))*O49)+'Cash Flow'!K61+IF(7=in_HoldYears,U49,0),0)</f>
        <v>4218789.263571671</v>
      </c>
      <c r="AF49" s="28">
        <f>IF(8&lt;=in_HoldYears,'Cash Flow'!L54-((12-(MAX(0,12*8-ROUND(in_IOYears*12,0))-MAX(0,12*(8-1)-ROUND(in_IOYears*12,0))))*M49*J49+(MAX(0,12*8-ROUND(in_IOYears*12,0))-MAX(0,12*(8-1)-ROUND(in_IOYears*12,0)))*O49)+'Cash Flow'!L61+IF(8=in_HoldYears,U49,0),0)</f>
        <v>0</v>
      </c>
      <c r="AG49" s="28">
        <f>IF(9&lt;=in_HoldYears,'Cash Flow'!M54-((12-(MAX(0,12*9-ROUND(in_IOYears*12,0))-MAX(0,12*(9-1)-ROUND(in_IOYears*12,0))))*M49*J49+(MAX(0,12*9-ROUND(in_IOYears*12,0))-MAX(0,12*(9-1)-ROUND(in_IOYears*12,0)))*O49)+'Cash Flow'!M61+IF(9=in_HoldYears,U49,0),0)</f>
        <v>0</v>
      </c>
      <c r="AH49" s="28">
        <f>IF(10&lt;=in_HoldYears,'Cash Flow'!N54-((12-(MAX(0,12*10-ROUND(in_IOYears*12,0))-MAX(0,12*(10-1)-ROUND(in_IOYears*12,0))))*M49*J49+(MAX(0,12*10-ROUND(in_IOYears*12,0))-MAX(0,12*(10-1)-ROUND(in_IOYears*12,0)))*O49)+'Cash Flow'!N61+IF(10=in_HoldYears,U49,0),0)</f>
        <v>0</v>
      </c>
      <c r="AI49" s="28">
        <f>IF(11&lt;=in_HoldYears,'Cash Flow'!O54-((12-(MAX(0,12*11-ROUND(in_IOYears*12,0))-MAX(0,12*(11-1)-ROUND(in_IOYears*12,0))))*M49*J49+(MAX(0,12*11-ROUND(in_IOYears*12,0))-MAX(0,12*(11-1)-ROUND(in_IOYears*12,0)))*O49)+'Cash Flow'!O61+IF(11=in_HoldYears,U49,0),0)</f>
        <v>0</v>
      </c>
    </row>
    <row r="50">
      <c r="B50" s="25">
        <v>2</v>
      </c>
      <c r="C50" s="25">
        <v>1</v>
      </c>
      <c r="D50" s="25">
        <v>1</v>
      </c>
      <c r="E50" s="28">
        <f>in_PurchasePrice</f>
        <v>9369000</v>
      </c>
      <c r="F50" s="88">
        <f>in_ExitCap+(1)*s_CapStep</f>
        <v>0.10640000000000001</v>
      </c>
      <c r="G50" s="88">
        <f>in_InterestRate+(1)*s_RateStep</f>
        <v>0.07200000000000001</v>
      </c>
      <c r="H50" s="28">
        <f>E50*in_ClosingCostPct+a_ClosingOther</f>
        <v>140535</v>
      </c>
      <c r="I50" s="28">
        <f>E50+H50+a_UpfrontOther+a_LeaseUpReserve</f>
        <v>9561126.772787157</v>
      </c>
      <c r="J50" s="88">
        <f>G50*a_DayFactor/12</f>
        <v>0.006083333333333334</v>
      </c>
      <c r="K50" s="24">
        <f>IF(J50=0,1/(in_AmortYears*12),J50/(1-(1+J50)^(-in_AmortYears*12)))</f>
        <v>0.006855709283653555</v>
      </c>
      <c r="L50" s="24">
        <f>MIN(12,in_IOYears*12)*J50+(12-MIN(12,in_IOYears*12))*K50</f>
        <v>0.08226851140384267</v>
      </c>
      <c r="M50" s="28">
        <f>MAX(0,MIN(I50,IF(a_LoanMode="Fixed amount",a_FixedLoan,IF(a_LoanMode="LTC",I50*a_LTCTarget,IF(a_LoanMode="Lender tests",MIN(E50*a_LTVTarget,IF(AND(a_MinDSCR&gt;0,L50&gt;0),out_NOI_Y1/a_MinDSCR/L50,9E+99),IF(a_MinDY&gt;0,out_NOI_Y1/a_MinDY,9E+99)),E50*a_LTVTarget)))))</f>
        <v>5621400</v>
      </c>
      <c r="N50" s="28">
        <f>I50+M50*a_LoanFeePct+a_IntReserve-M50</f>
        <v>3995940.7727871574</v>
      </c>
      <c r="O50" s="28">
        <f>M50*K50</f>
        <v>38538.68416713009</v>
      </c>
      <c r="P50" s="25">
        <f>MAX(0,12*in_HoldYears-ROUND(in_IOYears*12,0))</f>
        <v>84</v>
      </c>
      <c r="Q50" s="28">
        <f>MAX(0,IF(J50=0,M50*(1-P50/(in_AmortYears*12)),M50*((1+J50)^(in_AmortYears*12)-(1+J50)^P50)/((1+J50)^(in_AmortYears*12)-1)))</f>
        <v>5147215.440592228</v>
      </c>
      <c r="R50" s="28">
        <f>IF(Q50&lt;=0,0,IF(a_Prepay="Step-down 5-4-3-2-1",Q50*IF(in_HoldYears&lt;5,CHOOSE(in_HoldYears+1,5,4,3,2,1),0)/100,IF(a_Prepay="Step-down 3-2-1",Q50*IF(in_HoldYears&lt;3,CHOOSE(in_HoldYears+1,3,2,1),0)/100,IF(AND(OR(a_Prepay="Yield maintenance",a_Prepay="Yield maintenance (1% floor)"),a_LoanTerm&gt;in_HoldYears,G50&gt;0,a_IndexRate&gt;0),Q50*MAX(IF(a_Prepay="Yield maintenance",0.5,1),(O50*(1-(1+(a_IndexRate/12))^(-(a_LoanTerm*12-in_HoldYears*12)))/(a_IndexRate/12)+MAX(0,Q50*(1+(G50/12))^(a_LoanTerm*12-in_HoldYears*12)-O50*((1+(G50/12))^(a_LoanTerm*12-in_HoldYears*12)-1)/(G50/12))/(1+(a_IndexRate/12))^(a_LoanTerm*12-in_HoldYears*12)-Q50)/Q50*100+IF(a_Prepay="Yield maintenance",0,1))/100,0))))</f>
        <v>0</v>
      </c>
      <c r="S50" s="28">
        <f>IF(F50&gt;0,out_ExitNOI/F50,0)</f>
        <v>9096443.929960027</v>
      </c>
      <c r="T50" s="28">
        <f>S50*IF(a_SaleCostMode="Market tiers",IF(S50&gt;a_Tier3Over,a_Tier3Pct,IF(S50&gt;a_Tier2Over,a_Tier2Pct,a_Tier1Pct)),a_SaleCostEntered)</f>
        <v>227411.0982490007</v>
      </c>
      <c r="U50" s="28">
        <f>S50-T50-r_LeasingAfterSale-Q50-R50-M50*a_ExtN*a_ExtFeeBps/10000-Q50*a_ExitFeePct</f>
        <v>3700300.593866636</v>
      </c>
      <c r="V50" s="106">
        <f>IFERROR(IRR(X50:AI50),"")</f>
        <v>0.09726999111995134</v>
      </c>
      <c r="W50" s="87">
        <f>SUMIF(Y50:AI50,"&gt;0")/(N50-SUMIF(Y50:AI50,"&lt;0"))</f>
        <v>1.650951136970322</v>
      </c>
      <c r="X50" s="28">
        <f>-N50</f>
        <v>-3995940.7727871574</v>
      </c>
      <c r="Y50" s="28">
        <f>IF(1&lt;=in_HoldYears,'Cash Flow'!E54-((12-(MAX(0,12*1-ROUND(in_IOYears*12,0))-MAX(0,12*(1-1)-ROUND(in_IOYears*12,0))))*M50*J50+(MAX(0,12*1-ROUND(in_IOYears*12,0))-MAX(0,12*(1-1)-ROUND(in_IOYears*12,0)))*O50)+'Cash Flow'!E61+IF(1=in_HoldYears,U50,0),0)</f>
        <v>476923.4637707013</v>
      </c>
      <c r="Z50" s="28">
        <f>IF(2&lt;=in_HoldYears,'Cash Flow'!F54-((12-(MAX(0,12*2-ROUND(in_IOYears*12,0))-MAX(0,12*(2-1)-ROUND(in_IOYears*12,0))))*M50*J50+(MAX(0,12*2-ROUND(in_IOYears*12,0))-MAX(0,12*(2-1)-ROUND(in_IOYears*12,0)))*O50)+'Cash Flow'!F61+IF(2=in_HoldYears,U50,0),0)</f>
        <v>461285.0772459444</v>
      </c>
      <c r="AA50" s="28">
        <f>IF(3&lt;=in_HoldYears,'Cash Flow'!G54-((12-(MAX(0,12*3-ROUND(in_IOYears*12,0))-MAX(0,12*(3-1)-ROUND(in_IOYears*12,0))))*M50*J50+(MAX(0,12*3-ROUND(in_IOYears*12,0))-MAX(0,12*(3-1)-ROUND(in_IOYears*12,0)))*O50)+'Cash Flow'!G61+IF(3=in_HoldYears,U50,0),0)</f>
        <v>444634.24591345794</v>
      </c>
      <c r="AB50" s="28">
        <f>IF(4&lt;=in_HoldYears,'Cash Flow'!H54-((12-(MAX(0,12*4-ROUND(in_IOYears*12,0))-MAX(0,12*(4-1)-ROUND(in_IOYears*12,0))))*M50*J50+(MAX(0,12*4-ROUND(in_IOYears*12,0))-MAX(0,12*(4-1)-ROUND(in_IOYears*12,0)))*O50)+'Cash Flow'!H61+IF(4=in_HoldYears,U50,0),0)</f>
        <v>412265.14924615994</v>
      </c>
      <c r="AC50" s="28">
        <f>IF(5&lt;=in_HoldYears,'Cash Flow'!I54-((12-(MAX(0,12*5-ROUND(in_IOYears*12,0))-MAX(0,12*(5-1)-ROUND(in_IOYears*12,0))))*M50*J50+(MAX(0,12*5-ROUND(in_IOYears*12,0))-MAX(0,12*(5-1)-ROUND(in_IOYears*12,0)))*O50)+'Cash Flow'!I61+IF(5=in_HoldYears,U50,0),0)</f>
        <v>304369.8657171738</v>
      </c>
      <c r="AD50" s="28">
        <f>IF(6&lt;=in_HoldYears,'Cash Flow'!J54-((12-(MAX(0,12*6-ROUND(in_IOYears*12,0))-MAX(0,12*(6-1)-ROUND(in_IOYears*12,0))))*M50*J50+(MAX(0,12*6-ROUND(in_IOYears*12,0))-MAX(0,12*(6-1)-ROUND(in_IOYears*12,0)))*O50)+'Cash Flow'!J61+IF(6=in_HoldYears,U50,0),0)</f>
        <v>342002.9487661788</v>
      </c>
      <c r="AE50" s="28">
        <f>IF(7&lt;=in_HoldYears,'Cash Flow'!K54-((12-(MAX(0,12*7-ROUND(in_IOYears*12,0))-MAX(0,12*(7-1)-ROUND(in_IOYears*12,0))))*M50*J50+(MAX(0,12*7-ROUND(in_IOYears*12,0))-MAX(0,12*(7-1)-ROUND(in_IOYears*12,0)))*O50)+'Cash Flow'!K61+IF(7=in_HoldYears,U50,0),0)</f>
        <v>4155622.2114394093</v>
      </c>
      <c r="AF50" s="28">
        <f>IF(8&lt;=in_HoldYears,'Cash Flow'!L54-((12-(MAX(0,12*8-ROUND(in_IOYears*12,0))-MAX(0,12*(8-1)-ROUND(in_IOYears*12,0))))*M50*J50+(MAX(0,12*8-ROUND(in_IOYears*12,0))-MAX(0,12*(8-1)-ROUND(in_IOYears*12,0)))*O50)+'Cash Flow'!L61+IF(8=in_HoldYears,U50,0),0)</f>
        <v>0</v>
      </c>
      <c r="AG50" s="28">
        <f>IF(9&lt;=in_HoldYears,'Cash Flow'!M54-((12-(MAX(0,12*9-ROUND(in_IOYears*12,0))-MAX(0,12*(9-1)-ROUND(in_IOYears*12,0))))*M50*J50+(MAX(0,12*9-ROUND(in_IOYears*12,0))-MAX(0,12*(9-1)-ROUND(in_IOYears*12,0)))*O50)+'Cash Flow'!M61+IF(9=in_HoldYears,U50,0),0)</f>
        <v>0</v>
      </c>
      <c r="AH50" s="28">
        <f>IF(10&lt;=in_HoldYears,'Cash Flow'!N54-((12-(MAX(0,12*10-ROUND(in_IOYears*12,0))-MAX(0,12*(10-1)-ROUND(in_IOYears*12,0))))*M50*J50+(MAX(0,12*10-ROUND(in_IOYears*12,0))-MAX(0,12*(10-1)-ROUND(in_IOYears*12,0)))*O50)+'Cash Flow'!N61+IF(10=in_HoldYears,U50,0),0)</f>
        <v>0</v>
      </c>
      <c r="AI50" s="28">
        <f>IF(11&lt;=in_HoldYears,'Cash Flow'!O54-((12-(MAX(0,12*11-ROUND(in_IOYears*12,0))-MAX(0,12*(11-1)-ROUND(in_IOYears*12,0))))*M50*J50+(MAX(0,12*11-ROUND(in_IOYears*12,0))-MAX(0,12*(11-1)-ROUND(in_IOYears*12,0)))*O50)+'Cash Flow'!O61+IF(11=in_HoldYears,U50,0),0)</f>
        <v>0</v>
      </c>
    </row>
    <row r="51">
      <c r="B51" s="25">
        <v>2</v>
      </c>
      <c r="C51" s="25">
        <v>1</v>
      </c>
      <c r="D51" s="25">
        <v>2</v>
      </c>
      <c r="E51" s="28">
        <f>in_PurchasePrice</f>
        <v>9369000</v>
      </c>
      <c r="F51" s="88">
        <f>in_ExitCap+(1)*s_CapStep</f>
        <v>0.10640000000000001</v>
      </c>
      <c r="G51" s="88">
        <f>in_InterestRate+(2)*s_RateStep</f>
        <v>0.077</v>
      </c>
      <c r="H51" s="28">
        <f>E51*in_ClosingCostPct+a_ClosingOther</f>
        <v>140535</v>
      </c>
      <c r="I51" s="28">
        <f>E51+H51+a_UpfrontOther+a_LeaseUpReserve</f>
        <v>9561126.772787157</v>
      </c>
      <c r="J51" s="88">
        <f>G51*a_DayFactor/12</f>
        <v>0.0065057870370370365</v>
      </c>
      <c r="K51" s="24">
        <f>IF(J51=0,1/(in_AmortYears*12),J51/(1-(1+J51)^(-in_AmortYears*12)))</f>
        <v>0.007203513009166921</v>
      </c>
      <c r="L51" s="24">
        <f>MIN(12,in_IOYears*12)*J51+(12-MIN(12,in_IOYears*12))*K51</f>
        <v>0.08644215611000305</v>
      </c>
      <c r="M51" s="28">
        <f>MAX(0,MIN(I51,IF(a_LoanMode="Fixed amount",a_FixedLoan,IF(a_LoanMode="LTC",I51*a_LTCTarget,IF(a_LoanMode="Lender tests",MIN(E51*a_LTVTarget,IF(AND(a_MinDSCR&gt;0,L51&gt;0),out_NOI_Y1/a_MinDSCR/L51,9E+99),IF(a_MinDY&gt;0,out_NOI_Y1/a_MinDY,9E+99)),E51*a_LTVTarget)))))</f>
        <v>5621400</v>
      </c>
      <c r="N51" s="28">
        <f>I51+M51*a_LoanFeePct+a_IntReserve-M51</f>
        <v>3995940.7727871574</v>
      </c>
      <c r="O51" s="28">
        <f>M51*K51</f>
        <v>40493.828029730925</v>
      </c>
      <c r="P51" s="25">
        <f>MAX(0,12*in_HoldYears-ROUND(in_IOYears*12,0))</f>
        <v>84</v>
      </c>
      <c r="Q51" s="28">
        <f>MAX(0,IF(J51=0,M51*(1-P51/(in_AmortYears*12)),M51*((1+J51)^(in_AmortYears*12)-(1+J51)^P51)/((1+J51)^(in_AmortYears*12)-1)))</f>
        <v>5184844.560712963</v>
      </c>
      <c r="R51" s="28">
        <f>IF(Q51&lt;=0,0,IF(a_Prepay="Step-down 5-4-3-2-1",Q51*IF(in_HoldYears&lt;5,CHOOSE(in_HoldYears+1,5,4,3,2,1),0)/100,IF(a_Prepay="Step-down 3-2-1",Q51*IF(in_HoldYears&lt;3,CHOOSE(in_HoldYears+1,3,2,1),0)/100,IF(AND(OR(a_Prepay="Yield maintenance",a_Prepay="Yield maintenance (1% floor)"),a_LoanTerm&gt;in_HoldYears,G51&gt;0,a_IndexRate&gt;0),Q51*MAX(IF(a_Prepay="Yield maintenance",0.5,1),(O51*(1-(1+(a_IndexRate/12))^(-(a_LoanTerm*12-in_HoldYears*12)))/(a_IndexRate/12)+MAX(0,Q51*(1+(G51/12))^(a_LoanTerm*12-in_HoldYears*12)-O51*((1+(G51/12))^(a_LoanTerm*12-in_HoldYears*12)-1)/(G51/12))/(1+(a_IndexRate/12))^(a_LoanTerm*12-in_HoldYears*12)-Q51)/Q51*100+IF(a_Prepay="Yield maintenance",0,1))/100,0))))</f>
        <v>0</v>
      </c>
      <c r="S51" s="28">
        <f>IF(F51&gt;0,out_ExitNOI/F51,0)</f>
        <v>9096443.929960027</v>
      </c>
      <c r="T51" s="28">
        <f>S51*IF(a_SaleCostMode="Market tiers",IF(S51&gt;a_Tier3Over,a_Tier3Pct,IF(S51&gt;a_Tier2Over,a_Tier2Pct,a_Tier1Pct)),a_SaleCostEntered)</f>
        <v>227411.0982490007</v>
      </c>
      <c r="U51" s="28">
        <f>S51-T51-r_LeasingAfterSale-Q51-R51-M51*a_ExtN*a_ExtFeeBps/10000-Q51*a_ExitFeePct</f>
        <v>3662671.473745901</v>
      </c>
      <c r="V51" s="106">
        <f>IFERROR(IRR(X51:AI51),"")</f>
        <v>0.0900833541208354</v>
      </c>
      <c r="W51" s="87">
        <f>SUMIF(Y51:AI51,"&gt;0")/(N51-SUMIF(Y51:AI51,"&lt;0"))</f>
        <v>1.6004345712709744</v>
      </c>
      <c r="X51" s="28">
        <f>-N51</f>
        <v>-3995940.7727871574</v>
      </c>
      <c r="Y51" s="28">
        <f>IF(1&lt;=in_HoldYears,'Cash Flow'!E54-((12-(MAX(0,12*1-ROUND(in_IOYears*12,0))-MAX(0,12*(1-1)-ROUND(in_IOYears*12,0))))*M51*J51+(MAX(0,12*1-ROUND(in_IOYears*12,0))-MAX(0,12*(1-1)-ROUND(in_IOYears*12,0)))*O51)+'Cash Flow'!E61+IF(1=in_HoldYears,U51,0),0)</f>
        <v>453461.73741949134</v>
      </c>
      <c r="Z51" s="28">
        <f>IF(2&lt;=in_HoldYears,'Cash Flow'!F54-((12-(MAX(0,12*2-ROUND(in_IOYears*12,0))-MAX(0,12*(2-1)-ROUND(in_IOYears*12,0))))*M51*J51+(MAX(0,12*2-ROUND(in_IOYears*12,0))-MAX(0,12*(2-1)-ROUND(in_IOYears*12,0)))*O51)+'Cash Flow'!F61+IF(2=in_HoldYears,U51,0),0)</f>
        <v>437823.35089473444</v>
      </c>
      <c r="AA51" s="28">
        <f>IF(3&lt;=in_HoldYears,'Cash Flow'!G54-((12-(MAX(0,12*3-ROUND(in_IOYears*12,0))-MAX(0,12*(3-1)-ROUND(in_IOYears*12,0))))*M51*J51+(MAX(0,12*3-ROUND(in_IOYears*12,0))-MAX(0,12*(3-1)-ROUND(in_IOYears*12,0)))*O51)+'Cash Flow'!G61+IF(3=in_HoldYears,U51,0),0)</f>
        <v>421172.51956224797</v>
      </c>
      <c r="AB51" s="28">
        <f>IF(4&lt;=in_HoldYears,'Cash Flow'!H54-((12-(MAX(0,12*4-ROUND(in_IOYears*12,0))-MAX(0,12*(4-1)-ROUND(in_IOYears*12,0))))*M51*J51+(MAX(0,12*4-ROUND(in_IOYears*12,0))-MAX(0,12*(4-1)-ROUND(in_IOYears*12,0)))*O51)+'Cash Flow'!H61+IF(4=in_HoldYears,U51,0),0)</f>
        <v>388803.42289494997</v>
      </c>
      <c r="AC51" s="28">
        <f>IF(5&lt;=in_HoldYears,'Cash Flow'!I54-((12-(MAX(0,12*5-ROUND(in_IOYears*12,0))-MAX(0,12*(5-1)-ROUND(in_IOYears*12,0))))*M51*J51+(MAX(0,12*5-ROUND(in_IOYears*12,0))-MAX(0,12*(5-1)-ROUND(in_IOYears*12,0)))*O51)+'Cash Flow'!I61+IF(5=in_HoldYears,U51,0),0)</f>
        <v>280908.1393659638</v>
      </c>
      <c r="AD51" s="28">
        <f>IF(6&lt;=in_HoldYears,'Cash Flow'!J54-((12-(MAX(0,12*6-ROUND(in_IOYears*12,0))-MAX(0,12*(6-1)-ROUND(in_IOYears*12,0))))*M51*J51+(MAX(0,12*6-ROUND(in_IOYears*12,0))-MAX(0,12*(6-1)-ROUND(in_IOYears*12,0)))*O51)+'Cash Flow'!J61+IF(6=in_HoldYears,U51,0),0)</f>
        <v>318541.2224149688</v>
      </c>
      <c r="AE51" s="28">
        <f>IF(7&lt;=in_HoldYears,'Cash Flow'!K54-((12-(MAX(0,12*7-ROUND(in_IOYears*12,0))-MAX(0,12*(7-1)-ROUND(in_IOYears*12,0))))*M51*J51+(MAX(0,12*7-ROUND(in_IOYears*12,0))-MAX(0,12*(7-1)-ROUND(in_IOYears*12,0)))*O51)+'Cash Flow'!K61+IF(7=in_HoldYears,U51,0),0)</f>
        <v>4094531.364967464</v>
      </c>
      <c r="AF51" s="28">
        <f>IF(8&lt;=in_HoldYears,'Cash Flow'!L54-((12-(MAX(0,12*8-ROUND(in_IOYears*12,0))-MAX(0,12*(8-1)-ROUND(in_IOYears*12,0))))*M51*J51+(MAX(0,12*8-ROUND(in_IOYears*12,0))-MAX(0,12*(8-1)-ROUND(in_IOYears*12,0)))*O51)+'Cash Flow'!L61+IF(8=in_HoldYears,U51,0),0)</f>
        <v>0</v>
      </c>
      <c r="AG51" s="28">
        <f>IF(9&lt;=in_HoldYears,'Cash Flow'!M54-((12-(MAX(0,12*9-ROUND(in_IOYears*12,0))-MAX(0,12*(9-1)-ROUND(in_IOYears*12,0))))*M51*J51+(MAX(0,12*9-ROUND(in_IOYears*12,0))-MAX(0,12*(9-1)-ROUND(in_IOYears*12,0)))*O51)+'Cash Flow'!M61+IF(9=in_HoldYears,U51,0),0)</f>
        <v>0</v>
      </c>
      <c r="AH51" s="28">
        <f>IF(10&lt;=in_HoldYears,'Cash Flow'!N54-((12-(MAX(0,12*10-ROUND(in_IOYears*12,0))-MAX(0,12*(10-1)-ROUND(in_IOYears*12,0))))*M51*J51+(MAX(0,12*10-ROUND(in_IOYears*12,0))-MAX(0,12*(10-1)-ROUND(in_IOYears*12,0)))*O51)+'Cash Flow'!N61+IF(10=in_HoldYears,U51,0),0)</f>
        <v>0</v>
      </c>
      <c r="AI51" s="28">
        <f>IF(11&lt;=in_HoldYears,'Cash Flow'!O54-((12-(MAX(0,12*11-ROUND(in_IOYears*12,0))-MAX(0,12*(11-1)-ROUND(in_IOYears*12,0))))*M51*J51+(MAX(0,12*11-ROUND(in_IOYears*12,0))-MAX(0,12*(11-1)-ROUND(in_IOYears*12,0)))*O51)+'Cash Flow'!O61+IF(11=in_HoldYears,U51,0),0)</f>
        <v>0</v>
      </c>
    </row>
    <row r="52">
      <c r="B52" s="25">
        <v>2</v>
      </c>
      <c r="C52" s="25">
        <v>2</v>
      </c>
      <c r="D52" s="25">
        <v>-2</v>
      </c>
      <c r="E52" s="28">
        <f>in_PurchasePrice</f>
        <v>9369000</v>
      </c>
      <c r="F52" s="88">
        <f>in_ExitCap+(2)*s_CapStep</f>
        <v>0.10890000000000001</v>
      </c>
      <c r="G52" s="88">
        <f>in_InterestRate+(-2)*s_RateStep</f>
        <v>0.057</v>
      </c>
      <c r="H52" s="28">
        <f>E52*in_ClosingCostPct+a_ClosingOther</f>
        <v>140535</v>
      </c>
      <c r="I52" s="28">
        <f>E52+H52+a_UpfrontOther+a_LeaseUpReserve</f>
        <v>9561126.772787157</v>
      </c>
      <c r="J52" s="88">
        <f>G52*a_DayFactor/12</f>
        <v>0.004815972222222222</v>
      </c>
      <c r="K52" s="24">
        <f>IF(J52=0,1/(in_AmortYears*12),J52/(1-(1+J52)^(-in_AmortYears*12)))</f>
        <v>0.005854270226718756</v>
      </c>
      <c r="L52" s="24">
        <f>MIN(12,in_IOYears*12)*J52+(12-MIN(12,in_IOYears*12))*K52</f>
        <v>0.07025124272062507</v>
      </c>
      <c r="M52" s="28">
        <f>MAX(0,MIN(I52,IF(a_LoanMode="Fixed amount",a_FixedLoan,IF(a_LoanMode="LTC",I52*a_LTCTarget,IF(a_LoanMode="Lender tests",MIN(E52*a_LTVTarget,IF(AND(a_MinDSCR&gt;0,L52&gt;0),out_NOI_Y1/a_MinDSCR/L52,9E+99),IF(a_MinDY&gt;0,out_NOI_Y1/a_MinDY,9E+99)),E52*a_LTVTarget)))))</f>
        <v>5621400</v>
      </c>
      <c r="N52" s="28">
        <f>I52+M52*a_LoanFeePct+a_IntReserve-M52</f>
        <v>3995940.7727871574</v>
      </c>
      <c r="O52" s="28">
        <f>M52*K52</f>
        <v>32909.194652476814</v>
      </c>
      <c r="P52" s="25">
        <f>MAX(0,12*in_HoldYears-ROUND(in_IOYears*12,0))</f>
        <v>84</v>
      </c>
      <c r="Q52" s="28">
        <f>MAX(0,IF(J52=0,M52*(1-P52/(in_AmortYears*12)),M52*((1+J52)^(in_AmortYears*12)-(1+J52)^P52)/((1+J52)^(in_AmortYears*12)-1)))</f>
        <v>5018868.725791827</v>
      </c>
      <c r="R52" s="28">
        <f>IF(Q52&lt;=0,0,IF(a_Prepay="Step-down 5-4-3-2-1",Q52*IF(in_HoldYears&lt;5,CHOOSE(in_HoldYears+1,5,4,3,2,1),0)/100,IF(a_Prepay="Step-down 3-2-1",Q52*IF(in_HoldYears&lt;3,CHOOSE(in_HoldYears+1,3,2,1),0)/100,IF(AND(OR(a_Prepay="Yield maintenance",a_Prepay="Yield maintenance (1% floor)"),a_LoanTerm&gt;in_HoldYears,G52&gt;0,a_IndexRate&gt;0),Q52*MAX(IF(a_Prepay="Yield maintenance",0.5,1),(O52*(1-(1+(a_IndexRate/12))^(-(a_LoanTerm*12-in_HoldYears*12)))/(a_IndexRate/12)+MAX(0,Q52*(1+(G52/12))^(a_LoanTerm*12-in_HoldYears*12)-O52*((1+(G52/12))^(a_LoanTerm*12-in_HoldYears*12)-1)/(G52/12))/(1+(a_IndexRate/12))^(a_LoanTerm*12-in_HoldYears*12)-Q52)/Q52*100+IF(a_Prepay="Yield maintenance",0,1))/100,0))))</f>
        <v>0</v>
      </c>
      <c r="S52" s="28">
        <f>IF(F52&gt;0,out_ExitNOI/F52,0)</f>
        <v>8887618.311733212</v>
      </c>
      <c r="T52" s="28">
        <f>S52*IF(a_SaleCostMode="Market tiers",IF(S52&gt;a_Tier3Over,a_Tier3Pct,IF(S52&gt;a_Tier2Over,a_Tier2Pct,a_Tier1Pct)),a_SaleCostEntered)</f>
        <v>222190.4577933303</v>
      </c>
      <c r="U52" s="28">
        <f>S52-T52-r_LeasingAfterSale-Q52-R52-M52*a_ExtN*a_ExtFeeBps/10000-Q52*a_ExitFeePct</f>
        <v>3625042.3308958933</v>
      </c>
      <c r="V52" s="106">
        <f>IFERROR(IRR(X52:AI52),"")</f>
        <v>0.11288906210596665</v>
      </c>
      <c r="W52" s="87">
        <f>SUMIF(Y52:AI52,"&gt;0")/(N52-SUMIF(Y52:AI52,"&lt;0"))</f>
        <v>1.750456830089691</v>
      </c>
      <c r="X52" s="28">
        <f>-N52</f>
        <v>-3995940.7727871574</v>
      </c>
      <c r="Y52" s="28">
        <f>IF(1&lt;=in_HoldYears,'Cash Flow'!E54-((12-(MAX(0,12*1-ROUND(in_IOYears*12,0))-MAX(0,12*(1-1)-ROUND(in_IOYears*12,0))))*M52*J52+(MAX(0,12*1-ROUND(in_IOYears*12,0))-MAX(0,12*(1-1)-ROUND(in_IOYears*12,0)))*O52)+'Cash Flow'!E61+IF(1=in_HoldYears,U52,0),0)</f>
        <v>544477.3379465407</v>
      </c>
      <c r="Z52" s="28">
        <f>IF(2&lt;=in_HoldYears,'Cash Flow'!F54-((12-(MAX(0,12*2-ROUND(in_IOYears*12,0))-MAX(0,12*(2-1)-ROUND(in_IOYears*12,0))))*M52*J52+(MAX(0,12*2-ROUND(in_IOYears*12,0))-MAX(0,12*(2-1)-ROUND(in_IOYears*12,0)))*O52)+'Cash Flow'!F61+IF(2=in_HoldYears,U52,0),0)</f>
        <v>528838.9514217838</v>
      </c>
      <c r="AA52" s="28">
        <f>IF(3&lt;=in_HoldYears,'Cash Flow'!G54-((12-(MAX(0,12*3-ROUND(in_IOYears*12,0))-MAX(0,12*(3-1)-ROUND(in_IOYears*12,0))))*M52*J52+(MAX(0,12*3-ROUND(in_IOYears*12,0))-MAX(0,12*(3-1)-ROUND(in_IOYears*12,0)))*O52)+'Cash Flow'!G61+IF(3=in_HoldYears,U52,0),0)</f>
        <v>512188.1200892973</v>
      </c>
      <c r="AB52" s="28">
        <f>IF(4&lt;=in_HoldYears,'Cash Flow'!H54-((12-(MAX(0,12*4-ROUND(in_IOYears*12,0))-MAX(0,12*(4-1)-ROUND(in_IOYears*12,0))))*M52*J52+(MAX(0,12*4-ROUND(in_IOYears*12,0))-MAX(0,12*(4-1)-ROUND(in_IOYears*12,0)))*O52)+'Cash Flow'!H61+IF(4=in_HoldYears,U52,0),0)</f>
        <v>479819.0234219993</v>
      </c>
      <c r="AC52" s="28">
        <f>IF(5&lt;=in_HoldYears,'Cash Flow'!I54-((12-(MAX(0,12*5-ROUND(in_IOYears*12,0))-MAX(0,12*(5-1)-ROUND(in_IOYears*12,0))))*M52*J52+(MAX(0,12*5-ROUND(in_IOYears*12,0))-MAX(0,12*(5-1)-ROUND(in_IOYears*12,0)))*O52)+'Cash Flow'!I61+IF(5=in_HoldYears,U52,0),0)</f>
        <v>371923.73989301315</v>
      </c>
      <c r="AD52" s="28">
        <f>IF(6&lt;=in_HoldYears,'Cash Flow'!J54-((12-(MAX(0,12*6-ROUND(in_IOYears*12,0))-MAX(0,12*(6-1)-ROUND(in_IOYears*12,0))))*M52*J52+(MAX(0,12*6-ROUND(in_IOYears*12,0))-MAX(0,12*(6-1)-ROUND(in_IOYears*12,0)))*O52)+'Cash Flow'!J61+IF(6=in_HoldYears,U52,0),0)</f>
        <v>409556.82294201816</v>
      </c>
      <c r="AE52" s="28">
        <f>IF(7&lt;=in_HoldYears,'Cash Flow'!K54-((12-(MAX(0,12*7-ROUND(in_IOYears*12,0))-MAX(0,12*(7-1)-ROUND(in_IOYears*12,0))))*M52*J52+(MAX(0,12*7-ROUND(in_IOYears*12,0))-MAX(0,12*(7-1)-ROUND(in_IOYears*12,0)))*O52)+'Cash Flow'!K61+IF(7=in_HoldYears,U52,0),0)</f>
        <v>4147917.8226445056</v>
      </c>
      <c r="AF52" s="28">
        <f>IF(8&lt;=in_HoldYears,'Cash Flow'!L54-((12-(MAX(0,12*8-ROUND(in_IOYears*12,0))-MAX(0,12*(8-1)-ROUND(in_IOYears*12,0))))*M52*J52+(MAX(0,12*8-ROUND(in_IOYears*12,0))-MAX(0,12*(8-1)-ROUND(in_IOYears*12,0)))*O52)+'Cash Flow'!L61+IF(8=in_HoldYears,U52,0),0)</f>
        <v>0</v>
      </c>
      <c r="AG52" s="28">
        <f>IF(9&lt;=in_HoldYears,'Cash Flow'!M54-((12-(MAX(0,12*9-ROUND(in_IOYears*12,0))-MAX(0,12*(9-1)-ROUND(in_IOYears*12,0))))*M52*J52+(MAX(0,12*9-ROUND(in_IOYears*12,0))-MAX(0,12*(9-1)-ROUND(in_IOYears*12,0)))*O52)+'Cash Flow'!M61+IF(9=in_HoldYears,U52,0),0)</f>
        <v>0</v>
      </c>
      <c r="AH52" s="28">
        <f>IF(10&lt;=in_HoldYears,'Cash Flow'!N54-((12-(MAX(0,12*10-ROUND(in_IOYears*12,0))-MAX(0,12*(10-1)-ROUND(in_IOYears*12,0))))*M52*J52+(MAX(0,12*10-ROUND(in_IOYears*12,0))-MAX(0,12*(10-1)-ROUND(in_IOYears*12,0)))*O52)+'Cash Flow'!N61+IF(10=in_HoldYears,U52,0),0)</f>
        <v>0</v>
      </c>
      <c r="AI52" s="28">
        <f>IF(11&lt;=in_HoldYears,'Cash Flow'!O54-((12-(MAX(0,12*11-ROUND(in_IOYears*12,0))-MAX(0,12*(11-1)-ROUND(in_IOYears*12,0))))*M52*J52+(MAX(0,12*11-ROUND(in_IOYears*12,0))-MAX(0,12*(11-1)-ROUND(in_IOYears*12,0)))*O52)+'Cash Flow'!O61+IF(11=in_HoldYears,U52,0),0)</f>
        <v>0</v>
      </c>
    </row>
    <row r="53">
      <c r="B53" s="25">
        <v>2</v>
      </c>
      <c r="C53" s="25">
        <v>2</v>
      </c>
      <c r="D53" s="25">
        <v>-1</v>
      </c>
      <c r="E53" s="28">
        <f>in_PurchasePrice</f>
        <v>9369000</v>
      </c>
      <c r="F53" s="88">
        <f>in_ExitCap+(2)*s_CapStep</f>
        <v>0.10890000000000001</v>
      </c>
      <c r="G53" s="88">
        <f>in_InterestRate+(-1)*s_RateStep</f>
        <v>0.062000000000000006</v>
      </c>
      <c r="H53" s="28">
        <f>E53*in_ClosingCostPct+a_ClosingOther</f>
        <v>140535</v>
      </c>
      <c r="I53" s="28">
        <f>E53+H53+a_UpfrontOther+a_LeaseUpReserve</f>
        <v>9561126.772787157</v>
      </c>
      <c r="J53" s="88">
        <f>G53*a_DayFactor/12</f>
        <v>0.005238425925925927</v>
      </c>
      <c r="K53" s="24">
        <f>IF(J53=0,1/(in_AmortYears*12),J53/(1-(1+J53)^(-in_AmortYears*12)))</f>
        <v>0.006180677225472388</v>
      </c>
      <c r="L53" s="24">
        <f>MIN(12,in_IOYears*12)*J53+(12-MIN(12,in_IOYears*12))*K53</f>
        <v>0.07416812670566866</v>
      </c>
      <c r="M53" s="28">
        <f>MAX(0,MIN(I53,IF(a_LoanMode="Fixed amount",a_FixedLoan,IF(a_LoanMode="LTC",I53*a_LTCTarget,IF(a_LoanMode="Lender tests",MIN(E53*a_LTVTarget,IF(AND(a_MinDSCR&gt;0,L53&gt;0),out_NOI_Y1/a_MinDSCR/L53,9E+99),IF(a_MinDY&gt;0,out_NOI_Y1/a_MinDY,9E+99)),E53*a_LTVTarget)))))</f>
        <v>5621400</v>
      </c>
      <c r="N53" s="28">
        <f>I53+M53*a_LoanFeePct+a_IntReserve-M53</f>
        <v>3995940.7727871574</v>
      </c>
      <c r="O53" s="28">
        <f>M53*K53</f>
        <v>34744.058955270484</v>
      </c>
      <c r="P53" s="25">
        <f>MAX(0,12*in_HoldYears-ROUND(in_IOYears*12,0))</f>
        <v>84</v>
      </c>
      <c r="Q53" s="28">
        <f>MAX(0,IF(J53=0,M53*(1-P53/(in_AmortYears*12)),M53*((1+J53)^(in_AmortYears*12)-(1+J53)^P53)/((1+J53)^(in_AmortYears*12)-1)))</f>
        <v>5064295.311424832</v>
      </c>
      <c r="R53" s="28">
        <f>IF(Q53&lt;=0,0,IF(a_Prepay="Step-down 5-4-3-2-1",Q53*IF(in_HoldYears&lt;5,CHOOSE(in_HoldYears+1,5,4,3,2,1),0)/100,IF(a_Prepay="Step-down 3-2-1",Q53*IF(in_HoldYears&lt;3,CHOOSE(in_HoldYears+1,3,2,1),0)/100,IF(AND(OR(a_Prepay="Yield maintenance",a_Prepay="Yield maintenance (1% floor)"),a_LoanTerm&gt;in_HoldYears,G53&gt;0,a_IndexRate&gt;0),Q53*MAX(IF(a_Prepay="Yield maintenance",0.5,1),(O53*(1-(1+(a_IndexRate/12))^(-(a_LoanTerm*12-in_HoldYears*12)))/(a_IndexRate/12)+MAX(0,Q53*(1+(G53/12))^(a_LoanTerm*12-in_HoldYears*12)-O53*((1+(G53/12))^(a_LoanTerm*12-in_HoldYears*12)-1)/(G53/12))/(1+(a_IndexRate/12))^(a_LoanTerm*12-in_HoldYears*12)-Q53)/Q53*100+IF(a_Prepay="Yield maintenance",0,1))/100,0))))</f>
        <v>0</v>
      </c>
      <c r="S53" s="28">
        <f>IF(F53&gt;0,out_ExitNOI/F53,0)</f>
        <v>8887618.311733212</v>
      </c>
      <c r="T53" s="28">
        <f>S53*IF(a_SaleCostMode="Market tiers",IF(S53&gt;a_Tier3Over,a_Tier3Pct,IF(S53&gt;a_Tier2Over,a_Tier2Pct,a_Tier1Pct)),a_SaleCostEntered)</f>
        <v>222190.4577933303</v>
      </c>
      <c r="U53" s="28">
        <f>S53-T53-r_LeasingAfterSale-Q53-R53-M53*a_ExtN*a_ExtFeeBps/10000-Q53*a_ExitFeePct</f>
        <v>3579615.7452628883</v>
      </c>
      <c r="V53" s="106">
        <f>IFERROR(IRR(X53:AI53),"")</f>
        <v>0.10588399806354025</v>
      </c>
      <c r="W53" s="87">
        <f>SUMIF(Y53:AI53,"&gt;0")/(N53-SUMIF(Y53:AI53,"&lt;0"))</f>
        <v>1.7005173544030971</v>
      </c>
      <c r="X53" s="28">
        <f>-N53</f>
        <v>-3995940.7727871574</v>
      </c>
      <c r="Y53" s="28">
        <f>IF(1&lt;=in_HoldYears,'Cash Flow'!E54-((12-(MAX(0,12*1-ROUND(in_IOYears*12,0))-MAX(0,12*(1-1)-ROUND(in_IOYears*12,0))))*M53*J53+(MAX(0,12*1-ROUND(in_IOYears*12,0))-MAX(0,12*(1-1)-ROUND(in_IOYears*12,0)))*O53)+'Cash Flow'!E61+IF(1=in_HoldYears,U53,0),0)</f>
        <v>522458.9663130166</v>
      </c>
      <c r="Z53" s="28">
        <f>IF(2&lt;=in_HoldYears,'Cash Flow'!F54-((12-(MAX(0,12*2-ROUND(in_IOYears*12,0))-MAX(0,12*(2-1)-ROUND(in_IOYears*12,0))))*M53*J53+(MAX(0,12*2-ROUND(in_IOYears*12,0))-MAX(0,12*(2-1)-ROUND(in_IOYears*12,0)))*O53)+'Cash Flow'!F61+IF(2=in_HoldYears,U53,0),0)</f>
        <v>506820.5797882597</v>
      </c>
      <c r="AA53" s="28">
        <f>IF(3&lt;=in_HoldYears,'Cash Flow'!G54-((12-(MAX(0,12*3-ROUND(in_IOYears*12,0))-MAX(0,12*(3-1)-ROUND(in_IOYears*12,0))))*M53*J53+(MAX(0,12*3-ROUND(in_IOYears*12,0))-MAX(0,12*(3-1)-ROUND(in_IOYears*12,0)))*O53)+'Cash Flow'!G61+IF(3=in_HoldYears,U53,0),0)</f>
        <v>490169.7484557732</v>
      </c>
      <c r="AB53" s="28">
        <f>IF(4&lt;=in_HoldYears,'Cash Flow'!H54-((12-(MAX(0,12*4-ROUND(in_IOYears*12,0))-MAX(0,12*(4-1)-ROUND(in_IOYears*12,0))))*M53*J53+(MAX(0,12*4-ROUND(in_IOYears*12,0))-MAX(0,12*(4-1)-ROUND(in_IOYears*12,0)))*O53)+'Cash Flow'!H61+IF(4=in_HoldYears,U53,0),0)</f>
        <v>457800.6517884752</v>
      </c>
      <c r="AC53" s="28">
        <f>IF(5&lt;=in_HoldYears,'Cash Flow'!I54-((12-(MAX(0,12*5-ROUND(in_IOYears*12,0))-MAX(0,12*(5-1)-ROUND(in_IOYears*12,0))))*M53*J53+(MAX(0,12*5-ROUND(in_IOYears*12,0))-MAX(0,12*(5-1)-ROUND(in_IOYears*12,0)))*O53)+'Cash Flow'!I61+IF(5=in_HoldYears,U53,0),0)</f>
        <v>349905.36825948907</v>
      </c>
      <c r="AD53" s="28">
        <f>IF(6&lt;=in_HoldYears,'Cash Flow'!J54-((12-(MAX(0,12*6-ROUND(in_IOYears*12,0))-MAX(0,12*(6-1)-ROUND(in_IOYears*12,0))))*M53*J53+(MAX(0,12*6-ROUND(in_IOYears*12,0))-MAX(0,12*(6-1)-ROUND(in_IOYears*12,0)))*O53)+'Cash Flow'!J61+IF(6=in_HoldYears,U53,0),0)</f>
        <v>387538.4513084941</v>
      </c>
      <c r="AE53" s="28">
        <f>IF(7&lt;=in_HoldYears,'Cash Flow'!K54-((12-(MAX(0,12*7-ROUND(in_IOYears*12,0))-MAX(0,12*(7-1)-ROUND(in_IOYears*12,0))))*M53*J53+(MAX(0,12*7-ROUND(in_IOYears*12,0))-MAX(0,12*(7-1)-ROUND(in_IOYears*12,0)))*O53)+'Cash Flow'!K61+IF(7=in_HoldYears,U53,0),0)</f>
        <v>4080472.8653779766</v>
      </c>
      <c r="AF53" s="28">
        <f>IF(8&lt;=in_HoldYears,'Cash Flow'!L54-((12-(MAX(0,12*8-ROUND(in_IOYears*12,0))-MAX(0,12*(8-1)-ROUND(in_IOYears*12,0))))*M53*J53+(MAX(0,12*8-ROUND(in_IOYears*12,0))-MAX(0,12*(8-1)-ROUND(in_IOYears*12,0)))*O53)+'Cash Flow'!L61+IF(8=in_HoldYears,U53,0),0)</f>
        <v>0</v>
      </c>
      <c r="AG53" s="28">
        <f>IF(9&lt;=in_HoldYears,'Cash Flow'!M54-((12-(MAX(0,12*9-ROUND(in_IOYears*12,0))-MAX(0,12*(9-1)-ROUND(in_IOYears*12,0))))*M53*J53+(MAX(0,12*9-ROUND(in_IOYears*12,0))-MAX(0,12*(9-1)-ROUND(in_IOYears*12,0)))*O53)+'Cash Flow'!M61+IF(9=in_HoldYears,U53,0),0)</f>
        <v>0</v>
      </c>
      <c r="AH53" s="28">
        <f>IF(10&lt;=in_HoldYears,'Cash Flow'!N54-((12-(MAX(0,12*10-ROUND(in_IOYears*12,0))-MAX(0,12*(10-1)-ROUND(in_IOYears*12,0))))*M53*J53+(MAX(0,12*10-ROUND(in_IOYears*12,0))-MAX(0,12*(10-1)-ROUND(in_IOYears*12,0)))*O53)+'Cash Flow'!N61+IF(10=in_HoldYears,U53,0),0)</f>
        <v>0</v>
      </c>
      <c r="AI53" s="28">
        <f>IF(11&lt;=in_HoldYears,'Cash Flow'!O54-((12-(MAX(0,12*11-ROUND(in_IOYears*12,0))-MAX(0,12*(11-1)-ROUND(in_IOYears*12,0))))*M53*J53+(MAX(0,12*11-ROUND(in_IOYears*12,0))-MAX(0,12*(11-1)-ROUND(in_IOYears*12,0)))*O53)+'Cash Flow'!O61+IF(11=in_HoldYears,U53,0),0)</f>
        <v>0</v>
      </c>
    </row>
    <row r="54">
      <c r="B54" s="25">
        <v>2</v>
      </c>
      <c r="C54" s="25">
        <v>2</v>
      </c>
      <c r="D54" s="25">
        <v>0</v>
      </c>
      <c r="E54" s="28">
        <f>in_PurchasePrice</f>
        <v>9369000</v>
      </c>
      <c r="F54" s="88">
        <f>in_ExitCap+(2)*s_CapStep</f>
        <v>0.10890000000000001</v>
      </c>
      <c r="G54" s="88">
        <f>in_InterestRate+(0)*s_RateStep</f>
        <v>0.067</v>
      </c>
      <c r="H54" s="28">
        <f>E54*in_ClosingCostPct+a_ClosingOther</f>
        <v>140535</v>
      </c>
      <c r="I54" s="28">
        <f>E54+H54+a_UpfrontOther+a_LeaseUpReserve</f>
        <v>9561126.772787157</v>
      </c>
      <c r="J54" s="88">
        <f>G54*a_DayFactor/12</f>
        <v>0.005660879629629629</v>
      </c>
      <c r="K54" s="24">
        <f>IF(J54=0,1/(in_AmortYears*12),J54/(1-(1+J54)^(-in_AmortYears*12)))</f>
        <v>0.006514626765893523</v>
      </c>
      <c r="L54" s="24">
        <f>MIN(12,in_IOYears*12)*J54+(12-MIN(12,in_IOYears*12))*K54</f>
        <v>0.07817552119072227</v>
      </c>
      <c r="M54" s="28">
        <f>MAX(0,MIN(I54,IF(a_LoanMode="Fixed amount",a_FixedLoan,IF(a_LoanMode="LTC",I54*a_LTCTarget,IF(a_LoanMode="Lender tests",MIN(E54*a_LTVTarget,IF(AND(a_MinDSCR&gt;0,L54&gt;0),out_NOI_Y1/a_MinDSCR/L54,9E+99),IF(a_MinDY&gt;0,out_NOI_Y1/a_MinDY,9E+99)),E54*a_LTVTarget)))))</f>
        <v>5621400</v>
      </c>
      <c r="N54" s="28">
        <f>I54+M54*a_LoanFeePct+a_IntReserve-M54</f>
        <v>3995940.7727871574</v>
      </c>
      <c r="O54" s="28">
        <f>M54*K54</f>
        <v>36621.32290179385</v>
      </c>
      <c r="P54" s="25">
        <f>MAX(0,12*in_HoldYears-ROUND(in_IOYears*12,0))</f>
        <v>84</v>
      </c>
      <c r="Q54" s="28">
        <f>MAX(0,IF(J54=0,M54*(1-P54/(in_AmortYears*12)),M54*((1+J54)^(in_AmortYears*12)-(1+J54)^P54)/((1+J54)^(in_AmortYears*12)-1)))</f>
        <v>5107056.723644001</v>
      </c>
      <c r="R54" s="28">
        <f>IF(Q54&lt;=0,0,IF(a_Prepay="Step-down 5-4-3-2-1",Q54*IF(in_HoldYears&lt;5,CHOOSE(in_HoldYears+1,5,4,3,2,1),0)/100,IF(a_Prepay="Step-down 3-2-1",Q54*IF(in_HoldYears&lt;3,CHOOSE(in_HoldYears+1,3,2,1),0)/100,IF(AND(OR(a_Prepay="Yield maintenance",a_Prepay="Yield maintenance (1% floor)"),a_LoanTerm&gt;in_HoldYears,G54&gt;0,a_IndexRate&gt;0),Q54*MAX(IF(a_Prepay="Yield maintenance",0.5,1),(O54*(1-(1+(a_IndexRate/12))^(-(a_LoanTerm*12-in_HoldYears*12)))/(a_IndexRate/12)+MAX(0,Q54*(1+(G54/12))^(a_LoanTerm*12-in_HoldYears*12)-O54*((1+(G54/12))^(a_LoanTerm*12-in_HoldYears*12)-1)/(G54/12))/(1+(a_IndexRate/12))^(a_LoanTerm*12-in_HoldYears*12)-Q54)/Q54*100+IF(a_Prepay="Yield maintenance",0,1))/100,0))))</f>
        <v>0</v>
      </c>
      <c r="S54" s="28">
        <f>IF(F54&gt;0,out_ExitNOI/F54,0)</f>
        <v>8887618.311733212</v>
      </c>
      <c r="T54" s="28">
        <f>S54*IF(a_SaleCostMode="Market tiers",IF(S54&gt;a_Tier3Over,a_Tier3Pct,IF(S54&gt;a_Tier2Over,a_Tier2Pct,a_Tier1Pct)),a_SaleCostEntered)</f>
        <v>222190.4577933303</v>
      </c>
      <c r="U54" s="28">
        <f>S54-T54-r_LeasingAfterSale-Q54-R54-M54*a_ExtN*a_ExtFeeBps/10000-Q54*a_ExitFeePct</f>
        <v>3536854.3330437187</v>
      </c>
      <c r="V54" s="106">
        <f>IFERROR(IRR(X54:AI54),"")</f>
        <v>0.09876012863788831</v>
      </c>
      <c r="W54" s="87">
        <f>SUMIF(Y54:AI54,"&gt;0")/(N54-SUMIF(Y54:AI54,"&lt;0"))</f>
        <v>1.6503535519032622</v>
      </c>
      <c r="X54" s="28">
        <f>-N54</f>
        <v>-3995940.7727871574</v>
      </c>
      <c r="Y54" s="28">
        <f>IF(1&lt;=in_HoldYears,'Cash Flow'!E54-((12-(MAX(0,12*1-ROUND(in_IOYears*12,0))-MAX(0,12*(1-1)-ROUND(in_IOYears*12,0))))*M54*J54+(MAX(0,12*1-ROUND(in_IOYears*12,0))-MAX(0,12*(1-1)-ROUND(in_IOYears*12,0)))*O54)+'Cash Flow'!E61+IF(1=in_HoldYears,U54,0),0)</f>
        <v>499931.7989547362</v>
      </c>
      <c r="Z54" s="28">
        <f>IF(2&lt;=in_HoldYears,'Cash Flow'!F54-((12-(MAX(0,12*2-ROUND(in_IOYears*12,0))-MAX(0,12*(2-1)-ROUND(in_IOYears*12,0))))*M54*J54+(MAX(0,12*2-ROUND(in_IOYears*12,0))-MAX(0,12*(2-1)-ROUND(in_IOYears*12,0)))*O54)+'Cash Flow'!F61+IF(2=in_HoldYears,U54,0),0)</f>
        <v>484293.4124299793</v>
      </c>
      <c r="AA54" s="28">
        <f>IF(3&lt;=in_HoldYears,'Cash Flow'!G54-((12-(MAX(0,12*3-ROUND(in_IOYears*12,0))-MAX(0,12*(3-1)-ROUND(in_IOYears*12,0))))*M54*J54+(MAX(0,12*3-ROUND(in_IOYears*12,0))-MAX(0,12*(3-1)-ROUND(in_IOYears*12,0)))*O54)+'Cash Flow'!G61+IF(3=in_HoldYears,U54,0),0)</f>
        <v>467642.58109749283</v>
      </c>
      <c r="AB54" s="28">
        <f>IF(4&lt;=in_HoldYears,'Cash Flow'!H54-((12-(MAX(0,12*4-ROUND(in_IOYears*12,0))-MAX(0,12*(4-1)-ROUND(in_IOYears*12,0))))*M54*J54+(MAX(0,12*4-ROUND(in_IOYears*12,0))-MAX(0,12*(4-1)-ROUND(in_IOYears*12,0)))*O54)+'Cash Flow'!H61+IF(4=in_HoldYears,U54,0),0)</f>
        <v>435273.48443019483</v>
      </c>
      <c r="AC54" s="28">
        <f>IF(5&lt;=in_HoldYears,'Cash Flow'!I54-((12-(MAX(0,12*5-ROUND(in_IOYears*12,0))-MAX(0,12*(5-1)-ROUND(in_IOYears*12,0))))*M54*J54+(MAX(0,12*5-ROUND(in_IOYears*12,0))-MAX(0,12*(5-1)-ROUND(in_IOYears*12,0)))*O54)+'Cash Flow'!I61+IF(5=in_HoldYears,U54,0),0)</f>
        <v>327378.2009012087</v>
      </c>
      <c r="AD54" s="28">
        <f>IF(6&lt;=in_HoldYears,'Cash Flow'!J54-((12-(MAX(0,12*6-ROUND(in_IOYears*12,0))-MAX(0,12*(6-1)-ROUND(in_IOYears*12,0))))*M54*J54+(MAX(0,12*6-ROUND(in_IOYears*12,0))-MAX(0,12*(6-1)-ROUND(in_IOYears*12,0)))*O54)+'Cash Flow'!J61+IF(6=in_HoldYears,U54,0),0)</f>
        <v>365011.2839502137</v>
      </c>
      <c r="AE54" s="28">
        <f>IF(7&lt;=in_HoldYears,'Cash Flow'!K54-((12-(MAX(0,12*7-ROUND(in_IOYears*12,0))-MAX(0,12*(7-1)-ROUND(in_IOYears*12,0))))*M54*J54+(MAX(0,12*7-ROUND(in_IOYears*12,0))-MAX(0,12*(7-1)-ROUND(in_IOYears*12,0)))*O54)+'Cash Flow'!K61+IF(7=in_HoldYears,U54,0),0)</f>
        <v>4015184.285800527</v>
      </c>
      <c r="AF54" s="28">
        <f>IF(8&lt;=in_HoldYears,'Cash Flow'!L54-((12-(MAX(0,12*8-ROUND(in_IOYears*12,0))-MAX(0,12*(8-1)-ROUND(in_IOYears*12,0))))*M54*J54+(MAX(0,12*8-ROUND(in_IOYears*12,0))-MAX(0,12*(8-1)-ROUND(in_IOYears*12,0)))*O54)+'Cash Flow'!L61+IF(8=in_HoldYears,U54,0),0)</f>
        <v>0</v>
      </c>
      <c r="AG54" s="28">
        <f>IF(9&lt;=in_HoldYears,'Cash Flow'!M54-((12-(MAX(0,12*9-ROUND(in_IOYears*12,0))-MAX(0,12*(9-1)-ROUND(in_IOYears*12,0))))*M54*J54+(MAX(0,12*9-ROUND(in_IOYears*12,0))-MAX(0,12*(9-1)-ROUND(in_IOYears*12,0)))*O54)+'Cash Flow'!M61+IF(9=in_HoldYears,U54,0),0)</f>
        <v>0</v>
      </c>
      <c r="AH54" s="28">
        <f>IF(10&lt;=in_HoldYears,'Cash Flow'!N54-((12-(MAX(0,12*10-ROUND(in_IOYears*12,0))-MAX(0,12*(10-1)-ROUND(in_IOYears*12,0))))*M54*J54+(MAX(0,12*10-ROUND(in_IOYears*12,0))-MAX(0,12*(10-1)-ROUND(in_IOYears*12,0)))*O54)+'Cash Flow'!N61+IF(10=in_HoldYears,U54,0),0)</f>
        <v>0</v>
      </c>
      <c r="AI54" s="28">
        <f>IF(11&lt;=in_HoldYears,'Cash Flow'!O54-((12-(MAX(0,12*11-ROUND(in_IOYears*12,0))-MAX(0,12*(11-1)-ROUND(in_IOYears*12,0))))*M54*J54+(MAX(0,12*11-ROUND(in_IOYears*12,0))-MAX(0,12*(11-1)-ROUND(in_IOYears*12,0)))*O54)+'Cash Flow'!O61+IF(11=in_HoldYears,U54,0),0)</f>
        <v>0</v>
      </c>
    </row>
    <row r="55">
      <c r="B55" s="25">
        <v>2</v>
      </c>
      <c r="C55" s="25">
        <v>2</v>
      </c>
      <c r="D55" s="25">
        <v>1</v>
      </c>
      <c r="E55" s="28">
        <f>in_PurchasePrice</f>
        <v>9369000</v>
      </c>
      <c r="F55" s="88">
        <f>in_ExitCap+(2)*s_CapStep</f>
        <v>0.10890000000000001</v>
      </c>
      <c r="G55" s="88">
        <f>in_InterestRate+(1)*s_RateStep</f>
        <v>0.07200000000000001</v>
      </c>
      <c r="H55" s="28">
        <f>E55*in_ClosingCostPct+a_ClosingOther</f>
        <v>140535</v>
      </c>
      <c r="I55" s="28">
        <f>E55+H55+a_UpfrontOther+a_LeaseUpReserve</f>
        <v>9561126.772787157</v>
      </c>
      <c r="J55" s="88">
        <f>G55*a_DayFactor/12</f>
        <v>0.006083333333333334</v>
      </c>
      <c r="K55" s="24">
        <f>IF(J55=0,1/(in_AmortYears*12),J55/(1-(1+J55)^(-in_AmortYears*12)))</f>
        <v>0.006855709283653555</v>
      </c>
      <c r="L55" s="24">
        <f>MIN(12,in_IOYears*12)*J55+(12-MIN(12,in_IOYears*12))*K55</f>
        <v>0.08226851140384267</v>
      </c>
      <c r="M55" s="28">
        <f>MAX(0,MIN(I55,IF(a_LoanMode="Fixed amount",a_FixedLoan,IF(a_LoanMode="LTC",I55*a_LTCTarget,IF(a_LoanMode="Lender tests",MIN(E55*a_LTVTarget,IF(AND(a_MinDSCR&gt;0,L55&gt;0),out_NOI_Y1/a_MinDSCR/L55,9E+99),IF(a_MinDY&gt;0,out_NOI_Y1/a_MinDY,9E+99)),E55*a_LTVTarget)))))</f>
        <v>5621400</v>
      </c>
      <c r="N55" s="28">
        <f>I55+M55*a_LoanFeePct+a_IntReserve-M55</f>
        <v>3995940.7727871574</v>
      </c>
      <c r="O55" s="28">
        <f>M55*K55</f>
        <v>38538.68416713009</v>
      </c>
      <c r="P55" s="25">
        <f>MAX(0,12*in_HoldYears-ROUND(in_IOYears*12,0))</f>
        <v>84</v>
      </c>
      <c r="Q55" s="28">
        <f>MAX(0,IF(J55=0,M55*(1-P55/(in_AmortYears*12)),M55*((1+J55)^(in_AmortYears*12)-(1+J55)^P55)/((1+J55)^(in_AmortYears*12)-1)))</f>
        <v>5147215.440592228</v>
      </c>
      <c r="R55" s="28">
        <f>IF(Q55&lt;=0,0,IF(a_Prepay="Step-down 5-4-3-2-1",Q55*IF(in_HoldYears&lt;5,CHOOSE(in_HoldYears+1,5,4,3,2,1),0)/100,IF(a_Prepay="Step-down 3-2-1",Q55*IF(in_HoldYears&lt;3,CHOOSE(in_HoldYears+1,3,2,1),0)/100,IF(AND(OR(a_Prepay="Yield maintenance",a_Prepay="Yield maintenance (1% floor)"),a_LoanTerm&gt;in_HoldYears,G55&gt;0,a_IndexRate&gt;0),Q55*MAX(IF(a_Prepay="Yield maintenance",0.5,1),(O55*(1-(1+(a_IndexRate/12))^(-(a_LoanTerm*12-in_HoldYears*12)))/(a_IndexRate/12)+MAX(0,Q55*(1+(G55/12))^(a_LoanTerm*12-in_HoldYears*12)-O55*((1+(G55/12))^(a_LoanTerm*12-in_HoldYears*12)-1)/(G55/12))/(1+(a_IndexRate/12))^(a_LoanTerm*12-in_HoldYears*12)-Q55)/Q55*100+IF(a_Prepay="Yield maintenance",0,1))/100,0))))</f>
        <v>0</v>
      </c>
      <c r="S55" s="28">
        <f>IF(F55&gt;0,out_ExitNOI/F55,0)</f>
        <v>8887618.311733212</v>
      </c>
      <c r="T55" s="28">
        <f>S55*IF(a_SaleCostMode="Market tiers",IF(S55&gt;a_Tier3Over,a_Tier3Pct,IF(S55&gt;a_Tier2Over,a_Tier2Pct,a_Tier1Pct)),a_SaleCostEntered)</f>
        <v>222190.4577933303</v>
      </c>
      <c r="U55" s="28">
        <f>S55-T55-r_LeasingAfterSale-Q55-R55-M55*a_ExtN*a_ExtFeeBps/10000-Q55*a_ExitFeePct</f>
        <v>3496695.6160954917</v>
      </c>
      <c r="V55" s="106">
        <f>IFERROR(IRR(X55:AI55),"")</f>
        <v>0.09152459775511385</v>
      </c>
      <c r="W55" s="87">
        <f>SUMIF(Y55:AI55,"&gt;0")/(N55-SUMIF(Y55:AI55,"&lt;0"))</f>
        <v>1.59999818512536</v>
      </c>
      <c r="X55" s="28">
        <f>-N55</f>
        <v>-3995940.7727871574</v>
      </c>
      <c r="Y55" s="28">
        <f>IF(1&lt;=in_HoldYears,'Cash Flow'!E54-((12-(MAX(0,12*1-ROUND(in_IOYears*12,0))-MAX(0,12*(1-1)-ROUND(in_IOYears*12,0))))*M55*J55+(MAX(0,12*1-ROUND(in_IOYears*12,0))-MAX(0,12*(1-1)-ROUND(in_IOYears*12,0)))*O55)+'Cash Flow'!E61+IF(1=in_HoldYears,U55,0),0)</f>
        <v>476923.4637707013</v>
      </c>
      <c r="Z55" s="28">
        <f>IF(2&lt;=in_HoldYears,'Cash Flow'!F54-((12-(MAX(0,12*2-ROUND(in_IOYears*12,0))-MAX(0,12*(2-1)-ROUND(in_IOYears*12,0))))*M55*J55+(MAX(0,12*2-ROUND(in_IOYears*12,0))-MAX(0,12*(2-1)-ROUND(in_IOYears*12,0)))*O55)+'Cash Flow'!F61+IF(2=in_HoldYears,U55,0),0)</f>
        <v>461285.0772459444</v>
      </c>
      <c r="AA55" s="28">
        <f>IF(3&lt;=in_HoldYears,'Cash Flow'!G54-((12-(MAX(0,12*3-ROUND(in_IOYears*12,0))-MAX(0,12*(3-1)-ROUND(in_IOYears*12,0))))*M55*J55+(MAX(0,12*3-ROUND(in_IOYears*12,0))-MAX(0,12*(3-1)-ROUND(in_IOYears*12,0)))*O55)+'Cash Flow'!G61+IF(3=in_HoldYears,U55,0),0)</f>
        <v>444634.24591345794</v>
      </c>
      <c r="AB55" s="28">
        <f>IF(4&lt;=in_HoldYears,'Cash Flow'!H54-((12-(MAX(0,12*4-ROUND(in_IOYears*12,0))-MAX(0,12*(4-1)-ROUND(in_IOYears*12,0))))*M55*J55+(MAX(0,12*4-ROUND(in_IOYears*12,0))-MAX(0,12*(4-1)-ROUND(in_IOYears*12,0)))*O55)+'Cash Flow'!H61+IF(4=in_HoldYears,U55,0),0)</f>
        <v>412265.14924615994</v>
      </c>
      <c r="AC55" s="28">
        <f>IF(5&lt;=in_HoldYears,'Cash Flow'!I54-((12-(MAX(0,12*5-ROUND(in_IOYears*12,0))-MAX(0,12*(5-1)-ROUND(in_IOYears*12,0))))*M55*J55+(MAX(0,12*5-ROUND(in_IOYears*12,0))-MAX(0,12*(5-1)-ROUND(in_IOYears*12,0)))*O55)+'Cash Flow'!I61+IF(5=in_HoldYears,U55,0),0)</f>
        <v>304369.8657171738</v>
      </c>
      <c r="AD55" s="28">
        <f>IF(6&lt;=in_HoldYears,'Cash Flow'!J54-((12-(MAX(0,12*6-ROUND(in_IOYears*12,0))-MAX(0,12*(6-1)-ROUND(in_IOYears*12,0))))*M55*J55+(MAX(0,12*6-ROUND(in_IOYears*12,0))-MAX(0,12*(6-1)-ROUND(in_IOYears*12,0)))*O55)+'Cash Flow'!J61+IF(6=in_HoldYears,U55,0),0)</f>
        <v>342002.9487661788</v>
      </c>
      <c r="AE55" s="28">
        <f>IF(7&lt;=in_HoldYears,'Cash Flow'!K54-((12-(MAX(0,12*7-ROUND(in_IOYears*12,0))-MAX(0,12*(7-1)-ROUND(in_IOYears*12,0))))*M55*J55+(MAX(0,12*7-ROUND(in_IOYears*12,0))-MAX(0,12*(7-1)-ROUND(in_IOYears*12,0)))*O55)+'Cash Flow'!K61+IF(7=in_HoldYears,U55,0),0)</f>
        <v>3952017.233668265</v>
      </c>
      <c r="AF55" s="28">
        <f>IF(8&lt;=in_HoldYears,'Cash Flow'!L54-((12-(MAX(0,12*8-ROUND(in_IOYears*12,0))-MAX(0,12*(8-1)-ROUND(in_IOYears*12,0))))*M55*J55+(MAX(0,12*8-ROUND(in_IOYears*12,0))-MAX(0,12*(8-1)-ROUND(in_IOYears*12,0)))*O55)+'Cash Flow'!L61+IF(8=in_HoldYears,U55,0),0)</f>
        <v>0</v>
      </c>
      <c r="AG55" s="28">
        <f>IF(9&lt;=in_HoldYears,'Cash Flow'!M54-((12-(MAX(0,12*9-ROUND(in_IOYears*12,0))-MAX(0,12*(9-1)-ROUND(in_IOYears*12,0))))*M55*J55+(MAX(0,12*9-ROUND(in_IOYears*12,0))-MAX(0,12*(9-1)-ROUND(in_IOYears*12,0)))*O55)+'Cash Flow'!M61+IF(9=in_HoldYears,U55,0),0)</f>
        <v>0</v>
      </c>
      <c r="AH55" s="28">
        <f>IF(10&lt;=in_HoldYears,'Cash Flow'!N54-((12-(MAX(0,12*10-ROUND(in_IOYears*12,0))-MAX(0,12*(10-1)-ROUND(in_IOYears*12,0))))*M55*J55+(MAX(0,12*10-ROUND(in_IOYears*12,0))-MAX(0,12*(10-1)-ROUND(in_IOYears*12,0)))*O55)+'Cash Flow'!N61+IF(10=in_HoldYears,U55,0),0)</f>
        <v>0</v>
      </c>
      <c r="AI55" s="28">
        <f>IF(11&lt;=in_HoldYears,'Cash Flow'!O54-((12-(MAX(0,12*11-ROUND(in_IOYears*12,0))-MAX(0,12*(11-1)-ROUND(in_IOYears*12,0))))*M55*J55+(MAX(0,12*11-ROUND(in_IOYears*12,0))-MAX(0,12*(11-1)-ROUND(in_IOYears*12,0)))*O55)+'Cash Flow'!O61+IF(11=in_HoldYears,U55,0),0)</f>
        <v>0</v>
      </c>
    </row>
    <row r="56">
      <c r="B56" s="25">
        <v>2</v>
      </c>
      <c r="C56" s="25">
        <v>2</v>
      </c>
      <c r="D56" s="25">
        <v>2</v>
      </c>
      <c r="E56" s="28">
        <f>in_PurchasePrice</f>
        <v>9369000</v>
      </c>
      <c r="F56" s="88">
        <f>in_ExitCap+(2)*s_CapStep</f>
        <v>0.10890000000000001</v>
      </c>
      <c r="G56" s="88">
        <f>in_InterestRate+(2)*s_RateStep</f>
        <v>0.077</v>
      </c>
      <c r="H56" s="28">
        <f>E56*in_ClosingCostPct+a_ClosingOther</f>
        <v>140535</v>
      </c>
      <c r="I56" s="28">
        <f>E56+H56+a_UpfrontOther+a_LeaseUpReserve</f>
        <v>9561126.772787157</v>
      </c>
      <c r="J56" s="88">
        <f>G56*a_DayFactor/12</f>
        <v>0.0065057870370370365</v>
      </c>
      <c r="K56" s="24">
        <f>IF(J56=0,1/(in_AmortYears*12),J56/(1-(1+J56)^(-in_AmortYears*12)))</f>
        <v>0.007203513009166921</v>
      </c>
      <c r="L56" s="24">
        <f>MIN(12,in_IOYears*12)*J56+(12-MIN(12,in_IOYears*12))*K56</f>
        <v>0.08644215611000305</v>
      </c>
      <c r="M56" s="28">
        <f>MAX(0,MIN(I56,IF(a_LoanMode="Fixed amount",a_FixedLoan,IF(a_LoanMode="LTC",I56*a_LTCTarget,IF(a_LoanMode="Lender tests",MIN(E56*a_LTVTarget,IF(AND(a_MinDSCR&gt;0,L56&gt;0),out_NOI_Y1/a_MinDSCR/L56,9E+99),IF(a_MinDY&gt;0,out_NOI_Y1/a_MinDY,9E+99)),E56*a_LTVTarget)))))</f>
        <v>5621400</v>
      </c>
      <c r="N56" s="28">
        <f>I56+M56*a_LoanFeePct+a_IntReserve-M56</f>
        <v>3995940.7727871574</v>
      </c>
      <c r="O56" s="28">
        <f>M56*K56</f>
        <v>40493.828029730925</v>
      </c>
      <c r="P56" s="25">
        <f>MAX(0,12*in_HoldYears-ROUND(in_IOYears*12,0))</f>
        <v>84</v>
      </c>
      <c r="Q56" s="28">
        <f>MAX(0,IF(J56=0,M56*(1-P56/(in_AmortYears*12)),M56*((1+J56)^(in_AmortYears*12)-(1+J56)^P56)/((1+J56)^(in_AmortYears*12)-1)))</f>
        <v>5184844.560712963</v>
      </c>
      <c r="R56" s="28">
        <f>IF(Q56&lt;=0,0,IF(a_Prepay="Step-down 5-4-3-2-1",Q56*IF(in_HoldYears&lt;5,CHOOSE(in_HoldYears+1,5,4,3,2,1),0)/100,IF(a_Prepay="Step-down 3-2-1",Q56*IF(in_HoldYears&lt;3,CHOOSE(in_HoldYears+1,3,2,1),0)/100,IF(AND(OR(a_Prepay="Yield maintenance",a_Prepay="Yield maintenance (1% floor)"),a_LoanTerm&gt;in_HoldYears,G56&gt;0,a_IndexRate&gt;0),Q56*MAX(IF(a_Prepay="Yield maintenance",0.5,1),(O56*(1-(1+(a_IndexRate/12))^(-(a_LoanTerm*12-in_HoldYears*12)))/(a_IndexRate/12)+MAX(0,Q56*(1+(G56/12))^(a_LoanTerm*12-in_HoldYears*12)-O56*((1+(G56/12))^(a_LoanTerm*12-in_HoldYears*12)-1)/(G56/12))/(1+(a_IndexRate/12))^(a_LoanTerm*12-in_HoldYears*12)-Q56)/Q56*100+IF(a_Prepay="Yield maintenance",0,1))/100,0))))</f>
        <v>0</v>
      </c>
      <c r="S56" s="28">
        <f>IF(F56&gt;0,out_ExitNOI/F56,0)</f>
        <v>8887618.311733212</v>
      </c>
      <c r="T56" s="28">
        <f>S56*IF(a_SaleCostMode="Market tiers",IF(S56&gt;a_Tier3Over,a_Tier3Pct,IF(S56&gt;a_Tier2Over,a_Tier2Pct,a_Tier1Pct)),a_SaleCostEntered)</f>
        <v>222190.4577933303</v>
      </c>
      <c r="U56" s="28">
        <f>S56-T56-r_LeasingAfterSale-Q56-R56-M56*a_ExtN*a_ExtFeeBps/10000-Q56*a_ExitFeePct</f>
        <v>3459066.495974757</v>
      </c>
      <c r="V56" s="106">
        <f>IFERROR(IRR(X56:AI56),"")</f>
        <v>0.08418446037756767</v>
      </c>
      <c r="W56" s="87">
        <f>SUMIF(Y56:AI56,"&gt;0")/(N56-SUMIF(Y56:AI56,"&lt;0"))</f>
        <v>1.5494816194260124</v>
      </c>
      <c r="X56" s="28">
        <f>-N56</f>
        <v>-3995940.7727871574</v>
      </c>
      <c r="Y56" s="28">
        <f>IF(1&lt;=in_HoldYears,'Cash Flow'!E54-((12-(MAX(0,12*1-ROUND(in_IOYears*12,0))-MAX(0,12*(1-1)-ROUND(in_IOYears*12,0))))*M56*J56+(MAX(0,12*1-ROUND(in_IOYears*12,0))-MAX(0,12*(1-1)-ROUND(in_IOYears*12,0)))*O56)+'Cash Flow'!E61+IF(1=in_HoldYears,U56,0),0)</f>
        <v>453461.73741949134</v>
      </c>
      <c r="Z56" s="28">
        <f>IF(2&lt;=in_HoldYears,'Cash Flow'!F54-((12-(MAX(0,12*2-ROUND(in_IOYears*12,0))-MAX(0,12*(2-1)-ROUND(in_IOYears*12,0))))*M56*J56+(MAX(0,12*2-ROUND(in_IOYears*12,0))-MAX(0,12*(2-1)-ROUND(in_IOYears*12,0)))*O56)+'Cash Flow'!F61+IF(2=in_HoldYears,U56,0),0)</f>
        <v>437823.35089473444</v>
      </c>
      <c r="AA56" s="28">
        <f>IF(3&lt;=in_HoldYears,'Cash Flow'!G54-((12-(MAX(0,12*3-ROUND(in_IOYears*12,0))-MAX(0,12*(3-1)-ROUND(in_IOYears*12,0))))*M56*J56+(MAX(0,12*3-ROUND(in_IOYears*12,0))-MAX(0,12*(3-1)-ROUND(in_IOYears*12,0)))*O56)+'Cash Flow'!G61+IF(3=in_HoldYears,U56,0),0)</f>
        <v>421172.51956224797</v>
      </c>
      <c r="AB56" s="28">
        <f>IF(4&lt;=in_HoldYears,'Cash Flow'!H54-((12-(MAX(0,12*4-ROUND(in_IOYears*12,0))-MAX(0,12*(4-1)-ROUND(in_IOYears*12,0))))*M56*J56+(MAX(0,12*4-ROUND(in_IOYears*12,0))-MAX(0,12*(4-1)-ROUND(in_IOYears*12,0)))*O56)+'Cash Flow'!H61+IF(4=in_HoldYears,U56,0),0)</f>
        <v>388803.42289494997</v>
      </c>
      <c r="AC56" s="28">
        <f>IF(5&lt;=in_HoldYears,'Cash Flow'!I54-((12-(MAX(0,12*5-ROUND(in_IOYears*12,0))-MAX(0,12*(5-1)-ROUND(in_IOYears*12,0))))*M56*J56+(MAX(0,12*5-ROUND(in_IOYears*12,0))-MAX(0,12*(5-1)-ROUND(in_IOYears*12,0)))*O56)+'Cash Flow'!I61+IF(5=in_HoldYears,U56,0),0)</f>
        <v>280908.1393659638</v>
      </c>
      <c r="AD56" s="28">
        <f>IF(6&lt;=in_HoldYears,'Cash Flow'!J54-((12-(MAX(0,12*6-ROUND(in_IOYears*12,0))-MAX(0,12*(6-1)-ROUND(in_IOYears*12,0))))*M56*J56+(MAX(0,12*6-ROUND(in_IOYears*12,0))-MAX(0,12*(6-1)-ROUND(in_IOYears*12,0)))*O56)+'Cash Flow'!J61+IF(6=in_HoldYears,U56,0),0)</f>
        <v>318541.2224149688</v>
      </c>
      <c r="AE56" s="28">
        <f>IF(7&lt;=in_HoldYears,'Cash Flow'!K54-((12-(MAX(0,12*7-ROUND(in_IOYears*12,0))-MAX(0,12*(7-1)-ROUND(in_IOYears*12,0))))*M56*J56+(MAX(0,12*7-ROUND(in_IOYears*12,0))-MAX(0,12*(7-1)-ROUND(in_IOYears*12,0)))*O56)+'Cash Flow'!K61+IF(7=in_HoldYears,U56,0),0)</f>
        <v>3890926.3871963196</v>
      </c>
      <c r="AF56" s="28">
        <f>IF(8&lt;=in_HoldYears,'Cash Flow'!L54-((12-(MAX(0,12*8-ROUND(in_IOYears*12,0))-MAX(0,12*(8-1)-ROUND(in_IOYears*12,0))))*M56*J56+(MAX(0,12*8-ROUND(in_IOYears*12,0))-MAX(0,12*(8-1)-ROUND(in_IOYears*12,0)))*O56)+'Cash Flow'!L61+IF(8=in_HoldYears,U56,0),0)</f>
        <v>0</v>
      </c>
      <c r="AG56" s="28">
        <f>IF(9&lt;=in_HoldYears,'Cash Flow'!M54-((12-(MAX(0,12*9-ROUND(in_IOYears*12,0))-MAX(0,12*(9-1)-ROUND(in_IOYears*12,0))))*M56*J56+(MAX(0,12*9-ROUND(in_IOYears*12,0))-MAX(0,12*(9-1)-ROUND(in_IOYears*12,0)))*O56)+'Cash Flow'!M61+IF(9=in_HoldYears,U56,0),0)</f>
        <v>0</v>
      </c>
      <c r="AH56" s="28">
        <f>IF(10&lt;=in_HoldYears,'Cash Flow'!N54-((12-(MAX(0,12*10-ROUND(in_IOYears*12,0))-MAX(0,12*(10-1)-ROUND(in_IOYears*12,0))))*M56*J56+(MAX(0,12*10-ROUND(in_IOYears*12,0))-MAX(0,12*(10-1)-ROUND(in_IOYears*12,0)))*O56)+'Cash Flow'!N61+IF(10=in_HoldYears,U56,0),0)</f>
        <v>0</v>
      </c>
      <c r="AI56" s="28">
        <f>IF(11&lt;=in_HoldYears,'Cash Flow'!O54-((12-(MAX(0,12*11-ROUND(in_IOYears*12,0))-MAX(0,12*(11-1)-ROUND(in_IOYears*12,0))))*M56*J56+(MAX(0,12*11-ROUND(in_IOYears*12,0))-MAX(0,12*(11-1)-ROUND(in_IOYears*12,0)))*O56)+'Cash Flow'!O61+IF(11=in_HoldYears,U56,0),0)</f>
        <v>0</v>
      </c>
    </row>
  </sheetData>
  <sheetProtection sheet="1" objects="1" scenarios="1" formatColumns="0" formatRows="0" autoFilter="0"/>
  <hyperlinks>
    <hyperlink ref="I2" location="'Executive Summary'!A1" display="Back to summary"/>
  </hyperlinks>
  <pageMargins left="0.5" right="0.5" top="0.6" bottom="0.6" header="0.3" footer="0.3"/>
  <ignoredErrors>
    <ignoredError sqref="A1:AI56" numberStoredAsText="1" formula="1" formulaRange="1" unlockedFormula="1" emptyCellReference="1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E1101"/>
  <sheetViews>
    <sheetView workbookViewId="0"/>
  </sheetViews>
  <sheetFormatPr defaultRowHeight="15"/>
  <cols>
    <col min="1" max="1" width="60" customWidth="1"/>
  </cols>
  <sheetData>
    <row r="1">
      <c r="A1" t="s">
        <v>1019</v>
      </c>
    </row>
    <row r="2">
      <c r="A2" t="s">
        <v>1020</v>
      </c>
      <c r="B2" t="s">
        <v>1021</v>
      </c>
      <c r="C2" t="s">
        <v>1022</v>
      </c>
      <c r="D2" t="s">
        <v>1023</v>
      </c>
      <c r="E2" t="s">
        <v>1024</v>
      </c>
    </row>
    <row r="3">
      <c r="A3" t="s">
        <v>1</v>
      </c>
      <c r="B3">
        <v>7</v>
      </c>
      <c r="C3" t="s">
        <v>1025</v>
      </c>
      <c r="D3" t="s">
        <v>1026</v>
      </c>
      <c r="E3">
        <v>3</v>
      </c>
    </row>
    <row r="4">
      <c r="A4" t="s">
        <v>1</v>
      </c>
      <c r="B4">
        <v>8</v>
      </c>
      <c r="C4" t="s">
        <v>1027</v>
      </c>
      <c r="D4" t="s">
        <v>1028</v>
      </c>
      <c r="E4">
        <v>3</v>
      </c>
    </row>
    <row r="5">
      <c r="A5" t="s">
        <v>1</v>
      </c>
      <c r="B5">
        <v>9</v>
      </c>
      <c r="C5" t="s">
        <v>1029</v>
      </c>
      <c r="D5" t="s">
        <v>1030</v>
      </c>
      <c r="E5">
        <v>3</v>
      </c>
    </row>
    <row r="6">
      <c r="A6" t="s">
        <v>1</v>
      </c>
      <c r="B6">
        <v>10</v>
      </c>
      <c r="C6" t="s">
        <v>1031</v>
      </c>
      <c r="D6" t="s">
        <v>1032</v>
      </c>
      <c r="E6">
        <v>3</v>
      </c>
    </row>
    <row r="7">
      <c r="A7" t="s">
        <v>1</v>
      </c>
      <c r="B7">
        <v>11</v>
      </c>
      <c r="C7" t="s">
        <v>1033</v>
      </c>
      <c r="D7" t="s">
        <v>1034</v>
      </c>
      <c r="E7">
        <v>3</v>
      </c>
    </row>
    <row r="8">
      <c r="A8" t="s">
        <v>1</v>
      </c>
      <c r="B8">
        <v>12</v>
      </c>
      <c r="C8" t="s">
        <v>1035</v>
      </c>
      <c r="D8" t="s">
        <v>1036</v>
      </c>
      <c r="E8">
        <v>3</v>
      </c>
    </row>
    <row r="9">
      <c r="A9" t="s">
        <v>1</v>
      </c>
      <c r="B9">
        <v>13</v>
      </c>
      <c r="C9" t="s">
        <v>1037</v>
      </c>
      <c r="D9" t="s">
        <v>1038</v>
      </c>
      <c r="E9">
        <v>3</v>
      </c>
    </row>
    <row r="10">
      <c r="A10" t="s">
        <v>1</v>
      </c>
      <c r="B10">
        <v>14</v>
      </c>
      <c r="C10" t="s">
        <v>1039</v>
      </c>
      <c r="D10" t="s">
        <v>1040</v>
      </c>
      <c r="E10">
        <v>3</v>
      </c>
    </row>
    <row r="11">
      <c r="A11" t="s">
        <v>1</v>
      </c>
      <c r="B11">
        <v>15</v>
      </c>
      <c r="C11" t="s">
        <v>1041</v>
      </c>
      <c r="D11" t="s">
        <v>1042</v>
      </c>
      <c r="E11">
        <v>3</v>
      </c>
    </row>
    <row r="12">
      <c r="A12" t="s">
        <v>1</v>
      </c>
      <c r="B12">
        <v>16</v>
      </c>
      <c r="C12" t="s">
        <v>1043</v>
      </c>
      <c r="D12" t="s">
        <v>1044</v>
      </c>
      <c r="E12">
        <v>3</v>
      </c>
    </row>
    <row r="13">
      <c r="A13" t="s">
        <v>1</v>
      </c>
      <c r="B13">
        <v>17</v>
      </c>
      <c r="C13" t="s">
        <v>1045</v>
      </c>
      <c r="D13" t="s">
        <v>1046</v>
      </c>
      <c r="E13">
        <v>2</v>
      </c>
    </row>
    <row r="14">
      <c r="A14" t="s">
        <v>1</v>
      </c>
      <c r="B14">
        <v>44</v>
      </c>
      <c r="C14" t="s">
        <v>1047</v>
      </c>
      <c r="D14" t="s">
        <v>1048</v>
      </c>
      <c r="E14">
        <v>1</v>
      </c>
    </row>
    <row r="15">
      <c r="A15" t="s">
        <v>1</v>
      </c>
      <c r="B15">
        <v>46</v>
      </c>
      <c r="C15" t="s">
        <v>1049</v>
      </c>
      <c r="D15" t="s">
        <v>1050</v>
      </c>
      <c r="E15">
        <v>1</v>
      </c>
    </row>
    <row r="16">
      <c r="A16" t="s">
        <v>1</v>
      </c>
      <c r="B16">
        <v>48</v>
      </c>
      <c r="C16" t="s">
        <v>1051</v>
      </c>
      <c r="D16" t="s">
        <v>1052</v>
      </c>
      <c r="E16">
        <v>1</v>
      </c>
    </row>
    <row r="17">
      <c r="A17" t="s">
        <v>1</v>
      </c>
      <c r="B17">
        <v>50</v>
      </c>
      <c r="C17" t="s">
        <v>1053</v>
      </c>
      <c r="D17" t="s">
        <v>1054</v>
      </c>
      <c r="E17">
        <v>1</v>
      </c>
    </row>
    <row r="18">
      <c r="A18" t="s">
        <v>1</v>
      </c>
      <c r="B18">
        <v>51</v>
      </c>
      <c r="C18" t="s">
        <v>1055</v>
      </c>
      <c r="D18" t="s">
        <v>1056</v>
      </c>
      <c r="E18">
        <v>1</v>
      </c>
    </row>
    <row r="19">
      <c r="A19" t="s">
        <v>64</v>
      </c>
      <c r="B19">
        <v>9</v>
      </c>
      <c r="C19" t="s">
        <v>1057</v>
      </c>
      <c r="D19" t="s">
        <v>1058</v>
      </c>
      <c r="E19">
        <v>1</v>
      </c>
    </row>
    <row r="20">
      <c r="A20" t="s">
        <v>64</v>
      </c>
      <c r="B20">
        <v>10</v>
      </c>
      <c r="C20" t="s">
        <v>1059</v>
      </c>
      <c r="D20" t="s">
        <v>1060</v>
      </c>
      <c r="E20">
        <v>1</v>
      </c>
    </row>
    <row r="21">
      <c r="A21" t="s">
        <v>64</v>
      </c>
      <c r="B21">
        <v>11</v>
      </c>
      <c r="C21" t="s">
        <v>1061</v>
      </c>
      <c r="D21" t="s">
        <v>1062</v>
      </c>
      <c r="E21">
        <v>1</v>
      </c>
    </row>
    <row r="22">
      <c r="A22" t="s">
        <v>64</v>
      </c>
      <c r="B22">
        <v>12</v>
      </c>
      <c r="C22" t="s">
        <v>1063</v>
      </c>
      <c r="D22" t="s">
        <v>1064</v>
      </c>
      <c r="E22">
        <v>1</v>
      </c>
    </row>
    <row r="23">
      <c r="A23" t="s">
        <v>64</v>
      </c>
      <c r="B23">
        <v>13</v>
      </c>
      <c r="C23" t="s">
        <v>1065</v>
      </c>
      <c r="D23" t="s">
        <v>1066</v>
      </c>
      <c r="E23">
        <v>1</v>
      </c>
    </row>
    <row r="24">
      <c r="A24" t="s">
        <v>64</v>
      </c>
      <c r="B24">
        <v>15</v>
      </c>
      <c r="C24" t="s">
        <v>1067</v>
      </c>
      <c r="D24" t="s">
        <v>1068</v>
      </c>
      <c r="E24">
        <v>1</v>
      </c>
    </row>
    <row r="25">
      <c r="A25" t="s">
        <v>64</v>
      </c>
      <c r="B25">
        <v>16</v>
      </c>
      <c r="C25" t="s">
        <v>1069</v>
      </c>
      <c r="D25" t="s">
        <v>1070</v>
      </c>
      <c r="E25">
        <v>1</v>
      </c>
    </row>
    <row r="26">
      <c r="A26" t="s">
        <v>64</v>
      </c>
      <c r="B26">
        <v>17</v>
      </c>
      <c r="C26" t="s">
        <v>1071</v>
      </c>
      <c r="D26" t="s">
        <v>1072</v>
      </c>
      <c r="E26">
        <v>1</v>
      </c>
    </row>
    <row r="27">
      <c r="A27" t="s">
        <v>64</v>
      </c>
      <c r="B27">
        <v>18</v>
      </c>
      <c r="C27" t="s">
        <v>1073</v>
      </c>
      <c r="D27" t="s">
        <v>1074</v>
      </c>
      <c r="E27">
        <v>1</v>
      </c>
    </row>
    <row r="28">
      <c r="A28" t="s">
        <v>64</v>
      </c>
      <c r="B28">
        <v>19</v>
      </c>
      <c r="C28" t="s">
        <v>1075</v>
      </c>
      <c r="D28" t="s">
        <v>1076</v>
      </c>
      <c r="E28">
        <v>1</v>
      </c>
    </row>
    <row r="29">
      <c r="A29" t="s">
        <v>64</v>
      </c>
      <c r="B29">
        <v>20</v>
      </c>
      <c r="C29" t="s">
        <v>1077</v>
      </c>
      <c r="D29" t="s">
        <v>1078</v>
      </c>
      <c r="E29">
        <v>1</v>
      </c>
    </row>
    <row r="30">
      <c r="A30" t="s">
        <v>64</v>
      </c>
      <c r="B30">
        <v>21</v>
      </c>
      <c r="C30" t="s">
        <v>1079</v>
      </c>
      <c r="D30" t="s">
        <v>1080</v>
      </c>
      <c r="E30">
        <v>1</v>
      </c>
    </row>
    <row r="31">
      <c r="A31" t="s">
        <v>64</v>
      </c>
      <c r="B31">
        <v>22</v>
      </c>
      <c r="C31" t="s">
        <v>1081</v>
      </c>
      <c r="D31" t="s">
        <v>1082</v>
      </c>
      <c r="E31">
        <v>1</v>
      </c>
    </row>
    <row r="32">
      <c r="A32" t="s">
        <v>64</v>
      </c>
      <c r="B32">
        <v>23</v>
      </c>
      <c r="C32" t="s">
        <v>1083</v>
      </c>
      <c r="D32" t="s">
        <v>1084</v>
      </c>
      <c r="E32">
        <v>1</v>
      </c>
    </row>
    <row r="33">
      <c r="A33" t="s">
        <v>64</v>
      </c>
      <c r="B33">
        <v>25</v>
      </c>
      <c r="C33" t="s">
        <v>1085</v>
      </c>
      <c r="D33" t="s">
        <v>1086</v>
      </c>
      <c r="E33">
        <v>1</v>
      </c>
    </row>
    <row r="34">
      <c r="A34" t="s">
        <v>64</v>
      </c>
      <c r="B34">
        <v>26</v>
      </c>
      <c r="C34" t="s">
        <v>1087</v>
      </c>
      <c r="D34" t="s">
        <v>1088</v>
      </c>
      <c r="E34">
        <v>1</v>
      </c>
    </row>
    <row r="35">
      <c r="A35" t="s">
        <v>64</v>
      </c>
      <c r="B35">
        <v>27</v>
      </c>
      <c r="C35" t="s">
        <v>1089</v>
      </c>
      <c r="D35" t="s">
        <v>1090</v>
      </c>
      <c r="E35">
        <v>1</v>
      </c>
    </row>
    <row r="36">
      <c r="A36" t="s">
        <v>64</v>
      </c>
      <c r="B36">
        <v>28</v>
      </c>
      <c r="C36" t="s">
        <v>1091</v>
      </c>
      <c r="D36" t="s">
        <v>1092</v>
      </c>
      <c r="E36">
        <v>1</v>
      </c>
    </row>
    <row r="37">
      <c r="A37" t="s">
        <v>64</v>
      </c>
      <c r="B37">
        <v>29</v>
      </c>
      <c r="C37" t="s">
        <v>1093</v>
      </c>
      <c r="D37" t="s">
        <v>1094</v>
      </c>
      <c r="E37">
        <v>1</v>
      </c>
    </row>
    <row r="38">
      <c r="A38" t="s">
        <v>64</v>
      </c>
      <c r="B38">
        <v>30</v>
      </c>
      <c r="C38" t="s">
        <v>1095</v>
      </c>
      <c r="D38" t="s">
        <v>1096</v>
      </c>
      <c r="E38">
        <v>1</v>
      </c>
    </row>
    <row r="39">
      <c r="A39" t="s">
        <v>64</v>
      </c>
      <c r="B39">
        <v>31</v>
      </c>
      <c r="C39" t="s">
        <v>1097</v>
      </c>
      <c r="D39" t="s">
        <v>1098</v>
      </c>
      <c r="E39">
        <v>1</v>
      </c>
    </row>
    <row r="40">
      <c r="A40" t="s">
        <v>64</v>
      </c>
      <c r="B40">
        <v>32</v>
      </c>
      <c r="C40" t="s">
        <v>1099</v>
      </c>
      <c r="D40" t="s">
        <v>1100</v>
      </c>
      <c r="E40">
        <v>1</v>
      </c>
    </row>
    <row r="41">
      <c r="A41" t="s">
        <v>64</v>
      </c>
      <c r="B41">
        <v>34</v>
      </c>
      <c r="C41" t="s">
        <v>1101</v>
      </c>
      <c r="D41" t="s">
        <v>1102</v>
      </c>
      <c r="E41">
        <v>1</v>
      </c>
    </row>
    <row r="42">
      <c r="A42" t="s">
        <v>64</v>
      </c>
      <c r="B42">
        <v>35</v>
      </c>
      <c r="C42" t="s">
        <v>1103</v>
      </c>
      <c r="D42" t="s">
        <v>1104</v>
      </c>
      <c r="E42">
        <v>1</v>
      </c>
    </row>
    <row r="43">
      <c r="A43" t="s">
        <v>64</v>
      </c>
      <c r="B43">
        <v>37</v>
      </c>
      <c r="C43" t="s">
        <v>1105</v>
      </c>
      <c r="D43" t="s">
        <v>1106</v>
      </c>
      <c r="E43">
        <v>1</v>
      </c>
    </row>
    <row r="44">
      <c r="A44" t="s">
        <v>64</v>
      </c>
      <c r="B44">
        <v>38</v>
      </c>
      <c r="C44" t="s">
        <v>1107</v>
      </c>
      <c r="D44" t="s">
        <v>1108</v>
      </c>
      <c r="E44">
        <v>1</v>
      </c>
    </row>
    <row r="45">
      <c r="A45" t="s">
        <v>64</v>
      </c>
      <c r="B45">
        <v>39</v>
      </c>
      <c r="C45" t="s">
        <v>1109</v>
      </c>
      <c r="D45" t="s">
        <v>1110</v>
      </c>
      <c r="E45">
        <v>1</v>
      </c>
    </row>
    <row r="46">
      <c r="A46" t="s">
        <v>64</v>
      </c>
      <c r="B46">
        <v>40</v>
      </c>
      <c r="C46" t="s">
        <v>1111</v>
      </c>
      <c r="D46" t="s">
        <v>1112</v>
      </c>
      <c r="E46">
        <v>1</v>
      </c>
    </row>
    <row r="47">
      <c r="A47" t="s">
        <v>64</v>
      </c>
      <c r="B47">
        <v>41</v>
      </c>
      <c r="C47" t="s">
        <v>1113</v>
      </c>
      <c r="D47" t="s">
        <v>1114</v>
      </c>
      <c r="E47">
        <v>1</v>
      </c>
    </row>
    <row r="48">
      <c r="A48" t="s">
        <v>64</v>
      </c>
      <c r="B48">
        <v>42</v>
      </c>
      <c r="C48" t="s">
        <v>1115</v>
      </c>
      <c r="D48" t="s">
        <v>1116</v>
      </c>
      <c r="E48">
        <v>1</v>
      </c>
    </row>
    <row r="49">
      <c r="A49" t="s">
        <v>64</v>
      </c>
      <c r="B49">
        <v>44</v>
      </c>
      <c r="C49" t="s">
        <v>1117</v>
      </c>
      <c r="D49" t="s">
        <v>1118</v>
      </c>
      <c r="E49">
        <v>1</v>
      </c>
    </row>
    <row r="50">
      <c r="A50" t="s">
        <v>64</v>
      </c>
      <c r="B50">
        <v>45</v>
      </c>
      <c r="C50" t="s">
        <v>1119</v>
      </c>
      <c r="D50" t="s">
        <v>1120</v>
      </c>
      <c r="E50">
        <v>1</v>
      </c>
    </row>
    <row r="51">
      <c r="A51" t="s">
        <v>201</v>
      </c>
      <c r="B51">
        <v>8</v>
      </c>
      <c r="C51" t="s">
        <v>1121</v>
      </c>
      <c r="D51" t="s">
        <v>1122</v>
      </c>
      <c r="E51">
        <v>15</v>
      </c>
    </row>
    <row r="52">
      <c r="A52" t="s">
        <v>201</v>
      </c>
      <c r="B52">
        <v>9</v>
      </c>
      <c r="C52" t="s">
        <v>1121</v>
      </c>
      <c r="D52" t="s">
        <v>1122</v>
      </c>
      <c r="E52">
        <v>15</v>
      </c>
    </row>
    <row r="53">
      <c r="A53" t="s">
        <v>201</v>
      </c>
      <c r="B53">
        <v>10</v>
      </c>
      <c r="C53" t="s">
        <v>1121</v>
      </c>
      <c r="D53" t="s">
        <v>1122</v>
      </c>
      <c r="E53">
        <v>15</v>
      </c>
    </row>
    <row r="54">
      <c r="A54" t="s">
        <v>201</v>
      </c>
      <c r="B54">
        <v>11</v>
      </c>
      <c r="C54" t="s">
        <v>1121</v>
      </c>
      <c r="D54" t="s">
        <v>1122</v>
      </c>
      <c r="E54">
        <v>15</v>
      </c>
    </row>
    <row r="55">
      <c r="A55" t="s">
        <v>201</v>
      </c>
      <c r="B55">
        <v>12</v>
      </c>
      <c r="C55" t="s">
        <v>1121</v>
      </c>
      <c r="D55" t="s">
        <v>1122</v>
      </c>
      <c r="E55">
        <v>15</v>
      </c>
    </row>
    <row r="56">
      <c r="A56" t="s">
        <v>201</v>
      </c>
      <c r="B56">
        <v>13</v>
      </c>
      <c r="C56" t="s">
        <v>1121</v>
      </c>
      <c r="D56" t="s">
        <v>1122</v>
      </c>
      <c r="E56">
        <v>15</v>
      </c>
    </row>
    <row r="57">
      <c r="A57" t="s">
        <v>201</v>
      </c>
      <c r="B57">
        <v>14</v>
      </c>
      <c r="C57" t="s">
        <v>1121</v>
      </c>
      <c r="D57" t="s">
        <v>1122</v>
      </c>
      <c r="E57">
        <v>15</v>
      </c>
    </row>
    <row r="58">
      <c r="A58" t="s">
        <v>201</v>
      </c>
      <c r="B58">
        <v>15</v>
      </c>
      <c r="C58" t="s">
        <v>1121</v>
      </c>
      <c r="D58" t="s">
        <v>1122</v>
      </c>
      <c r="E58">
        <v>15</v>
      </c>
    </row>
    <row r="59">
      <c r="A59" t="s">
        <v>201</v>
      </c>
      <c r="B59">
        <v>16</v>
      </c>
      <c r="C59" t="s">
        <v>1121</v>
      </c>
      <c r="D59" t="s">
        <v>1122</v>
      </c>
      <c r="E59">
        <v>15</v>
      </c>
    </row>
    <row r="60">
      <c r="A60" t="s">
        <v>201</v>
      </c>
      <c r="B60">
        <v>17</v>
      </c>
      <c r="C60" t="s">
        <v>1121</v>
      </c>
      <c r="D60" t="s">
        <v>1122</v>
      </c>
      <c r="E60">
        <v>15</v>
      </c>
    </row>
    <row r="61">
      <c r="A61" t="s">
        <v>201</v>
      </c>
      <c r="B61">
        <v>18</v>
      </c>
      <c r="C61" t="s">
        <v>1121</v>
      </c>
      <c r="D61" t="s">
        <v>1122</v>
      </c>
      <c r="E61">
        <v>15</v>
      </c>
    </row>
    <row r="62">
      <c r="A62" t="s">
        <v>201</v>
      </c>
      <c r="B62">
        <v>19</v>
      </c>
      <c r="C62" t="s">
        <v>1121</v>
      </c>
      <c r="D62" t="s">
        <v>1122</v>
      </c>
      <c r="E62">
        <v>15</v>
      </c>
    </row>
    <row r="63">
      <c r="A63" t="s">
        <v>201</v>
      </c>
      <c r="B63">
        <v>20</v>
      </c>
      <c r="C63" t="s">
        <v>1121</v>
      </c>
      <c r="D63" t="s">
        <v>1122</v>
      </c>
      <c r="E63">
        <v>15</v>
      </c>
    </row>
    <row r="64">
      <c r="A64" t="s">
        <v>201</v>
      </c>
      <c r="B64">
        <v>21</v>
      </c>
      <c r="C64" t="s">
        <v>1121</v>
      </c>
      <c r="D64" t="s">
        <v>1122</v>
      </c>
      <c r="E64">
        <v>15</v>
      </c>
    </row>
    <row r="65">
      <c r="A65" t="s">
        <v>201</v>
      </c>
      <c r="B65">
        <v>22</v>
      </c>
      <c r="C65" t="s">
        <v>1121</v>
      </c>
      <c r="D65" t="s">
        <v>1122</v>
      </c>
      <c r="E65">
        <v>15</v>
      </c>
    </row>
    <row r="66">
      <c r="A66" t="s">
        <v>201</v>
      </c>
      <c r="B66">
        <v>23</v>
      </c>
      <c r="C66" t="s">
        <v>1121</v>
      </c>
      <c r="D66" t="s">
        <v>1122</v>
      </c>
      <c r="E66">
        <v>15</v>
      </c>
    </row>
    <row r="67">
      <c r="A67" t="s">
        <v>201</v>
      </c>
      <c r="B67">
        <v>24</v>
      </c>
      <c r="C67" t="s">
        <v>1121</v>
      </c>
      <c r="D67" t="s">
        <v>1122</v>
      </c>
      <c r="E67">
        <v>15</v>
      </c>
    </row>
    <row r="68">
      <c r="A68" t="s">
        <v>201</v>
      </c>
      <c r="B68">
        <v>25</v>
      </c>
      <c r="C68" t="s">
        <v>1121</v>
      </c>
      <c r="D68" t="s">
        <v>1122</v>
      </c>
      <c r="E68">
        <v>15</v>
      </c>
    </row>
    <row r="69">
      <c r="A69" t="s">
        <v>201</v>
      </c>
      <c r="B69">
        <v>26</v>
      </c>
      <c r="C69" t="s">
        <v>1121</v>
      </c>
      <c r="D69" t="s">
        <v>1122</v>
      </c>
      <c r="E69">
        <v>15</v>
      </c>
    </row>
    <row r="70">
      <c r="A70" t="s">
        <v>201</v>
      </c>
      <c r="B70">
        <v>27</v>
      </c>
      <c r="C70" t="s">
        <v>1121</v>
      </c>
      <c r="D70" t="s">
        <v>1122</v>
      </c>
      <c r="E70">
        <v>15</v>
      </c>
    </row>
    <row r="71">
      <c r="A71" t="s">
        <v>201</v>
      </c>
      <c r="B71">
        <v>28</v>
      </c>
      <c r="C71" t="s">
        <v>1121</v>
      </c>
      <c r="D71" t="s">
        <v>1122</v>
      </c>
      <c r="E71">
        <v>15</v>
      </c>
    </row>
    <row r="72">
      <c r="A72" t="s">
        <v>201</v>
      </c>
      <c r="B72">
        <v>29</v>
      </c>
      <c r="C72" t="s">
        <v>1121</v>
      </c>
      <c r="D72" t="s">
        <v>1122</v>
      </c>
      <c r="E72">
        <v>15</v>
      </c>
    </row>
    <row r="73">
      <c r="A73" t="s">
        <v>201</v>
      </c>
      <c r="B73">
        <v>30</v>
      </c>
      <c r="C73" t="s">
        <v>1121</v>
      </c>
      <c r="D73" t="s">
        <v>1122</v>
      </c>
      <c r="E73">
        <v>15</v>
      </c>
    </row>
    <row r="74">
      <c r="A74" t="s">
        <v>201</v>
      </c>
      <c r="B74">
        <v>31</v>
      </c>
      <c r="C74" t="s">
        <v>1121</v>
      </c>
      <c r="D74" t="s">
        <v>1122</v>
      </c>
      <c r="E74">
        <v>15</v>
      </c>
    </row>
    <row r="75">
      <c r="A75" t="s">
        <v>201</v>
      </c>
      <c r="B75">
        <v>32</v>
      </c>
      <c r="C75" t="s">
        <v>1121</v>
      </c>
      <c r="D75" t="s">
        <v>1122</v>
      </c>
      <c r="E75">
        <v>15</v>
      </c>
    </row>
    <row r="76">
      <c r="A76" t="s">
        <v>201</v>
      </c>
      <c r="B76">
        <v>33</v>
      </c>
      <c r="C76" t="s">
        <v>1123</v>
      </c>
      <c r="D76" t="s">
        <v>1124</v>
      </c>
      <c r="E76">
        <v>6</v>
      </c>
    </row>
    <row r="77">
      <c r="A77" t="s">
        <v>285</v>
      </c>
      <c r="B77">
        <v>8</v>
      </c>
      <c r="C77" t="s">
        <v>1125</v>
      </c>
      <c r="D77" t="s">
        <v>1126</v>
      </c>
      <c r="E77">
        <v>2</v>
      </c>
    </row>
    <row r="78">
      <c r="A78" t="s">
        <v>285</v>
      </c>
      <c r="B78">
        <v>9</v>
      </c>
      <c r="C78" t="s">
        <v>1127</v>
      </c>
      <c r="D78" t="s">
        <v>1128</v>
      </c>
      <c r="E78">
        <v>2</v>
      </c>
    </row>
    <row r="79">
      <c r="A79" t="s">
        <v>285</v>
      </c>
      <c r="B79">
        <v>10</v>
      </c>
      <c r="C79" t="s">
        <v>1129</v>
      </c>
      <c r="D79" t="s">
        <v>1130</v>
      </c>
      <c r="E79">
        <v>2</v>
      </c>
    </row>
    <row r="80">
      <c r="A80" t="s">
        <v>285</v>
      </c>
      <c r="B80">
        <v>11</v>
      </c>
      <c r="C80" t="s">
        <v>1131</v>
      </c>
      <c r="D80" t="s">
        <v>1132</v>
      </c>
      <c r="E80">
        <v>2</v>
      </c>
    </row>
    <row r="81">
      <c r="A81" t="s">
        <v>285</v>
      </c>
      <c r="B81">
        <v>12</v>
      </c>
      <c r="C81" t="s">
        <v>1131</v>
      </c>
      <c r="D81" t="s">
        <v>1132</v>
      </c>
      <c r="E81">
        <v>2</v>
      </c>
    </row>
    <row r="82">
      <c r="A82" t="s">
        <v>285</v>
      </c>
      <c r="B82">
        <v>13</v>
      </c>
      <c r="C82" t="s">
        <v>1133</v>
      </c>
      <c r="D82" t="s">
        <v>1134</v>
      </c>
      <c r="E82">
        <v>2</v>
      </c>
    </row>
    <row r="83">
      <c r="A83" t="s">
        <v>285</v>
      </c>
      <c r="B83">
        <v>14</v>
      </c>
      <c r="C83" t="s">
        <v>1135</v>
      </c>
      <c r="D83" t="s">
        <v>1136</v>
      </c>
      <c r="E83">
        <v>2</v>
      </c>
    </row>
    <row r="84">
      <c r="A84" t="s">
        <v>285</v>
      </c>
      <c r="B84">
        <v>17</v>
      </c>
      <c r="C84" t="s">
        <v>1137</v>
      </c>
      <c r="D84" t="s">
        <v>1138</v>
      </c>
      <c r="E84">
        <v>1</v>
      </c>
    </row>
    <row r="85">
      <c r="A85" t="s">
        <v>285</v>
      </c>
      <c r="B85">
        <v>18</v>
      </c>
      <c r="C85" t="s">
        <v>1139</v>
      </c>
      <c r="D85" t="s">
        <v>1140</v>
      </c>
      <c r="E85">
        <v>1</v>
      </c>
    </row>
    <row r="86">
      <c r="A86" t="s">
        <v>311</v>
      </c>
      <c r="B86">
        <v>14</v>
      </c>
      <c r="C86" t="s">
        <v>1141</v>
      </c>
      <c r="D86" t="s">
        <v>1142</v>
      </c>
      <c r="E86">
        <v>1</v>
      </c>
    </row>
    <row r="87">
      <c r="A87" t="s">
        <v>311</v>
      </c>
      <c r="B87">
        <v>16</v>
      </c>
      <c r="C87" t="s">
        <v>1143</v>
      </c>
      <c r="D87" t="s">
        <v>1144</v>
      </c>
      <c r="E87">
        <v>1</v>
      </c>
    </row>
    <row r="88">
      <c r="A88" t="s">
        <v>311</v>
      </c>
      <c r="B88">
        <v>17</v>
      </c>
      <c r="C88" t="s">
        <v>1145</v>
      </c>
      <c r="D88" t="s">
        <v>1146</v>
      </c>
      <c r="E88">
        <v>1</v>
      </c>
    </row>
    <row r="89">
      <c r="A89" t="s">
        <v>311</v>
      </c>
      <c r="B89">
        <v>42</v>
      </c>
      <c r="C89" t="s">
        <v>1147</v>
      </c>
      <c r="D89" t="s">
        <v>1148</v>
      </c>
      <c r="E89">
        <v>1</v>
      </c>
    </row>
    <row r="90">
      <c r="A90" t="s">
        <v>311</v>
      </c>
      <c r="B90">
        <v>61</v>
      </c>
      <c r="C90" t="s">
        <v>1149</v>
      </c>
      <c r="D90" t="s">
        <v>1150</v>
      </c>
      <c r="E90">
        <v>1</v>
      </c>
    </row>
    <row r="91">
      <c r="A91" t="s">
        <v>311</v>
      </c>
      <c r="B91">
        <v>62</v>
      </c>
      <c r="C91" t="s">
        <v>1149</v>
      </c>
      <c r="D91" t="s">
        <v>1150</v>
      </c>
      <c r="E91">
        <v>1</v>
      </c>
    </row>
    <row r="92">
      <c r="A92" t="s">
        <v>311</v>
      </c>
      <c r="B92">
        <v>63</v>
      </c>
      <c r="C92" t="s">
        <v>1149</v>
      </c>
      <c r="D92" t="s">
        <v>1150</v>
      </c>
      <c r="E92">
        <v>1</v>
      </c>
    </row>
    <row r="93">
      <c r="A93" t="s">
        <v>311</v>
      </c>
      <c r="B93">
        <v>64</v>
      </c>
      <c r="C93" t="s">
        <v>1149</v>
      </c>
      <c r="D93" t="s">
        <v>1150</v>
      </c>
      <c r="E93">
        <v>1</v>
      </c>
    </row>
    <row r="94">
      <c r="A94" t="s">
        <v>311</v>
      </c>
      <c r="B94">
        <v>65</v>
      </c>
      <c r="C94" t="s">
        <v>1149</v>
      </c>
      <c r="D94" t="s">
        <v>1150</v>
      </c>
      <c r="E94">
        <v>1</v>
      </c>
    </row>
    <row r="95">
      <c r="A95" t="s">
        <v>311</v>
      </c>
      <c r="B95">
        <v>66</v>
      </c>
      <c r="C95" t="s">
        <v>1149</v>
      </c>
      <c r="D95" t="s">
        <v>1150</v>
      </c>
      <c r="E95">
        <v>1</v>
      </c>
    </row>
    <row r="96">
      <c r="A96" t="s">
        <v>311</v>
      </c>
      <c r="B96">
        <v>106</v>
      </c>
      <c r="C96" t="s">
        <v>1151</v>
      </c>
      <c r="D96" t="s">
        <v>1152</v>
      </c>
      <c r="E96">
        <v>1</v>
      </c>
    </row>
    <row r="97">
      <c r="A97" t="s">
        <v>311</v>
      </c>
      <c r="B97">
        <v>107</v>
      </c>
      <c r="C97" t="s">
        <v>1153</v>
      </c>
      <c r="D97" t="s">
        <v>1154</v>
      </c>
      <c r="E97">
        <v>1</v>
      </c>
    </row>
    <row r="98">
      <c r="A98" t="s">
        <v>311</v>
      </c>
      <c r="B98">
        <v>108</v>
      </c>
      <c r="C98" t="s">
        <v>1155</v>
      </c>
      <c r="D98" t="s">
        <v>1156</v>
      </c>
      <c r="E98">
        <v>1</v>
      </c>
    </row>
    <row r="99">
      <c r="A99" t="s">
        <v>311</v>
      </c>
      <c r="B99">
        <v>109</v>
      </c>
      <c r="C99" t="s">
        <v>1157</v>
      </c>
      <c r="D99" t="s">
        <v>1158</v>
      </c>
      <c r="E99">
        <v>1</v>
      </c>
    </row>
    <row r="100">
      <c r="A100" t="s">
        <v>311</v>
      </c>
      <c r="B100">
        <v>110</v>
      </c>
      <c r="C100" t="s">
        <v>1159</v>
      </c>
      <c r="D100" t="s">
        <v>1160</v>
      </c>
      <c r="E100">
        <v>1</v>
      </c>
    </row>
    <row r="101">
      <c r="A101" t="s">
        <v>311</v>
      </c>
      <c r="B101">
        <v>111</v>
      </c>
      <c r="C101" t="s">
        <v>1161</v>
      </c>
      <c r="D101" t="s">
        <v>1162</v>
      </c>
      <c r="E101">
        <v>1</v>
      </c>
    </row>
    <row r="102">
      <c r="A102" t="s">
        <v>311</v>
      </c>
      <c r="B102">
        <v>112</v>
      </c>
      <c r="C102" t="s">
        <v>1163</v>
      </c>
      <c r="D102" t="s">
        <v>1164</v>
      </c>
      <c r="E102">
        <v>1</v>
      </c>
    </row>
    <row r="103">
      <c r="A103" t="s">
        <v>311</v>
      </c>
      <c r="B103">
        <v>113</v>
      </c>
      <c r="C103" t="s">
        <v>1165</v>
      </c>
      <c r="D103" t="s">
        <v>1166</v>
      </c>
      <c r="E103">
        <v>1</v>
      </c>
    </row>
    <row r="104">
      <c r="A104" t="s">
        <v>311</v>
      </c>
      <c r="B104">
        <v>114</v>
      </c>
      <c r="C104" t="s">
        <v>1167</v>
      </c>
      <c r="D104" t="s">
        <v>1168</v>
      </c>
      <c r="E104">
        <v>1</v>
      </c>
    </row>
    <row r="105">
      <c r="A105" t="s">
        <v>311</v>
      </c>
      <c r="B105">
        <v>115</v>
      </c>
      <c r="C105" t="s">
        <v>1169</v>
      </c>
      <c r="D105" t="s">
        <v>1170</v>
      </c>
      <c r="E105">
        <v>1</v>
      </c>
    </row>
    <row r="106">
      <c r="A106" t="s">
        <v>311</v>
      </c>
      <c r="B106">
        <v>116</v>
      </c>
      <c r="C106" t="s">
        <v>1171</v>
      </c>
      <c r="D106" t="s">
        <v>1172</v>
      </c>
      <c r="E106">
        <v>1</v>
      </c>
    </row>
    <row r="107">
      <c r="A107" t="s">
        <v>311</v>
      </c>
      <c r="B107">
        <v>118</v>
      </c>
      <c r="C107" t="s">
        <v>1173</v>
      </c>
      <c r="D107" t="s">
        <v>1174</v>
      </c>
      <c r="E107">
        <v>1</v>
      </c>
    </row>
    <row r="108">
      <c r="A108" t="s">
        <v>464</v>
      </c>
      <c r="B108">
        <v>8</v>
      </c>
      <c r="C108" t="s">
        <v>1175</v>
      </c>
      <c r="D108" t="s">
        <v>1176</v>
      </c>
      <c r="E108">
        <v>17</v>
      </c>
    </row>
    <row r="109">
      <c r="A109" t="s">
        <v>464</v>
      </c>
      <c r="B109">
        <v>9</v>
      </c>
      <c r="C109" t="s">
        <v>1175</v>
      </c>
      <c r="D109" t="s">
        <v>1176</v>
      </c>
      <c r="E109">
        <v>17</v>
      </c>
    </row>
    <row r="110">
      <c r="A110" t="s">
        <v>464</v>
      </c>
      <c r="B110">
        <v>10</v>
      </c>
      <c r="C110" t="s">
        <v>1175</v>
      </c>
      <c r="D110" t="s">
        <v>1176</v>
      </c>
      <c r="E110">
        <v>17</v>
      </c>
    </row>
    <row r="111">
      <c r="A111" t="s">
        <v>464</v>
      </c>
      <c r="B111">
        <v>11</v>
      </c>
      <c r="C111" t="s">
        <v>1175</v>
      </c>
      <c r="D111" t="s">
        <v>1176</v>
      </c>
      <c r="E111">
        <v>17</v>
      </c>
    </row>
    <row r="112">
      <c r="A112" t="s">
        <v>464</v>
      </c>
      <c r="B112">
        <v>12</v>
      </c>
      <c r="C112" t="s">
        <v>1175</v>
      </c>
      <c r="D112" t="s">
        <v>1176</v>
      </c>
      <c r="E112">
        <v>17</v>
      </c>
    </row>
    <row r="113">
      <c r="A113" t="s">
        <v>464</v>
      </c>
      <c r="B113">
        <v>13</v>
      </c>
      <c r="C113" t="s">
        <v>1175</v>
      </c>
      <c r="D113" t="s">
        <v>1176</v>
      </c>
      <c r="E113">
        <v>17</v>
      </c>
    </row>
    <row r="114">
      <c r="A114" t="s">
        <v>464</v>
      </c>
      <c r="B114">
        <v>14</v>
      </c>
      <c r="C114" t="s">
        <v>1175</v>
      </c>
      <c r="D114" t="s">
        <v>1176</v>
      </c>
      <c r="E114">
        <v>17</v>
      </c>
    </row>
    <row r="115">
      <c r="A115" t="s">
        <v>464</v>
      </c>
      <c r="B115">
        <v>15</v>
      </c>
      <c r="C115" t="s">
        <v>1175</v>
      </c>
      <c r="D115" t="s">
        <v>1176</v>
      </c>
      <c r="E115">
        <v>17</v>
      </c>
    </row>
    <row r="116">
      <c r="A116" t="s">
        <v>464</v>
      </c>
      <c r="B116">
        <v>16</v>
      </c>
      <c r="C116" t="s">
        <v>1175</v>
      </c>
      <c r="D116" t="s">
        <v>1176</v>
      </c>
      <c r="E116">
        <v>17</v>
      </c>
    </row>
    <row r="117">
      <c r="A117" t="s">
        <v>464</v>
      </c>
      <c r="B117">
        <v>17</v>
      </c>
      <c r="C117" t="s">
        <v>1175</v>
      </c>
      <c r="D117" t="s">
        <v>1176</v>
      </c>
      <c r="E117">
        <v>17</v>
      </c>
    </row>
    <row r="118">
      <c r="A118" t="s">
        <v>464</v>
      </c>
      <c r="B118">
        <v>18</v>
      </c>
      <c r="C118" t="s">
        <v>1175</v>
      </c>
      <c r="D118" t="s">
        <v>1176</v>
      </c>
      <c r="E118">
        <v>17</v>
      </c>
    </row>
    <row r="119">
      <c r="A119" t="s">
        <v>464</v>
      </c>
      <c r="B119">
        <v>19</v>
      </c>
      <c r="C119" t="s">
        <v>1175</v>
      </c>
      <c r="D119" t="s">
        <v>1176</v>
      </c>
      <c r="E119">
        <v>17</v>
      </c>
    </row>
    <row r="120">
      <c r="A120" t="s">
        <v>464</v>
      </c>
      <c r="B120">
        <v>20</v>
      </c>
      <c r="C120" t="s">
        <v>1175</v>
      </c>
      <c r="D120" t="s">
        <v>1176</v>
      </c>
      <c r="E120">
        <v>17</v>
      </c>
    </row>
    <row r="121">
      <c r="A121" t="s">
        <v>464</v>
      </c>
      <c r="B121">
        <v>21</v>
      </c>
      <c r="C121" t="s">
        <v>1175</v>
      </c>
      <c r="D121" t="s">
        <v>1176</v>
      </c>
      <c r="E121">
        <v>17</v>
      </c>
    </row>
    <row r="122">
      <c r="A122" t="s">
        <v>464</v>
      </c>
      <c r="B122">
        <v>22</v>
      </c>
      <c r="C122" t="s">
        <v>1175</v>
      </c>
      <c r="D122" t="s">
        <v>1176</v>
      </c>
      <c r="E122">
        <v>17</v>
      </c>
    </row>
    <row r="123">
      <c r="A123" t="s">
        <v>464</v>
      </c>
      <c r="B123">
        <v>23</v>
      </c>
      <c r="C123" t="s">
        <v>1175</v>
      </c>
      <c r="D123" t="s">
        <v>1176</v>
      </c>
      <c r="E123">
        <v>17</v>
      </c>
    </row>
    <row r="124">
      <c r="A124" t="s">
        <v>464</v>
      </c>
      <c r="B124">
        <v>24</v>
      </c>
      <c r="C124" t="s">
        <v>1175</v>
      </c>
      <c r="D124" t="s">
        <v>1176</v>
      </c>
      <c r="E124">
        <v>17</v>
      </c>
    </row>
    <row r="125">
      <c r="A125" t="s">
        <v>464</v>
      </c>
      <c r="B125">
        <v>25</v>
      </c>
      <c r="C125" t="s">
        <v>1175</v>
      </c>
      <c r="D125" t="s">
        <v>1176</v>
      </c>
      <c r="E125">
        <v>17</v>
      </c>
    </row>
    <row r="126">
      <c r="A126" t="s">
        <v>464</v>
      </c>
      <c r="B126">
        <v>26</v>
      </c>
      <c r="C126" t="s">
        <v>1175</v>
      </c>
      <c r="D126" t="s">
        <v>1176</v>
      </c>
      <c r="E126">
        <v>17</v>
      </c>
    </row>
    <row r="127">
      <c r="A127" t="s">
        <v>464</v>
      </c>
      <c r="B127">
        <v>27</v>
      </c>
      <c r="C127" t="s">
        <v>1175</v>
      </c>
      <c r="D127" t="s">
        <v>1176</v>
      </c>
      <c r="E127">
        <v>17</v>
      </c>
    </row>
    <row r="128">
      <c r="A128" t="s">
        <v>464</v>
      </c>
      <c r="B128">
        <v>28</v>
      </c>
      <c r="C128" t="s">
        <v>1175</v>
      </c>
      <c r="D128" t="s">
        <v>1176</v>
      </c>
      <c r="E128">
        <v>17</v>
      </c>
    </row>
    <row r="129">
      <c r="A129" t="s">
        <v>464</v>
      </c>
      <c r="B129">
        <v>29</v>
      </c>
      <c r="C129" t="s">
        <v>1175</v>
      </c>
      <c r="D129" t="s">
        <v>1176</v>
      </c>
      <c r="E129">
        <v>17</v>
      </c>
    </row>
    <row r="130">
      <c r="A130" t="s">
        <v>464</v>
      </c>
      <c r="B130">
        <v>30</v>
      </c>
      <c r="C130" t="s">
        <v>1175</v>
      </c>
      <c r="D130" t="s">
        <v>1176</v>
      </c>
      <c r="E130">
        <v>17</v>
      </c>
    </row>
    <row r="131">
      <c r="A131" t="s">
        <v>464</v>
      </c>
      <c r="B131">
        <v>31</v>
      </c>
      <c r="C131" t="s">
        <v>1175</v>
      </c>
      <c r="D131" t="s">
        <v>1176</v>
      </c>
      <c r="E131">
        <v>17</v>
      </c>
    </row>
    <row r="132">
      <c r="A132" t="s">
        <v>464</v>
      </c>
      <c r="B132">
        <v>32</v>
      </c>
      <c r="C132" t="s">
        <v>1175</v>
      </c>
      <c r="D132" t="s">
        <v>1176</v>
      </c>
      <c r="E132">
        <v>17</v>
      </c>
    </row>
    <row r="133">
      <c r="A133" t="s">
        <v>464</v>
      </c>
      <c r="B133">
        <v>37</v>
      </c>
      <c r="C133" t="s">
        <v>1177</v>
      </c>
      <c r="D133" t="s">
        <v>1178</v>
      </c>
      <c r="E133">
        <v>4</v>
      </c>
    </row>
    <row r="134">
      <c r="A134" t="s">
        <v>464</v>
      </c>
      <c r="B134">
        <v>38</v>
      </c>
      <c r="C134" t="s">
        <v>1179</v>
      </c>
      <c r="D134" t="s">
        <v>1180</v>
      </c>
      <c r="E134">
        <v>4</v>
      </c>
    </row>
    <row r="135">
      <c r="A135" t="s">
        <v>464</v>
      </c>
      <c r="B135">
        <v>39</v>
      </c>
      <c r="C135" t="s">
        <v>1179</v>
      </c>
      <c r="D135" t="s">
        <v>1180</v>
      </c>
      <c r="E135">
        <v>4</v>
      </c>
    </row>
    <row r="136">
      <c r="A136" t="s">
        <v>464</v>
      </c>
      <c r="B136">
        <v>40</v>
      </c>
      <c r="C136" t="s">
        <v>1179</v>
      </c>
      <c r="D136" t="s">
        <v>1180</v>
      </c>
      <c r="E136">
        <v>4</v>
      </c>
    </row>
    <row r="137">
      <c r="A137" t="s">
        <v>464</v>
      </c>
      <c r="B137">
        <v>41</v>
      </c>
      <c r="C137" t="s">
        <v>1179</v>
      </c>
      <c r="D137" t="s">
        <v>1180</v>
      </c>
      <c r="E137">
        <v>4</v>
      </c>
    </row>
    <row r="138">
      <c r="A138" t="s">
        <v>464</v>
      </c>
      <c r="B138">
        <v>42</v>
      </c>
      <c r="C138" t="s">
        <v>1179</v>
      </c>
      <c r="D138" t="s">
        <v>1180</v>
      </c>
      <c r="E138">
        <v>4</v>
      </c>
    </row>
    <row r="139">
      <c r="A139" t="s">
        <v>464</v>
      </c>
      <c r="B139">
        <v>43</v>
      </c>
      <c r="C139" t="s">
        <v>1179</v>
      </c>
      <c r="D139" t="s">
        <v>1180</v>
      </c>
      <c r="E139">
        <v>4</v>
      </c>
    </row>
    <row r="140">
      <c r="A140" t="s">
        <v>464</v>
      </c>
      <c r="B140">
        <v>44</v>
      </c>
      <c r="C140" t="s">
        <v>1179</v>
      </c>
      <c r="D140" t="s">
        <v>1180</v>
      </c>
      <c r="E140">
        <v>4</v>
      </c>
    </row>
    <row r="141">
      <c r="A141" t="s">
        <v>464</v>
      </c>
      <c r="B141">
        <v>45</v>
      </c>
      <c r="C141" t="s">
        <v>1179</v>
      </c>
      <c r="D141" t="s">
        <v>1180</v>
      </c>
      <c r="E141">
        <v>4</v>
      </c>
    </row>
    <row r="142">
      <c r="A142" t="s">
        <v>464</v>
      </c>
      <c r="B142">
        <v>46</v>
      </c>
      <c r="C142" t="s">
        <v>1179</v>
      </c>
      <c r="D142" t="s">
        <v>1180</v>
      </c>
      <c r="E142">
        <v>4</v>
      </c>
    </row>
    <row r="143">
      <c r="A143" t="s">
        <v>464</v>
      </c>
      <c r="B143">
        <v>47</v>
      </c>
      <c r="C143" t="s">
        <v>1179</v>
      </c>
      <c r="D143" t="s">
        <v>1180</v>
      </c>
      <c r="E143">
        <v>4</v>
      </c>
    </row>
    <row r="144">
      <c r="A144" t="s">
        <v>464</v>
      </c>
      <c r="B144">
        <v>51</v>
      </c>
      <c r="C144" t="s">
        <v>1181</v>
      </c>
      <c r="D144" t="s">
        <v>1182</v>
      </c>
      <c r="E144">
        <v>1</v>
      </c>
    </row>
    <row r="145">
      <c r="A145" t="s">
        <v>464</v>
      </c>
      <c r="B145">
        <v>52</v>
      </c>
      <c r="C145" t="s">
        <v>1183</v>
      </c>
      <c r="D145" t="s">
        <v>1184</v>
      </c>
      <c r="E145">
        <v>1</v>
      </c>
    </row>
    <row r="146">
      <c r="A146" t="s">
        <v>464</v>
      </c>
      <c r="B146">
        <v>53</v>
      </c>
      <c r="C146" t="s">
        <v>1185</v>
      </c>
      <c r="D146" t="s">
        <v>1186</v>
      </c>
      <c r="E146">
        <v>1</v>
      </c>
    </row>
    <row r="147">
      <c r="A147" t="s">
        <v>464</v>
      </c>
      <c r="B147">
        <v>54</v>
      </c>
      <c r="C147" t="s">
        <v>1187</v>
      </c>
      <c r="D147" t="s">
        <v>1188</v>
      </c>
      <c r="E147">
        <v>1</v>
      </c>
    </row>
    <row r="148">
      <c r="A148" t="s">
        <v>485</v>
      </c>
      <c r="B148">
        <v>5</v>
      </c>
      <c r="C148" t="s">
        <v>1189</v>
      </c>
      <c r="D148" t="s">
        <v>1190</v>
      </c>
      <c r="E148">
        <v>12</v>
      </c>
    </row>
    <row r="149">
      <c r="A149" t="s">
        <v>485</v>
      </c>
      <c r="B149">
        <v>9</v>
      </c>
      <c r="C149" t="s">
        <v>1191</v>
      </c>
      <c r="D149" t="s">
        <v>1192</v>
      </c>
      <c r="E149">
        <v>11</v>
      </c>
    </row>
    <row r="150">
      <c r="A150" t="s">
        <v>485</v>
      </c>
      <c r="B150">
        <v>10</v>
      </c>
      <c r="C150" t="s">
        <v>1193</v>
      </c>
      <c r="D150" t="s">
        <v>1194</v>
      </c>
      <c r="E150">
        <v>11</v>
      </c>
    </row>
    <row r="151">
      <c r="A151" t="s">
        <v>485</v>
      </c>
      <c r="B151">
        <v>11</v>
      </c>
      <c r="C151" t="s">
        <v>1195</v>
      </c>
      <c r="D151" t="s">
        <v>1196</v>
      </c>
      <c r="E151">
        <v>11</v>
      </c>
    </row>
    <row r="152">
      <c r="A152" t="s">
        <v>485</v>
      </c>
      <c r="B152">
        <v>12</v>
      </c>
      <c r="C152" t="s">
        <v>1197</v>
      </c>
      <c r="D152" t="s">
        <v>1198</v>
      </c>
      <c r="E152">
        <v>11</v>
      </c>
    </row>
    <row r="153">
      <c r="A153" t="s">
        <v>485</v>
      </c>
      <c r="B153">
        <v>13</v>
      </c>
      <c r="C153" t="s">
        <v>1199</v>
      </c>
      <c r="D153" t="s">
        <v>1200</v>
      </c>
      <c r="E153">
        <v>11</v>
      </c>
    </row>
    <row r="154">
      <c r="A154" t="s">
        <v>485</v>
      </c>
      <c r="B154">
        <v>15</v>
      </c>
      <c r="C154" t="s">
        <v>1201</v>
      </c>
      <c r="D154" t="s">
        <v>1202</v>
      </c>
      <c r="E154">
        <v>11</v>
      </c>
    </row>
    <row r="155">
      <c r="A155" t="s">
        <v>485</v>
      </c>
      <c r="B155">
        <v>16</v>
      </c>
      <c r="C155" t="s">
        <v>1203</v>
      </c>
      <c r="D155" t="s">
        <v>1204</v>
      </c>
      <c r="E155">
        <v>11</v>
      </c>
    </row>
    <row r="156">
      <c r="A156" t="s">
        <v>485</v>
      </c>
      <c r="B156">
        <v>17</v>
      </c>
      <c r="C156" t="s">
        <v>1205</v>
      </c>
      <c r="D156" t="s">
        <v>1206</v>
      </c>
      <c r="E156">
        <v>12</v>
      </c>
    </row>
    <row r="157">
      <c r="A157" t="s">
        <v>485</v>
      </c>
      <c r="B157">
        <v>18</v>
      </c>
      <c r="C157" t="s">
        <v>1207</v>
      </c>
      <c r="D157" t="s">
        <v>1208</v>
      </c>
      <c r="E157">
        <v>12</v>
      </c>
    </row>
    <row r="158">
      <c r="A158" t="s">
        <v>485</v>
      </c>
      <c r="B158">
        <v>19</v>
      </c>
      <c r="C158" t="s">
        <v>1209</v>
      </c>
      <c r="D158" t="s">
        <v>1210</v>
      </c>
      <c r="E158">
        <v>12</v>
      </c>
    </row>
    <row r="159">
      <c r="A159" t="s">
        <v>485</v>
      </c>
      <c r="B159">
        <v>20</v>
      </c>
      <c r="C159" t="s">
        <v>1211</v>
      </c>
      <c r="D159" t="s">
        <v>1212</v>
      </c>
      <c r="E159">
        <v>11</v>
      </c>
    </row>
    <row r="160">
      <c r="A160" t="s">
        <v>485</v>
      </c>
      <c r="B160">
        <v>21</v>
      </c>
      <c r="C160" t="s">
        <v>1213</v>
      </c>
      <c r="D160" t="s">
        <v>1214</v>
      </c>
      <c r="E160">
        <v>11</v>
      </c>
    </row>
    <row r="161">
      <c r="A161" t="s">
        <v>485</v>
      </c>
      <c r="B161">
        <v>22</v>
      </c>
      <c r="C161" t="s">
        <v>1215</v>
      </c>
      <c r="D161" t="s">
        <v>1216</v>
      </c>
      <c r="E161">
        <v>11</v>
      </c>
    </row>
    <row r="162">
      <c r="A162" t="s">
        <v>485</v>
      </c>
      <c r="B162">
        <v>23</v>
      </c>
      <c r="C162" t="s">
        <v>1199</v>
      </c>
      <c r="D162" t="s">
        <v>1200</v>
      </c>
      <c r="E162">
        <v>11</v>
      </c>
    </row>
    <row r="163">
      <c r="A163" t="s">
        <v>485</v>
      </c>
      <c r="B163">
        <v>25</v>
      </c>
      <c r="C163" t="s">
        <v>1217</v>
      </c>
      <c r="D163" t="s">
        <v>1218</v>
      </c>
      <c r="E163">
        <v>11</v>
      </c>
    </row>
    <row r="164">
      <c r="A164" t="s">
        <v>485</v>
      </c>
      <c r="B164">
        <v>26</v>
      </c>
      <c r="C164" t="s">
        <v>1217</v>
      </c>
      <c r="D164" t="s">
        <v>1218</v>
      </c>
      <c r="E164">
        <v>11</v>
      </c>
    </row>
    <row r="165">
      <c r="A165" t="s">
        <v>485</v>
      </c>
      <c r="B165">
        <v>27</v>
      </c>
      <c r="C165" t="s">
        <v>1219</v>
      </c>
      <c r="D165" t="s">
        <v>1220</v>
      </c>
      <c r="E165">
        <v>11</v>
      </c>
    </row>
    <row r="166">
      <c r="A166" t="s">
        <v>485</v>
      </c>
      <c r="B166">
        <v>28</v>
      </c>
      <c r="C166" t="s">
        <v>1221</v>
      </c>
      <c r="D166" t="s">
        <v>1222</v>
      </c>
      <c r="E166">
        <v>11</v>
      </c>
    </row>
    <row r="167">
      <c r="A167" t="s">
        <v>485</v>
      </c>
      <c r="B167">
        <v>30</v>
      </c>
      <c r="C167" t="s">
        <v>1223</v>
      </c>
      <c r="D167" t="s">
        <v>1224</v>
      </c>
      <c r="E167">
        <v>11</v>
      </c>
    </row>
    <row r="168">
      <c r="A168" t="s">
        <v>485</v>
      </c>
      <c r="B168">
        <v>31</v>
      </c>
      <c r="C168" t="s">
        <v>1225</v>
      </c>
      <c r="D168" t="s">
        <v>1226</v>
      </c>
      <c r="E168">
        <v>11</v>
      </c>
    </row>
    <row r="169">
      <c r="A169" t="s">
        <v>485</v>
      </c>
      <c r="B169">
        <v>32</v>
      </c>
      <c r="C169" t="s">
        <v>1227</v>
      </c>
      <c r="D169" t="s">
        <v>1228</v>
      </c>
      <c r="E169">
        <v>11</v>
      </c>
    </row>
    <row r="170">
      <c r="A170" t="s">
        <v>485</v>
      </c>
      <c r="B170">
        <v>33</v>
      </c>
      <c r="C170" t="s">
        <v>1227</v>
      </c>
      <c r="D170" t="s">
        <v>1228</v>
      </c>
      <c r="E170">
        <v>11</v>
      </c>
    </row>
    <row r="171">
      <c r="A171" t="s">
        <v>485</v>
      </c>
      <c r="B171">
        <v>34</v>
      </c>
      <c r="C171" t="s">
        <v>1229</v>
      </c>
      <c r="D171" t="s">
        <v>1230</v>
      </c>
      <c r="E171">
        <v>11</v>
      </c>
    </row>
    <row r="172">
      <c r="A172" t="s">
        <v>485</v>
      </c>
      <c r="B172">
        <v>35</v>
      </c>
      <c r="C172" t="s">
        <v>1231</v>
      </c>
      <c r="D172" t="s">
        <v>1232</v>
      </c>
      <c r="E172">
        <v>11</v>
      </c>
    </row>
    <row r="173">
      <c r="A173" t="s">
        <v>485</v>
      </c>
      <c r="B173">
        <v>36</v>
      </c>
      <c r="C173" t="s">
        <v>1233</v>
      </c>
      <c r="D173" t="s">
        <v>1234</v>
      </c>
      <c r="E173">
        <v>11</v>
      </c>
    </row>
    <row r="174">
      <c r="A174" t="s">
        <v>485</v>
      </c>
      <c r="B174">
        <v>37</v>
      </c>
      <c r="C174" t="s">
        <v>1215</v>
      </c>
      <c r="D174" t="s">
        <v>1216</v>
      </c>
      <c r="E174">
        <v>11</v>
      </c>
    </row>
    <row r="175">
      <c r="A175" t="s">
        <v>485</v>
      </c>
      <c r="B175">
        <v>39</v>
      </c>
      <c r="C175" t="s">
        <v>1235</v>
      </c>
      <c r="D175" t="s">
        <v>1236</v>
      </c>
      <c r="E175">
        <v>11</v>
      </c>
    </row>
    <row r="176">
      <c r="A176" t="s">
        <v>485</v>
      </c>
      <c r="B176">
        <v>40</v>
      </c>
      <c r="C176" t="s">
        <v>1235</v>
      </c>
      <c r="D176" t="s">
        <v>1236</v>
      </c>
      <c r="E176">
        <v>11</v>
      </c>
    </row>
    <row r="177">
      <c r="A177" t="s">
        <v>485</v>
      </c>
      <c r="B177">
        <v>41</v>
      </c>
      <c r="C177" t="s">
        <v>1237</v>
      </c>
      <c r="D177" t="s">
        <v>1238</v>
      </c>
      <c r="E177">
        <v>11</v>
      </c>
    </row>
    <row r="178">
      <c r="A178" t="s">
        <v>485</v>
      </c>
      <c r="B178">
        <v>42</v>
      </c>
      <c r="C178" t="s">
        <v>1197</v>
      </c>
      <c r="D178" t="s">
        <v>1198</v>
      </c>
      <c r="E178">
        <v>11</v>
      </c>
    </row>
    <row r="179">
      <c r="A179" t="s">
        <v>485</v>
      </c>
      <c r="B179">
        <v>43</v>
      </c>
      <c r="C179" t="s">
        <v>1239</v>
      </c>
      <c r="D179" t="s">
        <v>1240</v>
      </c>
      <c r="E179">
        <v>12</v>
      </c>
    </row>
    <row r="180">
      <c r="A180" t="s">
        <v>485</v>
      </c>
      <c r="B180">
        <v>44</v>
      </c>
      <c r="C180" t="s">
        <v>1241</v>
      </c>
      <c r="D180" t="s">
        <v>1242</v>
      </c>
      <c r="E180">
        <v>12</v>
      </c>
    </row>
    <row r="181">
      <c r="A181" t="s">
        <v>485</v>
      </c>
      <c r="B181">
        <v>45</v>
      </c>
      <c r="C181" t="s">
        <v>1243</v>
      </c>
      <c r="D181" t="s">
        <v>1244</v>
      </c>
      <c r="E181">
        <v>12</v>
      </c>
    </row>
    <row r="182">
      <c r="A182" t="s">
        <v>485</v>
      </c>
      <c r="B182">
        <v>46</v>
      </c>
      <c r="C182" t="s">
        <v>1245</v>
      </c>
      <c r="D182" t="s">
        <v>1246</v>
      </c>
      <c r="E182">
        <v>12</v>
      </c>
    </row>
    <row r="183">
      <c r="A183" t="s">
        <v>485</v>
      </c>
      <c r="B183">
        <v>47</v>
      </c>
      <c r="C183" t="s">
        <v>1247</v>
      </c>
      <c r="D183" t="s">
        <v>1248</v>
      </c>
      <c r="E183">
        <v>11</v>
      </c>
    </row>
    <row r="184">
      <c r="A184" t="s">
        <v>485</v>
      </c>
      <c r="B184">
        <v>48</v>
      </c>
      <c r="C184" t="s">
        <v>1249</v>
      </c>
      <c r="D184" t="s">
        <v>1250</v>
      </c>
      <c r="E184">
        <v>11</v>
      </c>
    </row>
    <row r="185">
      <c r="A185" t="s">
        <v>485</v>
      </c>
      <c r="B185">
        <v>49</v>
      </c>
      <c r="C185" t="s">
        <v>1219</v>
      </c>
      <c r="D185" t="s">
        <v>1220</v>
      </c>
      <c r="E185">
        <v>11</v>
      </c>
    </row>
    <row r="186">
      <c r="A186" t="s">
        <v>485</v>
      </c>
      <c r="B186">
        <v>50</v>
      </c>
      <c r="C186" t="s">
        <v>1251</v>
      </c>
      <c r="D186" t="s">
        <v>1252</v>
      </c>
      <c r="E186">
        <v>11</v>
      </c>
    </row>
    <row r="187">
      <c r="A187" t="s">
        <v>485</v>
      </c>
      <c r="B187">
        <v>51</v>
      </c>
      <c r="C187" t="s">
        <v>1253</v>
      </c>
      <c r="D187" t="s">
        <v>1254</v>
      </c>
      <c r="E187">
        <v>12</v>
      </c>
    </row>
    <row r="188">
      <c r="A188" t="s">
        <v>485</v>
      </c>
      <c r="B188">
        <v>52</v>
      </c>
      <c r="C188" t="s">
        <v>1255</v>
      </c>
      <c r="D188" t="s">
        <v>1256</v>
      </c>
      <c r="E188">
        <v>12</v>
      </c>
    </row>
    <row r="189">
      <c r="A189" t="s">
        <v>485</v>
      </c>
      <c r="B189">
        <v>53</v>
      </c>
      <c r="C189" t="s">
        <v>1257</v>
      </c>
      <c r="D189" t="s">
        <v>1258</v>
      </c>
      <c r="E189">
        <v>11</v>
      </c>
    </row>
    <row r="190">
      <c r="A190" t="s">
        <v>485</v>
      </c>
      <c r="B190">
        <v>54</v>
      </c>
      <c r="C190" t="s">
        <v>1259</v>
      </c>
      <c r="D190" t="s">
        <v>1260</v>
      </c>
      <c r="E190">
        <v>11</v>
      </c>
    </row>
    <row r="191">
      <c r="A191" t="s">
        <v>485</v>
      </c>
      <c r="B191">
        <v>56</v>
      </c>
      <c r="C191" t="s">
        <v>1261</v>
      </c>
      <c r="D191" t="s">
        <v>1262</v>
      </c>
      <c r="E191">
        <v>11</v>
      </c>
    </row>
    <row r="192">
      <c r="A192" t="s">
        <v>485</v>
      </c>
      <c r="B192">
        <v>57</v>
      </c>
      <c r="C192" t="s">
        <v>1261</v>
      </c>
      <c r="D192" t="s">
        <v>1262</v>
      </c>
      <c r="E192">
        <v>11</v>
      </c>
    </row>
    <row r="193">
      <c r="A193" t="s">
        <v>485</v>
      </c>
      <c r="B193">
        <v>58</v>
      </c>
      <c r="C193" t="s">
        <v>1219</v>
      </c>
      <c r="D193" t="s">
        <v>1220</v>
      </c>
      <c r="E193">
        <v>11</v>
      </c>
    </row>
    <row r="194">
      <c r="A194" t="s">
        <v>485</v>
      </c>
      <c r="B194">
        <v>59</v>
      </c>
      <c r="C194" t="s">
        <v>1263</v>
      </c>
      <c r="D194" t="s">
        <v>1264</v>
      </c>
      <c r="E194">
        <v>11</v>
      </c>
    </row>
    <row r="195">
      <c r="A195" t="s">
        <v>485</v>
      </c>
      <c r="B195">
        <v>63</v>
      </c>
      <c r="C195" t="s">
        <v>1265</v>
      </c>
      <c r="D195" t="s">
        <v>1266</v>
      </c>
      <c r="E195">
        <v>11</v>
      </c>
    </row>
    <row r="196">
      <c r="A196" t="s">
        <v>485</v>
      </c>
      <c r="B196">
        <v>64</v>
      </c>
      <c r="C196" t="s">
        <v>1267</v>
      </c>
      <c r="D196" t="s">
        <v>1268</v>
      </c>
      <c r="E196">
        <v>11</v>
      </c>
    </row>
    <row r="197">
      <c r="A197" t="s">
        <v>485</v>
      </c>
      <c r="B197">
        <v>65</v>
      </c>
      <c r="C197" t="s">
        <v>1269</v>
      </c>
      <c r="D197" t="s">
        <v>1270</v>
      </c>
      <c r="E197">
        <v>11</v>
      </c>
    </row>
    <row r="198">
      <c r="A198" t="s">
        <v>485</v>
      </c>
      <c r="B198">
        <v>66</v>
      </c>
      <c r="C198" t="s">
        <v>1271</v>
      </c>
      <c r="D198" t="s">
        <v>1272</v>
      </c>
      <c r="E198">
        <v>11</v>
      </c>
    </row>
    <row r="199">
      <c r="A199" t="s">
        <v>485</v>
      </c>
      <c r="B199">
        <v>67</v>
      </c>
      <c r="C199" t="s">
        <v>1273</v>
      </c>
      <c r="D199" t="s">
        <v>1274</v>
      </c>
      <c r="E199">
        <v>11</v>
      </c>
    </row>
    <row r="200">
      <c r="A200" t="s">
        <v>485</v>
      </c>
      <c r="B200">
        <v>68</v>
      </c>
      <c r="C200" t="s">
        <v>1275</v>
      </c>
      <c r="D200" t="s">
        <v>1276</v>
      </c>
      <c r="E200">
        <v>11</v>
      </c>
    </row>
    <row r="201">
      <c r="A201" t="s">
        <v>485</v>
      </c>
      <c r="B201">
        <v>70</v>
      </c>
      <c r="C201" t="s">
        <v>1277</v>
      </c>
      <c r="D201" t="s">
        <v>1278</v>
      </c>
      <c r="E201">
        <v>12</v>
      </c>
    </row>
    <row r="202">
      <c r="A202" t="s">
        <v>485</v>
      </c>
      <c r="B202">
        <v>71</v>
      </c>
      <c r="C202" t="s">
        <v>1279</v>
      </c>
      <c r="D202" t="s">
        <v>1280</v>
      </c>
      <c r="E202">
        <v>12</v>
      </c>
    </row>
    <row r="203">
      <c r="A203" t="s">
        <v>110</v>
      </c>
      <c r="B203">
        <v>6</v>
      </c>
      <c r="C203" t="s">
        <v>1281</v>
      </c>
      <c r="D203" t="s">
        <v>1282</v>
      </c>
      <c r="E203">
        <v>2</v>
      </c>
    </row>
    <row r="204">
      <c r="A204" t="s">
        <v>110</v>
      </c>
      <c r="B204">
        <v>7</v>
      </c>
      <c r="C204" t="s">
        <v>1283</v>
      </c>
      <c r="D204" t="s">
        <v>1284</v>
      </c>
      <c r="E204">
        <v>2</v>
      </c>
    </row>
    <row r="205">
      <c r="A205" t="s">
        <v>110</v>
      </c>
      <c r="B205">
        <v>8</v>
      </c>
      <c r="C205" t="s">
        <v>1285</v>
      </c>
      <c r="D205" t="s">
        <v>1286</v>
      </c>
      <c r="E205">
        <v>2</v>
      </c>
    </row>
    <row r="206">
      <c r="A206" t="s">
        <v>110</v>
      </c>
      <c r="B206">
        <v>9</v>
      </c>
      <c r="C206" t="s">
        <v>1287</v>
      </c>
      <c r="D206" t="s">
        <v>1288</v>
      </c>
      <c r="E206">
        <v>2</v>
      </c>
    </row>
    <row r="207">
      <c r="A207" t="s">
        <v>110</v>
      </c>
      <c r="B207">
        <v>10</v>
      </c>
      <c r="C207" t="s">
        <v>1289</v>
      </c>
      <c r="D207" t="s">
        <v>1290</v>
      </c>
      <c r="E207">
        <v>2</v>
      </c>
    </row>
    <row r="208">
      <c r="A208" t="s">
        <v>110</v>
      </c>
      <c r="B208">
        <v>11</v>
      </c>
      <c r="C208" t="s">
        <v>1291</v>
      </c>
      <c r="D208" t="s">
        <v>1292</v>
      </c>
      <c r="E208">
        <v>2</v>
      </c>
    </row>
    <row r="209">
      <c r="A209" t="s">
        <v>110</v>
      </c>
      <c r="B209">
        <v>12</v>
      </c>
      <c r="C209" t="s">
        <v>1293</v>
      </c>
      <c r="D209" t="s">
        <v>1294</v>
      </c>
      <c r="E209">
        <v>1</v>
      </c>
    </row>
    <row r="210">
      <c r="A210" t="s">
        <v>110</v>
      </c>
      <c r="B210">
        <v>13</v>
      </c>
      <c r="C210" t="s">
        <v>1295</v>
      </c>
      <c r="D210" t="s">
        <v>1296</v>
      </c>
      <c r="E210">
        <v>1</v>
      </c>
    </row>
    <row r="211">
      <c r="A211" t="s">
        <v>110</v>
      </c>
      <c r="B211">
        <v>14</v>
      </c>
      <c r="C211" t="s">
        <v>1297</v>
      </c>
      <c r="D211" t="s">
        <v>1298</v>
      </c>
      <c r="E211">
        <v>1</v>
      </c>
    </row>
    <row r="212">
      <c r="A212" t="s">
        <v>110</v>
      </c>
      <c r="B212">
        <v>15</v>
      </c>
      <c r="C212" t="s">
        <v>1299</v>
      </c>
      <c r="D212" t="s">
        <v>1300</v>
      </c>
      <c r="E212">
        <v>1</v>
      </c>
    </row>
    <row r="213">
      <c r="A213" t="s">
        <v>110</v>
      </c>
      <c r="B213">
        <v>16</v>
      </c>
      <c r="C213" t="s">
        <v>1301</v>
      </c>
      <c r="D213" t="s">
        <v>1302</v>
      </c>
      <c r="E213">
        <v>1</v>
      </c>
    </row>
    <row r="214">
      <c r="A214" t="s">
        <v>110</v>
      </c>
      <c r="B214">
        <v>17</v>
      </c>
      <c r="C214" t="s">
        <v>1303</v>
      </c>
      <c r="D214" t="s">
        <v>1304</v>
      </c>
      <c r="E214">
        <v>1</v>
      </c>
    </row>
    <row r="215">
      <c r="A215" t="s">
        <v>110</v>
      </c>
      <c r="B215">
        <v>18</v>
      </c>
      <c r="C215" t="s">
        <v>1305</v>
      </c>
      <c r="D215" t="s">
        <v>1306</v>
      </c>
      <c r="E215">
        <v>1</v>
      </c>
    </row>
    <row r="216">
      <c r="A216" t="s">
        <v>110</v>
      </c>
      <c r="B216">
        <v>21</v>
      </c>
      <c r="C216" t="s">
        <v>1307</v>
      </c>
      <c r="D216" t="s">
        <v>1308</v>
      </c>
      <c r="E216">
        <v>11</v>
      </c>
    </row>
    <row r="217">
      <c r="A217" t="s">
        <v>110</v>
      </c>
      <c r="B217">
        <v>22</v>
      </c>
      <c r="C217" t="s">
        <v>1309</v>
      </c>
      <c r="D217" t="s">
        <v>1310</v>
      </c>
      <c r="E217">
        <v>11</v>
      </c>
    </row>
    <row r="218">
      <c r="A218" t="s">
        <v>110</v>
      </c>
      <c r="B218">
        <v>23</v>
      </c>
      <c r="C218" t="s">
        <v>1311</v>
      </c>
      <c r="D218" t="s">
        <v>1312</v>
      </c>
      <c r="E218">
        <v>11</v>
      </c>
    </row>
    <row r="219">
      <c r="A219" t="s">
        <v>110</v>
      </c>
      <c r="B219">
        <v>24</v>
      </c>
      <c r="C219" t="s">
        <v>1311</v>
      </c>
      <c r="D219" t="s">
        <v>1312</v>
      </c>
      <c r="E219">
        <v>11</v>
      </c>
    </row>
    <row r="220">
      <c r="A220" t="s">
        <v>110</v>
      </c>
      <c r="B220">
        <v>25</v>
      </c>
      <c r="C220" t="s">
        <v>1219</v>
      </c>
      <c r="D220" t="s">
        <v>1220</v>
      </c>
      <c r="E220">
        <v>11</v>
      </c>
    </row>
    <row r="221">
      <c r="A221" t="s">
        <v>110</v>
      </c>
      <c r="B221">
        <v>26</v>
      </c>
      <c r="C221" t="s">
        <v>1313</v>
      </c>
      <c r="D221" t="s">
        <v>1314</v>
      </c>
      <c r="E221">
        <v>11</v>
      </c>
    </row>
    <row r="222">
      <c r="A222" t="s">
        <v>110</v>
      </c>
      <c r="B222">
        <v>27</v>
      </c>
      <c r="C222" t="s">
        <v>1315</v>
      </c>
      <c r="D222" t="s">
        <v>1316</v>
      </c>
      <c r="E222">
        <v>11</v>
      </c>
    </row>
    <row r="223">
      <c r="A223" t="s">
        <v>110</v>
      </c>
      <c r="B223">
        <v>28</v>
      </c>
      <c r="C223" t="s">
        <v>1317</v>
      </c>
      <c r="D223" t="s">
        <v>1318</v>
      </c>
      <c r="E223">
        <v>11</v>
      </c>
    </row>
    <row r="224">
      <c r="A224" t="s">
        <v>110</v>
      </c>
      <c r="B224">
        <v>40</v>
      </c>
      <c r="C224" t="s">
        <v>1319</v>
      </c>
      <c r="D224" t="s">
        <v>1320</v>
      </c>
      <c r="E224">
        <v>8</v>
      </c>
    </row>
    <row r="225">
      <c r="A225" t="s">
        <v>110</v>
      </c>
      <c r="B225">
        <v>41</v>
      </c>
      <c r="C225" t="s">
        <v>1321</v>
      </c>
      <c r="D225" t="s">
        <v>1322</v>
      </c>
      <c r="E225">
        <v>8</v>
      </c>
    </row>
    <row r="226">
      <c r="A226" t="s">
        <v>110</v>
      </c>
      <c r="B226">
        <v>42</v>
      </c>
      <c r="C226" t="s">
        <v>1321</v>
      </c>
      <c r="D226" t="s">
        <v>1322</v>
      </c>
      <c r="E226">
        <v>8</v>
      </c>
    </row>
    <row r="227">
      <c r="A227" t="s">
        <v>110</v>
      </c>
      <c r="B227">
        <v>43</v>
      </c>
      <c r="C227" t="s">
        <v>1321</v>
      </c>
      <c r="D227" t="s">
        <v>1322</v>
      </c>
      <c r="E227">
        <v>8</v>
      </c>
    </row>
    <row r="228">
      <c r="A228" t="s">
        <v>110</v>
      </c>
      <c r="B228">
        <v>44</v>
      </c>
      <c r="C228" t="s">
        <v>1321</v>
      </c>
      <c r="D228" t="s">
        <v>1322</v>
      </c>
      <c r="E228">
        <v>8</v>
      </c>
    </row>
    <row r="229">
      <c r="A229" t="s">
        <v>110</v>
      </c>
      <c r="B229">
        <v>45</v>
      </c>
      <c r="C229" t="s">
        <v>1321</v>
      </c>
      <c r="D229" t="s">
        <v>1322</v>
      </c>
      <c r="E229">
        <v>8</v>
      </c>
    </row>
    <row r="230">
      <c r="A230" t="s">
        <v>110</v>
      </c>
      <c r="B230">
        <v>46</v>
      </c>
      <c r="C230" t="s">
        <v>1321</v>
      </c>
      <c r="D230" t="s">
        <v>1322</v>
      </c>
      <c r="E230">
        <v>8</v>
      </c>
    </row>
    <row r="231">
      <c r="A231" t="s">
        <v>110</v>
      </c>
      <c r="B231">
        <v>47</v>
      </c>
      <c r="C231" t="s">
        <v>1321</v>
      </c>
      <c r="D231" t="s">
        <v>1322</v>
      </c>
      <c r="E231">
        <v>8</v>
      </c>
    </row>
    <row r="232">
      <c r="A232" t="s">
        <v>110</v>
      </c>
      <c r="B232">
        <v>48</v>
      </c>
      <c r="C232" t="s">
        <v>1321</v>
      </c>
      <c r="D232" t="s">
        <v>1322</v>
      </c>
      <c r="E232">
        <v>8</v>
      </c>
    </row>
    <row r="233">
      <c r="A233" t="s">
        <v>110</v>
      </c>
      <c r="B233">
        <v>49</v>
      </c>
      <c r="C233" t="s">
        <v>1321</v>
      </c>
      <c r="D233" t="s">
        <v>1322</v>
      </c>
      <c r="E233">
        <v>8</v>
      </c>
    </row>
    <row r="234">
      <c r="A234" t="s">
        <v>110</v>
      </c>
      <c r="B234">
        <v>50</v>
      </c>
      <c r="C234" t="s">
        <v>1321</v>
      </c>
      <c r="D234" t="s">
        <v>1322</v>
      </c>
      <c r="E234">
        <v>8</v>
      </c>
    </row>
    <row r="235">
      <c r="A235" t="s">
        <v>110</v>
      </c>
      <c r="B235">
        <v>51</v>
      </c>
      <c r="C235" t="s">
        <v>1321</v>
      </c>
      <c r="D235" t="s">
        <v>1322</v>
      </c>
      <c r="E235">
        <v>8</v>
      </c>
    </row>
    <row r="236">
      <c r="A236" t="s">
        <v>110</v>
      </c>
      <c r="B236">
        <v>52</v>
      </c>
      <c r="C236" t="s">
        <v>1321</v>
      </c>
      <c r="D236" t="s">
        <v>1322</v>
      </c>
      <c r="E236">
        <v>8</v>
      </c>
    </row>
    <row r="237">
      <c r="A237" t="s">
        <v>110</v>
      </c>
      <c r="B237">
        <v>53</v>
      </c>
      <c r="C237" t="s">
        <v>1321</v>
      </c>
      <c r="D237" t="s">
        <v>1322</v>
      </c>
      <c r="E237">
        <v>8</v>
      </c>
    </row>
    <row r="238">
      <c r="A238" t="s">
        <v>110</v>
      </c>
      <c r="B238">
        <v>54</v>
      </c>
      <c r="C238" t="s">
        <v>1321</v>
      </c>
      <c r="D238" t="s">
        <v>1322</v>
      </c>
      <c r="E238">
        <v>8</v>
      </c>
    </row>
    <row r="239">
      <c r="A239" t="s">
        <v>110</v>
      </c>
      <c r="B239">
        <v>55</v>
      </c>
      <c r="C239" t="s">
        <v>1321</v>
      </c>
      <c r="D239" t="s">
        <v>1322</v>
      </c>
      <c r="E239">
        <v>8</v>
      </c>
    </row>
    <row r="240">
      <c r="A240" t="s">
        <v>110</v>
      </c>
      <c r="B240">
        <v>56</v>
      </c>
      <c r="C240" t="s">
        <v>1321</v>
      </c>
      <c r="D240" t="s">
        <v>1322</v>
      </c>
      <c r="E240">
        <v>8</v>
      </c>
    </row>
    <row r="241">
      <c r="A241" t="s">
        <v>110</v>
      </c>
      <c r="B241">
        <v>57</v>
      </c>
      <c r="C241" t="s">
        <v>1321</v>
      </c>
      <c r="D241" t="s">
        <v>1322</v>
      </c>
      <c r="E241">
        <v>8</v>
      </c>
    </row>
    <row r="242">
      <c r="A242" t="s">
        <v>110</v>
      </c>
      <c r="B242">
        <v>58</v>
      </c>
      <c r="C242" t="s">
        <v>1321</v>
      </c>
      <c r="D242" t="s">
        <v>1322</v>
      </c>
      <c r="E242">
        <v>8</v>
      </c>
    </row>
    <row r="243">
      <c r="A243" t="s">
        <v>110</v>
      </c>
      <c r="B243">
        <v>59</v>
      </c>
      <c r="C243" t="s">
        <v>1321</v>
      </c>
      <c r="D243" t="s">
        <v>1322</v>
      </c>
      <c r="E243">
        <v>8</v>
      </c>
    </row>
    <row r="244">
      <c r="A244" t="s">
        <v>110</v>
      </c>
      <c r="B244">
        <v>60</v>
      </c>
      <c r="C244" t="s">
        <v>1321</v>
      </c>
      <c r="D244" t="s">
        <v>1322</v>
      </c>
      <c r="E244">
        <v>8</v>
      </c>
    </row>
    <row r="245">
      <c r="A245" t="s">
        <v>110</v>
      </c>
      <c r="B245">
        <v>61</v>
      </c>
      <c r="C245" t="s">
        <v>1321</v>
      </c>
      <c r="D245" t="s">
        <v>1322</v>
      </c>
      <c r="E245">
        <v>8</v>
      </c>
    </row>
    <row r="246">
      <c r="A246" t="s">
        <v>110</v>
      </c>
      <c r="B246">
        <v>62</v>
      </c>
      <c r="C246" t="s">
        <v>1321</v>
      </c>
      <c r="D246" t="s">
        <v>1322</v>
      </c>
      <c r="E246">
        <v>8</v>
      </c>
    </row>
    <row r="247">
      <c r="A247" t="s">
        <v>110</v>
      </c>
      <c r="B247">
        <v>63</v>
      </c>
      <c r="C247" t="s">
        <v>1321</v>
      </c>
      <c r="D247" t="s">
        <v>1322</v>
      </c>
      <c r="E247">
        <v>8</v>
      </c>
    </row>
    <row r="248">
      <c r="A248" t="s">
        <v>110</v>
      </c>
      <c r="B248">
        <v>64</v>
      </c>
      <c r="C248" t="s">
        <v>1321</v>
      </c>
      <c r="D248" t="s">
        <v>1322</v>
      </c>
      <c r="E248">
        <v>8</v>
      </c>
    </row>
    <row r="249">
      <c r="A249" t="s">
        <v>110</v>
      </c>
      <c r="B249">
        <v>65</v>
      </c>
      <c r="C249" t="s">
        <v>1321</v>
      </c>
      <c r="D249" t="s">
        <v>1322</v>
      </c>
      <c r="E249">
        <v>8</v>
      </c>
    </row>
    <row r="250">
      <c r="A250" t="s">
        <v>110</v>
      </c>
      <c r="B250">
        <v>66</v>
      </c>
      <c r="C250" t="s">
        <v>1321</v>
      </c>
      <c r="D250" t="s">
        <v>1322</v>
      </c>
      <c r="E250">
        <v>8</v>
      </c>
    </row>
    <row r="251">
      <c r="A251" t="s">
        <v>110</v>
      </c>
      <c r="B251">
        <v>67</v>
      </c>
      <c r="C251" t="s">
        <v>1321</v>
      </c>
      <c r="D251" t="s">
        <v>1322</v>
      </c>
      <c r="E251">
        <v>8</v>
      </c>
    </row>
    <row r="252">
      <c r="A252" t="s">
        <v>110</v>
      </c>
      <c r="B252">
        <v>68</v>
      </c>
      <c r="C252" t="s">
        <v>1321</v>
      </c>
      <c r="D252" t="s">
        <v>1322</v>
      </c>
      <c r="E252">
        <v>8</v>
      </c>
    </row>
    <row r="253">
      <c r="A253" t="s">
        <v>110</v>
      </c>
      <c r="B253">
        <v>69</v>
      </c>
      <c r="C253" t="s">
        <v>1321</v>
      </c>
      <c r="D253" t="s">
        <v>1322</v>
      </c>
      <c r="E253">
        <v>8</v>
      </c>
    </row>
    <row r="254">
      <c r="A254" t="s">
        <v>110</v>
      </c>
      <c r="B254">
        <v>70</v>
      </c>
      <c r="C254" t="s">
        <v>1321</v>
      </c>
      <c r="D254" t="s">
        <v>1322</v>
      </c>
      <c r="E254">
        <v>8</v>
      </c>
    </row>
    <row r="255">
      <c r="A255" t="s">
        <v>110</v>
      </c>
      <c r="B255">
        <v>71</v>
      </c>
      <c r="C255" t="s">
        <v>1321</v>
      </c>
      <c r="D255" t="s">
        <v>1322</v>
      </c>
      <c r="E255">
        <v>8</v>
      </c>
    </row>
    <row r="256">
      <c r="A256" t="s">
        <v>110</v>
      </c>
      <c r="B256">
        <v>72</v>
      </c>
      <c r="C256" t="s">
        <v>1321</v>
      </c>
      <c r="D256" t="s">
        <v>1322</v>
      </c>
      <c r="E256">
        <v>8</v>
      </c>
    </row>
    <row r="257">
      <c r="A257" t="s">
        <v>110</v>
      </c>
      <c r="B257">
        <v>73</v>
      </c>
      <c r="C257" t="s">
        <v>1321</v>
      </c>
      <c r="D257" t="s">
        <v>1322</v>
      </c>
      <c r="E257">
        <v>8</v>
      </c>
    </row>
    <row r="258">
      <c r="A258" t="s">
        <v>110</v>
      </c>
      <c r="B258">
        <v>74</v>
      </c>
      <c r="C258" t="s">
        <v>1321</v>
      </c>
      <c r="D258" t="s">
        <v>1322</v>
      </c>
      <c r="E258">
        <v>8</v>
      </c>
    </row>
    <row r="259">
      <c r="A259" t="s">
        <v>110</v>
      </c>
      <c r="B259">
        <v>75</v>
      </c>
      <c r="C259" t="s">
        <v>1321</v>
      </c>
      <c r="D259" t="s">
        <v>1322</v>
      </c>
      <c r="E259">
        <v>8</v>
      </c>
    </row>
    <row r="260">
      <c r="A260" t="s">
        <v>110</v>
      </c>
      <c r="B260">
        <v>76</v>
      </c>
      <c r="C260" t="s">
        <v>1321</v>
      </c>
      <c r="D260" t="s">
        <v>1322</v>
      </c>
      <c r="E260">
        <v>8</v>
      </c>
    </row>
    <row r="261">
      <c r="A261" t="s">
        <v>110</v>
      </c>
      <c r="B261">
        <v>77</v>
      </c>
      <c r="C261" t="s">
        <v>1321</v>
      </c>
      <c r="D261" t="s">
        <v>1322</v>
      </c>
      <c r="E261">
        <v>8</v>
      </c>
    </row>
    <row r="262">
      <c r="A262" t="s">
        <v>110</v>
      </c>
      <c r="B262">
        <v>78</v>
      </c>
      <c r="C262" t="s">
        <v>1321</v>
      </c>
      <c r="D262" t="s">
        <v>1322</v>
      </c>
      <c r="E262">
        <v>8</v>
      </c>
    </row>
    <row r="263">
      <c r="A263" t="s">
        <v>110</v>
      </c>
      <c r="B263">
        <v>79</v>
      </c>
      <c r="C263" t="s">
        <v>1321</v>
      </c>
      <c r="D263" t="s">
        <v>1322</v>
      </c>
      <c r="E263">
        <v>8</v>
      </c>
    </row>
    <row r="264">
      <c r="A264" t="s">
        <v>110</v>
      </c>
      <c r="B264">
        <v>80</v>
      </c>
      <c r="C264" t="s">
        <v>1321</v>
      </c>
      <c r="D264" t="s">
        <v>1322</v>
      </c>
      <c r="E264">
        <v>8</v>
      </c>
    </row>
    <row r="265">
      <c r="A265" t="s">
        <v>110</v>
      </c>
      <c r="B265">
        <v>81</v>
      </c>
      <c r="C265" t="s">
        <v>1321</v>
      </c>
      <c r="D265" t="s">
        <v>1322</v>
      </c>
      <c r="E265">
        <v>8</v>
      </c>
    </row>
    <row r="266">
      <c r="A266" t="s">
        <v>110</v>
      </c>
      <c r="B266">
        <v>82</v>
      </c>
      <c r="C266" t="s">
        <v>1321</v>
      </c>
      <c r="D266" t="s">
        <v>1322</v>
      </c>
      <c r="E266">
        <v>8</v>
      </c>
    </row>
    <row r="267">
      <c r="A267" t="s">
        <v>110</v>
      </c>
      <c r="B267">
        <v>83</v>
      </c>
      <c r="C267" t="s">
        <v>1321</v>
      </c>
      <c r="D267" t="s">
        <v>1322</v>
      </c>
      <c r="E267">
        <v>8</v>
      </c>
    </row>
    <row r="268">
      <c r="A268" t="s">
        <v>110</v>
      </c>
      <c r="B268">
        <v>84</v>
      </c>
      <c r="C268" t="s">
        <v>1321</v>
      </c>
      <c r="D268" t="s">
        <v>1322</v>
      </c>
      <c r="E268">
        <v>8</v>
      </c>
    </row>
    <row r="269">
      <c r="A269" t="s">
        <v>110</v>
      </c>
      <c r="B269">
        <v>85</v>
      </c>
      <c r="C269" t="s">
        <v>1321</v>
      </c>
      <c r="D269" t="s">
        <v>1322</v>
      </c>
      <c r="E269">
        <v>8</v>
      </c>
    </row>
    <row r="270">
      <c r="A270" t="s">
        <v>110</v>
      </c>
      <c r="B270">
        <v>86</v>
      </c>
      <c r="C270" t="s">
        <v>1321</v>
      </c>
      <c r="D270" t="s">
        <v>1322</v>
      </c>
      <c r="E270">
        <v>8</v>
      </c>
    </row>
    <row r="271">
      <c r="A271" t="s">
        <v>110</v>
      </c>
      <c r="B271">
        <v>87</v>
      </c>
      <c r="C271" t="s">
        <v>1321</v>
      </c>
      <c r="D271" t="s">
        <v>1322</v>
      </c>
      <c r="E271">
        <v>8</v>
      </c>
    </row>
    <row r="272">
      <c r="A272" t="s">
        <v>110</v>
      </c>
      <c r="B272">
        <v>88</v>
      </c>
      <c r="C272" t="s">
        <v>1321</v>
      </c>
      <c r="D272" t="s">
        <v>1322</v>
      </c>
      <c r="E272">
        <v>8</v>
      </c>
    </row>
    <row r="273">
      <c r="A273" t="s">
        <v>110</v>
      </c>
      <c r="B273">
        <v>89</v>
      </c>
      <c r="C273" t="s">
        <v>1321</v>
      </c>
      <c r="D273" t="s">
        <v>1322</v>
      </c>
      <c r="E273">
        <v>8</v>
      </c>
    </row>
    <row r="274">
      <c r="A274" t="s">
        <v>110</v>
      </c>
      <c r="B274">
        <v>90</v>
      </c>
      <c r="C274" t="s">
        <v>1321</v>
      </c>
      <c r="D274" t="s">
        <v>1322</v>
      </c>
      <c r="E274">
        <v>8</v>
      </c>
    </row>
    <row r="275">
      <c r="A275" t="s">
        <v>110</v>
      </c>
      <c r="B275">
        <v>91</v>
      </c>
      <c r="C275" t="s">
        <v>1321</v>
      </c>
      <c r="D275" t="s">
        <v>1322</v>
      </c>
      <c r="E275">
        <v>8</v>
      </c>
    </row>
    <row r="276">
      <c r="A276" t="s">
        <v>110</v>
      </c>
      <c r="B276">
        <v>92</v>
      </c>
      <c r="C276" t="s">
        <v>1321</v>
      </c>
      <c r="D276" t="s">
        <v>1322</v>
      </c>
      <c r="E276">
        <v>8</v>
      </c>
    </row>
    <row r="277">
      <c r="A277" t="s">
        <v>110</v>
      </c>
      <c r="B277">
        <v>93</v>
      </c>
      <c r="C277" t="s">
        <v>1321</v>
      </c>
      <c r="D277" t="s">
        <v>1322</v>
      </c>
      <c r="E277">
        <v>8</v>
      </c>
    </row>
    <row r="278">
      <c r="A278" t="s">
        <v>110</v>
      </c>
      <c r="B278">
        <v>94</v>
      </c>
      <c r="C278" t="s">
        <v>1321</v>
      </c>
      <c r="D278" t="s">
        <v>1322</v>
      </c>
      <c r="E278">
        <v>8</v>
      </c>
    </row>
    <row r="279">
      <c r="A279" t="s">
        <v>110</v>
      </c>
      <c r="B279">
        <v>95</v>
      </c>
      <c r="C279" t="s">
        <v>1321</v>
      </c>
      <c r="D279" t="s">
        <v>1322</v>
      </c>
      <c r="E279">
        <v>8</v>
      </c>
    </row>
    <row r="280">
      <c r="A280" t="s">
        <v>110</v>
      </c>
      <c r="B280">
        <v>96</v>
      </c>
      <c r="C280" t="s">
        <v>1321</v>
      </c>
      <c r="D280" t="s">
        <v>1322</v>
      </c>
      <c r="E280">
        <v>8</v>
      </c>
    </row>
    <row r="281">
      <c r="A281" t="s">
        <v>110</v>
      </c>
      <c r="B281">
        <v>97</v>
      </c>
      <c r="C281" t="s">
        <v>1321</v>
      </c>
      <c r="D281" t="s">
        <v>1322</v>
      </c>
      <c r="E281">
        <v>8</v>
      </c>
    </row>
    <row r="282">
      <c r="A282" t="s">
        <v>110</v>
      </c>
      <c r="B282">
        <v>98</v>
      </c>
      <c r="C282" t="s">
        <v>1321</v>
      </c>
      <c r="D282" t="s">
        <v>1322</v>
      </c>
      <c r="E282">
        <v>8</v>
      </c>
    </row>
    <row r="283">
      <c r="A283" t="s">
        <v>110</v>
      </c>
      <c r="B283">
        <v>99</v>
      </c>
      <c r="C283" t="s">
        <v>1321</v>
      </c>
      <c r="D283" t="s">
        <v>1322</v>
      </c>
      <c r="E283">
        <v>8</v>
      </c>
    </row>
    <row r="284">
      <c r="A284" t="s">
        <v>110</v>
      </c>
      <c r="B284">
        <v>100</v>
      </c>
      <c r="C284" t="s">
        <v>1321</v>
      </c>
      <c r="D284" t="s">
        <v>1322</v>
      </c>
      <c r="E284">
        <v>8</v>
      </c>
    </row>
    <row r="285">
      <c r="A285" t="s">
        <v>110</v>
      </c>
      <c r="B285">
        <v>101</v>
      </c>
      <c r="C285" t="s">
        <v>1321</v>
      </c>
      <c r="D285" t="s">
        <v>1322</v>
      </c>
      <c r="E285">
        <v>8</v>
      </c>
    </row>
    <row r="286">
      <c r="A286" t="s">
        <v>110</v>
      </c>
      <c r="B286">
        <v>102</v>
      </c>
      <c r="C286" t="s">
        <v>1321</v>
      </c>
      <c r="D286" t="s">
        <v>1322</v>
      </c>
      <c r="E286">
        <v>8</v>
      </c>
    </row>
    <row r="287">
      <c r="A287" t="s">
        <v>110</v>
      </c>
      <c r="B287">
        <v>103</v>
      </c>
      <c r="C287" t="s">
        <v>1321</v>
      </c>
      <c r="D287" t="s">
        <v>1322</v>
      </c>
      <c r="E287">
        <v>8</v>
      </c>
    </row>
    <row r="288">
      <c r="A288" t="s">
        <v>110</v>
      </c>
      <c r="B288">
        <v>104</v>
      </c>
      <c r="C288" t="s">
        <v>1321</v>
      </c>
      <c r="D288" t="s">
        <v>1322</v>
      </c>
      <c r="E288">
        <v>8</v>
      </c>
    </row>
    <row r="289">
      <c r="A289" t="s">
        <v>110</v>
      </c>
      <c r="B289">
        <v>105</v>
      </c>
      <c r="C289" t="s">
        <v>1321</v>
      </c>
      <c r="D289" t="s">
        <v>1322</v>
      </c>
      <c r="E289">
        <v>8</v>
      </c>
    </row>
    <row r="290">
      <c r="A290" t="s">
        <v>110</v>
      </c>
      <c r="B290">
        <v>106</v>
      </c>
      <c r="C290" t="s">
        <v>1321</v>
      </c>
      <c r="D290" t="s">
        <v>1322</v>
      </c>
      <c r="E290">
        <v>8</v>
      </c>
    </row>
    <row r="291">
      <c r="A291" t="s">
        <v>110</v>
      </c>
      <c r="B291">
        <v>107</v>
      </c>
      <c r="C291" t="s">
        <v>1321</v>
      </c>
      <c r="D291" t="s">
        <v>1322</v>
      </c>
      <c r="E291">
        <v>8</v>
      </c>
    </row>
    <row r="292">
      <c r="A292" t="s">
        <v>110</v>
      </c>
      <c r="B292">
        <v>108</v>
      </c>
      <c r="C292" t="s">
        <v>1321</v>
      </c>
      <c r="D292" t="s">
        <v>1322</v>
      </c>
      <c r="E292">
        <v>8</v>
      </c>
    </row>
    <row r="293">
      <c r="A293" t="s">
        <v>110</v>
      </c>
      <c r="B293">
        <v>109</v>
      </c>
      <c r="C293" t="s">
        <v>1321</v>
      </c>
      <c r="D293" t="s">
        <v>1322</v>
      </c>
      <c r="E293">
        <v>8</v>
      </c>
    </row>
    <row r="294">
      <c r="A294" t="s">
        <v>110</v>
      </c>
      <c r="B294">
        <v>110</v>
      </c>
      <c r="C294" t="s">
        <v>1321</v>
      </c>
      <c r="D294" t="s">
        <v>1322</v>
      </c>
      <c r="E294">
        <v>8</v>
      </c>
    </row>
    <row r="295">
      <c r="A295" t="s">
        <v>110</v>
      </c>
      <c r="B295">
        <v>111</v>
      </c>
      <c r="C295" t="s">
        <v>1321</v>
      </c>
      <c r="D295" t="s">
        <v>1322</v>
      </c>
      <c r="E295">
        <v>8</v>
      </c>
    </row>
    <row r="296">
      <c r="A296" t="s">
        <v>110</v>
      </c>
      <c r="B296">
        <v>112</v>
      </c>
      <c r="C296" t="s">
        <v>1321</v>
      </c>
      <c r="D296" t="s">
        <v>1322</v>
      </c>
      <c r="E296">
        <v>8</v>
      </c>
    </row>
    <row r="297">
      <c r="A297" t="s">
        <v>110</v>
      </c>
      <c r="B297">
        <v>113</v>
      </c>
      <c r="C297" t="s">
        <v>1321</v>
      </c>
      <c r="D297" t="s">
        <v>1322</v>
      </c>
      <c r="E297">
        <v>8</v>
      </c>
    </row>
    <row r="298">
      <c r="A298" t="s">
        <v>110</v>
      </c>
      <c r="B298">
        <v>114</v>
      </c>
      <c r="C298" t="s">
        <v>1321</v>
      </c>
      <c r="D298" t="s">
        <v>1322</v>
      </c>
      <c r="E298">
        <v>8</v>
      </c>
    </row>
    <row r="299">
      <c r="A299" t="s">
        <v>110</v>
      </c>
      <c r="B299">
        <v>115</v>
      </c>
      <c r="C299" t="s">
        <v>1321</v>
      </c>
      <c r="D299" t="s">
        <v>1322</v>
      </c>
      <c r="E299">
        <v>8</v>
      </c>
    </row>
    <row r="300">
      <c r="A300" t="s">
        <v>110</v>
      </c>
      <c r="B300">
        <v>116</v>
      </c>
      <c r="C300" t="s">
        <v>1321</v>
      </c>
      <c r="D300" t="s">
        <v>1322</v>
      </c>
      <c r="E300">
        <v>8</v>
      </c>
    </row>
    <row r="301">
      <c r="A301" t="s">
        <v>110</v>
      </c>
      <c r="B301">
        <v>117</v>
      </c>
      <c r="C301" t="s">
        <v>1321</v>
      </c>
      <c r="D301" t="s">
        <v>1322</v>
      </c>
      <c r="E301">
        <v>8</v>
      </c>
    </row>
    <row r="302">
      <c r="A302" t="s">
        <v>110</v>
      </c>
      <c r="B302">
        <v>118</v>
      </c>
      <c r="C302" t="s">
        <v>1321</v>
      </c>
      <c r="D302" t="s">
        <v>1322</v>
      </c>
      <c r="E302">
        <v>8</v>
      </c>
    </row>
    <row r="303">
      <c r="A303" t="s">
        <v>110</v>
      </c>
      <c r="B303">
        <v>119</v>
      </c>
      <c r="C303" t="s">
        <v>1321</v>
      </c>
      <c r="D303" t="s">
        <v>1322</v>
      </c>
      <c r="E303">
        <v>8</v>
      </c>
    </row>
    <row r="304">
      <c r="A304" t="s">
        <v>110</v>
      </c>
      <c r="B304">
        <v>120</v>
      </c>
      <c r="C304" t="s">
        <v>1321</v>
      </c>
      <c r="D304" t="s">
        <v>1322</v>
      </c>
      <c r="E304">
        <v>8</v>
      </c>
    </row>
    <row r="305">
      <c r="A305" t="s">
        <v>110</v>
      </c>
      <c r="B305">
        <v>121</v>
      </c>
      <c r="C305" t="s">
        <v>1321</v>
      </c>
      <c r="D305" t="s">
        <v>1322</v>
      </c>
      <c r="E305">
        <v>8</v>
      </c>
    </row>
    <row r="306">
      <c r="A306" t="s">
        <v>110</v>
      </c>
      <c r="B306">
        <v>122</v>
      </c>
      <c r="C306" t="s">
        <v>1321</v>
      </c>
      <c r="D306" t="s">
        <v>1322</v>
      </c>
      <c r="E306">
        <v>8</v>
      </c>
    </row>
    <row r="307">
      <c r="A307" t="s">
        <v>110</v>
      </c>
      <c r="B307">
        <v>123</v>
      </c>
      <c r="C307" t="s">
        <v>1321</v>
      </c>
      <c r="D307" t="s">
        <v>1322</v>
      </c>
      <c r="E307">
        <v>8</v>
      </c>
    </row>
    <row r="308">
      <c r="A308" t="s">
        <v>110</v>
      </c>
      <c r="B308">
        <v>124</v>
      </c>
      <c r="C308" t="s">
        <v>1321</v>
      </c>
      <c r="D308" t="s">
        <v>1322</v>
      </c>
      <c r="E308">
        <v>8</v>
      </c>
    </row>
    <row r="309">
      <c r="A309" t="s">
        <v>110</v>
      </c>
      <c r="B309">
        <v>125</v>
      </c>
      <c r="C309" t="s">
        <v>1321</v>
      </c>
      <c r="D309" t="s">
        <v>1322</v>
      </c>
      <c r="E309">
        <v>8</v>
      </c>
    </row>
    <row r="310">
      <c r="A310" t="s">
        <v>110</v>
      </c>
      <c r="B310">
        <v>126</v>
      </c>
      <c r="C310" t="s">
        <v>1321</v>
      </c>
      <c r="D310" t="s">
        <v>1322</v>
      </c>
      <c r="E310">
        <v>8</v>
      </c>
    </row>
    <row r="311">
      <c r="A311" t="s">
        <v>110</v>
      </c>
      <c r="B311">
        <v>127</v>
      </c>
      <c r="C311" t="s">
        <v>1321</v>
      </c>
      <c r="D311" t="s">
        <v>1322</v>
      </c>
      <c r="E311">
        <v>8</v>
      </c>
    </row>
    <row r="312">
      <c r="A312" t="s">
        <v>110</v>
      </c>
      <c r="B312">
        <v>128</v>
      </c>
      <c r="C312" t="s">
        <v>1321</v>
      </c>
      <c r="D312" t="s">
        <v>1322</v>
      </c>
      <c r="E312">
        <v>8</v>
      </c>
    </row>
    <row r="313">
      <c r="A313" t="s">
        <v>110</v>
      </c>
      <c r="B313">
        <v>129</v>
      </c>
      <c r="C313" t="s">
        <v>1321</v>
      </c>
      <c r="D313" t="s">
        <v>1322</v>
      </c>
      <c r="E313">
        <v>8</v>
      </c>
    </row>
    <row r="314">
      <c r="A314" t="s">
        <v>110</v>
      </c>
      <c r="B314">
        <v>130</v>
      </c>
      <c r="C314" t="s">
        <v>1321</v>
      </c>
      <c r="D314" t="s">
        <v>1322</v>
      </c>
      <c r="E314">
        <v>8</v>
      </c>
    </row>
    <row r="315">
      <c r="A315" t="s">
        <v>110</v>
      </c>
      <c r="B315">
        <v>131</v>
      </c>
      <c r="C315" t="s">
        <v>1321</v>
      </c>
      <c r="D315" t="s">
        <v>1322</v>
      </c>
      <c r="E315">
        <v>8</v>
      </c>
    </row>
    <row r="316">
      <c r="A316" t="s">
        <v>110</v>
      </c>
      <c r="B316">
        <v>132</v>
      </c>
      <c r="C316" t="s">
        <v>1321</v>
      </c>
      <c r="D316" t="s">
        <v>1322</v>
      </c>
      <c r="E316">
        <v>8</v>
      </c>
    </row>
    <row r="317">
      <c r="A317" t="s">
        <v>110</v>
      </c>
      <c r="B317">
        <v>133</v>
      </c>
      <c r="C317" t="s">
        <v>1321</v>
      </c>
      <c r="D317" t="s">
        <v>1322</v>
      </c>
      <c r="E317">
        <v>8</v>
      </c>
    </row>
    <row r="318">
      <c r="A318" t="s">
        <v>110</v>
      </c>
      <c r="B318">
        <v>134</v>
      </c>
      <c r="C318" t="s">
        <v>1321</v>
      </c>
      <c r="D318" t="s">
        <v>1322</v>
      </c>
      <c r="E318">
        <v>8</v>
      </c>
    </row>
    <row r="319">
      <c r="A319" t="s">
        <v>110</v>
      </c>
      <c r="B319">
        <v>135</v>
      </c>
      <c r="C319" t="s">
        <v>1321</v>
      </c>
      <c r="D319" t="s">
        <v>1322</v>
      </c>
      <c r="E319">
        <v>8</v>
      </c>
    </row>
    <row r="320">
      <c r="A320" t="s">
        <v>110</v>
      </c>
      <c r="B320">
        <v>136</v>
      </c>
      <c r="C320" t="s">
        <v>1321</v>
      </c>
      <c r="D320" t="s">
        <v>1322</v>
      </c>
      <c r="E320">
        <v>8</v>
      </c>
    </row>
    <row r="321">
      <c r="A321" t="s">
        <v>110</v>
      </c>
      <c r="B321">
        <v>137</v>
      </c>
      <c r="C321" t="s">
        <v>1321</v>
      </c>
      <c r="D321" t="s">
        <v>1322</v>
      </c>
      <c r="E321">
        <v>8</v>
      </c>
    </row>
    <row r="322">
      <c r="A322" t="s">
        <v>110</v>
      </c>
      <c r="B322">
        <v>138</v>
      </c>
      <c r="C322" t="s">
        <v>1321</v>
      </c>
      <c r="D322" t="s">
        <v>1322</v>
      </c>
      <c r="E322">
        <v>8</v>
      </c>
    </row>
    <row r="323">
      <c r="A323" t="s">
        <v>110</v>
      </c>
      <c r="B323">
        <v>139</v>
      </c>
      <c r="C323" t="s">
        <v>1321</v>
      </c>
      <c r="D323" t="s">
        <v>1322</v>
      </c>
      <c r="E323">
        <v>8</v>
      </c>
    </row>
    <row r="324">
      <c r="A324" t="s">
        <v>110</v>
      </c>
      <c r="B324">
        <v>140</v>
      </c>
      <c r="C324" t="s">
        <v>1321</v>
      </c>
      <c r="D324" t="s">
        <v>1322</v>
      </c>
      <c r="E324">
        <v>8</v>
      </c>
    </row>
    <row r="325">
      <c r="A325" t="s">
        <v>110</v>
      </c>
      <c r="B325">
        <v>141</v>
      </c>
      <c r="C325" t="s">
        <v>1321</v>
      </c>
      <c r="D325" t="s">
        <v>1322</v>
      </c>
      <c r="E325">
        <v>8</v>
      </c>
    </row>
    <row r="326">
      <c r="A326" t="s">
        <v>110</v>
      </c>
      <c r="B326">
        <v>142</v>
      </c>
      <c r="C326" t="s">
        <v>1321</v>
      </c>
      <c r="D326" t="s">
        <v>1322</v>
      </c>
      <c r="E326">
        <v>8</v>
      </c>
    </row>
    <row r="327">
      <c r="A327" t="s">
        <v>110</v>
      </c>
      <c r="B327">
        <v>143</v>
      </c>
      <c r="C327" t="s">
        <v>1321</v>
      </c>
      <c r="D327" t="s">
        <v>1322</v>
      </c>
      <c r="E327">
        <v>8</v>
      </c>
    </row>
    <row r="328">
      <c r="A328" t="s">
        <v>110</v>
      </c>
      <c r="B328">
        <v>144</v>
      </c>
      <c r="C328" t="s">
        <v>1321</v>
      </c>
      <c r="D328" t="s">
        <v>1322</v>
      </c>
      <c r="E328">
        <v>8</v>
      </c>
    </row>
    <row r="329">
      <c r="A329" t="s">
        <v>110</v>
      </c>
      <c r="B329">
        <v>145</v>
      </c>
      <c r="C329" t="s">
        <v>1321</v>
      </c>
      <c r="D329" t="s">
        <v>1322</v>
      </c>
      <c r="E329">
        <v>8</v>
      </c>
    </row>
    <row r="330">
      <c r="A330" t="s">
        <v>110</v>
      </c>
      <c r="B330">
        <v>146</v>
      </c>
      <c r="C330" t="s">
        <v>1321</v>
      </c>
      <c r="D330" t="s">
        <v>1322</v>
      </c>
      <c r="E330">
        <v>8</v>
      </c>
    </row>
    <row r="331">
      <c r="A331" t="s">
        <v>110</v>
      </c>
      <c r="B331">
        <v>147</v>
      </c>
      <c r="C331" t="s">
        <v>1321</v>
      </c>
      <c r="D331" t="s">
        <v>1322</v>
      </c>
      <c r="E331">
        <v>8</v>
      </c>
    </row>
    <row r="332">
      <c r="A332" t="s">
        <v>110</v>
      </c>
      <c r="B332">
        <v>148</v>
      </c>
      <c r="C332" t="s">
        <v>1321</v>
      </c>
      <c r="D332" t="s">
        <v>1322</v>
      </c>
      <c r="E332">
        <v>8</v>
      </c>
    </row>
    <row r="333">
      <c r="A333" t="s">
        <v>110</v>
      </c>
      <c r="B333">
        <v>149</v>
      </c>
      <c r="C333" t="s">
        <v>1321</v>
      </c>
      <c r="D333" t="s">
        <v>1322</v>
      </c>
      <c r="E333">
        <v>8</v>
      </c>
    </row>
    <row r="334">
      <c r="A334" t="s">
        <v>110</v>
      </c>
      <c r="B334">
        <v>150</v>
      </c>
      <c r="C334" t="s">
        <v>1321</v>
      </c>
      <c r="D334" t="s">
        <v>1322</v>
      </c>
      <c r="E334">
        <v>8</v>
      </c>
    </row>
    <row r="335">
      <c r="A335" t="s">
        <v>110</v>
      </c>
      <c r="B335">
        <v>151</v>
      </c>
      <c r="C335" t="s">
        <v>1321</v>
      </c>
      <c r="D335" t="s">
        <v>1322</v>
      </c>
      <c r="E335">
        <v>8</v>
      </c>
    </row>
    <row r="336">
      <c r="A336" t="s">
        <v>110</v>
      </c>
      <c r="B336">
        <v>152</v>
      </c>
      <c r="C336" t="s">
        <v>1321</v>
      </c>
      <c r="D336" t="s">
        <v>1322</v>
      </c>
      <c r="E336">
        <v>8</v>
      </c>
    </row>
    <row r="337">
      <c r="A337" t="s">
        <v>110</v>
      </c>
      <c r="B337">
        <v>153</v>
      </c>
      <c r="C337" t="s">
        <v>1321</v>
      </c>
      <c r="D337" t="s">
        <v>1322</v>
      </c>
      <c r="E337">
        <v>8</v>
      </c>
    </row>
    <row r="338">
      <c r="A338" t="s">
        <v>110</v>
      </c>
      <c r="B338">
        <v>154</v>
      </c>
      <c r="C338" t="s">
        <v>1321</v>
      </c>
      <c r="D338" t="s">
        <v>1322</v>
      </c>
      <c r="E338">
        <v>8</v>
      </c>
    </row>
    <row r="339">
      <c r="A339" t="s">
        <v>110</v>
      </c>
      <c r="B339">
        <v>155</v>
      </c>
      <c r="C339" t="s">
        <v>1321</v>
      </c>
      <c r="D339" t="s">
        <v>1322</v>
      </c>
      <c r="E339">
        <v>8</v>
      </c>
    </row>
    <row r="340">
      <c r="A340" t="s">
        <v>110</v>
      </c>
      <c r="B340">
        <v>156</v>
      </c>
      <c r="C340" t="s">
        <v>1321</v>
      </c>
      <c r="D340" t="s">
        <v>1322</v>
      </c>
      <c r="E340">
        <v>8</v>
      </c>
    </row>
    <row r="341">
      <c r="A341" t="s">
        <v>110</v>
      </c>
      <c r="B341">
        <v>157</v>
      </c>
      <c r="C341" t="s">
        <v>1321</v>
      </c>
      <c r="D341" t="s">
        <v>1322</v>
      </c>
      <c r="E341">
        <v>8</v>
      </c>
    </row>
    <row r="342">
      <c r="A342" t="s">
        <v>110</v>
      </c>
      <c r="B342">
        <v>158</v>
      </c>
      <c r="C342" t="s">
        <v>1321</v>
      </c>
      <c r="D342" t="s">
        <v>1322</v>
      </c>
      <c r="E342">
        <v>8</v>
      </c>
    </row>
    <row r="343">
      <c r="A343" t="s">
        <v>110</v>
      </c>
      <c r="B343">
        <v>159</v>
      </c>
      <c r="C343" t="s">
        <v>1321</v>
      </c>
      <c r="D343" t="s">
        <v>1322</v>
      </c>
      <c r="E343">
        <v>8</v>
      </c>
    </row>
    <row r="344">
      <c r="A344" t="s">
        <v>110</v>
      </c>
      <c r="B344">
        <v>160</v>
      </c>
      <c r="C344" t="s">
        <v>1321</v>
      </c>
      <c r="D344" t="s">
        <v>1322</v>
      </c>
      <c r="E344">
        <v>8</v>
      </c>
    </row>
    <row r="345">
      <c r="A345" t="s">
        <v>110</v>
      </c>
      <c r="B345">
        <v>161</v>
      </c>
      <c r="C345" t="s">
        <v>1321</v>
      </c>
      <c r="D345" t="s">
        <v>1322</v>
      </c>
      <c r="E345">
        <v>8</v>
      </c>
    </row>
    <row r="346">
      <c r="A346" t="s">
        <v>110</v>
      </c>
      <c r="B346">
        <v>162</v>
      </c>
      <c r="C346" t="s">
        <v>1321</v>
      </c>
      <c r="D346" t="s">
        <v>1322</v>
      </c>
      <c r="E346">
        <v>8</v>
      </c>
    </row>
    <row r="347">
      <c r="A347" t="s">
        <v>110</v>
      </c>
      <c r="B347">
        <v>163</v>
      </c>
      <c r="C347" t="s">
        <v>1321</v>
      </c>
      <c r="D347" t="s">
        <v>1322</v>
      </c>
      <c r="E347">
        <v>8</v>
      </c>
    </row>
    <row r="348">
      <c r="A348" t="s">
        <v>110</v>
      </c>
      <c r="B348">
        <v>164</v>
      </c>
      <c r="C348" t="s">
        <v>1321</v>
      </c>
      <c r="D348" t="s">
        <v>1322</v>
      </c>
      <c r="E348">
        <v>8</v>
      </c>
    </row>
    <row r="349">
      <c r="A349" t="s">
        <v>110</v>
      </c>
      <c r="B349">
        <v>165</v>
      </c>
      <c r="C349" t="s">
        <v>1321</v>
      </c>
      <c r="D349" t="s">
        <v>1322</v>
      </c>
      <c r="E349">
        <v>8</v>
      </c>
    </row>
    <row r="350">
      <c r="A350" t="s">
        <v>110</v>
      </c>
      <c r="B350">
        <v>166</v>
      </c>
      <c r="C350" t="s">
        <v>1321</v>
      </c>
      <c r="D350" t="s">
        <v>1322</v>
      </c>
      <c r="E350">
        <v>8</v>
      </c>
    </row>
    <row r="351">
      <c r="A351" t="s">
        <v>110</v>
      </c>
      <c r="B351">
        <v>167</v>
      </c>
      <c r="C351" t="s">
        <v>1321</v>
      </c>
      <c r="D351" t="s">
        <v>1322</v>
      </c>
      <c r="E351">
        <v>8</v>
      </c>
    </row>
    <row r="352">
      <c r="A352" t="s">
        <v>110</v>
      </c>
      <c r="B352">
        <v>168</v>
      </c>
      <c r="C352" t="s">
        <v>1321</v>
      </c>
      <c r="D352" t="s">
        <v>1322</v>
      </c>
      <c r="E352">
        <v>8</v>
      </c>
    </row>
    <row r="353">
      <c r="A353" t="s">
        <v>110</v>
      </c>
      <c r="B353">
        <v>169</v>
      </c>
      <c r="C353" t="s">
        <v>1321</v>
      </c>
      <c r="D353" t="s">
        <v>1322</v>
      </c>
      <c r="E353">
        <v>8</v>
      </c>
    </row>
    <row r="354">
      <c r="A354" t="s">
        <v>110</v>
      </c>
      <c r="B354">
        <v>170</v>
      </c>
      <c r="C354" t="s">
        <v>1321</v>
      </c>
      <c r="D354" t="s">
        <v>1322</v>
      </c>
      <c r="E354">
        <v>8</v>
      </c>
    </row>
    <row r="355">
      <c r="A355" t="s">
        <v>110</v>
      </c>
      <c r="B355">
        <v>171</v>
      </c>
      <c r="C355" t="s">
        <v>1321</v>
      </c>
      <c r="D355" t="s">
        <v>1322</v>
      </c>
      <c r="E355">
        <v>8</v>
      </c>
    </row>
    <row r="356">
      <c r="A356" t="s">
        <v>613</v>
      </c>
      <c r="B356">
        <v>7</v>
      </c>
      <c r="C356" t="s">
        <v>1323</v>
      </c>
      <c r="D356" t="s">
        <v>1324</v>
      </c>
      <c r="E356">
        <v>1</v>
      </c>
    </row>
    <row r="357">
      <c r="A357" t="s">
        <v>613</v>
      </c>
      <c r="B357">
        <v>8</v>
      </c>
      <c r="C357" t="s">
        <v>1325</v>
      </c>
      <c r="D357" t="s">
        <v>1326</v>
      </c>
      <c r="E357">
        <v>1</v>
      </c>
    </row>
    <row r="358">
      <c r="A358" t="s">
        <v>613</v>
      </c>
      <c r="B358">
        <v>9</v>
      </c>
      <c r="C358" t="s">
        <v>1327</v>
      </c>
      <c r="D358" t="s">
        <v>1328</v>
      </c>
      <c r="E358">
        <v>1</v>
      </c>
    </row>
    <row r="359">
      <c r="A359" t="s">
        <v>613</v>
      </c>
      <c r="B359">
        <v>10</v>
      </c>
      <c r="C359" t="s">
        <v>1329</v>
      </c>
      <c r="D359" t="s">
        <v>1330</v>
      </c>
      <c r="E359">
        <v>1</v>
      </c>
    </row>
    <row r="360">
      <c r="A360" t="s">
        <v>613</v>
      </c>
      <c r="B360">
        <v>11</v>
      </c>
      <c r="C360" t="s">
        <v>1331</v>
      </c>
      <c r="D360" t="s">
        <v>1332</v>
      </c>
      <c r="E360">
        <v>1</v>
      </c>
    </row>
    <row r="361">
      <c r="A361" t="s">
        <v>613</v>
      </c>
      <c r="B361">
        <v>12</v>
      </c>
      <c r="C361" t="s">
        <v>1333</v>
      </c>
      <c r="D361" t="s">
        <v>1334</v>
      </c>
      <c r="E361">
        <v>1</v>
      </c>
    </row>
    <row r="362">
      <c r="A362" t="s">
        <v>613</v>
      </c>
      <c r="B362">
        <v>13</v>
      </c>
      <c r="C362" t="s">
        <v>1335</v>
      </c>
      <c r="D362" t="s">
        <v>1336</v>
      </c>
      <c r="E362">
        <v>1</v>
      </c>
    </row>
    <row r="363">
      <c r="A363" t="s">
        <v>613</v>
      </c>
      <c r="B363">
        <v>14</v>
      </c>
      <c r="C363" t="s">
        <v>1337</v>
      </c>
      <c r="D363" t="s">
        <v>1338</v>
      </c>
      <c r="E363">
        <v>1</v>
      </c>
    </row>
    <row r="364">
      <c r="A364" t="s">
        <v>613</v>
      </c>
      <c r="B364">
        <v>15</v>
      </c>
      <c r="C364" t="s">
        <v>1339</v>
      </c>
      <c r="D364" t="s">
        <v>1340</v>
      </c>
      <c r="E364">
        <v>1</v>
      </c>
    </row>
    <row r="365">
      <c r="A365" t="s">
        <v>613</v>
      </c>
      <c r="B365">
        <v>16</v>
      </c>
      <c r="C365" t="s">
        <v>1341</v>
      </c>
      <c r="D365" t="s">
        <v>1342</v>
      </c>
      <c r="E365">
        <v>1</v>
      </c>
    </row>
    <row r="366">
      <c r="A366" t="s">
        <v>613</v>
      </c>
      <c r="B366">
        <v>19</v>
      </c>
      <c r="C366" t="s">
        <v>1343</v>
      </c>
      <c r="D366" t="s">
        <v>1344</v>
      </c>
      <c r="E366">
        <v>1</v>
      </c>
    </row>
    <row r="367">
      <c r="A367" t="s">
        <v>613</v>
      </c>
      <c r="B367">
        <v>20</v>
      </c>
      <c r="C367" t="s">
        <v>1345</v>
      </c>
      <c r="D367" t="s">
        <v>1346</v>
      </c>
      <c r="E367">
        <v>1</v>
      </c>
    </row>
    <row r="368">
      <c r="A368" t="s">
        <v>613</v>
      </c>
      <c r="B368">
        <v>21</v>
      </c>
      <c r="C368" t="s">
        <v>1347</v>
      </c>
      <c r="D368" t="s">
        <v>1348</v>
      </c>
      <c r="E368">
        <v>1</v>
      </c>
    </row>
    <row r="369">
      <c r="A369" t="s">
        <v>613</v>
      </c>
      <c r="B369">
        <v>22</v>
      </c>
      <c r="C369" t="s">
        <v>1349</v>
      </c>
      <c r="D369" t="s">
        <v>1350</v>
      </c>
      <c r="E369">
        <v>1</v>
      </c>
    </row>
    <row r="370">
      <c r="A370" t="s">
        <v>613</v>
      </c>
      <c r="B370">
        <v>23</v>
      </c>
      <c r="C370" t="s">
        <v>1351</v>
      </c>
      <c r="D370" t="s">
        <v>1352</v>
      </c>
      <c r="E370">
        <v>1</v>
      </c>
    </row>
    <row r="371">
      <c r="A371" t="s">
        <v>613</v>
      </c>
      <c r="B371">
        <v>24</v>
      </c>
      <c r="C371" t="s">
        <v>1353</v>
      </c>
      <c r="D371" t="s">
        <v>1354</v>
      </c>
      <c r="E371">
        <v>1</v>
      </c>
    </row>
    <row r="372">
      <c r="A372" t="s">
        <v>613</v>
      </c>
      <c r="B372">
        <v>25</v>
      </c>
      <c r="C372" t="s">
        <v>1355</v>
      </c>
      <c r="D372" t="s">
        <v>1356</v>
      </c>
      <c r="E372">
        <v>1</v>
      </c>
    </row>
    <row r="373">
      <c r="A373" t="s">
        <v>613</v>
      </c>
      <c r="B373">
        <v>26</v>
      </c>
      <c r="C373" t="s">
        <v>1357</v>
      </c>
      <c r="D373" t="s">
        <v>1358</v>
      </c>
      <c r="E373">
        <v>1</v>
      </c>
    </row>
    <row r="374">
      <c r="A374" t="s">
        <v>613</v>
      </c>
      <c r="B374">
        <v>27</v>
      </c>
      <c r="C374" t="s">
        <v>1359</v>
      </c>
      <c r="D374" t="s">
        <v>1360</v>
      </c>
      <c r="E374">
        <v>1</v>
      </c>
    </row>
    <row r="375">
      <c r="A375" t="s">
        <v>613</v>
      </c>
      <c r="B375">
        <v>28</v>
      </c>
      <c r="C375" t="s">
        <v>1361</v>
      </c>
      <c r="D375" t="s">
        <v>1362</v>
      </c>
      <c r="E375">
        <v>1</v>
      </c>
    </row>
    <row r="376">
      <c r="A376" t="s">
        <v>613</v>
      </c>
      <c r="B376">
        <v>29</v>
      </c>
      <c r="C376" t="s">
        <v>1363</v>
      </c>
      <c r="D376" t="s">
        <v>1364</v>
      </c>
      <c r="E376">
        <v>1</v>
      </c>
    </row>
    <row r="377">
      <c r="A377" t="s">
        <v>613</v>
      </c>
      <c r="B377">
        <v>30</v>
      </c>
      <c r="C377" t="s">
        <v>1365</v>
      </c>
      <c r="D377" t="s">
        <v>1366</v>
      </c>
      <c r="E377">
        <v>1</v>
      </c>
    </row>
    <row r="378">
      <c r="A378" t="s">
        <v>613</v>
      </c>
      <c r="B378">
        <v>31</v>
      </c>
      <c r="C378" t="s">
        <v>1367</v>
      </c>
      <c r="D378" t="s">
        <v>1368</v>
      </c>
      <c r="E378">
        <v>1</v>
      </c>
    </row>
    <row r="379">
      <c r="A379" t="s">
        <v>613</v>
      </c>
      <c r="B379">
        <v>33</v>
      </c>
      <c r="C379" t="s">
        <v>1369</v>
      </c>
      <c r="D379" t="s">
        <v>1370</v>
      </c>
      <c r="E379">
        <v>12</v>
      </c>
    </row>
    <row r="380">
      <c r="A380" t="s">
        <v>613</v>
      </c>
      <c r="B380">
        <v>35</v>
      </c>
      <c r="C380" t="s">
        <v>1371</v>
      </c>
      <c r="D380" t="s">
        <v>1372</v>
      </c>
      <c r="E380">
        <v>12</v>
      </c>
    </row>
    <row r="381">
      <c r="A381" t="s">
        <v>613</v>
      </c>
      <c r="B381">
        <v>36</v>
      </c>
      <c r="C381" t="s">
        <v>1373</v>
      </c>
      <c r="D381" t="s">
        <v>1374</v>
      </c>
      <c r="E381">
        <v>12</v>
      </c>
    </row>
    <row r="382">
      <c r="A382" t="s">
        <v>613</v>
      </c>
      <c r="B382">
        <v>37</v>
      </c>
      <c r="C382" t="s">
        <v>1375</v>
      </c>
      <c r="D382" t="s">
        <v>1376</v>
      </c>
      <c r="E382">
        <v>12</v>
      </c>
    </row>
    <row r="383">
      <c r="A383" t="s">
        <v>613</v>
      </c>
      <c r="B383">
        <v>38</v>
      </c>
      <c r="C383" t="s">
        <v>1377</v>
      </c>
      <c r="D383" t="s">
        <v>1378</v>
      </c>
      <c r="E383">
        <v>12</v>
      </c>
    </row>
    <row r="384">
      <c r="A384" t="s">
        <v>613</v>
      </c>
      <c r="B384">
        <v>39</v>
      </c>
      <c r="C384" t="s">
        <v>1377</v>
      </c>
      <c r="D384" t="s">
        <v>1378</v>
      </c>
      <c r="E384">
        <v>12</v>
      </c>
    </row>
    <row r="385">
      <c r="A385" t="s">
        <v>627</v>
      </c>
      <c r="B385">
        <v>13</v>
      </c>
      <c r="C385" t="s">
        <v>1379</v>
      </c>
      <c r="D385" t="s">
        <v>1380</v>
      </c>
      <c r="E385">
        <v>5</v>
      </c>
    </row>
    <row r="386">
      <c r="A386" t="s">
        <v>627</v>
      </c>
      <c r="B386">
        <v>14</v>
      </c>
      <c r="C386" t="s">
        <v>1381</v>
      </c>
      <c r="D386" t="s">
        <v>1382</v>
      </c>
      <c r="E386">
        <v>6</v>
      </c>
    </row>
    <row r="387">
      <c r="A387" t="s">
        <v>627</v>
      </c>
      <c r="B387">
        <v>15</v>
      </c>
      <c r="C387" t="s">
        <v>1383</v>
      </c>
      <c r="D387" t="s">
        <v>1384</v>
      </c>
      <c r="E387">
        <v>6</v>
      </c>
    </row>
    <row r="388">
      <c r="A388" t="s">
        <v>627</v>
      </c>
      <c r="B388">
        <v>16</v>
      </c>
      <c r="C388" t="s">
        <v>1385</v>
      </c>
      <c r="D388" t="s">
        <v>1386</v>
      </c>
      <c r="E388">
        <v>6</v>
      </c>
    </row>
    <row r="389">
      <c r="A389" t="s">
        <v>627</v>
      </c>
      <c r="B389">
        <v>17</v>
      </c>
      <c r="C389" t="s">
        <v>1387</v>
      </c>
      <c r="D389" t="s">
        <v>1388</v>
      </c>
      <c r="E389">
        <v>6</v>
      </c>
    </row>
    <row r="390">
      <c r="A390" t="s">
        <v>627</v>
      </c>
      <c r="B390">
        <v>18</v>
      </c>
      <c r="C390" t="s">
        <v>1389</v>
      </c>
      <c r="D390" t="s">
        <v>1390</v>
      </c>
      <c r="E390">
        <v>6</v>
      </c>
    </row>
    <row r="391">
      <c r="A391" t="s">
        <v>627</v>
      </c>
      <c r="B391">
        <v>21</v>
      </c>
      <c r="C391" t="s">
        <v>1379</v>
      </c>
      <c r="D391" t="s">
        <v>1380</v>
      </c>
      <c r="E391">
        <v>5</v>
      </c>
    </row>
    <row r="392">
      <c r="A392" t="s">
        <v>627</v>
      </c>
      <c r="B392">
        <v>22</v>
      </c>
      <c r="C392" t="s">
        <v>1391</v>
      </c>
      <c r="D392" t="s">
        <v>1392</v>
      </c>
      <c r="E392">
        <v>6</v>
      </c>
    </row>
    <row r="393">
      <c r="A393" t="s">
        <v>627</v>
      </c>
      <c r="B393">
        <v>23</v>
      </c>
      <c r="C393" t="s">
        <v>1393</v>
      </c>
      <c r="D393" t="s">
        <v>1394</v>
      </c>
      <c r="E393">
        <v>6</v>
      </c>
    </row>
    <row r="394">
      <c r="A394" t="s">
        <v>627</v>
      </c>
      <c r="B394">
        <v>24</v>
      </c>
      <c r="C394" t="s">
        <v>1395</v>
      </c>
      <c r="D394" t="s">
        <v>1396</v>
      </c>
      <c r="E394">
        <v>6</v>
      </c>
    </row>
    <row r="395">
      <c r="A395" t="s">
        <v>627</v>
      </c>
      <c r="B395">
        <v>25</v>
      </c>
      <c r="C395" t="s">
        <v>1397</v>
      </c>
      <c r="D395" t="s">
        <v>1398</v>
      </c>
      <c r="E395">
        <v>6</v>
      </c>
    </row>
    <row r="396">
      <c r="A396" t="s">
        <v>627</v>
      </c>
      <c r="B396">
        <v>26</v>
      </c>
      <c r="C396" t="s">
        <v>1399</v>
      </c>
      <c r="D396" t="s">
        <v>1400</v>
      </c>
      <c r="E396">
        <v>6</v>
      </c>
    </row>
    <row r="397">
      <c r="A397" t="s">
        <v>627</v>
      </c>
      <c r="B397">
        <v>32</v>
      </c>
      <c r="C397" t="s">
        <v>1401</v>
      </c>
      <c r="D397" t="s">
        <v>1402</v>
      </c>
      <c r="E397">
        <v>5</v>
      </c>
    </row>
    <row r="398">
      <c r="A398" t="s">
        <v>627</v>
      </c>
      <c r="B398">
        <v>33</v>
      </c>
      <c r="C398" t="s">
        <v>1403</v>
      </c>
      <c r="D398" t="s">
        <v>1404</v>
      </c>
      <c r="E398">
        <v>6</v>
      </c>
    </row>
    <row r="399">
      <c r="A399" t="s">
        <v>627</v>
      </c>
      <c r="B399">
        <v>34</v>
      </c>
      <c r="C399" t="s">
        <v>1405</v>
      </c>
      <c r="D399" t="s">
        <v>1406</v>
      </c>
      <c r="E399">
        <v>6</v>
      </c>
    </row>
    <row r="400">
      <c r="A400" t="s">
        <v>627</v>
      </c>
      <c r="B400">
        <v>35</v>
      </c>
      <c r="C400" t="s">
        <v>1407</v>
      </c>
      <c r="D400" t="s">
        <v>1408</v>
      </c>
      <c r="E400">
        <v>6</v>
      </c>
    </row>
    <row r="401">
      <c r="A401" t="s">
        <v>627</v>
      </c>
      <c r="B401">
        <v>36</v>
      </c>
      <c r="C401" t="s">
        <v>1409</v>
      </c>
      <c r="D401" t="s">
        <v>1410</v>
      </c>
      <c r="E401">
        <v>6</v>
      </c>
    </row>
    <row r="402">
      <c r="A402" t="s">
        <v>627</v>
      </c>
      <c r="B402">
        <v>37</v>
      </c>
      <c r="C402" t="s">
        <v>1411</v>
      </c>
      <c r="D402" t="s">
        <v>1412</v>
      </c>
      <c r="E402">
        <v>6</v>
      </c>
    </row>
    <row r="403">
      <c r="A403" t="s">
        <v>627</v>
      </c>
      <c r="B403">
        <v>40</v>
      </c>
      <c r="C403" t="s">
        <v>1401</v>
      </c>
      <c r="D403" t="s">
        <v>1402</v>
      </c>
      <c r="E403">
        <v>5</v>
      </c>
    </row>
    <row r="404">
      <c r="A404" t="s">
        <v>627</v>
      </c>
      <c r="B404">
        <v>41</v>
      </c>
      <c r="C404" t="s">
        <v>1413</v>
      </c>
      <c r="D404" t="s">
        <v>1414</v>
      </c>
      <c r="E404">
        <v>6</v>
      </c>
    </row>
    <row r="405">
      <c r="A405" t="s">
        <v>627</v>
      </c>
      <c r="B405">
        <v>42</v>
      </c>
      <c r="C405" t="s">
        <v>1415</v>
      </c>
      <c r="D405" t="s">
        <v>1416</v>
      </c>
      <c r="E405">
        <v>6</v>
      </c>
    </row>
    <row r="406">
      <c r="A406" t="s">
        <v>627</v>
      </c>
      <c r="B406">
        <v>43</v>
      </c>
      <c r="C406" t="s">
        <v>1417</v>
      </c>
      <c r="D406" t="s">
        <v>1418</v>
      </c>
      <c r="E406">
        <v>6</v>
      </c>
    </row>
    <row r="407">
      <c r="A407" t="s">
        <v>627</v>
      </c>
      <c r="B407">
        <v>44</v>
      </c>
      <c r="C407" t="s">
        <v>1419</v>
      </c>
      <c r="D407" t="s">
        <v>1420</v>
      </c>
      <c r="E407">
        <v>6</v>
      </c>
    </row>
    <row r="408">
      <c r="A408" t="s">
        <v>627</v>
      </c>
      <c r="B408">
        <v>45</v>
      </c>
      <c r="C408" t="s">
        <v>1421</v>
      </c>
      <c r="D408" t="s">
        <v>1422</v>
      </c>
      <c r="E408">
        <v>6</v>
      </c>
    </row>
    <row r="409">
      <c r="A409" t="s">
        <v>638</v>
      </c>
      <c r="B409">
        <v>7</v>
      </c>
      <c r="C409" t="s">
        <v>1423</v>
      </c>
      <c r="D409" t="s">
        <v>1424</v>
      </c>
      <c r="E409">
        <v>3</v>
      </c>
    </row>
    <row r="410">
      <c r="A410" t="s">
        <v>638</v>
      </c>
      <c r="B410">
        <v>8</v>
      </c>
      <c r="C410" t="s">
        <v>1425</v>
      </c>
      <c r="D410" t="s">
        <v>1426</v>
      </c>
      <c r="E410">
        <v>3</v>
      </c>
    </row>
    <row r="411">
      <c r="A411" t="s">
        <v>638</v>
      </c>
      <c r="B411">
        <v>9</v>
      </c>
      <c r="C411" t="s">
        <v>1427</v>
      </c>
      <c r="D411" t="s">
        <v>1428</v>
      </c>
      <c r="E411">
        <v>3</v>
      </c>
    </row>
    <row r="412">
      <c r="A412" t="s">
        <v>638</v>
      </c>
      <c r="B412">
        <v>10</v>
      </c>
      <c r="C412" t="s">
        <v>1429</v>
      </c>
      <c r="D412" t="s">
        <v>1430</v>
      </c>
      <c r="E412">
        <v>3</v>
      </c>
    </row>
    <row r="413">
      <c r="A413" t="s">
        <v>638</v>
      </c>
      <c r="B413">
        <v>11</v>
      </c>
      <c r="C413" t="s">
        <v>1431</v>
      </c>
      <c r="D413" t="s">
        <v>1432</v>
      </c>
      <c r="E413">
        <v>3</v>
      </c>
    </row>
    <row r="414">
      <c r="A414" t="s">
        <v>638</v>
      </c>
      <c r="B414">
        <v>12</v>
      </c>
      <c r="C414" t="s">
        <v>1433</v>
      </c>
      <c r="D414" t="s">
        <v>1434</v>
      </c>
      <c r="E414">
        <v>3</v>
      </c>
    </row>
    <row r="415">
      <c r="A415" t="s">
        <v>638</v>
      </c>
      <c r="B415">
        <v>13</v>
      </c>
      <c r="C415" t="s">
        <v>1435</v>
      </c>
      <c r="D415" t="s">
        <v>1436</v>
      </c>
      <c r="E415">
        <v>3</v>
      </c>
    </row>
    <row r="416">
      <c r="A416" t="s">
        <v>638</v>
      </c>
      <c r="B416">
        <v>14</v>
      </c>
      <c r="C416" t="s">
        <v>1437</v>
      </c>
      <c r="D416" t="s">
        <v>1438</v>
      </c>
      <c r="E416">
        <v>3</v>
      </c>
    </row>
    <row r="417">
      <c r="A417" t="s">
        <v>638</v>
      </c>
      <c r="B417">
        <v>15</v>
      </c>
      <c r="C417" t="s">
        <v>1439</v>
      </c>
      <c r="D417" t="s">
        <v>1440</v>
      </c>
      <c r="E417">
        <v>3</v>
      </c>
    </row>
    <row r="418">
      <c r="A418" t="s">
        <v>638</v>
      </c>
      <c r="B418">
        <v>16</v>
      </c>
      <c r="C418" t="s">
        <v>1441</v>
      </c>
      <c r="D418" t="s">
        <v>1442</v>
      </c>
      <c r="E418">
        <v>3</v>
      </c>
    </row>
    <row r="419">
      <c r="A419" t="s">
        <v>638</v>
      </c>
      <c r="B419">
        <v>17</v>
      </c>
      <c r="C419" t="s">
        <v>1443</v>
      </c>
      <c r="D419" t="s">
        <v>1444</v>
      </c>
      <c r="E419">
        <v>3</v>
      </c>
    </row>
    <row r="420">
      <c r="A420" t="s">
        <v>638</v>
      </c>
      <c r="B420">
        <v>18</v>
      </c>
      <c r="C420" t="s">
        <v>1445</v>
      </c>
      <c r="D420" t="s">
        <v>1446</v>
      </c>
      <c r="E420">
        <v>3</v>
      </c>
    </row>
    <row r="421">
      <c r="A421" t="s">
        <v>638</v>
      </c>
      <c r="B421">
        <v>19</v>
      </c>
      <c r="C421" t="s">
        <v>1447</v>
      </c>
      <c r="D421" t="s">
        <v>1448</v>
      </c>
      <c r="E421">
        <v>3</v>
      </c>
    </row>
    <row r="422">
      <c r="A422" t="s">
        <v>638</v>
      </c>
      <c r="B422">
        <v>20</v>
      </c>
      <c r="C422" t="s">
        <v>1449</v>
      </c>
      <c r="D422" t="s">
        <v>1450</v>
      </c>
      <c r="E422">
        <v>3</v>
      </c>
    </row>
    <row r="423">
      <c r="A423" t="s">
        <v>638</v>
      </c>
      <c r="B423">
        <v>21</v>
      </c>
      <c r="C423" t="s">
        <v>1451</v>
      </c>
      <c r="D423" t="s">
        <v>1452</v>
      </c>
      <c r="E423">
        <v>3</v>
      </c>
    </row>
    <row r="424">
      <c r="A424" t="s">
        <v>638</v>
      </c>
      <c r="B424">
        <v>22</v>
      </c>
      <c r="C424" t="s">
        <v>1453</v>
      </c>
      <c r="D424" t="s">
        <v>1454</v>
      </c>
      <c r="E424">
        <v>3</v>
      </c>
    </row>
    <row r="425">
      <c r="A425" t="s">
        <v>638</v>
      </c>
      <c r="B425">
        <v>23</v>
      </c>
      <c r="C425" t="s">
        <v>1455</v>
      </c>
      <c r="D425" t="s">
        <v>1456</v>
      </c>
      <c r="E425">
        <v>3</v>
      </c>
    </row>
    <row r="426">
      <c r="A426" t="s">
        <v>638</v>
      </c>
      <c r="B426">
        <v>24</v>
      </c>
      <c r="C426" t="s">
        <v>1457</v>
      </c>
      <c r="D426" t="s">
        <v>1458</v>
      </c>
      <c r="E426">
        <v>3</v>
      </c>
    </row>
    <row r="427">
      <c r="A427" t="s">
        <v>638</v>
      </c>
      <c r="B427">
        <v>25</v>
      </c>
      <c r="C427" t="s">
        <v>1459</v>
      </c>
      <c r="D427" t="s">
        <v>1460</v>
      </c>
      <c r="E427">
        <v>3</v>
      </c>
    </row>
    <row r="428">
      <c r="A428" t="s">
        <v>638</v>
      </c>
      <c r="B428">
        <v>27</v>
      </c>
      <c r="C428" t="s">
        <v>1461</v>
      </c>
      <c r="D428" t="s">
        <v>1462</v>
      </c>
      <c r="E428">
        <v>1</v>
      </c>
    </row>
    <row r="429">
      <c r="A429" t="s">
        <v>638</v>
      </c>
      <c r="B429">
        <v>28</v>
      </c>
      <c r="C429" t="s">
        <v>1463</v>
      </c>
      <c r="D429" t="s">
        <v>1464</v>
      </c>
      <c r="E429">
        <v>1</v>
      </c>
    </row>
    <row r="430">
      <c r="A430" t="s">
        <v>638</v>
      </c>
      <c r="B430">
        <v>29</v>
      </c>
      <c r="C430" t="s">
        <v>1465</v>
      </c>
      <c r="D430" t="s">
        <v>1466</v>
      </c>
      <c r="E430">
        <v>1</v>
      </c>
    </row>
    <row r="431">
      <c r="A431" t="s">
        <v>664</v>
      </c>
      <c r="B431">
        <v>7</v>
      </c>
      <c r="C431" t="s">
        <v>1467</v>
      </c>
      <c r="D431" t="s">
        <v>1468</v>
      </c>
      <c r="E431">
        <v>132</v>
      </c>
    </row>
    <row r="432">
      <c r="A432" t="s">
        <v>664</v>
      </c>
      <c r="B432">
        <v>8</v>
      </c>
      <c r="C432" t="s">
        <v>1469</v>
      </c>
      <c r="D432" t="s">
        <v>1470</v>
      </c>
      <c r="E432">
        <v>132</v>
      </c>
    </row>
    <row r="433">
      <c r="A433" t="s">
        <v>664</v>
      </c>
      <c r="B433">
        <v>10</v>
      </c>
      <c r="C433" t="s">
        <v>1471</v>
      </c>
      <c r="D433" t="s">
        <v>1472</v>
      </c>
      <c r="E433">
        <v>134</v>
      </c>
    </row>
    <row r="434">
      <c r="A434" t="s">
        <v>664</v>
      </c>
      <c r="B434">
        <v>11</v>
      </c>
      <c r="C434" t="s">
        <v>1473</v>
      </c>
      <c r="D434" t="s">
        <v>1474</v>
      </c>
      <c r="E434">
        <v>134</v>
      </c>
    </row>
    <row r="435">
      <c r="A435" t="s">
        <v>664</v>
      </c>
      <c r="B435">
        <v>12</v>
      </c>
      <c r="C435" t="s">
        <v>1475</v>
      </c>
      <c r="D435" t="s">
        <v>1476</v>
      </c>
      <c r="E435">
        <v>134</v>
      </c>
    </row>
    <row r="436">
      <c r="A436" t="s">
        <v>664</v>
      </c>
      <c r="B436">
        <v>13</v>
      </c>
      <c r="C436" t="s">
        <v>1477</v>
      </c>
      <c r="D436" t="s">
        <v>1478</v>
      </c>
      <c r="E436">
        <v>134</v>
      </c>
    </row>
    <row r="437">
      <c r="A437" t="s">
        <v>664</v>
      </c>
      <c r="B437">
        <v>14</v>
      </c>
      <c r="C437" t="s">
        <v>1479</v>
      </c>
      <c r="D437" t="s">
        <v>1480</v>
      </c>
      <c r="E437">
        <v>134</v>
      </c>
    </row>
    <row r="438">
      <c r="A438" t="s">
        <v>664</v>
      </c>
      <c r="B438">
        <v>15</v>
      </c>
      <c r="C438" t="s">
        <v>1481</v>
      </c>
      <c r="D438" t="s">
        <v>1482</v>
      </c>
      <c r="E438">
        <v>145</v>
      </c>
    </row>
    <row r="439">
      <c r="A439" t="s">
        <v>664</v>
      </c>
      <c r="B439">
        <v>16</v>
      </c>
      <c r="C439" t="s">
        <v>1483</v>
      </c>
      <c r="D439" t="s">
        <v>1484</v>
      </c>
      <c r="E439">
        <v>145</v>
      </c>
    </row>
    <row r="440">
      <c r="A440" t="s">
        <v>664</v>
      </c>
      <c r="B440">
        <v>17</v>
      </c>
      <c r="C440" t="s">
        <v>1485</v>
      </c>
      <c r="D440" t="s">
        <v>1486</v>
      </c>
      <c r="E440">
        <v>145</v>
      </c>
    </row>
    <row r="441">
      <c r="A441" t="s">
        <v>664</v>
      </c>
      <c r="B441">
        <v>18</v>
      </c>
      <c r="C441" t="s">
        <v>1487</v>
      </c>
      <c r="D441" t="s">
        <v>1488</v>
      </c>
      <c r="E441">
        <v>145</v>
      </c>
    </row>
    <row r="442">
      <c r="A442" t="s">
        <v>664</v>
      </c>
      <c r="B442">
        <v>19</v>
      </c>
      <c r="C442" t="s">
        <v>1489</v>
      </c>
      <c r="D442" t="s">
        <v>1490</v>
      </c>
      <c r="E442">
        <v>145</v>
      </c>
    </row>
    <row r="443">
      <c r="A443" t="s">
        <v>664</v>
      </c>
      <c r="B443">
        <v>20</v>
      </c>
      <c r="C443" t="s">
        <v>1491</v>
      </c>
      <c r="D443" t="s">
        <v>1492</v>
      </c>
      <c r="E443">
        <v>145</v>
      </c>
    </row>
    <row r="444">
      <c r="A444" t="s">
        <v>664</v>
      </c>
      <c r="B444">
        <v>21</v>
      </c>
      <c r="C444" t="s">
        <v>1493</v>
      </c>
      <c r="D444" t="s">
        <v>1494</v>
      </c>
      <c r="E444">
        <v>145</v>
      </c>
    </row>
    <row r="445">
      <c r="A445" t="s">
        <v>664</v>
      </c>
      <c r="B445">
        <v>22</v>
      </c>
      <c r="C445" t="s">
        <v>1495</v>
      </c>
      <c r="D445" t="s">
        <v>1496</v>
      </c>
      <c r="E445">
        <v>145</v>
      </c>
    </row>
    <row r="446">
      <c r="A446" t="s">
        <v>664</v>
      </c>
      <c r="B446">
        <v>23</v>
      </c>
      <c r="C446" t="s">
        <v>1497</v>
      </c>
      <c r="D446" t="s">
        <v>1498</v>
      </c>
      <c r="E446">
        <v>145</v>
      </c>
    </row>
    <row r="447">
      <c r="A447" t="s">
        <v>664</v>
      </c>
      <c r="B447">
        <v>24</v>
      </c>
      <c r="C447" t="s">
        <v>1499</v>
      </c>
      <c r="D447" t="s">
        <v>1500</v>
      </c>
      <c r="E447">
        <v>145</v>
      </c>
    </row>
    <row r="448">
      <c r="A448" t="s">
        <v>664</v>
      </c>
      <c r="B448">
        <v>25</v>
      </c>
      <c r="C448" t="s">
        <v>1501</v>
      </c>
      <c r="D448" t="s">
        <v>1502</v>
      </c>
      <c r="E448">
        <v>13</v>
      </c>
    </row>
    <row r="449">
      <c r="A449" t="s">
        <v>664</v>
      </c>
      <c r="B449">
        <v>27</v>
      </c>
      <c r="C449" t="s">
        <v>1503</v>
      </c>
      <c r="D449" t="s">
        <v>1504</v>
      </c>
      <c r="E449">
        <v>134</v>
      </c>
    </row>
    <row r="450">
      <c r="A450" t="s">
        <v>664</v>
      </c>
      <c r="B450">
        <v>28</v>
      </c>
      <c r="C450" t="s">
        <v>1505</v>
      </c>
      <c r="D450" t="s">
        <v>1506</v>
      </c>
      <c r="E450">
        <v>134</v>
      </c>
    </row>
    <row r="451">
      <c r="A451" t="s">
        <v>664</v>
      </c>
      <c r="B451">
        <v>29</v>
      </c>
      <c r="C451" t="s">
        <v>1507</v>
      </c>
      <c r="D451" t="s">
        <v>1508</v>
      </c>
      <c r="E451">
        <v>134</v>
      </c>
    </row>
    <row r="452">
      <c r="A452" t="s">
        <v>664</v>
      </c>
      <c r="B452">
        <v>30</v>
      </c>
      <c r="C452" t="s">
        <v>1509</v>
      </c>
      <c r="D452" t="s">
        <v>1510</v>
      </c>
      <c r="E452">
        <v>134</v>
      </c>
    </row>
    <row r="453">
      <c r="A453" t="s">
        <v>664</v>
      </c>
      <c r="B453">
        <v>31</v>
      </c>
      <c r="C453" t="s">
        <v>1511</v>
      </c>
      <c r="D453" t="s">
        <v>1512</v>
      </c>
      <c r="E453">
        <v>134</v>
      </c>
    </row>
    <row r="454">
      <c r="A454" t="s">
        <v>664</v>
      </c>
      <c r="B454">
        <v>32</v>
      </c>
      <c r="C454" t="s">
        <v>1513</v>
      </c>
      <c r="D454" t="s">
        <v>1514</v>
      </c>
      <c r="E454">
        <v>145</v>
      </c>
    </row>
    <row r="455">
      <c r="A455" t="s">
        <v>664</v>
      </c>
      <c r="B455">
        <v>33</v>
      </c>
      <c r="C455" t="s">
        <v>1515</v>
      </c>
      <c r="D455" t="s">
        <v>1516</v>
      </c>
      <c r="E455">
        <v>145</v>
      </c>
    </row>
    <row r="456">
      <c r="A456" t="s">
        <v>664</v>
      </c>
      <c r="B456">
        <v>34</v>
      </c>
      <c r="C456" t="s">
        <v>1517</v>
      </c>
      <c r="D456" t="s">
        <v>1518</v>
      </c>
      <c r="E456">
        <v>145</v>
      </c>
    </row>
    <row r="457">
      <c r="A457" t="s">
        <v>664</v>
      </c>
      <c r="B457">
        <v>35</v>
      </c>
      <c r="C457" t="s">
        <v>1519</v>
      </c>
      <c r="D457" t="s">
        <v>1520</v>
      </c>
      <c r="E457">
        <v>145</v>
      </c>
    </row>
    <row r="458">
      <c r="A458" t="s">
        <v>664</v>
      </c>
      <c r="B458">
        <v>36</v>
      </c>
      <c r="C458" t="s">
        <v>1521</v>
      </c>
      <c r="D458" t="s">
        <v>1522</v>
      </c>
      <c r="E458">
        <v>145</v>
      </c>
    </row>
    <row r="459">
      <c r="A459" t="s">
        <v>664</v>
      </c>
      <c r="B459">
        <v>37</v>
      </c>
      <c r="C459" t="s">
        <v>1523</v>
      </c>
      <c r="D459" t="s">
        <v>1524</v>
      </c>
      <c r="E459">
        <v>145</v>
      </c>
    </row>
    <row r="460">
      <c r="A460" t="s">
        <v>664</v>
      </c>
      <c r="B460">
        <v>38</v>
      </c>
      <c r="C460" t="s">
        <v>1525</v>
      </c>
      <c r="D460" t="s">
        <v>1526</v>
      </c>
      <c r="E460">
        <v>145</v>
      </c>
    </row>
    <row r="461">
      <c r="A461" t="s">
        <v>664</v>
      </c>
      <c r="B461">
        <v>39</v>
      </c>
      <c r="C461" t="s">
        <v>1527</v>
      </c>
      <c r="D461" t="s">
        <v>1528</v>
      </c>
      <c r="E461">
        <v>145</v>
      </c>
    </row>
    <row r="462">
      <c r="A462" t="s">
        <v>664</v>
      </c>
      <c r="B462">
        <v>40</v>
      </c>
      <c r="C462" t="s">
        <v>1529</v>
      </c>
      <c r="D462" t="s">
        <v>1530</v>
      </c>
      <c r="E462">
        <v>145</v>
      </c>
    </row>
    <row r="463">
      <c r="A463" t="s">
        <v>664</v>
      </c>
      <c r="B463">
        <v>41</v>
      </c>
      <c r="C463" t="s">
        <v>1531</v>
      </c>
      <c r="D463" t="s">
        <v>1532</v>
      </c>
      <c r="E463">
        <v>145</v>
      </c>
    </row>
    <row r="464">
      <c r="A464" t="s">
        <v>664</v>
      </c>
      <c r="B464">
        <v>42</v>
      </c>
      <c r="C464" t="s">
        <v>1533</v>
      </c>
      <c r="D464" t="s">
        <v>1534</v>
      </c>
      <c r="E464">
        <v>13</v>
      </c>
    </row>
    <row r="465">
      <c r="A465" t="s">
        <v>664</v>
      </c>
      <c r="B465">
        <v>44</v>
      </c>
      <c r="C465" t="s">
        <v>1535</v>
      </c>
      <c r="D465" t="s">
        <v>1536</v>
      </c>
      <c r="E465">
        <v>134</v>
      </c>
    </row>
    <row r="466">
      <c r="A466" t="s">
        <v>664</v>
      </c>
      <c r="B466">
        <v>45</v>
      </c>
      <c r="C466" t="s">
        <v>1537</v>
      </c>
      <c r="D466" t="s">
        <v>1538</v>
      </c>
      <c r="E466">
        <v>134</v>
      </c>
    </row>
    <row r="467">
      <c r="A467" t="s">
        <v>664</v>
      </c>
      <c r="B467">
        <v>46</v>
      </c>
      <c r="C467" t="s">
        <v>1539</v>
      </c>
      <c r="D467" t="s">
        <v>1540</v>
      </c>
      <c r="E467">
        <v>134</v>
      </c>
    </row>
    <row r="468">
      <c r="A468" t="s">
        <v>664</v>
      </c>
      <c r="B468">
        <v>47</v>
      </c>
      <c r="C468" t="s">
        <v>1541</v>
      </c>
      <c r="D468" t="s">
        <v>1542</v>
      </c>
      <c r="E468">
        <v>134</v>
      </c>
    </row>
    <row r="469">
      <c r="A469" t="s">
        <v>664</v>
      </c>
      <c r="B469">
        <v>48</v>
      </c>
      <c r="C469" t="s">
        <v>1543</v>
      </c>
      <c r="D469" t="s">
        <v>1544</v>
      </c>
      <c r="E469">
        <v>134</v>
      </c>
    </row>
    <row r="470">
      <c r="A470" t="s">
        <v>664</v>
      </c>
      <c r="B470">
        <v>49</v>
      </c>
      <c r="C470" t="s">
        <v>1545</v>
      </c>
      <c r="D470" t="s">
        <v>1546</v>
      </c>
      <c r="E470">
        <v>145</v>
      </c>
    </row>
    <row r="471">
      <c r="A471" t="s">
        <v>664</v>
      </c>
      <c r="B471">
        <v>50</v>
      </c>
      <c r="C471" t="s">
        <v>1547</v>
      </c>
      <c r="D471" t="s">
        <v>1548</v>
      </c>
      <c r="E471">
        <v>145</v>
      </c>
    </row>
    <row r="472">
      <c r="A472" t="s">
        <v>664</v>
      </c>
      <c r="B472">
        <v>51</v>
      </c>
      <c r="C472" t="s">
        <v>1549</v>
      </c>
      <c r="D472" t="s">
        <v>1550</v>
      </c>
      <c r="E472">
        <v>145</v>
      </c>
    </row>
    <row r="473">
      <c r="A473" t="s">
        <v>664</v>
      </c>
      <c r="B473">
        <v>52</v>
      </c>
      <c r="C473" t="s">
        <v>1551</v>
      </c>
      <c r="D473" t="s">
        <v>1552</v>
      </c>
      <c r="E473">
        <v>145</v>
      </c>
    </row>
    <row r="474">
      <c r="A474" t="s">
        <v>664</v>
      </c>
      <c r="B474">
        <v>53</v>
      </c>
      <c r="C474" t="s">
        <v>1553</v>
      </c>
      <c r="D474" t="s">
        <v>1554</v>
      </c>
      <c r="E474">
        <v>145</v>
      </c>
    </row>
    <row r="475">
      <c r="A475" t="s">
        <v>664</v>
      </c>
      <c r="B475">
        <v>54</v>
      </c>
      <c r="C475" t="s">
        <v>1555</v>
      </c>
      <c r="D475" t="s">
        <v>1556</v>
      </c>
      <c r="E475">
        <v>145</v>
      </c>
    </row>
    <row r="476">
      <c r="A476" t="s">
        <v>664</v>
      </c>
      <c r="B476">
        <v>55</v>
      </c>
      <c r="C476" t="s">
        <v>1557</v>
      </c>
      <c r="D476" t="s">
        <v>1558</v>
      </c>
      <c r="E476">
        <v>145</v>
      </c>
    </row>
    <row r="477">
      <c r="A477" t="s">
        <v>664</v>
      </c>
      <c r="B477">
        <v>56</v>
      </c>
      <c r="C477" t="s">
        <v>1559</v>
      </c>
      <c r="D477" t="s">
        <v>1560</v>
      </c>
      <c r="E477">
        <v>145</v>
      </c>
    </row>
    <row r="478">
      <c r="A478" t="s">
        <v>664</v>
      </c>
      <c r="B478">
        <v>57</v>
      </c>
      <c r="C478" t="s">
        <v>1561</v>
      </c>
      <c r="D478" t="s">
        <v>1562</v>
      </c>
      <c r="E478">
        <v>145</v>
      </c>
    </row>
    <row r="479">
      <c r="A479" t="s">
        <v>664</v>
      </c>
      <c r="B479">
        <v>58</v>
      </c>
      <c r="C479" t="s">
        <v>1563</v>
      </c>
      <c r="D479" t="s">
        <v>1564</v>
      </c>
      <c r="E479">
        <v>145</v>
      </c>
    </row>
    <row r="480">
      <c r="A480" t="s">
        <v>664</v>
      </c>
      <c r="B480">
        <v>59</v>
      </c>
      <c r="C480" t="s">
        <v>1565</v>
      </c>
      <c r="D480" t="s">
        <v>1566</v>
      </c>
      <c r="E480">
        <v>13</v>
      </c>
    </row>
    <row r="481">
      <c r="A481" t="s">
        <v>664</v>
      </c>
      <c r="B481">
        <v>61</v>
      </c>
      <c r="C481" t="s">
        <v>1567</v>
      </c>
      <c r="D481" t="s">
        <v>1568</v>
      </c>
      <c r="E481">
        <v>134</v>
      </c>
    </row>
    <row r="482">
      <c r="A482" t="s">
        <v>664</v>
      </c>
      <c r="B482">
        <v>62</v>
      </c>
      <c r="C482" t="s">
        <v>1569</v>
      </c>
      <c r="D482" t="s">
        <v>1570</v>
      </c>
      <c r="E482">
        <v>134</v>
      </c>
    </row>
    <row r="483">
      <c r="A483" t="s">
        <v>664</v>
      </c>
      <c r="B483">
        <v>63</v>
      </c>
      <c r="C483" t="s">
        <v>1571</v>
      </c>
      <c r="D483" t="s">
        <v>1572</v>
      </c>
      <c r="E483">
        <v>134</v>
      </c>
    </row>
    <row r="484">
      <c r="A484" t="s">
        <v>664</v>
      </c>
      <c r="B484">
        <v>64</v>
      </c>
      <c r="C484" t="s">
        <v>1573</v>
      </c>
      <c r="D484" t="s">
        <v>1574</v>
      </c>
      <c r="E484">
        <v>134</v>
      </c>
    </row>
    <row r="485">
      <c r="A485" t="s">
        <v>664</v>
      </c>
      <c r="B485">
        <v>65</v>
      </c>
      <c r="C485" t="s">
        <v>1575</v>
      </c>
      <c r="D485" t="s">
        <v>1576</v>
      </c>
      <c r="E485">
        <v>134</v>
      </c>
    </row>
    <row r="486">
      <c r="A486" t="s">
        <v>664</v>
      </c>
      <c r="B486">
        <v>66</v>
      </c>
      <c r="C486" t="s">
        <v>1577</v>
      </c>
      <c r="D486" t="s">
        <v>1578</v>
      </c>
      <c r="E486">
        <v>145</v>
      </c>
    </row>
    <row r="487">
      <c r="A487" t="s">
        <v>664</v>
      </c>
      <c r="B487">
        <v>67</v>
      </c>
      <c r="C487" t="s">
        <v>1579</v>
      </c>
      <c r="D487" t="s">
        <v>1580</v>
      </c>
      <c r="E487">
        <v>145</v>
      </c>
    </row>
    <row r="488">
      <c r="A488" t="s">
        <v>664</v>
      </c>
      <c r="B488">
        <v>68</v>
      </c>
      <c r="C488" t="s">
        <v>1581</v>
      </c>
      <c r="D488" t="s">
        <v>1582</v>
      </c>
      <c r="E488">
        <v>145</v>
      </c>
    </row>
    <row r="489">
      <c r="A489" t="s">
        <v>664</v>
      </c>
      <c r="B489">
        <v>69</v>
      </c>
      <c r="C489" t="s">
        <v>1583</v>
      </c>
      <c r="D489" t="s">
        <v>1584</v>
      </c>
      <c r="E489">
        <v>145</v>
      </c>
    </row>
    <row r="490">
      <c r="A490" t="s">
        <v>664</v>
      </c>
      <c r="B490">
        <v>70</v>
      </c>
      <c r="C490" t="s">
        <v>1585</v>
      </c>
      <c r="D490" t="s">
        <v>1586</v>
      </c>
      <c r="E490">
        <v>145</v>
      </c>
    </row>
    <row r="491">
      <c r="A491" t="s">
        <v>664</v>
      </c>
      <c r="B491">
        <v>71</v>
      </c>
      <c r="C491" t="s">
        <v>1587</v>
      </c>
      <c r="D491" t="s">
        <v>1588</v>
      </c>
      <c r="E491">
        <v>145</v>
      </c>
    </row>
    <row r="492">
      <c r="A492" t="s">
        <v>664</v>
      </c>
      <c r="B492">
        <v>72</v>
      </c>
      <c r="C492" t="s">
        <v>1589</v>
      </c>
      <c r="D492" t="s">
        <v>1590</v>
      </c>
      <c r="E492">
        <v>145</v>
      </c>
    </row>
    <row r="493">
      <c r="A493" t="s">
        <v>664</v>
      </c>
      <c r="B493">
        <v>73</v>
      </c>
      <c r="C493" t="s">
        <v>1591</v>
      </c>
      <c r="D493" t="s">
        <v>1592</v>
      </c>
      <c r="E493">
        <v>145</v>
      </c>
    </row>
    <row r="494">
      <c r="A494" t="s">
        <v>664</v>
      </c>
      <c r="B494">
        <v>74</v>
      </c>
      <c r="C494" t="s">
        <v>1593</v>
      </c>
      <c r="D494" t="s">
        <v>1594</v>
      </c>
      <c r="E494">
        <v>145</v>
      </c>
    </row>
    <row r="495">
      <c r="A495" t="s">
        <v>664</v>
      </c>
      <c r="B495">
        <v>75</v>
      </c>
      <c r="C495" t="s">
        <v>1595</v>
      </c>
      <c r="D495" t="s">
        <v>1596</v>
      </c>
      <c r="E495">
        <v>145</v>
      </c>
    </row>
    <row r="496">
      <c r="A496" t="s">
        <v>664</v>
      </c>
      <c r="B496">
        <v>76</v>
      </c>
      <c r="C496" t="s">
        <v>1597</v>
      </c>
      <c r="D496" t="s">
        <v>1598</v>
      </c>
      <c r="E496">
        <v>13</v>
      </c>
    </row>
    <row r="497">
      <c r="A497" t="s">
        <v>664</v>
      </c>
      <c r="B497">
        <v>78</v>
      </c>
      <c r="C497" t="s">
        <v>1599</v>
      </c>
      <c r="D497" t="s">
        <v>1600</v>
      </c>
      <c r="E497">
        <v>134</v>
      </c>
    </row>
    <row r="498">
      <c r="A498" t="s">
        <v>664</v>
      </c>
      <c r="B498">
        <v>79</v>
      </c>
      <c r="C498" t="s">
        <v>1601</v>
      </c>
      <c r="D498" t="s">
        <v>1602</v>
      </c>
      <c r="E498">
        <v>134</v>
      </c>
    </row>
    <row r="499">
      <c r="A499" t="s">
        <v>664</v>
      </c>
      <c r="B499">
        <v>80</v>
      </c>
      <c r="C499" t="s">
        <v>1603</v>
      </c>
      <c r="D499" t="s">
        <v>1604</v>
      </c>
      <c r="E499">
        <v>134</v>
      </c>
    </row>
    <row r="500">
      <c r="A500" t="s">
        <v>664</v>
      </c>
      <c r="B500">
        <v>81</v>
      </c>
      <c r="C500" t="s">
        <v>1605</v>
      </c>
      <c r="D500" t="s">
        <v>1606</v>
      </c>
      <c r="E500">
        <v>134</v>
      </c>
    </row>
    <row r="501">
      <c r="A501" t="s">
        <v>664</v>
      </c>
      <c r="B501">
        <v>82</v>
      </c>
      <c r="C501" t="s">
        <v>1607</v>
      </c>
      <c r="D501" t="s">
        <v>1608</v>
      </c>
      <c r="E501">
        <v>134</v>
      </c>
    </row>
    <row r="502">
      <c r="A502" t="s">
        <v>664</v>
      </c>
      <c r="B502">
        <v>83</v>
      </c>
      <c r="C502" t="s">
        <v>1609</v>
      </c>
      <c r="D502" t="s">
        <v>1610</v>
      </c>
      <c r="E502">
        <v>145</v>
      </c>
    </row>
    <row r="503">
      <c r="A503" t="s">
        <v>664</v>
      </c>
      <c r="B503">
        <v>84</v>
      </c>
      <c r="C503" t="s">
        <v>1611</v>
      </c>
      <c r="D503" t="s">
        <v>1612</v>
      </c>
      <c r="E503">
        <v>145</v>
      </c>
    </row>
    <row r="504">
      <c r="A504" t="s">
        <v>664</v>
      </c>
      <c r="B504">
        <v>85</v>
      </c>
      <c r="C504" t="s">
        <v>1613</v>
      </c>
      <c r="D504" t="s">
        <v>1614</v>
      </c>
      <c r="E504">
        <v>145</v>
      </c>
    </row>
    <row r="505">
      <c r="A505" t="s">
        <v>664</v>
      </c>
      <c r="B505">
        <v>86</v>
      </c>
      <c r="C505" t="s">
        <v>1615</v>
      </c>
      <c r="D505" t="s">
        <v>1616</v>
      </c>
      <c r="E505">
        <v>145</v>
      </c>
    </row>
    <row r="506">
      <c r="A506" t="s">
        <v>664</v>
      </c>
      <c r="B506">
        <v>87</v>
      </c>
      <c r="C506" t="s">
        <v>1617</v>
      </c>
      <c r="D506" t="s">
        <v>1618</v>
      </c>
      <c r="E506">
        <v>145</v>
      </c>
    </row>
    <row r="507">
      <c r="A507" t="s">
        <v>664</v>
      </c>
      <c r="B507">
        <v>88</v>
      </c>
      <c r="C507" t="s">
        <v>1619</v>
      </c>
      <c r="D507" t="s">
        <v>1620</v>
      </c>
      <c r="E507">
        <v>145</v>
      </c>
    </row>
    <row r="508">
      <c r="A508" t="s">
        <v>664</v>
      </c>
      <c r="B508">
        <v>89</v>
      </c>
      <c r="C508" t="s">
        <v>1621</v>
      </c>
      <c r="D508" t="s">
        <v>1622</v>
      </c>
      <c r="E508">
        <v>145</v>
      </c>
    </row>
    <row r="509">
      <c r="A509" t="s">
        <v>664</v>
      </c>
      <c r="B509">
        <v>90</v>
      </c>
      <c r="C509" t="s">
        <v>1623</v>
      </c>
      <c r="D509" t="s">
        <v>1624</v>
      </c>
      <c r="E509">
        <v>145</v>
      </c>
    </row>
    <row r="510">
      <c r="A510" t="s">
        <v>664</v>
      </c>
      <c r="B510">
        <v>91</v>
      </c>
      <c r="C510" t="s">
        <v>1625</v>
      </c>
      <c r="D510" t="s">
        <v>1626</v>
      </c>
      <c r="E510">
        <v>145</v>
      </c>
    </row>
    <row r="511">
      <c r="A511" t="s">
        <v>664</v>
      </c>
      <c r="B511">
        <v>92</v>
      </c>
      <c r="C511" t="s">
        <v>1627</v>
      </c>
      <c r="D511" t="s">
        <v>1628</v>
      </c>
      <c r="E511">
        <v>145</v>
      </c>
    </row>
    <row r="512">
      <c r="A512" t="s">
        <v>664</v>
      </c>
      <c r="B512">
        <v>93</v>
      </c>
      <c r="C512" t="s">
        <v>1629</v>
      </c>
      <c r="D512" t="s">
        <v>1630</v>
      </c>
      <c r="E512">
        <v>13</v>
      </c>
    </row>
    <row r="513">
      <c r="A513" t="s">
        <v>664</v>
      </c>
      <c r="B513">
        <v>95</v>
      </c>
      <c r="C513" t="s">
        <v>1631</v>
      </c>
      <c r="D513" t="s">
        <v>1632</v>
      </c>
      <c r="E513">
        <v>134</v>
      </c>
    </row>
    <row r="514">
      <c r="A514" t="s">
        <v>664</v>
      </c>
      <c r="B514">
        <v>96</v>
      </c>
      <c r="C514" t="s">
        <v>1633</v>
      </c>
      <c r="D514" t="s">
        <v>1634</v>
      </c>
      <c r="E514">
        <v>134</v>
      </c>
    </row>
    <row r="515">
      <c r="A515" t="s">
        <v>664</v>
      </c>
      <c r="B515">
        <v>97</v>
      </c>
      <c r="C515" t="s">
        <v>1635</v>
      </c>
      <c r="D515" t="s">
        <v>1636</v>
      </c>
      <c r="E515">
        <v>134</v>
      </c>
    </row>
    <row r="516">
      <c r="A516" t="s">
        <v>664</v>
      </c>
      <c r="B516">
        <v>98</v>
      </c>
      <c r="C516" t="s">
        <v>1637</v>
      </c>
      <c r="D516" t="s">
        <v>1638</v>
      </c>
      <c r="E516">
        <v>134</v>
      </c>
    </row>
    <row r="517">
      <c r="A517" t="s">
        <v>664</v>
      </c>
      <c r="B517">
        <v>99</v>
      </c>
      <c r="C517" t="s">
        <v>1639</v>
      </c>
      <c r="D517" t="s">
        <v>1640</v>
      </c>
      <c r="E517">
        <v>134</v>
      </c>
    </row>
    <row r="518">
      <c r="A518" t="s">
        <v>664</v>
      </c>
      <c r="B518">
        <v>100</v>
      </c>
      <c r="C518" t="s">
        <v>1641</v>
      </c>
      <c r="D518" t="s">
        <v>1642</v>
      </c>
      <c r="E518">
        <v>145</v>
      </c>
    </row>
    <row r="519">
      <c r="A519" t="s">
        <v>664</v>
      </c>
      <c r="B519">
        <v>101</v>
      </c>
      <c r="C519" t="s">
        <v>1643</v>
      </c>
      <c r="D519" t="s">
        <v>1644</v>
      </c>
      <c r="E519">
        <v>145</v>
      </c>
    </row>
    <row r="520">
      <c r="A520" t="s">
        <v>664</v>
      </c>
      <c r="B520">
        <v>102</v>
      </c>
      <c r="C520" t="s">
        <v>1645</v>
      </c>
      <c r="D520" t="s">
        <v>1646</v>
      </c>
      <c r="E520">
        <v>145</v>
      </c>
    </row>
    <row r="521">
      <c r="A521" t="s">
        <v>664</v>
      </c>
      <c r="B521">
        <v>103</v>
      </c>
      <c r="C521" t="s">
        <v>1647</v>
      </c>
      <c r="D521" t="s">
        <v>1648</v>
      </c>
      <c r="E521">
        <v>145</v>
      </c>
    </row>
    <row r="522">
      <c r="A522" t="s">
        <v>664</v>
      </c>
      <c r="B522">
        <v>104</v>
      </c>
      <c r="C522" t="s">
        <v>1649</v>
      </c>
      <c r="D522" t="s">
        <v>1650</v>
      </c>
      <c r="E522">
        <v>145</v>
      </c>
    </row>
    <row r="523">
      <c r="A523" t="s">
        <v>664</v>
      </c>
      <c r="B523">
        <v>105</v>
      </c>
      <c r="C523" t="s">
        <v>1651</v>
      </c>
      <c r="D523" t="s">
        <v>1652</v>
      </c>
      <c r="E523">
        <v>145</v>
      </c>
    </row>
    <row r="524">
      <c r="A524" t="s">
        <v>664</v>
      </c>
      <c r="B524">
        <v>106</v>
      </c>
      <c r="C524" t="s">
        <v>1653</v>
      </c>
      <c r="D524" t="s">
        <v>1654</v>
      </c>
      <c r="E524">
        <v>145</v>
      </c>
    </row>
    <row r="525">
      <c r="A525" t="s">
        <v>664</v>
      </c>
      <c r="B525">
        <v>107</v>
      </c>
      <c r="C525" t="s">
        <v>1655</v>
      </c>
      <c r="D525" t="s">
        <v>1656</v>
      </c>
      <c r="E525">
        <v>145</v>
      </c>
    </row>
    <row r="526">
      <c r="A526" t="s">
        <v>664</v>
      </c>
      <c r="B526">
        <v>108</v>
      </c>
      <c r="C526" t="s">
        <v>1657</v>
      </c>
      <c r="D526" t="s">
        <v>1658</v>
      </c>
      <c r="E526">
        <v>145</v>
      </c>
    </row>
    <row r="527">
      <c r="A527" t="s">
        <v>664</v>
      </c>
      <c r="B527">
        <v>109</v>
      </c>
      <c r="C527" t="s">
        <v>1659</v>
      </c>
      <c r="D527" t="s">
        <v>1660</v>
      </c>
      <c r="E527">
        <v>145</v>
      </c>
    </row>
    <row r="528">
      <c r="A528" t="s">
        <v>664</v>
      </c>
      <c r="B528">
        <v>110</v>
      </c>
      <c r="C528" t="s">
        <v>1661</v>
      </c>
      <c r="D528" t="s">
        <v>1662</v>
      </c>
      <c r="E528">
        <v>13</v>
      </c>
    </row>
    <row r="529">
      <c r="A529" t="s">
        <v>664</v>
      </c>
      <c r="B529">
        <v>112</v>
      </c>
      <c r="C529" t="s">
        <v>1663</v>
      </c>
      <c r="D529" t="s">
        <v>1664</v>
      </c>
      <c r="E529">
        <v>134</v>
      </c>
    </row>
    <row r="530">
      <c r="A530" t="s">
        <v>664</v>
      </c>
      <c r="B530">
        <v>113</v>
      </c>
      <c r="C530" t="s">
        <v>1665</v>
      </c>
      <c r="D530" t="s">
        <v>1666</v>
      </c>
      <c r="E530">
        <v>134</v>
      </c>
    </row>
    <row r="531">
      <c r="A531" t="s">
        <v>664</v>
      </c>
      <c r="B531">
        <v>114</v>
      </c>
      <c r="C531" t="s">
        <v>1667</v>
      </c>
      <c r="D531" t="s">
        <v>1668</v>
      </c>
      <c r="E531">
        <v>134</v>
      </c>
    </row>
    <row r="532">
      <c r="A532" t="s">
        <v>664</v>
      </c>
      <c r="B532">
        <v>115</v>
      </c>
      <c r="C532" t="s">
        <v>1669</v>
      </c>
      <c r="D532" t="s">
        <v>1670</v>
      </c>
      <c r="E532">
        <v>134</v>
      </c>
    </row>
    <row r="533">
      <c r="A533" t="s">
        <v>664</v>
      </c>
      <c r="B533">
        <v>116</v>
      </c>
      <c r="C533" t="s">
        <v>1671</v>
      </c>
      <c r="D533" t="s">
        <v>1672</v>
      </c>
      <c r="E533">
        <v>134</v>
      </c>
    </row>
    <row r="534">
      <c r="A534" t="s">
        <v>664</v>
      </c>
      <c r="B534">
        <v>117</v>
      </c>
      <c r="C534" t="s">
        <v>1673</v>
      </c>
      <c r="D534" t="s">
        <v>1674</v>
      </c>
      <c r="E534">
        <v>145</v>
      </c>
    </row>
    <row r="535">
      <c r="A535" t="s">
        <v>664</v>
      </c>
      <c r="B535">
        <v>118</v>
      </c>
      <c r="C535" t="s">
        <v>1675</v>
      </c>
      <c r="D535" t="s">
        <v>1676</v>
      </c>
      <c r="E535">
        <v>145</v>
      </c>
    </row>
    <row r="536">
      <c r="A536" t="s">
        <v>664</v>
      </c>
      <c r="B536">
        <v>119</v>
      </c>
      <c r="C536" t="s">
        <v>1677</v>
      </c>
      <c r="D536" t="s">
        <v>1678</v>
      </c>
      <c r="E536">
        <v>145</v>
      </c>
    </row>
    <row r="537">
      <c r="A537" t="s">
        <v>664</v>
      </c>
      <c r="B537">
        <v>120</v>
      </c>
      <c r="C537" t="s">
        <v>1679</v>
      </c>
      <c r="D537" t="s">
        <v>1680</v>
      </c>
      <c r="E537">
        <v>145</v>
      </c>
    </row>
    <row r="538">
      <c r="A538" t="s">
        <v>664</v>
      </c>
      <c r="B538">
        <v>121</v>
      </c>
      <c r="C538" t="s">
        <v>1681</v>
      </c>
      <c r="D538" t="s">
        <v>1682</v>
      </c>
      <c r="E538">
        <v>145</v>
      </c>
    </row>
    <row r="539">
      <c r="A539" t="s">
        <v>664</v>
      </c>
      <c r="B539">
        <v>122</v>
      </c>
      <c r="C539" t="s">
        <v>1683</v>
      </c>
      <c r="D539" t="s">
        <v>1684</v>
      </c>
      <c r="E539">
        <v>145</v>
      </c>
    </row>
    <row r="540">
      <c r="A540" t="s">
        <v>664</v>
      </c>
      <c r="B540">
        <v>123</v>
      </c>
      <c r="C540" t="s">
        <v>1685</v>
      </c>
      <c r="D540" t="s">
        <v>1686</v>
      </c>
      <c r="E540">
        <v>145</v>
      </c>
    </row>
    <row r="541">
      <c r="A541" t="s">
        <v>664</v>
      </c>
      <c r="B541">
        <v>124</v>
      </c>
      <c r="C541" t="s">
        <v>1687</v>
      </c>
      <c r="D541" t="s">
        <v>1688</v>
      </c>
      <c r="E541">
        <v>145</v>
      </c>
    </row>
    <row r="542">
      <c r="A542" t="s">
        <v>664</v>
      </c>
      <c r="B542">
        <v>125</v>
      </c>
      <c r="C542" t="s">
        <v>1689</v>
      </c>
      <c r="D542" t="s">
        <v>1690</v>
      </c>
      <c r="E542">
        <v>145</v>
      </c>
    </row>
    <row r="543">
      <c r="A543" t="s">
        <v>664</v>
      </c>
      <c r="B543">
        <v>126</v>
      </c>
      <c r="C543" t="s">
        <v>1691</v>
      </c>
      <c r="D543" t="s">
        <v>1692</v>
      </c>
      <c r="E543">
        <v>145</v>
      </c>
    </row>
    <row r="544">
      <c r="A544" t="s">
        <v>664</v>
      </c>
      <c r="B544">
        <v>127</v>
      </c>
      <c r="C544" t="s">
        <v>1693</v>
      </c>
      <c r="D544" t="s">
        <v>1694</v>
      </c>
      <c r="E544">
        <v>13</v>
      </c>
    </row>
    <row r="545">
      <c r="A545" t="s">
        <v>664</v>
      </c>
      <c r="B545">
        <v>129</v>
      </c>
      <c r="C545" t="s">
        <v>1695</v>
      </c>
      <c r="D545" t="s">
        <v>1696</v>
      </c>
      <c r="E545">
        <v>134</v>
      </c>
    </row>
    <row r="546">
      <c r="A546" t="s">
        <v>664</v>
      </c>
      <c r="B546">
        <v>130</v>
      </c>
      <c r="C546" t="s">
        <v>1697</v>
      </c>
      <c r="D546" t="s">
        <v>1698</v>
      </c>
      <c r="E546">
        <v>134</v>
      </c>
    </row>
    <row r="547">
      <c r="A547" t="s">
        <v>664</v>
      </c>
      <c r="B547">
        <v>131</v>
      </c>
      <c r="C547" t="s">
        <v>1699</v>
      </c>
      <c r="D547" t="s">
        <v>1700</v>
      </c>
      <c r="E547">
        <v>134</v>
      </c>
    </row>
    <row r="548">
      <c r="A548" t="s">
        <v>664</v>
      </c>
      <c r="B548">
        <v>132</v>
      </c>
      <c r="C548" t="s">
        <v>1701</v>
      </c>
      <c r="D548" t="s">
        <v>1702</v>
      </c>
      <c r="E548">
        <v>134</v>
      </c>
    </row>
    <row r="549">
      <c r="A549" t="s">
        <v>664</v>
      </c>
      <c r="B549">
        <v>133</v>
      </c>
      <c r="C549" t="s">
        <v>1703</v>
      </c>
      <c r="D549" t="s">
        <v>1704</v>
      </c>
      <c r="E549">
        <v>134</v>
      </c>
    </row>
    <row r="550">
      <c r="A550" t="s">
        <v>664</v>
      </c>
      <c r="B550">
        <v>134</v>
      </c>
      <c r="C550" t="s">
        <v>1705</v>
      </c>
      <c r="D550" t="s">
        <v>1706</v>
      </c>
      <c r="E550">
        <v>145</v>
      </c>
    </row>
    <row r="551">
      <c r="A551" t="s">
        <v>664</v>
      </c>
      <c r="B551">
        <v>135</v>
      </c>
      <c r="C551" t="s">
        <v>1707</v>
      </c>
      <c r="D551" t="s">
        <v>1708</v>
      </c>
      <c r="E551">
        <v>145</v>
      </c>
    </row>
    <row r="552">
      <c r="A552" t="s">
        <v>664</v>
      </c>
      <c r="B552">
        <v>136</v>
      </c>
      <c r="C552" t="s">
        <v>1709</v>
      </c>
      <c r="D552" t="s">
        <v>1710</v>
      </c>
      <c r="E552">
        <v>145</v>
      </c>
    </row>
    <row r="553">
      <c r="A553" t="s">
        <v>664</v>
      </c>
      <c r="B553">
        <v>137</v>
      </c>
      <c r="C553" t="s">
        <v>1711</v>
      </c>
      <c r="D553" t="s">
        <v>1712</v>
      </c>
      <c r="E553">
        <v>145</v>
      </c>
    </row>
    <row r="554">
      <c r="A554" t="s">
        <v>664</v>
      </c>
      <c r="B554">
        <v>138</v>
      </c>
      <c r="C554" t="s">
        <v>1713</v>
      </c>
      <c r="D554" t="s">
        <v>1714</v>
      </c>
      <c r="E554">
        <v>145</v>
      </c>
    </row>
    <row r="555">
      <c r="A555" t="s">
        <v>664</v>
      </c>
      <c r="B555">
        <v>139</v>
      </c>
      <c r="C555" t="s">
        <v>1715</v>
      </c>
      <c r="D555" t="s">
        <v>1716</v>
      </c>
      <c r="E555">
        <v>145</v>
      </c>
    </row>
    <row r="556">
      <c r="A556" t="s">
        <v>664</v>
      </c>
      <c r="B556">
        <v>140</v>
      </c>
      <c r="C556" t="s">
        <v>1717</v>
      </c>
      <c r="D556" t="s">
        <v>1718</v>
      </c>
      <c r="E556">
        <v>145</v>
      </c>
    </row>
    <row r="557">
      <c r="A557" t="s">
        <v>664</v>
      </c>
      <c r="B557">
        <v>141</v>
      </c>
      <c r="C557" t="s">
        <v>1719</v>
      </c>
      <c r="D557" t="s">
        <v>1720</v>
      </c>
      <c r="E557">
        <v>145</v>
      </c>
    </row>
    <row r="558">
      <c r="A558" t="s">
        <v>664</v>
      </c>
      <c r="B558">
        <v>142</v>
      </c>
      <c r="C558" t="s">
        <v>1721</v>
      </c>
      <c r="D558" t="s">
        <v>1722</v>
      </c>
      <c r="E558">
        <v>145</v>
      </c>
    </row>
    <row r="559">
      <c r="A559" t="s">
        <v>664</v>
      </c>
      <c r="B559">
        <v>143</v>
      </c>
      <c r="C559" t="s">
        <v>1723</v>
      </c>
      <c r="D559" t="s">
        <v>1724</v>
      </c>
      <c r="E559">
        <v>145</v>
      </c>
    </row>
    <row r="560">
      <c r="A560" t="s">
        <v>664</v>
      </c>
      <c r="B560">
        <v>144</v>
      </c>
      <c r="C560" t="s">
        <v>1725</v>
      </c>
      <c r="D560" t="s">
        <v>1726</v>
      </c>
      <c r="E560">
        <v>13</v>
      </c>
    </row>
    <row r="561">
      <c r="A561" t="s">
        <v>664</v>
      </c>
      <c r="B561">
        <v>146</v>
      </c>
      <c r="C561" t="s">
        <v>1727</v>
      </c>
      <c r="D561" t="s">
        <v>1728</v>
      </c>
      <c r="E561">
        <v>134</v>
      </c>
    </row>
    <row r="562">
      <c r="A562" t="s">
        <v>664</v>
      </c>
      <c r="B562">
        <v>147</v>
      </c>
      <c r="C562" t="s">
        <v>1729</v>
      </c>
      <c r="D562" t="s">
        <v>1730</v>
      </c>
      <c r="E562">
        <v>134</v>
      </c>
    </row>
    <row r="563">
      <c r="A563" t="s">
        <v>664</v>
      </c>
      <c r="B563">
        <v>148</v>
      </c>
      <c r="C563" t="s">
        <v>1731</v>
      </c>
      <c r="D563" t="s">
        <v>1732</v>
      </c>
      <c r="E563">
        <v>134</v>
      </c>
    </row>
    <row r="564">
      <c r="A564" t="s">
        <v>664</v>
      </c>
      <c r="B564">
        <v>149</v>
      </c>
      <c r="C564" t="s">
        <v>1733</v>
      </c>
      <c r="D564" t="s">
        <v>1734</v>
      </c>
      <c r="E564">
        <v>134</v>
      </c>
    </row>
    <row r="565">
      <c r="A565" t="s">
        <v>664</v>
      </c>
      <c r="B565">
        <v>150</v>
      </c>
      <c r="C565" t="s">
        <v>1735</v>
      </c>
      <c r="D565" t="s">
        <v>1736</v>
      </c>
      <c r="E565">
        <v>134</v>
      </c>
    </row>
    <row r="566">
      <c r="A566" t="s">
        <v>664</v>
      </c>
      <c r="B566">
        <v>151</v>
      </c>
      <c r="C566" t="s">
        <v>1737</v>
      </c>
      <c r="D566" t="s">
        <v>1738</v>
      </c>
      <c r="E566">
        <v>145</v>
      </c>
    </row>
    <row r="567">
      <c r="A567" t="s">
        <v>664</v>
      </c>
      <c r="B567">
        <v>152</v>
      </c>
      <c r="C567" t="s">
        <v>1739</v>
      </c>
      <c r="D567" t="s">
        <v>1740</v>
      </c>
      <c r="E567">
        <v>145</v>
      </c>
    </row>
    <row r="568">
      <c r="A568" t="s">
        <v>664</v>
      </c>
      <c r="B568">
        <v>153</v>
      </c>
      <c r="C568" t="s">
        <v>1741</v>
      </c>
      <c r="D568" t="s">
        <v>1742</v>
      </c>
      <c r="E568">
        <v>145</v>
      </c>
    </row>
    <row r="569">
      <c r="A569" t="s">
        <v>664</v>
      </c>
      <c r="B569">
        <v>154</v>
      </c>
      <c r="C569" t="s">
        <v>1743</v>
      </c>
      <c r="D569" t="s">
        <v>1744</v>
      </c>
      <c r="E569">
        <v>145</v>
      </c>
    </row>
    <row r="570">
      <c r="A570" t="s">
        <v>664</v>
      </c>
      <c r="B570">
        <v>155</v>
      </c>
      <c r="C570" t="s">
        <v>1745</v>
      </c>
      <c r="D570" t="s">
        <v>1746</v>
      </c>
      <c r="E570">
        <v>145</v>
      </c>
    </row>
    <row r="571">
      <c r="A571" t="s">
        <v>664</v>
      </c>
      <c r="B571">
        <v>156</v>
      </c>
      <c r="C571" t="s">
        <v>1747</v>
      </c>
      <c r="D571" t="s">
        <v>1748</v>
      </c>
      <c r="E571">
        <v>145</v>
      </c>
    </row>
    <row r="572">
      <c r="A572" t="s">
        <v>664</v>
      </c>
      <c r="B572">
        <v>157</v>
      </c>
      <c r="C572" t="s">
        <v>1749</v>
      </c>
      <c r="D572" t="s">
        <v>1750</v>
      </c>
      <c r="E572">
        <v>145</v>
      </c>
    </row>
    <row r="573">
      <c r="A573" t="s">
        <v>664</v>
      </c>
      <c r="B573">
        <v>158</v>
      </c>
      <c r="C573" t="s">
        <v>1751</v>
      </c>
      <c r="D573" t="s">
        <v>1752</v>
      </c>
      <c r="E573">
        <v>145</v>
      </c>
    </row>
    <row r="574">
      <c r="A574" t="s">
        <v>664</v>
      </c>
      <c r="B574">
        <v>159</v>
      </c>
      <c r="C574" t="s">
        <v>1753</v>
      </c>
      <c r="D574" t="s">
        <v>1754</v>
      </c>
      <c r="E574">
        <v>145</v>
      </c>
    </row>
    <row r="575">
      <c r="A575" t="s">
        <v>664</v>
      </c>
      <c r="B575">
        <v>160</v>
      </c>
      <c r="C575" t="s">
        <v>1755</v>
      </c>
      <c r="D575" t="s">
        <v>1756</v>
      </c>
      <c r="E575">
        <v>145</v>
      </c>
    </row>
    <row r="576">
      <c r="A576" t="s">
        <v>664</v>
      </c>
      <c r="B576">
        <v>161</v>
      </c>
      <c r="C576" t="s">
        <v>1757</v>
      </c>
      <c r="D576" t="s">
        <v>1758</v>
      </c>
      <c r="E576">
        <v>13</v>
      </c>
    </row>
    <row r="577">
      <c r="A577" t="s">
        <v>664</v>
      </c>
      <c r="B577">
        <v>163</v>
      </c>
      <c r="C577" t="s">
        <v>1759</v>
      </c>
      <c r="D577" t="s">
        <v>1760</v>
      </c>
      <c r="E577">
        <v>134</v>
      </c>
    </row>
    <row r="578">
      <c r="A578" t="s">
        <v>664</v>
      </c>
      <c r="B578">
        <v>164</v>
      </c>
      <c r="C578" t="s">
        <v>1761</v>
      </c>
      <c r="D578" t="s">
        <v>1762</v>
      </c>
      <c r="E578">
        <v>134</v>
      </c>
    </row>
    <row r="579">
      <c r="A579" t="s">
        <v>664</v>
      </c>
      <c r="B579">
        <v>165</v>
      </c>
      <c r="C579" t="s">
        <v>1763</v>
      </c>
      <c r="D579" t="s">
        <v>1764</v>
      </c>
      <c r="E579">
        <v>134</v>
      </c>
    </row>
    <row r="580">
      <c r="A580" t="s">
        <v>664</v>
      </c>
      <c r="B580">
        <v>166</v>
      </c>
      <c r="C580" t="s">
        <v>1765</v>
      </c>
      <c r="D580" t="s">
        <v>1766</v>
      </c>
      <c r="E580">
        <v>134</v>
      </c>
    </row>
    <row r="581">
      <c r="A581" t="s">
        <v>664</v>
      </c>
      <c r="B581">
        <v>167</v>
      </c>
      <c r="C581" t="s">
        <v>1767</v>
      </c>
      <c r="D581" t="s">
        <v>1768</v>
      </c>
      <c r="E581">
        <v>134</v>
      </c>
    </row>
    <row r="582">
      <c r="A582" t="s">
        <v>664</v>
      </c>
      <c r="B582">
        <v>168</v>
      </c>
      <c r="C582" t="s">
        <v>1769</v>
      </c>
      <c r="D582" t="s">
        <v>1770</v>
      </c>
      <c r="E582">
        <v>145</v>
      </c>
    </row>
    <row r="583">
      <c r="A583" t="s">
        <v>664</v>
      </c>
      <c r="B583">
        <v>169</v>
      </c>
      <c r="C583" t="s">
        <v>1771</v>
      </c>
      <c r="D583" t="s">
        <v>1772</v>
      </c>
      <c r="E583">
        <v>145</v>
      </c>
    </row>
    <row r="584">
      <c r="A584" t="s">
        <v>664</v>
      </c>
      <c r="B584">
        <v>170</v>
      </c>
      <c r="C584" t="s">
        <v>1773</v>
      </c>
      <c r="D584" t="s">
        <v>1774</v>
      </c>
      <c r="E584">
        <v>145</v>
      </c>
    </row>
    <row r="585">
      <c r="A585" t="s">
        <v>664</v>
      </c>
      <c r="B585">
        <v>171</v>
      </c>
      <c r="C585" t="s">
        <v>1775</v>
      </c>
      <c r="D585" t="s">
        <v>1776</v>
      </c>
      <c r="E585">
        <v>145</v>
      </c>
    </row>
    <row r="586">
      <c r="A586" t="s">
        <v>664</v>
      </c>
      <c r="B586">
        <v>172</v>
      </c>
      <c r="C586" t="s">
        <v>1777</v>
      </c>
      <c r="D586" t="s">
        <v>1778</v>
      </c>
      <c r="E586">
        <v>145</v>
      </c>
    </row>
    <row r="587">
      <c r="A587" t="s">
        <v>664</v>
      </c>
      <c r="B587">
        <v>173</v>
      </c>
      <c r="C587" t="s">
        <v>1779</v>
      </c>
      <c r="D587" t="s">
        <v>1780</v>
      </c>
      <c r="E587">
        <v>145</v>
      </c>
    </row>
    <row r="588">
      <c r="A588" t="s">
        <v>664</v>
      </c>
      <c r="B588">
        <v>174</v>
      </c>
      <c r="C588" t="s">
        <v>1781</v>
      </c>
      <c r="D588" t="s">
        <v>1782</v>
      </c>
      <c r="E588">
        <v>145</v>
      </c>
    </row>
    <row r="589">
      <c r="A589" t="s">
        <v>664</v>
      </c>
      <c r="B589">
        <v>175</v>
      </c>
      <c r="C589" t="s">
        <v>1783</v>
      </c>
      <c r="D589" t="s">
        <v>1784</v>
      </c>
      <c r="E589">
        <v>145</v>
      </c>
    </row>
    <row r="590">
      <c r="A590" t="s">
        <v>664</v>
      </c>
      <c r="B590">
        <v>176</v>
      </c>
      <c r="C590" t="s">
        <v>1785</v>
      </c>
      <c r="D590" t="s">
        <v>1786</v>
      </c>
      <c r="E590">
        <v>145</v>
      </c>
    </row>
    <row r="591">
      <c r="A591" t="s">
        <v>664</v>
      </c>
      <c r="B591">
        <v>177</v>
      </c>
      <c r="C591" t="s">
        <v>1787</v>
      </c>
      <c r="D591" t="s">
        <v>1788</v>
      </c>
      <c r="E591">
        <v>145</v>
      </c>
    </row>
    <row r="592">
      <c r="A592" t="s">
        <v>664</v>
      </c>
      <c r="B592">
        <v>178</v>
      </c>
      <c r="C592" t="s">
        <v>1789</v>
      </c>
      <c r="D592" t="s">
        <v>1790</v>
      </c>
      <c r="E592">
        <v>13</v>
      </c>
    </row>
    <row r="593">
      <c r="A593" t="s">
        <v>664</v>
      </c>
      <c r="B593">
        <v>180</v>
      </c>
      <c r="C593" t="s">
        <v>1791</v>
      </c>
      <c r="D593" t="s">
        <v>1792</v>
      </c>
      <c r="E593">
        <v>134</v>
      </c>
    </row>
    <row r="594">
      <c r="A594" t="s">
        <v>664</v>
      </c>
      <c r="B594">
        <v>181</v>
      </c>
      <c r="C594" t="s">
        <v>1793</v>
      </c>
      <c r="D594" t="s">
        <v>1794</v>
      </c>
      <c r="E594">
        <v>134</v>
      </c>
    </row>
    <row r="595">
      <c r="A595" t="s">
        <v>664</v>
      </c>
      <c r="B595">
        <v>182</v>
      </c>
      <c r="C595" t="s">
        <v>1795</v>
      </c>
      <c r="D595" t="s">
        <v>1796</v>
      </c>
      <c r="E595">
        <v>134</v>
      </c>
    </row>
    <row r="596">
      <c r="A596" t="s">
        <v>664</v>
      </c>
      <c r="B596">
        <v>183</v>
      </c>
      <c r="C596" t="s">
        <v>1797</v>
      </c>
      <c r="D596" t="s">
        <v>1798</v>
      </c>
      <c r="E596">
        <v>134</v>
      </c>
    </row>
    <row r="597">
      <c r="A597" t="s">
        <v>664</v>
      </c>
      <c r="B597">
        <v>184</v>
      </c>
      <c r="C597" t="s">
        <v>1799</v>
      </c>
      <c r="D597" t="s">
        <v>1800</v>
      </c>
      <c r="E597">
        <v>134</v>
      </c>
    </row>
    <row r="598">
      <c r="A598" t="s">
        <v>664</v>
      </c>
      <c r="B598">
        <v>185</v>
      </c>
      <c r="C598" t="s">
        <v>1801</v>
      </c>
      <c r="D598" t="s">
        <v>1802</v>
      </c>
      <c r="E598">
        <v>145</v>
      </c>
    </row>
    <row r="599">
      <c r="A599" t="s">
        <v>664</v>
      </c>
      <c r="B599">
        <v>186</v>
      </c>
      <c r="C599" t="s">
        <v>1803</v>
      </c>
      <c r="D599" t="s">
        <v>1804</v>
      </c>
      <c r="E599">
        <v>145</v>
      </c>
    </row>
    <row r="600">
      <c r="A600" t="s">
        <v>664</v>
      </c>
      <c r="B600">
        <v>187</v>
      </c>
      <c r="C600" t="s">
        <v>1805</v>
      </c>
      <c r="D600" t="s">
        <v>1806</v>
      </c>
      <c r="E600">
        <v>145</v>
      </c>
    </row>
    <row r="601">
      <c r="A601" t="s">
        <v>664</v>
      </c>
      <c r="B601">
        <v>188</v>
      </c>
      <c r="C601" t="s">
        <v>1807</v>
      </c>
      <c r="D601" t="s">
        <v>1808</v>
      </c>
      <c r="E601">
        <v>145</v>
      </c>
    </row>
    <row r="602">
      <c r="A602" t="s">
        <v>664</v>
      </c>
      <c r="B602">
        <v>189</v>
      </c>
      <c r="C602" t="s">
        <v>1809</v>
      </c>
      <c r="D602" t="s">
        <v>1810</v>
      </c>
      <c r="E602">
        <v>145</v>
      </c>
    </row>
    <row r="603">
      <c r="A603" t="s">
        <v>664</v>
      </c>
      <c r="B603">
        <v>190</v>
      </c>
      <c r="C603" t="s">
        <v>1811</v>
      </c>
      <c r="D603" t="s">
        <v>1812</v>
      </c>
      <c r="E603">
        <v>145</v>
      </c>
    </row>
    <row r="604">
      <c r="A604" t="s">
        <v>664</v>
      </c>
      <c r="B604">
        <v>191</v>
      </c>
      <c r="C604" t="s">
        <v>1813</v>
      </c>
      <c r="D604" t="s">
        <v>1814</v>
      </c>
      <c r="E604">
        <v>145</v>
      </c>
    </row>
    <row r="605">
      <c r="A605" t="s">
        <v>664</v>
      </c>
      <c r="B605">
        <v>192</v>
      </c>
      <c r="C605" t="s">
        <v>1815</v>
      </c>
      <c r="D605" t="s">
        <v>1816</v>
      </c>
      <c r="E605">
        <v>145</v>
      </c>
    </row>
    <row r="606">
      <c r="A606" t="s">
        <v>664</v>
      </c>
      <c r="B606">
        <v>193</v>
      </c>
      <c r="C606" t="s">
        <v>1817</v>
      </c>
      <c r="D606" t="s">
        <v>1818</v>
      </c>
      <c r="E606">
        <v>145</v>
      </c>
    </row>
    <row r="607">
      <c r="A607" t="s">
        <v>664</v>
      </c>
      <c r="B607">
        <v>194</v>
      </c>
      <c r="C607" t="s">
        <v>1819</v>
      </c>
      <c r="D607" t="s">
        <v>1820</v>
      </c>
      <c r="E607">
        <v>145</v>
      </c>
    </row>
    <row r="608">
      <c r="A608" t="s">
        <v>664</v>
      </c>
      <c r="B608">
        <v>195</v>
      </c>
      <c r="C608" t="s">
        <v>1821</v>
      </c>
      <c r="D608" t="s">
        <v>1822</v>
      </c>
      <c r="E608">
        <v>13</v>
      </c>
    </row>
    <row r="609">
      <c r="A609" t="s">
        <v>664</v>
      </c>
      <c r="B609">
        <v>197</v>
      </c>
      <c r="C609" t="s">
        <v>1823</v>
      </c>
      <c r="D609" t="s">
        <v>1824</v>
      </c>
      <c r="E609">
        <v>134</v>
      </c>
    </row>
    <row r="610">
      <c r="A610" t="s">
        <v>664</v>
      </c>
      <c r="B610">
        <v>198</v>
      </c>
      <c r="C610" t="s">
        <v>1825</v>
      </c>
      <c r="D610" t="s">
        <v>1826</v>
      </c>
      <c r="E610">
        <v>134</v>
      </c>
    </row>
    <row r="611">
      <c r="A611" t="s">
        <v>664</v>
      </c>
      <c r="B611">
        <v>199</v>
      </c>
      <c r="C611" t="s">
        <v>1827</v>
      </c>
      <c r="D611" t="s">
        <v>1828</v>
      </c>
      <c r="E611">
        <v>134</v>
      </c>
    </row>
    <row r="612">
      <c r="A612" t="s">
        <v>664</v>
      </c>
      <c r="B612">
        <v>200</v>
      </c>
      <c r="C612" t="s">
        <v>1829</v>
      </c>
      <c r="D612" t="s">
        <v>1830</v>
      </c>
      <c r="E612">
        <v>134</v>
      </c>
    </row>
    <row r="613">
      <c r="A613" t="s">
        <v>664</v>
      </c>
      <c r="B613">
        <v>201</v>
      </c>
      <c r="C613" t="s">
        <v>1831</v>
      </c>
      <c r="D613" t="s">
        <v>1832</v>
      </c>
      <c r="E613">
        <v>134</v>
      </c>
    </row>
    <row r="614">
      <c r="A614" t="s">
        <v>664</v>
      </c>
      <c r="B614">
        <v>202</v>
      </c>
      <c r="C614" t="s">
        <v>1833</v>
      </c>
      <c r="D614" t="s">
        <v>1834</v>
      </c>
      <c r="E614">
        <v>145</v>
      </c>
    </row>
    <row r="615">
      <c r="A615" t="s">
        <v>664</v>
      </c>
      <c r="B615">
        <v>203</v>
      </c>
      <c r="C615" t="s">
        <v>1835</v>
      </c>
      <c r="D615" t="s">
        <v>1836</v>
      </c>
      <c r="E615">
        <v>145</v>
      </c>
    </row>
    <row r="616">
      <c r="A616" t="s">
        <v>664</v>
      </c>
      <c r="B616">
        <v>204</v>
      </c>
      <c r="C616" t="s">
        <v>1837</v>
      </c>
      <c r="D616" t="s">
        <v>1838</v>
      </c>
      <c r="E616">
        <v>145</v>
      </c>
    </row>
    <row r="617">
      <c r="A617" t="s">
        <v>664</v>
      </c>
      <c r="B617">
        <v>205</v>
      </c>
      <c r="C617" t="s">
        <v>1839</v>
      </c>
      <c r="D617" t="s">
        <v>1840</v>
      </c>
      <c r="E617">
        <v>145</v>
      </c>
    </row>
    <row r="618">
      <c r="A618" t="s">
        <v>664</v>
      </c>
      <c r="B618">
        <v>206</v>
      </c>
      <c r="C618" t="s">
        <v>1841</v>
      </c>
      <c r="D618" t="s">
        <v>1842</v>
      </c>
      <c r="E618">
        <v>145</v>
      </c>
    </row>
    <row r="619">
      <c r="A619" t="s">
        <v>664</v>
      </c>
      <c r="B619">
        <v>207</v>
      </c>
      <c r="C619" t="s">
        <v>1843</v>
      </c>
      <c r="D619" t="s">
        <v>1844</v>
      </c>
      <c r="E619">
        <v>145</v>
      </c>
    </row>
    <row r="620">
      <c r="A620" t="s">
        <v>664</v>
      </c>
      <c r="B620">
        <v>208</v>
      </c>
      <c r="C620" t="s">
        <v>1845</v>
      </c>
      <c r="D620" t="s">
        <v>1846</v>
      </c>
      <c r="E620">
        <v>145</v>
      </c>
    </row>
    <row r="621">
      <c r="A621" t="s">
        <v>664</v>
      </c>
      <c r="B621">
        <v>209</v>
      </c>
      <c r="C621" t="s">
        <v>1847</v>
      </c>
      <c r="D621" t="s">
        <v>1848</v>
      </c>
      <c r="E621">
        <v>145</v>
      </c>
    </row>
    <row r="622">
      <c r="A622" t="s">
        <v>664</v>
      </c>
      <c r="B622">
        <v>210</v>
      </c>
      <c r="C622" t="s">
        <v>1849</v>
      </c>
      <c r="D622" t="s">
        <v>1850</v>
      </c>
      <c r="E622">
        <v>145</v>
      </c>
    </row>
    <row r="623">
      <c r="A623" t="s">
        <v>664</v>
      </c>
      <c r="B623">
        <v>211</v>
      </c>
      <c r="C623" t="s">
        <v>1851</v>
      </c>
      <c r="D623" t="s">
        <v>1852</v>
      </c>
      <c r="E623">
        <v>145</v>
      </c>
    </row>
    <row r="624">
      <c r="A624" t="s">
        <v>664</v>
      </c>
      <c r="B624">
        <v>212</v>
      </c>
      <c r="C624" t="s">
        <v>1853</v>
      </c>
      <c r="D624" t="s">
        <v>1854</v>
      </c>
      <c r="E624">
        <v>13</v>
      </c>
    </row>
    <row r="625">
      <c r="A625" t="s">
        <v>664</v>
      </c>
      <c r="B625">
        <v>214</v>
      </c>
      <c r="C625" t="s">
        <v>1855</v>
      </c>
      <c r="D625" t="s">
        <v>1856</v>
      </c>
      <c r="E625">
        <v>134</v>
      </c>
    </row>
    <row r="626">
      <c r="A626" t="s">
        <v>664</v>
      </c>
      <c r="B626">
        <v>215</v>
      </c>
      <c r="C626" t="s">
        <v>1857</v>
      </c>
      <c r="D626" t="s">
        <v>1858</v>
      </c>
      <c r="E626">
        <v>134</v>
      </c>
    </row>
    <row r="627">
      <c r="A627" t="s">
        <v>664</v>
      </c>
      <c r="B627">
        <v>216</v>
      </c>
      <c r="C627" t="s">
        <v>1859</v>
      </c>
      <c r="D627" t="s">
        <v>1860</v>
      </c>
      <c r="E627">
        <v>134</v>
      </c>
    </row>
    <row r="628">
      <c r="A628" t="s">
        <v>664</v>
      </c>
      <c r="B628">
        <v>217</v>
      </c>
      <c r="C628" t="s">
        <v>1861</v>
      </c>
      <c r="D628" t="s">
        <v>1862</v>
      </c>
      <c r="E628">
        <v>134</v>
      </c>
    </row>
    <row r="629">
      <c r="A629" t="s">
        <v>664</v>
      </c>
      <c r="B629">
        <v>218</v>
      </c>
      <c r="C629" t="s">
        <v>1863</v>
      </c>
      <c r="D629" t="s">
        <v>1864</v>
      </c>
      <c r="E629">
        <v>134</v>
      </c>
    </row>
    <row r="630">
      <c r="A630" t="s">
        <v>664</v>
      </c>
      <c r="B630">
        <v>219</v>
      </c>
      <c r="C630" t="s">
        <v>1865</v>
      </c>
      <c r="D630" t="s">
        <v>1866</v>
      </c>
      <c r="E630">
        <v>145</v>
      </c>
    </row>
    <row r="631">
      <c r="A631" t="s">
        <v>664</v>
      </c>
      <c r="B631">
        <v>220</v>
      </c>
      <c r="C631" t="s">
        <v>1867</v>
      </c>
      <c r="D631" t="s">
        <v>1868</v>
      </c>
      <c r="E631">
        <v>145</v>
      </c>
    </row>
    <row r="632">
      <c r="A632" t="s">
        <v>664</v>
      </c>
      <c r="B632">
        <v>221</v>
      </c>
      <c r="C632" t="s">
        <v>1869</v>
      </c>
      <c r="D632" t="s">
        <v>1870</v>
      </c>
      <c r="E632">
        <v>145</v>
      </c>
    </row>
    <row r="633">
      <c r="A633" t="s">
        <v>664</v>
      </c>
      <c r="B633">
        <v>222</v>
      </c>
      <c r="C633" t="s">
        <v>1871</v>
      </c>
      <c r="D633" t="s">
        <v>1872</v>
      </c>
      <c r="E633">
        <v>145</v>
      </c>
    </row>
    <row r="634">
      <c r="A634" t="s">
        <v>664</v>
      </c>
      <c r="B634">
        <v>223</v>
      </c>
      <c r="C634" t="s">
        <v>1873</v>
      </c>
      <c r="D634" t="s">
        <v>1874</v>
      </c>
      <c r="E634">
        <v>145</v>
      </c>
    </row>
    <row r="635">
      <c r="A635" t="s">
        <v>664</v>
      </c>
      <c r="B635">
        <v>224</v>
      </c>
      <c r="C635" t="s">
        <v>1875</v>
      </c>
      <c r="D635" t="s">
        <v>1876</v>
      </c>
      <c r="E635">
        <v>145</v>
      </c>
    </row>
    <row r="636">
      <c r="A636" t="s">
        <v>664</v>
      </c>
      <c r="B636">
        <v>225</v>
      </c>
      <c r="C636" t="s">
        <v>1877</v>
      </c>
      <c r="D636" t="s">
        <v>1878</v>
      </c>
      <c r="E636">
        <v>145</v>
      </c>
    </row>
    <row r="637">
      <c r="A637" t="s">
        <v>664</v>
      </c>
      <c r="B637">
        <v>226</v>
      </c>
      <c r="C637" t="s">
        <v>1879</v>
      </c>
      <c r="D637" t="s">
        <v>1880</v>
      </c>
      <c r="E637">
        <v>145</v>
      </c>
    </row>
    <row r="638">
      <c r="A638" t="s">
        <v>664</v>
      </c>
      <c r="B638">
        <v>227</v>
      </c>
      <c r="C638" t="s">
        <v>1881</v>
      </c>
      <c r="D638" t="s">
        <v>1882</v>
      </c>
      <c r="E638">
        <v>145</v>
      </c>
    </row>
    <row r="639">
      <c r="A639" t="s">
        <v>664</v>
      </c>
      <c r="B639">
        <v>228</v>
      </c>
      <c r="C639" t="s">
        <v>1883</v>
      </c>
      <c r="D639" t="s">
        <v>1884</v>
      </c>
      <c r="E639">
        <v>145</v>
      </c>
    </row>
    <row r="640">
      <c r="A640" t="s">
        <v>664</v>
      </c>
      <c r="B640">
        <v>229</v>
      </c>
      <c r="C640" t="s">
        <v>1885</v>
      </c>
      <c r="D640" t="s">
        <v>1886</v>
      </c>
      <c r="E640">
        <v>13</v>
      </c>
    </row>
    <row r="641">
      <c r="A641" t="s">
        <v>664</v>
      </c>
      <c r="B641">
        <v>231</v>
      </c>
      <c r="C641" t="s">
        <v>1887</v>
      </c>
      <c r="D641" t="s">
        <v>1888</v>
      </c>
      <c r="E641">
        <v>134</v>
      </c>
    </row>
    <row r="642">
      <c r="A642" t="s">
        <v>664</v>
      </c>
      <c r="B642">
        <v>232</v>
      </c>
      <c r="C642" t="s">
        <v>1889</v>
      </c>
      <c r="D642" t="s">
        <v>1890</v>
      </c>
      <c r="E642">
        <v>134</v>
      </c>
    </row>
    <row r="643">
      <c r="A643" t="s">
        <v>664</v>
      </c>
      <c r="B643">
        <v>233</v>
      </c>
      <c r="C643" t="s">
        <v>1891</v>
      </c>
      <c r="D643" t="s">
        <v>1892</v>
      </c>
      <c r="E643">
        <v>134</v>
      </c>
    </row>
    <row r="644">
      <c r="A644" t="s">
        <v>664</v>
      </c>
      <c r="B644">
        <v>234</v>
      </c>
      <c r="C644" t="s">
        <v>1893</v>
      </c>
      <c r="D644" t="s">
        <v>1894</v>
      </c>
      <c r="E644">
        <v>134</v>
      </c>
    </row>
    <row r="645">
      <c r="A645" t="s">
        <v>664</v>
      </c>
      <c r="B645">
        <v>235</v>
      </c>
      <c r="C645" t="s">
        <v>1895</v>
      </c>
      <c r="D645" t="s">
        <v>1896</v>
      </c>
      <c r="E645">
        <v>134</v>
      </c>
    </row>
    <row r="646">
      <c r="A646" t="s">
        <v>664</v>
      </c>
      <c r="B646">
        <v>236</v>
      </c>
      <c r="C646" t="s">
        <v>1897</v>
      </c>
      <c r="D646" t="s">
        <v>1898</v>
      </c>
      <c r="E646">
        <v>145</v>
      </c>
    </row>
    <row r="647">
      <c r="A647" t="s">
        <v>664</v>
      </c>
      <c r="B647">
        <v>237</v>
      </c>
      <c r="C647" t="s">
        <v>1899</v>
      </c>
      <c r="D647" t="s">
        <v>1900</v>
      </c>
      <c r="E647">
        <v>145</v>
      </c>
    </row>
    <row r="648">
      <c r="A648" t="s">
        <v>664</v>
      </c>
      <c r="B648">
        <v>238</v>
      </c>
      <c r="C648" t="s">
        <v>1901</v>
      </c>
      <c r="D648" t="s">
        <v>1902</v>
      </c>
      <c r="E648">
        <v>145</v>
      </c>
    </row>
    <row r="649">
      <c r="A649" t="s">
        <v>664</v>
      </c>
      <c r="B649">
        <v>239</v>
      </c>
      <c r="C649" t="s">
        <v>1903</v>
      </c>
      <c r="D649" t="s">
        <v>1904</v>
      </c>
      <c r="E649">
        <v>145</v>
      </c>
    </row>
    <row r="650">
      <c r="A650" t="s">
        <v>664</v>
      </c>
      <c r="B650">
        <v>240</v>
      </c>
      <c r="C650" t="s">
        <v>1905</v>
      </c>
      <c r="D650" t="s">
        <v>1906</v>
      </c>
      <c r="E650">
        <v>145</v>
      </c>
    </row>
    <row r="651">
      <c r="A651" t="s">
        <v>664</v>
      </c>
      <c r="B651">
        <v>241</v>
      </c>
      <c r="C651" t="s">
        <v>1907</v>
      </c>
      <c r="D651" t="s">
        <v>1908</v>
      </c>
      <c r="E651">
        <v>145</v>
      </c>
    </row>
    <row r="652">
      <c r="A652" t="s">
        <v>664</v>
      </c>
      <c r="B652">
        <v>242</v>
      </c>
      <c r="C652" t="s">
        <v>1909</v>
      </c>
      <c r="D652" t="s">
        <v>1910</v>
      </c>
      <c r="E652">
        <v>145</v>
      </c>
    </row>
    <row r="653">
      <c r="A653" t="s">
        <v>664</v>
      </c>
      <c r="B653">
        <v>243</v>
      </c>
      <c r="C653" t="s">
        <v>1911</v>
      </c>
      <c r="D653" t="s">
        <v>1912</v>
      </c>
      <c r="E653">
        <v>145</v>
      </c>
    </row>
    <row r="654">
      <c r="A654" t="s">
        <v>664</v>
      </c>
      <c r="B654">
        <v>244</v>
      </c>
      <c r="C654" t="s">
        <v>1913</v>
      </c>
      <c r="D654" t="s">
        <v>1914</v>
      </c>
      <c r="E654">
        <v>145</v>
      </c>
    </row>
    <row r="655">
      <c r="A655" t="s">
        <v>664</v>
      </c>
      <c r="B655">
        <v>245</v>
      </c>
      <c r="C655" t="s">
        <v>1915</v>
      </c>
      <c r="D655" t="s">
        <v>1916</v>
      </c>
      <c r="E655">
        <v>145</v>
      </c>
    </row>
    <row r="656">
      <c r="A656" t="s">
        <v>664</v>
      </c>
      <c r="B656">
        <v>246</v>
      </c>
      <c r="C656" t="s">
        <v>1917</v>
      </c>
      <c r="D656" t="s">
        <v>1918</v>
      </c>
      <c r="E656">
        <v>13</v>
      </c>
    </row>
    <row r="657">
      <c r="A657" t="s">
        <v>664</v>
      </c>
      <c r="B657">
        <v>248</v>
      </c>
      <c r="C657" t="s">
        <v>1919</v>
      </c>
      <c r="D657" t="s">
        <v>1920</v>
      </c>
      <c r="E657">
        <v>134</v>
      </c>
    </row>
    <row r="658">
      <c r="A658" t="s">
        <v>664</v>
      </c>
      <c r="B658">
        <v>249</v>
      </c>
      <c r="C658" t="s">
        <v>1921</v>
      </c>
      <c r="D658" t="s">
        <v>1922</v>
      </c>
      <c r="E658">
        <v>134</v>
      </c>
    </row>
    <row r="659">
      <c r="A659" t="s">
        <v>664</v>
      </c>
      <c r="B659">
        <v>250</v>
      </c>
      <c r="C659" t="s">
        <v>1923</v>
      </c>
      <c r="D659" t="s">
        <v>1924</v>
      </c>
      <c r="E659">
        <v>134</v>
      </c>
    </row>
    <row r="660">
      <c r="A660" t="s">
        <v>664</v>
      </c>
      <c r="B660">
        <v>251</v>
      </c>
      <c r="C660" t="s">
        <v>1925</v>
      </c>
      <c r="D660" t="s">
        <v>1926</v>
      </c>
      <c r="E660">
        <v>134</v>
      </c>
    </row>
    <row r="661">
      <c r="A661" t="s">
        <v>664</v>
      </c>
      <c r="B661">
        <v>252</v>
      </c>
      <c r="C661" t="s">
        <v>1927</v>
      </c>
      <c r="D661" t="s">
        <v>1928</v>
      </c>
      <c r="E661">
        <v>134</v>
      </c>
    </row>
    <row r="662">
      <c r="A662" t="s">
        <v>664</v>
      </c>
      <c r="B662">
        <v>253</v>
      </c>
      <c r="C662" t="s">
        <v>1929</v>
      </c>
      <c r="D662" t="s">
        <v>1930</v>
      </c>
      <c r="E662">
        <v>145</v>
      </c>
    </row>
    <row r="663">
      <c r="A663" t="s">
        <v>664</v>
      </c>
      <c r="B663">
        <v>254</v>
      </c>
      <c r="C663" t="s">
        <v>1931</v>
      </c>
      <c r="D663" t="s">
        <v>1932</v>
      </c>
      <c r="E663">
        <v>145</v>
      </c>
    </row>
    <row r="664">
      <c r="A664" t="s">
        <v>664</v>
      </c>
      <c r="B664">
        <v>255</v>
      </c>
      <c r="C664" t="s">
        <v>1933</v>
      </c>
      <c r="D664" t="s">
        <v>1934</v>
      </c>
      <c r="E664">
        <v>145</v>
      </c>
    </row>
    <row r="665">
      <c r="A665" t="s">
        <v>664</v>
      </c>
      <c r="B665">
        <v>256</v>
      </c>
      <c r="C665" t="s">
        <v>1935</v>
      </c>
      <c r="D665" t="s">
        <v>1936</v>
      </c>
      <c r="E665">
        <v>145</v>
      </c>
    </row>
    <row r="666">
      <c r="A666" t="s">
        <v>664</v>
      </c>
      <c r="B666">
        <v>257</v>
      </c>
      <c r="C666" t="s">
        <v>1937</v>
      </c>
      <c r="D666" t="s">
        <v>1938</v>
      </c>
      <c r="E666">
        <v>145</v>
      </c>
    </row>
    <row r="667">
      <c r="A667" t="s">
        <v>664</v>
      </c>
      <c r="B667">
        <v>258</v>
      </c>
      <c r="C667" t="s">
        <v>1939</v>
      </c>
      <c r="D667" t="s">
        <v>1940</v>
      </c>
      <c r="E667">
        <v>145</v>
      </c>
    </row>
    <row r="668">
      <c r="A668" t="s">
        <v>664</v>
      </c>
      <c r="B668">
        <v>259</v>
      </c>
      <c r="C668" t="s">
        <v>1941</v>
      </c>
      <c r="D668" t="s">
        <v>1942</v>
      </c>
      <c r="E668">
        <v>145</v>
      </c>
    </row>
    <row r="669">
      <c r="A669" t="s">
        <v>664</v>
      </c>
      <c r="B669">
        <v>260</v>
      </c>
      <c r="C669" t="s">
        <v>1943</v>
      </c>
      <c r="D669" t="s">
        <v>1944</v>
      </c>
      <c r="E669">
        <v>145</v>
      </c>
    </row>
    <row r="670">
      <c r="A670" t="s">
        <v>664</v>
      </c>
      <c r="B670">
        <v>261</v>
      </c>
      <c r="C670" t="s">
        <v>1945</v>
      </c>
      <c r="D670" t="s">
        <v>1946</v>
      </c>
      <c r="E670">
        <v>145</v>
      </c>
    </row>
    <row r="671">
      <c r="A671" t="s">
        <v>664</v>
      </c>
      <c r="B671">
        <v>262</v>
      </c>
      <c r="C671" t="s">
        <v>1947</v>
      </c>
      <c r="D671" t="s">
        <v>1948</v>
      </c>
      <c r="E671">
        <v>145</v>
      </c>
    </row>
    <row r="672">
      <c r="A672" t="s">
        <v>664</v>
      </c>
      <c r="B672">
        <v>263</v>
      </c>
      <c r="C672" t="s">
        <v>1949</v>
      </c>
      <c r="D672" t="s">
        <v>1950</v>
      </c>
      <c r="E672">
        <v>13</v>
      </c>
    </row>
    <row r="673">
      <c r="A673" t="s">
        <v>664</v>
      </c>
      <c r="B673">
        <v>265</v>
      </c>
      <c r="C673" t="s">
        <v>1951</v>
      </c>
      <c r="D673" t="s">
        <v>1952</v>
      </c>
      <c r="E673">
        <v>134</v>
      </c>
    </row>
    <row r="674">
      <c r="A674" t="s">
        <v>664</v>
      </c>
      <c r="B674">
        <v>266</v>
      </c>
      <c r="C674" t="s">
        <v>1953</v>
      </c>
      <c r="D674" t="s">
        <v>1954</v>
      </c>
      <c r="E674">
        <v>134</v>
      </c>
    </row>
    <row r="675">
      <c r="A675" t="s">
        <v>664</v>
      </c>
      <c r="B675">
        <v>267</v>
      </c>
      <c r="C675" t="s">
        <v>1955</v>
      </c>
      <c r="D675" t="s">
        <v>1956</v>
      </c>
      <c r="E675">
        <v>134</v>
      </c>
    </row>
    <row r="676">
      <c r="A676" t="s">
        <v>664</v>
      </c>
      <c r="B676">
        <v>268</v>
      </c>
      <c r="C676" t="s">
        <v>1957</v>
      </c>
      <c r="D676" t="s">
        <v>1958</v>
      </c>
      <c r="E676">
        <v>134</v>
      </c>
    </row>
    <row r="677">
      <c r="A677" t="s">
        <v>664</v>
      </c>
      <c r="B677">
        <v>269</v>
      </c>
      <c r="C677" t="s">
        <v>1959</v>
      </c>
      <c r="D677" t="s">
        <v>1960</v>
      </c>
      <c r="E677">
        <v>134</v>
      </c>
    </row>
    <row r="678">
      <c r="A678" t="s">
        <v>664</v>
      </c>
      <c r="B678">
        <v>270</v>
      </c>
      <c r="C678" t="s">
        <v>1961</v>
      </c>
      <c r="D678" t="s">
        <v>1962</v>
      </c>
      <c r="E678">
        <v>145</v>
      </c>
    </row>
    <row r="679">
      <c r="A679" t="s">
        <v>664</v>
      </c>
      <c r="B679">
        <v>271</v>
      </c>
      <c r="C679" t="s">
        <v>1963</v>
      </c>
      <c r="D679" t="s">
        <v>1964</v>
      </c>
      <c r="E679">
        <v>145</v>
      </c>
    </row>
    <row r="680">
      <c r="A680" t="s">
        <v>664</v>
      </c>
      <c r="B680">
        <v>272</v>
      </c>
      <c r="C680" t="s">
        <v>1965</v>
      </c>
      <c r="D680" t="s">
        <v>1966</v>
      </c>
      <c r="E680">
        <v>145</v>
      </c>
    </row>
    <row r="681">
      <c r="A681" t="s">
        <v>664</v>
      </c>
      <c r="B681">
        <v>273</v>
      </c>
      <c r="C681" t="s">
        <v>1967</v>
      </c>
      <c r="D681" t="s">
        <v>1968</v>
      </c>
      <c r="E681">
        <v>145</v>
      </c>
    </row>
    <row r="682">
      <c r="A682" t="s">
        <v>664</v>
      </c>
      <c r="B682">
        <v>274</v>
      </c>
      <c r="C682" t="s">
        <v>1969</v>
      </c>
      <c r="D682" t="s">
        <v>1970</v>
      </c>
      <c r="E682">
        <v>145</v>
      </c>
    </row>
    <row r="683">
      <c r="A683" t="s">
        <v>664</v>
      </c>
      <c r="B683">
        <v>275</v>
      </c>
      <c r="C683" t="s">
        <v>1971</v>
      </c>
      <c r="D683" t="s">
        <v>1972</v>
      </c>
      <c r="E683">
        <v>145</v>
      </c>
    </row>
    <row r="684">
      <c r="A684" t="s">
        <v>664</v>
      </c>
      <c r="B684">
        <v>276</v>
      </c>
      <c r="C684" t="s">
        <v>1973</v>
      </c>
      <c r="D684" t="s">
        <v>1974</v>
      </c>
      <c r="E684">
        <v>145</v>
      </c>
    </row>
    <row r="685">
      <c r="A685" t="s">
        <v>664</v>
      </c>
      <c r="B685">
        <v>277</v>
      </c>
      <c r="C685" t="s">
        <v>1975</v>
      </c>
      <c r="D685" t="s">
        <v>1976</v>
      </c>
      <c r="E685">
        <v>145</v>
      </c>
    </row>
    <row r="686">
      <c r="A686" t="s">
        <v>664</v>
      </c>
      <c r="B686">
        <v>278</v>
      </c>
      <c r="C686" t="s">
        <v>1977</v>
      </c>
      <c r="D686" t="s">
        <v>1978</v>
      </c>
      <c r="E686">
        <v>145</v>
      </c>
    </row>
    <row r="687">
      <c r="A687" t="s">
        <v>664</v>
      </c>
      <c r="B687">
        <v>279</v>
      </c>
      <c r="C687" t="s">
        <v>1979</v>
      </c>
      <c r="D687" t="s">
        <v>1980</v>
      </c>
      <c r="E687">
        <v>145</v>
      </c>
    </row>
    <row r="688">
      <c r="A688" t="s">
        <v>664</v>
      </c>
      <c r="B688">
        <v>280</v>
      </c>
      <c r="C688" t="s">
        <v>1981</v>
      </c>
      <c r="D688" t="s">
        <v>1982</v>
      </c>
      <c r="E688">
        <v>13</v>
      </c>
    </row>
    <row r="689">
      <c r="A689" t="s">
        <v>664</v>
      </c>
      <c r="B689">
        <v>282</v>
      </c>
      <c r="C689" t="s">
        <v>1983</v>
      </c>
      <c r="D689" t="s">
        <v>1984</v>
      </c>
      <c r="E689">
        <v>134</v>
      </c>
    </row>
    <row r="690">
      <c r="A690" t="s">
        <v>664</v>
      </c>
      <c r="B690">
        <v>283</v>
      </c>
      <c r="C690" t="s">
        <v>1985</v>
      </c>
      <c r="D690" t="s">
        <v>1986</v>
      </c>
      <c r="E690">
        <v>134</v>
      </c>
    </row>
    <row r="691">
      <c r="A691" t="s">
        <v>664</v>
      </c>
      <c r="B691">
        <v>284</v>
      </c>
      <c r="C691" t="s">
        <v>1987</v>
      </c>
      <c r="D691" t="s">
        <v>1988</v>
      </c>
      <c r="E691">
        <v>134</v>
      </c>
    </row>
    <row r="692">
      <c r="A692" t="s">
        <v>664</v>
      </c>
      <c r="B692">
        <v>285</v>
      </c>
      <c r="C692" t="s">
        <v>1989</v>
      </c>
      <c r="D692" t="s">
        <v>1990</v>
      </c>
      <c r="E692">
        <v>134</v>
      </c>
    </row>
    <row r="693">
      <c r="A693" t="s">
        <v>664</v>
      </c>
      <c r="B693">
        <v>286</v>
      </c>
      <c r="C693" t="s">
        <v>1991</v>
      </c>
      <c r="D693" t="s">
        <v>1992</v>
      </c>
      <c r="E693">
        <v>134</v>
      </c>
    </row>
    <row r="694">
      <c r="A694" t="s">
        <v>664</v>
      </c>
      <c r="B694">
        <v>287</v>
      </c>
      <c r="C694" t="s">
        <v>1993</v>
      </c>
      <c r="D694" t="s">
        <v>1994</v>
      </c>
      <c r="E694">
        <v>145</v>
      </c>
    </row>
    <row r="695">
      <c r="A695" t="s">
        <v>664</v>
      </c>
      <c r="B695">
        <v>288</v>
      </c>
      <c r="C695" t="s">
        <v>1995</v>
      </c>
      <c r="D695" t="s">
        <v>1996</v>
      </c>
      <c r="E695">
        <v>145</v>
      </c>
    </row>
    <row r="696">
      <c r="A696" t="s">
        <v>664</v>
      </c>
      <c r="B696">
        <v>289</v>
      </c>
      <c r="C696" t="s">
        <v>1997</v>
      </c>
      <c r="D696" t="s">
        <v>1998</v>
      </c>
      <c r="E696">
        <v>145</v>
      </c>
    </row>
    <row r="697">
      <c r="A697" t="s">
        <v>664</v>
      </c>
      <c r="B697">
        <v>290</v>
      </c>
      <c r="C697" t="s">
        <v>1999</v>
      </c>
      <c r="D697" t="s">
        <v>2000</v>
      </c>
      <c r="E697">
        <v>145</v>
      </c>
    </row>
    <row r="698">
      <c r="A698" t="s">
        <v>664</v>
      </c>
      <c r="B698">
        <v>291</v>
      </c>
      <c r="C698" t="s">
        <v>2001</v>
      </c>
      <c r="D698" t="s">
        <v>2002</v>
      </c>
      <c r="E698">
        <v>145</v>
      </c>
    </row>
    <row r="699">
      <c r="A699" t="s">
        <v>664</v>
      </c>
      <c r="B699">
        <v>292</v>
      </c>
      <c r="C699" t="s">
        <v>2003</v>
      </c>
      <c r="D699" t="s">
        <v>2004</v>
      </c>
      <c r="E699">
        <v>145</v>
      </c>
    </row>
    <row r="700">
      <c r="A700" t="s">
        <v>664</v>
      </c>
      <c r="B700">
        <v>293</v>
      </c>
      <c r="C700" t="s">
        <v>2005</v>
      </c>
      <c r="D700" t="s">
        <v>2006</v>
      </c>
      <c r="E700">
        <v>145</v>
      </c>
    </row>
    <row r="701">
      <c r="A701" t="s">
        <v>664</v>
      </c>
      <c r="B701">
        <v>294</v>
      </c>
      <c r="C701" t="s">
        <v>2007</v>
      </c>
      <c r="D701" t="s">
        <v>2008</v>
      </c>
      <c r="E701">
        <v>145</v>
      </c>
    </row>
    <row r="702">
      <c r="A702" t="s">
        <v>664</v>
      </c>
      <c r="B702">
        <v>295</v>
      </c>
      <c r="C702" t="s">
        <v>2009</v>
      </c>
      <c r="D702" t="s">
        <v>2010</v>
      </c>
      <c r="E702">
        <v>145</v>
      </c>
    </row>
    <row r="703">
      <c r="A703" t="s">
        <v>664</v>
      </c>
      <c r="B703">
        <v>296</v>
      </c>
      <c r="C703" t="s">
        <v>2011</v>
      </c>
      <c r="D703" t="s">
        <v>2012</v>
      </c>
      <c r="E703">
        <v>145</v>
      </c>
    </row>
    <row r="704">
      <c r="A704" t="s">
        <v>664</v>
      </c>
      <c r="B704">
        <v>297</v>
      </c>
      <c r="C704" t="s">
        <v>2013</v>
      </c>
      <c r="D704" t="s">
        <v>2014</v>
      </c>
      <c r="E704">
        <v>13</v>
      </c>
    </row>
    <row r="705">
      <c r="A705" t="s">
        <v>664</v>
      </c>
      <c r="B705">
        <v>299</v>
      </c>
      <c r="C705" t="s">
        <v>2015</v>
      </c>
      <c r="D705" t="s">
        <v>2016</v>
      </c>
      <c r="E705">
        <v>134</v>
      </c>
    </row>
    <row r="706">
      <c r="A706" t="s">
        <v>664</v>
      </c>
      <c r="B706">
        <v>300</v>
      </c>
      <c r="C706" t="s">
        <v>2017</v>
      </c>
      <c r="D706" t="s">
        <v>2018</v>
      </c>
      <c r="E706">
        <v>134</v>
      </c>
    </row>
    <row r="707">
      <c r="A707" t="s">
        <v>664</v>
      </c>
      <c r="B707">
        <v>301</v>
      </c>
      <c r="C707" t="s">
        <v>2019</v>
      </c>
      <c r="D707" t="s">
        <v>2020</v>
      </c>
      <c r="E707">
        <v>134</v>
      </c>
    </row>
    <row r="708">
      <c r="A708" t="s">
        <v>664</v>
      </c>
      <c r="B708">
        <v>302</v>
      </c>
      <c r="C708" t="s">
        <v>2021</v>
      </c>
      <c r="D708" t="s">
        <v>2022</v>
      </c>
      <c r="E708">
        <v>134</v>
      </c>
    </row>
    <row r="709">
      <c r="A709" t="s">
        <v>664</v>
      </c>
      <c r="B709">
        <v>303</v>
      </c>
      <c r="C709" t="s">
        <v>2023</v>
      </c>
      <c r="D709" t="s">
        <v>2024</v>
      </c>
      <c r="E709">
        <v>134</v>
      </c>
    </row>
    <row r="710">
      <c r="A710" t="s">
        <v>664</v>
      </c>
      <c r="B710">
        <v>304</v>
      </c>
      <c r="C710" t="s">
        <v>2025</v>
      </c>
      <c r="D710" t="s">
        <v>2026</v>
      </c>
      <c r="E710">
        <v>145</v>
      </c>
    </row>
    <row r="711">
      <c r="A711" t="s">
        <v>664</v>
      </c>
      <c r="B711">
        <v>305</v>
      </c>
      <c r="C711" t="s">
        <v>2027</v>
      </c>
      <c r="D711" t="s">
        <v>2028</v>
      </c>
      <c r="E711">
        <v>145</v>
      </c>
    </row>
    <row r="712">
      <c r="A712" t="s">
        <v>664</v>
      </c>
      <c r="B712">
        <v>306</v>
      </c>
      <c r="C712" t="s">
        <v>2029</v>
      </c>
      <c r="D712" t="s">
        <v>2030</v>
      </c>
      <c r="E712">
        <v>145</v>
      </c>
    </row>
    <row r="713">
      <c r="A713" t="s">
        <v>664</v>
      </c>
      <c r="B713">
        <v>307</v>
      </c>
      <c r="C713" t="s">
        <v>2031</v>
      </c>
      <c r="D713" t="s">
        <v>2032</v>
      </c>
      <c r="E713">
        <v>145</v>
      </c>
    </row>
    <row r="714">
      <c r="A714" t="s">
        <v>664</v>
      </c>
      <c r="B714">
        <v>308</v>
      </c>
      <c r="C714" t="s">
        <v>2033</v>
      </c>
      <c r="D714" t="s">
        <v>2034</v>
      </c>
      <c r="E714">
        <v>145</v>
      </c>
    </row>
    <row r="715">
      <c r="A715" t="s">
        <v>664</v>
      </c>
      <c r="B715">
        <v>309</v>
      </c>
      <c r="C715" t="s">
        <v>2035</v>
      </c>
      <c r="D715" t="s">
        <v>2036</v>
      </c>
      <c r="E715">
        <v>145</v>
      </c>
    </row>
    <row r="716">
      <c r="A716" t="s">
        <v>664</v>
      </c>
      <c r="B716">
        <v>310</v>
      </c>
      <c r="C716" t="s">
        <v>2037</v>
      </c>
      <c r="D716" t="s">
        <v>2038</v>
      </c>
      <c r="E716">
        <v>145</v>
      </c>
    </row>
    <row r="717">
      <c r="A717" t="s">
        <v>664</v>
      </c>
      <c r="B717">
        <v>311</v>
      </c>
      <c r="C717" t="s">
        <v>2039</v>
      </c>
      <c r="D717" t="s">
        <v>2040</v>
      </c>
      <c r="E717">
        <v>145</v>
      </c>
    </row>
    <row r="718">
      <c r="A718" t="s">
        <v>664</v>
      </c>
      <c r="B718">
        <v>312</v>
      </c>
      <c r="C718" t="s">
        <v>2041</v>
      </c>
      <c r="D718" t="s">
        <v>2042</v>
      </c>
      <c r="E718">
        <v>145</v>
      </c>
    </row>
    <row r="719">
      <c r="A719" t="s">
        <v>664</v>
      </c>
      <c r="B719">
        <v>313</v>
      </c>
      <c r="C719" t="s">
        <v>2043</v>
      </c>
      <c r="D719" t="s">
        <v>2044</v>
      </c>
      <c r="E719">
        <v>145</v>
      </c>
    </row>
    <row r="720">
      <c r="A720" t="s">
        <v>664</v>
      </c>
      <c r="B720">
        <v>314</v>
      </c>
      <c r="C720" t="s">
        <v>2045</v>
      </c>
      <c r="D720" t="s">
        <v>2046</v>
      </c>
      <c r="E720">
        <v>13</v>
      </c>
    </row>
    <row r="721">
      <c r="A721" t="s">
        <v>664</v>
      </c>
      <c r="B721">
        <v>316</v>
      </c>
      <c r="C721" t="s">
        <v>2047</v>
      </c>
      <c r="D721" t="s">
        <v>2048</v>
      </c>
      <c r="E721">
        <v>134</v>
      </c>
    </row>
    <row r="722">
      <c r="A722" t="s">
        <v>664</v>
      </c>
      <c r="B722">
        <v>317</v>
      </c>
      <c r="C722" t="s">
        <v>2049</v>
      </c>
      <c r="D722" t="s">
        <v>2050</v>
      </c>
      <c r="E722">
        <v>134</v>
      </c>
    </row>
    <row r="723">
      <c r="A723" t="s">
        <v>664</v>
      </c>
      <c r="B723">
        <v>318</v>
      </c>
      <c r="C723" t="s">
        <v>2051</v>
      </c>
      <c r="D723" t="s">
        <v>2052</v>
      </c>
      <c r="E723">
        <v>134</v>
      </c>
    </row>
    <row r="724">
      <c r="A724" t="s">
        <v>664</v>
      </c>
      <c r="B724">
        <v>319</v>
      </c>
      <c r="C724" t="s">
        <v>2053</v>
      </c>
      <c r="D724" t="s">
        <v>2054</v>
      </c>
      <c r="E724">
        <v>134</v>
      </c>
    </row>
    <row r="725">
      <c r="A725" t="s">
        <v>664</v>
      </c>
      <c r="B725">
        <v>320</v>
      </c>
      <c r="C725" t="s">
        <v>2055</v>
      </c>
      <c r="D725" t="s">
        <v>2056</v>
      </c>
      <c r="E725">
        <v>134</v>
      </c>
    </row>
    <row r="726">
      <c r="A726" t="s">
        <v>664</v>
      </c>
      <c r="B726">
        <v>321</v>
      </c>
      <c r="C726" t="s">
        <v>2057</v>
      </c>
      <c r="D726" t="s">
        <v>2058</v>
      </c>
      <c r="E726">
        <v>145</v>
      </c>
    </row>
    <row r="727">
      <c r="A727" t="s">
        <v>664</v>
      </c>
      <c r="B727">
        <v>322</v>
      </c>
      <c r="C727" t="s">
        <v>2059</v>
      </c>
      <c r="D727" t="s">
        <v>2060</v>
      </c>
      <c r="E727">
        <v>145</v>
      </c>
    </row>
    <row r="728">
      <c r="A728" t="s">
        <v>664</v>
      </c>
      <c r="B728">
        <v>323</v>
      </c>
      <c r="C728" t="s">
        <v>2061</v>
      </c>
      <c r="D728" t="s">
        <v>2062</v>
      </c>
      <c r="E728">
        <v>145</v>
      </c>
    </row>
    <row r="729">
      <c r="A729" t="s">
        <v>664</v>
      </c>
      <c r="B729">
        <v>324</v>
      </c>
      <c r="C729" t="s">
        <v>2063</v>
      </c>
      <c r="D729" t="s">
        <v>2064</v>
      </c>
      <c r="E729">
        <v>145</v>
      </c>
    </row>
    <row r="730">
      <c r="A730" t="s">
        <v>664</v>
      </c>
      <c r="B730">
        <v>325</v>
      </c>
      <c r="C730" t="s">
        <v>2065</v>
      </c>
      <c r="D730" t="s">
        <v>2066</v>
      </c>
      <c r="E730">
        <v>145</v>
      </c>
    </row>
    <row r="731">
      <c r="A731" t="s">
        <v>664</v>
      </c>
      <c r="B731">
        <v>326</v>
      </c>
      <c r="C731" t="s">
        <v>2067</v>
      </c>
      <c r="D731" t="s">
        <v>2068</v>
      </c>
      <c r="E731">
        <v>145</v>
      </c>
    </row>
    <row r="732">
      <c r="A732" t="s">
        <v>664</v>
      </c>
      <c r="B732">
        <v>327</v>
      </c>
      <c r="C732" t="s">
        <v>2069</v>
      </c>
      <c r="D732" t="s">
        <v>2070</v>
      </c>
      <c r="E732">
        <v>145</v>
      </c>
    </row>
    <row r="733">
      <c r="A733" t="s">
        <v>664</v>
      </c>
      <c r="B733">
        <v>328</v>
      </c>
      <c r="C733" t="s">
        <v>2071</v>
      </c>
      <c r="D733" t="s">
        <v>2072</v>
      </c>
      <c r="E733">
        <v>145</v>
      </c>
    </row>
    <row r="734">
      <c r="A734" t="s">
        <v>664</v>
      </c>
      <c r="B734">
        <v>329</v>
      </c>
      <c r="C734" t="s">
        <v>2073</v>
      </c>
      <c r="D734" t="s">
        <v>2074</v>
      </c>
      <c r="E734">
        <v>145</v>
      </c>
    </row>
    <row r="735">
      <c r="A735" t="s">
        <v>664</v>
      </c>
      <c r="B735">
        <v>330</v>
      </c>
      <c r="C735" t="s">
        <v>2075</v>
      </c>
      <c r="D735" t="s">
        <v>2076</v>
      </c>
      <c r="E735">
        <v>145</v>
      </c>
    </row>
    <row r="736">
      <c r="A736" t="s">
        <v>664</v>
      </c>
      <c r="B736">
        <v>331</v>
      </c>
      <c r="C736" t="s">
        <v>2077</v>
      </c>
      <c r="D736" t="s">
        <v>2078</v>
      </c>
      <c r="E736">
        <v>13</v>
      </c>
    </row>
    <row r="737">
      <c r="A737" t="s">
        <v>664</v>
      </c>
      <c r="B737">
        <v>333</v>
      </c>
      <c r="C737" t="s">
        <v>2079</v>
      </c>
      <c r="D737" t="s">
        <v>2080</v>
      </c>
      <c r="E737">
        <v>134</v>
      </c>
    </row>
    <row r="738">
      <c r="A738" t="s">
        <v>664</v>
      </c>
      <c r="B738">
        <v>334</v>
      </c>
      <c r="C738" t="s">
        <v>2081</v>
      </c>
      <c r="D738" t="s">
        <v>2082</v>
      </c>
      <c r="E738">
        <v>134</v>
      </c>
    </row>
    <row r="739">
      <c r="A739" t="s">
        <v>664</v>
      </c>
      <c r="B739">
        <v>335</v>
      </c>
      <c r="C739" t="s">
        <v>2083</v>
      </c>
      <c r="D739" t="s">
        <v>2084</v>
      </c>
      <c r="E739">
        <v>134</v>
      </c>
    </row>
    <row r="740">
      <c r="A740" t="s">
        <v>664</v>
      </c>
      <c r="B740">
        <v>336</v>
      </c>
      <c r="C740" t="s">
        <v>2085</v>
      </c>
      <c r="D740" t="s">
        <v>2086</v>
      </c>
      <c r="E740">
        <v>134</v>
      </c>
    </row>
    <row r="741">
      <c r="A741" t="s">
        <v>664</v>
      </c>
      <c r="B741">
        <v>337</v>
      </c>
      <c r="C741" t="s">
        <v>2087</v>
      </c>
      <c r="D741" t="s">
        <v>2088</v>
      </c>
      <c r="E741">
        <v>134</v>
      </c>
    </row>
    <row r="742">
      <c r="A742" t="s">
        <v>664</v>
      </c>
      <c r="B742">
        <v>338</v>
      </c>
      <c r="C742" t="s">
        <v>2089</v>
      </c>
      <c r="D742" t="s">
        <v>2090</v>
      </c>
      <c r="E742">
        <v>145</v>
      </c>
    </row>
    <row r="743">
      <c r="A743" t="s">
        <v>664</v>
      </c>
      <c r="B743">
        <v>339</v>
      </c>
      <c r="C743" t="s">
        <v>2091</v>
      </c>
      <c r="D743" t="s">
        <v>2092</v>
      </c>
      <c r="E743">
        <v>145</v>
      </c>
    </row>
    <row r="744">
      <c r="A744" t="s">
        <v>664</v>
      </c>
      <c r="B744">
        <v>340</v>
      </c>
      <c r="C744" t="s">
        <v>2093</v>
      </c>
      <c r="D744" t="s">
        <v>2094</v>
      </c>
      <c r="E744">
        <v>145</v>
      </c>
    </row>
    <row r="745">
      <c r="A745" t="s">
        <v>664</v>
      </c>
      <c r="B745">
        <v>341</v>
      </c>
      <c r="C745" t="s">
        <v>2095</v>
      </c>
      <c r="D745" t="s">
        <v>2096</v>
      </c>
      <c r="E745">
        <v>145</v>
      </c>
    </row>
    <row r="746">
      <c r="A746" t="s">
        <v>664</v>
      </c>
      <c r="B746">
        <v>342</v>
      </c>
      <c r="C746" t="s">
        <v>2097</v>
      </c>
      <c r="D746" t="s">
        <v>2098</v>
      </c>
      <c r="E746">
        <v>145</v>
      </c>
    </row>
    <row r="747">
      <c r="A747" t="s">
        <v>664</v>
      </c>
      <c r="B747">
        <v>343</v>
      </c>
      <c r="C747" t="s">
        <v>2099</v>
      </c>
      <c r="D747" t="s">
        <v>2100</v>
      </c>
      <c r="E747">
        <v>145</v>
      </c>
    </row>
    <row r="748">
      <c r="A748" t="s">
        <v>664</v>
      </c>
      <c r="B748">
        <v>344</v>
      </c>
      <c r="C748" t="s">
        <v>2101</v>
      </c>
      <c r="D748" t="s">
        <v>2102</v>
      </c>
      <c r="E748">
        <v>145</v>
      </c>
    </row>
    <row r="749">
      <c r="A749" t="s">
        <v>664</v>
      </c>
      <c r="B749">
        <v>345</v>
      </c>
      <c r="C749" t="s">
        <v>2103</v>
      </c>
      <c r="D749" t="s">
        <v>2104</v>
      </c>
      <c r="E749">
        <v>145</v>
      </c>
    </row>
    <row r="750">
      <c r="A750" t="s">
        <v>664</v>
      </c>
      <c r="B750">
        <v>346</v>
      </c>
      <c r="C750" t="s">
        <v>2105</v>
      </c>
      <c r="D750" t="s">
        <v>2106</v>
      </c>
      <c r="E750">
        <v>145</v>
      </c>
    </row>
    <row r="751">
      <c r="A751" t="s">
        <v>664</v>
      </c>
      <c r="B751">
        <v>347</v>
      </c>
      <c r="C751" t="s">
        <v>2107</v>
      </c>
      <c r="D751" t="s">
        <v>2108</v>
      </c>
      <c r="E751">
        <v>145</v>
      </c>
    </row>
    <row r="752">
      <c r="A752" t="s">
        <v>664</v>
      </c>
      <c r="B752">
        <v>348</v>
      </c>
      <c r="C752" t="s">
        <v>2109</v>
      </c>
      <c r="D752" t="s">
        <v>2110</v>
      </c>
      <c r="E752">
        <v>13</v>
      </c>
    </row>
    <row r="753">
      <c r="A753" t="s">
        <v>664</v>
      </c>
      <c r="B753">
        <v>350</v>
      </c>
      <c r="C753" t="s">
        <v>2111</v>
      </c>
      <c r="D753" t="s">
        <v>2112</v>
      </c>
      <c r="E753">
        <v>134</v>
      </c>
    </row>
    <row r="754">
      <c r="A754" t="s">
        <v>664</v>
      </c>
      <c r="B754">
        <v>351</v>
      </c>
      <c r="C754" t="s">
        <v>2113</v>
      </c>
      <c r="D754" t="s">
        <v>2114</v>
      </c>
      <c r="E754">
        <v>134</v>
      </c>
    </row>
    <row r="755">
      <c r="A755" t="s">
        <v>664</v>
      </c>
      <c r="B755">
        <v>352</v>
      </c>
      <c r="C755" t="s">
        <v>2115</v>
      </c>
      <c r="D755" t="s">
        <v>2116</v>
      </c>
      <c r="E755">
        <v>134</v>
      </c>
    </row>
    <row r="756">
      <c r="A756" t="s">
        <v>664</v>
      </c>
      <c r="B756">
        <v>353</v>
      </c>
      <c r="C756" t="s">
        <v>2117</v>
      </c>
      <c r="D756" t="s">
        <v>2118</v>
      </c>
      <c r="E756">
        <v>134</v>
      </c>
    </row>
    <row r="757">
      <c r="A757" t="s">
        <v>664</v>
      </c>
      <c r="B757">
        <v>354</v>
      </c>
      <c r="C757" t="s">
        <v>2119</v>
      </c>
      <c r="D757" t="s">
        <v>2120</v>
      </c>
      <c r="E757">
        <v>134</v>
      </c>
    </row>
    <row r="758">
      <c r="A758" t="s">
        <v>664</v>
      </c>
      <c r="B758">
        <v>355</v>
      </c>
      <c r="C758" t="s">
        <v>2121</v>
      </c>
      <c r="D758" t="s">
        <v>2122</v>
      </c>
      <c r="E758">
        <v>145</v>
      </c>
    </row>
    <row r="759">
      <c r="A759" t="s">
        <v>664</v>
      </c>
      <c r="B759">
        <v>356</v>
      </c>
      <c r="C759" t="s">
        <v>2123</v>
      </c>
      <c r="D759" t="s">
        <v>2124</v>
      </c>
      <c r="E759">
        <v>145</v>
      </c>
    </row>
    <row r="760">
      <c r="A760" t="s">
        <v>664</v>
      </c>
      <c r="B760">
        <v>357</v>
      </c>
      <c r="C760" t="s">
        <v>2125</v>
      </c>
      <c r="D760" t="s">
        <v>2126</v>
      </c>
      <c r="E760">
        <v>145</v>
      </c>
    </row>
    <row r="761">
      <c r="A761" t="s">
        <v>664</v>
      </c>
      <c r="B761">
        <v>358</v>
      </c>
      <c r="C761" t="s">
        <v>2127</v>
      </c>
      <c r="D761" t="s">
        <v>2128</v>
      </c>
      <c r="E761">
        <v>145</v>
      </c>
    </row>
    <row r="762">
      <c r="A762" t="s">
        <v>664</v>
      </c>
      <c r="B762">
        <v>359</v>
      </c>
      <c r="C762" t="s">
        <v>2129</v>
      </c>
      <c r="D762" t="s">
        <v>2130</v>
      </c>
      <c r="E762">
        <v>145</v>
      </c>
    </row>
    <row r="763">
      <c r="A763" t="s">
        <v>664</v>
      </c>
      <c r="B763">
        <v>360</v>
      </c>
      <c r="C763" t="s">
        <v>2131</v>
      </c>
      <c r="D763" t="s">
        <v>2132</v>
      </c>
      <c r="E763">
        <v>145</v>
      </c>
    </row>
    <row r="764">
      <c r="A764" t="s">
        <v>664</v>
      </c>
      <c r="B764">
        <v>361</v>
      </c>
      <c r="C764" t="s">
        <v>2133</v>
      </c>
      <c r="D764" t="s">
        <v>2134</v>
      </c>
      <c r="E764">
        <v>145</v>
      </c>
    </row>
    <row r="765">
      <c r="A765" t="s">
        <v>664</v>
      </c>
      <c r="B765">
        <v>362</v>
      </c>
      <c r="C765" t="s">
        <v>2135</v>
      </c>
      <c r="D765" t="s">
        <v>2136</v>
      </c>
      <c r="E765">
        <v>145</v>
      </c>
    </row>
    <row r="766">
      <c r="A766" t="s">
        <v>664</v>
      </c>
      <c r="B766">
        <v>363</v>
      </c>
      <c r="C766" t="s">
        <v>2137</v>
      </c>
      <c r="D766" t="s">
        <v>2138</v>
      </c>
      <c r="E766">
        <v>145</v>
      </c>
    </row>
    <row r="767">
      <c r="A767" t="s">
        <v>664</v>
      </c>
      <c r="B767">
        <v>364</v>
      </c>
      <c r="C767" t="s">
        <v>2139</v>
      </c>
      <c r="D767" t="s">
        <v>2140</v>
      </c>
      <c r="E767">
        <v>145</v>
      </c>
    </row>
    <row r="768">
      <c r="A768" t="s">
        <v>664</v>
      </c>
      <c r="B768">
        <v>365</v>
      </c>
      <c r="C768" t="s">
        <v>2141</v>
      </c>
      <c r="D768" t="s">
        <v>2142</v>
      </c>
      <c r="E768">
        <v>13</v>
      </c>
    </row>
    <row r="769">
      <c r="A769" t="s">
        <v>664</v>
      </c>
      <c r="B769">
        <v>367</v>
      </c>
      <c r="C769" t="s">
        <v>2143</v>
      </c>
      <c r="D769" t="s">
        <v>2144</v>
      </c>
      <c r="E769">
        <v>134</v>
      </c>
    </row>
    <row r="770">
      <c r="A770" t="s">
        <v>664</v>
      </c>
      <c r="B770">
        <v>368</v>
      </c>
      <c r="C770" t="s">
        <v>2145</v>
      </c>
      <c r="D770" t="s">
        <v>2146</v>
      </c>
      <c r="E770">
        <v>134</v>
      </c>
    </row>
    <row r="771">
      <c r="A771" t="s">
        <v>664</v>
      </c>
      <c r="B771">
        <v>369</v>
      </c>
      <c r="C771" t="s">
        <v>2147</v>
      </c>
      <c r="D771" t="s">
        <v>2148</v>
      </c>
      <c r="E771">
        <v>134</v>
      </c>
    </row>
    <row r="772">
      <c r="A772" t="s">
        <v>664</v>
      </c>
      <c r="B772">
        <v>370</v>
      </c>
      <c r="C772" t="s">
        <v>2149</v>
      </c>
      <c r="D772" t="s">
        <v>2150</v>
      </c>
      <c r="E772">
        <v>134</v>
      </c>
    </row>
    <row r="773">
      <c r="A773" t="s">
        <v>664</v>
      </c>
      <c r="B773">
        <v>371</v>
      </c>
      <c r="C773" t="s">
        <v>2151</v>
      </c>
      <c r="D773" t="s">
        <v>2152</v>
      </c>
      <c r="E773">
        <v>134</v>
      </c>
    </row>
    <row r="774">
      <c r="A774" t="s">
        <v>664</v>
      </c>
      <c r="B774">
        <v>372</v>
      </c>
      <c r="C774" t="s">
        <v>2153</v>
      </c>
      <c r="D774" t="s">
        <v>2154</v>
      </c>
      <c r="E774">
        <v>145</v>
      </c>
    </row>
    <row r="775">
      <c r="A775" t="s">
        <v>664</v>
      </c>
      <c r="B775">
        <v>373</v>
      </c>
      <c r="C775" t="s">
        <v>2155</v>
      </c>
      <c r="D775" t="s">
        <v>2156</v>
      </c>
      <c r="E775">
        <v>145</v>
      </c>
    </row>
    <row r="776">
      <c r="A776" t="s">
        <v>664</v>
      </c>
      <c r="B776">
        <v>374</v>
      </c>
      <c r="C776" t="s">
        <v>2157</v>
      </c>
      <c r="D776" t="s">
        <v>2158</v>
      </c>
      <c r="E776">
        <v>145</v>
      </c>
    </row>
    <row r="777">
      <c r="A777" t="s">
        <v>664</v>
      </c>
      <c r="B777">
        <v>375</v>
      </c>
      <c r="C777" t="s">
        <v>2159</v>
      </c>
      <c r="D777" t="s">
        <v>2160</v>
      </c>
      <c r="E777">
        <v>145</v>
      </c>
    </row>
    <row r="778">
      <c r="A778" t="s">
        <v>664</v>
      </c>
      <c r="B778">
        <v>376</v>
      </c>
      <c r="C778" t="s">
        <v>2161</v>
      </c>
      <c r="D778" t="s">
        <v>2162</v>
      </c>
      <c r="E778">
        <v>145</v>
      </c>
    </row>
    <row r="779">
      <c r="A779" t="s">
        <v>664</v>
      </c>
      <c r="B779">
        <v>377</v>
      </c>
      <c r="C779" t="s">
        <v>2163</v>
      </c>
      <c r="D779" t="s">
        <v>2164</v>
      </c>
      <c r="E779">
        <v>145</v>
      </c>
    </row>
    <row r="780">
      <c r="A780" t="s">
        <v>664</v>
      </c>
      <c r="B780">
        <v>378</v>
      </c>
      <c r="C780" t="s">
        <v>2165</v>
      </c>
      <c r="D780" t="s">
        <v>2166</v>
      </c>
      <c r="E780">
        <v>145</v>
      </c>
    </row>
    <row r="781">
      <c r="A781" t="s">
        <v>664</v>
      </c>
      <c r="B781">
        <v>379</v>
      </c>
      <c r="C781" t="s">
        <v>2167</v>
      </c>
      <c r="D781" t="s">
        <v>2168</v>
      </c>
      <c r="E781">
        <v>145</v>
      </c>
    </row>
    <row r="782">
      <c r="A782" t="s">
        <v>664</v>
      </c>
      <c r="B782">
        <v>380</v>
      </c>
      <c r="C782" t="s">
        <v>2169</v>
      </c>
      <c r="D782" t="s">
        <v>2170</v>
      </c>
      <c r="E782">
        <v>145</v>
      </c>
    </row>
    <row r="783">
      <c r="A783" t="s">
        <v>664</v>
      </c>
      <c r="B783">
        <v>381</v>
      </c>
      <c r="C783" t="s">
        <v>2171</v>
      </c>
      <c r="D783" t="s">
        <v>2172</v>
      </c>
      <c r="E783">
        <v>145</v>
      </c>
    </row>
    <row r="784">
      <c r="A784" t="s">
        <v>664</v>
      </c>
      <c r="B784">
        <v>382</v>
      </c>
      <c r="C784" t="s">
        <v>2173</v>
      </c>
      <c r="D784" t="s">
        <v>2174</v>
      </c>
      <c r="E784">
        <v>13</v>
      </c>
    </row>
    <row r="785">
      <c r="A785" t="s">
        <v>664</v>
      </c>
      <c r="B785">
        <v>384</v>
      </c>
      <c r="C785" t="s">
        <v>2175</v>
      </c>
      <c r="D785" t="s">
        <v>2176</v>
      </c>
      <c r="E785">
        <v>134</v>
      </c>
    </row>
    <row r="786">
      <c r="A786" t="s">
        <v>664</v>
      </c>
      <c r="B786">
        <v>385</v>
      </c>
      <c r="C786" t="s">
        <v>2177</v>
      </c>
      <c r="D786" t="s">
        <v>2178</v>
      </c>
      <c r="E786">
        <v>134</v>
      </c>
    </row>
    <row r="787">
      <c r="A787" t="s">
        <v>664</v>
      </c>
      <c r="B787">
        <v>386</v>
      </c>
      <c r="C787" t="s">
        <v>2179</v>
      </c>
      <c r="D787" t="s">
        <v>2180</v>
      </c>
      <c r="E787">
        <v>134</v>
      </c>
    </row>
    <row r="788">
      <c r="A788" t="s">
        <v>664</v>
      </c>
      <c r="B788">
        <v>387</v>
      </c>
      <c r="C788" t="s">
        <v>2181</v>
      </c>
      <c r="D788" t="s">
        <v>2182</v>
      </c>
      <c r="E788">
        <v>134</v>
      </c>
    </row>
    <row r="789">
      <c r="A789" t="s">
        <v>664</v>
      </c>
      <c r="B789">
        <v>388</v>
      </c>
      <c r="C789" t="s">
        <v>2183</v>
      </c>
      <c r="D789" t="s">
        <v>2184</v>
      </c>
      <c r="E789">
        <v>134</v>
      </c>
    </row>
    <row r="790">
      <c r="A790" t="s">
        <v>664</v>
      </c>
      <c r="B790">
        <v>389</v>
      </c>
      <c r="C790" t="s">
        <v>2185</v>
      </c>
      <c r="D790" t="s">
        <v>2186</v>
      </c>
      <c r="E790">
        <v>145</v>
      </c>
    </row>
    <row r="791">
      <c r="A791" t="s">
        <v>664</v>
      </c>
      <c r="B791">
        <v>390</v>
      </c>
      <c r="C791" t="s">
        <v>2187</v>
      </c>
      <c r="D791" t="s">
        <v>2188</v>
      </c>
      <c r="E791">
        <v>145</v>
      </c>
    </row>
    <row r="792">
      <c r="A792" t="s">
        <v>664</v>
      </c>
      <c r="B792">
        <v>391</v>
      </c>
      <c r="C792" t="s">
        <v>2189</v>
      </c>
      <c r="D792" t="s">
        <v>2190</v>
      </c>
      <c r="E792">
        <v>145</v>
      </c>
    </row>
    <row r="793">
      <c r="A793" t="s">
        <v>664</v>
      </c>
      <c r="B793">
        <v>392</v>
      </c>
      <c r="C793" t="s">
        <v>2191</v>
      </c>
      <c r="D793" t="s">
        <v>2192</v>
      </c>
      <c r="E793">
        <v>145</v>
      </c>
    </row>
    <row r="794">
      <c r="A794" t="s">
        <v>664</v>
      </c>
      <c r="B794">
        <v>393</v>
      </c>
      <c r="C794" t="s">
        <v>2193</v>
      </c>
      <c r="D794" t="s">
        <v>2194</v>
      </c>
      <c r="E794">
        <v>145</v>
      </c>
    </row>
    <row r="795">
      <c r="A795" t="s">
        <v>664</v>
      </c>
      <c r="B795">
        <v>394</v>
      </c>
      <c r="C795" t="s">
        <v>2195</v>
      </c>
      <c r="D795" t="s">
        <v>2196</v>
      </c>
      <c r="E795">
        <v>145</v>
      </c>
    </row>
    <row r="796">
      <c r="A796" t="s">
        <v>664</v>
      </c>
      <c r="B796">
        <v>395</v>
      </c>
      <c r="C796" t="s">
        <v>2197</v>
      </c>
      <c r="D796" t="s">
        <v>2198</v>
      </c>
      <c r="E796">
        <v>145</v>
      </c>
    </row>
    <row r="797">
      <c r="A797" t="s">
        <v>664</v>
      </c>
      <c r="B797">
        <v>396</v>
      </c>
      <c r="C797" t="s">
        <v>2199</v>
      </c>
      <c r="D797" t="s">
        <v>2200</v>
      </c>
      <c r="E797">
        <v>145</v>
      </c>
    </row>
    <row r="798">
      <c r="A798" t="s">
        <v>664</v>
      </c>
      <c r="B798">
        <v>397</v>
      </c>
      <c r="C798" t="s">
        <v>2201</v>
      </c>
      <c r="D798" t="s">
        <v>2202</v>
      </c>
      <c r="E798">
        <v>145</v>
      </c>
    </row>
    <row r="799">
      <c r="A799" t="s">
        <v>664</v>
      </c>
      <c r="B799">
        <v>398</v>
      </c>
      <c r="C799" t="s">
        <v>2203</v>
      </c>
      <c r="D799" t="s">
        <v>2204</v>
      </c>
      <c r="E799">
        <v>145</v>
      </c>
    </row>
    <row r="800">
      <c r="A800" t="s">
        <v>664</v>
      </c>
      <c r="B800">
        <v>399</v>
      </c>
      <c r="C800" t="s">
        <v>2205</v>
      </c>
      <c r="D800" t="s">
        <v>2206</v>
      </c>
      <c r="E800">
        <v>13</v>
      </c>
    </row>
    <row r="801">
      <c r="A801" t="s">
        <v>664</v>
      </c>
      <c r="B801">
        <v>401</v>
      </c>
      <c r="C801" t="s">
        <v>2207</v>
      </c>
      <c r="D801" t="s">
        <v>2208</v>
      </c>
      <c r="E801">
        <v>134</v>
      </c>
    </row>
    <row r="802">
      <c r="A802" t="s">
        <v>664</v>
      </c>
      <c r="B802">
        <v>402</v>
      </c>
      <c r="C802" t="s">
        <v>2209</v>
      </c>
      <c r="D802" t="s">
        <v>2210</v>
      </c>
      <c r="E802">
        <v>134</v>
      </c>
    </row>
    <row r="803">
      <c r="A803" t="s">
        <v>664</v>
      </c>
      <c r="B803">
        <v>403</v>
      </c>
      <c r="C803" t="s">
        <v>2211</v>
      </c>
      <c r="D803" t="s">
        <v>2212</v>
      </c>
      <c r="E803">
        <v>134</v>
      </c>
    </row>
    <row r="804">
      <c r="A804" t="s">
        <v>664</v>
      </c>
      <c r="B804">
        <v>404</v>
      </c>
      <c r="C804" t="s">
        <v>2213</v>
      </c>
      <c r="D804" t="s">
        <v>2214</v>
      </c>
      <c r="E804">
        <v>134</v>
      </c>
    </row>
    <row r="805">
      <c r="A805" t="s">
        <v>664</v>
      </c>
      <c r="B805">
        <v>405</v>
      </c>
      <c r="C805" t="s">
        <v>2215</v>
      </c>
      <c r="D805" t="s">
        <v>2216</v>
      </c>
      <c r="E805">
        <v>134</v>
      </c>
    </row>
    <row r="806">
      <c r="A806" t="s">
        <v>664</v>
      </c>
      <c r="B806">
        <v>406</v>
      </c>
      <c r="C806" t="s">
        <v>2217</v>
      </c>
      <c r="D806" t="s">
        <v>2218</v>
      </c>
      <c r="E806">
        <v>145</v>
      </c>
    </row>
    <row r="807">
      <c r="A807" t="s">
        <v>664</v>
      </c>
      <c r="B807">
        <v>407</v>
      </c>
      <c r="C807" t="s">
        <v>2219</v>
      </c>
      <c r="D807" t="s">
        <v>2220</v>
      </c>
      <c r="E807">
        <v>145</v>
      </c>
    </row>
    <row r="808">
      <c r="A808" t="s">
        <v>664</v>
      </c>
      <c r="B808">
        <v>408</v>
      </c>
      <c r="C808" t="s">
        <v>2221</v>
      </c>
      <c r="D808" t="s">
        <v>2222</v>
      </c>
      <c r="E808">
        <v>145</v>
      </c>
    </row>
    <row r="809">
      <c r="A809" t="s">
        <v>664</v>
      </c>
      <c r="B809">
        <v>409</v>
      </c>
      <c r="C809" t="s">
        <v>2223</v>
      </c>
      <c r="D809" t="s">
        <v>2224</v>
      </c>
      <c r="E809">
        <v>145</v>
      </c>
    </row>
    <row r="810">
      <c r="A810" t="s">
        <v>664</v>
      </c>
      <c r="B810">
        <v>410</v>
      </c>
      <c r="C810" t="s">
        <v>2225</v>
      </c>
      <c r="D810" t="s">
        <v>2226</v>
      </c>
      <c r="E810">
        <v>145</v>
      </c>
    </row>
    <row r="811">
      <c r="A811" t="s">
        <v>664</v>
      </c>
      <c r="B811">
        <v>411</v>
      </c>
      <c r="C811" t="s">
        <v>2227</v>
      </c>
      <c r="D811" t="s">
        <v>2228</v>
      </c>
      <c r="E811">
        <v>145</v>
      </c>
    </row>
    <row r="812">
      <c r="A812" t="s">
        <v>664</v>
      </c>
      <c r="B812">
        <v>412</v>
      </c>
      <c r="C812" t="s">
        <v>2229</v>
      </c>
      <c r="D812" t="s">
        <v>2230</v>
      </c>
      <c r="E812">
        <v>145</v>
      </c>
    </row>
    <row r="813">
      <c r="A813" t="s">
        <v>664</v>
      </c>
      <c r="B813">
        <v>413</v>
      </c>
      <c r="C813" t="s">
        <v>2231</v>
      </c>
      <c r="D813" t="s">
        <v>2232</v>
      </c>
      <c r="E813">
        <v>145</v>
      </c>
    </row>
    <row r="814">
      <c r="A814" t="s">
        <v>664</v>
      </c>
      <c r="B814">
        <v>414</v>
      </c>
      <c r="C814" t="s">
        <v>2233</v>
      </c>
      <c r="D814" t="s">
        <v>2234</v>
      </c>
      <c r="E814">
        <v>145</v>
      </c>
    </row>
    <row r="815">
      <c r="A815" t="s">
        <v>664</v>
      </c>
      <c r="B815">
        <v>415</v>
      </c>
      <c r="C815" t="s">
        <v>2235</v>
      </c>
      <c r="D815" t="s">
        <v>2236</v>
      </c>
      <c r="E815">
        <v>145</v>
      </c>
    </row>
    <row r="816">
      <c r="A816" t="s">
        <v>664</v>
      </c>
      <c r="B816">
        <v>416</v>
      </c>
      <c r="C816" t="s">
        <v>2237</v>
      </c>
      <c r="D816" t="s">
        <v>2238</v>
      </c>
      <c r="E816">
        <v>13</v>
      </c>
    </row>
    <row r="817">
      <c r="A817" t="s">
        <v>664</v>
      </c>
      <c r="B817">
        <v>418</v>
      </c>
      <c r="C817" t="s">
        <v>2239</v>
      </c>
      <c r="D817" t="s">
        <v>2240</v>
      </c>
      <c r="E817">
        <v>134</v>
      </c>
    </row>
    <row r="818">
      <c r="A818" t="s">
        <v>664</v>
      </c>
      <c r="B818">
        <v>419</v>
      </c>
      <c r="C818" t="s">
        <v>2241</v>
      </c>
      <c r="D818" t="s">
        <v>2242</v>
      </c>
      <c r="E818">
        <v>134</v>
      </c>
    </row>
    <row r="819">
      <c r="A819" t="s">
        <v>664</v>
      </c>
      <c r="B819">
        <v>420</v>
      </c>
      <c r="C819" t="s">
        <v>2243</v>
      </c>
      <c r="D819" t="s">
        <v>2244</v>
      </c>
      <c r="E819">
        <v>134</v>
      </c>
    </row>
    <row r="820">
      <c r="A820" t="s">
        <v>664</v>
      </c>
      <c r="B820">
        <v>421</v>
      </c>
      <c r="C820" t="s">
        <v>2245</v>
      </c>
      <c r="D820" t="s">
        <v>2246</v>
      </c>
      <c r="E820">
        <v>134</v>
      </c>
    </row>
    <row r="821">
      <c r="A821" t="s">
        <v>664</v>
      </c>
      <c r="B821">
        <v>422</v>
      </c>
      <c r="C821" t="s">
        <v>2247</v>
      </c>
      <c r="D821" t="s">
        <v>2248</v>
      </c>
      <c r="E821">
        <v>134</v>
      </c>
    </row>
    <row r="822">
      <c r="A822" t="s">
        <v>664</v>
      </c>
      <c r="B822">
        <v>423</v>
      </c>
      <c r="C822" t="s">
        <v>2249</v>
      </c>
      <c r="D822" t="s">
        <v>2250</v>
      </c>
      <c r="E822">
        <v>145</v>
      </c>
    </row>
    <row r="823">
      <c r="A823" t="s">
        <v>664</v>
      </c>
      <c r="B823">
        <v>424</v>
      </c>
      <c r="C823" t="s">
        <v>2251</v>
      </c>
      <c r="D823" t="s">
        <v>2252</v>
      </c>
      <c r="E823">
        <v>145</v>
      </c>
    </row>
    <row r="824">
      <c r="A824" t="s">
        <v>664</v>
      </c>
      <c r="B824">
        <v>425</v>
      </c>
      <c r="C824" t="s">
        <v>2253</v>
      </c>
      <c r="D824" t="s">
        <v>2254</v>
      </c>
      <c r="E824">
        <v>145</v>
      </c>
    </row>
    <row r="825">
      <c r="A825" t="s">
        <v>664</v>
      </c>
      <c r="B825">
        <v>426</v>
      </c>
      <c r="C825" t="s">
        <v>2255</v>
      </c>
      <c r="D825" t="s">
        <v>2256</v>
      </c>
      <c r="E825">
        <v>145</v>
      </c>
    </row>
    <row r="826">
      <c r="A826" t="s">
        <v>664</v>
      </c>
      <c r="B826">
        <v>427</v>
      </c>
      <c r="C826" t="s">
        <v>2257</v>
      </c>
      <c r="D826" t="s">
        <v>2258</v>
      </c>
      <c r="E826">
        <v>145</v>
      </c>
    </row>
    <row r="827">
      <c r="A827" t="s">
        <v>664</v>
      </c>
      <c r="B827">
        <v>428</v>
      </c>
      <c r="C827" t="s">
        <v>2259</v>
      </c>
      <c r="D827" t="s">
        <v>2260</v>
      </c>
      <c r="E827">
        <v>145</v>
      </c>
    </row>
    <row r="828">
      <c r="A828" t="s">
        <v>664</v>
      </c>
      <c r="B828">
        <v>429</v>
      </c>
      <c r="C828" t="s">
        <v>2261</v>
      </c>
      <c r="D828" t="s">
        <v>2262</v>
      </c>
      <c r="E828">
        <v>145</v>
      </c>
    </row>
    <row r="829">
      <c r="A829" t="s">
        <v>664</v>
      </c>
      <c r="B829">
        <v>430</v>
      </c>
      <c r="C829" t="s">
        <v>2263</v>
      </c>
      <c r="D829" t="s">
        <v>2264</v>
      </c>
      <c r="E829">
        <v>145</v>
      </c>
    </row>
    <row r="830">
      <c r="A830" t="s">
        <v>664</v>
      </c>
      <c r="B830">
        <v>431</v>
      </c>
      <c r="C830" t="s">
        <v>2265</v>
      </c>
      <c r="D830" t="s">
        <v>2266</v>
      </c>
      <c r="E830">
        <v>145</v>
      </c>
    </row>
    <row r="831">
      <c r="A831" t="s">
        <v>664</v>
      </c>
      <c r="B831">
        <v>432</v>
      </c>
      <c r="C831" t="s">
        <v>2267</v>
      </c>
      <c r="D831" t="s">
        <v>2268</v>
      </c>
      <c r="E831">
        <v>145</v>
      </c>
    </row>
    <row r="832">
      <c r="A832" t="s">
        <v>664</v>
      </c>
      <c r="B832">
        <v>433</v>
      </c>
      <c r="C832" t="s">
        <v>2269</v>
      </c>
      <c r="D832" t="s">
        <v>2270</v>
      </c>
      <c r="E832">
        <v>13</v>
      </c>
    </row>
    <row r="833">
      <c r="A833" t="s">
        <v>693</v>
      </c>
      <c r="B833">
        <v>8</v>
      </c>
      <c r="C833" t="s">
        <v>2271</v>
      </c>
      <c r="D833" t="s">
        <v>2272</v>
      </c>
      <c r="E833">
        <v>211</v>
      </c>
    </row>
    <row r="834">
      <c r="A834" t="s">
        <v>693</v>
      </c>
      <c r="B834">
        <v>9</v>
      </c>
      <c r="C834" t="s">
        <v>2273</v>
      </c>
      <c r="D834" t="s">
        <v>2274</v>
      </c>
      <c r="E834">
        <v>211</v>
      </c>
    </row>
    <row r="835">
      <c r="A835" t="s">
        <v>693</v>
      </c>
      <c r="B835">
        <v>10</v>
      </c>
      <c r="C835" t="s">
        <v>2275</v>
      </c>
      <c r="D835" t="s">
        <v>2276</v>
      </c>
      <c r="E835">
        <v>211</v>
      </c>
    </row>
    <row r="836">
      <c r="A836" t="s">
        <v>693</v>
      </c>
      <c r="B836">
        <v>11</v>
      </c>
      <c r="C836" t="s">
        <v>2277</v>
      </c>
      <c r="D836" t="s">
        <v>2278</v>
      </c>
      <c r="E836">
        <v>211</v>
      </c>
    </row>
    <row r="837">
      <c r="A837" t="s">
        <v>693</v>
      </c>
      <c r="B837">
        <v>12</v>
      </c>
      <c r="C837" t="s">
        <v>2279</v>
      </c>
      <c r="D837" t="s">
        <v>2280</v>
      </c>
      <c r="E837">
        <v>211</v>
      </c>
    </row>
    <row r="838">
      <c r="A838" t="s">
        <v>693</v>
      </c>
      <c r="B838">
        <v>13</v>
      </c>
      <c r="C838" t="s">
        <v>2281</v>
      </c>
      <c r="D838" t="s">
        <v>2282</v>
      </c>
      <c r="E838">
        <v>211</v>
      </c>
    </row>
    <row r="839">
      <c r="A839" t="s">
        <v>693</v>
      </c>
      <c r="B839">
        <v>14</v>
      </c>
      <c r="C839" t="s">
        <v>2283</v>
      </c>
      <c r="D839" t="s">
        <v>2284</v>
      </c>
      <c r="E839">
        <v>211</v>
      </c>
    </row>
    <row r="840">
      <c r="A840" t="s">
        <v>693</v>
      </c>
      <c r="B840">
        <v>15</v>
      </c>
      <c r="C840" t="s">
        <v>2285</v>
      </c>
      <c r="D840" t="s">
        <v>2286</v>
      </c>
      <c r="E840">
        <v>211</v>
      </c>
    </row>
    <row r="841">
      <c r="A841" t="s">
        <v>693</v>
      </c>
      <c r="B841">
        <v>16</v>
      </c>
      <c r="C841" t="s">
        <v>2287</v>
      </c>
      <c r="D841" t="s">
        <v>2288</v>
      </c>
      <c r="E841">
        <v>211</v>
      </c>
    </row>
    <row r="842">
      <c r="A842" t="s">
        <v>693</v>
      </c>
      <c r="B842">
        <v>17</v>
      </c>
      <c r="C842" t="s">
        <v>2289</v>
      </c>
      <c r="D842" t="s">
        <v>2290</v>
      </c>
      <c r="E842">
        <v>211</v>
      </c>
    </row>
    <row r="843">
      <c r="A843" t="s">
        <v>693</v>
      </c>
      <c r="B843">
        <v>18</v>
      </c>
      <c r="C843" t="s">
        <v>2291</v>
      </c>
      <c r="D843" t="s">
        <v>2292</v>
      </c>
      <c r="E843">
        <v>211</v>
      </c>
    </row>
    <row r="844">
      <c r="A844" t="s">
        <v>693</v>
      </c>
      <c r="B844">
        <v>19</v>
      </c>
      <c r="C844" t="s">
        <v>2293</v>
      </c>
      <c r="D844" t="s">
        <v>2294</v>
      </c>
      <c r="E844">
        <v>211</v>
      </c>
    </row>
    <row r="845">
      <c r="A845" t="s">
        <v>693</v>
      </c>
      <c r="B845">
        <v>20</v>
      </c>
      <c r="C845" t="s">
        <v>2295</v>
      </c>
      <c r="D845" t="s">
        <v>2296</v>
      </c>
      <c r="E845">
        <v>211</v>
      </c>
    </row>
    <row r="846">
      <c r="A846" t="s">
        <v>693</v>
      </c>
      <c r="B846">
        <v>21</v>
      </c>
      <c r="C846" t="s">
        <v>2297</v>
      </c>
      <c r="D846" t="s">
        <v>2298</v>
      </c>
      <c r="E846">
        <v>211</v>
      </c>
    </row>
    <row r="847">
      <c r="A847" t="s">
        <v>693</v>
      </c>
      <c r="B847">
        <v>22</v>
      </c>
      <c r="C847" t="s">
        <v>2299</v>
      </c>
      <c r="D847" t="s">
        <v>2300</v>
      </c>
      <c r="E847">
        <v>211</v>
      </c>
    </row>
    <row r="848">
      <c r="A848" t="s">
        <v>693</v>
      </c>
      <c r="B848">
        <v>23</v>
      </c>
      <c r="C848" t="s">
        <v>2301</v>
      </c>
      <c r="D848" t="s">
        <v>2302</v>
      </c>
      <c r="E848">
        <v>211</v>
      </c>
    </row>
    <row r="849">
      <c r="A849" t="s">
        <v>693</v>
      </c>
      <c r="B849">
        <v>24</v>
      </c>
      <c r="C849" t="s">
        <v>2303</v>
      </c>
      <c r="D849" t="s">
        <v>2304</v>
      </c>
      <c r="E849">
        <v>211</v>
      </c>
    </row>
    <row r="850">
      <c r="A850" t="s">
        <v>693</v>
      </c>
      <c r="B850">
        <v>25</v>
      </c>
      <c r="C850" t="s">
        <v>2305</v>
      </c>
      <c r="D850" t="s">
        <v>2306</v>
      </c>
      <c r="E850">
        <v>211</v>
      </c>
    </row>
    <row r="851">
      <c r="A851" t="s">
        <v>693</v>
      </c>
      <c r="B851">
        <v>26</v>
      </c>
      <c r="C851" t="s">
        <v>2307</v>
      </c>
      <c r="D851" t="s">
        <v>2308</v>
      </c>
      <c r="E851">
        <v>211</v>
      </c>
    </row>
    <row r="852">
      <c r="A852" t="s">
        <v>693</v>
      </c>
      <c r="B852">
        <v>27</v>
      </c>
      <c r="C852" t="s">
        <v>2309</v>
      </c>
      <c r="D852" t="s">
        <v>2310</v>
      </c>
      <c r="E852">
        <v>211</v>
      </c>
    </row>
    <row r="853">
      <c r="A853" t="s">
        <v>693</v>
      </c>
      <c r="B853">
        <v>28</v>
      </c>
      <c r="C853" t="s">
        <v>2311</v>
      </c>
      <c r="D853" t="s">
        <v>2312</v>
      </c>
      <c r="E853">
        <v>211</v>
      </c>
    </row>
    <row r="854">
      <c r="A854" t="s">
        <v>693</v>
      </c>
      <c r="B854">
        <v>29</v>
      </c>
      <c r="C854" t="s">
        <v>2313</v>
      </c>
      <c r="D854" t="s">
        <v>2314</v>
      </c>
      <c r="E854">
        <v>211</v>
      </c>
    </row>
    <row r="855">
      <c r="A855" t="s">
        <v>693</v>
      </c>
      <c r="B855">
        <v>30</v>
      </c>
      <c r="C855" t="s">
        <v>2315</v>
      </c>
      <c r="D855" t="s">
        <v>2316</v>
      </c>
      <c r="E855">
        <v>211</v>
      </c>
    </row>
    <row r="856">
      <c r="A856" t="s">
        <v>693</v>
      </c>
      <c r="B856">
        <v>31</v>
      </c>
      <c r="C856" t="s">
        <v>2317</v>
      </c>
      <c r="D856" t="s">
        <v>2318</v>
      </c>
      <c r="E856">
        <v>211</v>
      </c>
    </row>
    <row r="857">
      <c r="A857" t="s">
        <v>693</v>
      </c>
      <c r="B857">
        <v>32</v>
      </c>
      <c r="C857" t="s">
        <v>2319</v>
      </c>
      <c r="D857" t="s">
        <v>2320</v>
      </c>
      <c r="E857">
        <v>211</v>
      </c>
    </row>
    <row r="858">
      <c r="A858" t="s">
        <v>944</v>
      </c>
      <c r="B858">
        <v>7</v>
      </c>
      <c r="C858" t="s">
        <v>2321</v>
      </c>
      <c r="D858" t="s">
        <v>2322</v>
      </c>
      <c r="E858">
        <v>11</v>
      </c>
    </row>
    <row r="859">
      <c r="A859" t="s">
        <v>944</v>
      </c>
      <c r="B859">
        <v>8</v>
      </c>
      <c r="C859" t="s">
        <v>2323</v>
      </c>
      <c r="D859" t="s">
        <v>2324</v>
      </c>
      <c r="E859">
        <v>11</v>
      </c>
    </row>
    <row r="860">
      <c r="A860" t="s">
        <v>944</v>
      </c>
      <c r="B860">
        <v>9</v>
      </c>
      <c r="C860" t="s">
        <v>2325</v>
      </c>
      <c r="D860" t="s">
        <v>2326</v>
      </c>
      <c r="E860">
        <v>11</v>
      </c>
    </row>
    <row r="861">
      <c r="A861" t="s">
        <v>944</v>
      </c>
      <c r="B861">
        <v>10</v>
      </c>
      <c r="C861" t="s">
        <v>2327</v>
      </c>
      <c r="D861" t="s">
        <v>2328</v>
      </c>
      <c r="E861">
        <v>11</v>
      </c>
    </row>
    <row r="862">
      <c r="A862" t="s">
        <v>944</v>
      </c>
      <c r="B862">
        <v>11</v>
      </c>
      <c r="C862" t="s">
        <v>2329</v>
      </c>
      <c r="D862" t="s">
        <v>2330</v>
      </c>
      <c r="E862">
        <v>11</v>
      </c>
    </row>
    <row r="863">
      <c r="A863" t="s">
        <v>944</v>
      </c>
      <c r="B863">
        <v>12</v>
      </c>
      <c r="C863" t="s">
        <v>2331</v>
      </c>
      <c r="D863" t="s">
        <v>2332</v>
      </c>
      <c r="E863">
        <v>11</v>
      </c>
    </row>
    <row r="864">
      <c r="A864" t="s">
        <v>944</v>
      </c>
      <c r="B864">
        <v>13</v>
      </c>
      <c r="C864" t="s">
        <v>2333</v>
      </c>
      <c r="D864" t="s">
        <v>2334</v>
      </c>
      <c r="E864">
        <v>11</v>
      </c>
    </row>
    <row r="865">
      <c r="A865" t="s">
        <v>944</v>
      </c>
      <c r="B865">
        <v>14</v>
      </c>
      <c r="C865" t="s">
        <v>2335</v>
      </c>
      <c r="D865" t="s">
        <v>2336</v>
      </c>
      <c r="E865">
        <v>11</v>
      </c>
    </row>
    <row r="866">
      <c r="A866" t="s">
        <v>944</v>
      </c>
      <c r="B866">
        <v>16</v>
      </c>
      <c r="C866" t="s">
        <v>2337</v>
      </c>
      <c r="D866" t="s">
        <v>2338</v>
      </c>
      <c r="E866">
        <v>11</v>
      </c>
    </row>
    <row r="867">
      <c r="A867" t="s">
        <v>944</v>
      </c>
      <c r="B867">
        <v>17</v>
      </c>
      <c r="C867" t="s">
        <v>2339</v>
      </c>
      <c r="D867" t="s">
        <v>2340</v>
      </c>
      <c r="E867">
        <v>11</v>
      </c>
    </row>
    <row r="868">
      <c r="A868" t="s">
        <v>944</v>
      </c>
      <c r="B868">
        <v>18</v>
      </c>
      <c r="C868" t="s">
        <v>2341</v>
      </c>
      <c r="D868" t="s">
        <v>2342</v>
      </c>
      <c r="E868">
        <v>11</v>
      </c>
    </row>
    <row r="869">
      <c r="A869" t="s">
        <v>944</v>
      </c>
      <c r="B869">
        <v>19</v>
      </c>
      <c r="C869" t="s">
        <v>2343</v>
      </c>
      <c r="D869" t="s">
        <v>2344</v>
      </c>
      <c r="E869">
        <v>11</v>
      </c>
    </row>
    <row r="870">
      <c r="A870" t="s">
        <v>944</v>
      </c>
      <c r="B870">
        <v>20</v>
      </c>
      <c r="C870" t="s">
        <v>2345</v>
      </c>
      <c r="D870" t="s">
        <v>2346</v>
      </c>
      <c r="E870">
        <v>11</v>
      </c>
    </row>
    <row r="871">
      <c r="A871" t="s">
        <v>944</v>
      </c>
      <c r="B871">
        <v>21</v>
      </c>
      <c r="C871" t="s">
        <v>2347</v>
      </c>
      <c r="D871" t="s">
        <v>2348</v>
      </c>
      <c r="E871">
        <v>11</v>
      </c>
    </row>
    <row r="872">
      <c r="A872" t="s">
        <v>944</v>
      </c>
      <c r="B872">
        <v>22</v>
      </c>
      <c r="C872" t="s">
        <v>2349</v>
      </c>
      <c r="D872" t="s">
        <v>2350</v>
      </c>
      <c r="E872">
        <v>11</v>
      </c>
    </row>
    <row r="873">
      <c r="A873" t="s">
        <v>944</v>
      </c>
      <c r="B873">
        <v>23</v>
      </c>
      <c r="C873" t="s">
        <v>2351</v>
      </c>
      <c r="D873" t="s">
        <v>2352</v>
      </c>
      <c r="E873">
        <v>11</v>
      </c>
    </row>
    <row r="874">
      <c r="A874" t="s">
        <v>944</v>
      </c>
      <c r="B874">
        <v>25</v>
      </c>
      <c r="C874" t="s">
        <v>2353</v>
      </c>
      <c r="D874" t="s">
        <v>2354</v>
      </c>
      <c r="E874">
        <v>11</v>
      </c>
    </row>
    <row r="875">
      <c r="A875" t="s">
        <v>944</v>
      </c>
      <c r="B875">
        <v>26</v>
      </c>
      <c r="C875" t="s">
        <v>2355</v>
      </c>
      <c r="D875" t="s">
        <v>2356</v>
      </c>
      <c r="E875">
        <v>11</v>
      </c>
    </row>
    <row r="876">
      <c r="A876" t="s">
        <v>944</v>
      </c>
      <c r="B876">
        <v>27</v>
      </c>
      <c r="C876" t="s">
        <v>2357</v>
      </c>
      <c r="D876" t="s">
        <v>2358</v>
      </c>
      <c r="E876">
        <v>11</v>
      </c>
    </row>
    <row r="877">
      <c r="A877" t="s">
        <v>944</v>
      </c>
      <c r="B877">
        <v>28</v>
      </c>
      <c r="C877" t="s">
        <v>2359</v>
      </c>
      <c r="D877" t="s">
        <v>2360</v>
      </c>
      <c r="E877">
        <v>11</v>
      </c>
    </row>
    <row r="878">
      <c r="A878" t="s">
        <v>944</v>
      </c>
      <c r="B878">
        <v>29</v>
      </c>
      <c r="C878" t="s">
        <v>2361</v>
      </c>
      <c r="D878" t="s">
        <v>2362</v>
      </c>
      <c r="E878">
        <v>11</v>
      </c>
    </row>
    <row r="879">
      <c r="A879" t="s">
        <v>944</v>
      </c>
      <c r="B879">
        <v>30</v>
      </c>
      <c r="C879" t="s">
        <v>2363</v>
      </c>
      <c r="D879" t="s">
        <v>2364</v>
      </c>
      <c r="E879">
        <v>11</v>
      </c>
    </row>
    <row r="880">
      <c r="A880" t="s">
        <v>944</v>
      </c>
      <c r="B880">
        <v>31</v>
      </c>
      <c r="C880" t="s">
        <v>2365</v>
      </c>
      <c r="D880" t="s">
        <v>2366</v>
      </c>
      <c r="E880">
        <v>11</v>
      </c>
    </row>
    <row r="881">
      <c r="A881" t="s">
        <v>944</v>
      </c>
      <c r="B881">
        <v>32</v>
      </c>
      <c r="C881" t="s">
        <v>2367</v>
      </c>
      <c r="D881" t="s">
        <v>2368</v>
      </c>
      <c r="E881">
        <v>11</v>
      </c>
    </row>
    <row r="882">
      <c r="A882" t="s">
        <v>944</v>
      </c>
      <c r="B882">
        <v>33</v>
      </c>
      <c r="C882" t="s">
        <v>2369</v>
      </c>
      <c r="D882" t="s">
        <v>2370</v>
      </c>
      <c r="E882">
        <v>11</v>
      </c>
    </row>
    <row r="883">
      <c r="A883" t="s">
        <v>944</v>
      </c>
      <c r="B883">
        <v>34</v>
      </c>
      <c r="C883" t="s">
        <v>2371</v>
      </c>
      <c r="D883" t="s">
        <v>2372</v>
      </c>
      <c r="E883">
        <v>11</v>
      </c>
    </row>
    <row r="884">
      <c r="A884" t="s">
        <v>944</v>
      </c>
      <c r="B884">
        <v>35</v>
      </c>
      <c r="C884" t="s">
        <v>2373</v>
      </c>
      <c r="D884" t="s">
        <v>2374</v>
      </c>
      <c r="E884">
        <v>11</v>
      </c>
    </row>
    <row r="885">
      <c r="A885" t="s">
        <v>944</v>
      </c>
      <c r="B885">
        <v>36</v>
      </c>
      <c r="C885" t="s">
        <v>2375</v>
      </c>
      <c r="D885" t="s">
        <v>2376</v>
      </c>
      <c r="E885">
        <v>11</v>
      </c>
    </row>
    <row r="886">
      <c r="A886" t="s">
        <v>944</v>
      </c>
      <c r="B886">
        <v>37</v>
      </c>
      <c r="C886" t="s">
        <v>2377</v>
      </c>
      <c r="D886" t="s">
        <v>2378</v>
      </c>
      <c r="E886">
        <v>11</v>
      </c>
    </row>
    <row r="887">
      <c r="A887" t="s">
        <v>944</v>
      </c>
      <c r="B887">
        <v>38</v>
      </c>
      <c r="C887" t="s">
        <v>2379</v>
      </c>
      <c r="D887" t="s">
        <v>2380</v>
      </c>
      <c r="E887">
        <v>11</v>
      </c>
    </row>
    <row r="888">
      <c r="A888" t="s">
        <v>944</v>
      </c>
      <c r="B888">
        <v>39</v>
      </c>
      <c r="C888" t="s">
        <v>2381</v>
      </c>
      <c r="D888" t="s">
        <v>2382</v>
      </c>
      <c r="E888">
        <v>11</v>
      </c>
    </row>
    <row r="889">
      <c r="A889" t="s">
        <v>944</v>
      </c>
      <c r="B889">
        <v>40</v>
      </c>
      <c r="C889" t="s">
        <v>2383</v>
      </c>
      <c r="D889" t="s">
        <v>2384</v>
      </c>
      <c r="E889">
        <v>11</v>
      </c>
    </row>
    <row r="890">
      <c r="A890" t="s">
        <v>944</v>
      </c>
      <c r="B890">
        <v>41</v>
      </c>
      <c r="C890" t="s">
        <v>2385</v>
      </c>
      <c r="D890" t="s">
        <v>2386</v>
      </c>
      <c r="E890">
        <v>11</v>
      </c>
    </row>
    <row r="891">
      <c r="A891" t="s">
        <v>944</v>
      </c>
      <c r="B891">
        <v>42</v>
      </c>
      <c r="C891" t="s">
        <v>2387</v>
      </c>
      <c r="D891" t="s">
        <v>2388</v>
      </c>
      <c r="E891">
        <v>11</v>
      </c>
    </row>
    <row r="892">
      <c r="A892" t="s">
        <v>944</v>
      </c>
      <c r="B892">
        <v>43</v>
      </c>
      <c r="C892" t="s">
        <v>2389</v>
      </c>
      <c r="D892" t="s">
        <v>2390</v>
      </c>
      <c r="E892">
        <v>11</v>
      </c>
    </row>
    <row r="893">
      <c r="A893" t="s">
        <v>944</v>
      </c>
      <c r="B893">
        <v>45</v>
      </c>
      <c r="C893" t="s">
        <v>2391</v>
      </c>
      <c r="D893" t="s">
        <v>2392</v>
      </c>
      <c r="E893">
        <v>11</v>
      </c>
    </row>
    <row r="894">
      <c r="A894" t="s">
        <v>944</v>
      </c>
      <c r="B894">
        <v>46</v>
      </c>
      <c r="C894" t="s">
        <v>2393</v>
      </c>
      <c r="D894" t="s">
        <v>2394</v>
      </c>
      <c r="E894">
        <v>11</v>
      </c>
    </row>
    <row r="895">
      <c r="A895" t="s">
        <v>944</v>
      </c>
      <c r="B895">
        <v>47</v>
      </c>
      <c r="C895" t="s">
        <v>2395</v>
      </c>
      <c r="D895" t="s">
        <v>2396</v>
      </c>
      <c r="E895">
        <v>11</v>
      </c>
    </row>
    <row r="896">
      <c r="A896" t="s">
        <v>944</v>
      </c>
      <c r="B896">
        <v>48</v>
      </c>
      <c r="C896" t="s">
        <v>2397</v>
      </c>
      <c r="D896" t="s">
        <v>2398</v>
      </c>
      <c r="E896">
        <v>11</v>
      </c>
    </row>
    <row r="897">
      <c r="A897" t="s">
        <v>944</v>
      </c>
      <c r="B897">
        <v>50</v>
      </c>
      <c r="C897" t="s">
        <v>2399</v>
      </c>
      <c r="D897" t="s">
        <v>2400</v>
      </c>
      <c r="E897">
        <v>11</v>
      </c>
    </row>
    <row r="898">
      <c r="A898" t="s">
        <v>1002</v>
      </c>
      <c r="B898">
        <v>7</v>
      </c>
      <c r="C898" t="s">
        <v>2401</v>
      </c>
      <c r="D898" t="s">
        <v>2402</v>
      </c>
      <c r="E898">
        <v>31</v>
      </c>
    </row>
    <row r="899">
      <c r="A899" t="s">
        <v>1002</v>
      </c>
      <c r="B899">
        <v>8</v>
      </c>
      <c r="C899" t="s">
        <v>2403</v>
      </c>
      <c r="D899" t="s">
        <v>2404</v>
      </c>
      <c r="E899">
        <v>31</v>
      </c>
    </row>
    <row r="900">
      <c r="A900" t="s">
        <v>1002</v>
      </c>
      <c r="B900">
        <v>9</v>
      </c>
      <c r="C900" t="s">
        <v>2405</v>
      </c>
      <c r="D900" t="s">
        <v>2406</v>
      </c>
      <c r="E900">
        <v>31</v>
      </c>
    </row>
    <row r="901">
      <c r="A901" t="s">
        <v>1002</v>
      </c>
      <c r="B901">
        <v>10</v>
      </c>
      <c r="C901" t="s">
        <v>2407</v>
      </c>
      <c r="D901" t="s">
        <v>2408</v>
      </c>
      <c r="E901">
        <v>31</v>
      </c>
    </row>
    <row r="902">
      <c r="A902" t="s">
        <v>1002</v>
      </c>
      <c r="B902">
        <v>11</v>
      </c>
      <c r="C902" t="s">
        <v>2409</v>
      </c>
      <c r="D902" t="s">
        <v>2410</v>
      </c>
      <c r="E902">
        <v>31</v>
      </c>
    </row>
    <row r="903">
      <c r="A903" t="s">
        <v>1002</v>
      </c>
      <c r="B903">
        <v>12</v>
      </c>
      <c r="C903" t="s">
        <v>2411</v>
      </c>
      <c r="D903" t="s">
        <v>2412</v>
      </c>
      <c r="E903">
        <v>31</v>
      </c>
    </row>
    <row r="904">
      <c r="A904" t="s">
        <v>1002</v>
      </c>
      <c r="B904">
        <v>13</v>
      </c>
      <c r="C904" t="s">
        <v>2413</v>
      </c>
      <c r="D904" t="s">
        <v>2414</v>
      </c>
      <c r="E904">
        <v>31</v>
      </c>
    </row>
    <row r="905">
      <c r="A905" t="s">
        <v>1002</v>
      </c>
      <c r="B905">
        <v>14</v>
      </c>
      <c r="C905" t="s">
        <v>2415</v>
      </c>
      <c r="D905" t="s">
        <v>2416</v>
      </c>
      <c r="E905">
        <v>31</v>
      </c>
    </row>
    <row r="906">
      <c r="A906" t="s">
        <v>1002</v>
      </c>
      <c r="B906">
        <v>15</v>
      </c>
      <c r="C906" t="s">
        <v>2417</v>
      </c>
      <c r="D906" t="s">
        <v>2418</v>
      </c>
      <c r="E906">
        <v>31</v>
      </c>
    </row>
    <row r="907">
      <c r="A907" t="s">
        <v>1002</v>
      </c>
      <c r="B907">
        <v>16</v>
      </c>
      <c r="C907" t="s">
        <v>2419</v>
      </c>
      <c r="D907" t="s">
        <v>2420</v>
      </c>
      <c r="E907">
        <v>31</v>
      </c>
    </row>
    <row r="908">
      <c r="A908" t="s">
        <v>1002</v>
      </c>
      <c r="B908">
        <v>17</v>
      </c>
      <c r="C908" t="s">
        <v>2421</v>
      </c>
      <c r="D908" t="s">
        <v>2422</v>
      </c>
      <c r="E908">
        <v>31</v>
      </c>
    </row>
    <row r="909">
      <c r="A909" t="s">
        <v>1002</v>
      </c>
      <c r="B909">
        <v>18</v>
      </c>
      <c r="C909" t="s">
        <v>2423</v>
      </c>
      <c r="D909" t="s">
        <v>2424</v>
      </c>
      <c r="E909">
        <v>31</v>
      </c>
    </row>
    <row r="910">
      <c r="A910" t="s">
        <v>1002</v>
      </c>
      <c r="B910">
        <v>19</v>
      </c>
      <c r="C910" t="s">
        <v>2425</v>
      </c>
      <c r="D910" t="s">
        <v>2426</v>
      </c>
      <c r="E910">
        <v>31</v>
      </c>
    </row>
    <row r="911">
      <c r="A911" t="s">
        <v>1002</v>
      </c>
      <c r="B911">
        <v>20</v>
      </c>
      <c r="C911" t="s">
        <v>2427</v>
      </c>
      <c r="D911" t="s">
        <v>2428</v>
      </c>
      <c r="E911">
        <v>31</v>
      </c>
    </row>
    <row r="912">
      <c r="A912" t="s">
        <v>1002</v>
      </c>
      <c r="B912">
        <v>21</v>
      </c>
      <c r="C912" t="s">
        <v>2429</v>
      </c>
      <c r="D912" t="s">
        <v>2430</v>
      </c>
      <c r="E912">
        <v>31</v>
      </c>
    </row>
    <row r="913">
      <c r="A913" t="s">
        <v>1002</v>
      </c>
      <c r="B913">
        <v>22</v>
      </c>
      <c r="C913" t="s">
        <v>2431</v>
      </c>
      <c r="D913" t="s">
        <v>2432</v>
      </c>
      <c r="E913">
        <v>31</v>
      </c>
    </row>
    <row r="914">
      <c r="A914" t="s">
        <v>1002</v>
      </c>
      <c r="B914">
        <v>23</v>
      </c>
      <c r="C914" t="s">
        <v>2433</v>
      </c>
      <c r="D914" t="s">
        <v>2434</v>
      </c>
      <c r="E914">
        <v>31</v>
      </c>
    </row>
    <row r="915">
      <c r="A915" t="s">
        <v>1002</v>
      </c>
      <c r="B915">
        <v>24</v>
      </c>
      <c r="C915" t="s">
        <v>2435</v>
      </c>
      <c r="D915" t="s">
        <v>2436</v>
      </c>
      <c r="E915">
        <v>31</v>
      </c>
    </row>
    <row r="916">
      <c r="A916" t="s">
        <v>1002</v>
      </c>
      <c r="B916">
        <v>25</v>
      </c>
      <c r="C916" t="s">
        <v>2437</v>
      </c>
      <c r="D916" t="s">
        <v>2438</v>
      </c>
      <c r="E916">
        <v>31</v>
      </c>
    </row>
    <row r="917">
      <c r="A917" t="s">
        <v>1002</v>
      </c>
      <c r="B917">
        <v>26</v>
      </c>
      <c r="C917" t="s">
        <v>2439</v>
      </c>
      <c r="D917" t="s">
        <v>2440</v>
      </c>
      <c r="E917">
        <v>31</v>
      </c>
    </row>
    <row r="918">
      <c r="A918" t="s">
        <v>1002</v>
      </c>
      <c r="B918">
        <v>27</v>
      </c>
      <c r="C918" t="s">
        <v>2441</v>
      </c>
      <c r="D918" t="s">
        <v>2442</v>
      </c>
      <c r="E918">
        <v>31</v>
      </c>
    </row>
    <row r="919">
      <c r="A919" t="s">
        <v>1002</v>
      </c>
      <c r="B919">
        <v>28</v>
      </c>
      <c r="C919" t="s">
        <v>2443</v>
      </c>
      <c r="D919" t="s">
        <v>2444</v>
      </c>
      <c r="E919">
        <v>31</v>
      </c>
    </row>
    <row r="920">
      <c r="A920" t="s">
        <v>1002</v>
      </c>
      <c r="B920">
        <v>29</v>
      </c>
      <c r="C920" t="s">
        <v>2445</v>
      </c>
      <c r="D920" t="s">
        <v>2446</v>
      </c>
      <c r="E920">
        <v>31</v>
      </c>
    </row>
    <row r="921">
      <c r="A921" t="s">
        <v>1002</v>
      </c>
      <c r="B921">
        <v>30</v>
      </c>
      <c r="C921" t="s">
        <v>2447</v>
      </c>
      <c r="D921" t="s">
        <v>2448</v>
      </c>
      <c r="E921">
        <v>31</v>
      </c>
    </row>
    <row r="922">
      <c r="A922" t="s">
        <v>1002</v>
      </c>
      <c r="B922">
        <v>31</v>
      </c>
      <c r="C922" t="s">
        <v>2449</v>
      </c>
      <c r="D922" t="s">
        <v>2450</v>
      </c>
      <c r="E922">
        <v>31</v>
      </c>
    </row>
    <row r="923">
      <c r="A923" t="s">
        <v>1002</v>
      </c>
      <c r="B923">
        <v>32</v>
      </c>
      <c r="C923" t="s">
        <v>2451</v>
      </c>
      <c r="D923" t="s">
        <v>2452</v>
      </c>
      <c r="E923">
        <v>31</v>
      </c>
    </row>
    <row r="924">
      <c r="A924" t="s">
        <v>1002</v>
      </c>
      <c r="B924">
        <v>33</v>
      </c>
      <c r="C924" t="s">
        <v>2453</v>
      </c>
      <c r="D924" t="s">
        <v>2454</v>
      </c>
      <c r="E924">
        <v>31</v>
      </c>
    </row>
    <row r="925">
      <c r="A925" t="s">
        <v>1002</v>
      </c>
      <c r="B925">
        <v>34</v>
      </c>
      <c r="C925" t="s">
        <v>2455</v>
      </c>
      <c r="D925" t="s">
        <v>2456</v>
      </c>
      <c r="E925">
        <v>31</v>
      </c>
    </row>
    <row r="926">
      <c r="A926" t="s">
        <v>1002</v>
      </c>
      <c r="B926">
        <v>35</v>
      </c>
      <c r="C926" t="s">
        <v>2457</v>
      </c>
      <c r="D926" t="s">
        <v>2458</v>
      </c>
      <c r="E926">
        <v>31</v>
      </c>
    </row>
    <row r="927">
      <c r="A927" t="s">
        <v>1002</v>
      </c>
      <c r="B927">
        <v>36</v>
      </c>
      <c r="C927" t="s">
        <v>2459</v>
      </c>
      <c r="D927" t="s">
        <v>2460</v>
      </c>
      <c r="E927">
        <v>31</v>
      </c>
    </row>
    <row r="928">
      <c r="A928" t="s">
        <v>1002</v>
      </c>
      <c r="B928">
        <v>37</v>
      </c>
      <c r="C928" t="s">
        <v>2461</v>
      </c>
      <c r="D928" t="s">
        <v>2462</v>
      </c>
      <c r="E928">
        <v>31</v>
      </c>
    </row>
    <row r="929">
      <c r="A929" t="s">
        <v>1002</v>
      </c>
      <c r="B929">
        <v>38</v>
      </c>
      <c r="C929" t="s">
        <v>2463</v>
      </c>
      <c r="D929" t="s">
        <v>2464</v>
      </c>
      <c r="E929">
        <v>31</v>
      </c>
    </row>
    <row r="930">
      <c r="A930" t="s">
        <v>1002</v>
      </c>
      <c r="B930">
        <v>39</v>
      </c>
      <c r="C930" t="s">
        <v>2465</v>
      </c>
      <c r="D930" t="s">
        <v>2466</v>
      </c>
      <c r="E930">
        <v>31</v>
      </c>
    </row>
    <row r="931">
      <c r="A931" t="s">
        <v>1002</v>
      </c>
      <c r="B931">
        <v>40</v>
      </c>
      <c r="C931" t="s">
        <v>2467</v>
      </c>
      <c r="D931" t="s">
        <v>2468</v>
      </c>
      <c r="E931">
        <v>31</v>
      </c>
    </row>
    <row r="932">
      <c r="A932" t="s">
        <v>1002</v>
      </c>
      <c r="B932">
        <v>41</v>
      </c>
      <c r="C932" t="s">
        <v>2469</v>
      </c>
      <c r="D932" t="s">
        <v>2470</v>
      </c>
      <c r="E932">
        <v>31</v>
      </c>
    </row>
    <row r="933">
      <c r="A933" t="s">
        <v>1002</v>
      </c>
      <c r="B933">
        <v>42</v>
      </c>
      <c r="C933" t="s">
        <v>2471</v>
      </c>
      <c r="D933" t="s">
        <v>2472</v>
      </c>
      <c r="E933">
        <v>31</v>
      </c>
    </row>
    <row r="934">
      <c r="A934" t="s">
        <v>1002</v>
      </c>
      <c r="B934">
        <v>43</v>
      </c>
      <c r="C934" t="s">
        <v>2473</v>
      </c>
      <c r="D934" t="s">
        <v>2474</v>
      </c>
      <c r="E934">
        <v>31</v>
      </c>
    </row>
    <row r="935">
      <c r="A935" t="s">
        <v>1002</v>
      </c>
      <c r="B935">
        <v>44</v>
      </c>
      <c r="C935" t="s">
        <v>2475</v>
      </c>
      <c r="D935" t="s">
        <v>2476</v>
      </c>
      <c r="E935">
        <v>31</v>
      </c>
    </row>
    <row r="936">
      <c r="A936" t="s">
        <v>1002</v>
      </c>
      <c r="B936">
        <v>45</v>
      </c>
      <c r="C936" t="s">
        <v>2477</v>
      </c>
      <c r="D936" t="s">
        <v>2478</v>
      </c>
      <c r="E936">
        <v>31</v>
      </c>
    </row>
    <row r="937">
      <c r="A937" t="s">
        <v>1002</v>
      </c>
      <c r="B937">
        <v>46</v>
      </c>
      <c r="C937" t="s">
        <v>2479</v>
      </c>
      <c r="D937" t="s">
        <v>2480</v>
      </c>
      <c r="E937">
        <v>31</v>
      </c>
    </row>
    <row r="938">
      <c r="A938" t="s">
        <v>1002</v>
      </c>
      <c r="B938">
        <v>47</v>
      </c>
      <c r="C938" t="s">
        <v>2481</v>
      </c>
      <c r="D938" t="s">
        <v>2482</v>
      </c>
      <c r="E938">
        <v>31</v>
      </c>
    </row>
    <row r="939">
      <c r="A939" t="s">
        <v>1002</v>
      </c>
      <c r="B939">
        <v>48</v>
      </c>
      <c r="C939" t="s">
        <v>2483</v>
      </c>
      <c r="D939" t="s">
        <v>2484</v>
      </c>
      <c r="E939">
        <v>31</v>
      </c>
    </row>
    <row r="940">
      <c r="A940" t="s">
        <v>1002</v>
      </c>
      <c r="B940">
        <v>49</v>
      </c>
      <c r="C940" t="s">
        <v>2485</v>
      </c>
      <c r="D940" t="s">
        <v>2486</v>
      </c>
      <c r="E940">
        <v>31</v>
      </c>
    </row>
    <row r="941">
      <c r="A941" t="s">
        <v>1002</v>
      </c>
      <c r="B941">
        <v>50</v>
      </c>
      <c r="C941" t="s">
        <v>2487</v>
      </c>
      <c r="D941" t="s">
        <v>2488</v>
      </c>
      <c r="E941">
        <v>31</v>
      </c>
    </row>
    <row r="942">
      <c r="A942" t="s">
        <v>1002</v>
      </c>
      <c r="B942">
        <v>51</v>
      </c>
      <c r="C942" t="s">
        <v>2489</v>
      </c>
      <c r="D942" t="s">
        <v>2490</v>
      </c>
      <c r="E942">
        <v>31</v>
      </c>
    </row>
    <row r="943">
      <c r="A943" t="s">
        <v>1002</v>
      </c>
      <c r="B943">
        <v>52</v>
      </c>
      <c r="C943" t="s">
        <v>2491</v>
      </c>
      <c r="D943" t="s">
        <v>2492</v>
      </c>
      <c r="E943">
        <v>31</v>
      </c>
    </row>
    <row r="944">
      <c r="A944" t="s">
        <v>1002</v>
      </c>
      <c r="B944">
        <v>53</v>
      </c>
      <c r="C944" t="s">
        <v>2493</v>
      </c>
      <c r="D944" t="s">
        <v>2494</v>
      </c>
      <c r="E944">
        <v>31</v>
      </c>
    </row>
    <row r="945">
      <c r="A945" t="s">
        <v>1002</v>
      </c>
      <c r="B945">
        <v>54</v>
      </c>
      <c r="C945" t="s">
        <v>2495</v>
      </c>
      <c r="D945" t="s">
        <v>2496</v>
      </c>
      <c r="E945">
        <v>31</v>
      </c>
    </row>
    <row r="946">
      <c r="A946" t="s">
        <v>1002</v>
      </c>
      <c r="B946">
        <v>55</v>
      </c>
      <c r="C946" t="s">
        <v>2497</v>
      </c>
      <c r="D946" t="s">
        <v>2498</v>
      </c>
      <c r="E946">
        <v>31</v>
      </c>
    </row>
    <row r="947">
      <c r="A947" t="s">
        <v>1002</v>
      </c>
      <c r="B947">
        <v>56</v>
      </c>
      <c r="C947" t="s">
        <v>2499</v>
      </c>
      <c r="D947" t="s">
        <v>2500</v>
      </c>
      <c r="E947">
        <v>31</v>
      </c>
    </row>
    <row r="948">
      <c r="A948" t="s">
        <v>2501</v>
      </c>
      <c r="B948" t="s">
        <v>2502</v>
      </c>
      <c r="C948" t="s">
        <v>2503</v>
      </c>
      <c r="D948"/>
      <c r="E948">
        <v>1</v>
      </c>
    </row>
    <row r="949">
      <c r="A949" t="s">
        <v>2501</v>
      </c>
      <c r="B949" t="s">
        <v>2504</v>
      </c>
      <c r="C949" t="s">
        <v>2505</v>
      </c>
      <c r="D949"/>
      <c r="E949">
        <v>1</v>
      </c>
    </row>
    <row r="950">
      <c r="A950" t="s">
        <v>2501</v>
      </c>
      <c r="B950" t="s">
        <v>2506</v>
      </c>
      <c r="C950" t="s">
        <v>2507</v>
      </c>
      <c r="D950"/>
      <c r="E950">
        <v>1</v>
      </c>
    </row>
    <row r="951">
      <c r="A951" t="s">
        <v>2501</v>
      </c>
      <c r="B951" t="s">
        <v>2508</v>
      </c>
      <c r="C951" t="s">
        <v>2509</v>
      </c>
      <c r="D951"/>
      <c r="E951">
        <v>1</v>
      </c>
    </row>
    <row r="952">
      <c r="A952" t="s">
        <v>2501</v>
      </c>
      <c r="B952" t="s">
        <v>2510</v>
      </c>
      <c r="C952" t="s">
        <v>2511</v>
      </c>
      <c r="D952"/>
      <c r="E952">
        <v>1</v>
      </c>
    </row>
    <row r="953">
      <c r="A953" t="s">
        <v>2501</v>
      </c>
      <c r="B953" t="s">
        <v>2512</v>
      </c>
      <c r="C953" t="s">
        <v>2513</v>
      </c>
      <c r="D953"/>
      <c r="E953">
        <v>1</v>
      </c>
    </row>
    <row r="954">
      <c r="A954" t="s">
        <v>2501</v>
      </c>
      <c r="B954" t="s">
        <v>2514</v>
      </c>
      <c r="C954" t="s">
        <v>2515</v>
      </c>
      <c r="D954"/>
      <c r="E954">
        <v>1</v>
      </c>
    </row>
    <row r="955">
      <c r="A955" t="s">
        <v>2501</v>
      </c>
      <c r="B955" t="s">
        <v>2516</v>
      </c>
      <c r="C955" t="s">
        <v>2517</v>
      </c>
      <c r="D955"/>
      <c r="E955">
        <v>1</v>
      </c>
    </row>
    <row r="956">
      <c r="A956" t="s">
        <v>2501</v>
      </c>
      <c r="B956" t="s">
        <v>2518</v>
      </c>
      <c r="C956" t="s">
        <v>2519</v>
      </c>
      <c r="D956"/>
      <c r="E956">
        <v>1</v>
      </c>
    </row>
    <row r="957">
      <c r="A957" t="s">
        <v>2501</v>
      </c>
      <c r="B957" t="s">
        <v>2520</v>
      </c>
      <c r="C957" t="s">
        <v>2521</v>
      </c>
      <c r="D957"/>
      <c r="E957">
        <v>1</v>
      </c>
    </row>
    <row r="958">
      <c r="A958" t="s">
        <v>2501</v>
      </c>
      <c r="B958" t="s">
        <v>2522</v>
      </c>
      <c r="C958" t="s">
        <v>2523</v>
      </c>
      <c r="D958"/>
      <c r="E958">
        <v>1</v>
      </c>
    </row>
    <row r="959">
      <c r="A959" t="s">
        <v>2501</v>
      </c>
      <c r="B959" t="s">
        <v>2524</v>
      </c>
      <c r="C959" t="s">
        <v>2525</v>
      </c>
      <c r="D959"/>
      <c r="E959">
        <v>1</v>
      </c>
    </row>
    <row r="960">
      <c r="A960" t="s">
        <v>2501</v>
      </c>
      <c r="B960" t="s">
        <v>2526</v>
      </c>
      <c r="C960" t="s">
        <v>2527</v>
      </c>
      <c r="D960"/>
      <c r="E960">
        <v>1</v>
      </c>
    </row>
    <row r="961">
      <c r="A961" t="s">
        <v>2501</v>
      </c>
      <c r="B961" t="s">
        <v>2528</v>
      </c>
      <c r="C961" t="s">
        <v>2529</v>
      </c>
      <c r="D961"/>
      <c r="E961">
        <v>1</v>
      </c>
    </row>
    <row r="962">
      <c r="A962" t="s">
        <v>2501</v>
      </c>
      <c r="B962" t="s">
        <v>2530</v>
      </c>
      <c r="C962" t="s">
        <v>2531</v>
      </c>
      <c r="D962"/>
      <c r="E962">
        <v>1</v>
      </c>
    </row>
    <row r="963">
      <c r="A963" t="s">
        <v>2501</v>
      </c>
      <c r="B963" t="s">
        <v>2532</v>
      </c>
      <c r="C963" t="s">
        <v>2533</v>
      </c>
      <c r="D963"/>
      <c r="E963">
        <v>1</v>
      </c>
    </row>
    <row r="964">
      <c r="A964" t="s">
        <v>2501</v>
      </c>
      <c r="B964" t="s">
        <v>2534</v>
      </c>
      <c r="C964" t="s">
        <v>2535</v>
      </c>
      <c r="D964"/>
      <c r="E964">
        <v>1</v>
      </c>
    </row>
    <row r="965">
      <c r="A965" t="s">
        <v>2501</v>
      </c>
      <c r="B965" t="s">
        <v>2536</v>
      </c>
      <c r="C965" t="s">
        <v>2537</v>
      </c>
      <c r="D965"/>
      <c r="E965">
        <v>1</v>
      </c>
    </row>
    <row r="966">
      <c r="A966" t="s">
        <v>2501</v>
      </c>
      <c r="B966" t="s">
        <v>2538</v>
      </c>
      <c r="C966" t="s">
        <v>2539</v>
      </c>
      <c r="D966"/>
      <c r="E966">
        <v>1</v>
      </c>
    </row>
    <row r="967">
      <c r="A967" t="s">
        <v>2501</v>
      </c>
      <c r="B967" t="s">
        <v>2540</v>
      </c>
      <c r="C967" t="s">
        <v>2541</v>
      </c>
      <c r="D967"/>
      <c r="E967">
        <v>1</v>
      </c>
    </row>
    <row r="968">
      <c r="A968" t="s">
        <v>2501</v>
      </c>
      <c r="B968" t="s">
        <v>2542</v>
      </c>
      <c r="C968" t="s">
        <v>2543</v>
      </c>
      <c r="D968"/>
      <c r="E968">
        <v>1</v>
      </c>
    </row>
    <row r="969">
      <c r="A969" t="s">
        <v>2501</v>
      </c>
      <c r="B969" t="s">
        <v>2544</v>
      </c>
      <c r="C969" t="s">
        <v>2545</v>
      </c>
      <c r="D969"/>
      <c r="E969">
        <v>1</v>
      </c>
    </row>
    <row r="970">
      <c r="A970" t="s">
        <v>2501</v>
      </c>
      <c r="B970" t="s">
        <v>2546</v>
      </c>
      <c r="C970" t="s">
        <v>2547</v>
      </c>
      <c r="D970"/>
      <c r="E970">
        <v>1</v>
      </c>
    </row>
    <row r="971">
      <c r="A971" t="s">
        <v>2501</v>
      </c>
      <c r="B971" t="s">
        <v>2548</v>
      </c>
      <c r="C971" t="s">
        <v>2549</v>
      </c>
      <c r="D971"/>
      <c r="E971">
        <v>1</v>
      </c>
    </row>
    <row r="972">
      <c r="A972" t="s">
        <v>2501</v>
      </c>
      <c r="B972" t="s">
        <v>2550</v>
      </c>
      <c r="C972" t="s">
        <v>2551</v>
      </c>
      <c r="D972"/>
      <c r="E972">
        <v>1</v>
      </c>
    </row>
    <row r="973">
      <c r="A973" t="s">
        <v>2501</v>
      </c>
      <c r="B973" t="s">
        <v>2552</v>
      </c>
      <c r="C973" t="s">
        <v>2553</v>
      </c>
      <c r="D973"/>
      <c r="E973">
        <v>1</v>
      </c>
    </row>
    <row r="974">
      <c r="A974" t="s">
        <v>2501</v>
      </c>
      <c r="B974" t="s">
        <v>2554</v>
      </c>
      <c r="C974" t="s">
        <v>2555</v>
      </c>
      <c r="D974"/>
      <c r="E974">
        <v>1</v>
      </c>
    </row>
    <row r="975">
      <c r="A975" t="s">
        <v>2501</v>
      </c>
      <c r="B975" t="s">
        <v>2556</v>
      </c>
      <c r="C975" t="s">
        <v>2557</v>
      </c>
      <c r="D975"/>
      <c r="E975">
        <v>1</v>
      </c>
    </row>
    <row r="976">
      <c r="A976" t="s">
        <v>2501</v>
      </c>
      <c r="B976" t="s">
        <v>2558</v>
      </c>
      <c r="C976" t="s">
        <v>2559</v>
      </c>
      <c r="D976"/>
      <c r="E976">
        <v>1</v>
      </c>
    </row>
    <row r="977">
      <c r="A977" t="s">
        <v>2501</v>
      </c>
      <c r="B977" t="s">
        <v>2560</v>
      </c>
      <c r="C977" t="s">
        <v>2561</v>
      </c>
      <c r="D977"/>
      <c r="E977">
        <v>1</v>
      </c>
    </row>
    <row r="978">
      <c r="A978" t="s">
        <v>2501</v>
      </c>
      <c r="B978" t="s">
        <v>2562</v>
      </c>
      <c r="C978" t="s">
        <v>2563</v>
      </c>
      <c r="D978"/>
      <c r="E978">
        <v>1</v>
      </c>
    </row>
    <row r="979">
      <c r="A979" t="s">
        <v>2501</v>
      </c>
      <c r="B979" t="s">
        <v>2564</v>
      </c>
      <c r="C979" t="s">
        <v>2565</v>
      </c>
      <c r="D979"/>
      <c r="E979">
        <v>1</v>
      </c>
    </row>
    <row r="980">
      <c r="A980" t="s">
        <v>2501</v>
      </c>
      <c r="B980" t="s">
        <v>2566</v>
      </c>
      <c r="C980" t="s">
        <v>2567</v>
      </c>
      <c r="D980"/>
      <c r="E980">
        <v>1</v>
      </c>
    </row>
    <row r="981">
      <c r="A981" t="s">
        <v>2501</v>
      </c>
      <c r="B981" t="s">
        <v>2568</v>
      </c>
      <c r="C981" t="s">
        <v>2569</v>
      </c>
      <c r="D981"/>
      <c r="E981">
        <v>1</v>
      </c>
    </row>
    <row r="982">
      <c r="A982" t="s">
        <v>2501</v>
      </c>
      <c r="B982" t="s">
        <v>2570</v>
      </c>
      <c r="C982" t="s">
        <v>2571</v>
      </c>
      <c r="D982"/>
      <c r="E982">
        <v>1</v>
      </c>
    </row>
    <row r="983">
      <c r="A983" t="s">
        <v>2501</v>
      </c>
      <c r="B983" t="s">
        <v>2572</v>
      </c>
      <c r="C983" t="s">
        <v>2573</v>
      </c>
      <c r="D983"/>
      <c r="E983">
        <v>1</v>
      </c>
    </row>
    <row r="984">
      <c r="A984" t="s">
        <v>2501</v>
      </c>
      <c r="B984" t="s">
        <v>2574</v>
      </c>
      <c r="C984" t="s">
        <v>2575</v>
      </c>
      <c r="D984"/>
      <c r="E984">
        <v>1</v>
      </c>
    </row>
    <row r="985">
      <c r="A985" t="s">
        <v>2501</v>
      </c>
      <c r="B985" t="s">
        <v>2576</v>
      </c>
      <c r="C985" t="s">
        <v>2577</v>
      </c>
      <c r="D985"/>
      <c r="E985">
        <v>1</v>
      </c>
    </row>
    <row r="986">
      <c r="A986" t="s">
        <v>2501</v>
      </c>
      <c r="B986" t="s">
        <v>2578</v>
      </c>
      <c r="C986" t="s">
        <v>2579</v>
      </c>
      <c r="D986"/>
      <c r="E986">
        <v>1</v>
      </c>
    </row>
    <row r="987">
      <c r="A987" t="s">
        <v>2501</v>
      </c>
      <c r="B987" t="s">
        <v>2580</v>
      </c>
      <c r="C987" t="s">
        <v>2581</v>
      </c>
      <c r="D987"/>
      <c r="E987">
        <v>1</v>
      </c>
    </row>
    <row r="988">
      <c r="A988" t="s">
        <v>2501</v>
      </c>
      <c r="B988" t="s">
        <v>2582</v>
      </c>
      <c r="C988" t="s">
        <v>2583</v>
      </c>
      <c r="D988"/>
      <c r="E988">
        <v>1</v>
      </c>
    </row>
    <row r="989">
      <c r="A989" t="s">
        <v>2501</v>
      </c>
      <c r="B989" t="s">
        <v>2584</v>
      </c>
      <c r="C989" t="s">
        <v>2585</v>
      </c>
      <c r="D989"/>
      <c r="E989">
        <v>1</v>
      </c>
    </row>
    <row r="990">
      <c r="A990" t="s">
        <v>2501</v>
      </c>
      <c r="B990" t="s">
        <v>2586</v>
      </c>
      <c r="C990" t="s">
        <v>2587</v>
      </c>
      <c r="D990"/>
      <c r="E990">
        <v>1</v>
      </c>
    </row>
    <row r="991">
      <c r="A991" t="s">
        <v>2501</v>
      </c>
      <c r="B991" t="s">
        <v>2588</v>
      </c>
      <c r="C991" t="s">
        <v>2589</v>
      </c>
      <c r="D991"/>
      <c r="E991">
        <v>1</v>
      </c>
    </row>
    <row r="992">
      <c r="A992" t="s">
        <v>2501</v>
      </c>
      <c r="B992" t="s">
        <v>2590</v>
      </c>
      <c r="C992" t="s">
        <v>2591</v>
      </c>
      <c r="D992"/>
      <c r="E992">
        <v>1</v>
      </c>
    </row>
    <row r="993">
      <c r="A993" t="s">
        <v>2501</v>
      </c>
      <c r="B993" t="s">
        <v>2592</v>
      </c>
      <c r="C993" t="s">
        <v>2593</v>
      </c>
      <c r="D993"/>
      <c r="E993">
        <v>1</v>
      </c>
    </row>
    <row r="994">
      <c r="A994" t="s">
        <v>2501</v>
      </c>
      <c r="B994" t="s">
        <v>2594</v>
      </c>
      <c r="C994" t="s">
        <v>2595</v>
      </c>
      <c r="D994"/>
      <c r="E994">
        <v>1</v>
      </c>
    </row>
    <row r="995">
      <c r="A995" t="s">
        <v>2501</v>
      </c>
      <c r="B995" t="s">
        <v>2596</v>
      </c>
      <c r="C995" t="s">
        <v>2597</v>
      </c>
      <c r="D995"/>
      <c r="E995">
        <v>1</v>
      </c>
    </row>
    <row r="996">
      <c r="A996" t="s">
        <v>2501</v>
      </c>
      <c r="B996" t="s">
        <v>2598</v>
      </c>
      <c r="C996" t="s">
        <v>2599</v>
      </c>
      <c r="D996"/>
      <c r="E996">
        <v>1</v>
      </c>
    </row>
    <row r="997">
      <c r="A997" t="s">
        <v>2501</v>
      </c>
      <c r="B997" t="s">
        <v>2600</v>
      </c>
      <c r="C997" t="s">
        <v>2601</v>
      </c>
      <c r="D997"/>
      <c r="E997">
        <v>1</v>
      </c>
    </row>
    <row r="998">
      <c r="A998" t="s">
        <v>2501</v>
      </c>
      <c r="B998" t="s">
        <v>2602</v>
      </c>
      <c r="C998" t="s">
        <v>2603</v>
      </c>
      <c r="D998"/>
      <c r="E998">
        <v>1</v>
      </c>
    </row>
    <row r="999">
      <c r="A999" t="s">
        <v>2501</v>
      </c>
      <c r="B999" t="s">
        <v>2604</v>
      </c>
      <c r="C999" t="s">
        <v>2605</v>
      </c>
      <c r="D999"/>
      <c r="E999">
        <v>1</v>
      </c>
    </row>
    <row r="1000">
      <c r="A1000" t="s">
        <v>2501</v>
      </c>
      <c r="B1000" t="s">
        <v>2606</v>
      </c>
      <c r="C1000" t="s">
        <v>2607</v>
      </c>
      <c r="D1000"/>
      <c r="E1000">
        <v>1</v>
      </c>
    </row>
    <row r="1001">
      <c r="A1001" t="s">
        <v>2501</v>
      </c>
      <c r="B1001" t="s">
        <v>2608</v>
      </c>
      <c r="C1001" t="s">
        <v>2609</v>
      </c>
      <c r="D1001"/>
      <c r="E1001">
        <v>1</v>
      </c>
    </row>
    <row r="1002">
      <c r="A1002" t="s">
        <v>2501</v>
      </c>
      <c r="B1002" t="s">
        <v>2610</v>
      </c>
      <c r="C1002" t="s">
        <v>2611</v>
      </c>
      <c r="D1002"/>
      <c r="E1002">
        <v>1</v>
      </c>
    </row>
    <row r="1003">
      <c r="A1003" t="s">
        <v>2501</v>
      </c>
      <c r="B1003" t="s">
        <v>2612</v>
      </c>
      <c r="C1003" t="s">
        <v>2613</v>
      </c>
      <c r="D1003"/>
      <c r="E1003">
        <v>1</v>
      </c>
    </row>
    <row r="1004">
      <c r="A1004" t="s">
        <v>2501</v>
      </c>
      <c r="B1004" t="s">
        <v>2614</v>
      </c>
      <c r="C1004" t="s">
        <v>2615</v>
      </c>
      <c r="D1004"/>
      <c r="E1004">
        <v>1</v>
      </c>
    </row>
    <row r="1005">
      <c r="A1005" t="s">
        <v>2501</v>
      </c>
      <c r="B1005" t="s">
        <v>2616</v>
      </c>
      <c r="C1005" t="s">
        <v>2617</v>
      </c>
      <c r="D1005"/>
      <c r="E1005">
        <v>1</v>
      </c>
    </row>
    <row r="1006">
      <c r="A1006" t="s">
        <v>2501</v>
      </c>
      <c r="B1006" t="s">
        <v>2618</v>
      </c>
      <c r="C1006" t="s">
        <v>2619</v>
      </c>
      <c r="D1006"/>
      <c r="E1006">
        <v>1</v>
      </c>
    </row>
    <row r="1007">
      <c r="A1007" t="s">
        <v>2501</v>
      </c>
      <c r="B1007" t="s">
        <v>2620</v>
      </c>
      <c r="C1007" t="s">
        <v>2621</v>
      </c>
      <c r="D1007"/>
      <c r="E1007">
        <v>1</v>
      </c>
    </row>
    <row r="1008">
      <c r="A1008" t="s">
        <v>2501</v>
      </c>
      <c r="B1008" t="s">
        <v>2622</v>
      </c>
      <c r="C1008" t="s">
        <v>2623</v>
      </c>
      <c r="D1008"/>
      <c r="E1008">
        <v>1</v>
      </c>
    </row>
    <row r="1009">
      <c r="A1009" t="s">
        <v>2501</v>
      </c>
      <c r="B1009" t="s">
        <v>2624</v>
      </c>
      <c r="C1009" t="s">
        <v>2625</v>
      </c>
      <c r="D1009"/>
      <c r="E1009">
        <v>1</v>
      </c>
    </row>
    <row r="1010">
      <c r="A1010" t="s">
        <v>2501</v>
      </c>
      <c r="B1010" t="s">
        <v>2626</v>
      </c>
      <c r="C1010" t="s">
        <v>2627</v>
      </c>
      <c r="D1010"/>
      <c r="E1010">
        <v>1</v>
      </c>
    </row>
    <row r="1011">
      <c r="A1011" t="s">
        <v>2501</v>
      </c>
      <c r="B1011" t="s">
        <v>2628</v>
      </c>
      <c r="C1011" t="s">
        <v>2629</v>
      </c>
      <c r="D1011"/>
      <c r="E1011">
        <v>1</v>
      </c>
    </row>
    <row r="1012">
      <c r="A1012" t="s">
        <v>2501</v>
      </c>
      <c r="B1012" t="s">
        <v>2630</v>
      </c>
      <c r="C1012" t="s">
        <v>2631</v>
      </c>
      <c r="D1012"/>
      <c r="E1012">
        <v>1</v>
      </c>
    </row>
    <row r="1013">
      <c r="A1013" t="s">
        <v>2501</v>
      </c>
      <c r="B1013" t="s">
        <v>2632</v>
      </c>
      <c r="C1013" t="s">
        <v>2633</v>
      </c>
      <c r="D1013"/>
      <c r="E1013">
        <v>1</v>
      </c>
    </row>
    <row r="1014">
      <c r="A1014" t="s">
        <v>2501</v>
      </c>
      <c r="B1014" t="s">
        <v>2634</v>
      </c>
      <c r="C1014" t="s">
        <v>2635</v>
      </c>
      <c r="D1014"/>
      <c r="E1014">
        <v>1</v>
      </c>
    </row>
    <row r="1015">
      <c r="A1015" t="s">
        <v>2501</v>
      </c>
      <c r="B1015" t="s">
        <v>2636</v>
      </c>
      <c r="C1015" t="s">
        <v>2637</v>
      </c>
      <c r="D1015"/>
      <c r="E1015">
        <v>1</v>
      </c>
    </row>
    <row r="1016">
      <c r="A1016" t="s">
        <v>2501</v>
      </c>
      <c r="B1016" t="s">
        <v>2638</v>
      </c>
      <c r="C1016" t="s">
        <v>2639</v>
      </c>
      <c r="D1016"/>
      <c r="E1016">
        <v>1</v>
      </c>
    </row>
    <row r="1017">
      <c r="A1017" t="s">
        <v>2501</v>
      </c>
      <c r="B1017" t="s">
        <v>2640</v>
      </c>
      <c r="C1017" t="s">
        <v>2641</v>
      </c>
      <c r="D1017"/>
      <c r="E1017">
        <v>1</v>
      </c>
    </row>
    <row r="1018">
      <c r="A1018" t="s">
        <v>2501</v>
      </c>
      <c r="B1018" t="s">
        <v>2642</v>
      </c>
      <c r="C1018" t="s">
        <v>2643</v>
      </c>
      <c r="D1018"/>
      <c r="E1018">
        <v>1</v>
      </c>
    </row>
    <row r="1019">
      <c r="A1019" t="s">
        <v>2501</v>
      </c>
      <c r="B1019" t="s">
        <v>2644</v>
      </c>
      <c r="C1019" t="s">
        <v>2645</v>
      </c>
      <c r="D1019"/>
      <c r="E1019">
        <v>1</v>
      </c>
    </row>
    <row r="1020">
      <c r="A1020" t="s">
        <v>2501</v>
      </c>
      <c r="B1020" t="s">
        <v>2646</v>
      </c>
      <c r="C1020" t="s">
        <v>2647</v>
      </c>
      <c r="D1020"/>
      <c r="E1020">
        <v>1</v>
      </c>
    </row>
    <row r="1021">
      <c r="A1021" t="s">
        <v>2501</v>
      </c>
      <c r="B1021" t="s">
        <v>2648</v>
      </c>
      <c r="C1021" t="s">
        <v>2649</v>
      </c>
      <c r="D1021"/>
      <c r="E1021">
        <v>1</v>
      </c>
    </row>
    <row r="1022">
      <c r="A1022" t="s">
        <v>2501</v>
      </c>
      <c r="B1022" t="s">
        <v>2650</v>
      </c>
      <c r="C1022" t="s">
        <v>2651</v>
      </c>
      <c r="D1022"/>
      <c r="E1022">
        <v>1</v>
      </c>
    </row>
    <row r="1023">
      <c r="A1023" t="s">
        <v>2501</v>
      </c>
      <c r="B1023" t="s">
        <v>2652</v>
      </c>
      <c r="C1023" t="s">
        <v>2653</v>
      </c>
      <c r="D1023"/>
      <c r="E1023">
        <v>1</v>
      </c>
    </row>
    <row r="1024">
      <c r="A1024" t="s">
        <v>2501</v>
      </c>
      <c r="B1024" t="s">
        <v>2654</v>
      </c>
      <c r="C1024" t="s">
        <v>2655</v>
      </c>
      <c r="D1024"/>
      <c r="E1024">
        <v>1</v>
      </c>
    </row>
    <row r="1025">
      <c r="A1025" t="s">
        <v>2501</v>
      </c>
      <c r="B1025" t="s">
        <v>2656</v>
      </c>
      <c r="C1025" t="s">
        <v>2657</v>
      </c>
      <c r="D1025"/>
      <c r="E1025">
        <v>1</v>
      </c>
    </row>
    <row r="1026">
      <c r="A1026" t="s">
        <v>2501</v>
      </c>
      <c r="B1026" t="s">
        <v>2658</v>
      </c>
      <c r="C1026" t="s">
        <v>2659</v>
      </c>
      <c r="D1026"/>
      <c r="E1026">
        <v>1</v>
      </c>
    </row>
    <row r="1027">
      <c r="A1027" t="s">
        <v>2501</v>
      </c>
      <c r="B1027" t="s">
        <v>2660</v>
      </c>
      <c r="C1027" t="s">
        <v>2661</v>
      </c>
      <c r="D1027"/>
      <c r="E1027">
        <v>1</v>
      </c>
    </row>
    <row r="1028">
      <c r="A1028" t="s">
        <v>2501</v>
      </c>
      <c r="B1028" t="s">
        <v>2662</v>
      </c>
      <c r="C1028" t="s">
        <v>2663</v>
      </c>
      <c r="D1028"/>
      <c r="E1028">
        <v>1</v>
      </c>
    </row>
    <row r="1029">
      <c r="A1029" t="s">
        <v>2501</v>
      </c>
      <c r="B1029" t="s">
        <v>2664</v>
      </c>
      <c r="C1029" t="s">
        <v>2665</v>
      </c>
      <c r="D1029"/>
      <c r="E1029">
        <v>1</v>
      </c>
    </row>
    <row r="1030">
      <c r="A1030" t="s">
        <v>2501</v>
      </c>
      <c r="B1030" t="s">
        <v>2666</v>
      </c>
      <c r="C1030" t="s">
        <v>2667</v>
      </c>
      <c r="D1030"/>
      <c r="E1030">
        <v>1</v>
      </c>
    </row>
    <row r="1031">
      <c r="A1031" t="s">
        <v>2501</v>
      </c>
      <c r="B1031" t="s">
        <v>2668</v>
      </c>
      <c r="C1031" t="s">
        <v>2669</v>
      </c>
      <c r="D1031"/>
      <c r="E1031">
        <v>1</v>
      </c>
    </row>
    <row r="1032">
      <c r="A1032" t="s">
        <v>2501</v>
      </c>
      <c r="B1032" t="s">
        <v>2670</v>
      </c>
      <c r="C1032" t="s">
        <v>2671</v>
      </c>
      <c r="D1032"/>
      <c r="E1032">
        <v>1</v>
      </c>
    </row>
    <row r="1033">
      <c r="A1033" t="s">
        <v>2501</v>
      </c>
      <c r="B1033" t="s">
        <v>2672</v>
      </c>
      <c r="C1033" t="s">
        <v>2673</v>
      </c>
      <c r="D1033"/>
      <c r="E1033">
        <v>1</v>
      </c>
    </row>
    <row r="1034">
      <c r="A1034" t="s">
        <v>2501</v>
      </c>
      <c r="B1034" t="s">
        <v>2674</v>
      </c>
      <c r="C1034" t="s">
        <v>2675</v>
      </c>
      <c r="D1034"/>
      <c r="E1034">
        <v>1</v>
      </c>
    </row>
    <row r="1035">
      <c r="A1035" t="s">
        <v>2501</v>
      </c>
      <c r="B1035" t="s">
        <v>2676</v>
      </c>
      <c r="C1035" t="s">
        <v>2677</v>
      </c>
      <c r="D1035"/>
      <c r="E1035">
        <v>1</v>
      </c>
    </row>
    <row r="1036">
      <c r="A1036" t="s">
        <v>2501</v>
      </c>
      <c r="B1036" t="s">
        <v>2678</v>
      </c>
      <c r="C1036" t="s">
        <v>2679</v>
      </c>
      <c r="D1036"/>
      <c r="E1036">
        <v>1</v>
      </c>
    </row>
    <row r="1037">
      <c r="A1037" t="s">
        <v>2501</v>
      </c>
      <c r="B1037" t="s">
        <v>2680</v>
      </c>
      <c r="C1037" t="s">
        <v>2681</v>
      </c>
      <c r="D1037"/>
      <c r="E1037">
        <v>1</v>
      </c>
    </row>
    <row r="1038">
      <c r="A1038" t="s">
        <v>2501</v>
      </c>
      <c r="B1038" t="s">
        <v>2682</v>
      </c>
      <c r="C1038" t="s">
        <v>2683</v>
      </c>
      <c r="D1038"/>
      <c r="E1038">
        <v>1</v>
      </c>
    </row>
    <row r="1039">
      <c r="A1039" t="s">
        <v>2501</v>
      </c>
      <c r="B1039" t="s">
        <v>2684</v>
      </c>
      <c r="C1039" t="s">
        <v>2685</v>
      </c>
      <c r="D1039"/>
      <c r="E1039">
        <v>1</v>
      </c>
    </row>
    <row r="1040">
      <c r="A1040" t="s">
        <v>2501</v>
      </c>
      <c r="B1040" t="s">
        <v>2686</v>
      </c>
      <c r="C1040" t="s">
        <v>2687</v>
      </c>
      <c r="D1040"/>
      <c r="E1040">
        <v>1</v>
      </c>
    </row>
    <row r="1041">
      <c r="A1041" t="s">
        <v>2501</v>
      </c>
      <c r="B1041" t="s">
        <v>2688</v>
      </c>
      <c r="C1041" t="s">
        <v>2689</v>
      </c>
      <c r="D1041"/>
      <c r="E1041">
        <v>1</v>
      </c>
    </row>
    <row r="1042">
      <c r="A1042" t="s">
        <v>2501</v>
      </c>
      <c r="B1042" t="s">
        <v>2690</v>
      </c>
      <c r="C1042" t="s">
        <v>2691</v>
      </c>
      <c r="D1042"/>
      <c r="E1042">
        <v>1</v>
      </c>
    </row>
    <row r="1043">
      <c r="A1043" t="s">
        <v>2501</v>
      </c>
      <c r="B1043" t="s">
        <v>2692</v>
      </c>
      <c r="C1043" t="s">
        <v>2693</v>
      </c>
      <c r="D1043"/>
      <c r="E1043">
        <v>1</v>
      </c>
    </row>
    <row r="1044">
      <c r="A1044" t="s">
        <v>2501</v>
      </c>
      <c r="B1044" t="s">
        <v>2694</v>
      </c>
      <c r="C1044" t="s">
        <v>2695</v>
      </c>
      <c r="D1044"/>
      <c r="E1044">
        <v>1</v>
      </c>
    </row>
    <row r="1045">
      <c r="A1045" t="s">
        <v>2501</v>
      </c>
      <c r="B1045" t="s">
        <v>2696</v>
      </c>
      <c r="C1045" t="s">
        <v>2697</v>
      </c>
      <c r="D1045"/>
      <c r="E1045">
        <v>1</v>
      </c>
    </row>
    <row r="1046">
      <c r="A1046" t="s">
        <v>2501</v>
      </c>
      <c r="B1046" t="s">
        <v>2698</v>
      </c>
      <c r="C1046" t="s">
        <v>2699</v>
      </c>
      <c r="D1046"/>
      <c r="E1046">
        <v>1</v>
      </c>
    </row>
    <row r="1047">
      <c r="A1047" t="s">
        <v>2501</v>
      </c>
      <c r="B1047" t="s">
        <v>2700</v>
      </c>
      <c r="C1047" t="s">
        <v>2701</v>
      </c>
      <c r="D1047"/>
      <c r="E1047">
        <v>1</v>
      </c>
    </row>
    <row r="1048">
      <c r="A1048" t="s">
        <v>2501</v>
      </c>
      <c r="B1048" t="s">
        <v>2702</v>
      </c>
      <c r="C1048" t="s">
        <v>2703</v>
      </c>
      <c r="D1048"/>
      <c r="E1048">
        <v>1</v>
      </c>
    </row>
    <row r="1049">
      <c r="A1049" t="s">
        <v>2501</v>
      </c>
      <c r="B1049" t="s">
        <v>2704</v>
      </c>
      <c r="C1049" t="s">
        <v>2705</v>
      </c>
      <c r="D1049"/>
      <c r="E1049">
        <v>1</v>
      </c>
    </row>
    <row r="1050">
      <c r="A1050" t="s">
        <v>2501</v>
      </c>
      <c r="B1050" t="s">
        <v>2706</v>
      </c>
      <c r="C1050" t="s">
        <v>2707</v>
      </c>
      <c r="D1050"/>
      <c r="E1050">
        <v>1</v>
      </c>
    </row>
    <row r="1051">
      <c r="A1051" t="s">
        <v>2501</v>
      </c>
      <c r="B1051" t="s">
        <v>2708</v>
      </c>
      <c r="C1051" t="s">
        <v>2709</v>
      </c>
      <c r="D1051"/>
      <c r="E1051">
        <v>1</v>
      </c>
    </row>
    <row r="1052">
      <c r="A1052" t="s">
        <v>2501</v>
      </c>
      <c r="B1052" t="s">
        <v>2710</v>
      </c>
      <c r="C1052" t="s">
        <v>2711</v>
      </c>
      <c r="D1052"/>
      <c r="E1052">
        <v>1</v>
      </c>
    </row>
    <row r="1053">
      <c r="A1053" t="s">
        <v>2501</v>
      </c>
      <c r="B1053" t="s">
        <v>2712</v>
      </c>
      <c r="C1053" t="s">
        <v>2713</v>
      </c>
      <c r="D1053"/>
      <c r="E1053">
        <v>1</v>
      </c>
    </row>
    <row r="1054">
      <c r="A1054" t="s">
        <v>2501</v>
      </c>
      <c r="B1054" t="s">
        <v>2714</v>
      </c>
      <c r="C1054" t="s">
        <v>2715</v>
      </c>
      <c r="D1054"/>
      <c r="E1054">
        <v>1</v>
      </c>
    </row>
    <row r="1055">
      <c r="A1055" t="s">
        <v>2501</v>
      </c>
      <c r="B1055" t="s">
        <v>2716</v>
      </c>
      <c r="C1055" t="s">
        <v>2717</v>
      </c>
      <c r="D1055"/>
      <c r="E1055">
        <v>1</v>
      </c>
    </row>
    <row r="1056">
      <c r="A1056" t="s">
        <v>2501</v>
      </c>
      <c r="B1056" t="s">
        <v>2718</v>
      </c>
      <c r="C1056" t="s">
        <v>2719</v>
      </c>
      <c r="D1056"/>
      <c r="E1056">
        <v>1</v>
      </c>
    </row>
    <row r="1057">
      <c r="A1057" t="s">
        <v>2501</v>
      </c>
      <c r="B1057" t="s">
        <v>2720</v>
      </c>
      <c r="C1057" t="s">
        <v>2721</v>
      </c>
      <c r="D1057"/>
      <c r="E1057">
        <v>1</v>
      </c>
    </row>
    <row r="1058">
      <c r="A1058" t="s">
        <v>2501</v>
      </c>
      <c r="B1058" t="s">
        <v>2722</v>
      </c>
      <c r="C1058" t="s">
        <v>2723</v>
      </c>
      <c r="D1058"/>
      <c r="E1058">
        <v>1</v>
      </c>
    </row>
    <row r="1059">
      <c r="A1059" t="s">
        <v>2501</v>
      </c>
      <c r="B1059" t="s">
        <v>2724</v>
      </c>
      <c r="C1059" t="s">
        <v>2725</v>
      </c>
      <c r="D1059"/>
      <c r="E1059">
        <v>1</v>
      </c>
    </row>
    <row r="1060">
      <c r="A1060" t="s">
        <v>2501</v>
      </c>
      <c r="B1060" t="s">
        <v>2726</v>
      </c>
      <c r="C1060" t="s">
        <v>2727</v>
      </c>
      <c r="D1060"/>
      <c r="E1060">
        <v>1</v>
      </c>
    </row>
    <row r="1061">
      <c r="A1061" t="s">
        <v>2501</v>
      </c>
      <c r="B1061" t="s">
        <v>2728</v>
      </c>
      <c r="C1061" t="s">
        <v>2729</v>
      </c>
      <c r="D1061"/>
      <c r="E1061">
        <v>1</v>
      </c>
    </row>
    <row r="1062">
      <c r="A1062" t="s">
        <v>2501</v>
      </c>
      <c r="B1062" t="s">
        <v>2730</v>
      </c>
      <c r="C1062" t="s">
        <v>2731</v>
      </c>
      <c r="D1062"/>
      <c r="E1062">
        <v>1</v>
      </c>
    </row>
    <row r="1063">
      <c r="A1063" t="s">
        <v>2501</v>
      </c>
      <c r="B1063" t="s">
        <v>2732</v>
      </c>
      <c r="C1063" t="s">
        <v>2733</v>
      </c>
      <c r="D1063"/>
      <c r="E1063">
        <v>1</v>
      </c>
    </row>
    <row r="1064">
      <c r="A1064" t="s">
        <v>2501</v>
      </c>
      <c r="B1064" t="s">
        <v>2734</v>
      </c>
      <c r="C1064" t="s">
        <v>2735</v>
      </c>
      <c r="D1064"/>
      <c r="E1064">
        <v>1</v>
      </c>
    </row>
    <row r="1065">
      <c r="A1065" t="s">
        <v>2501</v>
      </c>
      <c r="B1065" t="s">
        <v>2736</v>
      </c>
      <c r="C1065" t="s">
        <v>2737</v>
      </c>
      <c r="D1065"/>
      <c r="E1065">
        <v>1</v>
      </c>
    </row>
    <row r="1066">
      <c r="A1066" t="s">
        <v>2501</v>
      </c>
      <c r="B1066" t="s">
        <v>2738</v>
      </c>
      <c r="C1066" t="s">
        <v>2739</v>
      </c>
      <c r="D1066"/>
      <c r="E1066">
        <v>1</v>
      </c>
    </row>
    <row r="1067">
      <c r="A1067" t="s">
        <v>2501</v>
      </c>
      <c r="B1067" t="s">
        <v>2740</v>
      </c>
      <c r="C1067" t="s">
        <v>2741</v>
      </c>
      <c r="D1067"/>
      <c r="E1067">
        <v>1</v>
      </c>
    </row>
    <row r="1068">
      <c r="A1068" t="s">
        <v>2501</v>
      </c>
      <c r="B1068" t="s">
        <v>2742</v>
      </c>
      <c r="C1068" t="s">
        <v>2743</v>
      </c>
      <c r="D1068"/>
      <c r="E1068">
        <v>1</v>
      </c>
    </row>
    <row r="1069">
      <c r="A1069" t="s">
        <v>2501</v>
      </c>
      <c r="B1069" t="s">
        <v>2744</v>
      </c>
      <c r="C1069" t="s">
        <v>2571</v>
      </c>
      <c r="D1069"/>
      <c r="E1069">
        <v>1</v>
      </c>
    </row>
    <row r="1070">
      <c r="A1070" t="s">
        <v>2501</v>
      </c>
      <c r="B1070" t="s">
        <v>2745</v>
      </c>
      <c r="C1070" t="s">
        <v>2746</v>
      </c>
      <c r="D1070"/>
      <c r="E1070">
        <v>1</v>
      </c>
    </row>
    <row r="1071">
      <c r="A1071" t="s">
        <v>2501</v>
      </c>
      <c r="B1071" t="s">
        <v>2747</v>
      </c>
      <c r="C1071" t="s">
        <v>2748</v>
      </c>
      <c r="D1071"/>
      <c r="E1071">
        <v>1</v>
      </c>
    </row>
    <row r="1072">
      <c r="A1072" t="s">
        <v>2501</v>
      </c>
      <c r="B1072" t="s">
        <v>2749</v>
      </c>
      <c r="C1072" t="s">
        <v>2750</v>
      </c>
      <c r="D1072"/>
      <c r="E1072">
        <v>1</v>
      </c>
    </row>
    <row r="1073">
      <c r="A1073" t="s">
        <v>2501</v>
      </c>
      <c r="B1073" t="s">
        <v>2751</v>
      </c>
      <c r="C1073" t="s">
        <v>2752</v>
      </c>
      <c r="D1073"/>
      <c r="E1073">
        <v>1</v>
      </c>
    </row>
    <row r="1074">
      <c r="A1074" t="s">
        <v>2501</v>
      </c>
      <c r="B1074" t="s">
        <v>2753</v>
      </c>
      <c r="C1074" t="s">
        <v>2754</v>
      </c>
      <c r="D1074"/>
      <c r="E1074">
        <v>1</v>
      </c>
    </row>
    <row r="1075">
      <c r="A1075" t="s">
        <v>2501</v>
      </c>
      <c r="B1075" t="s">
        <v>2755</v>
      </c>
      <c r="C1075" t="s">
        <v>2756</v>
      </c>
      <c r="D1075"/>
      <c r="E1075">
        <v>1</v>
      </c>
    </row>
    <row r="1076">
      <c r="A1076" t="s">
        <v>2501</v>
      </c>
      <c r="B1076" t="s">
        <v>2757</v>
      </c>
      <c r="C1076" t="s">
        <v>2758</v>
      </c>
      <c r="D1076"/>
      <c r="E1076">
        <v>1</v>
      </c>
    </row>
    <row r="1077">
      <c r="A1077" t="s">
        <v>2501</v>
      </c>
      <c r="B1077" t="s">
        <v>2759</v>
      </c>
      <c r="C1077" t="s">
        <v>2760</v>
      </c>
      <c r="D1077"/>
      <c r="E1077">
        <v>1</v>
      </c>
    </row>
    <row r="1078">
      <c r="A1078" t="s">
        <v>2501</v>
      </c>
      <c r="B1078" t="s">
        <v>2761</v>
      </c>
      <c r="C1078" t="s">
        <v>2762</v>
      </c>
      <c r="D1078"/>
      <c r="E1078">
        <v>1</v>
      </c>
    </row>
    <row r="1079">
      <c r="A1079" t="s">
        <v>2501</v>
      </c>
      <c r="B1079" t="s">
        <v>2763</v>
      </c>
      <c r="C1079" t="s">
        <v>2764</v>
      </c>
      <c r="D1079"/>
      <c r="E1079">
        <v>1</v>
      </c>
    </row>
    <row r="1080">
      <c r="A1080" t="s">
        <v>2501</v>
      </c>
      <c r="B1080" t="s">
        <v>2765</v>
      </c>
      <c r="C1080" t="s">
        <v>2766</v>
      </c>
      <c r="D1080"/>
      <c r="E1080">
        <v>1</v>
      </c>
    </row>
    <row r="1081">
      <c r="A1081" t="s">
        <v>2501</v>
      </c>
      <c r="B1081" t="s">
        <v>2767</v>
      </c>
      <c r="C1081" t="s">
        <v>2768</v>
      </c>
      <c r="D1081"/>
      <c r="E1081">
        <v>1</v>
      </c>
    </row>
    <row r="1082">
      <c r="A1082" t="s">
        <v>2501</v>
      </c>
      <c r="B1082" t="s">
        <v>2769</v>
      </c>
      <c r="C1082" t="s">
        <v>2770</v>
      </c>
      <c r="D1082"/>
      <c r="E1082">
        <v>1</v>
      </c>
    </row>
    <row r="1083">
      <c r="A1083" t="s">
        <v>2501</v>
      </c>
      <c r="B1083" t="s">
        <v>2771</v>
      </c>
      <c r="C1083" t="s">
        <v>2772</v>
      </c>
      <c r="D1083"/>
      <c r="E1083">
        <v>1</v>
      </c>
    </row>
    <row r="1084">
      <c r="A1084" t="s">
        <v>2501</v>
      </c>
      <c r="B1084" t="s">
        <v>2773</v>
      </c>
      <c r="C1084" t="s">
        <v>2774</v>
      </c>
      <c r="D1084"/>
      <c r="E1084">
        <v>1</v>
      </c>
    </row>
    <row r="1085">
      <c r="A1085" t="s">
        <v>2501</v>
      </c>
      <c r="B1085" t="s">
        <v>2775</v>
      </c>
      <c r="C1085" t="s">
        <v>2776</v>
      </c>
      <c r="D1085"/>
      <c r="E1085">
        <v>1</v>
      </c>
    </row>
    <row r="1086">
      <c r="A1086" t="s">
        <v>2501</v>
      </c>
      <c r="B1086" t="s">
        <v>2777</v>
      </c>
      <c r="C1086" t="s">
        <v>2778</v>
      </c>
      <c r="D1086"/>
      <c r="E1086">
        <v>1</v>
      </c>
    </row>
    <row r="1087">
      <c r="A1087" t="s">
        <v>2501</v>
      </c>
      <c r="B1087" t="s">
        <v>2779</v>
      </c>
      <c r="C1087" t="s">
        <v>2780</v>
      </c>
      <c r="D1087"/>
      <c r="E1087">
        <v>1</v>
      </c>
    </row>
    <row r="1088">
      <c r="A1088" t="s">
        <v>2501</v>
      </c>
      <c r="B1088" t="s">
        <v>2781</v>
      </c>
      <c r="C1088" t="s">
        <v>2782</v>
      </c>
      <c r="D1088"/>
      <c r="E1088">
        <v>1</v>
      </c>
    </row>
    <row r="1089">
      <c r="A1089" t="s">
        <v>2501</v>
      </c>
      <c r="B1089" t="s">
        <v>2783</v>
      </c>
      <c r="C1089" t="s">
        <v>2784</v>
      </c>
      <c r="D1089"/>
      <c r="E1089">
        <v>1</v>
      </c>
    </row>
    <row r="1090">
      <c r="A1090" t="s">
        <v>2501</v>
      </c>
      <c r="B1090" t="s">
        <v>2785</v>
      </c>
      <c r="C1090" t="s">
        <v>2786</v>
      </c>
      <c r="D1090"/>
      <c r="E1090">
        <v>1</v>
      </c>
    </row>
    <row r="1091">
      <c r="A1091" t="s">
        <v>2501</v>
      </c>
      <c r="B1091" t="s">
        <v>2787</v>
      </c>
      <c r="C1091" t="s">
        <v>2788</v>
      </c>
      <c r="D1091"/>
      <c r="E1091">
        <v>1</v>
      </c>
    </row>
    <row r="1092">
      <c r="A1092" t="s">
        <v>2501</v>
      </c>
      <c r="B1092" t="s">
        <v>2789</v>
      </c>
      <c r="C1092" t="s">
        <v>2790</v>
      </c>
      <c r="D1092"/>
      <c r="E1092">
        <v>1</v>
      </c>
    </row>
    <row r="1093">
      <c r="A1093" t="s">
        <v>2501</v>
      </c>
      <c r="B1093" t="s">
        <v>2791</v>
      </c>
      <c r="C1093" t="s">
        <v>2792</v>
      </c>
      <c r="D1093"/>
      <c r="E1093">
        <v>1</v>
      </c>
    </row>
    <row r="1094">
      <c r="A1094" t="s">
        <v>2501</v>
      </c>
      <c r="B1094" t="s">
        <v>2793</v>
      </c>
      <c r="C1094" t="s">
        <v>2794</v>
      </c>
      <c r="D1094"/>
      <c r="E1094">
        <v>1</v>
      </c>
    </row>
    <row r="1095">
      <c r="A1095" t="s">
        <v>2501</v>
      </c>
      <c r="B1095" t="s">
        <v>2795</v>
      </c>
      <c r="C1095" t="s">
        <v>2796</v>
      </c>
      <c r="D1095"/>
      <c r="E1095">
        <v>1</v>
      </c>
    </row>
    <row r="1096">
      <c r="A1096" t="s">
        <v>2501</v>
      </c>
      <c r="B1096" t="s">
        <v>2797</v>
      </c>
      <c r="C1096" t="s">
        <v>2798</v>
      </c>
      <c r="D1096"/>
      <c r="E1096">
        <v>1</v>
      </c>
    </row>
    <row r="1097">
      <c r="A1097" t="s">
        <v>2501</v>
      </c>
      <c r="B1097" t="s">
        <v>2799</v>
      </c>
      <c r="C1097" t="s">
        <v>2800</v>
      </c>
      <c r="D1097"/>
      <c r="E1097">
        <v>1</v>
      </c>
    </row>
    <row r="1098">
      <c r="A1098" t="s">
        <v>2501</v>
      </c>
      <c r="B1098" t="s">
        <v>2801</v>
      </c>
      <c r="C1098" t="s">
        <v>2802</v>
      </c>
      <c r="D1098"/>
      <c r="E1098">
        <v>1</v>
      </c>
    </row>
    <row r="1099">
      <c r="A1099" t="s">
        <v>2501</v>
      </c>
      <c r="B1099" t="s">
        <v>2803</v>
      </c>
      <c r="C1099" t="s">
        <v>2804</v>
      </c>
      <c r="D1099"/>
      <c r="E1099">
        <v>1</v>
      </c>
    </row>
    <row r="1100">
      <c r="A1100" t="s">
        <v>2501</v>
      </c>
      <c r="B1100" t="s">
        <v>2805</v>
      </c>
      <c r="C1100" t="s">
        <v>2806</v>
      </c>
      <c r="D1100"/>
      <c r="E1100">
        <v>1</v>
      </c>
    </row>
    <row r="1101">
      <c r="A1101" t="s">
        <v>2501</v>
      </c>
      <c r="B1101" t="s">
        <v>2807</v>
      </c>
      <c r="C1101" t="s">
        <v>2808</v>
      </c>
      <c r="D1101"/>
      <c r="E1101">
        <v>1</v>
      </c>
    </row>
  </sheetData>
  <sheetProtection sheet="1" objects="1" scenarios="1" formatColumns="0" formatRows="0" autoFilter="0"/>
  <pageMargins left="0.5" right="0.5" top="0.6" bottom="0.6" header="0.3" footer="0.3"/>
  <ignoredErrors>
    <ignoredError sqref="A1:E1101" numberStoredAsText="1" formula="1" formulaRange="1" unlockedFormula="1" emptyCellReference="1"/>
  </ignoredErrors>
</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mx:manifest xmlns:cmx="https://cremodel.com/excel/manifest/1">{"v":1,"product":"CREMODEL Excel","did":"deal_sample_sunfield","order":"sample","schema":"cremodel.deal/1.0","template":"cmx-template/1.0","calc":"cmx-calc/1.0","engine":"z451","generated":"2026-10-14T12:00:00.000Z","layout":{"capacity":25,"years":11,"months":132,"tenants":10,"cycles":7,"rentRollFirstRow":8,"leasingEngineFirstRow":10,"blockRows":17,"cfRows":{"PBR":9,"ATV":10,"FREE":11,"SBR":12,"RTR":13,"REC":15,"PCT":16,"OTH_1":17,"OTH_2":18,"OTH_3":19,"OTH":20,"TOR":21,"TTR":22,"PGR":23,"GVAC":25,"CRED":26,"TVC":27,"EGR":28,"OPX_CAM":30,"OPX_TAX":31,"OPX_INS":32,"OPX_NONREC":33,"OPX_MGMT":34,"OPX_GROUND":35,"TOPX":36,"NOI":37,"TI":39,"LC":40,"LCOTH":41,"TLC":42,"CAPX_1":43,"CAPX_2":44,"CAPX_3":45,"CAPX_4":46,"CAPEX":47,"RESV":48,"TCAP":49,"TLCC":50,"MISC_1":51,"MISC_2":52,"MISC":53,"CFBDS":54,"INT":56,"PRIN":57,"TDS":58,"CFADS":59,"CAPEV":61,"SALE":63,"SCOST":64,"SLC":65,"PAYOFF":66,"PPEN":67,"NSP":68,"LEV":70,"UNLEV":71}},"fp":{"all":"514fa1d0b39997a6b02c6837a502db445d959e9126ea63e61e26848dba6d6b5c","sheets":{"Executive Summary":"778b10e4b36f5f89aae707fa0a7b14254421dc5ba1b91b2f7e99217009917223","Sources &amp; QA":"0604af028e71e069768439ff419bfde5f0aa18637769c980beeb53d97e9bde76","Rent Roll":"f482031ddcdbea3d9453f8f72669c753c1bf464e5dd82b5cc41258b0498b4363","Historical Operating":"fdef9020585882292b996222dee27973fb0321f05be26468d03e6b9e526b6c95","Assumptions":"76959e76d04a1051d8da0c194427c8b24ea1bff0ae666353a708df35357449a4","Lease Rollover":"f6b6ae8bcb61ee53d1bfbe227afe69259fa44c375eb4e1b4743e08d08570064b","Cash Flow":"855ee751e3f367245a87c178aaf46c74528b8c5ddedb37b9f7dd0bb14a4a1092","Debt":"cb392920c6dc10f90353285adfef5e383cf07bd5f579536e1c72c4e70c9f9eff","Returns":"de9064de44c15bdf44093b2ebb6debfcc3f6c2e1197cf8110004144fe73834b7","Sensitivities":"09b4f83e94c8efd5ac982c8aa50622a3986ff48affa76cf90d31b0647778cc78","Model Checks":"db44ed3da8b232571b4c97d3786cd50d5c39730968e026e110d85ad9e8aae01f","Leasing Engine":"0131333bf44f7c63f7c52751076f41b6e9a20f11a699f2aa5767038f815f22ed","Lease Cycles":"65dd42427c8166ff470c6f0423b4bd196c1935b5021f619cafcf154063fbcd3c","Model Calc":"2a9da08049f92efa573dbc9c2953a712e6eb4d0309c44d7b7beb09cecedbf19c","Sensitivity Engine":"e5187e435bd2db9e4c2f3f465a2746f23c9093049cc40643672d9b62cd38f838"},"names":"eb63fb6f554024b95bbeb2ceb24760b67abec8f9cd21e4304b12f575401fe313","diag":"427f36ee07b3a5e5563080c8811b553f83a04507b56b66ff3d9d5510c7feffba"},"req":{"sheets":["Executive Summary","Sources &amp; QA","Rent Roll","Historical Operating","Assumptions","Lease Rollover","Cash Flow","Debt","Returns","Sensitivities","Model Checks","Leasing Engine","Lease Cycles","Model Calc","Sensitivity Engine"],"names":["A_ADJ1FROM","A_ADJ1PCT","A_ADJ1SET","A_ADJ2FROM","A_ADJ2PCT","A_ADJ2SET","A_ADJ3FROM","A_ADJ3PCT","A_ADJ3SET","A_ANCHORINVAC","A_CAMPSF","A_CLOSINGOTHER","A_DAYCOUNT","A_DAYFACTOR","A_ENGINEEM","A_ENGINEIRR","A_ENGINENOI1","A_EXITFEEPCT","A_EXTFEEBPS","A_EXTN","A_FIXEDLOAN","A_FLOATDRIFT","A_FLOATFLOOR","A_FLOATINDEX","A_FLOATSPREAD","A_FLOATSTRIKE","A_GLA","A_GROUNDRENT","A_INDEXRATE","A_INFLATION","A_INSPSF","A_INTRESERVE","A_LEASEUPLC","A_LEASEUPRESERVE","A_LOANAMOUNTREF","A_LOANBYCOST","A_LOANBYCOVERAGE","A_LOANBYVALUE","A_LOANBYYIELD","A_LOANFEE","A_LOANFEEPCT","A_LOANMODE","A_LOANTERM","A_LTCTARGET","A_LTVTARGET","A_MARKETRECOVERY","A_MGMTPCT","A_MINDSCR","A_MINDY","A_MONTHLYRATE","A_NONRECPSF","A_PAF","A_PBUMP","A_PDOWN","A_PEVERY","A_PFREENEW","A_PFREEREN","A_PGROW","A_PLCNEW","A_PLCREN","A_PMT","A_PNAME","A_PRENEW","A_PRENPCT","A_PRENT","A_PREPAY","A_PTERM","A_PTINEW","A_PTIREN","A_RATETYPE","A_RESERVEPSF","A_RESEXITCAP","A_SALECOSTENTERED","A_SALECOSTMODE","A_SALESGROWTH","A_TAXGROWTH","A_TAXPSF","A_TIER1PCT","A_TIER2OVER","A_TIER2PCT","A_TIER3OVER","A_TIER3PCT","A_UPFRONTOTHER","A_VACSTART","A_Y1PAYPERDOLLAR","C_CAMY","C_INSY","C_TAXY","IN_AMORTYEARS","IN_ANALYSISSTART","IN_CLOSINGCOSTPCT","IN_CREDITLOSS","IN_EXITCAP","IN_EXPENSEGROWTH","IN_GENERALVACANCY","IN_HOLDYEARS","IN_INTERESTRATE","IN_IOYEARS","IN_PURCHASEPRICE","IN_RENTGROWTH","OUT_ADDRESS","OUT_ANNUALDEBTSERVICE_Y1","OUT_ASKINGPRICE","OUT_ASSETTYPE","OUT_CHECKSFAIL","OUT_CHECKSPASS","OUT_CHECKSREVIEW","OUT_CLOSINGCOSTS","OUT_COC_AVG","OUT_COC_Y1","OUT_DEBTYIELD","OUT_DSCR_MIN","OUT_DSCR_Y1","OUT_EQUITY","OUT_EQUITYMULTIPLE","OUT_EXITNOI","OUT_EXITVALUE","OUT_GLA","OUT_GOINGINCAP","OUT_LEVEREDIRR","OUT_LEVEREDXIRR","OUT_LOANAMOUNT","OUT_LOANPAYOFF","OUT_LTV","OUT_NETSALEPROCEEDS","OUT_NOI_Y1","OUT_OCCUPANCY","OUT_PRICEPERSF","OUT_PRICEPERUNIT","OUT_PROPERTYNAME","OUT_SELLINGCOSTS","OUT_STRATEGY","OUT_TOTALCOST","OUT_TOTALPROFIT","OUT_UNITS","OUT_UNLEVEREDIRR","OUT_WALT","OUT_YEARBUILT","RNG_CF","RNG_DEBT","RNG_EXPIRY","RNG_HIST","RNG_KEYASSUMPTIONS","RNG_SENS1","RNG_SENS1EM","RNG_SENS2","RNG_SENS2EM","R_LEASINGAFTERSALE","R_LOANFEES","R_PENALTY","R_SALECOSTPCT","S_CAPSTEP","S_PRICESTEP","S_RATESTEP"]}}</cmx:manifest>
</file>

<file path=customXml/itemProps1.xml><?xml version="1.0" encoding="utf-8"?>
<ds:datastoreItem xmlns:ds="http://schemas.openxmlformats.org/officeDocument/2006/customXml" ds:itemID="{758A532C-300D-FFC6-4587-ACEA3BC01254}">
  <ds:schemaRefs>
    <ds:schemaRef ds:uri="https://cremodel.com/excel/manifest/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CREMODEL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Executive Summary</vt:lpstr>
      <vt:lpstr>Sources &amp; QA</vt:lpstr>
      <vt:lpstr>Rent Roll</vt:lpstr>
      <vt:lpstr>Historical Operating</vt:lpstr>
      <vt:lpstr>Assumptions</vt:lpstr>
      <vt:lpstr>Lease Rollover</vt:lpstr>
      <vt:lpstr>Cash Flow</vt:lpstr>
      <vt:lpstr>Debt</vt:lpstr>
      <vt:lpstr>Returns</vt:lpstr>
      <vt:lpstr>Sensitivities</vt:lpstr>
      <vt:lpstr>Model Checks</vt:lpstr>
      <vt:lpstr>Leasing Engine</vt:lpstr>
      <vt:lpstr>Lease Cycles</vt:lpstr>
      <vt:lpstr>Model Calc</vt:lpstr>
      <vt:lpstr>Sensitivity Engine</vt:lpstr>
      <vt:lpstr>_cm</vt:lpstr>
    </vt:vector>
  </TitlesOfParts>
  <Company>CREMODEL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CREMODEL: Sunfield Crossing</dc:title>
  <dc:subject>Underwriting model</dc:subject>
  <dc:creator>CREMODEL</dc:creator>
  <dc:description>CREMODEL cmx-template/1.0, cmx-calc/1.0, deal tpl-sunfield-crossing</dc:description>
  <cp:lastModifiedBy>CREMODEL</cp:lastModifiedBy>
  <dcterms:created xsi:type="dcterms:W3CDTF">2026-10-14T12:00:00Z</dcterms:created>
  <dcterms:modified xsi:type="dcterms:W3CDTF">2026-10-14T12:00:00Z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MODEL_TEMPLATE">
    <vt:lpwstr>cmx-template/1.0</vt:lpwstr>
  </property>
</Properties>
</file>